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comments1.xml" ContentType="application/vnd.openxmlformats-officedocument.spreadsheetml.comment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927" firstSheet="13" activeTab="28"/>
  </bookViews>
  <sheets>
    <sheet name="Информация JSON" sheetId="1" state="hidden" r:id="rId2"/>
    <sheet name="Инструкция" sheetId="2" r:id="rId3"/>
    <sheet name="Пояснения" sheetId="3" state="hidden" r:id="rId4"/>
    <sheet name="Список листов" sheetId="4" r:id="rId5"/>
    <sheet name="Общие сведения" sheetId="5" r:id="rId6"/>
    <sheet name="Список территорий" sheetId="6" r:id="rId7"/>
    <sheet name="Перечень объектов" sheetId="7" r:id="rId8"/>
    <sheet name="Список объектов" sheetId="8" r:id="rId9"/>
    <sheet name="Сценарии" sheetId="9" r:id="rId10"/>
    <sheet name="ИИКА" sheetId="10" r:id="rId11"/>
    <sheet name="Баланс" sheetId="11" r:id="rId12"/>
    <sheet name="Условные метры" sheetId="12" r:id="rId13"/>
    <sheet name="Сырье и материалы" sheetId="13" r:id="rId14"/>
    <sheet name="ЭЭ" sheetId="14" r:id="rId15"/>
    <sheet name="Амортизация" sheetId="15" r:id="rId16"/>
    <sheet name="Аренда" sheetId="16" r:id="rId17"/>
    <sheet name="Амортизация (аналог)" sheetId="17" state="hidden" r:id="rId18"/>
    <sheet name="Покупка" sheetId="18" r:id="rId19"/>
    <sheet name="ФОТ" sheetId="19" r:id="rId20"/>
    <sheet name="Административные" sheetId="20" r:id="rId21"/>
    <sheet name="Сбытовые расходы ГО" sheetId="21" r:id="rId22"/>
    <sheet name="Налоги" sheetId="22" r:id="rId23"/>
    <sheet name="ИП + источники" sheetId="23" state="hidden" r:id="rId24"/>
    <sheet name="Экономия_корр" sheetId="24" r:id="rId25"/>
    <sheet name="Плата за негативное возд" sheetId="25" r:id="rId26"/>
    <sheet name="Корректировка НВВ" sheetId="26" r:id="rId27"/>
    <sheet name="ТМ" sheetId="27" r:id="rId28"/>
    <sheet name="Калькуляция (МЭОР)" sheetId="28" state="hidden" r:id="rId29"/>
    <sheet name="Калькуляция (МИ)" sheetId="29" r:id="rId30"/>
    <sheet name="Калькуляция (МИ корр)" sheetId="30" state="hidden" r:id="rId31"/>
    <sheet name="ДПР" sheetId="31" r:id="rId32"/>
    <sheet name="ДПР (концессии)" sheetId="32" r:id="rId33"/>
    <sheet name="ГО" sheetId="33" r:id="rId34"/>
    <sheet name="Калькуляция (МСА)" sheetId="34" state="hidden" r:id="rId35"/>
    <sheet name="Комментарии" sheetId="35" r:id="rId36"/>
    <sheet name="REESTR_MO" sheetId="36" state="hidden" r:id="rId37"/>
    <sheet name="REESTR_ORG" sheetId="37" state="hidden" r:id="rId38"/>
    <sheet name="REESTR_OBJECT" sheetId="38" state="hidden" r:id="rId39"/>
    <sheet name="REESTR_ROIV_OMS" sheetId="39" state="hidden" r:id="rId40"/>
    <sheet name="REESTR_TARIFF" sheetId="40" state="hidden" r:id="rId41"/>
    <sheet name="DICTIONARIES" sheetId="41" state="hidden" r:id="rId42"/>
    <sheet name="TEHSHEET" sheetId="42" state="hidden" r:id="rId43"/>
    <sheet name="REESTR_SEP_DIV" sheetId="43" state="hidden" r:id="rId44"/>
    <sheet name="REESTR_DOP" sheetId="44" state="hidden" r:id="rId45"/>
    <sheet name="REESTR_REAG" sheetId="45" state="hidden" r:id="rId46"/>
  </sheets>
  <definedNames>
    <definedName name="AdminExpenses_LOAD_2">Административные!$AK$24:$AK$25</definedName>
    <definedName name="AdminExpenses_pIns_comm">Административные!$AB$128</definedName>
    <definedName name="AdminExpenses_vis_flags">Административные!$AE$17:$AJ$17</definedName>
    <definedName name="AdminiExpenses_LOAD_1">Административные!$AE$25:$AJ$25</definedName>
    <definedName name="Amortization_LOAD_1">Амортизация!$AE$25:$BB$25</definedName>
    <definedName name="Amortization_LOAD_2">Амортизация!$BC$24:$BC$25</definedName>
    <definedName name="Amortization_pIns_comm">Амортизация!$AB$279</definedName>
    <definedName name="Amortization_vis_flags">Амортизация!$AI$2:$BB$2</definedName>
    <definedName name="AUTHORIZED_PERSON_EMAIL">'Общие сведения'!$AE$255</definedName>
    <definedName name="AUTHORIZED_PERSON_FIO">'Общие сведения'!$AE$252</definedName>
    <definedName name="AUTHORIZED_PERSON_PHONE">'Общие сведения'!$AE$254</definedName>
    <definedName name="AUTHORIZED_PERSON_POSITION">'Общие сведения'!$AE$253</definedName>
    <definedName name="Balance_vis_flags">Баланс!$AI$2:$BB$2</definedName>
    <definedName name="Calculation_LOAD_1">'Калькуляция (МИ)'!$AE$25:$BC$25</definedName>
    <definedName name="Calculation_LOAD_2">'Калькуляция (МИ)'!$BN$24:$BP$25</definedName>
    <definedName name="Calculation_pIns_comm">'Калькуляция (МИ)'!$AB$752</definedName>
    <definedName name="Calculation_vis_flags">'Калькуляция (МИ)'!$AJ$2:$BM$2</definedName>
    <definedName name="Calculation_vis_flags2">'Калькуляция (МИ)'!$S$25:$S$25</definedName>
    <definedName name="code">Инструкция!$B$2</definedName>
    <definedName name="COLDVSNA_TRANSP_VTOV">TEHSHEET!$V$2:$V$4</definedName>
    <definedName name="COLDVSNA_VDET_LIST">TEHSHEET!$K$20:$K$24</definedName>
    <definedName name="COLDVSNA_VTARIFF">TEHSHEET!$W$2:$W$3</definedName>
    <definedName name="COLDVSNA_VTOV">TEHSHEET!$V$2:$V$3</definedName>
    <definedName name="diametr_list">TEHSHEET!$AB$2:$AB$22</definedName>
    <definedName name="diametr_list_vo">TEHSHEET!$AG$2:$AG$140</definedName>
    <definedName name="diametr_list_vs">TEHSHEET!$AF$2:$AF$55</definedName>
    <definedName name="DOCUMENT_TYPES">TEHSHEET!$K$46:$K$52</definedName>
    <definedName name="DPR_check_range1">ДПР!$AG$28:$AG$28</definedName>
    <definedName name="DPR_ee_divide">ДПР!$AF$24</definedName>
    <definedName name="dpr_list">DICTIONARIES!$C$2:$C$43</definedName>
    <definedName name="DPR_LOAD_1">ДПР!$AC$28:$AK$28</definedName>
    <definedName name="DPR_pIns_comm">ДПР!$AB$289</definedName>
    <definedName name="DPR_vis_flags">ДПР!$W$28:$W$28</definedName>
    <definedName name="DPR_vis_flags2">ДПР!$AG$2:$AK$2</definedName>
    <definedName name="DPRConcessions_LOAD_1">'ДПР (концессии)'!$AC$26:$AK$26</definedName>
    <definedName name="DPRConcessions_pIns_comm">'ДПР (концессии)'!$AB$501</definedName>
    <definedName name="DPRConcessions_vis_flags">'ДПР (концессии)'!$W$26:$W$26</definedName>
    <definedName name="DPRConcessions_vis_flags2">'ДПР (концессии)'!$AG$2:$AK$2</definedName>
    <definedName name="Electricity_LOAD_1">ЭЭ!$AE$25:$BB$189</definedName>
    <definedName name="Electricity_vis_flags">ЭЭ!$AI$2:$BB$2</definedName>
    <definedName name="entityName">'Общие сведения'!$AI$24</definedName>
    <definedName name="et_AdminExpenses_tariff">Административные!$32:$128</definedName>
    <definedName name="et_Amortization_tariff">Амортизация!$27:$75</definedName>
    <definedName name="et_Balance_tariff_vo">Баланс!$81:$105</definedName>
    <definedName name="et_Balance_tariff_vo_transp">Баланс!$107:$117</definedName>
    <definedName name="et_Balance_tariff_vs">Баланс!$27:$62</definedName>
    <definedName name="et_Balance_tariff_vs_transp">Баланс!$65:$78</definedName>
    <definedName name="et_Calculation_tariff">'Калькуляция (МИ)'!$27:$166</definedName>
    <definedName name="et_DPR_tariff_vs">ДПР!$30:$80</definedName>
    <definedName name="et_DPRConcessions_block">'ДПР (концессии)'!$29:$79</definedName>
    <definedName name="et_DPRConcessions_tariff">'ДПР (концессии)'!$28:$28</definedName>
    <definedName name="et_GeneralInfo_fio">'Общие сведения'!$264:$264</definedName>
    <definedName name="et_GeneralInfo_tariff">'Общие сведения'!$180:$193</definedName>
    <definedName name="et_InvestmentSources_tariff">'ИП + источники'!$58:$86</definedName>
    <definedName name="et_NegativeImpactFee_tariff">'Плата за негативное возд'!$26:$28</definedName>
    <definedName name="et_NVVCorrection_tariff">'Корректировка НВВ'!$27:$77</definedName>
    <definedName name="et_ObjectList_obj">'Список объектов'!$28:$28</definedName>
    <definedName name="et_ObjectList_tariff_vs">'Список объектов'!$26:$26</definedName>
    <definedName name="et_Purchase_org2">Покупка!$38:$39</definedName>
    <definedName name="et_Purchase_org3">Покупка!$45:$46</definedName>
    <definedName name="et_Purchase_org4">Покупка!$52:$53</definedName>
    <definedName name="et_Purchase_org5">Покупка!$59:$60</definedName>
    <definedName name="et_Purchase_tariff">Покупка!$27:$62</definedName>
    <definedName name="et_Reagents_reagent">'Сырье и материалы'!$30:$30</definedName>
    <definedName name="et_Reagents_tariff">'Сырье и материалы'!$27:$47</definedName>
    <definedName name="et_Rent_tariff">Аренда!$27:$34</definedName>
    <definedName name="et_SalesExpensesGO_1">'Сбытовые расходы ГО'!$93:$93</definedName>
    <definedName name="et_SalesExpensesGO_tariff">'Сбытовые расходы ГО'!$32:$91</definedName>
    <definedName name="et_SavingsCorrection_tariff">Экономия_корр!$32:$71</definedName>
    <definedName name="et_Scenarios_tariff">Сценарии!$28:$54</definedName>
    <definedName name="et_tariff_Iika">ИИКА!$27:$31</definedName>
    <definedName name="et_Taxes_tariff">Налоги!$27:$40</definedName>
    <definedName name="et_TerritoryList_tariff">'Список территорий'!$26:$28</definedName>
    <definedName name="et_TM_tariff">ТМ!$29:$83</definedName>
    <definedName name="et_TM_tariff_transp">ТМ!$85:$90</definedName>
    <definedName name="et_WageFund_dolj">ФОТ!$29:$31</definedName>
    <definedName name="et_WageFund_tariff">ФОТ!$27:$51</definedName>
    <definedName name="FIRST_TIME_REG">'Общие сведения'!$AE$175</definedName>
    <definedName name="first_year">'Общие сведения'!$AE$25</definedName>
    <definedName name="flag_end_AdminExpenses">Административные!$AL$129</definedName>
    <definedName name="flag_end_AmorAnalog">'Амортизация (аналог)'!$AG$67</definedName>
    <definedName name="flag_end_Amortization">Амортизация!$BD$280</definedName>
    <definedName name="flag_end_Balance">Баланс!$BD$487</definedName>
    <definedName name="flag_end_CalcMeor">'Калькуляция (МЭОР)'!$AP$457</definedName>
    <definedName name="flag_end_CalcMiCorr">'Калькуляция (МИ корр)'!$BQ$752</definedName>
    <definedName name="flag_end_Calculation">'Калькуляция (МИ)'!$BQ$753</definedName>
    <definedName name="flag_end_Comments">Комментарии!$AC$34</definedName>
    <definedName name="flag_end_DPR">ДПР!$AL$290</definedName>
    <definedName name="flag_end_DPRConcessions">'ДПР (концессии)'!$AL$502</definedName>
    <definedName name="flag_end_Electricity">ЭЭ!$BD$194</definedName>
    <definedName name="flag_end_Explanations">Пояснения!$AE$27</definedName>
    <definedName name="flag_end_GeneralInfo">'Общие сведения'!$AF$265</definedName>
    <definedName name="flag_end_GO">ГО!$AF$477</definedName>
    <definedName name="flag_end_iika">ИИКА!$BC$52</definedName>
    <definedName name="flag_end_InvestmentSources">'ИП + источники'!$BF$208</definedName>
    <definedName name="flag_end_NegativeImpactFee">'Плата за негативное возд'!$AM$46</definedName>
    <definedName name="flag_end_NVVCorrection">'Корректировка НВВ'!$AI$287</definedName>
    <definedName name="flag_end_ObjectList">'Список объектов'!$AI$346</definedName>
    <definedName name="flag_end_Objects">'Перечень объектов'!$AK$92</definedName>
    <definedName name="flag_end_Purchase">Покупка!$BD$377</definedName>
    <definedName name="flag_end_Reagents">'Сырье и материалы'!$BD$169</definedName>
    <definedName name="flag_end_Rent">Аренда!$BD$85</definedName>
    <definedName name="flag_end_SalesExpensesGO">'Сбытовые расходы ГО'!$AL$92</definedName>
    <definedName name="flag_end_SavingsCorrection">Экономия_корр!$AZ$72</definedName>
    <definedName name="flag_end_Scenarios">Сценарии!$BG$163</definedName>
    <definedName name="flag_end_SheetList">'Список листов'!$AE$54</definedName>
    <definedName name="flag_end_TariffCalcMsa">'Калькуляция (МСА)'!$AG$129</definedName>
    <definedName name="flag_end_Taxes">Налоги!$BD$107</definedName>
    <definedName name="flag_end_TerritoryList">'Список территорий'!$AH$45</definedName>
    <definedName name="flag_end_TM">ТМ!$FX$349</definedName>
    <definedName name="flag_end_uslmetr">'Условные метры'!$AQ$49</definedName>
    <definedName name="flag_end_WageFund">ФОТ!$AL$198</definedName>
    <definedName name="flag_size_AdminExpenses">Административные!$E$5</definedName>
    <definedName name="flag_size_AmorAnalog">'Амортизация (аналог)'!$E$5</definedName>
    <definedName name="flag_size_Amortization">Амортизация!$E$5</definedName>
    <definedName name="flag_size_Balance">Баланс!$E$5</definedName>
    <definedName name="flag_size_CalcMeor">'Калькуляция (МЭОР)'!$E$5</definedName>
    <definedName name="flag_size_CalcMiCorr">'Калькуляция (МИ корр)'!$E$5</definedName>
    <definedName name="flag_size_Calculation">'Калькуляция (МИ)'!$E$5</definedName>
    <definedName name="flag_size_Comments">Комментарии!$E$5</definedName>
    <definedName name="flag_size_DPR">ДПР!$E$5</definedName>
    <definedName name="flag_size_DPRConcessions">'ДПР (концессии)'!$E$5</definedName>
    <definedName name="flag_size_Electricity">ЭЭ!$E$5</definedName>
    <definedName name="flag_size_Explanations">Пояснения!$E$5</definedName>
    <definedName name="flag_size_GeneralInfo">'Общие сведения'!$E$5</definedName>
    <definedName name="flag_size_GO">ГО!$E$5</definedName>
    <definedName name="flag_size_iika">ИИКА!$E$5</definedName>
    <definedName name="flag_size_InvestmentSources">'ИП + источники'!$E$5</definedName>
    <definedName name="flag_size_NegativeImpactFee">'Плата за негативное возд'!$E$5</definedName>
    <definedName name="flag_size_NVVCorrection">'Корректировка НВВ'!$E$5</definedName>
    <definedName name="flag_size_ObjectList">'Список объектов'!$E$5</definedName>
    <definedName name="flag_size_Objects">'Перечень объектов'!$E$5</definedName>
    <definedName name="flag_size_Purchase">Покупка!$E$5</definedName>
    <definedName name="flag_size_Reagents">'Сырье и материалы'!$E$5</definedName>
    <definedName name="flag_size_Rent">Аренда!$E$5</definedName>
    <definedName name="flag_size_SalesExpensesGO">'Сбытовые расходы ГО'!$E$5</definedName>
    <definedName name="flag_size_SavingsCorrection">Экономия_корр!$E$5</definedName>
    <definedName name="flag_size_Scenarios">Сценарии!$E$5</definedName>
    <definedName name="flag_size_SheetList">'Список листов'!$E$5</definedName>
    <definedName name="flag_size_TariffCalcMsa">'Калькуляция (МСА)'!$E$5</definedName>
    <definedName name="flag_size_Taxes">Налоги!$E$5</definedName>
    <definedName name="flag_size_TerritoryList">'Список территорий'!$E$5</definedName>
    <definedName name="flag_size_TM">ТМ!$E$5</definedName>
    <definedName name="flag_size_uslmetr">'Условные метры'!$E$5</definedName>
    <definedName name="flag_size_WageFund">ФОТ!$E$5</definedName>
    <definedName name="flag_start_AdminExpenses">Административные!$AA$21</definedName>
    <definedName name="flag_start_AmorAnalog">'Амортизация (аналог)'!$AA$21</definedName>
    <definedName name="flag_start_Amortization">Амортизация!$AA$21</definedName>
    <definedName name="flag_start_Balance">Баланс!$AA$21</definedName>
    <definedName name="flag_start_CalcMeor">'Калькуляция (МЭОР)'!$AA$21</definedName>
    <definedName name="flag_start_CalcMiCorr">'Калькуляция (МИ корр)'!$AA$21</definedName>
    <definedName name="flag_start_Calculation">'Калькуляция (МИ)'!$AA$21</definedName>
    <definedName name="flag_start_Comments">Комментарии!$AA$21</definedName>
    <definedName name="flag_start_DPR">ДПР!$AA$21</definedName>
    <definedName name="flag_start_DPRConcessions">'ДПР (концессии)'!$AA$21</definedName>
    <definedName name="flag_start_Electricity">ЭЭ!$AA$21</definedName>
    <definedName name="flag_start_Explanations">Пояснения!$AA$21</definedName>
    <definedName name="flag_start_GeneralInfo">'Общие сведения'!$AA$21</definedName>
    <definedName name="flag_start_GO">ГО!$AA$21</definedName>
    <definedName name="flag_start_iika">ИИКА!$AA$21</definedName>
    <definedName name="flag_start_InvestmentSources">'ИП + источники'!$AA$21</definedName>
    <definedName name="flag_start_NegativeImpactFee">'Плата за негативное возд'!$AA$21</definedName>
    <definedName name="flag_start_NVVCorrection">'Корректировка НВВ'!$AA$21</definedName>
    <definedName name="flag_start_ObjectList">'Список объектов'!$AA$21</definedName>
    <definedName name="flag_start_Objects">'Перечень объектов'!$AB$21</definedName>
    <definedName name="flag_start_Purchase">Покупка!$AA$21</definedName>
    <definedName name="flag_start_Reagents">'Сырье и материалы'!$AA$21</definedName>
    <definedName name="flag_start_Rent">Аренда!$AA$21</definedName>
    <definedName name="flag_start_SalesExpensesGO">'Сбытовые расходы ГО'!$AA$21</definedName>
    <definedName name="flag_start_SavingsCorrection">Экономия_корр!$AA$21</definedName>
    <definedName name="flag_start_Scenarios">Сценарии!$AA$21</definedName>
    <definedName name="flag_start_SheetList">'Список листов'!$AA$21</definedName>
    <definedName name="flag_start_TariffCalcMsa">'Калькуляция (МСА)'!$AA$21</definedName>
    <definedName name="flag_start_Taxes">Налоги!$AA$21</definedName>
    <definedName name="flag_start_TerritoryList">'Список территорий'!$AA$21</definedName>
    <definedName name="flag_start_TM">ТМ!$AA$21</definedName>
    <definedName name="flag_start_uslmetr">'Условные метры'!$AA$21</definedName>
    <definedName name="flag_start_WageFund">ФОТ!$AA$21</definedName>
    <definedName name="flag_vis_AdminExpenses">Административные!$B$2</definedName>
    <definedName name="flag_vis_AmorAnalog">'Амортизация (аналог)'!$B$2</definedName>
    <definedName name="flag_vis_Amortization">Амортизация!$B$2</definedName>
    <definedName name="flag_vis_Balance">Баланс!$B$2</definedName>
    <definedName name="flag_vis_CalcMeor">'Калькуляция (МЭОР)'!$B$2</definedName>
    <definedName name="flag_vis_CalcMiCorr">'Калькуляция (МИ корр)'!$B$2</definedName>
    <definedName name="flag_vis_Calculation">'Калькуляция (МИ)'!$B$2</definedName>
    <definedName name="flag_vis_Comments">Комментарии!$B$2</definedName>
    <definedName name="flag_vis_DPR">ДПР!$B$2</definedName>
    <definedName name="flag_vis_DPRConcessions">'ДПР (концессии)'!$B$2</definedName>
    <definedName name="flag_vis_Electricity">ЭЭ!$B$2</definedName>
    <definedName name="flag_vis_Explanations">Пояснения!$B$2</definedName>
    <definedName name="flag_vis_GeneralInfo">'Общие сведения'!$B$2</definedName>
    <definedName name="flag_vis_GO">ГО!$B$2</definedName>
    <definedName name="flag_vis_iika">ИИКА!$B$2</definedName>
    <definedName name="flag_vis_Instruction">Инструкция!$B$2</definedName>
    <definedName name="flag_vis_InvestmentSources">'ИП + источники'!$B$2</definedName>
    <definedName name="flag_vis_NegativeImpactFee">'Плата за негативное возд'!$B$2</definedName>
    <definedName name="flag_vis_NVVCorrection">'Корректировка НВВ'!$B$2</definedName>
    <definedName name="flag_vis_ObjectList">'Список объектов'!$B$2</definedName>
    <definedName name="flag_vis_Objects">'Перечень объектов'!$B$2</definedName>
    <definedName name="flag_vis_Purchase">Покупка!$B$2</definedName>
    <definedName name="flag_vis_Reagents">'Сырье и материалы'!$B$2</definedName>
    <definedName name="flag_vis_Rent">Аренда!$B$2</definedName>
    <definedName name="flag_vis_SalesExpensesGO">'Сбытовые расходы ГО'!$B$2</definedName>
    <definedName name="flag_vis_SavingsCorrection">Экономия_корр!$B$2</definedName>
    <definedName name="flag_vis_Scenarios">Сценарии!$B$2</definedName>
    <definedName name="flag_vis_SheetList">'Список листов'!$B$2</definedName>
    <definedName name="flag_vis_TariffCalcMsa">'Калькуляция (МСА)'!$B$2</definedName>
    <definedName name="flag_vis_Taxes">Налоги!$B$2</definedName>
    <definedName name="flag_vis_TerritoryList">'Список территорий'!$B$2</definedName>
    <definedName name="flag_vis_TM">ТМ!$B$2</definedName>
    <definedName name="flag_vis_uslmetr">'Условные метры'!$B$2</definedName>
    <definedName name="flag_vis_WageFund">ФОТ!$B$2</definedName>
    <definedName name="GeneralInfo_check_area">'Общие сведения'!$AE$22:$AE$263</definedName>
    <definedName name="GeneralInfo_LOAD_1">'Общие сведения'!$AE$44:$AE$261</definedName>
    <definedName name="GeneralInfo_pIns1">'Общие сведения'!$AE$63</definedName>
    <definedName name="GeneralInfo_pIns2">'Общие сведения'!$AE$83</definedName>
    <definedName name="GeneralInfo_pIns3">'Общие сведения'!$AE$95</definedName>
    <definedName name="GeneralInfo_pIns4">'Общие сведения'!$AE$107</definedName>
    <definedName name="GeneralInfo_pIns5">'Общие сведения'!$AE$121</definedName>
    <definedName name="GeneralInfo_pIns6">'Общие сведения'!$AE$135</definedName>
    <definedName name="GeneralInfo_pIns7">'Общие сведения'!$AE$149</definedName>
    <definedName name="GeneralInfo_tariff_start">'Общие сведения'!$AA$178</definedName>
    <definedName name="GeneralInfo_vis_flags">'Общие сведения'!$Y$178:$Y$178</definedName>
    <definedName name="glubina_list">TEHSHEET!$AE$2:$AE$6</definedName>
    <definedName name="GO_INN">'Общие сведения'!$AE$66</definedName>
    <definedName name="GO_KPP">'Общие сведения'!$AE$67</definedName>
    <definedName name="GO_ORG">'Общие сведения'!$AE$65</definedName>
    <definedName name="god">'Общие сведения'!$AE$24</definedName>
    <definedName name="grunt_list">TEHSHEET!$AD$2:$AD$3</definedName>
    <definedName name="HAS_DOC2">'Общие сведения'!$AE$72</definedName>
    <definedName name="HAS_DOC2_block">'Общие сведения'!$AE$78:$AE$83</definedName>
    <definedName name="HAS_DOC3">'Общие сведения'!$AE$84</definedName>
    <definedName name="HAS_DOC3_block">'Общие сведения'!$AE$85:$AE$95</definedName>
    <definedName name="HAS_DOC4">'Общие сведения'!$AE$96</definedName>
    <definedName name="HAS_DOC4_block">'Общие сведения'!$AE$97:$AE$107</definedName>
    <definedName name="HAS_DOC5">'Общие сведения'!$AE$108</definedName>
    <definedName name="HAS_DOC5_block">'Общие сведения'!$AE$109:$AE$121</definedName>
    <definedName name="HAS_DOC6">'Общие сведения'!$AE$122</definedName>
    <definedName name="HAS_DOC6_block">'Общие сведения'!$AE$123:$AE$135</definedName>
    <definedName name="HAS_DOC7">'Общие сведения'!$AE$136</definedName>
    <definedName name="HAS_DOC7_block">'Общие сведения'!$AE$137:$AE$149</definedName>
    <definedName name="hasTranspVO">'Общие сведения'!$AG$173</definedName>
    <definedName name="hasTranspVS">'Общие сведения'!$AF$173</definedName>
    <definedName name="hasVO">'Общие сведения'!$AE$173</definedName>
    <definedName name="hasVS">'Общие сведения'!$AD$173</definedName>
    <definedName name="inn">'Общие сведения'!$AE$42</definedName>
    <definedName name="InsB_GeneralInfo_tariff">'Общие сведения'!$AD$250</definedName>
    <definedName name="InvestmentSources_is_one_block">'ИП + источники'!$AD$24</definedName>
    <definedName name="InvestmentSources_LOAD_1">'ИП + источники'!$AE$27:$BD$203</definedName>
    <definedName name="InvestmentSources_LOAD_2">'ИП + источники'!$BE$26:$BE$203</definedName>
    <definedName name="InvestmentSources_pIns_comm">'ИП + источники'!$AB$207</definedName>
    <definedName name="InvestmentSources_vis_flags">'ИП + источники'!$AK$2:$BD$2</definedName>
    <definedName name="InvestmentSources_vis_flags2">'ИП + источники'!$R$27:$R$27</definedName>
    <definedName name="isBlocked_CalcMiCorr">'Калькуляция (МИ корр)'!$R$3</definedName>
    <definedName name="ist_info_build_list">TEHSHEET!$AA$2:$AA$3</definedName>
    <definedName name="kpp">'Общие сведения'!$AE$43</definedName>
    <definedName name="last_year">'Общие сведения'!$AF$25</definedName>
    <definedName name="last_year_vis">'Общие сведения'!$AG$25</definedName>
    <definedName name="LIST_MR_MO_OKTMO">REESTR_MO!$A$2:$E$263</definedName>
    <definedName name="List04_LOAD_1">'Условные метры'!$AC$24:$AP$44</definedName>
    <definedName name="List04_pIns_comm">'Условные метры'!$AB$48</definedName>
    <definedName name="List05_LOAD_1">'Амортизация (аналог)'!$AE$25:$AF$62</definedName>
    <definedName name="List05_pIns_comm">'Амортизация (аналог)'!$AB$66</definedName>
    <definedName name="List06_LOAD_1">ГО!$AE$25:$AE$115</definedName>
    <definedName name="List06_pIns_comm">ГО!$AB$476</definedName>
    <definedName name="List07_LOAD_1">'Калькуляция (МСА)'!$AE$25:$AF$122</definedName>
    <definedName name="List07_pIns_comm">'Калькуляция (МСА)'!$AB$128</definedName>
    <definedName name="List15_LOAD_1">'Калькуляция (МЭОР)'!$AE$25:$AK$452</definedName>
    <definedName name="List15_LOAD_2">'Калькуляция (МЭОР)'!$AM$24:$AO$452</definedName>
    <definedName name="List15_pIns_comm">'Калькуляция (МЭОР)'!$AB$456</definedName>
    <definedName name="List15_vis_flags">'Калькуляция (МЭОР)'!$AE$17:$AL$17</definedName>
    <definedName name="List15_vis_flags2">'Калькуляция (МЭОР)'!$H$25:$H$452</definedName>
    <definedName name="material_list">TEHSHEET!$AC$2:$AC$5</definedName>
    <definedName name="method_list">TEHSHEET!$K$14:$K$17</definedName>
    <definedName name="method_reg">'Общие сведения'!$AE$23</definedName>
    <definedName name="metod_list">TEHSHEET!$K$14:$K$17</definedName>
    <definedName name="MO_END_DATE">TEHSHEET!$M$20</definedName>
    <definedName name="MO_LIST_10">REESTR_MO!$B$58:$B$70</definedName>
    <definedName name="MO_LIST_11">REESTR_MO!$B$71:$B$81</definedName>
    <definedName name="MO_LIST_12">REESTR_MO!$B$82:$B$92</definedName>
    <definedName name="MO_LIST_13">REESTR_MO!$B$93:$B$110</definedName>
    <definedName name="MO_LIST_14">REESTR_MO!$B$111:$B$116</definedName>
    <definedName name="MO_LIST_15">REESTR_MO!$B$117:$B$125</definedName>
    <definedName name="MO_LIST_16">REESTR_MO!$B$126</definedName>
    <definedName name="MO_LIST_17">REESTR_MO!$B$127:$B$140</definedName>
    <definedName name="MO_LIST_18">REESTR_MO!$B$141</definedName>
    <definedName name="MO_LIST_19">REESTR_MO!$B$142:$B$160</definedName>
    <definedName name="MO_LIST_2">REESTR_MO!$B$2:$B$8</definedName>
    <definedName name="MO_LIST_20">REESTR_MO!$B$161:$B$166</definedName>
    <definedName name="MO_LIST_21">REESTR_MO!$B$167:$B$181</definedName>
    <definedName name="MO_LIST_22">REESTR_MO!$B$182</definedName>
    <definedName name="MO_LIST_23">REESTR_MO!$B$183:$B$192</definedName>
    <definedName name="MO_LIST_24">REESTR_MO!$B$193:$B$209</definedName>
    <definedName name="MO_LIST_25">REESTR_MO!$B$210:$B$217</definedName>
    <definedName name="MO_LIST_26">REESTR_MO!$B$218:$B$223</definedName>
    <definedName name="MO_LIST_27">REESTR_MO!$B$224:$B$230</definedName>
    <definedName name="MO_LIST_28">REESTR_MO!$B$231:$B$248</definedName>
    <definedName name="MO_LIST_29">REESTR_MO!$B$249:$B$263</definedName>
    <definedName name="MO_LIST_3">REESTR_MO!$B$9</definedName>
    <definedName name="MO_LIST_4">REESTR_MO!$B$10</definedName>
    <definedName name="MO_LIST_5">REESTR_MO!$B$11</definedName>
    <definedName name="MO_LIST_6">REESTR_MO!$B$12:$B$18</definedName>
    <definedName name="MO_LIST_7">REESTR_MO!$B$19:$B$26</definedName>
    <definedName name="MO_LIST_8">REESTR_MO!$B$27:$B$32</definedName>
    <definedName name="MO_LIST_9">REESTR_MO!$B$33:$B$57</definedName>
    <definedName name="MO_START_DATE">TEHSHEET!$M$19</definedName>
    <definedName name="MONTH_LIST">TEHSHEET!$R$2:$R$13</definedName>
    <definedName name="MR_LIST">REESTR_MO!$F$2:$F$29</definedName>
    <definedName name="NALOG_SYSTEM_LIST">TEHSHEET!$G$19:$G$20</definedName>
    <definedName name="NDS">TEHSHEET!$M$5</definedName>
    <definedName name="NegativeImpactFee_LOAD_1">'Плата за негативное возд'!$AE$24:$AL$24</definedName>
    <definedName name="NegativeImpactFee_pIns_comm">'Плата за негативное возд'!$AB$45</definedName>
    <definedName name="NONPRIVATE_OWNERSHIP_TYPE">TEHSHEET!$G$13:$G$15</definedName>
    <definedName name="NVVCorrection_LOAD_1">'Корректировка НВВ'!$AF$25:$AG$25</definedName>
    <definedName name="NVVCorrection_LOAD_2">'Корректировка НВВ'!$AH$24:$AH$25</definedName>
    <definedName name="NVVCorrection_pIns_comm">'Корректировка НВВ'!$AB$286</definedName>
    <definedName name="NVVCorrection_vis_flags">'Корректировка НВВ'!$S$25:$S$25</definedName>
    <definedName name="ObjectList_LOAD_1">'Список объектов'!$AE$24:$AH$24</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TEHSHEET!$A$94:$B$183</definedName>
    <definedName name="okopf">'Общие сведения'!$AE$45</definedName>
    <definedName name="okopf_list">DICTIONARIES!$A$2:$A$97</definedName>
    <definedName name="okpo">'Общие сведения'!$AE$44</definedName>
    <definedName name="OKTMO_VS_TYPE_LIST">REESTR_MO!$C$2:$E$263</definedName>
    <definedName name="onlyOneYear">'Общие сведения'!$AE$264</definedName>
    <definedName name="org">'Общие сведения'!$AB$33</definedName>
    <definedName name="org_declaration">'Общие сведения'!$AB$179</definedName>
    <definedName name="ORG_DIRECTOR_POSITION">'Общие сведения'!$AE$51</definedName>
    <definedName name="ORG_EMAIL">'Общие сведения'!$AE$49</definedName>
    <definedName name="ORG_END_DATE">TEHSHEET!$M$12</definedName>
    <definedName name="ORG_EXECUTOR_EMAIL">'Общие сведения'!$AE$156</definedName>
    <definedName name="ORG_EXECUTOR_FIO">'Общие сведения'!$AE$153</definedName>
    <definedName name="ORG_EXECUTOR_PHONE">'Общие сведения'!$AE$155</definedName>
    <definedName name="ORG_EXECUTOR_POSITION">'Общие сведения'!$AE$154</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сведения'!$AE$151</definedName>
    <definedName name="PERIOD">TEHSHEET!$M$8</definedName>
    <definedName name="PERIOD_LENGTH">'Общие сведения'!$AE$26</definedName>
    <definedName name="period_list">TEHSHEET!$S$2:$S$49</definedName>
    <definedName name="pIns_AdminExpenses_1">Административные!$AC:$AC</definedName>
    <definedName name="pIns_Electricity_tariff">ЭЭ!$AB$189</definedName>
    <definedName name="pIns_Electricity_voltage">ЭЭ!$AC:$AC</definedName>
    <definedName name="pIns_Iika">ИИКА!$AB$52</definedName>
    <definedName name="pIns_InvestmentSources_tariff">'ИП + источники'!$AB$203</definedName>
    <definedName name="pIns_List04_tariff">'Условные метры'!$AB$44</definedName>
    <definedName name="pIns_List05_tariff">'Амортизация (аналог)'!$AB$62</definedName>
    <definedName name="pIns_List07_tariff">'Калькуляция (МСА)'!$AB$122</definedName>
    <definedName name="pIns_List15_1">'Калькуляция (МЭОР)'!$AC:$AC</definedName>
    <definedName name="pIns_List15_tariff">'Калькуляция (МЭОР)'!$AB$452</definedName>
    <definedName name="pIns_ObjectList_obj">'Список объектов'!$AC$29</definedName>
    <definedName name="pIns_Purchase_postav">Покупка!$AC:$AC</definedName>
    <definedName name="pIns_Reagents_reagent">'Сырье и материалы'!$AC:$AC</definedName>
    <definedName name="pIns_Reagents_tariff">'Сырье и материалы'!$AB$163</definedName>
    <definedName name="pIns_SalesExpensesGO_1">'Сбытовые расходы ГО'!$AC:$AC</definedName>
    <definedName name="pIns_Taxes_nalog">Налоги!$AC:$AC</definedName>
    <definedName name="pIns_TM_tariff">ТМ!$AB$27</definedName>
    <definedName name="pIns_WageFund_dolj">ФОТ!$AC:$AC</definedName>
    <definedName name="plat_nds">'Общие сведения'!$AE$58</definedName>
    <definedName name="Purchase_LOAD_1">Покупка!$AE$25:$BB$25</definedName>
    <definedName name="Purchase_LOAD_2">Покупка!$BC$24:$BC$25</definedName>
    <definedName name="Purchase_pIns_comm">Покупка!$AB$376</definedName>
    <definedName name="Purchase_vis_flags">Покупка!$AI$17:$BB$17</definedName>
    <definedName name="Reagents_LOAD_1">'Сырье и материалы'!$AE$25:$BB$163</definedName>
    <definedName name="Reagents_LOAD_2">'Сырье и материалы'!$BC$24:$BC$163</definedName>
    <definedName name="Reagents_pIns_comm">'Сырье и материалы'!$AB$168</definedName>
    <definedName name="Reagents_vis_flags">'Сырье и материалы'!$AI$2:$BB$2</definedName>
    <definedName name="REESTR_OBJECT_LIST">REESTR_OBJECT!$A$2:$I$7</definedName>
    <definedName name="REESTR_ORG_RANGE">REESTR_ORG!$A$2:$J$316</definedName>
    <definedName name="REGION">TEHSHEET!$A$1:$A$90</definedName>
    <definedName name="region_id">'Общие сведения'!$AF$22</definedName>
    <definedName name="region_name">'Общие сведения'!$AE$22</definedName>
    <definedName name="Rent_LOAD_1">Аренда!$AE$25:$BB$25</definedName>
    <definedName name="Rent_LOAD_2">Аренда!$BC$24:$BC$25</definedName>
    <definedName name="Rent_pIns_comm">Аренда!$AB$84</definedName>
    <definedName name="Rent_vis_flags">Аренда!$AI$17:$BB$17</definedName>
    <definedName name="roiv_oms">'Общие сведения'!$AB$31</definedName>
    <definedName name="roiv_oms_list">REESTR_ROIV_OMS!$A$2</definedName>
    <definedName name="rst_org_id">'Общие сведения'!$AA$33</definedName>
    <definedName name="SalesExpensesGO_LOAD_1">'Сбытовые расходы ГО'!$AE$25:$AJ$25</definedName>
    <definedName name="SalesExpensesGO_LOAD_2">'Сбытовые расходы ГО'!$AK$24:$AK$25</definedName>
    <definedName name="SalesExpensesGO_pIns_comm">'Сбытовые расходы ГО'!$AB$91</definedName>
    <definedName name="SalesExpensesGO_vis_flags">'Сбытовые расходы ГО'!$AE$17:$AJ$17</definedName>
    <definedName name="SavingsCorrection_LOAD_1">Экономия_корр!$AE$25:$AX$25</definedName>
    <definedName name="SavingsCorrection_LOAD_2">Экономия_корр!$AY$24:$AY$25</definedName>
    <definedName name="SavingsCorrection_pIns_comm">Экономия_корр!$AB$71</definedName>
    <definedName name="SavingsCorrection_vis_flags">Экономия_корр!$AE$2:$AX$2</definedName>
    <definedName name="SAX_PARSER_FEATURE">TEHSHEET!$K$2</definedName>
    <definedName name="Scenarios_LOAD_1">Сценарии!$AO$25:$BF$25</definedName>
    <definedName name="Scenarios_LOAD_2">Сценарии!$AI$25:$AK$25</definedName>
    <definedName name="Scenarios_LOAD_3">Сценарии!$AE$25:$AG$25</definedName>
    <definedName name="Scenarios_LOAD_COM_1">Сценарии!$AH$25:$AH$25</definedName>
    <definedName name="Scenarios_LOAD_COM_2">Сценарии!$AN$25:$AN$25</definedName>
    <definedName name="Scenarios_vis_flags">Сценарии!$AO$2:$BF$2</definedName>
    <definedName name="Scenarios_vis_flags2">Сценарии!$W$25:$W$25</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GO">'Общие сведения'!$AE$60</definedName>
    <definedName name="STATUS_GO_block">'Общие сведения'!$AE$62:$AE$63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del">'Общие сведения'!$AF$180:$AF$250</definedName>
    <definedName name="tariff_type_list">TEHSHEET!$U$2:$U$3</definedName>
    <definedName name="tax_system">'Общие сведения'!$AE$57</definedName>
    <definedName name="Taxes_LOAD_1">Налоги!$AE$25:$BB$25</definedName>
    <definedName name="Taxes_LOAD_2">Налоги!$BC$24:$BC$25</definedName>
    <definedName name="Taxes_pIns_comm">Налоги!$AB$106</definedName>
    <definedName name="Taxes_vis_flags">Налоги!$AI$2:$BB$2</definedName>
    <definedName name="TemplateState">TEHSHEET!$D$2</definedName>
    <definedName name="TerritoryList_mo_column">'Список территорий'!$AD$24:$AD$24</definedName>
    <definedName name="TerritoryList_mr_column">'Список территорий'!$AC$24:$AC$24</definedName>
    <definedName name="TM_LOAD_1">ТМ!$AD$26:$EM$27</definedName>
    <definedName name="TM_pIns_comm">ТМ!$AB$348</definedName>
    <definedName name="TM_vis_flags">ТМ!$AG$2:$FW$2</definedName>
    <definedName name="TM_vis_flags2">ТМ!$T$24:$T$27</definedName>
    <definedName name="tpl_title">'Общие сведения'!$AL$33</definedName>
    <definedName name="tplCode">'Общие сведения'!$AI$23</definedName>
    <definedName name="VALUABLE_STATE_SHARE">TEHSHEET!$G$7:$G$9</definedName>
    <definedName name="VDET_END_DATE">TEHSHEET!$M$16</definedName>
    <definedName name="VDET_START_DATE">TEHSHEET!$M$15</definedName>
    <definedName name="version">Инструкция!$B$3</definedName>
    <definedName name="VOLTAGE_LEVEL_list">TEHSHEET!$Y$2:$Y$7</definedName>
    <definedName name="VOLTAGE_LEVEL2_list">TEHSHEET!$Z$2:$Z$8</definedName>
    <definedName name="VOTV_VDET_LIST">TEHSHEET!$K$27:$K$29</definedName>
    <definedName name="VOTV_VTARIFF">TEHSHEET!$W$6:$W$6</definedName>
    <definedName name="VOTV_VTOV">TEHSHEET!$V$6:$V$11</definedName>
    <definedName name="WageFund_LOAD_1">ФОТ!$AE$25:$AJ$25</definedName>
    <definedName name="WageFund_LOAD_2">ФОТ!$AK$24:$AK$25</definedName>
    <definedName name="WageFund_pIns_comm">ФОТ!$AB$197</definedName>
    <definedName name="WageFund_vis_flags">ФОТ!$AE$17:$AJ$17</definedName>
    <definedName name="wsAdmins_json_coms">Административные!$AC$124:$AC$128</definedName>
    <definedName name="wsAdmins_preload">Административные!$AE$28:$AH$122</definedName>
    <definedName name="wsAdmins_preload_coms">Административные!$AK$28:$AK$122</definedName>
    <definedName name="wsAdmins_preload_full">Административные!$AE$28:$AJ$122</definedName>
    <definedName name="wsAdmins_preload_json">Административные!$AE$28:$AK$122</definedName>
    <definedName name="wsAmor_json_coms">Амортизация!$AC$274:$AC$279</definedName>
    <definedName name="wsAmor_preload">Амортизация!$AE$28:$AH$272</definedName>
    <definedName name="wsAmor_preload_coms">Амортизация!$BC$28:$BC$272</definedName>
    <definedName name="wsAmor_preload_full">Амортизация!$AE$28:$BB$272</definedName>
    <definedName name="wsAmor_preload_json">Амортизация!$AE$28:$BC$272</definedName>
    <definedName name="wsAmorAnalog_json_coms">'Амортизация (аналог)'!$AC$64:$AC$66</definedName>
    <definedName name="wsAmorAnalog_preload">'Амортизация (аналог)'!$AE$28:$AF$62</definedName>
    <definedName name="wsAmorAnalog_preload_json">'Амортизация (аналог)'!$AE$28:$AF$62</definedName>
    <definedName name="wsBalance_json_coms">Баланс!$AC$484:$AC$486</definedName>
    <definedName name="wsBalance_preload">Баланс!$AE$28:$AH$482</definedName>
    <definedName name="wsBalance_preload_coms">Баланс!$BC$28:$BC$482</definedName>
    <definedName name="wsBalance_preload_full">Баланс!$AE$28:$BB$482</definedName>
    <definedName name="wsBalance_preload_json">Баланс!$AE$28:$BC$482</definedName>
    <definedName name="wsComments_json_coms">Комментарии!$AB$24:$AB$33</definedName>
    <definedName name="wsDPR_json_coms">ДПР!$AC$287:$AC$289</definedName>
    <definedName name="wsDPR_preload">ДПР!$AC$31:$AK$285</definedName>
    <definedName name="wsDPR_preload_json">ДПР!$AC$31:$AK$285</definedName>
    <definedName name="wsDPRconc_json_coms">'ДПР (концессии)'!$AC$499:$AC$501</definedName>
    <definedName name="wsDPRconc_preload">'ДПР (концессии)'!$AC$30:$AK$497</definedName>
    <definedName name="wsDPRconc_preload_json">'ДПР (концессии)'!$AC$30:$AK$497</definedName>
    <definedName name="wsEE_json_coms">ЭЭ!$AC$191:$AC$193</definedName>
    <definedName name="wsEe_preload">ЭЭ!$AE$28:$AH$189</definedName>
    <definedName name="wsEE_preload_coms">ЭЭ!$BC$28:$BC$189</definedName>
    <definedName name="wsEE_preload_full">ЭЭ!$AE$28:$BB$189</definedName>
    <definedName name="wsEE_preload_json">ЭЭ!$AE$28:$BC$189</definedName>
    <definedName name="wsGO_json_coms">ГО!$AC$474:$AC$476</definedName>
    <definedName name="wsGO_preload">ГО!$AE$28:$AE$472</definedName>
    <definedName name="wsGO_preload_json">ГО!$AE$28:$AE$472</definedName>
    <definedName name="wsIika_preload_json">ИИКА!$AE$28:$BB$52</definedName>
    <definedName name="wsIPSources_json_coms">'ИП + источники'!$AC$205:$AC$207</definedName>
    <definedName name="wsIPSources_preload">'ИП + источники'!$AE$59:$AJ$203</definedName>
    <definedName name="wsIPSources_preload_coms">'ИП + источники'!$BE$59:$BE$203</definedName>
    <definedName name="wsIPSources_preload_full">'ИП + источники'!$AE$59:$BD$203</definedName>
    <definedName name="wsIPSources_preload_json">'ИП + источники'!$AE$59:$BE$203</definedName>
    <definedName name="wsMeorCalc_json_coms">'Калькуляция (МЭОР)'!$AC$454:$AC$456</definedName>
    <definedName name="wsMeorCalc_preload">'Калькуляция (МЭОР)'!$AE$28:$AI$452</definedName>
    <definedName name="wsMeorCalc_preload_coms">'Калькуляция (МЭОР)'!$AM$28:$AO$452</definedName>
    <definedName name="wsMeorCalc_preload_full">'Калькуляция (МЭОР)'!$AE$28:$AL$452</definedName>
    <definedName name="wsMeorCalc_preload_json">'Калькуляция (МЭОР)'!$AE$28:$AO$452</definedName>
    <definedName name="wsMiCalc_json_coms">'Калькуляция (МИ)'!$AC$749:$AC$752</definedName>
    <definedName name="wsMiCalc_preload">'Калькуляция (МИ)'!$AE$28:$AI$747</definedName>
    <definedName name="wsMiCalc_preload_coms">'Калькуляция (МИ)'!$BN$28:$BP$747</definedName>
    <definedName name="wsMiCalc_preload_full">'Калькуляция (МИ)'!$AE$28:$BM$747</definedName>
    <definedName name="wsMiCalc_preload_json">'Калькуляция (МИ)'!$AE$28:$BP$747</definedName>
    <definedName name="wsMiCalcCorr_json_coms">'Калькуляция (МИ корр)'!$AC$749:$AC$751</definedName>
    <definedName name="wsMiCalcCorr_preload">'Калькуляция (МИ корр)'!$AE$28:$AI$747</definedName>
    <definedName name="wsMiCalcCorr_preload_coms">'Калькуляция (МИ корр)'!$BN$28:$BP$747</definedName>
    <definedName name="wsMiCalcCorr_preload_full">'Калькуляция (МИ корр)'!$AE$28:$BM$747</definedName>
    <definedName name="wsMiCalcCorr_preload_json">'Калькуляция (МИ корр)'!$AE$28:$BP$747</definedName>
    <definedName name="wsMsaCalc_json_coms">'Калькуляция (МСА)'!$AC$126:$AC$128</definedName>
    <definedName name="wsMsaCalc_preload">'Калькуляция (МСА)'!$AE$25</definedName>
    <definedName name="wsMsaCalc_preload_full">'Калькуляция (МСА)'!$AE$28:$AF$122</definedName>
    <definedName name="wsMsaCalc_preload_json">'Калькуляция (МСА)'!$AE$28:$AF$122</definedName>
    <definedName name="wsNegativePays_json_coms">'Плата за негативное возд'!$AC$43:$AC$45</definedName>
    <definedName name="wsNegativePays_preload">'Плата за негативное возд'!$AE$27:$AL$41</definedName>
    <definedName name="wsNegativePays_preload_json">'Плата за негативное возд'!$AE$27:$AL$41</definedName>
    <definedName name="wsNvvCorr_json_coms">'Корректировка НВВ'!$AC$284:$AC$286</definedName>
    <definedName name="wsNvvCorr_preload">'Корректировка НВВ'!$AF$28:$AG$282</definedName>
    <definedName name="wsNvvCorr_preload_coms">'Корректировка НВВ'!$AH$28:$AH$282</definedName>
    <definedName name="wsNvvCorr_preload_json">'Корректировка НВВ'!$AF$28:$AH$282</definedName>
    <definedName name="wsObjectList_preload_json">'Список объектов'!$AH$28:$AH$346</definedName>
    <definedName name="wsObjects_json_coms">'Перечень объектов'!$AC$89:$AC$91</definedName>
    <definedName name="wsObjects_preload">'Перечень объектов'!$AF$28:$AG$87</definedName>
    <definedName name="wsObjects_preload_full">'Перечень объектов'!$AF$28:$AJ$87</definedName>
    <definedName name="wsObjects_preload_json">'Перечень объектов'!$AF$28:$AJ$87</definedName>
    <definedName name="wsPurchase_json_coms">Покупка!$AC$374:$AC$376</definedName>
    <definedName name="wsPurchase_preload">Покупка!$AE$28:$AH$372</definedName>
    <definedName name="wsPurchase_preload_coms">Покупка!$BC$28:$BC$372</definedName>
    <definedName name="wsPurchase_preload_full">Покупка!$AE$28:$BB$372</definedName>
    <definedName name="wsPurchase_preload_json">Покупка!$AE$28:$BC$372</definedName>
    <definedName name="wsReagents_json_coms">'Сырье и материалы'!$AC$165:$AC$168</definedName>
    <definedName name="wsReagents_preload">'Сырье и материалы'!$AE$28:$AH$162</definedName>
    <definedName name="wsReagents_preload_coms">'Сырье и материалы'!$BC$28:$BC$162</definedName>
    <definedName name="wsReagents_preload_full">'Сырье и материалы'!$AE$28:$BB$162</definedName>
    <definedName name="wsReagents_preload_json">'Сырье и материалы'!$AE$28:$BC$162</definedName>
    <definedName name="wsRent_json_coms">Аренда!$AC$79:$AC$84</definedName>
    <definedName name="wsRent_preload">Аренда!$AE$28:$AH$77</definedName>
    <definedName name="wsRent_preload_coms">Аренда!$BC$28:$BC$77</definedName>
    <definedName name="wsRent_preload_full">Аренда!$AE$28:$BB$77</definedName>
    <definedName name="wsRent_preload_json">Аренда!$AE$28:$BC$77</definedName>
    <definedName name="wsSavingsCorr_json_coms">Экономия_корр!$AC$69:$AC$71</definedName>
    <definedName name="wsSavingsCorr_preload">Экономия_корр!$AE$25</definedName>
    <definedName name="wsSavingsCorr_preload_coms">Экономия_корр!$AY$28:$AY$67</definedName>
    <definedName name="wsSavingsCorr_preload_full">Экономия_корр!$AE$28:$AX$67</definedName>
    <definedName name="wsSavingsCorr_preload_json">Экономия_корр!$AE$28:$AY$67</definedName>
    <definedName name="wsScenarios_preload">Сценарии!$AE$29:$AI$163</definedName>
    <definedName name="wsScenarios_preload_coms">Сценарии!$AH$29:$AN$163</definedName>
    <definedName name="wsScenarios_preload_full">Сценарии!$AE$29:$BF$163</definedName>
    <definedName name="wsScenarios_preload_json">Сценарии!$AE$29:$BF$163</definedName>
    <definedName name="wsSellingCosts_json_coms">'Сбытовые расходы ГО'!$AC$89:$AC$91</definedName>
    <definedName name="wsSellingCosts_preload">'Сбытовые расходы ГО'!$AE$28:$AH$87</definedName>
    <definedName name="wsSellingCosts_preload_coms">'Сбытовые расходы ГО'!$AK$28:$AK$87</definedName>
    <definedName name="wsSellingCosts_preload_full">'Сбытовые расходы ГО'!$AE$28:$AJ$87</definedName>
    <definedName name="wsSellingCosts_preload_json">'Сбытовые расходы ГО'!$AE$28:$AK$87</definedName>
    <definedName name="wsTaxes_json_coms">Налоги!$AC$103:$AC$106</definedName>
    <definedName name="wsTaxes_preload">Налоги!$AE$28:$AH$101</definedName>
    <definedName name="wsTaxes_preload_coms">Налоги!$BC$28:$BC$101</definedName>
    <definedName name="wsTaxes_preload_full">Налоги!$AE$28:$BB$101</definedName>
    <definedName name="wsTaxes_preload_json">Налоги!$AE$28:$BC$101</definedName>
    <definedName name="wsTerritoryList_preload">'Список территорий'!$AC$27:$AG$45</definedName>
    <definedName name="wsTerritoryList_preload_json">'Список территорий'!$AF$27:$AG$45</definedName>
    <definedName name="wsTM_json_coms">ТМ!$AC$346:$AC$348</definedName>
    <definedName name="wsTM_preload">ТМ!$AD$26:$AD$26</definedName>
    <definedName name="wsTM_preload_full">ТМ!$AD$34:$FW$344</definedName>
    <definedName name="wsTM_preload_json">ТМ!$AD$34:$FW$344</definedName>
    <definedName name="wsUslMetr_json_coms">'Условные метры'!$AC$46:$AC$48</definedName>
    <definedName name="wsUslMetr_preload">'Условные метры'!$AC$30:$AP$44</definedName>
    <definedName name="wsUslMetr_preload_json">'Условные метры'!$AD$30:$AP$44</definedName>
    <definedName name="wsWageFund_json_coms">ФОТ!$AC$190:$AC$197</definedName>
    <definedName name="wsWageFund_preload">ФОТ!$AE$28:$AH$188</definedName>
    <definedName name="wsWageFund_preload_coms">ФОТ!$AK$28:$AK$188</definedName>
    <definedName name="wsWageFund_preload_full">ФОТ!$AE$28:$AJ$188</definedName>
    <definedName name="wsWageFund_preload_json">ФОТ!$AE$28:$AK$188</definedName>
    <definedName name="XML_MR_MO_OKTMO_LIST_TAG_NAMES">TEHSHEET!$K$5:$K$11</definedName>
    <definedName name="YEAR_LIST">TEHSHEET!$Q$2:$Q$20</definedName>
    <definedName name="year_list2">TEHSHEET!$Q$11:$Q$20</definedName>
    <definedName name="YES_NO">TEHSHEET!$G$2:$G$3</definedName>
    <definedName name="isOrgDeclare">'Общие сведения'!$G$179</definedName>
    <definedName name="wsIPSources_preload_one_block">'ИП + источники'!$AE$29:$AJ$57</definedName>
    <definedName name="wsIPSources_preload_coms_one_block">'ИП + источники'!$BE$29:$BE$57</definedName>
    <definedName name="wsIPSources_preload_full_one_block">'ИП + источники'!$AE$29:$BD$57</definedName>
    <definedName name="wsIPSources_preload_json_one_block">'ИП + источники'!$AE$29:$BE$57</definedName>
    <definedName name="org_id">'Общие сведения'!$Z$33</definedName>
    <definedName name="fas_region_id">'Общие сведения'!$AA$22</definedName>
    <definedName name="Scenarios_NDS_common_json_preload">Сценарии!$AE$26:$BF$26</definedName>
    <definedName name="_xlnm._FilterDatabase" localSheetId="4">'Общие сведения'!#REF!</definedName>
    <definedName name="_xlnm._FilterDatabase" localSheetId="5">'Список территорий'!$AA$21:$AG$22</definedName>
  </definedNames>
  <calcPr calcId="0" iterate="0" iterateCount="100" iterateDelta="0.001"/>
</workbook>
</file>

<file path=xl/comments1.xml><?xml version="1.0" encoding="utf-8"?>
<comments xmlns="http://schemas.openxmlformats.org/spreadsheetml/2006/main">
  <authors>
    <author>Author</author>
  </authors>
  <commentList>
    <comment ref="AB33"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38"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39"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41"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42"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43"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44"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45"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47"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46"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48"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49"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50"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51"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52"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57"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58"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56"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59"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60"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53" authorId="0">
      <text>
        <r>
          <rPr>
            <sz val="9"/>
            <color indexed="81"/>
            <rFont val="Arial"/>
            <family val="2"/>
          </rPr>
          <t>Для изменения данных об участии в организации необходимо обновить информацию в карточке реестра организаций</t>
        </r>
      </text>
    </comment>
    <comment ref="AE54" authorId="0">
      <text>
        <r>
          <rPr>
            <sz val="9"/>
            <color indexed="81"/>
            <rFont val="Arial"/>
            <family val="2"/>
          </rPr>
          <t>Для изменения данных об участии в организации необходимо обновить информацию в карточке реестра организаций</t>
        </r>
      </text>
    </comment>
    <comment ref="AE55" authorId="0">
      <text>
        <r>
          <rPr>
            <sz val="9"/>
            <color indexed="81"/>
            <rFont val="Arial"/>
            <family val="2"/>
          </rPr>
          <t>Для изменения данных об участии в организации необходимо обновить информацию в карточке реестра организаций</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<sst xmlns="http://schemas.openxmlformats.org/spreadsheetml/2006/main" count="72915" uniqueCount="7137">
  <si>
    <t>Расположение</t>
  </si>
  <si>
    <t>Тип</t>
  </si>
  <si>
    <t>Комментарий</t>
  </si>
  <si>
    <t xml:space="preserve"> (требуется обновление)</t>
  </si>
  <si>
    <t>Код отчёта: EXPERT.VSVO.2026.EIAS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</si>
  <si>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</si>
  <si>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</si>
  <si>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</si>
  <si>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</si>
  <si>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</si>
  <si>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</si>
  <si>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</si>
  <si>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</si>
  <si>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</si>
  <si>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</si>
  <si>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обратитесь к ответственному за поддержание реестра Вашего региона либо в службу поддержки пользователей ФГИС «ТАРИФ». В случае возникновения ошибок или вопросов, пожалуйста, также оставьте обращение на портале поддержки ФГИС «ТАРИФ» по адресу:</t>
  </si>
  <si>
    <t>https://support.tarif.gov.ru/</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</si>
  <si>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</si>
  <si>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</si>
  <si>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</si>
  <si>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</si>
  <si>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Понятия, используемые в Типовом экспертном заключении</t>
  </si>
  <si>
    <t>№ п/п</t>
  </si>
  <si>
    <t>Используемое понятие</t>
  </si>
  <si>
    <t>Расшифровка (пояснения)</t>
  </si>
  <si>
    <t>факт по данным организации</t>
  </si>
  <si>
    <t>фактические значения расходов в соответствии с данными раздельного учета затрат по видам деятельности организаций, осуществляющих горячее водоснабжение, холодное водоснабжение и (или) водоотведение</t>
  </si>
  <si>
    <t>факт, принятый органом регулирования</t>
  </si>
  <si>
    <r>
      <t xml:space="preserve">фактические значения расходов в соответствии с данными бухгалтерской и статистической отчетности регулируемой организации за соответствующий период, с учетом данных, полученных по результатам проведенных органом регулирования тарифов мероприятий по контролю, предусмотренных Постановление Правительства РФ </t>
    </r>
    <r>
      <rPr>
        <b/>
        <charset val="204"/>
        <color rgb="FFFF0000"/>
        <family val="2"/>
        <rFont val="Tahoma"/>
        <sz val="9"/>
        <u/>
      </rPr>
      <t>от 27.06.2013 N 543 (ред. от 17.08.2020)</t>
    </r>
    <r>
      <rPr>
        <charset val="204"/>
        <family val="2"/>
        <rFont val="Tahoma"/>
        <sz val="9"/>
      </rPr>
      <t xml:space="preserve"> "О государственном контроле (надзоре) в области регулируемых государством цен (тарифов).</t>
    </r>
  </si>
  <si>
    <t>Список листов</t>
  </si>
  <si>
    <t>* для перехода на лист дважды кликните по названию</t>
  </si>
  <si>
    <t>скрыть</t>
  </si>
  <si>
    <t>Общие сведения</t>
  </si>
  <si>
    <t xml:space="preserve"> Сведения о регулируемой организации_x000D_
 Информация о рассмотрении дела об установлении тарифов</t>
  </si>
  <si>
    <t>Список территорий</t>
  </si>
  <si>
    <t xml:space="preserve"> Перечень муниципальных образований, на территории которых организация оказывает услуги холодного водоснабжения / водоотведения</t>
  </si>
  <si>
    <t>Перечень объектов</t>
  </si>
  <si>
    <t xml:space="preserve"> Перечень объектов организации, с помощью которых организация оказывает услуги холодного водоснабжения/ водоотведения</t>
  </si>
  <si>
    <t>Список объектов</t>
  </si>
  <si>
    <t xml:space="preserve"> Правоустанавливающие и подтверждающие документы на объекты коммунальной инфраструктуры</t>
  </si>
  <si>
    <t>Сценарии</t>
  </si>
  <si>
    <t xml:space="preserve"> Ключевые сценарные показатели</t>
  </si>
  <si>
    <t>ИИКА</t>
  </si>
  <si>
    <t xml:space="preserve"> Индекс изменения количества активов</t>
  </si>
  <si>
    <t>Баланс</t>
  </si>
  <si>
    <t xml:space="preserve"> Баланс водоснабжения / водоотведения</t>
  </si>
  <si>
    <t>Условные метры</t>
  </si>
  <si>
    <t xml:space="preserve"> Расчет условных метров водопроводной (канализационной) сети</t>
  </si>
  <si>
    <t>Сырье и материалы</t>
  </si>
  <si>
    <t xml:space="preserve"> Расходы на реагенты</t>
  </si>
  <si>
    <t>ЭЭ</t>
  </si>
  <si>
    <t xml:space="preserve"> Расходы на электрическую энергию</t>
  </si>
  <si>
    <t>Амортизация</t>
  </si>
  <si>
    <t xml:space="preserve"> Амортизация основных средств и нематериальных активов, относимых к объектам централизованной системы        водоснабжения/водоотведения</t>
  </si>
  <si>
    <t>отобразить</t>
  </si>
  <si>
    <t>Амортизация (аналог)</t>
  </si>
  <si>
    <t xml:space="preserve"> Нормативный уровень расходов на амортизацию основных средств и нематериальных активов, относимых к объектам централизованой системы водоснабжения / водоотведения, используемым для транспортировки воды / сточных вод</t>
  </si>
  <si>
    <t>Аренда</t>
  </si>
  <si>
    <t xml:space="preserve"> Аренда</t>
  </si>
  <si>
    <t>Покупка</t>
  </si>
  <si>
    <t xml:space="preserve"> Расходы на оплату товаров (услуг, работ), приобретаемых у других организаций</t>
  </si>
  <si>
    <t>ФОТ</t>
  </si>
  <si>
    <t xml:space="preserve"> Расходы на оплату труда и страховые взносы на обязательное социальное страхование основного производственного персонала, в том числе налоги и сборы с фонда оплаты труда</t>
  </si>
  <si>
    <t>Административные</t>
  </si>
  <si>
    <t xml:space="preserve"> Административные расходы</t>
  </si>
  <si>
    <t>Сбытовые расходы ГО</t>
  </si>
  <si>
    <t xml:space="preserve"> Сбытовые расходы гарантирующей организации</t>
  </si>
  <si>
    <t>Налоги</t>
  </si>
  <si>
    <t xml:space="preserve"> Расшифровка по налогам и платежам</t>
  </si>
  <si>
    <t>ИП + источники</t>
  </si>
  <si>
    <t xml:space="preserve"> План и факт по источникам финансирования инвестиционной программы</t>
  </si>
  <si>
    <t>Экономия_корр</t>
  </si>
  <si>
    <t xml:space="preserve"> Расчет экономии средств, достигнутой в результате снижения расходов предыдущего долгосрочного периода регулирования</t>
  </si>
  <si>
    <t>Плата за негативное возд</t>
  </si>
  <si>
    <t xml:space="preserve"> Плата за негативное воздействие на работу централизованных систем водоотведения</t>
  </si>
  <si>
    <t>Корректировка НВВ</t>
  </si>
  <si>
    <t xml:space="preserve"> Расчет показателей корректировки необходимой валовой выручки</t>
  </si>
  <si>
    <t>Калькуляция (МЭОР)</t>
  </si>
  <si>
    <t xml:space="preserve"> Расчет тарифа методом экономически обоснованных расходов</t>
  </si>
  <si>
    <t>Калькуляция (МИ)</t>
  </si>
  <si>
    <t xml:space="preserve"> Расчет тарифа методом индексации</t>
  </si>
  <si>
    <t>Калькуляция (МИ корр)</t>
  </si>
  <si>
    <t>ТМ</t>
  </si>
  <si>
    <t xml:space="preserve"> Тарифное меню</t>
  </si>
  <si>
    <t>ДПР</t>
  </si>
  <si>
    <t xml:space="preserve"> Долгосрочные параметры регулирования тарифов</t>
  </si>
  <si>
    <t>ДПР (концессии)</t>
  </si>
  <si>
    <t xml:space="preserve"> Долгосрочные параметры регулирования тарифов (концессии)</t>
  </si>
  <si>
    <t>ГО</t>
  </si>
  <si>
    <t xml:space="preserve"> Калькуляция расходов гарантирующей организации</t>
  </si>
  <si>
    <t>Калькуляция (МСА)</t>
  </si>
  <si>
    <t xml:space="preserve"> Расчет тарифа на транспортировку холодной воды / сточных вод методом сравнения аналогов</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</si>
  <si>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</si>
  <si>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</si>
  <si>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</si>
  <si>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</si>
  <si>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</si>
  <si>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</si>
  <si>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</si>
  <si>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</si>
  <si>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</si>
  <si>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</si>
  <si>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</si>
  <si>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</si>
  <si>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</si>
  <si>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</si>
  <si>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</si>
  <si>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</si>
  <si>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</si>
  <si>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</si>
  <si>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</si>
  <si>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</si>
  <si>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"Теплоэнерго"</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</si>
  <si>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</si>
  <si>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</si>
  <si>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"Теплоэнерго"</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</si>
  <si>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</si>
  <si>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</si>
  <si>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ОГРН</t>
  </si>
  <si>
    <t>1254200008787</t>
  </si>
  <si>
    <t>ИНН</t>
  </si>
  <si>
    <t>4214046200</t>
  </si>
  <si>
    <t>КПП</t>
  </si>
  <si>
    <t>421401001</t>
  </si>
  <si>
    <t>Код по ОКПО</t>
  </si>
  <si>
    <t>89453549</t>
  </si>
  <si>
    <t>L2_7</t>
  </si>
  <si>
    <t>Организационно-правовая форма</t>
  </si>
  <si>
    <t>1 23 00 | Общества с ограниченной ответственностью</t>
  </si>
  <si>
    <t>L2_8</t>
  </si>
  <si>
    <t>Юридический адрес</t>
  </si>
  <si>
    <t>652800, Кемеровская область- Кузбасс, г.о. Осинниковский, г. Осинники, ул. Кирова 2-й переулок, зд. 1/1</t>
  </si>
  <si>
    <t>L2_9</t>
  </si>
  <si>
    <t>Фактический адрес</t>
  </si>
  <si>
    <t>L2_10</t>
  </si>
  <si>
    <t>Телефон организации</t>
  </si>
  <si>
    <t>+78002008912</t>
  </si>
  <si>
    <t>L2_11</t>
  </si>
  <si>
    <t>e-mail</t>
  </si>
  <si>
    <t>teploenergo_osinniki@list.ru</t>
  </si>
  <si>
    <t>L2_12</t>
  </si>
  <si>
    <t>ФИО руководителя</t>
  </si>
  <si>
    <t>Бишлер Павел Владимирович</t>
  </si>
  <si>
    <t>L2_13</t>
  </si>
  <si>
    <t>Должность руководителя</t>
  </si>
  <si>
    <t>Директор</t>
  </si>
  <si>
    <t>L2_14</t>
  </si>
  <si>
    <t>Официальный сайт регулируемой организации в сети "Интернет"</t>
  </si>
  <si>
    <t>energoosinniki.ru</t>
  </si>
  <si>
    <t>L2_15</t>
  </si>
  <si>
    <t>Государственное и (или) муниципальное участие в юридическом лице</t>
  </si>
  <si>
    <t>Наличие</t>
  </si>
  <si>
    <t>нет</t>
  </si>
  <si>
    <t>L3_1</t>
  </si>
  <si>
    <t>Сведения о доле, %</t>
  </si>
  <si>
    <t>0%</t>
  </si>
  <si>
    <t>L3_2</t>
  </si>
  <si>
    <t>Преобладающий тип собственности в юридическом лице</t>
  </si>
  <si>
    <t>частная</t>
  </si>
  <si>
    <t>L3_3</t>
  </si>
  <si>
    <t>Наличие раздельного учёта затрат по регулируемым видам деятельности в сфере холодного водоснабжения / водоотведения</t>
  </si>
  <si>
    <t>да</t>
  </si>
  <si>
    <t>L4_1</t>
  </si>
  <si>
    <t>Система налогообложения</t>
  </si>
  <si>
    <t>ОСНО (общая система налогообложения)</t>
  </si>
  <si>
    <t>Плательщик НДС</t>
  </si>
  <si>
    <t>L4_2</t>
  </si>
  <si>
    <t>Является ли деятельность в сфере холодного водоснабжения / водоотведения профильным видом деятельности</t>
  </si>
  <si>
    <t>L4_3</t>
  </si>
  <si>
    <t>STATUS_GO</t>
  </si>
  <si>
    <t>Наличие статуса гарантирующей организации (ГО)</t>
  </si>
  <si>
    <t>L4_4</t>
  </si>
  <si>
    <t>URL-ссылка на документ, подтверждающий статус ГО</t>
  </si>
  <si>
    <t>https://portal.eias.ru/Portal/DownloadPage.aspx?type=12&amp;guid=582c6e1a-43d9-49be-baf0-e71f546aaa03</t>
  </si>
  <si>
    <t>et_2</t>
  </si>
  <si>
    <t>×</t>
  </si>
  <si>
    <t>go</t>
  </si>
  <si>
    <t>{                  _x000D_
         funcDyn: 'msgone',_x000D_
         blok: '',_x000D_
         wsCross: '',_x000D_
         linkFormula: '',_x000D_
         levelDyn: ''_x000D_
}</t>
  </si>
  <si>
    <t>Добавить</t>
  </si>
  <si>
    <t>Наименование гарантирующей организации (ГО)</t>
  </si>
  <si>
    <t>L9_1</t>
  </si>
  <si>
    <t>ИНН ГО</t>
  </si>
  <si>
    <t>L9_2</t>
  </si>
  <si>
    <t>КПП ГО</t>
  </si>
  <si>
    <t>L9_3</t>
  </si>
  <si>
    <t>Реквизиты письма ГО о направлении данных для расчета</t>
  </si>
  <si>
    <t>L9_4</t>
  </si>
  <si>
    <t>ГО плательщик НДС</t>
  </si>
  <si>
    <t>L9_5</t>
  </si>
  <si>
    <t>Наличие программы в области энергосбережения и повышения энергетической эффективности</t>
  </si>
  <si>
    <t>L4_6</t>
  </si>
  <si>
    <t>HAS_DOC2</t>
  </si>
  <si>
    <t>Наличие программы комплексного развития</t>
  </si>
  <si>
    <t>L4_7</t>
  </si>
  <si>
    <t>Реквизиты решения</t>
  </si>
  <si>
    <t>Наименование</t>
  </si>
  <si>
    <t>Вид</t>
  </si>
  <si>
    <t>Номер</t>
  </si>
  <si>
    <t>Дата принятия</t>
  </si>
  <si>
    <t>URL-ссылка на решение</t>
  </si>
  <si>
    <t>HAS_DOC3</t>
  </si>
  <si>
    <t>Наличие схемы холодного водоснабжения / водоотведения</t>
  </si>
  <si>
    <t>L4_8</t>
  </si>
  <si>
    <t>HAS_DOC4</t>
  </si>
  <si>
    <t>Наличие закона субъекта по льготным тарифам</t>
  </si>
  <si>
    <t>L4_9</t>
  </si>
  <si>
    <t>"О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</si>
  <si>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</si>
  <si>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</si>
  <si>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https://portal.eias.ru/Portal/DownloadPage.aspx?type=12&amp;guid=4c962a83-8b92-4503-9ba5-a0180547bc71</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</si>
  <si>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</si>
  <si>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</si>
  <si>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</si>
  <si>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</si>
  <si>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 xml:space="preserve">    {
      funcDyn: 'addIp',
      blok: '',
      wsCross: '',
      linkFormula: '',
      levelDyn: '',
      addedValue: 'GeneralInfo_pIns5'
    }
    </t>
  </si>
  <si>
    <t>HAS_DOC6</t>
  </si>
  <si>
    <t>L4_11</t>
  </si>
  <si>
    <t xml:space="preserve">    {
      funcDyn: 'addIp',
      blok: '',
      wsCross: '',
      linkFormula: '',
      levelDyn: '',
      addedValue: 'GeneralInfo_pIns6'
    }
    </t>
  </si>
  <si>
    <t>HAS_DOC7</t>
  </si>
  <si>
    <t>L4_12</t>
  </si>
  <si>
    <t>Дата начала реализации / действия концессионного соглашения</t>
  </si>
  <si>
    <t>Дата окончания реализации / действия концессионного соглашения</t>
  </si>
  <si>
    <t xml:space="preserve">    {
      funcDyn: 'addIp',
      blok: '',
      wsCross: '',
      linkFormula: '',
      levelDyn: '',
      addedValue: 'GeneralInfo_pIns7'
    }
    </t>
  </si>
  <si>
    <t>Иные сведения</t>
  </si>
  <si>
    <t>L4_13</t>
  </si>
  <si>
    <t>Полезный отпуск рассчитывается с учётом собственных нужд предприятия _x000D_
(п.8.1 баланса ВС и п.3 баланса ВО)</t>
  </si>
  <si>
    <t>L4_14</t>
  </si>
  <si>
    <t/>
  </si>
  <si>
    <t>Данные об ответственном исполнителе от организации</t>
  </si>
  <si>
    <t>ФИО исполнителя</t>
  </si>
  <si>
    <t>Филкова Елена Витальевна</t>
  </si>
  <si>
    <t>L5_1</t>
  </si>
  <si>
    <t>Должность исполнителя</t>
  </si>
  <si>
    <t>начальник планово-экономического отдела</t>
  </si>
  <si>
    <t>L5_2</t>
  </si>
  <si>
    <t>Контактный телефон исполнителя</t>
  </si>
  <si>
    <t>8-951-616-43-70</t>
  </si>
  <si>
    <t>L5_3</t>
  </si>
  <si>
    <t>e-mail исполнителя</t>
  </si>
  <si>
    <t>filkova_1990@mail.ru</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</si>
  <si>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</si>
  <si>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</si>
  <si>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</si>
  <si>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</si>
  <si>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</si>
  <si>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</si>
  <si>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5. Федеральный закон от 07.12.2011 № 416-ФЗ "О водоснабжении и водоотведении";</t>
  </si>
  <si>
    <t>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t>
  </si>
  <si>
    <t>7. Постановление Правительства Российской Федерации от 13.05.2013 № 406 "О государственном регулировании тарифов в сфере водоснабжения и водоотведения";</t>
  </si>
  <si>
    <t>8. Постановление Правительства Российской Федерации от 29.07.2013 № 641 "Об инвестиционных и производственных программах организаций, осуществляющих деятельность в сфере водоснабжения и водоотведения";</t>
  </si>
  <si>
    <t>9. Методические указания по расчету регулируемых тарифов в сфере водоснабжения и водоотведения, утвержденные приказом ФСТ России от 27.12.2013 № 1746-э;</t>
  </si>
  <si>
    <t>10. Регламент установления регулируемых тарифов в сфере водоснабжения и водоотведения, утвержденный приказом ФСТ России от 16.07.2014 № 1154-э;</t>
  </si>
  <si>
    <t>11. Приказ Минстроя России от 29.07.2022 № 623/пр "Об утверждении Порядка ведения раздельного учета затрат по видам деятельности организаций, осуществляющих горячее водоснабжение, холодное водоснабжение и (или) водоотведение, и единой системы классификации таких затрат";</t>
  </si>
  <si>
    <t>12. Приказ Минстроя России от 04.04.2014 № 162/пр "Об утверждении перечня показателей надежности, качества, энергетической эффективности объектов централизованных систем горячего водоснабжения, холодного водоснабжения и (или) водоотведения, порядка и правил определения плановых значений и фактических значений таких показателей";</t>
  </si>
  <si>
    <t>13. Приказ Минстроя России от 23.03.2020 №154/пр "Об утверждении типовых отраслевых норм численности работников водопроводно-канализационного хозяйства";</t>
  </si>
  <si>
    <t>2. Информация о рассмотрении дела об установлении тарифов</t>
  </si>
  <si>
    <t>Организация регулируется впервые</t>
  </si>
  <si>
    <t>L6_1</t>
  </si>
  <si>
    <t>Реквизиты решения, которым установлены действующие тарифы</t>
  </si>
  <si>
    <t>L6_2</t>
  </si>
  <si>
    <t>L6_3</t>
  </si>
  <si>
    <t>L6_4</t>
  </si>
  <si>
    <t>et_GeneralInfo_tariff</t>
  </si>
  <si>
    <t>Заявление организации</t>
  </si>
  <si>
    <t>isTransp</t>
  </si>
  <si>
    <t>et_1</t>
  </si>
  <si>
    <t>Номер тарифа (идентификатор)</t>
  </si>
  <si>
    <t>Вид тарифа</t>
  </si>
  <si>
    <t>Тип тарифа</t>
  </si>
  <si>
    <t>Вид(-ы) деятельности</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</si>
  <si>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</si>
  <si>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</si>
  <si>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</si>
  <si>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</si>
  <si>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</si>
  <si>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</si>
  <si>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</si>
  <si>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Водоснабжение</t>
  </si>
  <si>
    <t>ХВС.42.33000834.0001</t>
  </si>
  <si>
    <t>тариф на питьевую воду</t>
  </si>
  <si>
    <t>одноставочный</t>
  </si>
  <si>
    <t>Производство (подъём / добыча) воды :: Очистка воды :: Транспортировка воды :: Сбыт (распределение) воды</t>
  </si>
  <si>
    <t>питьевая вода</t>
  </si>
  <si>
    <t>Доп. признак не требуется</t>
  </si>
  <si>
    <t>№ 4626</t>
  </si>
  <si>
    <t>2</t>
  </si>
  <si>
    <t>ХВС.42.33000834.0002</t>
  </si>
  <si>
    <t>Очистка воды :: Транспортировка воды :: Сбыт (распределение) воды</t>
  </si>
  <si>
    <t>№ 4627</t>
  </si>
  <si>
    <t>3</t>
  </si>
  <si>
    <t>Водоотведение</t>
  </si>
  <si>
    <t>ВО.42.33000834.0001</t>
  </si>
  <si>
    <t>тариф на водоотведение</t>
  </si>
  <si>
    <t>Приём сточных вод :: Очистка сточных вод :: Транспортировка сточных вод</t>
  </si>
  <si>
    <t>без дифференциации</t>
  </si>
  <si>
    <t>4</t>
  </si>
  <si>
    <t>ВО.42.33000834.0002</t>
  </si>
  <si>
    <t>et_GeneralInfo_go</t>
  </si>
  <si>
    <t>{                  _x000D_
         funcDyn: 'tariff',_x000D_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</si>
  <si>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</si>
  <si>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</si>
  <si>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</si>
  <si>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82-ВС и ВО от 23.07.2026</t>
  </si>
  <si>
    <t>L7_2</t>
  </si>
  <si>
    <t>ФИО уполномоченного по делу</t>
  </si>
  <si>
    <t>Давидович Елена Юрьевна</t>
  </si>
  <si>
    <t>L7_3</t>
  </si>
  <si>
    <t>Должность уполномоченного по делу</t>
  </si>
  <si>
    <t>Главный консультант</t>
  </si>
  <si>
    <t>L7_4</t>
  </si>
  <si>
    <t>Контактный телефон уполномоченного по делу</t>
  </si>
  <si>
    <t>8-3842-36-65-85</t>
  </si>
  <si>
    <t>L7_5</t>
  </si>
  <si>
    <t>e-mail уполномоченного по делу</t>
  </si>
  <si>
    <t>davidovich-eyu@recko.ako.ru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</si>
  <si>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</si>
  <si>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</si>
  <si>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</si>
  <si>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</si>
  <si>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</si>
  <si>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L9</t>
  </si>
  <si>
    <t>tariffNum</t>
  </si>
  <si>
    <t>nomer_name</t>
  </si>
  <si>
    <t>ren_2</t>
  </si>
  <si>
    <t>pok_js</t>
  </si>
  <si>
    <t>PJ_DYN</t>
  </si>
  <si>
    <t>PJ_NAME</t>
  </si>
  <si>
    <t>PJ_NAME_MO</t>
  </si>
  <si>
    <t>PJ_NAME_OKTMO</t>
  </si>
  <si>
    <t>dyn_add</t>
  </si>
  <si>
    <t>dyn_fill</t>
  </si>
  <si>
    <t>pok</t>
  </si>
  <si>
    <t>l1</t>
  </si>
  <si>
    <t>l2</t>
  </si>
  <si>
    <t>l3</t>
  </si>
  <si>
    <t>l5</t>
  </si>
  <si>
    <t>l4</t>
  </si>
  <si>
    <t>PJ_TERR</t>
  </si>
  <si>
    <t>dyn_names</t>
  </si>
  <si>
    <t>Муниципальный район</t>
  </si>
  <si>
    <t>Муниципальное образование</t>
  </si>
  <si>
    <t>15</t>
  </si>
  <si>
    <t>30</t>
  </si>
  <si>
    <t>11,25</t>
  </si>
  <si>
    <t>28,5</t>
  </si>
  <si>
    <t>ОКТМО</t>
  </si>
  <si>
    <t xml:space="preserve">Тип муниципального образования </t>
  </si>
  <si>
    <t>P_TERR</t>
  </si>
  <si>
    <t>DYN_MRMO</t>
  </si>
  <si>
    <t>!== 0</t>
  </si>
  <si>
    <t>{                  _x000D_
         funcDyn: 'mrmo',_x000D_
         blok: '',_x000D_
         wsCross: '',_x000D_
         linkFormula: '',_x000D_
         levelDyn: '1'_x000D_
}</t>
  </si>
  <si>
    <t>Добавить территорию</t>
  </si>
  <si>
    <t>город Осинники</t>
  </si>
  <si>
    <t>32734000</t>
  </si>
  <si>
    <t>город Калтан</t>
  </si>
  <si>
    <t>32715000</t>
  </si>
  <si>
    <t>{                  _x000D_
         funcDyn: 'msg1',_x000D_
         blok: 'blok_1',_x000D_
         wsCross: 'Перечень объектов',_x000D_
         linkFormula: 'AC-AB',_x000D_
         levelDyn: ''_x000D_
}</t>
  </si>
  <si>
    <t>det_name</t>
  </si>
  <si>
    <t>frmls</t>
  </si>
  <si>
    <t>PJ_NAME_ED_IZM</t>
  </si>
  <si>
    <t>prd2_name</t>
  </si>
  <si>
    <t>pf_name</t>
  </si>
  <si>
    <t>Принято органом регулирования</t>
  </si>
  <si>
    <t>Предложение организации</t>
  </si>
  <si>
    <t>Не определено</t>
  </si>
  <si>
    <t>PJ_YEAR</t>
  </si>
  <si>
    <t>PJ_PF</t>
  </si>
  <si>
    <t>PJ_DOP</t>
  </si>
  <si>
    <t>checkUnique</t>
  </si>
  <si>
    <t>Наименование показателя</t>
  </si>
  <si>
    <t>Единица измерения</t>
  </si>
  <si>
    <t>Комментарии</t>
  </si>
  <si>
    <t>t</t>
  </si>
  <si>
    <t>0</t>
  </si>
  <si>
    <t>VS/VO</t>
  </si>
  <si>
    <t>L3</t>
  </si>
  <si>
    <t>Водонасосные станции (водозаборные узлы)</t>
  </si>
  <si>
    <t>ед.</t>
  </si>
  <si>
    <t>P_WATER_PUMP</t>
  </si>
  <si>
    <t>Скважины</t>
  </si>
  <si>
    <t>P_WELLS</t>
  </si>
  <si>
    <t>Подкачивающие насосные станции</t>
  </si>
  <si>
    <t>P_PUMP_STATION</t>
  </si>
  <si>
    <t>Водонапорные башни</t>
  </si>
  <si>
    <t>P_WATER_TOWERS</t>
  </si>
  <si>
    <t>SUMIFS('Условные метры'!$AK$29:$AK$lastRow,'Условные метры'!$F$29:$F$lastRow, $FcurrRow,'Условные метры'!$G$29:$G$lastRow,"Итог")</t>
  </si>
  <si>
    <t>SUMIFS('Условные метры'!$AM$29:$AM$lastRow,'Условные метры'!$F$29:$F$lastRow, $FcurrRow,'Условные метры'!$G$29:$G$lastRow,"Итог")</t>
  </si>
  <si>
    <t>Водопроводные сети</t>
  </si>
  <si>
    <t>км</t>
  </si>
  <si>
    <t>P_WATER_NETS</t>
  </si>
  <si>
    <t>Биологические очистные сооружения</t>
  </si>
  <si>
    <t>P_BIO_CLEAN</t>
  </si>
  <si>
    <t>Канализационные насосные станции</t>
  </si>
  <si>
    <t>P_SEWER_PUMP</t>
  </si>
  <si>
    <t>Канализационные сети</t>
  </si>
  <si>
    <t>P_SEWER_NETS</t>
  </si>
  <si>
    <t>P_OTHER</t>
  </si>
  <si>
    <t>DYN_OBJ_LIST</t>
  </si>
  <si>
    <t>!== 'Водонасосные станции (водозаборные узлы)::ед.' &amp;&amp; row.det_name.toLowerCase() !== 'Скважины::ед.' &amp;&amp; row.det_name.toLowerCase() !== 'Подкачивающие насосные станции::ед.' &amp;&amp; row.det_name.toLowerCase() !== 'Водонапорные башни::ед.' &amp;&amp; row.det_name.toLowerCase() !== 'Водопроводные сети::км' &amp;&amp; row.det_name.toLowerCase() !== 'Биологические очистные сооружения::ед.' &amp;&amp; row.det_name.toLowerCase() !== 'Канализационные насосные станции::ед.' &amp;&amp; row.det_name.toLowerCase() !== 'Канализационные сети::км' &amp;&amp; row.det_name.toLowerCase() !== 'Краткое описание технологического процесса'</t>
  </si>
  <si>
    <t>{                  _x000D_
         funcDyn: 'msg',_x000D_
         blok: '',_x000D_
         wsCross: '',_x000D_
         linkFormula: '',_x000D_
         levelDyn: '1',_x000D_
         addDynValue: 'det_name|AC|0'_x000D_
}</t>
  </si>
  <si>
    <t>Краткое описание технологического процесса</t>
  </si>
  <si>
    <t>P_TEH_PROC</t>
  </si>
  <si>
    <t>Предприятие имеет 4 водозаборных участка, два из которых берут воду из р.Кондома (ковшовый (Водозабор №1) и русловой (Водозабор №2)) и два из подземных источников (п. Стройгородок и участок п. Тайжина). Технологический процесс подъема и очистки природной воды происходит в следующем порядке: вода из приемного колодца поступает на 2 НФС. На всех НФС принята единая технологическая схема подготовки питьевой воды: коагулирование-отстаивание-фильтрация- обеззараживание методом двойного хлорирования. Этот процесс находится под пристальным вниманием инженеров-технологов и инженеров-химиков, которые контролируют дозу химических реагентов для очистки воды и исходный результат очистки.  После качественной очистки уже питьевая вода поступает в резервуары чистой воды V=1000 м3, откуда с помощью насосной станции 2-го подъема подается в город и прилегающие поселки до потребителей.</t>
  </si>
  <si>
    <t xml:space="preserve">Водоснабжение г. Калтан осуществляется п 3 ниткам водоводов, идущим от водозабора № 1 и № 2, находящихся на территории г. Осинники в эксплуатации ООО "Теплоэнерго" </t>
  </si>
  <si>
    <t>Техн. процесс на ОС г. Осиннники и п.Тайжина, состоит из нескольких этапов очистки: 1.Мех очистки.2. Биол. очистки. 3.Хим. очистки.  Процесс приема, очистки и трансп. сточн.вод ОС г. Осинники и ОС п. Тайжина практически не отличается и в общем осущ.в след. порядке: Хоз-быт, произв сточ воды абон и ливн стоки,  поступают самотекам по канал. колл. на КНС №№3,2 и КНС п. Тайжина. Затем группой нас. агр. сточ воды перекачивается  в прием камеры. Так же в приемные камеры ОС по лок. внутриплощад. сетям отводятся собств. хоз-быт и произв. сточ воды ОС. Из песколовок поступают в распред. колодец, и распределяются на 4 осветлителя–перегнивателя, которые играют роль первичных отстойников и проходят процесс выделения взв. вещ. Сточные воды из 4 осветлителей–перегнивателей собираются в сборном колодце и поступают на аэрофильтры, где проходят проц биол. очистки. С аэрофильтров по лотку в ершовый смеситель, где происх. проц смеш с гипохл натрия. Затем поступают в распред. колодец, а оттуда распределяются в конт.отстойники, которые так же являются втор. отстойниками и происходит процесс обеззараживания. Далее стоки по сбор. колл отводятся в р.Красенка. Вып.4; Процесс приема, очистки и трансп. сточных вод ОС п. Постоянный, осуществляется в следующем порядке: Вся сточная вода самотеком по канализационному коллектору поступает на канализационную насосную станцию (КНС), откуда насосными агрегатами подается на очистные сооружения в приемную камеру.  Далее сточная вода поступает в здание решеток, где происходит удаление наиболее крупных примесей. Пройдя решетки, сточная вода по лотку поступает на две аэрируемые горизонтальные песколовки с круговым движением воды и проходит процесс очистки от тяжелых примесей минерального происхождения (в основном от песка и шлака). После песколовок сточная вода поступает в распределительную камеру, где распределяется в блок емкостей. Из распределительной камеры сточная вода поступает в первичный отстойник, где происходит процесс выделения взвешенных веществ и отстаивания. После первичного отстойника сточная вода поступает в двухкоридорный аэротенк, где происходит биологическая очистка сточных вод с помощью активного ила. Далее сточная вода с аэротенка поступает во вторичный отстойник происходит задержание активного ила, поступающего вместе с очищенной водой из аэротенка, а также разделение этой иловой смеси на ил и чистую воду. Ил направляется обратно в аэротенк, а очищенная сточная вода – в контактный резервуар для прохождения процесса обеззараживания за счет контакта сточной воды с гипохлоритом натрия. Затем очищенная сточная вода по безнапорному стальному подземному сбросному трубопроводу сбрасывается в реку Кондома. Вып. 5; Процесс приема, очистки и трансп. сточн вод ОС п. Малиновка, осущ. в след. порядке: Все сточ.воды самотеком поступают на КНС «Угольная», а оттуда подаются на КНС-1 ОС. С КНС-1 нас. агрег. подаются в приемн камеру ОС. Далее через решетки поступают на песколовку прямоуг. констр. и происходят процесс очистки от тяж. примесей мин. происх. Затем из песколовок поступает в распред. колодец, а оттуда распределяются на 4 двухъярусных первичных отстойника и проходят процесс выделения взвешенных веществ. Далее сточные воды из первичных отстойников собираются в сборном колодце и поступают на биофильтр, и приходят процесс биол. очистки. После биол. очистки сточные воды с биофильтра по лотку поступают во вторичный вертикальный отстойник, где происходит осаждение осветление сточных вод и осаждение лишней биопленки, вынесенной из биофильтра. Далее, осветленная сточная вода, проходя через ершовый смеситель, поступает в контактный отстойник верт. типа и проходит процесс обеззараживания. Очищ. и обеззар. сточные воды поступают на КНС-2, откуда насосным агрегатом по напорн.подземному сбросному трубопроводу поступают в р.Кинерка через сосредоточенный выпуск. Вып.3.</t>
  </si>
  <si>
    <t>Техн. процесс очистки сточных вод на ОС г. Калтан, ОС п. Постоянный, п. Малиновка  Калтанского ГО, состоит из нескольких этапов очистки:  1. Мех.очистка. 2. Биол. очистки. 3. Хим.очистки.Процесс приема, очистки и трансп. сточных вод ОС г. Калтан, ОС п. Малиновка и ОС п. Постоянный, за счет разности состава сооружений, рассматривается в отдельности по каждому:?Процесс приема, очистки и трансп. сточных вод ОС г. Калтан, осущ. в след. порядке: Из города сточная вода самотеком поступает на КНС, а оттуда подается в приемную камеру ОС. Так же в приемную камеру по отдельным трубопроводам поступают сточные воды с пром. предприятий города. Собств. сточные воды предприятия отводятся в приемную камеру по лок. сети площадки предприятия. На песколовках, происходит процесс очистки от тяжелых примесей мин. происх. Из песколовок поступают в распред. колодец, и распределяются на 4 осветлителя–перегнивателя, которые играют роль первичных отстойников и проходят процесс выделения взв. вещ. Сточные воды из 4 осветлителей–перегнивателей собираются в сборном колодце и поступают на аэрофильтры, где проходят проц биол. очистки. С аэрофильтров по лотку в ершовый смеситель, где происх. проц смеш с гипохл натрия. Затем поступают в распред. колодец, а оттуда распределяются в конт.отстойники, которые так же являются втор. отстойниками и происходит процесс обеззараживания. Далее стоки по сбор. колл отводятся в р.Красенка. Вып.4; Процесс приема, очистки и трансп. сточных вод ОС п. Постоянный, осуществляется в следующем порядке: Вся сточная вода самотеком по канализационному коллектору поступает на канализационную насосную станцию (КНС), откуда насосными агрегатами подается на очистные сооружения в приемную камеру.  Далее сточная вода поступает в здание решеток, где происходит удаление наиболее крупных примесей. Пройдя решетки, сточная вода по лотку поступает на две аэрируемые горизонтальные песколовки с круговым движением воды и проходит процесс очистки от тяжелых примесей минерального происхождения (в основном от песка и шлака). После песколовок сточная вода поступает в распределительную камеру, где распределяется в блок емкостей. Из распределительной камеры сточная вода поступает в первичный отстойник, где происходит процесс выделения взвешенных веществ и отстаивания. После первичного отстойника сточная вода поступает в двухкоридорный аэротенк, где происходит биологическая очистка сточных вод с помощью активного ила. Далее сточная вода с аэротенка поступает во вторичный отстойник происходит задержание активного ила, поступающего вместе с очищенной водой из аэротенка, а также разделение этой иловой смеси на ил и чистую воду. Ил направляется обратно в аэротенк, а очищенная сточная вода – в контактный резервуар для прохождения процесса обеззараживания за счет контакта сточной воды с гипохлоритом натрия. Затем очищенная сточная вода по безнапорному стальному подземному сбросному трубопроводу сбрасывается в реку Кондома. Вып. 5; Процесс приема, очистки и трансп. сточн вод ОС п. Малиновка, осущ. в след. порядке: Все сточ.воды самотеком поступают на КНС «Угольная», а оттуда подаются на КНС-1 ОС. С КНС-1 нас. агрег. подаются в приемн камеру ОС. Далее через решетки поступают на песколовку прямоуг. констр. и происходят процесс очистки от тяж. примесей мин. происх. Затем из песколовок поступает в распред. колодец, а оттуда распределяются на 4 двухъярусных первичных отстойника и проходят процесс выделения взвешенных веществ. Далее сточные воды из первичных отстойников собираются в сборном колодце и поступают на биофильтр, и приходят процесс биол. очистки. После биол. очистки сточные воды с биофильтра по лотку поступают во вторичный вертикальный отстойник, где происходит осаждение осветление сточных вод и осаждение лишней биопленки, вынесенной из биофильтра. Далее, осветленная сточная вода, проходя через ершовый смеситель, поступает в контактный отстойник верт. типа и проходит процесс обеззараживания. Очищ. и обеззар. сточные воды поступают на КНС-2, откуда насосным агрегатом по напорн.подземному сбросному трубопроводу поступают в р.Кинерка через сосредоточенный выпуск. Вып.3.</t>
  </si>
  <si>
    <t>{                  _x000D_
         funcDyn: 'msg1',_x000D_
         blok: 'blok_1',_x000D_
         wsCross: 'Список объектов',_x000D_
         linkFormula: 'AB-AC',_x000D_
         levelDyn: ''_x000D_
}</t>
  </si>
  <si>
    <t>Комментарии и обоснования к разделу</t>
  </si>
  <si>
    <t>{                  _x000D_
         funcDyn: 'msg',_x000D_
         blok: '',_x000D_
         wsCross: '',_x000D_
         linkFormula: '',_x000D_
         levelDyn: ''_x000D_
}</t>
  </si>
  <si>
    <t>Добавить комментарий</t>
  </si>
  <si>
    <t>PJ_NAME_EXP</t>
  </si>
  <si>
    <t>PJ_NAME_DOC_TYPE</t>
  </si>
  <si>
    <t>PJ_NAME_DOC_NUM</t>
  </si>
  <si>
    <t>PJ_NAME_DOC_DATE</t>
  </si>
  <si>
    <t>PJ_OBJ_LIST</t>
  </si>
  <si>
    <t>Правоустанавливающие и подтверждающие документы на объекты коммунальной инфраструктуры</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</si>
  <si>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</si>
  <si>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</si>
  <si>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</si>
  <si>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</si>
  <si>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</si>
  <si>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</si>
  <si>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</si>
  <si>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</si>
  <si>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P_OBJ_LIST_PROPS</t>
  </si>
  <si>
    <t>DYN_OBJ</t>
  </si>
  <si>
    <t>{                  _x000D_
         funcDyn: 'obj',_x000D_
         blok: '',_x000D_
         wsCross: '',_x000D_
         linkFormula: '',_x000D_
         levelDyn: '1'_x000D_
}</t>
  </si>
  <si>
    <t>Добавить объект</t>
  </si>
  <si>
    <t>Водопровод магистральный от Водозабор №1 до п. Постоянный (3 нитка водопровода)</t>
  </si>
  <si>
    <t>г Осинники, город Калтан, -</t>
  </si>
  <si>
    <t>концессионное соглашение</t>
  </si>
  <si>
    <t>акт приёма-передачи</t>
  </si>
  <si>
    <t>б/н</t>
  </si>
  <si>
    <t>01.06.2026</t>
  </si>
  <si>
    <t>31.12.2030</t>
  </si>
  <si>
    <t>Водопровод магистральный от Водозабор №1 до Водозабора №2 (2 нитка водопровода)</t>
  </si>
  <si>
    <t>г Осинники, город Осинники, -</t>
  </si>
  <si>
    <t>Сети г. Осинники</t>
  </si>
  <si>
    <t>г Осинники, город Осинники, 1</t>
  </si>
  <si>
    <t>водозабор №1</t>
  </si>
  <si>
    <t>г Осинники, Новокузнецкий район, -</t>
  </si>
  <si>
    <t>Здание 7-го подъема</t>
  </si>
  <si>
    <t>г Осинники, пер. Кирова 1-й, 15 а</t>
  </si>
  <si>
    <t>5</t>
  </si>
  <si>
    <t>Здание 3-го подъема</t>
  </si>
  <si>
    <t>г Осинники, ул. Байдукова, 10 а</t>
  </si>
  <si>
    <t>6</t>
  </si>
  <si>
    <t>Водозабор №2</t>
  </si>
  <si>
    <t>г Осинники, ул. Водонасосная, 1</t>
  </si>
  <si>
    <t>7</t>
  </si>
  <si>
    <t>Подкачка 4-го подъема</t>
  </si>
  <si>
    <t>г Осинники, ул. Комсомольская, 7 а</t>
  </si>
  <si>
    <t>8</t>
  </si>
  <si>
    <t>Здание 6-го подъема</t>
  </si>
  <si>
    <t>г Осинники, ул. Ленина, 57 а</t>
  </si>
  <si>
    <t>9</t>
  </si>
  <si>
    <t>Скважина  №14</t>
  </si>
  <si>
    <t>г Осинники, ул. Севастопольская, 1а</t>
  </si>
  <si>
    <t>10</t>
  </si>
  <si>
    <t>скважина №12</t>
  </si>
  <si>
    <t>п Тайжина, Новокузнецкий район, -</t>
  </si>
  <si>
    <t>11</t>
  </si>
  <si>
    <t>Скважина  №6</t>
  </si>
  <si>
    <t>12</t>
  </si>
  <si>
    <t>Скважина №5</t>
  </si>
  <si>
    <t>13</t>
  </si>
  <si>
    <t>Скважина 10</t>
  </si>
  <si>
    <t>14</t>
  </si>
  <si>
    <t>Сети п.Тайжина</t>
  </si>
  <si>
    <t>п Тайжина, п.  Тайжина, 1</t>
  </si>
  <si>
    <t>водопровод от ПНС Колхозная до моста через реку Кондома</t>
  </si>
  <si>
    <t>г Калтан, -, -</t>
  </si>
  <si>
    <t>Водопровод магистральный от Водозабор №1 до Водозабора №2 (1 нитка водовода)</t>
  </si>
  <si>
    <t>г Калтан, Новокузнецкий район, -</t>
  </si>
  <si>
    <t>водопровод пер. Болотный</t>
  </si>
  <si>
    <t>г Калтан, пер. Болотный, 2-16</t>
  </si>
  <si>
    <t>водопровод пер. Горный</t>
  </si>
  <si>
    <t>г Калтан, пер. Горный, 1а-8</t>
  </si>
  <si>
    <t>водопровод пер. Жданова</t>
  </si>
  <si>
    <t>г Калтан, пер. Жданова, -</t>
  </si>
  <si>
    <t>водопровод пер. Ключевой</t>
  </si>
  <si>
    <t>г Калтан, пер. Ключевой, -</t>
  </si>
  <si>
    <t>водопровод пер. Комсомольский</t>
  </si>
  <si>
    <t>г Калтан, пер. Комсомольский, -</t>
  </si>
  <si>
    <t>водопровод пер. Кошевого</t>
  </si>
  <si>
    <t>г Калтан, пер. Кошевого, ул. Покрышкина, 55 - пер. Кошевого, 63</t>
  </si>
  <si>
    <t>водопровод  пер. Покрышкина</t>
  </si>
  <si>
    <t>г Калтан, пер. Покрышкина, -</t>
  </si>
  <si>
    <t>водопровод  пер. Прибрежный</t>
  </si>
  <si>
    <t>г Калтан, пер. Прибрежный, -</t>
  </si>
  <si>
    <t>водопровод пер. Садовый</t>
  </si>
  <si>
    <t>г Калтан, пер. Садовый, 1-7</t>
  </si>
  <si>
    <t>водопровод пер. Санаторный</t>
  </si>
  <si>
    <t>г Калтан, пер. Санаторный, а.дорога - ул. Неввского, 23</t>
  </si>
  <si>
    <t>водопровод пер. Советский</t>
  </si>
  <si>
    <t>г Калтан, пер. Советский, -</t>
  </si>
  <si>
    <t>водопровод перекресток пр. Мира, 11ул. Заводская, 23</t>
  </si>
  <si>
    <t>г Калтан, перекресток пр-кт. Мира, ул. Заводская, 11-23</t>
  </si>
  <si>
    <t>водопровод перекресток от пр. Мира, 45а до ул. Комсомольская, 61</t>
  </si>
  <si>
    <t>г Калтан, перекресток пр. Мира, ул. Комсомольская, 45а-61</t>
  </si>
  <si>
    <t>водопровод перекресток от ул. Горького, 24а до пр. Мира,39</t>
  </si>
  <si>
    <t>г Калтан, перекресток ул. Горького, пр. Мира, 24а-39</t>
  </si>
  <si>
    <t>16</t>
  </si>
  <si>
    <t>водопровод перекресток от ул. Горького, 34 до  пр. Мира, 45а</t>
  </si>
  <si>
    <t>г Калтан, перекресток ул. Горького, пр. Мира, 34-45а</t>
  </si>
  <si>
    <t>17</t>
  </si>
  <si>
    <t>водопровод перекресток от ул. Горького,20 до ул. Комсомольская, 49</t>
  </si>
  <si>
    <t>г Калтан, перекресток ул. Горького, ул. Комсомольская, -</t>
  </si>
  <si>
    <t>18</t>
  </si>
  <si>
    <t>водопровод перекресток от  ул. Калинина, 44 до ул. Горького, 34</t>
  </si>
  <si>
    <t>г Калтан, перекресток ул. Калинина, ул. Горького, 44-34</t>
  </si>
  <si>
    <t>19</t>
  </si>
  <si>
    <t>водопровод от пр. Мира, 2а-39 до пр. Мира, 39; пр. Мира, 55-ул. Школьная</t>
  </si>
  <si>
    <t>г Калтан, пр-кт. Мира, 2-55</t>
  </si>
  <si>
    <t>20</t>
  </si>
  <si>
    <t>водопровод пр. Мира, 51-39</t>
  </si>
  <si>
    <t>г Калтан, пр-кт. Мира, 51-39</t>
  </si>
  <si>
    <t>21</t>
  </si>
  <si>
    <t>водопровод квартал № 5 (ввода на ж.д. пр. Мира, 65а, 59,57)</t>
  </si>
  <si>
    <t>г Калтан, пр-кт. Мира, 65а, 59, 57</t>
  </si>
  <si>
    <t>22</t>
  </si>
  <si>
    <t>водопровод пр. Мира, 70-99</t>
  </si>
  <si>
    <t>г Калтан, пр-кт. Мира, 70-99</t>
  </si>
  <si>
    <t>23</t>
  </si>
  <si>
    <t>водопровод квартал № 6 (ввода на ж.д. пр. Мира, 36, 38, 40, 42, 44; ул. Комсомольская, 69,67, 65, 63 )</t>
  </si>
  <si>
    <t>г Калтан, пр-кт. Мира, ул. Комсомольская, 36, 38, 40, 42, 44; 67, 69, 65, 63</t>
  </si>
  <si>
    <t>24</t>
  </si>
  <si>
    <t>водопровод квартал № 16 (ввода на ж.д. пр. Мира, 21, 23, 25, 27, 29, 31; ул. Горького, 14,16,18, 20)</t>
  </si>
  <si>
    <t>г Калтан, пр. Мира, 21,23,25,27,29,31</t>
  </si>
  <si>
    <t>25</t>
  </si>
  <si>
    <t>водопровод квартал № 13 (ввода на ж.д. пр. Мира 37, 33, 35, 37а, 37б, 33а, 33б, 35а; ул. Горького, 22, 24а)</t>
  </si>
  <si>
    <t>г Калтан, пр. Мира, ул. Горького, 37,33,35,37а,37б; 22, 24а</t>
  </si>
  <si>
    <t>26</t>
  </si>
  <si>
    <t>водопровод квартал № 11 (ввода на ж.д. п. Мира, 39, 41, 43, 41а, 43а, 43б, 39а, 39б; ул. Горького, 30, 32)</t>
  </si>
  <si>
    <t>г Калтан, пр. Мира, ул. Горького, 39,41,43,41а,43а,43б,39а,39б; 30,32</t>
  </si>
  <si>
    <t>27</t>
  </si>
  <si>
    <t>водопровод квартал № 7 (ввода на ж.д. пр. Мира, 45, 47, 49, 57, 45а; ул. Горького, 34, 36, 38)</t>
  </si>
  <si>
    <t>г Калтан, пр. Мира, ул. Горького, 45а, 47, 49, 57, 45а; 34, 36, 38</t>
  </si>
  <si>
    <t>28</t>
  </si>
  <si>
    <t>водопровод квартал № 10 (ввода на ж.д. пр. Мира, 30,32,34; ул. Комсомольская, 61</t>
  </si>
  <si>
    <t>г Калтан, пр. Мира, ул. Комсомольская, 30, 32,34;  61</t>
  </si>
  <si>
    <t>29</t>
  </si>
  <si>
    <t>водопровод ул. Базарная, 1-11</t>
  </si>
  <si>
    <t>г Калтан, ул. Базарная, 1-11</t>
  </si>
  <si>
    <t>водопровод ул. Болотная</t>
  </si>
  <si>
    <t>г Калтан, ул. Болотная, 1-17</t>
  </si>
  <si>
    <t>31</t>
  </si>
  <si>
    <t>водопровод ул. Гоголя</t>
  </si>
  <si>
    <t>г Калтан, ул. Гоголя, 67-95; 97-107; 68-96</t>
  </si>
  <si>
    <t>32</t>
  </si>
  <si>
    <t>водопровод ул. Горького, 12-38</t>
  </si>
  <si>
    <t>г Калтан, ул. Горького, 12-38</t>
  </si>
  <si>
    <t>33</t>
  </si>
  <si>
    <t>Водопровод ул. Дзержинского</t>
  </si>
  <si>
    <t>г Калтан, ул. Дзержинского, 4-69</t>
  </si>
  <si>
    <t>34</t>
  </si>
  <si>
    <t>сеть водоснабжения Дзержинского, 47 (ясли сад)</t>
  </si>
  <si>
    <t>г Калтан, ул. Дзержинского, 47</t>
  </si>
  <si>
    <t>35</t>
  </si>
  <si>
    <t>водопровод к дому № 6 ул. Дзержинского</t>
  </si>
  <si>
    <t>г Калтан, ул. Дзержинского, 6</t>
  </si>
  <si>
    <t>36</t>
  </si>
  <si>
    <t>водопровод от ул.  Дзержинского до ул. Тепличная</t>
  </si>
  <si>
    <t>г Калтан, ул. Дзержинского, ул. Дзержинского, 51-ул. Тепличная,1</t>
  </si>
  <si>
    <t>37</t>
  </si>
  <si>
    <t>водопровод ул. Достоевского</t>
  </si>
  <si>
    <t>г Калтан, ул. Достоевского, 33-69а</t>
  </si>
  <si>
    <t>38</t>
  </si>
  <si>
    <t>водопровод ул. Жданова</t>
  </si>
  <si>
    <t>г Калтан, ул. Жданова, -</t>
  </si>
  <si>
    <t>39</t>
  </si>
  <si>
    <t>водопровод ул. Железнодорожная (ж.д. 5-19)</t>
  </si>
  <si>
    <t>г Калтан, ул. Железнодорожная (ж.д. 5-19), -</t>
  </si>
  <si>
    <t>40</t>
  </si>
  <si>
    <t>водопровод ул. Жемчужная</t>
  </si>
  <si>
    <t>г Калтан, ул. Жемчужная, -</t>
  </si>
  <si>
    <t>41</t>
  </si>
  <si>
    <t>водопровод ул. Заводская</t>
  </si>
  <si>
    <t>г Калтан, ул. Заводская, -</t>
  </si>
  <si>
    <t>42</t>
  </si>
  <si>
    <t>водопровод ул. К. Маркса (ж.д. 1,2,36)</t>
  </si>
  <si>
    <t>г Калтан, ул. К. Маркса (ж.д. 1,2,36), -</t>
  </si>
  <si>
    <t>43</t>
  </si>
  <si>
    <t>водопровод ул. Калинина (от ж.д. №2 до ул. Школьная</t>
  </si>
  <si>
    <t>г Калтан, ул. Калинина, -</t>
  </si>
  <si>
    <t>44</t>
  </si>
  <si>
    <t>водопровод ул. Калинина (отул. Школьная до ж.д. № 125</t>
  </si>
  <si>
    <t>45</t>
  </si>
  <si>
    <t>водопровод квартал № 19 (ввода на ж.д. Калинина, 4,2; пр. Мира, 11)</t>
  </si>
  <si>
    <t>г Калтан, ул. Калинина, 4,2; 11</t>
  </si>
  <si>
    <t>46</t>
  </si>
  <si>
    <t>водопровод квартал № 17 (ввода на ж.д. ул. Калинина, 16; ул. Базарная, 6)</t>
  </si>
  <si>
    <t>г Калтан, ул. Калинина, ул. Базарная, 16; 6</t>
  </si>
  <si>
    <t>47</t>
  </si>
  <si>
    <t>водопровод квартал № 25 (ввода на ж.д. ул. Комсомольская, 13, 11, 1, 3, 5)</t>
  </si>
  <si>
    <t>г Калтан, ул. Комсомольская, 1,3,5,11,13</t>
  </si>
  <si>
    <t>48</t>
  </si>
  <si>
    <t>водопровод ул. Комсомольская, 27-95</t>
  </si>
  <si>
    <t>г Калтан, ул. Комсомольская, 27-95</t>
  </si>
  <si>
    <t>49</t>
  </si>
  <si>
    <t>водопровод квартал № 18 (ввода на ж.д. ул. Косомольская, 37,27)</t>
  </si>
  <si>
    <t>г Калтан, ул. Комсомольская, 27,37</t>
  </si>
  <si>
    <t>50</t>
  </si>
  <si>
    <t>сети хоз.пит.водопровода В-1-г. Калтан, ул. Комсомольская, 33а</t>
  </si>
  <si>
    <t>г Калтан, ул. Комсомольская, 33а</t>
  </si>
  <si>
    <t>51</t>
  </si>
  <si>
    <t>водопровод ул. Комсомольская, 50-114</t>
  </si>
  <si>
    <t>г Калтан, ул. Комсомольская, 50-114</t>
  </si>
  <si>
    <t>52</t>
  </si>
  <si>
    <t>водопровод квартал № 2 (ввода на ж.д. ул. Комсомольская, 87, 89)</t>
  </si>
  <si>
    <t>г Калтан, ул. Комсомольская, 87, 89</t>
  </si>
  <si>
    <t>53</t>
  </si>
  <si>
    <t>водопровод квартал № 21 (ввода на ж.д. ул. Комсомольская, 25,21,19; пр. Мира, 2)</t>
  </si>
  <si>
    <t>г Калтан, ул. Комсомольская, пр. Мира, 25,21,19;  2</t>
  </si>
  <si>
    <t>54</t>
  </si>
  <si>
    <t>водопровод квартал № 15 (ввода на ж.д. (ввода на ж.д. пр. Мира 37, 33, 35, 37а, 37б, 33а, 33б, 35а; ул. Горького, 22, 24а)</t>
  </si>
  <si>
    <t>г Калтан, ул. Комсомольская, пр. Мира, 49,51,45,41; 14, 16, 18, 20, 22, 24</t>
  </si>
  <si>
    <t>55</t>
  </si>
  <si>
    <t>водопровод квартал № 4 (ввода на ж.д. ул. Комсомольская, 71, 73; пр. Мира, 52, 54, 56,48,46)</t>
  </si>
  <si>
    <t>г Калтан, ул. Комсомольская, пр. Мира, 71, 73, 52, 54, 56, 48, 46</t>
  </si>
  <si>
    <t>56</t>
  </si>
  <si>
    <t>водопровод ул. Космодемьянской</t>
  </si>
  <si>
    <t>г Калтан, ул. Космодемьянской, 5-42</t>
  </si>
  <si>
    <t>57</t>
  </si>
  <si>
    <t>водопровод ул. Кошевого</t>
  </si>
  <si>
    <t>г Калтан, ул. Кошевого, ул. Покрышкина, 55-ул. Кошевого, 63</t>
  </si>
  <si>
    <t>58</t>
  </si>
  <si>
    <t>водопровод ул. Курская</t>
  </si>
  <si>
    <t>г Калтан, ул. Курская, -</t>
  </si>
  <si>
    <t>59</t>
  </si>
  <si>
    <t>водопровод ул. Лазурная</t>
  </si>
  <si>
    <t>г Калтан, ул. Лазурная, ул. Лазурная, 6-ул. Невского, 30</t>
  </si>
  <si>
    <t>60</t>
  </si>
  <si>
    <t>водопровод от моста через реку Кондома до ОГПН-12 и РЧВ ул. Маяковского</t>
  </si>
  <si>
    <t>г Калтан, ул. Маяковского, -</t>
  </si>
  <si>
    <t>61</t>
  </si>
  <si>
    <t>водопровод ул. Минская</t>
  </si>
  <si>
    <t>г Калтан, ул. Минская, -</t>
  </si>
  <si>
    <t>62</t>
  </si>
  <si>
    <t>водопровод ул. Мичурина</t>
  </si>
  <si>
    <t>г Калтан, ул. Мичурина, 1-45</t>
  </si>
  <si>
    <t>63</t>
  </si>
  <si>
    <t>Водопровод ул. Набережная</t>
  </si>
  <si>
    <t>г Калтан, ул. Набережная, 67-81</t>
  </si>
  <si>
    <t>64</t>
  </si>
  <si>
    <t>водопровод ул. Нагорная</t>
  </si>
  <si>
    <t>г Калтан, ул. Нагорная, -</t>
  </si>
  <si>
    <t>65</t>
  </si>
  <si>
    <t>водопровод ул. Невского</t>
  </si>
  <si>
    <t>г Калтан, ул. Невского, 15-68</t>
  </si>
  <si>
    <t>66</t>
  </si>
  <si>
    <t>водопровод ул. Новая</t>
  </si>
  <si>
    <t>г Калтан, ул. Новая, 1-18</t>
  </si>
  <si>
    <t>67</t>
  </si>
  <si>
    <t>водопровод ул. Новосибирская</t>
  </si>
  <si>
    <t>г Калтан, ул. Новосибирская, -</t>
  </si>
  <si>
    <t>68</t>
  </si>
  <si>
    <t>водопровод ул. Новостройка 1</t>
  </si>
  <si>
    <t>г Калтан, ул. Новостройка 1, 10-18</t>
  </si>
  <si>
    <t>69</t>
  </si>
  <si>
    <t>водопровод ул. Новостройка 2</t>
  </si>
  <si>
    <t>г Калтан, ул. Новостройка 2, 2-10</t>
  </si>
  <si>
    <t>70</t>
  </si>
  <si>
    <t>водопровод до п. Малышев Лог (от ул. Новостройка до ПНС ул. Колхозная)</t>
  </si>
  <si>
    <t>г Калтан, ул. Новостройка-ул.Колхозная, -</t>
  </si>
  <si>
    <t>71</t>
  </si>
  <si>
    <t>водопровод ул. Партизанская</t>
  </si>
  <si>
    <t>г Калтан, ул. Партизанская, 1-18</t>
  </si>
  <si>
    <t>72</t>
  </si>
  <si>
    <t>водопровод  ул. Пожарского (ж.д. №№41-65)</t>
  </si>
  <si>
    <t>г Калтан, ул. Пожарского (ж.д. №№41-65), -</t>
  </si>
  <si>
    <t>73</t>
  </si>
  <si>
    <t>водопровод ул. Пожарского (ж.д. 3а-20)</t>
  </si>
  <si>
    <t>г Калтан, ул. Пожарского, 3а-20</t>
  </si>
  <si>
    <t>74</t>
  </si>
  <si>
    <t>водопровод ул. Покрышкина</t>
  </si>
  <si>
    <t>г Калтан, ул. Покрышкина, 15-92</t>
  </si>
  <si>
    <t>75</t>
  </si>
  <si>
    <t>Водопровод ул. Полевая</t>
  </si>
  <si>
    <t>г Калтан, ул. Полевая, -</t>
  </si>
  <si>
    <t>76</t>
  </si>
  <si>
    <t>водопровод ул. Рижская</t>
  </si>
  <si>
    <t>г Калтан, ул. Рижская, -</t>
  </si>
  <si>
    <t>77</t>
  </si>
  <si>
    <t>водопровод ул. Российская</t>
  </si>
  <si>
    <t>г Калтан, ул. Российская, -</t>
  </si>
  <si>
    <t>78</t>
  </si>
  <si>
    <t>водопровод ул. Руставели</t>
  </si>
  <si>
    <t>г Калтан, ул. Руставели, 27-32</t>
  </si>
  <si>
    <t>79</t>
  </si>
  <si>
    <t>Водопровод ул. Садовая</t>
  </si>
  <si>
    <t>г Калтан, ул. Садовая, -</t>
  </si>
  <si>
    <t>80</t>
  </si>
  <si>
    <t>водопровод ул. Совхозная</t>
  </si>
  <si>
    <t>г Калтан, ул. Совхозная, -</t>
  </si>
  <si>
    <t>81</t>
  </si>
  <si>
    <t>водопровод ул. Спортивная</t>
  </si>
  <si>
    <t>г Калтан, ул. Спортивная, -</t>
  </si>
  <si>
    <t>82</t>
  </si>
  <si>
    <t>водопровод  от моста через реку Кондома до ул. Спортивная</t>
  </si>
  <si>
    <t>г Калтан, ул. Спортивная, 1-49</t>
  </si>
  <si>
    <t>83</t>
  </si>
  <si>
    <t>водопровод ул. Строительная</t>
  </si>
  <si>
    <t>г Калтан, ул. Строительная, -</t>
  </si>
  <si>
    <t>84</t>
  </si>
  <si>
    <t>водопровод ул. Томская</t>
  </si>
  <si>
    <t>г Калтан, ул. Томская, -</t>
  </si>
  <si>
    <t>85</t>
  </si>
  <si>
    <t>водопровод ул. Фестивальная</t>
  </si>
  <si>
    <t>г Калтан, ул. Фестивальная, -</t>
  </si>
  <si>
    <t>86</t>
  </si>
  <si>
    <t>водопровод  ул. Центральная (ж.д. №№9,11,14,15,16,18,20,21,22,24,25,30,44,46,48,48а,66,68,70,74,76)</t>
  </si>
  <si>
    <t>г Калтан, ул. Центральная (ж.д. №№9,11,14,15,16,18,20,21,22,24,25,30,44,46,48,48а,66,68,70,74,76), -</t>
  </si>
  <si>
    <t>87</t>
  </si>
  <si>
    <t>водопровод от Гидроузла до ПНС "Садовая"</t>
  </si>
  <si>
    <t>п Малиновка, -, -</t>
  </si>
  <si>
    <t>88</t>
  </si>
  <si>
    <t>водовод от Водозабора № 1 до п. Малиновка (2-ая нитка)</t>
  </si>
  <si>
    <t>89</t>
  </si>
  <si>
    <t>водопровод от Гидроузла до о/с</t>
  </si>
  <si>
    <t>90</t>
  </si>
  <si>
    <t>водопровод ул. Васильковая</t>
  </si>
  <si>
    <t>п Малиновка, Васильковая, -</t>
  </si>
  <si>
    <t>91</t>
  </si>
  <si>
    <t>водопровод ул.Весенняя</t>
  </si>
  <si>
    <t>п Малиновка, Весенняя, -</t>
  </si>
  <si>
    <t>92</t>
  </si>
  <si>
    <t>водопровод Квартал № 15 от гидроузла по ул. Угольная, 2а до резервуара по ул. Солнечной, 27а</t>
  </si>
  <si>
    <t>п Малиновка, водопровод Квартал № 15 от гидроузла по ул. Угольная, 2а до резервуара по ул. Солнечной, 27а, -</t>
  </si>
  <si>
    <t>93</t>
  </si>
  <si>
    <t>Водопровод ул. Восточная</t>
  </si>
  <si>
    <t>п Малиновка, Восточная, -</t>
  </si>
  <si>
    <t>94</t>
  </si>
  <si>
    <t>водопровод пер. Восточный</t>
  </si>
  <si>
    <t>п Малиновка, Восточный, -</t>
  </si>
  <si>
    <t>95</t>
  </si>
  <si>
    <t>водопровод пер. Высотный</t>
  </si>
  <si>
    <t>п Малиновка, Высотный, -</t>
  </si>
  <si>
    <t>96</t>
  </si>
  <si>
    <t>п Малиновка, Гоголя, -</t>
  </si>
  <si>
    <t>97</t>
  </si>
  <si>
    <t>водопровод ул. Дружбы</t>
  </si>
  <si>
    <t>п Малиновка, Дружбы, -</t>
  </si>
  <si>
    <t>98</t>
  </si>
  <si>
    <t>водопровод ул. Кондомская</t>
  </si>
  <si>
    <t>п Малиновка, Кондомская, -</t>
  </si>
  <si>
    <t>99</t>
  </si>
  <si>
    <t>водопровод ул. Кузбасская</t>
  </si>
  <si>
    <t>п Малиновка, Кузбасская, -</t>
  </si>
  <si>
    <t>100</t>
  </si>
  <si>
    <t>водопроводул. Мира</t>
  </si>
  <si>
    <t>п Малиновка, Мира, -</t>
  </si>
  <si>
    <t>101</t>
  </si>
  <si>
    <t>водопровод ул. Народная</t>
  </si>
  <si>
    <t>п Малиновка, Народная, -</t>
  </si>
  <si>
    <t>102</t>
  </si>
  <si>
    <t>водопровод пер. Полевой</t>
  </si>
  <si>
    <t>п Малиновка, пер. Полевой, 3-6</t>
  </si>
  <si>
    <t>103</t>
  </si>
  <si>
    <t>водопровод пер. Станционный</t>
  </si>
  <si>
    <t>п Малиновка, пер. Станционный, 1-16</t>
  </si>
  <si>
    <t>104</t>
  </si>
  <si>
    <t>водопровод ул. Перспективная</t>
  </si>
  <si>
    <t>п Малиновка, Перспективная, -</t>
  </si>
  <si>
    <t>105</t>
  </si>
  <si>
    <t>п Малиновка, Российская, -</t>
  </si>
  <si>
    <t>106</t>
  </si>
  <si>
    <t>водопровод ул. Солнечная</t>
  </si>
  <si>
    <t>п Малиновка, Солнечная, -</t>
  </si>
  <si>
    <t>107</t>
  </si>
  <si>
    <t>водопровод ул. Сосновая</t>
  </si>
  <si>
    <t>п Малиновка, Сосновая, -</t>
  </si>
  <si>
    <t>108</t>
  </si>
  <si>
    <t>водопровод ул. 60 лет Октября, 11</t>
  </si>
  <si>
    <t>п Малиновка, ул. 60 лет Октября, 11</t>
  </si>
  <si>
    <t>109</t>
  </si>
  <si>
    <t>водопровод ул. 60 лет Октября, 15</t>
  </si>
  <si>
    <t>п Малиновка, ул. 60 лет Октября, 15</t>
  </si>
  <si>
    <t>110</t>
  </si>
  <si>
    <t>водопровод ул. 60 лет Октября, 16</t>
  </si>
  <si>
    <t>п Малиновка, ул. 60 лет Октября, 16</t>
  </si>
  <si>
    <t>111</t>
  </si>
  <si>
    <t>водопровод ул. 60 лет Октября, 17</t>
  </si>
  <si>
    <t>п Малиновка, ул. 60 лет Октября, 17</t>
  </si>
  <si>
    <t>112</t>
  </si>
  <si>
    <t>водопровод ул. 60 лет Октября, 18</t>
  </si>
  <si>
    <t>п Малиновка, ул. 60 лет Октября, 18</t>
  </si>
  <si>
    <t>113</t>
  </si>
  <si>
    <t>водопровод ул. 60 лет Октября, 23</t>
  </si>
  <si>
    <t>п Малиновка, ул. 60 лет Октября, 23</t>
  </si>
  <si>
    <t>114</t>
  </si>
  <si>
    <t>водопровод ул. 60 лет Октября, 24</t>
  </si>
  <si>
    <t>п Малиновка, ул. 60 лет Октября, 24</t>
  </si>
  <si>
    <t>115</t>
  </si>
  <si>
    <t>водопровод ул. 60 лет Октября, 25</t>
  </si>
  <si>
    <t>п Малиновка, ул. 60 лет Октября, 25</t>
  </si>
  <si>
    <t>116</t>
  </si>
  <si>
    <t>водопровод ул. 60 лет Октября, 26</t>
  </si>
  <si>
    <t>п Малиновка, ул. 60 лет Октября, 26</t>
  </si>
  <si>
    <t>117</t>
  </si>
  <si>
    <t>водопровод ул. 60 лет Октября, 27</t>
  </si>
  <si>
    <t>п Малиновка, ул. 60 лет Октября, 27</t>
  </si>
  <si>
    <t>118</t>
  </si>
  <si>
    <t>водопровод ул. 60 лет Октября, 28</t>
  </si>
  <si>
    <t>п Малиновка, ул. 60 лет Октября, 28</t>
  </si>
  <si>
    <t>119</t>
  </si>
  <si>
    <t>водопровод ул. 60 лет Октября, 29</t>
  </si>
  <si>
    <t>п Малиновка, ул. 60 лет Октября, 29</t>
  </si>
  <si>
    <t>120</t>
  </si>
  <si>
    <t>водопроводная сеть к дому № 9</t>
  </si>
  <si>
    <t>п Малиновка, ул. 60 лет Октября, 9</t>
  </si>
  <si>
    <t>121</t>
  </si>
  <si>
    <t>водопровод ул. Береговая</t>
  </si>
  <si>
    <t>п Малиновка, ул. Береговая, -</t>
  </si>
  <si>
    <t>122</t>
  </si>
  <si>
    <t>водопровод ул. Весенняя</t>
  </si>
  <si>
    <t>п Малиновка, ул. Весенняя, 6-30</t>
  </si>
  <si>
    <t>123</t>
  </si>
  <si>
    <t>водопровод ул. Вишневая</t>
  </si>
  <si>
    <t>п Малиновка, ул. Вишневая, 15-20а</t>
  </si>
  <si>
    <t>124</t>
  </si>
  <si>
    <t>водопровод ул. Высотная</t>
  </si>
  <si>
    <t>п Малиновка, ул. Высотная, 1-20</t>
  </si>
  <si>
    <t>125</t>
  </si>
  <si>
    <t>водопровод ул. Горнорабочая</t>
  </si>
  <si>
    <t>п Малиновка, ул. Горнорабочая, -</t>
  </si>
  <si>
    <t>126</t>
  </si>
  <si>
    <t>водопровод ул. Горняцкая</t>
  </si>
  <si>
    <t>п Малиновка, ул. Горняцкая, -</t>
  </si>
  <si>
    <t>127</t>
  </si>
  <si>
    <t>водопровод ул. Горького</t>
  </si>
  <si>
    <t>п Малиновка, ул. Горького, 1-35</t>
  </si>
  <si>
    <t>128</t>
  </si>
  <si>
    <t>п Малиновка, ул. Дзержинского, 3-12</t>
  </si>
  <si>
    <t>129</t>
  </si>
  <si>
    <t>водопровод ул. Железнодорожная</t>
  </si>
  <si>
    <t>п Малиновка, ул. Железнодорожная, 1-67</t>
  </si>
  <si>
    <t>130</t>
  </si>
  <si>
    <t>водопровод ул. Зеленая</t>
  </si>
  <si>
    <t>п Малиновка, ул. Зеленая, -</t>
  </si>
  <si>
    <t>131</t>
  </si>
  <si>
    <t>водопровод ул. Кирова</t>
  </si>
  <si>
    <t>п Малиновка, ул. Кирова, 1-11</t>
  </si>
  <si>
    <t>132</t>
  </si>
  <si>
    <t>водопровод ул. Комсомольская</t>
  </si>
  <si>
    <t>п Малиновка, ул. Комсомольская, 1-31</t>
  </si>
  <si>
    <t>133</t>
  </si>
  <si>
    <t>водопровод ул. Кооперативная</t>
  </si>
  <si>
    <t>п Малиновка, ул. Кооперативная, -</t>
  </si>
  <si>
    <t>134</t>
  </si>
  <si>
    <t>водопровод ул. Космоса</t>
  </si>
  <si>
    <t>п Малиновка, ул. Космоса, 2а-8</t>
  </si>
  <si>
    <t>135</t>
  </si>
  <si>
    <t>водопровод ул. Крупской</t>
  </si>
  <si>
    <t>п Малиновка, ул. Крупской, 1-112</t>
  </si>
  <si>
    <t>136</t>
  </si>
  <si>
    <t>водопровод ул. Крутая</t>
  </si>
  <si>
    <t>п Малиновка, ул. Крутая, 1-9</t>
  </si>
  <si>
    <t>137</t>
  </si>
  <si>
    <t>п Малиновка, ул. Кузбасская, 2-82</t>
  </si>
  <si>
    <t>138</t>
  </si>
  <si>
    <t>водопровод ул. Куйбышева</t>
  </si>
  <si>
    <t>п Малиновка, ул. Куйбышева, 1-32</t>
  </si>
  <si>
    <t>139</t>
  </si>
  <si>
    <t>водопровод ул. Кутузова</t>
  </si>
  <si>
    <t>п Малиновка, ул. Кутузова, -</t>
  </si>
  <si>
    <t>140</t>
  </si>
  <si>
    <t>водопровод ул. Ленина</t>
  </si>
  <si>
    <t>п Малиновка, ул. Ленина, -</t>
  </si>
  <si>
    <t>141</t>
  </si>
  <si>
    <t>водопровод ул. Лесная</t>
  </si>
  <si>
    <t>п Малиновка, ул. Лесная, 38-50</t>
  </si>
  <si>
    <t>142</t>
  </si>
  <si>
    <t>водопровод ул. Линейная</t>
  </si>
  <si>
    <t>п Малиновка, ул. Линейная, 1-27</t>
  </si>
  <si>
    <t>143</t>
  </si>
  <si>
    <t>водопровод ул. Ломоносова</t>
  </si>
  <si>
    <t>п Малиновка, ул. Ломоносова, -</t>
  </si>
  <si>
    <t>144</t>
  </si>
  <si>
    <t>водопровод ул. Макаренко</t>
  </si>
  <si>
    <t>п Малиновка, ул. Макаренко, 1-17</t>
  </si>
  <si>
    <t>145</t>
  </si>
  <si>
    <t>водопровод ул. Малиновская</t>
  </si>
  <si>
    <t>п Малиновка, ул. Малиновская, -</t>
  </si>
  <si>
    <t>146</t>
  </si>
  <si>
    <t>Водопровод ул. Молодежная</t>
  </si>
  <si>
    <t>п Малиновка, ул. Молодежная, 1-13</t>
  </si>
  <si>
    <t>147</t>
  </si>
  <si>
    <t>п Малиновка, ул. Нагорная, 1-37а</t>
  </si>
  <si>
    <t>148</t>
  </si>
  <si>
    <t>водопровод ул. Нахимова</t>
  </si>
  <si>
    <t>п Малиновка, ул. Нахимова, -</t>
  </si>
  <si>
    <t>149</t>
  </si>
  <si>
    <t>водопровод ул. Некрасова</t>
  </si>
  <si>
    <t>п Малиновка, ул. Некрасова, -</t>
  </si>
  <si>
    <t>150</t>
  </si>
  <si>
    <t>п Малиновка, ул. Новая, 2-27</t>
  </si>
  <si>
    <t>151</t>
  </si>
  <si>
    <t>Водопровод ул. Октябрьская</t>
  </si>
  <si>
    <t>п Малиновка, ул. Октябрьская, 1б-23</t>
  </si>
  <si>
    <t>152</t>
  </si>
  <si>
    <t>Водопровод ул. Островского</t>
  </si>
  <si>
    <t>п Малиновка, ул. Островского, 4-10</t>
  </si>
  <si>
    <t>153</t>
  </si>
  <si>
    <t>водопровод ул. Отдельная</t>
  </si>
  <si>
    <t>п Малиновка, ул. Отдельная, 1-30</t>
  </si>
  <si>
    <t>154</t>
  </si>
  <si>
    <t>водопровод ул. Пионерская</t>
  </si>
  <si>
    <t>п Малиновка, ул. Пионерская, 3-22</t>
  </si>
  <si>
    <t>155</t>
  </si>
  <si>
    <t>водопровод ул. Подгорная</t>
  </si>
  <si>
    <t>п Малиновка, ул. Подгорная, -</t>
  </si>
  <si>
    <t>156</t>
  </si>
  <si>
    <t>водопровод ул. Проектная</t>
  </si>
  <si>
    <t>п Малиновка, ул. Проектная, 5-52</t>
  </si>
  <si>
    <t>157</t>
  </si>
  <si>
    <t>водопровод ул. Пугачева</t>
  </si>
  <si>
    <t>п Малиновка, ул. Пугачева, 1-31</t>
  </si>
  <si>
    <t>158</t>
  </si>
  <si>
    <t>водопровод ул. Пушкина</t>
  </si>
  <si>
    <t>п Малиновка, ул. Пушкина, 1-56</t>
  </si>
  <si>
    <t>159</t>
  </si>
  <si>
    <t>Водопровод ул. Рабочая</t>
  </si>
  <si>
    <t>п Малиновка, ул. Рабочая, 1-10</t>
  </si>
  <si>
    <t>160</t>
  </si>
  <si>
    <t>водопровод ул. Репина</t>
  </si>
  <si>
    <t>п Малиновка, ул. Репина, -</t>
  </si>
  <si>
    <t>161</t>
  </si>
  <si>
    <t>водопровод ул. Рябиновая</t>
  </si>
  <si>
    <t>п Малиновка, ул. Рябиновая, 1-32</t>
  </si>
  <si>
    <t>162</t>
  </si>
  <si>
    <t>п Малиновка, ул. Садовая, 2-41б</t>
  </si>
  <si>
    <t>163</t>
  </si>
  <si>
    <t>Повысительная насосная станция</t>
  </si>
  <si>
    <t>п Малиновка, ул. Садовая, 35а</t>
  </si>
  <si>
    <t>164</t>
  </si>
  <si>
    <t>водопровод ул. Сибирская</t>
  </si>
  <si>
    <t>п Малиновка, ул. Сибирская, 5-39</t>
  </si>
  <si>
    <t>165</t>
  </si>
  <si>
    <t>Водопровод ул. Советская</t>
  </si>
  <si>
    <t>п Малиновка, ул. Советская, 1-91</t>
  </si>
  <si>
    <t>166</t>
  </si>
  <si>
    <t>п Малиновка, ул. Спортивная, 1-24</t>
  </si>
  <si>
    <t>167</t>
  </si>
  <si>
    <t>водопровод ул. Станционная</t>
  </si>
  <si>
    <t>п Малиновка, ул. Станционная, -</t>
  </si>
  <si>
    <t>168</t>
  </si>
  <si>
    <t>п Малиновка, ул. Строительная, -</t>
  </si>
  <si>
    <t>169</t>
  </si>
  <si>
    <t>водопровод ул. Торговая</t>
  </si>
  <si>
    <t>п Малиновка, ул. Торговая, -</t>
  </si>
  <si>
    <t>170</t>
  </si>
  <si>
    <t>Узел насосной станции</t>
  </si>
  <si>
    <t>п Малиновка, ул. Угольная, 2а</t>
  </si>
  <si>
    <t>171</t>
  </si>
  <si>
    <t>водопровод ул. Урицкого</t>
  </si>
  <si>
    <t>п Малиновка, ул. Урицкого, -</t>
  </si>
  <si>
    <t>172</t>
  </si>
  <si>
    <t>водопровод пер. Черемуховый</t>
  </si>
  <si>
    <t>п Малиновка, Черемуховый, -</t>
  </si>
  <si>
    <t>173</t>
  </si>
  <si>
    <t>водопроводул. Шахтерская</t>
  </si>
  <si>
    <t>п Малиновка, Шахтерская, -</t>
  </si>
  <si>
    <t>174</t>
  </si>
  <si>
    <t>Водопровод ул. Шевченко</t>
  </si>
  <si>
    <t>п Малиновка, Шевченко, -</t>
  </si>
  <si>
    <t>175</t>
  </si>
  <si>
    <t>водопровод ул. Школьная</t>
  </si>
  <si>
    <t>п Малиновка, Школьная, -</t>
  </si>
  <si>
    <t>176</t>
  </si>
  <si>
    <t>Сети   г. Осинники</t>
  </si>
  <si>
    <t>Станция перкачки №3</t>
  </si>
  <si>
    <t>г Осинники, ул. Ленина, 4а</t>
  </si>
  <si>
    <t>Очистные Сооружения  г. Осинники</t>
  </si>
  <si>
    <t>г Осинники, ул. М.Горького, 120 а</t>
  </si>
  <si>
    <t>Станция перекачки №2</t>
  </si>
  <si>
    <t>г Осинники, ул. Станционная, 20а</t>
  </si>
  <si>
    <t>Сети   п. Тайжина</t>
  </si>
  <si>
    <t>п Тайжина, п. Тайжина, 1</t>
  </si>
  <si>
    <t>Канализационная насосная станция</t>
  </si>
  <si>
    <t>п Тайжина, ул. Дорожная, 13а</t>
  </si>
  <si>
    <t>Очистные Сооружения  п. Тайжина</t>
  </si>
  <si>
    <t>п Тайжина, ул. Лысенко, 108</t>
  </si>
  <si>
    <t>Отводящий коллектор очищенных сточных вод с очистных сооружений, ул. Полеквая, 26</t>
  </si>
  <si>
    <t>самотечный коллектор п. Постоянный</t>
  </si>
  <si>
    <t>канализационная сеть пер. Садовый</t>
  </si>
  <si>
    <t>г Калтан, пер. Садовый, -</t>
  </si>
  <si>
    <t>канализационная сеть пер. Советский</t>
  </si>
  <si>
    <t>канализационная сеть пер.Советский-пр. Мира, 46</t>
  </si>
  <si>
    <t>г Калтан, пер. Советский, пр. Мира, пер. Советский, 9а - пр. Мира, 43</t>
  </si>
  <si>
    <t>канализационная сеть пр. Мира, 11</t>
  </si>
  <si>
    <t>г Калтан, пр. Мира, 11</t>
  </si>
  <si>
    <t>канализационная сеть пр. Мира, 2</t>
  </si>
  <si>
    <t>г Калтан, пр. Мира, 2</t>
  </si>
  <si>
    <t>канализационная сеть пр. Мира, 21,23,25,27,29,31,ДШИ № 42</t>
  </si>
  <si>
    <t>г Калтан, пр. Мира, 21,23,25,27, 29,31,31а</t>
  </si>
  <si>
    <t>канализационная сеть пр. Мира, 26,28</t>
  </si>
  <si>
    <t>г Калтан, пр. Мира, 26,28</t>
  </si>
  <si>
    <t>канализационная сеть пр. Мира, 30, 39а</t>
  </si>
  <si>
    <t>г Калтан, пр. Мира, 30,39а</t>
  </si>
  <si>
    <t>канализационная сеть пр. Мира, 32,34</t>
  </si>
  <si>
    <t>г Калтан, пр. Мира, 32, 34</t>
  </si>
  <si>
    <t>канализационная сеть пр. Мира, 33, 35, 37</t>
  </si>
  <si>
    <t>г Калтан, пр. Мира, 33, 35, 37</t>
  </si>
  <si>
    <t>канализационная сеть пр. Мира, 37а</t>
  </si>
  <si>
    <t>г Калтан, пр. Мира, 37а</t>
  </si>
  <si>
    <t>канализационная сеть пр. Мира, 39б</t>
  </si>
  <si>
    <t>г Калтан, пр. Мира, 39б</t>
  </si>
  <si>
    <t>канализационная сеть пр. Мира, 40,38,36</t>
  </si>
  <si>
    <t>г Калтан, пр. Мира, 40,38,36</t>
  </si>
  <si>
    <t>канализационная сеть пр. Мира, 41а,39,41,43</t>
  </si>
  <si>
    <t>г Калтан, пр. Мира, 41а,39,41,43</t>
  </si>
  <si>
    <t>канализационная сеть пр. Мира, 42,44</t>
  </si>
  <si>
    <t>г Калтан, пр. Мира, 42,44</t>
  </si>
  <si>
    <t>канализационная сеть пр. Мира, 43а</t>
  </si>
  <si>
    <t>г Калтан, пр. Мира, 43а</t>
  </si>
  <si>
    <t>канализационная сеть пр. Мира, 45а, 45,47,49</t>
  </si>
  <si>
    <t>г Калтан, пр. Мира, 45а, 45,47,49</t>
  </si>
  <si>
    <t>канализационная сеть пр. Мира, 46,48</t>
  </si>
  <si>
    <t>г Калтан, пр. Мира, 46,48</t>
  </si>
  <si>
    <t>канализационная сеть пр. Мира, 51</t>
  </si>
  <si>
    <t>г Калтан, пр. Мира, 51</t>
  </si>
  <si>
    <t>канализационная сеть пр. Мира, 63, 61,59,55,57</t>
  </si>
  <si>
    <t>г Калтан, пр. Мира, 63,61,59,55,57</t>
  </si>
  <si>
    <t>канализационная сеть пр. Мира, 65, 65а</t>
  </si>
  <si>
    <t>г Калтан, пр. Мира, 65, 65а</t>
  </si>
  <si>
    <t>канализационная сеть пр. Мира, 34 - ул. Комсомольская, 63</t>
  </si>
  <si>
    <t>г Калтан, пр. Мира, ул. Комсомольская, -</t>
  </si>
  <si>
    <t>канализационная сеть ул. Базарная, 9-11</t>
  </si>
  <si>
    <t>г Калтан, ул. Базарная, 9-11</t>
  </si>
  <si>
    <t>канализационная сеть ул. Болотная</t>
  </si>
  <si>
    <t>г Калтан, ул. Болотная, -</t>
  </si>
  <si>
    <t>канализационная сеть ул. Горького, 14,16,18,20</t>
  </si>
  <si>
    <t>г Калтан, ул. Горького, 14,16,18,20</t>
  </si>
  <si>
    <t>канализационная сеть ул. Горького, 24а</t>
  </si>
  <si>
    <t>г Калтан, ул. Горького, 24а</t>
  </si>
  <si>
    <t>канализационная сеть ул. Горького, 26</t>
  </si>
  <si>
    <t>г Калтан, ул. Горького, 26</t>
  </si>
  <si>
    <t>канализационная сеть ул. Горького, 38</t>
  </si>
  <si>
    <t>г Калтан, ул. Горького, 38</t>
  </si>
  <si>
    <t>канализационная сеть ул. Горького, 34,36,34а, пр. Мира, 45б</t>
  </si>
  <si>
    <t>г Калтан, ул. Горького, пр. Мира, -</t>
  </si>
  <si>
    <t>канализационная сеть ул. Горького, 28,32, пр. Мира, 43б</t>
  </si>
  <si>
    <t>канализационная сеть ул. Горького, 24а-пр. Мира, 37</t>
  </si>
  <si>
    <t>канализационная сеть детский сад №24-пр. Мира, 37б</t>
  </si>
  <si>
    <t>канализационная сеть ул. Горького, 22, пр. Мира, 33б, 33а, 35а</t>
  </si>
  <si>
    <t>канализационная сеть ул. Горького, 34-ул. Комсомольская, 63</t>
  </si>
  <si>
    <t>г Калтан, ул. Горького, ул. Комсомольская, -</t>
  </si>
  <si>
    <t>трасса канализации (коллектор ул. Горького, 14-ул. Комсомольская, 39)</t>
  </si>
  <si>
    <t>канализационная сеть ул. Дзержинского, 14, 16, 18</t>
  </si>
  <si>
    <t>г Калтан, ул. Дзержинского, 14, 16, 18</t>
  </si>
  <si>
    <t>канализационная сеть ул. Дзержинского, 15, 17</t>
  </si>
  <si>
    <t>г Калтан, ул. Дзержинского, 15, 17</t>
  </si>
  <si>
    <t>канализационная сеть ул. Дзержинского, 19, 21, 23</t>
  </si>
  <si>
    <t>г Калтан, ул. Дзержинского, 19, 21, 23</t>
  </si>
  <si>
    <t>канализационная сеть ул. Дзержинского, 20, 22, 24, 26, 28</t>
  </si>
  <si>
    <t>г Калтан, ул. Дзержинского, 20, 22, 24, 26, 28</t>
  </si>
  <si>
    <t>канализационная сеть ул. Дзержинского, 25, 27, 29, 31, 33</t>
  </si>
  <si>
    <t>г Калтан, ул. Дзержинского, 25, 27, 29, 31, 33</t>
  </si>
  <si>
    <t>канализационная сеть ул. Дзержинского, 30, 32, 34</t>
  </si>
  <si>
    <t>г Калтан, ул. Дзержинского, 30, 32, 34</t>
  </si>
  <si>
    <t>канализационная сеть ул. Дзержинского, 35, 37</t>
  </si>
  <si>
    <t>г Калтан, ул. Дзержинского, 35, 37</t>
  </si>
  <si>
    <t>канализационная сеть ул. Дзержинского, 36,38</t>
  </si>
  <si>
    <t>г Калтан, ул. Дзержинского, 36,38</t>
  </si>
  <si>
    <t>канализационная сеть ул. Дзержинского, 4, 6, 8, 10 ,12</t>
  </si>
  <si>
    <t>г Калтан, ул. Дзержинского, 4, 6, 8, 10, 12</t>
  </si>
  <si>
    <t>канализационная сеть ул. Дзержинского, 40,42</t>
  </si>
  <si>
    <t>г Калтан, ул. Дзержинского, 40,42</t>
  </si>
  <si>
    <t>квартальные сети п. Постоянный</t>
  </si>
  <si>
    <t>г Калтан, ул. Дзержинского, 44-33; 20-34а</t>
  </si>
  <si>
    <t>канализационная сеть ул. Дзержинского, 47</t>
  </si>
  <si>
    <t>дворовая канализация ул. Дзержинского, 49</t>
  </si>
  <si>
    <t>г Калтан, ул. Дзержинского, 49</t>
  </si>
  <si>
    <t>квартальная канализационная сеть ул. Дзержинского</t>
  </si>
  <si>
    <t>г Калтан, ул. Дзержинского, 5-33</t>
  </si>
  <si>
    <t>канализационная сеть ул. Дзержинского, 50,49,48,46, 44</t>
  </si>
  <si>
    <t>г Калтан, ул. Дзержинского, 50,49,48,46, 44</t>
  </si>
  <si>
    <t>канализационная сеть ул. Дзержинского, 51,50,53,55,57,59</t>
  </si>
  <si>
    <t>г Калтан, ул. Дзержинского, 51,50,53,55, 57,59</t>
  </si>
  <si>
    <t>канализационная сеть ул. Дзержинского, 7, 9, 13</t>
  </si>
  <si>
    <t>г Калтан, ул. Дзержинского, 7, 9, 13</t>
  </si>
  <si>
    <t>канализационная сеть ул. Калинина, 1</t>
  </si>
  <si>
    <t>г Калтан, ул. Калинина, 1</t>
  </si>
  <si>
    <t>канализационная сеть ул. Калинина, 2</t>
  </si>
  <si>
    <t>г Калтан, ул. Калинина, 2</t>
  </si>
  <si>
    <t>канализационная сеть ул. Калинина, 60</t>
  </si>
  <si>
    <t>г Калтан, ул. Калинина, 60</t>
  </si>
  <si>
    <t>канализационная сеть ул. Калинина, 16, ул. Базарная, 6</t>
  </si>
  <si>
    <t>г Калтан, ул. Калинина, ул. Базарная, -</t>
  </si>
  <si>
    <t>канализационная сеть ул. Калинина, 4-ул. Комсомольская, 37</t>
  </si>
  <si>
    <t>г Калтан, ул. Калинина, ул. Комсомольская, -</t>
  </si>
  <si>
    <t>канализационная сеть ул. Калинина, 2-ул. Комсомольская, 27</t>
  </si>
  <si>
    <t>канализационная сеть ул. Калинина, 60-ул. Комсомольская, 83</t>
  </si>
  <si>
    <t>канализационная сеть ул. Комсомольская, 1, 11</t>
  </si>
  <si>
    <t>г Калтан, ул. Комсомольская, 1, 11</t>
  </si>
  <si>
    <t>самотечный центральный коллетор г. Калтан</t>
  </si>
  <si>
    <t>г Калтан, ул. Комсомольская, 11-95</t>
  </si>
  <si>
    <t>Здание канализационной насосной станции</t>
  </si>
  <si>
    <t>г Калтан, ул. Комсомольская, 12</t>
  </si>
  <si>
    <t>очистные сооружения г. Калтан</t>
  </si>
  <si>
    <t>канализационная сеть ул. Комсомольская, 13, 15</t>
  </si>
  <si>
    <t>г Калтан, ул. Комсомольская, 13,15</t>
  </si>
  <si>
    <t>канализационная сеть ул. Комсомольская, 19,21</t>
  </si>
  <si>
    <t>г Калтан, ул. Комсомольская, 19,21</t>
  </si>
  <si>
    <t>канализационная сеть ул. Комсомольская, 25</t>
  </si>
  <si>
    <t>г Калтан, ул. Комсомольская, 25</t>
  </si>
  <si>
    <t>канализационная сеть ул. Комсомольская, 27</t>
  </si>
  <si>
    <t>г Калтан, ул. Комсомольская, 27</t>
  </si>
  <si>
    <t>канализационная сеть ул. Комсомольская, 3-5</t>
  </si>
  <si>
    <t>г Калтан, ул. Комсомольская, 3-5</t>
  </si>
  <si>
    <t>канализационная сеть ул. Комсомольская, 55</t>
  </si>
  <si>
    <t>г Калтан, ул. Комсомольская, 55</t>
  </si>
  <si>
    <t>канализационная сеть ул. Комсомольская, 57</t>
  </si>
  <si>
    <t>г Калтан, ул. Комсомольская, 57</t>
  </si>
  <si>
    <t>канализационная сеть ул. Комсомольская, 63,61</t>
  </si>
  <si>
    <t>г Калтан, ул. Комсомольская, 63,61</t>
  </si>
  <si>
    <t>канализационная сеть ул. Комсомольская, 65,67,69</t>
  </si>
  <si>
    <t>г Калтан, ул. Комсомольская, 65,67,69</t>
  </si>
  <si>
    <t>канализационная сеть ул. Комсомольская, 7-11</t>
  </si>
  <si>
    <t>г Калтан, ул. Комсомольская, 7-11</t>
  </si>
  <si>
    <t>канализационная сеть пр. Мира, 71</t>
  </si>
  <si>
    <t>г Калтан, ул. Комсомольская, 71</t>
  </si>
  <si>
    <t>канализационная сеть ул. Комсомольская, 71,73,75</t>
  </si>
  <si>
    <t>г Калтан, ул. Комсомольская, 71,73,75</t>
  </si>
  <si>
    <t>канализационная сеть ул. Комсомольская, 79, пр. Мира, 56,54,52,50</t>
  </si>
  <si>
    <t>г Калтан, ул. Комсомольская, пр. Мира, -</t>
  </si>
  <si>
    <t>канализационная сеть ул. Комсомольская, 87, пр. Мира, 58</t>
  </si>
  <si>
    <t>канализационная сеть ул. Комсомольская, 95, 93, пр. Мира, 60, 62, 64, 66, ул. Школьная, 1,3</t>
  </si>
  <si>
    <t>г Калтан, ул. Комсомольская, пр. Мира, ул. Школьная, -</t>
  </si>
  <si>
    <t>Здание КНС, г. Калтан</t>
  </si>
  <si>
    <t>г Калтан, ул. Полевая, 26</t>
  </si>
  <si>
    <t>Очистные сооружения п. Постоянный</t>
  </si>
  <si>
    <t>канализационная сеть ул. Школьная, 2</t>
  </si>
  <si>
    <t>г Калтан, ул. Школьная, 2</t>
  </si>
  <si>
    <t>Канализационная сеть до очистных сооружений</t>
  </si>
  <si>
    <t>канализационная сеть ул. 60 лет Октября, 10</t>
  </si>
  <si>
    <t>п Малиновка, ул. 60 лет Октября, 10</t>
  </si>
  <si>
    <t>канализационная сеть ул. 60 лет Октября, 11</t>
  </si>
  <si>
    <t>канализационная сеть ул. 60 лет Октября, 14</t>
  </si>
  <si>
    <t>п Малиновка, ул. 60 лет Октября, 14</t>
  </si>
  <si>
    <t>канализационная сеть ул. 60 лет Октября, 16</t>
  </si>
  <si>
    <t>канализационная сеть ул. 60 лет Октября, 18</t>
  </si>
  <si>
    <t>канализационная сеть ул. 60 лет Октября, 2</t>
  </si>
  <si>
    <t>п Малиновка, ул. 60 лет Октября, 2</t>
  </si>
  <si>
    <t>канализационная сеть к дому № 21</t>
  </si>
  <si>
    <t>п Малиновка, ул. 60 лет Октября, 21</t>
  </si>
  <si>
    <t>канализационная сеть ул. 60 лет Октября, 23</t>
  </si>
  <si>
    <t>канализационная сеть домов 25, 24</t>
  </si>
  <si>
    <t>п Малиновка, ул. 60 лет Октября, 24, 25</t>
  </si>
  <si>
    <t>канализационная сеть ул. 60 лет Октября, 25</t>
  </si>
  <si>
    <t>канализационная сеть ул. 60 лет Октября, 26</t>
  </si>
  <si>
    <t>канализационная сеть ул. 60 лет Октября, 27</t>
  </si>
  <si>
    <t>канализационная сеть ул. 60 лет Октября, 29</t>
  </si>
  <si>
    <t>канализационная сеть ул. 60 лет Октября, 4</t>
  </si>
  <si>
    <t>п Малиновка, ул. 60 лет Октября, 4</t>
  </si>
  <si>
    <t>канализационная сеть ул. 60 лет Октября, 6</t>
  </si>
  <si>
    <t>п Малиновка, ул. 60 лет Октября, 6</t>
  </si>
  <si>
    <t>канализационная сеть ул. 60 лет Октября, 9</t>
  </si>
  <si>
    <t>Очистные сооружения п. Малиновка</t>
  </si>
  <si>
    <t>п Малиновка, ул. Угольная, 1а</t>
  </si>
  <si>
    <t>п Малиновка, ул. Угольная, 4а</t>
  </si>
  <si>
    <t>{                  _x000D_
         funcDyn: 'msg1',_x000D_
         blok: 'blok_1',_x000D_
         wsCross: 'Сценарии',_x000D_
         linkFormula: 'AB-AB',_x000D_
         levelDyn: ''_x000D_
}</t>
  </si>
  <si>
    <t>Наименование параметра</t>
  </si>
  <si>
    <t>Факт по данным организации</t>
  </si>
  <si>
    <t>Факт, принятый органом регулирования</t>
  </si>
  <si>
    <t>% роста / снижения</t>
  </si>
  <si>
    <t>Отклонение (принято органом регулирования - заявлено организацией)</t>
  </si>
  <si>
    <t>et_Scenarios_tariff</t>
  </si>
  <si>
    <t>Ставка НДС</t>
  </si>
  <si>
    <t>%</t>
  </si>
  <si>
    <t>P_NDS_COMMON</t>
  </si>
  <si>
    <t>ИОР</t>
  </si>
  <si>
    <t>Индексы</t>
  </si>
  <si>
    <t>ИЭР</t>
  </si>
  <si>
    <t>l1_1</t>
  </si>
  <si>
    <t>Индекс эффективности операционных расходов</t>
  </si>
  <si>
    <t>P_IND_OP</t>
  </si>
  <si>
    <t>ИПЦ</t>
  </si>
  <si>
    <t>l1_2</t>
  </si>
  <si>
    <t>Индекс потребительских цен</t>
  </si>
  <si>
    <t>P_IND_PRICE</t>
  </si>
  <si>
    <t>l1_3</t>
  </si>
  <si>
    <t>Индекс роста цен на электроэнергию</t>
  </si>
  <si>
    <t>P_IND_PRICE_GROW</t>
  </si>
  <si>
    <t>ИКА</t>
  </si>
  <si>
    <t>l1_4</t>
  </si>
  <si>
    <t>Индекс изменения количества активов</t>
  </si>
  <si>
    <t>P_IND_ACT</t>
  </si>
  <si>
    <t>Индекс роста номинальной заработной платы</t>
  </si>
  <si>
    <t>P_IND_FOT</t>
  </si>
  <si>
    <t>Налоговые ставки</t>
  </si>
  <si>
    <t>СВФОТ</t>
  </si>
  <si>
    <t>l2_1</t>
  </si>
  <si>
    <t>Ставка страховых взносов с ФОТ</t>
  </si>
  <si>
    <t>P_INS_FOT</t>
  </si>
  <si>
    <t>l2_2</t>
  </si>
  <si>
    <t>P_NDS</t>
  </si>
  <si>
    <t>Ставка водного налога</t>
  </si>
  <si>
    <t>P_WAT_TAX</t>
  </si>
  <si>
    <t>l3_1_1</t>
  </si>
  <si>
    <t>2.1.1</t>
  </si>
  <si>
    <t>Ставка водного налога из поверхностных источников для населения</t>
  </si>
  <si>
    <t>руб./тыс.куб.м.</t>
  </si>
  <si>
    <t>P_SURF_PEOPLE</t>
  </si>
  <si>
    <t>DYN_SURF_PEOPLE</t>
  </si>
  <si>
    <t>l3_1_2</t>
  </si>
  <si>
    <t>2.2.1</t>
  </si>
  <si>
    <t>Ставка водного налога из поверхностных источников для прочих потребителей</t>
  </si>
  <si>
    <t>P_SURF_OTHER</t>
  </si>
  <si>
    <t>DYN_SURF_OTHER</t>
  </si>
  <si>
    <t>l3_2_1</t>
  </si>
  <si>
    <t>2.3.1</t>
  </si>
  <si>
    <t>Ставка водного налога из подземных источников для населения</t>
  </si>
  <si>
    <t>P_UND_PEOPLE</t>
  </si>
  <si>
    <t>DYN_UND_PEOPLE</t>
  </si>
  <si>
    <t>l3_2_2</t>
  </si>
  <si>
    <t>2.4.1</t>
  </si>
  <si>
    <t>Ставка водного налога из подземных источников для прочих потребителей</t>
  </si>
  <si>
    <t>P_UND_OTHER</t>
  </si>
  <si>
    <t>DYN_UND_OTHER</t>
  </si>
  <si>
    <t>Ставки налога на имущество</t>
  </si>
  <si>
    <t>P_RENT_TAX</t>
  </si>
  <si>
    <t>Ставка налога при УСН</t>
  </si>
  <si>
    <t>P_USN_TAX</t>
  </si>
  <si>
    <t>l6</t>
  </si>
  <si>
    <t>Доля общехозяйственных расходов</t>
  </si>
  <si>
    <t>P_HOZ_EXP</t>
  </si>
  <si>
    <t>l7</t>
  </si>
  <si>
    <t>Доля общепроизводственных расходов</t>
  </si>
  <si>
    <t>P_PROD_EXP</t>
  </si>
  <si>
    <t>Индексы приняты согласно основных параметров прогноза социально-экономического развития Российской Федерации на 2026 год и на плановый период 2027 и 2028 годов, определенных в базовом варианте прогноза социально-экономического развития Российской Федерации на 2026 год и на плановый период 2027 и 2028 годов, опубликованном 26.09.2025 года на официальном сайте Министерства экономического развития Российской Федерации.</t>
  </si>
  <si>
    <t>на основании Налогового кодекса РФ (часть вторая) от 05.08.2000 № 117-ФЗ в размере 30%, а также в соответствии с Федеральным законом от 24.07.1998 № 125 – ФЗ (0,20%).</t>
  </si>
  <si>
    <t>ставки водного налога в соответствии со ст. 333.12 Налогового кодекса РФ от 05.08.2000 № 117-ФЗ.</t>
  </si>
  <si>
    <t>{                  _x000D_
         funcDyn: 'msg1',_x000D_
         blok: 'blok_1',_x000D_
         wsCross: 'ИИКА',_x000D_
         linkFormula: 'AB-AB',_x000D_
         levelDyn: ''_x000D_
}</t>
  </si>
  <si>
    <t>P_IND_ACTIVE</t>
  </si>
  <si>
    <t>Изменение количества условных километров водопроводной (канализационной) сети</t>
  </si>
  <si>
    <t>P_IND_KM</t>
  </si>
  <si>
    <t>Изменение операционных расходов на_x000D_
водоподготовку, очистку сточных вод, связанное с вводом в эксплуатацию нового объекта водоподготовки, включая резервуары воды, очистки сточных вод в году i</t>
  </si>
  <si>
    <t>P_OPER</t>
  </si>
  <si>
    <t>P_IND_EFFECTIVE</t>
  </si>
  <si>
    <t>{                  _x000D_
         funcDyn: 'msg1',_x000D_
         blok: 'blok_1',_x000D_
         wsCross: 'Баланс',_x000D_
         linkFormula: 'AB-AB',_x000D_
         levelDyn: ''_x000D_
}</t>
  </si>
  <si>
    <t>Ссылка на правовую норму (основание для принятия показателя в расчет тарифа)</t>
  </si>
  <si>
    <t>VO/VS</t>
  </si>
  <si>
    <t>Вид воды</t>
  </si>
  <si>
    <t>P_VS_WATER_TYPE</t>
  </si>
  <si>
    <t>Объём воды из источников водоснабжения, всего</t>
  </si>
  <si>
    <t>тыс.куб.м</t>
  </si>
  <si>
    <t>P_VS_VOL_SOURCES</t>
  </si>
  <si>
    <t>l4_1</t>
  </si>
  <si>
    <t>2.1</t>
  </si>
  <si>
    <t>Поднято воды из поверхностных источников</t>
  </si>
  <si>
    <t>P_VS_VOL_SOURCES_SURF</t>
  </si>
  <si>
    <t>l4_2</t>
  </si>
  <si>
    <t>2.2</t>
  </si>
  <si>
    <t>Поднято воды из подземных источников</t>
  </si>
  <si>
    <t>P_VS_VOL_SOURCES_UND</t>
  </si>
  <si>
    <t>l4_3</t>
  </si>
  <si>
    <t>2.3</t>
  </si>
  <si>
    <t>Доочищенная сточная вода для нужд технического водоснабжения</t>
  </si>
  <si>
    <t>P_VS_STOCK_CLEAN</t>
  </si>
  <si>
    <t>Расход воды на технологические нужды всего</t>
  </si>
  <si>
    <t>P_VS_TEH_USE</t>
  </si>
  <si>
    <t>l5_1</t>
  </si>
  <si>
    <t>3.1</t>
  </si>
  <si>
    <t>Расход воды на собственные нужды водоподготовки</t>
  </si>
  <si>
    <t>P_VS_TEH_USE_SELF</t>
  </si>
  <si>
    <t>l5_2</t>
  </si>
  <si>
    <t>3.2</t>
  </si>
  <si>
    <t>Расход воды на промывку сетей</t>
  </si>
  <si>
    <t>P_VS_TEH_USE_CLEAN</t>
  </si>
  <si>
    <t>Получено воды со стороны</t>
  </si>
  <si>
    <t>P_VS_WATER_FROM_OTHER</t>
  </si>
  <si>
    <t>Объём воды, прошедшей водоподготовку (справочно)</t>
  </si>
  <si>
    <t>P_VS_VOL_PREPAIRED</t>
  </si>
  <si>
    <t>l8</t>
  </si>
  <si>
    <t>Объём воды, поданной в сеть всего</t>
  </si>
  <si>
    <t>P_VS_VOL_NETS</t>
  </si>
  <si>
    <t>l8_1</t>
  </si>
  <si>
    <t>6.1</t>
  </si>
  <si>
    <t>Объём воды, поданной в сеть из собственных источников</t>
  </si>
  <si>
    <t>P_VS_VOL_NETS_SELF</t>
  </si>
  <si>
    <t>l8_2</t>
  </si>
  <si>
    <t>6.2</t>
  </si>
  <si>
    <t>Объём воды, поданной в сеть от других операторов</t>
  </si>
  <si>
    <t>P_VS_VOL_NETS_OTHER</t>
  </si>
  <si>
    <t>l8_3</t>
  </si>
  <si>
    <t>6.3</t>
  </si>
  <si>
    <t>Получено от других территорий, дифференцированных по тарифу</t>
  </si>
  <si>
    <t>P_VS_VOL_NETS_OTHER_TERR</t>
  </si>
  <si>
    <t>l9</t>
  </si>
  <si>
    <t>Потери воды</t>
  </si>
  <si>
    <t>P_VS_LOSS</t>
  </si>
  <si>
    <t>l9_1</t>
  </si>
  <si>
    <t>7.1</t>
  </si>
  <si>
    <t>Уровень потерь воды</t>
  </si>
  <si>
    <t>P_VS_LOSS_PERCENT</t>
  </si>
  <si>
    <t>l10</t>
  </si>
  <si>
    <t>Отпущено воды, всего</t>
  </si>
  <si>
    <t>P_VS_RELEASE</t>
  </si>
  <si>
    <t>l10_1</t>
  </si>
  <si>
    <t>8.1</t>
  </si>
  <si>
    <t>Расход воды на нужды предприятия</t>
  </si>
  <si>
    <t>P_VS_RELEASE_SELF</t>
  </si>
  <si>
    <t>l10_1_1</t>
  </si>
  <si>
    <t>8.1.1</t>
  </si>
  <si>
    <t>хозяйственные нужды</t>
  </si>
  <si>
    <t>P_VS_RELEASE_SELF_HOZ</t>
  </si>
  <si>
    <t>l10_1_2</t>
  </si>
  <si>
    <t>8.1.2</t>
  </si>
  <si>
    <t>на основное производство</t>
  </si>
  <si>
    <t>P_VS_RELEASE_SELF_PROD</t>
  </si>
  <si>
    <t>l10_1_3</t>
  </si>
  <si>
    <t>8.1.3</t>
  </si>
  <si>
    <t>прочие</t>
  </si>
  <si>
    <t>P_VS_RELEASE_SELF_OTHER</t>
  </si>
  <si>
    <t>ПО</t>
  </si>
  <si>
    <t>l10_2</t>
  </si>
  <si>
    <t>8.2</t>
  </si>
  <si>
    <t>Отпущено воды другим водопроводам</t>
  </si>
  <si>
    <t>P_VS_RELEASE_OTHER_PIPES</t>
  </si>
  <si>
    <t>l10_2_1</t>
  </si>
  <si>
    <t>8.2.1</t>
  </si>
  <si>
    <t>по приборам учёта</t>
  </si>
  <si>
    <t>P_VS_RELEASE_OTHER_PIPES_METERS</t>
  </si>
  <si>
    <t>l10_2_2</t>
  </si>
  <si>
    <t>8.2.2</t>
  </si>
  <si>
    <t>по нормативам</t>
  </si>
  <si>
    <t>P_VS_RELEASE_OTHER_PIPES_NORMS</t>
  </si>
  <si>
    <t>l10_3</t>
  </si>
  <si>
    <t>8.3</t>
  </si>
  <si>
    <t>Отпущено воды по категориям потребителей</t>
  </si>
  <si>
    <t>P_VS_RELEASE_CONS</t>
  </si>
  <si>
    <t>l10_3_1</t>
  </si>
  <si>
    <t>8.3.1</t>
  </si>
  <si>
    <t>Финансируемые из бюджетов всех уровней</t>
  </si>
  <si>
    <t>P_VS_RELEASE_CONS_BUDJ</t>
  </si>
  <si>
    <t>l10_3_1_1</t>
  </si>
  <si>
    <t>8.3.1.1</t>
  </si>
  <si>
    <t>P_VS_RELEASE_CONS_BUDJ_METERS</t>
  </si>
  <si>
    <t>l10_3_1_2</t>
  </si>
  <si>
    <t>8.3.1.2</t>
  </si>
  <si>
    <t>P_VS_RELEASE_CONS_BUDJ_NORMS</t>
  </si>
  <si>
    <t>население</t>
  </si>
  <si>
    <t>l10_3_2</t>
  </si>
  <si>
    <t>8.3.2</t>
  </si>
  <si>
    <t>Население</t>
  </si>
  <si>
    <t>P_VS_RELEASE_CONS_PEOPLE</t>
  </si>
  <si>
    <t>l10_3_2_1</t>
  </si>
  <si>
    <t>8.3.2.1</t>
  </si>
  <si>
    <t>P_VS_RELEASE_CONS_PEOPLE_METERS</t>
  </si>
  <si>
    <t>l10_3_2_2</t>
  </si>
  <si>
    <t>8.3.2.2</t>
  </si>
  <si>
    <t>P_VS_RELEASE_CONS_PEOPLE_NORMS</t>
  </si>
  <si>
    <t>l10_3_3</t>
  </si>
  <si>
    <t>8.3.3</t>
  </si>
  <si>
    <t>Прочие потребители</t>
  </si>
  <si>
    <t>P_VS_RELEASE_CONS_OTHER</t>
  </si>
  <si>
    <t>l10_3_3_1</t>
  </si>
  <si>
    <t>8.3.3.1</t>
  </si>
  <si>
    <t>P_VS_RELEASE_CONS_OTHER_METERS</t>
  </si>
  <si>
    <t>l10_3_3_2</t>
  </si>
  <si>
    <t>8.3.3.2</t>
  </si>
  <si>
    <t>P_VS_RELEASE_CONS_OTHER_NORMS</t>
  </si>
  <si>
    <t>l10_4</t>
  </si>
  <si>
    <t>8.4</t>
  </si>
  <si>
    <t>Передано на другие территории, дифференцированные по тарифу</t>
  </si>
  <si>
    <t>P_VS_RELEASE_OTHER_TERR</t>
  </si>
  <si>
    <t>8.5</t>
  </si>
  <si>
    <t>Для приготовления горячей воды (справочно)</t>
  </si>
  <si>
    <t>P_VS_RELEASE_HOT</t>
  </si>
  <si>
    <t>P_VS_TR_WATER_TYPE</t>
  </si>
  <si>
    <t>Объём воды, поступившей в сеть</t>
  </si>
  <si>
    <t>P_VS_TR_VOL_NETS</t>
  </si>
  <si>
    <t>из собственных источников</t>
  </si>
  <si>
    <t>P_VS_TR_VOL_NETS_SELF</t>
  </si>
  <si>
    <t>от других операторов</t>
  </si>
  <si>
    <t>P_VS_TR_VOL_NETS_OTHER</t>
  </si>
  <si>
    <t>получено от других территорий, дифференцированных по тарифу</t>
  </si>
  <si>
    <t>P_VS_TR_VOL_NETS_OTHER_TERR</t>
  </si>
  <si>
    <t>P_VS_TR_LOSS</t>
  </si>
  <si>
    <t>P_VS_TR_LOSS_PERCENT</t>
  </si>
  <si>
    <t>P_VS_TR_RELEASE_SELF</t>
  </si>
  <si>
    <t>l6_1</t>
  </si>
  <si>
    <t>4.1</t>
  </si>
  <si>
    <t>P_VS_TR_RELEASE_SELF_HOZ</t>
  </si>
  <si>
    <t>l6_2</t>
  </si>
  <si>
    <t>4.2</t>
  </si>
  <si>
    <t>P_VS_TR_RELEASE_SELF_PROD</t>
  </si>
  <si>
    <t>P_VS_TR_RELEASE_OTHER_PIPES</t>
  </si>
  <si>
    <t>l7_1</t>
  </si>
  <si>
    <t>5.1</t>
  </si>
  <si>
    <t>P_VS_TR_RELEASE_OTHER_PIPES_METERS</t>
  </si>
  <si>
    <t>l7_2</t>
  </si>
  <si>
    <t>5.2</t>
  </si>
  <si>
    <t>P_VS_TR_RELEASE_OTHER_PIPES_NORMS</t>
  </si>
  <si>
    <t>P_VS_TR_RELEASE_OTHER_TERR</t>
  </si>
  <si>
    <t>P_VS_TR_RELEASE_HOT</t>
  </si>
  <si>
    <t>Вид стоков</t>
  </si>
  <si>
    <t>P_VO_STOK_TYPE</t>
  </si>
  <si>
    <t>Принято сточных вод, всего</t>
  </si>
  <si>
    <t>P_VO_STOK_ACCEPT</t>
  </si>
  <si>
    <t>Хозяйственные нужды предприятия</t>
  </si>
  <si>
    <t>P_VO_STOK_SELF</t>
  </si>
  <si>
    <t>Принято по категориям потребителей</t>
  </si>
  <si>
    <t>P_VO_ACCEPT_CONS</t>
  </si>
  <si>
    <t>P_VO_ACCEPT_CONS_BUDJ</t>
  </si>
  <si>
    <t>l6_1_1</t>
  </si>
  <si>
    <t>4.1.1</t>
  </si>
  <si>
    <t>P_VO_ACCEPT_CONS_BUDJ_METERS</t>
  </si>
  <si>
    <t>l6_1_2</t>
  </si>
  <si>
    <t>4.1.2</t>
  </si>
  <si>
    <t>P_VO_ACCEPT_CONS_BUDJ_NORMS</t>
  </si>
  <si>
    <t>P_VO_ACCEPT_CONS_PEOPLE</t>
  </si>
  <si>
    <t>l6_2_1</t>
  </si>
  <si>
    <t>4.2.1</t>
  </si>
  <si>
    <t>P_VO_ACCEPT_CONS_PEOPLE_METERS</t>
  </si>
  <si>
    <t>l6_2_2</t>
  </si>
  <si>
    <t>4.2.2</t>
  </si>
  <si>
    <t>P_VO_ACCEPT_CONS_PEOPLE_NORMS</t>
  </si>
  <si>
    <t>l6_3</t>
  </si>
  <si>
    <t>4.3</t>
  </si>
  <si>
    <t>P_VO_ACCEPT_CONS_OTHER</t>
  </si>
  <si>
    <t>l6_3_1</t>
  </si>
  <si>
    <t>4.3.1</t>
  </si>
  <si>
    <t>P_VO_ACCEPT_CONS_OTHER_METERS</t>
  </si>
  <si>
    <t>l6_3_2</t>
  </si>
  <si>
    <t>4.3.2</t>
  </si>
  <si>
    <t>P_VO_ACCEPT_CONS_OTHER_NORMS</t>
  </si>
  <si>
    <t>l6_4</t>
  </si>
  <si>
    <t>4.4</t>
  </si>
  <si>
    <t>Принято сточных вод от других канализационных сетей</t>
  </si>
  <si>
    <t>P_VO_ACCEPT_CONS_OTHER_SEWER</t>
  </si>
  <si>
    <t>l6_4_1</t>
  </si>
  <si>
    <t>4.4.1</t>
  </si>
  <si>
    <t>P_VO_ACCEPT_CONS_OTHER_SEWER_METERS</t>
  </si>
  <si>
    <t>l6_4_2</t>
  </si>
  <si>
    <t>4.4.2</t>
  </si>
  <si>
    <t>P_VO_ACCEPT_CONS_OTHER_SEWER_NORMS</t>
  </si>
  <si>
    <t>l6_5</t>
  </si>
  <si>
    <t>4.5</t>
  </si>
  <si>
    <t>P_VO_ACCEPT_OTHER_TERR</t>
  </si>
  <si>
    <t>Неучтённый приток сточных вод</t>
  </si>
  <si>
    <t>P_VO_STOK_UNACC</t>
  </si>
  <si>
    <t>Объём сточных вод, прошедших очистку (справочно)</t>
  </si>
  <si>
    <t>P_VO_STOK_VOL_CLEAN</t>
  </si>
  <si>
    <t>Пропущено через собственные очистные сооружения</t>
  </si>
  <si>
    <t>P_VO_STOK_SELF_STATIONS</t>
  </si>
  <si>
    <t>Передано сточных вод другим канализациям</t>
  </si>
  <si>
    <t>P_VO_STOK_OTHER_SEWERS</t>
  </si>
  <si>
    <t>На очистные сооружения</t>
  </si>
  <si>
    <t>P_VO_STOK_OTHER_SEWERS_CLEAN</t>
  </si>
  <si>
    <t>В канализационную сеть</t>
  </si>
  <si>
    <t>P_VO_STOK_OTHER_SEWERS_NETS</t>
  </si>
  <si>
    <t>l11</t>
  </si>
  <si>
    <t>P_VO_RELEASE_OTHER_TERR</t>
  </si>
  <si>
    <t>l12</t>
  </si>
  <si>
    <t>Сброшенные воды без очистки</t>
  </si>
  <si>
    <t>P_VO_STOK_UNCLEAN</t>
  </si>
  <si>
    <t>P_VO_TR_STOK_TYPE</t>
  </si>
  <si>
    <t>Объём транспортируемых сточных вод</t>
  </si>
  <si>
    <t>P_VO_TR_STOK_VOL</t>
  </si>
  <si>
    <t>на собственные очистные сооружения</t>
  </si>
  <si>
    <t>P_VO_TR_STOK_VOL_SELF</t>
  </si>
  <si>
    <t>другим организациям</t>
  </si>
  <si>
    <t>P_VO_TR_STOK_VOL_OTHER_ORG</t>
  </si>
  <si>
    <t>P_VO_TR_STOK_VOL_OTHER_TERR</t>
  </si>
  <si>
    <t>Приём сточных вод, поступающих на очистные сооружения</t>
  </si>
  <si>
    <t>P_VO_TR_STOK_ACCEPT_CLEAN</t>
  </si>
  <si>
    <t>от собственных нужд</t>
  </si>
  <si>
    <t>P_VO_TR_STOK_ACCEPT_CLEAN_SELF</t>
  </si>
  <si>
    <t>от других канализаций или отдельных канализационных сетей</t>
  </si>
  <si>
    <t>P_VO_TR_STOK_ACCEPT_CLEAN_OTHER_SEWER</t>
  </si>
  <si>
    <t>l5_2_1</t>
  </si>
  <si>
    <t>3.2.1</t>
  </si>
  <si>
    <t>P_VO_TR_STOK_ACCEPT_CLEAN_OTHER_SEWER_METER</t>
  </si>
  <si>
    <t>l5_2_2</t>
  </si>
  <si>
    <t>3.2.2</t>
  </si>
  <si>
    <t>P_VO_TR_STOK_ACCEPT_CLEAN_OTHER_SEWER_NORMS</t>
  </si>
  <si>
    <t>l5_3</t>
  </si>
  <si>
    <t>3.3</t>
  </si>
  <si>
    <t>P_VO_TR_ACCEPT_OTHER_TERR</t>
  </si>
  <si>
    <t>объем рассчитан от общего объема поднятой воды за период с июня 2024 по май 2025 года в размере 8300,83911 тыс. м3 без учета объемов для потребителей г. Калтан.</t>
  </si>
  <si>
    <t>в соответствии с выданными долгосрочными параметрами регулирования.</t>
  </si>
  <si>
    <t>в соответствии с п.4-5 Методических указаний 1746-э, динамика за 3 года отсутствует, так как тарифы для предыдущей организации были утверждены с 21.08.2024, объемы приняты по предложению организации, снижение объемов не превышает 5%.</t>
  </si>
  <si>
    <t>так как тарифы для предыдущей организации были утверждены с 21.08.2024, объемы приняты по предложению организации. Объем для потребителей г. Калтан, получен от Водозабора №1 г. Осинники ООО Теплоэнерго.</t>
  </si>
  <si>
    <t>в соответствии с п.4-5 Методических указаний 1746-э, динамика за 3 года отсутствует, так как тарифы для предыдущей организации были утверждены с 21.08.2024, объемы приняты по предложению организации.</t>
  </si>
  <si>
    <t>принято по плану 2025 года, утвержденного для предыдущей организации (план 2025 года сформирован от факта 2023 года).</t>
  </si>
  <si>
    <t>{                  _x000D_
         funcDyn: 'msg1',_x000D_
         blok: 'blok_1',_x000D_
         wsCross: 'Условные метры',_x000D_
         linkFormula: 'AB-AB',_x000D_
         levelDyn: ''_x000D_
}</t>
  </si>
  <si>
    <t>l9_2</t>
  </si>
  <si>
    <t>l9_3</t>
  </si>
  <si>
    <t>l9_4</t>
  </si>
  <si>
    <t>l13</t>
  </si>
  <si>
    <t>l14</t>
  </si>
  <si>
    <t>PJ_UM</t>
  </si>
  <si>
    <t>Диаметр трубопровода</t>
  </si>
  <si>
    <t>№_x000D_
п/п</t>
  </si>
  <si>
    <t>Размер диаметра трубопровода, мм</t>
  </si>
  <si>
    <t>Тип материала трубопровода</t>
  </si>
  <si>
    <t>Тип грунта</t>
  </si>
  <si>
    <t>Глубина грунта, м</t>
  </si>
  <si>
    <t>Средняя стоимость строительства 1 км трубопровода, _x000D_
тыс. руб.</t>
  </si>
  <si>
    <t>Средняя стоимость строительства 1 км трубопровода диаметром 500 мм, тыс.руб.</t>
  </si>
  <si>
    <t>Источник информации по средней стоимости строительства</t>
  </si>
  <si>
    <t>Kd</t>
  </si>
  <si>
    <t>Протяженность</t>
  </si>
  <si>
    <t>усл.км</t>
  </si>
  <si>
    <t>Итог</t>
  </si>
  <si>
    <t>P_UM</t>
  </si>
  <si>
    <t>DYN_UM</t>
  </si>
  <si>
    <t>{                  _x000D_
         funcDyn: 'diam',_x000D_
         blok: '',_x000D_
         wsCross: '',_x000D_
         linkFormula: '',_x000D_
         levelDyn: '1'_x000D_
}</t>
  </si>
  <si>
    <t>{                  _x000D_
         funcDyn: 'msg1',_x000D_
         blok: 'blok_1',_x000D_
         wsCross: 'Сырье и материалы',_x000D_
         linkFormula: 'AB-AB',_x000D_
         levelDyn: ''_x000D_
}</t>
  </si>
  <si>
    <t xml:space="preserve"> Расходы на сырье и материалы</t>
  </si>
  <si>
    <t>Всего по тарифу</t>
  </si>
  <si>
    <t>тыс.руб.</t>
  </si>
  <si>
    <t>PJ_REAG_TOTAL</t>
  </si>
  <si>
    <t>Реагенты</t>
  </si>
  <si>
    <t>PJ_REAG_SUM</t>
  </si>
  <si>
    <t>PJ_REAG</t>
  </si>
  <si>
    <t>DYN_REAG</t>
  </si>
  <si>
    <t>Расход (ед. изм.)</t>
  </si>
  <si>
    <t>т</t>
  </si>
  <si>
    <t>PJ_CONS</t>
  </si>
  <si>
    <t>Цена за тонну</t>
  </si>
  <si>
    <t>руб.</t>
  </si>
  <si>
    <t>PJ_PRICE</t>
  </si>
  <si>
    <t>Горюче-смазочные материалы</t>
  </si>
  <si>
    <t>PJ_GSM_TOTAL</t>
  </si>
  <si>
    <t>Расходы на горюче-смазочные материалы, не превышающие 5 процентов_x000D_
общей величины расходов на сырье и материалы</t>
  </si>
  <si>
    <t>PJ_GSM_UNDER_5</t>
  </si>
  <si>
    <t>Расходы на горюче-смазочные материалы, превышающие 5 процентов_x000D_
общей величины расходов на сырье и материалы, в том числе:</t>
  </si>
  <si>
    <t>PJ_GSM_OVER_5</t>
  </si>
  <si>
    <t>PJ_GSM</t>
  </si>
  <si>
    <t>DYN_GSM</t>
  </si>
  <si>
    <t>Цена за единицу</t>
  </si>
  <si>
    <t>{                  _x000D_
         funcDyn: 'msg',_x000D_
         blok: '',_x000D_
         wsCross: '',_x000D_
         linkFormula: '',_x000D_
         levelDyn: '2'_x000D_
}</t>
  </si>
  <si>
    <t>Материалы</t>
  </si>
  <si>
    <t>Материалы и малоценные основные средства</t>
  </si>
  <si>
    <t>PJ_MAT_TOTAL</t>
  </si>
  <si>
    <t>Расходы на материалы и малоценные основные средства, не превышающие 5 процентов общей величины расходов на сырье и материалы</t>
  </si>
  <si>
    <t>PJ_MAT_UNDER_5</t>
  </si>
  <si>
    <t>Расходы на материалы и малоценные основные средства, превышающие 5 процентов общей величины расходов на сырье и материалы, в том числе:</t>
  </si>
  <si>
    <t>PJ_MAT_OVER_5</t>
  </si>
  <si>
    <t>PJ_MAT</t>
  </si>
  <si>
    <t>DYN_MAT</t>
  </si>
  <si>
    <t>{                  _x000D_
         funcDyn: 'msg',_x000D_
         blok: '',_x000D_
         wsCross: '',_x000D_
         linkFormula: '',_x000D_
         levelDyn: '3'_x000D_
}</t>
  </si>
  <si>
    <t xml:space="preserve">В соответствии с п.п.10 п.49 Методических указаний 1746-э. </t>
  </si>
  <si>
    <t>хлор жидкий</t>
  </si>
  <si>
    <t>по факту с июня 2024 по май 2025 предыдущей организации.</t>
  </si>
  <si>
    <t>по счет-фактуре от 09.07.2025 ООО ТД Химпром (предыдущей организации) с ИПЦ Минэкономразвития России на химпродукты на 2026 год 104%.</t>
  </si>
  <si>
    <t>гипохлорит натрия</t>
  </si>
  <si>
    <t>по счет-фактуре от 17.04.2025 ООО ТД Химпром (предыдущей организации) с ИПЦ Минэкономразвития России на химпродукты на 2026 год 104%.</t>
  </si>
  <si>
    <t>оксихлорид алюминия</t>
  </si>
  <si>
    <t>по предложению организации, не превышает факт предыдущей организации.</t>
  </si>
  <si>
    <t>по счет-фактуре от 07.08.2025 ООО Сибресурс (предыдущей организации) с ИПЦ Минэкономразвития России на химпродукты на 2026 год 104%.</t>
  </si>
  <si>
    <t>праестол</t>
  </si>
  <si>
    <t>по счет-фактуре от 11.02.2025 ООО МИК (предыдущей организации) с ИПЦ Минэкономразвития России на химпродукты на 2026 год 104%.</t>
  </si>
  <si>
    <t>медный купарос</t>
  </si>
  <si>
    <t>цена рассчитана от факта 2024 года предыдущей организации, с применением ИПЦ Минэкономразвития России на химпродукты на 2025 год 104,2%, на 2026 год 104,0%.</t>
  </si>
  <si>
    <t>сода кальцинированная</t>
  </si>
  <si>
    <t>по счет-фактуре от 28.01.2025 ИП Тугушев (предыдущей организации) с ИПЦ Минэкономразвития России на химпродукты на 2026 год 104%.</t>
  </si>
  <si>
    <t>В соответствии с п.п. 1 п. 18 Методических указаний 1746-э.</t>
  </si>
  <si>
    <t>по предложению организации, с учетом нормативов расхода ГСМ</t>
  </si>
  <si>
    <t>принято по предложению организации сформированным от факта  с июня по декабрь 2024 года предыдущей организации в пересчете на годовые показатели, с применением ИПЦ Минэкономразвития России на 2025 год 109,0%, на 2026 год 105,1%.</t>
  </si>
  <si>
    <t>по предложению организации.</t>
  </si>
  <si>
    <t>по счет-фактуре от 15.07.2025 ООО ТД Химпром (предыдущей организации) с ИПЦ Минэкономразвития России на химпродукты на 2026 год 104%.</t>
  </si>
  <si>
    <t>принято по предложению организации сформированным от факта  с января по май 2025 года предыдущей организации в пересчете на годовые показатели, с применением ИПЦ Минэкономразвития России на 2026 год 105,1%.</t>
  </si>
  <si>
    <t>принято по предложению организации и не превышает факт  с июня по декабрь 2024 года предыдущей организации в пересчете на годовые показатели, с применением ИПЦ Минэкономразвития России на 2025 год 109,0%, на 2026 год 105,1%.</t>
  </si>
  <si>
    <t>{                  _x000D_
         funcDyn: 'msg1',_x000D_
         blok: 'blok_1',_x000D_
         wsCross: 'ЭЭ',_x000D_
         linkFormula: 'AB-AB',_x000D_
         levelDyn: ''_x000D_
}</t>
  </si>
  <si>
    <t>Заявленная величина соответствует сумме затрат, рассчитанных регулятором при предоставлении предельных значений долгосрочных параметров регулирования тарифов инициатору на заключение концессионного соглашения, а также заключенному концессионному соглашению.</t>
  </si>
  <si>
    <t>PJ_NAME_ORG</t>
  </si>
  <si>
    <t>P_TOTAL_MONEY</t>
  </si>
  <si>
    <t>Объём покупаемой электроэнергии всего</t>
  </si>
  <si>
    <t>тыс.кВтч</t>
  </si>
  <si>
    <t>P_VOL_EE</t>
  </si>
  <si>
    <t>Объём воды/сточных вод</t>
  </si>
  <si>
    <t>тыс.куб.м.</t>
  </si>
  <si>
    <t>P_VOL_WATER</t>
  </si>
  <si>
    <t>Средний (расчетный) тариф</t>
  </si>
  <si>
    <t>руб./кВтч</t>
  </si>
  <si>
    <t>P_AVG_TAR</t>
  </si>
  <si>
    <t>Удельный расход электроэнергии</t>
  </si>
  <si>
    <t>кВтч/куб.м.</t>
  </si>
  <si>
    <t>P_EE_CONS</t>
  </si>
  <si>
    <t>Одноставочный тариф</t>
  </si>
  <si>
    <t>P_ONE_MONEY</t>
  </si>
  <si>
    <t>DYN_ONE</t>
  </si>
  <si>
    <t>Тариф на электроэнергию</t>
  </si>
  <si>
    <t>P_ONE_TAR</t>
  </si>
  <si>
    <t>Объём покупной электроэнергии</t>
  </si>
  <si>
    <t>P_ONE_VOL</t>
  </si>
  <si>
    <t>!== 'не определено' &amp;&amp; row.l6 !== null</t>
  </si>
  <si>
    <t>Двухставочный тариф</t>
  </si>
  <si>
    <t>P_DBL_MONEY</t>
  </si>
  <si>
    <t>DYN_DBL</t>
  </si>
  <si>
    <t>Затраты на электроэнергию</t>
  </si>
  <si>
    <t xml:space="preserve">тыс.руб. </t>
  </si>
  <si>
    <t>P_DBL_EE</t>
  </si>
  <si>
    <t>l7_1_1</t>
  </si>
  <si>
    <t>P_DBL_EE_TAR</t>
  </si>
  <si>
    <t>l7_1_2</t>
  </si>
  <si>
    <t>P_DBL_EE_VOL</t>
  </si>
  <si>
    <t>Затраты на электрическую мощность</t>
  </si>
  <si>
    <t>P_DBL_POWER_MONEY</t>
  </si>
  <si>
    <t>l7_2_1</t>
  </si>
  <si>
    <t>Тариф на электрическую мощность</t>
  </si>
  <si>
    <t>руб./МВт в мес</t>
  </si>
  <si>
    <t>P_DBL_POWER_TAR</t>
  </si>
  <si>
    <t>l7_2_2</t>
  </si>
  <si>
    <t>Объём покупной мощности</t>
  </si>
  <si>
    <t>МВт в мес.</t>
  </si>
  <si>
    <t>P_DBL_POWER_VOL</t>
  </si>
  <si>
    <t>!== 'не определено' &amp;&amp; row.l7 !== null</t>
  </si>
  <si>
    <t>{                  _x000D_
         funcDyn: 'msg',_x000D_
         blok: '',_x000D_
         wsCross: '',_x000D_
         linkFormula: '',_x000D_
         levelDyn: '2',_x000D_
         addDynValue: 'det_name|AC|0'_x000D_
}</t>
  </si>
  <si>
    <t xml:space="preserve">Добавить </t>
  </si>
  <si>
    <t>В соответствии с п. 20 Методических указаний расходы регулируемой организации на приобретаемые электрическую энергию (мощность), тепловую энергию (мощность), другие виды энергетических ресурсов, холодную воду, теплоноситель определяются как сумма произведений расчетных экономически (технологически, технически) обоснованных объемов приобретаемых электрической энергии (мощности), тепловой энергии (мощности), других видов энергетических ресурсов холодной воды на соответственно плановые (расчетные) цены (тарифы) на электрическую энергию (мощность), тепловую энергию (мощность), другие виды энергетических ресурсов, холодную воду. Объемы приобретаемой электрической энергии (мощности), тепловой энергии (мощности) определяются с учетом показателей надежности, качества, энергетической эффективности в сфере водоснабжения и (или) водоотведения, определенных в установленном порядке.</t>
  </si>
  <si>
    <t>ПАО "Кузбассэнергосбыт" (ИНН: 4205109214, КПП: 420501001)</t>
  </si>
  <si>
    <t>НН</t>
  </si>
  <si>
    <t>тариф рассчитан по факту 8 мес.2025 года предыдущей организации, с применением ИЦП Минэкономразвития России на 2026 год 113,2%.</t>
  </si>
  <si>
    <t>объем электроэнергии рассчитан по удельному расходу факта предыдущей организации с июня 2024 по май 2025 года на объемы воды, принятые в расчет.</t>
  </si>
  <si>
    <t>объем электроэнергии рассчитан по удельному расходу электроэнергии факта предыдущей организации с июня 2024 по май 2025 года на объемы электроэнергии, принятые в расчет.</t>
  </si>
  <si>
    <t>СН2</t>
  </si>
  <si>
    <t>СН1</t>
  </si>
  <si>
    <t>{                  _x000D_
         funcDyn: 'msg1',_x000D_
         blok: 'blok_1',_x000D_
         wsCross: 'Амортизация',_x000D_
         linkFormula: 'AB-AB',_x000D_
         levelDyn: ''_x000D_
}</t>
  </si>
  <si>
    <t xml:space="preserve"> Амортизация основных средств и нематериальных активов, относимых к объектам централизованной системы водоснабжения/водоотведения</t>
  </si>
  <si>
    <t>et_Amortization_tariff</t>
  </si>
  <si>
    <t>Первоначальная (восстановительная) стоимость на начало периода</t>
  </si>
  <si>
    <t>P_FUNDS_INIT_TOTAL</t>
  </si>
  <si>
    <t>1.1</t>
  </si>
  <si>
    <t>Здания</t>
  </si>
  <si>
    <t>P_FUNDS_INIT_BUILD</t>
  </si>
  <si>
    <t>1.2</t>
  </si>
  <si>
    <t>Сооружения и передаточные устройства</t>
  </si>
  <si>
    <t>P_FUNDS_INIT_STRUCT</t>
  </si>
  <si>
    <t>1.3</t>
  </si>
  <si>
    <t>Машины и оборудование</t>
  </si>
  <si>
    <t>P_FUNDS_INIT_MACHINES</t>
  </si>
  <si>
    <t>1.4</t>
  </si>
  <si>
    <t>Транспорт</t>
  </si>
  <si>
    <t>P_FUNDS_INIT_TRANSPORT</t>
  </si>
  <si>
    <t>l1_5</t>
  </si>
  <si>
    <t>1.5</t>
  </si>
  <si>
    <t>Прочее</t>
  </si>
  <si>
    <t>P_FUNDS_INIT_OTHER</t>
  </si>
  <si>
    <t>Ввод основных фондов</t>
  </si>
  <si>
    <t>P_FUNDS_ENTRY_TOTAL</t>
  </si>
  <si>
    <t>P_FUNDS_ENTRY_BUILD</t>
  </si>
  <si>
    <t>P_FUNDS_ENTRY_STRUCT</t>
  </si>
  <si>
    <t>l2_3</t>
  </si>
  <si>
    <t>P_FUNDS_ENTRY_MACHINES</t>
  </si>
  <si>
    <t>l2_4</t>
  </si>
  <si>
    <t>2.4</t>
  </si>
  <si>
    <t>P_FUNDS_ENTRY_TRANSPORT</t>
  </si>
  <si>
    <t>l2_5</t>
  </si>
  <si>
    <t>2.5</t>
  </si>
  <si>
    <t>P_FUNDS_ENTRY_OTHER</t>
  </si>
  <si>
    <t>Выбытие основных фондов</t>
  </si>
  <si>
    <t>P_FUNDS_OUT_TOTAL</t>
  </si>
  <si>
    <t>l3_1</t>
  </si>
  <si>
    <t>P_FUNDS_OUT_BUILD</t>
  </si>
  <si>
    <t>l3_2</t>
  </si>
  <si>
    <t>P_FUNDS_OUT_STRUCT</t>
  </si>
  <si>
    <t>l3_3</t>
  </si>
  <si>
    <t>P_FUNDS_OUT_MACHINES</t>
  </si>
  <si>
    <t>l3_4</t>
  </si>
  <si>
    <t>3.4</t>
  </si>
  <si>
    <t>P_FUNDS_OUT_TRANSPORT</t>
  </si>
  <si>
    <t>l3_5</t>
  </si>
  <si>
    <t>3.5</t>
  </si>
  <si>
    <t>P_FUNDS_OUT_OTHER</t>
  </si>
  <si>
    <t>Первоначальная (восстановительная) стоимость на конец периода</t>
  </si>
  <si>
    <t>P_INIT_PRICE_TOTAL</t>
  </si>
  <si>
    <t>P_INIT_PRICE_BUILD</t>
  </si>
  <si>
    <t>P_INIT_PRICE_STRUCT</t>
  </si>
  <si>
    <t>P_INIT_PRICE_MACHINES</t>
  </si>
  <si>
    <t>l4_4</t>
  </si>
  <si>
    <t>P_INIT_PRICE_TRANSPORT</t>
  </si>
  <si>
    <t>l4_5</t>
  </si>
  <si>
    <t>P_INIT_PRICE_OTHER</t>
  </si>
  <si>
    <t>Среднегодовая стоимость</t>
  </si>
  <si>
    <t>P_AVG_YEAR_PRICE_TOTAL</t>
  </si>
  <si>
    <t>P_AVG_YEAR_PRICE_BUILD</t>
  </si>
  <si>
    <t>P_AVG_YEAR_PRICE_STRUCT</t>
  </si>
  <si>
    <t>5.3</t>
  </si>
  <si>
    <t>P_AVG_YEAR_PRICE_MACHINES</t>
  </si>
  <si>
    <t>l5_4</t>
  </si>
  <si>
    <t>5.4</t>
  </si>
  <si>
    <t>P_AVG_YEAR_PRICE_TRANSPORT</t>
  </si>
  <si>
    <t>l5_5</t>
  </si>
  <si>
    <t>5.5</t>
  </si>
  <si>
    <t>P_AVG_YEAR_PRICE_OTHER</t>
  </si>
  <si>
    <t>Средняя норма амортизационных отчислений</t>
  </si>
  <si>
    <t>P_AVG_AMOR_TOTAL</t>
  </si>
  <si>
    <t>P_AVG_AMOR_BUILD</t>
  </si>
  <si>
    <t>P_AVG_AMOR_STRUCT</t>
  </si>
  <si>
    <t>P_AVG_AMOR_MACHINES</t>
  </si>
  <si>
    <t>6.4</t>
  </si>
  <si>
    <t>P_AVG_AMOR_TRANSPORT</t>
  </si>
  <si>
    <t>6.5</t>
  </si>
  <si>
    <t>P_AVG_AMOR_OTHER</t>
  </si>
  <si>
    <t>Сумма амортизационных отчислений</t>
  </si>
  <si>
    <t>P_SUM_AMOR_TOTAL</t>
  </si>
  <si>
    <t>P_SUM_AMOR_BUILD</t>
  </si>
  <si>
    <t>7.2</t>
  </si>
  <si>
    <t>P_SUM_AMOR_STRUCT</t>
  </si>
  <si>
    <t>l7_3</t>
  </si>
  <si>
    <t>7.3</t>
  </si>
  <si>
    <t>P_SUM_AMOR_MACHINES</t>
  </si>
  <si>
    <t>l7_4</t>
  </si>
  <si>
    <t>7.4</t>
  </si>
  <si>
    <t>P_SUM_AMOR_TRANSPORT</t>
  </si>
  <si>
    <t>l7_5</t>
  </si>
  <si>
    <t>7.5</t>
  </si>
  <si>
    <t>P_SUM_AMOR_OTHER</t>
  </si>
  <si>
    <t>Переоценка на 31.12.XX</t>
  </si>
  <si>
    <t>P_REPRICE_TOTAL</t>
  </si>
  <si>
    <t>P_REPRICE_BUILD</t>
  </si>
  <si>
    <t>P_REPRICE_STRUCT</t>
  </si>
  <si>
    <t>P_REPRICE_MACHINES</t>
  </si>
  <si>
    <t>l8_4</t>
  </si>
  <si>
    <t>P_REPRICE_TRANSPORT</t>
  </si>
  <si>
    <t>l8_5</t>
  </si>
  <si>
    <t>P_REPRICE_OTHER</t>
  </si>
  <si>
    <t xml:space="preserve">Расходы приняты регулятором в сумме амортизации как источника инвестиционной программы в соответствии с заключенным концессионным соглашением, на уровне расходов, принятых при формировании НВВ как существенного условия заключенного концессионного соглашения </t>
  </si>
  <si>
    <t>{                  _x000D_
         funcDyn: 'msg1',_x000D_
         blok: 'blok_1',_x000D_
         wsCross: 'Амортизация (аналог)',_x000D_
         linkFormula: 'AB-AB',_x000D_
         levelDyn: ''_x000D_
}</t>
  </si>
  <si>
    <t xml:space="preserve">В соответствии с п.28 Методических указаний расходы на амортизацию основных средств и нематериальных активов для расчета тарифов определяются в соответствии с нормативными правовыми актами Российской Федерации, регулирующими отношения в сфере бухгалтерского учета.
Результаты переоценки основных средств и нематериальных активов учитываются органом регулирования только в той части, в какой соответствующие амортизационные отчисления являются источником финансирования капитальных вложений в соответствии с инвестиционной программой регулируемой организации.
</t>
  </si>
  <si>
    <t>Расходы на амортизацию основных средств и нематериальных активов для расчета тарифов определяются на уровне, равном сумме отношений стоимости амортизируемых активов регулируемой организации к сроку полезного использования таких активов, принадлежащих ей на праве собственности или на ином законном основании.</t>
  </si>
  <si>
    <t>При расчете экономически обоснованного размера амортизации на плановый период регулирования срок полезного использования активов и отнесение этих активов к соответствующей амортизационной группе определяются органами регулирования в соответствии с максимальными сроками полезного использования, установленными Классификацией основных средств, включаемых в амортизационные группы, утвержденной постановлением Правительства Российской Федерации от 1 января 2002 г. № 1 (Собрание законодательства Российской Федерации, 2002, № 1, ст. 52; 2020, № 1, ст. 104).</t>
  </si>
  <si>
    <t>Единица измерений</t>
  </si>
  <si>
    <t>et_Rent_tariff</t>
  </si>
  <si>
    <t>Арендная и концессионная плата, лизинговые платежи</t>
  </si>
  <si>
    <t>Арендная и концессионная плата. Лизинговые платежи в отношении централизованных систем водоснабжения и (или) водоотведения либо объектов, входящих в состав таких систем</t>
  </si>
  <si>
    <t>P_RENT_CONC</t>
  </si>
  <si>
    <t>Аренда имущества</t>
  </si>
  <si>
    <t>P_RENT_PROPERTY</t>
  </si>
  <si>
    <t>l1_1_1</t>
  </si>
  <si>
    <t>1.1.1</t>
  </si>
  <si>
    <t>Аренда муниципальной или государственной собственности</t>
  </si>
  <si>
    <t>P_RENT_GOS</t>
  </si>
  <si>
    <t>l1_1_2</t>
  </si>
  <si>
    <t>1.1.2</t>
  </si>
  <si>
    <t>Аренда частной собственности</t>
  </si>
  <si>
    <t>P_RENT_PRIV</t>
  </si>
  <si>
    <t>Концессия</t>
  </si>
  <si>
    <t>Концессионная плата</t>
  </si>
  <si>
    <t>P_CONC</t>
  </si>
  <si>
    <t>Лизинг</t>
  </si>
  <si>
    <t>Лизинговые платежи</t>
  </si>
  <si>
    <t>P_LEASE</t>
  </si>
  <si>
    <t>Аренда зем. Участков</t>
  </si>
  <si>
    <t>Аренда земельных участков</t>
  </si>
  <si>
    <t>P_RENT_LAND</t>
  </si>
  <si>
    <t>1.4.1</t>
  </si>
  <si>
    <t>Аренда земельных участков, находяцихся в государственной или муниципальной собственности</t>
  </si>
  <si>
    <t>P_RENT_LAND_GOS</t>
  </si>
  <si>
    <t>1.4.2</t>
  </si>
  <si>
    <t>Аренда земельных участков, находящихся в собственности граждан и юридических лиц</t>
  </si>
  <si>
    <t>P_RENT_LAND_PRIV</t>
  </si>
  <si>
    <t>В соответствии с п.п.3 п.49 Методических указаний 1746-э расходы на арендную плату и лизинговые платежи, размер которых определяется с учетом требований, предусмотренных пунктом 29 настоящих Методических указаний.​</t>
  </si>
  <si>
    <t>{                  _x000D_
         funcDyn: 'msg1',_x000D_
         blok: 'blok_1',_x000D_
         wsCross: 'Покупка',_x000D_
         linkFormula: 'AB-AB',_x000D_
         levelDyn: ''_x000D_
}</t>
  </si>
  <si>
    <t>В соответствии с п. 29 Методических указаний 1746-э расходы на арендную плату и лизинговые платежи в отношении централизованных систем водоснабжения и (или) водоотведения либо объектов, входящих в состав таких систем, определяются органом регулирования тарифов в размере, не превышающем экономически обоснованный размер такой платы, с учетом особенностей, предусмотренных настоящим пунктом.</t>
  </si>
  <si>
    <t>Экономически обоснованный размер арендной платы или лизингового платежа определяется исходя из принципа возмещения арендодателю (лизингодателю) амортизации, налогов на имущество, в том числе на землю, и других обязательных платежей собственника, передаваемого в аренду (лизинг) имущества, связанных с владением указанным имуществом. Экономически обоснованный уровень размера арендной платы или лизингового платежа не может превышать размер, установленный в конкурсной документации или документации об аукционе, если арендная плата (лизинговый платеж) являлись критерием конкурса или аукциона на заключение соответствующего договора.</t>
  </si>
  <si>
    <t>Расчет суммы арендной платы земельных участков произведен на основании представленных договоров. Следует отметить, что сумма арендной платы за земельные участки не превышает 0,7% от кадастровой стоимости данных земельных участков.</t>
  </si>
  <si>
    <t>Удельная величина амортизации</t>
  </si>
  <si>
    <t>тыс.руб./усл.км</t>
  </si>
  <si>
    <t>P_AMOR_UD</t>
  </si>
  <si>
    <t>Годовая сумма амортизации</t>
  </si>
  <si>
    <t>P_AMOR_YEAR</t>
  </si>
  <si>
    <t>Протяженность водопроводной / канализационной сети в сопоставимых величинах</t>
  </si>
  <si>
    <t>P_LENGTH</t>
  </si>
  <si>
    <t>Нормативный уровень расходов на амортизацию в расчете на протяженность сети</t>
  </si>
  <si>
    <t>P_AMOR_NORMS</t>
  </si>
  <si>
    <t>Удельные текущие расходы гарантирующей организации (ГО) (УТР)</t>
  </si>
  <si>
    <t>P_UD_EXP</t>
  </si>
  <si>
    <t>15% УТР</t>
  </si>
  <si>
    <t>P_UTR</t>
  </si>
  <si>
    <t>{                  _x000D_
         funcDyn: 'msg1',_x000D_
         blok: 'blok_1',_x000D_
         wsCross: 'Аренда',_x000D_
         linkFormula: 'AB-AB',_x000D_
         levelDyn: ''_x000D_
}</t>
  </si>
  <si>
    <t>Поставщик</t>
  </si>
  <si>
    <t>et_Purchase_tariff</t>
  </si>
  <si>
    <t>Итого_пок_усл</t>
  </si>
  <si>
    <t>Затраты на холодную воду</t>
  </si>
  <si>
    <t>P_VS_TOTAL</t>
  </si>
  <si>
    <t>Перечень организаций ВС</t>
  </si>
  <si>
    <t>Затраты</t>
  </si>
  <si>
    <t>P_MONEY</t>
  </si>
  <si>
    <t>DYN_ORG_VS</t>
  </si>
  <si>
    <t>Объём холодной воды (покупка)</t>
  </si>
  <si>
    <t>P_VOL</t>
  </si>
  <si>
    <t>Тариф на холодную воду</t>
  </si>
  <si>
    <t>руб./куб. м</t>
  </si>
  <si>
    <t>P_TARIFF</t>
  </si>
  <si>
    <t>{                  _x000D_
         funcDyn: 'org',_x000D_
         blok: '',_x000D_
         wsCross: '',_x000D_
         linkFormula: '',_x000D_
         levelDyn: 1,_x000D_
         sphere: 'VS',_x000D_
         addDynValue: 'det_name|AC|0'_x000D_
}</t>
  </si>
  <si>
    <t>Добавить поставщика</t>
  </si>
  <si>
    <t>Затраты на транспортировку холодной воды</t>
  </si>
  <si>
    <t>P_VS_TR_TOTAL</t>
  </si>
  <si>
    <t>Перечень организаций ВС трансп</t>
  </si>
  <si>
    <t>DYN_ORG_VS_TR</t>
  </si>
  <si>
    <t>Объём холодной воды (транспортировка)</t>
  </si>
  <si>
    <t>Тариф на транспортировку холодной воды</t>
  </si>
  <si>
    <t>Затраты на водоотведение</t>
  </si>
  <si>
    <t>P_VO_TOTAL</t>
  </si>
  <si>
    <t>Перечень организаций ВО</t>
  </si>
  <si>
    <t>DYN_ORG_VO</t>
  </si>
  <si>
    <t>Объём пропущенных стоков (водоотведение)</t>
  </si>
  <si>
    <t>{                  _x000D_
         funcDyn: 'org',_x000D_
         blok: '',_x000D_
         wsCross: '',_x000D_
         linkFormula: '',_x000D_
         levelDyn: 2,_x000D_
         sphere: 'VO',_x000D_
         addDynValue: 'det_name|AC|0'_x000D_
}</t>
  </si>
  <si>
    <t>Затраты на транспортировку сточных вод</t>
  </si>
  <si>
    <t>P_VO_TR_TOTAL</t>
  </si>
  <si>
    <t>Перечень организаций ВО трансп</t>
  </si>
  <si>
    <t>DYN_ORG_VO_TR</t>
  </si>
  <si>
    <t>Объём пропущенных стоков (транспортировка)</t>
  </si>
  <si>
    <t>Тариф на транспортировку сточных вод</t>
  </si>
  <si>
    <t>{                  _x000D_
         funcDyn: 'org',_x000D_
         blok: '',_x000D_
         wsCross: '',_x000D_
         linkFormula: '',_x000D_
         levelDyn: 3,_x000D_
         sphere: 'VO',_x000D_
         addDynValue: 'det_name|AC|0'_x000D_
}</t>
  </si>
  <si>
    <t>Затраты на очистку сточных вод</t>
  </si>
  <si>
    <t>P_VO_CLEAN_TOTAL</t>
  </si>
  <si>
    <t>Перечень организаций очистка стоков</t>
  </si>
  <si>
    <t>DYN_ORG_VO_CLEAN</t>
  </si>
  <si>
    <t>Объём пропущенных стоков (очистка)</t>
  </si>
  <si>
    <t>Тариф на очистку сточных вод</t>
  </si>
  <si>
    <t>{                  _x000D_
         funcDyn: 'org',_x000D_
         blok: '',_x000D_
         wsCross: '',_x000D_
         linkFormula: '',_x000D_
         levelDyn: 4,_x000D_
         sphere: 'VO',_x000D_
         addDynValue: 'det_name|AC|0'_x000D_
}</t>
  </si>
  <si>
    <t>Затраты на тепловую энергию</t>
  </si>
  <si>
    <t>P_TE</t>
  </si>
  <si>
    <t>Затраты на тепловую энергию, всего</t>
  </si>
  <si>
    <t>P_TE_TOTAL</t>
  </si>
  <si>
    <t>DYN_ORG_TE</t>
  </si>
  <si>
    <t>Затраты на покупку энергии</t>
  </si>
  <si>
    <t>P_ENERGY</t>
  </si>
  <si>
    <t>Объём покупной энергии</t>
  </si>
  <si>
    <t>тыс. Гкал</t>
  </si>
  <si>
    <t>P_ENERGY_VOL</t>
  </si>
  <si>
    <t>Ставка за энергию</t>
  </si>
  <si>
    <t>руб./Гкал</t>
  </si>
  <si>
    <t>P_ENERGY_RATE</t>
  </si>
  <si>
    <t>Затраты на покупку мощности</t>
  </si>
  <si>
    <t>P_POWER</t>
  </si>
  <si>
    <t>Мощность</t>
  </si>
  <si>
    <t>Гкал/ч</t>
  </si>
  <si>
    <t>P_POWER_VOL</t>
  </si>
  <si>
    <t>Ставка за мощность</t>
  </si>
  <si>
    <t>тыс. руб./Гкал/ч</t>
  </si>
  <si>
    <t>P_POWER_RATE</t>
  </si>
  <si>
    <t>{                  _x000D_
         funcDyn: 'org',_x000D_
         blok: '',_x000D_
         wsCross: '',_x000D_
         linkFormula: '',_x000D_
         levelDyn: 5,_x000D_
         sphere: 'TE'_x000D_
}</t>
  </si>
  <si>
    <t>Затраты на теплоноситель</t>
  </si>
  <si>
    <t>P_TN</t>
  </si>
  <si>
    <t>DYN_ORG_TN</t>
  </si>
  <si>
    <t>Объём теплоносителя</t>
  </si>
  <si>
    <t>Тариф на теплоноситель</t>
  </si>
  <si>
    <t>{                  _x000D_
         funcDyn: 'org',_x000D_
         blok: '',_x000D_
         wsCross: '',_x000D_
         linkFormula: '',_x000D_
         levelDyn: 6,_x000D_
         sphere: 'TN'_x000D_
}</t>
  </si>
  <si>
    <t>Затраты на горячую воду</t>
  </si>
  <si>
    <t>P_GVS</t>
  </si>
  <si>
    <t>DYN_ORG_HVS</t>
  </si>
  <si>
    <t>Объём горячей воды</t>
  </si>
  <si>
    <t>Тариф на горячую воду</t>
  </si>
  <si>
    <t>{                  _x000D_
         funcDyn: 'org',_x000D_
         blok: '',_x000D_
         wsCross: '',_x000D_
         linkFormula: '',_x000D_
         levelDyn: 7,_x000D_
         sphere: 'GVS'_x000D_
}</t>
  </si>
  <si>
    <t>Затраты на топливо</t>
  </si>
  <si>
    <t>P_FUEL</t>
  </si>
  <si>
    <t>DYN_OTHER</t>
  </si>
  <si>
    <t>Количество (объем) топлива</t>
  </si>
  <si>
    <t>Цена топлива</t>
  </si>
  <si>
    <t>{                  _x000D_
         funcDyn: 'msg',_x000D_
         blok: '',_x000D_
         wsCross: '',_x000D_
         linkFormula: '',_x000D_
         levelDyn: 8_x000D_
}</t>
  </si>
  <si>
    <t xml:space="preserve">В соответствии с п.49 Методических указаний 1746-э. </t>
  </si>
  <si>
    <t>ООО "Теплоэнерго" (ИНН: 4214046200, КПП: 421401001)</t>
  </si>
  <si>
    <t>принятые в расчет затраты соответствуют сумме затрат, рассчитанных регулятором при предоставлении предельных значений долгосрочных параметров регулирования тарифов инициатору на заключение концессионного соглашения, а также заключенному концессионному соглашению.</t>
  </si>
  <si>
    <t>объем принят на уровне предложения организации с учетом прогнозного изменения уровня потерь.</t>
  </si>
  <si>
    <t>тариф принятый в расчет является прогнозным и рассчитан на основании представленных фактических данных предыдущей организации, заявленных инициатором при выдаче долгосрочных параметров регулирования.</t>
  </si>
  <si>
    <t>{                  _x000D_
         funcDyn: 'msg1',_x000D_
         blok: 'blok_1',_x000D_
         wsCross: 'ФОТ',_x000D_
         linkFormula: 'AB-AB',_x000D_
         levelDyn: ''_x000D_
}</t>
  </si>
  <si>
    <t>Расходы на оплату труда и страховые взносы на обязательное социальное страхование по видам персонала, в том числе налоги и сборы с фонда оплаты труда</t>
  </si>
  <si>
    <t>ПП</t>
  </si>
  <si>
    <t>Расходы на оплату труда производственного персонала</t>
  </si>
  <si>
    <t>P_PROD_TOTAL</t>
  </si>
  <si>
    <t>P_SUM</t>
  </si>
  <si>
    <t>DYN_PROD</t>
  </si>
  <si>
    <t>ЧИСЛ_ПП</t>
  </si>
  <si>
    <t>численность</t>
  </si>
  <si>
    <t>чел.</t>
  </si>
  <si>
    <t>P_COUNT</t>
  </si>
  <si>
    <t>среднемесячная заработная плата</t>
  </si>
  <si>
    <t>руб./чел.</t>
  </si>
  <si>
    <t>P_AVG</t>
  </si>
  <si>
    <t>СОЦ_ПП</t>
  </si>
  <si>
    <t>Страховые взносы на обязательное социальное страхование производственного персонала</t>
  </si>
  <si>
    <t>P_SOC_INS_PROD</t>
  </si>
  <si>
    <t>РП</t>
  </si>
  <si>
    <t>Расходы на оплату труда ремонтного персонала</t>
  </si>
  <si>
    <t>P_REPAIR_TOTAL</t>
  </si>
  <si>
    <t>DYN_REPAIR</t>
  </si>
  <si>
    <t>ЧИСЛ_РЕМ</t>
  </si>
  <si>
    <t>СОЦ_РП</t>
  </si>
  <si>
    <t>Страховые взносы на обязательное социальное страхование ремонтного персонала</t>
  </si>
  <si>
    <t>P_SOC_INS_REPAIR</t>
  </si>
  <si>
    <t>АУП</t>
  </si>
  <si>
    <t>Расходы на оплату труда административно-управленческого персонала</t>
  </si>
  <si>
    <t>P_ADM_TOTAL</t>
  </si>
  <si>
    <t>DYN_ADM</t>
  </si>
  <si>
    <t>{                  _x000D_
         funcDyn: 'msg',_x000D_
         blok: '',_x000D_
         wsCross: '',_x000D_
         linkFormula: '',_x000D_
         levelDyn: '3',_x000D_
         addDynValue: 'det_name|AC|0'_x000D_
}</t>
  </si>
  <si>
    <t>СОЦ_АУП</t>
  </si>
  <si>
    <t>Страховые взносы на обязательное социальное страхование административно-управленческого персонала</t>
  </si>
  <si>
    <t>P_SOC_INS_ADM</t>
  </si>
  <si>
    <t>СП</t>
  </si>
  <si>
    <t>Расходы на оплату труда сбытового персонала</t>
  </si>
  <si>
    <t>P_SBYT_TOTAL</t>
  </si>
  <si>
    <t>DYN_SBYT</t>
  </si>
  <si>
    <t>{                  _x000D_
         funcDyn: 'msg',_x000D_
         blok: '',_x000D_
         wsCross: '',_x000D_
         linkFormula: '',_x000D_
         levelDyn: '4',_x000D_
         addDynValue: 'det_name|AC|0'_x000D_
}</t>
  </si>
  <si>
    <t>СОЦ_СП</t>
  </si>
  <si>
    <t>Страховые взносы на обязательное социальное страхование сбытового персонала</t>
  </si>
  <si>
    <t>P_SOC_INS_SBYT</t>
  </si>
  <si>
    <t>по предложению организации в соответствии со штатным расписанием.</t>
  </si>
  <si>
    <t>основной производственный персонал</t>
  </si>
  <si>
    <t>цеховый персонал</t>
  </si>
  <si>
    <t>персонал АУП</t>
  </si>
  <si>
    <t>{                  _x000D_
         funcDyn: 'msg1',_x000D_
         blok: 'blok_1',_x000D_
         wsCross: 'Административные',_x000D_
         linkFormula: 'AB-AB',_x000D_
         levelDyn: ''_x000D_
}</t>
  </si>
  <si>
    <t xml:space="preserve">Расходы на оплату труда рассчитаны в соответствии с п. 17 Методических указаний 1746-э.         </t>
  </si>
  <si>
    <t>При определении расходов на оплату труда в порядке приоритетности используются следующие сведения:
параметры отраслевого тарифного соглашения;
параметры трехстороннего соглашения, заключенного представителями работников, работодателей и органов исполнительной власти субъектов Российской Федерации или местного самоуправления (региональное отраслевое соглашение);
размер фонда оплаты труда в последнем расчетном периоде регулирования и фондов оплаты труда в других регулируемых организациях, осуществляющих аналогичные регулируемые виды деятельности в сопоставимых условиях, плановое значение индекса потребительских цен;
условия коллективного договора;
прогнозный индекс потребительских цен.</t>
  </si>
  <si>
    <t>При выдаче параметров регулирования тарифов на заключение концессионного соглашения регулятором применялись индексы согласно основных параметров прогноза социально-экономического развития Российской Федерации на 2026 год и на плановый период 2027 и 2028 годов, определенных в базовом варианте прогноза социально-экономического развития Российской Федерации на 2026 год и на плановый период 2027 и 2028 годов, опубликованном 26.09.2025  на официальном сайте Министерства экономического развития Российской Федерации.</t>
  </si>
  <si>
    <t>Численность принятая в расчет не превышает нормативную численность в соответствии с Приказом Минстроя России от 23.03.2020 № 154/пр «Об утверждении Типовых отраслевых норм численности работников водопроводно-канализационного хозяйства».</t>
  </si>
  <si>
    <t>В целом средняя заработная плата на 2026 год составила по водоснабжению тариф 1 - 48387,77 руб./чел./мес., тариф 2 - 48186,26 руб./чел./мес., по водоотведению тариф 3 - 47952,35 руб./чел./мес., тариф 4 - 47023,54 руб./чел./мес. и не превышает среднюю заработную плату 67190,00 руб./чел./мес. (водоснабжение; водоотведение, организация сбора и утилизации отходов, деятельность по ликвидации загрязнений) по Кемеровской области по состоянию на апрель 2026 года по данным Территориального органа Федеральной службы государственной статистики по Кемеровской области – Кузбассу.</t>
  </si>
  <si>
    <t>P_FOT_ADM</t>
  </si>
  <si>
    <t>p3</t>
  </si>
  <si>
    <t>Оплата работ и (или) услуг, выполняемых по договорам сторонними организациями или индивидуальными предпринимателями:</t>
  </si>
  <si>
    <t>P_OTHER_ORG</t>
  </si>
  <si>
    <t>p3_1</t>
  </si>
  <si>
    <t>услуги связи и интернет</t>
  </si>
  <si>
    <t>P_COMMS</t>
  </si>
  <si>
    <t>p3_2</t>
  </si>
  <si>
    <t>юридические услуги</t>
  </si>
  <si>
    <t>P_LEGAL</t>
  </si>
  <si>
    <t>p3_3</t>
  </si>
  <si>
    <t>аудиторские услуги</t>
  </si>
  <si>
    <t>P_AUDIT</t>
  </si>
  <si>
    <t>p3_4</t>
  </si>
  <si>
    <t>консультационные услуги</t>
  </si>
  <si>
    <t>P_CONSULT</t>
  </si>
  <si>
    <t>p3_5</t>
  </si>
  <si>
    <t>услуги по вневедомственной охране объектов и территорий</t>
  </si>
  <si>
    <t>P_SEQ</t>
  </si>
  <si>
    <t>p3_6</t>
  </si>
  <si>
    <t>l3_6</t>
  </si>
  <si>
    <t>3.6</t>
  </si>
  <si>
    <t>информационные услуги</t>
  </si>
  <si>
    <t>P_INFO</t>
  </si>
  <si>
    <t>p3_7</t>
  </si>
  <si>
    <t>l3_7</t>
  </si>
  <si>
    <t>3.7</t>
  </si>
  <si>
    <t>иные работы и (или) услуги</t>
  </si>
  <si>
    <t>P_OTHER_SERV</t>
  </si>
  <si>
    <t>p4</t>
  </si>
  <si>
    <t>Арендная плата, лизинговые платежи, не связанные с арендой (лизингом) централизованных систем водоснабжения (водоотведения) либо объектов, входящих в состав таких систем</t>
  </si>
  <si>
    <t>P_RENT</t>
  </si>
  <si>
    <t>p5</t>
  </si>
  <si>
    <t>Служебные командировки</t>
  </si>
  <si>
    <t>P_TRIPS</t>
  </si>
  <si>
    <t>p6</t>
  </si>
  <si>
    <t>Обучение персонала</t>
  </si>
  <si>
    <t>P_EDU</t>
  </si>
  <si>
    <t>p7</t>
  </si>
  <si>
    <t>Страхование производственных объектов</t>
  </si>
  <si>
    <t>P_OBJ_INS</t>
  </si>
  <si>
    <t>p8</t>
  </si>
  <si>
    <t>Прочие расходы, всего:</t>
  </si>
  <si>
    <t>p8_1</t>
  </si>
  <si>
    <t>амортизация непроизводственных активов</t>
  </si>
  <si>
    <t>P_AMOR</t>
  </si>
  <si>
    <t>p8_2</t>
  </si>
  <si>
    <t>расходы по охране объектов и территорий</t>
  </si>
  <si>
    <t>P_OBJ_SEQ</t>
  </si>
  <si>
    <t>p8_3</t>
  </si>
  <si>
    <t>иные расходы</t>
  </si>
  <si>
    <t>P_OTHER_EXP</t>
  </si>
  <si>
    <t>Учтены расходы по выданным долгосрочным параметрам и соответствуют предложению организации.</t>
  </si>
  <si>
    <t>по расчету организации, не превышает факт 2025 года предыдущей организации.</t>
  </si>
  <si>
    <t>Учтены расходы:
1. По факту с января по май 2025 года в пересчете на годовые показатели, с применением ИПЦ Минэкономразвития России на 2026 год 105,1%:
- услуги сторонних организаций (автоуслуги) 20,83 т.р.;
- расходы на канцелярию 70,04 т.р.;
- прочие услуги 162,77 т.р.
- почтовые расходы, типография, обсл.оргтех. 108,56 т.р.;
2. Услуги по начисл. и сбору ВС и ВО 1590,89 т.р. по факту с июня 2024 года по май 2025 года, с применением ИЦП Минэкономразвития на 2025 год 109,0%, на 2026 год 105,1%.
3. Электроэнергия 679,52 т.р. по факту с июня 2024 года по май 2025 года, с применением ИЦП Минэкономразвития на 2025 год 114,4%, на 2026 год 113,2%;
4. Прочие расходы (спец.одежда, инструм., хозинвент., матер.на общехоз.и произв.нужды) 397,03 т.р. по факту с июня по декабрь 2024 года предыдущей организации в пересчете на годовые показатели, с применением ИПЦ Минэкономразвития на 2025 год 109,0%, на 2026 год 105,1%;
 5. По расчету организации не превышает факт 2025 предыдущей организации:
- ТБО 30,42 т.р.;
- объявления 10,00 т.р.</t>
  </si>
  <si>
    <t>по расчету организации, с периодичностью в соответствии с законодательством, стоимость принята по договорам предыдущей организации, с применением ИПЦ Минэкономразвития России на 2026 год 105,1%.</t>
  </si>
  <si>
    <t>рассчитано по факту с января по май 2025 года предыдущей организации в пересчете на годовые показатели, с применением ИПЦ Минэкономразвития России на 2026 год 105,1%.</t>
  </si>
  <si>
    <t xml:space="preserve">Учтены расходы:
1. По факту с января по май 2025 года в пересчете на годовые показатели, с применением ИПЦ Минэкономразвития России на 2026 год 105,1%:
- прочие расходы (спец.одежда, инструм., хозинвент., матер.на общехоз.и произв.нужды) 94,44 т.р.;
- расходы на канцелярию 65,44 т.р.;
- прочие услуги (изгот. печатей, постановка ККТ на учет, разм.рекламы по трудоустройству, доступ к серверу, изгот. сервис.карты) 41,57 т.р.
- почтовые расходы, типография, обсл.оргтех. 15,70 т.р.;
- расходы на покупку бут.воды. 3,51 т.р.;
2. Услуги по начисл. и сбору ВС и ВО 1139,44 т.р. приняты по факту с июня 2024 года по май 2025 года, с применением ИПЦ Минэкономразвития на 2025 год 109,0%, на 2026 год 105,1%.
3. По расчету организации ТБО 1,83 т.р. не превышает факт 2025 предыдущей организации.
</t>
  </si>
  <si>
    <t>рассчитано по факту 2024 года предыдущей организации, с применением ИПЦ Минэкономразвития России на 2025 год 109,0%, на 2026 год 105,1%.</t>
  </si>
  <si>
    <t>Учтены расходы:
1._x0009_По факту с января по май 2025 года в пересчете на годовые показатели, с применением ИПЦ Минэкономразвития России на 2026 год 105,1%:
- расходы на канцелярию 47,92 т.р.;
- прочие услуги 52,09 т.р.
- почтовые расходы, типография, обсл.оргтех. 22,06 т.р.;
2. Услуги по начисл. и сбору ВС и ВО 1350,47 т.р. по факту с июня 2024 года по май 2025 года, с применением ИЦП Минэкономразвития на 2025 год 109,0%, на 2026 год 105,1%.
3. Электроэнергия 443,70 т.р. по факту с июня 2024 года по май 2025 года, с применением ИЦП Минэкономразвития на 2025 год 114,4%, на 2026 год 113,2%;
4. Прочие расходы (спец.одежда, инструм., хозинвент., матер.на общехоз.и произв.нужды) 273,84 т.р. по факту с июня по декабрь 2024 года предыдущей организации в пересчете на годовые показатели, с применением ИПЦ Минэкономразвития на 2025 год 109,0%, на 2026 год 105,1%;
 5. ТБО 20,04 т.р. по расчету организации не превышает факт 2025 предыдущей организации.</t>
  </si>
  <si>
    <t xml:space="preserve">Учтены расходы:
1. По факту с января по май 2025 года в пересчете на годовые показатели, с применением ИПЦ Минэкономразвития России на 2026 год 105,1%:
- прочие расходы (спец.одежда, инструм., хозинвент., матер.на общехоз.и произв.нужды) 363,93 т.р.;
- расходы на канцелярию 245,43 т.р.;
- прочие услуги (изгот. печатей, постановка ККТ на учет, разм.рекламы по трудоустройству, доступ к серверу, изгот. сервис.карты) 97,52 т.р.
- почтовые расходы, типография, обсл.оргтех. 62,04 т.р.;
2. Услуги по начисл. и сбору ВС и ВО 367,49 т.р. приняты по факту с июня 2024 года по май 2025 года, с применением ИПЦ Минэкономразвития на 2025 год 109,0%, на 2026 год 105,1%.
3. По расчету организации ТБО 11,76 т.р. не превышает факт 2025 предыдущей организации.
</t>
  </si>
  <si>
    <t>{                  _x000D_
         funcDyn: 'msg1',_x000D_
         blok: 'blok_1',_x000D_
         wsCross: 'Сбытовые расходы ГО',_x000D_
         linkFormula: 'AB-AB',_x000D_
         levelDyn: ''_x000D_
}</t>
  </si>
  <si>
    <t>В соответствии с п. 25 Методических указаний 1746-э.</t>
  </si>
  <si>
    <t>Добавить комментарии</t>
  </si>
  <si>
    <t>l0</t>
  </si>
  <si>
    <t>Расходы на формирование резервов по сомнительным долгам (дебиторской задолженности)</t>
  </si>
  <si>
    <t>P_DEBTS</t>
  </si>
  <si>
    <t>Расходы на приобретение материалов, связанные со сбытовой деятельностью</t>
  </si>
  <si>
    <t>P_MATERIALS</t>
  </si>
  <si>
    <t>Расходы на содержание помещений, используемых при осуществлении сбытовой деятельности</t>
  </si>
  <si>
    <t>P_ROOMS</t>
  </si>
  <si>
    <t>Расходы на оплату труда, страховые взносы на обязательное социальное страхование, выплачиваемые из фонда оплаты труда сбытового персонала</t>
  </si>
  <si>
    <t>P_FOT</t>
  </si>
  <si>
    <t>Расходы на амортизацию основных средств и нематериальных активов, используемых при осуществлении сбытовой деятельности</t>
  </si>
  <si>
    <t>Расходы на аренду, лизинг имущества, используемого при осуществлении сбытовой деятельности</t>
  </si>
  <si>
    <t>Расходы на уплату процентов по займам и кредитам, привлечение которых обосновано ростом дебиторской задолженности абонентов за регулируемые услуги водоснабжения (водоотведения)</t>
  </si>
  <si>
    <t>P_CREDIT</t>
  </si>
  <si>
    <t>Расходы на оплату работ и (или) услуг, выполняемых сторонними организациями или индивидуальными предпринимателями, связанных со сбытовой деятельностью</t>
  </si>
  <si>
    <t>P_ORGS</t>
  </si>
  <si>
    <t>Прочие расходы, связанные со сбытовой деятельностью</t>
  </si>
  <si>
    <t>DYN_GO</t>
  </si>
  <si>
    <t>{                  _x000D_
         funcDyn: 'msg',_x000D_
         blok: '',_x000D_
         wsCross: '',_x000D_
         linkFormula: '',_x000D_
         levelDyn: '1'_x000D_
}</t>
  </si>
  <si>
    <t>{                  _x000D_
         funcDyn: 'msg1',_x000D_
         blok: 'blok_1',_x000D_
         wsCross: 'Налоги',_x000D_
         linkFormula: 'AB-AB',_x000D_
         levelDyn: ''_x000D_
}</t>
  </si>
  <si>
    <t>Налоги и платежи, относимые на указанный вид деятельности</t>
  </si>
  <si>
    <t>P_TAXES</t>
  </si>
  <si>
    <t>Транспортный налог</t>
  </si>
  <si>
    <t>P_TR_TAX</t>
  </si>
  <si>
    <t>Земельный налог и арендная плата за землю</t>
  </si>
  <si>
    <t>P_LAND_TAX</t>
  </si>
  <si>
    <t>негативное воздействие</t>
  </si>
  <si>
    <t>Плата за негативное воздействие на окружающую среду</t>
  </si>
  <si>
    <t>P_NEG_TAX</t>
  </si>
  <si>
    <t>Водный налог</t>
  </si>
  <si>
    <t>P_WATER_TAX</t>
  </si>
  <si>
    <t>Плата за пользование водным объектом</t>
  </si>
  <si>
    <t>P_WATER_PAY</t>
  </si>
  <si>
    <t>Налог на имущество</t>
  </si>
  <si>
    <t>P_PROP_TAX</t>
  </si>
  <si>
    <t>налог на прибыль</t>
  </si>
  <si>
    <t>Налог на прибыль</t>
  </si>
  <si>
    <t>P_INCOME_TAX</t>
  </si>
  <si>
    <t>Единый налог при упрощенной системе налогообложения</t>
  </si>
  <si>
    <t>P_USN</t>
  </si>
  <si>
    <t>Обязательное страхование, предусмотренное Законодательством РФ</t>
  </si>
  <si>
    <t>P_INS</t>
  </si>
  <si>
    <t>Прочие налоги и сборы</t>
  </si>
  <si>
    <t>P_OTHER_TAX</t>
  </si>
  <si>
    <t>DYN_TAXES</t>
  </si>
  <si>
    <t>В соответствии с п.п. 2 п. 49 Методических указаний 1746-э.</t>
  </si>
  <si>
    <t>рассчитано от факта с июня по декабрь 2024 года предыдущей организации, в пересчете на годовые показатели, с применением ИПЦ Минэкономразвития России на 2025 год 109,0%, на 2026 год 105,1%., на 2027-2030 гг. 104,0%.</t>
  </si>
  <si>
    <t>рассчитано исходя из плановых объемов, с учетом ставок в соответствии со ст. 333.12 Налогового кодекса РФ от 05.08.2000 № 117-ФЗ.</t>
  </si>
  <si>
    <t>рассчитано исходя из плановых объемов, с учетом ставок договора водопользования.</t>
  </si>
  <si>
    <t>в соответствии с п.1 ст.308 Налогового кодекса РФ от 05.08.2000 № 117-ФЗ, с учетом уменьшения суммы налога на 50% на 2024-2028 годы в соответствии с Законом от 24.11.2033 № 107-ОЗ "О внесении изменения в статью 4 Закона Кемеровской области-кузбасса "О налоге на имущество организаций". Налог рассчитан по остаточной стоимости, данные получены из материалов, представленных организацией при получении долгосрочных параметров регулирования.</t>
  </si>
  <si>
    <t>налог на имущество по ИП</t>
  </si>
  <si>
    <t>в соответствии с п.1 ст.308 Налогового кодекса РФ от 05.08.2000 № 117-ФЗ, с учетом уменьшения суммы налога на 50% на 2024-2028 годы в соответствии с Законом от 24.11.2033 № 107-ОЗ "О внесении изменения в статью 4 Закона Кемеровской области-кузбасса "О налоге на имущество организаций".</t>
  </si>
  <si>
    <t>{                  _x000D_
         funcDyn: 'msg1',_x000D_
         blok: 'blok_1',_x000D_
         wsCross: 'ИП +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</si>
  <si>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</si>
  <si>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</si>
  <si>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Плановый размер финансирования утвержденной инвестиционной программы</t>
  </si>
  <si>
    <t>Объем фактического ввода объектов системы водоснабжения и водоотведения в эксплуатацию по данным организации</t>
  </si>
  <si>
    <t>Объем фактического ввода объектов системы водоснабжения и водоотведения в эксплуатацию, принятый органом регулирования</t>
  </si>
  <si>
    <t>Источники финансирования инвестиционной программы, всего</t>
  </si>
  <si>
    <t>P_INV_TOTAL</t>
  </si>
  <si>
    <t>Собственные средства</t>
  </si>
  <si>
    <t>P_SELF_FUNDS</t>
  </si>
  <si>
    <t>Амортизационные отчисления</t>
  </si>
  <si>
    <t>Прибыль на капвложения</t>
  </si>
  <si>
    <t>P_INCOME_KAP</t>
  </si>
  <si>
    <t>l1_1_3</t>
  </si>
  <si>
    <t>1.1.3</t>
  </si>
  <si>
    <t>Прочие собственные средства</t>
  </si>
  <si>
    <t>P_OTHER_SELF_FUNDS</t>
  </si>
  <si>
    <t>l1_1_4</t>
  </si>
  <si>
    <t>1.1.4</t>
  </si>
  <si>
    <t>За счет платы за технологическое присоединение</t>
  </si>
  <si>
    <t>P_TEH</t>
  </si>
  <si>
    <t>1.1.5</t>
  </si>
  <si>
    <t>Экономия расходов в результате реализации мероприятий инвестиционной программы</t>
  </si>
  <si>
    <t>P_ECO_TOTAL</t>
  </si>
  <si>
    <t>1.1.5.1</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</si>
  <si>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</si>
  <si>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P_ECO_AMOR</t>
  </si>
  <si>
    <t>1.1.5.2</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</si>
  <si>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</si>
  <si>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P_ECO_INCOME_KAP</t>
  </si>
  <si>
    <t>1.1.5.3</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</si>
  <si>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</si>
  <si>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P_ECO_OTHER_FUNDS</t>
  </si>
  <si>
    <t>1.1.5.4</t>
  </si>
  <si>
    <t>Экономия средств, достигнутая регулируемой организацией в результате снижения расходов</t>
  </si>
  <si>
    <t>P_ECO_EXP_REDUCT</t>
  </si>
  <si>
    <t>Привлеченные средства</t>
  </si>
  <si>
    <t>P_RAISED_FUNDS</t>
  </si>
  <si>
    <t>l1_2_1</t>
  </si>
  <si>
    <t>1.2.1</t>
  </si>
  <si>
    <t>Кредиты</t>
  </si>
  <si>
    <t>l1_2_2</t>
  </si>
  <si>
    <t>1.2.2</t>
  </si>
  <si>
    <t>Займы</t>
  </si>
  <si>
    <t>P_LOANS</t>
  </si>
  <si>
    <t>l1_2_3</t>
  </si>
  <si>
    <t>1.2.3</t>
  </si>
  <si>
    <t>Прочие привлеченные средства</t>
  </si>
  <si>
    <t>P_OTHER_RAISED_FUNDS</t>
  </si>
  <si>
    <t>Бюджетное финансирование</t>
  </si>
  <si>
    <t>P_BUDJ_TOTAL</t>
  </si>
  <si>
    <t>l1_3_1</t>
  </si>
  <si>
    <t>1.3.1</t>
  </si>
  <si>
    <t>Федеральный бюджет</t>
  </si>
  <si>
    <t>P_FED_BUDJ</t>
  </si>
  <si>
    <t>l1_3_2</t>
  </si>
  <si>
    <t>1.3.2</t>
  </si>
  <si>
    <t>Бюджет субъекта РФ</t>
  </si>
  <si>
    <t>P_SUBJ_BUDJ</t>
  </si>
  <si>
    <t>l1_3_3</t>
  </si>
  <si>
    <t>1.3.3</t>
  </si>
  <si>
    <t>Бюджет муниципального образования</t>
  </si>
  <si>
    <t>P_MYN_BUDJ</t>
  </si>
  <si>
    <t>Прочие источники финансирования</t>
  </si>
  <si>
    <t>P_OTHER_FUNDS</t>
  </si>
  <si>
    <t>l1_4_1</t>
  </si>
  <si>
    <t>l1_4_2</t>
  </si>
  <si>
    <t>Доход от взимания платы за нарушение нормативов по объёму и (или) составу сточных вод</t>
  </si>
  <si>
    <t>P_INCOME_BREAK_NORMS</t>
  </si>
  <si>
    <t>l1_4_3</t>
  </si>
  <si>
    <t>1.4.3</t>
  </si>
  <si>
    <t>Доход от взимания платы за негативное воздействие на работу централизованной системы водоотведения</t>
  </si>
  <si>
    <t>P_INCOME_NEG</t>
  </si>
  <si>
    <t>l1_4_4</t>
  </si>
  <si>
    <t>1.4.4</t>
  </si>
  <si>
    <t>Прочие</t>
  </si>
  <si>
    <t>P_OTHER_FUNDS_OTHER</t>
  </si>
  <si>
    <t>График возврата и обслуживания заемных средств из тарифной выручки</t>
  </si>
  <si>
    <t>P_TAR_GAIN</t>
  </si>
  <si>
    <t>погашение займов и кредитов из нормативной прибыли</t>
  </si>
  <si>
    <t>P_CREDIT_PAY</t>
  </si>
  <si>
    <t>уплата процентов по кредитам из нормативной прибыли</t>
  </si>
  <si>
    <t>P_CREDIT_PERC_PAY</t>
  </si>
  <si>
    <t>погашение займов и кредитов из амортизации</t>
  </si>
  <si>
    <t>P_CREDIT_PAY_AMOR</t>
  </si>
  <si>
    <t>{                  _x000D_
         funcDyn: 'msg1',_x000D_
         blok: 'blok_1',_x000D_
         wsCross: 'Экономия_корр',_x000D_
         linkFormula: 'AB-AB',_x000D_
         levelDyn: ''_x000D_
}</t>
  </si>
  <si>
    <t>* данные без НДС</t>
  </si>
  <si>
    <t>Показатели</t>
  </si>
  <si>
    <t>Предложения организации</t>
  </si>
  <si>
    <t>Экономия расходов всего</t>
  </si>
  <si>
    <t>Экономия операционных расходов</t>
  </si>
  <si>
    <t>P_ECO_OPER</t>
  </si>
  <si>
    <t>Экономия от снижения потребления электрической энергии (мощности)</t>
  </si>
  <si>
    <t>P_ECO_POWER_RED</t>
  </si>
  <si>
    <t>Экономия от снижения потребления прочих энергетических ресурсов, холодной воды, теплоносителя</t>
  </si>
  <si>
    <t>P_ECO_OTHER_RED</t>
  </si>
  <si>
    <t>Значение индекса потребительских цен</t>
  </si>
  <si>
    <t>P_PRICE_IND</t>
  </si>
  <si>
    <t>Кумулятивное значение индекса потребительских цен</t>
  </si>
  <si>
    <t>P_IND_KUM</t>
  </si>
  <si>
    <t>Экономия</t>
  </si>
  <si>
    <t>Экономия расходов с учетом ИПЦ</t>
  </si>
  <si>
    <t>P_ECO_IPC</t>
  </si>
  <si>
    <t>{                  _x000D_
         funcDyn: 'msg1',_x000D_
         blok: 'blok_1',_x000D_
         wsCross: 'Плата за негативное возд',_x000D_
         linkFormula: 'AB-AB',_x000D_
         levelDyn: ''_x000D_
}</t>
  </si>
  <si>
    <t>Статья не заявлена, так как тарифы для организации утверждаются впервые.</t>
  </si>
  <si>
    <t xml:space="preserve"> Плата за негативное воздействие на работу централизованных систем водоотведения (принято органом регулирования)</t>
  </si>
  <si>
    <t>№</t>
  </si>
  <si>
    <t>Начислено в соответствии с пунктом 26(1) Основ ценообразования в сфере водоснабжения и водоотведения</t>
  </si>
  <si>
    <t>Направлено на внесение платы за негативное воздействие на окружающую среду</t>
  </si>
  <si>
    <t>Направлено на компенсацию вреда, причиненного водному объекту</t>
  </si>
  <si>
    <t>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t>
  </si>
  <si>
    <t>Предусмотрено на финансирование мероприятий производственной программы регулируемой организации</t>
  </si>
  <si>
    <t>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t>
  </si>
  <si>
    <t>Подлежит к исключению</t>
  </si>
  <si>
    <t>Доходы регулируемой организации от взимания платы за нарушение нормативов по объёму и (или) составу сточных вод</t>
  </si>
  <si>
    <t>Доходы от взимания платы за негативное воздействие на работу централизованной системы водоотведения</t>
  </si>
  <si>
    <t>{                  _x000D_
         funcDyn: 'msg1',_x000D_
         blok: 'blok_1',_x000D_
         wsCross: 'Корректировка НВВ',_x000D_
         linkFormula: 'AB-AB',_x000D_
         levelDyn: ''_x000D_
}</t>
  </si>
  <si>
    <t>Условное обозначение</t>
  </si>
  <si>
    <t>et_NVVCorrection_tariff</t>
  </si>
  <si>
    <t>isVO</t>
  </si>
  <si>
    <t>I</t>
  </si>
  <si>
    <t>Расчет размера корректировки необходимой валовой выручки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t>
  </si>
  <si>
    <r>
      <t>ΔHBB</t>
    </r>
    <r>
      <rPr>
        <b/>
        <charset val="204"/>
        <family val="2"/>
        <rFont val="Tahoma"/>
        <sz val="9"/>
        <vertAlign val="superscript"/>
      </rPr>
      <t>K</t>
    </r>
    <r>
      <rPr>
        <b/>
        <charset val="204"/>
        <family val="2"/>
        <rFont val="Tahoma"/>
        <sz val="9"/>
        <vertAlign val="subscript"/>
      </rPr>
      <t>i-2</t>
    </r>
  </si>
  <si>
    <t>P_NVV_CORR_AMOUNT</t>
  </si>
  <si>
    <t>Товарная выручка</t>
  </si>
  <si>
    <r>
      <t>ТВ</t>
    </r>
    <r>
      <rPr>
        <b/>
        <charset val="204"/>
        <family val="2"/>
        <rFont val="Tahoma"/>
        <sz val="9"/>
        <vertAlign val="superscript"/>
      </rPr>
      <t>Ф</t>
    </r>
    <r>
      <rPr>
        <b/>
        <charset val="204"/>
        <family val="2"/>
        <rFont val="Tahoma"/>
        <sz val="9"/>
        <vertAlign val="subscript"/>
      </rPr>
      <t>i-2</t>
    </r>
  </si>
  <si>
    <t>P_GOODS_INCOME</t>
  </si>
  <si>
    <t>Скорректированная фактическая величина необходимой валовой выручки</t>
  </si>
  <si>
    <r>
      <t>HBB</t>
    </r>
    <r>
      <rPr>
        <b/>
        <charset val="204"/>
        <family val="2"/>
        <rFont val="Tahoma"/>
        <sz val="9"/>
        <vertAlign val="superscript"/>
      </rPr>
      <t>Ф</t>
    </r>
    <r>
      <rPr>
        <b/>
        <charset val="204"/>
        <family val="2"/>
        <rFont val="Tahoma"/>
        <sz val="9"/>
        <vertAlign val="subscript"/>
      </rPr>
      <t>i-2</t>
    </r>
  </si>
  <si>
    <t>P_NVV_CORR_FACT</t>
  </si>
  <si>
    <t>Операц_расходы</t>
  </si>
  <si>
    <t>Операционные расходы, определенные на (i-2)-й год исходя из фактических значений параметров расчета тарифов</t>
  </si>
  <si>
    <r>
      <t>ОР</t>
    </r>
    <r>
      <rPr>
        <charset val="204"/>
        <family val="2"/>
        <rFont val="Tahoma"/>
        <sz val="9"/>
        <vertAlign val="superscript"/>
      </rPr>
      <t>Ф</t>
    </r>
    <r>
      <rPr>
        <charset val="204"/>
        <family val="2"/>
        <rFont val="Tahoma"/>
        <sz val="9"/>
        <vertAlign val="subscript"/>
      </rPr>
      <t>i-2</t>
    </r>
  </si>
  <si>
    <t>P_EXP_FROM_FACT</t>
  </si>
  <si>
    <t>фактические документально подтвержденные неподконтрольные расходы, в том числе:</t>
  </si>
  <si>
    <r>
      <t>Н Р</t>
    </r>
    <r>
      <rPr>
        <charset val="204"/>
        <family val="2"/>
        <rFont val="Tahoma"/>
        <sz val="9"/>
        <vertAlign val="superscript"/>
      </rPr>
      <t>Ф</t>
    </r>
    <r>
      <rPr>
        <charset val="204"/>
        <family val="2"/>
        <rFont val="Tahoma"/>
        <sz val="9"/>
        <vertAlign val="subscript"/>
      </rPr>
      <t>i-2</t>
    </r>
  </si>
  <si>
    <t>P_FACT_EXP</t>
  </si>
  <si>
    <t>l1_2_2_1</t>
  </si>
  <si>
    <t>расходы на оплату товаров (услуг, работ), приобретаемых у других организаций, осуществляющих регулируемые виды деятельности;</t>
  </si>
  <si>
    <t>P_FACT_EXP_FROM_ORG</t>
  </si>
  <si>
    <t>l1_2_2_2</t>
  </si>
  <si>
    <t>2.2.2</t>
  </si>
  <si>
    <t>расходы на реагенты</t>
  </si>
  <si>
    <t>P_FACT_EXP_REAG</t>
  </si>
  <si>
    <t>l1_2_2_3</t>
  </si>
  <si>
    <t>2.2.3</t>
  </si>
  <si>
    <t>расходы на уплату налогов, сборов и других обязательных платежей</t>
  </si>
  <si>
    <t>P_FACT_EXP_TAX</t>
  </si>
  <si>
    <t>Расходы на мероприятия по защите централизованных систем водоснабжения</t>
  </si>
  <si>
    <t>l1_2_2_4</t>
  </si>
  <si>
    <t>2.2.4</t>
  </si>
  <si>
    <t>Расходы на мероприятия по защите централизованных систем водоснабжения и (или) водоотведения и их отдельных объектов от угроз техногенного, природного характера и террористических актов, по предотвращению возникновения аварийных ситуаций, снижению риска и смягчению последствий чрезвычайных ситуаций (за исключением мероприятий, включенных в инвестиционную программу)</t>
  </si>
  <si>
    <t>P_FACT_EXP_SEQ</t>
  </si>
  <si>
    <t>l1_2_2_5</t>
  </si>
  <si>
    <t>2.2.5</t>
  </si>
  <si>
    <t>расходы на арендную и концессионную плату, лизинговые платежи</t>
  </si>
  <si>
    <t>P_FACT_EXP_RENT</t>
  </si>
  <si>
    <t>резерв по сомнительным долгам гарантирующей организации</t>
  </si>
  <si>
    <t>l1_2_2_6</t>
  </si>
  <si>
    <t>2.2.6</t>
  </si>
  <si>
    <t>расходы по сомнительным долгам для гарантирующей организации</t>
  </si>
  <si>
    <t>P_FACT_EXP_DEBTS</t>
  </si>
  <si>
    <t>Экономия расходов</t>
  </si>
  <si>
    <t>l1_2_2_7</t>
  </si>
  <si>
    <t>2.2.7</t>
  </si>
  <si>
    <t>экономия средств, достигнутая в результате снижения расходов предыдущего долгосрочного периода регулирования</t>
  </si>
  <si>
    <t>P_FACT_EXP_ECO</t>
  </si>
  <si>
    <t>Расходы на обслуживание бесхозяйных сетей</t>
  </si>
  <si>
    <t>l1_2_2_8</t>
  </si>
  <si>
    <t>2.2.8</t>
  </si>
  <si>
    <t>расходы на обслуживание бесхозяйных сетей, эксплуатируемых регулируемой организацией</t>
  </si>
  <si>
    <t>P_FACT_EXP_OWNERLESS</t>
  </si>
  <si>
    <t>Расходы на компенсацию экономически обоснованных расходов</t>
  </si>
  <si>
    <t>l1_2_2_9</t>
  </si>
  <si>
    <t>2.2.9</t>
  </si>
  <si>
    <t>расходы на компенсацию экономически обоснованных расходов (выпадающих доходов прошлых периодов)</t>
  </si>
  <si>
    <t>P_FACT_EXP_EOR</t>
  </si>
  <si>
    <t>Займы и кредиты (для метода индексации)</t>
  </si>
  <si>
    <t>l1_2_2_10</t>
  </si>
  <si>
    <t>2.2.10</t>
  </si>
  <si>
    <t>расходы на займы и кредиты (для метода индексации)</t>
  </si>
  <si>
    <t>P_FACT_EXP_CREDIT</t>
  </si>
  <si>
    <t>Расходы концессионера на осуществление государственного кадастрового учета</t>
  </si>
  <si>
    <t>l1_2_2_11</t>
  </si>
  <si>
    <t>2.2.11</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</si>
  <si>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</si>
  <si>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P_FACT_EXP_CONS</t>
  </si>
  <si>
    <t>расходы на электрическую энергию</t>
  </si>
  <si>
    <r>
      <t>РТ</t>
    </r>
    <r>
      <rPr>
        <charset val="204"/>
        <family val="2"/>
        <rFont val="Tahoma"/>
        <sz val="9"/>
        <vertAlign val="superscript"/>
      </rPr>
      <t>Ф</t>
    </r>
    <r>
      <rPr>
        <charset val="204"/>
        <family val="2"/>
        <rFont val="Tahoma"/>
        <sz val="9"/>
        <vertAlign val="subscript"/>
      </rPr>
      <t>i-2</t>
    </r>
  </si>
  <si>
    <t>P_EE_EXP</t>
  </si>
  <si>
    <t>l1_2_3_1</t>
  </si>
  <si>
    <t>удельное потребление электрической энергии, установленное на соответствующий год</t>
  </si>
  <si>
    <t>УПЭФi-2</t>
  </si>
  <si>
    <t>P_EE_YEAR</t>
  </si>
  <si>
    <t>l1_2_3_2</t>
  </si>
  <si>
    <t>2.3.2</t>
  </si>
  <si>
    <t>фактический объём поданной воды (принятых сточных вод)</t>
  </si>
  <si>
    <t>Q ф i-2</t>
  </si>
  <si>
    <t>P_WATER_VOL_FACT</t>
  </si>
  <si>
    <t>l1_2_3_3</t>
  </si>
  <si>
    <t>2.3.3</t>
  </si>
  <si>
    <t>фактическая (расчетная) цена на электрическую энергию, определяемая в i-2 году</t>
  </si>
  <si>
    <t>ЦТ ф i-2</t>
  </si>
  <si>
    <t>P_EE_PRICE</t>
  </si>
  <si>
    <t>амортизация</t>
  </si>
  <si>
    <t>l1_2_4</t>
  </si>
  <si>
    <t>расходы на амортизацию в (i-2)-м году, определенные исходя из фактического состава имущества в (i-2)-м году</t>
  </si>
  <si>
    <r>
      <t>А</t>
    </r>
    <r>
      <rPr>
        <charset val="204"/>
        <family val="2"/>
        <rFont val="Tahoma"/>
        <sz val="9"/>
        <vertAlign val="superscript"/>
      </rPr>
      <t>Ф</t>
    </r>
    <r>
      <rPr>
        <charset val="204"/>
        <family val="2"/>
        <rFont val="Tahoma"/>
        <sz val="9"/>
        <vertAlign val="subscript"/>
      </rPr>
      <t>i-2</t>
    </r>
  </si>
  <si>
    <t>Нормативная прибыль</t>
  </si>
  <si>
    <t>l1_2_5</t>
  </si>
  <si>
    <t>величина нормативной прибыли</t>
  </si>
  <si>
    <r>
      <t>ПР</t>
    </r>
    <r>
      <rPr>
        <charset val="204"/>
        <family val="2"/>
        <rFont val="Tahoma"/>
        <sz val="9"/>
        <vertAlign val="subscript"/>
      </rPr>
      <t>i-2</t>
    </r>
  </si>
  <si>
    <t>P_NORM_INCOME</t>
  </si>
  <si>
    <t>РПП</t>
  </si>
  <si>
    <t>l1_2_6</t>
  </si>
  <si>
    <t>2.6</t>
  </si>
  <si>
    <t>расчетная предпринимательская прибыль гарантирующей организации</t>
  </si>
  <si>
    <r>
      <t>ПР</t>
    </r>
    <r>
      <rPr>
        <charset val="204"/>
        <family val="2"/>
        <rFont val="Tahoma"/>
        <sz val="9"/>
        <vertAlign val="superscript"/>
      </rPr>
      <t>ГО Ф</t>
    </r>
    <r>
      <rPr>
        <charset val="204"/>
        <family val="2"/>
        <rFont val="Tahoma"/>
        <sz val="9"/>
        <vertAlign val="subscript"/>
      </rPr>
      <t>i-2</t>
    </r>
  </si>
  <si>
    <t>P_INCOME_GO</t>
  </si>
  <si>
    <t>l1_2_7_0</t>
  </si>
  <si>
    <t>2.7</t>
  </si>
  <si>
    <t>размер корректировки необходимой валовой выручки, учтенной при регулирования на год i-2</t>
  </si>
  <si>
    <t>P_NVV_CORR_YEAR</t>
  </si>
  <si>
    <t>l1_2_7</t>
  </si>
  <si>
    <t>2.7.1</t>
  </si>
  <si>
    <t>величина отклонения показателя ввода объектов системы водоснабжения и (или) водоотведения в эксплуатацию и изменения инвестиционной программы</t>
  </si>
  <si>
    <r>
      <t>ΔИ</t>
    </r>
    <r>
      <rPr>
        <charset val="204"/>
        <family val="2"/>
        <rFont val="Tahoma"/>
        <sz val="9"/>
        <vertAlign val="subscript"/>
      </rPr>
      <t>i-4</t>
    </r>
  </si>
  <si>
    <t>P_WATER_OBJ_IN</t>
  </si>
  <si>
    <t>l1_2_8</t>
  </si>
  <si>
    <t>2.7.2</t>
  </si>
  <si>
    <t>степень исполнения регулируемой организацией производственной программы</t>
  </si>
  <si>
    <r>
      <t>ΔЦП</t>
    </r>
    <r>
      <rPr>
        <charset val="204"/>
        <family val="2"/>
        <rFont val="Tahoma"/>
        <sz val="9"/>
        <vertAlign val="subscript"/>
      </rPr>
      <t>i-4</t>
    </r>
  </si>
  <si>
    <t>P_PROIZ_PROG</t>
  </si>
  <si>
    <t>l1_2_10</t>
  </si>
  <si>
    <t>2.7.3</t>
  </si>
  <si>
    <t>размер корректировки необходимой валовой выручки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t>
  </si>
  <si>
    <t>ΔHBBKi-4</t>
  </si>
  <si>
    <t>P_NVV_CORR_LAST_PERIOD</t>
  </si>
  <si>
    <t>l1_2_9</t>
  </si>
  <si>
    <t>2.9</t>
  </si>
  <si>
    <t>величина изменения необходимой валовой выручки в году i-2, проводимого в целях сглаживания</t>
  </si>
  <si>
    <t xml:space="preserve"> ΔHBBСi-2</t>
  </si>
  <si>
    <t>P_NVV_CORR_SMOOTH</t>
  </si>
  <si>
    <t>2.10</t>
  </si>
  <si>
    <t>Доходы от взимания платы за нарушение нормативов по объему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 26(1) Основ ценообразования в сфере водоснабжения и водоотведения)</t>
  </si>
  <si>
    <t>P_INCOME_VOL_STOK</t>
  </si>
  <si>
    <t>2.11</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</si>
  <si>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регулируемой организации (в соответствии с п. 26(1) Основ ценообразования в сфере водоснабжения и водоотведения)</t>
  </si>
  <si>
    <t>Избыток средств, полученный за отчётные периоды регулирования</t>
  </si>
  <si>
    <t>НВВфi-2</t>
  </si>
  <si>
    <t>P_SURPLUS</t>
  </si>
  <si>
    <t>Экономически не обоснованные доходы / расходы прошлых периодов регулирования</t>
  </si>
  <si>
    <t>P_NOT_EOR</t>
  </si>
  <si>
    <t>Бюджетные субсидии, полученные на финансирование расходов, учтенных в тарифах</t>
  </si>
  <si>
    <t>P_BUDJ</t>
  </si>
  <si>
    <t>Величина отклонения по результатам досудебного рассмотрения споров</t>
  </si>
  <si>
    <t>P_PRE_TRIAL</t>
  </si>
  <si>
    <t>Величина отклонения по результатам рассмотрения разногласий</t>
  </si>
  <si>
    <t>P_DISPUTE</t>
  </si>
  <si>
    <t>II</t>
  </si>
  <si>
    <t>Расчет размера корректировки необходимой валовой выручки, в случае если на i-2 год применялся метод экономически обоснованных расходов</t>
  </si>
  <si>
    <t>P_NVV_COR_EOR</t>
  </si>
  <si>
    <t>Величина, определяющая результаты деятельности регулируемой организации до перехода к регулированию цен (тарифов) на основе долгосрочных параметров регулирования</t>
  </si>
  <si>
    <r>
      <t>ΔРЕЗ</t>
    </r>
    <r>
      <rPr>
        <charset val="204"/>
        <family val="2"/>
        <rFont val="Tahoma"/>
        <sz val="9"/>
        <vertAlign val="subscript"/>
      </rPr>
      <t>i-2</t>
    </r>
  </si>
  <si>
    <t>P_ORG_VALUE</t>
  </si>
  <si>
    <t>l2_1_1</t>
  </si>
  <si>
    <t>экономически обоснованные расходы регулируемой организации, понесенные в периоды регулирования, предшествовавшие переходу к регулированию цен (тарифов) на основе долгосрочных параметров регулирования и не возмещенные регулируемой организации (не учтенные в тарифах)</t>
  </si>
  <si>
    <r>
      <t>ΔРЕЗ</t>
    </r>
    <r>
      <rPr>
        <charset val="204"/>
        <family val="2"/>
        <rFont val="Tahoma"/>
        <sz val="9"/>
        <vertAlign val="superscript"/>
      </rPr>
      <t>+</t>
    </r>
    <r>
      <rPr>
        <charset val="204"/>
        <family val="2"/>
        <rFont val="Tahoma"/>
        <sz val="9"/>
        <vertAlign val="subscript"/>
      </rPr>
      <t>i-2</t>
    </r>
  </si>
  <si>
    <t>P_EOR_NOT_TARIFF</t>
  </si>
  <si>
    <t>l2_1_2</t>
  </si>
  <si>
    <t>доходы регулируемой организации, необоснованно полученные в периоды регулирования, предшествовавшие переходу к регулированию цен (тарифов) на основе долгосрочных параметров регулирования</t>
  </si>
  <si>
    <r>
      <t>ΔРЕЗ</t>
    </r>
    <r>
      <rPr>
        <charset val="204"/>
        <family val="2"/>
        <rFont val="Tahoma"/>
        <sz val="9"/>
        <vertAlign val="superscript"/>
      </rPr>
      <t>-</t>
    </r>
    <r>
      <rPr>
        <charset val="204"/>
        <family val="2"/>
        <rFont val="Tahoma"/>
        <sz val="9"/>
        <vertAlign val="subscript"/>
      </rPr>
      <t>i-2</t>
    </r>
  </si>
  <si>
    <t>P_INCOME_PAST</t>
  </si>
  <si>
    <t>III</t>
  </si>
  <si>
    <t>Величина отклонения показателя ввода объектов системы водоснабжения и (или) водоотведения в эксплуатацию и изменения инвестиционной программы</t>
  </si>
  <si>
    <r>
      <t>ΔИ</t>
    </r>
    <r>
      <rPr>
        <b/>
        <charset val="204"/>
        <family val="2"/>
        <rFont val="Tahoma"/>
        <sz val="9"/>
        <vertAlign val="subscript"/>
      </rPr>
      <t>i-2</t>
    </r>
  </si>
  <si>
    <t>P_WATER_INVEST</t>
  </si>
  <si>
    <t>IV</t>
  </si>
  <si>
    <t>Степень исполнения регулируемой организацией обязательств по созданию и (или) реконструкции объектов концессионного соглашения, по эксплуатации объектов по договору аренды централизованных систем горячего водоснабжения, холодного водоснабжения и (или) водоотведения, отдельных объектов таких систем, находящихся в государственной или муниципальной собственности, по реализации инвестиционной программы, производственной программы при недостижении регулируемой организацией утверждённых плановых значений показателей надежности и качества объектов централизованных систем водоснабжения и (или) водоотведения (корректировка по показателям надежности и качества)</t>
  </si>
  <si>
    <r>
      <t>ΔЦП</t>
    </r>
    <r>
      <rPr>
        <b/>
        <charset val="204"/>
        <family val="2"/>
        <rFont val="Tahoma"/>
        <sz val="9"/>
        <vertAlign val="subscript"/>
      </rPr>
      <t>i-2</t>
    </r>
  </si>
  <si>
    <t>V</t>
  </si>
  <si>
    <t>Доходы от взимания платы за нарушение нормативов по объёму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п.14 Методических указаний)</t>
  </si>
  <si>
    <t>P_INCOME_STOK_VO</t>
  </si>
  <si>
    <t>VI</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</si>
  <si>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регулируемой организации (в соответствии с п.14 Методических указаний)</t>
  </si>
  <si>
    <t>P_INCOME_NEG_METHODIC</t>
  </si>
  <si>
    <t>Недополученные доходы / Выпадающие расходы</t>
  </si>
  <si>
    <t>P_INCOME_NOT_RECIEVED</t>
  </si>
  <si>
    <t>P_SURPLUS_PAST</t>
  </si>
  <si>
    <t>P_NOT_EOR_PAST</t>
  </si>
  <si>
    <t>P_BUDJ_PAST</t>
  </si>
  <si>
    <t>P_PRE_TRIAL_VIII</t>
  </si>
  <si>
    <t>P_DISPUTE_IX</t>
  </si>
  <si>
    <t>Показатели корректировки необходимой валовой выручки</t>
  </si>
  <si>
    <t>P_CORR_TOTAL</t>
  </si>
  <si>
    <t>{                  _x000D_
         funcDyn: 'msg1',_x000D_
         blok: 'blok_1',_x000D_
         wsCross: 'ТМ',_x000D_
         linkFormula: 'AD-AB',_x000D_
         levelDyn: ''_x000D_
}</t>
  </si>
  <si>
    <t>* по показателям могут быть положительные и отрицательные значения в результате финансово-хозяйственной деятельности</t>
  </si>
  <si>
    <t>Отклонение, %</t>
  </si>
  <si>
    <t>et_TM_tariff</t>
  </si>
  <si>
    <t>sphere</t>
  </si>
  <si>
    <t>type</t>
  </si>
  <si>
    <t>Утверждаемый тариф</t>
  </si>
  <si>
    <t>Дополнительные признаки дифференциации тарифов</t>
  </si>
  <si>
    <t>Одноставочный тариф:</t>
  </si>
  <si>
    <t>тариф.прочие.I</t>
  </si>
  <si>
    <t>для прочих потребителей с 01.01 по 30.06 без НДС</t>
  </si>
  <si>
    <t xml:space="preserve">Тариф с 01.01 по 30.06 (в рамках 2026 г. - с 01.01 по 30.09) для прочих потребителей без НДС </t>
  </si>
  <si>
    <t>руб./куб.м</t>
  </si>
  <si>
    <t>P_SNGL_1_OTHER</t>
  </si>
  <si>
    <t>тариф.прочие.II</t>
  </si>
  <si>
    <t>для прочих потребителей с 01.07 по 31.12 без НДС</t>
  </si>
  <si>
    <t>Тариф с 01.07 по 31.12 (в рамках 2026 г. - с 01.10 по 31.12) для прочих потребителей без НДС</t>
  </si>
  <si>
    <t>P_SNGL_2_OTHER</t>
  </si>
  <si>
    <t>для прочих потребителей без НДС</t>
  </si>
  <si>
    <t>Темп роста тарифов с 01.07  (в рамках 2026 г. - с 01.10)</t>
  </si>
  <si>
    <t>P_SNGL_GROW_OTHER</t>
  </si>
  <si>
    <t>ПО.прочие</t>
  </si>
  <si>
    <t>Объём реализации услуги с 01.01 по 31.12</t>
  </si>
  <si>
    <t>P_SNGL_VOL_OTHER</t>
  </si>
  <si>
    <t>тариф.население.I</t>
  </si>
  <si>
    <t>для населения с 01.01 по 30.06 с НДС</t>
  </si>
  <si>
    <t>Тариф с 01.01 по 30.06 (в рамках 2026 г. - с 01.01 по 30.09) для населения с НДС</t>
  </si>
  <si>
    <t>P_SNGL_1_PPL</t>
  </si>
  <si>
    <t>тариф.население.II</t>
  </si>
  <si>
    <t>для населения с 01.07 по 31.12 с НДС</t>
  </si>
  <si>
    <t>Тариф с 01.07 по 31.12 (в рамках 2026 г. - с 01.10 по 31.12)  для населения с НДС</t>
  </si>
  <si>
    <t>P_SNGL_2_PPL</t>
  </si>
  <si>
    <t>для населения с НДС</t>
  </si>
  <si>
    <t>P_SNGL_GROW_PPL</t>
  </si>
  <si>
    <t>ПО.население</t>
  </si>
  <si>
    <t>Объём реализации услуги для населения с 01.01 по 31.12</t>
  </si>
  <si>
    <t>P_SNGL_VOL_PPL</t>
  </si>
  <si>
    <t>P_SNGL_EXTRA_TARIFF</t>
  </si>
  <si>
    <t>DYN_SNGL</t>
  </si>
  <si>
    <t>P_SNGL_EXTRA_TARIFF_2</t>
  </si>
  <si>
    <t>P_SNGL_EXTRA_VOL</t>
  </si>
  <si>
    <t>!== 'для прочих потребителей с 01.01 по 30.06 без НДС' &amp;&amp; row.det_name.toLowerCase() !== 'для прочих потребителей с 01.07 по 31.12 без НДС' &amp;&amp; row.det_name.toLowerCase() !== 'для прочих потребителей без НДС' &amp;&amp; row.det_name.toLowerCase() !== 'для населения с 01.01 по 30.06 с НДС' &amp;&amp; row.det_name.toLowerCase() !== 'для населения с 01.07 по 31.12 с НДС' &amp;&amp; row.det_name.toLowerCase() !== 'для населения с НДС' &amp;&amp; row.l1_1 !== null &amp;&amp; row.det_name.toLowerCase() !== 'не определено'</t>
  </si>
  <si>
    <t>{                  _x000D_
         funcDyn: 'msg',_x000D_
         blok: '',_x000D_
         wsCross: '',_x000D_
         linkFormula: '',_x000D_
         levelDyn: '',_x000D_
         addDynValue: 'det_name|AB|0'_x000D_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</si>
  <si>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</si>
  <si>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</si>
  <si>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t>
  </si>
  <si>
    <t>P_DBL_1_OTHER_TRANSF</t>
  </si>
  <si>
    <t>P_DBL_1_OTHER_RATE</t>
  </si>
  <si>
    <t>ПО.прочие.I</t>
  </si>
  <si>
    <t>l2_1_3</t>
  </si>
  <si>
    <t>P_DBL_1_OTHER_VOL</t>
  </si>
  <si>
    <t>l2_1_4</t>
  </si>
  <si>
    <t>тыс.руб./куб.м*час/в месяц</t>
  </si>
  <si>
    <t>P_DBL_1_OTHER_RATE_MAINTAN</t>
  </si>
  <si>
    <t>l2_1_5</t>
  </si>
  <si>
    <t>величина присоединённой мощности</t>
  </si>
  <si>
    <t>куб.м*час</t>
  </si>
  <si>
    <t>P_DBL_1_OTHER_POWER</t>
  </si>
  <si>
    <t>Тариф с 01.07 по 31.12 (в рамках 2026 г. - с 01.10 по 31.12) для прочих потребителей без НДС:</t>
  </si>
  <si>
    <t>P_DBL_2_OTHER_TRANSF</t>
  </si>
  <si>
    <t>P_DBL_2_OTHER_RATE</t>
  </si>
  <si>
    <t>ПО.прочие.II</t>
  </si>
  <si>
    <t>P_DBL_2_OTHER_VOL</t>
  </si>
  <si>
    <t>P_DBL_2_OTHER_RATE_MAINTAN</t>
  </si>
  <si>
    <t>P_DBL_2_OTHER_POWER</t>
  </si>
  <si>
    <t>Тариф с 01.01 по 30.06  (в рамках 2026 г. - с 01.01 по 30.09) для населения с НДС:</t>
  </si>
  <si>
    <t>P_DBL_1_PPL_TRANSF</t>
  </si>
  <si>
    <t>P_DBL_1_PPL_RATE</t>
  </si>
  <si>
    <t>ПО.население.I</t>
  </si>
  <si>
    <t>P_DBL_1_PPL_VOL</t>
  </si>
  <si>
    <t>P_DBL_1_PPL_RATE_MAINTAN</t>
  </si>
  <si>
    <t>P_DBL_1_PPL_POWER</t>
  </si>
  <si>
    <t>Тариф с 01.07 по 31.12 (в рамках 2026 г. - с 01.10 по 31.12) для населения с НДС:</t>
  </si>
  <si>
    <t>P_DBL_2_PPL_TRANSF</t>
  </si>
  <si>
    <t>P_DBL_2_PPL_RATE</t>
  </si>
  <si>
    <t>ПО.население.II</t>
  </si>
  <si>
    <t>P_DBL_2_PPL_VOL</t>
  </si>
  <si>
    <t>P_DBL_2_PPL_RATE_MAINTAN</t>
  </si>
  <si>
    <t>P_DBL_2_PPL_POWER</t>
  </si>
  <si>
    <t>P_DBL_EXTRA_TRANSF</t>
  </si>
  <si>
    <t>P_DBL_EXTRA_RATE</t>
  </si>
  <si>
    <t>P_DBL_EXTRA_VOL</t>
  </si>
  <si>
    <t>P_DBL_EXTRA_RATE_MAINTAN</t>
  </si>
  <si>
    <t>P_DBL_EXTRA_POWER</t>
  </si>
  <si>
    <t>P_DBL_EXTRA_TRANSF_2</t>
  </si>
  <si>
    <t>P_DBL_EXTRA_RATE_2</t>
  </si>
  <si>
    <t>P_DBL_EXTRA_VOL_2</t>
  </si>
  <si>
    <t>P_DBL_EXTRA_RATE_MAINTAN_2</t>
  </si>
  <si>
    <t>P_DBL_EXTRA_POWER_2</t>
  </si>
  <si>
    <t>!== 'для прочих потребителей с 01.01 по 30.06 без НДС' &amp;&amp; row.det_name.toLowerCase() !== 'для прочих потребителей с 01.07 по 31.12 без НДС' &amp;&amp; row.det_name.toLowerCase() !== 'для населения с 01.01 по 30.06 с НДС' &amp;&amp; row.det_name.toLowerCase() !== 'для населения с 01.07 по 31.12 с НДС' row.l2_1 !== null &amp;&amp; row.det_name.toLowerCase() !== 'не определено'</t>
  </si>
  <si>
    <t>с 01.01 по 30.06 без НДС</t>
  </si>
  <si>
    <t>Тариф с 01.01 по 30.06  (в рамках 2026 г. - с 01.01 по 30.09) без НДС</t>
  </si>
  <si>
    <t>P_TR_1</t>
  </si>
  <si>
    <t>с 01.07 по 31.12 без НДС</t>
  </si>
  <si>
    <t>Тариф с 01.07 по 31.12 (в рамках 2026 г. - с 01.10 по 31.12) без НДС</t>
  </si>
  <si>
    <t>P_TR_2</t>
  </si>
  <si>
    <t>Темп роста тарифов с 01.07 (в рамках 2026 г. - с 01.10)</t>
  </si>
  <si>
    <t>P_TR_GROW</t>
  </si>
  <si>
    <t>P_TR_VOL</t>
  </si>
  <si>
    <t>P_TR_EXTRA</t>
  </si>
  <si>
    <t>DYN_TR</t>
  </si>
  <si>
    <t>!== 'с 01.01 по 30.06 без НДС' &amp;&amp; row.det_name.toLowerCase() !== 'с 01.07 по 31.12 без НДС' &amp;&amp; row.l1_1 !== null &amp;&amp; row.det_name.toLowerCase() !== 'не определено'</t>
  </si>
  <si>
    <t>{                  _x000D_
         funcDyn: 'msg1',_x000D_
         blok: 'blok_1',_x000D_
         wsCross: 'Калькуляция (МЭОР)',_x000D_
         linkFormula: 'AB-AD',_x000D_
         levelDyn: ''_x000D_
}</t>
  </si>
  <si>
    <t>det2_name</t>
  </si>
  <si>
    <t xml:space="preserve"> Расчет тарифа методом экономически обоснованных расходов (затрат)</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</si>
  <si>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</si>
  <si>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</si>
  <si>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</si>
  <si>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</si>
  <si>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Производственные расходы:</t>
  </si>
  <si>
    <t>Расходы на приобретение сырья и материалов и их хранение, в том числе:</t>
  </si>
  <si>
    <t>P_MATERIALS_EXP</t>
  </si>
  <si>
    <t>реагенты</t>
  </si>
  <si>
    <t>P_REAG</t>
  </si>
  <si>
    <t>горюче-смазочные материалы</t>
  </si>
  <si>
    <t>P_GSM</t>
  </si>
  <si>
    <t>материалы и малоценные основные средства</t>
  </si>
  <si>
    <t>P_OTHER_MATS</t>
  </si>
  <si>
    <t>Расходы на энергетические ресурсы и холодную воду, в том числе:</t>
  </si>
  <si>
    <t>P_ER_EXP</t>
  </si>
  <si>
    <t>электроэнергия</t>
  </si>
  <si>
    <t>P_EE</t>
  </si>
  <si>
    <t>теплоэнергия</t>
  </si>
  <si>
    <t>теплоноситель</t>
  </si>
  <si>
    <t>1.2.4</t>
  </si>
  <si>
    <t>топливо</t>
  </si>
  <si>
    <t>1.2.5</t>
  </si>
  <si>
    <t>холодная вода</t>
  </si>
  <si>
    <t>P_HVS</t>
  </si>
  <si>
    <t>1.2.6</t>
  </si>
  <si>
    <t>транспортировка холодной воды</t>
  </si>
  <si>
    <t>P_HVS_TR</t>
  </si>
  <si>
    <t>1.2.7</t>
  </si>
  <si>
    <t>водоотведение</t>
  </si>
  <si>
    <t>P_VO</t>
  </si>
  <si>
    <t>1.2.8</t>
  </si>
  <si>
    <t>транспортировка сточных вод</t>
  </si>
  <si>
    <t>P_VO_TR</t>
  </si>
  <si>
    <t>1.2.9</t>
  </si>
  <si>
    <t>очистка сточных вод</t>
  </si>
  <si>
    <t>P_VO_CLEAN</t>
  </si>
  <si>
    <t>Расходы на оплату работ и услуг, выполняемых сторонними организациями и индивидуальными предпринимателями, связанные с эксплуатацией централизованных систем либо объектов в составе таких систем</t>
  </si>
  <si>
    <t>P_SERVICES</t>
  </si>
  <si>
    <t>Расходы на оплату труда и страховые взносы на обязательное социальное страхование производственного персонала, в том числе налоги и сборы, в том числе:</t>
  </si>
  <si>
    <t>P_FOT_TOTAL_PROD</t>
  </si>
  <si>
    <t>расходы на оплату труда производственного персонала</t>
  </si>
  <si>
    <t>P_FOT_PROD</t>
  </si>
  <si>
    <t>страховые взносы на обязательное социальное страхование производственного персонала, в том числе налоги и сборы</t>
  </si>
  <si>
    <t>P_FOT_INS_PROD</t>
  </si>
  <si>
    <t>Расходы на уплату процентов по займам и кредитам</t>
  </si>
  <si>
    <t>l1_6</t>
  </si>
  <si>
    <t>1.6</t>
  </si>
  <si>
    <t>Общехозяйственные расходы</t>
  </si>
  <si>
    <t>P_HOZ</t>
  </si>
  <si>
    <t>l1_7</t>
  </si>
  <si>
    <t>1.7</t>
  </si>
  <si>
    <t>Прочие производственные расходы, в том числе:</t>
  </si>
  <si>
    <t>P_OTHER_PROD</t>
  </si>
  <si>
    <t>услуги по обращению с осадком сточных вод, тыс.руб.</t>
  </si>
  <si>
    <t>1.7.1</t>
  </si>
  <si>
    <t>услуги по обращению с осадком сточных вод</t>
  </si>
  <si>
    <t>P_STOK</t>
  </si>
  <si>
    <t>расходы на амортизацию автотранспорта, тыс.руб.</t>
  </si>
  <si>
    <t>1.7.2</t>
  </si>
  <si>
    <t>расходы на амортизацию автотранспорта</t>
  </si>
  <si>
    <t>P_TRANSP_AMOR</t>
  </si>
  <si>
    <t>контроль качества воды и сточных вод, тыс.руб.</t>
  </si>
  <si>
    <t>1.7.3</t>
  </si>
  <si>
    <t>контроль качества воды и сточных вод</t>
  </si>
  <si>
    <t>P_QUALITY_WATER</t>
  </si>
  <si>
    <t>расходы на аварийно-диспетчерское обслуживание, тыс.руб.</t>
  </si>
  <si>
    <t>1.7.4</t>
  </si>
  <si>
    <t>расходы на аварийно-диспетчерское обслуживание</t>
  </si>
  <si>
    <t>P_DISP</t>
  </si>
  <si>
    <t>P_OTHER_EXTRA</t>
  </si>
  <si>
    <t>!== 'услуги по обращению с осадком сточных вод, тыс.руб.' &amp;&amp; row.det_name.toLowerCase() !== 'расходы на амортизацию автотранспорта, тыс.руб.' &amp;&amp; row.det_name.toLowerCase() !== 'контроль качества воды и сточных вод, тыс.руб.' &amp;&amp; row.det_name.toLowerCase() !== 'расходы на аварийно-диспетчерское обслуживание, тыс.руб.' &amp;&amp; row.det_name.toLowerCase() !== 'не определено'</t>
  </si>
  <si>
    <t>Ремонтные расходы:</t>
  </si>
  <si>
    <t>P_REPAIR</t>
  </si>
  <si>
    <t>Расходы на ремонт централизованных систем водоснабжения и (или) водоотведения либо объектов, входящих в состав таких систем</t>
  </si>
  <si>
    <t>P_REPAIR_SYSTEM</t>
  </si>
  <si>
    <t>Расходы на оплату труда и страховые взносы на обязательное социальное страхование ремонтного персонала, в том числе налоги и сборы, в том числе:</t>
  </si>
  <si>
    <t>P_FOT_TOTAL_REPAIR</t>
  </si>
  <si>
    <t>l2_2_1</t>
  </si>
  <si>
    <t>расходы на оплату труда ремонтного персонала</t>
  </si>
  <si>
    <t>P_FOT_REPAIR</t>
  </si>
  <si>
    <t>l2_2_2</t>
  </si>
  <si>
    <t>страховые взносы на обязательное социальное страхование ремонтного персонала, в том числе налоги и сборы</t>
  </si>
  <si>
    <t>P_FOT_INS_REPAIR</t>
  </si>
  <si>
    <t>Административные расходы:</t>
  </si>
  <si>
    <t>P_ADM</t>
  </si>
  <si>
    <t>Расходы на оплату работ и услуг, выполняемых сторонними организациями</t>
  </si>
  <si>
    <t>Расходы на оплату труда и страховые взносы на обязательное социальное страхование административно-управленческого персонала, в том числе налоги и сборы, в том числе:</t>
  </si>
  <si>
    <t>P_FOT_ADM_TOTAL</t>
  </si>
  <si>
    <t>расходы на оплату труда административно-управленческого персонала</t>
  </si>
  <si>
    <t>страховые взносы на обязательное социальное страхование административно-управленческого персонала, в том числе налоги и сборы</t>
  </si>
  <si>
    <t>P_FOT_INS_ADM</t>
  </si>
  <si>
    <t>Арендная плата, лизинговые платежи, не связанные с арендой (лизингом) централизованных систем водоснабжения и (или) водоотведения либо объектов, входящих в состав таких систем</t>
  </si>
  <si>
    <t>P_INSUR</t>
  </si>
  <si>
    <t>Прочие административные расходы, в том числе:</t>
  </si>
  <si>
    <t>P_OTHER_ADM_TOTAL</t>
  </si>
  <si>
    <t>l3_7_1</t>
  </si>
  <si>
    <t>3.7.1</t>
  </si>
  <si>
    <t>расходы на амортизацию непроизводственных активов</t>
  </si>
  <si>
    <t>P_NON_PROD_AMOR</t>
  </si>
  <si>
    <t>l3_7_2</t>
  </si>
  <si>
    <t>3.7.2</t>
  </si>
  <si>
    <t>P_SEQ_OBJ</t>
  </si>
  <si>
    <t>l3_7_3</t>
  </si>
  <si>
    <t>3.7.3</t>
  </si>
  <si>
    <t>P_OTHER_ADM</t>
  </si>
  <si>
    <t>Сбытовые расходы гарантирующих организаций</t>
  </si>
  <si>
    <t>P_SBYT_GO</t>
  </si>
  <si>
    <t>Амортизация основных средств и нематериальных активов</t>
  </si>
  <si>
    <t>в том числе инвестиционная (справочно)</t>
  </si>
  <si>
    <t>P_AMOR_INV</t>
  </si>
  <si>
    <t>Расходы на арендную плату, лизинговые платежи, концессионную плату</t>
  </si>
  <si>
    <t>P_RENT_LEASE_CONC</t>
  </si>
  <si>
    <t>Расходы, связанные с уплатой налогов и сборов</t>
  </si>
  <si>
    <t>Нормативная прибыль:</t>
  </si>
  <si>
    <t>средства на возврат займов и кредитов и процентов по ним</t>
  </si>
  <si>
    <t>расходы на капитальные вложения</t>
  </si>
  <si>
    <t>P_CAP</t>
  </si>
  <si>
    <t>расходы на социальные нужды, предусмотренные коллективными договорами</t>
  </si>
  <si>
    <t>P_SOC</t>
  </si>
  <si>
    <t>Расчетная предпринимательская прибыль гарантирующей организации</t>
  </si>
  <si>
    <t>P_RPP_GO</t>
  </si>
  <si>
    <t>P_OWNERLESS</t>
  </si>
  <si>
    <t>Доходы от взимания платы за нарушение нормативов по объёму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пунктом 26(1) Основ ценообразования в сфере водоснабжения и водоотведения)</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</si>
  <si>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организации (в соответствии с пунктом 26(1) Основ ценообразования в сфере водоснабжения и водоотведения)</t>
  </si>
  <si>
    <t>Недополученные доходы, выпадающие расходы</t>
  </si>
  <si>
    <t>Избыток средств, полученный за отчётные периоды регулирования, в том числе:</t>
  </si>
  <si>
    <t>l14_1</t>
  </si>
  <si>
    <t>14.1</t>
  </si>
  <si>
    <t>l14_2</t>
  </si>
  <si>
    <t>14.2</t>
  </si>
  <si>
    <t>P_BUDJ_SUBS</t>
  </si>
  <si>
    <t>l15</t>
  </si>
  <si>
    <t>l16</t>
  </si>
  <si>
    <t>l17</t>
  </si>
  <si>
    <t>Необходимая валовая выручка</t>
  </si>
  <si>
    <t>P_NVV</t>
  </si>
  <si>
    <t>l17_1</t>
  </si>
  <si>
    <t>17.1</t>
  </si>
  <si>
    <t>в части условно-переменных расходов</t>
  </si>
  <si>
    <t>P_NVV_VAR</t>
  </si>
  <si>
    <t>l17_2</t>
  </si>
  <si>
    <t>17.2</t>
  </si>
  <si>
    <t>в части условно-постоянных расходов</t>
  </si>
  <si>
    <t>P_NVV_CONST</t>
  </si>
  <si>
    <t>l18</t>
  </si>
  <si>
    <t>Полезный отпуск без разбивки по группам потребителей</t>
  </si>
  <si>
    <t>P_USEFULL_TOTAL</t>
  </si>
  <si>
    <t>l18_1</t>
  </si>
  <si>
    <t>18.1</t>
  </si>
  <si>
    <t>I полугодие: объём реализации (в рамках 2026 г. - с 01.01 по 30.09)</t>
  </si>
  <si>
    <t>P_USEFULL_1_VOL</t>
  </si>
  <si>
    <t>l18_2</t>
  </si>
  <si>
    <t>18.2</t>
  </si>
  <si>
    <t>I полугодие: тариф (в рамках 2026 г. - с 01.01 по 30.09)</t>
  </si>
  <si>
    <t>P_USEFULL_1_TARIFF</t>
  </si>
  <si>
    <t>l18_3</t>
  </si>
  <si>
    <t>18.3</t>
  </si>
  <si>
    <t>II полугодие: объём реализации по населению (в рамках 2026 г. - с 01.10 по 31.12)</t>
  </si>
  <si>
    <t>P_USEFULL_2_VOL</t>
  </si>
  <si>
    <t>l18_4</t>
  </si>
  <si>
    <t>18.4</t>
  </si>
  <si>
    <t>II полугодие: тариф (в рамках 2026 г. - с 01.10 по 31.12)</t>
  </si>
  <si>
    <t>P_USEFULL_2_TARIFF</t>
  </si>
  <si>
    <t>l18_5</t>
  </si>
  <si>
    <t>18.5</t>
  </si>
  <si>
    <t>темп роста тарифа</t>
  </si>
  <si>
    <t>P_GROW_TARIFF</t>
  </si>
  <si>
    <t>l18_6</t>
  </si>
  <si>
    <t>18.6</t>
  </si>
  <si>
    <t>средневзвешенный тариф</t>
  </si>
  <si>
    <t>P_AVG_TARIFF</t>
  </si>
  <si>
    <t>l19</t>
  </si>
  <si>
    <t>Итого НВВ для населения</t>
  </si>
  <si>
    <t>P_NVV_PPL</t>
  </si>
  <si>
    <t>l20</t>
  </si>
  <si>
    <t>Полезный отпуск для населения:</t>
  </si>
  <si>
    <t>P_USEFULL_PPL_TOTAL</t>
  </si>
  <si>
    <t>l20_1</t>
  </si>
  <si>
    <t>20.1</t>
  </si>
  <si>
    <t>I полугодие: объём реализации по населению (в рамках 2026 г. - с 01.01 по 30.09)</t>
  </si>
  <si>
    <t>P_USEFULL_PPL_1_VOL</t>
  </si>
  <si>
    <t>l20_2</t>
  </si>
  <si>
    <t>20.2</t>
  </si>
  <si>
    <t>I полугодие: тариф для населения (в рамках 2026 г. - с 01.01 по 30.09)</t>
  </si>
  <si>
    <t>P_USEFULL_PPL_1_TARIFF</t>
  </si>
  <si>
    <t>l20_3</t>
  </si>
  <si>
    <t>20.3</t>
  </si>
  <si>
    <t>P_USEFULL_PPL_2_VOL</t>
  </si>
  <si>
    <t>l20_4</t>
  </si>
  <si>
    <t>20.4</t>
  </si>
  <si>
    <t>II полугодие: тариф для населения (в рамках 2026 г. - с 01.10 по 31.12)</t>
  </si>
  <si>
    <t>P_USEFULL_PPL_2_TARIFF</t>
  </si>
  <si>
    <t>Справочные показатели:</t>
  </si>
  <si>
    <t>P_SPRAV</t>
  </si>
  <si>
    <t>21.1</t>
  </si>
  <si>
    <t>Размер компенсации за счёт средств бюджетов бюджетной системы Российской Федерации (при наличии)</t>
  </si>
  <si>
    <t>P_BUDJ_COMP</t>
  </si>
  <si>
    <t>22.2</t>
  </si>
  <si>
    <t>Бюджетные субсидии, полученные в целях возмещения затрат в связи с выполнением работ, оказанием услуг, необходимых для осуществления регулируемых видов деятельности, за исключением субсидий, полученных регулируемой организацией на компенсацию недополученных доходов, возникающих в результате установления льготных цен (тарифов) (при наличии)</t>
  </si>
  <si>
    <t>P_BUDJ_SUBS_WORKS</t>
  </si>
  <si>
    <t>{                  _x000D_
         funcDyn: 'msg1',_x000D_
         blok: 'blok_1',_x000D_
         wsCross: 'Калькуляция (МИ)',_x000D_
         linkFormula: 'AB-AB',_x000D_
         levelDyn: ''_x000D_
}</t>
  </si>
  <si>
    <t>pok_indx</t>
  </si>
  <si>
    <t>pok_rab</t>
  </si>
  <si>
    <t>pok_eor</t>
  </si>
  <si>
    <t>det_name_eor</t>
  </si>
  <si>
    <t>et_Calculation_tariff</t>
  </si>
  <si>
    <t>Операционные расходы</t>
  </si>
  <si>
    <t>коэффициент изменения операционных расходов</t>
  </si>
  <si>
    <t>P_OPER_KOEF</t>
  </si>
  <si>
    <t>расходы на приобретение сырья и материалов и их хранение, в том числе:</t>
  </si>
  <si>
    <t>l1_2_1_1</t>
  </si>
  <si>
    <t>1.2.1.1</t>
  </si>
  <si>
    <t>l1_2_1_2</t>
  </si>
  <si>
    <t>1.2.1.2</t>
  </si>
  <si>
    <t>расходы на оплату регулируемыми организациями выполняемых сторонними организациями работ и (или) услуг</t>
  </si>
  <si>
    <t>расходы на оплату труда и страховые взносы на обязательное социальное страхование производственного персонала, в том числе:</t>
  </si>
  <si>
    <t>P_FOT_TOTAL</t>
  </si>
  <si>
    <t>1.2.3.1</t>
  </si>
  <si>
    <t>1.2.3.2</t>
  </si>
  <si>
    <t>страховые взносы на обязательное социальное страхование производственного персонала</t>
  </si>
  <si>
    <t>общехозяйственные расходы</t>
  </si>
  <si>
    <t>прочие производственные расходы</t>
  </si>
  <si>
    <t>P_OTHER_PROD_TOTAL</t>
  </si>
  <si>
    <t>l1_2_5_1</t>
  </si>
  <si>
    <t>1.2.5.1</t>
  </si>
  <si>
    <t>амортизация автотранспорта</t>
  </si>
  <si>
    <t>l1_2_5_2</t>
  </si>
  <si>
    <t>1.2.5.2</t>
  </si>
  <si>
    <t>расходы на обезвоживание, обезвреживание и захоронение осадка сточных вод</t>
  </si>
  <si>
    <t>P_DRY</t>
  </si>
  <si>
    <t>l1_2_5_3</t>
  </si>
  <si>
    <t>1.2.5.3</t>
  </si>
  <si>
    <t>расходы на приобретение (использование) вспомогательных материалов, запасных частей</t>
  </si>
  <si>
    <t>P_SPARE_PARTS</t>
  </si>
  <si>
    <t>l1_2_5_4</t>
  </si>
  <si>
    <t>1.2.5.4</t>
  </si>
  <si>
    <t>расходы на эксплуатацию, техническое обслуживание и ремонт автотранспорта</t>
  </si>
  <si>
    <t>P_TRANSP_REPAIR</t>
  </si>
  <si>
    <t>l1_2_5_5</t>
  </si>
  <si>
    <t>1.2.5.5</t>
  </si>
  <si>
    <t>расходы на осуществление производственного контроля качества воды и производственного контроля состава и свойств сточных вод расходы на осуществление производственного контроля качества воды и производственного контроля состава и свойств сточных вод</t>
  </si>
  <si>
    <t>l1_2_5_6</t>
  </si>
  <si>
    <t>1.2.5.6</t>
  </si>
  <si>
    <t>l1_2_5_7</t>
  </si>
  <si>
    <t>1.2.5.7</t>
  </si>
  <si>
    <t>иные производственные расходы</t>
  </si>
  <si>
    <t>расходы на текущий ремонт централизованных систем водоснабжения и (или) водоотведения либо объектов, входящих в состав таких систем</t>
  </si>
  <si>
    <t>расходы на капитальный ремонт централизованных систем водоснабжения и (или) водоотведения либо объектов, входящих в состав таких систем</t>
  </si>
  <si>
    <t>P_REPAIR_SYSTEM_CAP</t>
  </si>
  <si>
    <t>расходы на оплату труда и страховые взносы на обязательное социальное страхование ремонтного персонала, в том числе:</t>
  </si>
  <si>
    <t>l1_3_3_1</t>
  </si>
  <si>
    <t>1.3.3.1</t>
  </si>
  <si>
    <t>l1_3_3_2</t>
  </si>
  <si>
    <t>1.3.3.2</t>
  </si>
  <si>
    <t>страховые взносы на обязательное социальное страхование ремонтного персонала</t>
  </si>
  <si>
    <t>Административные расходы</t>
  </si>
  <si>
    <t>расходы на оплату работ и услуг, выполняемых сторонними организациями, в том числе:</t>
  </si>
  <si>
    <t>l1_4_1_1</t>
  </si>
  <si>
    <t>1.4.1.1</t>
  </si>
  <si>
    <t>l1_4_1_2</t>
  </si>
  <si>
    <t>1.4.1.2</t>
  </si>
  <si>
    <t>l1_4_1_3</t>
  </si>
  <si>
    <t>1.4.1.3</t>
  </si>
  <si>
    <t>l1_4_1_4</t>
  </si>
  <si>
    <t>1.4.1.4</t>
  </si>
  <si>
    <t>l1_4_1_5</t>
  </si>
  <si>
    <t>1.4.1.5</t>
  </si>
  <si>
    <t>P_SEQURITY_OBJ</t>
  </si>
  <si>
    <t>l1_4_1_6</t>
  </si>
  <si>
    <t>1.4.1.6</t>
  </si>
  <si>
    <t>l1_4_1_7</t>
  </si>
  <si>
    <t>1.4.1.7</t>
  </si>
  <si>
    <t>P_OTHER_ORG_EXTRA</t>
  </si>
  <si>
    <t>расходы на оплату труда и страховые взносы на обязательное социальное страхование административно-управленческого персонала, в том числе:</t>
  </si>
  <si>
    <t>l1_4_2_1</t>
  </si>
  <si>
    <t>1.4.2.1</t>
  </si>
  <si>
    <t>l1_4_2_2</t>
  </si>
  <si>
    <t>1.4.2.2</t>
  </si>
  <si>
    <t>страховые взносы на обязательное социальное страхование административно-управленческого персонала</t>
  </si>
  <si>
    <t>арендная плата, лизинговые платежи, не связанные с арендой (лизингом) централизованных систем водоснабжения и (или) водоотведения либо объектов, входящих в состав таких систем</t>
  </si>
  <si>
    <t>служебные командировки</t>
  </si>
  <si>
    <t>l1_4_5</t>
  </si>
  <si>
    <t>1.4.5</t>
  </si>
  <si>
    <t>обучение персонала</t>
  </si>
  <si>
    <t>l1_4_6</t>
  </si>
  <si>
    <t>1.4.6</t>
  </si>
  <si>
    <t>страхование производственных объектов</t>
  </si>
  <si>
    <t>l1_4_7</t>
  </si>
  <si>
    <t>1.4.7</t>
  </si>
  <si>
    <t>прочие административные расходы</t>
  </si>
  <si>
    <t>l1_4_7_1</t>
  </si>
  <si>
    <t>1.4.7.1</t>
  </si>
  <si>
    <t>l1_4_7_2</t>
  </si>
  <si>
    <t>1.4.7.2</t>
  </si>
  <si>
    <t>l1_4_7_3</t>
  </si>
  <si>
    <t>1.4.7.3</t>
  </si>
  <si>
    <t>Сбытовые расходы гарантирующих организаций (за исключением указанных в п.2.6)</t>
  </si>
  <si>
    <t>Реагенты до 2020 года</t>
  </si>
  <si>
    <t>P_REAG_2020</t>
  </si>
  <si>
    <t>Операционные расходы по концессионным соглашениям</t>
  </si>
  <si>
    <t>P_OPER_CONC</t>
  </si>
  <si>
    <t>DYN_CONC</t>
  </si>
  <si>
    <t>!== 'не определено'</t>
  </si>
  <si>
    <t>Неподконтрольные расходы</t>
  </si>
  <si>
    <t>P_UNCONTOLL</t>
  </si>
  <si>
    <t>Расходы на оплату товаров (услуг, работ), приобретаемых у других организаций</t>
  </si>
  <si>
    <t>P_SERVICES_2</t>
  </si>
  <si>
    <t>расходы на тепловую энергию</t>
  </si>
  <si>
    <t>2.1.2</t>
  </si>
  <si>
    <t>расходы на теплоноситель</t>
  </si>
  <si>
    <t>2.1.3</t>
  </si>
  <si>
    <t>расходы на транспортировку воды</t>
  </si>
  <si>
    <t>P_TR</t>
  </si>
  <si>
    <t>2.1.4</t>
  </si>
  <si>
    <t>расходы на покупку воды</t>
  </si>
  <si>
    <t>P_WATER</t>
  </si>
  <si>
    <t>2.1.5</t>
  </si>
  <si>
    <t>услуги по горячему водоснабжению</t>
  </si>
  <si>
    <t>l2_1_6</t>
  </si>
  <si>
    <t>2.1.6</t>
  </si>
  <si>
    <t>услуги по приготовлению воды на нужды горячего водоснабжения</t>
  </si>
  <si>
    <t>P_GVS_PREP</t>
  </si>
  <si>
    <t>l2_1_7</t>
  </si>
  <si>
    <t>2.1.7</t>
  </si>
  <si>
    <t>услуги по транспортировке горячей воды</t>
  </si>
  <si>
    <t>P_GVS_TR</t>
  </si>
  <si>
    <t>l2_1_8</t>
  </si>
  <si>
    <t>2.1.8</t>
  </si>
  <si>
    <t>услуги по водоотведению</t>
  </si>
  <si>
    <t>l2_1_9</t>
  </si>
  <si>
    <t>2.1.9</t>
  </si>
  <si>
    <t>услуги по транспортировке сточных вод</t>
  </si>
  <si>
    <t>l2_1_10</t>
  </si>
  <si>
    <t>2.1.10</t>
  </si>
  <si>
    <t>услуги по очистке сточных вод</t>
  </si>
  <si>
    <t>2.1.11</t>
  </si>
  <si>
    <t>расходы на топливо</t>
  </si>
  <si>
    <t>Расходы на реагенты</t>
  </si>
  <si>
    <t>Налоги и сборы и другие обязательные платежи</t>
  </si>
  <si>
    <t>l2_3_1</t>
  </si>
  <si>
    <t>P_TAX_INCOME</t>
  </si>
  <si>
    <t>l2_3_2</t>
  </si>
  <si>
    <t>налог на имущество организаций</t>
  </si>
  <si>
    <t>P_TAX_PROP</t>
  </si>
  <si>
    <t>l2_3_3</t>
  </si>
  <si>
    <t>земельный налог и арендная плата за землю</t>
  </si>
  <si>
    <t>P_TAX_LAND</t>
  </si>
  <si>
    <t>l2_3_4</t>
  </si>
  <si>
    <t>2.3.4</t>
  </si>
  <si>
    <t>водный налог</t>
  </si>
  <si>
    <t>P_TAX_WATER</t>
  </si>
  <si>
    <t>l2_3_5</t>
  </si>
  <si>
    <t>2.3.5</t>
  </si>
  <si>
    <t>плата за пользование водным объектом</t>
  </si>
  <si>
    <t>P_WATER_OBJ</t>
  </si>
  <si>
    <t>l2_3_6</t>
  </si>
  <si>
    <t>2.3.6</t>
  </si>
  <si>
    <t>транспортный налог</t>
  </si>
  <si>
    <t>P_TAX_TRANSP</t>
  </si>
  <si>
    <t>l2_3_7</t>
  </si>
  <si>
    <t>2.3.7</t>
  </si>
  <si>
    <t>плата за негативное воздействие на окружающую среду</t>
  </si>
  <si>
    <t>P_TAX_NEG</t>
  </si>
  <si>
    <t>l2_3_8</t>
  </si>
  <si>
    <t>2.3.8</t>
  </si>
  <si>
    <t>единый налог при УСН</t>
  </si>
  <si>
    <t>2.3.9</t>
  </si>
  <si>
    <t>обязательное страхование, предусмотренное Законодательством РФ</t>
  </si>
  <si>
    <t>P_TAX_INS</t>
  </si>
  <si>
    <t>l2_3_9</t>
  </si>
  <si>
    <t>2.3.10</t>
  </si>
  <si>
    <t>прочие налоги и сборы</t>
  </si>
  <si>
    <t>P_OTHER_TAXES</t>
  </si>
  <si>
    <t>P_SEQ_SYSTEM</t>
  </si>
  <si>
    <t>P_RENT_CONC_LEASE</t>
  </si>
  <si>
    <t>l2_6</t>
  </si>
  <si>
    <t>Сбытовые расходы гарантирующей организации</t>
  </si>
  <si>
    <t>P_SBYT_GO_2</t>
  </si>
  <si>
    <t>l2_6_1</t>
  </si>
  <si>
    <t>2.6.1</t>
  </si>
  <si>
    <t>P_DOUBT_DEBT</t>
  </si>
  <si>
    <t>l2_7</t>
  </si>
  <si>
    <t>P_ECONOMY</t>
  </si>
  <si>
    <t>l2_8</t>
  </si>
  <si>
    <t>2.8</t>
  </si>
  <si>
    <t>l2_9</t>
  </si>
  <si>
    <t>P_EOR_COMP</t>
  </si>
  <si>
    <t>l2_10</t>
  </si>
  <si>
    <t>P_CREDIT_TOTAL</t>
  </si>
  <si>
    <t>l2_10_1</t>
  </si>
  <si>
    <t>2.10.1</t>
  </si>
  <si>
    <t>возврат займов и кредитов</t>
  </si>
  <si>
    <t>l2_10_2</t>
  </si>
  <si>
    <t>2.10.2</t>
  </si>
  <si>
    <t>проценты по займам и кредитам</t>
  </si>
  <si>
    <t>P_CREDIT_PERCENT</t>
  </si>
  <si>
    <t>l2_11</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</si>
  <si>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</si>
  <si>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P_CONC_KADASTR</t>
  </si>
  <si>
    <t>ээ</t>
  </si>
  <si>
    <t>Расходы на электрическую энергию</t>
  </si>
  <si>
    <t>Амортизация основных средств и нематериальных активов, относимых к объектам централизованной системы водоснабжения (водоотведения)</t>
  </si>
  <si>
    <t>средства на возврат инвестиционных займов</t>
  </si>
  <si>
    <t>P_NORM_INCOME_INVEST</t>
  </si>
  <si>
    <t>средства на уплату процентов по инвестиционным займам</t>
  </si>
  <si>
    <t>P_LEASE_PERCENT</t>
  </si>
  <si>
    <t>капитальные расходы</t>
  </si>
  <si>
    <t>иные экономически обоснованные расходы на социальные нужды</t>
  </si>
  <si>
    <t>иные экономически обоснованные расходы на социальные нужды в соответствии с пунктом 86 настоящих Методических указаний</t>
  </si>
  <si>
    <t>P_OTHER_EOR</t>
  </si>
  <si>
    <t>Возврат инвестированного капитала</t>
  </si>
  <si>
    <t>P_INVEST_RET</t>
  </si>
  <si>
    <t>Полная величина инвестированного капитала</t>
  </si>
  <si>
    <t>P_INVEST_VOL</t>
  </si>
  <si>
    <t>Срок возврата инвестированного капитала</t>
  </si>
  <si>
    <t>лет</t>
  </si>
  <si>
    <t>P_INVEST_PERIOD</t>
  </si>
  <si>
    <t>Доход на инвестированный капитал</t>
  </si>
  <si>
    <t>P_INVEST_INCOME</t>
  </si>
  <si>
    <t>Первоначальный размер инвестированного капитала</t>
  </si>
  <si>
    <t>P_INVEST_FIRST_PAY</t>
  </si>
  <si>
    <t>Доходность первоначального размера инвестированного капитала</t>
  </si>
  <si>
    <t>P_INVEST_FIRST_INCOME</t>
  </si>
  <si>
    <t>База инвестированного капитала</t>
  </si>
  <si>
    <t>P_INVEST_BASE</t>
  </si>
  <si>
    <t>Чистый оборотный капитал</t>
  </si>
  <si>
    <t>P_INVEST_CLEAN_FUND</t>
  </si>
  <si>
    <t>l5_4_1</t>
  </si>
  <si>
    <t>5.4.1</t>
  </si>
  <si>
    <t>Норматив чистого оборотного капитала</t>
  </si>
  <si>
    <t>P_CLEAN_FUND_NORM</t>
  </si>
  <si>
    <t>Норма доходности</t>
  </si>
  <si>
    <t>P_INCOME_NORM</t>
  </si>
  <si>
    <t>l5_5_1</t>
  </si>
  <si>
    <t>5.5.1</t>
  </si>
  <si>
    <t>Норма доходности нового капитала</t>
  </si>
  <si>
    <t>P_INCOME_NORM_NEW</t>
  </si>
  <si>
    <t>l5_5_2</t>
  </si>
  <si>
    <t>5.5.2</t>
  </si>
  <si>
    <t>Норма доходности старого капитала</t>
  </si>
  <si>
    <t>P_INCOME_NORM_OLD</t>
  </si>
  <si>
    <t>L11</t>
  </si>
  <si>
    <t>l7_0</t>
  </si>
  <si>
    <t>P_NVV_CORR</t>
  </si>
  <si>
    <t>Справочно в том числе:</t>
  </si>
  <si>
    <t>Ввод объектов системы водоснабжения и (или) водоотведения в эксплуатацию и изменение утверждённой инвестиционной программы</t>
  </si>
  <si>
    <t>P_WATER_EXPLOIT</t>
  </si>
  <si>
    <t>L4</t>
  </si>
  <si>
    <t>Степень исполнения регулируемой организацией обязательств по созданию и (или) реконструкции объектов концессионного соглашения, по эксплуатации объектов по договору аренды централизованных систем горячего водоснабжения, холодного водоснабжения и (или) водоотведения, отдельных объектов таких систем, находящихся в государственной или муниципальной собственности, по реализации инвестиционной программы, производственной программы при недостижении регулируемой организацией утверждённых плановых значений показателей надежности и качества объектов централизованных систем водоснабжения и (или) водоотведения</t>
  </si>
  <si>
    <t>P_STEPEN_REG</t>
  </si>
  <si>
    <t>Размер корректировки НВВ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 тарифов</t>
  </si>
  <si>
    <t>P_NVV_PAST</t>
  </si>
  <si>
    <t>L5</t>
  </si>
  <si>
    <t>L6</t>
  </si>
  <si>
    <t>L7</t>
  </si>
  <si>
    <t>P_OTHER_INCOME</t>
  </si>
  <si>
    <t>L8</t>
  </si>
  <si>
    <t>L8_1</t>
  </si>
  <si>
    <t>l15_1</t>
  </si>
  <si>
    <t>L8_2</t>
  </si>
  <si>
    <t>l15_2</t>
  </si>
  <si>
    <t>P_PRE_TIRAL</t>
  </si>
  <si>
    <t>L10</t>
  </si>
  <si>
    <t>Величина сглаживания НВВ</t>
  </si>
  <si>
    <t>P_NVV_SMOOTH</t>
  </si>
  <si>
    <t>% сглаживания НВВ</t>
  </si>
  <si>
    <t>P_NVV_SMOOTH_PERCENT</t>
  </si>
  <si>
    <t>Итого НВВ для расчёта тарифа</t>
  </si>
  <si>
    <t>P_NVV_TARIFF</t>
  </si>
  <si>
    <t>l19_1</t>
  </si>
  <si>
    <t>l19_2</t>
  </si>
  <si>
    <t>l19_3</t>
  </si>
  <si>
    <t>II полугодие: объём реализации (в рамках 2026 г. - с 01.10 по 31.12)</t>
  </si>
  <si>
    <t>l19_4</t>
  </si>
  <si>
    <t>l19_5</t>
  </si>
  <si>
    <t>l19_6</t>
  </si>
  <si>
    <t>l21</t>
  </si>
  <si>
    <t>l21_1</t>
  </si>
  <si>
    <t>l21_2</t>
  </si>
  <si>
    <t>l21_3</t>
  </si>
  <si>
    <t>l21_4</t>
  </si>
  <si>
    <t>Финансовый результат по данным раздельного учета (указывается фактическая(ий) прибыль / убыток, как результат операционной деятельности организации в бухгалтерском учёте по регулируемому виду деятельности)</t>
  </si>
  <si>
    <t>P_FIN_RESULT</t>
  </si>
  <si>
    <t>В соответствии с п. 45 Методических указаний 1746-э.Операционные расходы на первый год долгосрочного периода регулирования (далее - базовый уровень операционных расходов) рассчитываются с применением метода экономически обоснованных расходов (затрат) в соответствии с пунктами 17 - 26 настоящих Методических указаний (за исключением расходов на электрическую энергию (мощность, тепловую энергию и другие виды энергетических ресурсов)).</t>
  </si>
  <si>
    <t>На период 2027-2030 операционные расходы рассчитаны исходя из базового уровня операционных расходов 2026 года, с применением коэффициентов индексации на 2027-2030 годы, рассчитанных в соответствии с Методическими указаниями (с учетом ИПЦ Минэкономразвития России на 2027-2029 годы 104,0%, а также с учетом индекса эффективности операционных расходов 1%).</t>
  </si>
  <si>
    <t>В соответствии с п.п. 1 п. 44 Методических указаний 1746-э, производственные расходы, определяются в соответствии с пунктами 16 - 18 Методических указаний, за исключением расходов на реагенты и электрическую энергию (мощность, тепловую энергию и другие виды энергетических ресурсов).</t>
  </si>
  <si>
    <t>В соответствии с п.п. 1 п. 18 Методических указаний 1746-э. Принято по выданным долгосрочным параметрам и соответствует предложению организации, с учетом нормативов расхода ГСМ.</t>
  </si>
  <si>
    <t>В соответствии с п.п. 1 п. 18 Методических указаний 1746-э. Принято по выданным долгосрочным параметрам и соответствует предложению организации,  сформированным от факта  с июня по декабрь 2024 года предыдущей организации в пересчете на годовые показатели, с применением ИПЦ Минэкономразвития России на 2025 год 109,0%, на 2026 год 105,1%.</t>
  </si>
  <si>
    <t>Учтены расходы по выданным долгосрочным параметрам и соответствуют предложению организации: - услуги стор.орг. (вывоз мусора, поверка, техосмотр, ОСАГО, усл.по ремонту и тех.обсл., прочие усл.) 421,52 т.р.; - услуги охраны 33,25 т.р. (в соответствии с договором от 01.03.2026).</t>
  </si>
  <si>
    <t>В соответствии с п.17 Методических указаний 1746-э.</t>
  </si>
  <si>
    <t>Подробное описание на листе «ФОТ».</t>
  </si>
  <si>
    <t>Учтены расходы по выданным долгосрочным параметрам и соответствуют предложению организации: - уголь 2322,05 т.р.: 745,3 тн. (по факту предыдущей организации), цена за тонну 2550,00 руб., стоимость доставки 414,40 руб./тн. принята по фактически сложившимся затратам за 1 полугодие 2025 года по факту предыдущей организации, с применением ИПЦ Минэкономразвития России на 2026 год 105,1%; - хоз.расходы 12,11 т.р. по факту 5 мес. 2025 года предыдущей организации в пересчете на годовые показатели с применением ИПЦ Минэкономразвития России на 2026 год 105,1%.</t>
  </si>
  <si>
    <t>Учтены расходы по выданным долгосрочным параметрам и соответствуют предложению организации: - мероп. ОТ и ПБ (мед.осм.) 221,69 т.р.;- затраты на мер. ОТ и ПБ (освид.огнетуш, предрейс.МО) 41,17 т.р., в том числе освид.огнетушителей 14,61 т.р. 37 шт. огнетуш.(19 шт. Водозабор №1 в доле 0,577)*480 р./шт.(по сч-ф 2025 г. предыдущей организации), предрейс.МО 26,56 т.р. 2 р./день*60 р.*0,577 доля на Водозабор №1 (по договору 2025 года предыдущей организации), с применением ИПЦ Минэкономразвития России на 2026 год 105,1%;- мероп.ОТ и ПБ (обучение) 55,43 т.р. рассчитано в соответствии с законодательством;- мероп.ОТ и ПБ (СОУТ, произв. риски, произв.контр.) 132,25 т.р. рассчитано в соответствии с законодательством;- спец.одежда, СИЗ 1658,31 т.р. рассчитано с учетом нормативов в соответствии с законодательством (Приказ Минздравсоцразвития России от 03.10.2008 N 543н, Приказ Минтруда России от 29.10.2021 N 767н). Цена принята в расчет по договорам 2025 года предыдущей организации, с применением ИПЦ Минэкономразвития России на 2026 год 105,1%;- моющие средства 42,01 т.р. по факту с января по май 2025 года предыдущей организации в пересчете на годовые показатели, с применением ИПЦ Минэкономразвития России на 2026 год 105,1%.​</t>
  </si>
  <si>
    <t>Учтены расходы по выданным долгосрочным параметрам и соответствуют предложению организации, предложение организации сформировано по периодичности проведения лабораторных исследований, стоимость принята по договорам 2025 года предыдущей организации, с применением ИПЦ Минэкономразвития России на 2026 год 105,1%.</t>
  </si>
  <si>
    <t>Учтены расходы по выданным долгосрочным параметрам и соответствуют предложению организации: - автотранспортные услуги 3127,81 т.р., рассчитаны по факту с января по май 2025 года предыдущей организации (без учета пассажирских перевозок) в пересчете на годовые показатели, с применением ИПЦ Минэкономразвития России на 2026 год 105,1%; - реактивы 107,21 т.р. по предложению организации и не превышает факт 2025 года предыдущей организации.</t>
  </si>
  <si>
    <t>Учтены расходы по выданным долгосрочным параметрам, в соответствии с представленными локально-сметными расчетами и согласованной с Администрацией программой ремонтных работ.</t>
  </si>
  <si>
    <t>п.п. 3 п. 44 Методических указаний 1746-э.</t>
  </si>
  <si>
    <t>В соответствии с п.п. 10 п. 49 Методических указаний 1746-э. Подробное описание на листе "Сырье и материалы".</t>
  </si>
  <si>
    <t>Налог на имущество по ИП. В соответствии с п.1 ст.308 Налогового кодекса РФ от 05.08.2000 № 117-ФЗ, с учетом уменьшения суммы налога на 50% на 2024-2028 годы в соответствии с Законом от 24.11.2033 № 107-ОЗ "О внесении изменения в статью 4 Закона Кемеровской области-кузбасса "О налоге на имущество организаций".</t>
  </si>
  <si>
    <t>В соответствии с п. 29 Методических указаний 1746-э. Расходы на аренду земельных участков, Подробное описание на листе Аренда.</t>
  </si>
  <si>
    <t>В соответствии с п. 28 Методических указаний 1746-э, в соответствии с заключенным концессионным соглашением.</t>
  </si>
  <si>
    <t>В соответствии с п. 85 Методических указаний 1746-э. Расчетная величина корректировки необходимой валовой выручки в целях сглаживания тарифов, принятая регулятором, не превышает максимально допустимый размер сглаживания 12%.</t>
  </si>
  <si>
    <t>Распределение НВВ по периодам произведено исходя из не превышения уровня тарифа в 1 полугодии над тарифом декабря предыдущего периода на основании положений п. 9 Основ ценообразования.</t>
  </si>
  <si>
    <t>В соответствии с п.п. 1 п. 18 Методических указаний 1746-э. Принято по выданным долгосрочным параметрам и соответствует предложению организации, сформированным от факта  с января по май 2025 года предыдущей организации в пересчете на годовые показатели, с применением ИПЦ Минэкономразвития России на 2026 год 105,1%.</t>
  </si>
  <si>
    <t>Учтены расходы по выданным долгосрочным параметрам и соответствуют предложению организации: - услуги стор.орг. (поверка, усл.по ремонту и тех.обсл., прочие усл.) 52,25 т.р.</t>
  </si>
  <si>
    <t>Учтены расходы по выданным долгосрочным параметрам и соответствуют предложению организации: - уголь 21,81 т.р.: 9,9 тн. (по факту предыдущей организации), цена за тонну 2080,10 руб., стоимость доставки 116,80 руб./тн. принята по фактически сложившимся затратам за 1 полугодие 2025 года по факту предыдущей организации, с применением ИПЦ Минэкономразвития России на 2026 год 105,1%.</t>
  </si>
  <si>
    <t>В соответствии с п.п. 1 п. 18 Методических указаний 1746-э. Принято по выданным долгосрочным параметрам и соответствует предложению организации, с учетом нормативов расхода ГСМ</t>
  </si>
  <si>
    <t>В соответствии с п.п. 1 п. 18 Методических указаний 1746-э. Принято по выданным долгосрочным параметрам и соответствует предложению организации и не превышает факт  с июня по декабрь 2024 года предыдущей организации в пересчете на годовые показатели, с применением ИПЦ Минэкономразвития России на 2025 год 109,0%, на 2026 год 105,1%.</t>
  </si>
  <si>
    <t>Учтены расходы по выданным долгосрочным параметрам и соответствуют предложению организации: - услуги стор.орг. (вывоз мусора, поверка, техосмотр, ОСАГО, усл.по ремонту и тех.обсл., прочие усл.) 204,51 т.р.; - услуги охраны 33,25 т.р. (в соответствии с договором от 01.03.2026).</t>
  </si>
  <si>
    <t xml:space="preserve">Учтены расходы по выданным долгосрочным параметрам и соответствуют предложению организации: 
- мероп. ОТ и ПБ (мед.осм.) 110,94 т.р.;
- затраты на мер. ОТ и ПБ (освид.огнетуш, предрейс.МО) 56,12 т.р., в том числе освид.огнетушителей 10,09 т.р. 20 шт. огнетуш.*480 р./шт.(по сч-ф 2025 г. предыдущей организации), предрейс.МО 46,03 т.р. 2 р./день*60 р. (по договору 2025 года предыдущей организации), с применением ИПЦ Минэкономразвития России на 2026 год 105,1%;
- мероп.ОТ и ПБ (обучение) 40,60 т.р. рассчитано в соответствии с законодательством;
- мероп.ОТ и ПБ (СОУТ, произв. риски, произв.контр.) 63,95 т.р. рассчитано в соответствии с законодательством;
- спец.одежда, СИЗ 999,48 т.р. рассчитано с учетом нормативов в соответствии с законодательством (Приказ Минздравсоцразвития России от 03.10.2008 N 543н, Приказ Минтруда России от 29.10.2021 N 767н). Цена принята в расчет по договорам 2025 года предыдущей организации, с применением ИПЦ Минэкономразвития России на 2026 год 105,1%;
- моющие средства 49,79 т.р. по факту с января по май 2025 года предыдущей организации в пересчете на годовые показатели, с применением ИПЦ Минэкономразвития России на 2026 год 105,1%.
</t>
  </si>
  <si>
    <t>Учтены расходы по выданным долгосрочным параметрам и соответствуют предложению организации: - автотранспортные услуги 1383,30 т.р., рассчитаны по факту с января по май 2025 года предыдущей организации (без учета пассажирских перевозок) в пересчете на годовые показатели, с применением ИПЦ Минэкономразвития России на 2026 год 105,1%; - реактивы 163,45 т.р. по предложению организации и не превышает факт 2025 года предыдущей организации.</t>
  </si>
  <si>
    <t>Налог на имущество по ИП, В соответствии с п.1 ст.308 Налогового кодекса РФ от 05.08.2000 № 117-ФЗ, с учетом уменьшения суммы налога на 50% на 2024-2028 годы в соответствии с Законом от 24.11.2033 № 107-ОЗ "О внесении изменения в статью 4 Закона Кемеровской области-кузбасса "О налоге на имущество организаций".</t>
  </si>
  <si>
    <t>Учтены расходы по выданным долгосрочным параметрам и соответствуют предложению организации: - услуги стор.орг. (вывоз мусора, поверка, усл.по ремонту и тех.обсл., прочие усл.) 285,08 т.р.</t>
  </si>
  <si>
    <t>Учтены расходы по выданным долгосрочным параметрам и соответствуют предложению организации: - уголь 305,23 т.р.: 138,56 тн. (по факту предыдущей организации), цена за тонну 2080,10 руб., стоимость доставки 116,80 руб./тн. принята по фактически сложившимся затратам за 1 полугодие 2025 года по факту предыдущей организации, с применением ИПЦ Минэкономразвития России на 2026 год 105,1%.</t>
  </si>
  <si>
    <t>Учтены расходы по выданным долгосрочным параметрам и соответствуют предложению организации: - автотранспортные услуги 1496,66 т.р., рассчитаны по факту с января по май 2025 года предыдущей организации (без учета пассажирских перевозок) в пересчете на годовые показатели, с применением ИПЦ Минэкономразвития России на 2026 год 105,1%.</t>
  </si>
  <si>
    <t>{                  _x000D_
         funcDyn: 'msg1',_x000D_
         blok: 'blok_1',_x000D_
         wsCross: 'Калькуляция (МИ корр)',_x000D_
         linkFormula: 'AB-AB',_x000D_
         levelDyn: ''_x000D_
}</t>
  </si>
  <si>
    <t xml:space="preserve">Тарифы для организации утверждены на период с 31.07.2026 по 31.12.2030.
НВВ на 2026 год утверждена в размере:
- тариф 1 Питьевая вода г. Осинники 93508,18 тыс. руб.;
- тариф 2 Питьевая вода г. Калтан 51431,99 тыс. руб.;
- тариф 3 Водоотведение г. Осинники 59617,99 тыс. руб.;
- тариф 4 Водоотведение г. Калтан 56398,65 тыс. руб.
</t>
  </si>
  <si>
    <t>rePaint</t>
  </si>
  <si>
    <t>{                  _x000D_
         funcDyn: 'msg',_x000D_
         blok: '',_x000D_
         wsCross: '',_x000D_
         linkFormula: '',_x000D_
         levelDyn: '1',_x000D_
        addDynValue: 'det_name|AC|0'_x000D_
}</t>
  </si>
  <si>
    <t>{                  _x000D_
         funcDyn: 'msg1',_x000D_
         blok: 'blok_1',_x000D_
         wsCross: 'ДПР',_x000D_
         linkFormula: 'AB-AB',_x000D_
         levelDyn: ''_x000D_
}</t>
  </si>
  <si>
    <t>checkEE</t>
  </si>
  <si>
    <t>l4_2_1</t>
  </si>
  <si>
    <t>l4_2_2</t>
  </si>
  <si>
    <t>l4_2_3</t>
  </si>
  <si>
    <t>l4_2_4</t>
  </si>
  <si>
    <t>P_BASE</t>
  </si>
  <si>
    <t>P_IND</t>
  </si>
  <si>
    <t>P_NORM</t>
  </si>
  <si>
    <t>P_WATER_LOSS</t>
  </si>
  <si>
    <t>P_EE_TOTAL</t>
  </si>
  <si>
    <t>P_EE_VS_PREP</t>
  </si>
  <si>
    <t>P_EE_VS_TR</t>
  </si>
  <si>
    <t>P_EE_VO_CLEAN</t>
  </si>
  <si>
    <t>P_EE_VO_TR</t>
  </si>
  <si>
    <t>Удельный расход ЭЭ делится по технологическим процессам</t>
  </si>
  <si>
    <t>Год</t>
  </si>
  <si>
    <t>Базовый уровень операционных расходов</t>
  </si>
  <si>
    <t>Нормативный уровень прибыли</t>
  </si>
  <si>
    <t>Показатели энергетической эффективности</t>
  </si>
  <si>
    <t>Удельный расход электрической энергии</t>
  </si>
  <si>
    <t>удельный расход ЭЭ, потребляемой в процессе подготовки воды</t>
  </si>
  <si>
    <t>удельный расход ЭЭ, потребляемой в процессе транспортировки воды</t>
  </si>
  <si>
    <t>удельный расход ЭЭ, потребляемой в процессе очистки сточных вод</t>
  </si>
  <si>
    <t>удельный расход ЭЭ, потребляемой в процессе транспортировки сточных вод</t>
  </si>
  <si>
    <t>кВтч/куб.м</t>
  </si>
  <si>
    <t>check</t>
  </si>
  <si>
    <t>{                  _x000D_
         funcDyn: 'msg1',_x000D_
         blok: 'blok_1',_x000D_
         wsCross: 'ДПР (концессии)',_x000D_
         linkFormula: 'AB-AB',_x000D_
         levelDyn: ''_x000D_
}</t>
  </si>
  <si>
    <t>DYN_DPR</t>
  </si>
  <si>
    <t>{                  _x000D_
         funcDyn: 'msg',_x000D_
         blok: '',_x000D_
         wsCross: '',_x000D_
         linkFormula: '',_x000D_
         levelDyn: '1',_x000D_
         addDynValue: 'det_name|AB|0'_x000D_
}</t>
  </si>
  <si>
    <t>Питьевая вода (Осинниковский городской округ)</t>
  </si>
  <si>
    <t>Питьевая вода (Калтанский городской округ)</t>
  </si>
  <si>
    <t>Водоотведение (Осинниковский городской округ)</t>
  </si>
  <si>
    <t>Водоотведение (Калтанский городской округ)</t>
  </si>
  <si>
    <t>{                  _x000D_
         funcDyn: 'msg1',_x000D_
         blok: 'blok_1',_x000D_
         wsCross: 'ГО',_x000D_
         linkFormula: 'AB-AB',_x000D_
         levelDyn: ''_x000D_
}</t>
  </si>
  <si>
    <t>Величина, принятая органом регулирования</t>
  </si>
  <si>
    <t>расходы на приобретение сырья и материалов и их хранение</t>
  </si>
  <si>
    <t>расходы на оплату труда и страховые взносы на обязательное социальное страхование основного производственного персонала</t>
  </si>
  <si>
    <t>l1_1_3_1</t>
  </si>
  <si>
    <t>1.1.3.1</t>
  </si>
  <si>
    <t>расходы на оплату труда основного производственного персонала</t>
  </si>
  <si>
    <t>l1_1_3_1_1</t>
  </si>
  <si>
    <t>1.1.3.1.1</t>
  </si>
  <si>
    <t>численность персонала основного производственного персонала</t>
  </si>
  <si>
    <t>чел</t>
  </si>
  <si>
    <t>P_PROD_COUNT</t>
  </si>
  <si>
    <t>l1_1_3_1_2</t>
  </si>
  <si>
    <t>1.1.3.1.2</t>
  </si>
  <si>
    <t>средняя заработная плата основного производственного персонала</t>
  </si>
  <si>
    <t>руб./мес</t>
  </si>
  <si>
    <t>P_PROD_AVG</t>
  </si>
  <si>
    <t>l1_1_3_2</t>
  </si>
  <si>
    <t>1.1.3.2</t>
  </si>
  <si>
    <t>страховые взносы на обязательное социальное страхование основного производственного персонала</t>
  </si>
  <si>
    <t>расходы на уплату процентов по займам и кредитам</t>
  </si>
  <si>
    <t>l1_1_5</t>
  </si>
  <si>
    <t>l1_1_6</t>
  </si>
  <si>
    <t>1.1.6</t>
  </si>
  <si>
    <t>прочие производственные расходы:</t>
  </si>
  <si>
    <t>l1_1_6_1</t>
  </si>
  <si>
    <t>1.1.6.1</t>
  </si>
  <si>
    <t>P_AMOR_TRANSP</t>
  </si>
  <si>
    <t>l1_1_6_2</t>
  </si>
  <si>
    <t>1.1.6.2</t>
  </si>
  <si>
    <t>l1_1_6_3</t>
  </si>
  <si>
    <t>1.1.6.3</t>
  </si>
  <si>
    <t>l1_1_6_4</t>
  </si>
  <si>
    <t>1.1.6.4</t>
  </si>
  <si>
    <t>расходы на эксплуатацию, техническое обслуживание и ремонт автотранспорт</t>
  </si>
  <si>
    <t>l1_1_6_5</t>
  </si>
  <si>
    <t>1.1.6.5</t>
  </si>
  <si>
    <t>l1_1_6_6</t>
  </si>
  <si>
    <t>1.1.6.6</t>
  </si>
  <si>
    <t>l1_1_6_7</t>
  </si>
  <si>
    <t>1.1.6.7</t>
  </si>
  <si>
    <t>Ремонтные расходы</t>
  </si>
  <si>
    <t>расходы на текущий ремонт производственных фондов</t>
  </si>
  <si>
    <t>расходы на капитальный ремонт производственных фондов</t>
  </si>
  <si>
    <t>расходы на оплату труда и страховые взносы на обязательное социальное страхование ремонтного персонала</t>
  </si>
  <si>
    <t>l1_2_3_1_1</t>
  </si>
  <si>
    <t>1.2.3.1.1</t>
  </si>
  <si>
    <t>численность персонала ремонтного персонала</t>
  </si>
  <si>
    <t>P_REPAIR_COUNT</t>
  </si>
  <si>
    <t>l1_2_3_1_2</t>
  </si>
  <si>
    <t>1.2.3.1.2</t>
  </si>
  <si>
    <t>средняя заработная плата ремонтного персонала</t>
  </si>
  <si>
    <t>P_REPAIR_AVG</t>
  </si>
  <si>
    <t>l1_3_1_1</t>
  </si>
  <si>
    <t>1.3.1.1</t>
  </si>
  <si>
    <t>l1_3_1_2</t>
  </si>
  <si>
    <t>1.3.1.2</t>
  </si>
  <si>
    <t>l1_3_1_3</t>
  </si>
  <si>
    <t>1.3.1.3</t>
  </si>
  <si>
    <t>l1_3_1_4</t>
  </si>
  <si>
    <t>1.3.1.4</t>
  </si>
  <si>
    <t>l1_3_1_5</t>
  </si>
  <si>
    <t>1.3.1.5</t>
  </si>
  <si>
    <t>расходы на оплату труда и страховые взносы на обязательное социальное страхование административно-управленческого персонала</t>
  </si>
  <si>
    <t>l1_3_2_1</t>
  </si>
  <si>
    <t>1.3.2.1</t>
  </si>
  <si>
    <t>l1_3_2_1_1</t>
  </si>
  <si>
    <t>1.3.2.1.1</t>
  </si>
  <si>
    <t>численность административно-управленческого персонала</t>
  </si>
  <si>
    <t>P_ADM_COUNT</t>
  </si>
  <si>
    <t>l1_3_2_1_2</t>
  </si>
  <si>
    <t>1.3.2.1.2</t>
  </si>
  <si>
    <t>средняя заработная плата административно-управленческого персонала</t>
  </si>
  <si>
    <t>P_ADM_AVG</t>
  </si>
  <si>
    <t>l1_3_2_2</t>
  </si>
  <si>
    <t>1.3.2.2</t>
  </si>
  <si>
    <t>Арендная плата, лизинговые платежи, не связанные с арендой (лизингом) основных производственных фондов</t>
  </si>
  <si>
    <t>l1_3_4</t>
  </si>
  <si>
    <t>1.3.4</t>
  </si>
  <si>
    <t>l1_3_5</t>
  </si>
  <si>
    <t>1.3.5</t>
  </si>
  <si>
    <t>l1_3_6</t>
  </si>
  <si>
    <t>1.3.6</t>
  </si>
  <si>
    <t>Страхование производственных_x000D_
объектов</t>
  </si>
  <si>
    <t>l1_3_7</t>
  </si>
  <si>
    <t>1.3.7</t>
  </si>
  <si>
    <t>Прочие административные расходы</t>
  </si>
  <si>
    <t>l1_3_7_1</t>
  </si>
  <si>
    <t>1.3.7.1</t>
  </si>
  <si>
    <t>Расходы на амортизацию непроизводственных активов</t>
  </si>
  <si>
    <t>l1_3_7_2</t>
  </si>
  <si>
    <t>1.3.7.2</t>
  </si>
  <si>
    <t>Расходы по охране объектов и территорий</t>
  </si>
  <si>
    <t>l1_3_7_3</t>
  </si>
  <si>
    <t>1.3.7.3</t>
  </si>
  <si>
    <t>Прочие операционные расходы</t>
  </si>
  <si>
    <t>P_OPER_EXTRA</t>
  </si>
  <si>
    <t>DYN_OPER</t>
  </si>
  <si>
    <t>P_UNCONTROLL</t>
  </si>
  <si>
    <t>P_OTHER_EXP_TE</t>
  </si>
  <si>
    <t>P_OTHER_EXP_TN</t>
  </si>
  <si>
    <t>P_OTHER_EXP_TRANSP_WATER</t>
  </si>
  <si>
    <t>P_OTHER_EXP_WATER</t>
  </si>
  <si>
    <t>P_OTHER_EXP_GVS</t>
  </si>
  <si>
    <t>P_OTHER_EXP_GVS_PREP</t>
  </si>
  <si>
    <t>P_OTHER_EXP_GVS_TRANSP</t>
  </si>
  <si>
    <t>P_OTHER_EXP_VO</t>
  </si>
  <si>
    <t>P_OTHER_EXP_TRANSP_STOCK</t>
  </si>
  <si>
    <t>P_OTHER_EXP_WATER_CLEAN</t>
  </si>
  <si>
    <t>P_OTHER_EXP_FUEL</t>
  </si>
  <si>
    <t>P_REAGENTS</t>
  </si>
  <si>
    <t>Налоги и сборы</t>
  </si>
  <si>
    <t>Налог на имущество организаций</t>
  </si>
  <si>
    <t>l2_2_3</t>
  </si>
  <si>
    <t>Земельный налог</t>
  </si>
  <si>
    <t>l2_2_4</t>
  </si>
  <si>
    <t>l2_2_5</t>
  </si>
  <si>
    <t>l2_2_6</t>
  </si>
  <si>
    <t>Единый налог при УСН</t>
  </si>
  <si>
    <t>P_INSURANCE</t>
  </si>
  <si>
    <t>l2_2_8</t>
  </si>
  <si>
    <t>l2_8_1</t>
  </si>
  <si>
    <t>Возврат займов и кредитов</t>
  </si>
  <si>
    <t>l2_8_2</t>
  </si>
  <si>
    <t>2.6.2</t>
  </si>
  <si>
    <t>Проценты по займам и кредитам (на обслуживание займов и кредитов, привлекаемых на пополнение оборотных средств)</t>
  </si>
  <si>
    <t>P_ECO_EXP</t>
  </si>
  <si>
    <t>l2_12</t>
  </si>
  <si>
    <t>Расходы на оплату услуг банков</t>
  </si>
  <si>
    <t>P_BANKS</t>
  </si>
  <si>
    <t>P_CONC_KADR</t>
  </si>
  <si>
    <t>l2_13</t>
  </si>
  <si>
    <t>2.12</t>
  </si>
  <si>
    <t>Прочие неподконтрольные расходы</t>
  </si>
  <si>
    <t>P_UNCONTROLL_EXTRA</t>
  </si>
  <si>
    <t>DYN_UNC</t>
  </si>
  <si>
    <t>{                  _x000D_
         funcDyn: 'msg1',_x000D_
         blok: 'blok_1',_x000D_
         wsCross: 'Калькуляция (МСА)',_x000D_
         linkFormula: 'AB-AB',_x000D_
         levelDyn: ''_x000D_
}</t>
  </si>
  <si>
    <t>Необходимая валовая выручка транзитной организации</t>
  </si>
  <si>
    <t>P_NVV_TRANZ</t>
  </si>
  <si>
    <t>УТР</t>
  </si>
  <si>
    <t>P_UD_EXP_GO</t>
  </si>
  <si>
    <t>текущие расходы ГО, отнесенные на вид деятельности по транспортировке воды/сточных вод</t>
  </si>
  <si>
    <t>P_CURR_EXP_GO</t>
  </si>
  <si>
    <t xml:space="preserve">в т.ч. расходы на электрическую энергию* </t>
  </si>
  <si>
    <t>P_PRICE_IND_LAST</t>
  </si>
  <si>
    <t>P_PRICE_IND_CURR</t>
  </si>
  <si>
    <t>протяженность сети ГО, определенная в сопоставимых величинах</t>
  </si>
  <si>
    <t>P_GO_LENGTH</t>
  </si>
  <si>
    <t>Протяженность сети транзитной организации</t>
  </si>
  <si>
    <t>P_TRANZ_LENGTH</t>
  </si>
  <si>
    <t xml:space="preserve">фактическая протяженность сетей </t>
  </si>
  <si>
    <t>P_LENGTH_FACT</t>
  </si>
  <si>
    <t>Нормативный уровень расходов на амортизацию</t>
  </si>
  <si>
    <t>P_AMOR_NORM_EXP</t>
  </si>
  <si>
    <t>норматив амортизации</t>
  </si>
  <si>
    <t>P_AMOR_NORM</t>
  </si>
  <si>
    <t>Объем транспортируемой холодной воды / сточных вод</t>
  </si>
  <si>
    <t>тыс.м3</t>
  </si>
  <si>
    <t>1 полугодие (в рамках 2026 г. - с 01.01 по 30.09)</t>
  </si>
  <si>
    <t>P_VOL_1</t>
  </si>
  <si>
    <t>2 полугодие (в рамках 2026 г. - с 01.10 по 31.12)</t>
  </si>
  <si>
    <t>P_VOL_2</t>
  </si>
  <si>
    <t>Среднегодовой тариф</t>
  </si>
  <si>
    <t>6.1.1</t>
  </si>
  <si>
    <t>Тариф с 1.01 по 30.06 (в рамках 2026 г. - с 01.01 по 30.09)</t>
  </si>
  <si>
    <t>P_AVG_1</t>
  </si>
  <si>
    <t>6.1.2</t>
  </si>
  <si>
    <t>Тариф с 1.07 по 31.12 (в рамках 2026 г. - с 01.10 по 31.12)</t>
  </si>
  <si>
    <t>P_AVG_2</t>
  </si>
  <si>
    <t xml:space="preserve">Темп рост тарифа </t>
  </si>
  <si>
    <t>P_GROW</t>
  </si>
  <si>
    <t>{                  _x000D_
         funcDyn: 'msg1',_x000D_
         blok: '',_x000D_
         wsCross: '',_x000D_
         linkFormula: '',_x000D_
         levelDyn: ''_x000D_
}</t>
  </si>
  <si>
    <t>* - не учитываются в текущих расходах ГО в случае, если ТО не владеет на законных основаниях насосными станциями, канализационными насосными станциями, насосным оборудованием, иным оборудованием, потребляющим электрическую энергию, затрачиваемую в технологическом процессе транспортировки воды и (или) транспортировки сточных вод</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</si>
  <si>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</si>
  <si>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</si>
  <si>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</si>
  <si>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</si>
  <si>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</si>
  <si>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</si>
  <si>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</si>
  <si>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</si>
  <si>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</si>
  <si>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</si>
  <si>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</si>
  <si>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</si>
  <si>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</si>
  <si>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</si>
  <si>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</si>
  <si>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</si>
  <si>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</si>
  <si>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</si>
  <si>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</si>
  <si>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</si>
  <si>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</si>
  <si>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</si>
  <si>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</si>
  <si>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</si>
  <si>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</si>
  <si>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</si>
  <si>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</si>
  <si>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</si>
  <si>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</si>
  <si>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</si>
  <si>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</si>
  <si>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</si>
  <si>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</si>
  <si>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</si>
  <si>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</si>
  <si>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</si>
  <si>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</si>
  <si>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</si>
  <si>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</si>
  <si>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</si>
  <si>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</si>
  <si>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</si>
  <si>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</si>
  <si>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</si>
  <si>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</si>
  <si>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</si>
  <si>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</si>
  <si>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</si>
  <si>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</si>
  <si>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</si>
  <si>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</si>
  <si>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</si>
  <si>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</si>
  <si>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</si>
  <si>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</si>
  <si>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</si>
  <si>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</si>
  <si>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</si>
  <si>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</si>
  <si>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</si>
  <si>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</si>
  <si>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</si>
  <si>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</si>
  <si>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</si>
  <si>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</si>
  <si>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</si>
  <si>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</si>
  <si>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</si>
  <si>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</si>
  <si>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</si>
  <si>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</si>
  <si>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</si>
  <si>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</si>
  <si>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</si>
  <si>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</si>
  <si>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</si>
  <si>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</si>
  <si>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</si>
  <si>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</si>
  <si>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</si>
  <si>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</si>
  <si>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</si>
  <si>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</si>
  <si>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</si>
  <si>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</si>
  <si>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</si>
  <si>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</si>
  <si>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</si>
  <si>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</si>
  <si>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</si>
  <si>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</si>
  <si>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</si>
  <si>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</si>
  <si>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</si>
  <si>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</si>
  <si>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</si>
  <si>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</si>
  <si>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</si>
  <si>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</si>
  <si>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</si>
  <si>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</si>
  <si>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</si>
  <si>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</si>
  <si>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</si>
  <si>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</si>
  <si>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</si>
  <si>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</si>
  <si>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</si>
  <si>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</si>
  <si>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</si>
  <si>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</si>
  <si>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</si>
  <si>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</si>
  <si>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</si>
  <si>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</si>
  <si>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</si>
  <si>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</si>
  <si>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</si>
  <si>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</si>
  <si>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</si>
  <si>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</si>
  <si>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</si>
  <si>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</si>
  <si>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</si>
  <si>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</si>
  <si>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</si>
  <si>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</si>
  <si>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</si>
  <si>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</si>
  <si>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</si>
  <si>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</si>
  <si>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</si>
  <si>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</si>
  <si>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</si>
  <si>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</si>
  <si>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</si>
  <si>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</si>
  <si>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</si>
  <si>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</si>
  <si>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</si>
  <si>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</si>
  <si>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</si>
  <si>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</si>
  <si>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</si>
  <si>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</si>
  <si>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</si>
  <si>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</si>
  <si>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</si>
  <si>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</si>
  <si>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</si>
  <si>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</si>
  <si>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</si>
  <si>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</si>
  <si>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</si>
  <si>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</si>
  <si>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</si>
  <si>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</si>
  <si>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</si>
  <si>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</si>
  <si>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</si>
  <si>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</si>
  <si>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</si>
  <si>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</si>
  <si>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</si>
  <si>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</si>
  <si>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</si>
  <si>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</si>
  <si>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</si>
  <si>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</si>
  <si>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</si>
  <si>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</si>
  <si>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</si>
  <si>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</si>
  <si>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</si>
  <si>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</si>
  <si>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</si>
  <si>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</si>
  <si>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</si>
  <si>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</si>
  <si>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</si>
  <si>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</si>
  <si>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</si>
  <si>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</si>
  <si>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</si>
  <si>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</si>
  <si>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</si>
  <si>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</si>
  <si>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</si>
  <si>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</si>
  <si>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</si>
  <si>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</si>
  <si>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</si>
  <si>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</si>
  <si>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</si>
  <si>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</si>
  <si>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</si>
  <si>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</si>
  <si>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</si>
  <si>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</si>
  <si>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</si>
  <si>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</si>
  <si>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</si>
  <si>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</si>
  <si>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</si>
  <si>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</si>
  <si>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</si>
  <si>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</si>
  <si>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</si>
  <si>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</si>
  <si>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</si>
  <si>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</si>
  <si>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</si>
  <si>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</si>
  <si>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</si>
  <si>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</si>
  <si>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</si>
  <si>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</si>
  <si>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</si>
  <si>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</si>
  <si>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</si>
  <si>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</si>
  <si>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</si>
  <si>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</si>
  <si>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</si>
  <si>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</si>
  <si>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</si>
  <si>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</si>
  <si>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</si>
  <si>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</si>
  <si>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</si>
  <si>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</si>
  <si>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</si>
  <si>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</si>
  <si>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</si>
  <si>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</si>
  <si>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</si>
  <si>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</si>
  <si>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</si>
  <si>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</si>
  <si>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</si>
  <si>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</si>
  <si>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</si>
  <si>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</si>
  <si>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</si>
  <si>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</si>
  <si>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</si>
  <si>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</si>
  <si>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</si>
  <si>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</si>
  <si>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</si>
  <si>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</si>
  <si>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</si>
  <si>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</si>
  <si>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</si>
  <si>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</si>
  <si>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</si>
  <si>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</si>
  <si>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</si>
  <si>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</si>
  <si>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</si>
  <si>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</si>
  <si>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</si>
  <si>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</si>
  <si>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</si>
  <si>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</si>
  <si>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</si>
  <si>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</si>
  <si>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</si>
  <si>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</si>
  <si>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</si>
  <si>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</si>
  <si>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</si>
  <si>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</si>
  <si>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</si>
  <si>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</si>
  <si>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</si>
  <si>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</si>
  <si>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</si>
  <si>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</si>
  <si>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</si>
  <si>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</si>
  <si>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</si>
  <si>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</si>
  <si>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</si>
  <si>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</si>
  <si>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</si>
  <si>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</si>
  <si>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</si>
  <si>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</si>
  <si>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</si>
  <si>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</si>
  <si>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</si>
  <si>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</si>
  <si>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</si>
  <si>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</si>
  <si>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</si>
  <si>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</si>
  <si>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</si>
  <si>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</si>
  <si>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</si>
  <si>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</si>
  <si>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</si>
  <si>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</si>
  <si>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</si>
  <si>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</si>
  <si>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</si>
  <si>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</si>
  <si>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</si>
  <si>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</si>
  <si>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</si>
  <si>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</si>
  <si>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</si>
  <si>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</si>
  <si>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</si>
  <si>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</si>
  <si>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</si>
  <si>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</si>
  <si>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</si>
  <si>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</si>
  <si>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</si>
  <si>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</si>
  <si>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</si>
  <si>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</si>
  <si>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</si>
  <si>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</si>
  <si>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</si>
  <si>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</si>
  <si>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</si>
  <si>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</si>
  <si>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</si>
  <si>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</si>
  <si>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</si>
  <si>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</si>
  <si>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</si>
  <si>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</si>
  <si>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</si>
  <si>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</si>
  <si>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</si>
  <si>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</si>
  <si>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</si>
  <si>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</si>
  <si>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</si>
  <si>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</si>
  <si>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</si>
  <si>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</si>
  <si>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</si>
  <si>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</si>
  <si>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</si>
  <si>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</si>
  <si>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</si>
  <si>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</si>
  <si>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</si>
  <si>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</si>
  <si>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</si>
  <si>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</si>
  <si>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</si>
  <si>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</si>
  <si>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</si>
  <si>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</si>
  <si>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</si>
  <si>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</si>
  <si>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</si>
  <si>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</si>
  <si>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</si>
  <si>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</si>
  <si>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</si>
  <si>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</si>
  <si>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</si>
  <si>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</si>
  <si>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</si>
  <si>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</si>
  <si>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</si>
  <si>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</si>
  <si>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</si>
  <si>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</si>
  <si>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</si>
  <si>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</si>
  <si>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</si>
  <si>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</si>
  <si>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</si>
  <si>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</si>
  <si>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</si>
  <si>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</si>
  <si>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</si>
  <si>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</si>
  <si>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</si>
  <si>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</si>
  <si>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</si>
  <si>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</si>
  <si>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</si>
  <si>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</si>
  <si>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</si>
  <si>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</si>
  <si>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</si>
  <si>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</si>
  <si>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</si>
  <si>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</si>
  <si>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</si>
  <si>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</si>
  <si>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</si>
  <si>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</si>
  <si>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</si>
  <si>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</si>
  <si>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</si>
  <si>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</si>
  <si>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</si>
  <si>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</si>
  <si>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</si>
  <si>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</si>
  <si>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</si>
  <si>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</si>
  <si>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</si>
  <si>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</si>
  <si>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</si>
  <si>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</si>
  <si>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</si>
  <si>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</si>
  <si>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</si>
  <si>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</si>
  <si>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</si>
  <si>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</si>
  <si>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</si>
  <si>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</si>
  <si>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</si>
  <si>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</si>
  <si>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</si>
  <si>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</si>
  <si>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</si>
  <si>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</si>
  <si>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</si>
  <si>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</si>
  <si>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</si>
  <si>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</si>
  <si>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</si>
  <si>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</si>
  <si>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</si>
  <si>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</si>
  <si>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</si>
  <si>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</si>
  <si>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</si>
  <si>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</si>
  <si>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</si>
  <si>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</si>
  <si>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</si>
  <si>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</si>
  <si>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</si>
  <si>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</si>
  <si>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</si>
  <si>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</si>
  <si>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</si>
  <si>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</si>
  <si>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</si>
  <si>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</si>
  <si>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</si>
  <si>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</si>
  <si>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</si>
  <si>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</si>
  <si>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</si>
  <si>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</si>
  <si>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</si>
  <si>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</si>
  <si>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</si>
  <si>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</si>
  <si>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</si>
  <si>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</si>
  <si>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</si>
  <si>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</si>
  <si>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</si>
  <si>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</si>
  <si>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</si>
  <si>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</si>
  <si>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</si>
  <si>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</si>
  <si>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</si>
  <si>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</si>
  <si>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</si>
  <si>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</si>
  <si>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</si>
  <si>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</si>
  <si>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</si>
  <si>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</si>
  <si>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</si>
  <si>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</si>
  <si>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</si>
  <si>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</si>
  <si>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</si>
  <si>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</si>
  <si>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</si>
  <si>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</si>
  <si>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</si>
  <si>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</si>
  <si>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</si>
  <si>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</si>
  <si>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</si>
  <si>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</si>
  <si>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</si>
  <si>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</si>
  <si>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</si>
  <si>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</si>
  <si>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</si>
  <si>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</si>
  <si>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</si>
  <si>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</si>
  <si>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</si>
  <si>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</si>
  <si>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</si>
  <si>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</si>
  <si>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</si>
  <si>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</si>
  <si>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</si>
  <si>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</si>
  <si>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</si>
  <si>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</si>
  <si>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</si>
  <si>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</si>
  <si>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</si>
  <si>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</si>
  <si>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</si>
  <si>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</si>
  <si>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</si>
  <si>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</si>
  <si>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</si>
  <si>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</si>
  <si>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</si>
  <si>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</si>
  <si>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</si>
  <si>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</si>
  <si>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</si>
  <si>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</si>
  <si>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</si>
  <si>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</si>
  <si>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</si>
  <si>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</si>
  <si>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</si>
  <si>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</si>
  <si>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</si>
  <si>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</si>
  <si>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</si>
  <si>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</si>
  <si>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</si>
  <si>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</si>
  <si>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</si>
  <si>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</si>
  <si>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</si>
  <si>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</si>
  <si>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</si>
  <si>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</si>
  <si>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</si>
  <si>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</si>
  <si>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</si>
  <si>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</si>
  <si>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</si>
  <si>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</si>
  <si>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</si>
  <si>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</si>
  <si>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</si>
  <si>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</si>
  <si>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</si>
  <si>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</si>
  <si>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</si>
  <si>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</si>
  <si>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</si>
  <si>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</si>
  <si>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</si>
  <si>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</si>
  <si>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</si>
  <si>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</si>
  <si>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</si>
  <si>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</si>
  <si>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</si>
  <si>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</si>
  <si>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</si>
  <si>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</si>
  <si>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</si>
  <si>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</si>
  <si>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</si>
  <si>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</si>
  <si>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</si>
  <si>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</si>
  <si>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</si>
  <si>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</si>
  <si>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</si>
  <si>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</si>
  <si>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</si>
  <si>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</si>
  <si>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</si>
  <si>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</si>
  <si>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</si>
  <si>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</si>
  <si>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</si>
  <si>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</si>
  <si>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</si>
  <si>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</si>
  <si>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</si>
  <si>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</si>
  <si>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</si>
  <si>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</si>
  <si>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</si>
  <si>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www.kem-azot.ru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</si>
  <si>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</si>
  <si>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</si>
  <si>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</si>
  <si>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</si>
  <si>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</si>
  <si>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</si>
  <si>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</si>
  <si>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</si>
  <si>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</si>
  <si>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</si>
  <si>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</si>
  <si>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</si>
  <si>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</si>
  <si>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</si>
  <si>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</si>
  <si>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</si>
  <si>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</si>
  <si>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</si>
  <si>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</si>
  <si>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</si>
  <si>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</si>
  <si>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</si>
  <si>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</si>
  <si>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</si>
  <si>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</si>
  <si>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</si>
  <si>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</si>
  <si>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</si>
  <si>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</si>
  <si>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</si>
  <si>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</si>
  <si>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</si>
  <si>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</si>
  <si>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</si>
  <si>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</si>
  <si>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</si>
  <si>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</si>
  <si>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"ВОДОРЕСУРС" ТМО</t>
  </si>
  <si>
    <t>МУНИЦИПАЛЬНОЕ КАЗЕННОЕ ПРЕДПРИЯТИЕ "ВОДОРЕСУРС" ТАШТАГОЛЬСКОГО МУНИЦИПАЛЬНОГО ОКРУГА</t>
  </si>
  <si>
    <t>4214046627</t>
  </si>
  <si>
    <t>1254200013704</t>
  </si>
  <si>
    <t>73333590</t>
  </si>
  <si>
    <t>652992, КЕМЕРОВСКАЯ ОБЛАСТЬ - КУЗБАСС, М.Р-Н ТАШТАГОЛЬСКИЙ, Г.П. ТАШТАГОЛЬСКОЕ, Г ТАШТАГОЛ, УЛ ГЕОЛОГИЧЕСКАЯ, Д. 62</t>
  </si>
  <si>
    <t>3847332030</t>
  </si>
  <si>
    <t>vodoresurs42@yandex.ru</t>
  </si>
  <si>
    <t>Азаренок Игорь Геннадьевич</t>
  </si>
  <si>
    <t>ДИРЕКТОР</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</si>
  <si>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</si>
  <si>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</si>
  <si>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</si>
  <si>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</si>
  <si>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</si>
  <si>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</si>
  <si>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</si>
  <si>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</si>
  <si>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</si>
  <si>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</si>
  <si>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</si>
  <si>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</si>
  <si>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</si>
  <si>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</si>
  <si>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</si>
  <si>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</si>
  <si>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</si>
  <si>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</si>
  <si>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</si>
  <si>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</si>
  <si>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</si>
  <si>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</si>
  <si>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</si>
  <si>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</si>
  <si>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</si>
  <si>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</si>
  <si>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</si>
  <si>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</si>
  <si>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</si>
  <si>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</si>
  <si>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</si>
  <si>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</si>
  <si>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</si>
  <si>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</si>
  <si>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</si>
  <si>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</si>
  <si>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</si>
  <si>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</si>
  <si>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</si>
  <si>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</si>
  <si>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</si>
  <si>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</si>
  <si>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</si>
  <si>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</si>
  <si>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</si>
  <si>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</si>
  <si>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</si>
  <si>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</si>
  <si>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</si>
  <si>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</si>
  <si>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</si>
  <si>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</si>
  <si>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</si>
  <si>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</si>
  <si>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</si>
  <si>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</si>
  <si>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</si>
  <si>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</si>
  <si>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</si>
  <si>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</si>
  <si>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</si>
  <si>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</si>
  <si>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</si>
  <si>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</si>
  <si>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</si>
  <si>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</si>
  <si>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</si>
  <si>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</si>
  <si>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</si>
  <si>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</si>
  <si>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</si>
  <si>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</si>
  <si>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</si>
  <si>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</si>
  <si>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</si>
  <si>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</si>
  <si>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</si>
  <si>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</si>
  <si>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</si>
  <si>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</si>
  <si>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</si>
  <si>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</si>
  <si>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</si>
  <si>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</si>
  <si>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</si>
  <si>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</si>
  <si>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</si>
  <si>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</si>
  <si>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</si>
  <si>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</si>
  <si>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</si>
  <si>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</si>
  <si>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</si>
  <si>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</si>
  <si>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</si>
  <si>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</si>
  <si>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</si>
  <si>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</si>
  <si>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</si>
  <si>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</si>
  <si>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</si>
  <si>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</si>
  <si>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</si>
  <si>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</si>
  <si>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</si>
  <si>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</si>
  <si>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</si>
  <si>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</si>
  <si>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</si>
  <si>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</si>
  <si>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</si>
  <si>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+73845149030</t>
  </si>
  <si>
    <t>komfort-priemnaya@mail.ru</t>
  </si>
  <si>
    <t>Сивин Максим Геннадьевич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</si>
  <si>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</si>
  <si>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</si>
  <si>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</si>
  <si>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</si>
  <si>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</si>
  <si>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</si>
  <si>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+73847525402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</si>
  <si>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</si>
  <si>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</si>
  <si>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</si>
  <si>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</si>
  <si>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</si>
  <si>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</si>
  <si>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</si>
  <si>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</si>
  <si>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</si>
  <si>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</si>
  <si>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</si>
  <si>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</si>
  <si>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</si>
  <si>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</si>
  <si>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</si>
  <si>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</si>
  <si>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</si>
  <si>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</si>
  <si>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</si>
  <si>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</si>
  <si>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kornilova@skek.ru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</si>
  <si>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</si>
  <si>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</si>
  <si>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</si>
  <si>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</si>
  <si>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</si>
  <si>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</si>
  <si>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</si>
  <si>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</si>
  <si>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</si>
  <si>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</si>
  <si>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</si>
  <si>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</si>
  <si>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</si>
  <si>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</si>
  <si>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</si>
  <si>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</si>
  <si>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</si>
  <si>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</si>
  <si>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</si>
  <si>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</si>
  <si>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</si>
  <si>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</si>
  <si>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</si>
  <si>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</si>
  <si>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</si>
  <si>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</si>
  <si>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</si>
  <si>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</si>
  <si>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</si>
  <si>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</si>
  <si>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</si>
  <si>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</si>
  <si>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</si>
  <si>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</si>
  <si>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</si>
  <si>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</si>
  <si>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</si>
  <si>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</si>
  <si>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</si>
  <si>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</si>
  <si>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</si>
  <si>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</si>
  <si>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</si>
  <si>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</si>
  <si>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</si>
  <si>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</si>
  <si>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</si>
  <si>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</si>
  <si>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</si>
  <si>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</si>
  <si>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</si>
  <si>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</si>
  <si>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</si>
  <si>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</si>
  <si>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</si>
  <si>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</si>
  <si>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</si>
  <si>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</si>
  <si>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</si>
  <si>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</si>
  <si>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</si>
  <si>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</si>
  <si>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</si>
  <si>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</si>
  <si>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</si>
  <si>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</si>
  <si>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</si>
  <si>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</si>
  <si>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</si>
  <si>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</si>
  <si>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</si>
  <si>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</si>
  <si>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</si>
  <si>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</si>
  <si>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</si>
  <si>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</si>
  <si>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</si>
  <si>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</si>
  <si>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</si>
  <si>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</si>
  <si>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</si>
  <si>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</si>
  <si>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</si>
  <si>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</si>
  <si>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</si>
  <si>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</si>
  <si>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</si>
  <si>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</si>
  <si>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</si>
  <si>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</si>
  <si>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+73844721637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</si>
  <si>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</si>
  <si>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</si>
  <si>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</si>
  <si>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</si>
  <si>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</si>
  <si>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</si>
  <si>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</si>
  <si>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</si>
  <si>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</si>
  <si>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</si>
  <si>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</si>
  <si>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</si>
  <si>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</si>
  <si>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</si>
  <si>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</si>
  <si>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</si>
  <si>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</si>
  <si>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</si>
  <si>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</si>
  <si>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</si>
  <si>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</si>
  <si>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</si>
  <si>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</si>
  <si>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</si>
  <si>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</si>
  <si>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</si>
  <si>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</si>
  <si>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</si>
  <si>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</si>
  <si>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</si>
  <si>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</si>
  <si>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</si>
  <si>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</si>
  <si>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</si>
  <si>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</si>
  <si>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</si>
  <si>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</si>
  <si>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</si>
  <si>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</si>
  <si>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</si>
  <si>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</si>
  <si>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</si>
  <si>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</si>
  <si>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</si>
  <si>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</si>
  <si>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</si>
  <si>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</si>
  <si>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</si>
  <si>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</si>
  <si>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Божанов Антон Владимирович</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</si>
  <si>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</si>
  <si>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</si>
  <si>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</si>
  <si>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</si>
  <si>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</si>
  <si>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</si>
  <si>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</si>
  <si>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</si>
  <si>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</si>
  <si>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</si>
  <si>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</si>
  <si>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</si>
  <si>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</si>
  <si>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</si>
  <si>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</si>
  <si>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</si>
  <si>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</si>
  <si>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</si>
  <si>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</si>
  <si>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</si>
  <si>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</si>
  <si>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</si>
  <si>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</si>
  <si>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</si>
  <si>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</si>
  <si>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</si>
  <si>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</si>
  <si>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</si>
  <si>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</si>
  <si>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</si>
  <si>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</si>
  <si>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</si>
  <si>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</si>
  <si>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</si>
  <si>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</si>
  <si>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</si>
  <si>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</si>
  <si>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</si>
  <si>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</si>
  <si>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</si>
  <si>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</si>
  <si>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</si>
  <si>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</si>
  <si>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</si>
  <si>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</si>
  <si>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</si>
  <si>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</si>
  <si>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</si>
  <si>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</si>
  <si>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</si>
  <si>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</si>
  <si>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</si>
  <si>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</si>
  <si>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</si>
  <si>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</si>
  <si>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</si>
  <si>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</si>
  <si>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</si>
  <si>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</si>
  <si>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</si>
  <si>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</si>
  <si>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</si>
  <si>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</si>
  <si>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</si>
  <si>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</si>
  <si>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</si>
  <si>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</si>
  <si>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ПАО "ЕВРАЗ"</t>
  </si>
  <si>
    <t>ПУБЛИЧНОЕ АКЦИОНЕРНОЕ ОБЩЕСТВО "ЕВРАЗ"</t>
  </si>
  <si>
    <t>6623000680</t>
  </si>
  <si>
    <t>662301001</t>
  </si>
  <si>
    <t>1026601367539</t>
  </si>
  <si>
    <t>00186269</t>
  </si>
  <si>
    <t>622025,СВЕРДЛОВСКАЯ ОБЛАСТЬ,Г. НИЖНИЙ ТАГИЛ,УЛ. МЕТАЛЛУРГОВ,Д.1</t>
  </si>
  <si>
    <t>3843595900</t>
  </si>
  <si>
    <t>post@ntmk.ru</t>
  </si>
  <si>
    <t>Кушнарев Алексей Владиславович</t>
  </si>
  <si>
    <t>Публичное акционерное общество "ЕВРАЗ"</t>
  </si>
  <si>
    <t>622025, Свердловская область, г. Нижний Тагил, ул. Металлургов, д.1</t>
  </si>
  <si>
    <t>8384-3-59-59-00, 8384-3-59-77-81</t>
  </si>
  <si>
    <t>zsmk@evraz.com</t>
  </si>
  <si>
    <t>Синяев Павел Александрович</t>
  </si>
  <si>
    <t>www.evraz.com</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</si>
  <si>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</si>
  <si>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</si>
  <si>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</si>
  <si>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</si>
  <si>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</si>
  <si>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</si>
  <si>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</si>
  <si>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</si>
  <si>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</si>
  <si>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</si>
  <si>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</si>
  <si>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</si>
  <si>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</si>
  <si>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</si>
  <si>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</si>
  <si>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</si>
  <si>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</si>
  <si>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</si>
  <si>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</si>
  <si>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</si>
  <si>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</si>
  <si>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</si>
  <si>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</si>
  <si>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</si>
  <si>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</si>
  <si>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</si>
  <si>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</si>
  <si>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</si>
  <si>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</si>
  <si>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</si>
  <si>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</si>
  <si>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</si>
  <si>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</si>
  <si>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</si>
  <si>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</si>
  <si>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</si>
  <si>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</si>
  <si>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</si>
  <si>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</si>
  <si>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</si>
  <si>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</si>
  <si>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</si>
  <si>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</si>
  <si>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</si>
  <si>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</si>
  <si>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</si>
  <si>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16372465</t>
  </si>
  <si>
    <t>Российская Федерация, 654241, Кемеровская область, Новокузнецкий район, пос. Степной</t>
  </si>
  <si>
    <t>8-3843-557-281; ф 557-034</t>
  </si>
  <si>
    <t>kpf@kuzbasskay.ru.   ao.kpf@mail.ru</t>
  </si>
  <si>
    <t>Демченко Лия Юрьевна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</si>
  <si>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</si>
  <si>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</si>
  <si>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</si>
  <si>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</si>
  <si>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</si>
  <si>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</si>
  <si>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</si>
  <si>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</si>
  <si>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</si>
  <si>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</si>
  <si>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</si>
  <si>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</si>
  <si>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</si>
  <si>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</si>
  <si>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</si>
  <si>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</si>
  <si>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</si>
  <si>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</si>
  <si>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</si>
  <si>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</si>
  <si>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</si>
  <si>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</si>
  <si>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</si>
  <si>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</si>
  <si>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</si>
  <si>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</si>
  <si>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</si>
  <si>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</si>
  <si>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</si>
  <si>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</si>
  <si>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</si>
  <si>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</si>
  <si>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</si>
  <si>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</si>
  <si>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</si>
  <si>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</si>
  <si>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</si>
  <si>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</si>
  <si>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</si>
  <si>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</si>
  <si>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</si>
  <si>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</si>
  <si>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</si>
  <si>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</si>
  <si>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</si>
  <si>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</si>
  <si>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</si>
  <si>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</si>
  <si>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</si>
  <si>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</si>
  <si>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</si>
  <si>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</si>
  <si>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</si>
  <si>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</si>
  <si>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</si>
  <si>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</si>
  <si>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</si>
  <si>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</si>
  <si>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</si>
  <si>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</si>
  <si>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</si>
  <si>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</si>
  <si>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</si>
  <si>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</si>
  <si>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</si>
  <si>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</si>
  <si>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</si>
  <si>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</si>
  <si>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</si>
  <si>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</si>
  <si>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</si>
  <si>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</si>
  <si>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</si>
  <si>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</si>
  <si>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</si>
  <si>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</si>
  <si>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</si>
  <si>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</si>
  <si>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</si>
  <si>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</si>
  <si>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</si>
  <si>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</si>
  <si>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</si>
  <si>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</si>
  <si>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</si>
  <si>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</si>
  <si>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</si>
  <si>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</si>
  <si>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</si>
  <si>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</si>
  <si>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</si>
  <si>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</si>
  <si>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</si>
  <si>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</si>
  <si>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</si>
  <si>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</si>
  <si>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</si>
  <si>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</si>
  <si>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</si>
  <si>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</si>
  <si>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</si>
  <si>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</si>
  <si>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</si>
  <si>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</si>
  <si>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</si>
  <si>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</si>
  <si>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</si>
  <si>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</si>
  <si>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</si>
  <si>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</si>
  <si>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</si>
  <si>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</si>
  <si>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</si>
  <si>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</si>
  <si>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</si>
  <si>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</si>
  <si>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</si>
  <si>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</si>
  <si>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</si>
  <si>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</si>
  <si>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</si>
  <si>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</si>
  <si>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</si>
  <si>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</si>
  <si>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</si>
  <si>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</si>
  <si>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</si>
  <si>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</si>
  <si>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</si>
  <si>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</si>
  <si>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</si>
  <si>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</si>
  <si>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</si>
  <si>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</si>
  <si>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</si>
  <si>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</si>
  <si>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</si>
  <si>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</si>
  <si>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</si>
  <si>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</si>
  <si>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</si>
  <si>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</si>
  <si>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</si>
  <si>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</si>
  <si>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</si>
  <si>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</si>
  <si>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</si>
  <si>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</si>
  <si>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</si>
  <si>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</si>
  <si>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</si>
  <si>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</si>
  <si>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</si>
  <si>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</si>
  <si>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</si>
  <si>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</si>
  <si>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</si>
  <si>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</si>
  <si>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</si>
  <si>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</si>
  <si>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</si>
  <si>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</si>
  <si>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</si>
  <si>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</si>
  <si>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</si>
  <si>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</si>
  <si>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</si>
  <si>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</si>
  <si>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ККПБ</t>
  </si>
  <si>
    <t>Государственное бюджетное учреждение здравоохранения "Кузбасская клиническая психиатрическая больница"</t>
  </si>
  <si>
    <t>4206008018</t>
  </si>
  <si>
    <t>1034205016746</t>
  </si>
  <si>
    <t>01927727</t>
  </si>
  <si>
    <t>650036, Кемеровская область - Кузбасс, г. Кемерово, ул. Волгоградская д.41</t>
  </si>
  <si>
    <t>8-384-2-54-24-98 приемная</t>
  </si>
  <si>
    <t>05-guz-kokpb@kuzdrav.ru</t>
  </si>
  <si>
    <t>Сорокина Вероника Альбертовна</t>
  </si>
  <si>
    <t>главный врач</t>
  </si>
  <si>
    <t>www.kokpb.org</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</si>
  <si>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</si>
  <si>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</si>
  <si>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</si>
  <si>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</si>
  <si>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</si>
  <si>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</si>
  <si>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</si>
  <si>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</si>
  <si>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</si>
  <si>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</si>
  <si>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</si>
  <si>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</si>
  <si>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</si>
  <si>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</si>
  <si>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</si>
  <si>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</si>
  <si>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</si>
  <si>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</si>
  <si>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</si>
  <si>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</si>
  <si>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</si>
  <si>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</si>
  <si>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</si>
  <si>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</si>
  <si>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</si>
  <si>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</si>
  <si>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</si>
  <si>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</si>
  <si>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</si>
  <si>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</si>
  <si>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</si>
  <si>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</si>
  <si>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</si>
  <si>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</si>
  <si>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</si>
  <si>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</si>
  <si>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</si>
  <si>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</si>
  <si>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</si>
  <si>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</si>
  <si>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</si>
  <si>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</si>
  <si>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</si>
  <si>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</si>
  <si>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</si>
  <si>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</si>
  <si>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</si>
  <si>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</si>
  <si>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</si>
  <si>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</si>
  <si>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</si>
  <si>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</si>
  <si>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</si>
  <si>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</si>
  <si>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</si>
  <si>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</si>
  <si>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</si>
  <si>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</si>
  <si>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</si>
  <si>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</si>
  <si>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</si>
  <si>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</si>
  <si>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</si>
  <si>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</si>
  <si>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</si>
  <si>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</si>
  <si>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</si>
  <si>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</si>
  <si>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</si>
  <si>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</si>
  <si>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</si>
  <si>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</si>
  <si>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</si>
  <si>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</si>
  <si>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</si>
  <si>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</si>
  <si>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</si>
  <si>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</si>
  <si>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</si>
  <si>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</si>
  <si>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</si>
  <si>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</si>
  <si>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</si>
  <si>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</si>
  <si>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</si>
  <si>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652507, Кемеровская область-Кузбасс, г.Ленинск-Кузнецкий, ул.Спасстанция, 15/18, офис 207</t>
  </si>
  <si>
    <t>+73845654478</t>
  </si>
  <si>
    <t>Соколов Никита Эдуардович</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</si>
  <si>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</si>
  <si>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</si>
  <si>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</si>
  <si>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</si>
  <si>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</si>
  <si>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</si>
  <si>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</si>
  <si>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</si>
  <si>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</si>
  <si>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</si>
  <si>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</si>
  <si>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</si>
  <si>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</si>
  <si>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</si>
  <si>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</si>
  <si>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</si>
  <si>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</si>
  <si>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</si>
  <si>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</si>
  <si>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</si>
  <si>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</si>
  <si>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</si>
  <si>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</si>
  <si>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</si>
  <si>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</si>
  <si>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</si>
  <si>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</si>
  <si>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</si>
  <si>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</si>
  <si>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</si>
  <si>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220401001</t>
  </si>
  <si>
    <t>1185476051947</t>
  </si>
  <si>
    <t>29744796</t>
  </si>
  <si>
    <t>652238, Кемеровская обл., Тисульский район, п.г.т. Белогорск, ул. Лесная, д. 1Б</t>
  </si>
  <si>
    <t>659321 Алтайский край, г. Бийск, ул. Советская, д. 189/3, кв. 42</t>
  </si>
  <si>
    <t>+78385455545</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</si>
  <si>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</si>
  <si>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</si>
  <si>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</si>
  <si>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</si>
  <si>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</si>
  <si>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</si>
  <si>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</si>
  <si>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</si>
  <si>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</si>
  <si>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</si>
  <si>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</si>
  <si>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</si>
  <si>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</si>
  <si>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</si>
  <si>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</si>
  <si>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</si>
  <si>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</si>
  <si>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</si>
  <si>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</si>
  <si>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</si>
  <si>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</si>
  <si>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</si>
  <si>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</si>
  <si>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</si>
  <si>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</si>
  <si>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</si>
  <si>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</si>
  <si>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</si>
  <si>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</si>
  <si>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</si>
  <si>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</si>
  <si>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</si>
  <si>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</si>
  <si>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</si>
  <si>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</si>
  <si>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</si>
  <si>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</si>
  <si>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</si>
  <si>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</si>
  <si>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</si>
  <si>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</si>
  <si>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</si>
  <si>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</si>
  <si>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</si>
  <si>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</si>
  <si>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</si>
  <si>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</si>
  <si>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</si>
  <si>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</si>
  <si>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</si>
  <si>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</si>
  <si>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</si>
  <si>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</si>
  <si>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</si>
  <si>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</si>
  <si>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</si>
  <si>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</si>
  <si>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</si>
  <si>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</si>
  <si>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</si>
  <si>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</si>
  <si>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</si>
  <si>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</si>
  <si>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</si>
  <si>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</si>
  <si>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</si>
  <si>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</si>
  <si>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</si>
  <si>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</si>
  <si>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</si>
  <si>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</si>
  <si>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</si>
  <si>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</si>
  <si>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</si>
  <si>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</si>
  <si>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</si>
  <si>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</si>
  <si>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</si>
  <si>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</si>
  <si>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</si>
  <si>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</si>
  <si>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</si>
  <si>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</si>
  <si>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</si>
  <si>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</si>
  <si>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</si>
  <si>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</si>
  <si>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</si>
  <si>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</si>
  <si>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</si>
  <si>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</si>
  <si>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</si>
  <si>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</si>
  <si>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</si>
  <si>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</si>
  <si>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</si>
  <si>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</si>
  <si>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</si>
  <si>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</si>
  <si>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</si>
  <si>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</si>
  <si>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</si>
  <si>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</si>
  <si>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</si>
  <si>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</si>
  <si>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</si>
  <si>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</si>
  <si>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</si>
  <si>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</si>
  <si>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</si>
  <si>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</si>
  <si>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</si>
  <si>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</si>
  <si>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</si>
  <si>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</si>
  <si>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</si>
  <si>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</si>
  <si>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</si>
  <si>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</si>
  <si>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</si>
  <si>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</si>
  <si>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</si>
  <si>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</si>
  <si>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</si>
  <si>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</si>
  <si>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</si>
  <si>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</si>
  <si>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</si>
  <si>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</si>
  <si>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</si>
  <si>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</si>
  <si>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</si>
  <si>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</si>
  <si>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</si>
  <si>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</si>
  <si>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</si>
  <si>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</si>
  <si>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</si>
  <si>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</si>
  <si>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</si>
  <si>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</si>
  <si>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</si>
  <si>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</si>
  <si>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</si>
  <si>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</si>
  <si>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</si>
  <si>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</si>
  <si>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</si>
  <si>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</si>
  <si>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</si>
  <si>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</si>
  <si>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</si>
  <si>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</si>
  <si>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</si>
  <si>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</si>
  <si>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</si>
  <si>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</si>
  <si>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</si>
  <si>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</si>
  <si>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</si>
  <si>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</si>
  <si>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</si>
  <si>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</si>
  <si>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</si>
  <si>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</si>
  <si>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</si>
  <si>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</si>
  <si>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</si>
  <si>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</si>
  <si>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</si>
  <si>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</si>
  <si>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</si>
  <si>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</si>
  <si>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</si>
  <si>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</si>
  <si>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</si>
  <si>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</si>
  <si>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</si>
  <si>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</si>
  <si>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</si>
  <si>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</si>
  <si>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</si>
  <si>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</si>
  <si>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</si>
  <si>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</si>
  <si>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</si>
  <si>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</si>
  <si>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</si>
  <si>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</si>
  <si>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</si>
  <si>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</si>
  <si>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</si>
  <si>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</si>
  <si>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</si>
  <si>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</si>
  <si>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</si>
  <si>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</si>
  <si>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</si>
  <si>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</si>
  <si>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</si>
  <si>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</si>
  <si>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</si>
  <si>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</si>
  <si>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</si>
  <si>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</si>
  <si>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</si>
  <si>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</si>
  <si>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</si>
  <si>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</si>
  <si>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</si>
  <si>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</si>
  <si>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</si>
  <si>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</si>
  <si>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</si>
  <si>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</si>
  <si>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</si>
  <si>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</si>
  <si>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</si>
  <si>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</si>
  <si>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</si>
  <si>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</si>
  <si>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</si>
  <si>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</si>
  <si>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</si>
  <si>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</si>
  <si>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</si>
  <si>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</si>
  <si>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</si>
  <si>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</si>
  <si>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</si>
  <si>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</si>
  <si>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</si>
  <si>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</si>
  <si>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</si>
  <si>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</si>
  <si>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</si>
  <si>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</si>
  <si>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</si>
  <si>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</si>
  <si>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</si>
  <si>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</si>
  <si>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</si>
  <si>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</si>
  <si>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</si>
  <si>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</si>
  <si>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</si>
  <si>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</si>
  <si>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</si>
  <si>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</si>
  <si>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+73845177787</t>
  </si>
  <si>
    <t>Овчинников Сергей Михайлович</t>
  </si>
  <si>
    <t>https://ts.upravkom.ru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</si>
  <si>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</si>
  <si>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</si>
  <si>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</si>
  <si>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</si>
  <si>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</si>
  <si>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</si>
  <si>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</si>
  <si>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</si>
  <si>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</si>
  <si>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</si>
  <si>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</si>
  <si>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</si>
  <si>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</si>
  <si>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</si>
  <si>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</si>
  <si>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</si>
  <si>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</si>
  <si>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</si>
  <si>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</si>
  <si>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</si>
  <si>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</si>
  <si>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</si>
  <si>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</si>
  <si>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</si>
  <si>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</si>
  <si>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</si>
  <si>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</si>
  <si>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</si>
  <si>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</si>
  <si>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</si>
  <si>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</si>
  <si>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</si>
  <si>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</si>
  <si>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</si>
  <si>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</si>
  <si>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</si>
  <si>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</si>
  <si>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</si>
  <si>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</si>
  <si>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</si>
  <si>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</si>
  <si>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</si>
  <si>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</si>
  <si>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</si>
  <si>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</si>
  <si>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</si>
  <si>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</si>
  <si>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</si>
  <si>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</si>
  <si>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</si>
  <si>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</si>
  <si>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653053, Кемеровская область-Кузбасс, г. Прокопьевск, ул. Гайдара, д.43, пом.6</t>
  </si>
  <si>
    <t>652700, Кемеровская обл., г. Киселевск, ул. Советская , 3б</t>
  </si>
  <si>
    <t>+73846668200</t>
  </si>
  <si>
    <t>OOOAktiv@mail.ru</t>
  </si>
  <si>
    <t>Войтов Сергей Викторович</t>
  </si>
  <si>
    <t>https://tk-aktiv.ru/</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</si>
  <si>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</si>
  <si>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</si>
  <si>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</si>
  <si>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</si>
  <si>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</si>
  <si>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</si>
  <si>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</si>
  <si>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</si>
  <si>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</si>
  <si>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</si>
  <si>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</si>
  <si>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</si>
  <si>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</si>
  <si>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</si>
  <si>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</si>
  <si>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</si>
  <si>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</si>
  <si>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(38447) 2-16-37</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</si>
  <si>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</si>
  <si>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</si>
  <si>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</si>
  <si>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</si>
  <si>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</si>
  <si>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</si>
  <si>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</si>
  <si>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</si>
  <si>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</si>
  <si>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</si>
  <si>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</si>
  <si>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</si>
  <si>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</si>
  <si>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</si>
  <si>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</si>
  <si>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</si>
  <si>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</si>
  <si>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</si>
  <si>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</si>
  <si>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</si>
  <si>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</si>
  <si>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</si>
  <si>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</si>
  <si>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</si>
  <si>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</si>
  <si>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</si>
  <si>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</si>
  <si>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</si>
  <si>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</si>
  <si>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</si>
  <si>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</si>
  <si>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</si>
  <si>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</si>
  <si>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</si>
  <si>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</si>
  <si>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</si>
  <si>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</si>
  <si>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</si>
  <si>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</si>
  <si>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</si>
  <si>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</si>
  <si>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</si>
  <si>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</si>
  <si>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</si>
  <si>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</si>
  <si>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</si>
  <si>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</si>
  <si>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</si>
  <si>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</si>
  <si>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</si>
  <si>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</si>
  <si>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</si>
  <si>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</si>
  <si>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</si>
  <si>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</si>
  <si>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</si>
  <si>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</si>
  <si>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</si>
  <si>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</si>
  <si>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</si>
  <si>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</si>
  <si>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</si>
  <si>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</si>
  <si>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</si>
  <si>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</si>
  <si>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</si>
  <si>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</si>
  <si>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</si>
  <si>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</si>
  <si>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</si>
  <si>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</si>
  <si>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</si>
  <si>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</si>
  <si>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</si>
  <si>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</si>
  <si>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</si>
  <si>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</si>
  <si>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</si>
  <si>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</si>
  <si>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</si>
  <si>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</si>
  <si>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</si>
  <si>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</si>
  <si>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</si>
  <si>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</si>
  <si>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</si>
  <si>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</si>
  <si>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</si>
  <si>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</si>
  <si>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</si>
  <si>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</si>
  <si>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</si>
  <si>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</si>
  <si>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</si>
  <si>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</si>
  <si>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</si>
  <si>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</si>
  <si>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</si>
  <si>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</si>
  <si>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</si>
  <si>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</si>
  <si>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</si>
  <si>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</si>
  <si>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</si>
  <si>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</si>
  <si>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</si>
  <si>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+73845177789</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</si>
  <si>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</si>
  <si>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</si>
  <si>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</si>
  <si>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</si>
  <si>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</si>
  <si>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</si>
  <si>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</si>
  <si>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</si>
  <si>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653250, Кемеровская обл., Прокопьевский р-н, п. Трудармейский, ул. Линейная, 116</t>
  </si>
  <si>
    <t>+73846611963</t>
  </si>
  <si>
    <t>tepleemir@gmail.ru</t>
  </si>
  <si>
    <t>Дубровский Сергей Иванович</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</si>
  <si>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</si>
  <si>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</si>
  <si>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</si>
  <si>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</si>
  <si>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</si>
  <si>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</si>
  <si>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</si>
  <si>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</si>
  <si>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</si>
  <si>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</si>
  <si>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"Вахрушевский угольный разрез"</t>
  </si>
  <si>
    <t>Филиал акционерного общества Угольная компания "Кузбассразрезуголь" "Вахрушевский угольный разрез"</t>
  </si>
  <si>
    <t>422343002</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</si>
  <si>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</si>
  <si>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</si>
  <si>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</si>
  <si>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</si>
  <si>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</si>
  <si>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</si>
  <si>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</si>
  <si>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</si>
  <si>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</si>
  <si>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</si>
  <si>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</si>
  <si>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</si>
  <si>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</si>
  <si>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</si>
  <si>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</si>
  <si>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</si>
  <si>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</si>
  <si>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</si>
  <si>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ул. Маневровая, д. 36 лит. А, г. Екатеринбург, 620050</t>
  </si>
  <si>
    <t>г. Москва, ул. Спартаковская, 2Б</t>
  </si>
  <si>
    <t>+79122101540</t>
  </si>
  <si>
    <t>navloginova@cvo.zhky.ru</t>
  </si>
  <si>
    <t>Логинова Надежда Васильевна</t>
  </si>
  <si>
    <t>Начальник ЖКС №8  филиала ФГБУ «ЦЖКУ» Минобороны России (по ЦВО)</t>
  </si>
  <si>
    <t>TN</t>
  </si>
  <si>
    <t>GVS</t>
  </si>
  <si>
    <t>Акционерное общество "Энергопромышленная компания", г. Екатеринбург</t>
  </si>
  <si>
    <t>6661105959</t>
  </si>
  <si>
    <t>667101001</t>
  </si>
  <si>
    <t>1026605226053</t>
  </si>
  <si>
    <t>57652589</t>
  </si>
  <si>
    <t>(343) 251 19 55 (доб. 137)</t>
  </si>
  <si>
    <t>Кугаевская Любовь Борисовна</t>
  </si>
  <si>
    <t>EE</t>
  </si>
  <si>
    <t>АО "Газпром энергосбыт"</t>
  </si>
  <si>
    <t>Акционерное общество "Газпром энергосбыт"</t>
  </si>
  <si>
    <t>7705750968</t>
  </si>
  <si>
    <t>781001001</t>
  </si>
  <si>
    <t>5067746436731</t>
  </si>
  <si>
    <t>97201337</t>
  </si>
  <si>
    <t>196210, город Санкт-Петербург, Стартовая ул, д. 6 литера Д, помещ. 125</t>
  </si>
  <si>
    <t>(495) 428-40-90</t>
  </si>
  <si>
    <t>Аширов Станислав Олегович</t>
  </si>
  <si>
    <t>АО "КузбассЭлектро"</t>
  </si>
  <si>
    <t>Акционерное общество "КузбассЭлектро"</t>
  </si>
  <si>
    <t>4202002174</t>
  </si>
  <si>
    <t>1024200546512</t>
  </si>
  <si>
    <t>00159887</t>
  </si>
  <si>
    <t>РОССИЯ, 652600, Кемеровская область, г. Белово, ул. Кемеровская, дом 4</t>
  </si>
  <si>
    <t>(38452) 6-10-45</t>
  </si>
  <si>
    <t>kuzbasselektro@inbox.ru</t>
  </si>
  <si>
    <t>Немцев Сергей Алексеевич</t>
  </si>
  <si>
    <t>www.kuzbasselektro.ru</t>
  </si>
  <si>
    <t>АО "КФ"</t>
  </si>
  <si>
    <t>Акционерное общество "Кузнецкие ферросплавы"</t>
  </si>
  <si>
    <t>4216001565</t>
  </si>
  <si>
    <t>421601001</t>
  </si>
  <si>
    <t>1024201825174</t>
  </si>
  <si>
    <t>00186476</t>
  </si>
  <si>
    <t>Российская Федерация, 654077, Кемеровская область, г. Новокузнецк, ул. Обнорского, 170</t>
  </si>
  <si>
    <t>Коренная Кристина Александровна</t>
  </si>
  <si>
    <t>АО "Мосэнергосбыт"</t>
  </si>
  <si>
    <t>7736520080</t>
  </si>
  <si>
    <t>997650001</t>
  </si>
  <si>
    <t>1057746557329</t>
  </si>
  <si>
    <t>117312, г. Москва, ул. Вавилова, д. 9</t>
  </si>
  <si>
    <t>(499) 550-9-550</t>
  </si>
  <si>
    <t>info@mosenergosbyt.ru</t>
  </si>
  <si>
    <t>Ковалев Андрей Викторович</t>
  </si>
  <si>
    <t>управляющий директор</t>
  </si>
  <si>
    <t>АО "Новосибирскэнергосбыт"</t>
  </si>
  <si>
    <t>5407025576</t>
  </si>
  <si>
    <t>1065407151127</t>
  </si>
  <si>
    <t>630099,РФ,г. Новосибирск, ул.Орджоникидзе,д.32</t>
  </si>
  <si>
    <t>(383)229-89-89</t>
  </si>
  <si>
    <t>info@nskes.ru</t>
  </si>
  <si>
    <t>Генеральный директор Подчасова Татьяна Николаевна</t>
  </si>
  <si>
    <t>АО "СибПСК"</t>
  </si>
  <si>
    <t>Акционерное общество "Сибирская Промышленная Сетевая Компания"</t>
  </si>
  <si>
    <t>4205234208</t>
  </si>
  <si>
    <t>1114205043480</t>
  </si>
  <si>
    <t>37695913</t>
  </si>
  <si>
    <t>Российская Федерация, 650991, г. Кемерово, ул. Н.Островского,12 2 этаж</t>
  </si>
  <si>
    <t>(3842) 77-09-87, факс 77-09-88</t>
  </si>
  <si>
    <t>sibpsk@yandex.ru</t>
  </si>
  <si>
    <t>Борисенко Илья Андреевич</t>
  </si>
  <si>
    <t>www.zaosibpsk.ru</t>
  </si>
  <si>
    <t>АО "СИБУР Энерго"</t>
  </si>
  <si>
    <t>7727276526</t>
  </si>
  <si>
    <t>366301001</t>
  </si>
  <si>
    <t>1063667286858</t>
  </si>
  <si>
    <t>394014, г.Воронеж, Ленинский пр-т, 2</t>
  </si>
  <si>
    <t>(473) 228-03-00</t>
  </si>
  <si>
    <t>post@siburem.ru</t>
  </si>
  <si>
    <t>Андреев Владимир Александро</t>
  </si>
  <si>
    <t>АО "Система"</t>
  </si>
  <si>
    <t>АКЦИОНЕРНОЕ ОБЩЕСТВО "СИСТЕМА"</t>
  </si>
  <si>
    <t>4205173700</t>
  </si>
  <si>
    <t>1094205003298</t>
  </si>
  <si>
    <t>89916803</t>
  </si>
  <si>
    <t>Российская Федерация, 650000, Кемеровская обл, Кемерово г, пр. Советский, 6, оф.1</t>
  </si>
  <si>
    <t>(3842) 34-65-25, 57-03-74</t>
  </si>
  <si>
    <t>mazeevsa@yandex.ru ; sistema.orem@yandex.ru</t>
  </si>
  <si>
    <t>Наумов М.Е.</t>
  </si>
  <si>
    <t>АО «СШЭМК»</t>
  </si>
  <si>
    <t>Акционерное общество "Специализированная шахтная энергомеханическая компания»</t>
  </si>
  <si>
    <t>4208003209</t>
  </si>
  <si>
    <t>1034205018242</t>
  </si>
  <si>
    <t>РОССИЯ,650002,Кемеровская обл,Кемерово, пр. Шахтёров, дом 50В</t>
  </si>
  <si>
    <t>(3842) 64-26-20, 64-28-71/ф. 64-51-12</t>
  </si>
  <si>
    <t>ntn@kuzcoal.ru, kgf@kuzcoal.ru,  uev@kuzcoal.ru</t>
  </si>
  <si>
    <t>Николаев Андрей Анатольевич</t>
  </si>
  <si>
    <t>www.shemk.kuzcoal.ru</t>
  </si>
  <si>
    <t>АО "Электросеть"</t>
  </si>
  <si>
    <t>Акционерное общество "Электросеть"</t>
  </si>
  <si>
    <t>7714734225</t>
  </si>
  <si>
    <t>421443001</t>
  </si>
  <si>
    <t>1087746413468</t>
  </si>
  <si>
    <t>85702442</t>
  </si>
  <si>
    <t>Российская Федерация,652882, Кемеровская область, г. Междуреченск, проезд Горького, д.25</t>
  </si>
  <si>
    <t>Российская Федерация, 127083, г. Москва, ул. Мишина, д. 35, стр. 2</t>
  </si>
  <si>
    <t>(38475) 2-23-17, 3-20-89</t>
  </si>
  <si>
    <t>info@zaoelektroset.ru</t>
  </si>
  <si>
    <t>Шерстобитов Александр Николаевич</t>
  </si>
  <si>
    <t>Директор филиала</t>
  </si>
  <si>
    <t>www.zaoelektroset.ru</t>
  </si>
  <si>
    <t>Западно-Сибирская дирекция по энергообеспечению-Трансэнерго, филиала ОАО "РЖД"</t>
  </si>
  <si>
    <t>540745012</t>
  </si>
  <si>
    <t>630004, г. Новосибирск, Вокзальная магистраль, 14</t>
  </si>
  <si>
    <t>Целько Александр Витильевич</t>
  </si>
  <si>
    <t>Кемеровский филиал ООО "МЕЧЕЛ-ЭНЕРГО"</t>
  </si>
  <si>
    <t>7722245108</t>
  </si>
  <si>
    <t>420543001</t>
  </si>
  <si>
    <t>1027700016706</t>
  </si>
  <si>
    <t>62505992</t>
  </si>
  <si>
    <t>Российская Федерация, 650036, г.Кемерово, пр-кт Ленина, д.90/4</t>
  </si>
  <si>
    <t>(3842)453744, 89617086272</t>
  </si>
  <si>
    <t>Агеев Андрей Владимирович</t>
  </si>
  <si>
    <t>директор Кемеровского филиала</t>
  </si>
  <si>
    <t>Красноярская дирекция по энергообеспечению - СП Трансэнерго - филиал ОАО "РЖД"</t>
  </si>
  <si>
    <t>Красноярская дирекция по энергообеспечению - структурное подразделение «Трансэнерго» филиал открытого акционерного общества "Российские Железные Дороги"</t>
  </si>
  <si>
    <t>246045007</t>
  </si>
  <si>
    <t>21839830</t>
  </si>
  <si>
    <t>660018, Россия, Красноярский край, г. Красноярск, ул. Толстого, д. 20</t>
  </si>
  <si>
    <t>107174, РФ, г.Москва, ул.Новая Басманная, д.2</t>
  </si>
  <si>
    <t>8(391) 229-23-49</t>
  </si>
  <si>
    <t>mti@krw.ru</t>
  </si>
  <si>
    <t>Антипкин Александр Сергеевич</t>
  </si>
  <si>
    <t>Начальник</t>
  </si>
  <si>
    <t>https://company.rzd.ru/ru/9349/page/105554?id=1892</t>
  </si>
  <si>
    <t>ОАО "Новосибирскэнергосбыт"</t>
  </si>
  <si>
    <t>Открытое акционерное общество "Новосибирскэнергосбыт"</t>
  </si>
  <si>
    <t>(383) 229-84-20, вн. 73-020</t>
  </si>
  <si>
    <t>Chinyaeva@nskes.ru</t>
  </si>
  <si>
    <t>Чиняева Ольга Андреевна</t>
  </si>
  <si>
    <t>Руководитель группы анализа ОРЭ</t>
  </si>
  <si>
    <t>www.новосибирскэнергосбыт.рф</t>
  </si>
  <si>
    <t>ОАО «ЭСК РусГидро»</t>
  </si>
  <si>
    <t>ОАО «Энергосбытовая компания РусГидро»</t>
  </si>
  <si>
    <t>7804403972</t>
  </si>
  <si>
    <t>772801001</t>
  </si>
  <si>
    <t>1089848039973</t>
  </si>
  <si>
    <t>87441773</t>
  </si>
  <si>
    <t xml:space="preserve"> 117393, г. Москва, ул. Архитектора Власова,  д.51</t>
  </si>
  <si>
    <t>(495) 225-32-32 и (495) 225-32-33</t>
  </si>
  <si>
    <t>Кимерин Владимир Анатольевич</t>
  </si>
  <si>
    <t>Общество с ограниченной ответственностью "АРСТЭМ-ЭнергоТрейд", г.Екатеринбург</t>
  </si>
  <si>
    <t>6672185635</t>
  </si>
  <si>
    <t>668501001</t>
  </si>
  <si>
    <t>1056604415394</t>
  </si>
  <si>
    <t>Общество с ограниченной ответственностью «ЛУКОЙЛ-ЭНЕРГОСЕТИ»</t>
  </si>
  <si>
    <t>5260230051</t>
  </si>
  <si>
    <t>775050001</t>
  </si>
  <si>
    <t>1088607000217</t>
  </si>
  <si>
    <t>109028, г. Москва, Покровский бульвар, д.3 стр.1</t>
  </si>
  <si>
    <t>109028, г. Москва, Покровский бульвар, д.3 стр.1, ком. 22</t>
  </si>
  <si>
    <t>(495) 627-80-15, (495) 620-23-63</t>
  </si>
  <si>
    <t>energoseti@lukoil.com</t>
  </si>
  <si>
    <t>Михайлов Дмитрий Александрович</t>
  </si>
  <si>
    <t>www.es.lukoil.com</t>
  </si>
  <si>
    <t>ООО "ГлавЭнергоСбыт"</t>
  </si>
  <si>
    <t>7725571452</t>
  </si>
  <si>
    <t>772501001</t>
  </si>
  <si>
    <t>1067746647583</t>
  </si>
  <si>
    <t>115054, г.Москва, ул. Дубининская, д.53 стр. 6</t>
  </si>
  <si>
    <t>8 -495-795-25-38 (добавочный- 37-23)</t>
  </si>
  <si>
    <t>Антонов Андрей Данилович</t>
  </si>
  <si>
    <t>ООО "ГЭС"</t>
  </si>
  <si>
    <t>Общество с ограниченной ответственностью "Горэлектросеть"</t>
  </si>
  <si>
    <t>4217127144</t>
  </si>
  <si>
    <t>540701001</t>
  </si>
  <si>
    <t>1104217005837</t>
  </si>
  <si>
    <t>67689436</t>
  </si>
  <si>
    <t>Российская Федерация, 654007, Кемеровская обл., г. Новокузнецк, пр. Пионерский, 42</t>
  </si>
  <si>
    <t>Российская Федерация, 630099, Новосибирская область, г. Новосибирск, ул. Фрунзе, д. 80, офис 627</t>
  </si>
  <si>
    <t>(3843) 74-60-51, 46-83-17</t>
  </si>
  <si>
    <t>Генеральный директор ООО "УК "НовокузнецкЭнерго"</t>
  </si>
  <si>
    <t>www.gorset-nk.ru</t>
  </si>
  <si>
    <t>ООО "ЕЭТ"</t>
  </si>
  <si>
    <t>Общество с ограниченной ответственностью "ЕвроЭнергоТранс"</t>
  </si>
  <si>
    <t>4217084532</t>
  </si>
  <si>
    <t>1064217062018</t>
  </si>
  <si>
    <t>95374200</t>
  </si>
  <si>
    <t>654063, Российская Федерация, Кемеровская область, г. Новокузнецк, ул. Рудокопровая, 4</t>
  </si>
  <si>
    <t>(3843) 357-600, 357-647</t>
  </si>
  <si>
    <t>energotrans@evraz.com</t>
  </si>
  <si>
    <t>Беспалов Илья Николаевич</t>
  </si>
  <si>
    <t>Генеральный  директор</t>
  </si>
  <si>
    <t>www.eetrans.ru</t>
  </si>
  <si>
    <t>ООО "Инженерные изыскания"</t>
  </si>
  <si>
    <t>Общество с ограниченной ответственностью "Инженерные изыскания"</t>
  </si>
  <si>
    <t>1103029229</t>
  </si>
  <si>
    <t>352801001</t>
  </si>
  <si>
    <t>1041100670093</t>
  </si>
  <si>
    <t>15088704</t>
  </si>
  <si>
    <t>162608, Вологодская обл., г.Череповец, ул. Мира, д. 30</t>
  </si>
  <si>
    <t>8 (8202) 53-24-92</t>
  </si>
  <si>
    <t>ingizisk4@ingizisk.ru</t>
  </si>
  <si>
    <t>Круглов Дмитрий Александрович</t>
  </si>
  <si>
    <t>ООО "Инициатива ЭСК"</t>
  </si>
  <si>
    <t>4407007293</t>
  </si>
  <si>
    <t>440701001</t>
  </si>
  <si>
    <t>1054460383890</t>
  </si>
  <si>
    <t>119571, Москва г, Академика Анохина ул, дом № 9 помещение VII</t>
  </si>
  <si>
    <t>8 (495) 276-23-20 (30)</t>
  </si>
  <si>
    <t>info@kronoenergo.ru</t>
  </si>
  <si>
    <t>Беляков Сергей Альбертович</t>
  </si>
  <si>
    <t>ООО «Кузбасская энергосетевая компания»</t>
  </si>
  <si>
    <t>Общество с ограниченной ответственностью «Кузбасская энергосетевая компания»</t>
  </si>
  <si>
    <t>4205109750</t>
  </si>
  <si>
    <t>1064205113136</t>
  </si>
  <si>
    <t>95376274</t>
  </si>
  <si>
    <t>650099, Российская Федерация, Кемеровская область, г. Кемерово, ул. Н. Островского, дом 32, оф. 209</t>
  </si>
  <si>
    <t>(3842) 36-48-17/ 36-47-19</t>
  </si>
  <si>
    <t>kek@kemnet.ru</t>
  </si>
  <si>
    <t>Куруч Петр Иванович</t>
  </si>
  <si>
    <t>www.ooo-kenk.ru</t>
  </si>
  <si>
    <t>ООО "КЭС"</t>
  </si>
  <si>
    <t>Общество с ограниченной ответственностью "КузбассЭнергоСеть"</t>
  </si>
  <si>
    <t>4205395036</t>
  </si>
  <si>
    <t>1214200002004</t>
  </si>
  <si>
    <t>99333014</t>
  </si>
  <si>
    <t>650070, кемеровская область - Кузбасс, г. Кемерово, ул. Терешковой 49А, оф.304</t>
  </si>
  <si>
    <t>info.kes@bk.ru</t>
  </si>
  <si>
    <t>Колесников Андрей Яковлевич</t>
  </si>
  <si>
    <t>kes-42.ru</t>
  </si>
  <si>
    <t>ООО "МагнитЭнерго"</t>
  </si>
  <si>
    <t>Общество с ограниченной ответственностью "МагнитЭнерго"</t>
  </si>
  <si>
    <t>7715902899</t>
  </si>
  <si>
    <t>231101001</t>
  </si>
  <si>
    <t>1127746076710</t>
  </si>
  <si>
    <t>350072, Краснодарский край, г. Краснодар, ул. Солнечная, д. 15/5</t>
  </si>
  <si>
    <t>(861)2774554 доб. 15690, факс 210-98-10 доб. 16401</t>
  </si>
  <si>
    <t>magnitenergo@magnitenergo.ru</t>
  </si>
  <si>
    <t>Самарченко Ольга Петровна</t>
  </si>
  <si>
    <t>http://magnitenergo.ru</t>
  </si>
  <si>
    <t>ООО "Металлэнергофинанс"</t>
  </si>
  <si>
    <t>Общество с ограниченной ответственностью «Металлэнергофинанс»</t>
  </si>
  <si>
    <t>4217039402</t>
  </si>
  <si>
    <t>1024201465903</t>
  </si>
  <si>
    <t>654006, Кемеровская область - Кузбасс, г.Новокузнецк, ул.Рудокопровая (Центральный р-н), д.4</t>
  </si>
  <si>
    <t>654063, Кемеровская область - Кузбасс, г.Новокузнецк, ул.Рудокопровая (Центральный р-н), д.4</t>
  </si>
  <si>
    <t>(495) 729-50-71</t>
  </si>
  <si>
    <t>mef_nk@evraz.com</t>
  </si>
  <si>
    <t>Леонтьев Андрей Георгиевич</t>
  </si>
  <si>
    <t>ООО "МЕЧЕЛ-ЭНЕРГО"</t>
  </si>
  <si>
    <t>771401001</t>
  </si>
  <si>
    <t>56669318</t>
  </si>
  <si>
    <t>(351) 218-2269 (126)</t>
  </si>
  <si>
    <t>Гвоздев Виктор Сергеевич</t>
  </si>
  <si>
    <t>ООО "МСК Энерго"</t>
  </si>
  <si>
    <t>7725567512</t>
  </si>
  <si>
    <t>770601001</t>
  </si>
  <si>
    <t>1067746494254</t>
  </si>
  <si>
    <t>95178019</t>
  </si>
  <si>
    <t>117246, г. Москва, Научный проезд, д. 19</t>
  </si>
  <si>
    <t>Россия, 119607, г. Москва, ул. Раменки, д.17, корп. 1</t>
  </si>
  <si>
    <t>8(495) 745-56-70</t>
  </si>
  <si>
    <t>www.msk-energo.ru</t>
  </si>
  <si>
    <t>Мартыненков Алексей Викторович</t>
  </si>
  <si>
    <t>ООО "МТС ЭНЕРГО"</t>
  </si>
  <si>
    <t>Общество с ограниченной ответственностью "МТС ЭНЕРГО"</t>
  </si>
  <si>
    <t>9709006506</t>
  </si>
  <si>
    <t>772601001</t>
  </si>
  <si>
    <t>1177746748376</t>
  </si>
  <si>
    <t>117545,г.Москва,презд.1-й Дорожный,3а пом.4</t>
  </si>
  <si>
    <t>89167618353 Забарака М.Н.</t>
  </si>
  <si>
    <t>Гогев Андрей Валентинович</t>
  </si>
  <si>
    <t>mnzabara@mts-energo.ru</t>
  </si>
  <si>
    <t>ООО "Неоватт"</t>
  </si>
  <si>
    <t>ОБЩЕСТВО С ОГРАНИЧЕННОЙ ОТВЕТСТВЕННОСТЬЮ "НЕОВАТТ"</t>
  </si>
  <si>
    <t>6027205976</t>
  </si>
  <si>
    <t>602701001</t>
  </si>
  <si>
    <t>1216000003878</t>
  </si>
  <si>
    <t>180006, Псковская область, г Псков, ул Леона Поземского, д. 125в, офис 8</t>
  </si>
  <si>
    <t>ООО "ОК РУСАЛ Энергосеть"</t>
  </si>
  <si>
    <t>Общество с ограниченной ответственностью "Объединенная компания РУСАЛ Энергосеть"</t>
  </si>
  <si>
    <t>7709806795</t>
  </si>
  <si>
    <t>5087746246671</t>
  </si>
  <si>
    <t>88382127</t>
  </si>
  <si>
    <t>Россия, 654034, Кемеровская область - Кузбасс, г. Новокузнецк, Ферросплавный проезд, д. 7</t>
  </si>
  <si>
    <t>(343) 370-62-30, (3843) 39-72-60,  39-77-52</t>
  </si>
  <si>
    <t>Vladislav.Rostov@rusal.com, Sergey.Pozdnyakov@rusa</t>
  </si>
  <si>
    <t>Ростов Владислав Викторович</t>
  </si>
  <si>
    <t>http://energo.rusal.ru</t>
  </si>
  <si>
    <t>ООО "ОЭСК"</t>
  </si>
  <si>
    <t>Общество с ограниченной ответственностью "ОЭСК"</t>
  </si>
  <si>
    <t>4223052779</t>
  </si>
  <si>
    <t>1094223000519</t>
  </si>
  <si>
    <t>89915364</t>
  </si>
  <si>
    <t>Российская Федерация, 653000, Кемеровская область, г. Прокопьевск, ул. Космонавта Волынова, 15</t>
  </si>
  <si>
    <t>Российская Федерация, 653047, Кемеровская область, г. Прокопьевск, ул. Гайдара, 43</t>
  </si>
  <si>
    <t>(3846) 69-35-00</t>
  </si>
  <si>
    <t>elektroseti@elektroseti.com, l.sbytova@elektroseti</t>
  </si>
  <si>
    <t>Галицкий Игорь Анатольевич</t>
  </si>
  <si>
    <t>www.elektroseti.com</t>
  </si>
  <si>
    <t>ООО "Промэнергосбыт"</t>
  </si>
  <si>
    <t>Общество с ограниченной ответственностью "Промэнергосбыт"</t>
  </si>
  <si>
    <t>4217088174</t>
  </si>
  <si>
    <t>770401001</t>
  </si>
  <si>
    <t>1064217067210</t>
  </si>
  <si>
    <t>654005, Кемеровская обл., г.Новокузнецк, пр.Строителей, д.3, к.2</t>
  </si>
  <si>
    <t>119048, Россия, г.Москва, Вн.тер.г. муниципальный округ Хамовники, Комсомольский пр-кт, д. 42, стр. 3, этаж 2, ком. 15</t>
  </si>
  <si>
    <t>(3843)-58-30-55</t>
  </si>
  <si>
    <t>Бондаренко Илья Алексеевич</t>
  </si>
  <si>
    <t>ООО "Регионэнергосеть"</t>
  </si>
  <si>
    <t>Общество с ограниченной ответственностью "Регионэнергосеть"</t>
  </si>
  <si>
    <t>4205271471</t>
  </si>
  <si>
    <t>1134205018804</t>
  </si>
  <si>
    <t>16385427</t>
  </si>
  <si>
    <t>650002,Кемеровская область. г. Кемерово, ул. Институтская, д. 1, офис 430</t>
  </si>
  <si>
    <t>info@regset42.ru</t>
  </si>
  <si>
    <t>Костенко Иван Евгеньевич</t>
  </si>
  <si>
    <t>regset42.ru</t>
  </si>
  <si>
    <t>ООО "РН-Энерго"</t>
  </si>
  <si>
    <t>Общество с ограниченной ответственностью "РН-Энерго"</t>
  </si>
  <si>
    <t>7706525041</t>
  </si>
  <si>
    <t>1047796118182</t>
  </si>
  <si>
    <t>72147789</t>
  </si>
  <si>
    <t>119071, г.Москва, ул. Малая Калужская, д.19</t>
  </si>
  <si>
    <t>+7(495)2313182, +7(495) 777-47-42</t>
  </si>
  <si>
    <t>a_dudkin@rosneft.ru, rn-energo@rn-energo.com</t>
  </si>
  <si>
    <t>Собко Наталья Николаевна</t>
  </si>
  <si>
    <t>www.rosneft.ru</t>
  </si>
  <si>
    <t>ООО "Росатом Энергосбыт бизнес"</t>
  </si>
  <si>
    <t>Общество с ограниченной ответственностью "Росатом Энергосбыт бизнес"</t>
  </si>
  <si>
    <t>4633017746</t>
  </si>
  <si>
    <t>1064633003038</t>
  </si>
  <si>
    <t>78756874</t>
  </si>
  <si>
    <t>115432, г. Москва, вн. тер. г. муниципальный округ Даниловский, Проектируемый проезд 4062-й д. 6, стр. 25</t>
  </si>
  <si>
    <t>4957899921</t>
  </si>
  <si>
    <t>info@business.atomsbt.ru</t>
  </si>
  <si>
    <t>Николаев Алексей Валерьевич</t>
  </si>
  <si>
    <t>ООО "РСК"</t>
  </si>
  <si>
    <t>Общество с ограниченной ответственностью  "Ресурсоснабжающая компания"</t>
  </si>
  <si>
    <t>4205372624</t>
  </si>
  <si>
    <t>1184205017380</t>
  </si>
  <si>
    <t>32696990</t>
  </si>
  <si>
    <t>650023, г. Кемерово, пр. Ленина, д.124-66</t>
  </si>
  <si>
    <t>8-384-2-45-31-30, 8-800-700-91-04</t>
  </si>
  <si>
    <t>RSK42@bk.ru</t>
  </si>
  <si>
    <t>Баулин Андрей Владимирович</t>
  </si>
  <si>
    <t>rsk42.ru</t>
  </si>
  <si>
    <t>ООО "Русэнергосбыт"</t>
  </si>
  <si>
    <t xml:space="preserve">Общество с ограниченной ответственностью «РУСЭНЕРГОСБЫТ» </t>
  </si>
  <si>
    <t>7706284124</t>
  </si>
  <si>
    <t>1027706023058</t>
  </si>
  <si>
    <t>119048, г. Москва, проспект Комсомольский, д. 42, стр. 3, этаж 4, пом. 7</t>
  </si>
  <si>
    <t>8(495) 926-69-79, 926-99-00</t>
  </si>
  <si>
    <t>info@ruses.ru</t>
  </si>
  <si>
    <t>Зиновьев Андрей Васильевич</t>
  </si>
  <si>
    <t>www.ruses.ru</t>
  </si>
  <si>
    <t>ООО "Р-Энергия"</t>
  </si>
  <si>
    <t>Общество с ограниченной ответственностью «Р-Энергия»</t>
  </si>
  <si>
    <t>6229054695</t>
  </si>
  <si>
    <t>623401001</t>
  </si>
  <si>
    <t>1066229062448</t>
  </si>
  <si>
    <t>94389375</t>
  </si>
  <si>
    <t>390000, Рязанская область, г. Рязань, ул. Радищева, 61</t>
  </si>
  <si>
    <t>(4912)70-20-10</t>
  </si>
  <si>
    <t>info@rnrg.ru</t>
  </si>
  <si>
    <t>Шишкин Илья Александрович</t>
  </si>
  <si>
    <t>www.rgmek.ru</t>
  </si>
  <si>
    <t>ООО "СЭС"</t>
  </si>
  <si>
    <t>Общество с ограниченной ответственностью "СибЭнергоСеть"</t>
  </si>
  <si>
    <t>4223127110</t>
  </si>
  <si>
    <t>1204200011432</t>
  </si>
  <si>
    <t>654018, Кемеровская область, г.Киселевск, ул. Дзержинского, д.25, офис 25</t>
  </si>
  <si>
    <t>Варельди Джафар Назимович</t>
  </si>
  <si>
    <t>Sibenergoset.ru/sibenergoset@mail.ru</t>
  </si>
  <si>
    <t>ООО "СЭТ-42"</t>
  </si>
  <si>
    <t>Общество с ограниченной ответственностью "СибЭнерго Транс-42"</t>
  </si>
  <si>
    <t>4223086707</t>
  </si>
  <si>
    <t>1154223001624</t>
  </si>
  <si>
    <t>27626673</t>
  </si>
  <si>
    <t>Российская Федерация, 652726, Кемеровская область, г. Киселевск,  ул. Дзержинского, д. 25</t>
  </si>
  <si>
    <t>Российская Федерация, 652726, Кемеровская область, г. Киселевск, ул. Дзержинского, д. 25</t>
  </si>
  <si>
    <t>set42@list.ru</t>
  </si>
  <si>
    <t>Зятиков Андрей Викторович</t>
  </si>
  <si>
    <t>set42.ru</t>
  </si>
  <si>
    <t>ООО "Транснефтьэнерго"</t>
  </si>
  <si>
    <t>Общество с ограниченной ответственностью "Траснефтьэнерго"</t>
  </si>
  <si>
    <t>7703552167</t>
  </si>
  <si>
    <t>772301001</t>
  </si>
  <si>
    <t>1057747096990</t>
  </si>
  <si>
    <t>77359488</t>
  </si>
  <si>
    <t>109390, город Москва, улица Люблинская, д.6</t>
  </si>
  <si>
    <t>(499)7998688, (499)7998691</t>
  </si>
  <si>
    <t>info@tne.transneft.ru</t>
  </si>
  <si>
    <t>Емельянов Сергей Михайлович</t>
  </si>
  <si>
    <t>http://www.transneftenergo.trans</t>
  </si>
  <si>
    <t>ООО "ТрансХимЭнерго"</t>
  </si>
  <si>
    <t>Общество с ограниченной ответственностью "ТрансХимЭнерго"</t>
  </si>
  <si>
    <t>4205220893</t>
  </si>
  <si>
    <t>1114205015220</t>
  </si>
  <si>
    <t>69994497</t>
  </si>
  <si>
    <t>650000, Кемеровская обл, г. Кемерово, проспект Советский, д.6, офис 29</t>
  </si>
  <si>
    <t>8-(384-2) 900366</t>
  </si>
  <si>
    <t>tranchimenergo@mail.ru</t>
  </si>
  <si>
    <t>Газов Сергей Владимирович</t>
  </si>
  <si>
    <t>tranchimenergo.ru</t>
  </si>
  <si>
    <t>ООО "ТСО "Сибирь"</t>
  </si>
  <si>
    <t>Общество с ограниченной ответственностью "Территориальная мсетевая организпция "Сибирь"</t>
  </si>
  <si>
    <t>4205282579</t>
  </si>
  <si>
    <t>1144205003403</t>
  </si>
  <si>
    <t>16723278</t>
  </si>
  <si>
    <t>Российская Федерация,650036, г. Кемеровро, ул. Терешковой, 39/3, оф. 309</t>
  </si>
  <si>
    <t>(3842) 63-06-08, 8-905-074-84-56</t>
  </si>
  <si>
    <t>tso42sib@gmail.com</t>
  </si>
  <si>
    <t>Юсупов Шамиль Таирович</t>
  </si>
  <si>
    <t>http://tso42.ru</t>
  </si>
  <si>
    <t>ООО "Черкизово ТЭК"</t>
  </si>
  <si>
    <t>Общество с ограниченной ответственностью "Черкизово Топливно-Энергетический Комплекс"</t>
  </si>
  <si>
    <t>7714974474</t>
  </si>
  <si>
    <t>771001001</t>
  </si>
  <si>
    <t>1177746151978</t>
  </si>
  <si>
    <t>125047, г. Москва, вн.тер.г. Муниципальный округ Тверской, ул. Лесная, д. 5, этаж 7, ком. 20А</t>
  </si>
  <si>
    <t>Измайлов Леонид Георгиевич</t>
  </si>
  <si>
    <t>ООО "Электросетьсервис"</t>
  </si>
  <si>
    <t>Общество с ограниченной ответственностью "Электросетьсервис"</t>
  </si>
  <si>
    <t>4223057103</t>
  </si>
  <si>
    <t>1124223001440</t>
  </si>
  <si>
    <t>37719938</t>
  </si>
  <si>
    <t>(3846) 61-33-34, 8-913-138-1344</t>
  </si>
  <si>
    <t>office@elsetservice.ru</t>
  </si>
  <si>
    <t>Портненко Александр Дмитриевич</t>
  </si>
  <si>
    <t>www.elsetservice.ru</t>
  </si>
  <si>
    <t>ООО "Энергетическая компания "СТИ"</t>
  </si>
  <si>
    <t>Общество с ограниченной ответственностью "Энергетическая компания "Сбыт Трейдинг Инновации"</t>
  </si>
  <si>
    <t>7810786145</t>
  </si>
  <si>
    <t>783901001</t>
  </si>
  <si>
    <t>1027810325773</t>
  </si>
  <si>
    <t>190005, Санкт-Петербург, Троицкий проспект, д.12, лит.А, пом 4 "Н"</t>
  </si>
  <si>
    <t>mail.sti@gmail.com</t>
  </si>
  <si>
    <t>Хан Андрей Валерьевич</t>
  </si>
  <si>
    <t>ООО «Энергетическая компания «СТИ»</t>
  </si>
  <si>
    <t>Общество с ограниченной ответственностью «Энергетическая компания «СТИ»</t>
  </si>
  <si>
    <t>7839041402</t>
  </si>
  <si>
    <t>1157847267522</t>
  </si>
  <si>
    <t>23190463</t>
  </si>
  <si>
    <t>190005, Санкт-Петербург, Троицкий проспект, д. 12 лит. А, пом 4 «Н»</t>
  </si>
  <si>
    <t>(812) 251-13-73</t>
  </si>
  <si>
    <t>info@ek-sti.ru</t>
  </si>
  <si>
    <t>Аблатаев Данияр Абдуллаевич</t>
  </si>
  <si>
    <t>http://www.ek-sti.ru</t>
  </si>
  <si>
    <t>ООО "ЭнергоПаритет"</t>
  </si>
  <si>
    <t>Общество с ограниченной ответственностью "ЭнергоПаритет"</t>
  </si>
  <si>
    <t>4205262491</t>
  </si>
  <si>
    <t>1134205006320</t>
  </si>
  <si>
    <t>Российская Федерация, 650036, Кемеровская область, г. Кемерово, пр. Ленина, 90/2, оф.808</t>
  </si>
  <si>
    <t>nfo@eparitet.ru</t>
  </si>
  <si>
    <t>Горх Олег Вольдемарович</t>
  </si>
  <si>
    <t>www.eparitet.ru</t>
  </si>
  <si>
    <t>ООО "Энергопрофит"</t>
  </si>
  <si>
    <t>Общество с ограниченной ответственностью "Энергопрофит"</t>
  </si>
  <si>
    <t>7708341064</t>
  </si>
  <si>
    <t>770801001</t>
  </si>
  <si>
    <t>1197746052602</t>
  </si>
  <si>
    <t>35752535</t>
  </si>
  <si>
    <t>101000, Москва, Милютинский переулок, д.12, эт.4, пом.423</t>
  </si>
  <si>
    <t>Новиков Максим Сергеевич</t>
  </si>
  <si>
    <t>ООО "ЭнергоРесурс"</t>
  </si>
  <si>
    <t>Общество с ограниченной ответственностью "ЭнергоРесурс"</t>
  </si>
  <si>
    <t>4205250834</t>
  </si>
  <si>
    <t>1124205015967</t>
  </si>
  <si>
    <t>10898806</t>
  </si>
  <si>
    <t>Российская Федерация, 650070, г. Кемерово, ул. Свободы, 8, оф. 32</t>
  </si>
  <si>
    <t>(3842) 66-00-37</t>
  </si>
  <si>
    <t>Шапкин Константин Сергеевич</t>
  </si>
  <si>
    <t>ООО "ЭСКК"</t>
  </si>
  <si>
    <t>Общество с ограниченной ответственностью "Энергосбытовая компания Кузбасса"</t>
  </si>
  <si>
    <t>4205140782</t>
  </si>
  <si>
    <t>1074205021219</t>
  </si>
  <si>
    <t>82736854</t>
  </si>
  <si>
    <t>Российская Федерация, 650099, г. Кемерово, ул. Н. Островского, д. 12 А</t>
  </si>
  <si>
    <t>(3842) 34-97-56</t>
  </si>
  <si>
    <t>eskk@sdsenergo.ru</t>
  </si>
  <si>
    <t>ООО ЭСК Новая энергия</t>
  </si>
  <si>
    <t>7453333057</t>
  </si>
  <si>
    <t>745301001</t>
  </si>
  <si>
    <t>1197456057370</t>
  </si>
  <si>
    <t>123112, г. Москва, Пресненская набережная, д. 10, эт. 5</t>
  </si>
  <si>
    <t>454080, г. Челябинск, ул. Энтузиастов, 26 А, офис 305.</t>
  </si>
  <si>
    <t>tel:+78002221200</t>
  </si>
  <si>
    <t>corp@enerone.ru</t>
  </si>
  <si>
    <t>ООО "Юргинский машиностроительный завод"</t>
  </si>
  <si>
    <t>Общество с ограниченной ответственностью "Юргинский машиностроительный завод"</t>
  </si>
  <si>
    <t>4230020425</t>
  </si>
  <si>
    <t>1054230016180</t>
  </si>
  <si>
    <t>76913134</t>
  </si>
  <si>
    <t>Российская Федерация, 652050, Кемеровская область, г. Юрга, ул. Шоссейная, д. 3</t>
  </si>
  <si>
    <t>(38451) 7-41-15</t>
  </si>
  <si>
    <t>yumz@yumz.ru</t>
  </si>
  <si>
    <t>Аношин Сергей Юрьевич</t>
  </si>
  <si>
    <t>www.yumz.ru</t>
  </si>
  <si>
    <t>ПАО "КОКС"</t>
  </si>
  <si>
    <t>Публичное акционерное общество "КОКС"</t>
  </si>
  <si>
    <t>4205001274</t>
  </si>
  <si>
    <t>1024200680877</t>
  </si>
  <si>
    <t>00186683</t>
  </si>
  <si>
    <t>Российская Федерация, 650021, г. Кемерово, ул. 1-я Стахановская, 6</t>
  </si>
  <si>
    <t>(3842) 57-08-00, 57-16-23</t>
  </si>
  <si>
    <t>office@kem.metholding.ru</t>
  </si>
  <si>
    <t>Булаевский Борис Хаимович</t>
  </si>
  <si>
    <t>www.kemkoks.ru</t>
  </si>
  <si>
    <t>ПАО "Кузбассэнергосбыт"</t>
  </si>
  <si>
    <t>Публичное акционерное общество «Кузбасская энергетическая сбытовая компания»</t>
  </si>
  <si>
    <t>4205109214</t>
  </si>
  <si>
    <t>1064205110133</t>
  </si>
  <si>
    <t>00127290</t>
  </si>
  <si>
    <t>650036, г. Кемерово, пр. Ленина, 90/4</t>
  </si>
  <si>
    <t>(384-2) 71-95-00</t>
  </si>
  <si>
    <t>kesadm@mechel.com</t>
  </si>
  <si>
    <t>Петров Леонид Прохорович</t>
  </si>
  <si>
    <t>www.kuzesc.ru</t>
  </si>
  <si>
    <t>ПАО "ФСК - Россети"</t>
  </si>
  <si>
    <t>ПАО "Федеральная сетевая компания - Россети"</t>
  </si>
  <si>
    <t>4716016979</t>
  </si>
  <si>
    <t>997450001</t>
  </si>
  <si>
    <t>1024701893336</t>
  </si>
  <si>
    <t>121353, г.Москва, вн.тер.г. муниципальный округ Можайский, ул.Беловежская, д.4</t>
  </si>
  <si>
    <t>Рюмин А.В.</t>
  </si>
  <si>
    <t>Свердловский филиал ООО "ЕЭС-Гарант"</t>
  </si>
  <si>
    <t>5024173259</t>
  </si>
  <si>
    <t>1175024009918</t>
  </si>
  <si>
    <t>620075, г.Екатеринбург, ул.Кузнечная, д.92</t>
  </si>
  <si>
    <t>Казакова Юлия Валерьевна</t>
  </si>
  <si>
    <t>Директор Свердловского филиала</t>
  </si>
  <si>
    <t>филиал "Забайкальский" АО "Оборонэнерго"</t>
  </si>
  <si>
    <t>АО "Оборонэнерго" филиал "Забайкальский"</t>
  </si>
  <si>
    <t>7704726225</t>
  </si>
  <si>
    <t>753643001</t>
  </si>
  <si>
    <t>1097746264230</t>
  </si>
  <si>
    <t>90718149</t>
  </si>
  <si>
    <t>672027, г.Чита, ул.. Смоленская, д. 39, корп. 4</t>
  </si>
  <si>
    <t>8(3022)321494</t>
  </si>
  <si>
    <t>info@baikal.oboronenergo.ru</t>
  </si>
  <si>
    <t>Филиал ПАО "Россети Сибирь" - "Кузбассэнерго-РЭС"</t>
  </si>
  <si>
    <t>Филиал публичного акционерного общество "Россети Сибирь"- "Кузбассэнерго-РЭС"</t>
  </si>
  <si>
    <t>2460069527</t>
  </si>
  <si>
    <t>420502001</t>
  </si>
  <si>
    <t>1052460054327</t>
  </si>
  <si>
    <t>85226438</t>
  </si>
  <si>
    <t>650099, Российская Федерация, Кемеровская облпсть, г. Кемерово, ул. Н. Островского, д. 11</t>
  </si>
  <si>
    <t>Россия, 660021, Красноярский край, г. Красноярск, ул. Бограда, 144а</t>
  </si>
  <si>
    <t>(3842) 45-45-25, 45-49-34</t>
  </si>
  <si>
    <t>info@ke.rosseti-sib.ru</t>
  </si>
  <si>
    <t>Клейменов И.П.</t>
  </si>
  <si>
    <t>Зам. генерального директора - директор филиала</t>
  </si>
  <si>
    <t>www.rosseti-sib.ru</t>
  </si>
  <si>
    <t>филиал "Сибирский" АО "Оборонэнерго"</t>
  </si>
  <si>
    <t>540643001</t>
  </si>
  <si>
    <t>30732901</t>
  </si>
  <si>
    <t>630099, Новосибирская область, г. Новосибирск, ул. Советская, 12</t>
  </si>
  <si>
    <t>117140, г.Москва, ул. Русаковская, д.13, стр.19, 21-25</t>
  </si>
  <si>
    <t>8-383-319-13-70</t>
  </si>
  <si>
    <t>info@sb.oen.su, tapresyan@sb.oen.su</t>
  </si>
  <si>
    <t>Мананников Дмитрий Александрович</t>
  </si>
  <si>
    <t>www.oboronenergo.su</t>
  </si>
  <si>
    <t>form</t>
  </si>
  <si>
    <t>start_date</t>
  </si>
  <si>
    <t>end_date</t>
  </si>
  <si>
    <t>report_date</t>
  </si>
  <si>
    <t>entity_id</t>
  </si>
  <si>
    <t>entity_code</t>
  </si>
  <si>
    <t>entity_name</t>
  </si>
  <si>
    <t>scenario_id</t>
  </si>
  <si>
    <t>scenario_name</t>
  </si>
  <si>
    <t>fil_id</t>
  </si>
  <si>
    <t>fil_code</t>
  </si>
  <si>
    <t>fil_name</t>
  </si>
  <si>
    <t>nomer2_id</t>
  </si>
  <si>
    <t>nomer2_code</t>
  </si>
  <si>
    <t>nomer2_name</t>
  </si>
  <si>
    <t>nmob_id</t>
  </si>
  <si>
    <t>nmob_code</t>
  </si>
  <si>
    <t>nmob_name</t>
  </si>
  <si>
    <t>nsrf_id</t>
  </si>
  <si>
    <t>nsrf_code</t>
  </si>
  <si>
    <t>nsrf_name</t>
  </si>
  <si>
    <t>det_id</t>
  </si>
  <si>
    <t>det_code</t>
  </si>
  <si>
    <t>lgl_id</t>
  </si>
  <si>
    <t>l_base_service_production</t>
  </si>
  <si>
    <t>l_base_service_cleaning</t>
  </si>
  <si>
    <t>l_base_service_transmission</t>
  </si>
  <si>
    <t>l_address_mr</t>
  </si>
  <si>
    <t>l_address_mo</t>
  </si>
  <si>
    <t>l_address_oktmo</t>
  </si>
  <si>
    <t>l_address_location</t>
  </si>
  <si>
    <t>l_address_loc_oktmo</t>
  </si>
  <si>
    <t>l_address_street</t>
  </si>
  <si>
    <t>l_address_building</t>
  </si>
  <si>
    <t>l_pr_ic</t>
  </si>
  <si>
    <t>l_pr_cl</t>
  </si>
  <si>
    <t>l_pr_station_type</t>
  </si>
  <si>
    <t>l_pr_water_type</t>
  </si>
  <si>
    <t>l_pr_depreciation</t>
  </si>
  <si>
    <t>l_pr_start_exploit_date</t>
  </si>
  <si>
    <t>l_cln_ic</t>
  </si>
  <si>
    <t>l_cln_cl</t>
  </si>
  <si>
    <t>l_cln_org</t>
  </si>
  <si>
    <t>l_cln_inn</t>
  </si>
  <si>
    <t>l_cln_kpp</t>
  </si>
  <si>
    <t>l_cln_fil</t>
  </si>
  <si>
    <t>l_cln_source_name</t>
  </si>
  <si>
    <t>l_cln_mr</t>
  </si>
  <si>
    <t>l_cln_mo</t>
  </si>
  <si>
    <t>l_cln_oktmo</t>
  </si>
  <si>
    <t>l_cln_location</t>
  </si>
  <si>
    <t>l_cln_loc_oktmo</t>
  </si>
  <si>
    <t>l_cln_street</t>
  </si>
  <si>
    <t>l_cln_building</t>
  </si>
  <si>
    <t>l_cln_depreciation</t>
  </si>
  <si>
    <t>l_tr_ic</t>
  </si>
  <si>
    <t>l_tr_cl</t>
  </si>
  <si>
    <t>l_tr_org</t>
  </si>
  <si>
    <t>l_tr_inn</t>
  </si>
  <si>
    <t>l_tr_kpp</t>
  </si>
  <si>
    <t>l_tr_fil</t>
  </si>
  <si>
    <t>l_tr_source_name</t>
  </si>
  <si>
    <t>l_tr_mr</t>
  </si>
  <si>
    <t>l_tr_mo</t>
  </si>
  <si>
    <t>l_tr_oktmo</t>
  </si>
  <si>
    <t>l_tr_location</t>
  </si>
  <si>
    <t>l_tr_loc_oktmo</t>
  </si>
  <si>
    <t>l_tr_street</t>
  </si>
  <si>
    <t>l_tr_building</t>
  </si>
  <si>
    <t>l_tr_net_type</t>
  </si>
  <si>
    <t>l_</t>
  </si>
  <si>
    <t>l_tr_l_vsna_total</t>
  </si>
  <si>
    <t>l_tr_l_vsna_50_250</t>
  </si>
  <si>
    <t>l_tr_l_vsna_251_400</t>
  </si>
  <si>
    <t>l_tr_l_vsna_401_550</t>
  </si>
  <si>
    <t>l_tr_l_vsna_551_700</t>
  </si>
  <si>
    <t>l_tr_l_vsna_701</t>
  </si>
  <si>
    <t>l_tr_l_vsna_over_total</t>
  </si>
  <si>
    <t>l_tr_l_vsna_over_50_250</t>
  </si>
  <si>
    <t>l_tr_l_vsna_over_251_400</t>
  </si>
  <si>
    <t>l_tr_l_vsna_over_401_550</t>
  </si>
  <si>
    <t>l_tr_l_vsna_over_551_700</t>
  </si>
  <si>
    <t>l_tr_l_vsna_over_701</t>
  </si>
  <si>
    <t>l_tr_l_vsna_u_ch_total</t>
  </si>
  <si>
    <t>l_tr_l_vsna_u_ch_50_250</t>
  </si>
  <si>
    <t>l_tr_l_vsna_u_ch_251_400</t>
  </si>
  <si>
    <t>l_tr_l_vsna_u_ch_401_550</t>
  </si>
  <si>
    <t>l_tr_l_vsna_u_ch_551_700</t>
  </si>
  <si>
    <t>l_tr_l_vsna_u_ch_701</t>
  </si>
  <si>
    <t>l_tr_l_vsna_u_nonch_total</t>
  </si>
  <si>
    <t>l_tr_l_vsna_u_nonch_50_250</t>
  </si>
  <si>
    <t>l_tr_l_vsna_u_nonch_251_400</t>
  </si>
  <si>
    <t>l_tr_l_vsna_u_nonch_401_550</t>
  </si>
  <si>
    <t>l_tr_l_vsna_u_nonch_551_700</t>
  </si>
  <si>
    <t>l_tr_l_vsna_u_nonch_701</t>
  </si>
  <si>
    <t>l_tr_depreciation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</si>
  <si>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</si>
  <si>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</si>
  <si>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</si>
  <si>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</si>
  <si>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</si>
  <si>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</si>
  <si>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</si>
  <si>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</si>
  <si>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</si>
  <si>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</si>
  <si>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</si>
  <si>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sce:REESTR.VSNA.SOURCE.2026</t>
  </si>
  <si>
    <t>НС</t>
  </si>
  <si>
    <t>г Осинники</t>
  </si>
  <si>
    <t>32734000001</t>
  </si>
  <si>
    <t>пер. Кирова 1-й</t>
  </si>
  <si>
    <t>15 а</t>
  </si>
  <si>
    <t>60.0000000000</t>
  </si>
  <si>
    <t>40.0000000000</t>
  </si>
  <si>
    <t>3 подъёма</t>
  </si>
  <si>
    <t>питьевая</t>
  </si>
  <si>
    <t>80.0000000000</t>
  </si>
  <si>
    <t>01.01.1950</t>
  </si>
  <si>
    <t>эксплуатируется</t>
  </si>
  <si>
    <t>муниципальное имущество</t>
  </si>
  <si>
    <t>https://portal.eias.ru/Portal/DownloadPage.aspx?type=12&amp;guid=6d641e17-3afd-43f6-957a-dda6c1a497f2</t>
  </si>
  <si>
    <t>https://portal.eias.ru/Portal/DownloadPage.aspx?type=12&amp;guid=43083f34-9856-4ec0-b899-a5d448e87810</t>
  </si>
  <si>
    <t>сеть</t>
  </si>
  <si>
    <t>г Калтан</t>
  </si>
  <si>
    <t>32715000001</t>
  </si>
  <si>
    <t>ул. Партизанская</t>
  </si>
  <si>
    <t>1-18</t>
  </si>
  <si>
    <t>8.6000000000</t>
  </si>
  <si>
    <t>7.8000000000</t>
  </si>
  <si>
    <t>4214046200.0</t>
  </si>
  <si>
    <t>421401001.0</t>
  </si>
  <si>
    <t>-</t>
  </si>
  <si>
    <t>32715000.0</t>
  </si>
  <si>
    <t>32715000001.0</t>
  </si>
  <si>
    <t>уличная</t>
  </si>
  <si>
    <t>0.3000000000</t>
  </si>
  <si>
    <t>0.0000000000</t>
  </si>
  <si>
    <t>55.0000000000</t>
  </si>
  <si>
    <t>https://portal.eias.ru/Portal/DownloadPage.aspx?type=12&amp;guid=8edcc478-776b-4c95-9f90-b217dd1799bb</t>
  </si>
  <si>
    <t>https://portal.eias.ru/Portal/DownloadPage.aspx?type=12&amp;guid=ae898190-06ae-4f28-8135-bdc0197227d6</t>
  </si>
  <si>
    <t>п Малиновка</t>
  </si>
  <si>
    <t>32715000111</t>
  </si>
  <si>
    <t>ул. 60 лет Октября</t>
  </si>
  <si>
    <t>90.0000000000</t>
  </si>
  <si>
    <t>75.0000000000</t>
  </si>
  <si>
    <t>32715000111.0</t>
  </si>
  <si>
    <t>ул. Угольная</t>
  </si>
  <si>
    <t>2а</t>
  </si>
  <si>
    <t>разводящая</t>
  </si>
  <si>
    <t>0.0510000000</t>
  </si>
  <si>
    <t>пер. Советский</t>
  </si>
  <si>
    <t>магистральная и разводящая</t>
  </si>
  <si>
    <t>0.7500000000</t>
  </si>
  <si>
    <t>70.0000000000</t>
  </si>
  <si>
    <t>ул. Новая</t>
  </si>
  <si>
    <t>13.0000000000</t>
  </si>
  <si>
    <t>11.0000000000</t>
  </si>
  <si>
    <t>0.2500000000</t>
  </si>
  <si>
    <t>ул. Садовая</t>
  </si>
  <si>
    <t>35а</t>
  </si>
  <si>
    <t>330.0000000000</t>
  </si>
  <si>
    <t>22.0000000000</t>
  </si>
  <si>
    <t>4 подъёма</t>
  </si>
  <si>
    <t>28.6000000000</t>
  </si>
  <si>
    <t>11.05.1987</t>
  </si>
  <si>
    <t>ул. Покрышкина</t>
  </si>
  <si>
    <t>15-92</t>
  </si>
  <si>
    <t>5.4000000000</t>
  </si>
  <si>
    <t>5.0000000000</t>
  </si>
  <si>
    <t>1.6300000000</t>
  </si>
  <si>
    <t>30.0000000000</t>
  </si>
  <si>
    <t>0.2250000000</t>
  </si>
  <si>
    <t>45.0000000000</t>
  </si>
  <si>
    <t>п Тайжина</t>
  </si>
  <si>
    <t>32734000106</t>
  </si>
  <si>
    <t>Новокузнецкий район</t>
  </si>
  <si>
    <t>33.0000000000</t>
  </si>
  <si>
    <t>10.7700000000</t>
  </si>
  <si>
    <t>артезианская скважина</t>
  </si>
  <si>
    <t>30.06.2014</t>
  </si>
  <si>
    <t>ул. Руставели</t>
  </si>
  <si>
    <t>27-32</t>
  </si>
  <si>
    <t>48.2000000000</t>
  </si>
  <si>
    <t>20.0000000000</t>
  </si>
  <si>
    <t>1.0000000000</t>
  </si>
  <si>
    <t>ул. Пожарского</t>
  </si>
  <si>
    <t>3а-20</t>
  </si>
  <si>
    <t>21.2000000000</t>
  </si>
  <si>
    <t>15.0000000000</t>
  </si>
  <si>
    <t>1.5000000000</t>
  </si>
  <si>
    <t>Черемуховый</t>
  </si>
  <si>
    <t>2.0000000000</t>
  </si>
  <si>
    <t>0.1150000000</t>
  </si>
  <si>
    <t>12.3000000000</t>
  </si>
  <si>
    <t>0.2310000000</t>
  </si>
  <si>
    <t>Шевченко</t>
  </si>
  <si>
    <t>3.0000000000</t>
  </si>
  <si>
    <t>0.2460000000</t>
  </si>
  <si>
    <t>50.0000000000</t>
  </si>
  <si>
    <t>ул. Ленина</t>
  </si>
  <si>
    <t>191.0000000000</t>
  </si>
  <si>
    <t>185.0000000000</t>
  </si>
  <si>
    <t>0.4300000000</t>
  </si>
  <si>
    <t>Дружбы</t>
  </si>
  <si>
    <t>0.4630000000</t>
  </si>
  <si>
    <t>пер. Полевой</t>
  </si>
  <si>
    <t>3-6</t>
  </si>
  <si>
    <t>5.5000000000</t>
  </si>
  <si>
    <t>0.2590000000</t>
  </si>
  <si>
    <t>пер. Жданова</t>
  </si>
  <si>
    <t>3.7000000000</t>
  </si>
  <si>
    <t>0.2000000000</t>
  </si>
  <si>
    <t>35.0000000000</t>
  </si>
  <si>
    <t>НС с ОС и сетями</t>
  </si>
  <si>
    <t>2083.3300000000</t>
  </si>
  <si>
    <t>1416.6000000000</t>
  </si>
  <si>
    <t>водозабор</t>
  </si>
  <si>
    <t>63.1000000000</t>
  </si>
  <si>
    <t>15.05.1963</t>
  </si>
  <si>
    <t>1500.0000000000</t>
  </si>
  <si>
    <t>30.5800000000</t>
  </si>
  <si>
    <t>66.1000000000</t>
  </si>
  <si>
    <t>794.0000000000</t>
  </si>
  <si>
    <t>700.0000000000</t>
  </si>
  <si>
    <t>Водозабор №1</t>
  </si>
  <si>
    <t>32734000.0</t>
  </si>
  <si>
    <t>32734000001.0</t>
  </si>
  <si>
    <t>магистральная</t>
  </si>
  <si>
    <t>15.2800000000</t>
  </si>
  <si>
    <t>66.0000000000</t>
  </si>
  <si>
    <t>85.0000000000</t>
  </si>
  <si>
    <t>0.0600000000</t>
  </si>
  <si>
    <t>ул. Горького</t>
  </si>
  <si>
    <t>1-35</t>
  </si>
  <si>
    <t>3.2000000000</t>
  </si>
  <si>
    <t>0.6890000000</t>
  </si>
  <si>
    <t>690.0000000000</t>
  </si>
  <si>
    <t>184.5000000000</t>
  </si>
  <si>
    <t>57.9000000000</t>
  </si>
  <si>
    <t>05.07.1995</t>
  </si>
  <si>
    <t>2-27</t>
  </si>
  <si>
    <t>0.5810000000</t>
  </si>
  <si>
    <t>15.2000000000</t>
  </si>
  <si>
    <t>0.0630000000</t>
  </si>
  <si>
    <t>25.0000000000</t>
  </si>
  <si>
    <t>ул. Пушкина</t>
  </si>
  <si>
    <t>1-56</t>
  </si>
  <si>
    <t>1.3950000000</t>
  </si>
  <si>
    <t>ул. Комсомольская</t>
  </si>
  <si>
    <t>50-114</t>
  </si>
  <si>
    <t>12.0000000000</t>
  </si>
  <si>
    <t>0.1000000000</t>
  </si>
  <si>
    <t>150.0000000000</t>
  </si>
  <si>
    <t>4.4500000000</t>
  </si>
  <si>
    <t>ул. Калинина</t>
  </si>
  <si>
    <t>172.0000000000</t>
  </si>
  <si>
    <t>8.3000000000</t>
  </si>
  <si>
    <t>0.4000000000</t>
  </si>
  <si>
    <t>пер. Комсомольский</t>
  </si>
  <si>
    <t>19.0000000000</t>
  </si>
  <si>
    <t>0.9000000000</t>
  </si>
  <si>
    <t>пер. Горный</t>
  </si>
  <si>
    <t>1а-8</t>
  </si>
  <si>
    <t>0.3310000000</t>
  </si>
  <si>
    <t>2.9430000000</t>
  </si>
  <si>
    <t>ул. Малиновская</t>
  </si>
  <si>
    <t>0.5680000000</t>
  </si>
  <si>
    <t>ул. Водонасосная</t>
  </si>
  <si>
    <t>525.0000000000</t>
  </si>
  <si>
    <t>260.9200000000</t>
  </si>
  <si>
    <t>83.2000000000</t>
  </si>
  <si>
    <t>01.07.1936</t>
  </si>
  <si>
    <t>585.0000000000</t>
  </si>
  <si>
    <t>350.9300000000</t>
  </si>
  <si>
    <t>1.5990000000</t>
  </si>
  <si>
    <t>1.1340000000</t>
  </si>
  <si>
    <t>0.4650000000</t>
  </si>
  <si>
    <t>72.8000000000</t>
  </si>
  <si>
    <t>ул. Байдукова</t>
  </si>
  <si>
    <t>10 а</t>
  </si>
  <si>
    <t>180.0000000000</t>
  </si>
  <si>
    <t>130.0000000000</t>
  </si>
  <si>
    <t>01.10.1952</t>
  </si>
  <si>
    <t>12-38</t>
  </si>
  <si>
    <t>65.5000000000</t>
  </si>
  <si>
    <t>32.0000000000</t>
  </si>
  <si>
    <t>1.3000000000</t>
  </si>
  <si>
    <t>ул. Базарная</t>
  </si>
  <si>
    <t>1-11</t>
  </si>
  <si>
    <t>0.5000000000</t>
  </si>
  <si>
    <t>ул. Болотная</t>
  </si>
  <si>
    <t>1-17</t>
  </si>
  <si>
    <t>9.0000000000</t>
  </si>
  <si>
    <t>пер. Болотный</t>
  </si>
  <si>
    <t>2-16</t>
  </si>
  <si>
    <t>8.0000000000</t>
  </si>
  <si>
    <t>0.2200000000</t>
  </si>
  <si>
    <t>86.0000000000</t>
  </si>
  <si>
    <t>ул. Береговая</t>
  </si>
  <si>
    <t>ул. Ломоносова</t>
  </si>
  <si>
    <t>3.8000000000</t>
  </si>
  <si>
    <t>0.3270000000</t>
  </si>
  <si>
    <t>Кузбасская</t>
  </si>
  <si>
    <t>0.3550000000</t>
  </si>
  <si>
    <t>перекресток пр-кт. Мира, ул. Заводская</t>
  </si>
  <si>
    <t>11-23</t>
  </si>
  <si>
    <t>0.2600000000</t>
  </si>
  <si>
    <t>0.0750000000</t>
  </si>
  <si>
    <t>перекресток ул. Горького, ул. Комсомольская</t>
  </si>
  <si>
    <t>135.0000000000</t>
  </si>
  <si>
    <t>0.8500000000</t>
  </si>
  <si>
    <t>ул. Горняцкая</t>
  </si>
  <si>
    <t>4.0000000000</t>
  </si>
  <si>
    <t>0.2650000000</t>
  </si>
  <si>
    <t>ул. Строительная</t>
  </si>
  <si>
    <t>21.0000000000</t>
  </si>
  <si>
    <t>0.3250000000</t>
  </si>
  <si>
    <t>Сосновая</t>
  </si>
  <si>
    <t>0.2530000000</t>
  </si>
  <si>
    <t>Солнечная</t>
  </si>
  <si>
    <t>0.2320000000</t>
  </si>
  <si>
    <t>ул. Кузбасская</t>
  </si>
  <si>
    <t>2-82</t>
  </si>
  <si>
    <t>19.2000000000</t>
  </si>
  <si>
    <t>0.7240000000</t>
  </si>
  <si>
    <t>перекресток ул. Горького, пр. Мира</t>
  </si>
  <si>
    <t>24а-39</t>
  </si>
  <si>
    <t>44.5000000000</t>
  </si>
  <si>
    <t>34-45а</t>
  </si>
  <si>
    <t>0.1710000000</t>
  </si>
  <si>
    <t>ул. Кутузова</t>
  </si>
  <si>
    <t>0.2180000000</t>
  </si>
  <si>
    <t>5.7000000000</t>
  </si>
  <si>
    <t>0.0400000000</t>
  </si>
  <si>
    <t>ул. Репина</t>
  </si>
  <si>
    <t>0.2820000000</t>
  </si>
  <si>
    <t>ул. Совхозная</t>
  </si>
  <si>
    <t>7 а</t>
  </si>
  <si>
    <t>57 а</t>
  </si>
  <si>
    <t>01.01.1960</t>
  </si>
  <si>
    <t>ул. Крупской</t>
  </si>
  <si>
    <t>1-112</t>
  </si>
  <si>
    <t>57.6000000000</t>
  </si>
  <si>
    <t>0.6260000000</t>
  </si>
  <si>
    <t>перекресток пр. Мира, ул. Комсомольская</t>
  </si>
  <si>
    <t>45а-61</t>
  </si>
  <si>
    <t>78.0000000000</t>
  </si>
  <si>
    <t>0.1500000000</t>
  </si>
  <si>
    <t>перекресток ул. Калинина, ул. Горького</t>
  </si>
  <si>
    <t>44-34</t>
  </si>
  <si>
    <t>0.2350000000</t>
  </si>
  <si>
    <t>ул. Гоголя</t>
  </si>
  <si>
    <t>67-95; 97-107; 68-96</t>
  </si>
  <si>
    <t>6.0000000000</t>
  </si>
  <si>
    <t>пер. Ключевой</t>
  </si>
  <si>
    <t>ул. Кооперативная</t>
  </si>
  <si>
    <t>0.2040000000</t>
  </si>
  <si>
    <t>ул. Нахимова</t>
  </si>
  <si>
    <t>0.2470000000</t>
  </si>
  <si>
    <t>ул. Заводская</t>
  </si>
  <si>
    <t>7.2000000000</t>
  </si>
  <si>
    <t>5.8000000000</t>
  </si>
  <si>
    <t>0.6000000000</t>
  </si>
  <si>
    <t>0.1400000000</t>
  </si>
  <si>
    <t>ул. Нагорная</t>
  </si>
  <si>
    <t>0.0700000000</t>
  </si>
  <si>
    <t>г. Осинники</t>
  </si>
  <si>
    <t>152.3020000000</t>
  </si>
  <si>
    <t>126.0290000000</t>
  </si>
  <si>
    <t>19.6060000000</t>
  </si>
  <si>
    <t>4.8000000000</t>
  </si>
  <si>
    <t>1.8670000000</t>
  </si>
  <si>
    <t>п.  Тайжина</t>
  </si>
  <si>
    <t>480.0000000000</t>
  </si>
  <si>
    <t>163.9400000000</t>
  </si>
  <si>
    <t>32734000106.0</t>
  </si>
  <si>
    <t>50.1800000000</t>
  </si>
  <si>
    <t>ул. Проектная</t>
  </si>
  <si>
    <t>5-52</t>
  </si>
  <si>
    <t>69.0000000000</t>
  </si>
  <si>
    <t>0.2510000000</t>
  </si>
  <si>
    <t>ул. Макаренко</t>
  </si>
  <si>
    <t>0.3140000000</t>
  </si>
  <si>
    <t>87, 89</t>
  </si>
  <si>
    <t>36.0000000000</t>
  </si>
  <si>
    <t>0.0800000000</t>
  </si>
  <si>
    <t>ул. Комсомольская, пр. Мира</t>
  </si>
  <si>
    <t>71, 73, 52, 54, 56, 48, 46</t>
  </si>
  <si>
    <t>ул. Дзержинского</t>
  </si>
  <si>
    <t>0.0500000000</t>
  </si>
  <si>
    <t>ул. Новостройка-ул.Колхозная</t>
  </si>
  <si>
    <t>ул. Зеленая</t>
  </si>
  <si>
    <t>0.2610000000</t>
  </si>
  <si>
    <t>ул. Новосибирская</t>
  </si>
  <si>
    <t>ул. Томская</t>
  </si>
  <si>
    <t>0.3600000000</t>
  </si>
  <si>
    <t>694.0000000000</t>
  </si>
  <si>
    <t>500.0000000000</t>
  </si>
  <si>
    <t>Калтан, Новокузнецкий район</t>
  </si>
  <si>
    <t>15.3000000000</t>
  </si>
  <si>
    <t>594.0000000000</t>
  </si>
  <si>
    <t>200.0000000000</t>
  </si>
  <si>
    <t>8.8100000000</t>
  </si>
  <si>
    <t>ул. Кирова</t>
  </si>
  <si>
    <t>0.2620000000</t>
  </si>
  <si>
    <t>пер. Станционный</t>
  </si>
  <si>
    <t>1-16</t>
  </si>
  <si>
    <t>0.4160000000</t>
  </si>
  <si>
    <t>пр-кт. Мира</t>
  </si>
  <si>
    <t>65а, 59, 57</t>
  </si>
  <si>
    <t>33.5000000000</t>
  </si>
  <si>
    <t>28.0000000000</t>
  </si>
  <si>
    <t>0.2100000000</t>
  </si>
  <si>
    <t>пр-кт. Мира, ул. Комсомольская</t>
  </si>
  <si>
    <t>36, 38, 40, 42, 44; 67, 69, 65, 63</t>
  </si>
  <si>
    <t>0.3500000000</t>
  </si>
  <si>
    <t>4-69</t>
  </si>
  <si>
    <t>31.7000000000</t>
  </si>
  <si>
    <t>7.0000000000</t>
  </si>
  <si>
    <t>2.2000000000</t>
  </si>
  <si>
    <t>0.1490000000</t>
  </si>
  <si>
    <t>ул. Торговая</t>
  </si>
  <si>
    <t>0.6050000000</t>
  </si>
  <si>
    <t>ул. Горнорабочая</t>
  </si>
  <si>
    <t>0.1630000000</t>
  </si>
  <si>
    <t>ул. Минская</t>
  </si>
  <si>
    <t>0.4500000000</t>
  </si>
  <si>
    <t>ул. Рижская</t>
  </si>
  <si>
    <t>ул. Севастопольская</t>
  </si>
  <si>
    <t>1а</t>
  </si>
  <si>
    <t>0.5940000000</t>
  </si>
  <si>
    <t>0.4790000000</t>
  </si>
  <si>
    <t>01.04.1986</t>
  </si>
  <si>
    <t>2-41б</t>
  </si>
  <si>
    <t>30.2000000000</t>
  </si>
  <si>
    <t>0.4470000000</t>
  </si>
  <si>
    <t>89.0000000000</t>
  </si>
  <si>
    <t>01.01.1977</t>
  </si>
  <si>
    <t>ул. Высотная</t>
  </si>
  <si>
    <t>1-20</t>
  </si>
  <si>
    <t>17.0000000000</t>
  </si>
  <si>
    <t>0.1590000000</t>
  </si>
  <si>
    <t>1-37а</t>
  </si>
  <si>
    <t>0.3630000000</t>
  </si>
  <si>
    <t>пр. Мира, ул. Горького</t>
  </si>
  <si>
    <t>45а, 47, 49, 57, 45а; 34, 36, 38</t>
  </si>
  <si>
    <t>37.0000000000</t>
  </si>
  <si>
    <t>4.3000000000</t>
  </si>
  <si>
    <t>0.4690000000</t>
  </si>
  <si>
    <t>пр. Мира, ул. Комсомольская</t>
  </si>
  <si>
    <t>30, 32,34;  61</t>
  </si>
  <si>
    <t>ул. Дзержинского, 51-ул. Тепличная,1</t>
  </si>
  <si>
    <t>1.7710000000</t>
  </si>
  <si>
    <t>65.0000000000</t>
  </si>
  <si>
    <t>ул. Новостройка 1</t>
  </si>
  <si>
    <t>10-18</t>
  </si>
  <si>
    <t>ул. Урицкого</t>
  </si>
  <si>
    <t>0.2670000000</t>
  </si>
  <si>
    <t>ул. Некрасова</t>
  </si>
  <si>
    <t>0.2860000000</t>
  </si>
  <si>
    <t>ул. Полевая</t>
  </si>
  <si>
    <t>0.4800000000</t>
  </si>
  <si>
    <t>39.0000000000</t>
  </si>
  <si>
    <t>19.12.1985</t>
  </si>
  <si>
    <t>ул. Куйбышева</t>
  </si>
  <si>
    <t>1-32</t>
  </si>
  <si>
    <t>4.5000000000</t>
  </si>
  <si>
    <t>0.3940000000</t>
  </si>
  <si>
    <t>1296.0000000000</t>
  </si>
  <si>
    <t>210.0000000000</t>
  </si>
  <si>
    <t>транзитная</t>
  </si>
  <si>
    <t>16.3000000000</t>
  </si>
  <si>
    <t>ул. Курская</t>
  </si>
  <si>
    <t>4.2000000000</t>
  </si>
  <si>
    <t>1-31</t>
  </si>
  <si>
    <t>0.5580000000</t>
  </si>
  <si>
    <t>39,41,43,41а,43а,43б,39а,39б; 30,32</t>
  </si>
  <si>
    <t>27.0000000000</t>
  </si>
  <si>
    <t>37,33,35,37а,37б; 22, 24а</t>
  </si>
  <si>
    <t>0.6200000000</t>
  </si>
  <si>
    <t>ул. Новостройка 2</t>
  </si>
  <si>
    <t>2-10</t>
  </si>
  <si>
    <t>Перспективная</t>
  </si>
  <si>
    <t>0.2400000000</t>
  </si>
  <si>
    <t>Весенняя</t>
  </si>
  <si>
    <t>0.0620000000</t>
  </si>
  <si>
    <t>ул. Жемчужная</t>
  </si>
  <si>
    <t>ул. Российская</t>
  </si>
  <si>
    <t>ул. Станционная</t>
  </si>
  <si>
    <t>29.8000000000</t>
  </si>
  <si>
    <t>0.1620000000</t>
  </si>
  <si>
    <t>ул. Октябрьская</t>
  </si>
  <si>
    <t>1б-23</t>
  </si>
  <si>
    <t>ул. Отдельная</t>
  </si>
  <si>
    <t>1-30</t>
  </si>
  <si>
    <t>1.0810000000</t>
  </si>
  <si>
    <t>ул. Пугачева</t>
  </si>
  <si>
    <t>49,51,45,41; 14, 16, 18, 20, 22, 24</t>
  </si>
  <si>
    <t>пр. Мира</t>
  </si>
  <si>
    <t>21,23,25,27,29,31</t>
  </si>
  <si>
    <t>6.6000000000</t>
  </si>
  <si>
    <t>ул. Спортивная</t>
  </si>
  <si>
    <t>1-49</t>
  </si>
  <si>
    <t>Кондомская</t>
  </si>
  <si>
    <t>0.8410000000</t>
  </si>
  <si>
    <t>Васильковая</t>
  </si>
  <si>
    <t>0.2550000000</t>
  </si>
  <si>
    <t>ул. Лесная</t>
  </si>
  <si>
    <t>38-50</t>
  </si>
  <si>
    <t>0.4450000000</t>
  </si>
  <si>
    <t>ул. Весенняя</t>
  </si>
  <si>
    <t>6-30</t>
  </si>
  <si>
    <t>0.6320000000</t>
  </si>
  <si>
    <t>ул. Рябиновая</t>
  </si>
  <si>
    <t>29.5000000000</t>
  </si>
  <si>
    <t>0.9200000000</t>
  </si>
  <si>
    <t>ул. Островского</t>
  </si>
  <si>
    <t>4-10</t>
  </si>
  <si>
    <t>3.4000000000</t>
  </si>
  <si>
    <t>0.0720000000</t>
  </si>
  <si>
    <t>ул. Молодежная</t>
  </si>
  <si>
    <t>1-13</t>
  </si>
  <si>
    <t>10.0000000000</t>
  </si>
  <si>
    <t>0.3400000000</t>
  </si>
  <si>
    <t>ул. Калинина, ул. Базарная</t>
  </si>
  <si>
    <t>16; 6</t>
  </si>
  <si>
    <t>27,37</t>
  </si>
  <si>
    <t>3.3000000000</t>
  </si>
  <si>
    <t>0.2800000000</t>
  </si>
  <si>
    <t>ул. Маяковского</t>
  </si>
  <si>
    <t>0.6500000000</t>
  </si>
  <si>
    <t>пер. Санаторный</t>
  </si>
  <si>
    <t>а.дорога - ул. Неввского, 23</t>
  </si>
  <si>
    <t>Школьная</t>
  </si>
  <si>
    <t>0.3290000000</t>
  </si>
  <si>
    <t>Мира</t>
  </si>
  <si>
    <t>0.3160000000</t>
  </si>
  <si>
    <t>ул. Фестивальная</t>
  </si>
  <si>
    <t>0.5100000000</t>
  </si>
  <si>
    <t>0.0080000000</t>
  </si>
  <si>
    <t>ул. Рабочая</t>
  </si>
  <si>
    <t>1-10</t>
  </si>
  <si>
    <t>0.4270000000</t>
  </si>
  <si>
    <t>ул. Линейная</t>
  </si>
  <si>
    <t>1-27</t>
  </si>
  <si>
    <t>ул. Космоса</t>
  </si>
  <si>
    <t>2а-8</t>
  </si>
  <si>
    <t>0.3020000000</t>
  </si>
  <si>
    <t>4,2; 11</t>
  </si>
  <si>
    <t>ул. Достоевского</t>
  </si>
  <si>
    <t>33-69а</t>
  </si>
  <si>
    <t>ул. Космодемьянской</t>
  </si>
  <si>
    <t>5-42</t>
  </si>
  <si>
    <t>0.5700000000</t>
  </si>
  <si>
    <t>Российская</t>
  </si>
  <si>
    <t>0.2020000000</t>
  </si>
  <si>
    <t>Народная</t>
  </si>
  <si>
    <t>0.2090000000</t>
  </si>
  <si>
    <t>пер. Покрышкина</t>
  </si>
  <si>
    <t>пер. Прибрежный</t>
  </si>
  <si>
    <t>ул. Советская</t>
  </si>
  <si>
    <t>1-91</t>
  </si>
  <si>
    <t>25.7000000000</t>
  </si>
  <si>
    <t>0.5290000000</t>
  </si>
  <si>
    <t>35.7000000000</t>
  </si>
  <si>
    <t>1.4540000000</t>
  </si>
  <si>
    <t>ул. Сибирская</t>
  </si>
  <si>
    <t>5-39</t>
  </si>
  <si>
    <t>7.7000000000</t>
  </si>
  <si>
    <t>0.8150000000</t>
  </si>
  <si>
    <t>ул. Вишневая</t>
  </si>
  <si>
    <t>15-20а</t>
  </si>
  <si>
    <t>0.7410000000</t>
  </si>
  <si>
    <t>25,21,19;  2</t>
  </si>
  <si>
    <t>1,3,5,11,13</t>
  </si>
  <si>
    <t>0.2700000000</t>
  </si>
  <si>
    <t>пер. Кошевого</t>
  </si>
  <si>
    <t>ул. Покрышкина, 55 - пер. Кошевого, 63</t>
  </si>
  <si>
    <t>ул. Кошевого</t>
  </si>
  <si>
    <t>ул. Покрышкина, 55-ул. Кошевого, 63</t>
  </si>
  <si>
    <t>0.8300000000</t>
  </si>
  <si>
    <t>Гоголя</t>
  </si>
  <si>
    <t>Восточная</t>
  </si>
  <si>
    <t>0.3580000000</t>
  </si>
  <si>
    <t>ул. Пожарского (ж.д. №№41-65)</t>
  </si>
  <si>
    <t>ул. Центральная (ж.д. №№9,11,14,15,16,18,20,21,22,24,25,30,44,46,48,48а,66,68,70,74,76)</t>
  </si>
  <si>
    <t>1.4000000000</t>
  </si>
  <si>
    <t>ул. Пионерская</t>
  </si>
  <si>
    <t>3-22</t>
  </si>
  <si>
    <t>11.2000000000</t>
  </si>
  <si>
    <t>ул. Крутая</t>
  </si>
  <si>
    <t>1-9</t>
  </si>
  <si>
    <t>0.0490000000</t>
  </si>
  <si>
    <t>51-39</t>
  </si>
  <si>
    <t>37.8000000000</t>
  </si>
  <si>
    <t>2-55</t>
  </si>
  <si>
    <t>1.7600000000</t>
  </si>
  <si>
    <t>ул. Жданова</t>
  </si>
  <si>
    <t>1.1000000000</t>
  </si>
  <si>
    <t>ул. Мичурина</t>
  </si>
  <si>
    <t>1-45</t>
  </si>
  <si>
    <t>0.7000000000</t>
  </si>
  <si>
    <t>ул. Лазурная</t>
  </si>
  <si>
    <t>ул. Лазурная, 6-ул. Невского, 30</t>
  </si>
  <si>
    <t>ул. Невского</t>
  </si>
  <si>
    <t>15-68</t>
  </si>
  <si>
    <t>1.9000000000</t>
  </si>
  <si>
    <t>Восточный</t>
  </si>
  <si>
    <t>0.1730000000</t>
  </si>
  <si>
    <t>Высотный</t>
  </si>
  <si>
    <t>3.5000000000</t>
  </si>
  <si>
    <t>0.0820000000</t>
  </si>
  <si>
    <t>ул. Железнодорожная (ж.д. 5-19)</t>
  </si>
  <si>
    <t>ул. К. Маркса (ж.д. 1,2,36)</t>
  </si>
  <si>
    <t>0.5400000000</t>
  </si>
  <si>
    <t>ул. Железнодорожная</t>
  </si>
  <si>
    <t>1-67</t>
  </si>
  <si>
    <t>0.8810000000</t>
  </si>
  <si>
    <t>1-24</t>
  </si>
  <si>
    <t>0.9520000000</t>
  </si>
  <si>
    <t>70-99</t>
  </si>
  <si>
    <t>23.7000000000</t>
  </si>
  <si>
    <t>27-95</t>
  </si>
  <si>
    <t>182.0000000000</t>
  </si>
  <si>
    <t>1.7000000000</t>
  </si>
  <si>
    <t>пер. Садовый</t>
  </si>
  <si>
    <t>1-7</t>
  </si>
  <si>
    <t>ул. Набережная</t>
  </si>
  <si>
    <t>67-81</t>
  </si>
  <si>
    <t>Шахтерская</t>
  </si>
  <si>
    <t>0.3700000000</t>
  </si>
  <si>
    <t>ул. Подгорная</t>
  </si>
  <si>
    <t>3-12</t>
  </si>
  <si>
    <t>25.7200000000</t>
  </si>
  <si>
    <t>0.3100000000</t>
  </si>
  <si>
    <t>33а</t>
  </si>
  <si>
    <t>0.0210000000</t>
  </si>
  <si>
    <t>sce:REESTR.VOTV.SOURCE.2026</t>
  </si>
  <si>
    <t>КНС</t>
  </si>
  <si>
    <t>ул. Дорожная</t>
  </si>
  <si>
    <t>13а</t>
  </si>
  <si>
    <t>31.2500000000</t>
  </si>
  <si>
    <t>низковольтная КНС</t>
  </si>
  <si>
    <t>100.0000000000</t>
  </si>
  <si>
    <t>01.07.1961</t>
  </si>
  <si>
    <t>дворовая</t>
  </si>
  <si>
    <t>11.7000000000</t>
  </si>
  <si>
    <t>ул. Калинина, ул. Комсомольская</t>
  </si>
  <si>
    <t>168.5000000000</t>
  </si>
  <si>
    <t>квартальная</t>
  </si>
  <si>
    <t>КНС с сетями</t>
  </si>
  <si>
    <t>4а</t>
  </si>
  <si>
    <t>470.0000000000</t>
  </si>
  <si>
    <t>104.2000000000</t>
  </si>
  <si>
    <t>01.01.1995</t>
  </si>
  <si>
    <t>91.1000000000</t>
  </si>
  <si>
    <t>52.0800000000</t>
  </si>
  <si>
    <t>175.0000000000</t>
  </si>
  <si>
    <t>70.8000000000</t>
  </si>
  <si>
    <t>1600.0000000000</t>
  </si>
  <si>
    <t>792.0000000000</t>
  </si>
  <si>
    <t>31.12.1964</t>
  </si>
  <si>
    <t>1060.0000000000</t>
  </si>
  <si>
    <t>752.4000000000</t>
  </si>
  <si>
    <t>46,48</t>
  </si>
  <si>
    <t>71,73,75</t>
  </si>
  <si>
    <t>32, 34</t>
  </si>
  <si>
    <t>26,28</t>
  </si>
  <si>
    <t>11-95</t>
  </si>
  <si>
    <t>538.2000000000</t>
  </si>
  <si>
    <t>самотечная</t>
  </si>
  <si>
    <t>20а</t>
  </si>
  <si>
    <t>высоковольтная КНС</t>
  </si>
  <si>
    <t>ОС</t>
  </si>
  <si>
    <t>ул. М.Горького</t>
  </si>
  <si>
    <t>120 а</t>
  </si>
  <si>
    <t>1012.5000000000</t>
  </si>
  <si>
    <t>очистные сооружения</t>
  </si>
  <si>
    <t>120а</t>
  </si>
  <si>
    <t>66.2000000000</t>
  </si>
  <si>
    <t>83.4000000000</t>
  </si>
  <si>
    <t>01.01.1990</t>
  </si>
  <si>
    <t>Здание КНС</t>
  </si>
  <si>
    <t>45.1000000000</t>
  </si>
  <si>
    <t>ул. Лысенко</t>
  </si>
  <si>
    <t>62.6000000000</t>
  </si>
  <si>
    <t>самотечная и напорная</t>
  </si>
  <si>
    <t>40.8000000000</t>
  </si>
  <si>
    <t>ул. Горького, пр. Мира</t>
  </si>
  <si>
    <t>51,50,53,55, 57,59</t>
  </si>
  <si>
    <t>50,49,48,46, 44</t>
  </si>
  <si>
    <t>п. Тайжина</t>
  </si>
  <si>
    <t>166.7000000000</t>
  </si>
  <si>
    <t>72.9200000000</t>
  </si>
  <si>
    <t>4222016778.0</t>
  </si>
  <si>
    <t>422201001.0</t>
  </si>
  <si>
    <t>45а, 45,47,49</t>
  </si>
  <si>
    <t>42,44</t>
  </si>
  <si>
    <t>36,38</t>
  </si>
  <si>
    <t>40,42</t>
  </si>
  <si>
    <t>40,38,36</t>
  </si>
  <si>
    <t>65,67,69</t>
  </si>
  <si>
    <t>5-33</t>
  </si>
  <si>
    <t>63,61</t>
  </si>
  <si>
    <t>24, 25</t>
  </si>
  <si>
    <t>ул. Горького, ул. Комсомольская</t>
  </si>
  <si>
    <t>833.7000000000</t>
  </si>
  <si>
    <t>14,16,18,20</t>
  </si>
  <si>
    <t>44-33; 20-34а</t>
  </si>
  <si>
    <t>149.5000000000</t>
  </si>
  <si>
    <t>21,23,25,27, 29,31,31а</t>
  </si>
  <si>
    <t>7, 9, 13</t>
  </si>
  <si>
    <t>15, 17</t>
  </si>
  <si>
    <t>334.0000000000</t>
  </si>
  <si>
    <t>446.0000000000</t>
  </si>
  <si>
    <t>45.3000000000</t>
  </si>
  <si>
    <t>30,39а</t>
  </si>
  <si>
    <t>39б</t>
  </si>
  <si>
    <t>19, 21, 23</t>
  </si>
  <si>
    <t>ул. Комсомольская, пр. Мира, ул. Школьная</t>
  </si>
  <si>
    <t>43а</t>
  </si>
  <si>
    <t>ул. Школьная</t>
  </si>
  <si>
    <t>19,21</t>
  </si>
  <si>
    <t>4, 6, 8, 10, 12</t>
  </si>
  <si>
    <t>14, 16, 18</t>
  </si>
  <si>
    <t>41а,39,41,43</t>
  </si>
  <si>
    <t>13,15</t>
  </si>
  <si>
    <t>25, 27, 29, 31, 33</t>
  </si>
  <si>
    <t>20, 22, 24, 26, 28</t>
  </si>
  <si>
    <t>65, 65а</t>
  </si>
  <si>
    <t>63,61,59,55,57</t>
  </si>
  <si>
    <t>24а</t>
  </si>
  <si>
    <t>1, 11</t>
  </si>
  <si>
    <t>7-11</t>
  </si>
  <si>
    <t>30, 32, 34</t>
  </si>
  <si>
    <t>35, 37</t>
  </si>
  <si>
    <t>пер. Советский, пр. Мира</t>
  </si>
  <si>
    <t>пер. Советский, 9а - пр. Мира, 43</t>
  </si>
  <si>
    <t>37а</t>
  </si>
  <si>
    <t>3-5</t>
  </si>
  <si>
    <t>231.6000000000</t>
  </si>
  <si>
    <t>33, 35, 37</t>
  </si>
  <si>
    <t>9-11</t>
  </si>
  <si>
    <t>tariff_id</t>
  </si>
  <si>
    <t>prd</t>
  </si>
  <si>
    <t>vid</t>
  </si>
  <si>
    <t>tip</t>
  </si>
  <si>
    <t>vdet</t>
  </si>
  <si>
    <t>vtov</t>
  </si>
  <si>
    <t>dop</t>
  </si>
  <si>
    <t>nom</t>
  </si>
  <si>
    <t>data</t>
  </si>
  <si>
    <t>dop_sved</t>
  </si>
  <si>
    <t>method</t>
  </si>
  <si>
    <t>first_year</t>
  </si>
  <si>
    <t>years_count</t>
  </si>
  <si>
    <t>sngl1</t>
  </si>
  <si>
    <t>sngl2</t>
  </si>
  <si>
    <t>dbl1</t>
  </si>
  <si>
    <t>dbl2</t>
  </si>
  <si>
    <t>trnsp1</t>
  </si>
  <si>
    <t>trnsp2</t>
  </si>
  <si>
    <t>status</t>
  </si>
  <si>
    <t>first</t>
  </si>
  <si>
    <t>second</t>
  </si>
  <si>
    <t>OPF_VALUE</t>
  </si>
  <si>
    <t>DPR_LIST</t>
  </si>
  <si>
    <t>1 10 51 | Полные товарищества</t>
  </si>
  <si>
    <t>1 10 64 | Товарищества на вере (коммандитные товарищества)</t>
  </si>
  <si>
    <t>Оказание услуг на территории: Борковское (ОКТМО: 61658475) - с Борки (ул. Приозерная, ул. Славянская, ул. Пражская)</t>
  </si>
  <si>
    <t>Оказание услуг на территории: Борковское (ОКТМО: 61658475) - улицы Приозерная, Славянская, Пражская, Братиславская, Цветочный бульвар</t>
  </si>
  <si>
    <t>Оказание услуг на территории: Выжелесское (ОКТМО: 61646409) - с Иванково, с Малышево</t>
  </si>
  <si>
    <t>Оказание услуг на территории: Захаровский муниципальный район (ОКТМО: 61604000) - сельские поселения Безлыченское, Сменовское</t>
  </si>
  <si>
    <t>1 30 00 | Хозяйственные партнерства</t>
  </si>
  <si>
    <t>Оказание услуг на территории: Искровское (ОКТМО: 61634485) - д Букрино, д Ялино, д Шевцово</t>
  </si>
  <si>
    <t>1 41 00 | Сельскохозяйственные производственные кооперативы</t>
  </si>
  <si>
    <t>Оказание услуг на территории: Искровское (ОКТМО: 61634485) - п Искра, п Госплемстанция</t>
  </si>
  <si>
    <t>1 41 53 | Сельскохозяйственные артели (колхозы)</t>
  </si>
  <si>
    <t>Оказание услуг на территории: Касимовский муниципальный район (ОКТМО: 61608000) - городское поселение Сынтульское, сельское поселение Лощининское (д Баженова)</t>
  </si>
  <si>
    <t>1 41 54 | Рыболовецкие артели (колхозы)</t>
  </si>
  <si>
    <t>Оказание услуг на территории: Касимовский муниципальный район (ОКТМО: 61608000) - сельские поселения Гиблицкое, Ибердусское, Китовское, Клетинское, Погостинское, Лощининское</t>
  </si>
  <si>
    <t>1 41 55 | Кооперативные хозяйства (коопхозы)</t>
  </si>
  <si>
    <t>Оказание услуг на территории: Ленинское (ОКТМО: 61648438) - п свх им Ленина</t>
  </si>
  <si>
    <t>1 42 00 | Производственные кооперативы (кроме сельскохозяйственных производственных кооперативов)</t>
  </si>
  <si>
    <t>Оказание услуг на территории: Листвянское (ОКТМО: 61634457) - д Зубенки</t>
  </si>
  <si>
    <t>1 53 00 | Крестьянские (фермерские) хозяйства</t>
  </si>
  <si>
    <t>Оказание услуг на территории: Листвянское (ОКТМО: 61634457) - п Листвянка</t>
  </si>
  <si>
    <t>1 90 00 | Прочие юридические лица, являющиеся коммерческими организациями</t>
  </si>
  <si>
    <t>Оказание услуг на территории: Листвянское (ОКТМО: 61634457) - с Александрово</t>
  </si>
  <si>
    <t>2 01 01 | Гаражные и гаражно-строительные кооперативы</t>
  </si>
  <si>
    <t>Оказание услуг на территории: Михайловский муниципальный район (ОКТМО: 61617000) - городское поселение Михайловское</t>
  </si>
  <si>
    <t>2 01 02 | Жилищные или жилищно-строительные кооперативы</t>
  </si>
  <si>
    <t>Оказание услуг на территории: Михайловское (ОКТМО: 61617101) - г Михайлов</t>
  </si>
  <si>
    <t>2 01 03 | Жилищные накопительные кооперативы</t>
  </si>
  <si>
    <t>Оказание услуг на территории: Окское (ОКТМО: 61634475) - д Аксиньино</t>
  </si>
  <si>
    <t>2 01 04 | Кредитные потребительские кооперативы</t>
  </si>
  <si>
    <t>Оказание услуг на территории: Окское (ОКТМО: 61634475) - п Окский</t>
  </si>
  <si>
    <t>2 01 05 | Кредитные потребительские кооперативы граждан</t>
  </si>
  <si>
    <t>Оказание услуг на территории: Сараевский муниципальный район (ОКТМО: 61640000) - сельские поселения Алексеевское, Высоковское, Телятниковское, Новобокинское</t>
  </si>
  <si>
    <t>2 01 06 | Кредитные кооперативы второго уровня</t>
  </si>
  <si>
    <t>Оказание услуг на территории: Спасский муниципальный район (ОКТМО: 61646000) - сельские поселения Выжелесское, Панинское, Федотьевское</t>
  </si>
  <si>
    <t>2 01 07 | Потребительские общества</t>
  </si>
  <si>
    <t>Оказание услуг на территории: Спасский муниципальный район (ОКТМО: 61646000) - сельские поселения Заречинское, Исадское, Кутуковское, Перкинское, Собчаковское, Троицкое, Федотьевское</t>
  </si>
  <si>
    <t>2 01 08 | Общества взаимного страхования</t>
  </si>
  <si>
    <t>Оказание услуг на территории: Спасский муниципальный район (ОКТМО: 61646000) - сельские поселения Заречинское, Перкинское, Собчаковское, Троицкое</t>
  </si>
  <si>
    <t>2 01 09 | Сельскохозяйственные потребительские перерабатывающие кооперативы</t>
  </si>
  <si>
    <t>Оказание услуг на территории: Спасский муниципальный район (ОКТМО: 61646000) - сельские поселения Ижевское (с Ижевское), Лакашинское (с Лакаш, с Городковичи), Киструсское (с Деревенское)</t>
  </si>
  <si>
    <t>2 01 10 | Сельскохозяйственные потребительские сбытовые (торговые) кооперативы</t>
  </si>
  <si>
    <t>Оказание услуг на территории: Спасский муниципальный район (ОКТМО: 61646000) - сельские поселения Исадское, Кутуковское</t>
  </si>
  <si>
    <t>2 01 11 | Сельскохозяйственные потребительские обслуживающие кооперативы</t>
  </si>
  <si>
    <t>Оказание услуг на территории: Старожиловское (ОКТМО: 61648151) - рп Старожилово</t>
  </si>
  <si>
    <t>2 01 12 | Сельскохозяйственные потребительские снабженческие кооперативы</t>
  </si>
  <si>
    <t>Оказание услуг на территории: Турлатовское (ОКТМО: 61634496) - д Марьино</t>
  </si>
  <si>
    <t>2 01 15 | Сельскохозяйственные потребительские животноводческие кооперативы</t>
  </si>
  <si>
    <t>Оказание услуг на территории: Турлатовское (ОКТМО: 61634496) - д Турлатово</t>
  </si>
  <si>
    <t>2 01 16 | Сельскохозяйственные потребительские растениеводческие кооперативы</t>
  </si>
  <si>
    <t>Оказание услуг на территории: Турлатовское (ОКТМО: 61634496) - д Турлатово, с Реткино, д Марьино-1, д Марьино-2, с Каменец</t>
  </si>
  <si>
    <t>2 01 21 | Фонды проката</t>
  </si>
  <si>
    <t>Оказание услуг на территории: Турлатовское (ОКТМО: 61634496) - с Каменец</t>
  </si>
  <si>
    <t>2 02 01 | Политические партии</t>
  </si>
  <si>
    <t>Оказание услуг на территории: Турлатовское (ОКТМО: 61634496) - с Реткино</t>
  </si>
  <si>
    <t>2 02 02 | Профсоюзные организации</t>
  </si>
  <si>
    <t>Оказание услуг на территории: Шелемишевское (ОКТМО: 61644496) - д Шелемишевские хутора, в/г № 2</t>
  </si>
  <si>
    <t>2 02 10 | Общественные движения</t>
  </si>
  <si>
    <t>Оказание услуг на территории: Шиловский муниципальный район (ОКТМО: 61658000) - Шиловское городское поселение, Борковское сельское поселение (ул. Приозерная, Славянская, Пражская, Братиславская, Цветочный бульвар)</t>
  </si>
  <si>
    <t>2 02 11 | Органы общественной самодеятельности</t>
  </si>
  <si>
    <t>Оказание услуг на территории: Ягодновское (ОКТМО: 61640481) - с Ягодное</t>
  </si>
  <si>
    <t>2 02 17 | Территориальные общественные самоуправления</t>
  </si>
  <si>
    <t>Оказание услуг на территории: Касимовский муниципальный район (ОКТМО: 61608000) - сельские поселения Крутоярское, Лашманское</t>
  </si>
  <si>
    <t>2 06 01 | Ассоциации (союзы) экономического взаимодействия субъектов Российской Федерации</t>
  </si>
  <si>
    <t>Оказание услуг на территории: Касимовский муниципальный район (ОКТМО: 61608000) - сельское поселение Крутоярское</t>
  </si>
  <si>
    <t>2 06 03 | Советы муниципальных образований субъектов Российской Федерации</t>
  </si>
  <si>
    <t>Оказание услуг на территории: Касимовский муниципальный район (ОКТМО: 61608000) - сельское поселение Лашманское</t>
  </si>
  <si>
    <t>2 06 04 | Союзы (ассоциации) кредитных кооперативов</t>
  </si>
  <si>
    <t>Оказание услуг на территории: Кирицкое (ОКТМО: 61646452) - п Павловка</t>
  </si>
  <si>
    <t>2 06 05 | Союзы (ассоциации) кооперативов</t>
  </si>
  <si>
    <t>Оказание услуг на территории: Михайловский муниципальный район (ОКТМО: 61617000) - п Первомайский</t>
  </si>
  <si>
    <t>2 06 06 | Союзы (ассоциации) общественных объединений</t>
  </si>
  <si>
    <t>Оказание услуг на территории: Скопинский муниципальный район (ОКТМО: 61644000) - городские поселения Павелецкое, Побединское</t>
  </si>
  <si>
    <t>2 06 07 | Союзы (ассоциации) общин малочисленных народов</t>
  </si>
  <si>
    <t>Оказание услуг на территории: Скопинский муниципальный район (ОКТМО: 61644000) - сельские поселения Вослебовское, Успенское</t>
  </si>
  <si>
    <t>2 06 08 | Союзы потребительских обществ</t>
  </si>
  <si>
    <t>Оказание услуг на территории: Спасский муниципальный район (ОКТМО: 61646000) - городское поселение Спасск-Рязанское</t>
  </si>
  <si>
    <t>2 06 09 | Адвокатские палаты</t>
  </si>
  <si>
    <t>Оказание услуг на территории: Спасский муниципальный район (ОКТМО: 61646000) - сельские поселения Ижевское (с Ижевское), Выжелесское (с Выжелес, с Иванково, с Дегтяное), Киструсское (с Деревенское), Лакашинское (с Лакаш)</t>
  </si>
  <si>
    <t>2 06 10 | Нотариальные палаты</t>
  </si>
  <si>
    <t>Оказание услуг на территории: Ухоловское (ОКТМО: 61650151) - рп Ухолово</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</si>
  <si>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</si>
  <si>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</si>
  <si>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</si>
  <si>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</si>
  <si>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</si>
  <si>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</si>
  <si>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</si>
  <si>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</si>
  <si>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</si>
  <si>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</si>
  <si>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</si>
  <si>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</si>
  <si>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</si>
  <si>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</si>
  <si>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</si>
  <si>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</si>
  <si>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</si>
  <si>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</si>
  <si>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</si>
  <si>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</si>
  <si>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</si>
  <si>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</si>
  <si>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</si>
  <si>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</si>
  <si>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</si>
  <si>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</si>
  <si>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</si>
  <si>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</si>
  <si>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</si>
  <si>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</si>
  <si>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</si>
  <si>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</si>
  <si>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</si>
  <si>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</si>
  <si>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</si>
  <si>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</si>
  <si>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</si>
  <si>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</si>
  <si>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</si>
  <si>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52 04 | Государственные казенные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</si>
  <si>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</si>
  <si>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</si>
  <si>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</si>
  <si>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</si>
  <si>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</si>
  <si>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</si>
  <si>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Алтайский край</t>
  </si>
  <si>
    <t>RU22</t>
  </si>
  <si>
    <t>TemplateState</t>
  </si>
  <si>
    <t>YES_NO</t>
  </si>
  <si>
    <t>SAX_PARSER_FEATURE</t>
  </si>
  <si>
    <t>DNS</t>
  </si>
  <si>
    <t>YEAR_LIST</t>
  </si>
  <si>
    <t>MONTH_LIST</t>
  </si>
  <si>
    <t>period_list</t>
  </si>
  <si>
    <t>sphere_list</t>
  </si>
  <si>
    <t>tariff_type_list</t>
  </si>
  <si>
    <t>COLDVSNA_VTOV;COLDVSNA_TRANSP_VTOV</t>
  </si>
  <si>
    <t>COLDVSNA_VTARIFF</t>
  </si>
  <si>
    <t>osn_expl_list</t>
  </si>
  <si>
    <t>VOLTAGE_LEVEL_list</t>
  </si>
  <si>
    <t>VOLTAGE_LEVEL2_list</t>
  </si>
  <si>
    <t>ist_info_build_list</t>
  </si>
  <si>
    <t>diametr_list</t>
  </si>
  <si>
    <t>material_list</t>
  </si>
  <si>
    <t>grunt_list</t>
  </si>
  <si>
    <t>glubina_list</t>
  </si>
  <si>
    <t>diametr_list_vs</t>
  </si>
  <si>
    <t>diametr_list_vo</t>
  </si>
  <si>
    <t>Амурская область</t>
  </si>
  <si>
    <t>RU28</t>
  </si>
  <si>
    <t>FORMED</t>
  </si>
  <si>
    <t>YES</t>
  </si>
  <si>
    <t>https://eias.ru</t>
  </si>
  <si>
    <t>Январь</t>
  </si>
  <si>
    <t>аренда</t>
  </si>
  <si>
    <t>Без разбивки</t>
  </si>
  <si>
    <t>Утверждённые укрупнённые НЦС</t>
  </si>
  <si>
    <t>чугун</t>
  </si>
  <si>
    <t>сухой</t>
  </si>
  <si>
    <t>0-15</t>
  </si>
  <si>
    <t>0-55</t>
  </si>
  <si>
    <t>Архангельская область</t>
  </si>
  <si>
    <t>RU29</t>
  </si>
  <si>
    <t>Февраль</t>
  </si>
  <si>
    <t>двухставочный</t>
  </si>
  <si>
    <t>техническая вода</t>
  </si>
  <si>
    <t>тариф на техническую воду</t>
  </si>
  <si>
    <t>безвозмездное пользование</t>
  </si>
  <si>
    <t>ВН1</t>
  </si>
  <si>
    <t>Сметные расчёты организации</t>
  </si>
  <si>
    <t>сталь</t>
  </si>
  <si>
    <t>мокрый</t>
  </si>
  <si>
    <t>16-25</t>
  </si>
  <si>
    <t>56-65</t>
  </si>
  <si>
    <t>Астраханская область</t>
  </si>
  <si>
    <t>RU30</t>
  </si>
  <si>
    <t>XML_MR_MO_OKTMO_LIST_TAG_NAMES</t>
  </si>
  <si>
    <t>NDS</t>
  </si>
  <si>
    <t>Март</t>
  </si>
  <si>
    <t>горячая вода</t>
  </si>
  <si>
    <t>ВН</t>
  </si>
  <si>
    <t>железобетон</t>
  </si>
  <si>
    <t>26-35</t>
  </si>
  <si>
    <t>66-75</t>
  </si>
  <si>
    <t>Белгородская область</t>
  </si>
  <si>
    <t>RU31</t>
  </si>
  <si>
    <t>STATE_SHARE</t>
  </si>
  <si>
    <t>NSRF</t>
  </si>
  <si>
    <t>Апрель</t>
  </si>
  <si>
    <t>VOTV_VTOV</t>
  </si>
  <si>
    <t>VOTV_VTARIFF</t>
  </si>
  <si>
    <t>оперативное управление</t>
  </si>
  <si>
    <t>полиэтилен</t>
  </si>
  <si>
    <t>36-45</t>
  </si>
  <si>
    <t>76-85</t>
  </si>
  <si>
    <t>Брянская область</t>
  </si>
  <si>
    <t>RU32</t>
  </si>
  <si>
    <t>VALUABLE_STATE_SHARE</t>
  </si>
  <si>
    <t>MR_NAME</t>
  </si>
  <si>
    <t>Май</t>
  </si>
  <si>
    <t>собственность</t>
  </si>
  <si>
    <t>46-55</t>
  </si>
  <si>
    <t>86-95</t>
  </si>
  <si>
    <t>Владимирская область</t>
  </si>
  <si>
    <t>RU33</t>
  </si>
  <si>
    <t>менее 50 %</t>
  </si>
  <si>
    <t>OKTMO_MR_NAME</t>
  </si>
  <si>
    <t>PERIOD</t>
  </si>
  <si>
    <t>Июнь</t>
  </si>
  <si>
    <t>жидкие бытовые отходы</t>
  </si>
  <si>
    <t>хозяйственное ведение</t>
  </si>
  <si>
    <t>200</t>
  </si>
  <si>
    <t>96-105</t>
  </si>
  <si>
    <t>Волгоградская область</t>
  </si>
  <si>
    <t>RU34</t>
  </si>
  <si>
    <t>50 % и более</t>
  </si>
  <si>
    <t>MO_NAME</t>
  </si>
  <si>
    <t>Июль</t>
  </si>
  <si>
    <t>поверхностные сточные воды</t>
  </si>
  <si>
    <t>договор хранения</t>
  </si>
  <si>
    <t>Генерация напряжения</t>
  </si>
  <si>
    <t>250</t>
  </si>
  <si>
    <t>106-115</t>
  </si>
  <si>
    <t>Вологодская область</t>
  </si>
  <si>
    <t>RU35</t>
  </si>
  <si>
    <t>100 %</t>
  </si>
  <si>
    <t>OKTMO_NAME</t>
  </si>
  <si>
    <t>Август</t>
  </si>
  <si>
    <t>хозяйственно-бытовые сточные воды</t>
  </si>
  <si>
    <t>договор эксплуатации</t>
  </si>
  <si>
    <t>300</t>
  </si>
  <si>
    <t>116-125</t>
  </si>
  <si>
    <t>Воронежская область</t>
  </si>
  <si>
    <t>RU36</t>
  </si>
  <si>
    <t>TYPE</t>
  </si>
  <si>
    <t>Организация</t>
  </si>
  <si>
    <t>Сентябрь</t>
  </si>
  <si>
    <t>сточные воды (нормативы)</t>
  </si>
  <si>
    <t>договор обслуживания</t>
  </si>
  <si>
    <t>315</t>
  </si>
  <si>
    <t>126-135</t>
  </si>
  <si>
    <t>г. Москва</t>
  </si>
  <si>
    <t>RU77</t>
  </si>
  <si>
    <t>Москва</t>
  </si>
  <si>
    <t>OWNERSHIP_TYPE</t>
  </si>
  <si>
    <t>TOTAL_PPL_COUNT</t>
  </si>
  <si>
    <t>Октябрь</t>
  </si>
  <si>
    <t>сточные воды (иные)</t>
  </si>
  <si>
    <t>бесхозяйный объект</t>
  </si>
  <si>
    <t>350</t>
  </si>
  <si>
    <t>136-145</t>
  </si>
  <si>
    <t>г.Байконур</t>
  </si>
  <si>
    <t>RU00</t>
  </si>
  <si>
    <t>NONPRIVATE_OWNERSHIP_TYPE</t>
  </si>
  <si>
    <t>Ноябрь</t>
  </si>
  <si>
    <t>договор инвестирования</t>
  </si>
  <si>
    <t>355</t>
  </si>
  <si>
    <t>146-155</t>
  </si>
  <si>
    <t>г.Санкт-Петербург</t>
  </si>
  <si>
    <t>RU78</t>
  </si>
  <si>
    <t>Cанкт-Петербург</t>
  </si>
  <si>
    <t>федеральная</t>
  </si>
  <si>
    <t>METHOD_LIST</t>
  </si>
  <si>
    <t>Декабрь</t>
  </si>
  <si>
    <t>доверительное управление</t>
  </si>
  <si>
    <t>400</t>
  </si>
  <si>
    <t>156-165</t>
  </si>
  <si>
    <t>г.Севастополь</t>
  </si>
  <si>
    <t>RU92</t>
  </si>
  <si>
    <t>Севастополь</t>
  </si>
  <si>
    <t>субъект РФ</t>
  </si>
  <si>
    <t>Виды деятельности</t>
  </si>
  <si>
    <t>субаренда</t>
  </si>
  <si>
    <t>450</t>
  </si>
  <si>
    <t>166-175</t>
  </si>
  <si>
    <t>Донецкая Народная Республика</t>
  </si>
  <si>
    <t>RU80</t>
  </si>
  <si>
    <t>муниципальная</t>
  </si>
  <si>
    <t>Метод экономически обоснованных расходов</t>
  </si>
  <si>
    <t>500</t>
  </si>
  <si>
    <t>176-185</t>
  </si>
  <si>
    <t>Еврейская автономная область</t>
  </si>
  <si>
    <t>RU79</t>
  </si>
  <si>
    <t>Метод сравнения аналогов</t>
  </si>
  <si>
    <t>support_docs_list</t>
  </si>
  <si>
    <t>600</t>
  </si>
  <si>
    <t>186-195</t>
  </si>
  <si>
    <t>Забайкальский край</t>
  </si>
  <si>
    <t>RU75</t>
  </si>
  <si>
    <t>Метод обеспечения доходности инвестированного капитала</t>
  </si>
  <si>
    <t>договор</t>
  </si>
  <si>
    <t>630</t>
  </si>
  <si>
    <t>196-205</t>
  </si>
  <si>
    <t>Запорожская область</t>
  </si>
  <si>
    <t>RU85</t>
  </si>
  <si>
    <t>NALOG_SYSTEM_LIST</t>
  </si>
  <si>
    <t>Территории</t>
  </si>
  <si>
    <t>свидетельство</t>
  </si>
  <si>
    <t>700</t>
  </si>
  <si>
    <t>206-215</t>
  </si>
  <si>
    <t>Ивановская область</t>
  </si>
  <si>
    <t>RU37</t>
  </si>
  <si>
    <t>ОСНО</t>
  </si>
  <si>
    <t>COLDVSNA_VDET_LIST</t>
  </si>
  <si>
    <t>соглашение</t>
  </si>
  <si>
    <t>710</t>
  </si>
  <si>
    <t>216-225</t>
  </si>
  <si>
    <t>Иркутская область</t>
  </si>
  <si>
    <t>RU38</t>
  </si>
  <si>
    <t>УСН</t>
  </si>
  <si>
    <t>Производство (подъём / добыча) воды</t>
  </si>
  <si>
    <t>постановление</t>
  </si>
  <si>
    <t>800</t>
  </si>
  <si>
    <t>226-235</t>
  </si>
  <si>
    <t>Кабардино-Балкарская республика</t>
  </si>
  <si>
    <t>RU07</t>
  </si>
  <si>
    <t>Республика Кабардино-Балкария</t>
  </si>
  <si>
    <t>Очистка воды</t>
  </si>
  <si>
    <t>распоряжение</t>
  </si>
  <si>
    <t>900</t>
  </si>
  <si>
    <t>236-245</t>
  </si>
  <si>
    <t>Калининградская область</t>
  </si>
  <si>
    <t>RU39</t>
  </si>
  <si>
    <t>Транспортировка воды</t>
  </si>
  <si>
    <t>решение</t>
  </si>
  <si>
    <t>1000</t>
  </si>
  <si>
    <t>246-255</t>
  </si>
  <si>
    <t>Калужская область</t>
  </si>
  <si>
    <t>RU40</t>
  </si>
  <si>
    <t>Сбыт (распределение) воды</t>
  </si>
  <si>
    <t>приказ</t>
  </si>
  <si>
    <t>256-265</t>
  </si>
  <si>
    <t>Камчатский край</t>
  </si>
  <si>
    <t>RU41</t>
  </si>
  <si>
    <t>Подвоз воды</t>
  </si>
  <si>
    <t>лицензия</t>
  </si>
  <si>
    <t>266-275</t>
  </si>
  <si>
    <t>Карачаево-Черкесская республика</t>
  </si>
  <si>
    <t>RU09</t>
  </si>
  <si>
    <t>Республика Карачаево-Черкессия</t>
  </si>
  <si>
    <t>276-285</t>
  </si>
  <si>
    <t>RU42</t>
  </si>
  <si>
    <t>VOTV_VDET_LIST</t>
  </si>
  <si>
    <t>государственный контракт</t>
  </si>
  <si>
    <t>286-295</t>
  </si>
  <si>
    <t>Кировская область</t>
  </si>
  <si>
    <t>RU43</t>
  </si>
  <si>
    <t>Приём сточных вод</t>
  </si>
  <si>
    <t>балансовая справка</t>
  </si>
  <si>
    <t>296-305</t>
  </si>
  <si>
    <t>Костромская область</t>
  </si>
  <si>
    <t>RU44</t>
  </si>
  <si>
    <t>Очистка сточных вод</t>
  </si>
  <si>
    <t>кадастровый паспорт</t>
  </si>
  <si>
    <t>306-315</t>
  </si>
  <si>
    <t>Краснодарский край</t>
  </si>
  <si>
    <t>RU23</t>
  </si>
  <si>
    <t>Транспортировка сточных вод</t>
  </si>
  <si>
    <t>технический паспорт</t>
  </si>
  <si>
    <t>316-325</t>
  </si>
  <si>
    <t>Красноярский край</t>
  </si>
  <si>
    <t>RU24</t>
  </si>
  <si>
    <t>устав</t>
  </si>
  <si>
    <t>326-335</t>
  </si>
  <si>
    <t>Курганская область</t>
  </si>
  <si>
    <t>RU45</t>
  </si>
  <si>
    <t>акт ввода в эксплуатацию</t>
  </si>
  <si>
    <t>296-325</t>
  </si>
  <si>
    <t>336-345</t>
  </si>
  <si>
    <t>Курская область</t>
  </si>
  <si>
    <t>RU46</t>
  </si>
  <si>
    <t>план приватизации</t>
  </si>
  <si>
    <t>326-375</t>
  </si>
  <si>
    <t>346-355</t>
  </si>
  <si>
    <t>Ленинградская область</t>
  </si>
  <si>
    <t>RU47</t>
  </si>
  <si>
    <t>разрешение на ввод объекта в эксплуатацию</t>
  </si>
  <si>
    <t>376-425</t>
  </si>
  <si>
    <t>356-365</t>
  </si>
  <si>
    <t>Липецкая область</t>
  </si>
  <si>
    <t>RU48</t>
  </si>
  <si>
    <t>выписка из ЕГРН</t>
  </si>
  <si>
    <t>426-475</t>
  </si>
  <si>
    <t>366-375</t>
  </si>
  <si>
    <t>Луганская Народная Республика</t>
  </si>
  <si>
    <t>RU81</t>
  </si>
  <si>
    <t>выписка из РФИ</t>
  </si>
  <si>
    <t>476-525</t>
  </si>
  <si>
    <t>376-385</t>
  </si>
  <si>
    <t>Магаданская область</t>
  </si>
  <si>
    <t>RU49</t>
  </si>
  <si>
    <t>документов нет вообще</t>
  </si>
  <si>
    <t>526-575</t>
  </si>
  <si>
    <t>386-395</t>
  </si>
  <si>
    <t>Московская область</t>
  </si>
  <si>
    <t>RU50</t>
  </si>
  <si>
    <t>576-625</t>
  </si>
  <si>
    <t>396-405</t>
  </si>
  <si>
    <t>Мурманская область</t>
  </si>
  <si>
    <t>RU51</t>
  </si>
  <si>
    <t>TARIFF_CALC_METHOD</t>
  </si>
  <si>
    <t>626-675</t>
  </si>
  <si>
    <t>406-415</t>
  </si>
  <si>
    <t>Ненецкий автономный округ</t>
  </si>
  <si>
    <t>RU83</t>
  </si>
  <si>
    <t>676-725</t>
  </si>
  <si>
    <t>416-425</t>
  </si>
  <si>
    <t>Нижегородская область</t>
  </si>
  <si>
    <t>RU52</t>
  </si>
  <si>
    <t>726-775</t>
  </si>
  <si>
    <t>426-435</t>
  </si>
  <si>
    <t>Новгородская область</t>
  </si>
  <si>
    <t>RU53</t>
  </si>
  <si>
    <t>776-825</t>
  </si>
  <si>
    <t>436-445</t>
  </si>
  <si>
    <t>Новосибирская область</t>
  </si>
  <si>
    <t>RU54</t>
  </si>
  <si>
    <t>826-875</t>
  </si>
  <si>
    <t>446-455</t>
  </si>
  <si>
    <t>Омская область</t>
  </si>
  <si>
    <t>RU55</t>
  </si>
  <si>
    <t>876-925</t>
  </si>
  <si>
    <t>456-465</t>
  </si>
  <si>
    <t>Оренбургская область</t>
  </si>
  <si>
    <t>RU56</t>
  </si>
  <si>
    <t>926-975</t>
  </si>
  <si>
    <t>466-475</t>
  </si>
  <si>
    <t>Орловская область</t>
  </si>
  <si>
    <t>RU57</t>
  </si>
  <si>
    <t>DOCUMENT_TYPES</t>
  </si>
  <si>
    <t>976-1050</t>
  </si>
  <si>
    <t>476-485</t>
  </si>
  <si>
    <t>Пензенская область</t>
  </si>
  <si>
    <t>RU58</t>
  </si>
  <si>
    <t>1051-1150</t>
  </si>
  <si>
    <t>486-495</t>
  </si>
  <si>
    <t>Пермский край</t>
  </si>
  <si>
    <t>RU59</t>
  </si>
  <si>
    <t>1151-1250</t>
  </si>
  <si>
    <t>496-505</t>
  </si>
  <si>
    <t>Приморский край</t>
  </si>
  <si>
    <t>RU25</t>
  </si>
  <si>
    <t>1251-1350</t>
  </si>
  <si>
    <t>506-515</t>
  </si>
  <si>
    <t>Псковская область</t>
  </si>
  <si>
    <t>RU60</t>
  </si>
  <si>
    <t>1351-1450</t>
  </si>
  <si>
    <t>516-525</t>
  </si>
  <si>
    <t>Республика Адыгея</t>
  </si>
  <si>
    <t>RU01</t>
  </si>
  <si>
    <t>1451-1550</t>
  </si>
  <si>
    <t>526-535</t>
  </si>
  <si>
    <t>Республика Алтай</t>
  </si>
  <si>
    <t>RU04</t>
  </si>
  <si>
    <t>1551-1650</t>
  </si>
  <si>
    <t>536-545</t>
  </si>
  <si>
    <t>Республика Башкортостан</t>
  </si>
  <si>
    <t>RU02</t>
  </si>
  <si>
    <t>протокол</t>
  </si>
  <si>
    <t>1651-1750</t>
  </si>
  <si>
    <t>546-555</t>
  </si>
  <si>
    <t>Республика Бурятия</t>
  </si>
  <si>
    <t>RU03</t>
  </si>
  <si>
    <t>1751-1850</t>
  </si>
  <si>
    <t>556-565</t>
  </si>
  <si>
    <t>Республика Дагестан</t>
  </si>
  <si>
    <t>RU05</t>
  </si>
  <si>
    <t>1851-1950</t>
  </si>
  <si>
    <t>566-575</t>
  </si>
  <si>
    <t>Республика Ингушетия</t>
  </si>
  <si>
    <t>RU06</t>
  </si>
  <si>
    <t>1951-2050</t>
  </si>
  <si>
    <t>576-585</t>
  </si>
  <si>
    <t>Республика Калмыкия</t>
  </si>
  <si>
    <t>RU08</t>
  </si>
  <si>
    <t>586-595</t>
  </si>
  <si>
    <t>Республика Карелия</t>
  </si>
  <si>
    <t>RU10</t>
  </si>
  <si>
    <t>596-605</t>
  </si>
  <si>
    <t>Республика Коми</t>
  </si>
  <si>
    <t>RU11</t>
  </si>
  <si>
    <t>606-615</t>
  </si>
  <si>
    <t>Республика Крым</t>
  </si>
  <si>
    <t>RU82</t>
  </si>
  <si>
    <t>Крым</t>
  </si>
  <si>
    <t>616-625</t>
  </si>
  <si>
    <t>Республика Марий Эл</t>
  </si>
  <si>
    <t>RU12</t>
  </si>
  <si>
    <t>626-635</t>
  </si>
  <si>
    <t>Республика Мордовия</t>
  </si>
  <si>
    <t>RU13</t>
  </si>
  <si>
    <t>636-645</t>
  </si>
  <si>
    <t>Республика Саха (Якутия)</t>
  </si>
  <si>
    <t>RU14</t>
  </si>
  <si>
    <t>646-655</t>
  </si>
  <si>
    <t>Республика Северная Осетия-Алания</t>
  </si>
  <si>
    <t>RU15</t>
  </si>
  <si>
    <t>Республика Северная Осетия (Алания)</t>
  </si>
  <si>
    <t>656-665</t>
  </si>
  <si>
    <t>Республика Татарстан</t>
  </si>
  <si>
    <t>RU16</t>
  </si>
  <si>
    <t>666-675</t>
  </si>
  <si>
    <t>Республика Тыва</t>
  </si>
  <si>
    <t>RU17</t>
  </si>
  <si>
    <t>Республика Тыва (Тува)</t>
  </si>
  <si>
    <t>676-685</t>
  </si>
  <si>
    <t>Республика Хакасия</t>
  </si>
  <si>
    <t>RU19</t>
  </si>
  <si>
    <t>686-695</t>
  </si>
  <si>
    <t>Ростовская область</t>
  </si>
  <si>
    <t>RU61</t>
  </si>
  <si>
    <t>696-705</t>
  </si>
  <si>
    <t>Рязанская область</t>
  </si>
  <si>
    <t>RU62</t>
  </si>
  <si>
    <t>706-715</t>
  </si>
  <si>
    <t>Самарская область</t>
  </si>
  <si>
    <t>RU63</t>
  </si>
  <si>
    <t>716-725</t>
  </si>
  <si>
    <t>Саратовская область</t>
  </si>
  <si>
    <t>RU64</t>
  </si>
  <si>
    <t>726-735</t>
  </si>
  <si>
    <t>Сахалинская область</t>
  </si>
  <si>
    <t>RU65</t>
  </si>
  <si>
    <t>736-745</t>
  </si>
  <si>
    <t>Свердловская область</t>
  </si>
  <si>
    <t>RU66</t>
  </si>
  <si>
    <t>746-755</t>
  </si>
  <si>
    <t>Смоленская область</t>
  </si>
  <si>
    <t>RU67</t>
  </si>
  <si>
    <t>756-765</t>
  </si>
  <si>
    <t>Ставропольский край</t>
  </si>
  <si>
    <t>RU26</t>
  </si>
  <si>
    <t>766-775</t>
  </si>
  <si>
    <t>Тамбовская область</t>
  </si>
  <si>
    <t>RU68</t>
  </si>
  <si>
    <t>776-785</t>
  </si>
  <si>
    <t>Тверская область</t>
  </si>
  <si>
    <t>RU69</t>
  </si>
  <si>
    <t>786-795</t>
  </si>
  <si>
    <t>Томская область</t>
  </si>
  <si>
    <t>RU70</t>
  </si>
  <si>
    <t>796-825</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</si>
  <si>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</si>
  <si>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</si>
  <si>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</si>
  <si>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</si>
  <si>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</si>
  <si>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</si>
  <si>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</si>
  <si>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</si>
  <si>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</si>
  <si>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976-1025</t>
  </si>
  <si>
    <t>Хабаровский край</t>
  </si>
  <si>
    <t>RU27</t>
  </si>
  <si>
    <t>1026-1075</t>
  </si>
  <si>
    <t>Ханты-Мансийский автономный округ</t>
  </si>
  <si>
    <t>RU86</t>
  </si>
  <si>
    <t>1076-1125</t>
  </si>
  <si>
    <t>Херсонская область</t>
  </si>
  <si>
    <t>RU84</t>
  </si>
  <si>
    <t>1126-1175</t>
  </si>
  <si>
    <t>Челябинская область</t>
  </si>
  <si>
    <t>RU74</t>
  </si>
  <si>
    <t>1176-1225</t>
  </si>
  <si>
    <t>Чеченская республика</t>
  </si>
  <si>
    <t>RU20</t>
  </si>
  <si>
    <t>Республика Чечня</t>
  </si>
  <si>
    <t>1226-1275</t>
  </si>
  <si>
    <t>Чувашская республика</t>
  </si>
  <si>
    <t>RU21</t>
  </si>
  <si>
    <t>Республика Чувашия</t>
  </si>
  <si>
    <t>1276-1325</t>
  </si>
  <si>
    <t>Чукотский автономный округ</t>
  </si>
  <si>
    <t>RU87</t>
  </si>
  <si>
    <t>1326-1375</t>
  </si>
  <si>
    <t>Ямало-Ненецкий автономный округ</t>
  </si>
  <si>
    <t>RU89</t>
  </si>
  <si>
    <t>1376-1425</t>
  </si>
  <si>
    <t>Ярославская область</t>
  </si>
  <si>
    <t>RU76</t>
  </si>
  <si>
    <t>1426-1475</t>
  </si>
  <si>
    <t>1476-1525</t>
  </si>
  <si>
    <t>1526-1575</t>
  </si>
  <si>
    <t>1576-1625</t>
  </si>
  <si>
    <t>УПРАВЛЕНИЕ АЛТАЙСКОГО КРАЯ ПО ГОСУДАРСТВЕННОМУ РЕГУЛИРОВАНИЮ ЦЕН И ТАРИФОВ</t>
  </si>
  <si>
    <t>1626-1675</t>
  </si>
  <si>
    <t>УПРАВЛЕНИЕ ГОСУДАРСТВЕННОГО РЕГУЛИРОВАНИЯ ЦЕН И ТАРИФОВ АМУРСКОЙ ОБЛАСТИ</t>
  </si>
  <si>
    <t>1676-1725</t>
  </si>
  <si>
    <t>АГЕНТСТВО ПО ТАРИФАМ И ЦЕНАМ АРХАНГЕЛЬСКОЙ ОБЛАСТИ</t>
  </si>
  <si>
    <t>1726-1775</t>
  </si>
  <si>
    <t>МИНИСТЕРСТВО СТРОИТЕЛЬСТВА И ЖИЛИЩНО-КОММУНАЛЬНОГО ХОЗЯЙСТВА АСТРАХАНСКОЙ ОБЛАСТИ</t>
  </si>
  <si>
    <t>1776-1825</t>
  </si>
  <si>
    <t>МИНИСТЕРСТВО ЖИЛИЩНО-КОММУНАЛЬНОГО ХОЗЯЙСТВА БЕЛГОРОДСКОЙ ОБЛАСТИ</t>
  </si>
  <si>
    <t>1826-1875</t>
  </si>
  <si>
    <t>УПРАВЛЕНИЕ ГОСУДАРСТВЕННОГО РЕГУЛИРОВАНИЯ ТАРИФОВ БРЯНСКОЙ ОБЛАСТИ</t>
  </si>
  <si>
    <t>1876-1925</t>
  </si>
  <si>
    <t>МИНИСТЕРСТВО ГОСУДАРСТВЕННОГО РЕГУЛИРОВАНИЯ ЦЕН И ТАРИФОВ ВЛАДИМИРСКОЙ ОБЛАСТИ</t>
  </si>
  <si>
    <t>1926-1975</t>
  </si>
  <si>
    <t>КОМИТЕТ ТАРИФНОГО РЕГУЛИРОВАНИЯ ВОЛГОГРАДСКОЙ ОБЛАСТИ</t>
  </si>
  <si>
    <t>1976-2025</t>
  </si>
  <si>
    <t>ДЕПАРТАМЕНТ ТОПЛИВНО-ЭНЕРГЕТИЧЕСКОГО КОМПЛЕКСА И ТАРИФНОГО РЕГУЛИРОВАНИЯ ВОЛОГОДСКОЙ ОБЛАСТИ</t>
  </si>
  <si>
    <t>2026-2075</t>
  </si>
  <si>
    <t>ДЕПАРТАМЕНТ ГОСУДАРСТВЕННОГО РЕГУЛИРОВАНИЯ ТАРИФОВ ВОРОНЕЖСКОЙ ОБЛАСТИ</t>
  </si>
  <si>
    <t>2076-2125</t>
  </si>
  <si>
    <t>ДЕПАРТАМЕНТ ЭКОНОМИЧЕСКОЙ ПОЛИТИКИ И РАЗВИТИЯ ГОРОДА МОСКВЫ</t>
  </si>
  <si>
    <t>2126-2175</t>
  </si>
  <si>
    <t>г. Байконур</t>
  </si>
  <si>
    <t>УПРАВЛЕНИЕ ЭКОНОМИЧЕСКОГО РАЗВИТИЯ АДМИНИСТРАЦИИ ГОРОДА БАЙКОНУР</t>
  </si>
  <si>
    <t>2176-2225</t>
  </si>
  <si>
    <t>г. Санкт-Петербург</t>
  </si>
  <si>
    <t>КОМИТЕТ ПО ТАРИФАМ САНКТ-ПЕТЕРБУРГА</t>
  </si>
  <si>
    <t>2226-2275</t>
  </si>
  <si>
    <t>г. Севастополь</t>
  </si>
  <si>
    <t>ДЕПАРТАМЕНТ ГОРОДСКОГО ХОЗЯЙСТВА ГОРОДА СЕВАСТОПОЛЯ</t>
  </si>
  <si>
    <t>2276-2325</t>
  </si>
  <si>
    <t>РЕСПУБЛИКАНСКАЯ СЛУЖБА ПО ТАРИФАМ ДОНЕЦКОЙ НАРОДНОЙ РЕСПУБЛИКИ</t>
  </si>
  <si>
    <t>2326-2375</t>
  </si>
  <si>
    <t>ДЕПАРТАМЕНТ ТАРИФОВ И ЦЕН ПРАВИТЕЛЬСТВА ЕВРЕЙСКОЙ АВТОНОМНОЙ ОБЛАСТИ</t>
  </si>
  <si>
    <t>2376-2425</t>
  </si>
  <si>
    <t>РЕГИОНАЛЬНАЯ СЛУЖБА ПО ТАРИФАМ И ЦЕНООБРАЗОВАНИЮ ЗАБАЙКАЛЬСКОГО КРАЯ</t>
  </si>
  <si>
    <t>2426-2475</t>
  </si>
  <si>
    <t>МИНИСТЕРСТВО ПО ТАРИФАМ И ЦЕНОВОМУ РЕГУЛИРОВАНИЮ ВОЕННО-ГРАЖДАНСКОЙ АДМИНИСТРАЦИИ ЗАПОРОЖСКОЙ ОБЛАСТИ</t>
  </si>
  <si>
    <t>2476-2525</t>
  </si>
  <si>
    <t>ДЕПАРТАМЕНТ ЭНЕРГЕТИКИ И ТАРИФОВ ИВАНОВСКОЙ ОБЛАСТИ</t>
  </si>
  <si>
    <t>2526-2575</t>
  </si>
  <si>
    <t>СЛУЖБА ПО ТАРИФАМ ИРКУТСКОЙ ОБЛАСТИ</t>
  </si>
  <si>
    <t>2576-2625</t>
  </si>
  <si>
    <t>ГОСУДАРСТВЕННЫЙ КОМИТЕТ КАБАРДИНО-БАЛКАРСКОЙ РЕСПУБЛИКИ ПО ТАРИФАМ И ЖИЛИЩНОМУ НАДЗОРУ</t>
  </si>
  <si>
    <t>2626-2675</t>
  </si>
  <si>
    <t>СЛУЖБА ПО ГОСУДАРСТВЕННОМУ РЕГУЛИРОВАНИЮ ЦЕН И ТАРИФОВ КАЛИНИНГРАДСКОЙ ОБЛАСТИ</t>
  </si>
  <si>
    <t>2676-2725</t>
  </si>
  <si>
    <t>МИНИСТЕРСТВО КОНКУРЕНТНОЙ ПОЛИТИКИ КАЛУЖСКОЙ ОБЛАСТИ</t>
  </si>
  <si>
    <t>2726-2775</t>
  </si>
  <si>
    <t>РЕГИОНАЛЬНАЯ СЛУЖБА ПО ТАРИФАМ И ЦЕНАМ КАМЧАТСКОГО КРАЯ</t>
  </si>
  <si>
    <t>2776-2825</t>
  </si>
  <si>
    <t>ГЛАВНОЕ УПРАВЛЕНИЕ КАРАЧАЕВО-ЧЕРКЕССКОЙ РЕСПУБЛИКИ ПО ТАРИФАМ И ЦЕНАМ</t>
  </si>
  <si>
    <t>2826-2875</t>
  </si>
  <si>
    <t>2876-2925</t>
  </si>
  <si>
    <t>РЕГИОНАЛЬНАЯ СЛУЖБА ПО ТАРИФАМ КИРОВСКОЙ ОБЛАСТИ</t>
  </si>
  <si>
    <t>2926-2975</t>
  </si>
  <si>
    <t>ДЕПАРТАМЕНТ ГОСУДАРСТВЕННОГО РЕГУЛИРОВАНИЯ ЦЕН И ТАРИФОВ КОСТРОМСКОЙ ОБЛАСТИ</t>
  </si>
  <si>
    <t>2976-3050</t>
  </si>
  <si>
    <t>ДЕПАРТАМЕНТ ГОСУДАРСТВЕННОГО РЕГУЛИРОВАНИЯ ТАРИФОВ КРАСНОДАРСКОГО КРАЯ</t>
  </si>
  <si>
    <t>3051-3150</t>
  </si>
  <si>
    <t>МИНИСТЕРСТВО ТАРИФНОЙ ПОЛИТИКИ КРАСНОЯРСКОГО КРАЯ</t>
  </si>
  <si>
    <t>3151-3250</t>
  </si>
  <si>
    <t>ДЕПАРТАМЕНТ ГОСУДАРСТВЕННОГО РЕГУЛИРОВАНИЯ ЦЕН И ТАРИФОВ КУРГАНСКОЙ ОБЛАСТИ</t>
  </si>
  <si>
    <t>3251-3350</t>
  </si>
  <si>
    <t>КОМИТЕТ ПО ТАРИФАМ И ЦЕНАМ КУРСКОЙ ОБЛАСТИ</t>
  </si>
  <si>
    <t>3351-3450</t>
  </si>
  <si>
    <t>КОМИТЕТ ПО ТАРИФАМ И ЦЕНОВОЙ ПОЛИТИКЕ ЛЕНИНГРАДСКОЙ ОБЛАСТИ</t>
  </si>
  <si>
    <t>3451-3550</t>
  </si>
  <si>
    <t>УПРАВЛЕНИЕ ЭНЕРГЕТИКИ И ТАРИФОВ ЛИПЕЦКОЙ ОБЛАСТИ</t>
  </si>
  <si>
    <t>3551-3650</t>
  </si>
  <si>
    <t>КОМИТЕТ ТАРИФНОГО И ЦЕНОВОГО РЕГУЛИРОВАНИЯ ЛУГАНСКОЙ НАРОДНОЙ РЕСПУБЛИКИ</t>
  </si>
  <si>
    <t>3651-3750</t>
  </si>
  <si>
    <t>ДЕПАРТАМЕНТ ЦЕН И ТАРИФОВ МАГАДАНСКОЙ ОБЛАСТИ</t>
  </si>
  <si>
    <t>3751-3850</t>
  </si>
  <si>
    <t>КОМИТЕТ ПО ЦЕНАМ И ТАРИФАМ МОСКОВСКОЙ ОБЛАСТИ</t>
  </si>
  <si>
    <t>3851-3950</t>
  </si>
  <si>
    <t>КОМИТЕТ ПО ТАРИФНОМУ РЕГУЛИРОВАНИЮ МУРМАНСКОЙ ОБЛАСТИ</t>
  </si>
  <si>
    <t>3951-4050</t>
  </si>
  <si>
    <t>УПРАВЛЕНИЕ ПО ГОСУДАРСТВЕННОМУ РЕГУЛИРОВАНИЮ ЦЕН (ТАРИФОВ) НЕНЕЦКОГО АВТОНОМНОГО ОКРУГА</t>
  </si>
  <si>
    <t>4051-4150</t>
  </si>
  <si>
    <t>РЕГИОНАЛЬНАЯ СЛУЖБА ПО ТАРИФАМ НИЖЕГОРОДСКОЙ ОБЛАСТИ</t>
  </si>
  <si>
    <t>4151-4250</t>
  </si>
  <si>
    <t>КОМИТЕТ ПО ТАРИФНОЙ ПОЛИТИКЕ НОВГОРОДСКОЙ ОБЛАСТИ</t>
  </si>
  <si>
    <t>4251-4350</t>
  </si>
  <si>
    <t>ДЕПАРТАМЕНТ ПО ТАРИФАМ НОВОСИБИРСКОЙ ОБЛАСТИ</t>
  </si>
  <si>
    <t>4351-4450</t>
  </si>
  <si>
    <t>РЕГИОНАЛЬНАЯ ЭНЕРГЕТИЧЕСКАЯ КОМИССИЯ ОМСКОЙ ОБЛАСТИ</t>
  </si>
  <si>
    <t>4451-4550</t>
  </si>
  <si>
    <t>ДЕПАРТАМЕНТ ОРЕНБУРГСКОЙ ОБЛАСТИ ПО ЦЕНАМ И РЕГУЛИРОВАНИЮ ТАРИФОВ</t>
  </si>
  <si>
    <t>4551-4650</t>
  </si>
  <si>
    <t>УПРАВЛЕНИЕ ПО ТАРИФАМ И ЦЕНОВОЙ ПОЛИТИКЕ ОРЛОВСКОЙ ОБЛАСТИ</t>
  </si>
  <si>
    <t>4651-4750</t>
  </si>
  <si>
    <t>УПРАВЛЕНИЕ ПО РЕГУЛИРОВАНИЮ ТАРИФОВ, РАЗВИТИЮ ИНФРАСТРУКТУРЫ И ЭНЕРГОСБЕРЕЖЕНИЮ ПЕНЗЕНСКОЙ ОБЛАСТИ</t>
  </si>
  <si>
    <t>4751-4850</t>
  </si>
  <si>
    <t>МИНИСТЕРСТВО ТАРИФНОГО РЕГУЛИРОВАНИЯ И ЭНЕРГЕТИКИ ПЕРМСКОГО КРАЯ</t>
  </si>
  <si>
    <t>4851-4950</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</si>
  <si>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</si>
  <si>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</si>
  <si>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</si>
  <si>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</si>
  <si>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</si>
  <si>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</si>
  <si>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</si>
  <si>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МИНИСТЕРСТВО ПРОМЫШЛЕННОСТИ И ЦИФРОВОГО РАЗВИТИЯ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</si>
  <si>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</si>
  <si>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</si>
  <si>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</si>
  <si>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</si>
  <si>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</si>
  <si>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ГОСУДАРСТВЕННЫЙ КОМИТЕТ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</si>
  <si>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</si>
  <si>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</si>
  <si>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</si>
  <si>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</si>
  <si>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</si>
  <si>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</si>
  <si>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</si>
  <si>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</si>
  <si>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</si>
  <si>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КОМИССИЯ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</si>
  <si>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</si>
  <si>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</si>
  <si>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</si>
  <si>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ДЕПАРТАМЕНТ ЦЕН И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</si>
  <si>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</si>
  <si>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</si>
  <si>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</si>
  <si>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</si>
  <si>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</si>
  <si>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</si>
  <si>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</si>
  <si>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</si>
  <si>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СЛУЖБА ЦЕН И ТАРИФОВ ХЕРСОНСКОЙ ОБЛАСТИ</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</si>
  <si>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</si>
  <si>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</si>
  <si>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</si>
  <si>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</si>
  <si>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t>
  </si>
  <si>
    <t>МИНИСТЕРСТВО ТАРИФНОГО РЕГУЛИРОВАНИЯ ЯРОСЛАВСКОЙ ОБЛАСТИ</t>
  </si>
  <si>
    <t>name</t>
  </si>
  <si>
    <t>"Бачатский угольный разрез" - филиал АО "УК "Кузбассразрезуголь"</t>
  </si>
  <si>
    <t>Кемеровская ГРЭС</t>
  </si>
  <si>
    <t>Кемеровская ТЭЦ</t>
  </si>
  <si>
    <t>"Талдинский угольный разрез" - филиал АО "УК "Кузбассразрезуголь"</t>
  </si>
  <si>
    <t>агар питательный</t>
  </si>
  <si>
    <t>агар Эндо</t>
  </si>
  <si>
    <t>алюминий окись</t>
  </si>
  <si>
    <t>алюминий сернокислый</t>
  </si>
  <si>
    <t>аммиак</t>
  </si>
  <si>
    <t>аммиачная вода</t>
  </si>
  <si>
    <t>аммоний</t>
  </si>
  <si>
    <t>аммоний хлористый</t>
  </si>
  <si>
    <t>барий хлористый</t>
  </si>
  <si>
    <t>биоксимин</t>
  </si>
  <si>
    <t>бромфеноловый синий</t>
  </si>
  <si>
    <t>водорода перекись</t>
  </si>
  <si>
    <t>гексан</t>
  </si>
  <si>
    <t>гидроксиламин солянокислый</t>
  </si>
  <si>
    <t>гидрохлорид кальция</t>
  </si>
  <si>
    <t>гипохлорит кальция</t>
  </si>
  <si>
    <t>глицерин</t>
  </si>
  <si>
    <t>дифенилкарбазид</t>
  </si>
  <si>
    <t>дифенилкарбазон</t>
  </si>
  <si>
    <t>железо сернокислое</t>
  </si>
  <si>
    <t>железо трёххлористое</t>
  </si>
  <si>
    <t>известь негашёная (порошок)</t>
  </si>
  <si>
    <t>известь негашёная гидратная</t>
  </si>
  <si>
    <t>известь хлорная</t>
  </si>
  <si>
    <t>калий азотнокислый</t>
  </si>
  <si>
    <t>калий двухромовокислый</t>
  </si>
  <si>
    <t>калий йодистый</t>
  </si>
  <si>
    <t>калий марганцевокислый</t>
  </si>
  <si>
    <t>калий фосфорнокислый</t>
  </si>
  <si>
    <t>калий хлористый</t>
  </si>
  <si>
    <t>калий-натрий виннокислый</t>
  </si>
  <si>
    <t>кальций углекислый</t>
  </si>
  <si>
    <t>кальций хлористый</t>
  </si>
  <si>
    <t>кальция гипохлорит</t>
  </si>
  <si>
    <t>кварцевый песок</t>
  </si>
  <si>
    <t>кислота азотная</t>
  </si>
  <si>
    <t>кислота аскорбиновая</t>
  </si>
  <si>
    <t>кислота лимонная</t>
  </si>
  <si>
    <t>кислота розоловая (аурин)</t>
  </si>
  <si>
    <t>кислота серная</t>
  </si>
  <si>
    <t>кислота соляная</t>
  </si>
  <si>
    <t>кислота уксусная</t>
  </si>
  <si>
    <t>кислота щавелевая</t>
  </si>
  <si>
    <t>крахмал</t>
  </si>
  <si>
    <t>лантан азотнокислый</t>
  </si>
  <si>
    <t>магний сернокислый</t>
  </si>
  <si>
    <t>модифицированные аминофосфоновые кислоты и фосфонаты (FLOSPERSE)</t>
  </si>
  <si>
    <t>натр едкий</t>
  </si>
  <si>
    <t>натрий гидроокись</t>
  </si>
  <si>
    <t>натрий салициловокислый</t>
  </si>
  <si>
    <t>натрий сернокислый</t>
  </si>
  <si>
    <t>натрий углекислый</t>
  </si>
  <si>
    <t>натрий уксуснокислый</t>
  </si>
  <si>
    <t>натрий хлористый</t>
  </si>
  <si>
    <t>пеногаситель (FLOFOAM)</t>
  </si>
  <si>
    <t>реактив Грисса</t>
  </si>
  <si>
    <t>реактив Несслера</t>
  </si>
  <si>
    <t>свинец уксуснокислый</t>
  </si>
  <si>
    <t>серебро азотнокислое</t>
  </si>
  <si>
    <t>серебро сернокислое</t>
  </si>
  <si>
    <t>сода каустическая</t>
  </si>
  <si>
    <t>соль 1 сорт</t>
  </si>
  <si>
    <t>соль пищевая поваренная</t>
  </si>
  <si>
    <t>соль таблетированная</t>
  </si>
  <si>
    <t>соль техническая</t>
  </si>
  <si>
    <t>соль экстра</t>
  </si>
  <si>
    <t>спирт</t>
  </si>
  <si>
    <t>сульфат алюминия 1 сорт</t>
  </si>
  <si>
    <t>сульфат алюминия жидкий</t>
  </si>
  <si>
    <t>сульфат алюминия технический</t>
  </si>
  <si>
    <t>сульфат аммония</t>
  </si>
  <si>
    <t>тиомочевина</t>
  </si>
  <si>
    <t>тиосульфат натрия</t>
  </si>
  <si>
    <t>углерод порошкообразный</t>
  </si>
  <si>
    <t>углерод четырёххлористый</t>
  </si>
  <si>
    <t>фенолфталеин</t>
  </si>
  <si>
    <t>хлор</t>
  </si>
  <si>
    <t>хлорамин</t>
  </si>
  <si>
    <t>хлороформ</t>
  </si>
  <si>
    <t>этиленгликоль</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</si>
</sst>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0.000%"/>
    <numFmt numFmtId="174" formatCode="0.0"/>
    <numFmt numFmtId="175" formatCode="dd\.mm\.yyyy"/>
    <numFmt numFmtId="176" formatCode="#,##0.0000"/>
  </numFmts>
  <fonts count="87">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10"/>
      <color auto="1"/>
      <name val="Arial Cyr"/>
    </font>
    <font>
      <sz val="9"/>
      <color theme="1"/>
      <name val="Tahoma"/>
    </font>
    <font>
      <sz val="14"/>
      <color rgb="FFBCBCBC"/>
      <name val="Calibri"/>
    </font>
    <font>
      <sz val="11"/>
      <color auto="1"/>
      <name val="Calibri"/>
    </font>
    <font>
      <sz val="11"/>
      <color rgb="FF000000"/>
      <name val="Calibri"/>
    </font>
    <font>
      <b/>
      <sz val="9"/>
      <color auto="1"/>
      <name val="Tahoma"/>
    </font>
    <font>
      <sz val="8"/>
      <color auto="1"/>
      <name val="Tahoma"/>
    </font>
    <font>
      <sz val="9"/>
      <color rgb="FFFFFFFF"/>
      <name val="Tahoma"/>
    </font>
    <font>
      <b/>
      <sz val="10"/>
      <color auto="1"/>
      <name val="Tahoma"/>
    </font>
    <font>
      <b/>
      <sz val="8"/>
      <color auto="1"/>
      <name val="Tahoma"/>
    </font>
    <font>
      <sz val="8"/>
      <color rgb="FF0070C0"/>
      <name val="Tahoma"/>
    </font>
    <font>
      <sz val="10"/>
      <color auto="1"/>
      <name val="Tahoma"/>
    </font>
    <font>
      <sz val="9"/>
      <color rgb="FFFF0000"/>
      <name val="Tahoma"/>
    </font>
    <font>
      <sz val="9"/>
      <color rgb="FF0070C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11"/>
      <color rgb="FFBCBCBC"/>
      <name val="Wingdings 2"/>
    </font>
    <font>
      <sz val="9"/>
      <color theme="0"/>
      <name val="Tahoma"/>
    </font>
    <font>
      <b/>
      <sz val="9"/>
      <color rgb="FF333399"/>
      <name val="Tahoma"/>
    </font>
    <font>
      <b/>
      <sz val="9"/>
      <color theme="1"/>
      <name val="Calibri"/>
      <scheme val="minor"/>
    </font>
    <font>
      <b/>
      <sz val="9"/>
      <color theme="1"/>
      <name val="Tahoma"/>
    </font>
    <font>
      <sz val="9"/>
      <color rgb="FF000080"/>
      <name val="Tahoma"/>
    </font>
    <font>
      <sz val="9"/>
      <color theme="0" tint="-0.15"/>
      <name val="Tahoma"/>
    </font>
    <font>
      <b/>
      <sz val="9"/>
      <color theme="0"/>
      <name val="Tahoma"/>
    </font>
    <font>
      <u/>
      <sz val="10"/>
      <color rgb="FF000080"/>
      <name val="Tahoma"/>
    </font>
    <font>
      <sz val="12"/>
      <color theme="1"/>
      <name val="Tahoma"/>
    </font>
    <font>
      <sz val="16"/>
      <color auto="1"/>
      <name val="Tahoma"/>
    </font>
    <font>
      <b/>
      <sz val="16"/>
      <color auto="1"/>
      <name val="Tahoma"/>
    </font>
    <font>
      <sz val="8"/>
      <color rgb="FF000000"/>
      <name val="Tahoma"/>
    </font>
    <font>
      <u/>
      <sz val="9"/>
      <color rgb="FF000080"/>
      <name val="Tahoma"/>
    </font>
    <font>
      <sz val="14"/>
      <color rgb="FFBCBCBC"/>
      <name val="Calibri"/>
      <scheme val="minor"/>
    </font>
    <font>
      <b/>
      <u/>
      <sz val="11"/>
      <color rgb="FF0000FF"/>
      <name val="Tahoma"/>
    </font>
    <font>
      <sz val="11"/>
      <color rgb="FFFFFFFF"/>
      <name val="Tahoma"/>
    </font>
    <font>
      <b/>
      <sz val="8"/>
      <color rgb="FF000000"/>
      <name val="Tahoma"/>
    </font>
    <font>
      <sz val="11"/>
      <color rgb="FF000000"/>
      <name val="Tahoma"/>
    </font>
    <font>
      <sz val="10"/>
      <color rgb="FF000000"/>
      <name val="Arial Cyr"/>
    </font>
    <font>
      <sz val="10"/>
      <color rgb="FF000000"/>
      <name val="Tahoma"/>
    </font>
    <font>
      <sz val="11"/>
      <color theme="1"/>
      <name val="Tahoma"/>
    </font>
    <font>
      <sz val="11"/>
      <color rgb="FFBCBCBC"/>
      <name val="Tahoma"/>
    </font>
    <font>
      <u/>
      <sz val="9"/>
      <color auto="1"/>
      <name val="Tahoma"/>
    </font>
    <font>
      <sz val="20"/>
      <color auto="1"/>
      <name val="Tahoma"/>
    </font>
    <font>
      <sz val="12"/>
      <color auto="1"/>
      <name val="Tahoma"/>
    </font>
    <font>
      <sz val="18"/>
      <color auto="1"/>
      <name val="Tahoma"/>
    </font>
    <font>
      <b/>
      <sz val="9"/>
      <color rgb="FFFF0000"/>
      <name val="Tahoma"/>
    </font>
    <font>
      <sz val="8"/>
      <color rgb="FFFF0000"/>
      <name val="Tahoma"/>
    </font>
    <font>
      <sz val="14"/>
      <color theme="0" tint="-0.15"/>
      <name val="Calibri"/>
      <scheme val="minor"/>
    </font>
    <font>
      <sz val="16"/>
      <color theme="0"/>
      <name val="Tahoma"/>
    </font>
    <font>
      <sz val="8"/>
      <color theme="0"/>
      <name val="Tahoma"/>
    </font>
    <font>
      <sz val="11"/>
      <color auto="1"/>
      <name val="Calibri"/>
      <scheme val="minor"/>
    </font>
    <font>
      <sz val="9"/>
      <color rgb="FFCC0000"/>
      <name val="Tahoma"/>
    </font>
    <font>
      <b/>
      <u/>
      <sz val="9"/>
      <color rgb="FFFFFFFF"/>
      <name val="Tahoma"/>
    </font>
    <font>
      <b/>
      <sz val="9"/>
      <color rgb="FFBCBCBC"/>
      <name val="Tahoma"/>
    </font>
    <font>
      <b/>
      <sz val="10"/>
      <color rgb="FF000000"/>
      <name val="Tahoma"/>
    </font>
    <font>
      <u/>
      <sz val="20"/>
      <color rgb="FF000000"/>
      <name val="Tahoma"/>
    </font>
    <font>
      <u/>
      <sz val="20"/>
      <color rgb="FF003366"/>
      <name val="Tahoma"/>
    </font>
    <font>
      <sz val="11"/>
      <color rgb="FF000000"/>
      <name val="Marlett"/>
    </font>
    <font>
      <sz val="9"/>
      <color theme="1"/>
      <name val="Calibri"/>
      <scheme val="minor"/>
    </font>
    <font>
      <sz val="9"/>
      <color auto="1"/>
      <name val="Calibri"/>
      <scheme val="minor"/>
    </font>
    <font>
      <sz val="11"/>
      <color auto="1"/>
      <name val="Tahoma"/>
    </font>
    <font>
      <sz val="14"/>
      <color rgb="FFC0C0C0"/>
      <name val="Calibri"/>
      <scheme val="minor"/>
    </font>
    <font>
      <u/>
      <sz val="10"/>
      <color rgb="FF0000FF"/>
      <name val="Tahoma"/>
    </font>
    <font>
      <u/>
      <sz val="9"/>
      <color theme="10"/>
      <name val="Tahoma"/>
    </font>
    <font>
      <b/>
      <sz val="11"/>
      <color rgb="FF000000"/>
      <name val="TT Commons"/>
      <scheme val="minor"/>
    </font>
    <font>
      <b/>
      <sz val="9"/>
      <color rgb="FFFFFFFF"/>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B7E4FF"/>
      </patternFill>
    </fill>
    <fill>
      <patternFill patternType="solid">
        <fgColor rgb="FFFFFFC0"/>
      </patternFill>
    </fill>
    <fill>
      <patternFill patternType="solid">
        <fgColor rgb="FFE3FAFD"/>
      </patternFill>
    </fill>
    <fill>
      <patternFill patternType="solid">
        <fgColor rgb="FFFFFFFF"/>
      </patternFill>
    </fill>
    <fill>
      <patternFill patternType="solid">
        <fgColor theme="0"/>
      </patternFill>
    </fill>
    <fill>
      <patternFill patternType="solid">
        <fgColor rgb="FFD7EAD3"/>
      </patternFill>
    </fill>
    <fill>
      <patternFill patternType="solid">
        <fgColor rgb="FF0066CC"/>
      </patternFill>
    </fill>
    <fill>
      <patternFill patternType="solid">
        <fgColor rgb="FFFFFF00"/>
      </patternFill>
    </fill>
    <fill>
      <patternFill patternType="solid">
        <fgColor rgb="FFFF8080"/>
      </patternFill>
    </fill>
    <fill>
      <patternFill patternType="solid">
        <fgColor rgb="FF808080"/>
      </patternFill>
    </fill>
    <fill>
      <patternFill patternType="lightDown">
        <fgColor rgb="FFBCBCBC"/>
      </patternFill>
    </fill>
    <fill>
      <patternFill patternType="solid">
        <fgColor theme="0" tint="-0.15"/>
      </patternFill>
    </fill>
    <fill>
      <patternFill patternType="solid">
        <fgColor theme="0" tint="-0.25"/>
      </patternFill>
    </fill>
    <fill>
      <patternFill patternType="solid">
        <fgColor rgb="FFCC0000"/>
      </patternFill>
    </fill>
    <fill>
      <patternFill patternType="solid">
        <fgColor rgb="FFD3DBDB"/>
      </patternFill>
    </fill>
    <fill>
      <patternFill patternType="solid">
        <fgColor rgb="FF0070C0"/>
      </patternFill>
    </fill>
    <fill>
      <patternFill patternType="solid">
        <fgColor rgb="FF00B0F0"/>
      </patternFill>
    </fill>
    <fill>
      <patternFill patternType="solid">
        <fgColor rgb="FFFF0000"/>
      </patternFill>
    </fill>
    <fill>
      <patternFill patternType="solid">
        <fgColor rgb="FFF0F075"/>
      </patternFill>
    </fill>
    <fill>
      <patternFill patternType="solid">
        <fgColor rgb="FFF79646"/>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EAEBEE"/>
      </patternFill>
    </fill>
    <fill>
      <patternFill patternType="lightDown">
        <fgColor rgb="FFC0C0C0"/>
      </patternFill>
    </fill>
  </fills>
  <borders count="9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theme="0" tint="-0.25"/>
      </left>
      <right style="thin">
        <color theme="0" tint="-0.25"/>
      </right>
      <top style="thin">
        <color theme="0" tint="-0.25"/>
      </top>
      <bottom style="thin">
        <color theme="0" tint="-0.25"/>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border>
    <border>
      <left style="thin">
        <color theme="0" tint="-0.15"/>
      </left>
      <right style="thin">
        <color theme="0" tint="-0.15"/>
      </right>
      <top style="thin">
        <color theme="0" tint="-0.15"/>
      </top>
      <bottom style="thin">
        <color theme="0" tint="-0.15"/>
      </bottom>
    </border>
    <border>
      <left/>
      <right style="thin">
        <color theme="0" tint="-0.25"/>
      </right>
      <top/>
      <bottom/>
    </border>
    <border>
      <left style="thin">
        <color rgb="FFBCBCBC"/>
      </left>
      <right style="thin">
        <color rgb="FFBCBCBC"/>
      </right>
      <top/>
      <bottom style="thin">
        <color rgb="FFBCBCBC"/>
      </bottom>
    </border>
    <border>
      <left style="thin">
        <color rgb="FFBCBCBC"/>
      </left>
      <right/>
      <top style="thin">
        <color rgb="FFBCBCBC"/>
      </top>
      <bottom style="thin">
        <color rgb="FFBCBCBC"/>
      </bottom>
    </border>
    <border>
      <left/>
      <right/>
      <top style="thin">
        <color rgb="FFBCBCBC"/>
      </top>
      <bottom style="thin">
        <color rgb="FFBCBCBC"/>
      </bottom>
    </border>
    <border>
      <left/>
      <right style="thin">
        <color rgb="FFBCBCBC"/>
      </right>
      <top style="thin">
        <color rgb="FFBCBCBC"/>
      </top>
      <bottom style="thin">
        <color rgb="FFBCBCBC"/>
      </bottom>
    </border>
    <border>
      <left style="thin">
        <color theme="0" tint="-0.35"/>
      </left>
      <right style="thin">
        <color theme="0" tint="-0.35"/>
      </right>
      <top/>
      <bottom style="thin">
        <color theme="0" tint="-0.35"/>
      </bottom>
    </border>
    <border>
      <left style="thin">
        <color theme="0" tint="-0.35"/>
      </left>
      <right/>
      <top/>
      <bottom style="thin">
        <color theme="0" tint="-0.35"/>
      </bottom>
    </border>
    <border>
      <left style="thin">
        <color theme="0" tint="-0.25"/>
      </left>
      <right style="thin">
        <color theme="0" tint="-0.25"/>
      </right>
      <top style="thin">
        <color theme="0" tint="-0.25"/>
      </top>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style="thin">
        <color theme="0" tint="-0.35"/>
      </left>
      <right style="thin">
        <color theme="0" tint="-0.35"/>
      </right>
      <top style="thin">
        <color theme="0" tint="-0.35"/>
      </top>
      <bottom style="thin">
        <color theme="0" tint="-0.35"/>
      </bottom>
    </border>
    <border>
      <left/>
      <right style="thin">
        <color theme="0" tint="-0.25"/>
      </right>
      <top style="thin">
        <color theme="0" tint="-0.25"/>
      </top>
      <bottom style="thin">
        <color theme="0" tint="-0.25"/>
      </bottom>
    </border>
    <border>
      <left/>
      <right/>
      <top style="thin">
        <color rgb="FFBCBCBC"/>
      </top>
      <bottom/>
    </border>
    <border>
      <left style="thin">
        <color rgb="FFBCBCBC"/>
      </left>
      <right style="thin">
        <color rgb="FFBCBCBC"/>
      </right>
      <top style="thin">
        <color rgb="FFBCBCBC"/>
      </top>
      <bottom/>
    </border>
    <border>
      <left/>
      <right style="thin">
        <color theme="0" tint="-0.35"/>
      </right>
      <top style="thin">
        <color theme="0" tint="-0.35"/>
      </top>
      <bottom style="thin">
        <color rgb="FFBCBCBC"/>
      </bottom>
    </border>
    <border>
      <left style="thin">
        <color theme="0" tint="-0.35"/>
      </left>
      <right style="thin">
        <color theme="0" tint="-0.25"/>
      </right>
      <top style="thin">
        <color theme="0" tint="-0.35"/>
      </top>
      <bottom style="thin">
        <color theme="0" tint="-0.35"/>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right/>
      <top style="thin">
        <color theme="0" tint="-0.35"/>
      </top>
      <bottom style="thin">
        <color theme="0" tint="-0.35"/>
      </bottom>
    </border>
    <border>
      <left style="thin">
        <color rgb="FFBCBCBC"/>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BCBCBC"/>
      </left>
      <right/>
      <top/>
      <bottom/>
    </border>
    <border>
      <left style="thin">
        <color theme="0" tint="-0.25"/>
      </left>
      <right style="thin">
        <color theme="0" tint="-0.25"/>
      </right>
      <top/>
      <bottom style="thin">
        <color theme="0" tint="-0.25"/>
      </bottom>
    </border>
    <border>
      <left/>
      <right/>
      <top style="thin">
        <color theme="0" tint="-0.25"/>
      </top>
      <bottom/>
    </border>
    <border>
      <left/>
      <right style="thin">
        <color theme="0" tint="-0.25"/>
      </right>
      <top style="thin">
        <color theme="0" tint="-0.25"/>
      </top>
      <bottom/>
    </border>
    <border>
      <left/>
      <right style="thin">
        <color theme="0" tint="-0.25"/>
      </right>
      <top/>
      <bottom style="thin">
        <color theme="0" tint="-0.25"/>
      </bottom>
    </border>
    <border>
      <left style="thin">
        <color theme="0" tint="-0.25"/>
      </left>
      <right style="thin">
        <color theme="0" tint="-0.35"/>
      </right>
      <top style="thin">
        <color theme="0" tint="-0.35"/>
      </top>
      <bottom style="thin">
        <color theme="0" tint="-0.35"/>
      </bottom>
    </border>
    <border>
      <left/>
      <right style="thin">
        <color theme="0" tint="-0.25"/>
      </right>
      <top style="thin">
        <color rgb="FFBCBCBC"/>
      </top>
      <bottom style="thin">
        <color rgb="FFBCBCBC"/>
      </bottom>
    </border>
    <border>
      <left style="thin">
        <color rgb="FFBCBCBC"/>
      </left>
      <right/>
      <top style="thin">
        <color rgb="FFBCBCBC"/>
      </top>
      <bottom/>
    </border>
    <border>
      <left/>
      <right/>
      <top style="thin">
        <color theme="0" tint="-0.15"/>
      </top>
      <bottom style="thin">
        <color rgb="FFBCBCBC"/>
      </bottom>
    </border>
    <border>
      <left style="thin">
        <color rgb="FFBCBCBC"/>
      </left>
      <right style="thin">
        <color theme="0" tint="-0.25"/>
      </right>
      <top style="thin">
        <color rgb="FFBCBCBC"/>
      </top>
      <bottom style="thin">
        <color rgb="FFBCBCBC"/>
      </bottom>
    </border>
    <border>
      <left/>
      <right style="thin">
        <color rgb="FFBCBCBC"/>
      </right>
      <top/>
      <bottom style="thin">
        <color rgb="FFBCBCBC"/>
      </bottom>
    </border>
    <border>
      <left/>
      <right/>
      <top style="thin">
        <color rgb="FF969696"/>
      </top>
      <bottom style="thin">
        <color rgb="FF969696"/>
      </bottom>
    </border>
    <border>
      <left style="thin">
        <color rgb="FFC0C0C0"/>
      </left>
      <right style="thin">
        <color rgb="FFC0C0C0"/>
      </right>
      <top style="thin">
        <color rgb="FFC0C0C0"/>
      </top>
      <bottom style="thin">
        <color rgb="FFC0C0C0"/>
      </bottom>
    </border>
    <border>
      <left/>
      <right/>
      <top style="thin">
        <color rgb="FFC0C0C0"/>
      </top>
      <bottom/>
    </border>
    <border>
      <left/>
      <right/>
      <top style="thin">
        <color rgb="FFC0C0C0"/>
      </top>
      <bottom style="thin">
        <color rgb="FFC0C0C0"/>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theme="0" tint="-0.25"/>
      </left>
      <right style="thin">
        <color theme="0" tint="-0.25"/>
      </right>
      <top/>
      <bottom/>
    </border>
    <border>
      <left style="thin">
        <color theme="0" tint="-0.25"/>
      </left>
      <right/>
      <top/>
      <bottom/>
    </border>
    <border>
      <left style="thin">
        <color theme="0" tint="-0.25"/>
      </left>
      <right/>
      <top/>
      <bottom style="thin">
        <color theme="0" tint="-0.25"/>
      </bottom>
    </border>
    <border>
      <left/>
      <right style="thin">
        <color theme="0" tint="-0.25"/>
      </right>
      <top style="thin">
        <color theme="0" tint="-0.35"/>
      </top>
      <bottom style="thin">
        <color theme="0" tint="-0.35"/>
      </bottom>
    </border>
    <border>
      <left style="thin">
        <color theme="0" tint="-0.35"/>
      </left>
      <right/>
      <top style="thin">
        <color rgb="FFBCBCBC"/>
      </top>
      <bottom style="thin">
        <color rgb="FFBCBCBC"/>
      </bottom>
    </border>
    <border>
      <left style="thin">
        <color theme="0" tint="-0.35"/>
      </left>
      <right/>
      <top/>
      <bottom/>
    </border>
    <border>
      <left/>
      <right style="thin">
        <color theme="0" tint="-0.35"/>
      </right>
      <top/>
      <bottom/>
    </border>
    <border>
      <left style="thin">
        <color theme="0" tint="-0.35"/>
      </left>
      <right/>
      <top style="thin">
        <color rgb="FFBCBCBC"/>
      </top>
      <bottom/>
    </border>
    <border>
      <left/>
      <right style="thin">
        <color theme="0" tint="-0.35"/>
      </right>
      <top style="thin">
        <color rgb="FFBCBCBC"/>
      </top>
      <bottom/>
    </border>
    <border>
      <left style="thin">
        <color rgb="FFBCBCBC"/>
      </left>
      <right style="thin">
        <color rgb="FFBCBCBC"/>
      </right>
      <top/>
      <bottom/>
    </border>
    <border>
      <left style="thin">
        <color rgb="FFBCBCBC"/>
      </left>
      <right/>
      <top style="thin">
        <color theme="0" tint="-0.25"/>
      </top>
      <bottom/>
    </border>
    <border>
      <left style="thin">
        <color theme="0" tint="-0.35"/>
      </left>
      <right/>
      <top style="thin">
        <color theme="0" tint="-0.35"/>
      </top>
      <bottom/>
    </border>
    <border>
      <left style="thin">
        <color theme="0" tint="-0.35"/>
      </left>
      <right/>
      <top/>
      <bottom style="thin">
        <color rgb="FFC0C0C0"/>
      </bottom>
    </border>
    <border>
      <left/>
      <right/>
      <top style="thin">
        <color theme="0" tint="-0.35"/>
      </top>
      <bottom style="thin">
        <color rgb="FFC0C0C0"/>
      </bottom>
    </border>
    <border>
      <left/>
      <right style="thin">
        <color theme="0" tint="-0.35"/>
      </right>
      <top/>
      <bottom style="thin">
        <color rgb="FFC0C0C0"/>
      </bottom>
    </border>
    <border>
      <left style="thin">
        <color theme="0" tint="-0.35"/>
      </left>
      <right/>
      <top style="thin">
        <color theme="0" tint="-0.35"/>
      </top>
      <bottom style="thin">
        <color rgb="FFC0C0C0"/>
      </bottom>
    </border>
    <border>
      <left/>
      <right style="thin">
        <color rgb="FFC0C0C0"/>
      </right>
      <top/>
      <bottom/>
    </border>
    <border>
      <left style="thin">
        <color rgb="FFC0C0C0"/>
      </left>
      <right/>
      <top style="thin">
        <color rgb="FFC0C0C0"/>
      </top>
      <bottom/>
    </border>
    <border>
      <left style="thin">
        <color rgb="FFC0C0C0"/>
      </left>
      <right/>
      <top style="thin">
        <color rgb="FFC0C0C0"/>
      </top>
      <bottom style="thin">
        <color rgb="FFC0C0C0"/>
      </bottom>
    </border>
    <border>
      <left/>
      <right/>
      <top/>
      <bottom style="thin">
        <color rgb="FFC0C0C0"/>
      </bottom>
    </border>
    <border>
      <left/>
      <right style="thin">
        <color rgb="FFC0C0C0"/>
      </right>
      <top style="thin">
        <color rgb="FFC0C0C0"/>
      </top>
      <bottom style="thin">
        <color rgb="FFC0C0C0"/>
      </bottom>
    </border>
    <border>
      <left style="thin">
        <color rgb="FFBFBFBF"/>
      </left>
      <right style="thin">
        <color rgb="FFBFBFBF"/>
      </right>
      <top style="thin">
        <color rgb="FFBFBFBF"/>
      </top>
      <bottom style="thin">
        <color rgb="FFBFBFBF"/>
      </bottom>
    </border>
  </borders>
  <cellStyleXfs count="73">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49" fontId="19" fillId="0" borderId="0" applyFont="1" applyFill="0" applyBorder="0" applyNumberFormat="1">
      <alignment vertical="top"/>
    </xf>
    <xf numFmtId="0" fontId="20" fillId="0" borderId="0" applyFont="1" applyFill="0" applyBorder="0"/>
    <xf numFmtId="0" fontId="1" fillId="0" borderId="0" applyFont="1" applyFill="0" applyBorder="0"/>
    <xf numFmtId="0" fontId="19" fillId="0" borderId="0" applyFont="1" applyFill="0" applyBorder="0">
      <alignment horizontal="left" vertical="center"/>
    </xf>
    <xf numFmtId="0" fontId="19" fillId="33" borderId="10" applyFont="1" applyFill="1" applyBorder="1">
      <alignment horizontal="left" vertical="center" wrapText="1"/>
    </xf>
    <xf numFmtId="4" fontId="19" fillId="34" borderId="10" applyFont="1" applyFill="1" applyBorder="1" applyNumberFormat="1">
      <alignment horizontal="right" vertical="center"/>
    </xf>
    <xf numFmtId="49" fontId="21" fillId="34" borderId="10" applyFont="1" applyFill="1" applyBorder="1" applyNumberFormat="1">
      <alignment horizontal="left" vertical="center" wrapText="1"/>
    </xf>
    <xf numFmtId="0" fontId="19" fillId="35" borderId="10" applyFont="1" applyFill="1" applyBorder="1">
      <alignment horizontal="left" vertical="center" wrapText="1"/>
    </xf>
    <xf numFmtId="49" fontId="19" fillId="34" borderId="11" applyFont="1" applyFill="1" applyBorder="1" applyNumberFormat="1">
      <alignment horizontal="left" vertical="center" wrapText="1"/>
    </xf>
    <xf numFmtId="49" fontId="19" fillId="35" borderId="11" applyFont="1" applyFill="1" applyBorder="1" applyNumberFormat="1">
      <alignment horizontal="left" vertical="center" wrapText="1" indent="1"/>
    </xf>
    <xf numFmtId="4" fontId="19" fillId="0" borderId="12" applyFont="1" applyFill="0" applyBorder="1" applyNumberFormat="1">
      <alignment horizontal="right" vertical="center"/>
    </xf>
    <xf numFmtId="4" fontId="19" fillId="34" borderId="13" applyFont="1" applyFill="1" applyBorder="1" applyNumberFormat="1">
      <alignment horizontal="right" vertical="center"/>
    </xf>
    <xf numFmtId="49" fontId="21" fillId="34" borderId="13" applyFont="1" applyFill="1" applyBorder="1" applyNumberFormat="1">
      <alignment horizontal="left" vertical="center" wrapText="1"/>
    </xf>
    <xf numFmtId="0" fontId="22" fillId="0" borderId="14" applyFont="1" applyFill="0" applyBorder="1">
      <alignment horizontal="center" vertical="center" wrapText="1"/>
    </xf>
    <xf numFmtId="49" fontId="19" fillId="34" borderId="15" applyFont="1" applyFill="1" applyBorder="1" applyNumberFormat="1">
      <alignment horizontal="left" vertical="top" wrapText="1"/>
    </xf>
    <xf numFmtId="49" fontId="23" fillId="34" borderId="15" applyFont="1" applyFill="1" applyBorder="1" applyNumberFormat="1">
      <alignment horizontal="left" vertical="top" wrapText="1"/>
    </xf>
    <xf numFmtId="0" fontId="22" fillId="0" borderId="0" applyFont="1" applyFill="0" applyBorder="0">
      <alignment horizontal="center" vertical="center" wrapText="1"/>
    </xf>
    <xf numFmtId="49" fontId="22" fillId="0" borderId="0" applyFont="1" applyFill="0" applyBorder="0" applyNumberFormat="1">
      <alignment horizontal="center" vertical="center" wrapText="1"/>
    </xf>
    <xf numFmtId="49" fontId="19" fillId="34" borderId="16" applyFont="1" applyFill="1" applyBorder="1" applyNumberFormat="1">
      <alignment horizontal="left" vertical="top" wrapText="1"/>
    </xf>
    <xf numFmtId="49" fontId="19" fillId="34" borderId="17" applyFont="1" applyFill="1" applyBorder="1" applyNumberFormat="1">
      <alignment horizontal="left" vertical="top" wrapText="1"/>
    </xf>
    <xf numFmtId="49" fontId="19" fillId="34" borderId="18" applyFont="1" applyFill="1" applyBorder="1" applyNumberFormat="1">
      <alignment horizontal="left" vertical="top" wrapText="1"/>
    </xf>
    <xf numFmtId="49" fontId="19" fillId="35" borderId="11" applyFont="1" applyFill="1" applyBorder="1" applyNumberFormat="1">
      <alignment horizontal="left" vertical="center" wrapText="1"/>
    </xf>
    <xf numFmtId="49" fontId="19" fillId="35" borderId="16" applyFont="1" applyFill="1" applyBorder="1" applyNumberFormat="1">
      <alignment horizontal="left" vertical="center" wrapText="1"/>
    </xf>
    <xf numFmtId="4" fontId="21" fillId="34" borderId="19" applyFont="1" applyFill="1" applyBorder="1" applyNumberFormat="1">
      <alignment horizontal="right" vertical="center"/>
    </xf>
    <xf numFmtId="172" fontId="21" fillId="34" borderId="19" applyFont="1" applyFill="1" applyBorder="1" applyNumberFormat="1">
      <alignment horizontal="right" vertical="center"/>
    </xf>
    <xf numFmtId="172" fontId="21" fillId="34" borderId="20" applyFont="1" applyFill="1" applyBorder="1" applyNumberFormat="1">
      <alignment horizontal="right" vertical="center"/>
    </xf>
  </cellStyleXfs>
  <cellXfs count="8447">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19" fillId="0" borderId="0" xfId="47" applyFont="1" applyNumberFormat="1">
      <alignment vertical="top"/>
    </xf>
    <xf numFmtId="0" fontId="20" fillId="0" borderId="0" xfId="48" applyFont="1"/>
    <xf numFmtId="0" fontId="1" fillId="0" borderId="0" xfId="49" applyFont="1"/>
    <xf numFmtId="0" fontId="19" fillId="0" borderId="0" xfId="50" applyFont="1">
      <alignment horizontal="left" vertical="center"/>
    </xf>
    <xf numFmtId="0" fontId="19" fillId="33" borderId="10" xfId="51" applyFont="1" applyFill="1" applyBorder="1">
      <alignment horizontal="left" vertical="center" wrapText="1"/>
    </xf>
    <xf numFmtId="4" fontId="19" fillId="34" borderId="10" xfId="52" applyFont="1" applyFill="1" applyBorder="1" applyNumberFormat="1">
      <alignment horizontal="right" vertical="center"/>
    </xf>
    <xf numFmtId="49" fontId="21" fillId="34" borderId="10" xfId="53" applyFont="1" applyFill="1" applyBorder="1" applyNumberFormat="1">
      <alignment horizontal="left" vertical="center" wrapText="1"/>
    </xf>
    <xf numFmtId="0" fontId="19" fillId="35" borderId="10" xfId="54" applyFont="1" applyFill="1" applyBorder="1">
      <alignment horizontal="left" vertical="center" wrapText="1"/>
    </xf>
    <xf numFmtId="49" fontId="19" fillId="34" borderId="11" xfId="55" applyFont="1" applyFill="1" applyBorder="1" applyNumberFormat="1">
      <alignment horizontal="left" vertical="center" wrapText="1"/>
    </xf>
    <xf numFmtId="49" fontId="19" fillId="35" borderId="11" xfId="56" applyFont="1" applyFill="1" applyBorder="1" applyNumberFormat="1">
      <alignment horizontal="left" vertical="center" wrapText="1" indent="1"/>
    </xf>
    <xf numFmtId="4" fontId="19" fillId="0" borderId="12" xfId="57" applyFont="1" applyBorder="1" applyNumberFormat="1">
      <alignment horizontal="right" vertical="center"/>
    </xf>
    <xf numFmtId="4" fontId="19" fillId="34" borderId="13" xfId="58" applyFont="1" applyFill="1" applyBorder="1" applyNumberFormat="1">
      <alignment horizontal="right" vertical="center"/>
    </xf>
    <xf numFmtId="49" fontId="21" fillId="34" borderId="13" xfId="59" applyFont="1" applyFill="1" applyBorder="1" applyNumberFormat="1">
      <alignment horizontal="left" vertical="center" wrapText="1"/>
    </xf>
    <xf numFmtId="0" fontId="22" fillId="0" borderId="14" xfId="60" applyFont="1" applyBorder="1">
      <alignment horizontal="center" vertical="center" wrapText="1"/>
    </xf>
    <xf numFmtId="49" fontId="19" fillId="34" borderId="15" xfId="61" applyFont="1" applyFill="1" applyBorder="1" applyNumberFormat="1">
      <alignment horizontal="left" vertical="top" wrapText="1"/>
    </xf>
    <xf numFmtId="49" fontId="23" fillId="34" borderId="15" xfId="62" applyFont="1" applyFill="1" applyBorder="1" applyNumberFormat="1">
      <alignment horizontal="left" vertical="top" wrapText="1"/>
    </xf>
    <xf numFmtId="0" fontId="22" fillId="0" borderId="0" xfId="63" applyFont="1">
      <alignment horizontal="center" vertical="center" wrapText="1"/>
    </xf>
    <xf numFmtId="49" fontId="22" fillId="0" borderId="0" xfId="64" applyFont="1" applyNumberFormat="1">
      <alignment horizontal="center" vertical="center" wrapText="1"/>
    </xf>
    <xf numFmtId="49" fontId="19" fillId="34" borderId="16" xfId="65" applyFont="1" applyFill="1" applyBorder="1" applyNumberFormat="1">
      <alignment horizontal="left" vertical="top" wrapText="1"/>
    </xf>
    <xf numFmtId="49" fontId="19" fillId="34" borderId="17" xfId="66" applyFont="1" applyFill="1" applyBorder="1" applyNumberFormat="1">
      <alignment horizontal="left" vertical="top" wrapText="1"/>
    </xf>
    <xf numFmtId="49" fontId="19" fillId="34" borderId="18" xfId="67" applyFont="1" applyFill="1" applyBorder="1" applyNumberFormat="1">
      <alignment horizontal="left" vertical="top" wrapText="1"/>
    </xf>
    <xf numFmtId="49" fontId="19" fillId="35" borderId="11" xfId="68" applyFont="1" applyFill="1" applyBorder="1" applyNumberFormat="1">
      <alignment horizontal="left" vertical="center" wrapText="1"/>
    </xf>
    <xf numFmtId="49" fontId="19" fillId="35" borderId="16" xfId="69" applyFont="1" applyFill="1" applyBorder="1" applyNumberFormat="1">
      <alignment horizontal="left" vertical="center" wrapText="1"/>
    </xf>
    <xf numFmtId="4" fontId="21" fillId="34" borderId="19" xfId="70" applyFont="1" applyFill="1" applyBorder="1" applyNumberFormat="1">
      <alignment horizontal="right" vertical="center"/>
    </xf>
    <xf numFmtId="172" fontId="21" fillId="34" borderId="19" xfId="71" applyFont="1" applyFill="1" applyBorder="1" applyNumberFormat="1">
      <alignment horizontal="right" vertical="center"/>
    </xf>
    <xf numFmtId="172" fontId="21" fillId="34" borderId="20" xfId="72" applyFont="1" applyFill="1" applyBorder="1" applyNumberFormat="1">
      <alignment horizontal="right" vertical="center"/>
    </xf>
    <xf numFmtId="43" fontId="24" fillId="0" borderId="0" xfId="28" applyFont="1" applyNumberFormat="1">
      <alignment vertical="top"/>
    </xf>
    <xf numFmtId="41" fontId="24" fillId="0" borderId="0" xfId="29" applyFont="1" applyNumberFormat="1">
      <alignment vertical="top"/>
    </xf>
    <xf numFmtId="44" fontId="24" fillId="0" borderId="0" xfId="30" applyFont="1" applyNumberFormat="1">
      <alignment vertical="top"/>
    </xf>
    <xf numFmtId="42" fontId="24" fillId="0" borderId="0" xfId="31" applyFont="1" applyNumberFormat="1">
      <alignment vertical="top"/>
    </xf>
    <xf numFmtId="0" fontId="24" fillId="32" borderId="7" xfId="41" applyFont="1" applyFill="1" applyBorder="1">
      <alignment vertical="top"/>
    </xf>
    <xf numFmtId="9" fontId="24" fillId="0" borderId="0" xfId="43" applyFont="1" applyNumberFormat="1">
      <alignment vertical="top"/>
    </xf>
    <xf numFmtId="43" fontId="24" fillId="0" borderId="0" xfId="28" applyFont="1" applyNumberFormat="1">
      <alignment vertical="top"/>
    </xf>
    <xf numFmtId="41" fontId="24" fillId="0" borderId="0" xfId="29" applyFont="1" applyNumberFormat="1">
      <alignment vertical="top"/>
    </xf>
    <xf numFmtId="44" fontId="24" fillId="0" borderId="0" xfId="30" applyFont="1" applyNumberFormat="1">
      <alignment vertical="top"/>
    </xf>
    <xf numFmtId="42" fontId="24" fillId="0" borderId="0" xfId="31" applyFont="1" applyNumberFormat="1">
      <alignment vertical="top"/>
    </xf>
    <xf numFmtId="0" fontId="24" fillId="32" borderId="7" xfId="41" applyFont="1" applyFill="1" applyBorder="1">
      <alignment vertical="top"/>
    </xf>
    <xf numFmtId="9" fontId="24" fillId="0" borderId="0" xfId="43" applyFont="1" applyNumberFormat="1">
      <alignment vertical="top"/>
    </xf>
    <xf numFmtId="49" fontId="19" fillId="0" borderId="0" xfId="0" applyFont="1" applyNumberFormat="1">
      <alignment vertical="top"/>
    </xf>
    <xf numFmtId="49" fontId="19" fillId="0" borderId="11" xfId="0" applyFont="1" applyBorder="1" applyNumberFormat="1">
      <alignment horizontal="center" vertical="center" wrapText="1"/>
    </xf>
    <xf numFmtId="0" fontId="21" fillId="0" borderId="11" xfId="0" applyFont="1" applyBorder="1">
      <alignment vertical="center" wrapText="1"/>
    </xf>
    <xf numFmtId="0" fontId="19" fillId="0" borderId="11" xfId="0" applyFont="1" applyBorder="1">
      <alignment horizontal="center" vertical="center"/>
    </xf>
    <xf numFmtId="0" fontId="19" fillId="36" borderId="10" xfId="0" applyFont="1" applyFill="1" applyBorder="1">
      <alignment horizontal="center" vertical="center" wrapText="1"/>
    </xf>
    <xf numFmtId="0" fontId="19" fillId="0" borderId="11" xfId="0" applyFont="1" applyBorder="1">
      <alignment horizontal="center" vertical="center" wrapText="1"/>
    </xf>
    <xf numFmtId="0" fontId="21" fillId="0" borderId="11" xfId="0" applyFont="1" applyBorder="1">
      <alignment horizontal="center" vertical="center" wrapText="1"/>
    </xf>
    <xf numFmtId="0" fontId="21" fillId="0" borderId="10" xfId="0" applyFont="1" applyBorder="1">
      <alignment horizontal="center" vertical="center" wrapText="1"/>
    </xf>
    <xf numFmtId="0" fontId="19" fillId="0" borderId="10" xfId="0" applyFont="1" applyBorder="1">
      <alignment horizontal="center" vertical="center" wrapText="1"/>
    </xf>
    <xf numFmtId="0" fontId="21" fillId="0" borderId="21" xfId="0" applyFont="1" applyBorder="1">
      <alignment horizontal="center" vertical="center" wrapText="1"/>
    </xf>
    <xf numFmtId="49" fontId="25" fillId="0" borderId="0" xfId="0" applyFont="1" applyNumberFormat="1">
      <alignment horizontal="center" vertical="center" wrapText="1" shrinkToFit="1"/>
    </xf>
    <xf numFmtId="0" fontId="26" fillId="0" borderId="0" xfId="0" applyFont="1">
      <alignment horizontal="center" vertical="center"/>
    </xf>
    <xf numFmtId="0" fontId="19" fillId="0" borderId="10" xfId="0" applyFont="1" applyBorder="1">
      <alignment horizontal="right" vertical="center" wrapText="1" indent="1"/>
    </xf>
    <xf numFmtId="0" fontId="21" fillId="0" borderId="0" xfId="0" applyFont="1">
      <alignment vertical="center"/>
    </xf>
    <xf numFmtId="0" fontId="19" fillId="0" borderId="10" xfId="0" applyFont="1" applyBorder="1">
      <alignment horizontal="right" vertical="center" wrapText="1" indent="1"/>
    </xf>
    <xf numFmtId="0" fontId="27" fillId="0" borderId="0" xfId="0" applyFont="1">
      <alignment vertical="top"/>
    </xf>
    <xf numFmtId="49" fontId="27" fillId="0" borderId="0" xfId="0" applyFont="1" applyNumberFormat="1">
      <alignment vertical="top"/>
    </xf>
    <xf numFmtId="49" fontId="19" fillId="0" borderId="0" xfId="0" applyFont="1" applyNumberFormat="1">
      <alignment vertical="center" wrapText="1"/>
    </xf>
    <xf numFmtId="0" fontId="28" fillId="0" borderId="22" xfId="0" applyFont="1" applyBorder="1">
      <alignment horizontal="center" vertical="center"/>
    </xf>
    <xf numFmtId="0" fontId="19" fillId="0" borderId="0" xfId="0" applyFont="1"/>
    <xf numFmtId="0" fontId="19" fillId="36" borderId="0" xfId="0" applyFont="1" applyFill="1"/>
    <xf numFmtId="49" fontId="19" fillId="34" borderId="23" xfId="0" applyFont="1" applyFill="1" applyBorder="1" applyNumberFormat="1">
      <alignment horizontal="left" vertical="center" wrapText="1"/>
      <protection locked="0"/>
    </xf>
    <xf numFmtId="0" fontId="26" fillId="0" borderId="0" xfId="0" applyFont="1">
      <alignment vertical="center"/>
    </xf>
    <xf numFmtId="0" fontId="26" fillId="0" borderId="0" xfId="0" applyFont="1">
      <alignment vertical="center" wrapText="1"/>
    </xf>
    <xf numFmtId="0" fontId="29" fillId="0" borderId="0" xfId="0" applyFont="1">
      <alignment vertical="center"/>
    </xf>
    <xf numFmtId="0" fontId="30" fillId="0" borderId="0" xfId="0" applyFont="1">
      <alignment vertical="center"/>
    </xf>
    <xf numFmtId="0" fontId="29" fillId="0" borderId="0" xfId="0" applyFont="1">
      <alignment horizontal="center" vertical="center"/>
    </xf>
    <xf numFmtId="0" fontId="26" fillId="0" borderId="0" xfId="0" applyFont="1">
      <alignment horizontal="left" vertical="center" wrapText="1"/>
    </xf>
    <xf numFmtId="49" fontId="31" fillId="0" borderId="0" xfId="0" applyFont="1" applyNumberFormat="1">
      <alignment horizontal="right" vertical="center" wrapText="1"/>
    </xf>
    <xf numFmtId="49" fontId="19" fillId="0" borderId="0" xfId="0" applyFont="1" applyNumberFormat="1">
      <alignment vertical="center" wrapText="1"/>
    </xf>
    <xf numFmtId="49" fontId="25" fillId="0" borderId="0" xfId="0" applyFont="1" applyNumberFormat="1">
      <alignment vertical="center" wrapText="1"/>
    </xf>
    <xf numFmtId="49" fontId="19" fillId="0" borderId="0" xfId="0" applyFont="1" applyNumberFormat="1">
      <alignment horizontal="left" vertical="center" wrapText="1"/>
    </xf>
    <xf numFmtId="0" fontId="19" fillId="36" borderId="24" xfId="0" applyFont="1" applyFill="1" applyBorder="1">
      <alignment horizontal="center" vertical="center" wrapText="1"/>
    </xf>
    <xf numFmtId="0" fontId="19" fillId="36" borderId="25" xfId="0" applyFont="1" applyFill="1" applyBorder="1">
      <alignment horizontal="center" vertical="center" wrapText="1"/>
    </xf>
    <xf numFmtId="0" fontId="19" fillId="36" borderId="26" xfId="0" applyFont="1" applyFill="1" applyBorder="1">
      <alignment horizontal="center" vertical="center" wrapText="1"/>
    </xf>
    <xf numFmtId="49" fontId="19" fillId="0" borderId="0" xfId="0" applyFont="1" applyNumberFormat="1">
      <alignment horizontal="left" vertical="center" wrapText="1"/>
    </xf>
    <xf numFmtId="49" fontId="19" fillId="0" borderId="0" xfId="0" applyFont="1" applyNumberFormat="1">
      <alignment horizontal="right" vertical="center" wrapText="1"/>
    </xf>
    <xf numFmtId="0" fontId="21" fillId="0" borderId="0" xfId="0" applyFont="1"/>
    <xf numFmtId="49" fontId="19" fillId="0" borderId="10" xfId="0" applyFont="1" applyBorder="1" applyNumberFormat="1">
      <alignment horizontal="center" vertical="center"/>
    </xf>
    <xf numFmtId="0" fontId="32" fillId="0" borderId="0" xfId="0" applyFont="1"/>
    <xf numFmtId="0" fontId="0" fillId="0" borderId="0" xfId="0" applyFont="1">
      <alignment horizontal="left" vertical="center"/>
    </xf>
    <xf numFmtId="0" fontId="21" fillId="0" borderId="0" xfId="0" applyFont="1">
      <alignment horizontal="center" vertical="center"/>
    </xf>
    <xf numFmtId="0" fontId="0" fillId="0" borderId="0" xfId="0" applyFont="1">
      <alignment horizontal="center"/>
    </xf>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33" fillId="0" borderId="0" xfId="0" applyFont="1">
      <alignment vertical="center" wrapText="1"/>
    </xf>
    <xf numFmtId="0" fontId="21" fillId="0" borderId="0" xfId="0" applyFont="1">
      <alignment horizontal="center"/>
    </xf>
    <xf numFmtId="0" fontId="19" fillId="0" borderId="10" xfId="0" applyFont="1" applyBorder="1">
      <alignment horizontal="center" vertical="center"/>
    </xf>
    <xf numFmtId="0" fontId="21" fillId="37" borderId="10" xfId="0" applyFont="1" applyFill="1" applyBorder="1">
      <alignment horizontal="left" vertical="center" wrapText="1"/>
    </xf>
    <xf numFmtId="0" fontId="21" fillId="0" borderId="10" xfId="0" applyFont="1" applyBorder="1">
      <alignment vertical="center" wrapText="1"/>
    </xf>
    <xf numFmtId="0" fontId="21" fillId="0" borderId="10" xfId="0" applyFont="1" applyBorder="1">
      <alignment horizontal="center" vertical="center"/>
    </xf>
    <xf numFmtId="0" fontId="21" fillId="0" borderId="10" xfId="0" applyFont="1" applyBorder="1">
      <alignment horizontal="left" vertical="center" wrapText="1"/>
    </xf>
    <xf numFmtId="0" fontId="19" fillId="0" borderId="10" xfId="0" applyFont="1" applyBorder="1">
      <alignment horizontal="left" vertical="center" wrapText="1"/>
    </xf>
    <xf numFmtId="0" fontId="19" fillId="0" borderId="10" xfId="0" applyFont="1" applyBorder="1">
      <alignment vertical="center" wrapText="1"/>
    </xf>
    <xf numFmtId="0" fontId="21" fillId="0" borderId="0" xfId="0" applyFont="1">
      <alignment wrapText="1"/>
    </xf>
    <xf numFmtId="4" fontId="19" fillId="34" borderId="10" xfId="0" applyFont="1" applyFill="1" applyBorder="1" applyNumberFormat="1">
      <alignment horizontal="right" vertical="center"/>
      <protection locked="0"/>
    </xf>
    <xf numFmtId="4" fontId="19" fillId="38" borderId="10" xfId="0" applyFont="1" applyFill="1" applyBorder="1" applyNumberFormat="1">
      <alignment horizontal="right" vertical="center"/>
    </xf>
    <xf numFmtId="0" fontId="19" fillId="0" borderId="0" xfId="0" applyFont="1">
      <alignment vertical="center"/>
    </xf>
    <xf numFmtId="0" fontId="21" fillId="0" borderId="0" xfId="0" applyFont="1">
      <alignment vertical="center" wrapText="1"/>
    </xf>
    <xf numFmtId="49" fontId="19" fillId="36" borderId="10" xfId="0" applyFont="1" applyFill="1" applyBorder="1" applyNumberFormat="1">
      <alignment horizontal="center" vertical="center" wrapText="1"/>
    </xf>
    <xf numFmtId="0" fontId="21" fillId="0" borderId="0" xfId="0" applyFont="1">
      <alignment horizontal="center" vertical="center" wrapText="1"/>
    </xf>
    <xf numFmtId="0" fontId="25" fillId="0" borderId="0" xfId="0" applyFont="1"/>
    <xf numFmtId="0" fontId="19" fillId="0" borderId="0" xfId="0" applyFont="1">
      <alignment vertical="center" wrapText="1"/>
    </xf>
    <xf numFmtId="0" fontId="21" fillId="0" borderId="0" xfId="0" applyFont="1"/>
    <xf numFmtId="0" fontId="21" fillId="0" borderId="0" xfId="0" applyFont="1">
      <alignment horizontal="center"/>
    </xf>
    <xf numFmtId="171" fontId="34"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5" fillId="0" borderId="0" xfId="0" applyFont="1">
      <alignment horizontal="left" vertical="top" wrapText="1"/>
    </xf>
    <xf numFmtId="0" fontId="36" fillId="0" borderId="0" xfId="0" applyFont="1">
      <alignment vertical="center" wrapText="1"/>
    </xf>
    <xf numFmtId="0" fontId="36" fillId="0" borderId="0" xfId="0" applyFont="1">
      <alignment vertical="center"/>
    </xf>
    <xf numFmtId="49" fontId="37" fillId="0" borderId="0" xfId="0" applyFont="1" applyNumberFormat="1">
      <alignment horizontal="left" vertical="center" wrapText="1" indent="4"/>
    </xf>
    <xf numFmtId="0" fontId="37" fillId="0" borderId="0" xfId="0" applyFont="1">
      <alignment horizontal="center" vertical="center" wrapText="1"/>
    </xf>
    <xf numFmtId="0" fontId="37" fillId="0" borderId="0" xfId="0" applyFont="1">
      <alignment vertical="center" wrapText="1"/>
    </xf>
    <xf numFmtId="0" fontId="37" fillId="0" borderId="0" xfId="0" applyFont="1">
      <alignment vertical="center"/>
    </xf>
    <xf numFmtId="49" fontId="26" fillId="0" borderId="0" xfId="0" applyFont="1" applyNumberFormat="1">
      <alignment vertical="center" wrapText="1"/>
    </xf>
    <xf numFmtId="49" fontId="38" fillId="39" borderId="0" xfId="0" applyFont="1" applyFill="1" applyNumberFormat="1">
      <alignment horizontal="center" vertical="center"/>
    </xf>
    <xf numFmtId="0" fontId="26" fillId="40" borderId="0" xfId="0" applyFont="1" applyFill="1">
      <alignment horizontal="right" vertical="center"/>
    </xf>
    <xf numFmtId="0" fontId="26" fillId="40" borderId="0" xfId="0" applyFont="1" applyFill="1">
      <alignment horizontal="center" vertical="center"/>
    </xf>
    <xf numFmtId="0" fontId="36" fillId="40" borderId="0" xfId="0" applyFont="1" applyFill="1">
      <alignment horizontal="right" vertical="center"/>
    </xf>
    <xf numFmtId="49" fontId="36" fillId="0" borderId="0" xfId="0" applyFont="1" applyNumberFormat="1">
      <alignment vertical="center" wrapText="1"/>
    </xf>
    <xf numFmtId="49" fontId="26" fillId="0" borderId="0" xfId="0" applyFont="1" applyNumberFormat="1">
      <alignment vertical="top"/>
    </xf>
    <xf numFmtId="0" fontId="26" fillId="40" borderId="0" xfId="0" applyFont="1" applyFill="1">
      <alignment horizontal="left" vertical="center"/>
    </xf>
    <xf numFmtId="49" fontId="27" fillId="39" borderId="0" xfId="0" applyFont="1" applyFill="1" applyNumberFormat="1">
      <alignment horizontal="center" vertical="center"/>
    </xf>
    <xf numFmtId="49" fontId="19" fillId="41" borderId="0" xfId="0" applyFont="1" applyFill="1" applyNumberFormat="1">
      <alignment vertical="top"/>
    </xf>
    <xf numFmtId="49" fontId="39" fillId="0" borderId="0" xfId="0" applyFont="1" applyNumberFormat="1">
      <alignment horizontal="center" vertical="center" wrapText="1"/>
    </xf>
    <xf numFmtId="49" fontId="40" fillId="42" borderId="17" xfId="0" applyFont="1" applyFill="1" applyBorder="1" applyNumberFormat="1">
      <alignment horizontal="left" vertical="center" wrapText="1"/>
    </xf>
    <xf numFmtId="49" fontId="41" fillId="43" borderId="27"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9" xfId="0" applyFont="1" applyFill="1" applyBorder="1" applyNumberFormat="1">
      <alignment horizontal="left" vertical="center" wrapText="1" indent="1"/>
    </xf>
    <xf numFmtId="49" fontId="41" fillId="43" borderId="28" xfId="0" applyFont="1" applyFill="1" applyBorder="1" applyNumberFormat="1">
      <alignment vertical="center" wrapText="1"/>
    </xf>
    <xf numFmtId="49" fontId="19" fillId="38" borderId="30" xfId="0" applyFont="1" applyFill="1" applyBorder="1" applyNumberFormat="1">
      <alignment horizontal="left" vertical="center" wrapText="1" indent="1"/>
    </xf>
    <xf numFmtId="0" fontId="40" fillId="42" borderId="17" xfId="0" applyFont="1" applyFill="1" applyBorder="1">
      <alignment horizontal="left" vertical="center"/>
    </xf>
    <xf numFmtId="0" fontId="19" fillId="40" borderId="0" xfId="0" applyFont="1" applyFill="1">
      <alignment horizontal="left" vertical="center"/>
    </xf>
    <xf numFmtId="49" fontId="19" fillId="0" borderId="31" xfId="0" applyFont="1" applyBorder="1" applyNumberFormat="1">
      <alignment vertical="center" wrapText="1"/>
    </xf>
    <xf numFmtId="0" fontId="40" fillId="42" borderId="32" xfId="0" applyFont="1" applyFill="1" applyBorder="1">
      <alignment horizontal="left" vertical="center"/>
    </xf>
    <xf numFmtId="0" fontId="21" fillId="0" borderId="11" xfId="0" applyFont="1" applyBorder="1">
      <alignment horizontal="center" vertical="center"/>
    </xf>
    <xf numFmtId="0" fontId="19" fillId="37" borderId="11" xfId="0" applyFont="1" applyFill="1" applyBorder="1">
      <alignment horizontal="center" vertical="center" wrapText="1"/>
    </xf>
    <xf numFmtId="0" fontId="19" fillId="37" borderId="33" xfId="0" applyFont="1" applyFill="1" applyBorder="1">
      <alignment horizontal="center" vertical="center" wrapText="1"/>
    </xf>
    <xf numFmtId="49" fontId="41" fillId="43" borderId="34" xfId="0" applyFont="1" applyFill="1" applyBorder="1" applyNumberFormat="1">
      <alignment horizontal="left" vertical="center" wrapText="1" indent="1"/>
    </xf>
    <xf numFmtId="3" fontId="19" fillId="34" borderId="10" xfId="0" applyFont="1" applyFill="1" applyBorder="1" applyNumberFormat="1">
      <alignment horizontal="right" vertical="center"/>
      <protection locked="0"/>
    </xf>
    <xf numFmtId="49" fontId="19" fillId="34" borderId="11" xfId="0" applyFont="1" applyFill="1" applyBorder="1" applyNumberFormat="1">
      <alignment horizontal="left" vertical="center" wrapText="1"/>
      <protection locked="0"/>
    </xf>
    <xf numFmtId="0" fontId="0" fillId="0" borderId="10" xfId="0" applyFont="1" applyBorder="1">
      <alignment horizontal="center" vertical="center" wrapText="1"/>
    </xf>
    <xf numFmtId="4" fontId="19" fillId="38" borderId="10" xfId="0" applyFont="1" applyFill="1" applyBorder="1" applyNumberFormat="1">
      <alignment horizontal="right" vertical="center"/>
    </xf>
    <xf numFmtId="0" fontId="19" fillId="0" borderId="10" xfId="0" applyFont="1" applyBorder="1">
      <alignment horizontal="left" vertical="center" wrapText="1" indent="1"/>
    </xf>
    <xf numFmtId="0" fontId="42" fillId="0" borderId="22" xfId="0" applyFont="1" applyBorder="1">
      <alignment vertical="center"/>
    </xf>
    <xf numFmtId="0" fontId="42" fillId="0" borderId="22" xfId="0" applyFont="1" applyBorder="1"/>
    <xf numFmtId="0" fontId="43" fillId="0" borderId="22" xfId="0" applyFont="1" applyBorder="1">
      <alignment vertical="center" wrapText="1"/>
    </xf>
    <xf numFmtId="49" fontId="19" fillId="34" borderId="35" xfId="0" applyFont="1" applyFill="1" applyBorder="1" applyNumberFormat="1">
      <alignment horizontal="left" vertical="center" wrapText="1" indent="1"/>
      <protection locked="0"/>
    </xf>
    <xf numFmtId="0" fontId="21" fillId="0" borderId="10" xfId="0" applyFont="1" applyBorder="1">
      <alignment horizontal="right" vertical="center" wrapText="1" indent="1"/>
    </xf>
    <xf numFmtId="0" fontId="21" fillId="0" borderId="10" xfId="0" applyFont="1" applyBorder="1">
      <alignment horizontal="right" vertical="center" indent="1"/>
    </xf>
    <xf numFmtId="0" fontId="19" fillId="35" borderId="10" xfId="0" applyFont="1" applyFill="1" applyBorder="1">
      <alignment horizontal="left" vertical="center" wrapText="1"/>
      <protection locked="0"/>
    </xf>
    <xf numFmtId="49" fontId="21" fillId="34" borderId="10" xfId="0" applyFont="1" applyFill="1" applyBorder="1" applyNumberFormat="1">
      <alignment horizontal="left" vertical="center" wrapText="1"/>
      <protection locked="0"/>
    </xf>
    <xf numFmtId="49" fontId="43" fillId="0" borderId="36" xfId="0" applyFont="1" applyBorder="1" applyNumberFormat="1">
      <alignment horizontal="left" vertical="center" wrapText="1" indent="4"/>
    </xf>
    <xf numFmtId="49" fontId="43" fillId="0" borderId="0" xfId="0" applyFont="1" applyNumberFormat="1">
      <alignment horizontal="left" vertical="center" wrapText="1" indent="4"/>
    </xf>
    <xf numFmtId="49" fontId="43" fillId="0" borderId="22" xfId="0" applyFont="1" applyBorder="1" applyNumberFormat="1">
      <alignment horizontal="left" vertical="center" indent="1"/>
    </xf>
    <xf numFmtId="0" fontId="19" fillId="0" borderId="0" xfId="0" applyFont="1">
      <alignment horizontal="left" vertical="center" wrapText="1"/>
    </xf>
    <xf numFmtId="0" fontId="25" fillId="36" borderId="10" xfId="0" applyFont="1" applyFill="1" applyBorder="1">
      <alignment horizontal="center" vertical="center" wrapText="1"/>
    </xf>
    <xf numFmtId="49" fontId="43" fillId="0" borderId="22" xfId="0" applyFont="1" applyBorder="1" applyNumberFormat="1">
      <alignment vertical="center" wrapText="1"/>
    </xf>
    <xf numFmtId="0" fontId="21" fillId="0" borderId="0" xfId="0" applyFont="1">
      <alignment horizontal="left" vertical="center" wrapText="1"/>
    </xf>
    <xf numFmtId="0" fontId="1" fillId="0" borderId="22" xfId="0" applyFont="1" applyBorder="1"/>
    <xf numFmtId="49" fontId="43" fillId="0" borderId="22" xfId="0" applyFont="1" applyBorder="1" applyNumberFormat="1">
      <alignment horizontal="center" vertical="center" wrapText="1"/>
    </xf>
    <xf numFmtId="49" fontId="40" fillId="42" borderId="18" xfId="0" applyFont="1" applyFill="1" applyBorder="1" applyNumberFormat="1">
      <alignment horizontal="left" vertical="center" wrapText="1"/>
    </xf>
    <xf numFmtId="0" fontId="25" fillId="0" borderId="11" xfId="0" applyFont="1" applyBorder="1">
      <alignment horizontal="center" vertical="center"/>
    </xf>
    <xf numFmtId="0" fontId="25" fillId="0" borderId="11" xfId="0" applyFont="1" applyBorder="1">
      <alignment vertical="center" wrapText="1"/>
    </xf>
    <xf numFmtId="4" fontId="25" fillId="38" borderId="11" xfId="0" applyFont="1" applyFill="1" applyBorder="1" applyNumberFormat="1">
      <alignment horizontal="right" vertical="center"/>
    </xf>
    <xf numFmtId="0" fontId="19" fillId="0" borderId="11" xfId="0" applyFont="1" applyBorder="1">
      <alignment horizontal="left" vertical="center" wrapText="1" indent="1"/>
    </xf>
    <xf numFmtId="4" fontId="19" fillId="34" borderId="11" xfId="0" applyFont="1" applyFill="1" applyBorder="1" applyNumberFormat="1">
      <alignment horizontal="right" vertical="center"/>
      <protection locked="0"/>
    </xf>
    <xf numFmtId="4" fontId="25" fillId="0" borderId="11" xfId="0" applyFont="1" applyBorder="1" applyNumberFormat="1">
      <alignment horizontal="right" vertical="center"/>
    </xf>
    <xf numFmtId="0" fontId="1" fillId="0" borderId="22" xfId="0" applyFont="1" applyBorder="1">
      <alignment vertical="center" wrapText="1"/>
    </xf>
    <xf numFmtId="49" fontId="25" fillId="0" borderId="11" xfId="0" applyFont="1" applyBorder="1" applyNumberFormat="1">
      <alignment horizontal="center" vertical="center"/>
    </xf>
    <xf numFmtId="0" fontId="25" fillId="0" borderId="11" xfId="0" applyFont="1" applyBorder="1">
      <alignment horizontal="left" vertical="center" wrapText="1"/>
    </xf>
    <xf numFmtId="49" fontId="19" fillId="0" borderId="11" xfId="0" applyFont="1" applyBorder="1" applyNumberFormat="1">
      <alignment horizontal="center" vertical="center"/>
    </xf>
    <xf numFmtId="0" fontId="19" fillId="0" borderId="11" xfId="0" applyFont="1" applyBorder="1">
      <alignment horizontal="left" vertical="center" wrapText="1" indent="2"/>
    </xf>
    <xf numFmtId="0" fontId="40" fillId="42" borderId="16" xfId="0" applyFont="1" applyFill="1" applyBorder="1">
      <alignment horizontal="left" vertical="center"/>
    </xf>
    <xf numFmtId="0" fontId="1" fillId="0" borderId="22" xfId="0" applyFont="1" applyBorder="1">
      <alignment vertical="center"/>
    </xf>
    <xf numFmtId="0" fontId="40" fillId="42" borderId="18" xfId="0" applyFont="1" applyFill="1" applyBorder="1">
      <alignment horizontal="left" vertical="center"/>
    </xf>
    <xf numFmtId="4" fontId="25" fillId="34" borderId="11" xfId="0" applyFont="1" applyFill="1" applyBorder="1" applyNumberFormat="1">
      <alignment horizontal="right" vertical="center"/>
      <protection locked="0"/>
    </xf>
    <xf numFmtId="0" fontId="21" fillId="0" borderId="22" xfId="0" applyFont="1" applyBorder="1">
      <alignment vertical="center"/>
    </xf>
    <xf numFmtId="4" fontId="43" fillId="38" borderId="11" xfId="0" applyFont="1" applyFill="1" applyBorder="1" applyNumberFormat="1">
      <alignment horizontal="right" vertical="center" wrapText="1"/>
    </xf>
    <xf numFmtId="4" fontId="19" fillId="34" borderId="11" xfId="0" applyFont="1" applyFill="1" applyBorder="1" applyNumberFormat="1">
      <alignment horizontal="right" vertical="center" wrapText="1"/>
      <protection locked="0"/>
    </xf>
    <xf numFmtId="4" fontId="21" fillId="34" borderId="11" xfId="0" applyFont="1" applyFill="1" applyBorder="1" applyNumberFormat="1">
      <alignment horizontal="right" vertical="center" wrapText="1"/>
      <protection locked="0"/>
    </xf>
    <xf numFmtId="4" fontId="21" fillId="34" borderId="11" xfId="0" applyFont="1" applyFill="1" applyBorder="1" applyNumberFormat="1">
      <alignment horizontal="right"/>
      <protection locked="0"/>
    </xf>
    <xf numFmtId="49" fontId="41" fillId="43" borderId="16"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8" xfId="0" applyFont="1" applyFill="1" applyBorder="1" applyNumberFormat="1">
      <alignment horizontal="left" vertical="center" wrapText="1" indent="1"/>
    </xf>
    <xf numFmtId="0" fontId="25" fillId="0" borderId="11" xfId="0" applyFont="1" applyBorder="1">
      <alignment horizontal="center" vertical="center" wrapText="1"/>
    </xf>
    <xf numFmtId="4" fontId="21" fillId="38" borderId="11" xfId="0" applyFont="1" applyFill="1" applyBorder="1" applyNumberFormat="1">
      <alignment horizontal="right"/>
    </xf>
    <xf numFmtId="0" fontId="21" fillId="0" borderId="22" xfId="0" applyFont="1" applyBorder="1">
      <alignment vertical="center" wrapText="1"/>
    </xf>
    <xf numFmtId="0" fontId="21" fillId="0" borderId="22" xfId="0" applyFont="1" applyBorder="1"/>
    <xf numFmtId="4" fontId="21" fillId="38" borderId="11" xfId="0" applyFont="1" applyFill="1" applyBorder="1" applyNumberFormat="1">
      <alignment horizontal="right" vertical="center"/>
    </xf>
    <xf numFmtId="4" fontId="21" fillId="34" borderId="11" xfId="0" applyFont="1" applyFill="1" applyBorder="1" applyNumberFormat="1">
      <alignment horizontal="right" vertical="center"/>
      <protection locked="0"/>
    </xf>
    <xf numFmtId="49" fontId="21" fillId="0" borderId="11" xfId="0" applyFont="1" applyBorder="1" applyNumberFormat="1">
      <alignment horizontal="center" vertical="center"/>
    </xf>
    <xf numFmtId="0" fontId="43" fillId="0" borderId="0" xfId="0" applyFont="1"/>
    <xf numFmtId="0" fontId="40" fillId="42" borderId="37" xfId="0" applyFont="1" applyFill="1" applyBorder="1">
      <alignment horizontal="left" vertical="center"/>
    </xf>
    <xf numFmtId="0" fontId="40" fillId="42" borderId="38" xfId="0" applyFont="1" applyFill="1" applyBorder="1">
      <alignment horizontal="left" vertical="center"/>
    </xf>
    <xf numFmtId="49" fontId="19" fillId="0" borderId="11" xfId="0" applyFont="1" applyBorder="1" applyNumberFormat="1">
      <alignment horizontal="left" vertical="center" wrapText="1"/>
    </xf>
    <xf numFmtId="0" fontId="0" fillId="0" borderId="11" xfId="0" applyFont="1" applyBorder="1">
      <alignment horizontal="center" vertical="center" wrapText="1"/>
    </xf>
    <xf numFmtId="49" fontId="25" fillId="0" borderId="11" xfId="0" applyFont="1" applyBorder="1" applyNumberFormat="1">
      <alignment horizontal="left" vertical="center" wrapText="1"/>
    </xf>
    <xf numFmtId="49" fontId="25" fillId="0" borderId="11" xfId="0" applyFont="1" applyBorder="1" applyNumberFormat="1">
      <alignment horizontal="center" vertical="center" wrapText="1"/>
    </xf>
    <xf numFmtId="4" fontId="0" fillId="34" borderId="11" xfId="0" applyFont="1" applyFill="1" applyBorder="1" applyNumberFormat="1">
      <alignment horizontal="right" vertical="center" wrapText="1"/>
      <protection locked="0"/>
    </xf>
    <xf numFmtId="0" fontId="1" fillId="0" borderId="22" xfId="0" applyFont="1" applyBorder="1">
      <alignment wrapText="1"/>
    </xf>
    <xf numFmtId="0" fontId="35" fillId="0" borderId="0" xfId="0" applyFont="1">
      <alignment horizontal="left" vertical="center" wrapText="1"/>
    </xf>
    <xf numFmtId="49" fontId="37" fillId="0" borderId="22" xfId="0" applyFont="1" applyBorder="1" applyNumberFormat="1">
      <alignment vertical="center"/>
    </xf>
    <xf numFmtId="0" fontId="40" fillId="42" borderId="0" xfId="0" applyFont="1" applyFill="1">
      <alignment horizontal="left" vertical="center"/>
    </xf>
    <xf numFmtId="49" fontId="26" fillId="0" borderId="0" xfId="0" applyFont="1" applyNumberFormat="1">
      <alignment vertical="center"/>
    </xf>
    <xf numFmtId="0" fontId="21" fillId="0" borderId="30" xfId="0" applyFont="1" applyBorder="1">
      <alignment horizontal="center" vertical="center" wrapText="1"/>
    </xf>
    <xf numFmtId="0" fontId="21" fillId="0" borderId="39" xfId="0" applyFont="1" applyBorder="1">
      <alignment horizontal="center" vertical="center" wrapText="1"/>
    </xf>
    <xf numFmtId="4" fontId="21" fillId="34" borderId="30" xfId="0" applyFont="1" applyFill="1" applyBorder="1" applyNumberFormat="1">
      <alignment horizontal="right" vertical="center"/>
      <protection locked="0"/>
    </xf>
    <xf numFmtId="0" fontId="43" fillId="0" borderId="22" xfId="0" applyFont="1" applyBorder="1">
      <alignment horizontal="left" vertical="center" indent="1"/>
    </xf>
    <xf numFmtId="0" fontId="21" fillId="0" borderId="11" xfId="0" applyFont="1" applyBorder="1">
      <alignment horizontal="left" vertical="center" wrapText="1"/>
    </xf>
    <xf numFmtId="4" fontId="19" fillId="38" borderId="11" xfId="0" applyFont="1" applyFill="1" applyBorder="1" applyNumberFormat="1">
      <alignment horizontal="right" vertical="center"/>
    </xf>
    <xf numFmtId="49" fontId="41" fillId="43" borderId="28" xfId="0" applyFont="1" applyFill="1" applyBorder="1" applyNumberFormat="1">
      <alignment horizontal="left" vertical="center" indent="1"/>
    </xf>
    <xf numFmtId="0" fontId="19" fillId="40" borderId="0" xfId="0" applyFont="1" applyFill="1">
      <alignment horizontal="left" vertical="center" wrapText="1"/>
    </xf>
    <xf numFmtId="49" fontId="41" fillId="43" borderId="40" xfId="0" applyFont="1" applyFill="1" applyBorder="1" applyNumberFormat="1">
      <alignment horizontal="left" vertical="center" wrapText="1" indent="1"/>
    </xf>
    <xf numFmtId="49" fontId="41" fillId="43" borderId="41" xfId="0" applyFont="1" applyFill="1" applyBorder="1" applyNumberFormat="1">
      <alignment horizontal="left" vertical="center" wrapText="1" indent="1"/>
    </xf>
    <xf numFmtId="49" fontId="41" fillId="43" borderId="40" xfId="0" applyFont="1" applyFill="1" applyBorder="1" applyNumberFormat="1">
      <alignment horizontal="left" vertical="center" wrapText="1"/>
    </xf>
    <xf numFmtId="49" fontId="41" fillId="43" borderId="42" xfId="0" applyFont="1" applyFill="1" applyBorder="1" applyNumberFormat="1">
      <alignment horizontal="left" vertical="center" wrapText="1"/>
    </xf>
    <xf numFmtId="0" fontId="19" fillId="44" borderId="0" xfId="0" applyFont="1" applyFill="1">
      <alignment horizontal="left" vertical="center" wrapText="1"/>
    </xf>
    <xf numFmtId="0" fontId="21" fillId="44" borderId="0" xfId="0" applyFont="1" applyFill="1">
      <alignment horizontal="center" vertical="center" wrapText="1"/>
    </xf>
    <xf numFmtId="4" fontId="19" fillId="44" borderId="0" xfId="0" applyFont="1" applyFill="1" applyNumberFormat="1">
      <alignment horizontal="right" vertical="center"/>
    </xf>
    <xf numFmtId="49" fontId="19" fillId="44" borderId="18" xfId="0" applyFont="1" applyFill="1" applyBorder="1" applyNumberFormat="1">
      <alignment horizontal="left" vertical="center"/>
    </xf>
    <xf numFmtId="49" fontId="44" fillId="44" borderId="43" xfId="0" applyFont="1" applyFill="1" applyBorder="1" applyNumberFormat="1">
      <alignment horizontal="left" vertical="center" indent="1"/>
    </xf>
    <xf numFmtId="49" fontId="19" fillId="44" borderId="44" xfId="0" applyFont="1" applyFill="1" applyBorder="1" applyNumberFormat="1">
      <alignment horizontal="left" vertical="center" indent="1"/>
    </xf>
    <xf numFmtId="49" fontId="44" fillId="44" borderId="44" xfId="0" applyFont="1" applyFill="1" applyBorder="1" applyNumberFormat="1">
      <alignment horizontal="left" vertical="center" indent="1"/>
    </xf>
    <xf numFmtId="4" fontId="40" fillId="42" borderId="38" xfId="0" applyFont="1" applyFill="1" applyBorder="1" applyNumberFormat="1">
      <alignment horizontal="right" vertical="center"/>
    </xf>
    <xf numFmtId="0" fontId="19" fillId="38" borderId="11" xfId="0" applyFont="1" applyFill="1" applyBorder="1">
      <alignment horizontal="left" vertical="center" wrapText="1" indent="1"/>
    </xf>
    <xf numFmtId="0" fontId="21" fillId="43" borderId="18" xfId="0" applyFont="1" applyFill="1" applyBorder="1">
      <alignment vertical="center" wrapText="1"/>
    </xf>
    <xf numFmtId="172" fontId="21" fillId="34" borderId="10" xfId="0" applyFont="1" applyFill="1" applyBorder="1" applyNumberFormat="1">
      <alignment horizontal="right" vertical="center"/>
      <protection locked="0"/>
    </xf>
    <xf numFmtId="172" fontId="44" fillId="44" borderId="44" xfId="0" applyFont="1" applyFill="1" applyBorder="1" applyNumberFormat="1">
      <alignment horizontal="left" vertical="center" indent="1"/>
    </xf>
    <xf numFmtId="172" fontId="0" fillId="34" borderId="10" xfId="0" applyFont="1" applyFill="1" applyBorder="1" applyNumberFormat="1">
      <alignment horizontal="right" vertical="center"/>
      <protection locked="0"/>
    </xf>
    <xf numFmtId="172" fontId="19" fillId="34" borderId="10" xfId="0" applyFont="1" applyFill="1" applyBorder="1" applyNumberFormat="1">
      <alignment horizontal="right" vertical="center"/>
      <protection locked="0"/>
    </xf>
    <xf numFmtId="172" fontId="0" fillId="38" borderId="10" xfId="0" applyFont="1" applyFill="1" applyBorder="1" applyNumberFormat="1">
      <alignment horizontal="right" vertical="center"/>
    </xf>
    <xf numFmtId="173" fontId="0" fillId="38" borderId="10" xfId="0" applyFont="1" applyFill="1" applyBorder="1" applyNumberFormat="1">
      <alignment horizontal="right" vertical="center"/>
    </xf>
    <xf numFmtId="173" fontId="44" fillId="44" borderId="44" xfId="0" applyFont="1" applyFill="1" applyBorder="1" applyNumberFormat="1">
      <alignment horizontal="left" vertical="center" indent="1"/>
    </xf>
    <xf numFmtId="172" fontId="44" fillId="44" borderId="31" xfId="0" applyFont="1" applyFill="1" applyBorder="1" applyNumberFormat="1">
      <alignment horizontal="left" vertical="center" indent="1"/>
    </xf>
    <xf numFmtId="49" fontId="19" fillId="34" borderId="10" xfId="0" applyFont="1" applyFill="1" applyBorder="1" applyNumberFormat="1">
      <alignment horizontal="left" vertical="center" wrapText="1"/>
      <protection locked="0"/>
    </xf>
    <xf numFmtId="49" fontId="43" fillId="0" borderId="22" xfId="0" applyFont="1" applyBorder="1" applyNumberFormat="1">
      <alignment horizontal="left" vertical="center" wrapText="1" indent="1"/>
    </xf>
    <xf numFmtId="0" fontId="25" fillId="38" borderId="44" xfId="0" applyFont="1" applyFill="1" applyBorder="1">
      <alignment vertical="center" wrapText="1"/>
    </xf>
    <xf numFmtId="0" fontId="25" fillId="38" borderId="31" xfId="0" applyFont="1" applyFill="1" applyBorder="1">
      <alignment vertical="center" wrapText="1"/>
    </xf>
    <xf numFmtId="49" fontId="25" fillId="38" borderId="44" xfId="0" applyFont="1" applyFill="1" applyBorder="1" applyNumberFormat="1">
      <alignment vertical="center" wrapText="1"/>
    </xf>
    <xf numFmtId="49" fontId="25" fillId="38" borderId="31" xfId="0" applyFont="1" applyFill="1" applyBorder="1" applyNumberFormat="1">
      <alignment vertical="center" wrapText="1"/>
    </xf>
    <xf numFmtId="0" fontId="19" fillId="44" borderId="44" xfId="0" applyFont="1" applyFill="1" applyBorder="1">
      <alignment horizontal="left" vertical="center" indent="1"/>
    </xf>
    <xf numFmtId="0" fontId="19" fillId="44" borderId="31" xfId="0" applyFont="1" applyFill="1" applyBorder="1">
      <alignment horizontal="left" vertical="center" indent="1"/>
    </xf>
    <xf numFmtId="0" fontId="43" fillId="0" borderId="0" xfId="0" applyFont="1">
      <alignment vertical="center"/>
    </xf>
    <xf numFmtId="0" fontId="25" fillId="0" borderId="10" xfId="0" applyFont="1" applyBorder="1">
      <alignment horizontal="left" vertical="center" wrapText="1"/>
    </xf>
    <xf numFmtId="0" fontId="25" fillId="0" borderId="10" xfId="0" applyFont="1" applyBorder="1">
      <alignment horizontal="center" vertical="center" wrapText="1"/>
    </xf>
    <xf numFmtId="4" fontId="43" fillId="34" borderId="10" xfId="0" applyFont="1" applyFill="1" applyBorder="1" applyNumberFormat="1">
      <alignment horizontal="right" vertical="center"/>
      <protection locked="0"/>
    </xf>
    <xf numFmtId="4" fontId="25" fillId="38" borderId="10" xfId="0" applyFont="1" applyFill="1" applyBorder="1" applyNumberFormat="1">
      <alignment vertical="center"/>
    </xf>
    <xf numFmtId="0" fontId="19" fillId="0" borderId="0" xfId="0" applyFont="1">
      <alignment horizontal="center" vertical="center" wrapText="1"/>
    </xf>
    <xf numFmtId="4" fontId="19" fillId="34" borderId="11" xfId="0" applyFont="1" applyFill="1" applyBorder="1" applyNumberFormat="1">
      <alignment horizontal="right" vertical="center" wrapText="1"/>
      <protection locked="0"/>
    </xf>
    <xf numFmtId="49" fontId="19" fillId="0" borderId="11" xfId="0" applyFont="1" applyBorder="1" applyNumberFormat="1">
      <alignment horizontal="center" vertical="center"/>
    </xf>
    <xf numFmtId="0" fontId="19" fillId="0" borderId="11" xfId="0" applyFont="1" applyBorder="1">
      <alignment horizontal="center" vertical="center"/>
    </xf>
    <xf numFmtId="4" fontId="25" fillId="34" borderId="11" xfId="0" applyFont="1" applyFill="1" applyBorder="1" applyNumberFormat="1">
      <alignment vertical="center"/>
      <protection locked="0"/>
    </xf>
    <xf numFmtId="0" fontId="21" fillId="0" borderId="20" xfId="0" applyFont="1" applyBorder="1">
      <alignment horizontal="center" vertical="center" wrapText="1"/>
    </xf>
    <xf numFmtId="4" fontId="21" fillId="34" borderId="19" xfId="0" applyFont="1" applyFill="1" applyBorder="1" applyNumberFormat="1">
      <alignment horizontal="right" vertical="center"/>
      <protection locked="0"/>
    </xf>
    <xf numFmtId="4" fontId="21" fillId="43" borderId="45" xfId="0" applyFont="1" applyFill="1" applyBorder="1" applyNumberFormat="1">
      <alignment horizontal="right" vertical="center"/>
    </xf>
    <xf numFmtId="0" fontId="45" fillId="44" borderId="44" xfId="0" applyFont="1" applyFill="1" applyBorder="1">
      <alignment horizontal="left" vertical="center" indent="1"/>
    </xf>
    <xf numFmtId="4" fontId="46" fillId="42" borderId="17" xfId="0" applyFont="1" applyFill="1" applyBorder="1" applyNumberFormat="1">
      <alignment horizontal="right" vertical="center"/>
    </xf>
    <xf numFmtId="172" fontId="21" fillId="34" borderId="11" xfId="0" applyFont="1" applyFill="1" applyBorder="1" applyNumberFormat="1">
      <alignment horizontal="right" vertical="center"/>
      <protection locked="0"/>
    </xf>
    <xf numFmtId="49" fontId="41" fillId="43" borderId="28" xfId="0" applyFont="1" applyFill="1" applyBorder="1" applyNumberFormat="1">
      <alignment horizontal="left" vertical="center"/>
    </xf>
    <xf numFmtId="49" fontId="21" fillId="34" borderId="11" xfId="0" applyFont="1" applyFill="1" applyBorder="1" applyNumberFormat="1">
      <alignment horizontal="left" vertical="center" wrapText="1"/>
      <protection locked="0"/>
    </xf>
    <xf numFmtId="0" fontId="21" fillId="43" borderId="17" xfId="0" applyFont="1" applyFill="1" applyBorder="1">
      <alignment vertical="center" wrapText="1"/>
    </xf>
    <xf numFmtId="0" fontId="21" fillId="43" borderId="17" xfId="0" applyFont="1" applyFill="1" applyBorder="1">
      <alignment vertical="center"/>
    </xf>
    <xf numFmtId="0" fontId="21" fillId="43" borderId="18" xfId="0" applyFont="1" applyFill="1" applyBorder="1">
      <alignment vertical="center"/>
    </xf>
    <xf numFmtId="0" fontId="21" fillId="43" borderId="28" xfId="0" applyFont="1" applyFill="1" applyBorder="1">
      <alignment vertical="center" wrapText="1"/>
    </xf>
    <xf numFmtId="0" fontId="21" fillId="43" borderId="34" xfId="0" applyFont="1" applyFill="1" applyBorder="1">
      <alignment vertical="center" wrapText="1"/>
    </xf>
    <xf numFmtId="172" fontId="19" fillId="38" borderId="10" xfId="0" applyFont="1" applyFill="1" applyBorder="1" applyNumberFormat="1">
      <alignment horizontal="right" vertical="center"/>
    </xf>
    <xf numFmtId="172" fontId="21" fillId="34" borderId="30" xfId="0" applyFont="1" applyFill="1" applyBorder="1" applyNumberFormat="1">
      <alignment horizontal="right" vertical="center"/>
      <protection locked="0"/>
    </xf>
    <xf numFmtId="172" fontId="21" fillId="34" borderId="19" xfId="0" applyFont="1" applyFill="1" applyBorder="1" applyNumberFormat="1">
      <alignment horizontal="right" vertical="center"/>
      <protection locked="0"/>
    </xf>
    <xf numFmtId="0" fontId="25" fillId="0" borderId="22" xfId="0" applyFont="1" applyBorder="1" quotePrefix="1">
      <alignment horizontal="left" vertical="center" indent="1"/>
    </xf>
    <xf numFmtId="0" fontId="43" fillId="0" borderId="22" xfId="0" applyFont="1" applyBorder="1" quotePrefix="1">
      <alignment horizontal="left" vertical="center" indent="1"/>
    </xf>
    <xf numFmtId="49" fontId="43" fillId="0" borderId="22" xfId="0" applyFont="1" applyBorder="1" applyNumberFormat="1" quotePrefix="1">
      <alignment horizontal="left" vertical="center" indent="1"/>
    </xf>
    <xf numFmtId="0" fontId="31" fillId="0" borderId="0" xfId="0" applyFont="1"/>
    <xf numFmtId="0" fontId="28" fillId="0" borderId="22" xfId="0" applyFont="1" applyBorder="1">
      <alignment horizontal="left" vertical="center" indent="1"/>
    </xf>
    <xf numFmtId="0" fontId="31" fillId="0" borderId="22" xfId="0" applyFont="1" applyBorder="1"/>
    <xf numFmtId="0" fontId="47" fillId="4" borderId="11" xfId="0" applyFont="1" applyFill="1" applyBorder="1">
      <alignment horizontal="center" vertical="center"/>
    </xf>
    <xf numFmtId="0" fontId="31" fillId="4" borderId="11" xfId="0" applyFont="1" applyFill="1" applyBorder="1">
      <alignment vertical="center"/>
    </xf>
    <xf numFmtId="0" fontId="31" fillId="4" borderId="11" xfId="0" applyFont="1" applyFill="1" applyBorder="1">
      <alignment vertical="center" wrapText="1"/>
    </xf>
    <xf numFmtId="0" fontId="31" fillId="0" borderId="0" xfId="0" applyFont="1">
      <alignment horizontal="left" vertical="center" indent="1"/>
    </xf>
    <xf numFmtId="0" fontId="21" fillId="0" borderId="31" xfId="0" applyFont="1" applyBorder="1">
      <alignment vertical="center"/>
    </xf>
    <xf numFmtId="0" fontId="21" fillId="0" borderId="31" xfId="0" applyFont="1" applyBorder="1">
      <alignment vertical="center" wrapText="1"/>
    </xf>
    <xf numFmtId="0" fontId="19" fillId="0" borderId="10" xfId="0" applyFont="1" applyBorder="1">
      <alignment vertical="center" wrapText="1"/>
    </xf>
    <xf numFmtId="0" fontId="19" fillId="0" borderId="31" xfId="0" applyFont="1" applyBorder="1">
      <alignment horizontal="left" vertical="center" wrapText="1" indent="1"/>
    </xf>
    <xf numFmtId="0" fontId="19" fillId="0" borderId="10" xfId="0" applyFont="1" applyBorder="1">
      <alignment horizontal="left" vertical="center" wrapText="1" indent="2"/>
    </xf>
    <xf numFmtId="0" fontId="21" fillId="0" borderId="10" xfId="0" applyFont="1" applyBorder="1">
      <alignment horizontal="left" vertical="center" wrapText="1" indent="3"/>
    </xf>
    <xf numFmtId="0" fontId="19" fillId="0" borderId="44" xfId="0" applyFont="1" applyBorder="1">
      <alignment horizontal="left" vertical="center" wrapText="1" indent="1"/>
    </xf>
    <xf numFmtId="0" fontId="19" fillId="0" borderId="46" xfId="0" applyFont="1" applyBorder="1">
      <alignment vertical="center" wrapText="1"/>
    </xf>
    <xf numFmtId="0" fontId="19" fillId="0" borderId="46" xfId="0" applyFont="1" applyBorder="1">
      <alignment horizontal="left" vertical="center" wrapText="1" indent="1"/>
    </xf>
    <xf numFmtId="0" fontId="19" fillId="0" borderId="44" xfId="0" applyFont="1" applyBorder="1">
      <alignment vertical="center" wrapText="1"/>
    </xf>
    <xf numFmtId="0" fontId="21" fillId="0" borderId="10" xfId="0" applyFont="1" applyBorder="1">
      <alignment horizontal="left" vertical="center" wrapText="1" indent="2"/>
    </xf>
    <xf numFmtId="0" fontId="21" fillId="0" borderId="10" xfId="0" applyFont="1" applyBorder="1">
      <alignment horizontal="left" vertical="center" wrapText="1" indent="1"/>
    </xf>
    <xf numFmtId="0" fontId="19" fillId="0" borderId="43" xfId="0" applyFont="1" applyBorder="1">
      <alignment horizontal="left" vertical="center" wrapText="1"/>
    </xf>
    <xf numFmtId="0" fontId="19" fillId="0" borderId="11" xfId="0" applyFont="1" applyBorder="1">
      <alignment vertical="center" wrapText="1"/>
    </xf>
    <xf numFmtId="0" fontId="21" fillId="0" borderId="11" xfId="0" applyFont="1" applyBorder="1">
      <alignment horizontal="left" vertical="center" indent="1"/>
    </xf>
    <xf numFmtId="0" fontId="21" fillId="0" borderId="11" xfId="0" applyFont="1" applyBorder="1">
      <alignment horizontal="left" vertical="center" indent="2"/>
    </xf>
    <xf numFmtId="172" fontId="19" fillId="0" borderId="0" xfId="0" applyFont="1" applyNumberFormat="1">
      <alignment vertical="top"/>
    </xf>
    <xf numFmtId="172" fontId="27" fillId="0" borderId="0" xfId="0" applyFont="1" applyNumberFormat="1">
      <alignment vertical="top"/>
    </xf>
    <xf numFmtId="172" fontId="21" fillId="38" borderId="10" xfId="0" applyFont="1" applyFill="1" applyBorder="1" applyNumberFormat="1">
      <alignment horizontal="right" vertical="center"/>
    </xf>
    <xf numFmtId="172" fontId="21" fillId="38" borderId="10" xfId="0" applyFont="1" applyFill="1" applyBorder="1" applyNumberFormat="1">
      <alignment horizontal="right" vertical="center"/>
    </xf>
    <xf numFmtId="0" fontId="36" fillId="35" borderId="10" xfId="0" applyFont="1" applyFill="1" applyBorder="1">
      <alignment horizontal="left" vertical="center" wrapText="1" indent="1"/>
      <protection locked="0"/>
    </xf>
    <xf numFmtId="0" fontId="21" fillId="0" borderId="0" xfId="0" applyFont="1">
      <alignment horizontal="left" vertical="center"/>
    </xf>
    <xf numFmtId="49" fontId="43" fillId="0" borderId="22" xfId="0" applyFont="1" applyBorder="1" applyNumberFormat="1">
      <alignment horizontal="left" vertical="center" wrapText="1" indent="4"/>
    </xf>
    <xf numFmtId="49" fontId="43" fillId="0" borderId="0" xfId="0" applyFont="1" applyNumberFormat="1" quotePrefix="1">
      <alignment horizontal="left" vertical="center" wrapText="1" indent="4"/>
    </xf>
    <xf numFmtId="49" fontId="19" fillId="36" borderId="11" xfId="0" applyFont="1" applyFill="1" applyBorder="1" applyNumberFormat="1">
      <alignment horizontal="center" vertical="center" wrapText="1"/>
    </xf>
    <xf numFmtId="4" fontId="19" fillId="38" borderId="11" xfId="0" applyFont="1" applyFill="1" applyBorder="1" applyNumberFormat="1">
      <alignment horizontal="right" vertical="center"/>
    </xf>
    <xf numFmtId="4" fontId="27" fillId="0" borderId="0" xfId="0" applyFont="1" applyNumberFormat="1">
      <alignment horizontal="right" vertical="center"/>
    </xf>
    <xf numFmtId="4" fontId="19" fillId="0" borderId="0" xfId="0" applyFont="1" applyNumberFormat="1">
      <alignment horizontal="right" vertical="center"/>
    </xf>
    <xf numFmtId="0" fontId="21" fillId="0" borderId="11" xfId="0" applyFont="1" applyBorder="1">
      <alignment horizontal="center" vertical="center"/>
    </xf>
    <xf numFmtId="0" fontId="31" fillId="4" borderId="11" xfId="0" applyFont="1" applyFill="1" applyBorder="1" quotePrefix="1">
      <alignment vertical="center" wrapText="1"/>
    </xf>
    <xf numFmtId="0" fontId="19" fillId="0" borderId="21" xfId="0" applyFont="1" applyBorder="1">
      <alignment horizontal="center" vertical="center" wrapText="1"/>
    </xf>
    <xf numFmtId="0" fontId="21" fillId="0" borderId="47" xfId="0" applyFont="1" applyBorder="1">
      <alignment horizontal="center" vertical="center" wrapText="1"/>
    </xf>
    <xf numFmtId="0" fontId="21" fillId="0" borderId="43" xfId="0" applyFont="1" applyBorder="1">
      <alignment horizontal="center" vertical="center" wrapText="1"/>
    </xf>
    <xf numFmtId="0" fontId="25" fillId="0" borderId="11" xfId="0" applyFont="1" applyBorder="1">
      <alignment horizontal="left" vertical="center" wrapText="1" indent="1"/>
    </xf>
    <xf numFmtId="0" fontId="21" fillId="38" borderId="44" xfId="0" applyFont="1" applyFill="1" applyBorder="1">
      <alignment horizontal="left" vertical="center" indent="1"/>
    </xf>
    <xf numFmtId="0" fontId="21" fillId="38" borderId="31" xfId="0" applyFont="1" applyFill="1" applyBorder="1">
      <alignment horizontal="left" vertical="center" indent="1"/>
    </xf>
    <xf numFmtId="0" fontId="48" fillId="0" borderId="0" xfId="0" applyFont="1">
      <alignment vertical="center"/>
    </xf>
    <xf numFmtId="0" fontId="19" fillId="0" borderId="0" xfId="0" applyFont="1">
      <alignment horizontal="left" vertical="center"/>
    </xf>
    <xf numFmtId="0" fontId="19" fillId="0" borderId="0" xfId="0" applyFont="1">
      <alignment horizontal="left" vertical="center"/>
    </xf>
    <xf numFmtId="0" fontId="19" fillId="0" borderId="0" xfId="0" applyFont="1">
      <alignment horizontal="left" vertical="center" indent="2"/>
    </xf>
    <xf numFmtId="49" fontId="41" fillId="43" borderId="41" xfId="0" applyFont="1" applyFill="1" applyBorder="1" applyNumberFormat="1">
      <alignment horizontal="left" vertical="center" wrapText="1"/>
    </xf>
    <xf numFmtId="49" fontId="21" fillId="0" borderId="0" xfId="0" applyFont="1" applyNumberFormat="1"/>
    <xf numFmtId="49" fontId="43" fillId="45" borderId="44" xfId="0" applyFont="1" applyFill="1" applyBorder="1" applyNumberFormat="1">
      <alignment horizontal="left" vertical="center" wrapText="1"/>
    </xf>
    <xf numFmtId="49" fontId="43" fillId="45" borderId="31" xfId="0" applyFont="1" applyFill="1" applyBorder="1" applyNumberFormat="1">
      <alignment horizontal="left" vertical="center" wrapText="1"/>
    </xf>
    <xf numFmtId="0" fontId="19" fillId="36" borderId="48" xfId="0" applyFont="1" applyFill="1" applyBorder="1">
      <alignment horizontal="center" vertical="center" wrapText="1"/>
    </xf>
    <xf numFmtId="0" fontId="19" fillId="0" borderId="0" xfId="0" applyFont="1">
      <alignment horizontal="left" vertical="center"/>
    </xf>
    <xf numFmtId="0" fontId="19" fillId="0" borderId="0" xfId="0" applyFont="1">
      <alignment horizontal="left" vertical="center"/>
    </xf>
    <xf numFmtId="0" fontId="19" fillId="0" borderId="0" xfId="0" applyFont="1">
      <alignment horizontal="left"/>
    </xf>
    <xf numFmtId="0" fontId="21" fillId="0" borderId="0" xfId="0" applyFont="1">
      <alignment horizontal="left"/>
    </xf>
    <xf numFmtId="0" fontId="36" fillId="0" borderId="0" xfId="0" applyFont="1">
      <alignment horizontal="left" vertical="center" wrapText="1"/>
    </xf>
    <xf numFmtId="0" fontId="36" fillId="0" borderId="0" xfId="0" applyFont="1">
      <alignment horizontal="left" vertical="center"/>
    </xf>
    <xf numFmtId="0" fontId="1" fillId="0" borderId="0" xfId="0" applyFont="1"/>
    <xf numFmtId="0" fontId="36" fillId="41" borderId="0" xfId="0" applyFont="1" applyFill="1">
      <alignment vertical="center"/>
    </xf>
    <xf numFmtId="0" fontId="40" fillId="42" borderId="11" xfId="0" applyFont="1" applyFill="1" applyBorder="1">
      <alignment horizontal="left" vertical="center"/>
    </xf>
    <xf numFmtId="4" fontId="25" fillId="34" borderId="11" xfId="0" applyFont="1" applyFill="1" applyBorder="1" applyNumberFormat="1">
      <alignment horizontal="right" vertical="center" wrapText="1"/>
      <protection locked="0"/>
    </xf>
    <xf numFmtId="0" fontId="21" fillId="43" borderId="18" xfId="0" applyFont="1" applyFill="1" applyBorder="1"/>
    <xf numFmtId="0" fontId="26" fillId="41" borderId="0" xfId="0" applyFont="1" applyFill="1">
      <alignment vertical="center"/>
    </xf>
    <xf numFmtId="49" fontId="19" fillId="34" borderId="10" xfId="0" applyFont="1" applyFill="1" applyBorder="1" applyNumberFormat="1">
      <alignment horizontal="left" vertical="center" wrapText="1" indent="1"/>
      <protection locked="0"/>
    </xf>
    <xf numFmtId="0" fontId="49" fillId="0" borderId="0" xfId="0" applyFont="1">
      <alignment vertical="center"/>
    </xf>
    <xf numFmtId="0" fontId="49" fillId="0" borderId="0" xfId="0" applyFont="1">
      <alignment vertical="center" wrapText="1"/>
    </xf>
    <xf numFmtId="0" fontId="50" fillId="0" borderId="0" xfId="0" applyFont="1">
      <alignment vertical="center"/>
    </xf>
    <xf numFmtId="0" fontId="19" fillId="35" borderId="10" xfId="0" applyFont="1" applyFill="1" applyBorder="1">
      <alignment horizontal="left" vertical="center" wrapText="1" indent="1"/>
      <protection locked="0"/>
    </xf>
    <xf numFmtId="0" fontId="19" fillId="35" borderId="10" xfId="0" applyFont="1" applyFill="1" applyBorder="1">
      <alignment horizontal="left" vertical="center" wrapText="1" indent="1"/>
      <protection locked="0"/>
    </xf>
    <xf numFmtId="0" fontId="19" fillId="34" borderId="10" xfId="0" applyFont="1" applyFill="1" applyBorder="1">
      <alignment horizontal="left" vertical="center" wrapText="1" indent="1"/>
      <protection locked="0"/>
    </xf>
    <xf numFmtId="49" fontId="21" fillId="35" borderId="10" xfId="0" applyFont="1" applyFill="1" applyBorder="1" applyNumberFormat="1">
      <alignment horizontal="left" vertical="center" wrapText="1" indent="1"/>
      <protection locked="0"/>
    </xf>
    <xf numFmtId="49" fontId="21" fillId="38" borderId="10" xfId="0" applyFont="1" applyFill="1" applyBorder="1" applyNumberFormat="1">
      <alignment horizontal="left" vertical="center" wrapText="1" indent="1"/>
    </xf>
    <xf numFmtId="49" fontId="19" fillId="0" borderId="31" xfId="0" applyFont="1" applyBorder="1" applyNumberFormat="1">
      <alignment horizontal="right" vertical="center" wrapText="1" indent="1"/>
    </xf>
    <xf numFmtId="49" fontId="19" fillId="0" borderId="10" xfId="0" applyFont="1" applyBorder="1" applyNumberFormat="1">
      <alignment horizontal="right" vertical="center" wrapText="1" indent="1"/>
    </xf>
    <xf numFmtId="49" fontId="41" fillId="43" borderId="42" xfId="0" applyFont="1" applyFill="1" applyBorder="1" applyNumberFormat="1">
      <alignment horizontal="right" vertical="center" wrapText="1" indent="1"/>
    </xf>
    <xf numFmtId="0" fontId="21" fillId="38" borderId="10" xfId="0" applyFont="1" applyFill="1" applyBorder="1">
      <alignment horizontal="left" vertical="center" wrapText="1" indent="1"/>
    </xf>
    <xf numFmtId="0" fontId="19" fillId="38" borderId="10" xfId="0" applyFont="1" applyFill="1" applyBorder="1">
      <alignment horizontal="left" vertical="center" indent="1"/>
    </xf>
    <xf numFmtId="0" fontId="25" fillId="0" borderId="10" xfId="0" applyFont="1" applyBorder="1">
      <alignment horizontal="right" vertical="center" wrapText="1" indent="1"/>
    </xf>
    <xf numFmtId="0" fontId="43" fillId="38" borderId="10" xfId="0" applyFont="1" applyFill="1" applyBorder="1">
      <alignment horizontal="left" vertical="center" wrapText="1" indent="1"/>
    </xf>
    <xf numFmtId="49" fontId="19" fillId="0" borderId="10" xfId="0" applyFont="1" applyBorder="1" applyNumberFormat="1">
      <alignment horizontal="right" vertical="center" wrapText="1" indent="1"/>
    </xf>
    <xf numFmtId="0" fontId="21" fillId="0" borderId="49" xfId="0" applyFont="1" applyBorder="1"/>
    <xf numFmtId="0" fontId="36" fillId="0" borderId="49" xfId="0" applyFont="1" applyBorder="1">
      <alignment vertical="center"/>
    </xf>
    <xf numFmtId="172" fontId="21" fillId="34" borderId="20" xfId="0" applyFont="1" applyFill="1" applyBorder="1" applyNumberFormat="1">
      <alignment horizontal="right" vertical="center"/>
      <protection locked="0"/>
    </xf>
    <xf numFmtId="49" fontId="19" fillId="38" borderId="11" xfId="0" applyFont="1" applyFill="1" applyBorder="1" applyNumberFormat="1">
      <alignment horizontal="left" vertical="center" wrapText="1" indent="1"/>
    </xf>
    <xf numFmtId="49" fontId="49" fillId="0" borderId="0" xfId="0" applyFont="1" applyNumberFormat="1">
      <alignment vertical="top"/>
    </xf>
    <xf numFmtId="49" fontId="43" fillId="45" borderId="43" xfId="0" applyFont="1" applyFill="1" applyBorder="1" applyNumberFormat="1">
      <alignment horizontal="left" vertical="center"/>
    </xf>
    <xf numFmtId="4" fontId="21" fillId="0" borderId="19" xfId="0" applyFont="1" applyBorder="1" applyNumberFormat="1">
      <alignment horizontal="right" vertical="center"/>
    </xf>
    <xf numFmtId="0" fontId="26" fillId="46" borderId="0" xfId="0" applyFont="1" applyFill="1">
      <alignment vertical="center" wrapText="1"/>
    </xf>
    <xf numFmtId="0" fontId="26" fillId="47" borderId="0" xfId="0" applyFont="1" applyFill="1">
      <alignment vertical="center" wrapText="1"/>
    </xf>
    <xf numFmtId="0" fontId="26" fillId="47" borderId="0" xfId="0" applyFont="1" applyFill="1">
      <alignment vertical="center"/>
    </xf>
    <xf numFmtId="0" fontId="26" fillId="47" borderId="0" xfId="0" applyFont="1" applyFill="1">
      <alignment vertical="center"/>
    </xf>
    <xf numFmtId="0" fontId="51" fillId="0" borderId="0" xfId="0" applyFont="1">
      <alignment horizontal="left" vertical="center"/>
    </xf>
    <xf numFmtId="49" fontId="38" fillId="39" borderId="0" xfId="0" applyFont="1" applyFill="1" applyNumberFormat="1">
      <alignment horizontal="center" vertical="top"/>
    </xf>
    <xf numFmtId="49" fontId="26" fillId="40" borderId="0" xfId="0" applyFont="1" applyFill="1" applyNumberFormat="1">
      <alignment horizontal="right"/>
    </xf>
    <xf numFmtId="0" fontId="19" fillId="0" borderId="0" xfId="0" applyFont="1">
      <alignment vertical="top"/>
    </xf>
    <xf numFmtId="49" fontId="52" fillId="34" borderId="10" xfId="0" applyFont="1" applyFill="1" applyBorder="1" applyNumberFormat="1">
      <alignment horizontal="left" vertical="center" wrapText="1" indent="1"/>
    </xf>
    <xf numFmtId="49" fontId="19" fillId="34"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53" fillId="0" borderId="0" xfId="0" applyFont="1" applyNumberFormat="1">
      <alignment horizontal="center" vertical="center" wrapText="1"/>
    </xf>
    <xf numFmtId="0" fontId="54" fillId="0" borderId="0" xfId="0" applyFont="1">
      <alignment wrapText="1"/>
    </xf>
    <xf numFmtId="49" fontId="55" fillId="0" borderId="0" xfId="0" applyFont="1" applyNumberFormat="1">
      <alignment wrapText="1"/>
    </xf>
    <xf numFmtId="49" fontId="26" fillId="36" borderId="0" xfId="0" applyFont="1" applyFill="1" applyNumberFormat="1">
      <alignment vertical="center" wrapText="1"/>
    </xf>
    <xf numFmtId="49" fontId="29" fillId="48" borderId="0" xfId="0" applyFont="1" applyFill="1" applyNumberFormat="1">
      <alignment vertical="center" wrapText="1"/>
    </xf>
    <xf numFmtId="49" fontId="19" fillId="0" borderId="0" xfId="0" applyFont="1" applyNumberFormat="1">
      <alignment vertical="center"/>
    </xf>
    <xf numFmtId="0" fontId="19" fillId="0" borderId="0" xfId="0" applyFont="1"/>
    <xf numFmtId="0" fontId="0" fillId="0" borderId="0" xfId="0" applyFont="1">
      <alignment horizontal="center" vertical="center"/>
    </xf>
    <xf numFmtId="0" fontId="0" fillId="0" borderId="0" xfId="0" applyFont="1">
      <alignment horizontal="center"/>
    </xf>
    <xf numFmtId="0" fontId="0" fillId="0" borderId="0" xfId="0" applyFont="1">
      <alignment horizontal="center" vertical="center" wrapText="1"/>
    </xf>
    <xf numFmtId="49" fontId="0" fillId="0" borderId="0" xfId="0" applyFont="1" applyNumberFormat="1">
      <alignment horizontal="center" vertical="top"/>
    </xf>
    <xf numFmtId="0" fontId="34" fillId="0" borderId="0" xfId="0" applyFont="1">
      <alignment horizontal="center"/>
    </xf>
    <xf numFmtId="0" fontId="51" fillId="0" borderId="0" xfId="0" applyFont="1">
      <alignment horizontal="center" vertical="center"/>
    </xf>
    <xf numFmtId="0" fontId="51" fillId="0" borderId="0" xfId="0" applyFont="1">
      <alignment horizontal="center" vertical="center" wrapText="1"/>
    </xf>
    <xf numFmtId="0" fontId="56" fillId="0" borderId="0" xfId="0" applyFont="1">
      <alignment horizontal="center" vertical="center" wrapText="1"/>
    </xf>
    <xf numFmtId="0" fontId="56" fillId="0" borderId="0" xfId="0" applyFont="1">
      <alignment horizontal="center" vertical="center"/>
    </xf>
    <xf numFmtId="49" fontId="57" fillId="0" borderId="0" xfId="0" applyFont="1" applyNumberFormat="1">
      <alignment horizontal="center" wrapText="1"/>
    </xf>
    <xf numFmtId="0" fontId="58" fillId="0" borderId="0" xfId="0" applyFont="1">
      <alignment horizontal="center"/>
    </xf>
    <xf numFmtId="0" fontId="59" fillId="0" borderId="0" xfId="0" applyFont="1">
      <alignment horizontal="center" vertical="top" wrapText="1"/>
    </xf>
    <xf numFmtId="49" fontId="0" fillId="0" borderId="0" xfId="0" applyFont="1" applyNumberFormat="1">
      <alignment horizontal="center" vertical="center" wrapText="1"/>
    </xf>
    <xf numFmtId="0" fontId="51" fillId="0" borderId="0" xfId="0" applyFont="1">
      <alignment horizontal="center"/>
    </xf>
    <xf numFmtId="0" fontId="56" fillId="0" borderId="0" xfId="0" applyFont="1">
      <alignment horizontal="center"/>
    </xf>
    <xf numFmtId="0" fontId="0" fillId="0" borderId="0" xfId="0" applyFont="1">
      <alignment horizontal="center"/>
    </xf>
    <xf numFmtId="0" fontId="0" fillId="0" borderId="0" xfId="0" applyFont="1">
      <alignment horizontal="center" wrapText="1"/>
    </xf>
    <xf numFmtId="0" fontId="59" fillId="0" borderId="0" xfId="0" applyFont="1">
      <alignment horizontal="center"/>
    </xf>
    <xf numFmtId="0" fontId="0" fillId="25" borderId="0" xfId="0" applyFont="1" applyFill="1">
      <alignment horizontal="center" vertical="center"/>
    </xf>
    <xf numFmtId="0" fontId="0" fillId="25" borderId="0" xfId="0" applyFont="1" applyFill="1">
      <alignment horizontal="center"/>
    </xf>
    <xf numFmtId="0" fontId="0" fillId="25" borderId="0" xfId="0" applyFont="1" applyFill="1">
      <alignment horizontal="center"/>
    </xf>
    <xf numFmtId="0" fontId="60" fillId="0" borderId="0" xfId="0" applyFont="1"/>
    <xf numFmtId="49" fontId="19" fillId="0" borderId="0" xfId="0" applyFont="1" applyNumberFormat="1">
      <alignment vertical="center"/>
    </xf>
    <xf numFmtId="0" fontId="60" fillId="0" borderId="22" xfId="0" applyFont="1" applyBorder="1">
      <alignment vertical="center"/>
    </xf>
    <xf numFmtId="49" fontId="61" fillId="0" borderId="0" xfId="0" applyFont="1" applyNumberFormat="1">
      <alignment horizontal="center" vertical="center" wrapText="1"/>
    </xf>
    <xf numFmtId="0" fontId="19" fillId="0" borderId="11" xfId="0" applyFont="1" applyBorder="1">
      <alignment horizontal="left" vertical="center" wrapText="1"/>
    </xf>
    <xf numFmtId="0" fontId="19" fillId="35" borderId="11" xfId="0" applyFont="1" applyFill="1" applyBorder="1">
      <alignment horizontal="left" vertical="center" wrapText="1" indent="1"/>
      <protection locked="0"/>
    </xf>
    <xf numFmtId="0" fontId="19" fillId="0" borderId="16" xfId="0" applyFont="1" applyBorder="1">
      <alignment horizontal="right" vertical="center" wrapText="1" indent="1"/>
    </xf>
    <xf numFmtId="0" fontId="19" fillId="0" borderId="17" xfId="0" applyFont="1" applyBorder="1">
      <alignment horizontal="right" vertical="center" wrapText="1" indent="1"/>
    </xf>
    <xf numFmtId="0" fontId="19" fillId="0" borderId="18" xfId="0" applyFont="1" applyBorder="1">
      <alignment horizontal="right" vertical="center" wrapText="1" indent="1"/>
    </xf>
    <xf numFmtId="0" fontId="19" fillId="35" borderId="11" xfId="0" applyFont="1" applyFill="1" applyBorder="1">
      <alignment horizontal="left" vertical="center" wrapText="1" indent="1"/>
      <protection locked="0"/>
    </xf>
    <xf numFmtId="0" fontId="19" fillId="35" borderId="11" xfId="0" applyFont="1" applyFill="1" applyBorder="1">
      <alignment horizontal="left" vertical="center" wrapText="1" indent="1"/>
      <protection locked="0"/>
    </xf>
    <xf numFmtId="49" fontId="38" fillId="39" borderId="0" xfId="0" applyFont="1" applyFill="1" applyNumberFormat="1">
      <alignment horizontal="center" vertical="center"/>
    </xf>
    <xf numFmtId="49" fontId="26" fillId="40" borderId="0" xfId="0" applyFont="1" applyFill="1" applyNumberFormat="1">
      <alignment vertical="center" wrapText="1"/>
    </xf>
    <xf numFmtId="0" fontId="47" fillId="4" borderId="11" xfId="0" applyFont="1" applyFill="1" applyBorder="1">
      <alignment horizontal="center" vertical="center"/>
    </xf>
    <xf numFmtId="0" fontId="31" fillId="4" borderId="11" xfId="0" applyFont="1" applyFill="1" applyBorder="1">
      <alignment vertical="center"/>
    </xf>
    <xf numFmtId="0" fontId="31" fillId="4" borderId="11" xfId="0" applyFont="1" applyFill="1" applyBorder="1">
      <alignment vertical="center" wrapText="1"/>
    </xf>
    <xf numFmtId="0" fontId="31" fillId="4" borderId="11" xfId="0" applyFont="1" applyFill="1" applyBorder="1" quotePrefix="1">
      <alignment vertical="center" wrapText="1"/>
    </xf>
    <xf numFmtId="0" fontId="21" fillId="49" borderId="0" xfId="0" applyFont="1" applyFill="1">
      <alignment horizontal="center" vertical="center"/>
    </xf>
    <xf numFmtId="49" fontId="19" fillId="49" borderId="0" xfId="0" applyFont="1" applyFill="1" applyNumberFormat="1">
      <alignment horizontal="center" vertical="center"/>
    </xf>
    <xf numFmtId="0" fontId="19" fillId="49" borderId="0" xfId="0" applyFont="1" applyFill="1">
      <alignment horizontal="center" vertical="center"/>
    </xf>
    <xf numFmtId="0" fontId="19" fillId="0" borderId="0" xfId="0" applyFont="1">
      <alignment vertical="center" wrapText="1"/>
    </xf>
    <xf numFmtId="0" fontId="19" fillId="0" borderId="0" xfId="0" applyFont="1">
      <alignment vertical="top"/>
    </xf>
    <xf numFmtId="0" fontId="62" fillId="0" borderId="0" xfId="0" applyFont="1">
      <alignment wrapText="1"/>
    </xf>
    <xf numFmtId="0" fontId="19" fillId="0" borderId="0" xfId="0" applyFont="1">
      <alignment horizontal="center" vertical="center" wrapText="1"/>
    </xf>
    <xf numFmtId="0" fontId="19" fillId="0" borderId="0" xfId="0" applyFont="1">
      <alignment horizontal="center" wrapText="1"/>
    </xf>
    <xf numFmtId="0" fontId="19" fillId="0" borderId="0" xfId="0" applyFont="1">
      <alignment vertical="center" wrapText="1"/>
    </xf>
    <xf numFmtId="0" fontId="19" fillId="0" borderId="0" xfId="0" applyFont="1"/>
    <xf numFmtId="0" fontId="49" fillId="0" borderId="0" xfId="0" applyFont="1">
      <alignment horizontal="center" vertical="center"/>
    </xf>
    <xf numFmtId="0" fontId="50" fillId="0" borderId="0" xfId="0" applyFont="1">
      <alignment horizontal="center" vertical="center"/>
    </xf>
    <xf numFmtId="0" fontId="49" fillId="0" borderId="0" xfId="0" applyFont="1">
      <alignment horizontal="left" vertical="center" wrapText="1"/>
    </xf>
    <xf numFmtId="0" fontId="63" fillId="0" borderId="0" xfId="0" applyFont="1">
      <alignment vertical="center" wrapText="1"/>
    </xf>
    <xf numFmtId="0" fontId="63" fillId="0" borderId="0" xfId="0" applyFont="1">
      <alignment vertical="center"/>
    </xf>
    <xf numFmtId="0" fontId="64" fillId="0" borderId="0" xfId="0" applyFont="1">
      <alignment vertical="center"/>
    </xf>
    <xf numFmtId="0" fontId="65" fillId="0" borderId="0" xfId="0" applyFont="1">
      <alignment vertical="center"/>
    </xf>
    <xf numFmtId="0" fontId="19" fillId="0" borderId="0" xfId="0" applyFont="1">
      <alignment vertical="top"/>
    </xf>
    <xf numFmtId="0" fontId="32" fillId="0" borderId="0" xfId="0" applyFont="1">
      <alignment horizontal="center" vertical="center" wrapText="1"/>
    </xf>
    <xf numFmtId="0" fontId="32" fillId="0" borderId="0" xfId="0" applyFont="1">
      <alignment vertical="center"/>
    </xf>
    <xf numFmtId="0" fontId="32" fillId="0" borderId="0" xfId="0" applyFont="1">
      <alignment horizontal="center" vertical="center"/>
    </xf>
    <xf numFmtId="0" fontId="32" fillId="0" borderId="0" xfId="0" applyFont="1">
      <alignment vertical="center" wrapText="1"/>
    </xf>
    <xf numFmtId="49" fontId="32" fillId="0" borderId="0" xfId="0" applyFont="1" applyNumberFormat="1">
      <alignment vertical="top"/>
    </xf>
    <xf numFmtId="0" fontId="19" fillId="0" borderId="0" xfId="0" applyFont="1"/>
    <xf numFmtId="0" fontId="21" fillId="0" borderId="0" xfId="0" applyFont="1">
      <alignment vertical="center"/>
    </xf>
    <xf numFmtId="0" fontId="25" fillId="0" borderId="31" xfId="0" applyFont="1" applyBorder="1">
      <alignment horizontal="right" vertical="center" wrapText="1" indent="1"/>
    </xf>
    <xf numFmtId="0" fontId="43" fillId="0" borderId="10" xfId="0" applyFont="1" applyBorder="1">
      <alignment horizontal="left" vertical="center" wrapText="1" indent="1"/>
    </xf>
    <xf numFmtId="49" fontId="41" fillId="43" borderId="38" xfId="0" applyFont="1" applyFill="1" applyBorder="1" applyNumberFormat="1">
      <alignment horizontal="right" vertical="center" wrapText="1" indent="1"/>
    </xf>
    <xf numFmtId="0" fontId="19" fillId="0" borderId="0" xfId="0" applyFont="1">
      <alignment vertical="center"/>
    </xf>
    <xf numFmtId="0" fontId="32" fillId="0" borderId="0" xfId="0" applyFont="1">
      <alignment horizontal="left" vertical="center"/>
    </xf>
    <xf numFmtId="0" fontId="21" fillId="25" borderId="0" xfId="0" applyFont="1" applyFill="1"/>
    <xf numFmtId="0" fontId="32" fillId="0" borderId="0" xfId="0" applyFont="1">
      <alignment horizontal="center"/>
    </xf>
    <xf numFmtId="0" fontId="66" fillId="0" borderId="0" xfId="0" applyFont="1"/>
    <xf numFmtId="0" fontId="67" fillId="0" borderId="0" xfId="0" applyFont="1">
      <alignment vertical="center"/>
    </xf>
    <xf numFmtId="0" fontId="19" fillId="0" borderId="0" xfId="0" applyFont="1">
      <alignment vertical="top"/>
    </xf>
    <xf numFmtId="0" fontId="19" fillId="25" borderId="0" xfId="0" applyFont="1" applyFill="1">
      <alignment horizontal="center"/>
    </xf>
    <xf numFmtId="0" fontId="19" fillId="49" borderId="0" xfId="0" applyFont="1" applyFill="1">
      <alignment horizontal="center" vertical="center"/>
    </xf>
    <xf numFmtId="49" fontId="21" fillId="49" borderId="0" xfId="0" applyFont="1" applyFill="1" applyNumberFormat="1">
      <alignment horizontal="center" vertical="center"/>
    </xf>
    <xf numFmtId="0" fontId="19" fillId="49" borderId="0" xfId="0" applyFont="1" applyFill="1">
      <alignment horizontal="left" vertical="center"/>
    </xf>
    <xf numFmtId="0" fontId="19" fillId="0" borderId="0" xfId="0" applyFont="1">
      <alignment vertical="center"/>
    </xf>
    <xf numFmtId="0" fontId="21" fillId="43" borderId="17" xfId="0" applyFont="1" applyFill="1" applyBorder="1">
      <alignment vertical="center" wrapText="1"/>
    </xf>
    <xf numFmtId="0" fontId="21" fillId="43" borderId="17" xfId="0" applyFont="1" applyFill="1" applyBorder="1">
      <alignment vertical="center"/>
    </xf>
    <xf numFmtId="0" fontId="21" fillId="43" borderId="18" xfId="0" applyFont="1" applyFill="1" applyBorder="1">
      <alignment vertical="center" wrapText="1"/>
    </xf>
    <xf numFmtId="0" fontId="21" fillId="0" borderId="0" xfId="0" applyFont="1">
      <alignment vertical="center" wrapText="1"/>
    </xf>
    <xf numFmtId="49" fontId="21" fillId="0" borderId="0" xfId="0" applyFont="1" applyNumberFormat="1">
      <alignment horizontal="center" vertical="center"/>
    </xf>
    <xf numFmtId="0" fontId="19" fillId="0" borderId="0" xfId="0" applyFont="1">
      <alignment horizontal="center" vertical="center" wrapText="1"/>
    </xf>
    <xf numFmtId="0" fontId="0" fillId="0" borderId="0" xfId="0" applyFont="1">
      <alignment horizontal="center" vertical="center"/>
    </xf>
    <xf numFmtId="0" fontId="21" fillId="0" borderId="0" xfId="0" applyFont="1">
      <alignment horizontal="center" vertical="center"/>
    </xf>
    <xf numFmtId="49" fontId="19" fillId="0" borderId="0" xfId="0" applyFont="1" applyNumberFormat="1">
      <alignment horizontal="center" vertical="center"/>
    </xf>
    <xf numFmtId="49" fontId="41" fillId="43" borderId="17" xfId="0" applyFont="1" applyFill="1" applyBorder="1" applyNumberFormat="1">
      <alignment vertical="center"/>
    </xf>
    <xf numFmtId="49" fontId="19" fillId="0" borderId="10" xfId="0" applyFont="1" applyBorder="1" applyNumberFormat="1">
      <alignment horizontal="center" vertical="center" wrapText="1"/>
    </xf>
    <xf numFmtId="0" fontId="21" fillId="0" borderId="0" xfId="0" applyFont="1">
      <alignment vertical="center"/>
    </xf>
    <xf numFmtId="0" fontId="21" fillId="0" borderId="0" xfId="0" applyFont="1"/>
    <xf numFmtId="0" fontId="21" fillId="0" borderId="0" xfId="0" applyFont="1">
      <alignment horizontal="left" vertical="center"/>
    </xf>
    <xf numFmtId="0" fontId="21" fillId="0" borderId="11" xfId="0" applyFont="1" applyBorder="1">
      <alignment horizontal="center" vertical="center" wrapText="1"/>
    </xf>
    <xf numFmtId="0" fontId="19" fillId="0" borderId="0" xfId="0" applyFont="1">
      <alignment horizontal="center" vertical="center"/>
    </xf>
    <xf numFmtId="49" fontId="19" fillId="0" borderId="0" xfId="0" applyFont="1" applyNumberFormat="1">
      <alignment horizontal="center" vertical="center"/>
    </xf>
    <xf numFmtId="0" fontId="19" fillId="0" borderId="0" xfId="0" applyFont="1">
      <alignment horizontal="center"/>
    </xf>
    <xf numFmtId="0" fontId="19" fillId="0" borderId="0" xfId="0" applyFont="1">
      <alignment horizontal="left" vertical="center"/>
    </xf>
    <xf numFmtId="0" fontId="25" fillId="0" borderId="0" xfId="0" applyFont="1">
      <alignment horizontal="center"/>
    </xf>
    <xf numFmtId="0" fontId="25" fillId="0" borderId="0" xfId="0" applyFont="1"/>
    <xf numFmtId="49" fontId="19" fillId="0" borderId="10" xfId="0" applyFont="1" applyBorder="1" applyNumberFormat="1">
      <alignment horizontal="left" vertical="center" wrapText="1"/>
    </xf>
    <xf numFmtId="4" fontId="19" fillId="38" borderId="10" xfId="0" applyFont="1" applyFill="1" applyBorder="1" applyNumberFormat="1">
      <alignment horizontal="right" vertical="center" wrapText="1"/>
    </xf>
    <xf numFmtId="49" fontId="19" fillId="0" borderId="50" xfId="0" applyFont="1" applyBorder="1" applyNumberFormat="1">
      <alignment horizontal="center" vertical="center" wrapText="1"/>
    </xf>
    <xf numFmtId="49" fontId="19" fillId="0" borderId="50" xfId="0" applyFont="1" applyBorder="1" applyNumberFormat="1">
      <alignment horizontal="left" vertical="center" wrapText="1" indent="1"/>
    </xf>
    <xf numFmtId="172" fontId="19" fillId="38" borderId="10" xfId="0" applyFont="1" applyFill="1" applyBorder="1" applyNumberFormat="1">
      <alignment horizontal="right" vertical="center" wrapText="1"/>
    </xf>
    <xf numFmtId="49" fontId="25" fillId="0" borderId="10" xfId="0" applyFont="1" applyBorder="1" applyNumberFormat="1">
      <alignment horizontal="left" vertical="center" wrapText="1"/>
    </xf>
    <xf numFmtId="4" fontId="25" fillId="38" borderId="10" xfId="0" applyFont="1" applyFill="1" applyBorder="1" applyNumberFormat="1">
      <alignment horizontal="right" vertical="center" wrapText="1"/>
    </xf>
    <xf numFmtId="1" fontId="19" fillId="0" borderId="10" xfId="0" applyFont="1" applyBorder="1" applyNumberFormat="1">
      <alignment horizontal="center" vertical="center" wrapText="1"/>
    </xf>
    <xf numFmtId="4" fontId="19" fillId="34" borderId="10" xfId="0" applyFont="1" applyFill="1" applyBorder="1" applyNumberFormat="1">
      <alignment horizontal="right" vertical="center" wrapText="1"/>
      <protection locked="0"/>
    </xf>
    <xf numFmtId="0" fontId="19" fillId="0" borderId="0" xfId="0" applyFont="1">
      <alignment horizontal="center" vertical="center"/>
    </xf>
    <xf numFmtId="0" fontId="19" fillId="0" borderId="0" xfId="0" applyFont="1">
      <alignment vertical="center" wrapText="1"/>
    </xf>
    <xf numFmtId="4" fontId="19" fillId="0" borderId="0" xfId="0" applyFont="1" applyNumberFormat="1">
      <alignment horizontal="center" vertical="center"/>
    </xf>
    <xf numFmtId="0" fontId="0" fillId="0" borderId="0" xfId="0" applyFont="1"/>
    <xf numFmtId="0" fontId="19" fillId="25" borderId="0" xfId="0" applyFont="1" applyFill="1">
      <alignment horizontal="center"/>
    </xf>
    <xf numFmtId="0" fontId="21" fillId="0" borderId="0" xfId="0" applyFont="1">
      <alignment vertical="center"/>
    </xf>
    <xf numFmtId="49" fontId="43" fillId="0" borderId="22" xfId="0" applyFont="1" applyBorder="1" applyNumberFormat="1">
      <alignment vertical="center" wrapText="1"/>
    </xf>
    <xf numFmtId="0" fontId="21" fillId="0" borderId="11" xfId="0" applyFont="1" applyBorder="1">
      <alignment horizontal="center" vertical="center" wrapText="1"/>
    </xf>
    <xf numFmtId="172" fontId="40" fillId="42" borderId="17" xfId="0" applyFont="1" applyFill="1" applyBorder="1" applyNumberFormat="1">
      <alignment horizontal="right" vertical="center"/>
    </xf>
    <xf numFmtId="172" fontId="0" fillId="38" borderId="10" xfId="0" applyFont="1" applyFill="1" applyBorder="1" applyNumberFormat="1">
      <alignment vertical="center" wrapText="1"/>
    </xf>
    <xf numFmtId="49" fontId="25" fillId="0" borderId="10" xfId="0" applyFont="1" applyBorder="1" applyNumberFormat="1">
      <alignment horizontal="left" vertical="center" wrapText="1" shrinkToFit="1"/>
    </xf>
    <xf numFmtId="49" fontId="25" fillId="0" borderId="43" xfId="0" applyFont="1" applyBorder="1" applyNumberFormat="1">
      <alignment horizontal="center" vertical="center" wrapText="1" shrinkToFit="1"/>
    </xf>
    <xf numFmtId="49" fontId="19" fillId="0" borderId="10" xfId="0" applyFont="1" applyBorder="1" applyNumberFormat="1">
      <alignment horizontal="left" vertical="center" wrapText="1" shrinkToFit="1" indent="1"/>
    </xf>
    <xf numFmtId="49" fontId="19" fillId="0" borderId="43" xfId="0" applyFont="1" applyBorder="1" applyNumberFormat="1">
      <alignment horizontal="center" vertical="center" wrapText="1" shrinkToFit="1"/>
    </xf>
    <xf numFmtId="49" fontId="19" fillId="0" borderId="10" xfId="0" applyFont="1" applyBorder="1" applyNumberFormat="1">
      <alignment horizontal="left" vertical="center" wrapText="1" shrinkToFit="1" indent="2"/>
    </xf>
    <xf numFmtId="49" fontId="19" fillId="0" borderId="10" xfId="0" applyFont="1" applyBorder="1" applyNumberFormat="1">
      <alignment horizontal="left" vertical="center" wrapText="1" shrinkToFit="1" indent="3"/>
    </xf>
    <xf numFmtId="49" fontId="19" fillId="0" borderId="10" xfId="0" applyFont="1" applyBorder="1" applyNumberFormat="1">
      <alignment horizontal="left" vertical="center" wrapText="1" shrinkToFit="1" indent="4"/>
    </xf>
    <xf numFmtId="49" fontId="19" fillId="0" borderId="10" xfId="0" applyFont="1" applyBorder="1" applyNumberFormat="1">
      <alignment horizontal="left" vertical="center" wrapText="1" shrinkToFit="1" indent="3"/>
    </xf>
    <xf numFmtId="49" fontId="19" fillId="0" borderId="43" xfId="0" applyFont="1" applyBorder="1" applyNumberFormat="1">
      <alignment horizontal="center" vertical="center" wrapText="1" shrinkToFit="1"/>
    </xf>
    <xf numFmtId="49" fontId="19" fillId="0" borderId="10" xfId="0" applyFont="1" applyBorder="1" applyNumberFormat="1">
      <alignment horizontal="left" vertical="center" wrapText="1" shrinkToFit="1" indent="1"/>
    </xf>
    <xf numFmtId="0" fontId="21" fillId="0" borderId="0" xfId="0" applyFont="1">
      <alignment vertical="center"/>
    </xf>
    <xf numFmtId="0" fontId="21" fillId="0" borderId="11" xfId="0" applyFont="1" applyBorder="1">
      <alignment horizontal="center" vertical="center" wrapText="1"/>
    </xf>
    <xf numFmtId="4" fontId="21" fillId="38" borderId="11" xfId="0" applyFont="1" applyFill="1" applyBorder="1" applyNumberFormat="1">
      <alignment horizontal="right" vertical="center" wrapText="1"/>
    </xf>
    <xf numFmtId="4" fontId="21" fillId="34" borderId="11" xfId="0" applyFont="1" applyFill="1" applyBorder="1" applyNumberFormat="1">
      <alignment horizontal="right" vertical="center" wrapText="1"/>
      <protection locked="0"/>
    </xf>
    <xf numFmtId="0" fontId="21" fillId="0" borderId="0" xfId="0" applyFont="1">
      <alignment vertical="center"/>
    </xf>
    <xf numFmtId="49" fontId="25" fillId="0" borderId="44" xfId="0" applyFont="1" applyBorder="1" applyNumberFormat="1">
      <alignment vertical="center" wrapText="1"/>
    </xf>
    <xf numFmtId="49" fontId="19" fillId="0" borderId="10" xfId="0" applyFont="1" applyBorder="1" applyNumberFormat="1">
      <alignment horizontal="left" vertical="center" wrapText="1" shrinkToFit="1"/>
    </xf>
    <xf numFmtId="0" fontId="19" fillId="0" borderId="10" xfId="0" applyFont="1" applyBorder="1">
      <alignment horizontal="left" vertical="center" wrapText="1" shrinkToFit="1" indent="1"/>
    </xf>
    <xf numFmtId="49" fontId="19" fillId="0" borderId="0" xfId="0" applyFont="1" applyNumberFormat="1"/>
    <xf numFmtId="49" fontId="19" fillId="0" borderId="0" xfId="0" applyFont="1" applyNumberFormat="1">
      <alignment horizontal="center" vertical="top"/>
    </xf>
    <xf numFmtId="49" fontId="41" fillId="0" borderId="47" xfId="0" applyFont="1" applyBorder="1" applyNumberFormat="1">
      <alignment horizontal="left" vertical="center" wrapText="1"/>
    </xf>
    <xf numFmtId="49" fontId="41" fillId="0" borderId="51" xfId="0" applyFont="1" applyBorder="1" applyNumberFormat="1">
      <alignment horizontal="left" vertical="center" wrapText="1"/>
    </xf>
    <xf numFmtId="49" fontId="41" fillId="0" borderId="52" xfId="0" applyFont="1" applyBorder="1" applyNumberFormat="1">
      <alignment horizontal="left" vertical="center" wrapText="1"/>
    </xf>
    <xf numFmtId="0" fontId="19" fillId="0" borderId="0" xfId="0" applyFont="1"/>
    <xf numFmtId="0" fontId="19" fillId="0" borderId="0" xfId="0" applyFont="1">
      <alignment vertical="center" wrapText="1"/>
    </xf>
    <xf numFmtId="0" fontId="19" fillId="38" borderId="17" xfId="0" applyFont="1" applyFill="1" applyBorder="1">
      <alignment horizontal="left" vertical="center"/>
    </xf>
    <xf numFmtId="0" fontId="26" fillId="50" borderId="0" xfId="0" applyFont="1" applyFill="1">
      <alignment vertical="center"/>
    </xf>
    <xf numFmtId="0" fontId="26" fillId="40" borderId="0" xfId="0" applyFont="1" applyFill="1">
      <alignment vertical="center"/>
    </xf>
    <xf numFmtId="49" fontId="67" fillId="50" borderId="0" xfId="0" applyFont="1" applyFill="1" applyNumberFormat="1">
      <alignment vertical="center" wrapText="1"/>
    </xf>
    <xf numFmtId="0" fontId="21" fillId="0" borderId="31" xfId="0" applyFont="1" applyBorder="1">
      <alignment vertical="center" wrapText="1"/>
    </xf>
    <xf numFmtId="0" fontId="21" fillId="0" borderId="51" xfId="0" applyFont="1" applyBorder="1">
      <alignment horizontal="center" vertical="center" wrapText="1"/>
    </xf>
    <xf numFmtId="0" fontId="21" fillId="0" borderId="31" xfId="0" applyFont="1" applyBorder="1">
      <alignment horizontal="center" vertical="center" wrapText="1"/>
    </xf>
    <xf numFmtId="0" fontId="1" fillId="0" borderId="0" xfId="0" applyFont="1"/>
    <xf numFmtId="0" fontId="36" fillId="0" borderId="0" xfId="0" applyFont="1">
      <alignment vertical="center"/>
    </xf>
    <xf numFmtId="0" fontId="21" fillId="0" borderId="0" xfId="0" applyFont="1">
      <alignment vertical="center"/>
    </xf>
    <xf numFmtId="0" fontId="31" fillId="0" borderId="0" xfId="0" applyFont="1">
      <alignment horizontal="left" vertical="center"/>
    </xf>
    <xf numFmtId="49" fontId="43" fillId="0" borderId="22" xfId="0" applyFont="1" applyBorder="1" applyNumberFormat="1" quotePrefix="1">
      <alignment horizontal="left" vertical="center" indent="1"/>
    </xf>
    <xf numFmtId="49" fontId="37" fillId="0" borderId="22" xfId="0" applyFont="1" applyBorder="1" applyNumberFormat="1">
      <alignment vertical="center"/>
    </xf>
    <xf numFmtId="49" fontId="37" fillId="0" borderId="0" xfId="0" applyFont="1" applyNumberFormat="1">
      <alignment horizontal="left" vertical="center" wrapText="1" indent="4"/>
    </xf>
    <xf numFmtId="0" fontId="21" fillId="0" borderId="11" xfId="0" applyFont="1" applyBorder="1">
      <alignment horizontal="center" vertical="center" wrapText="1"/>
    </xf>
    <xf numFmtId="0" fontId="21" fillId="0" borderId="11" xfId="0" applyFont="1" applyBorder="1">
      <alignment horizontal="center" vertical="center" wrapText="1"/>
    </xf>
    <xf numFmtId="0" fontId="40" fillId="42" borderId="0" xfId="0" applyFont="1" applyFill="1">
      <alignment horizontal="left" vertical="center"/>
    </xf>
    <xf numFmtId="0" fontId="21" fillId="0" borderId="0" xfId="0" applyFont="1"/>
    <xf numFmtId="0" fontId="17" fillId="0" borderId="0" xfId="0" applyFont="1"/>
    <xf numFmtId="0" fontId="25" fillId="0" borderId="11" xfId="0" applyFont="1" applyBorder="1">
      <alignment vertical="center" wrapText="1"/>
    </xf>
    <xf numFmtId="0" fontId="25" fillId="0" borderId="11" xfId="0" applyFont="1" applyBorder="1">
      <alignment horizontal="center" vertical="center" wrapText="1"/>
    </xf>
    <xf numFmtId="0" fontId="36" fillId="0" borderId="0" xfId="0" applyFont="1">
      <alignment horizontal="center" vertical="center"/>
    </xf>
    <xf numFmtId="0" fontId="36" fillId="0" borderId="0" xfId="0" applyFont="1">
      <alignment vertical="center" wrapText="1"/>
    </xf>
    <xf numFmtId="0" fontId="21" fillId="43" borderId="17" xfId="0" applyFont="1" applyFill="1" applyBorder="1">
      <alignment vertical="center" wrapText="1"/>
    </xf>
    <xf numFmtId="0" fontId="21" fillId="43" borderId="18" xfId="0" applyFont="1" applyFill="1" applyBorder="1">
      <alignment vertical="center" wrapText="1"/>
    </xf>
    <xf numFmtId="0" fontId="21" fillId="0" borderId="50" xfId="0" applyFont="1" applyBorder="1">
      <alignment horizontal="center" vertical="center" wrapText="1"/>
    </xf>
    <xf numFmtId="0" fontId="21" fillId="35" borderId="31" xfId="0" applyFont="1" applyFill="1" applyBorder="1">
      <alignment horizontal="left" vertical="center" wrapText="1" indent="1"/>
      <protection locked="0"/>
    </xf>
    <xf numFmtId="49" fontId="19" fillId="0" borderId="53" xfId="0" applyFont="1" applyBorder="1" applyNumberFormat="1">
      <alignment horizontal="right" vertical="center" wrapText="1" indent="1"/>
    </xf>
    <xf numFmtId="49" fontId="19" fillId="0" borderId="50" xfId="0" applyFont="1" applyBorder="1" applyNumberFormat="1">
      <alignment horizontal="center" vertical="center"/>
    </xf>
    <xf numFmtId="0" fontId="19" fillId="0" borderId="50" xfId="0" applyFont="1" applyBorder="1">
      <alignment horizontal="left" vertical="center" wrapText="1" indent="1"/>
    </xf>
    <xf numFmtId="172" fontId="21" fillId="34" borderId="50" xfId="0" applyFont="1" applyFill="1" applyBorder="1" applyNumberFormat="1">
      <alignment horizontal="right" vertical="center"/>
      <protection locked="0"/>
    </xf>
    <xf numFmtId="172" fontId="0" fillId="34" borderId="50" xfId="0" applyFont="1" applyFill="1" applyBorder="1" applyNumberFormat="1">
      <alignment horizontal="right" vertical="center"/>
      <protection locked="0"/>
    </xf>
    <xf numFmtId="172" fontId="19" fillId="34" borderId="50" xfId="0" applyFont="1" applyFill="1" applyBorder="1" applyNumberFormat="1">
      <alignment horizontal="right" vertical="center"/>
      <protection locked="0"/>
    </xf>
    <xf numFmtId="49" fontId="21" fillId="34" borderId="50" xfId="0" applyFont="1" applyFill="1" applyBorder="1" applyNumberFormat="1">
      <alignment horizontal="left" vertical="center" wrapText="1"/>
      <protection locked="0"/>
    </xf>
    <xf numFmtId="173" fontId="0" fillId="38" borderId="50" xfId="0" applyFont="1" applyFill="1" applyBorder="1" applyNumberFormat="1">
      <alignment horizontal="right" vertical="center"/>
    </xf>
    <xf numFmtId="172" fontId="0" fillId="38" borderId="50" xfId="0" applyFont="1" applyFill="1" applyBorder="1" applyNumberFormat="1">
      <alignment horizontal="right" vertical="center"/>
    </xf>
    <xf numFmtId="0" fontId="19" fillId="0" borderId="21" xfId="0" applyFont="1" applyBorder="1">
      <alignment horizontal="center" vertical="center"/>
    </xf>
    <xf numFmtId="0" fontId="19" fillId="0" borderId="21" xfId="0" applyFont="1" applyBorder="1">
      <alignment horizontal="left" vertical="center" wrapText="1"/>
    </xf>
    <xf numFmtId="172" fontId="21" fillId="0" borderId="21" xfId="0" applyFont="1" applyBorder="1" applyNumberFormat="1">
      <alignment horizontal="right" vertical="center"/>
    </xf>
    <xf numFmtId="172" fontId="0" fillId="0" borderId="21" xfId="0" applyFont="1" applyBorder="1" applyNumberFormat="1">
      <alignment horizontal="right" vertical="center"/>
    </xf>
    <xf numFmtId="172" fontId="19" fillId="0" borderId="21" xfId="0" applyFont="1" applyBorder="1" applyNumberFormat="1">
      <alignment horizontal="right" vertical="center"/>
    </xf>
    <xf numFmtId="49" fontId="21" fillId="0" borderId="21" xfId="0" applyFont="1" applyBorder="1" applyNumberFormat="1">
      <alignment horizontal="left" vertical="center"/>
    </xf>
    <xf numFmtId="173" fontId="0" fillId="0" borderId="21" xfId="0" applyFont="1" applyBorder="1" applyNumberFormat="1">
      <alignment horizontal="right" vertical="center"/>
    </xf>
    <xf numFmtId="172" fontId="0" fillId="34" borderId="11" xfId="0" applyFont="1" applyFill="1" applyBorder="1" applyNumberFormat="1">
      <alignment horizontal="right" vertical="center"/>
      <protection locked="0"/>
    </xf>
    <xf numFmtId="172" fontId="19" fillId="34" borderId="11" xfId="0" applyFont="1" applyFill="1" applyBorder="1" applyNumberFormat="1">
      <alignment horizontal="right" vertical="center"/>
      <protection locked="0"/>
    </xf>
    <xf numFmtId="173" fontId="0" fillId="38" borderId="11" xfId="0" applyFont="1" applyFill="1" applyBorder="1" applyNumberFormat="1">
      <alignment horizontal="right" vertical="center"/>
    </xf>
    <xf numFmtId="172" fontId="0" fillId="38" borderId="11" xfId="0" applyFont="1" applyFill="1" applyBorder="1" applyNumberFormat="1">
      <alignment horizontal="right" vertical="center"/>
    </xf>
    <xf numFmtId="0" fontId="21" fillId="44" borderId="0" xfId="0" applyFont="1" applyFill="1">
      <alignment horizontal="left" vertical="center"/>
    </xf>
    <xf numFmtId="0" fontId="21" fillId="44" borderId="0" xfId="0" applyFont="1" applyFill="1"/>
    <xf numFmtId="0" fontId="19" fillId="44" borderId="0" xfId="0" applyFont="1" applyFill="1"/>
    <xf numFmtId="0" fontId="31" fillId="44" borderId="0" xfId="0" applyFont="1" applyFill="1"/>
    <xf numFmtId="0" fontId="26" fillId="44" borderId="0" xfId="0" applyFont="1" applyFill="1">
      <alignment vertical="center"/>
    </xf>
    <xf numFmtId="0" fontId="51" fillId="44" borderId="0" xfId="0" applyFont="1" applyFill="1">
      <alignment horizontal="center" vertical="center"/>
    </xf>
    <xf numFmtId="0" fontId="0" fillId="44" borderId="0" xfId="0" applyFont="1" applyFill="1">
      <alignment horizontal="left" vertical="center"/>
    </xf>
    <xf numFmtId="49" fontId="19" fillId="44" borderId="0" xfId="0" applyFont="1" applyFill="1" applyNumberFormat="1">
      <alignment vertical="top"/>
    </xf>
    <xf numFmtId="0" fontId="26" fillId="44" borderId="0" xfId="0" applyFont="1" applyFill="1">
      <alignment horizontal="center" vertical="center"/>
    </xf>
    <xf numFmtId="49" fontId="19" fillId="44" borderId="0" xfId="0" applyFont="1" applyFill="1" applyNumberFormat="1">
      <alignment horizontal="center" vertical="top"/>
    </xf>
    <xf numFmtId="49" fontId="19" fillId="44" borderId="0" xfId="0" applyFont="1" applyFill="1" applyNumberFormat="1">
      <alignment vertical="center" wrapText="1"/>
    </xf>
    <xf numFmtId="0" fontId="19" fillId="44" borderId="0" xfId="0" applyFont="1" applyFill="1"/>
    <xf numFmtId="0" fontId="21" fillId="44" borderId="0" xfId="0" applyFont="1" applyFill="1">
      <alignment horizontal="center"/>
    </xf>
    <xf numFmtId="0" fontId="21" fillId="44" borderId="0" xfId="0" applyFont="1" applyFill="1">
      <alignment vertical="center" wrapText="1"/>
    </xf>
    <xf numFmtId="0" fontId="21" fillId="44" borderId="0" xfId="0" applyFont="1" applyFill="1">
      <alignment wrapText="1"/>
    </xf>
    <xf numFmtId="0" fontId="21" fillId="44" borderId="0" xfId="0" applyFont="1" applyFill="1">
      <alignment vertical="center"/>
    </xf>
    <xf numFmtId="0" fontId="19" fillId="44" borderId="0" xfId="0" applyFont="1" applyFill="1">
      <alignment vertical="center"/>
    </xf>
    <xf numFmtId="0" fontId="21" fillId="44" borderId="0" xfId="0" applyFont="1" applyFill="1">
      <alignment vertical="center"/>
    </xf>
    <xf numFmtId="49" fontId="19" fillId="44" borderId="0" xfId="0" applyFont="1" applyFill="1" applyNumberFormat="1">
      <alignment horizontal="center" vertical="center" wrapText="1"/>
    </xf>
    <xf numFmtId="49" fontId="19" fillId="44" borderId="0" xfId="0" applyFont="1" applyFill="1" applyNumberFormat="1">
      <alignment horizontal="center" vertical="top"/>
    </xf>
    <xf numFmtId="0" fontId="32" fillId="44" borderId="0" xfId="0" applyFont="1" applyFill="1">
      <alignment horizontal="center"/>
    </xf>
    <xf numFmtId="49" fontId="68" fillId="0" borderId="0" xfId="0" applyFont="1" applyNumberFormat="1">
      <alignment horizontal="center" vertical="center" wrapText="1"/>
    </xf>
    <xf numFmtId="174" fontId="26" fillId="44" borderId="0" xfId="0" applyFont="1" applyFill="1" applyNumberFormat="1">
      <alignment vertical="center"/>
    </xf>
    <xf numFmtId="174" fontId="19" fillId="44" borderId="0" xfId="0" applyFont="1" applyFill="1" applyNumberFormat="1">
      <alignment vertical="top"/>
    </xf>
    <xf numFmtId="0" fontId="40" fillId="0" borderId="0" xfId="0" applyFont="1">
      <alignment vertical="center"/>
    </xf>
    <xf numFmtId="0" fontId="69" fillId="0" borderId="0" xfId="0" applyFont="1">
      <alignment vertical="center"/>
    </xf>
    <xf numFmtId="0" fontId="70" fillId="0" borderId="0" xfId="0" applyFont="1">
      <alignment vertical="center"/>
    </xf>
    <xf numFmtId="0" fontId="69" fillId="0" borderId="0" xfId="0" applyFont="1">
      <alignment vertical="center" wrapText="1"/>
    </xf>
    <xf numFmtId="0" fontId="63" fillId="37" borderId="0" xfId="0" applyFont="1" applyFill="1">
      <alignment vertical="center"/>
    </xf>
    <xf numFmtId="0" fontId="19" fillId="0" borderId="54" xfId="0" applyFont="1" applyBorder="1">
      <alignment horizontal="center" vertical="center" wrapText="1"/>
    </xf>
    <xf numFmtId="49" fontId="41" fillId="43" borderId="16" xfId="0" applyFont="1" applyFill="1" applyBorder="1" applyNumberFormat="1">
      <alignment vertical="center"/>
    </xf>
    <xf numFmtId="0" fontId="21" fillId="44" borderId="0" xfId="0" applyFont="1" applyFill="1">
      <alignment vertical="center"/>
    </xf>
    <xf numFmtId="0" fontId="19" fillId="44" borderId="0" xfId="0" applyFont="1" applyFill="1"/>
    <xf numFmtId="0" fontId="21" fillId="44" borderId="0" xfId="0" applyFont="1" applyFill="1">
      <alignment vertical="center"/>
    </xf>
    <xf numFmtId="0" fontId="19" fillId="44" borderId="0" xfId="0" applyFont="1" applyFill="1">
      <alignment horizontal="center"/>
    </xf>
    <xf numFmtId="0" fontId="45" fillId="44" borderId="16" xfId="0" applyFont="1" applyFill="1" applyBorder="1">
      <alignment horizontal="center" vertical="center" wrapText="1"/>
    </xf>
    <xf numFmtId="0" fontId="41" fillId="43" borderId="27" xfId="0" applyFont="1" applyFill="1" applyBorder="1">
      <alignment horizontal="left" vertical="center" wrapText="1" indent="1"/>
    </xf>
    <xf numFmtId="0" fontId="19" fillId="41" borderId="0" xfId="0" applyFont="1" applyFill="1">
      <alignment vertical="top"/>
    </xf>
    <xf numFmtId="0" fontId="0" fillId="0" borderId="0" xfId="0" applyFont="1">
      <alignment horizontal="center" vertical="top"/>
    </xf>
    <xf numFmtId="0" fontId="19" fillId="44" borderId="0" xfId="0" applyFont="1" applyFill="1">
      <alignment vertical="top"/>
    </xf>
    <xf numFmtId="0" fontId="19" fillId="0" borderId="0" xfId="0" applyFont="1">
      <alignment vertical="center"/>
    </xf>
    <xf numFmtId="0" fontId="0" fillId="0" borderId="0" xfId="0" applyFont="1">
      <alignment horizontal="center" vertical="top"/>
    </xf>
    <xf numFmtId="0" fontId="19" fillId="44" borderId="0" xfId="0" applyFont="1" applyFill="1">
      <alignment vertical="top"/>
    </xf>
    <xf numFmtId="0" fontId="19" fillId="44" borderId="0" xfId="0" applyFont="1" applyFill="1">
      <alignment vertical="top"/>
    </xf>
    <xf numFmtId="0" fontId="39" fillId="0" borderId="0" xfId="0" applyFont="1">
      <alignment horizontal="center" vertical="center" wrapText="1"/>
    </xf>
    <xf numFmtId="0" fontId="53" fillId="0" borderId="0" xfId="0" applyFont="1">
      <alignment horizontal="center" vertical="center" wrapText="1"/>
    </xf>
    <xf numFmtId="0" fontId="19" fillId="40" borderId="0" xfId="0" applyFont="1" applyFill="1">
      <alignment vertical="top"/>
    </xf>
    <xf numFmtId="0" fontId="21" fillId="43" borderId="55" xfId="0" applyFont="1" applyFill="1" applyBorder="1">
      <alignment vertical="center"/>
    </xf>
    <xf numFmtId="0" fontId="41" fillId="43" borderId="16" xfId="0" applyFont="1" applyFill="1" applyBorder="1">
      <alignment vertical="center"/>
    </xf>
    <xf numFmtId="0" fontId="41" fillId="43" borderId="17" xfId="0" applyFont="1" applyFill="1" applyBorder="1">
      <alignment vertical="center"/>
    </xf>
    <xf numFmtId="0" fontId="32" fillId="0" borderId="0" xfId="0" applyFont="1">
      <alignment horizontal="left"/>
    </xf>
    <xf numFmtId="0" fontId="19" fillId="0" borderId="11" xfId="0" applyFont="1" applyBorder="1">
      <alignment horizontal="center" vertical="center" wrapText="1"/>
    </xf>
    <xf numFmtId="0" fontId="25" fillId="44" borderId="0" xfId="0" applyFont="1" applyFill="1"/>
    <xf numFmtId="0" fontId="19" fillId="44" borderId="0" xfId="0" applyFont="1" applyFill="1">
      <alignment horizontal="center"/>
    </xf>
    <xf numFmtId="49" fontId="19" fillId="44" borderId="0" xfId="0" applyFont="1" applyFill="1" applyNumberFormat="1">
      <alignment vertical="top"/>
    </xf>
    <xf numFmtId="0" fontId="53" fillId="0" borderId="14" xfId="0" applyFont="1" applyBorder="1">
      <alignment horizontal="center" vertical="center" wrapText="1"/>
    </xf>
    <xf numFmtId="0" fontId="53" fillId="0" borderId="14" xfId="0" applyFont="1" applyBorder="1">
      <alignment vertical="center" wrapText="1"/>
    </xf>
    <xf numFmtId="0" fontId="25" fillId="44" borderId="0" xfId="0" applyFont="1" applyFill="1"/>
    <xf numFmtId="49" fontId="19" fillId="44" borderId="0" xfId="0" applyFont="1" applyFill="1" applyNumberFormat="1">
      <alignment vertical="top"/>
    </xf>
    <xf numFmtId="0" fontId="21" fillId="44" borderId="0" xfId="0" applyFont="1" applyFill="1"/>
    <xf numFmtId="0" fontId="21" fillId="44" borderId="0" xfId="0" applyFont="1" applyFill="1">
      <alignment horizontal="center"/>
    </xf>
    <xf numFmtId="0" fontId="26" fillId="44" borderId="0" xfId="0" applyFont="1" applyFill="1"/>
    <xf numFmtId="0" fontId="29" fillId="44" borderId="0" xfId="0" applyFont="1" applyFill="1"/>
    <xf numFmtId="49" fontId="26" fillId="0" borderId="0" xfId="0" applyFont="1" applyNumberFormat="1"/>
    <xf numFmtId="0" fontId="41" fillId="43" borderId="16" xfId="0" applyFont="1" applyFill="1" applyBorder="1">
      <alignment horizontal="left" vertical="center" wrapText="1" indent="1"/>
    </xf>
    <xf numFmtId="0" fontId="41" fillId="43" borderId="16" xfId="0" applyFont="1" applyFill="1" applyBorder="1">
      <alignment vertical="center"/>
    </xf>
    <xf numFmtId="0" fontId="26" fillId="0" borderId="0" xfId="0" applyFont="1">
      <alignment horizontal="center" vertical="top"/>
    </xf>
    <xf numFmtId="0" fontId="26" fillId="0" borderId="0" xfId="0" applyFont="1">
      <alignment vertical="top"/>
    </xf>
    <xf numFmtId="0" fontId="26" fillId="0" borderId="0" xfId="0" applyFont="1">
      <alignment wrapText="1"/>
    </xf>
    <xf numFmtId="49" fontId="19" fillId="44" borderId="0" xfId="0" applyFont="1" applyFill="1" applyNumberFormat="1">
      <alignment vertical="top"/>
    </xf>
    <xf numFmtId="0" fontId="32" fillId="44" borderId="0" xfId="0" applyFont="1" applyFill="1">
      <alignment vertical="center"/>
    </xf>
    <xf numFmtId="0" fontId="19" fillId="35" borderId="11" xfId="0" applyFont="1" applyFill="1" applyBorder="1">
      <alignment horizontal="left" vertical="center" wrapText="1" indent="1"/>
      <protection locked="0"/>
    </xf>
    <xf numFmtId="0" fontId="60" fillId="44" borderId="0" xfId="0" applyFont="1" applyFill="1"/>
    <xf numFmtId="0" fontId="19" fillId="36" borderId="11" xfId="0" applyFont="1" applyFill="1" applyBorder="1">
      <alignment horizontal="center" vertical="center" wrapText="1"/>
    </xf>
    <xf numFmtId="0" fontId="43" fillId="44" borderId="0" xfId="0" applyFont="1" applyFill="1"/>
    <xf numFmtId="0" fontId="32" fillId="44" borderId="0" xfId="0" applyFont="1" applyFill="1"/>
    <xf numFmtId="0" fontId="21" fillId="44" borderId="0" xfId="0" applyFont="1" applyFill="1">
      <alignment horizontal="left" vertical="center" wrapText="1"/>
    </xf>
    <xf numFmtId="0" fontId="1" fillId="0" borderId="0" xfId="0" applyFont="1"/>
    <xf numFmtId="0" fontId="1" fillId="44" borderId="0" xfId="0" applyFont="1" applyFill="1"/>
    <xf numFmtId="0" fontId="21" fillId="0" borderId="0" xfId="0" applyFont="1">
      <alignment vertical="center"/>
    </xf>
    <xf numFmtId="0" fontId="17" fillId="44" borderId="0" xfId="0" applyFont="1" applyFill="1"/>
    <xf numFmtId="0" fontId="43" fillId="0" borderId="0" xfId="0" applyFont="1"/>
    <xf numFmtId="0" fontId="21" fillId="0" borderId="0" xfId="0" applyFont="1">
      <alignment horizontal="left" vertical="center"/>
    </xf>
    <xf numFmtId="0" fontId="37" fillId="0" borderId="0" xfId="0" applyFont="1">
      <alignment vertical="center"/>
    </xf>
    <xf numFmtId="0" fontId="19" fillId="36" borderId="11" xfId="0" applyFont="1" applyFill="1" applyBorder="1">
      <alignment horizontal="center" vertical="center" wrapText="1"/>
    </xf>
    <xf numFmtId="0" fontId="19" fillId="0" borderId="0" xfId="0" applyFont="1">
      <alignment vertical="top" wrapText="1"/>
    </xf>
    <xf numFmtId="0" fontId="36" fillId="44" borderId="0" xfId="0" applyFont="1" applyFill="1">
      <alignment vertical="center"/>
    </xf>
    <xf numFmtId="0" fontId="36" fillId="44" borderId="0" xfId="0" applyFont="1" applyFill="1">
      <alignment vertical="center" wrapText="1"/>
    </xf>
    <xf numFmtId="0" fontId="37" fillId="44" borderId="0" xfId="0" applyFont="1" applyFill="1">
      <alignment vertical="center" wrapText="1"/>
    </xf>
    <xf numFmtId="0" fontId="37" fillId="44" borderId="0" xfId="0" applyFont="1" applyFill="1">
      <alignment horizontal="center" vertical="center" wrapText="1"/>
    </xf>
    <xf numFmtId="0" fontId="37" fillId="44" borderId="0" xfId="0" applyFont="1" applyFill="1">
      <alignment vertical="center"/>
    </xf>
    <xf numFmtId="0" fontId="36" fillId="44" borderId="0" xfId="0" applyFont="1" applyFill="1">
      <alignment horizontal="center" vertical="center"/>
    </xf>
    <xf numFmtId="0" fontId="21" fillId="0" borderId="0" xfId="0" applyFont="1">
      <alignment vertical="top" wrapText="1"/>
    </xf>
    <xf numFmtId="0" fontId="21" fillId="43" borderId="29" xfId="0" applyFont="1" applyFill="1" applyBorder="1">
      <alignment vertical="center" wrapText="1"/>
    </xf>
    <xf numFmtId="0" fontId="21" fillId="44" borderId="0" xfId="0" applyFont="1" applyFill="1">
      <alignment vertical="center"/>
    </xf>
    <xf numFmtId="4" fontId="21" fillId="34" borderId="11" xfId="0" applyFont="1" applyFill="1" applyBorder="1" applyNumberFormat="1">
      <alignment horizontal="right" vertical="center" wrapText="1"/>
      <protection locked="0"/>
    </xf>
    <xf numFmtId="0" fontId="25" fillId="0" borderId="10" xfId="0" applyFont="1" applyBorder="1">
      <alignment horizontal="center" vertical="center" wrapText="1" shrinkToFit="1"/>
    </xf>
    <xf numFmtId="0" fontId="19" fillId="0" borderId="10" xfId="0" applyFont="1" applyBorder="1">
      <alignment horizontal="center" vertical="center" wrapText="1" shrinkToFit="1"/>
    </xf>
    <xf numFmtId="0" fontId="19" fillId="0" borderId="10" xfId="0" applyFont="1" applyBorder="1">
      <alignment horizontal="center" vertical="center" wrapText="1" shrinkToFit="1"/>
    </xf>
    <xf numFmtId="0" fontId="21" fillId="44" borderId="0" xfId="0" applyFont="1" applyFill="1">
      <alignment vertical="center"/>
    </xf>
    <xf numFmtId="0" fontId="19" fillId="0" borderId="0" xfId="0" applyFont="1">
      <alignment wrapText="1"/>
    </xf>
    <xf numFmtId="0" fontId="21" fillId="0" borderId="17" xfId="0" applyFont="1" applyBorder="1">
      <alignment horizontal="center" vertical="center" wrapText="1"/>
    </xf>
    <xf numFmtId="1" fontId="21" fillId="0" borderId="0" xfId="0" applyFont="1" applyNumberFormat="1">
      <alignment vertical="center"/>
    </xf>
    <xf numFmtId="0" fontId="21" fillId="0" borderId="0" xfId="0" applyFont="1">
      <alignment horizontal="center" vertical="center" wrapText="1"/>
    </xf>
    <xf numFmtId="0" fontId="19" fillId="0" borderId="17" xfId="0" applyFont="1" applyBorder="1">
      <alignment horizontal="center" vertical="center"/>
    </xf>
    <xf numFmtId="0" fontId="19" fillId="0" borderId="17" xfId="0" applyFont="1" applyBorder="1">
      <alignment horizontal="center" vertical="center" wrapText="1"/>
    </xf>
    <xf numFmtId="0" fontId="19" fillId="36" borderId="0" xfId="0" applyFont="1" applyFill="1">
      <alignment horizontal="center" vertical="center" wrapText="1"/>
    </xf>
    <xf numFmtId="0" fontId="19" fillId="0" borderId="32" xfId="0" applyFont="1" applyBorder="1">
      <alignment horizontal="center" vertical="center" wrapText="1"/>
    </xf>
    <xf numFmtId="49" fontId="0" fillId="0" borderId="17" xfId="0" applyFont="1" applyBorder="1" applyNumberFormat="1">
      <alignment horizontal="center" vertical="center" wrapText="1"/>
    </xf>
    <xf numFmtId="0" fontId="19" fillId="0" borderId="32" xfId="0" applyFont="1" applyBorder="1">
      <alignment horizontal="center" vertical="center" wrapText="1"/>
    </xf>
    <xf numFmtId="0" fontId="21" fillId="0" borderId="0" xfId="0" applyFont="1">
      <alignment vertical="center" wrapText="1"/>
    </xf>
    <xf numFmtId="0" fontId="21" fillId="0" borderId="17" xfId="0" applyFont="1" applyBorder="1">
      <alignment horizontal="center" vertical="center" wrapText="1"/>
    </xf>
    <xf numFmtId="0" fontId="1" fillId="0" borderId="0" xfId="0" applyFont="1"/>
    <xf numFmtId="0" fontId="36" fillId="0" borderId="0" xfId="0" applyFont="1"/>
    <xf numFmtId="49" fontId="19" fillId="35" borderId="11" xfId="0" applyFont="1" applyFill="1" applyBorder="1" applyNumberFormat="1">
      <alignment horizontal="left" vertical="center" wrapText="1"/>
      <protection locked="0"/>
    </xf>
    <xf numFmtId="49" fontId="19" fillId="35" borderId="11" xfId="0" applyFont="1" applyFill="1" applyBorder="1" applyNumberFormat="1">
      <alignment horizontal="center" vertical="center" wrapText="1"/>
      <protection locked="0"/>
    </xf>
    <xf numFmtId="0" fontId="53" fillId="0" borderId="0" xfId="0" applyFont="1">
      <alignment vertical="center" wrapText="1"/>
    </xf>
    <xf numFmtId="0" fontId="21" fillId="0" borderId="32" xfId="0" applyFont="1" applyBorder="1">
      <alignment vertical="center"/>
    </xf>
    <xf numFmtId="0" fontId="19" fillId="0" borderId="32" xfId="0" applyFont="1" applyBorder="1">
      <alignment horizontal="center" vertical="center" wrapText="1"/>
    </xf>
    <xf numFmtId="0" fontId="21" fillId="0" borderId="32" xfId="0" applyFont="1" applyBorder="1">
      <alignment horizontal="center" vertical="center" wrapText="1"/>
    </xf>
    <xf numFmtId="0" fontId="21" fillId="37" borderId="32" xfId="0" applyFont="1" applyFill="1" applyBorder="1">
      <alignment horizontal="center" vertical="center" wrapText="1"/>
    </xf>
    <xf numFmtId="0" fontId="19" fillId="0" borderId="32" xfId="0" applyFont="1" applyBorder="1">
      <alignment horizontal="center" vertical="center"/>
    </xf>
    <xf numFmtId="0" fontId="19" fillId="36" borderId="32" xfId="0" applyFont="1" applyFill="1" applyBorder="1">
      <alignment horizontal="center" vertical="center" wrapText="1"/>
    </xf>
    <xf numFmtId="0" fontId="19" fillId="36" borderId="0" xfId="0" applyFont="1" applyFill="1">
      <alignment horizontal="center" vertical="center" wrapText="1"/>
    </xf>
    <xf numFmtId="0" fontId="21" fillId="0" borderId="0" xfId="0" applyFont="1">
      <alignment horizontal="center" vertical="center" wrapText="1"/>
    </xf>
    <xf numFmtId="0" fontId="21" fillId="0" borderId="0" xfId="0" applyFont="1">
      <alignment horizontal="center" vertical="center" wrapText="1"/>
    </xf>
    <xf numFmtId="0" fontId="19" fillId="0" borderId="0" xfId="0" applyFont="1">
      <alignment horizontal="center" vertical="center" wrapText="1"/>
    </xf>
    <xf numFmtId="49" fontId="41" fillId="43" borderId="11" xfId="0" applyFont="1" applyFill="1" applyBorder="1" applyNumberFormat="1">
      <alignment horizontal="left" vertical="center" indent="1"/>
    </xf>
    <xf numFmtId="49" fontId="19" fillId="40" borderId="0" xfId="0" applyFont="1" applyFill="1" applyNumberFormat="1">
      <alignment vertical="top"/>
    </xf>
    <xf numFmtId="0" fontId="0" fillId="0" borderId="0" xfId="0" applyFont="1">
      <alignment horizontal="left" vertical="center"/>
    </xf>
    <xf numFmtId="0" fontId="19" fillId="41" borderId="0" xfId="0" applyFont="1" applyFill="1">
      <alignment horizontal="left" vertical="top"/>
    </xf>
    <xf numFmtId="0" fontId="21" fillId="0" borderId="0" xfId="0" applyFont="1">
      <alignment horizontal="left" vertical="center"/>
    </xf>
    <xf numFmtId="0" fontId="21" fillId="0" borderId="0" xfId="0" applyFont="1">
      <alignment horizontal="left"/>
    </xf>
    <xf numFmtId="0" fontId="0" fillId="0" borderId="0" xfId="0" applyFont="1">
      <alignment horizontal="left"/>
    </xf>
    <xf numFmtId="0" fontId="21" fillId="44" borderId="0" xfId="0" applyFont="1" applyFill="1">
      <alignment horizontal="left"/>
    </xf>
    <xf numFmtId="0" fontId="1" fillId="0" borderId="0" xfId="0" applyFont="1"/>
    <xf numFmtId="0" fontId="67" fillId="0" borderId="0" xfId="0" applyFont="1">
      <alignment horizontal="center" vertical="center"/>
    </xf>
    <xf numFmtId="49" fontId="21" fillId="33" borderId="10" xfId="0" applyFont="1" applyFill="1" applyBorder="1" applyNumberFormat="1">
      <alignment horizontal="left" vertical="center" wrapText="1" indent="1"/>
    </xf>
    <xf numFmtId="0" fontId="19" fillId="33" borderId="10" xfId="0" applyFont="1" applyFill="1" applyBorder="1">
      <alignment horizontal="left" vertical="center" wrapText="1" indent="1"/>
    </xf>
    <xf numFmtId="49" fontId="19" fillId="33" borderId="10" xfId="0" applyFont="1" applyFill="1" applyBorder="1" applyNumberFormat="1">
      <alignment horizontal="left" vertical="center" wrapText="1" indent="1"/>
    </xf>
    <xf numFmtId="0" fontId="19" fillId="0" borderId="0" xfId="0" applyFont="1">
      <alignment wrapText="1"/>
    </xf>
    <xf numFmtId="0" fontId="19" fillId="38" borderId="30" xfId="0" applyFont="1" applyFill="1" applyBorder="1">
      <alignment horizontal="left" vertical="center" wrapText="1" indent="1"/>
    </xf>
    <xf numFmtId="0" fontId="19" fillId="0" borderId="11" xfId="0" applyFont="1" applyBorder="1">
      <alignment horizontal="center" vertical="center" wrapText="1"/>
    </xf>
    <xf numFmtId="0" fontId="19" fillId="0" borderId="11" xfId="0" applyFont="1" applyBorder="1">
      <alignment horizontal="center" vertical="center" wrapText="1"/>
    </xf>
    <xf numFmtId="4" fontId="25" fillId="38" borderId="11" xfId="0" applyFont="1" applyFill="1" applyBorder="1" applyNumberFormat="1">
      <alignment horizontal="right" vertical="center"/>
    </xf>
    <xf numFmtId="0" fontId="19" fillId="0" borderId="11" xfId="0" applyFont="1" applyBorder="1">
      <alignment horizontal="left" vertical="center" wrapText="1" indent="1"/>
    </xf>
    <xf numFmtId="4" fontId="19" fillId="0" borderId="11" xfId="0" applyFont="1" applyBorder="1" applyNumberFormat="1">
      <alignment horizontal="right" vertical="center"/>
    </xf>
    <xf numFmtId="4" fontId="25" fillId="0" borderId="11" xfId="0" applyFont="1" applyBorder="1" applyNumberFormat="1">
      <alignment horizontal="right" vertical="center"/>
    </xf>
    <xf numFmtId="0" fontId="19" fillId="0" borderId="11" xfId="0" applyFont="1" applyBorder="1">
      <alignment horizontal="left" vertical="center" wrapText="1" indent="2"/>
    </xf>
    <xf numFmtId="0" fontId="19" fillId="0" borderId="11" xfId="0" applyFont="1" applyBorder="1">
      <alignment horizontal="center" vertical="center" wrapText="1"/>
    </xf>
    <xf numFmtId="4" fontId="19" fillId="38" borderId="11" xfId="0" applyFont="1" applyFill="1" applyBorder="1" applyNumberFormat="1">
      <alignment horizontal="right" vertical="center"/>
    </xf>
    <xf numFmtId="0" fontId="19" fillId="0" borderId="11" xfId="0" applyFont="1" applyBorder="1">
      <alignment horizontal="left" vertical="center" wrapText="1" indent="3"/>
    </xf>
    <xf numFmtId="0" fontId="19" fillId="37" borderId="11" xfId="0" applyFont="1" applyFill="1" applyBorder="1">
      <alignment horizontal="left" vertical="center" wrapText="1" indent="3"/>
    </xf>
    <xf numFmtId="4" fontId="25" fillId="38" borderId="11" xfId="0" applyFont="1" applyFill="1" applyBorder="1" applyNumberFormat="1">
      <alignment horizontal="right" vertical="center"/>
    </xf>
    <xf numFmtId="0" fontId="19" fillId="37" borderId="11" xfId="0" applyFont="1" applyFill="1" applyBorder="1">
      <alignment horizontal="center" vertical="center"/>
    </xf>
    <xf numFmtId="4" fontId="19" fillId="34" borderId="11" xfId="0" applyFont="1" applyFill="1" applyBorder="1" applyNumberFormat="1">
      <alignment horizontal="right" vertical="center"/>
      <protection locked="0"/>
    </xf>
    <xf numFmtId="4" fontId="19" fillId="38" borderId="11" xfId="0" applyFont="1" applyFill="1" applyBorder="1" applyNumberFormat="1">
      <alignment horizontal="right" vertical="center"/>
    </xf>
    <xf numFmtId="49" fontId="19" fillId="34" borderId="10" xfId="0" applyFont="1" applyFill="1" applyBorder="1" applyNumberFormat="1">
      <alignment horizontal="left" vertical="center" wrapText="1"/>
      <protection locked="0"/>
    </xf>
    <xf numFmtId="49" fontId="25" fillId="43" borderId="16"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8" xfId="0" applyFont="1" applyFill="1" applyBorder="1" applyNumberFormat="1">
      <alignment horizontal="left" vertical="center" wrapText="1" indent="1"/>
    </xf>
    <xf numFmtId="4" fontId="25" fillId="38" borderId="11" xfId="0" applyFont="1" applyFill="1" applyBorder="1" applyNumberFormat="1">
      <alignment horizontal="right" vertical="center"/>
    </xf>
    <xf numFmtId="0" fontId="19" fillId="37" borderId="11" xfId="0" applyFont="1" applyFill="1" applyBorder="1">
      <alignment horizontal="center" vertical="center" wrapText="1"/>
    </xf>
    <xf numFmtId="0" fontId="19" fillId="37" borderId="11" xfId="0" applyFont="1" applyFill="1" applyBorder="1">
      <alignment horizontal="left" vertical="center" wrapText="1" indent="2"/>
    </xf>
    <xf numFmtId="0" fontId="19" fillId="37" borderId="11" xfId="0" applyFont="1" applyFill="1" applyBorder="1">
      <alignment horizontal="left" vertical="center" wrapText="1" indent="2"/>
    </xf>
    <xf numFmtId="0" fontId="19" fillId="37" borderId="11" xfId="0" applyFont="1" applyFill="1" applyBorder="1">
      <alignment horizontal="left" vertical="center" wrapText="1" indent="1"/>
    </xf>
    <xf numFmtId="4" fontId="19" fillId="38" borderId="11" xfId="0" applyFont="1" applyFill="1" applyBorder="1" applyNumberFormat="1">
      <alignment horizontal="right" vertical="center"/>
    </xf>
    <xf numFmtId="49" fontId="19" fillId="37" borderId="11" xfId="0" applyFont="1" applyFill="1" applyBorder="1" applyNumberFormat="1">
      <alignment horizontal="center" vertical="center"/>
    </xf>
    <xf numFmtId="172" fontId="25" fillId="38" borderId="11" xfId="0" applyFont="1" applyFill="1" applyBorder="1" applyNumberFormat="1">
      <alignment horizontal="right" vertical="center"/>
    </xf>
    <xf numFmtId="172" fontId="25" fillId="38" borderId="11" xfId="0" applyFont="1" applyFill="1" applyBorder="1" applyNumberFormat="1">
      <alignment horizontal="right" vertical="center"/>
    </xf>
    <xf numFmtId="4" fontId="19" fillId="38" borderId="11" xfId="0" applyFont="1" applyFill="1" applyBorder="1" applyNumberFormat="1">
      <alignment horizontal="right" vertical="center"/>
    </xf>
    <xf numFmtId="4" fontId="25" fillId="38" borderId="11" xfId="0" applyFont="1" applyFill="1" applyBorder="1" applyNumberFormat="1">
      <alignment horizontal="right" vertical="center"/>
    </xf>
    <xf numFmtId="49" fontId="25" fillId="43" borderId="16" xfId="0" applyFont="1" applyFill="1" applyBorder="1" applyNumberFormat="1">
      <alignment vertical="center"/>
    </xf>
    <xf numFmtId="0" fontId="19" fillId="43" borderId="17" xfId="0" applyFont="1" applyFill="1" applyBorder="1">
      <alignment vertical="center" wrapText="1"/>
    </xf>
    <xf numFmtId="0" fontId="19" fillId="43" borderId="18" xfId="0" applyFont="1" applyFill="1" applyBorder="1">
      <alignment vertical="center" wrapText="1"/>
    </xf>
    <xf numFmtId="49" fontId="25" fillId="0" borderId="11" xfId="0" applyFont="1" applyBorder="1" applyNumberFormat="1">
      <alignment horizontal="center" vertical="center"/>
    </xf>
    <xf numFmtId="0" fontId="25" fillId="0" borderId="11" xfId="0" applyFont="1" applyBorder="1">
      <alignment horizontal="left" vertical="center" wrapText="1"/>
    </xf>
    <xf numFmtId="0" fontId="25" fillId="0" borderId="11" xfId="0" applyFont="1" applyBorder="1">
      <alignment horizontal="center" vertical="center"/>
    </xf>
    <xf numFmtId="49" fontId="19" fillId="0" borderId="11" xfId="0" applyFont="1" applyBorder="1" applyNumberFormat="1">
      <alignment horizontal="center" vertical="center"/>
    </xf>
    <xf numFmtId="0" fontId="19" fillId="0" borderId="11" xfId="0" applyFont="1" applyBorder="1">
      <alignment horizontal="left" vertical="center" wrapText="1" indent="1"/>
    </xf>
    <xf numFmtId="0" fontId="19" fillId="0" borderId="11" xfId="0" applyFont="1" applyBorder="1">
      <alignment horizontal="center" vertical="center"/>
    </xf>
    <xf numFmtId="0" fontId="19" fillId="0" borderId="11" xfId="0" applyFont="1" applyBorder="1">
      <alignment horizontal="left" vertical="center" wrapText="1" indent="2"/>
    </xf>
    <xf numFmtId="49" fontId="25" fillId="0" borderId="11" xfId="0" applyFont="1" applyBorder="1" applyNumberFormat="1">
      <alignment horizontal="center" vertical="center" wrapText="1"/>
    </xf>
    <xf numFmtId="0" fontId="25" fillId="0" borderId="11" xfId="0" applyFont="1" applyBorder="1">
      <alignment horizontal="left" vertical="center" wrapText="1"/>
    </xf>
    <xf numFmtId="4" fontId="25" fillId="38" borderId="11" xfId="0" applyFont="1" applyFill="1" applyBorder="1" applyNumberFormat="1">
      <alignment horizontal="right" vertical="center"/>
    </xf>
    <xf numFmtId="4" fontId="19" fillId="38" borderId="11" xfId="0" applyFont="1" applyFill="1" applyBorder="1" applyNumberFormat="1">
      <alignment horizontal="right" vertical="center"/>
    </xf>
    <xf numFmtId="49" fontId="19" fillId="34" borderId="10" xfId="0" applyFont="1" applyFill="1" applyBorder="1" applyNumberFormat="1">
      <alignment horizontal="left" vertical="center" wrapText="1"/>
      <protection locked="0"/>
    </xf>
    <xf numFmtId="49" fontId="25" fillId="0" borderId="11" xfId="0" applyFont="1" applyBorder="1" applyNumberFormat="1">
      <alignment horizontal="center" vertical="center"/>
    </xf>
    <xf numFmtId="0" fontId="25" fillId="0" borderId="11" xfId="0" applyFont="1" applyBorder="1">
      <alignment horizontal="left" vertical="center" wrapText="1" indent="1"/>
    </xf>
    <xf numFmtId="49" fontId="25" fillId="34" borderId="10" xfId="0" applyFont="1" applyFill="1" applyBorder="1" applyNumberFormat="1">
      <alignment horizontal="left" vertical="center" wrapText="1"/>
      <protection locked="0"/>
    </xf>
    <xf numFmtId="49" fontId="19" fillId="0" borderId="11" xfId="0" applyFont="1" applyBorder="1" applyNumberFormat="1">
      <alignment horizontal="center" vertical="center"/>
    </xf>
    <xf numFmtId="0" fontId="19" fillId="0" borderId="11" xfId="0" applyFont="1" applyBorder="1">
      <alignment horizontal="left" vertical="center" wrapText="1" indent="2"/>
    </xf>
    <xf numFmtId="4" fontId="19" fillId="34" borderId="11" xfId="0" applyFont="1" applyFill="1" applyBorder="1" applyNumberFormat="1">
      <alignment horizontal="right" vertical="center"/>
      <protection locked="0"/>
    </xf>
    <xf numFmtId="4" fontId="25" fillId="34" borderId="11" xfId="0" applyFont="1" applyFill="1" applyBorder="1" applyNumberFormat="1">
      <alignment horizontal="right" vertical="center"/>
      <protection locked="0"/>
    </xf>
    <xf numFmtId="49" fontId="19" fillId="34" borderId="10" xfId="0" applyFont="1" applyFill="1" applyBorder="1" applyNumberFormat="1">
      <alignment horizontal="left" vertical="center" wrapText="1"/>
      <protection locked="0"/>
    </xf>
    <xf numFmtId="0" fontId="25" fillId="0" borderId="11" xfId="0" applyFont="1" applyBorder="1">
      <alignment horizontal="center" vertical="center"/>
    </xf>
    <xf numFmtId="0" fontId="19" fillId="0" borderId="11" xfId="0" applyFont="1" applyBorder="1">
      <alignment horizontal="left" vertical="center" wrapText="1" indent="1"/>
    </xf>
    <xf numFmtId="0" fontId="19" fillId="0" borderId="11" xfId="0" applyFont="1" applyBorder="1">
      <alignment horizontal="center" vertical="center"/>
    </xf>
    <xf numFmtId="4" fontId="19" fillId="38" borderId="11" xfId="0" applyFont="1" applyFill="1" applyBorder="1" applyNumberFormat="1">
      <alignment horizontal="right" vertical="center"/>
    </xf>
    <xf numFmtId="0" fontId="19" fillId="0" borderId="11" xfId="0" applyFont="1" applyBorder="1">
      <alignment horizontal="left" vertical="center" wrapText="1"/>
    </xf>
    <xf numFmtId="4" fontId="19" fillId="0" borderId="11" xfId="0" applyFont="1" applyBorder="1" applyNumberFormat="1">
      <alignment horizontal="right" vertical="center"/>
    </xf>
    <xf numFmtId="0" fontId="19" fillId="0" borderId="11" xfId="0" applyFont="1" applyBorder="1">
      <alignment vertical="center" wrapText="1"/>
    </xf>
    <xf numFmtId="0" fontId="19" fillId="37" borderId="11" xfId="0" applyFont="1" applyFill="1" applyBorder="1">
      <alignment horizontal="left" vertical="center" wrapText="1" indent="1"/>
    </xf>
    <xf numFmtId="49" fontId="19" fillId="37" borderId="11" xfId="0" applyFont="1" applyFill="1" applyBorder="1" applyNumberFormat="1">
      <alignment horizontal="center" vertical="center"/>
    </xf>
    <xf numFmtId="0" fontId="19" fillId="37" borderId="11" xfId="0" applyFont="1" applyFill="1" applyBorder="1">
      <alignment vertical="center" wrapText="1"/>
    </xf>
    <xf numFmtId="172" fontId="25" fillId="38" borderId="11" xfId="0" applyFont="1" applyFill="1" applyBorder="1" applyNumberFormat="1">
      <alignment horizontal="right" vertical="center"/>
    </xf>
    <xf numFmtId="4" fontId="25" fillId="0" borderId="11" xfId="0" applyFont="1" applyBorder="1" applyNumberFormat="1">
      <alignment horizontal="right" vertical="center"/>
    </xf>
    <xf numFmtId="172" fontId="19" fillId="34" borderId="11" xfId="0" applyFont="1" applyFill="1" applyBorder="1" applyNumberFormat="1">
      <alignment horizontal="right" vertical="center"/>
      <protection locked="0"/>
    </xf>
    <xf numFmtId="172" fontId="19" fillId="38" borderId="11" xfId="0" applyFont="1" applyFill="1" applyBorder="1" applyNumberFormat="1">
      <alignment horizontal="right" vertical="center"/>
    </xf>
    <xf numFmtId="0" fontId="29" fillId="44" borderId="0" xfId="0" applyFont="1" applyFill="1">
      <alignment vertical="center"/>
    </xf>
    <xf numFmtId="49" fontId="19" fillId="0" borderId="0" xfId="0" applyFont="1" applyNumberFormat="1">
      <alignment horizontal="center" vertical="top"/>
    </xf>
    <xf numFmtId="0" fontId="19" fillId="0" borderId="0" xfId="0" applyFont="1">
      <alignment vertical="top" wrapText="1"/>
    </xf>
    <xf numFmtId="0" fontId="19" fillId="0" borderId="0" xfId="0" applyFont="1">
      <alignment vertical="top" wrapText="1"/>
    </xf>
    <xf numFmtId="0" fontId="19" fillId="0" borderId="19" xfId="0" applyFont="1" applyBorder="1">
      <alignment horizontal="center" vertical="center" wrapText="1"/>
    </xf>
    <xf numFmtId="0" fontId="19" fillId="0" borderId="30" xfId="0" applyFont="1" applyBorder="1">
      <alignment horizontal="center" vertical="center" wrapText="1"/>
    </xf>
    <xf numFmtId="0" fontId="19" fillId="42" borderId="38" xfId="0" applyFont="1" applyFill="1" applyBorder="1">
      <alignment horizontal="left" vertical="center"/>
    </xf>
    <xf numFmtId="0" fontId="19" fillId="0" borderId="39" xfId="0" applyFont="1" applyBorder="1">
      <alignment horizontal="center" vertical="center" wrapText="1"/>
    </xf>
    <xf numFmtId="4" fontId="19" fillId="34" borderId="30" xfId="0" applyFont="1" applyFill="1" applyBorder="1" applyNumberFormat="1">
      <alignment horizontal="right" vertical="center"/>
      <protection locked="0"/>
    </xf>
    <xf numFmtId="172" fontId="19" fillId="34" borderId="30" xfId="0" applyFont="1" applyFill="1" applyBorder="1" applyNumberFormat="1">
      <alignment horizontal="right" vertical="center"/>
      <protection locked="0"/>
    </xf>
    <xf numFmtId="0" fontId="19" fillId="0" borderId="0" xfId="0" applyFont="1">
      <alignment horizontal="left" vertical="center"/>
    </xf>
    <xf numFmtId="0" fontId="19" fillId="44" borderId="0" xfId="0" applyFont="1" applyFill="1">
      <alignment vertical="center"/>
    </xf>
    <xf numFmtId="0" fontId="19" fillId="0" borderId="0" xfId="0" applyFont="1">
      <alignment horizontal="center"/>
    </xf>
    <xf numFmtId="0" fontId="19" fillId="0" borderId="0" xfId="0" applyFont="1">
      <alignment horizontal="center" vertical="center"/>
    </xf>
    <xf numFmtId="0" fontId="19" fillId="44" borderId="0" xfId="0" applyFont="1" applyFill="1">
      <alignment vertical="center"/>
    </xf>
    <xf numFmtId="0" fontId="25" fillId="37" borderId="11" xfId="0" applyFont="1" applyFill="1" applyBorder="1">
      <alignment horizontal="center" vertical="center"/>
    </xf>
    <xf numFmtId="0" fontId="25" fillId="37" borderId="11" xfId="0" applyFont="1" applyFill="1" applyBorder="1">
      <alignment horizontal="left" vertical="center" wrapText="1"/>
    </xf>
    <xf numFmtId="0" fontId="25" fillId="37" borderId="11" xfId="0" applyFont="1" applyFill="1" applyBorder="1">
      <alignment horizontal="center" vertical="center" wrapText="1"/>
    </xf>
    <xf numFmtId="4" fontId="25" fillId="38" borderId="11" xfId="0" applyFont="1" applyFill="1" applyBorder="1" applyNumberFormat="1">
      <alignment horizontal="right" vertical="center" wrapText="1"/>
    </xf>
    <xf numFmtId="49" fontId="25" fillId="34" borderId="11" xfId="0" applyFont="1" applyFill="1" applyBorder="1" applyNumberFormat="1">
      <alignment horizontal="left" vertical="center" wrapText="1"/>
      <protection locked="0"/>
    </xf>
    <xf numFmtId="49" fontId="19" fillId="34" borderId="11" xfId="0" applyFont="1" applyFill="1" applyBorder="1" applyNumberFormat="1">
      <alignment horizontal="left" vertical="center" wrapText="1"/>
      <protection locked="0"/>
    </xf>
    <xf numFmtId="0" fontId="19" fillId="0" borderId="11" xfId="0" applyFont="1" applyBorder="1">
      <alignment vertical="center" wrapText="1"/>
    </xf>
    <xf numFmtId="0" fontId="71" fillId="0" borderId="0" xfId="0" applyFont="1"/>
    <xf numFmtId="0" fontId="19" fillId="0" borderId="0" xfId="0" applyFont="1">
      <alignment wrapText="1"/>
    </xf>
    <xf numFmtId="49" fontId="19" fillId="0" borderId="11" xfId="0" applyFont="1" applyBorder="1" applyNumberFormat="1">
      <alignment horizontal="center" vertical="center" wrapText="1"/>
    </xf>
    <xf numFmtId="49" fontId="19" fillId="0" borderId="11" xfId="0" applyFont="1" applyBorder="1" applyNumberFormat="1">
      <alignment horizontal="left" vertical="center" wrapText="1" indent="1"/>
    </xf>
    <xf numFmtId="49" fontId="19" fillId="0" borderId="11" xfId="0" applyFont="1" applyBorder="1" applyNumberFormat="1">
      <alignment horizontal="left" vertical="center" wrapText="1"/>
    </xf>
    <xf numFmtId="172" fontId="19" fillId="38" borderId="11" xfId="0" applyFont="1" applyFill="1" applyBorder="1" applyNumberFormat="1">
      <alignment horizontal="right" vertical="center" wrapText="1"/>
    </xf>
    <xf numFmtId="172" fontId="19" fillId="34" borderId="11" xfId="0" applyFont="1" applyFill="1" applyBorder="1" applyNumberFormat="1">
      <alignment horizontal="right" vertical="center" wrapText="1"/>
      <protection locked="0"/>
    </xf>
    <xf numFmtId="0" fontId="29" fillId="0" borderId="0" xfId="0" applyFont="1">
      <alignment vertical="center" wrapText="1"/>
    </xf>
    <xf numFmtId="0" fontId="29" fillId="44" borderId="0" xfId="0" applyFont="1" applyFill="1">
      <alignment vertical="center" wrapText="1"/>
    </xf>
    <xf numFmtId="0" fontId="26" fillId="0" borderId="0" xfId="0" applyFont="1">
      <alignment horizontal="left" vertical="center"/>
    </xf>
    <xf numFmtId="0" fontId="29" fillId="0" borderId="0" xfId="0" applyFont="1">
      <alignment horizontal="center" vertical="center" wrapText="1"/>
    </xf>
    <xf numFmtId="0" fontId="29" fillId="44" borderId="0" xfId="0" applyFont="1" applyFill="1">
      <alignment horizontal="center" vertical="center" wrapText="1"/>
    </xf>
    <xf numFmtId="0" fontId="19" fillId="19" borderId="0" xfId="0" applyFont="1" applyFill="1"/>
    <xf numFmtId="0" fontId="25" fillId="0" borderId="0" xfId="0" applyFont="1" quotePrefix="1">
      <alignment horizontal="left" vertical="center" wrapText="1" indent="4"/>
    </xf>
    <xf numFmtId="49" fontId="25" fillId="0" borderId="0" xfId="0" applyFont="1" applyNumberFormat="1">
      <alignment horizontal="left" vertical="center" wrapText="1" indent="4"/>
    </xf>
    <xf numFmtId="0" fontId="19" fillId="44" borderId="0" xfId="0" applyFont="1" applyFill="1">
      <alignment vertical="center" wrapText="1"/>
    </xf>
    <xf numFmtId="0" fontId="19" fillId="0" borderId="10" xfId="0" applyFont="1" applyBorder="1">
      <alignment horizontal="center" vertical="center" wrapText="1"/>
    </xf>
    <xf numFmtId="0" fontId="19" fillId="0" borderId="43" xfId="0" applyFont="1" applyBorder="1">
      <alignment horizontal="center" vertical="center" wrapText="1"/>
    </xf>
    <xf numFmtId="0" fontId="19" fillId="44" borderId="0" xfId="0" applyFont="1" applyFill="1">
      <alignment vertical="top"/>
    </xf>
    <xf numFmtId="0" fontId="19" fillId="0" borderId="0" xfId="0" applyFont="1">
      <alignment horizontal="center" vertical="center" wrapText="1"/>
    </xf>
    <xf numFmtId="0" fontId="19" fillId="44" borderId="0" xfId="0" applyFont="1" applyFill="1">
      <alignment horizontal="center" vertical="center" wrapText="1"/>
    </xf>
    <xf numFmtId="0" fontId="19" fillId="42" borderId="17" xfId="0" applyFont="1" applyFill="1" applyBorder="1">
      <alignment horizontal="left" vertical="center"/>
    </xf>
    <xf numFmtId="4" fontId="25" fillId="42" borderId="17" xfId="0" applyFont="1" applyFill="1" applyBorder="1" applyNumberFormat="1">
      <alignment horizontal="right" vertical="center"/>
    </xf>
    <xf numFmtId="0" fontId="19" fillId="0" borderId="11" xfId="0" applyFont="1" applyBorder="1">
      <alignment horizontal="center" vertical="center" wrapText="1"/>
      <protection locked="0"/>
    </xf>
    <xf numFmtId="0" fontId="19" fillId="0" borderId="0" xfId="0" applyFont="1">
      <alignment horizontal="center" vertical="center"/>
    </xf>
    <xf numFmtId="0" fontId="19" fillId="0" borderId="0" xfId="0" applyFont="1">
      <alignment horizontal="center" vertical="top" wrapText="1"/>
    </xf>
    <xf numFmtId="0" fontId="25" fillId="43" borderId="16" xfId="0" applyFont="1" applyFill="1" applyBorder="1">
      <alignment horizontal="left" vertical="center" wrapText="1" indent="1"/>
    </xf>
    <xf numFmtId="0" fontId="19" fillId="0" borderId="0" xfId="0" applyFont="1">
      <alignment horizontal="center" vertical="center" wrapText="1"/>
    </xf>
    <xf numFmtId="0" fontId="19" fillId="44" borderId="0" xfId="0" applyFont="1" applyFill="1">
      <alignment horizontal="center" vertical="center" wrapText="1"/>
    </xf>
    <xf numFmtId="0" fontId="19" fillId="35" borderId="11" xfId="0" applyFont="1" applyFill="1" applyBorder="1">
      <alignment horizontal="left" vertical="center" wrapText="1" indent="1"/>
      <protection locked="0"/>
    </xf>
    <xf numFmtId="0" fontId="19" fillId="0" borderId="11" xfId="0" applyFont="1" applyBorder="1">
      <alignment horizontal="center" vertical="center" wrapText="1"/>
    </xf>
    <xf numFmtId="0" fontId="19" fillId="0" borderId="11" xfId="0" applyFont="1" applyBorder="1">
      <alignment horizontal="center" vertical="center" wrapText="1"/>
      <protection locked="0"/>
    </xf>
    <xf numFmtId="4" fontId="19" fillId="34" borderId="11" xfId="0" applyFont="1" applyFill="1" applyBorder="1" applyNumberFormat="1">
      <alignment horizontal="right" vertical="center"/>
      <protection locked="0"/>
    </xf>
    <xf numFmtId="49" fontId="19" fillId="34" borderId="11" xfId="0" applyFont="1" applyFill="1" applyBorder="1" applyNumberFormat="1">
      <alignment horizontal="left" vertical="center" wrapText="1"/>
      <protection locked="0"/>
    </xf>
    <xf numFmtId="0" fontId="19" fillId="36" borderId="11" xfId="0" applyFont="1" applyFill="1" applyBorder="1">
      <alignment horizontal="center" vertical="center" wrapText="1"/>
    </xf>
    <xf numFmtId="0" fontId="19" fillId="0" borderId="11" xfId="0" applyFont="1" applyBorder="1">
      <alignment horizontal="left" vertical="center" wrapText="1" indent="2"/>
    </xf>
    <xf numFmtId="4" fontId="19" fillId="34" borderId="11" xfId="0" applyFont="1" applyFill="1" applyBorder="1" applyNumberFormat="1">
      <alignment horizontal="right" vertical="center" wrapText="1"/>
      <protection locked="0"/>
    </xf>
    <xf numFmtId="0" fontId="26" fillId="0" borderId="0" xfId="0" applyFont="1"/>
    <xf numFmtId="0" fontId="19" fillId="0" borderId="11" xfId="0" applyFont="1" applyBorder="1">
      <alignment horizontal="center" vertical="center"/>
    </xf>
    <xf numFmtId="0" fontId="19" fillId="0" borderId="0" xfId="0" applyFont="1"/>
    <xf numFmtId="0" fontId="19" fillId="44" borderId="0" xfId="0" applyFont="1" applyFill="1"/>
    <xf numFmtId="0" fontId="19" fillId="0" borderId="11" xfId="0" applyFont="1" applyBorder="1">
      <alignment horizontal="center"/>
    </xf>
    <xf numFmtId="49" fontId="19" fillId="35" borderId="11" xfId="0" applyFont="1" applyFill="1" applyBorder="1" applyNumberFormat="1">
      <alignment horizontal="left" vertical="center" wrapText="1" indent="1"/>
      <protection locked="0"/>
    </xf>
    <xf numFmtId="0" fontId="19" fillId="0" borderId="0" xfId="0" applyFont="1">
      <alignment horizontal="center"/>
    </xf>
    <xf numFmtId="4" fontId="21" fillId="38" borderId="11" xfId="0" applyFont="1" applyFill="1" applyBorder="1" applyNumberFormat="1">
      <alignment horizontal="right" vertical="center" wrapText="1"/>
    </xf>
    <xf numFmtId="0" fontId="25" fillId="38" borderId="43" xfId="0" applyFont="1" applyFill="1" applyBorder="1">
      <alignment horizontal="left" vertical="center" indent="1"/>
    </xf>
    <xf numFmtId="0" fontId="19" fillId="44" borderId="43" xfId="0" applyFont="1" applyFill="1" applyBorder="1">
      <alignment horizontal="left" vertical="center" wrapText="1"/>
    </xf>
    <xf numFmtId="0" fontId="19" fillId="44" borderId="44" xfId="0" applyFont="1" applyFill="1" applyBorder="1">
      <alignment horizontal="center" vertical="center"/>
    </xf>
    <xf numFmtId="0" fontId="19" fillId="44" borderId="44" xfId="0" applyFont="1" applyFill="1" applyBorder="1">
      <alignment horizontal="left" vertical="center" indent="1"/>
    </xf>
    <xf numFmtId="0" fontId="25" fillId="0" borderId="0" xfId="0" applyFont="1">
      <alignment vertical="center"/>
    </xf>
    <xf numFmtId="0" fontId="25" fillId="44" borderId="0" xfId="0" applyFont="1" applyFill="1">
      <alignment vertical="center"/>
    </xf>
    <xf numFmtId="4" fontId="25" fillId="34" borderId="10" xfId="0" applyFont="1" applyFill="1" applyBorder="1" applyNumberFormat="1">
      <alignment horizontal="right" vertical="center"/>
      <protection locked="0"/>
    </xf>
    <xf numFmtId="0" fontId="19" fillId="0" borderId="10" xfId="0" applyFont="1" applyBorder="1">
      <alignment horizontal="left" vertical="center" wrapText="1"/>
    </xf>
    <xf numFmtId="49" fontId="19" fillId="35" borderId="10" xfId="0" applyFont="1" applyFill="1" applyBorder="1" applyNumberFormat="1">
      <alignment horizontal="left" vertical="center" wrapText="1"/>
      <protection locked="0"/>
    </xf>
    <xf numFmtId="4" fontId="19" fillId="34" borderId="10" xfId="0" applyFont="1" applyFill="1" applyBorder="1" applyNumberFormat="1">
      <alignment horizontal="right" vertical="center"/>
      <protection locked="0"/>
    </xf>
    <xf numFmtId="0" fontId="19" fillId="0" borderId="44" xfId="0" applyFont="1" applyBorder="1">
      <alignment horizontal="center" vertical="center"/>
    </xf>
    <xf numFmtId="0" fontId="19" fillId="0" borderId="10" xfId="0" applyFont="1" applyBorder="1">
      <alignment horizontal="left" vertical="center" wrapText="1" indent="1"/>
    </xf>
    <xf numFmtId="0" fontId="25" fillId="0" borderId="0" xfId="0" applyFont="1">
      <alignment horizontal="center" vertical="center"/>
    </xf>
    <xf numFmtId="0" fontId="19" fillId="35" borderId="10" xfId="0" applyFont="1" applyFill="1" applyBorder="1">
      <alignment horizontal="left" vertical="center" wrapText="1"/>
      <protection locked="0"/>
    </xf>
    <xf numFmtId="0" fontId="19" fillId="44" borderId="31" xfId="0" applyFont="1" applyFill="1" applyBorder="1">
      <alignment horizontal="left" vertical="center" indent="1"/>
    </xf>
    <xf numFmtId="0" fontId="32" fillId="44" borderId="0" xfId="0" applyFont="1" applyFill="1">
      <alignment horizontal="left" vertical="center"/>
    </xf>
    <xf numFmtId="14" fontId="67" fillId="0" borderId="0" xfId="0" applyFont="1" applyNumberFormat="1">
      <alignment vertical="center"/>
    </xf>
    <xf numFmtId="0" fontId="19" fillId="34" borderId="10" xfId="0" applyFont="1" applyFill="1" applyBorder="1">
      <alignment horizontal="left" vertical="center" wrapText="1"/>
      <protection locked="0"/>
    </xf>
    <xf numFmtId="0" fontId="67" fillId="0" borderId="0" xfId="0" applyFont="1"/>
    <xf numFmtId="0" fontId="67" fillId="0" borderId="0" xfId="0" applyFont="1">
      <alignment horizontal="center"/>
    </xf>
    <xf numFmtId="0" fontId="67" fillId="44" borderId="0" xfId="0" applyFont="1" applyFill="1"/>
    <xf numFmtId="0" fontId="32" fillId="0" borderId="0" xfId="0" applyFont="1">
      <alignment vertical="top"/>
    </xf>
    <xf numFmtId="49" fontId="67" fillId="0" borderId="0" xfId="0" applyFont="1" applyNumberFormat="1"/>
    <xf numFmtId="0" fontId="32" fillId="0" borderId="0" xfId="0" applyFont="1">
      <alignment horizontal="center" vertical="center" wrapText="1"/>
    </xf>
    <xf numFmtId="49" fontId="32" fillId="0" borderId="0" xfId="0" applyFont="1" applyNumberFormat="1">
      <alignment horizontal="center" vertical="center" wrapText="1"/>
    </xf>
    <xf numFmtId="0" fontId="19" fillId="34" borderId="11" xfId="0" applyFont="1" applyFill="1" applyBorder="1">
      <alignment horizontal="left" vertical="center" wrapText="1"/>
      <protection locked="0"/>
    </xf>
    <xf numFmtId="49" fontId="32" fillId="0" borderId="0" xfId="0" applyFont="1" applyNumberFormat="1"/>
    <xf numFmtId="4" fontId="25" fillId="0" borderId="11" xfId="0" applyFont="1" applyBorder="1" applyNumberFormat="1">
      <alignment horizontal="right" vertical="center"/>
      <protection locked="0"/>
    </xf>
    <xf numFmtId="4" fontId="19" fillId="35" borderId="30" xfId="0" applyFont="1" applyFill="1" applyBorder="1" applyNumberFormat="1">
      <alignment horizontal="right" vertical="center"/>
      <protection locked="0"/>
    </xf>
    <xf numFmtId="0" fontId="67" fillId="0" borderId="0" xfId="0" applyFont="1">
      <alignment horizontal="left" vertical="center"/>
    </xf>
    <xf numFmtId="0" fontId="19" fillId="0" borderId="0" xfId="0" applyFont="1">
      <alignment horizontal="left"/>
    </xf>
    <xf numFmtId="49" fontId="66" fillId="0" borderId="0" xfId="0" applyFont="1" applyNumberFormat="1"/>
    <xf numFmtId="0" fontId="19" fillId="25" borderId="0" xfId="0" applyFont="1" applyFill="1">
      <alignment horizontal="center" vertical="center"/>
    </xf>
    <xf numFmtId="0" fontId="19" fillId="0" borderId="0" xfId="0" applyFont="1">
      <alignment horizontal="center" vertical="top"/>
    </xf>
    <xf numFmtId="0" fontId="19" fillId="40" borderId="0" xfId="0" applyFont="1" applyFill="1">
      <alignment horizontal="center" vertical="center"/>
    </xf>
    <xf numFmtId="0" fontId="19" fillId="0" borderId="0" xfId="0" applyFont="1">
      <alignment vertical="center"/>
    </xf>
    <xf numFmtId="0" fontId="32" fillId="41" borderId="0" xfId="0" applyFont="1" applyFill="1">
      <alignment horizontal="left" vertical="top"/>
    </xf>
    <xf numFmtId="0" fontId="19" fillId="36" borderId="10" xfId="0" applyFont="1" applyFill="1" applyBorder="1">
      <alignment horizontal="center" vertical="center" wrapText="1"/>
    </xf>
    <xf numFmtId="0" fontId="19" fillId="0" borderId="11" xfId="0" applyFont="1" applyBorder="1">
      <alignment horizontal="left" indent="1"/>
    </xf>
    <xf numFmtId="0" fontId="19" fillId="0" borderId="56" xfId="0" applyFont="1" applyBorder="1">
      <alignment horizontal="center" vertical="center" wrapText="1"/>
    </xf>
    <xf numFmtId="0" fontId="19" fillId="0" borderId="16" xfId="0" applyFont="1" applyBorder="1">
      <alignment horizontal="center" vertical="center" wrapText="1"/>
    </xf>
    <xf numFmtId="4" fontId="19" fillId="38" borderId="11" xfId="0" applyFont="1" applyFill="1" applyBorder="1" applyNumberFormat="1">
      <alignment horizontal="right" vertical="center" wrapText="1"/>
    </xf>
    <xf numFmtId="0" fontId="19" fillId="0" borderId="11" xfId="0" applyFont="1" applyBorder="1">
      <alignment horizontal="right" vertical="center" wrapText="1"/>
    </xf>
    <xf numFmtId="0" fontId="19" fillId="0" borderId="11" xfId="0" applyFont="1" applyBorder="1" quotePrefix="1">
      <alignment horizontal="left" vertical="center" wrapText="1" indent="1"/>
    </xf>
    <xf numFmtId="4" fontId="25" fillId="38" borderId="11" xfId="0" applyFont="1" applyFill="1" applyBorder="1" applyNumberFormat="1">
      <alignment horizontal="right" vertical="center" wrapText="1"/>
    </xf>
    <xf numFmtId="49" fontId="41" fillId="43" borderId="42" xfId="0" applyFont="1" applyFill="1" applyBorder="1" applyNumberFormat="1">
      <alignment horizontal="left" vertical="center" wrapText="1" indent="1"/>
    </xf>
    <xf numFmtId="0" fontId="19" fillId="34" borderId="30" xfId="0" applyFont="1" applyFill="1" applyBorder="1">
      <alignment horizontal="left" vertical="center" wrapText="1" indent="1"/>
      <protection locked="0"/>
    </xf>
    <xf numFmtId="175" fontId="21" fillId="35" borderId="10" xfId="0" applyFont="1" applyFill="1" applyBorder="1" applyNumberFormat="1">
      <alignment horizontal="left" vertical="center" wrapText="1" indent="1"/>
    </xf>
    <xf numFmtId="172" fontId="19" fillId="38" borderId="11" xfId="0" applyFont="1" applyFill="1" applyBorder="1" applyNumberFormat="1">
      <alignment horizontal="right" vertical="center"/>
    </xf>
    <xf numFmtId="4" fontId="19" fillId="0" borderId="11" xfId="0" applyFont="1" applyBorder="1" applyNumberFormat="1">
      <alignment horizontal="right" vertical="center"/>
    </xf>
    <xf numFmtId="4" fontId="19" fillId="38" borderId="11" xfId="0" applyFont="1" applyFill="1" applyBorder="1" applyNumberFormat="1">
      <alignment horizontal="right" vertical="center"/>
    </xf>
    <xf numFmtId="4" fontId="19" fillId="38" borderId="11" xfId="0" applyFont="1" applyFill="1" applyBorder="1" applyNumberFormat="1">
      <alignment horizontal="right" vertical="center"/>
    </xf>
    <xf numFmtId="4" fontId="19" fillId="0" borderId="11" xfId="0" applyFont="1" applyBorder="1" applyNumberFormat="1">
      <alignment horizontal="right" vertical="center"/>
    </xf>
    <xf numFmtId="172" fontId="19" fillId="38" borderId="11" xfId="0" applyFont="1" applyFill="1" applyBorder="1" applyNumberFormat="1">
      <alignment horizontal="right" vertical="center"/>
    </xf>
    <xf numFmtId="49" fontId="21" fillId="34" borderId="10" xfId="0" applyFont="1" applyFill="1" applyBorder="1" applyNumberFormat="1">
      <alignment horizontal="right" vertical="center"/>
      <protection locked="0"/>
    </xf>
    <xf numFmtId="0" fontId="19" fillId="0" borderId="0" xfId="0" applyFont="1">
      <alignment horizontal="left" vertical="center" wrapText="1"/>
    </xf>
    <xf numFmtId="0" fontId="21" fillId="0" borderId="0" xfId="0" applyFont="1">
      <alignment horizontal="right" vertical="center"/>
    </xf>
    <xf numFmtId="172" fontId="21" fillId="0" borderId="0" xfId="0" applyFont="1" applyNumberFormat="1">
      <alignment horizontal="right" vertical="center"/>
    </xf>
    <xf numFmtId="49" fontId="21" fillId="0" borderId="0" xfId="0" applyFont="1" applyNumberFormat="1">
      <alignment horizontal="left" vertical="center" wrapText="1"/>
    </xf>
    <xf numFmtId="0" fontId="19" fillId="35" borderId="11" xfId="0" applyFont="1" applyFill="1" applyBorder="1">
      <alignment horizontal="left" vertical="center" wrapText="1" indent="1"/>
      <protection locked="0"/>
    </xf>
    <xf numFmtId="0" fontId="19" fillId="35" borderId="50" xfId="0" applyFont="1" applyFill="1" applyBorder="1">
      <alignment horizontal="left" vertical="center" wrapText="1" indent="1"/>
      <protection locked="0"/>
    </xf>
    <xf numFmtId="0" fontId="26" fillId="0" borderId="0" xfId="0" applyFont="1">
      <alignment vertical="center"/>
    </xf>
    <xf numFmtId="0" fontId="1" fillId="0" borderId="0" xfId="0" applyFont="1">
      <alignment vertical="center"/>
    </xf>
    <xf numFmtId="0" fontId="32" fillId="0" borderId="0" xfId="0" applyFont="1">
      <alignment horizontal="center" vertical="center"/>
    </xf>
    <xf numFmtId="0" fontId="51" fillId="0" borderId="0" xfId="0" applyFont="1">
      <alignment horizontal="left" vertical="top"/>
    </xf>
    <xf numFmtId="49" fontId="19" fillId="0" borderId="57" xfId="0" applyFont="1" applyBorder="1" applyNumberFormat="1">
      <alignment vertical="top"/>
    </xf>
    <xf numFmtId="0" fontId="27" fillId="0" borderId="0" xfId="0" applyFont="1">
      <alignment vertical="center" wrapText="1"/>
    </xf>
    <xf numFmtId="0" fontId="19" fillId="0" borderId="0" xfId="0" applyFont="1">
      <alignment vertical="top"/>
    </xf>
    <xf numFmtId="0" fontId="0" fillId="25" borderId="0" xfId="0" applyFont="1" applyFill="1">
      <alignment horizontal="center" vertical="center" wrapText="1"/>
    </xf>
    <xf numFmtId="0" fontId="19" fillId="44" borderId="0" xfId="0" applyFont="1" applyFill="1">
      <alignment horizontal="left" vertical="center"/>
    </xf>
    <xf numFmtId="0" fontId="19" fillId="44" borderId="0" xfId="0" applyFont="1" applyFill="1">
      <alignment vertical="center" wrapText="1"/>
    </xf>
    <xf numFmtId="0" fontId="27" fillId="44" borderId="0" xfId="0" applyFont="1" applyFill="1">
      <alignment vertical="center" wrapText="1"/>
    </xf>
    <xf numFmtId="0" fontId="19" fillId="44" borderId="0" xfId="0" applyFont="1" applyFill="1">
      <alignment vertical="top"/>
    </xf>
    <xf numFmtId="0" fontId="72" fillId="0" borderId="0" xfId="0" applyFont="1">
      <alignment vertical="center" wrapText="1"/>
    </xf>
    <xf numFmtId="0" fontId="25" fillId="0" borderId="0" xfId="0" applyFont="1">
      <alignment vertical="center" wrapText="1"/>
    </xf>
    <xf numFmtId="0" fontId="73" fillId="0" borderId="0" xfId="0" applyFont="1">
      <alignment vertical="center" wrapText="1"/>
    </xf>
    <xf numFmtId="0" fontId="74" fillId="0" borderId="0" xfId="0" applyFont="1">
      <alignment horizontal="center" vertical="top" wrapText="1"/>
    </xf>
    <xf numFmtId="0" fontId="19" fillId="37" borderId="0" xfId="0" applyFont="1" applyFill="1">
      <alignment vertical="top"/>
    </xf>
    <xf numFmtId="0" fontId="1" fillId="0" borderId="0" xfId="0" applyFont="1"/>
    <xf numFmtId="172" fontId="19" fillId="34" borderId="39" xfId="0" applyFont="1" applyFill="1" applyBorder="1" applyNumberFormat="1">
      <alignment horizontal="right" vertical="center"/>
      <protection locked="0"/>
    </xf>
    <xf numFmtId="172" fontId="21" fillId="34" borderId="39" xfId="0" applyFont="1" applyFill="1" applyBorder="1" applyNumberFormat="1">
      <alignment horizontal="right" vertical="center"/>
      <protection locked="0"/>
    </xf>
    <xf numFmtId="49" fontId="21" fillId="0" borderId="10" xfId="0" applyFont="1" applyBorder="1" applyNumberFormat="1">
      <alignment horizontal="left" vertical="center" wrapText="1"/>
    </xf>
    <xf numFmtId="0" fontId="51" fillId="19" borderId="0" xfId="0" applyFont="1" applyFill="1">
      <alignment horizontal="center" vertical="center"/>
    </xf>
    <xf numFmtId="0" fontId="37" fillId="0" borderId="0" xfId="0" applyFont="1">
      <alignment horizontal="left" vertical="center" wrapText="1" indent="4"/>
    </xf>
    <xf numFmtId="0" fontId="36" fillId="0" borderId="0" xfId="0" applyFont="1">
      <alignment vertical="center"/>
    </xf>
    <xf numFmtId="0" fontId="51" fillId="0" borderId="0" xfId="0" applyFont="1">
      <alignment horizontal="center" vertical="center"/>
    </xf>
    <xf numFmtId="0" fontId="36" fillId="44" borderId="0" xfId="0" applyFont="1" applyFill="1">
      <alignment vertical="center"/>
    </xf>
    <xf numFmtId="0" fontId="26" fillId="0" borderId="0" xfId="0" applyFont="1">
      <alignment vertical="center"/>
    </xf>
    <xf numFmtId="0" fontId="36" fillId="0" borderId="0" xfId="0" applyFont="1">
      <alignment vertical="center" wrapText="1"/>
    </xf>
    <xf numFmtId="0" fontId="19" fillId="0" borderId="0" xfId="0" applyFont="1"/>
    <xf numFmtId="0" fontId="29" fillId="0" borderId="0" xfId="0" applyFont="1">
      <alignment vertical="center" wrapText="1"/>
    </xf>
    <xf numFmtId="0" fontId="29" fillId="0" borderId="0" xfId="0" applyFont="1">
      <alignment horizontal="center" vertical="center" wrapText="1"/>
    </xf>
    <xf numFmtId="0" fontId="29" fillId="0" borderId="0" xfId="0" applyFont="1">
      <alignment vertical="center"/>
    </xf>
    <xf numFmtId="0" fontId="1" fillId="0" borderId="0" xfId="0" applyFont="1"/>
    <xf numFmtId="49" fontId="25" fillId="0" borderId="0" xfId="0" applyFont="1" applyNumberFormat="1">
      <alignment vertical="top"/>
    </xf>
    <xf numFmtId="0" fontId="19" fillId="4" borderId="0" xfId="0" applyFont="1" applyFill="1">
      <alignment horizontal="left" vertical="center"/>
    </xf>
    <xf numFmtId="0" fontId="19" fillId="4" borderId="0" xfId="0" applyFont="1" applyFill="1">
      <alignment horizontal="center" vertical="center"/>
    </xf>
    <xf numFmtId="0" fontId="19" fillId="44" borderId="0" xfId="0" applyFont="1" applyFill="1">
      <alignment horizontal="center" vertical="top"/>
    </xf>
    <xf numFmtId="0" fontId="19" fillId="0" borderId="0" xfId="0" applyFont="1">
      <alignment horizontal="right" vertical="center" wrapText="1"/>
    </xf>
    <xf numFmtId="0" fontId="19" fillId="4" borderId="0" xfId="0" applyFont="1" applyFill="1">
      <alignment horizontal="left" vertical="center" wrapText="1"/>
    </xf>
    <xf numFmtId="0" fontId="0" fillId="4" borderId="0" xfId="0" applyFont="1" applyFill="1">
      <alignment horizontal="center" vertical="center" wrapText="1"/>
    </xf>
    <xf numFmtId="0" fontId="19" fillId="4" borderId="0" xfId="0" applyFont="1" applyFill="1">
      <alignment vertical="center" wrapText="1"/>
    </xf>
    <xf numFmtId="0" fontId="19" fillId="4" borderId="0" xfId="0" applyFont="1" applyFill="1">
      <alignment horizontal="center" vertical="center" wrapText="1"/>
    </xf>
    <xf numFmtId="0" fontId="19" fillId="4" borderId="0" xfId="0" applyFont="1" applyFill="1">
      <alignment vertical="top"/>
    </xf>
    <xf numFmtId="0" fontId="21" fillId="4" borderId="0" xfId="0" applyFont="1" applyFill="1"/>
    <xf numFmtId="0" fontId="19" fillId="4" borderId="0" xfId="0" applyFont="1" applyFill="1">
      <alignment vertical="top"/>
    </xf>
    <xf numFmtId="0" fontId="27" fillId="4" borderId="0" xfId="0" applyFont="1" applyFill="1">
      <alignment vertical="top"/>
    </xf>
    <xf numFmtId="0" fontId="19" fillId="4" borderId="0" xfId="0" applyFont="1" applyFill="1"/>
    <xf numFmtId="0" fontId="19" fillId="4" borderId="0" xfId="0" applyFont="1" applyFill="1">
      <alignment vertical="top"/>
    </xf>
    <xf numFmtId="0" fontId="0" fillId="44" borderId="0" xfId="0" applyFont="1" applyFill="1">
      <alignment horizontal="center" vertical="center" wrapText="1"/>
    </xf>
    <xf numFmtId="49" fontId="19" fillId="4" borderId="0" xfId="0" applyFont="1" applyFill="1" applyNumberFormat="1">
      <alignment vertical="center" wrapText="1"/>
    </xf>
    <xf numFmtId="49" fontId="19" fillId="4" borderId="0" xfId="0" applyFont="1" applyFill="1" applyNumberFormat="1">
      <alignment vertical="top"/>
    </xf>
    <xf numFmtId="0" fontId="32" fillId="4" borderId="0" xfId="0" applyFont="1" applyFill="1"/>
    <xf numFmtId="49" fontId="19" fillId="4" borderId="0" xfId="0" applyFont="1" applyFill="1" applyNumberFormat="1">
      <alignment vertical="top"/>
    </xf>
    <xf numFmtId="49" fontId="27" fillId="44" borderId="0" xfId="0" applyFont="1" applyFill="1" applyNumberFormat="1">
      <alignment vertical="top"/>
    </xf>
    <xf numFmtId="49" fontId="32" fillId="4" borderId="0" xfId="0" applyFont="1" applyFill="1" applyNumberFormat="1"/>
    <xf numFmtId="0" fontId="0" fillId="4" borderId="0" xfId="0" applyFont="1" applyFill="1">
      <alignment horizontal="center"/>
    </xf>
    <xf numFmtId="0" fontId="21" fillId="4" borderId="0" xfId="0" applyFont="1" applyFill="1">
      <alignment horizontal="left"/>
    </xf>
    <xf numFmtId="0" fontId="21" fillId="4" borderId="0" xfId="0" applyFont="1" applyFill="1">
      <alignment wrapText="1"/>
    </xf>
    <xf numFmtId="0" fontId="21" fillId="4" borderId="0" xfId="0" applyFont="1" applyFill="1">
      <alignment horizontal="center"/>
    </xf>
    <xf numFmtId="0" fontId="21" fillId="4" borderId="0" xfId="0" applyFont="1" applyFill="1">
      <alignment vertical="center" wrapText="1"/>
    </xf>
    <xf numFmtId="0" fontId="0" fillId="44" borderId="0" xfId="0" applyFont="1" applyFill="1">
      <alignment horizontal="center"/>
    </xf>
    <xf numFmtId="0" fontId="21" fillId="4" borderId="0" xfId="0" applyFont="1" applyFill="1">
      <alignment vertical="center"/>
    </xf>
    <xf numFmtId="0" fontId="0" fillId="4" borderId="0" xfId="0" applyFont="1" applyFill="1">
      <alignment horizontal="center" vertical="center"/>
    </xf>
    <xf numFmtId="0" fontId="21" fillId="4" borderId="0" xfId="0" applyFont="1" applyFill="1">
      <alignment horizontal="left" vertical="center"/>
    </xf>
    <xf numFmtId="0" fontId="19" fillId="4" borderId="0" xfId="0" applyFont="1" applyFill="1">
      <alignment vertical="center"/>
    </xf>
    <xf numFmtId="49" fontId="19" fillId="4" borderId="0" xfId="0" applyFont="1" applyFill="1" applyNumberFormat="1">
      <alignment vertical="top"/>
    </xf>
    <xf numFmtId="0" fontId="21" fillId="4" borderId="0" xfId="0" applyFont="1" applyFill="1">
      <alignment vertical="center"/>
    </xf>
    <xf numFmtId="0" fontId="32" fillId="0" borderId="0" xfId="0" applyFont="1"/>
    <xf numFmtId="0" fontId="32" fillId="0" borderId="0" xfId="0" applyFont="1">
      <alignment vertical="center"/>
    </xf>
    <xf numFmtId="0" fontId="21" fillId="0" borderId="0" xfId="0" applyFont="1"/>
    <xf numFmtId="0" fontId="32" fillId="4" borderId="0" xfId="0" applyFont="1" applyFill="1"/>
    <xf numFmtId="0" fontId="19" fillId="4" borderId="0" xfId="0" applyFont="1" applyFill="1"/>
    <xf numFmtId="0" fontId="19" fillId="4" borderId="0" xfId="0" applyFont="1" applyFill="1">
      <alignment horizontal="center"/>
    </xf>
    <xf numFmtId="0" fontId="21" fillId="4" borderId="0" xfId="0" applyFont="1" applyFill="1">
      <alignment vertical="center"/>
    </xf>
    <xf numFmtId="49" fontId="19" fillId="4" borderId="0" xfId="0" applyFont="1" applyFill="1" applyNumberFormat="1">
      <alignment horizontal="center"/>
    </xf>
    <xf numFmtId="0" fontId="0" fillId="44" borderId="0" xfId="0" applyFont="1" applyFill="1">
      <alignment horizontal="center" vertical="center"/>
    </xf>
    <xf numFmtId="0" fontId="21" fillId="4" borderId="0" xfId="0" applyFont="1" applyFill="1">
      <alignment horizontal="center" vertical="center" wrapText="1"/>
    </xf>
    <xf numFmtId="0" fontId="32" fillId="4" borderId="0" xfId="0" applyFont="1" applyFill="1">
      <alignment vertical="center"/>
    </xf>
    <xf numFmtId="0" fontId="19" fillId="4" borderId="0" xfId="0" applyFont="1" applyFill="1"/>
    <xf numFmtId="0" fontId="19" fillId="4" borderId="0" xfId="0" applyFont="1" applyFill="1">
      <alignment horizontal="center"/>
    </xf>
    <xf numFmtId="0" fontId="19" fillId="4" borderId="0" xfId="0" applyFont="1" applyFill="1">
      <alignment horizontal="left" vertical="top"/>
    </xf>
    <xf numFmtId="0" fontId="25" fillId="4" borderId="0" xfId="0" applyFont="1" applyFill="1"/>
    <xf numFmtId="0" fontId="21" fillId="4" borderId="0" xfId="0" applyFont="1" applyFill="1">
      <alignment vertical="center"/>
    </xf>
    <xf numFmtId="0" fontId="0" fillId="4" borderId="0" xfId="0" applyFont="1" applyFill="1">
      <alignment horizontal="center"/>
    </xf>
    <xf numFmtId="0" fontId="21" fillId="4" borderId="0" xfId="0" applyFont="1" applyFill="1"/>
    <xf numFmtId="0" fontId="21" fillId="4" borderId="0" xfId="0" applyFont="1" applyFill="1">
      <alignment horizontal="center"/>
    </xf>
    <xf numFmtId="0" fontId="19" fillId="4" borderId="0" xfId="0" applyFont="1" applyFill="1">
      <alignment horizontal="left" vertical="top"/>
    </xf>
    <xf numFmtId="0" fontId="26" fillId="4" borderId="0" xfId="0" applyFont="1" applyFill="1"/>
    <xf numFmtId="0" fontId="51" fillId="4" borderId="0" xfId="0" applyFont="1" applyFill="1">
      <alignment horizontal="center"/>
    </xf>
    <xf numFmtId="0" fontId="67" fillId="4" borderId="0" xfId="0" applyFont="1" applyFill="1"/>
    <xf numFmtId="0" fontId="29" fillId="4" borderId="0" xfId="0" applyFont="1" applyFill="1"/>
    <xf numFmtId="0" fontId="51" fillId="44" borderId="0" xfId="0" applyFont="1" applyFill="1">
      <alignment horizontal="center"/>
    </xf>
    <xf numFmtId="0" fontId="21" fillId="4" borderId="0" xfId="0" applyFont="1" applyFill="1">
      <alignment horizontal="center" vertical="center" wrapText="1"/>
    </xf>
    <xf numFmtId="0" fontId="21" fillId="44" borderId="0" xfId="0" applyFont="1" applyFill="1">
      <alignment horizontal="center" vertical="center" wrapText="1"/>
    </xf>
    <xf numFmtId="49" fontId="19" fillId="4" borderId="0" xfId="0" applyFont="1" applyFill="1" applyNumberFormat="1">
      <alignment vertical="top"/>
    </xf>
    <xf numFmtId="0" fontId="0" fillId="44" borderId="0" xfId="0" applyFont="1" applyFill="1">
      <alignment horizontal="center"/>
    </xf>
    <xf numFmtId="49" fontId="21" fillId="4" borderId="0" xfId="0" applyFont="1" applyFill="1" applyNumberFormat="1"/>
    <xf numFmtId="0" fontId="43" fillId="4" borderId="0" xfId="0" applyFont="1" applyFill="1"/>
    <xf numFmtId="0" fontId="19" fillId="4" borderId="0" xfId="0" applyFont="1" applyFill="1">
      <alignment horizontal="center" vertical="center"/>
    </xf>
    <xf numFmtId="0" fontId="32" fillId="4" borderId="0" xfId="0" applyFont="1" applyFill="1">
      <alignment horizontal="left" vertical="center"/>
    </xf>
    <xf numFmtId="0" fontId="21" fillId="4" borderId="0" xfId="0" applyFont="1" applyFill="1">
      <alignment horizontal="left" vertical="center" wrapText="1"/>
    </xf>
    <xf numFmtId="0" fontId="43" fillId="4" borderId="0" xfId="0" applyFont="1" applyFill="1">
      <alignment vertical="center"/>
    </xf>
    <xf numFmtId="0" fontId="43" fillId="44" borderId="0" xfId="0" applyFont="1" applyFill="1">
      <alignment vertical="center"/>
    </xf>
    <xf numFmtId="49" fontId="21" fillId="4" borderId="0" xfId="0" applyFont="1" applyFill="1" applyNumberFormat="1">
      <alignment vertical="center"/>
    </xf>
    <xf numFmtId="0" fontId="19" fillId="4" borderId="0" xfId="0" applyFont="1" applyFill="1">
      <alignment vertical="top"/>
    </xf>
    <xf numFmtId="0" fontId="1" fillId="44" borderId="0" xfId="0" applyFont="1" applyFill="1"/>
    <xf numFmtId="0" fontId="1" fillId="4" borderId="0" xfId="0" applyFont="1" applyFill="1"/>
    <xf numFmtId="0" fontId="21" fillId="4" borderId="0" xfId="0" applyFont="1" applyFill="1">
      <alignment vertical="center"/>
    </xf>
    <xf numFmtId="0" fontId="1" fillId="4" borderId="0" xfId="0" applyFont="1" applyFill="1"/>
    <xf numFmtId="0" fontId="17" fillId="4" borderId="0" xfId="0" applyFont="1" applyFill="1"/>
    <xf numFmtId="0" fontId="36" fillId="4" borderId="0" xfId="0" applyFont="1" applyFill="1">
      <alignment vertical="center"/>
    </xf>
    <xf numFmtId="0" fontId="51" fillId="4" borderId="0" xfId="0" applyFont="1" applyFill="1">
      <alignment horizontal="center" vertical="center"/>
    </xf>
    <xf numFmtId="0" fontId="26" fillId="4" borderId="0" xfId="0" applyFont="1" applyFill="1">
      <alignment vertical="center"/>
    </xf>
    <xf numFmtId="0" fontId="36" fillId="4" borderId="0" xfId="0" applyFont="1" applyFill="1">
      <alignment vertical="center" wrapText="1"/>
    </xf>
    <xf numFmtId="0" fontId="37" fillId="4" borderId="0" xfId="0" applyFont="1" applyFill="1">
      <alignment vertical="center" wrapText="1"/>
    </xf>
    <xf numFmtId="0" fontId="37" fillId="4" borderId="0" xfId="0" applyFont="1" applyFill="1">
      <alignment horizontal="center" vertical="center" wrapText="1"/>
    </xf>
    <xf numFmtId="0" fontId="37" fillId="4" borderId="0" xfId="0" applyFont="1" applyFill="1">
      <alignment vertical="center"/>
    </xf>
    <xf numFmtId="0" fontId="67" fillId="4" borderId="0" xfId="0" applyFont="1" applyFill="1">
      <alignment vertical="center"/>
    </xf>
    <xf numFmtId="0" fontId="67" fillId="44" borderId="0" xfId="0" applyFont="1" applyFill="1">
      <alignment vertical="center"/>
    </xf>
    <xf numFmtId="0" fontId="21" fillId="4" borderId="0" xfId="0" applyFont="1" applyFill="1">
      <alignment horizontal="center" vertical="center"/>
    </xf>
    <xf numFmtId="49" fontId="36" fillId="4" borderId="0" xfId="0" applyFont="1" applyFill="1" applyNumberFormat="1">
      <alignment vertical="center"/>
    </xf>
    <xf numFmtId="0" fontId="32" fillId="4" borderId="0" xfId="0" applyFont="1" applyFill="1">
      <alignment horizontal="left"/>
    </xf>
    <xf numFmtId="0" fontId="21" fillId="4" borderId="0" xfId="0" applyFont="1" applyFill="1">
      <alignment vertical="center"/>
    </xf>
    <xf numFmtId="0" fontId="21" fillId="4" borderId="0" xfId="0" applyFont="1" applyFill="1">
      <alignment vertical="center"/>
    </xf>
    <xf numFmtId="49" fontId="21" fillId="4" borderId="0" xfId="0" applyFont="1" applyFill="1" applyNumberFormat="1"/>
    <xf numFmtId="49" fontId="19" fillId="0" borderId="0" xfId="0" applyFont="1" applyNumberFormat="1"/>
    <xf numFmtId="0" fontId="19" fillId="40" borderId="0" xfId="0" applyFont="1" applyFill="1"/>
    <xf numFmtId="0" fontId="1" fillId="0" borderId="0" xfId="0" applyFont="1"/>
    <xf numFmtId="49" fontId="19" fillId="0" borderId="0" xfId="0" applyFont="1" applyNumberFormat="1">
      <alignment horizontal="left" vertical="top"/>
    </xf>
    <xf numFmtId="49" fontId="19" fillId="0" borderId="0" xfId="0" applyFont="1" applyNumberFormat="1">
      <alignment horizontal="left" vertical="top"/>
    </xf>
    <xf numFmtId="172" fontId="19" fillId="38" borderId="10" xfId="0" applyFont="1" applyFill="1" applyBorder="1" applyNumberFormat="1">
      <alignment horizontal="right" vertical="center" wrapText="1"/>
    </xf>
    <xf numFmtId="4" fontId="19" fillId="38" borderId="10" xfId="0" applyFont="1" applyFill="1" applyBorder="1" applyNumberFormat="1">
      <alignment horizontal="right" vertical="center" wrapText="1"/>
    </xf>
    <xf numFmtId="4" fontId="19" fillId="0" borderId="0" xfId="0" applyFont="1" applyNumberFormat="1"/>
    <xf numFmtId="49" fontId="68" fillId="0" borderId="0" xfId="0" applyFont="1" applyNumberFormat="1">
      <alignment vertical="top" wrapText="1"/>
    </xf>
    <xf numFmtId="0" fontId="19" fillId="0" borderId="11" xfId="0" applyFont="1" applyBorder="1">
      <alignment horizontal="left" vertical="center" wrapText="1"/>
    </xf>
    <xf numFmtId="0" fontId="19" fillId="0" borderId="10" xfId="0" applyFont="1" applyBorder="1">
      <alignment horizontal="left" vertical="center" wrapText="1"/>
    </xf>
    <xf numFmtId="0" fontId="25" fillId="37" borderId="10" xfId="0" applyFont="1" applyFill="1" applyBorder="1">
      <alignment horizontal="left" vertical="center" wrapText="1"/>
    </xf>
    <xf numFmtId="0" fontId="19" fillId="0" borderId="10" xfId="0" applyFont="1" applyBorder="1">
      <alignment horizontal="left" vertical="center" wrapText="1" indent="1"/>
    </xf>
    <xf numFmtId="4" fontId="19" fillId="38" borderId="11" xfId="0" applyFont="1" applyFill="1" applyBorder="1" applyNumberFormat="1">
      <alignment horizontal="right" vertical="center" wrapText="1"/>
    </xf>
    <xf numFmtId="4" fontId="19" fillId="38" borderId="10" xfId="0" applyFont="1" applyFill="1" applyBorder="1" applyNumberFormat="1">
      <alignment vertical="center"/>
    </xf>
    <xf numFmtId="172" fontId="19" fillId="34" borderId="10" xfId="0" applyFont="1" applyFill="1" applyBorder="1" applyNumberFormat="1">
      <alignment horizontal="right" vertical="center"/>
      <protection locked="0"/>
    </xf>
    <xf numFmtId="172" fontId="19" fillId="38" borderId="10" xfId="0" applyFont="1" applyFill="1" applyBorder="1" applyNumberFormat="1">
      <alignment vertical="center"/>
    </xf>
    <xf numFmtId="4" fontId="19" fillId="34" borderId="10" xfId="0" applyFont="1" applyFill="1" applyBorder="1" applyNumberFormat="1">
      <alignment horizontal="right" vertical="center"/>
      <protection locked="0"/>
    </xf>
    <xf numFmtId="4" fontId="19" fillId="34" borderId="10" xfId="0" applyFont="1" applyFill="1" applyBorder="1" applyNumberFormat="1">
      <alignment vertical="center"/>
      <protection locked="0"/>
    </xf>
    <xf numFmtId="49" fontId="25" fillId="43" borderId="40" xfId="0" applyFont="1" applyFill="1" applyBorder="1" applyNumberFormat="1">
      <alignment horizontal="left" vertical="center" wrapText="1" indent="1"/>
    </xf>
    <xf numFmtId="49" fontId="25" fillId="43" borderId="41" xfId="0" applyFont="1" applyFill="1" applyBorder="1" applyNumberFormat="1">
      <alignment horizontal="left" vertical="center" wrapText="1" indent="1"/>
    </xf>
    <xf numFmtId="0" fontId="19" fillId="44" borderId="44" xfId="0" applyFont="1" applyFill="1" applyBorder="1">
      <alignment horizontal="left" vertical="center" indent="1"/>
    </xf>
    <xf numFmtId="0" fontId="19" fillId="44" borderId="31" xfId="0" applyFont="1" applyFill="1" applyBorder="1">
      <alignment horizontal="left" vertical="center" indent="1"/>
    </xf>
    <xf numFmtId="0" fontId="19" fillId="0" borderId="44" xfId="0" applyFont="1" applyBorder="1">
      <alignment horizontal="left" vertical="center" indent="1"/>
    </xf>
    <xf numFmtId="0" fontId="19" fillId="0" borderId="31" xfId="0" applyFont="1" applyBorder="1">
      <alignment horizontal="left" vertical="center" indent="1"/>
    </xf>
    <xf numFmtId="172" fontId="19" fillId="38" borderId="10" xfId="0" applyFont="1" applyFill="1" applyBorder="1" applyNumberFormat="1">
      <alignment vertical="center"/>
    </xf>
    <xf numFmtId="4" fontId="19" fillId="0" borderId="44" xfId="0" applyFont="1" applyBorder="1" applyNumberFormat="1">
      <alignment horizontal="right" vertical="center"/>
    </xf>
    <xf numFmtId="4" fontId="19" fillId="0" borderId="44" xfId="0" applyFont="1" applyBorder="1" applyNumberFormat="1">
      <alignment vertical="center"/>
    </xf>
    <xf numFmtId="4" fontId="19" fillId="0" borderId="31" xfId="0" applyFont="1" applyBorder="1" applyNumberFormat="1">
      <alignment vertical="center"/>
    </xf>
    <xf numFmtId="0" fontId="19" fillId="0" borderId="0" xfId="0" applyFont="1">
      <alignment vertical="top"/>
    </xf>
    <xf numFmtId="0" fontId="19" fillId="38" borderId="11" xfId="0" applyFont="1" applyFill="1" applyBorder="1">
      <alignment vertical="center"/>
    </xf>
    <xf numFmtId="0" fontId="19" fillId="38" borderId="58" xfId="0" applyFont="1" applyFill="1" applyBorder="1">
      <alignment vertical="center"/>
    </xf>
    <xf numFmtId="0" fontId="19" fillId="0" borderId="11" xfId="0" applyFont="1" applyBorder="1">
      <alignment horizontal="left" vertical="center" wrapText="1" indent="1"/>
    </xf>
    <xf numFmtId="0" fontId="19" fillId="37" borderId="11" xfId="0" applyFont="1" applyFill="1" applyBorder="1">
      <alignment horizontal="left" vertical="center" wrapText="1" indent="1"/>
    </xf>
    <xf numFmtId="172" fontId="19" fillId="38" borderId="11" xfId="0" applyFont="1" applyFill="1" applyBorder="1" applyNumberFormat="1">
      <alignment horizontal="right" vertical="center"/>
    </xf>
    <xf numFmtId="4" fontId="19" fillId="38" borderId="11" xfId="0" applyFont="1" applyFill="1" applyBorder="1" applyNumberFormat="1">
      <alignment horizontal="right" vertical="center"/>
    </xf>
    <xf numFmtId="4" fontId="19" fillId="0" borderId="11" xfId="0" applyFont="1" applyBorder="1" applyNumberFormat="1">
      <alignment horizontal="right" vertical="center"/>
    </xf>
    <xf numFmtId="4" fontId="19" fillId="38" borderId="11" xfId="0" applyFont="1" applyFill="1" applyBorder="1" applyNumberFormat="1">
      <alignment horizontal="right" vertical="center"/>
    </xf>
    <xf numFmtId="49" fontId="19" fillId="0" borderId="10" xfId="0" applyFont="1" applyBorder="1" applyNumberFormat="1">
      <alignment horizontal="left" vertical="center" wrapText="1"/>
    </xf>
    <xf numFmtId="0" fontId="21" fillId="11" borderId="10" xfId="0" applyFont="1" applyFill="1" applyBorder="1">
      <alignment horizontal="center" vertical="center" wrapText="1"/>
    </xf>
    <xf numFmtId="0" fontId="19" fillId="11" borderId="10" xfId="0" applyFont="1" applyFill="1" applyBorder="1">
      <alignment horizontal="center" vertical="center" wrapText="1"/>
    </xf>
    <xf numFmtId="0" fontId="21" fillId="11" borderId="11" xfId="0" applyFont="1" applyFill="1" applyBorder="1">
      <alignment horizontal="center" vertical="center" wrapText="1"/>
    </xf>
    <xf numFmtId="0" fontId="21" fillId="11" borderId="47" xfId="0" applyFont="1" applyFill="1" applyBorder="1">
      <alignment horizontal="center" vertical="center" wrapText="1"/>
    </xf>
    <xf numFmtId="0" fontId="21" fillId="11" borderId="43" xfId="0" applyFont="1" applyFill="1" applyBorder="1">
      <alignment horizontal="center" vertical="center" wrapText="1"/>
    </xf>
    <xf numFmtId="0" fontId="19" fillId="11" borderId="11" xfId="0" applyFont="1" applyFill="1" applyBorder="1">
      <alignment horizontal="center" vertical="center" wrapText="1"/>
    </xf>
    <xf numFmtId="0" fontId="19" fillId="11" borderId="10" xfId="0" applyFont="1" applyFill="1" applyBorder="1">
      <alignment horizontal="center" vertical="center" wrapText="1"/>
    </xf>
    <xf numFmtId="0" fontId="19" fillId="11" borderId="43" xfId="0" applyFont="1" applyFill="1" applyBorder="1">
      <alignment horizontal="center" vertical="center" wrapText="1"/>
    </xf>
    <xf numFmtId="0" fontId="19" fillId="11" borderId="11" xfId="0" applyFont="1" applyFill="1" applyBorder="1">
      <alignment horizontal="center" vertical="center" wrapText="1"/>
    </xf>
    <xf numFmtId="0" fontId="21" fillId="11" borderId="11" xfId="0" applyFont="1" applyFill="1" applyBorder="1">
      <alignment horizontal="center" vertical="center" wrapText="1"/>
    </xf>
    <xf numFmtId="0" fontId="21" fillId="11" borderId="11" xfId="0" applyFont="1" applyFill="1" applyBorder="1">
      <alignment horizontal="center" vertical="center" wrapText="1"/>
    </xf>
    <xf numFmtId="0" fontId="21" fillId="11" borderId="47" xfId="0" applyFont="1" applyFill="1" applyBorder="1">
      <alignment horizontal="center" vertical="center" wrapText="1"/>
    </xf>
    <xf numFmtId="0" fontId="21" fillId="11" borderId="43" xfId="0" applyFont="1" applyFill="1" applyBorder="1">
      <alignment horizontal="center" vertical="center" wrapText="1"/>
    </xf>
    <xf numFmtId="49" fontId="19" fillId="0" borderId="44"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5" fillId="0" borderId="0" xfId="0" applyFont="1" applyNumberFormat="1">
      <alignment vertical="top"/>
    </xf>
    <xf numFmtId="0" fontId="54" fillId="0" borderId="0" xfId="0" applyFont="1">
      <alignment wrapText="1"/>
    </xf>
    <xf numFmtId="49" fontId="57" fillId="0" borderId="0" xfId="0" applyFont="1" applyNumberFormat="1">
      <alignment wrapText="1"/>
    </xf>
    <xf numFmtId="49" fontId="57" fillId="0" borderId="0" xfId="0" applyFont="1" applyNumberFormat="1">
      <alignment vertical="center" wrapText="1"/>
    </xf>
    <xf numFmtId="49" fontId="55" fillId="0" borderId="0" xfId="0" applyFont="1" applyNumberFormat="1">
      <alignment wrapText="1"/>
    </xf>
    <xf numFmtId="49" fontId="57" fillId="0" borderId="0" xfId="0" applyFont="1" applyNumberFormat="1">
      <alignment horizontal="center" wrapText="1"/>
    </xf>
    <xf numFmtId="0" fontId="75" fillId="0" borderId="0" xfId="0" applyFont="1">
      <alignment horizontal="center" vertical="center" wrapText="1"/>
    </xf>
    <xf numFmtId="49" fontId="76" fillId="0" borderId="0" xfId="0" applyFont="1" applyNumberFormat="1">
      <alignment horizontal="center" wrapText="1"/>
    </xf>
    <xf numFmtId="49" fontId="57" fillId="0" borderId="0" xfId="0" applyFont="1" applyNumberFormat="1">
      <alignment horizontal="center" vertical="center" wrapText="1"/>
    </xf>
    <xf numFmtId="49" fontId="77" fillId="0" borderId="0" xfId="0" applyFont="1" applyNumberFormat="1">
      <alignment wrapText="1"/>
    </xf>
    <xf numFmtId="0" fontId="28" fillId="0" borderId="0" xfId="0" applyFont="1">
      <alignment horizontal="left" vertical="center" wrapText="1"/>
    </xf>
    <xf numFmtId="49" fontId="19" fillId="0" borderId="0" xfId="0" applyFont="1" applyNumberFormat="1">
      <alignment vertical="top" wrapText="1"/>
    </xf>
    <xf numFmtId="0" fontId="57" fillId="0" borderId="0" xfId="0" applyFont="1">
      <alignment wrapText="1"/>
    </xf>
    <xf numFmtId="0" fontId="75" fillId="0" borderId="0" xfId="0" applyFont="1">
      <alignment horizontal="left" vertical="center" wrapText="1"/>
    </xf>
    <xf numFmtId="0" fontId="78" fillId="0" borderId="0" xfId="0" applyFont="1">
      <alignment vertical="center" wrapText="1"/>
    </xf>
    <xf numFmtId="0" fontId="57" fillId="0" borderId="49" xfId="0" applyFont="1" applyBorder="1">
      <alignment wrapText="1"/>
    </xf>
    <xf numFmtId="0" fontId="57" fillId="0" borderId="0" xfId="0" applyFont="1"/>
    <xf numFmtId="0" fontId="75" fillId="0" borderId="0" xfId="0" applyFont="1"/>
    <xf numFmtId="0" fontId="59" fillId="0" borderId="0" xfId="0" applyFont="1">
      <alignment wrapText="1"/>
    </xf>
    <xf numFmtId="0" fontId="0" fillId="34" borderId="56" xfId="0" applyFont="1" applyFill="1" applyBorder="1">
      <alignment horizontal="center" vertical="center" wrapText="1"/>
    </xf>
    <xf numFmtId="0" fontId="0" fillId="47" borderId="56" xfId="0" applyFont="1" applyFill="1" applyBorder="1">
      <alignment horizontal="center" vertical="center" wrapText="1"/>
    </xf>
    <xf numFmtId="0" fontId="0" fillId="38" borderId="56" xfId="0" applyFont="1" applyFill="1" applyBorder="1">
      <alignment horizontal="center" vertical="center" wrapText="1"/>
    </xf>
    <xf numFmtId="0" fontId="0" fillId="35" borderId="56" xfId="0" applyFont="1" applyFill="1" applyBorder="1">
      <alignment horizontal="center" vertical="center" wrapText="1"/>
    </xf>
    <xf numFmtId="0" fontId="19" fillId="51" borderId="11" xfId="0" applyFont="1" applyFill="1" applyBorder="1">
      <alignment horizontal="center" vertical="center" wrapText="1"/>
    </xf>
    <xf numFmtId="0" fontId="19" fillId="33" borderId="11" xfId="0" applyFont="1" applyFill="1" applyBorder="1">
      <alignment horizontal="center" vertical="center" wrapText="1"/>
    </xf>
    <xf numFmtId="0" fontId="75" fillId="0" borderId="49" xfId="0" applyFont="1" applyBorder="1">
      <alignment horizontal="left" vertical="center" wrapText="1"/>
    </xf>
    <xf numFmtId="0" fontId="75" fillId="0" borderId="32" xfId="0" applyFont="1" applyBorder="1">
      <alignment horizontal="left" vertical="center" wrapText="1"/>
    </xf>
    <xf numFmtId="0" fontId="59" fillId="0" borderId="0" xfId="0" applyFont="1"/>
    <xf numFmtId="0" fontId="59" fillId="0" borderId="49" xfId="0" applyFont="1" applyBorder="1">
      <alignment wrapText="1"/>
    </xf>
    <xf numFmtId="0" fontId="57" fillId="0" borderId="37" xfId="0" applyFont="1" applyBorder="1">
      <alignment wrapText="1"/>
    </xf>
    <xf numFmtId="0" fontId="57" fillId="0" borderId="38" xfId="0" applyFont="1" applyBorder="1">
      <alignment wrapText="1"/>
    </xf>
    <xf numFmtId="0" fontId="57" fillId="0" borderId="38" xfId="0" applyFont="1" applyBorder="1">
      <alignment vertical="center" wrapText="1"/>
    </xf>
    <xf numFmtId="0" fontId="55" fillId="0" borderId="0" xfId="0" applyFont="1"/>
    <xf numFmtId="49" fontId="20" fillId="0" borderId="0" xfId="0" applyFont="1" applyNumberFormat="1"/>
    <xf numFmtId="0" fontId="19" fillId="51" borderId="10" xfId="0" applyFont="1" applyFill="1" applyBorder="1">
      <alignment horizontal="left" vertical="center" wrapText="1" indent="1"/>
    </xf>
    <xf numFmtId="0" fontId="21" fillId="0" borderId="0" xfId="0" applyFont="1"/>
    <xf numFmtId="0" fontId="21" fillId="4" borderId="0" xfId="0" applyFont="1" applyFill="1"/>
    <xf numFmtId="0" fontId="0" fillId="4" borderId="0" xfId="0" applyFont="1" applyFill="1">
      <alignment horizontal="center"/>
    </xf>
    <xf numFmtId="0" fontId="21" fillId="4" borderId="0" xfId="0" applyFont="1" applyFill="1">
      <alignment horizontal="center"/>
    </xf>
    <xf numFmtId="0" fontId="19" fillId="0" borderId="0" xfId="0" applyFont="1">
      <alignment vertical="top"/>
    </xf>
    <xf numFmtId="49" fontId="19" fillId="4" borderId="0" xfId="0" applyFont="1" applyFill="1" applyNumberFormat="1">
      <alignment vertical="top"/>
    </xf>
    <xf numFmtId="0" fontId="21" fillId="4" borderId="0" xfId="0" applyFont="1" applyFill="1">
      <alignment vertical="center" wrapText="1"/>
    </xf>
    <xf numFmtId="49" fontId="19" fillId="0" borderId="0" xfId="50" applyFont="1" applyNumberFormat="1">
      <alignment horizontal="left" vertical="center"/>
    </xf>
    <xf numFmtId="49" fontId="0" fillId="0" borderId="17" xfId="0" applyFont="1" applyBorder="1" applyNumberFormat="1">
      <alignment horizontal="center" vertical="center" wrapText="1"/>
    </xf>
    <xf numFmtId="49" fontId="0" fillId="0" borderId="38" xfId="0" applyFont="1" applyBorder="1" applyNumberFormat="1">
      <alignment horizontal="center" vertical="center" wrapText="1"/>
    </xf>
    <xf numFmtId="3" fontId="0" fillId="0" borderId="17" xfId="0" applyFont="1" applyBorder="1" applyNumberFormat="1">
      <alignment horizontal="center" vertical="center" wrapText="1"/>
    </xf>
    <xf numFmtId="0" fontId="40" fillId="42" borderId="32" xfId="0" applyFont="1" applyFill="1" applyBorder="1">
      <alignment horizontal="left" vertical="center"/>
    </xf>
    <xf numFmtId="0" fontId="40" fillId="42" borderId="17" xfId="0" applyFont="1" applyFill="1" applyBorder="1">
      <alignment horizontal="left" vertical="center"/>
    </xf>
    <xf numFmtId="172" fontId="40" fillId="42" borderId="17" xfId="0" applyFont="1" applyFill="1" applyBorder="1" applyNumberFormat="1">
      <alignment horizontal="right" vertical="center"/>
    </xf>
    <xf numFmtId="49" fontId="53" fillId="0" borderId="0" xfId="0" applyFont="1" applyNumberFormat="1">
      <alignment horizontal="center" vertical="center" wrapText="1"/>
    </xf>
    <xf numFmtId="0" fontId="0" fillId="35" borderId="11" xfId="0" applyFont="1" applyFill="1" applyBorder="1">
      <alignment horizontal="left" vertical="center" wrapText="1"/>
      <protection locked="0"/>
    </xf>
    <xf numFmtId="0" fontId="0" fillId="34" borderId="11" xfId="0" applyFont="1" applyFill="1" applyBorder="1">
      <alignment horizontal="left" vertical="center" wrapText="1"/>
      <protection locked="0"/>
    </xf>
    <xf numFmtId="3" fontId="0" fillId="34" borderId="11" xfId="0" applyFont="1" applyFill="1" applyBorder="1" applyNumberFormat="1">
      <alignment horizontal="left" vertical="center" wrapText="1"/>
      <protection locked="0"/>
    </xf>
    <xf numFmtId="4" fontId="0" fillId="34" borderId="11" xfId="0" applyFont="1" applyFill="1" applyBorder="1" applyNumberFormat="1">
      <alignment horizontal="right" vertical="center" wrapText="1"/>
      <protection locked="0"/>
    </xf>
    <xf numFmtId="0" fontId="0" fillId="34" borderId="11" xfId="0" applyFont="1" applyFill="1" applyBorder="1">
      <alignment horizontal="left" vertical="center" wrapText="1" indent="1"/>
      <protection locked="0"/>
    </xf>
    <xf numFmtId="172" fontId="0" fillId="38" borderId="10" xfId="0" applyFont="1" applyFill="1" applyBorder="1" applyNumberFormat="1">
      <alignment vertical="center" wrapText="1"/>
    </xf>
    <xf numFmtId="172" fontId="0" fillId="34" borderId="11" xfId="0" applyFont="1" applyFill="1" applyBorder="1" applyNumberFormat="1">
      <alignment horizontal="right" vertical="center" wrapText="1"/>
      <protection locked="0"/>
    </xf>
    <xf numFmtId="172" fontId="0" fillId="34" borderId="10" xfId="0" applyFont="1" applyFill="1" applyBorder="1" applyNumberFormat="1">
      <alignment vertical="center" wrapText="1"/>
      <protection locked="0"/>
    </xf>
    <xf numFmtId="49" fontId="0" fillId="34" borderId="11" xfId="0" applyFont="1" applyFill="1" applyBorder="1" applyNumberFormat="1">
      <alignment horizontal="left" vertical="center" wrapText="1"/>
      <protection locked="0"/>
    </xf>
    <xf numFmtId="49" fontId="41" fillId="43" borderId="37" xfId="0" applyFont="1" applyFill="1" applyBorder="1" applyNumberFormat="1">
      <alignment vertical="center"/>
    </xf>
    <xf numFmtId="49" fontId="41" fillId="43" borderId="38" xfId="0" applyFont="1" applyFill="1" applyBorder="1" applyNumberFormat="1">
      <alignment vertical="center"/>
    </xf>
    <xf numFmtId="49" fontId="41" fillId="43" borderId="59" xfId="0" applyFont="1" applyFill="1" applyBorder="1" applyNumberFormat="1">
      <alignment vertical="center"/>
    </xf>
    <xf numFmtId="0" fontId="19" fillId="0" borderId="0" xfId="0" applyFont="1">
      <alignment vertical="top"/>
    </xf>
    <xf numFmtId="0" fontId="21" fillId="0" borderId="0" xfId="0" applyFont="1">
      <alignment wrapText="1"/>
    </xf>
    <xf numFmtId="49" fontId="53" fillId="0" borderId="0" xfId="0" applyFont="1" applyNumberFormat="1">
      <alignment horizontal="center" vertical="center" wrapText="1"/>
    </xf>
    <xf numFmtId="4" fontId="25" fillId="34" borderId="11" xfId="0" applyFont="1" applyFill="1" applyBorder="1" applyNumberFormat="1">
      <alignment horizontal="right" vertical="center"/>
      <protection locked="0"/>
    </xf>
    <xf numFmtId="0" fontId="0" fillId="25" borderId="0" xfId="0" applyFont="1" applyFill="1">
      <alignment horizontal="center"/>
    </xf>
    <xf numFmtId="49" fontId="19" fillId="4" borderId="0" xfId="0" applyFont="1" applyFill="1" applyNumberFormat="1">
      <alignment vertical="top"/>
    </xf>
    <xf numFmtId="0" fontId="19" fillId="44" borderId="0" xfId="0" applyFont="1" applyFill="1">
      <alignment vertical="top"/>
    </xf>
    <xf numFmtId="49" fontId="19" fillId="44" borderId="0" xfId="0" applyFont="1" applyFill="1" applyNumberFormat="1">
      <alignment vertical="top"/>
    </xf>
    <xf numFmtId="0" fontId="19" fillId="4" borderId="0" xfId="0" applyFont="1" applyFill="1">
      <alignment vertical="top"/>
    </xf>
    <xf numFmtId="0" fontId="0" fillId="0" borderId="0" xfId="0" applyFont="1">
      <alignment horizontal="center"/>
    </xf>
    <xf numFmtId="0" fontId="40" fillId="42" borderId="16" xfId="0" applyFont="1" applyFill="1" applyBorder="1">
      <alignment horizontal="left" vertical="center"/>
    </xf>
    <xf numFmtId="49" fontId="40" fillId="42" borderId="17" xfId="0" applyFont="1" applyFill="1" applyBorder="1" applyNumberFormat="1">
      <alignment horizontal="left" vertical="center" wrapText="1"/>
    </xf>
    <xf numFmtId="49" fontId="40" fillId="42" borderId="18" xfId="0" applyFont="1" applyFill="1" applyBorder="1" applyNumberFormat="1">
      <alignment horizontal="left" vertical="center" wrapTex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xf>
    <xf numFmtId="4" fontId="19" fillId="38" borderId="10" xfId="0" applyFont="1" applyFill="1" applyBorder="1" applyNumberFormat="1">
      <alignment horizontal="right" vertical="center" wrapText="1"/>
    </xf>
    <xf numFmtId="49" fontId="19" fillId="0" borderId="50" xfId="0" applyFont="1" applyBorder="1" applyNumberFormat="1">
      <alignment horizontal="center" vertical="center" wrapText="1"/>
    </xf>
    <xf numFmtId="49" fontId="19" fillId="0" borderId="50" xfId="0" applyFont="1" applyBorder="1" applyNumberFormat="1">
      <alignment horizontal="left" vertical="center" wrapText="1" indent="1"/>
    </xf>
    <xf numFmtId="4" fontId="19" fillId="34" borderId="50" xfId="0" applyFont="1" applyFill="1" applyBorder="1" applyNumberFormat="1">
      <alignment horizontal="right" vertical="center" wrapText="1"/>
      <protection locked="0"/>
    </xf>
    <xf numFmtId="172" fontId="19" fillId="38" borderId="10" xfId="0" applyFont="1" applyFill="1" applyBorder="1" applyNumberFormat="1">
      <alignment horizontal="right" vertical="center" wrapText="1"/>
    </xf>
    <xf numFmtId="1" fontId="25" fillId="0" borderId="10" xfId="0" applyFont="1" applyBorder="1" applyNumberFormat="1">
      <alignment horizontal="center" vertical="center" wrapText="1"/>
    </xf>
    <xf numFmtId="49" fontId="25" fillId="0" borderId="10" xfId="0" applyFont="1" applyBorder="1" applyNumberFormat="1">
      <alignment horizontal="left" vertical="center" wrapText="1"/>
    </xf>
    <xf numFmtId="49" fontId="25" fillId="0" borderId="10" xfId="0" applyFont="1" applyBorder="1" applyNumberFormat="1">
      <alignment horizontal="center" vertical="center" wrapText="1"/>
    </xf>
    <xf numFmtId="4" fontId="25" fillId="38" borderId="10" xfId="0" applyFont="1" applyFill="1" applyBorder="1" applyNumberFormat="1">
      <alignment horizontal="right" vertical="center" wrapText="1"/>
    </xf>
    <xf numFmtId="1" fontId="19" fillId="0" borderId="10" xfId="0" applyFont="1" applyBorder="1" applyNumberFormat="1">
      <alignment horizontal="center" vertical="center" wrapText="1"/>
    </xf>
    <xf numFmtId="4" fontId="19" fillId="34" borderId="10" xfId="0" applyFont="1" applyFill="1" applyBorder="1" applyNumberFormat="1">
      <alignment horizontal="right" vertical="center" wrapText="1"/>
      <protection locked="0"/>
    </xf>
    <xf numFmtId="0" fontId="19" fillId="0" borderId="0" xfId="0" applyFont="1"/>
    <xf numFmtId="0" fontId="19" fillId="0" borderId="11" xfId="0" applyFont="1" applyBorder="1">
      <alignment horizontal="center" vertical="center"/>
    </xf>
    <xf numFmtId="49" fontId="0" fillId="0" borderId="0" xfId="0" applyFont="1" applyNumberFormat="1">
      <alignment horizontal="center" vertical="top"/>
    </xf>
    <xf numFmtId="49" fontId="19" fillId="44" borderId="0" xfId="0" applyFont="1" applyFill="1" applyNumberFormat="1">
      <alignment vertical="top"/>
    </xf>
    <xf numFmtId="0" fontId="0" fillId="25" borderId="0" xfId="0" applyFont="1" applyFill="1">
      <alignment horizontal="center" vertical="center"/>
    </xf>
    <xf numFmtId="0" fontId="21" fillId="4" borderId="0" xfId="0" applyFont="1" applyFill="1"/>
    <xf numFmtId="0" fontId="40" fillId="42" borderId="32" xfId="0" applyFont="1" applyFill="1" applyBorder="1">
      <alignment horizontal="left" vertical="center"/>
    </xf>
    <xf numFmtId="0" fontId="53" fillId="0" borderId="0" xfId="0" applyFont="1">
      <alignment horizontal="center" vertical="center" wrapText="1"/>
    </xf>
    <xf numFmtId="49" fontId="25" fillId="43" borderId="16" xfId="0" applyFont="1" applyFill="1" applyBorder="1" applyNumberFormat="1">
      <alignment horizontal="left" vertical="center" wrapText="1" indent="1"/>
    </xf>
    <xf numFmtId="49" fontId="41" fillId="43" borderId="28" xfId="0" applyFont="1" applyFill="1" applyBorder="1" applyNumberFormat="1">
      <alignment horizontal="left" vertical="center" indent="1"/>
    </xf>
    <xf numFmtId="49" fontId="25" fillId="43" borderId="17" xfId="0" applyFont="1" applyFill="1" applyBorder="1" applyNumberFormat="1">
      <alignment horizontal="left" vertical="center" wrapText="1" indent="1"/>
    </xf>
    <xf numFmtId="49" fontId="25" fillId="43" borderId="18" xfId="0" applyFont="1" applyFill="1" applyBorder="1" applyNumberFormat="1">
      <alignment horizontal="left" vertical="center" wrapText="1" indent="1"/>
    </xf>
    <xf numFmtId="0" fontId="67" fillId="0" borderId="0" xfId="0" applyFont="1">
      <alignment vertical="center"/>
    </xf>
    <xf numFmtId="4" fontId="25" fillId="34" borderId="11" xfId="0" applyFont="1" applyFill="1" applyBorder="1" applyNumberFormat="1">
      <alignment horizontal="right" vertical="center"/>
      <protection locked="0"/>
    </xf>
    <xf numFmtId="0" fontId="21" fillId="0" borderId="0" xfId="0" applyFont="1">
      <alignment vertical="top" wrapText="1"/>
    </xf>
    <xf numFmtId="0" fontId="39" fillId="0" borderId="0" xfId="0" applyFont="1">
      <alignment horizontal="center" vertical="center" wrapText="1"/>
    </xf>
    <xf numFmtId="4" fontId="25" fillId="34" borderId="11" xfId="0" applyFont="1" applyFill="1" applyBorder="1" applyNumberFormat="1">
      <alignment horizontal="right" vertical="center"/>
    </xf>
    <xf numFmtId="49" fontId="19" fillId="34" borderId="10" xfId="0" applyFont="1" applyFill="1" applyBorder="1" applyNumberFormat="1">
      <alignment horizontal="left" vertical="center" wrapText="1"/>
    </xf>
    <xf numFmtId="172" fontId="19" fillId="34" borderId="11" xfId="0" applyFont="1" applyFill="1" applyBorder="1" applyNumberFormat="1">
      <alignment horizontal="right" vertical="center"/>
    </xf>
    <xf numFmtId="49" fontId="25" fillId="34" borderId="10" xfId="0" applyFont="1" applyFill="1" applyBorder="1" applyNumberFormat="1">
      <alignment horizontal="left" vertical="center" wrapText="1"/>
    </xf>
    <xf numFmtId="4" fontId="19" fillId="34" borderId="11" xfId="0" applyFont="1" applyFill="1" applyBorder="1" applyNumberFormat="1">
      <alignment horizontal="right" vertical="center"/>
    </xf>
    <xf numFmtId="0" fontId="19" fillId="34" borderId="10" xfId="0" applyFont="1" applyFill="1" applyBorder="1">
      <alignment horizontal="left" vertical="center" wrapText="1"/>
    </xf>
    <xf numFmtId="0" fontId="19" fillId="35" borderId="11" xfId="0" applyFont="1" applyFill="1" applyBorder="1">
      <alignment horizontal="left" vertical="center" wrapText="1" indent="1"/>
    </xf>
    <xf numFmtId="4" fontId="19" fillId="34" borderId="11" xfId="0" applyFont="1" applyFill="1" applyBorder="1" applyNumberFormat="1">
      <alignment horizontal="right" vertical="center" wrapText="1"/>
    </xf>
    <xf numFmtId="0" fontId="19" fillId="34" borderId="10" xfId="0" applyFont="1" applyFill="1" applyBorder="1">
      <alignment horizontal="left" vertical="center" wrapText="1"/>
    </xf>
    <xf numFmtId="4" fontId="25" fillId="34" borderId="11" xfId="0" applyFont="1" applyFill="1" applyBorder="1" applyNumberFormat="1">
      <alignment horizontal="right" vertical="center"/>
    </xf>
    <xf numFmtId="49" fontId="25" fillId="34" borderId="10" xfId="0" applyFont="1" applyFill="1" applyBorder="1" applyNumberFormat="1">
      <alignment horizontal="left" vertical="center" wrapText="1"/>
    </xf>
    <xf numFmtId="4" fontId="19" fillId="34" borderId="11" xfId="0" applyFont="1" applyFill="1" applyBorder="1" applyNumberFormat="1">
      <alignment horizontal="right" vertical="center"/>
    </xf>
    <xf numFmtId="49" fontId="19" fillId="34" borderId="10" xfId="0" applyFont="1" applyFill="1" applyBorder="1" applyNumberFormat="1">
      <alignment horizontal="left" vertical="center" wrapText="1"/>
    </xf>
    <xf numFmtId="4" fontId="25" fillId="34" borderId="11" xfId="0" applyFont="1" applyFill="1" applyBorder="1" applyNumberFormat="1">
      <alignment horizontal="right" vertical="center"/>
    </xf>
    <xf numFmtId="49" fontId="19" fillId="34" borderId="10" xfId="0" applyFont="1" applyFill="1" applyBorder="1" applyNumberFormat="1">
      <alignment horizontal="left" vertical="center" wrapText="1"/>
    </xf>
    <xf numFmtId="172" fontId="19" fillId="34" borderId="11" xfId="0" applyFont="1" applyFill="1" applyBorder="1" applyNumberFormat="1">
      <alignment horizontal="right" vertical="center"/>
    </xf>
    <xf numFmtId="4" fontId="19" fillId="34" borderId="11" xfId="0" applyFont="1" applyFill="1" applyBorder="1" applyNumberFormat="1">
      <alignment horizontal="right" vertical="center"/>
    </xf>
    <xf numFmtId="0" fontId="19" fillId="34" borderId="10" xfId="0" applyFont="1" applyFill="1" applyBorder="1">
      <alignment horizontal="left" vertical="center" wrapText="1"/>
    </xf>
    <xf numFmtId="4" fontId="19" fillId="34" borderId="11" xfId="0" applyFont="1" applyFill="1" applyBorder="1" applyNumberFormat="1">
      <alignment horizontal="right" vertical="center"/>
    </xf>
    <xf numFmtId="49" fontId="19" fillId="34" borderId="10" xfId="0" applyFont="1" applyFill="1" applyBorder="1" applyNumberFormat="1">
      <alignment horizontal="left" vertical="center" wrapText="1"/>
    </xf>
    <xf numFmtId="4" fontId="19" fillId="34" borderId="11" xfId="0" applyFont="1" applyFill="1" applyBorder="1" applyNumberFormat="1">
      <alignment horizontal="right" vertical="center" wrapText="1"/>
    </xf>
    <xf numFmtId="4" fontId="19" fillId="34" borderId="11" xfId="0" applyFont="1" applyFill="1" applyBorder="1" applyNumberFormat="1">
      <alignment horizontal="right" vertical="center" wrapText="1"/>
    </xf>
    <xf numFmtId="0" fontId="19" fillId="34" borderId="10" xfId="0" applyFont="1" applyFill="1" applyBorder="1">
      <alignment horizontal="left" vertical="center" wrapText="1"/>
    </xf>
    <xf numFmtId="172" fontId="19" fillId="34" borderId="11" xfId="0" applyFont="1" applyFill="1" applyBorder="1" applyNumberFormat="1">
      <alignment horizontal="right" vertical="center"/>
    </xf>
    <xf numFmtId="172" fontId="19" fillId="34" borderId="11" xfId="0" applyFont="1" applyFill="1" applyBorder="1" applyNumberFormat="1">
      <alignment horizontal="right" vertical="center"/>
    </xf>
    <xf numFmtId="4" fontId="19" fillId="34" borderId="11" xfId="0" applyFont="1" applyFill="1" applyBorder="1" applyNumberFormat="1">
      <alignment horizontal="right" vertical="center"/>
    </xf>
    <xf numFmtId="4" fontId="25" fillId="34" borderId="11" xfId="0" applyFont="1" applyFill="1" applyBorder="1" applyNumberFormat="1">
      <alignment horizontal="right" vertical="center"/>
    </xf>
    <xf numFmtId="172" fontId="19" fillId="34" borderId="30" xfId="0" applyFont="1" applyFill="1" applyBorder="1" applyNumberFormat="1">
      <alignment horizontal="right" vertical="center"/>
      <protection locked="0"/>
    </xf>
    <xf numFmtId="0" fontId="0" fillId="25" borderId="0" xfId="0" applyFont="1" applyFill="1">
      <alignment horizontal="center" vertical="center"/>
    </xf>
    <xf numFmtId="4" fontId="40" fillId="42" borderId="18" xfId="0" applyFont="1" applyFill="1" applyBorder="1" applyNumberFormat="1">
      <alignment horizontal="right" vertical="center" wrapText="1"/>
    </xf>
    <xf numFmtId="0" fontId="25" fillId="0" borderId="10" xfId="0" applyFont="1" applyBorder="1">
      <alignment horizontal="center" vertical="center" wrapText="1" shrinkToFit="1"/>
    </xf>
    <xf numFmtId="49" fontId="25" fillId="0" borderId="10" xfId="0" applyFont="1" applyBorder="1" applyNumberFormat="1">
      <alignment horizontal="left" vertical="center" wrapText="1" shrinkToFit="1"/>
    </xf>
    <xf numFmtId="49" fontId="25" fillId="0" borderId="43" xfId="0" applyFont="1" applyBorder="1" applyNumberFormat="1">
      <alignment horizontal="center" vertical="center" wrapText="1" shrinkToFit="1"/>
    </xf>
    <xf numFmtId="0" fontId="19" fillId="0" borderId="10" xfId="0" applyFont="1" applyBorder="1">
      <alignment horizontal="center" vertical="center" wrapText="1" shrinkToFit="1"/>
    </xf>
    <xf numFmtId="49" fontId="19" fillId="0" borderId="10" xfId="0" applyFont="1" applyBorder="1" applyNumberFormat="1">
      <alignment horizontal="left" vertical="center" wrapText="1" shrinkToFit="1" indent="1"/>
    </xf>
    <xf numFmtId="49" fontId="19" fillId="0" borderId="43" xfId="0" applyFont="1" applyBorder="1" applyNumberFormat="1">
      <alignment horizontal="center" vertical="center" wrapText="1" shrinkToFit="1"/>
    </xf>
    <xf numFmtId="49" fontId="19" fillId="0" borderId="10" xfId="0" applyFont="1" applyBorder="1" applyNumberFormat="1">
      <alignment horizontal="left" vertical="center" wrapText="1" shrinkToFit="1" indent="2"/>
    </xf>
    <xf numFmtId="49" fontId="19" fillId="0" borderId="10" xfId="0" applyFont="1" applyBorder="1" applyNumberFormat="1">
      <alignment horizontal="left" vertical="center" wrapText="1" shrinkToFit="1" indent="3"/>
    </xf>
    <xf numFmtId="49" fontId="19" fillId="0" borderId="10" xfId="0" applyFont="1" applyBorder="1" applyNumberFormat="1">
      <alignment horizontal="left" vertical="center" wrapText="1" shrinkToFit="1" indent="4"/>
    </xf>
    <xf numFmtId="0" fontId="53" fillId="0" borderId="0" xfId="0" applyFont="1">
      <alignment horizontal="center" vertical="center" wrapText="1"/>
    </xf>
    <xf numFmtId="49" fontId="19" fillId="35" borderId="10" xfId="0" applyFont="1" applyFill="1" applyBorder="1" applyNumberFormat="1">
      <alignment horizontal="left" vertical="center" wrapText="1" shrinkToFit="1" indent="1"/>
      <protection locked="0"/>
    </xf>
    <xf numFmtId="0" fontId="36" fillId="0" borderId="0" xfId="0" applyFont="1">
      <alignment vertical="center"/>
    </xf>
    <xf numFmtId="0" fontId="19" fillId="43" borderId="43" xfId="0" applyFont="1" applyFill="1" applyBorder="1">
      <alignment horizontal="center" vertical="center" wrapText="1" shrinkToFit="1"/>
    </xf>
    <xf numFmtId="49" fontId="41" fillId="43" borderId="38" xfId="0" applyFont="1" applyFill="1" applyBorder="1" applyNumberFormat="1">
      <alignment horizontal="left" vertical="center" indent="2"/>
    </xf>
    <xf numFmtId="49" fontId="19" fillId="43" borderId="44" xfId="0" applyFont="1" applyFill="1" applyBorder="1" applyNumberFormat="1">
      <alignment horizontal="center" vertical="center" wrapText="1" shrinkToFit="1"/>
    </xf>
    <xf numFmtId="49" fontId="25" fillId="0" borderId="10" xfId="0" applyFont="1" applyBorder="1" applyNumberFormat="1">
      <alignment horizontal="left" vertical="center" wrapText="1" shrinkToFit="1" indent="2"/>
    </xf>
    <xf numFmtId="0" fontId="19" fillId="0" borderId="10" xfId="0" applyFont="1" applyBorder="1">
      <alignment horizontal="left" vertical="center" wrapText="1" shrinkToFit="1" indent="1"/>
    </xf>
    <xf numFmtId="0" fontId="21" fillId="0" borderId="0" xfId="0" applyFont="1">
      <alignment vertical="top" wrapText="1"/>
    </xf>
    <xf numFmtId="0" fontId="25" fillId="0" borderId="0" xfId="0" applyFont="1">
      <alignment horizontal="center" vertical="center" wrapText="1" shrinkToFit="1"/>
    </xf>
    <xf numFmtId="49" fontId="25" fillId="0" borderId="0" xfId="0" applyFont="1" applyNumberFormat="1">
      <alignment horizontal="left" vertical="center" wrapText="1" shrinkToFit="1"/>
    </xf>
    <xf numFmtId="49" fontId="25" fillId="0" borderId="0" xfId="0" applyFont="1" applyNumberFormat="1">
      <alignment horizontal="center" vertical="center" wrapText="1" shrinkToFit="1"/>
    </xf>
    <xf numFmtId="0" fontId="19" fillId="0" borderId="0" xfId="0" applyFont="1">
      <alignment vertical="top"/>
    </xf>
    <xf numFmtId="0" fontId="19" fillId="4" borderId="0" xfId="0" applyFont="1" applyFill="1">
      <alignment vertical="top"/>
    </xf>
    <xf numFmtId="0" fontId="19" fillId="44" borderId="0" xfId="0" applyFont="1" applyFill="1">
      <alignment vertical="top"/>
    </xf>
    <xf numFmtId="0" fontId="53" fillId="0" borderId="0" xfId="0" applyFont="1">
      <alignment horizontal="center" vertical="center" wrapText="1"/>
    </xf>
    <xf numFmtId="0" fontId="19" fillId="42" borderId="17" xfId="0" applyFont="1" applyFill="1" applyBorder="1">
      <alignment horizontal="left" vertical="center"/>
    </xf>
    <xf numFmtId="49" fontId="19" fillId="42" borderId="17" xfId="0" applyFont="1" applyFill="1" applyBorder="1" applyNumberFormat="1">
      <alignment horizontal="left" vertical="center" wrapText="1"/>
    </xf>
    <xf numFmtId="49" fontId="19" fillId="42" borderId="18" xfId="0" applyFont="1" applyFill="1" applyBorder="1" applyNumberFormat="1">
      <alignment horizontal="left" vertical="center" wrapText="1"/>
    </xf>
    <xf numFmtId="0" fontId="19" fillId="0" borderId="10" xfId="0" applyFont="1" applyBorder="1">
      <alignment horizontal="left" vertical="center" wrapText="1" shrinkToFit="1" indent="2"/>
    </xf>
    <xf numFmtId="49" fontId="19" fillId="0" borderId="10" xfId="0" applyFont="1" applyBorder="1" applyNumberFormat="1">
      <alignment horizontal="left" vertical="center" wrapText="1" shrinkToFit="1"/>
    </xf>
    <xf numFmtId="49" fontId="19" fillId="0" borderId="44" xfId="0" applyFont="1" applyBorder="1" applyNumberFormat="1">
      <alignment horizontal="left" vertical="center" wrapText="1" shrinkToFit="1" indent="1"/>
    </xf>
    <xf numFmtId="49" fontId="25" fillId="0" borderId="44" xfId="0" applyFont="1" applyBorder="1" applyNumberFormat="1">
      <alignment vertical="center" wrapText="1"/>
    </xf>
    <xf numFmtId="0" fontId="26" fillId="0" borderId="0" xfId="0" applyFont="1">
      <alignment vertical="center"/>
    </xf>
    <xf numFmtId="49" fontId="19" fillId="0" borderId="44" xfId="0" applyFont="1" applyBorder="1" applyNumberFormat="1">
      <alignment horizontal="left" vertical="center" wrapText="1" indent="1"/>
    </xf>
    <xf numFmtId="172" fontId="19" fillId="34" borderId="10" xfId="0" applyFont="1" applyFill="1" applyBorder="1" applyNumberFormat="1">
      <alignment horizontal="right" vertical="center" wrapText="1"/>
      <protection locked="0"/>
    </xf>
    <xf numFmtId="49" fontId="19" fillId="0" borderId="10" xfId="0" applyFont="1" applyBorder="1" applyNumberFormat="1">
      <alignment horizontal="left" vertical="center" wrapText="1" indent="1"/>
    </xf>
    <xf numFmtId="0" fontId="53" fillId="0" borderId="0" xfId="0" applyFont="1">
      <alignment horizontal="center" vertical="center" wrapText="1"/>
    </xf>
    <xf numFmtId="0" fontId="21" fillId="0" borderId="0" xfId="0" applyFont="1">
      <alignment vertical="center"/>
    </xf>
    <xf numFmtId="0" fontId="21" fillId="44" borderId="0" xfId="0" applyFont="1" applyFill="1">
      <alignment vertical="center"/>
    </xf>
    <xf numFmtId="0" fontId="21" fillId="4" borderId="0" xfId="0" applyFont="1" applyFill="1">
      <alignment vertical="center"/>
    </xf>
    <xf numFmtId="0" fontId="21" fillId="0" borderId="0" xfId="0" applyFont="1"/>
    <xf numFmtId="49" fontId="43" fillId="0" borderId="22" xfId="0" applyFont="1" applyBorder="1" applyNumberFormat="1" quotePrefix="1">
      <alignment horizontal="left" vertical="center" indent="1"/>
    </xf>
    <xf numFmtId="49" fontId="43" fillId="0" borderId="22" xfId="0" applyFont="1" applyBorder="1" applyNumberFormat="1">
      <alignment vertical="center" wrapText="1"/>
    </xf>
    <xf numFmtId="49" fontId="43" fillId="0" borderId="22" xfId="0" applyFont="1" applyBorder="1" applyNumberFormat="1">
      <alignment horizontal="center" vertical="center" wrapText="1"/>
    </xf>
    <xf numFmtId="0" fontId="1" fillId="0" borderId="22" xfId="0" applyFont="1" applyBorder="1"/>
    <xf numFmtId="0" fontId="32" fillId="0" borderId="0" xfId="0" applyFont="1">
      <alignment vertical="center"/>
    </xf>
    <xf numFmtId="49" fontId="41" fillId="43" borderId="38" xfId="0" applyFont="1" applyFill="1" applyBorder="1" applyNumberFormat="1">
      <alignment vertical="center"/>
    </xf>
    <xf numFmtId="49" fontId="39" fillId="0" borderId="0" xfId="0" applyFont="1" applyNumberFormat="1">
      <alignment horizontal="center" vertical="center" wrapText="1"/>
    </xf>
    <xf numFmtId="49" fontId="41" fillId="43" borderId="16" xfId="0" applyFont="1" applyFill="1" applyBorder="1" applyNumberFormat="1">
      <alignment vertical="center"/>
    </xf>
    <xf numFmtId="49" fontId="41" fillId="43" borderId="17" xfId="0" applyFont="1" applyFill="1" applyBorder="1" applyNumberFormat="1">
      <alignment vertical="center"/>
    </xf>
    <xf numFmtId="0" fontId="21" fillId="43" borderId="17" xfId="0" applyFont="1" applyFill="1" applyBorder="1">
      <alignment vertical="center" wrapText="1"/>
    </xf>
    <xf numFmtId="0" fontId="21" fillId="43" borderId="17" xfId="0" applyFont="1" applyFill="1" applyBorder="1">
      <alignment vertical="center"/>
    </xf>
    <xf numFmtId="0" fontId="21" fillId="43" borderId="18" xfId="0" applyFont="1" applyFill="1" applyBorder="1">
      <alignment vertical="center"/>
    </xf>
    <xf numFmtId="0" fontId="21" fillId="11" borderId="43" xfId="0" applyFont="1" applyFill="1" applyBorder="1">
      <alignment horizontal="center" vertical="center" wrapText="1"/>
    </xf>
    <xf numFmtId="0" fontId="21" fillId="0" borderId="0" xfId="0" applyFont="1">
      <alignment horizontal="center" vertical="center" wrapText="1"/>
    </xf>
    <xf numFmtId="0" fontId="21" fillId="0" borderId="0" xfId="0" applyFont="1">
      <alignment horizontal="left" vertical="center"/>
    </xf>
    <xf numFmtId="0" fontId="43" fillId="0" borderId="0" xfId="0" applyFont="1">
      <alignment horizontal="left" vertical="center"/>
    </xf>
    <xf numFmtId="0" fontId="53" fillId="0" borderId="14" xfId="0" applyFont="1" applyBorder="1">
      <alignment horizontal="center" vertical="center" wrapText="1"/>
    </xf>
    <xf numFmtId="49" fontId="41" fillId="43" borderId="16" xfId="0" applyFont="1" applyFill="1" applyBorder="1" applyNumberFormat="1">
      <alignment vertical="center"/>
    </xf>
    <xf numFmtId="49" fontId="41" fillId="43" borderId="17" xfId="0" applyFont="1" applyFill="1" applyBorder="1" applyNumberFormat="1">
      <alignment vertical="center"/>
    </xf>
    <xf numFmtId="0" fontId="21" fillId="43" borderId="17" xfId="0" applyFont="1" applyFill="1" applyBorder="1">
      <alignment vertical="center" wrapText="1"/>
    </xf>
    <xf numFmtId="0" fontId="21" fillId="43" borderId="17" xfId="0" applyFont="1" applyFill="1" applyBorder="1">
      <alignment vertical="center"/>
    </xf>
    <xf numFmtId="0" fontId="21" fillId="43" borderId="18" xfId="0" applyFont="1" applyFill="1" applyBorder="1">
      <alignment vertical="center"/>
    </xf>
    <xf numFmtId="0" fontId="21" fillId="0" borderId="21" xfId="0" applyFont="1" applyBorder="1">
      <alignment horizontal="center" vertical="center" wrapText="1"/>
    </xf>
    <xf numFmtId="4" fontId="21" fillId="38" borderId="11" xfId="0" applyFont="1" applyFill="1" applyBorder="1" applyNumberFormat="1">
      <alignment horizontal="right" vertical="center" wrapText="1"/>
    </xf>
    <xf numFmtId="4" fontId="21" fillId="34" borderId="11" xfId="0" applyFont="1" applyFill="1" applyBorder="1" applyNumberFormat="1">
      <alignment horizontal="right" vertical="center" wrapText="1"/>
      <protection locked="0"/>
    </xf>
    <xf numFmtId="4" fontId="21" fillId="43" borderId="18" xfId="0" applyFont="1" applyFill="1" applyBorder="1" applyNumberFormat="1">
      <alignment horizontal="right" vertical="center" wrapText="1"/>
    </xf>
    <xf numFmtId="49" fontId="41" fillId="43" borderId="38" xfId="0" applyFont="1" applyFill="1" applyBorder="1" applyNumberFormat="1">
      <alignment horizontal="left" vertical="center" indent="2"/>
    </xf>
    <xf numFmtId="4" fontId="43" fillId="34" borderId="11" xfId="0" applyFont="1" applyFill="1" applyBorder="1" applyNumberFormat="1">
      <alignment horizontal="right" vertical="center" wrapText="1"/>
      <protection locked="0"/>
    </xf>
    <xf numFmtId="4" fontId="43" fillId="0" borderId="17" xfId="0" applyFont="1" applyBorder="1" applyNumberFormat="1">
      <alignment horizontal="right" vertical="center" wrapText="1"/>
    </xf>
    <xf numFmtId="0" fontId="32" fillId="0" borderId="0" xfId="0" applyFont="1">
      <alignment horizontal="left" vertical="center"/>
    </xf>
    <xf numFmtId="0" fontId="19" fillId="44" borderId="0" xfId="0" applyFont="1" applyFill="1">
      <alignment vertical="center"/>
    </xf>
    <xf numFmtId="0" fontId="19" fillId="0" borderId="0" xfId="0" applyFont="1">
      <alignment vertical="center"/>
    </xf>
    <xf numFmtId="49" fontId="41" fillId="43" borderId="16" xfId="0" applyFont="1" applyFill="1" applyBorder="1" applyNumberFormat="1">
      <alignment vertical="center"/>
    </xf>
    <xf numFmtId="49" fontId="41" fillId="43" borderId="17" xfId="0" applyFont="1" applyFill="1" applyBorder="1" applyNumberFormat="1">
      <alignment vertical="center"/>
    </xf>
    <xf numFmtId="0" fontId="21" fillId="43" borderId="17" xfId="0" applyFont="1" applyFill="1" applyBorder="1">
      <alignment vertical="center" wrapText="1"/>
    </xf>
    <xf numFmtId="0" fontId="21" fillId="43" borderId="18" xfId="0" applyFont="1" applyFill="1" applyBorder="1">
      <alignment vertical="center"/>
    </xf>
    <xf numFmtId="0" fontId="19" fillId="11" borderId="43" xfId="0" applyFont="1" applyFill="1" applyBorder="1">
      <alignment horizontal="center" vertical="center" wrapText="1"/>
    </xf>
    <xf numFmtId="0" fontId="19" fillId="0" borderId="0" xfId="0" applyFont="1">
      <alignment horizontal="center" vertical="center" wrapText="1"/>
    </xf>
    <xf numFmtId="0" fontId="39" fillId="0" borderId="0" xfId="0" applyFont="1">
      <alignment horizontal="center" vertical="center" wrapText="1"/>
    </xf>
    <xf numFmtId="49" fontId="41" fillId="43" borderId="16" xfId="0" applyFont="1" applyFill="1" applyBorder="1" applyNumberFormat="1">
      <alignment vertical="center"/>
    </xf>
    <xf numFmtId="49" fontId="41" fillId="43" borderId="17" xfId="0" applyFont="1" applyFill="1" applyBorder="1" applyNumberFormat="1">
      <alignment vertical="center"/>
    </xf>
    <xf numFmtId="0" fontId="21" fillId="43" borderId="17" xfId="0" applyFont="1" applyFill="1" applyBorder="1">
      <alignment vertical="center" wrapText="1"/>
    </xf>
    <xf numFmtId="0" fontId="21" fillId="43" borderId="17" xfId="0" applyFont="1" applyFill="1" applyBorder="1">
      <alignment vertical="center"/>
    </xf>
    <xf numFmtId="0" fontId="21" fillId="43" borderId="18" xfId="0" applyFont="1" applyFill="1" applyBorder="1">
      <alignment vertical="center"/>
    </xf>
    <xf numFmtId="4" fontId="21" fillId="34" borderId="11" xfId="0" applyFont="1" applyFill="1" applyBorder="1" applyNumberFormat="1">
      <alignment horizontal="right" vertical="center" wrapText="1"/>
      <protection locked="0"/>
    </xf>
    <xf numFmtId="4" fontId="19" fillId="34" borderId="11" xfId="0" applyFont="1" applyFill="1" applyBorder="1" applyNumberFormat="1">
      <alignment horizontal="right" vertical="center"/>
      <protection locked="0"/>
    </xf>
    <xf numFmtId="172" fontId="19" fillId="34" borderId="11" xfId="0"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21" fillId="49" borderId="0" xfId="0" applyFont="1" applyFill="1">
      <alignment horizontal="center" vertical="center"/>
    </xf>
    <xf numFmtId="0" fontId="0" fillId="52" borderId="0" xfId="0" applyFont="1" applyFill="1">
      <alignment horizontal="center" vertical="center"/>
    </xf>
    <xf numFmtId="49" fontId="41" fillId="43" borderId="38" xfId="0" applyFont="1" applyFill="1" applyBorder="1" applyNumberFormat="1">
      <alignment vertical="center"/>
    </xf>
    <xf numFmtId="0" fontId="21" fillId="43" borderId="17" xfId="0" applyFont="1" applyFill="1" applyBorder="1">
      <alignment vertical="center"/>
    </xf>
    <xf numFmtId="0" fontId="19" fillId="49" borderId="0" xfId="0" applyFont="1" applyFill="1">
      <alignment horizontal="center" vertical="center"/>
    </xf>
    <xf numFmtId="49" fontId="19" fillId="0" borderId="0" xfId="0" applyFont="1" applyNumberFormat="1">
      <alignment vertical="top"/>
    </xf>
    <xf numFmtId="49" fontId="19" fillId="49" borderId="0" xfId="0" applyFont="1" applyFill="1" applyNumberFormat="1">
      <alignment horizontal="center" vertical="center"/>
    </xf>
    <xf numFmtId="0" fontId="21" fillId="0" borderId="0" xfId="0" applyFont="1">
      <alignment horizontal="center" vertical="center"/>
    </xf>
    <xf numFmtId="49" fontId="19" fillId="0" borderId="0" xfId="0" applyFont="1" applyNumberFormat="1">
      <alignment horizontal="center" vertical="center"/>
    </xf>
    <xf numFmtId="4" fontId="25" fillId="38" borderId="11" xfId="0" applyFont="1" applyFill="1" applyBorder="1" applyNumberFormat="1">
      <alignment horizontal="right" vertical="center"/>
    </xf>
    <xf numFmtId="0" fontId="19" fillId="0" borderId="0" xfId="0" applyFont="1">
      <alignment vertical="top" wrapText="1"/>
    </xf>
    <xf numFmtId="4" fontId="19" fillId="34" borderId="11" xfId="0" applyFont="1" applyFill="1" applyBorder="1" applyNumberFormat="1">
      <alignment horizontal="right" vertical="center"/>
      <protection locked="0"/>
    </xf>
    <xf numFmtId="4" fontId="25" fillId="0" borderId="11" xfId="0" applyFont="1" applyBorder="1" applyNumberFormat="1">
      <alignment horizontal="right" vertical="center"/>
    </xf>
    <xf numFmtId="0" fontId="1" fillId="0" borderId="0" xfId="0" applyFont="1"/>
    <xf numFmtId="0" fontId="21" fillId="0" borderId="0" xfId="0" applyFont="1"/>
    <xf numFmtId="0" fontId="21" fillId="0" borderId="0" xfId="0" applyFont="1">
      <alignment horizontal="left"/>
    </xf>
    <xf numFmtId="0" fontId="0" fillId="0" borderId="0" xfId="0" applyFont="1">
      <alignment horizontal="center"/>
    </xf>
    <xf numFmtId="0" fontId="21" fillId="44" borderId="0" xfId="0" applyFont="1" applyFill="1"/>
    <xf numFmtId="0" fontId="19" fillId="44" borderId="0" xfId="0" applyFont="1" applyFill="1"/>
    <xf numFmtId="0" fontId="21" fillId="4" borderId="0" xfId="0" applyFont="1" applyFill="1"/>
    <xf numFmtId="0" fontId="19" fillId="4" borderId="0" xfId="0" applyFont="1" applyFill="1"/>
    <xf numFmtId="0" fontId="19" fillId="0" borderId="0" xfId="0" applyFont="1">
      <alignment vertical="center"/>
    </xf>
    <xf numFmtId="0" fontId="0" fillId="0" borderId="0" xfId="0" applyFont="1">
      <alignment horizontal="center" vertical="center"/>
    </xf>
    <xf numFmtId="0" fontId="19" fillId="0" borderId="0" xfId="0" applyFont="1">
      <alignment vertical="top"/>
    </xf>
    <xf numFmtId="0" fontId="19" fillId="44" borderId="0" xfId="0" applyFont="1" applyFill="1">
      <alignment vertical="top"/>
    </xf>
    <xf numFmtId="0" fontId="21" fillId="0" borderId="0" xfId="0" applyFont="1">
      <alignment vertical="center" wrapText="1"/>
    </xf>
    <xf numFmtId="0" fontId="0" fillId="0" borderId="0" xfId="0" applyFont="1">
      <alignment horizontal="center" vertical="center" wrapText="1"/>
    </xf>
    <xf numFmtId="0" fontId="21" fillId="0" borderId="0" xfId="0" applyFont="1">
      <alignment wrapText="1"/>
    </xf>
    <xf numFmtId="0" fontId="19" fillId="0" borderId="0" xfId="0" applyFont="1"/>
    <xf numFmtId="0" fontId="1" fillId="0" borderId="0" xfId="0" applyFont="1"/>
    <xf numFmtId="0" fontId="54" fillId="0" borderId="0" xfId="0" applyFont="1">
      <alignment wrapText="1"/>
    </xf>
    <xf numFmtId="0" fontId="19" fillId="0" borderId="0" xfId="0" applyFont="1">
      <alignment horizontal="left" vertical="center"/>
    </xf>
    <xf numFmtId="0" fontId="21" fillId="0" borderId="0" xfId="0" applyFont="1">
      <alignment wrapText="1"/>
    </xf>
    <xf numFmtId="0" fontId="19" fillId="0" borderId="10" xfId="0" applyFont="1" applyBorder="1">
      <alignment horizontal="right" vertical="center" wrapText="1" indent="1"/>
    </xf>
    <xf numFmtId="0" fontId="21" fillId="0" borderId="0" xfId="0" applyFont="1">
      <alignment horizontal="center"/>
    </xf>
    <xf numFmtId="0" fontId="19" fillId="0" borderId="10" xfId="0" applyFont="1" applyBorder="1">
      <alignment horizontal="center" vertical="center" wrapText="1"/>
    </xf>
    <xf numFmtId="0" fontId="21" fillId="0" borderId="0" xfId="0" applyFont="1">
      <alignment horizontal="center" vertical="center" wrapText="1"/>
    </xf>
    <xf numFmtId="0" fontId="19" fillId="0" borderId="0" xfId="0" applyFont="1">
      <alignment horizontal="center"/>
    </xf>
    <xf numFmtId="0" fontId="19" fillId="0" borderId="11" xfId="0" applyFont="1" applyBorder="1">
      <alignment horizontal="center" vertical="center"/>
    </xf>
    <xf numFmtId="49" fontId="19" fillId="34" borderId="10" xfId="0" applyFont="1" applyFill="1" applyBorder="1" applyNumberFormat="1">
      <alignment horizontal="left" vertical="center" wrapText="1" indent="1"/>
    </xf>
    <xf numFmtId="49" fontId="21" fillId="34" borderId="10" xfId="0" applyFont="1" applyFill="1" applyBorder="1" applyNumberFormat="1">
      <alignment horizontal="left" vertical="center" wrapText="1" indent="1"/>
    </xf>
    <xf numFmtId="49" fontId="19" fillId="34"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175" fontId="21" fillId="35" borderId="10" xfId="0" applyFont="1" applyFill="1" applyBorder="1" applyNumberFormat="1">
      <alignment horizontal="left" vertical="center" wrapText="1" indent="1"/>
    </xf>
    <xf numFmtId="49" fontId="52" fillId="34" borderId="10" xfId="0" applyFont="1" applyFill="1" applyBorder="1" applyNumberFormat="1">
      <alignment horizontal="left" vertical="center" wrapText="1" indent="1"/>
    </xf>
    <xf numFmtId="0" fontId="21" fillId="35" borderId="10" xfId="0" applyFont="1" applyFill="1" applyBorder="1">
      <alignment horizontal="left" vertical="center" wrapText="1" indent="1"/>
    </xf>
    <xf numFmtId="0" fontId="19" fillId="34" borderId="10" xfId="0" applyFont="1" applyFill="1" applyBorder="1">
      <alignment horizontal="left" vertical="center" wrapText="1" indent="1"/>
    </xf>
    <xf numFmtId="175" fontId="21" fillId="34" borderId="10" xfId="0" applyFont="1" applyFill="1" applyBorder="1" applyNumberFormat="1">
      <alignment horizontal="left" vertical="center" wrapText="1" indent="1"/>
    </xf>
    <xf numFmtId="14" fontId="21" fillId="34" borderId="10" xfId="0" applyFont="1" applyFill="1" applyBorder="1" applyNumberFormat="1">
      <alignment horizontal="left" vertical="center" wrapText="1" indent="1"/>
    </xf>
    <xf numFmtId="175" fontId="19" fillId="35" borderId="11" xfId="0" applyFont="1" applyFill="1" applyBorder="1" applyNumberFormat="1">
      <alignment horizontal="left" vertical="center" wrapText="1" indent="1"/>
    </xf>
    <xf numFmtId="0" fontId="19" fillId="35" borderId="11" xfId="0" applyFont="1" applyFill="1" applyBorder="1">
      <alignment horizontal="left" vertical="center" wrapText="1" indent="1"/>
    </xf>
    <xf numFmtId="0" fontId="19" fillId="35" borderId="11" xfId="0" applyFont="1" applyFill="1" applyBorder="1">
      <alignment horizontal="left" vertical="center" wrapText="1" indent="1"/>
    </xf>
    <xf numFmtId="49" fontId="19" fillId="35" borderId="10" xfId="0" applyFont="1" applyFill="1" applyBorder="1" applyNumberFormat="1">
      <alignment horizontal="right" vertical="center" wrapText="1" indent="1"/>
    </xf>
    <xf numFmtId="4" fontId="21" fillId="34" borderId="10" xfId="0" applyFont="1" applyFill="1" applyBorder="1" applyNumberFormat="1">
      <alignment horizontal="right" vertical="center"/>
      <protection locked="0"/>
    </xf>
    <xf numFmtId="0" fontId="21" fillId="0" borderId="0" xfId="0" applyFont="1"/>
    <xf numFmtId="0" fontId="21" fillId="0" borderId="0" xfId="0" applyFont="1">
      <alignment horizontal="left"/>
    </xf>
    <xf numFmtId="0" fontId="21" fillId="49" borderId="0" xfId="0" applyFont="1" applyFill="1">
      <alignment horizontal="center" vertical="center"/>
    </xf>
    <xf numFmtId="0" fontId="0" fillId="25" borderId="0" xfId="0" applyFont="1" applyFill="1">
      <alignment horizontal="center"/>
    </xf>
    <xf numFmtId="0" fontId="0" fillId="0" borderId="0" xfId="0" applyFont="1">
      <alignment horizontal="left"/>
    </xf>
    <xf numFmtId="0" fontId="0" fillId="0" borderId="0" xfId="0" applyFont="1">
      <alignment horizontal="center" wrapText="1"/>
    </xf>
    <xf numFmtId="0" fontId="0" fillId="0" borderId="0" xfId="0" applyFont="1">
      <alignment horizontal="center"/>
    </xf>
    <xf numFmtId="0" fontId="21" fillId="44" borderId="0" xfId="0" applyFont="1" applyFill="1"/>
    <xf numFmtId="0" fontId="21" fillId="44" borderId="0" xfId="0" applyFont="1" applyFill="1">
      <alignment horizontal="left"/>
    </xf>
    <xf numFmtId="0" fontId="19" fillId="44" borderId="0" xfId="0" applyFont="1" applyFill="1"/>
    <xf numFmtId="0" fontId="21" fillId="44" borderId="0" xfId="0" applyFont="1" applyFill="1">
      <alignment wrapText="1"/>
    </xf>
    <xf numFmtId="0" fontId="21" fillId="4" borderId="0" xfId="0" applyFont="1" applyFill="1"/>
    <xf numFmtId="0" fontId="0" fillId="4" borderId="0" xfId="0" applyFont="1" applyFill="1">
      <alignment horizontal="center"/>
    </xf>
    <xf numFmtId="0" fontId="21" fillId="4" borderId="0" xfId="0" applyFont="1" applyFill="1">
      <alignment horizontal="left"/>
    </xf>
    <xf numFmtId="0" fontId="19" fillId="4" borderId="0" xfId="0" applyFont="1" applyFill="1"/>
    <xf numFmtId="0" fontId="21" fillId="4" borderId="0" xfId="0" applyFont="1" applyFill="1">
      <alignment wrapText="1"/>
    </xf>
    <xf numFmtId="0" fontId="19" fillId="0" borderId="0" xfId="0" applyFont="1">
      <alignment vertical="center"/>
    </xf>
    <xf numFmtId="0" fontId="19" fillId="0" borderId="0" xfId="0" applyFont="1">
      <alignment horizontal="left" vertical="center"/>
    </xf>
    <xf numFmtId="0" fontId="0" fillId="0" borderId="0" xfId="0" applyFont="1">
      <alignment horizontal="left" vertical="center"/>
    </xf>
    <xf numFmtId="0" fontId="21" fillId="0" borderId="0" xfId="0" applyFont="1">
      <alignment horizontal="center" vertical="center"/>
    </xf>
    <xf numFmtId="0" fontId="25" fillId="0" borderId="60" xfId="0" applyFont="1" applyBorder="1" quotePrefix="1">
      <alignment horizontal="left" vertical="center" indent="1"/>
    </xf>
    <xf numFmtId="0" fontId="42" fillId="0" borderId="60" xfId="0" applyFont="1" applyBorder="1">
      <alignment vertical="center"/>
    </xf>
    <xf numFmtId="0" fontId="42" fillId="0" borderId="60" xfId="0" applyFont="1" applyBorder="1"/>
    <xf numFmtId="0" fontId="21" fillId="44" borderId="0" xfId="0" applyFont="1" applyFill="1">
      <alignment horizontal="center"/>
    </xf>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33" fillId="0" borderId="0" xfId="0" applyFont="1">
      <alignment vertical="center" wrapText="1"/>
    </xf>
    <xf numFmtId="0" fontId="19" fillId="0" borderId="10" xfId="0" applyFont="1" applyBorder="1">
      <alignment horizontal="center" vertical="center" wrapText="1"/>
    </xf>
    <xf numFmtId="0" fontId="19" fillId="53" borderId="10" xfId="0" applyFont="1" applyFill="1" applyBorder="1">
      <alignment horizontal="center" vertical="center" wrapText="1"/>
    </xf>
    <xf numFmtId="0" fontId="21" fillId="0" borderId="10" xfId="0" applyFont="1" applyBorder="1">
      <alignment horizontal="center" vertical="center" wrapText="1"/>
    </xf>
    <xf numFmtId="0" fontId="21" fillId="53" borderId="61" xfId="0" applyFont="1" applyFill="1" applyBorder="1">
      <alignment horizontal="center" vertical="center" wrapText="1"/>
    </xf>
    <xf numFmtId="0" fontId="19" fillId="0" borderId="0" xfId="0" applyFont="1">
      <alignment vertical="top"/>
    </xf>
    <xf numFmtId="0" fontId="0" fillId="0" borderId="0" xfId="0" applyFont="1">
      <alignment horizontal="center" vertical="top"/>
    </xf>
    <xf numFmtId="0" fontId="19" fillId="44" borderId="0" xfId="0" applyFont="1" applyFill="1">
      <alignment vertical="top"/>
    </xf>
    <xf numFmtId="0" fontId="19" fillId="0" borderId="62" xfId="0" applyFont="1" applyBorder="1">
      <alignment horizontal="center" vertical="center" wrapText="1"/>
    </xf>
    <xf numFmtId="0" fontId="21" fillId="0" borderId="0" xfId="0" applyFont="1">
      <alignment vertical="center" wrapText="1"/>
    </xf>
    <xf numFmtId="0" fontId="21" fillId="0" borderId="0" xfId="0" applyFont="1">
      <alignment horizontal="right" vertical="center"/>
    </xf>
    <xf numFmtId="0" fontId="0" fillId="0" borderId="0" xfId="0" applyFont="1">
      <alignment horizontal="center" vertical="center" wrapText="1"/>
    </xf>
    <xf numFmtId="0" fontId="21" fillId="44" borderId="0" xfId="0" applyFont="1" applyFill="1">
      <alignment vertical="center" wrapText="1"/>
    </xf>
    <xf numFmtId="0" fontId="40" fillId="42" borderId="62" xfId="0" applyFont="1" applyFill="1" applyBorder="1">
      <alignment horizontal="left" vertical="center"/>
    </xf>
    <xf numFmtId="0" fontId="40" fillId="42" borderId="63" xfId="0" applyFont="1" applyFill="1" applyBorder="1">
      <alignment horizontal="left" vertical="center"/>
    </xf>
    <xf numFmtId="49" fontId="40" fillId="42" borderId="63" xfId="0" applyFont="1" applyFill="1" applyBorder="1" applyNumberFormat="1">
      <alignment horizontal="left" vertical="center" wrapText="1"/>
    </xf>
    <xf numFmtId="0" fontId="19" fillId="0" borderId="10" xfId="0" applyFont="1" applyBorder="1">
      <alignment horizontal="center" vertical="center"/>
    </xf>
    <xf numFmtId="0" fontId="21" fillId="0" borderId="10" xfId="0" applyFont="1" applyBorder="1">
      <alignment vertical="center" wrapText="1"/>
    </xf>
    <xf numFmtId="0" fontId="21" fillId="0" borderId="10" xfId="0" applyFont="1" applyBorder="1">
      <alignment horizontal="center" vertical="center"/>
    </xf>
    <xf numFmtId="172" fontId="21" fillId="34" borderId="10" xfId="0" applyFont="1" applyFill="1" applyBorder="1" applyNumberFormat="1">
      <alignment horizontal="right" vertical="center"/>
      <protection locked="0"/>
    </xf>
    <xf numFmtId="0" fontId="21" fillId="0" borderId="10" xfId="0" applyFont="1" applyBorder="1">
      <alignment horizontal="left" vertical="center" wrapText="1"/>
    </xf>
    <xf numFmtId="0" fontId="21" fillId="0" borderId="0" xfId="0" applyFont="1">
      <alignment wrapText="1"/>
    </xf>
    <xf numFmtId="0" fontId="19" fillId="0" borderId="0" xfId="0" applyFont="1"/>
    <xf numFmtId="4" fontId="25" fillId="34" borderId="11" xfId="0" applyFont="1" applyFill="1" applyBorder="1" applyNumberFormat="1">
      <alignment horizontal="right" vertical="center"/>
      <protection locked="0"/>
    </xf>
    <xf numFmtId="0" fontId="21" fillId="36" borderId="0" xfId="0" applyFont="1" applyFill="1"/>
    <xf numFmtId="0" fontId="21" fillId="36" borderId="0" xfId="0" applyFont="1" applyFill="1">
      <alignment horizontal="center" vertical="center"/>
    </xf>
    <xf numFmtId="0" fontId="21" fillId="36" borderId="0" xfId="0" applyFont="1" applyFill="1">
      <alignment horizontal="center" vertical="top"/>
    </xf>
    <xf numFmtId="0" fontId="21" fillId="36" borderId="0" xfId="0" applyFont="1" applyFill="1">
      <alignment horizontal="center"/>
    </xf>
    <xf numFmtId="0" fontId="34" fillId="0" borderId="0" xfId="0" applyFont="1"/>
    <xf numFmtId="0" fontId="43" fillId="36" borderId="0" xfId="0" applyFont="1" applyFill="1"/>
    <xf numFmtId="0" fontId="32" fillId="36" borderId="0" xfId="0" applyFont="1" applyFill="1"/>
    <xf numFmtId="49" fontId="32" fillId="36" borderId="0" xfId="0" applyFont="1" applyFill="1" applyNumberFormat="1"/>
    <xf numFmtId="0" fontId="34" fillId="0" borderId="0" xfId="0" applyFont="1"/>
    <xf numFmtId="4" fontId="25" fillId="34" borderId="11" xfId="0" applyFont="1" applyFill="1" applyBorder="1" applyNumberFormat="1">
      <alignment horizontal="right" vertical="center"/>
    </xf>
    <xf numFmtId="4" fontId="25" fillId="34" borderId="11" xfId="0" applyFont="1" applyFill="1" applyBorder="1" applyNumberFormat="1">
      <alignment horizontal="right" vertical="center"/>
      <protection locked="0"/>
    </xf>
    <xf numFmtId="4" fontId="25" fillId="34" borderId="11" xfId="0" applyFont="1" applyFill="1" applyBorder="1" applyNumberFormat="1">
      <alignment horizontal="right" vertical="center"/>
    </xf>
    <xf numFmtId="0" fontId="0" fillId="25" borderId="0" xfId="0" applyFont="1" applyFill="1">
      <alignment horizontal="center"/>
    </xf>
    <xf numFmtId="0" fontId="75" fillId="0" borderId="0" xfId="0" applyFont="1">
      <alignment vertical="center" wrapText="1"/>
    </xf>
    <xf numFmtId="0" fontId="28" fillId="0" borderId="0" xfId="0" applyFont="1">
      <alignment vertical="center"/>
    </xf>
    <xf numFmtId="0" fontId="31" fillId="54" borderId="64" xfId="0" applyFont="1" applyFill="1" applyBorder="1">
      <alignment horizontal="center" vertical="center" wrapText="1"/>
    </xf>
    <xf numFmtId="0" fontId="31" fillId="54" borderId="65" xfId="0" applyFont="1" applyFill="1" applyBorder="1">
      <alignment horizontal="center" vertical="center" wrapText="1"/>
    </xf>
    <xf numFmtId="0" fontId="31" fillId="54" borderId="66" xfId="0" applyFont="1" applyFill="1" applyBorder="1">
      <alignment horizontal="center" vertical="center" wrapText="1"/>
    </xf>
    <xf numFmtId="0" fontId="31" fillId="44" borderId="49" xfId="0" applyFont="1" applyFill="1" applyBorder="1">
      <alignment horizontal="right" vertical="center" wrapText="1" indent="1"/>
    </xf>
    <xf numFmtId="0" fontId="31" fillId="44" borderId="67" xfId="0" applyFont="1" applyFill="1" applyBorder="1">
      <alignment horizontal="right" vertical="center" wrapText="1" indent="1"/>
    </xf>
    <xf numFmtId="0" fontId="31" fillId="44" borderId="0" xfId="0" applyFont="1" applyFill="1">
      <alignment horizontal="right" vertical="center" wrapText="1" indent="1"/>
    </xf>
    <xf numFmtId="0" fontId="59" fillId="0" borderId="49" xfId="0" applyFont="1" applyBorder="1">
      <alignment vertical="center" wrapText="1"/>
    </xf>
    <xf numFmtId="0" fontId="59" fillId="0" borderId="0" xfId="0" applyFont="1">
      <alignment vertical="center" wrapText="1"/>
    </xf>
    <xf numFmtId="0" fontId="59" fillId="0" borderId="49" xfId="0" applyFont="1" applyBorder="1">
      <alignment horizontal="left" vertical="center" wrapText="1"/>
    </xf>
    <xf numFmtId="0" fontId="59" fillId="0" borderId="0" xfId="0" applyFont="1">
      <alignment horizontal="left" vertical="center" wrapText="1"/>
    </xf>
    <xf numFmtId="0" fontId="24" fillId="0" borderId="0" xfId="0" applyFont="1">
      <alignment vertical="top" wrapText="1"/>
    </xf>
    <xf numFmtId="0" fontId="31" fillId="44" borderId="56" xfId="0" applyFont="1" applyFill="1" applyBorder="1">
      <alignment horizontal="right" vertical="center" wrapText="1" indent="1"/>
    </xf>
    <xf numFmtId="0" fontId="31" fillId="44" borderId="68" xfId="0" applyFont="1" applyFill="1" applyBorder="1">
      <alignment horizontal="right" vertical="center" wrapText="1" indent="1"/>
    </xf>
    <xf numFmtId="0" fontId="31" fillId="44" borderId="37" xfId="0" applyFont="1" applyFill="1" applyBorder="1">
      <alignment horizontal="right" vertical="center" wrapText="1" indent="1"/>
    </xf>
    <xf numFmtId="0" fontId="31" fillId="44" borderId="38" xfId="0" applyFont="1" applyFill="1" applyBorder="1">
      <alignment horizontal="right" vertical="center" wrapText="1" indent="1"/>
    </xf>
    <xf numFmtId="0" fontId="59" fillId="0" borderId="0" xfId="0" applyFont="1">
      <alignment vertical="top" wrapText="1"/>
    </xf>
    <xf numFmtId="49" fontId="57" fillId="0" borderId="0" xfId="0" applyFont="1" applyNumberFormat="1">
      <alignment vertical="top" wrapText="1"/>
    </xf>
    <xf numFmtId="0" fontId="19" fillId="0" borderId="10" xfId="0" applyFont="1" applyBorder="1">
      <alignment horizontal="right" vertical="center" wrapText="1" indent="1"/>
    </xf>
    <xf numFmtId="0" fontId="53" fillId="0" borderId="14" xfId="0" applyFont="1" applyBorder="1">
      <alignment horizontal="center" vertical="top" wrapText="1"/>
    </xf>
    <xf numFmtId="0" fontId="19" fillId="0" borderId="21" xfId="0" applyFont="1" applyBorder="1">
      <alignment horizontal="center" vertical="center" textRotation="90" wrapText="1"/>
    </xf>
    <xf numFmtId="0" fontId="19" fillId="0" borderId="69" xfId="0" applyFont="1" applyBorder="1">
      <alignment horizontal="center" vertical="center" textRotation="90" wrapText="1"/>
    </xf>
    <xf numFmtId="0" fontId="19" fillId="0" borderId="50" xfId="0" applyFont="1" applyBorder="1">
      <alignment horizontal="center" vertical="center" textRotation="90" wrapText="1"/>
    </xf>
    <xf numFmtId="0" fontId="19" fillId="0" borderId="10" xfId="0" applyFont="1" applyBorder="1">
      <alignment horizontal="center" vertical="center" textRotation="90" wrapText="1"/>
    </xf>
    <xf numFmtId="0" fontId="19" fillId="0" borderId="70" xfId="0" applyFont="1" applyBorder="1">
      <alignment horizontal="right" vertical="center" wrapText="1" indent="1"/>
    </xf>
    <xf numFmtId="0" fontId="19" fillId="0" borderId="14" xfId="0" applyFont="1" applyBorder="1">
      <alignment horizontal="right" vertical="center" wrapText="1" indent="1"/>
    </xf>
    <xf numFmtId="0" fontId="19" fillId="0" borderId="71" xfId="0" applyFont="1" applyBorder="1">
      <alignment horizontal="right" vertical="center" wrapText="1" indent="1"/>
    </xf>
    <xf numFmtId="0" fontId="19" fillId="0" borderId="53" xfId="0" applyFont="1" applyBorder="1">
      <alignment horizontal="right" vertical="center" wrapText="1" indent="1"/>
    </xf>
    <xf numFmtId="0" fontId="19" fillId="0" borderId="43" xfId="0" applyFont="1" applyBorder="1">
      <alignment horizontal="right" vertical="center" wrapText="1" indent="1"/>
    </xf>
    <xf numFmtId="0" fontId="19" fillId="0" borderId="44" xfId="0" applyFont="1" applyBorder="1">
      <alignment horizontal="right" vertical="center" wrapText="1" indent="1"/>
    </xf>
    <xf numFmtId="0" fontId="19" fillId="0" borderId="31" xfId="0" applyFont="1" applyBorder="1">
      <alignment horizontal="right" vertical="center" wrapText="1" indent="1"/>
    </xf>
    <xf numFmtId="0" fontId="21" fillId="0" borderId="10" xfId="0" applyFont="1" applyBorder="1">
      <alignment horizontal="right" vertical="center" wrapText="1" indent="1"/>
    </xf>
    <xf numFmtId="0" fontId="19" fillId="0" borderId="16" xfId="0" applyFont="1" applyBorder="1">
      <alignment horizontal="right" vertical="center" wrapText="1" indent="1"/>
    </xf>
    <xf numFmtId="0" fontId="19" fillId="0" borderId="17" xfId="0" applyFont="1" applyBorder="1">
      <alignment horizontal="right" vertical="center" wrapText="1" indent="1"/>
    </xf>
    <xf numFmtId="0" fontId="19" fillId="0" borderId="18" xfId="0" applyFont="1" applyBorder="1">
      <alignment horizontal="right" vertical="center" wrapText="1" indent="1"/>
    </xf>
    <xf numFmtId="49" fontId="43" fillId="55" borderId="10" xfId="0" applyFont="1" applyFill="1" applyBorder="1" applyNumberFormat="1">
      <alignment horizontal="center" vertical="center" wrapText="1"/>
    </xf>
    <xf numFmtId="0" fontId="25" fillId="35" borderId="10" xfId="0" applyFont="1" applyFill="1" applyBorder="1">
      <alignment horizontal="center" vertical="center"/>
      <protection locked="0"/>
    </xf>
    <xf numFmtId="49" fontId="43" fillId="56" borderId="10" xfId="0" applyFont="1" applyFill="1" applyBorder="1" applyNumberFormat="1">
      <alignment horizontal="center" vertical="center" wrapText="1"/>
    </xf>
    <xf numFmtId="0" fontId="25" fillId="33" borderId="10" xfId="0" applyFont="1" applyFill="1" applyBorder="1">
      <alignment horizontal="center" vertical="center"/>
    </xf>
    <xf numFmtId="0" fontId="43" fillId="55" borderId="10" xfId="0" applyFont="1" applyFill="1" applyBorder="1">
      <alignment horizontal="center" vertical="center" wrapText="1"/>
    </xf>
    <xf numFmtId="0" fontId="25" fillId="55" borderId="10" xfId="0" applyFont="1" applyFill="1" applyBorder="1">
      <alignment horizontal="center" vertical="center" wrapText="1"/>
    </xf>
    <xf numFmtId="0" fontId="19" fillId="0" borderId="43" xfId="0" applyFont="1" applyBorder="1">
      <alignment vertical="center"/>
    </xf>
    <xf numFmtId="0" fontId="19" fillId="0" borderId="44" xfId="0" applyFont="1" applyBorder="1">
      <alignment vertical="center"/>
    </xf>
    <xf numFmtId="0" fontId="19" fillId="0" borderId="31" xfId="0" applyFont="1" applyBorder="1">
      <alignment vertical="center"/>
    </xf>
    <xf numFmtId="0" fontId="26" fillId="0" borderId="0" xfId="0" applyFont="1">
      <alignment horizontal="center" vertical="center"/>
    </xf>
    <xf numFmtId="49" fontId="25" fillId="55" borderId="10" xfId="0" applyFont="1" applyFill="1" applyBorder="1" applyNumberFormat="1">
      <alignment horizontal="left" vertical="center" wrapText="1" indent="4"/>
    </xf>
    <xf numFmtId="0" fontId="26" fillId="0" borderId="69" xfId="0" applyFont="1" applyBorder="1">
      <alignment vertical="center" wrapText="1"/>
    </xf>
    <xf numFmtId="0" fontId="25" fillId="0" borderId="0" xfId="0" applyFont="1">
      <alignment vertical="center" wrapText="1"/>
    </xf>
    <xf numFmtId="0" fontId="26" fillId="0" borderId="21" xfId="0" applyFont="1" applyBorder="1">
      <alignment vertical="center" wrapText="1"/>
    </xf>
    <xf numFmtId="0" fontId="26" fillId="0" borderId="0" xfId="0" applyFont="1">
      <alignment horizontal="center" vertical="top"/>
    </xf>
    <xf numFmtId="49" fontId="68" fillId="0" borderId="0" xfId="0" applyFont="1" applyNumberFormat="1">
      <alignment horizontal="center" vertical="top" wrapText="1"/>
    </xf>
    <xf numFmtId="0" fontId="19" fillId="0" borderId="49" xfId="0" applyFont="1" applyBorder="1">
      <alignment horizontal="center" vertical="center" wrapText="1"/>
    </xf>
    <xf numFmtId="0" fontId="19" fillId="0" borderId="67" xfId="0" applyFont="1" applyBorder="1">
      <alignment horizontal="center" vertical="center" wrapText="1"/>
    </xf>
    <xf numFmtId="0" fontId="19" fillId="0" borderId="37" xfId="0" applyFont="1" applyBorder="1">
      <alignment horizontal="center" vertical="center" wrapText="1"/>
    </xf>
    <xf numFmtId="0" fontId="19" fillId="0" borderId="59" xfId="0" applyFont="1" applyBorder="1">
      <alignment horizontal="center" vertical="center" wrapText="1"/>
    </xf>
    <xf numFmtId="49" fontId="19" fillId="0" borderId="11" xfId="0" applyFont="1" applyBorder="1" applyNumberFormat="1">
      <alignment horizontal="right" vertical="center" wrapText="1"/>
    </xf>
    <xf numFmtId="0" fontId="26" fillId="0" borderId="50" xfId="0" applyFont="1" applyBorder="1">
      <alignment vertical="center" wrapText="1"/>
    </xf>
    <xf numFmtId="0" fontId="43" fillId="55" borderId="21" xfId="0" applyFont="1" applyFill="1" applyBorder="1">
      <alignment horizontal="left" vertical="center" wrapText="1" indent="4"/>
    </xf>
    <xf numFmtId="0" fontId="43" fillId="55" borderId="10" xfId="0" applyFont="1" applyFill="1" applyBorder="1">
      <alignment horizontal="left" vertical="center" wrapText="1" indent="4"/>
    </xf>
    <xf numFmtId="0" fontId="19" fillId="35" borderId="56" xfId="0" applyFont="1" applyFill="1" applyBorder="1">
      <alignment horizontal="center" vertical="center" wrapText="1"/>
      <protection locked="0"/>
    </xf>
    <xf numFmtId="0" fontId="19" fillId="35" borderId="68" xfId="0" applyFont="1" applyFill="1" applyBorder="1">
      <alignment horizontal="center" vertical="center" wrapText="1"/>
      <protection locked="0"/>
    </xf>
    <xf numFmtId="0" fontId="19" fillId="35" borderId="49" xfId="0" applyFont="1" applyFill="1" applyBorder="1">
      <alignment horizontal="center" vertical="center" wrapText="1"/>
    </xf>
    <xf numFmtId="0" fontId="19" fillId="35" borderId="67" xfId="0" applyFont="1" applyFill="1" applyBorder="1">
      <alignment horizontal="center" vertical="center" wrapText="1"/>
    </xf>
    <xf numFmtId="0" fontId="19" fillId="35" borderId="37" xfId="0" applyFont="1" applyFill="1" applyBorder="1">
      <alignment horizontal="center" vertical="center" wrapText="1"/>
      <protection locked="0"/>
    </xf>
    <xf numFmtId="0" fontId="19" fillId="35" borderId="59" xfId="0" applyFont="1" applyFill="1" applyBorder="1">
      <alignment horizontal="center" vertical="center" wrapText="1"/>
      <protection locked="0"/>
    </xf>
    <xf numFmtId="0" fontId="26" fillId="0" borderId="67" xfId="0" applyFont="1" applyBorder="1">
      <alignment horizontal="center" vertical="center"/>
    </xf>
    <xf numFmtId="0" fontId="25" fillId="0" borderId="22" xfId="0" applyFont="1" applyBorder="1" quotePrefix="1">
      <alignment horizontal="left" vertical="center" wrapText="1" indent="1"/>
    </xf>
    <xf numFmtId="0" fontId="25" fillId="0" borderId="22" xfId="0" applyFont="1" applyBorder="1">
      <alignment horizontal="left" vertical="center" wrapText="1" indent="1"/>
    </xf>
    <xf numFmtId="0" fontId="21" fillId="0" borderId="0" xfId="0" applyFont="1">
      <alignment horizontal="center" vertical="top" wrapText="1"/>
    </xf>
    <xf numFmtId="0" fontId="73" fillId="0" borderId="0" xfId="0" applyFont="1">
      <alignment horizontal="center" vertical="center" wrapText="1"/>
    </xf>
    <xf numFmtId="0" fontId="21" fillId="0" borderId="0" xfId="0" applyFont="1">
      <alignment horizontal="center" vertical="center"/>
    </xf>
    <xf numFmtId="0" fontId="21" fillId="0" borderId="0" xfId="0" applyFont="1">
      <alignment horizontal="center"/>
    </xf>
    <xf numFmtId="49" fontId="19" fillId="34" borderId="43" xfId="0" applyFont="1" applyFill="1" applyBorder="1" applyNumberFormat="1">
      <alignment horizontal="left" vertical="center" wrapText="1"/>
      <protection locked="0"/>
    </xf>
    <xf numFmtId="49" fontId="19" fillId="34" borderId="44" xfId="0" applyFont="1" applyFill="1" applyBorder="1" applyNumberFormat="1">
      <alignment horizontal="left" vertical="center" wrapText="1"/>
      <protection locked="0"/>
    </xf>
    <xf numFmtId="49" fontId="19" fillId="34" borderId="31" xfId="0" applyFont="1" applyFill="1" applyBorder="1" applyNumberFormat="1">
      <alignment horizontal="left" vertical="center" wrapText="1"/>
      <protection locked="0"/>
    </xf>
    <xf numFmtId="0" fontId="19" fillId="0" borderId="39" xfId="0" applyFont="1" applyBorder="1">
      <alignment horizontal="center" vertical="center" wrapText="1"/>
    </xf>
    <xf numFmtId="0" fontId="19" fillId="0" borderId="45" xfId="0" applyFont="1" applyBorder="1">
      <alignment horizontal="center" vertical="center" wrapText="1"/>
    </xf>
    <xf numFmtId="0" fontId="19" fillId="0" borderId="72" xfId="0" applyFont="1" applyBorder="1">
      <alignment horizontal="center" vertical="center" wrapText="1"/>
    </xf>
    <xf numFmtId="0" fontId="19" fillId="34" borderId="27" xfId="0" applyFont="1" applyFill="1" applyBorder="1">
      <alignment horizontal="left" vertical="center" wrapText="1"/>
      <protection locked="0"/>
    </xf>
    <xf numFmtId="0" fontId="19" fillId="34" borderId="28" xfId="0" applyFont="1" applyFill="1" applyBorder="1">
      <alignment horizontal="left" vertical="center" wrapText="1"/>
      <protection locked="0"/>
    </xf>
    <xf numFmtId="0" fontId="19" fillId="34" borderId="29" xfId="0" applyFont="1" applyFill="1" applyBorder="1">
      <alignment horizontal="left" vertical="center" wrapText="1"/>
      <protection locked="0"/>
    </xf>
    <xf numFmtId="0" fontId="19" fillId="34" borderId="73" xfId="0" applyFont="1" applyFill="1" applyBorder="1">
      <alignment horizontal="left" vertical="center" wrapText="1"/>
      <protection locked="0"/>
    </xf>
    <xf numFmtId="0" fontId="19" fillId="34" borderId="17" xfId="0" applyFont="1" applyFill="1" applyBorder="1">
      <alignment horizontal="left" vertical="center" wrapText="1"/>
      <protection locked="0"/>
    </xf>
    <xf numFmtId="0" fontId="19" fillId="34" borderId="55" xfId="0" applyFont="1" applyFill="1" applyBorder="1">
      <alignment horizontal="left" vertical="center" wrapText="1"/>
      <protection locked="0"/>
    </xf>
    <xf numFmtId="49" fontId="25" fillId="0" borderId="0" xfId="0" applyFont="1" applyNumberFormat="1">
      <alignment horizontal="center" vertical="center" wrapText="1" shrinkToFit="1"/>
    </xf>
    <xf numFmtId="49" fontId="19" fillId="0" borderId="10" xfId="0" applyFont="1" applyBorder="1" applyNumberFormat="1">
      <alignment horizontal="center" vertical="center" wrapText="1"/>
    </xf>
    <xf numFmtId="0" fontId="21" fillId="0" borderId="21" xfId="0" applyFont="1" applyBorder="1">
      <alignment horizontal="center" vertical="center" wrapText="1"/>
    </xf>
    <xf numFmtId="0" fontId="21" fillId="0" borderId="50" xfId="0" applyFont="1" applyBorder="1">
      <alignment horizontal="center" vertical="center" wrapText="1"/>
    </xf>
    <xf numFmtId="0" fontId="21" fillId="0" borderId="0" xfId="0" applyFont="1">
      <alignment horizontal="center" vertical="top"/>
    </xf>
    <xf numFmtId="0" fontId="19" fillId="0" borderId="10" xfId="0" applyFont="1" applyBorder="1">
      <alignment horizontal="center" vertical="center" wrapText="1"/>
    </xf>
    <xf numFmtId="0" fontId="21" fillId="0" borderId="0" xfId="0" applyFont="1">
      <alignment horizontal="center" vertical="center" wrapText="1"/>
    </xf>
    <xf numFmtId="0" fontId="19" fillId="0" borderId="10" xfId="0" applyFont="1" applyBorder="1">
      <alignment horizontal="center" vertical="center" wrapText="1"/>
    </xf>
    <xf numFmtId="0" fontId="21" fillId="0" borderId="0" xfId="0" applyFont="1">
      <alignment horizontal="center" vertical="top" wrapText="1"/>
    </xf>
    <xf numFmtId="0" fontId="21" fillId="0" borderId="0" xfId="0" applyFont="1">
      <alignment horizontal="center" vertical="center" wrapText="1"/>
    </xf>
    <xf numFmtId="0" fontId="19" fillId="0" borderId="30" xfId="0" applyFont="1" applyBorder="1">
      <alignment horizontal="center" vertical="center" wrapText="1"/>
    </xf>
    <xf numFmtId="0" fontId="79" fillId="0" borderId="30" xfId="0" applyFont="1" applyBorder="1">
      <alignment vertical="center"/>
    </xf>
    <xf numFmtId="0" fontId="19" fillId="34" borderId="74" xfId="0" applyFont="1" applyFill="1" applyBorder="1">
      <alignment horizontal="left" vertical="center" wrapText="1"/>
      <protection locked="0"/>
    </xf>
    <xf numFmtId="0" fontId="19" fillId="34" borderId="0" xfId="0" applyFont="1" applyFill="1">
      <alignment horizontal="left" vertical="center" wrapText="1"/>
      <protection locked="0"/>
    </xf>
    <xf numFmtId="0" fontId="19" fillId="34" borderId="75" xfId="0" applyFont="1" applyFill="1" applyBorder="1">
      <alignment horizontal="left" vertical="center" wrapText="1"/>
      <protection locked="0"/>
    </xf>
    <xf numFmtId="0" fontId="19" fillId="34" borderId="76" xfId="0" applyFont="1" applyFill="1" applyBorder="1">
      <alignment horizontal="left" vertical="center" wrapText="1"/>
      <protection locked="0"/>
    </xf>
    <xf numFmtId="0" fontId="19" fillId="34" borderId="32"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0" fontId="19" fillId="0" borderId="11" xfId="0" applyFont="1" applyBorder="1">
      <alignment horizontal="center" vertical="center" wrapText="1"/>
    </xf>
    <xf numFmtId="0" fontId="21" fillId="0" borderId="10" xfId="0" applyFont="1" applyBorder="1">
      <alignment horizontal="center" vertical="center" wrapText="1"/>
    </xf>
    <xf numFmtId="0" fontId="21" fillId="0" borderId="16" xfId="0" applyFont="1" applyBorder="1">
      <alignment horizontal="center" vertical="center" wrapText="1"/>
    </xf>
    <xf numFmtId="0" fontId="19" fillId="36" borderId="11" xfId="0" applyFont="1" applyFill="1" applyBorder="1">
      <alignment horizontal="center" vertical="center" wrapText="1"/>
    </xf>
    <xf numFmtId="0" fontId="25" fillId="0" borderId="0" xfId="0" applyFont="1">
      <alignment horizontal="center"/>
    </xf>
    <xf numFmtId="49" fontId="0" fillId="0" borderId="11" xfId="0" applyFont="1" applyBorder="1" applyNumberFormat="1">
      <alignment horizontal="center" vertical="center" wrapText="1"/>
    </xf>
    <xf numFmtId="49" fontId="0" fillId="0" borderId="33" xfId="0" applyFont="1" applyBorder="1" applyNumberFormat="1">
      <alignment horizontal="center" vertical="center" wrapText="1"/>
    </xf>
    <xf numFmtId="49" fontId="0" fillId="0" borderId="78" xfId="0" applyFont="1" applyBorder="1" applyNumberFormat="1">
      <alignment horizontal="center" vertical="center" wrapText="1"/>
    </xf>
    <xf numFmtId="49" fontId="0" fillId="0" borderId="15" xfId="0" applyFont="1" applyBorder="1" applyNumberFormat="1">
      <alignment horizontal="center" vertical="center" wrapText="1"/>
    </xf>
    <xf numFmtId="3" fontId="0" fillId="0" borderId="11" xfId="0" applyFont="1" applyBorder="1" applyNumberFormat="1">
      <alignment horizontal="center" vertical="center" wrapText="1"/>
    </xf>
    <xf numFmtId="0" fontId="19" fillId="0" borderId="16" xfId="0" applyFont="1" applyBorder="1">
      <alignment horizontal="center"/>
    </xf>
    <xf numFmtId="0" fontId="19" fillId="0" borderId="17" xfId="0" applyFont="1" applyBorder="1">
      <alignment horizontal="center"/>
    </xf>
    <xf numFmtId="0" fontId="19" fillId="0" borderId="18" xfId="0" applyFont="1" applyBorder="1">
      <alignment horizontal="center"/>
    </xf>
    <xf numFmtId="0" fontId="21" fillId="0" borderId="11" xfId="0" applyFont="1" applyBorder="1">
      <alignment horizontal="center" vertical="center" wrapText="1"/>
    </xf>
    <xf numFmtId="0" fontId="21" fillId="0" borderId="17" xfId="0" applyFont="1" applyBorder="1">
      <alignment horizontal="center" vertical="center" wrapText="1"/>
    </xf>
    <xf numFmtId="0" fontId="21" fillId="0" borderId="18" xfId="0" applyFont="1" applyBorder="1">
      <alignment horizontal="center" vertical="center" wrapText="1"/>
    </xf>
    <xf numFmtId="0" fontId="21" fillId="11" borderId="11" xfId="0" applyFont="1" applyFill="1" applyBorder="1">
      <alignment horizontal="center" vertical="center" wrapText="1"/>
    </xf>
    <xf numFmtId="0" fontId="19" fillId="34" borderId="16" xfId="0" applyFont="1" applyFill="1" applyBorder="1">
      <alignment horizontal="left" vertical="center" wrapText="1"/>
      <protection locked="0"/>
    </xf>
    <xf numFmtId="0" fontId="19" fillId="34" borderId="18" xfId="0" applyFont="1" applyFill="1" applyBorder="1">
      <alignment horizontal="left" vertical="center" wrapText="1"/>
      <protection locked="0"/>
    </xf>
    <xf numFmtId="0" fontId="19" fillId="0" borderId="0" xfId="0" applyFont="1">
      <alignment horizontal="center" vertical="top"/>
    </xf>
    <xf numFmtId="0" fontId="19" fillId="0" borderId="0" xfId="0" applyFont="1">
      <alignment horizontal="center"/>
    </xf>
    <xf numFmtId="0" fontId="1" fillId="0" borderId="11" xfId="0" applyFont="1" applyBorder="1">
      <alignment vertical="center"/>
    </xf>
    <xf numFmtId="49" fontId="19" fillId="34" borderId="15" xfId="0" applyFont="1" applyFill="1" applyBorder="1" applyNumberFormat="1">
      <alignment horizontal="left" vertical="top" wrapText="1"/>
      <protection locked="0"/>
    </xf>
    <xf numFmtId="49" fontId="71" fillId="34" borderId="15"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49" fontId="19" fillId="34" borderId="17" xfId="0" applyFont="1" applyFill="1" applyBorder="1" applyNumberFormat="1">
      <alignment horizontal="left" vertical="top" wrapText="1"/>
      <protection locked="0"/>
    </xf>
    <xf numFmtId="49" fontId="19" fillId="34" borderId="18" xfId="0" applyFont="1" applyFill="1" applyBorder="1" applyNumberFormat="1">
      <alignment horizontal="left" vertical="top" wrapText="1"/>
      <protection locked="0"/>
    </xf>
    <xf numFmtId="0" fontId="19" fillId="36" borderId="10" xfId="0" applyFont="1" applyFill="1" applyBorder="1">
      <alignment horizontal="center" vertical="center" wrapText="1"/>
    </xf>
    <xf numFmtId="0" fontId="19" fillId="0" borderId="16" xfId="0" applyFont="1" applyBorder="1">
      <alignment horizontal="center" vertical="center" wrapText="1"/>
    </xf>
    <xf numFmtId="0" fontId="19" fillId="0" borderId="17" xfId="0" applyFont="1" applyBorder="1">
      <alignment horizontal="center" vertical="center" wrapText="1"/>
    </xf>
    <xf numFmtId="0" fontId="19" fillId="0" borderId="18" xfId="0" applyFont="1" applyBorder="1">
      <alignment horizontal="center" vertical="center" wrapText="1"/>
    </xf>
    <xf numFmtId="0" fontId="19" fillId="0" borderId="11" xfId="0" applyFont="1" applyBorder="1">
      <alignment horizontal="center" vertical="center"/>
    </xf>
    <xf numFmtId="0" fontId="21" fillId="0" borderId="33" xfId="0" applyFont="1" applyBorder="1">
      <alignment horizontal="center" vertical="center" wrapText="1"/>
    </xf>
    <xf numFmtId="0" fontId="21" fillId="0" borderId="15" xfId="0" applyFont="1" applyBorder="1">
      <alignment horizontal="center" vertical="center" wrapText="1"/>
    </xf>
    <xf numFmtId="49" fontId="43" fillId="0" borderId="22" xfId="0" applyFont="1" applyBorder="1" applyNumberFormat="1" quotePrefix="1">
      <alignment horizontal="left" vertical="center" wrapText="1" indent="1"/>
    </xf>
    <xf numFmtId="49" fontId="43" fillId="0" borderId="22" xfId="0" applyFont="1" applyBorder="1" applyNumberFormat="1">
      <alignment horizontal="left" vertical="center" wrapText="1" indent="1"/>
    </xf>
    <xf numFmtId="0" fontId="21" fillId="0" borderId="79" xfId="0" applyFont="1" applyBorder="1">
      <alignment horizontal="center" vertical="center" wrapText="1"/>
    </xf>
    <xf numFmtId="0" fontId="21" fillId="0" borderId="52" xfId="0" applyFont="1" applyBorder="1">
      <alignment horizontal="center" vertical="center" wrapText="1"/>
    </xf>
    <xf numFmtId="0" fontId="26" fillId="0" borderId="0" xfId="0" applyFont="1">
      <alignment horizontal="center"/>
    </xf>
    <xf numFmtId="49" fontId="53" fillId="0" borderId="67" xfId="0" applyFont="1" applyBorder="1" applyNumberFormat="1">
      <alignment horizontal="center" vertical="top" wrapText="1"/>
    </xf>
    <xf numFmtId="0" fontId="53" fillId="0" borderId="67" xfId="0" applyFont="1" applyBorder="1">
      <alignment horizontal="center" vertical="top" wrapText="1"/>
    </xf>
    <xf numFmtId="0" fontId="79" fillId="0" borderId="11" xfId="0" applyFont="1" applyBorder="1"/>
    <xf numFmtId="0" fontId="19" fillId="0" borderId="0" xfId="0" applyFont="1">
      <alignment horizontal="center" vertical="top" wrapText="1"/>
    </xf>
    <xf numFmtId="0" fontId="19" fillId="0" borderId="0" xfId="0" applyFont="1">
      <alignment horizontal="center" vertical="center" wrapText="1"/>
    </xf>
    <xf numFmtId="0" fontId="80" fillId="0" borderId="11" xfId="0" applyFont="1" applyBorder="1"/>
    <xf numFmtId="0" fontId="71" fillId="0" borderId="11" xfId="0" applyFont="1" applyBorder="1">
      <alignment vertical="center"/>
    </xf>
    <xf numFmtId="0" fontId="60" fillId="0" borderId="11" xfId="0" applyFont="1" applyBorder="1">
      <alignment vertical="center"/>
    </xf>
    <xf numFmtId="49" fontId="81" fillId="34" borderId="15" xfId="0" applyFont="1" applyFill="1" applyBorder="1" applyNumberFormat="1">
      <alignment horizontal="left" vertical="top" wrapText="1"/>
      <protection locked="0"/>
    </xf>
    <xf numFmtId="0" fontId="21" fillId="37" borderId="11" xfId="0" applyFont="1" applyFill="1" applyBorder="1">
      <alignment horizontal="center" vertical="center" wrapText="1"/>
    </xf>
    <xf numFmtId="0" fontId="21" fillId="0" borderId="11" xfId="0" applyFont="1" applyBorder="1">
      <alignment vertical="center" wrapText="1"/>
    </xf>
    <xf numFmtId="0" fontId="21" fillId="0" borderId="11" xfId="0" applyFont="1" applyBorder="1"/>
    <xf numFmtId="49" fontId="19" fillId="34" borderId="11" xfId="0" applyFont="1" applyFill="1" applyBorder="1" applyNumberFormat="1">
      <alignment horizontal="left" vertical="top" wrapText="1"/>
      <protection locked="0"/>
    </xf>
    <xf numFmtId="49" fontId="19" fillId="32" borderId="11" xfId="0" applyFont="1" applyFill="1" applyBorder="1" applyNumberFormat="1">
      <alignment horizontal="left" vertical="top" wrapText="1"/>
    </xf>
    <xf numFmtId="49" fontId="71" fillId="0" borderId="11" xfId="0" applyFont="1" applyBorder="1" applyNumberFormat="1">
      <alignment horizontal="left" vertical="top" wrapText="1"/>
    </xf>
    <xf numFmtId="49" fontId="19" fillId="0" borderId="11" xfId="0" applyFont="1" applyBorder="1" applyNumberFormat="1">
      <alignment horizontal="center" vertical="center" wrapText="1"/>
    </xf>
    <xf numFmtId="49" fontId="71" fillId="34" borderId="11" xfId="0" applyFont="1" applyFill="1" applyBorder="1" applyNumberFormat="1">
      <alignment horizontal="left" vertical="top" wrapText="1"/>
      <protection locked="0"/>
    </xf>
    <xf numFmtId="0" fontId="19" fillId="0" borderId="43" xfId="0" applyFont="1" applyBorder="1">
      <alignment horizontal="center" vertical="center" wrapText="1"/>
    </xf>
    <xf numFmtId="0" fontId="19" fillId="0" borderId="44" xfId="0" applyFont="1" applyBorder="1">
      <alignment horizontal="center" vertical="center" wrapText="1"/>
    </xf>
    <xf numFmtId="0" fontId="19" fillId="0" borderId="31" xfId="0" applyFont="1" applyBorder="1">
      <alignment horizontal="center" vertical="center" wrapText="1"/>
    </xf>
    <xf numFmtId="0" fontId="19" fillId="0" borderId="43" xfId="0" applyFont="1" applyBorder="1">
      <alignment horizontal="right" vertical="center" wrapText="1"/>
    </xf>
    <xf numFmtId="0" fontId="19" fillId="0" borderId="31" xfId="0" applyFont="1" applyBorder="1">
      <alignment horizontal="right" vertical="center" wrapText="1"/>
    </xf>
    <xf numFmtId="49" fontId="41" fillId="43" borderId="16" xfId="0" applyFont="1" applyFill="1" applyBorder="1" applyNumberFormat="1">
      <alignment horizontal="left" vertical="center" indent="1"/>
    </xf>
    <xf numFmtId="49" fontId="41" fillId="43" borderId="17" xfId="0" applyFont="1" applyFill="1" applyBorder="1" applyNumberFormat="1">
      <alignment horizontal="left" vertical="center" indent="1"/>
    </xf>
    <xf numFmtId="0" fontId="19" fillId="34" borderId="11" xfId="0" applyFont="1" applyFill="1" applyBorder="1">
      <alignment horizontal="left" vertical="center" wrapText="1"/>
      <protection locked="0"/>
    </xf>
    <xf numFmtId="0" fontId="1" fillId="0" borderId="0" xfId="0" applyFont="1">
      <alignment horizontal="center" vertical="top"/>
    </xf>
    <xf numFmtId="0" fontId="1" fillId="0" borderId="0" xfId="0" applyFont="1">
      <alignment horizontal="center"/>
    </xf>
    <xf numFmtId="49" fontId="19" fillId="34" borderId="11" xfId="0" applyFont="1" applyFill="1" applyBorder="1" applyNumberFormat="1">
      <alignment horizontal="left" vertical="top" wrapText="1"/>
    </xf>
    <xf numFmtId="49" fontId="19" fillId="34" borderId="30" xfId="0" applyFont="1" applyFill="1" applyBorder="1" applyNumberFormat="1">
      <alignment horizontal="left" vertical="center" wrapText="1"/>
      <protection locked="0"/>
    </xf>
    <xf numFmtId="0" fontId="19" fillId="0" borderId="80" xfId="0" applyFont="1" applyBorder="1">
      <alignment horizontal="center" vertical="center" wrapText="1"/>
    </xf>
    <xf numFmtId="0" fontId="19" fillId="0" borderId="74" xfId="0" applyFont="1" applyBorder="1">
      <alignment horizontal="center" vertical="center" wrapText="1"/>
    </xf>
    <xf numFmtId="0" fontId="19" fillId="0" borderId="20" xfId="0" applyFont="1" applyBorder="1">
      <alignment horizontal="center" vertical="center" wrapText="1"/>
    </xf>
    <xf numFmtId="0" fontId="53" fillId="0" borderId="0" xfId="0" applyFont="1">
      <alignment horizontal="center" vertical="top" wrapText="1"/>
    </xf>
    <xf numFmtId="49" fontId="19" fillId="35" borderId="11" xfId="0" applyFont="1" applyFill="1" applyBorder="1" applyNumberFormat="1">
      <alignment horizontal="left" vertical="center" wrapText="1"/>
      <protection locked="0"/>
    </xf>
    <xf numFmtId="49" fontId="19" fillId="35" borderId="16" xfId="0" applyFont="1" applyFill="1" applyBorder="1" applyNumberFormat="1">
      <alignment horizontal="left" vertical="center" wrapText="1"/>
      <protection locked="0"/>
    </xf>
    <xf numFmtId="49" fontId="19" fillId="34" borderId="35" xfId="0" applyFont="1" applyFill="1" applyBorder="1" applyNumberFormat="1">
      <alignment horizontal="left" vertical="center" wrapText="1"/>
      <protection locked="0"/>
    </xf>
    <xf numFmtId="0" fontId="21" fillId="0" borderId="80" xfId="0" applyFont="1" applyBorder="1">
      <alignment horizontal="center" vertical="center" wrapText="1"/>
    </xf>
    <xf numFmtId="0" fontId="21" fillId="0" borderId="74" xfId="0" applyFont="1" applyBorder="1">
      <alignment horizontal="center" vertical="center" wrapText="1"/>
    </xf>
    <xf numFmtId="0" fontId="21" fillId="0" borderId="20" xfId="0" applyFont="1" applyBorder="1">
      <alignment horizontal="center" vertical="center" wrapText="1"/>
    </xf>
    <xf numFmtId="0" fontId="21" fillId="0" borderId="30" xfId="0" applyFont="1" applyBorder="1">
      <alignment horizontal="center" vertical="center" wrapText="1"/>
    </xf>
    <xf numFmtId="0" fontId="21" fillId="0" borderId="39" xfId="0" applyFont="1" applyBorder="1">
      <alignment horizontal="center" vertical="center" wrapText="1"/>
    </xf>
    <xf numFmtId="0" fontId="43" fillId="0" borderId="22" xfId="0" applyFont="1" applyBorder="1">
      <alignment horizontal="left" vertical="center" wrapText="1" indent="1"/>
    </xf>
    <xf numFmtId="49" fontId="43" fillId="0" borderId="22" xfId="0" applyFont="1" applyBorder="1" applyNumberFormat="1">
      <alignment vertical="center" wrapText="1"/>
    </xf>
    <xf numFmtId="49" fontId="43" fillId="0" borderId="22" xfId="0" applyFont="1" applyBorder="1" applyNumberFormat="1">
      <alignment horizontal="center" vertical="center" wrapText="1"/>
    </xf>
    <xf numFmtId="0" fontId="19" fillId="0" borderId="0" xfId="0" applyFont="1">
      <alignment horizontal="left" vertical="center" wrapText="1"/>
    </xf>
    <xf numFmtId="0" fontId="19" fillId="0" borderId="79" xfId="0" applyFont="1" applyBorder="1">
      <alignment horizontal="center" vertical="center" wrapText="1"/>
    </xf>
    <xf numFmtId="0" fontId="19" fillId="0" borderId="52" xfId="0" applyFont="1" applyBorder="1">
      <alignment horizontal="center" vertical="center" wrapText="1"/>
    </xf>
    <xf numFmtId="0" fontId="19" fillId="35" borderId="11" xfId="0" applyFont="1" applyFill="1" applyBorder="1">
      <alignment horizontal="left" vertical="center" wrapText="1" indent="1"/>
      <protection locked="0"/>
    </xf>
    <xf numFmtId="0" fontId="0" fillId="25" borderId="0" xfId="0" applyFont="1" applyFill="1">
      <alignment horizontal="center" vertical="center"/>
    </xf>
    <xf numFmtId="174" fontId="26" fillId="44" borderId="0" xfId="0" applyFont="1" applyFill="1" applyNumberFormat="1">
      <alignment vertical="center"/>
    </xf>
    <xf numFmtId="0" fontId="19" fillId="0" borderId="21" xfId="0" applyFont="1" applyBorder="1">
      <alignment horizontal="center" vertical="center" textRotation="90" wrapText="1"/>
    </xf>
    <xf numFmtId="0" fontId="19" fillId="0" borderId="10" xfId="0" applyFont="1" applyBorder="1">
      <alignment horizontal="right" vertical="center" wrapText="1" indent="1"/>
    </xf>
    <xf numFmtId="49" fontId="19" fillId="34" borderId="10" xfId="0" applyFont="1" applyFill="1" applyBorder="1" applyNumberFormat="1">
      <alignment horizontal="left" vertical="center" wrapText="1" indent="1"/>
    </xf>
    <xf numFmtId="0" fontId="19" fillId="0" borderId="69" xfId="0" applyFont="1" applyBorder="1">
      <alignment horizontal="center" vertical="center" textRotation="90" wrapText="1"/>
    </xf>
    <xf numFmtId="49" fontId="19" fillId="35" borderId="10" xfId="0" applyFont="1" applyFill="1" applyBorder="1" applyNumberFormat="1">
      <alignment horizontal="left" vertical="center" wrapText="1" indent="1"/>
    </xf>
    <xf numFmtId="175" fontId="21" fillId="35" borderId="10" xfId="0" applyFont="1" applyFill="1" applyBorder="1" applyNumberFormat="1">
      <alignment horizontal="left" vertical="center" wrapText="1" indent="1"/>
    </xf>
    <xf numFmtId="0" fontId="19" fillId="0" borderId="50" xfId="0" applyFont="1" applyBorder="1">
      <alignment horizontal="center" vertical="center" textRotation="90" wrapText="1"/>
    </xf>
    <xf numFmtId="0" fontId="19" fillId="0" borderId="10" xfId="0" applyFont="1" applyBorder="1">
      <alignment horizontal="center" vertical="center" textRotation="90" wrapText="1"/>
    </xf>
    <xf numFmtId="0" fontId="19" fillId="0" borderId="0" xfId="50" applyFont="1">
      <alignment horizontal="left" vertical="center"/>
    </xf>
    <xf numFmtId="0" fontId="1" fillId="0" borderId="0" xfId="0" applyFont="1"/>
    <xf numFmtId="0" fontId="54" fillId="0" borderId="0" xfId="0" applyFont="1">
      <alignment wrapText="1"/>
    </xf>
    <xf numFmtId="0" fontId="19" fillId="0" borderId="0" xfId="0" applyFont="1">
      <alignment horizontal="left" vertical="center"/>
    </xf>
    <xf numFmtId="0" fontId="21" fillId="0" borderId="0" xfId="0" applyFont="1">
      <alignment wrapText="1"/>
    </xf>
    <xf numFmtId="0" fontId="1" fillId="0" borderId="0" xfId="0" applyFont="1">
      <alignment horizontal="center" vertical="center" wrapText="1"/>
    </xf>
    <xf numFmtId="0" fontId="82" fillId="0" borderId="0" xfId="0" applyFont="1">
      <alignment horizontal="center" vertical="top" wrapText="1"/>
    </xf>
    <xf numFmtId="0" fontId="19" fillId="36" borderId="61" xfId="0" applyFont="1" applyFill="1" applyBorder="1">
      <alignment horizontal="center" vertical="center" wrapText="1"/>
    </xf>
    <xf numFmtId="0" fontId="1" fillId="0" borderId="0" xfId="0" applyFont="1">
      <alignment horizontal="center" vertical="center"/>
    </xf>
    <xf numFmtId="49" fontId="41" fillId="57" borderId="81" xfId="0" applyFont="1" applyFill="1" applyBorder="1" applyNumberFormat="1">
      <alignment horizontal="left" vertical="center" wrapText="1" indent="1"/>
    </xf>
    <xf numFmtId="49" fontId="41" fillId="57" borderId="82" xfId="0" applyFont="1" applyFill="1" applyBorder="1" applyNumberFormat="1">
      <alignment vertical="center" wrapText="1"/>
    </xf>
    <xf numFmtId="49" fontId="41" fillId="57" borderId="82" xfId="0" applyFont="1" applyFill="1" applyBorder="1" applyNumberFormat="1">
      <alignment horizontal="left" vertical="center" wrapText="1" indent="1"/>
    </xf>
    <xf numFmtId="49" fontId="41" fillId="57" borderId="83" xfId="0" applyFont="1" applyFill="1" applyBorder="1" applyNumberFormat="1">
      <alignment horizontal="left" vertical="center" wrapText="1" indent="1"/>
    </xf>
    <xf numFmtId="0" fontId="82" fillId="0" borderId="14" xfId="0" applyFont="1" applyBorder="1">
      <alignment horizontal="center" vertical="top" wrapText="1"/>
    </xf>
    <xf numFmtId="0" fontId="21" fillId="35" borderId="10" xfId="0" applyFont="1" applyFill="1" applyBorder="1">
      <alignment horizontal="center" vertical="center" wrapText="1"/>
      <protection locked="0"/>
    </xf>
    <xf numFmtId="49" fontId="41" fillId="57" borderId="84" xfId="0" applyFont="1" applyFill="1" applyBorder="1" applyNumberFormat="1">
      <alignment horizontal="left" vertical="center" wrapText="1" indent="1"/>
    </xf>
    <xf numFmtId="49" fontId="41" fillId="57" borderId="82" xfId="0" applyFont="1" applyFill="1" applyBorder="1" applyNumberFormat="1">
      <alignment vertical="center" wrapText="1"/>
    </xf>
    <xf numFmtId="49" fontId="41" fillId="57" borderId="84" xfId="0" applyFont="1" applyFill="1" applyBorder="1" applyNumberFormat="1">
      <alignment horizontal="left" vertical="center" wrapText="1" indent="1"/>
    </xf>
    <xf numFmtId="49" fontId="41" fillId="57" borderId="82" xfId="0" applyFont="1" applyFill="1" applyBorder="1" applyNumberFormat="1">
      <alignment vertical="center" wrapText="1"/>
    </xf>
    <xf numFmtId="49" fontId="41" fillId="57" borderId="82" xfId="0" applyFont="1" applyFill="1" applyBorder="1" applyNumberFormat="1">
      <alignment horizontal="left" vertical="center" wrapText="1" indent="1"/>
    </xf>
    <xf numFmtId="0" fontId="1" fillId="0" borderId="0" xfId="0" applyFont="1">
      <alignment horizontal="center" vertical="center" wrapText="1"/>
    </xf>
    <xf numFmtId="0" fontId="19" fillId="33" borderId="11" xfId="0" applyFont="1" applyFill="1" applyBorder="1">
      <alignment horizontal="left" vertical="center" wrapText="1"/>
    </xf>
    <xf numFmtId="49" fontId="19" fillId="0" borderId="0" xfId="0" applyFont="1" applyNumberFormat="1">
      <alignment horizontal="left" vertical="center"/>
    </xf>
    <xf numFmtId="49" fontId="82" fillId="0" borderId="85" xfId="0" applyFont="1" applyBorder="1" applyNumberFormat="1">
      <alignment horizontal="center" vertical="top" wrapText="1"/>
    </xf>
    <xf numFmtId="0" fontId="19" fillId="0" borderId="61" xfId="0" applyFont="1" applyBorder="1">
      <alignment horizontal="center" vertical="center"/>
    </xf>
    <xf numFmtId="49" fontId="19" fillId="38" borderId="10" xfId="0" applyFont="1" applyFill="1" applyBorder="1" applyNumberFormat="1">
      <alignment horizontal="left" vertical="center" wrapText="1"/>
    </xf>
    <xf numFmtId="0" fontId="25" fillId="0" borderId="61" xfId="0" applyFont="1" applyBorder="1">
      <alignment horizontal="center" vertical="center"/>
    </xf>
    <xf numFmtId="4" fontId="19" fillId="0" borderId="12" xfId="0" applyFont="1" applyBorder="1" applyNumberFormat="1">
      <alignment horizontal="right" vertical="center"/>
      <protection locked="0"/>
    </xf>
    <xf numFmtId="4" fontId="25" fillId="0" borderId="12" xfId="0" applyFont="1" applyBorder="1" applyNumberFormat="1">
      <alignment horizontal="right" vertical="center"/>
    </xf>
    <xf numFmtId="4" fontId="25" fillId="0" borderId="86" xfId="0" applyFont="1" applyBorder="1" applyNumberFormat="1">
      <alignment horizontal="right" vertical="center"/>
    </xf>
    <xf numFmtId="49" fontId="21" fillId="0" borderId="12" xfId="0" applyFont="1" applyBorder="1" applyNumberFormat="1">
      <alignment horizontal="left" vertical="center" wrapText="1"/>
    </xf>
    <xf numFmtId="0" fontId="19" fillId="36" borderId="11" xfId="0" applyFont="1" applyFill="1" applyBorder="1">
      <alignment horizontal="left" vertical="center" wrapText="1" indent="1"/>
    </xf>
    <xf numFmtId="0" fontId="19" fillId="0" borderId="87" xfId="0" applyFont="1" applyBorder="1">
      <alignment horizontal="center" vertical="center"/>
    </xf>
    <xf numFmtId="0" fontId="19" fillId="0" borderId="61" xfId="0" applyFont="1" applyBorder="1">
      <alignment horizontal="left" vertical="center" wrapText="1" indent="2"/>
    </xf>
    <xf numFmtId="4" fontId="19" fillId="34" borderId="13" xfId="0" applyFont="1" applyFill="1" applyBorder="1" applyNumberFormat="1">
      <alignment horizontal="right" vertical="center"/>
      <protection locked="0"/>
    </xf>
    <xf numFmtId="49" fontId="21" fillId="34" borderId="13" xfId="0" applyFont="1" applyFill="1" applyBorder="1" applyNumberFormat="1">
      <alignment horizontal="left" vertical="center" wrapText="1"/>
      <protection locked="0"/>
    </xf>
    <xf numFmtId="4" fontId="26" fillId="4" borderId="0" xfId="0" applyFont="1" applyFill="1" applyNumberFormat="1"/>
    <xf numFmtId="4" fontId="25" fillId="38" borderId="11" xfId="0" applyFont="1" applyFill="1" applyBorder="1" applyNumberFormat="1">
      <alignment horizontal="right" vertical="center"/>
      <protection locked="0"/>
    </xf>
    <xf numFmtId="4" fontId="25" fillId="34" borderId="11" xfId="0" applyFont="1" applyFill="1" applyBorder="1" applyNumberFormat="1">
      <alignment horizontal="right" vertical="center"/>
      <protection locked="0"/>
    </xf>
    <xf numFmtId="49" fontId="21" fillId="34" borderId="10" xfId="0" applyFont="1" applyFill="1" applyBorder="1" applyNumberFormat="1">
      <alignment horizontal="left" vertical="center" wrapText="1"/>
      <protection locked="0"/>
    </xf>
    <xf numFmtId="0" fontId="82" fillId="0" borderId="85" xfId="0" applyFont="1" applyBorder="1">
      <alignment horizontal="center" vertical="top" wrapText="1"/>
    </xf>
    <xf numFmtId="0" fontId="25" fillId="0" borderId="12" xfId="0" applyFont="1" applyBorder="1">
      <alignment horizontal="center" vertical="center"/>
    </xf>
    <xf numFmtId="4" fontId="25" fillId="0" borderId="61" xfId="0" applyFont="1" applyBorder="1" applyNumberFormat="1">
      <alignment horizontal="right" vertical="center"/>
    </xf>
    <xf numFmtId="49" fontId="19" fillId="38" borderId="21" xfId="0" applyFont="1" applyFill="1" applyBorder="1" applyNumberFormat="1">
      <alignment horizontal="left" vertical="center" wrapText="1"/>
    </xf>
    <xf numFmtId="0" fontId="19" fillId="0" borderId="61" xfId="0" applyFont="1" applyBorder="1">
      <alignment horizontal="left" vertical="center" wrapText="1" indent="1"/>
    </xf>
    <xf numFmtId="4" fontId="25" fillId="34" borderId="13" xfId="0" applyFont="1" applyFill="1" applyBorder="1" applyNumberFormat="1">
      <alignment horizontal="right" vertical="center"/>
      <protection locked="0"/>
    </xf>
    <xf numFmtId="4" fontId="29" fillId="4" borderId="0" xfId="0" applyFont="1" applyFill="1" applyNumberFormat="1"/>
    <xf numFmtId="0" fontId="19" fillId="0" borderId="12" xfId="0" applyFont="1" applyBorder="1">
      <alignment horizontal="left" vertical="center" wrapText="1" indent="2"/>
    </xf>
    <xf numFmtId="0" fontId="19" fillId="0" borderId="86" xfId="0" applyFont="1" applyBorder="1">
      <alignment horizontal="center" vertical="center"/>
    </xf>
    <xf numFmtId="4" fontId="19" fillId="0" borderId="61" xfId="0" applyFont="1" applyBorder="1" applyNumberFormat="1">
      <alignment horizontal="left" vertical="center" indent="3"/>
    </xf>
    <xf numFmtId="0" fontId="41" fillId="57" borderId="87" xfId="0" applyFont="1" applyFill="1" applyBorder="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0" fontId="19" fillId="0" borderId="12" xfId="0" applyFont="1" applyBorder="1">
      <alignment horizontal="left" vertical="center" wrapText="1" indent="1"/>
    </xf>
    <xf numFmtId="4" fontId="19" fillId="34" borderId="61" xfId="0" applyFont="1" applyFill="1" applyBorder="1" applyNumberFormat="1">
      <alignment horizontal="right" vertical="center"/>
      <protection locked="0"/>
    </xf>
    <xf numFmtId="4" fontId="19" fillId="34" borderId="12" xfId="0" applyFont="1" applyFill="1" applyBorder="1" applyNumberFormat="1">
      <alignment horizontal="right" vertical="center"/>
      <protection locked="0"/>
    </xf>
    <xf numFmtId="49" fontId="41" fillId="57" borderId="63" xfId="0" applyFont="1" applyFill="1" applyBorder="1" applyNumberFormat="1">
      <alignment horizontal="left" vertical="center" wrapText="1" indent="1"/>
    </xf>
    <xf numFmtId="49" fontId="41" fillId="57" borderId="89" xfId="0" applyFont="1" applyFill="1" applyBorder="1" applyNumberFormat="1">
      <alignment horizontal="left" vertical="center" wrapText="1" indent="1"/>
    </xf>
    <xf numFmtId="4" fontId="25" fillId="0" borderId="87" xfId="0" applyFont="1" applyBorder="1" applyNumberFormat="1">
      <alignment horizontal="right" vertical="center"/>
    </xf>
    <xf numFmtId="49" fontId="21" fillId="0" borderId="61" xfId="0" applyFont="1" applyBorder="1" applyNumberFormat="1">
      <alignment horizontal="left" vertical="center" wrapText="1"/>
    </xf>
    <xf numFmtId="49" fontId="21" fillId="34" borderId="61" xfId="0" applyFont="1" applyFill="1" applyBorder="1" applyNumberFormat="1">
      <alignment horizontal="left" vertical="center" wrapText="1"/>
      <protection locked="0"/>
    </xf>
    <xf numFmtId="4" fontId="19" fillId="34" borderId="86" xfId="0" applyFont="1" applyFill="1" applyBorder="1" applyNumberFormat="1">
      <alignment horizontal="right" vertical="center"/>
      <protection locked="0"/>
    </xf>
    <xf numFmtId="49" fontId="41" fillId="57" borderId="63" xfId="0" applyFont="1" applyFill="1" applyBorder="1" applyNumberFormat="1">
      <alignment horizontal="left" vertical="center" wrapText="1" indent="1"/>
    </xf>
    <xf numFmtId="0" fontId="25" fillId="0" borderId="61" xfId="0" applyFont="1" applyBorder="1">
      <alignment vertical="center" wrapText="1"/>
    </xf>
    <xf numFmtId="49" fontId="19" fillId="35" borderId="61" xfId="0" applyFont="1" applyFill="1" applyBorder="1" applyNumberFormat="1">
      <alignment horizontal="left" vertical="center" wrapText="1"/>
      <protection locked="0"/>
    </xf>
    <xf numFmtId="49" fontId="41" fillId="57" borderId="63" xfId="0" applyFont="1" applyFill="1" applyBorder="1" applyNumberFormat="1">
      <alignment horizontal="left" vertical="center" wrapText="1" indent="1"/>
    </xf>
    <xf numFmtId="0" fontId="1" fillId="0" borderId="0" xfId="0" applyFont="1"/>
    <xf numFmtId="4" fontId="19" fillId="38" borderId="11" xfId="0" applyFont="1" applyFill="1" applyBorder="1" applyNumberFormat="1">
      <alignment horizontal="right" vertical="center"/>
    </xf>
    <xf numFmtId="4" fontId="19" fillId="38" borderId="11" xfId="0" applyFont="1" applyFill="1" applyBorder="1" applyNumberFormat="1">
      <alignment horizontal="right" vertical="center"/>
    </xf>
    <xf numFmtId="4" fontId="19" fillId="38" borderId="11" xfId="0" applyFont="1" applyFill="1" applyBorder="1" applyNumberFormat="1">
      <alignment horizontal="right" vertical="center"/>
    </xf>
    <xf numFmtId="0" fontId="19" fillId="35" borderId="11" xfId="0" applyFont="1" applyFill="1" applyBorder="1">
      <alignment horizontal="left" vertical="center" wrapText="1" indent="1"/>
      <protection locked="0"/>
    </xf>
    <xf numFmtId="0" fontId="21" fillId="0" borderId="0" xfId="0" applyFont="1"/>
    <xf numFmtId="0" fontId="21" fillId="0" borderId="0" xfId="0" applyFont="1">
      <alignment horizontal="left"/>
    </xf>
    <xf numFmtId="0" fontId="21" fillId="49" borderId="0" xfId="0" applyFont="1" applyFill="1">
      <alignment horizontal="center" vertical="center"/>
    </xf>
    <xf numFmtId="0" fontId="0" fillId="25" borderId="0" xfId="0" applyFont="1" applyFill="1">
      <alignment horizontal="center"/>
    </xf>
    <xf numFmtId="0" fontId="0" fillId="0" borderId="0" xfId="0" applyFont="1">
      <alignment horizontal="left"/>
    </xf>
    <xf numFmtId="0" fontId="0" fillId="0" borderId="0" xfId="0" applyFont="1">
      <alignment horizontal="center" wrapText="1"/>
    </xf>
    <xf numFmtId="0" fontId="0" fillId="0" borderId="0" xfId="0" applyFont="1">
      <alignment horizontal="center"/>
    </xf>
    <xf numFmtId="0" fontId="21" fillId="44" borderId="0" xfId="0" applyFont="1" applyFill="1"/>
    <xf numFmtId="0" fontId="21" fillId="44" borderId="0" xfId="0" applyFont="1" applyFill="1">
      <alignment horizontal="left"/>
    </xf>
    <xf numFmtId="0" fontId="19" fillId="44" borderId="0" xfId="0" applyFont="1" applyFill="1"/>
    <xf numFmtId="0" fontId="21" fillId="44" borderId="0" xfId="0" applyFont="1" applyFill="1">
      <alignment wrapText="1"/>
    </xf>
    <xf numFmtId="0" fontId="21" fillId="44" borderId="0" xfId="0" applyFont="1" applyFill="1"/>
    <xf numFmtId="0" fontId="21" fillId="0" borderId="0" xfId="0" applyFont="1"/>
    <xf numFmtId="0" fontId="21" fillId="4" borderId="0" xfId="0" applyFont="1" applyFill="1"/>
    <xf numFmtId="0" fontId="0" fillId="4" borderId="0" xfId="0" applyFont="1" applyFill="1">
      <alignment horizontal="center"/>
    </xf>
    <xf numFmtId="0" fontId="21" fillId="4" borderId="0" xfId="0" applyFont="1" applyFill="1">
      <alignment horizontal="left"/>
    </xf>
    <xf numFmtId="0" fontId="19" fillId="4" borderId="0" xfId="0" applyFont="1" applyFill="1"/>
    <xf numFmtId="0" fontId="21" fillId="4" borderId="0" xfId="0" applyFont="1" applyFill="1">
      <alignment wrapText="1"/>
    </xf>
    <xf numFmtId="0" fontId="21" fillId="4" borderId="0" xfId="0" applyFont="1" applyFill="1"/>
    <xf numFmtId="0" fontId="19" fillId="0" borderId="0" xfId="0" applyFont="1">
      <alignment vertical="center"/>
    </xf>
    <xf numFmtId="0" fontId="19" fillId="0" borderId="0" xfId="0" applyFont="1">
      <alignment horizontal="left" vertical="center"/>
    </xf>
    <xf numFmtId="0" fontId="0" fillId="0" borderId="0" xfId="0" applyFont="1">
      <alignment horizontal="left" vertical="center"/>
    </xf>
    <xf numFmtId="0" fontId="21" fillId="0" borderId="0" xfId="0" applyFont="1">
      <alignment horizontal="center" vertical="center"/>
    </xf>
    <xf numFmtId="0" fontId="25" fillId="0" borderId="60" xfId="0" applyFont="1" applyBorder="1" quotePrefix="1">
      <alignment horizontal="left" vertical="center" indent="1"/>
    </xf>
    <xf numFmtId="0" fontId="42" fillId="0" borderId="60" xfId="0" applyFont="1" applyBorder="1">
      <alignment vertical="center"/>
    </xf>
    <xf numFmtId="0" fontId="42" fillId="0" borderId="60" xfId="0" applyFont="1" applyBorder="1"/>
    <xf numFmtId="0" fontId="42" fillId="0" borderId="60" xfId="0" applyFont="1" applyBorder="1"/>
    <xf numFmtId="0" fontId="21" fillId="44" borderId="0" xfId="0" applyFont="1" applyFill="1">
      <alignment horizontal="center"/>
    </xf>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33" fillId="0" borderId="0" xfId="0" applyFont="1">
      <alignment vertical="center" wrapText="1"/>
    </xf>
    <xf numFmtId="0" fontId="19" fillId="0" borderId="10" xfId="0" applyFont="1" applyBorder="1">
      <alignment horizontal="center" vertical="center" wrapText="1"/>
    </xf>
    <xf numFmtId="0" fontId="19" fillId="53" borderId="10" xfId="0" applyFont="1" applyFill="1" applyBorder="1">
      <alignment horizontal="center" vertical="center" wrapText="1"/>
    </xf>
    <xf numFmtId="0" fontId="19" fillId="0" borderId="10" xfId="0" applyFont="1" applyBorder="1">
      <alignment horizontal="center" vertical="center" wrapText="1"/>
    </xf>
    <xf numFmtId="0" fontId="21" fillId="0" borderId="10" xfId="0" applyFont="1" applyBorder="1">
      <alignment horizontal="center" vertical="center" wrapText="1"/>
    </xf>
    <xf numFmtId="0" fontId="21" fillId="53" borderId="61" xfId="0" applyFont="1" applyFill="1" applyBorder="1">
      <alignment horizontal="center" vertical="center" wrapText="1"/>
    </xf>
    <xf numFmtId="0" fontId="19" fillId="0" borderId="0" xfId="0" applyFont="1">
      <alignment vertical="top"/>
    </xf>
    <xf numFmtId="0" fontId="0" fillId="0" borderId="0" xfId="0" applyFont="1">
      <alignment horizontal="center" vertical="top"/>
    </xf>
    <xf numFmtId="0" fontId="19" fillId="44" borderId="0" xfId="0" applyFont="1" applyFill="1">
      <alignment vertical="top"/>
    </xf>
    <xf numFmtId="0" fontId="19" fillId="0" borderId="62" xfId="0" applyFont="1" applyBorder="1">
      <alignment horizontal="center" vertical="center" wrapText="1"/>
    </xf>
    <xf numFmtId="0" fontId="21" fillId="0" borderId="0" xfId="0" applyFont="1">
      <alignment vertical="center" wrapText="1"/>
    </xf>
    <xf numFmtId="0" fontId="21" fillId="0" borderId="0" xfId="0" applyFont="1">
      <alignment horizontal="right" vertical="center"/>
    </xf>
    <xf numFmtId="0" fontId="21" fillId="0" borderId="0" xfId="0" applyFont="1">
      <alignment horizontal="right" vertical="center"/>
    </xf>
    <xf numFmtId="0" fontId="0" fillId="0" borderId="0" xfId="0" applyFont="1">
      <alignment horizontal="center" vertical="center" wrapText="1"/>
    </xf>
    <xf numFmtId="0" fontId="21" fillId="44" borderId="0" xfId="0" applyFont="1" applyFill="1">
      <alignment vertical="center" wrapText="1"/>
    </xf>
    <xf numFmtId="0" fontId="21" fillId="0" borderId="0" xfId="0" applyFont="1">
      <alignment horizontal="center" vertical="top" wrapText="1"/>
    </xf>
    <xf numFmtId="0" fontId="21" fillId="0" borderId="0" xfId="0" applyFont="1">
      <alignment horizontal="center" vertical="center" wrapText="1"/>
    </xf>
    <xf numFmtId="0" fontId="40" fillId="42" borderId="62" xfId="0" applyFont="1" applyFill="1" applyBorder="1">
      <alignment horizontal="left" vertical="center"/>
    </xf>
    <xf numFmtId="0" fontId="40" fillId="42" borderId="63" xfId="0" applyFont="1" applyFill="1" applyBorder="1">
      <alignment horizontal="left" vertical="center"/>
    </xf>
    <xf numFmtId="49" fontId="40" fillId="42" borderId="63" xfId="0" applyFont="1" applyFill="1" applyBorder="1" applyNumberFormat="1">
      <alignment horizontal="left" vertical="center" wrapText="1"/>
    </xf>
    <xf numFmtId="49" fontId="40" fillId="42" borderId="63" xfId="0" applyFont="1" applyFill="1" applyBorder="1" applyNumberFormat="1">
      <alignment horizontal="left" vertical="center" wrapText="1"/>
    </xf>
    <xf numFmtId="0" fontId="19" fillId="0" borderId="10" xfId="0" applyFont="1" applyBorder="1">
      <alignment horizontal="center" vertical="center"/>
    </xf>
    <xf numFmtId="0" fontId="21" fillId="0" borderId="10" xfId="0" applyFont="1" applyBorder="1">
      <alignment vertical="center" wrapText="1"/>
    </xf>
    <xf numFmtId="0" fontId="21" fillId="0" borderId="10" xfId="0" applyFont="1" applyBorder="1">
      <alignment horizontal="center" vertical="center"/>
    </xf>
    <xf numFmtId="172" fontId="21" fillId="34" borderId="10" xfId="0" applyFont="1" applyFill="1" applyBorder="1" applyNumberFormat="1">
      <alignment horizontal="right" vertical="center"/>
      <protection locked="0"/>
    </xf>
    <xf numFmtId="172" fontId="21" fillId="34" borderId="10" xfId="0" applyFont="1" applyFill="1" applyBorder="1" applyNumberFormat="1">
      <alignment horizontal="right" vertical="center"/>
      <protection locked="0"/>
    </xf>
    <xf numFmtId="0" fontId="21" fillId="0" borderId="10" xfId="0" applyFont="1" applyBorder="1">
      <alignment horizontal="left" vertical="center" wrapText="1"/>
    </xf>
    <xf numFmtId="0" fontId="21" fillId="0" borderId="0" xfId="0" applyFont="1">
      <alignment wrapText="1"/>
    </xf>
    <xf numFmtId="0" fontId="19" fillId="0" borderId="0" xfId="0" applyFont="1"/>
    <xf numFmtId="49" fontId="19" fillId="0" borderId="0" xfId="0" applyFont="1" applyNumberFormat="1">
      <alignment vertical="top"/>
    </xf>
    <xf numFmtId="49" fontId="21" fillId="34" borderId="10" xfId="0" applyFont="1" applyFill="1" applyBorder="1" applyNumberFormat="1">
      <alignment horizontal="left" vertical="center" wrapText="1"/>
      <protection locked="0"/>
    </xf>
    <xf numFmtId="49" fontId="19" fillId="34" borderId="10" xfId="0" applyFont="1" applyFill="1" applyBorder="1" applyNumberFormat="1">
      <alignment horizontal="right" vertical="center" wrapText="1"/>
      <protection locked="0"/>
    </xf>
    <xf numFmtId="0" fontId="21" fillId="4" borderId="0" xfId="0" applyFont="1" applyFill="1">
      <alignment horizontal="center" vertical="center" wrapText="1"/>
    </xf>
    <xf numFmtId="0" fontId="19" fillId="4" borderId="0" xfId="0" applyFont="1" applyFill="1">
      <alignment vertical="center"/>
    </xf>
    <xf numFmtId="0" fontId="19" fillId="4" borderId="0" xfId="0" applyFont="1" applyFill="1">
      <alignment vertical="top"/>
    </xf>
    <xf numFmtId="0" fontId="21" fillId="0" borderId="0" xfId="0" applyFont="1">
      <alignment horizontal="center" vertical="center" wrapText="1"/>
    </xf>
    <xf numFmtId="0" fontId="1" fillId="0" borderId="0" xfId="0" applyFont="1"/>
    <xf numFmtId="0" fontId="83" fillId="0" borderId="0" xfId="0" applyFont="1">
      <alignment vertical="center" wrapText="1"/>
    </xf>
    <xf numFmtId="0" fontId="31" fillId="0" borderId="0" xfId="0" applyFont="1"/>
    <xf numFmtId="0" fontId="0" fillId="25" borderId="0" xfId="0" applyFont="1" applyFill="1">
      <alignment horizontal="center"/>
    </xf>
    <xf numFmtId="0" fontId="31" fillId="44" borderId="0" xfId="0" applyFont="1" applyFill="1"/>
    <xf numFmtId="0" fontId="47" fillId="4" borderId="11" xfId="0" applyFont="1" applyFill="1" applyBorder="1">
      <alignment horizontal="center" vertical="center"/>
    </xf>
    <xf numFmtId="0" fontId="31" fillId="4" borderId="11" xfId="0" applyFont="1" applyFill="1" applyBorder="1">
      <alignment vertical="center"/>
    </xf>
    <xf numFmtId="0" fontId="31" fillId="4" borderId="11" xfId="0" applyFont="1" applyFill="1" applyBorder="1">
      <alignment vertical="center" wrapText="1"/>
    </xf>
    <xf numFmtId="0" fontId="0" fillId="25" borderId="0" xfId="0" applyFont="1" applyFill="1">
      <alignment horizontal="center"/>
    </xf>
    <xf numFmtId="0" fontId="47" fillId="4" borderId="11" xfId="0" applyFont="1" applyFill="1" applyBorder="1">
      <alignment horizontal="center" vertical="center"/>
    </xf>
    <xf numFmtId="0" fontId="31" fillId="4" borderId="11" xfId="0" applyFont="1" applyFill="1" applyBorder="1">
      <alignment vertical="center"/>
    </xf>
    <xf numFmtId="0" fontId="31" fillId="4" borderId="11" xfId="0" applyFont="1" applyFill="1" applyBorder="1">
      <alignment vertical="center" wrapText="1"/>
    </xf>
    <xf numFmtId="0" fontId="19" fillId="0" borderId="0" xfId="0" applyFont="1"/>
    <xf numFmtId="0" fontId="0" fillId="25" borderId="0" xfId="0" applyFont="1" applyFill="1">
      <alignment horizontal="center"/>
    </xf>
    <xf numFmtId="0" fontId="31" fillId="4" borderId="11" xfId="0" applyFont="1" applyFill="1" applyBorder="1" quotePrefix="1">
      <alignment vertical="center" wrapText="1"/>
    </xf>
    <xf numFmtId="0" fontId="19" fillId="25" borderId="0" xfId="0" applyFont="1" applyFill="1">
      <alignment horizontal="center"/>
    </xf>
    <xf numFmtId="0" fontId="31" fillId="4" borderId="11" xfId="0" applyFont="1" applyFill="1" applyBorder="1" quotePrefix="1">
      <alignment vertical="center" wrapText="1"/>
    </xf>
    <xf numFmtId="0" fontId="19" fillId="38" borderId="11" xfId="0" applyFont="1" applyFill="1" applyBorder="1">
      <alignment horizontal="left" vertical="center" wrapText="1" indent="1"/>
    </xf>
    <xf numFmtId="0" fontId="19" fillId="35" borderId="11" xfId="0" applyFont="1" applyFill="1" applyBorder="1">
      <alignment horizontal="left" vertical="center" wrapText="1" indent="1"/>
      <protection locked="0"/>
    </xf>
    <xf numFmtId="0" fontId="0" fillId="25" borderId="0" xfId="0" applyFont="1" applyFill="1">
      <alignment horizontal="center" vertical="center"/>
    </xf>
    <xf numFmtId="174" fontId="26" fillId="44" borderId="0" xfId="0" applyFont="1" applyFill="1" applyNumberFormat="1">
      <alignment vertical="center"/>
    </xf>
    <xf numFmtId="49" fontId="0" fillId="0" borderId="0" xfId="0" applyFont="1" applyNumberFormat="1">
      <alignment vertical="top"/>
    </xf>
    <xf numFmtId="0" fontId="19" fillId="0" borderId="16" xfId="0" applyFont="1" applyBorder="1">
      <alignment horizontal="right" vertical="center" wrapText="1" indent="1"/>
    </xf>
    <xf numFmtId="0" fontId="19" fillId="0" borderId="17" xfId="0" applyFont="1" applyBorder="1">
      <alignment horizontal="right" vertical="center" wrapText="1" indent="1"/>
    </xf>
    <xf numFmtId="0" fontId="19" fillId="0" borderId="18" xfId="0" applyFont="1" applyBorder="1">
      <alignment horizontal="right" vertical="center" wrapText="1" indent="1"/>
    </xf>
    <xf numFmtId="0" fontId="19" fillId="38" borderId="11" xfId="0" applyFont="1" applyFill="1" applyBorder="1">
      <alignment horizontal="left" vertical="center" wrapText="1" indent="1"/>
    </xf>
    <xf numFmtId="0" fontId="49" fillId="0" borderId="0" xfId="0" applyFont="1">
      <alignment vertical="center" wrapText="1"/>
    </xf>
    <xf numFmtId="0" fontId="25" fillId="38" borderId="10" xfId="0" applyFont="1" applyFill="1" applyBorder="1">
      <alignment horizontal="center" vertical="center"/>
    </xf>
    <xf numFmtId="0" fontId="19" fillId="38" borderId="10" xfId="0" applyFont="1" applyFill="1" applyBorder="1">
      <alignment horizontal="left" vertical="center" wrapText="1" indent="1"/>
    </xf>
    <xf numFmtId="49" fontId="19" fillId="38" borderId="10" xfId="0" applyFont="1" applyFill="1" applyBorder="1" applyNumberFormat="1">
      <alignment horizontal="left" vertical="center" wrapText="1" indent="1"/>
    </xf>
    <xf numFmtId="49" fontId="19" fillId="38" borderId="10" xfId="0" applyFont="1" applyFill="1" applyBorder="1" applyNumberFormat="1">
      <alignment horizontal="left" vertical="center" wrapText="1" indent="1"/>
    </xf>
    <xf numFmtId="0" fontId="19" fillId="38" borderId="10" xfId="0" applyFont="1" applyFill="1" applyBorder="1">
      <alignment horizontal="left" vertical="center" wrapText="1" indent="1"/>
    </xf>
    <xf numFmtId="0" fontId="19" fillId="38" borderId="10" xfId="0" applyFont="1" applyFill="1" applyBorder="1">
      <alignment horizontal="left" vertical="center" wrapText="1" indent="1"/>
    </xf>
    <xf numFmtId="0" fontId="19" fillId="38" borderId="10" xfId="0" applyFont="1" applyFill="1" applyBorder="1">
      <alignment horizontal="left" vertical="center" wrapText="1" indent="1"/>
    </xf>
    <xf numFmtId="0" fontId="19" fillId="38" borderId="10" xfId="0" applyFont="1" applyFill="1" applyBorder="1">
      <alignment horizontal="left" vertical="center" wrapText="1" indent="1"/>
    </xf>
    <xf numFmtId="49" fontId="21" fillId="38" borderId="10" xfId="0" applyFont="1" applyFill="1" applyBorder="1" applyNumberFormat="1">
      <alignment horizontal="left" vertical="center" wrapText="1" indent="1"/>
    </xf>
    <xf numFmtId="49" fontId="84" fillId="34" borderId="10" xfId="0" applyFont="1" applyFill="1" applyBorder="1" applyNumberFormat="1">
      <alignment horizontal="left" vertical="center" wrapText="1" indent="1"/>
      <protection locked="0"/>
    </xf>
    <xf numFmtId="49" fontId="19" fillId="34" borderId="10" xfId="0" applyFont="1" applyFill="1" applyBorder="1" applyNumberFormat="1">
      <alignment horizontal="left" vertical="center" wrapText="1" indent="1"/>
      <protection locked="0"/>
    </xf>
    <xf numFmtId="49" fontId="19" fillId="35" borderId="10" xfId="0" applyFont="1" applyFill="1" applyBorder="1" applyNumberFormat="1">
      <alignment horizontal="left" vertical="center" wrapText="1" indent="1"/>
      <protection locked="0"/>
    </xf>
    <xf numFmtId="175" fontId="21" fillId="35" borderId="10" xfId="0" applyFont="1" applyFill="1" applyBorder="1" applyNumberFormat="1">
      <alignment horizontal="left" vertical="center" wrapText="1" indent="1"/>
      <protection locked="0"/>
    </xf>
    <xf numFmtId="49" fontId="84" fillId="34" borderId="10" xfId="0" applyFont="1" applyFill="1" applyBorder="1" applyNumberFormat="1">
      <alignment horizontal="left" vertical="center" wrapText="1" indent="1"/>
      <protection locked="0"/>
    </xf>
    <xf numFmtId="49" fontId="19" fillId="35" borderId="10" xfId="0" applyFont="1" applyFill="1" applyBorder="1" applyNumberFormat="1">
      <alignment horizontal="left" vertical="center" wrapText="1" indent="1"/>
      <protection locked="0"/>
    </xf>
    <xf numFmtId="49" fontId="84" fillId="35" borderId="10" xfId="0" applyFont="1" applyFill="1" applyBorder="1" applyNumberFormat="1">
      <alignment horizontal="left" vertical="center" wrapText="1" indent="1"/>
      <protection locked="0"/>
    </xf>
    <xf numFmtId="0" fontId="21" fillId="35" borderId="10" xfId="0" applyFont="1" applyFill="1" applyBorder="1">
      <alignment horizontal="left" vertical="center" wrapText="1" indent="1"/>
      <protection locked="0"/>
    </xf>
    <xf numFmtId="175" fontId="21" fillId="34" borderId="10" xfId="0" applyFont="1" applyFill="1" applyBorder="1" applyNumberFormat="1">
      <alignment horizontal="left" vertical="center" wrapText="1" indent="1"/>
      <protection locked="0"/>
    </xf>
    <xf numFmtId="14" fontId="21" fillId="34" borderId="10" xfId="0" applyFont="1" applyFill="1" applyBorder="1" applyNumberFormat="1">
      <alignment horizontal="left" vertical="center" wrapText="1" indent="1"/>
      <protection locked="0"/>
    </xf>
    <xf numFmtId="175" fontId="19" fillId="35" borderId="11" xfId="0" applyFont="1" applyFill="1" applyBorder="1" applyNumberFormat="1">
      <alignment horizontal="left" vertical="center" wrapText="1" indent="1"/>
      <protection locked="0"/>
    </xf>
    <xf numFmtId="174" fontId="19" fillId="44" borderId="0" xfId="0" applyFont="1" applyFill="1" applyNumberFormat="1">
      <alignment vertical="top"/>
    </xf>
    <xf numFmtId="49" fontId="49" fillId="0" borderId="0" xfId="0" applyFont="1" applyNumberFormat="1">
      <alignment vertical="top"/>
    </xf>
    <xf numFmtId="0" fontId="26" fillId="0" borderId="0" xfId="0" applyFont="1">
      <alignment vertical="center"/>
    </xf>
    <xf numFmtId="0" fontId="19" fillId="0" borderId="43" xfId="0" applyFont="1" applyBorder="1">
      <alignment horizontal="right" vertical="center" wrapText="1" indent="1"/>
    </xf>
    <xf numFmtId="0" fontId="19" fillId="0" borderId="44" xfId="0" applyFont="1" applyBorder="1">
      <alignment horizontal="right" vertical="center" wrapText="1" indent="1"/>
    </xf>
    <xf numFmtId="0" fontId="19" fillId="0" borderId="31" xfId="0" applyFont="1" applyBorder="1">
      <alignment horizontal="right" vertical="center" wrapText="1" indent="1"/>
    </xf>
    <xf numFmtId="49" fontId="21" fillId="34" borderId="10" xfId="0" applyFont="1" applyFill="1" applyBorder="1" applyNumberFormat="1">
      <alignment horizontal="left" vertical="center" wrapText="1" indent="1"/>
    </xf>
    <xf numFmtId="49" fontId="68" fillId="0" borderId="0" xfId="0" applyFont="1" applyNumberFormat="1">
      <alignment horizontal="center" vertical="center" wrapText="1"/>
    </xf>
    <xf numFmtId="49" fontId="0" fillId="0" borderId="0" xfId="0" applyFont="1" applyNumberFormat="1">
      <alignment vertical="top"/>
    </xf>
    <xf numFmtId="0" fontId="19" fillId="0" borderId="0" xfId="0" applyFont="1">
      <alignment vertical="top"/>
    </xf>
    <xf numFmtId="0" fontId="19" fillId="44" borderId="0" xfId="0" applyFont="1" applyFill="1">
      <alignment vertical="center" wrapText="1"/>
    </xf>
    <xf numFmtId="0" fontId="19" fillId="0" borderId="0" xfId="0" applyFont="1">
      <alignment vertical="center"/>
    </xf>
    <xf numFmtId="0" fontId="19" fillId="49" borderId="0" xfId="0" applyFont="1" applyFill="1">
      <alignment horizontal="center" vertical="center"/>
    </xf>
    <xf numFmtId="0" fontId="62" fillId="0" borderId="0" xfId="0" applyFont="1">
      <alignment wrapText="1"/>
    </xf>
    <xf numFmtId="0" fontId="19" fillId="0" borderId="0" xfId="0" applyFont="1">
      <alignment horizontal="center" vertical="center" wrapText="1"/>
    </xf>
    <xf numFmtId="0" fontId="21" fillId="0" borderId="0" xfId="0" applyFont="1">
      <alignment horizontal="center" vertical="top" wrapText="1"/>
    </xf>
    <xf numFmtId="0" fontId="73" fillId="0" borderId="0" xfId="0" applyFont="1">
      <alignment horizontal="center" vertical="center" wrapText="1"/>
    </xf>
    <xf numFmtId="0" fontId="73" fillId="0" borderId="0" xfId="0" applyFont="1">
      <alignment vertical="center" wrapText="1"/>
    </xf>
    <xf numFmtId="0" fontId="40" fillId="42" borderId="17" xfId="0" applyFont="1" applyFill="1" applyBorder="1">
      <alignment horizontal="left" vertical="center"/>
    </xf>
    <xf numFmtId="49" fontId="40" fillId="42" borderId="17" xfId="0" applyFont="1" applyFill="1" applyBorder="1" applyNumberFormat="1">
      <alignment horizontal="left" vertical="center" wrapText="1"/>
    </xf>
    <xf numFmtId="0" fontId="19" fillId="0" borderId="0" xfId="0" applyFont="1">
      <alignment vertical="center" wrapText="1"/>
    </xf>
    <xf numFmtId="0" fontId="74" fillId="0" borderId="0" xfId="0" applyFont="1">
      <alignment horizontal="center" vertical="top" wrapText="1"/>
    </xf>
    <xf numFmtId="0" fontId="19" fillId="0" borderId="0" xfId="0" applyFont="1">
      <alignment horizontal="center" wrapText="1"/>
    </xf>
    <xf numFmtId="0" fontId="19" fillId="0" borderId="0" xfId="0" applyFont="1">
      <alignment vertical="center" wrapText="1"/>
    </xf>
    <xf numFmtId="0" fontId="19" fillId="0" borderId="0" xfId="0" applyFont="1">
      <alignment wrapText="1"/>
    </xf>
    <xf numFmtId="0" fontId="53" fillId="0" borderId="0" xfId="0" applyFont="1">
      <alignment horizontal="center" vertical="center" wrapText="1"/>
    </xf>
    <xf numFmtId="0" fontId="19" fillId="0" borderId="54" xfId="0" applyFont="1" applyBorder="1">
      <alignment horizontal="center" vertical="center" wrapText="1"/>
    </xf>
    <xf numFmtId="0" fontId="19" fillId="38" borderId="30" xfId="0" applyFont="1" applyFill="1" applyBorder="1">
      <alignment horizontal="left" vertical="center" wrapText="1" indent="1"/>
    </xf>
    <xf numFmtId="49" fontId="19" fillId="38" borderId="30" xfId="0" applyFont="1" applyFill="1" applyBorder="1" applyNumberFormat="1">
      <alignment horizontal="left" vertical="center" wrapText="1" indent="1"/>
    </xf>
    <xf numFmtId="0" fontId="19" fillId="34" borderId="30" xfId="0" applyFont="1" applyFill="1" applyBorder="1">
      <alignment horizontal="left" vertical="center" wrapText="1" indent="1"/>
    </xf>
    <xf numFmtId="49" fontId="19" fillId="34" borderId="35" xfId="0" applyFont="1" applyFill="1" applyBorder="1" applyNumberFormat="1">
      <alignment horizontal="left" vertical="center" wrapText="1" indent="1"/>
    </xf>
    <xf numFmtId="0" fontId="19" fillId="0" borderId="0" xfId="0" applyFont="1">
      <alignment vertical="center" wrapText="1"/>
    </xf>
    <xf numFmtId="49" fontId="41" fillId="43" borderId="27" xfId="0" applyFont="1" applyFill="1" applyBorder="1" applyNumberFormat="1">
      <alignment horizontal="left" vertical="center" wrapText="1" indent="1"/>
    </xf>
    <xf numFmtId="49" fontId="41" fillId="43" borderId="28" xfId="0" applyFont="1" applyFill="1" applyBorder="1" applyNumberFormat="1">
      <alignment horizontal="left" vertical="center" indent="1"/>
    </xf>
    <xf numFmtId="49" fontId="41" fillId="43" borderId="28" xfId="0" applyFont="1" applyFill="1" applyBorder="1" applyNumberFormat="1">
      <alignment horizontal="left" vertical="center" wrapText="1" indent="1"/>
    </xf>
    <xf numFmtId="49" fontId="41" fillId="43" borderId="29" xfId="0" applyFont="1" applyFill="1" applyBorder="1" applyNumberFormat="1">
      <alignment horizontal="left" vertical="center" wrapText="1" indent="1"/>
    </xf>
    <xf numFmtId="0" fontId="19" fillId="34" borderId="30" xfId="0" applyFont="1" applyFill="1" applyBorder="1">
      <alignment horizontal="left" vertical="center" wrapText="1" indent="1"/>
      <protection locked="0"/>
    </xf>
    <xf numFmtId="49" fontId="19" fillId="34" borderId="35" xfId="0" applyFont="1" applyFill="1" applyBorder="1" applyNumberFormat="1">
      <alignment horizontal="left" vertical="center" wrapText="1" indent="1"/>
      <protection locked="0"/>
    </xf>
    <xf numFmtId="49" fontId="41" fillId="43" borderId="27" xfId="0" applyFont="1" applyFill="1" applyBorder="1" applyNumberFormat="1">
      <alignment horizontal="left" vertical="center" wrapText="1" indent="1"/>
    </xf>
    <xf numFmtId="49" fontId="41" fillId="43" borderId="28" xfId="0" applyFont="1" applyFill="1" applyBorder="1" applyNumberFormat="1">
      <alignment horizontal="left" vertical="center"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9" xfId="0" applyFont="1" applyFill="1" applyBorder="1" applyNumberFormat="1">
      <alignment horizontal="left" vertical="center" wrapText="1" indent="1"/>
    </xf>
    <xf numFmtId="49" fontId="41" fillId="43" borderId="27" xfId="0" applyFont="1" applyFill="1" applyBorder="1" applyNumberFormat="1">
      <alignment horizontal="left" vertical="center" wrapText="1" indent="1"/>
    </xf>
    <xf numFmtId="49" fontId="41" fillId="43" borderId="28" xfId="0" applyFont="1" applyFill="1" applyBorder="1" applyNumberFormat="1">
      <alignment horizontal="left" vertical="center"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9" xfId="0" applyFont="1" applyFill="1" applyBorder="1" applyNumberFormat="1">
      <alignment horizontal="left" vertical="center" wrapText="1" indent="1"/>
    </xf>
    <xf numFmtId="49" fontId="41" fillId="43" borderId="27" xfId="0" applyFont="1" applyFill="1" applyBorder="1" applyNumberFormat="1">
      <alignment horizontal="left" vertical="center" wrapText="1" indent="1"/>
    </xf>
    <xf numFmtId="49" fontId="41" fillId="43" borderId="28" xfId="0" applyFont="1" applyFill="1" applyBorder="1" applyNumberFormat="1">
      <alignment horizontal="left" vertical="center"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9" xfId="0" applyFont="1" applyFill="1" applyBorder="1" applyNumberFormat="1">
      <alignment horizontal="left" vertical="center" wrapText="1" indent="1"/>
    </xf>
    <xf numFmtId="49" fontId="41" fillId="43" borderId="27" xfId="0" applyFont="1" applyFill="1" applyBorder="1" applyNumberFormat="1">
      <alignment horizontal="left" vertical="center" wrapText="1" indent="1"/>
    </xf>
    <xf numFmtId="49" fontId="41" fillId="43" borderId="28" xfId="0" applyFont="1" applyFill="1" applyBorder="1" applyNumberFormat="1">
      <alignment horizontal="left" vertical="center"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9" xfId="0" applyFont="1" applyFill="1" applyBorder="1" applyNumberFormat="1">
      <alignment horizontal="left" vertical="center" wrapText="1" indent="1"/>
    </xf>
    <xf numFmtId="49" fontId="0" fillId="0" borderId="0" xfId="0" applyFont="1" applyNumberFormat="1">
      <alignment vertical="top"/>
    </xf>
    <xf numFmtId="0" fontId="0" fillId="0" borderId="0" xfId="0" applyFont="1">
      <alignment horizontal="center"/>
    </xf>
    <xf numFmtId="0" fontId="21" fillId="44" borderId="0" xfId="0" applyFont="1" applyFill="1">
      <alignment horizontal="center"/>
    </xf>
    <xf numFmtId="0" fontId="21" fillId="0" borderId="0" xfId="0" applyFont="1"/>
    <xf numFmtId="0" fontId="19" fillId="40" borderId="0" xfId="0" applyFont="1" applyFill="1"/>
    <xf numFmtId="0" fontId="21" fillId="49" borderId="0" xfId="0" applyFont="1" applyFill="1">
      <alignment horizontal="center" vertical="center"/>
    </xf>
    <xf numFmtId="0" fontId="21" fillId="0" borderId="0" xfId="0" applyFont="1">
      <alignment horizontal="center" vertical="center"/>
    </xf>
    <xf numFmtId="0" fontId="21" fillId="0" borderId="0" xfId="0" applyFont="1">
      <alignment horizontal="center"/>
    </xf>
    <xf numFmtId="0" fontId="21" fillId="4" borderId="0" xfId="0" applyFont="1" applyFill="1"/>
    <xf numFmtId="0" fontId="21" fillId="44" borderId="0" xfId="0" applyFont="1" applyFill="1"/>
    <xf numFmtId="0" fontId="0" fillId="25" borderId="0" xfId="0" applyFont="1" applyFill="1">
      <alignment horizontal="center" vertical="center" wrapText="1"/>
    </xf>
    <xf numFmtId="0" fontId="32" fillId="0" borderId="0" xfId="0" applyFont="1">
      <alignment vertical="center"/>
    </xf>
    <xf numFmtId="0" fontId="32" fillId="0" borderId="0" xfId="0" applyFont="1"/>
    <xf numFmtId="0" fontId="21" fillId="0" borderId="11" xfId="0" applyFont="1" applyBorder="1">
      <alignment horizontal="center" vertical="center"/>
    </xf>
    <xf numFmtId="49" fontId="19" fillId="0" borderId="31" xfId="0" applyFont="1" applyBorder="1" applyNumberFormat="1">
      <alignment vertical="center" wrapText="1"/>
    </xf>
    <xf numFmtId="49" fontId="19" fillId="0" borderId="10" xfId="0" applyFont="1" applyBorder="1" applyNumberFormat="1">
      <alignment horizontal="center" vertical="center"/>
    </xf>
    <xf numFmtId="3" fontId="19" fillId="34" borderId="10" xfId="0" applyFont="1" applyFill="1" applyBorder="1" applyNumberFormat="1">
      <alignment horizontal="right" vertical="center"/>
    </xf>
    <xf numFmtId="49" fontId="19" fillId="34" borderId="11" xfId="0" applyFont="1" applyFill="1" applyBorder="1" applyNumberFormat="1">
      <alignment horizontal="left" vertical="center" wrapText="1"/>
    </xf>
    <xf numFmtId="4" fontId="19" fillId="34"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0" fontId="32" fillId="44" borderId="0" xfId="0" applyFont="1" applyFill="1">
      <alignment horizontal="center"/>
    </xf>
    <xf numFmtId="49" fontId="53" fillId="0" borderId="0" xfId="0" applyFont="1" applyNumberFormat="1">
      <alignment horizontal="center" vertical="center" wrapText="1"/>
    </xf>
    <xf numFmtId="49" fontId="19" fillId="35" borderId="11" xfId="0" applyFont="1" applyFill="1" applyBorder="1" applyNumberFormat="1">
      <alignment horizontal="left" vertical="center" wrapText="1"/>
    </xf>
    <xf numFmtId="49" fontId="19" fillId="35" borderId="11" xfId="0" applyFont="1" applyFill="1" applyBorder="1" applyNumberFormat="1">
      <alignment horizontal="center" vertical="center" wrapText="1"/>
    </xf>
    <xf numFmtId="4" fontId="19" fillId="34" borderId="10" xfId="0" applyFont="1" applyFill="1" applyBorder="1" applyNumberFormat="1">
      <alignment horizontal="right" vertical="center"/>
    </xf>
    <xf numFmtId="49" fontId="19" fillId="34" borderId="11" xfId="0" applyFont="1" applyFill="1" applyBorder="1" applyNumberFormat="1">
      <alignment horizontal="left" vertical="center" wrapText="1"/>
    </xf>
    <xf numFmtId="0" fontId="32" fillId="4" borderId="0" xfId="0" applyFont="1" applyFill="1"/>
    <xf numFmtId="49" fontId="32" fillId="4" borderId="0" xfId="0" applyFont="1" applyFill="1" applyNumberFormat="1"/>
    <xf numFmtId="0" fontId="32" fillId="44" borderId="0" xfId="0" applyFont="1" applyFill="1"/>
    <xf numFmtId="49" fontId="19" fillId="0" borderId="0" xfId="0" applyFont="1" applyNumberFormat="1">
      <alignment horizontal="right" vertical="center" wrapText="1"/>
    </xf>
    <xf numFmtId="49" fontId="41" fillId="43" borderId="28" xfId="0" applyFont="1" applyFill="1" applyBorder="1" applyNumberFormat="1">
      <alignment horizontal="left" vertical="center"/>
    </xf>
    <xf numFmtId="49" fontId="41" fillId="43" borderId="34" xfId="0" applyFont="1" applyFill="1" applyBorder="1" applyNumberFormat="1">
      <alignment horizontal="left" vertical="center" wrapText="1" indent="1"/>
    </xf>
    <xf numFmtId="49" fontId="21" fillId="0" borderId="0" xfId="0" applyFont="1" applyNumberFormat="1"/>
    <xf numFmtId="49" fontId="19" fillId="34" borderId="43" xfId="0" applyFont="1" applyFill="1" applyBorder="1" applyNumberFormat="1">
      <alignment horizontal="left" vertical="center" wrapText="1"/>
    </xf>
    <xf numFmtId="49" fontId="19" fillId="34" borderId="44" xfId="0" applyFont="1" applyFill="1" applyBorder="1" applyNumberFormat="1">
      <alignment horizontal="left" vertical="center" wrapText="1"/>
    </xf>
    <xf numFmtId="49" fontId="19" fillId="34" borderId="31" xfId="0" applyFont="1" applyFill="1" applyBorder="1" applyNumberFormat="1">
      <alignment horizontal="left" vertical="center" wrapText="1"/>
    </xf>
    <xf numFmtId="3" fontId="19" fillId="34" borderId="10" xfId="0" applyFont="1" applyFill="1" applyBorder="1" applyNumberFormat="1">
      <alignment horizontal="right" vertical="center"/>
      <protection locked="0"/>
    </xf>
    <xf numFmtId="49" fontId="19" fillId="34" borderId="11" xfId="0" applyFont="1" applyFill="1" applyBorder="1" applyNumberFormat="1">
      <alignment horizontal="left" vertical="center" wrapText="1"/>
      <protection locked="0"/>
    </xf>
    <xf numFmtId="49" fontId="41" fillId="43" borderId="27" xfId="0" applyFont="1" applyFill="1" applyBorder="1" applyNumberFormat="1">
      <alignment horizontal="left" vertical="center" wrapText="1" indent="1"/>
    </xf>
    <xf numFmtId="49" fontId="41" fillId="43" borderId="28" xfId="0" applyFont="1" applyFill="1" applyBorder="1" applyNumberFormat="1">
      <alignment horizontal="left" vertical="center"/>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34" xfId="0" applyFont="1" applyFill="1" applyBorder="1" applyNumberFormat="1">
      <alignment horizontal="left" vertical="center" wrapText="1" indent="1"/>
    </xf>
    <xf numFmtId="49" fontId="19" fillId="34" borderId="43" xfId="0" applyFont="1" applyFill="1" applyBorder="1" applyNumberFormat="1">
      <alignment horizontal="left" vertical="center" wrapText="1"/>
      <protection locked="0"/>
    </xf>
    <xf numFmtId="49" fontId="41" fillId="43" borderId="27" xfId="0" applyFont="1" applyFill="1" applyBorder="1" applyNumberFormat="1">
      <alignment horizontal="left" vertical="center" wrapText="1" indent="1"/>
    </xf>
    <xf numFmtId="49" fontId="41" fillId="43" borderId="28" xfId="0" applyFont="1" applyFill="1" applyBorder="1" applyNumberFormat="1">
      <alignment horizontal="left" vertical="center"/>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34" xfId="0" applyFont="1" applyFill="1" applyBorder="1" applyNumberFormat="1">
      <alignment horizontal="left" vertical="center" wrapText="1" indent="1"/>
    </xf>
    <xf numFmtId="49" fontId="41" fillId="43" borderId="27" xfId="0" applyFont="1" applyFill="1" applyBorder="1" applyNumberFormat="1">
      <alignment horizontal="left" vertical="center" wrapText="1" indent="1"/>
    </xf>
    <xf numFmtId="49" fontId="41" fillId="43" borderId="28" xfId="0" applyFont="1" applyFill="1" applyBorder="1" applyNumberFormat="1">
      <alignment horizontal="left" vertical="center"/>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34" xfId="0" applyFont="1" applyFill="1" applyBorder="1" applyNumberFormat="1">
      <alignment horizontal="left" vertical="center" wrapText="1" indent="1"/>
    </xf>
    <xf numFmtId="49" fontId="41" fillId="43" borderId="27" xfId="0" applyFont="1" applyFill="1" applyBorder="1" applyNumberFormat="1">
      <alignment horizontal="left" vertical="center" wrapText="1" indent="1"/>
    </xf>
    <xf numFmtId="49" fontId="41" fillId="43" borderId="28" xfId="0" applyFont="1" applyFill="1" applyBorder="1" applyNumberFormat="1">
      <alignment horizontal="left" vertical="center"/>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34" xfId="0" applyFont="1" applyFill="1" applyBorder="1" applyNumberFormat="1">
      <alignment horizontal="left" vertical="center" wrapText="1" indent="1"/>
    </xf>
    <xf numFmtId="0" fontId="0" fillId="0" borderId="0" xfId="0" applyFont="1">
      <alignment horizontal="center" vertical="center"/>
    </xf>
    <xf numFmtId="0" fontId="21" fillId="44" borderId="0" xfId="0" applyFont="1" applyFill="1">
      <alignment vertical="center"/>
    </xf>
    <xf numFmtId="0" fontId="19" fillId="0" borderId="0" xfId="0" applyFont="1">
      <alignment vertical="top"/>
    </xf>
    <xf numFmtId="0" fontId="19" fillId="0" borderId="0" xfId="0" applyFont="1">
      <alignment vertical="center"/>
    </xf>
    <xf numFmtId="0" fontId="21" fillId="0" borderId="0" xfId="0" applyFont="1">
      <alignment vertical="center"/>
    </xf>
    <xf numFmtId="0" fontId="19" fillId="34" borderId="73" xfId="0" applyFont="1" applyFill="1" applyBorder="1">
      <alignment horizontal="left" vertical="center" wrapText="1"/>
    </xf>
    <xf numFmtId="0" fontId="19" fillId="34" borderId="17" xfId="0" applyFont="1" applyFill="1" applyBorder="1">
      <alignment horizontal="left" vertical="center" wrapText="1"/>
    </xf>
    <xf numFmtId="0" fontId="19" fillId="34" borderId="55" xfId="0" applyFont="1" applyFill="1" applyBorder="1">
      <alignment horizontal="left" vertical="center" wrapText="1"/>
    </xf>
    <xf numFmtId="49" fontId="19" fillId="0" borderId="0" xfId="0" applyFont="1" applyNumberFormat="1">
      <alignment vertical="top"/>
    </xf>
    <xf numFmtId="49" fontId="19" fillId="4" borderId="0" xfId="0" applyFont="1" applyFill="1" applyNumberFormat="1">
      <alignment vertical="top"/>
    </xf>
    <xf numFmtId="49" fontId="19" fillId="44" borderId="0" xfId="0" applyFont="1" applyFill="1" applyNumberFormat="1">
      <alignment vertical="top"/>
    </xf>
    <xf numFmtId="49" fontId="19" fillId="44" borderId="0" xfId="0" applyFont="1" applyFill="1" applyNumberFormat="1">
      <alignment horizontal="center" vertical="top"/>
    </xf>
    <xf numFmtId="0" fontId="21" fillId="0" borderId="0" xfId="0" applyFont="1">
      <alignment horizontal="center" vertical="top"/>
    </xf>
    <xf numFmtId="0" fontId="19" fillId="0" borderId="0" xfId="0" applyFont="1"/>
    <xf numFmtId="0" fontId="19" fillId="0" borderId="11" xfId="0" applyFont="1" applyBorder="1">
      <alignment horizontal="center" vertical="center"/>
    </xf>
    <xf numFmtId="49" fontId="19" fillId="38" borderId="11" xfId="0" applyFont="1" applyFill="1" applyBorder="1" applyNumberFormat="1">
      <alignment horizontal="left" vertical="center" wrapText="1" indent="1"/>
    </xf>
    <xf numFmtId="0" fontId="19" fillId="4" borderId="0" xfId="0" applyFont="1" applyFill="1"/>
    <xf numFmtId="0" fontId="19" fillId="44" borderId="0" xfId="0" applyFont="1" applyFill="1"/>
    <xf numFmtId="49" fontId="41" fillId="43" borderId="28" xfId="0" applyFont="1" applyFill="1" applyBorder="1" applyNumberFormat="1">
      <alignment vertical="center" wrapText="1"/>
    </xf>
    <xf numFmtId="49" fontId="19" fillId="34" borderId="11" xfId="0" applyFont="1" applyFill="1" applyBorder="1" applyNumberFormat="1">
      <alignment horizontal="left" vertical="center" wrapText="1"/>
    </xf>
    <xf numFmtId="49" fontId="19" fillId="34" borderId="11" xfId="0" applyFont="1" applyFill="1" applyBorder="1" applyNumberFormat="1">
      <alignment horizontal="left" vertical="center" wrapText="1"/>
      <protection locked="0"/>
    </xf>
    <xf numFmtId="49" fontId="41" fillId="43" borderId="27" xfId="0" applyFont="1" applyFill="1" applyBorder="1" applyNumberFormat="1">
      <alignment horizontal="left" vertical="center" wrapText="1" indent="1"/>
    </xf>
    <xf numFmtId="49" fontId="41" fillId="43" borderId="28" xfId="0" applyFont="1" applyFill="1" applyBorder="1" applyNumberFormat="1">
      <alignment vertical="center" wrapTex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34" xfId="0" applyFont="1" applyFill="1" applyBorder="1" applyNumberFormat="1">
      <alignment horizontal="left" vertical="center" wrapText="1" indent="1"/>
    </xf>
    <xf numFmtId="49" fontId="19" fillId="34" borderId="11" xfId="0" applyFont="1" applyFill="1" applyBorder="1" applyNumberFormat="1">
      <alignment horizontal="left" vertical="center" wrapText="1"/>
    </xf>
    <xf numFmtId="49" fontId="19" fillId="34" borderId="11" xfId="0" applyFont="1" applyFill="1" applyBorder="1" applyNumberFormat="1">
      <alignment horizontal="left" vertical="center" wrapText="1"/>
      <protection locked="0"/>
    </xf>
    <xf numFmtId="49" fontId="41" fillId="43" borderId="27" xfId="0" applyFont="1" applyFill="1" applyBorder="1" applyNumberFormat="1">
      <alignment horizontal="left" vertical="center" wrapText="1" indent="1"/>
    </xf>
    <xf numFmtId="49" fontId="41" fillId="43" borderId="28" xfId="0" applyFont="1" applyFill="1" applyBorder="1" applyNumberFormat="1">
      <alignment vertical="center" wrapTex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34" xfId="0" applyFont="1" applyFill="1" applyBorder="1" applyNumberFormat="1">
      <alignment horizontal="left" vertical="center" wrapText="1" indent="1"/>
    </xf>
    <xf numFmtId="49" fontId="19" fillId="34" borderId="11" xfId="0" applyFont="1" applyFill="1" applyBorder="1" applyNumberFormat="1">
      <alignment horizontal="left" vertical="center" wrapText="1"/>
    </xf>
    <xf numFmtId="49" fontId="19" fillId="34" borderId="11" xfId="0" applyFont="1" applyFill="1" applyBorder="1" applyNumberFormat="1">
      <alignment horizontal="left" vertical="center" wrapText="1"/>
      <protection locked="0"/>
    </xf>
    <xf numFmtId="49" fontId="41" fillId="43" borderId="27" xfId="0" applyFont="1" applyFill="1" applyBorder="1" applyNumberFormat="1">
      <alignment horizontal="left" vertical="center" wrapText="1" indent="1"/>
    </xf>
    <xf numFmtId="49" fontId="41" fillId="43" borderId="28" xfId="0" applyFont="1" applyFill="1" applyBorder="1" applyNumberFormat="1">
      <alignment vertical="center" wrapTex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34" xfId="0" applyFont="1" applyFill="1" applyBorder="1" applyNumberFormat="1">
      <alignment horizontal="left" vertical="center" wrapText="1" indent="1"/>
    </xf>
    <xf numFmtId="49" fontId="19" fillId="34" borderId="11" xfId="0" applyFont="1" applyFill="1" applyBorder="1" applyNumberFormat="1">
      <alignment horizontal="left" vertical="center" wrapText="1"/>
    </xf>
    <xf numFmtId="49" fontId="19" fillId="34" borderId="11" xfId="0" applyFont="1" applyFill="1" applyBorder="1" applyNumberFormat="1">
      <alignment horizontal="left" vertical="center" wrapText="1"/>
      <protection locked="0"/>
    </xf>
    <xf numFmtId="49" fontId="41" fillId="43" borderId="27" xfId="0" applyFont="1" applyFill="1" applyBorder="1" applyNumberFormat="1">
      <alignment horizontal="left" vertical="center" wrapText="1" indent="1"/>
    </xf>
    <xf numFmtId="49" fontId="41" fillId="43" borderId="28" xfId="0" applyFont="1" applyFill="1" applyBorder="1" applyNumberFormat="1">
      <alignment vertical="center" wrapTex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34" xfId="0" applyFont="1" applyFill="1" applyBorder="1" applyNumberFormat="1">
      <alignment horizontal="left" vertical="center" wrapText="1" indent="1"/>
    </xf>
    <xf numFmtId="0" fontId="42" fillId="0" borderId="22" xfId="0" applyFont="1" applyBorder="1"/>
    <xf numFmtId="0" fontId="19" fillId="11" borderId="10" xfId="0" applyFont="1" applyFill="1" applyBorder="1">
      <alignment horizontal="center" vertical="center" wrapText="1"/>
    </xf>
    <xf numFmtId="0" fontId="19" fillId="0" borderId="10" xfId="0" applyFont="1" applyBorder="1">
      <alignment horizontal="center" vertical="center" wrapText="1"/>
    </xf>
    <xf numFmtId="4" fontId="21" fillId="34" borderId="10" xfId="0" applyFont="1" applyFill="1" applyBorder="1" applyNumberFormat="1">
      <alignment horizontal="right" vertical="center"/>
      <protection locked="0"/>
    </xf>
    <xf numFmtId="4" fontId="21" fillId="34" borderId="10" xfId="0" applyFont="1" applyFill="1" applyBorder="1" applyNumberFormat="1">
      <alignment horizontal="right" vertical="center"/>
    </xf>
    <xf numFmtId="0" fontId="21" fillId="0" borderId="0" xfId="0" applyFont="1">
      <alignment horizontal="right" vertical="center"/>
    </xf>
    <xf numFmtId="0" fontId="0" fillId="0" borderId="0" xfId="0" applyFont="1">
      <alignment horizontal="center" vertical="center" wrapText="1"/>
    </xf>
    <xf numFmtId="0" fontId="21" fillId="44" borderId="0" xfId="0" applyFont="1" applyFill="1">
      <alignment vertical="center" wrapText="1"/>
    </xf>
    <xf numFmtId="0" fontId="21" fillId="0" borderId="0" xfId="0" applyFont="1">
      <alignment horizontal="left"/>
    </xf>
    <xf numFmtId="0" fontId="21" fillId="0" borderId="0" xfId="0" applyFont="1">
      <alignment vertical="center" wrapText="1"/>
    </xf>
    <xf numFmtId="0" fontId="21" fillId="0" borderId="0" xfId="0" applyFont="1">
      <alignment horizontal="center" vertical="center" wrapText="1"/>
    </xf>
    <xf numFmtId="0" fontId="40" fillId="42" borderId="32" xfId="0" applyFont="1" applyFill="1" applyBorder="1">
      <alignment horizontal="left" vertical="center"/>
    </xf>
    <xf numFmtId="0" fontId="21" fillId="4" borderId="0" xfId="0" applyFont="1" applyFill="1">
      <alignment vertical="center" wrapText="1"/>
    </xf>
    <xf numFmtId="0" fontId="19" fillId="0" borderId="0" xfId="0" applyFont="1">
      <alignment horizontal="left" vertical="center"/>
    </xf>
    <xf numFmtId="49" fontId="44" fillId="44" borderId="43" xfId="0" applyFont="1" applyFill="1" applyBorder="1" applyNumberFormat="1">
      <alignment horizontal="left" vertical="center" indent="1"/>
    </xf>
    <xf numFmtId="49" fontId="19" fillId="44" borderId="44" xfId="0" applyFont="1" applyFill="1" applyBorder="1" applyNumberFormat="1">
      <alignment horizontal="left" vertical="center" indent="1"/>
    </xf>
    <xf numFmtId="49" fontId="44" fillId="44" borderId="44" xfId="0" applyFont="1" applyFill="1" applyBorder="1" applyNumberFormat="1">
      <alignment horizontal="left" vertical="center" indent="1"/>
    </xf>
    <xf numFmtId="0" fontId="45" fillId="44" borderId="44" xfId="0" applyFont="1" applyFill="1" applyBorder="1">
      <alignment horizontal="left" vertical="center" indent="1"/>
    </xf>
    <xf numFmtId="0" fontId="19" fillId="0" borderId="10" xfId="0" applyFont="1" applyBorder="1">
      <alignment horizontal="center" vertical="center"/>
    </xf>
    <xf numFmtId="0" fontId="21" fillId="37" borderId="10" xfId="0" applyFont="1" applyFill="1" applyBorder="1">
      <alignment horizontal="left" vertical="center" wrapText="1"/>
    </xf>
    <xf numFmtId="0" fontId="21" fillId="0" borderId="10" xfId="0" applyFont="1" applyBorder="1">
      <alignment horizontal="center" vertical="center"/>
    </xf>
    <xf numFmtId="172" fontId="21" fillId="34" borderId="10" xfId="0" applyFont="1" applyFill="1" applyBorder="1" applyNumberFormat="1">
      <alignment horizontal="right" vertical="center"/>
    </xf>
    <xf numFmtId="49" fontId="21" fillId="34" borderId="10" xfId="0" applyFont="1" applyFill="1" applyBorder="1" applyNumberFormat="1">
      <alignment horizontal="left" vertical="center" wrapText="1"/>
    </xf>
    <xf numFmtId="173" fontId="0" fillId="38" borderId="10" xfId="0" applyFont="1" applyFill="1" applyBorder="1" applyNumberFormat="1">
      <alignment horizontal="right" vertical="center"/>
    </xf>
    <xf numFmtId="172" fontId="0" fillId="38" borderId="10" xfId="0" applyFont="1" applyFill="1" applyBorder="1" applyNumberFormat="1">
      <alignment horizontal="right" vertical="center"/>
    </xf>
    <xf numFmtId="0" fontId="21" fillId="0" borderId="10" xfId="0" applyFont="1" applyBorder="1">
      <alignment vertical="center" wrapText="1"/>
    </xf>
    <xf numFmtId="0" fontId="21" fillId="0" borderId="10" xfId="0" applyFont="1" applyBorder="1">
      <alignment horizontal="left" vertical="center" wrapText="1"/>
    </xf>
    <xf numFmtId="0" fontId="21" fillId="0" borderId="0" xfId="0" applyFont="1"/>
    <xf numFmtId="0" fontId="21" fillId="44" borderId="0" xfId="0" applyFont="1" applyFill="1"/>
    <xf numFmtId="0" fontId="19" fillId="0" borderId="0" xfId="0" applyFont="1">
      <alignment horizontal="left" vertical="center"/>
    </xf>
    <xf numFmtId="0" fontId="21" fillId="4" borderId="0" xfId="0" applyFont="1" applyFill="1"/>
    <xf numFmtId="172" fontId="44" fillId="44" borderId="44" xfId="0" applyFont="1" applyFill="1" applyBorder="1" applyNumberFormat="1">
      <alignment horizontal="left" vertical="center" indent="1"/>
    </xf>
    <xf numFmtId="173" fontId="44" fillId="44" borderId="44" xfId="0" applyFont="1" applyFill="1" applyBorder="1" applyNumberFormat="1">
      <alignment horizontal="left" vertical="center" indent="1"/>
    </xf>
    <xf numFmtId="172" fontId="44" fillId="44" borderId="31" xfId="0" applyFont="1" applyFill="1" applyBorder="1" applyNumberFormat="1">
      <alignment horizontal="left" vertical="center" indent="1"/>
    </xf>
    <xf numFmtId="172" fontId="0" fillId="34" borderId="10" xfId="0" applyFont="1" applyFill="1" applyBorder="1" applyNumberFormat="1">
      <alignment horizontal="right" vertical="center"/>
    </xf>
    <xf numFmtId="0" fontId="19" fillId="0" borderId="21" xfId="0" applyFont="1" applyBorder="1">
      <alignment horizontal="center" vertical="center"/>
    </xf>
    <xf numFmtId="0" fontId="19" fillId="0" borderId="21" xfId="0" applyFont="1" applyBorder="1">
      <alignment horizontal="left" vertical="center" wrapText="1"/>
    </xf>
    <xf numFmtId="0" fontId="21" fillId="0" borderId="21" xfId="0" applyFont="1" applyBorder="1">
      <alignment horizontal="center" vertical="center" wrapText="1"/>
    </xf>
    <xf numFmtId="172" fontId="21" fillId="0" borderId="21" xfId="0" applyFont="1" applyBorder="1" applyNumberFormat="1">
      <alignment horizontal="right" vertical="center"/>
    </xf>
    <xf numFmtId="172" fontId="0" fillId="0" borderId="21" xfId="0" applyFont="1" applyBorder="1" applyNumberFormat="1">
      <alignment horizontal="right" vertical="center"/>
    </xf>
    <xf numFmtId="172" fontId="19" fillId="0" borderId="21" xfId="0" applyFont="1" applyBorder="1" applyNumberFormat="1">
      <alignment horizontal="right" vertical="center"/>
    </xf>
    <xf numFmtId="49" fontId="21" fillId="0" borderId="21" xfId="0" applyFont="1" applyBorder="1" applyNumberFormat="1">
      <alignment horizontal="left" vertical="center"/>
    </xf>
    <xf numFmtId="173" fontId="0" fillId="0" borderId="21" xfId="0" applyFont="1" applyBorder="1" applyNumberFormat="1">
      <alignment horizontal="right" vertical="center"/>
    </xf>
    <xf numFmtId="49" fontId="19" fillId="0" borderId="11" xfId="0" applyFont="1" applyBorder="1" applyNumberFormat="1">
      <alignment horizontal="center" vertical="center"/>
    </xf>
    <xf numFmtId="0" fontId="19" fillId="0" borderId="11" xfId="0" applyFont="1" applyBorder="1">
      <alignment horizontal="left" vertical="center" wrapText="1" indent="1"/>
    </xf>
    <xf numFmtId="0" fontId="21" fillId="0" borderId="11" xfId="0" applyFont="1" applyBorder="1">
      <alignment horizontal="center" vertical="center" wrapText="1"/>
    </xf>
    <xf numFmtId="172" fontId="21" fillId="34" borderId="11" xfId="0" applyFont="1" applyFill="1" applyBorder="1" applyNumberFormat="1">
      <alignment horizontal="right" vertical="center"/>
    </xf>
    <xf numFmtId="172" fontId="0" fillId="34" borderId="11" xfId="0" applyFont="1" applyFill="1" applyBorder="1" applyNumberFormat="1">
      <alignment horizontal="right" vertical="center"/>
    </xf>
    <xf numFmtId="172" fontId="19" fillId="34" borderId="11" xfId="0" applyFont="1" applyFill="1" applyBorder="1" applyNumberFormat="1">
      <alignment horizontal="right" vertical="center"/>
    </xf>
    <xf numFmtId="49" fontId="21" fillId="34" borderId="11" xfId="0" applyFont="1" applyFill="1" applyBorder="1" applyNumberFormat="1">
      <alignment horizontal="left" vertical="center" wrapText="1"/>
    </xf>
    <xf numFmtId="173" fontId="0" fillId="38" borderId="11" xfId="0" applyFont="1" applyFill="1" applyBorder="1" applyNumberFormat="1">
      <alignment horizontal="right" vertical="center"/>
    </xf>
    <xf numFmtId="172" fontId="0" fillId="38" borderId="11" xfId="0" applyFont="1" applyFill="1" applyBorder="1" applyNumberFormat="1">
      <alignment horizontal="right" vertical="center"/>
    </xf>
    <xf numFmtId="0" fontId="19" fillId="35" borderId="11" xfId="0" applyFont="1" applyFill="1" applyBorder="1">
      <alignment horizontal="left" vertical="center" wrapText="1" indent="1"/>
    </xf>
    <xf numFmtId="49" fontId="19" fillId="0" borderId="50" xfId="0" applyFont="1" applyBorder="1" applyNumberFormat="1">
      <alignment horizontal="center" vertical="center"/>
    </xf>
    <xf numFmtId="0" fontId="19" fillId="0" borderId="50" xfId="0" applyFont="1" applyBorder="1">
      <alignment horizontal="left" vertical="center" wrapText="1" indent="1"/>
    </xf>
    <xf numFmtId="0" fontId="21" fillId="0" borderId="50" xfId="0" applyFont="1" applyBorder="1">
      <alignment horizontal="center" vertical="center" wrapText="1"/>
    </xf>
    <xf numFmtId="172" fontId="21" fillId="34" borderId="50" xfId="0" applyFont="1" applyFill="1" applyBorder="1" applyNumberFormat="1">
      <alignment horizontal="right" vertical="center"/>
    </xf>
    <xf numFmtId="172" fontId="0" fillId="34" borderId="50" xfId="0" applyFont="1" applyFill="1" applyBorder="1" applyNumberFormat="1">
      <alignment horizontal="right" vertical="center"/>
    </xf>
    <xf numFmtId="172" fontId="19" fillId="34" borderId="50" xfId="0" applyFont="1" applyFill="1" applyBorder="1" applyNumberFormat="1">
      <alignment horizontal="right" vertical="center"/>
    </xf>
    <xf numFmtId="49" fontId="21" fillId="34" borderId="50" xfId="0" applyFont="1" applyFill="1" applyBorder="1" applyNumberFormat="1">
      <alignment horizontal="left" vertical="center" wrapText="1"/>
    </xf>
    <xf numFmtId="173" fontId="0" fillId="38" borderId="50" xfId="0" applyFont="1" applyFill="1" applyBorder="1" applyNumberFormat="1">
      <alignment horizontal="right" vertical="center"/>
    </xf>
    <xf numFmtId="172" fontId="0" fillId="38" borderId="50" xfId="0" applyFont="1" applyFill="1" applyBorder="1" applyNumberFormat="1">
      <alignment horizontal="right" vertical="center"/>
    </xf>
    <xf numFmtId="0" fontId="19" fillId="35" borderId="50" xfId="0" applyFont="1" applyFill="1" applyBorder="1">
      <alignment horizontal="left" vertical="center" wrapText="1" indent="1"/>
    </xf>
    <xf numFmtId="0" fontId="19" fillId="0" borderId="10" xfId="0" applyFont="1" applyBorder="1">
      <alignment horizontal="left" vertical="center" wrapText="1" indent="1"/>
    </xf>
    <xf numFmtId="0" fontId="21" fillId="0" borderId="10" xfId="0" applyFont="1" applyBorder="1">
      <alignment horizontal="center" vertical="center" wrapText="1"/>
    </xf>
    <xf numFmtId="172" fontId="19" fillId="34" borderId="10" xfId="0" applyFont="1" applyFill="1" applyBorder="1" applyNumberFormat="1">
      <alignment horizontal="right" vertical="center"/>
    </xf>
    <xf numFmtId="0" fontId="19" fillId="35" borderId="10" xfId="0" applyFont="1" applyFill="1" applyBorder="1">
      <alignment horizontal="left" vertical="center" wrapText="1" indent="1"/>
    </xf>
    <xf numFmtId="0" fontId="19" fillId="0" borderId="10" xfId="0" applyFont="1" applyBorder="1">
      <alignment vertical="center" wrapText="1"/>
    </xf>
    <xf numFmtId="0" fontId="19" fillId="0" borderId="10" xfId="0" applyFont="1" applyBorder="1">
      <alignment horizontal="left" vertical="center" wrapText="1"/>
    </xf>
    <xf numFmtId="49" fontId="19" fillId="34" borderId="10" xfId="0" applyFont="1" applyFill="1" applyBorder="1" applyNumberFormat="1">
      <alignment horizontal="left" vertical="center" wrapText="1"/>
    </xf>
    <xf numFmtId="0" fontId="0" fillId="0" borderId="0" xfId="0" applyFont="1">
      <alignment vertical="center" wrapText="1"/>
    </xf>
    <xf numFmtId="172" fontId="21" fillId="34" borderId="10" xfId="0" applyFont="1" applyFill="1" applyBorder="1" applyNumberFormat="1">
      <alignment horizontal="right" vertical="center"/>
      <protection locked="0"/>
    </xf>
    <xf numFmtId="49" fontId="21" fillId="34" borderId="10" xfId="0" applyFont="1" applyFill="1" applyBorder="1" applyNumberFormat="1">
      <alignment horizontal="left" vertical="center" wrapText="1"/>
      <protection locked="0"/>
    </xf>
    <xf numFmtId="172" fontId="0" fillId="34" borderId="10" xfId="0" applyFont="1" applyFill="1" applyBorder="1" applyNumberFormat="1">
      <alignment horizontal="right" vertical="center"/>
      <protection locked="0"/>
    </xf>
    <xf numFmtId="172" fontId="21" fillId="34" borderId="11" xfId="0" applyFont="1" applyFill="1" applyBorder="1" applyNumberFormat="1">
      <alignment horizontal="right" vertical="center"/>
      <protection locked="0"/>
    </xf>
    <xf numFmtId="172" fontId="0" fillId="34" borderId="11" xfId="0" applyFont="1" applyFill="1" applyBorder="1" applyNumberFormat="1">
      <alignment horizontal="right" vertical="center"/>
      <protection locked="0"/>
    </xf>
    <xf numFmtId="172" fontId="19" fillId="34" borderId="11" xfId="0" applyFont="1" applyFill="1" applyBorder="1" applyNumberFormat="1">
      <alignment horizontal="right" vertical="center"/>
      <protection locked="0"/>
    </xf>
    <xf numFmtId="49" fontId="21" fillId="34" borderId="11" xfId="0" applyFont="1" applyFill="1" applyBorder="1" applyNumberFormat="1">
      <alignment horizontal="left" vertical="center" wrapText="1"/>
      <protection locked="0"/>
    </xf>
    <xf numFmtId="49" fontId="41" fillId="43" borderId="27" xfId="0" applyFont="1" applyFill="1" applyBorder="1" applyNumberFormat="1">
      <alignment horizontal="left" vertical="center" wrapText="1" indent="1"/>
    </xf>
    <xf numFmtId="49" fontId="41" fillId="43" borderId="28" xfId="0" applyFont="1" applyFill="1" applyBorder="1" applyNumberFormat="1">
      <alignment horizontal="left" vertical="center"/>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172" fontId="21" fillId="34" borderId="50" xfId="0" applyFont="1" applyFill="1" applyBorder="1" applyNumberFormat="1">
      <alignment horizontal="right" vertical="center"/>
      <protection locked="0"/>
    </xf>
    <xf numFmtId="172" fontId="0" fillId="34" borderId="50" xfId="0" applyFont="1" applyFill="1" applyBorder="1" applyNumberFormat="1">
      <alignment horizontal="right" vertical="center"/>
      <protection locked="0"/>
    </xf>
    <xf numFmtId="172" fontId="19" fillId="34" borderId="50" xfId="0" applyFont="1" applyFill="1" applyBorder="1" applyNumberFormat="1">
      <alignment horizontal="right" vertical="center"/>
      <protection locked="0"/>
    </xf>
    <xf numFmtId="49" fontId="21" fillId="34" borderId="50" xfId="0" applyFont="1" applyFill="1" applyBorder="1" applyNumberFormat="1">
      <alignment horizontal="left" vertical="center" wrapText="1"/>
      <protection locked="0"/>
    </xf>
    <xf numFmtId="49" fontId="41" fillId="43" borderId="27" xfId="0" applyFont="1" applyFill="1" applyBorder="1" applyNumberFormat="1">
      <alignment horizontal="left" vertical="center" wrapText="1" indent="1"/>
    </xf>
    <xf numFmtId="49" fontId="41" fillId="43" borderId="28" xfId="0" applyFont="1" applyFill="1" applyBorder="1" applyNumberFormat="1">
      <alignment horizontal="left" vertical="center"/>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172" fontId="19" fillId="34" borderId="10" xfId="0" applyFont="1" applyFill="1" applyBorder="1" applyNumberFormat="1">
      <alignment horizontal="right" vertical="center"/>
      <protection locked="0"/>
    </xf>
    <xf numFmtId="49" fontId="41" fillId="43" borderId="27" xfId="0" applyFont="1" applyFill="1" applyBorder="1" applyNumberFormat="1">
      <alignment horizontal="left" vertical="center" wrapText="1" indent="1"/>
    </xf>
    <xf numFmtId="49" fontId="41" fillId="43" borderId="28" xfId="0" applyFont="1" applyFill="1" applyBorder="1" applyNumberFormat="1">
      <alignment horizontal="left" vertical="center"/>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7" xfId="0" applyFont="1" applyFill="1" applyBorder="1" applyNumberFormat="1">
      <alignment horizontal="left" vertical="center" wrapText="1" indent="1"/>
    </xf>
    <xf numFmtId="49" fontId="41" fillId="43" borderId="28" xfId="0" applyFont="1" applyFill="1" applyBorder="1" applyNumberFormat="1">
      <alignment horizontal="left" vertical="center"/>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0" fontId="0" fillId="0" borderId="0" xfId="0" applyFont="1">
      <alignment vertical="center" wrapText="1"/>
    </xf>
    <xf numFmtId="49" fontId="41" fillId="43" borderId="27" xfId="0" applyFont="1" applyFill="1" applyBorder="1" applyNumberFormat="1">
      <alignment horizontal="left" vertical="center" wrapText="1" indent="1"/>
    </xf>
    <xf numFmtId="49" fontId="41" fillId="43" borderId="28" xfId="0" applyFont="1" applyFill="1" applyBorder="1" applyNumberFormat="1">
      <alignment horizontal="left" vertical="center"/>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7" xfId="0" applyFont="1" applyFill="1" applyBorder="1" applyNumberFormat="1">
      <alignment horizontal="left" vertical="center" wrapText="1" indent="1"/>
    </xf>
    <xf numFmtId="49" fontId="41" fillId="43" borderId="28" xfId="0" applyFont="1" applyFill="1" applyBorder="1" applyNumberFormat="1">
      <alignment horizontal="left" vertical="center"/>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7" xfId="0" applyFont="1" applyFill="1" applyBorder="1" applyNumberFormat="1">
      <alignment horizontal="left" vertical="center" wrapText="1" indent="1"/>
    </xf>
    <xf numFmtId="49" fontId="41" fillId="43" borderId="28" xfId="0" applyFont="1" applyFill="1" applyBorder="1" applyNumberFormat="1">
      <alignment horizontal="left" vertical="center"/>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7" xfId="0" applyFont="1" applyFill="1" applyBorder="1" applyNumberFormat="1">
      <alignment horizontal="left" vertical="center" wrapText="1" indent="1"/>
    </xf>
    <xf numFmtId="49" fontId="41" fillId="43" borderId="28" xfId="0" applyFont="1" applyFill="1" applyBorder="1" applyNumberFormat="1">
      <alignment horizontal="left" vertical="center"/>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0" fontId="0" fillId="0" borderId="0" xfId="0" applyFont="1">
      <alignment vertical="center" wrapText="1"/>
    </xf>
    <xf numFmtId="49" fontId="41" fillId="43" borderId="27" xfId="0" applyFont="1" applyFill="1" applyBorder="1" applyNumberFormat="1">
      <alignment horizontal="left" vertical="center" wrapText="1" indent="1"/>
    </xf>
    <xf numFmtId="49" fontId="41" fillId="43" borderId="28" xfId="0" applyFont="1" applyFill="1" applyBorder="1" applyNumberFormat="1">
      <alignment horizontal="left" vertical="center"/>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7" xfId="0" applyFont="1" applyFill="1" applyBorder="1" applyNumberFormat="1">
      <alignment horizontal="left" vertical="center" wrapText="1" indent="1"/>
    </xf>
    <xf numFmtId="49" fontId="41" fillId="43" borderId="28" xfId="0" applyFont="1" applyFill="1" applyBorder="1" applyNumberFormat="1">
      <alignment horizontal="left" vertical="center"/>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7" xfId="0" applyFont="1" applyFill="1" applyBorder="1" applyNumberFormat="1">
      <alignment horizontal="left" vertical="center" wrapText="1" indent="1"/>
    </xf>
    <xf numFmtId="49" fontId="41" fillId="43" borderId="28" xfId="0" applyFont="1" applyFill="1" applyBorder="1" applyNumberFormat="1">
      <alignment horizontal="left" vertical="center"/>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7" xfId="0" applyFont="1" applyFill="1" applyBorder="1" applyNumberFormat="1">
      <alignment horizontal="left" vertical="center" wrapText="1" indent="1"/>
    </xf>
    <xf numFmtId="49" fontId="41" fillId="43" borderId="28" xfId="0" applyFont="1" applyFill="1" applyBorder="1" applyNumberFormat="1">
      <alignment horizontal="left" vertical="center"/>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0" fontId="0" fillId="0" borderId="0" xfId="0" applyFont="1">
      <alignment vertical="center" wrapText="1"/>
    </xf>
    <xf numFmtId="49" fontId="41" fillId="43" borderId="27" xfId="0" applyFont="1" applyFill="1" applyBorder="1" applyNumberFormat="1">
      <alignment horizontal="left" vertical="center" wrapText="1" indent="1"/>
    </xf>
    <xf numFmtId="49" fontId="41" fillId="43" borderId="28" xfId="0" applyFont="1" applyFill="1" applyBorder="1" applyNumberFormat="1">
      <alignment horizontal="left" vertical="center"/>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7" xfId="0" applyFont="1" applyFill="1" applyBorder="1" applyNumberFormat="1">
      <alignment horizontal="left" vertical="center" wrapText="1" indent="1"/>
    </xf>
    <xf numFmtId="49" fontId="41" fillId="43" borderId="28" xfId="0" applyFont="1" applyFill="1" applyBorder="1" applyNumberFormat="1">
      <alignment horizontal="left" vertical="center"/>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7" xfId="0" applyFont="1" applyFill="1" applyBorder="1" applyNumberFormat="1">
      <alignment horizontal="left" vertical="center" wrapText="1" indent="1"/>
    </xf>
    <xf numFmtId="49" fontId="41" fillId="43" borderId="28" xfId="0" applyFont="1" applyFill="1" applyBorder="1" applyNumberFormat="1">
      <alignment horizontal="left" vertical="center"/>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7" xfId="0" applyFont="1" applyFill="1" applyBorder="1" applyNumberFormat="1">
      <alignment horizontal="left" vertical="center" wrapText="1" indent="1"/>
    </xf>
    <xf numFmtId="49" fontId="41" fillId="43" borderId="28" xfId="0" applyFont="1" applyFill="1" applyBorder="1" applyNumberFormat="1">
      <alignment horizontal="left" vertical="center"/>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0" fontId="1" fillId="0" borderId="0" xfId="47" applyFont="1" applyNumberFormat="1"/>
    <xf numFmtId="0" fontId="54" fillId="0" borderId="0" xfId="47" applyFont="1" applyNumberFormat="1">
      <alignment wrapText="1"/>
    </xf>
    <xf numFmtId="0" fontId="54" fillId="0" borderId="0" xfId="0" applyFont="1">
      <alignment wrapText="1"/>
    </xf>
    <xf numFmtId="0" fontId="0" fillId="25" borderId="0" xfId="0" applyFont="1" applyFill="1">
      <alignment horizontal="center"/>
    </xf>
    <xf numFmtId="0" fontId="21" fillId="44" borderId="0" xfId="0" applyFont="1" applyFill="1"/>
    <xf numFmtId="0" fontId="21" fillId="0" borderId="0" xfId="0" applyFont="1"/>
    <xf numFmtId="0" fontId="21" fillId="4" borderId="0" xfId="0" applyFont="1" applyFill="1"/>
    <xf numFmtId="0" fontId="42" fillId="0" borderId="60" xfId="0" applyFont="1" applyBorder="1"/>
    <xf numFmtId="0" fontId="19" fillId="53" borderId="10" xfId="0" applyFont="1" applyFill="1" applyBorder="1">
      <alignment horizontal="center" vertical="center" wrapText="1"/>
    </xf>
    <xf numFmtId="0" fontId="19" fillId="0" borderId="10" xfId="0" applyFont="1" applyBorder="1">
      <alignment horizontal="center" vertical="center" wrapText="1"/>
    </xf>
    <xf numFmtId="0" fontId="21" fillId="53" borderId="61" xfId="0" applyFont="1" applyFill="1" applyBorder="1">
      <alignment horizontal="center" vertical="center" wrapText="1"/>
    </xf>
    <xf numFmtId="0" fontId="21" fillId="0" borderId="0" xfId="0" applyFont="1">
      <alignment horizontal="right" vertical="center"/>
    </xf>
    <xf numFmtId="0" fontId="0" fillId="0" borderId="0" xfId="0" applyFont="1">
      <alignment horizontal="center" vertical="center" wrapText="1"/>
    </xf>
    <xf numFmtId="0" fontId="21" fillId="44" borderId="0" xfId="0" applyFont="1" applyFill="1">
      <alignment vertical="center" wrapText="1"/>
    </xf>
    <xf numFmtId="0" fontId="21" fillId="0" borderId="0" xfId="0" applyFont="1">
      <alignment horizontal="left"/>
    </xf>
    <xf numFmtId="0" fontId="21" fillId="49" borderId="0" xfId="0" applyFont="1" applyFill="1">
      <alignment horizontal="center" vertical="center"/>
    </xf>
    <xf numFmtId="0" fontId="21" fillId="0" borderId="0" xfId="0" applyFont="1">
      <alignment vertical="center" wrapText="1"/>
    </xf>
    <xf numFmtId="0" fontId="21" fillId="0" borderId="0" xfId="0" applyFont="1">
      <alignment horizontal="center" vertical="top" wrapText="1"/>
    </xf>
    <xf numFmtId="0" fontId="21" fillId="0" borderId="0" xfId="0" applyFont="1">
      <alignment horizontal="center" vertical="center" wrapText="1"/>
    </xf>
    <xf numFmtId="0" fontId="40" fillId="42" borderId="62" xfId="0" applyFont="1" applyFill="1" applyBorder="1">
      <alignment horizontal="left" vertical="center"/>
    </xf>
    <xf numFmtId="0" fontId="40" fillId="42" borderId="63" xfId="0" applyFont="1" applyFill="1" applyBorder="1">
      <alignment horizontal="left" vertical="center"/>
    </xf>
    <xf numFmtId="49" fontId="40" fillId="42" borderId="63" xfId="0" applyFont="1" applyFill="1" applyBorder="1" applyNumberFormat="1">
      <alignment horizontal="left" vertical="center" wrapText="1"/>
    </xf>
    <xf numFmtId="49" fontId="40" fillId="42" borderId="63" xfId="0" applyFont="1" applyFill="1" applyBorder="1" applyNumberFormat="1">
      <alignment horizontal="left" vertical="center" wrapText="1"/>
    </xf>
    <xf numFmtId="0" fontId="54" fillId="0" borderId="0" xfId="0" applyFont="1">
      <alignment wrapText="1"/>
    </xf>
    <xf numFmtId="0" fontId="21" fillId="4" borderId="0" xfId="0" applyFont="1" applyFill="1">
      <alignment vertical="center" wrapText="1"/>
    </xf>
    <xf numFmtId="0" fontId="1" fillId="0" borderId="0" xfId="0" applyFont="1"/>
    <xf numFmtId="0" fontId="1" fillId="0" borderId="0" xfId="0" applyFont="1"/>
    <xf numFmtId="0" fontId="19" fillId="0" borderId="0" xfId="0" applyFont="1">
      <alignment horizontal="left" vertical="center"/>
    </xf>
    <xf numFmtId="0" fontId="19" fillId="0" borderId="10" xfId="0" applyFont="1" applyBorder="1">
      <alignment horizontal="center" vertical="center"/>
    </xf>
    <xf numFmtId="0" fontId="21" fillId="0" borderId="10" xfId="0" applyFont="1" applyBorder="1">
      <alignment vertical="center" wrapText="1"/>
    </xf>
    <xf numFmtId="0" fontId="21" fillId="0" borderId="10" xfId="0" applyFont="1" applyBorder="1">
      <alignment horizontal="center" vertical="center"/>
    </xf>
    <xf numFmtId="172" fontId="21" fillId="34" borderId="10" xfId="0" applyFont="1" applyFill="1" applyBorder="1" applyNumberFormat="1">
      <alignment horizontal="right" vertical="center"/>
    </xf>
    <xf numFmtId="172" fontId="21" fillId="34" borderId="10" xfId="0" applyFont="1" applyFill="1" applyBorder="1" applyNumberFormat="1">
      <alignment horizontal="right" vertical="center"/>
    </xf>
    <xf numFmtId="0" fontId="21" fillId="4" borderId="0" xfId="0" applyFont="1" applyFill="1"/>
    <xf numFmtId="0" fontId="21" fillId="0" borderId="10" xfId="0" applyFont="1" applyBorder="1">
      <alignment horizontal="left" vertical="center" wrapText="1"/>
    </xf>
    <xf numFmtId="0" fontId="19" fillId="0" borderId="90" xfId="0" applyFont="1" applyBorder="1">
      <alignment horizontal="right" vertical="center" wrapText="1" indent="1"/>
    </xf>
    <xf numFmtId="172" fontId="21" fillId="34" borderId="10" xfId="0" applyFont="1" applyFill="1" applyBorder="1" applyNumberFormat="1">
      <alignment horizontal="right" vertical="center"/>
      <protection locked="0"/>
    </xf>
    <xf numFmtId="172" fontId="21" fillId="34" borderId="10" xfId="0" applyFont="1" applyFill="1" applyBorder="1" applyNumberFormat="1">
      <alignment horizontal="right" vertical="center"/>
      <protection locked="0"/>
    </xf>
    <xf numFmtId="0" fontId="19" fillId="0" borderId="90" xfId="0" applyFont="1" applyBorder="1">
      <alignment horizontal="right" vertical="center" wrapText="1" indent="1"/>
    </xf>
    <xf numFmtId="0" fontId="19" fillId="0" borderId="90" xfId="0" applyFont="1" applyBorder="1">
      <alignment horizontal="right" vertical="center" wrapText="1" indent="1"/>
    </xf>
    <xf numFmtId="0" fontId="19" fillId="0" borderId="90" xfId="0" applyFont="1" applyBorder="1">
      <alignment horizontal="right" vertical="center" wrapText="1" indent="1"/>
    </xf>
    <xf numFmtId="0" fontId="21" fillId="0" borderId="0" xfId="47" applyFont="1" applyNumberFormat="1">
      <alignment wrapText="1"/>
    </xf>
    <xf numFmtId="0" fontId="21" fillId="0" borderId="0" xfId="0" applyFont="1">
      <alignment vertical="center"/>
    </xf>
    <xf numFmtId="0" fontId="21" fillId="4" borderId="0" xfId="0" applyFont="1" applyFill="1">
      <alignment vertical="center"/>
    </xf>
    <xf numFmtId="0" fontId="43" fillId="0" borderId="22" xfId="0" applyFont="1" applyBorder="1">
      <alignment vertical="center" wrapText="1"/>
    </xf>
    <xf numFmtId="0" fontId="21" fillId="11" borderId="10" xfId="0" applyFont="1" applyFill="1" applyBorder="1">
      <alignment horizontal="center" vertical="center" wrapText="1"/>
    </xf>
    <xf numFmtId="0" fontId="21" fillId="11" borderId="43" xfId="0" applyFont="1" applyFill="1" applyBorder="1">
      <alignment horizontal="center" vertical="center" wrapText="1"/>
    </xf>
    <xf numFmtId="0" fontId="21" fillId="0" borderId="43" xfId="0" applyFont="1" applyBorder="1">
      <alignment horizontal="center" vertical="center" wrapText="1"/>
    </xf>
    <xf numFmtId="49" fontId="27" fillId="0" borderId="0" xfId="0" applyFont="1" applyNumberFormat="1">
      <alignment vertical="top"/>
    </xf>
    <xf numFmtId="0" fontId="21" fillId="0" borderId="0" xfId="0" applyFont="1">
      <alignment horizontal="left" vertical="center"/>
    </xf>
    <xf numFmtId="49" fontId="21" fillId="0" borderId="11" xfId="0" applyFont="1" applyBorder="1" applyNumberFormat="1">
      <alignment horizontal="center" vertical="center"/>
    </xf>
    <xf numFmtId="0" fontId="21" fillId="0" borderId="31" xfId="0" applyFont="1" applyBorder="1">
      <alignment vertical="center" wrapText="1"/>
    </xf>
    <xf numFmtId="0" fontId="19" fillId="38" borderId="17" xfId="0" applyFont="1" applyFill="1" applyBorder="1">
      <alignment horizontal="left" vertical="center"/>
    </xf>
    <xf numFmtId="0" fontId="21" fillId="38" borderId="44" xfId="0" applyFont="1" applyFill="1" applyBorder="1">
      <alignment horizontal="left" vertical="center" indent="1"/>
    </xf>
    <xf numFmtId="0" fontId="21" fillId="38" borderId="31" xfId="0" applyFont="1" applyFill="1" applyBorder="1">
      <alignment horizontal="left" vertical="center" indent="1"/>
    </xf>
    <xf numFmtId="0" fontId="19" fillId="0" borderId="10" xfId="0" applyFont="1" applyBorder="1">
      <alignment vertical="center" wrapText="1"/>
    </xf>
    <xf numFmtId="172" fontId="19" fillId="38" borderId="10" xfId="0" applyFont="1" applyFill="1" applyBorder="1" applyNumberFormat="1">
      <alignment horizontal="right" vertical="center"/>
    </xf>
    <xf numFmtId="0" fontId="19" fillId="0" borderId="31" xfId="0" applyFont="1" applyBorder="1">
      <alignment horizontal="left" vertical="center" wrapText="1" indent="1"/>
    </xf>
    <xf numFmtId="0" fontId="19" fillId="0" borderId="10" xfId="0" applyFont="1" applyBorder="1">
      <alignment horizontal="left" vertical="center" wrapText="1" indent="2"/>
    </xf>
    <xf numFmtId="0" fontId="21" fillId="0" borderId="10" xfId="0" applyFont="1" applyBorder="1">
      <alignment horizontal="left" vertical="center" wrapText="1" indent="3"/>
    </xf>
    <xf numFmtId="0" fontId="19" fillId="0" borderId="0" xfId="0" applyFont="1">
      <alignment vertical="top"/>
    </xf>
    <xf numFmtId="0" fontId="19" fillId="0" borderId="44" xfId="0" applyFont="1" applyBorder="1">
      <alignment horizontal="left" vertical="center" wrapText="1" indent="1"/>
    </xf>
    <xf numFmtId="0" fontId="0" fillId="0" borderId="0" xfId="0" applyFont="1">
      <alignment horizontal="center" vertical="top"/>
    </xf>
    <xf numFmtId="0" fontId="19" fillId="44" borderId="0" xfId="0" applyFont="1" applyFill="1">
      <alignment vertical="top"/>
    </xf>
    <xf numFmtId="49" fontId="19" fillId="0" borderId="0" xfId="0" applyFont="1" applyNumberFormat="1">
      <alignment horizontal="left" vertical="center"/>
    </xf>
    <xf numFmtId="0" fontId="27" fillId="0" borderId="0" xfId="0" applyFont="1">
      <alignment vertical="top"/>
    </xf>
    <xf numFmtId="172" fontId="19" fillId="0" borderId="0" xfId="0" applyFont="1" applyNumberFormat="1">
      <alignment vertical="top"/>
    </xf>
    <xf numFmtId="172" fontId="27" fillId="0" borderId="0" xfId="0" applyFont="1" applyNumberFormat="1">
      <alignment vertical="top"/>
    </xf>
    <xf numFmtId="49" fontId="19" fillId="4" borderId="0" xfId="0" applyFont="1" applyFill="1" applyNumberFormat="1">
      <alignment vertical="top"/>
    </xf>
    <xf numFmtId="0" fontId="21" fillId="0" borderId="31" xfId="0" applyFont="1" applyBorder="1">
      <alignment vertical="center"/>
    </xf>
    <xf numFmtId="0" fontId="21" fillId="0" borderId="10" xfId="0" applyFont="1" applyBorder="1">
      <alignment horizontal="right" vertical="center" indent="1"/>
    </xf>
    <xf numFmtId="0" fontId="19" fillId="0" borderId="46" xfId="0" applyFont="1" applyBorder="1">
      <alignment vertical="center" wrapText="1"/>
    </xf>
    <xf numFmtId="172" fontId="21" fillId="38" borderId="10" xfId="0" applyFont="1" applyFill="1" applyBorder="1" applyNumberFormat="1">
      <alignment horizontal="right" vertical="center"/>
    </xf>
    <xf numFmtId="0" fontId="19" fillId="0" borderId="46" xfId="0" applyFont="1" applyBorder="1">
      <alignment horizontal="left" vertical="center" wrapText="1" indent="1"/>
    </xf>
    <xf numFmtId="0" fontId="21" fillId="0" borderId="0" xfId="0" applyFont="1">
      <alignment vertical="center"/>
    </xf>
    <xf numFmtId="0" fontId="19" fillId="0" borderId="44" xfId="0" applyFont="1" applyBorder="1">
      <alignment vertical="center" wrapText="1"/>
    </xf>
    <xf numFmtId="0" fontId="21" fillId="0" borderId="10" xfId="0" applyFont="1" applyBorder="1">
      <alignment horizontal="right" vertical="center" wrapText="1" indent="1"/>
    </xf>
    <xf numFmtId="172" fontId="21" fillId="38" borderId="10" xfId="0" applyFont="1" applyFill="1" applyBorder="1" applyNumberFormat="1">
      <alignment horizontal="right" vertical="center"/>
    </xf>
    <xf numFmtId="0" fontId="21" fillId="0" borderId="10" xfId="0" applyFont="1" applyBorder="1">
      <alignment horizontal="left" vertical="center" wrapText="1" indent="2"/>
    </xf>
    <xf numFmtId="0" fontId="21" fillId="0" borderId="10" xfId="0" applyFont="1" applyBorder="1">
      <alignment horizontal="left" vertical="center" wrapText="1" indent="1"/>
    </xf>
    <xf numFmtId="0" fontId="19" fillId="0" borderId="43" xfId="0" applyFont="1" applyBorder="1">
      <alignment horizontal="left" vertical="center" wrapText="1"/>
    </xf>
    <xf numFmtId="0" fontId="21" fillId="0" borderId="11" xfId="0" applyFont="1" applyBorder="1">
      <alignment vertical="center" wrapText="1"/>
    </xf>
    <xf numFmtId="0" fontId="19" fillId="0" borderId="11" xfId="0" applyFont="1" applyBorder="1">
      <alignment vertical="center" wrapText="1"/>
    </xf>
    <xf numFmtId="0" fontId="21" fillId="0" borderId="11" xfId="0" applyFont="1" applyBorder="1">
      <alignment horizontal="left" vertical="center" indent="1"/>
    </xf>
    <xf numFmtId="0" fontId="21" fillId="0" borderId="11" xfId="0" applyFont="1" applyBorder="1">
      <alignment horizontal="left" vertical="center" indent="2"/>
    </xf>
    <xf numFmtId="172" fontId="19" fillId="34" borderId="10" xfId="0" applyFont="1" applyFill="1" applyBorder="1" applyNumberFormat="1">
      <alignment horizontal="right" vertical="center"/>
      <protection locked="0"/>
    </xf>
    <xf numFmtId="172" fontId="19" fillId="34" borderId="10" xfId="0" applyFont="1" applyFill="1" applyBorder="1" applyNumberFormat="1">
      <alignment horizontal="right" vertical="center"/>
    </xf>
    <xf numFmtId="172" fontId="21" fillId="0" borderId="0" xfId="0" applyFont="1" applyNumberFormat="1">
      <alignment horizontal="right" vertical="center"/>
    </xf>
    <xf numFmtId="0" fontId="79" fillId="0" borderId="30" xfId="0" applyFont="1" applyBorder="1">
      <alignment vertical="center"/>
    </xf>
    <xf numFmtId="0" fontId="19" fillId="34" borderId="0" xfId="0" applyFont="1" applyFill="1">
      <alignment horizontal="left" vertical="center" wrapText="1"/>
    </xf>
    <xf numFmtId="0" fontId="19" fillId="34" borderId="76" xfId="0" applyFont="1" applyFill="1" applyBorder="1">
      <alignment horizontal="left" vertical="center" wrapText="1"/>
    </xf>
    <xf numFmtId="0" fontId="19" fillId="34" borderId="32" xfId="0" applyFont="1" applyFill="1" applyBorder="1">
      <alignment horizontal="left" vertical="center" wrapText="1"/>
    </xf>
    <xf numFmtId="0" fontId="19" fillId="34" borderId="77" xfId="0" applyFont="1" applyFill="1" applyBorder="1">
      <alignment horizontal="left" vertical="center" wrapText="1"/>
    </xf>
    <xf numFmtId="0" fontId="21" fillId="43" borderId="17" xfId="0" applyFont="1" applyFill="1" applyBorder="1">
      <alignment vertical="center"/>
    </xf>
    <xf numFmtId="0" fontId="19" fillId="44" borderId="0" xfId="0" applyFont="1" applyFill="1"/>
    <xf numFmtId="0" fontId="32" fillId="0" borderId="0" xfId="0" applyFont="1">
      <alignment vertical="center"/>
    </xf>
    <xf numFmtId="0" fontId="19" fillId="0" borderId="0" xfId="0" applyFont="1"/>
    <xf numFmtId="0" fontId="19" fillId="0" borderId="0" xfId="0" applyFont="1">
      <alignment horizontal="center" vertical="top"/>
    </xf>
    <xf numFmtId="0" fontId="19" fillId="0" borderId="0" xfId="0" applyFont="1">
      <alignment horizontal="center"/>
    </xf>
    <xf numFmtId="0" fontId="40" fillId="42" borderId="32" xfId="0" applyFont="1" applyFill="1" applyBorder="1">
      <alignment horizontal="left" vertical="center"/>
    </xf>
    <xf numFmtId="0" fontId="40" fillId="42" borderId="17" xfId="0" applyFont="1" applyFill="1" applyBorder="1">
      <alignment horizontal="left" vertical="center"/>
    </xf>
    <xf numFmtId="172" fontId="40" fillId="42" borderId="17" xfId="0" applyFont="1" applyFill="1" applyBorder="1" applyNumberFormat="1">
      <alignment horizontal="right" vertical="center"/>
    </xf>
    <xf numFmtId="172" fontId="40" fillId="42" borderId="17" xfId="0" applyFont="1" applyFill="1" applyBorder="1" applyNumberFormat="1">
      <alignment horizontal="right" vertical="center"/>
    </xf>
    <xf numFmtId="49" fontId="53" fillId="0" borderId="0" xfId="0" applyFont="1" applyNumberFormat="1">
      <alignment horizontal="center" vertical="center" wrapText="1"/>
    </xf>
    <xf numFmtId="0" fontId="19" fillId="0" borderId="11" xfId="0" applyFont="1" applyBorder="1">
      <alignment horizontal="center" vertical="center" wrapText="1"/>
    </xf>
    <xf numFmtId="0" fontId="0" fillId="35" borderId="11" xfId="0" applyFont="1" applyFill="1" applyBorder="1">
      <alignment horizontal="left" vertical="center" wrapText="1"/>
    </xf>
    <xf numFmtId="0" fontId="0" fillId="34" borderId="11" xfId="0" applyFont="1" applyFill="1" applyBorder="1">
      <alignment horizontal="left" vertical="center" wrapText="1"/>
    </xf>
    <xf numFmtId="3" fontId="0" fillId="34" borderId="11" xfId="0" applyFont="1" applyFill="1" applyBorder="1" applyNumberFormat="1">
      <alignment horizontal="left" vertical="center" wrapText="1"/>
    </xf>
    <xf numFmtId="4" fontId="0" fillId="34" borderId="11" xfId="0" applyFont="1" applyFill="1" applyBorder="1" applyNumberFormat="1">
      <alignment horizontal="right" vertical="center" wrapText="1"/>
    </xf>
    <xf numFmtId="0" fontId="0" fillId="34" borderId="11" xfId="0" applyFont="1" applyFill="1" applyBorder="1">
      <alignment horizontal="left" vertical="center" wrapText="1" indent="1"/>
    </xf>
    <xf numFmtId="172" fontId="0" fillId="38" borderId="10" xfId="0" applyFont="1" applyFill="1" applyBorder="1" applyNumberFormat="1">
      <alignment vertical="center" wrapText="1"/>
    </xf>
    <xf numFmtId="172" fontId="0" fillId="34" borderId="11" xfId="0" applyFont="1" applyFill="1" applyBorder="1" applyNumberFormat="1">
      <alignment horizontal="right" vertical="center" wrapText="1"/>
    </xf>
    <xf numFmtId="172" fontId="0" fillId="34" borderId="10" xfId="0" applyFont="1" applyFill="1" applyBorder="1" applyNumberFormat="1">
      <alignment vertical="center" wrapText="1"/>
    </xf>
    <xf numFmtId="172" fontId="0" fillId="38" borderId="10" xfId="0" applyFont="1" applyFill="1" applyBorder="1" applyNumberFormat="1">
      <alignment vertical="center" wrapText="1"/>
    </xf>
    <xf numFmtId="49" fontId="0" fillId="34" borderId="11" xfId="0" applyFont="1" applyFill="1" applyBorder="1" applyNumberFormat="1">
      <alignment horizontal="left" vertical="center" wrapText="1"/>
    </xf>
    <xf numFmtId="0" fontId="19" fillId="4" borderId="0" xfId="0" applyFont="1" applyFill="1"/>
    <xf numFmtId="0" fontId="21" fillId="0" borderId="0" xfId="0" applyFont="1"/>
    <xf numFmtId="49" fontId="41" fillId="43" borderId="37"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59" xfId="0" applyFont="1" applyFill="1" applyBorder="1" applyNumberFormat="1">
      <alignment vertical="center"/>
    </xf>
    <xf numFmtId="49" fontId="41" fillId="43" borderId="37"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59" xfId="0" applyFont="1" applyFill="1" applyBorder="1" applyNumberFormat="1">
      <alignment vertical="center"/>
    </xf>
    <xf numFmtId="49" fontId="41" fillId="43" borderId="37"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59" xfId="0" applyFont="1" applyFill="1" applyBorder="1" applyNumberFormat="1">
      <alignment vertical="center"/>
    </xf>
    <xf numFmtId="49" fontId="41" fillId="43" borderId="37"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59" xfId="0" applyFont="1" applyFill="1" applyBorder="1" applyNumberFormat="1">
      <alignment vertical="center"/>
    </xf>
    <xf numFmtId="49" fontId="41" fillId="43" borderId="37"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38" xfId="0" applyFont="1" applyFill="1" applyBorder="1" applyNumberFormat="1">
      <alignment vertical="center"/>
    </xf>
    <xf numFmtId="49" fontId="41" fillId="43" borderId="59" xfId="0" applyFont="1" applyFill="1" applyBorder="1" applyNumberFormat="1">
      <alignment vertical="center"/>
    </xf>
    <xf numFmtId="0" fontId="32" fillId="0" borderId="0" xfId="0" applyFont="1">
      <alignment vertical="center"/>
    </xf>
    <xf numFmtId="0" fontId="21" fillId="44" borderId="0" xfId="0" applyFont="1" applyFill="1">
      <alignment vertical="center"/>
    </xf>
    <xf numFmtId="49" fontId="53" fillId="0" borderId="0" xfId="0" applyFont="1" applyNumberFormat="1">
      <alignment horizontal="center" vertical="center" wrapText="1"/>
    </xf>
    <xf numFmtId="0" fontId="19" fillId="34" borderId="16" xfId="0" applyFont="1" applyFill="1" applyBorder="1">
      <alignment horizontal="left" vertical="center" wrapText="1"/>
    </xf>
    <xf numFmtId="0" fontId="19" fillId="34" borderId="18" xfId="0" applyFont="1" applyFill="1" applyBorder="1">
      <alignment horizontal="left" vertical="center" wrapText="1"/>
    </xf>
    <xf numFmtId="0" fontId="21" fillId="4" borderId="0" xfId="0" applyFont="1" applyFill="1">
      <alignment vertical="center"/>
    </xf>
    <xf numFmtId="49" fontId="43" fillId="0" borderId="22" xfId="0" applyFont="1" applyBorder="1" applyNumberFormat="1">
      <alignment horizontal="left" vertical="center" indent="1"/>
    </xf>
    <xf numFmtId="49" fontId="43" fillId="0" borderId="36" xfId="0" applyFont="1" applyBorder="1" applyNumberFormat="1">
      <alignment horizontal="left" vertical="center" wrapText="1" indent="4"/>
    </xf>
    <xf numFmtId="0" fontId="21" fillId="0" borderId="0" xfId="0" applyFont="1">
      <alignment horizontal="center" vertical="center" wrapText="1"/>
    </xf>
    <xf numFmtId="0" fontId="32" fillId="0" borderId="0" xfId="0" applyFont="1">
      <alignment horizontal="center" vertical="center" wrapText="1"/>
    </xf>
    <xf numFmtId="0" fontId="21" fillId="44" borderId="0" xfId="0" applyFont="1" applyFill="1">
      <alignment horizontal="center" vertical="center" wrapText="1"/>
    </xf>
    <xf numFmtId="49" fontId="32" fillId="0" borderId="0" xfId="0" applyFont="1" applyNumberFormat="1">
      <alignment horizontal="center" vertical="center" wrapText="1"/>
    </xf>
    <xf numFmtId="49" fontId="19" fillId="36" borderId="10" xfId="0" applyFont="1" applyFill="1" applyBorder="1" applyNumberFormat="1">
      <alignment horizontal="center" vertical="center" wrapText="1"/>
    </xf>
    <xf numFmtId="4" fontId="19" fillId="38" borderId="10" xfId="0" applyFont="1" applyFill="1" applyBorder="1" applyNumberFormat="1">
      <alignment horizontal="right" vertical="center"/>
    </xf>
    <xf numFmtId="0" fontId="21" fillId="4" borderId="0" xfId="0" applyFont="1" applyFill="1">
      <alignment horizontal="center" vertical="center" wrapText="1"/>
    </xf>
    <xf numFmtId="0" fontId="1" fillId="0" borderId="0" xfId="0" applyFont="1">
      <alignment horizontal="center" vertical="center" wrapText="1"/>
    </xf>
    <xf numFmtId="0" fontId="32" fillId="0" borderId="0" xfId="0" applyFont="1">
      <alignment horizontal="center" vertical="center" wrapText="1"/>
    </xf>
    <xf numFmtId="0" fontId="19" fillId="0" borderId="0" xfId="0" applyFont="1">
      <alignment horizontal="left" vertical="center"/>
    </xf>
    <xf numFmtId="0" fontId="21" fillId="49" borderId="0" xfId="0" applyFont="1" applyFill="1">
      <alignment horizontal="center" vertical="center"/>
    </xf>
    <xf numFmtId="0" fontId="1" fillId="0" borderId="0" xfId="0" applyFont="1"/>
    <xf numFmtId="0" fontId="19" fillId="0" borderId="10" xfId="0" applyFont="1" applyBorder="1">
      <alignment horizontal="left" vertical="center" wrapText="1"/>
    </xf>
    <xf numFmtId="0" fontId="19" fillId="0" borderId="10" xfId="0" applyFont="1" applyBorder="1">
      <alignment horizontal="center" vertical="center" wrapText="1"/>
    </xf>
    <xf numFmtId="4" fontId="19" fillId="38" borderId="10" xfId="0" applyFont="1" applyFill="1" applyBorder="1" applyNumberFormat="1">
      <alignment horizontal="right" vertical="center"/>
    </xf>
    <xf numFmtId="49" fontId="19" fillId="34" borderId="10" xfId="0" applyFont="1" applyFill="1" applyBorder="1" applyNumberFormat="1">
      <alignment horizontal="right" vertical="center" wrapText="1"/>
    </xf>
    <xf numFmtId="0" fontId="21" fillId="4" borderId="0" xfId="0" applyFont="1" applyFill="1">
      <alignment horizontal="center" vertical="center" wrapText="1"/>
    </xf>
    <xf numFmtId="0" fontId="21" fillId="4" borderId="0" xfId="0" applyFont="1" applyFill="1">
      <alignment horizontal="center" vertical="center" wrapText="1"/>
    </xf>
    <xf numFmtId="0" fontId="21" fillId="44" borderId="0" xfId="0" applyFont="1" applyFill="1">
      <alignment horizontal="center" vertical="center" wrapText="1"/>
    </xf>
    <xf numFmtId="0" fontId="19" fillId="36" borderId="10" xfId="0" applyFont="1" applyFill="1" applyBorder="1">
      <alignment horizontal="center" vertical="center" wrapText="1"/>
    </xf>
    <xf numFmtId="0" fontId="19" fillId="33" borderId="10" xfId="0" applyFont="1" applyFill="1" applyBorder="1">
      <alignment horizontal="left" vertical="center" wrapText="1"/>
    </xf>
    <xf numFmtId="0" fontId="19" fillId="0" borderId="0" xfId="0" applyFont="1">
      <alignment wrapText="1"/>
    </xf>
    <xf numFmtId="0" fontId="82" fillId="0" borderId="0" xfId="0" applyFont="1">
      <alignment horizontal="center" vertical="top" wrapText="1"/>
    </xf>
    <xf numFmtId="0" fontId="19" fillId="36" borderId="61" xfId="0" applyFont="1" applyFill="1" applyBorder="1">
      <alignment horizontal="center" vertical="center" wrapText="1"/>
    </xf>
    <xf numFmtId="0" fontId="21" fillId="0" borderId="10" xfId="0" applyFont="1" applyBorder="1">
      <alignment horizontal="center" vertical="center" wrapText="1"/>
    </xf>
    <xf numFmtId="4" fontId="19" fillId="34" borderId="10" xfId="0" applyFont="1" applyFill="1" applyBorder="1" applyNumberFormat="1">
      <alignment horizontal="right" vertical="center"/>
    </xf>
    <xf numFmtId="0" fontId="1" fillId="0" borderId="0" xfId="0" applyFont="1">
      <alignment horizontal="center" vertical="center"/>
    </xf>
    <xf numFmtId="0" fontId="19" fillId="0" borderId="0" xfId="0" applyFont="1">
      <alignment vertical="center"/>
    </xf>
    <xf numFmtId="49" fontId="41" fillId="57" borderId="81" xfId="0" applyFont="1" applyFill="1" applyBorder="1" applyNumberFormat="1">
      <alignment horizontal="left" vertical="center" wrapText="1" indent="1"/>
    </xf>
    <xf numFmtId="49" fontId="41" fillId="57" borderId="82" xfId="0" applyFont="1" applyFill="1" applyBorder="1" applyNumberFormat="1">
      <alignment vertical="center" wrapText="1"/>
    </xf>
    <xf numFmtId="49" fontId="41" fillId="57" borderId="82" xfId="0" applyFont="1" applyFill="1" applyBorder="1" applyNumberFormat="1">
      <alignment horizontal="left" vertical="center" wrapText="1" indent="1"/>
    </xf>
    <xf numFmtId="49" fontId="41" fillId="57" borderId="83" xfId="0" applyFont="1" applyFill="1" applyBorder="1" applyNumberFormat="1">
      <alignment horizontal="left" vertical="center" wrapText="1" indent="1"/>
    </xf>
    <xf numFmtId="0" fontId="19" fillId="4" borderId="0" xfId="0" applyFont="1" applyFill="1">
      <alignment vertical="center"/>
    </xf>
    <xf numFmtId="0" fontId="19" fillId="4" borderId="0" xfId="0" applyFont="1" applyFill="1">
      <alignment vertical="center"/>
    </xf>
    <xf numFmtId="0" fontId="19" fillId="44" borderId="0" xfId="0" applyFont="1" applyFill="1">
      <alignment vertical="center"/>
    </xf>
    <xf numFmtId="0" fontId="19" fillId="0" borderId="0" xfId="0" applyFont="1">
      <alignment vertical="top"/>
    </xf>
    <xf numFmtId="0" fontId="1" fillId="0" borderId="0" xfId="0" applyFont="1">
      <alignment horizontal="center" vertical="top"/>
    </xf>
    <xf numFmtId="0" fontId="82" fillId="0" borderId="14" xfId="0" applyFont="1" applyBorder="1">
      <alignment horizontal="center" vertical="top" wrapText="1"/>
    </xf>
    <xf numFmtId="0" fontId="19" fillId="36" borderId="10" xfId="0" applyFont="1" applyFill="1" applyBorder="1">
      <alignment horizontal="center" vertical="center" wrapText="1"/>
    </xf>
    <xf numFmtId="0" fontId="19" fillId="35" borderId="10" xfId="0" applyFont="1" applyFill="1" applyBorder="1">
      <alignment horizontal="left" vertical="center" wrapText="1"/>
    </xf>
    <xf numFmtId="0" fontId="19" fillId="4" borderId="0" xfId="0" applyFont="1" applyFill="1">
      <alignment vertical="top"/>
    </xf>
    <xf numFmtId="0" fontId="19" fillId="4" borderId="0" xfId="0" applyFont="1" applyFill="1">
      <alignment vertical="top"/>
    </xf>
    <xf numFmtId="49" fontId="19" fillId="44" borderId="0" xfId="0" applyFont="1" applyFill="1" applyNumberFormat="1">
      <alignment vertical="top"/>
    </xf>
    <xf numFmtId="0" fontId="19" fillId="44" borderId="0" xfId="0" applyFont="1" applyFill="1">
      <alignment vertical="top"/>
    </xf>
    <xf numFmtId="0" fontId="21" fillId="0" borderId="0" xfId="0" applyFont="1">
      <alignment wrapText="1"/>
    </xf>
    <xf numFmtId="0" fontId="19" fillId="0" borderId="10" xfId="0" applyFont="1" applyBorder="1">
      <alignment horizontal="left" vertical="center" wrapText="1" indent="1"/>
    </xf>
    <xf numFmtId="0" fontId="21" fillId="35" borderId="10" xfId="0" applyFont="1" applyFill="1" applyBorder="1">
      <alignment horizontal="center" vertical="center" wrapText="1"/>
    </xf>
    <xf numFmtId="49" fontId="41" fillId="57" borderId="84" xfId="0" applyFont="1" applyFill="1" applyBorder="1" applyNumberFormat="1">
      <alignment horizontal="left" vertical="center" wrapText="1" indent="1"/>
    </xf>
    <xf numFmtId="49" fontId="41" fillId="57" borderId="82" xfId="0" applyFont="1" applyFill="1" applyBorder="1" applyNumberFormat="1">
      <alignment vertical="center" wrapText="1"/>
    </xf>
    <xf numFmtId="49" fontId="41" fillId="57" borderId="84" xfId="0" applyFont="1" applyFill="1" applyBorder="1" applyNumberFormat="1">
      <alignment horizontal="left" vertical="center" wrapText="1" indent="1"/>
    </xf>
    <xf numFmtId="49" fontId="41" fillId="57" borderId="82" xfId="0" applyFont="1" applyFill="1" applyBorder="1" applyNumberFormat="1">
      <alignment vertical="center" wrapText="1"/>
    </xf>
    <xf numFmtId="49" fontId="41" fillId="57" borderId="82" xfId="0" applyFont="1" applyFill="1" applyBorder="1" applyNumberFormat="1">
      <alignment horizontal="left" vertical="center" wrapText="1" indent="1"/>
    </xf>
    <xf numFmtId="0" fontId="0" fillId="0" borderId="0" xfId="0" applyFont="1">
      <alignment vertical="center" wrapText="1"/>
    </xf>
    <xf numFmtId="49" fontId="19" fillId="34" borderId="10" xfId="0" applyFont="1" applyFill="1" applyBorder="1" applyNumberFormat="1">
      <alignment horizontal="right" vertical="center" wrapText="1"/>
      <protection locked="0"/>
    </xf>
    <xf numFmtId="0" fontId="19" fillId="33" borderId="10" xfId="0" applyFont="1" applyFill="1" applyBorder="1">
      <alignment horizontal="left" vertical="center" wrapText="1"/>
    </xf>
    <xf numFmtId="4" fontId="19" fillId="34" borderId="10" xfId="0" applyFont="1" applyFill="1" applyBorder="1" applyNumberFormat="1">
      <alignment horizontal="right" vertical="center"/>
    </xf>
    <xf numFmtId="49" fontId="21" fillId="34" borderId="10" xfId="0" applyFont="1" applyFill="1" applyBorder="1" applyNumberFormat="1">
      <alignment horizontal="left" vertical="center" wrapText="1"/>
    </xf>
    <xf numFmtId="4" fontId="19" fillId="34" borderId="10" xfId="52" applyFont="1" applyFill="1" applyBorder="1" applyNumberFormat="1">
      <alignment horizontal="right" vertical="center"/>
      <protection locked="0"/>
    </xf>
    <xf numFmtId="49" fontId="21" fillId="34" borderId="10" xfId="53" applyFont="1" applyFill="1" applyBorder="1" applyNumberFormat="1">
      <alignment horizontal="left" vertical="center" wrapText="1"/>
      <protection locked="0"/>
    </xf>
    <xf numFmtId="4" fontId="19" fillId="34" borderId="10" xfId="0" applyFont="1" applyFill="1" applyBorder="1" applyNumberFormat="1">
      <alignment horizontal="right" vertical="center"/>
      <protection locked="0"/>
    </xf>
    <xf numFmtId="49" fontId="21" fillId="34" borderId="10" xfId="0" applyFont="1" applyFill="1" applyBorder="1" applyNumberFormat="1">
      <alignment horizontal="left" vertical="center" wrapText="1"/>
      <protection locked="0"/>
    </xf>
    <xf numFmtId="49" fontId="41" fillId="57" borderId="81" xfId="0" applyFont="1" applyFill="1" applyBorder="1" applyNumberFormat="1">
      <alignment horizontal="left" vertical="center" wrapText="1" indent="1"/>
    </xf>
    <xf numFmtId="49" fontId="41" fillId="57" borderId="82" xfId="0" applyFont="1" applyFill="1" applyBorder="1" applyNumberFormat="1">
      <alignment vertical="center" wrapTex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3" xfId="0" applyFont="1" applyFill="1" applyBorder="1" applyNumberFormat="1">
      <alignment horizontal="left" vertical="center" wrapText="1" indent="1"/>
    </xf>
    <xf numFmtId="4" fontId="19" fillId="34" borderId="10" xfId="0" applyFont="1" applyFill="1" applyBorder="1" applyNumberFormat="1">
      <alignment horizontal="right" vertical="center"/>
      <protection locked="0"/>
    </xf>
    <xf numFmtId="49" fontId="41" fillId="57" borderId="84" xfId="0" applyFont="1" applyFill="1" applyBorder="1" applyNumberFormat="1">
      <alignment horizontal="left" vertical="center" wrapText="1" indent="1"/>
    </xf>
    <xf numFmtId="49" fontId="41" fillId="57" borderId="82" xfId="0" applyFont="1" applyFill="1" applyBorder="1" applyNumberFormat="1">
      <alignment vertical="center" wrapTex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4" xfId="0" applyFont="1" applyFill="1" applyBorder="1" applyNumberFormat="1">
      <alignment horizontal="left" vertical="center" wrapText="1" indent="1"/>
    </xf>
    <xf numFmtId="49" fontId="41" fillId="57" borderId="82" xfId="0" applyFont="1" applyFill="1" applyBorder="1" applyNumberFormat="1">
      <alignment vertical="center" wrapTex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0" fontId="0" fillId="0" borderId="0" xfId="0" applyFont="1">
      <alignment vertical="center" wrapText="1"/>
    </xf>
    <xf numFmtId="0" fontId="19" fillId="33" borderId="10" xfId="0" applyFont="1" applyFill="1" applyBorder="1">
      <alignment horizontal="left" vertical="center" wrapText="1"/>
    </xf>
    <xf numFmtId="4" fontId="19" fillId="34" borderId="10" xfId="0" applyFont="1" applyFill="1" applyBorder="1" applyNumberFormat="1">
      <alignment horizontal="right" vertical="center"/>
    </xf>
    <xf numFmtId="49" fontId="21" fillId="34" borderId="10" xfId="0" applyFont="1" applyFill="1" applyBorder="1" applyNumberFormat="1">
      <alignment horizontal="left" vertical="center" wrapText="1"/>
    </xf>
    <xf numFmtId="4" fontId="19" fillId="34" borderId="10" xfId="0" applyFont="1" applyFill="1" applyBorder="1" applyNumberFormat="1">
      <alignment horizontal="right" vertical="center"/>
      <protection locked="0"/>
    </xf>
    <xf numFmtId="49" fontId="21" fillId="34" borderId="10" xfId="0" applyFont="1" applyFill="1" applyBorder="1" applyNumberFormat="1">
      <alignment horizontal="left" vertical="center" wrapText="1"/>
      <protection locked="0"/>
    </xf>
    <xf numFmtId="49" fontId="41" fillId="57" borderId="81" xfId="0" applyFont="1" applyFill="1" applyBorder="1" applyNumberFormat="1">
      <alignment horizontal="left" vertical="center" wrapText="1" indent="1"/>
    </xf>
    <xf numFmtId="49" fontId="41" fillId="57" borderId="82" xfId="0" applyFont="1" applyFill="1" applyBorder="1" applyNumberFormat="1">
      <alignment vertical="center" wrapTex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3" xfId="0" applyFont="1" applyFill="1" applyBorder="1" applyNumberFormat="1">
      <alignment horizontal="left" vertical="center" wrapText="1" indent="1"/>
    </xf>
    <xf numFmtId="49" fontId="41" fillId="57" borderId="84" xfId="0" applyFont="1" applyFill="1" applyBorder="1" applyNumberFormat="1">
      <alignment horizontal="left" vertical="center" wrapText="1" indent="1"/>
    </xf>
    <xf numFmtId="49" fontId="41" fillId="57" borderId="82" xfId="0" applyFont="1" applyFill="1" applyBorder="1" applyNumberFormat="1">
      <alignment vertical="center" wrapTex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4" xfId="0" applyFont="1" applyFill="1" applyBorder="1" applyNumberFormat="1">
      <alignment horizontal="left" vertical="center" wrapText="1" indent="1"/>
    </xf>
    <xf numFmtId="49" fontId="41" fillId="57" borderId="82" xfId="0" applyFont="1" applyFill="1" applyBorder="1" applyNumberFormat="1">
      <alignment vertical="center" wrapTex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0" fontId="0" fillId="0" borderId="0" xfId="0" applyFont="1">
      <alignment vertical="center" wrapText="1"/>
    </xf>
    <xf numFmtId="0" fontId="19" fillId="33" borderId="10" xfId="0" applyFont="1" applyFill="1" applyBorder="1">
      <alignment horizontal="left" vertical="center" wrapText="1"/>
    </xf>
    <xf numFmtId="4" fontId="19" fillId="34" borderId="10" xfId="0" applyFont="1" applyFill="1" applyBorder="1" applyNumberFormat="1">
      <alignment horizontal="right" vertical="center"/>
    </xf>
    <xf numFmtId="49" fontId="21" fillId="34" borderId="10" xfId="0" applyFont="1" applyFill="1" applyBorder="1" applyNumberFormat="1">
      <alignment horizontal="left" vertical="center" wrapText="1"/>
    </xf>
    <xf numFmtId="4" fontId="19" fillId="34" borderId="10" xfId="0" applyFont="1" applyFill="1" applyBorder="1" applyNumberFormat="1">
      <alignment horizontal="right" vertical="center"/>
      <protection locked="0"/>
    </xf>
    <xf numFmtId="49" fontId="21" fillId="34" borderId="10" xfId="0" applyFont="1" applyFill="1" applyBorder="1" applyNumberFormat="1">
      <alignment horizontal="left" vertical="center" wrapText="1"/>
      <protection locked="0"/>
    </xf>
    <xf numFmtId="49" fontId="41" fillId="57" borderId="81" xfId="0" applyFont="1" applyFill="1" applyBorder="1" applyNumberFormat="1">
      <alignment horizontal="left" vertical="center" wrapText="1" indent="1"/>
    </xf>
    <xf numFmtId="49" fontId="41" fillId="57" borderId="82" xfId="0" applyFont="1" applyFill="1" applyBorder="1" applyNumberFormat="1">
      <alignment vertical="center" wrapTex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3" xfId="0" applyFont="1" applyFill="1" applyBorder="1" applyNumberFormat="1">
      <alignment horizontal="left" vertical="center" wrapText="1" indent="1"/>
    </xf>
    <xf numFmtId="49" fontId="41" fillId="57" borderId="84" xfId="0" applyFont="1" applyFill="1" applyBorder="1" applyNumberFormat="1">
      <alignment horizontal="left" vertical="center" wrapText="1" indent="1"/>
    </xf>
    <xf numFmtId="49" fontId="41" fillId="57" borderId="82" xfId="0" applyFont="1" applyFill="1" applyBorder="1" applyNumberFormat="1">
      <alignment vertical="center" wrapTex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4" xfId="0" applyFont="1" applyFill="1" applyBorder="1" applyNumberFormat="1">
      <alignment horizontal="left" vertical="center" wrapText="1" indent="1"/>
    </xf>
    <xf numFmtId="49" fontId="41" fillId="57" borderId="82" xfId="0" applyFont="1" applyFill="1" applyBorder="1" applyNumberFormat="1">
      <alignment vertical="center" wrapTex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0" fontId="0" fillId="0" borderId="0" xfId="0" applyFont="1">
      <alignment vertical="center" wrapText="1"/>
    </xf>
    <xf numFmtId="0" fontId="19" fillId="33" borderId="10" xfId="0" applyFont="1" applyFill="1" applyBorder="1">
      <alignment horizontal="left" vertical="center" wrapText="1"/>
    </xf>
    <xf numFmtId="4" fontId="19" fillId="34" borderId="10" xfId="0" applyFont="1" applyFill="1" applyBorder="1" applyNumberFormat="1">
      <alignment horizontal="right" vertical="center"/>
    </xf>
    <xf numFmtId="49" fontId="21" fillId="34" borderId="10" xfId="0" applyFont="1" applyFill="1" applyBorder="1" applyNumberFormat="1">
      <alignment horizontal="left" vertical="center" wrapText="1"/>
    </xf>
    <xf numFmtId="4" fontId="19" fillId="34" borderId="10" xfId="0" applyFont="1" applyFill="1" applyBorder="1" applyNumberFormat="1">
      <alignment horizontal="right" vertical="center"/>
      <protection locked="0"/>
    </xf>
    <xf numFmtId="49" fontId="21" fillId="34" borderId="10" xfId="0" applyFont="1" applyFill="1" applyBorder="1" applyNumberFormat="1">
      <alignment horizontal="left" vertical="center" wrapText="1"/>
      <protection locked="0"/>
    </xf>
    <xf numFmtId="49" fontId="41" fillId="57" borderId="81" xfId="0" applyFont="1" applyFill="1" applyBorder="1" applyNumberFormat="1">
      <alignment horizontal="left" vertical="center" wrapText="1" indent="1"/>
    </xf>
    <xf numFmtId="49" fontId="41" fillId="57" borderId="82" xfId="0" applyFont="1" applyFill="1" applyBorder="1" applyNumberFormat="1">
      <alignment vertical="center" wrapTex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3" xfId="0" applyFont="1" applyFill="1" applyBorder="1" applyNumberFormat="1">
      <alignment horizontal="left" vertical="center" wrapText="1" indent="1"/>
    </xf>
    <xf numFmtId="49" fontId="41" fillId="57" borderId="84" xfId="0" applyFont="1" applyFill="1" applyBorder="1" applyNumberFormat="1">
      <alignment horizontal="left" vertical="center" wrapText="1" indent="1"/>
    </xf>
    <xf numFmtId="49" fontId="41" fillId="57" borderId="82" xfId="0" applyFont="1" applyFill="1" applyBorder="1" applyNumberFormat="1">
      <alignment vertical="center" wrapTex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4" xfId="0" applyFont="1" applyFill="1" applyBorder="1" applyNumberFormat="1">
      <alignment horizontal="left" vertical="center" wrapText="1" indent="1"/>
    </xf>
    <xf numFmtId="49" fontId="41" fillId="57" borderId="82" xfId="0" applyFont="1" applyFill="1" applyBorder="1" applyNumberFormat="1">
      <alignment vertical="center" wrapTex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49" fontId="41" fillId="57" borderId="82" xfId="0" applyFont="1" applyFill="1" applyBorder="1" applyNumberFormat="1">
      <alignment horizontal="left" vertical="center" wrapText="1" indent="1"/>
    </xf>
    <xf numFmtId="0" fontId="1" fillId="0" borderId="11" xfId="0" applyFont="1" applyBorder="1">
      <alignment vertical="center"/>
    </xf>
    <xf numFmtId="49" fontId="19" fillId="34" borderId="17" xfId="0" applyFont="1" applyFill="1" applyBorder="1" applyNumberFormat="1">
      <alignment horizontal="left" vertical="top" wrapText="1"/>
    </xf>
    <xf numFmtId="49" fontId="19" fillId="34" borderId="16" xfId="65" applyFont="1" applyFill="1" applyBorder="1" applyNumberFormat="1">
      <alignment horizontal="left" vertical="top" wrapText="1"/>
      <protection locked="0"/>
    </xf>
    <xf numFmtId="0" fontId="21" fillId="43" borderId="17" xfId="0" applyFont="1" applyFill="1" applyBorder="1">
      <alignment vertical="center"/>
    </xf>
    <xf numFmtId="49" fontId="43" fillId="0" borderId="22" xfId="0" applyFont="1" applyBorder="1" applyNumberFormat="1">
      <alignment vertical="center" wrapText="1"/>
    </xf>
    <xf numFmtId="0" fontId="21" fillId="0" borderId="0" xfId="0" applyFont="1">
      <alignment horizontal="center" vertical="center" wrapText="1"/>
    </xf>
    <xf numFmtId="0" fontId="32" fillId="0" borderId="0" xfId="0" applyFont="1">
      <alignment horizontal="center" vertical="center"/>
    </xf>
    <xf numFmtId="0" fontId="32" fillId="0" borderId="0" xfId="0" applyFont="1">
      <alignment horizontal="center" vertical="center"/>
    </xf>
    <xf numFmtId="0" fontId="21" fillId="0" borderId="0" xfId="0" applyFont="1">
      <alignment horizontal="center" vertical="center"/>
    </xf>
    <xf numFmtId="4" fontId="21" fillId="34" borderId="11" xfId="0" applyFont="1" applyFill="1" applyBorder="1" applyNumberFormat="1">
      <alignment horizontal="right" vertical="center"/>
    </xf>
    <xf numFmtId="0" fontId="45" fillId="44" borderId="16" xfId="0" applyFont="1" applyFill="1" applyBorder="1">
      <alignment horizontal="center" vertical="center" wrapText="1"/>
    </xf>
    <xf numFmtId="0" fontId="19" fillId="44" borderId="0" xfId="0" applyFont="1" applyFill="1">
      <alignment horizontal="left" vertical="center" wrapText="1"/>
    </xf>
    <xf numFmtId="4" fontId="19" fillId="44" borderId="0" xfId="0" applyFont="1" applyFill="1" applyNumberFormat="1">
      <alignment horizontal="right" vertical="center"/>
    </xf>
    <xf numFmtId="49" fontId="19" fillId="44" borderId="18" xfId="0" applyFont="1" applyFill="1" applyBorder="1" applyNumberFormat="1">
      <alignment horizontal="left" vertical="center"/>
    </xf>
    <xf numFmtId="0" fontId="1" fillId="0" borderId="0" xfId="0" applyFont="1">
      <alignment horizontal="center" vertical="center" wrapText="1"/>
    </xf>
    <xf numFmtId="0" fontId="53" fillId="0" borderId="0" xfId="0" applyFont="1">
      <alignment horizontal="center" vertical="top" wrapText="1"/>
    </xf>
    <xf numFmtId="0" fontId="19" fillId="33" borderId="11" xfId="0" applyFont="1" applyFill="1" applyBorder="1">
      <alignment horizontal="left" vertical="center" wrapText="1"/>
    </xf>
    <xf numFmtId="4" fontId="19" fillId="0" borderId="0" xfId="0" applyFont="1" applyNumberFormat="1">
      <alignment horizontal="right" vertical="center"/>
    </xf>
    <xf numFmtId="49" fontId="19" fillId="0" borderId="0" xfId="0" applyFont="1" applyNumberFormat="1">
      <alignment horizontal="left" vertical="center"/>
    </xf>
    <xf numFmtId="0" fontId="53" fillId="0" borderId="14" xfId="0" applyFont="1" applyBorder="1">
      <alignment horizontal="center" vertical="top" wrapText="1"/>
    </xf>
    <xf numFmtId="0" fontId="19" fillId="35" borderId="10" xfId="0" applyFont="1" applyFill="1" applyBorder="1">
      <alignment horizontal="left" vertical="center" wrapText="1"/>
    </xf>
    <xf numFmtId="0" fontId="21" fillId="0" borderId="0" xfId="0" applyFont="1">
      <alignment horizontal="center" vertical="center" wrapText="1"/>
    </xf>
    <xf numFmtId="0" fontId="19" fillId="44" borderId="0" xfId="0" applyFont="1" applyFill="1">
      <alignment vertical="center"/>
    </xf>
    <xf numFmtId="0" fontId="51" fillId="0" borderId="0" xfId="0" applyFont="1">
      <alignment horizontal="left" vertical="top"/>
    </xf>
    <xf numFmtId="0" fontId="41" fillId="43" borderId="27" xfId="0" applyFont="1" applyFill="1" applyBorder="1">
      <alignment horizontal="left" vertical="center" wrapText="1" indent="1"/>
    </xf>
    <xf numFmtId="0" fontId="0" fillId="0" borderId="0" xfId="0" applyFont="1">
      <alignment vertical="center" wrapText="1"/>
    </xf>
    <xf numFmtId="4" fontId="21" fillId="34" borderId="11" xfId="0" applyFont="1" applyFill="1" applyBorder="1" applyNumberFormat="1">
      <alignment horizontal="right" vertical="center"/>
      <protection locked="0"/>
    </xf>
    <xf numFmtId="0" fontId="41" fillId="43" borderId="27" xfId="0" applyFont="1" applyFill="1" applyBorder="1">
      <alignment horizontal="left" vertical="center" wrapText="1" indent="1"/>
    </xf>
    <xf numFmtId="49" fontId="41" fillId="43" borderId="28" xfId="0" applyFont="1" applyFill="1" applyBorder="1" applyNumberFormat="1">
      <alignment vertical="center" wrapTex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34" xfId="0" applyFont="1" applyFill="1" applyBorder="1" applyNumberFormat="1">
      <alignment horizontal="left" vertical="center" wrapText="1" indent="1"/>
    </xf>
    <xf numFmtId="49" fontId="21" fillId="34" borderId="10" xfId="0" applyFont="1" applyFill="1" applyBorder="1" applyNumberFormat="1">
      <alignment horizontal="left" vertical="center" wrapText="1"/>
    </xf>
    <xf numFmtId="4" fontId="19" fillId="34" borderId="10" xfId="0" applyFont="1" applyFill="1" applyBorder="1" applyNumberFormat="1">
      <alignment horizontal="right" vertical="center"/>
    </xf>
    <xf numFmtId="0" fontId="19" fillId="35" borderId="10" xfId="54" applyFont="1" applyFill="1" applyBorder="1">
      <alignment horizontal="left" vertical="center" wrapText="1"/>
      <protection locked="0"/>
    </xf>
    <xf numFmtId="49" fontId="21" fillId="34" borderId="10" xfId="0" applyFont="1" applyFill="1" applyBorder="1" applyNumberFormat="1">
      <alignment horizontal="left" vertical="center" wrapText="1"/>
      <protection locked="0"/>
    </xf>
    <xf numFmtId="4" fontId="19" fillId="34" borderId="10" xfId="0" applyFont="1" applyFill="1" applyBorder="1" applyNumberFormat="1">
      <alignment horizontal="right" vertical="center"/>
      <protection locked="0"/>
    </xf>
    <xf numFmtId="49" fontId="41" fillId="43" borderId="27" xfId="0" applyFont="1" applyFill="1" applyBorder="1" applyNumberFormat="1">
      <alignment horizontal="left" vertical="center" wrapText="1" indent="1"/>
    </xf>
    <xf numFmtId="49" fontId="41" fillId="43" borderId="28" xfId="0" applyFont="1" applyFill="1" applyBorder="1" applyNumberFormat="1">
      <alignment vertical="center" wrapTex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34" xfId="0" applyFont="1" applyFill="1" applyBorder="1" applyNumberFormat="1">
      <alignment horizontal="left" vertical="center" wrapText="1" indent="1"/>
    </xf>
    <xf numFmtId="0" fontId="0" fillId="0" borderId="0" xfId="0" applyFont="1">
      <alignment vertical="center" wrapText="1"/>
    </xf>
    <xf numFmtId="0" fontId="41" fillId="43" borderId="27" xfId="0" applyFont="1" applyFill="1" applyBorder="1">
      <alignment horizontal="left" vertical="center" wrapText="1" indent="1"/>
    </xf>
    <xf numFmtId="49" fontId="41" fillId="43" borderId="28" xfId="0" applyFont="1" applyFill="1" applyBorder="1" applyNumberFormat="1">
      <alignment vertical="center" wrapTex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34" xfId="0" applyFont="1" applyFill="1" applyBorder="1" applyNumberFormat="1">
      <alignment horizontal="left" vertical="center" wrapText="1" indent="1"/>
    </xf>
    <xf numFmtId="0" fontId="19" fillId="35" borderId="10" xfId="0" applyFont="1" applyFill="1" applyBorder="1">
      <alignment horizontal="left" vertical="center" wrapText="1"/>
    </xf>
    <xf numFmtId="49" fontId="21" fillId="34" borderId="10" xfId="0" applyFont="1" applyFill="1" applyBorder="1" applyNumberFormat="1">
      <alignment horizontal="left" vertical="center" wrapText="1"/>
    </xf>
    <xf numFmtId="4" fontId="19" fillId="34" borderId="10" xfId="0" applyFont="1" applyFill="1" applyBorder="1" applyNumberFormat="1">
      <alignment horizontal="right" vertical="center"/>
    </xf>
    <xf numFmtId="0" fontId="19" fillId="35" borderId="10" xfId="0" applyFont="1" applyFill="1" applyBorder="1">
      <alignment horizontal="left" vertical="center" wrapText="1"/>
      <protection locked="0"/>
    </xf>
    <xf numFmtId="49" fontId="21" fillId="34" borderId="10" xfId="0" applyFont="1" applyFill="1" applyBorder="1" applyNumberFormat="1">
      <alignment horizontal="left" vertical="center" wrapText="1"/>
      <protection locked="0"/>
    </xf>
    <xf numFmtId="4" fontId="19" fillId="34" borderId="10" xfId="0" applyFont="1" applyFill="1" applyBorder="1" applyNumberFormat="1">
      <alignment horizontal="right" vertical="center"/>
      <protection locked="0"/>
    </xf>
    <xf numFmtId="49" fontId="41" fillId="43" borderId="27" xfId="0" applyFont="1" applyFill="1" applyBorder="1" applyNumberFormat="1">
      <alignment horizontal="left" vertical="center" wrapText="1" indent="1"/>
    </xf>
    <xf numFmtId="49" fontId="41" fillId="43" borderId="28" xfId="0" applyFont="1" applyFill="1" applyBorder="1" applyNumberFormat="1">
      <alignment vertical="center" wrapTex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34" xfId="0" applyFont="1" applyFill="1" applyBorder="1" applyNumberFormat="1">
      <alignment horizontal="left" vertical="center" wrapText="1" indent="1"/>
    </xf>
    <xf numFmtId="0" fontId="0" fillId="0" borderId="0" xfId="0" applyFont="1">
      <alignment vertical="center" wrapText="1"/>
    </xf>
    <xf numFmtId="0" fontId="19" fillId="35" borderId="10" xfId="0" applyFont="1" applyFill="1" applyBorder="1">
      <alignment horizontal="left" vertical="center" wrapText="1"/>
    </xf>
    <xf numFmtId="4" fontId="19" fillId="34" borderId="10" xfId="0" applyFont="1" applyFill="1" applyBorder="1" applyNumberFormat="1">
      <alignment horizontal="right" vertical="center"/>
    </xf>
    <xf numFmtId="49" fontId="21" fillId="34" borderId="10" xfId="0" applyFont="1" applyFill="1" applyBorder="1" applyNumberFormat="1">
      <alignment horizontal="left" vertical="center" wrapText="1"/>
    </xf>
    <xf numFmtId="0" fontId="19" fillId="35" borderId="10" xfId="0" applyFont="1" applyFill="1" applyBorder="1">
      <alignment horizontal="left" vertical="center" wrapText="1"/>
      <protection locked="0"/>
    </xf>
    <xf numFmtId="4" fontId="19" fillId="34" borderId="10" xfId="0" applyFont="1" applyFill="1" applyBorder="1" applyNumberFormat="1">
      <alignment horizontal="right" vertical="center"/>
      <protection locked="0"/>
    </xf>
    <xf numFmtId="49" fontId="21" fillId="34" borderId="10" xfId="0" applyFont="1" applyFill="1" applyBorder="1" applyNumberFormat="1">
      <alignment horizontal="left" vertical="center" wrapText="1"/>
      <protection locked="0"/>
    </xf>
    <xf numFmtId="0" fontId="41" fillId="43" borderId="27" xfId="0" applyFont="1" applyFill="1" applyBorder="1">
      <alignment horizontal="left" vertical="center" wrapText="1" indent="1"/>
    </xf>
    <xf numFmtId="49" fontId="41" fillId="43" borderId="28" xfId="0" applyFont="1" applyFill="1" applyBorder="1" applyNumberFormat="1">
      <alignment vertical="center" wrapTex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34" xfId="0" applyFont="1" applyFill="1" applyBorder="1" applyNumberFormat="1">
      <alignment horizontal="left" vertical="center" wrapText="1" indent="1"/>
    </xf>
    <xf numFmtId="0" fontId="19" fillId="35" borderId="10" xfId="0" applyFont="1" applyFill="1" applyBorder="1">
      <alignment horizontal="left" vertical="center" wrapText="1"/>
    </xf>
    <xf numFmtId="49" fontId="21" fillId="34" borderId="10" xfId="0" applyFont="1" applyFill="1" applyBorder="1" applyNumberFormat="1">
      <alignment horizontal="left" vertical="center" wrapText="1"/>
    </xf>
    <xf numFmtId="4" fontId="19" fillId="34" borderId="10" xfId="0" applyFont="1" applyFill="1" applyBorder="1" applyNumberFormat="1">
      <alignment horizontal="right" vertical="center"/>
    </xf>
    <xf numFmtId="0" fontId="19" fillId="35" borderId="10" xfId="0" applyFont="1" applyFill="1" applyBorder="1">
      <alignment horizontal="left" vertical="center" wrapText="1"/>
      <protection locked="0"/>
    </xf>
    <xf numFmtId="49" fontId="21" fillId="34" borderId="10" xfId="0" applyFont="1" applyFill="1" applyBorder="1" applyNumberFormat="1">
      <alignment horizontal="left" vertical="center" wrapText="1"/>
      <protection locked="0"/>
    </xf>
    <xf numFmtId="4" fontId="19" fillId="34" borderId="10" xfId="0" applyFont="1" applyFill="1" applyBorder="1" applyNumberFormat="1">
      <alignment horizontal="right" vertical="center"/>
      <protection locked="0"/>
    </xf>
    <xf numFmtId="49" fontId="41" fillId="43" borderId="27" xfId="0" applyFont="1" applyFill="1" applyBorder="1" applyNumberFormat="1">
      <alignment horizontal="left" vertical="center" wrapText="1" indent="1"/>
    </xf>
    <xf numFmtId="49" fontId="41" fillId="43" borderId="28" xfId="0" applyFont="1" applyFill="1" applyBorder="1" applyNumberFormat="1">
      <alignment vertical="center" wrapTex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34" xfId="0" applyFont="1" applyFill="1" applyBorder="1" applyNumberFormat="1">
      <alignment horizontal="left" vertical="center" wrapText="1" indent="1"/>
    </xf>
    <xf numFmtId="0" fontId="0" fillId="0" borderId="0" xfId="0" applyFont="1">
      <alignment vertical="center" wrapText="1"/>
    </xf>
    <xf numFmtId="0" fontId="41" fillId="43" borderId="27" xfId="0" applyFont="1" applyFill="1" applyBorder="1">
      <alignment horizontal="left" vertical="center" wrapText="1" indent="1"/>
    </xf>
    <xf numFmtId="49" fontId="41" fillId="43" borderId="28" xfId="0" applyFont="1" applyFill="1" applyBorder="1" applyNumberFormat="1">
      <alignment vertical="center" wrapTex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34" xfId="0" applyFont="1" applyFill="1" applyBorder="1" applyNumberFormat="1">
      <alignment horizontal="left" vertical="center" wrapText="1" indent="1"/>
    </xf>
    <xf numFmtId="0" fontId="19" fillId="35" borderId="10" xfId="0" applyFont="1" applyFill="1" applyBorder="1">
      <alignment horizontal="left" vertical="center" wrapText="1"/>
    </xf>
    <xf numFmtId="49" fontId="21" fillId="34" borderId="10" xfId="0" applyFont="1" applyFill="1" applyBorder="1" applyNumberFormat="1">
      <alignment horizontal="left" vertical="center" wrapText="1"/>
    </xf>
    <xf numFmtId="4" fontId="19" fillId="34" borderId="10" xfId="0" applyFont="1" applyFill="1" applyBorder="1" applyNumberFormat="1">
      <alignment horizontal="right" vertical="center"/>
    </xf>
    <xf numFmtId="0" fontId="19" fillId="35" borderId="10" xfId="0" applyFont="1" applyFill="1" applyBorder="1">
      <alignment horizontal="left" vertical="center" wrapText="1"/>
      <protection locked="0"/>
    </xf>
    <xf numFmtId="49" fontId="21" fillId="34" borderId="10" xfId="0" applyFont="1" applyFill="1" applyBorder="1" applyNumberFormat="1">
      <alignment horizontal="left" vertical="center" wrapText="1"/>
      <protection locked="0"/>
    </xf>
    <xf numFmtId="4" fontId="19" fillId="34" borderId="10" xfId="0" applyFont="1" applyFill="1" applyBorder="1" applyNumberFormat="1">
      <alignment horizontal="right" vertical="center"/>
      <protection locked="0"/>
    </xf>
    <xf numFmtId="49" fontId="41" fillId="43" borderId="27" xfId="0" applyFont="1" applyFill="1" applyBorder="1" applyNumberFormat="1">
      <alignment horizontal="left" vertical="center" wrapText="1" indent="1"/>
    </xf>
    <xf numFmtId="49" fontId="41" fillId="43" borderId="28" xfId="0" applyFont="1" applyFill="1" applyBorder="1" applyNumberFormat="1">
      <alignment vertical="center" wrapTex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28" xfId="0" applyFont="1" applyFill="1" applyBorder="1" applyNumberFormat="1">
      <alignment horizontal="left" vertical="center" wrapText="1" indent="1"/>
    </xf>
    <xf numFmtId="49" fontId="41" fillId="43" borderId="34" xfId="0" applyFont="1" applyFill="1" applyBorder="1" applyNumberFormat="1">
      <alignment horizontal="left" vertical="center" wrapText="1" indent="1"/>
    </xf>
    <xf numFmtId="0" fontId="19" fillId="0" borderId="17" xfId="0" applyFont="1" applyBorder="1">
      <alignment horizontal="center" vertical="center" wrapText="1"/>
    </xf>
    <xf numFmtId="0" fontId="53" fillId="0" borderId="14" xfId="0" applyFont="1" applyBorder="1">
      <alignment horizontal="center" vertical="center" wrapText="1"/>
    </xf>
    <xf numFmtId="49" fontId="19" fillId="34" borderId="16" xfId="0" applyFont="1" applyFill="1" applyBorder="1" applyNumberFormat="1">
      <alignment horizontal="left" vertical="top" wrapText="1"/>
    </xf>
    <xf numFmtId="49" fontId="19" fillId="34" borderId="18" xfId="0" applyFont="1" applyFill="1" applyBorder="1" applyNumberFormat="1">
      <alignment horizontal="left" vertical="top" wrapText="1"/>
    </xf>
    <xf numFmtId="0" fontId="19" fillId="44" borderId="0" xfId="0" applyFont="1" applyFill="1">
      <alignment horizontal="center"/>
    </xf>
    <xf numFmtId="0" fontId="19" fillId="0" borderId="0" xfId="0" applyFont="1">
      <alignment horizontal="left"/>
    </xf>
    <xf numFmtId="0" fontId="19" fillId="4" borderId="0" xfId="0" applyFont="1" applyFill="1">
      <alignment horizontal="center"/>
    </xf>
    <xf numFmtId="0" fontId="25" fillId="0" borderId="0" xfId="0" applyFont="1">
      <alignment horizontal="center"/>
    </xf>
    <xf numFmtId="1" fontId="21" fillId="0" borderId="0" xfId="0" applyFont="1" applyNumberFormat="1">
      <alignment vertical="center"/>
    </xf>
    <xf numFmtId="49" fontId="40" fillId="42" borderId="18" xfId="0" applyFont="1" applyFill="1" applyBorder="1" applyNumberFormat="1">
      <alignment horizontal="left" vertical="center" wrapText="1"/>
    </xf>
    <xf numFmtId="0" fontId="34" fillId="0" borderId="0" xfId="0" applyFont="1">
      <alignment horizontal="center"/>
    </xf>
    <xf numFmtId="0" fontId="25" fillId="44" borderId="0" xfId="0" applyFont="1" applyFill="1"/>
    <xf numFmtId="0" fontId="25" fillId="0" borderId="11" xfId="0" applyFont="1" applyBorder="1">
      <alignment horizontal="center" vertical="center"/>
    </xf>
    <xf numFmtId="0" fontId="25" fillId="0" borderId="11" xfId="0" applyFont="1" applyBorder="1">
      <alignment vertical="center" wrapText="1"/>
    </xf>
    <xf numFmtId="4" fontId="25" fillId="34" borderId="11" xfId="0" applyFont="1" applyFill="1" applyBorder="1" applyNumberFormat="1">
      <alignment horizontal="right" vertical="center"/>
    </xf>
    <xf numFmtId="0" fontId="19" fillId="4" borderId="0" xfId="0" applyFont="1" applyFill="1">
      <alignment horizontal="left" vertical="top"/>
    </xf>
    <xf numFmtId="4" fontId="19" fillId="34" borderId="11" xfId="0" applyFont="1" applyFill="1" applyBorder="1" applyNumberFormat="1">
      <alignment horizontal="right" vertical="center"/>
    </xf>
    <xf numFmtId="4" fontId="25" fillId="0" borderId="11" xfId="0" applyFont="1" applyBorder="1" applyNumberFormat="1">
      <alignment horizontal="right" vertical="center"/>
    </xf>
    <xf numFmtId="49" fontId="32" fillId="0" borderId="0" xfId="0" applyFont="1" applyNumberFormat="1"/>
    <xf numFmtId="4" fontId="25" fillId="34" borderId="11" xfId="0"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 fillId="0" borderId="0" xfId="0" applyFont="1">
      <alignment vertical="center"/>
    </xf>
    <xf numFmtId="49" fontId="71" fillId="34" borderId="15" xfId="0" applyFont="1" applyFill="1" applyBorder="1" applyNumberFormat="1">
      <alignment horizontal="left" vertical="top" wrapText="1"/>
    </xf>
    <xf numFmtId="49" fontId="19" fillId="34" borderId="15" xfId="61" applyFont="1" applyFill="1" applyBorder="1" applyNumberFormat="1">
      <alignment horizontal="left" vertical="top" wrapText="1"/>
      <protection locked="0"/>
    </xf>
    <xf numFmtId="0" fontId="21" fillId="25" borderId="0" xfId="0" applyFont="1" applyFill="1"/>
    <xf numFmtId="0" fontId="21" fillId="0" borderId="0" xfId="0" applyFont="1">
      <alignment horizontal="left"/>
    </xf>
    <xf numFmtId="0" fontId="21" fillId="4" borderId="0" xfId="0" applyFont="1" applyFill="1">
      <alignment horizontal="center"/>
    </xf>
    <xf numFmtId="0" fontId="1" fillId="0" borderId="22" xfId="0" applyFont="1" applyBorder="1">
      <alignment vertical="center" wrapText="1"/>
    </xf>
    <xf numFmtId="0" fontId="40" fillId="42" borderId="16" xfId="0" applyFont="1" applyFill="1" applyBorder="1">
      <alignment horizontal="left" vertical="center"/>
    </xf>
    <xf numFmtId="0" fontId="32" fillId="0" borderId="0" xfId="0" applyFont="1">
      <alignment horizontal="left" vertical="center"/>
    </xf>
    <xf numFmtId="49" fontId="25" fillId="0" borderId="11" xfId="0" applyFont="1" applyBorder="1" applyNumberFormat="1">
      <alignment horizontal="center" vertical="center"/>
    </xf>
    <xf numFmtId="0" fontId="25" fillId="0" borderId="11" xfId="0" applyFont="1" applyBorder="1">
      <alignment horizontal="left" vertical="center" wrapText="1"/>
    </xf>
    <xf numFmtId="0" fontId="25" fillId="36" borderId="10" xfId="0" applyFont="1" applyFill="1" applyBorder="1">
      <alignment horizontal="center" vertical="center" wrapText="1"/>
    </xf>
    <xf numFmtId="4" fontId="19" fillId="38" borderId="11" xfId="0" applyFont="1" applyFill="1" applyBorder="1" applyNumberFormat="1">
      <alignment horizontal="right" vertical="center"/>
    </xf>
    <xf numFmtId="0" fontId="19" fillId="4" borderId="0" xfId="0" applyFont="1" applyFill="1">
      <alignment horizontal="left" vertical="top"/>
    </xf>
    <xf numFmtId="0" fontId="19" fillId="0" borderId="11" xfId="0" applyFont="1" applyBorder="1">
      <alignment horizontal="left" vertical="center" wrapText="1" indent="1"/>
    </xf>
    <xf numFmtId="0" fontId="19" fillId="36" borderId="10" xfId="0" applyFont="1" applyFill="1" applyBorder="1">
      <alignment horizontal="center" vertical="center" wrapText="1"/>
    </xf>
    <xf numFmtId="4" fontId="19" fillId="34" borderId="11" xfId="0" applyFont="1" applyFill="1" applyBorder="1" applyNumberFormat="1">
      <alignment horizontal="right" vertical="center"/>
    </xf>
    <xf numFmtId="0" fontId="19" fillId="0" borderId="11" xfId="0" applyFont="1" applyBorder="1">
      <alignment horizontal="left" vertical="center" wrapText="1" indent="2"/>
    </xf>
    <xf numFmtId="0" fontId="19" fillId="0" borderId="11" xfId="0" applyFont="1" applyBorder="1">
      <alignment horizontal="left" indent="1"/>
    </xf>
    <xf numFmtId="4" fontId="19" fillId="34" borderId="11" xfId="0" applyFont="1" applyFill="1" applyBorder="1" applyNumberFormat="1">
      <alignment horizontal="right" vertical="center"/>
      <protection locked="0"/>
    </xf>
    <xf numFmtId="0" fontId="19" fillId="25" borderId="0" xfId="0" applyFont="1" applyFill="1">
      <alignment horizontal="center"/>
    </xf>
    <xf numFmtId="0" fontId="19" fillId="4" borderId="0" xfId="0" applyFont="1" applyFill="1">
      <alignment vertical="top"/>
    </xf>
    <xf numFmtId="0" fontId="21" fillId="0" borderId="0" xfId="0" applyFont="1">
      <alignment vertical="center"/>
    </xf>
    <xf numFmtId="49" fontId="43" fillId="0" borderId="22" xfId="0" applyFont="1" applyBorder="1" applyNumberFormat="1">
      <alignment horizontal="left" vertical="center" wrapText="1" indent="1"/>
    </xf>
    <xf numFmtId="0" fontId="21" fillId="0" borderId="79" xfId="0" applyFont="1" applyBorder="1">
      <alignment horizontal="center" vertical="center" wrapText="1"/>
    </xf>
    <xf numFmtId="0" fontId="21" fillId="0" borderId="52" xfId="0" applyFont="1" applyBorder="1">
      <alignment horizontal="center" vertical="center" wrapText="1"/>
    </xf>
    <xf numFmtId="0" fontId="21" fillId="11" borderId="43" xfId="0" applyFont="1" applyFill="1" applyBorder="1">
      <alignment horizontal="center" vertical="center" wrapText="1"/>
    </xf>
    <xf numFmtId="0" fontId="21" fillId="0" borderId="11" xfId="0" applyFont="1" applyBorder="1">
      <alignment horizontal="center" vertical="center" wrapText="1"/>
    </xf>
    <xf numFmtId="0" fontId="21" fillId="0" borderId="0" xfId="0" applyFont="1">
      <alignment horizontal="center" vertical="center" wrapText="1"/>
    </xf>
    <xf numFmtId="0" fontId="40" fillId="42" borderId="16" xfId="0" applyFont="1" applyFill="1" applyBorder="1">
      <alignment horizontal="left" vertical="center"/>
    </xf>
    <xf numFmtId="49" fontId="40" fillId="42" borderId="17" xfId="0" applyFont="1" applyFill="1" applyBorder="1" applyNumberFormat="1">
      <alignment horizontal="left" vertical="center" wrapText="1"/>
    </xf>
    <xf numFmtId="49" fontId="40" fillId="42" borderId="18" xfId="0" applyFont="1" applyFill="1" applyBorder="1" applyNumberFormat="1">
      <alignment horizontal="left" vertical="center" wrapText="1"/>
    </xf>
    <xf numFmtId="0" fontId="21" fillId="0" borderId="0" xfId="0" applyFont="1">
      <alignment horizontal="left" vertical="center"/>
    </xf>
    <xf numFmtId="0" fontId="25" fillId="44" borderId="0" xfId="0" applyFont="1" applyFill="1"/>
    <xf numFmtId="0" fontId="25" fillId="0" borderId="0" xfId="0" applyFont="1"/>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xf>
    <xf numFmtId="49" fontId="19" fillId="0" borderId="10" xfId="0" applyFont="1" applyBorder="1" applyNumberFormat="1">
      <alignment horizontal="center" vertical="center" wrapText="1"/>
    </xf>
    <xf numFmtId="4" fontId="19" fillId="38" borderId="10" xfId="0" applyFont="1" applyFill="1" applyBorder="1" applyNumberFormat="1">
      <alignment horizontal="right" vertical="center" wrapText="1"/>
    </xf>
    <xf numFmtId="4" fontId="19" fillId="38" borderId="10" xfId="0" applyFont="1" applyFill="1" applyBorder="1" applyNumberFormat="1">
      <alignment horizontal="right" vertical="center" wrapText="1"/>
    </xf>
    <xf numFmtId="0" fontId="25" fillId="4" borderId="0" xfId="0" applyFont="1" applyFill="1"/>
    <xf numFmtId="0" fontId="21" fillId="0" borderId="0" xfId="0" applyFont="1">
      <alignment horizontal="left" vertical="center"/>
    </xf>
    <xf numFmtId="49" fontId="19" fillId="0" borderId="50" xfId="0" applyFont="1" applyBorder="1" applyNumberFormat="1">
      <alignment horizontal="center" vertical="center" wrapText="1"/>
    </xf>
    <xf numFmtId="49" fontId="19" fillId="0" borderId="50" xfId="0" applyFont="1" applyBorder="1" applyNumberFormat="1">
      <alignment horizontal="left" vertical="center" wrapText="1" indent="1"/>
    </xf>
    <xf numFmtId="49" fontId="19" fillId="0" borderId="50" xfId="0" applyFont="1" applyBorder="1" applyNumberFormat="1">
      <alignment horizontal="center" vertical="center" wrapText="1"/>
    </xf>
    <xf numFmtId="4" fontId="19" fillId="34" borderId="50" xfId="0" applyFont="1" applyFill="1" applyBorder="1" applyNumberFormat="1">
      <alignment horizontal="right" vertical="center" wrapText="1"/>
    </xf>
    <xf numFmtId="49" fontId="19" fillId="0" borderId="50" xfId="0" applyFont="1" applyBorder="1" applyNumberFormat="1">
      <alignment horizontal="left" vertical="center" wrapText="1" indent="1"/>
    </xf>
    <xf numFmtId="172" fontId="19" fillId="38" borderId="10" xfId="0" applyFont="1" applyFill="1" applyBorder="1" applyNumberFormat="1">
      <alignment horizontal="right" vertical="center" wrapText="1"/>
    </xf>
    <xf numFmtId="172" fontId="19" fillId="38" borderId="10" xfId="0" applyFont="1" applyFill="1" applyBorder="1" applyNumberFormat="1">
      <alignment horizontal="right" vertical="center" wrapText="1"/>
    </xf>
    <xf numFmtId="0" fontId="43" fillId="0" borderId="0" xfId="0" applyFont="1">
      <alignment horizontal="left" vertical="center"/>
    </xf>
    <xf numFmtId="1" fontId="25" fillId="0" borderId="10" xfId="0" applyFont="1" applyBorder="1" applyNumberFormat="1">
      <alignment horizontal="center" vertical="center" wrapText="1"/>
    </xf>
    <xf numFmtId="49" fontId="25" fillId="0" borderId="10" xfId="0" applyFont="1" applyBorder="1" applyNumberFormat="1">
      <alignment horizontal="left" vertical="center" wrapText="1"/>
    </xf>
    <xf numFmtId="49" fontId="25" fillId="0" borderId="10" xfId="0" applyFont="1" applyBorder="1" applyNumberFormat="1">
      <alignment horizontal="center" vertical="center" wrapText="1"/>
    </xf>
    <xf numFmtId="4" fontId="25" fillId="38" borderId="10" xfId="0" applyFont="1" applyFill="1" applyBorder="1" applyNumberFormat="1">
      <alignment horizontal="right" vertical="center" wrapText="1"/>
    </xf>
    <xf numFmtId="4" fontId="25" fillId="38" borderId="10" xfId="0" applyFont="1" applyFill="1" applyBorder="1" applyNumberFormat="1">
      <alignment horizontal="right" vertical="center" wrapText="1"/>
    </xf>
    <xf numFmtId="1" fontId="19" fillId="0" borderId="10" xfId="0" applyFont="1" applyBorder="1" applyNumberFormat="1">
      <alignment horizontal="center" vertical="center" wrapText="1"/>
    </xf>
    <xf numFmtId="49" fontId="19" fillId="0" borderId="10" xfId="0" applyFont="1" applyBorder="1" applyNumberFormat="1">
      <alignment horizontal="left" vertical="center" wrapText="1"/>
    </xf>
    <xf numFmtId="1" fontId="19" fillId="0" borderId="10" xfId="0" applyFont="1" applyBorder="1" applyNumberFormat="1">
      <alignment horizontal="center" vertical="center" wrapText="1"/>
    </xf>
    <xf numFmtId="4" fontId="19" fillId="34" borderId="10" xfId="0" applyFont="1" applyFill="1" applyBorder="1" applyNumberFormat="1">
      <alignment horizontal="right" vertical="center" wrapText="1"/>
    </xf>
    <xf numFmtId="4" fontId="19" fillId="34" borderId="10" xfId="0" applyFont="1" applyFill="1" applyBorder="1" applyNumberFormat="1">
      <alignment horizontal="right" vertical="center" wrapText="1"/>
    </xf>
    <xf numFmtId="4" fontId="19" fillId="34" borderId="50" xfId="0"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0" borderId="0" xfId="0" applyFont="1" applyNumberFormat="1">
      <alignment horizontal="center" vertical="center"/>
    </xf>
    <xf numFmtId="0" fontId="21" fillId="44" borderId="0" xfId="0" applyFont="1" applyFill="1">
      <alignment vertical="center"/>
    </xf>
    <xf numFmtId="0" fontId="19" fillId="0" borderId="0" xfId="0" applyFont="1"/>
    <xf numFmtId="0" fontId="53" fillId="0" borderId="14" xfId="0" applyFont="1" applyBorder="1">
      <alignment horizontal="center" vertical="center" wrapText="1"/>
    </xf>
    <xf numFmtId="0" fontId="21" fillId="4" borderId="0" xfId="0" applyFont="1" applyFill="1">
      <alignment vertical="center"/>
    </xf>
    <xf numFmtId="0" fontId="21" fillId="43" borderId="17" xfId="0" applyFont="1" applyFill="1" applyBorder="1">
      <alignment vertical="center"/>
    </xf>
    <xf numFmtId="0" fontId="21" fillId="43" borderId="18" xfId="0" applyFont="1" applyFill="1" applyBorder="1">
      <alignment vertical="center"/>
    </xf>
    <xf numFmtId="0" fontId="26" fillId="44" borderId="0" xfId="0" applyFont="1" applyFill="1"/>
    <xf numFmtId="0" fontId="26" fillId="0" borderId="0" xfId="0" applyFont="1"/>
    <xf numFmtId="0" fontId="26" fillId="4" borderId="0" xfId="0" applyFont="1" applyFill="1"/>
    <xf numFmtId="0" fontId="1" fillId="0" borderId="22" xfId="0" applyFont="1" applyBorder="1">
      <alignment vertical="center"/>
    </xf>
    <xf numFmtId="0" fontId="29" fillId="0" borderId="0" xfId="0" applyFont="1">
      <alignment horizontal="left"/>
    </xf>
    <xf numFmtId="0" fontId="26" fillId="0" borderId="0" xfId="0" applyFont="1">
      <alignment horizontal="left"/>
    </xf>
    <xf numFmtId="0" fontId="26" fillId="0" borderId="0" xfId="0" applyFont="1"/>
    <xf numFmtId="0" fontId="26" fillId="0" borderId="0" xfId="0" applyFont="1">
      <alignment horizontal="center" vertical="top"/>
    </xf>
    <xf numFmtId="49" fontId="26" fillId="0" borderId="0" xfId="0" applyFont="1" applyNumberFormat="1"/>
    <xf numFmtId="0" fontId="26" fillId="0" borderId="0" xfId="0" applyFont="1">
      <alignment horizontal="center"/>
    </xf>
    <xf numFmtId="4" fontId="46" fillId="42" borderId="17" xfId="0" applyFont="1" applyFill="1" applyBorder="1" applyNumberFormat="1">
      <alignment horizontal="right" vertical="center"/>
    </xf>
    <xf numFmtId="0" fontId="40" fillId="42" borderId="18" xfId="0" applyFont="1" applyFill="1" applyBorder="1">
      <alignment horizontal="left" vertical="center"/>
    </xf>
    <xf numFmtId="0" fontId="67" fillId="0" borderId="0" xfId="0" applyFont="1"/>
    <xf numFmtId="49" fontId="67" fillId="0" borderId="0" xfId="0" applyFont="1" applyNumberFormat="1"/>
    <xf numFmtId="4" fontId="25" fillId="38" borderId="11" xfId="0" applyFont="1" applyFill="1" applyBorder="1" applyNumberFormat="1">
      <alignment horizontal="right" vertical="center"/>
    </xf>
    <xf numFmtId="4" fontId="25" fillId="34" borderId="11" xfId="0" applyFont="1" applyFill="1" applyBorder="1" applyNumberFormat="1">
      <alignment horizontal="right" vertical="center"/>
    </xf>
    <xf numFmtId="49" fontId="53" fillId="0" borderId="67" xfId="0" applyFont="1" applyBorder="1" applyNumberFormat="1">
      <alignment horizontal="center" vertical="top" wrapText="1"/>
    </xf>
    <xf numFmtId="49" fontId="21" fillId="0" borderId="10" xfId="0" applyFont="1" applyBorder="1" applyNumberFormat="1">
      <alignment horizontal="left" vertical="center" wrapText="1"/>
    </xf>
    <xf numFmtId="0" fontId="51" fillId="0" borderId="0" xfId="0" applyFont="1">
      <alignment horizontal="center"/>
    </xf>
    <xf numFmtId="0" fontId="26" fillId="0" borderId="0" xfId="0" applyFont="1">
      <alignment vertical="top"/>
    </xf>
    <xf numFmtId="49" fontId="82" fillId="0" borderId="85" xfId="0" applyFont="1" applyBorder="1" applyNumberFormat="1">
      <alignment horizontal="center" vertical="top" wrapText="1"/>
    </xf>
    <xf numFmtId="0" fontId="19" fillId="0" borderId="61" xfId="0" applyFont="1" applyBorder="1">
      <alignment horizontal="center" vertical="center"/>
    </xf>
    <xf numFmtId="49" fontId="19" fillId="38" borderId="10" xfId="0" applyFont="1" applyFill="1" applyBorder="1" applyNumberFormat="1">
      <alignment horizontal="left" vertical="center" wrapText="1"/>
    </xf>
    <xf numFmtId="0" fontId="25" fillId="0" borderId="61" xfId="0" applyFont="1" applyBorder="1">
      <alignment horizontal="center" vertical="center"/>
    </xf>
    <xf numFmtId="4" fontId="19" fillId="0" borderId="12" xfId="0" applyFont="1" applyBorder="1" applyNumberFormat="1">
      <alignment horizontal="right" vertical="center"/>
    </xf>
    <xf numFmtId="4" fontId="25" fillId="0" borderId="12" xfId="0" applyFont="1" applyBorder="1" applyNumberFormat="1">
      <alignment horizontal="right" vertical="center"/>
    </xf>
    <xf numFmtId="4" fontId="25" fillId="0" borderId="86" xfId="0" applyFont="1" applyBorder="1" applyNumberFormat="1">
      <alignment horizontal="right" vertical="center"/>
    </xf>
    <xf numFmtId="49" fontId="21" fillId="0" borderId="12" xfId="0" applyFont="1" applyBorder="1" applyNumberFormat="1">
      <alignment horizontal="left" vertical="center" wrapText="1"/>
    </xf>
    <xf numFmtId="0" fontId="19" fillId="36" borderId="11" xfId="0" applyFont="1" applyFill="1" applyBorder="1">
      <alignment horizontal="left" vertical="center" wrapText="1" indent="1"/>
    </xf>
    <xf numFmtId="4" fontId="19" fillId="34" borderId="11" xfId="0" applyFont="1" applyFill="1" applyBorder="1" applyNumberFormat="1">
      <alignment horizontal="right" vertical="center"/>
    </xf>
    <xf numFmtId="0" fontId="19" fillId="0" borderId="11" xfId="0" applyFont="1" applyBorder="1">
      <alignment horizontal="left" vertical="center" wrapText="1" indent="2"/>
    </xf>
    <xf numFmtId="0" fontId="19" fillId="0" borderId="87" xfId="0" applyFont="1" applyBorder="1">
      <alignment horizontal="center" vertical="center"/>
    </xf>
    <xf numFmtId="0" fontId="19" fillId="0" borderId="61" xfId="0" applyFont="1" applyBorder="1">
      <alignment horizontal="left" vertical="center" wrapText="1" indent="2"/>
    </xf>
    <xf numFmtId="4" fontId="19" fillId="34" borderId="13" xfId="0" applyFont="1" applyFill="1" applyBorder="1" applyNumberFormat="1">
      <alignment horizontal="right" vertical="center"/>
    </xf>
    <xf numFmtId="49" fontId="21" fillId="34" borderId="13" xfId="0" applyFont="1" applyFill="1" applyBorder="1" applyNumberFormat="1">
      <alignment horizontal="left" vertical="center" wrapText="1"/>
    </xf>
    <xf numFmtId="4" fontId="26" fillId="4" borderId="0" xfId="0" applyFont="1" applyFill="1" applyNumberFormat="1"/>
    <xf numFmtId="0" fontId="26" fillId="0" borderId="0" xfId="0" applyFont="1">
      <alignment wrapText="1"/>
    </xf>
    <xf numFmtId="0" fontId="41" fillId="43" borderId="16" xfId="0" applyFont="1" applyFill="1" applyBorder="1">
      <alignment horizontal="left" vertical="center" wrapText="1" indent="1"/>
    </xf>
    <xf numFmtId="49" fontId="41" fillId="43" borderId="17" xfId="0" applyFont="1" applyFill="1" applyBorder="1" applyNumberFormat="1">
      <alignment horizontal="left" vertical="center" wrapText="1" indent="1"/>
    </xf>
    <xf numFmtId="49" fontId="41" fillId="43" borderId="18" xfId="0" applyFont="1" applyFill="1" applyBorder="1" applyNumberFormat="1">
      <alignment horizontal="left" vertical="center" wrapText="1" indent="1"/>
    </xf>
    <xf numFmtId="0" fontId="53" fillId="0" borderId="67" xfId="0" applyFont="1" applyBorder="1">
      <alignment horizontal="center" vertical="top" wrapText="1"/>
    </xf>
    <xf numFmtId="4" fontId="25" fillId="0" borderId="11" xfId="0" applyFont="1" applyBorder="1" applyNumberFormat="1">
      <alignment horizontal="right" vertical="center"/>
    </xf>
    <xf numFmtId="0" fontId="26" fillId="0" borderId="0" xfId="0" applyFont="1">
      <alignment horizontal="center" vertical="top"/>
    </xf>
    <xf numFmtId="49" fontId="26" fillId="0" borderId="0" xfId="0" applyFont="1" applyNumberFormat="1">
      <alignment vertical="top"/>
    </xf>
    <xf numFmtId="0" fontId="56" fillId="0" borderId="0" xfId="0" applyFont="1">
      <alignment horizontal="center"/>
    </xf>
    <xf numFmtId="0" fontId="29" fillId="44" borderId="0" xfId="0" applyFont="1" applyFill="1"/>
    <xf numFmtId="4" fontId="25" fillId="38" borderId="11" xfId="0" applyFont="1" applyFill="1" applyBorder="1" applyNumberFormat="1">
      <alignment horizontal="right" vertical="center"/>
    </xf>
    <xf numFmtId="4" fontId="25" fillId="34" borderId="11" xfId="0" applyFont="1" applyFill="1" applyBorder="1" applyNumberFormat="1">
      <alignment horizontal="right" vertical="center"/>
    </xf>
    <xf numFmtId="0" fontId="29" fillId="4" borderId="0" xfId="0" applyFont="1" applyFill="1"/>
    <xf numFmtId="0" fontId="82" fillId="0" borderId="85" xfId="0" applyFont="1" applyBorder="1">
      <alignment horizontal="center" vertical="top" wrapText="1"/>
    </xf>
    <xf numFmtId="0" fontId="25" fillId="0" borderId="0" xfId="0" applyFont="1">
      <alignment vertical="center" wrapText="1"/>
    </xf>
    <xf numFmtId="0" fontId="25" fillId="0" borderId="12" xfId="0" applyFont="1" applyBorder="1">
      <alignment horizontal="center" vertical="center"/>
    </xf>
    <xf numFmtId="4" fontId="25" fillId="0" borderId="61" xfId="0" applyFont="1" applyBorder="1" applyNumberFormat="1">
      <alignment horizontal="right" vertical="center"/>
    </xf>
    <xf numFmtId="49" fontId="19" fillId="38" borderId="21" xfId="0" applyFont="1" applyFill="1" applyBorder="1" applyNumberFormat="1">
      <alignment horizontal="left" vertical="center" wrapText="1"/>
    </xf>
    <xf numFmtId="0" fontId="19" fillId="0" borderId="61" xfId="0" applyFont="1" applyBorder="1">
      <alignment horizontal="left" vertical="center" wrapText="1" indent="1"/>
    </xf>
    <xf numFmtId="4" fontId="25" fillId="38" borderId="13" xfId="0" applyFont="1" applyFill="1" applyBorder="1" applyNumberFormat="1">
      <alignment horizontal="right" vertical="center"/>
    </xf>
    <xf numFmtId="4" fontId="25" fillId="38" borderId="13" xfId="0" applyFont="1" applyFill="1" applyBorder="1" applyNumberFormat="1">
      <alignment horizontal="right" vertical="center"/>
    </xf>
    <xf numFmtId="4" fontId="25" fillId="34" borderId="13" xfId="0" applyFont="1" applyFill="1" applyBorder="1" applyNumberFormat="1">
      <alignment horizontal="right" vertical="center"/>
    </xf>
    <xf numFmtId="4" fontId="29" fillId="4" borderId="0" xfId="0" applyFont="1" applyFill="1" applyNumberFormat="1"/>
    <xf numFmtId="0" fontId="19" fillId="0" borderId="12" xfId="0" applyFont="1" applyBorder="1">
      <alignment horizontal="left" vertical="center" wrapText="1" indent="2"/>
    </xf>
    <xf numFmtId="0" fontId="19" fillId="0" borderId="86" xfId="0" applyFont="1" applyBorder="1">
      <alignment horizontal="center" vertical="center"/>
    </xf>
    <xf numFmtId="4" fontId="19" fillId="0" borderId="61" xfId="0" applyFont="1" applyBorder="1" applyNumberFormat="1">
      <alignment horizontal="left" vertical="center" indent="3"/>
    </xf>
    <xf numFmtId="0" fontId="26" fillId="0" borderId="0" xfId="0" applyFont="1">
      <alignment horizontal="center" vertical="center"/>
    </xf>
    <xf numFmtId="0" fontId="41" fillId="57" borderId="87" xfId="0" applyFont="1" applyFill="1" applyBorder="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0" fontId="19" fillId="0" borderId="12" xfId="0" applyFont="1" applyBorder="1">
      <alignment horizontal="left" vertical="center" wrapText="1" indent="1"/>
    </xf>
    <xf numFmtId="4" fontId="19" fillId="34" borderId="61" xfId="0" applyFont="1" applyFill="1" applyBorder="1" applyNumberFormat="1">
      <alignment horizontal="right" vertical="center"/>
    </xf>
    <xf numFmtId="4" fontId="19" fillId="34" borderId="12" xfId="0" applyFont="1" applyFill="1" applyBorder="1" applyNumberFormat="1">
      <alignment horizontal="right" vertical="center"/>
    </xf>
    <xf numFmtId="49" fontId="41" fillId="57" borderId="63" xfId="0" applyFont="1" applyFill="1" applyBorder="1" applyNumberFormat="1">
      <alignment horizontal="left" vertical="center" wrapText="1" indent="1"/>
    </xf>
    <xf numFmtId="49" fontId="41" fillId="57" borderId="89" xfId="0" applyFont="1" applyFill="1" applyBorder="1" applyNumberFormat="1">
      <alignment horizontal="left" vertical="center" wrapText="1" indent="1"/>
    </xf>
    <xf numFmtId="4" fontId="25" fillId="0" borderId="87" xfId="0" applyFont="1" applyBorder="1" applyNumberFormat="1">
      <alignment horizontal="right" vertical="center"/>
    </xf>
    <xf numFmtId="49" fontId="21" fillId="0" borderId="61" xfId="0" applyFont="1" applyBorder="1" applyNumberFormat="1">
      <alignment horizontal="left" vertical="center" wrapText="1"/>
    </xf>
    <xf numFmtId="49" fontId="21" fillId="34" borderId="61" xfId="0" applyFont="1" applyFill="1" applyBorder="1" applyNumberFormat="1">
      <alignment horizontal="left" vertical="center" wrapText="1"/>
    </xf>
    <xf numFmtId="4" fontId="19" fillId="34" borderId="86" xfId="0" applyFont="1" applyFill="1" applyBorder="1" applyNumberFormat="1">
      <alignment horizontal="right" vertical="center"/>
    </xf>
    <xf numFmtId="49" fontId="41" fillId="57" borderId="63" xfId="0" applyFont="1" applyFill="1" applyBorder="1" applyNumberFormat="1">
      <alignment horizontal="left" vertical="center" wrapText="1" indent="1"/>
    </xf>
    <xf numFmtId="0" fontId="25" fillId="0" borderId="61" xfId="0" applyFont="1" applyBorder="1">
      <alignment vertical="center" wrapText="1"/>
    </xf>
    <xf numFmtId="49" fontId="19" fillId="35" borderId="61" xfId="0" applyFont="1" applyFill="1" applyBorder="1" applyNumberFormat="1">
      <alignment horizontal="left" vertical="center" wrapText="1"/>
    </xf>
    <xf numFmtId="49" fontId="41" fillId="57" borderId="63" xfId="0" applyFont="1" applyFill="1" applyBorder="1" applyNumberFormat="1">
      <alignment horizontal="left" vertical="center" wrapText="1" indent="1"/>
    </xf>
    <xf numFmtId="4" fontId="25" fillId="34" borderId="11" xfId="0" applyFont="1" applyFill="1" applyBorder="1" applyNumberFormat="1">
      <alignment horizontal="right" vertical="center"/>
      <protection locked="0"/>
    </xf>
    <xf numFmtId="0" fontId="41" fillId="43" borderId="16" xfId="0" applyFont="1" applyFill="1" applyBorder="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8" xfId="0" applyFont="1" applyFill="1" applyBorder="1" applyNumberFormat="1">
      <alignment horizontal="left" vertical="center" wrapText="1" indent="1"/>
    </xf>
    <xf numFmtId="0" fontId="41" fillId="43" borderId="16" xfId="0" applyFont="1" applyFill="1" applyBorder="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8" xfId="0" applyFont="1" applyFill="1" applyBorder="1" applyNumberFormat="1">
      <alignment horizontal="left" vertical="center" wrapText="1" indent="1"/>
    </xf>
    <xf numFmtId="0" fontId="41" fillId="43" borderId="16" xfId="0" applyFont="1" applyFill="1" applyBorder="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8" xfId="0" applyFont="1" applyFill="1" applyBorder="1" applyNumberFormat="1">
      <alignment horizontal="left" vertical="center" wrapText="1" indent="1"/>
    </xf>
    <xf numFmtId="0" fontId="41" fillId="43" borderId="16" xfId="0" applyFont="1" applyFill="1" applyBorder="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8" xfId="0" applyFont="1" applyFill="1" applyBorder="1" applyNumberFormat="1">
      <alignment horizontal="left" vertical="center" wrapText="1" indent="1"/>
    </xf>
    <xf numFmtId="0" fontId="41" fillId="43" borderId="16" xfId="0" applyFont="1" applyFill="1" applyBorder="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8" xfId="0" applyFont="1" applyFill="1" applyBorder="1" applyNumberFormat="1">
      <alignment horizontal="left" vertical="center" wrapText="1" indent="1"/>
    </xf>
    <xf numFmtId="4" fontId="25" fillId="34" borderId="11" xfId="0" applyFont="1" applyFill="1" applyBorder="1" applyNumberFormat="1">
      <alignment horizontal="right" vertical="center"/>
      <protection locked="0"/>
    </xf>
    <xf numFmtId="0" fontId="41" fillId="57" borderId="87" xfId="0" applyFont="1" applyFill="1" applyBorder="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0" fontId="41" fillId="57" borderId="87" xfId="0" applyFont="1" applyFill="1" applyBorder="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89" xfId="0" applyFont="1" applyFill="1" applyBorder="1" applyNumberFormat="1">
      <alignment horizontal="left" vertical="center" wrapText="1" indent="1"/>
    </xf>
    <xf numFmtId="0" fontId="41" fillId="57" borderId="87" xfId="0" applyFont="1" applyFill="1" applyBorder="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89" xfId="0" applyFont="1" applyFill="1" applyBorder="1" applyNumberFormat="1">
      <alignment horizontal="left" vertical="center" wrapText="1" indent="1"/>
    </xf>
    <xf numFmtId="0" fontId="41" fillId="57" borderId="87" xfId="0" applyFont="1" applyFill="1" applyBorder="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89" xfId="0" applyFont="1" applyFill="1" applyBorder="1" applyNumberFormat="1">
      <alignment horizontal="left" vertical="center" wrapText="1" indent="1"/>
    </xf>
    <xf numFmtId="49" fontId="21" fillId="34" borderId="10" xfId="0" applyFont="1" applyFill="1" applyBorder="1" applyNumberFormat="1">
      <alignment horizontal="left" vertical="center" wrapText="1"/>
    </xf>
    <xf numFmtId="4" fontId="19" fillId="34" borderId="11" xfId="0" applyFont="1" applyFill="1" applyBorder="1" applyNumberFormat="1">
      <alignment horizontal="right" vertical="center"/>
      <protection locked="0"/>
    </xf>
    <xf numFmtId="49" fontId="21" fillId="34" borderId="10" xfId="0" applyFont="1" applyFill="1" applyBorder="1" applyNumberFormat="1">
      <alignment horizontal="left" vertical="center" wrapText="1"/>
      <protection locked="0"/>
    </xf>
    <xf numFmtId="4" fontId="19" fillId="34" borderId="13" xfId="58" applyFont="1" applyFill="1" applyBorder="1" applyNumberFormat="1">
      <alignment horizontal="right" vertical="center"/>
      <protection locked="0"/>
    </xf>
    <xf numFmtId="49" fontId="21" fillId="34" borderId="13" xfId="59" applyFont="1" applyFill="1" applyBorder="1" applyNumberFormat="1">
      <alignment horizontal="left" vertical="center" wrapText="1"/>
      <protection locked="0"/>
    </xf>
    <xf numFmtId="0" fontId="41" fillId="43" borderId="16" xfId="0" applyFont="1" applyFill="1" applyBorder="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8" xfId="0" applyFont="1" applyFill="1" applyBorder="1" applyNumberFormat="1">
      <alignment horizontal="left" vertical="center" wrapText="1" indent="1"/>
    </xf>
    <xf numFmtId="0" fontId="41" fillId="43" borderId="16" xfId="0" applyFont="1" applyFill="1" applyBorder="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8" xfId="0" applyFont="1" applyFill="1" applyBorder="1" applyNumberFormat="1">
      <alignment horizontal="left" vertical="center" wrapText="1" indent="1"/>
    </xf>
    <xf numFmtId="0" fontId="41" fillId="43" borderId="16" xfId="0" applyFont="1" applyFill="1" applyBorder="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8" xfId="0" applyFont="1" applyFill="1" applyBorder="1" applyNumberFormat="1">
      <alignment horizontal="left" vertical="center" wrapText="1" indent="1"/>
    </xf>
    <xf numFmtId="0" fontId="41" fillId="43" borderId="16" xfId="0" applyFont="1" applyFill="1" applyBorder="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8" xfId="0" applyFont="1" applyFill="1" applyBorder="1" applyNumberFormat="1">
      <alignment horizontal="left" vertical="center" wrapText="1" indent="1"/>
    </xf>
    <xf numFmtId="0" fontId="41" fillId="43" borderId="16" xfId="0" applyFont="1" applyFill="1" applyBorder="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8" xfId="0" applyFont="1" applyFill="1" applyBorder="1" applyNumberFormat="1">
      <alignment horizontal="left" vertical="center" wrapText="1" indent="1"/>
    </xf>
    <xf numFmtId="0" fontId="41" fillId="57" borderId="87" xfId="0" applyFont="1" applyFill="1" applyBorder="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0" fontId="41" fillId="57" borderId="87" xfId="0" applyFont="1" applyFill="1" applyBorder="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89" xfId="0" applyFont="1" applyFill="1" applyBorder="1" applyNumberFormat="1">
      <alignment horizontal="left" vertical="center" wrapText="1" indent="1"/>
    </xf>
    <xf numFmtId="0" fontId="41" fillId="57" borderId="87" xfId="0" applyFont="1" applyFill="1" applyBorder="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89" xfId="0" applyFont="1" applyFill="1" applyBorder="1" applyNumberFormat="1">
      <alignment horizontal="left" vertical="center" wrapText="1" indent="1"/>
    </xf>
    <xf numFmtId="0" fontId="41" fillId="57" borderId="87" xfId="0" applyFont="1" applyFill="1" applyBorder="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89" xfId="0" applyFont="1" applyFill="1" applyBorder="1" applyNumberFormat="1">
      <alignment horizontal="left" vertical="center" wrapText="1" indent="1"/>
    </xf>
    <xf numFmtId="0" fontId="41" fillId="43" borderId="16" xfId="0" applyFont="1" applyFill="1" applyBorder="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8" xfId="0" applyFont="1" applyFill="1" applyBorder="1" applyNumberFormat="1">
      <alignment horizontal="left" vertical="center" wrapText="1" indent="1"/>
    </xf>
    <xf numFmtId="0" fontId="41" fillId="43" borderId="16" xfId="0" applyFont="1" applyFill="1" applyBorder="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8" xfId="0" applyFont="1" applyFill="1" applyBorder="1" applyNumberFormat="1">
      <alignment horizontal="left" vertical="center" wrapText="1" indent="1"/>
    </xf>
    <xf numFmtId="0" fontId="41" fillId="43" borderId="16" xfId="0" applyFont="1" applyFill="1" applyBorder="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8" xfId="0" applyFont="1" applyFill="1" applyBorder="1" applyNumberFormat="1">
      <alignment horizontal="left" vertical="center" wrapText="1" indent="1"/>
    </xf>
    <xf numFmtId="0" fontId="41" fillId="43" borderId="16" xfId="0" applyFont="1" applyFill="1" applyBorder="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8" xfId="0" applyFont="1" applyFill="1" applyBorder="1" applyNumberFormat="1">
      <alignment horizontal="left" vertical="center" wrapText="1" indent="1"/>
    </xf>
    <xf numFmtId="0" fontId="41" fillId="43" borderId="16" xfId="0" applyFont="1" applyFill="1" applyBorder="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8" xfId="0" applyFont="1" applyFill="1" applyBorder="1" applyNumberFormat="1">
      <alignment horizontal="left" vertical="center" wrapText="1" indent="1"/>
    </xf>
    <xf numFmtId="0" fontId="41" fillId="57" borderId="87" xfId="0" applyFont="1" applyFill="1" applyBorder="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0" fontId="41" fillId="57" borderId="87" xfId="0" applyFont="1" applyFill="1" applyBorder="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89" xfId="0" applyFont="1" applyFill="1" applyBorder="1" applyNumberFormat="1">
      <alignment horizontal="left" vertical="center" wrapText="1" indent="1"/>
    </xf>
    <xf numFmtId="0" fontId="41" fillId="57" borderId="87" xfId="0" applyFont="1" applyFill="1" applyBorder="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89" xfId="0" applyFont="1" applyFill="1" applyBorder="1" applyNumberFormat="1">
      <alignment horizontal="left" vertical="center" wrapText="1" indent="1"/>
    </xf>
    <xf numFmtId="0" fontId="41" fillId="57" borderId="87" xfId="0" applyFont="1" applyFill="1" applyBorder="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89" xfId="0" applyFont="1" applyFill="1" applyBorder="1" applyNumberFormat="1">
      <alignment horizontal="left" vertical="center" wrapText="1" indent="1"/>
    </xf>
    <xf numFmtId="0" fontId="41" fillId="43" borderId="16" xfId="0" applyFont="1" applyFill="1" applyBorder="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8" xfId="0" applyFont="1" applyFill="1" applyBorder="1" applyNumberFormat="1">
      <alignment horizontal="left" vertical="center" wrapText="1" indent="1"/>
    </xf>
    <xf numFmtId="0" fontId="41" fillId="43" borderId="16" xfId="0" applyFont="1" applyFill="1" applyBorder="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8" xfId="0" applyFont="1" applyFill="1" applyBorder="1" applyNumberFormat="1">
      <alignment horizontal="left" vertical="center" wrapText="1" indent="1"/>
    </xf>
    <xf numFmtId="0" fontId="41" fillId="43" borderId="16" xfId="0" applyFont="1" applyFill="1" applyBorder="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8" xfId="0" applyFont="1" applyFill="1" applyBorder="1" applyNumberFormat="1">
      <alignment horizontal="left" vertical="center" wrapText="1" indent="1"/>
    </xf>
    <xf numFmtId="0" fontId="41" fillId="43" borderId="16" xfId="0" applyFont="1" applyFill="1" applyBorder="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8" xfId="0" applyFont="1" applyFill="1" applyBorder="1" applyNumberFormat="1">
      <alignment horizontal="left" vertical="center" wrapText="1" indent="1"/>
    </xf>
    <xf numFmtId="0" fontId="41" fillId="43" borderId="16" xfId="0" applyFont="1" applyFill="1" applyBorder="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8" xfId="0" applyFont="1" applyFill="1" applyBorder="1" applyNumberFormat="1">
      <alignment horizontal="left" vertical="center" wrapText="1" indent="1"/>
    </xf>
    <xf numFmtId="0" fontId="41" fillId="57" borderId="87" xfId="0" applyFont="1" applyFill="1" applyBorder="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49" fontId="41" fillId="57" borderId="88" xfId="0" applyFont="1" applyFill="1" applyBorder="1" applyNumberFormat="1">
      <alignment horizontal="left" vertical="center" wrapText="1" indent="1"/>
    </xf>
    <xf numFmtId="0" fontId="41" fillId="57" borderId="87" xfId="0" applyFont="1" applyFill="1" applyBorder="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89" xfId="0" applyFont="1" applyFill="1" applyBorder="1" applyNumberFormat="1">
      <alignment horizontal="left" vertical="center" wrapText="1" indent="1"/>
    </xf>
    <xf numFmtId="0" fontId="41" fillId="57" borderId="87" xfId="0" applyFont="1" applyFill="1" applyBorder="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89" xfId="0" applyFont="1" applyFill="1" applyBorder="1" applyNumberFormat="1">
      <alignment horizontal="left" vertical="center" wrapText="1" indent="1"/>
    </xf>
    <xf numFmtId="0" fontId="41" fillId="57" borderId="87" xfId="0" applyFont="1" applyFill="1" applyBorder="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63" xfId="0" applyFont="1" applyFill="1" applyBorder="1" applyNumberFormat="1">
      <alignment horizontal="left" vertical="center" wrapText="1" indent="1"/>
    </xf>
    <xf numFmtId="49" fontId="41" fillId="57" borderId="89" xfId="0" applyFont="1" applyFill="1" applyBorder="1" applyNumberFormat="1">
      <alignment horizontal="left" vertical="center" wrapText="1" indent="1"/>
    </xf>
    <xf numFmtId="49" fontId="19" fillId="34" borderId="15" xfId="0" applyFont="1" applyFill="1" applyBorder="1" applyNumberFormat="1">
      <alignment horizontal="left" vertical="top" wrapText="1"/>
    </xf>
    <xf numFmtId="49" fontId="43" fillId="0" borderId="22" xfId="0" applyFont="1" applyBorder="1" applyNumberFormat="1">
      <alignment horizontal="left" vertical="center" wrapText="1" indent="4"/>
    </xf>
    <xf numFmtId="49" fontId="25" fillId="0" borderId="0" xfId="0" applyFont="1" applyNumberFormat="1">
      <alignment horizontal="left" vertical="center" wrapText="1" indent="4"/>
    </xf>
    <xf numFmtId="0" fontId="19" fillId="11" borderId="10" xfId="0" applyFont="1" applyFill="1" applyBorder="1">
      <alignment horizontal="center" vertical="center" wrapText="1"/>
    </xf>
    <xf numFmtId="0" fontId="19" fillId="0" borderId="10" xfId="0" applyFont="1" applyBorder="1">
      <alignment horizontal="center" vertical="center" wrapText="1"/>
    </xf>
    <xf numFmtId="0" fontId="19" fillId="11" borderId="43" xfId="0" applyFont="1" applyFill="1" applyBorder="1">
      <alignment horizontal="center" vertical="center" wrapText="1"/>
    </xf>
    <xf numFmtId="0" fontId="19" fillId="0" borderId="43" xfId="0" applyFont="1" applyBorder="1">
      <alignment horizontal="center" vertical="center" wrapText="1"/>
    </xf>
    <xf numFmtId="0" fontId="19" fillId="0" borderId="0" xfId="0" applyFont="1">
      <alignment horizontal="center" vertical="center" wrapText="1"/>
    </xf>
    <xf numFmtId="0" fontId="19" fillId="44" borderId="0" xfId="0" applyFont="1" applyFill="1">
      <alignment horizontal="center" vertical="center" wrapText="1"/>
    </xf>
    <xf numFmtId="0" fontId="19" fillId="0" borderId="0" xfId="0" applyFont="1">
      <alignment vertical="center"/>
    </xf>
    <xf numFmtId="0" fontId="19" fillId="0" borderId="0" xfId="0" applyFont="1">
      <alignment horizontal="center" vertical="center"/>
    </xf>
    <xf numFmtId="0" fontId="19" fillId="0" borderId="0" xfId="0" applyFont="1">
      <alignment horizontal="center" vertical="top" wrapText="1"/>
    </xf>
    <xf numFmtId="0" fontId="19" fillId="0" borderId="0" xfId="0" applyFont="1">
      <alignment horizontal="center" vertical="center" wrapText="1"/>
    </xf>
    <xf numFmtId="0" fontId="40" fillId="42" borderId="37" xfId="0" applyFont="1" applyFill="1" applyBorder="1">
      <alignment horizontal="left" vertical="center"/>
    </xf>
    <xf numFmtId="0" fontId="19" fillId="42" borderId="17" xfId="0" applyFont="1" applyFill="1" applyBorder="1">
      <alignment horizontal="left" vertical="center"/>
    </xf>
    <xf numFmtId="4" fontId="25" fillId="42" borderId="17" xfId="0" applyFont="1" applyFill="1" applyBorder="1" applyNumberFormat="1">
      <alignment horizontal="right" vertical="center"/>
    </xf>
    <xf numFmtId="0" fontId="19" fillId="36" borderId="11" xfId="0" applyFont="1" applyFill="1" applyBorder="1">
      <alignment horizontal="center" vertical="center" wrapText="1"/>
    </xf>
    <xf numFmtId="0" fontId="19" fillId="0" borderId="11" xfId="0" applyFont="1" applyBorder="1">
      <alignment vertical="center" wrapText="1"/>
    </xf>
    <xf numFmtId="0" fontId="19" fillId="0" borderId="11" xfId="0" applyFont="1" applyBorder="1">
      <alignment horizontal="center" vertical="center" wrapText="1"/>
    </xf>
    <xf numFmtId="4" fontId="19" fillId="34" borderId="11" xfId="0" applyFont="1" applyFill="1" applyBorder="1" applyNumberFormat="1">
      <alignment horizontal="right" vertical="center" wrapText="1"/>
    </xf>
    <xf numFmtId="0" fontId="19" fillId="0" borderId="11" xfId="0" applyFont="1" applyBorder="1">
      <alignment horizontal="center" vertical="center"/>
    </xf>
    <xf numFmtId="0" fontId="19" fillId="35" borderId="11" xfId="0" applyFont="1" applyFill="1" applyBorder="1">
      <alignment horizontal="left" vertical="center" wrapText="1" indent="1"/>
    </xf>
    <xf numFmtId="0" fontId="19" fillId="0" borderId="11" xfId="0" applyFont="1" applyBorder="1">
      <alignment horizontal="center" vertical="center" wrapText="1"/>
    </xf>
    <xf numFmtId="0" fontId="19" fillId="0" borderId="0" xfId="0" applyFont="1">
      <alignment horizontal="center" vertical="center"/>
    </xf>
    <xf numFmtId="0" fontId="19" fillId="0" borderId="0" xfId="0" applyFont="1">
      <alignment horizontal="center" vertical="top" wrapText="1"/>
    </xf>
    <xf numFmtId="0" fontId="25" fillId="43" borderId="16" xfId="0" applyFont="1" applyFill="1" applyBorder="1">
      <alignment horizontal="left" vertical="center" wrapText="1" indent="1"/>
    </xf>
    <xf numFmtId="49" fontId="25" fillId="43" borderId="17" xfId="0" applyFont="1" applyFill="1" applyBorder="1" applyNumberFormat="1">
      <alignment horizontal="left" vertical="center" wrapText="1" indent="1"/>
    </xf>
    <xf numFmtId="49" fontId="25" fillId="43" borderId="18" xfId="0" applyFont="1" applyFill="1" applyBorder="1" applyNumberFormat="1">
      <alignment horizontal="left" vertical="center" wrapText="1" indent="1"/>
    </xf>
    <xf numFmtId="0" fontId="19" fillId="34" borderId="11" xfId="0" applyFont="1" applyFill="1" applyBorder="1">
      <alignment horizontal="left" vertical="center" wrapText="1"/>
    </xf>
    <xf numFmtId="0" fontId="19" fillId="0" borderId="0" xfId="0" applyFont="1">
      <alignment horizontal="center" vertical="center" wrapText="1"/>
    </xf>
    <xf numFmtId="0" fontId="19" fillId="44" borderId="0" xfId="0" applyFont="1" applyFill="1">
      <alignment horizontal="center" vertical="center" wrapText="1"/>
    </xf>
    <xf numFmtId="0" fontId="19" fillId="0" borderId="11" xfId="0" applyFont="1" applyBorder="1">
      <alignment horizontal="center" vertical="center"/>
    </xf>
    <xf numFmtId="0" fontId="19" fillId="35" borderId="11" xfId="0" applyFont="1" applyFill="1" applyBorder="1">
      <alignment horizontal="left" vertical="center" wrapText="1" indent="1"/>
    </xf>
    <xf numFmtId="0" fontId="19" fillId="0" borderId="11" xfId="0" applyFont="1" applyBorder="1">
      <alignment horizontal="center" vertical="center" wrapText="1"/>
    </xf>
    <xf numFmtId="0" fontId="19" fillId="0" borderId="11" xfId="0" applyFont="1" applyBorder="1">
      <alignment horizontal="center" vertical="center" wrapText="1"/>
    </xf>
    <xf numFmtId="4" fontId="19" fillId="34" borderId="11" xfId="0" applyFont="1" applyFill="1" applyBorder="1" applyNumberFormat="1">
      <alignment horizontal="right" vertical="center"/>
    </xf>
    <xf numFmtId="49" fontId="19" fillId="34" borderId="11" xfId="0" applyFont="1" applyFill="1" applyBorder="1" applyNumberFormat="1">
      <alignment horizontal="left" vertical="center" wrapText="1"/>
    </xf>
    <xf numFmtId="0" fontId="19" fillId="36" borderId="11" xfId="0" applyFont="1" applyFill="1" applyBorder="1">
      <alignment horizontal="center" vertical="center" wrapText="1"/>
    </xf>
    <xf numFmtId="0" fontId="19" fillId="0" borderId="11" xfId="0" applyFont="1" applyBorder="1">
      <alignment horizontal="left" vertical="center" wrapText="1" indent="2"/>
    </xf>
    <xf numFmtId="4" fontId="19" fillId="34" borderId="11" xfId="0" applyFont="1" applyFill="1" applyBorder="1" applyNumberFormat="1">
      <alignment horizontal="right" vertical="center" wrapText="1"/>
    </xf>
    <xf numFmtId="4" fontId="19" fillId="34" borderId="11" xfId="0" applyFont="1" applyFill="1" applyBorder="1" applyNumberFormat="1">
      <alignment horizontal="right" vertical="center" wrapText="1"/>
      <protection locked="0"/>
    </xf>
    <xf numFmtId="49" fontId="19" fillId="34" borderId="11" xfId="0" applyFont="1" applyFill="1" applyBorder="1" applyNumberFormat="1">
      <alignment horizontal="left" vertical="center" wrapText="1"/>
      <protection locked="0"/>
    </xf>
    <xf numFmtId="0" fontId="19" fillId="35" borderId="11" xfId="0" applyFont="1" applyFill="1" applyBorder="1">
      <alignment horizontal="left" vertical="center" wrapText="1" indent="1"/>
      <protection locked="0"/>
    </xf>
    <xf numFmtId="49" fontId="19" fillId="34" borderId="11" xfId="55" applyFont="1" applyFill="1" applyBorder="1" applyNumberFormat="1">
      <alignment horizontal="left" vertical="center" wrapText="1"/>
      <protection locked="0"/>
    </xf>
    <xf numFmtId="4" fontId="19" fillId="34" borderId="11" xfId="0" applyFont="1" applyFill="1" applyBorder="1" applyNumberFormat="1">
      <alignment horizontal="right" vertical="center" wrapText="1"/>
      <protection locked="0"/>
    </xf>
    <xf numFmtId="0" fontId="25" fillId="43" borderId="16" xfId="0" applyFont="1" applyFill="1" applyBorder="1">
      <alignment horizontal="left" vertical="center" wrapText="1" indent="1"/>
    </xf>
    <xf numFmtId="49" fontId="41" fillId="43" borderId="28" xfId="0" applyFont="1" applyFill="1" applyBorder="1" applyNumberFormat="1">
      <alignment horizontal="left" vertical="center"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8" xfId="0" applyFont="1" applyFill="1" applyBorder="1" applyNumberFormat="1">
      <alignment horizontal="left" vertical="center" wrapText="1" indent="1"/>
    </xf>
    <xf numFmtId="0" fontId="25" fillId="43" borderId="16" xfId="0" applyFont="1" applyFill="1" applyBorder="1">
      <alignment horizontal="left" vertical="center" wrapText="1" indent="1"/>
    </xf>
    <xf numFmtId="49" fontId="41" fillId="43" borderId="28" xfId="0" applyFont="1" applyFill="1" applyBorder="1" applyNumberFormat="1">
      <alignment horizontal="left" vertical="center"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8" xfId="0" applyFont="1" applyFill="1" applyBorder="1" applyNumberFormat="1">
      <alignment horizontal="left" vertical="center" wrapText="1" indent="1"/>
    </xf>
    <xf numFmtId="49" fontId="19" fillId="34" borderId="11" xfId="0" applyFont="1" applyFill="1" applyBorder="1" applyNumberFormat="1">
      <alignment horizontal="left" vertical="center" wrapText="1"/>
    </xf>
    <xf numFmtId="49" fontId="19" fillId="34" borderId="11" xfId="0" applyFont="1" applyFill="1" applyBorder="1" applyNumberFormat="1">
      <alignment horizontal="left" vertical="center" wrapText="1"/>
      <protection locked="0"/>
    </xf>
    <xf numFmtId="0" fontId="25" fillId="43" borderId="16" xfId="0" applyFont="1" applyFill="1" applyBorder="1">
      <alignment horizontal="left" vertical="center" wrapText="1" indent="1"/>
    </xf>
    <xf numFmtId="49" fontId="41" fillId="43" borderId="28" xfId="0" applyFont="1" applyFill="1" applyBorder="1" applyNumberFormat="1">
      <alignment horizontal="left" vertical="center"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8" xfId="0" applyFont="1" applyFill="1" applyBorder="1" applyNumberFormat="1">
      <alignment horizontal="left" vertical="center" wrapText="1" indent="1"/>
    </xf>
    <xf numFmtId="0" fontId="19" fillId="34" borderId="11" xfId="0" applyFont="1" applyFill="1" applyBorder="1">
      <alignment horizontal="left" vertical="center" wrapText="1"/>
      <protection locked="0"/>
    </xf>
    <xf numFmtId="0" fontId="25" fillId="43" borderId="16" xfId="0" applyFont="1" applyFill="1" applyBorder="1">
      <alignment horizontal="left" vertical="center" wrapText="1" indent="1"/>
    </xf>
    <xf numFmtId="49" fontId="41" fillId="43" borderId="28" xfId="0" applyFont="1" applyFill="1" applyBorder="1" applyNumberFormat="1">
      <alignment horizontal="left" vertical="center"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8" xfId="0" applyFont="1" applyFill="1" applyBorder="1" applyNumberFormat="1">
      <alignment horizontal="left" vertical="center" wrapText="1" indent="1"/>
    </xf>
    <xf numFmtId="49" fontId="19" fillId="34" borderId="11" xfId="0" applyFont="1" applyFill="1" applyBorder="1" applyNumberFormat="1">
      <alignment horizontal="left" vertical="center" wrapText="1"/>
    </xf>
    <xf numFmtId="49" fontId="19" fillId="34" borderId="11" xfId="0" applyFont="1" applyFill="1" applyBorder="1" applyNumberFormat="1">
      <alignment horizontal="left" vertical="center" wrapText="1"/>
      <protection locked="0"/>
    </xf>
    <xf numFmtId="0" fontId="25" fillId="43" borderId="16" xfId="0" applyFont="1" applyFill="1" applyBorder="1">
      <alignment horizontal="left" vertical="center" wrapText="1" indent="1"/>
    </xf>
    <xf numFmtId="49" fontId="41" fillId="43" borderId="28" xfId="0" applyFont="1" applyFill="1" applyBorder="1" applyNumberFormat="1">
      <alignment horizontal="left" vertical="center"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8" xfId="0" applyFont="1" applyFill="1" applyBorder="1" applyNumberFormat="1">
      <alignment horizontal="left" vertical="center" wrapText="1" indent="1"/>
    </xf>
    <xf numFmtId="0" fontId="25" fillId="43" borderId="16" xfId="0" applyFont="1" applyFill="1" applyBorder="1">
      <alignment horizontal="left" vertical="center" wrapText="1" indent="1"/>
    </xf>
    <xf numFmtId="49" fontId="41" fillId="43" borderId="28" xfId="0" applyFont="1" applyFill="1" applyBorder="1" applyNumberFormat="1">
      <alignment horizontal="left" vertical="center"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8" xfId="0" applyFont="1" applyFill="1" applyBorder="1" applyNumberFormat="1">
      <alignment horizontal="left" vertical="center" wrapText="1" indent="1"/>
    </xf>
    <xf numFmtId="49" fontId="19" fillId="34" borderId="11" xfId="0" applyFont="1" applyFill="1" applyBorder="1" applyNumberFormat="1">
      <alignment horizontal="left" vertical="center" wrapText="1"/>
    </xf>
    <xf numFmtId="49" fontId="19" fillId="34" borderId="11" xfId="0" applyFont="1" applyFill="1" applyBorder="1" applyNumberFormat="1">
      <alignment horizontal="left" vertical="center" wrapText="1"/>
      <protection locked="0"/>
    </xf>
    <xf numFmtId="0" fontId="25" fillId="43" borderId="16" xfId="0" applyFont="1" applyFill="1" applyBorder="1">
      <alignment horizontal="left" vertical="center" wrapText="1" indent="1"/>
    </xf>
    <xf numFmtId="49" fontId="41" fillId="43" borderId="28" xfId="0" applyFont="1" applyFill="1" applyBorder="1" applyNumberFormat="1">
      <alignment horizontal="left" vertical="center"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8" xfId="0" applyFont="1" applyFill="1" applyBorder="1" applyNumberFormat="1">
      <alignment horizontal="left" vertical="center" wrapText="1" indent="1"/>
    </xf>
    <xf numFmtId="0" fontId="25" fillId="43" borderId="16" xfId="0" applyFont="1" applyFill="1" applyBorder="1">
      <alignment horizontal="left" vertical="center" wrapText="1" indent="1"/>
    </xf>
    <xf numFmtId="49" fontId="41" fillId="43" borderId="28" xfId="0" applyFont="1" applyFill="1" applyBorder="1" applyNumberFormat="1">
      <alignment horizontal="left" vertical="center"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8" xfId="0" applyFont="1" applyFill="1" applyBorder="1" applyNumberFormat="1">
      <alignment horizontal="left" vertical="center" wrapText="1" indent="1"/>
    </xf>
    <xf numFmtId="49" fontId="19" fillId="34" borderId="11" xfId="0" applyFont="1" applyFill="1" applyBorder="1" applyNumberFormat="1">
      <alignment horizontal="left" vertical="center" wrapText="1"/>
    </xf>
    <xf numFmtId="49" fontId="19" fillId="34" borderId="11" xfId="0" applyFont="1" applyFill="1" applyBorder="1" applyNumberFormat="1">
      <alignment horizontal="left" vertical="center" wrapText="1"/>
      <protection locked="0"/>
    </xf>
    <xf numFmtId="0" fontId="25" fillId="43" borderId="16" xfId="0" applyFont="1" applyFill="1" applyBorder="1">
      <alignment horizontal="left" vertical="center" wrapText="1" indent="1"/>
    </xf>
    <xf numFmtId="49" fontId="41" fillId="43" borderId="28" xfId="0" applyFont="1" applyFill="1" applyBorder="1" applyNumberFormat="1">
      <alignment horizontal="left" vertical="center"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8" xfId="0" applyFont="1" applyFill="1" applyBorder="1" applyNumberFormat="1">
      <alignment horizontal="left" vertical="center" wrapText="1" indent="1"/>
    </xf>
    <xf numFmtId="0" fontId="25" fillId="43" borderId="16" xfId="0" applyFont="1" applyFill="1" applyBorder="1">
      <alignment horizontal="left" vertical="center" wrapText="1" indent="1"/>
    </xf>
    <xf numFmtId="49" fontId="41" fillId="43" borderId="28" xfId="0" applyFont="1" applyFill="1" applyBorder="1" applyNumberFormat="1">
      <alignment horizontal="left" vertical="center"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8" xfId="0" applyFont="1" applyFill="1" applyBorder="1" applyNumberFormat="1">
      <alignment horizontal="left" vertical="center" wrapText="1" indent="1"/>
    </xf>
    <xf numFmtId="49" fontId="19" fillId="34" borderId="11" xfId="0" applyFont="1" applyFill="1" applyBorder="1" applyNumberFormat="1">
      <alignment horizontal="left" vertical="center" wrapText="1"/>
    </xf>
    <xf numFmtId="49" fontId="19" fillId="34" borderId="11" xfId="0" applyFont="1" applyFill="1" applyBorder="1" applyNumberFormat="1">
      <alignment horizontal="left" vertical="center" wrapText="1"/>
      <protection locked="0"/>
    </xf>
    <xf numFmtId="0" fontId="25" fillId="43" borderId="16" xfId="0" applyFont="1" applyFill="1" applyBorder="1">
      <alignment horizontal="left" vertical="center" wrapText="1" indent="1"/>
    </xf>
    <xf numFmtId="49" fontId="41" fillId="43" borderId="28" xfId="0" applyFont="1" applyFill="1" applyBorder="1" applyNumberFormat="1">
      <alignment horizontal="left" vertical="center"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8" xfId="0" applyFont="1" applyFill="1" applyBorder="1" applyNumberFormat="1">
      <alignment horizontal="left" vertical="center" wrapText="1" indent="1"/>
    </xf>
    <xf numFmtId="0" fontId="25" fillId="43" borderId="16" xfId="0" applyFont="1" applyFill="1" applyBorder="1">
      <alignment horizontal="left" vertical="center" wrapText="1" indent="1"/>
    </xf>
    <xf numFmtId="49" fontId="41" fillId="43" borderId="28" xfId="0" applyFont="1" applyFill="1" applyBorder="1" applyNumberFormat="1">
      <alignment horizontal="left" vertical="center"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8" xfId="0" applyFont="1" applyFill="1" applyBorder="1" applyNumberFormat="1">
      <alignment horizontal="left" vertical="center" wrapText="1" indent="1"/>
    </xf>
    <xf numFmtId="49" fontId="19" fillId="34" borderId="11" xfId="0" applyFont="1" applyFill="1" applyBorder="1" applyNumberFormat="1">
      <alignment horizontal="left" vertical="center" wrapText="1"/>
    </xf>
    <xf numFmtId="49" fontId="19" fillId="34" borderId="11" xfId="0" applyFont="1" applyFill="1" applyBorder="1" applyNumberFormat="1">
      <alignment horizontal="left" vertical="center" wrapText="1"/>
      <protection locked="0"/>
    </xf>
    <xf numFmtId="0" fontId="25" fillId="43" borderId="16" xfId="0" applyFont="1" applyFill="1" applyBorder="1">
      <alignment horizontal="left" vertical="center" wrapText="1" indent="1"/>
    </xf>
    <xf numFmtId="49" fontId="41" fillId="43" borderId="28" xfId="0" applyFont="1" applyFill="1" applyBorder="1" applyNumberFormat="1">
      <alignment horizontal="left" vertical="center"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8" xfId="0" applyFont="1" applyFill="1" applyBorder="1" applyNumberFormat="1">
      <alignment horizontal="left" vertical="center" wrapText="1" indent="1"/>
    </xf>
    <xf numFmtId="0" fontId="25" fillId="43" borderId="16" xfId="0" applyFont="1" applyFill="1" applyBorder="1">
      <alignment horizontal="left" vertical="center" wrapText="1" indent="1"/>
    </xf>
    <xf numFmtId="49" fontId="41" fillId="43" borderId="28" xfId="0" applyFont="1" applyFill="1" applyBorder="1" applyNumberFormat="1">
      <alignment horizontal="left" vertical="center"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8" xfId="0" applyFont="1" applyFill="1" applyBorder="1" applyNumberFormat="1">
      <alignment horizontal="left" vertical="center" wrapText="1" indent="1"/>
    </xf>
    <xf numFmtId="49" fontId="19" fillId="34" borderId="11" xfId="0" applyFont="1" applyFill="1" applyBorder="1" applyNumberFormat="1">
      <alignment horizontal="left" vertical="center" wrapText="1"/>
    </xf>
    <xf numFmtId="49" fontId="19" fillId="34" borderId="11" xfId="0" applyFont="1" applyFill="1" applyBorder="1" applyNumberFormat="1">
      <alignment horizontal="left" vertical="center" wrapText="1"/>
      <protection locked="0"/>
    </xf>
    <xf numFmtId="0" fontId="25" fillId="43" borderId="16" xfId="0" applyFont="1" applyFill="1" applyBorder="1">
      <alignment horizontal="left" vertical="center" wrapText="1" indent="1"/>
    </xf>
    <xf numFmtId="49" fontId="41" fillId="43" borderId="28" xfId="0" applyFont="1" applyFill="1" applyBorder="1" applyNumberFormat="1">
      <alignment horizontal="left" vertical="center"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8" xfId="0" applyFont="1" applyFill="1" applyBorder="1" applyNumberFormat="1">
      <alignment horizontal="left" vertical="center" wrapText="1" indent="1"/>
    </xf>
    <xf numFmtId="0" fontId="25" fillId="43" borderId="16" xfId="0" applyFont="1" applyFill="1" applyBorder="1">
      <alignment horizontal="left" vertical="center" wrapText="1" indent="1"/>
    </xf>
    <xf numFmtId="49" fontId="41" fillId="43" borderId="28" xfId="0" applyFont="1" applyFill="1" applyBorder="1" applyNumberFormat="1">
      <alignment horizontal="left" vertical="center"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8" xfId="0" applyFont="1" applyFill="1" applyBorder="1" applyNumberFormat="1">
      <alignment horizontal="left" vertical="center" wrapText="1" indent="1"/>
    </xf>
    <xf numFmtId="0" fontId="71" fillId="0" borderId="11" xfId="0" applyFont="1" applyBorder="1">
      <alignment vertical="center"/>
    </xf>
    <xf numFmtId="49" fontId="43" fillId="0" borderId="0" xfId="0" applyFont="1" applyNumberFormat="1">
      <alignment horizontal="left" vertical="center" wrapText="1" indent="4"/>
    </xf>
    <xf numFmtId="49" fontId="19" fillId="36" borderId="11" xfId="0" applyFont="1" applyFill="1" applyBorder="1" applyNumberFormat="1">
      <alignment horizontal="center" vertical="center" wrapText="1"/>
    </xf>
    <xf numFmtId="0" fontId="19" fillId="0" borderId="11" xfId="0" applyFont="1" applyBorder="1">
      <alignment horizontal="center" vertical="center" wrapText="1"/>
    </xf>
    <xf numFmtId="4" fontId="21" fillId="38" borderId="11" xfId="0" applyFont="1" applyFill="1" applyBorder="1" applyNumberFormat="1">
      <alignment horizontal="right" vertical="center" wrapText="1"/>
    </xf>
    <xf numFmtId="4" fontId="21" fillId="38" borderId="11" xfId="0" applyFont="1" applyFill="1" applyBorder="1" applyNumberFormat="1">
      <alignment horizontal="right" vertical="center"/>
    </xf>
    <xf numFmtId="49" fontId="0" fillId="0" borderId="0" xfId="0" applyFont="1" applyNumberFormat="1">
      <alignment horizontal="center" vertical="top"/>
    </xf>
    <xf numFmtId="0" fontId="36" fillId="0" borderId="0" xfId="0" applyFont="1">
      <alignment vertical="center"/>
    </xf>
    <xf numFmtId="4" fontId="21" fillId="34" borderId="11" xfId="0" applyFont="1" applyFill="1" applyBorder="1" applyNumberFormat="1">
      <alignment horizontal="right" vertical="center" wrapText="1"/>
    </xf>
    <xf numFmtId="4" fontId="19" fillId="38" borderId="11" xfId="0" applyFont="1" applyFill="1" applyBorder="1" applyNumberFormat="1">
      <alignment horizontal="right" vertical="center"/>
    </xf>
    <xf numFmtId="4" fontId="21" fillId="34" borderId="11" xfId="0" applyFont="1" applyFill="1" applyBorder="1" applyNumberFormat="1">
      <alignment horizontal="right" vertical="center" wrapText="1"/>
    </xf>
    <xf numFmtId="4" fontId="21" fillId="34" borderId="11" xfId="0" applyFont="1" applyFill="1" applyBorder="1" applyNumberFormat="1">
      <alignment horizontal="right" vertical="center" wrapText="1"/>
      <protection locked="0"/>
    </xf>
    <xf numFmtId="4" fontId="21" fillId="34" borderId="11" xfId="0" applyFont="1" applyFill="1" applyBorder="1" applyNumberFormat="1">
      <alignment horizontal="right" vertical="center" wrapText="1"/>
      <protection locked="0"/>
    </xf>
    <xf numFmtId="0" fontId="21" fillId="0" borderId="22" xfId="0" applyFont="1" applyBorder="1">
      <alignment vertical="center"/>
    </xf>
    <xf numFmtId="49" fontId="19" fillId="0" borderId="11" xfId="0" applyFont="1" applyBorder="1" applyNumberFormat="1">
      <alignment horizontal="center" vertical="center"/>
    </xf>
    <xf numFmtId="0" fontId="19" fillId="0" borderId="11" xfId="0" applyFont="1" applyBorder="1">
      <alignment horizontal="left" vertical="center" wrapText="1"/>
    </xf>
    <xf numFmtId="0" fontId="60" fillId="0" borderId="0" xfId="0" applyFont="1"/>
    <xf numFmtId="0" fontId="19" fillId="0" borderId="11" xfId="0" applyFont="1" applyBorder="1">
      <alignment horizontal="center" vertical="center"/>
    </xf>
    <xf numFmtId="49" fontId="19" fillId="4" borderId="0" xfId="0" applyFont="1" applyFill="1" applyNumberFormat="1">
      <alignment vertical="top"/>
    </xf>
    <xf numFmtId="49" fontId="19" fillId="44" borderId="0" xfId="0" applyFont="1" applyFill="1" applyNumberFormat="1">
      <alignment vertical="top"/>
    </xf>
    <xf numFmtId="0" fontId="21" fillId="0" borderId="11" xfId="0" applyFont="1" applyBorder="1">
      <alignment horizontal="center" vertical="center"/>
    </xf>
    <xf numFmtId="4" fontId="21" fillId="38" borderId="11" xfId="0" applyFont="1" applyFill="1" applyBorder="1" applyNumberFormat="1">
      <alignment horizontal="right"/>
    </xf>
    <xf numFmtId="49" fontId="41" fillId="43" borderId="16" xfId="0" applyFont="1" applyFill="1" applyBorder="1" applyNumberFormat="1">
      <alignment horizontal="left" vertical="center" wrapText="1" indent="1"/>
    </xf>
    <xf numFmtId="49" fontId="41" fillId="43" borderId="16"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8" xfId="0" applyFont="1" applyFill="1" applyBorder="1" applyNumberFormat="1">
      <alignment horizontal="left" vertical="center" wrapText="1" indent="1"/>
    </xf>
    <xf numFmtId="49" fontId="41" fillId="43" borderId="16"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8" xfId="0" applyFont="1" applyFill="1" applyBorder="1" applyNumberFormat="1">
      <alignment horizontal="left" vertical="center" wrapText="1" indent="1"/>
    </xf>
    <xf numFmtId="49" fontId="41" fillId="43" borderId="16"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8" xfId="0" applyFont="1" applyFill="1" applyBorder="1" applyNumberFormat="1">
      <alignment horizontal="left" vertical="center" wrapText="1" indent="1"/>
    </xf>
    <xf numFmtId="49" fontId="41" fillId="43" borderId="16"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8" xfId="0" applyFont="1" applyFill="1" applyBorder="1" applyNumberFormat="1">
      <alignment horizontal="left" vertical="center" wrapText="1" indent="1"/>
    </xf>
    <xf numFmtId="0" fontId="60" fillId="0" borderId="11" xfId="0" applyFont="1" applyBorder="1">
      <alignment vertical="center"/>
    </xf>
    <xf numFmtId="49" fontId="81" fillId="34" borderId="15" xfId="0" applyFont="1" applyFill="1" applyBorder="1" applyNumberFormat="1">
      <alignment horizontal="left" vertical="top" wrapText="1"/>
    </xf>
    <xf numFmtId="0" fontId="25" fillId="0" borderId="11" xfId="0" applyFont="1" applyBorder="1">
      <alignment horizontal="center" vertical="center" wrapText="1"/>
    </xf>
    <xf numFmtId="4" fontId="43" fillId="38" borderId="11" xfId="0" applyFont="1" applyFill="1" applyBorder="1" applyNumberFormat="1">
      <alignment horizontal="right" vertical="center" wrapText="1"/>
    </xf>
    <xf numFmtId="4" fontId="19" fillId="34" borderId="11" xfId="0" applyFont="1" applyFill="1" applyBorder="1" applyNumberFormat="1">
      <alignment horizontal="right" vertical="center" wrapText="1"/>
    </xf>
    <xf numFmtId="0" fontId="19" fillId="0" borderId="0" xfId="0" applyFont="1">
      <alignment horizontal="center"/>
    </xf>
    <xf numFmtId="0" fontId="19" fillId="44" borderId="0" xfId="0" applyFont="1" applyFill="1"/>
    <xf numFmtId="0" fontId="19" fillId="0" borderId="0" xfId="0" applyFont="1">
      <alignment horizontal="center"/>
    </xf>
    <xf numFmtId="0" fontId="19" fillId="0" borderId="0" xfId="0" applyFont="1"/>
    <xf numFmtId="0" fontId="19" fillId="44" borderId="0" xfId="0" applyFont="1" applyFill="1"/>
    <xf numFmtId="0" fontId="19" fillId="0" borderId="11" xfId="0" applyFont="1" applyBorder="1">
      <alignment horizontal="center"/>
    </xf>
    <xf numFmtId="4" fontId="21" fillId="34" borderId="11" xfId="0" applyFont="1" applyFill="1" applyBorder="1" applyNumberFormat="1">
      <alignment horizontal="right"/>
    </xf>
    <xf numFmtId="49" fontId="19" fillId="34" borderId="10" xfId="0" applyFont="1" applyFill="1" applyBorder="1" applyNumberFormat="1">
      <alignment horizontal="left" vertical="center" wrapText="1"/>
    </xf>
    <xf numFmtId="0" fontId="19" fillId="0" borderId="0" xfId="0" applyFont="1">
      <alignment horizontal="left"/>
    </xf>
    <xf numFmtId="49" fontId="19" fillId="0" borderId="0" xfId="0" applyFont="1" applyNumberFormat="1"/>
    <xf numFmtId="49" fontId="19" fillId="35" borderId="11" xfId="0" applyFont="1" applyFill="1" applyBorder="1" applyNumberFormat="1">
      <alignment horizontal="left" vertical="center" wrapText="1" indent="1"/>
    </xf>
    <xf numFmtId="49" fontId="21" fillId="4" borderId="0" xfId="0" applyFont="1" applyFill="1" applyNumberFormat="1"/>
    <xf numFmtId="49" fontId="25" fillId="43" borderId="16" xfId="0" applyFont="1" applyFill="1" applyBorder="1" applyNumberFormat="1">
      <alignment horizontal="left" vertical="center" wrapText="1" indent="1"/>
    </xf>
    <xf numFmtId="4" fontId="19" fillId="34" borderId="11" xfId="0" applyFont="1" applyFill="1" applyBorder="1" applyNumberFormat="1">
      <alignment horizontal="right" vertical="center" wrapText="1"/>
      <protection locked="0"/>
    </xf>
    <xf numFmtId="4" fontId="21" fillId="34" borderId="11" xfId="0" applyFont="1" applyFill="1" applyBorder="1" applyNumberFormat="1">
      <alignment horizontal="right"/>
      <protection locked="0"/>
    </xf>
    <xf numFmtId="49" fontId="19" fillId="34" borderId="10" xfId="0" applyFont="1" applyFill="1" applyBorder="1" applyNumberFormat="1">
      <alignment horizontal="left" vertical="center" wrapText="1"/>
      <protection locked="0"/>
    </xf>
    <xf numFmtId="49" fontId="21" fillId="34" borderId="10" xfId="0" applyFont="1" applyFill="1" applyBorder="1" applyNumberFormat="1">
      <alignment horizontal="left" vertical="center" wrapText="1"/>
    </xf>
    <xf numFmtId="49" fontId="19" fillId="35" borderId="11" xfId="56"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protection locked="0"/>
    </xf>
    <xf numFmtId="49" fontId="25" fillId="43" borderId="16" xfId="0" applyFont="1" applyFill="1" applyBorder="1" applyNumberFormat="1">
      <alignment horizontal="left" vertical="center" wrapText="1" indent="1"/>
    </xf>
    <xf numFmtId="49" fontId="41" fillId="43" borderId="28" xfId="0" applyFont="1" applyFill="1" applyBorder="1" applyNumberFormat="1">
      <alignment horizontal="left" vertical="center" indent="1"/>
    </xf>
    <xf numFmtId="49" fontId="25"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8" xfId="0" applyFont="1" applyFill="1" applyBorder="1" applyNumberFormat="1">
      <alignment horizontal="left" vertical="center" wrapText="1" indent="1"/>
    </xf>
    <xf numFmtId="49" fontId="19" fillId="35" borderId="11" xfId="0" applyFont="1" applyFill="1" applyBorder="1" applyNumberFormat="1">
      <alignment horizontal="left" vertical="center" wrapText="1" indent="1"/>
    </xf>
    <xf numFmtId="49" fontId="21" fillId="34" borderId="10" xfId="0" applyFont="1" applyFill="1" applyBorder="1" applyNumberFormat="1">
      <alignment horizontal="left" vertical="center" wrapText="1"/>
    </xf>
    <xf numFmtId="49" fontId="19" fillId="35" borderId="11"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protection locked="0"/>
    </xf>
    <xf numFmtId="49" fontId="25" fillId="43" borderId="16" xfId="0" applyFont="1" applyFill="1" applyBorder="1" applyNumberFormat="1">
      <alignment horizontal="left" vertical="center" wrapText="1" indent="1"/>
    </xf>
    <xf numFmtId="49" fontId="41" fillId="43" borderId="28" xfId="0" applyFont="1" applyFill="1" applyBorder="1" applyNumberFormat="1">
      <alignment horizontal="left" vertical="center" indent="1"/>
    </xf>
    <xf numFmtId="49" fontId="25"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8" xfId="0" applyFont="1" applyFill="1" applyBorder="1" applyNumberFormat="1">
      <alignment horizontal="left" vertical="center" wrapText="1" indent="1"/>
    </xf>
    <xf numFmtId="49" fontId="19" fillId="35" borderId="11" xfId="0" applyFont="1" applyFill="1" applyBorder="1" applyNumberFormat="1">
      <alignment horizontal="left" vertical="center" wrapText="1" indent="1"/>
    </xf>
    <xf numFmtId="49" fontId="21" fillId="34" borderId="10" xfId="0" applyFont="1" applyFill="1" applyBorder="1" applyNumberFormat="1">
      <alignment horizontal="left" vertical="center" wrapText="1"/>
    </xf>
    <xf numFmtId="49" fontId="19" fillId="35" borderId="11"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protection locked="0"/>
    </xf>
    <xf numFmtId="49" fontId="25" fillId="43" borderId="16" xfId="0" applyFont="1" applyFill="1" applyBorder="1" applyNumberFormat="1">
      <alignment horizontal="left" vertical="center" wrapText="1" indent="1"/>
    </xf>
    <xf numFmtId="49" fontId="41" fillId="43" borderId="28" xfId="0" applyFont="1" applyFill="1" applyBorder="1" applyNumberFormat="1">
      <alignment horizontal="left" vertical="center" indent="1"/>
    </xf>
    <xf numFmtId="49" fontId="25"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8" xfId="0" applyFont="1" applyFill="1" applyBorder="1" applyNumberFormat="1">
      <alignment horizontal="left" vertical="center" wrapText="1" indent="1"/>
    </xf>
    <xf numFmtId="49" fontId="19" fillId="35" borderId="11" xfId="0" applyFont="1" applyFill="1" applyBorder="1" applyNumberFormat="1">
      <alignment horizontal="left" vertical="center" wrapText="1" indent="1"/>
    </xf>
    <xf numFmtId="49" fontId="21" fillId="34" borderId="10" xfId="0" applyFont="1" applyFill="1" applyBorder="1" applyNumberFormat="1">
      <alignment horizontal="left" vertical="center" wrapText="1"/>
    </xf>
    <xf numFmtId="49" fontId="19" fillId="35" borderId="11"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protection locked="0"/>
    </xf>
    <xf numFmtId="49" fontId="25" fillId="43" borderId="16" xfId="0" applyFont="1" applyFill="1" applyBorder="1" applyNumberFormat="1">
      <alignment horizontal="left" vertical="center" wrapText="1" indent="1"/>
    </xf>
    <xf numFmtId="49" fontId="41" fillId="43" borderId="28" xfId="0" applyFont="1" applyFill="1" applyBorder="1" applyNumberFormat="1">
      <alignment horizontal="left" vertical="center" indent="1"/>
    </xf>
    <xf numFmtId="49" fontId="25"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7" xfId="0" applyFont="1" applyFill="1" applyBorder="1" applyNumberFormat="1">
      <alignment horizontal="left" vertical="center" wrapText="1" indent="1"/>
    </xf>
    <xf numFmtId="49" fontId="41" fillId="43" borderId="18" xfId="0" applyFont="1" applyFill="1" applyBorder="1" applyNumberFormat="1">
      <alignment horizontal="left" vertical="center" wrapText="1" indent="1"/>
    </xf>
    <xf numFmtId="0" fontId="21" fillId="0" borderId="22" xfId="0" applyFont="1" applyBorder="1">
      <alignment vertical="center" wrapText="1"/>
    </xf>
    <xf numFmtId="0" fontId="21" fillId="0" borderId="22" xfId="0" applyFont="1" applyBorder="1"/>
    <xf numFmtId="0" fontId="21" fillId="0" borderId="0" xfId="0" applyFont="1"/>
    <xf numFmtId="0" fontId="21" fillId="44" borderId="0" xfId="0" applyFont="1" applyFill="1"/>
    <xf numFmtId="0" fontId="21" fillId="36" borderId="0" xfId="0" applyFont="1" applyFill="1"/>
    <xf numFmtId="0" fontId="21" fillId="36" borderId="0" xfId="0" applyFont="1" applyFill="1">
      <alignment horizontal="center" vertical="center"/>
    </xf>
    <xf numFmtId="0" fontId="21" fillId="36" borderId="0" xfId="0" applyFont="1" applyFill="1">
      <alignment horizontal="center" vertical="top"/>
    </xf>
    <xf numFmtId="0" fontId="21" fillId="36" borderId="0" xfId="0" applyFont="1" applyFill="1">
      <alignment horizontal="center"/>
    </xf>
    <xf numFmtId="0" fontId="19" fillId="42" borderId="38" xfId="0" applyFont="1" applyFill="1" applyBorder="1">
      <alignment horizontal="left" vertical="center"/>
    </xf>
    <xf numFmtId="0" fontId="21" fillId="4" borderId="0" xfId="0" applyFont="1" applyFill="1"/>
    <xf numFmtId="0" fontId="43" fillId="0" borderId="0" xfId="0" applyFont="1"/>
    <xf numFmtId="0" fontId="43" fillId="44" borderId="0" xfId="0" applyFont="1" applyFill="1"/>
    <xf numFmtId="0" fontId="43" fillId="36" borderId="0" xfId="0" applyFont="1" applyFill="1"/>
    <xf numFmtId="49" fontId="25" fillId="0" borderId="11" xfId="0" applyFont="1" applyBorder="1" applyNumberFormat="1">
      <alignment horizontal="center" vertical="center"/>
    </xf>
    <xf numFmtId="0" fontId="25" fillId="0" borderId="11" xfId="0" applyFont="1" applyBorder="1">
      <alignment vertical="center" wrapText="1"/>
    </xf>
    <xf numFmtId="0" fontId="25" fillId="0" borderId="11" xfId="0" applyFont="1" applyBorder="1">
      <alignment horizontal="center" vertical="center"/>
    </xf>
    <xf numFmtId="4" fontId="25" fillId="38" borderId="11" xfId="0" applyFont="1" applyFill="1" applyBorder="1" applyNumberFormat="1">
      <alignment horizontal="right" vertical="center"/>
    </xf>
    <xf numFmtId="49" fontId="19" fillId="34" borderId="10" xfId="0" applyFont="1" applyFill="1" applyBorder="1" applyNumberFormat="1">
      <alignment horizontal="left" vertical="center" wrapText="1"/>
    </xf>
    <xf numFmtId="0" fontId="43" fillId="4" borderId="0" xfId="0" applyFont="1" applyFill="1"/>
    <xf numFmtId="49" fontId="19" fillId="0" borderId="11" xfId="0" applyFont="1" applyBorder="1" applyNumberFormat="1">
      <alignment horizontal="center" vertical="center"/>
    </xf>
    <xf numFmtId="0" fontId="19" fillId="0" borderId="11" xfId="0" applyFont="1" applyBorder="1">
      <alignment horizontal="left" vertical="center" wrapText="1" indent="1"/>
    </xf>
    <xf numFmtId="0" fontId="19" fillId="0" borderId="11" xfId="0" applyFont="1" applyBorder="1">
      <alignment horizontal="center" vertical="center"/>
    </xf>
    <xf numFmtId="4" fontId="19" fillId="38" borderId="11" xfId="0" applyFont="1" applyFill="1" applyBorder="1" applyNumberFormat="1">
      <alignment horizontal="right" vertical="center"/>
    </xf>
    <xf numFmtId="0" fontId="32" fillId="36" borderId="0" xfId="0" applyFont="1" applyFill="1"/>
    <xf numFmtId="49" fontId="32" fillId="36" borderId="0" xfId="0" applyFont="1" applyFill="1" applyNumberFormat="1"/>
    <xf numFmtId="0" fontId="19" fillId="0" borderId="11" xfId="0" applyFont="1" applyBorder="1">
      <alignment horizontal="left" vertical="center" wrapText="1" indent="3"/>
    </xf>
    <xf numFmtId="0" fontId="25" fillId="0" borderId="11" xfId="0" applyFont="1" applyBorder="1">
      <alignment horizontal="left" vertical="center" wrapText="1"/>
    </xf>
    <xf numFmtId="4" fontId="19" fillId="38" borderId="11" xfId="0" applyFont="1" applyFill="1" applyBorder="1" applyNumberFormat="1">
      <alignment horizontal="right" vertical="center"/>
    </xf>
    <xf numFmtId="0" fontId="21" fillId="0" borderId="11" xfId="0" applyFont="1" applyBorder="1"/>
    <xf numFmtId="49" fontId="19" fillId="34" borderId="11" xfId="0" applyFont="1" applyFill="1" applyBorder="1" applyNumberFormat="1">
      <alignment horizontal="left" vertical="top" wrapText="1"/>
    </xf>
    <xf numFmtId="0" fontId="21" fillId="43" borderId="17" xfId="0" applyFont="1" applyFill="1" applyBorder="1">
      <alignment vertical="center" wrapText="1"/>
    </xf>
    <xf numFmtId="0" fontId="35" fillId="0" borderId="0" xfId="0" applyFont="1">
      <alignment horizontal="left" vertical="top" wrapText="1"/>
    </xf>
    <xf numFmtId="0" fontId="21" fillId="11" borderId="11" xfId="0" applyFont="1" applyFill="1" applyBorder="1">
      <alignment horizontal="center" vertical="center" wrapText="1"/>
    </xf>
    <xf numFmtId="0" fontId="43" fillId="0" borderId="0" xfId="0" applyFont="1"/>
    <xf numFmtId="0" fontId="25" fillId="0" borderId="0" xfId="0" applyFont="1"/>
    <xf numFmtId="49" fontId="25" fillId="0" borderId="11" xfId="0" applyFont="1" applyBorder="1" applyNumberFormat="1">
      <alignment horizontal="center" vertical="center" wrapText="1"/>
    </xf>
    <xf numFmtId="49" fontId="25" fillId="0" borderId="11" xfId="0" applyFont="1" applyBorder="1" applyNumberFormat="1">
      <alignment horizontal="left" vertical="center" wrapText="1"/>
    </xf>
    <xf numFmtId="4" fontId="25" fillId="38" borderId="11" xfId="0" applyFont="1" applyFill="1" applyBorder="1" applyNumberFormat="1">
      <alignment horizontal="righ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left" vertical="center" wrapText="1" indent="1"/>
    </xf>
    <xf numFmtId="49" fontId="19" fillId="0" borderId="11" xfId="0" applyFont="1" applyBorder="1" applyNumberFormat="1">
      <alignment horizontal="left" vertical="center" wrapText="1"/>
    </xf>
    <xf numFmtId="172" fontId="19" fillId="38" borderId="11" xfId="0" applyFont="1" applyFill="1" applyBorder="1" applyNumberFormat="1">
      <alignment horizontal="right" vertical="center" wrapText="1"/>
    </xf>
    <xf numFmtId="172" fontId="19" fillId="34" borderId="11" xfId="0" applyFont="1" applyFill="1" applyBorder="1" applyNumberFormat="1">
      <alignment horizontal="right" vertical="center" wrapText="1"/>
    </xf>
    <xf numFmtId="172" fontId="19" fillId="34" borderId="11" xfId="0" applyFont="1" applyFill="1" applyBorder="1" applyNumberFormat="1">
      <alignment horizontal="right" vertical="center" wrapText="1"/>
      <protection locked="0"/>
    </xf>
    <xf numFmtId="0" fontId="19" fillId="0" borderId="11" xfId="0" applyFont="1" applyBorder="1">
      <alignment horizontal="center" vertical="center" wrapText="1"/>
    </xf>
    <xf numFmtId="49" fontId="19" fillId="32" borderId="11" xfId="0" applyFont="1" applyFill="1" applyBorder="1" applyNumberFormat="1">
      <alignment horizontal="left" vertical="top" wrapText="1"/>
    </xf>
    <xf numFmtId="49" fontId="71" fillId="0" borderId="11" xfId="0" applyFont="1" applyBorder="1" applyNumberFormat="1">
      <alignment horizontal="left" vertical="top" wrapText="1"/>
    </xf>
    <xf numFmtId="0" fontId="40" fillId="42" borderId="38" xfId="0" applyFont="1" applyFill="1" applyBorder="1">
      <alignment horizontal="left" vertical="center"/>
    </xf>
    <xf numFmtId="4" fontId="40" fillId="42" borderId="38" xfId="0" applyFont="1" applyFill="1" applyBorder="1" applyNumberFormat="1">
      <alignment horizontal="right" vertical="center"/>
    </xf>
    <xf numFmtId="49" fontId="19" fillId="0" borderId="11" xfId="0" applyFont="1" applyBorder="1" applyNumberFormat="1">
      <alignment horizontal="center" vertical="center" wrapText="1"/>
    </xf>
    <xf numFmtId="49" fontId="19" fillId="0" borderId="11" xfId="0" applyFont="1" applyBorder="1" applyNumberFormat="1">
      <alignment horizontal="left" vertical="center" wrapText="1"/>
    </xf>
    <xf numFmtId="4" fontId="0" fillId="34" borderId="11" xfId="0" applyFont="1" applyFill="1" applyBorder="1" applyNumberFormat="1">
      <alignment horizontal="right" vertical="center" wrapText="1"/>
    </xf>
    <xf numFmtId="4" fontId="0" fillId="34" borderId="11" xfId="0" applyFont="1" applyFill="1" applyBorder="1" applyNumberFormat="1">
      <alignment horizontal="right" vertical="center" wrapText="1"/>
      <protection locked="0"/>
    </xf>
    <xf numFmtId="49" fontId="71" fillId="34" borderId="11" xfId="0" applyFont="1" applyFill="1" applyBorder="1" applyNumberFormat="1">
      <alignment horizontal="left" vertical="top" wrapText="1"/>
    </xf>
    <xf numFmtId="0" fontId="19" fillId="0" borderId="0" xfId="0" applyFont="1">
      <alignment vertical="top"/>
    </xf>
    <xf numFmtId="0" fontId="40" fillId="42" borderId="11" xfId="0" applyFont="1" applyFill="1" applyBorder="1">
      <alignment horizontal="left" vertical="center"/>
    </xf>
    <xf numFmtId="0" fontId="66" fillId="0" borderId="0" xfId="0" applyFont="1"/>
    <xf numFmtId="49" fontId="66" fillId="0" borderId="0" xfId="0" applyFont="1" applyNumberFormat="1"/>
    <xf numFmtId="0" fontId="25" fillId="37" borderId="11" xfId="0" applyFont="1" applyFill="1" applyBorder="1">
      <alignment horizontal="center" vertical="center"/>
    </xf>
    <xf numFmtId="0" fontId="25" fillId="37" borderId="11" xfId="0" applyFont="1" applyFill="1" applyBorder="1">
      <alignment horizontal="left" vertical="center" wrapText="1"/>
    </xf>
    <xf numFmtId="0" fontId="25" fillId="37" borderId="11" xfId="0" applyFont="1" applyFill="1" applyBorder="1">
      <alignment horizontal="center" vertical="center" wrapText="1"/>
    </xf>
    <xf numFmtId="49" fontId="25" fillId="34" borderId="11" xfId="0" applyFont="1" applyFill="1" applyBorder="1" applyNumberFormat="1">
      <alignment horizontal="left" vertical="center" wrapText="1"/>
    </xf>
    <xf numFmtId="4" fontId="25" fillId="34" borderId="11" xfId="0" applyFont="1" applyFill="1" applyBorder="1" applyNumberFormat="1">
      <alignment horizontal="right" vertical="center" wrapText="1"/>
    </xf>
    <xf numFmtId="4" fontId="19" fillId="38" borderId="11" xfId="0" applyFont="1" applyFill="1" applyBorder="1" applyNumberFormat="1">
      <alignment horizontal="right" vertical="center" wrapText="1"/>
    </xf>
    <xf numFmtId="49" fontId="19" fillId="37" borderId="11" xfId="0" applyFont="1" applyFill="1" applyBorder="1" applyNumberFormat="1">
      <alignment horizontal="center" vertical="center"/>
    </xf>
    <xf numFmtId="0" fontId="19" fillId="37" borderId="11" xfId="0" applyFont="1" applyFill="1" applyBorder="1">
      <alignment horizontal="left" vertical="center" wrapText="1" indent="2"/>
    </xf>
    <xf numFmtId="0" fontId="19" fillId="0" borderId="11" xfId="0" applyFont="1" applyBorder="1">
      <alignment horizontal="right" vertical="center" wrapText="1"/>
    </xf>
    <xf numFmtId="0" fontId="19" fillId="0" borderId="11" xfId="0" applyFont="1" applyBorder="1" quotePrefix="1">
      <alignment horizontal="left" vertical="center" wrapText="1" indent="1"/>
    </xf>
    <xf numFmtId="0" fontId="1" fillId="0" borderId="0" xfId="0" applyFont="1"/>
    <xf numFmtId="4" fontId="25" fillId="38" borderId="11" xfId="0" applyFont="1" applyFill="1" applyBorder="1" applyNumberFormat="1">
      <alignment horizontal="right" vertical="center" wrapText="1"/>
    </xf>
    <xf numFmtId="49" fontId="25" fillId="34" borderId="11" xfId="0" applyFont="1" applyFill="1" applyBorder="1" applyNumberFormat="1">
      <alignment horizontal="left" vertical="center" wrapText="1"/>
      <protection locked="0"/>
    </xf>
    <xf numFmtId="4" fontId="25" fillId="34" borderId="11" xfId="0" applyFont="1" applyFill="1" applyBorder="1" applyNumberFormat="1">
      <alignment horizontal="right" vertical="center" wrapText="1"/>
      <protection locked="0"/>
    </xf>
    <xf numFmtId="49" fontId="43" fillId="0" borderId="22" xfId="0" applyFont="1" applyBorder="1" applyNumberFormat="1">
      <alignment horizontal="left" vertical="center" wrapText="1" indent="1"/>
    </xf>
    <xf numFmtId="0" fontId="49" fillId="0" borderId="0" xfId="0" applyFont="1">
      <alignment vertical="center"/>
    </xf>
    <xf numFmtId="49" fontId="43" fillId="45" borderId="43" xfId="0" applyFont="1" applyFill="1" applyBorder="1" applyNumberFormat="1">
      <alignment horizontal="left" vertical="center"/>
    </xf>
    <xf numFmtId="49" fontId="43" fillId="45" borderId="44" xfId="0" applyFont="1" applyFill="1" applyBorder="1" applyNumberFormat="1">
      <alignment horizontal="left" vertical="center" wrapText="1"/>
    </xf>
    <xf numFmtId="49" fontId="43" fillId="45" borderId="31" xfId="0" applyFont="1" applyFill="1" applyBorder="1" applyNumberFormat="1">
      <alignment horizontal="left" vertical="center" wrapText="1"/>
    </xf>
    <xf numFmtId="0" fontId="19" fillId="0" borderId="43" xfId="0" applyFont="1" applyBorder="1">
      <alignment horizontal="center" vertical="center" wrapText="1"/>
    </xf>
    <xf numFmtId="0" fontId="19" fillId="0" borderId="44" xfId="0" applyFont="1" applyBorder="1">
      <alignment horizontal="center" vertical="center" wrapText="1"/>
    </xf>
    <xf numFmtId="0" fontId="19" fillId="0" borderId="31" xfId="0" applyFont="1" applyBorder="1">
      <alignment horizontal="center" vertical="center" wrapText="1"/>
    </xf>
    <xf numFmtId="0" fontId="19" fillId="0" borderId="0" xfId="0" applyFont="1">
      <alignment horizontal="left" vertical="center" wrapText="1"/>
    </xf>
    <xf numFmtId="0" fontId="19" fillId="0" borderId="0" xfId="0" applyFont="1">
      <alignment horizontal="center" vertical="center" wrapText="1"/>
    </xf>
    <xf numFmtId="0" fontId="19" fillId="44" borderId="0" xfId="0" applyFont="1" applyFill="1">
      <alignment vertical="center"/>
    </xf>
    <xf numFmtId="0" fontId="19" fillId="0" borderId="43" xfId="0" applyFont="1" applyBorder="1">
      <alignment horizontal="right" vertical="center" wrapText="1"/>
    </xf>
    <xf numFmtId="0" fontId="19" fillId="0" borderId="31" xfId="0" applyFont="1" applyBorder="1">
      <alignment horizontal="right" vertical="center" wrapText="1"/>
    </xf>
    <xf numFmtId="0" fontId="25" fillId="38" borderId="43" xfId="0" applyFont="1" applyFill="1" applyBorder="1">
      <alignment horizontal="left" vertical="center" indent="1"/>
    </xf>
    <xf numFmtId="0" fontId="25" fillId="38" borderId="44" xfId="0" applyFont="1" applyFill="1" applyBorder="1">
      <alignment vertical="center" wrapText="1"/>
    </xf>
    <xf numFmtId="0" fontId="25" fillId="38" borderId="31" xfId="0" applyFont="1" applyFill="1" applyBorder="1">
      <alignment vertical="center" wrapText="1"/>
    </xf>
    <xf numFmtId="49" fontId="25" fillId="38" borderId="44" xfId="0" applyFont="1" applyFill="1" applyBorder="1" applyNumberFormat="1">
      <alignment vertical="center" wrapText="1"/>
    </xf>
    <xf numFmtId="49" fontId="25" fillId="38" borderId="31" xfId="0" applyFont="1" applyFill="1" applyBorder="1" applyNumberFormat="1">
      <alignment vertical="center" wrapText="1"/>
    </xf>
    <xf numFmtId="0" fontId="19" fillId="0" borderId="0" xfId="0" applyFont="1">
      <alignment vertical="center"/>
    </xf>
    <xf numFmtId="0" fontId="19" fillId="25" borderId="0" xfId="0" applyFont="1" applyFill="1">
      <alignment horizontal="center" vertical="center"/>
    </xf>
    <xf numFmtId="0" fontId="19" fillId="44" borderId="43" xfId="0" applyFont="1" applyFill="1" applyBorder="1">
      <alignment horizontal="left" vertical="center" wrapText="1"/>
    </xf>
    <xf numFmtId="0" fontId="19" fillId="44" borderId="44" xfId="0" applyFont="1" applyFill="1" applyBorder="1">
      <alignment horizontal="center" vertical="center"/>
    </xf>
    <xf numFmtId="0" fontId="19" fillId="44" borderId="44" xfId="0" applyFont="1" applyFill="1" applyBorder="1">
      <alignment horizontal="left" vertical="center" indent="1"/>
    </xf>
    <xf numFmtId="0" fontId="19" fillId="44" borderId="31" xfId="0" applyFont="1" applyFill="1" applyBorder="1">
      <alignment horizontal="left" vertical="center" indent="1"/>
    </xf>
    <xf numFmtId="0" fontId="19" fillId="44" borderId="31" xfId="0" applyFont="1" applyFill="1" applyBorder="1">
      <alignment horizontal="left" vertical="center" indent="1"/>
    </xf>
    <xf numFmtId="0" fontId="19" fillId="44" borderId="44" xfId="0" applyFont="1" applyFill="1" applyBorder="1">
      <alignment horizontal="left" vertical="center" indent="1"/>
    </xf>
    <xf numFmtId="0" fontId="25" fillId="0" borderId="0" xfId="0" applyFont="1">
      <alignment vertical="center"/>
    </xf>
    <xf numFmtId="0" fontId="25" fillId="44" borderId="0" xfId="0" applyFont="1" applyFill="1">
      <alignment vertical="center"/>
    </xf>
    <xf numFmtId="0" fontId="25" fillId="0" borderId="10" xfId="0" applyFont="1" applyBorder="1">
      <alignment horizontal="left" vertical="center" wrapText="1"/>
    </xf>
    <xf numFmtId="0" fontId="25" fillId="0" borderId="10" xfId="0" applyFont="1" applyBorder="1">
      <alignment horizontal="center" vertical="center" wrapText="1"/>
    </xf>
    <xf numFmtId="4" fontId="25" fillId="34" borderId="10" xfId="0" applyFont="1" applyFill="1" applyBorder="1" applyNumberFormat="1">
      <alignment horizontal="right" vertical="center"/>
    </xf>
    <xf numFmtId="4" fontId="25" fillId="38" borderId="10" xfId="0" applyFont="1" applyFill="1" applyBorder="1" applyNumberFormat="1">
      <alignment vertical="center"/>
    </xf>
    <xf numFmtId="4" fontId="43" fillId="34" borderId="10" xfId="0" applyFont="1" applyFill="1" applyBorder="1" applyNumberFormat="1">
      <alignment horizontal="right" vertical="center"/>
    </xf>
    <xf numFmtId="0" fontId="43" fillId="4" borderId="0" xfId="0" applyFont="1" applyFill="1">
      <alignment vertical="center"/>
    </xf>
    <xf numFmtId="0" fontId="43" fillId="44" borderId="0" xfId="0" applyFont="1" applyFill="1">
      <alignment vertical="center"/>
    </xf>
    <xf numFmtId="4" fontId="19" fillId="38" borderId="11" xfId="0" applyFont="1" applyFill="1" applyBorder="1" applyNumberFormat="1">
      <alignment horizontal="right" vertical="center" wrapText="1"/>
    </xf>
    <xf numFmtId="4" fontId="19" fillId="38" borderId="10" xfId="0" applyFont="1" applyFill="1" applyBorder="1" applyNumberFormat="1">
      <alignment vertical="center"/>
    </xf>
    <xf numFmtId="0" fontId="43" fillId="0" borderId="0" xfId="0" applyFont="1">
      <alignment vertical="center"/>
    </xf>
    <xf numFmtId="172" fontId="19" fillId="34" borderId="10" xfId="0" applyFont="1" applyFill="1" applyBorder="1" applyNumberFormat="1">
      <alignment horizontal="right" vertical="center"/>
    </xf>
    <xf numFmtId="172" fontId="19" fillId="38" borderId="10" xfId="0" applyFont="1" applyFill="1" applyBorder="1" applyNumberFormat="1">
      <alignment vertical="center"/>
    </xf>
    <xf numFmtId="0" fontId="25" fillId="37" borderId="10" xfId="0" applyFont="1" applyFill="1" applyBorder="1">
      <alignment horizontal="left" vertical="center" wrapText="1"/>
    </xf>
    <xf numFmtId="0" fontId="19" fillId="0" borderId="10" xfId="0" applyFont="1" applyBorder="1">
      <alignment horizontal="left" vertical="center" wrapText="1"/>
    </xf>
    <xf numFmtId="0" fontId="22" fillId="0" borderId="14" xfId="0" applyFont="1" applyBorder="1">
      <alignment horizontal="center" vertical="top" wrapText="1"/>
    </xf>
    <xf numFmtId="49" fontId="19" fillId="35" borderId="10" xfId="0" applyFont="1" applyFill="1" applyBorder="1" applyNumberFormat="1">
      <alignment horizontal="left" vertical="center" wrapText="1"/>
    </xf>
    <xf numFmtId="4" fontId="19" fillId="34" borderId="10" xfId="0" applyFont="1" applyFill="1" applyBorder="1" applyNumberFormat="1">
      <alignment vertical="center"/>
    </xf>
    <xf numFmtId="49" fontId="41" fillId="43" borderId="40" xfId="0" applyFont="1" applyFill="1" applyBorder="1" applyNumberFormat="1">
      <alignment horizontal="left" vertical="center" wrapText="1"/>
    </xf>
    <xf numFmtId="49" fontId="25" fillId="43" borderId="40" xfId="0" applyFont="1" applyFill="1" applyBorder="1" applyNumberFormat="1">
      <alignment horizontal="left" vertical="center" wrapText="1" indent="1"/>
    </xf>
    <xf numFmtId="49" fontId="25" fillId="43" borderId="41" xfId="0" applyFont="1" applyFill="1" applyBorder="1" applyNumberFormat="1">
      <alignment horizontal="left" vertical="center" wrapText="1" indent="1"/>
    </xf>
    <xf numFmtId="0" fontId="19" fillId="44" borderId="44" xfId="0" applyFont="1" applyFill="1" applyBorder="1">
      <alignment horizontal="left" vertical="center" indent="1"/>
    </xf>
    <xf numFmtId="0" fontId="19" fillId="44" borderId="31" xfId="0" applyFont="1" applyFill="1" applyBorder="1">
      <alignment horizontal="left" vertical="center" indent="1"/>
    </xf>
    <xf numFmtId="0" fontId="19" fillId="0" borderId="44" xfId="0" applyFont="1" applyBorder="1">
      <alignment horizontal="center" vertical="center"/>
    </xf>
    <xf numFmtId="0" fontId="19" fillId="0" borderId="44" xfId="0" applyFont="1" applyBorder="1">
      <alignment horizontal="left" vertical="center" indent="1"/>
    </xf>
    <xf numFmtId="0" fontId="19" fillId="0" borderId="31" xfId="0" applyFont="1" applyBorder="1">
      <alignment horizontal="left" vertical="center" indent="1"/>
    </xf>
    <xf numFmtId="0" fontId="19" fillId="0" borderId="10" xfId="0" applyFont="1" applyBorder="1">
      <alignment horizontal="left" vertical="center" wrapText="1" indent="1"/>
    </xf>
    <xf numFmtId="172" fontId="19" fillId="38" borderId="10" xfId="0" applyFont="1" applyFill="1" applyBorder="1" applyNumberFormat="1">
      <alignment vertical="center"/>
    </xf>
    <xf numFmtId="4" fontId="19" fillId="0" borderId="44" xfId="0" applyFont="1" applyBorder="1" applyNumberFormat="1">
      <alignment horizontal="right" vertical="center"/>
    </xf>
    <xf numFmtId="4" fontId="19" fillId="0" borderId="44" xfId="0" applyFont="1" applyBorder="1" applyNumberFormat="1">
      <alignment vertical="center"/>
    </xf>
    <xf numFmtId="4" fontId="19" fillId="0" borderId="31" xfId="0" applyFont="1" applyBorder="1" applyNumberFormat="1">
      <alignment vertical="center"/>
    </xf>
    <xf numFmtId="49" fontId="21" fillId="4" borderId="0" xfId="0" applyFont="1" applyFill="1" applyNumberFormat="1">
      <alignment vertical="center"/>
    </xf>
    <xf numFmtId="0" fontId="19" fillId="44" borderId="0" xfId="0" applyFont="1" applyFill="1">
      <alignment vertical="top"/>
    </xf>
    <xf numFmtId="0" fontId="19" fillId="0" borderId="0" xfId="0" applyFont="1">
      <alignment vertical="top"/>
    </xf>
    <xf numFmtId="0" fontId="19" fillId="4" borderId="0" xfId="0" applyFont="1" applyFill="1">
      <alignment vertical="top"/>
    </xf>
    <xf numFmtId="49" fontId="19" fillId="44" borderId="0" xfId="0" applyFont="1" applyFill="1" applyNumberFormat="1">
      <alignment vertical="top"/>
    </xf>
    <xf numFmtId="4" fontId="25" fillId="34" borderId="11" xfId="0" applyFont="1" applyFill="1" applyBorder="1" applyNumberFormat="1">
      <alignment vertical="center"/>
    </xf>
    <xf numFmtId="0" fontId="19" fillId="0" borderId="11" xfId="0" applyFont="1" applyBorder="1">
      <alignment horizontal="left" vertical="center" wrapText="1"/>
    </xf>
    <xf numFmtId="0" fontId="19" fillId="38" borderId="11" xfId="0" applyFont="1" applyFill="1" applyBorder="1">
      <alignment vertical="center"/>
    </xf>
    <xf numFmtId="0" fontId="19" fillId="38" borderId="58" xfId="0" applyFont="1" applyFill="1" applyBorder="1">
      <alignment vertical="center"/>
    </xf>
    <xf numFmtId="49" fontId="41" fillId="43" borderId="40" xfId="0" applyFont="1" applyFill="1" applyBorder="1" applyNumberFormat="1">
      <alignment horizontal="left" vertical="center" wrapText="1" indent="1"/>
    </xf>
    <xf numFmtId="49" fontId="41" fillId="43" borderId="41" xfId="0" applyFont="1" applyFill="1" applyBorder="1" applyNumberFormat="1">
      <alignment horizontal="left" vertical="center" wrapText="1" indent="1"/>
    </xf>
    <xf numFmtId="0" fontId="25" fillId="0" borderId="0" xfId="0" applyFont="1">
      <alignment horizontal="center" vertical="center"/>
    </xf>
    <xf numFmtId="0" fontId="34" fillId="0" borderId="0" xfId="0" applyFont="1">
      <alignment vertical="center"/>
    </xf>
    <xf numFmtId="4" fontId="25" fillId="34" borderId="10" xfId="0" applyFont="1" applyFill="1" applyBorder="1" applyNumberFormat="1">
      <alignment horizontal="right" vertical="center"/>
      <protection locked="0"/>
    </xf>
    <xf numFmtId="0" fontId="34" fillId="0" borderId="0" xfId="0" applyFont="1">
      <alignment vertical="center"/>
    </xf>
    <xf numFmtId="172" fontId="19" fillId="34" borderId="10" xfId="0" applyFont="1" applyFill="1" applyBorder="1" applyNumberFormat="1">
      <alignment horizontal="right" vertical="center"/>
      <protection locked="0"/>
    </xf>
    <xf numFmtId="0" fontId="34" fillId="0" borderId="0" xfId="0" applyFont="1">
      <alignment vertical="center"/>
    </xf>
    <xf numFmtId="0" fontId="34" fillId="0" borderId="0" xfId="0" applyFont="1">
      <alignment vertical="center"/>
    </xf>
    <xf numFmtId="49" fontId="41" fillId="43" borderId="28" xfId="0" applyFont="1" applyFill="1" applyBorder="1" applyNumberFormat="1">
      <alignment horizontal="left" vertical="center" indent="1"/>
    </xf>
    <xf numFmtId="49" fontId="41" fillId="43" borderId="40" xfId="0" applyFont="1" applyFill="1" applyBorder="1" applyNumberFormat="1">
      <alignment horizontal="left" vertical="center" wrapTex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1" xfId="0" applyFont="1" applyFill="1" applyBorder="1" applyNumberFormat="1">
      <alignment horizontal="left" vertical="center" wrapText="1" indent="1"/>
    </xf>
    <xf numFmtId="49" fontId="41" fillId="43" borderId="28" xfId="0" applyFont="1" applyFill="1" applyBorder="1" applyNumberFormat="1">
      <alignment horizontal="left" vertical="center" indent="1"/>
    </xf>
    <xf numFmtId="49" fontId="41" fillId="43" borderId="40" xfId="0" applyFont="1" applyFill="1" applyBorder="1" applyNumberFormat="1">
      <alignment horizontal="left" vertical="center" wrapTex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1" xfId="0" applyFont="1" applyFill="1" applyBorder="1" applyNumberFormat="1">
      <alignment horizontal="left" vertical="center" wrapText="1" indent="1"/>
    </xf>
    <xf numFmtId="0" fontId="34" fillId="0" borderId="0" xfId="0" applyFont="1">
      <alignment vertical="center"/>
    </xf>
    <xf numFmtId="0" fontId="34" fillId="0" borderId="0" xfId="0" applyFont="1">
      <alignment vertical="center"/>
    </xf>
    <xf numFmtId="49" fontId="41" fillId="43" borderId="28" xfId="0" applyFont="1" applyFill="1" applyBorder="1" applyNumberFormat="1">
      <alignment horizontal="left" vertical="center" indent="1"/>
    </xf>
    <xf numFmtId="49" fontId="41" fillId="43" borderId="40" xfId="0" applyFont="1" applyFill="1" applyBorder="1" applyNumberFormat="1">
      <alignment horizontal="left" vertical="center" wrapTex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1" xfId="0" applyFont="1" applyFill="1" applyBorder="1" applyNumberFormat="1">
      <alignment horizontal="left" vertical="center" wrapText="1" indent="1"/>
    </xf>
    <xf numFmtId="0" fontId="34" fillId="0" borderId="0" xfId="0" applyFont="1">
      <alignment vertical="center"/>
    </xf>
    <xf numFmtId="0" fontId="34" fillId="0" borderId="0" xfId="0" applyFont="1">
      <alignment vertical="center"/>
    </xf>
    <xf numFmtId="0" fontId="34" fillId="0" borderId="0" xfId="0" applyFont="1">
      <alignment vertical="center"/>
    </xf>
    <xf numFmtId="0" fontId="34" fillId="0" borderId="0" xfId="0" applyFont="1">
      <alignment vertical="center"/>
    </xf>
    <xf numFmtId="49" fontId="41" fillId="43" borderId="28" xfId="0" applyFont="1" applyFill="1" applyBorder="1" applyNumberFormat="1">
      <alignment horizontal="left" vertical="center" indent="1"/>
    </xf>
    <xf numFmtId="49" fontId="41" fillId="43" borderId="40" xfId="0" applyFont="1" applyFill="1" applyBorder="1" applyNumberFormat="1">
      <alignment horizontal="left" vertical="center" wrapTex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1" xfId="0" applyFont="1" applyFill="1" applyBorder="1" applyNumberFormat="1">
      <alignment horizontal="left" vertical="center" wrapText="1" indent="1"/>
    </xf>
    <xf numFmtId="49" fontId="41" fillId="43" borderId="28" xfId="0" applyFont="1" applyFill="1" applyBorder="1" applyNumberFormat="1">
      <alignment horizontal="left" vertical="center" indent="1"/>
    </xf>
    <xf numFmtId="49" fontId="41" fillId="43" borderId="40" xfId="0" applyFont="1" applyFill="1" applyBorder="1" applyNumberFormat="1">
      <alignment horizontal="left" vertical="center" wrapTex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1" xfId="0" applyFont="1" applyFill="1" applyBorder="1" applyNumberFormat="1">
      <alignment horizontal="left" vertical="center" wrapText="1" indent="1"/>
    </xf>
    <xf numFmtId="0" fontId="34" fillId="0" borderId="0" xfId="0" applyFont="1">
      <alignment vertical="center"/>
    </xf>
    <xf numFmtId="0" fontId="34" fillId="0" borderId="0" xfId="0" applyFont="1">
      <alignment vertical="center"/>
    </xf>
    <xf numFmtId="49" fontId="41" fillId="43" borderId="28" xfId="0" applyFont="1" applyFill="1" applyBorder="1" applyNumberFormat="1">
      <alignment horizontal="left" vertical="center" indent="1"/>
    </xf>
    <xf numFmtId="49" fontId="41" fillId="43" borderId="40" xfId="0" applyFont="1" applyFill="1" applyBorder="1" applyNumberFormat="1">
      <alignment horizontal="left" vertical="center" wrapTex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1" xfId="0" applyFont="1" applyFill="1" applyBorder="1" applyNumberFormat="1">
      <alignment horizontal="left" vertical="center" wrapText="1" indent="1"/>
    </xf>
    <xf numFmtId="0" fontId="34" fillId="0" borderId="0" xfId="0" applyFont="1">
      <alignment vertical="center"/>
    </xf>
    <xf numFmtId="0" fontId="34" fillId="0" borderId="0" xfId="0" applyFont="1">
      <alignment vertical="center"/>
    </xf>
    <xf numFmtId="0" fontId="34" fillId="0" borderId="0" xfId="0" applyFont="1">
      <alignment vertical="center"/>
    </xf>
    <xf numFmtId="0" fontId="34" fillId="0" borderId="0" xfId="0" applyFont="1">
      <alignment vertical="center"/>
    </xf>
    <xf numFmtId="49" fontId="41" fillId="43" borderId="28" xfId="0" applyFont="1" applyFill="1" applyBorder="1" applyNumberFormat="1">
      <alignment horizontal="left" vertical="center" indent="1"/>
    </xf>
    <xf numFmtId="49" fontId="41" fillId="43" borderId="40" xfId="0" applyFont="1" applyFill="1" applyBorder="1" applyNumberFormat="1">
      <alignment horizontal="left" vertical="center" wrapTex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1" xfId="0" applyFont="1" applyFill="1" applyBorder="1" applyNumberFormat="1">
      <alignment horizontal="left" vertical="center" wrapText="1" indent="1"/>
    </xf>
    <xf numFmtId="49" fontId="41" fillId="43" borderId="28" xfId="0" applyFont="1" applyFill="1" applyBorder="1" applyNumberFormat="1">
      <alignment horizontal="left" vertical="center" indent="1"/>
    </xf>
    <xf numFmtId="49" fontId="41" fillId="43" borderId="40" xfId="0" applyFont="1" applyFill="1" applyBorder="1" applyNumberFormat="1">
      <alignment horizontal="left" vertical="center" wrapTex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1" xfId="0" applyFont="1" applyFill="1" applyBorder="1" applyNumberFormat="1">
      <alignment horizontal="left" vertical="center" wrapText="1" indent="1"/>
    </xf>
    <xf numFmtId="0" fontId="34" fillId="0" borderId="0" xfId="0" applyFont="1">
      <alignment vertical="center"/>
    </xf>
    <xf numFmtId="0" fontId="34" fillId="0" borderId="0" xfId="0" applyFont="1">
      <alignment vertical="center"/>
    </xf>
    <xf numFmtId="49" fontId="41" fillId="43" borderId="28" xfId="0" applyFont="1" applyFill="1" applyBorder="1" applyNumberFormat="1">
      <alignment horizontal="left" vertical="center" indent="1"/>
    </xf>
    <xf numFmtId="49" fontId="41" fillId="43" borderId="40" xfId="0" applyFont="1" applyFill="1" applyBorder="1" applyNumberFormat="1">
      <alignment horizontal="left" vertical="center" wrapTex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1" xfId="0" applyFont="1" applyFill="1" applyBorder="1" applyNumberFormat="1">
      <alignment horizontal="left" vertical="center" wrapText="1" indent="1"/>
    </xf>
    <xf numFmtId="0" fontId="34" fillId="0" borderId="0" xfId="0" applyFont="1">
      <alignment vertical="center"/>
    </xf>
    <xf numFmtId="0" fontId="34" fillId="0" borderId="0" xfId="0" applyFont="1">
      <alignment vertical="center"/>
    </xf>
    <xf numFmtId="0" fontId="34" fillId="0" borderId="0" xfId="0" applyFont="1">
      <alignment vertical="center"/>
    </xf>
    <xf numFmtId="0" fontId="34" fillId="0" borderId="0" xfId="0" applyFont="1">
      <alignment vertical="center"/>
    </xf>
    <xf numFmtId="49" fontId="41" fillId="43" borderId="28" xfId="0" applyFont="1" applyFill="1" applyBorder="1" applyNumberFormat="1">
      <alignment horizontal="left" vertical="center" indent="1"/>
    </xf>
    <xf numFmtId="49" fontId="41" fillId="43" borderId="40" xfId="0" applyFont="1" applyFill="1" applyBorder="1" applyNumberFormat="1">
      <alignment horizontal="left" vertical="center" wrapTex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1" xfId="0" applyFont="1" applyFill="1" applyBorder="1" applyNumberFormat="1">
      <alignment horizontal="left" vertical="center" wrapText="1" indent="1"/>
    </xf>
    <xf numFmtId="49" fontId="41" fillId="43" borderId="28" xfId="0" applyFont="1" applyFill="1" applyBorder="1" applyNumberFormat="1">
      <alignment horizontal="left" vertical="center" indent="1"/>
    </xf>
    <xf numFmtId="49" fontId="41" fillId="43" borderId="40" xfId="0" applyFont="1" applyFill="1" applyBorder="1" applyNumberFormat="1">
      <alignment horizontal="left" vertical="center" wrapTex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0" xfId="0" applyFont="1" applyFill="1" applyBorder="1" applyNumberFormat="1">
      <alignment horizontal="left" vertical="center" wrapText="1" indent="1"/>
    </xf>
    <xf numFmtId="49" fontId="25" fillId="43" borderId="41" xfId="0" applyFont="1" applyFill="1" applyBorder="1" applyNumberFormat="1">
      <alignment horizontal="left" vertical="center" wrapText="1" indent="1"/>
    </xf>
    <xf numFmtId="0" fontId="34" fillId="0" borderId="0" xfId="0" applyFont="1">
      <alignment vertical="center"/>
    </xf>
    <xf numFmtId="0" fontId="34" fillId="0" borderId="0" xfId="0" applyFont="1">
      <alignment vertical="center"/>
    </xf>
    <xf numFmtId="49" fontId="41" fillId="43" borderId="28" xfId="0" applyFont="1" applyFill="1" applyBorder="1" applyNumberFormat="1">
      <alignment horizontal="left" vertical="center" indent="1"/>
    </xf>
    <xf numFmtId="49" fontId="41" fillId="43" borderId="40" xfId="0" applyFont="1" applyFill="1" applyBorder="1" applyNumberFormat="1">
      <alignment horizontal="left" vertical="center" wrapTex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0" xfId="0" applyFont="1" applyFill="1" applyBorder="1" applyNumberFormat="1">
      <alignment horizontal="left" vertical="center" wrapText="1" indent="1"/>
    </xf>
    <xf numFmtId="49" fontId="41" fillId="43" borderId="41" xfId="0" applyFont="1" applyFill="1" applyBorder="1" applyNumberFormat="1">
      <alignment horizontal="left" vertical="center" wrapText="1" indent="1"/>
    </xf>
    <xf numFmtId="0" fontId="19" fillId="34" borderId="11" xfId="0" applyFont="1" applyFill="1" applyBorder="1">
      <alignment horizontal="left" vertical="center" wrapText="1"/>
    </xf>
    <xf numFmtId="0" fontId="21" fillId="43" borderId="18" xfId="0" applyFont="1" applyFill="1" applyBorder="1">
      <alignment vertical="center" wrapText="1"/>
    </xf>
    <xf numFmtId="0" fontId="21" fillId="0" borderId="0" xfId="0" applyFont="1">
      <alignment vertical="center"/>
    </xf>
    <xf numFmtId="0" fontId="1" fillId="44" borderId="0" xfId="0" applyFont="1" applyFill="1"/>
    <xf numFmtId="0" fontId="36" fillId="0" borderId="0" xfId="0" applyFont="1">
      <alignment vertical="center"/>
    </xf>
    <xf numFmtId="0" fontId="21" fillId="4" borderId="0" xfId="0" applyFont="1" applyFill="1">
      <alignment vertical="center"/>
    </xf>
    <xf numFmtId="49" fontId="37" fillId="0" borderId="22" xfId="0" applyFont="1" applyBorder="1" applyNumberFormat="1">
      <alignment vertical="center"/>
    </xf>
    <xf numFmtId="49" fontId="37" fillId="0" borderId="0" xfId="0" applyFont="1" applyNumberFormat="1">
      <alignment horizontal="left" vertical="center" wrapText="1" indent="4"/>
    </xf>
    <xf numFmtId="0" fontId="21" fillId="0" borderId="11" xfId="0" applyFont="1" applyBorder="1">
      <alignment horizontal="center" vertical="center" wrapText="1"/>
    </xf>
    <xf numFmtId="0" fontId="21" fillId="11" borderId="11" xfId="0" applyFont="1" applyFill="1" applyBorder="1">
      <alignment horizontal="center" vertical="center" wrapText="1"/>
    </xf>
    <xf numFmtId="0" fontId="21" fillId="0" borderId="11" xfId="0" applyFont="1" applyBorder="1">
      <alignment horizontal="center" vertical="center" wrapText="1"/>
    </xf>
    <xf numFmtId="0" fontId="21" fillId="11" borderId="11" xfId="0" applyFont="1" applyFill="1" applyBorder="1">
      <alignment horizontal="center" vertical="center" wrapText="1"/>
    </xf>
    <xf numFmtId="0" fontId="21" fillId="0" borderId="0" xfId="0" applyFont="1">
      <alignment horizontal="center" vertical="center" wrapText="1"/>
    </xf>
    <xf numFmtId="0" fontId="21" fillId="0" borderId="0" xfId="0" applyFont="1">
      <alignment horizontal="center" vertical="center" wrapText="1"/>
    </xf>
    <xf numFmtId="0" fontId="21" fillId="0" borderId="0" xfId="0" applyFont="1">
      <alignment vertical="center"/>
    </xf>
    <xf numFmtId="0" fontId="1" fillId="0" borderId="0" xfId="0" applyFont="1"/>
    <xf numFmtId="0" fontId="1" fillId="0" borderId="0" xfId="0" applyFont="1">
      <alignment horizontal="center"/>
    </xf>
    <xf numFmtId="0" fontId="40" fillId="42" borderId="32" xfId="0" applyFont="1" applyFill="1" applyBorder="1">
      <alignment horizontal="left" vertical="center"/>
    </xf>
    <xf numFmtId="0" fontId="40" fillId="42" borderId="0" xfId="0" applyFont="1" applyFill="1">
      <alignment horizontal="left" vertical="center"/>
    </xf>
    <xf numFmtId="0" fontId="21" fillId="0" borderId="0" xfId="0" applyFont="1"/>
    <xf numFmtId="49" fontId="25" fillId="0" borderId="11" xfId="0" applyFont="1" applyBorder="1" applyNumberFormat="1">
      <alignment horizontal="center" vertical="center" wrapText="1"/>
    </xf>
    <xf numFmtId="0" fontId="19" fillId="0" borderId="11" xfId="0" applyFont="1" applyBorder="1">
      <alignment horizontal="center" vertical="center" wrapText="1"/>
    </xf>
    <xf numFmtId="4" fontId="25" fillId="38" borderId="11" xfId="0" applyFont="1" applyFill="1" applyBorder="1" applyNumberFormat="1">
      <alignment horizontal="right" vertical="center"/>
    </xf>
    <xf numFmtId="4" fontId="19" fillId="38" borderId="11" xfId="0" applyFont="1" applyFill="1" applyBorder="1" applyNumberFormat="1">
      <alignment horizontal="right" vertical="center"/>
    </xf>
    <xf numFmtId="49" fontId="19" fillId="34" borderId="10" xfId="0" applyFont="1" applyFill="1" applyBorder="1" applyNumberFormat="1">
      <alignment horizontal="left" vertical="center" wrapText="1"/>
    </xf>
    <xf numFmtId="0" fontId="19" fillId="34" borderId="10" xfId="0" applyFont="1" applyFill="1" applyBorder="1">
      <alignment horizontal="left" vertical="center" wrapText="1"/>
    </xf>
    <xf numFmtId="0" fontId="1" fillId="4" borderId="0" xfId="0" applyFont="1" applyFill="1"/>
    <xf numFmtId="0" fontId="17" fillId="44" borderId="0" xfId="0" applyFont="1" applyFill="1"/>
    <xf numFmtId="0" fontId="25" fillId="0" borderId="11" xfId="0" applyFont="1" applyBorder="1">
      <alignment horizontal="left" vertical="center" wrapText="1" indent="1"/>
    </xf>
    <xf numFmtId="0" fontId="25" fillId="0" borderId="11" xfId="0" applyFont="1" applyBorder="1">
      <alignment horizontal="center" vertical="center" wrapText="1"/>
    </xf>
    <xf numFmtId="49" fontId="25" fillId="34" borderId="10" xfId="0" applyFont="1" applyFill="1" applyBorder="1" applyNumberFormat="1">
      <alignment horizontal="left" vertical="center" wrapText="1"/>
    </xf>
    <xf numFmtId="0" fontId="17" fillId="4" borderId="0" xfId="0" applyFont="1" applyFill="1"/>
    <xf numFmtId="0" fontId="19" fillId="0" borderId="11" xfId="0" applyFont="1" applyBorder="1">
      <alignment horizontal="left" vertical="center" wrapText="1" indent="2"/>
    </xf>
    <xf numFmtId="4" fontId="19" fillId="38" borderId="11" xfId="0" applyFont="1" applyFill="1" applyBorder="1" applyNumberFormat="1">
      <alignment horizontal="right" vertical="center"/>
    </xf>
    <xf numFmtId="0" fontId="1" fillId="0" borderId="0" xfId="0" applyFont="1"/>
    <xf numFmtId="0" fontId="1" fillId="0" borderId="0" xfId="0" applyFont="1"/>
    <xf numFmtId="4" fontId="25" fillId="34" borderId="11" xfId="0" applyFont="1" applyFill="1" applyBorder="1" applyNumberFormat="1">
      <alignment horizontal="right" vertical="center"/>
    </xf>
    <xf numFmtId="0" fontId="21" fillId="0" borderId="0" xfId="0" applyFont="1">
      <alignment horizontal="left" vertical="center"/>
    </xf>
    <xf numFmtId="0" fontId="1" fillId="0" borderId="0" xfId="0" applyFont="1"/>
    <xf numFmtId="4" fontId="19" fillId="34" borderId="11" xfId="0" applyFont="1" applyFill="1" applyBorder="1" applyNumberFormat="1">
      <alignment horizontal="right" vertical="center"/>
    </xf>
    <xf numFmtId="0" fontId="53" fillId="0" borderId="0" xfId="0" applyFont="1">
      <alignment horizontal="center" vertical="center" wrapText="1"/>
    </xf>
    <xf numFmtId="0" fontId="19" fillId="36" borderId="11" xfId="0" applyFont="1" applyFill="1" applyBorder="1">
      <alignment horizontal="center" vertical="center" wrapText="1"/>
    </xf>
    <xf numFmtId="0" fontId="19" fillId="35" borderId="11" xfId="0" applyFont="1" applyFill="1" applyBorder="1">
      <alignment horizontal="left" vertical="center" wrapText="1" indent="1"/>
    </xf>
    <xf numFmtId="4" fontId="19" fillId="34" borderId="11" xfId="0" applyFont="1" applyFill="1" applyBorder="1" applyNumberFormat="1">
      <alignment horizontal="right" vertical="center"/>
    </xf>
    <xf numFmtId="0" fontId="1" fillId="4" borderId="0" xfId="0" applyFont="1" applyFill="1"/>
    <xf numFmtId="0" fontId="19" fillId="0" borderId="0" xfId="0" applyFont="1">
      <alignment vertical="top" wrapText="1"/>
    </xf>
    <xf numFmtId="49" fontId="25" fillId="43" borderId="16" xfId="0" applyFont="1" applyFill="1" applyBorder="1" applyNumberFormat="1">
      <alignment horizontal="left" vertical="center" wrapText="1" indent="1"/>
    </xf>
    <xf numFmtId="49" fontId="41" fillId="43" borderId="28" xfId="0" applyFont="1" applyFill="1" applyBorder="1" applyNumberFormat="1">
      <alignment horizontal="left" vertical="center" indent="1"/>
    </xf>
    <xf numFmtId="49" fontId="25" fillId="43" borderId="17" xfId="0" applyFont="1" applyFill="1" applyBorder="1" applyNumberFormat="1">
      <alignment horizontal="left" vertical="center" wrapText="1" indent="1"/>
    </xf>
    <xf numFmtId="49" fontId="25" fillId="43" borderId="18" xfId="0" applyFont="1" applyFill="1" applyBorder="1" applyNumberFormat="1">
      <alignment horizontal="left" vertical="center" wrapText="1" indent="1"/>
    </xf>
    <xf numFmtId="0" fontId="1" fillId="44" borderId="0" xfId="0" applyFont="1" applyFill="1"/>
    <xf numFmtId="4" fontId="25" fillId="38" borderId="11" xfId="0" applyFont="1" applyFill="1" applyBorder="1" applyNumberFormat="1">
      <alignment horizontal="right" vertical="center"/>
    </xf>
    <xf numFmtId="0" fontId="19" fillId="0" borderId="11" xfId="0" applyFont="1" applyBorder="1">
      <alignment horizontal="left" vertical="center" wrapText="1" indent="1"/>
    </xf>
    <xf numFmtId="0" fontId="19" fillId="0" borderId="11" xfId="0" applyFont="1" applyBorder="1">
      <alignment horizontal="center" vertical="center"/>
    </xf>
    <xf numFmtId="4" fontId="19" fillId="38" borderId="11" xfId="0" applyFont="1" applyFill="1" applyBorder="1" applyNumberFormat="1">
      <alignment horizontal="right" vertical="center"/>
    </xf>
    <xf numFmtId="4" fontId="19" fillId="38" borderId="11" xfId="0" applyFont="1" applyFill="1" applyBorder="1" applyNumberFormat="1">
      <alignment horizontal="right" vertical="center"/>
    </xf>
    <xf numFmtId="0" fontId="67" fillId="0" borderId="0" xfId="0" applyFont="1">
      <alignment vertical="center"/>
    </xf>
    <xf numFmtId="0" fontId="67" fillId="0" borderId="0" xfId="0" applyFont="1">
      <alignment vertical="center"/>
    </xf>
    <xf numFmtId="0" fontId="17" fillId="0" borderId="0" xfId="0" applyFont="1"/>
    <xf numFmtId="0" fontId="19" fillId="0" borderId="11" xfId="0" applyFont="1" applyBorder="1">
      <alignment horizontal="left" vertical="center" wrapText="1"/>
    </xf>
    <xf numFmtId="4" fontId="25" fillId="0" borderId="11" xfId="0" applyFont="1" applyBorder="1" applyNumberFormat="1">
      <alignment horizontal="right" vertical="center"/>
    </xf>
    <xf numFmtId="0" fontId="21" fillId="0" borderId="0" xfId="0" applyFont="1"/>
    <xf numFmtId="0" fontId="19" fillId="0" borderId="11" xfId="0" applyFont="1" applyBorder="1">
      <alignment vertical="center" wrapText="1"/>
    </xf>
    <xf numFmtId="0" fontId="19" fillId="37" borderId="11" xfId="0" applyFont="1" applyFill="1" applyBorder="1">
      <alignment horizontal="left" vertical="center" wrapText="1" indent="1"/>
    </xf>
    <xf numFmtId="49" fontId="19" fillId="37" borderId="11" xfId="0" applyFont="1" applyFill="1" applyBorder="1" applyNumberFormat="1">
      <alignment horizontal="center" vertical="center"/>
    </xf>
    <xf numFmtId="0" fontId="19" fillId="37" borderId="11" xfId="0" applyFont="1" applyFill="1" applyBorder="1">
      <alignment vertical="center" wrapText="1"/>
    </xf>
    <xf numFmtId="172" fontId="25" fillId="38" borderId="11" xfId="0" applyFont="1" applyFill="1" applyBorder="1" applyNumberFormat="1">
      <alignment horizontal="right" vertical="center"/>
    </xf>
    <xf numFmtId="4" fontId="25" fillId="0" borderId="11" xfId="0" applyFont="1" applyBorder="1" applyNumberFormat="1">
      <alignment horizontal="right" vertical="center"/>
    </xf>
    <xf numFmtId="172" fontId="19" fillId="34" borderId="11" xfId="0" applyFont="1" applyFill="1" applyBorder="1" applyNumberFormat="1">
      <alignment horizontal="right" vertical="center"/>
    </xf>
    <xf numFmtId="172" fontId="19" fillId="38" borderId="11" xfId="0" applyFont="1" applyFill="1" applyBorder="1" applyNumberFormat="1">
      <alignment horizontal="right" vertical="center"/>
    </xf>
    <xf numFmtId="4" fontId="19" fillId="0" borderId="11" xfId="0" applyFont="1" applyBorder="1" applyNumberFormat="1">
      <alignment horizontal="right" vertical="center"/>
    </xf>
    <xf numFmtId="0" fontId="37" fillId="0" borderId="0" xfId="0" applyFont="1">
      <alignment vertical="center"/>
    </xf>
    <xf numFmtId="4" fontId="25" fillId="34" borderId="11" xfId="0" applyFont="1" applyFill="1" applyBorder="1" applyNumberFormat="1">
      <alignment horizontal="right" vertical="center"/>
    </xf>
    <xf numFmtId="4" fontId="19" fillId="34" borderId="11" xfId="0" applyFont="1" applyFill="1" applyBorder="1" applyNumberFormat="1">
      <alignment horizontal="right" vertical="center"/>
    </xf>
    <xf numFmtId="49" fontId="19" fillId="34" borderId="10" xfId="0" applyFont="1" applyFill="1" applyBorder="1" applyNumberFormat="1">
      <alignment horizontal="left" vertical="center" wrapText="1"/>
      <protection locked="0"/>
    </xf>
    <xf numFmtId="0" fontId="19" fillId="34" borderId="10" xfId="0" applyFont="1" applyFill="1" applyBorder="1">
      <alignment horizontal="left" vertical="center" wrapText="1"/>
      <protection locked="0"/>
    </xf>
    <xf numFmtId="0" fontId="85" fillId="0" borderId="0" xfId="0" applyFont="1"/>
    <xf numFmtId="49" fontId="25" fillId="34" borderId="10" xfId="0" applyFont="1" applyFill="1" applyBorder="1" applyNumberFormat="1">
      <alignment horizontal="left" vertical="center" wrapText="1"/>
      <protection locked="0"/>
    </xf>
    <xf numFmtId="0" fontId="85" fillId="0" borderId="0" xfId="0" applyFont="1"/>
    <xf numFmtId="0" fontId="85" fillId="0" borderId="0" xfId="0" applyFont="1"/>
    <xf numFmtId="4" fontId="25" fillId="34" borderId="11" xfId="0" applyFont="1" applyFill="1" applyBorder="1" applyNumberFormat="1">
      <alignment horizontal="right" vertical="center"/>
      <protection locked="0"/>
    </xf>
    <xf numFmtId="0" fontId="85" fillId="0" borderId="0" xfId="0" applyFont="1"/>
    <xf numFmtId="0" fontId="85" fillId="0" borderId="0" xfId="0" applyFont="1"/>
    <xf numFmtId="0" fontId="85" fillId="0" borderId="0" xfId="0" applyFont="1"/>
    <xf numFmtId="0" fontId="85" fillId="0" borderId="0" xfId="0" applyFont="1"/>
    <xf numFmtId="4" fontId="19" fillId="34" borderId="11" xfId="0" applyFont="1" applyFill="1" applyBorder="1" applyNumberFormat="1">
      <alignment horizontal="right" vertical="center"/>
      <protection locked="0"/>
    </xf>
    <xf numFmtId="49" fontId="25" fillId="43" borderId="16" xfId="0" applyFont="1" applyFill="1" applyBorder="1" applyNumberFormat="1">
      <alignment horizontal="left" vertical="center" wrapText="1" indent="1"/>
    </xf>
    <xf numFmtId="49" fontId="41" fillId="43" borderId="28" xfId="0" applyFont="1" applyFill="1" applyBorder="1" applyNumberFormat="1">
      <alignment horizontal="left" vertical="center"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8" xfId="0" applyFont="1" applyFill="1" applyBorder="1" applyNumberFormat="1">
      <alignment horizontal="left" vertical="center" wrapText="1" indent="1"/>
    </xf>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172" fontId="19" fillId="34" borderId="11" xfId="0" applyFont="1" applyFill="1" applyBorder="1" applyNumberFormat="1">
      <alignment horizontal="right" vertical="center"/>
      <protection locked="0"/>
    </xf>
    <xf numFmtId="0" fontId="85" fillId="0" borderId="0" xfId="0" applyFont="1"/>
    <xf numFmtId="4" fontId="25" fillId="34" borderId="11" xfId="0" applyFont="1" applyFill="1" applyBorder="1" applyNumberFormat="1">
      <alignment horizontal="right" vertical="center"/>
      <protection locked="0"/>
    </xf>
    <xf numFmtId="0" fontId="85" fillId="0" borderId="0" xfId="0" applyFont="1"/>
    <xf numFmtId="4" fontId="19" fillId="34" borderId="11" xfId="0" applyFont="1" applyFill="1" applyBorder="1" applyNumberFormat="1">
      <alignment horizontal="right" vertical="center"/>
      <protection locked="0"/>
    </xf>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49" fontId="25" fillId="43" borderId="16" xfId="0" applyFont="1" applyFill="1" applyBorder="1" applyNumberFormat="1">
      <alignment horizontal="left" vertical="center" wrapText="1" indent="1"/>
    </xf>
    <xf numFmtId="49" fontId="41" fillId="43" borderId="28" xfId="0" applyFont="1" applyFill="1" applyBorder="1" applyNumberFormat="1">
      <alignment horizontal="left" vertical="center"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8" xfId="0" applyFont="1" applyFill="1" applyBorder="1" applyNumberFormat="1">
      <alignment horizontal="left" vertical="center" wrapText="1" indent="1"/>
    </xf>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49" fontId="25" fillId="43" borderId="16" xfId="0" applyFont="1" applyFill="1" applyBorder="1" applyNumberFormat="1">
      <alignment horizontal="left" vertical="center" wrapText="1" indent="1"/>
    </xf>
    <xf numFmtId="49" fontId="41" fillId="43" borderId="28" xfId="0" applyFont="1" applyFill="1" applyBorder="1" applyNumberFormat="1">
      <alignment horizontal="left" vertical="center"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8" xfId="0" applyFont="1" applyFill="1" applyBorder="1" applyNumberFormat="1">
      <alignment horizontal="left" vertical="center" wrapText="1" indent="1"/>
    </xf>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49" fontId="25" fillId="43" borderId="16" xfId="0" applyFont="1" applyFill="1" applyBorder="1" applyNumberFormat="1">
      <alignment horizontal="left" vertical="center" wrapText="1" indent="1"/>
    </xf>
    <xf numFmtId="49" fontId="41" fillId="43" borderId="28" xfId="0" applyFont="1" applyFill="1" applyBorder="1" applyNumberFormat="1">
      <alignment horizontal="left" vertical="center"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8" xfId="0" applyFont="1" applyFill="1" applyBorder="1" applyNumberFormat="1">
      <alignment horizontal="left" vertical="center" wrapText="1" indent="1"/>
    </xf>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85" fillId="0" borderId="0" xfId="0" applyFont="1"/>
    <xf numFmtId="0" fontId="21" fillId="43" borderId="17" xfId="0" applyFont="1" applyFill="1" applyBorder="1">
      <alignment vertical="center" wrapText="1"/>
    </xf>
    <xf numFmtId="0" fontId="36" fillId="44" borderId="0" xfId="0" applyFont="1" applyFill="1">
      <alignment vertical="center"/>
    </xf>
    <xf numFmtId="49" fontId="37" fillId="0" borderId="22" xfId="0" applyFont="1" applyBorder="1" applyNumberFormat="1">
      <alignment vertical="center"/>
    </xf>
    <xf numFmtId="49" fontId="37" fillId="0" borderId="0" xfId="0" applyFont="1" applyNumberFormat="1">
      <alignment horizontal="left" vertical="center" wrapText="1" indent="4"/>
    </xf>
    <xf numFmtId="0" fontId="21" fillId="0" borderId="11" xfId="0" applyFont="1" applyBorder="1">
      <alignment horizontal="center" vertical="center" wrapText="1"/>
    </xf>
    <xf numFmtId="0" fontId="19" fillId="0" borderId="0" xfId="0" applyFont="1"/>
    <xf numFmtId="0" fontId="40" fillId="42" borderId="0" xfId="0" applyFont="1" applyFill="1">
      <alignment horizontal="left" vertical="center"/>
    </xf>
    <xf numFmtId="0" fontId="56" fillId="0" borderId="0" xfId="0" applyFont="1">
      <alignment horizontal="center" vertical="center" wrapText="1"/>
    </xf>
    <xf numFmtId="0" fontId="29" fillId="0" borderId="0" xfId="0" applyFont="1">
      <alignment vertical="center" wrapText="1"/>
    </xf>
    <xf numFmtId="0" fontId="29" fillId="44" borderId="0" xfId="0" applyFont="1" applyFill="1">
      <alignment vertical="center" wrapText="1"/>
    </xf>
    <xf numFmtId="0" fontId="26" fillId="0" borderId="0" xfId="0" applyFont="1">
      <alignment horizontal="left" vertical="center" wrapText="1"/>
    </xf>
    <xf numFmtId="0" fontId="36" fillId="0" borderId="0" xfId="0" applyFont="1">
      <alignment horizontal="left" vertical="center" wrapText="1"/>
    </xf>
    <xf numFmtId="0" fontId="29" fillId="0" borderId="0" xfId="0" applyFont="1">
      <alignment vertical="center" wrapText="1"/>
    </xf>
    <xf numFmtId="4" fontId="25" fillId="38" borderId="11" xfId="0" applyFont="1" applyFill="1" applyBorder="1" applyNumberFormat="1">
      <alignment horizontal="right" vertical="center"/>
    </xf>
    <xf numFmtId="4" fontId="25" fillId="34" borderId="11" xfId="0" applyFont="1" applyFill="1" applyBorder="1" applyNumberFormat="1">
      <alignment horizontal="right" vertical="center"/>
    </xf>
    <xf numFmtId="49" fontId="19" fillId="34" borderId="10" xfId="0" applyFont="1" applyFill="1" applyBorder="1" applyNumberFormat="1">
      <alignment horizontal="left" vertical="center" wrapText="1"/>
    </xf>
    <xf numFmtId="0" fontId="37" fillId="0" borderId="0" xfId="0" applyFont="1">
      <alignment horizontal="center" vertical="center" wrapText="1"/>
    </xf>
    <xf numFmtId="0" fontId="37" fillId="4" borderId="0" xfId="0" applyFont="1" applyFill="1">
      <alignment vertical="center" wrapText="1"/>
    </xf>
    <xf numFmtId="0" fontId="37" fillId="44" borderId="0" xfId="0" applyFont="1" applyFill="1">
      <alignment vertical="center" wrapText="1"/>
    </xf>
    <xf numFmtId="0" fontId="26" fillId="44" borderId="0" xfId="0" applyFont="1" applyFill="1">
      <alignment vertical="center"/>
    </xf>
    <xf numFmtId="0" fontId="26" fillId="0" borderId="0" xfId="0" applyFont="1">
      <alignment horizontal="left" vertical="center"/>
    </xf>
    <xf numFmtId="0" fontId="36" fillId="0" borderId="0" xfId="0" applyFont="1">
      <alignment horizontal="left" vertical="center"/>
    </xf>
    <xf numFmtId="0" fontId="26" fillId="0" borderId="0" xfId="0" applyFont="1">
      <alignment vertical="center"/>
    </xf>
    <xf numFmtId="172" fontId="19" fillId="34" borderId="11" xfId="0" applyFont="1" applyFill="1" applyBorder="1" applyNumberFormat="1">
      <alignment horizontal="right" vertical="center"/>
    </xf>
    <xf numFmtId="172" fontId="19" fillId="38" borderId="11" xfId="0" applyFont="1" applyFill="1" applyBorder="1" applyNumberFormat="1">
      <alignment horizontal="right" vertical="center"/>
    </xf>
    <xf numFmtId="4" fontId="19" fillId="38" borderId="11" xfId="0" applyFont="1" applyFill="1" applyBorder="1" applyNumberFormat="1">
      <alignment horizontal="right" vertical="center"/>
    </xf>
    <xf numFmtId="4" fontId="19" fillId="0" borderId="11" xfId="0" applyFont="1" applyBorder="1" applyNumberFormat="1">
      <alignment horizontal="right" vertical="center"/>
    </xf>
    <xf numFmtId="0" fontId="36" fillId="4" borderId="0" xfId="0" applyFont="1" applyFill="1">
      <alignment vertical="center"/>
    </xf>
    <xf numFmtId="0" fontId="29" fillId="0" borderId="0" xfId="0" applyFont="1">
      <alignment horizontal="center" vertical="center" wrapText="1"/>
    </xf>
    <xf numFmtId="0" fontId="29" fillId="44" borderId="0" xfId="0" applyFont="1" applyFill="1">
      <alignment horizontal="center" vertical="center" wrapText="1"/>
    </xf>
    <xf numFmtId="0" fontId="29" fillId="0" borderId="0" xfId="0" applyFont="1">
      <alignment horizontal="center" vertical="center" wrapText="1"/>
    </xf>
    <xf numFmtId="0" fontId="25" fillId="0" borderId="11" xfId="0" applyFont="1" applyBorder="1">
      <alignment horizontal="left" vertical="center" wrapText="1" indent="1"/>
    </xf>
    <xf numFmtId="49" fontId="25" fillId="34" borderId="10" xfId="0" applyFont="1" applyFill="1" applyBorder="1" applyNumberFormat="1">
      <alignment horizontal="left" vertical="center" wrapText="1"/>
    </xf>
    <xf numFmtId="0" fontId="37" fillId="4" borderId="0" xfId="0" applyFont="1" applyFill="1">
      <alignment horizontal="center" vertical="center" wrapText="1"/>
    </xf>
    <xf numFmtId="0" fontId="37" fillId="44" borderId="0" xfId="0" applyFont="1" applyFill="1">
      <alignment horizontal="center" vertical="center" wrapText="1"/>
    </xf>
    <xf numFmtId="0" fontId="30" fillId="0" borderId="0" xfId="0" applyFont="1">
      <alignment vertical="center"/>
    </xf>
    <xf numFmtId="4" fontId="19" fillId="38" borderId="11" xfId="0" applyFont="1" applyFill="1" applyBorder="1" applyNumberFormat="1">
      <alignment horizontal="right" vertical="center"/>
    </xf>
    <xf numFmtId="4" fontId="19" fillId="34" borderId="11" xfId="0" applyFont="1" applyFill="1" applyBorder="1" applyNumberFormat="1">
      <alignment horizontal="right" vertical="center"/>
    </xf>
    <xf numFmtId="0" fontId="19" fillId="34" borderId="10" xfId="0" applyFont="1" applyFill="1" applyBorder="1">
      <alignment horizontal="left" vertical="center" wrapText="1"/>
    </xf>
    <xf numFmtId="0" fontId="19" fillId="37" borderId="11" xfId="0" applyFont="1" applyFill="1" applyBorder="1">
      <alignment horizontal="left" vertical="center" wrapText="1" indent="3"/>
    </xf>
    <xf numFmtId="0" fontId="56" fillId="0" borderId="0" xfId="0" applyFont="1">
      <alignment horizontal="center" vertical="center"/>
    </xf>
    <xf numFmtId="0" fontId="29" fillId="0" borderId="0" xfId="0" applyFont="1">
      <alignment vertical="center"/>
    </xf>
    <xf numFmtId="0" fontId="29" fillId="44" borderId="0" xfId="0" applyFont="1" applyFill="1">
      <alignment vertical="center"/>
    </xf>
    <xf numFmtId="0" fontId="29" fillId="0" borderId="0" xfId="0" applyFont="1">
      <alignment vertical="center"/>
    </xf>
    <xf numFmtId="0" fontId="37" fillId="4" borderId="0" xfId="0" applyFont="1" applyFill="1">
      <alignment vertical="center"/>
    </xf>
    <xf numFmtId="0" fontId="37" fillId="44" borderId="0" xfId="0" applyFont="1" applyFill="1">
      <alignment vertical="center"/>
    </xf>
    <xf numFmtId="0" fontId="71" fillId="0" borderId="0" xfId="0" applyFont="1"/>
    <xf numFmtId="4" fontId="19" fillId="38" borderId="11" xfId="0" applyFont="1" applyFill="1" applyBorder="1" applyNumberFormat="1">
      <alignment horizontal="right" vertical="center"/>
    </xf>
    <xf numFmtId="4" fontId="19" fillId="38" borderId="11" xfId="0" applyFont="1" applyFill="1" applyBorder="1" applyNumberFormat="1">
      <alignment horizontal="right" vertical="center"/>
    </xf>
    <xf numFmtId="4" fontId="19" fillId="0" borderId="11" xfId="0" applyFont="1" applyBorder="1" applyNumberFormat="1">
      <alignment horizontal="right" vertical="center"/>
    </xf>
    <xf numFmtId="0" fontId="19" fillId="37" borderId="11" xfId="0" applyFont="1" applyFill="1" applyBorder="1">
      <alignment horizontal="center" vertical="center"/>
    </xf>
    <xf numFmtId="0" fontId="51" fillId="0" borderId="0" xfId="0" applyFont="1">
      <alignment horizontal="center" vertical="center"/>
    </xf>
    <xf numFmtId="0" fontId="19" fillId="35" borderId="11" xfId="0" applyFont="1" applyFill="1" applyBorder="1">
      <alignment horizontal="left" vertical="center" wrapText="1" indent="1"/>
    </xf>
    <xf numFmtId="0" fontId="64" fillId="0" borderId="0" xfId="0" applyFont="1">
      <alignment vertical="center"/>
    </xf>
    <xf numFmtId="0" fontId="19" fillId="37" borderId="11" xfId="0" applyFont="1" applyFill="1" applyBorder="1">
      <alignment horizontal="center" vertical="center" wrapText="1"/>
    </xf>
    <xf numFmtId="0" fontId="67" fillId="0" borderId="0" xfId="0" applyFont="1">
      <alignment horizontal="left" vertical="center"/>
    </xf>
    <xf numFmtId="0" fontId="67" fillId="0" borderId="0" xfId="0" applyFont="1">
      <alignment horizontal="center" vertical="center"/>
    </xf>
    <xf numFmtId="0" fontId="19" fillId="37" borderId="11" xfId="0" applyFont="1" applyFill="1" applyBorder="1">
      <alignment horizontal="left" vertical="center" wrapText="1" indent="2"/>
    </xf>
    <xf numFmtId="0" fontId="67" fillId="4" borderId="0" xfId="0" applyFont="1" applyFill="1">
      <alignment vertical="center"/>
    </xf>
    <xf numFmtId="0" fontId="67" fillId="44" borderId="0" xfId="0" applyFont="1" applyFill="1">
      <alignment vertical="center"/>
    </xf>
    <xf numFmtId="0" fontId="19" fillId="37" borderId="11" xfId="0" applyFont="1" applyFill="1" applyBorder="1">
      <alignment horizontal="left" vertical="center" wrapText="1" indent="1"/>
    </xf>
    <xf numFmtId="4" fontId="19" fillId="34" borderId="11" xfId="0" applyFont="1" applyFill="1" applyBorder="1" applyNumberFormat="1">
      <alignment horizontal="right" vertical="center" wrapText="1"/>
    </xf>
    <xf numFmtId="0" fontId="19" fillId="34" borderId="10" xfId="0" applyFont="1" applyFill="1" applyBorder="1">
      <alignment horizontal="left" vertical="center" wrapText="1"/>
    </xf>
    <xf numFmtId="0" fontId="37" fillId="0" borderId="0" xfId="0" applyFont="1">
      <alignment vertical="center"/>
    </xf>
    <xf numFmtId="0" fontId="19" fillId="19" borderId="0" xfId="0" applyFont="1" applyFill="1"/>
    <xf numFmtId="0" fontId="25" fillId="0" borderId="11" xfId="0" applyFont="1" applyBorder="1">
      <alignment horizontal="center" vertical="center"/>
    </xf>
    <xf numFmtId="0" fontId="25" fillId="0" borderId="11" xfId="0" applyFont="1" applyBorder="1">
      <alignment horizontal="left" vertical="center" wrapText="1"/>
    </xf>
    <xf numFmtId="4" fontId="25" fillId="34" borderId="11" xfId="0" applyFont="1" applyFill="1" applyBorder="1" applyNumberFormat="1">
      <alignment horizontal="right" vertical="center"/>
    </xf>
    <xf numFmtId="4" fontId="25" fillId="38" borderId="11" xfId="0" applyFont="1" applyFill="1" applyBorder="1" applyNumberFormat="1">
      <alignment horizontal="right" vertical="center"/>
    </xf>
    <xf numFmtId="49" fontId="25" fillId="34" borderId="10" xfId="0" applyFont="1" applyFill="1" applyBorder="1" applyNumberFormat="1">
      <alignment horizontal="left" vertical="center" wrapText="1"/>
    </xf>
    <xf numFmtId="0" fontId="19" fillId="0" borderId="11" xfId="0" applyFont="1" applyBorder="1">
      <alignment horizontal="center" vertical="center"/>
    </xf>
    <xf numFmtId="0" fontId="19" fillId="0" borderId="11" xfId="0" applyFont="1" applyBorder="1">
      <alignment horizontal="left" vertical="center" wrapText="1" indent="1"/>
    </xf>
    <xf numFmtId="4" fontId="19" fillId="34" borderId="11" xfId="0" applyFont="1" applyFill="1" applyBorder="1" applyNumberFormat="1">
      <alignment horizontal="right" vertical="center"/>
    </xf>
    <xf numFmtId="49" fontId="19" fillId="34" borderId="10" xfId="0" applyFont="1" applyFill="1" applyBorder="1" applyNumberFormat="1">
      <alignment horizontal="left" vertical="center" wrapText="1"/>
    </xf>
    <xf numFmtId="0" fontId="19" fillId="0" borderId="11" xfId="0" applyFont="1" applyBorder="1">
      <alignment horizontal="left" vertical="center" wrapText="1" indent="2"/>
    </xf>
    <xf numFmtId="0" fontId="26" fillId="41" borderId="0" xfId="0" applyFont="1" applyFill="1">
      <alignment vertical="center"/>
    </xf>
    <xf numFmtId="0" fontId="36" fillId="41" borderId="0" xfId="0" applyFont="1" applyFill="1">
      <alignment vertical="center"/>
    </xf>
    <xf numFmtId="4" fontId="25" fillId="34" borderId="11" xfId="0" applyFont="1" applyFill="1" applyBorder="1" applyNumberFormat="1">
      <alignment horizontal="right" vertical="center"/>
    </xf>
    <xf numFmtId="49" fontId="19" fillId="0" borderId="10" xfId="0" applyFont="1" applyBorder="1" applyNumberFormat="1">
      <alignment horizontal="left" vertical="center" wrapText="1"/>
    </xf>
    <xf numFmtId="0" fontId="19" fillId="37" borderId="11" xfId="0" applyFont="1" applyFill="1" applyBorder="1">
      <alignment horizontal="left" vertical="center" wrapText="1" indent="1"/>
    </xf>
    <xf numFmtId="172" fontId="25" fillId="38" borderId="11" xfId="0" applyFont="1" applyFill="1" applyBorder="1" applyNumberFormat="1">
      <alignment horizontal="right" vertical="center"/>
    </xf>
    <xf numFmtId="172" fontId="19" fillId="34" borderId="11" xfId="0" applyFont="1" applyFill="1" applyBorder="1" applyNumberFormat="1">
      <alignment horizontal="right" vertical="center"/>
    </xf>
    <xf numFmtId="4" fontId="25" fillId="34" borderId="11" xfId="0" applyFont="1" applyFill="1" applyBorder="1" applyNumberFormat="1">
      <alignment horizontal="right" vertical="center"/>
    </xf>
    <xf numFmtId="4" fontId="19" fillId="34" borderId="11" xfId="0" applyFont="1" applyFill="1" applyBorder="1" applyNumberFormat="1">
      <alignment horizontal="right" vertical="center"/>
    </xf>
    <xf numFmtId="0" fontId="56" fillId="0" borderId="0" xfId="0" applyFont="1">
      <alignment vertical="center" wrapText="1"/>
    </xf>
    <xf numFmtId="4" fontId="25" fillId="34" borderId="11" xfId="0" applyFont="1" applyFill="1" applyBorder="1" applyNumberFormat="1">
      <alignment horizontal="right" vertical="center"/>
      <protection locked="0"/>
    </xf>
    <xf numFmtId="49" fontId="19" fillId="34" borderId="10" xfId="0" applyFont="1" applyFill="1" applyBorder="1" applyNumberFormat="1">
      <alignment horizontal="left" vertical="center" wrapText="1"/>
      <protection locked="0"/>
    </xf>
    <xf numFmtId="172" fontId="19" fillId="34" borderId="11" xfId="0" applyFont="1" applyFill="1" applyBorder="1" applyNumberFormat="1">
      <alignment horizontal="right" vertical="center"/>
      <protection locked="0"/>
    </xf>
    <xf numFmtId="176" fontId="19" fillId="34" borderId="11" xfId="0" applyFont="1" applyFill="1" applyBorder="1" applyNumberFormat="1">
      <alignment horizontal="right" vertical="center"/>
      <protection locked="0"/>
    </xf>
    <xf numFmtId="49" fontId="25" fillId="34" borderId="10" xfId="0" applyFont="1" applyFill="1" applyBorder="1" applyNumberFormat="1">
      <alignment horizontal="left" vertical="center" wrapText="1"/>
      <protection locked="0"/>
    </xf>
    <xf numFmtId="0" fontId="19" fillId="34" borderId="10" xfId="0" applyFont="1" applyFill="1" applyBorder="1">
      <alignment horizontal="left" vertical="center" wrapText="1"/>
      <protection locked="0"/>
    </xf>
    <xf numFmtId="4" fontId="19" fillId="34" borderId="11" xfId="0"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56" fillId="0" borderId="0" xfId="0" applyFont="1">
      <alignment vertical="center"/>
    </xf>
    <xf numFmtId="0" fontId="56" fillId="0" borderId="0" xfId="0" applyFont="1">
      <alignment vertical="center"/>
    </xf>
    <xf numFmtId="0" fontId="56" fillId="0" borderId="0" xfId="0" applyFont="1">
      <alignment vertical="center"/>
    </xf>
    <xf numFmtId="0" fontId="25" fillId="43" borderId="16" xfId="0" applyFont="1" applyFill="1" applyBorder="1">
      <alignment horizontal="left" vertical="center" wrapText="1" indent="1"/>
    </xf>
    <xf numFmtId="49" fontId="41" fillId="43" borderId="28" xfId="0" applyFont="1" applyFill="1" applyBorder="1" applyNumberFormat="1">
      <alignment horizontal="left" vertical="center"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8" xfId="0" applyFont="1" applyFill="1" applyBorder="1" applyNumberFormat="1">
      <alignment horizontal="left" vertical="center" wrapText="1" indent="1"/>
    </xf>
    <xf numFmtId="0" fontId="56" fillId="0" borderId="0" xfId="0" applyFont="1">
      <alignment vertical="center"/>
    </xf>
    <xf numFmtId="0" fontId="56" fillId="0" borderId="0" xfId="0" applyFont="1">
      <alignment vertical="center"/>
    </xf>
    <xf numFmtId="0" fontId="56" fillId="0" borderId="0" xfId="0" applyFont="1">
      <alignment vertical="center"/>
    </xf>
    <xf numFmtId="0" fontId="19" fillId="34" borderId="10" xfId="0" applyFont="1" applyFill="1" applyBorder="1">
      <alignment horizontal="left" vertical="center" wrapText="1"/>
      <protection locked="0"/>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4" fontId="25" fillId="34" borderId="11" xfId="0" applyFont="1" applyFill="1" applyBorder="1" applyNumberFormat="1">
      <alignment horizontal="right" vertical="center"/>
      <protection locked="0"/>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172" fontId="19" fillId="34" borderId="11" xfId="0" applyFont="1" applyFill="1" applyBorder="1" applyNumberFormat="1">
      <alignment horizontal="right" vertical="center"/>
      <protection locked="0"/>
    </xf>
    <xf numFmtId="0" fontId="56" fillId="0" borderId="0" xfId="0" applyFont="1">
      <alignment vertical="center"/>
    </xf>
    <xf numFmtId="4" fontId="25" fillId="34" borderId="11" xfId="0" applyFont="1" applyFill="1" applyBorder="1" applyNumberFormat="1">
      <alignment horizontal="right" vertical="center"/>
      <protection locked="0"/>
    </xf>
    <xf numFmtId="0" fontId="56" fillId="0" borderId="0" xfId="0" applyFont="1">
      <alignment vertical="center"/>
    </xf>
    <xf numFmtId="4" fontId="19" fillId="34" borderId="11" xfId="0" applyFont="1" applyFill="1" applyBorder="1" applyNumberFormat="1">
      <alignment horizontal="right" vertical="center"/>
      <protection locked="0"/>
    </xf>
    <xf numFmtId="0" fontId="56" fillId="0" borderId="0" xfId="0" applyFont="1">
      <alignment vertical="center" wrapText="1"/>
    </xf>
    <xf numFmtId="0" fontId="56" fillId="0" borderId="0" xfId="0" applyFont="1">
      <alignment vertical="center"/>
    </xf>
    <xf numFmtId="0" fontId="56" fillId="0" borderId="0" xfId="0" applyFont="1">
      <alignment vertical="center"/>
    </xf>
    <xf numFmtId="0" fontId="56" fillId="0" borderId="0" xfId="0" applyFont="1">
      <alignment vertical="center"/>
    </xf>
    <xf numFmtId="0" fontId="25" fillId="43" borderId="16" xfId="0" applyFont="1" applyFill="1" applyBorder="1">
      <alignment horizontal="left" vertical="center" wrapText="1" indent="1"/>
    </xf>
    <xf numFmtId="49" fontId="41" fillId="43" borderId="28" xfId="0" applyFont="1" applyFill="1" applyBorder="1" applyNumberFormat="1">
      <alignment horizontal="left" vertical="center"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8" xfId="0" applyFont="1" applyFill="1" applyBorder="1" applyNumberFormat="1">
      <alignment horizontal="left" vertical="center" wrapText="1" indent="1"/>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wrapText="1"/>
    </xf>
    <xf numFmtId="0" fontId="56" fillId="0" borderId="0" xfId="0" applyFont="1">
      <alignment vertical="center"/>
    </xf>
    <xf numFmtId="0" fontId="56" fillId="0" borderId="0" xfId="0" applyFont="1">
      <alignment vertical="center"/>
    </xf>
    <xf numFmtId="0" fontId="56" fillId="0" borderId="0" xfId="0" applyFont="1">
      <alignment vertical="center"/>
    </xf>
    <xf numFmtId="0" fontId="25" fillId="43" borderId="16" xfId="0" applyFont="1" applyFill="1" applyBorder="1">
      <alignment horizontal="left" vertical="center" wrapText="1" indent="1"/>
    </xf>
    <xf numFmtId="49" fontId="41" fillId="43" borderId="28" xfId="0" applyFont="1" applyFill="1" applyBorder="1" applyNumberFormat="1">
      <alignment horizontal="left" vertical="center"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8" xfId="0" applyFont="1" applyFill="1" applyBorder="1" applyNumberFormat="1">
      <alignment horizontal="left" vertical="center" wrapText="1" indent="1"/>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wrapText="1"/>
    </xf>
    <xf numFmtId="0" fontId="56" fillId="0" borderId="0" xfId="0" applyFont="1">
      <alignment vertical="center"/>
    </xf>
    <xf numFmtId="0" fontId="56" fillId="0" borderId="0" xfId="0" applyFont="1">
      <alignment vertical="center"/>
    </xf>
    <xf numFmtId="0" fontId="56" fillId="0" borderId="0" xfId="0" applyFont="1">
      <alignment vertical="center"/>
    </xf>
    <xf numFmtId="0" fontId="25" fillId="43" borderId="16" xfId="0" applyFont="1" applyFill="1" applyBorder="1">
      <alignment horizontal="left" vertical="center" wrapText="1" indent="1"/>
    </xf>
    <xf numFmtId="49" fontId="41" fillId="43" borderId="28" xfId="0" applyFont="1" applyFill="1" applyBorder="1" applyNumberFormat="1">
      <alignment horizontal="left" vertical="center"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8" xfId="0" applyFont="1" applyFill="1" applyBorder="1" applyNumberFormat="1">
      <alignment horizontal="left" vertical="center" wrapText="1" indent="1"/>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49" fontId="19" fillId="0" borderId="0" xfId="0" applyFont="1" applyNumberFormat="1">
      <alignment vertical="top"/>
    </xf>
    <xf numFmtId="49" fontId="19" fillId="34" borderId="11" xfId="0" applyFont="1" applyFill="1" applyBorder="1" applyNumberFormat="1">
      <alignment horizontal="left" vertical="top" wrapText="1"/>
      <protection locked="0"/>
    </xf>
    <xf numFmtId="0" fontId="37" fillId="0" borderId="0" xfId="0" applyFont="1">
      <alignment vertical="center" wrapText="1"/>
    </xf>
    <xf numFmtId="4" fontId="25" fillId="34" borderId="11" xfId="0" applyFont="1" applyFill="1" applyBorder="1" applyNumberFormat="1">
      <alignment horizontal="right" vertical="center"/>
    </xf>
    <xf numFmtId="49" fontId="19" fillId="34" borderId="10" xfId="0" applyFont="1" applyFill="1" applyBorder="1" applyNumberFormat="1">
      <alignment horizontal="left" vertical="center" wrapText="1"/>
    </xf>
    <xf numFmtId="172" fontId="19" fillId="34" borderId="11" xfId="0" applyFont="1" applyFill="1" applyBorder="1" applyNumberFormat="1">
      <alignment horizontal="right" vertical="center"/>
    </xf>
    <xf numFmtId="172" fontId="19" fillId="38" borderId="11" xfId="0" applyFont="1" applyFill="1" applyBorder="1" applyNumberFormat="1">
      <alignment horizontal="right" vertical="center"/>
    </xf>
    <xf numFmtId="4" fontId="19" fillId="0" borderId="11" xfId="0" applyFont="1" applyBorder="1" applyNumberFormat="1">
      <alignment horizontal="right" vertical="center"/>
    </xf>
    <xf numFmtId="4" fontId="86" fillId="36" borderId="11" xfId="0" applyFont="1" applyFill="1" applyBorder="1" applyNumberFormat="1">
      <alignment horizontal="right" vertical="center"/>
    </xf>
    <xf numFmtId="4" fontId="25" fillId="0" borderId="11" xfId="0" applyFont="1" applyBorder="1" applyNumberFormat="1">
      <alignment horizontal="right" vertical="center"/>
    </xf>
    <xf numFmtId="4" fontId="19" fillId="38" borderId="11" xfId="0" applyFont="1" applyFill="1" applyBorder="1" applyNumberFormat="1">
      <alignment horizontal="right" vertical="center"/>
    </xf>
    <xf numFmtId="4" fontId="27" fillId="36" borderId="11" xfId="0" applyFont="1" applyFill="1" applyBorder="1" applyNumberFormat="1">
      <alignment horizontal="right" vertical="center"/>
    </xf>
    <xf numFmtId="4" fontId="19" fillId="38" borderId="11" xfId="0" applyFont="1" applyFill="1" applyBorder="1" applyNumberFormat="1">
      <alignment horizontal="right" vertical="center"/>
    </xf>
    <xf numFmtId="4" fontId="27" fillId="36" borderId="11" xfId="0" applyFont="1" applyFill="1" applyBorder="1" applyNumberFormat="1">
      <alignment horizontal="right" vertical="center"/>
    </xf>
    <xf numFmtId="4" fontId="19" fillId="34" borderId="11" xfId="0" applyFont="1" applyFill="1" applyBorder="1" applyNumberFormat="1">
      <alignment horizontal="right" vertical="center"/>
    </xf>
    <xf numFmtId="4" fontId="27" fillId="36" borderId="11" xfId="0" applyFont="1" applyFill="1" applyBorder="1" applyNumberFormat="1">
      <alignment horizontal="right" vertical="center"/>
    </xf>
    <xf numFmtId="4" fontId="19" fillId="38" borderId="11" xfId="0" applyFont="1" applyFill="1" applyBorder="1" applyNumberFormat="1">
      <alignment horizontal="right" vertical="center"/>
    </xf>
    <xf numFmtId="4" fontId="27" fillId="36" borderId="11" xfId="0" applyFont="1" applyFill="1" applyBorder="1" applyNumberFormat="1">
      <alignment horizontal="right" vertical="center"/>
    </xf>
    <xf numFmtId="0" fontId="19" fillId="34" borderId="10" xfId="0" applyFont="1" applyFill="1" applyBorder="1">
      <alignment horizontal="left" vertical="center" wrapText="1"/>
    </xf>
    <xf numFmtId="172" fontId="19" fillId="34" borderId="11" xfId="0" applyFont="1" applyFill="1" applyBorder="1" applyNumberFormat="1">
      <alignment horizontal="right" vertical="center"/>
    </xf>
    <xf numFmtId="4" fontId="25" fillId="38" borderId="11" xfId="0" applyFont="1" applyFill="1" applyBorder="1" applyNumberFormat="1">
      <alignment horizontal="right" vertical="center"/>
    </xf>
    <xf numFmtId="4" fontId="86" fillId="36" borderId="11" xfId="0" applyFont="1" applyFill="1" applyBorder="1" applyNumberFormat="1">
      <alignment horizontal="right" vertical="center"/>
    </xf>
    <xf numFmtId="4" fontId="19" fillId="34" borderId="11" xfId="0" applyFont="1" applyFill="1" applyBorder="1" applyNumberFormat="1">
      <alignment horizontal="right" vertical="center"/>
    </xf>
    <xf numFmtId="4" fontId="27" fillId="36" borderId="11" xfId="0" applyFont="1" applyFill="1" applyBorder="1" applyNumberFormat="1">
      <alignment horizontal="right" vertical="center"/>
    </xf>
    <xf numFmtId="4" fontId="19" fillId="0" borderId="11" xfId="0" applyFont="1" applyBorder="1" applyNumberFormat="1">
      <alignment horizontal="right" vertical="center"/>
    </xf>
    <xf numFmtId="49" fontId="19" fillId="34" borderId="10" xfId="0" applyFont="1" applyFill="1" applyBorder="1" applyNumberFormat="1">
      <alignment horizontal="left" vertical="center" wrapText="1"/>
    </xf>
    <xf numFmtId="0" fontId="48" fillId="0" borderId="0" xfId="0" applyFont="1">
      <alignment vertical="center"/>
    </xf>
    <xf numFmtId="0" fontId="19" fillId="0" borderId="0" xfId="0" applyFont="1">
      <alignment vertical="top" wrapText="1"/>
    </xf>
    <xf numFmtId="0" fontId="26" fillId="0" borderId="0" xfId="0" applyFont="1">
      <alignment horizontal="center" vertical="center"/>
    </xf>
    <xf numFmtId="0" fontId="29" fillId="0" borderId="0" xfId="0" applyFont="1">
      <alignment horizontal="center" vertical="center"/>
    </xf>
    <xf numFmtId="4" fontId="19" fillId="34" borderId="11" xfId="0" applyFont="1" applyFill="1" applyBorder="1" applyNumberFormat="1">
      <alignment horizontal="right" vertical="center" wrapText="1"/>
    </xf>
    <xf numFmtId="4" fontId="19" fillId="34" borderId="11" xfId="0" applyFont="1" applyFill="1" applyBorder="1" applyNumberFormat="1">
      <alignment horizontal="right" vertical="center" wrapText="1"/>
    </xf>
    <xf numFmtId="0" fontId="19" fillId="34" borderId="10" xfId="0" applyFont="1" applyFill="1" applyBorder="1">
      <alignment horizontal="left" vertical="center" wrapText="1"/>
    </xf>
    <xf numFmtId="0" fontId="51" fillId="19" borderId="0" xfId="0" applyFont="1" applyFill="1">
      <alignment horizontal="center" vertical="center"/>
    </xf>
    <xf numFmtId="49" fontId="25" fillId="0" borderId="11" xfId="0" applyFont="1" applyBorder="1" applyNumberFormat="1">
      <alignment horizontal="center" vertical="center"/>
    </xf>
    <xf numFmtId="49" fontId="19" fillId="0" borderId="11" xfId="0" applyFont="1" applyBorder="1" applyNumberFormat="1">
      <alignment horizontal="center" vertical="center"/>
    </xf>
    <xf numFmtId="4" fontId="25" fillId="34" borderId="11" xfId="0" applyFont="1" applyFill="1" applyBorder="1" applyNumberFormat="1">
      <alignment horizontal="right" vertical="center"/>
    </xf>
    <xf numFmtId="172" fontId="25" fillId="38" borderId="11" xfId="0" applyFont="1" applyFill="1" applyBorder="1" applyNumberFormat="1">
      <alignment horizontal="right" vertical="center"/>
    </xf>
    <xf numFmtId="172" fontId="19" fillId="34" borderId="11" xfId="0" applyFont="1" applyFill="1" applyBorder="1" applyNumberFormat="1">
      <alignment horizontal="right" vertical="center"/>
    </xf>
    <xf numFmtId="172" fontId="19" fillId="38" borderId="11" xfId="0" applyFont="1" applyFill="1" applyBorder="1" applyNumberFormat="1">
      <alignment horizontal="right" vertical="center"/>
    </xf>
    <xf numFmtId="4" fontId="25" fillId="34" borderId="11" xfId="0" applyFont="1" applyFill="1" applyBorder="1" applyNumberFormat="1">
      <alignment horizontal="right" vertical="center"/>
    </xf>
    <xf numFmtId="0" fontId="56" fillId="0" borderId="0" xfId="0" applyFont="1">
      <alignment vertical="center" wrapText="1"/>
    </xf>
    <xf numFmtId="4" fontId="25" fillId="34" borderId="11" xfId="0" applyFont="1" applyFill="1" applyBorder="1" applyNumberFormat="1">
      <alignment horizontal="right" vertical="center"/>
      <protection locked="0"/>
    </xf>
    <xf numFmtId="4" fontId="25" fillId="34" borderId="11" xfId="0" applyFont="1" applyFill="1" applyBorder="1" applyNumberFormat="1">
      <alignment horizontal="right" vertical="center"/>
      <protection locked="0"/>
    </xf>
    <xf numFmtId="49" fontId="19" fillId="34" borderId="10" xfId="0" applyFont="1" applyFill="1" applyBorder="1" applyNumberFormat="1">
      <alignment horizontal="left" vertical="center" wrapText="1"/>
      <protection locked="0"/>
    </xf>
    <xf numFmtId="172" fontId="19" fillId="34" borderId="11" xfId="0" applyFont="1" applyFill="1" applyBorder="1" applyNumberFormat="1">
      <alignment horizontal="right" vertical="center"/>
      <protection locked="0"/>
    </xf>
    <xf numFmtId="49" fontId="25" fillId="34" borderId="10" xfId="0" applyFont="1" applyFill="1" applyBorder="1" applyNumberFormat="1">
      <alignment horizontal="left" vertical="center" wrapText="1"/>
      <protection locked="0"/>
    </xf>
    <xf numFmtId="4" fontId="19" fillId="34" borderId="11" xfId="0" applyFont="1" applyFill="1" applyBorder="1" applyNumberFormat="1">
      <alignment horizontal="right" vertical="center"/>
      <protection locked="0"/>
    </xf>
    <xf numFmtId="0" fontId="19" fillId="34" borderId="10" xfId="0" applyFont="1" applyFill="1" applyBorder="1">
      <alignment horizontal="left" vertical="center" wrapText="1"/>
      <protection locked="0"/>
    </xf>
    <xf numFmtId="172" fontId="19" fillId="34" borderId="11" xfId="0" applyFont="1" applyFill="1" applyBorder="1" applyNumberFormat="1">
      <alignment horizontal="right" vertical="center"/>
      <protection locked="0"/>
    </xf>
    <xf numFmtId="0" fontId="56" fillId="0" borderId="0" xfId="0" applyFont="1">
      <alignment vertical="center"/>
    </xf>
    <xf numFmtId="0" fontId="56" fillId="0" borderId="0" xfId="0" applyFont="1">
      <alignment vertical="center"/>
    </xf>
    <xf numFmtId="0" fontId="56" fillId="0" borderId="0" xfId="0" applyFont="1">
      <alignment vertical="center"/>
    </xf>
    <xf numFmtId="49" fontId="25" fillId="43" borderId="16" xfId="0" applyFont="1" applyFill="1" applyBorder="1" applyNumberFormat="1">
      <alignment horizontal="left" vertical="center" wrapText="1" indent="1"/>
    </xf>
    <xf numFmtId="49" fontId="41" fillId="43" borderId="28" xfId="0" applyFont="1" applyFill="1" applyBorder="1" applyNumberFormat="1">
      <alignment horizontal="left" vertical="center"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8" xfId="0" applyFont="1" applyFill="1" applyBorder="1" applyNumberFormat="1">
      <alignment horizontal="left" vertical="center" wrapText="1" indent="1"/>
    </xf>
    <xf numFmtId="0" fontId="56" fillId="0" borderId="0" xfId="0" applyFont="1">
      <alignment vertical="center"/>
    </xf>
    <xf numFmtId="49" fontId="19" fillId="34" borderId="10" xfId="0" applyFont="1" applyFill="1" applyBorder="1" applyNumberFormat="1">
      <alignment horizontal="left" vertical="center" wrapText="1"/>
      <protection locked="0"/>
    </xf>
    <xf numFmtId="0" fontId="56" fillId="0" borderId="0" xfId="0" applyFont="1">
      <alignment vertical="center"/>
    </xf>
    <xf numFmtId="4" fontId="19" fillId="34" borderId="11" xfId="0" applyFont="1" applyFill="1" applyBorder="1" applyNumberFormat="1">
      <alignment horizontal="right" vertical="center"/>
      <protection locked="0"/>
    </xf>
    <xf numFmtId="0" fontId="56" fillId="0" borderId="0" xfId="0" applyFont="1">
      <alignment vertical="center"/>
    </xf>
    <xf numFmtId="4" fontId="19" fillId="34" borderId="11"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0" xfId="0" applyFont="1" applyFill="1" applyBorder="1">
      <alignment horizontal="left" vertical="center" wrapText="1"/>
      <protection locked="0"/>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4" fontId="25" fillId="34" borderId="11" xfId="0" applyFont="1" applyFill="1" applyBorder="1" applyNumberFormat="1">
      <alignment horizontal="right" vertical="center"/>
      <protection locked="0"/>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172" fontId="19" fillId="34" borderId="11" xfId="0" applyFont="1" applyFill="1" applyBorder="1" applyNumberFormat="1">
      <alignment horizontal="right" vertical="center"/>
      <protection locked="0"/>
    </xf>
    <xf numFmtId="0" fontId="56" fillId="0" borderId="0" xfId="0" applyFont="1">
      <alignment vertical="center"/>
    </xf>
    <xf numFmtId="4" fontId="25" fillId="34" borderId="11" xfId="0" applyFont="1" applyFill="1" applyBorder="1" applyNumberFormat="1">
      <alignment horizontal="right" vertical="center"/>
      <protection locked="0"/>
    </xf>
    <xf numFmtId="0" fontId="56" fillId="0" borderId="0" xfId="0" applyFont="1">
      <alignment vertical="center"/>
    </xf>
    <xf numFmtId="0" fontId="56" fillId="0" borderId="0" xfId="0" applyFont="1">
      <alignment vertical="center" wrapText="1"/>
    </xf>
    <xf numFmtId="0" fontId="56" fillId="0" borderId="0" xfId="0" applyFont="1">
      <alignment vertical="center"/>
    </xf>
    <xf numFmtId="0" fontId="56" fillId="0" borderId="0" xfId="0" applyFont="1">
      <alignment vertical="center"/>
    </xf>
    <xf numFmtId="0" fontId="56" fillId="0" borderId="0" xfId="0" applyFont="1">
      <alignment vertical="center"/>
    </xf>
    <xf numFmtId="49" fontId="25" fillId="43" borderId="16" xfId="0" applyFont="1" applyFill="1" applyBorder="1" applyNumberFormat="1">
      <alignment horizontal="left" vertical="center" wrapText="1" indent="1"/>
    </xf>
    <xf numFmtId="49" fontId="41" fillId="43" borderId="28" xfId="0" applyFont="1" applyFill="1" applyBorder="1" applyNumberFormat="1">
      <alignment horizontal="left" vertical="center"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8" xfId="0" applyFont="1" applyFill="1" applyBorder="1" applyNumberFormat="1">
      <alignment horizontal="left" vertical="center" wrapText="1" indent="1"/>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wrapText="1"/>
    </xf>
    <xf numFmtId="0" fontId="56" fillId="0" borderId="0" xfId="0" applyFont="1">
      <alignment vertical="center"/>
    </xf>
    <xf numFmtId="0" fontId="56" fillId="0" borderId="0" xfId="0" applyFont="1">
      <alignment vertical="center"/>
    </xf>
    <xf numFmtId="0" fontId="56" fillId="0" borderId="0" xfId="0" applyFont="1">
      <alignment vertical="center"/>
    </xf>
    <xf numFmtId="49" fontId="25" fillId="43" borderId="16" xfId="0" applyFont="1" applyFill="1" applyBorder="1" applyNumberFormat="1">
      <alignment horizontal="left" vertical="center" wrapText="1" indent="1"/>
    </xf>
    <xf numFmtId="49" fontId="41" fillId="43" borderId="28" xfId="0" applyFont="1" applyFill="1" applyBorder="1" applyNumberFormat="1">
      <alignment horizontal="left" vertical="center"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8" xfId="0" applyFont="1" applyFill="1" applyBorder="1" applyNumberFormat="1">
      <alignment horizontal="left" vertical="center" wrapText="1" indent="1"/>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wrapText="1"/>
    </xf>
    <xf numFmtId="0" fontId="56" fillId="0" borderId="0" xfId="0" applyFont="1">
      <alignment vertical="center"/>
    </xf>
    <xf numFmtId="0" fontId="56" fillId="0" borderId="0" xfId="0" applyFont="1">
      <alignment vertical="center"/>
    </xf>
    <xf numFmtId="0" fontId="56" fillId="0" borderId="0" xfId="0" applyFont="1">
      <alignment vertical="center"/>
    </xf>
    <xf numFmtId="49" fontId="25" fillId="43" borderId="16" xfId="0" applyFont="1" applyFill="1" applyBorder="1" applyNumberFormat="1">
      <alignment horizontal="left" vertical="center" wrapText="1" indent="1"/>
    </xf>
    <xf numFmtId="49" fontId="41" fillId="43" borderId="28" xfId="0" applyFont="1" applyFill="1" applyBorder="1" applyNumberFormat="1">
      <alignment horizontal="left" vertical="center"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7" xfId="0" applyFont="1" applyFill="1" applyBorder="1" applyNumberFormat="1">
      <alignment horizontal="left" vertical="center" wrapText="1" indent="1"/>
    </xf>
    <xf numFmtId="49" fontId="25" fillId="43" borderId="18" xfId="0" applyFont="1" applyFill="1" applyBorder="1" applyNumberFormat="1">
      <alignment horizontal="left" vertical="center" wrapText="1" indent="1"/>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0" fontId="56" fillId="0" borderId="0" xfId="0" applyFont="1">
      <alignment vertical="center"/>
    </xf>
    <xf numFmtId="49" fontId="19" fillId="34" borderId="11" xfId="0" applyFont="1" applyFill="1" applyBorder="1" applyNumberFormat="1">
      <alignment horizontal="left" vertical="top" wrapText="1"/>
    </xf>
    <xf numFmtId="0" fontId="19" fillId="43" borderId="17" xfId="0" applyFont="1" applyFill="1" applyBorder="1">
      <alignment vertical="center" wrapText="1"/>
    </xf>
    <xf numFmtId="0" fontId="21" fillId="4" borderId="0" xfId="0" applyFont="1" applyFill="1">
      <alignment horizontal="center" vertical="center"/>
    </xf>
    <xf numFmtId="0" fontId="19" fillId="0" borderId="19" xfId="0" applyFont="1" applyBorder="1">
      <alignment horizontal="center" vertical="center" wrapText="1"/>
    </xf>
    <xf numFmtId="0" fontId="19" fillId="0" borderId="30" xfId="0" applyFont="1" applyBorder="1">
      <alignment horizontal="center" vertical="center" wrapText="1"/>
    </xf>
    <xf numFmtId="0" fontId="21" fillId="0" borderId="49" xfId="0" applyFont="1" applyBorder="1"/>
    <xf numFmtId="0" fontId="19" fillId="0" borderId="39" xfId="0" applyFont="1" applyBorder="1">
      <alignment horizontal="center" vertical="center" wrapText="1"/>
    </xf>
    <xf numFmtId="4" fontId="19" fillId="35" borderId="30" xfId="0" applyFont="1" applyFill="1" applyBorder="1" applyNumberFormat="1">
      <alignment horizontal="right" vertical="center"/>
    </xf>
    <xf numFmtId="172" fontId="19" fillId="34" borderId="30" xfId="0" applyFont="1" applyFill="1" applyBorder="1" applyNumberFormat="1">
      <alignment horizontal="right" vertical="center"/>
    </xf>
    <xf numFmtId="4" fontId="19" fillId="34" borderId="30" xfId="0" applyFont="1" applyFill="1" applyBorder="1" applyNumberFormat="1">
      <alignment horizontal="right" vertical="center"/>
    </xf>
    <xf numFmtId="172" fontId="19" fillId="34" borderId="30" xfId="0" applyFont="1" applyFill="1" applyBorder="1" applyNumberFormat="1">
      <alignment horizontal="right" vertical="center"/>
    </xf>
    <xf numFmtId="0" fontId="36" fillId="0" borderId="49" xfId="0" applyFont="1" applyBorder="1">
      <alignment vertical="center"/>
    </xf>
    <xf numFmtId="0" fontId="36" fillId="0" borderId="0" xfId="0" applyFont="1">
      <alignment vertical="center"/>
    </xf>
    <xf numFmtId="172" fontId="19" fillId="34" borderId="39" xfId="0" applyFont="1" applyFill="1" applyBorder="1" applyNumberFormat="1">
      <alignment horizontal="right" vertical="center"/>
    </xf>
    <xf numFmtId="0" fontId="21" fillId="0" borderId="39" xfId="0" applyFont="1" applyBorder="1">
      <alignment horizontal="center" vertical="center" wrapText="1"/>
    </xf>
    <xf numFmtId="172" fontId="21" fillId="34" borderId="30" xfId="0" applyFont="1" applyFill="1" applyBorder="1" applyNumberFormat="1">
      <alignment horizontal="right" vertical="center"/>
    </xf>
    <xf numFmtId="4" fontId="21" fillId="34" borderId="30" xfId="0" applyFont="1" applyFill="1" applyBorder="1" applyNumberFormat="1">
      <alignment horizontal="right" vertical="center"/>
    </xf>
    <xf numFmtId="172" fontId="21" fillId="34" borderId="39" xfId="0" applyFont="1" applyFill="1" applyBorder="1" applyNumberFormat="1">
      <alignment horizontal="right" vertical="center"/>
    </xf>
    <xf numFmtId="0" fontId="51" fillId="0" borderId="0" xfId="0" applyFont="1">
      <alignment vertical="center"/>
    </xf>
    <xf numFmtId="4" fontId="19" fillId="35" borderId="30" xfId="0" applyFont="1" applyFill="1" applyBorder="1" applyNumberFormat="1">
      <alignment horizontal="right" vertical="center"/>
      <protection locked="0"/>
    </xf>
    <xf numFmtId="172" fontId="19" fillId="34" borderId="30" xfId="0" applyFont="1" applyFill="1" applyBorder="1" applyNumberFormat="1">
      <alignment horizontal="right" vertical="center"/>
      <protection locked="0"/>
    </xf>
    <xf numFmtId="4" fontId="19" fillId="34" borderId="30" xfId="0" applyFont="1" applyFill="1" applyBorder="1" applyNumberFormat="1">
      <alignment horizontal="right" vertical="center"/>
      <protection locked="0"/>
    </xf>
    <xf numFmtId="172" fontId="19" fillId="34" borderId="30" xfId="0" applyFont="1" applyFill="1" applyBorder="1" applyNumberFormat="1">
      <alignment horizontal="right" vertical="center"/>
      <protection locked="0"/>
    </xf>
    <xf numFmtId="172" fontId="19" fillId="36" borderId="30" xfId="0" applyFont="1" applyFill="1" applyBorder="1" applyNumberFormat="1">
      <alignment horizontal="righ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172" fontId="19" fillId="36" borderId="39" xfId="0" applyFont="1" applyFill="1" applyBorder="1" applyNumberFormat="1">
      <alignment horizontal="right" vertical="center"/>
    </xf>
    <xf numFmtId="0" fontId="51" fillId="0" borderId="0" xfId="0" applyFont="1">
      <alignment vertical="center"/>
    </xf>
    <xf numFmtId="172" fontId="21" fillId="36" borderId="30" xfId="0" applyFont="1" applyFill="1" applyBorder="1" applyNumberFormat="1">
      <alignment horizontal="right" vertical="center"/>
    </xf>
    <xf numFmtId="172" fontId="21" fillId="36" borderId="39" xfId="0" applyFont="1" applyFill="1" applyBorder="1" applyNumberFormat="1">
      <alignment horizontal="righ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19" fillId="0" borderId="30" xfId="0" applyFont="1" applyBorder="1">
      <alignment horizontal="center" vertical="center" wrapText="1"/>
    </xf>
    <xf numFmtId="49" fontId="19" fillId="34" borderId="30" xfId="0" applyFont="1" applyFill="1" applyBorder="1" applyNumberFormat="1">
      <alignment horizontal="left" vertical="center" wrapText="1"/>
    </xf>
    <xf numFmtId="49" fontId="19" fillId="4" borderId="0" xfId="0" applyFont="1" applyFill="1" applyNumberFormat="1">
      <alignment vertical="top"/>
    </xf>
    <xf numFmtId="0" fontId="21" fillId="43" borderId="28" xfId="0" applyFont="1" applyFill="1" applyBorder="1">
      <alignment vertical="center" wrapText="1"/>
    </xf>
    <xf numFmtId="0" fontId="21" fillId="43" borderId="34" xfId="0" applyFont="1" applyFill="1" applyBorder="1">
      <alignment vertical="center" wrapText="1"/>
    </xf>
    <xf numFmtId="0" fontId="21" fillId="0" borderId="30" xfId="0" applyFont="1" applyBorder="1">
      <alignment horizontal="center" vertical="center" wrapText="1"/>
    </xf>
    <xf numFmtId="0" fontId="21" fillId="0" borderId="39" xfId="0" applyFont="1" applyBorder="1">
      <alignment horizontal="center" vertical="center" wrapText="1"/>
    </xf>
    <xf numFmtId="0" fontId="21" fillId="0" borderId="30" xfId="0" applyFont="1" applyBorder="1">
      <alignment horizontal="center" vertical="center" wrapText="1"/>
    </xf>
    <xf numFmtId="49" fontId="19" fillId="35" borderId="11"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49" fontId="21" fillId="4" borderId="0" xfId="0" applyFont="1" applyFill="1" applyNumberFormat="1"/>
    <xf numFmtId="0" fontId="21" fillId="0" borderId="20" xfId="0" applyFont="1" applyBorder="1">
      <alignment horizontal="center" vertical="center" wrapText="1"/>
    </xf>
    <xf numFmtId="4" fontId="21" fillId="34" borderId="19" xfId="0" applyFont="1" applyFill="1" applyBorder="1" applyNumberFormat="1">
      <alignment horizontal="right" vertical="center"/>
    </xf>
    <xf numFmtId="172" fontId="21" fillId="34" borderId="19" xfId="0" applyFont="1" applyFill="1" applyBorder="1" applyNumberFormat="1">
      <alignment horizontal="right" vertical="center"/>
    </xf>
    <xf numFmtId="172" fontId="21" fillId="34" borderId="20" xfId="0" applyFont="1" applyFill="1" applyBorder="1" applyNumberFormat="1">
      <alignment horizontal="right" vertical="center"/>
    </xf>
    <xf numFmtId="49" fontId="36" fillId="4" borderId="0" xfId="0" applyFont="1" applyFill="1" applyNumberFormat="1">
      <alignment vertical="center"/>
    </xf>
    <xf numFmtId="4" fontId="21" fillId="0" borderId="19" xfId="0" applyFont="1" applyBorder="1" applyNumberFormat="1">
      <alignment horizontal="right" vertical="center"/>
    </xf>
    <xf numFmtId="49" fontId="41" fillId="43" borderId="42" xfId="0" applyFont="1" applyFill="1" applyBorder="1" applyNumberFormat="1">
      <alignment horizontal="left" vertical="center" wrapText="1" indent="1"/>
    </xf>
    <xf numFmtId="4" fontId="21" fillId="43" borderId="45" xfId="0" applyFont="1" applyFill="1" applyBorder="1" applyNumberFormat="1">
      <alignment horizontal="right" vertical="center"/>
    </xf>
    <xf numFmtId="49" fontId="27" fillId="44" borderId="0" xfId="0" applyFont="1" applyFill="1" applyNumberFormat="1">
      <alignment vertical="top"/>
    </xf>
    <xf numFmtId="49" fontId="19" fillId="44" borderId="0" xfId="0" applyFont="1" applyFill="1" applyNumberFormat="1">
      <alignment vertical="top"/>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0" fontId="51" fillId="0" borderId="0" xfId="0" applyFont="1">
      <alignment vertical="center"/>
    </xf>
    <xf numFmtId="49" fontId="19" fillId="35" borderId="11" xfId="68" applyFont="1" applyFill="1" applyBorder="1" applyNumberFormat="1">
      <alignment horizontal="left" vertical="center" wrapText="1"/>
      <protection locked="0"/>
    </xf>
    <xf numFmtId="0" fontId="51" fillId="0" borderId="0" xfId="0" applyFont="1">
      <alignment vertical="center"/>
    </xf>
    <xf numFmtId="0" fontId="51" fillId="0" borderId="0" xfId="0" applyFont="1">
      <alignment vertical="center"/>
    </xf>
    <xf numFmtId="4" fontId="21" fillId="34" borderId="19" xfId="70" applyFont="1" applyFill="1" applyBorder="1" applyNumberFormat="1">
      <alignment horizontal="right" vertical="center"/>
      <protection locked="0"/>
    </xf>
    <xf numFmtId="172" fontId="21" fillId="34" borderId="19" xfId="71" applyFont="1" applyFill="1" applyBorder="1" applyNumberFormat="1">
      <alignment horizontal="right" vertical="center"/>
      <protection locked="0"/>
    </xf>
    <xf numFmtId="172" fontId="21" fillId="34" borderId="19" xfId="70" applyFont="1" applyFill="1" applyBorder="1" applyNumberFormat="1">
      <alignment horizontal="right" vertical="center"/>
      <protection locked="0"/>
    </xf>
    <xf numFmtId="49" fontId="41" fillId="43" borderId="42" xfId="0" applyFont="1" applyFill="1" applyBorder="1" applyNumberFormat="1">
      <alignment horizontal="left" vertical="center" wrapText="1" indent="1"/>
    </xf>
    <xf numFmtId="4" fontId="21" fillId="43" borderId="45" xfId="0" applyFont="1" applyFill="1" applyBorder="1" applyNumberFormat="1">
      <alignment horizontal="right" vertical="center"/>
    </xf>
    <xf numFmtId="4" fontId="21" fillId="43" borderId="45" xfId="0" applyFont="1" applyFill="1" applyBorder="1" applyNumberFormat="1">
      <alignment horizontal="right" vertical="center"/>
    </xf>
    <xf numFmtId="4" fontId="21" fillId="43" borderId="45" xfId="0" applyFont="1" applyFill="1" applyBorder="1" applyNumberFormat="1">
      <alignment horizontal="right" vertical="center"/>
    </xf>
    <xf numFmtId="4" fontId="21" fillId="43" borderId="45" xfId="0" applyFont="1" applyFill="1" applyBorder="1" applyNumberFormat="1">
      <alignment horizontal="right" vertical="center"/>
    </xf>
    <xf numFmtId="4" fontId="21" fillId="43" borderId="45" xfId="0" applyFont="1" applyFill="1" applyBorder="1" applyNumberFormat="1">
      <alignment horizontal="right" vertical="center"/>
    </xf>
    <xf numFmtId="4" fontId="21" fillId="43" borderId="45" xfId="0" applyFont="1" applyFill="1" applyBorder="1" applyNumberFormat="1">
      <alignment horizontal="right" vertical="center"/>
    </xf>
    <xf numFmtId="4" fontId="21" fillId="43" borderId="45" xfId="0" applyFont="1" applyFill="1" applyBorder="1" applyNumberFormat="1">
      <alignment horizontal="right" vertical="center"/>
    </xf>
    <xf numFmtId="4" fontId="21" fillId="43" borderId="45" xfId="0" applyFont="1" applyFill="1" applyBorder="1" applyNumberFormat="1">
      <alignment horizontal="right" vertical="center"/>
    </xf>
    <xf numFmtId="4" fontId="21" fillId="43" borderId="45" xfId="0" applyFont="1" applyFill="1" applyBorder="1" applyNumberFormat="1">
      <alignment horizontal="right" vertical="center"/>
    </xf>
    <xf numFmtId="49" fontId="19" fillId="35" borderId="11"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4" fontId="21" fillId="34" borderId="19" xfId="0" applyFont="1" applyFill="1" applyBorder="1" applyNumberFormat="1">
      <alignment horizontal="right" vertical="center"/>
    </xf>
    <xf numFmtId="172" fontId="21" fillId="34" borderId="19" xfId="0" applyFont="1" applyFill="1" applyBorder="1" applyNumberFormat="1">
      <alignment horizontal="right" vertical="center"/>
    </xf>
    <xf numFmtId="172" fontId="21" fillId="34" borderId="20" xfId="0" applyFont="1" applyFill="1" applyBorder="1" applyNumberFormat="1">
      <alignment horizontal="right" vertical="center"/>
    </xf>
    <xf numFmtId="49" fontId="19" fillId="35" borderId="11" xfId="0" applyFont="1" applyFill="1" applyBorder="1" applyNumberFormat="1">
      <alignment horizontal="left" vertical="center" wrapText="1"/>
      <protection locked="0"/>
    </xf>
    <xf numFmtId="4" fontId="21" fillId="34" borderId="19" xfId="0" applyFont="1" applyFill="1" applyBorder="1" applyNumberFormat="1">
      <alignment horizontal="right" vertical="center"/>
      <protection locked="0"/>
    </xf>
    <xf numFmtId="172" fontId="21" fillId="34" borderId="19" xfId="0" applyFont="1" applyFill="1" applyBorder="1" applyNumberFormat="1">
      <alignment horizontal="right" vertical="center"/>
      <protection locked="0"/>
    </xf>
    <xf numFmtId="172" fontId="21" fillId="34" borderId="19" xfId="0" applyFont="1" applyFill="1" applyBorder="1" applyNumberFormat="1">
      <alignment horizontal="right" vertical="center"/>
      <protection locked="0"/>
    </xf>
    <xf numFmtId="49" fontId="41" fillId="43" borderId="42" xfId="0" applyFont="1" applyFill="1" applyBorder="1" applyNumberFormat="1">
      <alignment horizontal="left" vertical="center" wrapText="1" indent="1"/>
    </xf>
    <xf numFmtId="4" fontId="21" fillId="43" borderId="45" xfId="0" applyFont="1" applyFill="1" applyBorder="1" applyNumberFormat="1">
      <alignment horizontal="right" vertical="center"/>
    </xf>
    <xf numFmtId="4" fontId="21" fillId="43" borderId="45" xfId="0" applyFont="1" applyFill="1" applyBorder="1" applyNumberFormat="1">
      <alignment horizontal="right" vertical="center"/>
    </xf>
    <xf numFmtId="4" fontId="21" fillId="43" borderId="45" xfId="0" applyFont="1" applyFill="1" applyBorder="1" applyNumberFormat="1">
      <alignment horizontal="right" vertical="center"/>
    </xf>
    <xf numFmtId="4" fontId="21" fillId="43" borderId="45" xfId="0" applyFont="1" applyFill="1" applyBorder="1" applyNumberFormat="1">
      <alignment horizontal="right" vertical="center"/>
    </xf>
    <xf numFmtId="4" fontId="21" fillId="43" borderId="45" xfId="0" applyFont="1" applyFill="1" applyBorder="1" applyNumberFormat="1">
      <alignment horizontal="right" vertical="center"/>
    </xf>
    <xf numFmtId="4" fontId="21" fillId="43" borderId="45" xfId="0" applyFont="1" applyFill="1" applyBorder="1" applyNumberFormat="1">
      <alignment horizontal="right" vertical="center"/>
    </xf>
    <xf numFmtId="4" fontId="21" fillId="43" borderId="45" xfId="0" applyFont="1" applyFill="1" applyBorder="1" applyNumberFormat="1">
      <alignment horizontal="right" vertical="center"/>
    </xf>
    <xf numFmtId="4" fontId="21" fillId="43" borderId="45" xfId="0" applyFont="1" applyFill="1" applyBorder="1" applyNumberFormat="1">
      <alignment horizontal="right" vertical="center"/>
    </xf>
    <xf numFmtId="4" fontId="21" fillId="43" borderId="45" xfId="0" applyFont="1" applyFill="1" applyBorder="1" applyNumberFormat="1">
      <alignment horizontal="right" vertical="center"/>
    </xf>
    <xf numFmtId="49" fontId="19" fillId="35" borderId="11"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4" fontId="21" fillId="34" borderId="19" xfId="0" applyFont="1" applyFill="1" applyBorder="1" applyNumberFormat="1">
      <alignment horizontal="right" vertical="center"/>
    </xf>
    <xf numFmtId="172" fontId="21" fillId="34" borderId="19" xfId="0" applyFont="1" applyFill="1" applyBorder="1" applyNumberFormat="1">
      <alignment horizontal="right" vertical="center"/>
    </xf>
    <xf numFmtId="172" fontId="21" fillId="34" borderId="20" xfId="0" applyFont="1" applyFill="1" applyBorder="1" applyNumberFormat="1">
      <alignment horizontal="right" vertical="center"/>
    </xf>
    <xf numFmtId="49" fontId="19" fillId="35" borderId="11" xfId="0" applyFont="1" applyFill="1" applyBorder="1" applyNumberFormat="1">
      <alignment horizontal="left" vertical="center" wrapText="1"/>
      <protection locked="0"/>
    </xf>
    <xf numFmtId="4" fontId="21" fillId="34" borderId="19" xfId="0" applyFont="1" applyFill="1" applyBorder="1" applyNumberFormat="1">
      <alignment horizontal="right" vertical="center"/>
      <protection locked="0"/>
    </xf>
    <xf numFmtId="172" fontId="21" fillId="34" borderId="19" xfId="0" applyFont="1" applyFill="1" applyBorder="1" applyNumberFormat="1">
      <alignment horizontal="right" vertical="center"/>
      <protection locked="0"/>
    </xf>
    <xf numFmtId="49" fontId="41" fillId="43" borderId="42" xfId="0" applyFont="1" applyFill="1" applyBorder="1" applyNumberFormat="1">
      <alignment horizontal="left" vertical="center" wrapText="1" indent="1"/>
    </xf>
    <xf numFmtId="4" fontId="21" fillId="43" borderId="45" xfId="0" applyFont="1" applyFill="1" applyBorder="1" applyNumberFormat="1">
      <alignment horizontal="right" vertical="center"/>
    </xf>
    <xf numFmtId="4" fontId="21" fillId="43" borderId="45" xfId="0" applyFont="1" applyFill="1" applyBorder="1" applyNumberFormat="1">
      <alignment horizontal="right" vertical="center"/>
    </xf>
    <xf numFmtId="4" fontId="21" fillId="43" borderId="45" xfId="0" applyFont="1" applyFill="1" applyBorder="1" applyNumberFormat="1">
      <alignment horizontal="right" vertical="center"/>
    </xf>
    <xf numFmtId="4" fontId="21" fillId="43" borderId="45" xfId="0" applyFont="1" applyFill="1" applyBorder="1" applyNumberFormat="1">
      <alignment horizontal="right" vertical="center"/>
    </xf>
    <xf numFmtId="4" fontId="21" fillId="43" borderId="45" xfId="0" applyFont="1" applyFill="1" applyBorder="1" applyNumberFormat="1">
      <alignment horizontal="right" vertical="center"/>
    </xf>
    <xf numFmtId="4" fontId="21" fillId="43" borderId="45" xfId="0" applyFont="1" applyFill="1" applyBorder="1" applyNumberFormat="1">
      <alignment horizontal="right" vertical="center"/>
    </xf>
    <xf numFmtId="4" fontId="21" fillId="43" borderId="45" xfId="0" applyFont="1" applyFill="1" applyBorder="1" applyNumberFormat="1">
      <alignment horizontal="right" vertical="center"/>
    </xf>
    <xf numFmtId="4" fontId="21" fillId="43" borderId="45" xfId="0" applyFont="1" applyFill="1" applyBorder="1" applyNumberFormat="1">
      <alignment horizontal="right" vertical="center"/>
    </xf>
    <xf numFmtId="4" fontId="21" fillId="43" borderId="45" xfId="0" applyFont="1" applyFill="1" applyBorder="1" applyNumberFormat="1">
      <alignment horizontal="right" vertical="center"/>
    </xf>
    <xf numFmtId="49" fontId="19" fillId="35" borderId="11"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4" fontId="21" fillId="34" borderId="19" xfId="0" applyFont="1" applyFill="1" applyBorder="1" applyNumberFormat="1">
      <alignment horizontal="right" vertical="center"/>
    </xf>
    <xf numFmtId="172" fontId="21" fillId="34" borderId="19" xfId="0" applyFont="1" applyFill="1" applyBorder="1" applyNumberFormat="1">
      <alignment horizontal="right" vertical="center"/>
    </xf>
    <xf numFmtId="172" fontId="21" fillId="34" borderId="20" xfId="0" applyFont="1" applyFill="1" applyBorder="1" applyNumberFormat="1">
      <alignment horizontal="right" vertical="center"/>
    </xf>
    <xf numFmtId="49" fontId="19" fillId="35" borderId="11" xfId="0" applyFont="1" applyFill="1" applyBorder="1" applyNumberFormat="1">
      <alignment horizontal="left" vertical="center" wrapText="1"/>
      <protection locked="0"/>
    </xf>
    <xf numFmtId="4" fontId="21" fillId="34" borderId="19" xfId="0" applyFont="1" applyFill="1" applyBorder="1" applyNumberFormat="1">
      <alignment horizontal="right" vertical="center"/>
      <protection locked="0"/>
    </xf>
    <xf numFmtId="172" fontId="21" fillId="34" borderId="19" xfId="0" applyFont="1" applyFill="1" applyBorder="1" applyNumberFormat="1">
      <alignment horizontal="right" vertical="center"/>
      <protection locked="0"/>
    </xf>
    <xf numFmtId="49" fontId="41" fillId="43" borderId="42" xfId="0" applyFont="1" applyFill="1" applyBorder="1" applyNumberFormat="1">
      <alignment horizontal="left" vertical="center" wrapText="1" indent="1"/>
    </xf>
    <xf numFmtId="4" fontId="21" fillId="43" borderId="45" xfId="0" applyFont="1" applyFill="1" applyBorder="1" applyNumberFormat="1">
      <alignment horizontal="right" vertical="center"/>
    </xf>
    <xf numFmtId="4" fontId="21" fillId="43" borderId="45" xfId="0" applyFont="1" applyFill="1" applyBorder="1" applyNumberFormat="1">
      <alignment horizontal="right" vertical="center"/>
    </xf>
    <xf numFmtId="4" fontId="21" fillId="43" borderId="45" xfId="0" applyFont="1" applyFill="1" applyBorder="1" applyNumberFormat="1">
      <alignment horizontal="right" vertical="center"/>
    </xf>
    <xf numFmtId="4" fontId="21" fillId="43" borderId="45" xfId="0" applyFont="1" applyFill="1" applyBorder="1" applyNumberFormat="1">
      <alignment horizontal="right" vertical="center"/>
    </xf>
    <xf numFmtId="4" fontId="21" fillId="43" borderId="45" xfId="0" applyFont="1" applyFill="1" applyBorder="1" applyNumberFormat="1">
      <alignment horizontal="right" vertical="center"/>
    </xf>
    <xf numFmtId="4" fontId="21" fillId="43" borderId="45" xfId="0" applyFont="1" applyFill="1" applyBorder="1" applyNumberFormat="1">
      <alignment horizontal="right" vertical="center"/>
    </xf>
    <xf numFmtId="4" fontId="21" fillId="43" borderId="45" xfId="0" applyFont="1" applyFill="1" applyBorder="1" applyNumberFormat="1">
      <alignment horizontal="right" vertical="center"/>
    </xf>
    <xf numFmtId="4" fontId="21" fillId="43" borderId="45" xfId="0" applyFont="1" applyFill="1" applyBorder="1" applyNumberFormat="1">
      <alignment horizontal="right" vertical="center"/>
    </xf>
    <xf numFmtId="4" fontId="21" fillId="43" borderId="45" xfId="0" applyFont="1" applyFill="1" applyBorder="1" applyNumberFormat="1">
      <alignment horizontal="right" vertical="center"/>
    </xf>
    <xf numFmtId="49" fontId="19" fillId="34" borderId="35" xfId="0" applyFont="1" applyFill="1" applyBorder="1" applyNumberFormat="1">
      <alignment horizontal="left" vertical="center" wrapText="1"/>
    </xf>
    <xf numFmtId="0" fontId="21" fillId="43" borderId="29" xfId="0" applyFont="1" applyFill="1" applyBorder="1">
      <alignment vertical="center" wrapText="1"/>
    </xf>
    <xf numFmtId="0" fontId="19" fillId="0" borderId="0" xfId="0" applyFont="1">
      <alignment horizontal="left" vertical="center"/>
    </xf>
    <xf numFmtId="4" fontId="40" fillId="42" borderId="18" xfId="0" applyFont="1" applyFill="1" applyBorder="1" applyNumberFormat="1">
      <alignment horizontal="right" vertical="center" wrapText="1"/>
    </xf>
    <xf numFmtId="49" fontId="0" fillId="0" borderId="0" xfId="0" applyFont="1" applyNumberFormat="1">
      <alignment vertical="top"/>
    </xf>
    <xf numFmtId="0" fontId="25" fillId="0" borderId="10" xfId="0" applyFont="1" applyBorder="1">
      <alignment horizontal="center" vertical="center" wrapText="1" shrinkToFit="1"/>
    </xf>
    <xf numFmtId="49" fontId="25" fillId="0" borderId="10" xfId="0" applyFont="1" applyBorder="1" applyNumberFormat="1">
      <alignment horizontal="left" vertical="center" wrapText="1" shrinkToFit="1"/>
    </xf>
    <xf numFmtId="49" fontId="25" fillId="0" borderId="43" xfId="0" applyFont="1" applyBorder="1" applyNumberFormat="1">
      <alignment horizontal="center" vertical="center" wrapText="1" shrinkToFit="1"/>
    </xf>
    <xf numFmtId="4" fontId="21" fillId="38" borderId="11" xfId="0" applyFont="1" applyFill="1" applyBorder="1" applyNumberFormat="1">
      <alignment horizontal="right" vertical="center" wrapText="1"/>
    </xf>
    <xf numFmtId="0" fontId="19" fillId="0" borderId="10" xfId="0" applyFont="1" applyBorder="1">
      <alignment horizontal="center" vertical="center" wrapText="1" shrinkToFit="1"/>
    </xf>
    <xf numFmtId="49" fontId="19" fillId="0" borderId="10" xfId="0" applyFont="1" applyBorder="1" applyNumberFormat="1">
      <alignment horizontal="left" vertical="center" wrapText="1" shrinkToFit="1" indent="1"/>
    </xf>
    <xf numFmtId="49" fontId="19" fillId="0" borderId="43" xfId="0" applyFont="1" applyBorder="1" applyNumberFormat="1">
      <alignment horizontal="center" vertical="center" wrapText="1" shrinkToFit="1"/>
    </xf>
    <xf numFmtId="4" fontId="21" fillId="38" borderId="11" xfId="0" applyFont="1" applyFill="1" applyBorder="1" applyNumberFormat="1">
      <alignment horizontal="right" vertical="center" wrapText="1"/>
    </xf>
    <xf numFmtId="0" fontId="19" fillId="0" borderId="10" xfId="0" applyFont="1" applyBorder="1">
      <alignment horizontal="center" vertical="center" wrapText="1" shrinkToFit="1"/>
    </xf>
    <xf numFmtId="49" fontId="19" fillId="0" borderId="10" xfId="0" applyFont="1" applyBorder="1" applyNumberFormat="1">
      <alignment horizontal="left" vertical="center" wrapText="1" shrinkToFit="1" indent="2"/>
    </xf>
    <xf numFmtId="49" fontId="19" fillId="0" borderId="43" xfId="0" applyFont="1" applyBorder="1" applyNumberFormat="1">
      <alignment horizontal="center" vertical="center" wrapText="1" shrinkToFit="1"/>
    </xf>
    <xf numFmtId="4" fontId="21" fillId="34" borderId="11" xfId="0" applyFont="1" applyFill="1" applyBorder="1" applyNumberFormat="1">
      <alignment horizontal="right" vertical="center" wrapText="1"/>
    </xf>
    <xf numFmtId="49" fontId="19" fillId="0" borderId="10" xfId="0" applyFont="1" applyBorder="1" applyNumberFormat="1">
      <alignment horizontal="left" vertical="center" wrapText="1" shrinkToFit="1" indent="2"/>
    </xf>
    <xf numFmtId="49" fontId="19" fillId="0" borderId="10" xfId="0" applyFont="1" applyBorder="1" applyNumberFormat="1">
      <alignment horizontal="left" vertical="center" wrapText="1" shrinkToFit="1" indent="3"/>
    </xf>
    <xf numFmtId="49" fontId="19" fillId="0" borderId="10" xfId="0" applyFont="1" applyBorder="1" applyNumberFormat="1">
      <alignment horizontal="left" vertical="center" wrapText="1" shrinkToFit="1" indent="4"/>
    </xf>
    <xf numFmtId="49" fontId="19" fillId="0" borderId="10" xfId="0" applyFont="1" applyBorder="1" applyNumberFormat="1">
      <alignment horizontal="left" vertical="center" wrapText="1" shrinkToFit="1" indent="4"/>
    </xf>
    <xf numFmtId="49" fontId="19" fillId="0" borderId="10" xfId="0" applyFont="1" applyBorder="1" applyNumberFormat="1">
      <alignment horizontal="left" vertical="center" wrapText="1" shrinkToFit="1" indent="3"/>
    </xf>
    <xf numFmtId="49" fontId="19" fillId="0" borderId="10" xfId="0" applyFont="1" applyBorder="1" applyNumberFormat="1">
      <alignment horizontal="left" vertical="center" wrapText="1" shrinkToFit="1" indent="1"/>
    </xf>
    <xf numFmtId="0" fontId="19" fillId="0" borderId="10" xfId="0" applyFont="1" applyBorder="1">
      <alignment horizontal="center" vertical="center" wrapText="1" shrinkToFit="1"/>
    </xf>
    <xf numFmtId="49" fontId="19" fillId="0" borderId="10" xfId="0" applyFont="1" applyBorder="1" applyNumberFormat="1">
      <alignment horizontal="left" vertical="center" wrapText="1" shrinkToFit="1" indent="3"/>
    </xf>
    <xf numFmtId="49" fontId="19" fillId="0" borderId="43" xfId="0" applyFont="1" applyBorder="1" applyNumberFormat="1">
      <alignment horizontal="center" vertical="center" wrapText="1" shrinkToFit="1"/>
    </xf>
    <xf numFmtId="49" fontId="19" fillId="0" borderId="10" xfId="0" applyFont="1" applyBorder="1" applyNumberFormat="1">
      <alignment horizontal="left" vertical="center" wrapText="1" shrinkToFit="1" indent="1"/>
    </xf>
    <xf numFmtId="49" fontId="19" fillId="0" borderId="0" xfId="0" applyFont="1" applyNumberFormat="1"/>
    <xf numFmtId="0" fontId="21" fillId="0" borderId="0" xfId="0" applyFont="1">
      <alignment vertical="center"/>
    </xf>
    <xf numFmtId="0" fontId="53" fillId="0" borderId="0" xfId="0" applyFont="1">
      <alignment horizontal="center" vertical="center" wrapText="1"/>
    </xf>
    <xf numFmtId="49" fontId="19" fillId="35" borderId="10" xfId="0" applyFont="1" applyFill="1" applyBorder="1" applyNumberFormat="1">
      <alignment horizontal="left" vertical="center" wrapText="1" shrinkToFit="1" indent="1"/>
    </xf>
    <xf numFmtId="4" fontId="21" fillId="34" borderId="11" xfId="0" applyFont="1" applyFill="1" applyBorder="1" applyNumberFormat="1">
      <alignment horizontal="right" vertical="center" wrapText="1"/>
    </xf>
    <xf numFmtId="0" fontId="19" fillId="44" borderId="0" xfId="0" applyFont="1" applyFill="1">
      <alignment vertical="top"/>
    </xf>
    <xf numFmtId="0" fontId="19" fillId="0" borderId="0" xfId="0" applyFont="1">
      <alignment vertical="top" wrapText="1"/>
    </xf>
    <xf numFmtId="0" fontId="19" fillId="43" borderId="43" xfId="0" applyFont="1" applyFill="1" applyBorder="1">
      <alignment horizontal="center" vertical="center" wrapText="1" shrinkToFit="1"/>
    </xf>
    <xf numFmtId="49" fontId="41" fillId="43" borderId="38" xfId="0" applyFont="1" applyFill="1" applyBorder="1" applyNumberFormat="1">
      <alignment horizontal="left" vertical="center" indent="2"/>
    </xf>
    <xf numFmtId="49" fontId="19" fillId="43" borderId="44" xfId="0" applyFont="1" applyFill="1" applyBorder="1" applyNumberFormat="1">
      <alignment horizontal="center" vertical="center" wrapText="1" shrinkToFit="1"/>
    </xf>
    <xf numFmtId="4" fontId="21" fillId="43" borderId="18" xfId="0" applyFont="1" applyFill="1" applyBorder="1" applyNumberFormat="1">
      <alignment horizontal="right" vertical="center" wrapText="1"/>
    </xf>
    <xf numFmtId="0" fontId="25" fillId="0" borderId="10" xfId="0" applyFont="1" applyBorder="1">
      <alignment horizontal="center" vertical="center" wrapText="1" shrinkToFit="1"/>
    </xf>
    <xf numFmtId="49" fontId="25" fillId="0" borderId="10" xfId="0" applyFont="1" applyBorder="1" applyNumberFormat="1">
      <alignment horizontal="left" vertical="center" wrapText="1" shrinkToFit="1"/>
    </xf>
    <xf numFmtId="49" fontId="25" fillId="0" borderId="43" xfId="0" applyFont="1" applyBorder="1" applyNumberFormat="1">
      <alignment horizontal="center" vertical="center" wrapText="1" shrinkToFit="1"/>
    </xf>
    <xf numFmtId="0" fontId="32" fillId="0" borderId="0" xfId="0" applyFont="1">
      <alignment horizontal="left"/>
    </xf>
    <xf numFmtId="0" fontId="19" fillId="0" borderId="0" xfId="0" applyFont="1">
      <alignment horizontal="left" vertical="center"/>
    </xf>
    <xf numFmtId="49" fontId="25" fillId="0" borderId="10" xfId="0" applyFont="1" applyBorder="1" applyNumberFormat="1">
      <alignment horizontal="left" vertical="center" wrapText="1" shrinkToFit="1" indent="2"/>
    </xf>
    <xf numFmtId="0" fontId="19" fillId="44" borderId="0" xfId="0" applyFont="1" applyFill="1">
      <alignment vertical="top"/>
    </xf>
    <xf numFmtId="4" fontId="21" fillId="34" borderId="11" xfId="0" applyFont="1" applyFill="1" applyBorder="1" applyNumberFormat="1">
      <alignment horizontal="right" vertical="center" wrapText="1"/>
    </xf>
    <xf numFmtId="0" fontId="19" fillId="0" borderId="10" xfId="0" applyFont="1" applyBorder="1">
      <alignment horizontal="left" vertical="center" wrapText="1" shrinkToFit="1" indent="1"/>
    </xf>
    <xf numFmtId="49" fontId="41" fillId="43" borderId="38" xfId="0" applyFont="1" applyFill="1" applyBorder="1" applyNumberFormat="1">
      <alignment horizontal="left" vertical="center" indent="2"/>
    </xf>
    <xf numFmtId="4" fontId="43" fillId="34" borderId="11" xfId="0" applyFont="1" applyFill="1" applyBorder="1" applyNumberFormat="1">
      <alignment horizontal="right" vertical="center" wrapText="1"/>
    </xf>
    <xf numFmtId="4" fontId="21" fillId="34" borderId="11" xfId="0" applyFont="1" applyFill="1" applyBorder="1" applyNumberFormat="1">
      <alignment horizontal="right" vertical="center" wrapText="1"/>
      <protection locked="0"/>
    </xf>
    <xf numFmtId="0" fontId="19" fillId="43" borderId="43" xfId="0" applyFont="1" applyFill="1" applyBorder="1">
      <alignment horizontal="center" vertical="center" wrapText="1" shrinkToFit="1"/>
    </xf>
    <xf numFmtId="49" fontId="41" fillId="43" borderId="38" xfId="0" applyFont="1" applyFill="1" applyBorder="1" applyNumberFormat="1">
      <alignment horizontal="left" vertical="center" indent="2"/>
    </xf>
    <xf numFmtId="49" fontId="19" fillId="43" borderId="44" xfId="0" applyFont="1" applyFill="1" applyBorder="1" applyNumberFormat="1">
      <alignment horizontal="center" vertical="center" wrapText="1" shrinkToFit="1"/>
    </xf>
    <xf numFmtId="4" fontId="21" fillId="43" borderId="18" xfId="0" applyFont="1" applyFill="1" applyBorder="1" applyNumberFormat="1">
      <alignment horizontal="right" vertical="center" wrapText="1"/>
    </xf>
    <xf numFmtId="4" fontId="21" fillId="34" borderId="11" xfId="0" applyFont="1" applyFill="1" applyBorder="1" applyNumberFormat="1">
      <alignment horizontal="right" vertical="center" wrapText="1"/>
      <protection locked="0"/>
    </xf>
    <xf numFmtId="0" fontId="19" fillId="43" borderId="43" xfId="0" applyFont="1" applyFill="1" applyBorder="1">
      <alignment horizontal="center" vertical="center" wrapText="1" shrinkToFit="1"/>
    </xf>
    <xf numFmtId="49" fontId="41" fillId="43" borderId="38" xfId="0" applyFont="1" applyFill="1" applyBorder="1" applyNumberFormat="1">
      <alignment horizontal="left" vertical="center" indent="2"/>
    </xf>
    <xf numFmtId="49" fontId="19" fillId="43" borderId="44" xfId="0" applyFont="1" applyFill="1" applyBorder="1" applyNumberFormat="1">
      <alignment horizontal="center" vertical="center" wrapText="1" shrinkToFit="1"/>
    </xf>
    <xf numFmtId="4" fontId="21" fillId="43" borderId="18" xfId="0" applyFont="1" applyFill="1" applyBorder="1" applyNumberFormat="1">
      <alignment horizontal="right" vertical="center" wrapText="1"/>
    </xf>
    <xf numFmtId="4" fontId="43" fillId="34" borderId="11" xfId="0" applyFont="1" applyFill="1" applyBorder="1" applyNumberFormat="1">
      <alignment horizontal="right" vertical="center" wrapText="1"/>
      <protection locked="0"/>
    </xf>
    <xf numFmtId="0" fontId="19" fillId="43" borderId="43" xfId="0" applyFont="1" applyFill="1" applyBorder="1">
      <alignment horizontal="center" vertical="center" wrapText="1" shrinkToFit="1"/>
    </xf>
    <xf numFmtId="49" fontId="41" fillId="43" borderId="38" xfId="0" applyFont="1" applyFill="1" applyBorder="1" applyNumberFormat="1">
      <alignment horizontal="left" vertical="center" indent="2"/>
    </xf>
    <xf numFmtId="49" fontId="19" fillId="43" borderId="44" xfId="0" applyFont="1" applyFill="1" applyBorder="1" applyNumberFormat="1">
      <alignment horizontal="center" vertical="center" wrapText="1" shrinkToFit="1"/>
    </xf>
    <xf numFmtId="4" fontId="21" fillId="43" borderId="18" xfId="0" applyFont="1" applyFill="1" applyBorder="1" applyNumberFormat="1">
      <alignment horizontal="right" vertical="center" wrapText="1"/>
    </xf>
    <xf numFmtId="0" fontId="19" fillId="43" borderId="43" xfId="0" applyFont="1" applyFill="1" applyBorder="1">
      <alignment horizontal="center" vertical="center" wrapText="1" shrinkToFit="1"/>
    </xf>
    <xf numFmtId="49" fontId="41" fillId="43" borderId="38" xfId="0" applyFont="1" applyFill="1" applyBorder="1" applyNumberFormat="1">
      <alignment horizontal="left" vertical="center" indent="2"/>
    </xf>
    <xf numFmtId="49" fontId="19" fillId="43" borderId="44" xfId="0" applyFont="1" applyFill="1" applyBorder="1" applyNumberFormat="1">
      <alignment horizontal="center" vertical="center" wrapText="1" shrinkToFit="1"/>
    </xf>
    <xf numFmtId="4" fontId="21" fillId="43" borderId="18" xfId="0" applyFont="1" applyFill="1" applyBorder="1" applyNumberFormat="1">
      <alignment horizontal="right" vertical="center" wrapText="1"/>
    </xf>
    <xf numFmtId="0" fontId="19" fillId="43" borderId="43" xfId="0" applyFont="1" applyFill="1" applyBorder="1">
      <alignment horizontal="center" vertical="center" wrapText="1" shrinkToFit="1"/>
    </xf>
    <xf numFmtId="49" fontId="41" fillId="43" borderId="38" xfId="0" applyFont="1" applyFill="1" applyBorder="1" applyNumberFormat="1">
      <alignment horizontal="left" vertical="center" indent="2"/>
    </xf>
    <xf numFmtId="49" fontId="19" fillId="43" borderId="44" xfId="0" applyFont="1" applyFill="1" applyBorder="1" applyNumberFormat="1">
      <alignment horizontal="center" vertical="center" wrapText="1" shrinkToFit="1"/>
    </xf>
    <xf numFmtId="4" fontId="21" fillId="43" borderId="18" xfId="0" applyFont="1" applyFill="1" applyBorder="1" applyNumberFormat="1">
      <alignment horizontal="right" vertical="center" wrapText="1"/>
    </xf>
    <xf numFmtId="0" fontId="19" fillId="43" borderId="43" xfId="0" applyFont="1" applyFill="1" applyBorder="1">
      <alignment horizontal="center" vertical="center" wrapText="1" shrinkToFit="1"/>
    </xf>
    <xf numFmtId="49" fontId="41" fillId="43" borderId="38" xfId="0" applyFont="1" applyFill="1" applyBorder="1" applyNumberFormat="1">
      <alignment horizontal="left" vertical="center" indent="2"/>
    </xf>
    <xf numFmtId="49" fontId="19" fillId="43" borderId="44" xfId="0" applyFont="1" applyFill="1" applyBorder="1" applyNumberFormat="1">
      <alignment horizontal="center" vertical="center" wrapText="1" shrinkToFit="1"/>
    </xf>
    <xf numFmtId="4" fontId="21" fillId="43" borderId="18" xfId="0" applyFont="1" applyFill="1" applyBorder="1" applyNumberFormat="1">
      <alignment horizontal="right" vertical="center" wrapText="1"/>
    </xf>
    <xf numFmtId="0" fontId="19" fillId="43" borderId="43" xfId="0" applyFont="1" applyFill="1" applyBorder="1">
      <alignment horizontal="center" vertical="center" wrapText="1" shrinkToFit="1"/>
    </xf>
    <xf numFmtId="49" fontId="41" fillId="43" borderId="38" xfId="0" applyFont="1" applyFill="1" applyBorder="1" applyNumberFormat="1">
      <alignment horizontal="left" vertical="center" indent="2"/>
    </xf>
    <xf numFmtId="49" fontId="19" fillId="43" borderId="44" xfId="0" applyFont="1" applyFill="1" applyBorder="1" applyNumberFormat="1">
      <alignment horizontal="center" vertical="center" wrapText="1" shrinkToFit="1"/>
    </xf>
    <xf numFmtId="4" fontId="21" fillId="43" borderId="18" xfId="0" applyFont="1" applyFill="1" applyBorder="1" applyNumberFormat="1">
      <alignment horizontal="right" vertical="center" wrapText="1"/>
    </xf>
    <xf numFmtId="0" fontId="19" fillId="43" borderId="43" xfId="0" applyFont="1" applyFill="1" applyBorder="1">
      <alignment horizontal="center" vertical="center" wrapText="1" shrinkToFit="1"/>
    </xf>
    <xf numFmtId="49" fontId="41" fillId="43" borderId="38" xfId="0" applyFont="1" applyFill="1" applyBorder="1" applyNumberFormat="1">
      <alignment horizontal="left" vertical="center" indent="2"/>
    </xf>
    <xf numFmtId="49" fontId="19" fillId="43" borderId="44" xfId="0" applyFont="1" applyFill="1" applyBorder="1" applyNumberFormat="1">
      <alignment horizontal="center" vertical="center" wrapText="1" shrinkToFit="1"/>
    </xf>
    <xf numFmtId="4" fontId="21" fillId="43" borderId="18" xfId="0" applyFont="1" applyFill="1" applyBorder="1" applyNumberFormat="1">
      <alignment horizontal="right" vertical="center" wrapText="1"/>
    </xf>
    <xf numFmtId="0" fontId="32" fillId="0" borderId="0" xfId="0" applyFont="1">
      <alignment horizontal="left" vertical="center"/>
    </xf>
    <xf numFmtId="0" fontId="21" fillId="44" borderId="0" xfId="0" applyFont="1" applyFill="1">
      <alignment vertical="center"/>
    </xf>
    <xf numFmtId="0" fontId="53" fillId="0" borderId="0" xfId="0" applyFont="1">
      <alignment horizontal="center" vertical="center" wrapText="1"/>
    </xf>
    <xf numFmtId="0" fontId="19" fillId="0" borderId="0" xfId="0" applyFont="1">
      <alignment vertical="top"/>
    </xf>
    <xf numFmtId="0" fontId="19" fillId="44" borderId="0" xfId="0" applyFont="1" applyFill="1">
      <alignment vertical="top"/>
    </xf>
    <xf numFmtId="0" fontId="19" fillId="42" borderId="17" xfId="0" applyFont="1" applyFill="1" applyBorder="1">
      <alignment horizontal="left" vertical="center"/>
    </xf>
    <xf numFmtId="49" fontId="19" fillId="42" borderId="17" xfId="0" applyFont="1" applyFill="1" applyBorder="1" applyNumberFormat="1">
      <alignment horizontal="left" vertical="center" wrapText="1"/>
    </xf>
    <xf numFmtId="49" fontId="19" fillId="42" borderId="18" xfId="0" applyFont="1" applyFill="1" applyBorder="1" applyNumberFormat="1">
      <alignment horizontal="left" vertical="center" wrapText="1"/>
    </xf>
    <xf numFmtId="49" fontId="25" fillId="0" borderId="10" xfId="0" applyFont="1" applyBorder="1" applyNumberFormat="1">
      <alignment horizontal="left" vertical="center" wrapText="1"/>
    </xf>
    <xf numFmtId="4" fontId="19" fillId="0" borderId="0" xfId="0" applyFont="1" applyNumberFormat="1"/>
    <xf numFmtId="4" fontId="19" fillId="38" borderId="10" xfId="0" applyFont="1" applyFill="1" applyBorder="1" applyNumberFormat="1">
      <alignment horizontal="right" vertical="center" wrapText="1"/>
    </xf>
    <xf numFmtId="0" fontId="19" fillId="0" borderId="10" xfId="0" applyFont="1" applyBorder="1">
      <alignment horizontal="left" vertical="center" wrapText="1" shrinkToFit="1" indent="1"/>
    </xf>
    <xf numFmtId="0" fontId="19" fillId="0" borderId="10" xfId="0" applyFont="1" applyBorder="1">
      <alignment horizontal="left" vertical="center" wrapText="1" shrinkToFit="1" indent="2"/>
    </xf>
    <xf numFmtId="49" fontId="19" fillId="0" borderId="10" xfId="0" applyFont="1" applyBorder="1" applyNumberFormat="1">
      <alignment horizontal="left" vertical="center" wrapText="1" shrinkToFit="1"/>
    </xf>
    <xf numFmtId="172" fontId="19" fillId="38" borderId="10" xfId="0" applyFont="1" applyFill="1" applyBorder="1" applyNumberFormat="1">
      <alignment horizontal="right" vertical="center" wrapText="1"/>
    </xf>
    <xf numFmtId="49" fontId="19" fillId="0" borderId="10" xfId="0" applyFont="1" applyBorder="1" applyNumberFormat="1">
      <alignment horizontal="left" vertical="center" wrapText="1" shrinkToFit="1"/>
    </xf>
    <xf numFmtId="49" fontId="19" fillId="0" borderId="44" xfId="0" applyFont="1" applyBorder="1" applyNumberFormat="1">
      <alignment horizontal="left" vertical="center" wrapText="1" shrinkToFit="1" indent="1"/>
    </xf>
    <xf numFmtId="49" fontId="25" fillId="0" borderId="44" xfId="0" applyFont="1" applyBorder="1" applyNumberFormat="1">
      <alignment vertical="center" wrapText="1"/>
    </xf>
    <xf numFmtId="0" fontId="26" fillId="0" borderId="0" xfId="0" applyFont="1">
      <alignment vertical="center"/>
    </xf>
    <xf numFmtId="49" fontId="19" fillId="0" borderId="44" xfId="0" applyFont="1" applyBorder="1" applyNumberFormat="1">
      <alignment horizontal="left" vertical="center" wrapText="1" indent="1"/>
    </xf>
    <xf numFmtId="172" fontId="19" fillId="34" borderId="10" xfId="0" applyFont="1" applyFill="1" applyBorder="1" applyNumberFormat="1">
      <alignment horizontal="right" vertical="center" wrapText="1"/>
    </xf>
    <xf numFmtId="49" fontId="19" fillId="0" borderId="44" xfId="0" applyFont="1" applyBorder="1" applyNumberFormat="1">
      <alignment horizontal="left" vertical="center" wrapText="1" indent="1"/>
    </xf>
    <xf numFmtId="49" fontId="25" fillId="0" borderId="44" xfId="0" applyFont="1" applyBorder="1" applyNumberFormat="1">
      <alignment vertical="center" wrapText="1"/>
    </xf>
    <xf numFmtId="49" fontId="19" fillId="0" borderId="10" xfId="0" applyFont="1" applyBorder="1" applyNumberFormat="1">
      <alignment horizontal="left" vertical="center" wrapText="1" indent="1"/>
    </xf>
    <xf numFmtId="49" fontId="19" fillId="0" borderId="10" xfId="0" applyFont="1" applyBorder="1" applyNumberFormat="1">
      <alignment horizontal="left" vertical="center" wrapText="1" indent="1"/>
    </xf>
    <xf numFmtId="172" fontId="19" fillId="34" borderId="10" xfId="0" applyFont="1" applyFill="1" applyBorder="1" applyNumberFormat="1">
      <alignment horizontal="right" vertical="center" wrapText="1"/>
      <protection locked="0"/>
    </xf>
    <xf numFmtId="0" fontId="21" fillId="44" borderId="0" xfId="0" applyFont="1" applyFill="1">
      <alignment vertical="center"/>
    </xf>
    <xf numFmtId="0" fontId="53" fillId="0" borderId="0" xfId="0" applyFont="1">
      <alignment horizontal="center" vertical="center" wrapText="1"/>
    </xf>
    <xf numFmtId="0" fontId="21" fillId="4" borderId="0" xfId="0" applyFont="1" applyFill="1">
      <alignment vertical="center"/>
    </xf>
    <xf numFmtId="49" fontId="19" fillId="34" borderId="23" xfId="0" applyFont="1" applyFill="1" applyBorder="1" applyNumberFormat="1">
      <alignment horizontal="left" vertical="center" wrapText="1"/>
    </xf>
  </cellXfs>
  <cellStyles count="162">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Обычный 10 2" xfId="47"/>
    <cellStyle name="Обычный 10 3" xfId="48"/>
    <cellStyle name="Обычный 11 4 3 3 2 3 3" xfId="49"/>
    <cellStyle name="Обычный 11 4 3 3 2 3 3 2" xfId="49"/>
    <cellStyle name="Обычный 11 4 3 3 2 3 3 2 2" xfId="49"/>
    <cellStyle name="Обычный 11 4 3 3 2 3 3 3" xfId="49"/>
    <cellStyle name="Обычный 12 3 2 2 3" xfId="49"/>
    <cellStyle name="Обычный 12 3 2 2 3 2" xfId="49"/>
    <cellStyle name="Обычный 12 3 2 2 3 2 2" xfId="49"/>
    <cellStyle name="Обычный 12 3 2 2 3 2 2 2" xfId="49"/>
    <cellStyle name="Обычный 12 3 2 2 3 2 2 2 2" xfId="49"/>
    <cellStyle name="Обычный 12 3 2 2 3 2 2 3" xfId="49"/>
    <cellStyle name="Обычный 12 3 2 2 3 2 3" xfId="49"/>
    <cellStyle name="Обычный 12 3 2 2 3 3" xfId="49"/>
    <cellStyle name="Обычный 12 3 2 2 3 3 2" xfId="49"/>
    <cellStyle name="Обычный 12 3 2 2 3 4" xfId="49"/>
    <cellStyle name="Обычный 12 3 2 2 3 4 2" xfId="49"/>
    <cellStyle name="Обычный 12 3 2 2 3 5" xfId="49"/>
    <cellStyle name="Обычный 12 3 2 2 3 5 2" xfId="49"/>
    <cellStyle name="Обычный 12 3 2 2 3 6" xfId="49"/>
    <cellStyle name="Обычный 2" xfId="47"/>
    <cellStyle name="Обычный 2 15" xfId="49"/>
    <cellStyle name="Обычный 2 2" xfId="49"/>
    <cellStyle name="Обычный 3" xfId="49"/>
    <cellStyle name="Обычный 3 2" xfId="49"/>
    <cellStyle name="Обычный 3 2 2" xfId="49"/>
    <cellStyle name="Обычный 3 3" xfId="49"/>
    <cellStyle name="Обычный 4" xfId="48"/>
    <cellStyle name="Обычный 4 2" xfId="49"/>
    <cellStyle name="Обычный 4 2 2" xfId="49"/>
    <cellStyle name="Обычный 4 2 2 2" xfId="49"/>
    <cellStyle name="Обычный 4 2 3" xfId="49"/>
    <cellStyle name="Обычный_SIMPLE_1_massive2" xfId="50"/>
    <cellStyle name="s1" xfId="51"/>
    <cellStyle name="s2" xfId="52"/>
    <cellStyle name="s3" xfId="53"/>
    <cellStyle name="s4" xfId="51"/>
    <cellStyle name="s5" xfId="52"/>
    <cellStyle name="s6" xfId="53"/>
    <cellStyle name="s7" xfId="51"/>
    <cellStyle name="s8" xfId="52"/>
    <cellStyle name="s9" xfId="53"/>
    <cellStyle name="s10" xfId="51"/>
    <cellStyle name="s11" xfId="52"/>
    <cellStyle name="s12" xfId="53"/>
    <cellStyle name="s13" xfId="51"/>
    <cellStyle name="s14" xfId="52"/>
    <cellStyle name="s15" xfId="53"/>
    <cellStyle name="s16" xfId="54"/>
    <cellStyle name="s17" xfId="53"/>
    <cellStyle name="s18" xfId="52"/>
    <cellStyle name="s19" xfId="54"/>
    <cellStyle name="s20" xfId="53"/>
    <cellStyle name="s21" xfId="52"/>
    <cellStyle name="s22" xfId="54"/>
    <cellStyle name="s23" xfId="52"/>
    <cellStyle name="s24" xfId="53"/>
    <cellStyle name="s25" xfId="54"/>
    <cellStyle name="s26" xfId="53"/>
    <cellStyle name="s27" xfId="52"/>
    <cellStyle name="s28" xfId="54"/>
    <cellStyle name="s29" xfId="53"/>
    <cellStyle name="s30" xfId="52"/>
    <cellStyle name="s31" xfId="55"/>
    <cellStyle name="s32" xfId="55"/>
    <cellStyle name="s33" xfId="55"/>
    <cellStyle name="s34" xfId="55"/>
    <cellStyle name="s35" xfId="55"/>
    <cellStyle name="s36" xfId="55"/>
    <cellStyle name="s37" xfId="55"/>
    <cellStyle name="s38" xfId="55"/>
    <cellStyle name="s39" xfId="56"/>
    <cellStyle name="s40" xfId="53"/>
    <cellStyle name="s41" xfId="56"/>
    <cellStyle name="s42" xfId="53"/>
    <cellStyle name="s43" xfId="56"/>
    <cellStyle name="s44" xfId="53"/>
    <cellStyle name="s45" xfId="56"/>
    <cellStyle name="s46" xfId="53"/>
    <cellStyle name="s47" xfId="57"/>
    <cellStyle name="s48" xfId="53"/>
    <cellStyle name="s49" xfId="58"/>
    <cellStyle name="s50" xfId="59"/>
    <cellStyle name="s51" xfId="60"/>
    <cellStyle name="s52" xfId="61"/>
    <cellStyle name="s53" xfId="62"/>
    <cellStyle name="s54" xfId="63"/>
    <cellStyle name="s55" xfId="64"/>
    <cellStyle name="s56" xfId="65"/>
    <cellStyle name="s57" xfId="66"/>
    <cellStyle name="s58" xfId="67"/>
    <cellStyle name="s59" xfId="68"/>
    <cellStyle name="s60" xfId="69"/>
    <cellStyle name="s61" xfId="70"/>
    <cellStyle name="s62" xfId="71"/>
    <cellStyle name="s63" xfId="72"/>
    <cellStyle name="s64" xfId="68"/>
    <cellStyle name="s65" xfId="69"/>
    <cellStyle name="s66" xfId="70"/>
    <cellStyle name="s67" xfId="71"/>
    <cellStyle name="s68" xfId="72"/>
    <cellStyle name="s69" xfId="68"/>
    <cellStyle name="s70" xfId="69"/>
    <cellStyle name="s71" xfId="70"/>
    <cellStyle name="s72" xfId="71"/>
    <cellStyle name="s73" xfId="72"/>
    <cellStyle name="s74" xfId="68"/>
    <cellStyle name="s75" xfId="69"/>
    <cellStyle name="s76" xfId="70"/>
    <cellStyle name="s77" xfId="71"/>
    <cellStyle name="s78" xfId="72"/>
    <cellStyle name="s79" xfId="55"/>
    <cellStyle name="s80" xfId="55"/>
    <cellStyle name="s81" xfId="55"/>
    <cellStyle name="s82" xfId="55"/>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sharedStrings" Target="sharedStrings.xml"/><Relationship Id="rId48" Type="http://schemas.openxmlformats.org/officeDocument/2006/relationships/theme" Target="theme/theme1.xml"/><Relationship Id="rId49"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support.tarif.gov.ru/" TargetMode="External"/></Relationships>
</file>

<file path=xl/worksheets/_rels/sheet5.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hyperlink" Target="https://portal.eias.ru/Portal/DownloadPage.aspx?type=12&amp;guid=582c6e1a-43d9-49be-baf0-e71f546aaa03" TargetMode="External"/><Relationship Id="rId4" Type="http://schemas.openxmlformats.org/officeDocument/2006/relationships/hyperlink" Target="https://portal.eias.ru/Portal/DownloadPage.aspx?type=12&amp;guid=4c962a83-8b92-4503-9ba5-a0180547bc71" TargetMode="External"/><Relationship Id="rId5" Type="http://schemas.openxmlformats.org/officeDocument/2006/relationships/hyperlink" Target="mailto:filkova_1990@mail.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77096D-6B38-473B-09D8-048CEA884641}" mc:Ignorable="x14ac xr xr2 xr3">
  <sheetPr>
    <tabColor theme="3" tint="-0.25"/>
  </sheetPr>
  <dimension ref="A1:C1"/>
  <sheetViews>
    <sheetView topLeftCell="A1" workbookViewId="0">
      <selection activeCell="A1" sqref="A1"/>
    </sheetView>
  </sheetViews>
  <sheetFormatPr customHeight="1" defaultRowHeight="11.25"/>
  <cols>
    <col min="1" max="1" style="1806" width="37.140625" customWidth="1"/>
    <col min="2" max="2" style="1806" width="25.7109375" customWidth="1"/>
    <col min="3" max="3" style="1806" width="64.57421875" customWidth="1"/>
  </cols>
  <sheetData>
    <row customHeight="1" ht="11.25">
      <c r="A1" s="1133" t="s">
        <v>0</v>
      </c>
      <c r="B1" s="987" t="s">
        <v>1</v>
      </c>
      <c r="C1" s="987" t="s">
        <v>2</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C6FB46-7268-7A38-4389-E5E2DD0E91B8}" mc:Ignorable="x14ac xr xr2 xr3">
  <sheetPr>
    <tabColor rgb="FF8DB4E2"/>
    <outlinePr summaryRight="0" summaryBelow="0"/>
    <pageSetUpPr fitToPage="1"/>
  </sheetPr>
  <dimension ref="A1:BO52"/>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5"/>
  <cols>
    <col min="1" max="1" style="47" width="3.57421875" hidden="1" customWidth="1"/>
    <col min="2" max="2" style="47" width="8.7109375" hidden="1" customWidth="1"/>
    <col min="3" max="5" style="47" width="3.57421875" hidden="1" customWidth="1"/>
    <col min="6" max="6" style="47" width="8.57421875" hidden="1" customWidth="1"/>
    <col min="7" max="7" style="47" width="7.57421875" hidden="1" customWidth="1"/>
    <col min="8" max="20" style="47" width="3.57421875" hidden="1" customWidth="1"/>
    <col min="21" max="21" style="47" width="8.57421875" hidden="1" customWidth="1"/>
    <col min="22" max="26" style="47" width="6.00390625" hidden="1" customWidth="1"/>
    <col min="27" max="27" style="47" width="3.00390625" customWidth="1"/>
    <col min="28" max="28" style="47" width="11.00390625" customWidth="1"/>
    <col min="29" max="29" style="47" width="40.00390625" customWidth="1"/>
    <col min="30" max="32" style="47" width="15.00390625" customWidth="1"/>
    <col min="33" max="33" style="1806" width="15.00390625" customWidth="1"/>
    <col min="34" max="38" style="47" width="15.00390625" customWidth="1"/>
    <col min="39" max="44" style="47" width="15.00390625" hidden="1" customWidth="1"/>
    <col min="45" max="48" style="47" width="15.00390625" customWidth="1"/>
    <col min="49" max="54" style="47" width="15.00390625" hidden="1" customWidth="1"/>
    <col min="56" max="67" width="9.140625" hidden="1"/>
  </cols>
  <sheetData>
    <row customHeight="1" ht="11.25" hidden="1">
      <c r="A1" s="2631"/>
      <c r="B1" s="2632"/>
      <c r="C1" s="2632"/>
      <c r="D1" s="2632"/>
      <c r="E1" s="1746"/>
      <c r="F1" s="1747" t="s">
        <v>321</v>
      </c>
      <c r="G1" s="2632"/>
      <c r="H1" s="2632"/>
      <c r="I1" s="2632"/>
      <c r="J1" s="2632"/>
      <c r="K1" s="2632"/>
      <c r="L1" s="2632"/>
      <c r="M1" s="2632"/>
      <c r="N1" s="2632"/>
      <c r="O1" s="2632"/>
      <c r="P1" s="2632"/>
      <c r="Q1" s="2632"/>
      <c r="R1" s="2632"/>
      <c r="S1" s="2632"/>
      <c r="T1" s="2632"/>
      <c r="U1" s="2632"/>
      <c r="V1" s="1748" t="s">
        <v>93</v>
      </c>
      <c r="W1" s="1748" t="s">
        <v>98</v>
      </c>
      <c r="X1" s="1748" t="s">
        <v>94</v>
      </c>
      <c r="Y1" s="1748" t="s">
        <v>96</v>
      </c>
      <c r="Z1" s="1748" t="s">
        <v>100</v>
      </c>
      <c r="AA1" s="2631"/>
      <c r="AB1" s="2631"/>
      <c r="AC1" s="2631"/>
      <c r="AD1" s="2632"/>
      <c r="AE1" s="2632"/>
      <c r="AF1" s="2632"/>
      <c r="AG1" s="1676"/>
      <c r="AH1" s="2632"/>
      <c r="AI1" s="2632"/>
      <c r="AJ1" s="1676"/>
      <c r="AK1" s="1676"/>
      <c r="AL1" s="1676"/>
      <c r="AM1" s="1676"/>
      <c r="AN1" s="1676"/>
      <c r="AO1" s="1676"/>
      <c r="AP1" s="1676"/>
      <c r="AQ1" s="1676"/>
      <c r="AR1" s="1676"/>
      <c r="AS1" s="2632"/>
      <c r="AT1" s="1676"/>
      <c r="AU1" s="1676"/>
      <c r="AV1" s="1676"/>
      <c r="AW1" s="1676"/>
      <c r="AX1" s="1676"/>
      <c r="AY1" s="1676"/>
      <c r="AZ1" s="1676"/>
      <c r="BA1" s="1676"/>
      <c r="BB1" s="1676"/>
      <c r="BC1" s="421"/>
      <c r="BD1" s="1169" t="s">
        <v>324</v>
      </c>
      <c r="BE1" s="421"/>
      <c r="BF1" s="421"/>
      <c r="BG1" s="421"/>
      <c r="BH1" s="421"/>
      <c r="BI1" s="421"/>
      <c r="BJ1" s="421"/>
      <c r="BK1" s="421"/>
      <c r="BL1" s="421"/>
      <c r="BM1" s="421"/>
      <c r="BN1" s="421"/>
      <c r="BO1" s="421"/>
    </row>
    <row customHeight="1" ht="11.25" hidden="1">
      <c r="A2" s="2632"/>
      <c r="B2" s="1749" t="s">
        <v>19</v>
      </c>
      <c r="C2" s="2632"/>
      <c r="D2" s="2632"/>
      <c r="E2" s="2632"/>
      <c r="F2" s="1750"/>
      <c r="G2" s="2632"/>
      <c r="H2" s="2632"/>
      <c r="I2" s="2632"/>
      <c r="J2" s="2632"/>
      <c r="K2" s="2632"/>
      <c r="L2" s="2632"/>
      <c r="M2" s="2632"/>
      <c r="N2" s="2632"/>
      <c r="O2" s="2632"/>
      <c r="P2" s="2632"/>
      <c r="Q2" s="2632"/>
      <c r="R2" s="2632"/>
      <c r="S2" s="2632"/>
      <c r="T2" s="2632"/>
      <c r="U2" s="2632"/>
      <c r="V2" s="2632"/>
      <c r="W2" s="2632"/>
      <c r="X2" s="2632"/>
      <c r="Y2" s="2632"/>
      <c r="Z2" s="2632"/>
      <c r="AA2" s="2632"/>
      <c r="AB2" s="2632"/>
      <c r="AC2" s="1751"/>
      <c r="AD2" s="2632"/>
      <c r="AE2" s="2632"/>
      <c r="AF2" s="2632" cm="1" t="str">
        <f t="array" ref="AF2:AF2">isOrgDeclare</f>
        <v>true</v>
      </c>
      <c r="AG2" s="1676"/>
      <c r="AH2" s="2632"/>
      <c r="AI2" s="2632" cm="1" t="str">
        <f t="array" ref="AI2:AI2">isOrgDeclare</f>
        <v>true</v>
      </c>
      <c r="AJ2" s="1749">
        <f>AND(AJ6&lt;last_year_vis,isOrgDeclare)</f>
        <v>1</v>
      </c>
      <c r="AK2" s="1749">
        <f>AND(AK6&lt;last_year_vis,isOrgDeclare)</f>
        <v>1</v>
      </c>
      <c r="AL2" s="1749">
        <f>AND(AL6&lt;last_year_vis,isOrgDeclare)</f>
        <v>1</v>
      </c>
      <c r="AM2" s="1749">
        <f>AND(AM6&lt;last_year_vis,isOrgDeclare)</f>
        <v>0</v>
      </c>
      <c r="AN2" s="1749">
        <f>AND(AN6&lt;last_year_vis,isOrgDeclare)</f>
        <v>0</v>
      </c>
      <c r="AO2" s="1749">
        <f>AND(AO6&lt;last_year_vis,isOrgDeclare)</f>
        <v>0</v>
      </c>
      <c r="AP2" s="1749">
        <f>AND(AP6&lt;last_year_vis,isOrgDeclare)</f>
        <v>0</v>
      </c>
      <c r="AQ2" s="1749">
        <f>AND(AQ6&lt;last_year_vis,isOrgDeclare)</f>
        <v>0</v>
      </c>
      <c r="AR2" s="1749">
        <f>AND(AR6&lt;last_year_vis,isOrgDeclare)</f>
        <v>0</v>
      </c>
      <c r="AS2" s="2632"/>
      <c r="AT2" s="1749">
        <f>AT6&lt;last_year_vis</f>
        <v>1</v>
      </c>
      <c r="AU2" s="1749">
        <f>AU6&lt;last_year_vis</f>
        <v>1</v>
      </c>
      <c r="AV2" s="1749">
        <f>AV6&lt;last_year_vis</f>
        <v>1</v>
      </c>
      <c r="AW2" s="1749">
        <f>AW6&lt;last_year_vis</f>
        <v>0</v>
      </c>
      <c r="AX2" s="1749">
        <f>AX6&lt;last_year_vis</f>
        <v>0</v>
      </c>
      <c r="AY2" s="1749">
        <f>AY6&lt;last_year_vis</f>
        <v>0</v>
      </c>
      <c r="AZ2" s="1749">
        <f>AZ6&lt;last_year_vis</f>
        <v>0</v>
      </c>
      <c r="BA2" s="1749">
        <f>BA6&lt;last_year_vis</f>
        <v>0</v>
      </c>
      <c r="BB2" s="1749">
        <f>BB6&lt;last_year_vis</f>
        <v>0</v>
      </c>
      <c r="BC2" s="421"/>
      <c r="BD2" s="1170"/>
      <c r="BE2" s="379"/>
      <c r="BF2" s="379"/>
      <c r="BG2" s="379"/>
      <c r="BH2" s="379"/>
      <c r="BI2" s="379"/>
      <c r="BJ2" s="421"/>
      <c r="BK2" s="421"/>
      <c r="BL2" s="421"/>
      <c r="BM2" s="421"/>
      <c r="BN2" s="421"/>
      <c r="BO2" s="421"/>
    </row>
    <row customHeight="1" ht="11.25" hidden="1">
      <c r="A3" s="2632"/>
      <c r="B3" s="2632"/>
      <c r="C3" s="2632"/>
      <c r="D3" s="2632"/>
      <c r="E3" s="1746"/>
      <c r="F3" s="2632"/>
      <c r="G3" s="2632"/>
      <c r="H3" s="2632"/>
      <c r="I3" s="2632"/>
      <c r="J3" s="2632"/>
      <c r="K3" s="2632"/>
      <c r="L3" s="2632"/>
      <c r="M3" s="2632"/>
      <c r="N3" s="2632"/>
      <c r="O3" s="2632"/>
      <c r="P3" s="2632"/>
      <c r="Q3" s="2632"/>
      <c r="R3" s="2632"/>
      <c r="S3" s="2632"/>
      <c r="T3" s="2632"/>
      <c r="U3" s="2632"/>
      <c r="V3" s="2632"/>
      <c r="W3" s="2632"/>
      <c r="X3" s="2632"/>
      <c r="Y3" s="2632"/>
      <c r="Z3" s="2632"/>
      <c r="AA3" s="2632"/>
      <c r="AB3" s="2632"/>
      <c r="AC3" s="2632"/>
      <c r="AD3" s="2632"/>
      <c r="AE3" s="2632"/>
      <c r="AF3" s="2632"/>
      <c r="AG3" s="1676"/>
      <c r="AH3" s="2632"/>
      <c r="AI3" s="2632"/>
      <c r="AJ3" s="1676"/>
      <c r="AK3" s="1676"/>
      <c r="AL3" s="1676"/>
      <c r="AM3" s="1676"/>
      <c r="AN3" s="1676"/>
      <c r="AO3" s="1676"/>
      <c r="AP3" s="1676"/>
      <c r="AQ3" s="1676"/>
      <c r="AR3" s="1676"/>
      <c r="AS3" s="2632"/>
      <c r="AT3" s="1676"/>
      <c r="AU3" s="1676"/>
      <c r="AV3" s="1676"/>
      <c r="AW3" s="1676"/>
      <c r="AX3" s="1676"/>
      <c r="AY3" s="1676"/>
      <c r="AZ3" s="1676"/>
      <c r="BA3" s="1676"/>
      <c r="BB3" s="1676"/>
      <c r="BC3" s="421"/>
      <c r="BD3" s="421"/>
      <c r="BE3" s="421"/>
      <c r="BF3" s="421"/>
      <c r="BG3" s="421"/>
      <c r="BH3" s="421"/>
      <c r="BI3" s="421"/>
      <c r="BJ3" s="421"/>
      <c r="BK3" s="421"/>
      <c r="BL3" s="421"/>
      <c r="BM3" s="421"/>
      <c r="BN3" s="421"/>
      <c r="BO3" s="421"/>
    </row>
    <row customHeight="1" ht="11.25" hidden="1">
      <c r="A4" s="2632"/>
      <c r="B4" s="2632"/>
      <c r="C4" s="2632"/>
      <c r="D4" s="2632"/>
      <c r="E4" s="1746"/>
      <c r="F4" s="2632"/>
      <c r="G4" s="2632"/>
      <c r="H4" s="2632"/>
      <c r="I4" s="2632"/>
      <c r="J4" s="2632"/>
      <c r="K4" s="2632"/>
      <c r="L4" s="2632"/>
      <c r="M4" s="2632"/>
      <c r="N4" s="2632"/>
      <c r="O4" s="2632"/>
      <c r="P4" s="2632"/>
      <c r="Q4" s="2632"/>
      <c r="R4" s="2632"/>
      <c r="S4" s="2632"/>
      <c r="T4" s="2632"/>
      <c r="U4" s="2632"/>
      <c r="V4" s="2632"/>
      <c r="W4" s="2632"/>
      <c r="X4" s="2632"/>
      <c r="Y4" s="2632"/>
      <c r="Z4" s="2632"/>
      <c r="AA4" s="2632"/>
      <c r="AB4" s="2632"/>
      <c r="AC4" s="2632"/>
      <c r="AD4" s="2632"/>
      <c r="AE4" s="2632"/>
      <c r="AF4" s="2632"/>
      <c r="AG4" s="1676"/>
      <c r="AH4" s="2632"/>
      <c r="AI4" s="2632"/>
      <c r="AJ4" s="1676"/>
      <c r="AK4" s="1676"/>
      <c r="AL4" s="1676"/>
      <c r="AM4" s="1676"/>
      <c r="AN4" s="1676"/>
      <c r="AO4" s="1676"/>
      <c r="AP4" s="1676"/>
      <c r="AQ4" s="1676"/>
      <c r="AR4" s="1676"/>
      <c r="AS4" s="2632"/>
      <c r="AT4" s="1676"/>
      <c r="AU4" s="1676"/>
      <c r="AV4" s="1676"/>
      <c r="AW4" s="1676"/>
      <c r="AX4" s="1676"/>
      <c r="AY4" s="1676"/>
      <c r="AZ4" s="1676"/>
      <c r="BA4" s="1676"/>
      <c r="BB4" s="1676"/>
      <c r="BC4" s="421"/>
      <c r="BD4" s="421"/>
      <c r="BE4" s="421"/>
      <c r="BF4" s="421"/>
      <c r="BG4" s="421"/>
      <c r="BH4" s="421"/>
      <c r="BI4" s="421"/>
      <c r="BJ4" s="421"/>
      <c r="BK4" s="421"/>
      <c r="BL4" s="421"/>
      <c r="BM4" s="421"/>
      <c r="BN4" s="421"/>
      <c r="BO4" s="421"/>
    </row>
    <row customHeight="1" ht="11.25" hidden="1">
      <c r="A5" s="1746"/>
      <c r="B5" s="1752"/>
      <c r="C5" s="1746"/>
      <c r="D5" s="1746"/>
      <c r="E5" s="1753" t="s">
        <v>20</v>
      </c>
      <c r="F5" s="1754"/>
      <c r="G5" s="2632"/>
      <c r="H5" s="2632"/>
      <c r="I5" s="2632"/>
      <c r="J5" s="2632"/>
      <c r="K5" s="2632"/>
      <c r="L5" s="2632"/>
      <c r="M5" s="2632"/>
      <c r="N5" s="2632"/>
      <c r="O5" s="2632"/>
      <c r="P5" s="2632"/>
      <c r="Q5" s="2632"/>
      <c r="R5" s="2632"/>
      <c r="S5" s="2632"/>
      <c r="T5" s="2632"/>
      <c r="U5" s="2632"/>
      <c r="V5" s="2632"/>
      <c r="W5" s="2632"/>
      <c r="X5" s="2632"/>
      <c r="Y5" s="2632"/>
      <c r="Z5" s="2632"/>
      <c r="AA5" s="1753">
        <v>3</v>
      </c>
      <c r="AB5" s="1755">
        <v>11</v>
      </c>
      <c r="AC5" s="1756">
        <v>40</v>
      </c>
      <c r="AD5" s="1753">
        <v>15</v>
      </c>
      <c r="AE5" s="1753">
        <v>15</v>
      </c>
      <c r="AF5" s="1753">
        <v>15</v>
      </c>
      <c r="AG5" s="1757">
        <v>15</v>
      </c>
      <c r="AH5" s="1753">
        <v>15</v>
      </c>
      <c r="AI5" s="1753">
        <v>15</v>
      </c>
      <c r="AJ5" s="1753">
        <v>15</v>
      </c>
      <c r="AK5" s="1753">
        <v>15</v>
      </c>
      <c r="AL5" s="1753">
        <v>15</v>
      </c>
      <c r="AM5" s="1753">
        <v>15</v>
      </c>
      <c r="AN5" s="1753">
        <v>15</v>
      </c>
      <c r="AO5" s="1753">
        <v>15</v>
      </c>
      <c r="AP5" s="1753">
        <v>15</v>
      </c>
      <c r="AQ5" s="1753">
        <v>15</v>
      </c>
      <c r="AR5" s="1753">
        <v>15</v>
      </c>
      <c r="AS5" s="1753">
        <v>15</v>
      </c>
      <c r="AT5" s="1753">
        <v>15</v>
      </c>
      <c r="AU5" s="1753">
        <v>15</v>
      </c>
      <c r="AV5" s="1753">
        <v>15</v>
      </c>
      <c r="AW5" s="1753">
        <v>15</v>
      </c>
      <c r="AX5" s="1753">
        <v>15</v>
      </c>
      <c r="AY5" s="1753">
        <v>15</v>
      </c>
      <c r="AZ5" s="1753">
        <v>15</v>
      </c>
      <c r="BA5" s="1753">
        <v>15</v>
      </c>
      <c r="BB5" s="1753">
        <v>15</v>
      </c>
      <c r="BC5" s="421"/>
      <c r="BD5" s="1169"/>
      <c r="BE5" s="379"/>
      <c r="BF5" s="379"/>
      <c r="BG5" s="379"/>
      <c r="BH5" s="379"/>
      <c r="BI5" s="379"/>
      <c r="BJ5" s="421"/>
      <c r="BK5" s="421"/>
      <c r="BL5" s="421"/>
      <c r="BM5" s="421"/>
      <c r="BN5" s="421"/>
      <c r="BO5" s="421"/>
    </row>
    <row customHeight="1" ht="11.25" hidden="1">
      <c r="A6" s="2632"/>
      <c r="B6" s="2632"/>
      <c r="C6" s="2632"/>
      <c r="D6" s="2632"/>
      <c r="E6" s="2632"/>
      <c r="F6" s="2632"/>
      <c r="G6" s="2632"/>
      <c r="H6" s="2632"/>
      <c r="I6" s="2632"/>
      <c r="J6" s="2632"/>
      <c r="K6" s="2632"/>
      <c r="L6" s="2632"/>
      <c r="M6" s="2632"/>
      <c r="N6" s="2632"/>
      <c r="O6" s="2632"/>
      <c r="P6" s="2632"/>
      <c r="Q6" s="2632"/>
      <c r="R6" s="2632"/>
      <c r="S6" s="2632"/>
      <c r="T6" s="2632"/>
      <c r="U6" s="2632"/>
      <c r="V6" s="2632"/>
      <c r="W6" s="2632"/>
      <c r="X6" s="2632"/>
      <c r="Y6" s="2632"/>
      <c r="Z6" s="2632"/>
      <c r="AA6" s="2632"/>
      <c r="AB6" s="2632"/>
      <c r="AC6" s="2632"/>
      <c r="AD6" s="2632"/>
      <c r="AE6" s="1746">
        <f>god-2</f>
        <v>2024</v>
      </c>
      <c r="AF6" s="1746">
        <f>god-2</f>
        <v>2024</v>
      </c>
      <c r="AG6" s="1758">
        <f>god-2</f>
        <v>2024</v>
      </c>
      <c r="AH6" s="1746">
        <f>god-1</f>
        <v>2025</v>
      </c>
      <c r="AI6" s="1746" cm="1" t="str">
        <f t="array" ref="AI6:AI6">god</f>
        <v>2026</v>
      </c>
      <c r="AJ6" s="1746">
        <f>god+1</f>
        <v>2027</v>
      </c>
      <c r="AK6" s="1746">
        <f>god+2</f>
        <v>2028</v>
      </c>
      <c r="AL6" s="1746">
        <f>god+3</f>
        <v>2029</v>
      </c>
      <c r="AM6" s="1746">
        <f>god+4</f>
        <v>2030</v>
      </c>
      <c r="AN6" s="1746">
        <f>god+5</f>
        <v>2031</v>
      </c>
      <c r="AO6" s="1746">
        <f>god+6</f>
        <v>2032</v>
      </c>
      <c r="AP6" s="1746">
        <f>god+7</f>
        <v>2033</v>
      </c>
      <c r="AQ6" s="1746">
        <f>god+8</f>
        <v>2034</v>
      </c>
      <c r="AR6" s="1746">
        <f>god+9</f>
        <v>2035</v>
      </c>
      <c r="AS6" s="1746" cm="1" t="str">
        <f t="array" ref="AS6:AS6">god</f>
        <v>2026</v>
      </c>
      <c r="AT6" s="1746">
        <f>god+1</f>
        <v>2027</v>
      </c>
      <c r="AU6" s="1746">
        <f>god+2</f>
        <v>2028</v>
      </c>
      <c r="AV6" s="1746">
        <f>god+3</f>
        <v>2029</v>
      </c>
      <c r="AW6" s="1746">
        <f>god+4</f>
        <v>2030</v>
      </c>
      <c r="AX6" s="1746">
        <f>god+5</f>
        <v>2031</v>
      </c>
      <c r="AY6" s="1746">
        <f>god+6</f>
        <v>2032</v>
      </c>
      <c r="AZ6" s="1746">
        <f>god+7</f>
        <v>2033</v>
      </c>
      <c r="BA6" s="1746">
        <f>god+8</f>
        <v>2034</v>
      </c>
      <c r="BB6" s="1746">
        <f>god+9</f>
        <v>2035</v>
      </c>
      <c r="BC6" s="421"/>
      <c r="BD6" s="421"/>
      <c r="BE6" s="421"/>
      <c r="BF6" s="421"/>
      <c r="BG6" s="421"/>
      <c r="BH6" s="421"/>
      <c r="BI6" s="421"/>
      <c r="BJ6" s="421"/>
      <c r="BK6" s="421"/>
      <c r="BL6" s="421"/>
      <c r="BM6" s="421"/>
      <c r="BN6" s="421"/>
      <c r="BO6" s="421"/>
    </row>
    <row customHeight="1" ht="11.25" hidden="1">
      <c r="A7" s="2632"/>
      <c r="B7" s="2632"/>
      <c r="C7" s="2632"/>
      <c r="D7" s="2632"/>
      <c r="E7" s="2632"/>
      <c r="F7" s="2632"/>
      <c r="G7" s="2632"/>
      <c r="H7" s="2632"/>
      <c r="I7" s="2632"/>
      <c r="J7" s="2632"/>
      <c r="K7" s="2632"/>
      <c r="L7" s="2632"/>
      <c r="M7" s="2632"/>
      <c r="N7" s="2632"/>
      <c r="O7" s="2632"/>
      <c r="P7" s="2632"/>
      <c r="Q7" s="2632"/>
      <c r="R7" s="2632"/>
      <c r="S7" s="2632"/>
      <c r="T7" s="2632"/>
      <c r="U7" s="2632"/>
      <c r="V7" s="2632"/>
      <c r="W7" s="2632"/>
      <c r="X7" s="2632"/>
      <c r="Y7" s="2632"/>
      <c r="Z7" s="2632"/>
      <c r="AA7" s="2632"/>
      <c r="AB7" s="2632"/>
      <c r="AC7" s="2632"/>
      <c r="AD7" s="2632"/>
      <c r="AE7" s="1746" cm="1" t="str">
        <f t="array" ref="AE7:AE7">AE25</f>
        <v>Принято органом регулирования</v>
      </c>
      <c r="AF7" s="1746" cm="1" t="str">
        <f t="array" ref="AF7:AF7">AF25</f>
        <v>Факт по данным организации</v>
      </c>
      <c r="AG7" s="1758" cm="1" t="str">
        <f t="array" ref="AG7:AG7">AG25</f>
        <v>Факт, принятый органом регулирования</v>
      </c>
      <c r="AH7" s="1746" cm="1" t="str">
        <f t="array" ref="AH7:AH7">AH25</f>
        <v>Принято органом регулирования</v>
      </c>
      <c r="AI7" s="1746" cm="1" t="str">
        <f t="array" ref="AI7:AI7">AI25</f>
        <v>Предложение организации</v>
      </c>
      <c r="AJ7" s="1746" cm="1" t="str">
        <f t="array" ref="AJ7:AJ7">AJ25</f>
        <v>Предложение организации</v>
      </c>
      <c r="AK7" s="1746" cm="1" t="str">
        <f t="array" ref="AK7:AK7">AK25</f>
        <v>Предложение организации</v>
      </c>
      <c r="AL7" s="1746" cm="1" t="str">
        <f t="array" ref="AL7:AL7">AL25</f>
        <v>Предложение организации</v>
      </c>
      <c r="AM7" s="1746" cm="1" t="str">
        <f t="array" ref="AM7:AM7">AM25</f>
        <v>Предложение организации</v>
      </c>
      <c r="AN7" s="1746" cm="1" t="str">
        <f t="array" ref="AN7:AN7">AN25</f>
        <v>Предложение организации</v>
      </c>
      <c r="AO7" s="1746" cm="1" t="str">
        <f t="array" ref="AO7:AO7">AO25</f>
        <v>Предложение организации</v>
      </c>
      <c r="AP7" s="1746" cm="1" t="str">
        <f t="array" ref="AP7:AP7">AP25</f>
        <v>Предложение организации</v>
      </c>
      <c r="AQ7" s="1746" cm="1" t="str">
        <f t="array" ref="AQ7:AQ7">AQ25</f>
        <v>Предложение организации</v>
      </c>
      <c r="AR7" s="1746" cm="1" t="str">
        <f t="array" ref="AR7:AR7">AR25</f>
        <v>Предложение организации</v>
      </c>
      <c r="AS7" s="1746" cm="1" t="str">
        <f t="array" ref="AS7:AS7">AS25</f>
        <v>Принято органом регулирования</v>
      </c>
      <c r="AT7" s="1746" cm="1" t="str">
        <f t="array" ref="AT7:AT7">AT25</f>
        <v>Принято органом регулирования</v>
      </c>
      <c r="AU7" s="1746" cm="1" t="str">
        <f t="array" ref="AU7:AU7">AU25</f>
        <v>Принято органом регулирования</v>
      </c>
      <c r="AV7" s="1746" cm="1" t="str">
        <f t="array" ref="AV7:AV7">AV25</f>
        <v>Принято органом регулирования</v>
      </c>
      <c r="AW7" s="1746" cm="1" t="str">
        <f t="array" ref="AW7:AW7">AW25</f>
        <v>Принято органом регулирования</v>
      </c>
      <c r="AX7" s="1746" cm="1" t="str">
        <f t="array" ref="AX7:AX7">AX25</f>
        <v>Принято органом регулирования</v>
      </c>
      <c r="AY7" s="1746" cm="1" t="str">
        <f t="array" ref="AY7:AY7">AY25</f>
        <v>Принято органом регулирования</v>
      </c>
      <c r="AZ7" s="1746" cm="1" t="str">
        <f t="array" ref="AZ7:AZ7">AZ25</f>
        <v>Принято органом регулирования</v>
      </c>
      <c r="BA7" s="1746" cm="1" t="str">
        <f t="array" ref="BA7:BA7">BA25</f>
        <v>Принято органом регулирования</v>
      </c>
      <c r="BB7" s="1746" cm="1" t="str">
        <f t="array" ref="BB7:BB7">BB25</f>
        <v>Принято органом регулирования</v>
      </c>
      <c r="BC7" s="421"/>
      <c r="BD7" s="421"/>
      <c r="BE7" s="421"/>
      <c r="BF7" s="421"/>
      <c r="BG7" s="421"/>
      <c r="BH7" s="421"/>
      <c r="BI7" s="421"/>
      <c r="BJ7" s="421"/>
      <c r="BK7" s="421"/>
      <c r="BL7" s="421"/>
      <c r="BM7" s="421"/>
      <c r="BN7" s="421"/>
      <c r="BO7" s="421"/>
    </row>
    <row customHeight="1" ht="11.25" hidden="1">
      <c r="A8" s="2632"/>
      <c r="B8" s="2632"/>
      <c r="C8" s="2632"/>
      <c r="D8" s="2632"/>
      <c r="E8" s="2632"/>
      <c r="F8" s="2632"/>
      <c r="G8" s="2632"/>
      <c r="H8" s="2632"/>
      <c r="I8" s="2632"/>
      <c r="J8" s="2632"/>
      <c r="K8" s="2632"/>
      <c r="L8" s="2632"/>
      <c r="M8" s="2632"/>
      <c r="N8" s="2632"/>
      <c r="O8" s="2632"/>
      <c r="P8" s="2632"/>
      <c r="Q8" s="2632"/>
      <c r="R8" s="2632"/>
      <c r="S8" s="2632"/>
      <c r="T8" s="2632"/>
      <c r="U8" s="2632"/>
      <c r="V8" s="2632"/>
      <c r="W8" s="2632"/>
      <c r="X8" s="2632"/>
      <c r="Y8" s="2632"/>
      <c r="Z8" s="2632"/>
      <c r="AA8" s="2632"/>
      <c r="AB8" s="2632"/>
      <c r="AC8" s="2632"/>
      <c r="AD8" s="2632"/>
      <c r="AE8" s="1746" t="str">
        <f>AE6&amp;AE7</f>
        <v>2024Принято органом регулирования</v>
      </c>
      <c r="AF8" s="1746" t="str">
        <f>AF6&amp;AF7</f>
        <v>2024Факт по данным организации</v>
      </c>
      <c r="AG8" s="1758" t="str">
        <f>AG6&amp;AG7</f>
        <v>2024Факт, принятый органом регулирования</v>
      </c>
      <c r="AH8" s="1746" t="str">
        <f>AH6&amp;AH7</f>
        <v>2025Принято органом регулирования</v>
      </c>
      <c r="AI8" s="1746" t="str">
        <f>AI6&amp;AI7</f>
        <v>2026Предложение организации</v>
      </c>
      <c r="AJ8" s="1746" t="str">
        <f>AJ6&amp;AJ7</f>
        <v>2027Предложение организации</v>
      </c>
      <c r="AK8" s="1746" t="str">
        <f>AK6&amp;AK7</f>
        <v>2028Предложение организации</v>
      </c>
      <c r="AL8" s="1746" t="str">
        <f>AL6&amp;AL7</f>
        <v>2029Предложение организации</v>
      </c>
      <c r="AM8" s="1746" t="str">
        <f>AM6&amp;AM7</f>
        <v>2030Предложение организации</v>
      </c>
      <c r="AN8" s="1746" t="str">
        <f>AN6&amp;AN7</f>
        <v>2031Предложение организации</v>
      </c>
      <c r="AO8" s="1746" t="str">
        <f>AO6&amp;AO7</f>
        <v>2032Предложение организации</v>
      </c>
      <c r="AP8" s="1746" t="str">
        <f>AP6&amp;AP7</f>
        <v>2033Предложение организации</v>
      </c>
      <c r="AQ8" s="1746" t="str">
        <f>AQ6&amp;AQ7</f>
        <v>2034Предложение организации</v>
      </c>
      <c r="AR8" s="1746" t="str">
        <f>AR6&amp;AR7</f>
        <v>2035Предложение организации</v>
      </c>
      <c r="AS8" s="1746" t="str">
        <f>AS6&amp;AS7</f>
        <v>2026Принято органом регулирования</v>
      </c>
      <c r="AT8" s="1746" t="str">
        <f>AT6&amp;AT7</f>
        <v>2027Принято органом регулирования</v>
      </c>
      <c r="AU8" s="1746" t="str">
        <f>AU6&amp;AU7</f>
        <v>2028Принято органом регулирования</v>
      </c>
      <c r="AV8" s="1746" t="str">
        <f>AV6&amp;AV7</f>
        <v>2029Принято органом регулирования</v>
      </c>
      <c r="AW8" s="1746" t="str">
        <f>AW6&amp;AW7</f>
        <v>2030Принято органом регулирования</v>
      </c>
      <c r="AX8" s="1746" t="str">
        <f>AX6&amp;AX7</f>
        <v>2031Принято органом регулирования</v>
      </c>
      <c r="AY8" s="1746" t="str">
        <f>AY6&amp;AY7</f>
        <v>2032Принято органом регулирования</v>
      </c>
      <c r="AZ8" s="1746" t="str">
        <f>AZ6&amp;AZ7</f>
        <v>2033Принято органом регулирования</v>
      </c>
      <c r="BA8" s="1746" t="str">
        <f>BA6&amp;BA7</f>
        <v>2034Принято органом регулирования</v>
      </c>
      <c r="BB8" s="1746" t="str">
        <f>BB6&amp;BB7</f>
        <v>2035Принято органом регулирования</v>
      </c>
      <c r="BC8" s="421"/>
      <c r="BD8" s="421"/>
      <c r="BE8" s="421"/>
      <c r="BF8" s="421"/>
      <c r="BG8" s="421"/>
      <c r="BH8" s="421"/>
      <c r="BI8" s="421"/>
      <c r="BJ8" s="421"/>
      <c r="BK8" s="421"/>
      <c r="BL8" s="421"/>
      <c r="BM8" s="421"/>
      <c r="BN8" s="421"/>
      <c r="BO8" s="421"/>
    </row>
    <row customHeight="1" ht="11.25" hidden="1">
      <c r="A9" s="1759" t="s">
        <v>365</v>
      </c>
      <c r="B9" s="1760"/>
      <c r="C9" s="2632"/>
      <c r="D9" s="2632"/>
      <c r="E9" s="2632"/>
      <c r="F9" s="1761"/>
      <c r="G9" s="2632"/>
      <c r="H9" s="2632"/>
      <c r="I9" s="2632"/>
      <c r="J9" s="2632"/>
      <c r="K9" s="2632"/>
      <c r="L9" s="2632"/>
      <c r="M9" s="2632"/>
      <c r="N9" s="2632"/>
      <c r="O9" s="2632"/>
      <c r="P9" s="2632"/>
      <c r="Q9" s="2632"/>
      <c r="R9" s="2632"/>
      <c r="S9" s="2632"/>
      <c r="T9" s="2632"/>
      <c r="U9" s="2632"/>
      <c r="V9" s="2632"/>
      <c r="W9" s="2632"/>
      <c r="X9" s="2632"/>
      <c r="Y9" s="2632"/>
      <c r="Z9" s="2632"/>
      <c r="AA9" s="2632"/>
      <c r="AB9" s="1762"/>
      <c r="AC9" s="1763"/>
      <c r="AD9" s="2632"/>
      <c r="AE9" s="1759" cm="1" t="str">
        <f t="array" ref="AE9:AE9">AE6</f>
        <v>2024</v>
      </c>
      <c r="AF9" s="1759" cm="1" t="str">
        <f t="array" ref="AF9:AF9">AF6</f>
        <v>2024</v>
      </c>
      <c r="AG9" s="1764" cm="1" t="str">
        <f t="array" ref="AG9:AG9">AG6</f>
        <v>2024</v>
      </c>
      <c r="AH9" s="1759" cm="1" t="str">
        <f t="array" ref="AH9:AH9">AH6</f>
        <v>2025</v>
      </c>
      <c r="AI9" s="1759" cm="1" t="str">
        <f t="array" ref="AI9:AI9">AI6</f>
        <v>2026</v>
      </c>
      <c r="AJ9" s="1759" cm="1" t="str">
        <f t="array" ref="AJ9:AJ9">AJ6</f>
        <v>2027</v>
      </c>
      <c r="AK9" s="1759" cm="1" t="str">
        <f t="array" ref="AK9:AK9">AK6</f>
        <v>2028</v>
      </c>
      <c r="AL9" s="1759" cm="1" t="str">
        <f t="array" ref="AL9:AL9">AL6</f>
        <v>2029</v>
      </c>
      <c r="AM9" s="1759" cm="1" t="str">
        <f t="array" ref="AM9:AM9">AM6</f>
        <v>2030</v>
      </c>
      <c r="AN9" s="1759" cm="1" t="str">
        <f t="array" ref="AN9:AN9">AN6</f>
        <v>2031</v>
      </c>
      <c r="AO9" s="1759" cm="1" t="str">
        <f t="array" ref="AO9:AO9">AO6</f>
        <v>2032</v>
      </c>
      <c r="AP9" s="1759" cm="1" t="str">
        <f t="array" ref="AP9:AP9">AP6</f>
        <v>2033</v>
      </c>
      <c r="AQ9" s="1759" cm="1" t="str">
        <f t="array" ref="AQ9:AQ9">AQ6</f>
        <v>2034</v>
      </c>
      <c r="AR9" s="1759" cm="1" t="str">
        <f t="array" ref="AR9:AR9">AR6</f>
        <v>2035</v>
      </c>
      <c r="AS9" s="1759" cm="1" t="str">
        <f t="array" ref="AS9:AS9">AS6</f>
        <v>2026</v>
      </c>
      <c r="AT9" s="1759" cm="1" t="str">
        <f t="array" ref="AT9:AT9">AT6</f>
        <v>2027</v>
      </c>
      <c r="AU9" s="1759" cm="1" t="str">
        <f t="array" ref="AU9:AU9">AU6</f>
        <v>2028</v>
      </c>
      <c r="AV9" s="1759" cm="1" t="str">
        <f t="array" ref="AV9:AV9">AV6</f>
        <v>2029</v>
      </c>
      <c r="AW9" s="1759" cm="1" t="str">
        <f t="array" ref="AW9:AW9">AW6</f>
        <v>2030</v>
      </c>
      <c r="AX9" s="1759" cm="1" t="str">
        <f t="array" ref="AX9:AX9">AX6</f>
        <v>2031</v>
      </c>
      <c r="AY9" s="1759" cm="1" t="str">
        <f t="array" ref="AY9:AY9">AY6</f>
        <v>2032</v>
      </c>
      <c r="AZ9" s="1759" cm="1" t="str">
        <f t="array" ref="AZ9:AZ9">AZ6</f>
        <v>2033</v>
      </c>
      <c r="BA9" s="1759" cm="1" t="str">
        <f t="array" ref="BA9:BA9">BA6</f>
        <v>2034</v>
      </c>
      <c r="BB9" s="1759" cm="1" t="str">
        <f t="array" ref="BB9:BB9">BB6</f>
        <v>2035</v>
      </c>
      <c r="BC9" s="421"/>
      <c r="BD9" s="421"/>
      <c r="BE9" s="379"/>
      <c r="BF9" s="379"/>
      <c r="BG9" s="379"/>
      <c r="BH9" s="379"/>
      <c r="BI9" s="379"/>
      <c r="BJ9" s="421"/>
      <c r="BK9" s="421"/>
      <c r="BL9" s="421"/>
      <c r="BM9" s="421"/>
      <c r="BN9" s="421"/>
      <c r="BO9" s="421"/>
    </row>
    <row customHeight="1" ht="11.25" hidden="1">
      <c r="A10" s="1759" t="s">
        <v>366</v>
      </c>
      <c r="B10" s="1760"/>
      <c r="C10" s="2632"/>
      <c r="D10" s="2632"/>
      <c r="E10" s="2632"/>
      <c r="F10" s="1761"/>
      <c r="G10" s="2632"/>
      <c r="H10" s="2632"/>
      <c r="I10" s="2632"/>
      <c r="J10" s="2632"/>
      <c r="K10" s="2632"/>
      <c r="L10" s="2632"/>
      <c r="M10" s="2632"/>
      <c r="N10" s="2632"/>
      <c r="O10" s="2632"/>
      <c r="P10" s="2632"/>
      <c r="Q10" s="2632"/>
      <c r="R10" s="2632"/>
      <c r="S10" s="2632"/>
      <c r="T10" s="2632"/>
      <c r="U10" s="2632"/>
      <c r="V10" s="2632"/>
      <c r="W10" s="2632"/>
      <c r="X10" s="2632"/>
      <c r="Y10" s="2632"/>
      <c r="Z10" s="2632"/>
      <c r="AA10" s="2632"/>
      <c r="AB10" s="1762"/>
      <c r="AC10" s="1763"/>
      <c r="AD10" s="2632"/>
      <c r="AE10" s="1759" cm="1" t="str">
        <f t="array" ref="AE10:AE10">AE25</f>
        <v>Принято органом регулирования</v>
      </c>
      <c r="AF10" s="1759" cm="1" t="str">
        <f t="array" ref="AF10:AF10">AF25</f>
        <v>Факт по данным организации</v>
      </c>
      <c r="AG10" s="1764" cm="1" t="str">
        <f t="array" ref="AG10:AG10">AG25</f>
        <v>Факт, принятый органом регулирования</v>
      </c>
      <c r="AH10" s="1759" cm="1" t="str">
        <f t="array" ref="AH10:AH10">AH25</f>
        <v>Принято органом регулирования</v>
      </c>
      <c r="AI10" s="1759" cm="1" t="str">
        <f t="array" ref="AI10:AI10">AI25</f>
        <v>Предложение организации</v>
      </c>
      <c r="AJ10" s="1759" cm="1" t="str">
        <f t="array" ref="AJ10:AJ10">AJ25</f>
        <v>Предложение организации</v>
      </c>
      <c r="AK10" s="1759" cm="1" t="str">
        <f t="array" ref="AK10:AK10">AK25</f>
        <v>Предложение организации</v>
      </c>
      <c r="AL10" s="1759" cm="1" t="str">
        <f t="array" ref="AL10:AL10">AL25</f>
        <v>Предложение организации</v>
      </c>
      <c r="AM10" s="1759" cm="1" t="str">
        <f t="array" ref="AM10:AM10">AM25</f>
        <v>Предложение организации</v>
      </c>
      <c r="AN10" s="1759" cm="1" t="str">
        <f t="array" ref="AN10:AN10">AN25</f>
        <v>Предложение организации</v>
      </c>
      <c r="AO10" s="1759" cm="1" t="str">
        <f t="array" ref="AO10:AO10">AO25</f>
        <v>Предложение организации</v>
      </c>
      <c r="AP10" s="1759" cm="1" t="str">
        <f t="array" ref="AP10:AP10">AP25</f>
        <v>Предложение организации</v>
      </c>
      <c r="AQ10" s="1759" cm="1" t="str">
        <f t="array" ref="AQ10:AQ10">AQ25</f>
        <v>Предложение организации</v>
      </c>
      <c r="AR10" s="1759" cm="1" t="str">
        <f t="array" ref="AR10:AR10">AR25</f>
        <v>Предложение организации</v>
      </c>
      <c r="AS10" s="1759" cm="1" t="str">
        <f t="array" ref="AS10:AS10">AS25</f>
        <v>Принято органом регулирования</v>
      </c>
      <c r="AT10" s="1759" cm="1" t="str">
        <f t="array" ref="AT10:AT10">AT25</f>
        <v>Принято органом регулирования</v>
      </c>
      <c r="AU10" s="1759" cm="1" t="str">
        <f t="array" ref="AU10:AU10">AU25</f>
        <v>Принято органом регулирования</v>
      </c>
      <c r="AV10" s="1759" cm="1" t="str">
        <f t="array" ref="AV10:AV10">AV25</f>
        <v>Принято органом регулирования</v>
      </c>
      <c r="AW10" s="1759" cm="1" t="str">
        <f t="array" ref="AW10:AW10">AW25</f>
        <v>Принято органом регулирования</v>
      </c>
      <c r="AX10" s="1759" cm="1" t="str">
        <f t="array" ref="AX10:AX10">AX25</f>
        <v>Принято органом регулирования</v>
      </c>
      <c r="AY10" s="1759" cm="1" t="str">
        <f t="array" ref="AY10:AY10">AY25</f>
        <v>Принято органом регулирования</v>
      </c>
      <c r="AZ10" s="1759" cm="1" t="str">
        <f t="array" ref="AZ10:AZ10">AZ25</f>
        <v>Принято органом регулирования</v>
      </c>
      <c r="BA10" s="1759" cm="1" t="str">
        <f t="array" ref="BA10:BA10">BA25</f>
        <v>Принято органом регулирования</v>
      </c>
      <c r="BB10" s="1759" cm="1" t="str">
        <f t="array" ref="BB10:BB10">BB25</f>
        <v>Принято органом регулирования</v>
      </c>
      <c r="BC10" s="421"/>
      <c r="BD10" s="421"/>
      <c r="BE10" s="379"/>
      <c r="BF10" s="379"/>
      <c r="BG10" s="379"/>
      <c r="BH10" s="379"/>
      <c r="BI10" s="379"/>
      <c r="BJ10" s="421"/>
      <c r="BK10" s="421"/>
      <c r="BL10" s="421"/>
      <c r="BM10" s="421"/>
      <c r="BN10" s="421"/>
      <c r="BO10" s="421"/>
    </row>
    <row customHeight="1" ht="11.25" hidden="1">
      <c r="A11" s="2632"/>
      <c r="B11" s="2632"/>
      <c r="C11" s="2632"/>
      <c r="D11" s="2632"/>
      <c r="E11" s="2632"/>
      <c r="F11" s="2632"/>
      <c r="G11" s="2632"/>
      <c r="H11" s="2632"/>
      <c r="I11" s="2632"/>
      <c r="J11" s="2632"/>
      <c r="K11" s="2632"/>
      <c r="L11" s="2632"/>
      <c r="M11" s="2632"/>
      <c r="N11" s="2632"/>
      <c r="O11" s="2632"/>
      <c r="P11" s="2632"/>
      <c r="Q11" s="2632"/>
      <c r="R11" s="2632"/>
      <c r="S11" s="2632"/>
      <c r="T11" s="2632"/>
      <c r="U11" s="2632"/>
      <c r="V11" s="2632"/>
      <c r="W11" s="2632"/>
      <c r="X11" s="2632"/>
      <c r="Y11" s="2632"/>
      <c r="Z11" s="2632"/>
      <c r="AA11" s="2632"/>
      <c r="AB11" s="2632"/>
      <c r="AC11" s="2632"/>
      <c r="AD11" s="2632"/>
      <c r="AE11" s="2632"/>
      <c r="AF11" s="2632"/>
      <c r="AG11" s="1676"/>
      <c r="AH11" s="2632"/>
      <c r="AI11" s="2632"/>
      <c r="AJ11" s="1676"/>
      <c r="AK11" s="1676"/>
      <c r="AL11" s="1676"/>
      <c r="AM11" s="1676"/>
      <c r="AN11" s="1676"/>
      <c r="AO11" s="1676"/>
      <c r="AP11" s="1676"/>
      <c r="AQ11" s="1676"/>
      <c r="AR11" s="1676"/>
      <c r="AS11" s="2632"/>
      <c r="AT11" s="1676"/>
      <c r="AU11" s="1676"/>
      <c r="AV11" s="1676"/>
      <c r="AW11" s="1676"/>
      <c r="AX11" s="1676"/>
      <c r="AY11" s="1676"/>
      <c r="AZ11" s="1676"/>
      <c r="BA11" s="1676"/>
      <c r="BB11" s="1676"/>
      <c r="BC11" s="421"/>
      <c r="BD11" s="421"/>
      <c r="BE11" s="421"/>
      <c r="BF11" s="421"/>
      <c r="BG11" s="421"/>
      <c r="BH11" s="421"/>
      <c r="BI11" s="421"/>
      <c r="BJ11" s="421"/>
      <c r="BK11" s="421"/>
      <c r="BL11" s="421"/>
      <c r="BM11" s="421"/>
      <c r="BN11" s="421"/>
      <c r="BO11" s="421"/>
    </row>
    <row customHeight="1" ht="11.25" hidden="1">
      <c r="A12" s="2632"/>
      <c r="B12" s="2632"/>
      <c r="C12" s="2632"/>
      <c r="D12" s="2632"/>
      <c r="E12" s="2632"/>
      <c r="F12" s="2632"/>
      <c r="G12" s="2632"/>
      <c r="H12" s="2632"/>
      <c r="I12" s="2632"/>
      <c r="J12" s="2632"/>
      <c r="K12" s="2632"/>
      <c r="L12" s="2632"/>
      <c r="M12" s="2632"/>
      <c r="N12" s="2632"/>
      <c r="O12" s="2632"/>
      <c r="P12" s="2632"/>
      <c r="Q12" s="2632"/>
      <c r="R12" s="2632"/>
      <c r="S12" s="2632"/>
      <c r="T12" s="2632"/>
      <c r="U12" s="2632"/>
      <c r="V12" s="2632"/>
      <c r="W12" s="2632"/>
      <c r="X12" s="2632"/>
      <c r="Y12" s="2632"/>
      <c r="Z12" s="2632"/>
      <c r="AA12" s="2632"/>
      <c r="AB12" s="2632"/>
      <c r="AC12" s="2632"/>
      <c r="AD12" s="2632"/>
      <c r="AE12" s="2632"/>
      <c r="AF12" s="2632"/>
      <c r="AG12" s="1676"/>
      <c r="AH12" s="2632"/>
      <c r="AI12" s="2632"/>
      <c r="AJ12" s="1676"/>
      <c r="AK12" s="1676"/>
      <c r="AL12" s="1676"/>
      <c r="AM12" s="1676"/>
      <c r="AN12" s="1676"/>
      <c r="AO12" s="1676"/>
      <c r="AP12" s="1676"/>
      <c r="AQ12" s="1676"/>
      <c r="AR12" s="1676"/>
      <c r="AS12" s="2632"/>
      <c r="AT12" s="1676"/>
      <c r="AU12" s="1676"/>
      <c r="AV12" s="1676"/>
      <c r="AW12" s="1676"/>
      <c r="AX12" s="1676"/>
      <c r="AY12" s="1676"/>
      <c r="AZ12" s="1676"/>
      <c r="BA12" s="1676"/>
      <c r="BB12" s="1676"/>
      <c r="BC12" s="421"/>
      <c r="BD12" s="421"/>
      <c r="BE12" s="421"/>
      <c r="BF12" s="421"/>
      <c r="BG12" s="421"/>
      <c r="BH12" s="421"/>
      <c r="BI12" s="421"/>
      <c r="BJ12" s="421"/>
      <c r="BK12" s="421"/>
      <c r="BL12" s="421"/>
      <c r="BM12" s="421"/>
      <c r="BN12" s="421"/>
      <c r="BO12" s="421"/>
    </row>
    <row customHeight="1" ht="11.25" hidden="1">
      <c r="A13" s="2632"/>
      <c r="B13" s="2632"/>
      <c r="C13" s="2632"/>
      <c r="D13" s="2632"/>
      <c r="E13" s="2632"/>
      <c r="F13" s="2632"/>
      <c r="G13" s="2632"/>
      <c r="H13" s="2632"/>
      <c r="I13" s="2632"/>
      <c r="J13" s="2632"/>
      <c r="K13" s="2632"/>
      <c r="L13" s="2632"/>
      <c r="M13" s="2632"/>
      <c r="N13" s="2632"/>
      <c r="O13" s="2632"/>
      <c r="P13" s="2632"/>
      <c r="Q13" s="2632"/>
      <c r="R13" s="2632"/>
      <c r="S13" s="2632"/>
      <c r="T13" s="2632"/>
      <c r="U13" s="2632"/>
      <c r="V13" s="2632"/>
      <c r="W13" s="2632"/>
      <c r="X13" s="2632"/>
      <c r="Y13" s="2632"/>
      <c r="Z13" s="2632"/>
      <c r="AA13" s="2632"/>
      <c r="AB13" s="2632"/>
      <c r="AC13" s="2632"/>
      <c r="AD13" s="2632"/>
      <c r="AE13" s="2632"/>
      <c r="AF13" s="2632"/>
      <c r="AG13" s="1676"/>
      <c r="AH13" s="2632"/>
      <c r="AI13" s="2632"/>
      <c r="AJ13" s="1676"/>
      <c r="AK13" s="1676"/>
      <c r="AL13" s="1676"/>
      <c r="AM13" s="1676"/>
      <c r="AN13" s="1676"/>
      <c r="AO13" s="1676"/>
      <c r="AP13" s="1676"/>
      <c r="AQ13" s="1676"/>
      <c r="AR13" s="1676"/>
      <c r="AS13" s="2632"/>
      <c r="AT13" s="1676"/>
      <c r="AU13" s="1676"/>
      <c r="AV13" s="1676"/>
      <c r="AW13" s="1676"/>
      <c r="AX13" s="1676"/>
      <c r="AY13" s="1676"/>
      <c r="AZ13" s="1676"/>
      <c r="BA13" s="1676"/>
      <c r="BB13" s="1676"/>
      <c r="BC13" s="421"/>
      <c r="BD13" s="421"/>
      <c r="BE13" s="421"/>
      <c r="BF13" s="421"/>
      <c r="BG13" s="421"/>
      <c r="BH13" s="421"/>
      <c r="BI13" s="421"/>
      <c r="BJ13" s="421"/>
      <c r="BK13" s="421"/>
      <c r="BL13" s="421"/>
      <c r="BM13" s="421"/>
      <c r="BN13" s="421"/>
      <c r="BO13" s="421"/>
    </row>
    <row customHeight="1" ht="11.25" hidden="1">
      <c r="A14" s="2632"/>
      <c r="B14" s="2632"/>
      <c r="C14" s="2632"/>
      <c r="D14" s="2632"/>
      <c r="E14" s="2632"/>
      <c r="F14" s="2632"/>
      <c r="G14" s="2632"/>
      <c r="H14" s="2632"/>
      <c r="I14" s="2632"/>
      <c r="J14" s="2632"/>
      <c r="K14" s="2632"/>
      <c r="L14" s="2632"/>
      <c r="M14" s="2632"/>
      <c r="N14" s="2632"/>
      <c r="O14" s="2632"/>
      <c r="P14" s="2632"/>
      <c r="Q14" s="2632"/>
      <c r="R14" s="2632"/>
      <c r="S14" s="2632"/>
      <c r="T14" s="2632"/>
      <c r="U14" s="2632"/>
      <c r="V14" s="2632"/>
      <c r="W14" s="2632"/>
      <c r="X14" s="2632"/>
      <c r="Y14" s="2632"/>
      <c r="Z14" s="2632"/>
      <c r="AA14" s="2632"/>
      <c r="AB14" s="2632"/>
      <c r="AC14" s="2632"/>
      <c r="AD14" s="2632"/>
      <c r="AE14" s="2632"/>
      <c r="AF14" s="2632"/>
      <c r="AG14" s="1676"/>
      <c r="AH14" s="2632"/>
      <c r="AI14" s="2632"/>
      <c r="AJ14" s="1676"/>
      <c r="AK14" s="1676"/>
      <c r="AL14" s="1676"/>
      <c r="AM14" s="1676"/>
      <c r="AN14" s="1676"/>
      <c r="AO14" s="1676"/>
      <c r="AP14" s="1676"/>
      <c r="AQ14" s="1676"/>
      <c r="AR14" s="1676"/>
      <c r="AS14" s="2632"/>
      <c r="AT14" s="1676"/>
      <c r="AU14" s="1676"/>
      <c r="AV14" s="1676"/>
      <c r="AW14" s="1676"/>
      <c r="AX14" s="1676"/>
      <c r="AY14" s="1676"/>
      <c r="AZ14" s="1676"/>
      <c r="BA14" s="1676"/>
      <c r="BB14" s="1676"/>
      <c r="BC14" s="421"/>
      <c r="BD14" s="421"/>
      <c r="BE14" s="421"/>
      <c r="BF14" s="421"/>
      <c r="BG14" s="421"/>
      <c r="BH14" s="421"/>
      <c r="BI14" s="421"/>
      <c r="BJ14" s="421"/>
      <c r="BK14" s="421"/>
      <c r="BL14" s="421"/>
      <c r="BM14" s="421"/>
      <c r="BN14" s="421"/>
      <c r="BO14" s="421"/>
    </row>
    <row customHeight="1" ht="11.25" hidden="1">
      <c r="A15" s="2632"/>
      <c r="B15" s="2632"/>
      <c r="C15" s="2632"/>
      <c r="D15" s="2632"/>
      <c r="E15" s="2632"/>
      <c r="F15" s="2632"/>
      <c r="G15" s="2632"/>
      <c r="H15" s="2632"/>
      <c r="I15" s="2632"/>
      <c r="J15" s="2632"/>
      <c r="K15" s="2632"/>
      <c r="L15" s="2632"/>
      <c r="M15" s="2632"/>
      <c r="N15" s="2632"/>
      <c r="O15" s="2632"/>
      <c r="P15" s="2632"/>
      <c r="Q15" s="2632"/>
      <c r="R15" s="2632"/>
      <c r="S15" s="2632"/>
      <c r="T15" s="2632"/>
      <c r="U15" s="2632"/>
      <c r="V15" s="2632"/>
      <c r="W15" s="2632"/>
      <c r="X15" s="2632"/>
      <c r="Y15" s="2632"/>
      <c r="Z15" s="2632"/>
      <c r="AA15" s="2632"/>
      <c r="AB15" s="2632"/>
      <c r="AC15" s="2632"/>
      <c r="AD15" s="2632"/>
      <c r="AE15" s="2632"/>
      <c r="AF15" s="2632"/>
      <c r="AG15" s="1676"/>
      <c r="AH15" s="2632"/>
      <c r="AI15" s="2632"/>
      <c r="AJ15" s="1676"/>
      <c r="AK15" s="1676"/>
      <c r="AL15" s="1676"/>
      <c r="AM15" s="1676"/>
      <c r="AN15" s="1676"/>
      <c r="AO15" s="1676"/>
      <c r="AP15" s="1676"/>
      <c r="AQ15" s="1676"/>
      <c r="AR15" s="1676"/>
      <c r="AS15" s="2632"/>
      <c r="AT15" s="1676"/>
      <c r="AU15" s="1676"/>
      <c r="AV15" s="1676"/>
      <c r="AW15" s="1676"/>
      <c r="AX15" s="1676"/>
      <c r="AY15" s="1676"/>
      <c r="AZ15" s="1676"/>
      <c r="BA15" s="1676"/>
      <c r="BB15" s="1676"/>
      <c r="BC15" s="421"/>
      <c r="BD15" s="421"/>
      <c r="BE15" s="421"/>
      <c r="BF15" s="421"/>
      <c r="BG15" s="421"/>
      <c r="BH15" s="421"/>
      <c r="BI15" s="421"/>
      <c r="BJ15" s="421"/>
      <c r="BK15" s="421"/>
      <c r="BL15" s="421"/>
      <c r="BM15" s="421"/>
      <c r="BN15" s="421"/>
      <c r="BO15" s="421"/>
    </row>
    <row customHeight="1" ht="11.25" hidden="1">
      <c r="A16" s="2632"/>
      <c r="B16" s="2632"/>
      <c r="C16" s="2632"/>
      <c r="D16" s="2632"/>
      <c r="E16" s="2632"/>
      <c r="F16" s="2632"/>
      <c r="G16" s="2632"/>
      <c r="H16" s="2632"/>
      <c r="I16" s="2632"/>
      <c r="J16" s="2632"/>
      <c r="K16" s="2632"/>
      <c r="L16" s="2632"/>
      <c r="M16" s="2632"/>
      <c r="N16" s="2632"/>
      <c r="O16" s="2632"/>
      <c r="P16" s="2632"/>
      <c r="Q16" s="2632"/>
      <c r="R16" s="2632"/>
      <c r="S16" s="2632"/>
      <c r="T16" s="2632"/>
      <c r="U16" s="2632"/>
      <c r="V16" s="2632"/>
      <c r="W16" s="2632"/>
      <c r="X16" s="2632"/>
      <c r="Y16" s="2632"/>
      <c r="Z16" s="2632"/>
      <c r="AA16" s="2632"/>
      <c r="AB16" s="2632"/>
      <c r="AC16" s="2632"/>
      <c r="AD16" s="2632"/>
      <c r="AE16" s="2632"/>
      <c r="AF16" s="2632"/>
      <c r="AG16" s="1676"/>
      <c r="AH16" s="2632"/>
      <c r="AI16" s="2632"/>
      <c r="AJ16" s="1676"/>
      <c r="AK16" s="1676"/>
      <c r="AL16" s="1676"/>
      <c r="AM16" s="1676"/>
      <c r="AN16" s="1676"/>
      <c r="AO16" s="1676"/>
      <c r="AP16" s="1676"/>
      <c r="AQ16" s="1676"/>
      <c r="AR16" s="1676"/>
      <c r="AS16" s="2632"/>
      <c r="AT16" s="1676"/>
      <c r="AU16" s="1676"/>
      <c r="AV16" s="1676"/>
      <c r="AW16" s="1676"/>
      <c r="AX16" s="1676"/>
      <c r="AY16" s="1676"/>
      <c r="AZ16" s="1676"/>
      <c r="BA16" s="1676"/>
      <c r="BB16" s="1676"/>
      <c r="BC16" s="421"/>
      <c r="BD16" s="421"/>
      <c r="BE16" s="421"/>
      <c r="BF16" s="421"/>
      <c r="BG16" s="421"/>
      <c r="BH16" s="421"/>
      <c r="BI16" s="421"/>
      <c r="BJ16" s="421"/>
      <c r="BK16" s="421"/>
      <c r="BL16" s="421"/>
      <c r="BM16" s="421"/>
      <c r="BN16" s="421"/>
      <c r="BO16" s="421"/>
    </row>
    <row customHeight="1" ht="11.25" hidden="1">
      <c r="A17" s="2632"/>
      <c r="B17" s="2632"/>
      <c r="C17" s="2632"/>
      <c r="D17" s="2632"/>
      <c r="E17" s="2632"/>
      <c r="F17" s="2632"/>
      <c r="G17" s="2632"/>
      <c r="H17" s="2632"/>
      <c r="I17" s="2632"/>
      <c r="J17" s="2632"/>
      <c r="K17" s="2632"/>
      <c r="L17" s="2632"/>
      <c r="M17" s="2632"/>
      <c r="N17" s="2632"/>
      <c r="O17" s="2632"/>
      <c r="P17" s="2632"/>
      <c r="Q17" s="2632"/>
      <c r="R17" s="2632"/>
      <c r="S17" s="2632"/>
      <c r="T17" s="2632"/>
      <c r="U17" s="2632"/>
      <c r="V17" s="2632"/>
      <c r="W17" s="2632"/>
      <c r="X17" s="2632"/>
      <c r="Y17" s="2632"/>
      <c r="Z17" s="2632"/>
      <c r="AA17" s="2632"/>
      <c r="AB17" s="2632"/>
      <c r="AC17" s="2632"/>
      <c r="AD17" s="2632"/>
      <c r="AE17" s="2632"/>
      <c r="AF17" s="2632"/>
      <c r="AG17" s="1676"/>
      <c r="AH17" s="2632"/>
      <c r="AI17" s="2632"/>
      <c r="AJ17" s="1676"/>
      <c r="AK17" s="1676"/>
      <c r="AL17" s="1676"/>
      <c r="AM17" s="1676"/>
      <c r="AN17" s="1676"/>
      <c r="AO17" s="1676"/>
      <c r="AP17" s="1676"/>
      <c r="AQ17" s="1676"/>
      <c r="AR17" s="1676"/>
      <c r="AS17" s="2632"/>
      <c r="AT17" s="1676"/>
      <c r="AU17" s="1676"/>
      <c r="AV17" s="1676"/>
      <c r="AW17" s="1676"/>
      <c r="AX17" s="1676"/>
      <c r="AY17" s="1676"/>
      <c r="AZ17" s="1676"/>
      <c r="BA17" s="1676"/>
      <c r="BB17" s="1676"/>
      <c r="BC17" s="421"/>
      <c r="BD17" s="421"/>
      <c r="BE17" s="421"/>
      <c r="BF17" s="421"/>
      <c r="BG17" s="421"/>
      <c r="BH17" s="421"/>
      <c r="BI17" s="421"/>
      <c r="BJ17" s="421"/>
      <c r="BK17" s="421"/>
      <c r="BL17" s="421"/>
      <c r="BM17" s="421"/>
      <c r="BN17" s="421"/>
      <c r="BO17" s="421"/>
    </row>
    <row customHeight="1" ht="11.25" hidden="1">
      <c r="A18" s="2632"/>
      <c r="B18" s="2632"/>
      <c r="C18" s="2632"/>
      <c r="D18" s="2632"/>
      <c r="E18" s="2632"/>
      <c r="F18" s="2632"/>
      <c r="G18" s="2632"/>
      <c r="H18" s="2632"/>
      <c r="I18" s="2632"/>
      <c r="J18" s="2632"/>
      <c r="K18" s="2632"/>
      <c r="L18" s="2632"/>
      <c r="M18" s="2632"/>
      <c r="N18" s="2632"/>
      <c r="O18" s="2632"/>
      <c r="P18" s="2632"/>
      <c r="Q18" s="2632"/>
      <c r="R18" s="2632"/>
      <c r="S18" s="2632"/>
      <c r="T18" s="2632"/>
      <c r="U18" s="2632"/>
      <c r="V18" s="2632"/>
      <c r="W18" s="2632"/>
      <c r="X18" s="2632"/>
      <c r="Y18" s="2632"/>
      <c r="Z18" s="2632"/>
      <c r="AA18" s="2632"/>
      <c r="AB18" s="2632"/>
      <c r="AC18" s="2632"/>
      <c r="AD18" s="2632"/>
      <c r="AE18" s="2632"/>
      <c r="AF18" s="2632"/>
      <c r="AG18" s="1676"/>
      <c r="AH18" s="2632"/>
      <c r="AI18" s="2632"/>
      <c r="AJ18" s="1676"/>
      <c r="AK18" s="1676"/>
      <c r="AL18" s="1676"/>
      <c r="AM18" s="1676"/>
      <c r="AN18" s="1676"/>
      <c r="AO18" s="1676"/>
      <c r="AP18" s="1676"/>
      <c r="AQ18" s="1676"/>
      <c r="AR18" s="1676"/>
      <c r="AS18" s="2632"/>
      <c r="AT18" s="1676"/>
      <c r="AU18" s="1676"/>
      <c r="AV18" s="1676"/>
      <c r="AW18" s="1676"/>
      <c r="AX18" s="1676"/>
      <c r="AY18" s="1676"/>
      <c r="AZ18" s="1676"/>
      <c r="BA18" s="1676"/>
      <c r="BB18" s="1676"/>
      <c r="BC18" s="421"/>
      <c r="BD18" s="421"/>
      <c r="BE18" s="421"/>
      <c r="BF18" s="421"/>
      <c r="BG18" s="421"/>
      <c r="BH18" s="421"/>
      <c r="BI18" s="421"/>
      <c r="BJ18" s="421"/>
      <c r="BK18" s="421"/>
      <c r="BL18" s="421"/>
      <c r="BM18" s="421"/>
      <c r="BN18" s="421"/>
      <c r="BO18" s="421"/>
    </row>
    <row customHeight="1" ht="11.25" hidden="1">
      <c r="A19" s="2632"/>
      <c r="B19" s="2632"/>
      <c r="C19" s="2632"/>
      <c r="D19" s="2632"/>
      <c r="E19" s="2632"/>
      <c r="F19" s="2632"/>
      <c r="G19" s="2632"/>
      <c r="H19" s="2632"/>
      <c r="I19" s="2632"/>
      <c r="J19" s="2632"/>
      <c r="K19" s="2632"/>
      <c r="L19" s="2632"/>
      <c r="M19" s="2632"/>
      <c r="N19" s="2632"/>
      <c r="O19" s="2632"/>
      <c r="P19" s="2632"/>
      <c r="Q19" s="2632"/>
      <c r="R19" s="2632"/>
      <c r="S19" s="2632"/>
      <c r="T19" s="2632"/>
      <c r="U19" s="2632"/>
      <c r="V19" s="2632"/>
      <c r="W19" s="2632"/>
      <c r="X19" s="2632"/>
      <c r="Y19" s="2632"/>
      <c r="Z19" s="2632"/>
      <c r="AA19" s="2632"/>
      <c r="AB19" s="2632"/>
      <c r="AC19" s="2632"/>
      <c r="AD19" s="2632"/>
      <c r="AE19" s="2632"/>
      <c r="AF19" s="2632"/>
      <c r="AG19" s="1676"/>
      <c r="AH19" s="2632"/>
      <c r="AI19" s="2632"/>
      <c r="AJ19" s="1676"/>
      <c r="AK19" s="1676"/>
      <c r="AL19" s="1676"/>
      <c r="AM19" s="1676"/>
      <c r="AN19" s="1676"/>
      <c r="AO19" s="1676"/>
      <c r="AP19" s="1676"/>
      <c r="AQ19" s="1676"/>
      <c r="AR19" s="1676"/>
      <c r="AS19" s="2632"/>
      <c r="AT19" s="1676"/>
      <c r="AU19" s="1676"/>
      <c r="AV19" s="1676"/>
      <c r="AW19" s="1676"/>
      <c r="AX19" s="1676"/>
      <c r="AY19" s="1676"/>
      <c r="AZ19" s="1676"/>
      <c r="BA19" s="1676"/>
      <c r="BB19" s="1676"/>
      <c r="BC19" s="421"/>
      <c r="BD19" s="421"/>
      <c r="BE19" s="421"/>
      <c r="BF19" s="421"/>
      <c r="BG19" s="421"/>
      <c r="BH19" s="421"/>
      <c r="BI19" s="421"/>
      <c r="BJ19" s="421"/>
      <c r="BK19" s="421"/>
      <c r="BL19" s="421"/>
      <c r="BM19" s="421"/>
      <c r="BN19" s="421"/>
      <c r="BO19" s="421"/>
    </row>
    <row customHeight="1" ht="11.25" hidden="1">
      <c r="A20" s="2632"/>
      <c r="B20" s="2632"/>
      <c r="C20" s="2632"/>
      <c r="D20" s="2632"/>
      <c r="E20" s="2632"/>
      <c r="F20" s="2632"/>
      <c r="G20" s="2632"/>
      <c r="H20" s="2632"/>
      <c r="I20" s="2632"/>
      <c r="J20" s="2632"/>
      <c r="K20" s="2632"/>
      <c r="L20" s="2632"/>
      <c r="M20" s="2632"/>
      <c r="N20" s="2632"/>
      <c r="O20" s="2632"/>
      <c r="P20" s="2632"/>
      <c r="Q20" s="2632"/>
      <c r="R20" s="2632"/>
      <c r="S20" s="2632"/>
      <c r="T20" s="2632"/>
      <c r="U20" s="2632"/>
      <c r="V20" s="2632"/>
      <c r="W20" s="2632"/>
      <c r="X20" s="2632"/>
      <c r="Y20" s="2632"/>
      <c r="Z20" s="2632"/>
      <c r="AA20" s="2632"/>
      <c r="AB20" s="2632"/>
      <c r="AC20" s="2632"/>
      <c r="AD20" s="2632"/>
      <c r="AE20" s="2632"/>
      <c r="AF20" s="2632"/>
      <c r="AG20" s="1676"/>
      <c r="AH20" s="2632"/>
      <c r="AI20" s="2632"/>
      <c r="AJ20" s="1676"/>
      <c r="AK20" s="1676"/>
      <c r="AL20" s="1676"/>
      <c r="AM20" s="1676"/>
      <c r="AN20" s="1676"/>
      <c r="AO20" s="1676"/>
      <c r="AP20" s="1676"/>
      <c r="AQ20" s="1676"/>
      <c r="AR20" s="1676"/>
      <c r="AS20" s="2632"/>
      <c r="AT20" s="1676"/>
      <c r="AU20" s="1676"/>
      <c r="AV20" s="1676"/>
      <c r="AW20" s="1676"/>
      <c r="AX20" s="1676"/>
      <c r="AY20" s="1676"/>
      <c r="AZ20" s="1676"/>
      <c r="BA20" s="1676"/>
      <c r="BB20" s="1676"/>
      <c r="BC20" s="421"/>
      <c r="BD20" s="421"/>
      <c r="BE20" s="421"/>
      <c r="BF20" s="421"/>
      <c r="BG20" s="421"/>
      <c r="BH20" s="421"/>
      <c r="BI20" s="421"/>
      <c r="BJ20" s="421"/>
      <c r="BK20" s="421"/>
      <c r="BL20" s="421"/>
      <c r="BM20" s="421"/>
      <c r="BN20" s="421"/>
      <c r="BO20" s="421"/>
    </row>
    <row customHeight="1" ht="14.625">
      <c r="A21" s="2632"/>
      <c r="B21" s="2632"/>
      <c r="C21" s="2632"/>
      <c r="D21" s="2632"/>
      <c r="E21" s="1753">
        <v>15</v>
      </c>
      <c r="F21" s="2632"/>
      <c r="G21" s="2632"/>
      <c r="H21" s="2632"/>
      <c r="I21" s="2632"/>
      <c r="J21" s="2632"/>
      <c r="K21" s="2632"/>
      <c r="L21" s="2632"/>
      <c r="M21" s="2632"/>
      <c r="N21" s="2632"/>
      <c r="O21" s="2632"/>
      <c r="P21" s="2632"/>
      <c r="Q21" s="2632"/>
      <c r="R21" s="2632"/>
      <c r="S21" s="2632"/>
      <c r="T21" s="2632"/>
      <c r="U21" s="2632"/>
      <c r="V21" s="2632"/>
      <c r="W21" s="2632"/>
      <c r="X21" s="2632"/>
      <c r="Y21" s="2632"/>
      <c r="Z21" s="2632"/>
      <c r="AA21" s="1765"/>
      <c r="AB21" s="2632"/>
      <c r="AC21" s="1766" cm="1" t="str">
        <f t="array" ref="AC21:AC21">tpl_title</f>
        <v>Кемеровская область / 2026 / ООО "Теплоэнерго" (ИНН:4214046200, КПП:421401001) / ДПР: 2026-2030</v>
      </c>
      <c r="AD21" s="1767"/>
      <c r="AE21" s="1768"/>
      <c r="AF21" s="2632"/>
      <c r="AG21" s="1676"/>
      <c r="AH21" s="2632"/>
      <c r="AI21" s="2632"/>
      <c r="AJ21" s="1676"/>
      <c r="AK21" s="1676"/>
      <c r="AL21" s="1676"/>
      <c r="AM21" s="1676"/>
      <c r="AN21" s="1676"/>
      <c r="AO21" s="1676"/>
      <c r="AP21" s="1676"/>
      <c r="AQ21" s="1676"/>
      <c r="AR21" s="1676"/>
      <c r="AS21" s="2632"/>
      <c r="AT21" s="1676"/>
      <c r="AU21" s="1676"/>
      <c r="AV21" s="1676"/>
      <c r="AW21" s="1676"/>
      <c r="AX21" s="1676"/>
      <c r="AY21" s="1676"/>
      <c r="AZ21" s="1676"/>
      <c r="BA21" s="1676"/>
      <c r="BB21" s="1676"/>
      <c r="BC21" s="421"/>
      <c r="BD21" s="421"/>
      <c r="BE21" s="421"/>
      <c r="BF21" s="421"/>
      <c r="BG21" s="421"/>
      <c r="BH21" s="421"/>
      <c r="BI21" s="421"/>
      <c r="BJ21" s="421"/>
      <c r="BK21" s="421"/>
      <c r="BL21" s="421"/>
      <c r="BM21" s="421"/>
      <c r="BN21" s="421"/>
      <c r="BO21" s="421"/>
    </row>
    <row customHeight="1" ht="21.9375">
      <c r="A22" s="2632"/>
      <c r="B22" s="2632"/>
      <c r="C22" s="2632"/>
      <c r="D22" s="2632"/>
      <c r="E22" s="1753">
        <v>22.5</v>
      </c>
      <c r="F22" s="2632"/>
      <c r="G22" s="2632"/>
      <c r="H22" s="2632"/>
      <c r="I22" s="2632"/>
      <c r="J22" s="2632"/>
      <c r="K22" s="2632"/>
      <c r="L22" s="2632"/>
      <c r="M22" s="2632"/>
      <c r="N22" s="2632"/>
      <c r="O22" s="2632"/>
      <c r="P22" s="2632"/>
      <c r="Q22" s="2632"/>
      <c r="R22" s="2632"/>
      <c r="S22" s="2632"/>
      <c r="T22" s="2632"/>
      <c r="U22" s="2632"/>
      <c r="V22" s="2632"/>
      <c r="W22" s="2632"/>
      <c r="X22" s="2632"/>
      <c r="Y22" s="2632"/>
      <c r="Z22" s="2632"/>
      <c r="AA22" s="2632"/>
      <c r="AB22" s="1769" t="s">
        <v>1187</v>
      </c>
      <c r="AC22" s="1770"/>
      <c r="AD22" s="1770"/>
      <c r="AE22" s="1770"/>
      <c r="AF22" s="1770"/>
      <c r="AG22" s="1771"/>
      <c r="AH22" s="1772"/>
      <c r="AI22" s="1772"/>
      <c r="AJ22" s="1772"/>
      <c r="AK22" s="1772"/>
      <c r="AL22" s="1772"/>
      <c r="AM22" s="1772"/>
      <c r="AN22" s="1772"/>
      <c r="AO22" s="1772"/>
      <c r="AP22" s="1772"/>
      <c r="AQ22" s="1772"/>
      <c r="AR22" s="1772"/>
      <c r="AS22" s="1772"/>
      <c r="AT22" s="1772"/>
      <c r="AU22" s="1772"/>
      <c r="AV22" s="1772"/>
      <c r="AW22" s="1772"/>
      <c r="AX22" s="1772"/>
      <c r="AY22" s="1772"/>
      <c r="AZ22" s="1772"/>
      <c r="BA22" s="1772"/>
      <c r="BB22" s="1772"/>
      <c r="BC22" s="421"/>
      <c r="BD22" s="421"/>
      <c r="BE22" s="421"/>
      <c r="BF22" s="421"/>
      <c r="BG22" s="421"/>
      <c r="BH22" s="421"/>
      <c r="BI22" s="421"/>
      <c r="BJ22" s="421"/>
      <c r="BK22" s="421"/>
      <c r="BL22" s="421"/>
      <c r="BM22" s="421"/>
      <c r="BN22" s="421"/>
      <c r="BO22" s="421"/>
    </row>
    <row customHeight="1" ht="14.625">
      <c r="A23" s="2632"/>
      <c r="B23" s="1752"/>
      <c r="C23" s="2632"/>
      <c r="D23" s="2632"/>
      <c r="E23" s="1773">
        <v>15</v>
      </c>
      <c r="F23" s="1747"/>
      <c r="G23" s="2632"/>
      <c r="H23" s="2632"/>
      <c r="I23" s="2632"/>
      <c r="J23" s="2632"/>
      <c r="K23" s="2632"/>
      <c r="L23" s="2632"/>
      <c r="M23" s="2632"/>
      <c r="N23" s="2632"/>
      <c r="O23" s="2632"/>
      <c r="P23" s="2632"/>
      <c r="Q23" s="2632"/>
      <c r="R23" s="2632"/>
      <c r="S23" s="2632"/>
      <c r="T23" s="2632"/>
      <c r="U23" s="2632"/>
      <c r="V23" s="2632"/>
      <c r="W23" s="2632"/>
      <c r="X23" s="2632"/>
      <c r="Y23" s="2632"/>
      <c r="Z23" s="2632"/>
      <c r="AA23" s="1752"/>
      <c r="AB23" s="1774"/>
      <c r="AC23" s="1775"/>
      <c r="AD23" s="1776"/>
      <c r="AE23" s="1777"/>
      <c r="AF23" s="2632"/>
      <c r="AG23" s="1676"/>
      <c r="AH23" s="2632"/>
      <c r="AI23" s="2632"/>
      <c r="AJ23" s="1676"/>
      <c r="AK23" s="1676"/>
      <c r="AL23" s="1676"/>
      <c r="AM23" s="1676"/>
      <c r="AN23" s="1676"/>
      <c r="AO23" s="1676"/>
      <c r="AP23" s="1676"/>
      <c r="AQ23" s="1676"/>
      <c r="AR23" s="1676"/>
      <c r="AS23" s="2632"/>
      <c r="AT23" s="1676"/>
      <c r="AU23" s="1676"/>
      <c r="AV23" s="1676"/>
      <c r="AW23" s="1676"/>
      <c r="AX23" s="1676"/>
      <c r="AY23" s="1676"/>
      <c r="AZ23" s="1676"/>
      <c r="BA23" s="1676"/>
      <c r="BB23" s="1676"/>
      <c r="BC23" s="421"/>
      <c r="BD23" s="1171"/>
      <c r="BE23" s="379"/>
      <c r="BF23" s="379"/>
      <c r="BG23" s="379"/>
      <c r="BH23" s="379"/>
      <c r="BI23" s="379"/>
      <c r="BJ23" s="421"/>
      <c r="BK23" s="421"/>
      <c r="BL23" s="421"/>
      <c r="BM23" s="421"/>
      <c r="BN23" s="421"/>
      <c r="BO23" s="421"/>
    </row>
    <row customHeight="1" ht="14.625">
      <c r="A24" s="2632"/>
      <c r="B24" s="2632"/>
      <c r="C24" s="2632"/>
      <c r="D24" s="2632"/>
      <c r="E24" s="1753">
        <v>15</v>
      </c>
      <c r="F24" s="2632"/>
      <c r="G24" s="2632"/>
      <c r="H24" s="2632"/>
      <c r="I24" s="2632"/>
      <c r="J24" s="2632"/>
      <c r="K24" s="2632"/>
      <c r="L24" s="2632"/>
      <c r="M24" s="2632"/>
      <c r="N24" s="2632"/>
      <c r="O24" s="2632"/>
      <c r="P24" s="2632"/>
      <c r="Q24" s="2632"/>
      <c r="R24" s="2632"/>
      <c r="S24" s="2632"/>
      <c r="T24" s="2632"/>
      <c r="U24" s="2632"/>
      <c r="V24" s="2632"/>
      <c r="W24" s="2632"/>
      <c r="X24" s="2632"/>
      <c r="Y24" s="2632"/>
      <c r="Z24" s="2632"/>
      <c r="AA24" s="2632"/>
      <c r="AB24" s="1778" t="s">
        <v>22</v>
      </c>
      <c r="AC24" s="1778" t="s">
        <v>1163</v>
      </c>
      <c r="AD24" s="1778" t="s">
        <v>370</v>
      </c>
      <c r="AE24" s="1778" t="str">
        <f>god-2&amp;" год"</f>
        <v>2024 год</v>
      </c>
      <c r="AF24" s="1779" t="str">
        <f>god-2&amp;" год"</f>
        <v>2024 год</v>
      </c>
      <c r="AG24" s="1780" t="str">
        <f>god-2&amp;" год"</f>
        <v>2024 год</v>
      </c>
      <c r="AH24" s="1778" t="str">
        <f>god-1&amp;" год"</f>
        <v>2025 год</v>
      </c>
      <c r="AI24" s="1779" t="str">
        <f>god&amp;" год"</f>
        <v>2026 год</v>
      </c>
      <c r="AJ24" s="1779" t="str">
        <f>god+1&amp;" год"</f>
        <v>2027 год</v>
      </c>
      <c r="AK24" s="1779" t="str">
        <f>god+2&amp;" год"</f>
        <v>2028 год</v>
      </c>
      <c r="AL24" s="1779" t="str">
        <f>god+3&amp;" год"</f>
        <v>2029 год</v>
      </c>
      <c r="AM24" s="1779" t="str">
        <f>god+4&amp;" год"</f>
        <v>2030 год</v>
      </c>
      <c r="AN24" s="1779" t="str">
        <f>god+5&amp;" год"</f>
        <v>2031 год</v>
      </c>
      <c r="AO24" s="1779" t="str">
        <f>god+6&amp;" год"</f>
        <v>2032 год</v>
      </c>
      <c r="AP24" s="1779" t="str">
        <f>god+7&amp;" год"</f>
        <v>2033 год</v>
      </c>
      <c r="AQ24" s="1779" t="str">
        <f>god+8&amp;" год"</f>
        <v>2034 год</v>
      </c>
      <c r="AR24" s="1779" t="str">
        <f>god+9&amp;" год"</f>
        <v>2035 год</v>
      </c>
      <c r="AS24" s="1778" t="str">
        <f>god&amp;" год"</f>
        <v>2026 год</v>
      </c>
      <c r="AT24" s="1778" t="str">
        <f>god+1&amp;" год"</f>
        <v>2027 год</v>
      </c>
      <c r="AU24" s="1778" t="str">
        <f>god+2&amp;" год"</f>
        <v>2028 год</v>
      </c>
      <c r="AV24" s="1778" t="str">
        <f>god+3&amp;" год"</f>
        <v>2029 год</v>
      </c>
      <c r="AW24" s="1778" t="str">
        <f>god+4&amp;" год"</f>
        <v>2030 год</v>
      </c>
      <c r="AX24" s="1778" t="str">
        <f>god+5&amp;" год"</f>
        <v>2031 год</v>
      </c>
      <c r="AY24" s="1778" t="str">
        <f>god+6&amp;" год"</f>
        <v>2032 год</v>
      </c>
      <c r="AZ24" s="1778" t="str">
        <f>god+7&amp;" год"</f>
        <v>2033 год</v>
      </c>
      <c r="BA24" s="1778" t="str">
        <f>god+8&amp;" год"</f>
        <v>2034 год</v>
      </c>
      <c r="BB24" s="1778" t="str">
        <f>god+9&amp;" год"</f>
        <v>2035 год</v>
      </c>
      <c r="BC24" s="421"/>
      <c r="BD24" s="421"/>
      <c r="BE24" s="421"/>
      <c r="BF24" s="421"/>
      <c r="BG24" s="421"/>
      <c r="BH24" s="421"/>
      <c r="BI24" s="421"/>
      <c r="BJ24" s="421"/>
      <c r="BK24" s="421"/>
      <c r="BL24" s="421"/>
      <c r="BM24" s="421"/>
      <c r="BN24" s="421"/>
      <c r="BO24" s="421"/>
    </row>
    <row customHeight="1" ht="67.275">
      <c r="A25" s="2632"/>
      <c r="B25" s="2632"/>
      <c r="C25" s="2632"/>
      <c r="D25" s="2632"/>
      <c r="E25" s="1753">
        <v>69</v>
      </c>
      <c r="F25" s="2632"/>
      <c r="G25" s="2632"/>
      <c r="H25" s="2632"/>
      <c r="I25" s="2632"/>
      <c r="J25" s="2632"/>
      <c r="K25" s="2632"/>
      <c r="L25" s="2632"/>
      <c r="M25" s="2632"/>
      <c r="N25" s="2632"/>
      <c r="O25" s="2632"/>
      <c r="P25" s="2632"/>
      <c r="Q25" s="2632"/>
      <c r="R25" s="2632"/>
      <c r="S25" s="2632"/>
      <c r="T25" s="2632"/>
      <c r="U25" s="2632"/>
      <c r="V25" s="2632"/>
      <c r="W25" s="2632"/>
      <c r="X25" s="2632"/>
      <c r="Y25" s="2632"/>
      <c r="Z25" s="2632"/>
      <c r="AA25" s="2632"/>
      <c r="AB25" s="1778"/>
      <c r="AC25" s="1778"/>
      <c r="AD25" s="1778"/>
      <c r="AE25" s="1781" t="s">
        <v>362</v>
      </c>
      <c r="AF25" s="1782" t="s">
        <v>1164</v>
      </c>
      <c r="AG25" s="1780" t="s">
        <v>1165</v>
      </c>
      <c r="AH25" s="1778" t="s">
        <v>362</v>
      </c>
      <c r="AI25" s="1782" t="s">
        <v>363</v>
      </c>
      <c r="AJ25" s="1782" t="s">
        <v>363</v>
      </c>
      <c r="AK25" s="1782" t="s">
        <v>363</v>
      </c>
      <c r="AL25" s="1782" t="s">
        <v>363</v>
      </c>
      <c r="AM25" s="1782" t="s">
        <v>363</v>
      </c>
      <c r="AN25" s="1782" t="s">
        <v>363</v>
      </c>
      <c r="AO25" s="1782" t="s">
        <v>363</v>
      </c>
      <c r="AP25" s="1782" t="s">
        <v>363</v>
      </c>
      <c r="AQ25" s="1782" t="s">
        <v>363</v>
      </c>
      <c r="AR25" s="1782" t="s">
        <v>363</v>
      </c>
      <c r="AS25" s="1778" t="s">
        <v>362</v>
      </c>
      <c r="AT25" s="1778" t="s">
        <v>362</v>
      </c>
      <c r="AU25" s="1778" t="s">
        <v>362</v>
      </c>
      <c r="AV25" s="1778" t="s">
        <v>362</v>
      </c>
      <c r="AW25" s="1778" t="s">
        <v>362</v>
      </c>
      <c r="AX25" s="1778" t="s">
        <v>362</v>
      </c>
      <c r="AY25" s="1778" t="s">
        <v>362</v>
      </c>
      <c r="AZ25" s="1778" t="s">
        <v>362</v>
      </c>
      <c r="BA25" s="1778" t="s">
        <v>362</v>
      </c>
      <c r="BB25" s="1778" t="s">
        <v>362</v>
      </c>
      <c r="BC25" s="421"/>
      <c r="BD25" s="421"/>
      <c r="BE25" s="421"/>
      <c r="BF25" s="421"/>
      <c r="BG25" s="421"/>
      <c r="BH25" s="421"/>
      <c r="BI25" s="421"/>
      <c r="BJ25" s="421"/>
      <c r="BK25" s="421"/>
      <c r="BL25" s="421"/>
      <c r="BM25" s="421"/>
      <c r="BN25" s="421"/>
      <c r="BO25" s="421"/>
    </row>
    <row s="1780" customFormat="1" customHeight="1" ht="11.25" hidden="1">
      <c r="A26" s="1783"/>
      <c r="B26" s="1784"/>
      <c r="C26" s="1783"/>
      <c r="D26" s="1783"/>
      <c r="E26" s="1785">
        <v>0</v>
      </c>
      <c r="F26" s="2631"/>
      <c r="G26" s="1783"/>
      <c r="H26" s="1783"/>
      <c r="I26" s="1783"/>
      <c r="J26" s="1783"/>
      <c r="K26" s="1783"/>
      <c r="L26" s="1783"/>
      <c r="M26" s="1783"/>
      <c r="N26" s="1783"/>
      <c r="O26" s="1783"/>
      <c r="P26" s="1783"/>
      <c r="Q26" s="1783"/>
      <c r="R26" s="1783"/>
      <c r="S26" s="1783"/>
      <c r="T26" s="1783"/>
      <c r="U26" s="1783"/>
      <c r="V26" s="1783"/>
      <c r="W26" s="1783"/>
      <c r="X26" s="1783"/>
      <c r="Y26" s="1783"/>
      <c r="Z26" s="1783"/>
      <c r="AA26" s="2632"/>
      <c r="AB26" s="1786"/>
      <c r="AC26" s="1787"/>
      <c r="AD26" s="1768"/>
      <c r="AE26" s="1788"/>
      <c r="AF26" s="1788"/>
      <c r="AG26" s="1789"/>
      <c r="AH26" s="1788"/>
      <c r="AI26" s="1788"/>
      <c r="AJ26" s="1788"/>
      <c r="AK26" s="1788"/>
      <c r="AL26" s="1788"/>
      <c r="AM26" s="1788"/>
      <c r="AN26" s="1788"/>
      <c r="AO26" s="1788"/>
      <c r="AP26" s="1788"/>
      <c r="AQ26" s="1788"/>
      <c r="AR26" s="1788"/>
      <c r="AS26" s="1788"/>
      <c r="AT26" s="1788"/>
      <c r="AU26" s="1788"/>
      <c r="AV26" s="1788"/>
      <c r="AW26" s="1788"/>
      <c r="AX26" s="1788"/>
      <c r="AY26" s="1788"/>
      <c r="AZ26" s="1788"/>
      <c r="BA26" s="1788"/>
      <c r="BB26" s="1788"/>
      <c r="BC26" s="421"/>
      <c r="BD26" s="1173"/>
      <c r="BE26" s="379"/>
      <c r="BF26" s="379"/>
      <c r="BG26" s="379"/>
      <c r="BH26" s="379"/>
      <c r="BI26" s="379"/>
      <c r="BJ26" s="421"/>
      <c r="BK26" s="421"/>
      <c r="BL26" s="421"/>
      <c r="BM26" s="421"/>
      <c r="BN26" s="421"/>
      <c r="BO26" s="421"/>
    </row>
    <row s="1667" customFormat="1" customHeight="1" ht="14.625" hidden="1">
      <c r="A27" s="1676"/>
      <c r="B27" s="1790"/>
      <c r="C27" s="1676"/>
      <c r="D27" s="1676"/>
      <c r="E27" s="1791">
        <v>15</v>
      </c>
      <c r="F27" s="1747" cm="1" t="str">
        <f t="array" ref="F27:F27">Y27</f>
        <v>0</v>
      </c>
      <c r="G27" s="1676"/>
      <c r="H27" s="1676"/>
      <c r="I27" s="1676"/>
      <c r="J27" s="1676"/>
      <c r="K27" s="1676"/>
      <c r="L27" s="1676"/>
      <c r="M27" s="1676"/>
      <c r="N27" s="1676"/>
      <c r="O27" s="1676"/>
      <c r="P27" s="1676"/>
      <c r="Q27" s="1676"/>
      <c r="R27" s="1676"/>
      <c r="S27" s="1676"/>
      <c r="T27" s="1676"/>
      <c r="U27" s="1676"/>
      <c r="V27" s="1748">
        <f>Y27&gt;0</f>
        <v>0</v>
      </c>
      <c r="W27" s="1676"/>
      <c r="X27" s="1787" t="s">
        <v>265</v>
      </c>
      <c r="Y27" s="1792">
        <v>0</v>
      </c>
      <c r="Z27" s="1793"/>
      <c r="AA27" s="1676"/>
      <c r="AB27" s="1794" cm="1" t="str">
        <f t="array" ref="AB27:AB27">INDEX('Общие сведения'!$AG$179:$AG$250,MATCH($Y27,'Общие сведения'!$Z$179:$Z$250,0))</f>
        <v>Тариф 0 () - </v>
      </c>
      <c r="AC27" s="1795"/>
      <c r="AD27" s="1796"/>
      <c r="AE27" s="1796"/>
      <c r="AF27" s="1796"/>
      <c r="AG27" s="1797"/>
      <c r="AH27" s="1796"/>
      <c r="AI27" s="1796"/>
      <c r="AJ27" s="1796"/>
      <c r="AK27" s="1796"/>
      <c r="AL27" s="1796"/>
      <c r="AM27" s="1796"/>
      <c r="AN27" s="1796"/>
      <c r="AO27" s="1796"/>
      <c r="AP27" s="1796"/>
      <c r="AQ27" s="1796"/>
      <c r="AR27" s="1796"/>
      <c r="AS27" s="1796"/>
      <c r="AT27" s="1796"/>
      <c r="AU27" s="1796"/>
      <c r="AV27" s="1796"/>
      <c r="AW27" s="1796"/>
      <c r="AX27" s="1796"/>
      <c r="AY27" s="1796"/>
      <c r="AZ27" s="1796"/>
      <c r="BA27" s="1796"/>
      <c r="BB27" s="1796"/>
      <c r="BC27" s="421"/>
      <c r="BD27" s="1174"/>
      <c r="BE27" s="379"/>
      <c r="BF27" s="379"/>
      <c r="BG27" s="379"/>
      <c r="BH27" s="379"/>
      <c r="BI27" s="379"/>
      <c r="BJ27" s="421"/>
      <c r="BK27" s="421"/>
      <c r="BL27" s="421"/>
      <c r="BM27" s="421"/>
      <c r="BN27" s="421"/>
      <c r="BO27" s="421"/>
    </row>
    <row customHeight="1" ht="21.9375" hidden="1">
      <c r="A28" s="1676"/>
      <c r="B28" s="1675"/>
      <c r="C28" s="1676"/>
      <c r="D28" s="1676"/>
      <c r="E28" s="1753">
        <v>22.5</v>
      </c>
      <c r="F28" s="1677" cm="1" t="str">
        <f t="array" ref="F28:F28">OFFSET(E28,-1,1)</f>
        <v>0</v>
      </c>
      <c r="G28" s="1676"/>
      <c r="H28" s="1676"/>
      <c r="I28" s="1676"/>
      <c r="J28" s="1676"/>
      <c r="K28" s="1676"/>
      <c r="L28" s="1676"/>
      <c r="M28" s="1676"/>
      <c r="N28" s="1676"/>
      <c r="O28" s="1676"/>
      <c r="P28" s="1676"/>
      <c r="Q28" s="1676"/>
      <c r="R28" s="1676"/>
      <c r="S28" s="1676"/>
      <c r="T28" s="1676"/>
      <c r="U28" s="1676"/>
      <c r="V28" s="1748" cm="1" t="str">
        <f t="array" ref="V28:V28">V27</f>
        <v>false</v>
      </c>
      <c r="W28" s="1676"/>
      <c r="X28" s="1676"/>
      <c r="Y28" s="1792"/>
      <c r="Z28" s="1793"/>
      <c r="AA28" s="1676"/>
      <c r="AB28" s="1798">
        <v>1</v>
      </c>
      <c r="AC28" s="1799" t="s">
        <v>1187</v>
      </c>
      <c r="AD28" s="1800"/>
      <c r="AE28" s="2662"/>
      <c r="AF28" s="2662"/>
      <c r="AG28" s="2663"/>
      <c r="AH28" s="2662"/>
      <c r="AI28" s="2662"/>
      <c r="AJ28" s="2662"/>
      <c r="AK28" s="2662"/>
      <c r="AL28" s="2662"/>
      <c r="AM28" s="2662"/>
      <c r="AN28" s="2662"/>
      <c r="AO28" s="2662"/>
      <c r="AP28" s="2662"/>
      <c r="AQ28" s="2662"/>
      <c r="AR28" s="2662"/>
      <c r="AS28" s="2662"/>
      <c r="AT28" s="2662"/>
      <c r="AU28" s="2662"/>
      <c r="AV28" s="2662"/>
      <c r="AW28" s="2662"/>
      <c r="AX28" s="2662"/>
      <c r="AY28" s="2662"/>
      <c r="AZ28" s="2662"/>
      <c r="BA28" s="2662"/>
      <c r="BB28" s="2662"/>
      <c r="BC28" s="421"/>
      <c r="BD28" s="1169" t="s">
        <v>1235</v>
      </c>
      <c r="BE28" s="421"/>
      <c r="BF28" s="421"/>
      <c r="BG28" s="421"/>
      <c r="BH28" s="421"/>
      <c r="BI28" s="421"/>
      <c r="BJ28" s="421"/>
      <c r="BK28" s="421"/>
      <c r="BL28" s="421"/>
      <c r="BM28" s="421"/>
      <c r="BN28" s="421"/>
      <c r="BO28" s="421"/>
    </row>
    <row customHeight="1" ht="23.400000000000002" hidden="1">
      <c r="A29" s="1676"/>
      <c r="B29" s="1676"/>
      <c r="C29" s="1676"/>
      <c r="D29" s="1676"/>
      <c r="E29" s="1753">
        <v>24</v>
      </c>
      <c r="F29" s="1677" cm="1" t="str">
        <f t="array" ref="F29:F29">OFFSET(E29,-1,1)</f>
        <v>0</v>
      </c>
      <c r="G29" s="1676"/>
      <c r="H29" s="1676"/>
      <c r="I29" s="1676"/>
      <c r="J29" s="1676"/>
      <c r="K29" s="1676"/>
      <c r="L29" s="1676"/>
      <c r="M29" s="1676"/>
      <c r="N29" s="1676"/>
      <c r="O29" s="1676"/>
      <c r="P29" s="1676"/>
      <c r="Q29" s="1676"/>
      <c r="R29" s="1676"/>
      <c r="S29" s="1676"/>
      <c r="T29" s="1676"/>
      <c r="U29" s="1676"/>
      <c r="V29" s="1748" cm="1" t="str">
        <f t="array" ref="V29:V29">V28</f>
        <v>false</v>
      </c>
      <c r="W29" s="1676"/>
      <c r="X29" s="1676"/>
      <c r="Y29" s="1792"/>
      <c r="Z29" s="1793"/>
      <c r="AA29" s="1676"/>
      <c r="AB29" s="1798">
        <v>2</v>
      </c>
      <c r="AC29" s="1799" t="s">
        <v>1236</v>
      </c>
      <c r="AD29" s="1800" t="s">
        <v>1170</v>
      </c>
      <c r="AE29" s="2662"/>
      <c r="AF29" s="2662"/>
      <c r="AG29" s="2663"/>
      <c r="AH29" s="2662"/>
      <c r="AI29" s="2662"/>
      <c r="AJ29" s="2662"/>
      <c r="AK29" s="2662"/>
      <c r="AL29" s="2662"/>
      <c r="AM29" s="2662"/>
      <c r="AN29" s="2662"/>
      <c r="AO29" s="2662"/>
      <c r="AP29" s="2662"/>
      <c r="AQ29" s="2662"/>
      <c r="AR29" s="2662"/>
      <c r="AS29" s="2662"/>
      <c r="AT29" s="2662"/>
      <c r="AU29" s="2662"/>
      <c r="AV29" s="2662"/>
      <c r="AW29" s="2662"/>
      <c r="AX29" s="2662"/>
      <c r="AY29" s="2662"/>
      <c r="AZ29" s="2662"/>
      <c r="BA29" s="2662"/>
      <c r="BB29" s="2662"/>
      <c r="BC29" s="421"/>
      <c r="BD29" s="1169" t="s">
        <v>1237</v>
      </c>
      <c r="BE29" s="421"/>
      <c r="BF29" s="421"/>
      <c r="BG29" s="421"/>
      <c r="BH29" s="421"/>
      <c r="BI29" s="421"/>
      <c r="BJ29" s="421"/>
      <c r="BK29" s="421"/>
      <c r="BL29" s="421"/>
      <c r="BM29" s="421"/>
      <c r="BN29" s="421"/>
      <c r="BO29" s="421"/>
    </row>
    <row customHeight="1" ht="69.46875" hidden="1">
      <c r="A30" s="1676"/>
      <c r="B30" s="1676"/>
      <c r="C30" s="1676"/>
      <c r="D30" s="1676"/>
      <c r="E30" s="1753">
        <v>71.25</v>
      </c>
      <c r="F30" s="1677" cm="1" t="str">
        <f t="array" ref="F30:F30">OFFSET(E30,-1,1)</f>
        <v>0</v>
      </c>
      <c r="G30" s="1676"/>
      <c r="H30" s="1676"/>
      <c r="I30" s="1676"/>
      <c r="J30" s="1676"/>
      <c r="K30" s="1676"/>
      <c r="L30" s="1676"/>
      <c r="M30" s="1676"/>
      <c r="N30" s="1676"/>
      <c r="O30" s="1676"/>
      <c r="P30" s="1676"/>
      <c r="Q30" s="1676"/>
      <c r="R30" s="1676"/>
      <c r="S30" s="1676"/>
      <c r="T30" s="1676"/>
      <c r="U30" s="1676"/>
      <c r="V30" s="1748" cm="1" t="str">
        <f t="array" ref="V30:V30">V29</f>
        <v>false</v>
      </c>
      <c r="W30" s="1676"/>
      <c r="X30" s="1676"/>
      <c r="Y30" s="1792"/>
      <c r="Z30" s="1793"/>
      <c r="AA30" s="1676"/>
      <c r="AB30" s="1798">
        <v>3</v>
      </c>
      <c r="AC30" s="1803" t="s">
        <v>1238</v>
      </c>
      <c r="AD30" s="1800" t="s">
        <v>1170</v>
      </c>
      <c r="AE30" s="2662"/>
      <c r="AF30" s="2662"/>
      <c r="AG30" s="2663"/>
      <c r="AH30" s="2662"/>
      <c r="AI30" s="2662"/>
      <c r="AJ30" s="2662"/>
      <c r="AK30" s="2662"/>
      <c r="AL30" s="2662"/>
      <c r="AM30" s="2662"/>
      <c r="AN30" s="2662"/>
      <c r="AO30" s="2662"/>
      <c r="AP30" s="2662"/>
      <c r="AQ30" s="2662"/>
      <c r="AR30" s="2662"/>
      <c r="AS30" s="2662"/>
      <c r="AT30" s="2662"/>
      <c r="AU30" s="2662"/>
      <c r="AV30" s="2662"/>
      <c r="AW30" s="2662"/>
      <c r="AX30" s="2662"/>
      <c r="AY30" s="2662"/>
      <c r="AZ30" s="2662"/>
      <c r="BA30" s="2662"/>
      <c r="BB30" s="2662"/>
      <c r="BC30" s="421"/>
      <c r="BD30" s="1169" t="s">
        <v>1239</v>
      </c>
      <c r="BE30" s="421"/>
      <c r="BF30" s="421"/>
      <c r="BG30" s="421"/>
      <c r="BH30" s="421"/>
      <c r="BI30" s="421"/>
      <c r="BJ30" s="421"/>
      <c r="BK30" s="421"/>
      <c r="BL30" s="421"/>
      <c r="BM30" s="421"/>
      <c r="BN30" s="421"/>
      <c r="BO30" s="421"/>
    </row>
    <row customHeight="1" ht="24.131250000000005" hidden="1">
      <c r="A31" s="1676"/>
      <c r="B31" s="1675"/>
      <c r="C31" s="1676"/>
      <c r="D31" s="1676"/>
      <c r="E31" s="1753">
        <v>24.75</v>
      </c>
      <c r="F31" s="1677" cm="1" t="str">
        <f t="array" ref="F31:F31">OFFSET(E31,-1,1)</f>
        <v>0</v>
      </c>
      <c r="G31" s="1676"/>
      <c r="H31" s="1676"/>
      <c r="I31" s="1676"/>
      <c r="J31" s="1676"/>
      <c r="K31" s="1676"/>
      <c r="L31" s="1676"/>
      <c r="M31" s="1676"/>
      <c r="N31" s="1676"/>
      <c r="O31" s="1676"/>
      <c r="P31" s="1676"/>
      <c r="Q31" s="1676"/>
      <c r="R31" s="1676"/>
      <c r="S31" s="1676"/>
      <c r="T31" s="1676"/>
      <c r="U31" s="1676"/>
      <c r="V31" s="1748" cm="1" t="str">
        <f t="array" ref="V31:V31">V30</f>
        <v>false</v>
      </c>
      <c r="W31" s="1676"/>
      <c r="X31" s="1676"/>
      <c r="Y31" s="1792"/>
      <c r="Z31" s="1793"/>
      <c r="AA31" s="1676"/>
      <c r="AB31" s="1798">
        <v>4</v>
      </c>
      <c r="AC31" s="1799" t="s">
        <v>1176</v>
      </c>
      <c r="AD31" s="1800"/>
      <c r="AE31" s="2662"/>
      <c r="AF31" s="2662"/>
      <c r="AG31" s="2663"/>
      <c r="AH31" s="2662"/>
      <c r="AI31" s="2662"/>
      <c r="AJ31" s="2662"/>
      <c r="AK31" s="2662"/>
      <c r="AL31" s="2662"/>
      <c r="AM31" s="2662"/>
      <c r="AN31" s="2662"/>
      <c r="AO31" s="2662"/>
      <c r="AP31" s="2662"/>
      <c r="AQ31" s="2662"/>
      <c r="AR31" s="2662"/>
      <c r="AS31" s="2662"/>
      <c r="AT31" s="2662"/>
      <c r="AU31" s="2662"/>
      <c r="AV31" s="2662"/>
      <c r="AW31" s="2662"/>
      <c r="AX31" s="2662"/>
      <c r="AY31" s="2662"/>
      <c r="AZ31" s="2662"/>
      <c r="BA31" s="2662"/>
      <c r="BB31" s="2662"/>
      <c r="BC31" s="421"/>
      <c r="BD31" s="1169" t="s">
        <v>1240</v>
      </c>
      <c r="BE31" s="421"/>
      <c r="BF31" s="421"/>
      <c r="BG31" s="421"/>
      <c r="BH31" s="421"/>
      <c r="BI31" s="421"/>
      <c r="BJ31" s="421"/>
      <c r="BK31" s="421"/>
      <c r="BL31" s="421"/>
      <c r="BM31" s="421"/>
      <c r="BN31" s="421"/>
      <c r="BO31" s="421"/>
    </row>
    <row s="2666" customFormat="1" customHeight="1" ht="14.25">
      <c r="A32" s="1676"/>
      <c r="B32" s="1790"/>
      <c r="C32" s="1676"/>
      <c r="D32" s="1676"/>
      <c r="E32" s="1791">
        <v>15</v>
      </c>
      <c r="F32" s="1747" cm="1" t="str">
        <f t="array" ref="F32:F32">Y32</f>
        <v>1</v>
      </c>
      <c r="G32" s="1676"/>
      <c r="H32" s="1676"/>
      <c r="I32" s="1676"/>
      <c r="J32" s="1676"/>
      <c r="K32" s="1676"/>
      <c r="L32" s="1676"/>
      <c r="M32" s="1676"/>
      <c r="N32" s="1676"/>
      <c r="O32" s="1676"/>
      <c r="P32" s="1676"/>
      <c r="Q32" s="1676"/>
      <c r="R32" s="1676"/>
      <c r="S32" s="1676"/>
      <c r="T32" s="1676"/>
      <c r="U32" s="1676"/>
      <c r="V32" s="1748">
        <f>Y32&gt;0</f>
        <v>1</v>
      </c>
      <c r="W32" s="1676"/>
      <c r="X32" s="1787" cm="1" t="str">
        <f t="array" ref="X32:X32">Сценарии!$AB$55</f>
        <v>Тариф 1 (Водоснабжение) - тариф на питьевую воду (Доп. признак не требуется)</v>
      </c>
      <c r="Y32" s="1792" t="s">
        <v>276</v>
      </c>
      <c r="Z32" s="1793"/>
      <c r="AA32" s="1676"/>
      <c r="AB32" s="1794" cm="1" t="str">
        <f t="array" ref="AB32:AB32">Сценарии!$AB$55</f>
        <v>Тариф 1 (Водоснабжение) - тариф на питьевую воду (Доп. признак не требуется)</v>
      </c>
      <c r="AC32" s="1795"/>
      <c r="AD32" s="1796"/>
      <c r="AE32" s="1796"/>
      <c r="AF32" s="1796"/>
      <c r="AG32" s="1797"/>
      <c r="AH32" s="1796"/>
      <c r="AI32" s="1796"/>
      <c r="AJ32" s="1796"/>
      <c r="AK32" s="1796"/>
      <c r="AL32" s="1796"/>
      <c r="AM32" s="1796"/>
      <c r="AN32" s="1796"/>
      <c r="AO32" s="1796"/>
      <c r="AP32" s="1796"/>
      <c r="AQ32" s="1796"/>
      <c r="AR32" s="1796"/>
      <c r="AS32" s="1796"/>
      <c r="AT32" s="1796"/>
      <c r="AU32" s="1796"/>
      <c r="AV32" s="1796"/>
      <c r="AW32" s="1796"/>
      <c r="AX32" s="1796"/>
      <c r="AY32" s="1796"/>
      <c r="AZ32" s="1796"/>
      <c r="BA32" s="1796"/>
      <c r="BB32" s="1796"/>
      <c r="BC32" s="421"/>
      <c r="BD32" s="1174"/>
      <c r="BE32" s="379"/>
      <c r="BF32" s="379"/>
      <c r="BG32" s="379"/>
      <c r="BH32" s="379"/>
      <c r="BI32" s="379"/>
      <c r="BJ32" s="421"/>
      <c r="BK32" s="421"/>
      <c r="BL32" s="421"/>
      <c r="BM32" s="421"/>
      <c r="BN32" s="421"/>
      <c r="BO32" s="421"/>
    </row>
    <row s="1834" customFormat="1" customHeight="1" ht="21.75">
      <c r="A33" s="1676"/>
      <c r="B33" s="1675"/>
      <c r="C33" s="1676"/>
      <c r="D33" s="1676"/>
      <c r="E33" s="1753">
        <v>22.5</v>
      </c>
      <c r="F33" s="1677" cm="1" t="str">
        <f t="array" ref="F33:F33">OFFSET(E33,-1,1)</f>
        <v>1</v>
      </c>
      <c r="G33" s="1676"/>
      <c r="H33" s="1676"/>
      <c r="I33" s="1676"/>
      <c r="J33" s="1676"/>
      <c r="K33" s="1676"/>
      <c r="L33" s="1676"/>
      <c r="M33" s="1676"/>
      <c r="N33" s="1676"/>
      <c r="O33" s="1676"/>
      <c r="P33" s="1676"/>
      <c r="Q33" s="1676"/>
      <c r="R33" s="1676"/>
      <c r="S33" s="1676"/>
      <c r="T33" s="1676"/>
      <c r="U33" s="1676"/>
      <c r="V33" s="1748" cm="1" t="str">
        <f t="array" ref="V33:V33">V32</f>
        <v>true</v>
      </c>
      <c r="W33" s="1676"/>
      <c r="X33" s="1676"/>
      <c r="Y33" s="1792"/>
      <c r="Z33" s="1793"/>
      <c r="AA33" s="1676"/>
      <c r="AB33" s="1798">
        <v>1</v>
      </c>
      <c r="AC33" s="1799" t="s">
        <v>1187</v>
      </c>
      <c r="AD33" s="1800"/>
      <c r="AE33" s="1801"/>
      <c r="AF33" s="1801"/>
      <c r="AG33" s="1802"/>
      <c r="AH33" s="1801"/>
      <c r="AI33" s="1801"/>
      <c r="AJ33" s="1801"/>
      <c r="AK33" s="1801"/>
      <c r="AL33" s="1801"/>
      <c r="AM33" s="2662"/>
      <c r="AN33" s="2662"/>
      <c r="AO33" s="2662"/>
      <c r="AP33" s="2662"/>
      <c r="AQ33" s="2662"/>
      <c r="AR33" s="2662"/>
      <c r="AS33" s="1801"/>
      <c r="AT33" s="1801"/>
      <c r="AU33" s="1801"/>
      <c r="AV33" s="1801"/>
      <c r="AW33" s="2662"/>
      <c r="AX33" s="2662"/>
      <c r="AY33" s="2662"/>
      <c r="AZ33" s="2662"/>
      <c r="BA33" s="2662"/>
      <c r="BB33" s="2662"/>
      <c r="BC33" s="421"/>
      <c r="BD33" s="1169" t="s">
        <v>1235</v>
      </c>
      <c r="BE33" s="421"/>
      <c r="BF33" s="421"/>
      <c r="BG33" s="421"/>
      <c r="BH33" s="421"/>
      <c r="BI33" s="421"/>
      <c r="BJ33" s="421"/>
      <c r="BK33" s="421"/>
      <c r="BL33" s="421"/>
      <c r="BM33" s="421"/>
      <c r="BN33" s="421"/>
      <c r="BO33" s="421"/>
    </row>
    <row s="1834" customFormat="1" customHeight="1" ht="23.25">
      <c r="A34" s="1676"/>
      <c r="B34" s="1676"/>
      <c r="C34" s="1676"/>
      <c r="D34" s="1676"/>
      <c r="E34" s="1753">
        <v>24</v>
      </c>
      <c r="F34" s="1677" cm="1" t="str">
        <f t="array" ref="F34:F34">OFFSET(E34,-1,1)</f>
        <v>1</v>
      </c>
      <c r="G34" s="1676"/>
      <c r="H34" s="1676"/>
      <c r="I34" s="1676"/>
      <c r="J34" s="1676"/>
      <c r="K34" s="1676"/>
      <c r="L34" s="1676"/>
      <c r="M34" s="1676"/>
      <c r="N34" s="1676"/>
      <c r="O34" s="1676"/>
      <c r="P34" s="1676"/>
      <c r="Q34" s="1676"/>
      <c r="R34" s="1676"/>
      <c r="S34" s="1676"/>
      <c r="T34" s="1676"/>
      <c r="U34" s="1676"/>
      <c r="V34" s="1748" cm="1" t="str">
        <f t="array" ref="V34:V34">V33</f>
        <v>true</v>
      </c>
      <c r="W34" s="1676"/>
      <c r="X34" s="1676"/>
      <c r="Y34" s="1792"/>
      <c r="Z34" s="1793"/>
      <c r="AA34" s="1676"/>
      <c r="AB34" s="1798">
        <v>2</v>
      </c>
      <c r="AC34" s="1799" t="s">
        <v>1236</v>
      </c>
      <c r="AD34" s="1800" t="s">
        <v>1170</v>
      </c>
      <c r="AE34" s="1801"/>
      <c r="AF34" s="1801"/>
      <c r="AG34" s="1802"/>
      <c r="AH34" s="1801"/>
      <c r="AI34" s="1801"/>
      <c r="AJ34" s="1801"/>
      <c r="AK34" s="1801"/>
      <c r="AL34" s="1801"/>
      <c r="AM34" s="2662"/>
      <c r="AN34" s="2662"/>
      <c r="AO34" s="2662"/>
      <c r="AP34" s="2662"/>
      <c r="AQ34" s="2662"/>
      <c r="AR34" s="2662"/>
      <c r="AS34" s="1801"/>
      <c r="AT34" s="1801"/>
      <c r="AU34" s="1801"/>
      <c r="AV34" s="1801"/>
      <c r="AW34" s="2662"/>
      <c r="AX34" s="2662"/>
      <c r="AY34" s="2662"/>
      <c r="AZ34" s="2662"/>
      <c r="BA34" s="2662"/>
      <c r="BB34" s="2662"/>
      <c r="BC34" s="421"/>
      <c r="BD34" s="1169" t="s">
        <v>1237</v>
      </c>
      <c r="BE34" s="421"/>
      <c r="BF34" s="421"/>
      <c r="BG34" s="421"/>
      <c r="BH34" s="421"/>
      <c r="BI34" s="421"/>
      <c r="BJ34" s="421"/>
      <c r="BK34" s="421"/>
      <c r="BL34" s="421"/>
      <c r="BM34" s="421"/>
      <c r="BN34" s="421"/>
      <c r="BO34" s="421"/>
    </row>
    <row s="1834" customFormat="1" customHeight="1" ht="69">
      <c r="A35" s="1676"/>
      <c r="B35" s="1676"/>
      <c r="C35" s="1676"/>
      <c r="D35" s="1676"/>
      <c r="E35" s="1753">
        <v>71.25</v>
      </c>
      <c r="F35" s="1677" cm="1" t="str">
        <f t="array" ref="F35:F35">OFFSET(E35,-1,1)</f>
        <v>1</v>
      </c>
      <c r="G35" s="1676"/>
      <c r="H35" s="1676"/>
      <c r="I35" s="1676"/>
      <c r="J35" s="1676"/>
      <c r="K35" s="1676"/>
      <c r="L35" s="1676"/>
      <c r="M35" s="1676"/>
      <c r="N35" s="1676"/>
      <c r="O35" s="1676"/>
      <c r="P35" s="1676"/>
      <c r="Q35" s="1676"/>
      <c r="R35" s="1676"/>
      <c r="S35" s="1676"/>
      <c r="T35" s="1676"/>
      <c r="U35" s="1676"/>
      <c r="V35" s="1748" cm="1" t="str">
        <f t="array" ref="V35:V35">V34</f>
        <v>true</v>
      </c>
      <c r="W35" s="1676"/>
      <c r="X35" s="1676"/>
      <c r="Y35" s="1792"/>
      <c r="Z35" s="1793"/>
      <c r="AA35" s="1676"/>
      <c r="AB35" s="1798">
        <v>3</v>
      </c>
      <c r="AC35" s="1803" t="s">
        <v>1238</v>
      </c>
      <c r="AD35" s="1800" t="s">
        <v>1170</v>
      </c>
      <c r="AE35" s="1801"/>
      <c r="AF35" s="1801"/>
      <c r="AG35" s="1802"/>
      <c r="AH35" s="1801"/>
      <c r="AI35" s="1801"/>
      <c r="AJ35" s="1801"/>
      <c r="AK35" s="1801"/>
      <c r="AL35" s="1801"/>
      <c r="AM35" s="2662"/>
      <c r="AN35" s="2662"/>
      <c r="AO35" s="2662"/>
      <c r="AP35" s="2662"/>
      <c r="AQ35" s="2662"/>
      <c r="AR35" s="2662"/>
      <c r="AS35" s="1801"/>
      <c r="AT35" s="1801"/>
      <c r="AU35" s="1801"/>
      <c r="AV35" s="1801"/>
      <c r="AW35" s="2662"/>
      <c r="AX35" s="2662"/>
      <c r="AY35" s="2662"/>
      <c r="AZ35" s="2662"/>
      <c r="BA35" s="2662"/>
      <c r="BB35" s="2662"/>
      <c r="BC35" s="421"/>
      <c r="BD35" s="1169" t="s">
        <v>1239</v>
      </c>
      <c r="BE35" s="421"/>
      <c r="BF35" s="421"/>
      <c r="BG35" s="421"/>
      <c r="BH35" s="421"/>
      <c r="BI35" s="421"/>
      <c r="BJ35" s="421"/>
      <c r="BK35" s="421"/>
      <c r="BL35" s="421"/>
      <c r="BM35" s="421"/>
      <c r="BN35" s="421"/>
      <c r="BO35" s="421"/>
    </row>
    <row s="1834" customFormat="1" customHeight="1" ht="24">
      <c r="A36" s="1676"/>
      <c r="B36" s="1675"/>
      <c r="C36" s="1676"/>
      <c r="D36" s="1676"/>
      <c r="E36" s="1753">
        <v>24.75</v>
      </c>
      <c r="F36" s="1677" cm="1" t="str">
        <f t="array" ref="F36:F36">OFFSET(E36,-1,1)</f>
        <v>1</v>
      </c>
      <c r="G36" s="1676"/>
      <c r="H36" s="1676"/>
      <c r="I36" s="1676"/>
      <c r="J36" s="1676"/>
      <c r="K36" s="1676"/>
      <c r="L36" s="1676"/>
      <c r="M36" s="1676"/>
      <c r="N36" s="1676"/>
      <c r="O36" s="1676"/>
      <c r="P36" s="1676"/>
      <c r="Q36" s="1676"/>
      <c r="R36" s="1676"/>
      <c r="S36" s="1676"/>
      <c r="T36" s="1676"/>
      <c r="U36" s="1676"/>
      <c r="V36" s="1748" cm="1" t="str">
        <f t="array" ref="V36:V36">V35</f>
        <v>true</v>
      </c>
      <c r="W36" s="1676"/>
      <c r="X36" s="1676"/>
      <c r="Y36" s="1792"/>
      <c r="Z36" s="1793"/>
      <c r="AA36" s="1676"/>
      <c r="AB36" s="1798">
        <v>4</v>
      </c>
      <c r="AC36" s="1799" t="s">
        <v>1176</v>
      </c>
      <c r="AD36" s="1800"/>
      <c r="AE36" s="1801"/>
      <c r="AF36" s="1801"/>
      <c r="AG36" s="1802"/>
      <c r="AH36" s="1801"/>
      <c r="AI36" s="1801"/>
      <c r="AJ36" s="1801"/>
      <c r="AK36" s="1801"/>
      <c r="AL36" s="1801"/>
      <c r="AM36" s="2662"/>
      <c r="AN36" s="2662"/>
      <c r="AO36" s="2662"/>
      <c r="AP36" s="2662"/>
      <c r="AQ36" s="2662"/>
      <c r="AR36" s="2662"/>
      <c r="AS36" s="1801"/>
      <c r="AT36" s="1801"/>
      <c r="AU36" s="1801"/>
      <c r="AV36" s="1801"/>
      <c r="AW36" s="2662"/>
      <c r="AX36" s="2662"/>
      <c r="AY36" s="2662"/>
      <c r="AZ36" s="2662"/>
      <c r="BA36" s="2662"/>
      <c r="BB36" s="2662"/>
      <c r="BC36" s="421"/>
      <c r="BD36" s="1169" t="s">
        <v>1240</v>
      </c>
      <c r="BE36" s="421"/>
      <c r="BF36" s="421"/>
      <c r="BG36" s="421"/>
      <c r="BH36" s="421"/>
      <c r="BI36" s="421"/>
      <c r="BJ36" s="421"/>
      <c r="BK36" s="421"/>
      <c r="BL36" s="421"/>
      <c r="BM36" s="421"/>
      <c r="BN36" s="421"/>
      <c r="BO36" s="421"/>
    </row>
    <row s="2669" customFormat="1" customHeight="1" ht="14.25">
      <c r="A37" s="1676"/>
      <c r="B37" s="1790"/>
      <c r="C37" s="1676"/>
      <c r="D37" s="1676"/>
      <c r="E37" s="1791">
        <v>15</v>
      </c>
      <c r="F37" s="1747" cm="1" t="str">
        <f t="array" ref="F37:F37">Y37</f>
        <v>2</v>
      </c>
      <c r="G37" s="1676"/>
      <c r="H37" s="1676"/>
      <c r="I37" s="1676"/>
      <c r="J37" s="1676"/>
      <c r="K37" s="1676"/>
      <c r="L37" s="1676"/>
      <c r="M37" s="1676"/>
      <c r="N37" s="1676"/>
      <c r="O37" s="1676"/>
      <c r="P37" s="1676"/>
      <c r="Q37" s="1676"/>
      <c r="R37" s="1676"/>
      <c r="S37" s="1676"/>
      <c r="T37" s="1676"/>
      <c r="U37" s="1676"/>
      <c r="V37" s="1748">
        <f>Y37&gt;0</f>
        <v>1</v>
      </c>
      <c r="W37" s="1676"/>
      <c r="X37" s="1787" cm="1" t="str">
        <f t="array" ref="X37:X37">Сценарии!$AB$82</f>
        <v>Тариф 2 (Водоснабжение) - тариф на питьевую воду (Доп. признак не требуется)</v>
      </c>
      <c r="Y37" s="1792" t="s">
        <v>285</v>
      </c>
      <c r="Z37" s="1793"/>
      <c r="AA37" s="1676"/>
      <c r="AB37" s="1794" cm="1" t="str">
        <f t="array" ref="AB37:AB37">Сценарии!$AB$82</f>
        <v>Тариф 2 (Водоснабжение) - тариф на питьевую воду (Доп. признак не требуется)</v>
      </c>
      <c r="AC37" s="1795"/>
      <c r="AD37" s="1796"/>
      <c r="AE37" s="1796"/>
      <c r="AF37" s="1796"/>
      <c r="AG37" s="1797"/>
      <c r="AH37" s="1796"/>
      <c r="AI37" s="1796"/>
      <c r="AJ37" s="1796"/>
      <c r="AK37" s="1796"/>
      <c r="AL37" s="1796"/>
      <c r="AM37" s="1796"/>
      <c r="AN37" s="1796"/>
      <c r="AO37" s="1796"/>
      <c r="AP37" s="1796"/>
      <c r="AQ37" s="1796"/>
      <c r="AR37" s="1796"/>
      <c r="AS37" s="1796"/>
      <c r="AT37" s="1796"/>
      <c r="AU37" s="1796"/>
      <c r="AV37" s="1796"/>
      <c r="AW37" s="1796"/>
      <c r="AX37" s="1796"/>
      <c r="AY37" s="1796"/>
      <c r="AZ37" s="1796"/>
      <c r="BA37" s="1796"/>
      <c r="BB37" s="1796"/>
      <c r="BC37" s="421"/>
      <c r="BD37" s="1174"/>
      <c r="BE37" s="379"/>
      <c r="BF37" s="379"/>
      <c r="BG37" s="379"/>
      <c r="BH37" s="379"/>
      <c r="BI37" s="379"/>
      <c r="BJ37" s="421"/>
      <c r="BK37" s="421"/>
      <c r="BL37" s="421"/>
      <c r="BM37" s="421"/>
      <c r="BN37" s="421"/>
      <c r="BO37" s="421"/>
    </row>
    <row s="1834" customFormat="1" customHeight="1" ht="21.75">
      <c r="A38" s="1676"/>
      <c r="B38" s="1675"/>
      <c r="C38" s="1676"/>
      <c r="D38" s="1676"/>
      <c r="E38" s="1753">
        <v>22.5</v>
      </c>
      <c r="F38" s="1677" cm="1" t="str">
        <f t="array" ref="F38:F38">OFFSET(E38,-1,1)</f>
        <v>2</v>
      </c>
      <c r="G38" s="1676"/>
      <c r="H38" s="1676"/>
      <c r="I38" s="1676"/>
      <c r="J38" s="1676"/>
      <c r="K38" s="1676"/>
      <c r="L38" s="1676"/>
      <c r="M38" s="1676"/>
      <c r="N38" s="1676"/>
      <c r="O38" s="1676"/>
      <c r="P38" s="1676"/>
      <c r="Q38" s="1676"/>
      <c r="R38" s="1676"/>
      <c r="S38" s="1676"/>
      <c r="T38" s="1676"/>
      <c r="U38" s="1676"/>
      <c r="V38" s="1748" cm="1" t="str">
        <f t="array" ref="V38:V38">V37</f>
        <v>true</v>
      </c>
      <c r="W38" s="1676"/>
      <c r="X38" s="1676"/>
      <c r="Y38" s="1792"/>
      <c r="Z38" s="1793"/>
      <c r="AA38" s="1676"/>
      <c r="AB38" s="1798">
        <v>1</v>
      </c>
      <c r="AC38" s="1799" t="s">
        <v>1187</v>
      </c>
      <c r="AD38" s="1800"/>
      <c r="AE38" s="1801"/>
      <c r="AF38" s="1801"/>
      <c r="AG38" s="1802"/>
      <c r="AH38" s="1801"/>
      <c r="AI38" s="1801"/>
      <c r="AJ38" s="1801"/>
      <c r="AK38" s="1801"/>
      <c r="AL38" s="1801"/>
      <c r="AM38" s="2662"/>
      <c r="AN38" s="2662"/>
      <c r="AO38" s="2662"/>
      <c r="AP38" s="2662"/>
      <c r="AQ38" s="2662"/>
      <c r="AR38" s="2662"/>
      <c r="AS38" s="1801"/>
      <c r="AT38" s="1801"/>
      <c r="AU38" s="1801"/>
      <c r="AV38" s="1801"/>
      <c r="AW38" s="2662"/>
      <c r="AX38" s="2662"/>
      <c r="AY38" s="2662"/>
      <c r="AZ38" s="2662"/>
      <c r="BA38" s="2662"/>
      <c r="BB38" s="2662"/>
      <c r="BC38" s="421"/>
      <c r="BD38" s="1169" t="s">
        <v>1235</v>
      </c>
      <c r="BE38" s="421"/>
      <c r="BF38" s="421"/>
      <c r="BG38" s="421"/>
      <c r="BH38" s="421"/>
      <c r="BI38" s="421"/>
      <c r="BJ38" s="421"/>
      <c r="BK38" s="421"/>
      <c r="BL38" s="421"/>
      <c r="BM38" s="421"/>
      <c r="BN38" s="421"/>
      <c r="BO38" s="421"/>
    </row>
    <row s="1834" customFormat="1" customHeight="1" ht="23.25">
      <c r="A39" s="1676"/>
      <c r="B39" s="1676"/>
      <c r="C39" s="1676"/>
      <c r="D39" s="1676"/>
      <c r="E39" s="1753">
        <v>24</v>
      </c>
      <c r="F39" s="1677" cm="1" t="str">
        <f t="array" ref="F39:F39">OFFSET(E39,-1,1)</f>
        <v>2</v>
      </c>
      <c r="G39" s="1676"/>
      <c r="H39" s="1676"/>
      <c r="I39" s="1676"/>
      <c r="J39" s="1676"/>
      <c r="K39" s="1676"/>
      <c r="L39" s="1676"/>
      <c r="M39" s="1676"/>
      <c r="N39" s="1676"/>
      <c r="O39" s="1676"/>
      <c r="P39" s="1676"/>
      <c r="Q39" s="1676"/>
      <c r="R39" s="1676"/>
      <c r="S39" s="1676"/>
      <c r="T39" s="1676"/>
      <c r="U39" s="1676"/>
      <c r="V39" s="1748" cm="1" t="str">
        <f t="array" ref="V39:V39">V38</f>
        <v>true</v>
      </c>
      <c r="W39" s="1676"/>
      <c r="X39" s="1676"/>
      <c r="Y39" s="1792"/>
      <c r="Z39" s="1793"/>
      <c r="AA39" s="1676"/>
      <c r="AB39" s="1798">
        <v>2</v>
      </c>
      <c r="AC39" s="1799" t="s">
        <v>1236</v>
      </c>
      <c r="AD39" s="1800" t="s">
        <v>1170</v>
      </c>
      <c r="AE39" s="1801"/>
      <c r="AF39" s="1801"/>
      <c r="AG39" s="1802"/>
      <c r="AH39" s="1801"/>
      <c r="AI39" s="1801"/>
      <c r="AJ39" s="1801"/>
      <c r="AK39" s="1801"/>
      <c r="AL39" s="1801"/>
      <c r="AM39" s="2662"/>
      <c r="AN39" s="2662"/>
      <c r="AO39" s="2662"/>
      <c r="AP39" s="2662"/>
      <c r="AQ39" s="2662"/>
      <c r="AR39" s="2662"/>
      <c r="AS39" s="1801"/>
      <c r="AT39" s="1801"/>
      <c r="AU39" s="1801"/>
      <c r="AV39" s="1801"/>
      <c r="AW39" s="2662"/>
      <c r="AX39" s="2662"/>
      <c r="AY39" s="2662"/>
      <c r="AZ39" s="2662"/>
      <c r="BA39" s="2662"/>
      <c r="BB39" s="2662"/>
      <c r="BC39" s="421"/>
      <c r="BD39" s="1169" t="s">
        <v>1237</v>
      </c>
      <c r="BE39" s="421"/>
      <c r="BF39" s="421"/>
      <c r="BG39" s="421"/>
      <c r="BH39" s="421"/>
      <c r="BI39" s="421"/>
      <c r="BJ39" s="421"/>
      <c r="BK39" s="421"/>
      <c r="BL39" s="421"/>
      <c r="BM39" s="421"/>
      <c r="BN39" s="421"/>
      <c r="BO39" s="421"/>
    </row>
    <row s="1834" customFormat="1" customHeight="1" ht="69">
      <c r="A40" s="1676"/>
      <c r="B40" s="1676"/>
      <c r="C40" s="1676"/>
      <c r="D40" s="1676"/>
      <c r="E40" s="1753">
        <v>71.25</v>
      </c>
      <c r="F40" s="1677" cm="1" t="str">
        <f t="array" ref="F40:F40">OFFSET(E40,-1,1)</f>
        <v>2</v>
      </c>
      <c r="G40" s="1676"/>
      <c r="H40" s="1676"/>
      <c r="I40" s="1676"/>
      <c r="J40" s="1676"/>
      <c r="K40" s="1676"/>
      <c r="L40" s="1676"/>
      <c r="M40" s="1676"/>
      <c r="N40" s="1676"/>
      <c r="O40" s="1676"/>
      <c r="P40" s="1676"/>
      <c r="Q40" s="1676"/>
      <c r="R40" s="1676"/>
      <c r="S40" s="1676"/>
      <c r="T40" s="1676"/>
      <c r="U40" s="1676"/>
      <c r="V40" s="1748" cm="1" t="str">
        <f t="array" ref="V40:V40">V39</f>
        <v>true</v>
      </c>
      <c r="W40" s="1676"/>
      <c r="X40" s="1676"/>
      <c r="Y40" s="1792"/>
      <c r="Z40" s="1793"/>
      <c r="AA40" s="1676"/>
      <c r="AB40" s="1798">
        <v>3</v>
      </c>
      <c r="AC40" s="1803" t="s">
        <v>1238</v>
      </c>
      <c r="AD40" s="1800" t="s">
        <v>1170</v>
      </c>
      <c r="AE40" s="1801"/>
      <c r="AF40" s="1801"/>
      <c r="AG40" s="1802"/>
      <c r="AH40" s="1801"/>
      <c r="AI40" s="1801"/>
      <c r="AJ40" s="1801"/>
      <c r="AK40" s="1801"/>
      <c r="AL40" s="1801"/>
      <c r="AM40" s="2662"/>
      <c r="AN40" s="2662"/>
      <c r="AO40" s="2662"/>
      <c r="AP40" s="2662"/>
      <c r="AQ40" s="2662"/>
      <c r="AR40" s="2662"/>
      <c r="AS40" s="1801"/>
      <c r="AT40" s="1801"/>
      <c r="AU40" s="1801"/>
      <c r="AV40" s="1801"/>
      <c r="AW40" s="2662"/>
      <c r="AX40" s="2662"/>
      <c r="AY40" s="2662"/>
      <c r="AZ40" s="2662"/>
      <c r="BA40" s="2662"/>
      <c r="BB40" s="2662"/>
      <c r="BC40" s="421"/>
      <c r="BD40" s="1169" t="s">
        <v>1239</v>
      </c>
      <c r="BE40" s="421"/>
      <c r="BF40" s="421"/>
      <c r="BG40" s="421"/>
      <c r="BH40" s="421"/>
      <c r="BI40" s="421"/>
      <c r="BJ40" s="421"/>
      <c r="BK40" s="421"/>
      <c r="BL40" s="421"/>
      <c r="BM40" s="421"/>
      <c r="BN40" s="421"/>
      <c r="BO40" s="421"/>
    </row>
    <row s="1834" customFormat="1" customHeight="1" ht="24">
      <c r="A41" s="1676"/>
      <c r="B41" s="1675"/>
      <c r="C41" s="1676"/>
      <c r="D41" s="1676"/>
      <c r="E41" s="1753">
        <v>24.75</v>
      </c>
      <c r="F41" s="1677" cm="1" t="str">
        <f t="array" ref="F41:F41">OFFSET(E41,-1,1)</f>
        <v>2</v>
      </c>
      <c r="G41" s="1676"/>
      <c r="H41" s="1676"/>
      <c r="I41" s="1676"/>
      <c r="J41" s="1676"/>
      <c r="K41" s="1676"/>
      <c r="L41" s="1676"/>
      <c r="M41" s="1676"/>
      <c r="N41" s="1676"/>
      <c r="O41" s="1676"/>
      <c r="P41" s="1676"/>
      <c r="Q41" s="1676"/>
      <c r="R41" s="1676"/>
      <c r="S41" s="1676"/>
      <c r="T41" s="1676"/>
      <c r="U41" s="1676"/>
      <c r="V41" s="1748" cm="1" t="str">
        <f t="array" ref="V41:V41">V40</f>
        <v>true</v>
      </c>
      <c r="W41" s="1676"/>
      <c r="X41" s="1676"/>
      <c r="Y41" s="1792"/>
      <c r="Z41" s="1793"/>
      <c r="AA41" s="1676"/>
      <c r="AB41" s="1798">
        <v>4</v>
      </c>
      <c r="AC41" s="1799" t="s">
        <v>1176</v>
      </c>
      <c r="AD41" s="1800"/>
      <c r="AE41" s="1801"/>
      <c r="AF41" s="1801"/>
      <c r="AG41" s="1802"/>
      <c r="AH41" s="1801"/>
      <c r="AI41" s="1801"/>
      <c r="AJ41" s="1801"/>
      <c r="AK41" s="1801"/>
      <c r="AL41" s="1801"/>
      <c r="AM41" s="2662"/>
      <c r="AN41" s="2662"/>
      <c r="AO41" s="2662"/>
      <c r="AP41" s="2662"/>
      <c r="AQ41" s="2662"/>
      <c r="AR41" s="2662"/>
      <c r="AS41" s="1801"/>
      <c r="AT41" s="1801"/>
      <c r="AU41" s="1801"/>
      <c r="AV41" s="1801"/>
      <c r="AW41" s="2662"/>
      <c r="AX41" s="2662"/>
      <c r="AY41" s="2662"/>
      <c r="AZ41" s="2662"/>
      <c r="BA41" s="2662"/>
      <c r="BB41" s="2662"/>
      <c r="BC41" s="421"/>
      <c r="BD41" s="1169" t="s">
        <v>1240</v>
      </c>
      <c r="BE41" s="421"/>
      <c r="BF41" s="421"/>
      <c r="BG41" s="421"/>
      <c r="BH41" s="421"/>
      <c r="BI41" s="421"/>
      <c r="BJ41" s="421"/>
      <c r="BK41" s="421"/>
      <c r="BL41" s="421"/>
      <c r="BM41" s="421"/>
      <c r="BN41" s="421"/>
      <c r="BO41" s="421"/>
    </row>
    <row s="2670" customFormat="1" customHeight="1" ht="14.25">
      <c r="A42" s="1676"/>
      <c r="B42" s="1790"/>
      <c r="C42" s="1676"/>
      <c r="D42" s="1676"/>
      <c r="E42" s="1791">
        <v>15</v>
      </c>
      <c r="F42" s="1747" cm="1" t="str">
        <f t="array" ref="F42:F42">Y42</f>
        <v>3</v>
      </c>
      <c r="G42" s="1676"/>
      <c r="H42" s="1676"/>
      <c r="I42" s="1676"/>
      <c r="J42" s="1676"/>
      <c r="K42" s="1676"/>
      <c r="L42" s="1676"/>
      <c r="M42" s="1676"/>
      <c r="N42" s="1676"/>
      <c r="O42" s="1676"/>
      <c r="P42" s="1676"/>
      <c r="Q42" s="1676"/>
      <c r="R42" s="1676"/>
      <c r="S42" s="1676"/>
      <c r="T42" s="1676"/>
      <c r="U42" s="1676"/>
      <c r="V42" s="1748">
        <f>Y42&gt;0</f>
        <v>1</v>
      </c>
      <c r="W42" s="1676"/>
      <c r="X42" s="1787" cm="1" t="str">
        <f t="array" ref="X42:X42">Сценарии!$AB$109</f>
        <v>Тариф 3 (Водоотведение) - тариф на водоотведение (Доп. признак не требуется)</v>
      </c>
      <c r="Y42" s="1792" t="s">
        <v>289</v>
      </c>
      <c r="Z42" s="1793"/>
      <c r="AA42" s="1676"/>
      <c r="AB42" s="1794" cm="1" t="str">
        <f t="array" ref="AB42:AB42">Сценарии!$AB$109</f>
        <v>Тариф 3 (Водоотведение) - тариф на водоотведение (Доп. признак не требуется)</v>
      </c>
      <c r="AC42" s="1795"/>
      <c r="AD42" s="1796"/>
      <c r="AE42" s="1796"/>
      <c r="AF42" s="1796"/>
      <c r="AG42" s="1797"/>
      <c r="AH42" s="1796"/>
      <c r="AI42" s="1796"/>
      <c r="AJ42" s="1796"/>
      <c r="AK42" s="1796"/>
      <c r="AL42" s="1796"/>
      <c r="AM42" s="1796"/>
      <c r="AN42" s="1796"/>
      <c r="AO42" s="1796"/>
      <c r="AP42" s="1796"/>
      <c r="AQ42" s="1796"/>
      <c r="AR42" s="1796"/>
      <c r="AS42" s="1796"/>
      <c r="AT42" s="1796"/>
      <c r="AU42" s="1796"/>
      <c r="AV42" s="1796"/>
      <c r="AW42" s="1796"/>
      <c r="AX42" s="1796"/>
      <c r="AY42" s="1796"/>
      <c r="AZ42" s="1796"/>
      <c r="BA42" s="1796"/>
      <c r="BB42" s="1796"/>
      <c r="BC42" s="421"/>
      <c r="BD42" s="1174"/>
      <c r="BE42" s="379"/>
      <c r="BF42" s="379"/>
      <c r="BG42" s="379"/>
      <c r="BH42" s="379"/>
      <c r="BI42" s="379"/>
      <c r="BJ42" s="421"/>
      <c r="BK42" s="421"/>
      <c r="BL42" s="421"/>
      <c r="BM42" s="421"/>
      <c r="BN42" s="421"/>
      <c r="BO42" s="421"/>
    </row>
    <row s="1834" customFormat="1" customHeight="1" ht="21.75">
      <c r="A43" s="1676"/>
      <c r="B43" s="1675"/>
      <c r="C43" s="1676"/>
      <c r="D43" s="1676"/>
      <c r="E43" s="1753">
        <v>22.5</v>
      </c>
      <c r="F43" s="1677" cm="1" t="str">
        <f t="array" ref="F43:F43">OFFSET(E43,-1,1)</f>
        <v>3</v>
      </c>
      <c r="G43" s="1676"/>
      <c r="H43" s="1676"/>
      <c r="I43" s="1676"/>
      <c r="J43" s="1676"/>
      <c r="K43" s="1676"/>
      <c r="L43" s="1676"/>
      <c r="M43" s="1676"/>
      <c r="N43" s="1676"/>
      <c r="O43" s="1676"/>
      <c r="P43" s="1676"/>
      <c r="Q43" s="1676"/>
      <c r="R43" s="1676"/>
      <c r="S43" s="1676"/>
      <c r="T43" s="1676"/>
      <c r="U43" s="1676"/>
      <c r="V43" s="1748" cm="1" t="str">
        <f t="array" ref="V43:V43">V42</f>
        <v>true</v>
      </c>
      <c r="W43" s="1676"/>
      <c r="X43" s="1676"/>
      <c r="Y43" s="1792"/>
      <c r="Z43" s="1793"/>
      <c r="AA43" s="1676"/>
      <c r="AB43" s="1798">
        <v>1</v>
      </c>
      <c r="AC43" s="1799" t="s">
        <v>1187</v>
      </c>
      <c r="AD43" s="1800"/>
      <c r="AE43" s="1801"/>
      <c r="AF43" s="1801"/>
      <c r="AG43" s="1802"/>
      <c r="AH43" s="1801"/>
      <c r="AI43" s="1801"/>
      <c r="AJ43" s="1801"/>
      <c r="AK43" s="1801"/>
      <c r="AL43" s="1801"/>
      <c r="AM43" s="2662"/>
      <c r="AN43" s="2662"/>
      <c r="AO43" s="2662"/>
      <c r="AP43" s="2662"/>
      <c r="AQ43" s="2662"/>
      <c r="AR43" s="2662"/>
      <c r="AS43" s="1801"/>
      <c r="AT43" s="1801"/>
      <c r="AU43" s="1801"/>
      <c r="AV43" s="1801"/>
      <c r="AW43" s="2662"/>
      <c r="AX43" s="2662"/>
      <c r="AY43" s="2662"/>
      <c r="AZ43" s="2662"/>
      <c r="BA43" s="2662"/>
      <c r="BB43" s="2662"/>
      <c r="BC43" s="421"/>
      <c r="BD43" s="1169" t="s">
        <v>1235</v>
      </c>
      <c r="BE43" s="421"/>
      <c r="BF43" s="421"/>
      <c r="BG43" s="421"/>
      <c r="BH43" s="421"/>
      <c r="BI43" s="421"/>
      <c r="BJ43" s="421"/>
      <c r="BK43" s="421"/>
      <c r="BL43" s="421"/>
      <c r="BM43" s="421"/>
      <c r="BN43" s="421"/>
      <c r="BO43" s="421"/>
    </row>
    <row s="1834" customFormat="1" customHeight="1" ht="23.25">
      <c r="A44" s="1676"/>
      <c r="B44" s="1676"/>
      <c r="C44" s="1676"/>
      <c r="D44" s="1676"/>
      <c r="E44" s="1753">
        <v>24</v>
      </c>
      <c r="F44" s="1677" cm="1" t="str">
        <f t="array" ref="F44:F44">OFFSET(E44,-1,1)</f>
        <v>3</v>
      </c>
      <c r="G44" s="1676"/>
      <c r="H44" s="1676"/>
      <c r="I44" s="1676"/>
      <c r="J44" s="1676"/>
      <c r="K44" s="1676"/>
      <c r="L44" s="1676"/>
      <c r="M44" s="1676"/>
      <c r="N44" s="1676"/>
      <c r="O44" s="1676"/>
      <c r="P44" s="1676"/>
      <c r="Q44" s="1676"/>
      <c r="R44" s="1676"/>
      <c r="S44" s="1676"/>
      <c r="T44" s="1676"/>
      <c r="U44" s="1676"/>
      <c r="V44" s="1748" cm="1" t="str">
        <f t="array" ref="V44:V44">V43</f>
        <v>true</v>
      </c>
      <c r="W44" s="1676"/>
      <c r="X44" s="1676"/>
      <c r="Y44" s="1792"/>
      <c r="Z44" s="1793"/>
      <c r="AA44" s="1676"/>
      <c r="AB44" s="1798">
        <v>2</v>
      </c>
      <c r="AC44" s="1799" t="s">
        <v>1236</v>
      </c>
      <c r="AD44" s="1800" t="s">
        <v>1170</v>
      </c>
      <c r="AE44" s="1801"/>
      <c r="AF44" s="1801"/>
      <c r="AG44" s="1802"/>
      <c r="AH44" s="1801"/>
      <c r="AI44" s="1801"/>
      <c r="AJ44" s="1801"/>
      <c r="AK44" s="1801"/>
      <c r="AL44" s="1801"/>
      <c r="AM44" s="2662"/>
      <c r="AN44" s="2662"/>
      <c r="AO44" s="2662"/>
      <c r="AP44" s="2662"/>
      <c r="AQ44" s="2662"/>
      <c r="AR44" s="2662"/>
      <c r="AS44" s="1801"/>
      <c r="AT44" s="1801"/>
      <c r="AU44" s="1801"/>
      <c r="AV44" s="1801"/>
      <c r="AW44" s="2662"/>
      <c r="AX44" s="2662"/>
      <c r="AY44" s="2662"/>
      <c r="AZ44" s="2662"/>
      <c r="BA44" s="2662"/>
      <c r="BB44" s="2662"/>
      <c r="BC44" s="421"/>
      <c r="BD44" s="1169" t="s">
        <v>1237</v>
      </c>
      <c r="BE44" s="421"/>
      <c r="BF44" s="421"/>
      <c r="BG44" s="421"/>
      <c r="BH44" s="421"/>
      <c r="BI44" s="421"/>
      <c r="BJ44" s="421"/>
      <c r="BK44" s="421"/>
      <c r="BL44" s="421"/>
      <c r="BM44" s="421"/>
      <c r="BN44" s="421"/>
      <c r="BO44" s="421"/>
    </row>
    <row s="1834" customFormat="1" customHeight="1" ht="69">
      <c r="A45" s="1676"/>
      <c r="B45" s="1676"/>
      <c r="C45" s="1676"/>
      <c r="D45" s="1676"/>
      <c r="E45" s="1753">
        <v>71.25</v>
      </c>
      <c r="F45" s="1677" cm="1" t="str">
        <f t="array" ref="F45:F45">OFFSET(E45,-1,1)</f>
        <v>3</v>
      </c>
      <c r="G45" s="1676"/>
      <c r="H45" s="1676"/>
      <c r="I45" s="1676"/>
      <c r="J45" s="1676"/>
      <c r="K45" s="1676"/>
      <c r="L45" s="1676"/>
      <c r="M45" s="1676"/>
      <c r="N45" s="1676"/>
      <c r="O45" s="1676"/>
      <c r="P45" s="1676"/>
      <c r="Q45" s="1676"/>
      <c r="R45" s="1676"/>
      <c r="S45" s="1676"/>
      <c r="T45" s="1676"/>
      <c r="U45" s="1676"/>
      <c r="V45" s="1748" cm="1" t="str">
        <f t="array" ref="V45:V45">V44</f>
        <v>true</v>
      </c>
      <c r="W45" s="1676"/>
      <c r="X45" s="1676"/>
      <c r="Y45" s="1792"/>
      <c r="Z45" s="1793"/>
      <c r="AA45" s="1676"/>
      <c r="AB45" s="1798">
        <v>3</v>
      </c>
      <c r="AC45" s="1803" t="s">
        <v>1238</v>
      </c>
      <c r="AD45" s="1800" t="s">
        <v>1170</v>
      </c>
      <c r="AE45" s="1801"/>
      <c r="AF45" s="1801"/>
      <c r="AG45" s="1802"/>
      <c r="AH45" s="1801"/>
      <c r="AI45" s="1801"/>
      <c r="AJ45" s="1801"/>
      <c r="AK45" s="1801"/>
      <c r="AL45" s="1801"/>
      <c r="AM45" s="2662"/>
      <c r="AN45" s="2662"/>
      <c r="AO45" s="2662"/>
      <c r="AP45" s="2662"/>
      <c r="AQ45" s="2662"/>
      <c r="AR45" s="2662"/>
      <c r="AS45" s="1801"/>
      <c r="AT45" s="1801"/>
      <c r="AU45" s="1801"/>
      <c r="AV45" s="1801"/>
      <c r="AW45" s="2662"/>
      <c r="AX45" s="2662"/>
      <c r="AY45" s="2662"/>
      <c r="AZ45" s="2662"/>
      <c r="BA45" s="2662"/>
      <c r="BB45" s="2662"/>
      <c r="BC45" s="421"/>
      <c r="BD45" s="1169" t="s">
        <v>1239</v>
      </c>
      <c r="BE45" s="421"/>
      <c r="BF45" s="421"/>
      <c r="BG45" s="421"/>
      <c r="BH45" s="421"/>
      <c r="BI45" s="421"/>
      <c r="BJ45" s="421"/>
      <c r="BK45" s="421"/>
      <c r="BL45" s="421"/>
      <c r="BM45" s="421"/>
      <c r="BN45" s="421"/>
      <c r="BO45" s="421"/>
    </row>
    <row s="1834" customFormat="1" customHeight="1" ht="24">
      <c r="A46" s="1676"/>
      <c r="B46" s="1675"/>
      <c r="C46" s="1676"/>
      <c r="D46" s="1676"/>
      <c r="E46" s="1753">
        <v>24.75</v>
      </c>
      <c r="F46" s="1677" cm="1" t="str">
        <f t="array" ref="F46:F46">OFFSET(E46,-1,1)</f>
        <v>3</v>
      </c>
      <c r="G46" s="1676"/>
      <c r="H46" s="1676"/>
      <c r="I46" s="1676"/>
      <c r="J46" s="1676"/>
      <c r="K46" s="1676"/>
      <c r="L46" s="1676"/>
      <c r="M46" s="1676"/>
      <c r="N46" s="1676"/>
      <c r="O46" s="1676"/>
      <c r="P46" s="1676"/>
      <c r="Q46" s="1676"/>
      <c r="R46" s="1676"/>
      <c r="S46" s="1676"/>
      <c r="T46" s="1676"/>
      <c r="U46" s="1676"/>
      <c r="V46" s="1748" cm="1" t="str">
        <f t="array" ref="V46:V46">V45</f>
        <v>true</v>
      </c>
      <c r="W46" s="1676"/>
      <c r="X46" s="1676"/>
      <c r="Y46" s="1792"/>
      <c r="Z46" s="1793"/>
      <c r="AA46" s="1676"/>
      <c r="AB46" s="1798">
        <v>4</v>
      </c>
      <c r="AC46" s="1799" t="s">
        <v>1176</v>
      </c>
      <c r="AD46" s="1800"/>
      <c r="AE46" s="1801"/>
      <c r="AF46" s="1801"/>
      <c r="AG46" s="1802"/>
      <c r="AH46" s="1801"/>
      <c r="AI46" s="1801"/>
      <c r="AJ46" s="1801"/>
      <c r="AK46" s="1801"/>
      <c r="AL46" s="1801"/>
      <c r="AM46" s="2662"/>
      <c r="AN46" s="2662"/>
      <c r="AO46" s="2662"/>
      <c r="AP46" s="2662"/>
      <c r="AQ46" s="2662"/>
      <c r="AR46" s="2662"/>
      <c r="AS46" s="1801"/>
      <c r="AT46" s="1801"/>
      <c r="AU46" s="1801"/>
      <c r="AV46" s="1801"/>
      <c r="AW46" s="2662"/>
      <c r="AX46" s="2662"/>
      <c r="AY46" s="2662"/>
      <c r="AZ46" s="2662"/>
      <c r="BA46" s="2662"/>
      <c r="BB46" s="2662"/>
      <c r="BC46" s="421"/>
      <c r="BD46" s="1169" t="s">
        <v>1240</v>
      </c>
      <c r="BE46" s="421"/>
      <c r="BF46" s="421"/>
      <c r="BG46" s="421"/>
      <c r="BH46" s="421"/>
      <c r="BI46" s="421"/>
      <c r="BJ46" s="421"/>
      <c r="BK46" s="421"/>
      <c r="BL46" s="421"/>
      <c r="BM46" s="421"/>
      <c r="BN46" s="421"/>
      <c r="BO46" s="421"/>
    </row>
    <row s="2671" customFormat="1" customHeight="1" ht="14.25">
      <c r="A47" s="1676"/>
      <c r="B47" s="1790"/>
      <c r="C47" s="1676"/>
      <c r="D47" s="1676"/>
      <c r="E47" s="1791">
        <v>15</v>
      </c>
      <c r="F47" s="1747" cm="1" t="str">
        <f t="array" ref="F47:F47">Y47</f>
        <v>4</v>
      </c>
      <c r="G47" s="1676"/>
      <c r="H47" s="1676"/>
      <c r="I47" s="1676"/>
      <c r="J47" s="1676"/>
      <c r="K47" s="1676"/>
      <c r="L47" s="1676"/>
      <c r="M47" s="1676"/>
      <c r="N47" s="1676"/>
      <c r="O47" s="1676"/>
      <c r="P47" s="1676"/>
      <c r="Q47" s="1676"/>
      <c r="R47" s="1676"/>
      <c r="S47" s="1676"/>
      <c r="T47" s="1676"/>
      <c r="U47" s="1676"/>
      <c r="V47" s="1748">
        <f>Y47&gt;0</f>
        <v>1</v>
      </c>
      <c r="W47" s="1676"/>
      <c r="X47" s="1787" cm="1" t="str">
        <f t="array" ref="X47:X47">Сценарии!$AB$136</f>
        <v>Тариф 4 (Водоотведение) - тариф на водоотведение (Доп. признак не требуется)</v>
      </c>
      <c r="Y47" s="1792" t="s">
        <v>295</v>
      </c>
      <c r="Z47" s="1793"/>
      <c r="AA47" s="1676"/>
      <c r="AB47" s="1794" cm="1" t="str">
        <f t="array" ref="AB47:AB47">Сценарии!$AB$136</f>
        <v>Тариф 4 (Водоотведение) - тариф на водоотведение (Доп. признак не требуется)</v>
      </c>
      <c r="AC47" s="1795"/>
      <c r="AD47" s="1796"/>
      <c r="AE47" s="1796"/>
      <c r="AF47" s="1796"/>
      <c r="AG47" s="1797"/>
      <c r="AH47" s="1796"/>
      <c r="AI47" s="1796"/>
      <c r="AJ47" s="1796"/>
      <c r="AK47" s="1796"/>
      <c r="AL47" s="1796"/>
      <c r="AM47" s="1796"/>
      <c r="AN47" s="1796"/>
      <c r="AO47" s="1796"/>
      <c r="AP47" s="1796"/>
      <c r="AQ47" s="1796"/>
      <c r="AR47" s="1796"/>
      <c r="AS47" s="1796"/>
      <c r="AT47" s="1796"/>
      <c r="AU47" s="1796"/>
      <c r="AV47" s="1796"/>
      <c r="AW47" s="1796"/>
      <c r="AX47" s="1796"/>
      <c r="AY47" s="1796"/>
      <c r="AZ47" s="1796"/>
      <c r="BA47" s="1796"/>
      <c r="BB47" s="1796"/>
      <c r="BC47" s="421"/>
      <c r="BD47" s="1174"/>
      <c r="BE47" s="379"/>
      <c r="BF47" s="379"/>
      <c r="BG47" s="379"/>
      <c r="BH47" s="379"/>
      <c r="BI47" s="379"/>
      <c r="BJ47" s="421"/>
      <c r="BK47" s="421"/>
      <c r="BL47" s="421"/>
      <c r="BM47" s="421"/>
      <c r="BN47" s="421"/>
      <c r="BO47" s="421"/>
    </row>
    <row s="1834" customFormat="1" customHeight="1" ht="21.75">
      <c r="A48" s="1676"/>
      <c r="B48" s="1675"/>
      <c r="C48" s="1676"/>
      <c r="D48" s="1676"/>
      <c r="E48" s="1753">
        <v>22.5</v>
      </c>
      <c r="F48" s="1677" cm="1" t="str">
        <f t="array" ref="F48:F48">OFFSET(E48,-1,1)</f>
        <v>4</v>
      </c>
      <c r="G48" s="1676"/>
      <c r="H48" s="1676"/>
      <c r="I48" s="1676"/>
      <c r="J48" s="1676"/>
      <c r="K48" s="1676"/>
      <c r="L48" s="1676"/>
      <c r="M48" s="1676"/>
      <c r="N48" s="1676"/>
      <c r="O48" s="1676"/>
      <c r="P48" s="1676"/>
      <c r="Q48" s="1676"/>
      <c r="R48" s="1676"/>
      <c r="S48" s="1676"/>
      <c r="T48" s="1676"/>
      <c r="U48" s="1676"/>
      <c r="V48" s="1748" cm="1" t="str">
        <f t="array" ref="V48:V48">V47</f>
        <v>true</v>
      </c>
      <c r="W48" s="1676"/>
      <c r="X48" s="1676"/>
      <c r="Y48" s="1792"/>
      <c r="Z48" s="1793"/>
      <c r="AA48" s="1676"/>
      <c r="AB48" s="1798">
        <v>1</v>
      </c>
      <c r="AC48" s="1799" t="s">
        <v>1187</v>
      </c>
      <c r="AD48" s="1800"/>
      <c r="AE48" s="1801"/>
      <c r="AF48" s="1801"/>
      <c r="AG48" s="1802"/>
      <c r="AH48" s="1801"/>
      <c r="AI48" s="1801"/>
      <c r="AJ48" s="1801"/>
      <c r="AK48" s="1801"/>
      <c r="AL48" s="1801"/>
      <c r="AM48" s="2662"/>
      <c r="AN48" s="2662"/>
      <c r="AO48" s="2662"/>
      <c r="AP48" s="2662"/>
      <c r="AQ48" s="2662"/>
      <c r="AR48" s="2662"/>
      <c r="AS48" s="1801"/>
      <c r="AT48" s="1801"/>
      <c r="AU48" s="1801"/>
      <c r="AV48" s="1801"/>
      <c r="AW48" s="2662"/>
      <c r="AX48" s="2662"/>
      <c r="AY48" s="2662"/>
      <c r="AZ48" s="2662"/>
      <c r="BA48" s="2662"/>
      <c r="BB48" s="2662"/>
      <c r="BC48" s="421"/>
      <c r="BD48" s="1169" t="s">
        <v>1235</v>
      </c>
      <c r="BE48" s="421"/>
      <c r="BF48" s="421"/>
      <c r="BG48" s="421"/>
      <c r="BH48" s="421"/>
      <c r="BI48" s="421"/>
      <c r="BJ48" s="421"/>
      <c r="BK48" s="421"/>
      <c r="BL48" s="421"/>
      <c r="BM48" s="421"/>
      <c r="BN48" s="421"/>
      <c r="BO48" s="421"/>
    </row>
    <row s="1834" customFormat="1" customHeight="1" ht="23.25">
      <c r="A49" s="1676"/>
      <c r="B49" s="1676"/>
      <c r="C49" s="1676"/>
      <c r="D49" s="1676"/>
      <c r="E49" s="1753">
        <v>24</v>
      </c>
      <c r="F49" s="1677" cm="1" t="str">
        <f t="array" ref="F49:F49">OFFSET(E49,-1,1)</f>
        <v>4</v>
      </c>
      <c r="G49" s="1676"/>
      <c r="H49" s="1676"/>
      <c r="I49" s="1676"/>
      <c r="J49" s="1676"/>
      <c r="K49" s="1676"/>
      <c r="L49" s="1676"/>
      <c r="M49" s="1676"/>
      <c r="N49" s="1676"/>
      <c r="O49" s="1676"/>
      <c r="P49" s="1676"/>
      <c r="Q49" s="1676"/>
      <c r="R49" s="1676"/>
      <c r="S49" s="1676"/>
      <c r="T49" s="1676"/>
      <c r="U49" s="1676"/>
      <c r="V49" s="1748" cm="1" t="str">
        <f t="array" ref="V49:V49">V48</f>
        <v>true</v>
      </c>
      <c r="W49" s="1676"/>
      <c r="X49" s="1676"/>
      <c r="Y49" s="1792"/>
      <c r="Z49" s="1793"/>
      <c r="AA49" s="1676"/>
      <c r="AB49" s="1798">
        <v>2</v>
      </c>
      <c r="AC49" s="1799" t="s">
        <v>1236</v>
      </c>
      <c r="AD49" s="1800" t="s">
        <v>1170</v>
      </c>
      <c r="AE49" s="1801"/>
      <c r="AF49" s="1801"/>
      <c r="AG49" s="1802"/>
      <c r="AH49" s="1801"/>
      <c r="AI49" s="1801"/>
      <c r="AJ49" s="1801"/>
      <c r="AK49" s="1801"/>
      <c r="AL49" s="1801"/>
      <c r="AM49" s="2662"/>
      <c r="AN49" s="2662"/>
      <c r="AO49" s="2662"/>
      <c r="AP49" s="2662"/>
      <c r="AQ49" s="2662"/>
      <c r="AR49" s="2662"/>
      <c r="AS49" s="1801"/>
      <c r="AT49" s="1801"/>
      <c r="AU49" s="1801"/>
      <c r="AV49" s="1801"/>
      <c r="AW49" s="2662"/>
      <c r="AX49" s="2662"/>
      <c r="AY49" s="2662"/>
      <c r="AZ49" s="2662"/>
      <c r="BA49" s="2662"/>
      <c r="BB49" s="2662"/>
      <c r="BC49" s="421"/>
      <c r="BD49" s="1169" t="s">
        <v>1237</v>
      </c>
      <c r="BE49" s="421"/>
      <c r="BF49" s="421"/>
      <c r="BG49" s="421"/>
      <c r="BH49" s="421"/>
      <c r="BI49" s="421"/>
      <c r="BJ49" s="421"/>
      <c r="BK49" s="421"/>
      <c r="BL49" s="421"/>
      <c r="BM49" s="421"/>
      <c r="BN49" s="421"/>
      <c r="BO49" s="421"/>
    </row>
    <row s="1834" customFormat="1" customHeight="1" ht="69">
      <c r="A50" s="1676"/>
      <c r="B50" s="1676"/>
      <c r="C50" s="1676"/>
      <c r="D50" s="1676"/>
      <c r="E50" s="1753">
        <v>71.25</v>
      </c>
      <c r="F50" s="1677" cm="1" t="str">
        <f t="array" ref="F50:F50">OFFSET(E50,-1,1)</f>
        <v>4</v>
      </c>
      <c r="G50" s="1676"/>
      <c r="H50" s="1676"/>
      <c r="I50" s="1676"/>
      <c r="J50" s="1676"/>
      <c r="K50" s="1676"/>
      <c r="L50" s="1676"/>
      <c r="M50" s="1676"/>
      <c r="N50" s="1676"/>
      <c r="O50" s="1676"/>
      <c r="P50" s="1676"/>
      <c r="Q50" s="1676"/>
      <c r="R50" s="1676"/>
      <c r="S50" s="1676"/>
      <c r="T50" s="1676"/>
      <c r="U50" s="1676"/>
      <c r="V50" s="1748" cm="1" t="str">
        <f t="array" ref="V50:V50">V49</f>
        <v>true</v>
      </c>
      <c r="W50" s="1676"/>
      <c r="X50" s="1676"/>
      <c r="Y50" s="1792"/>
      <c r="Z50" s="1793"/>
      <c r="AA50" s="1676"/>
      <c r="AB50" s="1798">
        <v>3</v>
      </c>
      <c r="AC50" s="1803" t="s">
        <v>1238</v>
      </c>
      <c r="AD50" s="1800" t="s">
        <v>1170</v>
      </c>
      <c r="AE50" s="1801"/>
      <c r="AF50" s="1801"/>
      <c r="AG50" s="1802"/>
      <c r="AH50" s="1801"/>
      <c r="AI50" s="1801"/>
      <c r="AJ50" s="1801"/>
      <c r="AK50" s="1801"/>
      <c r="AL50" s="1801"/>
      <c r="AM50" s="2662"/>
      <c r="AN50" s="2662"/>
      <c r="AO50" s="2662"/>
      <c r="AP50" s="2662"/>
      <c r="AQ50" s="2662"/>
      <c r="AR50" s="2662"/>
      <c r="AS50" s="1801"/>
      <c r="AT50" s="1801"/>
      <c r="AU50" s="1801"/>
      <c r="AV50" s="1801"/>
      <c r="AW50" s="2662"/>
      <c r="AX50" s="2662"/>
      <c r="AY50" s="2662"/>
      <c r="AZ50" s="2662"/>
      <c r="BA50" s="2662"/>
      <c r="BB50" s="2662"/>
      <c r="BC50" s="421"/>
      <c r="BD50" s="1169" t="s">
        <v>1239</v>
      </c>
      <c r="BE50" s="421"/>
      <c r="BF50" s="421"/>
      <c r="BG50" s="421"/>
      <c r="BH50" s="421"/>
      <c r="BI50" s="421"/>
      <c r="BJ50" s="421"/>
      <c r="BK50" s="421"/>
      <c r="BL50" s="421"/>
      <c r="BM50" s="421"/>
      <c r="BN50" s="421"/>
      <c r="BO50" s="421"/>
    </row>
    <row s="1834" customFormat="1" customHeight="1" ht="24">
      <c r="A51" s="1676"/>
      <c r="B51" s="1675"/>
      <c r="C51" s="1676"/>
      <c r="D51" s="1676"/>
      <c r="E51" s="1753">
        <v>24.75</v>
      </c>
      <c r="F51" s="1677" cm="1" t="str">
        <f t="array" ref="F51:F51">OFFSET(E51,-1,1)</f>
        <v>4</v>
      </c>
      <c r="G51" s="1676"/>
      <c r="H51" s="1676"/>
      <c r="I51" s="1676"/>
      <c r="J51" s="1676"/>
      <c r="K51" s="1676"/>
      <c r="L51" s="1676"/>
      <c r="M51" s="1676"/>
      <c r="N51" s="1676"/>
      <c r="O51" s="1676"/>
      <c r="P51" s="1676"/>
      <c r="Q51" s="1676"/>
      <c r="R51" s="1676"/>
      <c r="S51" s="1676"/>
      <c r="T51" s="1676"/>
      <c r="U51" s="1676"/>
      <c r="V51" s="1748" cm="1" t="str">
        <f t="array" ref="V51:V51">V50</f>
        <v>true</v>
      </c>
      <c r="W51" s="1676"/>
      <c r="X51" s="1676"/>
      <c r="Y51" s="1792"/>
      <c r="Z51" s="1793"/>
      <c r="AA51" s="1676"/>
      <c r="AB51" s="1798">
        <v>4</v>
      </c>
      <c r="AC51" s="1799" t="s">
        <v>1176</v>
      </c>
      <c r="AD51" s="1800"/>
      <c r="AE51" s="1801"/>
      <c r="AF51" s="1801"/>
      <c r="AG51" s="1802"/>
      <c r="AH51" s="1801"/>
      <c r="AI51" s="1801"/>
      <c r="AJ51" s="1801"/>
      <c r="AK51" s="1801"/>
      <c r="AL51" s="1801"/>
      <c r="AM51" s="2662"/>
      <c r="AN51" s="2662"/>
      <c r="AO51" s="2662"/>
      <c r="AP51" s="2662"/>
      <c r="AQ51" s="2662"/>
      <c r="AR51" s="2662"/>
      <c r="AS51" s="1801"/>
      <c r="AT51" s="1801"/>
      <c r="AU51" s="1801"/>
      <c r="AV51" s="1801"/>
      <c r="AW51" s="2662"/>
      <c r="AX51" s="2662"/>
      <c r="AY51" s="2662"/>
      <c r="AZ51" s="2662"/>
      <c r="BA51" s="2662"/>
      <c r="BB51" s="2662"/>
      <c r="BC51" s="421"/>
      <c r="BD51" s="1169" t="s">
        <v>1240</v>
      </c>
      <c r="BE51" s="421"/>
      <c r="BF51" s="421"/>
      <c r="BG51" s="421"/>
      <c r="BH51" s="421"/>
      <c r="BI51" s="421"/>
      <c r="BJ51" s="421"/>
      <c r="BK51" s="421"/>
      <c r="BL51" s="421"/>
      <c r="BM51" s="421"/>
      <c r="BN51" s="421"/>
      <c r="BO51" s="421"/>
    </row>
    <row customHeight="1" ht="10.725000000000001">
      <c r="A52" s="1746"/>
      <c r="B52" s="1752"/>
      <c r="C52" s="1746"/>
      <c r="D52" s="1746"/>
      <c r="E52" s="1753">
        <v>11</v>
      </c>
      <c r="F52" s="1747" cm="1" t="str">
        <f t="array" ref="F52:F52">OFFSET(E52,-1,1)</f>
        <v>4</v>
      </c>
      <c r="G52" s="1746"/>
      <c r="H52" s="1746"/>
      <c r="I52" s="1746"/>
      <c r="J52" s="1746"/>
      <c r="K52" s="1746"/>
      <c r="L52" s="1746"/>
      <c r="M52" s="1746"/>
      <c r="N52" s="1746"/>
      <c r="O52" s="1746"/>
      <c r="P52" s="1746"/>
      <c r="Q52" s="1746"/>
      <c r="R52" s="1746"/>
      <c r="S52" s="1746"/>
      <c r="T52" s="1746"/>
      <c r="U52" s="1746"/>
      <c r="V52" s="1746"/>
      <c r="W52" s="1804" t="s">
        <v>178</v>
      </c>
      <c r="X52" s="2672" t="s">
        <v>1241</v>
      </c>
      <c r="Y52" s="1746"/>
      <c r="Z52" s="1746"/>
      <c r="AA52" s="1746"/>
      <c r="AB52" s="1805"/>
      <c r="AC52" s="1804"/>
      <c r="AD52" s="1746"/>
      <c r="AE52" s="1746"/>
      <c r="AF52" s="1746"/>
      <c r="AG52" s="1758"/>
      <c r="AH52" s="1746"/>
      <c r="AI52" s="1746"/>
      <c r="AJ52" s="1746"/>
      <c r="AK52" s="1746"/>
      <c r="AL52" s="1746"/>
      <c r="AM52" s="1746"/>
      <c r="AN52" s="1746"/>
      <c r="AO52" s="1746"/>
      <c r="AP52" s="1746"/>
      <c r="AQ52" s="1746"/>
      <c r="AR52" s="1746"/>
      <c r="AS52" s="1746"/>
      <c r="AT52" s="1746"/>
      <c r="AU52" s="1746"/>
      <c r="AV52" s="1746"/>
      <c r="AW52" s="1746"/>
      <c r="AX52" s="1746"/>
      <c r="AY52" s="1746"/>
      <c r="AZ52" s="1746"/>
      <c r="BA52" s="1746"/>
      <c r="BB52" s="1746"/>
      <c r="BC52" s="1168"/>
      <c r="BD52" s="1169"/>
      <c r="BE52" s="379"/>
      <c r="BF52" s="379"/>
      <c r="BG52" s="379"/>
      <c r="BH52" s="379"/>
      <c r="BI52" s="379"/>
      <c r="BJ52" s="1168"/>
      <c r="BK52" s="1168"/>
      <c r="BL52" s="1168"/>
      <c r="BM52" s="1168"/>
      <c r="BN52" s="1168"/>
      <c r="BO52" s="1168"/>
    </row>
  </sheetData>
  <sheetProtection formatColumns="0" formatRows="0" insertRows="0" deleteColumns="0" deleteRows="0" sort="0" autoFilter="0" insertColumns="1"/>
  <mergeCells count="13">
    <mergeCell ref="AB24:AB25"/>
    <mergeCell ref="AC24:AC25"/>
    <mergeCell ref="AD24:AD25"/>
    <mergeCell ref="Y27:Y31"/>
    <mergeCell ref="Z27:Z31"/>
    <mergeCell ref="Y32:Y36"/>
    <mergeCell ref="Z32:Z36"/>
    <mergeCell ref="Y37:Y41"/>
    <mergeCell ref="Z37:Z41"/>
    <mergeCell ref="Y42:Y46"/>
    <mergeCell ref="Z42:Z46"/>
    <mergeCell ref="Y47:Y51"/>
    <mergeCell ref="Z47:Z51"/>
  </mergeCells>
  <dataValidations count="2">
    <dataValidation allowBlank="1" showErrorMessage="1" errorTitle="Ошибка" error="Допускается ввод только неотрицательных чисел!" sqref="AE26:BB26"/>
    <dataValidation type="decimal" allowBlank="1" showErrorMessage="1" errorTitle="Ошибка" error="Допускается ввод только неотрицательных чисел!" sqref="BB29:BB31 BB34:BB36 BB39:BB41 BB44:BB46 BB49:BB51 BA29:BA31 BA34:BA36 BA39:BA41 BA44:BA46 BA49:BA51 AZ29:AZ31 AZ34:AZ36 AZ39:AZ41 AZ44:AZ46 AZ49:AZ51 AY29:AY31 AY34:AY36 AY39:AY41 AY44:AY46 AY49:AY51 AX29:AX31 AX34:AX36 AX39:AX41 AX44:AX46 AX49:AX51 AW29:AW31 AW34:AW36 AW39:AW41 AW44:AW46 AW49:AW51 AV29:AV31 AV34:AV36 AV39:AV41 AV44:AV46 AV49:AV51 AU29:AU31 AU34:AU36 AU39:AU41 AU44:AU46 AU49:AU51 AT29:AT31 AT34:AT36 AT39:AT41 AT44:AT46 AT49:AT51 AS29:AS31 AS34:AS36 AS39:AS41 AS44:AS46 AS49:AS51 AR29:AR31 AR34:AR36 AR39:AR41 AR44:AR46 AR49:AR51 AQ29:AQ31 AQ34:AQ36 AQ39:AQ41 AQ44:AQ46 AQ49:AQ51 AP29:AP31 AP34:AP36 AP39:AP41 AP44:AP46 AP49:AP51 AO29:AO31 AO34:AO36 AO39:AO41 AO44:AO46 AO49:AO51 AN29:AN31 AN34:AN36 AN39:AN41 AN44:AN46 AN49:AN51 AM29:AM31 AM34:AM36 AM39:AM41 AM44:AM46 AM49:AM51 AL29:AL31 AL34:AL36 AL39:AL41 AL44:AL46 AL49:AL51 AK29:AK31 AK34:AK36 AK39:AK41 AK44:AK46 AK49:AK51 AJ29:AJ31 AJ34:AJ36 AJ39:AJ41 AJ44:AJ46 AJ49:AJ51 AI29:AI31 AI34:AI36 AI39:AI41 AI44:AI46 AI49:AI51 AH29:AH31 AH34:AH36 AH39:AH41 AH44:AH46 AH49:AH51 AG29:AG31 AG34:AG36 AG39:AG41 AG44:AG46 AG49:AG51 AF29:AF31 AF34:AF36 AF39:AF41 AF44:AF46 AF49:AF51 AE29:AE31 AE34:AE36 AE39:AE41 AE44:AE46 AE49:AE5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427F8D-E21A-741B-8A98-8550781844E8}" mc:Ignorable="x14ac xr xr2 xr3">
  <sheetPr>
    <tabColor theme="6" tint="0.4"/>
    <outlinePr summaryRight="0" summaryBelow="0"/>
    <pageSetUpPr fitToPage="1"/>
  </sheetPr>
  <dimension ref="A1:BF487"/>
  <sheetViews>
    <sheetView showGridLines="0" workbookViewId="0">
      <pane xSplit="30" ySplit="25" topLeftCell="AI154" activePane="bottomRight" state="frozen"/>
      <selection pane="bottomLeft" activeCell="A26" sqref="A26"/>
      <selection pane="topRight" activeCell="AE1" sqref="AE1"/>
      <selection pane="bottomRight" activeCell="BC218" sqref="BC218"/>
    </sheetView>
  </sheetViews>
  <sheetFormatPr defaultColWidth="9.140625" customHeight="1" defaultRowHeight="11.25"/>
  <cols>
    <col min="1" max="1" style="1304" width="3.57421875" hidden="1" customWidth="1"/>
    <col min="2" max="2" style="1436" width="8.8515625" hidden="1" customWidth="1"/>
    <col min="3" max="4" style="1304" width="3.57421875" hidden="1" customWidth="1"/>
    <col min="5" max="5" style="1305" width="3.57421875" hidden="1" customWidth="1"/>
    <col min="6" max="6" style="1322" width="13.28125" hidden="1" customWidth="1"/>
    <col min="7" max="7" style="1304" width="11.421875" hidden="1" customWidth="1"/>
    <col min="8" max="8" style="1304" width="9.7109375" hidden="1" customWidth="1"/>
    <col min="9" max="9" style="1304" width="6.421875" hidden="1" customWidth="1"/>
    <col min="10" max="10" style="1304" width="3.57421875" hidden="1" customWidth="1"/>
    <col min="11" max="11" style="1304" width="6.140625" hidden="1" customWidth="1"/>
    <col min="12" max="15" style="1304" width="3.57421875" hidden="1" customWidth="1"/>
    <col min="16" max="17" style="1442" width="3.57421875" hidden="1" customWidth="1"/>
    <col min="18" max="18" style="1442" width="7.7109375" hidden="1" customWidth="1"/>
    <col min="19" max="19" style="1442" width="10.00390625" hidden="1" customWidth="1"/>
    <col min="20" max="20" style="1442" width="10.421875" hidden="1" customWidth="1"/>
    <col min="21" max="21" style="1442" width="5.8515625" hidden="1" customWidth="1"/>
    <col min="22" max="22" style="1304" width="6.140625" hidden="1" customWidth="1"/>
    <col min="23" max="23" style="1442" width="5.57421875" hidden="1" customWidth="1"/>
    <col min="24" max="24" style="1304" width="5.28125" hidden="1" customWidth="1"/>
    <col min="25" max="26" style="1304" width="3.57421875" hidden="1" customWidth="1"/>
    <col min="27" max="27" style="1304" width="3.00390625" customWidth="1"/>
    <col min="28" max="28" style="1446" width="11.00390625" customWidth="1"/>
    <col min="29" max="29" style="1446" width="38.57421875" customWidth="1"/>
    <col min="30" max="30" style="1446" width="10.29296875" customWidth="1"/>
    <col min="31" max="34" style="1304" width="0" customWidth="1"/>
    <col min="35" max="39" style="1304" width="13.00390625" customWidth="1"/>
    <col min="40" max="44" style="1304" width="13.00390625" hidden="1" customWidth="1"/>
    <col min="45" max="49" style="1304" width="13.00390625" customWidth="1"/>
    <col min="50" max="54" style="1304" width="13.00390625" hidden="1" customWidth="1"/>
    <col min="55" max="55" style="1446" width="46.140625" customWidth="1"/>
    <col min="56" max="56" style="1304" width="3.00390625" customWidth="1"/>
    <col min="57" max="57" style="1304" width="9.140625" hidden="1"/>
    <col min="58" max="58" style="1306" width="9.140625" hidden="1"/>
  </cols>
  <sheetData>
    <row customHeight="1" ht="11.25" hidden="1">
      <c r="E1" s="98"/>
      <c r="F1" s="349" t="s">
        <v>321</v>
      </c>
      <c r="H1" s="98" t="s">
        <v>331</v>
      </c>
      <c r="T1" s="465" t="s">
        <v>93</v>
      </c>
      <c r="U1" s="465" t="s">
        <v>98</v>
      </c>
      <c r="V1" s="465" t="s">
        <v>94</v>
      </c>
      <c r="W1" s="465" t="s">
        <v>95</v>
      </c>
      <c r="X1" s="465" t="s">
        <v>96</v>
      </c>
      <c r="Y1" s="465" t="s">
        <v>100</v>
      </c>
      <c r="Z1" s="465" t="s">
        <v>323</v>
      </c>
      <c r="AA1" s="465" t="s">
        <v>97</v>
      </c>
      <c r="AC1" s="465" t="s">
        <v>99</v>
      </c>
      <c r="AI1" s="1304"/>
      <c r="AJ1" s="1304"/>
      <c r="AK1" s="1304"/>
      <c r="AL1" s="1304"/>
      <c r="AM1" s="1304"/>
      <c r="AN1" s="1304"/>
      <c r="AO1" s="1304"/>
      <c r="AP1" s="1304"/>
      <c r="AQ1" s="1304"/>
      <c r="AR1" s="1304"/>
      <c r="AS1" s="1304"/>
      <c r="AT1" s="1304"/>
      <c r="AU1" s="1304"/>
      <c r="AV1" s="1304"/>
      <c r="AW1" s="1304"/>
      <c r="AX1" s="1304"/>
      <c r="AY1" s="1304"/>
      <c r="AZ1" s="1304"/>
      <c r="BA1" s="1304"/>
      <c r="BB1" s="1304"/>
      <c r="BF1" s="1015" t="s">
        <v>324</v>
      </c>
    </row>
    <row s="1436" customFormat="1" customHeight="1" ht="11.25" hidden="1">
      <c r="B2" s="445" t="s">
        <v>19</v>
      </c>
      <c r="F2" s="746"/>
      <c r="P2" s="655"/>
      <c r="Q2" s="655"/>
      <c r="R2" s="655"/>
      <c r="S2" s="655"/>
      <c r="T2" s="655"/>
      <c r="U2" s="655"/>
      <c r="W2" s="655"/>
      <c r="AB2" s="429"/>
      <c r="AC2" s="429"/>
      <c r="AD2" s="429"/>
      <c r="AF2" s="1378" cm="1" t="str">
        <f t="array" ref="AF2:AF2">isOrgDeclare</f>
        <v>true</v>
      </c>
      <c r="AI2" s="446">
        <f>AND(AI6&lt;=last_year_vis,isOrgDeclare)</f>
        <v>1</v>
      </c>
      <c r="AJ2" s="446">
        <f>AND(AJ6&lt;=last_year_vis,isOrgDeclare)</f>
        <v>1</v>
      </c>
      <c r="AK2" s="446">
        <f>AND(AK6&lt;=last_year_vis,isOrgDeclare)</f>
        <v>1</v>
      </c>
      <c r="AL2" s="446">
        <f>AND(AL6&lt;=last_year_vis,isOrgDeclare)</f>
        <v>1</v>
      </c>
      <c r="AM2" s="446">
        <f>AND(AM6&lt;=last_year_vis,isOrgDeclare)</f>
        <v>1</v>
      </c>
      <c r="AN2" s="446">
        <f>AND(AN6&lt;=last_year_vis,isOrgDeclare)</f>
        <v>0</v>
      </c>
      <c r="AO2" s="446">
        <f>AND(AO6&lt;=last_year_vis,isOrgDeclare)</f>
        <v>0</v>
      </c>
      <c r="AP2" s="446">
        <f>AND(AP6&lt;=last_year_vis,isOrgDeclare)</f>
        <v>0</v>
      </c>
      <c r="AQ2" s="446">
        <f>AND(AQ6&lt;=last_year_vis,isOrgDeclare)</f>
        <v>0</v>
      </c>
      <c r="AR2" s="446">
        <f>AND(AR6&lt;=last_year_vis,isOrgDeclare)</f>
        <v>0</v>
      </c>
      <c r="AS2" s="446">
        <f>AS6&lt;=last_year_vis</f>
        <v>1</v>
      </c>
      <c r="AT2" s="446">
        <f>AT6&lt;=last_year_vis</f>
        <v>1</v>
      </c>
      <c r="AU2" s="446">
        <f>AU6&lt;=last_year_vis</f>
        <v>1</v>
      </c>
      <c r="AV2" s="446">
        <f>AV6&lt;=last_year_vis</f>
        <v>1</v>
      </c>
      <c r="AW2" s="446">
        <f>AW6&lt;=last_year_vis</f>
        <v>1</v>
      </c>
      <c r="AX2" s="446">
        <f>AX6&lt;=last_year_vis</f>
        <v>0</v>
      </c>
      <c r="AY2" s="446">
        <f>AY6&lt;=last_year_vis</f>
        <v>0</v>
      </c>
      <c r="AZ2" s="446">
        <f>AZ6&lt;=last_year_vis</f>
        <v>0</v>
      </c>
      <c r="BA2" s="446">
        <f>BA6&lt;=last_year_vis</f>
        <v>0</v>
      </c>
      <c r="BB2" s="446">
        <f>BB6&lt;=last_year_vis</f>
        <v>0</v>
      </c>
      <c r="BC2" s="429"/>
      <c r="BF2" s="1016"/>
    </row>
    <row customHeight="1" ht="11.25" hidden="1">
      <c r="E3" s="98"/>
      <c r="AI3" s="1304"/>
      <c r="AJ3" s="1304"/>
      <c r="AK3" s="1304"/>
      <c r="AL3" s="1304"/>
      <c r="AM3" s="1304"/>
      <c r="AN3" s="1304"/>
      <c r="AO3" s="1304"/>
      <c r="AP3" s="1304"/>
      <c r="AQ3" s="1304"/>
      <c r="AR3" s="1304"/>
      <c r="AS3" s="1304"/>
      <c r="AT3" s="1304"/>
      <c r="AU3" s="1304"/>
      <c r="AV3" s="1304"/>
      <c r="AW3" s="1304"/>
      <c r="AX3" s="1304"/>
      <c r="AY3" s="1304"/>
      <c r="AZ3" s="1304"/>
      <c r="BA3" s="1304"/>
      <c r="BB3" s="1304"/>
    </row>
    <row customHeight="1" ht="11.25" hidden="1">
      <c r="E4" s="98"/>
      <c r="AI4" s="1304"/>
      <c r="AJ4" s="1304"/>
      <c r="AK4" s="1304"/>
      <c r="AL4" s="1304"/>
      <c r="AM4" s="1304"/>
      <c r="AN4" s="1304"/>
      <c r="AO4" s="1304"/>
      <c r="AP4" s="1304"/>
      <c r="AQ4" s="1304"/>
      <c r="AR4" s="1304"/>
      <c r="AS4" s="1304"/>
      <c r="AT4" s="1304"/>
      <c r="AU4" s="1304"/>
      <c r="AV4" s="1304"/>
      <c r="AW4" s="1304"/>
      <c r="AX4" s="1304"/>
      <c r="AY4" s="1304"/>
      <c r="AZ4" s="1304"/>
      <c r="BA4" s="1304"/>
      <c r="BB4" s="1304"/>
    </row>
    <row s="1305" customFormat="1" customHeight="1" ht="11.25" hidden="1">
      <c r="A5" s="98"/>
      <c r="B5" s="427"/>
      <c r="C5" s="98"/>
      <c r="D5" s="98"/>
      <c r="E5" s="632" t="s">
        <v>20</v>
      </c>
      <c r="F5" s="617"/>
      <c r="P5" s="656"/>
      <c r="Q5" s="656"/>
      <c r="R5" s="656"/>
      <c r="S5" s="656"/>
      <c r="T5" s="656"/>
      <c r="U5" s="656"/>
      <c r="W5" s="656"/>
      <c r="AA5" s="632">
        <v>3</v>
      </c>
      <c r="AB5" s="630">
        <v>11</v>
      </c>
      <c r="AC5" s="630">
        <v>50</v>
      </c>
      <c r="AD5" s="630">
        <v>10.29</v>
      </c>
      <c r="AE5" s="632">
        <v>13</v>
      </c>
      <c r="AF5" s="632">
        <v>13</v>
      </c>
      <c r="AG5" s="632">
        <v>13</v>
      </c>
      <c r="AH5" s="632">
        <v>13</v>
      </c>
      <c r="AI5" s="632">
        <v>13</v>
      </c>
      <c r="AJ5" s="632">
        <v>13</v>
      </c>
      <c r="AK5" s="632">
        <v>13</v>
      </c>
      <c r="AL5" s="632">
        <v>13</v>
      </c>
      <c r="AM5" s="632">
        <v>13</v>
      </c>
      <c r="AN5" s="632">
        <v>13</v>
      </c>
      <c r="AO5" s="632">
        <v>13</v>
      </c>
      <c r="AP5" s="632">
        <v>13</v>
      </c>
      <c r="AQ5" s="632">
        <v>13</v>
      </c>
      <c r="AR5" s="632">
        <v>13</v>
      </c>
      <c r="AS5" s="632">
        <v>13</v>
      </c>
      <c r="AT5" s="632">
        <v>13</v>
      </c>
      <c r="AU5" s="632">
        <v>13</v>
      </c>
      <c r="AV5" s="632">
        <v>13</v>
      </c>
      <c r="AW5" s="632">
        <v>13</v>
      </c>
      <c r="AX5" s="632">
        <v>13</v>
      </c>
      <c r="AY5" s="632">
        <v>13</v>
      </c>
      <c r="AZ5" s="632">
        <v>13</v>
      </c>
      <c r="BA5" s="632">
        <v>13</v>
      </c>
      <c r="BB5" s="632">
        <v>13</v>
      </c>
      <c r="BC5" s="630">
        <v>20</v>
      </c>
      <c r="BD5" s="632">
        <v>3</v>
      </c>
      <c r="BF5" s="1015"/>
    </row>
    <row customHeight="1" ht="11.25" hidden="1">
      <c r="A6" s="98" t="s">
        <v>360</v>
      </c>
      <c r="AE6" s="98">
        <f>god-2</f>
        <v>2024</v>
      </c>
      <c r="AF6" s="98">
        <f>god-2</f>
        <v>2024</v>
      </c>
      <c r="AG6" s="98">
        <f>god-2</f>
        <v>2024</v>
      </c>
      <c r="AH6" s="98">
        <f>god-1</f>
        <v>2025</v>
      </c>
      <c r="AI6" s="98" cm="1" t="str">
        <f t="array" ref="AI6:AI6">god</f>
        <v>2026</v>
      </c>
      <c r="AJ6" s="98">
        <f>god+1</f>
        <v>2027</v>
      </c>
      <c r="AK6" s="98">
        <f>god+2</f>
        <v>2028</v>
      </c>
      <c r="AL6" s="98">
        <f>god+3</f>
        <v>2029</v>
      </c>
      <c r="AM6" s="98">
        <f>god+4</f>
        <v>2030</v>
      </c>
      <c r="AN6" s="98">
        <f>god+5</f>
        <v>2031</v>
      </c>
      <c r="AO6" s="98">
        <f>god+6</f>
        <v>2032</v>
      </c>
      <c r="AP6" s="98">
        <f>god+7</f>
        <v>2033</v>
      </c>
      <c r="AQ6" s="98">
        <f>god+8</f>
        <v>2034</v>
      </c>
      <c r="AR6" s="98">
        <f>god+9</f>
        <v>2035</v>
      </c>
      <c r="AS6" s="98" cm="1" t="str">
        <f t="array" ref="AS6:AS6">god</f>
        <v>2026</v>
      </c>
      <c r="AT6" s="98">
        <f>god+1</f>
        <v>2027</v>
      </c>
      <c r="AU6" s="98">
        <f>god+2</f>
        <v>2028</v>
      </c>
      <c r="AV6" s="98">
        <f>god+3</f>
        <v>2029</v>
      </c>
      <c r="AW6" s="98">
        <f>god+4</f>
        <v>2030</v>
      </c>
      <c r="AX6" s="98">
        <f>god+5</f>
        <v>2031</v>
      </c>
      <c r="AY6" s="98">
        <f>god+6</f>
        <v>2032</v>
      </c>
      <c r="AZ6" s="98">
        <f>god+7</f>
        <v>2033</v>
      </c>
      <c r="BA6" s="98">
        <f>god+8</f>
        <v>2034</v>
      </c>
      <c r="BB6" s="98">
        <f>god+9</f>
        <v>2035</v>
      </c>
    </row>
    <row customHeight="1" ht="11.25" hidden="1">
      <c r="A7" s="98" t="s">
        <v>361</v>
      </c>
      <c r="AE7" s="98" cm="1" t="str">
        <f t="array" ref="AE7:AE7">AE25</f>
        <v>Принято органом регулирования</v>
      </c>
      <c r="AF7" s="98" cm="1" t="str">
        <f t="array" ref="AF7:AF7">AF25</f>
        <v>Факт по данным организации</v>
      </c>
      <c r="AG7" s="98" cm="1" t="str">
        <f t="array" ref="AG7:AG7">AG25</f>
        <v>Факт, принятый органом регулирования</v>
      </c>
      <c r="AH7" s="98" cm="1" t="str">
        <f t="array" ref="AH7:AH7">AH25</f>
        <v>Принято органом регулирования</v>
      </c>
      <c r="AI7" s="98" cm="1" t="str">
        <f t="array" ref="AI7:AI7">AI25</f>
        <v>Предложение организации</v>
      </c>
      <c r="AJ7" s="98" cm="1" t="str">
        <f t="array" ref="AJ7:AJ7">AJ25</f>
        <v>Предложение организации</v>
      </c>
      <c r="AK7" s="98" cm="1" t="str">
        <f t="array" ref="AK7:AK7">AK25</f>
        <v>Предложение организации</v>
      </c>
      <c r="AL7" s="98" cm="1" t="str">
        <f t="array" ref="AL7:AL7">AL25</f>
        <v>Предложение организации</v>
      </c>
      <c r="AM7" s="98" cm="1" t="str">
        <f t="array" ref="AM7:AM7">AM25</f>
        <v>Предложение организации</v>
      </c>
      <c r="AN7" s="98" cm="1" t="str">
        <f t="array" ref="AN7:AN7">AN25</f>
        <v>Предложение организации</v>
      </c>
      <c r="AO7" s="98" cm="1" t="str">
        <f t="array" ref="AO7:AO7">AO25</f>
        <v>Предложение организации</v>
      </c>
      <c r="AP7" s="98" cm="1" t="str">
        <f t="array" ref="AP7:AP7">AP25</f>
        <v>Предложение организации</v>
      </c>
      <c r="AQ7" s="98" cm="1" t="str">
        <f t="array" ref="AQ7:AQ7">AQ25</f>
        <v>Предложение организации</v>
      </c>
      <c r="AR7" s="98" cm="1" t="str">
        <f t="array" ref="AR7:AR7">AR25</f>
        <v>Предложение организации</v>
      </c>
      <c r="AS7" s="98" cm="1" t="str">
        <f t="array" ref="AS7:AS7">AS25</f>
        <v>Принято органом регулирования</v>
      </c>
      <c r="AT7" s="98" cm="1" t="str">
        <f t="array" ref="AT7:AT7">AT25</f>
        <v>Принято органом регулирования</v>
      </c>
      <c r="AU7" s="98" cm="1" t="str">
        <f t="array" ref="AU7:AU7">AU25</f>
        <v>Принято органом регулирования</v>
      </c>
      <c r="AV7" s="98" cm="1" t="str">
        <f t="array" ref="AV7:AV7">AV25</f>
        <v>Принято органом регулирования</v>
      </c>
      <c r="AW7" s="98" cm="1" t="str">
        <f t="array" ref="AW7:AW7">AW25</f>
        <v>Принято органом регулирования</v>
      </c>
      <c r="AX7" s="98" cm="1" t="str">
        <f t="array" ref="AX7:AX7">AX25</f>
        <v>Принято органом регулирования</v>
      </c>
      <c r="AY7" s="98" cm="1" t="str">
        <f t="array" ref="AY7:AY7">AY25</f>
        <v>Принято органом регулирования</v>
      </c>
      <c r="AZ7" s="98" cm="1" t="str">
        <f t="array" ref="AZ7:AZ7">AZ25</f>
        <v>Принято органом регулирования</v>
      </c>
      <c r="BA7" s="98" cm="1" t="str">
        <f t="array" ref="BA7:BA7">BA25</f>
        <v>Принято органом регулирования</v>
      </c>
      <c r="BB7" s="98" cm="1" t="str">
        <f t="array" ref="BB7:BB7">BB25</f>
        <v>Принято органом регулирования</v>
      </c>
    </row>
    <row customHeight="1" ht="11.25" hidden="1">
      <c r="AE8" s="98" t="str">
        <f>AE6&amp;AE7</f>
        <v>2024Принято органом регулирования</v>
      </c>
      <c r="AF8" s="98" t="str">
        <f>AF6&amp;AF7</f>
        <v>2024Факт по данным организации</v>
      </c>
      <c r="AG8" s="98" t="str">
        <f>AG6&amp;AG7</f>
        <v>2024Факт, принятый органом регулирования</v>
      </c>
      <c r="AH8" s="98" t="str">
        <f>AH6&amp;AH7</f>
        <v>2025Принято органом регулирования</v>
      </c>
      <c r="AI8" s="98" t="str">
        <f>AI6&amp;AI7</f>
        <v>2026Предложение организации</v>
      </c>
      <c r="AJ8" s="98" t="str">
        <f>AJ6&amp;AJ7</f>
        <v>2027Предложение организации</v>
      </c>
      <c r="AK8" s="98" t="str">
        <f>AK6&amp;AK7</f>
        <v>2028Предложение организации</v>
      </c>
      <c r="AL8" s="98" t="str">
        <f>AL6&amp;AL7</f>
        <v>2029Предложение организации</v>
      </c>
      <c r="AM8" s="98" t="str">
        <f>AM6&amp;AM7</f>
        <v>2030Предложение организации</v>
      </c>
      <c r="AN8" s="98" t="str">
        <f>AN6&amp;AN7</f>
        <v>2031Предложение организации</v>
      </c>
      <c r="AO8" s="98" t="str">
        <f>AO6&amp;AO7</f>
        <v>2032Предложение организации</v>
      </c>
      <c r="AP8" s="98" t="str">
        <f>AP6&amp;AP7</f>
        <v>2033Предложение организации</v>
      </c>
      <c r="AQ8" s="98" t="str">
        <f>AQ6&amp;AQ7</f>
        <v>2034Предложение организации</v>
      </c>
      <c r="AR8" s="98" t="str">
        <f>AR6&amp;AR7</f>
        <v>2035Предложение организации</v>
      </c>
      <c r="AS8" s="98" t="str">
        <f>AS6&amp;AS7</f>
        <v>2026Принято органом регулирования</v>
      </c>
      <c r="AT8" s="98" t="str">
        <f>AT6&amp;AT7</f>
        <v>2027Принято органом регулирования</v>
      </c>
      <c r="AU8" s="98" t="str">
        <f>AU6&amp;AU7</f>
        <v>2028Принято органом регулирования</v>
      </c>
      <c r="AV8" s="98" t="str">
        <f>AV6&amp;AV7</f>
        <v>2029Принято органом регулирования</v>
      </c>
      <c r="AW8" s="98" t="str">
        <f>AW6&amp;AW7</f>
        <v>2030Принято органом регулирования</v>
      </c>
      <c r="AX8" s="98" t="str">
        <f>AX6&amp;AX7</f>
        <v>2031Принято органом регулирования</v>
      </c>
      <c r="AY8" s="98" t="str">
        <f>AY6&amp;AY7</f>
        <v>2032Принято органом регулирования</v>
      </c>
      <c r="AZ8" s="98" t="str">
        <f>AZ6&amp;AZ7</f>
        <v>2033Принято органом регулирования</v>
      </c>
      <c r="BA8" s="98" t="str">
        <f>BA6&amp;BA7</f>
        <v>2034Принято органом регулирования</v>
      </c>
      <c r="BB8" s="98" t="str">
        <f>BB6&amp;BB7</f>
        <v>2035Принято органом регулирования</v>
      </c>
    </row>
    <row s="1306" customFormat="1" customHeight="1" ht="11.25" hidden="1">
      <c r="A9" s="1015" t="s">
        <v>365</v>
      </c>
      <c r="B9" s="1016"/>
      <c r="F9" s="1017"/>
      <c r="P9" s="1001"/>
      <c r="Q9" s="1001"/>
      <c r="R9" s="1001"/>
      <c r="S9" s="1001"/>
      <c r="T9" s="1001"/>
      <c r="U9" s="1001"/>
      <c r="W9" s="1001"/>
      <c r="AB9" s="1013"/>
      <c r="AC9" s="1013"/>
      <c r="AD9" s="1013"/>
      <c r="AE9" s="1015" cm="1" t="str">
        <f t="array" ref="AE9:AE9">AE6</f>
        <v>2024</v>
      </c>
      <c r="AF9" s="1015" cm="1" t="str">
        <f t="array" ref="AF9:AF9">AF6</f>
        <v>2024</v>
      </c>
      <c r="AG9" s="1015" cm="1" t="str">
        <f t="array" ref="AG9:AG9">AG6</f>
        <v>2024</v>
      </c>
      <c r="AH9" s="1015" cm="1" t="str">
        <f t="array" ref="AH9:AH9">AH6</f>
        <v>2025</v>
      </c>
      <c r="AI9" s="1015" cm="1" t="str">
        <f t="array" ref="AI9:AI9">AI6</f>
        <v>2026</v>
      </c>
      <c r="AJ9" s="1015" cm="1" t="str">
        <f t="array" ref="AJ9:AJ9">AJ6</f>
        <v>2027</v>
      </c>
      <c r="AK9" s="1015" cm="1" t="str">
        <f t="array" ref="AK9:AK9">AK6</f>
        <v>2028</v>
      </c>
      <c r="AL9" s="1015" cm="1" t="str">
        <f t="array" ref="AL9:AL9">AL6</f>
        <v>2029</v>
      </c>
      <c r="AM9" s="1015" cm="1" t="str">
        <f t="array" ref="AM9:AM9">AM6</f>
        <v>2030</v>
      </c>
      <c r="AN9" s="1015" cm="1" t="str">
        <f t="array" ref="AN9:AN9">AN6</f>
        <v>2031</v>
      </c>
      <c r="AO9" s="1015" cm="1" t="str">
        <f t="array" ref="AO9:AO9">AO6</f>
        <v>2032</v>
      </c>
      <c r="AP9" s="1015" cm="1" t="str">
        <f t="array" ref="AP9:AP9">AP6</f>
        <v>2033</v>
      </c>
      <c r="AQ9" s="1015" cm="1" t="str">
        <f t="array" ref="AQ9:AQ9">AQ6</f>
        <v>2034</v>
      </c>
      <c r="AR9" s="1015" cm="1" t="str">
        <f t="array" ref="AR9:AR9">AR6</f>
        <v>2035</v>
      </c>
      <c r="AS9" s="1015" cm="1" t="str">
        <f t="array" ref="AS9:AS9">AS6</f>
        <v>2026</v>
      </c>
      <c r="AT9" s="1015" cm="1" t="str">
        <f t="array" ref="AT9:AT9">AT6</f>
        <v>2027</v>
      </c>
      <c r="AU9" s="1015" cm="1" t="str">
        <f t="array" ref="AU9:AU9">AU6</f>
        <v>2028</v>
      </c>
      <c r="AV9" s="1015" cm="1" t="str">
        <f t="array" ref="AV9:AV9">AV6</f>
        <v>2029</v>
      </c>
      <c r="AW9" s="1015" cm="1" t="str">
        <f t="array" ref="AW9:AW9">AW6</f>
        <v>2030</v>
      </c>
      <c r="AX9" s="1015" cm="1" t="str">
        <f t="array" ref="AX9:AX9">AX6</f>
        <v>2031</v>
      </c>
      <c r="AY9" s="1015" cm="1" t="str">
        <f t="array" ref="AY9:AY9">AY6</f>
        <v>2032</v>
      </c>
      <c r="AZ9" s="1015" cm="1" t="str">
        <f t="array" ref="AZ9:AZ9">AZ6</f>
        <v>2033</v>
      </c>
      <c r="BA9" s="1015" cm="1" t="str">
        <f t="array" ref="BA9:BA9">BA6</f>
        <v>2034</v>
      </c>
      <c r="BB9" s="1015" cm="1" t="str">
        <f t="array" ref="BB9:BB9">BB6</f>
        <v>2035</v>
      </c>
      <c r="BC9" s="1013"/>
    </row>
    <row s="1306" customFormat="1" customHeight="1" ht="11.25" hidden="1">
      <c r="A10" s="1015" t="s">
        <v>366</v>
      </c>
      <c r="B10" s="1016"/>
      <c r="F10" s="1017"/>
      <c r="P10" s="1001"/>
      <c r="Q10" s="1001"/>
      <c r="R10" s="1001"/>
      <c r="S10" s="1001"/>
      <c r="T10" s="1001"/>
      <c r="U10" s="1001"/>
      <c r="W10" s="1001"/>
      <c r="AB10" s="1013"/>
      <c r="AC10" s="1013"/>
      <c r="AD10" s="1013"/>
      <c r="AE10" s="1015" cm="1" t="str">
        <f t="array" ref="AE10:AE10">AE25</f>
        <v>Принято органом регулирования</v>
      </c>
      <c r="AF10" s="1015" cm="1" t="str">
        <f t="array" ref="AF10:AF10">AF25</f>
        <v>Факт по данным организации</v>
      </c>
      <c r="AG10" s="1015" cm="1" t="str">
        <f t="array" ref="AG10:AG10">AG25</f>
        <v>Факт, принятый органом регулирования</v>
      </c>
      <c r="AH10" s="1015" cm="1" t="str">
        <f t="array" ref="AH10:AH10">AH25</f>
        <v>Принято органом регулирования</v>
      </c>
      <c r="AI10" s="1015" cm="1" t="str">
        <f t="array" ref="AI10:AI10">AI25</f>
        <v>Предложение организации</v>
      </c>
      <c r="AJ10" s="1015" cm="1" t="str">
        <f t="array" ref="AJ10:AJ10">AJ25</f>
        <v>Предложение организации</v>
      </c>
      <c r="AK10" s="1015" cm="1" t="str">
        <f t="array" ref="AK10:AK10">AK25</f>
        <v>Предложение организации</v>
      </c>
      <c r="AL10" s="1015" cm="1" t="str">
        <f t="array" ref="AL10:AL10">AL25</f>
        <v>Предложение организации</v>
      </c>
      <c r="AM10" s="1015" cm="1" t="str">
        <f t="array" ref="AM10:AM10">AM25</f>
        <v>Предложение организации</v>
      </c>
      <c r="AN10" s="1015" cm="1" t="str">
        <f t="array" ref="AN10:AN10">AN25</f>
        <v>Предложение организации</v>
      </c>
      <c r="AO10" s="1015" cm="1" t="str">
        <f t="array" ref="AO10:AO10">AO25</f>
        <v>Предложение организации</v>
      </c>
      <c r="AP10" s="1015" cm="1" t="str">
        <f t="array" ref="AP10:AP10">AP25</f>
        <v>Предложение организации</v>
      </c>
      <c r="AQ10" s="1015" cm="1" t="str">
        <f t="array" ref="AQ10:AQ10">AQ25</f>
        <v>Предложение организации</v>
      </c>
      <c r="AR10" s="1015" cm="1" t="str">
        <f t="array" ref="AR10:AR10">AR25</f>
        <v>Предложение организации</v>
      </c>
      <c r="AS10" s="1015" cm="1" t="str">
        <f t="array" ref="AS10:AS10">AS25</f>
        <v>Принято органом регулирования</v>
      </c>
      <c r="AT10" s="1015" cm="1" t="str">
        <f t="array" ref="AT10:AT10">AT25</f>
        <v>Принято органом регулирования</v>
      </c>
      <c r="AU10" s="1015" cm="1" t="str">
        <f t="array" ref="AU10:AU10">AU25</f>
        <v>Принято органом регулирования</v>
      </c>
      <c r="AV10" s="1015" cm="1" t="str">
        <f t="array" ref="AV10:AV10">AV25</f>
        <v>Принято органом регулирования</v>
      </c>
      <c r="AW10" s="1015" cm="1" t="str">
        <f t="array" ref="AW10:AW10">AW25</f>
        <v>Принято органом регулирования</v>
      </c>
      <c r="AX10" s="1015" cm="1" t="str">
        <f t="array" ref="AX10:AX10">AX25</f>
        <v>Принято органом регулирования</v>
      </c>
      <c r="AY10" s="1015" cm="1" t="str">
        <f t="array" ref="AY10:AY10">AY25</f>
        <v>Принято органом регулирования</v>
      </c>
      <c r="AZ10" s="1015" cm="1" t="str">
        <f t="array" ref="AZ10:AZ10">AZ25</f>
        <v>Принято органом регулирования</v>
      </c>
      <c r="BA10" s="1015" cm="1" t="str">
        <f t="array" ref="BA10:BA10">BA25</f>
        <v>Принято органом регулирования</v>
      </c>
      <c r="BB10" s="1015" cm="1" t="str">
        <f t="array" ref="BB10:BB10">BB25</f>
        <v>Принято органом регулирования</v>
      </c>
      <c r="BC10" s="1013"/>
    </row>
    <row s="1306" customFormat="1" customHeight="1" ht="11.25" hidden="1">
      <c r="A11" s="1015" t="s">
        <v>367</v>
      </c>
      <c r="B11" s="1016"/>
      <c r="F11" s="1017"/>
      <c r="P11" s="1001"/>
      <c r="Q11" s="1001"/>
      <c r="R11" s="1001"/>
      <c r="S11" s="1001"/>
      <c r="T11" s="1001"/>
      <c r="U11" s="1001"/>
      <c r="W11" s="1001"/>
      <c r="AB11" s="1013"/>
      <c r="AC11" s="1013"/>
      <c r="AD11" s="1013"/>
      <c r="AI11" s="1306"/>
      <c r="AJ11" s="1306"/>
      <c r="AK11" s="1306"/>
      <c r="AL11" s="1306"/>
      <c r="AM11" s="1306"/>
      <c r="AN11" s="1306"/>
      <c r="AO11" s="1306"/>
      <c r="AP11" s="1306"/>
      <c r="AQ11" s="1306"/>
      <c r="AR11" s="1306"/>
      <c r="AS11" s="1306"/>
      <c r="AT11" s="1306"/>
      <c r="AU11" s="1306"/>
      <c r="AV11" s="1306"/>
      <c r="AW11" s="1306"/>
      <c r="AX11" s="1306"/>
      <c r="AY11" s="1306"/>
      <c r="AZ11" s="1306"/>
      <c r="BA11" s="1306"/>
      <c r="BB11" s="1306"/>
      <c r="BC11" s="1013" cm="1" t="str">
        <f t="array" ref="BC11:BC11">BC24</f>
        <v>Ссылка на правовую норму (основание для принятия показателя в расчет тарифа)</v>
      </c>
    </row>
    <row customHeight="1" ht="11.25" hidden="1">
      <c r="AD12" s="98"/>
      <c r="AI12" s="1304"/>
      <c r="AJ12" s="1304"/>
      <c r="AK12" s="1304"/>
      <c r="AL12" s="1304"/>
      <c r="AM12" s="1304"/>
      <c r="AN12" s="1304"/>
      <c r="AO12" s="1304"/>
      <c r="AP12" s="1304"/>
      <c r="AQ12" s="1304"/>
      <c r="AR12" s="1304"/>
      <c r="AS12" s="1304"/>
      <c r="AT12" s="1304"/>
      <c r="AU12" s="1304"/>
      <c r="AV12" s="1304"/>
      <c r="AW12" s="1304"/>
      <c r="AX12" s="1304"/>
      <c r="AY12" s="1304"/>
      <c r="AZ12" s="1304"/>
      <c r="BA12" s="1304"/>
      <c r="BB12" s="1304"/>
    </row>
    <row customHeight="1" ht="11.25" hidden="1">
      <c r="AI13" s="1304"/>
      <c r="AJ13" s="1304"/>
      <c r="AK13" s="1304"/>
      <c r="AL13" s="1304"/>
      <c r="AM13" s="1304"/>
      <c r="AN13" s="1304"/>
      <c r="AO13" s="1304"/>
      <c r="AP13" s="1304"/>
      <c r="AQ13" s="1304"/>
      <c r="AR13" s="1304"/>
      <c r="AS13" s="1304"/>
      <c r="AT13" s="1304"/>
      <c r="AU13" s="1304"/>
      <c r="AV13" s="1304"/>
      <c r="AW13" s="1304"/>
      <c r="AX13" s="1304"/>
      <c r="AY13" s="1304"/>
      <c r="AZ13" s="1304"/>
      <c r="BA13" s="1304"/>
      <c r="BB13" s="1304"/>
    </row>
    <row customHeight="1" ht="11.25" hidden="1">
      <c r="AI14" s="1304"/>
      <c r="AJ14" s="1304"/>
      <c r="AK14" s="1304"/>
      <c r="AL14" s="1304"/>
      <c r="AM14" s="1304"/>
      <c r="AN14" s="1304"/>
      <c r="AO14" s="1304"/>
      <c r="AP14" s="1304"/>
      <c r="AQ14" s="1304"/>
      <c r="AR14" s="1304"/>
      <c r="AS14" s="1304"/>
      <c r="AT14" s="1304"/>
      <c r="AU14" s="1304"/>
      <c r="AV14" s="1304"/>
      <c r="AW14" s="1304"/>
      <c r="AX14" s="1304"/>
      <c r="AY14" s="1304"/>
      <c r="AZ14" s="1304"/>
      <c r="BA14" s="1304"/>
      <c r="BB14" s="1304"/>
    </row>
    <row customHeight="1" ht="11.25" hidden="1">
      <c r="AI15" s="1304"/>
      <c r="AJ15" s="1304"/>
      <c r="AK15" s="1304"/>
      <c r="AL15" s="1304"/>
      <c r="AM15" s="1304"/>
      <c r="AN15" s="1304"/>
      <c r="AO15" s="1304"/>
      <c r="AP15" s="1304"/>
      <c r="AQ15" s="1304"/>
      <c r="AR15" s="1304"/>
      <c r="AS15" s="1304"/>
      <c r="AT15" s="1304"/>
      <c r="AU15" s="1304"/>
      <c r="AV15" s="1304"/>
      <c r="AW15" s="1304"/>
      <c r="AX15" s="1304"/>
      <c r="AY15" s="1304"/>
      <c r="AZ15" s="1304"/>
      <c r="BA15" s="1304"/>
      <c r="BB15" s="1304"/>
    </row>
    <row customHeight="1" ht="11.25" hidden="1">
      <c r="AI16" s="1304"/>
      <c r="AJ16" s="1304"/>
      <c r="AK16" s="1304"/>
      <c r="AL16" s="1304"/>
      <c r="AM16" s="1304"/>
      <c r="AN16" s="1304"/>
      <c r="AO16" s="1304"/>
      <c r="AP16" s="1304"/>
      <c r="AQ16" s="1304"/>
      <c r="AR16" s="1304"/>
      <c r="AS16" s="1304"/>
      <c r="AT16" s="1304"/>
      <c r="AU16" s="1304"/>
      <c r="AV16" s="1304"/>
      <c r="AW16" s="1304"/>
      <c r="AX16" s="1304"/>
      <c r="AY16" s="1304"/>
      <c r="AZ16" s="1304"/>
      <c r="BA16" s="1304"/>
      <c r="BB16" s="1304"/>
    </row>
    <row customHeight="1" ht="11.25" hidden="1">
      <c r="AI17" s="1304"/>
      <c r="AJ17" s="1304"/>
      <c r="AK17" s="1304"/>
      <c r="AL17" s="1304"/>
      <c r="AM17" s="1304"/>
      <c r="AN17" s="1304"/>
      <c r="AO17" s="1304"/>
      <c r="AP17" s="1304"/>
      <c r="AQ17" s="1304"/>
      <c r="AR17" s="1304"/>
      <c r="AS17" s="1304"/>
      <c r="AT17" s="1304"/>
      <c r="AU17" s="1304"/>
      <c r="AV17" s="1304"/>
      <c r="AW17" s="1304"/>
      <c r="AX17" s="1304"/>
      <c r="AY17" s="1304"/>
      <c r="AZ17" s="1304"/>
      <c r="BA17" s="1304"/>
      <c r="BB17" s="1304"/>
    </row>
    <row customHeight="1" ht="11.25" hidden="1">
      <c r="AI18" s="1304"/>
      <c r="AJ18" s="1304"/>
      <c r="AK18" s="1304"/>
      <c r="AL18" s="1304"/>
      <c r="AM18" s="1304"/>
      <c r="AN18" s="1304"/>
      <c r="AO18" s="1304"/>
      <c r="AP18" s="1304"/>
      <c r="AQ18" s="1304"/>
      <c r="AR18" s="1304"/>
      <c r="AS18" s="1304"/>
      <c r="AT18" s="1304"/>
      <c r="AU18" s="1304"/>
      <c r="AV18" s="1304"/>
      <c r="AW18" s="1304"/>
      <c r="AX18" s="1304"/>
      <c r="AY18" s="1304"/>
      <c r="AZ18" s="1304"/>
      <c r="BA18" s="1304"/>
      <c r="BB18" s="1304"/>
    </row>
    <row customHeight="1" ht="11.25" hidden="1">
      <c r="AI19" s="1304"/>
      <c r="AJ19" s="1304"/>
      <c r="AK19" s="1304"/>
      <c r="AL19" s="1304"/>
      <c r="AM19" s="1304"/>
      <c r="AN19" s="1304"/>
      <c r="AO19" s="1304"/>
      <c r="AP19" s="1304"/>
      <c r="AQ19" s="1304"/>
      <c r="AR19" s="1304"/>
      <c r="AS19" s="1304"/>
      <c r="AT19" s="1304"/>
      <c r="AU19" s="1304"/>
      <c r="AV19" s="1304"/>
      <c r="AW19" s="1304"/>
      <c r="AX19" s="1304"/>
      <c r="AY19" s="1304"/>
      <c r="AZ19" s="1304"/>
      <c r="BA19" s="1304"/>
      <c r="BB19" s="1304"/>
    </row>
    <row customHeight="1" ht="11.25" hidden="1">
      <c r="AI20" s="1304"/>
      <c r="AJ20" s="1304"/>
      <c r="AK20" s="1304"/>
      <c r="AL20" s="1304"/>
      <c r="AM20" s="1304"/>
      <c r="AN20" s="1304"/>
      <c r="AO20" s="1304"/>
      <c r="AP20" s="1304"/>
      <c r="AQ20" s="1304"/>
      <c r="AR20" s="1304"/>
      <c r="AS20" s="1304"/>
      <c r="AT20" s="1304"/>
      <c r="AU20" s="1304"/>
      <c r="AV20" s="1304"/>
      <c r="AW20" s="1304"/>
      <c r="AX20" s="1304"/>
      <c r="AY20" s="1304"/>
      <c r="AZ20" s="1304"/>
      <c r="BA20" s="1304"/>
      <c r="BB20" s="1304"/>
    </row>
    <row customHeight="1" ht="14.625">
      <c r="E21" s="632">
        <v>15</v>
      </c>
      <c r="AA21" s="657"/>
      <c r="AC21" s="50" cm="1" t="str">
        <f t="array" ref="AC21:AC21">tpl_title</f>
        <v>Кемеровская область / 2026 / ООО "Теплоэнерго" (ИНН:4214046200, КПП:421401001) / ДПР: 2026-2030</v>
      </c>
      <c r="AI21" s="1304"/>
      <c r="AJ21" s="1304"/>
      <c r="AK21" s="1304"/>
      <c r="AL21" s="1304"/>
      <c r="AM21" s="1304"/>
      <c r="AN21" s="1304"/>
      <c r="AO21" s="1304"/>
      <c r="AP21" s="1304"/>
      <c r="AQ21" s="1304"/>
      <c r="AR21" s="1304"/>
      <c r="AS21" s="1304"/>
      <c r="AT21" s="1304"/>
      <c r="AU21" s="1304"/>
      <c r="AV21" s="1304"/>
      <c r="AW21" s="1304"/>
      <c r="AX21" s="1304"/>
      <c r="AY21" s="1304"/>
      <c r="AZ21" s="1304"/>
      <c r="BA21" s="1304"/>
      <c r="BB21" s="1304"/>
    </row>
    <row s="1426" customFormat="1" customHeight="1" ht="19.5">
      <c r="B22" s="427"/>
      <c r="E22" s="633">
        <v>20</v>
      </c>
      <c r="F22" s="50"/>
      <c r="AB22" s="319" t="s">
        <v>45</v>
      </c>
      <c r="AC22" s="195"/>
      <c r="AD22" s="195"/>
      <c r="AE22" s="195"/>
      <c r="AF22" s="195"/>
      <c r="AG22" s="195"/>
      <c r="AH22" s="195"/>
      <c r="AI22" s="195"/>
      <c r="AJ22" s="195"/>
      <c r="AK22" s="195"/>
      <c r="AL22" s="195"/>
      <c r="AM22" s="195"/>
      <c r="AN22" s="195"/>
      <c r="AO22" s="195"/>
      <c r="AP22" s="195"/>
      <c r="AQ22" s="195"/>
      <c r="AR22" s="195"/>
      <c r="AS22" s="195"/>
      <c r="AT22" s="195"/>
      <c r="AU22" s="195"/>
      <c r="AV22" s="195"/>
      <c r="AW22" s="195"/>
      <c r="AX22" s="195"/>
      <c r="AY22" s="195"/>
      <c r="AZ22" s="195"/>
      <c r="BA22" s="195"/>
      <c r="BB22" s="195"/>
      <c r="BC22" s="195"/>
      <c r="BF22" s="1018"/>
    </row>
    <row customHeight="1" ht="10.96875">
      <c r="E23" s="632">
        <v>11.25</v>
      </c>
      <c r="AI23" s="1304"/>
      <c r="AJ23" s="1304"/>
      <c r="AK23" s="1304"/>
      <c r="AL23" s="1304"/>
      <c r="AM23" s="1304"/>
      <c r="AN23" s="1304"/>
      <c r="AO23" s="1304"/>
      <c r="AP23" s="1304"/>
      <c r="AQ23" s="1304"/>
      <c r="AR23" s="1304"/>
      <c r="AS23" s="1304"/>
      <c r="AT23" s="1304"/>
      <c r="AU23" s="1304"/>
      <c r="AV23" s="1304"/>
      <c r="AW23" s="1304"/>
      <c r="AX23" s="1304"/>
      <c r="AY23" s="1304"/>
      <c r="AZ23" s="1304"/>
      <c r="BA23" s="1304"/>
      <c r="BB23" s="1304"/>
    </row>
    <row s="1446" customFormat="1" customHeight="1" ht="14.625">
      <c r="B24" s="427"/>
      <c r="E24" s="630">
        <v>15</v>
      </c>
      <c r="F24" s="207"/>
      <c r="AB24" s="1579" t="s">
        <v>22</v>
      </c>
      <c r="AC24" s="1580" t="s">
        <v>369</v>
      </c>
      <c r="AD24" s="1577" t="s">
        <v>370</v>
      </c>
      <c r="AE24" s="575" t="str">
        <f>god-2&amp;" год"</f>
        <v>2024 год</v>
      </c>
      <c r="AF24" s="1121" t="str">
        <f>god-2&amp;" год"</f>
        <v>2024 год</v>
      </c>
      <c r="AG24" s="359" t="str">
        <f>god-2&amp;" год"</f>
        <v>2024 год</v>
      </c>
      <c r="AH24" s="94" t="str">
        <f>god-1&amp;" год"</f>
        <v>2025 год</v>
      </c>
      <c r="AI24" s="1118" t="str">
        <f>god&amp;" год"</f>
        <v>2026 год</v>
      </c>
      <c r="AJ24" s="1118" t="str">
        <f>god+1&amp;" год"</f>
        <v>2027 год</v>
      </c>
      <c r="AK24" s="1118" t="str">
        <f>god+2&amp;" год"</f>
        <v>2028 год</v>
      </c>
      <c r="AL24" s="1118" t="str">
        <f>god+3&amp;" год"</f>
        <v>2029 год</v>
      </c>
      <c r="AM24" s="1118" t="str">
        <f>god+4&amp;" год"</f>
        <v>2030 год</v>
      </c>
      <c r="AN24" s="1118" t="str">
        <f>god+5&amp;" год"</f>
        <v>2031 год</v>
      </c>
      <c r="AO24" s="1118" t="str">
        <f>god+6&amp;" год"</f>
        <v>2032 год</v>
      </c>
      <c r="AP24" s="1118" t="str">
        <f>god+7&amp;" год"</f>
        <v>2033 год</v>
      </c>
      <c r="AQ24" s="1118" t="str">
        <f>god+8&amp;" год"</f>
        <v>2034 год</v>
      </c>
      <c r="AR24" s="1118" t="str">
        <f>god+9&amp;" год"</f>
        <v>2035 год</v>
      </c>
      <c r="AS24" s="92" t="str">
        <f>god&amp;" год"</f>
        <v>2026 год</v>
      </c>
      <c r="AT24" s="92" t="str">
        <f>god+1&amp;" год"</f>
        <v>2027 год</v>
      </c>
      <c r="AU24" s="92" t="str">
        <f>god+2&amp;" год"</f>
        <v>2028 год</v>
      </c>
      <c r="AV24" s="92" t="str">
        <f>god+3&amp;" год"</f>
        <v>2029 год</v>
      </c>
      <c r="AW24" s="92" t="str">
        <f>god+4&amp;" год"</f>
        <v>2030 год</v>
      </c>
      <c r="AX24" s="92" t="str">
        <f>god+5&amp;" год"</f>
        <v>2031 год</v>
      </c>
      <c r="AY24" s="92" t="str">
        <f>god+6&amp;" год"</f>
        <v>2032 год</v>
      </c>
      <c r="AZ24" s="92" t="str">
        <f>god+7&amp;" год"</f>
        <v>2033 год</v>
      </c>
      <c r="BA24" s="92" t="str">
        <f>god+8&amp;" год"</f>
        <v>2034 год</v>
      </c>
      <c r="BB24" s="92" t="str">
        <f>god+9&amp;" год"</f>
        <v>2035 год</v>
      </c>
      <c r="BC24" s="1578" t="s">
        <v>1242</v>
      </c>
      <c r="BF24" s="1013"/>
    </row>
    <row s="1446" customFormat="1" customHeight="1" ht="68.49375">
      <c r="B25" s="427"/>
      <c r="E25" s="630">
        <v>70.25</v>
      </c>
      <c r="F25" s="207"/>
      <c r="AB25" s="1579"/>
      <c r="AC25" s="1580"/>
      <c r="AD25" s="1577"/>
      <c r="AE25" s="576" t="s">
        <v>362</v>
      </c>
      <c r="AF25" s="1118" t="s">
        <v>1164</v>
      </c>
      <c r="AG25" s="92" t="s">
        <v>1165</v>
      </c>
      <c r="AH25" s="92" t="s">
        <v>362</v>
      </c>
      <c r="AI25" s="1122" t="s">
        <v>363</v>
      </c>
      <c r="AJ25" s="1122" t="s">
        <v>363</v>
      </c>
      <c r="AK25" s="1122" t="s">
        <v>363</v>
      </c>
      <c r="AL25" s="1122" t="s">
        <v>363</v>
      </c>
      <c r="AM25" s="1122" t="s">
        <v>363</v>
      </c>
      <c r="AN25" s="1122" t="s">
        <v>363</v>
      </c>
      <c r="AO25" s="1122" t="s">
        <v>363</v>
      </c>
      <c r="AP25" s="1122" t="s">
        <v>363</v>
      </c>
      <c r="AQ25" s="1122" t="s">
        <v>363</v>
      </c>
      <c r="AR25" s="1122" t="s">
        <v>363</v>
      </c>
      <c r="AS25" s="360" t="s">
        <v>362</v>
      </c>
      <c r="AT25" s="360" t="s">
        <v>362</v>
      </c>
      <c r="AU25" s="360" t="s">
        <v>362</v>
      </c>
      <c r="AV25" s="360" t="s">
        <v>362</v>
      </c>
      <c r="AW25" s="360" t="s">
        <v>362</v>
      </c>
      <c r="AX25" s="360" t="s">
        <v>362</v>
      </c>
      <c r="AY25" s="360" t="s">
        <v>362</v>
      </c>
      <c r="AZ25" s="360" t="s">
        <v>362</v>
      </c>
      <c r="BA25" s="360" t="s">
        <v>362</v>
      </c>
      <c r="BB25" s="360" t="s">
        <v>362</v>
      </c>
      <c r="BC25" s="1578"/>
      <c r="BF25" s="1013"/>
    </row>
    <row s="1834" customFormat="1" customHeight="1" ht="15" hidden="1">
      <c r="A26" s="499"/>
      <c r="B26" s="658"/>
      <c r="C26" s="499"/>
      <c r="D26" s="499"/>
      <c r="E26" s="659">
        <v>0</v>
      </c>
      <c r="F26" s="747"/>
      <c r="G26" s="499"/>
      <c r="H26" s="499"/>
      <c r="I26" s="499"/>
      <c r="J26" s="499"/>
      <c r="K26" s="499"/>
      <c r="L26" s="499"/>
      <c r="M26" s="499"/>
      <c r="N26" s="499"/>
      <c r="O26" s="499"/>
      <c r="P26" s="499"/>
      <c r="Q26" s="499"/>
      <c r="R26" s="663" t="s">
        <v>264</v>
      </c>
      <c r="S26" s="663" t="s">
        <v>1243</v>
      </c>
      <c r="T26" s="465"/>
      <c r="U26" s="499"/>
      <c r="V26" s="499"/>
      <c r="W26" s="499"/>
      <c r="X26" s="499"/>
      <c r="Y26" s="499"/>
      <c r="Z26" s="499"/>
      <c r="AA26" s="499"/>
      <c r="AC26" s="100"/>
      <c r="AD26" s="100"/>
      <c r="AE26" s="100"/>
      <c r="AF26" s="100"/>
      <c r="AI26" s="1834"/>
      <c r="AJ26" s="1834"/>
      <c r="AK26" s="1834"/>
      <c r="AL26" s="1834"/>
      <c r="AM26" s="1834"/>
      <c r="AN26" s="1834"/>
      <c r="AO26" s="1834"/>
      <c r="AP26" s="1834"/>
      <c r="AQ26" s="101"/>
      <c r="AR26" s="1834"/>
      <c r="AS26" s="1834"/>
      <c r="AT26" s="1834"/>
      <c r="AU26" s="1834"/>
      <c r="AV26" s="1834"/>
      <c r="AW26" s="1834"/>
      <c r="AX26" s="1834"/>
      <c r="AY26" s="1834"/>
      <c r="AZ26" s="1834"/>
      <c r="BA26" s="1834"/>
      <c r="BB26" s="1834"/>
      <c r="BF26" s="1004"/>
    </row>
    <row customHeight="1" ht="14.625" hidden="1">
      <c r="A27" s="1304"/>
      <c r="B27" s="1436"/>
      <c r="C27" s="1304"/>
      <c r="D27" s="1304"/>
      <c r="E27" s="632">
        <v>15</v>
      </c>
      <c r="F27" s="349" cm="1" t="str">
        <f t="array" ref="F27:F27">X27</f>
        <v>0</v>
      </c>
      <c r="G27" s="1304"/>
      <c r="H27" s="1304"/>
      <c r="I27" s="1304"/>
      <c r="J27" s="1304"/>
      <c r="K27" s="1304"/>
      <c r="L27" s="1304"/>
      <c r="M27" s="1304"/>
      <c r="N27" s="1304"/>
      <c r="O27" s="1304"/>
      <c r="P27" s="1442"/>
      <c r="Q27" s="1442"/>
      <c r="R27" s="1442"/>
      <c r="S27" s="1442"/>
      <c r="T27" s="465">
        <f>X27&gt;0</f>
        <v>0</v>
      </c>
      <c r="U27" s="1442"/>
      <c r="V27" s="98" t="s">
        <v>265</v>
      </c>
      <c r="W27" s="1442"/>
      <c r="X27" s="1563">
        <v>0</v>
      </c>
      <c r="Y27" s="1545"/>
      <c r="Z27" s="1304"/>
      <c r="AA27" s="1304"/>
      <c r="AB27" s="180" cm="1" t="str">
        <f t="array" ref="AB27:AB27">INDEX('Общие сведения'!$AG$179:$AG$250,MATCH($X27,'Общие сведения'!$Z$179:$Z$250,0))</f>
        <v>Тариф 0 () - </v>
      </c>
      <c r="AC27" s="180"/>
      <c r="AD27" s="180"/>
      <c r="AE27" s="180"/>
      <c r="AF27" s="180"/>
      <c r="AG27" s="180"/>
      <c r="AH27" s="180"/>
      <c r="AI27" s="180"/>
      <c r="AJ27" s="180"/>
      <c r="AK27" s="180"/>
      <c r="AL27" s="180"/>
      <c r="AM27" s="180"/>
      <c r="AN27" s="180"/>
      <c r="AO27" s="180"/>
      <c r="AP27" s="180"/>
      <c r="AQ27" s="180"/>
      <c r="AR27" s="180"/>
      <c r="AS27" s="180"/>
      <c r="AT27" s="180"/>
      <c r="AU27" s="180"/>
      <c r="AV27" s="180"/>
      <c r="AW27" s="180"/>
      <c r="AX27" s="180"/>
      <c r="AY27" s="180"/>
      <c r="AZ27" s="180"/>
      <c r="BA27" s="180"/>
      <c r="BB27" s="180"/>
      <c r="BC27" s="180"/>
      <c r="BD27" s="1304"/>
      <c r="BE27" s="1304"/>
      <c r="BF27" s="1306"/>
    </row>
    <row customHeight="1" ht="14.625" hidden="1">
      <c r="A28" s="1304"/>
      <c r="B28" s="1436"/>
      <c r="C28" s="1304"/>
      <c r="D28" s="1304"/>
      <c r="E28" s="632">
        <v>15</v>
      </c>
      <c r="F28" s="50" cm="1" t="str">
        <f t="array" ref="F28:F28">OFFSET(E28,-1,1)</f>
        <v>0</v>
      </c>
      <c r="G28" s="1304"/>
      <c r="H28" s="1304"/>
      <c r="I28" s="1304"/>
      <c r="J28" s="1304"/>
      <c r="K28" s="1304"/>
      <c r="L28" s="1304"/>
      <c r="M28" s="1304"/>
      <c r="N28" s="1304"/>
      <c r="O28" s="1304"/>
      <c r="P28" s="1442"/>
      <c r="Q28" s="1442"/>
      <c r="R28" s="416" cm="1" t="str">
        <f t="array" ref="R28:R28">INDEX('Общие сведения'!$AN$179:$AN$250,MATCH($X27,'Общие сведения'!$Z$179:$Z$250,0))</f>
        <v>false</v>
      </c>
      <c r="S28" s="416">
        <f>IF(ISERROR(SEARCH("Водоснабжение",AB27)),FALSE,TRUE)</f>
        <v>0</v>
      </c>
      <c r="T28" s="465">
        <f>AND(X27&gt;0,S28,NOT(R28))</f>
        <v>0</v>
      </c>
      <c r="U28" s="1442"/>
      <c r="V28" s="1304"/>
      <c r="W28" s="1442"/>
      <c r="X28" s="1563"/>
      <c r="Y28" s="1545"/>
      <c r="Z28" s="1304"/>
      <c r="AA28" s="1304"/>
      <c r="AB28" s="240" t="s">
        <v>276</v>
      </c>
      <c r="AC28" s="329" t="s">
        <v>1244</v>
      </c>
      <c r="AD28" s="92"/>
      <c r="AE28" s="570" cm="1" t="str">
        <f t="array" ref="AE28:AE28">INDEX('Общие сведения'!$AH$179:$AH$250,MATCH($X27,'Общие сведения'!$Z$179:$Z$250,0))</f>
        <v>0</v>
      </c>
      <c r="AF28" s="362"/>
      <c r="AG28" s="362"/>
      <c r="AH28" s="362"/>
      <c r="AI28" s="362"/>
      <c r="AJ28" s="362"/>
      <c r="AK28" s="362"/>
      <c r="AL28" s="362"/>
      <c r="AM28" s="362"/>
      <c r="AN28" s="362"/>
      <c r="AO28" s="362"/>
      <c r="AP28" s="362"/>
      <c r="AQ28" s="362"/>
      <c r="AR28" s="362"/>
      <c r="AS28" s="362"/>
      <c r="AT28" s="362"/>
      <c r="AU28" s="362"/>
      <c r="AV28" s="362"/>
      <c r="AW28" s="362"/>
      <c r="AX28" s="362"/>
      <c r="AY28" s="362"/>
      <c r="AZ28" s="362"/>
      <c r="BA28" s="362"/>
      <c r="BB28" s="363"/>
      <c r="BC28" s="2070"/>
      <c r="BD28" s="1304"/>
      <c r="BE28" s="1304"/>
      <c r="BF28" s="1015" t="s">
        <v>1245</v>
      </c>
    </row>
    <row customHeight="1" ht="14.625" hidden="1">
      <c r="A29" s="1304"/>
      <c r="B29" s="1436"/>
      <c r="C29" s="1304"/>
      <c r="D29" s="1304"/>
      <c r="E29" s="632">
        <v>15</v>
      </c>
      <c r="F29" s="50" cm="1" t="str">
        <f t="array" ref="F29:F29">OFFSET(E29,-1,1)</f>
        <v>0</v>
      </c>
      <c r="G29" s="1304"/>
      <c r="H29" s="98" t="s">
        <v>336</v>
      </c>
      <c r="I29" s="1304"/>
      <c r="J29" s="1304"/>
      <c r="K29" s="1304"/>
      <c r="L29" s="1304"/>
      <c r="M29" s="1304"/>
      <c r="N29" s="1304"/>
      <c r="O29" s="1304"/>
      <c r="P29" s="1442"/>
      <c r="Q29" s="1442"/>
      <c r="R29" s="1442"/>
      <c r="S29" s="1442"/>
      <c r="T29" s="465" cm="1" t="str">
        <f t="array" ref="T29:T29">T28</f>
        <v>false</v>
      </c>
      <c r="U29" s="1442"/>
      <c r="V29" s="1304"/>
      <c r="W29" s="1442"/>
      <c r="X29" s="1563"/>
      <c r="Y29" s="1545"/>
      <c r="Z29" s="1304"/>
      <c r="AA29" s="1304"/>
      <c r="AB29" s="240" t="s">
        <v>285</v>
      </c>
      <c r="AC29" s="330" t="s">
        <v>1246</v>
      </c>
      <c r="AD29" s="93" t="s">
        <v>1247</v>
      </c>
      <c r="AE29" s="315">
        <f>AE38+AE33-AE36</f>
        <v>0</v>
      </c>
      <c r="AF29" s="315">
        <f>AF38+AF33-AF36</f>
        <v>0</v>
      </c>
      <c r="AG29" s="315">
        <f>AG38+AG33-AG36</f>
        <v>0</v>
      </c>
      <c r="AH29" s="315">
        <f>AH38+AH33-AH36</f>
        <v>0</v>
      </c>
      <c r="AI29" s="315">
        <f>AI38+AI33-AI36</f>
        <v>0</v>
      </c>
      <c r="AJ29" s="315">
        <f>AJ38+AJ33-AJ36</f>
        <v>0</v>
      </c>
      <c r="AK29" s="315">
        <f>AK38+AK33-AK36</f>
        <v>0</v>
      </c>
      <c r="AL29" s="315">
        <f>AL38+AL33-AL36</f>
        <v>0</v>
      </c>
      <c r="AM29" s="315">
        <f>AM38+AM33-AM36</f>
        <v>0</v>
      </c>
      <c r="AN29" s="315">
        <f>AN38+AN33-AN36</f>
        <v>0</v>
      </c>
      <c r="AO29" s="315">
        <f>AO38+AO33-AO36</f>
        <v>0</v>
      </c>
      <c r="AP29" s="315">
        <f>AP38+AP33-AP36</f>
        <v>0</v>
      </c>
      <c r="AQ29" s="315">
        <f>AQ38+AQ33-AQ36</f>
        <v>0</v>
      </c>
      <c r="AR29" s="315">
        <f>AR38+AR33-AR36</f>
        <v>0</v>
      </c>
      <c r="AS29" s="315">
        <f>AS38+AS33-AS36</f>
        <v>0</v>
      </c>
      <c r="AT29" s="315">
        <f>AT38+AT33-AT36</f>
        <v>0</v>
      </c>
      <c r="AU29" s="315">
        <f>AU38+AU33-AU36</f>
        <v>0</v>
      </c>
      <c r="AV29" s="315">
        <f>AV38+AV33-AV36</f>
        <v>0</v>
      </c>
      <c r="AW29" s="315">
        <f>AW38+AW33-AW36</f>
        <v>0</v>
      </c>
      <c r="AX29" s="315">
        <f>AX38+AX33-AX36</f>
        <v>0</v>
      </c>
      <c r="AY29" s="315">
        <f>AY38+AY33-AY36</f>
        <v>0</v>
      </c>
      <c r="AZ29" s="315">
        <f>AZ38+AZ33-AZ36</f>
        <v>0</v>
      </c>
      <c r="BA29" s="315">
        <f>BA38+BA33-BA36</f>
        <v>0</v>
      </c>
      <c r="BB29" s="315">
        <f>BB38+BB33-BB36</f>
        <v>0</v>
      </c>
      <c r="BC29" s="2070"/>
      <c r="BD29" s="1304"/>
      <c r="BE29" s="1304"/>
      <c r="BF29" s="1015" t="s">
        <v>1248</v>
      </c>
    </row>
    <row customHeight="1" ht="14.625" hidden="1">
      <c r="A30" s="1304"/>
      <c r="B30" s="1436"/>
      <c r="C30" s="1304"/>
      <c r="D30" s="1304"/>
      <c r="E30" s="632">
        <v>15</v>
      </c>
      <c r="F30" s="50" cm="1" t="str">
        <f t="array" ref="F30:F30">OFFSET(E30,-1,1)</f>
        <v>0</v>
      </c>
      <c r="G30" s="1304"/>
      <c r="H30" s="98" t="s">
        <v>1249</v>
      </c>
      <c r="I30" s="1304"/>
      <c r="J30" s="1304"/>
      <c r="K30" s="1304"/>
      <c r="L30" s="1304"/>
      <c r="M30" s="1304"/>
      <c r="N30" s="1304"/>
      <c r="O30" s="1304"/>
      <c r="P30" s="1442"/>
      <c r="Q30" s="1442"/>
      <c r="R30" s="1442"/>
      <c r="S30" s="1442"/>
      <c r="T30" s="465" cm="1" t="str">
        <f t="array" ref="T30:T30">T29</f>
        <v>false</v>
      </c>
      <c r="U30" s="1442"/>
      <c r="V30" s="1304"/>
      <c r="W30" s="1442"/>
      <c r="X30" s="1563"/>
      <c r="Y30" s="1545"/>
      <c r="Z30" s="1304"/>
      <c r="AA30" s="1304"/>
      <c r="AB30" s="240" t="s">
        <v>1250</v>
      </c>
      <c r="AC30" s="192" t="s">
        <v>1251</v>
      </c>
      <c r="AD30" s="93" t="s">
        <v>1247</v>
      </c>
      <c r="AE30" s="2113"/>
      <c r="AF30" s="2113"/>
      <c r="AG30" s="2113"/>
      <c r="AH30" s="2113"/>
      <c r="AI30" s="2113"/>
      <c r="AJ30" s="2113"/>
      <c r="AK30" s="2113"/>
      <c r="AL30" s="2113"/>
      <c r="AM30" s="2113"/>
      <c r="AN30" s="2113"/>
      <c r="AO30" s="2113"/>
      <c r="AP30" s="2113"/>
      <c r="AQ30" s="2113"/>
      <c r="AR30" s="2113"/>
      <c r="AS30" s="2113"/>
      <c r="AT30" s="2113"/>
      <c r="AU30" s="2113"/>
      <c r="AV30" s="2113"/>
      <c r="AW30" s="2113"/>
      <c r="AX30" s="2113"/>
      <c r="AY30" s="2113"/>
      <c r="AZ30" s="2113"/>
      <c r="BA30" s="2113"/>
      <c r="BB30" s="2113"/>
      <c r="BC30" s="2117"/>
      <c r="BD30" s="1304"/>
      <c r="BE30" s="1304"/>
      <c r="BF30" s="1015" t="s">
        <v>1252</v>
      </c>
    </row>
    <row customHeight="1" ht="14.625" hidden="1">
      <c r="A31" s="1304"/>
      <c r="B31" s="1436"/>
      <c r="C31" s="1304"/>
      <c r="D31" s="1304"/>
      <c r="E31" s="632">
        <v>15</v>
      </c>
      <c r="F31" s="50" cm="1" t="str">
        <f t="array" ref="F31:F31">OFFSET(E31,-1,1)</f>
        <v>0</v>
      </c>
      <c r="G31" s="1304"/>
      <c r="H31" s="98" t="s">
        <v>1253</v>
      </c>
      <c r="I31" s="1304"/>
      <c r="J31" s="1304"/>
      <c r="K31" s="1304"/>
      <c r="L31" s="1304"/>
      <c r="M31" s="1304"/>
      <c r="N31" s="1304"/>
      <c r="O31" s="1304"/>
      <c r="P31" s="1442"/>
      <c r="Q31" s="1442"/>
      <c r="R31" s="1442"/>
      <c r="S31" s="1442"/>
      <c r="T31" s="465" cm="1" t="str">
        <f t="array" ref="T31:T31">T30</f>
        <v>false</v>
      </c>
      <c r="U31" s="1442"/>
      <c r="V31" s="1304"/>
      <c r="W31" s="1442"/>
      <c r="X31" s="1563"/>
      <c r="Y31" s="1545"/>
      <c r="Z31" s="1304"/>
      <c r="AA31" s="1304"/>
      <c r="AB31" s="240" t="s">
        <v>1254</v>
      </c>
      <c r="AC31" s="192" t="s">
        <v>1255</v>
      </c>
      <c r="AD31" s="93" t="s">
        <v>1247</v>
      </c>
      <c r="AE31" s="2113"/>
      <c r="AF31" s="2113"/>
      <c r="AG31" s="2113"/>
      <c r="AH31" s="2113"/>
      <c r="AI31" s="2113"/>
      <c r="AJ31" s="2113"/>
      <c r="AK31" s="2113"/>
      <c r="AL31" s="2113"/>
      <c r="AM31" s="2113"/>
      <c r="AN31" s="2113"/>
      <c r="AO31" s="2113"/>
      <c r="AP31" s="2113"/>
      <c r="AQ31" s="2113"/>
      <c r="AR31" s="2113"/>
      <c r="AS31" s="2113"/>
      <c r="AT31" s="2113"/>
      <c r="AU31" s="2113"/>
      <c r="AV31" s="2113"/>
      <c r="AW31" s="2113"/>
      <c r="AX31" s="2113"/>
      <c r="AY31" s="2113"/>
      <c r="AZ31" s="2113"/>
      <c r="BA31" s="2113"/>
      <c r="BB31" s="2113"/>
      <c r="BC31" s="2117"/>
      <c r="BD31" s="1304"/>
      <c r="BE31" s="1304"/>
      <c r="BF31" s="1015" t="s">
        <v>1256</v>
      </c>
    </row>
    <row customHeight="1" ht="21.9375" hidden="1">
      <c r="A32" s="1304"/>
      <c r="B32" s="1436"/>
      <c r="C32" s="1304"/>
      <c r="D32" s="1304"/>
      <c r="E32" s="632">
        <v>22.5</v>
      </c>
      <c r="F32" s="50" cm="1" t="str">
        <f t="array" ref="F32:F32">OFFSET(E32,-1,1)</f>
        <v>0</v>
      </c>
      <c r="G32" s="1304"/>
      <c r="H32" s="98" t="s">
        <v>1257</v>
      </c>
      <c r="I32" s="1304"/>
      <c r="J32" s="1304"/>
      <c r="K32" s="1304"/>
      <c r="L32" s="1304"/>
      <c r="M32" s="1304"/>
      <c r="N32" s="1304"/>
      <c r="O32" s="1304"/>
      <c r="P32" s="1442"/>
      <c r="Q32" s="1442"/>
      <c r="R32" s="1442"/>
      <c r="S32" s="1442"/>
      <c r="T32" s="465" cm="1" t="str">
        <f t="array" ref="T32:T32">T31</f>
        <v>false</v>
      </c>
      <c r="U32" s="1442"/>
      <c r="V32" s="1304"/>
      <c r="W32" s="1442"/>
      <c r="X32" s="1563"/>
      <c r="Y32" s="1545"/>
      <c r="Z32" s="1304"/>
      <c r="AA32" s="1304"/>
      <c r="AB32" s="240" t="s">
        <v>1258</v>
      </c>
      <c r="AC32" s="330" t="s">
        <v>1259</v>
      </c>
      <c r="AD32" s="93" t="s">
        <v>1247</v>
      </c>
      <c r="AE32" s="2113"/>
      <c r="AF32" s="2113"/>
      <c r="AG32" s="2113"/>
      <c r="AH32" s="2113"/>
      <c r="AI32" s="2113"/>
      <c r="AJ32" s="2113"/>
      <c r="AK32" s="2113"/>
      <c r="AL32" s="2113"/>
      <c r="AM32" s="2113"/>
      <c r="AN32" s="2113"/>
      <c r="AO32" s="2113"/>
      <c r="AP32" s="2113"/>
      <c r="AQ32" s="2113"/>
      <c r="AR32" s="2113"/>
      <c r="AS32" s="2113"/>
      <c r="AT32" s="2113"/>
      <c r="AU32" s="2113"/>
      <c r="AV32" s="2113"/>
      <c r="AW32" s="2113"/>
      <c r="AX32" s="2113"/>
      <c r="AY32" s="2113"/>
      <c r="AZ32" s="2113"/>
      <c r="BA32" s="2113"/>
      <c r="BB32" s="2113"/>
      <c r="BC32" s="2117"/>
      <c r="BD32" s="1304"/>
      <c r="BE32" s="1304"/>
      <c r="BF32" s="1015" t="s">
        <v>1260</v>
      </c>
    </row>
    <row customHeight="1" ht="14.625" hidden="1">
      <c r="A33" s="1304"/>
      <c r="B33" s="1436"/>
      <c r="C33" s="1304"/>
      <c r="D33" s="1304"/>
      <c r="E33" s="632">
        <v>15</v>
      </c>
      <c r="F33" s="50" cm="1" t="str">
        <f t="array" ref="F33:F33">OFFSET(E33,-1,1)</f>
        <v>0</v>
      </c>
      <c r="G33" s="1304"/>
      <c r="H33" s="98" t="s">
        <v>335</v>
      </c>
      <c r="I33" s="1304"/>
      <c r="J33" s="1304"/>
      <c r="K33" s="1304"/>
      <c r="L33" s="1304"/>
      <c r="M33" s="1304"/>
      <c r="N33" s="1304"/>
      <c r="O33" s="1304"/>
      <c r="P33" s="1442"/>
      <c r="Q33" s="1442"/>
      <c r="R33" s="1442"/>
      <c r="S33" s="1442"/>
      <c r="T33" s="465" cm="1" t="str">
        <f t="array" ref="T33:T33">T32</f>
        <v>false</v>
      </c>
      <c r="U33" s="1442"/>
      <c r="V33" s="1304"/>
      <c r="W33" s="1442"/>
      <c r="X33" s="1563"/>
      <c r="Y33" s="1545"/>
      <c r="Z33" s="1304"/>
      <c r="AA33" s="1304"/>
      <c r="AB33" s="240" t="s">
        <v>289</v>
      </c>
      <c r="AC33" s="330" t="s">
        <v>1261</v>
      </c>
      <c r="AD33" s="93" t="s">
        <v>1247</v>
      </c>
      <c r="AE33" s="315">
        <f>SUM(AE34:AE35)</f>
        <v>0</v>
      </c>
      <c r="AF33" s="315">
        <f>SUM(AF34:AF35)</f>
        <v>0</v>
      </c>
      <c r="AG33" s="315">
        <f>SUM(AG34:AG35)</f>
        <v>0</v>
      </c>
      <c r="AH33" s="315">
        <f>SUM(AH34:AH35)</f>
        <v>0</v>
      </c>
      <c r="AI33" s="315">
        <f>SUM(AI34:AI35)</f>
        <v>0</v>
      </c>
      <c r="AJ33" s="315">
        <f>SUM(AJ34:AJ35)</f>
        <v>0</v>
      </c>
      <c r="AK33" s="315">
        <f>SUM(AK34:AK35)</f>
        <v>0</v>
      </c>
      <c r="AL33" s="315">
        <f>SUM(AL34:AL35)</f>
        <v>0</v>
      </c>
      <c r="AM33" s="315">
        <f>SUM(AM34:AM35)</f>
        <v>0</v>
      </c>
      <c r="AN33" s="315">
        <f>SUM(AN34:AN35)</f>
        <v>0</v>
      </c>
      <c r="AO33" s="315">
        <f>SUM(AO34:AO35)</f>
        <v>0</v>
      </c>
      <c r="AP33" s="315">
        <f>SUM(AP34:AP35)</f>
        <v>0</v>
      </c>
      <c r="AQ33" s="315">
        <f>SUM(AQ34:AQ35)</f>
        <v>0</v>
      </c>
      <c r="AR33" s="315">
        <f>SUM(AR34:AR35)</f>
        <v>0</v>
      </c>
      <c r="AS33" s="315">
        <f>SUM(AS34:AS35)</f>
        <v>0</v>
      </c>
      <c r="AT33" s="315">
        <f>SUM(AT34:AT35)</f>
        <v>0</v>
      </c>
      <c r="AU33" s="315">
        <f>SUM(AU34:AU35)</f>
        <v>0</v>
      </c>
      <c r="AV33" s="315">
        <f>SUM(AV34:AV35)</f>
        <v>0</v>
      </c>
      <c r="AW33" s="315">
        <f>SUM(AW34:AW35)</f>
        <v>0</v>
      </c>
      <c r="AX33" s="315">
        <f>SUM(AX34:AX35)</f>
        <v>0</v>
      </c>
      <c r="AY33" s="315">
        <f>SUM(AY34:AY35)</f>
        <v>0</v>
      </c>
      <c r="AZ33" s="315">
        <f>SUM(AZ34:AZ35)</f>
        <v>0</v>
      </c>
      <c r="BA33" s="315">
        <f>SUM(BA34:BA35)</f>
        <v>0</v>
      </c>
      <c r="BB33" s="315">
        <f>SUM(BB34:BB35)</f>
        <v>0</v>
      </c>
      <c r="BC33" s="2117"/>
      <c r="BD33" s="1304"/>
      <c r="BE33" s="1304"/>
      <c r="BF33" s="1015" t="s">
        <v>1262</v>
      </c>
    </row>
    <row customHeight="1" ht="14.625" hidden="1">
      <c r="A34" s="1304"/>
      <c r="B34" s="1436"/>
      <c r="C34" s="1304"/>
      <c r="D34" s="1304"/>
      <c r="E34" s="632">
        <v>15</v>
      </c>
      <c r="F34" s="50" cm="1" t="str">
        <f t="array" ref="F34:F34">OFFSET(E34,-1,1)</f>
        <v>0</v>
      </c>
      <c r="G34" s="1304"/>
      <c r="H34" s="98" t="s">
        <v>1263</v>
      </c>
      <c r="I34" s="1304"/>
      <c r="J34" s="1304"/>
      <c r="K34" s="1304"/>
      <c r="L34" s="1304"/>
      <c r="M34" s="1304"/>
      <c r="N34" s="1304"/>
      <c r="O34" s="1304"/>
      <c r="P34" s="1442"/>
      <c r="Q34" s="1442"/>
      <c r="R34" s="1442"/>
      <c r="S34" s="1442"/>
      <c r="T34" s="465" cm="1" t="str">
        <f t="array" ref="T34:T34">T33</f>
        <v>false</v>
      </c>
      <c r="U34" s="1442"/>
      <c r="V34" s="1304"/>
      <c r="W34" s="1442"/>
      <c r="X34" s="1563"/>
      <c r="Y34" s="1545"/>
      <c r="Z34" s="1304"/>
      <c r="AA34" s="1304"/>
      <c r="AB34" s="240" t="s">
        <v>1264</v>
      </c>
      <c r="AC34" s="192" t="s">
        <v>1265</v>
      </c>
      <c r="AD34" s="93" t="s">
        <v>1247</v>
      </c>
      <c r="AE34" s="2113"/>
      <c r="AF34" s="2113"/>
      <c r="AG34" s="2113"/>
      <c r="AH34" s="2113"/>
      <c r="AI34" s="2113"/>
      <c r="AJ34" s="2113"/>
      <c r="AK34" s="2113"/>
      <c r="AL34" s="2113"/>
      <c r="AM34" s="2113"/>
      <c r="AN34" s="2113"/>
      <c r="AO34" s="2113"/>
      <c r="AP34" s="2113"/>
      <c r="AQ34" s="2113"/>
      <c r="AR34" s="2113"/>
      <c r="AS34" s="2113"/>
      <c r="AT34" s="2113"/>
      <c r="AU34" s="2113"/>
      <c r="AV34" s="2113"/>
      <c r="AW34" s="2113"/>
      <c r="AX34" s="2113"/>
      <c r="AY34" s="2113"/>
      <c r="AZ34" s="2113"/>
      <c r="BA34" s="2113"/>
      <c r="BB34" s="2113"/>
      <c r="BC34" s="2117"/>
      <c r="BD34" s="1304"/>
      <c r="BE34" s="1304"/>
      <c r="BF34" s="1015" t="s">
        <v>1266</v>
      </c>
    </row>
    <row customHeight="1" ht="14.625" hidden="1">
      <c r="A35" s="1304"/>
      <c r="B35" s="1436"/>
      <c r="C35" s="1304"/>
      <c r="D35" s="1304"/>
      <c r="E35" s="632">
        <v>15</v>
      </c>
      <c r="F35" s="50" cm="1" t="str">
        <f t="array" ref="F35:F35">OFFSET(E35,-1,1)</f>
        <v>0</v>
      </c>
      <c r="G35" s="1304"/>
      <c r="H35" s="98" t="s">
        <v>1267</v>
      </c>
      <c r="I35" s="1304"/>
      <c r="J35" s="1304"/>
      <c r="K35" s="1304"/>
      <c r="L35" s="1304"/>
      <c r="M35" s="1304"/>
      <c r="N35" s="1304"/>
      <c r="O35" s="1304"/>
      <c r="P35" s="1442"/>
      <c r="Q35" s="1442"/>
      <c r="R35" s="1442"/>
      <c r="S35" s="1442"/>
      <c r="T35" s="465" cm="1" t="str">
        <f t="array" ref="T35:T35">T34</f>
        <v>false</v>
      </c>
      <c r="U35" s="1442"/>
      <c r="V35" s="1304"/>
      <c r="W35" s="1442"/>
      <c r="X35" s="1563"/>
      <c r="Y35" s="1545"/>
      <c r="Z35" s="1304"/>
      <c r="AA35" s="1304"/>
      <c r="AB35" s="240" t="s">
        <v>1268</v>
      </c>
      <c r="AC35" s="192" t="s">
        <v>1269</v>
      </c>
      <c r="AD35" s="93" t="s">
        <v>1247</v>
      </c>
      <c r="AE35" s="2113"/>
      <c r="AF35" s="2113"/>
      <c r="AG35" s="2113"/>
      <c r="AH35" s="2113"/>
      <c r="AI35" s="2113"/>
      <c r="AJ35" s="2113"/>
      <c r="AK35" s="2113"/>
      <c r="AL35" s="2113"/>
      <c r="AM35" s="2113"/>
      <c r="AN35" s="2113"/>
      <c r="AO35" s="2113"/>
      <c r="AP35" s="2113"/>
      <c r="AQ35" s="2113"/>
      <c r="AR35" s="2113"/>
      <c r="AS35" s="2113"/>
      <c r="AT35" s="2113"/>
      <c r="AU35" s="2113"/>
      <c r="AV35" s="2113"/>
      <c r="AW35" s="2113"/>
      <c r="AX35" s="2113"/>
      <c r="AY35" s="2113"/>
      <c r="AZ35" s="2113"/>
      <c r="BA35" s="2113"/>
      <c r="BB35" s="2113"/>
      <c r="BC35" s="2117"/>
      <c r="BD35" s="1304"/>
      <c r="BE35" s="1304"/>
      <c r="BF35" s="1015" t="s">
        <v>1270</v>
      </c>
    </row>
    <row customHeight="1" ht="14.625" hidden="1">
      <c r="A36" s="1304"/>
      <c r="B36" s="1436"/>
      <c r="C36" s="1304"/>
      <c r="D36" s="1304"/>
      <c r="E36" s="632">
        <v>15</v>
      </c>
      <c r="F36" s="50" cm="1" t="str">
        <f t="array" ref="F36:F36">OFFSET(E36,-1,1)</f>
        <v>0</v>
      </c>
      <c r="G36" s="1304"/>
      <c r="H36" s="98" t="s">
        <v>1225</v>
      </c>
      <c r="I36" s="1304"/>
      <c r="J36" s="1304"/>
      <c r="K36" s="1304"/>
      <c r="L36" s="1304"/>
      <c r="M36" s="1304"/>
      <c r="N36" s="1304"/>
      <c r="O36" s="1304"/>
      <c r="P36" s="1442"/>
      <c r="Q36" s="1442"/>
      <c r="R36" s="1442"/>
      <c r="S36" s="1442"/>
      <c r="T36" s="465" cm="1" t="str">
        <f t="array" ref="T36:T36">T35</f>
        <v>false</v>
      </c>
      <c r="U36" s="1442"/>
      <c r="V36" s="1304"/>
      <c r="W36" s="1442"/>
      <c r="X36" s="1563"/>
      <c r="Y36" s="1545"/>
      <c r="Z36" s="1304"/>
      <c r="AA36" s="1304"/>
      <c r="AB36" s="240" t="s">
        <v>295</v>
      </c>
      <c r="AC36" s="329" t="s">
        <v>1271</v>
      </c>
      <c r="AD36" s="93" t="s">
        <v>1247</v>
      </c>
      <c r="AE36" s="2069"/>
      <c r="AF36" s="2069"/>
      <c r="AG36" s="2069"/>
      <c r="AH36" s="2069"/>
      <c r="AI36" s="2069"/>
      <c r="AJ36" s="2069"/>
      <c r="AK36" s="2069"/>
      <c r="AL36" s="2069"/>
      <c r="AM36" s="2069"/>
      <c r="AN36" s="2069"/>
      <c r="AO36" s="2069"/>
      <c r="AP36" s="2069"/>
      <c r="AQ36" s="2069"/>
      <c r="AR36" s="2069"/>
      <c r="AS36" s="2069"/>
      <c r="AT36" s="2069"/>
      <c r="AU36" s="2069"/>
      <c r="AV36" s="2069"/>
      <c r="AW36" s="2069"/>
      <c r="AX36" s="2069"/>
      <c r="AY36" s="2069"/>
      <c r="AZ36" s="2069"/>
      <c r="BA36" s="2069"/>
      <c r="BB36" s="2069"/>
      <c r="BC36" s="2117"/>
      <c r="BD36" s="1304"/>
      <c r="BE36" s="1304"/>
      <c r="BF36" s="1015" t="s">
        <v>1272</v>
      </c>
    </row>
    <row customHeight="1" ht="14.625" hidden="1">
      <c r="A37" s="1304"/>
      <c r="B37" s="1436"/>
      <c r="C37" s="1304"/>
      <c r="D37" s="1304"/>
      <c r="E37" s="632">
        <v>15</v>
      </c>
      <c r="F37" s="50" cm="1" t="str">
        <f t="array" ref="F37:F37">OFFSET(E37,-1,1)</f>
        <v>0</v>
      </c>
      <c r="G37" s="1304"/>
      <c r="H37" s="98" t="s">
        <v>1228</v>
      </c>
      <c r="I37" s="1304"/>
      <c r="J37" s="1304"/>
      <c r="K37" s="1304"/>
      <c r="L37" s="1304"/>
      <c r="M37" s="1304"/>
      <c r="N37" s="1304"/>
      <c r="O37" s="1304"/>
      <c r="P37" s="1442"/>
      <c r="Q37" s="1442"/>
      <c r="R37" s="1442"/>
      <c r="S37" s="1442"/>
      <c r="T37" s="465" cm="1" t="str">
        <f t="array" ref="T37:T37">T36</f>
        <v>false</v>
      </c>
      <c r="U37" s="1442"/>
      <c r="V37" s="1304"/>
      <c r="W37" s="1442"/>
      <c r="X37" s="1563"/>
      <c r="Y37" s="1545"/>
      <c r="Z37" s="1304"/>
      <c r="AA37" s="1304"/>
      <c r="AB37" s="240" t="s">
        <v>443</v>
      </c>
      <c r="AC37" s="329" t="s">
        <v>1273</v>
      </c>
      <c r="AD37" s="93" t="s">
        <v>1247</v>
      </c>
      <c r="AE37" s="2113"/>
      <c r="AF37" s="2113"/>
      <c r="AG37" s="2113"/>
      <c r="AH37" s="2113"/>
      <c r="AI37" s="2113"/>
      <c r="AJ37" s="2113"/>
      <c r="AK37" s="2113"/>
      <c r="AL37" s="2113"/>
      <c r="AM37" s="2113"/>
      <c r="AN37" s="2113"/>
      <c r="AO37" s="2113"/>
      <c r="AP37" s="2113"/>
      <c r="AQ37" s="2113"/>
      <c r="AR37" s="2113"/>
      <c r="AS37" s="2113"/>
      <c r="AT37" s="2113"/>
      <c r="AU37" s="2113"/>
      <c r="AV37" s="2113"/>
      <c r="AW37" s="2113"/>
      <c r="AX37" s="2113"/>
      <c r="AY37" s="2113"/>
      <c r="AZ37" s="2113"/>
      <c r="BA37" s="2113"/>
      <c r="BB37" s="2113"/>
      <c r="BC37" s="2117"/>
      <c r="BD37" s="1304"/>
      <c r="BE37" s="1304"/>
      <c r="BF37" s="1015" t="s">
        <v>1274</v>
      </c>
    </row>
    <row customHeight="1" ht="14.625" hidden="1">
      <c r="A38" s="1304"/>
      <c r="B38" s="1436"/>
      <c r="C38" s="1304"/>
      <c r="D38" s="1304"/>
      <c r="E38" s="632">
        <v>15</v>
      </c>
      <c r="F38" s="50" cm="1" t="str">
        <f t="array" ref="F38:F38">OFFSET(E38,-1,1)</f>
        <v>0</v>
      </c>
      <c r="G38" s="1304"/>
      <c r="H38" s="98" t="s">
        <v>1275</v>
      </c>
      <c r="I38" s="1304"/>
      <c r="J38" s="1304"/>
      <c r="K38" s="1304"/>
      <c r="L38" s="1304"/>
      <c r="M38" s="1304"/>
      <c r="N38" s="1304"/>
      <c r="O38" s="1304"/>
      <c r="P38" s="1442"/>
      <c r="Q38" s="1442"/>
      <c r="R38" s="1442"/>
      <c r="S38" s="1442"/>
      <c r="T38" s="465" cm="1" t="str">
        <f t="array" ref="T38:T38">T37</f>
        <v>false</v>
      </c>
      <c r="U38" s="1442"/>
      <c r="V38" s="1304"/>
      <c r="W38" s="1442"/>
      <c r="X38" s="1563"/>
      <c r="Y38" s="1545"/>
      <c r="Z38" s="1304"/>
      <c r="AA38" s="1304"/>
      <c r="AB38" s="240" t="s">
        <v>446</v>
      </c>
      <c r="AC38" s="330" t="s">
        <v>1276</v>
      </c>
      <c r="AD38" s="93" t="s">
        <v>1247</v>
      </c>
      <c r="AE38" s="315">
        <f>AE44+AE42</f>
        <v>0</v>
      </c>
      <c r="AF38" s="315">
        <f>AF44+AF42</f>
        <v>0</v>
      </c>
      <c r="AG38" s="315">
        <f>AG44+AG42</f>
        <v>0</v>
      </c>
      <c r="AH38" s="315">
        <f>AH44+AH42</f>
        <v>0</v>
      </c>
      <c r="AI38" s="315">
        <f>AI44+AI42</f>
        <v>0</v>
      </c>
      <c r="AJ38" s="315">
        <f>AJ44+AJ42</f>
        <v>0</v>
      </c>
      <c r="AK38" s="315">
        <f>AK44+AK42</f>
        <v>0</v>
      </c>
      <c r="AL38" s="315">
        <f>AL44+AL42</f>
        <v>0</v>
      </c>
      <c r="AM38" s="315">
        <f>AM44+AM42</f>
        <v>0</v>
      </c>
      <c r="AN38" s="315">
        <f>AN44+AN42</f>
        <v>0</v>
      </c>
      <c r="AO38" s="315">
        <f>AO44+AO42</f>
        <v>0</v>
      </c>
      <c r="AP38" s="315">
        <f>AP44+AP42</f>
        <v>0</v>
      </c>
      <c r="AQ38" s="315">
        <f>AQ44+AQ42</f>
        <v>0</v>
      </c>
      <c r="AR38" s="315">
        <f>AR44+AR42</f>
        <v>0</v>
      </c>
      <c r="AS38" s="315">
        <f>AS44+AS42</f>
        <v>0</v>
      </c>
      <c r="AT38" s="315">
        <f>AT44+AT42</f>
        <v>0</v>
      </c>
      <c r="AU38" s="315">
        <f>AU44+AU42</f>
        <v>0</v>
      </c>
      <c r="AV38" s="315">
        <f>AV44+AV42</f>
        <v>0</v>
      </c>
      <c r="AW38" s="315">
        <f>AW44+AW42</f>
        <v>0</v>
      </c>
      <c r="AX38" s="315">
        <f>AX44+AX42</f>
        <v>0</v>
      </c>
      <c r="AY38" s="315">
        <f>AY44+AY42</f>
        <v>0</v>
      </c>
      <c r="AZ38" s="315">
        <f>AZ44+AZ42</f>
        <v>0</v>
      </c>
      <c r="BA38" s="315">
        <f>BA44+BA42</f>
        <v>0</v>
      </c>
      <c r="BB38" s="315">
        <f>BB44+BB42</f>
        <v>0</v>
      </c>
      <c r="BC38" s="2117"/>
      <c r="BD38" s="1304"/>
      <c r="BE38" s="1304"/>
      <c r="BF38" s="1015" t="s">
        <v>1277</v>
      </c>
    </row>
    <row customHeight="1" ht="21.9375" hidden="1">
      <c r="A39" s="1304"/>
      <c r="B39" s="1436"/>
      <c r="C39" s="1304"/>
      <c r="D39" s="1304"/>
      <c r="E39" s="632">
        <v>22.5</v>
      </c>
      <c r="F39" s="50" cm="1" t="str">
        <f t="array" ref="F39:F39">OFFSET(E39,-1,1)</f>
        <v>0</v>
      </c>
      <c r="G39" s="1304"/>
      <c r="H39" s="98" t="s">
        <v>1278</v>
      </c>
      <c r="I39" s="1304"/>
      <c r="J39" s="1304"/>
      <c r="K39" s="1304"/>
      <c r="L39" s="1304"/>
      <c r="M39" s="1304"/>
      <c r="N39" s="1304"/>
      <c r="O39" s="1304"/>
      <c r="P39" s="1442"/>
      <c r="Q39" s="1442"/>
      <c r="R39" s="1442"/>
      <c r="S39" s="1442"/>
      <c r="T39" s="465" cm="1" t="str">
        <f t="array" ref="T39:T39">T38</f>
        <v>false</v>
      </c>
      <c r="U39" s="1442"/>
      <c r="V39" s="1304"/>
      <c r="W39" s="1442"/>
      <c r="X39" s="1563"/>
      <c r="Y39" s="1545"/>
      <c r="Z39" s="1304"/>
      <c r="AA39" s="1304"/>
      <c r="AB39" s="240" t="s">
        <v>1279</v>
      </c>
      <c r="AC39" s="192" t="s">
        <v>1280</v>
      </c>
      <c r="AD39" s="93" t="s">
        <v>1247</v>
      </c>
      <c r="AE39" s="2113"/>
      <c r="AF39" s="2113"/>
      <c r="AG39" s="2113"/>
      <c r="AH39" s="2113"/>
      <c r="AI39" s="2113"/>
      <c r="AJ39" s="2113"/>
      <c r="AK39" s="2113"/>
      <c r="AL39" s="2113"/>
      <c r="AM39" s="2113"/>
      <c r="AN39" s="2113"/>
      <c r="AO39" s="2113"/>
      <c r="AP39" s="2113"/>
      <c r="AQ39" s="2113"/>
      <c r="AR39" s="2113"/>
      <c r="AS39" s="2113"/>
      <c r="AT39" s="2113"/>
      <c r="AU39" s="2113"/>
      <c r="AV39" s="2113"/>
      <c r="AW39" s="2113"/>
      <c r="AX39" s="2113"/>
      <c r="AY39" s="2113"/>
      <c r="AZ39" s="2113"/>
      <c r="BA39" s="2113"/>
      <c r="BB39" s="2113"/>
      <c r="BC39" s="2117"/>
      <c r="BD39" s="1304"/>
      <c r="BE39" s="1304"/>
      <c r="BF39" s="1015" t="s">
        <v>1281</v>
      </c>
    </row>
    <row customHeight="1" ht="14.625" hidden="1">
      <c r="A40" s="1304"/>
      <c r="B40" s="1436"/>
      <c r="C40" s="1304"/>
      <c r="D40" s="1304"/>
      <c r="E40" s="632">
        <v>15</v>
      </c>
      <c r="F40" s="50" cm="1" t="str">
        <f t="array" ref="F40:F40">OFFSET(E40,-1,1)</f>
        <v>0</v>
      </c>
      <c r="G40" s="1304"/>
      <c r="H40" s="98" t="s">
        <v>1282</v>
      </c>
      <c r="I40" s="1304"/>
      <c r="J40" s="1304"/>
      <c r="K40" s="1304"/>
      <c r="L40" s="1304"/>
      <c r="M40" s="1304"/>
      <c r="N40" s="1304"/>
      <c r="O40" s="1304"/>
      <c r="P40" s="1442"/>
      <c r="Q40" s="1442"/>
      <c r="R40" s="1442"/>
      <c r="S40" s="1442"/>
      <c r="T40" s="465" cm="1" t="str">
        <f t="array" ref="T40:T40">T39</f>
        <v>false</v>
      </c>
      <c r="U40" s="1442"/>
      <c r="V40" s="1304"/>
      <c r="W40" s="1442"/>
      <c r="X40" s="1563"/>
      <c r="Y40" s="1545"/>
      <c r="Z40" s="1304"/>
      <c r="AA40" s="1304"/>
      <c r="AB40" s="240" t="s">
        <v>1283</v>
      </c>
      <c r="AC40" s="192" t="s">
        <v>1284</v>
      </c>
      <c r="AD40" s="93" t="s">
        <v>1247</v>
      </c>
      <c r="AE40" s="2113"/>
      <c r="AF40" s="2113"/>
      <c r="AG40" s="2113"/>
      <c r="AH40" s="2113"/>
      <c r="AI40" s="2113"/>
      <c r="AJ40" s="2113"/>
      <c r="AK40" s="2113"/>
      <c r="AL40" s="2113"/>
      <c r="AM40" s="2113"/>
      <c r="AN40" s="2113"/>
      <c r="AO40" s="2113"/>
      <c r="AP40" s="2113"/>
      <c r="AQ40" s="2113"/>
      <c r="AR40" s="2113"/>
      <c r="AS40" s="2113"/>
      <c r="AT40" s="2113"/>
      <c r="AU40" s="2113"/>
      <c r="AV40" s="2113"/>
      <c r="AW40" s="2113"/>
      <c r="AX40" s="2113"/>
      <c r="AY40" s="2113"/>
      <c r="AZ40" s="2113"/>
      <c r="BA40" s="2113"/>
      <c r="BB40" s="2113"/>
      <c r="BC40" s="2117"/>
      <c r="BD40" s="1304"/>
      <c r="BE40" s="1304"/>
      <c r="BF40" s="1015" t="s">
        <v>1285</v>
      </c>
    </row>
    <row customHeight="1" ht="21.9375" hidden="1">
      <c r="A41" s="1304"/>
      <c r="B41" s="1436"/>
      <c r="C41" s="1304"/>
      <c r="D41" s="1304"/>
      <c r="E41" s="632">
        <v>22.5</v>
      </c>
      <c r="F41" s="50" cm="1" t="str">
        <f t="array" ref="F41:F41">OFFSET(E41,-1,1)</f>
        <v>0</v>
      </c>
      <c r="G41" s="1304"/>
      <c r="H41" s="98" t="s">
        <v>1286</v>
      </c>
      <c r="I41" s="1304"/>
      <c r="J41" s="1304"/>
      <c r="K41" s="1304"/>
      <c r="L41" s="1304"/>
      <c r="M41" s="1304"/>
      <c r="N41" s="1304"/>
      <c r="O41" s="1304"/>
      <c r="P41" s="1442"/>
      <c r="Q41" s="1442"/>
      <c r="R41" s="1442"/>
      <c r="S41" s="1442"/>
      <c r="T41" s="465" cm="1" t="str">
        <f t="array" ref="T41:T41">T40</f>
        <v>false</v>
      </c>
      <c r="U41" s="1442"/>
      <c r="V41" s="1304"/>
      <c r="W41" s="1442"/>
      <c r="X41" s="1563"/>
      <c r="Y41" s="1545"/>
      <c r="Z41" s="1304"/>
      <c r="AA41" s="1304"/>
      <c r="AB41" s="240" t="s">
        <v>1287</v>
      </c>
      <c r="AC41" s="192" t="s">
        <v>1288</v>
      </c>
      <c r="AD41" s="93" t="s">
        <v>1247</v>
      </c>
      <c r="AE41" s="2113"/>
      <c r="AF41" s="2113"/>
      <c r="AG41" s="2113"/>
      <c r="AH41" s="2113"/>
      <c r="AI41" s="2113"/>
      <c r="AJ41" s="2113"/>
      <c r="AK41" s="2113"/>
      <c r="AL41" s="2113"/>
      <c r="AM41" s="2113"/>
      <c r="AN41" s="2113"/>
      <c r="AO41" s="2113"/>
      <c r="AP41" s="2113"/>
      <c r="AQ41" s="2113"/>
      <c r="AR41" s="2113"/>
      <c r="AS41" s="2113"/>
      <c r="AT41" s="2113"/>
      <c r="AU41" s="2113"/>
      <c r="AV41" s="2113"/>
      <c r="AW41" s="2113"/>
      <c r="AX41" s="2113"/>
      <c r="AY41" s="2113"/>
      <c r="AZ41" s="2113"/>
      <c r="BA41" s="2113"/>
      <c r="BB41" s="2113"/>
      <c r="BC41" s="2117"/>
      <c r="BD41" s="1304"/>
      <c r="BE41" s="1304"/>
      <c r="BF41" s="1015" t="s">
        <v>1289</v>
      </c>
    </row>
    <row customHeight="1" ht="14.625" hidden="1">
      <c r="A42" s="1304"/>
      <c r="B42" s="1436"/>
      <c r="C42" s="1304"/>
      <c r="D42" s="1304"/>
      <c r="E42" s="632">
        <v>15</v>
      </c>
      <c r="F42" s="50" cm="1" t="str">
        <f t="array" ref="F42:F42">OFFSET(E42,-1,1)</f>
        <v>0</v>
      </c>
      <c r="G42" s="1304"/>
      <c r="H42" s="98" t="s">
        <v>1290</v>
      </c>
      <c r="I42" s="1304"/>
      <c r="J42" s="1304"/>
      <c r="K42" s="1304"/>
      <c r="L42" s="1304"/>
      <c r="M42" s="1304"/>
      <c r="N42" s="1304"/>
      <c r="O42" s="1304"/>
      <c r="P42" s="1442"/>
      <c r="Q42" s="1442"/>
      <c r="R42" s="1442"/>
      <c r="S42" s="1442"/>
      <c r="T42" s="465" cm="1" t="str">
        <f t="array" ref="T42:T42">T41</f>
        <v>false</v>
      </c>
      <c r="U42" s="1442"/>
      <c r="V42" s="1304"/>
      <c r="W42" s="1442"/>
      <c r="X42" s="1563"/>
      <c r="Y42" s="1545"/>
      <c r="Z42" s="1304"/>
      <c r="AA42" s="1304"/>
      <c r="AB42" s="240" t="s">
        <v>449</v>
      </c>
      <c r="AC42" s="329" t="s">
        <v>1291</v>
      </c>
      <c r="AD42" s="93" t="s">
        <v>1247</v>
      </c>
      <c r="AE42" s="2113"/>
      <c r="AF42" s="2113"/>
      <c r="AG42" s="2113"/>
      <c r="AH42" s="2113"/>
      <c r="AI42" s="2113"/>
      <c r="AJ42" s="2113"/>
      <c r="AK42" s="2113"/>
      <c r="AL42" s="2113"/>
      <c r="AM42" s="2113"/>
      <c r="AN42" s="2113"/>
      <c r="AO42" s="2113"/>
      <c r="AP42" s="2113"/>
      <c r="AQ42" s="2113"/>
      <c r="AR42" s="2113"/>
      <c r="AS42" s="2113"/>
      <c r="AT42" s="2113"/>
      <c r="AU42" s="2113"/>
      <c r="AV42" s="2113"/>
      <c r="AW42" s="2113"/>
      <c r="AX42" s="2113"/>
      <c r="AY42" s="2113"/>
      <c r="AZ42" s="2113"/>
      <c r="BA42" s="2113"/>
      <c r="BB42" s="2113"/>
      <c r="BC42" s="2117"/>
      <c r="BD42" s="1304"/>
      <c r="BE42" s="1304"/>
      <c r="BF42" s="1015" t="s">
        <v>1292</v>
      </c>
    </row>
    <row customHeight="1" ht="14.625" hidden="1">
      <c r="A43" s="1304"/>
      <c r="B43" s="1436"/>
      <c r="C43" s="1304"/>
      <c r="D43" s="1304"/>
      <c r="E43" s="632">
        <v>15</v>
      </c>
      <c r="F43" s="50" cm="1" t="str">
        <f t="array" ref="F43:F43">OFFSET(E43,-1,1)</f>
        <v>0</v>
      </c>
      <c r="G43" s="1304"/>
      <c r="H43" s="98" t="s">
        <v>1293</v>
      </c>
      <c r="I43" s="1304"/>
      <c r="J43" s="1304"/>
      <c r="K43" s="1304"/>
      <c r="L43" s="1304"/>
      <c r="M43" s="1304"/>
      <c r="N43" s="1304"/>
      <c r="O43" s="1304"/>
      <c r="P43" s="1442"/>
      <c r="Q43" s="1442"/>
      <c r="R43" s="1442"/>
      <c r="S43" s="1442"/>
      <c r="T43" s="465" cm="1" t="str">
        <f t="array" ref="T43:T43">T42</f>
        <v>false</v>
      </c>
      <c r="U43" s="1442"/>
      <c r="V43" s="1304"/>
      <c r="W43" s="1442"/>
      <c r="X43" s="1563"/>
      <c r="Y43" s="1545"/>
      <c r="Z43" s="1304"/>
      <c r="AA43" s="1304"/>
      <c r="AB43" s="240" t="s">
        <v>1294</v>
      </c>
      <c r="AC43" s="331" t="s">
        <v>1295</v>
      </c>
      <c r="AD43" s="93" t="s">
        <v>1170</v>
      </c>
      <c r="AE43" s="1940">
        <f>IF(AE38=0,0,AE42/AE38*100)</f>
        <v>0</v>
      </c>
      <c r="AF43" s="1940">
        <f>IF(AF38=0,0,AF42/AF38*100)</f>
        <v>0</v>
      </c>
      <c r="AG43" s="1940">
        <f>IF(AG38=0,0,AG42/AG38*100)</f>
        <v>0</v>
      </c>
      <c r="AH43" s="1940">
        <f>IF(AH38=0,0,AH42/AH38*100)</f>
        <v>0</v>
      </c>
      <c r="AI43" s="1940">
        <f>IF(AI38=0,0,AI42/AI38*100)</f>
        <v>0</v>
      </c>
      <c r="AJ43" s="1940">
        <f>IF(AJ38=0,0,AJ42/AJ38*100)</f>
        <v>0</v>
      </c>
      <c r="AK43" s="1940">
        <f>IF(AK38=0,0,AK42/AK38*100)</f>
        <v>0</v>
      </c>
      <c r="AL43" s="1940">
        <f>IF(AL38=0,0,AL42/AL38*100)</f>
        <v>0</v>
      </c>
      <c r="AM43" s="1940">
        <f>IF(AM38=0,0,AM42/AM38*100)</f>
        <v>0</v>
      </c>
      <c r="AN43" s="1940">
        <f>IF(AN38=0,0,AN42/AN38*100)</f>
        <v>0</v>
      </c>
      <c r="AO43" s="1940">
        <f>IF(AO38=0,0,AO42/AO38*100)</f>
        <v>0</v>
      </c>
      <c r="AP43" s="1940">
        <f>IF(AP38=0,0,AP42/AP38*100)</f>
        <v>0</v>
      </c>
      <c r="AQ43" s="1940">
        <f>IF(AQ38=0,0,AQ42/AQ38*100)</f>
        <v>0</v>
      </c>
      <c r="AR43" s="1940">
        <f>IF(AR38=0,0,AR42/AR38*100)</f>
        <v>0</v>
      </c>
      <c r="AS43" s="1940">
        <f>IF(AS38=0,0,AS42/AS38*100)</f>
        <v>0</v>
      </c>
      <c r="AT43" s="1940">
        <f>IF(AT38=0,0,AT42/AT38*100)</f>
        <v>0</v>
      </c>
      <c r="AU43" s="1940">
        <f>IF(AU38=0,0,AU42/AU38*100)</f>
        <v>0</v>
      </c>
      <c r="AV43" s="1940">
        <f>IF(AV38=0,0,AV42/AV38*100)</f>
        <v>0</v>
      </c>
      <c r="AW43" s="1940">
        <f>IF(AW38=0,0,AW42/AW38*100)</f>
        <v>0</v>
      </c>
      <c r="AX43" s="1940">
        <f>IF(AX38=0,0,AX42/AX38*100)</f>
        <v>0</v>
      </c>
      <c r="AY43" s="1940">
        <f>IF(AY38=0,0,AY42/AY38*100)</f>
        <v>0</v>
      </c>
      <c r="AZ43" s="1940">
        <f>IF(AZ38=0,0,AZ42/AZ38*100)</f>
        <v>0</v>
      </c>
      <c r="BA43" s="1940">
        <f>IF(BA38=0,0,BA42/BA38*100)</f>
        <v>0</v>
      </c>
      <c r="BB43" s="1940">
        <f>IF(BB38=0,0,BB42/BB38*100)</f>
        <v>0</v>
      </c>
      <c r="BC43" s="2117"/>
      <c r="BD43" s="1304"/>
      <c r="BE43" s="1304"/>
      <c r="BF43" s="1015" t="s">
        <v>1296</v>
      </c>
    </row>
    <row customHeight="1" ht="14.625" hidden="1">
      <c r="A44" s="1304"/>
      <c r="B44" s="1436"/>
      <c r="C44" s="1304"/>
      <c r="D44" s="1304"/>
      <c r="E44" s="632">
        <v>15</v>
      </c>
      <c r="F44" s="50" cm="1" t="str">
        <f t="array" ref="F44:F44">OFFSET(E44,-1,1)</f>
        <v>0</v>
      </c>
      <c r="G44" s="1304"/>
      <c r="H44" s="98" t="s">
        <v>1297</v>
      </c>
      <c r="I44" s="1304"/>
      <c r="J44" s="1304"/>
      <c r="K44" s="1304"/>
      <c r="L44" s="1304"/>
      <c r="M44" s="1304"/>
      <c r="N44" s="1304"/>
      <c r="O44" s="1304"/>
      <c r="P44" s="1442"/>
      <c r="Q44" s="1442"/>
      <c r="R44" s="1442"/>
      <c r="S44" s="1442"/>
      <c r="T44" s="465" cm="1" t="str">
        <f t="array" ref="T44:T44">T43</f>
        <v>false</v>
      </c>
      <c r="U44" s="1442"/>
      <c r="V44" s="1304"/>
      <c r="W44" s="1442"/>
      <c r="X44" s="1563"/>
      <c r="Y44" s="1545"/>
      <c r="Z44" s="1304"/>
      <c r="AA44" s="1304"/>
      <c r="AB44" s="240" t="s">
        <v>452</v>
      </c>
      <c r="AC44" s="329" t="s">
        <v>1298</v>
      </c>
      <c r="AD44" s="93" t="s">
        <v>1247</v>
      </c>
      <c r="AE44" s="315">
        <f>AE45+AE49+AE52+AE62</f>
        <v>0</v>
      </c>
      <c r="AF44" s="315">
        <f>AF45+AF49+AF52+AF62</f>
        <v>0</v>
      </c>
      <c r="AG44" s="315">
        <f>AG45+AG49+AG52+AG62</f>
        <v>0</v>
      </c>
      <c r="AH44" s="315">
        <f>AH45+AH49+AH52+AH62</f>
        <v>0</v>
      </c>
      <c r="AI44" s="315">
        <f>AI45+AI49+AI52+AI62</f>
        <v>0</v>
      </c>
      <c r="AJ44" s="315">
        <f>AJ45+AJ49+AJ52+AJ62</f>
        <v>0</v>
      </c>
      <c r="AK44" s="315">
        <f>AK45+AK49+AK52+AK62</f>
        <v>0</v>
      </c>
      <c r="AL44" s="315">
        <f>AL45+AL49+AL52+AL62</f>
        <v>0</v>
      </c>
      <c r="AM44" s="315">
        <f>AM45+AM49+AM52+AM62</f>
        <v>0</v>
      </c>
      <c r="AN44" s="315">
        <f>AN45+AN49+AN52+AN62</f>
        <v>0</v>
      </c>
      <c r="AO44" s="315">
        <f>AO45+AO49+AO52+AO62</f>
        <v>0</v>
      </c>
      <c r="AP44" s="315">
        <f>AP45+AP49+AP52+AP62</f>
        <v>0</v>
      </c>
      <c r="AQ44" s="315">
        <f>AQ45+AQ49+AQ52+AQ62</f>
        <v>0</v>
      </c>
      <c r="AR44" s="315">
        <f>AR45+AR49+AR52+AR62</f>
        <v>0</v>
      </c>
      <c r="AS44" s="315">
        <f>AS45+AS49+AS52+AS62</f>
        <v>0</v>
      </c>
      <c r="AT44" s="315">
        <f>AT45+AT49+AT52+AT62</f>
        <v>0</v>
      </c>
      <c r="AU44" s="315">
        <f>AU45+AU49+AU52+AU62</f>
        <v>0</v>
      </c>
      <c r="AV44" s="315">
        <f>AV45+AV49+AV52+AV62</f>
        <v>0</v>
      </c>
      <c r="AW44" s="315">
        <f>AW45+AW49+AW52+AW62</f>
        <v>0</v>
      </c>
      <c r="AX44" s="315">
        <f>AX45+AX49+AX52+AX62</f>
        <v>0</v>
      </c>
      <c r="AY44" s="315">
        <f>AY45+AY49+AY52+AY62</f>
        <v>0</v>
      </c>
      <c r="AZ44" s="315">
        <f>AZ45+AZ49+AZ52+AZ62</f>
        <v>0</v>
      </c>
      <c r="BA44" s="315">
        <f>BA45+BA49+BA52+BA62</f>
        <v>0</v>
      </c>
      <c r="BB44" s="315">
        <f>BB45+BB49+BB52+BB62</f>
        <v>0</v>
      </c>
      <c r="BC44" s="2117"/>
      <c r="BD44" s="1304"/>
      <c r="BE44" s="1304"/>
      <c r="BF44" s="1015" t="s">
        <v>1299</v>
      </c>
    </row>
    <row customHeight="1" ht="14.625" hidden="1">
      <c r="A45" s="1304"/>
      <c r="B45" s="1436"/>
      <c r="C45" s="1304"/>
      <c r="D45" s="1304"/>
      <c r="E45" s="632">
        <v>15</v>
      </c>
      <c r="F45" s="50" cm="1" t="str">
        <f t="array" ref="F45:F45">OFFSET(E45,-1,1)</f>
        <v>0</v>
      </c>
      <c r="G45" s="98" t="str">
        <f>IF(OwnNeedsInPO="да","ПО","")</f>
        <v>ПО</v>
      </c>
      <c r="H45" s="98" t="s">
        <v>1300</v>
      </c>
      <c r="I45" s="1304"/>
      <c r="J45" s="1304"/>
      <c r="K45" s="1304"/>
      <c r="L45" s="1304"/>
      <c r="M45" s="1304"/>
      <c r="N45" s="1304"/>
      <c r="O45" s="1304"/>
      <c r="P45" s="1442"/>
      <c r="Q45" s="1442"/>
      <c r="R45" s="1442"/>
      <c r="S45" s="1442"/>
      <c r="T45" s="465" cm="1" t="str">
        <f t="array" ref="T45:T45">T44</f>
        <v>false</v>
      </c>
      <c r="U45" s="1442"/>
      <c r="V45" s="1304"/>
      <c r="W45" s="1442"/>
      <c r="X45" s="1563"/>
      <c r="Y45" s="1545"/>
      <c r="Z45" s="1304"/>
      <c r="AA45" s="1304"/>
      <c r="AB45" s="240" t="s">
        <v>1301</v>
      </c>
      <c r="AC45" s="192" t="s">
        <v>1302</v>
      </c>
      <c r="AD45" s="93" t="s">
        <v>1247</v>
      </c>
      <c r="AE45" s="315">
        <f>SUM(AE46:AE48)</f>
        <v>0</v>
      </c>
      <c r="AF45" s="315">
        <f>SUM(AF46:AF48)</f>
        <v>0</v>
      </c>
      <c r="AG45" s="315">
        <f>SUM(AG46:AG48)</f>
        <v>0</v>
      </c>
      <c r="AH45" s="315">
        <f>SUM(AH46:AH48)</f>
        <v>0</v>
      </c>
      <c r="AI45" s="315">
        <f>SUM(AI46:AI48)</f>
        <v>0</v>
      </c>
      <c r="AJ45" s="315">
        <f>SUM(AJ46:AJ48)</f>
        <v>0</v>
      </c>
      <c r="AK45" s="315">
        <f>SUM(AK46:AK48)</f>
        <v>0</v>
      </c>
      <c r="AL45" s="315">
        <f>SUM(AL46:AL48)</f>
        <v>0</v>
      </c>
      <c r="AM45" s="315">
        <f>SUM(AM46:AM48)</f>
        <v>0</v>
      </c>
      <c r="AN45" s="315">
        <f>SUM(AN46:AN48)</f>
        <v>0</v>
      </c>
      <c r="AO45" s="315">
        <f>SUM(AO46:AO48)</f>
        <v>0</v>
      </c>
      <c r="AP45" s="315">
        <f>SUM(AP46:AP48)</f>
        <v>0</v>
      </c>
      <c r="AQ45" s="315">
        <f>SUM(AQ46:AQ48)</f>
        <v>0</v>
      </c>
      <c r="AR45" s="315">
        <f>SUM(AR46:AR48)</f>
        <v>0</v>
      </c>
      <c r="AS45" s="315">
        <f>SUM(AS46:AS48)</f>
        <v>0</v>
      </c>
      <c r="AT45" s="315">
        <f>SUM(AT46:AT48)</f>
        <v>0</v>
      </c>
      <c r="AU45" s="315">
        <f>SUM(AU46:AU48)</f>
        <v>0</v>
      </c>
      <c r="AV45" s="315">
        <f>SUM(AV46:AV48)</f>
        <v>0</v>
      </c>
      <c r="AW45" s="315">
        <f>SUM(AW46:AW48)</f>
        <v>0</v>
      </c>
      <c r="AX45" s="315">
        <f>SUM(AX46:AX48)</f>
        <v>0</v>
      </c>
      <c r="AY45" s="315">
        <f>SUM(AY46:AY48)</f>
        <v>0</v>
      </c>
      <c r="AZ45" s="315">
        <f>SUM(AZ46:AZ48)</f>
        <v>0</v>
      </c>
      <c r="BA45" s="315">
        <f>SUM(BA46:BA48)</f>
        <v>0</v>
      </c>
      <c r="BB45" s="315">
        <f>SUM(BB46:BB48)</f>
        <v>0</v>
      </c>
      <c r="BC45" s="2117"/>
      <c r="BD45" s="1304"/>
      <c r="BE45" s="1304"/>
      <c r="BF45" s="1015" t="s">
        <v>1303</v>
      </c>
    </row>
    <row customHeight="1" ht="14.625" hidden="1">
      <c r="A46" s="1304"/>
      <c r="B46" s="1436"/>
      <c r="C46" s="1304"/>
      <c r="D46" s="1304"/>
      <c r="E46" s="632">
        <v>15</v>
      </c>
      <c r="F46" s="50" cm="1" t="str">
        <f t="array" ref="F46:F46">OFFSET(E46,-1,1)</f>
        <v>0</v>
      </c>
      <c r="G46" s="1304"/>
      <c r="H46" s="98" t="s">
        <v>1304</v>
      </c>
      <c r="I46" s="1304"/>
      <c r="J46" s="1304"/>
      <c r="K46" s="1304"/>
      <c r="L46" s="1304"/>
      <c r="M46" s="1304"/>
      <c r="N46" s="1304"/>
      <c r="O46" s="1304"/>
      <c r="P46" s="1442"/>
      <c r="Q46" s="1442"/>
      <c r="R46" s="1442"/>
      <c r="S46" s="1442"/>
      <c r="T46" s="465" cm="1" t="str">
        <f t="array" ref="T46:T46">T45</f>
        <v>false</v>
      </c>
      <c r="U46" s="1442"/>
      <c r="V46" s="1304"/>
      <c r="W46" s="1442"/>
      <c r="X46" s="1563"/>
      <c r="Y46" s="1545"/>
      <c r="Z46" s="1304"/>
      <c r="AA46" s="1304"/>
      <c r="AB46" s="240" t="s">
        <v>1305</v>
      </c>
      <c r="AC46" s="332" t="s">
        <v>1306</v>
      </c>
      <c r="AD46" s="93" t="s">
        <v>1247</v>
      </c>
      <c r="AE46" s="2113"/>
      <c r="AF46" s="2113"/>
      <c r="AG46" s="2113"/>
      <c r="AH46" s="2113"/>
      <c r="AI46" s="2113"/>
      <c r="AJ46" s="2113"/>
      <c r="AK46" s="2113"/>
      <c r="AL46" s="2113"/>
      <c r="AM46" s="2113"/>
      <c r="AN46" s="2113"/>
      <c r="AO46" s="2113"/>
      <c r="AP46" s="2113"/>
      <c r="AQ46" s="2113"/>
      <c r="AR46" s="2113"/>
      <c r="AS46" s="2113"/>
      <c r="AT46" s="2113"/>
      <c r="AU46" s="2113"/>
      <c r="AV46" s="2113"/>
      <c r="AW46" s="2113"/>
      <c r="AX46" s="2113"/>
      <c r="AY46" s="2113"/>
      <c r="AZ46" s="2113"/>
      <c r="BA46" s="2113"/>
      <c r="BB46" s="2113"/>
      <c r="BC46" s="2117"/>
      <c r="BD46" s="1304"/>
      <c r="BE46" s="1304"/>
      <c r="BF46" s="1015" t="s">
        <v>1307</v>
      </c>
    </row>
    <row customHeight="1" ht="14.625" hidden="1">
      <c r="A47" s="1304"/>
      <c r="B47" s="1436"/>
      <c r="C47" s="1304"/>
      <c r="D47" s="1304"/>
      <c r="E47" s="632">
        <v>15</v>
      </c>
      <c r="F47" s="50" cm="1" t="str">
        <f t="array" ref="F47:F47">OFFSET(E47,-1,1)</f>
        <v>0</v>
      </c>
      <c r="G47" s="1304"/>
      <c r="H47" s="98" t="s">
        <v>1308</v>
      </c>
      <c r="I47" s="1304"/>
      <c r="J47" s="1304"/>
      <c r="K47" s="1304"/>
      <c r="L47" s="1304"/>
      <c r="M47" s="1304"/>
      <c r="N47" s="1304"/>
      <c r="O47" s="1304"/>
      <c r="P47" s="1442"/>
      <c r="Q47" s="1442"/>
      <c r="R47" s="1442"/>
      <c r="S47" s="1442"/>
      <c r="T47" s="465" cm="1" t="str">
        <f t="array" ref="T47:T47">T46</f>
        <v>false</v>
      </c>
      <c r="U47" s="1442"/>
      <c r="V47" s="1304"/>
      <c r="W47" s="1442"/>
      <c r="X47" s="1563"/>
      <c r="Y47" s="1545"/>
      <c r="Z47" s="1304"/>
      <c r="AA47" s="1304"/>
      <c r="AB47" s="240" t="s">
        <v>1309</v>
      </c>
      <c r="AC47" s="332" t="s">
        <v>1310</v>
      </c>
      <c r="AD47" s="93" t="s">
        <v>1247</v>
      </c>
      <c r="AE47" s="2113"/>
      <c r="AF47" s="2113"/>
      <c r="AG47" s="2113"/>
      <c r="AH47" s="2113"/>
      <c r="AI47" s="2113"/>
      <c r="AJ47" s="2113"/>
      <c r="AK47" s="2113"/>
      <c r="AL47" s="2113"/>
      <c r="AM47" s="2113"/>
      <c r="AN47" s="2113"/>
      <c r="AO47" s="2113"/>
      <c r="AP47" s="2113"/>
      <c r="AQ47" s="2113"/>
      <c r="AR47" s="2113"/>
      <c r="AS47" s="2113"/>
      <c r="AT47" s="2113"/>
      <c r="AU47" s="2113"/>
      <c r="AV47" s="2113"/>
      <c r="AW47" s="2113"/>
      <c r="AX47" s="2113"/>
      <c r="AY47" s="2113"/>
      <c r="AZ47" s="2113"/>
      <c r="BA47" s="2113"/>
      <c r="BB47" s="2113"/>
      <c r="BC47" s="2117"/>
      <c r="BD47" s="1304"/>
      <c r="BE47" s="1304"/>
      <c r="BF47" s="1015" t="s">
        <v>1311</v>
      </c>
    </row>
    <row customHeight="1" ht="14.625" hidden="1">
      <c r="A48" s="1304"/>
      <c r="B48" s="1436"/>
      <c r="C48" s="1304"/>
      <c r="D48" s="1304"/>
      <c r="E48" s="632">
        <v>15</v>
      </c>
      <c r="F48" s="50" cm="1" t="str">
        <f t="array" ref="F48:F48">OFFSET(E48,-1,1)</f>
        <v>0</v>
      </c>
      <c r="G48" s="1304"/>
      <c r="H48" s="98" t="s">
        <v>1312</v>
      </c>
      <c r="I48" s="1304"/>
      <c r="J48" s="1304"/>
      <c r="K48" s="1304"/>
      <c r="L48" s="1304"/>
      <c r="M48" s="1304"/>
      <c r="N48" s="1304"/>
      <c r="O48" s="1304"/>
      <c r="P48" s="1442"/>
      <c r="Q48" s="1442"/>
      <c r="R48" s="1442"/>
      <c r="S48" s="1442"/>
      <c r="T48" s="465" cm="1" t="str">
        <f t="array" ref="T48:T48">T47</f>
        <v>false</v>
      </c>
      <c r="U48" s="1442"/>
      <c r="V48" s="1304"/>
      <c r="W48" s="1442"/>
      <c r="X48" s="1563"/>
      <c r="Y48" s="1545"/>
      <c r="Z48" s="1304"/>
      <c r="AA48" s="1304"/>
      <c r="AB48" s="240" t="s">
        <v>1313</v>
      </c>
      <c r="AC48" s="332" t="s">
        <v>1314</v>
      </c>
      <c r="AD48" s="93" t="s">
        <v>1247</v>
      </c>
      <c r="AE48" s="2113"/>
      <c r="AF48" s="2113"/>
      <c r="AG48" s="2113"/>
      <c r="AH48" s="2113"/>
      <c r="AI48" s="2113"/>
      <c r="AJ48" s="2113"/>
      <c r="AK48" s="2113"/>
      <c r="AL48" s="2113"/>
      <c r="AM48" s="2113"/>
      <c r="AN48" s="2113"/>
      <c r="AO48" s="2113"/>
      <c r="AP48" s="2113"/>
      <c r="AQ48" s="2113"/>
      <c r="AR48" s="2113"/>
      <c r="AS48" s="2113"/>
      <c r="AT48" s="2113"/>
      <c r="AU48" s="2113"/>
      <c r="AV48" s="2113"/>
      <c r="AW48" s="2113"/>
      <c r="AX48" s="2113"/>
      <c r="AY48" s="2113"/>
      <c r="AZ48" s="2113"/>
      <c r="BA48" s="2113"/>
      <c r="BB48" s="2113"/>
      <c r="BC48" s="2117"/>
      <c r="BD48" s="1304"/>
      <c r="BE48" s="1304"/>
      <c r="BF48" s="1015" t="s">
        <v>1315</v>
      </c>
    </row>
    <row customHeight="1" ht="14.625" hidden="1">
      <c r="A49" s="1304"/>
      <c r="B49" s="1436"/>
      <c r="C49" s="1304"/>
      <c r="D49" s="1304"/>
      <c r="E49" s="632">
        <v>15</v>
      </c>
      <c r="F49" s="50" cm="1" t="str">
        <f t="array" ref="F49:F49">OFFSET(E49,-1,1)</f>
        <v>0</v>
      </c>
      <c r="G49" s="98" t="s">
        <v>1316</v>
      </c>
      <c r="H49" s="98" t="s">
        <v>1317</v>
      </c>
      <c r="I49" s="1304"/>
      <c r="J49" s="1304"/>
      <c r="K49" s="1304"/>
      <c r="L49" s="1304"/>
      <c r="M49" s="1304"/>
      <c r="N49" s="1304"/>
      <c r="O49" s="1304"/>
      <c r="P49" s="1442"/>
      <c r="Q49" s="1442"/>
      <c r="R49" s="1442"/>
      <c r="S49" s="1442"/>
      <c r="T49" s="465" cm="1" t="str">
        <f t="array" ref="T49:T49">T48</f>
        <v>false</v>
      </c>
      <c r="U49" s="1442"/>
      <c r="V49" s="1304"/>
      <c r="W49" s="1442"/>
      <c r="X49" s="1563"/>
      <c r="Y49" s="1545"/>
      <c r="Z49" s="1304"/>
      <c r="AA49" s="1304"/>
      <c r="AB49" s="240" t="s">
        <v>1318</v>
      </c>
      <c r="AC49" s="192" t="s">
        <v>1319</v>
      </c>
      <c r="AD49" s="93" t="s">
        <v>1247</v>
      </c>
      <c r="AE49" s="315">
        <f>SUM(AE50:AE51)</f>
        <v>0</v>
      </c>
      <c r="AF49" s="315">
        <f>SUM(AF50:AF51)</f>
        <v>0</v>
      </c>
      <c r="AG49" s="315">
        <f>SUM(AG50:AG51)</f>
        <v>0</v>
      </c>
      <c r="AH49" s="315">
        <f>SUM(AH50:AH51)</f>
        <v>0</v>
      </c>
      <c r="AI49" s="315">
        <f>SUM(AI50:AI51)</f>
        <v>0</v>
      </c>
      <c r="AJ49" s="315">
        <f>SUM(AJ50:AJ51)</f>
        <v>0</v>
      </c>
      <c r="AK49" s="315">
        <f>SUM(AK50:AK51)</f>
        <v>0</v>
      </c>
      <c r="AL49" s="315">
        <f>SUM(AL50:AL51)</f>
        <v>0</v>
      </c>
      <c r="AM49" s="315">
        <f>SUM(AM50:AM51)</f>
        <v>0</v>
      </c>
      <c r="AN49" s="315">
        <f>SUM(AN50:AN51)</f>
        <v>0</v>
      </c>
      <c r="AO49" s="315">
        <f>SUM(AO50:AO51)</f>
        <v>0</v>
      </c>
      <c r="AP49" s="315">
        <f>SUM(AP50:AP51)</f>
        <v>0</v>
      </c>
      <c r="AQ49" s="315">
        <f>SUM(AQ50:AQ51)</f>
        <v>0</v>
      </c>
      <c r="AR49" s="315">
        <f>SUM(AR50:AR51)</f>
        <v>0</v>
      </c>
      <c r="AS49" s="315">
        <f>SUM(AS50:AS51)</f>
        <v>0</v>
      </c>
      <c r="AT49" s="315">
        <f>SUM(AT50:AT51)</f>
        <v>0</v>
      </c>
      <c r="AU49" s="315">
        <f>SUM(AU50:AU51)</f>
        <v>0</v>
      </c>
      <c r="AV49" s="315">
        <f>SUM(AV50:AV51)</f>
        <v>0</v>
      </c>
      <c r="AW49" s="315">
        <f>SUM(AW50:AW51)</f>
        <v>0</v>
      </c>
      <c r="AX49" s="315">
        <f>SUM(AX50:AX51)</f>
        <v>0</v>
      </c>
      <c r="AY49" s="315">
        <f>SUM(AY50:AY51)</f>
        <v>0</v>
      </c>
      <c r="AZ49" s="315">
        <f>SUM(AZ50:AZ51)</f>
        <v>0</v>
      </c>
      <c r="BA49" s="315">
        <f>SUM(BA50:BA51)</f>
        <v>0</v>
      </c>
      <c r="BB49" s="315">
        <f>SUM(BB50:BB51)</f>
        <v>0</v>
      </c>
      <c r="BC49" s="2117"/>
      <c r="BD49" s="1304"/>
      <c r="BE49" s="1304"/>
      <c r="BF49" s="1015" t="s">
        <v>1320</v>
      </c>
    </row>
    <row customHeight="1" ht="14.625" hidden="1">
      <c r="A50" s="1304"/>
      <c r="B50" s="1436"/>
      <c r="C50" s="1304"/>
      <c r="D50" s="1304"/>
      <c r="E50" s="632">
        <v>15</v>
      </c>
      <c r="F50" s="50" cm="1" t="str">
        <f t="array" ref="F50:F50">OFFSET(E50,-1,1)</f>
        <v>0</v>
      </c>
      <c r="G50" s="1304"/>
      <c r="H50" s="98" t="s">
        <v>1321</v>
      </c>
      <c r="I50" s="1304"/>
      <c r="J50" s="1304"/>
      <c r="K50" s="1304"/>
      <c r="L50" s="1304"/>
      <c r="M50" s="1304"/>
      <c r="N50" s="1304"/>
      <c r="O50" s="1304"/>
      <c r="P50" s="1442"/>
      <c r="Q50" s="1442"/>
      <c r="R50" s="1442"/>
      <c r="S50" s="1442"/>
      <c r="T50" s="465" cm="1" t="str">
        <f t="array" ref="T50:T50">T49</f>
        <v>false</v>
      </c>
      <c r="U50" s="1442"/>
      <c r="V50" s="1304"/>
      <c r="W50" s="1442"/>
      <c r="X50" s="1563"/>
      <c r="Y50" s="1545"/>
      <c r="Z50" s="1304"/>
      <c r="AA50" s="1304"/>
      <c r="AB50" s="240" t="s">
        <v>1322</v>
      </c>
      <c r="AC50" s="332" t="s">
        <v>1323</v>
      </c>
      <c r="AD50" s="93" t="s">
        <v>1247</v>
      </c>
      <c r="AE50" s="2113"/>
      <c r="AF50" s="2113"/>
      <c r="AG50" s="2113"/>
      <c r="AH50" s="2113"/>
      <c r="AI50" s="2113"/>
      <c r="AJ50" s="2113"/>
      <c r="AK50" s="2113"/>
      <c r="AL50" s="2113"/>
      <c r="AM50" s="2113"/>
      <c r="AN50" s="2113"/>
      <c r="AO50" s="2113"/>
      <c r="AP50" s="2113"/>
      <c r="AQ50" s="2113"/>
      <c r="AR50" s="2113"/>
      <c r="AS50" s="2113"/>
      <c r="AT50" s="2113"/>
      <c r="AU50" s="2113"/>
      <c r="AV50" s="2113"/>
      <c r="AW50" s="2113"/>
      <c r="AX50" s="2113"/>
      <c r="AY50" s="2113"/>
      <c r="AZ50" s="2113"/>
      <c r="BA50" s="2113"/>
      <c r="BB50" s="2113"/>
      <c r="BC50" s="2117"/>
      <c r="BD50" s="1304"/>
      <c r="BE50" s="1304"/>
      <c r="BF50" s="1015" t="s">
        <v>1324</v>
      </c>
    </row>
    <row customHeight="1" ht="14.625" hidden="1">
      <c r="A51" s="1304"/>
      <c r="B51" s="1436"/>
      <c r="C51" s="1304"/>
      <c r="D51" s="1304"/>
      <c r="E51" s="632">
        <v>15</v>
      </c>
      <c r="F51" s="50" cm="1" t="str">
        <f t="array" ref="F51:F51">OFFSET(E51,-1,1)</f>
        <v>0</v>
      </c>
      <c r="G51" s="1304"/>
      <c r="H51" s="98" t="s">
        <v>1325</v>
      </c>
      <c r="I51" s="1304"/>
      <c r="J51" s="1304"/>
      <c r="K51" s="1304"/>
      <c r="L51" s="1304"/>
      <c r="M51" s="1304"/>
      <c r="N51" s="1304"/>
      <c r="O51" s="1304"/>
      <c r="P51" s="1442"/>
      <c r="Q51" s="1442"/>
      <c r="R51" s="1442"/>
      <c r="S51" s="1442"/>
      <c r="T51" s="465" cm="1" t="str">
        <f t="array" ref="T51:T51">T50</f>
        <v>false</v>
      </c>
      <c r="U51" s="1442"/>
      <c r="V51" s="1304"/>
      <c r="W51" s="1442"/>
      <c r="X51" s="1563"/>
      <c r="Y51" s="1545"/>
      <c r="Z51" s="1304"/>
      <c r="AA51" s="1304"/>
      <c r="AB51" s="240" t="s">
        <v>1326</v>
      </c>
      <c r="AC51" s="332" t="s">
        <v>1327</v>
      </c>
      <c r="AD51" s="93" t="s">
        <v>1247</v>
      </c>
      <c r="AE51" s="2113"/>
      <c r="AF51" s="2113"/>
      <c r="AG51" s="2113"/>
      <c r="AH51" s="2113"/>
      <c r="AI51" s="2113"/>
      <c r="AJ51" s="2113"/>
      <c r="AK51" s="2113"/>
      <c r="AL51" s="2113"/>
      <c r="AM51" s="2113"/>
      <c r="AN51" s="2113"/>
      <c r="AO51" s="2113"/>
      <c r="AP51" s="2113"/>
      <c r="AQ51" s="2113"/>
      <c r="AR51" s="2113"/>
      <c r="AS51" s="2113"/>
      <c r="AT51" s="2113"/>
      <c r="AU51" s="2113"/>
      <c r="AV51" s="2113"/>
      <c r="AW51" s="2113"/>
      <c r="AX51" s="2113"/>
      <c r="AY51" s="2113"/>
      <c r="AZ51" s="2113"/>
      <c r="BA51" s="2113"/>
      <c r="BB51" s="2113"/>
      <c r="BC51" s="2117"/>
      <c r="BD51" s="1304"/>
      <c r="BE51" s="1304"/>
      <c r="BF51" s="1015" t="s">
        <v>1328</v>
      </c>
    </row>
    <row customHeight="1" ht="14.625" hidden="1">
      <c r="A52" s="1304"/>
      <c r="B52" s="1436"/>
      <c r="C52" s="1304"/>
      <c r="D52" s="1304"/>
      <c r="E52" s="632">
        <v>15</v>
      </c>
      <c r="F52" s="50" cm="1" t="str">
        <f t="array" ref="F52:F52">OFFSET(E52,-1,1)</f>
        <v>0</v>
      </c>
      <c r="G52" s="98" t="s">
        <v>1316</v>
      </c>
      <c r="H52" s="98" t="s">
        <v>1329</v>
      </c>
      <c r="I52" s="1304"/>
      <c r="J52" s="1304"/>
      <c r="K52" s="1304"/>
      <c r="L52" s="1304"/>
      <c r="M52" s="1304"/>
      <c r="N52" s="1304"/>
      <c r="O52" s="1304"/>
      <c r="P52" s="1442"/>
      <c r="Q52" s="1442"/>
      <c r="R52" s="1442"/>
      <c r="S52" s="1442"/>
      <c r="T52" s="465" cm="1" t="str">
        <f t="array" ref="T52:T52">T51</f>
        <v>false</v>
      </c>
      <c r="U52" s="1442"/>
      <c r="V52" s="1304"/>
      <c r="W52" s="1442"/>
      <c r="X52" s="1563"/>
      <c r="Y52" s="1545"/>
      <c r="Z52" s="1304"/>
      <c r="AA52" s="1304"/>
      <c r="AB52" s="240" t="s">
        <v>1330</v>
      </c>
      <c r="AC52" s="192" t="s">
        <v>1331</v>
      </c>
      <c r="AD52" s="93" t="s">
        <v>1247</v>
      </c>
      <c r="AE52" s="315">
        <f>AE53+AE56+AE59</f>
        <v>0</v>
      </c>
      <c r="AF52" s="315">
        <f>AF53+AF56+AF59</f>
        <v>0</v>
      </c>
      <c r="AG52" s="315">
        <f>AG53+AG56+AG59</f>
        <v>0</v>
      </c>
      <c r="AH52" s="315">
        <f>AH53+AH56+AH59</f>
        <v>0</v>
      </c>
      <c r="AI52" s="315">
        <f>AI53+AI56+AI59</f>
        <v>0</v>
      </c>
      <c r="AJ52" s="315">
        <f>AJ53+AJ56+AJ59</f>
        <v>0</v>
      </c>
      <c r="AK52" s="315">
        <f>AK53+AK56+AK59</f>
        <v>0</v>
      </c>
      <c r="AL52" s="315">
        <f>AL53+AL56+AL59</f>
        <v>0</v>
      </c>
      <c r="AM52" s="315">
        <f>AM53+AM56+AM59</f>
        <v>0</v>
      </c>
      <c r="AN52" s="315">
        <f>AN53+AN56+AN59</f>
        <v>0</v>
      </c>
      <c r="AO52" s="315">
        <f>AO53+AO56+AO59</f>
        <v>0</v>
      </c>
      <c r="AP52" s="315">
        <f>AP53+AP56+AP59</f>
        <v>0</v>
      </c>
      <c r="AQ52" s="315">
        <f>AQ53+AQ56+AQ59</f>
        <v>0</v>
      </c>
      <c r="AR52" s="315">
        <f>AR53+AR56+AR59</f>
        <v>0</v>
      </c>
      <c r="AS52" s="315">
        <f>AS53+AS56+AS59</f>
        <v>0</v>
      </c>
      <c r="AT52" s="315">
        <f>AT53+AT56+AT59</f>
        <v>0</v>
      </c>
      <c r="AU52" s="315">
        <f>AU53+AU56+AU59</f>
        <v>0</v>
      </c>
      <c r="AV52" s="315">
        <f>AV53+AV56+AV59</f>
        <v>0</v>
      </c>
      <c r="AW52" s="315">
        <f>AW53+AW56+AW59</f>
        <v>0</v>
      </c>
      <c r="AX52" s="315">
        <f>AX53+AX56+AX59</f>
        <v>0</v>
      </c>
      <c r="AY52" s="315">
        <f>AY53+AY56+AY59</f>
        <v>0</v>
      </c>
      <c r="AZ52" s="315">
        <f>AZ53+AZ56+AZ59</f>
        <v>0</v>
      </c>
      <c r="BA52" s="315">
        <f>BA53+BA56+BA59</f>
        <v>0</v>
      </c>
      <c r="BB52" s="315">
        <f>BB53+BB56+BB59</f>
        <v>0</v>
      </c>
      <c r="BC52" s="2117"/>
      <c r="BD52" s="1304"/>
      <c r="BE52" s="1304"/>
      <c r="BF52" s="1015" t="s">
        <v>1332</v>
      </c>
    </row>
    <row customHeight="1" ht="14.625" hidden="1">
      <c r="A53" s="1304"/>
      <c r="B53" s="1436"/>
      <c r="C53" s="1304"/>
      <c r="D53" s="1304"/>
      <c r="E53" s="632">
        <v>15</v>
      </c>
      <c r="F53" s="50" cm="1" t="str">
        <f t="array" ref="F53:F53">OFFSET(E53,-1,1)</f>
        <v>0</v>
      </c>
      <c r="G53" s="1304"/>
      <c r="H53" s="98" t="s">
        <v>1333</v>
      </c>
      <c r="I53" s="1304"/>
      <c r="J53" s="1304"/>
      <c r="K53" s="1304"/>
      <c r="L53" s="1304"/>
      <c r="M53" s="1304"/>
      <c r="N53" s="1304"/>
      <c r="O53" s="1304"/>
      <c r="P53" s="1442"/>
      <c r="Q53" s="1442"/>
      <c r="R53" s="1442"/>
      <c r="S53" s="1442"/>
      <c r="T53" s="465" cm="1" t="str">
        <f t="array" ref="T53:T53">T52</f>
        <v>false</v>
      </c>
      <c r="U53" s="1442"/>
      <c r="V53" s="1304"/>
      <c r="W53" s="1442"/>
      <c r="X53" s="1563"/>
      <c r="Y53" s="1545"/>
      <c r="Z53" s="1304"/>
      <c r="AA53" s="1304"/>
      <c r="AB53" s="240" t="s">
        <v>1334</v>
      </c>
      <c r="AC53" s="332" t="s">
        <v>1335</v>
      </c>
      <c r="AD53" s="93" t="s">
        <v>1247</v>
      </c>
      <c r="AE53" s="315">
        <f>SUM(AE54:AE55)</f>
        <v>0</v>
      </c>
      <c r="AF53" s="315">
        <f>SUM(AF54:AF55)</f>
        <v>0</v>
      </c>
      <c r="AG53" s="315">
        <f>SUM(AG54:AG55)</f>
        <v>0</v>
      </c>
      <c r="AH53" s="315">
        <f>SUM(AH54:AH55)</f>
        <v>0</v>
      </c>
      <c r="AI53" s="315">
        <f>SUM(AI54:AI55)</f>
        <v>0</v>
      </c>
      <c r="AJ53" s="315">
        <f>SUM(AJ54:AJ55)</f>
        <v>0</v>
      </c>
      <c r="AK53" s="315">
        <f>SUM(AK54:AK55)</f>
        <v>0</v>
      </c>
      <c r="AL53" s="315">
        <f>SUM(AL54:AL55)</f>
        <v>0</v>
      </c>
      <c r="AM53" s="315">
        <f>SUM(AM54:AM55)</f>
        <v>0</v>
      </c>
      <c r="AN53" s="315">
        <f>SUM(AN54:AN55)</f>
        <v>0</v>
      </c>
      <c r="AO53" s="315">
        <f>SUM(AO54:AO55)</f>
        <v>0</v>
      </c>
      <c r="AP53" s="315">
        <f>SUM(AP54:AP55)</f>
        <v>0</v>
      </c>
      <c r="AQ53" s="315">
        <f>SUM(AQ54:AQ55)</f>
        <v>0</v>
      </c>
      <c r="AR53" s="315">
        <f>SUM(AR54:AR55)</f>
        <v>0</v>
      </c>
      <c r="AS53" s="315">
        <f>SUM(AS54:AS55)</f>
        <v>0</v>
      </c>
      <c r="AT53" s="315">
        <f>SUM(AT54:AT55)</f>
        <v>0</v>
      </c>
      <c r="AU53" s="315">
        <f>SUM(AU54:AU55)</f>
        <v>0</v>
      </c>
      <c r="AV53" s="315">
        <f>SUM(AV54:AV55)</f>
        <v>0</v>
      </c>
      <c r="AW53" s="315">
        <f>SUM(AW54:AW55)</f>
        <v>0</v>
      </c>
      <c r="AX53" s="315">
        <f>SUM(AX54:AX55)</f>
        <v>0</v>
      </c>
      <c r="AY53" s="315">
        <f>SUM(AY54:AY55)</f>
        <v>0</v>
      </c>
      <c r="AZ53" s="315">
        <f>SUM(AZ54:AZ55)</f>
        <v>0</v>
      </c>
      <c r="BA53" s="315">
        <f>SUM(BA54:BA55)</f>
        <v>0</v>
      </c>
      <c r="BB53" s="315">
        <f>SUM(BB54:BB55)</f>
        <v>0</v>
      </c>
      <c r="BC53" s="2117"/>
      <c r="BD53" s="1304"/>
      <c r="BE53" s="1304"/>
      <c r="BF53" s="1015" t="s">
        <v>1336</v>
      </c>
    </row>
    <row customHeight="1" ht="14.625" hidden="1">
      <c r="A54" s="1304"/>
      <c r="B54" s="1436"/>
      <c r="C54" s="1304"/>
      <c r="D54" s="1304"/>
      <c r="E54" s="632">
        <v>15</v>
      </c>
      <c r="F54" s="50" cm="1" t="str">
        <f t="array" ref="F54:F54">OFFSET(E54,-1,1)</f>
        <v>0</v>
      </c>
      <c r="G54" s="1304"/>
      <c r="H54" s="98" t="s">
        <v>1337</v>
      </c>
      <c r="I54" s="1304"/>
      <c r="J54" s="1304"/>
      <c r="K54" s="1304"/>
      <c r="L54" s="1304"/>
      <c r="M54" s="1304"/>
      <c r="N54" s="1304"/>
      <c r="O54" s="1304"/>
      <c r="P54" s="1442"/>
      <c r="Q54" s="1442"/>
      <c r="R54" s="1442"/>
      <c r="S54" s="1442"/>
      <c r="T54" s="465" cm="1" t="str">
        <f t="array" ref="T54:T54">T53</f>
        <v>false</v>
      </c>
      <c r="U54" s="1442"/>
      <c r="V54" s="1304"/>
      <c r="W54" s="1442"/>
      <c r="X54" s="1563"/>
      <c r="Y54" s="1545"/>
      <c r="Z54" s="1304"/>
      <c r="AA54" s="1304"/>
      <c r="AB54" s="240" t="s">
        <v>1338</v>
      </c>
      <c r="AC54" s="333" t="s">
        <v>1323</v>
      </c>
      <c r="AD54" s="93" t="s">
        <v>1247</v>
      </c>
      <c r="AE54" s="2113"/>
      <c r="AF54" s="2113"/>
      <c r="AG54" s="2113"/>
      <c r="AH54" s="2113"/>
      <c r="AI54" s="2113"/>
      <c r="AJ54" s="2113"/>
      <c r="AK54" s="2113"/>
      <c r="AL54" s="2113"/>
      <c r="AM54" s="2113"/>
      <c r="AN54" s="2113"/>
      <c r="AO54" s="2113"/>
      <c r="AP54" s="2113"/>
      <c r="AQ54" s="2113"/>
      <c r="AR54" s="2113"/>
      <c r="AS54" s="2113"/>
      <c r="AT54" s="2113"/>
      <c r="AU54" s="2113"/>
      <c r="AV54" s="2113"/>
      <c r="AW54" s="2113"/>
      <c r="AX54" s="2113"/>
      <c r="AY54" s="2113"/>
      <c r="AZ54" s="2113"/>
      <c r="BA54" s="2113"/>
      <c r="BB54" s="2113"/>
      <c r="BC54" s="2117"/>
      <c r="BD54" s="1304"/>
      <c r="BE54" s="1304"/>
      <c r="BF54" s="1015" t="s">
        <v>1339</v>
      </c>
    </row>
    <row customHeight="1" ht="14.625" hidden="1">
      <c r="A55" s="1304"/>
      <c r="B55" s="1436"/>
      <c r="C55" s="1304"/>
      <c r="D55" s="1304"/>
      <c r="E55" s="632">
        <v>15</v>
      </c>
      <c r="F55" s="50" cm="1" t="str">
        <f t="array" ref="F55:F55">OFFSET(E55,-1,1)</f>
        <v>0</v>
      </c>
      <c r="G55" s="1304"/>
      <c r="H55" s="98" t="s">
        <v>1340</v>
      </c>
      <c r="I55" s="1304"/>
      <c r="J55" s="1304"/>
      <c r="K55" s="1304"/>
      <c r="L55" s="1304"/>
      <c r="M55" s="1304"/>
      <c r="N55" s="1304"/>
      <c r="O55" s="1304"/>
      <c r="P55" s="1442"/>
      <c r="Q55" s="1442"/>
      <c r="R55" s="1442"/>
      <c r="S55" s="1442"/>
      <c r="T55" s="465" cm="1" t="str">
        <f t="array" ref="T55:T55">T54</f>
        <v>false</v>
      </c>
      <c r="U55" s="1442"/>
      <c r="V55" s="1304"/>
      <c r="W55" s="1442"/>
      <c r="X55" s="1563"/>
      <c r="Y55" s="1545"/>
      <c r="Z55" s="1304"/>
      <c r="AA55" s="1304"/>
      <c r="AB55" s="240" t="s">
        <v>1341</v>
      </c>
      <c r="AC55" s="333" t="s">
        <v>1327</v>
      </c>
      <c r="AD55" s="93" t="s">
        <v>1247</v>
      </c>
      <c r="AE55" s="2113"/>
      <c r="AF55" s="2113"/>
      <c r="AG55" s="2113"/>
      <c r="AH55" s="2113"/>
      <c r="AI55" s="2113"/>
      <c r="AJ55" s="2113"/>
      <c r="AK55" s="2113"/>
      <c r="AL55" s="2113"/>
      <c r="AM55" s="2113"/>
      <c r="AN55" s="2113"/>
      <c r="AO55" s="2113"/>
      <c r="AP55" s="2113"/>
      <c r="AQ55" s="2113"/>
      <c r="AR55" s="2113"/>
      <c r="AS55" s="2113"/>
      <c r="AT55" s="2113"/>
      <c r="AU55" s="2113"/>
      <c r="AV55" s="2113"/>
      <c r="AW55" s="2113"/>
      <c r="AX55" s="2113"/>
      <c r="AY55" s="2113"/>
      <c r="AZ55" s="2113"/>
      <c r="BA55" s="2113"/>
      <c r="BB55" s="2113"/>
      <c r="BC55" s="2117"/>
      <c r="BD55" s="1304"/>
      <c r="BE55" s="1304"/>
      <c r="BF55" s="1015" t="s">
        <v>1342</v>
      </c>
    </row>
    <row customHeight="1" ht="14.625" hidden="1">
      <c r="A56" s="1304"/>
      <c r="B56" s="1436"/>
      <c r="C56" s="1304"/>
      <c r="D56" s="1304"/>
      <c r="E56" s="632">
        <v>15</v>
      </c>
      <c r="F56" s="50" cm="1" t="str">
        <f t="array" ref="F56:F56">OFFSET(E56,-1,1)</f>
        <v>0</v>
      </c>
      <c r="G56" s="98" t="s">
        <v>1343</v>
      </c>
      <c r="H56" s="98" t="s">
        <v>1344</v>
      </c>
      <c r="I56" s="1304"/>
      <c r="J56" s="1304"/>
      <c r="K56" s="1304"/>
      <c r="L56" s="1304"/>
      <c r="M56" s="1304"/>
      <c r="N56" s="1304"/>
      <c r="O56" s="1304"/>
      <c r="P56" s="1442"/>
      <c r="Q56" s="1442"/>
      <c r="R56" s="1442"/>
      <c r="S56" s="1442"/>
      <c r="T56" s="465" cm="1" t="str">
        <f t="array" ref="T56:T56">T55</f>
        <v>false</v>
      </c>
      <c r="U56" s="1442"/>
      <c r="V56" s="1304"/>
      <c r="W56" s="1442"/>
      <c r="X56" s="1563"/>
      <c r="Y56" s="1545"/>
      <c r="Z56" s="1304"/>
      <c r="AA56" s="1304"/>
      <c r="AB56" s="240" t="s">
        <v>1345</v>
      </c>
      <c r="AC56" s="332" t="s">
        <v>1346</v>
      </c>
      <c r="AD56" s="93" t="s">
        <v>1247</v>
      </c>
      <c r="AE56" s="315">
        <f>SUM(AE57:AE58)</f>
        <v>0</v>
      </c>
      <c r="AF56" s="315">
        <f>SUM(AF57:AF58)</f>
        <v>0</v>
      </c>
      <c r="AG56" s="315">
        <f>SUM(AG57:AG58)</f>
        <v>0</v>
      </c>
      <c r="AH56" s="315">
        <f>SUM(AH57:AH58)</f>
        <v>0</v>
      </c>
      <c r="AI56" s="315">
        <f>SUM(AI57:AI58)</f>
        <v>0</v>
      </c>
      <c r="AJ56" s="315">
        <f>SUM(AJ57:AJ58)</f>
        <v>0</v>
      </c>
      <c r="AK56" s="315">
        <f>SUM(AK57:AK58)</f>
        <v>0</v>
      </c>
      <c r="AL56" s="315">
        <f>SUM(AL57:AL58)</f>
        <v>0</v>
      </c>
      <c r="AM56" s="315">
        <f>SUM(AM57:AM58)</f>
        <v>0</v>
      </c>
      <c r="AN56" s="315">
        <f>SUM(AN57:AN58)</f>
        <v>0</v>
      </c>
      <c r="AO56" s="315">
        <f>SUM(AO57:AO58)</f>
        <v>0</v>
      </c>
      <c r="AP56" s="315">
        <f>SUM(AP57:AP58)</f>
        <v>0</v>
      </c>
      <c r="AQ56" s="315">
        <f>SUM(AQ57:AQ58)</f>
        <v>0</v>
      </c>
      <c r="AR56" s="315">
        <f>SUM(AR57:AR58)</f>
        <v>0</v>
      </c>
      <c r="AS56" s="315">
        <f>SUM(AS57:AS58)</f>
        <v>0</v>
      </c>
      <c r="AT56" s="315">
        <f>SUM(AT57:AT58)</f>
        <v>0</v>
      </c>
      <c r="AU56" s="315">
        <f>SUM(AU57:AU58)</f>
        <v>0</v>
      </c>
      <c r="AV56" s="315">
        <f>SUM(AV57:AV58)</f>
        <v>0</v>
      </c>
      <c r="AW56" s="315">
        <f>SUM(AW57:AW58)</f>
        <v>0</v>
      </c>
      <c r="AX56" s="315">
        <f>SUM(AX57:AX58)</f>
        <v>0</v>
      </c>
      <c r="AY56" s="315">
        <f>SUM(AY57:AY58)</f>
        <v>0</v>
      </c>
      <c r="AZ56" s="315">
        <f>SUM(AZ57:AZ58)</f>
        <v>0</v>
      </c>
      <c r="BA56" s="315">
        <f>SUM(BA57:BA58)</f>
        <v>0</v>
      </c>
      <c r="BB56" s="315">
        <f>SUM(BB57:BB58)</f>
        <v>0</v>
      </c>
      <c r="BC56" s="2117"/>
      <c r="BD56" s="1304"/>
      <c r="BE56" s="1304"/>
      <c r="BF56" s="1015" t="s">
        <v>1347</v>
      </c>
    </row>
    <row customHeight="1" ht="14.625" hidden="1">
      <c r="A57" s="1304"/>
      <c r="B57" s="1436"/>
      <c r="C57" s="1304"/>
      <c r="D57" s="1304"/>
      <c r="E57" s="632">
        <v>15</v>
      </c>
      <c r="F57" s="50" cm="1" t="str">
        <f t="array" ref="F57:F57">OFFSET(E57,-1,1)</f>
        <v>0</v>
      </c>
      <c r="G57" s="1304"/>
      <c r="H57" s="98" t="s">
        <v>1348</v>
      </c>
      <c r="I57" s="1304"/>
      <c r="J57" s="1304"/>
      <c r="K57" s="1304"/>
      <c r="L57" s="1304"/>
      <c r="M57" s="1304"/>
      <c r="N57" s="1304"/>
      <c r="O57" s="1304"/>
      <c r="P57" s="1442"/>
      <c r="Q57" s="1442"/>
      <c r="R57" s="1442"/>
      <c r="S57" s="1442"/>
      <c r="T57" s="465" cm="1" t="str">
        <f t="array" ref="T57:T57">T56</f>
        <v>false</v>
      </c>
      <c r="U57" s="1442"/>
      <c r="V57" s="1304"/>
      <c r="W57" s="1442"/>
      <c r="X57" s="1563"/>
      <c r="Y57" s="1545"/>
      <c r="Z57" s="1304"/>
      <c r="AA57" s="1304"/>
      <c r="AB57" s="240" t="s">
        <v>1349</v>
      </c>
      <c r="AC57" s="333" t="s">
        <v>1323</v>
      </c>
      <c r="AD57" s="93" t="s">
        <v>1247</v>
      </c>
      <c r="AE57" s="2113"/>
      <c r="AF57" s="2113"/>
      <c r="AG57" s="2113"/>
      <c r="AH57" s="2113"/>
      <c r="AI57" s="2113"/>
      <c r="AJ57" s="2113"/>
      <c r="AK57" s="2113"/>
      <c r="AL57" s="2113"/>
      <c r="AM57" s="2113"/>
      <c r="AN57" s="2113"/>
      <c r="AO57" s="2113"/>
      <c r="AP57" s="2113"/>
      <c r="AQ57" s="2113"/>
      <c r="AR57" s="2113"/>
      <c r="AS57" s="2113"/>
      <c r="AT57" s="2113"/>
      <c r="AU57" s="2113"/>
      <c r="AV57" s="2113"/>
      <c r="AW57" s="2113"/>
      <c r="AX57" s="2113"/>
      <c r="AY57" s="2113"/>
      <c r="AZ57" s="2113"/>
      <c r="BA57" s="2113"/>
      <c r="BB57" s="2113"/>
      <c r="BC57" s="2117"/>
      <c r="BD57" s="1304"/>
      <c r="BE57" s="1304"/>
      <c r="BF57" s="1015" t="s">
        <v>1350</v>
      </c>
    </row>
    <row customHeight="1" ht="14.625" hidden="1">
      <c r="A58" s="1304"/>
      <c r="B58" s="1436"/>
      <c r="C58" s="1304"/>
      <c r="D58" s="1304"/>
      <c r="E58" s="632">
        <v>15</v>
      </c>
      <c r="F58" s="50" cm="1" t="str">
        <f t="array" ref="F58:F58">OFFSET(E58,-1,1)</f>
        <v>0</v>
      </c>
      <c r="G58" s="1304"/>
      <c r="H58" s="98" t="s">
        <v>1351</v>
      </c>
      <c r="I58" s="1304"/>
      <c r="J58" s="1304"/>
      <c r="K58" s="1304"/>
      <c r="L58" s="1304"/>
      <c r="M58" s="1304"/>
      <c r="N58" s="1304"/>
      <c r="O58" s="1304"/>
      <c r="P58" s="1442"/>
      <c r="Q58" s="1442"/>
      <c r="R58" s="1442"/>
      <c r="S58" s="1442"/>
      <c r="T58" s="465" cm="1" t="str">
        <f t="array" ref="T58:T58">T57</f>
        <v>false</v>
      </c>
      <c r="U58" s="1442"/>
      <c r="V58" s="1304"/>
      <c r="W58" s="1442"/>
      <c r="X58" s="1563"/>
      <c r="Y58" s="1545"/>
      <c r="Z58" s="1304"/>
      <c r="AA58" s="1304"/>
      <c r="AB58" s="240" t="s">
        <v>1352</v>
      </c>
      <c r="AC58" s="333" t="s">
        <v>1327</v>
      </c>
      <c r="AD58" s="93" t="s">
        <v>1247</v>
      </c>
      <c r="AE58" s="2113"/>
      <c r="AF58" s="2113"/>
      <c r="AG58" s="2113"/>
      <c r="AH58" s="2113"/>
      <c r="AI58" s="2113"/>
      <c r="AJ58" s="2113"/>
      <c r="AK58" s="2113"/>
      <c r="AL58" s="2113"/>
      <c r="AM58" s="2113"/>
      <c r="AN58" s="2113"/>
      <c r="AO58" s="2113"/>
      <c r="AP58" s="2113"/>
      <c r="AQ58" s="2113"/>
      <c r="AR58" s="2113"/>
      <c r="AS58" s="2113"/>
      <c r="AT58" s="2113"/>
      <c r="AU58" s="2113"/>
      <c r="AV58" s="2113"/>
      <c r="AW58" s="2113"/>
      <c r="AX58" s="2113"/>
      <c r="AY58" s="2113"/>
      <c r="AZ58" s="2113"/>
      <c r="BA58" s="2113"/>
      <c r="BB58" s="2113"/>
      <c r="BC58" s="2117"/>
      <c r="BD58" s="1304"/>
      <c r="BE58" s="1304"/>
      <c r="BF58" s="1015" t="s">
        <v>1353</v>
      </c>
    </row>
    <row customHeight="1" ht="14.625" hidden="1">
      <c r="A59" s="1304"/>
      <c r="B59" s="1436"/>
      <c r="C59" s="1304"/>
      <c r="D59" s="1304"/>
      <c r="E59" s="632">
        <v>15</v>
      </c>
      <c r="F59" s="50" cm="1" t="str">
        <f t="array" ref="F59:F59">OFFSET(E59,-1,1)</f>
        <v>0</v>
      </c>
      <c r="G59" s="1304"/>
      <c r="H59" s="98" t="s">
        <v>1354</v>
      </c>
      <c r="I59" s="1304"/>
      <c r="J59" s="1304"/>
      <c r="K59" s="1304"/>
      <c r="L59" s="1304"/>
      <c r="M59" s="1304"/>
      <c r="N59" s="1304"/>
      <c r="O59" s="1304"/>
      <c r="P59" s="1442"/>
      <c r="Q59" s="1442"/>
      <c r="R59" s="1442"/>
      <c r="S59" s="1442"/>
      <c r="T59" s="465" cm="1" t="str">
        <f t="array" ref="T59:T59">T58</f>
        <v>false</v>
      </c>
      <c r="U59" s="1442"/>
      <c r="V59" s="1304"/>
      <c r="W59" s="1442"/>
      <c r="X59" s="1563"/>
      <c r="Y59" s="1545"/>
      <c r="Z59" s="1304"/>
      <c r="AA59" s="1304"/>
      <c r="AB59" s="240" t="s">
        <v>1355</v>
      </c>
      <c r="AC59" s="332" t="s">
        <v>1356</v>
      </c>
      <c r="AD59" s="93" t="s">
        <v>1247</v>
      </c>
      <c r="AE59" s="315">
        <f>SUM(AE60:AE61)</f>
        <v>0</v>
      </c>
      <c r="AF59" s="315">
        <f>SUM(AF60:AF61)</f>
        <v>0</v>
      </c>
      <c r="AG59" s="315">
        <f>SUM(AG60:AG61)</f>
        <v>0</v>
      </c>
      <c r="AH59" s="315">
        <f>SUM(AH60:AH61)</f>
        <v>0</v>
      </c>
      <c r="AI59" s="315">
        <f>SUM(AI60:AI61)</f>
        <v>0</v>
      </c>
      <c r="AJ59" s="315">
        <f>SUM(AJ60:AJ61)</f>
        <v>0</v>
      </c>
      <c r="AK59" s="315">
        <f>SUM(AK60:AK61)</f>
        <v>0</v>
      </c>
      <c r="AL59" s="315">
        <f>SUM(AL60:AL61)</f>
        <v>0</v>
      </c>
      <c r="AM59" s="315">
        <f>SUM(AM60:AM61)</f>
        <v>0</v>
      </c>
      <c r="AN59" s="315">
        <f>SUM(AN60:AN61)</f>
        <v>0</v>
      </c>
      <c r="AO59" s="315">
        <f>SUM(AO60:AO61)</f>
        <v>0</v>
      </c>
      <c r="AP59" s="315">
        <f>SUM(AP60:AP61)</f>
        <v>0</v>
      </c>
      <c r="AQ59" s="315">
        <f>SUM(AQ60:AQ61)</f>
        <v>0</v>
      </c>
      <c r="AR59" s="315">
        <f>SUM(AR60:AR61)</f>
        <v>0</v>
      </c>
      <c r="AS59" s="315">
        <f>SUM(AS60:AS61)</f>
        <v>0</v>
      </c>
      <c r="AT59" s="315">
        <f>SUM(AT60:AT61)</f>
        <v>0</v>
      </c>
      <c r="AU59" s="315">
        <f>SUM(AU60:AU61)</f>
        <v>0</v>
      </c>
      <c r="AV59" s="315">
        <f>SUM(AV60:AV61)</f>
        <v>0</v>
      </c>
      <c r="AW59" s="315">
        <f>SUM(AW60:AW61)</f>
        <v>0</v>
      </c>
      <c r="AX59" s="315">
        <f>SUM(AX60:AX61)</f>
        <v>0</v>
      </c>
      <c r="AY59" s="315">
        <f>SUM(AY60:AY61)</f>
        <v>0</v>
      </c>
      <c r="AZ59" s="315">
        <f>SUM(AZ60:AZ61)</f>
        <v>0</v>
      </c>
      <c r="BA59" s="315">
        <f>SUM(BA60:BA61)</f>
        <v>0</v>
      </c>
      <c r="BB59" s="315">
        <f>SUM(BB60:BB61)</f>
        <v>0</v>
      </c>
      <c r="BC59" s="2117"/>
      <c r="BD59" s="1304"/>
      <c r="BE59" s="1304"/>
      <c r="BF59" s="1015" t="s">
        <v>1357</v>
      </c>
    </row>
    <row customHeight="1" ht="14.625" hidden="1">
      <c r="A60" s="1304"/>
      <c r="B60" s="1436"/>
      <c r="C60" s="1304"/>
      <c r="D60" s="1304"/>
      <c r="E60" s="632">
        <v>15</v>
      </c>
      <c r="F60" s="50" cm="1" t="str">
        <f t="array" ref="F60:F60">OFFSET(E60,-1,1)</f>
        <v>0</v>
      </c>
      <c r="G60" s="1304"/>
      <c r="H60" s="98" t="s">
        <v>1358</v>
      </c>
      <c r="I60" s="1304"/>
      <c r="J60" s="1304"/>
      <c r="K60" s="1304"/>
      <c r="L60" s="1304"/>
      <c r="M60" s="1304"/>
      <c r="N60" s="1304"/>
      <c r="O60" s="1304"/>
      <c r="P60" s="1442"/>
      <c r="Q60" s="1442"/>
      <c r="R60" s="1442"/>
      <c r="S60" s="1442"/>
      <c r="T60" s="465" cm="1" t="str">
        <f t="array" ref="T60:T60">T59</f>
        <v>false</v>
      </c>
      <c r="U60" s="1442"/>
      <c r="V60" s="1304"/>
      <c r="W60" s="1442"/>
      <c r="X60" s="1563"/>
      <c r="Y60" s="1545"/>
      <c r="Z60" s="1304"/>
      <c r="AA60" s="1304"/>
      <c r="AB60" s="240" t="s">
        <v>1359</v>
      </c>
      <c r="AC60" s="333" t="s">
        <v>1323</v>
      </c>
      <c r="AD60" s="93" t="s">
        <v>1247</v>
      </c>
      <c r="AE60" s="2113"/>
      <c r="AF60" s="2113"/>
      <c r="AG60" s="2113"/>
      <c r="AH60" s="2113"/>
      <c r="AI60" s="2113"/>
      <c r="AJ60" s="2113"/>
      <c r="AK60" s="2113"/>
      <c r="AL60" s="2113"/>
      <c r="AM60" s="2113"/>
      <c r="AN60" s="2113"/>
      <c r="AO60" s="2113"/>
      <c r="AP60" s="2113"/>
      <c r="AQ60" s="2113"/>
      <c r="AR60" s="2113"/>
      <c r="AS60" s="2113"/>
      <c r="AT60" s="2113"/>
      <c r="AU60" s="2113"/>
      <c r="AV60" s="2113"/>
      <c r="AW60" s="2113"/>
      <c r="AX60" s="2113"/>
      <c r="AY60" s="2113"/>
      <c r="AZ60" s="2113"/>
      <c r="BA60" s="2113"/>
      <c r="BB60" s="2113"/>
      <c r="BC60" s="2117"/>
      <c r="BD60" s="1304"/>
      <c r="BE60" s="1304"/>
      <c r="BF60" s="1015" t="s">
        <v>1360</v>
      </c>
    </row>
    <row customHeight="1" ht="14.625" hidden="1">
      <c r="A61" s="1304"/>
      <c r="B61" s="1436"/>
      <c r="C61" s="1304"/>
      <c r="D61" s="1304"/>
      <c r="E61" s="632">
        <v>15</v>
      </c>
      <c r="F61" s="50" cm="1" t="str">
        <f t="array" ref="F61:F61">OFFSET(E61,-1,1)</f>
        <v>0</v>
      </c>
      <c r="G61" s="1304"/>
      <c r="H61" s="98" t="s">
        <v>1361</v>
      </c>
      <c r="I61" s="1304"/>
      <c r="J61" s="1304"/>
      <c r="K61" s="1304"/>
      <c r="L61" s="1304"/>
      <c r="M61" s="1304"/>
      <c r="N61" s="1304"/>
      <c r="O61" s="1304"/>
      <c r="P61" s="1442"/>
      <c r="Q61" s="1442"/>
      <c r="R61" s="1442"/>
      <c r="S61" s="1442"/>
      <c r="T61" s="465" cm="1" t="str">
        <f t="array" ref="T61:T61">T60</f>
        <v>false</v>
      </c>
      <c r="U61" s="1442"/>
      <c r="V61" s="1304"/>
      <c r="W61" s="1442"/>
      <c r="X61" s="1563"/>
      <c r="Y61" s="1545"/>
      <c r="Z61" s="1304"/>
      <c r="AA61" s="1304"/>
      <c r="AB61" s="240" t="s">
        <v>1362</v>
      </c>
      <c r="AC61" s="333" t="s">
        <v>1327</v>
      </c>
      <c r="AD61" s="93" t="s">
        <v>1247</v>
      </c>
      <c r="AE61" s="2113"/>
      <c r="AF61" s="2113"/>
      <c r="AG61" s="2113"/>
      <c r="AH61" s="2113"/>
      <c r="AI61" s="2113"/>
      <c r="AJ61" s="2113"/>
      <c r="AK61" s="2113"/>
      <c r="AL61" s="2113"/>
      <c r="AM61" s="2113"/>
      <c r="AN61" s="2113"/>
      <c r="AO61" s="2113"/>
      <c r="AP61" s="2113"/>
      <c r="AQ61" s="2113"/>
      <c r="AR61" s="2113"/>
      <c r="AS61" s="2113"/>
      <c r="AT61" s="2113"/>
      <c r="AU61" s="2113"/>
      <c r="AV61" s="2113"/>
      <c r="AW61" s="2113"/>
      <c r="AX61" s="2113"/>
      <c r="AY61" s="2113"/>
      <c r="AZ61" s="2113"/>
      <c r="BA61" s="2113"/>
      <c r="BB61" s="2113"/>
      <c r="BC61" s="2070"/>
      <c r="BD61" s="1304"/>
      <c r="BE61" s="1304"/>
      <c r="BF61" s="1015" t="s">
        <v>1363</v>
      </c>
    </row>
    <row customHeight="1" ht="21.9375" hidden="1">
      <c r="A62" s="1304"/>
      <c r="B62" s="1436"/>
      <c r="C62" s="1304"/>
      <c r="D62" s="1304"/>
      <c r="E62" s="632">
        <v>22.5</v>
      </c>
      <c r="F62" s="50" cm="1" t="str">
        <f t="array" ref="F62:F62">OFFSET(E62,-1,1)</f>
        <v>0</v>
      </c>
      <c r="G62" s="1304"/>
      <c r="H62" s="98" t="s">
        <v>1364</v>
      </c>
      <c r="I62" s="469"/>
      <c r="J62" s="469"/>
      <c r="K62" s="1304"/>
      <c r="L62" s="1304"/>
      <c r="M62" s="1304"/>
      <c r="N62" s="1304"/>
      <c r="O62" s="1304"/>
      <c r="P62" s="1442"/>
      <c r="Q62" s="1442"/>
      <c r="R62" s="1442"/>
      <c r="S62" s="1442"/>
      <c r="T62" s="465" cm="1" t="str">
        <f t="array" ref="T62:T62">T61</f>
        <v>false</v>
      </c>
      <c r="U62" s="1442"/>
      <c r="V62" s="1304"/>
      <c r="W62" s="1442"/>
      <c r="X62" s="1563"/>
      <c r="Y62" s="1545"/>
      <c r="Z62" s="1304"/>
      <c r="AA62" s="1304"/>
      <c r="AB62" s="240" t="s">
        <v>1365</v>
      </c>
      <c r="AC62" s="334" t="s">
        <v>1366</v>
      </c>
      <c r="AD62" s="93" t="s">
        <v>1247</v>
      </c>
      <c r="AE62" s="2069"/>
      <c r="AF62" s="2069"/>
      <c r="AG62" s="2069"/>
      <c r="AH62" s="2069"/>
      <c r="AI62" s="2069"/>
      <c r="AJ62" s="2069"/>
      <c r="AK62" s="2069"/>
      <c r="AL62" s="2069"/>
      <c r="AM62" s="2069"/>
      <c r="AN62" s="2069"/>
      <c r="AO62" s="2069"/>
      <c r="AP62" s="2069"/>
      <c r="AQ62" s="2069"/>
      <c r="AR62" s="2069"/>
      <c r="AS62" s="2069"/>
      <c r="AT62" s="2069"/>
      <c r="AU62" s="2069"/>
      <c r="AV62" s="2069"/>
      <c r="AW62" s="2069"/>
      <c r="AX62" s="2069"/>
      <c r="AY62" s="2069"/>
      <c r="AZ62" s="2069"/>
      <c r="BA62" s="2069"/>
      <c r="BB62" s="2069"/>
      <c r="BC62" s="2070"/>
      <c r="BD62" s="1304"/>
      <c r="BE62" s="1304"/>
      <c r="BF62" s="1015" t="s">
        <v>1367</v>
      </c>
    </row>
    <row customHeight="1" ht="14.625" hidden="1">
      <c r="A63" s="1304"/>
      <c r="B63" s="1436"/>
      <c r="C63" s="1304"/>
      <c r="D63" s="1304"/>
      <c r="E63" s="632">
        <v>15</v>
      </c>
      <c r="F63" s="349" cm="1" t="str">
        <f t="array" ref="F63:F63">OFFSET(E63,-1,1)</f>
        <v>0</v>
      </c>
      <c r="G63" s="1304"/>
      <c r="H63" s="1304"/>
      <c r="I63" s="1304"/>
      <c r="J63" s="1304"/>
      <c r="K63" s="1304"/>
      <c r="L63" s="1304"/>
      <c r="M63" s="1304"/>
      <c r="N63" s="1304"/>
      <c r="O63" s="1304"/>
      <c r="P63" s="1442"/>
      <c r="Q63" s="1442"/>
      <c r="R63" s="1442"/>
      <c r="S63" s="1442"/>
      <c r="T63" s="465" cm="1" t="str">
        <f t="array" ref="T63:T63">T62</f>
        <v>false</v>
      </c>
      <c r="U63" s="1442"/>
      <c r="V63" s="1304"/>
      <c r="W63" s="1442"/>
      <c r="X63" s="1563"/>
      <c r="Y63" s="1545"/>
      <c r="Z63" s="1304"/>
      <c r="AA63" s="1304"/>
      <c r="AB63" s="240" t="s">
        <v>1368</v>
      </c>
      <c r="AC63" s="334" t="s">
        <v>1369</v>
      </c>
      <c r="AD63" s="93" t="s">
        <v>1247</v>
      </c>
      <c r="AE63" s="2069"/>
      <c r="AF63" s="2069"/>
      <c r="AG63" s="2069"/>
      <c r="AH63" s="2069"/>
      <c r="AI63" s="2069"/>
      <c r="AJ63" s="2069"/>
      <c r="AK63" s="2069"/>
      <c r="AL63" s="2069"/>
      <c r="AM63" s="2069"/>
      <c r="AN63" s="2069"/>
      <c r="AO63" s="2069"/>
      <c r="AP63" s="2069"/>
      <c r="AQ63" s="2069"/>
      <c r="AR63" s="2069"/>
      <c r="AS63" s="2069"/>
      <c r="AT63" s="2069"/>
      <c r="AU63" s="2069"/>
      <c r="AV63" s="2069"/>
      <c r="AW63" s="2069"/>
      <c r="AX63" s="2069"/>
      <c r="AY63" s="2069"/>
      <c r="AZ63" s="2069"/>
      <c r="BA63" s="2069"/>
      <c r="BB63" s="2069"/>
      <c r="BC63" s="2070"/>
      <c r="BD63" s="1304"/>
      <c r="BE63" s="1304"/>
      <c r="BF63" s="1015" t="s">
        <v>1370</v>
      </c>
    </row>
    <row s="1834" customFormat="1" customHeight="1" ht="11.25" hidden="1">
      <c r="A64" s="469"/>
      <c r="B64" s="658"/>
      <c r="C64" s="469"/>
      <c r="D64" s="469"/>
      <c r="E64" s="660" t="s">
        <v>373</v>
      </c>
      <c r="F64" s="1175" cm="1" t="str">
        <f t="array" ref="F64:F64">OFFSET(E64,-1,1)</f>
        <v>0</v>
      </c>
      <c r="G64" s="469"/>
      <c r="H64" s="469"/>
      <c r="I64" s="1834"/>
      <c r="J64" s="1834"/>
      <c r="K64" s="98"/>
      <c r="L64" s="469"/>
      <c r="M64" s="469"/>
      <c r="N64" s="469"/>
      <c r="O64" s="469"/>
      <c r="P64" s="469"/>
      <c r="Q64" s="469"/>
      <c r="R64" s="416"/>
      <c r="S64" s="416"/>
      <c r="T64" s="465" t="b">
        <v>0</v>
      </c>
      <c r="U64" s="469"/>
      <c r="V64" s="469"/>
      <c r="W64" s="469"/>
      <c r="X64" s="1563"/>
      <c r="Y64" s="1545"/>
      <c r="Z64" s="469"/>
      <c r="AA64" s="469"/>
      <c r="AB64" s="1834"/>
      <c r="AC64" s="100"/>
      <c r="AD64" s="100"/>
      <c r="AE64" s="344"/>
      <c r="AF64" s="344"/>
      <c r="AG64" s="344"/>
      <c r="AH64" s="344"/>
      <c r="AI64" s="344"/>
      <c r="AJ64" s="345"/>
      <c r="AK64" s="344"/>
      <c r="AL64" s="344"/>
      <c r="AM64" s="344"/>
      <c r="AN64" s="344"/>
      <c r="AO64" s="344"/>
      <c r="AP64" s="344"/>
      <c r="AQ64" s="344"/>
      <c r="AR64" s="344"/>
      <c r="AS64" s="344"/>
      <c r="AT64" s="344"/>
      <c r="AU64" s="344"/>
      <c r="AV64" s="344"/>
      <c r="AW64" s="344"/>
      <c r="AX64" s="344"/>
      <c r="AY64" s="344"/>
      <c r="AZ64" s="344"/>
      <c r="BA64" s="344"/>
      <c r="BB64" s="344"/>
      <c r="BC64" s="1834"/>
      <c r="BD64" s="1834"/>
      <c r="BE64" s="1834"/>
      <c r="BF64" s="1019"/>
    </row>
    <row customHeight="1" ht="14.625" hidden="1">
      <c r="A65" s="1304"/>
      <c r="B65" s="1436"/>
      <c r="C65" s="1304"/>
      <c r="D65" s="1304"/>
      <c r="E65" s="632">
        <v>15</v>
      </c>
      <c r="F65" s="50" cm="1" t="str">
        <f t="array" ref="F65:F65">OFFSET(E65,-1,1)</f>
        <v>0</v>
      </c>
      <c r="G65" s="1304"/>
      <c r="H65" s="1304"/>
      <c r="I65" s="1304"/>
      <c r="J65" s="1304"/>
      <c r="K65" s="1304"/>
      <c r="L65" s="1304"/>
      <c r="M65" s="1304"/>
      <c r="N65" s="1304"/>
      <c r="O65" s="1304"/>
      <c r="P65" s="1442"/>
      <c r="Q65" s="1442"/>
      <c r="R65" s="416" cm="1" t="str">
        <f t="array" ref="R65:R65">INDEX('Общие сведения'!$AN$179:$AN$250,MATCH($X27,'Общие сведения'!$Z$179:$Z$250,0))</f>
        <v>false</v>
      </c>
      <c r="S65" s="416">
        <f>IF(ISERROR(SEARCH("Водоснабжение",AB27)),FALSE,TRUE)</f>
        <v>0</v>
      </c>
      <c r="T65" s="465">
        <f>AND(X27&gt;0,S65,R65)</f>
        <v>0</v>
      </c>
      <c r="U65" s="1442"/>
      <c r="V65" s="1304"/>
      <c r="W65" s="1442"/>
      <c r="X65" s="1563"/>
      <c r="Y65" s="1545"/>
      <c r="Z65" s="1304"/>
      <c r="AA65" s="1304"/>
      <c r="AB65" s="240" t="s">
        <v>276</v>
      </c>
      <c r="AC65" s="328" t="s">
        <v>1244</v>
      </c>
      <c r="AD65" s="198"/>
      <c r="AE65" s="570" cm="1" t="str">
        <f t="array" ref="AE65:AE65">INDEX('Общие сведения'!$AH$179:$AH$250,MATCH($X27,'Общие сведения'!$Z$179:$Z$250,0))</f>
        <v>0</v>
      </c>
      <c r="AF65" s="362"/>
      <c r="AG65" s="362"/>
      <c r="AH65" s="362"/>
      <c r="AI65" s="362"/>
      <c r="AJ65" s="362"/>
      <c r="AK65" s="362"/>
      <c r="AL65" s="362"/>
      <c r="AM65" s="362"/>
      <c r="AN65" s="362"/>
      <c r="AO65" s="362"/>
      <c r="AP65" s="362"/>
      <c r="AQ65" s="362"/>
      <c r="AR65" s="362"/>
      <c r="AS65" s="362"/>
      <c r="AT65" s="362"/>
      <c r="AU65" s="362"/>
      <c r="AV65" s="362"/>
      <c r="AW65" s="362"/>
      <c r="AX65" s="362"/>
      <c r="AY65" s="362"/>
      <c r="AZ65" s="362"/>
      <c r="BA65" s="362"/>
      <c r="BB65" s="363"/>
      <c r="BC65" s="2070"/>
      <c r="BD65" s="1304"/>
      <c r="BE65" s="1304"/>
      <c r="BF65" s="1015" t="s">
        <v>1371</v>
      </c>
    </row>
    <row customHeight="1" ht="14.625" hidden="1">
      <c r="A66" s="1304"/>
      <c r="B66" s="1436"/>
      <c r="C66" s="1304"/>
      <c r="D66" s="1304"/>
      <c r="E66" s="632">
        <v>15</v>
      </c>
      <c r="F66" s="50" cm="1" t="str">
        <f t="array" ref="F66:F66">OFFSET(E66,-1,1)</f>
        <v>0</v>
      </c>
      <c r="G66" s="1304"/>
      <c r="H66" s="98" t="s">
        <v>336</v>
      </c>
      <c r="I66" s="1304"/>
      <c r="J66" s="1304"/>
      <c r="K66" s="1304"/>
      <c r="L66" s="1304"/>
      <c r="M66" s="1304"/>
      <c r="N66" s="1304"/>
      <c r="O66" s="1304"/>
      <c r="P66" s="1442"/>
      <c r="Q66" s="1442"/>
      <c r="R66" s="1442"/>
      <c r="S66" s="1442"/>
      <c r="T66" s="465" cm="1" t="str">
        <f t="array" ref="T66:T66">T65</f>
        <v>false</v>
      </c>
      <c r="U66" s="1442"/>
      <c r="V66" s="1304"/>
      <c r="W66" s="1442"/>
      <c r="X66" s="1563"/>
      <c r="Y66" s="1545"/>
      <c r="Z66" s="1304"/>
      <c r="AA66" s="1304"/>
      <c r="AB66" s="240" t="s">
        <v>285</v>
      </c>
      <c r="AC66" s="335" t="s">
        <v>1372</v>
      </c>
      <c r="AD66" s="93" t="s">
        <v>1247</v>
      </c>
      <c r="AE66" s="346">
        <f>AE70+AE72+AE75+AE78</f>
        <v>0</v>
      </c>
      <c r="AF66" s="346">
        <f>AF70+AF72+AF75+AF78</f>
        <v>0</v>
      </c>
      <c r="AG66" s="346">
        <f>AG70+AG72+AG75+AG78</f>
        <v>0</v>
      </c>
      <c r="AH66" s="346">
        <f>AH70+AH72+AH75+AH78</f>
        <v>0</v>
      </c>
      <c r="AI66" s="346">
        <f>AI70+AI72+AI75+AI78</f>
        <v>0</v>
      </c>
      <c r="AJ66" s="346">
        <f>AJ70+AJ72+AJ75+AJ78</f>
        <v>0</v>
      </c>
      <c r="AK66" s="346">
        <f>AK70+AK72+AK75+AK78</f>
        <v>0</v>
      </c>
      <c r="AL66" s="346">
        <f>AL70+AL72+AL75+AL78</f>
        <v>0</v>
      </c>
      <c r="AM66" s="346">
        <f>AM70+AM72+AM75+AM78</f>
        <v>0</v>
      </c>
      <c r="AN66" s="346">
        <f>AN70+AN72+AN75+AN78</f>
        <v>0</v>
      </c>
      <c r="AO66" s="346">
        <f>AO70+AO72+AO75+AO78</f>
        <v>0</v>
      </c>
      <c r="AP66" s="346">
        <f>AP70+AP72+AP75+AP78</f>
        <v>0</v>
      </c>
      <c r="AQ66" s="346">
        <f>AQ70+AQ72+AQ75+AQ78</f>
        <v>0</v>
      </c>
      <c r="AR66" s="346">
        <f>AR70+AR72+AR75+AR78</f>
        <v>0</v>
      </c>
      <c r="AS66" s="346">
        <f>AS70+AS72+AS75+AS78</f>
        <v>0</v>
      </c>
      <c r="AT66" s="346">
        <f>AT70+AT72+AT75+AT78</f>
        <v>0</v>
      </c>
      <c r="AU66" s="346">
        <f>AU70+AU72+AU75+AU78</f>
        <v>0</v>
      </c>
      <c r="AV66" s="346">
        <f>AV70+AV72+AV75+AV78</f>
        <v>0</v>
      </c>
      <c r="AW66" s="346">
        <f>AW70+AW72+AW75+AW78</f>
        <v>0</v>
      </c>
      <c r="AX66" s="346">
        <f>AX70+AX72+AX75+AX78</f>
        <v>0</v>
      </c>
      <c r="AY66" s="346">
        <f>AY70+AY72+AY75+AY78</f>
        <v>0</v>
      </c>
      <c r="AZ66" s="346">
        <f>AZ70+AZ72+AZ75+AZ78</f>
        <v>0</v>
      </c>
      <c r="BA66" s="346">
        <f>BA70+BA72+BA75+BA78</f>
        <v>0</v>
      </c>
      <c r="BB66" s="346">
        <f>BB70+BB72+BB75+BB78</f>
        <v>0</v>
      </c>
      <c r="BC66" s="2070"/>
      <c r="BD66" s="1304"/>
      <c r="BE66" s="1304"/>
      <c r="BF66" s="1015" t="s">
        <v>1373</v>
      </c>
    </row>
    <row customHeight="1" ht="14.625" hidden="1">
      <c r="A67" s="1304"/>
      <c r="B67" s="1436"/>
      <c r="C67" s="1304"/>
      <c r="D67" s="1304"/>
      <c r="E67" s="632">
        <v>15</v>
      </c>
      <c r="F67" s="50" cm="1" t="str">
        <f t="array" ref="F67:F67">OFFSET(E67,-1,1)</f>
        <v>0</v>
      </c>
      <c r="G67" s="1304"/>
      <c r="H67" s="98" t="s">
        <v>1249</v>
      </c>
      <c r="I67" s="1304"/>
      <c r="J67" s="1304"/>
      <c r="K67" s="1304"/>
      <c r="L67" s="1304"/>
      <c r="M67" s="1304"/>
      <c r="N67" s="1304"/>
      <c r="O67" s="1304"/>
      <c r="P67" s="1442"/>
      <c r="Q67" s="1442"/>
      <c r="R67" s="1442"/>
      <c r="S67" s="1442"/>
      <c r="T67" s="465" cm="1" t="str">
        <f t="array" ref="T67:T67">T66</f>
        <v>false</v>
      </c>
      <c r="U67" s="1442"/>
      <c r="V67" s="1304"/>
      <c r="W67" s="1442"/>
      <c r="X67" s="1563"/>
      <c r="Y67" s="1545"/>
      <c r="Z67" s="1304"/>
      <c r="AA67" s="1304"/>
      <c r="AB67" s="240" t="s">
        <v>1250</v>
      </c>
      <c r="AC67" s="336" t="s">
        <v>1374</v>
      </c>
      <c r="AD67" s="93" t="s">
        <v>1247</v>
      </c>
      <c r="AE67" s="2069"/>
      <c r="AF67" s="2069"/>
      <c r="AG67" s="2069"/>
      <c r="AH67" s="2069"/>
      <c r="AI67" s="2069"/>
      <c r="AJ67" s="2069"/>
      <c r="AK67" s="2069"/>
      <c r="AL67" s="2069"/>
      <c r="AM67" s="2069"/>
      <c r="AN67" s="2069"/>
      <c r="AO67" s="2069"/>
      <c r="AP67" s="2069"/>
      <c r="AQ67" s="2069"/>
      <c r="AR67" s="2069"/>
      <c r="AS67" s="2069"/>
      <c r="AT67" s="2069"/>
      <c r="AU67" s="2069"/>
      <c r="AV67" s="2069"/>
      <c r="AW67" s="2069"/>
      <c r="AX67" s="2069"/>
      <c r="AY67" s="2069"/>
      <c r="AZ67" s="2069"/>
      <c r="BA67" s="2069"/>
      <c r="BB67" s="2069"/>
      <c r="BC67" s="2070"/>
      <c r="BD67" s="1304"/>
      <c r="BE67" s="1304"/>
      <c r="BF67" s="1015" t="s">
        <v>1375</v>
      </c>
    </row>
    <row customHeight="1" ht="14.625" hidden="1">
      <c r="A68" s="1304"/>
      <c r="B68" s="1436"/>
      <c r="C68" s="1304"/>
      <c r="D68" s="1304"/>
      <c r="E68" s="632">
        <v>15</v>
      </c>
      <c r="F68" s="50" cm="1" t="str">
        <f t="array" ref="F68:F68">OFFSET(E68,-1,1)</f>
        <v>0</v>
      </c>
      <c r="G68" s="1304"/>
      <c r="H68" s="98" t="s">
        <v>1253</v>
      </c>
      <c r="I68" s="1304"/>
      <c r="J68" s="1304"/>
      <c r="K68" s="1304"/>
      <c r="L68" s="1304"/>
      <c r="M68" s="1304"/>
      <c r="N68" s="1304"/>
      <c r="O68" s="1304"/>
      <c r="P68" s="1442"/>
      <c r="Q68" s="1442"/>
      <c r="R68" s="1442"/>
      <c r="S68" s="1442"/>
      <c r="T68" s="465" cm="1" t="str">
        <f t="array" ref="T68:T68">T67</f>
        <v>false</v>
      </c>
      <c r="U68" s="1442"/>
      <c r="V68" s="1304"/>
      <c r="W68" s="1442"/>
      <c r="X68" s="1563"/>
      <c r="Y68" s="1545"/>
      <c r="Z68" s="1304"/>
      <c r="AA68" s="1304"/>
      <c r="AB68" s="240" t="s">
        <v>1254</v>
      </c>
      <c r="AC68" s="336" t="s">
        <v>1376</v>
      </c>
      <c r="AD68" s="93" t="s">
        <v>1247</v>
      </c>
      <c r="AE68" s="2069"/>
      <c r="AF68" s="2069"/>
      <c r="AG68" s="2069"/>
      <c r="AH68" s="2069"/>
      <c r="AI68" s="2069"/>
      <c r="AJ68" s="2069"/>
      <c r="AK68" s="2069"/>
      <c r="AL68" s="2069"/>
      <c r="AM68" s="2069"/>
      <c r="AN68" s="2069"/>
      <c r="AO68" s="2069"/>
      <c r="AP68" s="2069"/>
      <c r="AQ68" s="2069"/>
      <c r="AR68" s="2069"/>
      <c r="AS68" s="2069"/>
      <c r="AT68" s="2069"/>
      <c r="AU68" s="2069"/>
      <c r="AV68" s="2069"/>
      <c r="AW68" s="2069"/>
      <c r="AX68" s="2069"/>
      <c r="AY68" s="2069"/>
      <c r="AZ68" s="2069"/>
      <c r="BA68" s="2069"/>
      <c r="BB68" s="2069"/>
      <c r="BC68" s="2070"/>
      <c r="BD68" s="1304"/>
      <c r="BE68" s="1304"/>
      <c r="BF68" s="1015" t="s">
        <v>1377</v>
      </c>
    </row>
    <row customHeight="1" ht="21.9375" hidden="1">
      <c r="A69" s="1304"/>
      <c r="B69" s="1436"/>
      <c r="C69" s="1304"/>
      <c r="D69" s="1304"/>
      <c r="E69" s="632">
        <v>22.5</v>
      </c>
      <c r="F69" s="50" cm="1" t="str">
        <f t="array" ref="F69:F69">OFFSET(E69,-1,1)</f>
        <v>0</v>
      </c>
      <c r="G69" s="1304"/>
      <c r="H69" s="98" t="s">
        <v>1257</v>
      </c>
      <c r="I69" s="1304"/>
      <c r="J69" s="1304"/>
      <c r="K69" s="1304"/>
      <c r="L69" s="1304"/>
      <c r="M69" s="1304"/>
      <c r="N69" s="1304"/>
      <c r="O69" s="1304"/>
      <c r="P69" s="1442"/>
      <c r="Q69" s="1442"/>
      <c r="R69" s="1442"/>
      <c r="S69" s="1442"/>
      <c r="T69" s="465" cm="1" t="str">
        <f t="array" ref="T69:T69">T68</f>
        <v>false</v>
      </c>
      <c r="U69" s="1442"/>
      <c r="V69" s="1304"/>
      <c r="W69" s="1442"/>
      <c r="X69" s="1563"/>
      <c r="Y69" s="1545"/>
      <c r="Z69" s="1304"/>
      <c r="AA69" s="1304"/>
      <c r="AB69" s="240" t="s">
        <v>1258</v>
      </c>
      <c r="AC69" s="336" t="s">
        <v>1378</v>
      </c>
      <c r="AD69" s="93" t="s">
        <v>1247</v>
      </c>
      <c r="AE69" s="2069"/>
      <c r="AF69" s="2069"/>
      <c r="AG69" s="2069"/>
      <c r="AH69" s="2069"/>
      <c r="AI69" s="2069"/>
      <c r="AJ69" s="2069"/>
      <c r="AK69" s="2069"/>
      <c r="AL69" s="2069"/>
      <c r="AM69" s="2069"/>
      <c r="AN69" s="2069"/>
      <c r="AO69" s="2069"/>
      <c r="AP69" s="2069"/>
      <c r="AQ69" s="2069"/>
      <c r="AR69" s="2069"/>
      <c r="AS69" s="2069"/>
      <c r="AT69" s="2069"/>
      <c r="AU69" s="2069"/>
      <c r="AV69" s="2069"/>
      <c r="AW69" s="2069"/>
      <c r="AX69" s="2069"/>
      <c r="AY69" s="2069"/>
      <c r="AZ69" s="2069"/>
      <c r="BA69" s="2069"/>
      <c r="BB69" s="2069"/>
      <c r="BC69" s="2070"/>
      <c r="BD69" s="1304"/>
      <c r="BE69" s="1304"/>
      <c r="BF69" s="1015" t="s">
        <v>1379</v>
      </c>
    </row>
    <row customHeight="1" ht="14.625" hidden="1">
      <c r="A70" s="1304"/>
      <c r="B70" s="1436"/>
      <c r="C70" s="1304"/>
      <c r="D70" s="1304"/>
      <c r="E70" s="632">
        <v>15</v>
      </c>
      <c r="F70" s="50" cm="1" t="str">
        <f t="array" ref="F70:F70">OFFSET(E70,-1,1)</f>
        <v>0</v>
      </c>
      <c r="G70" s="1304"/>
      <c r="H70" s="98" t="s">
        <v>335</v>
      </c>
      <c r="I70" s="1304"/>
      <c r="J70" s="1304"/>
      <c r="K70" s="1304"/>
      <c r="L70" s="1304"/>
      <c r="M70" s="1304"/>
      <c r="N70" s="1304"/>
      <c r="O70" s="1304"/>
      <c r="P70" s="1442"/>
      <c r="Q70" s="1442"/>
      <c r="R70" s="1442"/>
      <c r="S70" s="1442"/>
      <c r="T70" s="465" cm="1" t="str">
        <f t="array" ref="T70:T70">T69</f>
        <v>false</v>
      </c>
      <c r="U70" s="1442"/>
      <c r="V70" s="1304"/>
      <c r="W70" s="1442"/>
      <c r="X70" s="1563"/>
      <c r="Y70" s="1545"/>
      <c r="Z70" s="1304"/>
      <c r="AA70" s="1304"/>
      <c r="AB70" s="240" t="s">
        <v>289</v>
      </c>
      <c r="AC70" s="328" t="s">
        <v>1291</v>
      </c>
      <c r="AD70" s="93" t="s">
        <v>1247</v>
      </c>
      <c r="AE70" s="2069"/>
      <c r="AF70" s="2069"/>
      <c r="AG70" s="2069"/>
      <c r="AH70" s="2069"/>
      <c r="AI70" s="2069"/>
      <c r="AJ70" s="2069"/>
      <c r="AK70" s="2069"/>
      <c r="AL70" s="2069"/>
      <c r="AM70" s="2069"/>
      <c r="AN70" s="2069"/>
      <c r="AO70" s="2069"/>
      <c r="AP70" s="2069"/>
      <c r="AQ70" s="2069"/>
      <c r="AR70" s="2069"/>
      <c r="AS70" s="2069"/>
      <c r="AT70" s="2069"/>
      <c r="AU70" s="2069"/>
      <c r="AV70" s="2069"/>
      <c r="AW70" s="2069"/>
      <c r="AX70" s="2069"/>
      <c r="AY70" s="2069"/>
      <c r="AZ70" s="2069"/>
      <c r="BA70" s="2069"/>
      <c r="BB70" s="2069"/>
      <c r="BC70" s="2070"/>
      <c r="BD70" s="1304"/>
      <c r="BE70" s="1304"/>
      <c r="BF70" s="1015" t="s">
        <v>1380</v>
      </c>
    </row>
    <row customHeight="1" ht="14.625" hidden="1">
      <c r="A71" s="1304"/>
      <c r="B71" s="1436"/>
      <c r="C71" s="1304"/>
      <c r="D71" s="1304"/>
      <c r="E71" s="632">
        <v>15</v>
      </c>
      <c r="F71" s="50" cm="1" t="str">
        <f t="array" ref="F71:F71">OFFSET(E71,-1,1)</f>
        <v>0</v>
      </c>
      <c r="G71" s="1304"/>
      <c r="H71" s="98" t="s">
        <v>1263</v>
      </c>
      <c r="I71" s="1304"/>
      <c r="J71" s="1304"/>
      <c r="K71" s="1304"/>
      <c r="L71" s="1304"/>
      <c r="M71" s="1304"/>
      <c r="N71" s="1304"/>
      <c r="O71" s="1304"/>
      <c r="P71" s="1442"/>
      <c r="Q71" s="1442"/>
      <c r="R71" s="1442"/>
      <c r="S71" s="1442"/>
      <c r="T71" s="465" cm="1" t="str">
        <f t="array" ref="T71:T71">T70</f>
        <v>false</v>
      </c>
      <c r="U71" s="1442"/>
      <c r="V71" s="1304"/>
      <c r="W71" s="1442"/>
      <c r="X71" s="1563"/>
      <c r="Y71" s="1545"/>
      <c r="Z71" s="1304"/>
      <c r="AA71" s="1304"/>
      <c r="AB71" s="240" t="s">
        <v>1264</v>
      </c>
      <c r="AC71" s="331" t="s">
        <v>1295</v>
      </c>
      <c r="AD71" s="93" t="s">
        <v>1170</v>
      </c>
      <c r="AE71" s="1940">
        <f>IF(AE66=0,0,AE70/AE66*100)</f>
        <v>0</v>
      </c>
      <c r="AF71" s="1940">
        <f>IF(AF66=0,0,AF70/AF66*100)</f>
        <v>0</v>
      </c>
      <c r="AG71" s="1940">
        <f>IF(AG66=0,0,AG70/AG66*100)</f>
        <v>0</v>
      </c>
      <c r="AH71" s="1940">
        <f>IF(AH66=0,0,AH70/AH66*100)</f>
        <v>0</v>
      </c>
      <c r="AI71" s="1940">
        <f>IF(AI66=0,0,AI70/AI66*100)</f>
        <v>0</v>
      </c>
      <c r="AJ71" s="1940">
        <f>IF(AJ66=0,0,AJ70/AJ66*100)</f>
        <v>0</v>
      </c>
      <c r="AK71" s="1940">
        <f>IF(AK66=0,0,AK70/AK66*100)</f>
        <v>0</v>
      </c>
      <c r="AL71" s="1940">
        <f>IF(AL66=0,0,AL70/AL66*100)</f>
        <v>0</v>
      </c>
      <c r="AM71" s="1940">
        <f>IF(AM66=0,0,AM70/AM66*100)</f>
        <v>0</v>
      </c>
      <c r="AN71" s="1940">
        <f>IF(AN66=0,0,AN70/AN66*100)</f>
        <v>0</v>
      </c>
      <c r="AO71" s="1940">
        <f>IF(AO66=0,0,AO70/AO66*100)</f>
        <v>0</v>
      </c>
      <c r="AP71" s="1940">
        <f>IF(AP66=0,0,AP70/AP66*100)</f>
        <v>0</v>
      </c>
      <c r="AQ71" s="1940">
        <f>IF(AQ66=0,0,AQ70/AQ66*100)</f>
        <v>0</v>
      </c>
      <c r="AR71" s="1940">
        <f>IF(AR66=0,0,AR70/AR66*100)</f>
        <v>0</v>
      </c>
      <c r="AS71" s="1940">
        <f>IF(AS66=0,0,AS70/AS66*100)</f>
        <v>0</v>
      </c>
      <c r="AT71" s="1940">
        <f>IF(AT66=0,0,AT70/AT66*100)</f>
        <v>0</v>
      </c>
      <c r="AU71" s="1940">
        <f>IF(AU66=0,0,AU70/AU66*100)</f>
        <v>0</v>
      </c>
      <c r="AV71" s="1940">
        <f>IF(AV66=0,0,AV70/AV66*100)</f>
        <v>0</v>
      </c>
      <c r="AW71" s="1940">
        <f>IF(AW66=0,0,AW70/AW66*100)</f>
        <v>0</v>
      </c>
      <c r="AX71" s="1940">
        <f>IF(AX66=0,0,AX70/AX66*100)</f>
        <v>0</v>
      </c>
      <c r="AY71" s="1940">
        <f>IF(AY66=0,0,AY70/AY66*100)</f>
        <v>0</v>
      </c>
      <c r="AZ71" s="1940">
        <f>IF(AZ66=0,0,AZ70/AZ66*100)</f>
        <v>0</v>
      </c>
      <c r="BA71" s="1940">
        <f>IF(BA66=0,0,BA70/BA66*100)</f>
        <v>0</v>
      </c>
      <c r="BB71" s="1940">
        <f>IF(BB66=0,0,BB70/BB66*100)</f>
        <v>0</v>
      </c>
      <c r="BC71" s="2117"/>
      <c r="BD71" s="1304"/>
      <c r="BE71" s="1304"/>
      <c r="BF71" s="1015" t="s">
        <v>1381</v>
      </c>
    </row>
    <row customHeight="1" ht="14.625" hidden="1">
      <c r="A72" s="1304"/>
      <c r="B72" s="1436"/>
      <c r="C72" s="1304"/>
      <c r="D72" s="1304"/>
      <c r="E72" s="632">
        <v>15</v>
      </c>
      <c r="F72" s="50" cm="1" t="str">
        <f t="array" ref="F72:F72">OFFSET(E72,-1,1)</f>
        <v>0</v>
      </c>
      <c r="G72" s="1304" t="str">
        <f>IF(OwnNeedsInPO="да","ПО","")</f>
        <v>ПО</v>
      </c>
      <c r="H72" s="98" t="s">
        <v>1225</v>
      </c>
      <c r="I72" s="1304"/>
      <c r="J72" s="1304"/>
      <c r="K72" s="1304"/>
      <c r="L72" s="1304"/>
      <c r="M72" s="1304"/>
      <c r="N72" s="1304"/>
      <c r="O72" s="1304"/>
      <c r="P72" s="1442"/>
      <c r="Q72" s="1442"/>
      <c r="R72" s="1442"/>
      <c r="S72" s="1442"/>
      <c r="T72" s="465" cm="1" t="str">
        <f t="array" ref="T72:T72">T71</f>
        <v>false</v>
      </c>
      <c r="U72" s="1442"/>
      <c r="V72" s="1304"/>
      <c r="W72" s="1442"/>
      <c r="X72" s="1563"/>
      <c r="Y72" s="1545"/>
      <c r="Z72" s="1304"/>
      <c r="AA72" s="1304"/>
      <c r="AB72" s="240" t="s">
        <v>295</v>
      </c>
      <c r="AC72" s="335" t="s">
        <v>1302</v>
      </c>
      <c r="AD72" s="93" t="s">
        <v>1247</v>
      </c>
      <c r="AE72" s="346">
        <f>AE73+AE74</f>
        <v>0</v>
      </c>
      <c r="AF72" s="346">
        <f>AF73+AF74</f>
        <v>0</v>
      </c>
      <c r="AG72" s="346">
        <f>AG73+AG74</f>
        <v>0</v>
      </c>
      <c r="AH72" s="346">
        <f>AH73+AH74</f>
        <v>0</v>
      </c>
      <c r="AI72" s="346">
        <f>AI73+AI74</f>
        <v>0</v>
      </c>
      <c r="AJ72" s="346">
        <f>AJ73+AJ74</f>
        <v>0</v>
      </c>
      <c r="AK72" s="346">
        <f>AK73+AK74</f>
        <v>0</v>
      </c>
      <c r="AL72" s="346">
        <f>AL73+AL74</f>
        <v>0</v>
      </c>
      <c r="AM72" s="346">
        <f>AM73+AM74</f>
        <v>0</v>
      </c>
      <c r="AN72" s="346">
        <f>AN73+AN74</f>
        <v>0</v>
      </c>
      <c r="AO72" s="346">
        <f>AO73+AO74</f>
        <v>0</v>
      </c>
      <c r="AP72" s="346">
        <f>AP73+AP74</f>
        <v>0</v>
      </c>
      <c r="AQ72" s="346">
        <f>AQ73+AQ74</f>
        <v>0</v>
      </c>
      <c r="AR72" s="346">
        <f>AR73+AR74</f>
        <v>0</v>
      </c>
      <c r="AS72" s="346">
        <f>AS73+AS74</f>
        <v>0</v>
      </c>
      <c r="AT72" s="346">
        <f>AT73+AT74</f>
        <v>0</v>
      </c>
      <c r="AU72" s="346">
        <f>AU73+AU74</f>
        <v>0</v>
      </c>
      <c r="AV72" s="346">
        <f>AV73+AV74</f>
        <v>0</v>
      </c>
      <c r="AW72" s="346">
        <f>AW73+AW74</f>
        <v>0</v>
      </c>
      <c r="AX72" s="346">
        <f>AX73+AX74</f>
        <v>0</v>
      </c>
      <c r="AY72" s="346">
        <f>AY73+AY74</f>
        <v>0</v>
      </c>
      <c r="AZ72" s="346">
        <f>AZ73+AZ74</f>
        <v>0</v>
      </c>
      <c r="BA72" s="346">
        <f>BA73+BA74</f>
        <v>0</v>
      </c>
      <c r="BB72" s="346">
        <f>BB73+BB74</f>
        <v>0</v>
      </c>
      <c r="BC72" s="2070"/>
      <c r="BD72" s="1304"/>
      <c r="BE72" s="1304"/>
      <c r="BF72" s="1015" t="s">
        <v>1382</v>
      </c>
    </row>
    <row customHeight="1" ht="14.625" hidden="1">
      <c r="A73" s="1304"/>
      <c r="B73" s="1436"/>
      <c r="C73" s="1304"/>
      <c r="D73" s="1304"/>
      <c r="E73" s="632">
        <v>15</v>
      </c>
      <c r="F73" s="50" cm="1" t="str">
        <f t="array" ref="F73:F73">OFFSET(E73,-1,1)</f>
        <v>0</v>
      </c>
      <c r="G73" s="1304"/>
      <c r="H73" s="98" t="s">
        <v>1383</v>
      </c>
      <c r="I73" s="1304"/>
      <c r="J73" s="1304"/>
      <c r="K73" s="1304"/>
      <c r="L73" s="1304"/>
      <c r="M73" s="1304"/>
      <c r="N73" s="1304"/>
      <c r="O73" s="1304"/>
      <c r="P73" s="1442"/>
      <c r="Q73" s="1442"/>
      <c r="R73" s="1442"/>
      <c r="S73" s="1442"/>
      <c r="T73" s="465" cm="1" t="str">
        <f t="array" ref="T73:T73">T72</f>
        <v>false</v>
      </c>
      <c r="U73" s="1442"/>
      <c r="V73" s="1304"/>
      <c r="W73" s="1442"/>
      <c r="X73" s="1563"/>
      <c r="Y73" s="1545"/>
      <c r="Z73" s="1304"/>
      <c r="AA73" s="1304"/>
      <c r="AB73" s="240" t="s">
        <v>1384</v>
      </c>
      <c r="AC73" s="336" t="s">
        <v>1306</v>
      </c>
      <c r="AD73" s="93" t="s">
        <v>1247</v>
      </c>
      <c r="AE73" s="2069"/>
      <c r="AF73" s="2069"/>
      <c r="AG73" s="2069"/>
      <c r="AH73" s="2069"/>
      <c r="AI73" s="2069"/>
      <c r="AJ73" s="2069"/>
      <c r="AK73" s="2069"/>
      <c r="AL73" s="2069"/>
      <c r="AM73" s="2069"/>
      <c r="AN73" s="2069"/>
      <c r="AO73" s="2069"/>
      <c r="AP73" s="2069"/>
      <c r="AQ73" s="2069"/>
      <c r="AR73" s="2069"/>
      <c r="AS73" s="2069"/>
      <c r="AT73" s="2069"/>
      <c r="AU73" s="2069"/>
      <c r="AV73" s="2069"/>
      <c r="AW73" s="2069"/>
      <c r="AX73" s="2069"/>
      <c r="AY73" s="2069"/>
      <c r="AZ73" s="2069"/>
      <c r="BA73" s="2069"/>
      <c r="BB73" s="2069"/>
      <c r="BC73" s="2070"/>
      <c r="BD73" s="1304"/>
      <c r="BE73" s="1304"/>
      <c r="BF73" s="1015" t="s">
        <v>1385</v>
      </c>
    </row>
    <row customHeight="1" ht="14.625" hidden="1">
      <c r="A74" s="1304"/>
      <c r="B74" s="1436"/>
      <c r="C74" s="1304"/>
      <c r="D74" s="1304"/>
      <c r="E74" s="632">
        <v>15</v>
      </c>
      <c r="F74" s="50" cm="1" t="str">
        <f t="array" ref="F74:F74">OFFSET(E74,-1,1)</f>
        <v>0</v>
      </c>
      <c r="G74" s="1304"/>
      <c r="H74" s="98" t="s">
        <v>1386</v>
      </c>
      <c r="I74" s="1304"/>
      <c r="J74" s="1304"/>
      <c r="K74" s="1304"/>
      <c r="L74" s="1304"/>
      <c r="M74" s="1304"/>
      <c r="N74" s="1304"/>
      <c r="O74" s="1304"/>
      <c r="P74" s="1442"/>
      <c r="Q74" s="1442"/>
      <c r="R74" s="1442"/>
      <c r="S74" s="1442"/>
      <c r="T74" s="465" cm="1" t="str">
        <f t="array" ref="T74:T74">T73</f>
        <v>false</v>
      </c>
      <c r="U74" s="1442"/>
      <c r="V74" s="1304"/>
      <c r="W74" s="1442"/>
      <c r="X74" s="1563"/>
      <c r="Y74" s="1545"/>
      <c r="Z74" s="1304"/>
      <c r="AA74" s="1304"/>
      <c r="AB74" s="240" t="s">
        <v>1387</v>
      </c>
      <c r="AC74" s="336" t="s">
        <v>1310</v>
      </c>
      <c r="AD74" s="93" t="s">
        <v>1247</v>
      </c>
      <c r="AE74" s="2069"/>
      <c r="AF74" s="2069"/>
      <c r="AG74" s="2069"/>
      <c r="AH74" s="2069"/>
      <c r="AI74" s="2069"/>
      <c r="AJ74" s="2069"/>
      <c r="AK74" s="2069"/>
      <c r="AL74" s="2069"/>
      <c r="AM74" s="2069"/>
      <c r="AN74" s="2069"/>
      <c r="AO74" s="2069"/>
      <c r="AP74" s="2069"/>
      <c r="AQ74" s="2069"/>
      <c r="AR74" s="2069"/>
      <c r="AS74" s="2069"/>
      <c r="AT74" s="2069"/>
      <c r="AU74" s="2069"/>
      <c r="AV74" s="2069"/>
      <c r="AW74" s="2069"/>
      <c r="AX74" s="2069"/>
      <c r="AY74" s="2069"/>
      <c r="AZ74" s="2069"/>
      <c r="BA74" s="2069"/>
      <c r="BB74" s="2069"/>
      <c r="BC74" s="2070"/>
      <c r="BD74" s="1304"/>
      <c r="BE74" s="1304"/>
      <c r="BF74" s="1015" t="s">
        <v>1388</v>
      </c>
    </row>
    <row customHeight="1" ht="14.625" hidden="1">
      <c r="A75" s="1304"/>
      <c r="B75" s="1436"/>
      <c r="C75" s="1304"/>
      <c r="D75" s="1304"/>
      <c r="E75" s="632">
        <v>15</v>
      </c>
      <c r="F75" s="50" cm="1" t="str">
        <f t="array" ref="F75:F75">OFFSET(E75,-1,1)</f>
        <v>0</v>
      </c>
      <c r="G75" s="98" t="s">
        <v>1316</v>
      </c>
      <c r="H75" s="98" t="s">
        <v>1228</v>
      </c>
      <c r="I75" s="1304"/>
      <c r="J75" s="1304"/>
      <c r="K75" s="1304"/>
      <c r="L75" s="1304"/>
      <c r="M75" s="1304"/>
      <c r="N75" s="1304"/>
      <c r="O75" s="1304"/>
      <c r="P75" s="1442"/>
      <c r="Q75" s="1442"/>
      <c r="R75" s="1442"/>
      <c r="S75" s="1442"/>
      <c r="T75" s="465" cm="1" t="str">
        <f t="array" ref="T75:T75">T74</f>
        <v>false</v>
      </c>
      <c r="U75" s="1442"/>
      <c r="V75" s="1304"/>
      <c r="W75" s="1442"/>
      <c r="X75" s="1563"/>
      <c r="Y75" s="1545"/>
      <c r="Z75" s="1304"/>
      <c r="AA75" s="1304"/>
      <c r="AB75" s="240" t="s">
        <v>443</v>
      </c>
      <c r="AC75" s="335" t="s">
        <v>1319</v>
      </c>
      <c r="AD75" s="93" t="s">
        <v>1247</v>
      </c>
      <c r="AE75" s="346">
        <f>AE76+AE77</f>
        <v>0</v>
      </c>
      <c r="AF75" s="346">
        <f>AF76+AF77</f>
        <v>0</v>
      </c>
      <c r="AG75" s="346">
        <f>AG76+AG77</f>
        <v>0</v>
      </c>
      <c r="AH75" s="346">
        <f>AH76+AH77</f>
        <v>0</v>
      </c>
      <c r="AI75" s="346">
        <f>AI76+AI77</f>
        <v>0</v>
      </c>
      <c r="AJ75" s="346">
        <f>AJ76+AJ77</f>
        <v>0</v>
      </c>
      <c r="AK75" s="346">
        <f>AK76+AK77</f>
        <v>0</v>
      </c>
      <c r="AL75" s="346">
        <f>AL76+AL77</f>
        <v>0</v>
      </c>
      <c r="AM75" s="346">
        <f>AM76+AM77</f>
        <v>0</v>
      </c>
      <c r="AN75" s="346">
        <f>AN76+AN77</f>
        <v>0</v>
      </c>
      <c r="AO75" s="346">
        <f>AO76+AO77</f>
        <v>0</v>
      </c>
      <c r="AP75" s="346">
        <f>AP76+AP77</f>
        <v>0</v>
      </c>
      <c r="AQ75" s="346">
        <f>AQ76+AQ77</f>
        <v>0</v>
      </c>
      <c r="AR75" s="346">
        <f>AR76+AR77</f>
        <v>0</v>
      </c>
      <c r="AS75" s="346">
        <f>AS76+AS77</f>
        <v>0</v>
      </c>
      <c r="AT75" s="346">
        <f>AT76+AT77</f>
        <v>0</v>
      </c>
      <c r="AU75" s="346">
        <f>AU76+AU77</f>
        <v>0</v>
      </c>
      <c r="AV75" s="346">
        <f>AV76+AV77</f>
        <v>0</v>
      </c>
      <c r="AW75" s="346">
        <f>AW76+AW77</f>
        <v>0</v>
      </c>
      <c r="AX75" s="346">
        <f>AX76+AX77</f>
        <v>0</v>
      </c>
      <c r="AY75" s="346">
        <f>AY76+AY77</f>
        <v>0</v>
      </c>
      <c r="AZ75" s="346">
        <f>AZ76+AZ77</f>
        <v>0</v>
      </c>
      <c r="BA75" s="346">
        <f>BA76+BA77</f>
        <v>0</v>
      </c>
      <c r="BB75" s="346">
        <f>BB76+BB77</f>
        <v>0</v>
      </c>
      <c r="BC75" s="2070"/>
      <c r="BD75" s="1304"/>
      <c r="BE75" s="1304"/>
      <c r="BF75" s="1015" t="s">
        <v>1389</v>
      </c>
    </row>
    <row customHeight="1" ht="14.625" hidden="1">
      <c r="A76" s="1304"/>
      <c r="B76" s="1436"/>
      <c r="C76" s="1304"/>
      <c r="D76" s="1304"/>
      <c r="E76" s="632">
        <v>15</v>
      </c>
      <c r="F76" s="50" cm="1" t="str">
        <f t="array" ref="F76:F76">OFFSET(E76,-1,1)</f>
        <v>0</v>
      </c>
      <c r="G76" s="1304"/>
      <c r="H76" s="98" t="s">
        <v>1390</v>
      </c>
      <c r="I76" s="1304"/>
      <c r="J76" s="1304"/>
      <c r="K76" s="1304"/>
      <c r="L76" s="1304"/>
      <c r="M76" s="1304"/>
      <c r="N76" s="1304"/>
      <c r="O76" s="1304"/>
      <c r="P76" s="1442"/>
      <c r="Q76" s="1442"/>
      <c r="R76" s="1442"/>
      <c r="S76" s="1442"/>
      <c r="T76" s="465" cm="1" t="str">
        <f t="array" ref="T76:T76">T75</f>
        <v>false</v>
      </c>
      <c r="U76" s="1442"/>
      <c r="V76" s="1304"/>
      <c r="W76" s="1442"/>
      <c r="X76" s="1563"/>
      <c r="Y76" s="1545"/>
      <c r="Z76" s="1304"/>
      <c r="AA76" s="1304"/>
      <c r="AB76" s="240" t="s">
        <v>1391</v>
      </c>
      <c r="AC76" s="336" t="s">
        <v>1323</v>
      </c>
      <c r="AD76" s="93" t="s">
        <v>1247</v>
      </c>
      <c r="AE76" s="2069"/>
      <c r="AF76" s="2069"/>
      <c r="AG76" s="2069"/>
      <c r="AH76" s="2069"/>
      <c r="AI76" s="2069"/>
      <c r="AJ76" s="2069"/>
      <c r="AK76" s="2069"/>
      <c r="AL76" s="2069"/>
      <c r="AM76" s="2069"/>
      <c r="AN76" s="2069"/>
      <c r="AO76" s="2069"/>
      <c r="AP76" s="2069"/>
      <c r="AQ76" s="2069"/>
      <c r="AR76" s="2069"/>
      <c r="AS76" s="2069"/>
      <c r="AT76" s="2069"/>
      <c r="AU76" s="2069"/>
      <c r="AV76" s="2069"/>
      <c r="AW76" s="2069"/>
      <c r="AX76" s="2069"/>
      <c r="AY76" s="2069"/>
      <c r="AZ76" s="2069"/>
      <c r="BA76" s="2069"/>
      <c r="BB76" s="2069"/>
      <c r="BC76" s="2070"/>
      <c r="BD76" s="1304"/>
      <c r="BE76" s="1304"/>
      <c r="BF76" s="1015" t="s">
        <v>1392</v>
      </c>
    </row>
    <row customHeight="1" ht="14.625" hidden="1">
      <c r="A77" s="1304"/>
      <c r="B77" s="1436"/>
      <c r="C77" s="1304"/>
      <c r="D77" s="1304"/>
      <c r="E77" s="632">
        <v>15</v>
      </c>
      <c r="F77" s="50" cm="1" t="str">
        <f t="array" ref="F77:F77">OFFSET(E77,-1,1)</f>
        <v>0</v>
      </c>
      <c r="G77" s="1304"/>
      <c r="H77" s="98" t="s">
        <v>1393</v>
      </c>
      <c r="I77" s="1304"/>
      <c r="J77" s="1304"/>
      <c r="K77" s="1304"/>
      <c r="L77" s="1304"/>
      <c r="M77" s="1304"/>
      <c r="N77" s="1304"/>
      <c r="O77" s="1304"/>
      <c r="P77" s="1442"/>
      <c r="Q77" s="1442"/>
      <c r="R77" s="1442"/>
      <c r="S77" s="1442"/>
      <c r="T77" s="465" cm="1" t="str">
        <f t="array" ref="T77:T77">T76</f>
        <v>false</v>
      </c>
      <c r="U77" s="1442"/>
      <c r="V77" s="1304"/>
      <c r="W77" s="1442"/>
      <c r="X77" s="1563"/>
      <c r="Y77" s="1545"/>
      <c r="Z77" s="1304"/>
      <c r="AA77" s="1304"/>
      <c r="AB77" s="240" t="s">
        <v>1394</v>
      </c>
      <c r="AC77" s="336" t="s">
        <v>1327</v>
      </c>
      <c r="AD77" s="93" t="s">
        <v>1247</v>
      </c>
      <c r="AE77" s="2069"/>
      <c r="AF77" s="2069"/>
      <c r="AG77" s="2069"/>
      <c r="AH77" s="2069"/>
      <c r="AI77" s="2069"/>
      <c r="AJ77" s="2069"/>
      <c r="AK77" s="2069"/>
      <c r="AL77" s="2069"/>
      <c r="AM77" s="2069"/>
      <c r="AN77" s="2069"/>
      <c r="AO77" s="2069"/>
      <c r="AP77" s="2069"/>
      <c r="AQ77" s="2069"/>
      <c r="AR77" s="2069"/>
      <c r="AS77" s="2069"/>
      <c r="AT77" s="2069"/>
      <c r="AU77" s="2069"/>
      <c r="AV77" s="2069"/>
      <c r="AW77" s="2069"/>
      <c r="AX77" s="2069"/>
      <c r="AY77" s="2069"/>
      <c r="AZ77" s="2069"/>
      <c r="BA77" s="2069"/>
      <c r="BB77" s="2069"/>
      <c r="BC77" s="2070"/>
      <c r="BD77" s="1304"/>
      <c r="BE77" s="1304"/>
      <c r="BF77" s="1015" t="s">
        <v>1395</v>
      </c>
    </row>
    <row customHeight="1" ht="21.9375" hidden="1">
      <c r="A78" s="1304"/>
      <c r="B78" s="1436"/>
      <c r="C78" s="1304"/>
      <c r="D78" s="1304"/>
      <c r="E78" s="632">
        <v>22.5</v>
      </c>
      <c r="F78" s="50" cm="1" t="str">
        <f t="array" ref="F78:F78">OFFSET(E78,-1,1)</f>
        <v>0</v>
      </c>
      <c r="G78" s="1304"/>
      <c r="H78" s="98" t="s">
        <v>1275</v>
      </c>
      <c r="I78" s="469"/>
      <c r="J78" s="469"/>
      <c r="K78" s="1304"/>
      <c r="L78" s="1304"/>
      <c r="M78" s="1304"/>
      <c r="N78" s="1304"/>
      <c r="O78" s="1304"/>
      <c r="P78" s="1442"/>
      <c r="Q78" s="1442"/>
      <c r="R78" s="1442"/>
      <c r="S78" s="1442"/>
      <c r="T78" s="465" cm="1" t="str">
        <f t="array" ref="T78:T78">T77</f>
        <v>false</v>
      </c>
      <c r="U78" s="1442"/>
      <c r="V78" s="1304"/>
      <c r="W78" s="1442"/>
      <c r="X78" s="1563"/>
      <c r="Y78" s="1545"/>
      <c r="Z78" s="1304"/>
      <c r="AA78" s="1304"/>
      <c r="AB78" s="240" t="s">
        <v>446</v>
      </c>
      <c r="AC78" s="337" t="s">
        <v>1366</v>
      </c>
      <c r="AD78" s="93" t="s">
        <v>1247</v>
      </c>
      <c r="AE78" s="2069"/>
      <c r="AF78" s="2069"/>
      <c r="AG78" s="2069"/>
      <c r="AH78" s="2069"/>
      <c r="AI78" s="2069"/>
      <c r="AJ78" s="2069"/>
      <c r="AK78" s="2069"/>
      <c r="AL78" s="2069"/>
      <c r="AM78" s="2069"/>
      <c r="AN78" s="2069"/>
      <c r="AO78" s="2069"/>
      <c r="AP78" s="2069"/>
      <c r="AQ78" s="2069"/>
      <c r="AR78" s="2069"/>
      <c r="AS78" s="2069"/>
      <c r="AT78" s="2069"/>
      <c r="AU78" s="2069"/>
      <c r="AV78" s="2069"/>
      <c r="AW78" s="2069"/>
      <c r="AX78" s="2069"/>
      <c r="AY78" s="2069"/>
      <c r="AZ78" s="2069"/>
      <c r="BA78" s="2069"/>
      <c r="BB78" s="2069"/>
      <c r="BC78" s="2070"/>
      <c r="BD78" s="1304"/>
      <c r="BE78" s="1304"/>
      <c r="BF78" s="1015" t="s">
        <v>1396</v>
      </c>
    </row>
    <row customHeight="1" ht="14.625" hidden="1">
      <c r="A79" s="1304"/>
      <c r="B79" s="1436"/>
      <c r="C79" s="1304"/>
      <c r="D79" s="1304"/>
      <c r="E79" s="632">
        <v>15</v>
      </c>
      <c r="F79" s="349" cm="1" t="str">
        <f t="array" ref="F79:F79">OFFSET(E79,-1,1)</f>
        <v>0</v>
      </c>
      <c r="G79" s="1304"/>
      <c r="H79" s="1304"/>
      <c r="I79" s="1304"/>
      <c r="J79" s="1304"/>
      <c r="K79" s="1304"/>
      <c r="L79" s="1304"/>
      <c r="M79" s="1304"/>
      <c r="N79" s="1304"/>
      <c r="O79" s="1304"/>
      <c r="P79" s="1442"/>
      <c r="Q79" s="1442"/>
      <c r="R79" s="1442"/>
      <c r="S79" s="1442"/>
      <c r="T79" s="465" cm="1" t="str">
        <f t="array" ref="T79:T79">T78</f>
        <v>false</v>
      </c>
      <c r="U79" s="1442"/>
      <c r="V79" s="1304"/>
      <c r="W79" s="1442"/>
      <c r="X79" s="1563"/>
      <c r="Y79" s="1545"/>
      <c r="Z79" s="1304"/>
      <c r="AA79" s="1304"/>
      <c r="AB79" s="240" t="s">
        <v>1368</v>
      </c>
      <c r="AC79" s="334" t="s">
        <v>1369</v>
      </c>
      <c r="AD79" s="93" t="s">
        <v>1247</v>
      </c>
      <c r="AE79" s="2069"/>
      <c r="AF79" s="2069"/>
      <c r="AG79" s="2069"/>
      <c r="AH79" s="2069"/>
      <c r="AI79" s="2069"/>
      <c r="AJ79" s="2069"/>
      <c r="AK79" s="2069"/>
      <c r="AL79" s="2069"/>
      <c r="AM79" s="2069"/>
      <c r="AN79" s="2069"/>
      <c r="AO79" s="2069"/>
      <c r="AP79" s="2069"/>
      <c r="AQ79" s="2069"/>
      <c r="AR79" s="2069"/>
      <c r="AS79" s="2069"/>
      <c r="AT79" s="2069"/>
      <c r="AU79" s="2069"/>
      <c r="AV79" s="2069"/>
      <c r="AW79" s="2069"/>
      <c r="AX79" s="2069"/>
      <c r="AY79" s="2069"/>
      <c r="AZ79" s="2069"/>
      <c r="BA79" s="2069"/>
      <c r="BB79" s="2069"/>
      <c r="BC79" s="2070"/>
      <c r="BD79" s="1304"/>
      <c r="BE79" s="1304"/>
      <c r="BF79" s="1015" t="s">
        <v>1397</v>
      </c>
    </row>
    <row s="1834" customFormat="1" customHeight="1" ht="11.25" hidden="1">
      <c r="A80" s="469"/>
      <c r="B80" s="658"/>
      <c r="C80" s="469"/>
      <c r="D80" s="469"/>
      <c r="E80" s="660" t="s">
        <v>373</v>
      </c>
      <c r="F80" s="1175" cm="1" t="str">
        <f t="array" ref="F80:F80">OFFSET(E80,-1,1)</f>
        <v>0</v>
      </c>
      <c r="G80" s="469"/>
      <c r="H80" s="469"/>
      <c r="I80" s="1834"/>
      <c r="J80" s="1834"/>
      <c r="K80" s="98"/>
      <c r="L80" s="469"/>
      <c r="M80" s="469"/>
      <c r="N80" s="469"/>
      <c r="O80" s="469"/>
      <c r="P80" s="469"/>
      <c r="Q80" s="469"/>
      <c r="R80" s="416"/>
      <c r="S80" s="469"/>
      <c r="T80" s="465" t="b">
        <v>0</v>
      </c>
      <c r="U80" s="469"/>
      <c r="V80" s="469"/>
      <c r="W80" s="469"/>
      <c r="X80" s="1563"/>
      <c r="Y80" s="1545"/>
      <c r="Z80" s="469"/>
      <c r="AA80" s="469"/>
      <c r="AB80" s="1834"/>
      <c r="AC80" s="100"/>
      <c r="AD80" s="100"/>
      <c r="AE80" s="344"/>
      <c r="AF80" s="344"/>
      <c r="AG80" s="344"/>
      <c r="AH80" s="344"/>
      <c r="AI80" s="344"/>
      <c r="AJ80" s="345"/>
      <c r="AK80" s="344"/>
      <c r="AL80" s="344"/>
      <c r="AM80" s="344"/>
      <c r="AN80" s="344"/>
      <c r="AO80" s="344"/>
      <c r="AP80" s="344"/>
      <c r="AQ80" s="344"/>
      <c r="AR80" s="344"/>
      <c r="AS80" s="344"/>
      <c r="AT80" s="344"/>
      <c r="AU80" s="344"/>
      <c r="AV80" s="344"/>
      <c r="AW80" s="344"/>
      <c r="AX80" s="344"/>
      <c r="AY80" s="344"/>
      <c r="AZ80" s="344"/>
      <c r="BA80" s="344"/>
      <c r="BB80" s="344"/>
      <c r="BC80" s="1834"/>
      <c r="BD80" s="1834"/>
      <c r="BE80" s="1834"/>
      <c r="BF80" s="1019"/>
    </row>
    <row customHeight="1" ht="14.625" hidden="1">
      <c r="A81" s="1304"/>
      <c r="B81" s="1436"/>
      <c r="C81" s="1304"/>
      <c r="D81" s="1304"/>
      <c r="E81" s="632">
        <v>15</v>
      </c>
      <c r="F81" s="50" cm="1" t="str">
        <f t="array" ref="F81:F81">OFFSET(E81,-1,1)</f>
        <v>0</v>
      </c>
      <c r="G81" s="1304"/>
      <c r="H81" s="1304"/>
      <c r="I81" s="1304"/>
      <c r="J81" s="1304"/>
      <c r="K81" s="1304"/>
      <c r="L81" s="1304"/>
      <c r="M81" s="1304"/>
      <c r="N81" s="1304"/>
      <c r="O81" s="1304"/>
      <c r="P81" s="1442"/>
      <c r="Q81" s="1442"/>
      <c r="R81" s="416" cm="1" t="str">
        <f t="array" ref="R81:R81">INDEX('Общие сведения'!$AN$179:$AN$250,MATCH($X27,'Общие сведения'!$Z$179:$Z$250,0))</f>
        <v>false</v>
      </c>
      <c r="S81" s="482">
        <f>IF(ISERROR(SEARCH("Водоотведение",AB27)),FALSE,TRUE)</f>
        <v>0</v>
      </c>
      <c r="T81" s="465">
        <f>AND(X27&gt;0,S81,NOT(R81))</f>
        <v>0</v>
      </c>
      <c r="U81" s="1442"/>
      <c r="V81" s="1304"/>
      <c r="W81" s="1442"/>
      <c r="X81" s="1563"/>
      <c r="Y81" s="1545"/>
      <c r="Z81" s="1304"/>
      <c r="AA81" s="1304"/>
      <c r="AB81" s="240" t="s">
        <v>276</v>
      </c>
      <c r="AC81" s="137" t="s">
        <v>1398</v>
      </c>
      <c r="AD81" s="197"/>
      <c r="AE81" s="570" cm="1" t="str">
        <f t="array" ref="AE81:AE81">INDEX('Общие сведения'!$AH$179:$AH$250,MATCH($X27,'Общие сведения'!$Z$179:$Z$250,0))</f>
        <v>0</v>
      </c>
      <c r="AF81" s="362"/>
      <c r="AG81" s="362"/>
      <c r="AH81" s="362"/>
      <c r="AI81" s="362"/>
      <c r="AJ81" s="362"/>
      <c r="AK81" s="362"/>
      <c r="AL81" s="362"/>
      <c r="AM81" s="362"/>
      <c r="AN81" s="362"/>
      <c r="AO81" s="362"/>
      <c r="AP81" s="362"/>
      <c r="AQ81" s="362"/>
      <c r="AR81" s="362"/>
      <c r="AS81" s="362"/>
      <c r="AT81" s="362"/>
      <c r="AU81" s="362"/>
      <c r="AV81" s="362"/>
      <c r="AW81" s="362"/>
      <c r="AX81" s="362"/>
      <c r="AY81" s="362"/>
      <c r="AZ81" s="362"/>
      <c r="BA81" s="362"/>
      <c r="BB81" s="363"/>
      <c r="BC81" s="2070"/>
      <c r="BD81" s="1304"/>
      <c r="BE81" s="1304"/>
      <c r="BF81" s="1015" t="s">
        <v>1399</v>
      </c>
    </row>
    <row customHeight="1" ht="14.625" hidden="1">
      <c r="A82" s="1304"/>
      <c r="B82" s="1436"/>
      <c r="C82" s="1304"/>
      <c r="D82" s="1304"/>
      <c r="E82" s="632">
        <v>15</v>
      </c>
      <c r="F82" s="50" cm="1" t="str">
        <f t="array" ref="F82:F82">OFFSET(E82,-1,1)</f>
        <v>0</v>
      </c>
      <c r="G82" s="1304"/>
      <c r="H82" s="98" t="s">
        <v>336</v>
      </c>
      <c r="I82" s="1304"/>
      <c r="J82" s="1304"/>
      <c r="K82" s="1304"/>
      <c r="L82" s="1304"/>
      <c r="M82" s="1304"/>
      <c r="N82" s="1304"/>
      <c r="O82" s="1304"/>
      <c r="P82" s="1442"/>
      <c r="Q82" s="1442"/>
      <c r="R82" s="1442"/>
      <c r="S82" s="1442"/>
      <c r="T82" s="465" cm="1" t="str">
        <f t="array" ref="T82:T82">T81</f>
        <v>false</v>
      </c>
      <c r="U82" s="1442"/>
      <c r="V82" s="1304"/>
      <c r="W82" s="1442"/>
      <c r="X82" s="1563"/>
      <c r="Y82" s="1545"/>
      <c r="Z82" s="1304"/>
      <c r="AA82" s="1304"/>
      <c r="AB82" s="240" t="s">
        <v>285</v>
      </c>
      <c r="AC82" s="137" t="s">
        <v>1400</v>
      </c>
      <c r="AD82" s="93" t="s">
        <v>1247</v>
      </c>
      <c r="AE82" s="347">
        <f>AE83+AE84+AE97</f>
        <v>0</v>
      </c>
      <c r="AF82" s="347">
        <f>AF83+AF84+AF97</f>
        <v>0</v>
      </c>
      <c r="AG82" s="347">
        <f>AG83+AG84+AG97</f>
        <v>0</v>
      </c>
      <c r="AH82" s="347">
        <f>AH83+AH84+AH97</f>
        <v>0</v>
      </c>
      <c r="AI82" s="347">
        <f>AI83+AI84+AI97</f>
        <v>0</v>
      </c>
      <c r="AJ82" s="347">
        <f>AJ83+AJ84+AJ97</f>
        <v>0</v>
      </c>
      <c r="AK82" s="347">
        <f>AK83+AK84+AK97</f>
        <v>0</v>
      </c>
      <c r="AL82" s="347">
        <f>AL83+AL84+AL97</f>
        <v>0</v>
      </c>
      <c r="AM82" s="347">
        <f>AM83+AM84+AM97</f>
        <v>0</v>
      </c>
      <c r="AN82" s="347">
        <f>AN83+AN84+AN97</f>
        <v>0</v>
      </c>
      <c r="AO82" s="347">
        <f>AO83+AO84+AO97</f>
        <v>0</v>
      </c>
      <c r="AP82" s="347">
        <f>AP83+AP84+AP97</f>
        <v>0</v>
      </c>
      <c r="AQ82" s="347">
        <f>AQ83+AQ84+AQ97</f>
        <v>0</v>
      </c>
      <c r="AR82" s="347">
        <f>AR83+AR84+AR97</f>
        <v>0</v>
      </c>
      <c r="AS82" s="347">
        <f>AS83+AS84+AS97</f>
        <v>0</v>
      </c>
      <c r="AT82" s="347">
        <f>AT83+AT84+AT97</f>
        <v>0</v>
      </c>
      <c r="AU82" s="347">
        <f>AU83+AU84+AU97</f>
        <v>0</v>
      </c>
      <c r="AV82" s="347">
        <f>AV83+AV84+AV97</f>
        <v>0</v>
      </c>
      <c r="AW82" s="347">
        <f>AW83+AW84+AW97</f>
        <v>0</v>
      </c>
      <c r="AX82" s="347">
        <f>AX83+AX84+AX97</f>
        <v>0</v>
      </c>
      <c r="AY82" s="347">
        <f>AY83+AY84+AY97</f>
        <v>0</v>
      </c>
      <c r="AZ82" s="347">
        <f>AZ83+AZ84+AZ97</f>
        <v>0</v>
      </c>
      <c r="BA82" s="347">
        <f>BA83+BA84+BA97</f>
        <v>0</v>
      </c>
      <c r="BB82" s="347">
        <f>BB83+BB84+BB97</f>
        <v>0</v>
      </c>
      <c r="BC82" s="2070"/>
      <c r="BD82" s="1304"/>
      <c r="BE82" s="1304"/>
      <c r="BF82" s="1015" t="s">
        <v>1401</v>
      </c>
    </row>
    <row customHeight="1" ht="14.625" hidden="1">
      <c r="A83" s="1304"/>
      <c r="B83" s="1436"/>
      <c r="C83" s="1304"/>
      <c r="D83" s="1304"/>
      <c r="E83" s="632">
        <v>15</v>
      </c>
      <c r="F83" s="50" cm="1" t="str">
        <f t="array" ref="F83:F83">OFFSET(E83,-1,1)</f>
        <v>0</v>
      </c>
      <c r="G83" s="98" t="str">
        <f>IF(OwnNeedsInPO="да","ПО","")</f>
        <v>ПО</v>
      </c>
      <c r="H83" s="98" t="s">
        <v>335</v>
      </c>
      <c r="I83" s="1304"/>
      <c r="J83" s="1304"/>
      <c r="K83" s="1304"/>
      <c r="L83" s="1304"/>
      <c r="M83" s="1304"/>
      <c r="N83" s="1304"/>
      <c r="O83" s="1304"/>
      <c r="P83" s="1442"/>
      <c r="Q83" s="1442"/>
      <c r="R83" s="1442"/>
      <c r="S83" s="1442"/>
      <c r="T83" s="465" cm="1" t="str">
        <f t="array" ref="T83:T83">T82</f>
        <v>false</v>
      </c>
      <c r="U83" s="1442"/>
      <c r="V83" s="1304"/>
      <c r="W83" s="1442"/>
      <c r="X83" s="1563"/>
      <c r="Y83" s="1545"/>
      <c r="Z83" s="1304"/>
      <c r="AA83" s="1304"/>
      <c r="AB83" s="240" t="s">
        <v>289</v>
      </c>
      <c r="AC83" s="137" t="s">
        <v>1402</v>
      </c>
      <c r="AD83" s="93" t="s">
        <v>1247</v>
      </c>
      <c r="AE83" s="2069"/>
      <c r="AF83" s="2069"/>
      <c r="AG83" s="2069"/>
      <c r="AH83" s="2069"/>
      <c r="AI83" s="2069"/>
      <c r="AJ83" s="2069"/>
      <c r="AK83" s="2069"/>
      <c r="AL83" s="2069"/>
      <c r="AM83" s="2069"/>
      <c r="AN83" s="2069"/>
      <c r="AO83" s="2069"/>
      <c r="AP83" s="2069"/>
      <c r="AQ83" s="2069"/>
      <c r="AR83" s="2069"/>
      <c r="AS83" s="2069"/>
      <c r="AT83" s="2069"/>
      <c r="AU83" s="2069"/>
      <c r="AV83" s="2069"/>
      <c r="AW83" s="2069"/>
      <c r="AX83" s="2069"/>
      <c r="AY83" s="2069"/>
      <c r="AZ83" s="2069"/>
      <c r="BA83" s="2069"/>
      <c r="BB83" s="2069"/>
      <c r="BC83" s="2070"/>
      <c r="BD83" s="1304"/>
      <c r="BE83" s="1304"/>
      <c r="BF83" s="1015" t="s">
        <v>1403</v>
      </c>
    </row>
    <row customHeight="1" ht="14.625" hidden="1">
      <c r="A84" s="1304"/>
      <c r="B84" s="1436"/>
      <c r="C84" s="1304"/>
      <c r="D84" s="1304"/>
      <c r="E84" s="632">
        <v>15</v>
      </c>
      <c r="F84" s="50" cm="1" t="str">
        <f t="array" ref="F84:F84">OFFSET(E84,-1,1)</f>
        <v>0</v>
      </c>
      <c r="G84" s="98" t="s">
        <v>1316</v>
      </c>
      <c r="H84" s="98" t="s">
        <v>1225</v>
      </c>
      <c r="I84" s="1304"/>
      <c r="J84" s="1304"/>
      <c r="K84" s="1304"/>
      <c r="L84" s="1304"/>
      <c r="M84" s="1304"/>
      <c r="N84" s="1304"/>
      <c r="O84" s="1304"/>
      <c r="P84" s="1442"/>
      <c r="Q84" s="1442"/>
      <c r="R84" s="1442"/>
      <c r="S84" s="1442"/>
      <c r="T84" s="465" cm="1" t="str">
        <f t="array" ref="T84:T84">T83</f>
        <v>false</v>
      </c>
      <c r="U84" s="1442"/>
      <c r="V84" s="1304"/>
      <c r="W84" s="1442"/>
      <c r="X84" s="1563"/>
      <c r="Y84" s="1545"/>
      <c r="Z84" s="1304"/>
      <c r="AA84" s="1304"/>
      <c r="AB84" s="240" t="s">
        <v>295</v>
      </c>
      <c r="AC84" s="138" t="s">
        <v>1404</v>
      </c>
      <c r="AD84" s="93" t="s">
        <v>1247</v>
      </c>
      <c r="AE84" s="346">
        <f>AE85+AE88+AE91+AE94</f>
        <v>0</v>
      </c>
      <c r="AF84" s="346">
        <f>AF85+AF88+AF91+AF94</f>
        <v>0</v>
      </c>
      <c r="AG84" s="346">
        <f>AG85+AG88+AG91+AG94</f>
        <v>0</v>
      </c>
      <c r="AH84" s="346">
        <f>AH85+AH88+AH91+AH94</f>
        <v>0</v>
      </c>
      <c r="AI84" s="346">
        <f>AI85+AI88+AI91+AI94</f>
        <v>0</v>
      </c>
      <c r="AJ84" s="346">
        <f>AJ85+AJ88+AJ91+AJ94</f>
        <v>0</v>
      </c>
      <c r="AK84" s="346">
        <f>AK85+AK88+AK91+AK94</f>
        <v>0</v>
      </c>
      <c r="AL84" s="346">
        <f>AL85+AL88+AL91+AL94</f>
        <v>0</v>
      </c>
      <c r="AM84" s="346">
        <f>AM85+AM88+AM91+AM94</f>
        <v>0</v>
      </c>
      <c r="AN84" s="346">
        <f>AN85+AN88+AN91+AN94</f>
        <v>0</v>
      </c>
      <c r="AO84" s="346">
        <f>AO85+AO88+AO91+AO94</f>
        <v>0</v>
      </c>
      <c r="AP84" s="346">
        <f>AP85+AP88+AP91+AP94</f>
        <v>0</v>
      </c>
      <c r="AQ84" s="346">
        <f>AQ85+AQ88+AQ91+AQ94</f>
        <v>0</v>
      </c>
      <c r="AR84" s="346">
        <f>AR85+AR88+AR91+AR94</f>
        <v>0</v>
      </c>
      <c r="AS84" s="346">
        <f>AS85+AS88+AS91+AS94</f>
        <v>0</v>
      </c>
      <c r="AT84" s="346">
        <f>AT85+AT88+AT91+AT94</f>
        <v>0</v>
      </c>
      <c r="AU84" s="346">
        <f>AU85+AU88+AU91+AU94</f>
        <v>0</v>
      </c>
      <c r="AV84" s="346">
        <f>AV85+AV88+AV91+AV94</f>
        <v>0</v>
      </c>
      <c r="AW84" s="346">
        <f>AW85+AW88+AW91+AW94</f>
        <v>0</v>
      </c>
      <c r="AX84" s="346">
        <f>AX85+AX88+AX91+AX94</f>
        <v>0</v>
      </c>
      <c r="AY84" s="346">
        <f>AY85+AY88+AY91+AY94</f>
        <v>0</v>
      </c>
      <c r="AZ84" s="346">
        <f>AZ85+AZ88+AZ91+AZ94</f>
        <v>0</v>
      </c>
      <c r="BA84" s="346">
        <f>BA85+BA88+BA91+BA94</f>
        <v>0</v>
      </c>
      <c r="BB84" s="346">
        <f>BB85+BB88+BB91+BB94</f>
        <v>0</v>
      </c>
      <c r="BC84" s="2070"/>
      <c r="BD84" s="1304"/>
      <c r="BE84" s="1304"/>
      <c r="BF84" s="1015" t="s">
        <v>1405</v>
      </c>
    </row>
    <row customHeight="1" ht="14.625" hidden="1">
      <c r="A85" s="1304"/>
      <c r="B85" s="1436"/>
      <c r="C85" s="1304"/>
      <c r="D85" s="1304"/>
      <c r="E85" s="632">
        <v>15</v>
      </c>
      <c r="F85" s="50" cm="1" t="str">
        <f t="array" ref="F85:F85">OFFSET(E85,-1,1)</f>
        <v>0</v>
      </c>
      <c r="G85" s="1304"/>
      <c r="H85" s="98" t="s">
        <v>1383</v>
      </c>
      <c r="I85" s="1304"/>
      <c r="J85" s="1304"/>
      <c r="K85" s="1304"/>
      <c r="L85" s="1304"/>
      <c r="M85" s="1304"/>
      <c r="N85" s="1304"/>
      <c r="O85" s="1304"/>
      <c r="P85" s="1442"/>
      <c r="Q85" s="1442"/>
      <c r="R85" s="1442"/>
      <c r="S85" s="1442"/>
      <c r="T85" s="465" cm="1" t="str">
        <f t="array" ref="T85:T85">T84</f>
        <v>false</v>
      </c>
      <c r="U85" s="1442"/>
      <c r="V85" s="1304"/>
      <c r="W85" s="1442"/>
      <c r="X85" s="1563"/>
      <c r="Y85" s="1545"/>
      <c r="Z85" s="1304"/>
      <c r="AA85" s="1304"/>
      <c r="AB85" s="240" t="s">
        <v>1384</v>
      </c>
      <c r="AC85" s="192" t="s">
        <v>1335</v>
      </c>
      <c r="AD85" s="93" t="s">
        <v>1247</v>
      </c>
      <c r="AE85" s="346">
        <f>AE86+AE87</f>
        <v>0</v>
      </c>
      <c r="AF85" s="346">
        <f>AF86+AF87</f>
        <v>0</v>
      </c>
      <c r="AG85" s="346">
        <f>AG86+AG87</f>
        <v>0</v>
      </c>
      <c r="AH85" s="346">
        <f>AH86+AH87</f>
        <v>0</v>
      </c>
      <c r="AI85" s="346">
        <f>AI86+AI87</f>
        <v>0</v>
      </c>
      <c r="AJ85" s="346">
        <f>AJ86+AJ87</f>
        <v>0</v>
      </c>
      <c r="AK85" s="346">
        <f>AK86+AK87</f>
        <v>0</v>
      </c>
      <c r="AL85" s="346">
        <f>AL86+AL87</f>
        <v>0</v>
      </c>
      <c r="AM85" s="346">
        <f>AM86+AM87</f>
        <v>0</v>
      </c>
      <c r="AN85" s="346">
        <f>AN86+AN87</f>
        <v>0</v>
      </c>
      <c r="AO85" s="346">
        <f>AO86+AO87</f>
        <v>0</v>
      </c>
      <c r="AP85" s="346">
        <f>AP86+AP87</f>
        <v>0</v>
      </c>
      <c r="AQ85" s="346">
        <f>AQ86+AQ87</f>
        <v>0</v>
      </c>
      <c r="AR85" s="346">
        <f>AR86+AR87</f>
        <v>0</v>
      </c>
      <c r="AS85" s="346">
        <f>AS86+AS87</f>
        <v>0</v>
      </c>
      <c r="AT85" s="346">
        <f>AT86+AT87</f>
        <v>0</v>
      </c>
      <c r="AU85" s="346">
        <f>AU86+AU87</f>
        <v>0</v>
      </c>
      <c r="AV85" s="346">
        <f>AV86+AV87</f>
        <v>0</v>
      </c>
      <c r="AW85" s="346">
        <f>AW86+AW87</f>
        <v>0</v>
      </c>
      <c r="AX85" s="346">
        <f>AX86+AX87</f>
        <v>0</v>
      </c>
      <c r="AY85" s="346">
        <f>AY86+AY87</f>
        <v>0</v>
      </c>
      <c r="AZ85" s="346">
        <f>AZ86+AZ87</f>
        <v>0</v>
      </c>
      <c r="BA85" s="346">
        <f>BA86+BA87</f>
        <v>0</v>
      </c>
      <c r="BB85" s="346">
        <f>BB86+BB87</f>
        <v>0</v>
      </c>
      <c r="BC85" s="2070"/>
      <c r="BD85" s="1304"/>
      <c r="BE85" s="1304"/>
      <c r="BF85" s="1015" t="s">
        <v>1406</v>
      </c>
    </row>
    <row customHeight="1" ht="14.625" hidden="1">
      <c r="A86" s="1304"/>
      <c r="B86" s="1436"/>
      <c r="C86" s="1304"/>
      <c r="D86" s="1304"/>
      <c r="E86" s="632">
        <v>15</v>
      </c>
      <c r="F86" s="50" cm="1" t="str">
        <f t="array" ref="F86:F86">OFFSET(E86,-1,1)</f>
        <v>0</v>
      </c>
      <c r="G86" s="1304"/>
      <c r="H86" s="98" t="s">
        <v>1407</v>
      </c>
      <c r="I86" s="1304"/>
      <c r="J86" s="1304"/>
      <c r="K86" s="1304"/>
      <c r="L86" s="1304"/>
      <c r="M86" s="1304"/>
      <c r="N86" s="1304"/>
      <c r="O86" s="1304"/>
      <c r="P86" s="1442"/>
      <c r="Q86" s="1442"/>
      <c r="R86" s="1442"/>
      <c r="S86" s="1442"/>
      <c r="T86" s="465" cm="1" t="str">
        <f t="array" ref="T86:T86">T85</f>
        <v>false</v>
      </c>
      <c r="U86" s="1442"/>
      <c r="V86" s="1304"/>
      <c r="W86" s="1442"/>
      <c r="X86" s="1563"/>
      <c r="Y86" s="1545"/>
      <c r="Z86" s="1304"/>
      <c r="AA86" s="1304"/>
      <c r="AB86" s="240" t="s">
        <v>1408</v>
      </c>
      <c r="AC86" s="338" t="s">
        <v>1323</v>
      </c>
      <c r="AD86" s="93" t="s">
        <v>1247</v>
      </c>
      <c r="AE86" s="2069"/>
      <c r="AF86" s="2069"/>
      <c r="AG86" s="2069"/>
      <c r="AH86" s="2069"/>
      <c r="AI86" s="2069"/>
      <c r="AJ86" s="2069"/>
      <c r="AK86" s="2069"/>
      <c r="AL86" s="2069"/>
      <c r="AM86" s="2069"/>
      <c r="AN86" s="2069"/>
      <c r="AO86" s="2069"/>
      <c r="AP86" s="2069"/>
      <c r="AQ86" s="2069"/>
      <c r="AR86" s="2069"/>
      <c r="AS86" s="2069"/>
      <c r="AT86" s="2069"/>
      <c r="AU86" s="2069"/>
      <c r="AV86" s="2069"/>
      <c r="AW86" s="2069"/>
      <c r="AX86" s="2069"/>
      <c r="AY86" s="2069"/>
      <c r="AZ86" s="2069"/>
      <c r="BA86" s="2069"/>
      <c r="BB86" s="2069"/>
      <c r="BC86" s="2070"/>
      <c r="BD86" s="1304"/>
      <c r="BE86" s="1304"/>
      <c r="BF86" s="1015" t="s">
        <v>1409</v>
      </c>
    </row>
    <row customHeight="1" ht="14.625" hidden="1">
      <c r="A87" s="1304"/>
      <c r="B87" s="1436"/>
      <c r="C87" s="1304"/>
      <c r="D87" s="1304"/>
      <c r="E87" s="632">
        <v>15</v>
      </c>
      <c r="F87" s="50" cm="1" t="str">
        <f t="array" ref="F87:F87">OFFSET(E87,-1,1)</f>
        <v>0</v>
      </c>
      <c r="G87" s="1304"/>
      <c r="H87" s="98" t="s">
        <v>1410</v>
      </c>
      <c r="I87" s="1304"/>
      <c r="J87" s="1304"/>
      <c r="K87" s="1304"/>
      <c r="L87" s="1304"/>
      <c r="M87" s="1304"/>
      <c r="N87" s="1304"/>
      <c r="O87" s="1304"/>
      <c r="P87" s="1442"/>
      <c r="Q87" s="1442"/>
      <c r="R87" s="1442"/>
      <c r="S87" s="1442"/>
      <c r="T87" s="465" cm="1" t="str">
        <f t="array" ref="T87:T87">T86</f>
        <v>false</v>
      </c>
      <c r="U87" s="1442"/>
      <c r="V87" s="1304"/>
      <c r="W87" s="1442"/>
      <c r="X87" s="1563"/>
      <c r="Y87" s="1545"/>
      <c r="Z87" s="1304"/>
      <c r="AA87" s="1304"/>
      <c r="AB87" s="240" t="s">
        <v>1411</v>
      </c>
      <c r="AC87" s="338" t="s">
        <v>1327</v>
      </c>
      <c r="AD87" s="93" t="s">
        <v>1247</v>
      </c>
      <c r="AE87" s="2069"/>
      <c r="AF87" s="2069"/>
      <c r="AG87" s="2069"/>
      <c r="AH87" s="2069"/>
      <c r="AI87" s="2069"/>
      <c r="AJ87" s="2069"/>
      <c r="AK87" s="2069"/>
      <c r="AL87" s="2069"/>
      <c r="AM87" s="2069"/>
      <c r="AN87" s="2069"/>
      <c r="AO87" s="2069"/>
      <c r="AP87" s="2069"/>
      <c r="AQ87" s="2069"/>
      <c r="AR87" s="2069"/>
      <c r="AS87" s="2069"/>
      <c r="AT87" s="2069"/>
      <c r="AU87" s="2069"/>
      <c r="AV87" s="2069"/>
      <c r="AW87" s="2069"/>
      <c r="AX87" s="2069"/>
      <c r="AY87" s="2069"/>
      <c r="AZ87" s="2069"/>
      <c r="BA87" s="2069"/>
      <c r="BB87" s="2069"/>
      <c r="BC87" s="2070"/>
      <c r="BD87" s="1304"/>
      <c r="BE87" s="1304"/>
      <c r="BF87" s="1015" t="s">
        <v>1412</v>
      </c>
    </row>
    <row customHeight="1" ht="14.625" hidden="1">
      <c r="A88" s="1304"/>
      <c r="B88" s="1436"/>
      <c r="C88" s="1304"/>
      <c r="D88" s="1304"/>
      <c r="E88" s="632">
        <v>15</v>
      </c>
      <c r="F88" s="50" cm="1" t="str">
        <f t="array" ref="F88:F88">OFFSET(E88,-1,1)</f>
        <v>0</v>
      </c>
      <c r="G88" s="98" t="s">
        <v>1343</v>
      </c>
      <c r="H88" s="98" t="s">
        <v>1386</v>
      </c>
      <c r="I88" s="1304"/>
      <c r="J88" s="1304"/>
      <c r="K88" s="1304"/>
      <c r="L88" s="1304"/>
      <c r="M88" s="1304"/>
      <c r="N88" s="1304"/>
      <c r="O88" s="1304"/>
      <c r="P88" s="1442"/>
      <c r="Q88" s="1442"/>
      <c r="R88" s="1442"/>
      <c r="S88" s="1442"/>
      <c r="T88" s="465" cm="1" t="str">
        <f t="array" ref="T88:T88">T87</f>
        <v>false</v>
      </c>
      <c r="U88" s="1442"/>
      <c r="V88" s="1304"/>
      <c r="W88" s="1442"/>
      <c r="X88" s="1563"/>
      <c r="Y88" s="1545"/>
      <c r="Z88" s="1304"/>
      <c r="AA88" s="1304"/>
      <c r="AB88" s="240" t="s">
        <v>1387</v>
      </c>
      <c r="AC88" s="192" t="s">
        <v>1346</v>
      </c>
      <c r="AD88" s="93" t="s">
        <v>1247</v>
      </c>
      <c r="AE88" s="346">
        <f>AE89+AE90</f>
        <v>0</v>
      </c>
      <c r="AF88" s="346">
        <f>AF89+AF90</f>
        <v>0</v>
      </c>
      <c r="AG88" s="346">
        <f>AG89+AG90</f>
        <v>0</v>
      </c>
      <c r="AH88" s="346">
        <f>AH89+AH90</f>
        <v>0</v>
      </c>
      <c r="AI88" s="346">
        <f>AI89+AI90</f>
        <v>0</v>
      </c>
      <c r="AJ88" s="346">
        <f>AJ89+AJ90</f>
        <v>0</v>
      </c>
      <c r="AK88" s="346">
        <f>AK89+AK90</f>
        <v>0</v>
      </c>
      <c r="AL88" s="346">
        <f>AL89+AL90</f>
        <v>0</v>
      </c>
      <c r="AM88" s="346">
        <f>AM89+AM90</f>
        <v>0</v>
      </c>
      <c r="AN88" s="346">
        <f>AN89+AN90</f>
        <v>0</v>
      </c>
      <c r="AO88" s="346">
        <f>AO89+AO90</f>
        <v>0</v>
      </c>
      <c r="AP88" s="346">
        <f>AP89+AP90</f>
        <v>0</v>
      </c>
      <c r="AQ88" s="346">
        <f>AQ89+AQ90</f>
        <v>0</v>
      </c>
      <c r="AR88" s="346">
        <f>AR89+AR90</f>
        <v>0</v>
      </c>
      <c r="AS88" s="346">
        <f>AS89+AS90</f>
        <v>0</v>
      </c>
      <c r="AT88" s="346">
        <f>AT89+AT90</f>
        <v>0</v>
      </c>
      <c r="AU88" s="346">
        <f>AU89+AU90</f>
        <v>0</v>
      </c>
      <c r="AV88" s="346">
        <f>AV89+AV90</f>
        <v>0</v>
      </c>
      <c r="AW88" s="346">
        <f>AW89+AW90</f>
        <v>0</v>
      </c>
      <c r="AX88" s="346">
        <f>AX89+AX90</f>
        <v>0</v>
      </c>
      <c r="AY88" s="346">
        <f>AY89+AY90</f>
        <v>0</v>
      </c>
      <c r="AZ88" s="346">
        <f>AZ89+AZ90</f>
        <v>0</v>
      </c>
      <c r="BA88" s="346">
        <f>BA89+BA90</f>
        <v>0</v>
      </c>
      <c r="BB88" s="346">
        <f>BB89+BB90</f>
        <v>0</v>
      </c>
      <c r="BC88" s="2070"/>
      <c r="BD88" s="1304"/>
      <c r="BE88" s="1304"/>
      <c r="BF88" s="1015" t="s">
        <v>1413</v>
      </c>
    </row>
    <row customHeight="1" ht="14.625" hidden="1">
      <c r="A89" s="1304"/>
      <c r="B89" s="1436"/>
      <c r="C89" s="1304"/>
      <c r="D89" s="1304"/>
      <c r="E89" s="632">
        <v>15</v>
      </c>
      <c r="F89" s="50" cm="1" t="str">
        <f t="array" ref="F89:F89">OFFSET(E89,-1,1)</f>
        <v>0</v>
      </c>
      <c r="G89" s="1304"/>
      <c r="H89" s="98" t="s">
        <v>1414</v>
      </c>
      <c r="I89" s="1304"/>
      <c r="J89" s="1304"/>
      <c r="K89" s="1304"/>
      <c r="L89" s="1304"/>
      <c r="M89" s="1304"/>
      <c r="N89" s="1304"/>
      <c r="O89" s="1304"/>
      <c r="P89" s="1442"/>
      <c r="Q89" s="1442"/>
      <c r="R89" s="1442"/>
      <c r="S89" s="1442"/>
      <c r="T89" s="465" cm="1" t="str">
        <f t="array" ref="T89:T89">T88</f>
        <v>false</v>
      </c>
      <c r="U89" s="1442"/>
      <c r="V89" s="1304"/>
      <c r="W89" s="1442"/>
      <c r="X89" s="1563"/>
      <c r="Y89" s="1545"/>
      <c r="Z89" s="1304"/>
      <c r="AA89" s="1304"/>
      <c r="AB89" s="240" t="s">
        <v>1415</v>
      </c>
      <c r="AC89" s="338" t="s">
        <v>1323</v>
      </c>
      <c r="AD89" s="93" t="s">
        <v>1247</v>
      </c>
      <c r="AE89" s="2069"/>
      <c r="AF89" s="2069"/>
      <c r="AG89" s="2069"/>
      <c r="AH89" s="2069"/>
      <c r="AI89" s="2069"/>
      <c r="AJ89" s="2069"/>
      <c r="AK89" s="2069"/>
      <c r="AL89" s="2069"/>
      <c r="AM89" s="2069"/>
      <c r="AN89" s="2069"/>
      <c r="AO89" s="2069"/>
      <c r="AP89" s="2069"/>
      <c r="AQ89" s="2069"/>
      <c r="AR89" s="2069"/>
      <c r="AS89" s="2069"/>
      <c r="AT89" s="2069"/>
      <c r="AU89" s="2069"/>
      <c r="AV89" s="2069"/>
      <c r="AW89" s="2069"/>
      <c r="AX89" s="2069"/>
      <c r="AY89" s="2069"/>
      <c r="AZ89" s="2069"/>
      <c r="BA89" s="2069"/>
      <c r="BB89" s="2069"/>
      <c r="BC89" s="2070"/>
      <c r="BD89" s="1304"/>
      <c r="BE89" s="1304"/>
      <c r="BF89" s="1015" t="s">
        <v>1416</v>
      </c>
    </row>
    <row customHeight="1" ht="14.625" hidden="1">
      <c r="A90" s="1304"/>
      <c r="B90" s="1436"/>
      <c r="C90" s="1304"/>
      <c r="D90" s="1304"/>
      <c r="E90" s="632">
        <v>15</v>
      </c>
      <c r="F90" s="50" cm="1" t="str">
        <f t="array" ref="F90:F90">OFFSET(E90,-1,1)</f>
        <v>0</v>
      </c>
      <c r="G90" s="1304"/>
      <c r="H90" s="98" t="s">
        <v>1417</v>
      </c>
      <c r="I90" s="1304"/>
      <c r="J90" s="1304"/>
      <c r="K90" s="1304"/>
      <c r="L90" s="1304"/>
      <c r="M90" s="1304"/>
      <c r="N90" s="1304"/>
      <c r="O90" s="1304"/>
      <c r="P90" s="1442"/>
      <c r="Q90" s="1442"/>
      <c r="R90" s="1442"/>
      <c r="S90" s="1442"/>
      <c r="T90" s="465" cm="1" t="str">
        <f t="array" ref="T90:T90">T89</f>
        <v>false</v>
      </c>
      <c r="U90" s="1442"/>
      <c r="V90" s="1304"/>
      <c r="W90" s="1442"/>
      <c r="X90" s="1563"/>
      <c r="Y90" s="1545"/>
      <c r="Z90" s="1304"/>
      <c r="AA90" s="1304"/>
      <c r="AB90" s="240" t="s">
        <v>1418</v>
      </c>
      <c r="AC90" s="338" t="s">
        <v>1327</v>
      </c>
      <c r="AD90" s="93" t="s">
        <v>1247</v>
      </c>
      <c r="AE90" s="2069"/>
      <c r="AF90" s="2069"/>
      <c r="AG90" s="2069"/>
      <c r="AH90" s="2069"/>
      <c r="AI90" s="2069"/>
      <c r="AJ90" s="2069"/>
      <c r="AK90" s="2069"/>
      <c r="AL90" s="2069"/>
      <c r="AM90" s="2069"/>
      <c r="AN90" s="2069"/>
      <c r="AO90" s="2069"/>
      <c r="AP90" s="2069"/>
      <c r="AQ90" s="2069"/>
      <c r="AR90" s="2069"/>
      <c r="AS90" s="2069"/>
      <c r="AT90" s="2069"/>
      <c r="AU90" s="2069"/>
      <c r="AV90" s="2069"/>
      <c r="AW90" s="2069"/>
      <c r="AX90" s="2069"/>
      <c r="AY90" s="2069"/>
      <c r="AZ90" s="2069"/>
      <c r="BA90" s="2069"/>
      <c r="BB90" s="2069"/>
      <c r="BC90" s="2070"/>
      <c r="BD90" s="1304"/>
      <c r="BE90" s="1304"/>
      <c r="BF90" s="1015" t="s">
        <v>1419</v>
      </c>
    </row>
    <row customHeight="1" ht="14.625" hidden="1">
      <c r="A91" s="1304"/>
      <c r="B91" s="1436"/>
      <c r="C91" s="1304"/>
      <c r="D91" s="1304"/>
      <c r="E91" s="632">
        <v>15</v>
      </c>
      <c r="F91" s="50" cm="1" t="str">
        <f t="array" ref="F91:F91">OFFSET(E91,-1,1)</f>
        <v>0</v>
      </c>
      <c r="G91" s="1304"/>
      <c r="H91" s="98" t="s">
        <v>1420</v>
      </c>
      <c r="I91" s="1304"/>
      <c r="J91" s="1304"/>
      <c r="K91" s="1304"/>
      <c r="L91" s="1304"/>
      <c r="M91" s="1304"/>
      <c r="N91" s="1304"/>
      <c r="O91" s="1304"/>
      <c r="P91" s="1442"/>
      <c r="Q91" s="1442"/>
      <c r="R91" s="1442"/>
      <c r="S91" s="1442"/>
      <c r="T91" s="465" cm="1" t="str">
        <f t="array" ref="T91:T91">T90</f>
        <v>false</v>
      </c>
      <c r="U91" s="1442"/>
      <c r="V91" s="1304"/>
      <c r="W91" s="1442"/>
      <c r="X91" s="1563"/>
      <c r="Y91" s="1545"/>
      <c r="Z91" s="1304"/>
      <c r="AA91" s="1304"/>
      <c r="AB91" s="240" t="s">
        <v>1421</v>
      </c>
      <c r="AC91" s="192" t="s">
        <v>1356</v>
      </c>
      <c r="AD91" s="93" t="s">
        <v>1247</v>
      </c>
      <c r="AE91" s="346">
        <f>AE92+AE93</f>
        <v>0</v>
      </c>
      <c r="AF91" s="346">
        <f>AF92+AF93</f>
        <v>0</v>
      </c>
      <c r="AG91" s="346">
        <f>AG92+AG93</f>
        <v>0</v>
      </c>
      <c r="AH91" s="346">
        <f>AH92+AH93</f>
        <v>0</v>
      </c>
      <c r="AI91" s="346">
        <f>AI92+AI93</f>
        <v>0</v>
      </c>
      <c r="AJ91" s="346">
        <f>AJ92+AJ93</f>
        <v>0</v>
      </c>
      <c r="AK91" s="346">
        <f>AK92+AK93</f>
        <v>0</v>
      </c>
      <c r="AL91" s="346">
        <f>AL92+AL93</f>
        <v>0</v>
      </c>
      <c r="AM91" s="346">
        <f>AM92+AM93</f>
        <v>0</v>
      </c>
      <c r="AN91" s="346">
        <f>AN92+AN93</f>
        <v>0</v>
      </c>
      <c r="AO91" s="346">
        <f>AO92+AO93</f>
        <v>0</v>
      </c>
      <c r="AP91" s="346">
        <f>AP92+AP93</f>
        <v>0</v>
      </c>
      <c r="AQ91" s="346">
        <f>AQ92+AQ93</f>
        <v>0</v>
      </c>
      <c r="AR91" s="346">
        <f>AR92+AR93</f>
        <v>0</v>
      </c>
      <c r="AS91" s="346">
        <f>AS92+AS93</f>
        <v>0</v>
      </c>
      <c r="AT91" s="346">
        <f>AT92+AT93</f>
        <v>0</v>
      </c>
      <c r="AU91" s="346">
        <f>AU92+AU93</f>
        <v>0</v>
      </c>
      <c r="AV91" s="346">
        <f>AV92+AV93</f>
        <v>0</v>
      </c>
      <c r="AW91" s="346">
        <f>AW92+AW93</f>
        <v>0</v>
      </c>
      <c r="AX91" s="346">
        <f>AX92+AX93</f>
        <v>0</v>
      </c>
      <c r="AY91" s="346">
        <f>AY92+AY93</f>
        <v>0</v>
      </c>
      <c r="AZ91" s="346">
        <f>AZ92+AZ93</f>
        <v>0</v>
      </c>
      <c r="BA91" s="346">
        <f>BA92+BA93</f>
        <v>0</v>
      </c>
      <c r="BB91" s="346">
        <f>BB92+BB93</f>
        <v>0</v>
      </c>
      <c r="BC91" s="2070"/>
      <c r="BD91" s="1304"/>
      <c r="BE91" s="1304"/>
      <c r="BF91" s="1015" t="s">
        <v>1422</v>
      </c>
    </row>
    <row customHeight="1" ht="14.625" hidden="1">
      <c r="A92" s="1304"/>
      <c r="B92" s="1436"/>
      <c r="C92" s="1304"/>
      <c r="D92" s="1304"/>
      <c r="E92" s="632">
        <v>15</v>
      </c>
      <c r="F92" s="50" cm="1" t="str">
        <f t="array" ref="F92:F92">OFFSET(E92,-1,1)</f>
        <v>0</v>
      </c>
      <c r="G92" s="1304"/>
      <c r="H92" s="98" t="s">
        <v>1423</v>
      </c>
      <c r="I92" s="1304"/>
      <c r="J92" s="1304"/>
      <c r="K92" s="1304"/>
      <c r="L92" s="1304"/>
      <c r="M92" s="1304"/>
      <c r="N92" s="1304"/>
      <c r="O92" s="1304"/>
      <c r="P92" s="1442"/>
      <c r="Q92" s="1442"/>
      <c r="R92" s="1442"/>
      <c r="S92" s="1442"/>
      <c r="T92" s="465" cm="1" t="str">
        <f t="array" ref="T92:T92">T91</f>
        <v>false</v>
      </c>
      <c r="U92" s="1442"/>
      <c r="V92" s="1304"/>
      <c r="W92" s="1442"/>
      <c r="X92" s="1563"/>
      <c r="Y92" s="1545"/>
      <c r="Z92" s="1304"/>
      <c r="AA92" s="1304"/>
      <c r="AB92" s="240" t="s">
        <v>1424</v>
      </c>
      <c r="AC92" s="338" t="s">
        <v>1323</v>
      </c>
      <c r="AD92" s="93" t="s">
        <v>1247</v>
      </c>
      <c r="AE92" s="2069"/>
      <c r="AF92" s="2069"/>
      <c r="AG92" s="2069"/>
      <c r="AH92" s="2069"/>
      <c r="AI92" s="2069"/>
      <c r="AJ92" s="2069"/>
      <c r="AK92" s="2069"/>
      <c r="AL92" s="2069"/>
      <c r="AM92" s="2069"/>
      <c r="AN92" s="2069"/>
      <c r="AO92" s="2069"/>
      <c r="AP92" s="2069"/>
      <c r="AQ92" s="2069"/>
      <c r="AR92" s="2069"/>
      <c r="AS92" s="2069"/>
      <c r="AT92" s="2069"/>
      <c r="AU92" s="2069"/>
      <c r="AV92" s="2069"/>
      <c r="AW92" s="2069"/>
      <c r="AX92" s="2069"/>
      <c r="AY92" s="2069"/>
      <c r="AZ92" s="2069"/>
      <c r="BA92" s="2069"/>
      <c r="BB92" s="2069"/>
      <c r="BC92" s="2070"/>
      <c r="BD92" s="1304"/>
      <c r="BE92" s="1304"/>
      <c r="BF92" s="1015" t="s">
        <v>1425</v>
      </c>
    </row>
    <row customHeight="1" ht="14.625" hidden="1">
      <c r="A93" s="1304"/>
      <c r="B93" s="1436"/>
      <c r="C93" s="1304"/>
      <c r="D93" s="1304"/>
      <c r="E93" s="632">
        <v>15</v>
      </c>
      <c r="F93" s="50" cm="1" t="str">
        <f t="array" ref="F93:F93">OFFSET(E93,-1,1)</f>
        <v>0</v>
      </c>
      <c r="G93" s="1304"/>
      <c r="H93" s="98" t="s">
        <v>1426</v>
      </c>
      <c r="I93" s="1304"/>
      <c r="J93" s="1304"/>
      <c r="K93" s="1304"/>
      <c r="L93" s="1304"/>
      <c r="M93" s="1304"/>
      <c r="N93" s="1304"/>
      <c r="O93" s="1304"/>
      <c r="P93" s="1442"/>
      <c r="Q93" s="1442"/>
      <c r="R93" s="1442"/>
      <c r="S93" s="1442"/>
      <c r="T93" s="465" cm="1" t="str">
        <f t="array" ref="T93:T93">T92</f>
        <v>false</v>
      </c>
      <c r="U93" s="1442"/>
      <c r="V93" s="1304"/>
      <c r="W93" s="1442"/>
      <c r="X93" s="1563"/>
      <c r="Y93" s="1545"/>
      <c r="Z93" s="1304"/>
      <c r="AA93" s="1304"/>
      <c r="AB93" s="240" t="s">
        <v>1427</v>
      </c>
      <c r="AC93" s="338" t="s">
        <v>1327</v>
      </c>
      <c r="AD93" s="93" t="s">
        <v>1247</v>
      </c>
      <c r="AE93" s="2069"/>
      <c r="AF93" s="2069"/>
      <c r="AG93" s="2069"/>
      <c r="AH93" s="2069"/>
      <c r="AI93" s="2069"/>
      <c r="AJ93" s="2069"/>
      <c r="AK93" s="2069"/>
      <c r="AL93" s="2069"/>
      <c r="AM93" s="2069"/>
      <c r="AN93" s="2069"/>
      <c r="AO93" s="2069"/>
      <c r="AP93" s="2069"/>
      <c r="AQ93" s="2069"/>
      <c r="AR93" s="2069"/>
      <c r="AS93" s="2069"/>
      <c r="AT93" s="2069"/>
      <c r="AU93" s="2069"/>
      <c r="AV93" s="2069"/>
      <c r="AW93" s="2069"/>
      <c r="AX93" s="2069"/>
      <c r="AY93" s="2069"/>
      <c r="AZ93" s="2069"/>
      <c r="BA93" s="2069"/>
      <c r="BB93" s="2069"/>
      <c r="BC93" s="2070"/>
      <c r="BD93" s="1304"/>
      <c r="BE93" s="1304"/>
      <c r="BF93" s="1015" t="s">
        <v>1428</v>
      </c>
    </row>
    <row customHeight="1" ht="14.625" hidden="1">
      <c r="A94" s="1304"/>
      <c r="B94" s="1436"/>
      <c r="C94" s="1304"/>
      <c r="D94" s="1304"/>
      <c r="E94" s="632">
        <v>15</v>
      </c>
      <c r="F94" s="50" cm="1" t="str">
        <f t="array" ref="F94:F94">OFFSET(E94,-1,1)</f>
        <v>0</v>
      </c>
      <c r="G94" s="1304"/>
      <c r="H94" s="98" t="s">
        <v>1429</v>
      </c>
      <c r="I94" s="1304"/>
      <c r="J94" s="1304"/>
      <c r="K94" s="1304"/>
      <c r="L94" s="1304"/>
      <c r="M94" s="1304"/>
      <c r="N94" s="1304"/>
      <c r="O94" s="1304"/>
      <c r="P94" s="1442"/>
      <c r="Q94" s="1442"/>
      <c r="R94" s="1442"/>
      <c r="S94" s="1442"/>
      <c r="T94" s="465" cm="1" t="str">
        <f t="array" ref="T94:T94">T93</f>
        <v>false</v>
      </c>
      <c r="U94" s="1442"/>
      <c r="V94" s="1304"/>
      <c r="W94" s="1442"/>
      <c r="X94" s="1563"/>
      <c r="Y94" s="1545"/>
      <c r="Z94" s="1304"/>
      <c r="AA94" s="1304"/>
      <c r="AB94" s="240" t="s">
        <v>1430</v>
      </c>
      <c r="AC94" s="192" t="s">
        <v>1431</v>
      </c>
      <c r="AD94" s="93" t="s">
        <v>1247</v>
      </c>
      <c r="AE94" s="346">
        <f>AE95+AE96</f>
        <v>0</v>
      </c>
      <c r="AF94" s="346">
        <f>AF95+AF96</f>
        <v>0</v>
      </c>
      <c r="AG94" s="346">
        <f>AG95+AG96</f>
        <v>0</v>
      </c>
      <c r="AH94" s="346">
        <f>AH95+AH96</f>
        <v>0</v>
      </c>
      <c r="AI94" s="346">
        <f>AI95+AI96</f>
        <v>0</v>
      </c>
      <c r="AJ94" s="346">
        <f>AJ95+AJ96</f>
        <v>0</v>
      </c>
      <c r="AK94" s="346">
        <f>AK95+AK96</f>
        <v>0</v>
      </c>
      <c r="AL94" s="346">
        <f>AL95+AL96</f>
        <v>0</v>
      </c>
      <c r="AM94" s="346">
        <f>AM95+AM96</f>
        <v>0</v>
      </c>
      <c r="AN94" s="346">
        <f>AN95+AN96</f>
        <v>0</v>
      </c>
      <c r="AO94" s="346">
        <f>AO95+AO96</f>
        <v>0</v>
      </c>
      <c r="AP94" s="346">
        <f>AP95+AP96</f>
        <v>0</v>
      </c>
      <c r="AQ94" s="346">
        <f>AQ95+AQ96</f>
        <v>0</v>
      </c>
      <c r="AR94" s="346">
        <f>AR95+AR96</f>
        <v>0</v>
      </c>
      <c r="AS94" s="346">
        <f>AS95+AS96</f>
        <v>0</v>
      </c>
      <c r="AT94" s="346">
        <f>AT95+AT96</f>
        <v>0</v>
      </c>
      <c r="AU94" s="346">
        <f>AU95+AU96</f>
        <v>0</v>
      </c>
      <c r="AV94" s="346">
        <f>AV95+AV96</f>
        <v>0</v>
      </c>
      <c r="AW94" s="346">
        <f>AW95+AW96</f>
        <v>0</v>
      </c>
      <c r="AX94" s="346">
        <f>AX95+AX96</f>
        <v>0</v>
      </c>
      <c r="AY94" s="346">
        <f>AY95+AY96</f>
        <v>0</v>
      </c>
      <c r="AZ94" s="346">
        <f>AZ95+AZ96</f>
        <v>0</v>
      </c>
      <c r="BA94" s="346">
        <f>BA95+BA96</f>
        <v>0</v>
      </c>
      <c r="BB94" s="346">
        <f>BB95+BB96</f>
        <v>0</v>
      </c>
      <c r="BC94" s="2070"/>
      <c r="BD94" s="1304"/>
      <c r="BE94" s="1304"/>
      <c r="BF94" s="1015" t="s">
        <v>1432</v>
      </c>
    </row>
    <row customHeight="1" ht="14.625" hidden="1">
      <c r="A95" s="1304"/>
      <c r="B95" s="1436"/>
      <c r="C95" s="1304"/>
      <c r="D95" s="1304"/>
      <c r="E95" s="632">
        <v>15</v>
      </c>
      <c r="F95" s="50" cm="1" t="str">
        <f t="array" ref="F95:F95">OFFSET(E95,-1,1)</f>
        <v>0</v>
      </c>
      <c r="G95" s="1304"/>
      <c r="H95" s="98" t="s">
        <v>1433</v>
      </c>
      <c r="I95" s="1304"/>
      <c r="J95" s="1304"/>
      <c r="K95" s="1304"/>
      <c r="L95" s="1304"/>
      <c r="M95" s="1304"/>
      <c r="N95" s="1304"/>
      <c r="O95" s="1304"/>
      <c r="P95" s="1442"/>
      <c r="Q95" s="1442"/>
      <c r="R95" s="1442"/>
      <c r="S95" s="1442"/>
      <c r="T95" s="465" cm="1" t="str">
        <f t="array" ref="T95:T95">T94</f>
        <v>false</v>
      </c>
      <c r="U95" s="1442"/>
      <c r="V95" s="1304"/>
      <c r="W95" s="1442"/>
      <c r="X95" s="1563"/>
      <c r="Y95" s="1545"/>
      <c r="Z95" s="1304"/>
      <c r="AA95" s="1304"/>
      <c r="AB95" s="240" t="s">
        <v>1434</v>
      </c>
      <c r="AC95" s="332" t="s">
        <v>1323</v>
      </c>
      <c r="AD95" s="93" t="s">
        <v>1247</v>
      </c>
      <c r="AE95" s="2069"/>
      <c r="AF95" s="2069"/>
      <c r="AG95" s="2069"/>
      <c r="AH95" s="2069"/>
      <c r="AI95" s="2069"/>
      <c r="AJ95" s="2069"/>
      <c r="AK95" s="2069"/>
      <c r="AL95" s="2069"/>
      <c r="AM95" s="2069"/>
      <c r="AN95" s="2069"/>
      <c r="AO95" s="2069"/>
      <c r="AP95" s="2069"/>
      <c r="AQ95" s="2069"/>
      <c r="AR95" s="2069"/>
      <c r="AS95" s="2069"/>
      <c r="AT95" s="2069"/>
      <c r="AU95" s="2069"/>
      <c r="AV95" s="2069"/>
      <c r="AW95" s="2069"/>
      <c r="AX95" s="2069"/>
      <c r="AY95" s="2069"/>
      <c r="AZ95" s="2069"/>
      <c r="BA95" s="2069"/>
      <c r="BB95" s="2069"/>
      <c r="BC95" s="2070"/>
      <c r="BD95" s="1304"/>
      <c r="BE95" s="1304"/>
      <c r="BF95" s="1015" t="s">
        <v>1435</v>
      </c>
    </row>
    <row customHeight="1" ht="14.625" hidden="1">
      <c r="A96" s="1304"/>
      <c r="B96" s="1436"/>
      <c r="C96" s="1304"/>
      <c r="D96" s="1304"/>
      <c r="E96" s="632">
        <v>15</v>
      </c>
      <c r="F96" s="50" cm="1" t="str">
        <f t="array" ref="F96:F96">OFFSET(E96,-1,1)</f>
        <v>0</v>
      </c>
      <c r="G96" s="1304"/>
      <c r="H96" s="98" t="s">
        <v>1436</v>
      </c>
      <c r="I96" s="1304"/>
      <c r="J96" s="1304"/>
      <c r="K96" s="1304"/>
      <c r="L96" s="1304"/>
      <c r="M96" s="1304"/>
      <c r="N96" s="1304"/>
      <c r="O96" s="1304"/>
      <c r="P96" s="1442"/>
      <c r="Q96" s="1442"/>
      <c r="R96" s="1442"/>
      <c r="S96" s="1442"/>
      <c r="T96" s="465" cm="1" t="str">
        <f t="array" ref="T96:T96">T95</f>
        <v>false</v>
      </c>
      <c r="U96" s="1442"/>
      <c r="V96" s="1304"/>
      <c r="W96" s="1442"/>
      <c r="X96" s="1563"/>
      <c r="Y96" s="1545"/>
      <c r="Z96" s="1304"/>
      <c r="AA96" s="1304"/>
      <c r="AB96" s="240" t="s">
        <v>1437</v>
      </c>
      <c r="AC96" s="332" t="s">
        <v>1327</v>
      </c>
      <c r="AD96" s="93" t="s">
        <v>1247</v>
      </c>
      <c r="AE96" s="2069"/>
      <c r="AF96" s="2069"/>
      <c r="AG96" s="2069"/>
      <c r="AH96" s="2069"/>
      <c r="AI96" s="2069"/>
      <c r="AJ96" s="2069"/>
      <c r="AK96" s="2069"/>
      <c r="AL96" s="2069"/>
      <c r="AM96" s="2069"/>
      <c r="AN96" s="2069"/>
      <c r="AO96" s="2069"/>
      <c r="AP96" s="2069"/>
      <c r="AQ96" s="2069"/>
      <c r="AR96" s="2069"/>
      <c r="AS96" s="2069"/>
      <c r="AT96" s="2069"/>
      <c r="AU96" s="2069"/>
      <c r="AV96" s="2069"/>
      <c r="AW96" s="2069"/>
      <c r="AX96" s="2069"/>
      <c r="AY96" s="2069"/>
      <c r="AZ96" s="2069"/>
      <c r="BA96" s="2069"/>
      <c r="BB96" s="2069"/>
      <c r="BC96" s="2070"/>
      <c r="BD96" s="1304"/>
      <c r="BE96" s="1304"/>
      <c r="BF96" s="1015" t="s">
        <v>1438</v>
      </c>
    </row>
    <row customHeight="1" ht="21.9375" hidden="1">
      <c r="A97" s="1304"/>
      <c r="B97" s="1436"/>
      <c r="C97" s="1304"/>
      <c r="D97" s="1304"/>
      <c r="E97" s="632">
        <v>22.5</v>
      </c>
      <c r="F97" s="50" cm="1" t="str">
        <f t="array" ref="F97:F97">OFFSET(E97,-1,1)</f>
        <v>0</v>
      </c>
      <c r="G97" s="1304"/>
      <c r="H97" s="98" t="s">
        <v>1439</v>
      </c>
      <c r="I97" s="1304"/>
      <c r="J97" s="1304"/>
      <c r="K97" s="1304"/>
      <c r="L97" s="1304"/>
      <c r="M97" s="1304"/>
      <c r="N97" s="1304"/>
      <c r="O97" s="1304"/>
      <c r="P97" s="1442"/>
      <c r="Q97" s="1442"/>
      <c r="R97" s="1442"/>
      <c r="S97" s="1442"/>
      <c r="T97" s="465" cm="1" t="str">
        <f t="array" ref="T97:T97">T96</f>
        <v>false</v>
      </c>
      <c r="U97" s="1442"/>
      <c r="V97" s="1304"/>
      <c r="W97" s="1442"/>
      <c r="X97" s="1563"/>
      <c r="Y97" s="1545"/>
      <c r="Z97" s="1304"/>
      <c r="AA97" s="1304"/>
      <c r="AB97" s="240" t="s">
        <v>1440</v>
      </c>
      <c r="AC97" s="339" t="s">
        <v>1288</v>
      </c>
      <c r="AD97" s="93" t="s">
        <v>1247</v>
      </c>
      <c r="AE97" s="2069"/>
      <c r="AF97" s="2069"/>
      <c r="AG97" s="2069"/>
      <c r="AH97" s="2069"/>
      <c r="AI97" s="2069"/>
      <c r="AJ97" s="2069"/>
      <c r="AK97" s="2069"/>
      <c r="AL97" s="2069"/>
      <c r="AM97" s="2069"/>
      <c r="AN97" s="2069"/>
      <c r="AO97" s="2069"/>
      <c r="AP97" s="2069"/>
      <c r="AQ97" s="2069"/>
      <c r="AR97" s="2069"/>
      <c r="AS97" s="2069"/>
      <c r="AT97" s="2069"/>
      <c r="AU97" s="2069"/>
      <c r="AV97" s="2069"/>
      <c r="AW97" s="2069"/>
      <c r="AX97" s="2069"/>
      <c r="AY97" s="2069"/>
      <c r="AZ97" s="2069"/>
      <c r="BA97" s="2069"/>
      <c r="BB97" s="2069"/>
      <c r="BC97" s="2070"/>
      <c r="BD97" s="1304"/>
      <c r="BE97" s="1304"/>
      <c r="BF97" s="1015" t="s">
        <v>1441</v>
      </c>
    </row>
    <row customHeight="1" ht="14.625" hidden="1">
      <c r="A98" s="1304"/>
      <c r="B98" s="1436"/>
      <c r="C98" s="1304"/>
      <c r="D98" s="1304"/>
      <c r="E98" s="632">
        <v>15</v>
      </c>
      <c r="F98" s="50" cm="1" t="str">
        <f t="array" ref="F98:F98">OFFSET(E98,-1,1)</f>
        <v>0</v>
      </c>
      <c r="G98" s="1304"/>
      <c r="H98" s="98" t="s">
        <v>1228</v>
      </c>
      <c r="I98" s="1304"/>
      <c r="J98" s="1304"/>
      <c r="K98" s="1304"/>
      <c r="L98" s="1304"/>
      <c r="M98" s="1304"/>
      <c r="N98" s="1304"/>
      <c r="O98" s="1304"/>
      <c r="P98" s="1442"/>
      <c r="Q98" s="1442"/>
      <c r="R98" s="1442"/>
      <c r="S98" s="1442"/>
      <c r="T98" s="465" cm="1" t="str">
        <f t="array" ref="T98:T98">T97</f>
        <v>false</v>
      </c>
      <c r="U98" s="1442"/>
      <c r="V98" s="1304"/>
      <c r="W98" s="1442"/>
      <c r="X98" s="1563"/>
      <c r="Y98" s="1545"/>
      <c r="Z98" s="1304"/>
      <c r="AA98" s="1304"/>
      <c r="AB98" s="240" t="s">
        <v>443</v>
      </c>
      <c r="AC98" s="137" t="s">
        <v>1442</v>
      </c>
      <c r="AD98" s="93" t="s">
        <v>1247</v>
      </c>
      <c r="AE98" s="2069"/>
      <c r="AF98" s="2069"/>
      <c r="AG98" s="2069"/>
      <c r="AH98" s="2069"/>
      <c r="AI98" s="2069"/>
      <c r="AJ98" s="2069"/>
      <c r="AK98" s="2069"/>
      <c r="AL98" s="2069"/>
      <c r="AM98" s="2069"/>
      <c r="AN98" s="2069"/>
      <c r="AO98" s="2069"/>
      <c r="AP98" s="2069"/>
      <c r="AQ98" s="2069"/>
      <c r="AR98" s="2069"/>
      <c r="AS98" s="2069"/>
      <c r="AT98" s="2069"/>
      <c r="AU98" s="2069"/>
      <c r="AV98" s="2069"/>
      <c r="AW98" s="2069"/>
      <c r="AX98" s="2069"/>
      <c r="AY98" s="2069"/>
      <c r="AZ98" s="2069"/>
      <c r="BA98" s="2069"/>
      <c r="BB98" s="2069"/>
      <c r="BC98" s="2070"/>
      <c r="BD98" s="1304"/>
      <c r="BE98" s="1304"/>
      <c r="BF98" s="1015" t="s">
        <v>1443</v>
      </c>
    </row>
    <row customHeight="1" ht="14.625" hidden="1">
      <c r="A99" s="1304"/>
      <c r="B99" s="1436"/>
      <c r="C99" s="1304"/>
      <c r="D99" s="1304"/>
      <c r="E99" s="632">
        <v>15</v>
      </c>
      <c r="F99" s="50" cm="1" t="str">
        <f t="array" ref="F99:F99">OFFSET(E99,-1,1)</f>
        <v>0</v>
      </c>
      <c r="G99" s="1304"/>
      <c r="H99" s="98" t="s">
        <v>1275</v>
      </c>
      <c r="I99" s="1304"/>
      <c r="J99" s="1304"/>
      <c r="K99" s="1304"/>
      <c r="L99" s="1304"/>
      <c r="M99" s="1304"/>
      <c r="N99" s="1304"/>
      <c r="O99" s="1304"/>
      <c r="P99" s="1442"/>
      <c r="Q99" s="1442"/>
      <c r="R99" s="1442"/>
      <c r="S99" s="1442"/>
      <c r="T99" s="465" cm="1" t="str">
        <f t="array" ref="T99:T99">T98</f>
        <v>false</v>
      </c>
      <c r="U99" s="1442"/>
      <c r="V99" s="1304"/>
      <c r="W99" s="1442"/>
      <c r="X99" s="1563"/>
      <c r="Y99" s="1545"/>
      <c r="Z99" s="1304"/>
      <c r="AA99" s="1304"/>
      <c r="AB99" s="240" t="s">
        <v>446</v>
      </c>
      <c r="AC99" s="137" t="s">
        <v>1444</v>
      </c>
      <c r="AD99" s="93" t="s">
        <v>1247</v>
      </c>
      <c r="AE99" s="2069"/>
      <c r="AF99" s="2069"/>
      <c r="AG99" s="2069"/>
      <c r="AH99" s="2069"/>
      <c r="AI99" s="2069"/>
      <c r="AJ99" s="2069"/>
      <c r="AK99" s="2069"/>
      <c r="AL99" s="2069"/>
      <c r="AM99" s="2069"/>
      <c r="AN99" s="2069"/>
      <c r="AO99" s="2069"/>
      <c r="AP99" s="2069"/>
      <c r="AQ99" s="2069"/>
      <c r="AR99" s="2069"/>
      <c r="AS99" s="2069"/>
      <c r="AT99" s="2069"/>
      <c r="AU99" s="2069"/>
      <c r="AV99" s="2069"/>
      <c r="AW99" s="2069"/>
      <c r="AX99" s="2069"/>
      <c r="AY99" s="2069"/>
      <c r="AZ99" s="2069"/>
      <c r="BA99" s="2069"/>
      <c r="BB99" s="2069"/>
      <c r="BC99" s="2070"/>
      <c r="BD99" s="1304"/>
      <c r="BE99" s="1304"/>
      <c r="BF99" s="1015" t="s">
        <v>1445</v>
      </c>
    </row>
    <row customHeight="1" ht="14.625" hidden="1">
      <c r="A100" s="1304"/>
      <c r="B100" s="1436"/>
      <c r="C100" s="1304"/>
      <c r="D100" s="1304"/>
      <c r="E100" s="632">
        <v>15</v>
      </c>
      <c r="F100" s="50" cm="1" t="str">
        <f t="array" ref="F100:F100">OFFSET(E100,-1,1)</f>
        <v>0</v>
      </c>
      <c r="G100" s="1304"/>
      <c r="H100" s="98" t="s">
        <v>1290</v>
      </c>
      <c r="I100" s="1304"/>
      <c r="J100" s="1304"/>
      <c r="K100" s="1304"/>
      <c r="L100" s="1304"/>
      <c r="M100" s="1304"/>
      <c r="N100" s="1304"/>
      <c r="O100" s="1304"/>
      <c r="P100" s="1442"/>
      <c r="Q100" s="1442"/>
      <c r="R100" s="1442"/>
      <c r="S100" s="1442"/>
      <c r="T100" s="465" cm="1" t="str">
        <f t="array" ref="T100:T100">T99</f>
        <v>false</v>
      </c>
      <c r="U100" s="1442"/>
      <c r="V100" s="1304"/>
      <c r="W100" s="1442"/>
      <c r="X100" s="1563"/>
      <c r="Y100" s="1545"/>
      <c r="Z100" s="1304"/>
      <c r="AA100" s="1304"/>
      <c r="AB100" s="240" t="s">
        <v>449</v>
      </c>
      <c r="AC100" s="137" t="s">
        <v>1446</v>
      </c>
      <c r="AD100" s="93" t="s">
        <v>1247</v>
      </c>
      <c r="AE100" s="2069"/>
      <c r="AF100" s="2069"/>
      <c r="AG100" s="2069"/>
      <c r="AH100" s="2069"/>
      <c r="AI100" s="2069"/>
      <c r="AJ100" s="2069"/>
      <c r="AK100" s="2069"/>
      <c r="AL100" s="2069"/>
      <c r="AM100" s="2069"/>
      <c r="AN100" s="2069"/>
      <c r="AO100" s="2069"/>
      <c r="AP100" s="2069"/>
      <c r="AQ100" s="2069"/>
      <c r="AR100" s="2069"/>
      <c r="AS100" s="2069"/>
      <c r="AT100" s="2069"/>
      <c r="AU100" s="2069"/>
      <c r="AV100" s="2069"/>
      <c r="AW100" s="2069"/>
      <c r="AX100" s="2069"/>
      <c r="AY100" s="2069"/>
      <c r="AZ100" s="2069"/>
      <c r="BA100" s="2069"/>
      <c r="BB100" s="2069"/>
      <c r="BC100" s="2070"/>
      <c r="BD100" s="1304"/>
      <c r="BE100" s="1304"/>
      <c r="BF100" s="1015" t="s">
        <v>1447</v>
      </c>
    </row>
    <row customHeight="1" ht="14.625" hidden="1">
      <c r="A101" s="1304"/>
      <c r="B101" s="1436"/>
      <c r="C101" s="1304"/>
      <c r="D101" s="1304"/>
      <c r="E101" s="632">
        <v>15</v>
      </c>
      <c r="F101" s="50" cm="1" t="str">
        <f t="array" ref="F101:F101">OFFSET(E101,-1,1)</f>
        <v>0</v>
      </c>
      <c r="G101" s="1304"/>
      <c r="H101" s="98" t="s">
        <v>1297</v>
      </c>
      <c r="I101" s="1304"/>
      <c r="J101" s="1304"/>
      <c r="K101" s="1304"/>
      <c r="L101" s="1304"/>
      <c r="M101" s="1304"/>
      <c r="N101" s="1304"/>
      <c r="O101" s="1304"/>
      <c r="P101" s="1442"/>
      <c r="Q101" s="1442"/>
      <c r="R101" s="1442"/>
      <c r="S101" s="1442"/>
      <c r="T101" s="465" cm="1" t="str">
        <f t="array" ref="T101:T101">T100</f>
        <v>false</v>
      </c>
      <c r="U101" s="1442"/>
      <c r="V101" s="1304"/>
      <c r="W101" s="1442"/>
      <c r="X101" s="1563"/>
      <c r="Y101" s="1545"/>
      <c r="Z101" s="1304"/>
      <c r="AA101" s="1304"/>
      <c r="AB101" s="240" t="s">
        <v>452</v>
      </c>
      <c r="AC101" s="138" t="s">
        <v>1448</v>
      </c>
      <c r="AD101" s="93" t="s">
        <v>1247</v>
      </c>
      <c r="AE101" s="346">
        <f>AE102+AE103</f>
        <v>0</v>
      </c>
      <c r="AF101" s="346">
        <f>AF102+AF103</f>
        <v>0</v>
      </c>
      <c r="AG101" s="346">
        <f>AG102+AG103</f>
        <v>0</v>
      </c>
      <c r="AH101" s="346">
        <f>AH102+AH103</f>
        <v>0</v>
      </c>
      <c r="AI101" s="346">
        <f>AI102+AI103</f>
        <v>0</v>
      </c>
      <c r="AJ101" s="346">
        <f>AJ102+AJ103</f>
        <v>0</v>
      </c>
      <c r="AK101" s="346">
        <f>AK102+AK103</f>
        <v>0</v>
      </c>
      <c r="AL101" s="346">
        <f>AL102+AL103</f>
        <v>0</v>
      </c>
      <c r="AM101" s="346">
        <f>AM102+AM103</f>
        <v>0</v>
      </c>
      <c r="AN101" s="346">
        <f>AN102+AN103</f>
        <v>0</v>
      </c>
      <c r="AO101" s="346">
        <f>AO102+AO103</f>
        <v>0</v>
      </c>
      <c r="AP101" s="346">
        <f>AP102+AP103</f>
        <v>0</v>
      </c>
      <c r="AQ101" s="346">
        <f>AQ102+AQ103</f>
        <v>0</v>
      </c>
      <c r="AR101" s="346">
        <f>AR102+AR103</f>
        <v>0</v>
      </c>
      <c r="AS101" s="346">
        <f>AS102+AS103</f>
        <v>0</v>
      </c>
      <c r="AT101" s="346">
        <f>AT102+AT103</f>
        <v>0</v>
      </c>
      <c r="AU101" s="346">
        <f>AU102+AU103</f>
        <v>0</v>
      </c>
      <c r="AV101" s="346">
        <f>AV102+AV103</f>
        <v>0</v>
      </c>
      <c r="AW101" s="346">
        <f>AW102+AW103</f>
        <v>0</v>
      </c>
      <c r="AX101" s="346">
        <f>AX102+AX103</f>
        <v>0</v>
      </c>
      <c r="AY101" s="346">
        <f>AY102+AY103</f>
        <v>0</v>
      </c>
      <c r="AZ101" s="346">
        <f>AZ102+AZ103</f>
        <v>0</v>
      </c>
      <c r="BA101" s="346">
        <f>BA102+BA103</f>
        <v>0</v>
      </c>
      <c r="BB101" s="346">
        <f>BB102+BB103</f>
        <v>0</v>
      </c>
      <c r="BC101" s="2070"/>
      <c r="BD101" s="1304"/>
      <c r="BE101" s="1304"/>
      <c r="BF101" s="1015" t="s">
        <v>1449</v>
      </c>
    </row>
    <row customHeight="1" ht="14.625" hidden="1">
      <c r="A102" s="1304"/>
      <c r="B102" s="1436"/>
      <c r="C102" s="1304"/>
      <c r="D102" s="1304"/>
      <c r="E102" s="632">
        <v>15</v>
      </c>
      <c r="F102" s="50" cm="1" t="str">
        <f t="array" ref="F102:F102">OFFSET(E102,-1,1)</f>
        <v>0</v>
      </c>
      <c r="G102" s="1304"/>
      <c r="H102" s="98" t="s">
        <v>1300</v>
      </c>
      <c r="I102" s="1304"/>
      <c r="J102" s="1304"/>
      <c r="K102" s="1304"/>
      <c r="L102" s="1304"/>
      <c r="M102" s="1304"/>
      <c r="N102" s="1304"/>
      <c r="O102" s="1304"/>
      <c r="P102" s="1442"/>
      <c r="Q102" s="1442"/>
      <c r="R102" s="1442"/>
      <c r="S102" s="1442"/>
      <c r="T102" s="465" cm="1" t="str">
        <f t="array" ref="T102:T102">T101</f>
        <v>false</v>
      </c>
      <c r="U102" s="1442"/>
      <c r="V102" s="1304"/>
      <c r="W102" s="1442"/>
      <c r="X102" s="1563"/>
      <c r="Y102" s="1545"/>
      <c r="Z102" s="1304"/>
      <c r="AA102" s="1304"/>
      <c r="AB102" s="240" t="s">
        <v>1301</v>
      </c>
      <c r="AC102" s="192" t="s">
        <v>1450</v>
      </c>
      <c r="AD102" s="93" t="s">
        <v>1247</v>
      </c>
      <c r="AE102" s="2069"/>
      <c r="AF102" s="2069"/>
      <c r="AG102" s="2069"/>
      <c r="AH102" s="2069"/>
      <c r="AI102" s="2069"/>
      <c r="AJ102" s="2069"/>
      <c r="AK102" s="2069"/>
      <c r="AL102" s="2069"/>
      <c r="AM102" s="2069"/>
      <c r="AN102" s="2069"/>
      <c r="AO102" s="2069"/>
      <c r="AP102" s="2069"/>
      <c r="AQ102" s="2069"/>
      <c r="AR102" s="2069"/>
      <c r="AS102" s="2069"/>
      <c r="AT102" s="2069"/>
      <c r="AU102" s="2069"/>
      <c r="AV102" s="2069"/>
      <c r="AW102" s="2069"/>
      <c r="AX102" s="2069"/>
      <c r="AY102" s="2069"/>
      <c r="AZ102" s="2069"/>
      <c r="BA102" s="2069"/>
      <c r="BB102" s="2069"/>
      <c r="BC102" s="2070"/>
      <c r="BD102" s="1304"/>
      <c r="BE102" s="1304"/>
      <c r="BF102" s="1015" t="s">
        <v>1451</v>
      </c>
    </row>
    <row customHeight="1" ht="14.625" hidden="1">
      <c r="A103" s="1304"/>
      <c r="B103" s="1436"/>
      <c r="C103" s="1304"/>
      <c r="D103" s="1304"/>
      <c r="E103" s="632">
        <v>15</v>
      </c>
      <c r="F103" s="50" cm="1" t="str">
        <f t="array" ref="F103:F103">OFFSET(E103,-1,1)</f>
        <v>0</v>
      </c>
      <c r="G103" s="1304"/>
      <c r="H103" s="98" t="s">
        <v>1317</v>
      </c>
      <c r="I103" s="1304"/>
      <c r="J103" s="1304"/>
      <c r="K103" s="1304"/>
      <c r="L103" s="1304"/>
      <c r="M103" s="1304"/>
      <c r="N103" s="1304"/>
      <c r="O103" s="1304"/>
      <c r="P103" s="1442"/>
      <c r="Q103" s="1442"/>
      <c r="R103" s="1442"/>
      <c r="S103" s="1442"/>
      <c r="T103" s="465" cm="1" t="str">
        <f t="array" ref="T103:T103">T102</f>
        <v>false</v>
      </c>
      <c r="U103" s="1442"/>
      <c r="V103" s="1304"/>
      <c r="W103" s="1442"/>
      <c r="X103" s="1563"/>
      <c r="Y103" s="1545"/>
      <c r="Z103" s="1304"/>
      <c r="AA103" s="1304"/>
      <c r="AB103" s="240" t="s">
        <v>1318</v>
      </c>
      <c r="AC103" s="192" t="s">
        <v>1452</v>
      </c>
      <c r="AD103" s="93" t="s">
        <v>1247</v>
      </c>
      <c r="AE103" s="2069"/>
      <c r="AF103" s="2069"/>
      <c r="AG103" s="2069"/>
      <c r="AH103" s="2069"/>
      <c r="AI103" s="2069"/>
      <c r="AJ103" s="2069"/>
      <c r="AK103" s="2069"/>
      <c r="AL103" s="2069"/>
      <c r="AM103" s="2069"/>
      <c r="AN103" s="2069"/>
      <c r="AO103" s="2069"/>
      <c r="AP103" s="2069"/>
      <c r="AQ103" s="2069"/>
      <c r="AR103" s="2069"/>
      <c r="AS103" s="2069"/>
      <c r="AT103" s="2069"/>
      <c r="AU103" s="2069"/>
      <c r="AV103" s="2069"/>
      <c r="AW103" s="2069"/>
      <c r="AX103" s="2069"/>
      <c r="AY103" s="2069"/>
      <c r="AZ103" s="2069"/>
      <c r="BA103" s="2069"/>
      <c r="BB103" s="2069"/>
      <c r="BC103" s="2070"/>
      <c r="BD103" s="1304"/>
      <c r="BE103" s="1304"/>
      <c r="BF103" s="1015" t="s">
        <v>1453</v>
      </c>
    </row>
    <row customHeight="1" ht="21.9375" hidden="1">
      <c r="A104" s="1304"/>
      <c r="B104" s="1436"/>
      <c r="C104" s="1304"/>
      <c r="D104" s="1304"/>
      <c r="E104" s="632">
        <v>22.5</v>
      </c>
      <c r="F104" s="50" cm="1" t="str">
        <f t="array" ref="F104:F104">OFFSET(E104,-1,1)</f>
        <v>0</v>
      </c>
      <c r="G104" s="1304"/>
      <c r="H104" s="98" t="s">
        <v>1454</v>
      </c>
      <c r="I104" s="1304"/>
      <c r="J104" s="1304"/>
      <c r="K104" s="1304"/>
      <c r="L104" s="1304"/>
      <c r="M104" s="1304"/>
      <c r="N104" s="1304"/>
      <c r="O104" s="1304"/>
      <c r="P104" s="1442"/>
      <c r="Q104" s="1442"/>
      <c r="R104" s="1442"/>
      <c r="S104" s="1442"/>
      <c r="T104" s="465" cm="1" t="str">
        <f t="array" ref="T104:T104">T103</f>
        <v>false</v>
      </c>
      <c r="U104" s="1442"/>
      <c r="V104" s="1304"/>
      <c r="W104" s="1442"/>
      <c r="X104" s="1563"/>
      <c r="Y104" s="1545"/>
      <c r="Z104" s="1304"/>
      <c r="AA104" s="1304"/>
      <c r="AB104" s="240" t="s">
        <v>455</v>
      </c>
      <c r="AC104" s="340" t="s">
        <v>1366</v>
      </c>
      <c r="AD104" s="93" t="s">
        <v>1247</v>
      </c>
      <c r="AE104" s="2069"/>
      <c r="AF104" s="2069"/>
      <c r="AG104" s="2069"/>
      <c r="AH104" s="2069"/>
      <c r="AI104" s="2069"/>
      <c r="AJ104" s="2069"/>
      <c r="AK104" s="2069"/>
      <c r="AL104" s="2069"/>
      <c r="AM104" s="2069"/>
      <c r="AN104" s="2069"/>
      <c r="AO104" s="2069"/>
      <c r="AP104" s="2069"/>
      <c r="AQ104" s="2069"/>
      <c r="AR104" s="2069"/>
      <c r="AS104" s="2069"/>
      <c r="AT104" s="2069"/>
      <c r="AU104" s="2069"/>
      <c r="AV104" s="2069"/>
      <c r="AW104" s="2069"/>
      <c r="AX104" s="2069"/>
      <c r="AY104" s="2069"/>
      <c r="AZ104" s="2069"/>
      <c r="BA104" s="2069"/>
      <c r="BB104" s="2069"/>
      <c r="BC104" s="2070"/>
      <c r="BD104" s="1304"/>
      <c r="BE104" s="1304"/>
      <c r="BF104" s="1015" t="s">
        <v>1455</v>
      </c>
    </row>
    <row customHeight="1" ht="14.625" hidden="1">
      <c r="A105" s="1304"/>
      <c r="B105" s="1436"/>
      <c r="C105" s="1304"/>
      <c r="D105" s="1304"/>
      <c r="E105" s="632">
        <v>15</v>
      </c>
      <c r="F105" s="50" cm="1" t="str">
        <f t="array" ref="F105:F105">OFFSET(E105,-1,1)</f>
        <v>0</v>
      </c>
      <c r="G105" s="1304"/>
      <c r="H105" s="98" t="s">
        <v>1456</v>
      </c>
      <c r="I105" s="1304"/>
      <c r="J105" s="1304"/>
      <c r="K105" s="1304"/>
      <c r="L105" s="1304"/>
      <c r="M105" s="1304"/>
      <c r="N105" s="1304"/>
      <c r="O105" s="1304"/>
      <c r="P105" s="1442"/>
      <c r="Q105" s="1442"/>
      <c r="R105" s="1442"/>
      <c r="S105" s="1442"/>
      <c r="T105" s="465" cm="1" t="str">
        <f t="array" ref="T105:T105">T104</f>
        <v>false</v>
      </c>
      <c r="U105" s="1442"/>
      <c r="V105" s="1304"/>
      <c r="W105" s="1442"/>
      <c r="X105" s="1563"/>
      <c r="Y105" s="1545"/>
      <c r="Z105" s="1304"/>
      <c r="AA105" s="1304"/>
      <c r="AB105" s="240" t="s">
        <v>458</v>
      </c>
      <c r="AC105" s="137" t="s">
        <v>1457</v>
      </c>
      <c r="AD105" s="93" t="s">
        <v>1247</v>
      </c>
      <c r="AE105" s="2069"/>
      <c r="AF105" s="2069"/>
      <c r="AG105" s="2069"/>
      <c r="AH105" s="2069"/>
      <c r="AI105" s="2069"/>
      <c r="AJ105" s="2069"/>
      <c r="AK105" s="2069"/>
      <c r="AL105" s="2069"/>
      <c r="AM105" s="2069"/>
      <c r="AN105" s="2069"/>
      <c r="AO105" s="2069"/>
      <c r="AP105" s="2069"/>
      <c r="AQ105" s="2069"/>
      <c r="AR105" s="2069"/>
      <c r="AS105" s="2069"/>
      <c r="AT105" s="2069"/>
      <c r="AU105" s="2069"/>
      <c r="AV105" s="2069"/>
      <c r="AW105" s="2069"/>
      <c r="AX105" s="2069"/>
      <c r="AY105" s="2069"/>
      <c r="AZ105" s="2069"/>
      <c r="BA105" s="2069"/>
      <c r="BB105" s="2069"/>
      <c r="BC105" s="2070"/>
      <c r="BD105" s="1304"/>
      <c r="BE105" s="1304"/>
      <c r="BF105" s="1015" t="s">
        <v>1458</v>
      </c>
    </row>
    <row s="1834" customFormat="1" customHeight="1" ht="11.25" hidden="1">
      <c r="A106" s="469"/>
      <c r="B106" s="658"/>
      <c r="C106" s="469"/>
      <c r="D106" s="469"/>
      <c r="E106" s="660" t="s">
        <v>373</v>
      </c>
      <c r="F106" s="1175" cm="1" t="str">
        <f t="array" ref="F106:F106">OFFSET(E106,-1,1)</f>
        <v>0</v>
      </c>
      <c r="G106" s="469"/>
      <c r="H106" s="469"/>
      <c r="I106" s="469"/>
      <c r="J106" s="469"/>
      <c r="K106" s="98"/>
      <c r="L106" s="469"/>
      <c r="M106" s="469"/>
      <c r="N106" s="469"/>
      <c r="O106" s="469"/>
      <c r="P106" s="469"/>
      <c r="Q106" s="469"/>
      <c r="R106" s="416"/>
      <c r="S106" s="416"/>
      <c r="T106" s="465" t="b">
        <v>0</v>
      </c>
      <c r="U106" s="469"/>
      <c r="V106" s="469"/>
      <c r="W106" s="469"/>
      <c r="X106" s="1563"/>
      <c r="Y106" s="1545"/>
      <c r="Z106" s="469"/>
      <c r="AA106" s="469"/>
      <c r="AB106" s="1834"/>
      <c r="AC106" s="100"/>
      <c r="AD106" s="100"/>
      <c r="AE106" s="344"/>
      <c r="AF106" s="344"/>
      <c r="AG106" s="344"/>
      <c r="AH106" s="344"/>
      <c r="AI106" s="344"/>
      <c r="AJ106" s="345"/>
      <c r="AK106" s="344"/>
      <c r="AL106" s="344"/>
      <c r="AM106" s="344"/>
      <c r="AN106" s="344"/>
      <c r="AO106" s="344"/>
      <c r="AP106" s="344"/>
      <c r="AQ106" s="344"/>
      <c r="AR106" s="344"/>
      <c r="AS106" s="344"/>
      <c r="AT106" s="344"/>
      <c r="AU106" s="344"/>
      <c r="AV106" s="344"/>
      <c r="AW106" s="344"/>
      <c r="AX106" s="344"/>
      <c r="AY106" s="344"/>
      <c r="AZ106" s="344"/>
      <c r="BA106" s="344"/>
      <c r="BB106" s="344"/>
      <c r="BC106" s="1834"/>
      <c r="BD106" s="1834"/>
      <c r="BE106" s="1834"/>
      <c r="BF106" s="1019"/>
    </row>
    <row customHeight="1" ht="14.625" hidden="1">
      <c r="A107" s="1304"/>
      <c r="B107" s="1436"/>
      <c r="C107" s="1304"/>
      <c r="D107" s="1304"/>
      <c r="E107" s="632">
        <v>15</v>
      </c>
      <c r="F107" s="50" cm="1" t="str">
        <f t="array" ref="F107:F107">OFFSET(E107,-1,1)</f>
        <v>0</v>
      </c>
      <c r="G107" s="1304"/>
      <c r="H107" s="1304"/>
      <c r="I107" s="1304"/>
      <c r="J107" s="1304"/>
      <c r="K107" s="1304"/>
      <c r="L107" s="1304"/>
      <c r="M107" s="1304"/>
      <c r="N107" s="1304"/>
      <c r="O107" s="1304"/>
      <c r="P107" s="1442"/>
      <c r="Q107" s="1442"/>
      <c r="R107" s="416" cm="1" t="str">
        <f t="array" ref="R107:R107">INDEX('Общие сведения'!$AN$179:$AN$250,MATCH($X27,'Общие сведения'!$Z$179:$Z$250,0))</f>
        <v>false</v>
      </c>
      <c r="S107" s="482">
        <f>IF(ISERROR(SEARCH("Водоотведение",AB27)),FALSE,TRUE)</f>
        <v>0</v>
      </c>
      <c r="T107" s="465">
        <f>AND(X27&gt;0,S107,R107)</f>
        <v>0</v>
      </c>
      <c r="U107" s="1442"/>
      <c r="V107" s="1304"/>
      <c r="W107" s="1442"/>
      <c r="X107" s="1563"/>
      <c r="Y107" s="1545"/>
      <c r="Z107" s="1304"/>
      <c r="AA107" s="1304"/>
      <c r="AB107" s="240" t="s">
        <v>276</v>
      </c>
      <c r="AC107" s="87" t="s">
        <v>1398</v>
      </c>
      <c r="AD107" s="197"/>
      <c r="AE107" s="570" cm="1" t="str">
        <f t="array" ref="AE107:AE107">INDEX('Общие сведения'!$AH$179:$AH$250,MATCH($X27,'Общие сведения'!$Z$179:$Z$250,0))</f>
        <v>0</v>
      </c>
      <c r="AF107" s="362"/>
      <c r="AG107" s="362"/>
      <c r="AH107" s="362"/>
      <c r="AI107" s="362"/>
      <c r="AJ107" s="362"/>
      <c r="AK107" s="362"/>
      <c r="AL107" s="362"/>
      <c r="AM107" s="362"/>
      <c r="AN107" s="362"/>
      <c r="AO107" s="362"/>
      <c r="AP107" s="362"/>
      <c r="AQ107" s="362"/>
      <c r="AR107" s="362"/>
      <c r="AS107" s="362"/>
      <c r="AT107" s="362"/>
      <c r="AU107" s="362"/>
      <c r="AV107" s="362"/>
      <c r="AW107" s="362"/>
      <c r="AX107" s="362"/>
      <c r="AY107" s="362"/>
      <c r="AZ107" s="362"/>
      <c r="BA107" s="362"/>
      <c r="BB107" s="363"/>
      <c r="BC107" s="2070"/>
      <c r="BD107" s="1304"/>
      <c r="BE107" s="1304"/>
      <c r="BF107" s="1015" t="s">
        <v>1459</v>
      </c>
    </row>
    <row customHeight="1" ht="14.625" hidden="1">
      <c r="A108" s="1304"/>
      <c r="B108" s="1436"/>
      <c r="C108" s="1304"/>
      <c r="D108" s="1304"/>
      <c r="E108" s="632">
        <v>15</v>
      </c>
      <c r="F108" s="50" cm="1" t="str">
        <f t="array" ref="F108:F108">OFFSET(E108,-1,1)</f>
        <v>0</v>
      </c>
      <c r="G108" s="1304"/>
      <c r="H108" s="98" t="s">
        <v>336</v>
      </c>
      <c r="I108" s="1304"/>
      <c r="J108" s="1304"/>
      <c r="K108" s="1304"/>
      <c r="L108" s="1304"/>
      <c r="M108" s="1304"/>
      <c r="N108" s="1304"/>
      <c r="O108" s="1304"/>
      <c r="P108" s="1442"/>
      <c r="Q108" s="1442"/>
      <c r="R108" s="1442"/>
      <c r="S108" s="1442"/>
      <c r="T108" s="465" cm="1" t="str">
        <f t="array" ref="T108:T108">T107</f>
        <v>false</v>
      </c>
      <c r="U108" s="1442"/>
      <c r="V108" s="1304"/>
      <c r="W108" s="1442"/>
      <c r="X108" s="1563"/>
      <c r="Y108" s="1545"/>
      <c r="Z108" s="1304"/>
      <c r="AA108" s="1304"/>
      <c r="AB108" s="240" t="s">
        <v>285</v>
      </c>
      <c r="AC108" s="341" t="s">
        <v>1460</v>
      </c>
      <c r="AD108" s="93" t="s">
        <v>1247</v>
      </c>
      <c r="AE108" s="346">
        <f>AE109+AE111+AE110</f>
        <v>0</v>
      </c>
      <c r="AF108" s="346">
        <f>AF109+AF111+AF110</f>
        <v>0</v>
      </c>
      <c r="AG108" s="346">
        <f>AG109+AG111+AG110</f>
        <v>0</v>
      </c>
      <c r="AH108" s="346">
        <f>AH109+AH111+AH110</f>
        <v>0</v>
      </c>
      <c r="AI108" s="346">
        <f>AI109+AI111+AI110</f>
        <v>0</v>
      </c>
      <c r="AJ108" s="346">
        <f>AJ109+AJ111+AJ110</f>
        <v>0</v>
      </c>
      <c r="AK108" s="346">
        <f>AK109+AK111+AK110</f>
        <v>0</v>
      </c>
      <c r="AL108" s="346">
        <f>AL109+AL111+AL110</f>
        <v>0</v>
      </c>
      <c r="AM108" s="346">
        <f>AM109+AM111+AM110</f>
        <v>0</v>
      </c>
      <c r="AN108" s="346">
        <f>AN109+AN111+AN110</f>
        <v>0</v>
      </c>
      <c r="AO108" s="346">
        <f>AO109+AO111+AO110</f>
        <v>0</v>
      </c>
      <c r="AP108" s="346">
        <f>AP109+AP111+AP110</f>
        <v>0</v>
      </c>
      <c r="AQ108" s="346">
        <f>AQ109+AQ111+AQ110</f>
        <v>0</v>
      </c>
      <c r="AR108" s="346">
        <f>AR109+AR111+AR110</f>
        <v>0</v>
      </c>
      <c r="AS108" s="346">
        <f>AS109+AS111+AS110</f>
        <v>0</v>
      </c>
      <c r="AT108" s="346">
        <f>AT109+AT111+AT110</f>
        <v>0</v>
      </c>
      <c r="AU108" s="346">
        <f>AU109+AU111+AU110</f>
        <v>0</v>
      </c>
      <c r="AV108" s="346">
        <f>AV109+AV111+AV110</f>
        <v>0</v>
      </c>
      <c r="AW108" s="346">
        <f>AW109+AW111+AW110</f>
        <v>0</v>
      </c>
      <c r="AX108" s="346">
        <f>AX109+AX111+AX110</f>
        <v>0</v>
      </c>
      <c r="AY108" s="346">
        <f>AY109+AY111+AY110</f>
        <v>0</v>
      </c>
      <c r="AZ108" s="346">
        <f>AZ109+AZ111+AZ110</f>
        <v>0</v>
      </c>
      <c r="BA108" s="346">
        <f>BA109+BA111+BA110</f>
        <v>0</v>
      </c>
      <c r="BB108" s="346">
        <f>BB109+BB111+BB110</f>
        <v>0</v>
      </c>
      <c r="BC108" s="2070"/>
      <c r="BD108" s="1304"/>
      <c r="BE108" s="1304"/>
      <c r="BF108" s="1015" t="s">
        <v>1461</v>
      </c>
    </row>
    <row customHeight="1" ht="14.625" hidden="1">
      <c r="A109" s="1304"/>
      <c r="B109" s="1436"/>
      <c r="C109" s="1304"/>
      <c r="D109" s="1304"/>
      <c r="E109" s="632">
        <v>15</v>
      </c>
      <c r="F109" s="50" cm="1" t="str">
        <f t="array" ref="F109:F109">OFFSET(E109,-1,1)</f>
        <v>0</v>
      </c>
      <c r="G109" s="1304"/>
      <c r="H109" s="98" t="s">
        <v>1249</v>
      </c>
      <c r="I109" s="1304"/>
      <c r="J109" s="1304"/>
      <c r="K109" s="1304"/>
      <c r="L109" s="1304"/>
      <c r="M109" s="1304"/>
      <c r="N109" s="1304"/>
      <c r="O109" s="1304"/>
      <c r="P109" s="1442"/>
      <c r="Q109" s="1442"/>
      <c r="R109" s="1442"/>
      <c r="S109" s="1442"/>
      <c r="T109" s="465" cm="1" t="str">
        <f t="array" ref="T109:T109">T108</f>
        <v>false</v>
      </c>
      <c r="U109" s="1442"/>
      <c r="V109" s="1304"/>
      <c r="W109" s="1442"/>
      <c r="X109" s="1563"/>
      <c r="Y109" s="1545"/>
      <c r="Z109" s="1304"/>
      <c r="AA109" s="1304"/>
      <c r="AB109" s="240" t="s">
        <v>1250</v>
      </c>
      <c r="AC109" s="214" t="s">
        <v>1462</v>
      </c>
      <c r="AD109" s="93" t="s">
        <v>1247</v>
      </c>
      <c r="AE109" s="2113"/>
      <c r="AF109" s="2113"/>
      <c r="AG109" s="2113"/>
      <c r="AH109" s="2113"/>
      <c r="AI109" s="2113"/>
      <c r="AJ109" s="2113"/>
      <c r="AK109" s="2113"/>
      <c r="AL109" s="2113"/>
      <c r="AM109" s="2113"/>
      <c r="AN109" s="2113"/>
      <c r="AO109" s="2113"/>
      <c r="AP109" s="2113"/>
      <c r="AQ109" s="2113"/>
      <c r="AR109" s="2113"/>
      <c r="AS109" s="2113"/>
      <c r="AT109" s="2113"/>
      <c r="AU109" s="2113"/>
      <c r="AV109" s="2113"/>
      <c r="AW109" s="2113"/>
      <c r="AX109" s="2113"/>
      <c r="AY109" s="2113"/>
      <c r="AZ109" s="2113"/>
      <c r="BA109" s="2113"/>
      <c r="BB109" s="2113"/>
      <c r="BC109" s="2070"/>
      <c r="BD109" s="1304"/>
      <c r="BE109" s="1304"/>
      <c r="BF109" s="1015" t="s">
        <v>1463</v>
      </c>
    </row>
    <row customHeight="1" ht="14.625" hidden="1">
      <c r="A110" s="1304"/>
      <c r="B110" s="1436"/>
      <c r="C110" s="1304"/>
      <c r="D110" s="1304"/>
      <c r="E110" s="632">
        <v>15</v>
      </c>
      <c r="F110" s="50" cm="1" t="str">
        <f t="array" ref="F110:F110">OFFSET(E110,-1,1)</f>
        <v>0</v>
      </c>
      <c r="G110" s="1304"/>
      <c r="H110" s="98" t="s">
        <v>1253</v>
      </c>
      <c r="I110" s="1304"/>
      <c r="J110" s="1304"/>
      <c r="K110" s="1304"/>
      <c r="L110" s="1304"/>
      <c r="M110" s="1304"/>
      <c r="N110" s="1304"/>
      <c r="O110" s="1304"/>
      <c r="P110" s="1442"/>
      <c r="Q110" s="1442"/>
      <c r="R110" s="1442"/>
      <c r="S110" s="1442"/>
      <c r="T110" s="465" cm="1" t="str">
        <f t="array" ref="T110:T110">T109</f>
        <v>false</v>
      </c>
      <c r="U110" s="1442"/>
      <c r="V110" s="1304"/>
      <c r="W110" s="1442"/>
      <c r="X110" s="1563"/>
      <c r="Y110" s="1545"/>
      <c r="Z110" s="1304"/>
      <c r="AA110" s="1304"/>
      <c r="AB110" s="240" t="s">
        <v>1254</v>
      </c>
      <c r="AC110" s="214" t="s">
        <v>1464</v>
      </c>
      <c r="AD110" s="93" t="s">
        <v>1247</v>
      </c>
      <c r="AE110" s="2113"/>
      <c r="AF110" s="2113"/>
      <c r="AG110" s="2113"/>
      <c r="AH110" s="2113"/>
      <c r="AI110" s="2113"/>
      <c r="AJ110" s="2113"/>
      <c r="AK110" s="2113"/>
      <c r="AL110" s="2113"/>
      <c r="AM110" s="2113"/>
      <c r="AN110" s="2113"/>
      <c r="AO110" s="2113"/>
      <c r="AP110" s="2113"/>
      <c r="AQ110" s="2113"/>
      <c r="AR110" s="2113"/>
      <c r="AS110" s="2113"/>
      <c r="AT110" s="2113"/>
      <c r="AU110" s="2113"/>
      <c r="AV110" s="2113"/>
      <c r="AW110" s="2113"/>
      <c r="AX110" s="2113"/>
      <c r="AY110" s="2113"/>
      <c r="AZ110" s="2113"/>
      <c r="BA110" s="2113"/>
      <c r="BB110" s="2113"/>
      <c r="BC110" s="2070"/>
      <c r="BD110" s="1304"/>
      <c r="BE110" s="1304"/>
      <c r="BF110" s="1015" t="s">
        <v>1465</v>
      </c>
    </row>
    <row customHeight="1" ht="21.9375" hidden="1">
      <c r="A111" s="1304"/>
      <c r="B111" s="1436"/>
      <c r="C111" s="1304"/>
      <c r="D111" s="1304"/>
      <c r="E111" s="632">
        <v>22.5</v>
      </c>
      <c r="F111" s="50" cm="1" t="str">
        <f t="array" ref="F111:F111">OFFSET(E111,-1,1)</f>
        <v>0</v>
      </c>
      <c r="G111" s="1304"/>
      <c r="H111" s="98" t="s">
        <v>1257</v>
      </c>
      <c r="I111" s="1304"/>
      <c r="J111" s="1304"/>
      <c r="K111" s="1304"/>
      <c r="L111" s="1304"/>
      <c r="M111" s="1304"/>
      <c r="N111" s="1304"/>
      <c r="O111" s="1304"/>
      <c r="P111" s="1442"/>
      <c r="Q111" s="1442"/>
      <c r="R111" s="1442"/>
      <c r="S111" s="1442"/>
      <c r="T111" s="465" cm="1" t="str">
        <f t="array" ref="T111:T111">T110</f>
        <v>false</v>
      </c>
      <c r="U111" s="1442"/>
      <c r="V111" s="1304"/>
      <c r="W111" s="1442"/>
      <c r="X111" s="1563"/>
      <c r="Y111" s="1545"/>
      <c r="Z111" s="1304"/>
      <c r="AA111" s="1304"/>
      <c r="AB111" s="240" t="s">
        <v>1258</v>
      </c>
      <c r="AC111" s="214" t="s">
        <v>1366</v>
      </c>
      <c r="AD111" s="93" t="s">
        <v>1247</v>
      </c>
      <c r="AE111" s="2113"/>
      <c r="AF111" s="2113"/>
      <c r="AG111" s="2113"/>
      <c r="AH111" s="2113"/>
      <c r="AI111" s="2113"/>
      <c r="AJ111" s="2113"/>
      <c r="AK111" s="2113"/>
      <c r="AL111" s="2113"/>
      <c r="AM111" s="2113"/>
      <c r="AN111" s="2113"/>
      <c r="AO111" s="2113"/>
      <c r="AP111" s="2113"/>
      <c r="AQ111" s="2113"/>
      <c r="AR111" s="2113"/>
      <c r="AS111" s="2113"/>
      <c r="AT111" s="2113"/>
      <c r="AU111" s="2113"/>
      <c r="AV111" s="2113"/>
      <c r="AW111" s="2113"/>
      <c r="AX111" s="2113"/>
      <c r="AY111" s="2113"/>
      <c r="AZ111" s="2113"/>
      <c r="BA111" s="2113"/>
      <c r="BB111" s="2113"/>
      <c r="BC111" s="2070"/>
      <c r="BD111" s="1304"/>
      <c r="BE111" s="1304"/>
      <c r="BF111" s="1015" t="s">
        <v>1466</v>
      </c>
    </row>
    <row customHeight="1" ht="21.9375" hidden="1">
      <c r="A112" s="1304"/>
      <c r="B112" s="1436"/>
      <c r="C112" s="1304"/>
      <c r="D112" s="1304"/>
      <c r="E112" s="632">
        <v>22.5</v>
      </c>
      <c r="F112" s="50" cm="1" t="str">
        <f t="array" ref="F112:F112">OFFSET(E112,-1,1)</f>
        <v>0</v>
      </c>
      <c r="G112" s="98" t="s">
        <v>1316</v>
      </c>
      <c r="H112" s="98" t="s">
        <v>335</v>
      </c>
      <c r="I112" s="1304"/>
      <c r="J112" s="1304"/>
      <c r="K112" s="1304"/>
      <c r="L112" s="1304"/>
      <c r="M112" s="1304"/>
      <c r="N112" s="1304"/>
      <c r="O112" s="1304"/>
      <c r="P112" s="1442"/>
      <c r="Q112" s="1442"/>
      <c r="R112" s="1442"/>
      <c r="S112" s="1442"/>
      <c r="T112" s="465" cm="1" t="str">
        <f t="array" ref="T112:T112">T111</f>
        <v>false</v>
      </c>
      <c r="U112" s="1442"/>
      <c r="V112" s="1304"/>
      <c r="W112" s="1442"/>
      <c r="X112" s="1563"/>
      <c r="Y112" s="1545"/>
      <c r="Z112" s="1304"/>
      <c r="AA112" s="1304"/>
      <c r="AB112" s="240" t="s">
        <v>289</v>
      </c>
      <c r="AC112" s="341" t="s">
        <v>1467</v>
      </c>
      <c r="AD112" s="93" t="s">
        <v>1247</v>
      </c>
      <c r="AE112" s="346">
        <f>AE113+AE114+AE117</f>
        <v>0</v>
      </c>
      <c r="AF112" s="346">
        <f>AF113+AF114+AF117</f>
        <v>0</v>
      </c>
      <c r="AG112" s="346">
        <f>AG113+AG114+AG117</f>
        <v>0</v>
      </c>
      <c r="AH112" s="346">
        <f>AH113+AH114+AH117</f>
        <v>0</v>
      </c>
      <c r="AI112" s="346">
        <f>AI113+AI114+AI117</f>
        <v>0</v>
      </c>
      <c r="AJ112" s="346">
        <f>AJ113+AJ114+AJ117</f>
        <v>0</v>
      </c>
      <c r="AK112" s="346">
        <f>AK113+AK114+AK117</f>
        <v>0</v>
      </c>
      <c r="AL112" s="346">
        <f>AL113+AL114+AL117</f>
        <v>0</v>
      </c>
      <c r="AM112" s="346">
        <f>AM113+AM114+AM117</f>
        <v>0</v>
      </c>
      <c r="AN112" s="346">
        <f>AN113+AN114+AN117</f>
        <v>0</v>
      </c>
      <c r="AO112" s="346">
        <f>AO113+AO114+AO117</f>
        <v>0</v>
      </c>
      <c r="AP112" s="346">
        <f>AP113+AP114+AP117</f>
        <v>0</v>
      </c>
      <c r="AQ112" s="346">
        <f>AQ113+AQ114+AQ117</f>
        <v>0</v>
      </c>
      <c r="AR112" s="346">
        <f>AR113+AR114+AR117</f>
        <v>0</v>
      </c>
      <c r="AS112" s="346">
        <f>AS113+AS114+AS117</f>
        <v>0</v>
      </c>
      <c r="AT112" s="346">
        <f>AT113+AT114+AT117</f>
        <v>0</v>
      </c>
      <c r="AU112" s="346">
        <f>AU113+AU114+AU117</f>
        <v>0</v>
      </c>
      <c r="AV112" s="346">
        <f>AV113+AV114+AV117</f>
        <v>0</v>
      </c>
      <c r="AW112" s="346">
        <f>AW113+AW114+AW117</f>
        <v>0</v>
      </c>
      <c r="AX112" s="346">
        <f>AX113+AX114+AX117</f>
        <v>0</v>
      </c>
      <c r="AY112" s="346">
        <f>AY113+AY114+AY117</f>
        <v>0</v>
      </c>
      <c r="AZ112" s="346">
        <f>AZ113+AZ114+AZ117</f>
        <v>0</v>
      </c>
      <c r="BA112" s="346">
        <f>BA113+BA114+BA117</f>
        <v>0</v>
      </c>
      <c r="BB112" s="346">
        <f>BB113+BB114+BB117</f>
        <v>0</v>
      </c>
      <c r="BC112" s="2070"/>
      <c r="BD112" s="1304"/>
      <c r="BE112" s="1304"/>
      <c r="BF112" s="1015" t="s">
        <v>1468</v>
      </c>
    </row>
    <row customHeight="1" ht="14.625" hidden="1">
      <c r="A113" s="1304"/>
      <c r="B113" s="1436"/>
      <c r="C113" s="1304"/>
      <c r="D113" s="1304"/>
      <c r="E113" s="632">
        <v>15</v>
      </c>
      <c r="F113" s="50" cm="1" t="str">
        <f t="array" ref="F113:F113">OFFSET(E113,-1,1)</f>
        <v>0</v>
      </c>
      <c r="G113" s="1304"/>
      <c r="H113" s="98" t="s">
        <v>1263</v>
      </c>
      <c r="I113" s="1304"/>
      <c r="J113" s="1304"/>
      <c r="K113" s="1304"/>
      <c r="L113" s="1304"/>
      <c r="M113" s="1304"/>
      <c r="N113" s="1304"/>
      <c r="O113" s="1304"/>
      <c r="P113" s="1442"/>
      <c r="Q113" s="1442"/>
      <c r="R113" s="1442"/>
      <c r="S113" s="1442"/>
      <c r="T113" s="465" cm="1" t="str">
        <f t="array" ref="T113:T113">T112</f>
        <v>false</v>
      </c>
      <c r="U113" s="1442"/>
      <c r="V113" s="1304"/>
      <c r="W113" s="1442"/>
      <c r="X113" s="1563"/>
      <c r="Y113" s="1545"/>
      <c r="Z113" s="1304"/>
      <c r="AA113" s="1304"/>
      <c r="AB113" s="240" t="s">
        <v>1264</v>
      </c>
      <c r="AC113" s="214" t="s">
        <v>1469</v>
      </c>
      <c r="AD113" s="93" t="s">
        <v>1247</v>
      </c>
      <c r="AE113" s="2113"/>
      <c r="AF113" s="2113"/>
      <c r="AG113" s="2113"/>
      <c r="AH113" s="2113"/>
      <c r="AI113" s="2113"/>
      <c r="AJ113" s="2113"/>
      <c r="AK113" s="2113"/>
      <c r="AL113" s="2113"/>
      <c r="AM113" s="2113"/>
      <c r="AN113" s="2113"/>
      <c r="AO113" s="2113"/>
      <c r="AP113" s="2113"/>
      <c r="AQ113" s="2113"/>
      <c r="AR113" s="2113"/>
      <c r="AS113" s="2113"/>
      <c r="AT113" s="2113"/>
      <c r="AU113" s="2113"/>
      <c r="AV113" s="2113"/>
      <c r="AW113" s="2113"/>
      <c r="AX113" s="2113"/>
      <c r="AY113" s="2113"/>
      <c r="AZ113" s="2113"/>
      <c r="BA113" s="2113"/>
      <c r="BB113" s="2113"/>
      <c r="BC113" s="2070"/>
      <c r="BD113" s="1304"/>
      <c r="BE113" s="1304"/>
      <c r="BF113" s="1015" t="s">
        <v>1470</v>
      </c>
    </row>
    <row customHeight="1" ht="14.625" hidden="1">
      <c r="A114" s="1304"/>
      <c r="B114" s="1436"/>
      <c r="C114" s="1304"/>
      <c r="D114" s="1304"/>
      <c r="E114" s="632">
        <v>15</v>
      </c>
      <c r="F114" s="50" cm="1" t="str">
        <f t="array" ref="F114:F114">OFFSET(E114,-1,1)</f>
        <v>0</v>
      </c>
      <c r="G114" s="1304"/>
      <c r="H114" s="98" t="s">
        <v>1267</v>
      </c>
      <c r="I114" s="1304"/>
      <c r="J114" s="1304"/>
      <c r="K114" s="1304"/>
      <c r="L114" s="1304"/>
      <c r="M114" s="1304"/>
      <c r="N114" s="1304"/>
      <c r="O114" s="1304"/>
      <c r="P114" s="1442"/>
      <c r="Q114" s="1442"/>
      <c r="R114" s="1442"/>
      <c r="S114" s="1442"/>
      <c r="T114" s="465" cm="1" t="str">
        <f t="array" ref="T114:T114">T113</f>
        <v>false</v>
      </c>
      <c r="U114" s="1442"/>
      <c r="V114" s="1304"/>
      <c r="W114" s="1442"/>
      <c r="X114" s="1563"/>
      <c r="Y114" s="1545"/>
      <c r="Z114" s="1304"/>
      <c r="AA114" s="1304"/>
      <c r="AB114" s="240" t="s">
        <v>1268</v>
      </c>
      <c r="AC114" s="342" t="s">
        <v>1471</v>
      </c>
      <c r="AD114" s="93" t="s">
        <v>1247</v>
      </c>
      <c r="AE114" s="346">
        <f>AE115+AE116</f>
        <v>0</v>
      </c>
      <c r="AF114" s="346">
        <f>AF115+AF116</f>
        <v>0</v>
      </c>
      <c r="AG114" s="346">
        <f>AG115+AG116</f>
        <v>0</v>
      </c>
      <c r="AH114" s="346">
        <f>AH115+AH116</f>
        <v>0</v>
      </c>
      <c r="AI114" s="346">
        <f>AI115+AI116</f>
        <v>0</v>
      </c>
      <c r="AJ114" s="346">
        <f>AJ115+AJ116</f>
        <v>0</v>
      </c>
      <c r="AK114" s="346">
        <f>AK115+AK116</f>
        <v>0</v>
      </c>
      <c r="AL114" s="346">
        <f>AL115+AL116</f>
        <v>0</v>
      </c>
      <c r="AM114" s="346">
        <f>AM115+AM116</f>
        <v>0</v>
      </c>
      <c r="AN114" s="346">
        <f>AN115+AN116</f>
        <v>0</v>
      </c>
      <c r="AO114" s="346">
        <f>AO115+AO116</f>
        <v>0</v>
      </c>
      <c r="AP114" s="346">
        <f>AP115+AP116</f>
        <v>0</v>
      </c>
      <c r="AQ114" s="346">
        <f>AQ115+AQ116</f>
        <v>0</v>
      </c>
      <c r="AR114" s="346">
        <f>AR115+AR116</f>
        <v>0</v>
      </c>
      <c r="AS114" s="346">
        <f>AS115+AS116</f>
        <v>0</v>
      </c>
      <c r="AT114" s="346">
        <f>AT115+AT116</f>
        <v>0</v>
      </c>
      <c r="AU114" s="346">
        <f>AU115+AU116</f>
        <v>0</v>
      </c>
      <c r="AV114" s="346">
        <f>AV115+AV116</f>
        <v>0</v>
      </c>
      <c r="AW114" s="346">
        <f>AW115+AW116</f>
        <v>0</v>
      </c>
      <c r="AX114" s="346">
        <f>AX115+AX116</f>
        <v>0</v>
      </c>
      <c r="AY114" s="346">
        <f>AY115+AY116</f>
        <v>0</v>
      </c>
      <c r="AZ114" s="346">
        <f>AZ115+AZ116</f>
        <v>0</v>
      </c>
      <c r="BA114" s="346">
        <f>BA115+BA116</f>
        <v>0</v>
      </c>
      <c r="BB114" s="346">
        <f>BB115+BB116</f>
        <v>0</v>
      </c>
      <c r="BC114" s="2070"/>
      <c r="BD114" s="1304"/>
      <c r="BE114" s="1304"/>
      <c r="BF114" s="1015" t="s">
        <v>1472</v>
      </c>
    </row>
    <row customHeight="1" ht="14.625" hidden="1">
      <c r="A115" s="1304"/>
      <c r="B115" s="1436"/>
      <c r="C115" s="1304"/>
      <c r="D115" s="1304"/>
      <c r="E115" s="632">
        <v>15</v>
      </c>
      <c r="F115" s="50" cm="1" t="str">
        <f t="array" ref="F115:F115">OFFSET(E115,-1,1)</f>
        <v>0</v>
      </c>
      <c r="G115" s="1304"/>
      <c r="H115" s="98" t="s">
        <v>1473</v>
      </c>
      <c r="I115" s="1304"/>
      <c r="J115" s="1304"/>
      <c r="K115" s="1304"/>
      <c r="L115" s="1304"/>
      <c r="M115" s="1304"/>
      <c r="N115" s="1304"/>
      <c r="O115" s="1304"/>
      <c r="P115" s="1442"/>
      <c r="Q115" s="1442"/>
      <c r="R115" s="1442"/>
      <c r="S115" s="1442"/>
      <c r="T115" s="465" cm="1" t="str">
        <f t="array" ref="T115:T115">T114</f>
        <v>false</v>
      </c>
      <c r="U115" s="1442"/>
      <c r="V115" s="1304"/>
      <c r="W115" s="1442"/>
      <c r="X115" s="1563"/>
      <c r="Y115" s="1545"/>
      <c r="Z115" s="1304"/>
      <c r="AA115" s="1304"/>
      <c r="AB115" s="240" t="s">
        <v>1474</v>
      </c>
      <c r="AC115" s="343" t="s">
        <v>1323</v>
      </c>
      <c r="AD115" s="93" t="s">
        <v>1247</v>
      </c>
      <c r="AE115" s="2113"/>
      <c r="AF115" s="2113"/>
      <c r="AG115" s="2113"/>
      <c r="AH115" s="2113"/>
      <c r="AI115" s="2113"/>
      <c r="AJ115" s="2113"/>
      <c r="AK115" s="2113"/>
      <c r="AL115" s="2113"/>
      <c r="AM115" s="2113"/>
      <c r="AN115" s="2113"/>
      <c r="AO115" s="2113"/>
      <c r="AP115" s="2113"/>
      <c r="AQ115" s="2113"/>
      <c r="AR115" s="2113"/>
      <c r="AS115" s="2113"/>
      <c r="AT115" s="2113"/>
      <c r="AU115" s="2113"/>
      <c r="AV115" s="2113"/>
      <c r="AW115" s="2113"/>
      <c r="AX115" s="2113"/>
      <c r="AY115" s="2113"/>
      <c r="AZ115" s="2113"/>
      <c r="BA115" s="2113"/>
      <c r="BB115" s="2113"/>
      <c r="BC115" s="2070"/>
      <c r="BD115" s="1304"/>
      <c r="BE115" s="1304"/>
      <c r="BF115" s="1015" t="s">
        <v>1475</v>
      </c>
    </row>
    <row customHeight="1" ht="14.625" hidden="1">
      <c r="A116" s="1304"/>
      <c r="B116" s="1436"/>
      <c r="C116" s="1304"/>
      <c r="D116" s="1304"/>
      <c r="E116" s="632">
        <v>15</v>
      </c>
      <c r="F116" s="50" cm="1" t="str">
        <f t="array" ref="F116:F116">OFFSET(E116,-1,1)</f>
        <v>0</v>
      </c>
      <c r="G116" s="1304"/>
      <c r="H116" s="98" t="s">
        <v>1476</v>
      </c>
      <c r="I116" s="1304"/>
      <c r="J116" s="1304"/>
      <c r="K116" s="1304"/>
      <c r="L116" s="1304"/>
      <c r="M116" s="1304"/>
      <c r="N116" s="1304"/>
      <c r="O116" s="1304"/>
      <c r="P116" s="1442"/>
      <c r="Q116" s="1442"/>
      <c r="R116" s="1442"/>
      <c r="S116" s="1442"/>
      <c r="T116" s="465" cm="1" t="str">
        <f t="array" ref="T116:T116">T115</f>
        <v>false</v>
      </c>
      <c r="U116" s="1442"/>
      <c r="V116" s="1304"/>
      <c r="W116" s="1442"/>
      <c r="X116" s="1563"/>
      <c r="Y116" s="1545"/>
      <c r="Z116" s="1304"/>
      <c r="AA116" s="1304"/>
      <c r="AB116" s="240" t="s">
        <v>1477</v>
      </c>
      <c r="AC116" s="343" t="s">
        <v>1327</v>
      </c>
      <c r="AD116" s="93" t="s">
        <v>1247</v>
      </c>
      <c r="AE116" s="2113"/>
      <c r="AF116" s="2113"/>
      <c r="AG116" s="2113"/>
      <c r="AH116" s="2113"/>
      <c r="AI116" s="2113"/>
      <c r="AJ116" s="2113"/>
      <c r="AK116" s="2113"/>
      <c r="AL116" s="2113"/>
      <c r="AM116" s="2113"/>
      <c r="AN116" s="2113"/>
      <c r="AO116" s="2113"/>
      <c r="AP116" s="2113"/>
      <c r="AQ116" s="2113"/>
      <c r="AR116" s="2113"/>
      <c r="AS116" s="2113"/>
      <c r="AT116" s="2113"/>
      <c r="AU116" s="2113"/>
      <c r="AV116" s="2113"/>
      <c r="AW116" s="2113"/>
      <c r="AX116" s="2113"/>
      <c r="AY116" s="2113"/>
      <c r="AZ116" s="2113"/>
      <c r="BA116" s="2113"/>
      <c r="BB116" s="2113"/>
      <c r="BC116" s="2070"/>
      <c r="BD116" s="1304"/>
      <c r="BE116" s="1304"/>
      <c r="BF116" s="1015" t="s">
        <v>1478</v>
      </c>
    </row>
    <row customHeight="1" ht="21.9375" hidden="1">
      <c r="A117" s="1304"/>
      <c r="B117" s="1436"/>
      <c r="C117" s="1304"/>
      <c r="D117" s="1304"/>
      <c r="E117" s="632">
        <v>22.5</v>
      </c>
      <c r="F117" s="50" cm="1" t="str">
        <f t="array" ref="F117:F117">OFFSET(E117,-1,1)</f>
        <v>0</v>
      </c>
      <c r="G117" s="1304"/>
      <c r="H117" s="98" t="s">
        <v>1479</v>
      </c>
      <c r="I117" s="1304"/>
      <c r="J117" s="1304"/>
      <c r="K117" s="1304"/>
      <c r="L117" s="1304"/>
      <c r="M117" s="1304"/>
      <c r="N117" s="1304"/>
      <c r="O117" s="1304"/>
      <c r="P117" s="1442"/>
      <c r="Q117" s="1442"/>
      <c r="R117" s="1442"/>
      <c r="S117" s="1442"/>
      <c r="T117" s="465" cm="1" t="str">
        <f t="array" ref="T117:T117">T116</f>
        <v>false</v>
      </c>
      <c r="U117" s="1442"/>
      <c r="V117" s="1304"/>
      <c r="W117" s="1442"/>
      <c r="X117" s="1563"/>
      <c r="Y117" s="1545"/>
      <c r="Z117" s="1304"/>
      <c r="AA117" s="1304"/>
      <c r="AB117" s="240" t="s">
        <v>1480</v>
      </c>
      <c r="AC117" s="337" t="s">
        <v>1288</v>
      </c>
      <c r="AD117" s="93" t="s">
        <v>1247</v>
      </c>
      <c r="AE117" s="2069"/>
      <c r="AF117" s="2069"/>
      <c r="AG117" s="2069"/>
      <c r="AH117" s="2069"/>
      <c r="AI117" s="2069"/>
      <c r="AJ117" s="2069"/>
      <c r="AK117" s="2069"/>
      <c r="AL117" s="2069"/>
      <c r="AM117" s="2069"/>
      <c r="AN117" s="2069"/>
      <c r="AO117" s="2069"/>
      <c r="AP117" s="2069"/>
      <c r="AQ117" s="2069"/>
      <c r="AR117" s="2069"/>
      <c r="AS117" s="2069"/>
      <c r="AT117" s="2069"/>
      <c r="AU117" s="2069"/>
      <c r="AV117" s="2069"/>
      <c r="AW117" s="2069"/>
      <c r="AX117" s="2069"/>
      <c r="AY117" s="2069"/>
      <c r="AZ117" s="2069"/>
      <c r="BA117" s="2069"/>
      <c r="BB117" s="2069"/>
      <c r="BC117" s="2070"/>
      <c r="BD117" s="1304"/>
      <c r="BE117" s="1304"/>
      <c r="BF117" s="1015" t="s">
        <v>1481</v>
      </c>
    </row>
    <row s="1834" customFormat="1" customHeight="1" ht="14.25">
      <c r="A118" s="1304"/>
      <c r="B118" s="1436"/>
      <c r="C118" s="1304"/>
      <c r="D118" s="1304"/>
      <c r="E118" s="632">
        <v>15</v>
      </c>
      <c r="F118" s="349" cm="1" t="str">
        <f t="array" ref="F118:F118">X118</f>
        <v>1</v>
      </c>
      <c r="G118" s="1304"/>
      <c r="H118" s="1304"/>
      <c r="I118" s="1304"/>
      <c r="J118" s="1304"/>
      <c r="K118" s="1304"/>
      <c r="L118" s="1304"/>
      <c r="M118" s="1304"/>
      <c r="N118" s="1304"/>
      <c r="O118" s="1304"/>
      <c r="P118" s="1442"/>
      <c r="Q118" s="1442"/>
      <c r="R118" s="1442"/>
      <c r="S118" s="1442"/>
      <c r="T118" s="465">
        <f>X118&gt;0</f>
        <v>1</v>
      </c>
      <c r="U118" s="1442"/>
      <c r="V118" s="98" cm="1" t="str">
        <f t="array" ref="V118:V118">ИИКА!$AB$32</f>
        <v>Тариф 1 (Водоснабжение) - тариф на питьевую воду (Доп. признак не требуется)</v>
      </c>
      <c r="W118" s="1442"/>
      <c r="X118" s="1563" t="s">
        <v>276</v>
      </c>
      <c r="Y118" s="1545"/>
      <c r="Z118" s="1304"/>
      <c r="AA118" s="1304"/>
      <c r="AB118" s="180" cm="1" t="str">
        <f t="array" ref="AB118:AB118">ИИКА!$AB$32</f>
        <v>Тариф 1 (Водоснабжение) - тариф на питьевую воду (Доп. признак не требуется)</v>
      </c>
      <c r="AC118" s="180"/>
      <c r="AD118" s="180"/>
      <c r="AE118" s="180"/>
      <c r="AF118" s="180"/>
      <c r="AG118" s="180"/>
      <c r="AH118" s="180"/>
      <c r="AI118" s="180"/>
      <c r="AJ118" s="180"/>
      <c r="AK118" s="180"/>
      <c r="AL118" s="180"/>
      <c r="AM118" s="180"/>
      <c r="AN118" s="180"/>
      <c r="AO118" s="180"/>
      <c r="AP118" s="180"/>
      <c r="AQ118" s="180"/>
      <c r="AR118" s="180"/>
      <c r="AS118" s="180"/>
      <c r="AT118" s="180"/>
      <c r="AU118" s="180"/>
      <c r="AV118" s="180"/>
      <c r="AW118" s="180"/>
      <c r="AX118" s="180"/>
      <c r="AY118" s="180"/>
      <c r="AZ118" s="180"/>
      <c r="BA118" s="180"/>
      <c r="BB118" s="180"/>
      <c r="BC118" s="180"/>
      <c r="BD118" s="1304"/>
      <c r="BE118" s="1304"/>
      <c r="BF118" s="1306"/>
    </row>
    <row s="1834" customFormat="1" customHeight="1" ht="12.75">
      <c r="A119" s="1304"/>
      <c r="B119" s="1436"/>
      <c r="C119" s="1304"/>
      <c r="D119" s="1304"/>
      <c r="E119" s="632">
        <v>15</v>
      </c>
      <c r="F119" s="50" cm="1" t="str">
        <f t="array" ref="F119:F119">OFFSET(E119,-1,1)</f>
        <v>1</v>
      </c>
      <c r="G119" s="1304"/>
      <c r="H119" s="1304"/>
      <c r="I119" s="1304"/>
      <c r="J119" s="1304"/>
      <c r="K119" s="1304"/>
      <c r="L119" s="1304"/>
      <c r="M119" s="1304"/>
      <c r="N119" s="1304"/>
      <c r="O119" s="1304"/>
      <c r="P119" s="1442"/>
      <c r="Q119" s="1442"/>
      <c r="R119" s="416" cm="1" t="str">
        <f t="array" ref="R119:R119">INDEX('Общие сведения'!$AN$179:$AN$250,MATCH($X118,'Общие сведения'!$Z$179:$Z$250,0))</f>
        <v>false</v>
      </c>
      <c r="S119" s="416">
        <f>IF(ISERROR(SEARCH("Водоснабжение",AB118)),FALSE,TRUE)</f>
        <v>1</v>
      </c>
      <c r="T119" s="465">
        <f>AND(X118&gt;0,S119,NOT(R119))</f>
        <v>1</v>
      </c>
      <c r="U119" s="1442"/>
      <c r="V119" s="1304"/>
      <c r="W119" s="1442"/>
      <c r="X119" s="1563"/>
      <c r="Y119" s="1545"/>
      <c r="Z119" s="1304"/>
      <c r="AA119" s="1304"/>
      <c r="AB119" s="240" t="s">
        <v>276</v>
      </c>
      <c r="AC119" s="329" t="s">
        <v>1244</v>
      </c>
      <c r="AD119" s="92"/>
      <c r="AE119" s="570" cm="1" t="str">
        <f t="array" ref="AE119:AE119">INDEX('Общие сведения'!$AH$179:$AH$250,MATCH($X118,'Общие сведения'!$Z$179:$Z$250,0))</f>
        <v>питьевая вода</v>
      </c>
      <c r="AF119" s="362"/>
      <c r="AG119" s="362"/>
      <c r="AH119" s="362"/>
      <c r="AI119" s="362"/>
      <c r="AJ119" s="362"/>
      <c r="AK119" s="362"/>
      <c r="AL119" s="362"/>
      <c r="AM119" s="362"/>
      <c r="AN119" s="362"/>
      <c r="AO119" s="362"/>
      <c r="AP119" s="362"/>
      <c r="AQ119" s="362"/>
      <c r="AR119" s="362"/>
      <c r="AS119" s="362"/>
      <c r="AT119" s="362"/>
      <c r="AU119" s="362"/>
      <c r="AV119" s="362"/>
      <c r="AW119" s="362"/>
      <c r="AX119" s="362"/>
      <c r="AY119" s="362"/>
      <c r="AZ119" s="362"/>
      <c r="BA119" s="362"/>
      <c r="BB119" s="363"/>
      <c r="BC119" s="200"/>
      <c r="BD119" s="1304"/>
      <c r="BE119" s="1304"/>
      <c r="BF119" s="1015" t="s">
        <v>1245</v>
      </c>
    </row>
    <row s="1834" customFormat="1" customHeight="1" ht="55.359375">
      <c r="A120" s="1304"/>
      <c r="B120" s="1436"/>
      <c r="C120" s="1304"/>
      <c r="D120" s="1304"/>
      <c r="E120" s="632">
        <v>15</v>
      </c>
      <c r="F120" s="50" cm="1" t="str">
        <f t="array" ref="F120:F120">OFFSET(E120,-1,1)</f>
        <v>1</v>
      </c>
      <c r="G120" s="1304"/>
      <c r="H120" s="98" t="s">
        <v>336</v>
      </c>
      <c r="I120" s="1304"/>
      <c r="J120" s="1304"/>
      <c r="K120" s="1304"/>
      <c r="L120" s="1304"/>
      <c r="M120" s="1304"/>
      <c r="N120" s="1304"/>
      <c r="O120" s="1304"/>
      <c r="P120" s="1442"/>
      <c r="Q120" s="1442"/>
      <c r="R120" s="1442"/>
      <c r="S120" s="1442"/>
      <c r="T120" s="465" cm="1" t="str">
        <f t="array" ref="T120:T120">T119</f>
        <v>true</v>
      </c>
      <c r="U120" s="1442"/>
      <c r="V120" s="1304"/>
      <c r="W120" s="1442"/>
      <c r="X120" s="1563"/>
      <c r="Y120" s="1545"/>
      <c r="Z120" s="1304"/>
      <c r="AA120" s="1304"/>
      <c r="AB120" s="240" t="s">
        <v>285</v>
      </c>
      <c r="AC120" s="330" t="s">
        <v>1246</v>
      </c>
      <c r="AD120" s="93" t="s">
        <v>1247</v>
      </c>
      <c r="AE120" s="315">
        <f>AE129+AE124-AE127</f>
        <v>0</v>
      </c>
      <c r="AF120" s="315">
        <f>AF129+AF124-AF127</f>
        <v>0</v>
      </c>
      <c r="AG120" s="315">
        <f>AG129+AG124-AG127</f>
        <v>0</v>
      </c>
      <c r="AH120" s="315">
        <f>AH129+AH124-AH127</f>
        <v>0</v>
      </c>
      <c r="AI120" s="315">
        <f>AI129+AI124-AI127</f>
        <v>5859.0791</v>
      </c>
      <c r="AJ120" s="315">
        <f>AJ129+AJ124-AJ127</f>
        <v>5859.0791</v>
      </c>
      <c r="AK120" s="315">
        <f>AK129+AK124-AK127</f>
        <v>5858.74</v>
      </c>
      <c r="AL120" s="315">
        <f>AL129+AL124-AL127</f>
        <v>5857.779</v>
      </c>
      <c r="AM120" s="315">
        <f>AM129+AM124-AM127</f>
        <v>5857.779</v>
      </c>
      <c r="AN120" s="315">
        <f>AN129+AN124-AN127</f>
        <v>0</v>
      </c>
      <c r="AO120" s="315">
        <f>AO129+AO124-AO127</f>
        <v>0</v>
      </c>
      <c r="AP120" s="315">
        <f>AP129+AP124-AP127</f>
        <v>0</v>
      </c>
      <c r="AQ120" s="315">
        <f>AQ129+AQ124-AQ127</f>
        <v>0</v>
      </c>
      <c r="AR120" s="315">
        <f>AR129+AR124-AR127</f>
        <v>0</v>
      </c>
      <c r="AS120" s="315">
        <f>AS129+AS124-AS127</f>
        <v>5871.56749</v>
      </c>
      <c r="AT120" s="315">
        <f>AT129+AT124-AT127</f>
        <v>5871.56749</v>
      </c>
      <c r="AU120" s="315">
        <f>AU129+AU124-AU127</f>
        <v>5871.56749</v>
      </c>
      <c r="AV120" s="315">
        <f>AV129+AV124-AV127</f>
        <v>5871.72972</v>
      </c>
      <c r="AW120" s="315">
        <f>AW129+AW124-AW127</f>
        <v>5874.5922</v>
      </c>
      <c r="AX120" s="315">
        <f>AX129+AX124-AX127</f>
        <v>0</v>
      </c>
      <c r="AY120" s="315">
        <f>AY129+AY124-AY127</f>
        <v>0</v>
      </c>
      <c r="AZ120" s="315">
        <f>AZ129+AZ124-AZ127</f>
        <v>0</v>
      </c>
      <c r="BA120" s="315">
        <f>BA129+BA124-BA127</f>
        <v>0</v>
      </c>
      <c r="BB120" s="315">
        <f>BB129+BB124-BB127</f>
        <v>0</v>
      </c>
      <c r="BC120" s="200" t="s">
        <v>1482</v>
      </c>
      <c r="BD120" s="1304"/>
      <c r="BE120" s="1304"/>
      <c r="BF120" s="1015" t="s">
        <v>1248</v>
      </c>
    </row>
    <row s="1834" customFormat="1" customHeight="1" ht="12.75">
      <c r="A121" s="1304"/>
      <c r="B121" s="1436"/>
      <c r="C121" s="1304"/>
      <c r="D121" s="1304"/>
      <c r="E121" s="632">
        <v>15</v>
      </c>
      <c r="F121" s="50" cm="1" t="str">
        <f t="array" ref="F121:F121">OFFSET(E121,-1,1)</f>
        <v>1</v>
      </c>
      <c r="G121" s="1304"/>
      <c r="H121" s="98" t="s">
        <v>1249</v>
      </c>
      <c r="I121" s="1304"/>
      <c r="J121" s="1304"/>
      <c r="K121" s="1304"/>
      <c r="L121" s="1304"/>
      <c r="M121" s="1304"/>
      <c r="N121" s="1304"/>
      <c r="O121" s="1304"/>
      <c r="P121" s="1442"/>
      <c r="Q121" s="1442"/>
      <c r="R121" s="1442"/>
      <c r="S121" s="1442"/>
      <c r="T121" s="465" cm="1" t="str">
        <f t="array" ref="T121:T121">T120</f>
        <v>true</v>
      </c>
      <c r="U121" s="1442"/>
      <c r="V121" s="1304"/>
      <c r="W121" s="1442"/>
      <c r="X121" s="1563"/>
      <c r="Y121" s="1545"/>
      <c r="Z121" s="1304"/>
      <c r="AA121" s="1304"/>
      <c r="AB121" s="240" t="s">
        <v>1250</v>
      </c>
      <c r="AC121" s="192" t="s">
        <v>1251</v>
      </c>
      <c r="AD121" s="93" t="s">
        <v>1247</v>
      </c>
      <c r="AE121" s="279"/>
      <c r="AF121" s="279"/>
      <c r="AG121" s="279"/>
      <c r="AH121" s="279"/>
      <c r="AI121" s="279">
        <f>5859.07911-AI122</f>
        <v>5330.49511</v>
      </c>
      <c r="AJ121" s="279">
        <f>5859.07911-AJ122</f>
        <v>5330.49511</v>
      </c>
      <c r="AK121" s="279">
        <f>5858.740-AK122</f>
        <v>5330.156</v>
      </c>
      <c r="AL121" s="279">
        <f>5857.779-AL122</f>
        <v>5329.195</v>
      </c>
      <c r="AM121" s="279" cm="1" t="str">
        <f t="array" ref="AM121:AM121">AL121</f>
        <v>5329.195</v>
      </c>
      <c r="AN121" s="2113"/>
      <c r="AO121" s="2113"/>
      <c r="AP121" s="2113"/>
      <c r="AQ121" s="2113"/>
      <c r="AR121" s="2113"/>
      <c r="AS121" s="279">
        <f>AS120-AS122</f>
        <v>5342.98349</v>
      </c>
      <c r="AT121" s="279">
        <f>AT120-AT122</f>
        <v>5342.98349</v>
      </c>
      <c r="AU121" s="279">
        <f>AU120-AU122</f>
        <v>5342.98349</v>
      </c>
      <c r="AV121" s="279">
        <f>AV120-AV122</f>
        <v>5343.14572</v>
      </c>
      <c r="AW121" s="279">
        <f>AW120-AW122</f>
        <v>5346.0082</v>
      </c>
      <c r="AX121" s="2113"/>
      <c r="AY121" s="2113"/>
      <c r="AZ121" s="2113"/>
      <c r="BA121" s="2113"/>
      <c r="BB121" s="2113"/>
      <c r="BC121" s="284"/>
      <c r="BD121" s="1304"/>
      <c r="BE121" s="1304"/>
      <c r="BF121" s="1015" t="s">
        <v>1252</v>
      </c>
    </row>
    <row s="1834" customFormat="1" customHeight="1" ht="12.75">
      <c r="A122" s="1304"/>
      <c r="B122" s="1436"/>
      <c r="C122" s="1304"/>
      <c r="D122" s="1304"/>
      <c r="E122" s="632">
        <v>15</v>
      </c>
      <c r="F122" s="50" cm="1" t="str">
        <f t="array" ref="F122:F122">OFFSET(E122,-1,1)</f>
        <v>1</v>
      </c>
      <c r="G122" s="1304"/>
      <c r="H122" s="98" t="s">
        <v>1253</v>
      </c>
      <c r="I122" s="1304"/>
      <c r="J122" s="1304"/>
      <c r="K122" s="1304"/>
      <c r="L122" s="1304"/>
      <c r="M122" s="1304"/>
      <c r="N122" s="1304"/>
      <c r="O122" s="1304"/>
      <c r="P122" s="1442"/>
      <c r="Q122" s="1442"/>
      <c r="R122" s="1442"/>
      <c r="S122" s="1442"/>
      <c r="T122" s="465" cm="1" t="str">
        <f t="array" ref="T122:T122">T121</f>
        <v>true</v>
      </c>
      <c r="U122" s="1442"/>
      <c r="V122" s="1304"/>
      <c r="W122" s="1442"/>
      <c r="X122" s="1563"/>
      <c r="Y122" s="1545"/>
      <c r="Z122" s="1304"/>
      <c r="AA122" s="1304"/>
      <c r="AB122" s="240" t="s">
        <v>1254</v>
      </c>
      <c r="AC122" s="192" t="s">
        <v>1255</v>
      </c>
      <c r="AD122" s="93" t="s">
        <v>1247</v>
      </c>
      <c r="AE122" s="279"/>
      <c r="AF122" s="279"/>
      <c r="AG122" s="279"/>
      <c r="AH122" s="279"/>
      <c r="AI122" s="279">
        <v>528.584</v>
      </c>
      <c r="AJ122" s="279">
        <v>528.584</v>
      </c>
      <c r="AK122" s="279">
        <v>528.584</v>
      </c>
      <c r="AL122" s="279">
        <v>528.584</v>
      </c>
      <c r="AM122" s="279">
        <v>528.584</v>
      </c>
      <c r="AN122" s="2113"/>
      <c r="AO122" s="2113"/>
      <c r="AP122" s="2113"/>
      <c r="AQ122" s="2113"/>
      <c r="AR122" s="2113"/>
      <c r="AS122" s="279">
        <v>528.584</v>
      </c>
      <c r="AT122" s="279" cm="1" t="str">
        <f t="array" ref="AT122:AT122">AS122</f>
        <v>528.584</v>
      </c>
      <c r="AU122" s="279" cm="1" t="str">
        <f t="array" ref="AU122:AU122">AT122</f>
        <v>528.584</v>
      </c>
      <c r="AV122" s="279" cm="1" t="str">
        <f t="array" ref="AV122:AV122">AU122</f>
        <v>528.584</v>
      </c>
      <c r="AW122" s="279" cm="1" t="str">
        <f t="array" ref="AW122:AW122">AV122</f>
        <v>528.584</v>
      </c>
      <c r="AX122" s="2113"/>
      <c r="AY122" s="2113"/>
      <c r="AZ122" s="2113"/>
      <c r="BA122" s="2113"/>
      <c r="BB122" s="2113"/>
      <c r="BC122" s="284"/>
      <c r="BD122" s="1304"/>
      <c r="BE122" s="1304"/>
      <c r="BF122" s="1015" t="s">
        <v>1256</v>
      </c>
    </row>
    <row s="1834" customFormat="1" customHeight="1" ht="23.25">
      <c r="A123" s="1304"/>
      <c r="B123" s="1436"/>
      <c r="C123" s="1304"/>
      <c r="D123" s="1304"/>
      <c r="E123" s="632">
        <v>22.5</v>
      </c>
      <c r="F123" s="50" cm="1" t="str">
        <f t="array" ref="F123:F123">OFFSET(E123,-1,1)</f>
        <v>1</v>
      </c>
      <c r="G123" s="1304"/>
      <c r="H123" s="98" t="s">
        <v>1257</v>
      </c>
      <c r="I123" s="1304"/>
      <c r="J123" s="1304"/>
      <c r="K123" s="1304"/>
      <c r="L123" s="1304"/>
      <c r="M123" s="1304"/>
      <c r="N123" s="1304"/>
      <c r="O123" s="1304"/>
      <c r="P123" s="1442"/>
      <c r="Q123" s="1442"/>
      <c r="R123" s="1442"/>
      <c r="S123" s="1442"/>
      <c r="T123" s="465" cm="1" t="str">
        <f t="array" ref="T123:T123">T122</f>
        <v>true</v>
      </c>
      <c r="U123" s="1442"/>
      <c r="V123" s="1304"/>
      <c r="W123" s="1442"/>
      <c r="X123" s="1563"/>
      <c r="Y123" s="1545"/>
      <c r="Z123" s="1304"/>
      <c r="AA123" s="1304"/>
      <c r="AB123" s="240" t="s">
        <v>1258</v>
      </c>
      <c r="AC123" s="330" t="s">
        <v>1259</v>
      </c>
      <c r="AD123" s="93" t="s">
        <v>1247</v>
      </c>
      <c r="AE123" s="279"/>
      <c r="AF123" s="279"/>
      <c r="AG123" s="279"/>
      <c r="AH123" s="279"/>
      <c r="AI123" s="279"/>
      <c r="AJ123" s="279"/>
      <c r="AK123" s="279"/>
      <c r="AL123" s="279"/>
      <c r="AM123" s="279"/>
      <c r="AN123" s="2113"/>
      <c r="AO123" s="2113"/>
      <c r="AP123" s="2113"/>
      <c r="AQ123" s="2113"/>
      <c r="AR123" s="2113"/>
      <c r="AS123" s="279"/>
      <c r="AT123" s="279"/>
      <c r="AU123" s="279"/>
      <c r="AV123" s="279"/>
      <c r="AW123" s="279"/>
      <c r="AX123" s="2113"/>
      <c r="AY123" s="2113"/>
      <c r="AZ123" s="2113"/>
      <c r="BA123" s="2113"/>
      <c r="BB123" s="2113"/>
      <c r="BC123" s="284"/>
      <c r="BD123" s="1304"/>
      <c r="BE123" s="1304"/>
      <c r="BF123" s="1015" t="s">
        <v>1260</v>
      </c>
    </row>
    <row s="1834" customFormat="1" customHeight="1" ht="12.75">
      <c r="A124" s="1304"/>
      <c r="B124" s="1436"/>
      <c r="C124" s="1304"/>
      <c r="D124" s="1304"/>
      <c r="E124" s="632">
        <v>15</v>
      </c>
      <c r="F124" s="50" cm="1" t="str">
        <f t="array" ref="F124:F124">OFFSET(E124,-1,1)</f>
        <v>1</v>
      </c>
      <c r="G124" s="1304"/>
      <c r="H124" s="98" t="s">
        <v>335</v>
      </c>
      <c r="I124" s="1304"/>
      <c r="J124" s="1304"/>
      <c r="K124" s="1304"/>
      <c r="L124" s="1304"/>
      <c r="M124" s="1304"/>
      <c r="N124" s="1304"/>
      <c r="O124" s="1304"/>
      <c r="P124" s="1442"/>
      <c r="Q124" s="1442"/>
      <c r="R124" s="1442"/>
      <c r="S124" s="1442"/>
      <c r="T124" s="465" cm="1" t="str">
        <f t="array" ref="T124:T124">T123</f>
        <v>true</v>
      </c>
      <c r="U124" s="1442"/>
      <c r="V124" s="1304"/>
      <c r="W124" s="1442"/>
      <c r="X124" s="1563"/>
      <c r="Y124" s="1545"/>
      <c r="Z124" s="1304"/>
      <c r="AA124" s="1304"/>
      <c r="AB124" s="240" t="s">
        <v>289</v>
      </c>
      <c r="AC124" s="330" t="s">
        <v>1261</v>
      </c>
      <c r="AD124" s="93" t="s">
        <v>1247</v>
      </c>
      <c r="AE124" s="315">
        <f>SUM(AE125:AE126)</f>
        <v>0</v>
      </c>
      <c r="AF124" s="315">
        <f>SUM(AF125:AF126)</f>
        <v>0</v>
      </c>
      <c r="AG124" s="315">
        <f>SUM(AG125:AG126)</f>
        <v>0</v>
      </c>
      <c r="AH124" s="315">
        <f>SUM(AH125:AH126)</f>
        <v>0</v>
      </c>
      <c r="AI124" s="315">
        <f>SUM(AI125:AI126)</f>
        <v>2089.15619</v>
      </c>
      <c r="AJ124" s="315">
        <f>SUM(AJ125:AJ126)</f>
        <v>2089.15619</v>
      </c>
      <c r="AK124" s="315">
        <f>SUM(AK125:AK126)</f>
        <v>2089.15619</v>
      </c>
      <c r="AL124" s="315">
        <f>SUM(AL125:AL126)</f>
        <v>2089.15619</v>
      </c>
      <c r="AM124" s="315">
        <f>SUM(AM125:AM126)</f>
        <v>2089.15619</v>
      </c>
      <c r="AN124" s="315">
        <f>SUM(AN125:AN126)</f>
        <v>0</v>
      </c>
      <c r="AO124" s="315">
        <f>SUM(AO125:AO126)</f>
        <v>0</v>
      </c>
      <c r="AP124" s="315">
        <f>SUM(AP125:AP126)</f>
        <v>0</v>
      </c>
      <c r="AQ124" s="315">
        <f>SUM(AQ125:AQ126)</f>
        <v>0</v>
      </c>
      <c r="AR124" s="315">
        <f>SUM(AR125:AR126)</f>
        <v>0</v>
      </c>
      <c r="AS124" s="315">
        <f>SUM(AS125:AS126)</f>
        <v>2101.64458</v>
      </c>
      <c r="AT124" s="315">
        <f>SUM(AT125:AT126)</f>
        <v>2101.64458</v>
      </c>
      <c r="AU124" s="315">
        <f>SUM(AU125:AU126)</f>
        <v>2102.00646</v>
      </c>
      <c r="AV124" s="315">
        <f>SUM(AV125:AV126)</f>
        <v>2103.13335</v>
      </c>
      <c r="AW124" s="315">
        <f>SUM(AW125:AW126)</f>
        <v>2105.99583</v>
      </c>
      <c r="AX124" s="315">
        <f>SUM(AX125:AX126)</f>
        <v>0</v>
      </c>
      <c r="AY124" s="315">
        <f>SUM(AY125:AY126)</f>
        <v>0</v>
      </c>
      <c r="AZ124" s="315">
        <f>SUM(AZ125:AZ126)</f>
        <v>0</v>
      </c>
      <c r="BA124" s="315">
        <f>SUM(BA125:BA126)</f>
        <v>0</v>
      </c>
      <c r="BB124" s="315">
        <f>SUM(BB125:BB126)</f>
        <v>0</v>
      </c>
      <c r="BC124" s="284"/>
      <c r="BD124" s="1304"/>
      <c r="BE124" s="1304"/>
      <c r="BF124" s="1015" t="s">
        <v>1262</v>
      </c>
    </row>
    <row s="1834" customFormat="1" customHeight="1" ht="23.25">
      <c r="A125" s="1304"/>
      <c r="B125" s="1436"/>
      <c r="C125" s="1304"/>
      <c r="D125" s="1304"/>
      <c r="E125" s="632">
        <v>15</v>
      </c>
      <c r="F125" s="50" cm="1" t="str">
        <f t="array" ref="F125:F125">OFFSET(E125,-1,1)</f>
        <v>1</v>
      </c>
      <c r="G125" s="1304"/>
      <c r="H125" s="98" t="s">
        <v>1263</v>
      </c>
      <c r="I125" s="1304"/>
      <c r="J125" s="1304"/>
      <c r="K125" s="1304"/>
      <c r="L125" s="1304"/>
      <c r="M125" s="1304"/>
      <c r="N125" s="1304"/>
      <c r="O125" s="1304"/>
      <c r="P125" s="1442"/>
      <c r="Q125" s="1442"/>
      <c r="R125" s="1442"/>
      <c r="S125" s="1442"/>
      <c r="T125" s="465" cm="1" t="str">
        <f t="array" ref="T125:T125">T124</f>
        <v>true</v>
      </c>
      <c r="U125" s="1442"/>
      <c r="V125" s="1304"/>
      <c r="W125" s="1442"/>
      <c r="X125" s="1563"/>
      <c r="Y125" s="1545"/>
      <c r="Z125" s="1304"/>
      <c r="AA125" s="1304"/>
      <c r="AB125" s="240" t="s">
        <v>1264</v>
      </c>
      <c r="AC125" s="192" t="s">
        <v>1265</v>
      </c>
      <c r="AD125" s="93" t="s">
        <v>1247</v>
      </c>
      <c r="AE125" s="279"/>
      <c r="AF125" s="279"/>
      <c r="AG125" s="279"/>
      <c r="AH125" s="279"/>
      <c r="AI125" s="279">
        <f>1838.19855+211.45032</f>
        <v>2049.64887</v>
      </c>
      <c r="AJ125" s="279" cm="1" t="str">
        <f t="array" ref="AJ125:AJ125">AI125</f>
        <v>2049.64887</v>
      </c>
      <c r="AK125" s="279" cm="1" t="str">
        <f t="array" ref="AK125:AK125">AJ125</f>
        <v>2049.64887</v>
      </c>
      <c r="AL125" s="279" cm="1" t="str">
        <f t="array" ref="AL125:AL125">AK125</f>
        <v>2049.64887</v>
      </c>
      <c r="AM125" s="279" cm="1" t="str">
        <f t="array" ref="AM125:AM125">AL125</f>
        <v>2049.64887</v>
      </c>
      <c r="AN125" s="2113"/>
      <c r="AO125" s="2113"/>
      <c r="AP125" s="2113"/>
      <c r="AQ125" s="2113"/>
      <c r="AR125" s="2113"/>
      <c r="AS125" s="279">
        <v>2049.64887</v>
      </c>
      <c r="AT125" s="279">
        <v>2049.64887</v>
      </c>
      <c r="AU125" s="279">
        <v>2049.64887</v>
      </c>
      <c r="AV125" s="279">
        <v>2049.64887</v>
      </c>
      <c r="AW125" s="279">
        <v>2049.64887</v>
      </c>
      <c r="AX125" s="2113"/>
      <c r="AY125" s="2113"/>
      <c r="AZ125" s="2113"/>
      <c r="BA125" s="2113"/>
      <c r="BB125" s="2113"/>
      <c r="BC125" s="284"/>
      <c r="BD125" s="1304"/>
      <c r="BE125" s="1304"/>
      <c r="BF125" s="1015" t="s">
        <v>1266</v>
      </c>
    </row>
    <row s="1834" customFormat="1" customHeight="1" ht="12.75">
      <c r="A126" s="1304"/>
      <c r="B126" s="1436"/>
      <c r="C126" s="1304"/>
      <c r="D126" s="1304"/>
      <c r="E126" s="632">
        <v>15</v>
      </c>
      <c r="F126" s="50" cm="1" t="str">
        <f t="array" ref="F126:F126">OFFSET(E126,-1,1)</f>
        <v>1</v>
      </c>
      <c r="G126" s="1304"/>
      <c r="H126" s="98" t="s">
        <v>1267</v>
      </c>
      <c r="I126" s="1304"/>
      <c r="J126" s="1304"/>
      <c r="K126" s="1304"/>
      <c r="L126" s="1304"/>
      <c r="M126" s="1304"/>
      <c r="N126" s="1304"/>
      <c r="O126" s="1304"/>
      <c r="P126" s="1442"/>
      <c r="Q126" s="1442"/>
      <c r="R126" s="1442"/>
      <c r="S126" s="1442"/>
      <c r="T126" s="465" cm="1" t="str">
        <f t="array" ref="T126:T126">T125</f>
        <v>true</v>
      </c>
      <c r="U126" s="1442"/>
      <c r="V126" s="1304"/>
      <c r="W126" s="1442"/>
      <c r="X126" s="1563"/>
      <c r="Y126" s="1545"/>
      <c r="Z126" s="1304"/>
      <c r="AA126" s="1304"/>
      <c r="AB126" s="240" t="s">
        <v>1268</v>
      </c>
      <c r="AC126" s="192" t="s">
        <v>1269</v>
      </c>
      <c r="AD126" s="93" t="s">
        <v>1247</v>
      </c>
      <c r="AE126" s="279"/>
      <c r="AF126" s="279"/>
      <c r="AG126" s="279"/>
      <c r="AH126" s="279"/>
      <c r="AI126" s="279">
        <f>11.292+28.21532</f>
        <v>39.50732</v>
      </c>
      <c r="AJ126" s="279" cm="1" t="str">
        <f t="array" ref="AJ126:AJ126">AI126</f>
        <v>39.50732</v>
      </c>
      <c r="AK126" s="279" cm="1" t="str">
        <f t="array" ref="AK126:AK126">AJ126</f>
        <v>39.50732</v>
      </c>
      <c r="AL126" s="279" cm="1" t="str">
        <f t="array" ref="AL126:AL126">AK126</f>
        <v>39.50732</v>
      </c>
      <c r="AM126" s="279" cm="1" t="str">
        <f t="array" ref="AM126:AM126">AL126</f>
        <v>39.50732</v>
      </c>
      <c r="AN126" s="2113"/>
      <c r="AO126" s="2113"/>
      <c r="AP126" s="2113"/>
      <c r="AQ126" s="2113"/>
      <c r="AR126" s="2113"/>
      <c r="AS126" s="279">
        <f>11.292+40.70371</f>
        <v>51.99571</v>
      </c>
      <c r="AT126" s="279" cm="1" t="str">
        <f t="array" ref="AT126:AT126">AS126</f>
        <v>51.99571</v>
      </c>
      <c r="AU126" s="279">
        <f>11.292+41.06559</f>
        <v>52.35759</v>
      </c>
      <c r="AV126" s="279">
        <f>11.292+42.19248</f>
        <v>53.48448</v>
      </c>
      <c r="AW126" s="279">
        <f>11.292+45.05496</f>
        <v>56.34696</v>
      </c>
      <c r="AX126" s="2113"/>
      <c r="AY126" s="2113"/>
      <c r="AZ126" s="2113"/>
      <c r="BA126" s="2113"/>
      <c r="BB126" s="2113"/>
      <c r="BC126" s="284"/>
      <c r="BD126" s="1304"/>
      <c r="BE126" s="1304"/>
      <c r="BF126" s="1015" t="s">
        <v>1270</v>
      </c>
    </row>
    <row s="1834" customFormat="1" customHeight="1" ht="12.75">
      <c r="A127" s="1304"/>
      <c r="B127" s="1436"/>
      <c r="C127" s="1304"/>
      <c r="D127" s="1304"/>
      <c r="E127" s="632">
        <v>15</v>
      </c>
      <c r="F127" s="50" cm="1" t="str">
        <f t="array" ref="F127:F127">OFFSET(E127,-1,1)</f>
        <v>1</v>
      </c>
      <c r="G127" s="1304"/>
      <c r="H127" s="98" t="s">
        <v>1225</v>
      </c>
      <c r="I127" s="1304"/>
      <c r="J127" s="1304"/>
      <c r="K127" s="1304"/>
      <c r="L127" s="1304"/>
      <c r="M127" s="1304"/>
      <c r="N127" s="1304"/>
      <c r="O127" s="1304"/>
      <c r="P127" s="1442"/>
      <c r="Q127" s="1442"/>
      <c r="R127" s="1442"/>
      <c r="S127" s="1442"/>
      <c r="T127" s="465" cm="1" t="str">
        <f t="array" ref="T127:T127">T126</f>
        <v>true</v>
      </c>
      <c r="U127" s="1442"/>
      <c r="V127" s="1304"/>
      <c r="W127" s="1442"/>
      <c r="X127" s="1563"/>
      <c r="Y127" s="1545"/>
      <c r="Z127" s="1304"/>
      <c r="AA127" s="1304"/>
      <c r="AB127" s="240" t="s">
        <v>295</v>
      </c>
      <c r="AC127" s="329" t="s">
        <v>1271</v>
      </c>
      <c r="AD127" s="93" t="s">
        <v>1247</v>
      </c>
      <c r="AE127" s="276"/>
      <c r="AF127" s="276"/>
      <c r="AG127" s="276"/>
      <c r="AH127" s="276"/>
      <c r="AI127" s="276"/>
      <c r="AJ127" s="276"/>
      <c r="AK127" s="276"/>
      <c r="AL127" s="276"/>
      <c r="AM127" s="276"/>
      <c r="AN127" s="2069"/>
      <c r="AO127" s="2069"/>
      <c r="AP127" s="2069"/>
      <c r="AQ127" s="2069"/>
      <c r="AR127" s="2069"/>
      <c r="AS127" s="276"/>
      <c r="AT127" s="276"/>
      <c r="AU127" s="276"/>
      <c r="AV127" s="276"/>
      <c r="AW127" s="276"/>
      <c r="AX127" s="2069"/>
      <c r="AY127" s="2069"/>
      <c r="AZ127" s="2069"/>
      <c r="BA127" s="2069"/>
      <c r="BB127" s="2069"/>
      <c r="BC127" s="284"/>
      <c r="BD127" s="1304"/>
      <c r="BE127" s="1304"/>
      <c r="BF127" s="1015" t="s">
        <v>1272</v>
      </c>
    </row>
    <row s="1834" customFormat="1" customHeight="1" ht="23.25">
      <c r="A128" s="1304"/>
      <c r="B128" s="1436"/>
      <c r="C128" s="1304"/>
      <c r="D128" s="1304"/>
      <c r="E128" s="632">
        <v>15</v>
      </c>
      <c r="F128" s="50" cm="1" t="str">
        <f t="array" ref="F128:F128">OFFSET(E128,-1,1)</f>
        <v>1</v>
      </c>
      <c r="G128" s="1304"/>
      <c r="H128" s="98" t="s">
        <v>1228</v>
      </c>
      <c r="I128" s="1304"/>
      <c r="J128" s="1304"/>
      <c r="K128" s="1304"/>
      <c r="L128" s="1304"/>
      <c r="M128" s="1304"/>
      <c r="N128" s="1304"/>
      <c r="O128" s="1304"/>
      <c r="P128" s="1442"/>
      <c r="Q128" s="1442"/>
      <c r="R128" s="1442"/>
      <c r="S128" s="1442"/>
      <c r="T128" s="465" cm="1" t="str">
        <f t="array" ref="T128:T128">T127</f>
        <v>true</v>
      </c>
      <c r="U128" s="1442"/>
      <c r="V128" s="1304"/>
      <c r="W128" s="1442"/>
      <c r="X128" s="1563"/>
      <c r="Y128" s="1545"/>
      <c r="Z128" s="1304"/>
      <c r="AA128" s="1304"/>
      <c r="AB128" s="240" t="s">
        <v>443</v>
      </c>
      <c r="AC128" s="329" t="s">
        <v>1273</v>
      </c>
      <c r="AD128" s="93" t="s">
        <v>1247</v>
      </c>
      <c r="AE128" s="279"/>
      <c r="AF128" s="279"/>
      <c r="AG128" s="279"/>
      <c r="AH128" s="279"/>
      <c r="AI128" s="279"/>
      <c r="AJ128" s="279"/>
      <c r="AK128" s="279"/>
      <c r="AL128" s="279"/>
      <c r="AM128" s="279"/>
      <c r="AN128" s="2113"/>
      <c r="AO128" s="2113"/>
      <c r="AP128" s="2113"/>
      <c r="AQ128" s="2113"/>
      <c r="AR128" s="2113"/>
      <c r="AS128" s="279"/>
      <c r="AT128" s="279"/>
      <c r="AU128" s="279"/>
      <c r="AV128" s="279"/>
      <c r="AW128" s="279"/>
      <c r="AX128" s="2113"/>
      <c r="AY128" s="2113"/>
      <c r="AZ128" s="2113"/>
      <c r="BA128" s="2113"/>
      <c r="BB128" s="2113"/>
      <c r="BC128" s="284"/>
      <c r="BD128" s="1304"/>
      <c r="BE128" s="1304"/>
      <c r="BF128" s="1015" t="s">
        <v>1274</v>
      </c>
    </row>
    <row s="1834" customFormat="1" customHeight="1" ht="12.75">
      <c r="A129" s="1304"/>
      <c r="B129" s="1436"/>
      <c r="C129" s="1304"/>
      <c r="D129" s="1304"/>
      <c r="E129" s="632">
        <v>15</v>
      </c>
      <c r="F129" s="50" cm="1" t="str">
        <f t="array" ref="F129:F129">OFFSET(E129,-1,1)</f>
        <v>1</v>
      </c>
      <c r="G129" s="1304"/>
      <c r="H129" s="98" t="s">
        <v>1275</v>
      </c>
      <c r="I129" s="1304"/>
      <c r="J129" s="1304"/>
      <c r="K129" s="1304"/>
      <c r="L129" s="1304"/>
      <c r="M129" s="1304"/>
      <c r="N129" s="1304"/>
      <c r="O129" s="1304"/>
      <c r="P129" s="1442"/>
      <c r="Q129" s="1442"/>
      <c r="R129" s="1442"/>
      <c r="S129" s="1442"/>
      <c r="T129" s="465" cm="1" t="str">
        <f t="array" ref="T129:T129">T128</f>
        <v>true</v>
      </c>
      <c r="U129" s="1442"/>
      <c r="V129" s="1304"/>
      <c r="W129" s="1442"/>
      <c r="X129" s="1563"/>
      <c r="Y129" s="1545"/>
      <c r="Z129" s="1304"/>
      <c r="AA129" s="1304"/>
      <c r="AB129" s="240" t="s">
        <v>446</v>
      </c>
      <c r="AC129" s="330" t="s">
        <v>1276</v>
      </c>
      <c r="AD129" s="93" t="s">
        <v>1247</v>
      </c>
      <c r="AE129" s="315">
        <f>AE135+AE133</f>
        <v>0</v>
      </c>
      <c r="AF129" s="315">
        <f>AF135+AF133</f>
        <v>0</v>
      </c>
      <c r="AG129" s="315">
        <f>AG135+AG133</f>
        <v>0</v>
      </c>
      <c r="AH129" s="315">
        <f>AH135+AH133</f>
        <v>0</v>
      </c>
      <c r="AI129" s="315">
        <f>AI135+AI133</f>
        <v>3769.92291</v>
      </c>
      <c r="AJ129" s="315">
        <f>AJ135+AJ133</f>
        <v>3769.92291</v>
      </c>
      <c r="AK129" s="315">
        <f>AK135+AK133</f>
        <v>3769.58381</v>
      </c>
      <c r="AL129" s="315">
        <f>AL135+AL133</f>
        <v>3768.62281</v>
      </c>
      <c r="AM129" s="315">
        <f>AM135+AM133</f>
        <v>3768.62281</v>
      </c>
      <c r="AN129" s="315">
        <f>AN135+AN133</f>
        <v>0</v>
      </c>
      <c r="AO129" s="315">
        <f>AO135+AO133</f>
        <v>0</v>
      </c>
      <c r="AP129" s="315">
        <f>AP135+AP133</f>
        <v>0</v>
      </c>
      <c r="AQ129" s="315">
        <f>AQ135+AQ133</f>
        <v>0</v>
      </c>
      <c r="AR129" s="315">
        <f>AR135+AR133</f>
        <v>0</v>
      </c>
      <c r="AS129" s="315">
        <f>AS135+AS133</f>
        <v>3769.92291</v>
      </c>
      <c r="AT129" s="315">
        <f>AT135+AT133</f>
        <v>3769.92291</v>
      </c>
      <c r="AU129" s="315">
        <f>AU135+AU133</f>
        <v>3769.56103</v>
      </c>
      <c r="AV129" s="315">
        <f>AV135+AV133</f>
        <v>3768.59637</v>
      </c>
      <c r="AW129" s="315">
        <f>AW135+AW133</f>
        <v>3768.59637</v>
      </c>
      <c r="AX129" s="315">
        <f>AX135+AX133</f>
        <v>0</v>
      </c>
      <c r="AY129" s="315">
        <f>AY135+AY133</f>
        <v>0</v>
      </c>
      <c r="AZ129" s="315">
        <f>AZ135+AZ133</f>
        <v>0</v>
      </c>
      <c r="BA129" s="315">
        <f>BA135+BA133</f>
        <v>0</v>
      </c>
      <c r="BB129" s="315">
        <f>BB135+BB133</f>
        <v>0</v>
      </c>
      <c r="BC129" s="284"/>
      <c r="BD129" s="1304"/>
      <c r="BE129" s="1304"/>
      <c r="BF129" s="1015" t="s">
        <v>1277</v>
      </c>
    </row>
    <row s="1834" customFormat="1" customHeight="1" ht="23.25">
      <c r="A130" s="1304"/>
      <c r="B130" s="1436"/>
      <c r="C130" s="1304"/>
      <c r="D130" s="1304"/>
      <c r="E130" s="632">
        <v>22.5</v>
      </c>
      <c r="F130" s="50" cm="1" t="str">
        <f t="array" ref="F130:F130">OFFSET(E130,-1,1)</f>
        <v>1</v>
      </c>
      <c r="G130" s="1304"/>
      <c r="H130" s="98" t="s">
        <v>1278</v>
      </c>
      <c r="I130" s="1304"/>
      <c r="J130" s="1304"/>
      <c r="K130" s="1304"/>
      <c r="L130" s="1304"/>
      <c r="M130" s="1304"/>
      <c r="N130" s="1304"/>
      <c r="O130" s="1304"/>
      <c r="P130" s="1442"/>
      <c r="Q130" s="1442"/>
      <c r="R130" s="1442"/>
      <c r="S130" s="1442"/>
      <c r="T130" s="465" cm="1" t="str">
        <f t="array" ref="T130:T130">T129</f>
        <v>true</v>
      </c>
      <c r="U130" s="1442"/>
      <c r="V130" s="1304"/>
      <c r="W130" s="1442"/>
      <c r="X130" s="1563"/>
      <c r="Y130" s="1545"/>
      <c r="Z130" s="1304"/>
      <c r="AA130" s="1304"/>
      <c r="AB130" s="240" t="s">
        <v>1279</v>
      </c>
      <c r="AC130" s="192" t="s">
        <v>1280</v>
      </c>
      <c r="AD130" s="93" t="s">
        <v>1247</v>
      </c>
      <c r="AE130" s="279"/>
      <c r="AF130" s="279"/>
      <c r="AG130" s="279"/>
      <c r="AH130" s="279"/>
      <c r="AI130" s="279">
        <v>3769.92291</v>
      </c>
      <c r="AJ130" s="279">
        <v>3769.92291</v>
      </c>
      <c r="AK130" s="279">
        <v>3769.58381</v>
      </c>
      <c r="AL130" s="279">
        <v>3768.62281</v>
      </c>
      <c r="AM130" s="279">
        <v>3768.62281</v>
      </c>
      <c r="AN130" s="2113"/>
      <c r="AO130" s="2113"/>
      <c r="AP130" s="2113"/>
      <c r="AQ130" s="2113"/>
      <c r="AR130" s="2113"/>
      <c r="AS130" s="279">
        <v>3769.92291</v>
      </c>
      <c r="AT130" s="279">
        <v>3769.92291</v>
      </c>
      <c r="AU130" s="279">
        <v>3769.56103</v>
      </c>
      <c r="AV130" s="279">
        <v>3768.59637</v>
      </c>
      <c r="AW130" s="279">
        <v>3768.59637</v>
      </c>
      <c r="AX130" s="2113"/>
      <c r="AY130" s="2113"/>
      <c r="AZ130" s="2113"/>
      <c r="BA130" s="2113"/>
      <c r="BB130" s="2113"/>
      <c r="BC130" s="284"/>
      <c r="BD130" s="1304"/>
      <c r="BE130" s="1304"/>
      <c r="BF130" s="1015" t="s">
        <v>1281</v>
      </c>
    </row>
    <row s="1834" customFormat="1" customHeight="1" ht="23.25">
      <c r="A131" s="1304"/>
      <c r="B131" s="1436"/>
      <c r="C131" s="1304"/>
      <c r="D131" s="1304"/>
      <c r="E131" s="632">
        <v>15</v>
      </c>
      <c r="F131" s="50" cm="1" t="str">
        <f t="array" ref="F131:F131">OFFSET(E131,-1,1)</f>
        <v>1</v>
      </c>
      <c r="G131" s="1304"/>
      <c r="H131" s="98" t="s">
        <v>1282</v>
      </c>
      <c r="I131" s="1304"/>
      <c r="J131" s="1304"/>
      <c r="K131" s="1304"/>
      <c r="L131" s="1304"/>
      <c r="M131" s="1304"/>
      <c r="N131" s="1304"/>
      <c r="O131" s="1304"/>
      <c r="P131" s="1442"/>
      <c r="Q131" s="1442"/>
      <c r="R131" s="1442"/>
      <c r="S131" s="1442"/>
      <c r="T131" s="465" cm="1" t="str">
        <f t="array" ref="T131:T131">T130</f>
        <v>true</v>
      </c>
      <c r="U131" s="1442"/>
      <c r="V131" s="1304"/>
      <c r="W131" s="1442"/>
      <c r="X131" s="1563"/>
      <c r="Y131" s="1545"/>
      <c r="Z131" s="1304"/>
      <c r="AA131" s="1304"/>
      <c r="AB131" s="240" t="s">
        <v>1283</v>
      </c>
      <c r="AC131" s="192" t="s">
        <v>1284</v>
      </c>
      <c r="AD131" s="93" t="s">
        <v>1247</v>
      </c>
      <c r="AE131" s="279"/>
      <c r="AF131" s="279"/>
      <c r="AG131" s="279"/>
      <c r="AH131" s="279"/>
      <c r="AI131" s="279"/>
      <c r="AJ131" s="279"/>
      <c r="AK131" s="279"/>
      <c r="AL131" s="279"/>
      <c r="AM131" s="279"/>
      <c r="AN131" s="2113"/>
      <c r="AO131" s="2113"/>
      <c r="AP131" s="2113"/>
      <c r="AQ131" s="2113"/>
      <c r="AR131" s="2113"/>
      <c r="AS131" s="279"/>
      <c r="AT131" s="279"/>
      <c r="AU131" s="279"/>
      <c r="AV131" s="279"/>
      <c r="AW131" s="279"/>
      <c r="AX131" s="2113"/>
      <c r="AY131" s="2113"/>
      <c r="AZ131" s="2113"/>
      <c r="BA131" s="2113"/>
      <c r="BB131" s="2113"/>
      <c r="BC131" s="284"/>
      <c r="BD131" s="1304"/>
      <c r="BE131" s="1304"/>
      <c r="BF131" s="1015" t="s">
        <v>1285</v>
      </c>
    </row>
    <row s="1834" customFormat="1" customHeight="1" ht="23.25">
      <c r="A132" s="1304"/>
      <c r="B132" s="1436"/>
      <c r="C132" s="1304"/>
      <c r="D132" s="1304"/>
      <c r="E132" s="632">
        <v>22.5</v>
      </c>
      <c r="F132" s="50" cm="1" t="str">
        <f t="array" ref="F132:F132">OFFSET(E132,-1,1)</f>
        <v>1</v>
      </c>
      <c r="G132" s="1304"/>
      <c r="H132" s="98" t="s">
        <v>1286</v>
      </c>
      <c r="I132" s="1304"/>
      <c r="J132" s="1304"/>
      <c r="K132" s="1304"/>
      <c r="L132" s="1304"/>
      <c r="M132" s="1304"/>
      <c r="N132" s="1304"/>
      <c r="O132" s="1304"/>
      <c r="P132" s="1442"/>
      <c r="Q132" s="1442"/>
      <c r="R132" s="1442"/>
      <c r="S132" s="1442"/>
      <c r="T132" s="465" cm="1" t="str">
        <f t="array" ref="T132:T132">T131</f>
        <v>true</v>
      </c>
      <c r="U132" s="1442"/>
      <c r="V132" s="1304"/>
      <c r="W132" s="1442"/>
      <c r="X132" s="1563"/>
      <c r="Y132" s="1545"/>
      <c r="Z132" s="1304"/>
      <c r="AA132" s="1304"/>
      <c r="AB132" s="240" t="s">
        <v>1287</v>
      </c>
      <c r="AC132" s="192" t="s">
        <v>1288</v>
      </c>
      <c r="AD132" s="93" t="s">
        <v>1247</v>
      </c>
      <c r="AE132" s="279"/>
      <c r="AF132" s="279"/>
      <c r="AG132" s="279"/>
      <c r="AH132" s="279"/>
      <c r="AI132" s="279"/>
      <c r="AJ132" s="279"/>
      <c r="AK132" s="279"/>
      <c r="AL132" s="279"/>
      <c r="AM132" s="279"/>
      <c r="AN132" s="2113"/>
      <c r="AO132" s="2113"/>
      <c r="AP132" s="2113"/>
      <c r="AQ132" s="2113"/>
      <c r="AR132" s="2113"/>
      <c r="AS132" s="279"/>
      <c r="AT132" s="279"/>
      <c r="AU132" s="279"/>
      <c r="AV132" s="279"/>
      <c r="AW132" s="279"/>
      <c r="AX132" s="2113"/>
      <c r="AY132" s="2113"/>
      <c r="AZ132" s="2113"/>
      <c r="BA132" s="2113"/>
      <c r="BB132" s="2113"/>
      <c r="BC132" s="284"/>
      <c r="BD132" s="1304"/>
      <c r="BE132" s="1304"/>
      <c r="BF132" s="1015" t="s">
        <v>1289</v>
      </c>
    </row>
    <row s="1834" customFormat="1" customHeight="1" ht="12.75">
      <c r="A133" s="1304"/>
      <c r="B133" s="1436"/>
      <c r="C133" s="1304"/>
      <c r="D133" s="1304"/>
      <c r="E133" s="632">
        <v>15</v>
      </c>
      <c r="F133" s="50" cm="1" t="str">
        <f t="array" ref="F133:F133">OFFSET(E133,-1,1)</f>
        <v>1</v>
      </c>
      <c r="G133" s="1304"/>
      <c r="H133" s="98" t="s">
        <v>1290</v>
      </c>
      <c r="I133" s="1304"/>
      <c r="J133" s="1304"/>
      <c r="K133" s="1304"/>
      <c r="L133" s="1304"/>
      <c r="M133" s="1304"/>
      <c r="N133" s="1304"/>
      <c r="O133" s="1304"/>
      <c r="P133" s="1442"/>
      <c r="Q133" s="1442"/>
      <c r="R133" s="1442"/>
      <c r="S133" s="1442"/>
      <c r="T133" s="465" cm="1" t="str">
        <f t="array" ref="T133:T133">T132</f>
        <v>true</v>
      </c>
      <c r="U133" s="1442"/>
      <c r="V133" s="1304"/>
      <c r="W133" s="1442"/>
      <c r="X133" s="1563"/>
      <c r="Y133" s="1545"/>
      <c r="Z133" s="1304"/>
      <c r="AA133" s="1304"/>
      <c r="AB133" s="240" t="s">
        <v>449</v>
      </c>
      <c r="AC133" s="329" t="s">
        <v>1291</v>
      </c>
      <c r="AD133" s="93" t="s">
        <v>1247</v>
      </c>
      <c r="AE133" s="279"/>
      <c r="AF133" s="279"/>
      <c r="AG133" s="279"/>
      <c r="AH133" s="279"/>
      <c r="AI133" s="279">
        <v>1413.72109</v>
      </c>
      <c r="AJ133" s="279">
        <v>1413.72109</v>
      </c>
      <c r="AK133" s="279">
        <v>1413.38199</v>
      </c>
      <c r="AL133" s="279">
        <v>1412.42099</v>
      </c>
      <c r="AM133" s="279">
        <v>1412.42099</v>
      </c>
      <c r="AN133" s="2113"/>
      <c r="AO133" s="2113"/>
      <c r="AP133" s="2113"/>
      <c r="AQ133" s="2113"/>
      <c r="AR133" s="2113"/>
      <c r="AS133" s="279">
        <v>1413.72109</v>
      </c>
      <c r="AT133" s="279">
        <v>1413.72109</v>
      </c>
      <c r="AU133" s="279">
        <v>1413.35921</v>
      </c>
      <c r="AV133" s="279">
        <v>1412.39455</v>
      </c>
      <c r="AW133" s="279">
        <v>1412.39455</v>
      </c>
      <c r="AX133" s="2113"/>
      <c r="AY133" s="2113"/>
      <c r="AZ133" s="2113"/>
      <c r="BA133" s="2113"/>
      <c r="BB133" s="2113"/>
      <c r="BC133" s="284"/>
      <c r="BD133" s="1304"/>
      <c r="BE133" s="1304"/>
      <c r="BF133" s="1015" t="s">
        <v>1292</v>
      </c>
    </row>
    <row s="1834" customFormat="1" customHeight="1" ht="23.25">
      <c r="A134" s="1304"/>
      <c r="B134" s="1436"/>
      <c r="C134" s="1304"/>
      <c r="D134" s="1304"/>
      <c r="E134" s="632">
        <v>15</v>
      </c>
      <c r="F134" s="50" cm="1" t="str">
        <f t="array" ref="F134:F134">OFFSET(E134,-1,1)</f>
        <v>1</v>
      </c>
      <c r="G134" s="1304"/>
      <c r="H134" s="98" t="s">
        <v>1293</v>
      </c>
      <c r="I134" s="1304"/>
      <c r="J134" s="1304"/>
      <c r="K134" s="1304"/>
      <c r="L134" s="1304"/>
      <c r="M134" s="1304"/>
      <c r="N134" s="1304"/>
      <c r="O134" s="1304"/>
      <c r="P134" s="1442"/>
      <c r="Q134" s="1442"/>
      <c r="R134" s="1442"/>
      <c r="S134" s="1442"/>
      <c r="T134" s="465" cm="1" t="str">
        <f t="array" ref="T134:T134">T133</f>
        <v>true</v>
      </c>
      <c r="U134" s="1442"/>
      <c r="V134" s="1304"/>
      <c r="W134" s="1442"/>
      <c r="X134" s="1563"/>
      <c r="Y134" s="1545"/>
      <c r="Z134" s="1304"/>
      <c r="AA134" s="1304"/>
      <c r="AB134" s="240" t="s">
        <v>1294</v>
      </c>
      <c r="AC134" s="331" t="s">
        <v>1295</v>
      </c>
      <c r="AD134" s="93" t="s">
        <v>1170</v>
      </c>
      <c r="AE134" s="141">
        <f>IF(AE129=0,0,AE133/AE129*100)</f>
        <v>0</v>
      </c>
      <c r="AF134" s="141">
        <f>IF(AF129=0,0,AF133/AF129*100)</f>
        <v>0</v>
      </c>
      <c r="AG134" s="141">
        <f>IF(AG129=0,0,AG133/AG129*100)</f>
        <v>0</v>
      </c>
      <c r="AH134" s="141">
        <f>IF(AH129=0,0,AH133/AH129*100)</f>
        <v>0</v>
      </c>
      <c r="AI134" s="2716">
        <f>IF(AI129=0,0,AI133/AI129*100)</f>
        <v>37.4999999668428</v>
      </c>
      <c r="AJ134" s="2716">
        <f>IF(AJ129=0,0,AJ133/AJ129*100)</f>
        <v>37.4999999668428</v>
      </c>
      <c r="AK134" s="2716">
        <f>IF(AK129=0,0,AK133/AK129*100)</f>
        <v>37.4943776618141</v>
      </c>
      <c r="AL134" s="2716">
        <f>IF(AL129=0,0,AL133/AL129*100)</f>
        <v>37.4784387084894</v>
      </c>
      <c r="AM134" s="2716">
        <f>IF(AM129=0,0,AM133/AM129*100)</f>
        <v>37.4784387084894</v>
      </c>
      <c r="AN134" s="1940">
        <f>IF(AN129=0,0,AN133/AN129*100)</f>
        <v>0</v>
      </c>
      <c r="AO134" s="1940">
        <f>IF(AO129=0,0,AO133/AO129*100)</f>
        <v>0</v>
      </c>
      <c r="AP134" s="1940">
        <f>IF(AP129=0,0,AP133/AP129*100)</f>
        <v>0</v>
      </c>
      <c r="AQ134" s="1940">
        <f>IF(AQ129=0,0,AQ133/AQ129*100)</f>
        <v>0</v>
      </c>
      <c r="AR134" s="1940">
        <f>IF(AR129=0,0,AR133/AR129*100)</f>
        <v>0</v>
      </c>
      <c r="AS134" s="2716">
        <f>IF(AS129=0,0,AS133/AS129*100)</f>
        <v>37.4999999668428</v>
      </c>
      <c r="AT134" s="2716">
        <f>IF(AT129=0,0,AT133/AT129*100)</f>
        <v>37.4999999668428</v>
      </c>
      <c r="AU134" s="2716">
        <f>IF(AU129=0,0,AU133/AU129*100)</f>
        <v>37.4939999313395</v>
      </c>
      <c r="AV134" s="2716">
        <f>IF(AV129=0,0,AV133/AV129*100)</f>
        <v>37.4780000650481</v>
      </c>
      <c r="AW134" s="2716">
        <f>IF(AW129=0,0,AW133/AW129*100)</f>
        <v>37.4780000650481</v>
      </c>
      <c r="AX134" s="1940">
        <f>IF(AX129=0,0,AX133/AX129*100)</f>
        <v>0</v>
      </c>
      <c r="AY134" s="1940">
        <f>IF(AY129=0,0,AY133/AY129*100)</f>
        <v>0</v>
      </c>
      <c r="AZ134" s="1940">
        <f>IF(AZ129=0,0,AZ133/AZ129*100)</f>
        <v>0</v>
      </c>
      <c r="BA134" s="1940">
        <f>IF(BA129=0,0,BA133/BA129*100)</f>
        <v>0</v>
      </c>
      <c r="BB134" s="1940">
        <f>IF(BB129=0,0,BB133/BB129*100)</f>
        <v>0</v>
      </c>
      <c r="BC134" s="284" t="s">
        <v>1483</v>
      </c>
      <c r="BD134" s="1304"/>
      <c r="BE134" s="1304"/>
      <c r="BF134" s="1015" t="s">
        <v>1296</v>
      </c>
    </row>
    <row s="1834" customFormat="1" customHeight="1" ht="54.75">
      <c r="A135" s="1304"/>
      <c r="B135" s="1436"/>
      <c r="C135" s="1304"/>
      <c r="D135" s="1304"/>
      <c r="E135" s="632">
        <v>15</v>
      </c>
      <c r="F135" s="50" cm="1" t="str">
        <f t="array" ref="F135:F135">OFFSET(E135,-1,1)</f>
        <v>1</v>
      </c>
      <c r="G135" s="1304"/>
      <c r="H135" s="98" t="s">
        <v>1297</v>
      </c>
      <c r="I135" s="1304"/>
      <c r="J135" s="1304"/>
      <c r="K135" s="1304"/>
      <c r="L135" s="1304"/>
      <c r="M135" s="1304"/>
      <c r="N135" s="1304"/>
      <c r="O135" s="1304"/>
      <c r="P135" s="1442"/>
      <c r="Q135" s="1442"/>
      <c r="R135" s="1442"/>
      <c r="S135" s="1442"/>
      <c r="T135" s="465" cm="1" t="str">
        <f t="array" ref="T135:T135">T134</f>
        <v>true</v>
      </c>
      <c r="U135" s="1442"/>
      <c r="V135" s="1304"/>
      <c r="W135" s="1442"/>
      <c r="X135" s="1563"/>
      <c r="Y135" s="1545"/>
      <c r="Z135" s="1304"/>
      <c r="AA135" s="1304"/>
      <c r="AB135" s="240" t="s">
        <v>452</v>
      </c>
      <c r="AC135" s="329" t="s">
        <v>1298</v>
      </c>
      <c r="AD135" s="93" t="s">
        <v>1247</v>
      </c>
      <c r="AE135" s="315">
        <f>AE136+AE140+AE143+AE153</f>
        <v>0</v>
      </c>
      <c r="AF135" s="315">
        <f>AF136+AF140+AF143+AF153</f>
        <v>0</v>
      </c>
      <c r="AG135" s="315">
        <f>AG136+AG140+AG143+AG153</f>
        <v>0</v>
      </c>
      <c r="AH135" s="315">
        <f>AH136+AH140+AH143+AH153</f>
        <v>0</v>
      </c>
      <c r="AI135" s="315">
        <f>AI136+AI140+AI143+AI153</f>
        <v>2356.20182</v>
      </c>
      <c r="AJ135" s="315">
        <f>AJ136+AJ140+AJ143+AJ153</f>
        <v>2356.20182</v>
      </c>
      <c r="AK135" s="315">
        <f>AK136+AK140+AK143+AK153</f>
        <v>2356.20182</v>
      </c>
      <c r="AL135" s="315">
        <f>AL136+AL140+AL143+AL153</f>
        <v>2356.20182</v>
      </c>
      <c r="AM135" s="315">
        <f>AM136+AM140+AM143+AM153</f>
        <v>2356.20182</v>
      </c>
      <c r="AN135" s="315">
        <f>AN136+AN140+AN143+AN153</f>
        <v>0</v>
      </c>
      <c r="AO135" s="315">
        <f>AO136+AO140+AO143+AO153</f>
        <v>0</v>
      </c>
      <c r="AP135" s="315">
        <f>AP136+AP140+AP143+AP153</f>
        <v>0</v>
      </c>
      <c r="AQ135" s="315">
        <f>AQ136+AQ140+AQ143+AQ153</f>
        <v>0</v>
      </c>
      <c r="AR135" s="315">
        <f>AR136+AR140+AR143+AR153</f>
        <v>0</v>
      </c>
      <c r="AS135" s="315">
        <f>AS136+AS140+AS143+AS153</f>
        <v>2356.20182</v>
      </c>
      <c r="AT135" s="315">
        <f>AT136+AT140+AT143+AT153</f>
        <v>2356.20182</v>
      </c>
      <c r="AU135" s="315">
        <f>AU136+AU140+AU143+AU153</f>
        <v>2356.20182</v>
      </c>
      <c r="AV135" s="315">
        <f>AV136+AV140+AV143+AV153</f>
        <v>2356.20182</v>
      </c>
      <c r="AW135" s="315">
        <f>AW136+AW140+AW143+AW153</f>
        <v>2356.20182</v>
      </c>
      <c r="AX135" s="315">
        <f>AX136+AX140+AX143+AX153</f>
        <v>0</v>
      </c>
      <c r="AY135" s="315">
        <f>AY136+AY140+AY143+AY153</f>
        <v>0</v>
      </c>
      <c r="AZ135" s="315">
        <f>AZ136+AZ140+AZ143+AZ153</f>
        <v>0</v>
      </c>
      <c r="BA135" s="315">
        <f>BA136+BA140+BA143+BA153</f>
        <v>0</v>
      </c>
      <c r="BB135" s="315">
        <f>BB136+BB140+BB143+BB153</f>
        <v>0</v>
      </c>
      <c r="BC135" s="284" t="s">
        <v>1484</v>
      </c>
      <c r="BD135" s="1304"/>
      <c r="BE135" s="1304"/>
      <c r="BF135" s="1015" t="s">
        <v>1299</v>
      </c>
    </row>
    <row s="1834" customFormat="1" customHeight="1" ht="12.75">
      <c r="A136" s="1304"/>
      <c r="B136" s="1436"/>
      <c r="C136" s="1304"/>
      <c r="D136" s="1304"/>
      <c r="E136" s="632">
        <v>15</v>
      </c>
      <c r="F136" s="50" cm="1" t="str">
        <f t="array" ref="F136:F136">OFFSET(E136,-1,1)</f>
        <v>1</v>
      </c>
      <c r="G136" s="98" t="str">
        <f>IF(OwnNeedsInPO="да","ПО","")</f>
        <v>ПО</v>
      </c>
      <c r="H136" s="98" t="s">
        <v>1300</v>
      </c>
      <c r="I136" s="1304"/>
      <c r="J136" s="1304"/>
      <c r="K136" s="1304"/>
      <c r="L136" s="1304"/>
      <c r="M136" s="1304"/>
      <c r="N136" s="1304"/>
      <c r="O136" s="1304"/>
      <c r="P136" s="1442"/>
      <c r="Q136" s="1442"/>
      <c r="R136" s="1442"/>
      <c r="S136" s="1442"/>
      <c r="T136" s="465" cm="1" t="str">
        <f t="array" ref="T136:T136">T135</f>
        <v>true</v>
      </c>
      <c r="U136" s="1442"/>
      <c r="V136" s="1304"/>
      <c r="W136" s="1442"/>
      <c r="X136" s="1563"/>
      <c r="Y136" s="1545"/>
      <c r="Z136" s="1304"/>
      <c r="AA136" s="1304"/>
      <c r="AB136" s="240" t="s">
        <v>1301</v>
      </c>
      <c r="AC136" s="192" t="s">
        <v>1302</v>
      </c>
      <c r="AD136" s="93" t="s">
        <v>1247</v>
      </c>
      <c r="AE136" s="315">
        <f>SUM(AE137:AE139)</f>
        <v>0</v>
      </c>
      <c r="AF136" s="315">
        <f>SUM(AF137:AF139)</f>
        <v>0</v>
      </c>
      <c r="AG136" s="315">
        <f>SUM(AG137:AG139)</f>
        <v>0</v>
      </c>
      <c r="AH136" s="315">
        <f>SUM(AH137:AH139)</f>
        <v>0</v>
      </c>
      <c r="AI136" s="315">
        <f>SUM(AI137:AI139)</f>
        <v>1037.0239</v>
      </c>
      <c r="AJ136" s="315">
        <f>SUM(AJ137:AJ139)</f>
        <v>1037.0239</v>
      </c>
      <c r="AK136" s="315">
        <f>SUM(AK137:AK139)</f>
        <v>1037.0239</v>
      </c>
      <c r="AL136" s="315">
        <f>SUM(AL137:AL139)</f>
        <v>1037.0239</v>
      </c>
      <c r="AM136" s="315">
        <f>SUM(AM137:AM139)</f>
        <v>1037.0239</v>
      </c>
      <c r="AN136" s="315">
        <f>SUM(AN137:AN139)</f>
        <v>0</v>
      </c>
      <c r="AO136" s="315">
        <f>SUM(AO137:AO139)</f>
        <v>0</v>
      </c>
      <c r="AP136" s="315">
        <f>SUM(AP137:AP139)</f>
        <v>0</v>
      </c>
      <c r="AQ136" s="315">
        <f>SUM(AQ137:AQ139)</f>
        <v>0</v>
      </c>
      <c r="AR136" s="315">
        <f>SUM(AR137:AR139)</f>
        <v>0</v>
      </c>
      <c r="AS136" s="315">
        <f>SUM(AS137:AS139)</f>
        <v>1037.0239</v>
      </c>
      <c r="AT136" s="315">
        <f>SUM(AT137:AT139)</f>
        <v>1037.0239</v>
      </c>
      <c r="AU136" s="315">
        <f>SUM(AU137:AU139)</f>
        <v>1037.0239</v>
      </c>
      <c r="AV136" s="315">
        <f>SUM(AV137:AV139)</f>
        <v>1037.0239</v>
      </c>
      <c r="AW136" s="315">
        <f>SUM(AW137:AW139)</f>
        <v>1037.0239</v>
      </c>
      <c r="AX136" s="315">
        <f>SUM(AX137:AX139)</f>
        <v>0</v>
      </c>
      <c r="AY136" s="315">
        <f>SUM(AY137:AY139)</f>
        <v>0</v>
      </c>
      <c r="AZ136" s="315">
        <f>SUM(AZ137:AZ139)</f>
        <v>0</v>
      </c>
      <c r="BA136" s="315">
        <f>SUM(BA137:BA139)</f>
        <v>0</v>
      </c>
      <c r="BB136" s="315">
        <f>SUM(BB137:BB139)</f>
        <v>0</v>
      </c>
      <c r="BC136" s="284"/>
      <c r="BD136" s="1304"/>
      <c r="BE136" s="1304"/>
      <c r="BF136" s="1015" t="s">
        <v>1303</v>
      </c>
    </row>
    <row s="1834" customFormat="1" customHeight="1" ht="12.75">
      <c r="A137" s="1304"/>
      <c r="B137" s="1436"/>
      <c r="C137" s="1304"/>
      <c r="D137" s="1304"/>
      <c r="E137" s="632">
        <v>15</v>
      </c>
      <c r="F137" s="50" cm="1" t="str">
        <f t="array" ref="F137:F137">OFFSET(E137,-1,1)</f>
        <v>1</v>
      </c>
      <c r="G137" s="1304"/>
      <c r="H137" s="98" t="s">
        <v>1304</v>
      </c>
      <c r="I137" s="1304"/>
      <c r="J137" s="1304"/>
      <c r="K137" s="1304"/>
      <c r="L137" s="1304"/>
      <c r="M137" s="1304"/>
      <c r="N137" s="1304"/>
      <c r="O137" s="1304"/>
      <c r="P137" s="1442"/>
      <c r="Q137" s="1442"/>
      <c r="R137" s="1442"/>
      <c r="S137" s="1442"/>
      <c r="T137" s="465" cm="1" t="str">
        <f t="array" ref="T137:T137">T136</f>
        <v>true</v>
      </c>
      <c r="U137" s="1442"/>
      <c r="V137" s="1304"/>
      <c r="W137" s="1442"/>
      <c r="X137" s="1563"/>
      <c r="Y137" s="1545"/>
      <c r="Z137" s="1304"/>
      <c r="AA137" s="1304"/>
      <c r="AB137" s="240" t="s">
        <v>1305</v>
      </c>
      <c r="AC137" s="332" t="s">
        <v>1306</v>
      </c>
      <c r="AD137" s="93" t="s">
        <v>1247</v>
      </c>
      <c r="AE137" s="279"/>
      <c r="AF137" s="279"/>
      <c r="AG137" s="279"/>
      <c r="AH137" s="279"/>
      <c r="AI137" s="279"/>
      <c r="AJ137" s="279"/>
      <c r="AK137" s="279"/>
      <c r="AL137" s="279"/>
      <c r="AM137" s="279"/>
      <c r="AN137" s="2113"/>
      <c r="AO137" s="2113"/>
      <c r="AP137" s="2113"/>
      <c r="AQ137" s="2113"/>
      <c r="AR137" s="2113"/>
      <c r="AS137" s="279"/>
      <c r="AT137" s="279"/>
      <c r="AU137" s="279"/>
      <c r="AV137" s="279"/>
      <c r="AW137" s="279"/>
      <c r="AX137" s="2113"/>
      <c r="AY137" s="2113"/>
      <c r="AZ137" s="2113"/>
      <c r="BA137" s="2113"/>
      <c r="BB137" s="2113"/>
      <c r="BC137" s="284"/>
      <c r="BD137" s="1304"/>
      <c r="BE137" s="1304"/>
      <c r="BF137" s="1015" t="s">
        <v>1307</v>
      </c>
    </row>
    <row s="1834" customFormat="1" customHeight="1" ht="12.75">
      <c r="A138" s="1304"/>
      <c r="B138" s="1436"/>
      <c r="C138" s="1304"/>
      <c r="D138" s="1304"/>
      <c r="E138" s="632">
        <v>15</v>
      </c>
      <c r="F138" s="50" cm="1" t="str">
        <f t="array" ref="F138:F138">OFFSET(E138,-1,1)</f>
        <v>1</v>
      </c>
      <c r="G138" s="1304"/>
      <c r="H138" s="98" t="s">
        <v>1308</v>
      </c>
      <c r="I138" s="1304"/>
      <c r="J138" s="1304"/>
      <c r="K138" s="1304"/>
      <c r="L138" s="1304"/>
      <c r="M138" s="1304"/>
      <c r="N138" s="1304"/>
      <c r="O138" s="1304"/>
      <c r="P138" s="1442"/>
      <c r="Q138" s="1442"/>
      <c r="R138" s="1442"/>
      <c r="S138" s="1442"/>
      <c r="T138" s="465" cm="1" t="str">
        <f t="array" ref="T138:T138">T137</f>
        <v>true</v>
      </c>
      <c r="U138" s="1442"/>
      <c r="V138" s="1304"/>
      <c r="W138" s="1442"/>
      <c r="X138" s="1563"/>
      <c r="Y138" s="1545"/>
      <c r="Z138" s="1304"/>
      <c r="AA138" s="1304"/>
      <c r="AB138" s="240" t="s">
        <v>1309</v>
      </c>
      <c r="AC138" s="332" t="s">
        <v>1310</v>
      </c>
      <c r="AD138" s="93" t="s">
        <v>1247</v>
      </c>
      <c r="AE138" s="279"/>
      <c r="AF138" s="279"/>
      <c r="AG138" s="279"/>
      <c r="AH138" s="279"/>
      <c r="AI138" s="279">
        <v>1037.0239</v>
      </c>
      <c r="AJ138" s="279">
        <v>1037.0239</v>
      </c>
      <c r="AK138" s="279">
        <v>1037.0239</v>
      </c>
      <c r="AL138" s="279">
        <v>1037.0239</v>
      </c>
      <c r="AM138" s="279">
        <v>1037.0239</v>
      </c>
      <c r="AN138" s="2113"/>
      <c r="AO138" s="2113"/>
      <c r="AP138" s="2113"/>
      <c r="AQ138" s="2113"/>
      <c r="AR138" s="2113"/>
      <c r="AS138" s="279">
        <v>1037.0239</v>
      </c>
      <c r="AT138" s="279">
        <v>1037.0239</v>
      </c>
      <c r="AU138" s="279">
        <v>1037.0239</v>
      </c>
      <c r="AV138" s="279">
        <v>1037.0239</v>
      </c>
      <c r="AW138" s="279">
        <v>1037.0239</v>
      </c>
      <c r="AX138" s="2113"/>
      <c r="AY138" s="2113"/>
      <c r="AZ138" s="2113"/>
      <c r="BA138" s="2113"/>
      <c r="BB138" s="2113"/>
      <c r="BC138" s="284"/>
      <c r="BD138" s="1304"/>
      <c r="BE138" s="1304"/>
      <c r="BF138" s="1015" t="s">
        <v>1311</v>
      </c>
    </row>
    <row s="1834" customFormat="1" customHeight="1" ht="12.75">
      <c r="A139" s="1304"/>
      <c r="B139" s="1436"/>
      <c r="C139" s="1304"/>
      <c r="D139" s="1304"/>
      <c r="E139" s="632">
        <v>15</v>
      </c>
      <c r="F139" s="50" cm="1" t="str">
        <f t="array" ref="F139:F139">OFFSET(E139,-1,1)</f>
        <v>1</v>
      </c>
      <c r="G139" s="1304"/>
      <c r="H139" s="98" t="s">
        <v>1312</v>
      </c>
      <c r="I139" s="1304"/>
      <c r="J139" s="1304"/>
      <c r="K139" s="1304"/>
      <c r="L139" s="1304"/>
      <c r="M139" s="1304"/>
      <c r="N139" s="1304"/>
      <c r="O139" s="1304"/>
      <c r="P139" s="1442"/>
      <c r="Q139" s="1442"/>
      <c r="R139" s="1442"/>
      <c r="S139" s="1442"/>
      <c r="T139" s="465" cm="1" t="str">
        <f t="array" ref="T139:T139">T138</f>
        <v>true</v>
      </c>
      <c r="U139" s="1442"/>
      <c r="V139" s="1304"/>
      <c r="W139" s="1442"/>
      <c r="X139" s="1563"/>
      <c r="Y139" s="1545"/>
      <c r="Z139" s="1304"/>
      <c r="AA139" s="1304"/>
      <c r="AB139" s="240" t="s">
        <v>1313</v>
      </c>
      <c r="AC139" s="332" t="s">
        <v>1314</v>
      </c>
      <c r="AD139" s="93" t="s">
        <v>1247</v>
      </c>
      <c r="AE139" s="279"/>
      <c r="AF139" s="279"/>
      <c r="AG139" s="279"/>
      <c r="AH139" s="279"/>
      <c r="AI139" s="279"/>
      <c r="AJ139" s="279"/>
      <c r="AK139" s="279"/>
      <c r="AL139" s="279"/>
      <c r="AM139" s="279"/>
      <c r="AN139" s="2113"/>
      <c r="AO139" s="2113"/>
      <c r="AP139" s="2113"/>
      <c r="AQ139" s="2113"/>
      <c r="AR139" s="2113"/>
      <c r="AS139" s="279"/>
      <c r="AT139" s="279"/>
      <c r="AU139" s="279"/>
      <c r="AV139" s="279"/>
      <c r="AW139" s="279"/>
      <c r="AX139" s="2113"/>
      <c r="AY139" s="2113"/>
      <c r="AZ139" s="2113"/>
      <c r="BA139" s="2113"/>
      <c r="BB139" s="2113"/>
      <c r="BC139" s="284"/>
      <c r="BD139" s="1304"/>
      <c r="BE139" s="1304"/>
      <c r="BF139" s="1015" t="s">
        <v>1315</v>
      </c>
    </row>
    <row s="1834" customFormat="1" customHeight="1" ht="12.75">
      <c r="A140" s="1304"/>
      <c r="B140" s="1436"/>
      <c r="C140" s="1304"/>
      <c r="D140" s="1304"/>
      <c r="E140" s="632">
        <v>15</v>
      </c>
      <c r="F140" s="50" cm="1" t="str">
        <f t="array" ref="F140:F140">OFFSET(E140,-1,1)</f>
        <v>1</v>
      </c>
      <c r="G140" s="98" t="s">
        <v>1316</v>
      </c>
      <c r="H140" s="98" t="s">
        <v>1317</v>
      </c>
      <c r="I140" s="1304"/>
      <c r="J140" s="1304"/>
      <c r="K140" s="1304"/>
      <c r="L140" s="1304"/>
      <c r="M140" s="1304"/>
      <c r="N140" s="1304"/>
      <c r="O140" s="1304"/>
      <c r="P140" s="1442"/>
      <c r="Q140" s="1442"/>
      <c r="R140" s="1442"/>
      <c r="S140" s="1442"/>
      <c r="T140" s="465" cm="1" t="str">
        <f t="array" ref="T140:T140">T139</f>
        <v>true</v>
      </c>
      <c r="U140" s="1442"/>
      <c r="V140" s="1304"/>
      <c r="W140" s="1442"/>
      <c r="X140" s="1563"/>
      <c r="Y140" s="1545"/>
      <c r="Z140" s="1304"/>
      <c r="AA140" s="1304"/>
      <c r="AB140" s="240" t="s">
        <v>1318</v>
      </c>
      <c r="AC140" s="192" t="s">
        <v>1319</v>
      </c>
      <c r="AD140" s="93" t="s">
        <v>1247</v>
      </c>
      <c r="AE140" s="315">
        <f>SUM(AE141:AE142)</f>
        <v>0</v>
      </c>
      <c r="AF140" s="315">
        <f>SUM(AF141:AF142)</f>
        <v>0</v>
      </c>
      <c r="AG140" s="315">
        <f>SUM(AG141:AG142)</f>
        <v>0</v>
      </c>
      <c r="AH140" s="315">
        <f>SUM(AH141:AH142)</f>
        <v>0</v>
      </c>
      <c r="AI140" s="315">
        <f>SUM(AI141:AI142)</f>
        <v>0</v>
      </c>
      <c r="AJ140" s="315">
        <f>SUM(AJ141:AJ142)</f>
        <v>0</v>
      </c>
      <c r="AK140" s="315">
        <f>SUM(AK141:AK142)</f>
        <v>0</v>
      </c>
      <c r="AL140" s="315">
        <f>SUM(AL141:AL142)</f>
        <v>0</v>
      </c>
      <c r="AM140" s="315">
        <f>SUM(AM141:AM142)</f>
        <v>0</v>
      </c>
      <c r="AN140" s="315">
        <f>SUM(AN141:AN142)</f>
        <v>0</v>
      </c>
      <c r="AO140" s="315">
        <f>SUM(AO141:AO142)</f>
        <v>0</v>
      </c>
      <c r="AP140" s="315">
        <f>SUM(AP141:AP142)</f>
        <v>0</v>
      </c>
      <c r="AQ140" s="315">
        <f>SUM(AQ141:AQ142)</f>
        <v>0</v>
      </c>
      <c r="AR140" s="315">
        <f>SUM(AR141:AR142)</f>
        <v>0</v>
      </c>
      <c r="AS140" s="315">
        <f>SUM(AS141:AS142)</f>
        <v>0</v>
      </c>
      <c r="AT140" s="315">
        <f>SUM(AT141:AT142)</f>
        <v>0</v>
      </c>
      <c r="AU140" s="315">
        <f>SUM(AU141:AU142)</f>
        <v>0</v>
      </c>
      <c r="AV140" s="315">
        <f>SUM(AV141:AV142)</f>
        <v>0</v>
      </c>
      <c r="AW140" s="315">
        <f>SUM(AW141:AW142)</f>
        <v>0</v>
      </c>
      <c r="AX140" s="315">
        <f>SUM(AX141:AX142)</f>
        <v>0</v>
      </c>
      <c r="AY140" s="315">
        <f>SUM(AY141:AY142)</f>
        <v>0</v>
      </c>
      <c r="AZ140" s="315">
        <f>SUM(AZ141:AZ142)</f>
        <v>0</v>
      </c>
      <c r="BA140" s="315">
        <f>SUM(BA141:BA142)</f>
        <v>0</v>
      </c>
      <c r="BB140" s="315">
        <f>SUM(BB141:BB142)</f>
        <v>0</v>
      </c>
      <c r="BC140" s="284"/>
      <c r="BD140" s="1304"/>
      <c r="BE140" s="1304"/>
      <c r="BF140" s="1015" t="s">
        <v>1320</v>
      </c>
    </row>
    <row s="1834" customFormat="1" customHeight="1" ht="12.75">
      <c r="A141" s="1304"/>
      <c r="B141" s="1436"/>
      <c r="C141" s="1304"/>
      <c r="D141" s="1304"/>
      <c r="E141" s="632">
        <v>15</v>
      </c>
      <c r="F141" s="50" cm="1" t="str">
        <f t="array" ref="F141:F141">OFFSET(E141,-1,1)</f>
        <v>1</v>
      </c>
      <c r="G141" s="1304"/>
      <c r="H141" s="98" t="s">
        <v>1321</v>
      </c>
      <c r="I141" s="1304"/>
      <c r="J141" s="1304"/>
      <c r="K141" s="1304"/>
      <c r="L141" s="1304"/>
      <c r="M141" s="1304"/>
      <c r="N141" s="1304"/>
      <c r="O141" s="1304"/>
      <c r="P141" s="1442"/>
      <c r="Q141" s="1442"/>
      <c r="R141" s="1442"/>
      <c r="S141" s="1442"/>
      <c r="T141" s="465" cm="1" t="str">
        <f t="array" ref="T141:T141">T140</f>
        <v>true</v>
      </c>
      <c r="U141" s="1442"/>
      <c r="V141" s="1304"/>
      <c r="W141" s="1442"/>
      <c r="X141" s="1563"/>
      <c r="Y141" s="1545"/>
      <c r="Z141" s="1304"/>
      <c r="AA141" s="1304"/>
      <c r="AB141" s="240" t="s">
        <v>1322</v>
      </c>
      <c r="AC141" s="332" t="s">
        <v>1323</v>
      </c>
      <c r="AD141" s="93" t="s">
        <v>1247</v>
      </c>
      <c r="AE141" s="279"/>
      <c r="AF141" s="279"/>
      <c r="AG141" s="279"/>
      <c r="AH141" s="279"/>
      <c r="AI141" s="279"/>
      <c r="AJ141" s="279"/>
      <c r="AK141" s="279"/>
      <c r="AL141" s="279"/>
      <c r="AM141" s="279"/>
      <c r="AN141" s="2113"/>
      <c r="AO141" s="2113"/>
      <c r="AP141" s="2113"/>
      <c r="AQ141" s="2113"/>
      <c r="AR141" s="2113"/>
      <c r="AS141" s="279"/>
      <c r="AT141" s="279"/>
      <c r="AU141" s="279"/>
      <c r="AV141" s="279"/>
      <c r="AW141" s="279"/>
      <c r="AX141" s="2113"/>
      <c r="AY141" s="2113"/>
      <c r="AZ141" s="2113"/>
      <c r="BA141" s="2113"/>
      <c r="BB141" s="2113"/>
      <c r="BC141" s="284"/>
      <c r="BD141" s="1304"/>
      <c r="BE141" s="1304"/>
      <c r="BF141" s="1015" t="s">
        <v>1324</v>
      </c>
    </row>
    <row s="1834" customFormat="1" customHeight="1" ht="12.75">
      <c r="A142" s="1304"/>
      <c r="B142" s="1436"/>
      <c r="C142" s="1304"/>
      <c r="D142" s="1304"/>
      <c r="E142" s="632">
        <v>15</v>
      </c>
      <c r="F142" s="50" cm="1" t="str">
        <f t="array" ref="F142:F142">OFFSET(E142,-1,1)</f>
        <v>1</v>
      </c>
      <c r="G142" s="1304"/>
      <c r="H142" s="98" t="s">
        <v>1325</v>
      </c>
      <c r="I142" s="1304"/>
      <c r="J142" s="1304"/>
      <c r="K142" s="1304"/>
      <c r="L142" s="1304"/>
      <c r="M142" s="1304"/>
      <c r="N142" s="1304"/>
      <c r="O142" s="1304"/>
      <c r="P142" s="1442"/>
      <c r="Q142" s="1442"/>
      <c r="R142" s="1442"/>
      <c r="S142" s="1442"/>
      <c r="T142" s="465" cm="1" t="str">
        <f t="array" ref="T142:T142">T141</f>
        <v>true</v>
      </c>
      <c r="U142" s="1442"/>
      <c r="V142" s="1304"/>
      <c r="W142" s="1442"/>
      <c r="X142" s="1563"/>
      <c r="Y142" s="1545"/>
      <c r="Z142" s="1304"/>
      <c r="AA142" s="1304"/>
      <c r="AB142" s="240" t="s">
        <v>1326</v>
      </c>
      <c r="AC142" s="332" t="s">
        <v>1327</v>
      </c>
      <c r="AD142" s="93" t="s">
        <v>1247</v>
      </c>
      <c r="AE142" s="279"/>
      <c r="AF142" s="279"/>
      <c r="AG142" s="279"/>
      <c r="AH142" s="279"/>
      <c r="AI142" s="279"/>
      <c r="AJ142" s="279"/>
      <c r="AK142" s="279"/>
      <c r="AL142" s="279"/>
      <c r="AM142" s="279"/>
      <c r="AN142" s="2113"/>
      <c r="AO142" s="2113"/>
      <c r="AP142" s="2113"/>
      <c r="AQ142" s="2113"/>
      <c r="AR142" s="2113"/>
      <c r="AS142" s="279"/>
      <c r="AT142" s="279"/>
      <c r="AU142" s="279"/>
      <c r="AV142" s="279"/>
      <c r="AW142" s="279"/>
      <c r="AX142" s="2113"/>
      <c r="AY142" s="2113"/>
      <c r="AZ142" s="2113"/>
      <c r="BA142" s="2113"/>
      <c r="BB142" s="2113"/>
      <c r="BC142" s="284"/>
      <c r="BD142" s="1304"/>
      <c r="BE142" s="1304"/>
      <c r="BF142" s="1015" t="s">
        <v>1328</v>
      </c>
    </row>
    <row s="1834" customFormat="1" customHeight="1" ht="12.75">
      <c r="A143" s="1304"/>
      <c r="B143" s="1436"/>
      <c r="C143" s="1304"/>
      <c r="D143" s="1304"/>
      <c r="E143" s="632">
        <v>15</v>
      </c>
      <c r="F143" s="50" cm="1" t="str">
        <f t="array" ref="F143:F143">OFFSET(E143,-1,1)</f>
        <v>1</v>
      </c>
      <c r="G143" s="98" t="s">
        <v>1316</v>
      </c>
      <c r="H143" s="98" t="s">
        <v>1329</v>
      </c>
      <c r="I143" s="1304"/>
      <c r="J143" s="1304"/>
      <c r="K143" s="1304"/>
      <c r="L143" s="1304"/>
      <c r="M143" s="1304"/>
      <c r="N143" s="1304"/>
      <c r="O143" s="1304"/>
      <c r="P143" s="1442"/>
      <c r="Q143" s="1442"/>
      <c r="R143" s="1442"/>
      <c r="S143" s="1442"/>
      <c r="T143" s="465" cm="1" t="str">
        <f t="array" ref="T143:T143">T142</f>
        <v>true</v>
      </c>
      <c r="U143" s="1442"/>
      <c r="V143" s="1304"/>
      <c r="W143" s="1442"/>
      <c r="X143" s="1563"/>
      <c r="Y143" s="1545"/>
      <c r="Z143" s="1304"/>
      <c r="AA143" s="1304"/>
      <c r="AB143" s="240" t="s">
        <v>1330</v>
      </c>
      <c r="AC143" s="192" t="s">
        <v>1331</v>
      </c>
      <c r="AD143" s="93" t="s">
        <v>1247</v>
      </c>
      <c r="AE143" s="315">
        <f>AE144+AE147+AE150</f>
        <v>0</v>
      </c>
      <c r="AF143" s="315">
        <f>AF144+AF147+AF150</f>
        <v>0</v>
      </c>
      <c r="AG143" s="315">
        <f>AG144+AG147+AG150</f>
        <v>0</v>
      </c>
      <c r="AH143" s="315">
        <f>AH144+AH147+AH150</f>
        <v>0</v>
      </c>
      <c r="AI143" s="315">
        <f>AI144+AI147+AI150</f>
        <v>1319.17792</v>
      </c>
      <c r="AJ143" s="315">
        <f>AJ144+AJ147+AJ150</f>
        <v>1319.17792</v>
      </c>
      <c r="AK143" s="315">
        <f>AK144+AK147+AK150</f>
        <v>1319.17792</v>
      </c>
      <c r="AL143" s="315">
        <f>AL144+AL147+AL150</f>
        <v>1319.17792</v>
      </c>
      <c r="AM143" s="315">
        <f>AM144+AM147+AM150</f>
        <v>1319.17792</v>
      </c>
      <c r="AN143" s="315">
        <f>AN144+AN147+AN150</f>
        <v>0</v>
      </c>
      <c r="AO143" s="315">
        <f>AO144+AO147+AO150</f>
        <v>0</v>
      </c>
      <c r="AP143" s="315">
        <f>AP144+AP147+AP150</f>
        <v>0</v>
      </c>
      <c r="AQ143" s="315">
        <f>AQ144+AQ147+AQ150</f>
        <v>0</v>
      </c>
      <c r="AR143" s="315">
        <f>AR144+AR147+AR150</f>
        <v>0</v>
      </c>
      <c r="AS143" s="315">
        <f>AS144+AS147+AS150</f>
        <v>1319.17792</v>
      </c>
      <c r="AT143" s="315">
        <f>AT144+AT147+AT150</f>
        <v>1319.17792</v>
      </c>
      <c r="AU143" s="315">
        <f>AU144+AU147+AU150</f>
        <v>1319.17792</v>
      </c>
      <c r="AV143" s="315">
        <f>AV144+AV147+AV150</f>
        <v>1319.17792</v>
      </c>
      <c r="AW143" s="315">
        <f>AW144+AW147+AW150</f>
        <v>1319.17792</v>
      </c>
      <c r="AX143" s="315">
        <f>AX144+AX147+AX150</f>
        <v>0</v>
      </c>
      <c r="AY143" s="315">
        <f>AY144+AY147+AY150</f>
        <v>0</v>
      </c>
      <c r="AZ143" s="315">
        <f>AZ144+AZ147+AZ150</f>
        <v>0</v>
      </c>
      <c r="BA143" s="315">
        <f>BA144+BA147+BA150</f>
        <v>0</v>
      </c>
      <c r="BB143" s="315">
        <f>BB144+BB147+BB150</f>
        <v>0</v>
      </c>
      <c r="BC143" s="284"/>
      <c r="BD143" s="1304"/>
      <c r="BE143" s="1304"/>
      <c r="BF143" s="1015" t="s">
        <v>1332</v>
      </c>
    </row>
    <row s="1834" customFormat="1" customHeight="1" ht="12.75">
      <c r="A144" s="1304"/>
      <c r="B144" s="1436"/>
      <c r="C144" s="1304"/>
      <c r="D144" s="1304"/>
      <c r="E144" s="632">
        <v>15</v>
      </c>
      <c r="F144" s="50" cm="1" t="str">
        <f t="array" ref="F144:F144">OFFSET(E144,-1,1)</f>
        <v>1</v>
      </c>
      <c r="G144" s="1304"/>
      <c r="H144" s="98" t="s">
        <v>1333</v>
      </c>
      <c r="I144" s="1304"/>
      <c r="J144" s="1304"/>
      <c r="K144" s="1304"/>
      <c r="L144" s="1304"/>
      <c r="M144" s="1304"/>
      <c r="N144" s="1304"/>
      <c r="O144" s="1304"/>
      <c r="P144" s="1442"/>
      <c r="Q144" s="1442"/>
      <c r="R144" s="1442"/>
      <c r="S144" s="1442"/>
      <c r="T144" s="465" cm="1" t="str">
        <f t="array" ref="T144:T144">T143</f>
        <v>true</v>
      </c>
      <c r="U144" s="1442"/>
      <c r="V144" s="1304"/>
      <c r="W144" s="1442"/>
      <c r="X144" s="1563"/>
      <c r="Y144" s="1545"/>
      <c r="Z144" s="1304"/>
      <c r="AA144" s="1304"/>
      <c r="AB144" s="240" t="s">
        <v>1334</v>
      </c>
      <c r="AC144" s="332" t="s">
        <v>1335</v>
      </c>
      <c r="AD144" s="93" t="s">
        <v>1247</v>
      </c>
      <c r="AE144" s="315">
        <f>SUM(AE145:AE146)</f>
        <v>0</v>
      </c>
      <c r="AF144" s="315">
        <f>SUM(AF145:AF146)</f>
        <v>0</v>
      </c>
      <c r="AG144" s="315">
        <f>SUM(AG145:AG146)</f>
        <v>0</v>
      </c>
      <c r="AH144" s="315">
        <f>SUM(AH145:AH146)</f>
        <v>0</v>
      </c>
      <c r="AI144" s="315">
        <f>SUM(AI145:AI146)</f>
        <v>85.59935</v>
      </c>
      <c r="AJ144" s="315">
        <f>SUM(AJ145:AJ146)</f>
        <v>85.59935</v>
      </c>
      <c r="AK144" s="315">
        <f>SUM(AK145:AK146)</f>
        <v>85.59935</v>
      </c>
      <c r="AL144" s="315">
        <f>SUM(AL145:AL146)</f>
        <v>85.59935</v>
      </c>
      <c r="AM144" s="315">
        <f>SUM(AM145:AM146)</f>
        <v>85.59935</v>
      </c>
      <c r="AN144" s="315">
        <f>SUM(AN145:AN146)</f>
        <v>0</v>
      </c>
      <c r="AO144" s="315">
        <f>SUM(AO145:AO146)</f>
        <v>0</v>
      </c>
      <c r="AP144" s="315">
        <f>SUM(AP145:AP146)</f>
        <v>0</v>
      </c>
      <c r="AQ144" s="315">
        <f>SUM(AQ145:AQ146)</f>
        <v>0</v>
      </c>
      <c r="AR144" s="315">
        <f>SUM(AR145:AR146)</f>
        <v>0</v>
      </c>
      <c r="AS144" s="315">
        <f>SUM(AS145:AS146)</f>
        <v>85.59935</v>
      </c>
      <c r="AT144" s="315">
        <f>SUM(AT145:AT146)</f>
        <v>85.59935</v>
      </c>
      <c r="AU144" s="315">
        <f>SUM(AU145:AU146)</f>
        <v>85.59935</v>
      </c>
      <c r="AV144" s="315">
        <f>SUM(AV145:AV146)</f>
        <v>85.59935</v>
      </c>
      <c r="AW144" s="315">
        <f>SUM(AW145:AW146)</f>
        <v>85.59935</v>
      </c>
      <c r="AX144" s="315">
        <f>SUM(AX145:AX146)</f>
        <v>0</v>
      </c>
      <c r="AY144" s="315">
        <f>SUM(AY145:AY146)</f>
        <v>0</v>
      </c>
      <c r="AZ144" s="315">
        <f>SUM(AZ145:AZ146)</f>
        <v>0</v>
      </c>
      <c r="BA144" s="315">
        <f>SUM(BA145:BA146)</f>
        <v>0</v>
      </c>
      <c r="BB144" s="315">
        <f>SUM(BB145:BB146)</f>
        <v>0</v>
      </c>
      <c r="BC144" s="284"/>
      <c r="BD144" s="1304"/>
      <c r="BE144" s="1304"/>
      <c r="BF144" s="1015" t="s">
        <v>1336</v>
      </c>
    </row>
    <row s="1834" customFormat="1" customHeight="1" ht="12.75">
      <c r="A145" s="1304"/>
      <c r="B145" s="1436"/>
      <c r="C145" s="1304"/>
      <c r="D145" s="1304"/>
      <c r="E145" s="632">
        <v>15</v>
      </c>
      <c r="F145" s="50" cm="1" t="str">
        <f t="array" ref="F145:F145">OFFSET(E145,-1,1)</f>
        <v>1</v>
      </c>
      <c r="G145" s="1304"/>
      <c r="H145" s="98" t="s">
        <v>1337</v>
      </c>
      <c r="I145" s="1304"/>
      <c r="J145" s="1304"/>
      <c r="K145" s="1304"/>
      <c r="L145" s="1304"/>
      <c r="M145" s="1304"/>
      <c r="N145" s="1304"/>
      <c r="O145" s="1304"/>
      <c r="P145" s="1442"/>
      <c r="Q145" s="1442"/>
      <c r="R145" s="1442"/>
      <c r="S145" s="1442"/>
      <c r="T145" s="465" cm="1" t="str">
        <f t="array" ref="T145:T145">T144</f>
        <v>true</v>
      </c>
      <c r="U145" s="1442"/>
      <c r="V145" s="1304"/>
      <c r="W145" s="1442"/>
      <c r="X145" s="1563"/>
      <c r="Y145" s="1545"/>
      <c r="Z145" s="1304"/>
      <c r="AA145" s="1304"/>
      <c r="AB145" s="240" t="s">
        <v>1338</v>
      </c>
      <c r="AC145" s="333" t="s">
        <v>1323</v>
      </c>
      <c r="AD145" s="93" t="s">
        <v>1247</v>
      </c>
      <c r="AE145" s="279"/>
      <c r="AF145" s="279"/>
      <c r="AG145" s="279"/>
      <c r="AH145" s="279"/>
      <c r="AI145" s="279">
        <v>85.59935</v>
      </c>
      <c r="AJ145" s="279">
        <v>85.59935</v>
      </c>
      <c r="AK145" s="279">
        <v>85.59935</v>
      </c>
      <c r="AL145" s="279">
        <v>85.59935</v>
      </c>
      <c r="AM145" s="279">
        <v>85.59935</v>
      </c>
      <c r="AN145" s="2113"/>
      <c r="AO145" s="2113"/>
      <c r="AP145" s="2113"/>
      <c r="AQ145" s="2113"/>
      <c r="AR145" s="2113"/>
      <c r="AS145" s="279">
        <v>85.59935</v>
      </c>
      <c r="AT145" s="279">
        <v>85.59935</v>
      </c>
      <c r="AU145" s="279">
        <v>85.59935</v>
      </c>
      <c r="AV145" s="279">
        <v>85.59935</v>
      </c>
      <c r="AW145" s="279">
        <v>85.59935</v>
      </c>
      <c r="AX145" s="2113"/>
      <c r="AY145" s="2113"/>
      <c r="AZ145" s="2113"/>
      <c r="BA145" s="2113"/>
      <c r="BB145" s="2113"/>
      <c r="BC145" s="284"/>
      <c r="BD145" s="1304"/>
      <c r="BE145" s="1304"/>
      <c r="BF145" s="1015" t="s">
        <v>1339</v>
      </c>
    </row>
    <row s="1834" customFormat="1" customHeight="1" ht="12.75">
      <c r="A146" s="1304"/>
      <c r="B146" s="1436"/>
      <c r="C146" s="1304"/>
      <c r="D146" s="1304"/>
      <c r="E146" s="632">
        <v>15</v>
      </c>
      <c r="F146" s="50" cm="1" t="str">
        <f t="array" ref="F146:F146">OFFSET(E146,-1,1)</f>
        <v>1</v>
      </c>
      <c r="G146" s="1304"/>
      <c r="H146" s="98" t="s">
        <v>1340</v>
      </c>
      <c r="I146" s="1304"/>
      <c r="J146" s="1304"/>
      <c r="K146" s="1304"/>
      <c r="L146" s="1304"/>
      <c r="M146" s="1304"/>
      <c r="N146" s="1304"/>
      <c r="O146" s="1304"/>
      <c r="P146" s="1442"/>
      <c r="Q146" s="1442"/>
      <c r="R146" s="1442"/>
      <c r="S146" s="1442"/>
      <c r="T146" s="465" cm="1" t="str">
        <f t="array" ref="T146:T146">T145</f>
        <v>true</v>
      </c>
      <c r="U146" s="1442"/>
      <c r="V146" s="1304"/>
      <c r="W146" s="1442"/>
      <c r="X146" s="1563"/>
      <c r="Y146" s="1545"/>
      <c r="Z146" s="1304"/>
      <c r="AA146" s="1304"/>
      <c r="AB146" s="240" t="s">
        <v>1341</v>
      </c>
      <c r="AC146" s="333" t="s">
        <v>1327</v>
      </c>
      <c r="AD146" s="93" t="s">
        <v>1247</v>
      </c>
      <c r="AE146" s="279"/>
      <c r="AF146" s="279"/>
      <c r="AG146" s="279"/>
      <c r="AH146" s="279"/>
      <c r="AI146" s="279"/>
      <c r="AJ146" s="279"/>
      <c r="AK146" s="279"/>
      <c r="AL146" s="279"/>
      <c r="AM146" s="279"/>
      <c r="AN146" s="2113"/>
      <c r="AO146" s="2113"/>
      <c r="AP146" s="2113"/>
      <c r="AQ146" s="2113"/>
      <c r="AR146" s="2113"/>
      <c r="AS146" s="279"/>
      <c r="AT146" s="279"/>
      <c r="AU146" s="279"/>
      <c r="AV146" s="279"/>
      <c r="AW146" s="279"/>
      <c r="AX146" s="2113"/>
      <c r="AY146" s="2113"/>
      <c r="AZ146" s="2113"/>
      <c r="BA146" s="2113"/>
      <c r="BB146" s="2113"/>
      <c r="BC146" s="284"/>
      <c r="BD146" s="1304"/>
      <c r="BE146" s="1304"/>
      <c r="BF146" s="1015" t="s">
        <v>1342</v>
      </c>
    </row>
    <row s="1834" customFormat="1" customHeight="1" ht="12.75">
      <c r="A147" s="1304"/>
      <c r="B147" s="1436"/>
      <c r="C147" s="1304"/>
      <c r="D147" s="1304"/>
      <c r="E147" s="632">
        <v>15</v>
      </c>
      <c r="F147" s="50" cm="1" t="str">
        <f t="array" ref="F147:F147">OFFSET(E147,-1,1)</f>
        <v>1</v>
      </c>
      <c r="G147" s="98" t="s">
        <v>1343</v>
      </c>
      <c r="H147" s="98" t="s">
        <v>1344</v>
      </c>
      <c r="I147" s="1304"/>
      <c r="J147" s="1304"/>
      <c r="K147" s="1304"/>
      <c r="L147" s="1304"/>
      <c r="M147" s="1304"/>
      <c r="N147" s="1304"/>
      <c r="O147" s="1304"/>
      <c r="P147" s="1442"/>
      <c r="Q147" s="1442"/>
      <c r="R147" s="1442"/>
      <c r="S147" s="1442"/>
      <c r="T147" s="465" cm="1" t="str">
        <f t="array" ref="T147:T147">T146</f>
        <v>true</v>
      </c>
      <c r="U147" s="1442"/>
      <c r="V147" s="1304"/>
      <c r="W147" s="1442"/>
      <c r="X147" s="1563"/>
      <c r="Y147" s="1545"/>
      <c r="Z147" s="1304"/>
      <c r="AA147" s="1304"/>
      <c r="AB147" s="240" t="s">
        <v>1345</v>
      </c>
      <c r="AC147" s="332" t="s">
        <v>1346</v>
      </c>
      <c r="AD147" s="93" t="s">
        <v>1247</v>
      </c>
      <c r="AE147" s="315">
        <f>SUM(AE148:AE149)</f>
        <v>0</v>
      </c>
      <c r="AF147" s="315">
        <f>SUM(AF148:AF149)</f>
        <v>0</v>
      </c>
      <c r="AG147" s="315">
        <f>SUM(AG148:AG149)</f>
        <v>0</v>
      </c>
      <c r="AH147" s="315">
        <f>SUM(AH148:AH149)</f>
        <v>0</v>
      </c>
      <c r="AI147" s="315">
        <f>SUM(AI148:AI149)</f>
        <v>1058.9499</v>
      </c>
      <c r="AJ147" s="315">
        <f>SUM(AJ148:AJ149)</f>
        <v>1058.9499</v>
      </c>
      <c r="AK147" s="315">
        <f>SUM(AK148:AK149)</f>
        <v>1058.9499</v>
      </c>
      <c r="AL147" s="315">
        <f>SUM(AL148:AL149)</f>
        <v>1058.9499</v>
      </c>
      <c r="AM147" s="315">
        <f>SUM(AM148:AM149)</f>
        <v>1058.9499</v>
      </c>
      <c r="AN147" s="315">
        <f>SUM(AN148:AN149)</f>
        <v>0</v>
      </c>
      <c r="AO147" s="315">
        <f>SUM(AO148:AO149)</f>
        <v>0</v>
      </c>
      <c r="AP147" s="315">
        <f>SUM(AP148:AP149)</f>
        <v>0</v>
      </c>
      <c r="AQ147" s="315">
        <f>SUM(AQ148:AQ149)</f>
        <v>0</v>
      </c>
      <c r="AR147" s="315">
        <f>SUM(AR148:AR149)</f>
        <v>0</v>
      </c>
      <c r="AS147" s="315">
        <f>SUM(AS148:AS149)</f>
        <v>1058.9499</v>
      </c>
      <c r="AT147" s="315">
        <f>SUM(AT148:AT149)</f>
        <v>1058.9499</v>
      </c>
      <c r="AU147" s="315">
        <f>SUM(AU148:AU149)</f>
        <v>1058.9499</v>
      </c>
      <c r="AV147" s="315">
        <f>SUM(AV148:AV149)</f>
        <v>1058.9499</v>
      </c>
      <c r="AW147" s="315">
        <f>SUM(AW148:AW149)</f>
        <v>1058.9499</v>
      </c>
      <c r="AX147" s="315">
        <f>SUM(AX148:AX149)</f>
        <v>0</v>
      </c>
      <c r="AY147" s="315">
        <f>SUM(AY148:AY149)</f>
        <v>0</v>
      </c>
      <c r="AZ147" s="315">
        <f>SUM(AZ148:AZ149)</f>
        <v>0</v>
      </c>
      <c r="BA147" s="315">
        <f>SUM(BA148:BA149)</f>
        <v>0</v>
      </c>
      <c r="BB147" s="315">
        <f>SUM(BB148:BB149)</f>
        <v>0</v>
      </c>
      <c r="BC147" s="284"/>
      <c r="BD147" s="1304"/>
      <c r="BE147" s="1304"/>
      <c r="BF147" s="1015" t="s">
        <v>1347</v>
      </c>
    </row>
    <row s="1834" customFormat="1" customHeight="1" ht="12.75">
      <c r="A148" s="1304"/>
      <c r="B148" s="1436"/>
      <c r="C148" s="1304"/>
      <c r="D148" s="1304"/>
      <c r="E148" s="632">
        <v>15</v>
      </c>
      <c r="F148" s="50" cm="1" t="str">
        <f t="array" ref="F148:F148">OFFSET(E148,-1,1)</f>
        <v>1</v>
      </c>
      <c r="G148" s="1304"/>
      <c r="H148" s="98" t="s">
        <v>1348</v>
      </c>
      <c r="I148" s="1304"/>
      <c r="J148" s="1304"/>
      <c r="K148" s="1304"/>
      <c r="L148" s="1304"/>
      <c r="M148" s="1304"/>
      <c r="N148" s="1304"/>
      <c r="O148" s="1304"/>
      <c r="P148" s="1442"/>
      <c r="Q148" s="1442"/>
      <c r="R148" s="1442"/>
      <c r="S148" s="1442"/>
      <c r="T148" s="465" cm="1" t="str">
        <f t="array" ref="T148:T148">T147</f>
        <v>true</v>
      </c>
      <c r="U148" s="1442"/>
      <c r="V148" s="1304"/>
      <c r="W148" s="1442"/>
      <c r="X148" s="1563"/>
      <c r="Y148" s="1545"/>
      <c r="Z148" s="1304"/>
      <c r="AA148" s="1304"/>
      <c r="AB148" s="240" t="s">
        <v>1349</v>
      </c>
      <c r="AC148" s="333" t="s">
        <v>1323</v>
      </c>
      <c r="AD148" s="93" t="s">
        <v>1247</v>
      </c>
      <c r="AE148" s="279"/>
      <c r="AF148" s="279"/>
      <c r="AG148" s="279"/>
      <c r="AH148" s="279"/>
      <c r="AI148" s="279">
        <v>1058.9499</v>
      </c>
      <c r="AJ148" s="279">
        <v>1058.9499</v>
      </c>
      <c r="AK148" s="279">
        <v>1058.9499</v>
      </c>
      <c r="AL148" s="279">
        <v>1058.9499</v>
      </c>
      <c r="AM148" s="279">
        <v>1058.9499</v>
      </c>
      <c r="AN148" s="2113"/>
      <c r="AO148" s="2113"/>
      <c r="AP148" s="2113"/>
      <c r="AQ148" s="2113"/>
      <c r="AR148" s="2113"/>
      <c r="AS148" s="279">
        <v>1058.9499</v>
      </c>
      <c r="AT148" s="279">
        <v>1058.9499</v>
      </c>
      <c r="AU148" s="279">
        <v>1058.9499</v>
      </c>
      <c r="AV148" s="279">
        <v>1058.9499</v>
      </c>
      <c r="AW148" s="279">
        <v>1058.9499</v>
      </c>
      <c r="AX148" s="2113"/>
      <c r="AY148" s="2113"/>
      <c r="AZ148" s="2113"/>
      <c r="BA148" s="2113"/>
      <c r="BB148" s="2113"/>
      <c r="BC148" s="284"/>
      <c r="BD148" s="1304"/>
      <c r="BE148" s="1304"/>
      <c r="BF148" s="1015" t="s">
        <v>1350</v>
      </c>
    </row>
    <row s="1834" customFormat="1" customHeight="1" ht="12.75">
      <c r="A149" s="1304"/>
      <c r="B149" s="1436"/>
      <c r="C149" s="1304"/>
      <c r="D149" s="1304"/>
      <c r="E149" s="632">
        <v>15</v>
      </c>
      <c r="F149" s="50" cm="1" t="str">
        <f t="array" ref="F149:F149">OFFSET(E149,-1,1)</f>
        <v>1</v>
      </c>
      <c r="G149" s="1304"/>
      <c r="H149" s="98" t="s">
        <v>1351</v>
      </c>
      <c r="I149" s="1304"/>
      <c r="J149" s="1304"/>
      <c r="K149" s="1304"/>
      <c r="L149" s="1304"/>
      <c r="M149" s="1304"/>
      <c r="N149" s="1304"/>
      <c r="O149" s="1304"/>
      <c r="P149" s="1442"/>
      <c r="Q149" s="1442"/>
      <c r="R149" s="1442"/>
      <c r="S149" s="1442"/>
      <c r="T149" s="465" cm="1" t="str">
        <f t="array" ref="T149:T149">T148</f>
        <v>true</v>
      </c>
      <c r="U149" s="1442"/>
      <c r="V149" s="1304"/>
      <c r="W149" s="1442"/>
      <c r="X149" s="1563"/>
      <c r="Y149" s="1545"/>
      <c r="Z149" s="1304"/>
      <c r="AA149" s="1304"/>
      <c r="AB149" s="240" t="s">
        <v>1352</v>
      </c>
      <c r="AC149" s="333" t="s">
        <v>1327</v>
      </c>
      <c r="AD149" s="93" t="s">
        <v>1247</v>
      </c>
      <c r="AE149" s="279"/>
      <c r="AF149" s="279"/>
      <c r="AG149" s="279"/>
      <c r="AH149" s="279"/>
      <c r="AI149" s="279"/>
      <c r="AJ149" s="279"/>
      <c r="AK149" s="279"/>
      <c r="AL149" s="279"/>
      <c r="AM149" s="279"/>
      <c r="AN149" s="2113"/>
      <c r="AO149" s="2113"/>
      <c r="AP149" s="2113"/>
      <c r="AQ149" s="2113"/>
      <c r="AR149" s="2113"/>
      <c r="AS149" s="279"/>
      <c r="AT149" s="279"/>
      <c r="AU149" s="279"/>
      <c r="AV149" s="279"/>
      <c r="AW149" s="279"/>
      <c r="AX149" s="2113"/>
      <c r="AY149" s="2113"/>
      <c r="AZ149" s="2113"/>
      <c r="BA149" s="2113"/>
      <c r="BB149" s="2113"/>
      <c r="BC149" s="284"/>
      <c r="BD149" s="1304"/>
      <c r="BE149" s="1304"/>
      <c r="BF149" s="1015" t="s">
        <v>1353</v>
      </c>
    </row>
    <row s="1834" customFormat="1" customHeight="1" ht="12.75">
      <c r="A150" s="1304"/>
      <c r="B150" s="1436"/>
      <c r="C150" s="1304"/>
      <c r="D150" s="1304"/>
      <c r="E150" s="632">
        <v>15</v>
      </c>
      <c r="F150" s="50" cm="1" t="str">
        <f t="array" ref="F150:F150">OFFSET(E150,-1,1)</f>
        <v>1</v>
      </c>
      <c r="G150" s="1304"/>
      <c r="H150" s="98" t="s">
        <v>1354</v>
      </c>
      <c r="I150" s="1304"/>
      <c r="J150" s="1304"/>
      <c r="K150" s="1304"/>
      <c r="L150" s="1304"/>
      <c r="M150" s="1304"/>
      <c r="N150" s="1304"/>
      <c r="O150" s="1304"/>
      <c r="P150" s="1442"/>
      <c r="Q150" s="1442"/>
      <c r="R150" s="1442"/>
      <c r="S150" s="1442"/>
      <c r="T150" s="465" cm="1" t="str">
        <f t="array" ref="T150:T150">T149</f>
        <v>true</v>
      </c>
      <c r="U150" s="1442"/>
      <c r="V150" s="1304"/>
      <c r="W150" s="1442"/>
      <c r="X150" s="1563"/>
      <c r="Y150" s="1545"/>
      <c r="Z150" s="1304"/>
      <c r="AA150" s="1304"/>
      <c r="AB150" s="240" t="s">
        <v>1355</v>
      </c>
      <c r="AC150" s="332" t="s">
        <v>1356</v>
      </c>
      <c r="AD150" s="93" t="s">
        <v>1247</v>
      </c>
      <c r="AE150" s="315">
        <f>SUM(AE151:AE152)</f>
        <v>0</v>
      </c>
      <c r="AF150" s="315">
        <f>SUM(AF151:AF152)</f>
        <v>0</v>
      </c>
      <c r="AG150" s="315">
        <f>SUM(AG151:AG152)</f>
        <v>0</v>
      </c>
      <c r="AH150" s="315">
        <f>SUM(AH151:AH152)</f>
        <v>0</v>
      </c>
      <c r="AI150" s="315">
        <f>SUM(AI151:AI152)</f>
        <v>174.62867</v>
      </c>
      <c r="AJ150" s="315">
        <f>SUM(AJ151:AJ152)</f>
        <v>174.62867</v>
      </c>
      <c r="AK150" s="315">
        <f>SUM(AK151:AK152)</f>
        <v>174.62867</v>
      </c>
      <c r="AL150" s="315">
        <f>SUM(AL151:AL152)</f>
        <v>174.62867</v>
      </c>
      <c r="AM150" s="315">
        <f>SUM(AM151:AM152)</f>
        <v>174.62867</v>
      </c>
      <c r="AN150" s="315">
        <f>SUM(AN151:AN152)</f>
        <v>0</v>
      </c>
      <c r="AO150" s="315">
        <f>SUM(AO151:AO152)</f>
        <v>0</v>
      </c>
      <c r="AP150" s="315">
        <f>SUM(AP151:AP152)</f>
        <v>0</v>
      </c>
      <c r="AQ150" s="315">
        <f>SUM(AQ151:AQ152)</f>
        <v>0</v>
      </c>
      <c r="AR150" s="315">
        <f>SUM(AR151:AR152)</f>
        <v>0</v>
      </c>
      <c r="AS150" s="315">
        <f>SUM(AS151:AS152)</f>
        <v>174.62867</v>
      </c>
      <c r="AT150" s="315">
        <f>SUM(AT151:AT152)</f>
        <v>174.62867</v>
      </c>
      <c r="AU150" s="315">
        <f>SUM(AU151:AU152)</f>
        <v>174.62867</v>
      </c>
      <c r="AV150" s="315">
        <f>SUM(AV151:AV152)</f>
        <v>174.62867</v>
      </c>
      <c r="AW150" s="315">
        <f>SUM(AW151:AW152)</f>
        <v>174.62867</v>
      </c>
      <c r="AX150" s="315">
        <f>SUM(AX151:AX152)</f>
        <v>0</v>
      </c>
      <c r="AY150" s="315">
        <f>SUM(AY151:AY152)</f>
        <v>0</v>
      </c>
      <c r="AZ150" s="315">
        <f>SUM(AZ151:AZ152)</f>
        <v>0</v>
      </c>
      <c r="BA150" s="315">
        <f>SUM(BA151:BA152)</f>
        <v>0</v>
      </c>
      <c r="BB150" s="315">
        <f>SUM(BB151:BB152)</f>
        <v>0</v>
      </c>
      <c r="BC150" s="284"/>
      <c r="BD150" s="1304"/>
      <c r="BE150" s="1304"/>
      <c r="BF150" s="1015" t="s">
        <v>1357</v>
      </c>
    </row>
    <row s="1834" customFormat="1" customHeight="1" ht="12.75">
      <c r="A151" s="1304"/>
      <c r="B151" s="1436"/>
      <c r="C151" s="1304"/>
      <c r="D151" s="1304"/>
      <c r="E151" s="632">
        <v>15</v>
      </c>
      <c r="F151" s="50" cm="1" t="str">
        <f t="array" ref="F151:F151">OFFSET(E151,-1,1)</f>
        <v>1</v>
      </c>
      <c r="G151" s="1304"/>
      <c r="H151" s="98" t="s">
        <v>1358</v>
      </c>
      <c r="I151" s="1304"/>
      <c r="J151" s="1304"/>
      <c r="K151" s="1304"/>
      <c r="L151" s="1304"/>
      <c r="M151" s="1304"/>
      <c r="N151" s="1304"/>
      <c r="O151" s="1304"/>
      <c r="P151" s="1442"/>
      <c r="Q151" s="1442"/>
      <c r="R151" s="1442"/>
      <c r="S151" s="1442"/>
      <c r="T151" s="465" cm="1" t="str">
        <f t="array" ref="T151:T151">T150</f>
        <v>true</v>
      </c>
      <c r="U151" s="1442"/>
      <c r="V151" s="1304"/>
      <c r="W151" s="1442"/>
      <c r="X151" s="1563"/>
      <c r="Y151" s="1545"/>
      <c r="Z151" s="1304"/>
      <c r="AA151" s="1304"/>
      <c r="AB151" s="240" t="s">
        <v>1359</v>
      </c>
      <c r="AC151" s="333" t="s">
        <v>1323</v>
      </c>
      <c r="AD151" s="93" t="s">
        <v>1247</v>
      </c>
      <c r="AE151" s="279"/>
      <c r="AF151" s="279"/>
      <c r="AG151" s="279"/>
      <c r="AH151" s="279"/>
      <c r="AI151" s="279">
        <v>174.62867</v>
      </c>
      <c r="AJ151" s="279">
        <v>174.62867</v>
      </c>
      <c r="AK151" s="279">
        <v>174.62867</v>
      </c>
      <c r="AL151" s="279">
        <v>174.62867</v>
      </c>
      <c r="AM151" s="279">
        <v>174.62867</v>
      </c>
      <c r="AN151" s="2113"/>
      <c r="AO151" s="2113"/>
      <c r="AP151" s="2113"/>
      <c r="AQ151" s="2113"/>
      <c r="AR151" s="2113"/>
      <c r="AS151" s="279">
        <v>174.62867</v>
      </c>
      <c r="AT151" s="279">
        <v>174.62867</v>
      </c>
      <c r="AU151" s="279">
        <v>174.62867</v>
      </c>
      <c r="AV151" s="279">
        <v>174.62867</v>
      </c>
      <c r="AW151" s="279">
        <v>174.62867</v>
      </c>
      <c r="AX151" s="2113"/>
      <c r="AY151" s="2113"/>
      <c r="AZ151" s="2113"/>
      <c r="BA151" s="2113"/>
      <c r="BB151" s="2113"/>
      <c r="BC151" s="284"/>
      <c r="BD151" s="1304"/>
      <c r="BE151" s="1304"/>
      <c r="BF151" s="1015" t="s">
        <v>1360</v>
      </c>
    </row>
    <row s="1834" customFormat="1" customHeight="1" ht="12.75">
      <c r="A152" s="1304"/>
      <c r="B152" s="1436"/>
      <c r="C152" s="1304"/>
      <c r="D152" s="1304"/>
      <c r="E152" s="632">
        <v>15</v>
      </c>
      <c r="F152" s="50" cm="1" t="str">
        <f t="array" ref="F152:F152">OFFSET(E152,-1,1)</f>
        <v>1</v>
      </c>
      <c r="G152" s="1304"/>
      <c r="H152" s="98" t="s">
        <v>1361</v>
      </c>
      <c r="I152" s="1304"/>
      <c r="J152" s="1304"/>
      <c r="K152" s="1304"/>
      <c r="L152" s="1304"/>
      <c r="M152" s="1304"/>
      <c r="N152" s="1304"/>
      <c r="O152" s="1304"/>
      <c r="P152" s="1442"/>
      <c r="Q152" s="1442"/>
      <c r="R152" s="1442"/>
      <c r="S152" s="1442"/>
      <c r="T152" s="465" cm="1" t="str">
        <f t="array" ref="T152:T152">T151</f>
        <v>true</v>
      </c>
      <c r="U152" s="1442"/>
      <c r="V152" s="1304"/>
      <c r="W152" s="1442"/>
      <c r="X152" s="1563"/>
      <c r="Y152" s="1545"/>
      <c r="Z152" s="1304"/>
      <c r="AA152" s="1304"/>
      <c r="AB152" s="240" t="s">
        <v>1362</v>
      </c>
      <c r="AC152" s="333" t="s">
        <v>1327</v>
      </c>
      <c r="AD152" s="93" t="s">
        <v>1247</v>
      </c>
      <c r="AE152" s="279"/>
      <c r="AF152" s="279"/>
      <c r="AG152" s="279"/>
      <c r="AH152" s="279"/>
      <c r="AI152" s="279"/>
      <c r="AJ152" s="279"/>
      <c r="AK152" s="279"/>
      <c r="AL152" s="279"/>
      <c r="AM152" s="279"/>
      <c r="AN152" s="2113"/>
      <c r="AO152" s="2113"/>
      <c r="AP152" s="2113"/>
      <c r="AQ152" s="2113"/>
      <c r="AR152" s="2113"/>
      <c r="AS152" s="279"/>
      <c r="AT152" s="279"/>
      <c r="AU152" s="279"/>
      <c r="AV152" s="279"/>
      <c r="AW152" s="279"/>
      <c r="AX152" s="2113"/>
      <c r="AY152" s="2113"/>
      <c r="AZ152" s="2113"/>
      <c r="BA152" s="2113"/>
      <c r="BB152" s="2113"/>
      <c r="BC152" s="200"/>
      <c r="BD152" s="1304"/>
      <c r="BE152" s="1304"/>
      <c r="BF152" s="1015" t="s">
        <v>1363</v>
      </c>
    </row>
    <row s="1834" customFormat="1" customHeight="1" ht="23.25">
      <c r="A153" s="1304"/>
      <c r="B153" s="1436"/>
      <c r="C153" s="1304"/>
      <c r="D153" s="1304"/>
      <c r="E153" s="632">
        <v>22.5</v>
      </c>
      <c r="F153" s="50" cm="1" t="str">
        <f t="array" ref="F153:F153">OFFSET(E153,-1,1)</f>
        <v>1</v>
      </c>
      <c r="G153" s="1304"/>
      <c r="H153" s="98" t="s">
        <v>1364</v>
      </c>
      <c r="I153" s="469"/>
      <c r="J153" s="469"/>
      <c r="K153" s="1304"/>
      <c r="L153" s="1304"/>
      <c r="M153" s="1304"/>
      <c r="N153" s="1304"/>
      <c r="O153" s="1304"/>
      <c r="P153" s="1442"/>
      <c r="Q153" s="1442"/>
      <c r="R153" s="1442"/>
      <c r="S153" s="1442"/>
      <c r="T153" s="465" cm="1" t="str">
        <f t="array" ref="T153:T153">T152</f>
        <v>true</v>
      </c>
      <c r="U153" s="1442"/>
      <c r="V153" s="1304"/>
      <c r="W153" s="1442"/>
      <c r="X153" s="1563"/>
      <c r="Y153" s="1545"/>
      <c r="Z153" s="1304"/>
      <c r="AA153" s="1304"/>
      <c r="AB153" s="240" t="s">
        <v>1365</v>
      </c>
      <c r="AC153" s="334" t="s">
        <v>1366</v>
      </c>
      <c r="AD153" s="93" t="s">
        <v>1247</v>
      </c>
      <c r="AE153" s="276"/>
      <c r="AF153" s="276"/>
      <c r="AG153" s="276"/>
      <c r="AH153" s="276"/>
      <c r="AI153" s="276"/>
      <c r="AJ153" s="276"/>
      <c r="AK153" s="276"/>
      <c r="AL153" s="276"/>
      <c r="AM153" s="276"/>
      <c r="AN153" s="2069"/>
      <c r="AO153" s="2069"/>
      <c r="AP153" s="2069"/>
      <c r="AQ153" s="2069"/>
      <c r="AR153" s="2069"/>
      <c r="AS153" s="276"/>
      <c r="AT153" s="276"/>
      <c r="AU153" s="276"/>
      <c r="AV153" s="276"/>
      <c r="AW153" s="276"/>
      <c r="AX153" s="2069"/>
      <c r="AY153" s="2069"/>
      <c r="AZ153" s="2069"/>
      <c r="BA153" s="2069"/>
      <c r="BB153" s="2069"/>
      <c r="BC153" s="200"/>
      <c r="BD153" s="1304"/>
      <c r="BE153" s="1304"/>
      <c r="BF153" s="1015" t="s">
        <v>1367</v>
      </c>
    </row>
    <row s="1834" customFormat="1" customHeight="1" ht="12.75">
      <c r="A154" s="1304"/>
      <c r="B154" s="1436"/>
      <c r="C154" s="1304"/>
      <c r="D154" s="1304"/>
      <c r="E154" s="632">
        <v>15</v>
      </c>
      <c r="F154" s="349" cm="1" t="str">
        <f t="array" ref="F154:F154">OFFSET(E154,-1,1)</f>
        <v>1</v>
      </c>
      <c r="G154" s="1304"/>
      <c r="H154" s="1304"/>
      <c r="I154" s="1304"/>
      <c r="J154" s="1304"/>
      <c r="K154" s="1304"/>
      <c r="L154" s="1304"/>
      <c r="M154" s="1304"/>
      <c r="N154" s="1304"/>
      <c r="O154" s="1304"/>
      <c r="P154" s="1442"/>
      <c r="Q154" s="1442"/>
      <c r="R154" s="1442"/>
      <c r="S154" s="1442"/>
      <c r="T154" s="465" cm="1" t="str">
        <f t="array" ref="T154:T154">T153</f>
        <v>true</v>
      </c>
      <c r="U154" s="1442"/>
      <c r="V154" s="1304"/>
      <c r="W154" s="1442"/>
      <c r="X154" s="1563"/>
      <c r="Y154" s="1545"/>
      <c r="Z154" s="1304"/>
      <c r="AA154" s="1304"/>
      <c r="AB154" s="240" t="s">
        <v>1368</v>
      </c>
      <c r="AC154" s="334" t="s">
        <v>1369</v>
      </c>
      <c r="AD154" s="93" t="s">
        <v>1247</v>
      </c>
      <c r="AE154" s="276"/>
      <c r="AF154" s="276"/>
      <c r="AG154" s="276"/>
      <c r="AH154" s="276"/>
      <c r="AI154" s="276"/>
      <c r="AJ154" s="276"/>
      <c r="AK154" s="276"/>
      <c r="AL154" s="276"/>
      <c r="AM154" s="276"/>
      <c r="AN154" s="2069"/>
      <c r="AO154" s="2069"/>
      <c r="AP154" s="2069"/>
      <c r="AQ154" s="2069"/>
      <c r="AR154" s="2069"/>
      <c r="AS154" s="276"/>
      <c r="AT154" s="276"/>
      <c r="AU154" s="276"/>
      <c r="AV154" s="276"/>
      <c r="AW154" s="276"/>
      <c r="AX154" s="2069"/>
      <c r="AY154" s="2069"/>
      <c r="AZ154" s="2069"/>
      <c r="BA154" s="2069"/>
      <c r="BB154" s="2069"/>
      <c r="BC154" s="200"/>
      <c r="BD154" s="1304"/>
      <c r="BE154" s="1304"/>
      <c r="BF154" s="1015" t="s">
        <v>1370</v>
      </c>
    </row>
    <row s="1834" customFormat="1" customHeight="1" ht="11.25" hidden="1">
      <c r="A155" s="469"/>
      <c r="B155" s="658"/>
      <c r="C155" s="469"/>
      <c r="D155" s="469"/>
      <c r="E155" s="660" t="s">
        <v>373</v>
      </c>
      <c r="F155" s="1175" cm="1" t="str">
        <f t="array" ref="F155:F155">OFFSET(E155,-1,1)</f>
        <v>1</v>
      </c>
      <c r="G155" s="469"/>
      <c r="H155" s="469"/>
      <c r="I155" s="1834"/>
      <c r="J155" s="1834"/>
      <c r="K155" s="98"/>
      <c r="L155" s="469"/>
      <c r="M155" s="469"/>
      <c r="N155" s="469"/>
      <c r="O155" s="469"/>
      <c r="P155" s="469"/>
      <c r="Q155" s="469"/>
      <c r="R155" s="416"/>
      <c r="S155" s="416"/>
      <c r="T155" s="465" t="b">
        <v>0</v>
      </c>
      <c r="U155" s="469"/>
      <c r="V155" s="469"/>
      <c r="W155" s="469"/>
      <c r="X155" s="1563"/>
      <c r="Y155" s="1545"/>
      <c r="Z155" s="469"/>
      <c r="AA155" s="469"/>
      <c r="AB155" s="1834"/>
      <c r="AC155" s="100"/>
      <c r="AD155" s="100"/>
      <c r="AE155" s="344"/>
      <c r="AF155" s="344"/>
      <c r="AG155" s="344"/>
      <c r="AH155" s="344"/>
      <c r="AI155" s="344"/>
      <c r="AJ155" s="345"/>
      <c r="AK155" s="344"/>
      <c r="AL155" s="344"/>
      <c r="AM155" s="344"/>
      <c r="AN155" s="344"/>
      <c r="AO155" s="344"/>
      <c r="AP155" s="344"/>
      <c r="AQ155" s="344"/>
      <c r="AR155" s="344"/>
      <c r="AS155" s="344"/>
      <c r="AT155" s="344"/>
      <c r="AU155" s="344"/>
      <c r="AV155" s="344"/>
      <c r="AW155" s="344"/>
      <c r="AX155" s="344"/>
      <c r="AY155" s="344"/>
      <c r="AZ155" s="344"/>
      <c r="BA155" s="344"/>
      <c r="BB155" s="344"/>
      <c r="BC155" s="1834"/>
      <c r="BD155" s="1834"/>
      <c r="BE155" s="1834"/>
      <c r="BF155" s="1019"/>
    </row>
    <row s="1834" customFormat="1" customHeight="1" ht="14.25" hidden="1">
      <c r="A156" s="1304"/>
      <c r="B156" s="1436"/>
      <c r="C156" s="1304"/>
      <c r="D156" s="1304"/>
      <c r="E156" s="632">
        <v>15</v>
      </c>
      <c r="F156" s="50" cm="1" t="str">
        <f t="array" ref="F156:F156">OFFSET(E156,-1,1)</f>
        <v>1</v>
      </c>
      <c r="G156" s="1304"/>
      <c r="H156" s="1304"/>
      <c r="I156" s="1304"/>
      <c r="J156" s="1304"/>
      <c r="K156" s="1304"/>
      <c r="L156" s="1304"/>
      <c r="M156" s="1304"/>
      <c r="N156" s="1304"/>
      <c r="O156" s="1304"/>
      <c r="P156" s="1442"/>
      <c r="Q156" s="1442"/>
      <c r="R156" s="416" cm="1" t="str">
        <f t="array" ref="R156:R156">INDEX('Общие сведения'!$AN$179:$AN$250,MATCH($X118,'Общие сведения'!$Z$179:$Z$250,0))</f>
        <v>false</v>
      </c>
      <c r="S156" s="416">
        <f>IF(ISERROR(SEARCH("Водоснабжение",AB118)),FALSE,TRUE)</f>
        <v>1</v>
      </c>
      <c r="T156" s="465">
        <f>AND(X118&gt;0,S156,R156)</f>
        <v>0</v>
      </c>
      <c r="U156" s="1442"/>
      <c r="V156" s="1304"/>
      <c r="W156" s="1442"/>
      <c r="X156" s="1563"/>
      <c r="Y156" s="1545"/>
      <c r="Z156" s="1304"/>
      <c r="AA156" s="1304"/>
      <c r="AB156" s="240" t="s">
        <v>276</v>
      </c>
      <c r="AC156" s="328" t="s">
        <v>1244</v>
      </c>
      <c r="AD156" s="198"/>
      <c r="AE156" s="570" cm="1" t="str">
        <f t="array" ref="AE156:AE156">INDEX('Общие сведения'!$AH$179:$AH$250,MATCH($X118,'Общие сведения'!$Z$179:$Z$250,0))</f>
        <v>питьевая вода</v>
      </c>
      <c r="AF156" s="362"/>
      <c r="AG156" s="362"/>
      <c r="AH156" s="362"/>
      <c r="AI156" s="362"/>
      <c r="AJ156" s="362"/>
      <c r="AK156" s="362"/>
      <c r="AL156" s="362"/>
      <c r="AM156" s="362"/>
      <c r="AN156" s="362"/>
      <c r="AO156" s="362"/>
      <c r="AP156" s="362"/>
      <c r="AQ156" s="362"/>
      <c r="AR156" s="362"/>
      <c r="AS156" s="362"/>
      <c r="AT156" s="362"/>
      <c r="AU156" s="362"/>
      <c r="AV156" s="362"/>
      <c r="AW156" s="362"/>
      <c r="AX156" s="362"/>
      <c r="AY156" s="362"/>
      <c r="AZ156" s="362"/>
      <c r="BA156" s="362"/>
      <c r="BB156" s="363"/>
      <c r="BC156" s="2070"/>
      <c r="BD156" s="1304"/>
      <c r="BE156" s="1304"/>
      <c r="BF156" s="1015" t="s">
        <v>1371</v>
      </c>
    </row>
    <row s="1834" customFormat="1" customHeight="1" ht="14.25" hidden="1">
      <c r="A157" s="1304"/>
      <c r="B157" s="1436"/>
      <c r="C157" s="1304"/>
      <c r="D157" s="1304"/>
      <c r="E157" s="632">
        <v>15</v>
      </c>
      <c r="F157" s="50" cm="1" t="str">
        <f t="array" ref="F157:F157">OFFSET(E157,-1,1)</f>
        <v>1</v>
      </c>
      <c r="G157" s="1304"/>
      <c r="H157" s="98" t="s">
        <v>336</v>
      </c>
      <c r="I157" s="1304"/>
      <c r="J157" s="1304"/>
      <c r="K157" s="1304"/>
      <c r="L157" s="1304"/>
      <c r="M157" s="1304"/>
      <c r="N157" s="1304"/>
      <c r="O157" s="1304"/>
      <c r="P157" s="1442"/>
      <c r="Q157" s="1442"/>
      <c r="R157" s="1442"/>
      <c r="S157" s="1442"/>
      <c r="T157" s="465" cm="1" t="str">
        <f t="array" ref="T157:T157">T156</f>
        <v>false</v>
      </c>
      <c r="U157" s="1442"/>
      <c r="V157" s="1304"/>
      <c r="W157" s="1442"/>
      <c r="X157" s="1563"/>
      <c r="Y157" s="1545"/>
      <c r="Z157" s="1304"/>
      <c r="AA157" s="1304"/>
      <c r="AB157" s="240" t="s">
        <v>285</v>
      </c>
      <c r="AC157" s="335" t="s">
        <v>1372</v>
      </c>
      <c r="AD157" s="93" t="s">
        <v>1247</v>
      </c>
      <c r="AE157" s="346">
        <f>AE161+AE163+AE166+AE169</f>
        <v>0</v>
      </c>
      <c r="AF157" s="346">
        <f>AF161+AF163+AF166+AF169</f>
        <v>0</v>
      </c>
      <c r="AG157" s="346">
        <f>AG161+AG163+AG166+AG169</f>
        <v>0</v>
      </c>
      <c r="AH157" s="346">
        <f>AH161+AH163+AH166+AH169</f>
        <v>0</v>
      </c>
      <c r="AI157" s="346">
        <f>AI161+AI163+AI166+AI169</f>
        <v>0</v>
      </c>
      <c r="AJ157" s="346">
        <f>AJ161+AJ163+AJ166+AJ169</f>
        <v>0</v>
      </c>
      <c r="AK157" s="346">
        <f>AK161+AK163+AK166+AK169</f>
        <v>0</v>
      </c>
      <c r="AL157" s="346">
        <f>AL161+AL163+AL166+AL169</f>
        <v>0</v>
      </c>
      <c r="AM157" s="346">
        <f>AM161+AM163+AM166+AM169</f>
        <v>0</v>
      </c>
      <c r="AN157" s="346">
        <f>AN161+AN163+AN166+AN169</f>
        <v>0</v>
      </c>
      <c r="AO157" s="346">
        <f>AO161+AO163+AO166+AO169</f>
        <v>0</v>
      </c>
      <c r="AP157" s="346">
        <f>AP161+AP163+AP166+AP169</f>
        <v>0</v>
      </c>
      <c r="AQ157" s="346">
        <f>AQ161+AQ163+AQ166+AQ169</f>
        <v>0</v>
      </c>
      <c r="AR157" s="346">
        <f>AR161+AR163+AR166+AR169</f>
        <v>0</v>
      </c>
      <c r="AS157" s="346">
        <f>AS161+AS163+AS166+AS169</f>
        <v>0</v>
      </c>
      <c r="AT157" s="346">
        <f>AT161+AT163+AT166+AT169</f>
        <v>0</v>
      </c>
      <c r="AU157" s="346">
        <f>AU161+AU163+AU166+AU169</f>
        <v>0</v>
      </c>
      <c r="AV157" s="346">
        <f>AV161+AV163+AV166+AV169</f>
        <v>0</v>
      </c>
      <c r="AW157" s="346">
        <f>AW161+AW163+AW166+AW169</f>
        <v>0</v>
      </c>
      <c r="AX157" s="346">
        <f>AX161+AX163+AX166+AX169</f>
        <v>0</v>
      </c>
      <c r="AY157" s="346">
        <f>AY161+AY163+AY166+AY169</f>
        <v>0</v>
      </c>
      <c r="AZ157" s="346">
        <f>AZ161+AZ163+AZ166+AZ169</f>
        <v>0</v>
      </c>
      <c r="BA157" s="346">
        <f>BA161+BA163+BA166+BA169</f>
        <v>0</v>
      </c>
      <c r="BB157" s="346">
        <f>BB161+BB163+BB166+BB169</f>
        <v>0</v>
      </c>
      <c r="BC157" s="2070"/>
      <c r="BD157" s="1304"/>
      <c r="BE157" s="1304"/>
      <c r="BF157" s="1015" t="s">
        <v>1373</v>
      </c>
    </row>
    <row s="1834" customFormat="1" customHeight="1" ht="14.25" hidden="1">
      <c r="A158" s="1304"/>
      <c r="B158" s="1436"/>
      <c r="C158" s="1304"/>
      <c r="D158" s="1304"/>
      <c r="E158" s="632">
        <v>15</v>
      </c>
      <c r="F158" s="50" cm="1" t="str">
        <f t="array" ref="F158:F158">OFFSET(E158,-1,1)</f>
        <v>1</v>
      </c>
      <c r="G158" s="1304"/>
      <c r="H158" s="98" t="s">
        <v>1249</v>
      </c>
      <c r="I158" s="1304"/>
      <c r="J158" s="1304"/>
      <c r="K158" s="1304"/>
      <c r="L158" s="1304"/>
      <c r="M158" s="1304"/>
      <c r="N158" s="1304"/>
      <c r="O158" s="1304"/>
      <c r="P158" s="1442"/>
      <c r="Q158" s="1442"/>
      <c r="R158" s="1442"/>
      <c r="S158" s="1442"/>
      <c r="T158" s="465" cm="1" t="str">
        <f t="array" ref="T158:T158">T157</f>
        <v>false</v>
      </c>
      <c r="U158" s="1442"/>
      <c r="V158" s="1304"/>
      <c r="W158" s="1442"/>
      <c r="X158" s="1563"/>
      <c r="Y158" s="1545"/>
      <c r="Z158" s="1304"/>
      <c r="AA158" s="1304"/>
      <c r="AB158" s="240" t="s">
        <v>1250</v>
      </c>
      <c r="AC158" s="336" t="s">
        <v>1374</v>
      </c>
      <c r="AD158" s="93" t="s">
        <v>1247</v>
      </c>
      <c r="AE158" s="2069"/>
      <c r="AF158" s="2069"/>
      <c r="AG158" s="2069"/>
      <c r="AH158" s="2069"/>
      <c r="AI158" s="2069"/>
      <c r="AJ158" s="2069"/>
      <c r="AK158" s="2069"/>
      <c r="AL158" s="2069"/>
      <c r="AM158" s="2069"/>
      <c r="AN158" s="2069"/>
      <c r="AO158" s="2069"/>
      <c r="AP158" s="2069"/>
      <c r="AQ158" s="2069"/>
      <c r="AR158" s="2069"/>
      <c r="AS158" s="2069"/>
      <c r="AT158" s="2069"/>
      <c r="AU158" s="2069"/>
      <c r="AV158" s="2069"/>
      <c r="AW158" s="2069"/>
      <c r="AX158" s="2069"/>
      <c r="AY158" s="2069"/>
      <c r="AZ158" s="2069"/>
      <c r="BA158" s="2069"/>
      <c r="BB158" s="2069"/>
      <c r="BC158" s="2070"/>
      <c r="BD158" s="1304"/>
      <c r="BE158" s="1304"/>
      <c r="BF158" s="1015" t="s">
        <v>1375</v>
      </c>
    </row>
    <row s="1834" customFormat="1" customHeight="1" ht="14.25" hidden="1">
      <c r="A159" s="1304"/>
      <c r="B159" s="1436"/>
      <c r="C159" s="1304"/>
      <c r="D159" s="1304"/>
      <c r="E159" s="632">
        <v>15</v>
      </c>
      <c r="F159" s="50" cm="1" t="str">
        <f t="array" ref="F159:F159">OFFSET(E159,-1,1)</f>
        <v>1</v>
      </c>
      <c r="G159" s="1304"/>
      <c r="H159" s="98" t="s">
        <v>1253</v>
      </c>
      <c r="I159" s="1304"/>
      <c r="J159" s="1304"/>
      <c r="K159" s="1304"/>
      <c r="L159" s="1304"/>
      <c r="M159" s="1304"/>
      <c r="N159" s="1304"/>
      <c r="O159" s="1304"/>
      <c r="P159" s="1442"/>
      <c r="Q159" s="1442"/>
      <c r="R159" s="1442"/>
      <c r="S159" s="1442"/>
      <c r="T159" s="465" cm="1" t="str">
        <f t="array" ref="T159:T159">T158</f>
        <v>false</v>
      </c>
      <c r="U159" s="1442"/>
      <c r="V159" s="1304"/>
      <c r="W159" s="1442"/>
      <c r="X159" s="1563"/>
      <c r="Y159" s="1545"/>
      <c r="Z159" s="1304"/>
      <c r="AA159" s="1304"/>
      <c r="AB159" s="240" t="s">
        <v>1254</v>
      </c>
      <c r="AC159" s="336" t="s">
        <v>1376</v>
      </c>
      <c r="AD159" s="93" t="s">
        <v>1247</v>
      </c>
      <c r="AE159" s="2069"/>
      <c r="AF159" s="2069"/>
      <c r="AG159" s="2069"/>
      <c r="AH159" s="2069"/>
      <c r="AI159" s="2069"/>
      <c r="AJ159" s="2069"/>
      <c r="AK159" s="2069"/>
      <c r="AL159" s="2069"/>
      <c r="AM159" s="2069"/>
      <c r="AN159" s="2069"/>
      <c r="AO159" s="2069"/>
      <c r="AP159" s="2069"/>
      <c r="AQ159" s="2069"/>
      <c r="AR159" s="2069"/>
      <c r="AS159" s="2069"/>
      <c r="AT159" s="2069"/>
      <c r="AU159" s="2069"/>
      <c r="AV159" s="2069"/>
      <c r="AW159" s="2069"/>
      <c r="AX159" s="2069"/>
      <c r="AY159" s="2069"/>
      <c r="AZ159" s="2069"/>
      <c r="BA159" s="2069"/>
      <c r="BB159" s="2069"/>
      <c r="BC159" s="2070"/>
      <c r="BD159" s="1304"/>
      <c r="BE159" s="1304"/>
      <c r="BF159" s="1015" t="s">
        <v>1377</v>
      </c>
    </row>
    <row s="1834" customFormat="1" customHeight="1" ht="21.75" hidden="1">
      <c r="A160" s="1304"/>
      <c r="B160" s="1436"/>
      <c r="C160" s="1304"/>
      <c r="D160" s="1304"/>
      <c r="E160" s="632">
        <v>22.5</v>
      </c>
      <c r="F160" s="50" cm="1" t="str">
        <f t="array" ref="F160:F160">OFFSET(E160,-1,1)</f>
        <v>1</v>
      </c>
      <c r="G160" s="1304"/>
      <c r="H160" s="98" t="s">
        <v>1257</v>
      </c>
      <c r="I160" s="1304"/>
      <c r="J160" s="1304"/>
      <c r="K160" s="1304"/>
      <c r="L160" s="1304"/>
      <c r="M160" s="1304"/>
      <c r="N160" s="1304"/>
      <c r="O160" s="1304"/>
      <c r="P160" s="1442"/>
      <c r="Q160" s="1442"/>
      <c r="R160" s="1442"/>
      <c r="S160" s="1442"/>
      <c r="T160" s="465" cm="1" t="str">
        <f t="array" ref="T160:T160">T159</f>
        <v>false</v>
      </c>
      <c r="U160" s="1442"/>
      <c r="V160" s="1304"/>
      <c r="W160" s="1442"/>
      <c r="X160" s="1563"/>
      <c r="Y160" s="1545"/>
      <c r="Z160" s="1304"/>
      <c r="AA160" s="1304"/>
      <c r="AB160" s="240" t="s">
        <v>1258</v>
      </c>
      <c r="AC160" s="336" t="s">
        <v>1378</v>
      </c>
      <c r="AD160" s="93" t="s">
        <v>1247</v>
      </c>
      <c r="AE160" s="2069"/>
      <c r="AF160" s="2069"/>
      <c r="AG160" s="2069"/>
      <c r="AH160" s="2069"/>
      <c r="AI160" s="2069"/>
      <c r="AJ160" s="2069"/>
      <c r="AK160" s="2069"/>
      <c r="AL160" s="2069"/>
      <c r="AM160" s="2069"/>
      <c r="AN160" s="2069"/>
      <c r="AO160" s="2069"/>
      <c r="AP160" s="2069"/>
      <c r="AQ160" s="2069"/>
      <c r="AR160" s="2069"/>
      <c r="AS160" s="2069"/>
      <c r="AT160" s="2069"/>
      <c r="AU160" s="2069"/>
      <c r="AV160" s="2069"/>
      <c r="AW160" s="2069"/>
      <c r="AX160" s="2069"/>
      <c r="AY160" s="2069"/>
      <c r="AZ160" s="2069"/>
      <c r="BA160" s="2069"/>
      <c r="BB160" s="2069"/>
      <c r="BC160" s="2070"/>
      <c r="BD160" s="1304"/>
      <c r="BE160" s="1304"/>
      <c r="BF160" s="1015" t="s">
        <v>1379</v>
      </c>
    </row>
    <row s="1834" customFormat="1" customHeight="1" ht="14.25" hidden="1">
      <c r="A161" s="1304"/>
      <c r="B161" s="1436"/>
      <c r="C161" s="1304"/>
      <c r="D161" s="1304"/>
      <c r="E161" s="632">
        <v>15</v>
      </c>
      <c r="F161" s="50" cm="1" t="str">
        <f t="array" ref="F161:F161">OFFSET(E161,-1,1)</f>
        <v>1</v>
      </c>
      <c r="G161" s="1304"/>
      <c r="H161" s="98" t="s">
        <v>335</v>
      </c>
      <c r="I161" s="1304"/>
      <c r="J161" s="1304"/>
      <c r="K161" s="1304"/>
      <c r="L161" s="1304"/>
      <c r="M161" s="1304"/>
      <c r="N161" s="1304"/>
      <c r="O161" s="1304"/>
      <c r="P161" s="1442"/>
      <c r="Q161" s="1442"/>
      <c r="R161" s="1442"/>
      <c r="S161" s="1442"/>
      <c r="T161" s="465" cm="1" t="str">
        <f t="array" ref="T161:T161">T160</f>
        <v>false</v>
      </c>
      <c r="U161" s="1442"/>
      <c r="V161" s="1304"/>
      <c r="W161" s="1442"/>
      <c r="X161" s="1563"/>
      <c r="Y161" s="1545"/>
      <c r="Z161" s="1304"/>
      <c r="AA161" s="1304"/>
      <c r="AB161" s="240" t="s">
        <v>289</v>
      </c>
      <c r="AC161" s="328" t="s">
        <v>1291</v>
      </c>
      <c r="AD161" s="93" t="s">
        <v>1247</v>
      </c>
      <c r="AE161" s="2069"/>
      <c r="AF161" s="2069"/>
      <c r="AG161" s="2069"/>
      <c r="AH161" s="2069"/>
      <c r="AI161" s="2069"/>
      <c r="AJ161" s="2069"/>
      <c r="AK161" s="2069"/>
      <c r="AL161" s="2069"/>
      <c r="AM161" s="2069"/>
      <c r="AN161" s="2069"/>
      <c r="AO161" s="2069"/>
      <c r="AP161" s="2069"/>
      <c r="AQ161" s="2069"/>
      <c r="AR161" s="2069"/>
      <c r="AS161" s="2069"/>
      <c r="AT161" s="2069"/>
      <c r="AU161" s="2069"/>
      <c r="AV161" s="2069"/>
      <c r="AW161" s="2069"/>
      <c r="AX161" s="2069"/>
      <c r="AY161" s="2069"/>
      <c r="AZ161" s="2069"/>
      <c r="BA161" s="2069"/>
      <c r="BB161" s="2069"/>
      <c r="BC161" s="2070"/>
      <c r="BD161" s="1304"/>
      <c r="BE161" s="1304"/>
      <c r="BF161" s="1015" t="s">
        <v>1380</v>
      </c>
    </row>
    <row s="1834" customFormat="1" customHeight="1" ht="14.25" hidden="1">
      <c r="A162" s="1304"/>
      <c r="B162" s="1436"/>
      <c r="C162" s="1304"/>
      <c r="D162" s="1304"/>
      <c r="E162" s="632">
        <v>15</v>
      </c>
      <c r="F162" s="50" cm="1" t="str">
        <f t="array" ref="F162:F162">OFFSET(E162,-1,1)</f>
        <v>1</v>
      </c>
      <c r="G162" s="1304"/>
      <c r="H162" s="98" t="s">
        <v>1263</v>
      </c>
      <c r="I162" s="1304"/>
      <c r="J162" s="1304"/>
      <c r="K162" s="1304"/>
      <c r="L162" s="1304"/>
      <c r="M162" s="1304"/>
      <c r="N162" s="1304"/>
      <c r="O162" s="1304"/>
      <c r="P162" s="1442"/>
      <c r="Q162" s="1442"/>
      <c r="R162" s="1442"/>
      <c r="S162" s="1442"/>
      <c r="T162" s="465" cm="1" t="str">
        <f t="array" ref="T162:T162">T161</f>
        <v>false</v>
      </c>
      <c r="U162" s="1442"/>
      <c r="V162" s="1304"/>
      <c r="W162" s="1442"/>
      <c r="X162" s="1563"/>
      <c r="Y162" s="1545"/>
      <c r="Z162" s="1304"/>
      <c r="AA162" s="1304"/>
      <c r="AB162" s="240" t="s">
        <v>1264</v>
      </c>
      <c r="AC162" s="331" t="s">
        <v>1295</v>
      </c>
      <c r="AD162" s="93" t="s">
        <v>1170</v>
      </c>
      <c r="AE162" s="1940">
        <f>IF(AE157=0,0,AE161/AE157*100)</f>
        <v>0</v>
      </c>
      <c r="AF162" s="1940">
        <f>IF(AF157=0,0,AF161/AF157*100)</f>
        <v>0</v>
      </c>
      <c r="AG162" s="1940">
        <f>IF(AG157=0,0,AG161/AG157*100)</f>
        <v>0</v>
      </c>
      <c r="AH162" s="1940">
        <f>IF(AH157=0,0,AH161/AH157*100)</f>
        <v>0</v>
      </c>
      <c r="AI162" s="1940">
        <f>IF(AI157=0,0,AI161/AI157*100)</f>
        <v>0</v>
      </c>
      <c r="AJ162" s="1940">
        <f>IF(AJ157=0,0,AJ161/AJ157*100)</f>
        <v>0</v>
      </c>
      <c r="AK162" s="1940">
        <f>IF(AK157=0,0,AK161/AK157*100)</f>
        <v>0</v>
      </c>
      <c r="AL162" s="1940">
        <f>IF(AL157=0,0,AL161/AL157*100)</f>
        <v>0</v>
      </c>
      <c r="AM162" s="1940">
        <f>IF(AM157=0,0,AM161/AM157*100)</f>
        <v>0</v>
      </c>
      <c r="AN162" s="1940">
        <f>IF(AN157=0,0,AN161/AN157*100)</f>
        <v>0</v>
      </c>
      <c r="AO162" s="1940">
        <f>IF(AO157=0,0,AO161/AO157*100)</f>
        <v>0</v>
      </c>
      <c r="AP162" s="1940">
        <f>IF(AP157=0,0,AP161/AP157*100)</f>
        <v>0</v>
      </c>
      <c r="AQ162" s="1940">
        <f>IF(AQ157=0,0,AQ161/AQ157*100)</f>
        <v>0</v>
      </c>
      <c r="AR162" s="1940">
        <f>IF(AR157=0,0,AR161/AR157*100)</f>
        <v>0</v>
      </c>
      <c r="AS162" s="1940">
        <f>IF(AS157=0,0,AS161/AS157*100)</f>
        <v>0</v>
      </c>
      <c r="AT162" s="1940">
        <f>IF(AT157=0,0,AT161/AT157*100)</f>
        <v>0</v>
      </c>
      <c r="AU162" s="1940">
        <f>IF(AU157=0,0,AU161/AU157*100)</f>
        <v>0</v>
      </c>
      <c r="AV162" s="1940">
        <f>IF(AV157=0,0,AV161/AV157*100)</f>
        <v>0</v>
      </c>
      <c r="AW162" s="1940">
        <f>IF(AW157=0,0,AW161/AW157*100)</f>
        <v>0</v>
      </c>
      <c r="AX162" s="1940">
        <f>IF(AX157=0,0,AX161/AX157*100)</f>
        <v>0</v>
      </c>
      <c r="AY162" s="1940">
        <f>IF(AY157=0,0,AY161/AY157*100)</f>
        <v>0</v>
      </c>
      <c r="AZ162" s="1940">
        <f>IF(AZ157=0,0,AZ161/AZ157*100)</f>
        <v>0</v>
      </c>
      <c r="BA162" s="1940">
        <f>IF(BA157=0,0,BA161/BA157*100)</f>
        <v>0</v>
      </c>
      <c r="BB162" s="1940">
        <f>IF(BB157=0,0,BB161/BB157*100)</f>
        <v>0</v>
      </c>
      <c r="BC162" s="2117"/>
      <c r="BD162" s="1304"/>
      <c r="BE162" s="1304"/>
      <c r="BF162" s="1015" t="s">
        <v>1381</v>
      </c>
    </row>
    <row s="1834" customFormat="1" customHeight="1" ht="14.25" hidden="1">
      <c r="A163" s="1304"/>
      <c r="B163" s="1436"/>
      <c r="C163" s="1304"/>
      <c r="D163" s="1304"/>
      <c r="E163" s="632">
        <v>15</v>
      </c>
      <c r="F163" s="50" cm="1" t="str">
        <f t="array" ref="F163:F163">OFFSET(E163,-1,1)</f>
        <v>1</v>
      </c>
      <c r="G163" s="1304" t="str">
        <f>IF(OwnNeedsInPO="да","ПО","")</f>
        <v>ПО</v>
      </c>
      <c r="H163" s="98" t="s">
        <v>1225</v>
      </c>
      <c r="I163" s="1304"/>
      <c r="J163" s="1304"/>
      <c r="K163" s="1304"/>
      <c r="L163" s="1304"/>
      <c r="M163" s="1304"/>
      <c r="N163" s="1304"/>
      <c r="O163" s="1304"/>
      <c r="P163" s="1442"/>
      <c r="Q163" s="1442"/>
      <c r="R163" s="1442"/>
      <c r="S163" s="1442"/>
      <c r="T163" s="465" cm="1" t="str">
        <f t="array" ref="T163:T163">T162</f>
        <v>false</v>
      </c>
      <c r="U163" s="1442"/>
      <c r="V163" s="1304"/>
      <c r="W163" s="1442"/>
      <c r="X163" s="1563"/>
      <c r="Y163" s="1545"/>
      <c r="Z163" s="1304"/>
      <c r="AA163" s="1304"/>
      <c r="AB163" s="240" t="s">
        <v>295</v>
      </c>
      <c r="AC163" s="335" t="s">
        <v>1302</v>
      </c>
      <c r="AD163" s="93" t="s">
        <v>1247</v>
      </c>
      <c r="AE163" s="346">
        <f>AE164+AE165</f>
        <v>0</v>
      </c>
      <c r="AF163" s="346">
        <f>AF164+AF165</f>
        <v>0</v>
      </c>
      <c r="AG163" s="346">
        <f>AG164+AG165</f>
        <v>0</v>
      </c>
      <c r="AH163" s="346">
        <f>AH164+AH165</f>
        <v>0</v>
      </c>
      <c r="AI163" s="346">
        <f>AI164+AI165</f>
        <v>0</v>
      </c>
      <c r="AJ163" s="346">
        <f>AJ164+AJ165</f>
        <v>0</v>
      </c>
      <c r="AK163" s="346">
        <f>AK164+AK165</f>
        <v>0</v>
      </c>
      <c r="AL163" s="346">
        <f>AL164+AL165</f>
        <v>0</v>
      </c>
      <c r="AM163" s="346">
        <f>AM164+AM165</f>
        <v>0</v>
      </c>
      <c r="AN163" s="346">
        <f>AN164+AN165</f>
        <v>0</v>
      </c>
      <c r="AO163" s="346">
        <f>AO164+AO165</f>
        <v>0</v>
      </c>
      <c r="AP163" s="346">
        <f>AP164+AP165</f>
        <v>0</v>
      </c>
      <c r="AQ163" s="346">
        <f>AQ164+AQ165</f>
        <v>0</v>
      </c>
      <c r="AR163" s="346">
        <f>AR164+AR165</f>
        <v>0</v>
      </c>
      <c r="AS163" s="346">
        <f>AS164+AS165</f>
        <v>0</v>
      </c>
      <c r="AT163" s="346">
        <f>AT164+AT165</f>
        <v>0</v>
      </c>
      <c r="AU163" s="346">
        <f>AU164+AU165</f>
        <v>0</v>
      </c>
      <c r="AV163" s="346">
        <f>AV164+AV165</f>
        <v>0</v>
      </c>
      <c r="AW163" s="346">
        <f>AW164+AW165</f>
        <v>0</v>
      </c>
      <c r="AX163" s="346">
        <f>AX164+AX165</f>
        <v>0</v>
      </c>
      <c r="AY163" s="346">
        <f>AY164+AY165</f>
        <v>0</v>
      </c>
      <c r="AZ163" s="346">
        <f>AZ164+AZ165</f>
        <v>0</v>
      </c>
      <c r="BA163" s="346">
        <f>BA164+BA165</f>
        <v>0</v>
      </c>
      <c r="BB163" s="346">
        <f>BB164+BB165</f>
        <v>0</v>
      </c>
      <c r="BC163" s="2070"/>
      <c r="BD163" s="1304"/>
      <c r="BE163" s="1304"/>
      <c r="BF163" s="1015" t="s">
        <v>1382</v>
      </c>
    </row>
    <row s="1834" customFormat="1" customHeight="1" ht="14.25" hidden="1">
      <c r="A164" s="1304"/>
      <c r="B164" s="1436"/>
      <c r="C164" s="1304"/>
      <c r="D164" s="1304"/>
      <c r="E164" s="632">
        <v>15</v>
      </c>
      <c r="F164" s="50" cm="1" t="str">
        <f t="array" ref="F164:F164">OFFSET(E164,-1,1)</f>
        <v>1</v>
      </c>
      <c r="G164" s="1304"/>
      <c r="H164" s="98" t="s">
        <v>1383</v>
      </c>
      <c r="I164" s="1304"/>
      <c r="J164" s="1304"/>
      <c r="K164" s="1304"/>
      <c r="L164" s="1304"/>
      <c r="M164" s="1304"/>
      <c r="N164" s="1304"/>
      <c r="O164" s="1304"/>
      <c r="P164" s="1442"/>
      <c r="Q164" s="1442"/>
      <c r="R164" s="1442"/>
      <c r="S164" s="1442"/>
      <c r="T164" s="465" cm="1" t="str">
        <f t="array" ref="T164:T164">T163</f>
        <v>false</v>
      </c>
      <c r="U164" s="1442"/>
      <c r="V164" s="1304"/>
      <c r="W164" s="1442"/>
      <c r="X164" s="1563"/>
      <c r="Y164" s="1545"/>
      <c r="Z164" s="1304"/>
      <c r="AA164" s="1304"/>
      <c r="AB164" s="240" t="s">
        <v>1384</v>
      </c>
      <c r="AC164" s="336" t="s">
        <v>1306</v>
      </c>
      <c r="AD164" s="93" t="s">
        <v>1247</v>
      </c>
      <c r="AE164" s="2069"/>
      <c r="AF164" s="2069"/>
      <c r="AG164" s="2069"/>
      <c r="AH164" s="2069"/>
      <c r="AI164" s="2069"/>
      <c r="AJ164" s="2069"/>
      <c r="AK164" s="2069"/>
      <c r="AL164" s="2069"/>
      <c r="AM164" s="2069"/>
      <c r="AN164" s="2069"/>
      <c r="AO164" s="2069"/>
      <c r="AP164" s="2069"/>
      <c r="AQ164" s="2069"/>
      <c r="AR164" s="2069"/>
      <c r="AS164" s="2069"/>
      <c r="AT164" s="2069"/>
      <c r="AU164" s="2069"/>
      <c r="AV164" s="2069"/>
      <c r="AW164" s="2069"/>
      <c r="AX164" s="2069"/>
      <c r="AY164" s="2069"/>
      <c r="AZ164" s="2069"/>
      <c r="BA164" s="2069"/>
      <c r="BB164" s="2069"/>
      <c r="BC164" s="2070"/>
      <c r="BD164" s="1304"/>
      <c r="BE164" s="1304"/>
      <c r="BF164" s="1015" t="s">
        <v>1385</v>
      </c>
    </row>
    <row s="1834" customFormat="1" customHeight="1" ht="14.25" hidden="1">
      <c r="A165" s="1304"/>
      <c r="B165" s="1436"/>
      <c r="C165" s="1304"/>
      <c r="D165" s="1304"/>
      <c r="E165" s="632">
        <v>15</v>
      </c>
      <c r="F165" s="50" cm="1" t="str">
        <f t="array" ref="F165:F165">OFFSET(E165,-1,1)</f>
        <v>1</v>
      </c>
      <c r="G165" s="1304"/>
      <c r="H165" s="98" t="s">
        <v>1386</v>
      </c>
      <c r="I165" s="1304"/>
      <c r="J165" s="1304"/>
      <c r="K165" s="1304"/>
      <c r="L165" s="1304"/>
      <c r="M165" s="1304"/>
      <c r="N165" s="1304"/>
      <c r="O165" s="1304"/>
      <c r="P165" s="1442"/>
      <c r="Q165" s="1442"/>
      <c r="R165" s="1442"/>
      <c r="S165" s="1442"/>
      <c r="T165" s="465" cm="1" t="str">
        <f t="array" ref="T165:T165">T164</f>
        <v>false</v>
      </c>
      <c r="U165" s="1442"/>
      <c r="V165" s="1304"/>
      <c r="W165" s="1442"/>
      <c r="X165" s="1563"/>
      <c r="Y165" s="1545"/>
      <c r="Z165" s="1304"/>
      <c r="AA165" s="1304"/>
      <c r="AB165" s="240" t="s">
        <v>1387</v>
      </c>
      <c r="AC165" s="336" t="s">
        <v>1310</v>
      </c>
      <c r="AD165" s="93" t="s">
        <v>1247</v>
      </c>
      <c r="AE165" s="2069"/>
      <c r="AF165" s="2069"/>
      <c r="AG165" s="2069"/>
      <c r="AH165" s="2069"/>
      <c r="AI165" s="2069"/>
      <c r="AJ165" s="2069"/>
      <c r="AK165" s="2069"/>
      <c r="AL165" s="2069"/>
      <c r="AM165" s="2069"/>
      <c r="AN165" s="2069"/>
      <c r="AO165" s="2069"/>
      <c r="AP165" s="2069"/>
      <c r="AQ165" s="2069"/>
      <c r="AR165" s="2069"/>
      <c r="AS165" s="2069"/>
      <c r="AT165" s="2069"/>
      <c r="AU165" s="2069"/>
      <c r="AV165" s="2069"/>
      <c r="AW165" s="2069"/>
      <c r="AX165" s="2069"/>
      <c r="AY165" s="2069"/>
      <c r="AZ165" s="2069"/>
      <c r="BA165" s="2069"/>
      <c r="BB165" s="2069"/>
      <c r="BC165" s="2070"/>
      <c r="BD165" s="1304"/>
      <c r="BE165" s="1304"/>
      <c r="BF165" s="1015" t="s">
        <v>1388</v>
      </c>
    </row>
    <row s="1834" customFormat="1" customHeight="1" ht="14.25" hidden="1">
      <c r="A166" s="1304"/>
      <c r="B166" s="1436"/>
      <c r="C166" s="1304"/>
      <c r="D166" s="1304"/>
      <c r="E166" s="632">
        <v>15</v>
      </c>
      <c r="F166" s="50" cm="1" t="str">
        <f t="array" ref="F166:F166">OFFSET(E166,-1,1)</f>
        <v>1</v>
      </c>
      <c r="G166" s="98" t="s">
        <v>1316</v>
      </c>
      <c r="H166" s="98" t="s">
        <v>1228</v>
      </c>
      <c r="I166" s="1304"/>
      <c r="J166" s="1304"/>
      <c r="K166" s="1304"/>
      <c r="L166" s="1304"/>
      <c r="M166" s="1304"/>
      <c r="N166" s="1304"/>
      <c r="O166" s="1304"/>
      <c r="P166" s="1442"/>
      <c r="Q166" s="1442"/>
      <c r="R166" s="1442"/>
      <c r="S166" s="1442"/>
      <c r="T166" s="465" cm="1" t="str">
        <f t="array" ref="T166:T166">T165</f>
        <v>false</v>
      </c>
      <c r="U166" s="1442"/>
      <c r="V166" s="1304"/>
      <c r="W166" s="1442"/>
      <c r="X166" s="1563"/>
      <c r="Y166" s="1545"/>
      <c r="Z166" s="1304"/>
      <c r="AA166" s="1304"/>
      <c r="AB166" s="240" t="s">
        <v>443</v>
      </c>
      <c r="AC166" s="335" t="s">
        <v>1319</v>
      </c>
      <c r="AD166" s="93" t="s">
        <v>1247</v>
      </c>
      <c r="AE166" s="346">
        <f>AE167+AE168</f>
        <v>0</v>
      </c>
      <c r="AF166" s="346">
        <f>AF167+AF168</f>
        <v>0</v>
      </c>
      <c r="AG166" s="346">
        <f>AG167+AG168</f>
        <v>0</v>
      </c>
      <c r="AH166" s="346">
        <f>AH167+AH168</f>
        <v>0</v>
      </c>
      <c r="AI166" s="346">
        <f>AI167+AI168</f>
        <v>0</v>
      </c>
      <c r="AJ166" s="346">
        <f>AJ167+AJ168</f>
        <v>0</v>
      </c>
      <c r="AK166" s="346">
        <f>AK167+AK168</f>
        <v>0</v>
      </c>
      <c r="AL166" s="346">
        <f>AL167+AL168</f>
        <v>0</v>
      </c>
      <c r="AM166" s="346">
        <f>AM167+AM168</f>
        <v>0</v>
      </c>
      <c r="AN166" s="346">
        <f>AN167+AN168</f>
        <v>0</v>
      </c>
      <c r="AO166" s="346">
        <f>AO167+AO168</f>
        <v>0</v>
      </c>
      <c r="AP166" s="346">
        <f>AP167+AP168</f>
        <v>0</v>
      </c>
      <c r="AQ166" s="346">
        <f>AQ167+AQ168</f>
        <v>0</v>
      </c>
      <c r="AR166" s="346">
        <f>AR167+AR168</f>
        <v>0</v>
      </c>
      <c r="AS166" s="346">
        <f>AS167+AS168</f>
        <v>0</v>
      </c>
      <c r="AT166" s="346">
        <f>AT167+AT168</f>
        <v>0</v>
      </c>
      <c r="AU166" s="346">
        <f>AU167+AU168</f>
        <v>0</v>
      </c>
      <c r="AV166" s="346">
        <f>AV167+AV168</f>
        <v>0</v>
      </c>
      <c r="AW166" s="346">
        <f>AW167+AW168</f>
        <v>0</v>
      </c>
      <c r="AX166" s="346">
        <f>AX167+AX168</f>
        <v>0</v>
      </c>
      <c r="AY166" s="346">
        <f>AY167+AY168</f>
        <v>0</v>
      </c>
      <c r="AZ166" s="346">
        <f>AZ167+AZ168</f>
        <v>0</v>
      </c>
      <c r="BA166" s="346">
        <f>BA167+BA168</f>
        <v>0</v>
      </c>
      <c r="BB166" s="346">
        <f>BB167+BB168</f>
        <v>0</v>
      </c>
      <c r="BC166" s="2070"/>
      <c r="BD166" s="1304"/>
      <c r="BE166" s="1304"/>
      <c r="BF166" s="1015" t="s">
        <v>1389</v>
      </c>
    </row>
    <row s="1834" customFormat="1" customHeight="1" ht="14.25" hidden="1">
      <c r="A167" s="1304"/>
      <c r="B167" s="1436"/>
      <c r="C167" s="1304"/>
      <c r="D167" s="1304"/>
      <c r="E167" s="632">
        <v>15</v>
      </c>
      <c r="F167" s="50" cm="1" t="str">
        <f t="array" ref="F167:F167">OFFSET(E167,-1,1)</f>
        <v>1</v>
      </c>
      <c r="G167" s="1304"/>
      <c r="H167" s="98" t="s">
        <v>1390</v>
      </c>
      <c r="I167" s="1304"/>
      <c r="J167" s="1304"/>
      <c r="K167" s="1304"/>
      <c r="L167" s="1304"/>
      <c r="M167" s="1304"/>
      <c r="N167" s="1304"/>
      <c r="O167" s="1304"/>
      <c r="P167" s="1442"/>
      <c r="Q167" s="1442"/>
      <c r="R167" s="1442"/>
      <c r="S167" s="1442"/>
      <c r="T167" s="465" cm="1" t="str">
        <f t="array" ref="T167:T167">T166</f>
        <v>false</v>
      </c>
      <c r="U167" s="1442"/>
      <c r="V167" s="1304"/>
      <c r="W167" s="1442"/>
      <c r="X167" s="1563"/>
      <c r="Y167" s="1545"/>
      <c r="Z167" s="1304"/>
      <c r="AA167" s="1304"/>
      <c r="AB167" s="240" t="s">
        <v>1391</v>
      </c>
      <c r="AC167" s="336" t="s">
        <v>1323</v>
      </c>
      <c r="AD167" s="93" t="s">
        <v>1247</v>
      </c>
      <c r="AE167" s="2069"/>
      <c r="AF167" s="2069"/>
      <c r="AG167" s="2069"/>
      <c r="AH167" s="2069"/>
      <c r="AI167" s="2069"/>
      <c r="AJ167" s="2069"/>
      <c r="AK167" s="2069"/>
      <c r="AL167" s="2069"/>
      <c r="AM167" s="2069"/>
      <c r="AN167" s="2069"/>
      <c r="AO167" s="2069"/>
      <c r="AP167" s="2069"/>
      <c r="AQ167" s="2069"/>
      <c r="AR167" s="2069"/>
      <c r="AS167" s="2069"/>
      <c r="AT167" s="2069"/>
      <c r="AU167" s="2069"/>
      <c r="AV167" s="2069"/>
      <c r="AW167" s="2069"/>
      <c r="AX167" s="2069"/>
      <c r="AY167" s="2069"/>
      <c r="AZ167" s="2069"/>
      <c r="BA167" s="2069"/>
      <c r="BB167" s="2069"/>
      <c r="BC167" s="2070"/>
      <c r="BD167" s="1304"/>
      <c r="BE167" s="1304"/>
      <c r="BF167" s="1015" t="s">
        <v>1392</v>
      </c>
    </row>
    <row s="1834" customFormat="1" customHeight="1" ht="14.25" hidden="1">
      <c r="A168" s="1304"/>
      <c r="B168" s="1436"/>
      <c r="C168" s="1304"/>
      <c r="D168" s="1304"/>
      <c r="E168" s="632">
        <v>15</v>
      </c>
      <c r="F168" s="50" cm="1" t="str">
        <f t="array" ref="F168:F168">OFFSET(E168,-1,1)</f>
        <v>1</v>
      </c>
      <c r="G168" s="1304"/>
      <c r="H168" s="98" t="s">
        <v>1393</v>
      </c>
      <c r="I168" s="1304"/>
      <c r="J168" s="1304"/>
      <c r="K168" s="1304"/>
      <c r="L168" s="1304"/>
      <c r="M168" s="1304"/>
      <c r="N168" s="1304"/>
      <c r="O168" s="1304"/>
      <c r="P168" s="1442"/>
      <c r="Q168" s="1442"/>
      <c r="R168" s="1442"/>
      <c r="S168" s="1442"/>
      <c r="T168" s="465" cm="1" t="str">
        <f t="array" ref="T168:T168">T167</f>
        <v>false</v>
      </c>
      <c r="U168" s="1442"/>
      <c r="V168" s="1304"/>
      <c r="W168" s="1442"/>
      <c r="X168" s="1563"/>
      <c r="Y168" s="1545"/>
      <c r="Z168" s="1304"/>
      <c r="AA168" s="1304"/>
      <c r="AB168" s="240" t="s">
        <v>1394</v>
      </c>
      <c r="AC168" s="336" t="s">
        <v>1327</v>
      </c>
      <c r="AD168" s="93" t="s">
        <v>1247</v>
      </c>
      <c r="AE168" s="2069"/>
      <c r="AF168" s="2069"/>
      <c r="AG168" s="2069"/>
      <c r="AH168" s="2069"/>
      <c r="AI168" s="2069"/>
      <c r="AJ168" s="2069"/>
      <c r="AK168" s="2069"/>
      <c r="AL168" s="2069"/>
      <c r="AM168" s="2069"/>
      <c r="AN168" s="2069"/>
      <c r="AO168" s="2069"/>
      <c r="AP168" s="2069"/>
      <c r="AQ168" s="2069"/>
      <c r="AR168" s="2069"/>
      <c r="AS168" s="2069"/>
      <c r="AT168" s="2069"/>
      <c r="AU168" s="2069"/>
      <c r="AV168" s="2069"/>
      <c r="AW168" s="2069"/>
      <c r="AX168" s="2069"/>
      <c r="AY168" s="2069"/>
      <c r="AZ168" s="2069"/>
      <c r="BA168" s="2069"/>
      <c r="BB168" s="2069"/>
      <c r="BC168" s="2070"/>
      <c r="BD168" s="1304"/>
      <c r="BE168" s="1304"/>
      <c r="BF168" s="1015" t="s">
        <v>1395</v>
      </c>
    </row>
    <row s="1834" customFormat="1" customHeight="1" ht="21.75" hidden="1">
      <c r="A169" s="1304"/>
      <c r="B169" s="1436"/>
      <c r="C169" s="1304"/>
      <c r="D169" s="1304"/>
      <c r="E169" s="632">
        <v>22.5</v>
      </c>
      <c r="F169" s="50" cm="1" t="str">
        <f t="array" ref="F169:F169">OFFSET(E169,-1,1)</f>
        <v>1</v>
      </c>
      <c r="G169" s="1304"/>
      <c r="H169" s="98" t="s">
        <v>1275</v>
      </c>
      <c r="I169" s="469"/>
      <c r="J169" s="469"/>
      <c r="K169" s="1304"/>
      <c r="L169" s="1304"/>
      <c r="M169" s="1304"/>
      <c r="N169" s="1304"/>
      <c r="O169" s="1304"/>
      <c r="P169" s="1442"/>
      <c r="Q169" s="1442"/>
      <c r="R169" s="1442"/>
      <c r="S169" s="1442"/>
      <c r="T169" s="465" cm="1" t="str">
        <f t="array" ref="T169:T169">T168</f>
        <v>false</v>
      </c>
      <c r="U169" s="1442"/>
      <c r="V169" s="1304"/>
      <c r="W169" s="1442"/>
      <c r="X169" s="1563"/>
      <c r="Y169" s="1545"/>
      <c r="Z169" s="1304"/>
      <c r="AA169" s="1304"/>
      <c r="AB169" s="240" t="s">
        <v>446</v>
      </c>
      <c r="AC169" s="337" t="s">
        <v>1366</v>
      </c>
      <c r="AD169" s="93" t="s">
        <v>1247</v>
      </c>
      <c r="AE169" s="2069"/>
      <c r="AF169" s="2069"/>
      <c r="AG169" s="2069"/>
      <c r="AH169" s="2069"/>
      <c r="AI169" s="2069"/>
      <c r="AJ169" s="2069"/>
      <c r="AK169" s="2069"/>
      <c r="AL169" s="2069"/>
      <c r="AM169" s="2069"/>
      <c r="AN169" s="2069"/>
      <c r="AO169" s="2069"/>
      <c r="AP169" s="2069"/>
      <c r="AQ169" s="2069"/>
      <c r="AR169" s="2069"/>
      <c r="AS169" s="2069"/>
      <c r="AT169" s="2069"/>
      <c r="AU169" s="2069"/>
      <c r="AV169" s="2069"/>
      <c r="AW169" s="2069"/>
      <c r="AX169" s="2069"/>
      <c r="AY169" s="2069"/>
      <c r="AZ169" s="2069"/>
      <c r="BA169" s="2069"/>
      <c r="BB169" s="2069"/>
      <c r="BC169" s="2070"/>
      <c r="BD169" s="1304"/>
      <c r="BE169" s="1304"/>
      <c r="BF169" s="1015" t="s">
        <v>1396</v>
      </c>
    </row>
    <row s="1834" customFormat="1" customHeight="1" ht="14.25" hidden="1">
      <c r="A170" s="1304"/>
      <c r="B170" s="1436"/>
      <c r="C170" s="1304"/>
      <c r="D170" s="1304"/>
      <c r="E170" s="632">
        <v>15</v>
      </c>
      <c r="F170" s="349" cm="1" t="str">
        <f t="array" ref="F170:F170">OFFSET(E170,-1,1)</f>
        <v>1</v>
      </c>
      <c r="G170" s="1304"/>
      <c r="H170" s="1304"/>
      <c r="I170" s="1304"/>
      <c r="J170" s="1304"/>
      <c r="K170" s="1304"/>
      <c r="L170" s="1304"/>
      <c r="M170" s="1304"/>
      <c r="N170" s="1304"/>
      <c r="O170" s="1304"/>
      <c r="P170" s="1442"/>
      <c r="Q170" s="1442"/>
      <c r="R170" s="1442"/>
      <c r="S170" s="1442"/>
      <c r="T170" s="465" cm="1" t="str">
        <f t="array" ref="T170:T170">T169</f>
        <v>false</v>
      </c>
      <c r="U170" s="1442"/>
      <c r="V170" s="1304"/>
      <c r="W170" s="1442"/>
      <c r="X170" s="1563"/>
      <c r="Y170" s="1545"/>
      <c r="Z170" s="1304"/>
      <c r="AA170" s="1304"/>
      <c r="AB170" s="240" t="s">
        <v>1368</v>
      </c>
      <c r="AC170" s="334" t="s">
        <v>1369</v>
      </c>
      <c r="AD170" s="93" t="s">
        <v>1247</v>
      </c>
      <c r="AE170" s="2069"/>
      <c r="AF170" s="2069"/>
      <c r="AG170" s="2069"/>
      <c r="AH170" s="2069"/>
      <c r="AI170" s="2069"/>
      <c r="AJ170" s="2069"/>
      <c r="AK170" s="2069"/>
      <c r="AL170" s="2069"/>
      <c r="AM170" s="2069"/>
      <c r="AN170" s="2069"/>
      <c r="AO170" s="2069"/>
      <c r="AP170" s="2069"/>
      <c r="AQ170" s="2069"/>
      <c r="AR170" s="2069"/>
      <c r="AS170" s="2069"/>
      <c r="AT170" s="2069"/>
      <c r="AU170" s="2069"/>
      <c r="AV170" s="2069"/>
      <c r="AW170" s="2069"/>
      <c r="AX170" s="2069"/>
      <c r="AY170" s="2069"/>
      <c r="AZ170" s="2069"/>
      <c r="BA170" s="2069"/>
      <c r="BB170" s="2069"/>
      <c r="BC170" s="2070"/>
      <c r="BD170" s="1304"/>
      <c r="BE170" s="1304"/>
      <c r="BF170" s="1015" t="s">
        <v>1397</v>
      </c>
    </row>
    <row s="1834" customFormat="1" customHeight="1" ht="11.25" hidden="1">
      <c r="A171" s="469"/>
      <c r="B171" s="658"/>
      <c r="C171" s="469"/>
      <c r="D171" s="469"/>
      <c r="E171" s="660" t="s">
        <v>373</v>
      </c>
      <c r="F171" s="1175" cm="1" t="str">
        <f t="array" ref="F171:F171">OFFSET(E171,-1,1)</f>
        <v>1</v>
      </c>
      <c r="G171" s="469"/>
      <c r="H171" s="469"/>
      <c r="I171" s="1834"/>
      <c r="J171" s="1834"/>
      <c r="K171" s="98"/>
      <c r="L171" s="469"/>
      <c r="M171" s="469"/>
      <c r="N171" s="469"/>
      <c r="O171" s="469"/>
      <c r="P171" s="469"/>
      <c r="Q171" s="469"/>
      <c r="R171" s="416"/>
      <c r="S171" s="469"/>
      <c r="T171" s="465" t="b">
        <v>0</v>
      </c>
      <c r="U171" s="469"/>
      <c r="V171" s="469"/>
      <c r="W171" s="469"/>
      <c r="X171" s="1563"/>
      <c r="Y171" s="1545"/>
      <c r="Z171" s="469"/>
      <c r="AA171" s="469"/>
      <c r="AB171" s="1834"/>
      <c r="AC171" s="100"/>
      <c r="AD171" s="100"/>
      <c r="AE171" s="344"/>
      <c r="AF171" s="344"/>
      <c r="AG171" s="344"/>
      <c r="AH171" s="344"/>
      <c r="AI171" s="344"/>
      <c r="AJ171" s="345"/>
      <c r="AK171" s="344"/>
      <c r="AL171" s="344"/>
      <c r="AM171" s="344"/>
      <c r="AN171" s="344"/>
      <c r="AO171" s="344"/>
      <c r="AP171" s="344"/>
      <c r="AQ171" s="344"/>
      <c r="AR171" s="344"/>
      <c r="AS171" s="344"/>
      <c r="AT171" s="344"/>
      <c r="AU171" s="344"/>
      <c r="AV171" s="344"/>
      <c r="AW171" s="344"/>
      <c r="AX171" s="344"/>
      <c r="AY171" s="344"/>
      <c r="AZ171" s="344"/>
      <c r="BA171" s="344"/>
      <c r="BB171" s="344"/>
      <c r="BC171" s="1834"/>
      <c r="BD171" s="1834"/>
      <c r="BE171" s="1834"/>
      <c r="BF171" s="1019"/>
    </row>
    <row s="1834" customFormat="1" customHeight="1" ht="14.25" hidden="1">
      <c r="A172" s="1304"/>
      <c r="B172" s="1436"/>
      <c r="C172" s="1304"/>
      <c r="D172" s="1304"/>
      <c r="E172" s="632">
        <v>15</v>
      </c>
      <c r="F172" s="50" cm="1" t="str">
        <f t="array" ref="F172:F172">OFFSET(E172,-1,1)</f>
        <v>1</v>
      </c>
      <c r="G172" s="1304"/>
      <c r="H172" s="1304"/>
      <c r="I172" s="1304"/>
      <c r="J172" s="1304"/>
      <c r="K172" s="1304"/>
      <c r="L172" s="1304"/>
      <c r="M172" s="1304"/>
      <c r="N172" s="1304"/>
      <c r="O172" s="1304"/>
      <c r="P172" s="1442"/>
      <c r="Q172" s="1442"/>
      <c r="R172" s="416" cm="1" t="str">
        <f t="array" ref="R172:R172">INDEX('Общие сведения'!$AN$179:$AN$250,MATCH($X118,'Общие сведения'!$Z$179:$Z$250,0))</f>
        <v>false</v>
      </c>
      <c r="S172" s="482">
        <f>IF(ISERROR(SEARCH("Водоотведение",AB118)),FALSE,TRUE)</f>
        <v>0</v>
      </c>
      <c r="T172" s="465">
        <f>AND(X118&gt;0,S172,NOT(R172))</f>
        <v>0</v>
      </c>
      <c r="U172" s="1442"/>
      <c r="V172" s="1304"/>
      <c r="W172" s="1442"/>
      <c r="X172" s="1563"/>
      <c r="Y172" s="1545"/>
      <c r="Z172" s="1304"/>
      <c r="AA172" s="1304"/>
      <c r="AB172" s="240" t="s">
        <v>276</v>
      </c>
      <c r="AC172" s="137" t="s">
        <v>1398</v>
      </c>
      <c r="AD172" s="197"/>
      <c r="AE172" s="570" cm="1" t="str">
        <f t="array" ref="AE172:AE172">INDEX('Общие сведения'!$AH$179:$AH$250,MATCH($X118,'Общие сведения'!$Z$179:$Z$250,0))</f>
        <v>питьевая вода</v>
      </c>
      <c r="AF172" s="362"/>
      <c r="AG172" s="362"/>
      <c r="AH172" s="362"/>
      <c r="AI172" s="362"/>
      <c r="AJ172" s="362"/>
      <c r="AK172" s="362"/>
      <c r="AL172" s="362"/>
      <c r="AM172" s="362"/>
      <c r="AN172" s="362"/>
      <c r="AO172" s="362"/>
      <c r="AP172" s="362"/>
      <c r="AQ172" s="362"/>
      <c r="AR172" s="362"/>
      <c r="AS172" s="362"/>
      <c r="AT172" s="362"/>
      <c r="AU172" s="362"/>
      <c r="AV172" s="362"/>
      <c r="AW172" s="362"/>
      <c r="AX172" s="362"/>
      <c r="AY172" s="362"/>
      <c r="AZ172" s="362"/>
      <c r="BA172" s="362"/>
      <c r="BB172" s="363"/>
      <c r="BC172" s="2070"/>
      <c r="BD172" s="1304"/>
      <c r="BE172" s="1304"/>
      <c r="BF172" s="1015" t="s">
        <v>1399</v>
      </c>
    </row>
    <row s="1834" customFormat="1" customHeight="1" ht="14.25" hidden="1">
      <c r="A173" s="1304"/>
      <c r="B173" s="1436"/>
      <c r="C173" s="1304"/>
      <c r="D173" s="1304"/>
      <c r="E173" s="632">
        <v>15</v>
      </c>
      <c r="F173" s="50" cm="1" t="str">
        <f t="array" ref="F173:F173">OFFSET(E173,-1,1)</f>
        <v>1</v>
      </c>
      <c r="G173" s="1304"/>
      <c r="H173" s="98" t="s">
        <v>336</v>
      </c>
      <c r="I173" s="1304"/>
      <c r="J173" s="1304"/>
      <c r="K173" s="1304"/>
      <c r="L173" s="1304"/>
      <c r="M173" s="1304"/>
      <c r="N173" s="1304"/>
      <c r="O173" s="1304"/>
      <c r="P173" s="1442"/>
      <c r="Q173" s="1442"/>
      <c r="R173" s="1442"/>
      <c r="S173" s="1442"/>
      <c r="T173" s="465" cm="1" t="str">
        <f t="array" ref="T173:T173">T172</f>
        <v>false</v>
      </c>
      <c r="U173" s="1442"/>
      <c r="V173" s="1304"/>
      <c r="W173" s="1442"/>
      <c r="X173" s="1563"/>
      <c r="Y173" s="1545"/>
      <c r="Z173" s="1304"/>
      <c r="AA173" s="1304"/>
      <c r="AB173" s="240" t="s">
        <v>285</v>
      </c>
      <c r="AC173" s="137" t="s">
        <v>1400</v>
      </c>
      <c r="AD173" s="93" t="s">
        <v>1247</v>
      </c>
      <c r="AE173" s="347">
        <f>AE174+AE175+AE188</f>
        <v>0</v>
      </c>
      <c r="AF173" s="347">
        <f>AF174+AF175+AF188</f>
        <v>0</v>
      </c>
      <c r="AG173" s="347">
        <f>AG174+AG175+AG188</f>
        <v>0</v>
      </c>
      <c r="AH173" s="347">
        <f>AH174+AH175+AH188</f>
        <v>0</v>
      </c>
      <c r="AI173" s="347">
        <f>AI174+AI175+AI188</f>
        <v>0</v>
      </c>
      <c r="AJ173" s="347">
        <f>AJ174+AJ175+AJ188</f>
        <v>0</v>
      </c>
      <c r="AK173" s="347">
        <f>AK174+AK175+AK188</f>
        <v>0</v>
      </c>
      <c r="AL173" s="347">
        <f>AL174+AL175+AL188</f>
        <v>0</v>
      </c>
      <c r="AM173" s="347">
        <f>AM174+AM175+AM188</f>
        <v>0</v>
      </c>
      <c r="AN173" s="347">
        <f>AN174+AN175+AN188</f>
        <v>0</v>
      </c>
      <c r="AO173" s="347">
        <f>AO174+AO175+AO188</f>
        <v>0</v>
      </c>
      <c r="AP173" s="347">
        <f>AP174+AP175+AP188</f>
        <v>0</v>
      </c>
      <c r="AQ173" s="347">
        <f>AQ174+AQ175+AQ188</f>
        <v>0</v>
      </c>
      <c r="AR173" s="347">
        <f>AR174+AR175+AR188</f>
        <v>0</v>
      </c>
      <c r="AS173" s="347">
        <f>AS174+AS175+AS188</f>
        <v>0</v>
      </c>
      <c r="AT173" s="347">
        <f>AT174+AT175+AT188</f>
        <v>0</v>
      </c>
      <c r="AU173" s="347">
        <f>AU174+AU175+AU188</f>
        <v>0</v>
      </c>
      <c r="AV173" s="347">
        <f>AV174+AV175+AV188</f>
        <v>0</v>
      </c>
      <c r="AW173" s="347">
        <f>AW174+AW175+AW188</f>
        <v>0</v>
      </c>
      <c r="AX173" s="347">
        <f>AX174+AX175+AX188</f>
        <v>0</v>
      </c>
      <c r="AY173" s="347">
        <f>AY174+AY175+AY188</f>
        <v>0</v>
      </c>
      <c r="AZ173" s="347">
        <f>AZ174+AZ175+AZ188</f>
        <v>0</v>
      </c>
      <c r="BA173" s="347">
        <f>BA174+BA175+BA188</f>
        <v>0</v>
      </c>
      <c r="BB173" s="347">
        <f>BB174+BB175+BB188</f>
        <v>0</v>
      </c>
      <c r="BC173" s="2070"/>
      <c r="BD173" s="1304"/>
      <c r="BE173" s="1304"/>
      <c r="BF173" s="1015" t="s">
        <v>1401</v>
      </c>
    </row>
    <row s="1834" customFormat="1" customHeight="1" ht="14.25" hidden="1">
      <c r="A174" s="1304"/>
      <c r="B174" s="1436"/>
      <c r="C174" s="1304"/>
      <c r="D174" s="1304"/>
      <c r="E174" s="632">
        <v>15</v>
      </c>
      <c r="F174" s="50" cm="1" t="str">
        <f t="array" ref="F174:F174">OFFSET(E174,-1,1)</f>
        <v>1</v>
      </c>
      <c r="G174" s="98" t="str">
        <f>IF(OwnNeedsInPO="да","ПО","")</f>
        <v>ПО</v>
      </c>
      <c r="H174" s="98" t="s">
        <v>335</v>
      </c>
      <c r="I174" s="1304"/>
      <c r="J174" s="1304"/>
      <c r="K174" s="1304"/>
      <c r="L174" s="1304"/>
      <c r="M174" s="1304"/>
      <c r="N174" s="1304"/>
      <c r="O174" s="1304"/>
      <c r="P174" s="1442"/>
      <c r="Q174" s="1442"/>
      <c r="R174" s="1442"/>
      <c r="S174" s="1442"/>
      <c r="T174" s="465" cm="1" t="str">
        <f t="array" ref="T174:T174">T173</f>
        <v>false</v>
      </c>
      <c r="U174" s="1442"/>
      <c r="V174" s="1304"/>
      <c r="W174" s="1442"/>
      <c r="X174" s="1563"/>
      <c r="Y174" s="1545"/>
      <c r="Z174" s="1304"/>
      <c r="AA174" s="1304"/>
      <c r="AB174" s="240" t="s">
        <v>289</v>
      </c>
      <c r="AC174" s="137" t="s">
        <v>1402</v>
      </c>
      <c r="AD174" s="93" t="s">
        <v>1247</v>
      </c>
      <c r="AE174" s="2069"/>
      <c r="AF174" s="2069"/>
      <c r="AG174" s="2069"/>
      <c r="AH174" s="2069"/>
      <c r="AI174" s="2069"/>
      <c r="AJ174" s="2069"/>
      <c r="AK174" s="2069"/>
      <c r="AL174" s="2069"/>
      <c r="AM174" s="2069"/>
      <c r="AN174" s="2069"/>
      <c r="AO174" s="2069"/>
      <c r="AP174" s="2069"/>
      <c r="AQ174" s="2069"/>
      <c r="AR174" s="2069"/>
      <c r="AS174" s="2069"/>
      <c r="AT174" s="2069"/>
      <c r="AU174" s="2069"/>
      <c r="AV174" s="2069"/>
      <c r="AW174" s="2069"/>
      <c r="AX174" s="2069"/>
      <c r="AY174" s="2069"/>
      <c r="AZ174" s="2069"/>
      <c r="BA174" s="2069"/>
      <c r="BB174" s="2069"/>
      <c r="BC174" s="2070"/>
      <c r="BD174" s="1304"/>
      <c r="BE174" s="1304"/>
      <c r="BF174" s="1015" t="s">
        <v>1403</v>
      </c>
    </row>
    <row s="1834" customFormat="1" customHeight="1" ht="14.25" hidden="1">
      <c r="A175" s="1304"/>
      <c r="B175" s="1436"/>
      <c r="C175" s="1304"/>
      <c r="D175" s="1304"/>
      <c r="E175" s="632">
        <v>15</v>
      </c>
      <c r="F175" s="50" cm="1" t="str">
        <f t="array" ref="F175:F175">OFFSET(E175,-1,1)</f>
        <v>1</v>
      </c>
      <c r="G175" s="98" t="s">
        <v>1316</v>
      </c>
      <c r="H175" s="98" t="s">
        <v>1225</v>
      </c>
      <c r="I175" s="1304"/>
      <c r="J175" s="1304"/>
      <c r="K175" s="1304"/>
      <c r="L175" s="1304"/>
      <c r="M175" s="1304"/>
      <c r="N175" s="1304"/>
      <c r="O175" s="1304"/>
      <c r="P175" s="1442"/>
      <c r="Q175" s="1442"/>
      <c r="R175" s="1442"/>
      <c r="S175" s="1442"/>
      <c r="T175" s="465" cm="1" t="str">
        <f t="array" ref="T175:T175">T174</f>
        <v>false</v>
      </c>
      <c r="U175" s="1442"/>
      <c r="V175" s="1304"/>
      <c r="W175" s="1442"/>
      <c r="X175" s="1563"/>
      <c r="Y175" s="1545"/>
      <c r="Z175" s="1304"/>
      <c r="AA175" s="1304"/>
      <c r="AB175" s="240" t="s">
        <v>295</v>
      </c>
      <c r="AC175" s="138" t="s">
        <v>1404</v>
      </c>
      <c r="AD175" s="93" t="s">
        <v>1247</v>
      </c>
      <c r="AE175" s="346">
        <f>AE176+AE179+AE182+AE185</f>
        <v>0</v>
      </c>
      <c r="AF175" s="346">
        <f>AF176+AF179+AF182+AF185</f>
        <v>0</v>
      </c>
      <c r="AG175" s="346">
        <f>AG176+AG179+AG182+AG185</f>
        <v>0</v>
      </c>
      <c r="AH175" s="346">
        <f>AH176+AH179+AH182+AH185</f>
        <v>0</v>
      </c>
      <c r="AI175" s="346">
        <f>AI176+AI179+AI182+AI185</f>
        <v>0</v>
      </c>
      <c r="AJ175" s="346">
        <f>AJ176+AJ179+AJ182+AJ185</f>
        <v>0</v>
      </c>
      <c r="AK175" s="346">
        <f>AK176+AK179+AK182+AK185</f>
        <v>0</v>
      </c>
      <c r="AL175" s="346">
        <f>AL176+AL179+AL182+AL185</f>
        <v>0</v>
      </c>
      <c r="AM175" s="346">
        <f>AM176+AM179+AM182+AM185</f>
        <v>0</v>
      </c>
      <c r="AN175" s="346">
        <f>AN176+AN179+AN182+AN185</f>
        <v>0</v>
      </c>
      <c r="AO175" s="346">
        <f>AO176+AO179+AO182+AO185</f>
        <v>0</v>
      </c>
      <c r="AP175" s="346">
        <f>AP176+AP179+AP182+AP185</f>
        <v>0</v>
      </c>
      <c r="AQ175" s="346">
        <f>AQ176+AQ179+AQ182+AQ185</f>
        <v>0</v>
      </c>
      <c r="AR175" s="346">
        <f>AR176+AR179+AR182+AR185</f>
        <v>0</v>
      </c>
      <c r="AS175" s="346">
        <f>AS176+AS179+AS182+AS185</f>
        <v>0</v>
      </c>
      <c r="AT175" s="346">
        <f>AT176+AT179+AT182+AT185</f>
        <v>0</v>
      </c>
      <c r="AU175" s="346">
        <f>AU176+AU179+AU182+AU185</f>
        <v>0</v>
      </c>
      <c r="AV175" s="346">
        <f>AV176+AV179+AV182+AV185</f>
        <v>0</v>
      </c>
      <c r="AW175" s="346">
        <f>AW176+AW179+AW182+AW185</f>
        <v>0</v>
      </c>
      <c r="AX175" s="346">
        <f>AX176+AX179+AX182+AX185</f>
        <v>0</v>
      </c>
      <c r="AY175" s="346">
        <f>AY176+AY179+AY182+AY185</f>
        <v>0</v>
      </c>
      <c r="AZ175" s="346">
        <f>AZ176+AZ179+AZ182+AZ185</f>
        <v>0</v>
      </c>
      <c r="BA175" s="346">
        <f>BA176+BA179+BA182+BA185</f>
        <v>0</v>
      </c>
      <c r="BB175" s="346">
        <f>BB176+BB179+BB182+BB185</f>
        <v>0</v>
      </c>
      <c r="BC175" s="2070"/>
      <c r="BD175" s="1304"/>
      <c r="BE175" s="1304"/>
      <c r="BF175" s="1015" t="s">
        <v>1405</v>
      </c>
    </row>
    <row s="1834" customFormat="1" customHeight="1" ht="14.25" hidden="1">
      <c r="A176" s="1304"/>
      <c r="B176" s="1436"/>
      <c r="C176" s="1304"/>
      <c r="D176" s="1304"/>
      <c r="E176" s="632">
        <v>15</v>
      </c>
      <c r="F176" s="50" cm="1" t="str">
        <f t="array" ref="F176:F176">OFFSET(E176,-1,1)</f>
        <v>1</v>
      </c>
      <c r="G176" s="1304"/>
      <c r="H176" s="98" t="s">
        <v>1383</v>
      </c>
      <c r="I176" s="1304"/>
      <c r="J176" s="1304"/>
      <c r="K176" s="1304"/>
      <c r="L176" s="1304"/>
      <c r="M176" s="1304"/>
      <c r="N176" s="1304"/>
      <c r="O176" s="1304"/>
      <c r="P176" s="1442"/>
      <c r="Q176" s="1442"/>
      <c r="R176" s="1442"/>
      <c r="S176" s="1442"/>
      <c r="T176" s="465" cm="1" t="str">
        <f t="array" ref="T176:T176">T175</f>
        <v>false</v>
      </c>
      <c r="U176" s="1442"/>
      <c r="V176" s="1304"/>
      <c r="W176" s="1442"/>
      <c r="X176" s="1563"/>
      <c r="Y176" s="1545"/>
      <c r="Z176" s="1304"/>
      <c r="AA176" s="1304"/>
      <c r="AB176" s="240" t="s">
        <v>1384</v>
      </c>
      <c r="AC176" s="192" t="s">
        <v>1335</v>
      </c>
      <c r="AD176" s="93" t="s">
        <v>1247</v>
      </c>
      <c r="AE176" s="346">
        <f>AE177+AE178</f>
        <v>0</v>
      </c>
      <c r="AF176" s="346">
        <f>AF177+AF178</f>
        <v>0</v>
      </c>
      <c r="AG176" s="346">
        <f>AG177+AG178</f>
        <v>0</v>
      </c>
      <c r="AH176" s="346">
        <f>AH177+AH178</f>
        <v>0</v>
      </c>
      <c r="AI176" s="346">
        <f>AI177+AI178</f>
        <v>0</v>
      </c>
      <c r="AJ176" s="346">
        <f>AJ177+AJ178</f>
        <v>0</v>
      </c>
      <c r="AK176" s="346">
        <f>AK177+AK178</f>
        <v>0</v>
      </c>
      <c r="AL176" s="346">
        <f>AL177+AL178</f>
        <v>0</v>
      </c>
      <c r="AM176" s="346">
        <f>AM177+AM178</f>
        <v>0</v>
      </c>
      <c r="AN176" s="346">
        <f>AN177+AN178</f>
        <v>0</v>
      </c>
      <c r="AO176" s="346">
        <f>AO177+AO178</f>
        <v>0</v>
      </c>
      <c r="AP176" s="346">
        <f>AP177+AP178</f>
        <v>0</v>
      </c>
      <c r="AQ176" s="346">
        <f>AQ177+AQ178</f>
        <v>0</v>
      </c>
      <c r="AR176" s="346">
        <f>AR177+AR178</f>
        <v>0</v>
      </c>
      <c r="AS176" s="346">
        <f>AS177+AS178</f>
        <v>0</v>
      </c>
      <c r="AT176" s="346">
        <f>AT177+AT178</f>
        <v>0</v>
      </c>
      <c r="AU176" s="346">
        <f>AU177+AU178</f>
        <v>0</v>
      </c>
      <c r="AV176" s="346">
        <f>AV177+AV178</f>
        <v>0</v>
      </c>
      <c r="AW176" s="346">
        <f>AW177+AW178</f>
        <v>0</v>
      </c>
      <c r="AX176" s="346">
        <f>AX177+AX178</f>
        <v>0</v>
      </c>
      <c r="AY176" s="346">
        <f>AY177+AY178</f>
        <v>0</v>
      </c>
      <c r="AZ176" s="346">
        <f>AZ177+AZ178</f>
        <v>0</v>
      </c>
      <c r="BA176" s="346">
        <f>BA177+BA178</f>
        <v>0</v>
      </c>
      <c r="BB176" s="346">
        <f>BB177+BB178</f>
        <v>0</v>
      </c>
      <c r="BC176" s="2070"/>
      <c r="BD176" s="1304"/>
      <c r="BE176" s="1304"/>
      <c r="BF176" s="1015" t="s">
        <v>1406</v>
      </c>
    </row>
    <row s="1834" customFormat="1" customHeight="1" ht="14.25" hidden="1">
      <c r="A177" s="1304"/>
      <c r="B177" s="1436"/>
      <c r="C177" s="1304"/>
      <c r="D177" s="1304"/>
      <c r="E177" s="632">
        <v>15</v>
      </c>
      <c r="F177" s="50" cm="1" t="str">
        <f t="array" ref="F177:F177">OFFSET(E177,-1,1)</f>
        <v>1</v>
      </c>
      <c r="G177" s="1304"/>
      <c r="H177" s="98" t="s">
        <v>1407</v>
      </c>
      <c r="I177" s="1304"/>
      <c r="J177" s="1304"/>
      <c r="K177" s="1304"/>
      <c r="L177" s="1304"/>
      <c r="M177" s="1304"/>
      <c r="N177" s="1304"/>
      <c r="O177" s="1304"/>
      <c r="P177" s="1442"/>
      <c r="Q177" s="1442"/>
      <c r="R177" s="1442"/>
      <c r="S177" s="1442"/>
      <c r="T177" s="465" cm="1" t="str">
        <f t="array" ref="T177:T177">T176</f>
        <v>false</v>
      </c>
      <c r="U177" s="1442"/>
      <c r="V177" s="1304"/>
      <c r="W177" s="1442"/>
      <c r="X177" s="1563"/>
      <c r="Y177" s="1545"/>
      <c r="Z177" s="1304"/>
      <c r="AA177" s="1304"/>
      <c r="AB177" s="240" t="s">
        <v>1408</v>
      </c>
      <c r="AC177" s="338" t="s">
        <v>1323</v>
      </c>
      <c r="AD177" s="93" t="s">
        <v>1247</v>
      </c>
      <c r="AE177" s="2069"/>
      <c r="AF177" s="2069"/>
      <c r="AG177" s="2069"/>
      <c r="AH177" s="2069"/>
      <c r="AI177" s="2069"/>
      <c r="AJ177" s="2069"/>
      <c r="AK177" s="2069"/>
      <c r="AL177" s="2069"/>
      <c r="AM177" s="2069"/>
      <c r="AN177" s="2069"/>
      <c r="AO177" s="2069"/>
      <c r="AP177" s="2069"/>
      <c r="AQ177" s="2069"/>
      <c r="AR177" s="2069"/>
      <c r="AS177" s="2069"/>
      <c r="AT177" s="2069"/>
      <c r="AU177" s="2069"/>
      <c r="AV177" s="2069"/>
      <c r="AW177" s="2069"/>
      <c r="AX177" s="2069"/>
      <c r="AY177" s="2069"/>
      <c r="AZ177" s="2069"/>
      <c r="BA177" s="2069"/>
      <c r="BB177" s="2069"/>
      <c r="BC177" s="2070"/>
      <c r="BD177" s="1304"/>
      <c r="BE177" s="1304"/>
      <c r="BF177" s="1015" t="s">
        <v>1409</v>
      </c>
    </row>
    <row s="1834" customFormat="1" customHeight="1" ht="14.25" hidden="1">
      <c r="A178" s="1304"/>
      <c r="B178" s="1436"/>
      <c r="C178" s="1304"/>
      <c r="D178" s="1304"/>
      <c r="E178" s="632">
        <v>15</v>
      </c>
      <c r="F178" s="50" cm="1" t="str">
        <f t="array" ref="F178:F178">OFFSET(E178,-1,1)</f>
        <v>1</v>
      </c>
      <c r="G178" s="1304"/>
      <c r="H178" s="98" t="s">
        <v>1410</v>
      </c>
      <c r="I178" s="1304"/>
      <c r="J178" s="1304"/>
      <c r="K178" s="1304"/>
      <c r="L178" s="1304"/>
      <c r="M178" s="1304"/>
      <c r="N178" s="1304"/>
      <c r="O178" s="1304"/>
      <c r="P178" s="1442"/>
      <c r="Q178" s="1442"/>
      <c r="R178" s="1442"/>
      <c r="S178" s="1442"/>
      <c r="T178" s="465" cm="1" t="str">
        <f t="array" ref="T178:T178">T177</f>
        <v>false</v>
      </c>
      <c r="U178" s="1442"/>
      <c r="V178" s="1304"/>
      <c r="W178" s="1442"/>
      <c r="X178" s="1563"/>
      <c r="Y178" s="1545"/>
      <c r="Z178" s="1304"/>
      <c r="AA178" s="1304"/>
      <c r="AB178" s="240" t="s">
        <v>1411</v>
      </c>
      <c r="AC178" s="338" t="s">
        <v>1327</v>
      </c>
      <c r="AD178" s="93" t="s">
        <v>1247</v>
      </c>
      <c r="AE178" s="2069"/>
      <c r="AF178" s="2069"/>
      <c r="AG178" s="2069"/>
      <c r="AH178" s="2069"/>
      <c r="AI178" s="2069"/>
      <c r="AJ178" s="2069"/>
      <c r="AK178" s="2069"/>
      <c r="AL178" s="2069"/>
      <c r="AM178" s="2069"/>
      <c r="AN178" s="2069"/>
      <c r="AO178" s="2069"/>
      <c r="AP178" s="2069"/>
      <c r="AQ178" s="2069"/>
      <c r="AR178" s="2069"/>
      <c r="AS178" s="2069"/>
      <c r="AT178" s="2069"/>
      <c r="AU178" s="2069"/>
      <c r="AV178" s="2069"/>
      <c r="AW178" s="2069"/>
      <c r="AX178" s="2069"/>
      <c r="AY178" s="2069"/>
      <c r="AZ178" s="2069"/>
      <c r="BA178" s="2069"/>
      <c r="BB178" s="2069"/>
      <c r="BC178" s="2070"/>
      <c r="BD178" s="1304"/>
      <c r="BE178" s="1304"/>
      <c r="BF178" s="1015" t="s">
        <v>1412</v>
      </c>
    </row>
    <row s="1834" customFormat="1" customHeight="1" ht="14.25" hidden="1">
      <c r="A179" s="1304"/>
      <c r="B179" s="1436"/>
      <c r="C179" s="1304"/>
      <c r="D179" s="1304"/>
      <c r="E179" s="632">
        <v>15</v>
      </c>
      <c r="F179" s="50" cm="1" t="str">
        <f t="array" ref="F179:F179">OFFSET(E179,-1,1)</f>
        <v>1</v>
      </c>
      <c r="G179" s="98" t="s">
        <v>1343</v>
      </c>
      <c r="H179" s="98" t="s">
        <v>1386</v>
      </c>
      <c r="I179" s="1304"/>
      <c r="J179" s="1304"/>
      <c r="K179" s="1304"/>
      <c r="L179" s="1304"/>
      <c r="M179" s="1304"/>
      <c r="N179" s="1304"/>
      <c r="O179" s="1304"/>
      <c r="P179" s="1442"/>
      <c r="Q179" s="1442"/>
      <c r="R179" s="1442"/>
      <c r="S179" s="1442"/>
      <c r="T179" s="465" cm="1" t="str">
        <f t="array" ref="T179:T179">T178</f>
        <v>false</v>
      </c>
      <c r="U179" s="1442"/>
      <c r="V179" s="1304"/>
      <c r="W179" s="1442"/>
      <c r="X179" s="1563"/>
      <c r="Y179" s="1545"/>
      <c r="Z179" s="1304"/>
      <c r="AA179" s="1304"/>
      <c r="AB179" s="240" t="s">
        <v>1387</v>
      </c>
      <c r="AC179" s="192" t="s">
        <v>1346</v>
      </c>
      <c r="AD179" s="93" t="s">
        <v>1247</v>
      </c>
      <c r="AE179" s="346">
        <f>AE180+AE181</f>
        <v>0</v>
      </c>
      <c r="AF179" s="346">
        <f>AF180+AF181</f>
        <v>0</v>
      </c>
      <c r="AG179" s="346">
        <f>AG180+AG181</f>
        <v>0</v>
      </c>
      <c r="AH179" s="346">
        <f>AH180+AH181</f>
        <v>0</v>
      </c>
      <c r="AI179" s="346">
        <f>AI180+AI181</f>
        <v>0</v>
      </c>
      <c r="AJ179" s="346">
        <f>AJ180+AJ181</f>
        <v>0</v>
      </c>
      <c r="AK179" s="346">
        <f>AK180+AK181</f>
        <v>0</v>
      </c>
      <c r="AL179" s="346">
        <f>AL180+AL181</f>
        <v>0</v>
      </c>
      <c r="AM179" s="346">
        <f>AM180+AM181</f>
        <v>0</v>
      </c>
      <c r="AN179" s="346">
        <f>AN180+AN181</f>
        <v>0</v>
      </c>
      <c r="AO179" s="346">
        <f>AO180+AO181</f>
        <v>0</v>
      </c>
      <c r="AP179" s="346">
        <f>AP180+AP181</f>
        <v>0</v>
      </c>
      <c r="AQ179" s="346">
        <f>AQ180+AQ181</f>
        <v>0</v>
      </c>
      <c r="AR179" s="346">
        <f>AR180+AR181</f>
        <v>0</v>
      </c>
      <c r="AS179" s="346">
        <f>AS180+AS181</f>
        <v>0</v>
      </c>
      <c r="AT179" s="346">
        <f>AT180+AT181</f>
        <v>0</v>
      </c>
      <c r="AU179" s="346">
        <f>AU180+AU181</f>
        <v>0</v>
      </c>
      <c r="AV179" s="346">
        <f>AV180+AV181</f>
        <v>0</v>
      </c>
      <c r="AW179" s="346">
        <f>AW180+AW181</f>
        <v>0</v>
      </c>
      <c r="AX179" s="346">
        <f>AX180+AX181</f>
        <v>0</v>
      </c>
      <c r="AY179" s="346">
        <f>AY180+AY181</f>
        <v>0</v>
      </c>
      <c r="AZ179" s="346">
        <f>AZ180+AZ181</f>
        <v>0</v>
      </c>
      <c r="BA179" s="346">
        <f>BA180+BA181</f>
        <v>0</v>
      </c>
      <c r="BB179" s="346">
        <f>BB180+BB181</f>
        <v>0</v>
      </c>
      <c r="BC179" s="2070"/>
      <c r="BD179" s="1304"/>
      <c r="BE179" s="1304"/>
      <c r="BF179" s="1015" t="s">
        <v>1413</v>
      </c>
    </row>
    <row s="1834" customFormat="1" customHeight="1" ht="14.25" hidden="1">
      <c r="A180" s="1304"/>
      <c r="B180" s="1436"/>
      <c r="C180" s="1304"/>
      <c r="D180" s="1304"/>
      <c r="E180" s="632">
        <v>15</v>
      </c>
      <c r="F180" s="50" cm="1" t="str">
        <f t="array" ref="F180:F180">OFFSET(E180,-1,1)</f>
        <v>1</v>
      </c>
      <c r="G180" s="1304"/>
      <c r="H180" s="98" t="s">
        <v>1414</v>
      </c>
      <c r="I180" s="1304"/>
      <c r="J180" s="1304"/>
      <c r="K180" s="1304"/>
      <c r="L180" s="1304"/>
      <c r="M180" s="1304"/>
      <c r="N180" s="1304"/>
      <c r="O180" s="1304"/>
      <c r="P180" s="1442"/>
      <c r="Q180" s="1442"/>
      <c r="R180" s="1442"/>
      <c r="S180" s="1442"/>
      <c r="T180" s="465" cm="1" t="str">
        <f t="array" ref="T180:T180">T179</f>
        <v>false</v>
      </c>
      <c r="U180" s="1442"/>
      <c r="V180" s="1304"/>
      <c r="W180" s="1442"/>
      <c r="X180" s="1563"/>
      <c r="Y180" s="1545"/>
      <c r="Z180" s="1304"/>
      <c r="AA180" s="1304"/>
      <c r="AB180" s="240" t="s">
        <v>1415</v>
      </c>
      <c r="AC180" s="338" t="s">
        <v>1323</v>
      </c>
      <c r="AD180" s="93" t="s">
        <v>1247</v>
      </c>
      <c r="AE180" s="2069"/>
      <c r="AF180" s="2069"/>
      <c r="AG180" s="2069"/>
      <c r="AH180" s="2069"/>
      <c r="AI180" s="2069"/>
      <c r="AJ180" s="2069"/>
      <c r="AK180" s="2069"/>
      <c r="AL180" s="2069"/>
      <c r="AM180" s="2069"/>
      <c r="AN180" s="2069"/>
      <c r="AO180" s="2069"/>
      <c r="AP180" s="2069"/>
      <c r="AQ180" s="2069"/>
      <c r="AR180" s="2069"/>
      <c r="AS180" s="2069"/>
      <c r="AT180" s="2069"/>
      <c r="AU180" s="2069"/>
      <c r="AV180" s="2069"/>
      <c r="AW180" s="2069"/>
      <c r="AX180" s="2069"/>
      <c r="AY180" s="2069"/>
      <c r="AZ180" s="2069"/>
      <c r="BA180" s="2069"/>
      <c r="BB180" s="2069"/>
      <c r="BC180" s="2070"/>
      <c r="BD180" s="1304"/>
      <c r="BE180" s="1304"/>
      <c r="BF180" s="1015" t="s">
        <v>1416</v>
      </c>
    </row>
    <row s="1834" customFormat="1" customHeight="1" ht="14.25" hidden="1">
      <c r="A181" s="1304"/>
      <c r="B181" s="1436"/>
      <c r="C181" s="1304"/>
      <c r="D181" s="1304"/>
      <c r="E181" s="632">
        <v>15</v>
      </c>
      <c r="F181" s="50" cm="1" t="str">
        <f t="array" ref="F181:F181">OFFSET(E181,-1,1)</f>
        <v>1</v>
      </c>
      <c r="G181" s="1304"/>
      <c r="H181" s="98" t="s">
        <v>1417</v>
      </c>
      <c r="I181" s="1304"/>
      <c r="J181" s="1304"/>
      <c r="K181" s="1304"/>
      <c r="L181" s="1304"/>
      <c r="M181" s="1304"/>
      <c r="N181" s="1304"/>
      <c r="O181" s="1304"/>
      <c r="P181" s="1442"/>
      <c r="Q181" s="1442"/>
      <c r="R181" s="1442"/>
      <c r="S181" s="1442"/>
      <c r="T181" s="465" cm="1" t="str">
        <f t="array" ref="T181:T181">T180</f>
        <v>false</v>
      </c>
      <c r="U181" s="1442"/>
      <c r="V181" s="1304"/>
      <c r="W181" s="1442"/>
      <c r="X181" s="1563"/>
      <c r="Y181" s="1545"/>
      <c r="Z181" s="1304"/>
      <c r="AA181" s="1304"/>
      <c r="AB181" s="240" t="s">
        <v>1418</v>
      </c>
      <c r="AC181" s="338" t="s">
        <v>1327</v>
      </c>
      <c r="AD181" s="93" t="s">
        <v>1247</v>
      </c>
      <c r="AE181" s="2069"/>
      <c r="AF181" s="2069"/>
      <c r="AG181" s="2069"/>
      <c r="AH181" s="2069"/>
      <c r="AI181" s="2069"/>
      <c r="AJ181" s="2069"/>
      <c r="AK181" s="2069"/>
      <c r="AL181" s="2069"/>
      <c r="AM181" s="2069"/>
      <c r="AN181" s="2069"/>
      <c r="AO181" s="2069"/>
      <c r="AP181" s="2069"/>
      <c r="AQ181" s="2069"/>
      <c r="AR181" s="2069"/>
      <c r="AS181" s="2069"/>
      <c r="AT181" s="2069"/>
      <c r="AU181" s="2069"/>
      <c r="AV181" s="2069"/>
      <c r="AW181" s="2069"/>
      <c r="AX181" s="2069"/>
      <c r="AY181" s="2069"/>
      <c r="AZ181" s="2069"/>
      <c r="BA181" s="2069"/>
      <c r="BB181" s="2069"/>
      <c r="BC181" s="2070"/>
      <c r="BD181" s="1304"/>
      <c r="BE181" s="1304"/>
      <c r="BF181" s="1015" t="s">
        <v>1419</v>
      </c>
    </row>
    <row s="1834" customFormat="1" customHeight="1" ht="14.25" hidden="1">
      <c r="A182" s="1304"/>
      <c r="B182" s="1436"/>
      <c r="C182" s="1304"/>
      <c r="D182" s="1304"/>
      <c r="E182" s="632">
        <v>15</v>
      </c>
      <c r="F182" s="50" cm="1" t="str">
        <f t="array" ref="F182:F182">OFFSET(E182,-1,1)</f>
        <v>1</v>
      </c>
      <c r="G182" s="1304"/>
      <c r="H182" s="98" t="s">
        <v>1420</v>
      </c>
      <c r="I182" s="1304"/>
      <c r="J182" s="1304"/>
      <c r="K182" s="1304"/>
      <c r="L182" s="1304"/>
      <c r="M182" s="1304"/>
      <c r="N182" s="1304"/>
      <c r="O182" s="1304"/>
      <c r="P182" s="1442"/>
      <c r="Q182" s="1442"/>
      <c r="R182" s="1442"/>
      <c r="S182" s="1442"/>
      <c r="T182" s="465" cm="1" t="str">
        <f t="array" ref="T182:T182">T181</f>
        <v>false</v>
      </c>
      <c r="U182" s="1442"/>
      <c r="V182" s="1304"/>
      <c r="W182" s="1442"/>
      <c r="X182" s="1563"/>
      <c r="Y182" s="1545"/>
      <c r="Z182" s="1304"/>
      <c r="AA182" s="1304"/>
      <c r="AB182" s="240" t="s">
        <v>1421</v>
      </c>
      <c r="AC182" s="192" t="s">
        <v>1356</v>
      </c>
      <c r="AD182" s="93" t="s">
        <v>1247</v>
      </c>
      <c r="AE182" s="346">
        <f>AE183+AE184</f>
        <v>0</v>
      </c>
      <c r="AF182" s="346">
        <f>AF183+AF184</f>
        <v>0</v>
      </c>
      <c r="AG182" s="346">
        <f>AG183+AG184</f>
        <v>0</v>
      </c>
      <c r="AH182" s="346">
        <f>AH183+AH184</f>
        <v>0</v>
      </c>
      <c r="AI182" s="346">
        <f>AI183+AI184</f>
        <v>0</v>
      </c>
      <c r="AJ182" s="346">
        <f>AJ183+AJ184</f>
        <v>0</v>
      </c>
      <c r="AK182" s="346">
        <f>AK183+AK184</f>
        <v>0</v>
      </c>
      <c r="AL182" s="346">
        <f>AL183+AL184</f>
        <v>0</v>
      </c>
      <c r="AM182" s="346">
        <f>AM183+AM184</f>
        <v>0</v>
      </c>
      <c r="AN182" s="346">
        <f>AN183+AN184</f>
        <v>0</v>
      </c>
      <c r="AO182" s="346">
        <f>AO183+AO184</f>
        <v>0</v>
      </c>
      <c r="AP182" s="346">
        <f>AP183+AP184</f>
        <v>0</v>
      </c>
      <c r="AQ182" s="346">
        <f>AQ183+AQ184</f>
        <v>0</v>
      </c>
      <c r="AR182" s="346">
        <f>AR183+AR184</f>
        <v>0</v>
      </c>
      <c r="AS182" s="346">
        <f>AS183+AS184</f>
        <v>0</v>
      </c>
      <c r="AT182" s="346">
        <f>AT183+AT184</f>
        <v>0</v>
      </c>
      <c r="AU182" s="346">
        <f>AU183+AU184</f>
        <v>0</v>
      </c>
      <c r="AV182" s="346">
        <f>AV183+AV184</f>
        <v>0</v>
      </c>
      <c r="AW182" s="346">
        <f>AW183+AW184</f>
        <v>0</v>
      </c>
      <c r="AX182" s="346">
        <f>AX183+AX184</f>
        <v>0</v>
      </c>
      <c r="AY182" s="346">
        <f>AY183+AY184</f>
        <v>0</v>
      </c>
      <c r="AZ182" s="346">
        <f>AZ183+AZ184</f>
        <v>0</v>
      </c>
      <c r="BA182" s="346">
        <f>BA183+BA184</f>
        <v>0</v>
      </c>
      <c r="BB182" s="346">
        <f>BB183+BB184</f>
        <v>0</v>
      </c>
      <c r="BC182" s="2070"/>
      <c r="BD182" s="1304"/>
      <c r="BE182" s="1304"/>
      <c r="BF182" s="1015" t="s">
        <v>1422</v>
      </c>
    </row>
    <row s="1834" customFormat="1" customHeight="1" ht="14.25" hidden="1">
      <c r="A183" s="1304"/>
      <c r="B183" s="1436"/>
      <c r="C183" s="1304"/>
      <c r="D183" s="1304"/>
      <c r="E183" s="632">
        <v>15</v>
      </c>
      <c r="F183" s="50" cm="1" t="str">
        <f t="array" ref="F183:F183">OFFSET(E183,-1,1)</f>
        <v>1</v>
      </c>
      <c r="G183" s="1304"/>
      <c r="H183" s="98" t="s">
        <v>1423</v>
      </c>
      <c r="I183" s="1304"/>
      <c r="J183" s="1304"/>
      <c r="K183" s="1304"/>
      <c r="L183" s="1304"/>
      <c r="M183" s="1304"/>
      <c r="N183" s="1304"/>
      <c r="O183" s="1304"/>
      <c r="P183" s="1442"/>
      <c r="Q183" s="1442"/>
      <c r="R183" s="1442"/>
      <c r="S183" s="1442"/>
      <c r="T183" s="465" cm="1" t="str">
        <f t="array" ref="T183:T183">T182</f>
        <v>false</v>
      </c>
      <c r="U183" s="1442"/>
      <c r="V183" s="1304"/>
      <c r="W183" s="1442"/>
      <c r="X183" s="1563"/>
      <c r="Y183" s="1545"/>
      <c r="Z183" s="1304"/>
      <c r="AA183" s="1304"/>
      <c r="AB183" s="240" t="s">
        <v>1424</v>
      </c>
      <c r="AC183" s="338" t="s">
        <v>1323</v>
      </c>
      <c r="AD183" s="93" t="s">
        <v>1247</v>
      </c>
      <c r="AE183" s="2069"/>
      <c r="AF183" s="2069"/>
      <c r="AG183" s="2069"/>
      <c r="AH183" s="2069"/>
      <c r="AI183" s="2069"/>
      <c r="AJ183" s="2069"/>
      <c r="AK183" s="2069"/>
      <c r="AL183" s="2069"/>
      <c r="AM183" s="2069"/>
      <c r="AN183" s="2069"/>
      <c r="AO183" s="2069"/>
      <c r="AP183" s="2069"/>
      <c r="AQ183" s="2069"/>
      <c r="AR183" s="2069"/>
      <c r="AS183" s="2069"/>
      <c r="AT183" s="2069"/>
      <c r="AU183" s="2069"/>
      <c r="AV183" s="2069"/>
      <c r="AW183" s="2069"/>
      <c r="AX183" s="2069"/>
      <c r="AY183" s="2069"/>
      <c r="AZ183" s="2069"/>
      <c r="BA183" s="2069"/>
      <c r="BB183" s="2069"/>
      <c r="BC183" s="2070"/>
      <c r="BD183" s="1304"/>
      <c r="BE183" s="1304"/>
      <c r="BF183" s="1015" t="s">
        <v>1425</v>
      </c>
    </row>
    <row s="1834" customFormat="1" customHeight="1" ht="14.25" hidden="1">
      <c r="A184" s="1304"/>
      <c r="B184" s="1436"/>
      <c r="C184" s="1304"/>
      <c r="D184" s="1304"/>
      <c r="E184" s="632">
        <v>15</v>
      </c>
      <c r="F184" s="50" cm="1" t="str">
        <f t="array" ref="F184:F184">OFFSET(E184,-1,1)</f>
        <v>1</v>
      </c>
      <c r="G184" s="1304"/>
      <c r="H184" s="98" t="s">
        <v>1426</v>
      </c>
      <c r="I184" s="1304"/>
      <c r="J184" s="1304"/>
      <c r="K184" s="1304"/>
      <c r="L184" s="1304"/>
      <c r="M184" s="1304"/>
      <c r="N184" s="1304"/>
      <c r="O184" s="1304"/>
      <c r="P184" s="1442"/>
      <c r="Q184" s="1442"/>
      <c r="R184" s="1442"/>
      <c r="S184" s="1442"/>
      <c r="T184" s="465" cm="1" t="str">
        <f t="array" ref="T184:T184">T183</f>
        <v>false</v>
      </c>
      <c r="U184" s="1442"/>
      <c r="V184" s="1304"/>
      <c r="W184" s="1442"/>
      <c r="X184" s="1563"/>
      <c r="Y184" s="1545"/>
      <c r="Z184" s="1304"/>
      <c r="AA184" s="1304"/>
      <c r="AB184" s="240" t="s">
        <v>1427</v>
      </c>
      <c r="AC184" s="338" t="s">
        <v>1327</v>
      </c>
      <c r="AD184" s="93" t="s">
        <v>1247</v>
      </c>
      <c r="AE184" s="2069"/>
      <c r="AF184" s="2069"/>
      <c r="AG184" s="2069"/>
      <c r="AH184" s="2069"/>
      <c r="AI184" s="2069"/>
      <c r="AJ184" s="2069"/>
      <c r="AK184" s="2069"/>
      <c r="AL184" s="2069"/>
      <c r="AM184" s="2069"/>
      <c r="AN184" s="2069"/>
      <c r="AO184" s="2069"/>
      <c r="AP184" s="2069"/>
      <c r="AQ184" s="2069"/>
      <c r="AR184" s="2069"/>
      <c r="AS184" s="2069"/>
      <c r="AT184" s="2069"/>
      <c r="AU184" s="2069"/>
      <c r="AV184" s="2069"/>
      <c r="AW184" s="2069"/>
      <c r="AX184" s="2069"/>
      <c r="AY184" s="2069"/>
      <c r="AZ184" s="2069"/>
      <c r="BA184" s="2069"/>
      <c r="BB184" s="2069"/>
      <c r="BC184" s="2070"/>
      <c r="BD184" s="1304"/>
      <c r="BE184" s="1304"/>
      <c r="BF184" s="1015" t="s">
        <v>1428</v>
      </c>
    </row>
    <row s="1834" customFormat="1" customHeight="1" ht="14.25" hidden="1">
      <c r="A185" s="1304"/>
      <c r="B185" s="1436"/>
      <c r="C185" s="1304"/>
      <c r="D185" s="1304"/>
      <c r="E185" s="632">
        <v>15</v>
      </c>
      <c r="F185" s="50" cm="1" t="str">
        <f t="array" ref="F185:F185">OFFSET(E185,-1,1)</f>
        <v>1</v>
      </c>
      <c r="G185" s="1304"/>
      <c r="H185" s="98" t="s">
        <v>1429</v>
      </c>
      <c r="I185" s="1304"/>
      <c r="J185" s="1304"/>
      <c r="K185" s="1304"/>
      <c r="L185" s="1304"/>
      <c r="M185" s="1304"/>
      <c r="N185" s="1304"/>
      <c r="O185" s="1304"/>
      <c r="P185" s="1442"/>
      <c r="Q185" s="1442"/>
      <c r="R185" s="1442"/>
      <c r="S185" s="1442"/>
      <c r="T185" s="465" cm="1" t="str">
        <f t="array" ref="T185:T185">T184</f>
        <v>false</v>
      </c>
      <c r="U185" s="1442"/>
      <c r="V185" s="1304"/>
      <c r="W185" s="1442"/>
      <c r="X185" s="1563"/>
      <c r="Y185" s="1545"/>
      <c r="Z185" s="1304"/>
      <c r="AA185" s="1304"/>
      <c r="AB185" s="240" t="s">
        <v>1430</v>
      </c>
      <c r="AC185" s="192" t="s">
        <v>1431</v>
      </c>
      <c r="AD185" s="93" t="s">
        <v>1247</v>
      </c>
      <c r="AE185" s="346">
        <f>AE186+AE187</f>
        <v>0</v>
      </c>
      <c r="AF185" s="346">
        <f>AF186+AF187</f>
        <v>0</v>
      </c>
      <c r="AG185" s="346">
        <f>AG186+AG187</f>
        <v>0</v>
      </c>
      <c r="AH185" s="346">
        <f>AH186+AH187</f>
        <v>0</v>
      </c>
      <c r="AI185" s="346">
        <f>AI186+AI187</f>
        <v>0</v>
      </c>
      <c r="AJ185" s="346">
        <f>AJ186+AJ187</f>
        <v>0</v>
      </c>
      <c r="AK185" s="346">
        <f>AK186+AK187</f>
        <v>0</v>
      </c>
      <c r="AL185" s="346">
        <f>AL186+AL187</f>
        <v>0</v>
      </c>
      <c r="AM185" s="346">
        <f>AM186+AM187</f>
        <v>0</v>
      </c>
      <c r="AN185" s="346">
        <f>AN186+AN187</f>
        <v>0</v>
      </c>
      <c r="AO185" s="346">
        <f>AO186+AO187</f>
        <v>0</v>
      </c>
      <c r="AP185" s="346">
        <f>AP186+AP187</f>
        <v>0</v>
      </c>
      <c r="AQ185" s="346">
        <f>AQ186+AQ187</f>
        <v>0</v>
      </c>
      <c r="AR185" s="346">
        <f>AR186+AR187</f>
        <v>0</v>
      </c>
      <c r="AS185" s="346">
        <f>AS186+AS187</f>
        <v>0</v>
      </c>
      <c r="AT185" s="346">
        <f>AT186+AT187</f>
        <v>0</v>
      </c>
      <c r="AU185" s="346">
        <f>AU186+AU187</f>
        <v>0</v>
      </c>
      <c r="AV185" s="346">
        <f>AV186+AV187</f>
        <v>0</v>
      </c>
      <c r="AW185" s="346">
        <f>AW186+AW187</f>
        <v>0</v>
      </c>
      <c r="AX185" s="346">
        <f>AX186+AX187</f>
        <v>0</v>
      </c>
      <c r="AY185" s="346">
        <f>AY186+AY187</f>
        <v>0</v>
      </c>
      <c r="AZ185" s="346">
        <f>AZ186+AZ187</f>
        <v>0</v>
      </c>
      <c r="BA185" s="346">
        <f>BA186+BA187</f>
        <v>0</v>
      </c>
      <c r="BB185" s="346">
        <f>BB186+BB187</f>
        <v>0</v>
      </c>
      <c r="BC185" s="2070"/>
      <c r="BD185" s="1304"/>
      <c r="BE185" s="1304"/>
      <c r="BF185" s="1015" t="s">
        <v>1432</v>
      </c>
    </row>
    <row s="1834" customFormat="1" customHeight="1" ht="14.25" hidden="1">
      <c r="A186" s="1304"/>
      <c r="B186" s="1436"/>
      <c r="C186" s="1304"/>
      <c r="D186" s="1304"/>
      <c r="E186" s="632">
        <v>15</v>
      </c>
      <c r="F186" s="50" cm="1" t="str">
        <f t="array" ref="F186:F186">OFFSET(E186,-1,1)</f>
        <v>1</v>
      </c>
      <c r="G186" s="1304"/>
      <c r="H186" s="98" t="s">
        <v>1433</v>
      </c>
      <c r="I186" s="1304"/>
      <c r="J186" s="1304"/>
      <c r="K186" s="1304"/>
      <c r="L186" s="1304"/>
      <c r="M186" s="1304"/>
      <c r="N186" s="1304"/>
      <c r="O186" s="1304"/>
      <c r="P186" s="1442"/>
      <c r="Q186" s="1442"/>
      <c r="R186" s="1442"/>
      <c r="S186" s="1442"/>
      <c r="T186" s="465" cm="1" t="str">
        <f t="array" ref="T186:T186">T185</f>
        <v>false</v>
      </c>
      <c r="U186" s="1442"/>
      <c r="V186" s="1304"/>
      <c r="W186" s="1442"/>
      <c r="X186" s="1563"/>
      <c r="Y186" s="1545"/>
      <c r="Z186" s="1304"/>
      <c r="AA186" s="1304"/>
      <c r="AB186" s="240" t="s">
        <v>1434</v>
      </c>
      <c r="AC186" s="332" t="s">
        <v>1323</v>
      </c>
      <c r="AD186" s="93" t="s">
        <v>1247</v>
      </c>
      <c r="AE186" s="2069"/>
      <c r="AF186" s="2069"/>
      <c r="AG186" s="2069"/>
      <c r="AH186" s="2069"/>
      <c r="AI186" s="2069"/>
      <c r="AJ186" s="2069"/>
      <c r="AK186" s="2069"/>
      <c r="AL186" s="2069"/>
      <c r="AM186" s="2069"/>
      <c r="AN186" s="2069"/>
      <c r="AO186" s="2069"/>
      <c r="AP186" s="2069"/>
      <c r="AQ186" s="2069"/>
      <c r="AR186" s="2069"/>
      <c r="AS186" s="2069"/>
      <c r="AT186" s="2069"/>
      <c r="AU186" s="2069"/>
      <c r="AV186" s="2069"/>
      <c r="AW186" s="2069"/>
      <c r="AX186" s="2069"/>
      <c r="AY186" s="2069"/>
      <c r="AZ186" s="2069"/>
      <c r="BA186" s="2069"/>
      <c r="BB186" s="2069"/>
      <c r="BC186" s="2070"/>
      <c r="BD186" s="1304"/>
      <c r="BE186" s="1304"/>
      <c r="BF186" s="1015" t="s">
        <v>1435</v>
      </c>
    </row>
    <row s="1834" customFormat="1" customHeight="1" ht="14.25" hidden="1">
      <c r="A187" s="1304"/>
      <c r="B187" s="1436"/>
      <c r="C187" s="1304"/>
      <c r="D187" s="1304"/>
      <c r="E187" s="632">
        <v>15</v>
      </c>
      <c r="F187" s="50" cm="1" t="str">
        <f t="array" ref="F187:F187">OFFSET(E187,-1,1)</f>
        <v>1</v>
      </c>
      <c r="G187" s="1304"/>
      <c r="H187" s="98" t="s">
        <v>1436</v>
      </c>
      <c r="I187" s="1304"/>
      <c r="J187" s="1304"/>
      <c r="K187" s="1304"/>
      <c r="L187" s="1304"/>
      <c r="M187" s="1304"/>
      <c r="N187" s="1304"/>
      <c r="O187" s="1304"/>
      <c r="P187" s="1442"/>
      <c r="Q187" s="1442"/>
      <c r="R187" s="1442"/>
      <c r="S187" s="1442"/>
      <c r="T187" s="465" cm="1" t="str">
        <f t="array" ref="T187:T187">T186</f>
        <v>false</v>
      </c>
      <c r="U187" s="1442"/>
      <c r="V187" s="1304"/>
      <c r="W187" s="1442"/>
      <c r="X187" s="1563"/>
      <c r="Y187" s="1545"/>
      <c r="Z187" s="1304"/>
      <c r="AA187" s="1304"/>
      <c r="AB187" s="240" t="s">
        <v>1437</v>
      </c>
      <c r="AC187" s="332" t="s">
        <v>1327</v>
      </c>
      <c r="AD187" s="93" t="s">
        <v>1247</v>
      </c>
      <c r="AE187" s="2069"/>
      <c r="AF187" s="2069"/>
      <c r="AG187" s="2069"/>
      <c r="AH187" s="2069"/>
      <c r="AI187" s="2069"/>
      <c r="AJ187" s="2069"/>
      <c r="AK187" s="2069"/>
      <c r="AL187" s="2069"/>
      <c r="AM187" s="2069"/>
      <c r="AN187" s="2069"/>
      <c r="AO187" s="2069"/>
      <c r="AP187" s="2069"/>
      <c r="AQ187" s="2069"/>
      <c r="AR187" s="2069"/>
      <c r="AS187" s="2069"/>
      <c r="AT187" s="2069"/>
      <c r="AU187" s="2069"/>
      <c r="AV187" s="2069"/>
      <c r="AW187" s="2069"/>
      <c r="AX187" s="2069"/>
      <c r="AY187" s="2069"/>
      <c r="AZ187" s="2069"/>
      <c r="BA187" s="2069"/>
      <c r="BB187" s="2069"/>
      <c r="BC187" s="2070"/>
      <c r="BD187" s="1304"/>
      <c r="BE187" s="1304"/>
      <c r="BF187" s="1015" t="s">
        <v>1438</v>
      </c>
    </row>
    <row s="1834" customFormat="1" customHeight="1" ht="21.75" hidden="1">
      <c r="A188" s="1304"/>
      <c r="B188" s="1436"/>
      <c r="C188" s="1304"/>
      <c r="D188" s="1304"/>
      <c r="E188" s="632">
        <v>22.5</v>
      </c>
      <c r="F188" s="50" cm="1" t="str">
        <f t="array" ref="F188:F188">OFFSET(E188,-1,1)</f>
        <v>1</v>
      </c>
      <c r="G188" s="1304"/>
      <c r="H188" s="98" t="s">
        <v>1439</v>
      </c>
      <c r="I188" s="1304"/>
      <c r="J188" s="1304"/>
      <c r="K188" s="1304"/>
      <c r="L188" s="1304"/>
      <c r="M188" s="1304"/>
      <c r="N188" s="1304"/>
      <c r="O188" s="1304"/>
      <c r="P188" s="1442"/>
      <c r="Q188" s="1442"/>
      <c r="R188" s="1442"/>
      <c r="S188" s="1442"/>
      <c r="T188" s="465" cm="1" t="str">
        <f t="array" ref="T188:T188">T187</f>
        <v>false</v>
      </c>
      <c r="U188" s="1442"/>
      <c r="V188" s="1304"/>
      <c r="W188" s="1442"/>
      <c r="X188" s="1563"/>
      <c r="Y188" s="1545"/>
      <c r="Z188" s="1304"/>
      <c r="AA188" s="1304"/>
      <c r="AB188" s="240" t="s">
        <v>1440</v>
      </c>
      <c r="AC188" s="339" t="s">
        <v>1288</v>
      </c>
      <c r="AD188" s="93" t="s">
        <v>1247</v>
      </c>
      <c r="AE188" s="2069"/>
      <c r="AF188" s="2069"/>
      <c r="AG188" s="2069"/>
      <c r="AH188" s="2069"/>
      <c r="AI188" s="2069"/>
      <c r="AJ188" s="2069"/>
      <c r="AK188" s="2069"/>
      <c r="AL188" s="2069"/>
      <c r="AM188" s="2069"/>
      <c r="AN188" s="2069"/>
      <c r="AO188" s="2069"/>
      <c r="AP188" s="2069"/>
      <c r="AQ188" s="2069"/>
      <c r="AR188" s="2069"/>
      <c r="AS188" s="2069"/>
      <c r="AT188" s="2069"/>
      <c r="AU188" s="2069"/>
      <c r="AV188" s="2069"/>
      <c r="AW188" s="2069"/>
      <c r="AX188" s="2069"/>
      <c r="AY188" s="2069"/>
      <c r="AZ188" s="2069"/>
      <c r="BA188" s="2069"/>
      <c r="BB188" s="2069"/>
      <c r="BC188" s="2070"/>
      <c r="BD188" s="1304"/>
      <c r="BE188" s="1304"/>
      <c r="BF188" s="1015" t="s">
        <v>1441</v>
      </c>
    </row>
    <row s="1834" customFormat="1" customHeight="1" ht="14.25" hidden="1">
      <c r="A189" s="1304"/>
      <c r="B189" s="1436"/>
      <c r="C189" s="1304"/>
      <c r="D189" s="1304"/>
      <c r="E189" s="632">
        <v>15</v>
      </c>
      <c r="F189" s="50" cm="1" t="str">
        <f t="array" ref="F189:F189">OFFSET(E189,-1,1)</f>
        <v>1</v>
      </c>
      <c r="G189" s="1304"/>
      <c r="H189" s="98" t="s">
        <v>1228</v>
      </c>
      <c r="I189" s="1304"/>
      <c r="J189" s="1304"/>
      <c r="K189" s="1304"/>
      <c r="L189" s="1304"/>
      <c r="M189" s="1304"/>
      <c r="N189" s="1304"/>
      <c r="O189" s="1304"/>
      <c r="P189" s="1442"/>
      <c r="Q189" s="1442"/>
      <c r="R189" s="1442"/>
      <c r="S189" s="1442"/>
      <c r="T189" s="465" cm="1" t="str">
        <f t="array" ref="T189:T189">T188</f>
        <v>false</v>
      </c>
      <c r="U189" s="1442"/>
      <c r="V189" s="1304"/>
      <c r="W189" s="1442"/>
      <c r="X189" s="1563"/>
      <c r="Y189" s="1545"/>
      <c r="Z189" s="1304"/>
      <c r="AA189" s="1304"/>
      <c r="AB189" s="240" t="s">
        <v>443</v>
      </c>
      <c r="AC189" s="137" t="s">
        <v>1442</v>
      </c>
      <c r="AD189" s="93" t="s">
        <v>1247</v>
      </c>
      <c r="AE189" s="2069"/>
      <c r="AF189" s="2069"/>
      <c r="AG189" s="2069"/>
      <c r="AH189" s="2069"/>
      <c r="AI189" s="2069"/>
      <c r="AJ189" s="2069"/>
      <c r="AK189" s="2069"/>
      <c r="AL189" s="2069"/>
      <c r="AM189" s="2069"/>
      <c r="AN189" s="2069"/>
      <c r="AO189" s="2069"/>
      <c r="AP189" s="2069"/>
      <c r="AQ189" s="2069"/>
      <c r="AR189" s="2069"/>
      <c r="AS189" s="2069"/>
      <c r="AT189" s="2069"/>
      <c r="AU189" s="2069"/>
      <c r="AV189" s="2069"/>
      <c r="AW189" s="2069"/>
      <c r="AX189" s="2069"/>
      <c r="AY189" s="2069"/>
      <c r="AZ189" s="2069"/>
      <c r="BA189" s="2069"/>
      <c r="BB189" s="2069"/>
      <c r="BC189" s="2070"/>
      <c r="BD189" s="1304"/>
      <c r="BE189" s="1304"/>
      <c r="BF189" s="1015" t="s">
        <v>1443</v>
      </c>
    </row>
    <row s="1834" customFormat="1" customHeight="1" ht="14.25" hidden="1">
      <c r="A190" s="1304"/>
      <c r="B190" s="1436"/>
      <c r="C190" s="1304"/>
      <c r="D190" s="1304"/>
      <c r="E190" s="632">
        <v>15</v>
      </c>
      <c r="F190" s="50" cm="1" t="str">
        <f t="array" ref="F190:F190">OFFSET(E190,-1,1)</f>
        <v>1</v>
      </c>
      <c r="G190" s="1304"/>
      <c r="H190" s="98" t="s">
        <v>1275</v>
      </c>
      <c r="I190" s="1304"/>
      <c r="J190" s="1304"/>
      <c r="K190" s="1304"/>
      <c r="L190" s="1304"/>
      <c r="M190" s="1304"/>
      <c r="N190" s="1304"/>
      <c r="O190" s="1304"/>
      <c r="P190" s="1442"/>
      <c r="Q190" s="1442"/>
      <c r="R190" s="1442"/>
      <c r="S190" s="1442"/>
      <c r="T190" s="465" cm="1" t="str">
        <f t="array" ref="T190:T190">T189</f>
        <v>false</v>
      </c>
      <c r="U190" s="1442"/>
      <c r="V190" s="1304"/>
      <c r="W190" s="1442"/>
      <c r="X190" s="1563"/>
      <c r="Y190" s="1545"/>
      <c r="Z190" s="1304"/>
      <c r="AA190" s="1304"/>
      <c r="AB190" s="240" t="s">
        <v>446</v>
      </c>
      <c r="AC190" s="137" t="s">
        <v>1444</v>
      </c>
      <c r="AD190" s="93" t="s">
        <v>1247</v>
      </c>
      <c r="AE190" s="2069"/>
      <c r="AF190" s="2069"/>
      <c r="AG190" s="2069"/>
      <c r="AH190" s="2069"/>
      <c r="AI190" s="2069"/>
      <c r="AJ190" s="2069"/>
      <c r="AK190" s="2069"/>
      <c r="AL190" s="2069"/>
      <c r="AM190" s="2069"/>
      <c r="AN190" s="2069"/>
      <c r="AO190" s="2069"/>
      <c r="AP190" s="2069"/>
      <c r="AQ190" s="2069"/>
      <c r="AR190" s="2069"/>
      <c r="AS190" s="2069"/>
      <c r="AT190" s="2069"/>
      <c r="AU190" s="2069"/>
      <c r="AV190" s="2069"/>
      <c r="AW190" s="2069"/>
      <c r="AX190" s="2069"/>
      <c r="AY190" s="2069"/>
      <c r="AZ190" s="2069"/>
      <c r="BA190" s="2069"/>
      <c r="BB190" s="2069"/>
      <c r="BC190" s="2070"/>
      <c r="BD190" s="1304"/>
      <c r="BE190" s="1304"/>
      <c r="BF190" s="1015" t="s">
        <v>1445</v>
      </c>
    </row>
    <row s="1834" customFormat="1" customHeight="1" ht="14.25" hidden="1">
      <c r="A191" s="1304"/>
      <c r="B191" s="1436"/>
      <c r="C191" s="1304"/>
      <c r="D191" s="1304"/>
      <c r="E191" s="632">
        <v>15</v>
      </c>
      <c r="F191" s="50" cm="1" t="str">
        <f t="array" ref="F191:F191">OFFSET(E191,-1,1)</f>
        <v>1</v>
      </c>
      <c r="G191" s="1304"/>
      <c r="H191" s="98" t="s">
        <v>1290</v>
      </c>
      <c r="I191" s="1304"/>
      <c r="J191" s="1304"/>
      <c r="K191" s="1304"/>
      <c r="L191" s="1304"/>
      <c r="M191" s="1304"/>
      <c r="N191" s="1304"/>
      <c r="O191" s="1304"/>
      <c r="P191" s="1442"/>
      <c r="Q191" s="1442"/>
      <c r="R191" s="1442"/>
      <c r="S191" s="1442"/>
      <c r="T191" s="465" cm="1" t="str">
        <f t="array" ref="T191:T191">T190</f>
        <v>false</v>
      </c>
      <c r="U191" s="1442"/>
      <c r="V191" s="1304"/>
      <c r="W191" s="1442"/>
      <c r="X191" s="1563"/>
      <c r="Y191" s="1545"/>
      <c r="Z191" s="1304"/>
      <c r="AA191" s="1304"/>
      <c r="AB191" s="240" t="s">
        <v>449</v>
      </c>
      <c r="AC191" s="137" t="s">
        <v>1446</v>
      </c>
      <c r="AD191" s="93" t="s">
        <v>1247</v>
      </c>
      <c r="AE191" s="2069"/>
      <c r="AF191" s="2069"/>
      <c r="AG191" s="2069"/>
      <c r="AH191" s="2069"/>
      <c r="AI191" s="2069"/>
      <c r="AJ191" s="2069"/>
      <c r="AK191" s="2069"/>
      <c r="AL191" s="2069"/>
      <c r="AM191" s="2069"/>
      <c r="AN191" s="2069"/>
      <c r="AO191" s="2069"/>
      <c r="AP191" s="2069"/>
      <c r="AQ191" s="2069"/>
      <c r="AR191" s="2069"/>
      <c r="AS191" s="2069"/>
      <c r="AT191" s="2069"/>
      <c r="AU191" s="2069"/>
      <c r="AV191" s="2069"/>
      <c r="AW191" s="2069"/>
      <c r="AX191" s="2069"/>
      <c r="AY191" s="2069"/>
      <c r="AZ191" s="2069"/>
      <c r="BA191" s="2069"/>
      <c r="BB191" s="2069"/>
      <c r="BC191" s="2070"/>
      <c r="BD191" s="1304"/>
      <c r="BE191" s="1304"/>
      <c r="BF191" s="1015" t="s">
        <v>1447</v>
      </c>
    </row>
    <row s="1834" customFormat="1" customHeight="1" ht="14.25" hidden="1">
      <c r="A192" s="1304"/>
      <c r="B192" s="1436"/>
      <c r="C192" s="1304"/>
      <c r="D192" s="1304"/>
      <c r="E192" s="632">
        <v>15</v>
      </c>
      <c r="F192" s="50" cm="1" t="str">
        <f t="array" ref="F192:F192">OFFSET(E192,-1,1)</f>
        <v>1</v>
      </c>
      <c r="G192" s="1304"/>
      <c r="H192" s="98" t="s">
        <v>1297</v>
      </c>
      <c r="I192" s="1304"/>
      <c r="J192" s="1304"/>
      <c r="K192" s="1304"/>
      <c r="L192" s="1304"/>
      <c r="M192" s="1304"/>
      <c r="N192" s="1304"/>
      <c r="O192" s="1304"/>
      <c r="P192" s="1442"/>
      <c r="Q192" s="1442"/>
      <c r="R192" s="1442"/>
      <c r="S192" s="1442"/>
      <c r="T192" s="465" cm="1" t="str">
        <f t="array" ref="T192:T192">T191</f>
        <v>false</v>
      </c>
      <c r="U192" s="1442"/>
      <c r="V192" s="1304"/>
      <c r="W192" s="1442"/>
      <c r="X192" s="1563"/>
      <c r="Y192" s="1545"/>
      <c r="Z192" s="1304"/>
      <c r="AA192" s="1304"/>
      <c r="AB192" s="240" t="s">
        <v>452</v>
      </c>
      <c r="AC192" s="138" t="s">
        <v>1448</v>
      </c>
      <c r="AD192" s="93" t="s">
        <v>1247</v>
      </c>
      <c r="AE192" s="346">
        <f>AE193+AE194</f>
        <v>0</v>
      </c>
      <c r="AF192" s="346">
        <f>AF193+AF194</f>
        <v>0</v>
      </c>
      <c r="AG192" s="346">
        <f>AG193+AG194</f>
        <v>0</v>
      </c>
      <c r="AH192" s="346">
        <f>AH193+AH194</f>
        <v>0</v>
      </c>
      <c r="AI192" s="346">
        <f>AI193+AI194</f>
        <v>0</v>
      </c>
      <c r="AJ192" s="346">
        <f>AJ193+AJ194</f>
        <v>0</v>
      </c>
      <c r="AK192" s="346">
        <f>AK193+AK194</f>
        <v>0</v>
      </c>
      <c r="AL192" s="346">
        <f>AL193+AL194</f>
        <v>0</v>
      </c>
      <c r="AM192" s="346">
        <f>AM193+AM194</f>
        <v>0</v>
      </c>
      <c r="AN192" s="346">
        <f>AN193+AN194</f>
        <v>0</v>
      </c>
      <c r="AO192" s="346">
        <f>AO193+AO194</f>
        <v>0</v>
      </c>
      <c r="AP192" s="346">
        <f>AP193+AP194</f>
        <v>0</v>
      </c>
      <c r="AQ192" s="346">
        <f>AQ193+AQ194</f>
        <v>0</v>
      </c>
      <c r="AR192" s="346">
        <f>AR193+AR194</f>
        <v>0</v>
      </c>
      <c r="AS192" s="346">
        <f>AS193+AS194</f>
        <v>0</v>
      </c>
      <c r="AT192" s="346">
        <f>AT193+AT194</f>
        <v>0</v>
      </c>
      <c r="AU192" s="346">
        <f>AU193+AU194</f>
        <v>0</v>
      </c>
      <c r="AV192" s="346">
        <f>AV193+AV194</f>
        <v>0</v>
      </c>
      <c r="AW192" s="346">
        <f>AW193+AW194</f>
        <v>0</v>
      </c>
      <c r="AX192" s="346">
        <f>AX193+AX194</f>
        <v>0</v>
      </c>
      <c r="AY192" s="346">
        <f>AY193+AY194</f>
        <v>0</v>
      </c>
      <c r="AZ192" s="346">
        <f>AZ193+AZ194</f>
        <v>0</v>
      </c>
      <c r="BA192" s="346">
        <f>BA193+BA194</f>
        <v>0</v>
      </c>
      <c r="BB192" s="346">
        <f>BB193+BB194</f>
        <v>0</v>
      </c>
      <c r="BC192" s="2070"/>
      <c r="BD192" s="1304"/>
      <c r="BE192" s="1304"/>
      <c r="BF192" s="1015" t="s">
        <v>1449</v>
      </c>
    </row>
    <row s="1834" customFormat="1" customHeight="1" ht="14.25" hidden="1">
      <c r="A193" s="1304"/>
      <c r="B193" s="1436"/>
      <c r="C193" s="1304"/>
      <c r="D193" s="1304"/>
      <c r="E193" s="632">
        <v>15</v>
      </c>
      <c r="F193" s="50" cm="1" t="str">
        <f t="array" ref="F193:F193">OFFSET(E193,-1,1)</f>
        <v>1</v>
      </c>
      <c r="G193" s="1304"/>
      <c r="H193" s="98" t="s">
        <v>1300</v>
      </c>
      <c r="I193" s="1304"/>
      <c r="J193" s="1304"/>
      <c r="K193" s="1304"/>
      <c r="L193" s="1304"/>
      <c r="M193" s="1304"/>
      <c r="N193" s="1304"/>
      <c r="O193" s="1304"/>
      <c r="P193" s="1442"/>
      <c r="Q193" s="1442"/>
      <c r="R193" s="1442"/>
      <c r="S193" s="1442"/>
      <c r="T193" s="465" cm="1" t="str">
        <f t="array" ref="T193:T193">T192</f>
        <v>false</v>
      </c>
      <c r="U193" s="1442"/>
      <c r="V193" s="1304"/>
      <c r="W193" s="1442"/>
      <c r="X193" s="1563"/>
      <c r="Y193" s="1545"/>
      <c r="Z193" s="1304"/>
      <c r="AA193" s="1304"/>
      <c r="AB193" s="240" t="s">
        <v>1301</v>
      </c>
      <c r="AC193" s="192" t="s">
        <v>1450</v>
      </c>
      <c r="AD193" s="93" t="s">
        <v>1247</v>
      </c>
      <c r="AE193" s="2069"/>
      <c r="AF193" s="2069"/>
      <c r="AG193" s="2069"/>
      <c r="AH193" s="2069"/>
      <c r="AI193" s="2069"/>
      <c r="AJ193" s="2069"/>
      <c r="AK193" s="2069"/>
      <c r="AL193" s="2069"/>
      <c r="AM193" s="2069"/>
      <c r="AN193" s="2069"/>
      <c r="AO193" s="2069"/>
      <c r="AP193" s="2069"/>
      <c r="AQ193" s="2069"/>
      <c r="AR193" s="2069"/>
      <c r="AS193" s="2069"/>
      <c r="AT193" s="2069"/>
      <c r="AU193" s="2069"/>
      <c r="AV193" s="2069"/>
      <c r="AW193" s="2069"/>
      <c r="AX193" s="2069"/>
      <c r="AY193" s="2069"/>
      <c r="AZ193" s="2069"/>
      <c r="BA193" s="2069"/>
      <c r="BB193" s="2069"/>
      <c r="BC193" s="2070"/>
      <c r="BD193" s="1304"/>
      <c r="BE193" s="1304"/>
      <c r="BF193" s="1015" t="s">
        <v>1451</v>
      </c>
    </row>
    <row s="1834" customFormat="1" customHeight="1" ht="14.25" hidden="1">
      <c r="A194" s="1304"/>
      <c r="B194" s="1436"/>
      <c r="C194" s="1304"/>
      <c r="D194" s="1304"/>
      <c r="E194" s="632">
        <v>15</v>
      </c>
      <c r="F194" s="50" cm="1" t="str">
        <f t="array" ref="F194:F194">OFFSET(E194,-1,1)</f>
        <v>1</v>
      </c>
      <c r="G194" s="1304"/>
      <c r="H194" s="98" t="s">
        <v>1317</v>
      </c>
      <c r="I194" s="1304"/>
      <c r="J194" s="1304"/>
      <c r="K194" s="1304"/>
      <c r="L194" s="1304"/>
      <c r="M194" s="1304"/>
      <c r="N194" s="1304"/>
      <c r="O194" s="1304"/>
      <c r="P194" s="1442"/>
      <c r="Q194" s="1442"/>
      <c r="R194" s="1442"/>
      <c r="S194" s="1442"/>
      <c r="T194" s="465" cm="1" t="str">
        <f t="array" ref="T194:T194">T193</f>
        <v>false</v>
      </c>
      <c r="U194" s="1442"/>
      <c r="V194" s="1304"/>
      <c r="W194" s="1442"/>
      <c r="X194" s="1563"/>
      <c r="Y194" s="1545"/>
      <c r="Z194" s="1304"/>
      <c r="AA194" s="1304"/>
      <c r="AB194" s="240" t="s">
        <v>1318</v>
      </c>
      <c r="AC194" s="192" t="s">
        <v>1452</v>
      </c>
      <c r="AD194" s="93" t="s">
        <v>1247</v>
      </c>
      <c r="AE194" s="2069"/>
      <c r="AF194" s="2069"/>
      <c r="AG194" s="2069"/>
      <c r="AH194" s="2069"/>
      <c r="AI194" s="2069"/>
      <c r="AJ194" s="2069"/>
      <c r="AK194" s="2069"/>
      <c r="AL194" s="2069"/>
      <c r="AM194" s="2069"/>
      <c r="AN194" s="2069"/>
      <c r="AO194" s="2069"/>
      <c r="AP194" s="2069"/>
      <c r="AQ194" s="2069"/>
      <c r="AR194" s="2069"/>
      <c r="AS194" s="2069"/>
      <c r="AT194" s="2069"/>
      <c r="AU194" s="2069"/>
      <c r="AV194" s="2069"/>
      <c r="AW194" s="2069"/>
      <c r="AX194" s="2069"/>
      <c r="AY194" s="2069"/>
      <c r="AZ194" s="2069"/>
      <c r="BA194" s="2069"/>
      <c r="BB194" s="2069"/>
      <c r="BC194" s="2070"/>
      <c r="BD194" s="1304"/>
      <c r="BE194" s="1304"/>
      <c r="BF194" s="1015" t="s">
        <v>1453</v>
      </c>
    </row>
    <row s="1834" customFormat="1" customHeight="1" ht="21.75" hidden="1">
      <c r="A195" s="1304"/>
      <c r="B195" s="1436"/>
      <c r="C195" s="1304"/>
      <c r="D195" s="1304"/>
      <c r="E195" s="632">
        <v>22.5</v>
      </c>
      <c r="F195" s="50" cm="1" t="str">
        <f t="array" ref="F195:F195">OFFSET(E195,-1,1)</f>
        <v>1</v>
      </c>
      <c r="G195" s="1304"/>
      <c r="H195" s="98" t="s">
        <v>1454</v>
      </c>
      <c r="I195" s="1304"/>
      <c r="J195" s="1304"/>
      <c r="K195" s="1304"/>
      <c r="L195" s="1304"/>
      <c r="M195" s="1304"/>
      <c r="N195" s="1304"/>
      <c r="O195" s="1304"/>
      <c r="P195" s="1442"/>
      <c r="Q195" s="1442"/>
      <c r="R195" s="1442"/>
      <c r="S195" s="1442"/>
      <c r="T195" s="465" cm="1" t="str">
        <f t="array" ref="T195:T195">T194</f>
        <v>false</v>
      </c>
      <c r="U195" s="1442"/>
      <c r="V195" s="1304"/>
      <c r="W195" s="1442"/>
      <c r="X195" s="1563"/>
      <c r="Y195" s="1545"/>
      <c r="Z195" s="1304"/>
      <c r="AA195" s="1304"/>
      <c r="AB195" s="240" t="s">
        <v>455</v>
      </c>
      <c r="AC195" s="340" t="s">
        <v>1366</v>
      </c>
      <c r="AD195" s="93" t="s">
        <v>1247</v>
      </c>
      <c r="AE195" s="2069"/>
      <c r="AF195" s="2069"/>
      <c r="AG195" s="2069"/>
      <c r="AH195" s="2069"/>
      <c r="AI195" s="2069"/>
      <c r="AJ195" s="2069"/>
      <c r="AK195" s="2069"/>
      <c r="AL195" s="2069"/>
      <c r="AM195" s="2069"/>
      <c r="AN195" s="2069"/>
      <c r="AO195" s="2069"/>
      <c r="AP195" s="2069"/>
      <c r="AQ195" s="2069"/>
      <c r="AR195" s="2069"/>
      <c r="AS195" s="2069"/>
      <c r="AT195" s="2069"/>
      <c r="AU195" s="2069"/>
      <c r="AV195" s="2069"/>
      <c r="AW195" s="2069"/>
      <c r="AX195" s="2069"/>
      <c r="AY195" s="2069"/>
      <c r="AZ195" s="2069"/>
      <c r="BA195" s="2069"/>
      <c r="BB195" s="2069"/>
      <c r="BC195" s="2070"/>
      <c r="BD195" s="1304"/>
      <c r="BE195" s="1304"/>
      <c r="BF195" s="1015" t="s">
        <v>1455</v>
      </c>
    </row>
    <row s="1834" customFormat="1" customHeight="1" ht="14.25" hidden="1">
      <c r="A196" s="1304"/>
      <c r="B196" s="1436"/>
      <c r="C196" s="1304"/>
      <c r="D196" s="1304"/>
      <c r="E196" s="632">
        <v>15</v>
      </c>
      <c r="F196" s="50" cm="1" t="str">
        <f t="array" ref="F196:F196">OFFSET(E196,-1,1)</f>
        <v>1</v>
      </c>
      <c r="G196" s="1304"/>
      <c r="H196" s="98" t="s">
        <v>1456</v>
      </c>
      <c r="I196" s="1304"/>
      <c r="J196" s="1304"/>
      <c r="K196" s="1304"/>
      <c r="L196" s="1304"/>
      <c r="M196" s="1304"/>
      <c r="N196" s="1304"/>
      <c r="O196" s="1304"/>
      <c r="P196" s="1442"/>
      <c r="Q196" s="1442"/>
      <c r="R196" s="1442"/>
      <c r="S196" s="1442"/>
      <c r="T196" s="465" cm="1" t="str">
        <f t="array" ref="T196:T196">T195</f>
        <v>false</v>
      </c>
      <c r="U196" s="1442"/>
      <c r="V196" s="1304"/>
      <c r="W196" s="1442"/>
      <c r="X196" s="1563"/>
      <c r="Y196" s="1545"/>
      <c r="Z196" s="1304"/>
      <c r="AA196" s="1304"/>
      <c r="AB196" s="240" t="s">
        <v>458</v>
      </c>
      <c r="AC196" s="137" t="s">
        <v>1457</v>
      </c>
      <c r="AD196" s="93" t="s">
        <v>1247</v>
      </c>
      <c r="AE196" s="2069"/>
      <c r="AF196" s="2069"/>
      <c r="AG196" s="2069"/>
      <c r="AH196" s="2069"/>
      <c r="AI196" s="2069"/>
      <c r="AJ196" s="2069"/>
      <c r="AK196" s="2069"/>
      <c r="AL196" s="2069"/>
      <c r="AM196" s="2069"/>
      <c r="AN196" s="2069"/>
      <c r="AO196" s="2069"/>
      <c r="AP196" s="2069"/>
      <c r="AQ196" s="2069"/>
      <c r="AR196" s="2069"/>
      <c r="AS196" s="2069"/>
      <c r="AT196" s="2069"/>
      <c r="AU196" s="2069"/>
      <c r="AV196" s="2069"/>
      <c r="AW196" s="2069"/>
      <c r="AX196" s="2069"/>
      <c r="AY196" s="2069"/>
      <c r="AZ196" s="2069"/>
      <c r="BA196" s="2069"/>
      <c r="BB196" s="2069"/>
      <c r="BC196" s="2070"/>
      <c r="BD196" s="1304"/>
      <c r="BE196" s="1304"/>
      <c r="BF196" s="1015" t="s">
        <v>1458</v>
      </c>
    </row>
    <row s="1834" customFormat="1" customHeight="1" ht="11.25" hidden="1">
      <c r="A197" s="469"/>
      <c r="B197" s="658"/>
      <c r="C197" s="469"/>
      <c r="D197" s="469"/>
      <c r="E197" s="660" t="s">
        <v>373</v>
      </c>
      <c r="F197" s="1175" cm="1" t="str">
        <f t="array" ref="F197:F197">OFFSET(E197,-1,1)</f>
        <v>1</v>
      </c>
      <c r="G197" s="469"/>
      <c r="H197" s="469"/>
      <c r="I197" s="469"/>
      <c r="J197" s="469"/>
      <c r="K197" s="98"/>
      <c r="L197" s="469"/>
      <c r="M197" s="469"/>
      <c r="N197" s="469"/>
      <c r="O197" s="469"/>
      <c r="P197" s="469"/>
      <c r="Q197" s="469"/>
      <c r="R197" s="416"/>
      <c r="S197" s="416"/>
      <c r="T197" s="465" t="b">
        <v>0</v>
      </c>
      <c r="U197" s="469"/>
      <c r="V197" s="469"/>
      <c r="W197" s="469"/>
      <c r="X197" s="1563"/>
      <c r="Y197" s="1545"/>
      <c r="Z197" s="469"/>
      <c r="AA197" s="469"/>
      <c r="AB197" s="1834"/>
      <c r="AC197" s="100"/>
      <c r="AD197" s="100"/>
      <c r="AE197" s="344"/>
      <c r="AF197" s="344"/>
      <c r="AG197" s="344"/>
      <c r="AH197" s="344"/>
      <c r="AI197" s="344"/>
      <c r="AJ197" s="345"/>
      <c r="AK197" s="344"/>
      <c r="AL197" s="344"/>
      <c r="AM197" s="344"/>
      <c r="AN197" s="344"/>
      <c r="AO197" s="344"/>
      <c r="AP197" s="344"/>
      <c r="AQ197" s="344"/>
      <c r="AR197" s="344"/>
      <c r="AS197" s="344"/>
      <c r="AT197" s="344"/>
      <c r="AU197" s="344"/>
      <c r="AV197" s="344"/>
      <c r="AW197" s="344"/>
      <c r="AX197" s="344"/>
      <c r="AY197" s="344"/>
      <c r="AZ197" s="344"/>
      <c r="BA197" s="344"/>
      <c r="BB197" s="344"/>
      <c r="BC197" s="1834"/>
      <c r="BD197" s="1834"/>
      <c r="BE197" s="1834"/>
      <c r="BF197" s="1019"/>
    </row>
    <row s="1834" customFormat="1" customHeight="1" ht="14.25" hidden="1">
      <c r="A198" s="1304"/>
      <c r="B198" s="1436"/>
      <c r="C198" s="1304"/>
      <c r="D198" s="1304"/>
      <c r="E198" s="632">
        <v>15</v>
      </c>
      <c r="F198" s="50" cm="1" t="str">
        <f t="array" ref="F198:F198">OFFSET(E198,-1,1)</f>
        <v>1</v>
      </c>
      <c r="G198" s="1304"/>
      <c r="H198" s="1304"/>
      <c r="I198" s="1304"/>
      <c r="J198" s="1304"/>
      <c r="K198" s="1304"/>
      <c r="L198" s="1304"/>
      <c r="M198" s="1304"/>
      <c r="N198" s="1304"/>
      <c r="O198" s="1304"/>
      <c r="P198" s="1442"/>
      <c r="Q198" s="1442"/>
      <c r="R198" s="416" cm="1" t="str">
        <f t="array" ref="R198:R198">INDEX('Общие сведения'!$AN$179:$AN$250,MATCH($X118,'Общие сведения'!$Z$179:$Z$250,0))</f>
        <v>false</v>
      </c>
      <c r="S198" s="482">
        <f>IF(ISERROR(SEARCH("Водоотведение",AB118)),FALSE,TRUE)</f>
        <v>0</v>
      </c>
      <c r="T198" s="465">
        <f>AND(X118&gt;0,S198,R198)</f>
        <v>0</v>
      </c>
      <c r="U198" s="1442"/>
      <c r="V198" s="1304"/>
      <c r="W198" s="1442"/>
      <c r="X198" s="1563"/>
      <c r="Y198" s="1545"/>
      <c r="Z198" s="1304"/>
      <c r="AA198" s="1304"/>
      <c r="AB198" s="240" t="s">
        <v>276</v>
      </c>
      <c r="AC198" s="87" t="s">
        <v>1398</v>
      </c>
      <c r="AD198" s="197"/>
      <c r="AE198" s="570" cm="1" t="str">
        <f t="array" ref="AE198:AE198">INDEX('Общие сведения'!$AH$179:$AH$250,MATCH($X118,'Общие сведения'!$Z$179:$Z$250,0))</f>
        <v>питьевая вода</v>
      </c>
      <c r="AF198" s="362"/>
      <c r="AG198" s="362"/>
      <c r="AH198" s="362"/>
      <c r="AI198" s="362"/>
      <c r="AJ198" s="362"/>
      <c r="AK198" s="362"/>
      <c r="AL198" s="362"/>
      <c r="AM198" s="362"/>
      <c r="AN198" s="362"/>
      <c r="AO198" s="362"/>
      <c r="AP198" s="362"/>
      <c r="AQ198" s="362"/>
      <c r="AR198" s="362"/>
      <c r="AS198" s="362"/>
      <c r="AT198" s="362"/>
      <c r="AU198" s="362"/>
      <c r="AV198" s="362"/>
      <c r="AW198" s="362"/>
      <c r="AX198" s="362"/>
      <c r="AY198" s="362"/>
      <c r="AZ198" s="362"/>
      <c r="BA198" s="362"/>
      <c r="BB198" s="363"/>
      <c r="BC198" s="2070"/>
      <c r="BD198" s="1304"/>
      <c r="BE198" s="1304"/>
      <c r="BF198" s="1015" t="s">
        <v>1459</v>
      </c>
    </row>
    <row s="1834" customFormat="1" customHeight="1" ht="14.25" hidden="1">
      <c r="A199" s="1304"/>
      <c r="B199" s="1436"/>
      <c r="C199" s="1304"/>
      <c r="D199" s="1304"/>
      <c r="E199" s="632">
        <v>15</v>
      </c>
      <c r="F199" s="50" cm="1" t="str">
        <f t="array" ref="F199:F199">OFFSET(E199,-1,1)</f>
        <v>1</v>
      </c>
      <c r="G199" s="1304"/>
      <c r="H199" s="98" t="s">
        <v>336</v>
      </c>
      <c r="I199" s="1304"/>
      <c r="J199" s="1304"/>
      <c r="K199" s="1304"/>
      <c r="L199" s="1304"/>
      <c r="M199" s="1304"/>
      <c r="N199" s="1304"/>
      <c r="O199" s="1304"/>
      <c r="P199" s="1442"/>
      <c r="Q199" s="1442"/>
      <c r="R199" s="1442"/>
      <c r="S199" s="1442"/>
      <c r="T199" s="465" cm="1" t="str">
        <f t="array" ref="T199:T199">T198</f>
        <v>false</v>
      </c>
      <c r="U199" s="1442"/>
      <c r="V199" s="1304"/>
      <c r="W199" s="1442"/>
      <c r="X199" s="1563"/>
      <c r="Y199" s="1545"/>
      <c r="Z199" s="1304"/>
      <c r="AA199" s="1304"/>
      <c r="AB199" s="240" t="s">
        <v>285</v>
      </c>
      <c r="AC199" s="341" t="s">
        <v>1460</v>
      </c>
      <c r="AD199" s="93" t="s">
        <v>1247</v>
      </c>
      <c r="AE199" s="346">
        <f>AE200+AE202+AE201</f>
        <v>0</v>
      </c>
      <c r="AF199" s="346">
        <f>AF200+AF202+AF201</f>
        <v>0</v>
      </c>
      <c r="AG199" s="346">
        <f>AG200+AG202+AG201</f>
        <v>0</v>
      </c>
      <c r="AH199" s="346">
        <f>AH200+AH202+AH201</f>
        <v>0</v>
      </c>
      <c r="AI199" s="346">
        <f>AI200+AI202+AI201</f>
        <v>0</v>
      </c>
      <c r="AJ199" s="346">
        <f>AJ200+AJ202+AJ201</f>
        <v>0</v>
      </c>
      <c r="AK199" s="346">
        <f>AK200+AK202+AK201</f>
        <v>0</v>
      </c>
      <c r="AL199" s="346">
        <f>AL200+AL202+AL201</f>
        <v>0</v>
      </c>
      <c r="AM199" s="346">
        <f>AM200+AM202+AM201</f>
        <v>0</v>
      </c>
      <c r="AN199" s="346">
        <f>AN200+AN202+AN201</f>
        <v>0</v>
      </c>
      <c r="AO199" s="346">
        <f>AO200+AO202+AO201</f>
        <v>0</v>
      </c>
      <c r="AP199" s="346">
        <f>AP200+AP202+AP201</f>
        <v>0</v>
      </c>
      <c r="AQ199" s="346">
        <f>AQ200+AQ202+AQ201</f>
        <v>0</v>
      </c>
      <c r="AR199" s="346">
        <f>AR200+AR202+AR201</f>
        <v>0</v>
      </c>
      <c r="AS199" s="346">
        <f>AS200+AS202+AS201</f>
        <v>0</v>
      </c>
      <c r="AT199" s="346">
        <f>AT200+AT202+AT201</f>
        <v>0</v>
      </c>
      <c r="AU199" s="346">
        <f>AU200+AU202+AU201</f>
        <v>0</v>
      </c>
      <c r="AV199" s="346">
        <f>AV200+AV202+AV201</f>
        <v>0</v>
      </c>
      <c r="AW199" s="346">
        <f>AW200+AW202+AW201</f>
        <v>0</v>
      </c>
      <c r="AX199" s="346">
        <f>AX200+AX202+AX201</f>
        <v>0</v>
      </c>
      <c r="AY199" s="346">
        <f>AY200+AY202+AY201</f>
        <v>0</v>
      </c>
      <c r="AZ199" s="346">
        <f>AZ200+AZ202+AZ201</f>
        <v>0</v>
      </c>
      <c r="BA199" s="346">
        <f>BA200+BA202+BA201</f>
        <v>0</v>
      </c>
      <c r="BB199" s="346">
        <f>BB200+BB202+BB201</f>
        <v>0</v>
      </c>
      <c r="BC199" s="2070"/>
      <c r="BD199" s="1304"/>
      <c r="BE199" s="1304"/>
      <c r="BF199" s="1015" t="s">
        <v>1461</v>
      </c>
    </row>
    <row s="1834" customFormat="1" customHeight="1" ht="14.25" hidden="1">
      <c r="A200" s="1304"/>
      <c r="B200" s="1436"/>
      <c r="C200" s="1304"/>
      <c r="D200" s="1304"/>
      <c r="E200" s="632">
        <v>15</v>
      </c>
      <c r="F200" s="50" cm="1" t="str">
        <f t="array" ref="F200:F200">OFFSET(E200,-1,1)</f>
        <v>1</v>
      </c>
      <c r="G200" s="1304"/>
      <c r="H200" s="98" t="s">
        <v>1249</v>
      </c>
      <c r="I200" s="1304"/>
      <c r="J200" s="1304"/>
      <c r="K200" s="1304"/>
      <c r="L200" s="1304"/>
      <c r="M200" s="1304"/>
      <c r="N200" s="1304"/>
      <c r="O200" s="1304"/>
      <c r="P200" s="1442"/>
      <c r="Q200" s="1442"/>
      <c r="R200" s="1442"/>
      <c r="S200" s="1442"/>
      <c r="T200" s="465" cm="1" t="str">
        <f t="array" ref="T200:T200">T199</f>
        <v>false</v>
      </c>
      <c r="U200" s="1442"/>
      <c r="V200" s="1304"/>
      <c r="W200" s="1442"/>
      <c r="X200" s="1563"/>
      <c r="Y200" s="1545"/>
      <c r="Z200" s="1304"/>
      <c r="AA200" s="1304"/>
      <c r="AB200" s="240" t="s">
        <v>1250</v>
      </c>
      <c r="AC200" s="214" t="s">
        <v>1462</v>
      </c>
      <c r="AD200" s="93" t="s">
        <v>1247</v>
      </c>
      <c r="AE200" s="2113"/>
      <c r="AF200" s="2113"/>
      <c r="AG200" s="2113"/>
      <c r="AH200" s="2113"/>
      <c r="AI200" s="2113"/>
      <c r="AJ200" s="2113"/>
      <c r="AK200" s="2113"/>
      <c r="AL200" s="2113"/>
      <c r="AM200" s="2113"/>
      <c r="AN200" s="2113"/>
      <c r="AO200" s="2113"/>
      <c r="AP200" s="2113"/>
      <c r="AQ200" s="2113"/>
      <c r="AR200" s="2113"/>
      <c r="AS200" s="2113"/>
      <c r="AT200" s="2113"/>
      <c r="AU200" s="2113"/>
      <c r="AV200" s="2113"/>
      <c r="AW200" s="2113"/>
      <c r="AX200" s="2113"/>
      <c r="AY200" s="2113"/>
      <c r="AZ200" s="2113"/>
      <c r="BA200" s="2113"/>
      <c r="BB200" s="2113"/>
      <c r="BC200" s="2070"/>
      <c r="BD200" s="1304"/>
      <c r="BE200" s="1304"/>
      <c r="BF200" s="1015" t="s">
        <v>1463</v>
      </c>
    </row>
    <row s="1834" customFormat="1" customHeight="1" ht="14.25" hidden="1">
      <c r="A201" s="1304"/>
      <c r="B201" s="1436"/>
      <c r="C201" s="1304"/>
      <c r="D201" s="1304"/>
      <c r="E201" s="632">
        <v>15</v>
      </c>
      <c r="F201" s="50" cm="1" t="str">
        <f t="array" ref="F201:F201">OFFSET(E201,-1,1)</f>
        <v>1</v>
      </c>
      <c r="G201" s="1304"/>
      <c r="H201" s="98" t="s">
        <v>1253</v>
      </c>
      <c r="I201" s="1304"/>
      <c r="J201" s="1304"/>
      <c r="K201" s="1304"/>
      <c r="L201" s="1304"/>
      <c r="M201" s="1304"/>
      <c r="N201" s="1304"/>
      <c r="O201" s="1304"/>
      <c r="P201" s="1442"/>
      <c r="Q201" s="1442"/>
      <c r="R201" s="1442"/>
      <c r="S201" s="1442"/>
      <c r="T201" s="465" cm="1" t="str">
        <f t="array" ref="T201:T201">T200</f>
        <v>false</v>
      </c>
      <c r="U201" s="1442"/>
      <c r="V201" s="1304"/>
      <c r="W201" s="1442"/>
      <c r="X201" s="1563"/>
      <c r="Y201" s="1545"/>
      <c r="Z201" s="1304"/>
      <c r="AA201" s="1304"/>
      <c r="AB201" s="240" t="s">
        <v>1254</v>
      </c>
      <c r="AC201" s="214" t="s">
        <v>1464</v>
      </c>
      <c r="AD201" s="93" t="s">
        <v>1247</v>
      </c>
      <c r="AE201" s="2113"/>
      <c r="AF201" s="2113"/>
      <c r="AG201" s="2113"/>
      <c r="AH201" s="2113"/>
      <c r="AI201" s="2113"/>
      <c r="AJ201" s="2113"/>
      <c r="AK201" s="2113"/>
      <c r="AL201" s="2113"/>
      <c r="AM201" s="2113"/>
      <c r="AN201" s="2113"/>
      <c r="AO201" s="2113"/>
      <c r="AP201" s="2113"/>
      <c r="AQ201" s="2113"/>
      <c r="AR201" s="2113"/>
      <c r="AS201" s="2113"/>
      <c r="AT201" s="2113"/>
      <c r="AU201" s="2113"/>
      <c r="AV201" s="2113"/>
      <c r="AW201" s="2113"/>
      <c r="AX201" s="2113"/>
      <c r="AY201" s="2113"/>
      <c r="AZ201" s="2113"/>
      <c r="BA201" s="2113"/>
      <c r="BB201" s="2113"/>
      <c r="BC201" s="2070"/>
      <c r="BD201" s="1304"/>
      <c r="BE201" s="1304"/>
      <c r="BF201" s="1015" t="s">
        <v>1465</v>
      </c>
    </row>
    <row s="1834" customFormat="1" customHeight="1" ht="21.75" hidden="1">
      <c r="A202" s="1304"/>
      <c r="B202" s="1436"/>
      <c r="C202" s="1304"/>
      <c r="D202" s="1304"/>
      <c r="E202" s="632">
        <v>22.5</v>
      </c>
      <c r="F202" s="50" cm="1" t="str">
        <f t="array" ref="F202:F202">OFFSET(E202,-1,1)</f>
        <v>1</v>
      </c>
      <c r="G202" s="1304"/>
      <c r="H202" s="98" t="s">
        <v>1257</v>
      </c>
      <c r="I202" s="1304"/>
      <c r="J202" s="1304"/>
      <c r="K202" s="1304"/>
      <c r="L202" s="1304"/>
      <c r="M202" s="1304"/>
      <c r="N202" s="1304"/>
      <c r="O202" s="1304"/>
      <c r="P202" s="1442"/>
      <c r="Q202" s="1442"/>
      <c r="R202" s="1442"/>
      <c r="S202" s="1442"/>
      <c r="T202" s="465" cm="1" t="str">
        <f t="array" ref="T202:T202">T201</f>
        <v>false</v>
      </c>
      <c r="U202" s="1442"/>
      <c r="V202" s="1304"/>
      <c r="W202" s="1442"/>
      <c r="X202" s="1563"/>
      <c r="Y202" s="1545"/>
      <c r="Z202" s="1304"/>
      <c r="AA202" s="1304"/>
      <c r="AB202" s="240" t="s">
        <v>1258</v>
      </c>
      <c r="AC202" s="214" t="s">
        <v>1366</v>
      </c>
      <c r="AD202" s="93" t="s">
        <v>1247</v>
      </c>
      <c r="AE202" s="2113"/>
      <c r="AF202" s="2113"/>
      <c r="AG202" s="2113"/>
      <c r="AH202" s="2113"/>
      <c r="AI202" s="2113"/>
      <c r="AJ202" s="2113"/>
      <c r="AK202" s="2113"/>
      <c r="AL202" s="2113"/>
      <c r="AM202" s="2113"/>
      <c r="AN202" s="2113"/>
      <c r="AO202" s="2113"/>
      <c r="AP202" s="2113"/>
      <c r="AQ202" s="2113"/>
      <c r="AR202" s="2113"/>
      <c r="AS202" s="2113"/>
      <c r="AT202" s="2113"/>
      <c r="AU202" s="2113"/>
      <c r="AV202" s="2113"/>
      <c r="AW202" s="2113"/>
      <c r="AX202" s="2113"/>
      <c r="AY202" s="2113"/>
      <c r="AZ202" s="2113"/>
      <c r="BA202" s="2113"/>
      <c r="BB202" s="2113"/>
      <c r="BC202" s="2070"/>
      <c r="BD202" s="1304"/>
      <c r="BE202" s="1304"/>
      <c r="BF202" s="1015" t="s">
        <v>1466</v>
      </c>
    </row>
    <row s="1834" customFormat="1" customHeight="1" ht="21.75" hidden="1">
      <c r="A203" s="1304"/>
      <c r="B203" s="1436"/>
      <c r="C203" s="1304"/>
      <c r="D203" s="1304"/>
      <c r="E203" s="632">
        <v>22.5</v>
      </c>
      <c r="F203" s="50" cm="1" t="str">
        <f t="array" ref="F203:F203">OFFSET(E203,-1,1)</f>
        <v>1</v>
      </c>
      <c r="G203" s="98" t="s">
        <v>1316</v>
      </c>
      <c r="H203" s="98" t="s">
        <v>335</v>
      </c>
      <c r="I203" s="1304"/>
      <c r="J203" s="1304"/>
      <c r="K203" s="1304"/>
      <c r="L203" s="1304"/>
      <c r="M203" s="1304"/>
      <c r="N203" s="1304"/>
      <c r="O203" s="1304"/>
      <c r="P203" s="1442"/>
      <c r="Q203" s="1442"/>
      <c r="R203" s="1442"/>
      <c r="S203" s="1442"/>
      <c r="T203" s="465" cm="1" t="str">
        <f t="array" ref="T203:T203">T202</f>
        <v>false</v>
      </c>
      <c r="U203" s="1442"/>
      <c r="V203" s="1304"/>
      <c r="W203" s="1442"/>
      <c r="X203" s="1563"/>
      <c r="Y203" s="1545"/>
      <c r="Z203" s="1304"/>
      <c r="AA203" s="1304"/>
      <c r="AB203" s="240" t="s">
        <v>289</v>
      </c>
      <c r="AC203" s="341" t="s">
        <v>1467</v>
      </c>
      <c r="AD203" s="93" t="s">
        <v>1247</v>
      </c>
      <c r="AE203" s="346">
        <f>AE204+AE205+AE208</f>
        <v>0</v>
      </c>
      <c r="AF203" s="346">
        <f>AF204+AF205+AF208</f>
        <v>0</v>
      </c>
      <c r="AG203" s="346">
        <f>AG204+AG205+AG208</f>
        <v>0</v>
      </c>
      <c r="AH203" s="346">
        <f>AH204+AH205+AH208</f>
        <v>0</v>
      </c>
      <c r="AI203" s="346">
        <f>AI204+AI205+AI208</f>
        <v>0</v>
      </c>
      <c r="AJ203" s="346">
        <f>AJ204+AJ205+AJ208</f>
        <v>0</v>
      </c>
      <c r="AK203" s="346">
        <f>AK204+AK205+AK208</f>
        <v>0</v>
      </c>
      <c r="AL203" s="346">
        <f>AL204+AL205+AL208</f>
        <v>0</v>
      </c>
      <c r="AM203" s="346">
        <f>AM204+AM205+AM208</f>
        <v>0</v>
      </c>
      <c r="AN203" s="346">
        <f>AN204+AN205+AN208</f>
        <v>0</v>
      </c>
      <c r="AO203" s="346">
        <f>AO204+AO205+AO208</f>
        <v>0</v>
      </c>
      <c r="AP203" s="346">
        <f>AP204+AP205+AP208</f>
        <v>0</v>
      </c>
      <c r="AQ203" s="346">
        <f>AQ204+AQ205+AQ208</f>
        <v>0</v>
      </c>
      <c r="AR203" s="346">
        <f>AR204+AR205+AR208</f>
        <v>0</v>
      </c>
      <c r="AS203" s="346">
        <f>AS204+AS205+AS208</f>
        <v>0</v>
      </c>
      <c r="AT203" s="346">
        <f>AT204+AT205+AT208</f>
        <v>0</v>
      </c>
      <c r="AU203" s="346">
        <f>AU204+AU205+AU208</f>
        <v>0</v>
      </c>
      <c r="AV203" s="346">
        <f>AV204+AV205+AV208</f>
        <v>0</v>
      </c>
      <c r="AW203" s="346">
        <f>AW204+AW205+AW208</f>
        <v>0</v>
      </c>
      <c r="AX203" s="346">
        <f>AX204+AX205+AX208</f>
        <v>0</v>
      </c>
      <c r="AY203" s="346">
        <f>AY204+AY205+AY208</f>
        <v>0</v>
      </c>
      <c r="AZ203" s="346">
        <f>AZ204+AZ205+AZ208</f>
        <v>0</v>
      </c>
      <c r="BA203" s="346">
        <f>BA204+BA205+BA208</f>
        <v>0</v>
      </c>
      <c r="BB203" s="346">
        <f>BB204+BB205+BB208</f>
        <v>0</v>
      </c>
      <c r="BC203" s="2070"/>
      <c r="BD203" s="1304"/>
      <c r="BE203" s="1304"/>
      <c r="BF203" s="1015" t="s">
        <v>1468</v>
      </c>
    </row>
    <row s="1834" customFormat="1" customHeight="1" ht="14.25" hidden="1">
      <c r="A204" s="1304"/>
      <c r="B204" s="1436"/>
      <c r="C204" s="1304"/>
      <c r="D204" s="1304"/>
      <c r="E204" s="632">
        <v>15</v>
      </c>
      <c r="F204" s="50" cm="1" t="str">
        <f t="array" ref="F204:F204">OFFSET(E204,-1,1)</f>
        <v>1</v>
      </c>
      <c r="G204" s="1304"/>
      <c r="H204" s="98" t="s">
        <v>1263</v>
      </c>
      <c r="I204" s="1304"/>
      <c r="J204" s="1304"/>
      <c r="K204" s="1304"/>
      <c r="L204" s="1304"/>
      <c r="M204" s="1304"/>
      <c r="N204" s="1304"/>
      <c r="O204" s="1304"/>
      <c r="P204" s="1442"/>
      <c r="Q204" s="1442"/>
      <c r="R204" s="1442"/>
      <c r="S204" s="1442"/>
      <c r="T204" s="465" cm="1" t="str">
        <f t="array" ref="T204:T204">T203</f>
        <v>false</v>
      </c>
      <c r="U204" s="1442"/>
      <c r="V204" s="1304"/>
      <c r="W204" s="1442"/>
      <c r="X204" s="1563"/>
      <c r="Y204" s="1545"/>
      <c r="Z204" s="1304"/>
      <c r="AA204" s="1304"/>
      <c r="AB204" s="240" t="s">
        <v>1264</v>
      </c>
      <c r="AC204" s="214" t="s">
        <v>1469</v>
      </c>
      <c r="AD204" s="93" t="s">
        <v>1247</v>
      </c>
      <c r="AE204" s="2113"/>
      <c r="AF204" s="2113"/>
      <c r="AG204" s="2113"/>
      <c r="AH204" s="2113"/>
      <c r="AI204" s="2113"/>
      <c r="AJ204" s="2113"/>
      <c r="AK204" s="2113"/>
      <c r="AL204" s="2113"/>
      <c r="AM204" s="2113"/>
      <c r="AN204" s="2113"/>
      <c r="AO204" s="2113"/>
      <c r="AP204" s="2113"/>
      <c r="AQ204" s="2113"/>
      <c r="AR204" s="2113"/>
      <c r="AS204" s="2113"/>
      <c r="AT204" s="2113"/>
      <c r="AU204" s="2113"/>
      <c r="AV204" s="2113"/>
      <c r="AW204" s="2113"/>
      <c r="AX204" s="2113"/>
      <c r="AY204" s="2113"/>
      <c r="AZ204" s="2113"/>
      <c r="BA204" s="2113"/>
      <c r="BB204" s="2113"/>
      <c r="BC204" s="2070"/>
      <c r="BD204" s="1304"/>
      <c r="BE204" s="1304"/>
      <c r="BF204" s="1015" t="s">
        <v>1470</v>
      </c>
    </row>
    <row s="1834" customFormat="1" customHeight="1" ht="14.25" hidden="1">
      <c r="A205" s="1304"/>
      <c r="B205" s="1436"/>
      <c r="C205" s="1304"/>
      <c r="D205" s="1304"/>
      <c r="E205" s="632">
        <v>15</v>
      </c>
      <c r="F205" s="50" cm="1" t="str">
        <f t="array" ref="F205:F205">OFFSET(E205,-1,1)</f>
        <v>1</v>
      </c>
      <c r="G205" s="1304"/>
      <c r="H205" s="98" t="s">
        <v>1267</v>
      </c>
      <c r="I205" s="1304"/>
      <c r="J205" s="1304"/>
      <c r="K205" s="1304"/>
      <c r="L205" s="1304"/>
      <c r="M205" s="1304"/>
      <c r="N205" s="1304"/>
      <c r="O205" s="1304"/>
      <c r="P205" s="1442"/>
      <c r="Q205" s="1442"/>
      <c r="R205" s="1442"/>
      <c r="S205" s="1442"/>
      <c r="T205" s="465" cm="1" t="str">
        <f t="array" ref="T205:T205">T204</f>
        <v>false</v>
      </c>
      <c r="U205" s="1442"/>
      <c r="V205" s="1304"/>
      <c r="W205" s="1442"/>
      <c r="X205" s="1563"/>
      <c r="Y205" s="1545"/>
      <c r="Z205" s="1304"/>
      <c r="AA205" s="1304"/>
      <c r="AB205" s="240" t="s">
        <v>1268</v>
      </c>
      <c r="AC205" s="342" t="s">
        <v>1471</v>
      </c>
      <c r="AD205" s="93" t="s">
        <v>1247</v>
      </c>
      <c r="AE205" s="346">
        <f>AE206+AE207</f>
        <v>0</v>
      </c>
      <c r="AF205" s="346">
        <f>AF206+AF207</f>
        <v>0</v>
      </c>
      <c r="AG205" s="346">
        <f>AG206+AG207</f>
        <v>0</v>
      </c>
      <c r="AH205" s="346">
        <f>AH206+AH207</f>
        <v>0</v>
      </c>
      <c r="AI205" s="346">
        <f>AI206+AI207</f>
        <v>0</v>
      </c>
      <c r="AJ205" s="346">
        <f>AJ206+AJ207</f>
        <v>0</v>
      </c>
      <c r="AK205" s="346">
        <f>AK206+AK207</f>
        <v>0</v>
      </c>
      <c r="AL205" s="346">
        <f>AL206+AL207</f>
        <v>0</v>
      </c>
      <c r="AM205" s="346">
        <f>AM206+AM207</f>
        <v>0</v>
      </c>
      <c r="AN205" s="346">
        <f>AN206+AN207</f>
        <v>0</v>
      </c>
      <c r="AO205" s="346">
        <f>AO206+AO207</f>
        <v>0</v>
      </c>
      <c r="AP205" s="346">
        <f>AP206+AP207</f>
        <v>0</v>
      </c>
      <c r="AQ205" s="346">
        <f>AQ206+AQ207</f>
        <v>0</v>
      </c>
      <c r="AR205" s="346">
        <f>AR206+AR207</f>
        <v>0</v>
      </c>
      <c r="AS205" s="346">
        <f>AS206+AS207</f>
        <v>0</v>
      </c>
      <c r="AT205" s="346">
        <f>AT206+AT207</f>
        <v>0</v>
      </c>
      <c r="AU205" s="346">
        <f>AU206+AU207</f>
        <v>0</v>
      </c>
      <c r="AV205" s="346">
        <f>AV206+AV207</f>
        <v>0</v>
      </c>
      <c r="AW205" s="346">
        <f>AW206+AW207</f>
        <v>0</v>
      </c>
      <c r="AX205" s="346">
        <f>AX206+AX207</f>
        <v>0</v>
      </c>
      <c r="AY205" s="346">
        <f>AY206+AY207</f>
        <v>0</v>
      </c>
      <c r="AZ205" s="346">
        <f>AZ206+AZ207</f>
        <v>0</v>
      </c>
      <c r="BA205" s="346">
        <f>BA206+BA207</f>
        <v>0</v>
      </c>
      <c r="BB205" s="346">
        <f>BB206+BB207</f>
        <v>0</v>
      </c>
      <c r="BC205" s="2070"/>
      <c r="BD205" s="1304"/>
      <c r="BE205" s="1304"/>
      <c r="BF205" s="1015" t="s">
        <v>1472</v>
      </c>
    </row>
    <row s="1834" customFormat="1" customHeight="1" ht="14.25" hidden="1">
      <c r="A206" s="1304"/>
      <c r="B206" s="1436"/>
      <c r="C206" s="1304"/>
      <c r="D206" s="1304"/>
      <c r="E206" s="632">
        <v>15</v>
      </c>
      <c r="F206" s="50" cm="1" t="str">
        <f t="array" ref="F206:F206">OFFSET(E206,-1,1)</f>
        <v>1</v>
      </c>
      <c r="G206" s="1304"/>
      <c r="H206" s="98" t="s">
        <v>1473</v>
      </c>
      <c r="I206" s="1304"/>
      <c r="J206" s="1304"/>
      <c r="K206" s="1304"/>
      <c r="L206" s="1304"/>
      <c r="M206" s="1304"/>
      <c r="N206" s="1304"/>
      <c r="O206" s="1304"/>
      <c r="P206" s="1442"/>
      <c r="Q206" s="1442"/>
      <c r="R206" s="1442"/>
      <c r="S206" s="1442"/>
      <c r="T206" s="465" cm="1" t="str">
        <f t="array" ref="T206:T206">T205</f>
        <v>false</v>
      </c>
      <c r="U206" s="1442"/>
      <c r="V206" s="1304"/>
      <c r="W206" s="1442"/>
      <c r="X206" s="1563"/>
      <c r="Y206" s="1545"/>
      <c r="Z206" s="1304"/>
      <c r="AA206" s="1304"/>
      <c r="AB206" s="240" t="s">
        <v>1474</v>
      </c>
      <c r="AC206" s="343" t="s">
        <v>1323</v>
      </c>
      <c r="AD206" s="93" t="s">
        <v>1247</v>
      </c>
      <c r="AE206" s="2113"/>
      <c r="AF206" s="2113"/>
      <c r="AG206" s="2113"/>
      <c r="AH206" s="2113"/>
      <c r="AI206" s="2113"/>
      <c r="AJ206" s="2113"/>
      <c r="AK206" s="2113"/>
      <c r="AL206" s="2113"/>
      <c r="AM206" s="2113"/>
      <c r="AN206" s="2113"/>
      <c r="AO206" s="2113"/>
      <c r="AP206" s="2113"/>
      <c r="AQ206" s="2113"/>
      <c r="AR206" s="2113"/>
      <c r="AS206" s="2113"/>
      <c r="AT206" s="2113"/>
      <c r="AU206" s="2113"/>
      <c r="AV206" s="2113"/>
      <c r="AW206" s="2113"/>
      <c r="AX206" s="2113"/>
      <c r="AY206" s="2113"/>
      <c r="AZ206" s="2113"/>
      <c r="BA206" s="2113"/>
      <c r="BB206" s="2113"/>
      <c r="BC206" s="2070"/>
      <c r="BD206" s="1304"/>
      <c r="BE206" s="1304"/>
      <c r="BF206" s="1015" t="s">
        <v>1475</v>
      </c>
    </row>
    <row s="1834" customFormat="1" customHeight="1" ht="14.25" hidden="1">
      <c r="A207" s="1304"/>
      <c r="B207" s="1436"/>
      <c r="C207" s="1304"/>
      <c r="D207" s="1304"/>
      <c r="E207" s="632">
        <v>15</v>
      </c>
      <c r="F207" s="50" cm="1" t="str">
        <f t="array" ref="F207:F207">OFFSET(E207,-1,1)</f>
        <v>1</v>
      </c>
      <c r="G207" s="1304"/>
      <c r="H207" s="98" t="s">
        <v>1476</v>
      </c>
      <c r="I207" s="1304"/>
      <c r="J207" s="1304"/>
      <c r="K207" s="1304"/>
      <c r="L207" s="1304"/>
      <c r="M207" s="1304"/>
      <c r="N207" s="1304"/>
      <c r="O207" s="1304"/>
      <c r="P207" s="1442"/>
      <c r="Q207" s="1442"/>
      <c r="R207" s="1442"/>
      <c r="S207" s="1442"/>
      <c r="T207" s="465" cm="1" t="str">
        <f t="array" ref="T207:T207">T206</f>
        <v>false</v>
      </c>
      <c r="U207" s="1442"/>
      <c r="V207" s="1304"/>
      <c r="W207" s="1442"/>
      <c r="X207" s="1563"/>
      <c r="Y207" s="1545"/>
      <c r="Z207" s="1304"/>
      <c r="AA207" s="1304"/>
      <c r="AB207" s="240" t="s">
        <v>1477</v>
      </c>
      <c r="AC207" s="343" t="s">
        <v>1327</v>
      </c>
      <c r="AD207" s="93" t="s">
        <v>1247</v>
      </c>
      <c r="AE207" s="2113"/>
      <c r="AF207" s="2113"/>
      <c r="AG207" s="2113"/>
      <c r="AH207" s="2113"/>
      <c r="AI207" s="2113"/>
      <c r="AJ207" s="2113"/>
      <c r="AK207" s="2113"/>
      <c r="AL207" s="2113"/>
      <c r="AM207" s="2113"/>
      <c r="AN207" s="2113"/>
      <c r="AO207" s="2113"/>
      <c r="AP207" s="2113"/>
      <c r="AQ207" s="2113"/>
      <c r="AR207" s="2113"/>
      <c r="AS207" s="2113"/>
      <c r="AT207" s="2113"/>
      <c r="AU207" s="2113"/>
      <c r="AV207" s="2113"/>
      <c r="AW207" s="2113"/>
      <c r="AX207" s="2113"/>
      <c r="AY207" s="2113"/>
      <c r="AZ207" s="2113"/>
      <c r="BA207" s="2113"/>
      <c r="BB207" s="2113"/>
      <c r="BC207" s="2070"/>
      <c r="BD207" s="1304"/>
      <c r="BE207" s="1304"/>
      <c r="BF207" s="1015" t="s">
        <v>1478</v>
      </c>
    </row>
    <row s="1834" customFormat="1" customHeight="1" ht="21.75" hidden="1">
      <c r="A208" s="1304"/>
      <c r="B208" s="1436"/>
      <c r="C208" s="1304"/>
      <c r="D208" s="1304"/>
      <c r="E208" s="632">
        <v>22.5</v>
      </c>
      <c r="F208" s="50" cm="1" t="str">
        <f t="array" ref="F208:F208">OFFSET(E208,-1,1)</f>
        <v>1</v>
      </c>
      <c r="G208" s="1304"/>
      <c r="H208" s="98" t="s">
        <v>1479</v>
      </c>
      <c r="I208" s="1304"/>
      <c r="J208" s="1304"/>
      <c r="K208" s="1304"/>
      <c r="L208" s="1304"/>
      <c r="M208" s="1304"/>
      <c r="N208" s="1304"/>
      <c r="O208" s="1304"/>
      <c r="P208" s="1442"/>
      <c r="Q208" s="1442"/>
      <c r="R208" s="1442"/>
      <c r="S208" s="1442"/>
      <c r="T208" s="465" cm="1" t="str">
        <f t="array" ref="T208:T208">T207</f>
        <v>false</v>
      </c>
      <c r="U208" s="1442"/>
      <c r="V208" s="1304"/>
      <c r="W208" s="1442"/>
      <c r="X208" s="1563"/>
      <c r="Y208" s="1545"/>
      <c r="Z208" s="1304"/>
      <c r="AA208" s="1304"/>
      <c r="AB208" s="240" t="s">
        <v>1480</v>
      </c>
      <c r="AC208" s="337" t="s">
        <v>1288</v>
      </c>
      <c r="AD208" s="93" t="s">
        <v>1247</v>
      </c>
      <c r="AE208" s="2069"/>
      <c r="AF208" s="2069"/>
      <c r="AG208" s="2069"/>
      <c r="AH208" s="2069"/>
      <c r="AI208" s="2069"/>
      <c r="AJ208" s="2069"/>
      <c r="AK208" s="2069"/>
      <c r="AL208" s="2069"/>
      <c r="AM208" s="2069"/>
      <c r="AN208" s="2069"/>
      <c r="AO208" s="2069"/>
      <c r="AP208" s="2069"/>
      <c r="AQ208" s="2069"/>
      <c r="AR208" s="2069"/>
      <c r="AS208" s="2069"/>
      <c r="AT208" s="2069"/>
      <c r="AU208" s="2069"/>
      <c r="AV208" s="2069"/>
      <c r="AW208" s="2069"/>
      <c r="AX208" s="2069"/>
      <c r="AY208" s="2069"/>
      <c r="AZ208" s="2069"/>
      <c r="BA208" s="2069"/>
      <c r="BB208" s="2069"/>
      <c r="BC208" s="2070"/>
      <c r="BD208" s="1304"/>
      <c r="BE208" s="1304"/>
      <c r="BF208" s="1015" t="s">
        <v>1481</v>
      </c>
    </row>
    <row s="1834" customFormat="1" customHeight="1" ht="14.25">
      <c r="A209" s="1304"/>
      <c r="B209" s="1436"/>
      <c r="C209" s="1304"/>
      <c r="D209" s="1304"/>
      <c r="E209" s="632">
        <v>15</v>
      </c>
      <c r="F209" s="349" cm="1" t="str">
        <f t="array" ref="F209:F209">X209</f>
        <v>2</v>
      </c>
      <c r="G209" s="1304"/>
      <c r="H209" s="1304"/>
      <c r="I209" s="1304"/>
      <c r="J209" s="1304"/>
      <c r="K209" s="1304"/>
      <c r="L209" s="1304"/>
      <c r="M209" s="1304"/>
      <c r="N209" s="1304"/>
      <c r="O209" s="1304"/>
      <c r="P209" s="1442"/>
      <c r="Q209" s="1442"/>
      <c r="R209" s="1442"/>
      <c r="S209" s="1442"/>
      <c r="T209" s="465">
        <f>X209&gt;0</f>
        <v>1</v>
      </c>
      <c r="U209" s="1442"/>
      <c r="V209" s="98" cm="1" t="str">
        <f t="array" ref="V209:V209">ИИКА!$AB$37</f>
        <v>Тариф 2 (Водоснабжение) - тариф на питьевую воду (Доп. признак не требуется)</v>
      </c>
      <c r="W209" s="1442"/>
      <c r="X209" s="1563" t="s">
        <v>285</v>
      </c>
      <c r="Y209" s="1545"/>
      <c r="Z209" s="1304"/>
      <c r="AA209" s="1304"/>
      <c r="AB209" s="180" cm="1" t="str">
        <f t="array" ref="AB209:AB209">ИИКА!$AB$37</f>
        <v>Тариф 2 (Водоснабжение) - тариф на питьевую воду (Доп. признак не требуется)</v>
      </c>
      <c r="AC209" s="180"/>
      <c r="AD209" s="180"/>
      <c r="AE209" s="180"/>
      <c r="AF209" s="180"/>
      <c r="AG209" s="180"/>
      <c r="AH209" s="180"/>
      <c r="AI209" s="180"/>
      <c r="AJ209" s="180"/>
      <c r="AK209" s="180"/>
      <c r="AL209" s="180"/>
      <c r="AM209" s="180"/>
      <c r="AN209" s="180"/>
      <c r="AO209" s="180"/>
      <c r="AP209" s="180"/>
      <c r="AQ209" s="180"/>
      <c r="AR209" s="180"/>
      <c r="AS209" s="180"/>
      <c r="AT209" s="180"/>
      <c r="AU209" s="180"/>
      <c r="AV209" s="180"/>
      <c r="AW209" s="180"/>
      <c r="AX209" s="180"/>
      <c r="AY209" s="180"/>
      <c r="AZ209" s="180"/>
      <c r="BA209" s="180"/>
      <c r="BB209" s="180"/>
      <c r="BC209" s="180"/>
      <c r="BD209" s="1304"/>
      <c r="BE209" s="1304"/>
      <c r="BF209" s="1306"/>
    </row>
    <row s="1834" customFormat="1" customHeight="1" ht="12.75">
      <c r="A210" s="1304"/>
      <c r="B210" s="1436"/>
      <c r="C210" s="1304"/>
      <c r="D210" s="1304"/>
      <c r="E210" s="632">
        <v>15</v>
      </c>
      <c r="F210" s="50" cm="1" t="str">
        <f t="array" ref="F210:F210">OFFSET(E210,-1,1)</f>
        <v>2</v>
      </c>
      <c r="G210" s="1304"/>
      <c r="H210" s="1304"/>
      <c r="I210" s="1304"/>
      <c r="J210" s="1304"/>
      <c r="K210" s="1304"/>
      <c r="L210" s="1304"/>
      <c r="M210" s="1304"/>
      <c r="N210" s="1304"/>
      <c r="O210" s="1304"/>
      <c r="P210" s="1442"/>
      <c r="Q210" s="1442"/>
      <c r="R210" s="416" cm="1" t="str">
        <f t="array" ref="R210:R210">INDEX('Общие сведения'!$AN$179:$AN$250,MATCH($X209,'Общие сведения'!$Z$179:$Z$250,0))</f>
        <v>false</v>
      </c>
      <c r="S210" s="416">
        <f>IF(ISERROR(SEARCH("Водоснабжение",AB209)),FALSE,TRUE)</f>
        <v>1</v>
      </c>
      <c r="T210" s="465">
        <f>AND(X209&gt;0,S210,NOT(R210))</f>
        <v>1</v>
      </c>
      <c r="U210" s="1442"/>
      <c r="V210" s="1304"/>
      <c r="W210" s="1442"/>
      <c r="X210" s="1563"/>
      <c r="Y210" s="1545"/>
      <c r="Z210" s="1304"/>
      <c r="AA210" s="1304"/>
      <c r="AB210" s="240" t="s">
        <v>276</v>
      </c>
      <c r="AC210" s="329" t="s">
        <v>1244</v>
      </c>
      <c r="AD210" s="92"/>
      <c r="AE210" s="570" cm="1" t="str">
        <f t="array" ref="AE210:AE210">INDEX('Общие сведения'!$AH$179:$AH$250,MATCH($X209,'Общие сведения'!$Z$179:$Z$250,0))</f>
        <v>питьевая вода</v>
      </c>
      <c r="AF210" s="362"/>
      <c r="AG210" s="362"/>
      <c r="AH210" s="362"/>
      <c r="AI210" s="362"/>
      <c r="AJ210" s="362"/>
      <c r="AK210" s="362"/>
      <c r="AL210" s="362"/>
      <c r="AM210" s="362"/>
      <c r="AN210" s="362"/>
      <c r="AO210" s="362"/>
      <c r="AP210" s="362"/>
      <c r="AQ210" s="362"/>
      <c r="AR210" s="362"/>
      <c r="AS210" s="362"/>
      <c r="AT210" s="362"/>
      <c r="AU210" s="362"/>
      <c r="AV210" s="362"/>
      <c r="AW210" s="362"/>
      <c r="AX210" s="362"/>
      <c r="AY210" s="362"/>
      <c r="AZ210" s="362"/>
      <c r="BA210" s="362"/>
      <c r="BB210" s="363"/>
      <c r="BC210" s="200"/>
      <c r="BD210" s="1304"/>
      <c r="BE210" s="1304"/>
      <c r="BF210" s="1015" t="s">
        <v>1245</v>
      </c>
    </row>
    <row s="1834" customFormat="1" customHeight="1" ht="23.25">
      <c r="A211" s="1304"/>
      <c r="B211" s="1436"/>
      <c r="C211" s="1304"/>
      <c r="D211" s="1304"/>
      <c r="E211" s="632">
        <v>15</v>
      </c>
      <c r="F211" s="50" cm="1" t="str">
        <f t="array" ref="F211:F211">OFFSET(E211,-1,1)</f>
        <v>2</v>
      </c>
      <c r="G211" s="1304"/>
      <c r="H211" s="98" t="s">
        <v>336</v>
      </c>
      <c r="I211" s="1304"/>
      <c r="J211" s="1304"/>
      <c r="K211" s="1304"/>
      <c r="L211" s="1304"/>
      <c r="M211" s="1304"/>
      <c r="N211" s="1304"/>
      <c r="O211" s="1304"/>
      <c r="P211" s="1442"/>
      <c r="Q211" s="1442"/>
      <c r="R211" s="1442"/>
      <c r="S211" s="1442"/>
      <c r="T211" s="465" cm="1" t="str">
        <f t="array" ref="T211:T211">T210</f>
        <v>true</v>
      </c>
      <c r="U211" s="1442"/>
      <c r="V211" s="1304"/>
      <c r="W211" s="1442"/>
      <c r="X211" s="1563"/>
      <c r="Y211" s="1545"/>
      <c r="Z211" s="1304"/>
      <c r="AA211" s="1304"/>
      <c r="AB211" s="240" t="s">
        <v>285</v>
      </c>
      <c r="AC211" s="330" t="s">
        <v>1246</v>
      </c>
      <c r="AD211" s="93" t="s">
        <v>1247</v>
      </c>
      <c r="AE211" s="315">
        <f>AE220+AE215-AE218</f>
        <v>0</v>
      </c>
      <c r="AF211" s="315">
        <f>AF220+AF215-AF218</f>
        <v>0</v>
      </c>
      <c r="AG211" s="315">
        <f>AG220+AG215-AG218</f>
        <v>0</v>
      </c>
      <c r="AH211" s="315">
        <f>AH220+AH215-AH218</f>
        <v>0</v>
      </c>
      <c r="AI211" s="315">
        <f>AI220+AI215-AI218</f>
        <v>0</v>
      </c>
      <c r="AJ211" s="315">
        <f>AJ220+AJ215-AJ218</f>
        <v>0</v>
      </c>
      <c r="AK211" s="315">
        <f>AK220+AK215-AK218</f>
        <v>0</v>
      </c>
      <c r="AL211" s="315">
        <f>AL220+AL215-AL218</f>
        <v>0</v>
      </c>
      <c r="AM211" s="315">
        <f>AM220+AM215-AM218</f>
        <v>0</v>
      </c>
      <c r="AN211" s="315">
        <f>AN220+AN215-AN218</f>
        <v>0</v>
      </c>
      <c r="AO211" s="315">
        <f>AO220+AO215-AO218</f>
        <v>0</v>
      </c>
      <c r="AP211" s="315">
        <f>AP220+AP215-AP218</f>
        <v>0</v>
      </c>
      <c r="AQ211" s="315">
        <f>AQ220+AQ215-AQ218</f>
        <v>0</v>
      </c>
      <c r="AR211" s="315">
        <f>AR220+AR215-AR218</f>
        <v>0</v>
      </c>
      <c r="AS211" s="315">
        <f>AS220+AS215-AS218</f>
        <v>0</v>
      </c>
      <c r="AT211" s="315">
        <f>AT220+AT215-AT218</f>
        <v>0</v>
      </c>
      <c r="AU211" s="315">
        <f>AU220+AU215-AU218</f>
        <v>0</v>
      </c>
      <c r="AV211" s="315">
        <f>AV220+AV215-AV218</f>
        <v>0</v>
      </c>
      <c r="AW211" s="315">
        <f>AW220+AW215-AW218</f>
        <v>0</v>
      </c>
      <c r="AX211" s="315">
        <f>AX220+AX215-AX218</f>
        <v>0</v>
      </c>
      <c r="AY211" s="315">
        <f>AY220+AY215-AY218</f>
        <v>0</v>
      </c>
      <c r="AZ211" s="315">
        <f>AZ220+AZ215-AZ218</f>
        <v>0</v>
      </c>
      <c r="BA211" s="315">
        <f>BA220+BA215-BA218</f>
        <v>0</v>
      </c>
      <c r="BB211" s="315">
        <f>BB220+BB215-BB218</f>
        <v>0</v>
      </c>
      <c r="BC211" s="200"/>
      <c r="BD211" s="1304"/>
      <c r="BE211" s="1304"/>
      <c r="BF211" s="1015" t="s">
        <v>1248</v>
      </c>
    </row>
    <row s="1834" customFormat="1" customHeight="1" ht="12.75">
      <c r="A212" s="1304"/>
      <c r="B212" s="1436"/>
      <c r="C212" s="1304"/>
      <c r="D212" s="1304"/>
      <c r="E212" s="632">
        <v>15</v>
      </c>
      <c r="F212" s="50" cm="1" t="str">
        <f t="array" ref="F212:F212">OFFSET(E212,-1,1)</f>
        <v>2</v>
      </c>
      <c r="G212" s="1304"/>
      <c r="H212" s="98" t="s">
        <v>1249</v>
      </c>
      <c r="I212" s="1304"/>
      <c r="J212" s="1304"/>
      <c r="K212" s="1304"/>
      <c r="L212" s="1304"/>
      <c r="M212" s="1304"/>
      <c r="N212" s="1304"/>
      <c r="O212" s="1304"/>
      <c r="P212" s="1442"/>
      <c r="Q212" s="1442"/>
      <c r="R212" s="1442"/>
      <c r="S212" s="1442"/>
      <c r="T212" s="465" cm="1" t="str">
        <f t="array" ref="T212:T212">T211</f>
        <v>true</v>
      </c>
      <c r="U212" s="1442"/>
      <c r="V212" s="1304"/>
      <c r="W212" s="1442"/>
      <c r="X212" s="1563"/>
      <c r="Y212" s="1545"/>
      <c r="Z212" s="1304"/>
      <c r="AA212" s="1304"/>
      <c r="AB212" s="240" t="s">
        <v>1250</v>
      </c>
      <c r="AC212" s="192" t="s">
        <v>1251</v>
      </c>
      <c r="AD212" s="93" t="s">
        <v>1247</v>
      </c>
      <c r="AE212" s="279"/>
      <c r="AF212" s="279"/>
      <c r="AG212" s="279"/>
      <c r="AH212" s="279"/>
      <c r="AI212" s="279"/>
      <c r="AJ212" s="279"/>
      <c r="AK212" s="279"/>
      <c r="AL212" s="279"/>
      <c r="AM212" s="279"/>
      <c r="AN212" s="2113"/>
      <c r="AO212" s="2113"/>
      <c r="AP212" s="2113"/>
      <c r="AQ212" s="2113"/>
      <c r="AR212" s="2113"/>
      <c r="AS212" s="279"/>
      <c r="AT212" s="279"/>
      <c r="AU212" s="279"/>
      <c r="AV212" s="279"/>
      <c r="AW212" s="279"/>
      <c r="AX212" s="2113"/>
      <c r="AY212" s="2113"/>
      <c r="AZ212" s="2113"/>
      <c r="BA212" s="2113"/>
      <c r="BB212" s="2113"/>
      <c r="BC212" s="284"/>
      <c r="BD212" s="1304"/>
      <c r="BE212" s="1304"/>
      <c r="BF212" s="1015" t="s">
        <v>1252</v>
      </c>
    </row>
    <row s="1834" customFormat="1" customHeight="1" ht="12.75">
      <c r="A213" s="1304"/>
      <c r="B213" s="1436"/>
      <c r="C213" s="1304"/>
      <c r="D213" s="1304"/>
      <c r="E213" s="632">
        <v>15</v>
      </c>
      <c r="F213" s="50" cm="1" t="str">
        <f t="array" ref="F213:F213">OFFSET(E213,-1,1)</f>
        <v>2</v>
      </c>
      <c r="G213" s="1304"/>
      <c r="H213" s="98" t="s">
        <v>1253</v>
      </c>
      <c r="I213" s="1304"/>
      <c r="J213" s="1304"/>
      <c r="K213" s="1304"/>
      <c r="L213" s="1304"/>
      <c r="M213" s="1304"/>
      <c r="N213" s="1304"/>
      <c r="O213" s="1304"/>
      <c r="P213" s="1442"/>
      <c r="Q213" s="1442"/>
      <c r="R213" s="1442"/>
      <c r="S213" s="1442"/>
      <c r="T213" s="465" cm="1" t="str">
        <f t="array" ref="T213:T213">T212</f>
        <v>true</v>
      </c>
      <c r="U213" s="1442"/>
      <c r="V213" s="1304"/>
      <c r="W213" s="1442"/>
      <c r="X213" s="1563"/>
      <c r="Y213" s="1545"/>
      <c r="Z213" s="1304"/>
      <c r="AA213" s="1304"/>
      <c r="AB213" s="240" t="s">
        <v>1254</v>
      </c>
      <c r="AC213" s="192" t="s">
        <v>1255</v>
      </c>
      <c r="AD213" s="93" t="s">
        <v>1247</v>
      </c>
      <c r="AE213" s="279"/>
      <c r="AF213" s="279"/>
      <c r="AG213" s="279"/>
      <c r="AH213" s="279"/>
      <c r="AI213" s="279"/>
      <c r="AJ213" s="279"/>
      <c r="AK213" s="279"/>
      <c r="AL213" s="279"/>
      <c r="AM213" s="279"/>
      <c r="AN213" s="2113"/>
      <c r="AO213" s="2113"/>
      <c r="AP213" s="2113"/>
      <c r="AQ213" s="2113"/>
      <c r="AR213" s="2113"/>
      <c r="AS213" s="279"/>
      <c r="AT213" s="279"/>
      <c r="AU213" s="279"/>
      <c r="AV213" s="279"/>
      <c r="AW213" s="279"/>
      <c r="AX213" s="2113"/>
      <c r="AY213" s="2113"/>
      <c r="AZ213" s="2113"/>
      <c r="BA213" s="2113"/>
      <c r="BB213" s="2113"/>
      <c r="BC213" s="284"/>
      <c r="BD213" s="1304"/>
      <c r="BE213" s="1304"/>
      <c r="BF213" s="1015" t="s">
        <v>1256</v>
      </c>
    </row>
    <row s="1834" customFormat="1" customHeight="1" ht="0">
      <c r="A214" s="1304"/>
      <c r="B214" s="1436"/>
      <c r="C214" s="1304"/>
      <c r="D214" s="1304"/>
      <c r="E214" s="632">
        <v>22.5</v>
      </c>
      <c r="F214" s="50" cm="1" t="str">
        <f t="array" ref="F214:F214">OFFSET(E214,-1,1)</f>
        <v>2</v>
      </c>
      <c r="G214" s="1304"/>
      <c r="H214" s="98" t="s">
        <v>1257</v>
      </c>
      <c r="I214" s="1304"/>
      <c r="J214" s="1304"/>
      <c r="K214" s="1304"/>
      <c r="L214" s="1304"/>
      <c r="M214" s="1304"/>
      <c r="N214" s="1304"/>
      <c r="O214" s="1304"/>
      <c r="P214" s="1442"/>
      <c r="Q214" s="1442"/>
      <c r="R214" s="1442"/>
      <c r="S214" s="1442"/>
      <c r="T214" s="465" cm="1" t="str">
        <f t="array" ref="T214:T214">T213</f>
        <v>true</v>
      </c>
      <c r="U214" s="1442"/>
      <c r="V214" s="1304"/>
      <c r="W214" s="1442"/>
      <c r="X214" s="1563"/>
      <c r="Y214" s="1545"/>
      <c r="Z214" s="1304"/>
      <c r="AA214" s="1304"/>
      <c r="AB214" s="240" t="s">
        <v>1258</v>
      </c>
      <c r="AC214" s="330" t="s">
        <v>1259</v>
      </c>
      <c r="AD214" s="93" t="s">
        <v>1247</v>
      </c>
      <c r="AE214" s="279"/>
      <c r="AF214" s="279"/>
      <c r="AG214" s="279"/>
      <c r="AH214" s="279"/>
      <c r="AI214" s="279"/>
      <c r="AJ214" s="279"/>
      <c r="AK214" s="279"/>
      <c r="AL214" s="279"/>
      <c r="AM214" s="279"/>
      <c r="AN214" s="2113"/>
      <c r="AO214" s="2113"/>
      <c r="AP214" s="2113"/>
      <c r="AQ214" s="2113"/>
      <c r="AR214" s="2113"/>
      <c r="AS214" s="279"/>
      <c r="AT214" s="279"/>
      <c r="AU214" s="279"/>
      <c r="AV214" s="279"/>
      <c r="AW214" s="279"/>
      <c r="AX214" s="2113"/>
      <c r="AY214" s="2113"/>
      <c r="AZ214" s="2113"/>
      <c r="BA214" s="2113"/>
      <c r="BB214" s="2113"/>
      <c r="BC214" s="284"/>
      <c r="BD214" s="1304"/>
      <c r="BE214" s="1304"/>
      <c r="BF214" s="1015" t="s">
        <v>1260</v>
      </c>
    </row>
    <row s="1834" customFormat="1" customHeight="1" ht="12.75">
      <c r="A215" s="1304"/>
      <c r="B215" s="1436"/>
      <c r="C215" s="1304"/>
      <c r="D215" s="1304"/>
      <c r="E215" s="632">
        <v>15</v>
      </c>
      <c r="F215" s="50" cm="1" t="str">
        <f t="array" ref="F215:F215">OFFSET(E215,-1,1)</f>
        <v>2</v>
      </c>
      <c r="G215" s="1304"/>
      <c r="H215" s="98" t="s">
        <v>335</v>
      </c>
      <c r="I215" s="1304"/>
      <c r="J215" s="1304"/>
      <c r="K215" s="1304"/>
      <c r="L215" s="1304"/>
      <c r="M215" s="1304"/>
      <c r="N215" s="1304"/>
      <c r="O215" s="1304"/>
      <c r="P215" s="1442"/>
      <c r="Q215" s="1442"/>
      <c r="R215" s="1442"/>
      <c r="S215" s="1442"/>
      <c r="T215" s="465" cm="1" t="str">
        <f t="array" ref="T215:T215">T214</f>
        <v>true</v>
      </c>
      <c r="U215" s="1442"/>
      <c r="V215" s="1304"/>
      <c r="W215" s="1442"/>
      <c r="X215" s="1563"/>
      <c r="Y215" s="1545"/>
      <c r="Z215" s="1304"/>
      <c r="AA215" s="1304"/>
      <c r="AB215" s="240" t="s">
        <v>289</v>
      </c>
      <c r="AC215" s="330" t="s">
        <v>1261</v>
      </c>
      <c r="AD215" s="93" t="s">
        <v>1247</v>
      </c>
      <c r="AE215" s="315">
        <f>SUM(AE216:AE217)</f>
        <v>0</v>
      </c>
      <c r="AF215" s="315">
        <f>SUM(AF216:AF217)</f>
        <v>0</v>
      </c>
      <c r="AG215" s="315">
        <f>SUM(AG216:AG217)</f>
        <v>0</v>
      </c>
      <c r="AH215" s="315">
        <f>SUM(AH216:AH217)</f>
        <v>0</v>
      </c>
      <c r="AI215" s="315">
        <f>SUM(AI216:AI217)</f>
        <v>0</v>
      </c>
      <c r="AJ215" s="315">
        <f>SUM(AJ216:AJ217)</f>
        <v>0</v>
      </c>
      <c r="AK215" s="315">
        <f>SUM(AK216:AK217)</f>
        <v>0</v>
      </c>
      <c r="AL215" s="315">
        <f>SUM(AL216:AL217)</f>
        <v>0</v>
      </c>
      <c r="AM215" s="315">
        <f>SUM(AM216:AM217)</f>
        <v>0</v>
      </c>
      <c r="AN215" s="315">
        <f>SUM(AN216:AN217)</f>
        <v>0</v>
      </c>
      <c r="AO215" s="315">
        <f>SUM(AO216:AO217)</f>
        <v>0</v>
      </c>
      <c r="AP215" s="315">
        <f>SUM(AP216:AP217)</f>
        <v>0</v>
      </c>
      <c r="AQ215" s="315">
        <f>SUM(AQ216:AQ217)</f>
        <v>0</v>
      </c>
      <c r="AR215" s="315">
        <f>SUM(AR216:AR217)</f>
        <v>0</v>
      </c>
      <c r="AS215" s="315">
        <f>SUM(AS216:AS217)</f>
        <v>0</v>
      </c>
      <c r="AT215" s="315">
        <f>SUM(AT216:AT217)</f>
        <v>0</v>
      </c>
      <c r="AU215" s="315">
        <f>SUM(AU216:AU217)</f>
        <v>0</v>
      </c>
      <c r="AV215" s="315">
        <f>SUM(AV216:AV217)</f>
        <v>0</v>
      </c>
      <c r="AW215" s="315">
        <f>SUM(AW216:AW217)</f>
        <v>0</v>
      </c>
      <c r="AX215" s="315">
        <f>SUM(AX216:AX217)</f>
        <v>0</v>
      </c>
      <c r="AY215" s="315">
        <f>SUM(AY216:AY217)</f>
        <v>0</v>
      </c>
      <c r="AZ215" s="315">
        <f>SUM(AZ216:AZ217)</f>
        <v>0</v>
      </c>
      <c r="BA215" s="315">
        <f>SUM(BA216:BA217)</f>
        <v>0</v>
      </c>
      <c r="BB215" s="315">
        <f>SUM(BB216:BB217)</f>
        <v>0</v>
      </c>
      <c r="BC215" s="284"/>
      <c r="BD215" s="1304"/>
      <c r="BE215" s="1304"/>
      <c r="BF215" s="1015" t="s">
        <v>1262</v>
      </c>
    </row>
    <row s="1834" customFormat="1" customHeight="1" ht="0">
      <c r="A216" s="1304"/>
      <c r="B216" s="1436"/>
      <c r="C216" s="1304"/>
      <c r="D216" s="1304"/>
      <c r="E216" s="632">
        <v>15</v>
      </c>
      <c r="F216" s="50" cm="1" t="str">
        <f t="array" ref="F216:F216">OFFSET(E216,-1,1)</f>
        <v>2</v>
      </c>
      <c r="G216" s="1304"/>
      <c r="H216" s="98" t="s">
        <v>1263</v>
      </c>
      <c r="I216" s="1304"/>
      <c r="J216" s="1304"/>
      <c r="K216" s="1304"/>
      <c r="L216" s="1304"/>
      <c r="M216" s="1304"/>
      <c r="N216" s="1304"/>
      <c r="O216" s="1304"/>
      <c r="P216" s="1442"/>
      <c r="Q216" s="1442"/>
      <c r="R216" s="1442"/>
      <c r="S216" s="1442"/>
      <c r="T216" s="465" cm="1" t="str">
        <f t="array" ref="T216:T216">T215</f>
        <v>true</v>
      </c>
      <c r="U216" s="1442"/>
      <c r="V216" s="1304"/>
      <c r="W216" s="1442"/>
      <c r="X216" s="1563"/>
      <c r="Y216" s="1545"/>
      <c r="Z216" s="1304"/>
      <c r="AA216" s="1304"/>
      <c r="AB216" s="240" t="s">
        <v>1264</v>
      </c>
      <c r="AC216" s="192" t="s">
        <v>1265</v>
      </c>
      <c r="AD216" s="93" t="s">
        <v>1247</v>
      </c>
      <c r="AE216" s="279"/>
      <c r="AF216" s="279"/>
      <c r="AG216" s="279"/>
      <c r="AH216" s="279"/>
      <c r="AI216" s="279"/>
      <c r="AJ216" s="279"/>
      <c r="AK216" s="279"/>
      <c r="AL216" s="279"/>
      <c r="AM216" s="279"/>
      <c r="AN216" s="2113"/>
      <c r="AO216" s="2113"/>
      <c r="AP216" s="2113"/>
      <c r="AQ216" s="2113"/>
      <c r="AR216" s="2113"/>
      <c r="AS216" s="279"/>
      <c r="AT216" s="279"/>
      <c r="AU216" s="279"/>
      <c r="AV216" s="279"/>
      <c r="AW216" s="279"/>
      <c r="AX216" s="2113"/>
      <c r="AY216" s="2113"/>
      <c r="AZ216" s="2113"/>
      <c r="BA216" s="2113"/>
      <c r="BB216" s="2113"/>
      <c r="BC216" s="284"/>
      <c r="BD216" s="1304"/>
      <c r="BE216" s="1304"/>
      <c r="BF216" s="1015" t="s">
        <v>1266</v>
      </c>
    </row>
    <row s="1834" customFormat="1" customHeight="1" ht="0">
      <c r="A217" s="1304"/>
      <c r="B217" s="1436"/>
      <c r="C217" s="1304"/>
      <c r="D217" s="1304"/>
      <c r="E217" s="632">
        <v>15</v>
      </c>
      <c r="F217" s="50" cm="1" t="str">
        <f t="array" ref="F217:F217">OFFSET(E217,-1,1)</f>
        <v>2</v>
      </c>
      <c r="G217" s="1304"/>
      <c r="H217" s="98" t="s">
        <v>1267</v>
      </c>
      <c r="I217" s="1304"/>
      <c r="J217" s="1304"/>
      <c r="K217" s="1304"/>
      <c r="L217" s="1304"/>
      <c r="M217" s="1304"/>
      <c r="N217" s="1304"/>
      <c r="O217" s="1304"/>
      <c r="P217" s="1442"/>
      <c r="Q217" s="1442"/>
      <c r="R217" s="1442"/>
      <c r="S217" s="1442"/>
      <c r="T217" s="465" cm="1" t="str">
        <f t="array" ref="T217:T217">T216</f>
        <v>true</v>
      </c>
      <c r="U217" s="1442"/>
      <c r="V217" s="1304"/>
      <c r="W217" s="1442"/>
      <c r="X217" s="1563"/>
      <c r="Y217" s="1545"/>
      <c r="Z217" s="1304"/>
      <c r="AA217" s="1304"/>
      <c r="AB217" s="240" t="s">
        <v>1268</v>
      </c>
      <c r="AC217" s="192" t="s">
        <v>1269</v>
      </c>
      <c r="AD217" s="93" t="s">
        <v>1247</v>
      </c>
      <c r="AE217" s="279"/>
      <c r="AF217" s="279"/>
      <c r="AG217" s="279"/>
      <c r="AH217" s="279"/>
      <c r="AI217" s="279"/>
      <c r="AJ217" s="279"/>
      <c r="AK217" s="279"/>
      <c r="AL217" s="279"/>
      <c r="AM217" s="279"/>
      <c r="AN217" s="2113"/>
      <c r="AO217" s="2113"/>
      <c r="AP217" s="2113"/>
      <c r="AQ217" s="2113"/>
      <c r="AR217" s="2113"/>
      <c r="AS217" s="279"/>
      <c r="AT217" s="279"/>
      <c r="AU217" s="279"/>
      <c r="AV217" s="279"/>
      <c r="AW217" s="279"/>
      <c r="AX217" s="2113"/>
      <c r="AY217" s="2113"/>
      <c r="AZ217" s="2113"/>
      <c r="BA217" s="2113"/>
      <c r="BB217" s="2113"/>
      <c r="BC217" s="284"/>
      <c r="BD217" s="1304"/>
      <c r="BE217" s="1304"/>
      <c r="BF217" s="1015" t="s">
        <v>1270</v>
      </c>
    </row>
    <row s="1834" customFormat="1" customHeight="1" ht="64.359375">
      <c r="A218" s="1304"/>
      <c r="B218" s="1436"/>
      <c r="C218" s="1304"/>
      <c r="D218" s="1304"/>
      <c r="E218" s="632">
        <v>15</v>
      </c>
      <c r="F218" s="50" cm="1" t="str">
        <f t="array" ref="F218:F218">OFFSET(E218,-1,1)</f>
        <v>2</v>
      </c>
      <c r="G218" s="1304"/>
      <c r="H218" s="98" t="s">
        <v>1225</v>
      </c>
      <c r="I218" s="1304"/>
      <c r="J218" s="1304"/>
      <c r="K218" s="1304"/>
      <c r="L218" s="1304"/>
      <c r="M218" s="1304"/>
      <c r="N218" s="1304"/>
      <c r="O218" s="1304"/>
      <c r="P218" s="1442"/>
      <c r="Q218" s="1442"/>
      <c r="R218" s="1442"/>
      <c r="S218" s="1442"/>
      <c r="T218" s="465" cm="1" t="str">
        <f t="array" ref="T218:T218">T217</f>
        <v>true</v>
      </c>
      <c r="U218" s="1442"/>
      <c r="V218" s="1304"/>
      <c r="W218" s="1442"/>
      <c r="X218" s="1563"/>
      <c r="Y218" s="1545"/>
      <c r="Z218" s="1304"/>
      <c r="AA218" s="1304"/>
      <c r="AB218" s="240" t="s">
        <v>295</v>
      </c>
      <c r="AC218" s="329" t="s">
        <v>1271</v>
      </c>
      <c r="AD218" s="93" t="s">
        <v>1247</v>
      </c>
      <c r="AE218" s="276"/>
      <c r="AF218" s="276"/>
      <c r="AG218" s="276"/>
      <c r="AH218" s="276"/>
      <c r="AI218" s="276">
        <v>2429.27162</v>
      </c>
      <c r="AJ218" s="276">
        <v>2429.27162</v>
      </c>
      <c r="AK218" s="276">
        <v>2429.26762</v>
      </c>
      <c r="AL218" s="276">
        <v>2429.129</v>
      </c>
      <c r="AM218" s="276">
        <v>2426.2559</v>
      </c>
      <c r="AN218" s="2069"/>
      <c r="AO218" s="2069"/>
      <c r="AP218" s="2069"/>
      <c r="AQ218" s="2069"/>
      <c r="AR218" s="2069"/>
      <c r="AS218" s="276">
        <v>2429.27162</v>
      </c>
      <c r="AT218" s="276">
        <v>2429.27162</v>
      </c>
      <c r="AU218" s="276">
        <v>2429.27162</v>
      </c>
      <c r="AV218" s="276">
        <v>2429.10939</v>
      </c>
      <c r="AW218" s="276">
        <v>2426.24691</v>
      </c>
      <c r="AX218" s="2069"/>
      <c r="AY218" s="2069"/>
      <c r="AZ218" s="2069"/>
      <c r="BA218" s="2069"/>
      <c r="BB218" s="2069"/>
      <c r="BC218" s="284" t="s">
        <v>1485</v>
      </c>
      <c r="BD218" s="1304"/>
      <c r="BE218" s="1304"/>
      <c r="BF218" s="1015" t="s">
        <v>1272</v>
      </c>
    </row>
    <row s="1834" customFormat="1" customHeight="1" ht="23.25">
      <c r="A219" s="1304"/>
      <c r="B219" s="1436"/>
      <c r="C219" s="1304"/>
      <c r="D219" s="1304"/>
      <c r="E219" s="632">
        <v>15</v>
      </c>
      <c r="F219" s="50" cm="1" t="str">
        <f t="array" ref="F219:F219">OFFSET(E219,-1,1)</f>
        <v>2</v>
      </c>
      <c r="G219" s="1304"/>
      <c r="H219" s="98" t="s">
        <v>1228</v>
      </c>
      <c r="I219" s="1304"/>
      <c r="J219" s="1304"/>
      <c r="K219" s="1304"/>
      <c r="L219" s="1304"/>
      <c r="M219" s="1304"/>
      <c r="N219" s="1304"/>
      <c r="O219" s="1304"/>
      <c r="P219" s="1442"/>
      <c r="Q219" s="1442"/>
      <c r="R219" s="1442"/>
      <c r="S219" s="1442"/>
      <c r="T219" s="465" cm="1" t="str">
        <f t="array" ref="T219:T219">T218</f>
        <v>true</v>
      </c>
      <c r="U219" s="1442"/>
      <c r="V219" s="1304"/>
      <c r="W219" s="1442"/>
      <c r="X219" s="1563"/>
      <c r="Y219" s="1545"/>
      <c r="Z219" s="1304"/>
      <c r="AA219" s="1304"/>
      <c r="AB219" s="240" t="s">
        <v>443</v>
      </c>
      <c r="AC219" s="329" t="s">
        <v>1273</v>
      </c>
      <c r="AD219" s="93" t="s">
        <v>1247</v>
      </c>
      <c r="AE219" s="279"/>
      <c r="AF219" s="279"/>
      <c r="AG219" s="279"/>
      <c r="AH219" s="279"/>
      <c r="AI219" s="279"/>
      <c r="AJ219" s="279"/>
      <c r="AK219" s="279"/>
      <c r="AL219" s="279"/>
      <c r="AM219" s="279"/>
      <c r="AN219" s="2113"/>
      <c r="AO219" s="2113"/>
      <c r="AP219" s="2113"/>
      <c r="AQ219" s="2113"/>
      <c r="AR219" s="2113"/>
      <c r="AS219" s="279"/>
      <c r="AT219" s="279"/>
      <c r="AU219" s="279"/>
      <c r="AV219" s="279"/>
      <c r="AW219" s="279"/>
      <c r="AX219" s="2113"/>
      <c r="AY219" s="2113"/>
      <c r="AZ219" s="2113"/>
      <c r="BA219" s="2113"/>
      <c r="BB219" s="2113"/>
      <c r="BC219" s="284"/>
      <c r="BD219" s="1304"/>
      <c r="BE219" s="1304"/>
      <c r="BF219" s="1015" t="s">
        <v>1274</v>
      </c>
    </row>
    <row s="1834" customFormat="1" customHeight="1" ht="12.75">
      <c r="A220" s="1304"/>
      <c r="B220" s="1436"/>
      <c r="C220" s="1304"/>
      <c r="D220" s="1304"/>
      <c r="E220" s="632">
        <v>15</v>
      </c>
      <c r="F220" s="50" cm="1" t="str">
        <f t="array" ref="F220:F220">OFFSET(E220,-1,1)</f>
        <v>2</v>
      </c>
      <c r="G220" s="1304"/>
      <c r="H220" s="98" t="s">
        <v>1275</v>
      </c>
      <c r="I220" s="1304"/>
      <c r="J220" s="1304"/>
      <c r="K220" s="1304"/>
      <c r="L220" s="1304"/>
      <c r="M220" s="1304"/>
      <c r="N220" s="1304"/>
      <c r="O220" s="1304"/>
      <c r="P220" s="1442"/>
      <c r="Q220" s="1442"/>
      <c r="R220" s="1442"/>
      <c r="S220" s="1442"/>
      <c r="T220" s="465" cm="1" t="str">
        <f t="array" ref="T220:T220">T219</f>
        <v>true</v>
      </c>
      <c r="U220" s="1442"/>
      <c r="V220" s="1304"/>
      <c r="W220" s="1442"/>
      <c r="X220" s="1563"/>
      <c r="Y220" s="1545"/>
      <c r="Z220" s="1304"/>
      <c r="AA220" s="1304"/>
      <c r="AB220" s="240" t="s">
        <v>446</v>
      </c>
      <c r="AC220" s="330" t="s">
        <v>1276</v>
      </c>
      <c r="AD220" s="93" t="s">
        <v>1247</v>
      </c>
      <c r="AE220" s="315">
        <f>AE226+AE224</f>
        <v>0</v>
      </c>
      <c r="AF220" s="315">
        <f>AF226+AF224</f>
        <v>0</v>
      </c>
      <c r="AG220" s="315">
        <f>AG226+AG224</f>
        <v>0</v>
      </c>
      <c r="AH220" s="315">
        <f>AH226+AH224</f>
        <v>0</v>
      </c>
      <c r="AI220" s="315">
        <f>AI226+AI224</f>
        <v>2429.27162</v>
      </c>
      <c r="AJ220" s="315">
        <f>AJ226+AJ224</f>
        <v>2429.27162</v>
      </c>
      <c r="AK220" s="315">
        <f>AK226+AK224</f>
        <v>2429.26762</v>
      </c>
      <c r="AL220" s="315">
        <f>AL226+AL224</f>
        <v>2429.129</v>
      </c>
      <c r="AM220" s="315">
        <f>AM226+AM224</f>
        <v>2426.2559</v>
      </c>
      <c r="AN220" s="315">
        <f>AN226+AN224</f>
        <v>0</v>
      </c>
      <c r="AO220" s="315">
        <f>AO226+AO224</f>
        <v>0</v>
      </c>
      <c r="AP220" s="315">
        <f>AP226+AP224</f>
        <v>0</v>
      </c>
      <c r="AQ220" s="315">
        <f>AQ226+AQ224</f>
        <v>0</v>
      </c>
      <c r="AR220" s="315">
        <f>AR226+AR224</f>
        <v>0</v>
      </c>
      <c r="AS220" s="315">
        <f>AS226+AS224</f>
        <v>2429.27162</v>
      </c>
      <c r="AT220" s="315">
        <f>AT226+AT224</f>
        <v>2429.27162</v>
      </c>
      <c r="AU220" s="315">
        <f>AU226+AU224</f>
        <v>2429.27162</v>
      </c>
      <c r="AV220" s="315">
        <f>AV226+AV224</f>
        <v>2429.10939</v>
      </c>
      <c r="AW220" s="315">
        <f>AW226+AW224</f>
        <v>2426.24691</v>
      </c>
      <c r="AX220" s="315">
        <f>AX226+AX224</f>
        <v>0</v>
      </c>
      <c r="AY220" s="315">
        <f>AY226+AY224</f>
        <v>0</v>
      </c>
      <c r="AZ220" s="315">
        <f>AZ226+AZ224</f>
        <v>0</v>
      </c>
      <c r="BA220" s="315">
        <f>BA226+BA224</f>
        <v>0</v>
      </c>
      <c r="BB220" s="315">
        <f>BB226+BB224</f>
        <v>0</v>
      </c>
      <c r="BC220" s="284"/>
      <c r="BD220" s="1304"/>
      <c r="BE220" s="1304"/>
      <c r="BF220" s="1015" t="s">
        <v>1277</v>
      </c>
    </row>
    <row s="1834" customFormat="1" customHeight="1" ht="23.25">
      <c r="A221" s="1304"/>
      <c r="B221" s="1436"/>
      <c r="C221" s="1304"/>
      <c r="D221" s="1304"/>
      <c r="E221" s="632">
        <v>22.5</v>
      </c>
      <c r="F221" s="50" cm="1" t="str">
        <f t="array" ref="F221:F221">OFFSET(E221,-1,1)</f>
        <v>2</v>
      </c>
      <c r="G221" s="1304"/>
      <c r="H221" s="98" t="s">
        <v>1278</v>
      </c>
      <c r="I221" s="1304"/>
      <c r="J221" s="1304"/>
      <c r="K221" s="1304"/>
      <c r="L221" s="1304"/>
      <c r="M221" s="1304"/>
      <c r="N221" s="1304"/>
      <c r="O221" s="1304"/>
      <c r="P221" s="1442"/>
      <c r="Q221" s="1442"/>
      <c r="R221" s="1442"/>
      <c r="S221" s="1442"/>
      <c r="T221" s="465" cm="1" t="str">
        <f t="array" ref="T221:T221">T220</f>
        <v>true</v>
      </c>
      <c r="U221" s="1442"/>
      <c r="V221" s="1304"/>
      <c r="W221" s="1442"/>
      <c r="X221" s="1563"/>
      <c r="Y221" s="1545"/>
      <c r="Z221" s="1304"/>
      <c r="AA221" s="1304"/>
      <c r="AB221" s="240" t="s">
        <v>1279</v>
      </c>
      <c r="AC221" s="192" t="s">
        <v>1280</v>
      </c>
      <c r="AD221" s="93" t="s">
        <v>1247</v>
      </c>
      <c r="AE221" s="279"/>
      <c r="AF221" s="279"/>
      <c r="AG221" s="279"/>
      <c r="AH221" s="279"/>
      <c r="AI221" s="279"/>
      <c r="AJ221" s="279"/>
      <c r="AK221" s="279"/>
      <c r="AL221" s="279"/>
      <c r="AM221" s="279"/>
      <c r="AN221" s="2113"/>
      <c r="AO221" s="2113"/>
      <c r="AP221" s="2113"/>
      <c r="AQ221" s="2113"/>
      <c r="AR221" s="2113"/>
      <c r="AS221" s="279"/>
      <c r="AT221" s="279"/>
      <c r="AU221" s="279"/>
      <c r="AV221" s="279"/>
      <c r="AW221" s="279"/>
      <c r="AX221" s="2113"/>
      <c r="AY221" s="2113"/>
      <c r="AZ221" s="2113"/>
      <c r="BA221" s="2113"/>
      <c r="BB221" s="2113"/>
      <c r="BC221" s="284"/>
      <c r="BD221" s="1304"/>
      <c r="BE221" s="1304"/>
      <c r="BF221" s="1015" t="s">
        <v>1281</v>
      </c>
    </row>
    <row s="1834" customFormat="1" customHeight="1" ht="23.25">
      <c r="A222" s="1304"/>
      <c r="B222" s="1436"/>
      <c r="C222" s="1304"/>
      <c r="D222" s="1304"/>
      <c r="E222" s="632">
        <v>15</v>
      </c>
      <c r="F222" s="50" cm="1" t="str">
        <f t="array" ref="F222:F222">OFFSET(E222,-1,1)</f>
        <v>2</v>
      </c>
      <c r="G222" s="1304"/>
      <c r="H222" s="98" t="s">
        <v>1282</v>
      </c>
      <c r="I222" s="1304"/>
      <c r="J222" s="1304"/>
      <c r="K222" s="1304"/>
      <c r="L222" s="1304"/>
      <c r="M222" s="1304"/>
      <c r="N222" s="1304"/>
      <c r="O222" s="1304"/>
      <c r="P222" s="1442"/>
      <c r="Q222" s="1442"/>
      <c r="R222" s="1442"/>
      <c r="S222" s="1442"/>
      <c r="T222" s="465" cm="1" t="str">
        <f t="array" ref="T222:T222">T221</f>
        <v>true</v>
      </c>
      <c r="U222" s="1442"/>
      <c r="V222" s="1304"/>
      <c r="W222" s="1442"/>
      <c r="X222" s="1563"/>
      <c r="Y222" s="1545"/>
      <c r="Z222" s="1304"/>
      <c r="AA222" s="1304"/>
      <c r="AB222" s="240" t="s">
        <v>1283</v>
      </c>
      <c r="AC222" s="192" t="s">
        <v>1284</v>
      </c>
      <c r="AD222" s="93" t="s">
        <v>1247</v>
      </c>
      <c r="AE222" s="279"/>
      <c r="AF222" s="279"/>
      <c r="AG222" s="279"/>
      <c r="AH222" s="279"/>
      <c r="AI222" s="279"/>
      <c r="AJ222" s="279"/>
      <c r="AK222" s="279"/>
      <c r="AL222" s="279"/>
      <c r="AM222" s="279"/>
      <c r="AN222" s="2113"/>
      <c r="AO222" s="2113"/>
      <c r="AP222" s="2113"/>
      <c r="AQ222" s="2113"/>
      <c r="AR222" s="2113"/>
      <c r="AS222" s="279"/>
      <c r="AT222" s="279"/>
      <c r="AU222" s="279"/>
      <c r="AV222" s="279"/>
      <c r="AW222" s="279"/>
      <c r="AX222" s="2113"/>
      <c r="AY222" s="2113"/>
      <c r="AZ222" s="2113"/>
      <c r="BA222" s="2113"/>
      <c r="BB222" s="2113"/>
      <c r="BC222" s="284"/>
      <c r="BD222" s="1304"/>
      <c r="BE222" s="1304"/>
      <c r="BF222" s="1015" t="s">
        <v>1285</v>
      </c>
    </row>
    <row s="1834" customFormat="1" customHeight="1" ht="23.25">
      <c r="A223" s="1304"/>
      <c r="B223" s="1436"/>
      <c r="C223" s="1304"/>
      <c r="D223" s="1304"/>
      <c r="E223" s="632">
        <v>22.5</v>
      </c>
      <c r="F223" s="50" cm="1" t="str">
        <f t="array" ref="F223:F223">OFFSET(E223,-1,1)</f>
        <v>2</v>
      </c>
      <c r="G223" s="1304"/>
      <c r="H223" s="98" t="s">
        <v>1286</v>
      </c>
      <c r="I223" s="1304"/>
      <c r="J223" s="1304"/>
      <c r="K223" s="1304"/>
      <c r="L223" s="1304"/>
      <c r="M223" s="1304"/>
      <c r="N223" s="1304"/>
      <c r="O223" s="1304"/>
      <c r="P223" s="1442"/>
      <c r="Q223" s="1442"/>
      <c r="R223" s="1442"/>
      <c r="S223" s="1442"/>
      <c r="T223" s="465" cm="1" t="str">
        <f t="array" ref="T223:T223">T222</f>
        <v>true</v>
      </c>
      <c r="U223" s="1442"/>
      <c r="V223" s="1304"/>
      <c r="W223" s="1442"/>
      <c r="X223" s="1563"/>
      <c r="Y223" s="1545"/>
      <c r="Z223" s="1304"/>
      <c r="AA223" s="1304"/>
      <c r="AB223" s="240" t="s">
        <v>1287</v>
      </c>
      <c r="AC223" s="192" t="s">
        <v>1288</v>
      </c>
      <c r="AD223" s="93" t="s">
        <v>1247</v>
      </c>
      <c r="AE223" s="279"/>
      <c r="AF223" s="279"/>
      <c r="AG223" s="279"/>
      <c r="AH223" s="279"/>
      <c r="AI223" s="279">
        <v>2429.27162</v>
      </c>
      <c r="AJ223" s="279">
        <v>2429.27162</v>
      </c>
      <c r="AK223" s="279">
        <v>2429.26762</v>
      </c>
      <c r="AL223" s="279">
        <v>2429.129</v>
      </c>
      <c r="AM223" s="279">
        <v>2426.2559</v>
      </c>
      <c r="AN223" s="2113"/>
      <c r="AO223" s="2113"/>
      <c r="AP223" s="2113"/>
      <c r="AQ223" s="2113"/>
      <c r="AR223" s="2113"/>
      <c r="AS223" s="279">
        <v>2429.27162</v>
      </c>
      <c r="AT223" s="279" cm="1" t="str">
        <f t="array" ref="AT223:AT223">AS223</f>
        <v>2429.27162</v>
      </c>
      <c r="AU223" s="279" cm="1" t="str">
        <f t="array" ref="AU223:AU223">AT223</f>
        <v>2429.27162</v>
      </c>
      <c r="AV223" s="279">
        <v>2429.10939</v>
      </c>
      <c r="AW223" s="279">
        <v>2426.24691</v>
      </c>
      <c r="AX223" s="2113"/>
      <c r="AY223" s="2113"/>
      <c r="AZ223" s="2113"/>
      <c r="BA223" s="2113"/>
      <c r="BB223" s="2113"/>
      <c r="BC223" s="284"/>
      <c r="BD223" s="1304"/>
      <c r="BE223" s="1304"/>
      <c r="BF223" s="1015" t="s">
        <v>1289</v>
      </c>
    </row>
    <row s="1834" customFormat="1" customHeight="1" ht="12.75">
      <c r="A224" s="1304"/>
      <c r="B224" s="1436"/>
      <c r="C224" s="1304"/>
      <c r="D224" s="1304"/>
      <c r="E224" s="632">
        <v>15</v>
      </c>
      <c r="F224" s="50" cm="1" t="str">
        <f t="array" ref="F224:F224">OFFSET(E224,-1,1)</f>
        <v>2</v>
      </c>
      <c r="G224" s="1304"/>
      <c r="H224" s="98" t="s">
        <v>1290</v>
      </c>
      <c r="I224" s="1304"/>
      <c r="J224" s="1304"/>
      <c r="K224" s="1304"/>
      <c r="L224" s="1304"/>
      <c r="M224" s="1304"/>
      <c r="N224" s="1304"/>
      <c r="O224" s="1304"/>
      <c r="P224" s="1442"/>
      <c r="Q224" s="1442"/>
      <c r="R224" s="1442"/>
      <c r="S224" s="1442"/>
      <c r="T224" s="465" cm="1" t="str">
        <f t="array" ref="T224:T224">T223</f>
        <v>true</v>
      </c>
      <c r="U224" s="1442"/>
      <c r="V224" s="1304"/>
      <c r="W224" s="1442"/>
      <c r="X224" s="1563"/>
      <c r="Y224" s="1545"/>
      <c r="Z224" s="1304"/>
      <c r="AA224" s="1304"/>
      <c r="AB224" s="240" t="s">
        <v>449</v>
      </c>
      <c r="AC224" s="329" t="s">
        <v>1291</v>
      </c>
      <c r="AD224" s="93" t="s">
        <v>1247</v>
      </c>
      <c r="AE224" s="279"/>
      <c r="AF224" s="279"/>
      <c r="AG224" s="279"/>
      <c r="AH224" s="279"/>
      <c r="AI224" s="279">
        <v>1338.04281</v>
      </c>
      <c r="AJ224" s="279">
        <v>1338.04281</v>
      </c>
      <c r="AK224" s="279">
        <v>1338.03881</v>
      </c>
      <c r="AL224" s="279">
        <v>1337.90019</v>
      </c>
      <c r="AM224" s="279">
        <v>1335.02709</v>
      </c>
      <c r="AN224" s="2113"/>
      <c r="AO224" s="2113"/>
      <c r="AP224" s="2113"/>
      <c r="AQ224" s="2113"/>
      <c r="AR224" s="2113"/>
      <c r="AS224" s="279">
        <v>1338.04281</v>
      </c>
      <c r="AT224" s="279" cm="1" t="str">
        <f t="array" ref="AT224:AT224">AS224</f>
        <v>1338.04281</v>
      </c>
      <c r="AU224" s="279">
        <v>1338.04281</v>
      </c>
      <c r="AV224" s="279">
        <v>1337.88058</v>
      </c>
      <c r="AW224" s="279">
        <v>1335.0181</v>
      </c>
      <c r="AX224" s="2113"/>
      <c r="AY224" s="2113"/>
      <c r="AZ224" s="2113"/>
      <c r="BA224" s="2113"/>
      <c r="BB224" s="2113"/>
      <c r="BC224" s="284"/>
      <c r="BD224" s="1304"/>
      <c r="BE224" s="1304"/>
      <c r="BF224" s="1015" t="s">
        <v>1292</v>
      </c>
    </row>
    <row s="1834" customFormat="1" customHeight="1" ht="23.25">
      <c r="A225" s="1304"/>
      <c r="B225" s="1436"/>
      <c r="C225" s="1304"/>
      <c r="D225" s="1304"/>
      <c r="E225" s="632">
        <v>15</v>
      </c>
      <c r="F225" s="50" cm="1" t="str">
        <f t="array" ref="F225:F225">OFFSET(E225,-1,1)</f>
        <v>2</v>
      </c>
      <c r="G225" s="1304"/>
      <c r="H225" s="98" t="s">
        <v>1293</v>
      </c>
      <c r="I225" s="1304"/>
      <c r="J225" s="1304"/>
      <c r="K225" s="1304"/>
      <c r="L225" s="1304"/>
      <c r="M225" s="1304"/>
      <c r="N225" s="1304"/>
      <c r="O225" s="1304"/>
      <c r="P225" s="1442"/>
      <c r="Q225" s="1442"/>
      <c r="R225" s="1442"/>
      <c r="S225" s="1442"/>
      <c r="T225" s="465" cm="1" t="str">
        <f t="array" ref="T225:T225">T224</f>
        <v>true</v>
      </c>
      <c r="U225" s="1442"/>
      <c r="V225" s="1304"/>
      <c r="W225" s="1442"/>
      <c r="X225" s="1563"/>
      <c r="Y225" s="1545"/>
      <c r="Z225" s="1304"/>
      <c r="AA225" s="1304"/>
      <c r="AB225" s="240" t="s">
        <v>1294</v>
      </c>
      <c r="AC225" s="331" t="s">
        <v>1295</v>
      </c>
      <c r="AD225" s="93" t="s">
        <v>1170</v>
      </c>
      <c r="AE225" s="141">
        <f>IF(AE220=0,0,AE224/AE220*100)</f>
        <v>0</v>
      </c>
      <c r="AF225" s="141">
        <f>IF(AF220=0,0,AF224/AF220*100)</f>
        <v>0</v>
      </c>
      <c r="AG225" s="141">
        <f>IF(AG220=0,0,AG224/AG220*100)</f>
        <v>0</v>
      </c>
      <c r="AH225" s="141">
        <f>IF(AH220=0,0,AH224/AH220*100)</f>
        <v>0</v>
      </c>
      <c r="AI225" s="2716">
        <f>IF(AI220=0,0,AI224/AI220*100)</f>
        <v>55.0800000701445</v>
      </c>
      <c r="AJ225" s="2716">
        <f>IF(AJ220=0,0,AJ224/AJ220*100)</f>
        <v>55.0800000701445</v>
      </c>
      <c r="AK225" s="2716">
        <f>IF(AK220=0,0,AK224/AK220*100)</f>
        <v>55.0799261054655</v>
      </c>
      <c r="AL225" s="2716">
        <f>IF(AL220=0,0,AL224/AL220*100)</f>
        <v>55.0773627090204</v>
      </c>
      <c r="AM225" s="2716">
        <f>IF(AM220=0,0,AM224/AM220*100)</f>
        <v>55.0241666594196</v>
      </c>
      <c r="AN225" s="2717">
        <f>IF(AN220=0,0,AN224/AN220*100)</f>
        <v>0</v>
      </c>
      <c r="AO225" s="2717">
        <f>IF(AO220=0,0,AO224/AO220*100)</f>
        <v>0</v>
      </c>
      <c r="AP225" s="2717">
        <f>IF(AP220=0,0,AP224/AP220*100)</f>
        <v>0</v>
      </c>
      <c r="AQ225" s="2717">
        <f>IF(AQ220=0,0,AQ224/AQ220*100)</f>
        <v>0</v>
      </c>
      <c r="AR225" s="2717">
        <f>IF(AR220=0,0,AR224/AR220*100)</f>
        <v>0</v>
      </c>
      <c r="AS225" s="2716">
        <f>IF(AS220=0,0,AS224/AS220*100)</f>
        <v>55.0800000701445</v>
      </c>
      <c r="AT225" s="2716">
        <f>IF(AT220=0,0,AT224/AT220*100)</f>
        <v>55.0800000701445</v>
      </c>
      <c r="AU225" s="2716">
        <f>IF(AU220=0,0,AU224/AU220*100)</f>
        <v>55.0800000701445</v>
      </c>
      <c r="AV225" s="2716">
        <f>IF(AV220=0,0,AV224/AV220*100)</f>
        <v>55.0770000522702</v>
      </c>
      <c r="AW225" s="2716">
        <f>IF(AW220=0,0,AW224/AW220*100)</f>
        <v>55.0240000099578</v>
      </c>
      <c r="AX225" s="1940">
        <f>IF(AX220=0,0,AX224/AX220*100)</f>
        <v>0</v>
      </c>
      <c r="AY225" s="1940">
        <f>IF(AY220=0,0,AY224/AY220*100)</f>
        <v>0</v>
      </c>
      <c r="AZ225" s="1940">
        <f>IF(AZ220=0,0,AZ224/AZ220*100)</f>
        <v>0</v>
      </c>
      <c r="BA225" s="1940">
        <f>IF(BA220=0,0,BA224/BA220*100)</f>
        <v>0</v>
      </c>
      <c r="BB225" s="1940">
        <f>IF(BB220=0,0,BB224/BB220*100)</f>
        <v>0</v>
      </c>
      <c r="BC225" s="284" t="s">
        <v>1483</v>
      </c>
      <c r="BD225" s="1304"/>
      <c r="BE225" s="1304"/>
      <c r="BF225" s="1015" t="s">
        <v>1296</v>
      </c>
    </row>
    <row s="1834" customFormat="1" customHeight="1" ht="54.75">
      <c r="A226" s="1304"/>
      <c r="B226" s="1436"/>
      <c r="C226" s="1304"/>
      <c r="D226" s="1304"/>
      <c r="E226" s="632">
        <v>15</v>
      </c>
      <c r="F226" s="50" cm="1" t="str">
        <f t="array" ref="F226:F226">OFFSET(E226,-1,1)</f>
        <v>2</v>
      </c>
      <c r="G226" s="1304"/>
      <c r="H226" s="98" t="s">
        <v>1297</v>
      </c>
      <c r="I226" s="1304"/>
      <c r="J226" s="1304"/>
      <c r="K226" s="1304"/>
      <c r="L226" s="1304"/>
      <c r="M226" s="1304"/>
      <c r="N226" s="1304"/>
      <c r="O226" s="1304"/>
      <c r="P226" s="1442"/>
      <c r="Q226" s="1442"/>
      <c r="R226" s="1442"/>
      <c r="S226" s="1442"/>
      <c r="T226" s="465" cm="1" t="str">
        <f t="array" ref="T226:T226">T225</f>
        <v>true</v>
      </c>
      <c r="U226" s="1442"/>
      <c r="V226" s="1304"/>
      <c r="W226" s="1442"/>
      <c r="X226" s="1563"/>
      <c r="Y226" s="1545"/>
      <c r="Z226" s="1304"/>
      <c r="AA226" s="1304"/>
      <c r="AB226" s="240" t="s">
        <v>452</v>
      </c>
      <c r="AC226" s="329" t="s">
        <v>1298</v>
      </c>
      <c r="AD226" s="93" t="s">
        <v>1247</v>
      </c>
      <c r="AE226" s="315">
        <f>AE227+AE231+AE234+AE244</f>
        <v>0</v>
      </c>
      <c r="AF226" s="315">
        <f>AF227+AF231+AF234+AF244</f>
        <v>0</v>
      </c>
      <c r="AG226" s="315">
        <f>AG227+AG231+AG234+AG244</f>
        <v>0</v>
      </c>
      <c r="AH226" s="315">
        <f>AH227+AH231+AH234+AH244</f>
        <v>0</v>
      </c>
      <c r="AI226" s="315">
        <f>AI227+AI231+AI234+AI244</f>
        <v>1091.22881</v>
      </c>
      <c r="AJ226" s="315">
        <f>AJ227+AJ231+AJ234+AJ244</f>
        <v>1091.22881</v>
      </c>
      <c r="AK226" s="315">
        <f>AK227+AK231+AK234+AK244</f>
        <v>1091.22881</v>
      </c>
      <c r="AL226" s="315">
        <f>AL227+AL231+AL234+AL244</f>
        <v>1091.22881</v>
      </c>
      <c r="AM226" s="315">
        <f>AM227+AM231+AM234+AM244</f>
        <v>1091.22881</v>
      </c>
      <c r="AN226" s="315">
        <f>AN227+AN231+AN234+AN244</f>
        <v>0</v>
      </c>
      <c r="AO226" s="315">
        <f>AO227+AO231+AO234+AO244</f>
        <v>0</v>
      </c>
      <c r="AP226" s="315">
        <f>AP227+AP231+AP234+AP244</f>
        <v>0</v>
      </c>
      <c r="AQ226" s="315">
        <f>AQ227+AQ231+AQ234+AQ244</f>
        <v>0</v>
      </c>
      <c r="AR226" s="315">
        <f>AR227+AR231+AR234+AR244</f>
        <v>0</v>
      </c>
      <c r="AS226" s="315">
        <f>AS227+AS231+AS234+AS244</f>
        <v>1091.22881</v>
      </c>
      <c r="AT226" s="315">
        <f>AT227+AT231+AT234+AT244</f>
        <v>1091.22881</v>
      </c>
      <c r="AU226" s="315">
        <f>AU227+AU231+AU234+AU244</f>
        <v>1091.22881</v>
      </c>
      <c r="AV226" s="315">
        <f>AV227+AV231+AV234+AV244</f>
        <v>1091.22881</v>
      </c>
      <c r="AW226" s="315">
        <f>AW227+AW231+AW234+AW244</f>
        <v>1091.22881</v>
      </c>
      <c r="AX226" s="315">
        <f>AX227+AX231+AX234+AX244</f>
        <v>0</v>
      </c>
      <c r="AY226" s="315">
        <f>AY227+AY231+AY234+AY244</f>
        <v>0</v>
      </c>
      <c r="AZ226" s="315">
        <f>AZ227+AZ231+AZ234+AZ244</f>
        <v>0</v>
      </c>
      <c r="BA226" s="315">
        <f>BA227+BA231+BA234+BA244</f>
        <v>0</v>
      </c>
      <c r="BB226" s="315">
        <f>BB227+BB231+BB234+BB244</f>
        <v>0</v>
      </c>
      <c r="BC226" s="284" t="s">
        <v>1486</v>
      </c>
      <c r="BD226" s="1304"/>
      <c r="BE226" s="1304"/>
      <c r="BF226" s="1015" t="s">
        <v>1299</v>
      </c>
    </row>
    <row s="1834" customFormat="1" customHeight="1" ht="12.75">
      <c r="A227" s="1304"/>
      <c r="B227" s="1436"/>
      <c r="C227" s="1304"/>
      <c r="D227" s="1304"/>
      <c r="E227" s="632">
        <v>15</v>
      </c>
      <c r="F227" s="50" cm="1" t="str">
        <f t="array" ref="F227:F227">OFFSET(E227,-1,1)</f>
        <v>2</v>
      </c>
      <c r="G227" s="98" t="str">
        <f>IF(OwnNeedsInPO="да","ПО","")</f>
        <v>ПО</v>
      </c>
      <c r="H227" s="98" t="s">
        <v>1300</v>
      </c>
      <c r="I227" s="1304"/>
      <c r="J227" s="1304"/>
      <c r="K227" s="1304"/>
      <c r="L227" s="1304"/>
      <c r="M227" s="1304"/>
      <c r="N227" s="1304"/>
      <c r="O227" s="1304"/>
      <c r="P227" s="1442"/>
      <c r="Q227" s="1442"/>
      <c r="R227" s="1442"/>
      <c r="S227" s="1442"/>
      <c r="T227" s="465" cm="1" t="str">
        <f t="array" ref="T227:T227">T226</f>
        <v>true</v>
      </c>
      <c r="U227" s="1442"/>
      <c r="V227" s="1304"/>
      <c r="W227" s="1442"/>
      <c r="X227" s="1563"/>
      <c r="Y227" s="1545"/>
      <c r="Z227" s="1304"/>
      <c r="AA227" s="1304"/>
      <c r="AB227" s="240" t="s">
        <v>1301</v>
      </c>
      <c r="AC227" s="192" t="s">
        <v>1302</v>
      </c>
      <c r="AD227" s="93" t="s">
        <v>1247</v>
      </c>
      <c r="AE227" s="315">
        <f>SUM(AE228:AE230)</f>
        <v>0</v>
      </c>
      <c r="AF227" s="315">
        <f>SUM(AF228:AF230)</f>
        <v>0</v>
      </c>
      <c r="AG227" s="315">
        <f>SUM(AG228:AG230)</f>
        <v>0</v>
      </c>
      <c r="AH227" s="315">
        <f>SUM(AH228:AH230)</f>
        <v>0</v>
      </c>
      <c r="AI227" s="315">
        <f>SUM(AI228:AI230)</f>
        <v>273.36846</v>
      </c>
      <c r="AJ227" s="315">
        <f>SUM(AJ228:AJ230)</f>
        <v>273.36846</v>
      </c>
      <c r="AK227" s="315">
        <f>SUM(AK228:AK230)</f>
        <v>273.36846</v>
      </c>
      <c r="AL227" s="315">
        <f>SUM(AL228:AL230)</f>
        <v>273.36846</v>
      </c>
      <c r="AM227" s="315">
        <f>SUM(AM228:AM230)</f>
        <v>273.36846</v>
      </c>
      <c r="AN227" s="315">
        <f>SUM(AN228:AN230)</f>
        <v>0</v>
      </c>
      <c r="AO227" s="315">
        <f>SUM(AO228:AO230)</f>
        <v>0</v>
      </c>
      <c r="AP227" s="315">
        <f>SUM(AP228:AP230)</f>
        <v>0</v>
      </c>
      <c r="AQ227" s="315">
        <f>SUM(AQ228:AQ230)</f>
        <v>0</v>
      </c>
      <c r="AR227" s="315">
        <f>SUM(AR228:AR230)</f>
        <v>0</v>
      </c>
      <c r="AS227" s="315">
        <f>SUM(AS228:AS230)</f>
        <v>273.36846</v>
      </c>
      <c r="AT227" s="315">
        <f>SUM(AT228:AT230)</f>
        <v>273.36846</v>
      </c>
      <c r="AU227" s="315">
        <f>SUM(AU228:AU230)</f>
        <v>273.36846</v>
      </c>
      <c r="AV227" s="315">
        <f>SUM(AV228:AV230)</f>
        <v>273.36846</v>
      </c>
      <c r="AW227" s="315">
        <f>SUM(AW228:AW230)</f>
        <v>273.36846</v>
      </c>
      <c r="AX227" s="315">
        <f>SUM(AX228:AX230)</f>
        <v>0</v>
      </c>
      <c r="AY227" s="315">
        <f>SUM(AY228:AY230)</f>
        <v>0</v>
      </c>
      <c r="AZ227" s="315">
        <f>SUM(AZ228:AZ230)</f>
        <v>0</v>
      </c>
      <c r="BA227" s="315">
        <f>SUM(BA228:BA230)</f>
        <v>0</v>
      </c>
      <c r="BB227" s="315">
        <f>SUM(BB228:BB230)</f>
        <v>0</v>
      </c>
      <c r="BC227" s="284"/>
      <c r="BD227" s="1304"/>
      <c r="BE227" s="1304"/>
      <c r="BF227" s="1015" t="s">
        <v>1303</v>
      </c>
    </row>
    <row s="1834" customFormat="1" customHeight="1" ht="12.75">
      <c r="A228" s="1304"/>
      <c r="B228" s="1436"/>
      <c r="C228" s="1304"/>
      <c r="D228" s="1304"/>
      <c r="E228" s="632">
        <v>15</v>
      </c>
      <c r="F228" s="50" cm="1" t="str">
        <f t="array" ref="F228:F228">OFFSET(E228,-1,1)</f>
        <v>2</v>
      </c>
      <c r="G228" s="1304"/>
      <c r="H228" s="98" t="s">
        <v>1304</v>
      </c>
      <c r="I228" s="1304"/>
      <c r="J228" s="1304"/>
      <c r="K228" s="1304"/>
      <c r="L228" s="1304"/>
      <c r="M228" s="1304"/>
      <c r="N228" s="1304"/>
      <c r="O228" s="1304"/>
      <c r="P228" s="1442"/>
      <c r="Q228" s="1442"/>
      <c r="R228" s="1442"/>
      <c r="S228" s="1442"/>
      <c r="T228" s="465" cm="1" t="str">
        <f t="array" ref="T228:T228">T227</f>
        <v>true</v>
      </c>
      <c r="U228" s="1442"/>
      <c r="V228" s="1304"/>
      <c r="W228" s="1442"/>
      <c r="X228" s="1563"/>
      <c r="Y228" s="1545"/>
      <c r="Z228" s="1304"/>
      <c r="AA228" s="1304"/>
      <c r="AB228" s="240" t="s">
        <v>1305</v>
      </c>
      <c r="AC228" s="332" t="s">
        <v>1306</v>
      </c>
      <c r="AD228" s="93" t="s">
        <v>1247</v>
      </c>
      <c r="AE228" s="279"/>
      <c r="AF228" s="279"/>
      <c r="AG228" s="279"/>
      <c r="AH228" s="279"/>
      <c r="AI228" s="279"/>
      <c r="AJ228" s="279"/>
      <c r="AK228" s="279"/>
      <c r="AL228" s="279"/>
      <c r="AM228" s="279"/>
      <c r="AN228" s="2113"/>
      <c r="AO228" s="2113"/>
      <c r="AP228" s="2113"/>
      <c r="AQ228" s="2113"/>
      <c r="AR228" s="2113"/>
      <c r="AS228" s="279"/>
      <c r="AT228" s="279"/>
      <c r="AU228" s="279"/>
      <c r="AV228" s="279"/>
      <c r="AW228" s="279"/>
      <c r="AX228" s="2113"/>
      <c r="AY228" s="2113"/>
      <c r="AZ228" s="2113"/>
      <c r="BA228" s="2113"/>
      <c r="BB228" s="2113"/>
      <c r="BC228" s="284"/>
      <c r="BD228" s="1304"/>
      <c r="BE228" s="1304"/>
      <c r="BF228" s="1015" t="s">
        <v>1307</v>
      </c>
    </row>
    <row s="1834" customFormat="1" customHeight="1" ht="12.75">
      <c r="A229" s="1304"/>
      <c r="B229" s="1436"/>
      <c r="C229" s="1304"/>
      <c r="D229" s="1304"/>
      <c r="E229" s="632">
        <v>15</v>
      </c>
      <c r="F229" s="50" cm="1" t="str">
        <f t="array" ref="F229:F229">OFFSET(E229,-1,1)</f>
        <v>2</v>
      </c>
      <c r="G229" s="1304"/>
      <c r="H229" s="98" t="s">
        <v>1308</v>
      </c>
      <c r="I229" s="1304"/>
      <c r="J229" s="1304"/>
      <c r="K229" s="1304"/>
      <c r="L229" s="1304"/>
      <c r="M229" s="1304"/>
      <c r="N229" s="1304"/>
      <c r="O229" s="1304"/>
      <c r="P229" s="1442"/>
      <c r="Q229" s="1442"/>
      <c r="R229" s="1442"/>
      <c r="S229" s="1442"/>
      <c r="T229" s="465" cm="1" t="str">
        <f t="array" ref="T229:T229">T228</f>
        <v>true</v>
      </c>
      <c r="U229" s="1442"/>
      <c r="V229" s="1304"/>
      <c r="W229" s="1442"/>
      <c r="X229" s="1563"/>
      <c r="Y229" s="1545"/>
      <c r="Z229" s="1304"/>
      <c r="AA229" s="1304"/>
      <c r="AB229" s="240" t="s">
        <v>1309</v>
      </c>
      <c r="AC229" s="332" t="s">
        <v>1310</v>
      </c>
      <c r="AD229" s="93" t="s">
        <v>1247</v>
      </c>
      <c r="AE229" s="279"/>
      <c r="AF229" s="279"/>
      <c r="AG229" s="279"/>
      <c r="AH229" s="279"/>
      <c r="AI229" s="279">
        <v>273.36846</v>
      </c>
      <c r="AJ229" s="279">
        <v>273.36846</v>
      </c>
      <c r="AK229" s="279">
        <v>273.36846</v>
      </c>
      <c r="AL229" s="279">
        <v>273.36846</v>
      </c>
      <c r="AM229" s="279">
        <v>273.36846</v>
      </c>
      <c r="AN229" s="2113"/>
      <c r="AO229" s="2113"/>
      <c r="AP229" s="2113"/>
      <c r="AQ229" s="2113"/>
      <c r="AR229" s="2113"/>
      <c r="AS229" s="279">
        <v>273.36846</v>
      </c>
      <c r="AT229" s="279" cm="1" t="str">
        <f t="array" ref="AT229:AT229">AS229</f>
        <v>273.36846</v>
      </c>
      <c r="AU229" s="279" cm="1" t="str">
        <f t="array" ref="AU229:AU229">AT229</f>
        <v>273.36846</v>
      </c>
      <c r="AV229" s="279" cm="1" t="str">
        <f t="array" ref="AV229:AV229">AU229</f>
        <v>273.36846</v>
      </c>
      <c r="AW229" s="279" cm="1" t="str">
        <f t="array" ref="AW229:AW229">AV229</f>
        <v>273.36846</v>
      </c>
      <c r="AX229" s="2113"/>
      <c r="AY229" s="2113"/>
      <c r="AZ229" s="2113"/>
      <c r="BA229" s="2113"/>
      <c r="BB229" s="2113"/>
      <c r="BC229" s="284"/>
      <c r="BD229" s="1304"/>
      <c r="BE229" s="1304"/>
      <c r="BF229" s="1015" t="s">
        <v>1311</v>
      </c>
    </row>
    <row s="1834" customFormat="1" customHeight="1" ht="12.75">
      <c r="A230" s="1304"/>
      <c r="B230" s="1436"/>
      <c r="C230" s="1304"/>
      <c r="D230" s="1304"/>
      <c r="E230" s="632">
        <v>15</v>
      </c>
      <c r="F230" s="50" cm="1" t="str">
        <f t="array" ref="F230:F230">OFFSET(E230,-1,1)</f>
        <v>2</v>
      </c>
      <c r="G230" s="1304"/>
      <c r="H230" s="98" t="s">
        <v>1312</v>
      </c>
      <c r="I230" s="1304"/>
      <c r="J230" s="1304"/>
      <c r="K230" s="1304"/>
      <c r="L230" s="1304"/>
      <c r="M230" s="1304"/>
      <c r="N230" s="1304"/>
      <c r="O230" s="1304"/>
      <c r="P230" s="1442"/>
      <c r="Q230" s="1442"/>
      <c r="R230" s="1442"/>
      <c r="S230" s="1442"/>
      <c r="T230" s="465" cm="1" t="str">
        <f t="array" ref="T230:T230">T229</f>
        <v>true</v>
      </c>
      <c r="U230" s="1442"/>
      <c r="V230" s="1304"/>
      <c r="W230" s="1442"/>
      <c r="X230" s="1563"/>
      <c r="Y230" s="1545"/>
      <c r="Z230" s="1304"/>
      <c r="AA230" s="1304"/>
      <c r="AB230" s="240" t="s">
        <v>1313</v>
      </c>
      <c r="AC230" s="332" t="s">
        <v>1314</v>
      </c>
      <c r="AD230" s="93" t="s">
        <v>1247</v>
      </c>
      <c r="AE230" s="279"/>
      <c r="AF230" s="279"/>
      <c r="AG230" s="279"/>
      <c r="AH230" s="279"/>
      <c r="AI230" s="279"/>
      <c r="AJ230" s="279"/>
      <c r="AK230" s="279"/>
      <c r="AL230" s="279"/>
      <c r="AM230" s="279"/>
      <c r="AN230" s="2113"/>
      <c r="AO230" s="2113"/>
      <c r="AP230" s="2113"/>
      <c r="AQ230" s="2113"/>
      <c r="AR230" s="2113"/>
      <c r="AS230" s="279"/>
      <c r="AT230" s="279"/>
      <c r="AU230" s="279"/>
      <c r="AV230" s="279"/>
      <c r="AW230" s="279"/>
      <c r="AX230" s="2113"/>
      <c r="AY230" s="2113"/>
      <c r="AZ230" s="2113"/>
      <c r="BA230" s="2113"/>
      <c r="BB230" s="2113"/>
      <c r="BC230" s="284"/>
      <c r="BD230" s="1304"/>
      <c r="BE230" s="1304"/>
      <c r="BF230" s="1015" t="s">
        <v>1315</v>
      </c>
    </row>
    <row s="1834" customFormat="1" customHeight="1" ht="12.75">
      <c r="A231" s="1304"/>
      <c r="B231" s="1436"/>
      <c r="C231" s="1304"/>
      <c r="D231" s="1304"/>
      <c r="E231" s="632">
        <v>15</v>
      </c>
      <c r="F231" s="50" cm="1" t="str">
        <f t="array" ref="F231:F231">OFFSET(E231,-1,1)</f>
        <v>2</v>
      </c>
      <c r="G231" s="98" t="s">
        <v>1316</v>
      </c>
      <c r="H231" s="98" t="s">
        <v>1317</v>
      </c>
      <c r="I231" s="1304"/>
      <c r="J231" s="1304"/>
      <c r="K231" s="1304"/>
      <c r="L231" s="1304"/>
      <c r="M231" s="1304"/>
      <c r="N231" s="1304"/>
      <c r="O231" s="1304"/>
      <c r="P231" s="1442"/>
      <c r="Q231" s="1442"/>
      <c r="R231" s="1442"/>
      <c r="S231" s="1442"/>
      <c r="T231" s="465" cm="1" t="str">
        <f t="array" ref="T231:T231">T230</f>
        <v>true</v>
      </c>
      <c r="U231" s="1442"/>
      <c r="V231" s="1304"/>
      <c r="W231" s="1442"/>
      <c r="X231" s="1563"/>
      <c r="Y231" s="1545"/>
      <c r="Z231" s="1304"/>
      <c r="AA231" s="1304"/>
      <c r="AB231" s="240" t="s">
        <v>1318</v>
      </c>
      <c r="AC231" s="192" t="s">
        <v>1319</v>
      </c>
      <c r="AD231" s="93" t="s">
        <v>1247</v>
      </c>
      <c r="AE231" s="315">
        <f>SUM(AE232:AE233)</f>
        <v>0</v>
      </c>
      <c r="AF231" s="315">
        <f>SUM(AF232:AF233)</f>
        <v>0</v>
      </c>
      <c r="AG231" s="315">
        <f>SUM(AG232:AG233)</f>
        <v>0</v>
      </c>
      <c r="AH231" s="315">
        <f>SUM(AH232:AH233)</f>
        <v>0</v>
      </c>
      <c r="AI231" s="315">
        <f>SUM(AI232:AI233)</f>
        <v>0</v>
      </c>
      <c r="AJ231" s="315">
        <f>SUM(AJ232:AJ233)</f>
        <v>0</v>
      </c>
      <c r="AK231" s="315">
        <f>SUM(AK232:AK233)</f>
        <v>0</v>
      </c>
      <c r="AL231" s="315">
        <f>SUM(AL232:AL233)</f>
        <v>0</v>
      </c>
      <c r="AM231" s="315">
        <f>SUM(AM232:AM233)</f>
        <v>0</v>
      </c>
      <c r="AN231" s="315">
        <f>SUM(AN232:AN233)</f>
        <v>0</v>
      </c>
      <c r="AO231" s="315">
        <f>SUM(AO232:AO233)</f>
        <v>0</v>
      </c>
      <c r="AP231" s="315">
        <f>SUM(AP232:AP233)</f>
        <v>0</v>
      </c>
      <c r="AQ231" s="315">
        <f>SUM(AQ232:AQ233)</f>
        <v>0</v>
      </c>
      <c r="AR231" s="315">
        <f>SUM(AR232:AR233)</f>
        <v>0</v>
      </c>
      <c r="AS231" s="315">
        <f>SUM(AS232:AS233)</f>
        <v>0</v>
      </c>
      <c r="AT231" s="315">
        <f>SUM(AT232:AT233)</f>
        <v>0</v>
      </c>
      <c r="AU231" s="315">
        <f>SUM(AU232:AU233)</f>
        <v>0</v>
      </c>
      <c r="AV231" s="315">
        <f>SUM(AV232:AV233)</f>
        <v>0</v>
      </c>
      <c r="AW231" s="315">
        <f>SUM(AW232:AW233)</f>
        <v>0</v>
      </c>
      <c r="AX231" s="315">
        <f>SUM(AX232:AX233)</f>
        <v>0</v>
      </c>
      <c r="AY231" s="315">
        <f>SUM(AY232:AY233)</f>
        <v>0</v>
      </c>
      <c r="AZ231" s="315">
        <f>SUM(AZ232:AZ233)</f>
        <v>0</v>
      </c>
      <c r="BA231" s="315">
        <f>SUM(BA232:BA233)</f>
        <v>0</v>
      </c>
      <c r="BB231" s="315">
        <f>SUM(BB232:BB233)</f>
        <v>0</v>
      </c>
      <c r="BC231" s="284"/>
      <c r="BD231" s="1304"/>
      <c r="BE231" s="1304"/>
      <c r="BF231" s="1015" t="s">
        <v>1320</v>
      </c>
    </row>
    <row s="1834" customFormat="1" customHeight="1" ht="12.75">
      <c r="A232" s="1304"/>
      <c r="B232" s="1436"/>
      <c r="C232" s="1304"/>
      <c r="D232" s="1304"/>
      <c r="E232" s="632">
        <v>15</v>
      </c>
      <c r="F232" s="50" cm="1" t="str">
        <f t="array" ref="F232:F232">OFFSET(E232,-1,1)</f>
        <v>2</v>
      </c>
      <c r="G232" s="1304"/>
      <c r="H232" s="98" t="s">
        <v>1321</v>
      </c>
      <c r="I232" s="1304"/>
      <c r="J232" s="1304"/>
      <c r="K232" s="1304"/>
      <c r="L232" s="1304"/>
      <c r="M232" s="1304"/>
      <c r="N232" s="1304"/>
      <c r="O232" s="1304"/>
      <c r="P232" s="1442"/>
      <c r="Q232" s="1442"/>
      <c r="R232" s="1442"/>
      <c r="S232" s="1442"/>
      <c r="T232" s="465" cm="1" t="str">
        <f t="array" ref="T232:T232">T231</f>
        <v>true</v>
      </c>
      <c r="U232" s="1442"/>
      <c r="V232" s="1304"/>
      <c r="W232" s="1442"/>
      <c r="X232" s="1563"/>
      <c r="Y232" s="1545"/>
      <c r="Z232" s="1304"/>
      <c r="AA232" s="1304"/>
      <c r="AB232" s="240" t="s">
        <v>1322</v>
      </c>
      <c r="AC232" s="332" t="s">
        <v>1323</v>
      </c>
      <c r="AD232" s="93" t="s">
        <v>1247</v>
      </c>
      <c r="AE232" s="279"/>
      <c r="AF232" s="279"/>
      <c r="AG232" s="279"/>
      <c r="AH232" s="279"/>
      <c r="AI232" s="279"/>
      <c r="AJ232" s="279"/>
      <c r="AK232" s="279"/>
      <c r="AL232" s="279"/>
      <c r="AM232" s="279"/>
      <c r="AN232" s="2113"/>
      <c r="AO232" s="2113"/>
      <c r="AP232" s="2113"/>
      <c r="AQ232" s="2113"/>
      <c r="AR232" s="2113"/>
      <c r="AS232" s="279"/>
      <c r="AT232" s="279"/>
      <c r="AU232" s="279"/>
      <c r="AV232" s="279"/>
      <c r="AW232" s="279"/>
      <c r="AX232" s="2113"/>
      <c r="AY232" s="2113"/>
      <c r="AZ232" s="2113"/>
      <c r="BA232" s="2113"/>
      <c r="BB232" s="2113"/>
      <c r="BC232" s="284"/>
      <c r="BD232" s="1304"/>
      <c r="BE232" s="1304"/>
      <c r="BF232" s="1015" t="s">
        <v>1324</v>
      </c>
    </row>
    <row s="1834" customFormat="1" customHeight="1" ht="12.75">
      <c r="A233" s="1304"/>
      <c r="B233" s="1436"/>
      <c r="C233" s="1304"/>
      <c r="D233" s="1304"/>
      <c r="E233" s="632">
        <v>15</v>
      </c>
      <c r="F233" s="50" cm="1" t="str">
        <f t="array" ref="F233:F233">OFFSET(E233,-1,1)</f>
        <v>2</v>
      </c>
      <c r="G233" s="1304"/>
      <c r="H233" s="98" t="s">
        <v>1325</v>
      </c>
      <c r="I233" s="1304"/>
      <c r="J233" s="1304"/>
      <c r="K233" s="1304"/>
      <c r="L233" s="1304"/>
      <c r="M233" s="1304"/>
      <c r="N233" s="1304"/>
      <c r="O233" s="1304"/>
      <c r="P233" s="1442"/>
      <c r="Q233" s="1442"/>
      <c r="R233" s="1442"/>
      <c r="S233" s="1442"/>
      <c r="T233" s="465" cm="1" t="str">
        <f t="array" ref="T233:T233">T232</f>
        <v>true</v>
      </c>
      <c r="U233" s="1442"/>
      <c r="V233" s="1304"/>
      <c r="W233" s="1442"/>
      <c r="X233" s="1563"/>
      <c r="Y233" s="1545"/>
      <c r="Z233" s="1304"/>
      <c r="AA233" s="1304"/>
      <c r="AB233" s="240" t="s">
        <v>1326</v>
      </c>
      <c r="AC233" s="332" t="s">
        <v>1327</v>
      </c>
      <c r="AD233" s="93" t="s">
        <v>1247</v>
      </c>
      <c r="AE233" s="279"/>
      <c r="AF233" s="279"/>
      <c r="AG233" s="279"/>
      <c r="AH233" s="279"/>
      <c r="AI233" s="279"/>
      <c r="AJ233" s="279"/>
      <c r="AK233" s="279"/>
      <c r="AL233" s="279"/>
      <c r="AM233" s="279"/>
      <c r="AN233" s="2113"/>
      <c r="AO233" s="2113"/>
      <c r="AP233" s="2113"/>
      <c r="AQ233" s="2113"/>
      <c r="AR233" s="2113"/>
      <c r="AS233" s="279"/>
      <c r="AT233" s="279"/>
      <c r="AU233" s="279"/>
      <c r="AV233" s="279"/>
      <c r="AW233" s="279"/>
      <c r="AX233" s="2113"/>
      <c r="AY233" s="2113"/>
      <c r="AZ233" s="2113"/>
      <c r="BA233" s="2113"/>
      <c r="BB233" s="2113"/>
      <c r="BC233" s="284"/>
      <c r="BD233" s="1304"/>
      <c r="BE233" s="1304"/>
      <c r="BF233" s="1015" t="s">
        <v>1328</v>
      </c>
    </row>
    <row s="1834" customFormat="1" customHeight="1" ht="12.75">
      <c r="A234" s="1304"/>
      <c r="B234" s="1436"/>
      <c r="C234" s="1304"/>
      <c r="D234" s="1304"/>
      <c r="E234" s="632">
        <v>15</v>
      </c>
      <c r="F234" s="50" cm="1" t="str">
        <f t="array" ref="F234:F234">OFFSET(E234,-1,1)</f>
        <v>2</v>
      </c>
      <c r="G234" s="98" t="s">
        <v>1316</v>
      </c>
      <c r="H234" s="98" t="s">
        <v>1329</v>
      </c>
      <c r="I234" s="1304"/>
      <c r="J234" s="1304"/>
      <c r="K234" s="1304"/>
      <c r="L234" s="1304"/>
      <c r="M234" s="1304"/>
      <c r="N234" s="1304"/>
      <c r="O234" s="1304"/>
      <c r="P234" s="1442"/>
      <c r="Q234" s="1442"/>
      <c r="R234" s="1442"/>
      <c r="S234" s="1442"/>
      <c r="T234" s="465" cm="1" t="str">
        <f t="array" ref="T234:T234">T233</f>
        <v>true</v>
      </c>
      <c r="U234" s="1442"/>
      <c r="V234" s="1304"/>
      <c r="W234" s="1442"/>
      <c r="X234" s="1563"/>
      <c r="Y234" s="1545"/>
      <c r="Z234" s="1304"/>
      <c r="AA234" s="1304"/>
      <c r="AB234" s="240" t="s">
        <v>1330</v>
      </c>
      <c r="AC234" s="192" t="s">
        <v>1331</v>
      </c>
      <c r="AD234" s="93" t="s">
        <v>1247</v>
      </c>
      <c r="AE234" s="315">
        <f>AE235+AE238+AE241</f>
        <v>0</v>
      </c>
      <c r="AF234" s="315">
        <f>AF235+AF238+AF241</f>
        <v>0</v>
      </c>
      <c r="AG234" s="315">
        <f>AG235+AG238+AG241</f>
        <v>0</v>
      </c>
      <c r="AH234" s="315">
        <f>AH235+AH238+AH241</f>
        <v>0</v>
      </c>
      <c r="AI234" s="315">
        <f>AI235+AI238+AI241</f>
        <v>817.86035</v>
      </c>
      <c r="AJ234" s="315">
        <f>AJ235+AJ238+AJ241</f>
        <v>817.86035</v>
      </c>
      <c r="AK234" s="315">
        <f>AK235+AK238+AK241</f>
        <v>817.86035</v>
      </c>
      <c r="AL234" s="315">
        <f>AL235+AL238+AL241</f>
        <v>817.86035</v>
      </c>
      <c r="AM234" s="315">
        <f>AM235+AM238+AM241</f>
        <v>817.86035</v>
      </c>
      <c r="AN234" s="315">
        <f>AN235+AN238+AN241</f>
        <v>0</v>
      </c>
      <c r="AO234" s="315">
        <f>AO235+AO238+AO241</f>
        <v>0</v>
      </c>
      <c r="AP234" s="315">
        <f>AP235+AP238+AP241</f>
        <v>0</v>
      </c>
      <c r="AQ234" s="315">
        <f>AQ235+AQ238+AQ241</f>
        <v>0</v>
      </c>
      <c r="AR234" s="315">
        <f>AR235+AR238+AR241</f>
        <v>0</v>
      </c>
      <c r="AS234" s="315">
        <f>AS235+AS238+AS241</f>
        <v>817.86035</v>
      </c>
      <c r="AT234" s="315">
        <f>AT235+AT238+AT241</f>
        <v>817.86035</v>
      </c>
      <c r="AU234" s="315">
        <f>AU235+AU238+AU241</f>
        <v>817.86035</v>
      </c>
      <c r="AV234" s="315">
        <f>AV235+AV238+AV241</f>
        <v>817.86035</v>
      </c>
      <c r="AW234" s="315">
        <f>AW235+AW238+AW241</f>
        <v>817.86035</v>
      </c>
      <c r="AX234" s="315">
        <f>AX235+AX238+AX241</f>
        <v>0</v>
      </c>
      <c r="AY234" s="315">
        <f>AY235+AY238+AY241</f>
        <v>0</v>
      </c>
      <c r="AZ234" s="315">
        <f>AZ235+AZ238+AZ241</f>
        <v>0</v>
      </c>
      <c r="BA234" s="315">
        <f>BA235+BA238+BA241</f>
        <v>0</v>
      </c>
      <c r="BB234" s="315">
        <f>BB235+BB238+BB241</f>
        <v>0</v>
      </c>
      <c r="BC234" s="284"/>
      <c r="BD234" s="1304"/>
      <c r="BE234" s="1304"/>
      <c r="BF234" s="1015" t="s">
        <v>1332</v>
      </c>
    </row>
    <row s="1834" customFormat="1" customHeight="1" ht="12.75">
      <c r="A235" s="1304"/>
      <c r="B235" s="1436"/>
      <c r="C235" s="1304"/>
      <c r="D235" s="1304"/>
      <c r="E235" s="632">
        <v>15</v>
      </c>
      <c r="F235" s="50" cm="1" t="str">
        <f t="array" ref="F235:F235">OFFSET(E235,-1,1)</f>
        <v>2</v>
      </c>
      <c r="G235" s="1304"/>
      <c r="H235" s="98" t="s">
        <v>1333</v>
      </c>
      <c r="I235" s="1304"/>
      <c r="J235" s="1304"/>
      <c r="K235" s="1304"/>
      <c r="L235" s="1304"/>
      <c r="M235" s="1304"/>
      <c r="N235" s="1304"/>
      <c r="O235" s="1304"/>
      <c r="P235" s="1442"/>
      <c r="Q235" s="1442"/>
      <c r="R235" s="1442"/>
      <c r="S235" s="1442"/>
      <c r="T235" s="465" cm="1" t="str">
        <f t="array" ref="T235:T235">T234</f>
        <v>true</v>
      </c>
      <c r="U235" s="1442"/>
      <c r="V235" s="1304"/>
      <c r="W235" s="1442"/>
      <c r="X235" s="1563"/>
      <c r="Y235" s="1545"/>
      <c r="Z235" s="1304"/>
      <c r="AA235" s="1304"/>
      <c r="AB235" s="240" t="s">
        <v>1334</v>
      </c>
      <c r="AC235" s="332" t="s">
        <v>1335</v>
      </c>
      <c r="AD235" s="93" t="s">
        <v>1247</v>
      </c>
      <c r="AE235" s="315">
        <f>SUM(AE236:AE237)</f>
        <v>0</v>
      </c>
      <c r="AF235" s="315">
        <f>SUM(AF236:AF237)</f>
        <v>0</v>
      </c>
      <c r="AG235" s="315">
        <f>SUM(AG236:AG237)</f>
        <v>0</v>
      </c>
      <c r="AH235" s="315">
        <f>SUM(AH236:AH237)</f>
        <v>0</v>
      </c>
      <c r="AI235" s="315">
        <f>SUM(AI236:AI237)</f>
        <v>87.26874</v>
      </c>
      <c r="AJ235" s="315">
        <f>SUM(AJ236:AJ237)</f>
        <v>87.26874</v>
      </c>
      <c r="AK235" s="315">
        <f>SUM(AK236:AK237)</f>
        <v>87.26874</v>
      </c>
      <c r="AL235" s="315">
        <f>SUM(AL236:AL237)</f>
        <v>87.26874</v>
      </c>
      <c r="AM235" s="315">
        <f>SUM(AM236:AM237)</f>
        <v>87.26874</v>
      </c>
      <c r="AN235" s="315">
        <f>SUM(AN236:AN237)</f>
        <v>0</v>
      </c>
      <c r="AO235" s="315">
        <f>SUM(AO236:AO237)</f>
        <v>0</v>
      </c>
      <c r="AP235" s="315">
        <f>SUM(AP236:AP237)</f>
        <v>0</v>
      </c>
      <c r="AQ235" s="315">
        <f>SUM(AQ236:AQ237)</f>
        <v>0</v>
      </c>
      <c r="AR235" s="315">
        <f>SUM(AR236:AR237)</f>
        <v>0</v>
      </c>
      <c r="AS235" s="315">
        <f>SUM(AS236:AS237)</f>
        <v>87.26874</v>
      </c>
      <c r="AT235" s="315">
        <f>SUM(AT236:AT237)</f>
        <v>87.26874</v>
      </c>
      <c r="AU235" s="315">
        <f>SUM(AU236:AU237)</f>
        <v>87.26874</v>
      </c>
      <c r="AV235" s="315">
        <f>SUM(AV236:AV237)</f>
        <v>87.26874</v>
      </c>
      <c r="AW235" s="315">
        <f>SUM(AW236:AW237)</f>
        <v>87.26874</v>
      </c>
      <c r="AX235" s="315">
        <f>SUM(AX236:AX237)</f>
        <v>0</v>
      </c>
      <c r="AY235" s="315">
        <f>SUM(AY236:AY237)</f>
        <v>0</v>
      </c>
      <c r="AZ235" s="315">
        <f>SUM(AZ236:AZ237)</f>
        <v>0</v>
      </c>
      <c r="BA235" s="315">
        <f>SUM(BA236:BA237)</f>
        <v>0</v>
      </c>
      <c r="BB235" s="315">
        <f>SUM(BB236:BB237)</f>
        <v>0</v>
      </c>
      <c r="BC235" s="284"/>
      <c r="BD235" s="1304"/>
      <c r="BE235" s="1304"/>
      <c r="BF235" s="1015" t="s">
        <v>1336</v>
      </c>
    </row>
    <row s="1834" customFormat="1" customHeight="1" ht="12.75">
      <c r="A236" s="1304"/>
      <c r="B236" s="1436"/>
      <c r="C236" s="1304"/>
      <c r="D236" s="1304"/>
      <c r="E236" s="632">
        <v>15</v>
      </c>
      <c r="F236" s="50" cm="1" t="str">
        <f t="array" ref="F236:F236">OFFSET(E236,-1,1)</f>
        <v>2</v>
      </c>
      <c r="G236" s="1304"/>
      <c r="H236" s="98" t="s">
        <v>1337</v>
      </c>
      <c r="I236" s="1304"/>
      <c r="J236" s="1304"/>
      <c r="K236" s="1304"/>
      <c r="L236" s="1304"/>
      <c r="M236" s="1304"/>
      <c r="N236" s="1304"/>
      <c r="O236" s="1304"/>
      <c r="P236" s="1442"/>
      <c r="Q236" s="1442"/>
      <c r="R236" s="1442"/>
      <c r="S236" s="1442"/>
      <c r="T236" s="465" cm="1" t="str">
        <f t="array" ref="T236:T236">T235</f>
        <v>true</v>
      </c>
      <c r="U236" s="1442"/>
      <c r="V236" s="1304"/>
      <c r="W236" s="1442"/>
      <c r="X236" s="1563"/>
      <c r="Y236" s="1545"/>
      <c r="Z236" s="1304"/>
      <c r="AA236" s="1304"/>
      <c r="AB236" s="240" t="s">
        <v>1338</v>
      </c>
      <c r="AC236" s="333" t="s">
        <v>1323</v>
      </c>
      <c r="AD236" s="93" t="s">
        <v>1247</v>
      </c>
      <c r="AE236" s="279"/>
      <c r="AF236" s="279"/>
      <c r="AG236" s="279"/>
      <c r="AH236" s="279"/>
      <c r="AI236" s="279">
        <v>87.26874</v>
      </c>
      <c r="AJ236" s="279">
        <v>87.26874</v>
      </c>
      <c r="AK236" s="279">
        <v>87.26874</v>
      </c>
      <c r="AL236" s="279">
        <v>87.26874</v>
      </c>
      <c r="AM236" s="279">
        <v>87.26874</v>
      </c>
      <c r="AN236" s="2113"/>
      <c r="AO236" s="2113"/>
      <c r="AP236" s="2113"/>
      <c r="AQ236" s="2113"/>
      <c r="AR236" s="2113"/>
      <c r="AS236" s="279">
        <v>87.26874</v>
      </c>
      <c r="AT236" s="279">
        <v>87.26874</v>
      </c>
      <c r="AU236" s="279">
        <v>87.26874</v>
      </c>
      <c r="AV236" s="279">
        <v>87.26874</v>
      </c>
      <c r="AW236" s="279">
        <v>87.26874</v>
      </c>
      <c r="AX236" s="2113"/>
      <c r="AY236" s="2113"/>
      <c r="AZ236" s="2113"/>
      <c r="BA236" s="2113"/>
      <c r="BB236" s="2113"/>
      <c r="BC236" s="284"/>
      <c r="BD236" s="1304"/>
      <c r="BE236" s="1304"/>
      <c r="BF236" s="1015" t="s">
        <v>1339</v>
      </c>
    </row>
    <row s="1834" customFormat="1" customHeight="1" ht="12.75">
      <c r="A237" s="1304"/>
      <c r="B237" s="1436"/>
      <c r="C237" s="1304"/>
      <c r="D237" s="1304"/>
      <c r="E237" s="632">
        <v>15</v>
      </c>
      <c r="F237" s="50" cm="1" t="str">
        <f t="array" ref="F237:F237">OFFSET(E237,-1,1)</f>
        <v>2</v>
      </c>
      <c r="G237" s="1304"/>
      <c r="H237" s="98" t="s">
        <v>1340</v>
      </c>
      <c r="I237" s="1304"/>
      <c r="J237" s="1304"/>
      <c r="K237" s="1304"/>
      <c r="L237" s="1304"/>
      <c r="M237" s="1304"/>
      <c r="N237" s="1304"/>
      <c r="O237" s="1304"/>
      <c r="P237" s="1442"/>
      <c r="Q237" s="1442"/>
      <c r="R237" s="1442"/>
      <c r="S237" s="1442"/>
      <c r="T237" s="465" cm="1" t="str">
        <f t="array" ref="T237:T237">T236</f>
        <v>true</v>
      </c>
      <c r="U237" s="1442"/>
      <c r="V237" s="1304"/>
      <c r="W237" s="1442"/>
      <c r="X237" s="1563"/>
      <c r="Y237" s="1545"/>
      <c r="Z237" s="1304"/>
      <c r="AA237" s="1304"/>
      <c r="AB237" s="240" t="s">
        <v>1341</v>
      </c>
      <c r="AC237" s="333" t="s">
        <v>1327</v>
      </c>
      <c r="AD237" s="93" t="s">
        <v>1247</v>
      </c>
      <c r="AE237" s="279"/>
      <c r="AF237" s="279"/>
      <c r="AG237" s="279"/>
      <c r="AH237" s="279"/>
      <c r="AI237" s="279"/>
      <c r="AJ237" s="279"/>
      <c r="AK237" s="279"/>
      <c r="AL237" s="279"/>
      <c r="AM237" s="279"/>
      <c r="AN237" s="2113"/>
      <c r="AO237" s="2113"/>
      <c r="AP237" s="2113"/>
      <c r="AQ237" s="2113"/>
      <c r="AR237" s="2113"/>
      <c r="AS237" s="279"/>
      <c r="AT237" s="279"/>
      <c r="AU237" s="279"/>
      <c r="AV237" s="279"/>
      <c r="AW237" s="279"/>
      <c r="AX237" s="2113"/>
      <c r="AY237" s="2113"/>
      <c r="AZ237" s="2113"/>
      <c r="BA237" s="2113"/>
      <c r="BB237" s="2113"/>
      <c r="BC237" s="284"/>
      <c r="BD237" s="1304"/>
      <c r="BE237" s="1304"/>
      <c r="BF237" s="1015" t="s">
        <v>1342</v>
      </c>
    </row>
    <row s="1834" customFormat="1" customHeight="1" ht="12.75">
      <c r="A238" s="1304"/>
      <c r="B238" s="1436"/>
      <c r="C238" s="1304"/>
      <c r="D238" s="1304"/>
      <c r="E238" s="632">
        <v>15</v>
      </c>
      <c r="F238" s="50" cm="1" t="str">
        <f t="array" ref="F238:F238">OFFSET(E238,-1,1)</f>
        <v>2</v>
      </c>
      <c r="G238" s="98" t="s">
        <v>1343</v>
      </c>
      <c r="H238" s="98" t="s">
        <v>1344</v>
      </c>
      <c r="I238" s="1304"/>
      <c r="J238" s="1304"/>
      <c r="K238" s="1304"/>
      <c r="L238" s="1304"/>
      <c r="M238" s="1304"/>
      <c r="N238" s="1304"/>
      <c r="O238" s="1304"/>
      <c r="P238" s="1442"/>
      <c r="Q238" s="1442"/>
      <c r="R238" s="1442"/>
      <c r="S238" s="1442"/>
      <c r="T238" s="465" cm="1" t="str">
        <f t="array" ref="T238:T238">T237</f>
        <v>true</v>
      </c>
      <c r="U238" s="1442"/>
      <c r="V238" s="1304"/>
      <c r="W238" s="1442"/>
      <c r="X238" s="1563"/>
      <c r="Y238" s="1545"/>
      <c r="Z238" s="1304"/>
      <c r="AA238" s="1304"/>
      <c r="AB238" s="240" t="s">
        <v>1345</v>
      </c>
      <c r="AC238" s="332" t="s">
        <v>1346</v>
      </c>
      <c r="AD238" s="93" t="s">
        <v>1247</v>
      </c>
      <c r="AE238" s="315">
        <f>SUM(AE239:AE240)</f>
        <v>0</v>
      </c>
      <c r="AF238" s="315">
        <f>SUM(AF239:AF240)</f>
        <v>0</v>
      </c>
      <c r="AG238" s="315">
        <f>SUM(AG239:AG240)</f>
        <v>0</v>
      </c>
      <c r="AH238" s="315">
        <f>SUM(AH239:AH240)</f>
        <v>0</v>
      </c>
      <c r="AI238" s="315">
        <f>SUM(AI239:AI240)</f>
        <v>682.78641</v>
      </c>
      <c r="AJ238" s="315">
        <f>SUM(AJ239:AJ240)</f>
        <v>682.78641</v>
      </c>
      <c r="AK238" s="315">
        <f>SUM(AK239:AK240)</f>
        <v>682.78641</v>
      </c>
      <c r="AL238" s="315">
        <f>SUM(AL239:AL240)</f>
        <v>682.78641</v>
      </c>
      <c r="AM238" s="315">
        <f>SUM(AM239:AM240)</f>
        <v>682.78641</v>
      </c>
      <c r="AN238" s="315">
        <f>SUM(AN239:AN240)</f>
        <v>0</v>
      </c>
      <c r="AO238" s="315">
        <f>SUM(AO239:AO240)</f>
        <v>0</v>
      </c>
      <c r="AP238" s="315">
        <f>SUM(AP239:AP240)</f>
        <v>0</v>
      </c>
      <c r="AQ238" s="315">
        <f>SUM(AQ239:AQ240)</f>
        <v>0</v>
      </c>
      <c r="AR238" s="315">
        <f>SUM(AR239:AR240)</f>
        <v>0</v>
      </c>
      <c r="AS238" s="315">
        <f>SUM(AS239:AS240)</f>
        <v>682.78641</v>
      </c>
      <c r="AT238" s="315">
        <f>SUM(AT239:AT240)</f>
        <v>682.78641</v>
      </c>
      <c r="AU238" s="315">
        <f>SUM(AU239:AU240)</f>
        <v>682.78641</v>
      </c>
      <c r="AV238" s="315">
        <f>SUM(AV239:AV240)</f>
        <v>682.78641</v>
      </c>
      <c r="AW238" s="315">
        <f>SUM(AW239:AW240)</f>
        <v>682.78641</v>
      </c>
      <c r="AX238" s="315">
        <f>SUM(AX239:AX240)</f>
        <v>0</v>
      </c>
      <c r="AY238" s="315">
        <f>SUM(AY239:AY240)</f>
        <v>0</v>
      </c>
      <c r="AZ238" s="315">
        <f>SUM(AZ239:AZ240)</f>
        <v>0</v>
      </c>
      <c r="BA238" s="315">
        <f>SUM(BA239:BA240)</f>
        <v>0</v>
      </c>
      <c r="BB238" s="315">
        <f>SUM(BB239:BB240)</f>
        <v>0</v>
      </c>
      <c r="BC238" s="284"/>
      <c r="BD238" s="1304"/>
      <c r="BE238" s="1304"/>
      <c r="BF238" s="1015" t="s">
        <v>1347</v>
      </c>
    </row>
    <row s="1834" customFormat="1" customHeight="1" ht="12.75">
      <c r="A239" s="1304"/>
      <c r="B239" s="1436"/>
      <c r="C239" s="1304"/>
      <c r="D239" s="1304"/>
      <c r="E239" s="632">
        <v>15</v>
      </c>
      <c r="F239" s="50" cm="1" t="str">
        <f t="array" ref="F239:F239">OFFSET(E239,-1,1)</f>
        <v>2</v>
      </c>
      <c r="G239" s="1304"/>
      <c r="H239" s="98" t="s">
        <v>1348</v>
      </c>
      <c r="I239" s="1304"/>
      <c r="J239" s="1304"/>
      <c r="K239" s="1304"/>
      <c r="L239" s="1304"/>
      <c r="M239" s="1304"/>
      <c r="N239" s="1304"/>
      <c r="O239" s="1304"/>
      <c r="P239" s="1442"/>
      <c r="Q239" s="1442"/>
      <c r="R239" s="1442"/>
      <c r="S239" s="1442"/>
      <c r="T239" s="465" cm="1" t="str">
        <f t="array" ref="T239:T239">T238</f>
        <v>true</v>
      </c>
      <c r="U239" s="1442"/>
      <c r="V239" s="1304"/>
      <c r="W239" s="1442"/>
      <c r="X239" s="1563"/>
      <c r="Y239" s="1545"/>
      <c r="Z239" s="1304"/>
      <c r="AA239" s="1304"/>
      <c r="AB239" s="240" t="s">
        <v>1349</v>
      </c>
      <c r="AC239" s="333" t="s">
        <v>1323</v>
      </c>
      <c r="AD239" s="93" t="s">
        <v>1247</v>
      </c>
      <c r="AE239" s="279"/>
      <c r="AF239" s="279"/>
      <c r="AG239" s="279"/>
      <c r="AH239" s="279"/>
      <c r="AI239" s="279">
        <v>682.78641</v>
      </c>
      <c r="AJ239" s="279">
        <v>682.78641</v>
      </c>
      <c r="AK239" s="279">
        <v>682.78641</v>
      </c>
      <c r="AL239" s="279">
        <v>682.78641</v>
      </c>
      <c r="AM239" s="279">
        <v>682.78641</v>
      </c>
      <c r="AN239" s="2113"/>
      <c r="AO239" s="2113"/>
      <c r="AP239" s="2113"/>
      <c r="AQ239" s="2113"/>
      <c r="AR239" s="2113"/>
      <c r="AS239" s="279">
        <v>682.78641</v>
      </c>
      <c r="AT239" s="279">
        <v>682.78641</v>
      </c>
      <c r="AU239" s="279">
        <v>682.78641</v>
      </c>
      <c r="AV239" s="279">
        <v>682.78641</v>
      </c>
      <c r="AW239" s="279">
        <v>682.78641</v>
      </c>
      <c r="AX239" s="2113"/>
      <c r="AY239" s="2113"/>
      <c r="AZ239" s="2113"/>
      <c r="BA239" s="2113"/>
      <c r="BB239" s="2113"/>
      <c r="BC239" s="284"/>
      <c r="BD239" s="1304"/>
      <c r="BE239" s="1304"/>
      <c r="BF239" s="1015" t="s">
        <v>1350</v>
      </c>
    </row>
    <row s="1834" customFormat="1" customHeight="1" ht="12.75">
      <c r="A240" s="1304"/>
      <c r="B240" s="1436"/>
      <c r="C240" s="1304"/>
      <c r="D240" s="1304"/>
      <c r="E240" s="632">
        <v>15</v>
      </c>
      <c r="F240" s="50" cm="1" t="str">
        <f t="array" ref="F240:F240">OFFSET(E240,-1,1)</f>
        <v>2</v>
      </c>
      <c r="G240" s="1304"/>
      <c r="H240" s="98" t="s">
        <v>1351</v>
      </c>
      <c r="I240" s="1304"/>
      <c r="J240" s="1304"/>
      <c r="K240" s="1304"/>
      <c r="L240" s="1304"/>
      <c r="M240" s="1304"/>
      <c r="N240" s="1304"/>
      <c r="O240" s="1304"/>
      <c r="P240" s="1442"/>
      <c r="Q240" s="1442"/>
      <c r="R240" s="1442"/>
      <c r="S240" s="1442"/>
      <c r="T240" s="465" cm="1" t="str">
        <f t="array" ref="T240:T240">T239</f>
        <v>true</v>
      </c>
      <c r="U240" s="1442"/>
      <c r="V240" s="1304"/>
      <c r="W240" s="1442"/>
      <c r="X240" s="1563"/>
      <c r="Y240" s="1545"/>
      <c r="Z240" s="1304"/>
      <c r="AA240" s="1304"/>
      <c r="AB240" s="240" t="s">
        <v>1352</v>
      </c>
      <c r="AC240" s="333" t="s">
        <v>1327</v>
      </c>
      <c r="AD240" s="93" t="s">
        <v>1247</v>
      </c>
      <c r="AE240" s="279"/>
      <c r="AF240" s="279"/>
      <c r="AG240" s="279"/>
      <c r="AH240" s="279"/>
      <c r="AI240" s="279"/>
      <c r="AJ240" s="279"/>
      <c r="AK240" s="279"/>
      <c r="AL240" s="279"/>
      <c r="AM240" s="279"/>
      <c r="AN240" s="2113"/>
      <c r="AO240" s="2113"/>
      <c r="AP240" s="2113"/>
      <c r="AQ240" s="2113"/>
      <c r="AR240" s="2113"/>
      <c r="AS240" s="279"/>
      <c r="AT240" s="279"/>
      <c r="AU240" s="279"/>
      <c r="AV240" s="279"/>
      <c r="AW240" s="279"/>
      <c r="AX240" s="2113"/>
      <c r="AY240" s="2113"/>
      <c r="AZ240" s="2113"/>
      <c r="BA240" s="2113"/>
      <c r="BB240" s="2113"/>
      <c r="BC240" s="284"/>
      <c r="BD240" s="1304"/>
      <c r="BE240" s="1304"/>
      <c r="BF240" s="1015" t="s">
        <v>1353</v>
      </c>
    </row>
    <row s="1834" customFormat="1" customHeight="1" ht="12.75">
      <c r="A241" s="1304"/>
      <c r="B241" s="1436"/>
      <c r="C241" s="1304"/>
      <c r="D241" s="1304"/>
      <c r="E241" s="632">
        <v>15</v>
      </c>
      <c r="F241" s="50" cm="1" t="str">
        <f t="array" ref="F241:F241">OFFSET(E241,-1,1)</f>
        <v>2</v>
      </c>
      <c r="G241" s="1304"/>
      <c r="H241" s="98" t="s">
        <v>1354</v>
      </c>
      <c r="I241" s="1304"/>
      <c r="J241" s="1304"/>
      <c r="K241" s="1304"/>
      <c r="L241" s="1304"/>
      <c r="M241" s="1304"/>
      <c r="N241" s="1304"/>
      <c r="O241" s="1304"/>
      <c r="P241" s="1442"/>
      <c r="Q241" s="1442"/>
      <c r="R241" s="1442"/>
      <c r="S241" s="1442"/>
      <c r="T241" s="465" cm="1" t="str">
        <f t="array" ref="T241:T241">T240</f>
        <v>true</v>
      </c>
      <c r="U241" s="1442"/>
      <c r="V241" s="1304"/>
      <c r="W241" s="1442"/>
      <c r="X241" s="1563"/>
      <c r="Y241" s="1545"/>
      <c r="Z241" s="1304"/>
      <c r="AA241" s="1304"/>
      <c r="AB241" s="240" t="s">
        <v>1355</v>
      </c>
      <c r="AC241" s="332" t="s">
        <v>1356</v>
      </c>
      <c r="AD241" s="93" t="s">
        <v>1247</v>
      </c>
      <c r="AE241" s="315">
        <f>SUM(AE242:AE243)</f>
        <v>0</v>
      </c>
      <c r="AF241" s="315">
        <f>SUM(AF242:AF243)</f>
        <v>0</v>
      </c>
      <c r="AG241" s="315">
        <f>SUM(AG242:AG243)</f>
        <v>0</v>
      </c>
      <c r="AH241" s="315">
        <f>SUM(AH242:AH243)</f>
        <v>0</v>
      </c>
      <c r="AI241" s="315">
        <f>SUM(AI242:AI243)</f>
        <v>47.8052</v>
      </c>
      <c r="AJ241" s="315">
        <f>SUM(AJ242:AJ243)</f>
        <v>47.8052</v>
      </c>
      <c r="AK241" s="315">
        <f>SUM(AK242:AK243)</f>
        <v>47.8052</v>
      </c>
      <c r="AL241" s="315">
        <f>SUM(AL242:AL243)</f>
        <v>47.8052</v>
      </c>
      <c r="AM241" s="315">
        <f>SUM(AM242:AM243)</f>
        <v>47.8052</v>
      </c>
      <c r="AN241" s="315">
        <f>SUM(AN242:AN243)</f>
        <v>0</v>
      </c>
      <c r="AO241" s="315">
        <f>SUM(AO242:AO243)</f>
        <v>0</v>
      </c>
      <c r="AP241" s="315">
        <f>SUM(AP242:AP243)</f>
        <v>0</v>
      </c>
      <c r="AQ241" s="315">
        <f>SUM(AQ242:AQ243)</f>
        <v>0</v>
      </c>
      <c r="AR241" s="315">
        <f>SUM(AR242:AR243)</f>
        <v>0</v>
      </c>
      <c r="AS241" s="315">
        <f>SUM(AS242:AS243)</f>
        <v>47.8052</v>
      </c>
      <c r="AT241" s="315">
        <f>SUM(AT242:AT243)</f>
        <v>47.8052</v>
      </c>
      <c r="AU241" s="315">
        <f>SUM(AU242:AU243)</f>
        <v>47.8052</v>
      </c>
      <c r="AV241" s="315">
        <f>SUM(AV242:AV243)</f>
        <v>47.8052</v>
      </c>
      <c r="AW241" s="315">
        <f>SUM(AW242:AW243)</f>
        <v>47.8052</v>
      </c>
      <c r="AX241" s="315">
        <f>SUM(AX242:AX243)</f>
        <v>0</v>
      </c>
      <c r="AY241" s="315">
        <f>SUM(AY242:AY243)</f>
        <v>0</v>
      </c>
      <c r="AZ241" s="315">
        <f>SUM(AZ242:AZ243)</f>
        <v>0</v>
      </c>
      <c r="BA241" s="315">
        <f>SUM(BA242:BA243)</f>
        <v>0</v>
      </c>
      <c r="BB241" s="315">
        <f>SUM(BB242:BB243)</f>
        <v>0</v>
      </c>
      <c r="BC241" s="284"/>
      <c r="BD241" s="1304"/>
      <c r="BE241" s="1304"/>
      <c r="BF241" s="1015" t="s">
        <v>1357</v>
      </c>
    </row>
    <row s="1834" customFormat="1" customHeight="1" ht="12.75">
      <c r="A242" s="1304"/>
      <c r="B242" s="1436"/>
      <c r="C242" s="1304"/>
      <c r="D242" s="1304"/>
      <c r="E242" s="632">
        <v>15</v>
      </c>
      <c r="F242" s="50" cm="1" t="str">
        <f t="array" ref="F242:F242">OFFSET(E242,-1,1)</f>
        <v>2</v>
      </c>
      <c r="G242" s="1304"/>
      <c r="H242" s="98" t="s">
        <v>1358</v>
      </c>
      <c r="I242" s="1304"/>
      <c r="J242" s="1304"/>
      <c r="K242" s="1304"/>
      <c r="L242" s="1304"/>
      <c r="M242" s="1304"/>
      <c r="N242" s="1304"/>
      <c r="O242" s="1304"/>
      <c r="P242" s="1442"/>
      <c r="Q242" s="1442"/>
      <c r="R242" s="1442"/>
      <c r="S242" s="1442"/>
      <c r="T242" s="465" cm="1" t="str">
        <f t="array" ref="T242:T242">T241</f>
        <v>true</v>
      </c>
      <c r="U242" s="1442"/>
      <c r="V242" s="1304"/>
      <c r="W242" s="1442"/>
      <c r="X242" s="1563"/>
      <c r="Y242" s="1545"/>
      <c r="Z242" s="1304"/>
      <c r="AA242" s="1304"/>
      <c r="AB242" s="240" t="s">
        <v>1359</v>
      </c>
      <c r="AC242" s="333" t="s">
        <v>1323</v>
      </c>
      <c r="AD242" s="93" t="s">
        <v>1247</v>
      </c>
      <c r="AE242" s="279"/>
      <c r="AF242" s="279"/>
      <c r="AG242" s="279"/>
      <c r="AH242" s="279"/>
      <c r="AI242" s="279">
        <v>47.8052</v>
      </c>
      <c r="AJ242" s="279">
        <v>47.8052</v>
      </c>
      <c r="AK242" s="279">
        <v>47.8052</v>
      </c>
      <c r="AL242" s="279">
        <v>47.8052</v>
      </c>
      <c r="AM242" s="279">
        <v>47.8052</v>
      </c>
      <c r="AN242" s="2113"/>
      <c r="AO242" s="2113"/>
      <c r="AP242" s="2113"/>
      <c r="AQ242" s="2113"/>
      <c r="AR242" s="2113"/>
      <c r="AS242" s="279">
        <v>47.8052</v>
      </c>
      <c r="AT242" s="279">
        <v>47.8052</v>
      </c>
      <c r="AU242" s="279">
        <v>47.8052</v>
      </c>
      <c r="AV242" s="279">
        <v>47.8052</v>
      </c>
      <c r="AW242" s="279">
        <v>47.8052</v>
      </c>
      <c r="AX242" s="2113"/>
      <c r="AY242" s="2113"/>
      <c r="AZ242" s="2113"/>
      <c r="BA242" s="2113"/>
      <c r="BB242" s="2113"/>
      <c r="BC242" s="284"/>
      <c r="BD242" s="1304"/>
      <c r="BE242" s="1304"/>
      <c r="BF242" s="1015" t="s">
        <v>1360</v>
      </c>
    </row>
    <row s="1834" customFormat="1" customHeight="1" ht="12.75">
      <c r="A243" s="1304"/>
      <c r="B243" s="1436"/>
      <c r="C243" s="1304"/>
      <c r="D243" s="1304"/>
      <c r="E243" s="632">
        <v>15</v>
      </c>
      <c r="F243" s="50" cm="1" t="str">
        <f t="array" ref="F243:F243">OFFSET(E243,-1,1)</f>
        <v>2</v>
      </c>
      <c r="G243" s="1304"/>
      <c r="H243" s="98" t="s">
        <v>1361</v>
      </c>
      <c r="I243" s="1304"/>
      <c r="J243" s="1304"/>
      <c r="K243" s="1304"/>
      <c r="L243" s="1304"/>
      <c r="M243" s="1304"/>
      <c r="N243" s="1304"/>
      <c r="O243" s="1304"/>
      <c r="P243" s="1442"/>
      <c r="Q243" s="1442"/>
      <c r="R243" s="1442"/>
      <c r="S243" s="1442"/>
      <c r="T243" s="465" cm="1" t="str">
        <f t="array" ref="T243:T243">T242</f>
        <v>true</v>
      </c>
      <c r="U243" s="1442"/>
      <c r="V243" s="1304"/>
      <c r="W243" s="1442"/>
      <c r="X243" s="1563"/>
      <c r="Y243" s="1545"/>
      <c r="Z243" s="1304"/>
      <c r="AA243" s="1304"/>
      <c r="AB243" s="240" t="s">
        <v>1362</v>
      </c>
      <c r="AC243" s="333" t="s">
        <v>1327</v>
      </c>
      <c r="AD243" s="93" t="s">
        <v>1247</v>
      </c>
      <c r="AE243" s="279"/>
      <c r="AF243" s="279"/>
      <c r="AG243" s="279"/>
      <c r="AH243" s="279"/>
      <c r="AI243" s="279"/>
      <c r="AJ243" s="279"/>
      <c r="AK243" s="279"/>
      <c r="AL243" s="279"/>
      <c r="AM243" s="279"/>
      <c r="AN243" s="2113"/>
      <c r="AO243" s="2113"/>
      <c r="AP243" s="2113"/>
      <c r="AQ243" s="2113"/>
      <c r="AR243" s="2113"/>
      <c r="AS243" s="279"/>
      <c r="AT243" s="279"/>
      <c r="AU243" s="279"/>
      <c r="AV243" s="279"/>
      <c r="AW243" s="279"/>
      <c r="AX243" s="2113"/>
      <c r="AY243" s="2113"/>
      <c r="AZ243" s="2113"/>
      <c r="BA243" s="2113"/>
      <c r="BB243" s="2113"/>
      <c r="BC243" s="200"/>
      <c r="BD243" s="1304"/>
      <c r="BE243" s="1304"/>
      <c r="BF243" s="1015" t="s">
        <v>1363</v>
      </c>
    </row>
    <row s="1834" customFormat="1" customHeight="1" ht="0">
      <c r="A244" s="1304"/>
      <c r="B244" s="1436"/>
      <c r="C244" s="1304"/>
      <c r="D244" s="1304"/>
      <c r="E244" s="632">
        <v>22.5</v>
      </c>
      <c r="F244" s="50" cm="1" t="str">
        <f t="array" ref="F244:F244">OFFSET(E244,-1,1)</f>
        <v>2</v>
      </c>
      <c r="G244" s="1304"/>
      <c r="H244" s="98" t="s">
        <v>1364</v>
      </c>
      <c r="I244" s="469"/>
      <c r="J244" s="469"/>
      <c r="K244" s="1304"/>
      <c r="L244" s="1304"/>
      <c r="M244" s="1304"/>
      <c r="N244" s="1304"/>
      <c r="O244" s="1304"/>
      <c r="P244" s="1442"/>
      <c r="Q244" s="1442"/>
      <c r="R244" s="1442"/>
      <c r="S244" s="1442"/>
      <c r="T244" s="465" cm="1" t="str">
        <f t="array" ref="T244:T244">T243</f>
        <v>true</v>
      </c>
      <c r="U244" s="1442"/>
      <c r="V244" s="1304"/>
      <c r="W244" s="1442"/>
      <c r="X244" s="1563"/>
      <c r="Y244" s="1545"/>
      <c r="Z244" s="1304"/>
      <c r="AA244" s="1304"/>
      <c r="AB244" s="240" t="s">
        <v>1365</v>
      </c>
      <c r="AC244" s="334" t="s">
        <v>1366</v>
      </c>
      <c r="AD244" s="93" t="s">
        <v>1247</v>
      </c>
      <c r="AE244" s="276"/>
      <c r="AF244" s="276"/>
      <c r="AG244" s="276"/>
      <c r="AH244" s="276"/>
      <c r="AI244" s="276"/>
      <c r="AJ244" s="276"/>
      <c r="AK244" s="276"/>
      <c r="AL244" s="276"/>
      <c r="AM244" s="276"/>
      <c r="AN244" s="2069"/>
      <c r="AO244" s="2069"/>
      <c r="AP244" s="2069"/>
      <c r="AQ244" s="2069"/>
      <c r="AR244" s="2069"/>
      <c r="AS244" s="276"/>
      <c r="AT244" s="276"/>
      <c r="AU244" s="276"/>
      <c r="AV244" s="276"/>
      <c r="AW244" s="276"/>
      <c r="AX244" s="2069"/>
      <c r="AY244" s="2069"/>
      <c r="AZ244" s="2069"/>
      <c r="BA244" s="2069"/>
      <c r="BB244" s="2069"/>
      <c r="BC244" s="200"/>
      <c r="BD244" s="1304"/>
      <c r="BE244" s="1304"/>
      <c r="BF244" s="1015" t="s">
        <v>1367</v>
      </c>
    </row>
    <row s="1834" customFormat="1" customHeight="1" ht="0">
      <c r="A245" s="1304"/>
      <c r="B245" s="1436"/>
      <c r="C245" s="1304"/>
      <c r="D245" s="1304"/>
      <c r="E245" s="632">
        <v>15</v>
      </c>
      <c r="F245" s="349" cm="1" t="str">
        <f t="array" ref="F245:F245">OFFSET(E245,-1,1)</f>
        <v>2</v>
      </c>
      <c r="G245" s="1304"/>
      <c r="H245" s="1304"/>
      <c r="I245" s="1304"/>
      <c r="J245" s="1304"/>
      <c r="K245" s="1304"/>
      <c r="L245" s="1304"/>
      <c r="M245" s="1304"/>
      <c r="N245" s="1304"/>
      <c r="O245" s="1304"/>
      <c r="P245" s="1442"/>
      <c r="Q245" s="1442"/>
      <c r="R245" s="1442"/>
      <c r="S245" s="1442"/>
      <c r="T245" s="465" cm="1" t="str">
        <f t="array" ref="T245:T245">T244</f>
        <v>true</v>
      </c>
      <c r="U245" s="1442"/>
      <c r="V245" s="1304"/>
      <c r="W245" s="1442"/>
      <c r="X245" s="1563"/>
      <c r="Y245" s="1545"/>
      <c r="Z245" s="1304"/>
      <c r="AA245" s="1304"/>
      <c r="AB245" s="240" t="s">
        <v>1368</v>
      </c>
      <c r="AC245" s="334" t="s">
        <v>1369</v>
      </c>
      <c r="AD245" s="93" t="s">
        <v>1247</v>
      </c>
      <c r="AE245" s="276"/>
      <c r="AF245" s="276"/>
      <c r="AG245" s="276"/>
      <c r="AH245" s="276"/>
      <c r="AI245" s="276"/>
      <c r="AJ245" s="276"/>
      <c r="AK245" s="276"/>
      <c r="AL245" s="276"/>
      <c r="AM245" s="276"/>
      <c r="AN245" s="2069"/>
      <c r="AO245" s="2069"/>
      <c r="AP245" s="2069"/>
      <c r="AQ245" s="2069"/>
      <c r="AR245" s="2069"/>
      <c r="AS245" s="276"/>
      <c r="AT245" s="276"/>
      <c r="AU245" s="276"/>
      <c r="AV245" s="276"/>
      <c r="AW245" s="276"/>
      <c r="AX245" s="2069"/>
      <c r="AY245" s="2069"/>
      <c r="AZ245" s="2069"/>
      <c r="BA245" s="2069"/>
      <c r="BB245" s="2069"/>
      <c r="BC245" s="200"/>
      <c r="BD245" s="1304"/>
      <c r="BE245" s="1304"/>
      <c r="BF245" s="1015" t="s">
        <v>1370</v>
      </c>
    </row>
    <row s="1834" customFormat="1" customHeight="1" ht="11.25" hidden="1">
      <c r="A246" s="469"/>
      <c r="B246" s="658"/>
      <c r="C246" s="469"/>
      <c r="D246" s="469"/>
      <c r="E246" s="660" t="s">
        <v>373</v>
      </c>
      <c r="F246" s="1175" cm="1" t="str">
        <f t="array" ref="F246:F246">OFFSET(E246,-1,1)</f>
        <v>2</v>
      </c>
      <c r="G246" s="469"/>
      <c r="H246" s="469"/>
      <c r="I246" s="1834"/>
      <c r="J246" s="1834"/>
      <c r="K246" s="98"/>
      <c r="L246" s="469"/>
      <c r="M246" s="469"/>
      <c r="N246" s="469"/>
      <c r="O246" s="469"/>
      <c r="P246" s="469"/>
      <c r="Q246" s="469"/>
      <c r="R246" s="416"/>
      <c r="S246" s="416"/>
      <c r="T246" s="465" t="b">
        <v>0</v>
      </c>
      <c r="U246" s="469"/>
      <c r="V246" s="469"/>
      <c r="W246" s="469"/>
      <c r="X246" s="1563"/>
      <c r="Y246" s="1545"/>
      <c r="Z246" s="469"/>
      <c r="AA246" s="469"/>
      <c r="AB246" s="1834"/>
      <c r="AC246" s="100"/>
      <c r="AD246" s="100"/>
      <c r="AE246" s="344"/>
      <c r="AF246" s="344"/>
      <c r="AG246" s="344"/>
      <c r="AH246" s="344"/>
      <c r="AI246" s="344"/>
      <c r="AJ246" s="345"/>
      <c r="AK246" s="344"/>
      <c r="AL246" s="344"/>
      <c r="AM246" s="344"/>
      <c r="AN246" s="344"/>
      <c r="AO246" s="344"/>
      <c r="AP246" s="344"/>
      <c r="AQ246" s="344"/>
      <c r="AR246" s="344"/>
      <c r="AS246" s="344"/>
      <c r="AT246" s="344"/>
      <c r="AU246" s="344"/>
      <c r="AV246" s="344"/>
      <c r="AW246" s="344"/>
      <c r="AX246" s="344"/>
      <c r="AY246" s="344"/>
      <c r="AZ246" s="344"/>
      <c r="BA246" s="344"/>
      <c r="BB246" s="344"/>
      <c r="BC246" s="1834"/>
      <c r="BD246" s="1834"/>
      <c r="BE246" s="1834"/>
      <c r="BF246" s="1019"/>
    </row>
    <row s="1834" customFormat="1" customHeight="1" ht="14.25" hidden="1">
      <c r="A247" s="1304"/>
      <c r="B247" s="1436"/>
      <c r="C247" s="1304"/>
      <c r="D247" s="1304"/>
      <c r="E247" s="632">
        <v>15</v>
      </c>
      <c r="F247" s="50" cm="1" t="str">
        <f t="array" ref="F247:F247">OFFSET(E247,-1,1)</f>
        <v>2</v>
      </c>
      <c r="G247" s="1304"/>
      <c r="H247" s="1304"/>
      <c r="I247" s="1304"/>
      <c r="J247" s="1304"/>
      <c r="K247" s="1304"/>
      <c r="L247" s="1304"/>
      <c r="M247" s="1304"/>
      <c r="N247" s="1304"/>
      <c r="O247" s="1304"/>
      <c r="P247" s="1442"/>
      <c r="Q247" s="1442"/>
      <c r="R247" s="416" cm="1" t="str">
        <f t="array" ref="R247:R247">INDEX('Общие сведения'!$AN$179:$AN$250,MATCH($X209,'Общие сведения'!$Z$179:$Z$250,0))</f>
        <v>false</v>
      </c>
      <c r="S247" s="416">
        <f>IF(ISERROR(SEARCH("Водоснабжение",AB209)),FALSE,TRUE)</f>
        <v>1</v>
      </c>
      <c r="T247" s="465">
        <f>AND(X209&gt;0,S247,R247)</f>
        <v>0</v>
      </c>
      <c r="U247" s="1442"/>
      <c r="V247" s="1304"/>
      <c r="W247" s="1442"/>
      <c r="X247" s="1563"/>
      <c r="Y247" s="1545"/>
      <c r="Z247" s="1304"/>
      <c r="AA247" s="1304"/>
      <c r="AB247" s="240" t="s">
        <v>276</v>
      </c>
      <c r="AC247" s="328" t="s">
        <v>1244</v>
      </c>
      <c r="AD247" s="198"/>
      <c r="AE247" s="570" cm="1" t="str">
        <f t="array" ref="AE247:AE247">INDEX('Общие сведения'!$AH$179:$AH$250,MATCH($X209,'Общие сведения'!$Z$179:$Z$250,0))</f>
        <v>питьевая вода</v>
      </c>
      <c r="AF247" s="362"/>
      <c r="AG247" s="362"/>
      <c r="AH247" s="362"/>
      <c r="AI247" s="362"/>
      <c r="AJ247" s="362"/>
      <c r="AK247" s="362"/>
      <c r="AL247" s="362"/>
      <c r="AM247" s="362"/>
      <c r="AN247" s="362"/>
      <c r="AO247" s="362"/>
      <c r="AP247" s="362"/>
      <c r="AQ247" s="362"/>
      <c r="AR247" s="362"/>
      <c r="AS247" s="362"/>
      <c r="AT247" s="362"/>
      <c r="AU247" s="362"/>
      <c r="AV247" s="362"/>
      <c r="AW247" s="362"/>
      <c r="AX247" s="362"/>
      <c r="AY247" s="362"/>
      <c r="AZ247" s="362"/>
      <c r="BA247" s="362"/>
      <c r="BB247" s="363"/>
      <c r="BC247" s="2070"/>
      <c r="BD247" s="1304"/>
      <c r="BE247" s="1304"/>
      <c r="BF247" s="1015" t="s">
        <v>1371</v>
      </c>
    </row>
    <row s="1834" customFormat="1" customHeight="1" ht="14.25" hidden="1">
      <c r="A248" s="1304"/>
      <c r="B248" s="1436"/>
      <c r="C248" s="1304"/>
      <c r="D248" s="1304"/>
      <c r="E248" s="632">
        <v>15</v>
      </c>
      <c r="F248" s="50" cm="1" t="str">
        <f t="array" ref="F248:F248">OFFSET(E248,-1,1)</f>
        <v>2</v>
      </c>
      <c r="G248" s="1304"/>
      <c r="H248" s="98" t="s">
        <v>336</v>
      </c>
      <c r="I248" s="1304"/>
      <c r="J248" s="1304"/>
      <c r="K248" s="1304"/>
      <c r="L248" s="1304"/>
      <c r="M248" s="1304"/>
      <c r="N248" s="1304"/>
      <c r="O248" s="1304"/>
      <c r="P248" s="1442"/>
      <c r="Q248" s="1442"/>
      <c r="R248" s="1442"/>
      <c r="S248" s="1442"/>
      <c r="T248" s="465" cm="1" t="str">
        <f t="array" ref="T248:T248">T247</f>
        <v>false</v>
      </c>
      <c r="U248" s="1442"/>
      <c r="V248" s="1304"/>
      <c r="W248" s="1442"/>
      <c r="X248" s="1563"/>
      <c r="Y248" s="1545"/>
      <c r="Z248" s="1304"/>
      <c r="AA248" s="1304"/>
      <c r="AB248" s="240" t="s">
        <v>285</v>
      </c>
      <c r="AC248" s="335" t="s">
        <v>1372</v>
      </c>
      <c r="AD248" s="93" t="s">
        <v>1247</v>
      </c>
      <c r="AE248" s="346">
        <f>AE252+AE254+AE257+AE260</f>
        <v>0</v>
      </c>
      <c r="AF248" s="346">
        <f>AF252+AF254+AF257+AF260</f>
        <v>0</v>
      </c>
      <c r="AG248" s="346">
        <f>AG252+AG254+AG257+AG260</f>
        <v>0</v>
      </c>
      <c r="AH248" s="346">
        <f>AH252+AH254+AH257+AH260</f>
        <v>0</v>
      </c>
      <c r="AI248" s="346">
        <f>AI252+AI254+AI257+AI260</f>
        <v>0</v>
      </c>
      <c r="AJ248" s="346">
        <f>AJ252+AJ254+AJ257+AJ260</f>
        <v>0</v>
      </c>
      <c r="AK248" s="346">
        <f>AK252+AK254+AK257+AK260</f>
        <v>0</v>
      </c>
      <c r="AL248" s="346">
        <f>AL252+AL254+AL257+AL260</f>
        <v>0</v>
      </c>
      <c r="AM248" s="346">
        <f>AM252+AM254+AM257+AM260</f>
        <v>0</v>
      </c>
      <c r="AN248" s="346">
        <f>AN252+AN254+AN257+AN260</f>
        <v>0</v>
      </c>
      <c r="AO248" s="346">
        <f>AO252+AO254+AO257+AO260</f>
        <v>0</v>
      </c>
      <c r="AP248" s="346">
        <f>AP252+AP254+AP257+AP260</f>
        <v>0</v>
      </c>
      <c r="AQ248" s="346">
        <f>AQ252+AQ254+AQ257+AQ260</f>
        <v>0</v>
      </c>
      <c r="AR248" s="346">
        <f>AR252+AR254+AR257+AR260</f>
        <v>0</v>
      </c>
      <c r="AS248" s="346">
        <f>AS252+AS254+AS257+AS260</f>
        <v>0</v>
      </c>
      <c r="AT248" s="346">
        <f>AT252+AT254+AT257+AT260</f>
        <v>0</v>
      </c>
      <c r="AU248" s="346">
        <f>AU252+AU254+AU257+AU260</f>
        <v>0</v>
      </c>
      <c r="AV248" s="346">
        <f>AV252+AV254+AV257+AV260</f>
        <v>0</v>
      </c>
      <c r="AW248" s="346">
        <f>AW252+AW254+AW257+AW260</f>
        <v>0</v>
      </c>
      <c r="AX248" s="346">
        <f>AX252+AX254+AX257+AX260</f>
        <v>0</v>
      </c>
      <c r="AY248" s="346">
        <f>AY252+AY254+AY257+AY260</f>
        <v>0</v>
      </c>
      <c r="AZ248" s="346">
        <f>AZ252+AZ254+AZ257+AZ260</f>
        <v>0</v>
      </c>
      <c r="BA248" s="346">
        <f>BA252+BA254+BA257+BA260</f>
        <v>0</v>
      </c>
      <c r="BB248" s="346">
        <f>BB252+BB254+BB257+BB260</f>
        <v>0</v>
      </c>
      <c r="BC248" s="2070"/>
      <c r="BD248" s="1304"/>
      <c r="BE248" s="1304"/>
      <c r="BF248" s="1015" t="s">
        <v>1373</v>
      </c>
    </row>
    <row s="1834" customFormat="1" customHeight="1" ht="14.25" hidden="1">
      <c r="A249" s="1304"/>
      <c r="B249" s="1436"/>
      <c r="C249" s="1304"/>
      <c r="D249" s="1304"/>
      <c r="E249" s="632">
        <v>15</v>
      </c>
      <c r="F249" s="50" cm="1" t="str">
        <f t="array" ref="F249:F249">OFFSET(E249,-1,1)</f>
        <v>2</v>
      </c>
      <c r="G249" s="1304"/>
      <c r="H249" s="98" t="s">
        <v>1249</v>
      </c>
      <c r="I249" s="1304"/>
      <c r="J249" s="1304"/>
      <c r="K249" s="1304"/>
      <c r="L249" s="1304"/>
      <c r="M249" s="1304"/>
      <c r="N249" s="1304"/>
      <c r="O249" s="1304"/>
      <c r="P249" s="1442"/>
      <c r="Q249" s="1442"/>
      <c r="R249" s="1442"/>
      <c r="S249" s="1442"/>
      <c r="T249" s="465" cm="1" t="str">
        <f t="array" ref="T249:T249">T248</f>
        <v>false</v>
      </c>
      <c r="U249" s="1442"/>
      <c r="V249" s="1304"/>
      <c r="W249" s="1442"/>
      <c r="X249" s="1563"/>
      <c r="Y249" s="1545"/>
      <c r="Z249" s="1304"/>
      <c r="AA249" s="1304"/>
      <c r="AB249" s="240" t="s">
        <v>1250</v>
      </c>
      <c r="AC249" s="336" t="s">
        <v>1374</v>
      </c>
      <c r="AD249" s="93" t="s">
        <v>1247</v>
      </c>
      <c r="AE249" s="2069"/>
      <c r="AF249" s="2069"/>
      <c r="AG249" s="2069"/>
      <c r="AH249" s="2069"/>
      <c r="AI249" s="2069"/>
      <c r="AJ249" s="2069"/>
      <c r="AK249" s="2069"/>
      <c r="AL249" s="2069"/>
      <c r="AM249" s="2069"/>
      <c r="AN249" s="2069"/>
      <c r="AO249" s="2069"/>
      <c r="AP249" s="2069"/>
      <c r="AQ249" s="2069"/>
      <c r="AR249" s="2069"/>
      <c r="AS249" s="2069"/>
      <c r="AT249" s="2069"/>
      <c r="AU249" s="2069"/>
      <c r="AV249" s="2069"/>
      <c r="AW249" s="2069"/>
      <c r="AX249" s="2069"/>
      <c r="AY249" s="2069"/>
      <c r="AZ249" s="2069"/>
      <c r="BA249" s="2069"/>
      <c r="BB249" s="2069"/>
      <c r="BC249" s="2070"/>
      <c r="BD249" s="1304"/>
      <c r="BE249" s="1304"/>
      <c r="BF249" s="1015" t="s">
        <v>1375</v>
      </c>
    </row>
    <row s="1834" customFormat="1" customHeight="1" ht="14.25" hidden="1">
      <c r="A250" s="1304"/>
      <c r="B250" s="1436"/>
      <c r="C250" s="1304"/>
      <c r="D250" s="1304"/>
      <c r="E250" s="632">
        <v>15</v>
      </c>
      <c r="F250" s="50" cm="1" t="str">
        <f t="array" ref="F250:F250">OFFSET(E250,-1,1)</f>
        <v>2</v>
      </c>
      <c r="G250" s="1304"/>
      <c r="H250" s="98" t="s">
        <v>1253</v>
      </c>
      <c r="I250" s="1304"/>
      <c r="J250" s="1304"/>
      <c r="K250" s="1304"/>
      <c r="L250" s="1304"/>
      <c r="M250" s="1304"/>
      <c r="N250" s="1304"/>
      <c r="O250" s="1304"/>
      <c r="P250" s="1442"/>
      <c r="Q250" s="1442"/>
      <c r="R250" s="1442"/>
      <c r="S250" s="1442"/>
      <c r="T250" s="465" cm="1" t="str">
        <f t="array" ref="T250:T250">T249</f>
        <v>false</v>
      </c>
      <c r="U250" s="1442"/>
      <c r="V250" s="1304"/>
      <c r="W250" s="1442"/>
      <c r="X250" s="1563"/>
      <c r="Y250" s="1545"/>
      <c r="Z250" s="1304"/>
      <c r="AA250" s="1304"/>
      <c r="AB250" s="240" t="s">
        <v>1254</v>
      </c>
      <c r="AC250" s="336" t="s">
        <v>1376</v>
      </c>
      <c r="AD250" s="93" t="s">
        <v>1247</v>
      </c>
      <c r="AE250" s="2069"/>
      <c r="AF250" s="2069"/>
      <c r="AG250" s="2069"/>
      <c r="AH250" s="2069"/>
      <c r="AI250" s="2069"/>
      <c r="AJ250" s="2069"/>
      <c r="AK250" s="2069"/>
      <c r="AL250" s="2069"/>
      <c r="AM250" s="2069"/>
      <c r="AN250" s="2069"/>
      <c r="AO250" s="2069"/>
      <c r="AP250" s="2069"/>
      <c r="AQ250" s="2069"/>
      <c r="AR250" s="2069"/>
      <c r="AS250" s="2069"/>
      <c r="AT250" s="2069"/>
      <c r="AU250" s="2069"/>
      <c r="AV250" s="2069"/>
      <c r="AW250" s="2069"/>
      <c r="AX250" s="2069"/>
      <c r="AY250" s="2069"/>
      <c r="AZ250" s="2069"/>
      <c r="BA250" s="2069"/>
      <c r="BB250" s="2069"/>
      <c r="BC250" s="2070"/>
      <c r="BD250" s="1304"/>
      <c r="BE250" s="1304"/>
      <c r="BF250" s="1015" t="s">
        <v>1377</v>
      </c>
    </row>
    <row s="1834" customFormat="1" customHeight="1" ht="21.75" hidden="1">
      <c r="A251" s="1304"/>
      <c r="B251" s="1436"/>
      <c r="C251" s="1304"/>
      <c r="D251" s="1304"/>
      <c r="E251" s="632">
        <v>22.5</v>
      </c>
      <c r="F251" s="50" cm="1" t="str">
        <f t="array" ref="F251:F251">OFFSET(E251,-1,1)</f>
        <v>2</v>
      </c>
      <c r="G251" s="1304"/>
      <c r="H251" s="98" t="s">
        <v>1257</v>
      </c>
      <c r="I251" s="1304"/>
      <c r="J251" s="1304"/>
      <c r="K251" s="1304"/>
      <c r="L251" s="1304"/>
      <c r="M251" s="1304"/>
      <c r="N251" s="1304"/>
      <c r="O251" s="1304"/>
      <c r="P251" s="1442"/>
      <c r="Q251" s="1442"/>
      <c r="R251" s="1442"/>
      <c r="S251" s="1442"/>
      <c r="T251" s="465" cm="1" t="str">
        <f t="array" ref="T251:T251">T250</f>
        <v>false</v>
      </c>
      <c r="U251" s="1442"/>
      <c r="V251" s="1304"/>
      <c r="W251" s="1442"/>
      <c r="X251" s="1563"/>
      <c r="Y251" s="1545"/>
      <c r="Z251" s="1304"/>
      <c r="AA251" s="1304"/>
      <c r="AB251" s="240" t="s">
        <v>1258</v>
      </c>
      <c r="AC251" s="336" t="s">
        <v>1378</v>
      </c>
      <c r="AD251" s="93" t="s">
        <v>1247</v>
      </c>
      <c r="AE251" s="2069"/>
      <c r="AF251" s="2069"/>
      <c r="AG251" s="2069"/>
      <c r="AH251" s="2069"/>
      <c r="AI251" s="2069"/>
      <c r="AJ251" s="2069"/>
      <c r="AK251" s="2069"/>
      <c r="AL251" s="2069"/>
      <c r="AM251" s="2069"/>
      <c r="AN251" s="2069"/>
      <c r="AO251" s="2069"/>
      <c r="AP251" s="2069"/>
      <c r="AQ251" s="2069"/>
      <c r="AR251" s="2069"/>
      <c r="AS251" s="2069"/>
      <c r="AT251" s="2069"/>
      <c r="AU251" s="2069"/>
      <c r="AV251" s="2069"/>
      <c r="AW251" s="2069"/>
      <c r="AX251" s="2069"/>
      <c r="AY251" s="2069"/>
      <c r="AZ251" s="2069"/>
      <c r="BA251" s="2069"/>
      <c r="BB251" s="2069"/>
      <c r="BC251" s="2070"/>
      <c r="BD251" s="1304"/>
      <c r="BE251" s="1304"/>
      <c r="BF251" s="1015" t="s">
        <v>1379</v>
      </c>
    </row>
    <row s="1834" customFormat="1" customHeight="1" ht="14.25" hidden="1">
      <c r="A252" s="1304"/>
      <c r="B252" s="1436"/>
      <c r="C252" s="1304"/>
      <c r="D252" s="1304"/>
      <c r="E252" s="632">
        <v>15</v>
      </c>
      <c r="F252" s="50" cm="1" t="str">
        <f t="array" ref="F252:F252">OFFSET(E252,-1,1)</f>
        <v>2</v>
      </c>
      <c r="G252" s="1304"/>
      <c r="H252" s="98" t="s">
        <v>335</v>
      </c>
      <c r="I252" s="1304"/>
      <c r="J252" s="1304"/>
      <c r="K252" s="1304"/>
      <c r="L252" s="1304"/>
      <c r="M252" s="1304"/>
      <c r="N252" s="1304"/>
      <c r="O252" s="1304"/>
      <c r="P252" s="1442"/>
      <c r="Q252" s="1442"/>
      <c r="R252" s="1442"/>
      <c r="S252" s="1442"/>
      <c r="T252" s="465" cm="1" t="str">
        <f t="array" ref="T252:T252">T251</f>
        <v>false</v>
      </c>
      <c r="U252" s="1442"/>
      <c r="V252" s="1304"/>
      <c r="W252" s="1442"/>
      <c r="X252" s="1563"/>
      <c r="Y252" s="1545"/>
      <c r="Z252" s="1304"/>
      <c r="AA252" s="1304"/>
      <c r="AB252" s="240" t="s">
        <v>289</v>
      </c>
      <c r="AC252" s="328" t="s">
        <v>1291</v>
      </c>
      <c r="AD252" s="93" t="s">
        <v>1247</v>
      </c>
      <c r="AE252" s="2069"/>
      <c r="AF252" s="2069"/>
      <c r="AG252" s="2069"/>
      <c r="AH252" s="2069"/>
      <c r="AI252" s="2069"/>
      <c r="AJ252" s="2069"/>
      <c r="AK252" s="2069"/>
      <c r="AL252" s="2069"/>
      <c r="AM252" s="2069"/>
      <c r="AN252" s="2069"/>
      <c r="AO252" s="2069"/>
      <c r="AP252" s="2069"/>
      <c r="AQ252" s="2069"/>
      <c r="AR252" s="2069"/>
      <c r="AS252" s="2069"/>
      <c r="AT252" s="2069"/>
      <c r="AU252" s="2069"/>
      <c r="AV252" s="2069"/>
      <c r="AW252" s="2069"/>
      <c r="AX252" s="2069"/>
      <c r="AY252" s="2069"/>
      <c r="AZ252" s="2069"/>
      <c r="BA252" s="2069"/>
      <c r="BB252" s="2069"/>
      <c r="BC252" s="2070"/>
      <c r="BD252" s="1304"/>
      <c r="BE252" s="1304"/>
      <c r="BF252" s="1015" t="s">
        <v>1380</v>
      </c>
    </row>
    <row s="1834" customFormat="1" customHeight="1" ht="14.25" hidden="1">
      <c r="A253" s="1304"/>
      <c r="B253" s="1436"/>
      <c r="C253" s="1304"/>
      <c r="D253" s="1304"/>
      <c r="E253" s="632">
        <v>15</v>
      </c>
      <c r="F253" s="50" cm="1" t="str">
        <f t="array" ref="F253:F253">OFFSET(E253,-1,1)</f>
        <v>2</v>
      </c>
      <c r="G253" s="1304"/>
      <c r="H253" s="98" t="s">
        <v>1263</v>
      </c>
      <c r="I253" s="1304"/>
      <c r="J253" s="1304"/>
      <c r="K253" s="1304"/>
      <c r="L253" s="1304"/>
      <c r="M253" s="1304"/>
      <c r="N253" s="1304"/>
      <c r="O253" s="1304"/>
      <c r="P253" s="1442"/>
      <c r="Q253" s="1442"/>
      <c r="R253" s="1442"/>
      <c r="S253" s="1442"/>
      <c r="T253" s="465" cm="1" t="str">
        <f t="array" ref="T253:T253">T252</f>
        <v>false</v>
      </c>
      <c r="U253" s="1442"/>
      <c r="V253" s="1304"/>
      <c r="W253" s="1442"/>
      <c r="X253" s="1563"/>
      <c r="Y253" s="1545"/>
      <c r="Z253" s="1304"/>
      <c r="AA253" s="1304"/>
      <c r="AB253" s="240" t="s">
        <v>1264</v>
      </c>
      <c r="AC253" s="331" t="s">
        <v>1295</v>
      </c>
      <c r="AD253" s="93" t="s">
        <v>1170</v>
      </c>
      <c r="AE253" s="1940">
        <f>IF(AE248=0,0,AE252/AE248*100)</f>
        <v>0</v>
      </c>
      <c r="AF253" s="1940">
        <f>IF(AF248=0,0,AF252/AF248*100)</f>
        <v>0</v>
      </c>
      <c r="AG253" s="1940">
        <f>IF(AG248=0,0,AG252/AG248*100)</f>
        <v>0</v>
      </c>
      <c r="AH253" s="1940">
        <f>IF(AH248=0,0,AH252/AH248*100)</f>
        <v>0</v>
      </c>
      <c r="AI253" s="1940">
        <f>IF(AI248=0,0,AI252/AI248*100)</f>
        <v>0</v>
      </c>
      <c r="AJ253" s="1940">
        <f>IF(AJ248=0,0,AJ252/AJ248*100)</f>
        <v>0</v>
      </c>
      <c r="AK253" s="1940">
        <f>IF(AK248=0,0,AK252/AK248*100)</f>
        <v>0</v>
      </c>
      <c r="AL253" s="1940">
        <f>IF(AL248=0,0,AL252/AL248*100)</f>
        <v>0</v>
      </c>
      <c r="AM253" s="1940">
        <f>IF(AM248=0,0,AM252/AM248*100)</f>
        <v>0</v>
      </c>
      <c r="AN253" s="1940">
        <f>IF(AN248=0,0,AN252/AN248*100)</f>
        <v>0</v>
      </c>
      <c r="AO253" s="1940">
        <f>IF(AO248=0,0,AO252/AO248*100)</f>
        <v>0</v>
      </c>
      <c r="AP253" s="1940">
        <f>IF(AP248=0,0,AP252/AP248*100)</f>
        <v>0</v>
      </c>
      <c r="AQ253" s="1940">
        <f>IF(AQ248=0,0,AQ252/AQ248*100)</f>
        <v>0</v>
      </c>
      <c r="AR253" s="1940">
        <f>IF(AR248=0,0,AR252/AR248*100)</f>
        <v>0</v>
      </c>
      <c r="AS253" s="1940">
        <f>IF(AS248=0,0,AS252/AS248*100)</f>
        <v>0</v>
      </c>
      <c r="AT253" s="1940">
        <f>IF(AT248=0,0,AT252/AT248*100)</f>
        <v>0</v>
      </c>
      <c r="AU253" s="1940">
        <f>IF(AU248=0,0,AU252/AU248*100)</f>
        <v>0</v>
      </c>
      <c r="AV253" s="1940">
        <f>IF(AV248=0,0,AV252/AV248*100)</f>
        <v>0</v>
      </c>
      <c r="AW253" s="1940">
        <f>IF(AW248=0,0,AW252/AW248*100)</f>
        <v>0</v>
      </c>
      <c r="AX253" s="1940">
        <f>IF(AX248=0,0,AX252/AX248*100)</f>
        <v>0</v>
      </c>
      <c r="AY253" s="1940">
        <f>IF(AY248=0,0,AY252/AY248*100)</f>
        <v>0</v>
      </c>
      <c r="AZ253" s="1940">
        <f>IF(AZ248=0,0,AZ252/AZ248*100)</f>
        <v>0</v>
      </c>
      <c r="BA253" s="1940">
        <f>IF(BA248=0,0,BA252/BA248*100)</f>
        <v>0</v>
      </c>
      <c r="BB253" s="1940">
        <f>IF(BB248=0,0,BB252/BB248*100)</f>
        <v>0</v>
      </c>
      <c r="BC253" s="2117"/>
      <c r="BD253" s="1304"/>
      <c r="BE253" s="1304"/>
      <c r="BF253" s="1015" t="s">
        <v>1381</v>
      </c>
    </row>
    <row s="1834" customFormat="1" customHeight="1" ht="14.25" hidden="1">
      <c r="A254" s="1304"/>
      <c r="B254" s="1436"/>
      <c r="C254" s="1304"/>
      <c r="D254" s="1304"/>
      <c r="E254" s="632">
        <v>15</v>
      </c>
      <c r="F254" s="50" cm="1" t="str">
        <f t="array" ref="F254:F254">OFFSET(E254,-1,1)</f>
        <v>2</v>
      </c>
      <c r="G254" s="1304" t="str">
        <f>IF(OwnNeedsInPO="да","ПО","")</f>
        <v>ПО</v>
      </c>
      <c r="H254" s="98" t="s">
        <v>1225</v>
      </c>
      <c r="I254" s="1304"/>
      <c r="J254" s="1304"/>
      <c r="K254" s="1304"/>
      <c r="L254" s="1304"/>
      <c r="M254" s="1304"/>
      <c r="N254" s="1304"/>
      <c r="O254" s="1304"/>
      <c r="P254" s="1442"/>
      <c r="Q254" s="1442"/>
      <c r="R254" s="1442"/>
      <c r="S254" s="1442"/>
      <c r="T254" s="465" cm="1" t="str">
        <f t="array" ref="T254:T254">T253</f>
        <v>false</v>
      </c>
      <c r="U254" s="1442"/>
      <c r="V254" s="1304"/>
      <c r="W254" s="1442"/>
      <c r="X254" s="1563"/>
      <c r="Y254" s="1545"/>
      <c r="Z254" s="1304"/>
      <c r="AA254" s="1304"/>
      <c r="AB254" s="240" t="s">
        <v>295</v>
      </c>
      <c r="AC254" s="335" t="s">
        <v>1302</v>
      </c>
      <c r="AD254" s="93" t="s">
        <v>1247</v>
      </c>
      <c r="AE254" s="346">
        <f>AE255+AE256</f>
        <v>0</v>
      </c>
      <c r="AF254" s="346">
        <f>AF255+AF256</f>
        <v>0</v>
      </c>
      <c r="AG254" s="346">
        <f>AG255+AG256</f>
        <v>0</v>
      </c>
      <c r="AH254" s="346">
        <f>AH255+AH256</f>
        <v>0</v>
      </c>
      <c r="AI254" s="346">
        <f>AI255+AI256</f>
        <v>0</v>
      </c>
      <c r="AJ254" s="346">
        <f>AJ255+AJ256</f>
        <v>0</v>
      </c>
      <c r="AK254" s="346">
        <f>AK255+AK256</f>
        <v>0</v>
      </c>
      <c r="AL254" s="346">
        <f>AL255+AL256</f>
        <v>0</v>
      </c>
      <c r="AM254" s="346">
        <f>AM255+AM256</f>
        <v>0</v>
      </c>
      <c r="AN254" s="346">
        <f>AN255+AN256</f>
        <v>0</v>
      </c>
      <c r="AO254" s="346">
        <f>AO255+AO256</f>
        <v>0</v>
      </c>
      <c r="AP254" s="346">
        <f>AP255+AP256</f>
        <v>0</v>
      </c>
      <c r="AQ254" s="346">
        <f>AQ255+AQ256</f>
        <v>0</v>
      </c>
      <c r="AR254" s="346">
        <f>AR255+AR256</f>
        <v>0</v>
      </c>
      <c r="AS254" s="346">
        <f>AS255+AS256</f>
        <v>0</v>
      </c>
      <c r="AT254" s="346">
        <f>AT255+AT256</f>
        <v>0</v>
      </c>
      <c r="AU254" s="346">
        <f>AU255+AU256</f>
        <v>0</v>
      </c>
      <c r="AV254" s="346">
        <f>AV255+AV256</f>
        <v>0</v>
      </c>
      <c r="AW254" s="346">
        <f>AW255+AW256</f>
        <v>0</v>
      </c>
      <c r="AX254" s="346">
        <f>AX255+AX256</f>
        <v>0</v>
      </c>
      <c r="AY254" s="346">
        <f>AY255+AY256</f>
        <v>0</v>
      </c>
      <c r="AZ254" s="346">
        <f>AZ255+AZ256</f>
        <v>0</v>
      </c>
      <c r="BA254" s="346">
        <f>BA255+BA256</f>
        <v>0</v>
      </c>
      <c r="BB254" s="346">
        <f>BB255+BB256</f>
        <v>0</v>
      </c>
      <c r="BC254" s="2070"/>
      <c r="BD254" s="1304"/>
      <c r="BE254" s="1304"/>
      <c r="BF254" s="1015" t="s">
        <v>1382</v>
      </c>
    </row>
    <row s="1834" customFormat="1" customHeight="1" ht="14.25" hidden="1">
      <c r="A255" s="1304"/>
      <c r="B255" s="1436"/>
      <c r="C255" s="1304"/>
      <c r="D255" s="1304"/>
      <c r="E255" s="632">
        <v>15</v>
      </c>
      <c r="F255" s="50" cm="1" t="str">
        <f t="array" ref="F255:F255">OFFSET(E255,-1,1)</f>
        <v>2</v>
      </c>
      <c r="G255" s="1304"/>
      <c r="H255" s="98" t="s">
        <v>1383</v>
      </c>
      <c r="I255" s="1304"/>
      <c r="J255" s="1304"/>
      <c r="K255" s="1304"/>
      <c r="L255" s="1304"/>
      <c r="M255" s="1304"/>
      <c r="N255" s="1304"/>
      <c r="O255" s="1304"/>
      <c r="P255" s="1442"/>
      <c r="Q255" s="1442"/>
      <c r="R255" s="1442"/>
      <c r="S255" s="1442"/>
      <c r="T255" s="465" cm="1" t="str">
        <f t="array" ref="T255:T255">T254</f>
        <v>false</v>
      </c>
      <c r="U255" s="1442"/>
      <c r="V255" s="1304"/>
      <c r="W255" s="1442"/>
      <c r="X255" s="1563"/>
      <c r="Y255" s="1545"/>
      <c r="Z255" s="1304"/>
      <c r="AA255" s="1304"/>
      <c r="AB255" s="240" t="s">
        <v>1384</v>
      </c>
      <c r="AC255" s="336" t="s">
        <v>1306</v>
      </c>
      <c r="AD255" s="93" t="s">
        <v>1247</v>
      </c>
      <c r="AE255" s="2069"/>
      <c r="AF255" s="2069"/>
      <c r="AG255" s="2069"/>
      <c r="AH255" s="2069"/>
      <c r="AI255" s="2069"/>
      <c r="AJ255" s="2069"/>
      <c r="AK255" s="2069"/>
      <c r="AL255" s="2069"/>
      <c r="AM255" s="2069"/>
      <c r="AN255" s="2069"/>
      <c r="AO255" s="2069"/>
      <c r="AP255" s="2069"/>
      <c r="AQ255" s="2069"/>
      <c r="AR255" s="2069"/>
      <c r="AS255" s="2069"/>
      <c r="AT255" s="2069"/>
      <c r="AU255" s="2069"/>
      <c r="AV255" s="2069"/>
      <c r="AW255" s="2069"/>
      <c r="AX255" s="2069"/>
      <c r="AY255" s="2069"/>
      <c r="AZ255" s="2069"/>
      <c r="BA255" s="2069"/>
      <c r="BB255" s="2069"/>
      <c r="BC255" s="2070"/>
      <c r="BD255" s="1304"/>
      <c r="BE255" s="1304"/>
      <c r="BF255" s="1015" t="s">
        <v>1385</v>
      </c>
    </row>
    <row s="1834" customFormat="1" customHeight="1" ht="14.25" hidden="1">
      <c r="A256" s="1304"/>
      <c r="B256" s="1436"/>
      <c r="C256" s="1304"/>
      <c r="D256" s="1304"/>
      <c r="E256" s="632">
        <v>15</v>
      </c>
      <c r="F256" s="50" cm="1" t="str">
        <f t="array" ref="F256:F256">OFFSET(E256,-1,1)</f>
        <v>2</v>
      </c>
      <c r="G256" s="1304"/>
      <c r="H256" s="98" t="s">
        <v>1386</v>
      </c>
      <c r="I256" s="1304"/>
      <c r="J256" s="1304"/>
      <c r="K256" s="1304"/>
      <c r="L256" s="1304"/>
      <c r="M256" s="1304"/>
      <c r="N256" s="1304"/>
      <c r="O256" s="1304"/>
      <c r="P256" s="1442"/>
      <c r="Q256" s="1442"/>
      <c r="R256" s="1442"/>
      <c r="S256" s="1442"/>
      <c r="T256" s="465" cm="1" t="str">
        <f t="array" ref="T256:T256">T255</f>
        <v>false</v>
      </c>
      <c r="U256" s="1442"/>
      <c r="V256" s="1304"/>
      <c r="W256" s="1442"/>
      <c r="X256" s="1563"/>
      <c r="Y256" s="1545"/>
      <c r="Z256" s="1304"/>
      <c r="AA256" s="1304"/>
      <c r="AB256" s="240" t="s">
        <v>1387</v>
      </c>
      <c r="AC256" s="336" t="s">
        <v>1310</v>
      </c>
      <c r="AD256" s="93" t="s">
        <v>1247</v>
      </c>
      <c r="AE256" s="2069"/>
      <c r="AF256" s="2069"/>
      <c r="AG256" s="2069"/>
      <c r="AH256" s="2069"/>
      <c r="AI256" s="2069"/>
      <c r="AJ256" s="2069"/>
      <c r="AK256" s="2069"/>
      <c r="AL256" s="2069"/>
      <c r="AM256" s="2069"/>
      <c r="AN256" s="2069"/>
      <c r="AO256" s="2069"/>
      <c r="AP256" s="2069"/>
      <c r="AQ256" s="2069"/>
      <c r="AR256" s="2069"/>
      <c r="AS256" s="2069"/>
      <c r="AT256" s="2069"/>
      <c r="AU256" s="2069"/>
      <c r="AV256" s="2069"/>
      <c r="AW256" s="2069"/>
      <c r="AX256" s="2069"/>
      <c r="AY256" s="2069"/>
      <c r="AZ256" s="2069"/>
      <c r="BA256" s="2069"/>
      <c r="BB256" s="2069"/>
      <c r="BC256" s="2070"/>
      <c r="BD256" s="1304"/>
      <c r="BE256" s="1304"/>
      <c r="BF256" s="1015" t="s">
        <v>1388</v>
      </c>
    </row>
    <row s="1834" customFormat="1" customHeight="1" ht="14.25" hidden="1">
      <c r="A257" s="1304"/>
      <c r="B257" s="1436"/>
      <c r="C257" s="1304"/>
      <c r="D257" s="1304"/>
      <c r="E257" s="632">
        <v>15</v>
      </c>
      <c r="F257" s="50" cm="1" t="str">
        <f t="array" ref="F257:F257">OFFSET(E257,-1,1)</f>
        <v>2</v>
      </c>
      <c r="G257" s="98" t="s">
        <v>1316</v>
      </c>
      <c r="H257" s="98" t="s">
        <v>1228</v>
      </c>
      <c r="I257" s="1304"/>
      <c r="J257" s="1304"/>
      <c r="K257" s="1304"/>
      <c r="L257" s="1304"/>
      <c r="M257" s="1304"/>
      <c r="N257" s="1304"/>
      <c r="O257" s="1304"/>
      <c r="P257" s="1442"/>
      <c r="Q257" s="1442"/>
      <c r="R257" s="1442"/>
      <c r="S257" s="1442"/>
      <c r="T257" s="465" cm="1" t="str">
        <f t="array" ref="T257:T257">T256</f>
        <v>false</v>
      </c>
      <c r="U257" s="1442"/>
      <c r="V257" s="1304"/>
      <c r="W257" s="1442"/>
      <c r="X257" s="1563"/>
      <c r="Y257" s="1545"/>
      <c r="Z257" s="1304"/>
      <c r="AA257" s="1304"/>
      <c r="AB257" s="240" t="s">
        <v>443</v>
      </c>
      <c r="AC257" s="335" t="s">
        <v>1319</v>
      </c>
      <c r="AD257" s="93" t="s">
        <v>1247</v>
      </c>
      <c r="AE257" s="346">
        <f>AE258+AE259</f>
        <v>0</v>
      </c>
      <c r="AF257" s="346">
        <f>AF258+AF259</f>
        <v>0</v>
      </c>
      <c r="AG257" s="346">
        <f>AG258+AG259</f>
        <v>0</v>
      </c>
      <c r="AH257" s="346">
        <f>AH258+AH259</f>
        <v>0</v>
      </c>
      <c r="AI257" s="346">
        <f>AI258+AI259</f>
        <v>0</v>
      </c>
      <c r="AJ257" s="346">
        <f>AJ258+AJ259</f>
        <v>0</v>
      </c>
      <c r="AK257" s="346">
        <f>AK258+AK259</f>
        <v>0</v>
      </c>
      <c r="AL257" s="346">
        <f>AL258+AL259</f>
        <v>0</v>
      </c>
      <c r="AM257" s="346">
        <f>AM258+AM259</f>
        <v>0</v>
      </c>
      <c r="AN257" s="346">
        <f>AN258+AN259</f>
        <v>0</v>
      </c>
      <c r="AO257" s="346">
        <f>AO258+AO259</f>
        <v>0</v>
      </c>
      <c r="AP257" s="346">
        <f>AP258+AP259</f>
        <v>0</v>
      </c>
      <c r="AQ257" s="346">
        <f>AQ258+AQ259</f>
        <v>0</v>
      </c>
      <c r="AR257" s="346">
        <f>AR258+AR259</f>
        <v>0</v>
      </c>
      <c r="AS257" s="346">
        <f>AS258+AS259</f>
        <v>0</v>
      </c>
      <c r="AT257" s="346">
        <f>AT258+AT259</f>
        <v>0</v>
      </c>
      <c r="AU257" s="346">
        <f>AU258+AU259</f>
        <v>0</v>
      </c>
      <c r="AV257" s="346">
        <f>AV258+AV259</f>
        <v>0</v>
      </c>
      <c r="AW257" s="346">
        <f>AW258+AW259</f>
        <v>0</v>
      </c>
      <c r="AX257" s="346">
        <f>AX258+AX259</f>
        <v>0</v>
      </c>
      <c r="AY257" s="346">
        <f>AY258+AY259</f>
        <v>0</v>
      </c>
      <c r="AZ257" s="346">
        <f>AZ258+AZ259</f>
        <v>0</v>
      </c>
      <c r="BA257" s="346">
        <f>BA258+BA259</f>
        <v>0</v>
      </c>
      <c r="BB257" s="346">
        <f>BB258+BB259</f>
        <v>0</v>
      </c>
      <c r="BC257" s="2070"/>
      <c r="BD257" s="1304"/>
      <c r="BE257" s="1304"/>
      <c r="BF257" s="1015" t="s">
        <v>1389</v>
      </c>
    </row>
    <row s="1834" customFormat="1" customHeight="1" ht="14.25" hidden="1">
      <c r="A258" s="1304"/>
      <c r="B258" s="1436"/>
      <c r="C258" s="1304"/>
      <c r="D258" s="1304"/>
      <c r="E258" s="632">
        <v>15</v>
      </c>
      <c r="F258" s="50" cm="1" t="str">
        <f t="array" ref="F258:F258">OFFSET(E258,-1,1)</f>
        <v>2</v>
      </c>
      <c r="G258" s="1304"/>
      <c r="H258" s="98" t="s">
        <v>1390</v>
      </c>
      <c r="I258" s="1304"/>
      <c r="J258" s="1304"/>
      <c r="K258" s="1304"/>
      <c r="L258" s="1304"/>
      <c r="M258" s="1304"/>
      <c r="N258" s="1304"/>
      <c r="O258" s="1304"/>
      <c r="P258" s="1442"/>
      <c r="Q258" s="1442"/>
      <c r="R258" s="1442"/>
      <c r="S258" s="1442"/>
      <c r="T258" s="465" cm="1" t="str">
        <f t="array" ref="T258:T258">T257</f>
        <v>false</v>
      </c>
      <c r="U258" s="1442"/>
      <c r="V258" s="1304"/>
      <c r="W258" s="1442"/>
      <c r="X258" s="1563"/>
      <c r="Y258" s="1545"/>
      <c r="Z258" s="1304"/>
      <c r="AA258" s="1304"/>
      <c r="AB258" s="240" t="s">
        <v>1391</v>
      </c>
      <c r="AC258" s="336" t="s">
        <v>1323</v>
      </c>
      <c r="AD258" s="93" t="s">
        <v>1247</v>
      </c>
      <c r="AE258" s="2069"/>
      <c r="AF258" s="2069"/>
      <c r="AG258" s="2069"/>
      <c r="AH258" s="2069"/>
      <c r="AI258" s="2069"/>
      <c r="AJ258" s="2069"/>
      <c r="AK258" s="2069"/>
      <c r="AL258" s="2069"/>
      <c r="AM258" s="2069"/>
      <c r="AN258" s="2069"/>
      <c r="AO258" s="2069"/>
      <c r="AP258" s="2069"/>
      <c r="AQ258" s="2069"/>
      <c r="AR258" s="2069"/>
      <c r="AS258" s="2069"/>
      <c r="AT258" s="2069"/>
      <c r="AU258" s="2069"/>
      <c r="AV258" s="2069"/>
      <c r="AW258" s="2069"/>
      <c r="AX258" s="2069"/>
      <c r="AY258" s="2069"/>
      <c r="AZ258" s="2069"/>
      <c r="BA258" s="2069"/>
      <c r="BB258" s="2069"/>
      <c r="BC258" s="2070"/>
      <c r="BD258" s="1304"/>
      <c r="BE258" s="1304"/>
      <c r="BF258" s="1015" t="s">
        <v>1392</v>
      </c>
    </row>
    <row s="1834" customFormat="1" customHeight="1" ht="14.25" hidden="1">
      <c r="A259" s="1304"/>
      <c r="B259" s="1436"/>
      <c r="C259" s="1304"/>
      <c r="D259" s="1304"/>
      <c r="E259" s="632">
        <v>15</v>
      </c>
      <c r="F259" s="50" cm="1" t="str">
        <f t="array" ref="F259:F259">OFFSET(E259,-1,1)</f>
        <v>2</v>
      </c>
      <c r="G259" s="1304"/>
      <c r="H259" s="98" t="s">
        <v>1393</v>
      </c>
      <c r="I259" s="1304"/>
      <c r="J259" s="1304"/>
      <c r="K259" s="1304"/>
      <c r="L259" s="1304"/>
      <c r="M259" s="1304"/>
      <c r="N259" s="1304"/>
      <c r="O259" s="1304"/>
      <c r="P259" s="1442"/>
      <c r="Q259" s="1442"/>
      <c r="R259" s="1442"/>
      <c r="S259" s="1442"/>
      <c r="T259" s="465" cm="1" t="str">
        <f t="array" ref="T259:T259">T258</f>
        <v>false</v>
      </c>
      <c r="U259" s="1442"/>
      <c r="V259" s="1304"/>
      <c r="W259" s="1442"/>
      <c r="X259" s="1563"/>
      <c r="Y259" s="1545"/>
      <c r="Z259" s="1304"/>
      <c r="AA259" s="1304"/>
      <c r="AB259" s="240" t="s">
        <v>1394</v>
      </c>
      <c r="AC259" s="336" t="s">
        <v>1327</v>
      </c>
      <c r="AD259" s="93" t="s">
        <v>1247</v>
      </c>
      <c r="AE259" s="2069"/>
      <c r="AF259" s="2069"/>
      <c r="AG259" s="2069"/>
      <c r="AH259" s="2069"/>
      <c r="AI259" s="2069"/>
      <c r="AJ259" s="2069"/>
      <c r="AK259" s="2069"/>
      <c r="AL259" s="2069"/>
      <c r="AM259" s="2069"/>
      <c r="AN259" s="2069"/>
      <c r="AO259" s="2069"/>
      <c r="AP259" s="2069"/>
      <c r="AQ259" s="2069"/>
      <c r="AR259" s="2069"/>
      <c r="AS259" s="2069"/>
      <c r="AT259" s="2069"/>
      <c r="AU259" s="2069"/>
      <c r="AV259" s="2069"/>
      <c r="AW259" s="2069"/>
      <c r="AX259" s="2069"/>
      <c r="AY259" s="2069"/>
      <c r="AZ259" s="2069"/>
      <c r="BA259" s="2069"/>
      <c r="BB259" s="2069"/>
      <c r="BC259" s="2070"/>
      <c r="BD259" s="1304"/>
      <c r="BE259" s="1304"/>
      <c r="BF259" s="1015" t="s">
        <v>1395</v>
      </c>
    </row>
    <row s="1834" customFormat="1" customHeight="1" ht="21.75" hidden="1">
      <c r="A260" s="1304"/>
      <c r="B260" s="1436"/>
      <c r="C260" s="1304"/>
      <c r="D260" s="1304"/>
      <c r="E260" s="632">
        <v>22.5</v>
      </c>
      <c r="F260" s="50" cm="1" t="str">
        <f t="array" ref="F260:F260">OFFSET(E260,-1,1)</f>
        <v>2</v>
      </c>
      <c r="G260" s="1304"/>
      <c r="H260" s="98" t="s">
        <v>1275</v>
      </c>
      <c r="I260" s="469"/>
      <c r="J260" s="469"/>
      <c r="K260" s="1304"/>
      <c r="L260" s="1304"/>
      <c r="M260" s="1304"/>
      <c r="N260" s="1304"/>
      <c r="O260" s="1304"/>
      <c r="P260" s="1442"/>
      <c r="Q260" s="1442"/>
      <c r="R260" s="1442"/>
      <c r="S260" s="1442"/>
      <c r="T260" s="465" cm="1" t="str">
        <f t="array" ref="T260:T260">T259</f>
        <v>false</v>
      </c>
      <c r="U260" s="1442"/>
      <c r="V260" s="1304"/>
      <c r="W260" s="1442"/>
      <c r="X260" s="1563"/>
      <c r="Y260" s="1545"/>
      <c r="Z260" s="1304"/>
      <c r="AA260" s="1304"/>
      <c r="AB260" s="240" t="s">
        <v>446</v>
      </c>
      <c r="AC260" s="337" t="s">
        <v>1366</v>
      </c>
      <c r="AD260" s="93" t="s">
        <v>1247</v>
      </c>
      <c r="AE260" s="2069"/>
      <c r="AF260" s="2069"/>
      <c r="AG260" s="2069"/>
      <c r="AH260" s="2069"/>
      <c r="AI260" s="2069"/>
      <c r="AJ260" s="2069"/>
      <c r="AK260" s="2069"/>
      <c r="AL260" s="2069"/>
      <c r="AM260" s="2069"/>
      <c r="AN260" s="2069"/>
      <c r="AO260" s="2069"/>
      <c r="AP260" s="2069"/>
      <c r="AQ260" s="2069"/>
      <c r="AR260" s="2069"/>
      <c r="AS260" s="2069"/>
      <c r="AT260" s="2069"/>
      <c r="AU260" s="2069"/>
      <c r="AV260" s="2069"/>
      <c r="AW260" s="2069"/>
      <c r="AX260" s="2069"/>
      <c r="AY260" s="2069"/>
      <c r="AZ260" s="2069"/>
      <c r="BA260" s="2069"/>
      <c r="BB260" s="2069"/>
      <c r="BC260" s="2070"/>
      <c r="BD260" s="1304"/>
      <c r="BE260" s="1304"/>
      <c r="BF260" s="1015" t="s">
        <v>1396</v>
      </c>
    </row>
    <row s="1834" customFormat="1" customHeight="1" ht="14.25" hidden="1">
      <c r="A261" s="1304"/>
      <c r="B261" s="1436"/>
      <c r="C261" s="1304"/>
      <c r="D261" s="1304"/>
      <c r="E261" s="632">
        <v>15</v>
      </c>
      <c r="F261" s="349" cm="1" t="str">
        <f t="array" ref="F261:F261">OFFSET(E261,-1,1)</f>
        <v>2</v>
      </c>
      <c r="G261" s="1304"/>
      <c r="H261" s="1304"/>
      <c r="I261" s="1304"/>
      <c r="J261" s="1304"/>
      <c r="K261" s="1304"/>
      <c r="L261" s="1304"/>
      <c r="M261" s="1304"/>
      <c r="N261" s="1304"/>
      <c r="O261" s="1304"/>
      <c r="P261" s="1442"/>
      <c r="Q261" s="1442"/>
      <c r="R261" s="1442"/>
      <c r="S261" s="1442"/>
      <c r="T261" s="465" cm="1" t="str">
        <f t="array" ref="T261:T261">T260</f>
        <v>false</v>
      </c>
      <c r="U261" s="1442"/>
      <c r="V261" s="1304"/>
      <c r="W261" s="1442"/>
      <c r="X261" s="1563"/>
      <c r="Y261" s="1545"/>
      <c r="Z261" s="1304"/>
      <c r="AA261" s="1304"/>
      <c r="AB261" s="240" t="s">
        <v>1368</v>
      </c>
      <c r="AC261" s="334" t="s">
        <v>1369</v>
      </c>
      <c r="AD261" s="93" t="s">
        <v>1247</v>
      </c>
      <c r="AE261" s="2069"/>
      <c r="AF261" s="2069"/>
      <c r="AG261" s="2069"/>
      <c r="AH261" s="2069"/>
      <c r="AI261" s="2069"/>
      <c r="AJ261" s="2069"/>
      <c r="AK261" s="2069"/>
      <c r="AL261" s="2069"/>
      <c r="AM261" s="2069"/>
      <c r="AN261" s="2069"/>
      <c r="AO261" s="2069"/>
      <c r="AP261" s="2069"/>
      <c r="AQ261" s="2069"/>
      <c r="AR261" s="2069"/>
      <c r="AS261" s="2069"/>
      <c r="AT261" s="2069"/>
      <c r="AU261" s="2069"/>
      <c r="AV261" s="2069"/>
      <c r="AW261" s="2069"/>
      <c r="AX261" s="2069"/>
      <c r="AY261" s="2069"/>
      <c r="AZ261" s="2069"/>
      <c r="BA261" s="2069"/>
      <c r="BB261" s="2069"/>
      <c r="BC261" s="2070"/>
      <c r="BD261" s="1304"/>
      <c r="BE261" s="1304"/>
      <c r="BF261" s="1015" t="s">
        <v>1397</v>
      </c>
    </row>
    <row s="1834" customFormat="1" customHeight="1" ht="11.25" hidden="1">
      <c r="A262" s="469"/>
      <c r="B262" s="658"/>
      <c r="C262" s="469"/>
      <c r="D262" s="469"/>
      <c r="E262" s="660" t="s">
        <v>373</v>
      </c>
      <c r="F262" s="1175" cm="1" t="str">
        <f t="array" ref="F262:F262">OFFSET(E262,-1,1)</f>
        <v>2</v>
      </c>
      <c r="G262" s="469"/>
      <c r="H262" s="469"/>
      <c r="I262" s="1834"/>
      <c r="J262" s="1834"/>
      <c r="K262" s="98"/>
      <c r="L262" s="469"/>
      <c r="M262" s="469"/>
      <c r="N262" s="469"/>
      <c r="O262" s="469"/>
      <c r="P262" s="469"/>
      <c r="Q262" s="469"/>
      <c r="R262" s="416"/>
      <c r="S262" s="469"/>
      <c r="T262" s="465" t="b">
        <v>0</v>
      </c>
      <c r="U262" s="469"/>
      <c r="V262" s="469"/>
      <c r="W262" s="469"/>
      <c r="X262" s="1563"/>
      <c r="Y262" s="1545"/>
      <c r="Z262" s="469"/>
      <c r="AA262" s="469"/>
      <c r="AB262" s="1834"/>
      <c r="AC262" s="100"/>
      <c r="AD262" s="100"/>
      <c r="AE262" s="344"/>
      <c r="AF262" s="344"/>
      <c r="AG262" s="344"/>
      <c r="AH262" s="344"/>
      <c r="AI262" s="344"/>
      <c r="AJ262" s="345"/>
      <c r="AK262" s="344"/>
      <c r="AL262" s="344"/>
      <c r="AM262" s="344"/>
      <c r="AN262" s="344"/>
      <c r="AO262" s="344"/>
      <c r="AP262" s="344"/>
      <c r="AQ262" s="344"/>
      <c r="AR262" s="344"/>
      <c r="AS262" s="344"/>
      <c r="AT262" s="344"/>
      <c r="AU262" s="344"/>
      <c r="AV262" s="344"/>
      <c r="AW262" s="344"/>
      <c r="AX262" s="344"/>
      <c r="AY262" s="344"/>
      <c r="AZ262" s="344"/>
      <c r="BA262" s="344"/>
      <c r="BB262" s="344"/>
      <c r="BC262" s="1834"/>
      <c r="BD262" s="1834"/>
      <c r="BE262" s="1834"/>
      <c r="BF262" s="1019"/>
    </row>
    <row s="1834" customFormat="1" customHeight="1" ht="14.25" hidden="1">
      <c r="A263" s="1304"/>
      <c r="B263" s="1436"/>
      <c r="C263" s="1304"/>
      <c r="D263" s="1304"/>
      <c r="E263" s="632">
        <v>15</v>
      </c>
      <c r="F263" s="50" cm="1" t="str">
        <f t="array" ref="F263:F263">OFFSET(E263,-1,1)</f>
        <v>2</v>
      </c>
      <c r="G263" s="1304"/>
      <c r="H263" s="1304"/>
      <c r="I263" s="1304"/>
      <c r="J263" s="1304"/>
      <c r="K263" s="1304"/>
      <c r="L263" s="1304"/>
      <c r="M263" s="1304"/>
      <c r="N263" s="1304"/>
      <c r="O263" s="1304"/>
      <c r="P263" s="1442"/>
      <c r="Q263" s="1442"/>
      <c r="R263" s="416" cm="1" t="str">
        <f t="array" ref="R263:R263">INDEX('Общие сведения'!$AN$179:$AN$250,MATCH($X209,'Общие сведения'!$Z$179:$Z$250,0))</f>
        <v>false</v>
      </c>
      <c r="S263" s="482">
        <f>IF(ISERROR(SEARCH("Водоотведение",AB209)),FALSE,TRUE)</f>
        <v>0</v>
      </c>
      <c r="T263" s="465">
        <f>AND(X209&gt;0,S263,NOT(R263))</f>
        <v>0</v>
      </c>
      <c r="U263" s="1442"/>
      <c r="V263" s="1304"/>
      <c r="W263" s="1442"/>
      <c r="X263" s="1563"/>
      <c r="Y263" s="1545"/>
      <c r="Z263" s="1304"/>
      <c r="AA263" s="1304"/>
      <c r="AB263" s="240" t="s">
        <v>276</v>
      </c>
      <c r="AC263" s="137" t="s">
        <v>1398</v>
      </c>
      <c r="AD263" s="197"/>
      <c r="AE263" s="570" cm="1" t="str">
        <f t="array" ref="AE263:AE263">INDEX('Общие сведения'!$AH$179:$AH$250,MATCH($X209,'Общие сведения'!$Z$179:$Z$250,0))</f>
        <v>питьевая вода</v>
      </c>
      <c r="AF263" s="362"/>
      <c r="AG263" s="362"/>
      <c r="AH263" s="362"/>
      <c r="AI263" s="362"/>
      <c r="AJ263" s="362"/>
      <c r="AK263" s="362"/>
      <c r="AL263" s="362"/>
      <c r="AM263" s="362"/>
      <c r="AN263" s="362"/>
      <c r="AO263" s="362"/>
      <c r="AP263" s="362"/>
      <c r="AQ263" s="362"/>
      <c r="AR263" s="362"/>
      <c r="AS263" s="362"/>
      <c r="AT263" s="362"/>
      <c r="AU263" s="362"/>
      <c r="AV263" s="362"/>
      <c r="AW263" s="362"/>
      <c r="AX263" s="362"/>
      <c r="AY263" s="362"/>
      <c r="AZ263" s="362"/>
      <c r="BA263" s="362"/>
      <c r="BB263" s="363"/>
      <c r="BC263" s="2070"/>
      <c r="BD263" s="1304"/>
      <c r="BE263" s="1304"/>
      <c r="BF263" s="1015" t="s">
        <v>1399</v>
      </c>
    </row>
    <row s="1834" customFormat="1" customHeight="1" ht="14.25" hidden="1">
      <c r="A264" s="1304"/>
      <c r="B264" s="1436"/>
      <c r="C264" s="1304"/>
      <c r="D264" s="1304"/>
      <c r="E264" s="632">
        <v>15</v>
      </c>
      <c r="F264" s="50" cm="1" t="str">
        <f t="array" ref="F264:F264">OFFSET(E264,-1,1)</f>
        <v>2</v>
      </c>
      <c r="G264" s="1304"/>
      <c r="H264" s="98" t="s">
        <v>336</v>
      </c>
      <c r="I264" s="1304"/>
      <c r="J264" s="1304"/>
      <c r="K264" s="1304"/>
      <c r="L264" s="1304"/>
      <c r="M264" s="1304"/>
      <c r="N264" s="1304"/>
      <c r="O264" s="1304"/>
      <c r="P264" s="1442"/>
      <c r="Q264" s="1442"/>
      <c r="R264" s="1442"/>
      <c r="S264" s="1442"/>
      <c r="T264" s="465" cm="1" t="str">
        <f t="array" ref="T264:T264">T263</f>
        <v>false</v>
      </c>
      <c r="U264" s="1442"/>
      <c r="V264" s="1304"/>
      <c r="W264" s="1442"/>
      <c r="X264" s="1563"/>
      <c r="Y264" s="1545"/>
      <c r="Z264" s="1304"/>
      <c r="AA264" s="1304"/>
      <c r="AB264" s="240" t="s">
        <v>285</v>
      </c>
      <c r="AC264" s="137" t="s">
        <v>1400</v>
      </c>
      <c r="AD264" s="93" t="s">
        <v>1247</v>
      </c>
      <c r="AE264" s="347">
        <f>AE265+AE266+AE279</f>
        <v>0</v>
      </c>
      <c r="AF264" s="347">
        <f>AF265+AF266+AF279</f>
        <v>0</v>
      </c>
      <c r="AG264" s="347">
        <f>AG265+AG266+AG279</f>
        <v>0</v>
      </c>
      <c r="AH264" s="347">
        <f>AH265+AH266+AH279</f>
        <v>0</v>
      </c>
      <c r="AI264" s="347">
        <f>AI265+AI266+AI279</f>
        <v>0</v>
      </c>
      <c r="AJ264" s="347">
        <f>AJ265+AJ266+AJ279</f>
        <v>0</v>
      </c>
      <c r="AK264" s="347">
        <f>AK265+AK266+AK279</f>
        <v>0</v>
      </c>
      <c r="AL264" s="347">
        <f>AL265+AL266+AL279</f>
        <v>0</v>
      </c>
      <c r="AM264" s="347">
        <f>AM265+AM266+AM279</f>
        <v>0</v>
      </c>
      <c r="AN264" s="347">
        <f>AN265+AN266+AN279</f>
        <v>0</v>
      </c>
      <c r="AO264" s="347">
        <f>AO265+AO266+AO279</f>
        <v>0</v>
      </c>
      <c r="AP264" s="347">
        <f>AP265+AP266+AP279</f>
        <v>0</v>
      </c>
      <c r="AQ264" s="347">
        <f>AQ265+AQ266+AQ279</f>
        <v>0</v>
      </c>
      <c r="AR264" s="347">
        <f>AR265+AR266+AR279</f>
        <v>0</v>
      </c>
      <c r="AS264" s="347">
        <f>AS265+AS266+AS279</f>
        <v>0</v>
      </c>
      <c r="AT264" s="347">
        <f>AT265+AT266+AT279</f>
        <v>0</v>
      </c>
      <c r="AU264" s="347">
        <f>AU265+AU266+AU279</f>
        <v>0</v>
      </c>
      <c r="AV264" s="347">
        <f>AV265+AV266+AV279</f>
        <v>0</v>
      </c>
      <c r="AW264" s="347">
        <f>AW265+AW266+AW279</f>
        <v>0</v>
      </c>
      <c r="AX264" s="347">
        <f>AX265+AX266+AX279</f>
        <v>0</v>
      </c>
      <c r="AY264" s="347">
        <f>AY265+AY266+AY279</f>
        <v>0</v>
      </c>
      <c r="AZ264" s="347">
        <f>AZ265+AZ266+AZ279</f>
        <v>0</v>
      </c>
      <c r="BA264" s="347">
        <f>BA265+BA266+BA279</f>
        <v>0</v>
      </c>
      <c r="BB264" s="347">
        <f>BB265+BB266+BB279</f>
        <v>0</v>
      </c>
      <c r="BC264" s="2070"/>
      <c r="BD264" s="1304"/>
      <c r="BE264" s="1304"/>
      <c r="BF264" s="1015" t="s">
        <v>1401</v>
      </c>
    </row>
    <row s="1834" customFormat="1" customHeight="1" ht="14.25" hidden="1">
      <c r="A265" s="1304"/>
      <c r="B265" s="1436"/>
      <c r="C265" s="1304"/>
      <c r="D265" s="1304"/>
      <c r="E265" s="632">
        <v>15</v>
      </c>
      <c r="F265" s="50" cm="1" t="str">
        <f t="array" ref="F265:F265">OFFSET(E265,-1,1)</f>
        <v>2</v>
      </c>
      <c r="G265" s="98" t="str">
        <f>IF(OwnNeedsInPO="да","ПО","")</f>
        <v>ПО</v>
      </c>
      <c r="H265" s="98" t="s">
        <v>335</v>
      </c>
      <c r="I265" s="1304"/>
      <c r="J265" s="1304"/>
      <c r="K265" s="1304"/>
      <c r="L265" s="1304"/>
      <c r="M265" s="1304"/>
      <c r="N265" s="1304"/>
      <c r="O265" s="1304"/>
      <c r="P265" s="1442"/>
      <c r="Q265" s="1442"/>
      <c r="R265" s="1442"/>
      <c r="S265" s="1442"/>
      <c r="T265" s="465" cm="1" t="str">
        <f t="array" ref="T265:T265">T264</f>
        <v>false</v>
      </c>
      <c r="U265" s="1442"/>
      <c r="V265" s="1304"/>
      <c r="W265" s="1442"/>
      <c r="X265" s="1563"/>
      <c r="Y265" s="1545"/>
      <c r="Z265" s="1304"/>
      <c r="AA265" s="1304"/>
      <c r="AB265" s="240" t="s">
        <v>289</v>
      </c>
      <c r="AC265" s="137" t="s">
        <v>1402</v>
      </c>
      <c r="AD265" s="93" t="s">
        <v>1247</v>
      </c>
      <c r="AE265" s="2069"/>
      <c r="AF265" s="2069"/>
      <c r="AG265" s="2069"/>
      <c r="AH265" s="2069"/>
      <c r="AI265" s="2069"/>
      <c r="AJ265" s="2069"/>
      <c r="AK265" s="2069"/>
      <c r="AL265" s="2069"/>
      <c r="AM265" s="2069"/>
      <c r="AN265" s="2069"/>
      <c r="AO265" s="2069"/>
      <c r="AP265" s="2069"/>
      <c r="AQ265" s="2069"/>
      <c r="AR265" s="2069"/>
      <c r="AS265" s="2069"/>
      <c r="AT265" s="2069"/>
      <c r="AU265" s="2069"/>
      <c r="AV265" s="2069"/>
      <c r="AW265" s="2069"/>
      <c r="AX265" s="2069"/>
      <c r="AY265" s="2069"/>
      <c r="AZ265" s="2069"/>
      <c r="BA265" s="2069"/>
      <c r="BB265" s="2069"/>
      <c r="BC265" s="2070"/>
      <c r="BD265" s="1304"/>
      <c r="BE265" s="1304"/>
      <c r="BF265" s="1015" t="s">
        <v>1403</v>
      </c>
    </row>
    <row s="1834" customFormat="1" customHeight="1" ht="14.25" hidden="1">
      <c r="A266" s="1304"/>
      <c r="B266" s="1436"/>
      <c r="C266" s="1304"/>
      <c r="D266" s="1304"/>
      <c r="E266" s="632">
        <v>15</v>
      </c>
      <c r="F266" s="50" cm="1" t="str">
        <f t="array" ref="F266:F266">OFFSET(E266,-1,1)</f>
        <v>2</v>
      </c>
      <c r="G266" s="98" t="s">
        <v>1316</v>
      </c>
      <c r="H266" s="98" t="s">
        <v>1225</v>
      </c>
      <c r="I266" s="1304"/>
      <c r="J266" s="1304"/>
      <c r="K266" s="1304"/>
      <c r="L266" s="1304"/>
      <c r="M266" s="1304"/>
      <c r="N266" s="1304"/>
      <c r="O266" s="1304"/>
      <c r="P266" s="1442"/>
      <c r="Q266" s="1442"/>
      <c r="R266" s="1442"/>
      <c r="S266" s="1442"/>
      <c r="T266" s="465" cm="1" t="str">
        <f t="array" ref="T266:T266">T265</f>
        <v>false</v>
      </c>
      <c r="U266" s="1442"/>
      <c r="V266" s="1304"/>
      <c r="W266" s="1442"/>
      <c r="X266" s="1563"/>
      <c r="Y266" s="1545"/>
      <c r="Z266" s="1304"/>
      <c r="AA266" s="1304"/>
      <c r="AB266" s="240" t="s">
        <v>295</v>
      </c>
      <c r="AC266" s="138" t="s">
        <v>1404</v>
      </c>
      <c r="AD266" s="93" t="s">
        <v>1247</v>
      </c>
      <c r="AE266" s="346">
        <f>AE267+AE270+AE273+AE276</f>
        <v>0</v>
      </c>
      <c r="AF266" s="346">
        <f>AF267+AF270+AF273+AF276</f>
        <v>0</v>
      </c>
      <c r="AG266" s="346">
        <f>AG267+AG270+AG273+AG276</f>
        <v>0</v>
      </c>
      <c r="AH266" s="346">
        <f>AH267+AH270+AH273+AH276</f>
        <v>0</v>
      </c>
      <c r="AI266" s="346">
        <f>AI267+AI270+AI273+AI276</f>
        <v>0</v>
      </c>
      <c r="AJ266" s="346">
        <f>AJ267+AJ270+AJ273+AJ276</f>
        <v>0</v>
      </c>
      <c r="AK266" s="346">
        <f>AK267+AK270+AK273+AK276</f>
        <v>0</v>
      </c>
      <c r="AL266" s="346">
        <f>AL267+AL270+AL273+AL276</f>
        <v>0</v>
      </c>
      <c r="AM266" s="346">
        <f>AM267+AM270+AM273+AM276</f>
        <v>0</v>
      </c>
      <c r="AN266" s="346">
        <f>AN267+AN270+AN273+AN276</f>
        <v>0</v>
      </c>
      <c r="AO266" s="346">
        <f>AO267+AO270+AO273+AO276</f>
        <v>0</v>
      </c>
      <c r="AP266" s="346">
        <f>AP267+AP270+AP273+AP276</f>
        <v>0</v>
      </c>
      <c r="AQ266" s="346">
        <f>AQ267+AQ270+AQ273+AQ276</f>
        <v>0</v>
      </c>
      <c r="AR266" s="346">
        <f>AR267+AR270+AR273+AR276</f>
        <v>0</v>
      </c>
      <c r="AS266" s="346">
        <f>AS267+AS270+AS273+AS276</f>
        <v>0</v>
      </c>
      <c r="AT266" s="346">
        <f>AT267+AT270+AT273+AT276</f>
        <v>0</v>
      </c>
      <c r="AU266" s="346">
        <f>AU267+AU270+AU273+AU276</f>
        <v>0</v>
      </c>
      <c r="AV266" s="346">
        <f>AV267+AV270+AV273+AV276</f>
        <v>0</v>
      </c>
      <c r="AW266" s="346">
        <f>AW267+AW270+AW273+AW276</f>
        <v>0</v>
      </c>
      <c r="AX266" s="346">
        <f>AX267+AX270+AX273+AX276</f>
        <v>0</v>
      </c>
      <c r="AY266" s="346">
        <f>AY267+AY270+AY273+AY276</f>
        <v>0</v>
      </c>
      <c r="AZ266" s="346">
        <f>AZ267+AZ270+AZ273+AZ276</f>
        <v>0</v>
      </c>
      <c r="BA266" s="346">
        <f>BA267+BA270+BA273+BA276</f>
        <v>0</v>
      </c>
      <c r="BB266" s="346">
        <f>BB267+BB270+BB273+BB276</f>
        <v>0</v>
      </c>
      <c r="BC266" s="2070"/>
      <c r="BD266" s="1304"/>
      <c r="BE266" s="1304"/>
      <c r="BF266" s="1015" t="s">
        <v>1405</v>
      </c>
    </row>
    <row s="1834" customFormat="1" customHeight="1" ht="14.25" hidden="1">
      <c r="A267" s="1304"/>
      <c r="B267" s="1436"/>
      <c r="C267" s="1304"/>
      <c r="D267" s="1304"/>
      <c r="E267" s="632">
        <v>15</v>
      </c>
      <c r="F267" s="50" cm="1" t="str">
        <f t="array" ref="F267:F267">OFFSET(E267,-1,1)</f>
        <v>2</v>
      </c>
      <c r="G267" s="1304"/>
      <c r="H267" s="98" t="s">
        <v>1383</v>
      </c>
      <c r="I267" s="1304"/>
      <c r="J267" s="1304"/>
      <c r="K267" s="1304"/>
      <c r="L267" s="1304"/>
      <c r="M267" s="1304"/>
      <c r="N267" s="1304"/>
      <c r="O267" s="1304"/>
      <c r="P267" s="1442"/>
      <c r="Q267" s="1442"/>
      <c r="R267" s="1442"/>
      <c r="S267" s="1442"/>
      <c r="T267" s="465" cm="1" t="str">
        <f t="array" ref="T267:T267">T266</f>
        <v>false</v>
      </c>
      <c r="U267" s="1442"/>
      <c r="V267" s="1304"/>
      <c r="W267" s="1442"/>
      <c r="X267" s="1563"/>
      <c r="Y267" s="1545"/>
      <c r="Z267" s="1304"/>
      <c r="AA267" s="1304"/>
      <c r="AB267" s="240" t="s">
        <v>1384</v>
      </c>
      <c r="AC267" s="192" t="s">
        <v>1335</v>
      </c>
      <c r="AD267" s="93" t="s">
        <v>1247</v>
      </c>
      <c r="AE267" s="346">
        <f>AE268+AE269</f>
        <v>0</v>
      </c>
      <c r="AF267" s="346">
        <f>AF268+AF269</f>
        <v>0</v>
      </c>
      <c r="AG267" s="346">
        <f>AG268+AG269</f>
        <v>0</v>
      </c>
      <c r="AH267" s="346">
        <f>AH268+AH269</f>
        <v>0</v>
      </c>
      <c r="AI267" s="346">
        <f>AI268+AI269</f>
        <v>0</v>
      </c>
      <c r="AJ267" s="346">
        <f>AJ268+AJ269</f>
        <v>0</v>
      </c>
      <c r="AK267" s="346">
        <f>AK268+AK269</f>
        <v>0</v>
      </c>
      <c r="AL267" s="346">
        <f>AL268+AL269</f>
        <v>0</v>
      </c>
      <c r="AM267" s="346">
        <f>AM268+AM269</f>
        <v>0</v>
      </c>
      <c r="AN267" s="346">
        <f>AN268+AN269</f>
        <v>0</v>
      </c>
      <c r="AO267" s="346">
        <f>AO268+AO269</f>
        <v>0</v>
      </c>
      <c r="AP267" s="346">
        <f>AP268+AP269</f>
        <v>0</v>
      </c>
      <c r="AQ267" s="346">
        <f>AQ268+AQ269</f>
        <v>0</v>
      </c>
      <c r="AR267" s="346">
        <f>AR268+AR269</f>
        <v>0</v>
      </c>
      <c r="AS267" s="346">
        <f>AS268+AS269</f>
        <v>0</v>
      </c>
      <c r="AT267" s="346">
        <f>AT268+AT269</f>
        <v>0</v>
      </c>
      <c r="AU267" s="346">
        <f>AU268+AU269</f>
        <v>0</v>
      </c>
      <c r="AV267" s="346">
        <f>AV268+AV269</f>
        <v>0</v>
      </c>
      <c r="AW267" s="346">
        <f>AW268+AW269</f>
        <v>0</v>
      </c>
      <c r="AX267" s="346">
        <f>AX268+AX269</f>
        <v>0</v>
      </c>
      <c r="AY267" s="346">
        <f>AY268+AY269</f>
        <v>0</v>
      </c>
      <c r="AZ267" s="346">
        <f>AZ268+AZ269</f>
        <v>0</v>
      </c>
      <c r="BA267" s="346">
        <f>BA268+BA269</f>
        <v>0</v>
      </c>
      <c r="BB267" s="346">
        <f>BB268+BB269</f>
        <v>0</v>
      </c>
      <c r="BC267" s="2070"/>
      <c r="BD267" s="1304"/>
      <c r="BE267" s="1304"/>
      <c r="BF267" s="1015" t="s">
        <v>1406</v>
      </c>
    </row>
    <row s="1834" customFormat="1" customHeight="1" ht="14.25" hidden="1">
      <c r="A268" s="1304"/>
      <c r="B268" s="1436"/>
      <c r="C268" s="1304"/>
      <c r="D268" s="1304"/>
      <c r="E268" s="632">
        <v>15</v>
      </c>
      <c r="F268" s="50" cm="1" t="str">
        <f t="array" ref="F268:F268">OFFSET(E268,-1,1)</f>
        <v>2</v>
      </c>
      <c r="G268" s="1304"/>
      <c r="H268" s="98" t="s">
        <v>1407</v>
      </c>
      <c r="I268" s="1304"/>
      <c r="J268" s="1304"/>
      <c r="K268" s="1304"/>
      <c r="L268" s="1304"/>
      <c r="M268" s="1304"/>
      <c r="N268" s="1304"/>
      <c r="O268" s="1304"/>
      <c r="P268" s="1442"/>
      <c r="Q268" s="1442"/>
      <c r="R268" s="1442"/>
      <c r="S268" s="1442"/>
      <c r="T268" s="465" cm="1" t="str">
        <f t="array" ref="T268:T268">T267</f>
        <v>false</v>
      </c>
      <c r="U268" s="1442"/>
      <c r="V268" s="1304"/>
      <c r="W268" s="1442"/>
      <c r="X268" s="1563"/>
      <c r="Y268" s="1545"/>
      <c r="Z268" s="1304"/>
      <c r="AA268" s="1304"/>
      <c r="AB268" s="240" t="s">
        <v>1408</v>
      </c>
      <c r="AC268" s="338" t="s">
        <v>1323</v>
      </c>
      <c r="AD268" s="93" t="s">
        <v>1247</v>
      </c>
      <c r="AE268" s="2069"/>
      <c r="AF268" s="2069"/>
      <c r="AG268" s="2069"/>
      <c r="AH268" s="2069"/>
      <c r="AI268" s="2069"/>
      <c r="AJ268" s="2069"/>
      <c r="AK268" s="2069"/>
      <c r="AL268" s="2069"/>
      <c r="AM268" s="2069"/>
      <c r="AN268" s="2069"/>
      <c r="AO268" s="2069"/>
      <c r="AP268" s="2069"/>
      <c r="AQ268" s="2069"/>
      <c r="AR268" s="2069"/>
      <c r="AS268" s="2069"/>
      <c r="AT268" s="2069"/>
      <c r="AU268" s="2069"/>
      <c r="AV268" s="2069"/>
      <c r="AW268" s="2069"/>
      <c r="AX268" s="2069"/>
      <c r="AY268" s="2069"/>
      <c r="AZ268" s="2069"/>
      <c r="BA268" s="2069"/>
      <c r="BB268" s="2069"/>
      <c r="BC268" s="2070"/>
      <c r="BD268" s="1304"/>
      <c r="BE268" s="1304"/>
      <c r="BF268" s="1015" t="s">
        <v>1409</v>
      </c>
    </row>
    <row s="1834" customFormat="1" customHeight="1" ht="14.25" hidden="1">
      <c r="A269" s="1304"/>
      <c r="B269" s="1436"/>
      <c r="C269" s="1304"/>
      <c r="D269" s="1304"/>
      <c r="E269" s="632">
        <v>15</v>
      </c>
      <c r="F269" s="50" cm="1" t="str">
        <f t="array" ref="F269:F269">OFFSET(E269,-1,1)</f>
        <v>2</v>
      </c>
      <c r="G269" s="1304"/>
      <c r="H269" s="98" t="s">
        <v>1410</v>
      </c>
      <c r="I269" s="1304"/>
      <c r="J269" s="1304"/>
      <c r="K269" s="1304"/>
      <c r="L269" s="1304"/>
      <c r="M269" s="1304"/>
      <c r="N269" s="1304"/>
      <c r="O269" s="1304"/>
      <c r="P269" s="1442"/>
      <c r="Q269" s="1442"/>
      <c r="R269" s="1442"/>
      <c r="S269" s="1442"/>
      <c r="T269" s="465" cm="1" t="str">
        <f t="array" ref="T269:T269">T268</f>
        <v>false</v>
      </c>
      <c r="U269" s="1442"/>
      <c r="V269" s="1304"/>
      <c r="W269" s="1442"/>
      <c r="X269" s="1563"/>
      <c r="Y269" s="1545"/>
      <c r="Z269" s="1304"/>
      <c r="AA269" s="1304"/>
      <c r="AB269" s="240" t="s">
        <v>1411</v>
      </c>
      <c r="AC269" s="338" t="s">
        <v>1327</v>
      </c>
      <c r="AD269" s="93" t="s">
        <v>1247</v>
      </c>
      <c r="AE269" s="2069"/>
      <c r="AF269" s="2069"/>
      <c r="AG269" s="2069"/>
      <c r="AH269" s="2069"/>
      <c r="AI269" s="2069"/>
      <c r="AJ269" s="2069"/>
      <c r="AK269" s="2069"/>
      <c r="AL269" s="2069"/>
      <c r="AM269" s="2069"/>
      <c r="AN269" s="2069"/>
      <c r="AO269" s="2069"/>
      <c r="AP269" s="2069"/>
      <c r="AQ269" s="2069"/>
      <c r="AR269" s="2069"/>
      <c r="AS269" s="2069"/>
      <c r="AT269" s="2069"/>
      <c r="AU269" s="2069"/>
      <c r="AV269" s="2069"/>
      <c r="AW269" s="2069"/>
      <c r="AX269" s="2069"/>
      <c r="AY269" s="2069"/>
      <c r="AZ269" s="2069"/>
      <c r="BA269" s="2069"/>
      <c r="BB269" s="2069"/>
      <c r="BC269" s="2070"/>
      <c r="BD269" s="1304"/>
      <c r="BE269" s="1304"/>
      <c r="BF269" s="1015" t="s">
        <v>1412</v>
      </c>
    </row>
    <row s="1834" customFormat="1" customHeight="1" ht="14.25" hidden="1">
      <c r="A270" s="1304"/>
      <c r="B270" s="1436"/>
      <c r="C270" s="1304"/>
      <c r="D270" s="1304"/>
      <c r="E270" s="632">
        <v>15</v>
      </c>
      <c r="F270" s="50" cm="1" t="str">
        <f t="array" ref="F270:F270">OFFSET(E270,-1,1)</f>
        <v>2</v>
      </c>
      <c r="G270" s="98" t="s">
        <v>1343</v>
      </c>
      <c r="H270" s="98" t="s">
        <v>1386</v>
      </c>
      <c r="I270" s="1304"/>
      <c r="J270" s="1304"/>
      <c r="K270" s="1304"/>
      <c r="L270" s="1304"/>
      <c r="M270" s="1304"/>
      <c r="N270" s="1304"/>
      <c r="O270" s="1304"/>
      <c r="P270" s="1442"/>
      <c r="Q270" s="1442"/>
      <c r="R270" s="1442"/>
      <c r="S270" s="1442"/>
      <c r="T270" s="465" cm="1" t="str">
        <f t="array" ref="T270:T270">T269</f>
        <v>false</v>
      </c>
      <c r="U270" s="1442"/>
      <c r="V270" s="1304"/>
      <c r="W270" s="1442"/>
      <c r="X270" s="1563"/>
      <c r="Y270" s="1545"/>
      <c r="Z270" s="1304"/>
      <c r="AA270" s="1304"/>
      <c r="AB270" s="240" t="s">
        <v>1387</v>
      </c>
      <c r="AC270" s="192" t="s">
        <v>1346</v>
      </c>
      <c r="AD270" s="93" t="s">
        <v>1247</v>
      </c>
      <c r="AE270" s="346">
        <f>AE271+AE272</f>
        <v>0</v>
      </c>
      <c r="AF270" s="346">
        <f>AF271+AF272</f>
        <v>0</v>
      </c>
      <c r="AG270" s="346">
        <f>AG271+AG272</f>
        <v>0</v>
      </c>
      <c r="AH270" s="346">
        <f>AH271+AH272</f>
        <v>0</v>
      </c>
      <c r="AI270" s="346">
        <f>AI271+AI272</f>
        <v>0</v>
      </c>
      <c r="AJ270" s="346">
        <f>AJ271+AJ272</f>
        <v>0</v>
      </c>
      <c r="AK270" s="346">
        <f>AK271+AK272</f>
        <v>0</v>
      </c>
      <c r="AL270" s="346">
        <f>AL271+AL272</f>
        <v>0</v>
      </c>
      <c r="AM270" s="346">
        <f>AM271+AM272</f>
        <v>0</v>
      </c>
      <c r="AN270" s="346">
        <f>AN271+AN272</f>
        <v>0</v>
      </c>
      <c r="AO270" s="346">
        <f>AO271+AO272</f>
        <v>0</v>
      </c>
      <c r="AP270" s="346">
        <f>AP271+AP272</f>
        <v>0</v>
      </c>
      <c r="AQ270" s="346">
        <f>AQ271+AQ272</f>
        <v>0</v>
      </c>
      <c r="AR270" s="346">
        <f>AR271+AR272</f>
        <v>0</v>
      </c>
      <c r="AS270" s="346">
        <f>AS271+AS272</f>
        <v>0</v>
      </c>
      <c r="AT270" s="346">
        <f>AT271+AT272</f>
        <v>0</v>
      </c>
      <c r="AU270" s="346">
        <f>AU271+AU272</f>
        <v>0</v>
      </c>
      <c r="AV270" s="346">
        <f>AV271+AV272</f>
        <v>0</v>
      </c>
      <c r="AW270" s="346">
        <f>AW271+AW272</f>
        <v>0</v>
      </c>
      <c r="AX270" s="346">
        <f>AX271+AX272</f>
        <v>0</v>
      </c>
      <c r="AY270" s="346">
        <f>AY271+AY272</f>
        <v>0</v>
      </c>
      <c r="AZ270" s="346">
        <f>AZ271+AZ272</f>
        <v>0</v>
      </c>
      <c r="BA270" s="346">
        <f>BA271+BA272</f>
        <v>0</v>
      </c>
      <c r="BB270" s="346">
        <f>BB271+BB272</f>
        <v>0</v>
      </c>
      <c r="BC270" s="2070"/>
      <c r="BD270" s="1304"/>
      <c r="BE270" s="1304"/>
      <c r="BF270" s="1015" t="s">
        <v>1413</v>
      </c>
    </row>
    <row s="1834" customFormat="1" customHeight="1" ht="14.25" hidden="1">
      <c r="A271" s="1304"/>
      <c r="B271" s="1436"/>
      <c r="C271" s="1304"/>
      <c r="D271" s="1304"/>
      <c r="E271" s="632">
        <v>15</v>
      </c>
      <c r="F271" s="50" cm="1" t="str">
        <f t="array" ref="F271:F271">OFFSET(E271,-1,1)</f>
        <v>2</v>
      </c>
      <c r="G271" s="1304"/>
      <c r="H271" s="98" t="s">
        <v>1414</v>
      </c>
      <c r="I271" s="1304"/>
      <c r="J271" s="1304"/>
      <c r="K271" s="1304"/>
      <c r="L271" s="1304"/>
      <c r="M271" s="1304"/>
      <c r="N271" s="1304"/>
      <c r="O271" s="1304"/>
      <c r="P271" s="1442"/>
      <c r="Q271" s="1442"/>
      <c r="R271" s="1442"/>
      <c r="S271" s="1442"/>
      <c r="T271" s="465" cm="1" t="str">
        <f t="array" ref="T271:T271">T270</f>
        <v>false</v>
      </c>
      <c r="U271" s="1442"/>
      <c r="V271" s="1304"/>
      <c r="W271" s="1442"/>
      <c r="X271" s="1563"/>
      <c r="Y271" s="1545"/>
      <c r="Z271" s="1304"/>
      <c r="AA271" s="1304"/>
      <c r="AB271" s="240" t="s">
        <v>1415</v>
      </c>
      <c r="AC271" s="338" t="s">
        <v>1323</v>
      </c>
      <c r="AD271" s="93" t="s">
        <v>1247</v>
      </c>
      <c r="AE271" s="2069"/>
      <c r="AF271" s="2069"/>
      <c r="AG271" s="2069"/>
      <c r="AH271" s="2069"/>
      <c r="AI271" s="2069"/>
      <c r="AJ271" s="2069"/>
      <c r="AK271" s="2069"/>
      <c r="AL271" s="2069"/>
      <c r="AM271" s="2069"/>
      <c r="AN271" s="2069"/>
      <c r="AO271" s="2069"/>
      <c r="AP271" s="2069"/>
      <c r="AQ271" s="2069"/>
      <c r="AR271" s="2069"/>
      <c r="AS271" s="2069"/>
      <c r="AT271" s="2069"/>
      <c r="AU271" s="2069"/>
      <c r="AV271" s="2069"/>
      <c r="AW271" s="2069"/>
      <c r="AX271" s="2069"/>
      <c r="AY271" s="2069"/>
      <c r="AZ271" s="2069"/>
      <c r="BA271" s="2069"/>
      <c r="BB271" s="2069"/>
      <c r="BC271" s="2070"/>
      <c r="BD271" s="1304"/>
      <c r="BE271" s="1304"/>
      <c r="BF271" s="1015" t="s">
        <v>1416</v>
      </c>
    </row>
    <row s="1834" customFormat="1" customHeight="1" ht="14.25" hidden="1">
      <c r="A272" s="1304"/>
      <c r="B272" s="1436"/>
      <c r="C272" s="1304"/>
      <c r="D272" s="1304"/>
      <c r="E272" s="632">
        <v>15</v>
      </c>
      <c r="F272" s="50" cm="1" t="str">
        <f t="array" ref="F272:F272">OFFSET(E272,-1,1)</f>
        <v>2</v>
      </c>
      <c r="G272" s="1304"/>
      <c r="H272" s="98" t="s">
        <v>1417</v>
      </c>
      <c r="I272" s="1304"/>
      <c r="J272" s="1304"/>
      <c r="K272" s="1304"/>
      <c r="L272" s="1304"/>
      <c r="M272" s="1304"/>
      <c r="N272" s="1304"/>
      <c r="O272" s="1304"/>
      <c r="P272" s="1442"/>
      <c r="Q272" s="1442"/>
      <c r="R272" s="1442"/>
      <c r="S272" s="1442"/>
      <c r="T272" s="465" cm="1" t="str">
        <f t="array" ref="T272:T272">T271</f>
        <v>false</v>
      </c>
      <c r="U272" s="1442"/>
      <c r="V272" s="1304"/>
      <c r="W272" s="1442"/>
      <c r="X272" s="1563"/>
      <c r="Y272" s="1545"/>
      <c r="Z272" s="1304"/>
      <c r="AA272" s="1304"/>
      <c r="AB272" s="240" t="s">
        <v>1418</v>
      </c>
      <c r="AC272" s="338" t="s">
        <v>1327</v>
      </c>
      <c r="AD272" s="93" t="s">
        <v>1247</v>
      </c>
      <c r="AE272" s="2069"/>
      <c r="AF272" s="2069"/>
      <c r="AG272" s="2069"/>
      <c r="AH272" s="2069"/>
      <c r="AI272" s="2069"/>
      <c r="AJ272" s="2069"/>
      <c r="AK272" s="2069"/>
      <c r="AL272" s="2069"/>
      <c r="AM272" s="2069"/>
      <c r="AN272" s="2069"/>
      <c r="AO272" s="2069"/>
      <c r="AP272" s="2069"/>
      <c r="AQ272" s="2069"/>
      <c r="AR272" s="2069"/>
      <c r="AS272" s="2069"/>
      <c r="AT272" s="2069"/>
      <c r="AU272" s="2069"/>
      <c r="AV272" s="2069"/>
      <c r="AW272" s="2069"/>
      <c r="AX272" s="2069"/>
      <c r="AY272" s="2069"/>
      <c r="AZ272" s="2069"/>
      <c r="BA272" s="2069"/>
      <c r="BB272" s="2069"/>
      <c r="BC272" s="2070"/>
      <c r="BD272" s="1304"/>
      <c r="BE272" s="1304"/>
      <c r="BF272" s="1015" t="s">
        <v>1419</v>
      </c>
    </row>
    <row s="1834" customFormat="1" customHeight="1" ht="14.25" hidden="1">
      <c r="A273" s="1304"/>
      <c r="B273" s="1436"/>
      <c r="C273" s="1304"/>
      <c r="D273" s="1304"/>
      <c r="E273" s="632">
        <v>15</v>
      </c>
      <c r="F273" s="50" cm="1" t="str">
        <f t="array" ref="F273:F273">OFFSET(E273,-1,1)</f>
        <v>2</v>
      </c>
      <c r="G273" s="1304"/>
      <c r="H273" s="98" t="s">
        <v>1420</v>
      </c>
      <c r="I273" s="1304"/>
      <c r="J273" s="1304"/>
      <c r="K273" s="1304"/>
      <c r="L273" s="1304"/>
      <c r="M273" s="1304"/>
      <c r="N273" s="1304"/>
      <c r="O273" s="1304"/>
      <c r="P273" s="1442"/>
      <c r="Q273" s="1442"/>
      <c r="R273" s="1442"/>
      <c r="S273" s="1442"/>
      <c r="T273" s="465" cm="1" t="str">
        <f t="array" ref="T273:T273">T272</f>
        <v>false</v>
      </c>
      <c r="U273" s="1442"/>
      <c r="V273" s="1304"/>
      <c r="W273" s="1442"/>
      <c r="X273" s="1563"/>
      <c r="Y273" s="1545"/>
      <c r="Z273" s="1304"/>
      <c r="AA273" s="1304"/>
      <c r="AB273" s="240" t="s">
        <v>1421</v>
      </c>
      <c r="AC273" s="192" t="s">
        <v>1356</v>
      </c>
      <c r="AD273" s="93" t="s">
        <v>1247</v>
      </c>
      <c r="AE273" s="346">
        <f>AE274+AE275</f>
        <v>0</v>
      </c>
      <c r="AF273" s="346">
        <f>AF274+AF275</f>
        <v>0</v>
      </c>
      <c r="AG273" s="346">
        <f>AG274+AG275</f>
        <v>0</v>
      </c>
      <c r="AH273" s="346">
        <f>AH274+AH275</f>
        <v>0</v>
      </c>
      <c r="AI273" s="346">
        <f>AI274+AI275</f>
        <v>0</v>
      </c>
      <c r="AJ273" s="346">
        <f>AJ274+AJ275</f>
        <v>0</v>
      </c>
      <c r="AK273" s="346">
        <f>AK274+AK275</f>
        <v>0</v>
      </c>
      <c r="AL273" s="346">
        <f>AL274+AL275</f>
        <v>0</v>
      </c>
      <c r="AM273" s="346">
        <f>AM274+AM275</f>
        <v>0</v>
      </c>
      <c r="AN273" s="346">
        <f>AN274+AN275</f>
        <v>0</v>
      </c>
      <c r="AO273" s="346">
        <f>AO274+AO275</f>
        <v>0</v>
      </c>
      <c r="AP273" s="346">
        <f>AP274+AP275</f>
        <v>0</v>
      </c>
      <c r="AQ273" s="346">
        <f>AQ274+AQ275</f>
        <v>0</v>
      </c>
      <c r="AR273" s="346">
        <f>AR274+AR275</f>
        <v>0</v>
      </c>
      <c r="AS273" s="346">
        <f>AS274+AS275</f>
        <v>0</v>
      </c>
      <c r="AT273" s="346">
        <f>AT274+AT275</f>
        <v>0</v>
      </c>
      <c r="AU273" s="346">
        <f>AU274+AU275</f>
        <v>0</v>
      </c>
      <c r="AV273" s="346">
        <f>AV274+AV275</f>
        <v>0</v>
      </c>
      <c r="AW273" s="346">
        <f>AW274+AW275</f>
        <v>0</v>
      </c>
      <c r="AX273" s="346">
        <f>AX274+AX275</f>
        <v>0</v>
      </c>
      <c r="AY273" s="346">
        <f>AY274+AY275</f>
        <v>0</v>
      </c>
      <c r="AZ273" s="346">
        <f>AZ274+AZ275</f>
        <v>0</v>
      </c>
      <c r="BA273" s="346">
        <f>BA274+BA275</f>
        <v>0</v>
      </c>
      <c r="BB273" s="346">
        <f>BB274+BB275</f>
        <v>0</v>
      </c>
      <c r="BC273" s="2070"/>
      <c r="BD273" s="1304"/>
      <c r="BE273" s="1304"/>
      <c r="BF273" s="1015" t="s">
        <v>1422</v>
      </c>
    </row>
    <row s="1834" customFormat="1" customHeight="1" ht="14.25" hidden="1">
      <c r="A274" s="1304"/>
      <c r="B274" s="1436"/>
      <c r="C274" s="1304"/>
      <c r="D274" s="1304"/>
      <c r="E274" s="632">
        <v>15</v>
      </c>
      <c r="F274" s="50" cm="1" t="str">
        <f t="array" ref="F274:F274">OFFSET(E274,-1,1)</f>
        <v>2</v>
      </c>
      <c r="G274" s="1304"/>
      <c r="H274" s="98" t="s">
        <v>1423</v>
      </c>
      <c r="I274" s="1304"/>
      <c r="J274" s="1304"/>
      <c r="K274" s="1304"/>
      <c r="L274" s="1304"/>
      <c r="M274" s="1304"/>
      <c r="N274" s="1304"/>
      <c r="O274" s="1304"/>
      <c r="P274" s="1442"/>
      <c r="Q274" s="1442"/>
      <c r="R274" s="1442"/>
      <c r="S274" s="1442"/>
      <c r="T274" s="465" cm="1" t="str">
        <f t="array" ref="T274:T274">T273</f>
        <v>false</v>
      </c>
      <c r="U274" s="1442"/>
      <c r="V274" s="1304"/>
      <c r="W274" s="1442"/>
      <c r="X274" s="1563"/>
      <c r="Y274" s="1545"/>
      <c r="Z274" s="1304"/>
      <c r="AA274" s="1304"/>
      <c r="AB274" s="240" t="s">
        <v>1424</v>
      </c>
      <c r="AC274" s="338" t="s">
        <v>1323</v>
      </c>
      <c r="AD274" s="93" t="s">
        <v>1247</v>
      </c>
      <c r="AE274" s="2069"/>
      <c r="AF274" s="2069"/>
      <c r="AG274" s="2069"/>
      <c r="AH274" s="2069"/>
      <c r="AI274" s="2069"/>
      <c r="AJ274" s="2069"/>
      <c r="AK274" s="2069"/>
      <c r="AL274" s="2069"/>
      <c r="AM274" s="2069"/>
      <c r="AN274" s="2069"/>
      <c r="AO274" s="2069"/>
      <c r="AP274" s="2069"/>
      <c r="AQ274" s="2069"/>
      <c r="AR274" s="2069"/>
      <c r="AS274" s="2069"/>
      <c r="AT274" s="2069"/>
      <c r="AU274" s="2069"/>
      <c r="AV274" s="2069"/>
      <c r="AW274" s="2069"/>
      <c r="AX274" s="2069"/>
      <c r="AY274" s="2069"/>
      <c r="AZ274" s="2069"/>
      <c r="BA274" s="2069"/>
      <c r="BB274" s="2069"/>
      <c r="BC274" s="2070"/>
      <c r="BD274" s="1304"/>
      <c r="BE274" s="1304"/>
      <c r="BF274" s="1015" t="s">
        <v>1425</v>
      </c>
    </row>
    <row s="1834" customFormat="1" customHeight="1" ht="14.25" hidden="1">
      <c r="A275" s="1304"/>
      <c r="B275" s="1436"/>
      <c r="C275" s="1304"/>
      <c r="D275" s="1304"/>
      <c r="E275" s="632">
        <v>15</v>
      </c>
      <c r="F275" s="50" cm="1" t="str">
        <f t="array" ref="F275:F275">OFFSET(E275,-1,1)</f>
        <v>2</v>
      </c>
      <c r="G275" s="1304"/>
      <c r="H275" s="98" t="s">
        <v>1426</v>
      </c>
      <c r="I275" s="1304"/>
      <c r="J275" s="1304"/>
      <c r="K275" s="1304"/>
      <c r="L275" s="1304"/>
      <c r="M275" s="1304"/>
      <c r="N275" s="1304"/>
      <c r="O275" s="1304"/>
      <c r="P275" s="1442"/>
      <c r="Q275" s="1442"/>
      <c r="R275" s="1442"/>
      <c r="S275" s="1442"/>
      <c r="T275" s="465" cm="1" t="str">
        <f t="array" ref="T275:T275">T274</f>
        <v>false</v>
      </c>
      <c r="U275" s="1442"/>
      <c r="V275" s="1304"/>
      <c r="W275" s="1442"/>
      <c r="X275" s="1563"/>
      <c r="Y275" s="1545"/>
      <c r="Z275" s="1304"/>
      <c r="AA275" s="1304"/>
      <c r="AB275" s="240" t="s">
        <v>1427</v>
      </c>
      <c r="AC275" s="338" t="s">
        <v>1327</v>
      </c>
      <c r="AD275" s="93" t="s">
        <v>1247</v>
      </c>
      <c r="AE275" s="2069"/>
      <c r="AF275" s="2069"/>
      <c r="AG275" s="2069"/>
      <c r="AH275" s="2069"/>
      <c r="AI275" s="2069"/>
      <c r="AJ275" s="2069"/>
      <c r="AK275" s="2069"/>
      <c r="AL275" s="2069"/>
      <c r="AM275" s="2069"/>
      <c r="AN275" s="2069"/>
      <c r="AO275" s="2069"/>
      <c r="AP275" s="2069"/>
      <c r="AQ275" s="2069"/>
      <c r="AR275" s="2069"/>
      <c r="AS275" s="2069"/>
      <c r="AT275" s="2069"/>
      <c r="AU275" s="2069"/>
      <c r="AV275" s="2069"/>
      <c r="AW275" s="2069"/>
      <c r="AX275" s="2069"/>
      <c r="AY275" s="2069"/>
      <c r="AZ275" s="2069"/>
      <c r="BA275" s="2069"/>
      <c r="BB275" s="2069"/>
      <c r="BC275" s="2070"/>
      <c r="BD275" s="1304"/>
      <c r="BE275" s="1304"/>
      <c r="BF275" s="1015" t="s">
        <v>1428</v>
      </c>
    </row>
    <row s="1834" customFormat="1" customHeight="1" ht="14.25" hidden="1">
      <c r="A276" s="1304"/>
      <c r="B276" s="1436"/>
      <c r="C276" s="1304"/>
      <c r="D276" s="1304"/>
      <c r="E276" s="632">
        <v>15</v>
      </c>
      <c r="F276" s="50" cm="1" t="str">
        <f t="array" ref="F276:F276">OFFSET(E276,-1,1)</f>
        <v>2</v>
      </c>
      <c r="G276" s="1304"/>
      <c r="H276" s="98" t="s">
        <v>1429</v>
      </c>
      <c r="I276" s="1304"/>
      <c r="J276" s="1304"/>
      <c r="K276" s="1304"/>
      <c r="L276" s="1304"/>
      <c r="M276" s="1304"/>
      <c r="N276" s="1304"/>
      <c r="O276" s="1304"/>
      <c r="P276" s="1442"/>
      <c r="Q276" s="1442"/>
      <c r="R276" s="1442"/>
      <c r="S276" s="1442"/>
      <c r="T276" s="465" cm="1" t="str">
        <f t="array" ref="T276:T276">T275</f>
        <v>false</v>
      </c>
      <c r="U276" s="1442"/>
      <c r="V276" s="1304"/>
      <c r="W276" s="1442"/>
      <c r="X276" s="1563"/>
      <c r="Y276" s="1545"/>
      <c r="Z276" s="1304"/>
      <c r="AA276" s="1304"/>
      <c r="AB276" s="240" t="s">
        <v>1430</v>
      </c>
      <c r="AC276" s="192" t="s">
        <v>1431</v>
      </c>
      <c r="AD276" s="93" t="s">
        <v>1247</v>
      </c>
      <c r="AE276" s="346">
        <f>AE277+AE278</f>
        <v>0</v>
      </c>
      <c r="AF276" s="346">
        <f>AF277+AF278</f>
        <v>0</v>
      </c>
      <c r="AG276" s="346">
        <f>AG277+AG278</f>
        <v>0</v>
      </c>
      <c r="AH276" s="346">
        <f>AH277+AH278</f>
        <v>0</v>
      </c>
      <c r="AI276" s="346">
        <f>AI277+AI278</f>
        <v>0</v>
      </c>
      <c r="AJ276" s="346">
        <f>AJ277+AJ278</f>
        <v>0</v>
      </c>
      <c r="AK276" s="346">
        <f>AK277+AK278</f>
        <v>0</v>
      </c>
      <c r="AL276" s="346">
        <f>AL277+AL278</f>
        <v>0</v>
      </c>
      <c r="AM276" s="346">
        <f>AM277+AM278</f>
        <v>0</v>
      </c>
      <c r="AN276" s="346">
        <f>AN277+AN278</f>
        <v>0</v>
      </c>
      <c r="AO276" s="346">
        <f>AO277+AO278</f>
        <v>0</v>
      </c>
      <c r="AP276" s="346">
        <f>AP277+AP278</f>
        <v>0</v>
      </c>
      <c r="AQ276" s="346">
        <f>AQ277+AQ278</f>
        <v>0</v>
      </c>
      <c r="AR276" s="346">
        <f>AR277+AR278</f>
        <v>0</v>
      </c>
      <c r="AS276" s="346">
        <f>AS277+AS278</f>
        <v>0</v>
      </c>
      <c r="AT276" s="346">
        <f>AT277+AT278</f>
        <v>0</v>
      </c>
      <c r="AU276" s="346">
        <f>AU277+AU278</f>
        <v>0</v>
      </c>
      <c r="AV276" s="346">
        <f>AV277+AV278</f>
        <v>0</v>
      </c>
      <c r="AW276" s="346">
        <f>AW277+AW278</f>
        <v>0</v>
      </c>
      <c r="AX276" s="346">
        <f>AX277+AX278</f>
        <v>0</v>
      </c>
      <c r="AY276" s="346">
        <f>AY277+AY278</f>
        <v>0</v>
      </c>
      <c r="AZ276" s="346">
        <f>AZ277+AZ278</f>
        <v>0</v>
      </c>
      <c r="BA276" s="346">
        <f>BA277+BA278</f>
        <v>0</v>
      </c>
      <c r="BB276" s="346">
        <f>BB277+BB278</f>
        <v>0</v>
      </c>
      <c r="BC276" s="2070"/>
      <c r="BD276" s="1304"/>
      <c r="BE276" s="1304"/>
      <c r="BF276" s="1015" t="s">
        <v>1432</v>
      </c>
    </row>
    <row s="1834" customFormat="1" customHeight="1" ht="14.25" hidden="1">
      <c r="A277" s="1304"/>
      <c r="B277" s="1436"/>
      <c r="C277" s="1304"/>
      <c r="D277" s="1304"/>
      <c r="E277" s="632">
        <v>15</v>
      </c>
      <c r="F277" s="50" cm="1" t="str">
        <f t="array" ref="F277:F277">OFFSET(E277,-1,1)</f>
        <v>2</v>
      </c>
      <c r="G277" s="1304"/>
      <c r="H277" s="98" t="s">
        <v>1433</v>
      </c>
      <c r="I277" s="1304"/>
      <c r="J277" s="1304"/>
      <c r="K277" s="1304"/>
      <c r="L277" s="1304"/>
      <c r="M277" s="1304"/>
      <c r="N277" s="1304"/>
      <c r="O277" s="1304"/>
      <c r="P277" s="1442"/>
      <c r="Q277" s="1442"/>
      <c r="R277" s="1442"/>
      <c r="S277" s="1442"/>
      <c r="T277" s="465" cm="1" t="str">
        <f t="array" ref="T277:T277">T276</f>
        <v>false</v>
      </c>
      <c r="U277" s="1442"/>
      <c r="V277" s="1304"/>
      <c r="W277" s="1442"/>
      <c r="X277" s="1563"/>
      <c r="Y277" s="1545"/>
      <c r="Z277" s="1304"/>
      <c r="AA277" s="1304"/>
      <c r="AB277" s="240" t="s">
        <v>1434</v>
      </c>
      <c r="AC277" s="332" t="s">
        <v>1323</v>
      </c>
      <c r="AD277" s="93" t="s">
        <v>1247</v>
      </c>
      <c r="AE277" s="2069"/>
      <c r="AF277" s="2069"/>
      <c r="AG277" s="2069"/>
      <c r="AH277" s="2069"/>
      <c r="AI277" s="2069"/>
      <c r="AJ277" s="2069"/>
      <c r="AK277" s="2069"/>
      <c r="AL277" s="2069"/>
      <c r="AM277" s="2069"/>
      <c r="AN277" s="2069"/>
      <c r="AO277" s="2069"/>
      <c r="AP277" s="2069"/>
      <c r="AQ277" s="2069"/>
      <c r="AR277" s="2069"/>
      <c r="AS277" s="2069"/>
      <c r="AT277" s="2069"/>
      <c r="AU277" s="2069"/>
      <c r="AV277" s="2069"/>
      <c r="AW277" s="2069"/>
      <c r="AX277" s="2069"/>
      <c r="AY277" s="2069"/>
      <c r="AZ277" s="2069"/>
      <c r="BA277" s="2069"/>
      <c r="BB277" s="2069"/>
      <c r="BC277" s="2070"/>
      <c r="BD277" s="1304"/>
      <c r="BE277" s="1304"/>
      <c r="BF277" s="1015" t="s">
        <v>1435</v>
      </c>
    </row>
    <row s="1834" customFormat="1" customHeight="1" ht="14.25" hidden="1">
      <c r="A278" s="1304"/>
      <c r="B278" s="1436"/>
      <c r="C278" s="1304"/>
      <c r="D278" s="1304"/>
      <c r="E278" s="632">
        <v>15</v>
      </c>
      <c r="F278" s="50" cm="1" t="str">
        <f t="array" ref="F278:F278">OFFSET(E278,-1,1)</f>
        <v>2</v>
      </c>
      <c r="G278" s="1304"/>
      <c r="H278" s="98" t="s">
        <v>1436</v>
      </c>
      <c r="I278" s="1304"/>
      <c r="J278" s="1304"/>
      <c r="K278" s="1304"/>
      <c r="L278" s="1304"/>
      <c r="M278" s="1304"/>
      <c r="N278" s="1304"/>
      <c r="O278" s="1304"/>
      <c r="P278" s="1442"/>
      <c r="Q278" s="1442"/>
      <c r="R278" s="1442"/>
      <c r="S278" s="1442"/>
      <c r="T278" s="465" cm="1" t="str">
        <f t="array" ref="T278:T278">T277</f>
        <v>false</v>
      </c>
      <c r="U278" s="1442"/>
      <c r="V278" s="1304"/>
      <c r="W278" s="1442"/>
      <c r="X278" s="1563"/>
      <c r="Y278" s="1545"/>
      <c r="Z278" s="1304"/>
      <c r="AA278" s="1304"/>
      <c r="AB278" s="240" t="s">
        <v>1437</v>
      </c>
      <c r="AC278" s="332" t="s">
        <v>1327</v>
      </c>
      <c r="AD278" s="93" t="s">
        <v>1247</v>
      </c>
      <c r="AE278" s="2069"/>
      <c r="AF278" s="2069"/>
      <c r="AG278" s="2069"/>
      <c r="AH278" s="2069"/>
      <c r="AI278" s="2069"/>
      <c r="AJ278" s="2069"/>
      <c r="AK278" s="2069"/>
      <c r="AL278" s="2069"/>
      <c r="AM278" s="2069"/>
      <c r="AN278" s="2069"/>
      <c r="AO278" s="2069"/>
      <c r="AP278" s="2069"/>
      <c r="AQ278" s="2069"/>
      <c r="AR278" s="2069"/>
      <c r="AS278" s="2069"/>
      <c r="AT278" s="2069"/>
      <c r="AU278" s="2069"/>
      <c r="AV278" s="2069"/>
      <c r="AW278" s="2069"/>
      <c r="AX278" s="2069"/>
      <c r="AY278" s="2069"/>
      <c r="AZ278" s="2069"/>
      <c r="BA278" s="2069"/>
      <c r="BB278" s="2069"/>
      <c r="BC278" s="2070"/>
      <c r="BD278" s="1304"/>
      <c r="BE278" s="1304"/>
      <c r="BF278" s="1015" t="s">
        <v>1438</v>
      </c>
    </row>
    <row s="1834" customFormat="1" customHeight="1" ht="21.75" hidden="1">
      <c r="A279" s="1304"/>
      <c r="B279" s="1436"/>
      <c r="C279" s="1304"/>
      <c r="D279" s="1304"/>
      <c r="E279" s="632">
        <v>22.5</v>
      </c>
      <c r="F279" s="50" cm="1" t="str">
        <f t="array" ref="F279:F279">OFFSET(E279,-1,1)</f>
        <v>2</v>
      </c>
      <c r="G279" s="1304"/>
      <c r="H279" s="98" t="s">
        <v>1439</v>
      </c>
      <c r="I279" s="1304"/>
      <c r="J279" s="1304"/>
      <c r="K279" s="1304"/>
      <c r="L279" s="1304"/>
      <c r="M279" s="1304"/>
      <c r="N279" s="1304"/>
      <c r="O279" s="1304"/>
      <c r="P279" s="1442"/>
      <c r="Q279" s="1442"/>
      <c r="R279" s="1442"/>
      <c r="S279" s="1442"/>
      <c r="T279" s="465" cm="1" t="str">
        <f t="array" ref="T279:T279">T278</f>
        <v>false</v>
      </c>
      <c r="U279" s="1442"/>
      <c r="V279" s="1304"/>
      <c r="W279" s="1442"/>
      <c r="X279" s="1563"/>
      <c r="Y279" s="1545"/>
      <c r="Z279" s="1304"/>
      <c r="AA279" s="1304"/>
      <c r="AB279" s="240" t="s">
        <v>1440</v>
      </c>
      <c r="AC279" s="339" t="s">
        <v>1288</v>
      </c>
      <c r="AD279" s="93" t="s">
        <v>1247</v>
      </c>
      <c r="AE279" s="2069"/>
      <c r="AF279" s="2069"/>
      <c r="AG279" s="2069"/>
      <c r="AH279" s="2069"/>
      <c r="AI279" s="2069"/>
      <c r="AJ279" s="2069"/>
      <c r="AK279" s="2069"/>
      <c r="AL279" s="2069"/>
      <c r="AM279" s="2069"/>
      <c r="AN279" s="2069"/>
      <c r="AO279" s="2069"/>
      <c r="AP279" s="2069"/>
      <c r="AQ279" s="2069"/>
      <c r="AR279" s="2069"/>
      <c r="AS279" s="2069"/>
      <c r="AT279" s="2069"/>
      <c r="AU279" s="2069"/>
      <c r="AV279" s="2069"/>
      <c r="AW279" s="2069"/>
      <c r="AX279" s="2069"/>
      <c r="AY279" s="2069"/>
      <c r="AZ279" s="2069"/>
      <c r="BA279" s="2069"/>
      <c r="BB279" s="2069"/>
      <c r="BC279" s="2070"/>
      <c r="BD279" s="1304"/>
      <c r="BE279" s="1304"/>
      <c r="BF279" s="1015" t="s">
        <v>1441</v>
      </c>
    </row>
    <row s="1834" customFormat="1" customHeight="1" ht="14.25" hidden="1">
      <c r="A280" s="1304"/>
      <c r="B280" s="1436"/>
      <c r="C280" s="1304"/>
      <c r="D280" s="1304"/>
      <c r="E280" s="632">
        <v>15</v>
      </c>
      <c r="F280" s="50" cm="1" t="str">
        <f t="array" ref="F280:F280">OFFSET(E280,-1,1)</f>
        <v>2</v>
      </c>
      <c r="G280" s="1304"/>
      <c r="H280" s="98" t="s">
        <v>1228</v>
      </c>
      <c r="I280" s="1304"/>
      <c r="J280" s="1304"/>
      <c r="K280" s="1304"/>
      <c r="L280" s="1304"/>
      <c r="M280" s="1304"/>
      <c r="N280" s="1304"/>
      <c r="O280" s="1304"/>
      <c r="P280" s="1442"/>
      <c r="Q280" s="1442"/>
      <c r="R280" s="1442"/>
      <c r="S280" s="1442"/>
      <c r="T280" s="465" cm="1" t="str">
        <f t="array" ref="T280:T280">T279</f>
        <v>false</v>
      </c>
      <c r="U280" s="1442"/>
      <c r="V280" s="1304"/>
      <c r="W280" s="1442"/>
      <c r="X280" s="1563"/>
      <c r="Y280" s="1545"/>
      <c r="Z280" s="1304"/>
      <c r="AA280" s="1304"/>
      <c r="AB280" s="240" t="s">
        <v>443</v>
      </c>
      <c r="AC280" s="137" t="s">
        <v>1442</v>
      </c>
      <c r="AD280" s="93" t="s">
        <v>1247</v>
      </c>
      <c r="AE280" s="2069"/>
      <c r="AF280" s="2069"/>
      <c r="AG280" s="2069"/>
      <c r="AH280" s="2069"/>
      <c r="AI280" s="2069"/>
      <c r="AJ280" s="2069"/>
      <c r="AK280" s="2069"/>
      <c r="AL280" s="2069"/>
      <c r="AM280" s="2069"/>
      <c r="AN280" s="2069"/>
      <c r="AO280" s="2069"/>
      <c r="AP280" s="2069"/>
      <c r="AQ280" s="2069"/>
      <c r="AR280" s="2069"/>
      <c r="AS280" s="2069"/>
      <c r="AT280" s="2069"/>
      <c r="AU280" s="2069"/>
      <c r="AV280" s="2069"/>
      <c r="AW280" s="2069"/>
      <c r="AX280" s="2069"/>
      <c r="AY280" s="2069"/>
      <c r="AZ280" s="2069"/>
      <c r="BA280" s="2069"/>
      <c r="BB280" s="2069"/>
      <c r="BC280" s="2070"/>
      <c r="BD280" s="1304"/>
      <c r="BE280" s="1304"/>
      <c r="BF280" s="1015" t="s">
        <v>1443</v>
      </c>
    </row>
    <row s="1834" customFormat="1" customHeight="1" ht="14.25" hidden="1">
      <c r="A281" s="1304"/>
      <c r="B281" s="1436"/>
      <c r="C281" s="1304"/>
      <c r="D281" s="1304"/>
      <c r="E281" s="632">
        <v>15</v>
      </c>
      <c r="F281" s="50" cm="1" t="str">
        <f t="array" ref="F281:F281">OFFSET(E281,-1,1)</f>
        <v>2</v>
      </c>
      <c r="G281" s="1304"/>
      <c r="H281" s="98" t="s">
        <v>1275</v>
      </c>
      <c r="I281" s="1304"/>
      <c r="J281" s="1304"/>
      <c r="K281" s="1304"/>
      <c r="L281" s="1304"/>
      <c r="M281" s="1304"/>
      <c r="N281" s="1304"/>
      <c r="O281" s="1304"/>
      <c r="P281" s="1442"/>
      <c r="Q281" s="1442"/>
      <c r="R281" s="1442"/>
      <c r="S281" s="1442"/>
      <c r="T281" s="465" cm="1" t="str">
        <f t="array" ref="T281:T281">T280</f>
        <v>false</v>
      </c>
      <c r="U281" s="1442"/>
      <c r="V281" s="1304"/>
      <c r="W281" s="1442"/>
      <c r="X281" s="1563"/>
      <c r="Y281" s="1545"/>
      <c r="Z281" s="1304"/>
      <c r="AA281" s="1304"/>
      <c r="AB281" s="240" t="s">
        <v>446</v>
      </c>
      <c r="AC281" s="137" t="s">
        <v>1444</v>
      </c>
      <c r="AD281" s="93" t="s">
        <v>1247</v>
      </c>
      <c r="AE281" s="2069"/>
      <c r="AF281" s="2069"/>
      <c r="AG281" s="2069"/>
      <c r="AH281" s="2069"/>
      <c r="AI281" s="2069"/>
      <c r="AJ281" s="2069"/>
      <c r="AK281" s="2069"/>
      <c r="AL281" s="2069"/>
      <c r="AM281" s="2069"/>
      <c r="AN281" s="2069"/>
      <c r="AO281" s="2069"/>
      <c r="AP281" s="2069"/>
      <c r="AQ281" s="2069"/>
      <c r="AR281" s="2069"/>
      <c r="AS281" s="2069"/>
      <c r="AT281" s="2069"/>
      <c r="AU281" s="2069"/>
      <c r="AV281" s="2069"/>
      <c r="AW281" s="2069"/>
      <c r="AX281" s="2069"/>
      <c r="AY281" s="2069"/>
      <c r="AZ281" s="2069"/>
      <c r="BA281" s="2069"/>
      <c r="BB281" s="2069"/>
      <c r="BC281" s="2070"/>
      <c r="BD281" s="1304"/>
      <c r="BE281" s="1304"/>
      <c r="BF281" s="1015" t="s">
        <v>1445</v>
      </c>
    </row>
    <row s="1834" customFormat="1" customHeight="1" ht="14.25" hidden="1">
      <c r="A282" s="1304"/>
      <c r="B282" s="1436"/>
      <c r="C282" s="1304"/>
      <c r="D282" s="1304"/>
      <c r="E282" s="632">
        <v>15</v>
      </c>
      <c r="F282" s="50" cm="1" t="str">
        <f t="array" ref="F282:F282">OFFSET(E282,-1,1)</f>
        <v>2</v>
      </c>
      <c r="G282" s="1304"/>
      <c r="H282" s="98" t="s">
        <v>1290</v>
      </c>
      <c r="I282" s="1304"/>
      <c r="J282" s="1304"/>
      <c r="K282" s="1304"/>
      <c r="L282" s="1304"/>
      <c r="M282" s="1304"/>
      <c r="N282" s="1304"/>
      <c r="O282" s="1304"/>
      <c r="P282" s="1442"/>
      <c r="Q282" s="1442"/>
      <c r="R282" s="1442"/>
      <c r="S282" s="1442"/>
      <c r="T282" s="465" cm="1" t="str">
        <f t="array" ref="T282:T282">T281</f>
        <v>false</v>
      </c>
      <c r="U282" s="1442"/>
      <c r="V282" s="1304"/>
      <c r="W282" s="1442"/>
      <c r="X282" s="1563"/>
      <c r="Y282" s="1545"/>
      <c r="Z282" s="1304"/>
      <c r="AA282" s="1304"/>
      <c r="AB282" s="240" t="s">
        <v>449</v>
      </c>
      <c r="AC282" s="137" t="s">
        <v>1446</v>
      </c>
      <c r="AD282" s="93" t="s">
        <v>1247</v>
      </c>
      <c r="AE282" s="2069"/>
      <c r="AF282" s="2069"/>
      <c r="AG282" s="2069"/>
      <c r="AH282" s="2069"/>
      <c r="AI282" s="2069"/>
      <c r="AJ282" s="2069"/>
      <c r="AK282" s="2069"/>
      <c r="AL282" s="2069"/>
      <c r="AM282" s="2069"/>
      <c r="AN282" s="2069"/>
      <c r="AO282" s="2069"/>
      <c r="AP282" s="2069"/>
      <c r="AQ282" s="2069"/>
      <c r="AR282" s="2069"/>
      <c r="AS282" s="2069"/>
      <c r="AT282" s="2069"/>
      <c r="AU282" s="2069"/>
      <c r="AV282" s="2069"/>
      <c r="AW282" s="2069"/>
      <c r="AX282" s="2069"/>
      <c r="AY282" s="2069"/>
      <c r="AZ282" s="2069"/>
      <c r="BA282" s="2069"/>
      <c r="BB282" s="2069"/>
      <c r="BC282" s="2070"/>
      <c r="BD282" s="1304"/>
      <c r="BE282" s="1304"/>
      <c r="BF282" s="1015" t="s">
        <v>1447</v>
      </c>
    </row>
    <row s="1834" customFormat="1" customHeight="1" ht="14.25" hidden="1">
      <c r="A283" s="1304"/>
      <c r="B283" s="1436"/>
      <c r="C283" s="1304"/>
      <c r="D283" s="1304"/>
      <c r="E283" s="632">
        <v>15</v>
      </c>
      <c r="F283" s="50" cm="1" t="str">
        <f t="array" ref="F283:F283">OFFSET(E283,-1,1)</f>
        <v>2</v>
      </c>
      <c r="G283" s="1304"/>
      <c r="H283" s="98" t="s">
        <v>1297</v>
      </c>
      <c r="I283" s="1304"/>
      <c r="J283" s="1304"/>
      <c r="K283" s="1304"/>
      <c r="L283" s="1304"/>
      <c r="M283" s="1304"/>
      <c r="N283" s="1304"/>
      <c r="O283" s="1304"/>
      <c r="P283" s="1442"/>
      <c r="Q283" s="1442"/>
      <c r="R283" s="1442"/>
      <c r="S283" s="1442"/>
      <c r="T283" s="465" cm="1" t="str">
        <f t="array" ref="T283:T283">T282</f>
        <v>false</v>
      </c>
      <c r="U283" s="1442"/>
      <c r="V283" s="1304"/>
      <c r="W283" s="1442"/>
      <c r="X283" s="1563"/>
      <c r="Y283" s="1545"/>
      <c r="Z283" s="1304"/>
      <c r="AA283" s="1304"/>
      <c r="AB283" s="240" t="s">
        <v>452</v>
      </c>
      <c r="AC283" s="138" t="s">
        <v>1448</v>
      </c>
      <c r="AD283" s="93" t="s">
        <v>1247</v>
      </c>
      <c r="AE283" s="346">
        <f>AE284+AE285</f>
        <v>0</v>
      </c>
      <c r="AF283" s="346">
        <f>AF284+AF285</f>
        <v>0</v>
      </c>
      <c r="AG283" s="346">
        <f>AG284+AG285</f>
        <v>0</v>
      </c>
      <c r="AH283" s="346">
        <f>AH284+AH285</f>
        <v>0</v>
      </c>
      <c r="AI283" s="346">
        <f>AI284+AI285</f>
        <v>0</v>
      </c>
      <c r="AJ283" s="346">
        <f>AJ284+AJ285</f>
        <v>0</v>
      </c>
      <c r="AK283" s="346">
        <f>AK284+AK285</f>
        <v>0</v>
      </c>
      <c r="AL283" s="346">
        <f>AL284+AL285</f>
        <v>0</v>
      </c>
      <c r="AM283" s="346">
        <f>AM284+AM285</f>
        <v>0</v>
      </c>
      <c r="AN283" s="346">
        <f>AN284+AN285</f>
        <v>0</v>
      </c>
      <c r="AO283" s="346">
        <f>AO284+AO285</f>
        <v>0</v>
      </c>
      <c r="AP283" s="346">
        <f>AP284+AP285</f>
        <v>0</v>
      </c>
      <c r="AQ283" s="346">
        <f>AQ284+AQ285</f>
        <v>0</v>
      </c>
      <c r="AR283" s="346">
        <f>AR284+AR285</f>
        <v>0</v>
      </c>
      <c r="AS283" s="346">
        <f>AS284+AS285</f>
        <v>0</v>
      </c>
      <c r="AT283" s="346">
        <f>AT284+AT285</f>
        <v>0</v>
      </c>
      <c r="AU283" s="346">
        <f>AU284+AU285</f>
        <v>0</v>
      </c>
      <c r="AV283" s="346">
        <f>AV284+AV285</f>
        <v>0</v>
      </c>
      <c r="AW283" s="346">
        <f>AW284+AW285</f>
        <v>0</v>
      </c>
      <c r="AX283" s="346">
        <f>AX284+AX285</f>
        <v>0</v>
      </c>
      <c r="AY283" s="346">
        <f>AY284+AY285</f>
        <v>0</v>
      </c>
      <c r="AZ283" s="346">
        <f>AZ284+AZ285</f>
        <v>0</v>
      </c>
      <c r="BA283" s="346">
        <f>BA284+BA285</f>
        <v>0</v>
      </c>
      <c r="BB283" s="346">
        <f>BB284+BB285</f>
        <v>0</v>
      </c>
      <c r="BC283" s="2070"/>
      <c r="BD283" s="1304"/>
      <c r="BE283" s="1304"/>
      <c r="BF283" s="1015" t="s">
        <v>1449</v>
      </c>
    </row>
    <row s="1834" customFormat="1" customHeight="1" ht="14.25" hidden="1">
      <c r="A284" s="1304"/>
      <c r="B284" s="1436"/>
      <c r="C284" s="1304"/>
      <c r="D284" s="1304"/>
      <c r="E284" s="632">
        <v>15</v>
      </c>
      <c r="F284" s="50" cm="1" t="str">
        <f t="array" ref="F284:F284">OFFSET(E284,-1,1)</f>
        <v>2</v>
      </c>
      <c r="G284" s="1304"/>
      <c r="H284" s="98" t="s">
        <v>1300</v>
      </c>
      <c r="I284" s="1304"/>
      <c r="J284" s="1304"/>
      <c r="K284" s="1304"/>
      <c r="L284" s="1304"/>
      <c r="M284" s="1304"/>
      <c r="N284" s="1304"/>
      <c r="O284" s="1304"/>
      <c r="P284" s="1442"/>
      <c r="Q284" s="1442"/>
      <c r="R284" s="1442"/>
      <c r="S284" s="1442"/>
      <c r="T284" s="465" cm="1" t="str">
        <f t="array" ref="T284:T284">T283</f>
        <v>false</v>
      </c>
      <c r="U284" s="1442"/>
      <c r="V284" s="1304"/>
      <c r="W284" s="1442"/>
      <c r="X284" s="1563"/>
      <c r="Y284" s="1545"/>
      <c r="Z284" s="1304"/>
      <c r="AA284" s="1304"/>
      <c r="AB284" s="240" t="s">
        <v>1301</v>
      </c>
      <c r="AC284" s="192" t="s">
        <v>1450</v>
      </c>
      <c r="AD284" s="93" t="s">
        <v>1247</v>
      </c>
      <c r="AE284" s="2069"/>
      <c r="AF284" s="2069"/>
      <c r="AG284" s="2069"/>
      <c r="AH284" s="2069"/>
      <c r="AI284" s="2069"/>
      <c r="AJ284" s="2069"/>
      <c r="AK284" s="2069"/>
      <c r="AL284" s="2069"/>
      <c r="AM284" s="2069"/>
      <c r="AN284" s="2069"/>
      <c r="AO284" s="2069"/>
      <c r="AP284" s="2069"/>
      <c r="AQ284" s="2069"/>
      <c r="AR284" s="2069"/>
      <c r="AS284" s="2069"/>
      <c r="AT284" s="2069"/>
      <c r="AU284" s="2069"/>
      <c r="AV284" s="2069"/>
      <c r="AW284" s="2069"/>
      <c r="AX284" s="2069"/>
      <c r="AY284" s="2069"/>
      <c r="AZ284" s="2069"/>
      <c r="BA284" s="2069"/>
      <c r="BB284" s="2069"/>
      <c r="BC284" s="2070"/>
      <c r="BD284" s="1304"/>
      <c r="BE284" s="1304"/>
      <c r="BF284" s="1015" t="s">
        <v>1451</v>
      </c>
    </row>
    <row s="1834" customFormat="1" customHeight="1" ht="14.25" hidden="1">
      <c r="A285" s="1304"/>
      <c r="B285" s="1436"/>
      <c r="C285" s="1304"/>
      <c r="D285" s="1304"/>
      <c r="E285" s="632">
        <v>15</v>
      </c>
      <c r="F285" s="50" cm="1" t="str">
        <f t="array" ref="F285:F285">OFFSET(E285,-1,1)</f>
        <v>2</v>
      </c>
      <c r="G285" s="1304"/>
      <c r="H285" s="98" t="s">
        <v>1317</v>
      </c>
      <c r="I285" s="1304"/>
      <c r="J285" s="1304"/>
      <c r="K285" s="1304"/>
      <c r="L285" s="1304"/>
      <c r="M285" s="1304"/>
      <c r="N285" s="1304"/>
      <c r="O285" s="1304"/>
      <c r="P285" s="1442"/>
      <c r="Q285" s="1442"/>
      <c r="R285" s="1442"/>
      <c r="S285" s="1442"/>
      <c r="T285" s="465" cm="1" t="str">
        <f t="array" ref="T285:T285">T284</f>
        <v>false</v>
      </c>
      <c r="U285" s="1442"/>
      <c r="V285" s="1304"/>
      <c r="W285" s="1442"/>
      <c r="X285" s="1563"/>
      <c r="Y285" s="1545"/>
      <c r="Z285" s="1304"/>
      <c r="AA285" s="1304"/>
      <c r="AB285" s="240" t="s">
        <v>1318</v>
      </c>
      <c r="AC285" s="192" t="s">
        <v>1452</v>
      </c>
      <c r="AD285" s="93" t="s">
        <v>1247</v>
      </c>
      <c r="AE285" s="2069"/>
      <c r="AF285" s="2069"/>
      <c r="AG285" s="2069"/>
      <c r="AH285" s="2069"/>
      <c r="AI285" s="2069"/>
      <c r="AJ285" s="2069"/>
      <c r="AK285" s="2069"/>
      <c r="AL285" s="2069"/>
      <c r="AM285" s="2069"/>
      <c r="AN285" s="2069"/>
      <c r="AO285" s="2069"/>
      <c r="AP285" s="2069"/>
      <c r="AQ285" s="2069"/>
      <c r="AR285" s="2069"/>
      <c r="AS285" s="2069"/>
      <c r="AT285" s="2069"/>
      <c r="AU285" s="2069"/>
      <c r="AV285" s="2069"/>
      <c r="AW285" s="2069"/>
      <c r="AX285" s="2069"/>
      <c r="AY285" s="2069"/>
      <c r="AZ285" s="2069"/>
      <c r="BA285" s="2069"/>
      <c r="BB285" s="2069"/>
      <c r="BC285" s="2070"/>
      <c r="BD285" s="1304"/>
      <c r="BE285" s="1304"/>
      <c r="BF285" s="1015" t="s">
        <v>1453</v>
      </c>
    </row>
    <row s="1834" customFormat="1" customHeight="1" ht="21.75" hidden="1">
      <c r="A286" s="1304"/>
      <c r="B286" s="1436"/>
      <c r="C286" s="1304"/>
      <c r="D286" s="1304"/>
      <c r="E286" s="632">
        <v>22.5</v>
      </c>
      <c r="F286" s="50" cm="1" t="str">
        <f t="array" ref="F286:F286">OFFSET(E286,-1,1)</f>
        <v>2</v>
      </c>
      <c r="G286" s="1304"/>
      <c r="H286" s="98" t="s">
        <v>1454</v>
      </c>
      <c r="I286" s="1304"/>
      <c r="J286" s="1304"/>
      <c r="K286" s="1304"/>
      <c r="L286" s="1304"/>
      <c r="M286" s="1304"/>
      <c r="N286" s="1304"/>
      <c r="O286" s="1304"/>
      <c r="P286" s="1442"/>
      <c r="Q286" s="1442"/>
      <c r="R286" s="1442"/>
      <c r="S286" s="1442"/>
      <c r="T286" s="465" cm="1" t="str">
        <f t="array" ref="T286:T286">T285</f>
        <v>false</v>
      </c>
      <c r="U286" s="1442"/>
      <c r="V286" s="1304"/>
      <c r="W286" s="1442"/>
      <c r="X286" s="1563"/>
      <c r="Y286" s="1545"/>
      <c r="Z286" s="1304"/>
      <c r="AA286" s="1304"/>
      <c r="AB286" s="240" t="s">
        <v>455</v>
      </c>
      <c r="AC286" s="340" t="s">
        <v>1366</v>
      </c>
      <c r="AD286" s="93" t="s">
        <v>1247</v>
      </c>
      <c r="AE286" s="2069"/>
      <c r="AF286" s="2069"/>
      <c r="AG286" s="2069"/>
      <c r="AH286" s="2069"/>
      <c r="AI286" s="2069"/>
      <c r="AJ286" s="2069"/>
      <c r="AK286" s="2069"/>
      <c r="AL286" s="2069"/>
      <c r="AM286" s="2069"/>
      <c r="AN286" s="2069"/>
      <c r="AO286" s="2069"/>
      <c r="AP286" s="2069"/>
      <c r="AQ286" s="2069"/>
      <c r="AR286" s="2069"/>
      <c r="AS286" s="2069"/>
      <c r="AT286" s="2069"/>
      <c r="AU286" s="2069"/>
      <c r="AV286" s="2069"/>
      <c r="AW286" s="2069"/>
      <c r="AX286" s="2069"/>
      <c r="AY286" s="2069"/>
      <c r="AZ286" s="2069"/>
      <c r="BA286" s="2069"/>
      <c r="BB286" s="2069"/>
      <c r="BC286" s="2070"/>
      <c r="BD286" s="1304"/>
      <c r="BE286" s="1304"/>
      <c r="BF286" s="1015" t="s">
        <v>1455</v>
      </c>
    </row>
    <row s="1834" customFormat="1" customHeight="1" ht="14.25" hidden="1">
      <c r="A287" s="1304"/>
      <c r="B287" s="1436"/>
      <c r="C287" s="1304"/>
      <c r="D287" s="1304"/>
      <c r="E287" s="632">
        <v>15</v>
      </c>
      <c r="F287" s="50" cm="1" t="str">
        <f t="array" ref="F287:F287">OFFSET(E287,-1,1)</f>
        <v>2</v>
      </c>
      <c r="G287" s="1304"/>
      <c r="H287" s="98" t="s">
        <v>1456</v>
      </c>
      <c r="I287" s="1304"/>
      <c r="J287" s="1304"/>
      <c r="K287" s="1304"/>
      <c r="L287" s="1304"/>
      <c r="M287" s="1304"/>
      <c r="N287" s="1304"/>
      <c r="O287" s="1304"/>
      <c r="P287" s="1442"/>
      <c r="Q287" s="1442"/>
      <c r="R287" s="1442"/>
      <c r="S287" s="1442"/>
      <c r="T287" s="465" cm="1" t="str">
        <f t="array" ref="T287:T287">T286</f>
        <v>false</v>
      </c>
      <c r="U287" s="1442"/>
      <c r="V287" s="1304"/>
      <c r="W287" s="1442"/>
      <c r="X287" s="1563"/>
      <c r="Y287" s="1545"/>
      <c r="Z287" s="1304"/>
      <c r="AA287" s="1304"/>
      <c r="AB287" s="240" t="s">
        <v>458</v>
      </c>
      <c r="AC287" s="137" t="s">
        <v>1457</v>
      </c>
      <c r="AD287" s="93" t="s">
        <v>1247</v>
      </c>
      <c r="AE287" s="2069"/>
      <c r="AF287" s="2069"/>
      <c r="AG287" s="2069"/>
      <c r="AH287" s="2069"/>
      <c r="AI287" s="2069"/>
      <c r="AJ287" s="2069"/>
      <c r="AK287" s="2069"/>
      <c r="AL287" s="2069"/>
      <c r="AM287" s="2069"/>
      <c r="AN287" s="2069"/>
      <c r="AO287" s="2069"/>
      <c r="AP287" s="2069"/>
      <c r="AQ287" s="2069"/>
      <c r="AR287" s="2069"/>
      <c r="AS287" s="2069"/>
      <c r="AT287" s="2069"/>
      <c r="AU287" s="2069"/>
      <c r="AV287" s="2069"/>
      <c r="AW287" s="2069"/>
      <c r="AX287" s="2069"/>
      <c r="AY287" s="2069"/>
      <c r="AZ287" s="2069"/>
      <c r="BA287" s="2069"/>
      <c r="BB287" s="2069"/>
      <c r="BC287" s="2070"/>
      <c r="BD287" s="1304"/>
      <c r="BE287" s="1304"/>
      <c r="BF287" s="1015" t="s">
        <v>1458</v>
      </c>
    </row>
    <row s="1834" customFormat="1" customHeight="1" ht="11.25" hidden="1">
      <c r="A288" s="469"/>
      <c r="B288" s="658"/>
      <c r="C288" s="469"/>
      <c r="D288" s="469"/>
      <c r="E288" s="660" t="s">
        <v>373</v>
      </c>
      <c r="F288" s="1175" cm="1" t="str">
        <f t="array" ref="F288:F288">OFFSET(E288,-1,1)</f>
        <v>2</v>
      </c>
      <c r="G288" s="469"/>
      <c r="H288" s="469"/>
      <c r="I288" s="469"/>
      <c r="J288" s="469"/>
      <c r="K288" s="98"/>
      <c r="L288" s="469"/>
      <c r="M288" s="469"/>
      <c r="N288" s="469"/>
      <c r="O288" s="469"/>
      <c r="P288" s="469"/>
      <c r="Q288" s="469"/>
      <c r="R288" s="416"/>
      <c r="S288" s="416"/>
      <c r="T288" s="465" t="b">
        <v>0</v>
      </c>
      <c r="U288" s="469"/>
      <c r="V288" s="469"/>
      <c r="W288" s="469"/>
      <c r="X288" s="1563"/>
      <c r="Y288" s="1545"/>
      <c r="Z288" s="469"/>
      <c r="AA288" s="469"/>
      <c r="AB288" s="1834"/>
      <c r="AC288" s="100"/>
      <c r="AD288" s="100"/>
      <c r="AE288" s="344"/>
      <c r="AF288" s="344"/>
      <c r="AG288" s="344"/>
      <c r="AH288" s="344"/>
      <c r="AI288" s="344"/>
      <c r="AJ288" s="345"/>
      <c r="AK288" s="344"/>
      <c r="AL288" s="344"/>
      <c r="AM288" s="344"/>
      <c r="AN288" s="344"/>
      <c r="AO288" s="344"/>
      <c r="AP288" s="344"/>
      <c r="AQ288" s="344"/>
      <c r="AR288" s="344"/>
      <c r="AS288" s="344"/>
      <c r="AT288" s="344"/>
      <c r="AU288" s="344"/>
      <c r="AV288" s="344"/>
      <c r="AW288" s="344"/>
      <c r="AX288" s="344"/>
      <c r="AY288" s="344"/>
      <c r="AZ288" s="344"/>
      <c r="BA288" s="344"/>
      <c r="BB288" s="344"/>
      <c r="BC288" s="1834"/>
      <c r="BD288" s="1834"/>
      <c r="BE288" s="1834"/>
      <c r="BF288" s="1019"/>
    </row>
    <row s="1834" customFormat="1" customHeight="1" ht="14.25" hidden="1">
      <c r="A289" s="1304"/>
      <c r="B289" s="1436"/>
      <c r="C289" s="1304"/>
      <c r="D289" s="1304"/>
      <c r="E289" s="632">
        <v>15</v>
      </c>
      <c r="F289" s="50" cm="1" t="str">
        <f t="array" ref="F289:F289">OFFSET(E289,-1,1)</f>
        <v>2</v>
      </c>
      <c r="G289" s="1304"/>
      <c r="H289" s="1304"/>
      <c r="I289" s="1304"/>
      <c r="J289" s="1304"/>
      <c r="K289" s="1304"/>
      <c r="L289" s="1304"/>
      <c r="M289" s="1304"/>
      <c r="N289" s="1304"/>
      <c r="O289" s="1304"/>
      <c r="P289" s="1442"/>
      <c r="Q289" s="1442"/>
      <c r="R289" s="416" cm="1" t="str">
        <f t="array" ref="R289:R289">INDEX('Общие сведения'!$AN$179:$AN$250,MATCH($X209,'Общие сведения'!$Z$179:$Z$250,0))</f>
        <v>false</v>
      </c>
      <c r="S289" s="482">
        <f>IF(ISERROR(SEARCH("Водоотведение",AB209)),FALSE,TRUE)</f>
        <v>0</v>
      </c>
      <c r="T289" s="465">
        <f>AND(X209&gt;0,S289,R289)</f>
        <v>0</v>
      </c>
      <c r="U289" s="1442"/>
      <c r="V289" s="1304"/>
      <c r="W289" s="1442"/>
      <c r="X289" s="1563"/>
      <c r="Y289" s="1545"/>
      <c r="Z289" s="1304"/>
      <c r="AA289" s="1304"/>
      <c r="AB289" s="240" t="s">
        <v>276</v>
      </c>
      <c r="AC289" s="87" t="s">
        <v>1398</v>
      </c>
      <c r="AD289" s="197"/>
      <c r="AE289" s="570" cm="1" t="str">
        <f t="array" ref="AE289:AE289">INDEX('Общие сведения'!$AH$179:$AH$250,MATCH($X209,'Общие сведения'!$Z$179:$Z$250,0))</f>
        <v>питьевая вода</v>
      </c>
      <c r="AF289" s="362"/>
      <c r="AG289" s="362"/>
      <c r="AH289" s="362"/>
      <c r="AI289" s="362"/>
      <c r="AJ289" s="362"/>
      <c r="AK289" s="362"/>
      <c r="AL289" s="362"/>
      <c r="AM289" s="362"/>
      <c r="AN289" s="362"/>
      <c r="AO289" s="362"/>
      <c r="AP289" s="362"/>
      <c r="AQ289" s="362"/>
      <c r="AR289" s="362"/>
      <c r="AS289" s="362"/>
      <c r="AT289" s="362"/>
      <c r="AU289" s="362"/>
      <c r="AV289" s="362"/>
      <c r="AW289" s="362"/>
      <c r="AX289" s="362"/>
      <c r="AY289" s="362"/>
      <c r="AZ289" s="362"/>
      <c r="BA289" s="362"/>
      <c r="BB289" s="363"/>
      <c r="BC289" s="2070"/>
      <c r="BD289" s="1304"/>
      <c r="BE289" s="1304"/>
      <c r="BF289" s="1015" t="s">
        <v>1459</v>
      </c>
    </row>
    <row s="1834" customFormat="1" customHeight="1" ht="14.25" hidden="1">
      <c r="A290" s="1304"/>
      <c r="B290" s="1436"/>
      <c r="C290" s="1304"/>
      <c r="D290" s="1304"/>
      <c r="E290" s="632">
        <v>15</v>
      </c>
      <c r="F290" s="50" cm="1" t="str">
        <f t="array" ref="F290:F290">OFFSET(E290,-1,1)</f>
        <v>2</v>
      </c>
      <c r="G290" s="1304"/>
      <c r="H290" s="98" t="s">
        <v>336</v>
      </c>
      <c r="I290" s="1304"/>
      <c r="J290" s="1304"/>
      <c r="K290" s="1304"/>
      <c r="L290" s="1304"/>
      <c r="M290" s="1304"/>
      <c r="N290" s="1304"/>
      <c r="O290" s="1304"/>
      <c r="P290" s="1442"/>
      <c r="Q290" s="1442"/>
      <c r="R290" s="1442"/>
      <c r="S290" s="1442"/>
      <c r="T290" s="465" cm="1" t="str">
        <f t="array" ref="T290:T290">T289</f>
        <v>false</v>
      </c>
      <c r="U290" s="1442"/>
      <c r="V290" s="1304"/>
      <c r="W290" s="1442"/>
      <c r="X290" s="1563"/>
      <c r="Y290" s="1545"/>
      <c r="Z290" s="1304"/>
      <c r="AA290" s="1304"/>
      <c r="AB290" s="240" t="s">
        <v>285</v>
      </c>
      <c r="AC290" s="341" t="s">
        <v>1460</v>
      </c>
      <c r="AD290" s="93" t="s">
        <v>1247</v>
      </c>
      <c r="AE290" s="346">
        <f>AE291+AE293+AE292</f>
        <v>0</v>
      </c>
      <c r="AF290" s="346">
        <f>AF291+AF293+AF292</f>
        <v>0</v>
      </c>
      <c r="AG290" s="346">
        <f>AG291+AG293+AG292</f>
        <v>0</v>
      </c>
      <c r="AH290" s="346">
        <f>AH291+AH293+AH292</f>
        <v>0</v>
      </c>
      <c r="AI290" s="346">
        <f>AI291+AI293+AI292</f>
        <v>0</v>
      </c>
      <c r="AJ290" s="346">
        <f>AJ291+AJ293+AJ292</f>
        <v>0</v>
      </c>
      <c r="AK290" s="346">
        <f>AK291+AK293+AK292</f>
        <v>0</v>
      </c>
      <c r="AL290" s="346">
        <f>AL291+AL293+AL292</f>
        <v>0</v>
      </c>
      <c r="AM290" s="346">
        <f>AM291+AM293+AM292</f>
        <v>0</v>
      </c>
      <c r="AN290" s="346">
        <f>AN291+AN293+AN292</f>
        <v>0</v>
      </c>
      <c r="AO290" s="346">
        <f>AO291+AO293+AO292</f>
        <v>0</v>
      </c>
      <c r="AP290" s="346">
        <f>AP291+AP293+AP292</f>
        <v>0</v>
      </c>
      <c r="AQ290" s="346">
        <f>AQ291+AQ293+AQ292</f>
        <v>0</v>
      </c>
      <c r="AR290" s="346">
        <f>AR291+AR293+AR292</f>
        <v>0</v>
      </c>
      <c r="AS290" s="346">
        <f>AS291+AS293+AS292</f>
        <v>0</v>
      </c>
      <c r="AT290" s="346">
        <f>AT291+AT293+AT292</f>
        <v>0</v>
      </c>
      <c r="AU290" s="346">
        <f>AU291+AU293+AU292</f>
        <v>0</v>
      </c>
      <c r="AV290" s="346">
        <f>AV291+AV293+AV292</f>
        <v>0</v>
      </c>
      <c r="AW290" s="346">
        <f>AW291+AW293+AW292</f>
        <v>0</v>
      </c>
      <c r="AX290" s="346">
        <f>AX291+AX293+AX292</f>
        <v>0</v>
      </c>
      <c r="AY290" s="346">
        <f>AY291+AY293+AY292</f>
        <v>0</v>
      </c>
      <c r="AZ290" s="346">
        <f>AZ291+AZ293+AZ292</f>
        <v>0</v>
      </c>
      <c r="BA290" s="346">
        <f>BA291+BA293+BA292</f>
        <v>0</v>
      </c>
      <c r="BB290" s="346">
        <f>BB291+BB293+BB292</f>
        <v>0</v>
      </c>
      <c r="BC290" s="2070"/>
      <c r="BD290" s="1304"/>
      <c r="BE290" s="1304"/>
      <c r="BF290" s="1015" t="s">
        <v>1461</v>
      </c>
    </row>
    <row s="1834" customFormat="1" customHeight="1" ht="14.25" hidden="1">
      <c r="A291" s="1304"/>
      <c r="B291" s="1436"/>
      <c r="C291" s="1304"/>
      <c r="D291" s="1304"/>
      <c r="E291" s="632">
        <v>15</v>
      </c>
      <c r="F291" s="50" cm="1" t="str">
        <f t="array" ref="F291:F291">OFFSET(E291,-1,1)</f>
        <v>2</v>
      </c>
      <c r="G291" s="1304"/>
      <c r="H291" s="98" t="s">
        <v>1249</v>
      </c>
      <c r="I291" s="1304"/>
      <c r="J291" s="1304"/>
      <c r="K291" s="1304"/>
      <c r="L291" s="1304"/>
      <c r="M291" s="1304"/>
      <c r="N291" s="1304"/>
      <c r="O291" s="1304"/>
      <c r="P291" s="1442"/>
      <c r="Q291" s="1442"/>
      <c r="R291" s="1442"/>
      <c r="S291" s="1442"/>
      <c r="T291" s="465" cm="1" t="str">
        <f t="array" ref="T291:T291">T290</f>
        <v>false</v>
      </c>
      <c r="U291" s="1442"/>
      <c r="V291" s="1304"/>
      <c r="W291" s="1442"/>
      <c r="X291" s="1563"/>
      <c r="Y291" s="1545"/>
      <c r="Z291" s="1304"/>
      <c r="AA291" s="1304"/>
      <c r="AB291" s="240" t="s">
        <v>1250</v>
      </c>
      <c r="AC291" s="214" t="s">
        <v>1462</v>
      </c>
      <c r="AD291" s="93" t="s">
        <v>1247</v>
      </c>
      <c r="AE291" s="2113"/>
      <c r="AF291" s="2113"/>
      <c r="AG291" s="2113"/>
      <c r="AH291" s="2113"/>
      <c r="AI291" s="2113"/>
      <c r="AJ291" s="2113"/>
      <c r="AK291" s="2113"/>
      <c r="AL291" s="2113"/>
      <c r="AM291" s="2113"/>
      <c r="AN291" s="2113"/>
      <c r="AO291" s="2113"/>
      <c r="AP291" s="2113"/>
      <c r="AQ291" s="2113"/>
      <c r="AR291" s="2113"/>
      <c r="AS291" s="2113"/>
      <c r="AT291" s="2113"/>
      <c r="AU291" s="2113"/>
      <c r="AV291" s="2113"/>
      <c r="AW291" s="2113"/>
      <c r="AX291" s="2113"/>
      <c r="AY291" s="2113"/>
      <c r="AZ291" s="2113"/>
      <c r="BA291" s="2113"/>
      <c r="BB291" s="2113"/>
      <c r="BC291" s="2070"/>
      <c r="BD291" s="1304"/>
      <c r="BE291" s="1304"/>
      <c r="BF291" s="1015" t="s">
        <v>1463</v>
      </c>
    </row>
    <row s="1834" customFormat="1" customHeight="1" ht="14.25" hidden="1">
      <c r="A292" s="1304"/>
      <c r="B292" s="1436"/>
      <c r="C292" s="1304"/>
      <c r="D292" s="1304"/>
      <c r="E292" s="632">
        <v>15</v>
      </c>
      <c r="F292" s="50" cm="1" t="str">
        <f t="array" ref="F292:F292">OFFSET(E292,-1,1)</f>
        <v>2</v>
      </c>
      <c r="G292" s="1304"/>
      <c r="H292" s="98" t="s">
        <v>1253</v>
      </c>
      <c r="I292" s="1304"/>
      <c r="J292" s="1304"/>
      <c r="K292" s="1304"/>
      <c r="L292" s="1304"/>
      <c r="M292" s="1304"/>
      <c r="N292" s="1304"/>
      <c r="O292" s="1304"/>
      <c r="P292" s="1442"/>
      <c r="Q292" s="1442"/>
      <c r="R292" s="1442"/>
      <c r="S292" s="1442"/>
      <c r="T292" s="465" cm="1" t="str">
        <f t="array" ref="T292:T292">T291</f>
        <v>false</v>
      </c>
      <c r="U292" s="1442"/>
      <c r="V292" s="1304"/>
      <c r="W292" s="1442"/>
      <c r="X292" s="1563"/>
      <c r="Y292" s="1545"/>
      <c r="Z292" s="1304"/>
      <c r="AA292" s="1304"/>
      <c r="AB292" s="240" t="s">
        <v>1254</v>
      </c>
      <c r="AC292" s="214" t="s">
        <v>1464</v>
      </c>
      <c r="AD292" s="93" t="s">
        <v>1247</v>
      </c>
      <c r="AE292" s="2113"/>
      <c r="AF292" s="2113"/>
      <c r="AG292" s="2113"/>
      <c r="AH292" s="2113"/>
      <c r="AI292" s="2113"/>
      <c r="AJ292" s="2113"/>
      <c r="AK292" s="2113"/>
      <c r="AL292" s="2113"/>
      <c r="AM292" s="2113"/>
      <c r="AN292" s="2113"/>
      <c r="AO292" s="2113"/>
      <c r="AP292" s="2113"/>
      <c r="AQ292" s="2113"/>
      <c r="AR292" s="2113"/>
      <c r="AS292" s="2113"/>
      <c r="AT292" s="2113"/>
      <c r="AU292" s="2113"/>
      <c r="AV292" s="2113"/>
      <c r="AW292" s="2113"/>
      <c r="AX292" s="2113"/>
      <c r="AY292" s="2113"/>
      <c r="AZ292" s="2113"/>
      <c r="BA292" s="2113"/>
      <c r="BB292" s="2113"/>
      <c r="BC292" s="2070"/>
      <c r="BD292" s="1304"/>
      <c r="BE292" s="1304"/>
      <c r="BF292" s="1015" t="s">
        <v>1465</v>
      </c>
    </row>
    <row s="1834" customFormat="1" customHeight="1" ht="21.75" hidden="1">
      <c r="A293" s="1304"/>
      <c r="B293" s="1436"/>
      <c r="C293" s="1304"/>
      <c r="D293" s="1304"/>
      <c r="E293" s="632">
        <v>22.5</v>
      </c>
      <c r="F293" s="50" cm="1" t="str">
        <f t="array" ref="F293:F293">OFFSET(E293,-1,1)</f>
        <v>2</v>
      </c>
      <c r="G293" s="1304"/>
      <c r="H293" s="98" t="s">
        <v>1257</v>
      </c>
      <c r="I293" s="1304"/>
      <c r="J293" s="1304"/>
      <c r="K293" s="1304"/>
      <c r="L293" s="1304"/>
      <c r="M293" s="1304"/>
      <c r="N293" s="1304"/>
      <c r="O293" s="1304"/>
      <c r="P293" s="1442"/>
      <c r="Q293" s="1442"/>
      <c r="R293" s="1442"/>
      <c r="S293" s="1442"/>
      <c r="T293" s="465" cm="1" t="str">
        <f t="array" ref="T293:T293">T292</f>
        <v>false</v>
      </c>
      <c r="U293" s="1442"/>
      <c r="V293" s="1304"/>
      <c r="W293" s="1442"/>
      <c r="X293" s="1563"/>
      <c r="Y293" s="1545"/>
      <c r="Z293" s="1304"/>
      <c r="AA293" s="1304"/>
      <c r="AB293" s="240" t="s">
        <v>1258</v>
      </c>
      <c r="AC293" s="214" t="s">
        <v>1366</v>
      </c>
      <c r="AD293" s="93" t="s">
        <v>1247</v>
      </c>
      <c r="AE293" s="2113"/>
      <c r="AF293" s="2113"/>
      <c r="AG293" s="2113"/>
      <c r="AH293" s="2113"/>
      <c r="AI293" s="2113"/>
      <c r="AJ293" s="2113"/>
      <c r="AK293" s="2113"/>
      <c r="AL293" s="2113"/>
      <c r="AM293" s="2113"/>
      <c r="AN293" s="2113"/>
      <c r="AO293" s="2113"/>
      <c r="AP293" s="2113"/>
      <c r="AQ293" s="2113"/>
      <c r="AR293" s="2113"/>
      <c r="AS293" s="2113"/>
      <c r="AT293" s="2113"/>
      <c r="AU293" s="2113"/>
      <c r="AV293" s="2113"/>
      <c r="AW293" s="2113"/>
      <c r="AX293" s="2113"/>
      <c r="AY293" s="2113"/>
      <c r="AZ293" s="2113"/>
      <c r="BA293" s="2113"/>
      <c r="BB293" s="2113"/>
      <c r="BC293" s="2070"/>
      <c r="BD293" s="1304"/>
      <c r="BE293" s="1304"/>
      <c r="BF293" s="1015" t="s">
        <v>1466</v>
      </c>
    </row>
    <row s="1834" customFormat="1" customHeight="1" ht="21.75" hidden="1">
      <c r="A294" s="1304"/>
      <c r="B294" s="1436"/>
      <c r="C294" s="1304"/>
      <c r="D294" s="1304"/>
      <c r="E294" s="632">
        <v>22.5</v>
      </c>
      <c r="F294" s="50" cm="1" t="str">
        <f t="array" ref="F294:F294">OFFSET(E294,-1,1)</f>
        <v>2</v>
      </c>
      <c r="G294" s="98" t="s">
        <v>1316</v>
      </c>
      <c r="H294" s="98" t="s">
        <v>335</v>
      </c>
      <c r="I294" s="1304"/>
      <c r="J294" s="1304"/>
      <c r="K294" s="1304"/>
      <c r="L294" s="1304"/>
      <c r="M294" s="1304"/>
      <c r="N294" s="1304"/>
      <c r="O294" s="1304"/>
      <c r="P294" s="1442"/>
      <c r="Q294" s="1442"/>
      <c r="R294" s="1442"/>
      <c r="S294" s="1442"/>
      <c r="T294" s="465" cm="1" t="str">
        <f t="array" ref="T294:T294">T293</f>
        <v>false</v>
      </c>
      <c r="U294" s="1442"/>
      <c r="V294" s="1304"/>
      <c r="W294" s="1442"/>
      <c r="X294" s="1563"/>
      <c r="Y294" s="1545"/>
      <c r="Z294" s="1304"/>
      <c r="AA294" s="1304"/>
      <c r="AB294" s="240" t="s">
        <v>289</v>
      </c>
      <c r="AC294" s="341" t="s">
        <v>1467</v>
      </c>
      <c r="AD294" s="93" t="s">
        <v>1247</v>
      </c>
      <c r="AE294" s="346">
        <f>AE295+AE296+AE299</f>
        <v>0</v>
      </c>
      <c r="AF294" s="346">
        <f>AF295+AF296+AF299</f>
        <v>0</v>
      </c>
      <c r="AG294" s="346">
        <f>AG295+AG296+AG299</f>
        <v>0</v>
      </c>
      <c r="AH294" s="346">
        <f>AH295+AH296+AH299</f>
        <v>0</v>
      </c>
      <c r="AI294" s="346">
        <f>AI295+AI296+AI299</f>
        <v>0</v>
      </c>
      <c r="AJ294" s="346">
        <f>AJ295+AJ296+AJ299</f>
        <v>0</v>
      </c>
      <c r="AK294" s="346">
        <f>AK295+AK296+AK299</f>
        <v>0</v>
      </c>
      <c r="AL294" s="346">
        <f>AL295+AL296+AL299</f>
        <v>0</v>
      </c>
      <c r="AM294" s="346">
        <f>AM295+AM296+AM299</f>
        <v>0</v>
      </c>
      <c r="AN294" s="346">
        <f>AN295+AN296+AN299</f>
        <v>0</v>
      </c>
      <c r="AO294" s="346">
        <f>AO295+AO296+AO299</f>
        <v>0</v>
      </c>
      <c r="AP294" s="346">
        <f>AP295+AP296+AP299</f>
        <v>0</v>
      </c>
      <c r="AQ294" s="346">
        <f>AQ295+AQ296+AQ299</f>
        <v>0</v>
      </c>
      <c r="AR294" s="346">
        <f>AR295+AR296+AR299</f>
        <v>0</v>
      </c>
      <c r="AS294" s="346">
        <f>AS295+AS296+AS299</f>
        <v>0</v>
      </c>
      <c r="AT294" s="346">
        <f>AT295+AT296+AT299</f>
        <v>0</v>
      </c>
      <c r="AU294" s="346">
        <f>AU295+AU296+AU299</f>
        <v>0</v>
      </c>
      <c r="AV294" s="346">
        <f>AV295+AV296+AV299</f>
        <v>0</v>
      </c>
      <c r="AW294" s="346">
        <f>AW295+AW296+AW299</f>
        <v>0</v>
      </c>
      <c r="AX294" s="346">
        <f>AX295+AX296+AX299</f>
        <v>0</v>
      </c>
      <c r="AY294" s="346">
        <f>AY295+AY296+AY299</f>
        <v>0</v>
      </c>
      <c r="AZ294" s="346">
        <f>AZ295+AZ296+AZ299</f>
        <v>0</v>
      </c>
      <c r="BA294" s="346">
        <f>BA295+BA296+BA299</f>
        <v>0</v>
      </c>
      <c r="BB294" s="346">
        <f>BB295+BB296+BB299</f>
        <v>0</v>
      </c>
      <c r="BC294" s="2070"/>
      <c r="BD294" s="1304"/>
      <c r="BE294" s="1304"/>
      <c r="BF294" s="1015" t="s">
        <v>1468</v>
      </c>
    </row>
    <row s="1834" customFormat="1" customHeight="1" ht="14.25" hidden="1">
      <c r="A295" s="1304"/>
      <c r="B295" s="1436"/>
      <c r="C295" s="1304"/>
      <c r="D295" s="1304"/>
      <c r="E295" s="632">
        <v>15</v>
      </c>
      <c r="F295" s="50" cm="1" t="str">
        <f t="array" ref="F295:F295">OFFSET(E295,-1,1)</f>
        <v>2</v>
      </c>
      <c r="G295" s="1304"/>
      <c r="H295" s="98" t="s">
        <v>1263</v>
      </c>
      <c r="I295" s="1304"/>
      <c r="J295" s="1304"/>
      <c r="K295" s="1304"/>
      <c r="L295" s="1304"/>
      <c r="M295" s="1304"/>
      <c r="N295" s="1304"/>
      <c r="O295" s="1304"/>
      <c r="P295" s="1442"/>
      <c r="Q295" s="1442"/>
      <c r="R295" s="1442"/>
      <c r="S295" s="1442"/>
      <c r="T295" s="465" cm="1" t="str">
        <f t="array" ref="T295:T295">T294</f>
        <v>false</v>
      </c>
      <c r="U295" s="1442"/>
      <c r="V295" s="1304"/>
      <c r="W295" s="1442"/>
      <c r="X295" s="1563"/>
      <c r="Y295" s="1545"/>
      <c r="Z295" s="1304"/>
      <c r="AA295" s="1304"/>
      <c r="AB295" s="240" t="s">
        <v>1264</v>
      </c>
      <c r="AC295" s="214" t="s">
        <v>1469</v>
      </c>
      <c r="AD295" s="93" t="s">
        <v>1247</v>
      </c>
      <c r="AE295" s="2113"/>
      <c r="AF295" s="2113"/>
      <c r="AG295" s="2113"/>
      <c r="AH295" s="2113"/>
      <c r="AI295" s="2113"/>
      <c r="AJ295" s="2113"/>
      <c r="AK295" s="2113"/>
      <c r="AL295" s="2113"/>
      <c r="AM295" s="2113"/>
      <c r="AN295" s="2113"/>
      <c r="AO295" s="2113"/>
      <c r="AP295" s="2113"/>
      <c r="AQ295" s="2113"/>
      <c r="AR295" s="2113"/>
      <c r="AS295" s="2113"/>
      <c r="AT295" s="2113"/>
      <c r="AU295" s="2113"/>
      <c r="AV295" s="2113"/>
      <c r="AW295" s="2113"/>
      <c r="AX295" s="2113"/>
      <c r="AY295" s="2113"/>
      <c r="AZ295" s="2113"/>
      <c r="BA295" s="2113"/>
      <c r="BB295" s="2113"/>
      <c r="BC295" s="2070"/>
      <c r="BD295" s="1304"/>
      <c r="BE295" s="1304"/>
      <c r="BF295" s="1015" t="s">
        <v>1470</v>
      </c>
    </row>
    <row s="1834" customFormat="1" customHeight="1" ht="14.25" hidden="1">
      <c r="A296" s="1304"/>
      <c r="B296" s="1436"/>
      <c r="C296" s="1304"/>
      <c r="D296" s="1304"/>
      <c r="E296" s="632">
        <v>15</v>
      </c>
      <c r="F296" s="50" cm="1" t="str">
        <f t="array" ref="F296:F296">OFFSET(E296,-1,1)</f>
        <v>2</v>
      </c>
      <c r="G296" s="1304"/>
      <c r="H296" s="98" t="s">
        <v>1267</v>
      </c>
      <c r="I296" s="1304"/>
      <c r="J296" s="1304"/>
      <c r="K296" s="1304"/>
      <c r="L296" s="1304"/>
      <c r="M296" s="1304"/>
      <c r="N296" s="1304"/>
      <c r="O296" s="1304"/>
      <c r="P296" s="1442"/>
      <c r="Q296" s="1442"/>
      <c r="R296" s="1442"/>
      <c r="S296" s="1442"/>
      <c r="T296" s="465" cm="1" t="str">
        <f t="array" ref="T296:T296">T295</f>
        <v>false</v>
      </c>
      <c r="U296" s="1442"/>
      <c r="V296" s="1304"/>
      <c r="W296" s="1442"/>
      <c r="X296" s="1563"/>
      <c r="Y296" s="1545"/>
      <c r="Z296" s="1304"/>
      <c r="AA296" s="1304"/>
      <c r="AB296" s="240" t="s">
        <v>1268</v>
      </c>
      <c r="AC296" s="342" t="s">
        <v>1471</v>
      </c>
      <c r="AD296" s="93" t="s">
        <v>1247</v>
      </c>
      <c r="AE296" s="346">
        <f>AE297+AE298</f>
        <v>0</v>
      </c>
      <c r="AF296" s="346">
        <f>AF297+AF298</f>
        <v>0</v>
      </c>
      <c r="AG296" s="346">
        <f>AG297+AG298</f>
        <v>0</v>
      </c>
      <c r="AH296" s="346">
        <f>AH297+AH298</f>
        <v>0</v>
      </c>
      <c r="AI296" s="346">
        <f>AI297+AI298</f>
        <v>0</v>
      </c>
      <c r="AJ296" s="346">
        <f>AJ297+AJ298</f>
        <v>0</v>
      </c>
      <c r="AK296" s="346">
        <f>AK297+AK298</f>
        <v>0</v>
      </c>
      <c r="AL296" s="346">
        <f>AL297+AL298</f>
        <v>0</v>
      </c>
      <c r="AM296" s="346">
        <f>AM297+AM298</f>
        <v>0</v>
      </c>
      <c r="AN296" s="346">
        <f>AN297+AN298</f>
        <v>0</v>
      </c>
      <c r="AO296" s="346">
        <f>AO297+AO298</f>
        <v>0</v>
      </c>
      <c r="AP296" s="346">
        <f>AP297+AP298</f>
        <v>0</v>
      </c>
      <c r="AQ296" s="346">
        <f>AQ297+AQ298</f>
        <v>0</v>
      </c>
      <c r="AR296" s="346">
        <f>AR297+AR298</f>
        <v>0</v>
      </c>
      <c r="AS296" s="346">
        <f>AS297+AS298</f>
        <v>0</v>
      </c>
      <c r="AT296" s="346">
        <f>AT297+AT298</f>
        <v>0</v>
      </c>
      <c r="AU296" s="346">
        <f>AU297+AU298</f>
        <v>0</v>
      </c>
      <c r="AV296" s="346">
        <f>AV297+AV298</f>
        <v>0</v>
      </c>
      <c r="AW296" s="346">
        <f>AW297+AW298</f>
        <v>0</v>
      </c>
      <c r="AX296" s="346">
        <f>AX297+AX298</f>
        <v>0</v>
      </c>
      <c r="AY296" s="346">
        <f>AY297+AY298</f>
        <v>0</v>
      </c>
      <c r="AZ296" s="346">
        <f>AZ297+AZ298</f>
        <v>0</v>
      </c>
      <c r="BA296" s="346">
        <f>BA297+BA298</f>
        <v>0</v>
      </c>
      <c r="BB296" s="346">
        <f>BB297+BB298</f>
        <v>0</v>
      </c>
      <c r="BC296" s="2070"/>
      <c r="BD296" s="1304"/>
      <c r="BE296" s="1304"/>
      <c r="BF296" s="1015" t="s">
        <v>1472</v>
      </c>
    </row>
    <row s="1834" customFormat="1" customHeight="1" ht="14.25" hidden="1">
      <c r="A297" s="1304"/>
      <c r="B297" s="1436"/>
      <c r="C297" s="1304"/>
      <c r="D297" s="1304"/>
      <c r="E297" s="632">
        <v>15</v>
      </c>
      <c r="F297" s="50" cm="1" t="str">
        <f t="array" ref="F297:F297">OFFSET(E297,-1,1)</f>
        <v>2</v>
      </c>
      <c r="G297" s="1304"/>
      <c r="H297" s="98" t="s">
        <v>1473</v>
      </c>
      <c r="I297" s="1304"/>
      <c r="J297" s="1304"/>
      <c r="K297" s="1304"/>
      <c r="L297" s="1304"/>
      <c r="M297" s="1304"/>
      <c r="N297" s="1304"/>
      <c r="O297" s="1304"/>
      <c r="P297" s="1442"/>
      <c r="Q297" s="1442"/>
      <c r="R297" s="1442"/>
      <c r="S297" s="1442"/>
      <c r="T297" s="465" cm="1" t="str">
        <f t="array" ref="T297:T297">T296</f>
        <v>false</v>
      </c>
      <c r="U297" s="1442"/>
      <c r="V297" s="1304"/>
      <c r="W297" s="1442"/>
      <c r="X297" s="1563"/>
      <c r="Y297" s="1545"/>
      <c r="Z297" s="1304"/>
      <c r="AA297" s="1304"/>
      <c r="AB297" s="240" t="s">
        <v>1474</v>
      </c>
      <c r="AC297" s="343" t="s">
        <v>1323</v>
      </c>
      <c r="AD297" s="93" t="s">
        <v>1247</v>
      </c>
      <c r="AE297" s="2113"/>
      <c r="AF297" s="2113"/>
      <c r="AG297" s="2113"/>
      <c r="AH297" s="2113"/>
      <c r="AI297" s="2113"/>
      <c r="AJ297" s="2113"/>
      <c r="AK297" s="2113"/>
      <c r="AL297" s="2113"/>
      <c r="AM297" s="2113"/>
      <c r="AN297" s="2113"/>
      <c r="AO297" s="2113"/>
      <c r="AP297" s="2113"/>
      <c r="AQ297" s="2113"/>
      <c r="AR297" s="2113"/>
      <c r="AS297" s="2113"/>
      <c r="AT297" s="2113"/>
      <c r="AU297" s="2113"/>
      <c r="AV297" s="2113"/>
      <c r="AW297" s="2113"/>
      <c r="AX297" s="2113"/>
      <c r="AY297" s="2113"/>
      <c r="AZ297" s="2113"/>
      <c r="BA297" s="2113"/>
      <c r="BB297" s="2113"/>
      <c r="BC297" s="2070"/>
      <c r="BD297" s="1304"/>
      <c r="BE297" s="1304"/>
      <c r="BF297" s="1015" t="s">
        <v>1475</v>
      </c>
    </row>
    <row s="1834" customFormat="1" customHeight="1" ht="14.25" hidden="1">
      <c r="A298" s="1304"/>
      <c r="B298" s="1436"/>
      <c r="C298" s="1304"/>
      <c r="D298" s="1304"/>
      <c r="E298" s="632">
        <v>15</v>
      </c>
      <c r="F298" s="50" cm="1" t="str">
        <f t="array" ref="F298:F298">OFFSET(E298,-1,1)</f>
        <v>2</v>
      </c>
      <c r="G298" s="1304"/>
      <c r="H298" s="98" t="s">
        <v>1476</v>
      </c>
      <c r="I298" s="1304"/>
      <c r="J298" s="1304"/>
      <c r="K298" s="1304"/>
      <c r="L298" s="1304"/>
      <c r="M298" s="1304"/>
      <c r="N298" s="1304"/>
      <c r="O298" s="1304"/>
      <c r="P298" s="1442"/>
      <c r="Q298" s="1442"/>
      <c r="R298" s="1442"/>
      <c r="S298" s="1442"/>
      <c r="T298" s="465" cm="1" t="str">
        <f t="array" ref="T298:T298">T297</f>
        <v>false</v>
      </c>
      <c r="U298" s="1442"/>
      <c r="V298" s="1304"/>
      <c r="W298" s="1442"/>
      <c r="X298" s="1563"/>
      <c r="Y298" s="1545"/>
      <c r="Z298" s="1304"/>
      <c r="AA298" s="1304"/>
      <c r="AB298" s="240" t="s">
        <v>1477</v>
      </c>
      <c r="AC298" s="343" t="s">
        <v>1327</v>
      </c>
      <c r="AD298" s="93" t="s">
        <v>1247</v>
      </c>
      <c r="AE298" s="2113"/>
      <c r="AF298" s="2113"/>
      <c r="AG298" s="2113"/>
      <c r="AH298" s="2113"/>
      <c r="AI298" s="2113"/>
      <c r="AJ298" s="2113"/>
      <c r="AK298" s="2113"/>
      <c r="AL298" s="2113"/>
      <c r="AM298" s="2113"/>
      <c r="AN298" s="2113"/>
      <c r="AO298" s="2113"/>
      <c r="AP298" s="2113"/>
      <c r="AQ298" s="2113"/>
      <c r="AR298" s="2113"/>
      <c r="AS298" s="2113"/>
      <c r="AT298" s="2113"/>
      <c r="AU298" s="2113"/>
      <c r="AV298" s="2113"/>
      <c r="AW298" s="2113"/>
      <c r="AX298" s="2113"/>
      <c r="AY298" s="2113"/>
      <c r="AZ298" s="2113"/>
      <c r="BA298" s="2113"/>
      <c r="BB298" s="2113"/>
      <c r="BC298" s="2070"/>
      <c r="BD298" s="1304"/>
      <c r="BE298" s="1304"/>
      <c r="BF298" s="1015" t="s">
        <v>1478</v>
      </c>
    </row>
    <row s="1834" customFormat="1" customHeight="1" ht="21.75" hidden="1">
      <c r="A299" s="1304"/>
      <c r="B299" s="1436"/>
      <c r="C299" s="1304"/>
      <c r="D299" s="1304"/>
      <c r="E299" s="632">
        <v>22.5</v>
      </c>
      <c r="F299" s="50" cm="1" t="str">
        <f t="array" ref="F299:F299">OFFSET(E299,-1,1)</f>
        <v>2</v>
      </c>
      <c r="G299" s="1304"/>
      <c r="H299" s="98" t="s">
        <v>1479</v>
      </c>
      <c r="I299" s="1304"/>
      <c r="J299" s="1304"/>
      <c r="K299" s="1304"/>
      <c r="L299" s="1304"/>
      <c r="M299" s="1304"/>
      <c r="N299" s="1304"/>
      <c r="O299" s="1304"/>
      <c r="P299" s="1442"/>
      <c r="Q299" s="1442"/>
      <c r="R299" s="1442"/>
      <c r="S299" s="1442"/>
      <c r="T299" s="465" cm="1" t="str">
        <f t="array" ref="T299:T299">T298</f>
        <v>false</v>
      </c>
      <c r="U299" s="1442"/>
      <c r="V299" s="1304"/>
      <c r="W299" s="1442"/>
      <c r="X299" s="1563"/>
      <c r="Y299" s="1545"/>
      <c r="Z299" s="1304"/>
      <c r="AA299" s="1304"/>
      <c r="AB299" s="240" t="s">
        <v>1480</v>
      </c>
      <c r="AC299" s="337" t="s">
        <v>1288</v>
      </c>
      <c r="AD299" s="93" t="s">
        <v>1247</v>
      </c>
      <c r="AE299" s="2069"/>
      <c r="AF299" s="2069"/>
      <c r="AG299" s="2069"/>
      <c r="AH299" s="2069"/>
      <c r="AI299" s="2069"/>
      <c r="AJ299" s="2069"/>
      <c r="AK299" s="2069"/>
      <c r="AL299" s="2069"/>
      <c r="AM299" s="2069"/>
      <c r="AN299" s="2069"/>
      <c r="AO299" s="2069"/>
      <c r="AP299" s="2069"/>
      <c r="AQ299" s="2069"/>
      <c r="AR299" s="2069"/>
      <c r="AS299" s="2069"/>
      <c r="AT299" s="2069"/>
      <c r="AU299" s="2069"/>
      <c r="AV299" s="2069"/>
      <c r="AW299" s="2069"/>
      <c r="AX299" s="2069"/>
      <c r="AY299" s="2069"/>
      <c r="AZ299" s="2069"/>
      <c r="BA299" s="2069"/>
      <c r="BB299" s="2069"/>
      <c r="BC299" s="2070"/>
      <c r="BD299" s="1304"/>
      <c r="BE299" s="1304"/>
      <c r="BF299" s="1015" t="s">
        <v>1481</v>
      </c>
    </row>
    <row s="1834" customFormat="1" customHeight="1" ht="14.25">
      <c r="A300" s="1304"/>
      <c r="B300" s="1436"/>
      <c r="C300" s="1304"/>
      <c r="D300" s="1304"/>
      <c r="E300" s="632">
        <v>15</v>
      </c>
      <c r="F300" s="349" cm="1" t="str">
        <f t="array" ref="F300:F300">X300</f>
        <v>3</v>
      </c>
      <c r="G300" s="1304"/>
      <c r="H300" s="1304"/>
      <c r="I300" s="1304"/>
      <c r="J300" s="1304"/>
      <c r="K300" s="1304"/>
      <c r="L300" s="1304"/>
      <c r="M300" s="1304"/>
      <c r="N300" s="1304"/>
      <c r="O300" s="1304"/>
      <c r="P300" s="1442"/>
      <c r="Q300" s="1442"/>
      <c r="R300" s="1442"/>
      <c r="S300" s="1442"/>
      <c r="T300" s="465">
        <f>X300&gt;0</f>
        <v>1</v>
      </c>
      <c r="U300" s="1442"/>
      <c r="V300" s="98" cm="1" t="str">
        <f t="array" ref="V300:V300">ИИКА!$AB$42</f>
        <v>Тариф 3 (Водоотведение) - тариф на водоотведение (Доп. признак не требуется)</v>
      </c>
      <c r="W300" s="1442"/>
      <c r="X300" s="1563" t="s">
        <v>289</v>
      </c>
      <c r="Y300" s="1545"/>
      <c r="Z300" s="1304"/>
      <c r="AA300" s="1304"/>
      <c r="AB300" s="180" cm="1" t="str">
        <f t="array" ref="AB300:AB300">ИИКА!$AB$42</f>
        <v>Тариф 3 (Водоотведение) - тариф на водоотведение (Доп. признак не требуется)</v>
      </c>
      <c r="AC300" s="180"/>
      <c r="AD300" s="180"/>
      <c r="AE300" s="180"/>
      <c r="AF300" s="180"/>
      <c r="AG300" s="180"/>
      <c r="AH300" s="180"/>
      <c r="AI300" s="180"/>
      <c r="AJ300" s="180"/>
      <c r="AK300" s="180"/>
      <c r="AL300" s="180"/>
      <c r="AM300" s="180"/>
      <c r="AN300" s="180"/>
      <c r="AO300" s="180"/>
      <c r="AP300" s="180"/>
      <c r="AQ300" s="180"/>
      <c r="AR300" s="180"/>
      <c r="AS300" s="180"/>
      <c r="AT300" s="180"/>
      <c r="AU300" s="180"/>
      <c r="AV300" s="180"/>
      <c r="AW300" s="180"/>
      <c r="AX300" s="180"/>
      <c r="AY300" s="180"/>
      <c r="AZ300" s="180"/>
      <c r="BA300" s="180"/>
      <c r="BB300" s="180"/>
      <c r="BC300" s="180"/>
      <c r="BD300" s="1304"/>
      <c r="BE300" s="1304"/>
      <c r="BF300" s="1306"/>
    </row>
    <row s="1834" customFormat="1" customHeight="1" ht="14.25" hidden="1">
      <c r="A301" s="1304"/>
      <c r="B301" s="1436"/>
      <c r="C301" s="1304"/>
      <c r="D301" s="1304"/>
      <c r="E301" s="632">
        <v>15</v>
      </c>
      <c r="F301" s="50" cm="1" t="str">
        <f t="array" ref="F301:F301">OFFSET(E301,-1,1)</f>
        <v>3</v>
      </c>
      <c r="G301" s="1304"/>
      <c r="H301" s="1304"/>
      <c r="I301" s="1304"/>
      <c r="J301" s="1304"/>
      <c r="K301" s="1304"/>
      <c r="L301" s="1304"/>
      <c r="M301" s="1304"/>
      <c r="N301" s="1304"/>
      <c r="O301" s="1304"/>
      <c r="P301" s="1442"/>
      <c r="Q301" s="1442"/>
      <c r="R301" s="416" cm="1" t="str">
        <f t="array" ref="R301:R301">INDEX('Общие сведения'!$AN$179:$AN$250,MATCH($X300,'Общие сведения'!$Z$179:$Z$250,0))</f>
        <v>false</v>
      </c>
      <c r="S301" s="416">
        <f>IF(ISERROR(SEARCH("Водоснабжение",AB300)),FALSE,TRUE)</f>
        <v>0</v>
      </c>
      <c r="T301" s="465">
        <f>AND(X300&gt;0,S301,NOT(R301))</f>
        <v>0</v>
      </c>
      <c r="U301" s="1442"/>
      <c r="V301" s="1304"/>
      <c r="W301" s="1442"/>
      <c r="X301" s="1563"/>
      <c r="Y301" s="1545"/>
      <c r="Z301" s="1304"/>
      <c r="AA301" s="1304"/>
      <c r="AB301" s="240" t="s">
        <v>276</v>
      </c>
      <c r="AC301" s="329" t="s">
        <v>1244</v>
      </c>
      <c r="AD301" s="92"/>
      <c r="AE301" s="570" cm="1" t="str">
        <f t="array" ref="AE301:AE301">INDEX('Общие сведения'!$AH$179:$AH$250,MATCH($X300,'Общие сведения'!$Z$179:$Z$250,0))</f>
        <v>без дифференциации</v>
      </c>
      <c r="AF301" s="362"/>
      <c r="AG301" s="362"/>
      <c r="AH301" s="362"/>
      <c r="AI301" s="362"/>
      <c r="AJ301" s="362"/>
      <c r="AK301" s="362"/>
      <c r="AL301" s="362"/>
      <c r="AM301" s="362"/>
      <c r="AN301" s="362"/>
      <c r="AO301" s="362"/>
      <c r="AP301" s="362"/>
      <c r="AQ301" s="362"/>
      <c r="AR301" s="362"/>
      <c r="AS301" s="362"/>
      <c r="AT301" s="362"/>
      <c r="AU301" s="362"/>
      <c r="AV301" s="362"/>
      <c r="AW301" s="362"/>
      <c r="AX301" s="362"/>
      <c r="AY301" s="362"/>
      <c r="AZ301" s="362"/>
      <c r="BA301" s="362"/>
      <c r="BB301" s="363"/>
      <c r="BC301" s="2070"/>
      <c r="BD301" s="1304"/>
      <c r="BE301" s="1304"/>
      <c r="BF301" s="1015" t="s">
        <v>1245</v>
      </c>
    </row>
    <row s="1834" customFormat="1" customHeight="1" ht="14.25" hidden="1">
      <c r="A302" s="1304"/>
      <c r="B302" s="1436"/>
      <c r="C302" s="1304"/>
      <c r="D302" s="1304"/>
      <c r="E302" s="632">
        <v>15</v>
      </c>
      <c r="F302" s="50" cm="1" t="str">
        <f t="array" ref="F302:F302">OFFSET(E302,-1,1)</f>
        <v>3</v>
      </c>
      <c r="G302" s="1304"/>
      <c r="H302" s="98" t="s">
        <v>336</v>
      </c>
      <c r="I302" s="1304"/>
      <c r="J302" s="1304"/>
      <c r="K302" s="1304"/>
      <c r="L302" s="1304"/>
      <c r="M302" s="1304"/>
      <c r="N302" s="1304"/>
      <c r="O302" s="1304"/>
      <c r="P302" s="1442"/>
      <c r="Q302" s="1442"/>
      <c r="R302" s="1442"/>
      <c r="S302" s="1442"/>
      <c r="T302" s="465" cm="1" t="str">
        <f t="array" ref="T302:T302">T301</f>
        <v>false</v>
      </c>
      <c r="U302" s="1442"/>
      <c r="V302" s="1304"/>
      <c r="W302" s="1442"/>
      <c r="X302" s="1563"/>
      <c r="Y302" s="1545"/>
      <c r="Z302" s="1304"/>
      <c r="AA302" s="1304"/>
      <c r="AB302" s="240" t="s">
        <v>285</v>
      </c>
      <c r="AC302" s="330" t="s">
        <v>1246</v>
      </c>
      <c r="AD302" s="93" t="s">
        <v>1247</v>
      </c>
      <c r="AE302" s="315">
        <f>AE311+AE306-AE309</f>
        <v>0</v>
      </c>
      <c r="AF302" s="315">
        <f>AF311+AF306-AF309</f>
        <v>0</v>
      </c>
      <c r="AG302" s="315">
        <f>AG311+AG306-AG309</f>
        <v>0</v>
      </c>
      <c r="AH302" s="315">
        <f>AH311+AH306-AH309</f>
        <v>0</v>
      </c>
      <c r="AI302" s="315">
        <f>AI311+AI306-AI309</f>
        <v>0</v>
      </c>
      <c r="AJ302" s="315">
        <f>AJ311+AJ306-AJ309</f>
        <v>0</v>
      </c>
      <c r="AK302" s="315">
        <f>AK311+AK306-AK309</f>
        <v>0</v>
      </c>
      <c r="AL302" s="315">
        <f>AL311+AL306-AL309</f>
        <v>0</v>
      </c>
      <c r="AM302" s="315">
        <f>AM311+AM306-AM309</f>
        <v>0</v>
      </c>
      <c r="AN302" s="315">
        <f>AN311+AN306-AN309</f>
        <v>0</v>
      </c>
      <c r="AO302" s="315">
        <f>AO311+AO306-AO309</f>
        <v>0</v>
      </c>
      <c r="AP302" s="315">
        <f>AP311+AP306-AP309</f>
        <v>0</v>
      </c>
      <c r="AQ302" s="315">
        <f>AQ311+AQ306-AQ309</f>
        <v>0</v>
      </c>
      <c r="AR302" s="315">
        <f>AR311+AR306-AR309</f>
        <v>0</v>
      </c>
      <c r="AS302" s="315">
        <f>AS311+AS306-AS309</f>
        <v>0</v>
      </c>
      <c r="AT302" s="315">
        <f>AT311+AT306-AT309</f>
        <v>0</v>
      </c>
      <c r="AU302" s="315">
        <f>AU311+AU306-AU309</f>
        <v>0</v>
      </c>
      <c r="AV302" s="315">
        <f>AV311+AV306-AV309</f>
        <v>0</v>
      </c>
      <c r="AW302" s="315">
        <f>AW311+AW306-AW309</f>
        <v>0</v>
      </c>
      <c r="AX302" s="315">
        <f>AX311+AX306-AX309</f>
        <v>0</v>
      </c>
      <c r="AY302" s="315">
        <f>AY311+AY306-AY309</f>
        <v>0</v>
      </c>
      <c r="AZ302" s="315">
        <f>AZ311+AZ306-AZ309</f>
        <v>0</v>
      </c>
      <c r="BA302" s="315">
        <f>BA311+BA306-BA309</f>
        <v>0</v>
      </c>
      <c r="BB302" s="315">
        <f>BB311+BB306-BB309</f>
        <v>0</v>
      </c>
      <c r="BC302" s="2070"/>
      <c r="BD302" s="1304"/>
      <c r="BE302" s="1304"/>
      <c r="BF302" s="1015" t="s">
        <v>1248</v>
      </c>
    </row>
    <row s="1834" customFormat="1" customHeight="1" ht="14.25" hidden="1">
      <c r="A303" s="1304"/>
      <c r="B303" s="1436"/>
      <c r="C303" s="1304"/>
      <c r="D303" s="1304"/>
      <c r="E303" s="632">
        <v>15</v>
      </c>
      <c r="F303" s="50" cm="1" t="str">
        <f t="array" ref="F303:F303">OFFSET(E303,-1,1)</f>
        <v>3</v>
      </c>
      <c r="G303" s="1304"/>
      <c r="H303" s="98" t="s">
        <v>1249</v>
      </c>
      <c r="I303" s="1304"/>
      <c r="J303" s="1304"/>
      <c r="K303" s="1304"/>
      <c r="L303" s="1304"/>
      <c r="M303" s="1304"/>
      <c r="N303" s="1304"/>
      <c r="O303" s="1304"/>
      <c r="P303" s="1442"/>
      <c r="Q303" s="1442"/>
      <c r="R303" s="1442"/>
      <c r="S303" s="1442"/>
      <c r="T303" s="465" cm="1" t="str">
        <f t="array" ref="T303:T303">T302</f>
        <v>false</v>
      </c>
      <c r="U303" s="1442"/>
      <c r="V303" s="1304"/>
      <c r="W303" s="1442"/>
      <c r="X303" s="1563"/>
      <c r="Y303" s="1545"/>
      <c r="Z303" s="1304"/>
      <c r="AA303" s="1304"/>
      <c r="AB303" s="240" t="s">
        <v>1250</v>
      </c>
      <c r="AC303" s="192" t="s">
        <v>1251</v>
      </c>
      <c r="AD303" s="93" t="s">
        <v>1247</v>
      </c>
      <c r="AE303" s="2113"/>
      <c r="AF303" s="2113"/>
      <c r="AG303" s="2113"/>
      <c r="AH303" s="2113"/>
      <c r="AI303" s="2113"/>
      <c r="AJ303" s="2113"/>
      <c r="AK303" s="2113"/>
      <c r="AL303" s="2113"/>
      <c r="AM303" s="2113"/>
      <c r="AN303" s="2113"/>
      <c r="AO303" s="2113"/>
      <c r="AP303" s="2113"/>
      <c r="AQ303" s="2113"/>
      <c r="AR303" s="2113"/>
      <c r="AS303" s="2113"/>
      <c r="AT303" s="2113"/>
      <c r="AU303" s="2113"/>
      <c r="AV303" s="2113"/>
      <c r="AW303" s="2113"/>
      <c r="AX303" s="2113"/>
      <c r="AY303" s="2113"/>
      <c r="AZ303" s="2113"/>
      <c r="BA303" s="2113"/>
      <c r="BB303" s="2113"/>
      <c r="BC303" s="2117"/>
      <c r="BD303" s="1304"/>
      <c r="BE303" s="1304"/>
      <c r="BF303" s="1015" t="s">
        <v>1252</v>
      </c>
    </row>
    <row s="1834" customFormat="1" customHeight="1" ht="14.25" hidden="1">
      <c r="A304" s="1304"/>
      <c r="B304" s="1436"/>
      <c r="C304" s="1304"/>
      <c r="D304" s="1304"/>
      <c r="E304" s="632">
        <v>15</v>
      </c>
      <c r="F304" s="50" cm="1" t="str">
        <f t="array" ref="F304:F304">OFFSET(E304,-1,1)</f>
        <v>3</v>
      </c>
      <c r="G304" s="1304"/>
      <c r="H304" s="98" t="s">
        <v>1253</v>
      </c>
      <c r="I304" s="1304"/>
      <c r="J304" s="1304"/>
      <c r="K304" s="1304"/>
      <c r="L304" s="1304"/>
      <c r="M304" s="1304"/>
      <c r="N304" s="1304"/>
      <c r="O304" s="1304"/>
      <c r="P304" s="1442"/>
      <c r="Q304" s="1442"/>
      <c r="R304" s="1442"/>
      <c r="S304" s="1442"/>
      <c r="T304" s="465" cm="1" t="str">
        <f t="array" ref="T304:T304">T303</f>
        <v>false</v>
      </c>
      <c r="U304" s="1442"/>
      <c r="V304" s="1304"/>
      <c r="W304" s="1442"/>
      <c r="X304" s="1563"/>
      <c r="Y304" s="1545"/>
      <c r="Z304" s="1304"/>
      <c r="AA304" s="1304"/>
      <c r="AB304" s="240" t="s">
        <v>1254</v>
      </c>
      <c r="AC304" s="192" t="s">
        <v>1255</v>
      </c>
      <c r="AD304" s="93" t="s">
        <v>1247</v>
      </c>
      <c r="AE304" s="2113"/>
      <c r="AF304" s="2113"/>
      <c r="AG304" s="2113"/>
      <c r="AH304" s="2113"/>
      <c r="AI304" s="2113"/>
      <c r="AJ304" s="2113"/>
      <c r="AK304" s="2113"/>
      <c r="AL304" s="2113"/>
      <c r="AM304" s="2113"/>
      <c r="AN304" s="2113"/>
      <c r="AO304" s="2113"/>
      <c r="AP304" s="2113"/>
      <c r="AQ304" s="2113"/>
      <c r="AR304" s="2113"/>
      <c r="AS304" s="2113"/>
      <c r="AT304" s="2113"/>
      <c r="AU304" s="2113"/>
      <c r="AV304" s="2113"/>
      <c r="AW304" s="2113"/>
      <c r="AX304" s="2113"/>
      <c r="AY304" s="2113"/>
      <c r="AZ304" s="2113"/>
      <c r="BA304" s="2113"/>
      <c r="BB304" s="2113"/>
      <c r="BC304" s="2117"/>
      <c r="BD304" s="1304"/>
      <c r="BE304" s="1304"/>
      <c r="BF304" s="1015" t="s">
        <v>1256</v>
      </c>
    </row>
    <row s="1834" customFormat="1" customHeight="1" ht="21.75" hidden="1">
      <c r="A305" s="1304"/>
      <c r="B305" s="1436"/>
      <c r="C305" s="1304"/>
      <c r="D305" s="1304"/>
      <c r="E305" s="632">
        <v>22.5</v>
      </c>
      <c r="F305" s="50" cm="1" t="str">
        <f t="array" ref="F305:F305">OFFSET(E305,-1,1)</f>
        <v>3</v>
      </c>
      <c r="G305" s="1304"/>
      <c r="H305" s="98" t="s">
        <v>1257</v>
      </c>
      <c r="I305" s="1304"/>
      <c r="J305" s="1304"/>
      <c r="K305" s="1304"/>
      <c r="L305" s="1304"/>
      <c r="M305" s="1304"/>
      <c r="N305" s="1304"/>
      <c r="O305" s="1304"/>
      <c r="P305" s="1442"/>
      <c r="Q305" s="1442"/>
      <c r="R305" s="1442"/>
      <c r="S305" s="1442"/>
      <c r="T305" s="465" cm="1" t="str">
        <f t="array" ref="T305:T305">T304</f>
        <v>false</v>
      </c>
      <c r="U305" s="1442"/>
      <c r="V305" s="1304"/>
      <c r="W305" s="1442"/>
      <c r="X305" s="1563"/>
      <c r="Y305" s="1545"/>
      <c r="Z305" s="1304"/>
      <c r="AA305" s="1304"/>
      <c r="AB305" s="240" t="s">
        <v>1258</v>
      </c>
      <c r="AC305" s="330" t="s">
        <v>1259</v>
      </c>
      <c r="AD305" s="93" t="s">
        <v>1247</v>
      </c>
      <c r="AE305" s="2113"/>
      <c r="AF305" s="2113"/>
      <c r="AG305" s="2113"/>
      <c r="AH305" s="2113"/>
      <c r="AI305" s="2113"/>
      <c r="AJ305" s="2113"/>
      <c r="AK305" s="2113"/>
      <c r="AL305" s="2113"/>
      <c r="AM305" s="2113"/>
      <c r="AN305" s="2113"/>
      <c r="AO305" s="2113"/>
      <c r="AP305" s="2113"/>
      <c r="AQ305" s="2113"/>
      <c r="AR305" s="2113"/>
      <c r="AS305" s="2113"/>
      <c r="AT305" s="2113"/>
      <c r="AU305" s="2113"/>
      <c r="AV305" s="2113"/>
      <c r="AW305" s="2113"/>
      <c r="AX305" s="2113"/>
      <c r="AY305" s="2113"/>
      <c r="AZ305" s="2113"/>
      <c r="BA305" s="2113"/>
      <c r="BB305" s="2113"/>
      <c r="BC305" s="2117"/>
      <c r="BD305" s="1304"/>
      <c r="BE305" s="1304"/>
      <c r="BF305" s="1015" t="s">
        <v>1260</v>
      </c>
    </row>
    <row s="1834" customFormat="1" customHeight="1" ht="14.25" hidden="1">
      <c r="A306" s="1304"/>
      <c r="B306" s="1436"/>
      <c r="C306" s="1304"/>
      <c r="D306" s="1304"/>
      <c r="E306" s="632">
        <v>15</v>
      </c>
      <c r="F306" s="50" cm="1" t="str">
        <f t="array" ref="F306:F306">OFFSET(E306,-1,1)</f>
        <v>3</v>
      </c>
      <c r="G306" s="1304"/>
      <c r="H306" s="98" t="s">
        <v>335</v>
      </c>
      <c r="I306" s="1304"/>
      <c r="J306" s="1304"/>
      <c r="K306" s="1304"/>
      <c r="L306" s="1304"/>
      <c r="M306" s="1304"/>
      <c r="N306" s="1304"/>
      <c r="O306" s="1304"/>
      <c r="P306" s="1442"/>
      <c r="Q306" s="1442"/>
      <c r="R306" s="1442"/>
      <c r="S306" s="1442"/>
      <c r="T306" s="465" cm="1" t="str">
        <f t="array" ref="T306:T306">T305</f>
        <v>false</v>
      </c>
      <c r="U306" s="1442"/>
      <c r="V306" s="1304"/>
      <c r="W306" s="1442"/>
      <c r="X306" s="1563"/>
      <c r="Y306" s="1545"/>
      <c r="Z306" s="1304"/>
      <c r="AA306" s="1304"/>
      <c r="AB306" s="240" t="s">
        <v>289</v>
      </c>
      <c r="AC306" s="330" t="s">
        <v>1261</v>
      </c>
      <c r="AD306" s="93" t="s">
        <v>1247</v>
      </c>
      <c r="AE306" s="315">
        <f>SUM(AE307:AE308)</f>
        <v>0</v>
      </c>
      <c r="AF306" s="315">
        <f>SUM(AF307:AF308)</f>
        <v>0</v>
      </c>
      <c r="AG306" s="315">
        <f>SUM(AG307:AG308)</f>
        <v>0</v>
      </c>
      <c r="AH306" s="315">
        <f>SUM(AH307:AH308)</f>
        <v>0</v>
      </c>
      <c r="AI306" s="315">
        <f>SUM(AI307:AI308)</f>
        <v>0</v>
      </c>
      <c r="AJ306" s="315">
        <f>SUM(AJ307:AJ308)</f>
        <v>0</v>
      </c>
      <c r="AK306" s="315">
        <f>SUM(AK307:AK308)</f>
        <v>0</v>
      </c>
      <c r="AL306" s="315">
        <f>SUM(AL307:AL308)</f>
        <v>0</v>
      </c>
      <c r="AM306" s="315">
        <f>SUM(AM307:AM308)</f>
        <v>0</v>
      </c>
      <c r="AN306" s="315">
        <f>SUM(AN307:AN308)</f>
        <v>0</v>
      </c>
      <c r="AO306" s="315">
        <f>SUM(AO307:AO308)</f>
        <v>0</v>
      </c>
      <c r="AP306" s="315">
        <f>SUM(AP307:AP308)</f>
        <v>0</v>
      </c>
      <c r="AQ306" s="315">
        <f>SUM(AQ307:AQ308)</f>
        <v>0</v>
      </c>
      <c r="AR306" s="315">
        <f>SUM(AR307:AR308)</f>
        <v>0</v>
      </c>
      <c r="AS306" s="315">
        <f>SUM(AS307:AS308)</f>
        <v>0</v>
      </c>
      <c r="AT306" s="315">
        <f>SUM(AT307:AT308)</f>
        <v>0</v>
      </c>
      <c r="AU306" s="315">
        <f>SUM(AU307:AU308)</f>
        <v>0</v>
      </c>
      <c r="AV306" s="315">
        <f>SUM(AV307:AV308)</f>
        <v>0</v>
      </c>
      <c r="AW306" s="315">
        <f>SUM(AW307:AW308)</f>
        <v>0</v>
      </c>
      <c r="AX306" s="315">
        <f>SUM(AX307:AX308)</f>
        <v>0</v>
      </c>
      <c r="AY306" s="315">
        <f>SUM(AY307:AY308)</f>
        <v>0</v>
      </c>
      <c r="AZ306" s="315">
        <f>SUM(AZ307:AZ308)</f>
        <v>0</v>
      </c>
      <c r="BA306" s="315">
        <f>SUM(BA307:BA308)</f>
        <v>0</v>
      </c>
      <c r="BB306" s="315">
        <f>SUM(BB307:BB308)</f>
        <v>0</v>
      </c>
      <c r="BC306" s="2117"/>
      <c r="BD306" s="1304"/>
      <c r="BE306" s="1304"/>
      <c r="BF306" s="1015" t="s">
        <v>1262</v>
      </c>
    </row>
    <row s="1834" customFormat="1" customHeight="1" ht="14.25" hidden="1">
      <c r="A307" s="1304"/>
      <c r="B307" s="1436"/>
      <c r="C307" s="1304"/>
      <c r="D307" s="1304"/>
      <c r="E307" s="632">
        <v>15</v>
      </c>
      <c r="F307" s="50" cm="1" t="str">
        <f t="array" ref="F307:F307">OFFSET(E307,-1,1)</f>
        <v>3</v>
      </c>
      <c r="G307" s="1304"/>
      <c r="H307" s="98" t="s">
        <v>1263</v>
      </c>
      <c r="I307" s="1304"/>
      <c r="J307" s="1304"/>
      <c r="K307" s="1304"/>
      <c r="L307" s="1304"/>
      <c r="M307" s="1304"/>
      <c r="N307" s="1304"/>
      <c r="O307" s="1304"/>
      <c r="P307" s="1442"/>
      <c r="Q307" s="1442"/>
      <c r="R307" s="1442"/>
      <c r="S307" s="1442"/>
      <c r="T307" s="465" cm="1" t="str">
        <f t="array" ref="T307:T307">T306</f>
        <v>false</v>
      </c>
      <c r="U307" s="1442"/>
      <c r="V307" s="1304"/>
      <c r="W307" s="1442"/>
      <c r="X307" s="1563"/>
      <c r="Y307" s="1545"/>
      <c r="Z307" s="1304"/>
      <c r="AA307" s="1304"/>
      <c r="AB307" s="240" t="s">
        <v>1264</v>
      </c>
      <c r="AC307" s="192" t="s">
        <v>1265</v>
      </c>
      <c r="AD307" s="93" t="s">
        <v>1247</v>
      </c>
      <c r="AE307" s="2113"/>
      <c r="AF307" s="2113"/>
      <c r="AG307" s="2113"/>
      <c r="AH307" s="2113"/>
      <c r="AI307" s="2113"/>
      <c r="AJ307" s="2113"/>
      <c r="AK307" s="2113"/>
      <c r="AL307" s="2113"/>
      <c r="AM307" s="2113"/>
      <c r="AN307" s="2113"/>
      <c r="AO307" s="2113"/>
      <c r="AP307" s="2113"/>
      <c r="AQ307" s="2113"/>
      <c r="AR307" s="2113"/>
      <c r="AS307" s="2113"/>
      <c r="AT307" s="2113"/>
      <c r="AU307" s="2113"/>
      <c r="AV307" s="2113"/>
      <c r="AW307" s="2113"/>
      <c r="AX307" s="2113"/>
      <c r="AY307" s="2113"/>
      <c r="AZ307" s="2113"/>
      <c r="BA307" s="2113"/>
      <c r="BB307" s="2113"/>
      <c r="BC307" s="2117"/>
      <c r="BD307" s="1304"/>
      <c r="BE307" s="1304"/>
      <c r="BF307" s="1015" t="s">
        <v>1266</v>
      </c>
    </row>
    <row s="1834" customFormat="1" customHeight="1" ht="14.25" hidden="1">
      <c r="A308" s="1304"/>
      <c r="B308" s="1436"/>
      <c r="C308" s="1304"/>
      <c r="D308" s="1304"/>
      <c r="E308" s="632">
        <v>15</v>
      </c>
      <c r="F308" s="50" cm="1" t="str">
        <f t="array" ref="F308:F308">OFFSET(E308,-1,1)</f>
        <v>3</v>
      </c>
      <c r="G308" s="1304"/>
      <c r="H308" s="98" t="s">
        <v>1267</v>
      </c>
      <c r="I308" s="1304"/>
      <c r="J308" s="1304"/>
      <c r="K308" s="1304"/>
      <c r="L308" s="1304"/>
      <c r="M308" s="1304"/>
      <c r="N308" s="1304"/>
      <c r="O308" s="1304"/>
      <c r="P308" s="1442"/>
      <c r="Q308" s="1442"/>
      <c r="R308" s="1442"/>
      <c r="S308" s="1442"/>
      <c r="T308" s="465" cm="1" t="str">
        <f t="array" ref="T308:T308">T307</f>
        <v>false</v>
      </c>
      <c r="U308" s="1442"/>
      <c r="V308" s="1304"/>
      <c r="W308" s="1442"/>
      <c r="X308" s="1563"/>
      <c r="Y308" s="1545"/>
      <c r="Z308" s="1304"/>
      <c r="AA308" s="1304"/>
      <c r="AB308" s="240" t="s">
        <v>1268</v>
      </c>
      <c r="AC308" s="192" t="s">
        <v>1269</v>
      </c>
      <c r="AD308" s="93" t="s">
        <v>1247</v>
      </c>
      <c r="AE308" s="2113"/>
      <c r="AF308" s="2113"/>
      <c r="AG308" s="2113"/>
      <c r="AH308" s="2113"/>
      <c r="AI308" s="2113"/>
      <c r="AJ308" s="2113"/>
      <c r="AK308" s="2113"/>
      <c r="AL308" s="2113"/>
      <c r="AM308" s="2113"/>
      <c r="AN308" s="2113"/>
      <c r="AO308" s="2113"/>
      <c r="AP308" s="2113"/>
      <c r="AQ308" s="2113"/>
      <c r="AR308" s="2113"/>
      <c r="AS308" s="2113"/>
      <c r="AT308" s="2113"/>
      <c r="AU308" s="2113"/>
      <c r="AV308" s="2113"/>
      <c r="AW308" s="2113"/>
      <c r="AX308" s="2113"/>
      <c r="AY308" s="2113"/>
      <c r="AZ308" s="2113"/>
      <c r="BA308" s="2113"/>
      <c r="BB308" s="2113"/>
      <c r="BC308" s="2117"/>
      <c r="BD308" s="1304"/>
      <c r="BE308" s="1304"/>
      <c r="BF308" s="1015" t="s">
        <v>1270</v>
      </c>
    </row>
    <row s="1834" customFormat="1" customHeight="1" ht="14.25" hidden="1">
      <c r="A309" s="1304"/>
      <c r="B309" s="1436"/>
      <c r="C309" s="1304"/>
      <c r="D309" s="1304"/>
      <c r="E309" s="632">
        <v>15</v>
      </c>
      <c r="F309" s="50" cm="1" t="str">
        <f t="array" ref="F309:F309">OFFSET(E309,-1,1)</f>
        <v>3</v>
      </c>
      <c r="G309" s="1304"/>
      <c r="H309" s="98" t="s">
        <v>1225</v>
      </c>
      <c r="I309" s="1304"/>
      <c r="J309" s="1304"/>
      <c r="K309" s="1304"/>
      <c r="L309" s="1304"/>
      <c r="M309" s="1304"/>
      <c r="N309" s="1304"/>
      <c r="O309" s="1304"/>
      <c r="P309" s="1442"/>
      <c r="Q309" s="1442"/>
      <c r="R309" s="1442"/>
      <c r="S309" s="1442"/>
      <c r="T309" s="465" cm="1" t="str">
        <f t="array" ref="T309:T309">T308</f>
        <v>false</v>
      </c>
      <c r="U309" s="1442"/>
      <c r="V309" s="1304"/>
      <c r="W309" s="1442"/>
      <c r="X309" s="1563"/>
      <c r="Y309" s="1545"/>
      <c r="Z309" s="1304"/>
      <c r="AA309" s="1304"/>
      <c r="AB309" s="240" t="s">
        <v>295</v>
      </c>
      <c r="AC309" s="329" t="s">
        <v>1271</v>
      </c>
      <c r="AD309" s="93" t="s">
        <v>1247</v>
      </c>
      <c r="AE309" s="2069"/>
      <c r="AF309" s="2069"/>
      <c r="AG309" s="2069"/>
      <c r="AH309" s="2069"/>
      <c r="AI309" s="2069"/>
      <c r="AJ309" s="2069"/>
      <c r="AK309" s="2069"/>
      <c r="AL309" s="2069"/>
      <c r="AM309" s="2069"/>
      <c r="AN309" s="2069"/>
      <c r="AO309" s="2069"/>
      <c r="AP309" s="2069"/>
      <c r="AQ309" s="2069"/>
      <c r="AR309" s="2069"/>
      <c r="AS309" s="2069"/>
      <c r="AT309" s="2069"/>
      <c r="AU309" s="2069"/>
      <c r="AV309" s="2069"/>
      <c r="AW309" s="2069"/>
      <c r="AX309" s="2069"/>
      <c r="AY309" s="2069"/>
      <c r="AZ309" s="2069"/>
      <c r="BA309" s="2069"/>
      <c r="BB309" s="2069"/>
      <c r="BC309" s="2117"/>
      <c r="BD309" s="1304"/>
      <c r="BE309" s="1304"/>
      <c r="BF309" s="1015" t="s">
        <v>1272</v>
      </c>
    </row>
    <row s="1834" customFormat="1" customHeight="1" ht="14.25" hidden="1">
      <c r="A310" s="1304"/>
      <c r="B310" s="1436"/>
      <c r="C310" s="1304"/>
      <c r="D310" s="1304"/>
      <c r="E310" s="632">
        <v>15</v>
      </c>
      <c r="F310" s="50" cm="1" t="str">
        <f t="array" ref="F310:F310">OFFSET(E310,-1,1)</f>
        <v>3</v>
      </c>
      <c r="G310" s="1304"/>
      <c r="H310" s="98" t="s">
        <v>1228</v>
      </c>
      <c r="I310" s="1304"/>
      <c r="J310" s="1304"/>
      <c r="K310" s="1304"/>
      <c r="L310" s="1304"/>
      <c r="M310" s="1304"/>
      <c r="N310" s="1304"/>
      <c r="O310" s="1304"/>
      <c r="P310" s="1442"/>
      <c r="Q310" s="1442"/>
      <c r="R310" s="1442"/>
      <c r="S310" s="1442"/>
      <c r="T310" s="465" cm="1" t="str">
        <f t="array" ref="T310:T310">T309</f>
        <v>false</v>
      </c>
      <c r="U310" s="1442"/>
      <c r="V310" s="1304"/>
      <c r="W310" s="1442"/>
      <c r="X310" s="1563"/>
      <c r="Y310" s="1545"/>
      <c r="Z310" s="1304"/>
      <c r="AA310" s="1304"/>
      <c r="AB310" s="240" t="s">
        <v>443</v>
      </c>
      <c r="AC310" s="329" t="s">
        <v>1273</v>
      </c>
      <c r="AD310" s="93" t="s">
        <v>1247</v>
      </c>
      <c r="AE310" s="2113"/>
      <c r="AF310" s="2113"/>
      <c r="AG310" s="2113"/>
      <c r="AH310" s="2113"/>
      <c r="AI310" s="2113"/>
      <c r="AJ310" s="2113"/>
      <c r="AK310" s="2113"/>
      <c r="AL310" s="2113"/>
      <c r="AM310" s="2113"/>
      <c r="AN310" s="2113"/>
      <c r="AO310" s="2113"/>
      <c r="AP310" s="2113"/>
      <c r="AQ310" s="2113"/>
      <c r="AR310" s="2113"/>
      <c r="AS310" s="2113"/>
      <c r="AT310" s="2113"/>
      <c r="AU310" s="2113"/>
      <c r="AV310" s="2113"/>
      <c r="AW310" s="2113"/>
      <c r="AX310" s="2113"/>
      <c r="AY310" s="2113"/>
      <c r="AZ310" s="2113"/>
      <c r="BA310" s="2113"/>
      <c r="BB310" s="2113"/>
      <c r="BC310" s="2117"/>
      <c r="BD310" s="1304"/>
      <c r="BE310" s="1304"/>
      <c r="BF310" s="1015" t="s">
        <v>1274</v>
      </c>
    </row>
    <row s="1834" customFormat="1" customHeight="1" ht="14.25" hidden="1">
      <c r="A311" s="1304"/>
      <c r="B311" s="1436"/>
      <c r="C311" s="1304"/>
      <c r="D311" s="1304"/>
      <c r="E311" s="632">
        <v>15</v>
      </c>
      <c r="F311" s="50" cm="1" t="str">
        <f t="array" ref="F311:F311">OFFSET(E311,-1,1)</f>
        <v>3</v>
      </c>
      <c r="G311" s="1304"/>
      <c r="H311" s="98" t="s">
        <v>1275</v>
      </c>
      <c r="I311" s="1304"/>
      <c r="J311" s="1304"/>
      <c r="K311" s="1304"/>
      <c r="L311" s="1304"/>
      <c r="M311" s="1304"/>
      <c r="N311" s="1304"/>
      <c r="O311" s="1304"/>
      <c r="P311" s="1442"/>
      <c r="Q311" s="1442"/>
      <c r="R311" s="1442"/>
      <c r="S311" s="1442"/>
      <c r="T311" s="465" cm="1" t="str">
        <f t="array" ref="T311:T311">T310</f>
        <v>false</v>
      </c>
      <c r="U311" s="1442"/>
      <c r="V311" s="1304"/>
      <c r="W311" s="1442"/>
      <c r="X311" s="1563"/>
      <c r="Y311" s="1545"/>
      <c r="Z311" s="1304"/>
      <c r="AA311" s="1304"/>
      <c r="AB311" s="240" t="s">
        <v>446</v>
      </c>
      <c r="AC311" s="330" t="s">
        <v>1276</v>
      </c>
      <c r="AD311" s="93" t="s">
        <v>1247</v>
      </c>
      <c r="AE311" s="315">
        <f>AE317+AE315</f>
        <v>0</v>
      </c>
      <c r="AF311" s="315">
        <f>AF317+AF315</f>
        <v>0</v>
      </c>
      <c r="AG311" s="315">
        <f>AG317+AG315</f>
        <v>0</v>
      </c>
      <c r="AH311" s="315">
        <f>AH317+AH315</f>
        <v>0</v>
      </c>
      <c r="AI311" s="315">
        <f>AI317+AI315</f>
        <v>0</v>
      </c>
      <c r="AJ311" s="315">
        <f>AJ317+AJ315</f>
        <v>0</v>
      </c>
      <c r="AK311" s="315">
        <f>AK317+AK315</f>
        <v>0</v>
      </c>
      <c r="AL311" s="315">
        <f>AL317+AL315</f>
        <v>0</v>
      </c>
      <c r="AM311" s="315">
        <f>AM317+AM315</f>
        <v>0</v>
      </c>
      <c r="AN311" s="315">
        <f>AN317+AN315</f>
        <v>0</v>
      </c>
      <c r="AO311" s="315">
        <f>AO317+AO315</f>
        <v>0</v>
      </c>
      <c r="AP311" s="315">
        <f>AP317+AP315</f>
        <v>0</v>
      </c>
      <c r="AQ311" s="315">
        <f>AQ317+AQ315</f>
        <v>0</v>
      </c>
      <c r="AR311" s="315">
        <f>AR317+AR315</f>
        <v>0</v>
      </c>
      <c r="AS311" s="315">
        <f>AS317+AS315</f>
        <v>0</v>
      </c>
      <c r="AT311" s="315">
        <f>AT317+AT315</f>
        <v>0</v>
      </c>
      <c r="AU311" s="315">
        <f>AU317+AU315</f>
        <v>0</v>
      </c>
      <c r="AV311" s="315">
        <f>AV317+AV315</f>
        <v>0</v>
      </c>
      <c r="AW311" s="315">
        <f>AW317+AW315</f>
        <v>0</v>
      </c>
      <c r="AX311" s="315">
        <f>AX317+AX315</f>
        <v>0</v>
      </c>
      <c r="AY311" s="315">
        <f>AY317+AY315</f>
        <v>0</v>
      </c>
      <c r="AZ311" s="315">
        <f>AZ317+AZ315</f>
        <v>0</v>
      </c>
      <c r="BA311" s="315">
        <f>BA317+BA315</f>
        <v>0</v>
      </c>
      <c r="BB311" s="315">
        <f>BB317+BB315</f>
        <v>0</v>
      </c>
      <c r="BC311" s="2117"/>
      <c r="BD311" s="1304"/>
      <c r="BE311" s="1304"/>
      <c r="BF311" s="1015" t="s">
        <v>1277</v>
      </c>
    </row>
    <row s="1834" customFormat="1" customHeight="1" ht="21.75" hidden="1">
      <c r="A312" s="1304"/>
      <c r="B312" s="1436"/>
      <c r="C312" s="1304"/>
      <c r="D312" s="1304"/>
      <c r="E312" s="632">
        <v>22.5</v>
      </c>
      <c r="F312" s="50" cm="1" t="str">
        <f t="array" ref="F312:F312">OFFSET(E312,-1,1)</f>
        <v>3</v>
      </c>
      <c r="G312" s="1304"/>
      <c r="H312" s="98" t="s">
        <v>1278</v>
      </c>
      <c r="I312" s="1304"/>
      <c r="J312" s="1304"/>
      <c r="K312" s="1304"/>
      <c r="L312" s="1304"/>
      <c r="M312" s="1304"/>
      <c r="N312" s="1304"/>
      <c r="O312" s="1304"/>
      <c r="P312" s="1442"/>
      <c r="Q312" s="1442"/>
      <c r="R312" s="1442"/>
      <c r="S312" s="1442"/>
      <c r="T312" s="465" cm="1" t="str">
        <f t="array" ref="T312:T312">T311</f>
        <v>false</v>
      </c>
      <c r="U312" s="1442"/>
      <c r="V312" s="1304"/>
      <c r="W312" s="1442"/>
      <c r="X312" s="1563"/>
      <c r="Y312" s="1545"/>
      <c r="Z312" s="1304"/>
      <c r="AA312" s="1304"/>
      <c r="AB312" s="240" t="s">
        <v>1279</v>
      </c>
      <c r="AC312" s="192" t="s">
        <v>1280</v>
      </c>
      <c r="AD312" s="93" t="s">
        <v>1247</v>
      </c>
      <c r="AE312" s="2113"/>
      <c r="AF312" s="2113"/>
      <c r="AG312" s="2113"/>
      <c r="AH312" s="2113"/>
      <c r="AI312" s="2113"/>
      <c r="AJ312" s="2113"/>
      <c r="AK312" s="2113"/>
      <c r="AL312" s="2113"/>
      <c r="AM312" s="2113"/>
      <c r="AN312" s="2113"/>
      <c r="AO312" s="2113"/>
      <c r="AP312" s="2113"/>
      <c r="AQ312" s="2113"/>
      <c r="AR312" s="2113"/>
      <c r="AS312" s="2113"/>
      <c r="AT312" s="2113"/>
      <c r="AU312" s="2113"/>
      <c r="AV312" s="2113"/>
      <c r="AW312" s="2113"/>
      <c r="AX312" s="2113"/>
      <c r="AY312" s="2113"/>
      <c r="AZ312" s="2113"/>
      <c r="BA312" s="2113"/>
      <c r="BB312" s="2113"/>
      <c r="BC312" s="2117"/>
      <c r="BD312" s="1304"/>
      <c r="BE312" s="1304"/>
      <c r="BF312" s="1015" t="s">
        <v>1281</v>
      </c>
    </row>
    <row s="1834" customFormat="1" customHeight="1" ht="14.25" hidden="1">
      <c r="A313" s="1304"/>
      <c r="B313" s="1436"/>
      <c r="C313" s="1304"/>
      <c r="D313" s="1304"/>
      <c r="E313" s="632">
        <v>15</v>
      </c>
      <c r="F313" s="50" cm="1" t="str">
        <f t="array" ref="F313:F313">OFFSET(E313,-1,1)</f>
        <v>3</v>
      </c>
      <c r="G313" s="1304"/>
      <c r="H313" s="98" t="s">
        <v>1282</v>
      </c>
      <c r="I313" s="1304"/>
      <c r="J313" s="1304"/>
      <c r="K313" s="1304"/>
      <c r="L313" s="1304"/>
      <c r="M313" s="1304"/>
      <c r="N313" s="1304"/>
      <c r="O313" s="1304"/>
      <c r="P313" s="1442"/>
      <c r="Q313" s="1442"/>
      <c r="R313" s="1442"/>
      <c r="S313" s="1442"/>
      <c r="T313" s="465" cm="1" t="str">
        <f t="array" ref="T313:T313">T312</f>
        <v>false</v>
      </c>
      <c r="U313" s="1442"/>
      <c r="V313" s="1304"/>
      <c r="W313" s="1442"/>
      <c r="X313" s="1563"/>
      <c r="Y313" s="1545"/>
      <c r="Z313" s="1304"/>
      <c r="AA313" s="1304"/>
      <c r="AB313" s="240" t="s">
        <v>1283</v>
      </c>
      <c r="AC313" s="192" t="s">
        <v>1284</v>
      </c>
      <c r="AD313" s="93" t="s">
        <v>1247</v>
      </c>
      <c r="AE313" s="2113"/>
      <c r="AF313" s="2113"/>
      <c r="AG313" s="2113"/>
      <c r="AH313" s="2113"/>
      <c r="AI313" s="2113"/>
      <c r="AJ313" s="2113"/>
      <c r="AK313" s="2113"/>
      <c r="AL313" s="2113"/>
      <c r="AM313" s="2113"/>
      <c r="AN313" s="2113"/>
      <c r="AO313" s="2113"/>
      <c r="AP313" s="2113"/>
      <c r="AQ313" s="2113"/>
      <c r="AR313" s="2113"/>
      <c r="AS313" s="2113"/>
      <c r="AT313" s="2113"/>
      <c r="AU313" s="2113"/>
      <c r="AV313" s="2113"/>
      <c r="AW313" s="2113"/>
      <c r="AX313" s="2113"/>
      <c r="AY313" s="2113"/>
      <c r="AZ313" s="2113"/>
      <c r="BA313" s="2113"/>
      <c r="BB313" s="2113"/>
      <c r="BC313" s="2117"/>
      <c r="BD313" s="1304"/>
      <c r="BE313" s="1304"/>
      <c r="BF313" s="1015" t="s">
        <v>1285</v>
      </c>
    </row>
    <row s="1834" customFormat="1" customHeight="1" ht="21.75" hidden="1">
      <c r="A314" s="1304"/>
      <c r="B314" s="1436"/>
      <c r="C314" s="1304"/>
      <c r="D314" s="1304"/>
      <c r="E314" s="632">
        <v>22.5</v>
      </c>
      <c r="F314" s="50" cm="1" t="str">
        <f t="array" ref="F314:F314">OFFSET(E314,-1,1)</f>
        <v>3</v>
      </c>
      <c r="G314" s="1304"/>
      <c r="H314" s="98" t="s">
        <v>1286</v>
      </c>
      <c r="I314" s="1304"/>
      <c r="J314" s="1304"/>
      <c r="K314" s="1304"/>
      <c r="L314" s="1304"/>
      <c r="M314" s="1304"/>
      <c r="N314" s="1304"/>
      <c r="O314" s="1304"/>
      <c r="P314" s="1442"/>
      <c r="Q314" s="1442"/>
      <c r="R314" s="1442"/>
      <c r="S314" s="1442"/>
      <c r="T314" s="465" cm="1" t="str">
        <f t="array" ref="T314:T314">T313</f>
        <v>false</v>
      </c>
      <c r="U314" s="1442"/>
      <c r="V314" s="1304"/>
      <c r="W314" s="1442"/>
      <c r="X314" s="1563"/>
      <c r="Y314" s="1545"/>
      <c r="Z314" s="1304"/>
      <c r="AA314" s="1304"/>
      <c r="AB314" s="240" t="s">
        <v>1287</v>
      </c>
      <c r="AC314" s="192" t="s">
        <v>1288</v>
      </c>
      <c r="AD314" s="93" t="s">
        <v>1247</v>
      </c>
      <c r="AE314" s="2113"/>
      <c r="AF314" s="2113"/>
      <c r="AG314" s="2113"/>
      <c r="AH314" s="2113"/>
      <c r="AI314" s="2113"/>
      <c r="AJ314" s="2113"/>
      <c r="AK314" s="2113"/>
      <c r="AL314" s="2113"/>
      <c r="AM314" s="2113"/>
      <c r="AN314" s="2113"/>
      <c r="AO314" s="2113"/>
      <c r="AP314" s="2113"/>
      <c r="AQ314" s="2113"/>
      <c r="AR314" s="2113"/>
      <c r="AS314" s="2113"/>
      <c r="AT314" s="2113"/>
      <c r="AU314" s="2113"/>
      <c r="AV314" s="2113"/>
      <c r="AW314" s="2113"/>
      <c r="AX314" s="2113"/>
      <c r="AY314" s="2113"/>
      <c r="AZ314" s="2113"/>
      <c r="BA314" s="2113"/>
      <c r="BB314" s="2113"/>
      <c r="BC314" s="2117"/>
      <c r="BD314" s="1304"/>
      <c r="BE314" s="1304"/>
      <c r="BF314" s="1015" t="s">
        <v>1289</v>
      </c>
    </row>
    <row s="1834" customFormat="1" customHeight="1" ht="14.25" hidden="1">
      <c r="A315" s="1304"/>
      <c r="B315" s="1436"/>
      <c r="C315" s="1304"/>
      <c r="D315" s="1304"/>
      <c r="E315" s="632">
        <v>15</v>
      </c>
      <c r="F315" s="50" cm="1" t="str">
        <f t="array" ref="F315:F315">OFFSET(E315,-1,1)</f>
        <v>3</v>
      </c>
      <c r="G315" s="1304"/>
      <c r="H315" s="98" t="s">
        <v>1290</v>
      </c>
      <c r="I315" s="1304"/>
      <c r="J315" s="1304"/>
      <c r="K315" s="1304"/>
      <c r="L315" s="1304"/>
      <c r="M315" s="1304"/>
      <c r="N315" s="1304"/>
      <c r="O315" s="1304"/>
      <c r="P315" s="1442"/>
      <c r="Q315" s="1442"/>
      <c r="R315" s="1442"/>
      <c r="S315" s="1442"/>
      <c r="T315" s="465" cm="1" t="str">
        <f t="array" ref="T315:T315">T314</f>
        <v>false</v>
      </c>
      <c r="U315" s="1442"/>
      <c r="V315" s="1304"/>
      <c r="W315" s="1442"/>
      <c r="X315" s="1563"/>
      <c r="Y315" s="1545"/>
      <c r="Z315" s="1304"/>
      <c r="AA315" s="1304"/>
      <c r="AB315" s="240" t="s">
        <v>449</v>
      </c>
      <c r="AC315" s="329" t="s">
        <v>1291</v>
      </c>
      <c r="AD315" s="93" t="s">
        <v>1247</v>
      </c>
      <c r="AE315" s="2113"/>
      <c r="AF315" s="2113"/>
      <c r="AG315" s="2113"/>
      <c r="AH315" s="2113"/>
      <c r="AI315" s="2113"/>
      <c r="AJ315" s="2113"/>
      <c r="AK315" s="2113"/>
      <c r="AL315" s="2113"/>
      <c r="AM315" s="2113"/>
      <c r="AN315" s="2113"/>
      <c r="AO315" s="2113"/>
      <c r="AP315" s="2113"/>
      <c r="AQ315" s="2113"/>
      <c r="AR315" s="2113"/>
      <c r="AS315" s="2113"/>
      <c r="AT315" s="2113"/>
      <c r="AU315" s="2113"/>
      <c r="AV315" s="2113"/>
      <c r="AW315" s="2113"/>
      <c r="AX315" s="2113"/>
      <c r="AY315" s="2113"/>
      <c r="AZ315" s="2113"/>
      <c r="BA315" s="2113"/>
      <c r="BB315" s="2113"/>
      <c r="BC315" s="2117"/>
      <c r="BD315" s="1304"/>
      <c r="BE315" s="1304"/>
      <c r="BF315" s="1015" t="s">
        <v>1292</v>
      </c>
    </row>
    <row s="1834" customFormat="1" customHeight="1" ht="14.25" hidden="1">
      <c r="A316" s="1304"/>
      <c r="B316" s="1436"/>
      <c r="C316" s="1304"/>
      <c r="D316" s="1304"/>
      <c r="E316" s="632">
        <v>15</v>
      </c>
      <c r="F316" s="50" cm="1" t="str">
        <f t="array" ref="F316:F316">OFFSET(E316,-1,1)</f>
        <v>3</v>
      </c>
      <c r="G316" s="1304"/>
      <c r="H316" s="98" t="s">
        <v>1293</v>
      </c>
      <c r="I316" s="1304"/>
      <c r="J316" s="1304"/>
      <c r="K316" s="1304"/>
      <c r="L316" s="1304"/>
      <c r="M316" s="1304"/>
      <c r="N316" s="1304"/>
      <c r="O316" s="1304"/>
      <c r="P316" s="1442"/>
      <c r="Q316" s="1442"/>
      <c r="R316" s="1442"/>
      <c r="S316" s="1442"/>
      <c r="T316" s="465" cm="1" t="str">
        <f t="array" ref="T316:T316">T315</f>
        <v>false</v>
      </c>
      <c r="U316" s="1442"/>
      <c r="V316" s="1304"/>
      <c r="W316" s="1442"/>
      <c r="X316" s="1563"/>
      <c r="Y316" s="1545"/>
      <c r="Z316" s="1304"/>
      <c r="AA316" s="1304"/>
      <c r="AB316" s="240" t="s">
        <v>1294</v>
      </c>
      <c r="AC316" s="331" t="s">
        <v>1295</v>
      </c>
      <c r="AD316" s="93" t="s">
        <v>1170</v>
      </c>
      <c r="AE316" s="1940">
        <f>IF(AE311=0,0,AE315/AE311*100)</f>
        <v>0</v>
      </c>
      <c r="AF316" s="1940">
        <f>IF(AF311=0,0,AF315/AF311*100)</f>
        <v>0</v>
      </c>
      <c r="AG316" s="1940">
        <f>IF(AG311=0,0,AG315/AG311*100)</f>
        <v>0</v>
      </c>
      <c r="AH316" s="1940">
        <f>IF(AH311=0,0,AH315/AH311*100)</f>
        <v>0</v>
      </c>
      <c r="AI316" s="1940">
        <f>IF(AI311=0,0,AI315/AI311*100)</f>
        <v>0</v>
      </c>
      <c r="AJ316" s="1940">
        <f>IF(AJ311=0,0,AJ315/AJ311*100)</f>
        <v>0</v>
      </c>
      <c r="AK316" s="1940">
        <f>IF(AK311=0,0,AK315/AK311*100)</f>
        <v>0</v>
      </c>
      <c r="AL316" s="1940">
        <f>IF(AL311=0,0,AL315/AL311*100)</f>
        <v>0</v>
      </c>
      <c r="AM316" s="1940">
        <f>IF(AM311=0,0,AM315/AM311*100)</f>
        <v>0</v>
      </c>
      <c r="AN316" s="1940">
        <f>IF(AN311=0,0,AN315/AN311*100)</f>
        <v>0</v>
      </c>
      <c r="AO316" s="1940">
        <f>IF(AO311=0,0,AO315/AO311*100)</f>
        <v>0</v>
      </c>
      <c r="AP316" s="1940">
        <f>IF(AP311=0,0,AP315/AP311*100)</f>
        <v>0</v>
      </c>
      <c r="AQ316" s="1940">
        <f>IF(AQ311=0,0,AQ315/AQ311*100)</f>
        <v>0</v>
      </c>
      <c r="AR316" s="1940">
        <f>IF(AR311=0,0,AR315/AR311*100)</f>
        <v>0</v>
      </c>
      <c r="AS316" s="1940">
        <f>IF(AS311=0,0,AS315/AS311*100)</f>
        <v>0</v>
      </c>
      <c r="AT316" s="1940">
        <f>IF(AT311=0,0,AT315/AT311*100)</f>
        <v>0</v>
      </c>
      <c r="AU316" s="1940">
        <f>IF(AU311=0,0,AU315/AU311*100)</f>
        <v>0</v>
      </c>
      <c r="AV316" s="1940">
        <f>IF(AV311=0,0,AV315/AV311*100)</f>
        <v>0</v>
      </c>
      <c r="AW316" s="1940">
        <f>IF(AW311=0,0,AW315/AW311*100)</f>
        <v>0</v>
      </c>
      <c r="AX316" s="1940">
        <f>IF(AX311=0,0,AX315/AX311*100)</f>
        <v>0</v>
      </c>
      <c r="AY316" s="1940">
        <f>IF(AY311=0,0,AY315/AY311*100)</f>
        <v>0</v>
      </c>
      <c r="AZ316" s="1940">
        <f>IF(AZ311=0,0,AZ315/AZ311*100)</f>
        <v>0</v>
      </c>
      <c r="BA316" s="1940">
        <f>IF(BA311=0,0,BA315/BA311*100)</f>
        <v>0</v>
      </c>
      <c r="BB316" s="1940">
        <f>IF(BB311=0,0,BB315/BB311*100)</f>
        <v>0</v>
      </c>
      <c r="BC316" s="2117"/>
      <c r="BD316" s="1304"/>
      <c r="BE316" s="1304"/>
      <c r="BF316" s="1015" t="s">
        <v>1296</v>
      </c>
    </row>
    <row s="1834" customFormat="1" customHeight="1" ht="14.25" hidden="1">
      <c r="A317" s="1304"/>
      <c r="B317" s="1436"/>
      <c r="C317" s="1304"/>
      <c r="D317" s="1304"/>
      <c r="E317" s="632">
        <v>15</v>
      </c>
      <c r="F317" s="50" cm="1" t="str">
        <f t="array" ref="F317:F317">OFFSET(E317,-1,1)</f>
        <v>3</v>
      </c>
      <c r="G317" s="1304"/>
      <c r="H317" s="98" t="s">
        <v>1297</v>
      </c>
      <c r="I317" s="1304"/>
      <c r="J317" s="1304"/>
      <c r="K317" s="1304"/>
      <c r="L317" s="1304"/>
      <c r="M317" s="1304"/>
      <c r="N317" s="1304"/>
      <c r="O317" s="1304"/>
      <c r="P317" s="1442"/>
      <c r="Q317" s="1442"/>
      <c r="R317" s="1442"/>
      <c r="S317" s="1442"/>
      <c r="T317" s="465" cm="1" t="str">
        <f t="array" ref="T317:T317">T316</f>
        <v>false</v>
      </c>
      <c r="U317" s="1442"/>
      <c r="V317" s="1304"/>
      <c r="W317" s="1442"/>
      <c r="X317" s="1563"/>
      <c r="Y317" s="1545"/>
      <c r="Z317" s="1304"/>
      <c r="AA317" s="1304"/>
      <c r="AB317" s="240" t="s">
        <v>452</v>
      </c>
      <c r="AC317" s="329" t="s">
        <v>1298</v>
      </c>
      <c r="AD317" s="93" t="s">
        <v>1247</v>
      </c>
      <c r="AE317" s="315">
        <f>AE318+AE322+AE325+AE335</f>
        <v>0</v>
      </c>
      <c r="AF317" s="315">
        <f>AF318+AF322+AF325+AF335</f>
        <v>0</v>
      </c>
      <c r="AG317" s="315">
        <f>AG318+AG322+AG325+AG335</f>
        <v>0</v>
      </c>
      <c r="AH317" s="315">
        <f>AH318+AH322+AH325+AH335</f>
        <v>0</v>
      </c>
      <c r="AI317" s="315">
        <f>AI318+AI322+AI325+AI335</f>
        <v>0</v>
      </c>
      <c r="AJ317" s="315">
        <f>AJ318+AJ322+AJ325+AJ335</f>
        <v>0</v>
      </c>
      <c r="AK317" s="315">
        <f>AK318+AK322+AK325+AK335</f>
        <v>0</v>
      </c>
      <c r="AL317" s="315">
        <f>AL318+AL322+AL325+AL335</f>
        <v>0</v>
      </c>
      <c r="AM317" s="315">
        <f>AM318+AM322+AM325+AM335</f>
        <v>0</v>
      </c>
      <c r="AN317" s="315">
        <f>AN318+AN322+AN325+AN335</f>
        <v>0</v>
      </c>
      <c r="AO317" s="315">
        <f>AO318+AO322+AO325+AO335</f>
        <v>0</v>
      </c>
      <c r="AP317" s="315">
        <f>AP318+AP322+AP325+AP335</f>
        <v>0</v>
      </c>
      <c r="AQ317" s="315">
        <f>AQ318+AQ322+AQ325+AQ335</f>
        <v>0</v>
      </c>
      <c r="AR317" s="315">
        <f>AR318+AR322+AR325+AR335</f>
        <v>0</v>
      </c>
      <c r="AS317" s="315">
        <f>AS318+AS322+AS325+AS335</f>
        <v>0</v>
      </c>
      <c r="AT317" s="315">
        <f>AT318+AT322+AT325+AT335</f>
        <v>0</v>
      </c>
      <c r="AU317" s="315">
        <f>AU318+AU322+AU325+AU335</f>
        <v>0</v>
      </c>
      <c r="AV317" s="315">
        <f>AV318+AV322+AV325+AV335</f>
        <v>0</v>
      </c>
      <c r="AW317" s="315">
        <f>AW318+AW322+AW325+AW335</f>
        <v>0</v>
      </c>
      <c r="AX317" s="315">
        <f>AX318+AX322+AX325+AX335</f>
        <v>0</v>
      </c>
      <c r="AY317" s="315">
        <f>AY318+AY322+AY325+AY335</f>
        <v>0</v>
      </c>
      <c r="AZ317" s="315">
        <f>AZ318+AZ322+AZ325+AZ335</f>
        <v>0</v>
      </c>
      <c r="BA317" s="315">
        <f>BA318+BA322+BA325+BA335</f>
        <v>0</v>
      </c>
      <c r="BB317" s="315">
        <f>BB318+BB322+BB325+BB335</f>
        <v>0</v>
      </c>
      <c r="BC317" s="2117"/>
      <c r="BD317" s="1304"/>
      <c r="BE317" s="1304"/>
      <c r="BF317" s="1015" t="s">
        <v>1299</v>
      </c>
    </row>
    <row s="1834" customFormat="1" customHeight="1" ht="14.25" hidden="1">
      <c r="A318" s="1304"/>
      <c r="B318" s="1436"/>
      <c r="C318" s="1304"/>
      <c r="D318" s="1304"/>
      <c r="E318" s="632">
        <v>15</v>
      </c>
      <c r="F318" s="50" cm="1" t="str">
        <f t="array" ref="F318:F318">OFFSET(E318,-1,1)</f>
        <v>3</v>
      </c>
      <c r="G318" s="98" t="str">
        <f>IF(OwnNeedsInPO="да","ПО","")</f>
        <v>ПО</v>
      </c>
      <c r="H318" s="98" t="s">
        <v>1300</v>
      </c>
      <c r="I318" s="1304"/>
      <c r="J318" s="1304"/>
      <c r="K318" s="1304"/>
      <c r="L318" s="1304"/>
      <c r="M318" s="1304"/>
      <c r="N318" s="1304"/>
      <c r="O318" s="1304"/>
      <c r="P318" s="1442"/>
      <c r="Q318" s="1442"/>
      <c r="R318" s="1442"/>
      <c r="S318" s="1442"/>
      <c r="T318" s="465" cm="1" t="str">
        <f t="array" ref="T318:T318">T317</f>
        <v>false</v>
      </c>
      <c r="U318" s="1442"/>
      <c r="V318" s="1304"/>
      <c r="W318" s="1442"/>
      <c r="X318" s="1563"/>
      <c r="Y318" s="1545"/>
      <c r="Z318" s="1304"/>
      <c r="AA318" s="1304"/>
      <c r="AB318" s="240" t="s">
        <v>1301</v>
      </c>
      <c r="AC318" s="192" t="s">
        <v>1302</v>
      </c>
      <c r="AD318" s="93" t="s">
        <v>1247</v>
      </c>
      <c r="AE318" s="315">
        <f>SUM(AE319:AE321)</f>
        <v>0</v>
      </c>
      <c r="AF318" s="315">
        <f>SUM(AF319:AF321)</f>
        <v>0</v>
      </c>
      <c r="AG318" s="315">
        <f>SUM(AG319:AG321)</f>
        <v>0</v>
      </c>
      <c r="AH318" s="315">
        <f>SUM(AH319:AH321)</f>
        <v>0</v>
      </c>
      <c r="AI318" s="315">
        <f>SUM(AI319:AI321)</f>
        <v>0</v>
      </c>
      <c r="AJ318" s="315">
        <f>SUM(AJ319:AJ321)</f>
        <v>0</v>
      </c>
      <c r="AK318" s="315">
        <f>SUM(AK319:AK321)</f>
        <v>0</v>
      </c>
      <c r="AL318" s="315">
        <f>SUM(AL319:AL321)</f>
        <v>0</v>
      </c>
      <c r="AM318" s="315">
        <f>SUM(AM319:AM321)</f>
        <v>0</v>
      </c>
      <c r="AN318" s="315">
        <f>SUM(AN319:AN321)</f>
        <v>0</v>
      </c>
      <c r="AO318" s="315">
        <f>SUM(AO319:AO321)</f>
        <v>0</v>
      </c>
      <c r="AP318" s="315">
        <f>SUM(AP319:AP321)</f>
        <v>0</v>
      </c>
      <c r="AQ318" s="315">
        <f>SUM(AQ319:AQ321)</f>
        <v>0</v>
      </c>
      <c r="AR318" s="315">
        <f>SUM(AR319:AR321)</f>
        <v>0</v>
      </c>
      <c r="AS318" s="315">
        <f>SUM(AS319:AS321)</f>
        <v>0</v>
      </c>
      <c r="AT318" s="315">
        <f>SUM(AT319:AT321)</f>
        <v>0</v>
      </c>
      <c r="AU318" s="315">
        <f>SUM(AU319:AU321)</f>
        <v>0</v>
      </c>
      <c r="AV318" s="315">
        <f>SUM(AV319:AV321)</f>
        <v>0</v>
      </c>
      <c r="AW318" s="315">
        <f>SUM(AW319:AW321)</f>
        <v>0</v>
      </c>
      <c r="AX318" s="315">
        <f>SUM(AX319:AX321)</f>
        <v>0</v>
      </c>
      <c r="AY318" s="315">
        <f>SUM(AY319:AY321)</f>
        <v>0</v>
      </c>
      <c r="AZ318" s="315">
        <f>SUM(AZ319:AZ321)</f>
        <v>0</v>
      </c>
      <c r="BA318" s="315">
        <f>SUM(BA319:BA321)</f>
        <v>0</v>
      </c>
      <c r="BB318" s="315">
        <f>SUM(BB319:BB321)</f>
        <v>0</v>
      </c>
      <c r="BC318" s="2117"/>
      <c r="BD318" s="1304"/>
      <c r="BE318" s="1304"/>
      <c r="BF318" s="1015" t="s">
        <v>1303</v>
      </c>
    </row>
    <row s="1834" customFormat="1" customHeight="1" ht="14.25" hidden="1">
      <c r="A319" s="1304"/>
      <c r="B319" s="1436"/>
      <c r="C319" s="1304"/>
      <c r="D319" s="1304"/>
      <c r="E319" s="632">
        <v>15</v>
      </c>
      <c r="F319" s="50" cm="1" t="str">
        <f t="array" ref="F319:F319">OFFSET(E319,-1,1)</f>
        <v>3</v>
      </c>
      <c r="G319" s="1304"/>
      <c r="H319" s="98" t="s">
        <v>1304</v>
      </c>
      <c r="I319" s="1304"/>
      <c r="J319" s="1304"/>
      <c r="K319" s="1304"/>
      <c r="L319" s="1304"/>
      <c r="M319" s="1304"/>
      <c r="N319" s="1304"/>
      <c r="O319" s="1304"/>
      <c r="P319" s="1442"/>
      <c r="Q319" s="1442"/>
      <c r="R319" s="1442"/>
      <c r="S319" s="1442"/>
      <c r="T319" s="465" cm="1" t="str">
        <f t="array" ref="T319:T319">T318</f>
        <v>false</v>
      </c>
      <c r="U319" s="1442"/>
      <c r="V319" s="1304"/>
      <c r="W319" s="1442"/>
      <c r="X319" s="1563"/>
      <c r="Y319" s="1545"/>
      <c r="Z319" s="1304"/>
      <c r="AA319" s="1304"/>
      <c r="AB319" s="240" t="s">
        <v>1305</v>
      </c>
      <c r="AC319" s="332" t="s">
        <v>1306</v>
      </c>
      <c r="AD319" s="93" t="s">
        <v>1247</v>
      </c>
      <c r="AE319" s="2113"/>
      <c r="AF319" s="2113"/>
      <c r="AG319" s="2113"/>
      <c r="AH319" s="2113"/>
      <c r="AI319" s="2113"/>
      <c r="AJ319" s="2113"/>
      <c r="AK319" s="2113"/>
      <c r="AL319" s="2113"/>
      <c r="AM319" s="2113"/>
      <c r="AN319" s="2113"/>
      <c r="AO319" s="2113"/>
      <c r="AP319" s="2113"/>
      <c r="AQ319" s="2113"/>
      <c r="AR319" s="2113"/>
      <c r="AS319" s="2113"/>
      <c r="AT319" s="2113"/>
      <c r="AU319" s="2113"/>
      <c r="AV319" s="2113"/>
      <c r="AW319" s="2113"/>
      <c r="AX319" s="2113"/>
      <c r="AY319" s="2113"/>
      <c r="AZ319" s="2113"/>
      <c r="BA319" s="2113"/>
      <c r="BB319" s="2113"/>
      <c r="BC319" s="2117"/>
      <c r="BD319" s="1304"/>
      <c r="BE319" s="1304"/>
      <c r="BF319" s="1015" t="s">
        <v>1307</v>
      </c>
    </row>
    <row s="1834" customFormat="1" customHeight="1" ht="14.25" hidden="1">
      <c r="A320" s="1304"/>
      <c r="B320" s="1436"/>
      <c r="C320" s="1304"/>
      <c r="D320" s="1304"/>
      <c r="E320" s="632">
        <v>15</v>
      </c>
      <c r="F320" s="50" cm="1" t="str">
        <f t="array" ref="F320:F320">OFFSET(E320,-1,1)</f>
        <v>3</v>
      </c>
      <c r="G320" s="1304"/>
      <c r="H320" s="98" t="s">
        <v>1308</v>
      </c>
      <c r="I320" s="1304"/>
      <c r="J320" s="1304"/>
      <c r="K320" s="1304"/>
      <c r="L320" s="1304"/>
      <c r="M320" s="1304"/>
      <c r="N320" s="1304"/>
      <c r="O320" s="1304"/>
      <c r="P320" s="1442"/>
      <c r="Q320" s="1442"/>
      <c r="R320" s="1442"/>
      <c r="S320" s="1442"/>
      <c r="T320" s="465" cm="1" t="str">
        <f t="array" ref="T320:T320">T319</f>
        <v>false</v>
      </c>
      <c r="U320" s="1442"/>
      <c r="V320" s="1304"/>
      <c r="W320" s="1442"/>
      <c r="X320" s="1563"/>
      <c r="Y320" s="1545"/>
      <c r="Z320" s="1304"/>
      <c r="AA320" s="1304"/>
      <c r="AB320" s="240" t="s">
        <v>1309</v>
      </c>
      <c r="AC320" s="332" t="s">
        <v>1310</v>
      </c>
      <c r="AD320" s="93" t="s">
        <v>1247</v>
      </c>
      <c r="AE320" s="2113"/>
      <c r="AF320" s="2113"/>
      <c r="AG320" s="2113"/>
      <c r="AH320" s="2113"/>
      <c r="AI320" s="2113"/>
      <c r="AJ320" s="2113"/>
      <c r="AK320" s="2113"/>
      <c r="AL320" s="2113"/>
      <c r="AM320" s="2113"/>
      <c r="AN320" s="2113"/>
      <c r="AO320" s="2113"/>
      <c r="AP320" s="2113"/>
      <c r="AQ320" s="2113"/>
      <c r="AR320" s="2113"/>
      <c r="AS320" s="2113"/>
      <c r="AT320" s="2113"/>
      <c r="AU320" s="2113"/>
      <c r="AV320" s="2113"/>
      <c r="AW320" s="2113"/>
      <c r="AX320" s="2113"/>
      <c r="AY320" s="2113"/>
      <c r="AZ320" s="2113"/>
      <c r="BA320" s="2113"/>
      <c r="BB320" s="2113"/>
      <c r="BC320" s="2117"/>
      <c r="BD320" s="1304"/>
      <c r="BE320" s="1304"/>
      <c r="BF320" s="1015" t="s">
        <v>1311</v>
      </c>
    </row>
    <row s="1834" customFormat="1" customHeight="1" ht="14.25" hidden="1">
      <c r="A321" s="1304"/>
      <c r="B321" s="1436"/>
      <c r="C321" s="1304"/>
      <c r="D321" s="1304"/>
      <c r="E321" s="632">
        <v>15</v>
      </c>
      <c r="F321" s="50" cm="1" t="str">
        <f t="array" ref="F321:F321">OFFSET(E321,-1,1)</f>
        <v>3</v>
      </c>
      <c r="G321" s="1304"/>
      <c r="H321" s="98" t="s">
        <v>1312</v>
      </c>
      <c r="I321" s="1304"/>
      <c r="J321" s="1304"/>
      <c r="K321" s="1304"/>
      <c r="L321" s="1304"/>
      <c r="M321" s="1304"/>
      <c r="N321" s="1304"/>
      <c r="O321" s="1304"/>
      <c r="P321" s="1442"/>
      <c r="Q321" s="1442"/>
      <c r="R321" s="1442"/>
      <c r="S321" s="1442"/>
      <c r="T321" s="465" cm="1" t="str">
        <f t="array" ref="T321:T321">T320</f>
        <v>false</v>
      </c>
      <c r="U321" s="1442"/>
      <c r="V321" s="1304"/>
      <c r="W321" s="1442"/>
      <c r="X321" s="1563"/>
      <c r="Y321" s="1545"/>
      <c r="Z321" s="1304"/>
      <c r="AA321" s="1304"/>
      <c r="AB321" s="240" t="s">
        <v>1313</v>
      </c>
      <c r="AC321" s="332" t="s">
        <v>1314</v>
      </c>
      <c r="AD321" s="93" t="s">
        <v>1247</v>
      </c>
      <c r="AE321" s="2113"/>
      <c r="AF321" s="2113"/>
      <c r="AG321" s="2113"/>
      <c r="AH321" s="2113"/>
      <c r="AI321" s="2113"/>
      <c r="AJ321" s="2113"/>
      <c r="AK321" s="2113"/>
      <c r="AL321" s="2113"/>
      <c r="AM321" s="2113"/>
      <c r="AN321" s="2113"/>
      <c r="AO321" s="2113"/>
      <c r="AP321" s="2113"/>
      <c r="AQ321" s="2113"/>
      <c r="AR321" s="2113"/>
      <c r="AS321" s="2113"/>
      <c r="AT321" s="2113"/>
      <c r="AU321" s="2113"/>
      <c r="AV321" s="2113"/>
      <c r="AW321" s="2113"/>
      <c r="AX321" s="2113"/>
      <c r="AY321" s="2113"/>
      <c r="AZ321" s="2113"/>
      <c r="BA321" s="2113"/>
      <c r="BB321" s="2113"/>
      <c r="BC321" s="2117"/>
      <c r="BD321" s="1304"/>
      <c r="BE321" s="1304"/>
      <c r="BF321" s="1015" t="s">
        <v>1315</v>
      </c>
    </row>
    <row s="1834" customFormat="1" customHeight="1" ht="14.25" hidden="1">
      <c r="A322" s="1304"/>
      <c r="B322" s="1436"/>
      <c r="C322" s="1304"/>
      <c r="D322" s="1304"/>
      <c r="E322" s="632">
        <v>15</v>
      </c>
      <c r="F322" s="50" cm="1" t="str">
        <f t="array" ref="F322:F322">OFFSET(E322,-1,1)</f>
        <v>3</v>
      </c>
      <c r="G322" s="98" t="s">
        <v>1316</v>
      </c>
      <c r="H322" s="98" t="s">
        <v>1317</v>
      </c>
      <c r="I322" s="1304"/>
      <c r="J322" s="1304"/>
      <c r="K322" s="1304"/>
      <c r="L322" s="1304"/>
      <c r="M322" s="1304"/>
      <c r="N322" s="1304"/>
      <c r="O322" s="1304"/>
      <c r="P322" s="1442"/>
      <c r="Q322" s="1442"/>
      <c r="R322" s="1442"/>
      <c r="S322" s="1442"/>
      <c r="T322" s="465" cm="1" t="str">
        <f t="array" ref="T322:T322">T321</f>
        <v>false</v>
      </c>
      <c r="U322" s="1442"/>
      <c r="V322" s="1304"/>
      <c r="W322" s="1442"/>
      <c r="X322" s="1563"/>
      <c r="Y322" s="1545"/>
      <c r="Z322" s="1304"/>
      <c r="AA322" s="1304"/>
      <c r="AB322" s="240" t="s">
        <v>1318</v>
      </c>
      <c r="AC322" s="192" t="s">
        <v>1319</v>
      </c>
      <c r="AD322" s="93" t="s">
        <v>1247</v>
      </c>
      <c r="AE322" s="315">
        <f>SUM(AE323:AE324)</f>
        <v>0</v>
      </c>
      <c r="AF322" s="315">
        <f>SUM(AF323:AF324)</f>
        <v>0</v>
      </c>
      <c r="AG322" s="315">
        <f>SUM(AG323:AG324)</f>
        <v>0</v>
      </c>
      <c r="AH322" s="315">
        <f>SUM(AH323:AH324)</f>
        <v>0</v>
      </c>
      <c r="AI322" s="315">
        <f>SUM(AI323:AI324)</f>
        <v>0</v>
      </c>
      <c r="AJ322" s="315">
        <f>SUM(AJ323:AJ324)</f>
        <v>0</v>
      </c>
      <c r="AK322" s="315">
        <f>SUM(AK323:AK324)</f>
        <v>0</v>
      </c>
      <c r="AL322" s="315">
        <f>SUM(AL323:AL324)</f>
        <v>0</v>
      </c>
      <c r="AM322" s="315">
        <f>SUM(AM323:AM324)</f>
        <v>0</v>
      </c>
      <c r="AN322" s="315">
        <f>SUM(AN323:AN324)</f>
        <v>0</v>
      </c>
      <c r="AO322" s="315">
        <f>SUM(AO323:AO324)</f>
        <v>0</v>
      </c>
      <c r="AP322" s="315">
        <f>SUM(AP323:AP324)</f>
        <v>0</v>
      </c>
      <c r="AQ322" s="315">
        <f>SUM(AQ323:AQ324)</f>
        <v>0</v>
      </c>
      <c r="AR322" s="315">
        <f>SUM(AR323:AR324)</f>
        <v>0</v>
      </c>
      <c r="AS322" s="315">
        <f>SUM(AS323:AS324)</f>
        <v>0</v>
      </c>
      <c r="AT322" s="315">
        <f>SUM(AT323:AT324)</f>
        <v>0</v>
      </c>
      <c r="AU322" s="315">
        <f>SUM(AU323:AU324)</f>
        <v>0</v>
      </c>
      <c r="AV322" s="315">
        <f>SUM(AV323:AV324)</f>
        <v>0</v>
      </c>
      <c r="AW322" s="315">
        <f>SUM(AW323:AW324)</f>
        <v>0</v>
      </c>
      <c r="AX322" s="315">
        <f>SUM(AX323:AX324)</f>
        <v>0</v>
      </c>
      <c r="AY322" s="315">
        <f>SUM(AY323:AY324)</f>
        <v>0</v>
      </c>
      <c r="AZ322" s="315">
        <f>SUM(AZ323:AZ324)</f>
        <v>0</v>
      </c>
      <c r="BA322" s="315">
        <f>SUM(BA323:BA324)</f>
        <v>0</v>
      </c>
      <c r="BB322" s="315">
        <f>SUM(BB323:BB324)</f>
        <v>0</v>
      </c>
      <c r="BC322" s="2117"/>
      <c r="BD322" s="1304"/>
      <c r="BE322" s="1304"/>
      <c r="BF322" s="1015" t="s">
        <v>1320</v>
      </c>
    </row>
    <row s="1834" customFormat="1" customHeight="1" ht="14.25" hidden="1">
      <c r="A323" s="1304"/>
      <c r="B323" s="1436"/>
      <c r="C323" s="1304"/>
      <c r="D323" s="1304"/>
      <c r="E323" s="632">
        <v>15</v>
      </c>
      <c r="F323" s="50" cm="1" t="str">
        <f t="array" ref="F323:F323">OFFSET(E323,-1,1)</f>
        <v>3</v>
      </c>
      <c r="G323" s="1304"/>
      <c r="H323" s="98" t="s">
        <v>1321</v>
      </c>
      <c r="I323" s="1304"/>
      <c r="J323" s="1304"/>
      <c r="K323" s="1304"/>
      <c r="L323" s="1304"/>
      <c r="M323" s="1304"/>
      <c r="N323" s="1304"/>
      <c r="O323" s="1304"/>
      <c r="P323" s="1442"/>
      <c r="Q323" s="1442"/>
      <c r="R323" s="1442"/>
      <c r="S323" s="1442"/>
      <c r="T323" s="465" cm="1" t="str">
        <f t="array" ref="T323:T323">T322</f>
        <v>false</v>
      </c>
      <c r="U323" s="1442"/>
      <c r="V323" s="1304"/>
      <c r="W323" s="1442"/>
      <c r="X323" s="1563"/>
      <c r="Y323" s="1545"/>
      <c r="Z323" s="1304"/>
      <c r="AA323" s="1304"/>
      <c r="AB323" s="240" t="s">
        <v>1322</v>
      </c>
      <c r="AC323" s="332" t="s">
        <v>1323</v>
      </c>
      <c r="AD323" s="93" t="s">
        <v>1247</v>
      </c>
      <c r="AE323" s="2113"/>
      <c r="AF323" s="2113"/>
      <c r="AG323" s="2113"/>
      <c r="AH323" s="2113"/>
      <c r="AI323" s="2113"/>
      <c r="AJ323" s="2113"/>
      <c r="AK323" s="2113"/>
      <c r="AL323" s="2113"/>
      <c r="AM323" s="2113"/>
      <c r="AN323" s="2113"/>
      <c r="AO323" s="2113"/>
      <c r="AP323" s="2113"/>
      <c r="AQ323" s="2113"/>
      <c r="AR323" s="2113"/>
      <c r="AS323" s="2113"/>
      <c r="AT323" s="2113"/>
      <c r="AU323" s="2113"/>
      <c r="AV323" s="2113"/>
      <c r="AW323" s="2113"/>
      <c r="AX323" s="2113"/>
      <c r="AY323" s="2113"/>
      <c r="AZ323" s="2113"/>
      <c r="BA323" s="2113"/>
      <c r="BB323" s="2113"/>
      <c r="BC323" s="2117"/>
      <c r="BD323" s="1304"/>
      <c r="BE323" s="1304"/>
      <c r="BF323" s="1015" t="s">
        <v>1324</v>
      </c>
    </row>
    <row s="1834" customFormat="1" customHeight="1" ht="14.25" hidden="1">
      <c r="A324" s="1304"/>
      <c r="B324" s="1436"/>
      <c r="C324" s="1304"/>
      <c r="D324" s="1304"/>
      <c r="E324" s="632">
        <v>15</v>
      </c>
      <c r="F324" s="50" cm="1" t="str">
        <f t="array" ref="F324:F324">OFFSET(E324,-1,1)</f>
        <v>3</v>
      </c>
      <c r="G324" s="1304"/>
      <c r="H324" s="98" t="s">
        <v>1325</v>
      </c>
      <c r="I324" s="1304"/>
      <c r="J324" s="1304"/>
      <c r="K324" s="1304"/>
      <c r="L324" s="1304"/>
      <c r="M324" s="1304"/>
      <c r="N324" s="1304"/>
      <c r="O324" s="1304"/>
      <c r="P324" s="1442"/>
      <c r="Q324" s="1442"/>
      <c r="R324" s="1442"/>
      <c r="S324" s="1442"/>
      <c r="T324" s="465" cm="1" t="str">
        <f t="array" ref="T324:T324">T323</f>
        <v>false</v>
      </c>
      <c r="U324" s="1442"/>
      <c r="V324" s="1304"/>
      <c r="W324" s="1442"/>
      <c r="X324" s="1563"/>
      <c r="Y324" s="1545"/>
      <c r="Z324" s="1304"/>
      <c r="AA324" s="1304"/>
      <c r="AB324" s="240" t="s">
        <v>1326</v>
      </c>
      <c r="AC324" s="332" t="s">
        <v>1327</v>
      </c>
      <c r="AD324" s="93" t="s">
        <v>1247</v>
      </c>
      <c r="AE324" s="2113"/>
      <c r="AF324" s="2113"/>
      <c r="AG324" s="2113"/>
      <c r="AH324" s="2113"/>
      <c r="AI324" s="2113"/>
      <c r="AJ324" s="2113"/>
      <c r="AK324" s="2113"/>
      <c r="AL324" s="2113"/>
      <c r="AM324" s="2113"/>
      <c r="AN324" s="2113"/>
      <c r="AO324" s="2113"/>
      <c r="AP324" s="2113"/>
      <c r="AQ324" s="2113"/>
      <c r="AR324" s="2113"/>
      <c r="AS324" s="2113"/>
      <c r="AT324" s="2113"/>
      <c r="AU324" s="2113"/>
      <c r="AV324" s="2113"/>
      <c r="AW324" s="2113"/>
      <c r="AX324" s="2113"/>
      <c r="AY324" s="2113"/>
      <c r="AZ324" s="2113"/>
      <c r="BA324" s="2113"/>
      <c r="BB324" s="2113"/>
      <c r="BC324" s="2117"/>
      <c r="BD324" s="1304"/>
      <c r="BE324" s="1304"/>
      <c r="BF324" s="1015" t="s">
        <v>1328</v>
      </c>
    </row>
    <row s="1834" customFormat="1" customHeight="1" ht="14.25" hidden="1">
      <c r="A325" s="1304"/>
      <c r="B325" s="1436"/>
      <c r="C325" s="1304"/>
      <c r="D325" s="1304"/>
      <c r="E325" s="632">
        <v>15</v>
      </c>
      <c r="F325" s="50" cm="1" t="str">
        <f t="array" ref="F325:F325">OFFSET(E325,-1,1)</f>
        <v>3</v>
      </c>
      <c r="G325" s="98" t="s">
        <v>1316</v>
      </c>
      <c r="H325" s="98" t="s">
        <v>1329</v>
      </c>
      <c r="I325" s="1304"/>
      <c r="J325" s="1304"/>
      <c r="K325" s="1304"/>
      <c r="L325" s="1304"/>
      <c r="M325" s="1304"/>
      <c r="N325" s="1304"/>
      <c r="O325" s="1304"/>
      <c r="P325" s="1442"/>
      <c r="Q325" s="1442"/>
      <c r="R325" s="1442"/>
      <c r="S325" s="1442"/>
      <c r="T325" s="465" cm="1" t="str">
        <f t="array" ref="T325:T325">T324</f>
        <v>false</v>
      </c>
      <c r="U325" s="1442"/>
      <c r="V325" s="1304"/>
      <c r="W325" s="1442"/>
      <c r="X325" s="1563"/>
      <c r="Y325" s="1545"/>
      <c r="Z325" s="1304"/>
      <c r="AA325" s="1304"/>
      <c r="AB325" s="240" t="s">
        <v>1330</v>
      </c>
      <c r="AC325" s="192" t="s">
        <v>1331</v>
      </c>
      <c r="AD325" s="93" t="s">
        <v>1247</v>
      </c>
      <c r="AE325" s="315">
        <f>AE326+AE329+AE332</f>
        <v>0</v>
      </c>
      <c r="AF325" s="315">
        <f>AF326+AF329+AF332</f>
        <v>0</v>
      </c>
      <c r="AG325" s="315">
        <f>AG326+AG329+AG332</f>
        <v>0</v>
      </c>
      <c r="AH325" s="315">
        <f>AH326+AH329+AH332</f>
        <v>0</v>
      </c>
      <c r="AI325" s="315">
        <f>AI326+AI329+AI332</f>
        <v>0</v>
      </c>
      <c r="AJ325" s="315">
        <f>AJ326+AJ329+AJ332</f>
        <v>0</v>
      </c>
      <c r="AK325" s="315">
        <f>AK326+AK329+AK332</f>
        <v>0</v>
      </c>
      <c r="AL325" s="315">
        <f>AL326+AL329+AL332</f>
        <v>0</v>
      </c>
      <c r="AM325" s="315">
        <f>AM326+AM329+AM332</f>
        <v>0</v>
      </c>
      <c r="AN325" s="315">
        <f>AN326+AN329+AN332</f>
        <v>0</v>
      </c>
      <c r="AO325" s="315">
        <f>AO326+AO329+AO332</f>
        <v>0</v>
      </c>
      <c r="AP325" s="315">
        <f>AP326+AP329+AP332</f>
        <v>0</v>
      </c>
      <c r="AQ325" s="315">
        <f>AQ326+AQ329+AQ332</f>
        <v>0</v>
      </c>
      <c r="AR325" s="315">
        <f>AR326+AR329+AR332</f>
        <v>0</v>
      </c>
      <c r="AS325" s="315">
        <f>AS326+AS329+AS332</f>
        <v>0</v>
      </c>
      <c r="AT325" s="315">
        <f>AT326+AT329+AT332</f>
        <v>0</v>
      </c>
      <c r="AU325" s="315">
        <f>AU326+AU329+AU332</f>
        <v>0</v>
      </c>
      <c r="AV325" s="315">
        <f>AV326+AV329+AV332</f>
        <v>0</v>
      </c>
      <c r="AW325" s="315">
        <f>AW326+AW329+AW332</f>
        <v>0</v>
      </c>
      <c r="AX325" s="315">
        <f>AX326+AX329+AX332</f>
        <v>0</v>
      </c>
      <c r="AY325" s="315">
        <f>AY326+AY329+AY332</f>
        <v>0</v>
      </c>
      <c r="AZ325" s="315">
        <f>AZ326+AZ329+AZ332</f>
        <v>0</v>
      </c>
      <c r="BA325" s="315">
        <f>BA326+BA329+BA332</f>
        <v>0</v>
      </c>
      <c r="BB325" s="315">
        <f>BB326+BB329+BB332</f>
        <v>0</v>
      </c>
      <c r="BC325" s="2117"/>
      <c r="BD325" s="1304"/>
      <c r="BE325" s="1304"/>
      <c r="BF325" s="1015" t="s">
        <v>1332</v>
      </c>
    </row>
    <row s="1834" customFormat="1" customHeight="1" ht="14.25" hidden="1">
      <c r="A326" s="1304"/>
      <c r="B326" s="1436"/>
      <c r="C326" s="1304"/>
      <c r="D326" s="1304"/>
      <c r="E326" s="632">
        <v>15</v>
      </c>
      <c r="F326" s="50" cm="1" t="str">
        <f t="array" ref="F326:F326">OFFSET(E326,-1,1)</f>
        <v>3</v>
      </c>
      <c r="G326" s="1304"/>
      <c r="H326" s="98" t="s">
        <v>1333</v>
      </c>
      <c r="I326" s="1304"/>
      <c r="J326" s="1304"/>
      <c r="K326" s="1304"/>
      <c r="L326" s="1304"/>
      <c r="M326" s="1304"/>
      <c r="N326" s="1304"/>
      <c r="O326" s="1304"/>
      <c r="P326" s="1442"/>
      <c r="Q326" s="1442"/>
      <c r="R326" s="1442"/>
      <c r="S326" s="1442"/>
      <c r="T326" s="465" cm="1" t="str">
        <f t="array" ref="T326:T326">T325</f>
        <v>false</v>
      </c>
      <c r="U326" s="1442"/>
      <c r="V326" s="1304"/>
      <c r="W326" s="1442"/>
      <c r="X326" s="1563"/>
      <c r="Y326" s="1545"/>
      <c r="Z326" s="1304"/>
      <c r="AA326" s="1304"/>
      <c r="AB326" s="240" t="s">
        <v>1334</v>
      </c>
      <c r="AC326" s="332" t="s">
        <v>1335</v>
      </c>
      <c r="AD326" s="93" t="s">
        <v>1247</v>
      </c>
      <c r="AE326" s="315">
        <f>SUM(AE327:AE328)</f>
        <v>0</v>
      </c>
      <c r="AF326" s="315">
        <f>SUM(AF327:AF328)</f>
        <v>0</v>
      </c>
      <c r="AG326" s="315">
        <f>SUM(AG327:AG328)</f>
        <v>0</v>
      </c>
      <c r="AH326" s="315">
        <f>SUM(AH327:AH328)</f>
        <v>0</v>
      </c>
      <c r="AI326" s="315">
        <f>SUM(AI327:AI328)</f>
        <v>0</v>
      </c>
      <c r="AJ326" s="315">
        <f>SUM(AJ327:AJ328)</f>
        <v>0</v>
      </c>
      <c r="AK326" s="315">
        <f>SUM(AK327:AK328)</f>
        <v>0</v>
      </c>
      <c r="AL326" s="315">
        <f>SUM(AL327:AL328)</f>
        <v>0</v>
      </c>
      <c r="AM326" s="315">
        <f>SUM(AM327:AM328)</f>
        <v>0</v>
      </c>
      <c r="AN326" s="315">
        <f>SUM(AN327:AN328)</f>
        <v>0</v>
      </c>
      <c r="AO326" s="315">
        <f>SUM(AO327:AO328)</f>
        <v>0</v>
      </c>
      <c r="AP326" s="315">
        <f>SUM(AP327:AP328)</f>
        <v>0</v>
      </c>
      <c r="AQ326" s="315">
        <f>SUM(AQ327:AQ328)</f>
        <v>0</v>
      </c>
      <c r="AR326" s="315">
        <f>SUM(AR327:AR328)</f>
        <v>0</v>
      </c>
      <c r="AS326" s="315">
        <f>SUM(AS327:AS328)</f>
        <v>0</v>
      </c>
      <c r="AT326" s="315">
        <f>SUM(AT327:AT328)</f>
        <v>0</v>
      </c>
      <c r="AU326" s="315">
        <f>SUM(AU327:AU328)</f>
        <v>0</v>
      </c>
      <c r="AV326" s="315">
        <f>SUM(AV327:AV328)</f>
        <v>0</v>
      </c>
      <c r="AW326" s="315">
        <f>SUM(AW327:AW328)</f>
        <v>0</v>
      </c>
      <c r="AX326" s="315">
        <f>SUM(AX327:AX328)</f>
        <v>0</v>
      </c>
      <c r="AY326" s="315">
        <f>SUM(AY327:AY328)</f>
        <v>0</v>
      </c>
      <c r="AZ326" s="315">
        <f>SUM(AZ327:AZ328)</f>
        <v>0</v>
      </c>
      <c r="BA326" s="315">
        <f>SUM(BA327:BA328)</f>
        <v>0</v>
      </c>
      <c r="BB326" s="315">
        <f>SUM(BB327:BB328)</f>
        <v>0</v>
      </c>
      <c r="BC326" s="2117"/>
      <c r="BD326" s="1304"/>
      <c r="BE326" s="1304"/>
      <c r="BF326" s="1015" t="s">
        <v>1336</v>
      </c>
    </row>
    <row s="1834" customFormat="1" customHeight="1" ht="14.25" hidden="1">
      <c r="A327" s="1304"/>
      <c r="B327" s="1436"/>
      <c r="C327" s="1304"/>
      <c r="D327" s="1304"/>
      <c r="E327" s="632">
        <v>15</v>
      </c>
      <c r="F327" s="50" cm="1" t="str">
        <f t="array" ref="F327:F327">OFFSET(E327,-1,1)</f>
        <v>3</v>
      </c>
      <c r="G327" s="1304"/>
      <c r="H327" s="98" t="s">
        <v>1337</v>
      </c>
      <c r="I327" s="1304"/>
      <c r="J327" s="1304"/>
      <c r="K327" s="1304"/>
      <c r="L327" s="1304"/>
      <c r="M327" s="1304"/>
      <c r="N327" s="1304"/>
      <c r="O327" s="1304"/>
      <c r="P327" s="1442"/>
      <c r="Q327" s="1442"/>
      <c r="R327" s="1442"/>
      <c r="S327" s="1442"/>
      <c r="T327" s="465" cm="1" t="str">
        <f t="array" ref="T327:T327">T326</f>
        <v>false</v>
      </c>
      <c r="U327" s="1442"/>
      <c r="V327" s="1304"/>
      <c r="W327" s="1442"/>
      <c r="X327" s="1563"/>
      <c r="Y327" s="1545"/>
      <c r="Z327" s="1304"/>
      <c r="AA327" s="1304"/>
      <c r="AB327" s="240" t="s">
        <v>1338</v>
      </c>
      <c r="AC327" s="333" t="s">
        <v>1323</v>
      </c>
      <c r="AD327" s="93" t="s">
        <v>1247</v>
      </c>
      <c r="AE327" s="2113"/>
      <c r="AF327" s="2113"/>
      <c r="AG327" s="2113"/>
      <c r="AH327" s="2113"/>
      <c r="AI327" s="2113"/>
      <c r="AJ327" s="2113"/>
      <c r="AK327" s="2113"/>
      <c r="AL327" s="2113"/>
      <c r="AM327" s="2113"/>
      <c r="AN327" s="2113"/>
      <c r="AO327" s="2113"/>
      <c r="AP327" s="2113"/>
      <c r="AQ327" s="2113"/>
      <c r="AR327" s="2113"/>
      <c r="AS327" s="2113"/>
      <c r="AT327" s="2113"/>
      <c r="AU327" s="2113"/>
      <c r="AV327" s="2113"/>
      <c r="AW327" s="2113"/>
      <c r="AX327" s="2113"/>
      <c r="AY327" s="2113"/>
      <c r="AZ327" s="2113"/>
      <c r="BA327" s="2113"/>
      <c r="BB327" s="2113"/>
      <c r="BC327" s="2117"/>
      <c r="BD327" s="1304"/>
      <c r="BE327" s="1304"/>
      <c r="BF327" s="1015" t="s">
        <v>1339</v>
      </c>
    </row>
    <row s="1834" customFormat="1" customHeight="1" ht="14.25" hidden="1">
      <c r="A328" s="1304"/>
      <c r="B328" s="1436"/>
      <c r="C328" s="1304"/>
      <c r="D328" s="1304"/>
      <c r="E328" s="632">
        <v>15</v>
      </c>
      <c r="F328" s="50" cm="1" t="str">
        <f t="array" ref="F328:F328">OFFSET(E328,-1,1)</f>
        <v>3</v>
      </c>
      <c r="G328" s="1304"/>
      <c r="H328" s="98" t="s">
        <v>1340</v>
      </c>
      <c r="I328" s="1304"/>
      <c r="J328" s="1304"/>
      <c r="K328" s="1304"/>
      <c r="L328" s="1304"/>
      <c r="M328" s="1304"/>
      <c r="N328" s="1304"/>
      <c r="O328" s="1304"/>
      <c r="P328" s="1442"/>
      <c r="Q328" s="1442"/>
      <c r="R328" s="1442"/>
      <c r="S328" s="1442"/>
      <c r="T328" s="465" cm="1" t="str">
        <f t="array" ref="T328:T328">T327</f>
        <v>false</v>
      </c>
      <c r="U328" s="1442"/>
      <c r="V328" s="1304"/>
      <c r="W328" s="1442"/>
      <c r="X328" s="1563"/>
      <c r="Y328" s="1545"/>
      <c r="Z328" s="1304"/>
      <c r="AA328" s="1304"/>
      <c r="AB328" s="240" t="s">
        <v>1341</v>
      </c>
      <c r="AC328" s="333" t="s">
        <v>1327</v>
      </c>
      <c r="AD328" s="93" t="s">
        <v>1247</v>
      </c>
      <c r="AE328" s="2113"/>
      <c r="AF328" s="2113"/>
      <c r="AG328" s="2113"/>
      <c r="AH328" s="2113"/>
      <c r="AI328" s="2113"/>
      <c r="AJ328" s="2113"/>
      <c r="AK328" s="2113"/>
      <c r="AL328" s="2113"/>
      <c r="AM328" s="2113"/>
      <c r="AN328" s="2113"/>
      <c r="AO328" s="2113"/>
      <c r="AP328" s="2113"/>
      <c r="AQ328" s="2113"/>
      <c r="AR328" s="2113"/>
      <c r="AS328" s="2113"/>
      <c r="AT328" s="2113"/>
      <c r="AU328" s="2113"/>
      <c r="AV328" s="2113"/>
      <c r="AW328" s="2113"/>
      <c r="AX328" s="2113"/>
      <c r="AY328" s="2113"/>
      <c r="AZ328" s="2113"/>
      <c r="BA328" s="2113"/>
      <c r="BB328" s="2113"/>
      <c r="BC328" s="2117"/>
      <c r="BD328" s="1304"/>
      <c r="BE328" s="1304"/>
      <c r="BF328" s="1015" t="s">
        <v>1342</v>
      </c>
    </row>
    <row s="1834" customFormat="1" customHeight="1" ht="14.25" hidden="1">
      <c r="A329" s="1304"/>
      <c r="B329" s="1436"/>
      <c r="C329" s="1304"/>
      <c r="D329" s="1304"/>
      <c r="E329" s="632">
        <v>15</v>
      </c>
      <c r="F329" s="50" cm="1" t="str">
        <f t="array" ref="F329:F329">OFFSET(E329,-1,1)</f>
        <v>3</v>
      </c>
      <c r="G329" s="98" t="s">
        <v>1343</v>
      </c>
      <c r="H329" s="98" t="s">
        <v>1344</v>
      </c>
      <c r="I329" s="1304"/>
      <c r="J329" s="1304"/>
      <c r="K329" s="1304"/>
      <c r="L329" s="1304"/>
      <c r="M329" s="1304"/>
      <c r="N329" s="1304"/>
      <c r="O329" s="1304"/>
      <c r="P329" s="1442"/>
      <c r="Q329" s="1442"/>
      <c r="R329" s="1442"/>
      <c r="S329" s="1442"/>
      <c r="T329" s="465" cm="1" t="str">
        <f t="array" ref="T329:T329">T328</f>
        <v>false</v>
      </c>
      <c r="U329" s="1442"/>
      <c r="V329" s="1304"/>
      <c r="W329" s="1442"/>
      <c r="X329" s="1563"/>
      <c r="Y329" s="1545"/>
      <c r="Z329" s="1304"/>
      <c r="AA329" s="1304"/>
      <c r="AB329" s="240" t="s">
        <v>1345</v>
      </c>
      <c r="AC329" s="332" t="s">
        <v>1346</v>
      </c>
      <c r="AD329" s="93" t="s">
        <v>1247</v>
      </c>
      <c r="AE329" s="315">
        <f>SUM(AE330:AE331)</f>
        <v>0</v>
      </c>
      <c r="AF329" s="315">
        <f>SUM(AF330:AF331)</f>
        <v>0</v>
      </c>
      <c r="AG329" s="315">
        <f>SUM(AG330:AG331)</f>
        <v>0</v>
      </c>
      <c r="AH329" s="315">
        <f>SUM(AH330:AH331)</f>
        <v>0</v>
      </c>
      <c r="AI329" s="315">
        <f>SUM(AI330:AI331)</f>
        <v>0</v>
      </c>
      <c r="AJ329" s="315">
        <f>SUM(AJ330:AJ331)</f>
        <v>0</v>
      </c>
      <c r="AK329" s="315">
        <f>SUM(AK330:AK331)</f>
        <v>0</v>
      </c>
      <c r="AL329" s="315">
        <f>SUM(AL330:AL331)</f>
        <v>0</v>
      </c>
      <c r="AM329" s="315">
        <f>SUM(AM330:AM331)</f>
        <v>0</v>
      </c>
      <c r="AN329" s="315">
        <f>SUM(AN330:AN331)</f>
        <v>0</v>
      </c>
      <c r="AO329" s="315">
        <f>SUM(AO330:AO331)</f>
        <v>0</v>
      </c>
      <c r="AP329" s="315">
        <f>SUM(AP330:AP331)</f>
        <v>0</v>
      </c>
      <c r="AQ329" s="315">
        <f>SUM(AQ330:AQ331)</f>
        <v>0</v>
      </c>
      <c r="AR329" s="315">
        <f>SUM(AR330:AR331)</f>
        <v>0</v>
      </c>
      <c r="AS329" s="315">
        <f>SUM(AS330:AS331)</f>
        <v>0</v>
      </c>
      <c r="AT329" s="315">
        <f>SUM(AT330:AT331)</f>
        <v>0</v>
      </c>
      <c r="AU329" s="315">
        <f>SUM(AU330:AU331)</f>
        <v>0</v>
      </c>
      <c r="AV329" s="315">
        <f>SUM(AV330:AV331)</f>
        <v>0</v>
      </c>
      <c r="AW329" s="315">
        <f>SUM(AW330:AW331)</f>
        <v>0</v>
      </c>
      <c r="AX329" s="315">
        <f>SUM(AX330:AX331)</f>
        <v>0</v>
      </c>
      <c r="AY329" s="315">
        <f>SUM(AY330:AY331)</f>
        <v>0</v>
      </c>
      <c r="AZ329" s="315">
        <f>SUM(AZ330:AZ331)</f>
        <v>0</v>
      </c>
      <c r="BA329" s="315">
        <f>SUM(BA330:BA331)</f>
        <v>0</v>
      </c>
      <c r="BB329" s="315">
        <f>SUM(BB330:BB331)</f>
        <v>0</v>
      </c>
      <c r="BC329" s="2117"/>
      <c r="BD329" s="1304"/>
      <c r="BE329" s="1304"/>
      <c r="BF329" s="1015" t="s">
        <v>1347</v>
      </c>
    </row>
    <row s="1834" customFormat="1" customHeight="1" ht="14.25" hidden="1">
      <c r="A330" s="1304"/>
      <c r="B330" s="1436"/>
      <c r="C330" s="1304"/>
      <c r="D330" s="1304"/>
      <c r="E330" s="632">
        <v>15</v>
      </c>
      <c r="F330" s="50" cm="1" t="str">
        <f t="array" ref="F330:F330">OFFSET(E330,-1,1)</f>
        <v>3</v>
      </c>
      <c r="G330" s="1304"/>
      <c r="H330" s="98" t="s">
        <v>1348</v>
      </c>
      <c r="I330" s="1304"/>
      <c r="J330" s="1304"/>
      <c r="K330" s="1304"/>
      <c r="L330" s="1304"/>
      <c r="M330" s="1304"/>
      <c r="N330" s="1304"/>
      <c r="O330" s="1304"/>
      <c r="P330" s="1442"/>
      <c r="Q330" s="1442"/>
      <c r="R330" s="1442"/>
      <c r="S330" s="1442"/>
      <c r="T330" s="465" cm="1" t="str">
        <f t="array" ref="T330:T330">T329</f>
        <v>false</v>
      </c>
      <c r="U330" s="1442"/>
      <c r="V330" s="1304"/>
      <c r="W330" s="1442"/>
      <c r="X330" s="1563"/>
      <c r="Y330" s="1545"/>
      <c r="Z330" s="1304"/>
      <c r="AA330" s="1304"/>
      <c r="AB330" s="240" t="s">
        <v>1349</v>
      </c>
      <c r="AC330" s="333" t="s">
        <v>1323</v>
      </c>
      <c r="AD330" s="93" t="s">
        <v>1247</v>
      </c>
      <c r="AE330" s="2113"/>
      <c r="AF330" s="2113"/>
      <c r="AG330" s="2113"/>
      <c r="AH330" s="2113"/>
      <c r="AI330" s="2113"/>
      <c r="AJ330" s="2113"/>
      <c r="AK330" s="2113"/>
      <c r="AL330" s="2113"/>
      <c r="AM330" s="2113"/>
      <c r="AN330" s="2113"/>
      <c r="AO330" s="2113"/>
      <c r="AP330" s="2113"/>
      <c r="AQ330" s="2113"/>
      <c r="AR330" s="2113"/>
      <c r="AS330" s="2113"/>
      <c r="AT330" s="2113"/>
      <c r="AU330" s="2113"/>
      <c r="AV330" s="2113"/>
      <c r="AW330" s="2113"/>
      <c r="AX330" s="2113"/>
      <c r="AY330" s="2113"/>
      <c r="AZ330" s="2113"/>
      <c r="BA330" s="2113"/>
      <c r="BB330" s="2113"/>
      <c r="BC330" s="2117"/>
      <c r="BD330" s="1304"/>
      <c r="BE330" s="1304"/>
      <c r="BF330" s="1015" t="s">
        <v>1350</v>
      </c>
    </row>
    <row s="1834" customFormat="1" customHeight="1" ht="14.25" hidden="1">
      <c r="A331" s="1304"/>
      <c r="B331" s="1436"/>
      <c r="C331" s="1304"/>
      <c r="D331" s="1304"/>
      <c r="E331" s="632">
        <v>15</v>
      </c>
      <c r="F331" s="50" cm="1" t="str">
        <f t="array" ref="F331:F331">OFFSET(E331,-1,1)</f>
        <v>3</v>
      </c>
      <c r="G331" s="1304"/>
      <c r="H331" s="98" t="s">
        <v>1351</v>
      </c>
      <c r="I331" s="1304"/>
      <c r="J331" s="1304"/>
      <c r="K331" s="1304"/>
      <c r="L331" s="1304"/>
      <c r="M331" s="1304"/>
      <c r="N331" s="1304"/>
      <c r="O331" s="1304"/>
      <c r="P331" s="1442"/>
      <c r="Q331" s="1442"/>
      <c r="R331" s="1442"/>
      <c r="S331" s="1442"/>
      <c r="T331" s="465" cm="1" t="str">
        <f t="array" ref="T331:T331">T330</f>
        <v>false</v>
      </c>
      <c r="U331" s="1442"/>
      <c r="V331" s="1304"/>
      <c r="W331" s="1442"/>
      <c r="X331" s="1563"/>
      <c r="Y331" s="1545"/>
      <c r="Z331" s="1304"/>
      <c r="AA331" s="1304"/>
      <c r="AB331" s="240" t="s">
        <v>1352</v>
      </c>
      <c r="AC331" s="333" t="s">
        <v>1327</v>
      </c>
      <c r="AD331" s="93" t="s">
        <v>1247</v>
      </c>
      <c r="AE331" s="2113"/>
      <c r="AF331" s="2113"/>
      <c r="AG331" s="2113"/>
      <c r="AH331" s="2113"/>
      <c r="AI331" s="2113"/>
      <c r="AJ331" s="2113"/>
      <c r="AK331" s="2113"/>
      <c r="AL331" s="2113"/>
      <c r="AM331" s="2113"/>
      <c r="AN331" s="2113"/>
      <c r="AO331" s="2113"/>
      <c r="AP331" s="2113"/>
      <c r="AQ331" s="2113"/>
      <c r="AR331" s="2113"/>
      <c r="AS331" s="2113"/>
      <c r="AT331" s="2113"/>
      <c r="AU331" s="2113"/>
      <c r="AV331" s="2113"/>
      <c r="AW331" s="2113"/>
      <c r="AX331" s="2113"/>
      <c r="AY331" s="2113"/>
      <c r="AZ331" s="2113"/>
      <c r="BA331" s="2113"/>
      <c r="BB331" s="2113"/>
      <c r="BC331" s="2117"/>
      <c r="BD331" s="1304"/>
      <c r="BE331" s="1304"/>
      <c r="BF331" s="1015" t="s">
        <v>1353</v>
      </c>
    </row>
    <row s="1834" customFormat="1" customHeight="1" ht="14.25" hidden="1">
      <c r="A332" s="1304"/>
      <c r="B332" s="1436"/>
      <c r="C332" s="1304"/>
      <c r="D332" s="1304"/>
      <c r="E332" s="632">
        <v>15</v>
      </c>
      <c r="F332" s="50" cm="1" t="str">
        <f t="array" ref="F332:F332">OFFSET(E332,-1,1)</f>
        <v>3</v>
      </c>
      <c r="G332" s="1304"/>
      <c r="H332" s="98" t="s">
        <v>1354</v>
      </c>
      <c r="I332" s="1304"/>
      <c r="J332" s="1304"/>
      <c r="K332" s="1304"/>
      <c r="L332" s="1304"/>
      <c r="M332" s="1304"/>
      <c r="N332" s="1304"/>
      <c r="O332" s="1304"/>
      <c r="P332" s="1442"/>
      <c r="Q332" s="1442"/>
      <c r="R332" s="1442"/>
      <c r="S332" s="1442"/>
      <c r="T332" s="465" cm="1" t="str">
        <f t="array" ref="T332:T332">T331</f>
        <v>false</v>
      </c>
      <c r="U332" s="1442"/>
      <c r="V332" s="1304"/>
      <c r="W332" s="1442"/>
      <c r="X332" s="1563"/>
      <c r="Y332" s="1545"/>
      <c r="Z332" s="1304"/>
      <c r="AA332" s="1304"/>
      <c r="AB332" s="240" t="s">
        <v>1355</v>
      </c>
      <c r="AC332" s="332" t="s">
        <v>1356</v>
      </c>
      <c r="AD332" s="93" t="s">
        <v>1247</v>
      </c>
      <c r="AE332" s="315">
        <f>SUM(AE333:AE334)</f>
        <v>0</v>
      </c>
      <c r="AF332" s="315">
        <f>SUM(AF333:AF334)</f>
        <v>0</v>
      </c>
      <c r="AG332" s="315">
        <f>SUM(AG333:AG334)</f>
        <v>0</v>
      </c>
      <c r="AH332" s="315">
        <f>SUM(AH333:AH334)</f>
        <v>0</v>
      </c>
      <c r="AI332" s="315">
        <f>SUM(AI333:AI334)</f>
        <v>0</v>
      </c>
      <c r="AJ332" s="315">
        <f>SUM(AJ333:AJ334)</f>
        <v>0</v>
      </c>
      <c r="AK332" s="315">
        <f>SUM(AK333:AK334)</f>
        <v>0</v>
      </c>
      <c r="AL332" s="315">
        <f>SUM(AL333:AL334)</f>
        <v>0</v>
      </c>
      <c r="AM332" s="315">
        <f>SUM(AM333:AM334)</f>
        <v>0</v>
      </c>
      <c r="AN332" s="315">
        <f>SUM(AN333:AN334)</f>
        <v>0</v>
      </c>
      <c r="AO332" s="315">
        <f>SUM(AO333:AO334)</f>
        <v>0</v>
      </c>
      <c r="AP332" s="315">
        <f>SUM(AP333:AP334)</f>
        <v>0</v>
      </c>
      <c r="AQ332" s="315">
        <f>SUM(AQ333:AQ334)</f>
        <v>0</v>
      </c>
      <c r="AR332" s="315">
        <f>SUM(AR333:AR334)</f>
        <v>0</v>
      </c>
      <c r="AS332" s="315">
        <f>SUM(AS333:AS334)</f>
        <v>0</v>
      </c>
      <c r="AT332" s="315">
        <f>SUM(AT333:AT334)</f>
        <v>0</v>
      </c>
      <c r="AU332" s="315">
        <f>SUM(AU333:AU334)</f>
        <v>0</v>
      </c>
      <c r="AV332" s="315">
        <f>SUM(AV333:AV334)</f>
        <v>0</v>
      </c>
      <c r="AW332" s="315">
        <f>SUM(AW333:AW334)</f>
        <v>0</v>
      </c>
      <c r="AX332" s="315">
        <f>SUM(AX333:AX334)</f>
        <v>0</v>
      </c>
      <c r="AY332" s="315">
        <f>SUM(AY333:AY334)</f>
        <v>0</v>
      </c>
      <c r="AZ332" s="315">
        <f>SUM(AZ333:AZ334)</f>
        <v>0</v>
      </c>
      <c r="BA332" s="315">
        <f>SUM(BA333:BA334)</f>
        <v>0</v>
      </c>
      <c r="BB332" s="315">
        <f>SUM(BB333:BB334)</f>
        <v>0</v>
      </c>
      <c r="BC332" s="2117"/>
      <c r="BD332" s="1304"/>
      <c r="BE332" s="1304"/>
      <c r="BF332" s="1015" t="s">
        <v>1357</v>
      </c>
    </row>
    <row s="1834" customFormat="1" customHeight="1" ht="14.25" hidden="1">
      <c r="A333" s="1304"/>
      <c r="B333" s="1436"/>
      <c r="C333" s="1304"/>
      <c r="D333" s="1304"/>
      <c r="E333" s="632">
        <v>15</v>
      </c>
      <c r="F333" s="50" cm="1" t="str">
        <f t="array" ref="F333:F333">OFFSET(E333,-1,1)</f>
        <v>3</v>
      </c>
      <c r="G333" s="1304"/>
      <c r="H333" s="98" t="s">
        <v>1358</v>
      </c>
      <c r="I333" s="1304"/>
      <c r="J333" s="1304"/>
      <c r="K333" s="1304"/>
      <c r="L333" s="1304"/>
      <c r="M333" s="1304"/>
      <c r="N333" s="1304"/>
      <c r="O333" s="1304"/>
      <c r="P333" s="1442"/>
      <c r="Q333" s="1442"/>
      <c r="R333" s="1442"/>
      <c r="S333" s="1442"/>
      <c r="T333" s="465" cm="1" t="str">
        <f t="array" ref="T333:T333">T332</f>
        <v>false</v>
      </c>
      <c r="U333" s="1442"/>
      <c r="V333" s="1304"/>
      <c r="W333" s="1442"/>
      <c r="X333" s="1563"/>
      <c r="Y333" s="1545"/>
      <c r="Z333" s="1304"/>
      <c r="AA333" s="1304"/>
      <c r="AB333" s="240" t="s">
        <v>1359</v>
      </c>
      <c r="AC333" s="333" t="s">
        <v>1323</v>
      </c>
      <c r="AD333" s="93" t="s">
        <v>1247</v>
      </c>
      <c r="AE333" s="2113"/>
      <c r="AF333" s="2113"/>
      <c r="AG333" s="2113"/>
      <c r="AH333" s="2113"/>
      <c r="AI333" s="2113"/>
      <c r="AJ333" s="2113"/>
      <c r="AK333" s="2113"/>
      <c r="AL333" s="2113"/>
      <c r="AM333" s="2113"/>
      <c r="AN333" s="2113"/>
      <c r="AO333" s="2113"/>
      <c r="AP333" s="2113"/>
      <c r="AQ333" s="2113"/>
      <c r="AR333" s="2113"/>
      <c r="AS333" s="2113"/>
      <c r="AT333" s="2113"/>
      <c r="AU333" s="2113"/>
      <c r="AV333" s="2113"/>
      <c r="AW333" s="2113"/>
      <c r="AX333" s="2113"/>
      <c r="AY333" s="2113"/>
      <c r="AZ333" s="2113"/>
      <c r="BA333" s="2113"/>
      <c r="BB333" s="2113"/>
      <c r="BC333" s="2117"/>
      <c r="BD333" s="1304"/>
      <c r="BE333" s="1304"/>
      <c r="BF333" s="1015" t="s">
        <v>1360</v>
      </c>
    </row>
    <row s="1834" customFormat="1" customHeight="1" ht="14.25" hidden="1">
      <c r="A334" s="1304"/>
      <c r="B334" s="1436"/>
      <c r="C334" s="1304"/>
      <c r="D334" s="1304"/>
      <c r="E334" s="632">
        <v>15</v>
      </c>
      <c r="F334" s="50" cm="1" t="str">
        <f t="array" ref="F334:F334">OFFSET(E334,-1,1)</f>
        <v>3</v>
      </c>
      <c r="G334" s="1304"/>
      <c r="H334" s="98" t="s">
        <v>1361</v>
      </c>
      <c r="I334" s="1304"/>
      <c r="J334" s="1304"/>
      <c r="K334" s="1304"/>
      <c r="L334" s="1304"/>
      <c r="M334" s="1304"/>
      <c r="N334" s="1304"/>
      <c r="O334" s="1304"/>
      <c r="P334" s="1442"/>
      <c r="Q334" s="1442"/>
      <c r="R334" s="1442"/>
      <c r="S334" s="1442"/>
      <c r="T334" s="465" cm="1" t="str">
        <f t="array" ref="T334:T334">T333</f>
        <v>false</v>
      </c>
      <c r="U334" s="1442"/>
      <c r="V334" s="1304"/>
      <c r="W334" s="1442"/>
      <c r="X334" s="1563"/>
      <c r="Y334" s="1545"/>
      <c r="Z334" s="1304"/>
      <c r="AA334" s="1304"/>
      <c r="AB334" s="240" t="s">
        <v>1362</v>
      </c>
      <c r="AC334" s="333" t="s">
        <v>1327</v>
      </c>
      <c r="AD334" s="93" t="s">
        <v>1247</v>
      </c>
      <c r="AE334" s="2113"/>
      <c r="AF334" s="2113"/>
      <c r="AG334" s="2113"/>
      <c r="AH334" s="2113"/>
      <c r="AI334" s="2113"/>
      <c r="AJ334" s="2113"/>
      <c r="AK334" s="2113"/>
      <c r="AL334" s="2113"/>
      <c r="AM334" s="2113"/>
      <c r="AN334" s="2113"/>
      <c r="AO334" s="2113"/>
      <c r="AP334" s="2113"/>
      <c r="AQ334" s="2113"/>
      <c r="AR334" s="2113"/>
      <c r="AS334" s="2113"/>
      <c r="AT334" s="2113"/>
      <c r="AU334" s="2113"/>
      <c r="AV334" s="2113"/>
      <c r="AW334" s="2113"/>
      <c r="AX334" s="2113"/>
      <c r="AY334" s="2113"/>
      <c r="AZ334" s="2113"/>
      <c r="BA334" s="2113"/>
      <c r="BB334" s="2113"/>
      <c r="BC334" s="2070"/>
      <c r="BD334" s="1304"/>
      <c r="BE334" s="1304"/>
      <c r="BF334" s="1015" t="s">
        <v>1363</v>
      </c>
    </row>
    <row s="1834" customFormat="1" customHeight="1" ht="21.75" hidden="1">
      <c r="A335" s="1304"/>
      <c r="B335" s="1436"/>
      <c r="C335" s="1304"/>
      <c r="D335" s="1304"/>
      <c r="E335" s="632">
        <v>22.5</v>
      </c>
      <c r="F335" s="50" cm="1" t="str">
        <f t="array" ref="F335:F335">OFFSET(E335,-1,1)</f>
        <v>3</v>
      </c>
      <c r="G335" s="1304"/>
      <c r="H335" s="98" t="s">
        <v>1364</v>
      </c>
      <c r="I335" s="469"/>
      <c r="J335" s="469"/>
      <c r="K335" s="1304"/>
      <c r="L335" s="1304"/>
      <c r="M335" s="1304"/>
      <c r="N335" s="1304"/>
      <c r="O335" s="1304"/>
      <c r="P335" s="1442"/>
      <c r="Q335" s="1442"/>
      <c r="R335" s="1442"/>
      <c r="S335" s="1442"/>
      <c r="T335" s="465" cm="1" t="str">
        <f t="array" ref="T335:T335">T334</f>
        <v>false</v>
      </c>
      <c r="U335" s="1442"/>
      <c r="V335" s="1304"/>
      <c r="W335" s="1442"/>
      <c r="X335" s="1563"/>
      <c r="Y335" s="1545"/>
      <c r="Z335" s="1304"/>
      <c r="AA335" s="1304"/>
      <c r="AB335" s="240" t="s">
        <v>1365</v>
      </c>
      <c r="AC335" s="334" t="s">
        <v>1366</v>
      </c>
      <c r="AD335" s="93" t="s">
        <v>1247</v>
      </c>
      <c r="AE335" s="2069"/>
      <c r="AF335" s="2069"/>
      <c r="AG335" s="2069"/>
      <c r="AH335" s="2069"/>
      <c r="AI335" s="2069"/>
      <c r="AJ335" s="2069"/>
      <c r="AK335" s="2069"/>
      <c r="AL335" s="2069"/>
      <c r="AM335" s="2069"/>
      <c r="AN335" s="2069"/>
      <c r="AO335" s="2069"/>
      <c r="AP335" s="2069"/>
      <c r="AQ335" s="2069"/>
      <c r="AR335" s="2069"/>
      <c r="AS335" s="2069"/>
      <c r="AT335" s="2069"/>
      <c r="AU335" s="2069"/>
      <c r="AV335" s="2069"/>
      <c r="AW335" s="2069"/>
      <c r="AX335" s="2069"/>
      <c r="AY335" s="2069"/>
      <c r="AZ335" s="2069"/>
      <c r="BA335" s="2069"/>
      <c r="BB335" s="2069"/>
      <c r="BC335" s="2070"/>
      <c r="BD335" s="1304"/>
      <c r="BE335" s="1304"/>
      <c r="BF335" s="1015" t="s">
        <v>1367</v>
      </c>
    </row>
    <row s="1834" customFormat="1" customHeight="1" ht="14.25" hidden="1">
      <c r="A336" s="1304"/>
      <c r="B336" s="1436"/>
      <c r="C336" s="1304"/>
      <c r="D336" s="1304"/>
      <c r="E336" s="632">
        <v>15</v>
      </c>
      <c r="F336" s="349" cm="1" t="str">
        <f t="array" ref="F336:F336">OFFSET(E336,-1,1)</f>
        <v>3</v>
      </c>
      <c r="G336" s="1304"/>
      <c r="H336" s="1304"/>
      <c r="I336" s="1304"/>
      <c r="J336" s="1304"/>
      <c r="K336" s="1304"/>
      <c r="L336" s="1304"/>
      <c r="M336" s="1304"/>
      <c r="N336" s="1304"/>
      <c r="O336" s="1304"/>
      <c r="P336" s="1442"/>
      <c r="Q336" s="1442"/>
      <c r="R336" s="1442"/>
      <c r="S336" s="1442"/>
      <c r="T336" s="465" cm="1" t="str">
        <f t="array" ref="T336:T336">T335</f>
        <v>false</v>
      </c>
      <c r="U336" s="1442"/>
      <c r="V336" s="1304"/>
      <c r="W336" s="1442"/>
      <c r="X336" s="1563"/>
      <c r="Y336" s="1545"/>
      <c r="Z336" s="1304"/>
      <c r="AA336" s="1304"/>
      <c r="AB336" s="240" t="s">
        <v>1368</v>
      </c>
      <c r="AC336" s="334" t="s">
        <v>1369</v>
      </c>
      <c r="AD336" s="93" t="s">
        <v>1247</v>
      </c>
      <c r="AE336" s="2069"/>
      <c r="AF336" s="2069"/>
      <c r="AG336" s="2069"/>
      <c r="AH336" s="2069"/>
      <c r="AI336" s="2069"/>
      <c r="AJ336" s="2069"/>
      <c r="AK336" s="2069"/>
      <c r="AL336" s="2069"/>
      <c r="AM336" s="2069"/>
      <c r="AN336" s="2069"/>
      <c r="AO336" s="2069"/>
      <c r="AP336" s="2069"/>
      <c r="AQ336" s="2069"/>
      <c r="AR336" s="2069"/>
      <c r="AS336" s="2069"/>
      <c r="AT336" s="2069"/>
      <c r="AU336" s="2069"/>
      <c r="AV336" s="2069"/>
      <c r="AW336" s="2069"/>
      <c r="AX336" s="2069"/>
      <c r="AY336" s="2069"/>
      <c r="AZ336" s="2069"/>
      <c r="BA336" s="2069"/>
      <c r="BB336" s="2069"/>
      <c r="BC336" s="2070"/>
      <c r="BD336" s="1304"/>
      <c r="BE336" s="1304"/>
      <c r="BF336" s="1015" t="s">
        <v>1370</v>
      </c>
    </row>
    <row s="1834" customFormat="1" customHeight="1" ht="11.25" hidden="1">
      <c r="A337" s="469"/>
      <c r="B337" s="658"/>
      <c r="C337" s="469"/>
      <c r="D337" s="469"/>
      <c r="E337" s="660" t="s">
        <v>373</v>
      </c>
      <c r="F337" s="1175" cm="1" t="str">
        <f t="array" ref="F337:F337">OFFSET(E337,-1,1)</f>
        <v>3</v>
      </c>
      <c r="G337" s="469"/>
      <c r="H337" s="469"/>
      <c r="I337" s="1834"/>
      <c r="J337" s="1834"/>
      <c r="K337" s="98"/>
      <c r="L337" s="469"/>
      <c r="M337" s="469"/>
      <c r="N337" s="469"/>
      <c r="O337" s="469"/>
      <c r="P337" s="469"/>
      <c r="Q337" s="469"/>
      <c r="R337" s="416"/>
      <c r="S337" s="416"/>
      <c r="T337" s="465" t="b">
        <v>0</v>
      </c>
      <c r="U337" s="469"/>
      <c r="V337" s="469"/>
      <c r="W337" s="469"/>
      <c r="X337" s="1563"/>
      <c r="Y337" s="1545"/>
      <c r="Z337" s="469"/>
      <c r="AA337" s="469"/>
      <c r="AB337" s="1834"/>
      <c r="AC337" s="100"/>
      <c r="AD337" s="100"/>
      <c r="AE337" s="344"/>
      <c r="AF337" s="344"/>
      <c r="AG337" s="344"/>
      <c r="AH337" s="344"/>
      <c r="AI337" s="344"/>
      <c r="AJ337" s="345"/>
      <c r="AK337" s="344"/>
      <c r="AL337" s="344"/>
      <c r="AM337" s="344"/>
      <c r="AN337" s="344"/>
      <c r="AO337" s="344"/>
      <c r="AP337" s="344"/>
      <c r="AQ337" s="344"/>
      <c r="AR337" s="344"/>
      <c r="AS337" s="344"/>
      <c r="AT337" s="344"/>
      <c r="AU337" s="344"/>
      <c r="AV337" s="344"/>
      <c r="AW337" s="344"/>
      <c r="AX337" s="344"/>
      <c r="AY337" s="344"/>
      <c r="AZ337" s="344"/>
      <c r="BA337" s="344"/>
      <c r="BB337" s="344"/>
      <c r="BC337" s="1834"/>
      <c r="BD337" s="1834"/>
      <c r="BE337" s="1834"/>
      <c r="BF337" s="1019"/>
    </row>
    <row s="1834" customFormat="1" customHeight="1" ht="14.25" hidden="1">
      <c r="A338" s="1304"/>
      <c r="B338" s="1436"/>
      <c r="C338" s="1304"/>
      <c r="D338" s="1304"/>
      <c r="E338" s="632">
        <v>15</v>
      </c>
      <c r="F338" s="50" cm="1" t="str">
        <f t="array" ref="F338:F338">OFFSET(E338,-1,1)</f>
        <v>3</v>
      </c>
      <c r="G338" s="1304"/>
      <c r="H338" s="1304"/>
      <c r="I338" s="1304"/>
      <c r="J338" s="1304"/>
      <c r="K338" s="1304"/>
      <c r="L338" s="1304"/>
      <c r="M338" s="1304"/>
      <c r="N338" s="1304"/>
      <c r="O338" s="1304"/>
      <c r="P338" s="1442"/>
      <c r="Q338" s="1442"/>
      <c r="R338" s="416" cm="1" t="str">
        <f t="array" ref="R338:R338">INDEX('Общие сведения'!$AN$179:$AN$250,MATCH($X300,'Общие сведения'!$Z$179:$Z$250,0))</f>
        <v>false</v>
      </c>
      <c r="S338" s="416">
        <f>IF(ISERROR(SEARCH("Водоснабжение",AB300)),FALSE,TRUE)</f>
        <v>0</v>
      </c>
      <c r="T338" s="465">
        <f>AND(X300&gt;0,S338,R338)</f>
        <v>0</v>
      </c>
      <c r="U338" s="1442"/>
      <c r="V338" s="1304"/>
      <c r="W338" s="1442"/>
      <c r="X338" s="1563"/>
      <c r="Y338" s="1545"/>
      <c r="Z338" s="1304"/>
      <c r="AA338" s="1304"/>
      <c r="AB338" s="240" t="s">
        <v>276</v>
      </c>
      <c r="AC338" s="328" t="s">
        <v>1244</v>
      </c>
      <c r="AD338" s="198"/>
      <c r="AE338" s="570" cm="1" t="str">
        <f t="array" ref="AE338:AE338">INDEX('Общие сведения'!$AH$179:$AH$250,MATCH($X300,'Общие сведения'!$Z$179:$Z$250,0))</f>
        <v>без дифференциации</v>
      </c>
      <c r="AF338" s="362"/>
      <c r="AG338" s="362"/>
      <c r="AH338" s="362"/>
      <c r="AI338" s="362"/>
      <c r="AJ338" s="362"/>
      <c r="AK338" s="362"/>
      <c r="AL338" s="362"/>
      <c r="AM338" s="362"/>
      <c r="AN338" s="362"/>
      <c r="AO338" s="362"/>
      <c r="AP338" s="362"/>
      <c r="AQ338" s="362"/>
      <c r="AR338" s="362"/>
      <c r="AS338" s="362"/>
      <c r="AT338" s="362"/>
      <c r="AU338" s="362"/>
      <c r="AV338" s="362"/>
      <c r="AW338" s="362"/>
      <c r="AX338" s="362"/>
      <c r="AY338" s="362"/>
      <c r="AZ338" s="362"/>
      <c r="BA338" s="362"/>
      <c r="BB338" s="363"/>
      <c r="BC338" s="2070"/>
      <c r="BD338" s="1304"/>
      <c r="BE338" s="1304"/>
      <c r="BF338" s="1015" t="s">
        <v>1371</v>
      </c>
    </row>
    <row s="1834" customFormat="1" customHeight="1" ht="14.25" hidden="1">
      <c r="A339" s="1304"/>
      <c r="B339" s="1436"/>
      <c r="C339" s="1304"/>
      <c r="D339" s="1304"/>
      <c r="E339" s="632">
        <v>15</v>
      </c>
      <c r="F339" s="50" cm="1" t="str">
        <f t="array" ref="F339:F339">OFFSET(E339,-1,1)</f>
        <v>3</v>
      </c>
      <c r="G339" s="1304"/>
      <c r="H339" s="98" t="s">
        <v>336</v>
      </c>
      <c r="I339" s="1304"/>
      <c r="J339" s="1304"/>
      <c r="K339" s="1304"/>
      <c r="L339" s="1304"/>
      <c r="M339" s="1304"/>
      <c r="N339" s="1304"/>
      <c r="O339" s="1304"/>
      <c r="P339" s="1442"/>
      <c r="Q339" s="1442"/>
      <c r="R339" s="1442"/>
      <c r="S339" s="1442"/>
      <c r="T339" s="465" cm="1" t="str">
        <f t="array" ref="T339:T339">T338</f>
        <v>false</v>
      </c>
      <c r="U339" s="1442"/>
      <c r="V339" s="1304"/>
      <c r="W339" s="1442"/>
      <c r="X339" s="1563"/>
      <c r="Y339" s="1545"/>
      <c r="Z339" s="1304"/>
      <c r="AA339" s="1304"/>
      <c r="AB339" s="240" t="s">
        <v>285</v>
      </c>
      <c r="AC339" s="335" t="s">
        <v>1372</v>
      </c>
      <c r="AD339" s="93" t="s">
        <v>1247</v>
      </c>
      <c r="AE339" s="346">
        <f>AE343+AE345+AE348+AE351</f>
        <v>0</v>
      </c>
      <c r="AF339" s="346">
        <f>AF343+AF345+AF348+AF351</f>
        <v>0</v>
      </c>
      <c r="AG339" s="346">
        <f>AG343+AG345+AG348+AG351</f>
        <v>0</v>
      </c>
      <c r="AH339" s="346">
        <f>AH343+AH345+AH348+AH351</f>
        <v>0</v>
      </c>
      <c r="AI339" s="346">
        <f>AI343+AI345+AI348+AI351</f>
        <v>0</v>
      </c>
      <c r="AJ339" s="346">
        <f>AJ343+AJ345+AJ348+AJ351</f>
        <v>0</v>
      </c>
      <c r="AK339" s="346">
        <f>AK343+AK345+AK348+AK351</f>
        <v>0</v>
      </c>
      <c r="AL339" s="346">
        <f>AL343+AL345+AL348+AL351</f>
        <v>0</v>
      </c>
      <c r="AM339" s="346">
        <f>AM343+AM345+AM348+AM351</f>
        <v>0</v>
      </c>
      <c r="AN339" s="346">
        <f>AN343+AN345+AN348+AN351</f>
        <v>0</v>
      </c>
      <c r="AO339" s="346">
        <f>AO343+AO345+AO348+AO351</f>
        <v>0</v>
      </c>
      <c r="AP339" s="346">
        <f>AP343+AP345+AP348+AP351</f>
        <v>0</v>
      </c>
      <c r="AQ339" s="346">
        <f>AQ343+AQ345+AQ348+AQ351</f>
        <v>0</v>
      </c>
      <c r="AR339" s="346">
        <f>AR343+AR345+AR348+AR351</f>
        <v>0</v>
      </c>
      <c r="AS339" s="346">
        <f>AS343+AS345+AS348+AS351</f>
        <v>0</v>
      </c>
      <c r="AT339" s="346">
        <f>AT343+AT345+AT348+AT351</f>
        <v>0</v>
      </c>
      <c r="AU339" s="346">
        <f>AU343+AU345+AU348+AU351</f>
        <v>0</v>
      </c>
      <c r="AV339" s="346">
        <f>AV343+AV345+AV348+AV351</f>
        <v>0</v>
      </c>
      <c r="AW339" s="346">
        <f>AW343+AW345+AW348+AW351</f>
        <v>0</v>
      </c>
      <c r="AX339" s="346">
        <f>AX343+AX345+AX348+AX351</f>
        <v>0</v>
      </c>
      <c r="AY339" s="346">
        <f>AY343+AY345+AY348+AY351</f>
        <v>0</v>
      </c>
      <c r="AZ339" s="346">
        <f>AZ343+AZ345+AZ348+AZ351</f>
        <v>0</v>
      </c>
      <c r="BA339" s="346">
        <f>BA343+BA345+BA348+BA351</f>
        <v>0</v>
      </c>
      <c r="BB339" s="346">
        <f>BB343+BB345+BB348+BB351</f>
        <v>0</v>
      </c>
      <c r="BC339" s="2070"/>
      <c r="BD339" s="1304"/>
      <c r="BE339" s="1304"/>
      <c r="BF339" s="1015" t="s">
        <v>1373</v>
      </c>
    </row>
    <row s="1834" customFormat="1" customHeight="1" ht="14.25" hidden="1">
      <c r="A340" s="1304"/>
      <c r="B340" s="1436"/>
      <c r="C340" s="1304"/>
      <c r="D340" s="1304"/>
      <c r="E340" s="632">
        <v>15</v>
      </c>
      <c r="F340" s="50" cm="1" t="str">
        <f t="array" ref="F340:F340">OFFSET(E340,-1,1)</f>
        <v>3</v>
      </c>
      <c r="G340" s="1304"/>
      <c r="H340" s="98" t="s">
        <v>1249</v>
      </c>
      <c r="I340" s="1304"/>
      <c r="J340" s="1304"/>
      <c r="K340" s="1304"/>
      <c r="L340" s="1304"/>
      <c r="M340" s="1304"/>
      <c r="N340" s="1304"/>
      <c r="O340" s="1304"/>
      <c r="P340" s="1442"/>
      <c r="Q340" s="1442"/>
      <c r="R340" s="1442"/>
      <c r="S340" s="1442"/>
      <c r="T340" s="465" cm="1" t="str">
        <f t="array" ref="T340:T340">T339</f>
        <v>false</v>
      </c>
      <c r="U340" s="1442"/>
      <c r="V340" s="1304"/>
      <c r="W340" s="1442"/>
      <c r="X340" s="1563"/>
      <c r="Y340" s="1545"/>
      <c r="Z340" s="1304"/>
      <c r="AA340" s="1304"/>
      <c r="AB340" s="240" t="s">
        <v>1250</v>
      </c>
      <c r="AC340" s="336" t="s">
        <v>1374</v>
      </c>
      <c r="AD340" s="93" t="s">
        <v>1247</v>
      </c>
      <c r="AE340" s="2069"/>
      <c r="AF340" s="2069"/>
      <c r="AG340" s="2069"/>
      <c r="AH340" s="2069"/>
      <c r="AI340" s="2069"/>
      <c r="AJ340" s="2069"/>
      <c r="AK340" s="2069"/>
      <c r="AL340" s="2069"/>
      <c r="AM340" s="2069"/>
      <c r="AN340" s="2069"/>
      <c r="AO340" s="2069"/>
      <c r="AP340" s="2069"/>
      <c r="AQ340" s="2069"/>
      <c r="AR340" s="2069"/>
      <c r="AS340" s="2069"/>
      <c r="AT340" s="2069"/>
      <c r="AU340" s="2069"/>
      <c r="AV340" s="2069"/>
      <c r="AW340" s="2069"/>
      <c r="AX340" s="2069"/>
      <c r="AY340" s="2069"/>
      <c r="AZ340" s="2069"/>
      <c r="BA340" s="2069"/>
      <c r="BB340" s="2069"/>
      <c r="BC340" s="2070"/>
      <c r="BD340" s="1304"/>
      <c r="BE340" s="1304"/>
      <c r="BF340" s="1015" t="s">
        <v>1375</v>
      </c>
    </row>
    <row s="1834" customFormat="1" customHeight="1" ht="14.25" hidden="1">
      <c r="A341" s="1304"/>
      <c r="B341" s="1436"/>
      <c r="C341" s="1304"/>
      <c r="D341" s="1304"/>
      <c r="E341" s="632">
        <v>15</v>
      </c>
      <c r="F341" s="50" cm="1" t="str">
        <f t="array" ref="F341:F341">OFFSET(E341,-1,1)</f>
        <v>3</v>
      </c>
      <c r="G341" s="1304"/>
      <c r="H341" s="98" t="s">
        <v>1253</v>
      </c>
      <c r="I341" s="1304"/>
      <c r="J341" s="1304"/>
      <c r="K341" s="1304"/>
      <c r="L341" s="1304"/>
      <c r="M341" s="1304"/>
      <c r="N341" s="1304"/>
      <c r="O341" s="1304"/>
      <c r="P341" s="1442"/>
      <c r="Q341" s="1442"/>
      <c r="R341" s="1442"/>
      <c r="S341" s="1442"/>
      <c r="T341" s="465" cm="1" t="str">
        <f t="array" ref="T341:T341">T340</f>
        <v>false</v>
      </c>
      <c r="U341" s="1442"/>
      <c r="V341" s="1304"/>
      <c r="W341" s="1442"/>
      <c r="X341" s="1563"/>
      <c r="Y341" s="1545"/>
      <c r="Z341" s="1304"/>
      <c r="AA341" s="1304"/>
      <c r="AB341" s="240" t="s">
        <v>1254</v>
      </c>
      <c r="AC341" s="336" t="s">
        <v>1376</v>
      </c>
      <c r="AD341" s="93" t="s">
        <v>1247</v>
      </c>
      <c r="AE341" s="2069"/>
      <c r="AF341" s="2069"/>
      <c r="AG341" s="2069"/>
      <c r="AH341" s="2069"/>
      <c r="AI341" s="2069"/>
      <c r="AJ341" s="2069"/>
      <c r="AK341" s="2069"/>
      <c r="AL341" s="2069"/>
      <c r="AM341" s="2069"/>
      <c r="AN341" s="2069"/>
      <c r="AO341" s="2069"/>
      <c r="AP341" s="2069"/>
      <c r="AQ341" s="2069"/>
      <c r="AR341" s="2069"/>
      <c r="AS341" s="2069"/>
      <c r="AT341" s="2069"/>
      <c r="AU341" s="2069"/>
      <c r="AV341" s="2069"/>
      <c r="AW341" s="2069"/>
      <c r="AX341" s="2069"/>
      <c r="AY341" s="2069"/>
      <c r="AZ341" s="2069"/>
      <c r="BA341" s="2069"/>
      <c r="BB341" s="2069"/>
      <c r="BC341" s="2070"/>
      <c r="BD341" s="1304"/>
      <c r="BE341" s="1304"/>
      <c r="BF341" s="1015" t="s">
        <v>1377</v>
      </c>
    </row>
    <row s="1834" customFormat="1" customHeight="1" ht="21.75" hidden="1">
      <c r="A342" s="1304"/>
      <c r="B342" s="1436"/>
      <c r="C342" s="1304"/>
      <c r="D342" s="1304"/>
      <c r="E342" s="632">
        <v>22.5</v>
      </c>
      <c r="F342" s="50" cm="1" t="str">
        <f t="array" ref="F342:F342">OFFSET(E342,-1,1)</f>
        <v>3</v>
      </c>
      <c r="G342" s="1304"/>
      <c r="H342" s="98" t="s">
        <v>1257</v>
      </c>
      <c r="I342" s="1304"/>
      <c r="J342" s="1304"/>
      <c r="K342" s="1304"/>
      <c r="L342" s="1304"/>
      <c r="M342" s="1304"/>
      <c r="N342" s="1304"/>
      <c r="O342" s="1304"/>
      <c r="P342" s="1442"/>
      <c r="Q342" s="1442"/>
      <c r="R342" s="1442"/>
      <c r="S342" s="1442"/>
      <c r="T342" s="465" cm="1" t="str">
        <f t="array" ref="T342:T342">T341</f>
        <v>false</v>
      </c>
      <c r="U342" s="1442"/>
      <c r="V342" s="1304"/>
      <c r="W342" s="1442"/>
      <c r="X342" s="1563"/>
      <c r="Y342" s="1545"/>
      <c r="Z342" s="1304"/>
      <c r="AA342" s="1304"/>
      <c r="AB342" s="240" t="s">
        <v>1258</v>
      </c>
      <c r="AC342" s="336" t="s">
        <v>1378</v>
      </c>
      <c r="AD342" s="93" t="s">
        <v>1247</v>
      </c>
      <c r="AE342" s="2069"/>
      <c r="AF342" s="2069"/>
      <c r="AG342" s="2069"/>
      <c r="AH342" s="2069"/>
      <c r="AI342" s="2069"/>
      <c r="AJ342" s="2069"/>
      <c r="AK342" s="2069"/>
      <c r="AL342" s="2069"/>
      <c r="AM342" s="2069"/>
      <c r="AN342" s="2069"/>
      <c r="AO342" s="2069"/>
      <c r="AP342" s="2069"/>
      <c r="AQ342" s="2069"/>
      <c r="AR342" s="2069"/>
      <c r="AS342" s="2069"/>
      <c r="AT342" s="2069"/>
      <c r="AU342" s="2069"/>
      <c r="AV342" s="2069"/>
      <c r="AW342" s="2069"/>
      <c r="AX342" s="2069"/>
      <c r="AY342" s="2069"/>
      <c r="AZ342" s="2069"/>
      <c r="BA342" s="2069"/>
      <c r="BB342" s="2069"/>
      <c r="BC342" s="2070"/>
      <c r="BD342" s="1304"/>
      <c r="BE342" s="1304"/>
      <c r="BF342" s="1015" t="s">
        <v>1379</v>
      </c>
    </row>
    <row s="1834" customFormat="1" customHeight="1" ht="14.25" hidden="1">
      <c r="A343" s="1304"/>
      <c r="B343" s="1436"/>
      <c r="C343" s="1304"/>
      <c r="D343" s="1304"/>
      <c r="E343" s="632">
        <v>15</v>
      </c>
      <c r="F343" s="50" cm="1" t="str">
        <f t="array" ref="F343:F343">OFFSET(E343,-1,1)</f>
        <v>3</v>
      </c>
      <c r="G343" s="1304"/>
      <c r="H343" s="98" t="s">
        <v>335</v>
      </c>
      <c r="I343" s="1304"/>
      <c r="J343" s="1304"/>
      <c r="K343" s="1304"/>
      <c r="L343" s="1304"/>
      <c r="M343" s="1304"/>
      <c r="N343" s="1304"/>
      <c r="O343" s="1304"/>
      <c r="P343" s="1442"/>
      <c r="Q343" s="1442"/>
      <c r="R343" s="1442"/>
      <c r="S343" s="1442"/>
      <c r="T343" s="465" cm="1" t="str">
        <f t="array" ref="T343:T343">T342</f>
        <v>false</v>
      </c>
      <c r="U343" s="1442"/>
      <c r="V343" s="1304"/>
      <c r="W343" s="1442"/>
      <c r="X343" s="1563"/>
      <c r="Y343" s="1545"/>
      <c r="Z343" s="1304"/>
      <c r="AA343" s="1304"/>
      <c r="AB343" s="240" t="s">
        <v>289</v>
      </c>
      <c r="AC343" s="328" t="s">
        <v>1291</v>
      </c>
      <c r="AD343" s="93" t="s">
        <v>1247</v>
      </c>
      <c r="AE343" s="2069"/>
      <c r="AF343" s="2069"/>
      <c r="AG343" s="2069"/>
      <c r="AH343" s="2069"/>
      <c r="AI343" s="2069"/>
      <c r="AJ343" s="2069"/>
      <c r="AK343" s="2069"/>
      <c r="AL343" s="2069"/>
      <c r="AM343" s="2069"/>
      <c r="AN343" s="2069"/>
      <c r="AO343" s="2069"/>
      <c r="AP343" s="2069"/>
      <c r="AQ343" s="2069"/>
      <c r="AR343" s="2069"/>
      <c r="AS343" s="2069"/>
      <c r="AT343" s="2069"/>
      <c r="AU343" s="2069"/>
      <c r="AV343" s="2069"/>
      <c r="AW343" s="2069"/>
      <c r="AX343" s="2069"/>
      <c r="AY343" s="2069"/>
      <c r="AZ343" s="2069"/>
      <c r="BA343" s="2069"/>
      <c r="BB343" s="2069"/>
      <c r="BC343" s="2070"/>
      <c r="BD343" s="1304"/>
      <c r="BE343" s="1304"/>
      <c r="BF343" s="1015" t="s">
        <v>1380</v>
      </c>
    </row>
    <row s="1834" customFormat="1" customHeight="1" ht="14.25" hidden="1">
      <c r="A344" s="1304"/>
      <c r="B344" s="1436"/>
      <c r="C344" s="1304"/>
      <c r="D344" s="1304"/>
      <c r="E344" s="632">
        <v>15</v>
      </c>
      <c r="F344" s="50" cm="1" t="str">
        <f t="array" ref="F344:F344">OFFSET(E344,-1,1)</f>
        <v>3</v>
      </c>
      <c r="G344" s="1304"/>
      <c r="H344" s="98" t="s">
        <v>1263</v>
      </c>
      <c r="I344" s="1304"/>
      <c r="J344" s="1304"/>
      <c r="K344" s="1304"/>
      <c r="L344" s="1304"/>
      <c r="M344" s="1304"/>
      <c r="N344" s="1304"/>
      <c r="O344" s="1304"/>
      <c r="P344" s="1442"/>
      <c r="Q344" s="1442"/>
      <c r="R344" s="1442"/>
      <c r="S344" s="1442"/>
      <c r="T344" s="465" cm="1" t="str">
        <f t="array" ref="T344:T344">T343</f>
        <v>false</v>
      </c>
      <c r="U344" s="1442"/>
      <c r="V344" s="1304"/>
      <c r="W344" s="1442"/>
      <c r="X344" s="1563"/>
      <c r="Y344" s="1545"/>
      <c r="Z344" s="1304"/>
      <c r="AA344" s="1304"/>
      <c r="AB344" s="240" t="s">
        <v>1264</v>
      </c>
      <c r="AC344" s="331" t="s">
        <v>1295</v>
      </c>
      <c r="AD344" s="93" t="s">
        <v>1170</v>
      </c>
      <c r="AE344" s="1940">
        <f>IF(AE339=0,0,AE343/AE339*100)</f>
        <v>0</v>
      </c>
      <c r="AF344" s="1940">
        <f>IF(AF339=0,0,AF343/AF339*100)</f>
        <v>0</v>
      </c>
      <c r="AG344" s="1940">
        <f>IF(AG339=0,0,AG343/AG339*100)</f>
        <v>0</v>
      </c>
      <c r="AH344" s="1940">
        <f>IF(AH339=0,0,AH343/AH339*100)</f>
        <v>0</v>
      </c>
      <c r="AI344" s="1940">
        <f>IF(AI339=0,0,AI343/AI339*100)</f>
        <v>0</v>
      </c>
      <c r="AJ344" s="1940">
        <f>IF(AJ339=0,0,AJ343/AJ339*100)</f>
        <v>0</v>
      </c>
      <c r="AK344" s="1940">
        <f>IF(AK339=0,0,AK343/AK339*100)</f>
        <v>0</v>
      </c>
      <c r="AL344" s="1940">
        <f>IF(AL339=0,0,AL343/AL339*100)</f>
        <v>0</v>
      </c>
      <c r="AM344" s="1940">
        <f>IF(AM339=0,0,AM343/AM339*100)</f>
        <v>0</v>
      </c>
      <c r="AN344" s="1940">
        <f>IF(AN339=0,0,AN343/AN339*100)</f>
        <v>0</v>
      </c>
      <c r="AO344" s="1940">
        <f>IF(AO339=0,0,AO343/AO339*100)</f>
        <v>0</v>
      </c>
      <c r="AP344" s="1940">
        <f>IF(AP339=0,0,AP343/AP339*100)</f>
        <v>0</v>
      </c>
      <c r="AQ344" s="1940">
        <f>IF(AQ339=0,0,AQ343/AQ339*100)</f>
        <v>0</v>
      </c>
      <c r="AR344" s="1940">
        <f>IF(AR339=0,0,AR343/AR339*100)</f>
        <v>0</v>
      </c>
      <c r="AS344" s="1940">
        <f>IF(AS339=0,0,AS343/AS339*100)</f>
        <v>0</v>
      </c>
      <c r="AT344" s="1940">
        <f>IF(AT339=0,0,AT343/AT339*100)</f>
        <v>0</v>
      </c>
      <c r="AU344" s="1940">
        <f>IF(AU339=0,0,AU343/AU339*100)</f>
        <v>0</v>
      </c>
      <c r="AV344" s="1940">
        <f>IF(AV339=0,0,AV343/AV339*100)</f>
        <v>0</v>
      </c>
      <c r="AW344" s="1940">
        <f>IF(AW339=0,0,AW343/AW339*100)</f>
        <v>0</v>
      </c>
      <c r="AX344" s="1940">
        <f>IF(AX339=0,0,AX343/AX339*100)</f>
        <v>0</v>
      </c>
      <c r="AY344" s="1940">
        <f>IF(AY339=0,0,AY343/AY339*100)</f>
        <v>0</v>
      </c>
      <c r="AZ344" s="1940">
        <f>IF(AZ339=0,0,AZ343/AZ339*100)</f>
        <v>0</v>
      </c>
      <c r="BA344" s="1940">
        <f>IF(BA339=0,0,BA343/BA339*100)</f>
        <v>0</v>
      </c>
      <c r="BB344" s="1940">
        <f>IF(BB339=0,0,BB343/BB339*100)</f>
        <v>0</v>
      </c>
      <c r="BC344" s="2117"/>
      <c r="BD344" s="1304"/>
      <c r="BE344" s="1304"/>
      <c r="BF344" s="1015" t="s">
        <v>1381</v>
      </c>
    </row>
    <row s="1834" customFormat="1" customHeight="1" ht="14.25" hidden="1">
      <c r="A345" s="1304"/>
      <c r="B345" s="1436"/>
      <c r="C345" s="1304"/>
      <c r="D345" s="1304"/>
      <c r="E345" s="632">
        <v>15</v>
      </c>
      <c r="F345" s="50" cm="1" t="str">
        <f t="array" ref="F345:F345">OFFSET(E345,-1,1)</f>
        <v>3</v>
      </c>
      <c r="G345" s="1304" t="str">
        <f>IF(OwnNeedsInPO="да","ПО","")</f>
        <v>ПО</v>
      </c>
      <c r="H345" s="98" t="s">
        <v>1225</v>
      </c>
      <c r="I345" s="1304"/>
      <c r="J345" s="1304"/>
      <c r="K345" s="1304"/>
      <c r="L345" s="1304"/>
      <c r="M345" s="1304"/>
      <c r="N345" s="1304"/>
      <c r="O345" s="1304"/>
      <c r="P345" s="1442"/>
      <c r="Q345" s="1442"/>
      <c r="R345" s="1442"/>
      <c r="S345" s="1442"/>
      <c r="T345" s="465" cm="1" t="str">
        <f t="array" ref="T345:T345">T344</f>
        <v>false</v>
      </c>
      <c r="U345" s="1442"/>
      <c r="V345" s="1304"/>
      <c r="W345" s="1442"/>
      <c r="X345" s="1563"/>
      <c r="Y345" s="1545"/>
      <c r="Z345" s="1304"/>
      <c r="AA345" s="1304"/>
      <c r="AB345" s="240" t="s">
        <v>295</v>
      </c>
      <c r="AC345" s="335" t="s">
        <v>1302</v>
      </c>
      <c r="AD345" s="93" t="s">
        <v>1247</v>
      </c>
      <c r="AE345" s="346">
        <f>AE346+AE347</f>
        <v>0</v>
      </c>
      <c r="AF345" s="346">
        <f>AF346+AF347</f>
        <v>0</v>
      </c>
      <c r="AG345" s="346">
        <f>AG346+AG347</f>
        <v>0</v>
      </c>
      <c r="AH345" s="346">
        <f>AH346+AH347</f>
        <v>0</v>
      </c>
      <c r="AI345" s="346">
        <f>AI346+AI347</f>
        <v>0</v>
      </c>
      <c r="AJ345" s="346">
        <f>AJ346+AJ347</f>
        <v>0</v>
      </c>
      <c r="AK345" s="346">
        <f>AK346+AK347</f>
        <v>0</v>
      </c>
      <c r="AL345" s="346">
        <f>AL346+AL347</f>
        <v>0</v>
      </c>
      <c r="AM345" s="346">
        <f>AM346+AM347</f>
        <v>0</v>
      </c>
      <c r="AN345" s="346">
        <f>AN346+AN347</f>
        <v>0</v>
      </c>
      <c r="AO345" s="346">
        <f>AO346+AO347</f>
        <v>0</v>
      </c>
      <c r="AP345" s="346">
        <f>AP346+AP347</f>
        <v>0</v>
      </c>
      <c r="AQ345" s="346">
        <f>AQ346+AQ347</f>
        <v>0</v>
      </c>
      <c r="AR345" s="346">
        <f>AR346+AR347</f>
        <v>0</v>
      </c>
      <c r="AS345" s="346">
        <f>AS346+AS347</f>
        <v>0</v>
      </c>
      <c r="AT345" s="346">
        <f>AT346+AT347</f>
        <v>0</v>
      </c>
      <c r="AU345" s="346">
        <f>AU346+AU347</f>
        <v>0</v>
      </c>
      <c r="AV345" s="346">
        <f>AV346+AV347</f>
        <v>0</v>
      </c>
      <c r="AW345" s="346">
        <f>AW346+AW347</f>
        <v>0</v>
      </c>
      <c r="AX345" s="346">
        <f>AX346+AX347</f>
        <v>0</v>
      </c>
      <c r="AY345" s="346">
        <f>AY346+AY347</f>
        <v>0</v>
      </c>
      <c r="AZ345" s="346">
        <f>AZ346+AZ347</f>
        <v>0</v>
      </c>
      <c r="BA345" s="346">
        <f>BA346+BA347</f>
        <v>0</v>
      </c>
      <c r="BB345" s="346">
        <f>BB346+BB347</f>
        <v>0</v>
      </c>
      <c r="BC345" s="2070"/>
      <c r="BD345" s="1304"/>
      <c r="BE345" s="1304"/>
      <c r="BF345" s="1015" t="s">
        <v>1382</v>
      </c>
    </row>
    <row s="1834" customFormat="1" customHeight="1" ht="14.25" hidden="1">
      <c r="A346" s="1304"/>
      <c r="B346" s="1436"/>
      <c r="C346" s="1304"/>
      <c r="D346" s="1304"/>
      <c r="E346" s="632">
        <v>15</v>
      </c>
      <c r="F346" s="50" cm="1" t="str">
        <f t="array" ref="F346:F346">OFFSET(E346,-1,1)</f>
        <v>3</v>
      </c>
      <c r="G346" s="1304"/>
      <c r="H346" s="98" t="s">
        <v>1383</v>
      </c>
      <c r="I346" s="1304"/>
      <c r="J346" s="1304"/>
      <c r="K346" s="1304"/>
      <c r="L346" s="1304"/>
      <c r="M346" s="1304"/>
      <c r="N346" s="1304"/>
      <c r="O346" s="1304"/>
      <c r="P346" s="1442"/>
      <c r="Q346" s="1442"/>
      <c r="R346" s="1442"/>
      <c r="S346" s="1442"/>
      <c r="T346" s="465" cm="1" t="str">
        <f t="array" ref="T346:T346">T345</f>
        <v>false</v>
      </c>
      <c r="U346" s="1442"/>
      <c r="V346" s="1304"/>
      <c r="W346" s="1442"/>
      <c r="X346" s="1563"/>
      <c r="Y346" s="1545"/>
      <c r="Z346" s="1304"/>
      <c r="AA346" s="1304"/>
      <c r="AB346" s="240" t="s">
        <v>1384</v>
      </c>
      <c r="AC346" s="336" t="s">
        <v>1306</v>
      </c>
      <c r="AD346" s="93" t="s">
        <v>1247</v>
      </c>
      <c r="AE346" s="2069"/>
      <c r="AF346" s="2069"/>
      <c r="AG346" s="2069"/>
      <c r="AH346" s="2069"/>
      <c r="AI346" s="2069"/>
      <c r="AJ346" s="2069"/>
      <c r="AK346" s="2069"/>
      <c r="AL346" s="2069"/>
      <c r="AM346" s="2069"/>
      <c r="AN346" s="2069"/>
      <c r="AO346" s="2069"/>
      <c r="AP346" s="2069"/>
      <c r="AQ346" s="2069"/>
      <c r="AR346" s="2069"/>
      <c r="AS346" s="2069"/>
      <c r="AT346" s="2069"/>
      <c r="AU346" s="2069"/>
      <c r="AV346" s="2069"/>
      <c r="AW346" s="2069"/>
      <c r="AX346" s="2069"/>
      <c r="AY346" s="2069"/>
      <c r="AZ346" s="2069"/>
      <c r="BA346" s="2069"/>
      <c r="BB346" s="2069"/>
      <c r="BC346" s="2070"/>
      <c r="BD346" s="1304"/>
      <c r="BE346" s="1304"/>
      <c r="BF346" s="1015" t="s">
        <v>1385</v>
      </c>
    </row>
    <row s="1834" customFormat="1" customHeight="1" ht="14.25" hidden="1">
      <c r="A347" s="1304"/>
      <c r="B347" s="1436"/>
      <c r="C347" s="1304"/>
      <c r="D347" s="1304"/>
      <c r="E347" s="632">
        <v>15</v>
      </c>
      <c r="F347" s="50" cm="1" t="str">
        <f t="array" ref="F347:F347">OFFSET(E347,-1,1)</f>
        <v>3</v>
      </c>
      <c r="G347" s="1304"/>
      <c r="H347" s="98" t="s">
        <v>1386</v>
      </c>
      <c r="I347" s="1304"/>
      <c r="J347" s="1304"/>
      <c r="K347" s="1304"/>
      <c r="L347" s="1304"/>
      <c r="M347" s="1304"/>
      <c r="N347" s="1304"/>
      <c r="O347" s="1304"/>
      <c r="P347" s="1442"/>
      <c r="Q347" s="1442"/>
      <c r="R347" s="1442"/>
      <c r="S347" s="1442"/>
      <c r="T347" s="465" cm="1" t="str">
        <f t="array" ref="T347:T347">T346</f>
        <v>false</v>
      </c>
      <c r="U347" s="1442"/>
      <c r="V347" s="1304"/>
      <c r="W347" s="1442"/>
      <c r="X347" s="1563"/>
      <c r="Y347" s="1545"/>
      <c r="Z347" s="1304"/>
      <c r="AA347" s="1304"/>
      <c r="AB347" s="240" t="s">
        <v>1387</v>
      </c>
      <c r="AC347" s="336" t="s">
        <v>1310</v>
      </c>
      <c r="AD347" s="93" t="s">
        <v>1247</v>
      </c>
      <c r="AE347" s="2069"/>
      <c r="AF347" s="2069"/>
      <c r="AG347" s="2069"/>
      <c r="AH347" s="2069"/>
      <c r="AI347" s="2069"/>
      <c r="AJ347" s="2069"/>
      <c r="AK347" s="2069"/>
      <c r="AL347" s="2069"/>
      <c r="AM347" s="2069"/>
      <c r="AN347" s="2069"/>
      <c r="AO347" s="2069"/>
      <c r="AP347" s="2069"/>
      <c r="AQ347" s="2069"/>
      <c r="AR347" s="2069"/>
      <c r="AS347" s="2069"/>
      <c r="AT347" s="2069"/>
      <c r="AU347" s="2069"/>
      <c r="AV347" s="2069"/>
      <c r="AW347" s="2069"/>
      <c r="AX347" s="2069"/>
      <c r="AY347" s="2069"/>
      <c r="AZ347" s="2069"/>
      <c r="BA347" s="2069"/>
      <c r="BB347" s="2069"/>
      <c r="BC347" s="2070"/>
      <c r="BD347" s="1304"/>
      <c r="BE347" s="1304"/>
      <c r="BF347" s="1015" t="s">
        <v>1388</v>
      </c>
    </row>
    <row s="1834" customFormat="1" customHeight="1" ht="14.25" hidden="1">
      <c r="A348" s="1304"/>
      <c r="B348" s="1436"/>
      <c r="C348" s="1304"/>
      <c r="D348" s="1304"/>
      <c r="E348" s="632">
        <v>15</v>
      </c>
      <c r="F348" s="50" cm="1" t="str">
        <f t="array" ref="F348:F348">OFFSET(E348,-1,1)</f>
        <v>3</v>
      </c>
      <c r="G348" s="98" t="s">
        <v>1316</v>
      </c>
      <c r="H348" s="98" t="s">
        <v>1228</v>
      </c>
      <c r="I348" s="1304"/>
      <c r="J348" s="1304"/>
      <c r="K348" s="1304"/>
      <c r="L348" s="1304"/>
      <c r="M348" s="1304"/>
      <c r="N348" s="1304"/>
      <c r="O348" s="1304"/>
      <c r="P348" s="1442"/>
      <c r="Q348" s="1442"/>
      <c r="R348" s="1442"/>
      <c r="S348" s="1442"/>
      <c r="T348" s="465" cm="1" t="str">
        <f t="array" ref="T348:T348">T347</f>
        <v>false</v>
      </c>
      <c r="U348" s="1442"/>
      <c r="V348" s="1304"/>
      <c r="W348" s="1442"/>
      <c r="X348" s="1563"/>
      <c r="Y348" s="1545"/>
      <c r="Z348" s="1304"/>
      <c r="AA348" s="1304"/>
      <c r="AB348" s="240" t="s">
        <v>443</v>
      </c>
      <c r="AC348" s="335" t="s">
        <v>1319</v>
      </c>
      <c r="AD348" s="93" t="s">
        <v>1247</v>
      </c>
      <c r="AE348" s="346">
        <f>AE349+AE350</f>
        <v>0</v>
      </c>
      <c r="AF348" s="346">
        <f>AF349+AF350</f>
        <v>0</v>
      </c>
      <c r="AG348" s="346">
        <f>AG349+AG350</f>
        <v>0</v>
      </c>
      <c r="AH348" s="346">
        <f>AH349+AH350</f>
        <v>0</v>
      </c>
      <c r="AI348" s="346">
        <f>AI349+AI350</f>
        <v>0</v>
      </c>
      <c r="AJ348" s="346">
        <f>AJ349+AJ350</f>
        <v>0</v>
      </c>
      <c r="AK348" s="346">
        <f>AK349+AK350</f>
        <v>0</v>
      </c>
      <c r="AL348" s="346">
        <f>AL349+AL350</f>
        <v>0</v>
      </c>
      <c r="AM348" s="346">
        <f>AM349+AM350</f>
        <v>0</v>
      </c>
      <c r="AN348" s="346">
        <f>AN349+AN350</f>
        <v>0</v>
      </c>
      <c r="AO348" s="346">
        <f>AO349+AO350</f>
        <v>0</v>
      </c>
      <c r="AP348" s="346">
        <f>AP349+AP350</f>
        <v>0</v>
      </c>
      <c r="AQ348" s="346">
        <f>AQ349+AQ350</f>
        <v>0</v>
      </c>
      <c r="AR348" s="346">
        <f>AR349+AR350</f>
        <v>0</v>
      </c>
      <c r="AS348" s="346">
        <f>AS349+AS350</f>
        <v>0</v>
      </c>
      <c r="AT348" s="346">
        <f>AT349+AT350</f>
        <v>0</v>
      </c>
      <c r="AU348" s="346">
        <f>AU349+AU350</f>
        <v>0</v>
      </c>
      <c r="AV348" s="346">
        <f>AV349+AV350</f>
        <v>0</v>
      </c>
      <c r="AW348" s="346">
        <f>AW349+AW350</f>
        <v>0</v>
      </c>
      <c r="AX348" s="346">
        <f>AX349+AX350</f>
        <v>0</v>
      </c>
      <c r="AY348" s="346">
        <f>AY349+AY350</f>
        <v>0</v>
      </c>
      <c r="AZ348" s="346">
        <f>AZ349+AZ350</f>
        <v>0</v>
      </c>
      <c r="BA348" s="346">
        <f>BA349+BA350</f>
        <v>0</v>
      </c>
      <c r="BB348" s="346">
        <f>BB349+BB350</f>
        <v>0</v>
      </c>
      <c r="BC348" s="2070"/>
      <c r="BD348" s="1304"/>
      <c r="BE348" s="1304"/>
      <c r="BF348" s="1015" t="s">
        <v>1389</v>
      </c>
    </row>
    <row s="1834" customFormat="1" customHeight="1" ht="14.25" hidden="1">
      <c r="A349" s="1304"/>
      <c r="B349" s="1436"/>
      <c r="C349" s="1304"/>
      <c r="D349" s="1304"/>
      <c r="E349" s="632">
        <v>15</v>
      </c>
      <c r="F349" s="50" cm="1" t="str">
        <f t="array" ref="F349:F349">OFFSET(E349,-1,1)</f>
        <v>3</v>
      </c>
      <c r="G349" s="1304"/>
      <c r="H349" s="98" t="s">
        <v>1390</v>
      </c>
      <c r="I349" s="1304"/>
      <c r="J349" s="1304"/>
      <c r="K349" s="1304"/>
      <c r="L349" s="1304"/>
      <c r="M349" s="1304"/>
      <c r="N349" s="1304"/>
      <c r="O349" s="1304"/>
      <c r="P349" s="1442"/>
      <c r="Q349" s="1442"/>
      <c r="R349" s="1442"/>
      <c r="S349" s="1442"/>
      <c r="T349" s="465" cm="1" t="str">
        <f t="array" ref="T349:T349">T348</f>
        <v>false</v>
      </c>
      <c r="U349" s="1442"/>
      <c r="V349" s="1304"/>
      <c r="W349" s="1442"/>
      <c r="X349" s="1563"/>
      <c r="Y349" s="1545"/>
      <c r="Z349" s="1304"/>
      <c r="AA349" s="1304"/>
      <c r="AB349" s="240" t="s">
        <v>1391</v>
      </c>
      <c r="AC349" s="336" t="s">
        <v>1323</v>
      </c>
      <c r="AD349" s="93" t="s">
        <v>1247</v>
      </c>
      <c r="AE349" s="2069"/>
      <c r="AF349" s="2069"/>
      <c r="AG349" s="2069"/>
      <c r="AH349" s="2069"/>
      <c r="AI349" s="2069"/>
      <c r="AJ349" s="2069"/>
      <c r="AK349" s="2069"/>
      <c r="AL349" s="2069"/>
      <c r="AM349" s="2069"/>
      <c r="AN349" s="2069"/>
      <c r="AO349" s="2069"/>
      <c r="AP349" s="2069"/>
      <c r="AQ349" s="2069"/>
      <c r="AR349" s="2069"/>
      <c r="AS349" s="2069"/>
      <c r="AT349" s="2069"/>
      <c r="AU349" s="2069"/>
      <c r="AV349" s="2069"/>
      <c r="AW349" s="2069"/>
      <c r="AX349" s="2069"/>
      <c r="AY349" s="2069"/>
      <c r="AZ349" s="2069"/>
      <c r="BA349" s="2069"/>
      <c r="BB349" s="2069"/>
      <c r="BC349" s="2070"/>
      <c r="BD349" s="1304"/>
      <c r="BE349" s="1304"/>
      <c r="BF349" s="1015" t="s">
        <v>1392</v>
      </c>
    </row>
    <row s="1834" customFormat="1" customHeight="1" ht="14.25" hidden="1">
      <c r="A350" s="1304"/>
      <c r="B350" s="1436"/>
      <c r="C350" s="1304"/>
      <c r="D350" s="1304"/>
      <c r="E350" s="632">
        <v>15</v>
      </c>
      <c r="F350" s="50" cm="1" t="str">
        <f t="array" ref="F350:F350">OFFSET(E350,-1,1)</f>
        <v>3</v>
      </c>
      <c r="G350" s="1304"/>
      <c r="H350" s="98" t="s">
        <v>1393</v>
      </c>
      <c r="I350" s="1304"/>
      <c r="J350" s="1304"/>
      <c r="K350" s="1304"/>
      <c r="L350" s="1304"/>
      <c r="M350" s="1304"/>
      <c r="N350" s="1304"/>
      <c r="O350" s="1304"/>
      <c r="P350" s="1442"/>
      <c r="Q350" s="1442"/>
      <c r="R350" s="1442"/>
      <c r="S350" s="1442"/>
      <c r="T350" s="465" cm="1" t="str">
        <f t="array" ref="T350:T350">T349</f>
        <v>false</v>
      </c>
      <c r="U350" s="1442"/>
      <c r="V350" s="1304"/>
      <c r="W350" s="1442"/>
      <c r="X350" s="1563"/>
      <c r="Y350" s="1545"/>
      <c r="Z350" s="1304"/>
      <c r="AA350" s="1304"/>
      <c r="AB350" s="240" t="s">
        <v>1394</v>
      </c>
      <c r="AC350" s="336" t="s">
        <v>1327</v>
      </c>
      <c r="AD350" s="93" t="s">
        <v>1247</v>
      </c>
      <c r="AE350" s="2069"/>
      <c r="AF350" s="2069"/>
      <c r="AG350" s="2069"/>
      <c r="AH350" s="2069"/>
      <c r="AI350" s="2069"/>
      <c r="AJ350" s="2069"/>
      <c r="AK350" s="2069"/>
      <c r="AL350" s="2069"/>
      <c r="AM350" s="2069"/>
      <c r="AN350" s="2069"/>
      <c r="AO350" s="2069"/>
      <c r="AP350" s="2069"/>
      <c r="AQ350" s="2069"/>
      <c r="AR350" s="2069"/>
      <c r="AS350" s="2069"/>
      <c r="AT350" s="2069"/>
      <c r="AU350" s="2069"/>
      <c r="AV350" s="2069"/>
      <c r="AW350" s="2069"/>
      <c r="AX350" s="2069"/>
      <c r="AY350" s="2069"/>
      <c r="AZ350" s="2069"/>
      <c r="BA350" s="2069"/>
      <c r="BB350" s="2069"/>
      <c r="BC350" s="2070"/>
      <c r="BD350" s="1304"/>
      <c r="BE350" s="1304"/>
      <c r="BF350" s="1015" t="s">
        <v>1395</v>
      </c>
    </row>
    <row s="1834" customFormat="1" customHeight="1" ht="21.75" hidden="1">
      <c r="A351" s="1304"/>
      <c r="B351" s="1436"/>
      <c r="C351" s="1304"/>
      <c r="D351" s="1304"/>
      <c r="E351" s="632">
        <v>22.5</v>
      </c>
      <c r="F351" s="50" cm="1" t="str">
        <f t="array" ref="F351:F351">OFFSET(E351,-1,1)</f>
        <v>3</v>
      </c>
      <c r="G351" s="1304"/>
      <c r="H351" s="98" t="s">
        <v>1275</v>
      </c>
      <c r="I351" s="469"/>
      <c r="J351" s="469"/>
      <c r="K351" s="1304"/>
      <c r="L351" s="1304"/>
      <c r="M351" s="1304"/>
      <c r="N351" s="1304"/>
      <c r="O351" s="1304"/>
      <c r="P351" s="1442"/>
      <c r="Q351" s="1442"/>
      <c r="R351" s="1442"/>
      <c r="S351" s="1442"/>
      <c r="T351" s="465" cm="1" t="str">
        <f t="array" ref="T351:T351">T350</f>
        <v>false</v>
      </c>
      <c r="U351" s="1442"/>
      <c r="V351" s="1304"/>
      <c r="W351" s="1442"/>
      <c r="X351" s="1563"/>
      <c r="Y351" s="1545"/>
      <c r="Z351" s="1304"/>
      <c r="AA351" s="1304"/>
      <c r="AB351" s="240" t="s">
        <v>446</v>
      </c>
      <c r="AC351" s="337" t="s">
        <v>1366</v>
      </c>
      <c r="AD351" s="93" t="s">
        <v>1247</v>
      </c>
      <c r="AE351" s="2069"/>
      <c r="AF351" s="2069"/>
      <c r="AG351" s="2069"/>
      <c r="AH351" s="2069"/>
      <c r="AI351" s="2069"/>
      <c r="AJ351" s="2069"/>
      <c r="AK351" s="2069"/>
      <c r="AL351" s="2069"/>
      <c r="AM351" s="2069"/>
      <c r="AN351" s="2069"/>
      <c r="AO351" s="2069"/>
      <c r="AP351" s="2069"/>
      <c r="AQ351" s="2069"/>
      <c r="AR351" s="2069"/>
      <c r="AS351" s="2069"/>
      <c r="AT351" s="2069"/>
      <c r="AU351" s="2069"/>
      <c r="AV351" s="2069"/>
      <c r="AW351" s="2069"/>
      <c r="AX351" s="2069"/>
      <c r="AY351" s="2069"/>
      <c r="AZ351" s="2069"/>
      <c r="BA351" s="2069"/>
      <c r="BB351" s="2069"/>
      <c r="BC351" s="2070"/>
      <c r="BD351" s="1304"/>
      <c r="BE351" s="1304"/>
      <c r="BF351" s="1015" t="s">
        <v>1396</v>
      </c>
    </row>
    <row s="1834" customFormat="1" customHeight="1" ht="14.25" hidden="1">
      <c r="A352" s="1304"/>
      <c r="B352" s="1436"/>
      <c r="C352" s="1304"/>
      <c r="D352" s="1304"/>
      <c r="E352" s="632">
        <v>15</v>
      </c>
      <c r="F352" s="349" cm="1" t="str">
        <f t="array" ref="F352:F352">OFFSET(E352,-1,1)</f>
        <v>3</v>
      </c>
      <c r="G352" s="1304"/>
      <c r="H352" s="1304"/>
      <c r="I352" s="1304"/>
      <c r="J352" s="1304"/>
      <c r="K352" s="1304"/>
      <c r="L352" s="1304"/>
      <c r="M352" s="1304"/>
      <c r="N352" s="1304"/>
      <c r="O352" s="1304"/>
      <c r="P352" s="1442"/>
      <c r="Q352" s="1442"/>
      <c r="R352" s="1442"/>
      <c r="S352" s="1442"/>
      <c r="T352" s="465" cm="1" t="str">
        <f t="array" ref="T352:T352">T351</f>
        <v>false</v>
      </c>
      <c r="U352" s="1442"/>
      <c r="V352" s="1304"/>
      <c r="W352" s="1442"/>
      <c r="X352" s="1563"/>
      <c r="Y352" s="1545"/>
      <c r="Z352" s="1304"/>
      <c r="AA352" s="1304"/>
      <c r="AB352" s="240" t="s">
        <v>1368</v>
      </c>
      <c r="AC352" s="334" t="s">
        <v>1369</v>
      </c>
      <c r="AD352" s="93" t="s">
        <v>1247</v>
      </c>
      <c r="AE352" s="2069"/>
      <c r="AF352" s="2069"/>
      <c r="AG352" s="2069"/>
      <c r="AH352" s="2069"/>
      <c r="AI352" s="2069"/>
      <c r="AJ352" s="2069"/>
      <c r="AK352" s="2069"/>
      <c r="AL352" s="2069"/>
      <c r="AM352" s="2069"/>
      <c r="AN352" s="2069"/>
      <c r="AO352" s="2069"/>
      <c r="AP352" s="2069"/>
      <c r="AQ352" s="2069"/>
      <c r="AR352" s="2069"/>
      <c r="AS352" s="2069"/>
      <c r="AT352" s="2069"/>
      <c r="AU352" s="2069"/>
      <c r="AV352" s="2069"/>
      <c r="AW352" s="2069"/>
      <c r="AX352" s="2069"/>
      <c r="AY352" s="2069"/>
      <c r="AZ352" s="2069"/>
      <c r="BA352" s="2069"/>
      <c r="BB352" s="2069"/>
      <c r="BC352" s="2070"/>
      <c r="BD352" s="1304"/>
      <c r="BE352" s="1304"/>
      <c r="BF352" s="1015" t="s">
        <v>1397</v>
      </c>
    </row>
    <row s="1834" customFormat="1" customHeight="1" ht="11.25" hidden="1">
      <c r="A353" s="469"/>
      <c r="B353" s="658"/>
      <c r="C353" s="469"/>
      <c r="D353" s="469"/>
      <c r="E353" s="660" t="s">
        <v>373</v>
      </c>
      <c r="F353" s="1175" cm="1" t="str">
        <f t="array" ref="F353:F353">OFFSET(E353,-1,1)</f>
        <v>3</v>
      </c>
      <c r="G353" s="469"/>
      <c r="H353" s="469"/>
      <c r="I353" s="1834"/>
      <c r="J353" s="1834"/>
      <c r="K353" s="98"/>
      <c r="L353" s="469"/>
      <c r="M353" s="469"/>
      <c r="N353" s="469"/>
      <c r="O353" s="469"/>
      <c r="P353" s="469"/>
      <c r="Q353" s="469"/>
      <c r="R353" s="416"/>
      <c r="S353" s="469"/>
      <c r="T353" s="465" t="b">
        <v>0</v>
      </c>
      <c r="U353" s="469"/>
      <c r="V353" s="469"/>
      <c r="W353" s="469"/>
      <c r="X353" s="1563"/>
      <c r="Y353" s="1545"/>
      <c r="Z353" s="469"/>
      <c r="AA353" s="469"/>
      <c r="AB353" s="1834"/>
      <c r="AC353" s="100"/>
      <c r="AD353" s="100"/>
      <c r="AE353" s="344"/>
      <c r="AF353" s="344"/>
      <c r="AG353" s="344"/>
      <c r="AH353" s="344"/>
      <c r="AI353" s="344"/>
      <c r="AJ353" s="345"/>
      <c r="AK353" s="344"/>
      <c r="AL353" s="344"/>
      <c r="AM353" s="344"/>
      <c r="AN353" s="344"/>
      <c r="AO353" s="344"/>
      <c r="AP353" s="344"/>
      <c r="AQ353" s="344"/>
      <c r="AR353" s="344"/>
      <c r="AS353" s="344"/>
      <c r="AT353" s="344"/>
      <c r="AU353" s="344"/>
      <c r="AV353" s="344"/>
      <c r="AW353" s="344"/>
      <c r="AX353" s="344"/>
      <c r="AY353" s="344"/>
      <c r="AZ353" s="344"/>
      <c r="BA353" s="344"/>
      <c r="BB353" s="344"/>
      <c r="BC353" s="1834"/>
      <c r="BD353" s="1834"/>
      <c r="BE353" s="1834"/>
      <c r="BF353" s="1019"/>
    </row>
    <row s="1834" customFormat="1" customHeight="1" ht="14.25">
      <c r="A354" s="1304"/>
      <c r="B354" s="1436"/>
      <c r="C354" s="1304"/>
      <c r="D354" s="1304"/>
      <c r="E354" s="632">
        <v>15</v>
      </c>
      <c r="F354" s="50" cm="1" t="str">
        <f t="array" ref="F354:F354">OFFSET(E354,-1,1)</f>
        <v>3</v>
      </c>
      <c r="G354" s="1304"/>
      <c r="H354" s="1304"/>
      <c r="I354" s="1304"/>
      <c r="J354" s="1304"/>
      <c r="K354" s="1304"/>
      <c r="L354" s="1304"/>
      <c r="M354" s="1304"/>
      <c r="N354" s="1304"/>
      <c r="O354" s="1304"/>
      <c r="P354" s="1442"/>
      <c r="Q354" s="1442"/>
      <c r="R354" s="416" cm="1" t="str">
        <f t="array" ref="R354:R354">INDEX('Общие сведения'!$AN$179:$AN$250,MATCH($X300,'Общие сведения'!$Z$179:$Z$250,0))</f>
        <v>false</v>
      </c>
      <c r="S354" s="482">
        <f>IF(ISERROR(SEARCH("Водоотведение",AB300)),FALSE,TRUE)</f>
        <v>1</v>
      </c>
      <c r="T354" s="465">
        <f>AND(X300&gt;0,S354,NOT(R354))</f>
        <v>1</v>
      </c>
      <c r="U354" s="1442"/>
      <c r="V354" s="1304"/>
      <c r="W354" s="1442"/>
      <c r="X354" s="1563"/>
      <c r="Y354" s="1545"/>
      <c r="Z354" s="1304"/>
      <c r="AA354" s="1304"/>
      <c r="AB354" s="240" t="s">
        <v>276</v>
      </c>
      <c r="AC354" s="137" t="s">
        <v>1398</v>
      </c>
      <c r="AD354" s="197"/>
      <c r="AE354" s="570" cm="1" t="str">
        <f t="array" ref="AE354:AE354">INDEX('Общие сведения'!$AH$179:$AH$250,MATCH($X300,'Общие сведения'!$Z$179:$Z$250,0))</f>
        <v>без дифференциации</v>
      </c>
      <c r="AF354" s="362"/>
      <c r="AG354" s="362"/>
      <c r="AH354" s="362"/>
      <c r="AI354" s="362"/>
      <c r="AJ354" s="362"/>
      <c r="AK354" s="362"/>
      <c r="AL354" s="362"/>
      <c r="AM354" s="362"/>
      <c r="AN354" s="362"/>
      <c r="AO354" s="362"/>
      <c r="AP354" s="362"/>
      <c r="AQ354" s="362"/>
      <c r="AR354" s="362"/>
      <c r="AS354" s="362"/>
      <c r="AT354" s="362"/>
      <c r="AU354" s="362"/>
      <c r="AV354" s="362"/>
      <c r="AW354" s="362"/>
      <c r="AX354" s="362"/>
      <c r="AY354" s="362"/>
      <c r="AZ354" s="362"/>
      <c r="BA354" s="362"/>
      <c r="BB354" s="363"/>
      <c r="BC354" s="200"/>
      <c r="BD354" s="1304"/>
      <c r="BE354" s="1304"/>
      <c r="BF354" s="1015" t="s">
        <v>1399</v>
      </c>
    </row>
    <row s="1834" customFormat="1" customHeight="1" ht="54.75">
      <c r="A355" s="1304"/>
      <c r="B355" s="1436"/>
      <c r="C355" s="1304"/>
      <c r="D355" s="1304"/>
      <c r="E355" s="632">
        <v>15</v>
      </c>
      <c r="F355" s="50" cm="1" t="str">
        <f t="array" ref="F355:F355">OFFSET(E355,-1,1)</f>
        <v>3</v>
      </c>
      <c r="G355" s="1304"/>
      <c r="H355" s="98" t="s">
        <v>336</v>
      </c>
      <c r="I355" s="1304"/>
      <c r="J355" s="1304"/>
      <c r="K355" s="1304"/>
      <c r="L355" s="1304"/>
      <c r="M355" s="1304"/>
      <c r="N355" s="1304"/>
      <c r="O355" s="1304"/>
      <c r="P355" s="1442"/>
      <c r="Q355" s="1442"/>
      <c r="R355" s="1442"/>
      <c r="S355" s="1442"/>
      <c r="T355" s="465" cm="1" t="str">
        <f t="array" ref="T355:T355">T354</f>
        <v>true</v>
      </c>
      <c r="U355" s="1442"/>
      <c r="V355" s="1304"/>
      <c r="W355" s="1442"/>
      <c r="X355" s="1563"/>
      <c r="Y355" s="1545"/>
      <c r="Z355" s="1304"/>
      <c r="AA355" s="1304"/>
      <c r="AB355" s="240" t="s">
        <v>285</v>
      </c>
      <c r="AC355" s="137" t="s">
        <v>1400</v>
      </c>
      <c r="AD355" s="93" t="s">
        <v>1247</v>
      </c>
      <c r="AE355" s="347">
        <f>AE356+AE357+AE370</f>
        <v>0</v>
      </c>
      <c r="AF355" s="347">
        <f>AF356+AF357+AF370</f>
        <v>0</v>
      </c>
      <c r="AG355" s="347">
        <f>AG356+AG357+AG370</f>
        <v>0</v>
      </c>
      <c r="AH355" s="347">
        <f>AH356+AH357+AH370</f>
        <v>0</v>
      </c>
      <c r="AI355" s="347">
        <f>AI356+AI357+AI370</f>
        <v>1778.84536</v>
      </c>
      <c r="AJ355" s="347">
        <f>AJ356+AJ357+AJ370</f>
        <v>1778.84536</v>
      </c>
      <c r="AK355" s="347">
        <f>AK356+AK357+AK370</f>
        <v>1778.84536</v>
      </c>
      <c r="AL355" s="347">
        <f>AL356+AL357+AL370</f>
        <v>1778.84536</v>
      </c>
      <c r="AM355" s="347">
        <f>AM356+AM357+AM370</f>
        <v>1778.84536</v>
      </c>
      <c r="AN355" s="347">
        <f>AN356+AN357+AN370</f>
        <v>0</v>
      </c>
      <c r="AO355" s="347">
        <f>AO356+AO357+AO370</f>
        <v>0</v>
      </c>
      <c r="AP355" s="347">
        <f>AP356+AP357+AP370</f>
        <v>0</v>
      </c>
      <c r="AQ355" s="347">
        <f>AQ356+AQ357+AQ370</f>
        <v>0</v>
      </c>
      <c r="AR355" s="347">
        <f>AR356+AR357+AR370</f>
        <v>0</v>
      </c>
      <c r="AS355" s="347">
        <f>AS356+AS357+AS370</f>
        <v>1778.84536</v>
      </c>
      <c r="AT355" s="347">
        <f>AT356+AT357+AT370</f>
        <v>1778.84536</v>
      </c>
      <c r="AU355" s="347">
        <f>AU356+AU357+AU370</f>
        <v>1778.84536</v>
      </c>
      <c r="AV355" s="347">
        <f>AV356+AV357+AV370</f>
        <v>1778.84536</v>
      </c>
      <c r="AW355" s="347">
        <f>AW356+AW357+AW370</f>
        <v>1778.84536</v>
      </c>
      <c r="AX355" s="347">
        <f>AX356+AX357+AX370</f>
        <v>0</v>
      </c>
      <c r="AY355" s="347">
        <f>AY356+AY357+AY370</f>
        <v>0</v>
      </c>
      <c r="AZ355" s="347">
        <f>AZ356+AZ357+AZ370</f>
        <v>0</v>
      </c>
      <c r="BA355" s="347">
        <f>BA356+BA357+BA370</f>
        <v>0</v>
      </c>
      <c r="BB355" s="347">
        <f>BB356+BB357+BB370</f>
        <v>0</v>
      </c>
      <c r="BC355" s="200" t="s">
        <v>1486</v>
      </c>
      <c r="BD355" s="1304"/>
      <c r="BE355" s="1304"/>
      <c r="BF355" s="1015" t="s">
        <v>1401</v>
      </c>
    </row>
    <row s="1834" customFormat="1" customHeight="1" ht="14.25">
      <c r="A356" s="1304"/>
      <c r="B356" s="1436"/>
      <c r="C356" s="1304"/>
      <c r="D356" s="1304"/>
      <c r="E356" s="632">
        <v>15</v>
      </c>
      <c r="F356" s="50" cm="1" t="str">
        <f t="array" ref="F356:F356">OFFSET(E356,-1,1)</f>
        <v>3</v>
      </c>
      <c r="G356" s="98" t="str">
        <f>IF(OwnNeedsInPO="да","ПО","")</f>
        <v>ПО</v>
      </c>
      <c r="H356" s="98" t="s">
        <v>335</v>
      </c>
      <c r="I356" s="1304"/>
      <c r="J356" s="1304"/>
      <c r="K356" s="1304"/>
      <c r="L356" s="1304"/>
      <c r="M356" s="1304"/>
      <c r="N356" s="1304"/>
      <c r="O356" s="1304"/>
      <c r="P356" s="1442"/>
      <c r="Q356" s="1442"/>
      <c r="R356" s="1442"/>
      <c r="S356" s="1442"/>
      <c r="T356" s="465" cm="1" t="str">
        <f t="array" ref="T356:T356">T355</f>
        <v>true</v>
      </c>
      <c r="U356" s="1442"/>
      <c r="V356" s="1304"/>
      <c r="W356" s="1442"/>
      <c r="X356" s="1563"/>
      <c r="Y356" s="1545"/>
      <c r="Z356" s="1304"/>
      <c r="AA356" s="1304"/>
      <c r="AB356" s="240" t="s">
        <v>289</v>
      </c>
      <c r="AC356" s="137" t="s">
        <v>1402</v>
      </c>
      <c r="AD356" s="93" t="s">
        <v>1247</v>
      </c>
      <c r="AE356" s="276"/>
      <c r="AF356" s="276"/>
      <c r="AG356" s="276"/>
      <c r="AH356" s="276"/>
      <c r="AI356" s="276">
        <v>11.154</v>
      </c>
      <c r="AJ356" s="276">
        <v>11.154</v>
      </c>
      <c r="AK356" s="276">
        <v>11.154</v>
      </c>
      <c r="AL356" s="276">
        <v>11.154</v>
      </c>
      <c r="AM356" s="276">
        <v>11.154</v>
      </c>
      <c r="AN356" s="2069"/>
      <c r="AO356" s="2069"/>
      <c r="AP356" s="2069"/>
      <c r="AQ356" s="2069"/>
      <c r="AR356" s="2069"/>
      <c r="AS356" s="276">
        <v>11.154</v>
      </c>
      <c r="AT356" s="276">
        <v>11.154</v>
      </c>
      <c r="AU356" s="276">
        <v>11.154</v>
      </c>
      <c r="AV356" s="276">
        <v>11.154</v>
      </c>
      <c r="AW356" s="276">
        <v>11.154</v>
      </c>
      <c r="AX356" s="2069"/>
      <c r="AY356" s="2069"/>
      <c r="AZ356" s="2069"/>
      <c r="BA356" s="2069"/>
      <c r="BB356" s="2069"/>
      <c r="BC356" s="200"/>
      <c r="BD356" s="1304"/>
      <c r="BE356" s="1304"/>
      <c r="BF356" s="1015" t="s">
        <v>1403</v>
      </c>
    </row>
    <row s="1834" customFormat="1" customHeight="1" ht="14.25">
      <c r="A357" s="1304"/>
      <c r="B357" s="1436"/>
      <c r="C357" s="1304"/>
      <c r="D357" s="1304"/>
      <c r="E357" s="632">
        <v>15</v>
      </c>
      <c r="F357" s="50" cm="1" t="str">
        <f t="array" ref="F357:F357">OFFSET(E357,-1,1)</f>
        <v>3</v>
      </c>
      <c r="G357" s="98" t="s">
        <v>1316</v>
      </c>
      <c r="H357" s="98" t="s">
        <v>1225</v>
      </c>
      <c r="I357" s="1304"/>
      <c r="J357" s="1304"/>
      <c r="K357" s="1304"/>
      <c r="L357" s="1304"/>
      <c r="M357" s="1304"/>
      <c r="N357" s="1304"/>
      <c r="O357" s="1304"/>
      <c r="P357" s="1442"/>
      <c r="Q357" s="1442"/>
      <c r="R357" s="1442"/>
      <c r="S357" s="1442"/>
      <c r="T357" s="465" cm="1" t="str">
        <f t="array" ref="T357:T357">T356</f>
        <v>true</v>
      </c>
      <c r="U357" s="1442"/>
      <c r="V357" s="1304"/>
      <c r="W357" s="1442"/>
      <c r="X357" s="1563"/>
      <c r="Y357" s="1545"/>
      <c r="Z357" s="1304"/>
      <c r="AA357" s="1304"/>
      <c r="AB357" s="240" t="s">
        <v>295</v>
      </c>
      <c r="AC357" s="138" t="s">
        <v>1404</v>
      </c>
      <c r="AD357" s="93" t="s">
        <v>1247</v>
      </c>
      <c r="AE357" s="346">
        <f>AE358+AE361+AE364+AE367</f>
        <v>0</v>
      </c>
      <c r="AF357" s="346">
        <f>AF358+AF361+AF364+AF367</f>
        <v>0</v>
      </c>
      <c r="AG357" s="346">
        <f>AG358+AG361+AG364+AG367</f>
        <v>0</v>
      </c>
      <c r="AH357" s="346">
        <f>AH358+AH361+AH364+AH367</f>
        <v>0</v>
      </c>
      <c r="AI357" s="346">
        <f>AI358+AI361+AI364+AI367</f>
        <v>1767.69136</v>
      </c>
      <c r="AJ357" s="346">
        <f>AJ358+AJ361+AJ364+AJ367</f>
        <v>1767.69136</v>
      </c>
      <c r="AK357" s="346">
        <f>AK358+AK361+AK364+AK367</f>
        <v>1767.69136</v>
      </c>
      <c r="AL357" s="346">
        <f>AL358+AL361+AL364+AL367</f>
        <v>1767.69136</v>
      </c>
      <c r="AM357" s="346">
        <f>AM358+AM361+AM364+AM367</f>
        <v>1767.69136</v>
      </c>
      <c r="AN357" s="346">
        <f>AN358+AN361+AN364+AN367</f>
        <v>0</v>
      </c>
      <c r="AO357" s="346">
        <f>AO358+AO361+AO364+AO367</f>
        <v>0</v>
      </c>
      <c r="AP357" s="346">
        <f>AP358+AP361+AP364+AP367</f>
        <v>0</v>
      </c>
      <c r="AQ357" s="346">
        <f>AQ358+AQ361+AQ364+AQ367</f>
        <v>0</v>
      </c>
      <c r="AR357" s="346">
        <f>AR358+AR361+AR364+AR367</f>
        <v>0</v>
      </c>
      <c r="AS357" s="346">
        <f>AS358+AS361+AS364+AS367</f>
        <v>1767.69136</v>
      </c>
      <c r="AT357" s="346">
        <f>AT358+AT361+AT364+AT367</f>
        <v>1767.69136</v>
      </c>
      <c r="AU357" s="346">
        <f>AU358+AU361+AU364+AU367</f>
        <v>1767.69136</v>
      </c>
      <c r="AV357" s="346">
        <f>AV358+AV361+AV364+AV367</f>
        <v>1767.69136</v>
      </c>
      <c r="AW357" s="346">
        <f>AW358+AW361+AW364+AW367</f>
        <v>1767.69136</v>
      </c>
      <c r="AX357" s="346">
        <f>AX358+AX361+AX364+AX367</f>
        <v>0</v>
      </c>
      <c r="AY357" s="346">
        <f>AY358+AY361+AY364+AY367</f>
        <v>0</v>
      </c>
      <c r="AZ357" s="346">
        <f>AZ358+AZ361+AZ364+AZ367</f>
        <v>0</v>
      </c>
      <c r="BA357" s="346">
        <f>BA358+BA361+BA364+BA367</f>
        <v>0</v>
      </c>
      <c r="BB357" s="346">
        <f>BB358+BB361+BB364+BB367</f>
        <v>0</v>
      </c>
      <c r="BC357" s="200"/>
      <c r="BD357" s="1304"/>
      <c r="BE357" s="1304"/>
      <c r="BF357" s="1015" t="s">
        <v>1405</v>
      </c>
    </row>
    <row s="1834" customFormat="1" customHeight="1" ht="14.25">
      <c r="A358" s="1304"/>
      <c r="B358" s="1436"/>
      <c r="C358" s="1304"/>
      <c r="D358" s="1304"/>
      <c r="E358" s="632">
        <v>15</v>
      </c>
      <c r="F358" s="50" cm="1" t="str">
        <f t="array" ref="F358:F358">OFFSET(E358,-1,1)</f>
        <v>3</v>
      </c>
      <c r="G358" s="1304"/>
      <c r="H358" s="98" t="s">
        <v>1383</v>
      </c>
      <c r="I358" s="1304"/>
      <c r="J358" s="1304"/>
      <c r="K358" s="1304"/>
      <c r="L358" s="1304"/>
      <c r="M358" s="1304"/>
      <c r="N358" s="1304"/>
      <c r="O358" s="1304"/>
      <c r="P358" s="1442"/>
      <c r="Q358" s="1442"/>
      <c r="R358" s="1442"/>
      <c r="S358" s="1442"/>
      <c r="T358" s="465" cm="1" t="str">
        <f t="array" ref="T358:T358">T357</f>
        <v>true</v>
      </c>
      <c r="U358" s="1442"/>
      <c r="V358" s="1304"/>
      <c r="W358" s="1442"/>
      <c r="X358" s="1563"/>
      <c r="Y358" s="1545"/>
      <c r="Z358" s="1304"/>
      <c r="AA358" s="1304"/>
      <c r="AB358" s="240" t="s">
        <v>1384</v>
      </c>
      <c r="AC358" s="192" t="s">
        <v>1335</v>
      </c>
      <c r="AD358" s="93" t="s">
        <v>1247</v>
      </c>
      <c r="AE358" s="346">
        <f>AE359+AE360</f>
        <v>0</v>
      </c>
      <c r="AF358" s="346">
        <f>AF359+AF360</f>
        <v>0</v>
      </c>
      <c r="AG358" s="346">
        <f>AG359+AG360</f>
        <v>0</v>
      </c>
      <c r="AH358" s="346">
        <f>AH359+AH360</f>
        <v>0</v>
      </c>
      <c r="AI358" s="346">
        <f>AI359+AI360</f>
        <v>114.09438</v>
      </c>
      <c r="AJ358" s="346">
        <f>AJ359+AJ360</f>
        <v>114.09438</v>
      </c>
      <c r="AK358" s="346">
        <f>AK359+AK360</f>
        <v>114.09438</v>
      </c>
      <c r="AL358" s="346">
        <f>AL359+AL360</f>
        <v>114.09438</v>
      </c>
      <c r="AM358" s="346">
        <f>AM359+AM360</f>
        <v>114.09438</v>
      </c>
      <c r="AN358" s="346">
        <f>AN359+AN360</f>
        <v>0</v>
      </c>
      <c r="AO358" s="346">
        <f>AO359+AO360</f>
        <v>0</v>
      </c>
      <c r="AP358" s="346">
        <f>AP359+AP360</f>
        <v>0</v>
      </c>
      <c r="AQ358" s="346">
        <f>AQ359+AQ360</f>
        <v>0</v>
      </c>
      <c r="AR358" s="346">
        <f>AR359+AR360</f>
        <v>0</v>
      </c>
      <c r="AS358" s="346">
        <f>AS359+AS360</f>
        <v>114.09438</v>
      </c>
      <c r="AT358" s="346">
        <f>AT359+AT360</f>
        <v>114.09438</v>
      </c>
      <c r="AU358" s="346">
        <f>AU359+AU360</f>
        <v>114.09438</v>
      </c>
      <c r="AV358" s="346">
        <f>AV359+AV360</f>
        <v>114.09438</v>
      </c>
      <c r="AW358" s="346">
        <f>AW359+AW360</f>
        <v>114.09438</v>
      </c>
      <c r="AX358" s="346">
        <f>AX359+AX360</f>
        <v>0</v>
      </c>
      <c r="AY358" s="346">
        <f>AY359+AY360</f>
        <v>0</v>
      </c>
      <c r="AZ358" s="346">
        <f>AZ359+AZ360</f>
        <v>0</v>
      </c>
      <c r="BA358" s="346">
        <f>BA359+BA360</f>
        <v>0</v>
      </c>
      <c r="BB358" s="346">
        <f>BB359+BB360</f>
        <v>0</v>
      </c>
      <c r="BC358" s="200"/>
      <c r="BD358" s="1304"/>
      <c r="BE358" s="1304"/>
      <c r="BF358" s="1015" t="s">
        <v>1406</v>
      </c>
    </row>
    <row s="1834" customFormat="1" customHeight="1" ht="14.25">
      <c r="A359" s="1304"/>
      <c r="B359" s="1436"/>
      <c r="C359" s="1304"/>
      <c r="D359" s="1304"/>
      <c r="E359" s="632">
        <v>15</v>
      </c>
      <c r="F359" s="50" cm="1" t="str">
        <f t="array" ref="F359:F359">OFFSET(E359,-1,1)</f>
        <v>3</v>
      </c>
      <c r="G359" s="1304"/>
      <c r="H359" s="98" t="s">
        <v>1407</v>
      </c>
      <c r="I359" s="1304"/>
      <c r="J359" s="1304"/>
      <c r="K359" s="1304"/>
      <c r="L359" s="1304"/>
      <c r="M359" s="1304"/>
      <c r="N359" s="1304"/>
      <c r="O359" s="1304"/>
      <c r="P359" s="1442"/>
      <c r="Q359" s="1442"/>
      <c r="R359" s="1442"/>
      <c r="S359" s="1442"/>
      <c r="T359" s="465" cm="1" t="str">
        <f t="array" ref="T359:T359">T358</f>
        <v>true</v>
      </c>
      <c r="U359" s="1442"/>
      <c r="V359" s="1304"/>
      <c r="W359" s="1442"/>
      <c r="X359" s="1563"/>
      <c r="Y359" s="1545"/>
      <c r="Z359" s="1304"/>
      <c r="AA359" s="1304"/>
      <c r="AB359" s="240" t="s">
        <v>1408</v>
      </c>
      <c r="AC359" s="338" t="s">
        <v>1323</v>
      </c>
      <c r="AD359" s="93" t="s">
        <v>1247</v>
      </c>
      <c r="AE359" s="276"/>
      <c r="AF359" s="276"/>
      <c r="AG359" s="276"/>
      <c r="AH359" s="276"/>
      <c r="AI359" s="276">
        <v>114.09438</v>
      </c>
      <c r="AJ359" s="276">
        <v>114.09438</v>
      </c>
      <c r="AK359" s="276">
        <v>114.09438</v>
      </c>
      <c r="AL359" s="276">
        <v>114.09438</v>
      </c>
      <c r="AM359" s="276">
        <v>114.09438</v>
      </c>
      <c r="AN359" s="2069"/>
      <c r="AO359" s="2069"/>
      <c r="AP359" s="2069"/>
      <c r="AQ359" s="2069"/>
      <c r="AR359" s="2069"/>
      <c r="AS359" s="276">
        <v>114.09438</v>
      </c>
      <c r="AT359" s="276">
        <v>114.09438</v>
      </c>
      <c r="AU359" s="276">
        <v>114.09438</v>
      </c>
      <c r="AV359" s="276">
        <v>114.09438</v>
      </c>
      <c r="AW359" s="276">
        <v>114.09438</v>
      </c>
      <c r="AX359" s="2069"/>
      <c r="AY359" s="2069"/>
      <c r="AZ359" s="2069"/>
      <c r="BA359" s="2069"/>
      <c r="BB359" s="2069"/>
      <c r="BC359" s="200"/>
      <c r="BD359" s="1304"/>
      <c r="BE359" s="1304"/>
      <c r="BF359" s="1015" t="s">
        <v>1409</v>
      </c>
    </row>
    <row s="1834" customFormat="1" customHeight="1" ht="14.25">
      <c r="A360" s="1304"/>
      <c r="B360" s="1436"/>
      <c r="C360" s="1304"/>
      <c r="D360" s="1304"/>
      <c r="E360" s="632">
        <v>15</v>
      </c>
      <c r="F360" s="50" cm="1" t="str">
        <f t="array" ref="F360:F360">OFFSET(E360,-1,1)</f>
        <v>3</v>
      </c>
      <c r="G360" s="1304"/>
      <c r="H360" s="98" t="s">
        <v>1410</v>
      </c>
      <c r="I360" s="1304"/>
      <c r="J360" s="1304"/>
      <c r="K360" s="1304"/>
      <c r="L360" s="1304"/>
      <c r="M360" s="1304"/>
      <c r="N360" s="1304"/>
      <c r="O360" s="1304"/>
      <c r="P360" s="1442"/>
      <c r="Q360" s="1442"/>
      <c r="R360" s="1442"/>
      <c r="S360" s="1442"/>
      <c r="T360" s="465" cm="1" t="str">
        <f t="array" ref="T360:T360">T359</f>
        <v>true</v>
      </c>
      <c r="U360" s="1442"/>
      <c r="V360" s="1304"/>
      <c r="W360" s="1442"/>
      <c r="X360" s="1563"/>
      <c r="Y360" s="1545"/>
      <c r="Z360" s="1304"/>
      <c r="AA360" s="1304"/>
      <c r="AB360" s="240" t="s">
        <v>1411</v>
      </c>
      <c r="AC360" s="338" t="s">
        <v>1327</v>
      </c>
      <c r="AD360" s="93" t="s">
        <v>1247</v>
      </c>
      <c r="AE360" s="276"/>
      <c r="AF360" s="276"/>
      <c r="AG360" s="276"/>
      <c r="AH360" s="276"/>
      <c r="AI360" s="276"/>
      <c r="AJ360" s="276"/>
      <c r="AK360" s="276"/>
      <c r="AL360" s="276"/>
      <c r="AM360" s="276"/>
      <c r="AN360" s="2069"/>
      <c r="AO360" s="2069"/>
      <c r="AP360" s="2069"/>
      <c r="AQ360" s="2069"/>
      <c r="AR360" s="2069"/>
      <c r="AS360" s="276"/>
      <c r="AT360" s="276"/>
      <c r="AU360" s="276"/>
      <c r="AV360" s="276"/>
      <c r="AW360" s="276"/>
      <c r="AX360" s="2069"/>
      <c r="AY360" s="2069"/>
      <c r="AZ360" s="2069"/>
      <c r="BA360" s="2069"/>
      <c r="BB360" s="2069"/>
      <c r="BC360" s="200"/>
      <c r="BD360" s="1304"/>
      <c r="BE360" s="1304"/>
      <c r="BF360" s="1015" t="s">
        <v>1412</v>
      </c>
    </row>
    <row s="1834" customFormat="1" customHeight="1" ht="14.25">
      <c r="A361" s="1304"/>
      <c r="B361" s="1436"/>
      <c r="C361" s="1304"/>
      <c r="D361" s="1304"/>
      <c r="E361" s="632">
        <v>15</v>
      </c>
      <c r="F361" s="50" cm="1" t="str">
        <f t="array" ref="F361:F361">OFFSET(E361,-1,1)</f>
        <v>3</v>
      </c>
      <c r="G361" s="98" t="s">
        <v>1343</v>
      </c>
      <c r="H361" s="98" t="s">
        <v>1386</v>
      </c>
      <c r="I361" s="1304"/>
      <c r="J361" s="1304"/>
      <c r="K361" s="1304"/>
      <c r="L361" s="1304"/>
      <c r="M361" s="1304"/>
      <c r="N361" s="1304"/>
      <c r="O361" s="1304"/>
      <c r="P361" s="1442"/>
      <c r="Q361" s="1442"/>
      <c r="R361" s="1442"/>
      <c r="S361" s="1442"/>
      <c r="T361" s="465" cm="1" t="str">
        <f t="array" ref="T361:T361">T360</f>
        <v>true</v>
      </c>
      <c r="U361" s="1442"/>
      <c r="V361" s="1304"/>
      <c r="W361" s="1442"/>
      <c r="X361" s="1563"/>
      <c r="Y361" s="1545"/>
      <c r="Z361" s="1304"/>
      <c r="AA361" s="1304"/>
      <c r="AB361" s="240" t="s">
        <v>1387</v>
      </c>
      <c r="AC361" s="192" t="s">
        <v>1346</v>
      </c>
      <c r="AD361" s="93" t="s">
        <v>1247</v>
      </c>
      <c r="AE361" s="346">
        <f>AE362+AE363</f>
        <v>0</v>
      </c>
      <c r="AF361" s="346">
        <f>AF362+AF363</f>
        <v>0</v>
      </c>
      <c r="AG361" s="346">
        <f>AG362+AG363</f>
        <v>0</v>
      </c>
      <c r="AH361" s="346">
        <f>AH362+AH363</f>
        <v>0</v>
      </c>
      <c r="AI361" s="346">
        <f>AI362+AI363</f>
        <v>1446.53912</v>
      </c>
      <c r="AJ361" s="346">
        <f>AJ362+AJ363</f>
        <v>1446.53912</v>
      </c>
      <c r="AK361" s="346">
        <f>AK362+AK363</f>
        <v>1446.53912</v>
      </c>
      <c r="AL361" s="346">
        <f>AL362+AL363</f>
        <v>1446.53912</v>
      </c>
      <c r="AM361" s="346">
        <f>AM362+AM363</f>
        <v>1446.53912</v>
      </c>
      <c r="AN361" s="346">
        <f>AN362+AN363</f>
        <v>0</v>
      </c>
      <c r="AO361" s="346">
        <f>AO362+AO363</f>
        <v>0</v>
      </c>
      <c r="AP361" s="346">
        <f>AP362+AP363</f>
        <v>0</v>
      </c>
      <c r="AQ361" s="346">
        <f>AQ362+AQ363</f>
        <v>0</v>
      </c>
      <c r="AR361" s="346">
        <f>AR362+AR363</f>
        <v>0</v>
      </c>
      <c r="AS361" s="346">
        <f>AS362+AS363</f>
        <v>1446.53912</v>
      </c>
      <c r="AT361" s="346">
        <f>AT362+AT363</f>
        <v>1446.53912</v>
      </c>
      <c r="AU361" s="346">
        <f>AU362+AU363</f>
        <v>1446.53912</v>
      </c>
      <c r="AV361" s="346">
        <f>AV362+AV363</f>
        <v>1446.53912</v>
      </c>
      <c r="AW361" s="346">
        <f>AW362+AW363</f>
        <v>1446.53912</v>
      </c>
      <c r="AX361" s="346">
        <f>AX362+AX363</f>
        <v>0</v>
      </c>
      <c r="AY361" s="346">
        <f>AY362+AY363</f>
        <v>0</v>
      </c>
      <c r="AZ361" s="346">
        <f>AZ362+AZ363</f>
        <v>0</v>
      </c>
      <c r="BA361" s="346">
        <f>BA362+BA363</f>
        <v>0</v>
      </c>
      <c r="BB361" s="346">
        <f>BB362+BB363</f>
        <v>0</v>
      </c>
      <c r="BC361" s="200"/>
      <c r="BD361" s="1304"/>
      <c r="BE361" s="1304"/>
      <c r="BF361" s="1015" t="s">
        <v>1413</v>
      </c>
    </row>
    <row s="1834" customFormat="1" customHeight="1" ht="14.25">
      <c r="A362" s="1304"/>
      <c r="B362" s="1436"/>
      <c r="C362" s="1304"/>
      <c r="D362" s="1304"/>
      <c r="E362" s="632">
        <v>15</v>
      </c>
      <c r="F362" s="50" cm="1" t="str">
        <f t="array" ref="F362:F362">OFFSET(E362,-1,1)</f>
        <v>3</v>
      </c>
      <c r="G362" s="1304"/>
      <c r="H362" s="98" t="s">
        <v>1414</v>
      </c>
      <c r="I362" s="1304"/>
      <c r="J362" s="1304"/>
      <c r="K362" s="1304"/>
      <c r="L362" s="1304"/>
      <c r="M362" s="1304"/>
      <c r="N362" s="1304"/>
      <c r="O362" s="1304"/>
      <c r="P362" s="1442"/>
      <c r="Q362" s="1442"/>
      <c r="R362" s="1442"/>
      <c r="S362" s="1442"/>
      <c r="T362" s="465" cm="1" t="str">
        <f t="array" ref="T362:T362">T361</f>
        <v>true</v>
      </c>
      <c r="U362" s="1442"/>
      <c r="V362" s="1304"/>
      <c r="W362" s="1442"/>
      <c r="X362" s="1563"/>
      <c r="Y362" s="1545"/>
      <c r="Z362" s="1304"/>
      <c r="AA362" s="1304"/>
      <c r="AB362" s="240" t="s">
        <v>1415</v>
      </c>
      <c r="AC362" s="338" t="s">
        <v>1323</v>
      </c>
      <c r="AD362" s="93" t="s">
        <v>1247</v>
      </c>
      <c r="AE362" s="276"/>
      <c r="AF362" s="276"/>
      <c r="AG362" s="276"/>
      <c r="AH362" s="276"/>
      <c r="AI362" s="276">
        <v>1446.53912</v>
      </c>
      <c r="AJ362" s="276">
        <v>1446.53912</v>
      </c>
      <c r="AK362" s="276">
        <v>1446.53912</v>
      </c>
      <c r="AL362" s="276">
        <v>1446.53912</v>
      </c>
      <c r="AM362" s="276">
        <v>1446.53912</v>
      </c>
      <c r="AN362" s="2069"/>
      <c r="AO362" s="2069"/>
      <c r="AP362" s="2069"/>
      <c r="AQ362" s="2069"/>
      <c r="AR362" s="2069"/>
      <c r="AS362" s="276">
        <v>1446.53912</v>
      </c>
      <c r="AT362" s="276">
        <v>1446.53912</v>
      </c>
      <c r="AU362" s="276">
        <v>1446.53912</v>
      </c>
      <c r="AV362" s="276">
        <v>1446.53912</v>
      </c>
      <c r="AW362" s="276">
        <v>1446.53912</v>
      </c>
      <c r="AX362" s="2069"/>
      <c r="AY362" s="2069"/>
      <c r="AZ362" s="2069"/>
      <c r="BA362" s="2069"/>
      <c r="BB362" s="2069"/>
      <c r="BC362" s="200"/>
      <c r="BD362" s="1304"/>
      <c r="BE362" s="1304"/>
      <c r="BF362" s="1015" t="s">
        <v>1416</v>
      </c>
    </row>
    <row s="1834" customFormat="1" customHeight="1" ht="14.25">
      <c r="A363" s="1304"/>
      <c r="B363" s="1436"/>
      <c r="C363" s="1304"/>
      <c r="D363" s="1304"/>
      <c r="E363" s="632">
        <v>15</v>
      </c>
      <c r="F363" s="50" cm="1" t="str">
        <f t="array" ref="F363:F363">OFFSET(E363,-1,1)</f>
        <v>3</v>
      </c>
      <c r="G363" s="1304"/>
      <c r="H363" s="98" t="s">
        <v>1417</v>
      </c>
      <c r="I363" s="1304"/>
      <c r="J363" s="1304"/>
      <c r="K363" s="1304"/>
      <c r="L363" s="1304"/>
      <c r="M363" s="1304"/>
      <c r="N363" s="1304"/>
      <c r="O363" s="1304"/>
      <c r="P363" s="1442"/>
      <c r="Q363" s="1442"/>
      <c r="R363" s="1442"/>
      <c r="S363" s="1442"/>
      <c r="T363" s="465" cm="1" t="str">
        <f t="array" ref="T363:T363">T362</f>
        <v>true</v>
      </c>
      <c r="U363" s="1442"/>
      <c r="V363" s="1304"/>
      <c r="W363" s="1442"/>
      <c r="X363" s="1563"/>
      <c r="Y363" s="1545"/>
      <c r="Z363" s="1304"/>
      <c r="AA363" s="1304"/>
      <c r="AB363" s="240" t="s">
        <v>1418</v>
      </c>
      <c r="AC363" s="338" t="s">
        <v>1327</v>
      </c>
      <c r="AD363" s="93" t="s">
        <v>1247</v>
      </c>
      <c r="AE363" s="276"/>
      <c r="AF363" s="276"/>
      <c r="AG363" s="276"/>
      <c r="AH363" s="276"/>
      <c r="AI363" s="276"/>
      <c r="AJ363" s="276"/>
      <c r="AK363" s="276"/>
      <c r="AL363" s="276"/>
      <c r="AM363" s="276"/>
      <c r="AN363" s="2069"/>
      <c r="AO363" s="2069"/>
      <c r="AP363" s="2069"/>
      <c r="AQ363" s="2069"/>
      <c r="AR363" s="2069"/>
      <c r="AS363" s="276"/>
      <c r="AT363" s="276"/>
      <c r="AU363" s="276"/>
      <c r="AV363" s="276"/>
      <c r="AW363" s="276"/>
      <c r="AX363" s="2069"/>
      <c r="AY363" s="2069"/>
      <c r="AZ363" s="2069"/>
      <c r="BA363" s="2069"/>
      <c r="BB363" s="2069"/>
      <c r="BC363" s="200"/>
      <c r="BD363" s="1304"/>
      <c r="BE363" s="1304"/>
      <c r="BF363" s="1015" t="s">
        <v>1419</v>
      </c>
    </row>
    <row s="1834" customFormat="1" customHeight="1" ht="14.25">
      <c r="A364" s="1304"/>
      <c r="B364" s="1436"/>
      <c r="C364" s="1304"/>
      <c r="D364" s="1304"/>
      <c r="E364" s="632">
        <v>15</v>
      </c>
      <c r="F364" s="50" cm="1" t="str">
        <f t="array" ref="F364:F364">OFFSET(E364,-1,1)</f>
        <v>3</v>
      </c>
      <c r="G364" s="1304"/>
      <c r="H364" s="98" t="s">
        <v>1420</v>
      </c>
      <c r="I364" s="1304"/>
      <c r="J364" s="1304"/>
      <c r="K364" s="1304"/>
      <c r="L364" s="1304"/>
      <c r="M364" s="1304"/>
      <c r="N364" s="1304"/>
      <c r="O364" s="1304"/>
      <c r="P364" s="1442"/>
      <c r="Q364" s="1442"/>
      <c r="R364" s="1442"/>
      <c r="S364" s="1442"/>
      <c r="T364" s="465" cm="1" t="str">
        <f t="array" ref="T364:T364">T363</f>
        <v>true</v>
      </c>
      <c r="U364" s="1442"/>
      <c r="V364" s="1304"/>
      <c r="W364" s="1442"/>
      <c r="X364" s="1563"/>
      <c r="Y364" s="1545"/>
      <c r="Z364" s="1304"/>
      <c r="AA364" s="1304"/>
      <c r="AB364" s="240" t="s">
        <v>1421</v>
      </c>
      <c r="AC364" s="192" t="s">
        <v>1356</v>
      </c>
      <c r="AD364" s="93" t="s">
        <v>1247</v>
      </c>
      <c r="AE364" s="346">
        <f>AE365+AE366</f>
        <v>0</v>
      </c>
      <c r="AF364" s="346">
        <f>AF365+AF366</f>
        <v>0</v>
      </c>
      <c r="AG364" s="346">
        <f>AG365+AG366</f>
        <v>0</v>
      </c>
      <c r="AH364" s="346">
        <f>AH365+AH366</f>
        <v>0</v>
      </c>
      <c r="AI364" s="346">
        <f>AI365+AI366</f>
        <v>207.05786</v>
      </c>
      <c r="AJ364" s="346">
        <f>AJ365+AJ366</f>
        <v>207.05786</v>
      </c>
      <c r="AK364" s="346">
        <f>AK365+AK366</f>
        <v>207.05786</v>
      </c>
      <c r="AL364" s="346">
        <f>AL365+AL366</f>
        <v>207.05786</v>
      </c>
      <c r="AM364" s="346">
        <f>AM365+AM366</f>
        <v>207.05786</v>
      </c>
      <c r="AN364" s="346">
        <f>AN365+AN366</f>
        <v>0</v>
      </c>
      <c r="AO364" s="346">
        <f>AO365+AO366</f>
        <v>0</v>
      </c>
      <c r="AP364" s="346">
        <f>AP365+AP366</f>
        <v>0</v>
      </c>
      <c r="AQ364" s="346">
        <f>AQ365+AQ366</f>
        <v>0</v>
      </c>
      <c r="AR364" s="346">
        <f>AR365+AR366</f>
        <v>0</v>
      </c>
      <c r="AS364" s="346">
        <f>AS365+AS366</f>
        <v>207.05786</v>
      </c>
      <c r="AT364" s="346">
        <f>AT365+AT366</f>
        <v>207.05786</v>
      </c>
      <c r="AU364" s="346">
        <f>AU365+AU366</f>
        <v>207.05786</v>
      </c>
      <c r="AV364" s="346">
        <f>AV365+AV366</f>
        <v>207.05786</v>
      </c>
      <c r="AW364" s="346">
        <f>AW365+AW366</f>
        <v>207.05786</v>
      </c>
      <c r="AX364" s="346">
        <f>AX365+AX366</f>
        <v>0</v>
      </c>
      <c r="AY364" s="346">
        <f>AY365+AY366</f>
        <v>0</v>
      </c>
      <c r="AZ364" s="346">
        <f>AZ365+AZ366</f>
        <v>0</v>
      </c>
      <c r="BA364" s="346">
        <f>BA365+BA366</f>
        <v>0</v>
      </c>
      <c r="BB364" s="346">
        <f>BB365+BB366</f>
        <v>0</v>
      </c>
      <c r="BC364" s="200"/>
      <c r="BD364" s="1304"/>
      <c r="BE364" s="1304"/>
      <c r="BF364" s="1015" t="s">
        <v>1422</v>
      </c>
    </row>
    <row s="1834" customFormat="1" customHeight="1" ht="14.25">
      <c r="A365" s="1304"/>
      <c r="B365" s="1436"/>
      <c r="C365" s="1304"/>
      <c r="D365" s="1304"/>
      <c r="E365" s="632">
        <v>15</v>
      </c>
      <c r="F365" s="50" cm="1" t="str">
        <f t="array" ref="F365:F365">OFFSET(E365,-1,1)</f>
        <v>3</v>
      </c>
      <c r="G365" s="1304"/>
      <c r="H365" s="98" t="s">
        <v>1423</v>
      </c>
      <c r="I365" s="1304"/>
      <c r="J365" s="1304"/>
      <c r="K365" s="1304"/>
      <c r="L365" s="1304"/>
      <c r="M365" s="1304"/>
      <c r="N365" s="1304"/>
      <c r="O365" s="1304"/>
      <c r="P365" s="1442"/>
      <c r="Q365" s="1442"/>
      <c r="R365" s="1442"/>
      <c r="S365" s="1442"/>
      <c r="T365" s="465" cm="1" t="str">
        <f t="array" ref="T365:T365">T364</f>
        <v>true</v>
      </c>
      <c r="U365" s="1442"/>
      <c r="V365" s="1304"/>
      <c r="W365" s="1442"/>
      <c r="X365" s="1563"/>
      <c r="Y365" s="1545"/>
      <c r="Z365" s="1304"/>
      <c r="AA365" s="1304"/>
      <c r="AB365" s="240" t="s">
        <v>1424</v>
      </c>
      <c r="AC365" s="338" t="s">
        <v>1323</v>
      </c>
      <c r="AD365" s="93" t="s">
        <v>1247</v>
      </c>
      <c r="AE365" s="276"/>
      <c r="AF365" s="276"/>
      <c r="AG365" s="276"/>
      <c r="AH365" s="276"/>
      <c r="AI365" s="276">
        <v>207.05786</v>
      </c>
      <c r="AJ365" s="276">
        <v>207.05786</v>
      </c>
      <c r="AK365" s="276">
        <v>207.05786</v>
      </c>
      <c r="AL365" s="276">
        <v>207.05786</v>
      </c>
      <c r="AM365" s="276">
        <v>207.05786</v>
      </c>
      <c r="AN365" s="2069"/>
      <c r="AO365" s="2069"/>
      <c r="AP365" s="2069"/>
      <c r="AQ365" s="2069"/>
      <c r="AR365" s="2069"/>
      <c r="AS365" s="276">
        <v>207.05786</v>
      </c>
      <c r="AT365" s="276">
        <v>207.05786</v>
      </c>
      <c r="AU365" s="276">
        <v>207.05786</v>
      </c>
      <c r="AV365" s="276">
        <v>207.05786</v>
      </c>
      <c r="AW365" s="276">
        <v>207.05786</v>
      </c>
      <c r="AX365" s="2069"/>
      <c r="AY365" s="2069"/>
      <c r="AZ365" s="2069"/>
      <c r="BA365" s="2069"/>
      <c r="BB365" s="2069"/>
      <c r="BC365" s="200"/>
      <c r="BD365" s="1304"/>
      <c r="BE365" s="1304"/>
      <c r="BF365" s="1015" t="s">
        <v>1425</v>
      </c>
    </row>
    <row s="1834" customFormat="1" customHeight="1" ht="14.25">
      <c r="A366" s="1304"/>
      <c r="B366" s="1436"/>
      <c r="C366" s="1304"/>
      <c r="D366" s="1304"/>
      <c r="E366" s="632">
        <v>15</v>
      </c>
      <c r="F366" s="50" cm="1" t="str">
        <f t="array" ref="F366:F366">OFFSET(E366,-1,1)</f>
        <v>3</v>
      </c>
      <c r="G366" s="1304"/>
      <c r="H366" s="98" t="s">
        <v>1426</v>
      </c>
      <c r="I366" s="1304"/>
      <c r="J366" s="1304"/>
      <c r="K366" s="1304"/>
      <c r="L366" s="1304"/>
      <c r="M366" s="1304"/>
      <c r="N366" s="1304"/>
      <c r="O366" s="1304"/>
      <c r="P366" s="1442"/>
      <c r="Q366" s="1442"/>
      <c r="R366" s="1442"/>
      <c r="S366" s="1442"/>
      <c r="T366" s="465" cm="1" t="str">
        <f t="array" ref="T366:T366">T365</f>
        <v>true</v>
      </c>
      <c r="U366" s="1442"/>
      <c r="V366" s="1304"/>
      <c r="W366" s="1442"/>
      <c r="X366" s="1563"/>
      <c r="Y366" s="1545"/>
      <c r="Z366" s="1304"/>
      <c r="AA366" s="1304"/>
      <c r="AB366" s="240" t="s">
        <v>1427</v>
      </c>
      <c r="AC366" s="338" t="s">
        <v>1327</v>
      </c>
      <c r="AD366" s="93" t="s">
        <v>1247</v>
      </c>
      <c r="AE366" s="276"/>
      <c r="AF366" s="276"/>
      <c r="AG366" s="276"/>
      <c r="AH366" s="276"/>
      <c r="AI366" s="276"/>
      <c r="AJ366" s="276"/>
      <c r="AK366" s="276"/>
      <c r="AL366" s="276"/>
      <c r="AM366" s="276"/>
      <c r="AN366" s="2069"/>
      <c r="AO366" s="2069"/>
      <c r="AP366" s="2069"/>
      <c r="AQ366" s="2069"/>
      <c r="AR366" s="2069"/>
      <c r="AS366" s="276"/>
      <c r="AT366" s="276"/>
      <c r="AU366" s="276"/>
      <c r="AV366" s="276"/>
      <c r="AW366" s="276"/>
      <c r="AX366" s="2069"/>
      <c r="AY366" s="2069"/>
      <c r="AZ366" s="2069"/>
      <c r="BA366" s="2069"/>
      <c r="BB366" s="2069"/>
      <c r="BC366" s="200"/>
      <c r="BD366" s="1304"/>
      <c r="BE366" s="1304"/>
      <c r="BF366" s="1015" t="s">
        <v>1428</v>
      </c>
    </row>
    <row s="1834" customFormat="1" customHeight="1" ht="0">
      <c r="A367" s="1304"/>
      <c r="B367" s="1436"/>
      <c r="C367" s="1304"/>
      <c r="D367" s="1304"/>
      <c r="E367" s="632">
        <v>15</v>
      </c>
      <c r="F367" s="50" cm="1" t="str">
        <f t="array" ref="F367:F367">OFFSET(E367,-1,1)</f>
        <v>3</v>
      </c>
      <c r="G367" s="1304"/>
      <c r="H367" s="98" t="s">
        <v>1429</v>
      </c>
      <c r="I367" s="1304"/>
      <c r="J367" s="1304"/>
      <c r="K367" s="1304"/>
      <c r="L367" s="1304"/>
      <c r="M367" s="1304"/>
      <c r="N367" s="1304"/>
      <c r="O367" s="1304"/>
      <c r="P367" s="1442"/>
      <c r="Q367" s="1442"/>
      <c r="R367" s="1442"/>
      <c r="S367" s="1442"/>
      <c r="T367" s="465" cm="1" t="str">
        <f t="array" ref="T367:T367">T366</f>
        <v>true</v>
      </c>
      <c r="U367" s="1442"/>
      <c r="V367" s="1304"/>
      <c r="W367" s="1442"/>
      <c r="X367" s="1563"/>
      <c r="Y367" s="1545"/>
      <c r="Z367" s="1304"/>
      <c r="AA367" s="1304"/>
      <c r="AB367" s="240" t="s">
        <v>1430</v>
      </c>
      <c r="AC367" s="192" t="s">
        <v>1431</v>
      </c>
      <c r="AD367" s="93" t="s">
        <v>1247</v>
      </c>
      <c r="AE367" s="346">
        <f>AE368+AE369</f>
        <v>0</v>
      </c>
      <c r="AF367" s="346">
        <f>AF368+AF369</f>
        <v>0</v>
      </c>
      <c r="AG367" s="346">
        <f>AG368+AG369</f>
        <v>0</v>
      </c>
      <c r="AH367" s="346">
        <f>AH368+AH369</f>
        <v>0</v>
      </c>
      <c r="AI367" s="346">
        <f>AI368+AI369</f>
        <v>0</v>
      </c>
      <c r="AJ367" s="346">
        <f>AJ368+AJ369</f>
        <v>0</v>
      </c>
      <c r="AK367" s="346">
        <f>AK368+AK369</f>
        <v>0</v>
      </c>
      <c r="AL367" s="346">
        <f>AL368+AL369</f>
        <v>0</v>
      </c>
      <c r="AM367" s="346">
        <f>AM368+AM369</f>
        <v>0</v>
      </c>
      <c r="AN367" s="346">
        <f>AN368+AN369</f>
        <v>0</v>
      </c>
      <c r="AO367" s="346">
        <f>AO368+AO369</f>
        <v>0</v>
      </c>
      <c r="AP367" s="346">
        <f>AP368+AP369</f>
        <v>0</v>
      </c>
      <c r="AQ367" s="346">
        <f>AQ368+AQ369</f>
        <v>0</v>
      </c>
      <c r="AR367" s="346">
        <f>AR368+AR369</f>
        <v>0</v>
      </c>
      <c r="AS367" s="346">
        <f>AS368+AS369</f>
        <v>0</v>
      </c>
      <c r="AT367" s="346">
        <f>AT368+AT369</f>
        <v>0</v>
      </c>
      <c r="AU367" s="346">
        <f>AU368+AU369</f>
        <v>0</v>
      </c>
      <c r="AV367" s="346">
        <f>AV368+AV369</f>
        <v>0</v>
      </c>
      <c r="AW367" s="346">
        <f>AW368+AW369</f>
        <v>0</v>
      </c>
      <c r="AX367" s="346">
        <f>AX368+AX369</f>
        <v>0</v>
      </c>
      <c r="AY367" s="346">
        <f>AY368+AY369</f>
        <v>0</v>
      </c>
      <c r="AZ367" s="346">
        <f>AZ368+AZ369</f>
        <v>0</v>
      </c>
      <c r="BA367" s="346">
        <f>BA368+BA369</f>
        <v>0</v>
      </c>
      <c r="BB367" s="346">
        <f>BB368+BB369</f>
        <v>0</v>
      </c>
      <c r="BC367" s="200"/>
      <c r="BD367" s="1304"/>
      <c r="BE367" s="1304"/>
      <c r="BF367" s="1015" t="s">
        <v>1432</v>
      </c>
    </row>
    <row s="1834" customFormat="1" customHeight="1" ht="0">
      <c r="A368" s="1304"/>
      <c r="B368" s="1436"/>
      <c r="C368" s="1304"/>
      <c r="D368" s="1304"/>
      <c r="E368" s="632">
        <v>15</v>
      </c>
      <c r="F368" s="50" cm="1" t="str">
        <f t="array" ref="F368:F368">OFFSET(E368,-1,1)</f>
        <v>3</v>
      </c>
      <c r="G368" s="1304"/>
      <c r="H368" s="98" t="s">
        <v>1433</v>
      </c>
      <c r="I368" s="1304"/>
      <c r="J368" s="1304"/>
      <c r="K368" s="1304"/>
      <c r="L368" s="1304"/>
      <c r="M368" s="1304"/>
      <c r="N368" s="1304"/>
      <c r="O368" s="1304"/>
      <c r="P368" s="1442"/>
      <c r="Q368" s="1442"/>
      <c r="R368" s="1442"/>
      <c r="S368" s="1442"/>
      <c r="T368" s="465" cm="1" t="str">
        <f t="array" ref="T368:T368">T367</f>
        <v>true</v>
      </c>
      <c r="U368" s="1442"/>
      <c r="V368" s="1304"/>
      <c r="W368" s="1442"/>
      <c r="X368" s="1563"/>
      <c r="Y368" s="1545"/>
      <c r="Z368" s="1304"/>
      <c r="AA368" s="1304"/>
      <c r="AB368" s="240" t="s">
        <v>1434</v>
      </c>
      <c r="AC368" s="332" t="s">
        <v>1323</v>
      </c>
      <c r="AD368" s="93" t="s">
        <v>1247</v>
      </c>
      <c r="AE368" s="276"/>
      <c r="AF368" s="276"/>
      <c r="AG368" s="276"/>
      <c r="AH368" s="276"/>
      <c r="AI368" s="276"/>
      <c r="AJ368" s="276"/>
      <c r="AK368" s="276"/>
      <c r="AL368" s="276"/>
      <c r="AM368" s="276"/>
      <c r="AN368" s="2069"/>
      <c r="AO368" s="2069"/>
      <c r="AP368" s="2069"/>
      <c r="AQ368" s="2069"/>
      <c r="AR368" s="2069"/>
      <c r="AS368" s="276"/>
      <c r="AT368" s="276"/>
      <c r="AU368" s="276"/>
      <c r="AV368" s="276"/>
      <c r="AW368" s="276"/>
      <c r="AX368" s="2069"/>
      <c r="AY368" s="2069"/>
      <c r="AZ368" s="2069"/>
      <c r="BA368" s="2069"/>
      <c r="BB368" s="2069"/>
      <c r="BC368" s="200"/>
      <c r="BD368" s="1304"/>
      <c r="BE368" s="1304"/>
      <c r="BF368" s="1015" t="s">
        <v>1435</v>
      </c>
    </row>
    <row s="1834" customFormat="1" customHeight="1" ht="0">
      <c r="A369" s="1304"/>
      <c r="B369" s="1436"/>
      <c r="C369" s="1304"/>
      <c r="D369" s="1304"/>
      <c r="E369" s="632">
        <v>15</v>
      </c>
      <c r="F369" s="50" cm="1" t="str">
        <f t="array" ref="F369:F369">OFFSET(E369,-1,1)</f>
        <v>3</v>
      </c>
      <c r="G369" s="1304"/>
      <c r="H369" s="98" t="s">
        <v>1436</v>
      </c>
      <c r="I369" s="1304"/>
      <c r="J369" s="1304"/>
      <c r="K369" s="1304"/>
      <c r="L369" s="1304"/>
      <c r="M369" s="1304"/>
      <c r="N369" s="1304"/>
      <c r="O369" s="1304"/>
      <c r="P369" s="1442"/>
      <c r="Q369" s="1442"/>
      <c r="R369" s="1442"/>
      <c r="S369" s="1442"/>
      <c r="T369" s="465" cm="1" t="str">
        <f t="array" ref="T369:T369">T368</f>
        <v>true</v>
      </c>
      <c r="U369" s="1442"/>
      <c r="V369" s="1304"/>
      <c r="W369" s="1442"/>
      <c r="X369" s="1563"/>
      <c r="Y369" s="1545"/>
      <c r="Z369" s="1304"/>
      <c r="AA369" s="1304"/>
      <c r="AB369" s="240" t="s">
        <v>1437</v>
      </c>
      <c r="AC369" s="332" t="s">
        <v>1327</v>
      </c>
      <c r="AD369" s="93" t="s">
        <v>1247</v>
      </c>
      <c r="AE369" s="276"/>
      <c r="AF369" s="276"/>
      <c r="AG369" s="276"/>
      <c r="AH369" s="276"/>
      <c r="AI369" s="276"/>
      <c r="AJ369" s="276"/>
      <c r="AK369" s="276"/>
      <c r="AL369" s="276"/>
      <c r="AM369" s="276"/>
      <c r="AN369" s="2069"/>
      <c r="AO369" s="2069"/>
      <c r="AP369" s="2069"/>
      <c r="AQ369" s="2069"/>
      <c r="AR369" s="2069"/>
      <c r="AS369" s="276"/>
      <c r="AT369" s="276"/>
      <c r="AU369" s="276"/>
      <c r="AV369" s="276"/>
      <c r="AW369" s="276"/>
      <c r="AX369" s="2069"/>
      <c r="AY369" s="2069"/>
      <c r="AZ369" s="2069"/>
      <c r="BA369" s="2069"/>
      <c r="BB369" s="2069"/>
      <c r="BC369" s="200"/>
      <c r="BD369" s="1304"/>
      <c r="BE369" s="1304"/>
      <c r="BF369" s="1015" t="s">
        <v>1438</v>
      </c>
    </row>
    <row s="1834" customFormat="1" customHeight="1" ht="0">
      <c r="A370" s="1304"/>
      <c r="B370" s="1436"/>
      <c r="C370" s="1304"/>
      <c r="D370" s="1304"/>
      <c r="E370" s="632">
        <v>22.5</v>
      </c>
      <c r="F370" s="50" cm="1" t="str">
        <f t="array" ref="F370:F370">OFFSET(E370,-1,1)</f>
        <v>3</v>
      </c>
      <c r="G370" s="1304"/>
      <c r="H370" s="98" t="s">
        <v>1439</v>
      </c>
      <c r="I370" s="1304"/>
      <c r="J370" s="1304"/>
      <c r="K370" s="1304"/>
      <c r="L370" s="1304"/>
      <c r="M370" s="1304"/>
      <c r="N370" s="1304"/>
      <c r="O370" s="1304"/>
      <c r="P370" s="1442"/>
      <c r="Q370" s="1442"/>
      <c r="R370" s="1442"/>
      <c r="S370" s="1442"/>
      <c r="T370" s="465" cm="1" t="str">
        <f t="array" ref="T370:T370">T369</f>
        <v>true</v>
      </c>
      <c r="U370" s="1442"/>
      <c r="V370" s="1304"/>
      <c r="W370" s="1442"/>
      <c r="X370" s="1563"/>
      <c r="Y370" s="1545"/>
      <c r="Z370" s="1304"/>
      <c r="AA370" s="1304"/>
      <c r="AB370" s="240" t="s">
        <v>1440</v>
      </c>
      <c r="AC370" s="339" t="s">
        <v>1288</v>
      </c>
      <c r="AD370" s="93" t="s">
        <v>1247</v>
      </c>
      <c r="AE370" s="276"/>
      <c r="AF370" s="276"/>
      <c r="AG370" s="276"/>
      <c r="AH370" s="276"/>
      <c r="AI370" s="276"/>
      <c r="AJ370" s="276"/>
      <c r="AK370" s="276"/>
      <c r="AL370" s="276"/>
      <c r="AM370" s="276"/>
      <c r="AN370" s="2069"/>
      <c r="AO370" s="2069"/>
      <c r="AP370" s="2069"/>
      <c r="AQ370" s="2069"/>
      <c r="AR370" s="2069"/>
      <c r="AS370" s="276"/>
      <c r="AT370" s="276"/>
      <c r="AU370" s="276"/>
      <c r="AV370" s="276"/>
      <c r="AW370" s="276"/>
      <c r="AX370" s="2069"/>
      <c r="AY370" s="2069"/>
      <c r="AZ370" s="2069"/>
      <c r="BA370" s="2069"/>
      <c r="BB370" s="2069"/>
      <c r="BC370" s="200"/>
      <c r="BD370" s="1304"/>
      <c r="BE370" s="1304"/>
      <c r="BF370" s="1015" t="s">
        <v>1441</v>
      </c>
    </row>
    <row s="1834" customFormat="1" customHeight="1" ht="14.25">
      <c r="A371" s="1304"/>
      <c r="B371" s="1436"/>
      <c r="C371" s="1304"/>
      <c r="D371" s="1304"/>
      <c r="E371" s="632">
        <v>15</v>
      </c>
      <c r="F371" s="50" cm="1" t="str">
        <f t="array" ref="F371:F371">OFFSET(E371,-1,1)</f>
        <v>3</v>
      </c>
      <c r="G371" s="1304"/>
      <c r="H371" s="98" t="s">
        <v>1228</v>
      </c>
      <c r="I371" s="1304"/>
      <c r="J371" s="1304"/>
      <c r="K371" s="1304"/>
      <c r="L371" s="1304"/>
      <c r="M371" s="1304"/>
      <c r="N371" s="1304"/>
      <c r="O371" s="1304"/>
      <c r="P371" s="1442"/>
      <c r="Q371" s="1442"/>
      <c r="R371" s="1442"/>
      <c r="S371" s="1442"/>
      <c r="T371" s="465" cm="1" t="str">
        <f t="array" ref="T371:T371">T370</f>
        <v>true</v>
      </c>
      <c r="U371" s="1442"/>
      <c r="V371" s="1304"/>
      <c r="W371" s="1442"/>
      <c r="X371" s="1563"/>
      <c r="Y371" s="1545"/>
      <c r="Z371" s="1304"/>
      <c r="AA371" s="1304"/>
      <c r="AB371" s="240" t="s">
        <v>443</v>
      </c>
      <c r="AC371" s="137" t="s">
        <v>1442</v>
      </c>
      <c r="AD371" s="93" t="s">
        <v>1247</v>
      </c>
      <c r="AE371" s="276"/>
      <c r="AF371" s="276"/>
      <c r="AG371" s="276"/>
      <c r="AH371" s="276"/>
      <c r="AI371" s="276"/>
      <c r="AJ371" s="276"/>
      <c r="AK371" s="276"/>
      <c r="AL371" s="276"/>
      <c r="AM371" s="276"/>
      <c r="AN371" s="2069"/>
      <c r="AO371" s="2069"/>
      <c r="AP371" s="2069"/>
      <c r="AQ371" s="2069"/>
      <c r="AR371" s="2069"/>
      <c r="AS371" s="276"/>
      <c r="AT371" s="276"/>
      <c r="AU371" s="276"/>
      <c r="AV371" s="276"/>
      <c r="AW371" s="276"/>
      <c r="AX371" s="2069"/>
      <c r="AY371" s="2069"/>
      <c r="AZ371" s="2069"/>
      <c r="BA371" s="2069"/>
      <c r="BB371" s="2069"/>
      <c r="BC371" s="200"/>
      <c r="BD371" s="1304"/>
      <c r="BE371" s="1304"/>
      <c r="BF371" s="1015" t="s">
        <v>1443</v>
      </c>
    </row>
    <row s="1834" customFormat="1" customHeight="1" ht="23.25">
      <c r="A372" s="1304"/>
      <c r="B372" s="1436"/>
      <c r="C372" s="1304"/>
      <c r="D372" s="1304"/>
      <c r="E372" s="632">
        <v>15</v>
      </c>
      <c r="F372" s="50" cm="1" t="str">
        <f t="array" ref="F372:F372">OFFSET(E372,-1,1)</f>
        <v>3</v>
      </c>
      <c r="G372" s="1304"/>
      <c r="H372" s="98" t="s">
        <v>1275</v>
      </c>
      <c r="I372" s="1304"/>
      <c r="J372" s="1304"/>
      <c r="K372" s="1304"/>
      <c r="L372" s="1304"/>
      <c r="M372" s="1304"/>
      <c r="N372" s="1304"/>
      <c r="O372" s="1304"/>
      <c r="P372" s="1442"/>
      <c r="Q372" s="1442"/>
      <c r="R372" s="1442"/>
      <c r="S372" s="1442"/>
      <c r="T372" s="465" cm="1" t="str">
        <f t="array" ref="T372:T372">T371</f>
        <v>true</v>
      </c>
      <c r="U372" s="1442"/>
      <c r="V372" s="1304"/>
      <c r="W372" s="1442"/>
      <c r="X372" s="1563"/>
      <c r="Y372" s="1545"/>
      <c r="Z372" s="1304"/>
      <c r="AA372" s="1304"/>
      <c r="AB372" s="240" t="s">
        <v>446</v>
      </c>
      <c r="AC372" s="137" t="s">
        <v>1444</v>
      </c>
      <c r="AD372" s="93" t="s">
        <v>1247</v>
      </c>
      <c r="AE372" s="276"/>
      <c r="AF372" s="276"/>
      <c r="AG372" s="276"/>
      <c r="AH372" s="276"/>
      <c r="AI372" s="276"/>
      <c r="AJ372" s="276"/>
      <c r="AK372" s="276"/>
      <c r="AL372" s="276"/>
      <c r="AM372" s="276"/>
      <c r="AN372" s="2069"/>
      <c r="AO372" s="2069"/>
      <c r="AP372" s="2069"/>
      <c r="AQ372" s="2069"/>
      <c r="AR372" s="2069"/>
      <c r="AS372" s="276"/>
      <c r="AT372" s="276"/>
      <c r="AU372" s="276"/>
      <c r="AV372" s="276"/>
      <c r="AW372" s="276"/>
      <c r="AX372" s="2069"/>
      <c r="AY372" s="2069"/>
      <c r="AZ372" s="2069"/>
      <c r="BA372" s="2069"/>
      <c r="BB372" s="2069"/>
      <c r="BC372" s="200"/>
      <c r="BD372" s="1304"/>
      <c r="BE372" s="1304"/>
      <c r="BF372" s="1015" t="s">
        <v>1445</v>
      </c>
    </row>
    <row s="1834" customFormat="1" customHeight="1" ht="33.75">
      <c r="A373" s="1304"/>
      <c r="B373" s="1436"/>
      <c r="C373" s="1304"/>
      <c r="D373" s="1304"/>
      <c r="E373" s="632">
        <v>15</v>
      </c>
      <c r="F373" s="50" cm="1" t="str">
        <f t="array" ref="F373:F373">OFFSET(E373,-1,1)</f>
        <v>3</v>
      </c>
      <c r="G373" s="1304"/>
      <c r="H373" s="98" t="s">
        <v>1290</v>
      </c>
      <c r="I373" s="1304"/>
      <c r="J373" s="1304"/>
      <c r="K373" s="1304"/>
      <c r="L373" s="1304"/>
      <c r="M373" s="1304"/>
      <c r="N373" s="1304"/>
      <c r="O373" s="1304"/>
      <c r="P373" s="1442"/>
      <c r="Q373" s="1442"/>
      <c r="R373" s="1442"/>
      <c r="S373" s="1442"/>
      <c r="T373" s="465" cm="1" t="str">
        <f t="array" ref="T373:T373">T372</f>
        <v>true</v>
      </c>
      <c r="U373" s="1442"/>
      <c r="V373" s="1304"/>
      <c r="W373" s="1442"/>
      <c r="X373" s="1563"/>
      <c r="Y373" s="1545"/>
      <c r="Z373" s="1304"/>
      <c r="AA373" s="1304"/>
      <c r="AB373" s="240" t="s">
        <v>449</v>
      </c>
      <c r="AC373" s="137" t="s">
        <v>1446</v>
      </c>
      <c r="AD373" s="93" t="s">
        <v>1247</v>
      </c>
      <c r="AE373" s="276"/>
      <c r="AF373" s="276"/>
      <c r="AG373" s="276"/>
      <c r="AH373" s="276"/>
      <c r="AI373" s="276">
        <v>4094.206</v>
      </c>
      <c r="AJ373" s="276">
        <v>4094.206</v>
      </c>
      <c r="AK373" s="276">
        <v>4094.206</v>
      </c>
      <c r="AL373" s="276">
        <v>4094.206</v>
      </c>
      <c r="AM373" s="276">
        <v>4094.206</v>
      </c>
      <c r="AN373" s="2069"/>
      <c r="AO373" s="2069"/>
      <c r="AP373" s="2069"/>
      <c r="AQ373" s="2069"/>
      <c r="AR373" s="2069"/>
      <c r="AS373" s="276">
        <v>4094.206</v>
      </c>
      <c r="AT373" s="276">
        <v>4094.206</v>
      </c>
      <c r="AU373" s="276">
        <v>4094.206</v>
      </c>
      <c r="AV373" s="276">
        <v>4094.206</v>
      </c>
      <c r="AW373" s="276">
        <v>4094.206</v>
      </c>
      <c r="AX373" s="2069"/>
      <c r="AY373" s="2069"/>
      <c r="AZ373" s="2069"/>
      <c r="BA373" s="2069"/>
      <c r="BB373" s="2069"/>
      <c r="BC373" s="200" t="s">
        <v>1487</v>
      </c>
      <c r="BD373" s="1304"/>
      <c r="BE373" s="1304"/>
      <c r="BF373" s="1015" t="s">
        <v>1447</v>
      </c>
    </row>
    <row s="1834" customFormat="1" customHeight="1" ht="0">
      <c r="A374" s="1304"/>
      <c r="B374" s="1436"/>
      <c r="C374" s="1304"/>
      <c r="D374" s="1304"/>
      <c r="E374" s="632">
        <v>15</v>
      </c>
      <c r="F374" s="50" cm="1" t="str">
        <f t="array" ref="F374:F374">OFFSET(E374,-1,1)</f>
        <v>3</v>
      </c>
      <c r="G374" s="1304"/>
      <c r="H374" s="98" t="s">
        <v>1297</v>
      </c>
      <c r="I374" s="1304"/>
      <c r="J374" s="1304"/>
      <c r="K374" s="1304"/>
      <c r="L374" s="1304"/>
      <c r="M374" s="1304"/>
      <c r="N374" s="1304"/>
      <c r="O374" s="1304"/>
      <c r="P374" s="1442"/>
      <c r="Q374" s="1442"/>
      <c r="R374" s="1442"/>
      <c r="S374" s="1442"/>
      <c r="T374" s="465" cm="1" t="str">
        <f t="array" ref="T374:T374">T373</f>
        <v>true</v>
      </c>
      <c r="U374" s="1442"/>
      <c r="V374" s="1304"/>
      <c r="W374" s="1442"/>
      <c r="X374" s="1563"/>
      <c r="Y374" s="1545"/>
      <c r="Z374" s="1304"/>
      <c r="AA374" s="1304"/>
      <c r="AB374" s="240" t="s">
        <v>452</v>
      </c>
      <c r="AC374" s="138" t="s">
        <v>1448</v>
      </c>
      <c r="AD374" s="93" t="s">
        <v>1247</v>
      </c>
      <c r="AE374" s="346">
        <f>AE375+AE376</f>
        <v>0</v>
      </c>
      <c r="AF374" s="346">
        <f>AF375+AF376</f>
        <v>0</v>
      </c>
      <c r="AG374" s="346">
        <f>AG375+AG376</f>
        <v>0</v>
      </c>
      <c r="AH374" s="346">
        <f>AH375+AH376</f>
        <v>0</v>
      </c>
      <c r="AI374" s="346">
        <f>AI375+AI376</f>
        <v>0</v>
      </c>
      <c r="AJ374" s="346">
        <f>AJ375+AJ376</f>
        <v>0</v>
      </c>
      <c r="AK374" s="346">
        <f>AK375+AK376</f>
        <v>0</v>
      </c>
      <c r="AL374" s="346">
        <f>AL375+AL376</f>
        <v>0</v>
      </c>
      <c r="AM374" s="346">
        <f>AM375+AM376</f>
        <v>0</v>
      </c>
      <c r="AN374" s="346">
        <f>AN375+AN376</f>
        <v>0</v>
      </c>
      <c r="AO374" s="346">
        <f>AO375+AO376</f>
        <v>0</v>
      </c>
      <c r="AP374" s="346">
        <f>AP375+AP376</f>
        <v>0</v>
      </c>
      <c r="AQ374" s="346">
        <f>AQ375+AQ376</f>
        <v>0</v>
      </c>
      <c r="AR374" s="346">
        <f>AR375+AR376</f>
        <v>0</v>
      </c>
      <c r="AS374" s="346">
        <f>AS375+AS376</f>
        <v>0</v>
      </c>
      <c r="AT374" s="346">
        <f>AT375+AT376</f>
        <v>0</v>
      </c>
      <c r="AU374" s="346">
        <f>AU375+AU376</f>
        <v>0</v>
      </c>
      <c r="AV374" s="346">
        <f>AV375+AV376</f>
        <v>0</v>
      </c>
      <c r="AW374" s="346">
        <f>AW375+AW376</f>
        <v>0</v>
      </c>
      <c r="AX374" s="346">
        <f>AX375+AX376</f>
        <v>0</v>
      </c>
      <c r="AY374" s="346">
        <f>AY375+AY376</f>
        <v>0</v>
      </c>
      <c r="AZ374" s="346">
        <f>AZ375+AZ376</f>
        <v>0</v>
      </c>
      <c r="BA374" s="346">
        <f>BA375+BA376</f>
        <v>0</v>
      </c>
      <c r="BB374" s="346">
        <f>BB375+BB376</f>
        <v>0</v>
      </c>
      <c r="BC374" s="200"/>
      <c r="BD374" s="1304"/>
      <c r="BE374" s="1304"/>
      <c r="BF374" s="1015" t="s">
        <v>1449</v>
      </c>
    </row>
    <row s="1834" customFormat="1" customHeight="1" ht="0">
      <c r="A375" s="1304"/>
      <c r="B375" s="1436"/>
      <c r="C375" s="1304"/>
      <c r="D375" s="1304"/>
      <c r="E375" s="632">
        <v>15</v>
      </c>
      <c r="F375" s="50" cm="1" t="str">
        <f t="array" ref="F375:F375">OFFSET(E375,-1,1)</f>
        <v>3</v>
      </c>
      <c r="G375" s="1304"/>
      <c r="H375" s="98" t="s">
        <v>1300</v>
      </c>
      <c r="I375" s="1304"/>
      <c r="J375" s="1304"/>
      <c r="K375" s="1304"/>
      <c r="L375" s="1304"/>
      <c r="M375" s="1304"/>
      <c r="N375" s="1304"/>
      <c r="O375" s="1304"/>
      <c r="P375" s="1442"/>
      <c r="Q375" s="1442"/>
      <c r="R375" s="1442"/>
      <c r="S375" s="1442"/>
      <c r="T375" s="465" cm="1" t="str">
        <f t="array" ref="T375:T375">T374</f>
        <v>true</v>
      </c>
      <c r="U375" s="1442"/>
      <c r="V375" s="1304"/>
      <c r="W375" s="1442"/>
      <c r="X375" s="1563"/>
      <c r="Y375" s="1545"/>
      <c r="Z375" s="1304"/>
      <c r="AA375" s="1304"/>
      <c r="AB375" s="240" t="s">
        <v>1301</v>
      </c>
      <c r="AC375" s="192" t="s">
        <v>1450</v>
      </c>
      <c r="AD375" s="93" t="s">
        <v>1247</v>
      </c>
      <c r="AE375" s="276"/>
      <c r="AF375" s="276"/>
      <c r="AG375" s="276"/>
      <c r="AH375" s="276"/>
      <c r="AI375" s="276"/>
      <c r="AJ375" s="276"/>
      <c r="AK375" s="276"/>
      <c r="AL375" s="276"/>
      <c r="AM375" s="276"/>
      <c r="AN375" s="2069"/>
      <c r="AO375" s="2069"/>
      <c r="AP375" s="2069"/>
      <c r="AQ375" s="2069"/>
      <c r="AR375" s="2069"/>
      <c r="AS375" s="276"/>
      <c r="AT375" s="276"/>
      <c r="AU375" s="276"/>
      <c r="AV375" s="276"/>
      <c r="AW375" s="276"/>
      <c r="AX375" s="2069"/>
      <c r="AY375" s="2069"/>
      <c r="AZ375" s="2069"/>
      <c r="BA375" s="2069"/>
      <c r="BB375" s="2069"/>
      <c r="BC375" s="200"/>
      <c r="BD375" s="1304"/>
      <c r="BE375" s="1304"/>
      <c r="BF375" s="1015" t="s">
        <v>1451</v>
      </c>
    </row>
    <row s="1834" customFormat="1" customHeight="1" ht="0">
      <c r="A376" s="1304"/>
      <c r="B376" s="1436"/>
      <c r="C376" s="1304"/>
      <c r="D376" s="1304"/>
      <c r="E376" s="632">
        <v>15</v>
      </c>
      <c r="F376" s="50" cm="1" t="str">
        <f t="array" ref="F376:F376">OFFSET(E376,-1,1)</f>
        <v>3</v>
      </c>
      <c r="G376" s="1304"/>
      <c r="H376" s="98" t="s">
        <v>1317</v>
      </c>
      <c r="I376" s="1304"/>
      <c r="J376" s="1304"/>
      <c r="K376" s="1304"/>
      <c r="L376" s="1304"/>
      <c r="M376" s="1304"/>
      <c r="N376" s="1304"/>
      <c r="O376" s="1304"/>
      <c r="P376" s="1442"/>
      <c r="Q376" s="1442"/>
      <c r="R376" s="1442"/>
      <c r="S376" s="1442"/>
      <c r="T376" s="465" cm="1" t="str">
        <f t="array" ref="T376:T376">T375</f>
        <v>true</v>
      </c>
      <c r="U376" s="1442"/>
      <c r="V376" s="1304"/>
      <c r="W376" s="1442"/>
      <c r="X376" s="1563"/>
      <c r="Y376" s="1545"/>
      <c r="Z376" s="1304"/>
      <c r="AA376" s="1304"/>
      <c r="AB376" s="240" t="s">
        <v>1318</v>
      </c>
      <c r="AC376" s="192" t="s">
        <v>1452</v>
      </c>
      <c r="AD376" s="93" t="s">
        <v>1247</v>
      </c>
      <c r="AE376" s="276"/>
      <c r="AF376" s="276"/>
      <c r="AG376" s="276"/>
      <c r="AH376" s="276"/>
      <c r="AI376" s="276"/>
      <c r="AJ376" s="276"/>
      <c r="AK376" s="276"/>
      <c r="AL376" s="276"/>
      <c r="AM376" s="276"/>
      <c r="AN376" s="2069"/>
      <c r="AO376" s="2069"/>
      <c r="AP376" s="2069"/>
      <c r="AQ376" s="2069"/>
      <c r="AR376" s="2069"/>
      <c r="AS376" s="276"/>
      <c r="AT376" s="276"/>
      <c r="AU376" s="276"/>
      <c r="AV376" s="276"/>
      <c r="AW376" s="276"/>
      <c r="AX376" s="2069"/>
      <c r="AY376" s="2069"/>
      <c r="AZ376" s="2069"/>
      <c r="BA376" s="2069"/>
      <c r="BB376" s="2069"/>
      <c r="BC376" s="200"/>
      <c r="BD376" s="1304"/>
      <c r="BE376" s="1304"/>
      <c r="BF376" s="1015" t="s">
        <v>1453</v>
      </c>
    </row>
    <row s="1834" customFormat="1" customHeight="1" ht="0">
      <c r="A377" s="1304"/>
      <c r="B377" s="1436"/>
      <c r="C377" s="1304"/>
      <c r="D377" s="1304"/>
      <c r="E377" s="632">
        <v>22.5</v>
      </c>
      <c r="F377" s="50" cm="1" t="str">
        <f t="array" ref="F377:F377">OFFSET(E377,-1,1)</f>
        <v>3</v>
      </c>
      <c r="G377" s="1304"/>
      <c r="H377" s="98" t="s">
        <v>1454</v>
      </c>
      <c r="I377" s="1304"/>
      <c r="J377" s="1304"/>
      <c r="K377" s="1304"/>
      <c r="L377" s="1304"/>
      <c r="M377" s="1304"/>
      <c r="N377" s="1304"/>
      <c r="O377" s="1304"/>
      <c r="P377" s="1442"/>
      <c r="Q377" s="1442"/>
      <c r="R377" s="1442"/>
      <c r="S377" s="1442"/>
      <c r="T377" s="465" cm="1" t="str">
        <f t="array" ref="T377:T377">T376</f>
        <v>true</v>
      </c>
      <c r="U377" s="1442"/>
      <c r="V377" s="1304"/>
      <c r="W377" s="1442"/>
      <c r="X377" s="1563"/>
      <c r="Y377" s="1545"/>
      <c r="Z377" s="1304"/>
      <c r="AA377" s="1304"/>
      <c r="AB377" s="240" t="s">
        <v>455</v>
      </c>
      <c r="AC377" s="340" t="s">
        <v>1366</v>
      </c>
      <c r="AD377" s="93" t="s">
        <v>1247</v>
      </c>
      <c r="AE377" s="276"/>
      <c r="AF377" s="276"/>
      <c r="AG377" s="276"/>
      <c r="AH377" s="276"/>
      <c r="AI377" s="276"/>
      <c r="AJ377" s="276"/>
      <c r="AK377" s="276"/>
      <c r="AL377" s="276"/>
      <c r="AM377" s="276"/>
      <c r="AN377" s="2069"/>
      <c r="AO377" s="2069"/>
      <c r="AP377" s="2069"/>
      <c r="AQ377" s="2069"/>
      <c r="AR377" s="2069"/>
      <c r="AS377" s="276"/>
      <c r="AT377" s="276"/>
      <c r="AU377" s="276"/>
      <c r="AV377" s="276"/>
      <c r="AW377" s="276"/>
      <c r="AX377" s="2069"/>
      <c r="AY377" s="2069"/>
      <c r="AZ377" s="2069"/>
      <c r="BA377" s="2069"/>
      <c r="BB377" s="2069"/>
      <c r="BC377" s="200"/>
      <c r="BD377" s="1304"/>
      <c r="BE377" s="1304"/>
      <c r="BF377" s="1015" t="s">
        <v>1455</v>
      </c>
    </row>
    <row s="1834" customFormat="1" customHeight="1" ht="0">
      <c r="A378" s="1304"/>
      <c r="B378" s="1436"/>
      <c r="C378" s="1304"/>
      <c r="D378" s="1304"/>
      <c r="E378" s="632">
        <v>15</v>
      </c>
      <c r="F378" s="50" cm="1" t="str">
        <f t="array" ref="F378:F378">OFFSET(E378,-1,1)</f>
        <v>3</v>
      </c>
      <c r="G378" s="1304"/>
      <c r="H378" s="98" t="s">
        <v>1456</v>
      </c>
      <c r="I378" s="1304"/>
      <c r="J378" s="1304"/>
      <c r="K378" s="1304"/>
      <c r="L378" s="1304"/>
      <c r="M378" s="1304"/>
      <c r="N378" s="1304"/>
      <c r="O378" s="1304"/>
      <c r="P378" s="1442"/>
      <c r="Q378" s="1442"/>
      <c r="R378" s="1442"/>
      <c r="S378" s="1442"/>
      <c r="T378" s="465" cm="1" t="str">
        <f t="array" ref="T378:T378">T377</f>
        <v>true</v>
      </c>
      <c r="U378" s="1442"/>
      <c r="V378" s="1304"/>
      <c r="W378" s="1442"/>
      <c r="X378" s="1563"/>
      <c r="Y378" s="1545"/>
      <c r="Z378" s="1304"/>
      <c r="AA378" s="1304"/>
      <c r="AB378" s="240" t="s">
        <v>458</v>
      </c>
      <c r="AC378" s="137" t="s">
        <v>1457</v>
      </c>
      <c r="AD378" s="93" t="s">
        <v>1247</v>
      </c>
      <c r="AE378" s="276"/>
      <c r="AF378" s="276"/>
      <c r="AG378" s="276"/>
      <c r="AH378" s="276"/>
      <c r="AI378" s="276"/>
      <c r="AJ378" s="276"/>
      <c r="AK378" s="276"/>
      <c r="AL378" s="276"/>
      <c r="AM378" s="276"/>
      <c r="AN378" s="2069"/>
      <c r="AO378" s="2069"/>
      <c r="AP378" s="2069"/>
      <c r="AQ378" s="2069"/>
      <c r="AR378" s="2069"/>
      <c r="AS378" s="276"/>
      <c r="AT378" s="276"/>
      <c r="AU378" s="276"/>
      <c r="AV378" s="276"/>
      <c r="AW378" s="276"/>
      <c r="AX378" s="2069"/>
      <c r="AY378" s="2069"/>
      <c r="AZ378" s="2069"/>
      <c r="BA378" s="2069"/>
      <c r="BB378" s="2069"/>
      <c r="BC378" s="200"/>
      <c r="BD378" s="1304"/>
      <c r="BE378" s="1304"/>
      <c r="BF378" s="1015" t="s">
        <v>1458</v>
      </c>
    </row>
    <row s="1834" customFormat="1" customHeight="1" ht="11.25" hidden="1">
      <c r="A379" s="469"/>
      <c r="B379" s="658"/>
      <c r="C379" s="469"/>
      <c r="D379" s="469"/>
      <c r="E379" s="660" t="s">
        <v>373</v>
      </c>
      <c r="F379" s="1175" cm="1" t="str">
        <f t="array" ref="F379:F379">OFFSET(E379,-1,1)</f>
        <v>3</v>
      </c>
      <c r="G379" s="469"/>
      <c r="H379" s="469"/>
      <c r="I379" s="469"/>
      <c r="J379" s="469"/>
      <c r="K379" s="98"/>
      <c r="L379" s="469"/>
      <c r="M379" s="469"/>
      <c r="N379" s="469"/>
      <c r="O379" s="469"/>
      <c r="P379" s="469"/>
      <c r="Q379" s="469"/>
      <c r="R379" s="416"/>
      <c r="S379" s="416"/>
      <c r="T379" s="465" t="b">
        <v>0</v>
      </c>
      <c r="U379" s="469"/>
      <c r="V379" s="469"/>
      <c r="W379" s="469"/>
      <c r="X379" s="1563"/>
      <c r="Y379" s="1545"/>
      <c r="Z379" s="469"/>
      <c r="AA379" s="469"/>
      <c r="AB379" s="1834"/>
      <c r="AC379" s="100"/>
      <c r="AD379" s="100"/>
      <c r="AE379" s="344"/>
      <c r="AF379" s="344"/>
      <c r="AG379" s="344"/>
      <c r="AH379" s="344"/>
      <c r="AI379" s="344"/>
      <c r="AJ379" s="345"/>
      <c r="AK379" s="344"/>
      <c r="AL379" s="344"/>
      <c r="AM379" s="344"/>
      <c r="AN379" s="344"/>
      <c r="AO379" s="344"/>
      <c r="AP379" s="344"/>
      <c r="AQ379" s="344"/>
      <c r="AR379" s="344"/>
      <c r="AS379" s="344"/>
      <c r="AT379" s="344"/>
      <c r="AU379" s="344"/>
      <c r="AV379" s="344"/>
      <c r="AW379" s="344"/>
      <c r="AX379" s="344"/>
      <c r="AY379" s="344"/>
      <c r="AZ379" s="344"/>
      <c r="BA379" s="344"/>
      <c r="BB379" s="344"/>
      <c r="BC379" s="1834"/>
      <c r="BD379" s="1834"/>
      <c r="BE379" s="1834"/>
      <c r="BF379" s="1019"/>
    </row>
    <row s="1834" customFormat="1" customHeight="1" ht="14.25" hidden="1">
      <c r="A380" s="1304"/>
      <c r="B380" s="1436"/>
      <c r="C380" s="1304"/>
      <c r="D380" s="1304"/>
      <c r="E380" s="632">
        <v>15</v>
      </c>
      <c r="F380" s="50" cm="1" t="str">
        <f t="array" ref="F380:F380">OFFSET(E380,-1,1)</f>
        <v>3</v>
      </c>
      <c r="G380" s="1304"/>
      <c r="H380" s="1304"/>
      <c r="I380" s="1304"/>
      <c r="J380" s="1304"/>
      <c r="K380" s="1304"/>
      <c r="L380" s="1304"/>
      <c r="M380" s="1304"/>
      <c r="N380" s="1304"/>
      <c r="O380" s="1304"/>
      <c r="P380" s="1442"/>
      <c r="Q380" s="1442"/>
      <c r="R380" s="416" cm="1" t="str">
        <f t="array" ref="R380:R380">INDEX('Общие сведения'!$AN$179:$AN$250,MATCH($X300,'Общие сведения'!$Z$179:$Z$250,0))</f>
        <v>false</v>
      </c>
      <c r="S380" s="482">
        <f>IF(ISERROR(SEARCH("Водоотведение",AB300)),FALSE,TRUE)</f>
        <v>1</v>
      </c>
      <c r="T380" s="465">
        <f>AND(X300&gt;0,S380,R380)</f>
        <v>0</v>
      </c>
      <c r="U380" s="1442"/>
      <c r="V380" s="1304"/>
      <c r="W380" s="1442"/>
      <c r="X380" s="1563"/>
      <c r="Y380" s="1545"/>
      <c r="Z380" s="1304"/>
      <c r="AA380" s="1304"/>
      <c r="AB380" s="240" t="s">
        <v>276</v>
      </c>
      <c r="AC380" s="87" t="s">
        <v>1398</v>
      </c>
      <c r="AD380" s="197"/>
      <c r="AE380" s="570" cm="1" t="str">
        <f t="array" ref="AE380:AE380">INDEX('Общие сведения'!$AH$179:$AH$250,MATCH($X300,'Общие сведения'!$Z$179:$Z$250,0))</f>
        <v>без дифференциации</v>
      </c>
      <c r="AF380" s="362"/>
      <c r="AG380" s="362"/>
      <c r="AH380" s="362"/>
      <c r="AI380" s="362"/>
      <c r="AJ380" s="362"/>
      <c r="AK380" s="362"/>
      <c r="AL380" s="362"/>
      <c r="AM380" s="362"/>
      <c r="AN380" s="362"/>
      <c r="AO380" s="362"/>
      <c r="AP380" s="362"/>
      <c r="AQ380" s="362"/>
      <c r="AR380" s="362"/>
      <c r="AS380" s="362"/>
      <c r="AT380" s="362"/>
      <c r="AU380" s="362"/>
      <c r="AV380" s="362"/>
      <c r="AW380" s="362"/>
      <c r="AX380" s="362"/>
      <c r="AY380" s="362"/>
      <c r="AZ380" s="362"/>
      <c r="BA380" s="362"/>
      <c r="BB380" s="363"/>
      <c r="BC380" s="2070"/>
      <c r="BD380" s="1304"/>
      <c r="BE380" s="1304"/>
      <c r="BF380" s="1015" t="s">
        <v>1459</v>
      </c>
    </row>
    <row s="1834" customFormat="1" customHeight="1" ht="14.25" hidden="1">
      <c r="A381" s="1304"/>
      <c r="B381" s="1436"/>
      <c r="C381" s="1304"/>
      <c r="D381" s="1304"/>
      <c r="E381" s="632">
        <v>15</v>
      </c>
      <c r="F381" s="50" cm="1" t="str">
        <f t="array" ref="F381:F381">OFFSET(E381,-1,1)</f>
        <v>3</v>
      </c>
      <c r="G381" s="1304"/>
      <c r="H381" s="98" t="s">
        <v>336</v>
      </c>
      <c r="I381" s="1304"/>
      <c r="J381" s="1304"/>
      <c r="K381" s="1304"/>
      <c r="L381" s="1304"/>
      <c r="M381" s="1304"/>
      <c r="N381" s="1304"/>
      <c r="O381" s="1304"/>
      <c r="P381" s="1442"/>
      <c r="Q381" s="1442"/>
      <c r="R381" s="1442"/>
      <c r="S381" s="1442"/>
      <c r="T381" s="465" cm="1" t="str">
        <f t="array" ref="T381:T381">T380</f>
        <v>false</v>
      </c>
      <c r="U381" s="1442"/>
      <c r="V381" s="1304"/>
      <c r="W381" s="1442"/>
      <c r="X381" s="1563"/>
      <c r="Y381" s="1545"/>
      <c r="Z381" s="1304"/>
      <c r="AA381" s="1304"/>
      <c r="AB381" s="240" t="s">
        <v>285</v>
      </c>
      <c r="AC381" s="341" t="s">
        <v>1460</v>
      </c>
      <c r="AD381" s="93" t="s">
        <v>1247</v>
      </c>
      <c r="AE381" s="346">
        <f>AE382+AE384+AE383</f>
        <v>0</v>
      </c>
      <c r="AF381" s="346">
        <f>AF382+AF384+AF383</f>
        <v>0</v>
      </c>
      <c r="AG381" s="346">
        <f>AG382+AG384+AG383</f>
        <v>0</v>
      </c>
      <c r="AH381" s="346">
        <f>AH382+AH384+AH383</f>
        <v>0</v>
      </c>
      <c r="AI381" s="346">
        <f>AI382+AI384+AI383</f>
        <v>0</v>
      </c>
      <c r="AJ381" s="346">
        <f>AJ382+AJ384+AJ383</f>
        <v>0</v>
      </c>
      <c r="AK381" s="346">
        <f>AK382+AK384+AK383</f>
        <v>0</v>
      </c>
      <c r="AL381" s="346">
        <f>AL382+AL384+AL383</f>
        <v>0</v>
      </c>
      <c r="AM381" s="346">
        <f>AM382+AM384+AM383</f>
        <v>0</v>
      </c>
      <c r="AN381" s="346">
        <f>AN382+AN384+AN383</f>
        <v>0</v>
      </c>
      <c r="AO381" s="346">
        <f>AO382+AO384+AO383</f>
        <v>0</v>
      </c>
      <c r="AP381" s="346">
        <f>AP382+AP384+AP383</f>
        <v>0</v>
      </c>
      <c r="AQ381" s="346">
        <f>AQ382+AQ384+AQ383</f>
        <v>0</v>
      </c>
      <c r="AR381" s="346">
        <f>AR382+AR384+AR383</f>
        <v>0</v>
      </c>
      <c r="AS381" s="346">
        <f>AS382+AS384+AS383</f>
        <v>0</v>
      </c>
      <c r="AT381" s="346">
        <f>AT382+AT384+AT383</f>
        <v>0</v>
      </c>
      <c r="AU381" s="346">
        <f>AU382+AU384+AU383</f>
        <v>0</v>
      </c>
      <c r="AV381" s="346">
        <f>AV382+AV384+AV383</f>
        <v>0</v>
      </c>
      <c r="AW381" s="346">
        <f>AW382+AW384+AW383</f>
        <v>0</v>
      </c>
      <c r="AX381" s="346">
        <f>AX382+AX384+AX383</f>
        <v>0</v>
      </c>
      <c r="AY381" s="346">
        <f>AY382+AY384+AY383</f>
        <v>0</v>
      </c>
      <c r="AZ381" s="346">
        <f>AZ382+AZ384+AZ383</f>
        <v>0</v>
      </c>
      <c r="BA381" s="346">
        <f>BA382+BA384+BA383</f>
        <v>0</v>
      </c>
      <c r="BB381" s="346">
        <f>BB382+BB384+BB383</f>
        <v>0</v>
      </c>
      <c r="BC381" s="2070"/>
      <c r="BD381" s="1304"/>
      <c r="BE381" s="1304"/>
      <c r="BF381" s="1015" t="s">
        <v>1461</v>
      </c>
    </row>
    <row s="1834" customFormat="1" customHeight="1" ht="14.25" hidden="1">
      <c r="A382" s="1304"/>
      <c r="B382" s="1436"/>
      <c r="C382" s="1304"/>
      <c r="D382" s="1304"/>
      <c r="E382" s="632">
        <v>15</v>
      </c>
      <c r="F382" s="50" cm="1" t="str">
        <f t="array" ref="F382:F382">OFFSET(E382,-1,1)</f>
        <v>3</v>
      </c>
      <c r="G382" s="1304"/>
      <c r="H382" s="98" t="s">
        <v>1249</v>
      </c>
      <c r="I382" s="1304"/>
      <c r="J382" s="1304"/>
      <c r="K382" s="1304"/>
      <c r="L382" s="1304"/>
      <c r="M382" s="1304"/>
      <c r="N382" s="1304"/>
      <c r="O382" s="1304"/>
      <c r="P382" s="1442"/>
      <c r="Q382" s="1442"/>
      <c r="R382" s="1442"/>
      <c r="S382" s="1442"/>
      <c r="T382" s="465" cm="1" t="str">
        <f t="array" ref="T382:T382">T381</f>
        <v>false</v>
      </c>
      <c r="U382" s="1442"/>
      <c r="V382" s="1304"/>
      <c r="W382" s="1442"/>
      <c r="X382" s="1563"/>
      <c r="Y382" s="1545"/>
      <c r="Z382" s="1304"/>
      <c r="AA382" s="1304"/>
      <c r="AB382" s="240" t="s">
        <v>1250</v>
      </c>
      <c r="AC382" s="214" t="s">
        <v>1462</v>
      </c>
      <c r="AD382" s="93" t="s">
        <v>1247</v>
      </c>
      <c r="AE382" s="2113"/>
      <c r="AF382" s="2113"/>
      <c r="AG382" s="2113"/>
      <c r="AH382" s="2113"/>
      <c r="AI382" s="2113"/>
      <c r="AJ382" s="2113"/>
      <c r="AK382" s="2113"/>
      <c r="AL382" s="2113"/>
      <c r="AM382" s="2113"/>
      <c r="AN382" s="2113"/>
      <c r="AO382" s="2113"/>
      <c r="AP382" s="2113"/>
      <c r="AQ382" s="2113"/>
      <c r="AR382" s="2113"/>
      <c r="AS382" s="2113"/>
      <c r="AT382" s="2113"/>
      <c r="AU382" s="2113"/>
      <c r="AV382" s="2113"/>
      <c r="AW382" s="2113"/>
      <c r="AX382" s="2113"/>
      <c r="AY382" s="2113"/>
      <c r="AZ382" s="2113"/>
      <c r="BA382" s="2113"/>
      <c r="BB382" s="2113"/>
      <c r="BC382" s="2070"/>
      <c r="BD382" s="1304"/>
      <c r="BE382" s="1304"/>
      <c r="BF382" s="1015" t="s">
        <v>1463</v>
      </c>
    </row>
    <row s="1834" customFormat="1" customHeight="1" ht="14.25" hidden="1">
      <c r="A383" s="1304"/>
      <c r="B383" s="1436"/>
      <c r="C383" s="1304"/>
      <c r="D383" s="1304"/>
      <c r="E383" s="632">
        <v>15</v>
      </c>
      <c r="F383" s="50" cm="1" t="str">
        <f t="array" ref="F383:F383">OFFSET(E383,-1,1)</f>
        <v>3</v>
      </c>
      <c r="G383" s="1304"/>
      <c r="H383" s="98" t="s">
        <v>1253</v>
      </c>
      <c r="I383" s="1304"/>
      <c r="J383" s="1304"/>
      <c r="K383" s="1304"/>
      <c r="L383" s="1304"/>
      <c r="M383" s="1304"/>
      <c r="N383" s="1304"/>
      <c r="O383" s="1304"/>
      <c r="P383" s="1442"/>
      <c r="Q383" s="1442"/>
      <c r="R383" s="1442"/>
      <c r="S383" s="1442"/>
      <c r="T383" s="465" cm="1" t="str">
        <f t="array" ref="T383:T383">T382</f>
        <v>false</v>
      </c>
      <c r="U383" s="1442"/>
      <c r="V383" s="1304"/>
      <c r="W383" s="1442"/>
      <c r="X383" s="1563"/>
      <c r="Y383" s="1545"/>
      <c r="Z383" s="1304"/>
      <c r="AA383" s="1304"/>
      <c r="AB383" s="240" t="s">
        <v>1254</v>
      </c>
      <c r="AC383" s="214" t="s">
        <v>1464</v>
      </c>
      <c r="AD383" s="93" t="s">
        <v>1247</v>
      </c>
      <c r="AE383" s="2113"/>
      <c r="AF383" s="2113"/>
      <c r="AG383" s="2113"/>
      <c r="AH383" s="2113"/>
      <c r="AI383" s="2113"/>
      <c r="AJ383" s="2113"/>
      <c r="AK383" s="2113"/>
      <c r="AL383" s="2113"/>
      <c r="AM383" s="2113"/>
      <c r="AN383" s="2113"/>
      <c r="AO383" s="2113"/>
      <c r="AP383" s="2113"/>
      <c r="AQ383" s="2113"/>
      <c r="AR383" s="2113"/>
      <c r="AS383" s="2113"/>
      <c r="AT383" s="2113"/>
      <c r="AU383" s="2113"/>
      <c r="AV383" s="2113"/>
      <c r="AW383" s="2113"/>
      <c r="AX383" s="2113"/>
      <c r="AY383" s="2113"/>
      <c r="AZ383" s="2113"/>
      <c r="BA383" s="2113"/>
      <c r="BB383" s="2113"/>
      <c r="BC383" s="2070"/>
      <c r="BD383" s="1304"/>
      <c r="BE383" s="1304"/>
      <c r="BF383" s="1015" t="s">
        <v>1465</v>
      </c>
    </row>
    <row s="1834" customFormat="1" customHeight="1" ht="21.75" hidden="1">
      <c r="A384" s="1304"/>
      <c r="B384" s="1436"/>
      <c r="C384" s="1304"/>
      <c r="D384" s="1304"/>
      <c r="E384" s="632">
        <v>22.5</v>
      </c>
      <c r="F384" s="50" cm="1" t="str">
        <f t="array" ref="F384:F384">OFFSET(E384,-1,1)</f>
        <v>3</v>
      </c>
      <c r="G384" s="1304"/>
      <c r="H384" s="98" t="s">
        <v>1257</v>
      </c>
      <c r="I384" s="1304"/>
      <c r="J384" s="1304"/>
      <c r="K384" s="1304"/>
      <c r="L384" s="1304"/>
      <c r="M384" s="1304"/>
      <c r="N384" s="1304"/>
      <c r="O384" s="1304"/>
      <c r="P384" s="1442"/>
      <c r="Q384" s="1442"/>
      <c r="R384" s="1442"/>
      <c r="S384" s="1442"/>
      <c r="T384" s="465" cm="1" t="str">
        <f t="array" ref="T384:T384">T383</f>
        <v>false</v>
      </c>
      <c r="U384" s="1442"/>
      <c r="V384" s="1304"/>
      <c r="W384" s="1442"/>
      <c r="X384" s="1563"/>
      <c r="Y384" s="1545"/>
      <c r="Z384" s="1304"/>
      <c r="AA384" s="1304"/>
      <c r="AB384" s="240" t="s">
        <v>1258</v>
      </c>
      <c r="AC384" s="214" t="s">
        <v>1366</v>
      </c>
      <c r="AD384" s="93" t="s">
        <v>1247</v>
      </c>
      <c r="AE384" s="2113"/>
      <c r="AF384" s="2113"/>
      <c r="AG384" s="2113"/>
      <c r="AH384" s="2113"/>
      <c r="AI384" s="2113"/>
      <c r="AJ384" s="2113"/>
      <c r="AK384" s="2113"/>
      <c r="AL384" s="2113"/>
      <c r="AM384" s="2113"/>
      <c r="AN384" s="2113"/>
      <c r="AO384" s="2113"/>
      <c r="AP384" s="2113"/>
      <c r="AQ384" s="2113"/>
      <c r="AR384" s="2113"/>
      <c r="AS384" s="2113"/>
      <c r="AT384" s="2113"/>
      <c r="AU384" s="2113"/>
      <c r="AV384" s="2113"/>
      <c r="AW384" s="2113"/>
      <c r="AX384" s="2113"/>
      <c r="AY384" s="2113"/>
      <c r="AZ384" s="2113"/>
      <c r="BA384" s="2113"/>
      <c r="BB384" s="2113"/>
      <c r="BC384" s="2070"/>
      <c r="BD384" s="1304"/>
      <c r="BE384" s="1304"/>
      <c r="BF384" s="1015" t="s">
        <v>1466</v>
      </c>
    </row>
    <row s="1834" customFormat="1" customHeight="1" ht="21.75" hidden="1">
      <c r="A385" s="1304"/>
      <c r="B385" s="1436"/>
      <c r="C385" s="1304"/>
      <c r="D385" s="1304"/>
      <c r="E385" s="632">
        <v>22.5</v>
      </c>
      <c r="F385" s="50" cm="1" t="str">
        <f t="array" ref="F385:F385">OFFSET(E385,-1,1)</f>
        <v>3</v>
      </c>
      <c r="G385" s="98" t="s">
        <v>1316</v>
      </c>
      <c r="H385" s="98" t="s">
        <v>335</v>
      </c>
      <c r="I385" s="1304"/>
      <c r="J385" s="1304"/>
      <c r="K385" s="1304"/>
      <c r="L385" s="1304"/>
      <c r="M385" s="1304"/>
      <c r="N385" s="1304"/>
      <c r="O385" s="1304"/>
      <c r="P385" s="1442"/>
      <c r="Q385" s="1442"/>
      <c r="R385" s="1442"/>
      <c r="S385" s="1442"/>
      <c r="T385" s="465" cm="1" t="str">
        <f t="array" ref="T385:T385">T384</f>
        <v>false</v>
      </c>
      <c r="U385" s="1442"/>
      <c r="V385" s="1304"/>
      <c r="W385" s="1442"/>
      <c r="X385" s="1563"/>
      <c r="Y385" s="1545"/>
      <c r="Z385" s="1304"/>
      <c r="AA385" s="1304"/>
      <c r="AB385" s="240" t="s">
        <v>289</v>
      </c>
      <c r="AC385" s="341" t="s">
        <v>1467</v>
      </c>
      <c r="AD385" s="93" t="s">
        <v>1247</v>
      </c>
      <c r="AE385" s="346">
        <f>AE386+AE387+AE390</f>
        <v>0</v>
      </c>
      <c r="AF385" s="346">
        <f>AF386+AF387+AF390</f>
        <v>0</v>
      </c>
      <c r="AG385" s="346">
        <f>AG386+AG387+AG390</f>
        <v>0</v>
      </c>
      <c r="AH385" s="346">
        <f>AH386+AH387+AH390</f>
        <v>0</v>
      </c>
      <c r="AI385" s="346">
        <f>AI386+AI387+AI390</f>
        <v>0</v>
      </c>
      <c r="AJ385" s="346">
        <f>AJ386+AJ387+AJ390</f>
        <v>0</v>
      </c>
      <c r="AK385" s="346">
        <f>AK386+AK387+AK390</f>
        <v>0</v>
      </c>
      <c r="AL385" s="346">
        <f>AL386+AL387+AL390</f>
        <v>0</v>
      </c>
      <c r="AM385" s="346">
        <f>AM386+AM387+AM390</f>
        <v>0</v>
      </c>
      <c r="AN385" s="346">
        <f>AN386+AN387+AN390</f>
        <v>0</v>
      </c>
      <c r="AO385" s="346">
        <f>AO386+AO387+AO390</f>
        <v>0</v>
      </c>
      <c r="AP385" s="346">
        <f>AP386+AP387+AP390</f>
        <v>0</v>
      </c>
      <c r="AQ385" s="346">
        <f>AQ386+AQ387+AQ390</f>
        <v>0</v>
      </c>
      <c r="AR385" s="346">
        <f>AR386+AR387+AR390</f>
        <v>0</v>
      </c>
      <c r="AS385" s="346">
        <f>AS386+AS387+AS390</f>
        <v>0</v>
      </c>
      <c r="AT385" s="346">
        <f>AT386+AT387+AT390</f>
        <v>0</v>
      </c>
      <c r="AU385" s="346">
        <f>AU386+AU387+AU390</f>
        <v>0</v>
      </c>
      <c r="AV385" s="346">
        <f>AV386+AV387+AV390</f>
        <v>0</v>
      </c>
      <c r="AW385" s="346">
        <f>AW386+AW387+AW390</f>
        <v>0</v>
      </c>
      <c r="AX385" s="346">
        <f>AX386+AX387+AX390</f>
        <v>0</v>
      </c>
      <c r="AY385" s="346">
        <f>AY386+AY387+AY390</f>
        <v>0</v>
      </c>
      <c r="AZ385" s="346">
        <f>AZ386+AZ387+AZ390</f>
        <v>0</v>
      </c>
      <c r="BA385" s="346">
        <f>BA386+BA387+BA390</f>
        <v>0</v>
      </c>
      <c r="BB385" s="346">
        <f>BB386+BB387+BB390</f>
        <v>0</v>
      </c>
      <c r="BC385" s="2070"/>
      <c r="BD385" s="1304"/>
      <c r="BE385" s="1304"/>
      <c r="BF385" s="1015" t="s">
        <v>1468</v>
      </c>
    </row>
    <row s="1834" customFormat="1" customHeight="1" ht="14.25" hidden="1">
      <c r="A386" s="1304"/>
      <c r="B386" s="1436"/>
      <c r="C386" s="1304"/>
      <c r="D386" s="1304"/>
      <c r="E386" s="632">
        <v>15</v>
      </c>
      <c r="F386" s="50" cm="1" t="str">
        <f t="array" ref="F386:F386">OFFSET(E386,-1,1)</f>
        <v>3</v>
      </c>
      <c r="G386" s="1304"/>
      <c r="H386" s="98" t="s">
        <v>1263</v>
      </c>
      <c r="I386" s="1304"/>
      <c r="J386" s="1304"/>
      <c r="K386" s="1304"/>
      <c r="L386" s="1304"/>
      <c r="M386" s="1304"/>
      <c r="N386" s="1304"/>
      <c r="O386" s="1304"/>
      <c r="P386" s="1442"/>
      <c r="Q386" s="1442"/>
      <c r="R386" s="1442"/>
      <c r="S386" s="1442"/>
      <c r="T386" s="465" cm="1" t="str">
        <f t="array" ref="T386:T386">T385</f>
        <v>false</v>
      </c>
      <c r="U386" s="1442"/>
      <c r="V386" s="1304"/>
      <c r="W386" s="1442"/>
      <c r="X386" s="1563"/>
      <c r="Y386" s="1545"/>
      <c r="Z386" s="1304"/>
      <c r="AA386" s="1304"/>
      <c r="AB386" s="240" t="s">
        <v>1264</v>
      </c>
      <c r="AC386" s="214" t="s">
        <v>1469</v>
      </c>
      <c r="AD386" s="93" t="s">
        <v>1247</v>
      </c>
      <c r="AE386" s="2113"/>
      <c r="AF386" s="2113"/>
      <c r="AG386" s="2113"/>
      <c r="AH386" s="2113"/>
      <c r="AI386" s="2113"/>
      <c r="AJ386" s="2113"/>
      <c r="AK386" s="2113"/>
      <c r="AL386" s="2113"/>
      <c r="AM386" s="2113"/>
      <c r="AN386" s="2113"/>
      <c r="AO386" s="2113"/>
      <c r="AP386" s="2113"/>
      <c r="AQ386" s="2113"/>
      <c r="AR386" s="2113"/>
      <c r="AS386" s="2113"/>
      <c r="AT386" s="2113"/>
      <c r="AU386" s="2113"/>
      <c r="AV386" s="2113"/>
      <c r="AW386" s="2113"/>
      <c r="AX386" s="2113"/>
      <c r="AY386" s="2113"/>
      <c r="AZ386" s="2113"/>
      <c r="BA386" s="2113"/>
      <c r="BB386" s="2113"/>
      <c r="BC386" s="2070"/>
      <c r="BD386" s="1304"/>
      <c r="BE386" s="1304"/>
      <c r="BF386" s="1015" t="s">
        <v>1470</v>
      </c>
    </row>
    <row s="1834" customFormat="1" customHeight="1" ht="14.25" hidden="1">
      <c r="A387" s="1304"/>
      <c r="B387" s="1436"/>
      <c r="C387" s="1304"/>
      <c r="D387" s="1304"/>
      <c r="E387" s="632">
        <v>15</v>
      </c>
      <c r="F387" s="50" cm="1" t="str">
        <f t="array" ref="F387:F387">OFFSET(E387,-1,1)</f>
        <v>3</v>
      </c>
      <c r="G387" s="1304"/>
      <c r="H387" s="98" t="s">
        <v>1267</v>
      </c>
      <c r="I387" s="1304"/>
      <c r="J387" s="1304"/>
      <c r="K387" s="1304"/>
      <c r="L387" s="1304"/>
      <c r="M387" s="1304"/>
      <c r="N387" s="1304"/>
      <c r="O387" s="1304"/>
      <c r="P387" s="1442"/>
      <c r="Q387" s="1442"/>
      <c r="R387" s="1442"/>
      <c r="S387" s="1442"/>
      <c r="T387" s="465" cm="1" t="str">
        <f t="array" ref="T387:T387">T386</f>
        <v>false</v>
      </c>
      <c r="U387" s="1442"/>
      <c r="V387" s="1304"/>
      <c r="W387" s="1442"/>
      <c r="X387" s="1563"/>
      <c r="Y387" s="1545"/>
      <c r="Z387" s="1304"/>
      <c r="AA387" s="1304"/>
      <c r="AB387" s="240" t="s">
        <v>1268</v>
      </c>
      <c r="AC387" s="342" t="s">
        <v>1471</v>
      </c>
      <c r="AD387" s="93" t="s">
        <v>1247</v>
      </c>
      <c r="AE387" s="346">
        <f>AE388+AE389</f>
        <v>0</v>
      </c>
      <c r="AF387" s="346">
        <f>AF388+AF389</f>
        <v>0</v>
      </c>
      <c r="AG387" s="346">
        <f>AG388+AG389</f>
        <v>0</v>
      </c>
      <c r="AH387" s="346">
        <f>AH388+AH389</f>
        <v>0</v>
      </c>
      <c r="AI387" s="346">
        <f>AI388+AI389</f>
        <v>0</v>
      </c>
      <c r="AJ387" s="346">
        <f>AJ388+AJ389</f>
        <v>0</v>
      </c>
      <c r="AK387" s="346">
        <f>AK388+AK389</f>
        <v>0</v>
      </c>
      <c r="AL387" s="346">
        <f>AL388+AL389</f>
        <v>0</v>
      </c>
      <c r="AM387" s="346">
        <f>AM388+AM389</f>
        <v>0</v>
      </c>
      <c r="AN387" s="346">
        <f>AN388+AN389</f>
        <v>0</v>
      </c>
      <c r="AO387" s="346">
        <f>AO388+AO389</f>
        <v>0</v>
      </c>
      <c r="AP387" s="346">
        <f>AP388+AP389</f>
        <v>0</v>
      </c>
      <c r="AQ387" s="346">
        <f>AQ388+AQ389</f>
        <v>0</v>
      </c>
      <c r="AR387" s="346">
        <f>AR388+AR389</f>
        <v>0</v>
      </c>
      <c r="AS387" s="346">
        <f>AS388+AS389</f>
        <v>0</v>
      </c>
      <c r="AT387" s="346">
        <f>AT388+AT389</f>
        <v>0</v>
      </c>
      <c r="AU387" s="346">
        <f>AU388+AU389</f>
        <v>0</v>
      </c>
      <c r="AV387" s="346">
        <f>AV388+AV389</f>
        <v>0</v>
      </c>
      <c r="AW387" s="346">
        <f>AW388+AW389</f>
        <v>0</v>
      </c>
      <c r="AX387" s="346">
        <f>AX388+AX389</f>
        <v>0</v>
      </c>
      <c r="AY387" s="346">
        <f>AY388+AY389</f>
        <v>0</v>
      </c>
      <c r="AZ387" s="346">
        <f>AZ388+AZ389</f>
        <v>0</v>
      </c>
      <c r="BA387" s="346">
        <f>BA388+BA389</f>
        <v>0</v>
      </c>
      <c r="BB387" s="346">
        <f>BB388+BB389</f>
        <v>0</v>
      </c>
      <c r="BC387" s="2070"/>
      <c r="BD387" s="1304"/>
      <c r="BE387" s="1304"/>
      <c r="BF387" s="1015" t="s">
        <v>1472</v>
      </c>
    </row>
    <row s="1834" customFormat="1" customHeight="1" ht="14.25" hidden="1">
      <c r="A388" s="1304"/>
      <c r="B388" s="1436"/>
      <c r="C388" s="1304"/>
      <c r="D388" s="1304"/>
      <c r="E388" s="632">
        <v>15</v>
      </c>
      <c r="F388" s="50" cm="1" t="str">
        <f t="array" ref="F388:F388">OFFSET(E388,-1,1)</f>
        <v>3</v>
      </c>
      <c r="G388" s="1304"/>
      <c r="H388" s="98" t="s">
        <v>1473</v>
      </c>
      <c r="I388" s="1304"/>
      <c r="J388" s="1304"/>
      <c r="K388" s="1304"/>
      <c r="L388" s="1304"/>
      <c r="M388" s="1304"/>
      <c r="N388" s="1304"/>
      <c r="O388" s="1304"/>
      <c r="P388" s="1442"/>
      <c r="Q388" s="1442"/>
      <c r="R388" s="1442"/>
      <c r="S388" s="1442"/>
      <c r="T388" s="465" cm="1" t="str">
        <f t="array" ref="T388:T388">T387</f>
        <v>false</v>
      </c>
      <c r="U388" s="1442"/>
      <c r="V388" s="1304"/>
      <c r="W388" s="1442"/>
      <c r="X388" s="1563"/>
      <c r="Y388" s="1545"/>
      <c r="Z388" s="1304"/>
      <c r="AA388" s="1304"/>
      <c r="AB388" s="240" t="s">
        <v>1474</v>
      </c>
      <c r="AC388" s="343" t="s">
        <v>1323</v>
      </c>
      <c r="AD388" s="93" t="s">
        <v>1247</v>
      </c>
      <c r="AE388" s="2113"/>
      <c r="AF388" s="2113"/>
      <c r="AG388" s="2113"/>
      <c r="AH388" s="2113"/>
      <c r="AI388" s="2113"/>
      <c r="AJ388" s="2113"/>
      <c r="AK388" s="2113"/>
      <c r="AL388" s="2113"/>
      <c r="AM388" s="2113"/>
      <c r="AN388" s="2113"/>
      <c r="AO388" s="2113"/>
      <c r="AP388" s="2113"/>
      <c r="AQ388" s="2113"/>
      <c r="AR388" s="2113"/>
      <c r="AS388" s="2113"/>
      <c r="AT388" s="2113"/>
      <c r="AU388" s="2113"/>
      <c r="AV388" s="2113"/>
      <c r="AW388" s="2113"/>
      <c r="AX388" s="2113"/>
      <c r="AY388" s="2113"/>
      <c r="AZ388" s="2113"/>
      <c r="BA388" s="2113"/>
      <c r="BB388" s="2113"/>
      <c r="BC388" s="2070"/>
      <c r="BD388" s="1304"/>
      <c r="BE388" s="1304"/>
      <c r="BF388" s="1015" t="s">
        <v>1475</v>
      </c>
    </row>
    <row s="1834" customFormat="1" customHeight="1" ht="14.25" hidden="1">
      <c r="A389" s="1304"/>
      <c r="B389" s="1436"/>
      <c r="C389" s="1304"/>
      <c r="D389" s="1304"/>
      <c r="E389" s="632">
        <v>15</v>
      </c>
      <c r="F389" s="50" cm="1" t="str">
        <f t="array" ref="F389:F389">OFFSET(E389,-1,1)</f>
        <v>3</v>
      </c>
      <c r="G389" s="1304"/>
      <c r="H389" s="98" t="s">
        <v>1476</v>
      </c>
      <c r="I389" s="1304"/>
      <c r="J389" s="1304"/>
      <c r="K389" s="1304"/>
      <c r="L389" s="1304"/>
      <c r="M389" s="1304"/>
      <c r="N389" s="1304"/>
      <c r="O389" s="1304"/>
      <c r="P389" s="1442"/>
      <c r="Q389" s="1442"/>
      <c r="R389" s="1442"/>
      <c r="S389" s="1442"/>
      <c r="T389" s="465" cm="1" t="str">
        <f t="array" ref="T389:T389">T388</f>
        <v>false</v>
      </c>
      <c r="U389" s="1442"/>
      <c r="V389" s="1304"/>
      <c r="W389" s="1442"/>
      <c r="X389" s="1563"/>
      <c r="Y389" s="1545"/>
      <c r="Z389" s="1304"/>
      <c r="AA389" s="1304"/>
      <c r="AB389" s="240" t="s">
        <v>1477</v>
      </c>
      <c r="AC389" s="343" t="s">
        <v>1327</v>
      </c>
      <c r="AD389" s="93" t="s">
        <v>1247</v>
      </c>
      <c r="AE389" s="2113"/>
      <c r="AF389" s="2113"/>
      <c r="AG389" s="2113"/>
      <c r="AH389" s="2113"/>
      <c r="AI389" s="2113"/>
      <c r="AJ389" s="2113"/>
      <c r="AK389" s="2113"/>
      <c r="AL389" s="2113"/>
      <c r="AM389" s="2113"/>
      <c r="AN389" s="2113"/>
      <c r="AO389" s="2113"/>
      <c r="AP389" s="2113"/>
      <c r="AQ389" s="2113"/>
      <c r="AR389" s="2113"/>
      <c r="AS389" s="2113"/>
      <c r="AT389" s="2113"/>
      <c r="AU389" s="2113"/>
      <c r="AV389" s="2113"/>
      <c r="AW389" s="2113"/>
      <c r="AX389" s="2113"/>
      <c r="AY389" s="2113"/>
      <c r="AZ389" s="2113"/>
      <c r="BA389" s="2113"/>
      <c r="BB389" s="2113"/>
      <c r="BC389" s="2070"/>
      <c r="BD389" s="1304"/>
      <c r="BE389" s="1304"/>
      <c r="BF389" s="1015" t="s">
        <v>1478</v>
      </c>
    </row>
    <row s="1834" customFormat="1" customHeight="1" ht="21.75" hidden="1">
      <c r="A390" s="1304"/>
      <c r="B390" s="1436"/>
      <c r="C390" s="1304"/>
      <c r="D390" s="1304"/>
      <c r="E390" s="632">
        <v>22.5</v>
      </c>
      <c r="F390" s="50" cm="1" t="str">
        <f t="array" ref="F390:F390">OFFSET(E390,-1,1)</f>
        <v>3</v>
      </c>
      <c r="G390" s="1304"/>
      <c r="H390" s="98" t="s">
        <v>1479</v>
      </c>
      <c r="I390" s="1304"/>
      <c r="J390" s="1304"/>
      <c r="K390" s="1304"/>
      <c r="L390" s="1304"/>
      <c r="M390" s="1304"/>
      <c r="N390" s="1304"/>
      <c r="O390" s="1304"/>
      <c r="P390" s="1442"/>
      <c r="Q390" s="1442"/>
      <c r="R390" s="1442"/>
      <c r="S390" s="1442"/>
      <c r="T390" s="465" cm="1" t="str">
        <f t="array" ref="T390:T390">T389</f>
        <v>false</v>
      </c>
      <c r="U390" s="1442"/>
      <c r="V390" s="1304"/>
      <c r="W390" s="1442"/>
      <c r="X390" s="1563"/>
      <c r="Y390" s="1545"/>
      <c r="Z390" s="1304"/>
      <c r="AA390" s="1304"/>
      <c r="AB390" s="240" t="s">
        <v>1480</v>
      </c>
      <c r="AC390" s="337" t="s">
        <v>1288</v>
      </c>
      <c r="AD390" s="93" t="s">
        <v>1247</v>
      </c>
      <c r="AE390" s="2069"/>
      <c r="AF390" s="2069"/>
      <c r="AG390" s="2069"/>
      <c r="AH390" s="2069"/>
      <c r="AI390" s="2069"/>
      <c r="AJ390" s="2069"/>
      <c r="AK390" s="2069"/>
      <c r="AL390" s="2069"/>
      <c r="AM390" s="2069"/>
      <c r="AN390" s="2069"/>
      <c r="AO390" s="2069"/>
      <c r="AP390" s="2069"/>
      <c r="AQ390" s="2069"/>
      <c r="AR390" s="2069"/>
      <c r="AS390" s="2069"/>
      <c r="AT390" s="2069"/>
      <c r="AU390" s="2069"/>
      <c r="AV390" s="2069"/>
      <c r="AW390" s="2069"/>
      <c r="AX390" s="2069"/>
      <c r="AY390" s="2069"/>
      <c r="AZ390" s="2069"/>
      <c r="BA390" s="2069"/>
      <c r="BB390" s="2069"/>
      <c r="BC390" s="2070"/>
      <c r="BD390" s="1304"/>
      <c r="BE390" s="1304"/>
      <c r="BF390" s="1015" t="s">
        <v>1481</v>
      </c>
    </row>
    <row s="1834" customFormat="1" customHeight="1" ht="14.25">
      <c r="A391" s="1304"/>
      <c r="B391" s="1436"/>
      <c r="C391" s="1304"/>
      <c r="D391" s="1304"/>
      <c r="E391" s="632">
        <v>15</v>
      </c>
      <c r="F391" s="349" cm="1" t="str">
        <f t="array" ref="F391:F391">X391</f>
        <v>4</v>
      </c>
      <c r="G391" s="1304"/>
      <c r="H391" s="1304"/>
      <c r="I391" s="1304"/>
      <c r="J391" s="1304"/>
      <c r="K391" s="1304"/>
      <c r="L391" s="1304"/>
      <c r="M391" s="1304"/>
      <c r="N391" s="1304"/>
      <c r="O391" s="1304"/>
      <c r="P391" s="1442"/>
      <c r="Q391" s="1442"/>
      <c r="R391" s="1442"/>
      <c r="S391" s="1442"/>
      <c r="T391" s="465">
        <f>X391&gt;0</f>
        <v>1</v>
      </c>
      <c r="U391" s="1442"/>
      <c r="V391" s="98" cm="1" t="str">
        <f t="array" ref="V391:V391">ИИКА!$AB$47</f>
        <v>Тариф 4 (Водоотведение) - тариф на водоотведение (Доп. признак не требуется)</v>
      </c>
      <c r="W391" s="1442"/>
      <c r="X391" s="1563" t="s">
        <v>295</v>
      </c>
      <c r="Y391" s="1545"/>
      <c r="Z391" s="1304"/>
      <c r="AA391" s="1304"/>
      <c r="AB391" s="180" cm="1" t="str">
        <f t="array" ref="AB391:AB391">ИИКА!$AB$47</f>
        <v>Тариф 4 (Водоотведение) - тариф на водоотведение (Доп. признак не требуется)</v>
      </c>
      <c r="AC391" s="180"/>
      <c r="AD391" s="180"/>
      <c r="AE391" s="180"/>
      <c r="AF391" s="180"/>
      <c r="AG391" s="180"/>
      <c r="AH391" s="180"/>
      <c r="AI391" s="180"/>
      <c r="AJ391" s="180"/>
      <c r="AK391" s="180"/>
      <c r="AL391" s="180"/>
      <c r="AM391" s="180"/>
      <c r="AN391" s="180"/>
      <c r="AO391" s="180"/>
      <c r="AP391" s="180"/>
      <c r="AQ391" s="180"/>
      <c r="AR391" s="180"/>
      <c r="AS391" s="180"/>
      <c r="AT391" s="180"/>
      <c r="AU391" s="180"/>
      <c r="AV391" s="180"/>
      <c r="AW391" s="180"/>
      <c r="AX391" s="180"/>
      <c r="AY391" s="180"/>
      <c r="AZ391" s="180"/>
      <c r="BA391" s="180"/>
      <c r="BB391" s="180"/>
      <c r="BC391" s="180"/>
      <c r="BD391" s="1304"/>
      <c r="BE391" s="1304"/>
      <c r="BF391" s="1306"/>
    </row>
    <row s="1834" customFormat="1" customHeight="1" ht="14.25" hidden="1">
      <c r="A392" s="1304"/>
      <c r="B392" s="1436"/>
      <c r="C392" s="1304"/>
      <c r="D392" s="1304"/>
      <c r="E392" s="632">
        <v>15</v>
      </c>
      <c r="F392" s="50" cm="1" t="str">
        <f t="array" ref="F392:F392">OFFSET(E392,-1,1)</f>
        <v>4</v>
      </c>
      <c r="G392" s="1304"/>
      <c r="H392" s="1304"/>
      <c r="I392" s="1304"/>
      <c r="J392" s="1304"/>
      <c r="K392" s="1304"/>
      <c r="L392" s="1304"/>
      <c r="M392" s="1304"/>
      <c r="N392" s="1304"/>
      <c r="O392" s="1304"/>
      <c r="P392" s="1442"/>
      <c r="Q392" s="1442"/>
      <c r="R392" s="416" cm="1" t="str">
        <f t="array" ref="R392:R392">INDEX('Общие сведения'!$AN$179:$AN$250,MATCH($X391,'Общие сведения'!$Z$179:$Z$250,0))</f>
        <v>false</v>
      </c>
      <c r="S392" s="416">
        <f>IF(ISERROR(SEARCH("Водоснабжение",AB391)),FALSE,TRUE)</f>
        <v>0</v>
      </c>
      <c r="T392" s="465">
        <f>AND(X391&gt;0,S392,NOT(R392))</f>
        <v>0</v>
      </c>
      <c r="U392" s="1442"/>
      <c r="V392" s="1304"/>
      <c r="W392" s="1442"/>
      <c r="X392" s="1563"/>
      <c r="Y392" s="1545"/>
      <c r="Z392" s="1304"/>
      <c r="AA392" s="1304"/>
      <c r="AB392" s="240" t="s">
        <v>276</v>
      </c>
      <c r="AC392" s="329" t="s">
        <v>1244</v>
      </c>
      <c r="AD392" s="92"/>
      <c r="AE392" s="570" cm="1" t="str">
        <f t="array" ref="AE392:AE392">INDEX('Общие сведения'!$AH$179:$AH$250,MATCH($X391,'Общие сведения'!$Z$179:$Z$250,0))</f>
        <v>без дифференциации</v>
      </c>
      <c r="AF392" s="362"/>
      <c r="AG392" s="362"/>
      <c r="AH392" s="362"/>
      <c r="AI392" s="362"/>
      <c r="AJ392" s="362"/>
      <c r="AK392" s="362"/>
      <c r="AL392" s="362"/>
      <c r="AM392" s="362"/>
      <c r="AN392" s="362"/>
      <c r="AO392" s="362"/>
      <c r="AP392" s="362"/>
      <c r="AQ392" s="362"/>
      <c r="AR392" s="362"/>
      <c r="AS392" s="362"/>
      <c r="AT392" s="362"/>
      <c r="AU392" s="362"/>
      <c r="AV392" s="362"/>
      <c r="AW392" s="362"/>
      <c r="AX392" s="362"/>
      <c r="AY392" s="362"/>
      <c r="AZ392" s="362"/>
      <c r="BA392" s="362"/>
      <c r="BB392" s="363"/>
      <c r="BC392" s="2070"/>
      <c r="BD392" s="1304"/>
      <c r="BE392" s="1304"/>
      <c r="BF392" s="1015" t="s">
        <v>1245</v>
      </c>
    </row>
    <row s="1834" customFormat="1" customHeight="1" ht="14.25" hidden="1">
      <c r="A393" s="1304"/>
      <c r="B393" s="1436"/>
      <c r="C393" s="1304"/>
      <c r="D393" s="1304"/>
      <c r="E393" s="632">
        <v>15</v>
      </c>
      <c r="F393" s="50" cm="1" t="str">
        <f t="array" ref="F393:F393">OFFSET(E393,-1,1)</f>
        <v>4</v>
      </c>
      <c r="G393" s="1304"/>
      <c r="H393" s="98" t="s">
        <v>336</v>
      </c>
      <c r="I393" s="1304"/>
      <c r="J393" s="1304"/>
      <c r="K393" s="1304"/>
      <c r="L393" s="1304"/>
      <c r="M393" s="1304"/>
      <c r="N393" s="1304"/>
      <c r="O393" s="1304"/>
      <c r="P393" s="1442"/>
      <c r="Q393" s="1442"/>
      <c r="R393" s="1442"/>
      <c r="S393" s="1442"/>
      <c r="T393" s="465" cm="1" t="str">
        <f t="array" ref="T393:T393">T392</f>
        <v>false</v>
      </c>
      <c r="U393" s="1442"/>
      <c r="V393" s="1304"/>
      <c r="W393" s="1442"/>
      <c r="X393" s="1563"/>
      <c r="Y393" s="1545"/>
      <c r="Z393" s="1304"/>
      <c r="AA393" s="1304"/>
      <c r="AB393" s="240" t="s">
        <v>285</v>
      </c>
      <c r="AC393" s="330" t="s">
        <v>1246</v>
      </c>
      <c r="AD393" s="93" t="s">
        <v>1247</v>
      </c>
      <c r="AE393" s="315">
        <f>AE402+AE397-AE400</f>
        <v>0</v>
      </c>
      <c r="AF393" s="315">
        <f>AF402+AF397-AF400</f>
        <v>0</v>
      </c>
      <c r="AG393" s="315">
        <f>AG402+AG397-AG400</f>
        <v>0</v>
      </c>
      <c r="AH393" s="315">
        <f>AH402+AH397-AH400</f>
        <v>0</v>
      </c>
      <c r="AI393" s="315">
        <f>AI402+AI397-AI400</f>
        <v>0</v>
      </c>
      <c r="AJ393" s="315">
        <f>AJ402+AJ397-AJ400</f>
        <v>0</v>
      </c>
      <c r="AK393" s="315">
        <f>AK402+AK397-AK400</f>
        <v>0</v>
      </c>
      <c r="AL393" s="315">
        <f>AL402+AL397-AL400</f>
        <v>0</v>
      </c>
      <c r="AM393" s="315">
        <f>AM402+AM397-AM400</f>
        <v>0</v>
      </c>
      <c r="AN393" s="315">
        <f>AN402+AN397-AN400</f>
        <v>0</v>
      </c>
      <c r="AO393" s="315">
        <f>AO402+AO397-AO400</f>
        <v>0</v>
      </c>
      <c r="AP393" s="315">
        <f>AP402+AP397-AP400</f>
        <v>0</v>
      </c>
      <c r="AQ393" s="315">
        <f>AQ402+AQ397-AQ400</f>
        <v>0</v>
      </c>
      <c r="AR393" s="315">
        <f>AR402+AR397-AR400</f>
        <v>0</v>
      </c>
      <c r="AS393" s="315">
        <f>AS402+AS397-AS400</f>
        <v>0</v>
      </c>
      <c r="AT393" s="315">
        <f>AT402+AT397-AT400</f>
        <v>0</v>
      </c>
      <c r="AU393" s="315">
        <f>AU402+AU397-AU400</f>
        <v>0</v>
      </c>
      <c r="AV393" s="315">
        <f>AV402+AV397-AV400</f>
        <v>0</v>
      </c>
      <c r="AW393" s="315">
        <f>AW402+AW397-AW400</f>
        <v>0</v>
      </c>
      <c r="AX393" s="315">
        <f>AX402+AX397-AX400</f>
        <v>0</v>
      </c>
      <c r="AY393" s="315">
        <f>AY402+AY397-AY400</f>
        <v>0</v>
      </c>
      <c r="AZ393" s="315">
        <f>AZ402+AZ397-AZ400</f>
        <v>0</v>
      </c>
      <c r="BA393" s="315">
        <f>BA402+BA397-BA400</f>
        <v>0</v>
      </c>
      <c r="BB393" s="315">
        <f>BB402+BB397-BB400</f>
        <v>0</v>
      </c>
      <c r="BC393" s="2070"/>
      <c r="BD393" s="1304"/>
      <c r="BE393" s="1304"/>
      <c r="BF393" s="1015" t="s">
        <v>1248</v>
      </c>
    </row>
    <row s="1834" customFormat="1" customHeight="1" ht="14.25" hidden="1">
      <c r="A394" s="1304"/>
      <c r="B394" s="1436"/>
      <c r="C394" s="1304"/>
      <c r="D394" s="1304"/>
      <c r="E394" s="632">
        <v>15</v>
      </c>
      <c r="F394" s="50" cm="1" t="str">
        <f t="array" ref="F394:F394">OFFSET(E394,-1,1)</f>
        <v>4</v>
      </c>
      <c r="G394" s="1304"/>
      <c r="H394" s="98" t="s">
        <v>1249</v>
      </c>
      <c r="I394" s="1304"/>
      <c r="J394" s="1304"/>
      <c r="K394" s="1304"/>
      <c r="L394" s="1304"/>
      <c r="M394" s="1304"/>
      <c r="N394" s="1304"/>
      <c r="O394" s="1304"/>
      <c r="P394" s="1442"/>
      <c r="Q394" s="1442"/>
      <c r="R394" s="1442"/>
      <c r="S394" s="1442"/>
      <c r="T394" s="465" cm="1" t="str">
        <f t="array" ref="T394:T394">T393</f>
        <v>false</v>
      </c>
      <c r="U394" s="1442"/>
      <c r="V394" s="1304"/>
      <c r="W394" s="1442"/>
      <c r="X394" s="1563"/>
      <c r="Y394" s="1545"/>
      <c r="Z394" s="1304"/>
      <c r="AA394" s="1304"/>
      <c r="AB394" s="240" t="s">
        <v>1250</v>
      </c>
      <c r="AC394" s="192" t="s">
        <v>1251</v>
      </c>
      <c r="AD394" s="93" t="s">
        <v>1247</v>
      </c>
      <c r="AE394" s="2113"/>
      <c r="AF394" s="2113"/>
      <c r="AG394" s="2113"/>
      <c r="AH394" s="2113"/>
      <c r="AI394" s="2113"/>
      <c r="AJ394" s="2113"/>
      <c r="AK394" s="2113"/>
      <c r="AL394" s="2113"/>
      <c r="AM394" s="2113"/>
      <c r="AN394" s="2113"/>
      <c r="AO394" s="2113"/>
      <c r="AP394" s="2113"/>
      <c r="AQ394" s="2113"/>
      <c r="AR394" s="2113"/>
      <c r="AS394" s="2113"/>
      <c r="AT394" s="2113"/>
      <c r="AU394" s="2113"/>
      <c r="AV394" s="2113"/>
      <c r="AW394" s="2113"/>
      <c r="AX394" s="2113"/>
      <c r="AY394" s="2113"/>
      <c r="AZ394" s="2113"/>
      <c r="BA394" s="2113"/>
      <c r="BB394" s="2113"/>
      <c r="BC394" s="2117"/>
      <c r="BD394" s="1304"/>
      <c r="BE394" s="1304"/>
      <c r="BF394" s="1015" t="s">
        <v>1252</v>
      </c>
    </row>
    <row s="1834" customFormat="1" customHeight="1" ht="14.25" hidden="1">
      <c r="A395" s="1304"/>
      <c r="B395" s="1436"/>
      <c r="C395" s="1304"/>
      <c r="D395" s="1304"/>
      <c r="E395" s="632">
        <v>15</v>
      </c>
      <c r="F395" s="50" cm="1" t="str">
        <f t="array" ref="F395:F395">OFFSET(E395,-1,1)</f>
        <v>4</v>
      </c>
      <c r="G395" s="1304"/>
      <c r="H395" s="98" t="s">
        <v>1253</v>
      </c>
      <c r="I395" s="1304"/>
      <c r="J395" s="1304"/>
      <c r="K395" s="1304"/>
      <c r="L395" s="1304"/>
      <c r="M395" s="1304"/>
      <c r="N395" s="1304"/>
      <c r="O395" s="1304"/>
      <c r="P395" s="1442"/>
      <c r="Q395" s="1442"/>
      <c r="R395" s="1442"/>
      <c r="S395" s="1442"/>
      <c r="T395" s="465" cm="1" t="str">
        <f t="array" ref="T395:T395">T394</f>
        <v>false</v>
      </c>
      <c r="U395" s="1442"/>
      <c r="V395" s="1304"/>
      <c r="W395" s="1442"/>
      <c r="X395" s="1563"/>
      <c r="Y395" s="1545"/>
      <c r="Z395" s="1304"/>
      <c r="AA395" s="1304"/>
      <c r="AB395" s="240" t="s">
        <v>1254</v>
      </c>
      <c r="AC395" s="192" t="s">
        <v>1255</v>
      </c>
      <c r="AD395" s="93" t="s">
        <v>1247</v>
      </c>
      <c r="AE395" s="2113"/>
      <c r="AF395" s="2113"/>
      <c r="AG395" s="2113"/>
      <c r="AH395" s="2113"/>
      <c r="AI395" s="2113"/>
      <c r="AJ395" s="2113"/>
      <c r="AK395" s="2113"/>
      <c r="AL395" s="2113"/>
      <c r="AM395" s="2113"/>
      <c r="AN395" s="2113"/>
      <c r="AO395" s="2113"/>
      <c r="AP395" s="2113"/>
      <c r="AQ395" s="2113"/>
      <c r="AR395" s="2113"/>
      <c r="AS395" s="2113"/>
      <c r="AT395" s="2113"/>
      <c r="AU395" s="2113"/>
      <c r="AV395" s="2113"/>
      <c r="AW395" s="2113"/>
      <c r="AX395" s="2113"/>
      <c r="AY395" s="2113"/>
      <c r="AZ395" s="2113"/>
      <c r="BA395" s="2113"/>
      <c r="BB395" s="2113"/>
      <c r="BC395" s="2117"/>
      <c r="BD395" s="1304"/>
      <c r="BE395" s="1304"/>
      <c r="BF395" s="1015" t="s">
        <v>1256</v>
      </c>
    </row>
    <row s="1834" customFormat="1" customHeight="1" ht="21.75" hidden="1">
      <c r="A396" s="1304"/>
      <c r="B396" s="1436"/>
      <c r="C396" s="1304"/>
      <c r="D396" s="1304"/>
      <c r="E396" s="632">
        <v>22.5</v>
      </c>
      <c r="F396" s="50" cm="1" t="str">
        <f t="array" ref="F396:F396">OFFSET(E396,-1,1)</f>
        <v>4</v>
      </c>
      <c r="G396" s="1304"/>
      <c r="H396" s="98" t="s">
        <v>1257</v>
      </c>
      <c r="I396" s="1304"/>
      <c r="J396" s="1304"/>
      <c r="K396" s="1304"/>
      <c r="L396" s="1304"/>
      <c r="M396" s="1304"/>
      <c r="N396" s="1304"/>
      <c r="O396" s="1304"/>
      <c r="P396" s="1442"/>
      <c r="Q396" s="1442"/>
      <c r="R396" s="1442"/>
      <c r="S396" s="1442"/>
      <c r="T396" s="465" cm="1" t="str">
        <f t="array" ref="T396:T396">T395</f>
        <v>false</v>
      </c>
      <c r="U396" s="1442"/>
      <c r="V396" s="1304"/>
      <c r="W396" s="1442"/>
      <c r="X396" s="1563"/>
      <c r="Y396" s="1545"/>
      <c r="Z396" s="1304"/>
      <c r="AA396" s="1304"/>
      <c r="AB396" s="240" t="s">
        <v>1258</v>
      </c>
      <c r="AC396" s="330" t="s">
        <v>1259</v>
      </c>
      <c r="AD396" s="93" t="s">
        <v>1247</v>
      </c>
      <c r="AE396" s="2113"/>
      <c r="AF396" s="2113"/>
      <c r="AG396" s="2113"/>
      <c r="AH396" s="2113"/>
      <c r="AI396" s="2113"/>
      <c r="AJ396" s="2113"/>
      <c r="AK396" s="2113"/>
      <c r="AL396" s="2113"/>
      <c r="AM396" s="2113"/>
      <c r="AN396" s="2113"/>
      <c r="AO396" s="2113"/>
      <c r="AP396" s="2113"/>
      <c r="AQ396" s="2113"/>
      <c r="AR396" s="2113"/>
      <c r="AS396" s="2113"/>
      <c r="AT396" s="2113"/>
      <c r="AU396" s="2113"/>
      <c r="AV396" s="2113"/>
      <c r="AW396" s="2113"/>
      <c r="AX396" s="2113"/>
      <c r="AY396" s="2113"/>
      <c r="AZ396" s="2113"/>
      <c r="BA396" s="2113"/>
      <c r="BB396" s="2113"/>
      <c r="BC396" s="2117"/>
      <c r="BD396" s="1304"/>
      <c r="BE396" s="1304"/>
      <c r="BF396" s="1015" t="s">
        <v>1260</v>
      </c>
    </row>
    <row s="1834" customFormat="1" customHeight="1" ht="14.25" hidden="1">
      <c r="A397" s="1304"/>
      <c r="B397" s="1436"/>
      <c r="C397" s="1304"/>
      <c r="D397" s="1304"/>
      <c r="E397" s="632">
        <v>15</v>
      </c>
      <c r="F397" s="50" cm="1" t="str">
        <f t="array" ref="F397:F397">OFFSET(E397,-1,1)</f>
        <v>4</v>
      </c>
      <c r="G397" s="1304"/>
      <c r="H397" s="98" t="s">
        <v>335</v>
      </c>
      <c r="I397" s="1304"/>
      <c r="J397" s="1304"/>
      <c r="K397" s="1304"/>
      <c r="L397" s="1304"/>
      <c r="M397" s="1304"/>
      <c r="N397" s="1304"/>
      <c r="O397" s="1304"/>
      <c r="P397" s="1442"/>
      <c r="Q397" s="1442"/>
      <c r="R397" s="1442"/>
      <c r="S397" s="1442"/>
      <c r="T397" s="465" cm="1" t="str">
        <f t="array" ref="T397:T397">T396</f>
        <v>false</v>
      </c>
      <c r="U397" s="1442"/>
      <c r="V397" s="1304"/>
      <c r="W397" s="1442"/>
      <c r="X397" s="1563"/>
      <c r="Y397" s="1545"/>
      <c r="Z397" s="1304"/>
      <c r="AA397" s="1304"/>
      <c r="AB397" s="240" t="s">
        <v>289</v>
      </c>
      <c r="AC397" s="330" t="s">
        <v>1261</v>
      </c>
      <c r="AD397" s="93" t="s">
        <v>1247</v>
      </c>
      <c r="AE397" s="315">
        <f>SUM(AE398:AE399)</f>
        <v>0</v>
      </c>
      <c r="AF397" s="315">
        <f>SUM(AF398:AF399)</f>
        <v>0</v>
      </c>
      <c r="AG397" s="315">
        <f>SUM(AG398:AG399)</f>
        <v>0</v>
      </c>
      <c r="AH397" s="315">
        <f>SUM(AH398:AH399)</f>
        <v>0</v>
      </c>
      <c r="AI397" s="315">
        <f>SUM(AI398:AI399)</f>
        <v>0</v>
      </c>
      <c r="AJ397" s="315">
        <f>SUM(AJ398:AJ399)</f>
        <v>0</v>
      </c>
      <c r="AK397" s="315">
        <f>SUM(AK398:AK399)</f>
        <v>0</v>
      </c>
      <c r="AL397" s="315">
        <f>SUM(AL398:AL399)</f>
        <v>0</v>
      </c>
      <c r="AM397" s="315">
        <f>SUM(AM398:AM399)</f>
        <v>0</v>
      </c>
      <c r="AN397" s="315">
        <f>SUM(AN398:AN399)</f>
        <v>0</v>
      </c>
      <c r="AO397" s="315">
        <f>SUM(AO398:AO399)</f>
        <v>0</v>
      </c>
      <c r="AP397" s="315">
        <f>SUM(AP398:AP399)</f>
        <v>0</v>
      </c>
      <c r="AQ397" s="315">
        <f>SUM(AQ398:AQ399)</f>
        <v>0</v>
      </c>
      <c r="AR397" s="315">
        <f>SUM(AR398:AR399)</f>
        <v>0</v>
      </c>
      <c r="AS397" s="315">
        <f>SUM(AS398:AS399)</f>
        <v>0</v>
      </c>
      <c r="AT397" s="315">
        <f>SUM(AT398:AT399)</f>
        <v>0</v>
      </c>
      <c r="AU397" s="315">
        <f>SUM(AU398:AU399)</f>
        <v>0</v>
      </c>
      <c r="AV397" s="315">
        <f>SUM(AV398:AV399)</f>
        <v>0</v>
      </c>
      <c r="AW397" s="315">
        <f>SUM(AW398:AW399)</f>
        <v>0</v>
      </c>
      <c r="AX397" s="315">
        <f>SUM(AX398:AX399)</f>
        <v>0</v>
      </c>
      <c r="AY397" s="315">
        <f>SUM(AY398:AY399)</f>
        <v>0</v>
      </c>
      <c r="AZ397" s="315">
        <f>SUM(AZ398:AZ399)</f>
        <v>0</v>
      </c>
      <c r="BA397" s="315">
        <f>SUM(BA398:BA399)</f>
        <v>0</v>
      </c>
      <c r="BB397" s="315">
        <f>SUM(BB398:BB399)</f>
        <v>0</v>
      </c>
      <c r="BC397" s="2117"/>
      <c r="BD397" s="1304"/>
      <c r="BE397" s="1304"/>
      <c r="BF397" s="1015" t="s">
        <v>1262</v>
      </c>
    </row>
    <row s="1834" customFormat="1" customHeight="1" ht="14.25" hidden="1">
      <c r="A398" s="1304"/>
      <c r="B398" s="1436"/>
      <c r="C398" s="1304"/>
      <c r="D398" s="1304"/>
      <c r="E398" s="632">
        <v>15</v>
      </c>
      <c r="F398" s="50" cm="1" t="str">
        <f t="array" ref="F398:F398">OFFSET(E398,-1,1)</f>
        <v>4</v>
      </c>
      <c r="G398" s="1304"/>
      <c r="H398" s="98" t="s">
        <v>1263</v>
      </c>
      <c r="I398" s="1304"/>
      <c r="J398" s="1304"/>
      <c r="K398" s="1304"/>
      <c r="L398" s="1304"/>
      <c r="M398" s="1304"/>
      <c r="N398" s="1304"/>
      <c r="O398" s="1304"/>
      <c r="P398" s="1442"/>
      <c r="Q398" s="1442"/>
      <c r="R398" s="1442"/>
      <c r="S398" s="1442"/>
      <c r="T398" s="465" cm="1" t="str">
        <f t="array" ref="T398:T398">T397</f>
        <v>false</v>
      </c>
      <c r="U398" s="1442"/>
      <c r="V398" s="1304"/>
      <c r="W398" s="1442"/>
      <c r="X398" s="1563"/>
      <c r="Y398" s="1545"/>
      <c r="Z398" s="1304"/>
      <c r="AA398" s="1304"/>
      <c r="AB398" s="240" t="s">
        <v>1264</v>
      </c>
      <c r="AC398" s="192" t="s">
        <v>1265</v>
      </c>
      <c r="AD398" s="93" t="s">
        <v>1247</v>
      </c>
      <c r="AE398" s="2113"/>
      <c r="AF398" s="2113"/>
      <c r="AG398" s="2113"/>
      <c r="AH398" s="2113"/>
      <c r="AI398" s="2113"/>
      <c r="AJ398" s="2113"/>
      <c r="AK398" s="2113"/>
      <c r="AL398" s="2113"/>
      <c r="AM398" s="2113"/>
      <c r="AN398" s="2113"/>
      <c r="AO398" s="2113"/>
      <c r="AP398" s="2113"/>
      <c r="AQ398" s="2113"/>
      <c r="AR398" s="2113"/>
      <c r="AS398" s="2113"/>
      <c r="AT398" s="2113"/>
      <c r="AU398" s="2113"/>
      <c r="AV398" s="2113"/>
      <c r="AW398" s="2113"/>
      <c r="AX398" s="2113"/>
      <c r="AY398" s="2113"/>
      <c r="AZ398" s="2113"/>
      <c r="BA398" s="2113"/>
      <c r="BB398" s="2113"/>
      <c r="BC398" s="2117"/>
      <c r="BD398" s="1304"/>
      <c r="BE398" s="1304"/>
      <c r="BF398" s="1015" t="s">
        <v>1266</v>
      </c>
    </row>
    <row s="1834" customFormat="1" customHeight="1" ht="14.25" hidden="1">
      <c r="A399" s="1304"/>
      <c r="B399" s="1436"/>
      <c r="C399" s="1304"/>
      <c r="D399" s="1304"/>
      <c r="E399" s="632">
        <v>15</v>
      </c>
      <c r="F399" s="50" cm="1" t="str">
        <f t="array" ref="F399:F399">OFFSET(E399,-1,1)</f>
        <v>4</v>
      </c>
      <c r="G399" s="1304"/>
      <c r="H399" s="98" t="s">
        <v>1267</v>
      </c>
      <c r="I399" s="1304"/>
      <c r="J399" s="1304"/>
      <c r="K399" s="1304"/>
      <c r="L399" s="1304"/>
      <c r="M399" s="1304"/>
      <c r="N399" s="1304"/>
      <c r="O399" s="1304"/>
      <c r="P399" s="1442"/>
      <c r="Q399" s="1442"/>
      <c r="R399" s="1442"/>
      <c r="S399" s="1442"/>
      <c r="T399" s="465" cm="1" t="str">
        <f t="array" ref="T399:T399">T398</f>
        <v>false</v>
      </c>
      <c r="U399" s="1442"/>
      <c r="V399" s="1304"/>
      <c r="W399" s="1442"/>
      <c r="X399" s="1563"/>
      <c r="Y399" s="1545"/>
      <c r="Z399" s="1304"/>
      <c r="AA399" s="1304"/>
      <c r="AB399" s="240" t="s">
        <v>1268</v>
      </c>
      <c r="AC399" s="192" t="s">
        <v>1269</v>
      </c>
      <c r="AD399" s="93" t="s">
        <v>1247</v>
      </c>
      <c r="AE399" s="2113"/>
      <c r="AF399" s="2113"/>
      <c r="AG399" s="2113"/>
      <c r="AH399" s="2113"/>
      <c r="AI399" s="2113"/>
      <c r="AJ399" s="2113"/>
      <c r="AK399" s="2113"/>
      <c r="AL399" s="2113"/>
      <c r="AM399" s="2113"/>
      <c r="AN399" s="2113"/>
      <c r="AO399" s="2113"/>
      <c r="AP399" s="2113"/>
      <c r="AQ399" s="2113"/>
      <c r="AR399" s="2113"/>
      <c r="AS399" s="2113"/>
      <c r="AT399" s="2113"/>
      <c r="AU399" s="2113"/>
      <c r="AV399" s="2113"/>
      <c r="AW399" s="2113"/>
      <c r="AX399" s="2113"/>
      <c r="AY399" s="2113"/>
      <c r="AZ399" s="2113"/>
      <c r="BA399" s="2113"/>
      <c r="BB399" s="2113"/>
      <c r="BC399" s="2117"/>
      <c r="BD399" s="1304"/>
      <c r="BE399" s="1304"/>
      <c r="BF399" s="1015" t="s">
        <v>1270</v>
      </c>
    </row>
    <row s="1834" customFormat="1" customHeight="1" ht="14.25" hidden="1">
      <c r="A400" s="1304"/>
      <c r="B400" s="1436"/>
      <c r="C400" s="1304"/>
      <c r="D400" s="1304"/>
      <c r="E400" s="632">
        <v>15</v>
      </c>
      <c r="F400" s="50" cm="1" t="str">
        <f t="array" ref="F400:F400">OFFSET(E400,-1,1)</f>
        <v>4</v>
      </c>
      <c r="G400" s="1304"/>
      <c r="H400" s="98" t="s">
        <v>1225</v>
      </c>
      <c r="I400" s="1304"/>
      <c r="J400" s="1304"/>
      <c r="K400" s="1304"/>
      <c r="L400" s="1304"/>
      <c r="M400" s="1304"/>
      <c r="N400" s="1304"/>
      <c r="O400" s="1304"/>
      <c r="P400" s="1442"/>
      <c r="Q400" s="1442"/>
      <c r="R400" s="1442"/>
      <c r="S400" s="1442"/>
      <c r="T400" s="465" cm="1" t="str">
        <f t="array" ref="T400:T400">T399</f>
        <v>false</v>
      </c>
      <c r="U400" s="1442"/>
      <c r="V400" s="1304"/>
      <c r="W400" s="1442"/>
      <c r="X400" s="1563"/>
      <c r="Y400" s="1545"/>
      <c r="Z400" s="1304"/>
      <c r="AA400" s="1304"/>
      <c r="AB400" s="240" t="s">
        <v>295</v>
      </c>
      <c r="AC400" s="329" t="s">
        <v>1271</v>
      </c>
      <c r="AD400" s="93" t="s">
        <v>1247</v>
      </c>
      <c r="AE400" s="2069"/>
      <c r="AF400" s="2069"/>
      <c r="AG400" s="2069"/>
      <c r="AH400" s="2069"/>
      <c r="AI400" s="2069"/>
      <c r="AJ400" s="2069"/>
      <c r="AK400" s="2069"/>
      <c r="AL400" s="2069"/>
      <c r="AM400" s="2069"/>
      <c r="AN400" s="2069"/>
      <c r="AO400" s="2069"/>
      <c r="AP400" s="2069"/>
      <c r="AQ400" s="2069"/>
      <c r="AR400" s="2069"/>
      <c r="AS400" s="2069"/>
      <c r="AT400" s="2069"/>
      <c r="AU400" s="2069"/>
      <c r="AV400" s="2069"/>
      <c r="AW400" s="2069"/>
      <c r="AX400" s="2069"/>
      <c r="AY400" s="2069"/>
      <c r="AZ400" s="2069"/>
      <c r="BA400" s="2069"/>
      <c r="BB400" s="2069"/>
      <c r="BC400" s="2117"/>
      <c r="BD400" s="1304"/>
      <c r="BE400" s="1304"/>
      <c r="BF400" s="1015" t="s">
        <v>1272</v>
      </c>
    </row>
    <row s="1834" customFormat="1" customHeight="1" ht="14.25" hidden="1">
      <c r="A401" s="1304"/>
      <c r="B401" s="1436"/>
      <c r="C401" s="1304"/>
      <c r="D401" s="1304"/>
      <c r="E401" s="632">
        <v>15</v>
      </c>
      <c r="F401" s="50" cm="1" t="str">
        <f t="array" ref="F401:F401">OFFSET(E401,-1,1)</f>
        <v>4</v>
      </c>
      <c r="G401" s="1304"/>
      <c r="H401" s="98" t="s">
        <v>1228</v>
      </c>
      <c r="I401" s="1304"/>
      <c r="J401" s="1304"/>
      <c r="K401" s="1304"/>
      <c r="L401" s="1304"/>
      <c r="M401" s="1304"/>
      <c r="N401" s="1304"/>
      <c r="O401" s="1304"/>
      <c r="P401" s="1442"/>
      <c r="Q401" s="1442"/>
      <c r="R401" s="1442"/>
      <c r="S401" s="1442"/>
      <c r="T401" s="465" cm="1" t="str">
        <f t="array" ref="T401:T401">T400</f>
        <v>false</v>
      </c>
      <c r="U401" s="1442"/>
      <c r="V401" s="1304"/>
      <c r="W401" s="1442"/>
      <c r="X401" s="1563"/>
      <c r="Y401" s="1545"/>
      <c r="Z401" s="1304"/>
      <c r="AA401" s="1304"/>
      <c r="AB401" s="240" t="s">
        <v>443</v>
      </c>
      <c r="AC401" s="329" t="s">
        <v>1273</v>
      </c>
      <c r="AD401" s="93" t="s">
        <v>1247</v>
      </c>
      <c r="AE401" s="2113"/>
      <c r="AF401" s="2113"/>
      <c r="AG401" s="2113"/>
      <c r="AH401" s="2113"/>
      <c r="AI401" s="2113"/>
      <c r="AJ401" s="2113"/>
      <c r="AK401" s="2113"/>
      <c r="AL401" s="2113"/>
      <c r="AM401" s="2113"/>
      <c r="AN401" s="2113"/>
      <c r="AO401" s="2113"/>
      <c r="AP401" s="2113"/>
      <c r="AQ401" s="2113"/>
      <c r="AR401" s="2113"/>
      <c r="AS401" s="2113"/>
      <c r="AT401" s="2113"/>
      <c r="AU401" s="2113"/>
      <c r="AV401" s="2113"/>
      <c r="AW401" s="2113"/>
      <c r="AX401" s="2113"/>
      <c r="AY401" s="2113"/>
      <c r="AZ401" s="2113"/>
      <c r="BA401" s="2113"/>
      <c r="BB401" s="2113"/>
      <c r="BC401" s="2117"/>
      <c r="BD401" s="1304"/>
      <c r="BE401" s="1304"/>
      <c r="BF401" s="1015" t="s">
        <v>1274</v>
      </c>
    </row>
    <row s="1834" customFormat="1" customHeight="1" ht="14.25" hidden="1">
      <c r="A402" s="1304"/>
      <c r="B402" s="1436"/>
      <c r="C402" s="1304"/>
      <c r="D402" s="1304"/>
      <c r="E402" s="632">
        <v>15</v>
      </c>
      <c r="F402" s="50" cm="1" t="str">
        <f t="array" ref="F402:F402">OFFSET(E402,-1,1)</f>
        <v>4</v>
      </c>
      <c r="G402" s="1304"/>
      <c r="H402" s="98" t="s">
        <v>1275</v>
      </c>
      <c r="I402" s="1304"/>
      <c r="J402" s="1304"/>
      <c r="K402" s="1304"/>
      <c r="L402" s="1304"/>
      <c r="M402" s="1304"/>
      <c r="N402" s="1304"/>
      <c r="O402" s="1304"/>
      <c r="P402" s="1442"/>
      <c r="Q402" s="1442"/>
      <c r="R402" s="1442"/>
      <c r="S402" s="1442"/>
      <c r="T402" s="465" cm="1" t="str">
        <f t="array" ref="T402:T402">T401</f>
        <v>false</v>
      </c>
      <c r="U402" s="1442"/>
      <c r="V402" s="1304"/>
      <c r="W402" s="1442"/>
      <c r="X402" s="1563"/>
      <c r="Y402" s="1545"/>
      <c r="Z402" s="1304"/>
      <c r="AA402" s="1304"/>
      <c r="AB402" s="240" t="s">
        <v>446</v>
      </c>
      <c r="AC402" s="330" t="s">
        <v>1276</v>
      </c>
      <c r="AD402" s="93" t="s">
        <v>1247</v>
      </c>
      <c r="AE402" s="315">
        <f>AE408+AE406</f>
        <v>0</v>
      </c>
      <c r="AF402" s="315">
        <f>AF408+AF406</f>
        <v>0</v>
      </c>
      <c r="AG402" s="315">
        <f>AG408+AG406</f>
        <v>0</v>
      </c>
      <c r="AH402" s="315">
        <f>AH408+AH406</f>
        <v>0</v>
      </c>
      <c r="AI402" s="315">
        <f>AI408+AI406</f>
        <v>0</v>
      </c>
      <c r="AJ402" s="315">
        <f>AJ408+AJ406</f>
        <v>0</v>
      </c>
      <c r="AK402" s="315">
        <f>AK408+AK406</f>
        <v>0</v>
      </c>
      <c r="AL402" s="315">
        <f>AL408+AL406</f>
        <v>0</v>
      </c>
      <c r="AM402" s="315">
        <f>AM408+AM406</f>
        <v>0</v>
      </c>
      <c r="AN402" s="315">
        <f>AN408+AN406</f>
        <v>0</v>
      </c>
      <c r="AO402" s="315">
        <f>AO408+AO406</f>
        <v>0</v>
      </c>
      <c r="AP402" s="315">
        <f>AP408+AP406</f>
        <v>0</v>
      </c>
      <c r="AQ402" s="315">
        <f>AQ408+AQ406</f>
        <v>0</v>
      </c>
      <c r="AR402" s="315">
        <f>AR408+AR406</f>
        <v>0</v>
      </c>
      <c r="AS402" s="315">
        <f>AS408+AS406</f>
        <v>0</v>
      </c>
      <c r="AT402" s="315">
        <f>AT408+AT406</f>
        <v>0</v>
      </c>
      <c r="AU402" s="315">
        <f>AU408+AU406</f>
        <v>0</v>
      </c>
      <c r="AV402" s="315">
        <f>AV408+AV406</f>
        <v>0</v>
      </c>
      <c r="AW402" s="315">
        <f>AW408+AW406</f>
        <v>0</v>
      </c>
      <c r="AX402" s="315">
        <f>AX408+AX406</f>
        <v>0</v>
      </c>
      <c r="AY402" s="315">
        <f>AY408+AY406</f>
        <v>0</v>
      </c>
      <c r="AZ402" s="315">
        <f>AZ408+AZ406</f>
        <v>0</v>
      </c>
      <c r="BA402" s="315">
        <f>BA408+BA406</f>
        <v>0</v>
      </c>
      <c r="BB402" s="315">
        <f>BB408+BB406</f>
        <v>0</v>
      </c>
      <c r="BC402" s="2117"/>
      <c r="BD402" s="1304"/>
      <c r="BE402" s="1304"/>
      <c r="BF402" s="1015" t="s">
        <v>1277</v>
      </c>
    </row>
    <row s="1834" customFormat="1" customHeight="1" ht="21.75" hidden="1">
      <c r="A403" s="1304"/>
      <c r="B403" s="1436"/>
      <c r="C403" s="1304"/>
      <c r="D403" s="1304"/>
      <c r="E403" s="632">
        <v>22.5</v>
      </c>
      <c r="F403" s="50" cm="1" t="str">
        <f t="array" ref="F403:F403">OFFSET(E403,-1,1)</f>
        <v>4</v>
      </c>
      <c r="G403" s="1304"/>
      <c r="H403" s="98" t="s">
        <v>1278</v>
      </c>
      <c r="I403" s="1304"/>
      <c r="J403" s="1304"/>
      <c r="K403" s="1304"/>
      <c r="L403" s="1304"/>
      <c r="M403" s="1304"/>
      <c r="N403" s="1304"/>
      <c r="O403" s="1304"/>
      <c r="P403" s="1442"/>
      <c r="Q403" s="1442"/>
      <c r="R403" s="1442"/>
      <c r="S403" s="1442"/>
      <c r="T403" s="465" cm="1" t="str">
        <f t="array" ref="T403:T403">T402</f>
        <v>false</v>
      </c>
      <c r="U403" s="1442"/>
      <c r="V403" s="1304"/>
      <c r="W403" s="1442"/>
      <c r="X403" s="1563"/>
      <c r="Y403" s="1545"/>
      <c r="Z403" s="1304"/>
      <c r="AA403" s="1304"/>
      <c r="AB403" s="240" t="s">
        <v>1279</v>
      </c>
      <c r="AC403" s="192" t="s">
        <v>1280</v>
      </c>
      <c r="AD403" s="93" t="s">
        <v>1247</v>
      </c>
      <c r="AE403" s="2113"/>
      <c r="AF403" s="2113"/>
      <c r="AG403" s="2113"/>
      <c r="AH403" s="2113"/>
      <c r="AI403" s="2113"/>
      <c r="AJ403" s="2113"/>
      <c r="AK403" s="2113"/>
      <c r="AL403" s="2113"/>
      <c r="AM403" s="2113"/>
      <c r="AN403" s="2113"/>
      <c r="AO403" s="2113"/>
      <c r="AP403" s="2113"/>
      <c r="AQ403" s="2113"/>
      <c r="AR403" s="2113"/>
      <c r="AS403" s="2113"/>
      <c r="AT403" s="2113"/>
      <c r="AU403" s="2113"/>
      <c r="AV403" s="2113"/>
      <c r="AW403" s="2113"/>
      <c r="AX403" s="2113"/>
      <c r="AY403" s="2113"/>
      <c r="AZ403" s="2113"/>
      <c r="BA403" s="2113"/>
      <c r="BB403" s="2113"/>
      <c r="BC403" s="2117"/>
      <c r="BD403" s="1304"/>
      <c r="BE403" s="1304"/>
      <c r="BF403" s="1015" t="s">
        <v>1281</v>
      </c>
    </row>
    <row s="1834" customFormat="1" customHeight="1" ht="14.25" hidden="1">
      <c r="A404" s="1304"/>
      <c r="B404" s="1436"/>
      <c r="C404" s="1304"/>
      <c r="D404" s="1304"/>
      <c r="E404" s="632">
        <v>15</v>
      </c>
      <c r="F404" s="50" cm="1" t="str">
        <f t="array" ref="F404:F404">OFFSET(E404,-1,1)</f>
        <v>4</v>
      </c>
      <c r="G404" s="1304"/>
      <c r="H404" s="98" t="s">
        <v>1282</v>
      </c>
      <c r="I404" s="1304"/>
      <c r="J404" s="1304"/>
      <c r="K404" s="1304"/>
      <c r="L404" s="1304"/>
      <c r="M404" s="1304"/>
      <c r="N404" s="1304"/>
      <c r="O404" s="1304"/>
      <c r="P404" s="1442"/>
      <c r="Q404" s="1442"/>
      <c r="R404" s="1442"/>
      <c r="S404" s="1442"/>
      <c r="T404" s="465" cm="1" t="str">
        <f t="array" ref="T404:T404">T403</f>
        <v>false</v>
      </c>
      <c r="U404" s="1442"/>
      <c r="V404" s="1304"/>
      <c r="W404" s="1442"/>
      <c r="X404" s="1563"/>
      <c r="Y404" s="1545"/>
      <c r="Z404" s="1304"/>
      <c r="AA404" s="1304"/>
      <c r="AB404" s="240" t="s">
        <v>1283</v>
      </c>
      <c r="AC404" s="192" t="s">
        <v>1284</v>
      </c>
      <c r="AD404" s="93" t="s">
        <v>1247</v>
      </c>
      <c r="AE404" s="2113"/>
      <c r="AF404" s="2113"/>
      <c r="AG404" s="2113"/>
      <c r="AH404" s="2113"/>
      <c r="AI404" s="2113"/>
      <c r="AJ404" s="2113"/>
      <c r="AK404" s="2113"/>
      <c r="AL404" s="2113"/>
      <c r="AM404" s="2113"/>
      <c r="AN404" s="2113"/>
      <c r="AO404" s="2113"/>
      <c r="AP404" s="2113"/>
      <c r="AQ404" s="2113"/>
      <c r="AR404" s="2113"/>
      <c r="AS404" s="2113"/>
      <c r="AT404" s="2113"/>
      <c r="AU404" s="2113"/>
      <c r="AV404" s="2113"/>
      <c r="AW404" s="2113"/>
      <c r="AX404" s="2113"/>
      <c r="AY404" s="2113"/>
      <c r="AZ404" s="2113"/>
      <c r="BA404" s="2113"/>
      <c r="BB404" s="2113"/>
      <c r="BC404" s="2117"/>
      <c r="BD404" s="1304"/>
      <c r="BE404" s="1304"/>
      <c r="BF404" s="1015" t="s">
        <v>1285</v>
      </c>
    </row>
    <row s="1834" customFormat="1" customHeight="1" ht="21.75" hidden="1">
      <c r="A405" s="1304"/>
      <c r="B405" s="1436"/>
      <c r="C405" s="1304"/>
      <c r="D405" s="1304"/>
      <c r="E405" s="632">
        <v>22.5</v>
      </c>
      <c r="F405" s="50" cm="1" t="str">
        <f t="array" ref="F405:F405">OFFSET(E405,-1,1)</f>
        <v>4</v>
      </c>
      <c r="G405" s="1304"/>
      <c r="H405" s="98" t="s">
        <v>1286</v>
      </c>
      <c r="I405" s="1304"/>
      <c r="J405" s="1304"/>
      <c r="K405" s="1304"/>
      <c r="L405" s="1304"/>
      <c r="M405" s="1304"/>
      <c r="N405" s="1304"/>
      <c r="O405" s="1304"/>
      <c r="P405" s="1442"/>
      <c r="Q405" s="1442"/>
      <c r="R405" s="1442"/>
      <c r="S405" s="1442"/>
      <c r="T405" s="465" cm="1" t="str">
        <f t="array" ref="T405:T405">T404</f>
        <v>false</v>
      </c>
      <c r="U405" s="1442"/>
      <c r="V405" s="1304"/>
      <c r="W405" s="1442"/>
      <c r="X405" s="1563"/>
      <c r="Y405" s="1545"/>
      <c r="Z405" s="1304"/>
      <c r="AA405" s="1304"/>
      <c r="AB405" s="240" t="s">
        <v>1287</v>
      </c>
      <c r="AC405" s="192" t="s">
        <v>1288</v>
      </c>
      <c r="AD405" s="93" t="s">
        <v>1247</v>
      </c>
      <c r="AE405" s="2113"/>
      <c r="AF405" s="2113"/>
      <c r="AG405" s="2113"/>
      <c r="AH405" s="2113"/>
      <c r="AI405" s="2113"/>
      <c r="AJ405" s="2113"/>
      <c r="AK405" s="2113"/>
      <c r="AL405" s="2113"/>
      <c r="AM405" s="2113"/>
      <c r="AN405" s="2113"/>
      <c r="AO405" s="2113"/>
      <c r="AP405" s="2113"/>
      <c r="AQ405" s="2113"/>
      <c r="AR405" s="2113"/>
      <c r="AS405" s="2113"/>
      <c r="AT405" s="2113"/>
      <c r="AU405" s="2113"/>
      <c r="AV405" s="2113"/>
      <c r="AW405" s="2113"/>
      <c r="AX405" s="2113"/>
      <c r="AY405" s="2113"/>
      <c r="AZ405" s="2113"/>
      <c r="BA405" s="2113"/>
      <c r="BB405" s="2113"/>
      <c r="BC405" s="2117"/>
      <c r="BD405" s="1304"/>
      <c r="BE405" s="1304"/>
      <c r="BF405" s="1015" t="s">
        <v>1289</v>
      </c>
    </row>
    <row s="1834" customFormat="1" customHeight="1" ht="14.25" hidden="1">
      <c r="A406" s="1304"/>
      <c r="B406" s="1436"/>
      <c r="C406" s="1304"/>
      <c r="D406" s="1304"/>
      <c r="E406" s="632">
        <v>15</v>
      </c>
      <c r="F406" s="50" cm="1" t="str">
        <f t="array" ref="F406:F406">OFFSET(E406,-1,1)</f>
        <v>4</v>
      </c>
      <c r="G406" s="1304"/>
      <c r="H406" s="98" t="s">
        <v>1290</v>
      </c>
      <c r="I406" s="1304"/>
      <c r="J406" s="1304"/>
      <c r="K406" s="1304"/>
      <c r="L406" s="1304"/>
      <c r="M406" s="1304"/>
      <c r="N406" s="1304"/>
      <c r="O406" s="1304"/>
      <c r="P406" s="1442"/>
      <c r="Q406" s="1442"/>
      <c r="R406" s="1442"/>
      <c r="S406" s="1442"/>
      <c r="T406" s="465" cm="1" t="str">
        <f t="array" ref="T406:T406">T405</f>
        <v>false</v>
      </c>
      <c r="U406" s="1442"/>
      <c r="V406" s="1304"/>
      <c r="W406" s="1442"/>
      <c r="X406" s="1563"/>
      <c r="Y406" s="1545"/>
      <c r="Z406" s="1304"/>
      <c r="AA406" s="1304"/>
      <c r="AB406" s="240" t="s">
        <v>449</v>
      </c>
      <c r="AC406" s="329" t="s">
        <v>1291</v>
      </c>
      <c r="AD406" s="93" t="s">
        <v>1247</v>
      </c>
      <c r="AE406" s="2113"/>
      <c r="AF406" s="2113"/>
      <c r="AG406" s="2113"/>
      <c r="AH406" s="2113"/>
      <c r="AI406" s="2113"/>
      <c r="AJ406" s="2113"/>
      <c r="AK406" s="2113"/>
      <c r="AL406" s="2113"/>
      <c r="AM406" s="2113"/>
      <c r="AN406" s="2113"/>
      <c r="AO406" s="2113"/>
      <c r="AP406" s="2113"/>
      <c r="AQ406" s="2113"/>
      <c r="AR406" s="2113"/>
      <c r="AS406" s="2113"/>
      <c r="AT406" s="2113"/>
      <c r="AU406" s="2113"/>
      <c r="AV406" s="2113"/>
      <c r="AW406" s="2113"/>
      <c r="AX406" s="2113"/>
      <c r="AY406" s="2113"/>
      <c r="AZ406" s="2113"/>
      <c r="BA406" s="2113"/>
      <c r="BB406" s="2113"/>
      <c r="BC406" s="2117"/>
      <c r="BD406" s="1304"/>
      <c r="BE406" s="1304"/>
      <c r="BF406" s="1015" t="s">
        <v>1292</v>
      </c>
    </row>
    <row s="1834" customFormat="1" customHeight="1" ht="14.25" hidden="1">
      <c r="A407" s="1304"/>
      <c r="B407" s="1436"/>
      <c r="C407" s="1304"/>
      <c r="D407" s="1304"/>
      <c r="E407" s="632">
        <v>15</v>
      </c>
      <c r="F407" s="50" cm="1" t="str">
        <f t="array" ref="F407:F407">OFFSET(E407,-1,1)</f>
        <v>4</v>
      </c>
      <c r="G407" s="1304"/>
      <c r="H407" s="98" t="s">
        <v>1293</v>
      </c>
      <c r="I407" s="1304"/>
      <c r="J407" s="1304"/>
      <c r="K407" s="1304"/>
      <c r="L407" s="1304"/>
      <c r="M407" s="1304"/>
      <c r="N407" s="1304"/>
      <c r="O407" s="1304"/>
      <c r="P407" s="1442"/>
      <c r="Q407" s="1442"/>
      <c r="R407" s="1442"/>
      <c r="S407" s="1442"/>
      <c r="T407" s="465" cm="1" t="str">
        <f t="array" ref="T407:T407">T406</f>
        <v>false</v>
      </c>
      <c r="U407" s="1442"/>
      <c r="V407" s="1304"/>
      <c r="W407" s="1442"/>
      <c r="X407" s="1563"/>
      <c r="Y407" s="1545"/>
      <c r="Z407" s="1304"/>
      <c r="AA407" s="1304"/>
      <c r="AB407" s="240" t="s">
        <v>1294</v>
      </c>
      <c r="AC407" s="331" t="s">
        <v>1295</v>
      </c>
      <c r="AD407" s="93" t="s">
        <v>1170</v>
      </c>
      <c r="AE407" s="1940">
        <f>IF(AE402=0,0,AE406/AE402*100)</f>
        <v>0</v>
      </c>
      <c r="AF407" s="1940">
        <f>IF(AF402=0,0,AF406/AF402*100)</f>
        <v>0</v>
      </c>
      <c r="AG407" s="1940">
        <f>IF(AG402=0,0,AG406/AG402*100)</f>
        <v>0</v>
      </c>
      <c r="AH407" s="1940">
        <f>IF(AH402=0,0,AH406/AH402*100)</f>
        <v>0</v>
      </c>
      <c r="AI407" s="1940">
        <f>IF(AI402=0,0,AI406/AI402*100)</f>
        <v>0</v>
      </c>
      <c r="AJ407" s="1940">
        <f>IF(AJ402=0,0,AJ406/AJ402*100)</f>
        <v>0</v>
      </c>
      <c r="AK407" s="1940">
        <f>IF(AK402=0,0,AK406/AK402*100)</f>
        <v>0</v>
      </c>
      <c r="AL407" s="1940">
        <f>IF(AL402=0,0,AL406/AL402*100)</f>
        <v>0</v>
      </c>
      <c r="AM407" s="1940">
        <f>IF(AM402=0,0,AM406/AM402*100)</f>
        <v>0</v>
      </c>
      <c r="AN407" s="1940">
        <f>IF(AN402=0,0,AN406/AN402*100)</f>
        <v>0</v>
      </c>
      <c r="AO407" s="1940">
        <f>IF(AO402=0,0,AO406/AO402*100)</f>
        <v>0</v>
      </c>
      <c r="AP407" s="1940">
        <f>IF(AP402=0,0,AP406/AP402*100)</f>
        <v>0</v>
      </c>
      <c r="AQ407" s="1940">
        <f>IF(AQ402=0,0,AQ406/AQ402*100)</f>
        <v>0</v>
      </c>
      <c r="AR407" s="1940">
        <f>IF(AR402=0,0,AR406/AR402*100)</f>
        <v>0</v>
      </c>
      <c r="AS407" s="1940">
        <f>IF(AS402=0,0,AS406/AS402*100)</f>
        <v>0</v>
      </c>
      <c r="AT407" s="1940">
        <f>IF(AT402=0,0,AT406/AT402*100)</f>
        <v>0</v>
      </c>
      <c r="AU407" s="1940">
        <f>IF(AU402=0,0,AU406/AU402*100)</f>
        <v>0</v>
      </c>
      <c r="AV407" s="1940">
        <f>IF(AV402=0,0,AV406/AV402*100)</f>
        <v>0</v>
      </c>
      <c r="AW407" s="1940">
        <f>IF(AW402=0,0,AW406/AW402*100)</f>
        <v>0</v>
      </c>
      <c r="AX407" s="1940">
        <f>IF(AX402=0,0,AX406/AX402*100)</f>
        <v>0</v>
      </c>
      <c r="AY407" s="1940">
        <f>IF(AY402=0,0,AY406/AY402*100)</f>
        <v>0</v>
      </c>
      <c r="AZ407" s="1940">
        <f>IF(AZ402=0,0,AZ406/AZ402*100)</f>
        <v>0</v>
      </c>
      <c r="BA407" s="1940">
        <f>IF(BA402=0,0,BA406/BA402*100)</f>
        <v>0</v>
      </c>
      <c r="BB407" s="1940">
        <f>IF(BB402=0,0,BB406/BB402*100)</f>
        <v>0</v>
      </c>
      <c r="BC407" s="2117"/>
      <c r="BD407" s="1304"/>
      <c r="BE407" s="1304"/>
      <c r="BF407" s="1015" t="s">
        <v>1296</v>
      </c>
    </row>
    <row s="1834" customFormat="1" customHeight="1" ht="14.25" hidden="1">
      <c r="A408" s="1304"/>
      <c r="B408" s="1436"/>
      <c r="C408" s="1304"/>
      <c r="D408" s="1304"/>
      <c r="E408" s="632">
        <v>15</v>
      </c>
      <c r="F408" s="50" cm="1" t="str">
        <f t="array" ref="F408:F408">OFFSET(E408,-1,1)</f>
        <v>4</v>
      </c>
      <c r="G408" s="1304"/>
      <c r="H408" s="98" t="s">
        <v>1297</v>
      </c>
      <c r="I408" s="1304"/>
      <c r="J408" s="1304"/>
      <c r="K408" s="1304"/>
      <c r="L408" s="1304"/>
      <c r="M408" s="1304"/>
      <c r="N408" s="1304"/>
      <c r="O408" s="1304"/>
      <c r="P408" s="1442"/>
      <c r="Q408" s="1442"/>
      <c r="R408" s="1442"/>
      <c r="S408" s="1442"/>
      <c r="T408" s="465" cm="1" t="str">
        <f t="array" ref="T408:T408">T407</f>
        <v>false</v>
      </c>
      <c r="U408" s="1442"/>
      <c r="V408" s="1304"/>
      <c r="W408" s="1442"/>
      <c r="X408" s="1563"/>
      <c r="Y408" s="1545"/>
      <c r="Z408" s="1304"/>
      <c r="AA408" s="1304"/>
      <c r="AB408" s="240" t="s">
        <v>452</v>
      </c>
      <c r="AC408" s="329" t="s">
        <v>1298</v>
      </c>
      <c r="AD408" s="93" t="s">
        <v>1247</v>
      </c>
      <c r="AE408" s="315">
        <f>AE409+AE413+AE416+AE426</f>
        <v>0</v>
      </c>
      <c r="AF408" s="315">
        <f>AF409+AF413+AF416+AF426</f>
        <v>0</v>
      </c>
      <c r="AG408" s="315">
        <f>AG409+AG413+AG416+AG426</f>
        <v>0</v>
      </c>
      <c r="AH408" s="315">
        <f>AH409+AH413+AH416+AH426</f>
        <v>0</v>
      </c>
      <c r="AI408" s="315">
        <f>AI409+AI413+AI416+AI426</f>
        <v>0</v>
      </c>
      <c r="AJ408" s="315">
        <f>AJ409+AJ413+AJ416+AJ426</f>
        <v>0</v>
      </c>
      <c r="AK408" s="315">
        <f>AK409+AK413+AK416+AK426</f>
        <v>0</v>
      </c>
      <c r="AL408" s="315">
        <f>AL409+AL413+AL416+AL426</f>
        <v>0</v>
      </c>
      <c r="AM408" s="315">
        <f>AM409+AM413+AM416+AM426</f>
        <v>0</v>
      </c>
      <c r="AN408" s="315">
        <f>AN409+AN413+AN416+AN426</f>
        <v>0</v>
      </c>
      <c r="AO408" s="315">
        <f>AO409+AO413+AO416+AO426</f>
        <v>0</v>
      </c>
      <c r="AP408" s="315">
        <f>AP409+AP413+AP416+AP426</f>
        <v>0</v>
      </c>
      <c r="AQ408" s="315">
        <f>AQ409+AQ413+AQ416+AQ426</f>
        <v>0</v>
      </c>
      <c r="AR408" s="315">
        <f>AR409+AR413+AR416+AR426</f>
        <v>0</v>
      </c>
      <c r="AS408" s="315">
        <f>AS409+AS413+AS416+AS426</f>
        <v>0</v>
      </c>
      <c r="AT408" s="315">
        <f>AT409+AT413+AT416+AT426</f>
        <v>0</v>
      </c>
      <c r="AU408" s="315">
        <f>AU409+AU413+AU416+AU426</f>
        <v>0</v>
      </c>
      <c r="AV408" s="315">
        <f>AV409+AV413+AV416+AV426</f>
        <v>0</v>
      </c>
      <c r="AW408" s="315">
        <f>AW409+AW413+AW416+AW426</f>
        <v>0</v>
      </c>
      <c r="AX408" s="315">
        <f>AX409+AX413+AX416+AX426</f>
        <v>0</v>
      </c>
      <c r="AY408" s="315">
        <f>AY409+AY413+AY416+AY426</f>
        <v>0</v>
      </c>
      <c r="AZ408" s="315">
        <f>AZ409+AZ413+AZ416+AZ426</f>
        <v>0</v>
      </c>
      <c r="BA408" s="315">
        <f>BA409+BA413+BA416+BA426</f>
        <v>0</v>
      </c>
      <c r="BB408" s="315">
        <f>BB409+BB413+BB416+BB426</f>
        <v>0</v>
      </c>
      <c r="BC408" s="2117"/>
      <c r="BD408" s="1304"/>
      <c r="BE408" s="1304"/>
      <c r="BF408" s="1015" t="s">
        <v>1299</v>
      </c>
    </row>
    <row s="1834" customFormat="1" customHeight="1" ht="14.25" hidden="1">
      <c r="A409" s="1304"/>
      <c r="B409" s="1436"/>
      <c r="C409" s="1304"/>
      <c r="D409" s="1304"/>
      <c r="E409" s="632">
        <v>15</v>
      </c>
      <c r="F409" s="50" cm="1" t="str">
        <f t="array" ref="F409:F409">OFFSET(E409,-1,1)</f>
        <v>4</v>
      </c>
      <c r="G409" s="98" t="str">
        <f>IF(OwnNeedsInPO="да","ПО","")</f>
        <v>ПО</v>
      </c>
      <c r="H409" s="98" t="s">
        <v>1300</v>
      </c>
      <c r="I409" s="1304"/>
      <c r="J409" s="1304"/>
      <c r="K409" s="1304"/>
      <c r="L409" s="1304"/>
      <c r="M409" s="1304"/>
      <c r="N409" s="1304"/>
      <c r="O409" s="1304"/>
      <c r="P409" s="1442"/>
      <c r="Q409" s="1442"/>
      <c r="R409" s="1442"/>
      <c r="S409" s="1442"/>
      <c r="T409" s="465" cm="1" t="str">
        <f t="array" ref="T409:T409">T408</f>
        <v>false</v>
      </c>
      <c r="U409" s="1442"/>
      <c r="V409" s="1304"/>
      <c r="W409" s="1442"/>
      <c r="X409" s="1563"/>
      <c r="Y409" s="1545"/>
      <c r="Z409" s="1304"/>
      <c r="AA409" s="1304"/>
      <c r="AB409" s="240" t="s">
        <v>1301</v>
      </c>
      <c r="AC409" s="192" t="s">
        <v>1302</v>
      </c>
      <c r="AD409" s="93" t="s">
        <v>1247</v>
      </c>
      <c r="AE409" s="315">
        <f>SUM(AE410:AE412)</f>
        <v>0</v>
      </c>
      <c r="AF409" s="315">
        <f>SUM(AF410:AF412)</f>
        <v>0</v>
      </c>
      <c r="AG409" s="315">
        <f>SUM(AG410:AG412)</f>
        <v>0</v>
      </c>
      <c r="AH409" s="315">
        <f>SUM(AH410:AH412)</f>
        <v>0</v>
      </c>
      <c r="AI409" s="315">
        <f>SUM(AI410:AI412)</f>
        <v>0</v>
      </c>
      <c r="AJ409" s="315">
        <f>SUM(AJ410:AJ412)</f>
        <v>0</v>
      </c>
      <c r="AK409" s="315">
        <f>SUM(AK410:AK412)</f>
        <v>0</v>
      </c>
      <c r="AL409" s="315">
        <f>SUM(AL410:AL412)</f>
        <v>0</v>
      </c>
      <c r="AM409" s="315">
        <f>SUM(AM410:AM412)</f>
        <v>0</v>
      </c>
      <c r="AN409" s="315">
        <f>SUM(AN410:AN412)</f>
        <v>0</v>
      </c>
      <c r="AO409" s="315">
        <f>SUM(AO410:AO412)</f>
        <v>0</v>
      </c>
      <c r="AP409" s="315">
        <f>SUM(AP410:AP412)</f>
        <v>0</v>
      </c>
      <c r="AQ409" s="315">
        <f>SUM(AQ410:AQ412)</f>
        <v>0</v>
      </c>
      <c r="AR409" s="315">
        <f>SUM(AR410:AR412)</f>
        <v>0</v>
      </c>
      <c r="AS409" s="315">
        <f>SUM(AS410:AS412)</f>
        <v>0</v>
      </c>
      <c r="AT409" s="315">
        <f>SUM(AT410:AT412)</f>
        <v>0</v>
      </c>
      <c r="AU409" s="315">
        <f>SUM(AU410:AU412)</f>
        <v>0</v>
      </c>
      <c r="AV409" s="315">
        <f>SUM(AV410:AV412)</f>
        <v>0</v>
      </c>
      <c r="AW409" s="315">
        <f>SUM(AW410:AW412)</f>
        <v>0</v>
      </c>
      <c r="AX409" s="315">
        <f>SUM(AX410:AX412)</f>
        <v>0</v>
      </c>
      <c r="AY409" s="315">
        <f>SUM(AY410:AY412)</f>
        <v>0</v>
      </c>
      <c r="AZ409" s="315">
        <f>SUM(AZ410:AZ412)</f>
        <v>0</v>
      </c>
      <c r="BA409" s="315">
        <f>SUM(BA410:BA412)</f>
        <v>0</v>
      </c>
      <c r="BB409" s="315">
        <f>SUM(BB410:BB412)</f>
        <v>0</v>
      </c>
      <c r="BC409" s="2117"/>
      <c r="BD409" s="1304"/>
      <c r="BE409" s="1304"/>
      <c r="BF409" s="1015" t="s">
        <v>1303</v>
      </c>
    </row>
    <row s="1834" customFormat="1" customHeight="1" ht="14.25" hidden="1">
      <c r="A410" s="1304"/>
      <c r="B410" s="1436"/>
      <c r="C410" s="1304"/>
      <c r="D410" s="1304"/>
      <c r="E410" s="632">
        <v>15</v>
      </c>
      <c r="F410" s="50" cm="1" t="str">
        <f t="array" ref="F410:F410">OFFSET(E410,-1,1)</f>
        <v>4</v>
      </c>
      <c r="G410" s="1304"/>
      <c r="H410" s="98" t="s">
        <v>1304</v>
      </c>
      <c r="I410" s="1304"/>
      <c r="J410" s="1304"/>
      <c r="K410" s="1304"/>
      <c r="L410" s="1304"/>
      <c r="M410" s="1304"/>
      <c r="N410" s="1304"/>
      <c r="O410" s="1304"/>
      <c r="P410" s="1442"/>
      <c r="Q410" s="1442"/>
      <c r="R410" s="1442"/>
      <c r="S410" s="1442"/>
      <c r="T410" s="465" cm="1" t="str">
        <f t="array" ref="T410:T410">T409</f>
        <v>false</v>
      </c>
      <c r="U410" s="1442"/>
      <c r="V410" s="1304"/>
      <c r="W410" s="1442"/>
      <c r="X410" s="1563"/>
      <c r="Y410" s="1545"/>
      <c r="Z410" s="1304"/>
      <c r="AA410" s="1304"/>
      <c r="AB410" s="240" t="s">
        <v>1305</v>
      </c>
      <c r="AC410" s="332" t="s">
        <v>1306</v>
      </c>
      <c r="AD410" s="93" t="s">
        <v>1247</v>
      </c>
      <c r="AE410" s="2113"/>
      <c r="AF410" s="2113"/>
      <c r="AG410" s="2113"/>
      <c r="AH410" s="2113"/>
      <c r="AI410" s="2113"/>
      <c r="AJ410" s="2113"/>
      <c r="AK410" s="2113"/>
      <c r="AL410" s="2113"/>
      <c r="AM410" s="2113"/>
      <c r="AN410" s="2113"/>
      <c r="AO410" s="2113"/>
      <c r="AP410" s="2113"/>
      <c r="AQ410" s="2113"/>
      <c r="AR410" s="2113"/>
      <c r="AS410" s="2113"/>
      <c r="AT410" s="2113"/>
      <c r="AU410" s="2113"/>
      <c r="AV410" s="2113"/>
      <c r="AW410" s="2113"/>
      <c r="AX410" s="2113"/>
      <c r="AY410" s="2113"/>
      <c r="AZ410" s="2113"/>
      <c r="BA410" s="2113"/>
      <c r="BB410" s="2113"/>
      <c r="BC410" s="2117"/>
      <c r="BD410" s="1304"/>
      <c r="BE410" s="1304"/>
      <c r="BF410" s="1015" t="s">
        <v>1307</v>
      </c>
    </row>
    <row s="1834" customFormat="1" customHeight="1" ht="14.25" hidden="1">
      <c r="A411" s="1304"/>
      <c r="B411" s="1436"/>
      <c r="C411" s="1304"/>
      <c r="D411" s="1304"/>
      <c r="E411" s="632">
        <v>15</v>
      </c>
      <c r="F411" s="50" cm="1" t="str">
        <f t="array" ref="F411:F411">OFFSET(E411,-1,1)</f>
        <v>4</v>
      </c>
      <c r="G411" s="1304"/>
      <c r="H411" s="98" t="s">
        <v>1308</v>
      </c>
      <c r="I411" s="1304"/>
      <c r="J411" s="1304"/>
      <c r="K411" s="1304"/>
      <c r="L411" s="1304"/>
      <c r="M411" s="1304"/>
      <c r="N411" s="1304"/>
      <c r="O411" s="1304"/>
      <c r="P411" s="1442"/>
      <c r="Q411" s="1442"/>
      <c r="R411" s="1442"/>
      <c r="S411" s="1442"/>
      <c r="T411" s="465" cm="1" t="str">
        <f t="array" ref="T411:T411">T410</f>
        <v>false</v>
      </c>
      <c r="U411" s="1442"/>
      <c r="V411" s="1304"/>
      <c r="W411" s="1442"/>
      <c r="X411" s="1563"/>
      <c r="Y411" s="1545"/>
      <c r="Z411" s="1304"/>
      <c r="AA411" s="1304"/>
      <c r="AB411" s="240" t="s">
        <v>1309</v>
      </c>
      <c r="AC411" s="332" t="s">
        <v>1310</v>
      </c>
      <c r="AD411" s="93" t="s">
        <v>1247</v>
      </c>
      <c r="AE411" s="2113"/>
      <c r="AF411" s="2113"/>
      <c r="AG411" s="2113"/>
      <c r="AH411" s="2113"/>
      <c r="AI411" s="2113"/>
      <c r="AJ411" s="2113"/>
      <c r="AK411" s="2113"/>
      <c r="AL411" s="2113"/>
      <c r="AM411" s="2113"/>
      <c r="AN411" s="2113"/>
      <c r="AO411" s="2113"/>
      <c r="AP411" s="2113"/>
      <c r="AQ411" s="2113"/>
      <c r="AR411" s="2113"/>
      <c r="AS411" s="2113"/>
      <c r="AT411" s="2113"/>
      <c r="AU411" s="2113"/>
      <c r="AV411" s="2113"/>
      <c r="AW411" s="2113"/>
      <c r="AX411" s="2113"/>
      <c r="AY411" s="2113"/>
      <c r="AZ411" s="2113"/>
      <c r="BA411" s="2113"/>
      <c r="BB411" s="2113"/>
      <c r="BC411" s="2117"/>
      <c r="BD411" s="1304"/>
      <c r="BE411" s="1304"/>
      <c r="BF411" s="1015" t="s">
        <v>1311</v>
      </c>
    </row>
    <row s="1834" customFormat="1" customHeight="1" ht="14.25" hidden="1">
      <c r="A412" s="1304"/>
      <c r="B412" s="1436"/>
      <c r="C412" s="1304"/>
      <c r="D412" s="1304"/>
      <c r="E412" s="632">
        <v>15</v>
      </c>
      <c r="F412" s="50" cm="1" t="str">
        <f t="array" ref="F412:F412">OFFSET(E412,-1,1)</f>
        <v>4</v>
      </c>
      <c r="G412" s="1304"/>
      <c r="H412" s="98" t="s">
        <v>1312</v>
      </c>
      <c r="I412" s="1304"/>
      <c r="J412" s="1304"/>
      <c r="K412" s="1304"/>
      <c r="L412" s="1304"/>
      <c r="M412" s="1304"/>
      <c r="N412" s="1304"/>
      <c r="O412" s="1304"/>
      <c r="P412" s="1442"/>
      <c r="Q412" s="1442"/>
      <c r="R412" s="1442"/>
      <c r="S412" s="1442"/>
      <c r="T412" s="465" cm="1" t="str">
        <f t="array" ref="T412:T412">T411</f>
        <v>false</v>
      </c>
      <c r="U412" s="1442"/>
      <c r="V412" s="1304"/>
      <c r="W412" s="1442"/>
      <c r="X412" s="1563"/>
      <c r="Y412" s="1545"/>
      <c r="Z412" s="1304"/>
      <c r="AA412" s="1304"/>
      <c r="AB412" s="240" t="s">
        <v>1313</v>
      </c>
      <c r="AC412" s="332" t="s">
        <v>1314</v>
      </c>
      <c r="AD412" s="93" t="s">
        <v>1247</v>
      </c>
      <c r="AE412" s="2113"/>
      <c r="AF412" s="2113"/>
      <c r="AG412" s="2113"/>
      <c r="AH412" s="2113"/>
      <c r="AI412" s="2113"/>
      <c r="AJ412" s="2113"/>
      <c r="AK412" s="2113"/>
      <c r="AL412" s="2113"/>
      <c r="AM412" s="2113"/>
      <c r="AN412" s="2113"/>
      <c r="AO412" s="2113"/>
      <c r="AP412" s="2113"/>
      <c r="AQ412" s="2113"/>
      <c r="AR412" s="2113"/>
      <c r="AS412" s="2113"/>
      <c r="AT412" s="2113"/>
      <c r="AU412" s="2113"/>
      <c r="AV412" s="2113"/>
      <c r="AW412" s="2113"/>
      <c r="AX412" s="2113"/>
      <c r="AY412" s="2113"/>
      <c r="AZ412" s="2113"/>
      <c r="BA412" s="2113"/>
      <c r="BB412" s="2113"/>
      <c r="BC412" s="2117"/>
      <c r="BD412" s="1304"/>
      <c r="BE412" s="1304"/>
      <c r="BF412" s="1015" t="s">
        <v>1315</v>
      </c>
    </row>
    <row s="1834" customFormat="1" customHeight="1" ht="14.25" hidden="1">
      <c r="A413" s="1304"/>
      <c r="B413" s="1436"/>
      <c r="C413" s="1304"/>
      <c r="D413" s="1304"/>
      <c r="E413" s="632">
        <v>15</v>
      </c>
      <c r="F413" s="50" cm="1" t="str">
        <f t="array" ref="F413:F413">OFFSET(E413,-1,1)</f>
        <v>4</v>
      </c>
      <c r="G413" s="98" t="s">
        <v>1316</v>
      </c>
      <c r="H413" s="98" t="s">
        <v>1317</v>
      </c>
      <c r="I413" s="1304"/>
      <c r="J413" s="1304"/>
      <c r="K413" s="1304"/>
      <c r="L413" s="1304"/>
      <c r="M413" s="1304"/>
      <c r="N413" s="1304"/>
      <c r="O413" s="1304"/>
      <c r="P413" s="1442"/>
      <c r="Q413" s="1442"/>
      <c r="R413" s="1442"/>
      <c r="S413" s="1442"/>
      <c r="T413" s="465" cm="1" t="str">
        <f t="array" ref="T413:T413">T412</f>
        <v>false</v>
      </c>
      <c r="U413" s="1442"/>
      <c r="V413" s="1304"/>
      <c r="W413" s="1442"/>
      <c r="X413" s="1563"/>
      <c r="Y413" s="1545"/>
      <c r="Z413" s="1304"/>
      <c r="AA413" s="1304"/>
      <c r="AB413" s="240" t="s">
        <v>1318</v>
      </c>
      <c r="AC413" s="192" t="s">
        <v>1319</v>
      </c>
      <c r="AD413" s="93" t="s">
        <v>1247</v>
      </c>
      <c r="AE413" s="315">
        <f>SUM(AE414:AE415)</f>
        <v>0</v>
      </c>
      <c r="AF413" s="315">
        <f>SUM(AF414:AF415)</f>
        <v>0</v>
      </c>
      <c r="AG413" s="315">
        <f>SUM(AG414:AG415)</f>
        <v>0</v>
      </c>
      <c r="AH413" s="315">
        <f>SUM(AH414:AH415)</f>
        <v>0</v>
      </c>
      <c r="AI413" s="315">
        <f>SUM(AI414:AI415)</f>
        <v>0</v>
      </c>
      <c r="AJ413" s="315">
        <f>SUM(AJ414:AJ415)</f>
        <v>0</v>
      </c>
      <c r="AK413" s="315">
        <f>SUM(AK414:AK415)</f>
        <v>0</v>
      </c>
      <c r="AL413" s="315">
        <f>SUM(AL414:AL415)</f>
        <v>0</v>
      </c>
      <c r="AM413" s="315">
        <f>SUM(AM414:AM415)</f>
        <v>0</v>
      </c>
      <c r="AN413" s="315">
        <f>SUM(AN414:AN415)</f>
        <v>0</v>
      </c>
      <c r="AO413" s="315">
        <f>SUM(AO414:AO415)</f>
        <v>0</v>
      </c>
      <c r="AP413" s="315">
        <f>SUM(AP414:AP415)</f>
        <v>0</v>
      </c>
      <c r="AQ413" s="315">
        <f>SUM(AQ414:AQ415)</f>
        <v>0</v>
      </c>
      <c r="AR413" s="315">
        <f>SUM(AR414:AR415)</f>
        <v>0</v>
      </c>
      <c r="AS413" s="315">
        <f>SUM(AS414:AS415)</f>
        <v>0</v>
      </c>
      <c r="AT413" s="315">
        <f>SUM(AT414:AT415)</f>
        <v>0</v>
      </c>
      <c r="AU413" s="315">
        <f>SUM(AU414:AU415)</f>
        <v>0</v>
      </c>
      <c r="AV413" s="315">
        <f>SUM(AV414:AV415)</f>
        <v>0</v>
      </c>
      <c r="AW413" s="315">
        <f>SUM(AW414:AW415)</f>
        <v>0</v>
      </c>
      <c r="AX413" s="315">
        <f>SUM(AX414:AX415)</f>
        <v>0</v>
      </c>
      <c r="AY413" s="315">
        <f>SUM(AY414:AY415)</f>
        <v>0</v>
      </c>
      <c r="AZ413" s="315">
        <f>SUM(AZ414:AZ415)</f>
        <v>0</v>
      </c>
      <c r="BA413" s="315">
        <f>SUM(BA414:BA415)</f>
        <v>0</v>
      </c>
      <c r="BB413" s="315">
        <f>SUM(BB414:BB415)</f>
        <v>0</v>
      </c>
      <c r="BC413" s="2117"/>
      <c r="BD413" s="1304"/>
      <c r="BE413" s="1304"/>
      <c r="BF413" s="1015" t="s">
        <v>1320</v>
      </c>
    </row>
    <row s="1834" customFormat="1" customHeight="1" ht="14.25" hidden="1">
      <c r="A414" s="1304"/>
      <c r="B414" s="1436"/>
      <c r="C414" s="1304"/>
      <c r="D414" s="1304"/>
      <c r="E414" s="632">
        <v>15</v>
      </c>
      <c r="F414" s="50" cm="1" t="str">
        <f t="array" ref="F414:F414">OFFSET(E414,-1,1)</f>
        <v>4</v>
      </c>
      <c r="G414" s="1304"/>
      <c r="H414" s="98" t="s">
        <v>1321</v>
      </c>
      <c r="I414" s="1304"/>
      <c r="J414" s="1304"/>
      <c r="K414" s="1304"/>
      <c r="L414" s="1304"/>
      <c r="M414" s="1304"/>
      <c r="N414" s="1304"/>
      <c r="O414" s="1304"/>
      <c r="P414" s="1442"/>
      <c r="Q414" s="1442"/>
      <c r="R414" s="1442"/>
      <c r="S414" s="1442"/>
      <c r="T414" s="465" cm="1" t="str">
        <f t="array" ref="T414:T414">T413</f>
        <v>false</v>
      </c>
      <c r="U414" s="1442"/>
      <c r="V414" s="1304"/>
      <c r="W414" s="1442"/>
      <c r="X414" s="1563"/>
      <c r="Y414" s="1545"/>
      <c r="Z414" s="1304"/>
      <c r="AA414" s="1304"/>
      <c r="AB414" s="240" t="s">
        <v>1322</v>
      </c>
      <c r="AC414" s="332" t="s">
        <v>1323</v>
      </c>
      <c r="AD414" s="93" t="s">
        <v>1247</v>
      </c>
      <c r="AE414" s="2113"/>
      <c r="AF414" s="2113"/>
      <c r="AG414" s="2113"/>
      <c r="AH414" s="2113"/>
      <c r="AI414" s="2113"/>
      <c r="AJ414" s="2113"/>
      <c r="AK414" s="2113"/>
      <c r="AL414" s="2113"/>
      <c r="AM414" s="2113"/>
      <c r="AN414" s="2113"/>
      <c r="AO414" s="2113"/>
      <c r="AP414" s="2113"/>
      <c r="AQ414" s="2113"/>
      <c r="AR414" s="2113"/>
      <c r="AS414" s="2113"/>
      <c r="AT414" s="2113"/>
      <c r="AU414" s="2113"/>
      <c r="AV414" s="2113"/>
      <c r="AW414" s="2113"/>
      <c r="AX414" s="2113"/>
      <c r="AY414" s="2113"/>
      <c r="AZ414" s="2113"/>
      <c r="BA414" s="2113"/>
      <c r="BB414" s="2113"/>
      <c r="BC414" s="2117"/>
      <c r="BD414" s="1304"/>
      <c r="BE414" s="1304"/>
      <c r="BF414" s="1015" t="s">
        <v>1324</v>
      </c>
    </row>
    <row s="1834" customFormat="1" customHeight="1" ht="14.25" hidden="1">
      <c r="A415" s="1304"/>
      <c r="B415" s="1436"/>
      <c r="C415" s="1304"/>
      <c r="D415" s="1304"/>
      <c r="E415" s="632">
        <v>15</v>
      </c>
      <c r="F415" s="50" cm="1" t="str">
        <f t="array" ref="F415:F415">OFFSET(E415,-1,1)</f>
        <v>4</v>
      </c>
      <c r="G415" s="1304"/>
      <c r="H415" s="98" t="s">
        <v>1325</v>
      </c>
      <c r="I415" s="1304"/>
      <c r="J415" s="1304"/>
      <c r="K415" s="1304"/>
      <c r="L415" s="1304"/>
      <c r="M415" s="1304"/>
      <c r="N415" s="1304"/>
      <c r="O415" s="1304"/>
      <c r="P415" s="1442"/>
      <c r="Q415" s="1442"/>
      <c r="R415" s="1442"/>
      <c r="S415" s="1442"/>
      <c r="T415" s="465" cm="1" t="str">
        <f t="array" ref="T415:T415">T414</f>
        <v>false</v>
      </c>
      <c r="U415" s="1442"/>
      <c r="V415" s="1304"/>
      <c r="W415" s="1442"/>
      <c r="X415" s="1563"/>
      <c r="Y415" s="1545"/>
      <c r="Z415" s="1304"/>
      <c r="AA415" s="1304"/>
      <c r="AB415" s="240" t="s">
        <v>1326</v>
      </c>
      <c r="AC415" s="332" t="s">
        <v>1327</v>
      </c>
      <c r="AD415" s="93" t="s">
        <v>1247</v>
      </c>
      <c r="AE415" s="2113"/>
      <c r="AF415" s="2113"/>
      <c r="AG415" s="2113"/>
      <c r="AH415" s="2113"/>
      <c r="AI415" s="2113"/>
      <c r="AJ415" s="2113"/>
      <c r="AK415" s="2113"/>
      <c r="AL415" s="2113"/>
      <c r="AM415" s="2113"/>
      <c r="AN415" s="2113"/>
      <c r="AO415" s="2113"/>
      <c r="AP415" s="2113"/>
      <c r="AQ415" s="2113"/>
      <c r="AR415" s="2113"/>
      <c r="AS415" s="2113"/>
      <c r="AT415" s="2113"/>
      <c r="AU415" s="2113"/>
      <c r="AV415" s="2113"/>
      <c r="AW415" s="2113"/>
      <c r="AX415" s="2113"/>
      <c r="AY415" s="2113"/>
      <c r="AZ415" s="2113"/>
      <c r="BA415" s="2113"/>
      <c r="BB415" s="2113"/>
      <c r="BC415" s="2117"/>
      <c r="BD415" s="1304"/>
      <c r="BE415" s="1304"/>
      <c r="BF415" s="1015" t="s">
        <v>1328</v>
      </c>
    </row>
    <row s="1834" customFormat="1" customHeight="1" ht="14.25" hidden="1">
      <c r="A416" s="1304"/>
      <c r="B416" s="1436"/>
      <c r="C416" s="1304"/>
      <c r="D416" s="1304"/>
      <c r="E416" s="632">
        <v>15</v>
      </c>
      <c r="F416" s="50" cm="1" t="str">
        <f t="array" ref="F416:F416">OFFSET(E416,-1,1)</f>
        <v>4</v>
      </c>
      <c r="G416" s="98" t="s">
        <v>1316</v>
      </c>
      <c r="H416" s="98" t="s">
        <v>1329</v>
      </c>
      <c r="I416" s="1304"/>
      <c r="J416" s="1304"/>
      <c r="K416" s="1304"/>
      <c r="L416" s="1304"/>
      <c r="M416" s="1304"/>
      <c r="N416" s="1304"/>
      <c r="O416" s="1304"/>
      <c r="P416" s="1442"/>
      <c r="Q416" s="1442"/>
      <c r="R416" s="1442"/>
      <c r="S416" s="1442"/>
      <c r="T416" s="465" cm="1" t="str">
        <f t="array" ref="T416:T416">T415</f>
        <v>false</v>
      </c>
      <c r="U416" s="1442"/>
      <c r="V416" s="1304"/>
      <c r="W416" s="1442"/>
      <c r="X416" s="1563"/>
      <c r="Y416" s="1545"/>
      <c r="Z416" s="1304"/>
      <c r="AA416" s="1304"/>
      <c r="AB416" s="240" t="s">
        <v>1330</v>
      </c>
      <c r="AC416" s="192" t="s">
        <v>1331</v>
      </c>
      <c r="AD416" s="93" t="s">
        <v>1247</v>
      </c>
      <c r="AE416" s="315">
        <f>AE417+AE420+AE423</f>
        <v>0</v>
      </c>
      <c r="AF416" s="315">
        <f>AF417+AF420+AF423</f>
        <v>0</v>
      </c>
      <c r="AG416" s="315">
        <f>AG417+AG420+AG423</f>
        <v>0</v>
      </c>
      <c r="AH416" s="315">
        <f>AH417+AH420+AH423</f>
        <v>0</v>
      </c>
      <c r="AI416" s="315">
        <f>AI417+AI420+AI423</f>
        <v>0</v>
      </c>
      <c r="AJ416" s="315">
        <f>AJ417+AJ420+AJ423</f>
        <v>0</v>
      </c>
      <c r="AK416" s="315">
        <f>AK417+AK420+AK423</f>
        <v>0</v>
      </c>
      <c r="AL416" s="315">
        <f>AL417+AL420+AL423</f>
        <v>0</v>
      </c>
      <c r="AM416" s="315">
        <f>AM417+AM420+AM423</f>
        <v>0</v>
      </c>
      <c r="AN416" s="315">
        <f>AN417+AN420+AN423</f>
        <v>0</v>
      </c>
      <c r="AO416" s="315">
        <f>AO417+AO420+AO423</f>
        <v>0</v>
      </c>
      <c r="AP416" s="315">
        <f>AP417+AP420+AP423</f>
        <v>0</v>
      </c>
      <c r="AQ416" s="315">
        <f>AQ417+AQ420+AQ423</f>
        <v>0</v>
      </c>
      <c r="AR416" s="315">
        <f>AR417+AR420+AR423</f>
        <v>0</v>
      </c>
      <c r="AS416" s="315">
        <f>AS417+AS420+AS423</f>
        <v>0</v>
      </c>
      <c r="AT416" s="315">
        <f>AT417+AT420+AT423</f>
        <v>0</v>
      </c>
      <c r="AU416" s="315">
        <f>AU417+AU420+AU423</f>
        <v>0</v>
      </c>
      <c r="AV416" s="315">
        <f>AV417+AV420+AV423</f>
        <v>0</v>
      </c>
      <c r="AW416" s="315">
        <f>AW417+AW420+AW423</f>
        <v>0</v>
      </c>
      <c r="AX416" s="315">
        <f>AX417+AX420+AX423</f>
        <v>0</v>
      </c>
      <c r="AY416" s="315">
        <f>AY417+AY420+AY423</f>
        <v>0</v>
      </c>
      <c r="AZ416" s="315">
        <f>AZ417+AZ420+AZ423</f>
        <v>0</v>
      </c>
      <c r="BA416" s="315">
        <f>BA417+BA420+BA423</f>
        <v>0</v>
      </c>
      <c r="BB416" s="315">
        <f>BB417+BB420+BB423</f>
        <v>0</v>
      </c>
      <c r="BC416" s="2117"/>
      <c r="BD416" s="1304"/>
      <c r="BE416" s="1304"/>
      <c r="BF416" s="1015" t="s">
        <v>1332</v>
      </c>
    </row>
    <row s="1834" customFormat="1" customHeight="1" ht="14.25" hidden="1">
      <c r="A417" s="1304"/>
      <c r="B417" s="1436"/>
      <c r="C417" s="1304"/>
      <c r="D417" s="1304"/>
      <c r="E417" s="632">
        <v>15</v>
      </c>
      <c r="F417" s="50" cm="1" t="str">
        <f t="array" ref="F417:F417">OFFSET(E417,-1,1)</f>
        <v>4</v>
      </c>
      <c r="G417" s="1304"/>
      <c r="H417" s="98" t="s">
        <v>1333</v>
      </c>
      <c r="I417" s="1304"/>
      <c r="J417" s="1304"/>
      <c r="K417" s="1304"/>
      <c r="L417" s="1304"/>
      <c r="M417" s="1304"/>
      <c r="N417" s="1304"/>
      <c r="O417" s="1304"/>
      <c r="P417" s="1442"/>
      <c r="Q417" s="1442"/>
      <c r="R417" s="1442"/>
      <c r="S417" s="1442"/>
      <c r="T417" s="465" cm="1" t="str">
        <f t="array" ref="T417:T417">T416</f>
        <v>false</v>
      </c>
      <c r="U417" s="1442"/>
      <c r="V417" s="1304"/>
      <c r="W417" s="1442"/>
      <c r="X417" s="1563"/>
      <c r="Y417" s="1545"/>
      <c r="Z417" s="1304"/>
      <c r="AA417" s="1304"/>
      <c r="AB417" s="240" t="s">
        <v>1334</v>
      </c>
      <c r="AC417" s="332" t="s">
        <v>1335</v>
      </c>
      <c r="AD417" s="93" t="s">
        <v>1247</v>
      </c>
      <c r="AE417" s="315">
        <f>SUM(AE418:AE419)</f>
        <v>0</v>
      </c>
      <c r="AF417" s="315">
        <f>SUM(AF418:AF419)</f>
        <v>0</v>
      </c>
      <c r="AG417" s="315">
        <f>SUM(AG418:AG419)</f>
        <v>0</v>
      </c>
      <c r="AH417" s="315">
        <f>SUM(AH418:AH419)</f>
        <v>0</v>
      </c>
      <c r="AI417" s="315">
        <f>SUM(AI418:AI419)</f>
        <v>0</v>
      </c>
      <c r="AJ417" s="315">
        <f>SUM(AJ418:AJ419)</f>
        <v>0</v>
      </c>
      <c r="AK417" s="315">
        <f>SUM(AK418:AK419)</f>
        <v>0</v>
      </c>
      <c r="AL417" s="315">
        <f>SUM(AL418:AL419)</f>
        <v>0</v>
      </c>
      <c r="AM417" s="315">
        <f>SUM(AM418:AM419)</f>
        <v>0</v>
      </c>
      <c r="AN417" s="315">
        <f>SUM(AN418:AN419)</f>
        <v>0</v>
      </c>
      <c r="AO417" s="315">
        <f>SUM(AO418:AO419)</f>
        <v>0</v>
      </c>
      <c r="AP417" s="315">
        <f>SUM(AP418:AP419)</f>
        <v>0</v>
      </c>
      <c r="AQ417" s="315">
        <f>SUM(AQ418:AQ419)</f>
        <v>0</v>
      </c>
      <c r="AR417" s="315">
        <f>SUM(AR418:AR419)</f>
        <v>0</v>
      </c>
      <c r="AS417" s="315">
        <f>SUM(AS418:AS419)</f>
        <v>0</v>
      </c>
      <c r="AT417" s="315">
        <f>SUM(AT418:AT419)</f>
        <v>0</v>
      </c>
      <c r="AU417" s="315">
        <f>SUM(AU418:AU419)</f>
        <v>0</v>
      </c>
      <c r="AV417" s="315">
        <f>SUM(AV418:AV419)</f>
        <v>0</v>
      </c>
      <c r="AW417" s="315">
        <f>SUM(AW418:AW419)</f>
        <v>0</v>
      </c>
      <c r="AX417" s="315">
        <f>SUM(AX418:AX419)</f>
        <v>0</v>
      </c>
      <c r="AY417" s="315">
        <f>SUM(AY418:AY419)</f>
        <v>0</v>
      </c>
      <c r="AZ417" s="315">
        <f>SUM(AZ418:AZ419)</f>
        <v>0</v>
      </c>
      <c r="BA417" s="315">
        <f>SUM(BA418:BA419)</f>
        <v>0</v>
      </c>
      <c r="BB417" s="315">
        <f>SUM(BB418:BB419)</f>
        <v>0</v>
      </c>
      <c r="BC417" s="2117"/>
      <c r="BD417" s="1304"/>
      <c r="BE417" s="1304"/>
      <c r="BF417" s="1015" t="s">
        <v>1336</v>
      </c>
    </row>
    <row s="1834" customFormat="1" customHeight="1" ht="14.25" hidden="1">
      <c r="A418" s="1304"/>
      <c r="B418" s="1436"/>
      <c r="C418" s="1304"/>
      <c r="D418" s="1304"/>
      <c r="E418" s="632">
        <v>15</v>
      </c>
      <c r="F418" s="50" cm="1" t="str">
        <f t="array" ref="F418:F418">OFFSET(E418,-1,1)</f>
        <v>4</v>
      </c>
      <c r="G418" s="1304"/>
      <c r="H418" s="98" t="s">
        <v>1337</v>
      </c>
      <c r="I418" s="1304"/>
      <c r="J418" s="1304"/>
      <c r="K418" s="1304"/>
      <c r="L418" s="1304"/>
      <c r="M418" s="1304"/>
      <c r="N418" s="1304"/>
      <c r="O418" s="1304"/>
      <c r="P418" s="1442"/>
      <c r="Q418" s="1442"/>
      <c r="R418" s="1442"/>
      <c r="S418" s="1442"/>
      <c r="T418" s="465" cm="1" t="str">
        <f t="array" ref="T418:T418">T417</f>
        <v>false</v>
      </c>
      <c r="U418" s="1442"/>
      <c r="V418" s="1304"/>
      <c r="W418" s="1442"/>
      <c r="X418" s="1563"/>
      <c r="Y418" s="1545"/>
      <c r="Z418" s="1304"/>
      <c r="AA418" s="1304"/>
      <c r="AB418" s="240" t="s">
        <v>1338</v>
      </c>
      <c r="AC418" s="333" t="s">
        <v>1323</v>
      </c>
      <c r="AD418" s="93" t="s">
        <v>1247</v>
      </c>
      <c r="AE418" s="2113"/>
      <c r="AF418" s="2113"/>
      <c r="AG418" s="2113"/>
      <c r="AH418" s="2113"/>
      <c r="AI418" s="2113"/>
      <c r="AJ418" s="2113"/>
      <c r="AK418" s="2113"/>
      <c r="AL418" s="2113"/>
      <c r="AM418" s="2113"/>
      <c r="AN418" s="2113"/>
      <c r="AO418" s="2113"/>
      <c r="AP418" s="2113"/>
      <c r="AQ418" s="2113"/>
      <c r="AR418" s="2113"/>
      <c r="AS418" s="2113"/>
      <c r="AT418" s="2113"/>
      <c r="AU418" s="2113"/>
      <c r="AV418" s="2113"/>
      <c r="AW418" s="2113"/>
      <c r="AX418" s="2113"/>
      <c r="AY418" s="2113"/>
      <c r="AZ418" s="2113"/>
      <c r="BA418" s="2113"/>
      <c r="BB418" s="2113"/>
      <c r="BC418" s="2117"/>
      <c r="BD418" s="1304"/>
      <c r="BE418" s="1304"/>
      <c r="BF418" s="1015" t="s">
        <v>1339</v>
      </c>
    </row>
    <row s="1834" customFormat="1" customHeight="1" ht="14.25" hidden="1">
      <c r="A419" s="1304"/>
      <c r="B419" s="1436"/>
      <c r="C419" s="1304"/>
      <c r="D419" s="1304"/>
      <c r="E419" s="632">
        <v>15</v>
      </c>
      <c r="F419" s="50" cm="1" t="str">
        <f t="array" ref="F419:F419">OFFSET(E419,-1,1)</f>
        <v>4</v>
      </c>
      <c r="G419" s="1304"/>
      <c r="H419" s="98" t="s">
        <v>1340</v>
      </c>
      <c r="I419" s="1304"/>
      <c r="J419" s="1304"/>
      <c r="K419" s="1304"/>
      <c r="L419" s="1304"/>
      <c r="M419" s="1304"/>
      <c r="N419" s="1304"/>
      <c r="O419" s="1304"/>
      <c r="P419" s="1442"/>
      <c r="Q419" s="1442"/>
      <c r="R419" s="1442"/>
      <c r="S419" s="1442"/>
      <c r="T419" s="465" cm="1" t="str">
        <f t="array" ref="T419:T419">T418</f>
        <v>false</v>
      </c>
      <c r="U419" s="1442"/>
      <c r="V419" s="1304"/>
      <c r="W419" s="1442"/>
      <c r="X419" s="1563"/>
      <c r="Y419" s="1545"/>
      <c r="Z419" s="1304"/>
      <c r="AA419" s="1304"/>
      <c r="AB419" s="240" t="s">
        <v>1341</v>
      </c>
      <c r="AC419" s="333" t="s">
        <v>1327</v>
      </c>
      <c r="AD419" s="93" t="s">
        <v>1247</v>
      </c>
      <c r="AE419" s="2113"/>
      <c r="AF419" s="2113"/>
      <c r="AG419" s="2113"/>
      <c r="AH419" s="2113"/>
      <c r="AI419" s="2113"/>
      <c r="AJ419" s="2113"/>
      <c r="AK419" s="2113"/>
      <c r="AL419" s="2113"/>
      <c r="AM419" s="2113"/>
      <c r="AN419" s="2113"/>
      <c r="AO419" s="2113"/>
      <c r="AP419" s="2113"/>
      <c r="AQ419" s="2113"/>
      <c r="AR419" s="2113"/>
      <c r="AS419" s="2113"/>
      <c r="AT419" s="2113"/>
      <c r="AU419" s="2113"/>
      <c r="AV419" s="2113"/>
      <c r="AW419" s="2113"/>
      <c r="AX419" s="2113"/>
      <c r="AY419" s="2113"/>
      <c r="AZ419" s="2113"/>
      <c r="BA419" s="2113"/>
      <c r="BB419" s="2113"/>
      <c r="BC419" s="2117"/>
      <c r="BD419" s="1304"/>
      <c r="BE419" s="1304"/>
      <c r="BF419" s="1015" t="s">
        <v>1342</v>
      </c>
    </row>
    <row s="1834" customFormat="1" customHeight="1" ht="14.25" hidden="1">
      <c r="A420" s="1304"/>
      <c r="B420" s="1436"/>
      <c r="C420" s="1304"/>
      <c r="D420" s="1304"/>
      <c r="E420" s="632">
        <v>15</v>
      </c>
      <c r="F420" s="50" cm="1" t="str">
        <f t="array" ref="F420:F420">OFFSET(E420,-1,1)</f>
        <v>4</v>
      </c>
      <c r="G420" s="98" t="s">
        <v>1343</v>
      </c>
      <c r="H420" s="98" t="s">
        <v>1344</v>
      </c>
      <c r="I420" s="1304"/>
      <c r="J420" s="1304"/>
      <c r="K420" s="1304"/>
      <c r="L420" s="1304"/>
      <c r="M420" s="1304"/>
      <c r="N420" s="1304"/>
      <c r="O420" s="1304"/>
      <c r="P420" s="1442"/>
      <c r="Q420" s="1442"/>
      <c r="R420" s="1442"/>
      <c r="S420" s="1442"/>
      <c r="T420" s="465" cm="1" t="str">
        <f t="array" ref="T420:T420">T419</f>
        <v>false</v>
      </c>
      <c r="U420" s="1442"/>
      <c r="V420" s="1304"/>
      <c r="W420" s="1442"/>
      <c r="X420" s="1563"/>
      <c r="Y420" s="1545"/>
      <c r="Z420" s="1304"/>
      <c r="AA420" s="1304"/>
      <c r="AB420" s="240" t="s">
        <v>1345</v>
      </c>
      <c r="AC420" s="332" t="s">
        <v>1346</v>
      </c>
      <c r="AD420" s="93" t="s">
        <v>1247</v>
      </c>
      <c r="AE420" s="315">
        <f>SUM(AE421:AE422)</f>
        <v>0</v>
      </c>
      <c r="AF420" s="315">
        <f>SUM(AF421:AF422)</f>
        <v>0</v>
      </c>
      <c r="AG420" s="315">
        <f>SUM(AG421:AG422)</f>
        <v>0</v>
      </c>
      <c r="AH420" s="315">
        <f>SUM(AH421:AH422)</f>
        <v>0</v>
      </c>
      <c r="AI420" s="315">
        <f>SUM(AI421:AI422)</f>
        <v>0</v>
      </c>
      <c r="AJ420" s="315">
        <f>SUM(AJ421:AJ422)</f>
        <v>0</v>
      </c>
      <c r="AK420" s="315">
        <f>SUM(AK421:AK422)</f>
        <v>0</v>
      </c>
      <c r="AL420" s="315">
        <f>SUM(AL421:AL422)</f>
        <v>0</v>
      </c>
      <c r="AM420" s="315">
        <f>SUM(AM421:AM422)</f>
        <v>0</v>
      </c>
      <c r="AN420" s="315">
        <f>SUM(AN421:AN422)</f>
        <v>0</v>
      </c>
      <c r="AO420" s="315">
        <f>SUM(AO421:AO422)</f>
        <v>0</v>
      </c>
      <c r="AP420" s="315">
        <f>SUM(AP421:AP422)</f>
        <v>0</v>
      </c>
      <c r="AQ420" s="315">
        <f>SUM(AQ421:AQ422)</f>
        <v>0</v>
      </c>
      <c r="AR420" s="315">
        <f>SUM(AR421:AR422)</f>
        <v>0</v>
      </c>
      <c r="AS420" s="315">
        <f>SUM(AS421:AS422)</f>
        <v>0</v>
      </c>
      <c r="AT420" s="315">
        <f>SUM(AT421:AT422)</f>
        <v>0</v>
      </c>
      <c r="AU420" s="315">
        <f>SUM(AU421:AU422)</f>
        <v>0</v>
      </c>
      <c r="AV420" s="315">
        <f>SUM(AV421:AV422)</f>
        <v>0</v>
      </c>
      <c r="AW420" s="315">
        <f>SUM(AW421:AW422)</f>
        <v>0</v>
      </c>
      <c r="AX420" s="315">
        <f>SUM(AX421:AX422)</f>
        <v>0</v>
      </c>
      <c r="AY420" s="315">
        <f>SUM(AY421:AY422)</f>
        <v>0</v>
      </c>
      <c r="AZ420" s="315">
        <f>SUM(AZ421:AZ422)</f>
        <v>0</v>
      </c>
      <c r="BA420" s="315">
        <f>SUM(BA421:BA422)</f>
        <v>0</v>
      </c>
      <c r="BB420" s="315">
        <f>SUM(BB421:BB422)</f>
        <v>0</v>
      </c>
      <c r="BC420" s="2117"/>
      <c r="BD420" s="1304"/>
      <c r="BE420" s="1304"/>
      <c r="BF420" s="1015" t="s">
        <v>1347</v>
      </c>
    </row>
    <row s="1834" customFormat="1" customHeight="1" ht="14.25" hidden="1">
      <c r="A421" s="1304"/>
      <c r="B421" s="1436"/>
      <c r="C421" s="1304"/>
      <c r="D421" s="1304"/>
      <c r="E421" s="632">
        <v>15</v>
      </c>
      <c r="F421" s="50" cm="1" t="str">
        <f t="array" ref="F421:F421">OFFSET(E421,-1,1)</f>
        <v>4</v>
      </c>
      <c r="G421" s="1304"/>
      <c r="H421" s="98" t="s">
        <v>1348</v>
      </c>
      <c r="I421" s="1304"/>
      <c r="J421" s="1304"/>
      <c r="K421" s="1304"/>
      <c r="L421" s="1304"/>
      <c r="M421" s="1304"/>
      <c r="N421" s="1304"/>
      <c r="O421" s="1304"/>
      <c r="P421" s="1442"/>
      <c r="Q421" s="1442"/>
      <c r="R421" s="1442"/>
      <c r="S421" s="1442"/>
      <c r="T421" s="465" cm="1" t="str">
        <f t="array" ref="T421:T421">T420</f>
        <v>false</v>
      </c>
      <c r="U421" s="1442"/>
      <c r="V421" s="1304"/>
      <c r="W421" s="1442"/>
      <c r="X421" s="1563"/>
      <c r="Y421" s="1545"/>
      <c r="Z421" s="1304"/>
      <c r="AA421" s="1304"/>
      <c r="AB421" s="240" t="s">
        <v>1349</v>
      </c>
      <c r="AC421" s="333" t="s">
        <v>1323</v>
      </c>
      <c r="AD421" s="93" t="s">
        <v>1247</v>
      </c>
      <c r="AE421" s="2113"/>
      <c r="AF421" s="2113"/>
      <c r="AG421" s="2113"/>
      <c r="AH421" s="2113"/>
      <c r="AI421" s="2113"/>
      <c r="AJ421" s="2113"/>
      <c r="AK421" s="2113"/>
      <c r="AL421" s="2113"/>
      <c r="AM421" s="2113"/>
      <c r="AN421" s="2113"/>
      <c r="AO421" s="2113"/>
      <c r="AP421" s="2113"/>
      <c r="AQ421" s="2113"/>
      <c r="AR421" s="2113"/>
      <c r="AS421" s="2113"/>
      <c r="AT421" s="2113"/>
      <c r="AU421" s="2113"/>
      <c r="AV421" s="2113"/>
      <c r="AW421" s="2113"/>
      <c r="AX421" s="2113"/>
      <c r="AY421" s="2113"/>
      <c r="AZ421" s="2113"/>
      <c r="BA421" s="2113"/>
      <c r="BB421" s="2113"/>
      <c r="BC421" s="2117"/>
      <c r="BD421" s="1304"/>
      <c r="BE421" s="1304"/>
      <c r="BF421" s="1015" t="s">
        <v>1350</v>
      </c>
    </row>
    <row s="1834" customFormat="1" customHeight="1" ht="14.25" hidden="1">
      <c r="A422" s="1304"/>
      <c r="B422" s="1436"/>
      <c r="C422" s="1304"/>
      <c r="D422" s="1304"/>
      <c r="E422" s="632">
        <v>15</v>
      </c>
      <c r="F422" s="50" cm="1" t="str">
        <f t="array" ref="F422:F422">OFFSET(E422,-1,1)</f>
        <v>4</v>
      </c>
      <c r="G422" s="1304"/>
      <c r="H422" s="98" t="s">
        <v>1351</v>
      </c>
      <c r="I422" s="1304"/>
      <c r="J422" s="1304"/>
      <c r="K422" s="1304"/>
      <c r="L422" s="1304"/>
      <c r="M422" s="1304"/>
      <c r="N422" s="1304"/>
      <c r="O422" s="1304"/>
      <c r="P422" s="1442"/>
      <c r="Q422" s="1442"/>
      <c r="R422" s="1442"/>
      <c r="S422" s="1442"/>
      <c r="T422" s="465" cm="1" t="str">
        <f t="array" ref="T422:T422">T421</f>
        <v>false</v>
      </c>
      <c r="U422" s="1442"/>
      <c r="V422" s="1304"/>
      <c r="W422" s="1442"/>
      <c r="X422" s="1563"/>
      <c r="Y422" s="1545"/>
      <c r="Z422" s="1304"/>
      <c r="AA422" s="1304"/>
      <c r="AB422" s="240" t="s">
        <v>1352</v>
      </c>
      <c r="AC422" s="333" t="s">
        <v>1327</v>
      </c>
      <c r="AD422" s="93" t="s">
        <v>1247</v>
      </c>
      <c r="AE422" s="2113"/>
      <c r="AF422" s="2113"/>
      <c r="AG422" s="2113"/>
      <c r="AH422" s="2113"/>
      <c r="AI422" s="2113"/>
      <c r="AJ422" s="2113"/>
      <c r="AK422" s="2113"/>
      <c r="AL422" s="2113"/>
      <c r="AM422" s="2113"/>
      <c r="AN422" s="2113"/>
      <c r="AO422" s="2113"/>
      <c r="AP422" s="2113"/>
      <c r="AQ422" s="2113"/>
      <c r="AR422" s="2113"/>
      <c r="AS422" s="2113"/>
      <c r="AT422" s="2113"/>
      <c r="AU422" s="2113"/>
      <c r="AV422" s="2113"/>
      <c r="AW422" s="2113"/>
      <c r="AX422" s="2113"/>
      <c r="AY422" s="2113"/>
      <c r="AZ422" s="2113"/>
      <c r="BA422" s="2113"/>
      <c r="BB422" s="2113"/>
      <c r="BC422" s="2117"/>
      <c r="BD422" s="1304"/>
      <c r="BE422" s="1304"/>
      <c r="BF422" s="1015" t="s">
        <v>1353</v>
      </c>
    </row>
    <row s="1834" customFormat="1" customHeight="1" ht="14.25" hidden="1">
      <c r="A423" s="1304"/>
      <c r="B423" s="1436"/>
      <c r="C423" s="1304"/>
      <c r="D423" s="1304"/>
      <c r="E423" s="632">
        <v>15</v>
      </c>
      <c r="F423" s="50" cm="1" t="str">
        <f t="array" ref="F423:F423">OFFSET(E423,-1,1)</f>
        <v>4</v>
      </c>
      <c r="G423" s="1304"/>
      <c r="H423" s="98" t="s">
        <v>1354</v>
      </c>
      <c r="I423" s="1304"/>
      <c r="J423" s="1304"/>
      <c r="K423" s="1304"/>
      <c r="L423" s="1304"/>
      <c r="M423" s="1304"/>
      <c r="N423" s="1304"/>
      <c r="O423" s="1304"/>
      <c r="P423" s="1442"/>
      <c r="Q423" s="1442"/>
      <c r="R423" s="1442"/>
      <c r="S423" s="1442"/>
      <c r="T423" s="465" cm="1" t="str">
        <f t="array" ref="T423:T423">T422</f>
        <v>false</v>
      </c>
      <c r="U423" s="1442"/>
      <c r="V423" s="1304"/>
      <c r="W423" s="1442"/>
      <c r="X423" s="1563"/>
      <c r="Y423" s="1545"/>
      <c r="Z423" s="1304"/>
      <c r="AA423" s="1304"/>
      <c r="AB423" s="240" t="s">
        <v>1355</v>
      </c>
      <c r="AC423" s="332" t="s">
        <v>1356</v>
      </c>
      <c r="AD423" s="93" t="s">
        <v>1247</v>
      </c>
      <c r="AE423" s="315">
        <f>SUM(AE424:AE425)</f>
        <v>0</v>
      </c>
      <c r="AF423" s="315">
        <f>SUM(AF424:AF425)</f>
        <v>0</v>
      </c>
      <c r="AG423" s="315">
        <f>SUM(AG424:AG425)</f>
        <v>0</v>
      </c>
      <c r="AH423" s="315">
        <f>SUM(AH424:AH425)</f>
        <v>0</v>
      </c>
      <c r="AI423" s="315">
        <f>SUM(AI424:AI425)</f>
        <v>0</v>
      </c>
      <c r="AJ423" s="315">
        <f>SUM(AJ424:AJ425)</f>
        <v>0</v>
      </c>
      <c r="AK423" s="315">
        <f>SUM(AK424:AK425)</f>
        <v>0</v>
      </c>
      <c r="AL423" s="315">
        <f>SUM(AL424:AL425)</f>
        <v>0</v>
      </c>
      <c r="AM423" s="315">
        <f>SUM(AM424:AM425)</f>
        <v>0</v>
      </c>
      <c r="AN423" s="315">
        <f>SUM(AN424:AN425)</f>
        <v>0</v>
      </c>
      <c r="AO423" s="315">
        <f>SUM(AO424:AO425)</f>
        <v>0</v>
      </c>
      <c r="AP423" s="315">
        <f>SUM(AP424:AP425)</f>
        <v>0</v>
      </c>
      <c r="AQ423" s="315">
        <f>SUM(AQ424:AQ425)</f>
        <v>0</v>
      </c>
      <c r="AR423" s="315">
        <f>SUM(AR424:AR425)</f>
        <v>0</v>
      </c>
      <c r="AS423" s="315">
        <f>SUM(AS424:AS425)</f>
        <v>0</v>
      </c>
      <c r="AT423" s="315">
        <f>SUM(AT424:AT425)</f>
        <v>0</v>
      </c>
      <c r="AU423" s="315">
        <f>SUM(AU424:AU425)</f>
        <v>0</v>
      </c>
      <c r="AV423" s="315">
        <f>SUM(AV424:AV425)</f>
        <v>0</v>
      </c>
      <c r="AW423" s="315">
        <f>SUM(AW424:AW425)</f>
        <v>0</v>
      </c>
      <c r="AX423" s="315">
        <f>SUM(AX424:AX425)</f>
        <v>0</v>
      </c>
      <c r="AY423" s="315">
        <f>SUM(AY424:AY425)</f>
        <v>0</v>
      </c>
      <c r="AZ423" s="315">
        <f>SUM(AZ424:AZ425)</f>
        <v>0</v>
      </c>
      <c r="BA423" s="315">
        <f>SUM(BA424:BA425)</f>
        <v>0</v>
      </c>
      <c r="BB423" s="315">
        <f>SUM(BB424:BB425)</f>
        <v>0</v>
      </c>
      <c r="BC423" s="2117"/>
      <c r="BD423" s="1304"/>
      <c r="BE423" s="1304"/>
      <c r="BF423" s="1015" t="s">
        <v>1357</v>
      </c>
    </row>
    <row s="1834" customFormat="1" customHeight="1" ht="14.25" hidden="1">
      <c r="A424" s="1304"/>
      <c r="B424" s="1436"/>
      <c r="C424" s="1304"/>
      <c r="D424" s="1304"/>
      <c r="E424" s="632">
        <v>15</v>
      </c>
      <c r="F424" s="50" cm="1" t="str">
        <f t="array" ref="F424:F424">OFFSET(E424,-1,1)</f>
        <v>4</v>
      </c>
      <c r="G424" s="1304"/>
      <c r="H424" s="98" t="s">
        <v>1358</v>
      </c>
      <c r="I424" s="1304"/>
      <c r="J424" s="1304"/>
      <c r="K424" s="1304"/>
      <c r="L424" s="1304"/>
      <c r="M424" s="1304"/>
      <c r="N424" s="1304"/>
      <c r="O424" s="1304"/>
      <c r="P424" s="1442"/>
      <c r="Q424" s="1442"/>
      <c r="R424" s="1442"/>
      <c r="S424" s="1442"/>
      <c r="T424" s="465" cm="1" t="str">
        <f t="array" ref="T424:T424">T423</f>
        <v>false</v>
      </c>
      <c r="U424" s="1442"/>
      <c r="V424" s="1304"/>
      <c r="W424" s="1442"/>
      <c r="X424" s="1563"/>
      <c r="Y424" s="1545"/>
      <c r="Z424" s="1304"/>
      <c r="AA424" s="1304"/>
      <c r="AB424" s="240" t="s">
        <v>1359</v>
      </c>
      <c r="AC424" s="333" t="s">
        <v>1323</v>
      </c>
      <c r="AD424" s="93" t="s">
        <v>1247</v>
      </c>
      <c r="AE424" s="2113"/>
      <c r="AF424" s="2113"/>
      <c r="AG424" s="2113"/>
      <c r="AH424" s="2113"/>
      <c r="AI424" s="2113"/>
      <c r="AJ424" s="2113"/>
      <c r="AK424" s="2113"/>
      <c r="AL424" s="2113"/>
      <c r="AM424" s="2113"/>
      <c r="AN424" s="2113"/>
      <c r="AO424" s="2113"/>
      <c r="AP424" s="2113"/>
      <c r="AQ424" s="2113"/>
      <c r="AR424" s="2113"/>
      <c r="AS424" s="2113"/>
      <c r="AT424" s="2113"/>
      <c r="AU424" s="2113"/>
      <c r="AV424" s="2113"/>
      <c r="AW424" s="2113"/>
      <c r="AX424" s="2113"/>
      <c r="AY424" s="2113"/>
      <c r="AZ424" s="2113"/>
      <c r="BA424" s="2113"/>
      <c r="BB424" s="2113"/>
      <c r="BC424" s="2117"/>
      <c r="BD424" s="1304"/>
      <c r="BE424" s="1304"/>
      <c r="BF424" s="1015" t="s">
        <v>1360</v>
      </c>
    </row>
    <row s="1834" customFormat="1" customHeight="1" ht="14.25" hidden="1">
      <c r="A425" s="1304"/>
      <c r="B425" s="1436"/>
      <c r="C425" s="1304"/>
      <c r="D425" s="1304"/>
      <c r="E425" s="632">
        <v>15</v>
      </c>
      <c r="F425" s="50" cm="1" t="str">
        <f t="array" ref="F425:F425">OFFSET(E425,-1,1)</f>
        <v>4</v>
      </c>
      <c r="G425" s="1304"/>
      <c r="H425" s="98" t="s">
        <v>1361</v>
      </c>
      <c r="I425" s="1304"/>
      <c r="J425" s="1304"/>
      <c r="K425" s="1304"/>
      <c r="L425" s="1304"/>
      <c r="M425" s="1304"/>
      <c r="N425" s="1304"/>
      <c r="O425" s="1304"/>
      <c r="P425" s="1442"/>
      <c r="Q425" s="1442"/>
      <c r="R425" s="1442"/>
      <c r="S425" s="1442"/>
      <c r="T425" s="465" cm="1" t="str">
        <f t="array" ref="T425:T425">T424</f>
        <v>false</v>
      </c>
      <c r="U425" s="1442"/>
      <c r="V425" s="1304"/>
      <c r="W425" s="1442"/>
      <c r="X425" s="1563"/>
      <c r="Y425" s="1545"/>
      <c r="Z425" s="1304"/>
      <c r="AA425" s="1304"/>
      <c r="AB425" s="240" t="s">
        <v>1362</v>
      </c>
      <c r="AC425" s="333" t="s">
        <v>1327</v>
      </c>
      <c r="AD425" s="93" t="s">
        <v>1247</v>
      </c>
      <c r="AE425" s="2113"/>
      <c r="AF425" s="2113"/>
      <c r="AG425" s="2113"/>
      <c r="AH425" s="2113"/>
      <c r="AI425" s="2113"/>
      <c r="AJ425" s="2113"/>
      <c r="AK425" s="2113"/>
      <c r="AL425" s="2113"/>
      <c r="AM425" s="2113"/>
      <c r="AN425" s="2113"/>
      <c r="AO425" s="2113"/>
      <c r="AP425" s="2113"/>
      <c r="AQ425" s="2113"/>
      <c r="AR425" s="2113"/>
      <c r="AS425" s="2113"/>
      <c r="AT425" s="2113"/>
      <c r="AU425" s="2113"/>
      <c r="AV425" s="2113"/>
      <c r="AW425" s="2113"/>
      <c r="AX425" s="2113"/>
      <c r="AY425" s="2113"/>
      <c r="AZ425" s="2113"/>
      <c r="BA425" s="2113"/>
      <c r="BB425" s="2113"/>
      <c r="BC425" s="2070"/>
      <c r="BD425" s="1304"/>
      <c r="BE425" s="1304"/>
      <c r="BF425" s="1015" t="s">
        <v>1363</v>
      </c>
    </row>
    <row s="1834" customFormat="1" customHeight="1" ht="21.75" hidden="1">
      <c r="A426" s="1304"/>
      <c r="B426" s="1436"/>
      <c r="C426" s="1304"/>
      <c r="D426" s="1304"/>
      <c r="E426" s="632">
        <v>22.5</v>
      </c>
      <c r="F426" s="50" cm="1" t="str">
        <f t="array" ref="F426:F426">OFFSET(E426,-1,1)</f>
        <v>4</v>
      </c>
      <c r="G426" s="1304"/>
      <c r="H426" s="98" t="s">
        <v>1364</v>
      </c>
      <c r="I426" s="469"/>
      <c r="J426" s="469"/>
      <c r="K426" s="1304"/>
      <c r="L426" s="1304"/>
      <c r="M426" s="1304"/>
      <c r="N426" s="1304"/>
      <c r="O426" s="1304"/>
      <c r="P426" s="1442"/>
      <c r="Q426" s="1442"/>
      <c r="R426" s="1442"/>
      <c r="S426" s="1442"/>
      <c r="T426" s="465" cm="1" t="str">
        <f t="array" ref="T426:T426">T425</f>
        <v>false</v>
      </c>
      <c r="U426" s="1442"/>
      <c r="V426" s="1304"/>
      <c r="W426" s="1442"/>
      <c r="X426" s="1563"/>
      <c r="Y426" s="1545"/>
      <c r="Z426" s="1304"/>
      <c r="AA426" s="1304"/>
      <c r="AB426" s="240" t="s">
        <v>1365</v>
      </c>
      <c r="AC426" s="334" t="s">
        <v>1366</v>
      </c>
      <c r="AD426" s="93" t="s">
        <v>1247</v>
      </c>
      <c r="AE426" s="2069"/>
      <c r="AF426" s="2069"/>
      <c r="AG426" s="2069"/>
      <c r="AH426" s="2069"/>
      <c r="AI426" s="2069"/>
      <c r="AJ426" s="2069"/>
      <c r="AK426" s="2069"/>
      <c r="AL426" s="2069"/>
      <c r="AM426" s="2069"/>
      <c r="AN426" s="2069"/>
      <c r="AO426" s="2069"/>
      <c r="AP426" s="2069"/>
      <c r="AQ426" s="2069"/>
      <c r="AR426" s="2069"/>
      <c r="AS426" s="2069"/>
      <c r="AT426" s="2069"/>
      <c r="AU426" s="2069"/>
      <c r="AV426" s="2069"/>
      <c r="AW426" s="2069"/>
      <c r="AX426" s="2069"/>
      <c r="AY426" s="2069"/>
      <c r="AZ426" s="2069"/>
      <c r="BA426" s="2069"/>
      <c r="BB426" s="2069"/>
      <c r="BC426" s="2070"/>
      <c r="BD426" s="1304"/>
      <c r="BE426" s="1304"/>
      <c r="BF426" s="1015" t="s">
        <v>1367</v>
      </c>
    </row>
    <row s="1834" customFormat="1" customHeight="1" ht="14.25" hidden="1">
      <c r="A427" s="1304"/>
      <c r="B427" s="1436"/>
      <c r="C427" s="1304"/>
      <c r="D427" s="1304"/>
      <c r="E427" s="632">
        <v>15</v>
      </c>
      <c r="F427" s="349" cm="1" t="str">
        <f t="array" ref="F427:F427">OFFSET(E427,-1,1)</f>
        <v>4</v>
      </c>
      <c r="G427" s="1304"/>
      <c r="H427" s="1304"/>
      <c r="I427" s="1304"/>
      <c r="J427" s="1304"/>
      <c r="K427" s="1304"/>
      <c r="L427" s="1304"/>
      <c r="M427" s="1304"/>
      <c r="N427" s="1304"/>
      <c r="O427" s="1304"/>
      <c r="P427" s="1442"/>
      <c r="Q427" s="1442"/>
      <c r="R427" s="1442"/>
      <c r="S427" s="1442"/>
      <c r="T427" s="465" cm="1" t="str">
        <f t="array" ref="T427:T427">T426</f>
        <v>false</v>
      </c>
      <c r="U427" s="1442"/>
      <c r="V427" s="1304"/>
      <c r="W427" s="1442"/>
      <c r="X427" s="1563"/>
      <c r="Y427" s="1545"/>
      <c r="Z427" s="1304"/>
      <c r="AA427" s="1304"/>
      <c r="AB427" s="240" t="s">
        <v>1368</v>
      </c>
      <c r="AC427" s="334" t="s">
        <v>1369</v>
      </c>
      <c r="AD427" s="93" t="s">
        <v>1247</v>
      </c>
      <c r="AE427" s="2069"/>
      <c r="AF427" s="2069"/>
      <c r="AG427" s="2069"/>
      <c r="AH427" s="2069"/>
      <c r="AI427" s="2069"/>
      <c r="AJ427" s="2069"/>
      <c r="AK427" s="2069"/>
      <c r="AL427" s="2069"/>
      <c r="AM427" s="2069"/>
      <c r="AN427" s="2069"/>
      <c r="AO427" s="2069"/>
      <c r="AP427" s="2069"/>
      <c r="AQ427" s="2069"/>
      <c r="AR427" s="2069"/>
      <c r="AS427" s="2069"/>
      <c r="AT427" s="2069"/>
      <c r="AU427" s="2069"/>
      <c r="AV427" s="2069"/>
      <c r="AW427" s="2069"/>
      <c r="AX427" s="2069"/>
      <c r="AY427" s="2069"/>
      <c r="AZ427" s="2069"/>
      <c r="BA427" s="2069"/>
      <c r="BB427" s="2069"/>
      <c r="BC427" s="2070"/>
      <c r="BD427" s="1304"/>
      <c r="BE427" s="1304"/>
      <c r="BF427" s="1015" t="s">
        <v>1370</v>
      </c>
    </row>
    <row s="1834" customFormat="1" customHeight="1" ht="11.25" hidden="1">
      <c r="A428" s="469"/>
      <c r="B428" s="658"/>
      <c r="C428" s="469"/>
      <c r="D428" s="469"/>
      <c r="E428" s="660" t="s">
        <v>373</v>
      </c>
      <c r="F428" s="1175" cm="1" t="str">
        <f t="array" ref="F428:F428">OFFSET(E428,-1,1)</f>
        <v>4</v>
      </c>
      <c r="G428" s="469"/>
      <c r="H428" s="469"/>
      <c r="I428" s="1834"/>
      <c r="J428" s="1834"/>
      <c r="K428" s="98"/>
      <c r="L428" s="469"/>
      <c r="M428" s="469"/>
      <c r="N428" s="469"/>
      <c r="O428" s="469"/>
      <c r="P428" s="469"/>
      <c r="Q428" s="469"/>
      <c r="R428" s="416"/>
      <c r="S428" s="416"/>
      <c r="T428" s="465" t="b">
        <v>0</v>
      </c>
      <c r="U428" s="469"/>
      <c r="V428" s="469"/>
      <c r="W428" s="469"/>
      <c r="X428" s="1563"/>
      <c r="Y428" s="1545"/>
      <c r="Z428" s="469"/>
      <c r="AA428" s="469"/>
      <c r="AB428" s="1834"/>
      <c r="AC428" s="100"/>
      <c r="AD428" s="100"/>
      <c r="AE428" s="344"/>
      <c r="AF428" s="344"/>
      <c r="AG428" s="344"/>
      <c r="AH428" s="344"/>
      <c r="AI428" s="344"/>
      <c r="AJ428" s="345"/>
      <c r="AK428" s="344"/>
      <c r="AL428" s="344"/>
      <c r="AM428" s="344"/>
      <c r="AN428" s="344"/>
      <c r="AO428" s="344"/>
      <c r="AP428" s="344"/>
      <c r="AQ428" s="344"/>
      <c r="AR428" s="344"/>
      <c r="AS428" s="344"/>
      <c r="AT428" s="344"/>
      <c r="AU428" s="344"/>
      <c r="AV428" s="344"/>
      <c r="AW428" s="344"/>
      <c r="AX428" s="344"/>
      <c r="AY428" s="344"/>
      <c r="AZ428" s="344"/>
      <c r="BA428" s="344"/>
      <c r="BB428" s="344"/>
      <c r="BC428" s="1834"/>
      <c r="BD428" s="1834"/>
      <c r="BE428" s="1834"/>
      <c r="BF428" s="1019"/>
    </row>
    <row s="1834" customFormat="1" customHeight="1" ht="14.25" hidden="1">
      <c r="A429" s="1304"/>
      <c r="B429" s="1436"/>
      <c r="C429" s="1304"/>
      <c r="D429" s="1304"/>
      <c r="E429" s="632">
        <v>15</v>
      </c>
      <c r="F429" s="50" cm="1" t="str">
        <f t="array" ref="F429:F429">OFFSET(E429,-1,1)</f>
        <v>4</v>
      </c>
      <c r="G429" s="1304"/>
      <c r="H429" s="1304"/>
      <c r="I429" s="1304"/>
      <c r="J429" s="1304"/>
      <c r="K429" s="1304"/>
      <c r="L429" s="1304"/>
      <c r="M429" s="1304"/>
      <c r="N429" s="1304"/>
      <c r="O429" s="1304"/>
      <c r="P429" s="1442"/>
      <c r="Q429" s="1442"/>
      <c r="R429" s="416" cm="1" t="str">
        <f t="array" ref="R429:R429">INDEX('Общие сведения'!$AN$179:$AN$250,MATCH($X391,'Общие сведения'!$Z$179:$Z$250,0))</f>
        <v>false</v>
      </c>
      <c r="S429" s="416">
        <f>IF(ISERROR(SEARCH("Водоснабжение",AB391)),FALSE,TRUE)</f>
        <v>0</v>
      </c>
      <c r="T429" s="465">
        <f>AND(X391&gt;0,S429,R429)</f>
        <v>0</v>
      </c>
      <c r="U429" s="1442"/>
      <c r="V429" s="1304"/>
      <c r="W429" s="1442"/>
      <c r="X429" s="1563"/>
      <c r="Y429" s="1545"/>
      <c r="Z429" s="1304"/>
      <c r="AA429" s="1304"/>
      <c r="AB429" s="240" t="s">
        <v>276</v>
      </c>
      <c r="AC429" s="328" t="s">
        <v>1244</v>
      </c>
      <c r="AD429" s="198"/>
      <c r="AE429" s="570" cm="1" t="str">
        <f t="array" ref="AE429:AE429">INDEX('Общие сведения'!$AH$179:$AH$250,MATCH($X391,'Общие сведения'!$Z$179:$Z$250,0))</f>
        <v>без дифференциации</v>
      </c>
      <c r="AF429" s="362"/>
      <c r="AG429" s="362"/>
      <c r="AH429" s="362"/>
      <c r="AI429" s="362"/>
      <c r="AJ429" s="362"/>
      <c r="AK429" s="362"/>
      <c r="AL429" s="362"/>
      <c r="AM429" s="362"/>
      <c r="AN429" s="362"/>
      <c r="AO429" s="362"/>
      <c r="AP429" s="362"/>
      <c r="AQ429" s="362"/>
      <c r="AR429" s="362"/>
      <c r="AS429" s="362"/>
      <c r="AT429" s="362"/>
      <c r="AU429" s="362"/>
      <c r="AV429" s="362"/>
      <c r="AW429" s="362"/>
      <c r="AX429" s="362"/>
      <c r="AY429" s="362"/>
      <c r="AZ429" s="362"/>
      <c r="BA429" s="362"/>
      <c r="BB429" s="363"/>
      <c r="BC429" s="2070"/>
      <c r="BD429" s="1304"/>
      <c r="BE429" s="1304"/>
      <c r="BF429" s="1015" t="s">
        <v>1371</v>
      </c>
    </row>
    <row s="1834" customFormat="1" customHeight="1" ht="14.25" hidden="1">
      <c r="A430" s="1304"/>
      <c r="B430" s="1436"/>
      <c r="C430" s="1304"/>
      <c r="D430" s="1304"/>
      <c r="E430" s="632">
        <v>15</v>
      </c>
      <c r="F430" s="50" cm="1" t="str">
        <f t="array" ref="F430:F430">OFFSET(E430,-1,1)</f>
        <v>4</v>
      </c>
      <c r="G430" s="1304"/>
      <c r="H430" s="98" t="s">
        <v>336</v>
      </c>
      <c r="I430" s="1304"/>
      <c r="J430" s="1304"/>
      <c r="K430" s="1304"/>
      <c r="L430" s="1304"/>
      <c r="M430" s="1304"/>
      <c r="N430" s="1304"/>
      <c r="O430" s="1304"/>
      <c r="P430" s="1442"/>
      <c r="Q430" s="1442"/>
      <c r="R430" s="1442"/>
      <c r="S430" s="1442"/>
      <c r="T430" s="465" cm="1" t="str">
        <f t="array" ref="T430:T430">T429</f>
        <v>false</v>
      </c>
      <c r="U430" s="1442"/>
      <c r="V430" s="1304"/>
      <c r="W430" s="1442"/>
      <c r="X430" s="1563"/>
      <c r="Y430" s="1545"/>
      <c r="Z430" s="1304"/>
      <c r="AA430" s="1304"/>
      <c r="AB430" s="240" t="s">
        <v>285</v>
      </c>
      <c r="AC430" s="335" t="s">
        <v>1372</v>
      </c>
      <c r="AD430" s="93" t="s">
        <v>1247</v>
      </c>
      <c r="AE430" s="346">
        <f>AE434+AE436+AE439+AE442</f>
        <v>0</v>
      </c>
      <c r="AF430" s="346">
        <f>AF434+AF436+AF439+AF442</f>
        <v>0</v>
      </c>
      <c r="AG430" s="346">
        <f>AG434+AG436+AG439+AG442</f>
        <v>0</v>
      </c>
      <c r="AH430" s="346">
        <f>AH434+AH436+AH439+AH442</f>
        <v>0</v>
      </c>
      <c r="AI430" s="346">
        <f>AI434+AI436+AI439+AI442</f>
        <v>0</v>
      </c>
      <c r="AJ430" s="346">
        <f>AJ434+AJ436+AJ439+AJ442</f>
        <v>0</v>
      </c>
      <c r="AK430" s="346">
        <f>AK434+AK436+AK439+AK442</f>
        <v>0</v>
      </c>
      <c r="AL430" s="346">
        <f>AL434+AL436+AL439+AL442</f>
        <v>0</v>
      </c>
      <c r="AM430" s="346">
        <f>AM434+AM436+AM439+AM442</f>
        <v>0</v>
      </c>
      <c r="AN430" s="346">
        <f>AN434+AN436+AN439+AN442</f>
        <v>0</v>
      </c>
      <c r="AO430" s="346">
        <f>AO434+AO436+AO439+AO442</f>
        <v>0</v>
      </c>
      <c r="AP430" s="346">
        <f>AP434+AP436+AP439+AP442</f>
        <v>0</v>
      </c>
      <c r="AQ430" s="346">
        <f>AQ434+AQ436+AQ439+AQ442</f>
        <v>0</v>
      </c>
      <c r="AR430" s="346">
        <f>AR434+AR436+AR439+AR442</f>
        <v>0</v>
      </c>
      <c r="AS430" s="346">
        <f>AS434+AS436+AS439+AS442</f>
        <v>0</v>
      </c>
      <c r="AT430" s="346">
        <f>AT434+AT436+AT439+AT442</f>
        <v>0</v>
      </c>
      <c r="AU430" s="346">
        <f>AU434+AU436+AU439+AU442</f>
        <v>0</v>
      </c>
      <c r="AV430" s="346">
        <f>AV434+AV436+AV439+AV442</f>
        <v>0</v>
      </c>
      <c r="AW430" s="346">
        <f>AW434+AW436+AW439+AW442</f>
        <v>0</v>
      </c>
      <c r="AX430" s="346">
        <f>AX434+AX436+AX439+AX442</f>
        <v>0</v>
      </c>
      <c r="AY430" s="346">
        <f>AY434+AY436+AY439+AY442</f>
        <v>0</v>
      </c>
      <c r="AZ430" s="346">
        <f>AZ434+AZ436+AZ439+AZ442</f>
        <v>0</v>
      </c>
      <c r="BA430" s="346">
        <f>BA434+BA436+BA439+BA442</f>
        <v>0</v>
      </c>
      <c r="BB430" s="346">
        <f>BB434+BB436+BB439+BB442</f>
        <v>0</v>
      </c>
      <c r="BC430" s="2070"/>
      <c r="BD430" s="1304"/>
      <c r="BE430" s="1304"/>
      <c r="BF430" s="1015" t="s">
        <v>1373</v>
      </c>
    </row>
    <row s="1834" customFormat="1" customHeight="1" ht="14.25" hidden="1">
      <c r="A431" s="1304"/>
      <c r="B431" s="1436"/>
      <c r="C431" s="1304"/>
      <c r="D431" s="1304"/>
      <c r="E431" s="632">
        <v>15</v>
      </c>
      <c r="F431" s="50" cm="1" t="str">
        <f t="array" ref="F431:F431">OFFSET(E431,-1,1)</f>
        <v>4</v>
      </c>
      <c r="G431" s="1304"/>
      <c r="H431" s="98" t="s">
        <v>1249</v>
      </c>
      <c r="I431" s="1304"/>
      <c r="J431" s="1304"/>
      <c r="K431" s="1304"/>
      <c r="L431" s="1304"/>
      <c r="M431" s="1304"/>
      <c r="N431" s="1304"/>
      <c r="O431" s="1304"/>
      <c r="P431" s="1442"/>
      <c r="Q431" s="1442"/>
      <c r="R431" s="1442"/>
      <c r="S431" s="1442"/>
      <c r="T431" s="465" cm="1" t="str">
        <f t="array" ref="T431:T431">T430</f>
        <v>false</v>
      </c>
      <c r="U431" s="1442"/>
      <c r="V431" s="1304"/>
      <c r="W431" s="1442"/>
      <c r="X431" s="1563"/>
      <c r="Y431" s="1545"/>
      <c r="Z431" s="1304"/>
      <c r="AA431" s="1304"/>
      <c r="AB431" s="240" t="s">
        <v>1250</v>
      </c>
      <c r="AC431" s="336" t="s">
        <v>1374</v>
      </c>
      <c r="AD431" s="93" t="s">
        <v>1247</v>
      </c>
      <c r="AE431" s="2069"/>
      <c r="AF431" s="2069"/>
      <c r="AG431" s="2069"/>
      <c r="AH431" s="2069"/>
      <c r="AI431" s="2069"/>
      <c r="AJ431" s="2069"/>
      <c r="AK431" s="2069"/>
      <c r="AL431" s="2069"/>
      <c r="AM431" s="2069"/>
      <c r="AN431" s="2069"/>
      <c r="AO431" s="2069"/>
      <c r="AP431" s="2069"/>
      <c r="AQ431" s="2069"/>
      <c r="AR431" s="2069"/>
      <c r="AS431" s="2069"/>
      <c r="AT431" s="2069"/>
      <c r="AU431" s="2069"/>
      <c r="AV431" s="2069"/>
      <c r="AW431" s="2069"/>
      <c r="AX431" s="2069"/>
      <c r="AY431" s="2069"/>
      <c r="AZ431" s="2069"/>
      <c r="BA431" s="2069"/>
      <c r="BB431" s="2069"/>
      <c r="BC431" s="2070"/>
      <c r="BD431" s="1304"/>
      <c r="BE431" s="1304"/>
      <c r="BF431" s="1015" t="s">
        <v>1375</v>
      </c>
    </row>
    <row s="1834" customFormat="1" customHeight="1" ht="14.25" hidden="1">
      <c r="A432" s="1304"/>
      <c r="B432" s="1436"/>
      <c r="C432" s="1304"/>
      <c r="D432" s="1304"/>
      <c r="E432" s="632">
        <v>15</v>
      </c>
      <c r="F432" s="50" cm="1" t="str">
        <f t="array" ref="F432:F432">OFFSET(E432,-1,1)</f>
        <v>4</v>
      </c>
      <c r="G432" s="1304"/>
      <c r="H432" s="98" t="s">
        <v>1253</v>
      </c>
      <c r="I432" s="1304"/>
      <c r="J432" s="1304"/>
      <c r="K432" s="1304"/>
      <c r="L432" s="1304"/>
      <c r="M432" s="1304"/>
      <c r="N432" s="1304"/>
      <c r="O432" s="1304"/>
      <c r="P432" s="1442"/>
      <c r="Q432" s="1442"/>
      <c r="R432" s="1442"/>
      <c r="S432" s="1442"/>
      <c r="T432" s="465" cm="1" t="str">
        <f t="array" ref="T432:T432">T431</f>
        <v>false</v>
      </c>
      <c r="U432" s="1442"/>
      <c r="V432" s="1304"/>
      <c r="W432" s="1442"/>
      <c r="X432" s="1563"/>
      <c r="Y432" s="1545"/>
      <c r="Z432" s="1304"/>
      <c r="AA432" s="1304"/>
      <c r="AB432" s="240" t="s">
        <v>1254</v>
      </c>
      <c r="AC432" s="336" t="s">
        <v>1376</v>
      </c>
      <c r="AD432" s="93" t="s">
        <v>1247</v>
      </c>
      <c r="AE432" s="2069"/>
      <c r="AF432" s="2069"/>
      <c r="AG432" s="2069"/>
      <c r="AH432" s="2069"/>
      <c r="AI432" s="2069"/>
      <c r="AJ432" s="2069"/>
      <c r="AK432" s="2069"/>
      <c r="AL432" s="2069"/>
      <c r="AM432" s="2069"/>
      <c r="AN432" s="2069"/>
      <c r="AO432" s="2069"/>
      <c r="AP432" s="2069"/>
      <c r="AQ432" s="2069"/>
      <c r="AR432" s="2069"/>
      <c r="AS432" s="2069"/>
      <c r="AT432" s="2069"/>
      <c r="AU432" s="2069"/>
      <c r="AV432" s="2069"/>
      <c r="AW432" s="2069"/>
      <c r="AX432" s="2069"/>
      <c r="AY432" s="2069"/>
      <c r="AZ432" s="2069"/>
      <c r="BA432" s="2069"/>
      <c r="BB432" s="2069"/>
      <c r="BC432" s="2070"/>
      <c r="BD432" s="1304"/>
      <c r="BE432" s="1304"/>
      <c r="BF432" s="1015" t="s">
        <v>1377</v>
      </c>
    </row>
    <row s="1834" customFormat="1" customHeight="1" ht="21.75" hidden="1">
      <c r="A433" s="1304"/>
      <c r="B433" s="1436"/>
      <c r="C433" s="1304"/>
      <c r="D433" s="1304"/>
      <c r="E433" s="632">
        <v>22.5</v>
      </c>
      <c r="F433" s="50" cm="1" t="str">
        <f t="array" ref="F433:F433">OFFSET(E433,-1,1)</f>
        <v>4</v>
      </c>
      <c r="G433" s="1304"/>
      <c r="H433" s="98" t="s">
        <v>1257</v>
      </c>
      <c r="I433" s="1304"/>
      <c r="J433" s="1304"/>
      <c r="K433" s="1304"/>
      <c r="L433" s="1304"/>
      <c r="M433" s="1304"/>
      <c r="N433" s="1304"/>
      <c r="O433" s="1304"/>
      <c r="P433" s="1442"/>
      <c r="Q433" s="1442"/>
      <c r="R433" s="1442"/>
      <c r="S433" s="1442"/>
      <c r="T433" s="465" cm="1" t="str">
        <f t="array" ref="T433:T433">T432</f>
        <v>false</v>
      </c>
      <c r="U433" s="1442"/>
      <c r="V433" s="1304"/>
      <c r="W433" s="1442"/>
      <c r="X433" s="1563"/>
      <c r="Y433" s="1545"/>
      <c r="Z433" s="1304"/>
      <c r="AA433" s="1304"/>
      <c r="AB433" s="240" t="s">
        <v>1258</v>
      </c>
      <c r="AC433" s="336" t="s">
        <v>1378</v>
      </c>
      <c r="AD433" s="93" t="s">
        <v>1247</v>
      </c>
      <c r="AE433" s="2069"/>
      <c r="AF433" s="2069"/>
      <c r="AG433" s="2069"/>
      <c r="AH433" s="2069"/>
      <c r="AI433" s="2069"/>
      <c r="AJ433" s="2069"/>
      <c r="AK433" s="2069"/>
      <c r="AL433" s="2069"/>
      <c r="AM433" s="2069"/>
      <c r="AN433" s="2069"/>
      <c r="AO433" s="2069"/>
      <c r="AP433" s="2069"/>
      <c r="AQ433" s="2069"/>
      <c r="AR433" s="2069"/>
      <c r="AS433" s="2069"/>
      <c r="AT433" s="2069"/>
      <c r="AU433" s="2069"/>
      <c r="AV433" s="2069"/>
      <c r="AW433" s="2069"/>
      <c r="AX433" s="2069"/>
      <c r="AY433" s="2069"/>
      <c r="AZ433" s="2069"/>
      <c r="BA433" s="2069"/>
      <c r="BB433" s="2069"/>
      <c r="BC433" s="2070"/>
      <c r="BD433" s="1304"/>
      <c r="BE433" s="1304"/>
      <c r="BF433" s="1015" t="s">
        <v>1379</v>
      </c>
    </row>
    <row s="1834" customFormat="1" customHeight="1" ht="14.25" hidden="1">
      <c r="A434" s="1304"/>
      <c r="B434" s="1436"/>
      <c r="C434" s="1304"/>
      <c r="D434" s="1304"/>
      <c r="E434" s="632">
        <v>15</v>
      </c>
      <c r="F434" s="50" cm="1" t="str">
        <f t="array" ref="F434:F434">OFFSET(E434,-1,1)</f>
        <v>4</v>
      </c>
      <c r="G434" s="1304"/>
      <c r="H434" s="98" t="s">
        <v>335</v>
      </c>
      <c r="I434" s="1304"/>
      <c r="J434" s="1304"/>
      <c r="K434" s="1304"/>
      <c r="L434" s="1304"/>
      <c r="M434" s="1304"/>
      <c r="N434" s="1304"/>
      <c r="O434" s="1304"/>
      <c r="P434" s="1442"/>
      <c r="Q434" s="1442"/>
      <c r="R434" s="1442"/>
      <c r="S434" s="1442"/>
      <c r="T434" s="465" cm="1" t="str">
        <f t="array" ref="T434:T434">T433</f>
        <v>false</v>
      </c>
      <c r="U434" s="1442"/>
      <c r="V434" s="1304"/>
      <c r="W434" s="1442"/>
      <c r="X434" s="1563"/>
      <c r="Y434" s="1545"/>
      <c r="Z434" s="1304"/>
      <c r="AA434" s="1304"/>
      <c r="AB434" s="240" t="s">
        <v>289</v>
      </c>
      <c r="AC434" s="328" t="s">
        <v>1291</v>
      </c>
      <c r="AD434" s="93" t="s">
        <v>1247</v>
      </c>
      <c r="AE434" s="2069"/>
      <c r="AF434" s="2069"/>
      <c r="AG434" s="2069"/>
      <c r="AH434" s="2069"/>
      <c r="AI434" s="2069"/>
      <c r="AJ434" s="2069"/>
      <c r="AK434" s="2069"/>
      <c r="AL434" s="2069"/>
      <c r="AM434" s="2069"/>
      <c r="AN434" s="2069"/>
      <c r="AO434" s="2069"/>
      <c r="AP434" s="2069"/>
      <c r="AQ434" s="2069"/>
      <c r="AR434" s="2069"/>
      <c r="AS434" s="2069"/>
      <c r="AT434" s="2069"/>
      <c r="AU434" s="2069"/>
      <c r="AV434" s="2069"/>
      <c r="AW434" s="2069"/>
      <c r="AX434" s="2069"/>
      <c r="AY434" s="2069"/>
      <c r="AZ434" s="2069"/>
      <c r="BA434" s="2069"/>
      <c r="BB434" s="2069"/>
      <c r="BC434" s="2070"/>
      <c r="BD434" s="1304"/>
      <c r="BE434" s="1304"/>
      <c r="BF434" s="1015" t="s">
        <v>1380</v>
      </c>
    </row>
    <row s="1834" customFormat="1" customHeight="1" ht="14.25" hidden="1">
      <c r="A435" s="1304"/>
      <c r="B435" s="1436"/>
      <c r="C435" s="1304"/>
      <c r="D435" s="1304"/>
      <c r="E435" s="632">
        <v>15</v>
      </c>
      <c r="F435" s="50" cm="1" t="str">
        <f t="array" ref="F435:F435">OFFSET(E435,-1,1)</f>
        <v>4</v>
      </c>
      <c r="G435" s="1304"/>
      <c r="H435" s="98" t="s">
        <v>1263</v>
      </c>
      <c r="I435" s="1304"/>
      <c r="J435" s="1304"/>
      <c r="K435" s="1304"/>
      <c r="L435" s="1304"/>
      <c r="M435" s="1304"/>
      <c r="N435" s="1304"/>
      <c r="O435" s="1304"/>
      <c r="P435" s="1442"/>
      <c r="Q435" s="1442"/>
      <c r="R435" s="1442"/>
      <c r="S435" s="1442"/>
      <c r="T435" s="465" cm="1" t="str">
        <f t="array" ref="T435:T435">T434</f>
        <v>false</v>
      </c>
      <c r="U435" s="1442"/>
      <c r="V435" s="1304"/>
      <c r="W435" s="1442"/>
      <c r="X435" s="1563"/>
      <c r="Y435" s="1545"/>
      <c r="Z435" s="1304"/>
      <c r="AA435" s="1304"/>
      <c r="AB435" s="240" t="s">
        <v>1264</v>
      </c>
      <c r="AC435" s="331" t="s">
        <v>1295</v>
      </c>
      <c r="AD435" s="93" t="s">
        <v>1170</v>
      </c>
      <c r="AE435" s="1940">
        <f>IF(AE430=0,0,AE434/AE430*100)</f>
        <v>0</v>
      </c>
      <c r="AF435" s="1940">
        <f>IF(AF430=0,0,AF434/AF430*100)</f>
        <v>0</v>
      </c>
      <c r="AG435" s="1940">
        <f>IF(AG430=0,0,AG434/AG430*100)</f>
        <v>0</v>
      </c>
      <c r="AH435" s="1940">
        <f>IF(AH430=0,0,AH434/AH430*100)</f>
        <v>0</v>
      </c>
      <c r="AI435" s="1940">
        <f>IF(AI430=0,0,AI434/AI430*100)</f>
        <v>0</v>
      </c>
      <c r="AJ435" s="1940">
        <f>IF(AJ430=0,0,AJ434/AJ430*100)</f>
        <v>0</v>
      </c>
      <c r="AK435" s="1940">
        <f>IF(AK430=0,0,AK434/AK430*100)</f>
        <v>0</v>
      </c>
      <c r="AL435" s="1940">
        <f>IF(AL430=0,0,AL434/AL430*100)</f>
        <v>0</v>
      </c>
      <c r="AM435" s="1940">
        <f>IF(AM430=0,0,AM434/AM430*100)</f>
        <v>0</v>
      </c>
      <c r="AN435" s="1940">
        <f>IF(AN430=0,0,AN434/AN430*100)</f>
        <v>0</v>
      </c>
      <c r="AO435" s="1940">
        <f>IF(AO430=0,0,AO434/AO430*100)</f>
        <v>0</v>
      </c>
      <c r="AP435" s="1940">
        <f>IF(AP430=0,0,AP434/AP430*100)</f>
        <v>0</v>
      </c>
      <c r="AQ435" s="1940">
        <f>IF(AQ430=0,0,AQ434/AQ430*100)</f>
        <v>0</v>
      </c>
      <c r="AR435" s="1940">
        <f>IF(AR430=0,0,AR434/AR430*100)</f>
        <v>0</v>
      </c>
      <c r="AS435" s="1940">
        <f>IF(AS430=0,0,AS434/AS430*100)</f>
        <v>0</v>
      </c>
      <c r="AT435" s="1940">
        <f>IF(AT430=0,0,AT434/AT430*100)</f>
        <v>0</v>
      </c>
      <c r="AU435" s="1940">
        <f>IF(AU430=0,0,AU434/AU430*100)</f>
        <v>0</v>
      </c>
      <c r="AV435" s="1940">
        <f>IF(AV430=0,0,AV434/AV430*100)</f>
        <v>0</v>
      </c>
      <c r="AW435" s="1940">
        <f>IF(AW430=0,0,AW434/AW430*100)</f>
        <v>0</v>
      </c>
      <c r="AX435" s="1940">
        <f>IF(AX430=0,0,AX434/AX430*100)</f>
        <v>0</v>
      </c>
      <c r="AY435" s="1940">
        <f>IF(AY430=0,0,AY434/AY430*100)</f>
        <v>0</v>
      </c>
      <c r="AZ435" s="1940">
        <f>IF(AZ430=0,0,AZ434/AZ430*100)</f>
        <v>0</v>
      </c>
      <c r="BA435" s="1940">
        <f>IF(BA430=0,0,BA434/BA430*100)</f>
        <v>0</v>
      </c>
      <c r="BB435" s="1940">
        <f>IF(BB430=0,0,BB434/BB430*100)</f>
        <v>0</v>
      </c>
      <c r="BC435" s="2117"/>
      <c r="BD435" s="1304"/>
      <c r="BE435" s="1304"/>
      <c r="BF435" s="1015" t="s">
        <v>1381</v>
      </c>
    </row>
    <row s="1834" customFormat="1" customHeight="1" ht="14.25" hidden="1">
      <c r="A436" s="1304"/>
      <c r="B436" s="1436"/>
      <c r="C436" s="1304"/>
      <c r="D436" s="1304"/>
      <c r="E436" s="632">
        <v>15</v>
      </c>
      <c r="F436" s="50" cm="1" t="str">
        <f t="array" ref="F436:F436">OFFSET(E436,-1,1)</f>
        <v>4</v>
      </c>
      <c r="G436" s="1304" t="str">
        <f>IF(OwnNeedsInPO="да","ПО","")</f>
        <v>ПО</v>
      </c>
      <c r="H436" s="98" t="s">
        <v>1225</v>
      </c>
      <c r="I436" s="1304"/>
      <c r="J436" s="1304"/>
      <c r="K436" s="1304"/>
      <c r="L436" s="1304"/>
      <c r="M436" s="1304"/>
      <c r="N436" s="1304"/>
      <c r="O436" s="1304"/>
      <c r="P436" s="1442"/>
      <c r="Q436" s="1442"/>
      <c r="R436" s="1442"/>
      <c r="S436" s="1442"/>
      <c r="T436" s="465" cm="1" t="str">
        <f t="array" ref="T436:T436">T435</f>
        <v>false</v>
      </c>
      <c r="U436" s="1442"/>
      <c r="V436" s="1304"/>
      <c r="W436" s="1442"/>
      <c r="X436" s="1563"/>
      <c r="Y436" s="1545"/>
      <c r="Z436" s="1304"/>
      <c r="AA436" s="1304"/>
      <c r="AB436" s="240" t="s">
        <v>295</v>
      </c>
      <c r="AC436" s="335" t="s">
        <v>1302</v>
      </c>
      <c r="AD436" s="93" t="s">
        <v>1247</v>
      </c>
      <c r="AE436" s="346">
        <f>AE437+AE438</f>
        <v>0</v>
      </c>
      <c r="AF436" s="346">
        <f>AF437+AF438</f>
        <v>0</v>
      </c>
      <c r="AG436" s="346">
        <f>AG437+AG438</f>
        <v>0</v>
      </c>
      <c r="AH436" s="346">
        <f>AH437+AH438</f>
        <v>0</v>
      </c>
      <c r="AI436" s="346">
        <f>AI437+AI438</f>
        <v>0</v>
      </c>
      <c r="AJ436" s="346">
        <f>AJ437+AJ438</f>
        <v>0</v>
      </c>
      <c r="AK436" s="346">
        <f>AK437+AK438</f>
        <v>0</v>
      </c>
      <c r="AL436" s="346">
        <f>AL437+AL438</f>
        <v>0</v>
      </c>
      <c r="AM436" s="346">
        <f>AM437+AM438</f>
        <v>0</v>
      </c>
      <c r="AN436" s="346">
        <f>AN437+AN438</f>
        <v>0</v>
      </c>
      <c r="AO436" s="346">
        <f>AO437+AO438</f>
        <v>0</v>
      </c>
      <c r="AP436" s="346">
        <f>AP437+AP438</f>
        <v>0</v>
      </c>
      <c r="AQ436" s="346">
        <f>AQ437+AQ438</f>
        <v>0</v>
      </c>
      <c r="AR436" s="346">
        <f>AR437+AR438</f>
        <v>0</v>
      </c>
      <c r="AS436" s="346">
        <f>AS437+AS438</f>
        <v>0</v>
      </c>
      <c r="AT436" s="346">
        <f>AT437+AT438</f>
        <v>0</v>
      </c>
      <c r="AU436" s="346">
        <f>AU437+AU438</f>
        <v>0</v>
      </c>
      <c r="AV436" s="346">
        <f>AV437+AV438</f>
        <v>0</v>
      </c>
      <c r="AW436" s="346">
        <f>AW437+AW438</f>
        <v>0</v>
      </c>
      <c r="AX436" s="346">
        <f>AX437+AX438</f>
        <v>0</v>
      </c>
      <c r="AY436" s="346">
        <f>AY437+AY438</f>
        <v>0</v>
      </c>
      <c r="AZ436" s="346">
        <f>AZ437+AZ438</f>
        <v>0</v>
      </c>
      <c r="BA436" s="346">
        <f>BA437+BA438</f>
        <v>0</v>
      </c>
      <c r="BB436" s="346">
        <f>BB437+BB438</f>
        <v>0</v>
      </c>
      <c r="BC436" s="2070"/>
      <c r="BD436" s="1304"/>
      <c r="BE436" s="1304"/>
      <c r="BF436" s="1015" t="s">
        <v>1382</v>
      </c>
    </row>
    <row s="1834" customFormat="1" customHeight="1" ht="14.25" hidden="1">
      <c r="A437" s="1304"/>
      <c r="B437" s="1436"/>
      <c r="C437" s="1304"/>
      <c r="D437" s="1304"/>
      <c r="E437" s="632">
        <v>15</v>
      </c>
      <c r="F437" s="50" cm="1" t="str">
        <f t="array" ref="F437:F437">OFFSET(E437,-1,1)</f>
        <v>4</v>
      </c>
      <c r="G437" s="1304"/>
      <c r="H437" s="98" t="s">
        <v>1383</v>
      </c>
      <c r="I437" s="1304"/>
      <c r="J437" s="1304"/>
      <c r="K437" s="1304"/>
      <c r="L437" s="1304"/>
      <c r="M437" s="1304"/>
      <c r="N437" s="1304"/>
      <c r="O437" s="1304"/>
      <c r="P437" s="1442"/>
      <c r="Q437" s="1442"/>
      <c r="R437" s="1442"/>
      <c r="S437" s="1442"/>
      <c r="T437" s="465" cm="1" t="str">
        <f t="array" ref="T437:T437">T436</f>
        <v>false</v>
      </c>
      <c r="U437" s="1442"/>
      <c r="V437" s="1304"/>
      <c r="W437" s="1442"/>
      <c r="X437" s="1563"/>
      <c r="Y437" s="1545"/>
      <c r="Z437" s="1304"/>
      <c r="AA437" s="1304"/>
      <c r="AB437" s="240" t="s">
        <v>1384</v>
      </c>
      <c r="AC437" s="336" t="s">
        <v>1306</v>
      </c>
      <c r="AD437" s="93" t="s">
        <v>1247</v>
      </c>
      <c r="AE437" s="2069"/>
      <c r="AF437" s="2069"/>
      <c r="AG437" s="2069"/>
      <c r="AH437" s="2069"/>
      <c r="AI437" s="2069"/>
      <c r="AJ437" s="2069"/>
      <c r="AK437" s="2069"/>
      <c r="AL437" s="2069"/>
      <c r="AM437" s="2069"/>
      <c r="AN437" s="2069"/>
      <c r="AO437" s="2069"/>
      <c r="AP437" s="2069"/>
      <c r="AQ437" s="2069"/>
      <c r="AR437" s="2069"/>
      <c r="AS437" s="2069"/>
      <c r="AT437" s="2069"/>
      <c r="AU437" s="2069"/>
      <c r="AV437" s="2069"/>
      <c r="AW437" s="2069"/>
      <c r="AX437" s="2069"/>
      <c r="AY437" s="2069"/>
      <c r="AZ437" s="2069"/>
      <c r="BA437" s="2069"/>
      <c r="BB437" s="2069"/>
      <c r="BC437" s="2070"/>
      <c r="BD437" s="1304"/>
      <c r="BE437" s="1304"/>
      <c r="BF437" s="1015" t="s">
        <v>1385</v>
      </c>
    </row>
    <row s="1834" customFormat="1" customHeight="1" ht="14.25" hidden="1">
      <c r="A438" s="1304"/>
      <c r="B438" s="1436"/>
      <c r="C438" s="1304"/>
      <c r="D438" s="1304"/>
      <c r="E438" s="632">
        <v>15</v>
      </c>
      <c r="F438" s="50" cm="1" t="str">
        <f t="array" ref="F438:F438">OFFSET(E438,-1,1)</f>
        <v>4</v>
      </c>
      <c r="G438" s="1304"/>
      <c r="H438" s="98" t="s">
        <v>1386</v>
      </c>
      <c r="I438" s="1304"/>
      <c r="J438" s="1304"/>
      <c r="K438" s="1304"/>
      <c r="L438" s="1304"/>
      <c r="M438" s="1304"/>
      <c r="N438" s="1304"/>
      <c r="O438" s="1304"/>
      <c r="P438" s="1442"/>
      <c r="Q438" s="1442"/>
      <c r="R438" s="1442"/>
      <c r="S438" s="1442"/>
      <c r="T438" s="465" cm="1" t="str">
        <f t="array" ref="T438:T438">T437</f>
        <v>false</v>
      </c>
      <c r="U438" s="1442"/>
      <c r="V438" s="1304"/>
      <c r="W438" s="1442"/>
      <c r="X438" s="1563"/>
      <c r="Y438" s="1545"/>
      <c r="Z438" s="1304"/>
      <c r="AA438" s="1304"/>
      <c r="AB438" s="240" t="s">
        <v>1387</v>
      </c>
      <c r="AC438" s="336" t="s">
        <v>1310</v>
      </c>
      <c r="AD438" s="93" t="s">
        <v>1247</v>
      </c>
      <c r="AE438" s="2069"/>
      <c r="AF438" s="2069"/>
      <c r="AG438" s="2069"/>
      <c r="AH438" s="2069"/>
      <c r="AI438" s="2069"/>
      <c r="AJ438" s="2069"/>
      <c r="AK438" s="2069"/>
      <c r="AL438" s="2069"/>
      <c r="AM438" s="2069"/>
      <c r="AN438" s="2069"/>
      <c r="AO438" s="2069"/>
      <c r="AP438" s="2069"/>
      <c r="AQ438" s="2069"/>
      <c r="AR438" s="2069"/>
      <c r="AS438" s="2069"/>
      <c r="AT438" s="2069"/>
      <c r="AU438" s="2069"/>
      <c r="AV438" s="2069"/>
      <c r="AW438" s="2069"/>
      <c r="AX438" s="2069"/>
      <c r="AY438" s="2069"/>
      <c r="AZ438" s="2069"/>
      <c r="BA438" s="2069"/>
      <c r="BB438" s="2069"/>
      <c r="BC438" s="2070"/>
      <c r="BD438" s="1304"/>
      <c r="BE438" s="1304"/>
      <c r="BF438" s="1015" t="s">
        <v>1388</v>
      </c>
    </row>
    <row s="1834" customFormat="1" customHeight="1" ht="14.25" hidden="1">
      <c r="A439" s="1304"/>
      <c r="B439" s="1436"/>
      <c r="C439" s="1304"/>
      <c r="D439" s="1304"/>
      <c r="E439" s="632">
        <v>15</v>
      </c>
      <c r="F439" s="50" cm="1" t="str">
        <f t="array" ref="F439:F439">OFFSET(E439,-1,1)</f>
        <v>4</v>
      </c>
      <c r="G439" s="98" t="s">
        <v>1316</v>
      </c>
      <c r="H439" s="98" t="s">
        <v>1228</v>
      </c>
      <c r="I439" s="1304"/>
      <c r="J439" s="1304"/>
      <c r="K439" s="1304"/>
      <c r="L439" s="1304"/>
      <c r="M439" s="1304"/>
      <c r="N439" s="1304"/>
      <c r="O439" s="1304"/>
      <c r="P439" s="1442"/>
      <c r="Q439" s="1442"/>
      <c r="R439" s="1442"/>
      <c r="S439" s="1442"/>
      <c r="T439" s="465" cm="1" t="str">
        <f t="array" ref="T439:T439">T438</f>
        <v>false</v>
      </c>
      <c r="U439" s="1442"/>
      <c r="V439" s="1304"/>
      <c r="W439" s="1442"/>
      <c r="X439" s="1563"/>
      <c r="Y439" s="1545"/>
      <c r="Z439" s="1304"/>
      <c r="AA439" s="1304"/>
      <c r="AB439" s="240" t="s">
        <v>443</v>
      </c>
      <c r="AC439" s="335" t="s">
        <v>1319</v>
      </c>
      <c r="AD439" s="93" t="s">
        <v>1247</v>
      </c>
      <c r="AE439" s="346">
        <f>AE440+AE441</f>
        <v>0</v>
      </c>
      <c r="AF439" s="346">
        <f>AF440+AF441</f>
        <v>0</v>
      </c>
      <c r="AG439" s="346">
        <f>AG440+AG441</f>
        <v>0</v>
      </c>
      <c r="AH439" s="346">
        <f>AH440+AH441</f>
        <v>0</v>
      </c>
      <c r="AI439" s="346">
        <f>AI440+AI441</f>
        <v>0</v>
      </c>
      <c r="AJ439" s="346">
        <f>AJ440+AJ441</f>
        <v>0</v>
      </c>
      <c r="AK439" s="346">
        <f>AK440+AK441</f>
        <v>0</v>
      </c>
      <c r="AL439" s="346">
        <f>AL440+AL441</f>
        <v>0</v>
      </c>
      <c r="AM439" s="346">
        <f>AM440+AM441</f>
        <v>0</v>
      </c>
      <c r="AN439" s="346">
        <f>AN440+AN441</f>
        <v>0</v>
      </c>
      <c r="AO439" s="346">
        <f>AO440+AO441</f>
        <v>0</v>
      </c>
      <c r="AP439" s="346">
        <f>AP440+AP441</f>
        <v>0</v>
      </c>
      <c r="AQ439" s="346">
        <f>AQ440+AQ441</f>
        <v>0</v>
      </c>
      <c r="AR439" s="346">
        <f>AR440+AR441</f>
        <v>0</v>
      </c>
      <c r="AS439" s="346">
        <f>AS440+AS441</f>
        <v>0</v>
      </c>
      <c r="AT439" s="346">
        <f>AT440+AT441</f>
        <v>0</v>
      </c>
      <c r="AU439" s="346">
        <f>AU440+AU441</f>
        <v>0</v>
      </c>
      <c r="AV439" s="346">
        <f>AV440+AV441</f>
        <v>0</v>
      </c>
      <c r="AW439" s="346">
        <f>AW440+AW441</f>
        <v>0</v>
      </c>
      <c r="AX439" s="346">
        <f>AX440+AX441</f>
        <v>0</v>
      </c>
      <c r="AY439" s="346">
        <f>AY440+AY441</f>
        <v>0</v>
      </c>
      <c r="AZ439" s="346">
        <f>AZ440+AZ441</f>
        <v>0</v>
      </c>
      <c r="BA439" s="346">
        <f>BA440+BA441</f>
        <v>0</v>
      </c>
      <c r="BB439" s="346">
        <f>BB440+BB441</f>
        <v>0</v>
      </c>
      <c r="BC439" s="2070"/>
      <c r="BD439" s="1304"/>
      <c r="BE439" s="1304"/>
      <c r="BF439" s="1015" t="s">
        <v>1389</v>
      </c>
    </row>
    <row s="1834" customFormat="1" customHeight="1" ht="14.25" hidden="1">
      <c r="A440" s="1304"/>
      <c r="B440" s="1436"/>
      <c r="C440" s="1304"/>
      <c r="D440" s="1304"/>
      <c r="E440" s="632">
        <v>15</v>
      </c>
      <c r="F440" s="50" cm="1" t="str">
        <f t="array" ref="F440:F440">OFFSET(E440,-1,1)</f>
        <v>4</v>
      </c>
      <c r="G440" s="1304"/>
      <c r="H440" s="98" t="s">
        <v>1390</v>
      </c>
      <c r="I440" s="1304"/>
      <c r="J440" s="1304"/>
      <c r="K440" s="1304"/>
      <c r="L440" s="1304"/>
      <c r="M440" s="1304"/>
      <c r="N440" s="1304"/>
      <c r="O440" s="1304"/>
      <c r="P440" s="1442"/>
      <c r="Q440" s="1442"/>
      <c r="R440" s="1442"/>
      <c r="S440" s="1442"/>
      <c r="T440" s="465" cm="1" t="str">
        <f t="array" ref="T440:T440">T439</f>
        <v>false</v>
      </c>
      <c r="U440" s="1442"/>
      <c r="V440" s="1304"/>
      <c r="W440" s="1442"/>
      <c r="X440" s="1563"/>
      <c r="Y440" s="1545"/>
      <c r="Z440" s="1304"/>
      <c r="AA440" s="1304"/>
      <c r="AB440" s="240" t="s">
        <v>1391</v>
      </c>
      <c r="AC440" s="336" t="s">
        <v>1323</v>
      </c>
      <c r="AD440" s="93" t="s">
        <v>1247</v>
      </c>
      <c r="AE440" s="2069"/>
      <c r="AF440" s="2069"/>
      <c r="AG440" s="2069"/>
      <c r="AH440" s="2069"/>
      <c r="AI440" s="2069"/>
      <c r="AJ440" s="2069"/>
      <c r="AK440" s="2069"/>
      <c r="AL440" s="2069"/>
      <c r="AM440" s="2069"/>
      <c r="AN440" s="2069"/>
      <c r="AO440" s="2069"/>
      <c r="AP440" s="2069"/>
      <c r="AQ440" s="2069"/>
      <c r="AR440" s="2069"/>
      <c r="AS440" s="2069"/>
      <c r="AT440" s="2069"/>
      <c r="AU440" s="2069"/>
      <c r="AV440" s="2069"/>
      <c r="AW440" s="2069"/>
      <c r="AX440" s="2069"/>
      <c r="AY440" s="2069"/>
      <c r="AZ440" s="2069"/>
      <c r="BA440" s="2069"/>
      <c r="BB440" s="2069"/>
      <c r="BC440" s="2070"/>
      <c r="BD440" s="1304"/>
      <c r="BE440" s="1304"/>
      <c r="BF440" s="1015" t="s">
        <v>1392</v>
      </c>
    </row>
    <row s="1834" customFormat="1" customHeight="1" ht="14.25" hidden="1">
      <c r="A441" s="1304"/>
      <c r="B441" s="1436"/>
      <c r="C441" s="1304"/>
      <c r="D441" s="1304"/>
      <c r="E441" s="632">
        <v>15</v>
      </c>
      <c r="F441" s="50" cm="1" t="str">
        <f t="array" ref="F441:F441">OFFSET(E441,-1,1)</f>
        <v>4</v>
      </c>
      <c r="G441" s="1304"/>
      <c r="H441" s="98" t="s">
        <v>1393</v>
      </c>
      <c r="I441" s="1304"/>
      <c r="J441" s="1304"/>
      <c r="K441" s="1304"/>
      <c r="L441" s="1304"/>
      <c r="M441" s="1304"/>
      <c r="N441" s="1304"/>
      <c r="O441" s="1304"/>
      <c r="P441" s="1442"/>
      <c r="Q441" s="1442"/>
      <c r="R441" s="1442"/>
      <c r="S441" s="1442"/>
      <c r="T441" s="465" cm="1" t="str">
        <f t="array" ref="T441:T441">T440</f>
        <v>false</v>
      </c>
      <c r="U441" s="1442"/>
      <c r="V441" s="1304"/>
      <c r="W441" s="1442"/>
      <c r="X441" s="1563"/>
      <c r="Y441" s="1545"/>
      <c r="Z441" s="1304"/>
      <c r="AA441" s="1304"/>
      <c r="AB441" s="240" t="s">
        <v>1394</v>
      </c>
      <c r="AC441" s="336" t="s">
        <v>1327</v>
      </c>
      <c r="AD441" s="93" t="s">
        <v>1247</v>
      </c>
      <c r="AE441" s="2069"/>
      <c r="AF441" s="2069"/>
      <c r="AG441" s="2069"/>
      <c r="AH441" s="2069"/>
      <c r="AI441" s="2069"/>
      <c r="AJ441" s="2069"/>
      <c r="AK441" s="2069"/>
      <c r="AL441" s="2069"/>
      <c r="AM441" s="2069"/>
      <c r="AN441" s="2069"/>
      <c r="AO441" s="2069"/>
      <c r="AP441" s="2069"/>
      <c r="AQ441" s="2069"/>
      <c r="AR441" s="2069"/>
      <c r="AS441" s="2069"/>
      <c r="AT441" s="2069"/>
      <c r="AU441" s="2069"/>
      <c r="AV441" s="2069"/>
      <c r="AW441" s="2069"/>
      <c r="AX441" s="2069"/>
      <c r="AY441" s="2069"/>
      <c r="AZ441" s="2069"/>
      <c r="BA441" s="2069"/>
      <c r="BB441" s="2069"/>
      <c r="BC441" s="2070"/>
      <c r="BD441" s="1304"/>
      <c r="BE441" s="1304"/>
      <c r="BF441" s="1015" t="s">
        <v>1395</v>
      </c>
    </row>
    <row s="1834" customFormat="1" customHeight="1" ht="21.75" hidden="1">
      <c r="A442" s="1304"/>
      <c r="B442" s="1436"/>
      <c r="C442" s="1304"/>
      <c r="D442" s="1304"/>
      <c r="E442" s="632">
        <v>22.5</v>
      </c>
      <c r="F442" s="50" cm="1" t="str">
        <f t="array" ref="F442:F442">OFFSET(E442,-1,1)</f>
        <v>4</v>
      </c>
      <c r="G442" s="1304"/>
      <c r="H442" s="98" t="s">
        <v>1275</v>
      </c>
      <c r="I442" s="469"/>
      <c r="J442" s="469"/>
      <c r="K442" s="1304"/>
      <c r="L442" s="1304"/>
      <c r="M442" s="1304"/>
      <c r="N442" s="1304"/>
      <c r="O442" s="1304"/>
      <c r="P442" s="1442"/>
      <c r="Q442" s="1442"/>
      <c r="R442" s="1442"/>
      <c r="S442" s="1442"/>
      <c r="T442" s="465" cm="1" t="str">
        <f t="array" ref="T442:T442">T441</f>
        <v>false</v>
      </c>
      <c r="U442" s="1442"/>
      <c r="V442" s="1304"/>
      <c r="W442" s="1442"/>
      <c r="X442" s="1563"/>
      <c r="Y442" s="1545"/>
      <c r="Z442" s="1304"/>
      <c r="AA442" s="1304"/>
      <c r="AB442" s="240" t="s">
        <v>446</v>
      </c>
      <c r="AC442" s="337" t="s">
        <v>1366</v>
      </c>
      <c r="AD442" s="93" t="s">
        <v>1247</v>
      </c>
      <c r="AE442" s="2069"/>
      <c r="AF442" s="2069"/>
      <c r="AG442" s="2069"/>
      <c r="AH442" s="2069"/>
      <c r="AI442" s="2069"/>
      <c r="AJ442" s="2069"/>
      <c r="AK442" s="2069"/>
      <c r="AL442" s="2069"/>
      <c r="AM442" s="2069"/>
      <c r="AN442" s="2069"/>
      <c r="AO442" s="2069"/>
      <c r="AP442" s="2069"/>
      <c r="AQ442" s="2069"/>
      <c r="AR442" s="2069"/>
      <c r="AS442" s="2069"/>
      <c r="AT442" s="2069"/>
      <c r="AU442" s="2069"/>
      <c r="AV442" s="2069"/>
      <c r="AW442" s="2069"/>
      <c r="AX442" s="2069"/>
      <c r="AY442" s="2069"/>
      <c r="AZ442" s="2069"/>
      <c r="BA442" s="2069"/>
      <c r="BB442" s="2069"/>
      <c r="BC442" s="2070"/>
      <c r="BD442" s="1304"/>
      <c r="BE442" s="1304"/>
      <c r="BF442" s="1015" t="s">
        <v>1396</v>
      </c>
    </row>
    <row s="1834" customFormat="1" customHeight="1" ht="14.25" hidden="1">
      <c r="A443" s="1304"/>
      <c r="B443" s="1436"/>
      <c r="C443" s="1304"/>
      <c r="D443" s="1304"/>
      <c r="E443" s="632">
        <v>15</v>
      </c>
      <c r="F443" s="349" cm="1" t="str">
        <f t="array" ref="F443:F443">OFFSET(E443,-1,1)</f>
        <v>4</v>
      </c>
      <c r="G443" s="1304"/>
      <c r="H443" s="1304"/>
      <c r="I443" s="1304"/>
      <c r="J443" s="1304"/>
      <c r="K443" s="1304"/>
      <c r="L443" s="1304"/>
      <c r="M443" s="1304"/>
      <c r="N443" s="1304"/>
      <c r="O443" s="1304"/>
      <c r="P443" s="1442"/>
      <c r="Q443" s="1442"/>
      <c r="R443" s="1442"/>
      <c r="S443" s="1442"/>
      <c r="T443" s="465" cm="1" t="str">
        <f t="array" ref="T443:T443">T442</f>
        <v>false</v>
      </c>
      <c r="U443" s="1442"/>
      <c r="V443" s="1304"/>
      <c r="W443" s="1442"/>
      <c r="X443" s="1563"/>
      <c r="Y443" s="1545"/>
      <c r="Z443" s="1304"/>
      <c r="AA443" s="1304"/>
      <c r="AB443" s="240" t="s">
        <v>1368</v>
      </c>
      <c r="AC443" s="334" t="s">
        <v>1369</v>
      </c>
      <c r="AD443" s="93" t="s">
        <v>1247</v>
      </c>
      <c r="AE443" s="2069"/>
      <c r="AF443" s="2069"/>
      <c r="AG443" s="2069"/>
      <c r="AH443" s="2069"/>
      <c r="AI443" s="2069"/>
      <c r="AJ443" s="2069"/>
      <c r="AK443" s="2069"/>
      <c r="AL443" s="2069"/>
      <c r="AM443" s="2069"/>
      <c r="AN443" s="2069"/>
      <c r="AO443" s="2069"/>
      <c r="AP443" s="2069"/>
      <c r="AQ443" s="2069"/>
      <c r="AR443" s="2069"/>
      <c r="AS443" s="2069"/>
      <c r="AT443" s="2069"/>
      <c r="AU443" s="2069"/>
      <c r="AV443" s="2069"/>
      <c r="AW443" s="2069"/>
      <c r="AX443" s="2069"/>
      <c r="AY443" s="2069"/>
      <c r="AZ443" s="2069"/>
      <c r="BA443" s="2069"/>
      <c r="BB443" s="2069"/>
      <c r="BC443" s="2070"/>
      <c r="BD443" s="1304"/>
      <c r="BE443" s="1304"/>
      <c r="BF443" s="1015" t="s">
        <v>1397</v>
      </c>
    </row>
    <row s="1834" customFormat="1" customHeight="1" ht="11.25" hidden="1">
      <c r="A444" s="469"/>
      <c r="B444" s="658"/>
      <c r="C444" s="469"/>
      <c r="D444" s="469"/>
      <c r="E444" s="660" t="s">
        <v>373</v>
      </c>
      <c r="F444" s="1175" cm="1" t="str">
        <f t="array" ref="F444:F444">OFFSET(E444,-1,1)</f>
        <v>4</v>
      </c>
      <c r="G444" s="469"/>
      <c r="H444" s="469"/>
      <c r="I444" s="1834"/>
      <c r="J444" s="1834"/>
      <c r="K444" s="98"/>
      <c r="L444" s="469"/>
      <c r="M444" s="469"/>
      <c r="N444" s="469"/>
      <c r="O444" s="469"/>
      <c r="P444" s="469"/>
      <c r="Q444" s="469"/>
      <c r="R444" s="416"/>
      <c r="S444" s="469"/>
      <c r="T444" s="465" t="b">
        <v>0</v>
      </c>
      <c r="U444" s="469"/>
      <c r="V444" s="469"/>
      <c r="W444" s="469"/>
      <c r="X444" s="1563"/>
      <c r="Y444" s="1545"/>
      <c r="Z444" s="469"/>
      <c r="AA444" s="469"/>
      <c r="AB444" s="1834"/>
      <c r="AC444" s="100"/>
      <c r="AD444" s="100"/>
      <c r="AE444" s="344"/>
      <c r="AF444" s="344"/>
      <c r="AG444" s="344"/>
      <c r="AH444" s="344"/>
      <c r="AI444" s="344"/>
      <c r="AJ444" s="345"/>
      <c r="AK444" s="344"/>
      <c r="AL444" s="344"/>
      <c r="AM444" s="344"/>
      <c r="AN444" s="344"/>
      <c r="AO444" s="344"/>
      <c r="AP444" s="344"/>
      <c r="AQ444" s="344"/>
      <c r="AR444" s="344"/>
      <c r="AS444" s="344"/>
      <c r="AT444" s="344"/>
      <c r="AU444" s="344"/>
      <c r="AV444" s="344"/>
      <c r="AW444" s="344"/>
      <c r="AX444" s="344"/>
      <c r="AY444" s="344"/>
      <c r="AZ444" s="344"/>
      <c r="BA444" s="344"/>
      <c r="BB444" s="344"/>
      <c r="BC444" s="1834"/>
      <c r="BD444" s="1834"/>
      <c r="BE444" s="1834"/>
      <c r="BF444" s="1019"/>
    </row>
    <row s="1834" customFormat="1" customHeight="1" ht="14.25">
      <c r="A445" s="1304"/>
      <c r="B445" s="1436"/>
      <c r="C445" s="1304"/>
      <c r="D445" s="1304"/>
      <c r="E445" s="632">
        <v>15</v>
      </c>
      <c r="F445" s="50" cm="1" t="str">
        <f t="array" ref="F445:F445">OFFSET(E445,-1,1)</f>
        <v>4</v>
      </c>
      <c r="G445" s="1304"/>
      <c r="H445" s="1304"/>
      <c r="I445" s="1304"/>
      <c r="J445" s="1304"/>
      <c r="K445" s="1304"/>
      <c r="L445" s="1304"/>
      <c r="M445" s="1304"/>
      <c r="N445" s="1304"/>
      <c r="O445" s="1304"/>
      <c r="P445" s="1442"/>
      <c r="Q445" s="1442"/>
      <c r="R445" s="416" cm="1" t="str">
        <f t="array" ref="R445:R445">INDEX('Общие сведения'!$AN$179:$AN$250,MATCH($X391,'Общие сведения'!$Z$179:$Z$250,0))</f>
        <v>false</v>
      </c>
      <c r="S445" s="482">
        <f>IF(ISERROR(SEARCH("Водоотведение",AB391)),FALSE,TRUE)</f>
        <v>1</v>
      </c>
      <c r="T445" s="465">
        <f>AND(X391&gt;0,S445,NOT(R445))</f>
        <v>1</v>
      </c>
      <c r="U445" s="1442"/>
      <c r="V445" s="1304"/>
      <c r="W445" s="1442"/>
      <c r="X445" s="1563"/>
      <c r="Y445" s="1545"/>
      <c r="Z445" s="1304"/>
      <c r="AA445" s="1304"/>
      <c r="AB445" s="240" t="s">
        <v>276</v>
      </c>
      <c r="AC445" s="137" t="s">
        <v>1398</v>
      </c>
      <c r="AD445" s="197"/>
      <c r="AE445" s="570" cm="1" t="str">
        <f t="array" ref="AE445:AE445">INDEX('Общие сведения'!$AH$179:$AH$250,MATCH($X391,'Общие сведения'!$Z$179:$Z$250,0))</f>
        <v>без дифференциации</v>
      </c>
      <c r="AF445" s="362"/>
      <c r="AG445" s="362"/>
      <c r="AH445" s="362"/>
      <c r="AI445" s="362"/>
      <c r="AJ445" s="362"/>
      <c r="AK445" s="362"/>
      <c r="AL445" s="362"/>
      <c r="AM445" s="362"/>
      <c r="AN445" s="362"/>
      <c r="AO445" s="362"/>
      <c r="AP445" s="362"/>
      <c r="AQ445" s="362"/>
      <c r="AR445" s="362"/>
      <c r="AS445" s="362"/>
      <c r="AT445" s="362"/>
      <c r="AU445" s="362"/>
      <c r="AV445" s="362"/>
      <c r="AW445" s="362"/>
      <c r="AX445" s="362"/>
      <c r="AY445" s="362"/>
      <c r="AZ445" s="362"/>
      <c r="BA445" s="362"/>
      <c r="BB445" s="363"/>
      <c r="BC445" s="200"/>
      <c r="BD445" s="1304"/>
      <c r="BE445" s="1304"/>
      <c r="BF445" s="1015" t="s">
        <v>1399</v>
      </c>
    </row>
    <row s="1834" customFormat="1" customHeight="1" ht="54.75">
      <c r="A446" s="1304"/>
      <c r="B446" s="1436"/>
      <c r="C446" s="1304"/>
      <c r="D446" s="1304"/>
      <c r="E446" s="632">
        <v>15</v>
      </c>
      <c r="F446" s="50" cm="1" t="str">
        <f t="array" ref="F446:F446">OFFSET(E446,-1,1)</f>
        <v>4</v>
      </c>
      <c r="G446" s="1304"/>
      <c r="H446" s="98" t="s">
        <v>336</v>
      </c>
      <c r="I446" s="1304"/>
      <c r="J446" s="1304"/>
      <c r="K446" s="1304"/>
      <c r="L446" s="1304"/>
      <c r="M446" s="1304"/>
      <c r="N446" s="1304"/>
      <c r="O446" s="1304"/>
      <c r="P446" s="1442"/>
      <c r="Q446" s="1442"/>
      <c r="R446" s="1442"/>
      <c r="S446" s="1442"/>
      <c r="T446" s="465" cm="1" t="str">
        <f t="array" ref="T446:T446">T445</f>
        <v>true</v>
      </c>
      <c r="U446" s="1442"/>
      <c r="V446" s="1304"/>
      <c r="W446" s="1442"/>
      <c r="X446" s="1563"/>
      <c r="Y446" s="1545"/>
      <c r="Z446" s="1304"/>
      <c r="AA446" s="1304"/>
      <c r="AB446" s="240" t="s">
        <v>285</v>
      </c>
      <c r="AC446" s="137" t="s">
        <v>1400</v>
      </c>
      <c r="AD446" s="93" t="s">
        <v>1247</v>
      </c>
      <c r="AE446" s="347">
        <f>AE447+AE448+AE461</f>
        <v>0</v>
      </c>
      <c r="AF446" s="347">
        <f>AF447+AF448+AF461</f>
        <v>0</v>
      </c>
      <c r="AG446" s="347">
        <f>AG447+AG448+AG461</f>
        <v>0</v>
      </c>
      <c r="AH446" s="347">
        <f>AH447+AH448+AH461</f>
        <v>0</v>
      </c>
      <c r="AI446" s="347">
        <f>AI447+AI448+AI461</f>
        <v>1025.10255</v>
      </c>
      <c r="AJ446" s="347">
        <f>AJ447+AJ448+AJ461</f>
        <v>1025.10255</v>
      </c>
      <c r="AK446" s="347">
        <f>AK447+AK448+AK461</f>
        <v>1025.10255</v>
      </c>
      <c r="AL446" s="347">
        <f>AL447+AL448+AL461</f>
        <v>1025.10255</v>
      </c>
      <c r="AM446" s="347">
        <f>AM447+AM448+AM461</f>
        <v>1025.10255</v>
      </c>
      <c r="AN446" s="347">
        <f>AN447+AN448+AN461</f>
        <v>0</v>
      </c>
      <c r="AO446" s="347">
        <f>AO447+AO448+AO461</f>
        <v>0</v>
      </c>
      <c r="AP446" s="347">
        <f>AP447+AP448+AP461</f>
        <v>0</v>
      </c>
      <c r="AQ446" s="347">
        <f>AQ447+AQ448+AQ461</f>
        <v>0</v>
      </c>
      <c r="AR446" s="347">
        <f>AR447+AR448+AR461</f>
        <v>0</v>
      </c>
      <c r="AS446" s="347">
        <f>AS447+AS448+AS461</f>
        <v>1025.10255</v>
      </c>
      <c r="AT446" s="347">
        <f>AT447+AT448+AT461</f>
        <v>1025.10255</v>
      </c>
      <c r="AU446" s="347">
        <f>AU447+AU448+AU461</f>
        <v>1025.10255</v>
      </c>
      <c r="AV446" s="347">
        <f>AV447+AV448+AV461</f>
        <v>1025.10255</v>
      </c>
      <c r="AW446" s="347">
        <f>AW447+AW448+AW461</f>
        <v>1025.10255</v>
      </c>
      <c r="AX446" s="347">
        <f>AX447+AX448+AX461</f>
        <v>0</v>
      </c>
      <c r="AY446" s="347">
        <f>AY447+AY448+AY461</f>
        <v>0</v>
      </c>
      <c r="AZ446" s="347">
        <f>AZ447+AZ448+AZ461</f>
        <v>0</v>
      </c>
      <c r="BA446" s="347">
        <f>BA447+BA448+BA461</f>
        <v>0</v>
      </c>
      <c r="BB446" s="347">
        <f>BB447+BB448+BB461</f>
        <v>0</v>
      </c>
      <c r="BC446" s="200" t="s">
        <v>1486</v>
      </c>
      <c r="BD446" s="1304"/>
      <c r="BE446" s="1304"/>
      <c r="BF446" s="1015" t="s">
        <v>1401</v>
      </c>
    </row>
    <row s="1834" customFormat="1" customHeight="1" ht="14.25">
      <c r="A447" s="1304"/>
      <c r="B447" s="1436"/>
      <c r="C447" s="1304"/>
      <c r="D447" s="1304"/>
      <c r="E447" s="632">
        <v>15</v>
      </c>
      <c r="F447" s="50" cm="1" t="str">
        <f t="array" ref="F447:F447">OFFSET(E447,-1,1)</f>
        <v>4</v>
      </c>
      <c r="G447" s="98" t="str">
        <f>IF(OwnNeedsInPO="да","ПО","")</f>
        <v>ПО</v>
      </c>
      <c r="H447" s="98" t="s">
        <v>335</v>
      </c>
      <c r="I447" s="1304"/>
      <c r="J447" s="1304"/>
      <c r="K447" s="1304"/>
      <c r="L447" s="1304"/>
      <c r="M447" s="1304"/>
      <c r="N447" s="1304"/>
      <c r="O447" s="1304"/>
      <c r="P447" s="1442"/>
      <c r="Q447" s="1442"/>
      <c r="R447" s="1442"/>
      <c r="S447" s="1442"/>
      <c r="T447" s="465" cm="1" t="str">
        <f t="array" ref="T447:T447">T446</f>
        <v>true</v>
      </c>
      <c r="U447" s="1442"/>
      <c r="V447" s="1304"/>
      <c r="W447" s="1442"/>
      <c r="X447" s="1563"/>
      <c r="Y447" s="1545"/>
      <c r="Z447" s="1304"/>
      <c r="AA447" s="1304"/>
      <c r="AB447" s="240" t="s">
        <v>289</v>
      </c>
      <c r="AC447" s="137" t="s">
        <v>1402</v>
      </c>
      <c r="AD447" s="93" t="s">
        <v>1247</v>
      </c>
      <c r="AE447" s="276"/>
      <c r="AF447" s="276"/>
      <c r="AG447" s="276"/>
      <c r="AH447" s="276"/>
      <c r="AI447" s="276">
        <v>0.94984</v>
      </c>
      <c r="AJ447" s="276">
        <v>0.94984</v>
      </c>
      <c r="AK447" s="276">
        <v>0.94984</v>
      </c>
      <c r="AL447" s="276">
        <v>0.94984</v>
      </c>
      <c r="AM447" s="276">
        <v>0.94984</v>
      </c>
      <c r="AN447" s="2069"/>
      <c r="AO447" s="2069"/>
      <c r="AP447" s="2069"/>
      <c r="AQ447" s="2069"/>
      <c r="AR447" s="2069"/>
      <c r="AS447" s="276">
        <v>0.94984</v>
      </c>
      <c r="AT447" s="276">
        <v>0.94984</v>
      </c>
      <c r="AU447" s="276">
        <v>0.94984</v>
      </c>
      <c r="AV447" s="276">
        <v>0.94984</v>
      </c>
      <c r="AW447" s="276">
        <v>0.94984</v>
      </c>
      <c r="AX447" s="2069"/>
      <c r="AY447" s="2069"/>
      <c r="AZ447" s="2069"/>
      <c r="BA447" s="2069"/>
      <c r="BB447" s="2069"/>
      <c r="BC447" s="200"/>
      <c r="BD447" s="1304"/>
      <c r="BE447" s="1304"/>
      <c r="BF447" s="1015" t="s">
        <v>1403</v>
      </c>
    </row>
    <row s="1834" customFormat="1" customHeight="1" ht="54.75">
      <c r="A448" s="1304"/>
      <c r="B448" s="1436"/>
      <c r="C448" s="1304"/>
      <c r="D448" s="1304"/>
      <c r="E448" s="632">
        <v>15</v>
      </c>
      <c r="F448" s="50" cm="1" t="str">
        <f t="array" ref="F448:F448">OFFSET(E448,-1,1)</f>
        <v>4</v>
      </c>
      <c r="G448" s="98" t="s">
        <v>1316</v>
      </c>
      <c r="H448" s="98" t="s">
        <v>1225</v>
      </c>
      <c r="I448" s="1304"/>
      <c r="J448" s="1304"/>
      <c r="K448" s="1304"/>
      <c r="L448" s="1304"/>
      <c r="M448" s="1304"/>
      <c r="N448" s="1304"/>
      <c r="O448" s="1304"/>
      <c r="P448" s="1442"/>
      <c r="Q448" s="1442"/>
      <c r="R448" s="1442"/>
      <c r="S448" s="1442"/>
      <c r="T448" s="465" cm="1" t="str">
        <f t="array" ref="T448:T448">T447</f>
        <v>true</v>
      </c>
      <c r="U448" s="1442"/>
      <c r="V448" s="1304"/>
      <c r="W448" s="1442"/>
      <c r="X448" s="1563"/>
      <c r="Y448" s="1545"/>
      <c r="Z448" s="1304"/>
      <c r="AA448" s="1304"/>
      <c r="AB448" s="240" t="s">
        <v>295</v>
      </c>
      <c r="AC448" s="138" t="s">
        <v>1404</v>
      </c>
      <c r="AD448" s="93" t="s">
        <v>1247</v>
      </c>
      <c r="AE448" s="346">
        <f>AE449+AE452+AE455+AE458</f>
        <v>0</v>
      </c>
      <c r="AF448" s="346">
        <f>AF449+AF452+AF455+AF458</f>
        <v>0</v>
      </c>
      <c r="AG448" s="346">
        <f>AG449+AG452+AG455+AG458</f>
        <v>0</v>
      </c>
      <c r="AH448" s="346">
        <f>AH449+AH452+AH455+AH458</f>
        <v>0</v>
      </c>
      <c r="AI448" s="346">
        <f>AI449+AI452+AI455+AI458</f>
        <v>1024.15271</v>
      </c>
      <c r="AJ448" s="346">
        <f>AJ449+AJ452+AJ455+AJ458</f>
        <v>1024.15271</v>
      </c>
      <c r="AK448" s="346">
        <f>AK449+AK452+AK455+AK458</f>
        <v>1024.15271</v>
      </c>
      <c r="AL448" s="346">
        <f>AL449+AL452+AL455+AL458</f>
        <v>1024.15271</v>
      </c>
      <c r="AM448" s="346">
        <f>AM449+AM452+AM455+AM458</f>
        <v>1024.15271</v>
      </c>
      <c r="AN448" s="346">
        <f>AN449+AN452+AN455+AN458</f>
        <v>0</v>
      </c>
      <c r="AO448" s="346">
        <f>AO449+AO452+AO455+AO458</f>
        <v>0</v>
      </c>
      <c r="AP448" s="346">
        <f>AP449+AP452+AP455+AP458</f>
        <v>0</v>
      </c>
      <c r="AQ448" s="346">
        <f>AQ449+AQ452+AQ455+AQ458</f>
        <v>0</v>
      </c>
      <c r="AR448" s="346">
        <f>AR449+AR452+AR455+AR458</f>
        <v>0</v>
      </c>
      <c r="AS448" s="346">
        <f>AS449+AS452+AS455+AS458</f>
        <v>1024.15271</v>
      </c>
      <c r="AT448" s="346">
        <f>AT449+AT452+AT455+AT458</f>
        <v>1024.15271</v>
      </c>
      <c r="AU448" s="346">
        <f>AU449+AU452+AU455+AU458</f>
        <v>1024.15271</v>
      </c>
      <c r="AV448" s="346">
        <f>AV449+AV452+AV455+AV458</f>
        <v>1024.15271</v>
      </c>
      <c r="AW448" s="346">
        <f>AW449+AW452+AW455+AW458</f>
        <v>1024.15271</v>
      </c>
      <c r="AX448" s="346">
        <f>AX449+AX452+AX455+AX458</f>
        <v>0</v>
      </c>
      <c r="AY448" s="346">
        <f>AY449+AY452+AY455+AY458</f>
        <v>0</v>
      </c>
      <c r="AZ448" s="346">
        <f>AZ449+AZ452+AZ455+AZ458</f>
        <v>0</v>
      </c>
      <c r="BA448" s="346">
        <f>BA449+BA452+BA455+BA458</f>
        <v>0</v>
      </c>
      <c r="BB448" s="346">
        <f>BB449+BB452+BB455+BB458</f>
        <v>0</v>
      </c>
      <c r="BC448" s="200"/>
      <c r="BD448" s="1304"/>
      <c r="BE448" s="1304"/>
      <c r="BF448" s="1015" t="s">
        <v>1405</v>
      </c>
    </row>
    <row s="1834" customFormat="1" customHeight="1" ht="14.25">
      <c r="A449" s="1304"/>
      <c r="B449" s="1436"/>
      <c r="C449" s="1304"/>
      <c r="D449" s="1304"/>
      <c r="E449" s="632">
        <v>15</v>
      </c>
      <c r="F449" s="50" cm="1" t="str">
        <f t="array" ref="F449:F449">OFFSET(E449,-1,1)</f>
        <v>4</v>
      </c>
      <c r="G449" s="1304"/>
      <c r="H449" s="98" t="s">
        <v>1383</v>
      </c>
      <c r="I449" s="1304"/>
      <c r="J449" s="1304"/>
      <c r="K449" s="1304"/>
      <c r="L449" s="1304"/>
      <c r="M449" s="1304"/>
      <c r="N449" s="1304"/>
      <c r="O449" s="1304"/>
      <c r="P449" s="1442"/>
      <c r="Q449" s="1442"/>
      <c r="R449" s="1442"/>
      <c r="S449" s="1442"/>
      <c r="T449" s="465" cm="1" t="str">
        <f t="array" ref="T449:T449">T448</f>
        <v>true</v>
      </c>
      <c r="U449" s="1442"/>
      <c r="V449" s="1304"/>
      <c r="W449" s="1442"/>
      <c r="X449" s="1563"/>
      <c r="Y449" s="1545"/>
      <c r="Z449" s="1304"/>
      <c r="AA449" s="1304"/>
      <c r="AB449" s="240" t="s">
        <v>1384</v>
      </c>
      <c r="AC449" s="192" t="s">
        <v>1335</v>
      </c>
      <c r="AD449" s="93" t="s">
        <v>1247</v>
      </c>
      <c r="AE449" s="346">
        <f>AE450+AE451</f>
        <v>0</v>
      </c>
      <c r="AF449" s="346">
        <f>AF450+AF451</f>
        <v>0</v>
      </c>
      <c r="AG449" s="346">
        <f>AG450+AG451</f>
        <v>0</v>
      </c>
      <c r="AH449" s="346">
        <f>AH450+AH451</f>
        <v>0</v>
      </c>
      <c r="AI449" s="346">
        <f>AI450+AI451</f>
        <v>116.67947</v>
      </c>
      <c r="AJ449" s="346">
        <f>AJ450+AJ451</f>
        <v>116.67947</v>
      </c>
      <c r="AK449" s="346">
        <f>AK450+AK451</f>
        <v>116.67947</v>
      </c>
      <c r="AL449" s="346">
        <f>AL450+AL451</f>
        <v>116.67947</v>
      </c>
      <c r="AM449" s="346">
        <f>AM450+AM451</f>
        <v>116.67947</v>
      </c>
      <c r="AN449" s="346">
        <f>AN450+AN451</f>
        <v>0</v>
      </c>
      <c r="AO449" s="346">
        <f>AO450+AO451</f>
        <v>0</v>
      </c>
      <c r="AP449" s="346">
        <f>AP450+AP451</f>
        <v>0</v>
      </c>
      <c r="AQ449" s="346">
        <f>AQ450+AQ451</f>
        <v>0</v>
      </c>
      <c r="AR449" s="346">
        <f>AR450+AR451</f>
        <v>0</v>
      </c>
      <c r="AS449" s="346">
        <f>AS450+AS451</f>
        <v>116.67947</v>
      </c>
      <c r="AT449" s="346">
        <f>AT450+AT451</f>
        <v>116.67947</v>
      </c>
      <c r="AU449" s="346">
        <f>AU450+AU451</f>
        <v>116.67947</v>
      </c>
      <c r="AV449" s="346">
        <f>AV450+AV451</f>
        <v>116.67947</v>
      </c>
      <c r="AW449" s="346">
        <f>AW450+AW451</f>
        <v>116.67947</v>
      </c>
      <c r="AX449" s="346">
        <f>AX450+AX451</f>
        <v>0</v>
      </c>
      <c r="AY449" s="346">
        <f>AY450+AY451</f>
        <v>0</v>
      </c>
      <c r="AZ449" s="346">
        <f>AZ450+AZ451</f>
        <v>0</v>
      </c>
      <c r="BA449" s="346">
        <f>BA450+BA451</f>
        <v>0</v>
      </c>
      <c r="BB449" s="346">
        <f>BB450+BB451</f>
        <v>0</v>
      </c>
      <c r="BC449" s="200"/>
      <c r="BD449" s="1304"/>
      <c r="BE449" s="1304"/>
      <c r="BF449" s="1015" t="s">
        <v>1406</v>
      </c>
    </row>
    <row s="1834" customFormat="1" customHeight="1" ht="14.25">
      <c r="A450" s="1304"/>
      <c r="B450" s="1436"/>
      <c r="C450" s="1304"/>
      <c r="D450" s="1304"/>
      <c r="E450" s="632">
        <v>15</v>
      </c>
      <c r="F450" s="50" cm="1" t="str">
        <f t="array" ref="F450:F450">OFFSET(E450,-1,1)</f>
        <v>4</v>
      </c>
      <c r="G450" s="1304"/>
      <c r="H450" s="98" t="s">
        <v>1407</v>
      </c>
      <c r="I450" s="1304"/>
      <c r="J450" s="1304"/>
      <c r="K450" s="1304"/>
      <c r="L450" s="1304"/>
      <c r="M450" s="1304"/>
      <c r="N450" s="1304"/>
      <c r="O450" s="1304"/>
      <c r="P450" s="1442"/>
      <c r="Q450" s="1442"/>
      <c r="R450" s="1442"/>
      <c r="S450" s="1442"/>
      <c r="T450" s="465" cm="1" t="str">
        <f t="array" ref="T450:T450">T449</f>
        <v>true</v>
      </c>
      <c r="U450" s="1442"/>
      <c r="V450" s="1304"/>
      <c r="W450" s="1442"/>
      <c r="X450" s="1563"/>
      <c r="Y450" s="1545"/>
      <c r="Z450" s="1304"/>
      <c r="AA450" s="1304"/>
      <c r="AB450" s="240" t="s">
        <v>1408</v>
      </c>
      <c r="AC450" s="338" t="s">
        <v>1323</v>
      </c>
      <c r="AD450" s="93" t="s">
        <v>1247</v>
      </c>
      <c r="AE450" s="276"/>
      <c r="AF450" s="276"/>
      <c r="AG450" s="276"/>
      <c r="AH450" s="276"/>
      <c r="AI450" s="276">
        <v>116.67947</v>
      </c>
      <c r="AJ450" s="276">
        <v>116.67947</v>
      </c>
      <c r="AK450" s="276">
        <v>116.67947</v>
      </c>
      <c r="AL450" s="276">
        <v>116.67947</v>
      </c>
      <c r="AM450" s="276">
        <v>116.67947</v>
      </c>
      <c r="AN450" s="2069"/>
      <c r="AO450" s="2069"/>
      <c r="AP450" s="2069"/>
      <c r="AQ450" s="2069"/>
      <c r="AR450" s="2069"/>
      <c r="AS450" s="276">
        <v>116.67947</v>
      </c>
      <c r="AT450" s="276">
        <v>116.67947</v>
      </c>
      <c r="AU450" s="276">
        <v>116.67947</v>
      </c>
      <c r="AV450" s="276">
        <v>116.67947</v>
      </c>
      <c r="AW450" s="276">
        <v>116.67947</v>
      </c>
      <c r="AX450" s="2069"/>
      <c r="AY450" s="2069"/>
      <c r="AZ450" s="2069"/>
      <c r="BA450" s="2069"/>
      <c r="BB450" s="2069"/>
      <c r="BC450" s="200"/>
      <c r="BD450" s="1304"/>
      <c r="BE450" s="1304"/>
      <c r="BF450" s="1015" t="s">
        <v>1409</v>
      </c>
    </row>
    <row s="1834" customFormat="1" customHeight="1" ht="14.25">
      <c r="A451" s="1304"/>
      <c r="B451" s="1436"/>
      <c r="C451" s="1304"/>
      <c r="D451" s="1304"/>
      <c r="E451" s="632">
        <v>15</v>
      </c>
      <c r="F451" s="50" cm="1" t="str">
        <f t="array" ref="F451:F451">OFFSET(E451,-1,1)</f>
        <v>4</v>
      </c>
      <c r="G451" s="1304"/>
      <c r="H451" s="98" t="s">
        <v>1410</v>
      </c>
      <c r="I451" s="1304"/>
      <c r="J451" s="1304"/>
      <c r="K451" s="1304"/>
      <c r="L451" s="1304"/>
      <c r="M451" s="1304"/>
      <c r="N451" s="1304"/>
      <c r="O451" s="1304"/>
      <c r="P451" s="1442"/>
      <c r="Q451" s="1442"/>
      <c r="R451" s="1442"/>
      <c r="S451" s="1442"/>
      <c r="T451" s="465" cm="1" t="str">
        <f t="array" ref="T451:T451">T450</f>
        <v>true</v>
      </c>
      <c r="U451" s="1442"/>
      <c r="V451" s="1304"/>
      <c r="W451" s="1442"/>
      <c r="X451" s="1563"/>
      <c r="Y451" s="1545"/>
      <c r="Z451" s="1304"/>
      <c r="AA451" s="1304"/>
      <c r="AB451" s="240" t="s">
        <v>1411</v>
      </c>
      <c r="AC451" s="338" t="s">
        <v>1327</v>
      </c>
      <c r="AD451" s="93" t="s">
        <v>1247</v>
      </c>
      <c r="AE451" s="276"/>
      <c r="AF451" s="276"/>
      <c r="AG451" s="276"/>
      <c r="AH451" s="276"/>
      <c r="AI451" s="276"/>
      <c r="AJ451" s="276"/>
      <c r="AK451" s="276"/>
      <c r="AL451" s="276"/>
      <c r="AM451" s="276"/>
      <c r="AN451" s="2069"/>
      <c r="AO451" s="2069"/>
      <c r="AP451" s="2069"/>
      <c r="AQ451" s="2069"/>
      <c r="AR451" s="2069"/>
      <c r="AS451" s="276"/>
      <c r="AT451" s="276"/>
      <c r="AU451" s="276"/>
      <c r="AV451" s="276"/>
      <c r="AW451" s="276"/>
      <c r="AX451" s="2069"/>
      <c r="AY451" s="2069"/>
      <c r="AZ451" s="2069"/>
      <c r="BA451" s="2069"/>
      <c r="BB451" s="2069"/>
      <c r="BC451" s="200"/>
      <c r="BD451" s="1304"/>
      <c r="BE451" s="1304"/>
      <c r="BF451" s="1015" t="s">
        <v>1412</v>
      </c>
    </row>
    <row s="1834" customFormat="1" customHeight="1" ht="14.25">
      <c r="A452" s="1304"/>
      <c r="B452" s="1436"/>
      <c r="C452" s="1304"/>
      <c r="D452" s="1304"/>
      <c r="E452" s="632">
        <v>15</v>
      </c>
      <c r="F452" s="50" cm="1" t="str">
        <f t="array" ref="F452:F452">OFFSET(E452,-1,1)</f>
        <v>4</v>
      </c>
      <c r="G452" s="98" t="s">
        <v>1343</v>
      </c>
      <c r="H452" s="98" t="s">
        <v>1386</v>
      </c>
      <c r="I452" s="1304"/>
      <c r="J452" s="1304"/>
      <c r="K452" s="1304"/>
      <c r="L452" s="1304"/>
      <c r="M452" s="1304"/>
      <c r="N452" s="1304"/>
      <c r="O452" s="1304"/>
      <c r="P452" s="1442"/>
      <c r="Q452" s="1442"/>
      <c r="R452" s="1442"/>
      <c r="S452" s="1442"/>
      <c r="T452" s="465" cm="1" t="str">
        <f t="array" ref="T452:T452">T451</f>
        <v>true</v>
      </c>
      <c r="U452" s="1442"/>
      <c r="V452" s="1304"/>
      <c r="W452" s="1442"/>
      <c r="X452" s="1563"/>
      <c r="Y452" s="1545"/>
      <c r="Z452" s="1304"/>
      <c r="AA452" s="1304"/>
      <c r="AB452" s="240" t="s">
        <v>1387</v>
      </c>
      <c r="AC452" s="192" t="s">
        <v>1346</v>
      </c>
      <c r="AD452" s="93" t="s">
        <v>1247</v>
      </c>
      <c r="AE452" s="346">
        <f>AE453+AE454</f>
        <v>0</v>
      </c>
      <c r="AF452" s="346">
        <f>AF453+AF454</f>
        <v>0</v>
      </c>
      <c r="AG452" s="346">
        <f>AG453+AG454</f>
        <v>0</v>
      </c>
      <c r="AH452" s="346">
        <f>AH453+AH454</f>
        <v>0</v>
      </c>
      <c r="AI452" s="346">
        <f>AI453+AI454</f>
        <v>768.77244</v>
      </c>
      <c r="AJ452" s="346">
        <f>AJ453+AJ454</f>
        <v>768.77244</v>
      </c>
      <c r="AK452" s="346">
        <f>AK453+AK454</f>
        <v>768.77244</v>
      </c>
      <c r="AL452" s="346">
        <f>AL453+AL454</f>
        <v>768.77244</v>
      </c>
      <c r="AM452" s="346">
        <f>AM453+AM454</f>
        <v>768.77244</v>
      </c>
      <c r="AN452" s="346">
        <f>AN453+AN454</f>
        <v>0</v>
      </c>
      <c r="AO452" s="346">
        <f>AO453+AO454</f>
        <v>0</v>
      </c>
      <c r="AP452" s="346">
        <f>AP453+AP454</f>
        <v>0</v>
      </c>
      <c r="AQ452" s="346">
        <f>AQ453+AQ454</f>
        <v>0</v>
      </c>
      <c r="AR452" s="346">
        <f>AR453+AR454</f>
        <v>0</v>
      </c>
      <c r="AS452" s="346">
        <f>AS453+AS454</f>
        <v>768.77244</v>
      </c>
      <c r="AT452" s="346">
        <f>AT453+AT454</f>
        <v>768.77244</v>
      </c>
      <c r="AU452" s="346">
        <f>AU453+AU454</f>
        <v>768.77244</v>
      </c>
      <c r="AV452" s="346">
        <f>AV453+AV454</f>
        <v>768.77244</v>
      </c>
      <c r="AW452" s="346">
        <f>AW453+AW454</f>
        <v>768.77244</v>
      </c>
      <c r="AX452" s="346">
        <f>AX453+AX454</f>
        <v>0</v>
      </c>
      <c r="AY452" s="346">
        <f>AY453+AY454</f>
        <v>0</v>
      </c>
      <c r="AZ452" s="346">
        <f>AZ453+AZ454</f>
        <v>0</v>
      </c>
      <c r="BA452" s="346">
        <f>BA453+BA454</f>
        <v>0</v>
      </c>
      <c r="BB452" s="346">
        <f>BB453+BB454</f>
        <v>0</v>
      </c>
      <c r="BC452" s="200"/>
      <c r="BD452" s="1304"/>
      <c r="BE452" s="1304"/>
      <c r="BF452" s="1015" t="s">
        <v>1413</v>
      </c>
    </row>
    <row s="1834" customFormat="1" customHeight="1" ht="14.25">
      <c r="A453" s="1304"/>
      <c r="B453" s="1436"/>
      <c r="C453" s="1304"/>
      <c r="D453" s="1304"/>
      <c r="E453" s="632">
        <v>15</v>
      </c>
      <c r="F453" s="50" cm="1" t="str">
        <f t="array" ref="F453:F453">OFFSET(E453,-1,1)</f>
        <v>4</v>
      </c>
      <c r="G453" s="1304"/>
      <c r="H453" s="98" t="s">
        <v>1414</v>
      </c>
      <c r="I453" s="1304"/>
      <c r="J453" s="1304"/>
      <c r="K453" s="1304"/>
      <c r="L453" s="1304"/>
      <c r="M453" s="1304"/>
      <c r="N453" s="1304"/>
      <c r="O453" s="1304"/>
      <c r="P453" s="1442"/>
      <c r="Q453" s="1442"/>
      <c r="R453" s="1442"/>
      <c r="S453" s="1442"/>
      <c r="T453" s="465" cm="1" t="str">
        <f t="array" ref="T453:T453">T452</f>
        <v>true</v>
      </c>
      <c r="U453" s="1442"/>
      <c r="V453" s="1304"/>
      <c r="W453" s="1442"/>
      <c r="X453" s="1563"/>
      <c r="Y453" s="1545"/>
      <c r="Z453" s="1304"/>
      <c r="AA453" s="1304"/>
      <c r="AB453" s="240" t="s">
        <v>1415</v>
      </c>
      <c r="AC453" s="338" t="s">
        <v>1323</v>
      </c>
      <c r="AD453" s="93" t="s">
        <v>1247</v>
      </c>
      <c r="AE453" s="276"/>
      <c r="AF453" s="276"/>
      <c r="AG453" s="276"/>
      <c r="AH453" s="276"/>
      <c r="AI453" s="276">
        <v>768.77244</v>
      </c>
      <c r="AJ453" s="276">
        <v>768.77244</v>
      </c>
      <c r="AK453" s="276">
        <v>768.77244</v>
      </c>
      <c r="AL453" s="276">
        <v>768.77244</v>
      </c>
      <c r="AM453" s="276">
        <v>768.77244</v>
      </c>
      <c r="AN453" s="2069"/>
      <c r="AO453" s="2069"/>
      <c r="AP453" s="2069"/>
      <c r="AQ453" s="2069"/>
      <c r="AR453" s="2069"/>
      <c r="AS453" s="276">
        <v>768.77244</v>
      </c>
      <c r="AT453" s="276">
        <v>768.77244</v>
      </c>
      <c r="AU453" s="276">
        <v>768.77244</v>
      </c>
      <c r="AV453" s="276">
        <v>768.77244</v>
      </c>
      <c r="AW453" s="276">
        <v>768.77244</v>
      </c>
      <c r="AX453" s="2069"/>
      <c r="AY453" s="2069"/>
      <c r="AZ453" s="2069"/>
      <c r="BA453" s="2069"/>
      <c r="BB453" s="2069"/>
      <c r="BC453" s="200"/>
      <c r="BD453" s="1304"/>
      <c r="BE453" s="1304"/>
      <c r="BF453" s="1015" t="s">
        <v>1416</v>
      </c>
    </row>
    <row s="1834" customFormat="1" customHeight="1" ht="14.25">
      <c r="A454" s="1304"/>
      <c r="B454" s="1436"/>
      <c r="C454" s="1304"/>
      <c r="D454" s="1304"/>
      <c r="E454" s="632">
        <v>15</v>
      </c>
      <c r="F454" s="50" cm="1" t="str">
        <f t="array" ref="F454:F454">OFFSET(E454,-1,1)</f>
        <v>4</v>
      </c>
      <c r="G454" s="1304"/>
      <c r="H454" s="98" t="s">
        <v>1417</v>
      </c>
      <c r="I454" s="1304"/>
      <c r="J454" s="1304"/>
      <c r="K454" s="1304"/>
      <c r="L454" s="1304"/>
      <c r="M454" s="1304"/>
      <c r="N454" s="1304"/>
      <c r="O454" s="1304"/>
      <c r="P454" s="1442"/>
      <c r="Q454" s="1442"/>
      <c r="R454" s="1442"/>
      <c r="S454" s="1442"/>
      <c r="T454" s="465" cm="1" t="str">
        <f t="array" ref="T454:T454">T453</f>
        <v>true</v>
      </c>
      <c r="U454" s="1442"/>
      <c r="V454" s="1304"/>
      <c r="W454" s="1442"/>
      <c r="X454" s="1563"/>
      <c r="Y454" s="1545"/>
      <c r="Z454" s="1304"/>
      <c r="AA454" s="1304"/>
      <c r="AB454" s="240" t="s">
        <v>1418</v>
      </c>
      <c r="AC454" s="338" t="s">
        <v>1327</v>
      </c>
      <c r="AD454" s="93" t="s">
        <v>1247</v>
      </c>
      <c r="AE454" s="276"/>
      <c r="AF454" s="276"/>
      <c r="AG454" s="276"/>
      <c r="AH454" s="276"/>
      <c r="AI454" s="276"/>
      <c r="AJ454" s="276"/>
      <c r="AK454" s="276"/>
      <c r="AL454" s="276"/>
      <c r="AM454" s="276"/>
      <c r="AN454" s="2069"/>
      <c r="AO454" s="2069"/>
      <c r="AP454" s="2069"/>
      <c r="AQ454" s="2069"/>
      <c r="AR454" s="2069"/>
      <c r="AS454" s="276"/>
      <c r="AT454" s="276"/>
      <c r="AU454" s="276"/>
      <c r="AV454" s="276"/>
      <c r="AW454" s="276"/>
      <c r="AX454" s="2069"/>
      <c r="AY454" s="2069"/>
      <c r="AZ454" s="2069"/>
      <c r="BA454" s="2069"/>
      <c r="BB454" s="2069"/>
      <c r="BC454" s="200"/>
      <c r="BD454" s="1304"/>
      <c r="BE454" s="1304"/>
      <c r="BF454" s="1015" t="s">
        <v>1419</v>
      </c>
    </row>
    <row s="1834" customFormat="1" customHeight="1" ht="14.25">
      <c r="A455" s="1304"/>
      <c r="B455" s="1436"/>
      <c r="C455" s="1304"/>
      <c r="D455" s="1304"/>
      <c r="E455" s="632">
        <v>15</v>
      </c>
      <c r="F455" s="50" cm="1" t="str">
        <f t="array" ref="F455:F455">OFFSET(E455,-1,1)</f>
        <v>4</v>
      </c>
      <c r="G455" s="1304"/>
      <c r="H455" s="98" t="s">
        <v>1420</v>
      </c>
      <c r="I455" s="1304"/>
      <c r="J455" s="1304"/>
      <c r="K455" s="1304"/>
      <c r="L455" s="1304"/>
      <c r="M455" s="1304"/>
      <c r="N455" s="1304"/>
      <c r="O455" s="1304"/>
      <c r="P455" s="1442"/>
      <c r="Q455" s="1442"/>
      <c r="R455" s="1442"/>
      <c r="S455" s="1442"/>
      <c r="T455" s="465" cm="1" t="str">
        <f t="array" ref="T455:T455">T454</f>
        <v>true</v>
      </c>
      <c r="U455" s="1442"/>
      <c r="V455" s="1304"/>
      <c r="W455" s="1442"/>
      <c r="X455" s="1563"/>
      <c r="Y455" s="1545"/>
      <c r="Z455" s="1304"/>
      <c r="AA455" s="1304"/>
      <c r="AB455" s="240" t="s">
        <v>1421</v>
      </c>
      <c r="AC455" s="192" t="s">
        <v>1356</v>
      </c>
      <c r="AD455" s="93" t="s">
        <v>1247</v>
      </c>
      <c r="AE455" s="346">
        <f>AE456+AE457</f>
        <v>0</v>
      </c>
      <c r="AF455" s="346">
        <f>AF456+AF457</f>
        <v>0</v>
      </c>
      <c r="AG455" s="346">
        <f>AG456+AG457</f>
        <v>0</v>
      </c>
      <c r="AH455" s="346">
        <f>AH456+AH457</f>
        <v>0</v>
      </c>
      <c r="AI455" s="346">
        <f>AI456+AI457</f>
        <v>138.7008</v>
      </c>
      <c r="AJ455" s="346">
        <f>AJ456+AJ457</f>
        <v>138.7008</v>
      </c>
      <c r="AK455" s="346">
        <f>AK456+AK457</f>
        <v>138.7008</v>
      </c>
      <c r="AL455" s="346">
        <f>AL456+AL457</f>
        <v>138.7008</v>
      </c>
      <c r="AM455" s="346">
        <f>AM456+AM457</f>
        <v>138.7008</v>
      </c>
      <c r="AN455" s="346">
        <f>AN456+AN457</f>
        <v>0</v>
      </c>
      <c r="AO455" s="346">
        <f>AO456+AO457</f>
        <v>0</v>
      </c>
      <c r="AP455" s="346">
        <f>AP456+AP457</f>
        <v>0</v>
      </c>
      <c r="AQ455" s="346">
        <f>AQ456+AQ457</f>
        <v>0</v>
      </c>
      <c r="AR455" s="346">
        <f>AR456+AR457</f>
        <v>0</v>
      </c>
      <c r="AS455" s="346">
        <f>AS456+AS457</f>
        <v>138.7008</v>
      </c>
      <c r="AT455" s="346">
        <f>AT456+AT457</f>
        <v>138.7008</v>
      </c>
      <c r="AU455" s="346">
        <f>AU456+AU457</f>
        <v>138.7008</v>
      </c>
      <c r="AV455" s="346">
        <f>AV456+AV457</f>
        <v>138.7008</v>
      </c>
      <c r="AW455" s="346">
        <f>AW456+AW457</f>
        <v>138.7008</v>
      </c>
      <c r="AX455" s="346">
        <f>AX456+AX457</f>
        <v>0</v>
      </c>
      <c r="AY455" s="346">
        <f>AY456+AY457</f>
        <v>0</v>
      </c>
      <c r="AZ455" s="346">
        <f>AZ456+AZ457</f>
        <v>0</v>
      </c>
      <c r="BA455" s="346">
        <f>BA456+BA457</f>
        <v>0</v>
      </c>
      <c r="BB455" s="346">
        <f>BB456+BB457</f>
        <v>0</v>
      </c>
      <c r="BC455" s="200"/>
      <c r="BD455" s="1304"/>
      <c r="BE455" s="1304"/>
      <c r="BF455" s="1015" t="s">
        <v>1422</v>
      </c>
    </row>
    <row s="1834" customFormat="1" customHeight="1" ht="14.25">
      <c r="A456" s="1304"/>
      <c r="B456" s="1436"/>
      <c r="C456" s="1304"/>
      <c r="D456" s="1304"/>
      <c r="E456" s="632">
        <v>15</v>
      </c>
      <c r="F456" s="50" cm="1" t="str">
        <f t="array" ref="F456:F456">OFFSET(E456,-1,1)</f>
        <v>4</v>
      </c>
      <c r="G456" s="1304"/>
      <c r="H456" s="98" t="s">
        <v>1423</v>
      </c>
      <c r="I456" s="1304"/>
      <c r="J456" s="1304"/>
      <c r="K456" s="1304"/>
      <c r="L456" s="1304"/>
      <c r="M456" s="1304"/>
      <c r="N456" s="1304"/>
      <c r="O456" s="1304"/>
      <c r="P456" s="1442"/>
      <c r="Q456" s="1442"/>
      <c r="R456" s="1442"/>
      <c r="S456" s="1442"/>
      <c r="T456" s="465" cm="1" t="str">
        <f t="array" ref="T456:T456">T455</f>
        <v>true</v>
      </c>
      <c r="U456" s="1442"/>
      <c r="V456" s="1304"/>
      <c r="W456" s="1442"/>
      <c r="X456" s="1563"/>
      <c r="Y456" s="1545"/>
      <c r="Z456" s="1304"/>
      <c r="AA456" s="1304"/>
      <c r="AB456" s="240" t="s">
        <v>1424</v>
      </c>
      <c r="AC456" s="338" t="s">
        <v>1323</v>
      </c>
      <c r="AD456" s="93" t="s">
        <v>1247</v>
      </c>
      <c r="AE456" s="276"/>
      <c r="AF456" s="276"/>
      <c r="AG456" s="276"/>
      <c r="AH456" s="276"/>
      <c r="AI456" s="276">
        <v>138.7008</v>
      </c>
      <c r="AJ456" s="276">
        <v>138.7008</v>
      </c>
      <c r="AK456" s="276">
        <v>138.7008</v>
      </c>
      <c r="AL456" s="276">
        <v>138.7008</v>
      </c>
      <c r="AM456" s="276">
        <v>138.7008</v>
      </c>
      <c r="AN456" s="2069"/>
      <c r="AO456" s="2069"/>
      <c r="AP456" s="2069"/>
      <c r="AQ456" s="2069"/>
      <c r="AR456" s="2069"/>
      <c r="AS456" s="276">
        <v>138.7008</v>
      </c>
      <c r="AT456" s="276">
        <v>138.7008</v>
      </c>
      <c r="AU456" s="276">
        <v>138.7008</v>
      </c>
      <c r="AV456" s="276">
        <v>138.7008</v>
      </c>
      <c r="AW456" s="276">
        <v>138.7008</v>
      </c>
      <c r="AX456" s="2069"/>
      <c r="AY456" s="2069"/>
      <c r="AZ456" s="2069"/>
      <c r="BA456" s="2069"/>
      <c r="BB456" s="2069"/>
      <c r="BC456" s="200"/>
      <c r="BD456" s="1304"/>
      <c r="BE456" s="1304"/>
      <c r="BF456" s="1015" t="s">
        <v>1425</v>
      </c>
    </row>
    <row s="1834" customFormat="1" customHeight="1" ht="14.25">
      <c r="A457" s="1304"/>
      <c r="B457" s="1436"/>
      <c r="C457" s="1304"/>
      <c r="D457" s="1304"/>
      <c r="E457" s="632">
        <v>15</v>
      </c>
      <c r="F457" s="50" cm="1" t="str">
        <f t="array" ref="F457:F457">OFFSET(E457,-1,1)</f>
        <v>4</v>
      </c>
      <c r="G457" s="1304"/>
      <c r="H457" s="98" t="s">
        <v>1426</v>
      </c>
      <c r="I457" s="1304"/>
      <c r="J457" s="1304"/>
      <c r="K457" s="1304"/>
      <c r="L457" s="1304"/>
      <c r="M457" s="1304"/>
      <c r="N457" s="1304"/>
      <c r="O457" s="1304"/>
      <c r="P457" s="1442"/>
      <c r="Q457" s="1442"/>
      <c r="R457" s="1442"/>
      <c r="S457" s="1442"/>
      <c r="T457" s="465" cm="1" t="str">
        <f t="array" ref="T457:T457">T456</f>
        <v>true</v>
      </c>
      <c r="U457" s="1442"/>
      <c r="V457" s="1304"/>
      <c r="W457" s="1442"/>
      <c r="X457" s="1563"/>
      <c r="Y457" s="1545"/>
      <c r="Z457" s="1304"/>
      <c r="AA457" s="1304"/>
      <c r="AB457" s="240" t="s">
        <v>1427</v>
      </c>
      <c r="AC457" s="338" t="s">
        <v>1327</v>
      </c>
      <c r="AD457" s="93" t="s">
        <v>1247</v>
      </c>
      <c r="AE457" s="276"/>
      <c r="AF457" s="276"/>
      <c r="AG457" s="276"/>
      <c r="AH457" s="276"/>
      <c r="AI457" s="276"/>
      <c r="AJ457" s="276"/>
      <c r="AK457" s="276"/>
      <c r="AL457" s="276"/>
      <c r="AM457" s="276"/>
      <c r="AN457" s="2069"/>
      <c r="AO457" s="2069"/>
      <c r="AP457" s="2069"/>
      <c r="AQ457" s="2069"/>
      <c r="AR457" s="2069"/>
      <c r="AS457" s="276"/>
      <c r="AT457" s="276"/>
      <c r="AU457" s="276"/>
      <c r="AV457" s="276"/>
      <c r="AW457" s="276"/>
      <c r="AX457" s="2069"/>
      <c r="AY457" s="2069"/>
      <c r="AZ457" s="2069"/>
      <c r="BA457" s="2069"/>
      <c r="BB457" s="2069"/>
      <c r="BC457" s="200"/>
      <c r="BD457" s="1304"/>
      <c r="BE457" s="1304"/>
      <c r="BF457" s="1015" t="s">
        <v>1428</v>
      </c>
    </row>
    <row s="1834" customFormat="1" customHeight="1" ht="0">
      <c r="A458" s="1304"/>
      <c r="B458" s="1436"/>
      <c r="C458" s="1304"/>
      <c r="D458" s="1304"/>
      <c r="E458" s="632">
        <v>15</v>
      </c>
      <c r="F458" s="50" cm="1" t="str">
        <f t="array" ref="F458:F458">OFFSET(E458,-1,1)</f>
        <v>4</v>
      </c>
      <c r="G458" s="1304"/>
      <c r="H458" s="98" t="s">
        <v>1429</v>
      </c>
      <c r="I458" s="1304"/>
      <c r="J458" s="1304"/>
      <c r="K458" s="1304"/>
      <c r="L458" s="1304"/>
      <c r="M458" s="1304"/>
      <c r="N458" s="1304"/>
      <c r="O458" s="1304"/>
      <c r="P458" s="1442"/>
      <c r="Q458" s="1442"/>
      <c r="R458" s="1442"/>
      <c r="S458" s="1442"/>
      <c r="T458" s="465" cm="1" t="str">
        <f t="array" ref="T458:T458">T457</f>
        <v>true</v>
      </c>
      <c r="U458" s="1442"/>
      <c r="V458" s="1304"/>
      <c r="W458" s="1442"/>
      <c r="X458" s="1563"/>
      <c r="Y458" s="1545"/>
      <c r="Z458" s="1304"/>
      <c r="AA458" s="1304"/>
      <c r="AB458" s="240" t="s">
        <v>1430</v>
      </c>
      <c r="AC458" s="192" t="s">
        <v>1431</v>
      </c>
      <c r="AD458" s="93" t="s">
        <v>1247</v>
      </c>
      <c r="AE458" s="346">
        <f>AE459+AE460</f>
        <v>0</v>
      </c>
      <c r="AF458" s="346">
        <f>AF459+AF460</f>
        <v>0</v>
      </c>
      <c r="AG458" s="346">
        <f>AG459+AG460</f>
        <v>0</v>
      </c>
      <c r="AH458" s="346">
        <f>AH459+AH460</f>
        <v>0</v>
      </c>
      <c r="AI458" s="346">
        <f>AI459+AI460</f>
        <v>0</v>
      </c>
      <c r="AJ458" s="346">
        <f>AJ459+AJ460</f>
        <v>0</v>
      </c>
      <c r="AK458" s="346">
        <f>AK459+AK460</f>
        <v>0</v>
      </c>
      <c r="AL458" s="346">
        <f>AL459+AL460</f>
        <v>0</v>
      </c>
      <c r="AM458" s="346">
        <f>AM459+AM460</f>
        <v>0</v>
      </c>
      <c r="AN458" s="346">
        <f>AN459+AN460</f>
        <v>0</v>
      </c>
      <c r="AO458" s="346">
        <f>AO459+AO460</f>
        <v>0</v>
      </c>
      <c r="AP458" s="346">
        <f>AP459+AP460</f>
        <v>0</v>
      </c>
      <c r="AQ458" s="346">
        <f>AQ459+AQ460</f>
        <v>0</v>
      </c>
      <c r="AR458" s="346">
        <f>AR459+AR460</f>
        <v>0</v>
      </c>
      <c r="AS458" s="346">
        <f>AS459+AS460</f>
        <v>0</v>
      </c>
      <c r="AT458" s="346">
        <f>AT459+AT460</f>
        <v>0</v>
      </c>
      <c r="AU458" s="346">
        <f>AU459+AU460</f>
        <v>0</v>
      </c>
      <c r="AV458" s="346">
        <f>AV459+AV460</f>
        <v>0</v>
      </c>
      <c r="AW458" s="346">
        <f>AW459+AW460</f>
        <v>0</v>
      </c>
      <c r="AX458" s="346">
        <f>AX459+AX460</f>
        <v>0</v>
      </c>
      <c r="AY458" s="346">
        <f>AY459+AY460</f>
        <v>0</v>
      </c>
      <c r="AZ458" s="346">
        <f>AZ459+AZ460</f>
        <v>0</v>
      </c>
      <c r="BA458" s="346">
        <f>BA459+BA460</f>
        <v>0</v>
      </c>
      <c r="BB458" s="346">
        <f>BB459+BB460</f>
        <v>0</v>
      </c>
      <c r="BC458" s="200"/>
      <c r="BD458" s="1304"/>
      <c r="BE458" s="1304"/>
      <c r="BF458" s="1015" t="s">
        <v>1432</v>
      </c>
    </row>
    <row s="1834" customFormat="1" customHeight="1" ht="0">
      <c r="A459" s="1304"/>
      <c r="B459" s="1436"/>
      <c r="C459" s="1304"/>
      <c r="D459" s="1304"/>
      <c r="E459" s="632">
        <v>15</v>
      </c>
      <c r="F459" s="50" cm="1" t="str">
        <f t="array" ref="F459:F459">OFFSET(E459,-1,1)</f>
        <v>4</v>
      </c>
      <c r="G459" s="1304"/>
      <c r="H459" s="98" t="s">
        <v>1433</v>
      </c>
      <c r="I459" s="1304"/>
      <c r="J459" s="1304"/>
      <c r="K459" s="1304"/>
      <c r="L459" s="1304"/>
      <c r="M459" s="1304"/>
      <c r="N459" s="1304"/>
      <c r="O459" s="1304"/>
      <c r="P459" s="1442"/>
      <c r="Q459" s="1442"/>
      <c r="R459" s="1442"/>
      <c r="S459" s="1442"/>
      <c r="T459" s="465" cm="1" t="str">
        <f t="array" ref="T459:T459">T458</f>
        <v>true</v>
      </c>
      <c r="U459" s="1442"/>
      <c r="V459" s="1304"/>
      <c r="W459" s="1442"/>
      <c r="X459" s="1563"/>
      <c r="Y459" s="1545"/>
      <c r="Z459" s="1304"/>
      <c r="AA459" s="1304"/>
      <c r="AB459" s="240" t="s">
        <v>1434</v>
      </c>
      <c r="AC459" s="332" t="s">
        <v>1323</v>
      </c>
      <c r="AD459" s="93" t="s">
        <v>1247</v>
      </c>
      <c r="AE459" s="276"/>
      <c r="AF459" s="276"/>
      <c r="AG459" s="276"/>
      <c r="AH459" s="276"/>
      <c r="AI459" s="276"/>
      <c r="AJ459" s="276"/>
      <c r="AK459" s="276"/>
      <c r="AL459" s="276"/>
      <c r="AM459" s="276"/>
      <c r="AN459" s="2069"/>
      <c r="AO459" s="2069"/>
      <c r="AP459" s="2069"/>
      <c r="AQ459" s="2069"/>
      <c r="AR459" s="2069"/>
      <c r="AS459" s="276"/>
      <c r="AT459" s="276"/>
      <c r="AU459" s="276"/>
      <c r="AV459" s="276"/>
      <c r="AW459" s="276"/>
      <c r="AX459" s="2069"/>
      <c r="AY459" s="2069"/>
      <c r="AZ459" s="2069"/>
      <c r="BA459" s="2069"/>
      <c r="BB459" s="2069"/>
      <c r="BC459" s="200"/>
      <c r="BD459" s="1304"/>
      <c r="BE459" s="1304"/>
      <c r="BF459" s="1015" t="s">
        <v>1435</v>
      </c>
    </row>
    <row s="1834" customFormat="1" customHeight="1" ht="0">
      <c r="A460" s="1304"/>
      <c r="B460" s="1436"/>
      <c r="C460" s="1304"/>
      <c r="D460" s="1304"/>
      <c r="E460" s="632">
        <v>15</v>
      </c>
      <c r="F460" s="50" cm="1" t="str">
        <f t="array" ref="F460:F460">OFFSET(E460,-1,1)</f>
        <v>4</v>
      </c>
      <c r="G460" s="1304"/>
      <c r="H460" s="98" t="s">
        <v>1436</v>
      </c>
      <c r="I460" s="1304"/>
      <c r="J460" s="1304"/>
      <c r="K460" s="1304"/>
      <c r="L460" s="1304"/>
      <c r="M460" s="1304"/>
      <c r="N460" s="1304"/>
      <c r="O460" s="1304"/>
      <c r="P460" s="1442"/>
      <c r="Q460" s="1442"/>
      <c r="R460" s="1442"/>
      <c r="S460" s="1442"/>
      <c r="T460" s="465" cm="1" t="str">
        <f t="array" ref="T460:T460">T459</f>
        <v>true</v>
      </c>
      <c r="U460" s="1442"/>
      <c r="V460" s="1304"/>
      <c r="W460" s="1442"/>
      <c r="X460" s="1563"/>
      <c r="Y460" s="1545"/>
      <c r="Z460" s="1304"/>
      <c r="AA460" s="1304"/>
      <c r="AB460" s="240" t="s">
        <v>1437</v>
      </c>
      <c r="AC460" s="332" t="s">
        <v>1327</v>
      </c>
      <c r="AD460" s="93" t="s">
        <v>1247</v>
      </c>
      <c r="AE460" s="276"/>
      <c r="AF460" s="276"/>
      <c r="AG460" s="276"/>
      <c r="AH460" s="276"/>
      <c r="AI460" s="276"/>
      <c r="AJ460" s="276"/>
      <c r="AK460" s="276"/>
      <c r="AL460" s="276"/>
      <c r="AM460" s="276"/>
      <c r="AN460" s="2069"/>
      <c r="AO460" s="2069"/>
      <c r="AP460" s="2069"/>
      <c r="AQ460" s="2069"/>
      <c r="AR460" s="2069"/>
      <c r="AS460" s="276"/>
      <c r="AT460" s="276"/>
      <c r="AU460" s="276"/>
      <c r="AV460" s="276"/>
      <c r="AW460" s="276"/>
      <c r="AX460" s="2069"/>
      <c r="AY460" s="2069"/>
      <c r="AZ460" s="2069"/>
      <c r="BA460" s="2069"/>
      <c r="BB460" s="2069"/>
      <c r="BC460" s="200"/>
      <c r="BD460" s="1304"/>
      <c r="BE460" s="1304"/>
      <c r="BF460" s="1015" t="s">
        <v>1438</v>
      </c>
    </row>
    <row s="1834" customFormat="1" customHeight="1" ht="0">
      <c r="A461" s="1304"/>
      <c r="B461" s="1436"/>
      <c r="C461" s="1304"/>
      <c r="D461" s="1304"/>
      <c r="E461" s="632">
        <v>22.5</v>
      </c>
      <c r="F461" s="50" cm="1" t="str">
        <f t="array" ref="F461:F461">OFFSET(E461,-1,1)</f>
        <v>4</v>
      </c>
      <c r="G461" s="1304"/>
      <c r="H461" s="98" t="s">
        <v>1439</v>
      </c>
      <c r="I461" s="1304"/>
      <c r="J461" s="1304"/>
      <c r="K461" s="1304"/>
      <c r="L461" s="1304"/>
      <c r="M461" s="1304"/>
      <c r="N461" s="1304"/>
      <c r="O461" s="1304"/>
      <c r="P461" s="1442"/>
      <c r="Q461" s="1442"/>
      <c r="R461" s="1442"/>
      <c r="S461" s="1442"/>
      <c r="T461" s="465" cm="1" t="str">
        <f t="array" ref="T461:T461">T460</f>
        <v>true</v>
      </c>
      <c r="U461" s="1442"/>
      <c r="V461" s="1304"/>
      <c r="W461" s="1442"/>
      <c r="X461" s="1563"/>
      <c r="Y461" s="1545"/>
      <c r="Z461" s="1304"/>
      <c r="AA461" s="1304"/>
      <c r="AB461" s="240" t="s">
        <v>1440</v>
      </c>
      <c r="AC461" s="339" t="s">
        <v>1288</v>
      </c>
      <c r="AD461" s="93" t="s">
        <v>1247</v>
      </c>
      <c r="AE461" s="276"/>
      <c r="AF461" s="276"/>
      <c r="AG461" s="276"/>
      <c r="AH461" s="276"/>
      <c r="AI461" s="276"/>
      <c r="AJ461" s="276"/>
      <c r="AK461" s="276"/>
      <c r="AL461" s="276"/>
      <c r="AM461" s="276"/>
      <c r="AN461" s="2069"/>
      <c r="AO461" s="2069"/>
      <c r="AP461" s="2069"/>
      <c r="AQ461" s="2069"/>
      <c r="AR461" s="2069"/>
      <c r="AS461" s="276"/>
      <c r="AT461" s="276"/>
      <c r="AU461" s="276"/>
      <c r="AV461" s="276"/>
      <c r="AW461" s="276"/>
      <c r="AX461" s="2069"/>
      <c r="AY461" s="2069"/>
      <c r="AZ461" s="2069"/>
      <c r="BA461" s="2069"/>
      <c r="BB461" s="2069"/>
      <c r="BC461" s="200"/>
      <c r="BD461" s="1304"/>
      <c r="BE461" s="1304"/>
      <c r="BF461" s="1015" t="s">
        <v>1441</v>
      </c>
    </row>
    <row s="1834" customFormat="1" customHeight="1" ht="12.75">
      <c r="A462" s="1304"/>
      <c r="B462" s="1436"/>
      <c r="C462" s="1304"/>
      <c r="D462" s="1304"/>
      <c r="E462" s="632">
        <v>15</v>
      </c>
      <c r="F462" s="50" cm="1" t="str">
        <f t="array" ref="F462:F462">OFFSET(E462,-1,1)</f>
        <v>4</v>
      </c>
      <c r="G462" s="1304"/>
      <c r="H462" s="98" t="s">
        <v>1228</v>
      </c>
      <c r="I462" s="1304"/>
      <c r="J462" s="1304"/>
      <c r="K462" s="1304"/>
      <c r="L462" s="1304"/>
      <c r="M462" s="1304"/>
      <c r="N462" s="1304"/>
      <c r="O462" s="1304"/>
      <c r="P462" s="1442"/>
      <c r="Q462" s="1442"/>
      <c r="R462" s="1442"/>
      <c r="S462" s="1442"/>
      <c r="T462" s="465" cm="1" t="str">
        <f t="array" ref="T462:T462">T461</f>
        <v>true</v>
      </c>
      <c r="U462" s="1442"/>
      <c r="V462" s="1304"/>
      <c r="W462" s="1442"/>
      <c r="X462" s="1563"/>
      <c r="Y462" s="1545"/>
      <c r="Z462" s="1304"/>
      <c r="AA462" s="1304"/>
      <c r="AB462" s="240" t="s">
        <v>443</v>
      </c>
      <c r="AC462" s="137" t="s">
        <v>1442</v>
      </c>
      <c r="AD462" s="93" t="s">
        <v>1247</v>
      </c>
      <c r="AE462" s="276"/>
      <c r="AF462" s="276"/>
      <c r="AG462" s="276"/>
      <c r="AH462" s="276"/>
      <c r="AI462" s="276"/>
      <c r="AJ462" s="276"/>
      <c r="AK462" s="276"/>
      <c r="AL462" s="276"/>
      <c r="AM462" s="276"/>
      <c r="AN462" s="2069"/>
      <c r="AO462" s="2069"/>
      <c r="AP462" s="2069"/>
      <c r="AQ462" s="2069"/>
      <c r="AR462" s="2069"/>
      <c r="AS462" s="276"/>
      <c r="AT462" s="276"/>
      <c r="AU462" s="276"/>
      <c r="AV462" s="276"/>
      <c r="AW462" s="276"/>
      <c r="AX462" s="2069"/>
      <c r="AY462" s="2069"/>
      <c r="AZ462" s="2069"/>
      <c r="BA462" s="2069"/>
      <c r="BB462" s="2069"/>
      <c r="BC462" s="200"/>
      <c r="BD462" s="1304"/>
      <c r="BE462" s="1304"/>
      <c r="BF462" s="1015" t="s">
        <v>1443</v>
      </c>
    </row>
    <row s="1834" customFormat="1" customHeight="1" ht="23.25">
      <c r="A463" s="1304"/>
      <c r="B463" s="1436"/>
      <c r="C463" s="1304"/>
      <c r="D463" s="1304"/>
      <c r="E463" s="632">
        <v>15</v>
      </c>
      <c r="F463" s="50" cm="1" t="str">
        <f t="array" ref="F463:F463">OFFSET(E463,-1,1)</f>
        <v>4</v>
      </c>
      <c r="G463" s="1304"/>
      <c r="H463" s="98" t="s">
        <v>1275</v>
      </c>
      <c r="I463" s="1304"/>
      <c r="J463" s="1304"/>
      <c r="K463" s="1304"/>
      <c r="L463" s="1304"/>
      <c r="M463" s="1304"/>
      <c r="N463" s="1304"/>
      <c r="O463" s="1304"/>
      <c r="P463" s="1442"/>
      <c r="Q463" s="1442"/>
      <c r="R463" s="1442"/>
      <c r="S463" s="1442"/>
      <c r="T463" s="465" cm="1" t="str">
        <f t="array" ref="T463:T463">T462</f>
        <v>true</v>
      </c>
      <c r="U463" s="1442"/>
      <c r="V463" s="1304"/>
      <c r="W463" s="1442"/>
      <c r="X463" s="1563"/>
      <c r="Y463" s="1545"/>
      <c r="Z463" s="1304"/>
      <c r="AA463" s="1304"/>
      <c r="AB463" s="240" t="s">
        <v>446</v>
      </c>
      <c r="AC463" s="137" t="s">
        <v>1444</v>
      </c>
      <c r="AD463" s="93" t="s">
        <v>1247</v>
      </c>
      <c r="AE463" s="276"/>
      <c r="AF463" s="276"/>
      <c r="AG463" s="276"/>
      <c r="AH463" s="276"/>
      <c r="AI463" s="276"/>
      <c r="AJ463" s="276"/>
      <c r="AK463" s="276"/>
      <c r="AL463" s="276"/>
      <c r="AM463" s="276"/>
      <c r="AN463" s="2069"/>
      <c r="AO463" s="2069"/>
      <c r="AP463" s="2069"/>
      <c r="AQ463" s="2069"/>
      <c r="AR463" s="2069"/>
      <c r="AS463" s="276"/>
      <c r="AT463" s="276"/>
      <c r="AU463" s="276"/>
      <c r="AV463" s="276"/>
      <c r="AW463" s="276"/>
      <c r="AX463" s="2069"/>
      <c r="AY463" s="2069"/>
      <c r="AZ463" s="2069"/>
      <c r="BA463" s="2069"/>
      <c r="BB463" s="2069"/>
      <c r="BC463" s="200"/>
      <c r="BD463" s="1304"/>
      <c r="BE463" s="1304"/>
      <c r="BF463" s="1015" t="s">
        <v>1445</v>
      </c>
    </row>
    <row s="1834" customFormat="1" customHeight="1" ht="33.75">
      <c r="A464" s="1304"/>
      <c r="B464" s="1436"/>
      <c r="C464" s="1304"/>
      <c r="D464" s="1304"/>
      <c r="E464" s="632">
        <v>15</v>
      </c>
      <c r="F464" s="50" cm="1" t="str">
        <f t="array" ref="F464:F464">OFFSET(E464,-1,1)</f>
        <v>4</v>
      </c>
      <c r="G464" s="1304"/>
      <c r="H464" s="98" t="s">
        <v>1290</v>
      </c>
      <c r="I464" s="1304"/>
      <c r="J464" s="1304"/>
      <c r="K464" s="1304"/>
      <c r="L464" s="1304"/>
      <c r="M464" s="1304"/>
      <c r="N464" s="1304"/>
      <c r="O464" s="1304"/>
      <c r="P464" s="1442"/>
      <c r="Q464" s="1442"/>
      <c r="R464" s="1442"/>
      <c r="S464" s="1442"/>
      <c r="T464" s="465" cm="1" t="str">
        <f t="array" ref="T464:T464">T463</f>
        <v>true</v>
      </c>
      <c r="U464" s="1442"/>
      <c r="V464" s="1304"/>
      <c r="W464" s="1442"/>
      <c r="X464" s="1563"/>
      <c r="Y464" s="1545"/>
      <c r="Z464" s="1304"/>
      <c r="AA464" s="1304"/>
      <c r="AB464" s="240" t="s">
        <v>449</v>
      </c>
      <c r="AC464" s="137" t="s">
        <v>1446</v>
      </c>
      <c r="AD464" s="93" t="s">
        <v>1247</v>
      </c>
      <c r="AE464" s="276"/>
      <c r="AF464" s="276"/>
      <c r="AG464" s="276"/>
      <c r="AH464" s="276"/>
      <c r="AI464" s="276">
        <v>3713.629</v>
      </c>
      <c r="AJ464" s="276">
        <v>3713.629</v>
      </c>
      <c r="AK464" s="276">
        <v>3713.629</v>
      </c>
      <c r="AL464" s="276">
        <v>3713.629</v>
      </c>
      <c r="AM464" s="276">
        <v>3713.629</v>
      </c>
      <c r="AN464" s="2069"/>
      <c r="AO464" s="2069"/>
      <c r="AP464" s="2069"/>
      <c r="AQ464" s="2069"/>
      <c r="AR464" s="2069"/>
      <c r="AS464" s="276">
        <v>3713.629</v>
      </c>
      <c r="AT464" s="276">
        <v>3713.629</v>
      </c>
      <c r="AU464" s="276">
        <v>3713.629</v>
      </c>
      <c r="AV464" s="276">
        <v>3713.629</v>
      </c>
      <c r="AW464" s="276">
        <v>3713.629</v>
      </c>
      <c r="AX464" s="2069"/>
      <c r="AY464" s="2069"/>
      <c r="AZ464" s="2069"/>
      <c r="BA464" s="2069"/>
      <c r="BB464" s="2069"/>
      <c r="BC464" s="200" t="s">
        <v>1487</v>
      </c>
      <c r="BD464" s="1304"/>
      <c r="BE464" s="1304"/>
      <c r="BF464" s="1015" t="s">
        <v>1447</v>
      </c>
    </row>
    <row s="1834" customFormat="1" customHeight="1" ht="0">
      <c r="A465" s="1304"/>
      <c r="B465" s="1436"/>
      <c r="C465" s="1304"/>
      <c r="D465" s="1304"/>
      <c r="E465" s="632">
        <v>15</v>
      </c>
      <c r="F465" s="50" cm="1" t="str">
        <f t="array" ref="F465:F465">OFFSET(E465,-1,1)</f>
        <v>4</v>
      </c>
      <c r="G465" s="1304"/>
      <c r="H465" s="98" t="s">
        <v>1297</v>
      </c>
      <c r="I465" s="1304"/>
      <c r="J465" s="1304"/>
      <c r="K465" s="1304"/>
      <c r="L465" s="1304"/>
      <c r="M465" s="1304"/>
      <c r="N465" s="1304"/>
      <c r="O465" s="1304"/>
      <c r="P465" s="1442"/>
      <c r="Q465" s="1442"/>
      <c r="R465" s="1442"/>
      <c r="S465" s="1442"/>
      <c r="T465" s="465" cm="1" t="str">
        <f t="array" ref="T465:T465">T464</f>
        <v>true</v>
      </c>
      <c r="U465" s="1442"/>
      <c r="V465" s="1304"/>
      <c r="W465" s="1442"/>
      <c r="X465" s="1563"/>
      <c r="Y465" s="1545"/>
      <c r="Z465" s="1304"/>
      <c r="AA465" s="1304"/>
      <c r="AB465" s="240" t="s">
        <v>452</v>
      </c>
      <c r="AC465" s="138" t="s">
        <v>1448</v>
      </c>
      <c r="AD465" s="93" t="s">
        <v>1247</v>
      </c>
      <c r="AE465" s="346">
        <f>AE466+AE467</f>
        <v>0</v>
      </c>
      <c r="AF465" s="346">
        <f>AF466+AF467</f>
        <v>0</v>
      </c>
      <c r="AG465" s="346">
        <f>AG466+AG467</f>
        <v>0</v>
      </c>
      <c r="AH465" s="346">
        <f>AH466+AH467</f>
        <v>0</v>
      </c>
      <c r="AI465" s="346">
        <f>AI466+AI467</f>
        <v>0</v>
      </c>
      <c r="AJ465" s="346">
        <f>AJ466+AJ467</f>
        <v>0</v>
      </c>
      <c r="AK465" s="346">
        <f>AK466+AK467</f>
        <v>0</v>
      </c>
      <c r="AL465" s="346">
        <f>AL466+AL467</f>
        <v>0</v>
      </c>
      <c r="AM465" s="346">
        <f>AM466+AM467</f>
        <v>0</v>
      </c>
      <c r="AN465" s="346">
        <f>AN466+AN467</f>
        <v>0</v>
      </c>
      <c r="AO465" s="346">
        <f>AO466+AO467</f>
        <v>0</v>
      </c>
      <c r="AP465" s="346">
        <f>AP466+AP467</f>
        <v>0</v>
      </c>
      <c r="AQ465" s="346">
        <f>AQ466+AQ467</f>
        <v>0</v>
      </c>
      <c r="AR465" s="346">
        <f>AR466+AR467</f>
        <v>0</v>
      </c>
      <c r="AS465" s="346">
        <f>AS466+AS467</f>
        <v>0</v>
      </c>
      <c r="AT465" s="346">
        <f>AT466+AT467</f>
        <v>0</v>
      </c>
      <c r="AU465" s="346">
        <f>AU466+AU467</f>
        <v>0</v>
      </c>
      <c r="AV465" s="346">
        <f>AV466+AV467</f>
        <v>0</v>
      </c>
      <c r="AW465" s="346">
        <f>AW466+AW467</f>
        <v>0</v>
      </c>
      <c r="AX465" s="346">
        <f>AX466+AX467</f>
        <v>0</v>
      </c>
      <c r="AY465" s="346">
        <f>AY466+AY467</f>
        <v>0</v>
      </c>
      <c r="AZ465" s="346">
        <f>AZ466+AZ467</f>
        <v>0</v>
      </c>
      <c r="BA465" s="346">
        <f>BA466+BA467</f>
        <v>0</v>
      </c>
      <c r="BB465" s="346">
        <f>BB466+BB467</f>
        <v>0</v>
      </c>
      <c r="BC465" s="200"/>
      <c r="BD465" s="1304"/>
      <c r="BE465" s="1304"/>
      <c r="BF465" s="1015" t="s">
        <v>1449</v>
      </c>
    </row>
    <row s="1834" customFormat="1" customHeight="1" ht="0">
      <c r="A466" s="1304"/>
      <c r="B466" s="1436"/>
      <c r="C466" s="1304"/>
      <c r="D466" s="1304"/>
      <c r="E466" s="632">
        <v>15</v>
      </c>
      <c r="F466" s="50" cm="1" t="str">
        <f t="array" ref="F466:F466">OFFSET(E466,-1,1)</f>
        <v>4</v>
      </c>
      <c r="G466" s="1304"/>
      <c r="H466" s="98" t="s">
        <v>1300</v>
      </c>
      <c r="I466" s="1304"/>
      <c r="J466" s="1304"/>
      <c r="K466" s="1304"/>
      <c r="L466" s="1304"/>
      <c r="M466" s="1304"/>
      <c r="N466" s="1304"/>
      <c r="O466" s="1304"/>
      <c r="P466" s="1442"/>
      <c r="Q466" s="1442"/>
      <c r="R466" s="1442"/>
      <c r="S466" s="1442"/>
      <c r="T466" s="465" cm="1" t="str">
        <f t="array" ref="T466:T466">T465</f>
        <v>true</v>
      </c>
      <c r="U466" s="1442"/>
      <c r="V466" s="1304"/>
      <c r="W466" s="1442"/>
      <c r="X466" s="1563"/>
      <c r="Y466" s="1545"/>
      <c r="Z466" s="1304"/>
      <c r="AA466" s="1304"/>
      <c r="AB466" s="240" t="s">
        <v>1301</v>
      </c>
      <c r="AC466" s="192" t="s">
        <v>1450</v>
      </c>
      <c r="AD466" s="93" t="s">
        <v>1247</v>
      </c>
      <c r="AE466" s="276"/>
      <c r="AF466" s="276"/>
      <c r="AG466" s="276"/>
      <c r="AH466" s="276"/>
      <c r="AI466" s="276"/>
      <c r="AJ466" s="276"/>
      <c r="AK466" s="276"/>
      <c r="AL466" s="276"/>
      <c r="AM466" s="276"/>
      <c r="AN466" s="2069"/>
      <c r="AO466" s="2069"/>
      <c r="AP466" s="2069"/>
      <c r="AQ466" s="2069"/>
      <c r="AR466" s="2069"/>
      <c r="AS466" s="276"/>
      <c r="AT466" s="276"/>
      <c r="AU466" s="276"/>
      <c r="AV466" s="276"/>
      <c r="AW466" s="276"/>
      <c r="AX466" s="2069"/>
      <c r="AY466" s="2069"/>
      <c r="AZ466" s="2069"/>
      <c r="BA466" s="2069"/>
      <c r="BB466" s="2069"/>
      <c r="BC466" s="200"/>
      <c r="BD466" s="1304"/>
      <c r="BE466" s="1304"/>
      <c r="BF466" s="1015" t="s">
        <v>1451</v>
      </c>
    </row>
    <row s="1834" customFormat="1" customHeight="1" ht="0">
      <c r="A467" s="1304"/>
      <c r="B467" s="1436"/>
      <c r="C467" s="1304"/>
      <c r="D467" s="1304"/>
      <c r="E467" s="632">
        <v>15</v>
      </c>
      <c r="F467" s="50" cm="1" t="str">
        <f t="array" ref="F467:F467">OFFSET(E467,-1,1)</f>
        <v>4</v>
      </c>
      <c r="G467" s="1304"/>
      <c r="H467" s="98" t="s">
        <v>1317</v>
      </c>
      <c r="I467" s="1304"/>
      <c r="J467" s="1304"/>
      <c r="K467" s="1304"/>
      <c r="L467" s="1304"/>
      <c r="M467" s="1304"/>
      <c r="N467" s="1304"/>
      <c r="O467" s="1304"/>
      <c r="P467" s="1442"/>
      <c r="Q467" s="1442"/>
      <c r="R467" s="1442"/>
      <c r="S467" s="1442"/>
      <c r="T467" s="465" cm="1" t="str">
        <f t="array" ref="T467:T467">T466</f>
        <v>true</v>
      </c>
      <c r="U467" s="1442"/>
      <c r="V467" s="1304"/>
      <c r="W467" s="1442"/>
      <c r="X467" s="1563"/>
      <c r="Y467" s="1545"/>
      <c r="Z467" s="1304"/>
      <c r="AA467" s="1304"/>
      <c r="AB467" s="240" t="s">
        <v>1318</v>
      </c>
      <c r="AC467" s="192" t="s">
        <v>1452</v>
      </c>
      <c r="AD467" s="93" t="s">
        <v>1247</v>
      </c>
      <c r="AE467" s="276"/>
      <c r="AF467" s="276"/>
      <c r="AG467" s="276"/>
      <c r="AH467" s="276"/>
      <c r="AI467" s="276"/>
      <c r="AJ467" s="276"/>
      <c r="AK467" s="276"/>
      <c r="AL467" s="276"/>
      <c r="AM467" s="276"/>
      <c r="AN467" s="2069"/>
      <c r="AO467" s="2069"/>
      <c r="AP467" s="2069"/>
      <c r="AQ467" s="2069"/>
      <c r="AR467" s="2069"/>
      <c r="AS467" s="276"/>
      <c r="AT467" s="276"/>
      <c r="AU467" s="276"/>
      <c r="AV467" s="276"/>
      <c r="AW467" s="276"/>
      <c r="AX467" s="2069"/>
      <c r="AY467" s="2069"/>
      <c r="AZ467" s="2069"/>
      <c r="BA467" s="2069"/>
      <c r="BB467" s="2069"/>
      <c r="BC467" s="200"/>
      <c r="BD467" s="1304"/>
      <c r="BE467" s="1304"/>
      <c r="BF467" s="1015" t="s">
        <v>1453</v>
      </c>
    </row>
    <row s="1834" customFormat="1" customHeight="1" ht="0">
      <c r="A468" s="1304"/>
      <c r="B468" s="1436"/>
      <c r="C468" s="1304"/>
      <c r="D468" s="1304"/>
      <c r="E468" s="632">
        <v>22.5</v>
      </c>
      <c r="F468" s="50" cm="1" t="str">
        <f t="array" ref="F468:F468">OFFSET(E468,-1,1)</f>
        <v>4</v>
      </c>
      <c r="G468" s="1304"/>
      <c r="H468" s="98" t="s">
        <v>1454</v>
      </c>
      <c r="I468" s="1304"/>
      <c r="J468" s="1304"/>
      <c r="K468" s="1304"/>
      <c r="L468" s="1304"/>
      <c r="M468" s="1304"/>
      <c r="N468" s="1304"/>
      <c r="O468" s="1304"/>
      <c r="P468" s="1442"/>
      <c r="Q468" s="1442"/>
      <c r="R468" s="1442"/>
      <c r="S468" s="1442"/>
      <c r="T468" s="465" cm="1" t="str">
        <f t="array" ref="T468:T468">T467</f>
        <v>true</v>
      </c>
      <c r="U468" s="1442"/>
      <c r="V468" s="1304"/>
      <c r="W468" s="1442"/>
      <c r="X468" s="1563"/>
      <c r="Y468" s="1545"/>
      <c r="Z468" s="1304"/>
      <c r="AA468" s="1304"/>
      <c r="AB468" s="240" t="s">
        <v>455</v>
      </c>
      <c r="AC468" s="340" t="s">
        <v>1366</v>
      </c>
      <c r="AD468" s="93" t="s">
        <v>1247</v>
      </c>
      <c r="AE468" s="276"/>
      <c r="AF468" s="276"/>
      <c r="AG468" s="276"/>
      <c r="AH468" s="276"/>
      <c r="AI468" s="276"/>
      <c r="AJ468" s="276"/>
      <c r="AK468" s="276"/>
      <c r="AL468" s="276"/>
      <c r="AM468" s="276"/>
      <c r="AN468" s="2069"/>
      <c r="AO468" s="2069"/>
      <c r="AP468" s="2069"/>
      <c r="AQ468" s="2069"/>
      <c r="AR468" s="2069"/>
      <c r="AS468" s="276"/>
      <c r="AT468" s="276"/>
      <c r="AU468" s="276"/>
      <c r="AV468" s="276"/>
      <c r="AW468" s="276"/>
      <c r="AX468" s="2069"/>
      <c r="AY468" s="2069"/>
      <c r="AZ468" s="2069"/>
      <c r="BA468" s="2069"/>
      <c r="BB468" s="2069"/>
      <c r="BC468" s="200"/>
      <c r="BD468" s="1304"/>
      <c r="BE468" s="1304"/>
      <c r="BF468" s="1015" t="s">
        <v>1455</v>
      </c>
    </row>
    <row s="1834" customFormat="1" customHeight="1" ht="0">
      <c r="A469" s="1304"/>
      <c r="B469" s="1436"/>
      <c r="C469" s="1304"/>
      <c r="D469" s="1304"/>
      <c r="E469" s="632">
        <v>15</v>
      </c>
      <c r="F469" s="50" cm="1" t="str">
        <f t="array" ref="F469:F469">OFFSET(E469,-1,1)</f>
        <v>4</v>
      </c>
      <c r="G469" s="1304"/>
      <c r="H469" s="98" t="s">
        <v>1456</v>
      </c>
      <c r="I469" s="1304"/>
      <c r="J469" s="1304"/>
      <c r="K469" s="1304"/>
      <c r="L469" s="1304"/>
      <c r="M469" s="1304"/>
      <c r="N469" s="1304"/>
      <c r="O469" s="1304"/>
      <c r="P469" s="1442"/>
      <c r="Q469" s="1442"/>
      <c r="R469" s="1442"/>
      <c r="S469" s="1442"/>
      <c r="T469" s="465" cm="1" t="str">
        <f t="array" ref="T469:T469">T468</f>
        <v>true</v>
      </c>
      <c r="U469" s="1442"/>
      <c r="V469" s="1304"/>
      <c r="W469" s="1442"/>
      <c r="X469" s="1563"/>
      <c r="Y469" s="1545"/>
      <c r="Z469" s="1304"/>
      <c r="AA469" s="1304"/>
      <c r="AB469" s="240" t="s">
        <v>458</v>
      </c>
      <c r="AC469" s="137" t="s">
        <v>1457</v>
      </c>
      <c r="AD469" s="93" t="s">
        <v>1247</v>
      </c>
      <c r="AE469" s="276"/>
      <c r="AF469" s="276"/>
      <c r="AG469" s="276"/>
      <c r="AH469" s="276"/>
      <c r="AI469" s="276"/>
      <c r="AJ469" s="276"/>
      <c r="AK469" s="276"/>
      <c r="AL469" s="276"/>
      <c r="AM469" s="276"/>
      <c r="AN469" s="2069"/>
      <c r="AO469" s="2069"/>
      <c r="AP469" s="2069"/>
      <c r="AQ469" s="2069"/>
      <c r="AR469" s="2069"/>
      <c r="AS469" s="276"/>
      <c r="AT469" s="276"/>
      <c r="AU469" s="276"/>
      <c r="AV469" s="276"/>
      <c r="AW469" s="276"/>
      <c r="AX469" s="2069"/>
      <c r="AY469" s="2069"/>
      <c r="AZ469" s="2069"/>
      <c r="BA469" s="2069"/>
      <c r="BB469" s="2069"/>
      <c r="BC469" s="200"/>
      <c r="BD469" s="1304"/>
      <c r="BE469" s="1304"/>
      <c r="BF469" s="1015" t="s">
        <v>1458</v>
      </c>
    </row>
    <row s="1834" customFormat="1" customHeight="1" ht="11.25" hidden="1">
      <c r="A470" s="469"/>
      <c r="B470" s="658"/>
      <c r="C470" s="469"/>
      <c r="D470" s="469"/>
      <c r="E470" s="660" t="s">
        <v>373</v>
      </c>
      <c r="F470" s="1175" cm="1" t="str">
        <f t="array" ref="F470:F470">OFFSET(E470,-1,1)</f>
        <v>4</v>
      </c>
      <c r="G470" s="469"/>
      <c r="H470" s="469"/>
      <c r="I470" s="469"/>
      <c r="J470" s="469"/>
      <c r="K470" s="98"/>
      <c r="L470" s="469"/>
      <c r="M470" s="469"/>
      <c r="N470" s="469"/>
      <c r="O470" s="469"/>
      <c r="P470" s="469"/>
      <c r="Q470" s="469"/>
      <c r="R470" s="416"/>
      <c r="S470" s="416"/>
      <c r="T470" s="465" t="b">
        <v>0</v>
      </c>
      <c r="U470" s="469"/>
      <c r="V470" s="469"/>
      <c r="W470" s="469"/>
      <c r="X470" s="1563"/>
      <c r="Y470" s="1545"/>
      <c r="Z470" s="469"/>
      <c r="AA470" s="469"/>
      <c r="AB470" s="1834"/>
      <c r="AC470" s="100"/>
      <c r="AD470" s="100"/>
      <c r="AE470" s="344"/>
      <c r="AF470" s="344"/>
      <c r="AG470" s="344"/>
      <c r="AH470" s="344"/>
      <c r="AI470" s="344"/>
      <c r="AJ470" s="345"/>
      <c r="AK470" s="344"/>
      <c r="AL470" s="344"/>
      <c r="AM470" s="344"/>
      <c r="AN470" s="344"/>
      <c r="AO470" s="344"/>
      <c r="AP470" s="344"/>
      <c r="AQ470" s="344"/>
      <c r="AR470" s="344"/>
      <c r="AS470" s="344"/>
      <c r="AT470" s="344"/>
      <c r="AU470" s="344"/>
      <c r="AV470" s="344"/>
      <c r="AW470" s="344"/>
      <c r="AX470" s="344"/>
      <c r="AY470" s="344"/>
      <c r="AZ470" s="344"/>
      <c r="BA470" s="344"/>
      <c r="BB470" s="344"/>
      <c r="BC470" s="1834"/>
      <c r="BD470" s="1834"/>
      <c r="BE470" s="1834"/>
      <c r="BF470" s="1019"/>
    </row>
    <row s="1834" customFormat="1" customHeight="1" ht="14.25" hidden="1">
      <c r="A471" s="1304"/>
      <c r="B471" s="1436"/>
      <c r="C471" s="1304"/>
      <c r="D471" s="1304"/>
      <c r="E471" s="632">
        <v>15</v>
      </c>
      <c r="F471" s="50" cm="1" t="str">
        <f t="array" ref="F471:F471">OFFSET(E471,-1,1)</f>
        <v>4</v>
      </c>
      <c r="G471" s="1304"/>
      <c r="H471" s="1304"/>
      <c r="I471" s="1304"/>
      <c r="J471" s="1304"/>
      <c r="K471" s="1304"/>
      <c r="L471" s="1304"/>
      <c r="M471" s="1304"/>
      <c r="N471" s="1304"/>
      <c r="O471" s="1304"/>
      <c r="P471" s="1442"/>
      <c r="Q471" s="1442"/>
      <c r="R471" s="416" cm="1" t="str">
        <f t="array" ref="R471:R471">INDEX('Общие сведения'!$AN$179:$AN$250,MATCH($X391,'Общие сведения'!$Z$179:$Z$250,0))</f>
        <v>false</v>
      </c>
      <c r="S471" s="482">
        <f>IF(ISERROR(SEARCH("Водоотведение",AB391)),FALSE,TRUE)</f>
        <v>1</v>
      </c>
      <c r="T471" s="465">
        <f>AND(X391&gt;0,S471,R471)</f>
        <v>0</v>
      </c>
      <c r="U471" s="1442"/>
      <c r="V471" s="1304"/>
      <c r="W471" s="1442"/>
      <c r="X471" s="1563"/>
      <c r="Y471" s="1545"/>
      <c r="Z471" s="1304"/>
      <c r="AA471" s="1304"/>
      <c r="AB471" s="240" t="s">
        <v>276</v>
      </c>
      <c r="AC471" s="87" t="s">
        <v>1398</v>
      </c>
      <c r="AD471" s="197"/>
      <c r="AE471" s="570" cm="1" t="str">
        <f t="array" ref="AE471:AE471">INDEX('Общие сведения'!$AH$179:$AH$250,MATCH($X391,'Общие сведения'!$Z$179:$Z$250,0))</f>
        <v>без дифференциации</v>
      </c>
      <c r="AF471" s="362"/>
      <c r="AG471" s="362"/>
      <c r="AH471" s="362"/>
      <c r="AI471" s="362"/>
      <c r="AJ471" s="362"/>
      <c r="AK471" s="362"/>
      <c r="AL471" s="362"/>
      <c r="AM471" s="362"/>
      <c r="AN471" s="362"/>
      <c r="AO471" s="362"/>
      <c r="AP471" s="362"/>
      <c r="AQ471" s="362"/>
      <c r="AR471" s="362"/>
      <c r="AS471" s="362"/>
      <c r="AT471" s="362"/>
      <c r="AU471" s="362"/>
      <c r="AV471" s="362"/>
      <c r="AW471" s="362"/>
      <c r="AX471" s="362"/>
      <c r="AY471" s="362"/>
      <c r="AZ471" s="362"/>
      <c r="BA471" s="362"/>
      <c r="BB471" s="363"/>
      <c r="BC471" s="2070"/>
      <c r="BD471" s="1304"/>
      <c r="BE471" s="1304"/>
      <c r="BF471" s="1015" t="s">
        <v>1459</v>
      </c>
    </row>
    <row s="1834" customFormat="1" customHeight="1" ht="14.25" hidden="1">
      <c r="A472" s="1304"/>
      <c r="B472" s="1436"/>
      <c r="C472" s="1304"/>
      <c r="D472" s="1304"/>
      <c r="E472" s="632">
        <v>15</v>
      </c>
      <c r="F472" s="50" cm="1" t="str">
        <f t="array" ref="F472:F472">OFFSET(E472,-1,1)</f>
        <v>4</v>
      </c>
      <c r="G472" s="1304"/>
      <c r="H472" s="98" t="s">
        <v>336</v>
      </c>
      <c r="I472" s="1304"/>
      <c r="J472" s="1304"/>
      <c r="K472" s="1304"/>
      <c r="L472" s="1304"/>
      <c r="M472" s="1304"/>
      <c r="N472" s="1304"/>
      <c r="O472" s="1304"/>
      <c r="P472" s="1442"/>
      <c r="Q472" s="1442"/>
      <c r="R472" s="1442"/>
      <c r="S472" s="1442"/>
      <c r="T472" s="465" cm="1" t="str">
        <f t="array" ref="T472:T472">T471</f>
        <v>false</v>
      </c>
      <c r="U472" s="1442"/>
      <c r="V472" s="1304"/>
      <c r="W472" s="1442"/>
      <c r="X472" s="1563"/>
      <c r="Y472" s="1545"/>
      <c r="Z472" s="1304"/>
      <c r="AA472" s="1304"/>
      <c r="AB472" s="240" t="s">
        <v>285</v>
      </c>
      <c r="AC472" s="341" t="s">
        <v>1460</v>
      </c>
      <c r="AD472" s="93" t="s">
        <v>1247</v>
      </c>
      <c r="AE472" s="346">
        <f>AE473+AE475+AE474</f>
        <v>0</v>
      </c>
      <c r="AF472" s="346">
        <f>AF473+AF475+AF474</f>
        <v>0</v>
      </c>
      <c r="AG472" s="346">
        <f>AG473+AG475+AG474</f>
        <v>0</v>
      </c>
      <c r="AH472" s="346">
        <f>AH473+AH475+AH474</f>
        <v>0</v>
      </c>
      <c r="AI472" s="346">
        <f>AI473+AI475+AI474</f>
        <v>0</v>
      </c>
      <c r="AJ472" s="346">
        <f>AJ473+AJ475+AJ474</f>
        <v>0</v>
      </c>
      <c r="AK472" s="346">
        <f>AK473+AK475+AK474</f>
        <v>0</v>
      </c>
      <c r="AL472" s="346">
        <f>AL473+AL475+AL474</f>
        <v>0</v>
      </c>
      <c r="AM472" s="346">
        <f>AM473+AM475+AM474</f>
        <v>0</v>
      </c>
      <c r="AN472" s="346">
        <f>AN473+AN475+AN474</f>
        <v>0</v>
      </c>
      <c r="AO472" s="346">
        <f>AO473+AO475+AO474</f>
        <v>0</v>
      </c>
      <c r="AP472" s="346">
        <f>AP473+AP475+AP474</f>
        <v>0</v>
      </c>
      <c r="AQ472" s="346">
        <f>AQ473+AQ475+AQ474</f>
        <v>0</v>
      </c>
      <c r="AR472" s="346">
        <f>AR473+AR475+AR474</f>
        <v>0</v>
      </c>
      <c r="AS472" s="346">
        <f>AS473+AS475+AS474</f>
        <v>0</v>
      </c>
      <c r="AT472" s="346">
        <f>AT473+AT475+AT474</f>
        <v>0</v>
      </c>
      <c r="AU472" s="346">
        <f>AU473+AU475+AU474</f>
        <v>0</v>
      </c>
      <c r="AV472" s="346">
        <f>AV473+AV475+AV474</f>
        <v>0</v>
      </c>
      <c r="AW472" s="346">
        <f>AW473+AW475+AW474</f>
        <v>0</v>
      </c>
      <c r="AX472" s="346">
        <f>AX473+AX475+AX474</f>
        <v>0</v>
      </c>
      <c r="AY472" s="346">
        <f>AY473+AY475+AY474</f>
        <v>0</v>
      </c>
      <c r="AZ472" s="346">
        <f>AZ473+AZ475+AZ474</f>
        <v>0</v>
      </c>
      <c r="BA472" s="346">
        <f>BA473+BA475+BA474</f>
        <v>0</v>
      </c>
      <c r="BB472" s="346">
        <f>BB473+BB475+BB474</f>
        <v>0</v>
      </c>
      <c r="BC472" s="2070"/>
      <c r="BD472" s="1304"/>
      <c r="BE472" s="1304"/>
      <c r="BF472" s="1015" t="s">
        <v>1461</v>
      </c>
    </row>
    <row s="1834" customFormat="1" customHeight="1" ht="14.25" hidden="1">
      <c r="A473" s="1304"/>
      <c r="B473" s="1436"/>
      <c r="C473" s="1304"/>
      <c r="D473" s="1304"/>
      <c r="E473" s="632">
        <v>15</v>
      </c>
      <c r="F473" s="50" cm="1" t="str">
        <f t="array" ref="F473:F473">OFFSET(E473,-1,1)</f>
        <v>4</v>
      </c>
      <c r="G473" s="1304"/>
      <c r="H473" s="98" t="s">
        <v>1249</v>
      </c>
      <c r="I473" s="1304"/>
      <c r="J473" s="1304"/>
      <c r="K473" s="1304"/>
      <c r="L473" s="1304"/>
      <c r="M473" s="1304"/>
      <c r="N473" s="1304"/>
      <c r="O473" s="1304"/>
      <c r="P473" s="1442"/>
      <c r="Q473" s="1442"/>
      <c r="R473" s="1442"/>
      <c r="S473" s="1442"/>
      <c r="T473" s="465" cm="1" t="str">
        <f t="array" ref="T473:T473">T472</f>
        <v>false</v>
      </c>
      <c r="U473" s="1442"/>
      <c r="V473" s="1304"/>
      <c r="W473" s="1442"/>
      <c r="X473" s="1563"/>
      <c r="Y473" s="1545"/>
      <c r="Z473" s="1304"/>
      <c r="AA473" s="1304"/>
      <c r="AB473" s="240" t="s">
        <v>1250</v>
      </c>
      <c r="AC473" s="214" t="s">
        <v>1462</v>
      </c>
      <c r="AD473" s="93" t="s">
        <v>1247</v>
      </c>
      <c r="AE473" s="2113"/>
      <c r="AF473" s="2113"/>
      <c r="AG473" s="2113"/>
      <c r="AH473" s="2113"/>
      <c r="AI473" s="2113"/>
      <c r="AJ473" s="2113"/>
      <c r="AK473" s="2113"/>
      <c r="AL473" s="2113"/>
      <c r="AM473" s="2113"/>
      <c r="AN473" s="2113"/>
      <c r="AO473" s="2113"/>
      <c r="AP473" s="2113"/>
      <c r="AQ473" s="2113"/>
      <c r="AR473" s="2113"/>
      <c r="AS473" s="2113"/>
      <c r="AT473" s="2113"/>
      <c r="AU473" s="2113"/>
      <c r="AV473" s="2113"/>
      <c r="AW473" s="2113"/>
      <c r="AX473" s="2113"/>
      <c r="AY473" s="2113"/>
      <c r="AZ473" s="2113"/>
      <c r="BA473" s="2113"/>
      <c r="BB473" s="2113"/>
      <c r="BC473" s="2070"/>
      <c r="BD473" s="1304"/>
      <c r="BE473" s="1304"/>
      <c r="BF473" s="1015" t="s">
        <v>1463</v>
      </c>
    </row>
    <row s="1834" customFormat="1" customHeight="1" ht="14.25" hidden="1">
      <c r="A474" s="1304"/>
      <c r="B474" s="1436"/>
      <c r="C474" s="1304"/>
      <c r="D474" s="1304"/>
      <c r="E474" s="632">
        <v>15</v>
      </c>
      <c r="F474" s="50" cm="1" t="str">
        <f t="array" ref="F474:F474">OFFSET(E474,-1,1)</f>
        <v>4</v>
      </c>
      <c r="G474" s="1304"/>
      <c r="H474" s="98" t="s">
        <v>1253</v>
      </c>
      <c r="I474" s="1304"/>
      <c r="J474" s="1304"/>
      <c r="K474" s="1304"/>
      <c r="L474" s="1304"/>
      <c r="M474" s="1304"/>
      <c r="N474" s="1304"/>
      <c r="O474" s="1304"/>
      <c r="P474" s="1442"/>
      <c r="Q474" s="1442"/>
      <c r="R474" s="1442"/>
      <c r="S474" s="1442"/>
      <c r="T474" s="465" cm="1" t="str">
        <f t="array" ref="T474:T474">T473</f>
        <v>false</v>
      </c>
      <c r="U474" s="1442"/>
      <c r="V474" s="1304"/>
      <c r="W474" s="1442"/>
      <c r="X474" s="1563"/>
      <c r="Y474" s="1545"/>
      <c r="Z474" s="1304"/>
      <c r="AA474" s="1304"/>
      <c r="AB474" s="240" t="s">
        <v>1254</v>
      </c>
      <c r="AC474" s="214" t="s">
        <v>1464</v>
      </c>
      <c r="AD474" s="93" t="s">
        <v>1247</v>
      </c>
      <c r="AE474" s="2113"/>
      <c r="AF474" s="2113"/>
      <c r="AG474" s="2113"/>
      <c r="AH474" s="2113"/>
      <c r="AI474" s="2113"/>
      <c r="AJ474" s="2113"/>
      <c r="AK474" s="2113"/>
      <c r="AL474" s="2113"/>
      <c r="AM474" s="2113"/>
      <c r="AN474" s="2113"/>
      <c r="AO474" s="2113"/>
      <c r="AP474" s="2113"/>
      <c r="AQ474" s="2113"/>
      <c r="AR474" s="2113"/>
      <c r="AS474" s="2113"/>
      <c r="AT474" s="2113"/>
      <c r="AU474" s="2113"/>
      <c r="AV474" s="2113"/>
      <c r="AW474" s="2113"/>
      <c r="AX474" s="2113"/>
      <c r="AY474" s="2113"/>
      <c r="AZ474" s="2113"/>
      <c r="BA474" s="2113"/>
      <c r="BB474" s="2113"/>
      <c r="BC474" s="2070"/>
      <c r="BD474" s="1304"/>
      <c r="BE474" s="1304"/>
      <c r="BF474" s="1015" t="s">
        <v>1465</v>
      </c>
    </row>
    <row s="1834" customFormat="1" customHeight="1" ht="21.75" hidden="1">
      <c r="A475" s="1304"/>
      <c r="B475" s="1436"/>
      <c r="C475" s="1304"/>
      <c r="D475" s="1304"/>
      <c r="E475" s="632">
        <v>22.5</v>
      </c>
      <c r="F475" s="50" cm="1" t="str">
        <f t="array" ref="F475:F475">OFFSET(E475,-1,1)</f>
        <v>4</v>
      </c>
      <c r="G475" s="1304"/>
      <c r="H475" s="98" t="s">
        <v>1257</v>
      </c>
      <c r="I475" s="1304"/>
      <c r="J475" s="1304"/>
      <c r="K475" s="1304"/>
      <c r="L475" s="1304"/>
      <c r="M475" s="1304"/>
      <c r="N475" s="1304"/>
      <c r="O475" s="1304"/>
      <c r="P475" s="1442"/>
      <c r="Q475" s="1442"/>
      <c r="R475" s="1442"/>
      <c r="S475" s="1442"/>
      <c r="T475" s="465" cm="1" t="str">
        <f t="array" ref="T475:T475">T474</f>
        <v>false</v>
      </c>
      <c r="U475" s="1442"/>
      <c r="V475" s="1304"/>
      <c r="W475" s="1442"/>
      <c r="X475" s="1563"/>
      <c r="Y475" s="1545"/>
      <c r="Z475" s="1304"/>
      <c r="AA475" s="1304"/>
      <c r="AB475" s="240" t="s">
        <v>1258</v>
      </c>
      <c r="AC475" s="214" t="s">
        <v>1366</v>
      </c>
      <c r="AD475" s="93" t="s">
        <v>1247</v>
      </c>
      <c r="AE475" s="2113"/>
      <c r="AF475" s="2113"/>
      <c r="AG475" s="2113"/>
      <c r="AH475" s="2113"/>
      <c r="AI475" s="2113"/>
      <c r="AJ475" s="2113"/>
      <c r="AK475" s="2113"/>
      <c r="AL475" s="2113"/>
      <c r="AM475" s="2113"/>
      <c r="AN475" s="2113"/>
      <c r="AO475" s="2113"/>
      <c r="AP475" s="2113"/>
      <c r="AQ475" s="2113"/>
      <c r="AR475" s="2113"/>
      <c r="AS475" s="2113"/>
      <c r="AT475" s="2113"/>
      <c r="AU475" s="2113"/>
      <c r="AV475" s="2113"/>
      <c r="AW475" s="2113"/>
      <c r="AX475" s="2113"/>
      <c r="AY475" s="2113"/>
      <c r="AZ475" s="2113"/>
      <c r="BA475" s="2113"/>
      <c r="BB475" s="2113"/>
      <c r="BC475" s="2070"/>
      <c r="BD475" s="1304"/>
      <c r="BE475" s="1304"/>
      <c r="BF475" s="1015" t="s">
        <v>1466</v>
      </c>
    </row>
    <row s="1834" customFormat="1" customHeight="1" ht="21.75" hidden="1">
      <c r="A476" s="1304"/>
      <c r="B476" s="1436"/>
      <c r="C476" s="1304"/>
      <c r="D476" s="1304"/>
      <c r="E476" s="632">
        <v>22.5</v>
      </c>
      <c r="F476" s="50" cm="1" t="str">
        <f t="array" ref="F476:F476">OFFSET(E476,-1,1)</f>
        <v>4</v>
      </c>
      <c r="G476" s="98" t="s">
        <v>1316</v>
      </c>
      <c r="H476" s="98" t="s">
        <v>335</v>
      </c>
      <c r="I476" s="1304"/>
      <c r="J476" s="1304"/>
      <c r="K476" s="1304"/>
      <c r="L476" s="1304"/>
      <c r="M476" s="1304"/>
      <c r="N476" s="1304"/>
      <c r="O476" s="1304"/>
      <c r="P476" s="1442"/>
      <c r="Q476" s="1442"/>
      <c r="R476" s="1442"/>
      <c r="S476" s="1442"/>
      <c r="T476" s="465" cm="1" t="str">
        <f t="array" ref="T476:T476">T475</f>
        <v>false</v>
      </c>
      <c r="U476" s="1442"/>
      <c r="V476" s="1304"/>
      <c r="W476" s="1442"/>
      <c r="X476" s="1563"/>
      <c r="Y476" s="1545"/>
      <c r="Z476" s="1304"/>
      <c r="AA476" s="1304"/>
      <c r="AB476" s="240" t="s">
        <v>289</v>
      </c>
      <c r="AC476" s="341" t="s">
        <v>1467</v>
      </c>
      <c r="AD476" s="93" t="s">
        <v>1247</v>
      </c>
      <c r="AE476" s="346">
        <f>AE477+AE478+AE481</f>
        <v>0</v>
      </c>
      <c r="AF476" s="346">
        <f>AF477+AF478+AF481</f>
        <v>0</v>
      </c>
      <c r="AG476" s="346">
        <f>AG477+AG478+AG481</f>
        <v>0</v>
      </c>
      <c r="AH476" s="346">
        <f>AH477+AH478+AH481</f>
        <v>0</v>
      </c>
      <c r="AI476" s="346">
        <f>AI477+AI478+AI481</f>
        <v>0</v>
      </c>
      <c r="AJ476" s="346">
        <f>AJ477+AJ478+AJ481</f>
        <v>0</v>
      </c>
      <c r="AK476" s="346">
        <f>AK477+AK478+AK481</f>
        <v>0</v>
      </c>
      <c r="AL476" s="346">
        <f>AL477+AL478+AL481</f>
        <v>0</v>
      </c>
      <c r="AM476" s="346">
        <f>AM477+AM478+AM481</f>
        <v>0</v>
      </c>
      <c r="AN476" s="346">
        <f>AN477+AN478+AN481</f>
        <v>0</v>
      </c>
      <c r="AO476" s="346">
        <f>AO477+AO478+AO481</f>
        <v>0</v>
      </c>
      <c r="AP476" s="346">
        <f>AP477+AP478+AP481</f>
        <v>0</v>
      </c>
      <c r="AQ476" s="346">
        <f>AQ477+AQ478+AQ481</f>
        <v>0</v>
      </c>
      <c r="AR476" s="346">
        <f>AR477+AR478+AR481</f>
        <v>0</v>
      </c>
      <c r="AS476" s="346">
        <f>AS477+AS478+AS481</f>
        <v>0</v>
      </c>
      <c r="AT476" s="346">
        <f>AT477+AT478+AT481</f>
        <v>0</v>
      </c>
      <c r="AU476" s="346">
        <f>AU477+AU478+AU481</f>
        <v>0</v>
      </c>
      <c r="AV476" s="346">
        <f>AV477+AV478+AV481</f>
        <v>0</v>
      </c>
      <c r="AW476" s="346">
        <f>AW477+AW478+AW481</f>
        <v>0</v>
      </c>
      <c r="AX476" s="346">
        <f>AX477+AX478+AX481</f>
        <v>0</v>
      </c>
      <c r="AY476" s="346">
        <f>AY477+AY478+AY481</f>
        <v>0</v>
      </c>
      <c r="AZ476" s="346">
        <f>AZ477+AZ478+AZ481</f>
        <v>0</v>
      </c>
      <c r="BA476" s="346">
        <f>BA477+BA478+BA481</f>
        <v>0</v>
      </c>
      <c r="BB476" s="346">
        <f>BB477+BB478+BB481</f>
        <v>0</v>
      </c>
      <c r="BC476" s="2070"/>
      <c r="BD476" s="1304"/>
      <c r="BE476" s="1304"/>
      <c r="BF476" s="1015" t="s">
        <v>1468</v>
      </c>
    </row>
    <row s="1834" customFormat="1" customHeight="1" ht="14.25" hidden="1">
      <c r="A477" s="1304"/>
      <c r="B477" s="1436"/>
      <c r="C477" s="1304"/>
      <c r="D477" s="1304"/>
      <c r="E477" s="632">
        <v>15</v>
      </c>
      <c r="F477" s="50" cm="1" t="str">
        <f t="array" ref="F477:F477">OFFSET(E477,-1,1)</f>
        <v>4</v>
      </c>
      <c r="G477" s="1304"/>
      <c r="H477" s="98" t="s">
        <v>1263</v>
      </c>
      <c r="I477" s="1304"/>
      <c r="J477" s="1304"/>
      <c r="K477" s="1304"/>
      <c r="L477" s="1304"/>
      <c r="M477" s="1304"/>
      <c r="N477" s="1304"/>
      <c r="O477" s="1304"/>
      <c r="P477" s="1442"/>
      <c r="Q477" s="1442"/>
      <c r="R477" s="1442"/>
      <c r="S477" s="1442"/>
      <c r="T477" s="465" cm="1" t="str">
        <f t="array" ref="T477:T477">T476</f>
        <v>false</v>
      </c>
      <c r="U477" s="1442"/>
      <c r="V477" s="1304"/>
      <c r="W477" s="1442"/>
      <c r="X477" s="1563"/>
      <c r="Y477" s="1545"/>
      <c r="Z477" s="1304"/>
      <c r="AA477" s="1304"/>
      <c r="AB477" s="240" t="s">
        <v>1264</v>
      </c>
      <c r="AC477" s="214" t="s">
        <v>1469</v>
      </c>
      <c r="AD477" s="93" t="s">
        <v>1247</v>
      </c>
      <c r="AE477" s="2113"/>
      <c r="AF477" s="2113"/>
      <c r="AG477" s="2113"/>
      <c r="AH477" s="2113"/>
      <c r="AI477" s="2113"/>
      <c r="AJ477" s="2113"/>
      <c r="AK477" s="2113"/>
      <c r="AL477" s="2113"/>
      <c r="AM477" s="2113"/>
      <c r="AN477" s="2113"/>
      <c r="AO477" s="2113"/>
      <c r="AP477" s="2113"/>
      <c r="AQ477" s="2113"/>
      <c r="AR477" s="2113"/>
      <c r="AS477" s="2113"/>
      <c r="AT477" s="2113"/>
      <c r="AU477" s="2113"/>
      <c r="AV477" s="2113"/>
      <c r="AW477" s="2113"/>
      <c r="AX477" s="2113"/>
      <c r="AY477" s="2113"/>
      <c r="AZ477" s="2113"/>
      <c r="BA477" s="2113"/>
      <c r="BB477" s="2113"/>
      <c r="BC477" s="2070"/>
      <c r="BD477" s="1304"/>
      <c r="BE477" s="1304"/>
      <c r="BF477" s="1015" t="s">
        <v>1470</v>
      </c>
    </row>
    <row s="1834" customFormat="1" customHeight="1" ht="14.25" hidden="1">
      <c r="A478" s="1304"/>
      <c r="B478" s="1436"/>
      <c r="C478" s="1304"/>
      <c r="D478" s="1304"/>
      <c r="E478" s="632">
        <v>15</v>
      </c>
      <c r="F478" s="50" cm="1" t="str">
        <f t="array" ref="F478:F478">OFFSET(E478,-1,1)</f>
        <v>4</v>
      </c>
      <c r="G478" s="1304"/>
      <c r="H478" s="98" t="s">
        <v>1267</v>
      </c>
      <c r="I478" s="1304"/>
      <c r="J478" s="1304"/>
      <c r="K478" s="1304"/>
      <c r="L478" s="1304"/>
      <c r="M478" s="1304"/>
      <c r="N478" s="1304"/>
      <c r="O478" s="1304"/>
      <c r="P478" s="1442"/>
      <c r="Q478" s="1442"/>
      <c r="R478" s="1442"/>
      <c r="S478" s="1442"/>
      <c r="T478" s="465" cm="1" t="str">
        <f t="array" ref="T478:T478">T477</f>
        <v>false</v>
      </c>
      <c r="U478" s="1442"/>
      <c r="V478" s="1304"/>
      <c r="W478" s="1442"/>
      <c r="X478" s="1563"/>
      <c r="Y478" s="1545"/>
      <c r="Z478" s="1304"/>
      <c r="AA478" s="1304"/>
      <c r="AB478" s="240" t="s">
        <v>1268</v>
      </c>
      <c r="AC478" s="342" t="s">
        <v>1471</v>
      </c>
      <c r="AD478" s="93" t="s">
        <v>1247</v>
      </c>
      <c r="AE478" s="346">
        <f>AE479+AE480</f>
        <v>0</v>
      </c>
      <c r="AF478" s="346">
        <f>AF479+AF480</f>
        <v>0</v>
      </c>
      <c r="AG478" s="346">
        <f>AG479+AG480</f>
        <v>0</v>
      </c>
      <c r="AH478" s="346">
        <f>AH479+AH480</f>
        <v>0</v>
      </c>
      <c r="AI478" s="346">
        <f>AI479+AI480</f>
        <v>0</v>
      </c>
      <c r="AJ478" s="346">
        <f>AJ479+AJ480</f>
        <v>0</v>
      </c>
      <c r="AK478" s="346">
        <f>AK479+AK480</f>
        <v>0</v>
      </c>
      <c r="AL478" s="346">
        <f>AL479+AL480</f>
        <v>0</v>
      </c>
      <c r="AM478" s="346">
        <f>AM479+AM480</f>
        <v>0</v>
      </c>
      <c r="AN478" s="346">
        <f>AN479+AN480</f>
        <v>0</v>
      </c>
      <c r="AO478" s="346">
        <f>AO479+AO480</f>
        <v>0</v>
      </c>
      <c r="AP478" s="346">
        <f>AP479+AP480</f>
        <v>0</v>
      </c>
      <c r="AQ478" s="346">
        <f>AQ479+AQ480</f>
        <v>0</v>
      </c>
      <c r="AR478" s="346">
        <f>AR479+AR480</f>
        <v>0</v>
      </c>
      <c r="AS478" s="346">
        <f>AS479+AS480</f>
        <v>0</v>
      </c>
      <c r="AT478" s="346">
        <f>AT479+AT480</f>
        <v>0</v>
      </c>
      <c r="AU478" s="346">
        <f>AU479+AU480</f>
        <v>0</v>
      </c>
      <c r="AV478" s="346">
        <f>AV479+AV480</f>
        <v>0</v>
      </c>
      <c r="AW478" s="346">
        <f>AW479+AW480</f>
        <v>0</v>
      </c>
      <c r="AX478" s="346">
        <f>AX479+AX480</f>
        <v>0</v>
      </c>
      <c r="AY478" s="346">
        <f>AY479+AY480</f>
        <v>0</v>
      </c>
      <c r="AZ478" s="346">
        <f>AZ479+AZ480</f>
        <v>0</v>
      </c>
      <c r="BA478" s="346">
        <f>BA479+BA480</f>
        <v>0</v>
      </c>
      <c r="BB478" s="346">
        <f>BB479+BB480</f>
        <v>0</v>
      </c>
      <c r="BC478" s="2070"/>
      <c r="BD478" s="1304"/>
      <c r="BE478" s="1304"/>
      <c r="BF478" s="1015" t="s">
        <v>1472</v>
      </c>
    </row>
    <row s="1834" customFormat="1" customHeight="1" ht="14.25" hidden="1">
      <c r="A479" s="1304"/>
      <c r="B479" s="1436"/>
      <c r="C479" s="1304"/>
      <c r="D479" s="1304"/>
      <c r="E479" s="632">
        <v>15</v>
      </c>
      <c r="F479" s="50" cm="1" t="str">
        <f t="array" ref="F479:F479">OFFSET(E479,-1,1)</f>
        <v>4</v>
      </c>
      <c r="G479" s="1304"/>
      <c r="H479" s="98" t="s">
        <v>1473</v>
      </c>
      <c r="I479" s="1304"/>
      <c r="J479" s="1304"/>
      <c r="K479" s="1304"/>
      <c r="L479" s="1304"/>
      <c r="M479" s="1304"/>
      <c r="N479" s="1304"/>
      <c r="O479" s="1304"/>
      <c r="P479" s="1442"/>
      <c r="Q479" s="1442"/>
      <c r="R479" s="1442"/>
      <c r="S479" s="1442"/>
      <c r="T479" s="465" cm="1" t="str">
        <f t="array" ref="T479:T479">T478</f>
        <v>false</v>
      </c>
      <c r="U479" s="1442"/>
      <c r="V479" s="1304"/>
      <c r="W479" s="1442"/>
      <c r="X479" s="1563"/>
      <c r="Y479" s="1545"/>
      <c r="Z479" s="1304"/>
      <c r="AA479" s="1304"/>
      <c r="AB479" s="240" t="s">
        <v>1474</v>
      </c>
      <c r="AC479" s="343" t="s">
        <v>1323</v>
      </c>
      <c r="AD479" s="93" t="s">
        <v>1247</v>
      </c>
      <c r="AE479" s="2113"/>
      <c r="AF479" s="2113"/>
      <c r="AG479" s="2113"/>
      <c r="AH479" s="2113"/>
      <c r="AI479" s="2113"/>
      <c r="AJ479" s="2113"/>
      <c r="AK479" s="2113"/>
      <c r="AL479" s="2113"/>
      <c r="AM479" s="2113"/>
      <c r="AN479" s="2113"/>
      <c r="AO479" s="2113"/>
      <c r="AP479" s="2113"/>
      <c r="AQ479" s="2113"/>
      <c r="AR479" s="2113"/>
      <c r="AS479" s="2113"/>
      <c r="AT479" s="2113"/>
      <c r="AU479" s="2113"/>
      <c r="AV479" s="2113"/>
      <c r="AW479" s="2113"/>
      <c r="AX479" s="2113"/>
      <c r="AY479" s="2113"/>
      <c r="AZ479" s="2113"/>
      <c r="BA479" s="2113"/>
      <c r="BB479" s="2113"/>
      <c r="BC479" s="2070"/>
      <c r="BD479" s="1304"/>
      <c r="BE479" s="1304"/>
      <c r="BF479" s="1015" t="s">
        <v>1475</v>
      </c>
    </row>
    <row s="1834" customFormat="1" customHeight="1" ht="14.25" hidden="1">
      <c r="A480" s="1304"/>
      <c r="B480" s="1436"/>
      <c r="C480" s="1304"/>
      <c r="D480" s="1304"/>
      <c r="E480" s="632">
        <v>15</v>
      </c>
      <c r="F480" s="50" cm="1" t="str">
        <f t="array" ref="F480:F480">OFFSET(E480,-1,1)</f>
        <v>4</v>
      </c>
      <c r="G480" s="1304"/>
      <c r="H480" s="98" t="s">
        <v>1476</v>
      </c>
      <c r="I480" s="1304"/>
      <c r="J480" s="1304"/>
      <c r="K480" s="1304"/>
      <c r="L480" s="1304"/>
      <c r="M480" s="1304"/>
      <c r="N480" s="1304"/>
      <c r="O480" s="1304"/>
      <c r="P480" s="1442"/>
      <c r="Q480" s="1442"/>
      <c r="R480" s="1442"/>
      <c r="S480" s="1442"/>
      <c r="T480" s="465" cm="1" t="str">
        <f t="array" ref="T480:T480">T479</f>
        <v>false</v>
      </c>
      <c r="U480" s="1442"/>
      <c r="V480" s="1304"/>
      <c r="W480" s="1442"/>
      <c r="X480" s="1563"/>
      <c r="Y480" s="1545"/>
      <c r="Z480" s="1304"/>
      <c r="AA480" s="1304"/>
      <c r="AB480" s="240" t="s">
        <v>1477</v>
      </c>
      <c r="AC480" s="343" t="s">
        <v>1327</v>
      </c>
      <c r="AD480" s="93" t="s">
        <v>1247</v>
      </c>
      <c r="AE480" s="2113"/>
      <c r="AF480" s="2113"/>
      <c r="AG480" s="2113"/>
      <c r="AH480" s="2113"/>
      <c r="AI480" s="2113"/>
      <c r="AJ480" s="2113"/>
      <c r="AK480" s="2113"/>
      <c r="AL480" s="2113"/>
      <c r="AM480" s="2113"/>
      <c r="AN480" s="2113"/>
      <c r="AO480" s="2113"/>
      <c r="AP480" s="2113"/>
      <c r="AQ480" s="2113"/>
      <c r="AR480" s="2113"/>
      <c r="AS480" s="2113"/>
      <c r="AT480" s="2113"/>
      <c r="AU480" s="2113"/>
      <c r="AV480" s="2113"/>
      <c r="AW480" s="2113"/>
      <c r="AX480" s="2113"/>
      <c r="AY480" s="2113"/>
      <c r="AZ480" s="2113"/>
      <c r="BA480" s="2113"/>
      <c r="BB480" s="2113"/>
      <c r="BC480" s="2070"/>
      <c r="BD480" s="1304"/>
      <c r="BE480" s="1304"/>
      <c r="BF480" s="1015" t="s">
        <v>1478</v>
      </c>
    </row>
    <row s="1834" customFormat="1" customHeight="1" ht="21.75" hidden="1">
      <c r="A481" s="1304"/>
      <c r="B481" s="1436"/>
      <c r="C481" s="1304"/>
      <c r="D481" s="1304"/>
      <c r="E481" s="632">
        <v>22.5</v>
      </c>
      <c r="F481" s="50" cm="1" t="str">
        <f t="array" ref="F481:F481">OFFSET(E481,-1,1)</f>
        <v>4</v>
      </c>
      <c r="G481" s="1304"/>
      <c r="H481" s="98" t="s">
        <v>1479</v>
      </c>
      <c r="I481" s="1304"/>
      <c r="J481" s="1304"/>
      <c r="K481" s="1304"/>
      <c r="L481" s="1304"/>
      <c r="M481" s="1304"/>
      <c r="N481" s="1304"/>
      <c r="O481" s="1304"/>
      <c r="P481" s="1442"/>
      <c r="Q481" s="1442"/>
      <c r="R481" s="1442"/>
      <c r="S481" s="1442"/>
      <c r="T481" s="465" cm="1" t="str">
        <f t="array" ref="T481:T481">T480</f>
        <v>false</v>
      </c>
      <c r="U481" s="1442"/>
      <c r="V481" s="1304"/>
      <c r="W481" s="1442"/>
      <c r="X481" s="1563"/>
      <c r="Y481" s="1545"/>
      <c r="Z481" s="1304"/>
      <c r="AA481" s="1304"/>
      <c r="AB481" s="240" t="s">
        <v>1480</v>
      </c>
      <c r="AC481" s="337" t="s">
        <v>1288</v>
      </c>
      <c r="AD481" s="93" t="s">
        <v>1247</v>
      </c>
      <c r="AE481" s="2069"/>
      <c r="AF481" s="2069"/>
      <c r="AG481" s="2069"/>
      <c r="AH481" s="2069"/>
      <c r="AI481" s="2069"/>
      <c r="AJ481" s="2069"/>
      <c r="AK481" s="2069"/>
      <c r="AL481" s="2069"/>
      <c r="AM481" s="2069"/>
      <c r="AN481" s="2069"/>
      <c r="AO481" s="2069"/>
      <c r="AP481" s="2069"/>
      <c r="AQ481" s="2069"/>
      <c r="AR481" s="2069"/>
      <c r="AS481" s="2069"/>
      <c r="AT481" s="2069"/>
      <c r="AU481" s="2069"/>
      <c r="AV481" s="2069"/>
      <c r="AW481" s="2069"/>
      <c r="AX481" s="2069"/>
      <c r="AY481" s="2069"/>
      <c r="AZ481" s="2069"/>
      <c r="BA481" s="2069"/>
      <c r="BB481" s="2069"/>
      <c r="BC481" s="2070"/>
      <c r="BD481" s="1304"/>
      <c r="BE481" s="1304"/>
      <c r="BF481" s="1015" t="s">
        <v>1481</v>
      </c>
    </row>
    <row customHeight="1" ht="14.625">
      <c r="E482" s="632">
        <v>15</v>
      </c>
      <c r="U482" s="416" t="s">
        <v>178</v>
      </c>
      <c r="V482" s="140" t="s">
        <v>1488</v>
      </c>
      <c r="AB482" s="509"/>
      <c r="AC482" s="468"/>
      <c r="AD482" s="510"/>
      <c r="AE482" s="950"/>
      <c r="AF482" s="950"/>
      <c r="AG482" s="950"/>
      <c r="AH482" s="950"/>
      <c r="AI482" s="950"/>
      <c r="AJ482" s="950"/>
      <c r="AK482" s="950"/>
      <c r="AL482" s="950"/>
      <c r="AM482" s="950"/>
      <c r="AN482" s="950"/>
      <c r="AO482" s="950"/>
      <c r="AP482" s="950"/>
      <c r="AQ482" s="950"/>
      <c r="AR482" s="950"/>
      <c r="AS482" s="950"/>
      <c r="AT482" s="950"/>
      <c r="AU482" s="950"/>
      <c r="AV482" s="950"/>
      <c r="AW482" s="950"/>
      <c r="AX482" s="950"/>
      <c r="AY482" s="950"/>
      <c r="AZ482" s="950"/>
      <c r="BA482" s="950"/>
      <c r="BB482" s="950"/>
      <c r="BC482" s="951"/>
    </row>
    <row s="1304" customFormat="1" customHeight="1" ht="10.96875">
      <c r="B483" s="511"/>
      <c r="E483" s="634">
        <v>11.25</v>
      </c>
      <c r="F483" s="748"/>
      <c r="K483" s="98"/>
      <c r="P483" s="482"/>
      <c r="Q483" s="482"/>
      <c r="R483" s="482"/>
      <c r="S483" s="482"/>
      <c r="T483" s="489"/>
      <c r="U483" s="489"/>
      <c r="V483" s="504"/>
      <c r="W483" s="489"/>
      <c r="X483" s="489"/>
      <c r="Y483" s="489"/>
      <c r="Z483" s="489"/>
      <c r="AA483" s="489"/>
      <c r="AB483" s="1569" t="s">
        <v>407</v>
      </c>
      <c r="AC483" s="1569"/>
      <c r="AD483" s="1569"/>
      <c r="AE483" s="1570"/>
      <c r="AF483" s="1570"/>
      <c r="AG483" s="1570"/>
      <c r="AH483" s="1570"/>
      <c r="AI483" s="1570"/>
      <c r="AJ483" s="1570"/>
      <c r="AK483" s="1570"/>
      <c r="AL483" s="1570"/>
      <c r="AM483" s="1570"/>
      <c r="AN483" s="1570"/>
      <c r="AO483" s="1570"/>
      <c r="AP483" s="1570"/>
      <c r="AQ483" s="1570"/>
      <c r="AR483" s="1570"/>
      <c r="AS483" s="1570"/>
      <c r="AT483" s="1570"/>
      <c r="AU483" s="1570"/>
      <c r="AV483" s="1570"/>
      <c r="AW483" s="1570"/>
      <c r="AX483" s="1570"/>
      <c r="AY483" s="1570"/>
      <c r="AZ483" s="1570"/>
      <c r="BA483" s="1570"/>
      <c r="BB483" s="1570"/>
      <c r="BC483" s="1570"/>
      <c r="BD483" s="489"/>
      <c r="BF483" s="1020"/>
    </row>
    <row customHeight="1" ht="14.625">
      <c r="E484" s="632">
        <v>15</v>
      </c>
      <c r="T484" s="489"/>
      <c r="U484" s="489"/>
      <c r="V484" s="504"/>
      <c r="W484" s="489"/>
      <c r="X484" s="489"/>
      <c r="Y484" s="489"/>
      <c r="Z484" s="489"/>
      <c r="AA484" s="661"/>
      <c r="AB484" s="1571"/>
      <c r="AC484" s="1572"/>
      <c r="AD484" s="1572"/>
      <c r="AE484" s="1572"/>
      <c r="AF484" s="1572"/>
      <c r="AG484" s="1572"/>
      <c r="AH484" s="1572"/>
      <c r="AI484" s="2720"/>
      <c r="AJ484" s="2720"/>
      <c r="AK484" s="2720"/>
      <c r="AL484" s="2720"/>
      <c r="AM484" s="2720"/>
      <c r="AN484" s="2720"/>
      <c r="AO484" s="2720"/>
      <c r="AP484" s="2720"/>
      <c r="AQ484" s="2720"/>
      <c r="AR484" s="2720"/>
      <c r="AS484" s="2720"/>
      <c r="AT484" s="2720"/>
      <c r="AU484" s="2720"/>
      <c r="AV484" s="2720"/>
      <c r="AW484" s="2720"/>
      <c r="AX484" s="2720"/>
      <c r="AY484" s="2720"/>
      <c r="AZ484" s="2720"/>
      <c r="BA484" s="2720"/>
      <c r="BB484" s="2720"/>
      <c r="BC484" s="1573"/>
      <c r="BD484" s="489"/>
    </row>
    <row customHeight="1" ht="14.625" hidden="1">
      <c r="A485" s="1304"/>
      <c r="B485" s="1436"/>
      <c r="C485" s="1304"/>
      <c r="D485" s="1304"/>
      <c r="E485" s="632">
        <v>15</v>
      </c>
      <c r="F485" s="1322"/>
      <c r="G485" s="1304"/>
      <c r="H485" s="1304"/>
      <c r="I485" s="1304"/>
      <c r="J485" s="1304"/>
      <c r="K485" s="1304"/>
      <c r="L485" s="1304"/>
      <c r="M485" s="1304"/>
      <c r="N485" s="1304"/>
      <c r="O485" s="1304"/>
      <c r="P485" s="1442"/>
      <c r="Q485" s="1442"/>
      <c r="R485" s="1442"/>
      <c r="S485" s="1442"/>
      <c r="T485" s="465">
        <f>ROW(W485)&gt;ROW(W$485)</f>
        <v>0</v>
      </c>
      <c r="U485" s="489"/>
      <c r="V485" s="504"/>
      <c r="W485" s="757" t="s">
        <v>174</v>
      </c>
      <c r="X485" s="489"/>
      <c r="Y485" s="489"/>
      <c r="Z485" s="489"/>
      <c r="AA485" s="662" t="s">
        <v>175</v>
      </c>
      <c r="AB485" s="2721"/>
      <c r="AC485" s="2722"/>
      <c r="AD485" s="2722"/>
      <c r="AE485" s="2722"/>
      <c r="AF485" s="2722"/>
      <c r="AG485" s="2722"/>
      <c r="AH485" s="2722"/>
      <c r="AI485" s="2722"/>
      <c r="AJ485" s="2722"/>
      <c r="AK485" s="2722"/>
      <c r="AL485" s="2722"/>
      <c r="AM485" s="2722"/>
      <c r="AN485" s="2722"/>
      <c r="AO485" s="2722"/>
      <c r="AP485" s="2722"/>
      <c r="AQ485" s="2722"/>
      <c r="AR485" s="2722"/>
      <c r="AS485" s="2722"/>
      <c r="AT485" s="2722"/>
      <c r="AU485" s="2722"/>
      <c r="AV485" s="2722"/>
      <c r="AW485" s="2722"/>
      <c r="AX485" s="2722"/>
      <c r="AY485" s="2722"/>
      <c r="AZ485" s="2722"/>
      <c r="BA485" s="2722"/>
      <c r="BB485" s="2722"/>
      <c r="BC485" s="2723"/>
      <c r="BD485" s="489"/>
      <c r="BE485" s="1304"/>
      <c r="BF485" s="1306"/>
    </row>
    <row customHeight="1" ht="14.625">
      <c r="E486" s="632">
        <v>15</v>
      </c>
      <c r="T486" s="489"/>
      <c r="U486" s="489"/>
      <c r="V486" s="489"/>
      <c r="W486" s="757" t="s">
        <v>408</v>
      </c>
      <c r="X486" s="489"/>
      <c r="Y486" s="489"/>
      <c r="Z486" s="489"/>
      <c r="AA486" s="489"/>
      <c r="AB486" s="647"/>
      <c r="AC486" s="514" t="s">
        <v>409</v>
      </c>
      <c r="AD486" s="505"/>
      <c r="AE486" s="506"/>
      <c r="AF486" s="506"/>
      <c r="AG486" s="506"/>
      <c r="AH486" s="506"/>
      <c r="AI486" s="506"/>
      <c r="AJ486" s="506"/>
      <c r="AK486" s="506"/>
      <c r="AL486" s="506"/>
      <c r="AM486" s="506"/>
      <c r="AN486" s="506"/>
      <c r="AO486" s="506"/>
      <c r="AP486" s="506"/>
      <c r="AQ486" s="506"/>
      <c r="AR486" s="506"/>
      <c r="AS486" s="506"/>
      <c r="AT486" s="506"/>
      <c r="AU486" s="506"/>
      <c r="AV486" s="506"/>
      <c r="AW486" s="506"/>
      <c r="AX486" s="506"/>
      <c r="AY486" s="506"/>
      <c r="AZ486" s="506"/>
      <c r="BA486" s="506"/>
      <c r="BB486" s="506"/>
      <c r="BC486" s="507"/>
      <c r="BD486" s="489"/>
    </row>
    <row customHeight="1" ht="10.725000000000001">
      <c r="E487" s="632">
        <v>11</v>
      </c>
      <c r="T487" s="489"/>
      <c r="U487" s="489"/>
      <c r="V487" s="489"/>
      <c r="W487" s="489"/>
      <c r="X487" s="489"/>
      <c r="Y487" s="489"/>
      <c r="Z487" s="489"/>
      <c r="AA487" s="489"/>
      <c r="AB487" s="508"/>
      <c r="AC487" s="508"/>
      <c r="AD487" s="508"/>
      <c r="AE487" s="489"/>
      <c r="AF487" s="489"/>
      <c r="AG487" s="489"/>
      <c r="AH487" s="489"/>
      <c r="AI487" s="489"/>
      <c r="AJ487" s="489"/>
      <c r="AK487" s="489"/>
      <c r="AL487" s="489"/>
      <c r="AM487" s="489"/>
      <c r="AN487" s="489"/>
      <c r="AO487" s="489"/>
      <c r="AP487" s="489"/>
      <c r="AQ487" s="489"/>
      <c r="AR487" s="489"/>
      <c r="AS487" s="489"/>
      <c r="AT487" s="489"/>
      <c r="AU487" s="489"/>
      <c r="AV487" s="489"/>
      <c r="AW487" s="489"/>
      <c r="AX487" s="489"/>
      <c r="AY487" s="489"/>
      <c r="AZ487" s="489"/>
      <c r="BA487" s="489"/>
      <c r="BB487" s="489"/>
      <c r="BC487" s="508"/>
      <c r="BD487" s="489"/>
    </row>
  </sheetData>
  <sheetProtection formatColumns="0" formatRows="0" insertRows="0" deleteColumns="0" deleteRows="0" sort="0" autoFilter="0" insertColumns="1"/>
  <mergeCells count="17">
    <mergeCell ref="X27:X117"/>
    <mergeCell ref="Y27:Y117"/>
    <mergeCell ref="AB483:BC483"/>
    <mergeCell ref="AB484:BC484"/>
    <mergeCell ref="AB485:BC485"/>
    <mergeCell ref="AD24:AD25"/>
    <mergeCell ref="BC24:BC25"/>
    <mergeCell ref="AB24:AB25"/>
    <mergeCell ref="AC24:AC25"/>
    <mergeCell ref="X118:X208"/>
    <mergeCell ref="Y118:Y208"/>
    <mergeCell ref="X209:X299"/>
    <mergeCell ref="Y209:Y299"/>
    <mergeCell ref="X300:X390"/>
    <mergeCell ref="Y300:Y390"/>
    <mergeCell ref="X391:X481"/>
    <mergeCell ref="Y391:Y481"/>
  </mergeCells>
  <dataValidations count="1">
    <dataValidation type="decimal" allowBlank="1" showErrorMessage="1" errorTitle="Ошибка" error="Допускается ввод только неотрицательных чисел!" sqref="AE67:BB70 AE113:BB113 AE109:BB111 AE30:BB32 AE34:BB37 AE39:BB42 AE46:BB48 AE50:BB51 AE54:BB55 AE57:BB58 AE73:BB74 AE60:BB63 AE86:BB87 AE89:BB90 AE92:BB93 BB115:BB117 BB121:BB123 BB125:BB128 BB130:BB133 BB137:BB139 BB141:BB142 BB145:BB146 BB148:BB149 BB151:BB154 BB158:BB161 BB164:BB165 BB167:BB170 BB174 BB177:BB178 BB180:BB181 BB183:BB184 BB186:BB191 BB193:BB196 BB200:BB202 BB204 BB206:BB208 BB212:BB214 BB216:BB219 BB221:BB224 BB228:BB230 BB232:BB233 BB236:BB237 BB239:BB240 BB242:BB245 BB249:BB252 BB255:BB256 BB258:BB261 BB265 BB268:BB269 BB271:BB272 BB274:BB275 BB277:BB282 BB284:BB287 BB291:BB293 BB295 BB297:BB299 BB303:BB305 BB307:BB310 BB312:BB315 BB319:BB321 BB323:BB324 BB327:BB328 BB330:BB331 BB333:BB336 BB340:BB343 BB346:BB347 BB349:BB352 BB356 BB359:BB360 BB362:BB363 BB365:BB366 BB368:BB373 BB375:BB378 BB382:BB384 BB386 BB388:BB390 BB394:BB396 BB398:BB401 BB403:BB406 BB410:BB412 BB414:BB415 BB418:BB419 BB421:BB422 BB424:BB427 BB431:BB434 BB437:BB438 BB440:BB443 BB447 BB450:BB451 BB453:BB454 BB456:BB457 BB459:BB464 BB466:BB469 BB473:BB475 BB477 BB479:BB481 BA115:BA117 BA121:BA123 BA125:BA128 BA130:BA133 BA137:BA139 BA141:BA142 BA145:BA146 BA148:BA149 BA151:BA154 BA158:BA161 BA164:BA165 BA167:BA170 BA174 BA177:BA178 BA180:BA181 BA183:BA184 BA186:BA191 BA193:BA196 BA200:BA202 BA204 BA206:BA208 BA212:BA214 BA216:BA219 BA221:BA224 BA228:BA230 BA232:BA233 BA236:BA237 BA239:BA240 BA242:BA245 BA249:BA252 BA255:BA256 BA258:BA261 BA265 BA268:BA269 BA271:BA272 BA274:BA275 BA277:BA282 BA284:BA287 BA291:BA293 BA295 BA297:BA299 BA303:BA305 BA307:BA310 BA312:BA315 BA319:BA321 BA323:BA324 BA327:BA328 BA330:BA331 BA333:BA336 BA340:BA343 BA346:BA347 BA349:BA352 BA356 BA359:BA360 BA362:BA363 BA365:BA366 BA368:BA373 BA375:BA378 BA382:BA384 BA386 BA388:BA390 BA394:BA396 BA398:BA401 BA403:BA406 BA410:BA412 BA414:BA415 BA418:BA419 BA421:BA422 BA424:BA427 BA431:BA434 BA437:BA438 BA440:BA443 BA447 BA450:BA451 BA453:BA454 BA456:BA457 BA459:BA464 BA466:BA469 BA473:BA475 BA477 BA479:BA481 AZ115:AZ117 AZ121:AZ123 AZ125:AZ128 AZ130:AZ133 AZ137:AZ139 AZ141:AZ142 AZ145:AZ146 AZ148:AZ149 AZ151:AZ154 AZ158:AZ161 AZ164:AZ165 AZ167:AZ170 AZ174 AZ177:AZ178 AZ180:AZ181 AZ183:AZ184 AZ186:AZ191 AZ193:AZ196 AZ200:AZ202 AZ204 AZ206:AZ208 AZ212:AZ214 AZ216:AZ219 AZ221:AZ224 AZ228:AZ230 AZ232:AZ233 AZ236:AZ237 AZ239:AZ240 AZ242:AZ245 AZ249:AZ252 AZ255:AZ256 AZ258:AZ261 AZ265 AZ268:AZ269 AZ271:AZ272 AZ274:AZ275 AZ277:AZ282 AZ284:AZ287 AZ291:AZ293 AZ295 AZ297:AZ299 AZ303:AZ305 AZ307:AZ310 AZ312:AZ315 AZ319:AZ321 AZ323:AZ324 AZ327:AZ328 AZ330:AZ331 AZ333:AZ336 AZ340:AZ343 AZ346:AZ347 AZ349:AZ352 AZ356 AZ359:AZ360 AZ362:AZ363 AZ365:AZ366 AZ368:AZ373 AZ375:AZ378 AZ382:AZ384 AZ386 AZ388:AZ390 AZ394:AZ396 AZ398:AZ401 AZ403:AZ406 AZ410:AZ412 AZ414:AZ415 AZ418:AZ419 AZ421:AZ422 AZ424:AZ427 AZ431:AZ434 AZ437:AZ438 AZ440:AZ443 AZ447 AZ450:AZ451 AZ453:AZ454 AZ456:AZ457 AZ459:AZ464 AZ466:AZ469 AZ473:AZ475 AZ477 AZ479:AZ481 AY115:AY117 AY121:AY123 AY125:AY128 AY130:AY133 AY137:AY139 AY141:AY142 AY145:AY146 AY148:AY149 AY151:AY154 AY158:AY161 AY164:AY165 AY167:AY170 AY174 AY177:AY178 AY180:AY181 AY183:AY184 AY186:AY191 AY193:AY196 AY200:AY202 AY204 AY206:AY208 AY212:AY214 AY216:AY219 AY221:AY224 AY228:AY230 AY232:AY233 AY236:AY237 AY239:AY240 AY242:AY245 AY249:AY252 AY255:AY256 AY258:AY261 AY265 AY268:AY269 AY271:AY272 AY274:AY275 AY277:AY282 AY284:AY287 AY291:AY293 AY295 AY297:AY299 AY303:AY305 AY307:AY310 AY312:AY315 AY319:AY321 AY323:AY324 AY327:AY328 AY330:AY331 AY333:AY336 AY340:AY343 AY346:AY347 AY349:AY352 AY356 AY359:AY360 AY362:AY363 AY365:AY366 AY368:AY373 AY375:AY378 AY382:AY384 AY386 AY388:AY390 AY394:AY396 AY398:AY401 AY403:AY406 AY410:AY412 AY414:AY415 AY418:AY419 AY421:AY422 AY424:AY427 AY431:AY434 AY437:AY438 AY440:AY443 AY447 AY450:AY451 AY453:AY454 AY456:AY457 AY459:AY464 AY466:AY469 AY473:AY475 AY477 AY479:AY481 AX115:AX117 AX121:AX123 AX125:AX128 AX130:AX133 AX137:AX139 AX141:AX142 AX145:AX146 AX148:AX149 AX151:AX154 AX158:AX161 AX164:AX165 AX167:AX170 AX174 AX177:AX178 AX180:AX181 AX183:AX184 AX186:AX191 AX193:AX196 AX200:AX202 AX204 AX206:AX208 AX212:AX214 AX216:AX219 AX221:AX224 AX228:AX230 AX232:AX233 AX236:AX237 AX239:AX240 AX242:AX245 AX249:AX252 AX255:AX256 AX258:AX261 AX265 AX268:AX269 AX271:AX272 AX274:AX275 AX277:AX282 AX284:AX287 AX291:AX293 AX295 AX297:AX299 AX303:AX305 AX307:AX310 AX312:AX315 AX319:AX321 AX323:AX324 AX327:AX328 AX330:AX331 AX333:AX336 AX340:AX343 AX346:AX347 AX349:AX352 AX356 AX359:AX360 AX362:AX363 AX365:AX366 AX368:AX373 AX375:AX378 AX382:AX384 AX386 AX388:AX390 AX394:AX396 AX398:AX401 AX403:AX406 AX410:AX412 AX414:AX415 AX418:AX419 AX421:AX422 AX424:AX427 AX431:AX434 AX437:AX438 AX440:AX443 AX447 AX450:AX451 AX453:AX454 AX456:AX457 AX459:AX464 AX466:AX469 AX473:AX475 AX477 AX479:AX481 AW115:AW117 AW121:AW123 AW125:AW128 AW130:AW133 AW137:AW139 AW141:AW142 AW145:AW146 AW148:AW149 AW151:AW154 AW158:AW161 AW164:AW165 AW167:AW170 AW174 AW177:AW178 AW180:AW181 AW183:AW184 AW186:AW191 AW193:AW196 AW200:AW202 AW204 AW206:AW208 AW212:AW214 AW216:AW219 AW221:AW224 AW228:AW230 AW232:AW233 AW236:AW237 AW239:AW240 AW242:AW245 AW249:AW252 AW255:AW256 AW258:AW261 AW265 AW268:AW269 AW271:AW272 AW274:AW275 AW277:AW282 AW284:AW287 AW291:AW293 AW295 AW297:AW299 AW303:AW305 AW307:AW310 AW312:AW315 AW319:AW321 AW323:AW324 AW327:AW328 AW330:AW331 AW333:AW336 AW340:AW343 AW346:AW347 AW349:AW352 AW356 AW359:AW360 AW362:AW363 AW365:AW366 AW368:AW373 AW375:AW378 AW382:AW384 AW386 AW388:AW390 AW394:AW396 AW398:AW401 AW403:AW406 AW410:AW412 AW414:AW415 AW418:AW419 AW421:AW422 AW424:AW427 AW431:AW434 AW437:AW438 AW440:AW443 AW447 AW450:AW451 AW453:AW454 AW456:AW457 AW459:AW464 AW466:AW469 AW473:AW475 AW477 AW479:AW481 AV115:AV117 AV121:AV123 AV125:AV128 AV130:AV133 AV137:AV139 AV141:AV142 AV145:AV146 AV148:AV149 AV151:AV154 AV158:AV161 AV164:AV165 AV167:AV170 AV174 AV177:AV178 AV180:AV181 AV183:AV184 AV186:AV191 AV193:AV196 AV200:AV202 AV204 AV206:AV208 AV212:AV214 AV216:AV219 AV221:AV224 AV228:AV230 AV232:AV233 AV236:AV237 AV239:AV240 AV242:AV245 AV249:AV252 AV255:AV256 AV258:AV261 AV265 AV268:AV269 AV271:AV272 AV274:AV275 AV277:AV282 AV284:AV287 AV291:AV293 AV295 AV297:AV299 AV303:AV305 AV307:AV310 AV312:AV315 AV319:AV321 AV323:AV324 AV327:AV328 AV330:AV331 AV333:AV336 AV340:AV343 AV346:AV347 AV349:AV352 AV356 AV359:AV360 AV362:AV363 AV365:AV366 AV368:AV373 AV375:AV378 AV382:AV384 AV386 AV388:AV390 AV394:AV396 AV398:AV401 AV403:AV406 AV410:AV412 AV414:AV415 AV418:AV419 AV421:AV422 AV424:AV427 AV431:AV434 AV437:AV438 AV440:AV443 AV447 AV450:AV451 AV453:AV454 AV456:AV457 AV459:AV464 AV466:AV469 AV473:AV475 AV477 AV479:AV481 AU115:AU117 AU121:AU123 AU125:AU128 AU130:AU133 AU137:AU139 AU141:AU142 AU145:AU146 AU148:AU149 AU151:AU154 AU158:AU161 AU164:AU165 AU167:AU170 AU174 AU177:AU178 AU180:AU181 AU183:AU184 AU186:AU191 AU193:AU196 AU200:AU202 AU204 AU206:AU208 AU212:AU214 AU216:AU219 AU221:AU224 AU228:AU230 AU232:AU233 AU236:AU237 AU239:AU240 AU242:AU245 AU249:AU252 AU255:AU256 AU258:AU261 AU265 AU268:AU269 AU271:AU272 AU274:AU275 AU277:AU282 AU284:AU287 AU291:AU293 AU295 AU297:AU299 AU303:AU305 AU307:AU310 AU312:AU315 AU319:AU321 AU323:AU324 AU327:AU328 AU330:AU331 AU333:AU336 AU340:AU343 AU346:AU347 AU349:AU352 AU356 AU359:AU360 AU362:AU363 AU365:AU366 AU368:AU373 AU375:AU378 AU382:AU384 AU386 AU388:AU390 AU394:AU396 AU398:AU401 AU403:AU406 AU410:AU412 AU414:AU415 AU418:AU419 AU421:AU422 AU424:AU427 AU431:AU434 AU437:AU438 AU440:AU443 AU447 AU450:AU451 AU453:AU454 AU456:AU457 AU459:AU464 AU466:AU469 AU473:AU475 AU477 AU479:AU481 AT115:AT117 AT121:AT123 AT125:AT128 AT130:AT133 AT137:AT139 AT141:AT142 AT145:AT146 AT148:AT149 AT151:AT154 AT158:AT161 AT164:AT165 AT167:AT170 AT174 AT177:AT178 AT180:AT181 AT183:AT184 AT186:AT191 AT193:AT196 AT200:AT202 AT204 AT206:AT208 AT212:AT214 AT216:AT219 AT221:AT224 AT228:AT230 AT232:AT233 AT236:AT237 AT239:AT240 AT242:AT245 AT249:AT252 AT255:AT256 AT258:AT261 AT265 AT268:AT269 AT271:AT272 AT274:AT275 AT277:AT282 AT284:AT287 AT291:AT293 AT295 AT297:AT299 AT303:AT305 AT307:AT310 AT312:AT315 AT319:AT321 AT323:AT324 AT327:AT328 AT330:AT331 AT333:AT336 AT340:AT343 AT346:AT347 AT349:AT352 AT356 AT359:AT360 AT362:AT363 AT365:AT366 AT368:AT373 AT375:AT378 AT382:AT384 AT386 AT388:AT390 AT394:AT396 AT398:AT401 AT403:AT406 AT410:AT412 AT414:AT415 AT418:AT419 AT421:AT422 AT424:AT427 AT431:AT434 AT437:AT438 AT440:AT443 AT447 AT450:AT451 AT453:AT454 AT456:AT457 AT459:AT464 AT466:AT469 AT473:AT475 AT477 AT479:AT481 AS115:AS117 AS121:AS123 AS125:AS128 AS130:AS133 AS137:AS139 AS141:AS142 AS145:AS146 AS148:AS149 AS151:AS154 AS158:AS161 AS164:AS165 AS167:AS170 AS174 AS177:AS178 AS180:AS181 AS183:AS184 AS186:AS191 AS193:AS196 AS200:AS202 AS204 AS206:AS208 AS212:AS214 AS216:AS219 AS221:AS224 AS228:AS230 AS232:AS233 AS236:AS237 AS239:AS240 AS242:AS245 AS249:AS252 AS255:AS256 AS258:AS261 AS265 AS268:AS269 AS271:AS272 AS274:AS275 AS277:AS282 AS284:AS287 AS291:AS293 AS295 AS297:AS299 AS303:AS305 AS307:AS310 AS312:AS315 AS319:AS321 AS323:AS324 AS327:AS328 AS330:AS331 AS333:AS336 AS340:AS343 AS346:AS347 AS349:AS352 AS356 AS359:AS360 AS362:AS363 AS365:AS366 AS368:AS373 AS375:AS378 AS382:AS384 AS386 AS388:AS390 AS394:AS396 AS398:AS401 AS403:AS406 AS410:AS412 AS414:AS415 AS418:AS419 AS421:AS422 AS424:AS427 AS431:AS434 AS437:AS438 AS440:AS443 AS447 AS450:AS451 AS453:AS454 AS456:AS457 AS459:AS464 AS466:AS469 AS473:AS475 AS477 AS479:AS481 AR115:AR117 AR121:AR123 AR125:AR128 AR130:AR133 AR137:AR139 AR141:AR142 AR145:AR146 AR148:AR149 AR151:AR154 AR158:AR161 AR164:AR165 AR167:AR170 AR174 AR177:AR178 AR180:AR181 AR183:AR184 AR186:AR191 AR193:AR196 AR200:AR202 AR204 AR206:AR208 AR212:AR214 AR216:AR219 AR221:AR224 AR228:AR230 AR232:AR233 AR236:AR237 AR239:AR240 AR242:AR245 AR249:AR252 AR255:AR256 AR258:AR261 AR265 AR268:AR269 AR271:AR272 AR274:AR275 AR277:AR282 AR284:AR287 AR291:AR293 AR295 AR297:AR299 AR303:AR305 AR307:AR310 AR312:AR315 AR319:AR321 AR323:AR324 AR327:AR328 AR330:AR331 AR333:AR336 AR340:AR343 AR346:AR347 AR349:AR352 AR356 AR359:AR360 AR362:AR363 AR365:AR366 AR368:AR373 AR375:AR378 AR382:AR384 AR386 AR388:AR390 AR394:AR396 AR398:AR401 AR403:AR406 AR410:AR412 AR414:AR415 AR418:AR419 AR421:AR422 AR424:AR427 AR431:AR434 AR437:AR438 AR440:AR443 AR447 AR450:AR451 AR453:AR454 AR456:AR457 AR459:AR464 AR466:AR469 AR473:AR475 AR477 AR479:AR481 AQ115:AQ117 AQ121:AQ123 AQ125:AQ128 AQ130:AQ133 AQ137:AQ139 AQ141:AQ142 AQ145:AQ146 AQ148:AQ149 AQ151:AQ154 AQ158:AQ161 AQ164:AQ165 AQ167:AQ170 AQ174 AQ177:AQ178 AQ180:AQ181 AQ183:AQ184 AQ186:AQ191 AQ193:AQ196 AQ200:AQ202 AQ204 AQ206:AQ208 AQ212:AQ214 AQ216:AQ219 AQ221:AQ224 AQ228:AQ230 AQ232:AQ233 AQ236:AQ237 AQ239:AQ240 AQ242:AQ245 AQ249:AQ252 AQ255:AQ256 AQ258:AQ261 AQ265 AQ268:AQ269 AQ271:AQ272 AQ274:AQ275 AQ277:AQ282 AQ284:AQ287 AQ291:AQ293 AQ295 AQ297:AQ299 AQ303:AQ305 AQ307:AQ310 AQ312:AQ315 AQ319:AQ321 AQ323:AQ324 AQ327:AQ328 AQ330:AQ331 AQ333:AQ336 AQ340:AQ343 AQ346:AQ347 AQ349:AQ352 AQ356 AQ359:AQ360 AQ362:AQ363 AQ365:AQ366 AQ368:AQ373 AQ375:AQ378 AQ382:AQ384 AQ386 AQ388:AQ390 AQ394:AQ396 AQ398:AQ401 AQ403:AQ406 AQ410:AQ412 AQ414:AQ415 AQ418:AQ419 AQ421:AQ422 AQ424:AQ427 AQ431:AQ434 AQ437:AQ438 AQ440:AQ443 AQ447 AQ450:AQ451 AQ453:AQ454 AQ456:AQ457 AQ459:AQ464 AQ466:AQ469 AQ473:AQ475 AQ477 AQ479:AQ481 AP115:AP117 AP121:AP123 AP125:AP128 AP130:AP133 AP137:AP139 AP141:AP142 AP145:AP146 AP148:AP149 AP151:AP154 AP158:AP161 AP164:AP165 AP167:AP170 AP174 AP177:AP178 AP180:AP181 AP183:AP184 AP186:AP191 AP193:AP196 AP200:AP202 AP204 AP206:AP208 AP212:AP214 AP216:AP219 AP221:AP224 AP228:AP230 AP232:AP233 AP236:AP237 AP239:AP240 AP242:AP245 AP249:AP252 AP255:AP256 AP258:AP261 AP265 AP268:AP269 AP271:AP272 AP274:AP275 AP277:AP282 AP284:AP287 AP291:AP293 AP295 AP297:AP299 AP303:AP305 AP307:AP310 AP312:AP315 AP319:AP321 AP323:AP324 AP327:AP328 AP330:AP331 AP333:AP336 AP340:AP343 AP346:AP347 AP349:AP352 AP356 AP359:AP360 AP362:AP363 AP365:AP366 AP368:AP373 AP375:AP378 AP382:AP384 AP386 AP388:AP390 AP394:AP396 AP398:AP401 AP403:AP406 AP410:AP412 AP414:AP415 AP418:AP419 AP421:AP422 AP424:AP427 AP431:AP434 AP437:AP438 AP440:AP443 AP447 AP450:AP451 AP453:AP454 AP456:AP457 AP459:AP464 AP466:AP469 AP473:AP475 AP477 AP479:AP481 AO115:AO117 AO121:AO123 AO125:AO128 AO130:AO133 AO137:AO139 AO141:AO142 AO145:AO146 AO148:AO149 AO151:AO154 AO158:AO161 AO164:AO165 AO167:AO170 AO174 AO177:AO178 AO180:AO181 AO183:AO184 AO186:AO191 AO193:AO196 AO200:AO202 AO204 AO206:AO208 AO212:AO214 AO216:AO219 AO221:AO224 AO228:AO230 AO232:AO233 AO236:AO237 AO239:AO240 AO242:AO245 AO249:AO252 AO255:AO256 AO258:AO261 AO265 AO268:AO269 AO271:AO272 AO274:AO275 AO277:AO282 AO284:AO287 AO291:AO293 AO295 AO297:AO299 AO303:AO305 AO307:AO310 AO312:AO315 AO319:AO321 AO323:AO324 AO327:AO328 AO330:AO331 AO333:AO336 AO340:AO343 AO346:AO347 AO349:AO352 AO356 AO359:AO360 AO362:AO363 AO365:AO366 AO368:AO373 AO375:AO378 AO382:AO384 AO386 AO388:AO390 AO394:AO396 AO398:AO401 AO403:AO406 AO410:AO412 AO414:AO415 AO418:AO419 AO421:AO422 AO424:AO427 AO431:AO434 AO437:AO438 AO440:AO443 AO447 AO450:AO451 AO453:AO454 AO456:AO457 AO459:AO464 AO466:AO469 AO473:AO475 AO477 AO479:AO481 AN115:AN117 AN121:AN123 AN125:AN128 AN130:AN133 AN137:AN139 AN141:AN142 AN145:AN146 AN148:AN149 AN151:AN154 AN158:AN161 AN164:AN165 AN167:AN170 AN174 AN177:AN178 AN180:AN181 AN183:AN184 AN186:AN191 AN193:AN196 AN200:AN202 AN204 AN206:AN208 AN212:AN214 AN216:AN219 AN221:AN224 AN228:AN230 AN232:AN233 AN236:AN237 AN239:AN240 AN242:AN245 AN249:AN252 AN255:AN256 AN258:AN261 AN265 AN268:AN269 AN271:AN272 AN274:AN275 AN277:AN282 AN284:AN287 AN291:AN293 AN295 AN297:AN299 AN303:AN305 AN307:AN310 AN312:AN315 AN319:AN321 AN323:AN324 AN327:AN328 AN330:AN331 AN333:AN336 AN340:AN343 AN346:AN347 AN349:AN352 AN356 AN359:AN360 AN362:AN363 AN365:AN366 AN368:AN373 AN375:AN378 AN382:AN384 AN386 AN388:AN390 AN394:AN396 AN398:AN401 AN403:AN406 AN410:AN412 AN414:AN415 AN418:AN419 AN421:AN422 AN424:AN427 AN431:AN434 AN437:AN438 AN440:AN443 AN447 AN450:AN451 AN453:AN454 AN456:AN457 AN459:AN464 AN466:AN469 AN473:AN475 AN477 AN479:AN481 AM115:AM117 AM121:AM123 AM125:AM128 AM130:AM133 AM137:AM139 AM141:AM142 AM145:AM146 AM148:AM149 AM151:AM154 AM158:AM161 AM164:AM165 AM167:AM170 AM174 AM177:AM178 AM180:AM181 AM183:AM184 AM186:AM191 AM193:AM196 AM200:AM202 AM204 AM206:AM208 AM212:AM214 AM216:AM219 AM221:AM224 AM228:AM230 AM232:AM233 AM236:AM237 AM239:AM240 AM242:AM245 AM249:AM252 AM255:AM256 AM258:AM261 AM265 AM268:AM269 AM271:AM272 AM274:AM275 AM277:AM282 AM284:AM287 AM291:AM293 AM295 AM297:AM299 AM303:AM305 AM307:AM310 AM312:AM315 AM319:AM321 AM323:AM324 AM327:AM328 AM330:AM331 AM333:AM336 AM340:AM343 AM346:AM347 AM349:AM352 AM356 AM359:AM360 AM362:AM363 AM365:AM366 AM368:AM373 AM375:AM378 AM382:AM384 AM386 AM388:AM390 AM394:AM396 AM398:AM401 AM403:AM406 AM410:AM412 AM414:AM415 AM418:AM419 AM421:AM422 AM424:AM427 AM431:AM434 AM437:AM438 AM440:AM443 AM447 AM450:AM451 AM453:AM454 AM456:AM457 AM459:AM464 AM466:AM469 AM473:AM475 AM477 AM479:AM481 AL115:AL117 AL121:AL123 AL125:AL128 AL130:AL133 AL137:AL139 AL141:AL142 AL145:AL146 AL148:AL149 AL151:AL154 AL158:AL161 AL164:AL165 AL167:AL170 AL174 AL177:AL178 AL180:AL181 AL183:AL184 AL186:AL191 AL193:AL196 AL200:AL202 AL204 AL206:AL208 AL212:AL214 AL216:AL219 AL221:AL224 AL228:AL230 AL232:AL233 AL236:AL237 AL239:AL240 AL242:AL245 AL249:AL252 AL255:AL256 AL258:AL261 AL265 AL268:AL269 AL271:AL272 AL274:AL275 AL277:AL282 AL284:AL287 AL291:AL293 AL295 AL297:AL299 AL303:AL305 AL307:AL310 AL312:AL315 AL319:AL321 AL323:AL324 AL327:AL328 AL330:AL331 AL333:AL336 AL340:AL343 AL346:AL347 AL349:AL352 AL356 AL359:AL360 AL362:AL363 AL365:AL366 AL368:AL373 AL375:AL378 AL382:AL384 AL386 AL388:AL390 AL394:AL396 AL398:AL401 AL403:AL406 AL410:AL412 AL414:AL415 AL418:AL419 AL421:AL422 AL424:AL427 AL431:AL434 AL437:AL438 AL440:AL443 AL447 AL450:AL451 AL453:AL454 AL456:AL457 AL459:AL464 AL466:AL469 AL473:AL475 AL477 AL479:AL481 AK115:AK117 AK121:AK123 AK125:AK128 AK130:AK133 AK137:AK139 AK141:AK142 AK145:AK146 AK148:AK149 AK151:AK154 AK158:AK161 AK164:AK165 AK167:AK170 AK174 AK177:AK178 AK180:AK181 AK183:AK184 AK186:AK191 AK193:AK196 AK200:AK202 AK204 AK206:AK208 AK212:AK214 AK216:AK219 AK221:AK224 AK228:AK230 AK232:AK233 AK236:AK237 AK239:AK240 AK242:AK245 AK249:AK252 AK255:AK256 AK258:AK261 AK265 AK268:AK269 AK271:AK272 AK274:AK275 AK277:AK282 AK284:AK287 AK291:AK293 AK295 AK297:AK299 AK303:AK305 AK307:AK310 AK312:AK315 AK319:AK321 AK323:AK324 AK327:AK328 AK330:AK331 AK333:AK336 AK340:AK343 AK346:AK347 AK349:AK352 AK356 AK359:AK360 AK362:AK363 AK365:AK366 AK368:AK373 AK375:AK378 AK382:AK384 AK386 AK388:AK390 AK394:AK396 AK398:AK401 AK403:AK406 AK410:AK412 AK414:AK415 AK418:AK419 AK421:AK422 AK424:AK427 AK431:AK434 AK437:AK438 AK440:AK443 AK447 AK450:AK451 AK453:AK454 AK456:AK457 AK459:AK464 AK466:AK469 AK473:AK475 AK477 AK479:AK481 AJ115:AJ117 AJ121:AJ123 AJ125:AJ128 AJ130:AJ133 AJ137:AJ139 AJ141:AJ142 AJ145:AJ146 AJ148:AJ149 AJ151:AJ154 AJ158:AJ161 AJ164:AJ165 AJ167:AJ170 AJ174 AJ177:AJ178 AJ180:AJ181 AJ183:AJ184 AJ186:AJ191 AJ193:AJ196 AJ200:AJ202 AJ204 AJ206:AJ208 AJ212:AJ214 AJ216:AJ219 AJ221:AJ224 AJ228:AJ230 AJ232:AJ233 AJ236:AJ237 AJ239:AJ240 AJ242:AJ245 AJ249:AJ252 AJ255:AJ256 AJ258:AJ261 AJ265 AJ268:AJ269 AJ271:AJ272 AJ274:AJ275 AJ277:AJ282 AJ284:AJ287 AJ291:AJ293 AJ295 AJ297:AJ299 AJ303:AJ305 AJ307:AJ310 AJ312:AJ315 AJ319:AJ321 AJ323:AJ324 AJ327:AJ328 AJ330:AJ331 AJ333:AJ336 AJ340:AJ343 AJ346:AJ347 AJ349:AJ352 AJ356 AJ359:AJ360 AJ362:AJ363 AJ365:AJ366 AJ368:AJ373 AJ375:AJ378 AJ382:AJ384 AJ386 AJ388:AJ390 AJ394:AJ396 AJ398:AJ401 AJ403:AJ406 AJ410:AJ412 AJ414:AJ415 AJ418:AJ419 AJ421:AJ422 AJ424:AJ427 AJ431:AJ434 AJ437:AJ438 AJ440:AJ443 AJ447 AJ450:AJ451 AJ453:AJ454 AJ456:AJ457 AJ459:AJ464 AJ466:AJ469 AJ473:AJ475 AJ477 AJ479:AJ481 AI115:AI117 AI121:AI123 AI125:AI128 AI130:AI133 AI137:AI139 AI141:AI142 AI145:AI146 AI148:AI149 AI151:AI154 AI158:AI161 AI164:AI165 AI167:AI170 AI174 AI177:AI178 AI180:AI181 AI183:AI184 AI186:AI191 AI193:AI196 AI200:AI202 AI204 AI206:AI208 AI212:AI214 AI216:AI219 AI221:AI224 AI228:AI230 AI232:AI233 AI236:AI237 AI239:AI240 AI242:AI245 AI249:AI252 AI255:AI256 AI258:AI261 AI265 AI268:AI269 AI271:AI272 AI274:AI275 AI277:AI282 AI284:AI287 AI291:AI293 AI295 AI297:AI299 AI303:AI305 AI307:AI310 AI312:AI315 AI319:AI321 AI323:AI324 AI327:AI328 AI330:AI331 AI333:AI336 AI340:AI343 AI346:AI347 AI349:AI352 AI356 AI359:AI360 AI362:AI363 AI365:AI366 AI368:AI373 AI375:AI378 AI382:AI384 AI386 AI388:AI390 AI394:AI396 AI398:AI401 AI403:AI406 AI410:AI412 AI414:AI415 AI418:AI419 AI421:AI422 AI424:AI427 AI431:AI434 AI437:AI438 AI440:AI443 AI447 AI450:AI451 AI453:AI454 AI456:AI457 AI459:AI464 AI466:AI469 AI473:AI475 AI477 AI479:AI481 AH115:AH117 AH121:AH123 AH125:AH128 AH130:AH133 AH137:AH139 AH141:AH142 AH145:AH146 AH148:AH149 AH151:AH154 AH158:AH161 AH164:AH165 AH167:AH170 AH174 AH177:AH178 AH180:AH181 AH183:AH184 AH186:AH191 AH193:AH196 AH200:AH202 AH204 AH206:AH208 AH212:AH214 AH216:AH219 AH221:AH224 AH228:AH230 AH232:AH233 AH236:AH237 AH239:AH240 AH242:AH245 AH249:AH252 AH255:AH256 AH258:AH261 AH265 AH268:AH269 AH271:AH272 AH274:AH275 AH277:AH282 AH284:AH287 AH291:AH293 AH295 AH297:AH299 AH303:AH305 AH307:AH310 AH312:AH315 AH319:AH321 AH323:AH324 AH327:AH328 AH330:AH331 AH333:AH336 AH340:AH343 AH346:AH347 AH349:AH352 AH356 AH359:AH360 AH362:AH363 AH365:AH366 AH368:AH373 AH375:AH378 AH382:AH384 AH386 AH388:AH390 AH394:AH396 AH398:AH401 AH403:AH406 AH410:AH412 AH414:AH415 AH418:AH419 AH421:AH422 AH424:AH427 AH431:AH434 AH437:AH438 AH440:AH443 AH447 AH450:AH451 AH453:AH454 AH456:AH457 AH459:AH464 AH466:AH469 AH473:AH475 AH477 AH479:AH481 AG115:AG117 AG121:AG123 AG125:AG128 AG130:AG133 AG137:AG139 AG141:AG142 AG145:AG146 AG148:AG149 AG151:AG154 AG158:AG161 AG164:AG165 AG167:AG170 AG174 AG177:AG178 AG180:AG181 AG183:AG184 AG186:AG191 AG193:AG196 AG200:AG202 AG204 AG206:AG208 AG212:AG214 AG216:AG219 AG221:AG224 AG228:AG230 AG232:AG233 AG236:AG237 AG239:AG240 AG242:AG245 AG249:AG252 AG255:AG256 AG258:AG261 AG265 AG268:AG269 AG271:AG272 AG274:AG275 AG277:AG282 AG284:AG287 AG291:AG293 AG295 AG297:AG299 AG303:AG305 AG307:AG310 AG312:AG315 AG319:AG321 AG323:AG324 AG327:AG328 AG330:AG331 AG333:AG336 AG340:AG343 AG346:AG347 AG349:AG352 AG356 AG359:AG360 AG362:AG363 AG365:AG366 AG368:AG373 AG375:AG378 AG382:AG384 AG386 AG388:AG390 AG394:AG396 AG398:AG401 AG403:AG406 AG410:AG412 AG414:AG415 AG418:AG419 AG421:AG422 AG424:AG427 AG431:AG434 AG437:AG438 AG440:AG443 AG447 AG450:AG451 AG453:AG454 AG456:AG457 AG459:AG464 AG466:AG469 AG473:AG475 AG477 AG479:AG481 AF115:AF117 AF121:AF123 AF125:AF128 AF130:AF133 AF137:AF139 AF141:AF142 AF145:AF146 AF148:AF149 AF151:AF154 AF158:AF161 AF164:AF165 AF167:AF170 AF174 AF177:AF178 AF180:AF181 AF183:AF184 AF186:AF191 AF193:AF196 AF200:AF202 AF204 AF206:AF208 AF212:AF214 AF216:AF219 AF221:AF224 AF228:AF230 AF232:AF233 AF236:AF237 AF239:AF240 AF242:AF245 AF249:AF252 AF255:AF256 AF258:AF261 AF265 AF268:AF269 AF271:AF272 AF274:AF275 AF277:AF282 AF284:AF287 AF291:AF293 AF295 AF297:AF299 AF303:AF305 AF307:AF310 AF312:AF315 AF319:AF321 AF323:AF324 AF327:AF328 AF330:AF331 AF333:AF336 AF340:AF343 AF346:AF347 AF349:AF352 AF356 AF359:AF360 AF362:AF363 AF365:AF366 AF368:AF373 AF375:AF378 AF382:AF384 AF386 AF388:AF390 AF394:AF396 AF398:AF401 AF403:AF406 AF410:AF412 AF414:AF415 AF418:AF419 AF421:AF422 AF424:AF427 AF431:AF434 AF437:AF438 AF440:AF443 AF447 AF450:AF451 AF453:AF454 AF456:AF457 AF459:AF464 AF466:AF469 AF473:AF475 AF477 AF479:AF481 AE115:AE117 AE121:AE123 AE125:AE128 AE130:AE133 AE137:AE139 AE141:AE142 AE145:AE146 AE148:AE149 AE151:AE154 AE158:AE161 AE164:AE165 AE167:AE170 AE174 AE177:AE178 AE180:AE181 AE183:AE184 AE186:AE191 AE193:AE196 AE200:AE202 AE204 AE206:AE208 AE212:AE214 AE216:AE219 AE221:AE224 AE228:AE230 AE232:AE233 AE236:AE237 AE239:AE240 AE242:AE245 AE249:AE252 AE255:AE256 AE258:AE261 AE265 AE268:AE269 AE271:AE272 AE274:AE275 AE277:AE282 AE284:AE287 AE291:AE293 AE295 AE297:AE299 AE303:AE305 AE307:AE310 AE312:AE315 AE319:AE321 AE323:AE324 AE327:AE328 AE330:AE331 AE333:AE336 AE340:AE343 AE346:AE347 AE349:AE352 AE356 AE359:AE360 AE362:AE363 AE365:AE366 AE368:AE373 AE375:AE378 AE382:AE384 AE386 AE388:AE390 AE394:AE396 AE398:AE401 AE403:AE406 AE410:AE412 AE414:AE415 AE418:AE419 AE421:AE422 AE424:AE427 AE431:AE434 AE437:AE438 AE440:AE443 AE447 AE450:AE451 AE453:AE454 AE456:AE457 AE459:AE464 AE466:AE469 AE473:AE475 AE477 AE479:AE481 AE95:BB100 AE102:BB105 AE83:BB83 AE76:BB79">
      <formula1>0</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C520FA-3C98-13E6-F2AA-3308404FBC28}" mc:Ignorable="x14ac xr xr2 xr3">
  <sheetPr>
    <tabColor rgb="FF002060"/>
    <outlinePr summaryRight="0" summaryBelow="0"/>
    <pageSetUpPr fitToPage="1"/>
  </sheetPr>
  <dimension ref="A1:AW49"/>
  <sheetViews>
    <sheetView showGridLines="0" workbookViewId="0">
      <pane xSplit="29" ySplit="27" topLeftCell="AD28" activePane="bottomRight" state="frozen"/>
      <selection pane="bottomLeft" activeCell="A28" sqref="A28"/>
      <selection pane="topRight" activeCell="AD1" sqref="AD1"/>
      <selection pane="bottomRight" activeCell="AA21" sqref="AA21"/>
    </sheetView>
  </sheetViews>
  <sheetFormatPr defaultColWidth="8.7109375" customHeight="1" defaultRowHeight="11.25"/>
  <cols>
    <col min="1" max="1" style="1021" width="4.57421875" hidden="1" customWidth="1"/>
    <col min="2" max="2" style="1459" width="6.7109375" hidden="1" customWidth="1"/>
    <col min="3" max="3" style="1459" width="3.8515625" hidden="1" customWidth="1"/>
    <col min="4" max="4" style="1459" width="2.7109375" hidden="1" customWidth="1"/>
    <col min="5" max="5" style="1419" width="2.7109375" hidden="1" customWidth="1"/>
    <col min="6" max="6" style="1459" width="3.57421875" hidden="1" customWidth="1"/>
    <col min="7" max="19" style="1459" width="2.7109375" hidden="1" customWidth="1"/>
    <col min="20" max="20" style="1459" width="7.7109375" hidden="1" customWidth="1"/>
    <col min="21" max="21" style="1459" width="5.8515625" hidden="1" customWidth="1"/>
    <col min="22" max="22" style="1459" width="7.7109375" hidden="1" customWidth="1"/>
    <col min="23" max="23" style="1459" width="6.140625" hidden="1" customWidth="1"/>
    <col min="24" max="25" style="1459" width="5.57421875" hidden="1" customWidth="1"/>
    <col min="26" max="26" style="1459" width="5.28125" hidden="1" customWidth="1"/>
    <col min="27" max="27" style="1459" width="3.00390625" customWidth="1"/>
    <col min="28" max="28" style="1459" width="11.7109375" customWidth="1"/>
    <col min="29" max="29" style="1459" width="18.86328125" customWidth="1"/>
    <col min="30" max="30" style="1597" width="13.57421875" customWidth="1"/>
    <col min="31" max="31" style="1597" width="13.00390625" customWidth="1"/>
    <col min="32" max="32" style="1597" width="7.29296875" customWidth="1"/>
    <col min="33" max="35" style="1597" width="17.86328125" customWidth="1"/>
    <col min="36" max="36" style="1597" width="7.43359375" customWidth="1"/>
    <col min="37" max="40" style="1597" width="12.57421875" customWidth="1"/>
    <col min="41" max="42" style="1459" width="20.00390625" customWidth="1"/>
    <col min="43" max="43" style="1459" width="3.00390625" customWidth="1"/>
    <col min="44" max="44" style="1459" width="8.7109375" hidden="1"/>
    <col min="45" max="47" style="1424" width="8.7109375" hidden="1"/>
    <col min="48" max="49" style="1419" width="8.7109375" hidden="1"/>
  </cols>
  <sheetData>
    <row customHeight="1" ht="11.25" hidden="1">
      <c r="E1" s="488"/>
      <c r="F1" s="488" t="s">
        <v>321</v>
      </c>
      <c r="H1" s="488" t="s">
        <v>322</v>
      </c>
      <c r="T1" s="1356" t="s">
        <v>93</v>
      </c>
      <c r="U1" s="465" t="s">
        <v>98</v>
      </c>
      <c r="V1" s="465" t="s">
        <v>94</v>
      </c>
      <c r="W1" s="465" t="s">
        <v>95</v>
      </c>
      <c r="X1" s="465" t="s">
        <v>96</v>
      </c>
      <c r="Z1" s="465" t="s">
        <v>100</v>
      </c>
      <c r="AA1" s="465" t="s">
        <v>97</v>
      </c>
      <c r="AB1" s="465" t="s">
        <v>323</v>
      </c>
      <c r="AC1" s="465" t="s">
        <v>99</v>
      </c>
      <c r="AS1" s="1025" t="s">
        <v>324</v>
      </c>
      <c r="AT1" s="1025" t="s">
        <v>325</v>
      </c>
      <c r="AU1" s="1025" t="s">
        <v>326</v>
      </c>
      <c r="AV1" s="649" t="s">
        <v>329</v>
      </c>
      <c r="AW1" s="649" t="s">
        <v>330</v>
      </c>
    </row>
    <row customHeight="1" ht="11.25" hidden="1">
      <c r="B2" s="1357" t="s">
        <v>19</v>
      </c>
      <c r="E2" s="488"/>
      <c r="AK2" s="1597" cm="1" t="str">
        <f t="array" ref="AK2:AK2">isOrgDeclare</f>
        <v>true</v>
      </c>
      <c r="AL2" s="1597" cm="1" t="str">
        <f t="array" ref="AL2:AL2">isOrgDeclare</f>
        <v>true</v>
      </c>
    </row>
    <row customHeight="1" ht="11.25" hidden="1">
      <c r="E3" s="488"/>
      <c r="AK3" s="1304" cm="1" t="str">
        <f t="array" ref="AK3:AK3">god</f>
        <v>2026</v>
      </c>
      <c r="AL3" s="540"/>
      <c r="AM3" s="540" cm="1" t="str">
        <f t="array" ref="AM3:AM3">god</f>
        <v>2026</v>
      </c>
      <c r="AN3" s="540"/>
    </row>
    <row customHeight="1" ht="11.25" hidden="1">
      <c r="E4" s="488"/>
      <c r="AK4" s="540"/>
      <c r="AL4" s="540"/>
      <c r="AM4" s="540"/>
      <c r="AN4" s="540"/>
    </row>
    <row s="1419" customFormat="1" customHeight="1" ht="11.25" hidden="1">
      <c r="A5" s="1021"/>
      <c r="B5" s="488"/>
      <c r="C5" s="488"/>
      <c r="D5" s="488"/>
      <c r="E5" s="649" t="s">
        <v>20</v>
      </c>
      <c r="AA5" s="649">
        <v>3</v>
      </c>
      <c r="AB5" s="649">
        <v>11.71</v>
      </c>
      <c r="AC5" s="649">
        <v>18.86</v>
      </c>
      <c r="AD5" s="651">
        <v>13.57</v>
      </c>
      <c r="AE5" s="651">
        <v>13</v>
      </c>
      <c r="AF5" s="651">
        <v>7.29</v>
      </c>
      <c r="AG5" s="651">
        <v>17.86</v>
      </c>
      <c r="AH5" s="651">
        <v>17.86</v>
      </c>
      <c r="AI5" s="651">
        <v>17.86</v>
      </c>
      <c r="AJ5" s="651">
        <v>7.43</v>
      </c>
      <c r="AK5" s="1305">
        <v>12.57</v>
      </c>
      <c r="AL5" s="650">
        <v>12.57</v>
      </c>
      <c r="AM5" s="650">
        <v>12.57</v>
      </c>
      <c r="AN5" s="650">
        <v>12.57</v>
      </c>
      <c r="AO5" s="649">
        <v>20</v>
      </c>
      <c r="AP5" s="649">
        <v>20</v>
      </c>
      <c r="AQ5" s="649">
        <v>3</v>
      </c>
      <c r="AS5" s="1025"/>
      <c r="AT5" s="1025"/>
      <c r="AU5" s="1025"/>
    </row>
    <row customHeight="1" ht="11.25" hidden="1">
      <c r="A6" s="1021" t="s">
        <v>331</v>
      </c>
      <c r="AC6" s="488" t="s">
        <v>332</v>
      </c>
      <c r="AD6" s="522" t="s">
        <v>333</v>
      </c>
      <c r="AE6" s="522" t="s">
        <v>334</v>
      </c>
      <c r="AF6" s="522" t="s">
        <v>336</v>
      </c>
      <c r="AG6" s="522" t="s">
        <v>335</v>
      </c>
      <c r="AH6" s="522" t="s">
        <v>1225</v>
      </c>
      <c r="AI6" s="522" t="s">
        <v>1228</v>
      </c>
      <c r="AJ6" s="522" t="s">
        <v>1275</v>
      </c>
      <c r="AK6" s="540" t="s">
        <v>1293</v>
      </c>
      <c r="AL6" s="540" t="s">
        <v>1489</v>
      </c>
      <c r="AM6" s="540" t="s">
        <v>1490</v>
      </c>
      <c r="AN6" s="540" t="s">
        <v>1491</v>
      </c>
      <c r="AO6" s="488" t="s">
        <v>1492</v>
      </c>
      <c r="AP6" s="488" t="s">
        <v>1493</v>
      </c>
    </row>
    <row customHeight="1" ht="11.25" hidden="1">
      <c r="AK7" s="540"/>
      <c r="AL7" s="540"/>
      <c r="AM7" s="540"/>
      <c r="AN7" s="540"/>
    </row>
    <row customHeight="1" ht="11.25" hidden="1">
      <c r="AK8" s="540"/>
      <c r="AL8" s="540"/>
      <c r="AM8" s="540"/>
      <c r="AN8" s="540"/>
    </row>
    <row s="1424" customFormat="1" customHeight="1" ht="11.25" hidden="1">
      <c r="A9" s="1024" t="s">
        <v>1494</v>
      </c>
      <c r="AD9" s="1028" cm="1" t="str">
        <f t="array" ref="AD9:AD9">AD24</f>
        <v>Тип материала трубопровода</v>
      </c>
      <c r="AE9" s="1028" cm="1" t="str">
        <f t="array" ref="AE9:AE9">AE24</f>
        <v>Тип грунта</v>
      </c>
      <c r="AF9" s="1028" cm="1" t="str">
        <f t="array" ref="AF9:AF9">AF24</f>
        <v>Глубина грунта, м</v>
      </c>
      <c r="AG9" s="1028" cm="1" t="str">
        <f t="array" ref="AG9:AG9">AG24</f>
        <v>Средняя стоимость строительства 1 км трубопровода, 
тыс. руб.</v>
      </c>
      <c r="AH9" s="1028" cm="1" t="str">
        <f t="array" ref="AH9:AH9">AH24</f>
        <v>Средняя стоимость строительства 1 км трубопровода диаметром 500 мм, тыс.руб.</v>
      </c>
      <c r="AI9" s="1028" cm="1" t="str">
        <f t="array" ref="AI9:AI9">AI24</f>
        <v>Источник информации по средней стоимости строительства</v>
      </c>
      <c r="AJ9" s="1028" cm="1" t="str">
        <f t="array" ref="AJ9:AJ9">AJ24</f>
        <v>Kd</v>
      </c>
      <c r="AK9" s="1026" cm="1" t="str">
        <f t="array" ref="AK9:AK9">AK27</f>
        <v>км</v>
      </c>
      <c r="AL9" s="1026" cm="1" t="str">
        <f t="array" ref="AL9:AL9">AL27</f>
        <v>усл.км</v>
      </c>
      <c r="AM9" s="1026" cm="1" t="str">
        <f t="array" ref="AM9:AM9">AM27</f>
        <v>км</v>
      </c>
      <c r="AN9" s="1026" cm="1" t="str">
        <f t="array" ref="AN9:AN9">AN27</f>
        <v>усл.км</v>
      </c>
      <c r="AO9" s="1028"/>
      <c r="AP9" s="1028"/>
      <c r="AV9" s="649"/>
      <c r="AW9" s="649"/>
    </row>
    <row s="1424" customFormat="1" customHeight="1" ht="11.25" hidden="1">
      <c r="A10" s="1024" t="s">
        <v>366</v>
      </c>
      <c r="AD10" s="1026"/>
      <c r="AE10" s="1026"/>
      <c r="AF10" s="1026"/>
      <c r="AG10" s="1026"/>
      <c r="AH10" s="1026"/>
      <c r="AI10" s="1026"/>
      <c r="AJ10" s="1026"/>
      <c r="AK10" s="1306" cm="1" t="str">
        <f t="array" ref="AK10:AK10">AK26</f>
        <v>Предложение организации</v>
      </c>
      <c r="AL10" s="1027" cm="1" t="str">
        <f t="array" ref="AL10:AL10">AK10</f>
        <v>Предложение организации</v>
      </c>
      <c r="AM10" s="1027" cm="1" t="str">
        <f t="array" ref="AM10:AM10">AM26</f>
        <v>Принято органом регулирования</v>
      </c>
      <c r="AN10" s="1027" cm="1" t="str">
        <f t="array" ref="AN10:AN10">AM10</f>
        <v>Принято органом регулирования</v>
      </c>
      <c r="AV10" s="649"/>
      <c r="AW10" s="649"/>
    </row>
    <row s="1424" customFormat="1" customHeight="1" ht="11.25" hidden="1">
      <c r="A11" s="1024" t="s">
        <v>367</v>
      </c>
      <c r="AD11" s="1026"/>
      <c r="AE11" s="1026"/>
      <c r="AF11" s="1026"/>
      <c r="AG11" s="1026"/>
      <c r="AH11" s="1026"/>
      <c r="AI11" s="1026"/>
      <c r="AJ11" s="1026"/>
      <c r="AK11" s="1027"/>
      <c r="AL11" s="1027"/>
      <c r="AM11" s="1027"/>
      <c r="AN11" s="1027"/>
      <c r="AO11" s="1025" cm="1" t="str">
        <f t="array" ref="AO11:AO11">AO24</f>
        <v>Ссылка на правовую норму (основание для принятия показателя в расчет тарифа)</v>
      </c>
      <c r="AP11" s="1025" cm="1" t="str">
        <f t="array" ref="AP11:AP11">AP24</f>
        <v>Комментарии</v>
      </c>
      <c r="AV11" s="649"/>
      <c r="AW11" s="649"/>
    </row>
    <row s="1424" customFormat="1" customHeight="1" ht="11.25" hidden="1">
      <c r="A12" s="1024" t="s">
        <v>338</v>
      </c>
      <c r="AC12" s="1025" t="s">
        <v>326</v>
      </c>
      <c r="AD12" s="1026"/>
      <c r="AE12" s="1026"/>
      <c r="AF12" s="1026"/>
      <c r="AG12" s="1026"/>
      <c r="AH12" s="1026"/>
      <c r="AI12" s="1026"/>
      <c r="AJ12" s="1026"/>
      <c r="AK12" s="1027"/>
      <c r="AL12" s="1027"/>
      <c r="AM12" s="1027"/>
      <c r="AN12" s="1027"/>
      <c r="AV12" s="649"/>
      <c r="AW12" s="649"/>
    </row>
    <row customHeight="1" ht="11.25" hidden="1">
      <c r="AK13" s="540"/>
      <c r="AL13" s="540"/>
      <c r="AM13" s="540"/>
      <c r="AN13" s="540"/>
    </row>
    <row customHeight="1" ht="11.25" hidden="1">
      <c r="AK14" s="1307"/>
      <c r="AL14" s="1307"/>
      <c r="AM14" s="1307"/>
      <c r="AN14" s="1307"/>
    </row>
    <row customHeight="1" ht="11.25" hidden="1">
      <c r="AK15" s="1307"/>
      <c r="AL15" s="1307"/>
      <c r="AM15" s="1307"/>
      <c r="AN15" s="1307"/>
    </row>
    <row customHeight="1" ht="11.25" hidden="1">
      <c r="AK16" s="1307"/>
      <c r="AL16" s="1307"/>
      <c r="AM16" s="1307"/>
      <c r="AN16" s="1307"/>
    </row>
    <row customHeight="1" ht="11.25" hidden="1">
      <c r="AK17" s="1307"/>
      <c r="AL17" s="1307"/>
      <c r="AM17" s="1307"/>
      <c r="AN17" s="1307"/>
    </row>
    <row customHeight="1" ht="11.25" hidden="1">
      <c r="AC18" s="488" t="s">
        <v>1495</v>
      </c>
    </row>
    <row customHeight="1" ht="11.25" hidden="1"/>
    <row customHeight="1" ht="11.25" hidden="1"/>
    <row customHeight="1" ht="14.625">
      <c r="E21" s="649">
        <v>15</v>
      </c>
      <c r="AA21" s="488"/>
      <c r="AC21" s="523" cm="1" t="str">
        <f t="array" ref="AC21:AC21">tpl_title</f>
        <v>Кемеровская область / 2026 / ООО "Теплоэнерго" (ИНН:4214046200, КПП:421401001) / ДПР: 2026-2030</v>
      </c>
    </row>
    <row customHeight="1" ht="19.5">
      <c r="E22" s="649">
        <v>20</v>
      </c>
      <c r="AB22" s="1308" t="s">
        <v>47</v>
      </c>
      <c r="AC22" s="1309"/>
      <c r="AD22" s="1310"/>
      <c r="AE22" s="1310"/>
      <c r="AF22" s="1310"/>
      <c r="AG22" s="1310"/>
      <c r="AH22" s="1310"/>
      <c r="AI22" s="1310"/>
      <c r="AJ22" s="1310"/>
      <c r="AK22" s="541"/>
      <c r="AL22" s="541"/>
      <c r="AM22" s="541"/>
      <c r="AN22" s="541"/>
      <c r="AO22" s="1311"/>
      <c r="AP22" s="1311"/>
    </row>
    <row customHeight="1" ht="10.96875">
      <c r="E23" s="649">
        <v>11.25</v>
      </c>
      <c r="AB23" s="1581"/>
      <c r="AC23" s="1581"/>
      <c r="AD23" s="1581"/>
      <c r="AE23" s="1581"/>
      <c r="AF23" s="1581"/>
      <c r="AG23" s="1581"/>
      <c r="AH23" s="1581"/>
      <c r="AI23" s="1581"/>
      <c r="AJ23" s="1581"/>
      <c r="AK23" s="1581"/>
      <c r="AL23" s="1581"/>
      <c r="AM23" s="1581"/>
      <c r="AN23" s="524"/>
    </row>
    <row customHeight="1" ht="10.96875">
      <c r="E24" s="649">
        <v>11.25</v>
      </c>
      <c r="AB24" s="1577" t="s">
        <v>1496</v>
      </c>
      <c r="AC24" s="1582" t="s">
        <v>1497</v>
      </c>
      <c r="AD24" s="1582" t="s">
        <v>1498</v>
      </c>
      <c r="AE24" s="1582" t="s">
        <v>1499</v>
      </c>
      <c r="AF24" s="1582" t="s">
        <v>1500</v>
      </c>
      <c r="AG24" s="1582" t="s">
        <v>1501</v>
      </c>
      <c r="AH24" s="1582" t="s">
        <v>1502</v>
      </c>
      <c r="AI24" s="1583" t="s">
        <v>1503</v>
      </c>
      <c r="AJ24" s="1586" t="s">
        <v>1504</v>
      </c>
      <c r="AK24" s="1587" t="s">
        <v>1505</v>
      </c>
      <c r="AL24" s="1588"/>
      <c r="AM24" s="1588"/>
      <c r="AN24" s="1589"/>
      <c r="AO24" s="1590" t="s">
        <v>1242</v>
      </c>
      <c r="AP24" s="1590" t="s">
        <v>371</v>
      </c>
    </row>
    <row customHeight="1" ht="14.625">
      <c r="E25" s="649">
        <v>15</v>
      </c>
      <c r="AB25" s="1577"/>
      <c r="AC25" s="1582"/>
      <c r="AD25" s="1582"/>
      <c r="AE25" s="1582"/>
      <c r="AF25" s="1582"/>
      <c r="AG25" s="1582"/>
      <c r="AH25" s="1582"/>
      <c r="AI25" s="1584"/>
      <c r="AJ25" s="1586"/>
      <c r="AK25" s="1579" t="str">
        <f>god&amp;" год"</f>
        <v>2026 год</v>
      </c>
      <c r="AL25" s="1591"/>
      <c r="AM25" s="1591"/>
      <c r="AN25" s="1592"/>
      <c r="AO25" s="1590"/>
      <c r="AP25" s="1590"/>
    </row>
    <row customHeight="1" ht="48.75">
      <c r="E26" s="649">
        <v>50</v>
      </c>
      <c r="AB26" s="1577"/>
      <c r="AC26" s="1582"/>
      <c r="AD26" s="1582"/>
      <c r="AE26" s="1582"/>
      <c r="AF26" s="1582"/>
      <c r="AG26" s="1582"/>
      <c r="AH26" s="1582"/>
      <c r="AI26" s="1584"/>
      <c r="AJ26" s="1586"/>
      <c r="AK26" s="1593" t="s">
        <v>363</v>
      </c>
      <c r="AL26" s="1593"/>
      <c r="AM26" s="1590" t="s">
        <v>362</v>
      </c>
      <c r="AN26" s="1590"/>
      <c r="AO26" s="1590"/>
      <c r="AP26" s="1590"/>
    </row>
    <row customHeight="1" ht="13.893750000000002">
      <c r="E27" s="649">
        <v>14.25</v>
      </c>
      <c r="AB27" s="1577"/>
      <c r="AC27" s="1582"/>
      <c r="AD27" s="1582"/>
      <c r="AE27" s="1582"/>
      <c r="AF27" s="1582"/>
      <c r="AG27" s="1582"/>
      <c r="AH27" s="1582"/>
      <c r="AI27" s="1585"/>
      <c r="AJ27" s="1586"/>
      <c r="AK27" s="542" t="s">
        <v>388</v>
      </c>
      <c r="AL27" s="542" t="s">
        <v>1506</v>
      </c>
      <c r="AM27" s="542" t="s">
        <v>388</v>
      </c>
      <c r="AN27" s="542" t="s">
        <v>1506</v>
      </c>
      <c r="AO27" s="1590"/>
      <c r="AP27" s="1590"/>
    </row>
    <row customHeight="1" ht="11.25" hidden="1">
      <c r="E28" s="649">
        <v>0</v>
      </c>
      <c r="AB28" s="724"/>
      <c r="AC28" s="1176"/>
      <c r="AD28" s="725"/>
      <c r="AE28" s="725"/>
      <c r="AF28" s="725"/>
      <c r="AG28" s="725"/>
      <c r="AH28" s="725"/>
      <c r="AI28" s="1177"/>
      <c r="AJ28" s="1178"/>
      <c r="AK28" s="718"/>
      <c r="AL28" s="718"/>
      <c r="AM28" s="718"/>
      <c r="AN28" s="718"/>
      <c r="AO28" s="718"/>
      <c r="AP28" s="718"/>
    </row>
    <row customHeight="1" ht="14.625" hidden="1">
      <c r="A29" s="1021"/>
      <c r="B29" s="1459"/>
      <c r="C29" s="1459"/>
      <c r="D29" s="1459"/>
      <c r="E29" s="649">
        <v>15</v>
      </c>
      <c r="F29" s="1312" cm="1" t="str">
        <f t="array" ref="F29:F29">X29</f>
        <v>0</v>
      </c>
      <c r="G29" s="488" t="s">
        <v>1507</v>
      </c>
      <c r="H29" s="1459"/>
      <c r="I29" s="1459"/>
      <c r="J29" s="1459"/>
      <c r="K29" s="1459"/>
      <c r="L29" s="1459"/>
      <c r="M29" s="1459"/>
      <c r="N29" s="1459"/>
      <c r="O29" s="1459"/>
      <c r="P29" s="1459"/>
      <c r="Q29" s="1459"/>
      <c r="R29" s="1459"/>
      <c r="S29" s="1459"/>
      <c r="T29" s="465">
        <f>X29&gt;0</f>
        <v>0</v>
      </c>
      <c r="U29" s="1459"/>
      <c r="V29" s="488" t="s">
        <v>265</v>
      </c>
      <c r="W29" s="1459"/>
      <c r="X29" s="1596">
        <v>0</v>
      </c>
      <c r="Y29" s="1459"/>
      <c r="Z29" s="1597"/>
      <c r="AA29" s="1459"/>
      <c r="AB29" s="1179" cm="1" t="str">
        <f t="array" ref="AB29:AB29">INDEX('Общие сведения'!$AG$179:$AG$250,MATCH($X29,'Общие сведения'!$Z$179:$Z$250,0))</f>
        <v>Тариф 0 () - </v>
      </c>
      <c r="AC29" s="1180"/>
      <c r="AD29" s="180"/>
      <c r="AE29" s="180"/>
      <c r="AF29" s="180"/>
      <c r="AG29" s="180"/>
      <c r="AH29" s="180"/>
      <c r="AI29" s="180"/>
      <c r="AJ29" s="180"/>
      <c r="AK29" s="1181">
        <f>SUM(AK30:AK31)</f>
        <v>0</v>
      </c>
      <c r="AL29" s="543">
        <f>SUM(AL30:AL31)</f>
        <v>0</v>
      </c>
      <c r="AM29" s="543">
        <f>SUM(AM30:AM31)</f>
        <v>0</v>
      </c>
      <c r="AN29" s="543">
        <f>SUM(AN30:AN31)</f>
        <v>0</v>
      </c>
      <c r="AO29" s="1180"/>
      <c r="AP29" s="1180"/>
      <c r="AQ29" s="1459"/>
      <c r="AR29" s="1459"/>
      <c r="AS29" s="1424"/>
      <c r="AT29" s="1424"/>
      <c r="AU29" s="1424"/>
      <c r="AV29" s="1419"/>
      <c r="AW29" s="1419"/>
    </row>
    <row customHeight="1" ht="14.625" hidden="1">
      <c r="A30" s="1021"/>
      <c r="B30" s="1459"/>
      <c r="C30" s="1459"/>
      <c r="D30" s="1459"/>
      <c r="E30" s="649">
        <v>15</v>
      </c>
      <c r="F30" s="50" cm="1" t="str">
        <f t="array" ref="F30:F30">OFFSET(E30,-1,1)</f>
        <v>0</v>
      </c>
      <c r="G30" s="1459"/>
      <c r="H30" s="488" cm="1" t="str">
        <f t="array" ref="H30:H30">AB30</f>
        <v>0</v>
      </c>
      <c r="I30" s="1459"/>
      <c r="J30" s="1459"/>
      <c r="K30" s="1459"/>
      <c r="L30" s="1459"/>
      <c r="M30" s="1459"/>
      <c r="N30" s="1459"/>
      <c r="O30" s="1459"/>
      <c r="P30" s="1459"/>
      <c r="Q30" s="1459"/>
      <c r="R30" s="1459"/>
      <c r="S30" s="1459"/>
      <c r="T30" s="465">
        <f>AND(F30&gt;0,AB30&gt;0)</f>
        <v>0</v>
      </c>
      <c r="U30" s="1459"/>
      <c r="V30" s="1459"/>
      <c r="W30" s="757" t="s">
        <v>174</v>
      </c>
      <c r="X30" s="1596"/>
      <c r="Y30" s="1459"/>
      <c r="Z30" s="1597"/>
      <c r="AA30" s="1182" t="s">
        <v>175</v>
      </c>
      <c r="AB30" s="668">
        <v>0</v>
      </c>
      <c r="AC30" s="2736"/>
      <c r="AD30" s="2737"/>
      <c r="AE30" s="2737"/>
      <c r="AF30" s="2738"/>
      <c r="AG30" s="2739"/>
      <c r="AH30" s="2739"/>
      <c r="AI30" s="2740"/>
      <c r="AJ30" s="1188">
        <f>IF(AH30=0,0,AG30/AH30)</f>
        <v>0</v>
      </c>
      <c r="AK30" s="2742"/>
      <c r="AL30" s="2743">
        <f>AK30*$AJ30</f>
        <v>0</v>
      </c>
      <c r="AM30" s="2742"/>
      <c r="AN30" s="544">
        <f>AM30*$AJ30</f>
        <v>0</v>
      </c>
      <c r="AO30" s="2745"/>
      <c r="AP30" s="2745"/>
      <c r="AQ30" s="1459"/>
      <c r="AR30" s="1459"/>
      <c r="AS30" s="1025" t="s">
        <v>1508</v>
      </c>
      <c r="AT30" s="1025" t="s">
        <v>1509</v>
      </c>
      <c r="AU30" s="1025" cm="1" t="str">
        <f t="array" ref="AU30:AU30">AC30</f>
        <v>0</v>
      </c>
      <c r="AV30" s="1419"/>
      <c r="AW30" s="649" t="b">
        <v>1</v>
      </c>
    </row>
    <row customHeight="1" ht="14.625" hidden="1">
      <c r="A31" s="1021"/>
      <c r="B31" s="1459"/>
      <c r="C31" s="1023"/>
      <c r="D31" s="1459"/>
      <c r="E31" s="649">
        <v>15</v>
      </c>
      <c r="F31" s="50" cm="1" t="str">
        <f t="array" ref="F31:F31">OFFSET(E31,-1,1)</f>
        <v>0</v>
      </c>
      <c r="G31" s="1023"/>
      <c r="H31" s="488" t="str">
        <f>"!= 0"</f>
        <v>!= 0</v>
      </c>
      <c r="I31" s="1459"/>
      <c r="J31" s="1459"/>
      <c r="K31" s="1459"/>
      <c r="L31" s="1459"/>
      <c r="M31" s="1459"/>
      <c r="N31" s="1459"/>
      <c r="O31" s="1459"/>
      <c r="P31" s="1459"/>
      <c r="Q31" s="1459"/>
      <c r="R31" s="1459"/>
      <c r="S31" s="1459"/>
      <c r="T31" s="465" cm="1" t="str">
        <f t="array" ref="T31:T31">T29</f>
        <v>false</v>
      </c>
      <c r="U31" s="1459"/>
      <c r="V31" s="1459"/>
      <c r="W31" s="757" t="s">
        <v>1510</v>
      </c>
      <c r="X31" s="1596"/>
      <c r="Y31" s="1459"/>
      <c r="Z31" s="1597"/>
      <c r="AA31" s="1459"/>
      <c r="AB31" s="1192"/>
      <c r="AC31" s="1193" t="s">
        <v>178</v>
      </c>
      <c r="AD31" s="1313"/>
      <c r="AE31" s="1313"/>
      <c r="AF31" s="1313"/>
      <c r="AG31" s="1313"/>
      <c r="AH31" s="1313"/>
      <c r="AI31" s="1313"/>
      <c r="AJ31" s="1313"/>
      <c r="AK31" s="1313"/>
      <c r="AL31" s="1313"/>
      <c r="AM31" s="1313"/>
      <c r="AN31" s="1313"/>
      <c r="AO31" s="1358"/>
      <c r="AP31" s="1194"/>
      <c r="AQ31" s="1459"/>
      <c r="AR31" s="1459"/>
      <c r="AS31" s="1424"/>
      <c r="AT31" s="1424"/>
      <c r="AU31" s="1424"/>
      <c r="AV31" s="649" t="s">
        <v>1509</v>
      </c>
      <c r="AW31" s="1419"/>
    </row>
    <row s="1834" customFormat="1" customHeight="1" ht="14.25">
      <c r="A32" s="1021"/>
      <c r="B32" s="1459"/>
      <c r="C32" s="1459"/>
      <c r="D32" s="1459"/>
      <c r="E32" s="649">
        <v>15</v>
      </c>
      <c r="F32" s="1312" cm="1" t="str">
        <f t="array" ref="F32:F32">X32</f>
        <v>1</v>
      </c>
      <c r="G32" s="488" t="s">
        <v>1507</v>
      </c>
      <c r="H32" s="1459"/>
      <c r="I32" s="1459"/>
      <c r="J32" s="1459"/>
      <c r="K32" s="1459"/>
      <c r="L32" s="1459"/>
      <c r="M32" s="1459"/>
      <c r="N32" s="1459"/>
      <c r="O32" s="1459"/>
      <c r="P32" s="1459"/>
      <c r="Q32" s="1459"/>
      <c r="R32" s="1459"/>
      <c r="S32" s="1459"/>
      <c r="T32" s="465">
        <f>X32&gt;0</f>
        <v>1</v>
      </c>
      <c r="U32" s="1459"/>
      <c r="V32" s="488" cm="1" t="str">
        <f t="array" ref="V32:V32">Баланс!$AB$118</f>
        <v>Тариф 1 (Водоснабжение) - тариф на питьевую воду (Доп. признак не требуется)</v>
      </c>
      <c r="W32" s="1459"/>
      <c r="X32" s="1596" t="s">
        <v>276</v>
      </c>
      <c r="Y32" s="1459"/>
      <c r="Z32" s="1597"/>
      <c r="AA32" s="1459"/>
      <c r="AB32" s="1179" cm="1" t="str">
        <f t="array" ref="AB32:AB32">Баланс!$AB$118</f>
        <v>Тариф 1 (Водоснабжение) - тариф на питьевую воду (Доп. признак не требуется)</v>
      </c>
      <c r="AC32" s="1180"/>
      <c r="AD32" s="180"/>
      <c r="AE32" s="180"/>
      <c r="AF32" s="180"/>
      <c r="AG32" s="180"/>
      <c r="AH32" s="180"/>
      <c r="AI32" s="180"/>
      <c r="AJ32" s="180"/>
      <c r="AK32" s="1181">
        <f>SUM(AK33:AK34)</f>
        <v>0</v>
      </c>
      <c r="AL32" s="543">
        <f>SUM(AL33:AL34)</f>
        <v>0</v>
      </c>
      <c r="AM32" s="543">
        <f>SUM(AM33:AM34)</f>
        <v>0</v>
      </c>
      <c r="AN32" s="543">
        <f>SUM(AN33:AN34)</f>
        <v>0</v>
      </c>
      <c r="AO32" s="1180"/>
      <c r="AP32" s="1180"/>
      <c r="AQ32" s="1459"/>
      <c r="AR32" s="1459"/>
      <c r="AS32" s="1424"/>
      <c r="AT32" s="1424"/>
      <c r="AU32" s="1424"/>
      <c r="AV32" s="1419"/>
      <c r="AW32" s="1419"/>
    </row>
    <row s="1834" customFormat="1" customHeight="1" ht="14.25" hidden="1">
      <c r="A33" s="1021"/>
      <c r="B33" s="1459"/>
      <c r="C33" s="1459"/>
      <c r="D33" s="1459"/>
      <c r="E33" s="649">
        <v>15</v>
      </c>
      <c r="F33" s="50" cm="1" t="str">
        <f t="array" ref="F33:F33">OFFSET(E33,-1,1)</f>
        <v>1</v>
      </c>
      <c r="G33" s="1459"/>
      <c r="H33" s="488" cm="1" t="str">
        <f t="array" ref="H33:H33">AB33</f>
        <v>0</v>
      </c>
      <c r="I33" s="1459"/>
      <c r="J33" s="1459"/>
      <c r="K33" s="1459"/>
      <c r="L33" s="1459"/>
      <c r="M33" s="1459"/>
      <c r="N33" s="1459"/>
      <c r="O33" s="1459"/>
      <c r="P33" s="1459"/>
      <c r="Q33" s="1459"/>
      <c r="R33" s="1459"/>
      <c r="S33" s="1459"/>
      <c r="T33" s="465">
        <f>AND(F33&gt;0,AB33&gt;0)</f>
        <v>0</v>
      </c>
      <c r="U33" s="1459"/>
      <c r="V33" s="1459"/>
      <c r="W33" s="757" t="s">
        <v>174</v>
      </c>
      <c r="X33" s="1596"/>
      <c r="Y33" s="1459"/>
      <c r="Z33" s="1597"/>
      <c r="AA33" s="1182" t="s">
        <v>175</v>
      </c>
      <c r="AB33" s="668">
        <v>0</v>
      </c>
      <c r="AC33" s="2736"/>
      <c r="AD33" s="2737"/>
      <c r="AE33" s="2737"/>
      <c r="AF33" s="2738"/>
      <c r="AG33" s="2739"/>
      <c r="AH33" s="2739"/>
      <c r="AI33" s="2740"/>
      <c r="AJ33" s="1188">
        <f>IF(AH33=0,0,AG33/AH33)</f>
        <v>0</v>
      </c>
      <c r="AK33" s="2742"/>
      <c r="AL33" s="2743">
        <f>AK33*$AJ33</f>
        <v>0</v>
      </c>
      <c r="AM33" s="2742"/>
      <c r="AN33" s="544">
        <f>AM33*$AJ33</f>
        <v>0</v>
      </c>
      <c r="AO33" s="2745"/>
      <c r="AP33" s="2745"/>
      <c r="AQ33" s="1459"/>
      <c r="AR33" s="1459"/>
      <c r="AS33" s="1025" t="s">
        <v>1508</v>
      </c>
      <c r="AT33" s="1025" t="s">
        <v>1509</v>
      </c>
      <c r="AU33" s="1025" cm="1" t="str">
        <f t="array" ref="AU33:AU33">AC33</f>
        <v>0</v>
      </c>
      <c r="AV33" s="1419"/>
      <c r="AW33" s="649" t="b">
        <v>1</v>
      </c>
    </row>
    <row s="1834" customFormat="1" customHeight="1" ht="14.25">
      <c r="A34" s="1021"/>
      <c r="B34" s="1459"/>
      <c r="C34" s="1023"/>
      <c r="D34" s="1459"/>
      <c r="E34" s="649">
        <v>15</v>
      </c>
      <c r="F34" s="50" cm="1" t="str">
        <f t="array" ref="F34:F34">OFFSET(E34,-1,1)</f>
        <v>1</v>
      </c>
      <c r="G34" s="1023"/>
      <c r="H34" s="488" t="str">
        <f>"!= 0"</f>
        <v>!= 0</v>
      </c>
      <c r="I34" s="1459"/>
      <c r="J34" s="1459"/>
      <c r="K34" s="1459"/>
      <c r="L34" s="1459"/>
      <c r="M34" s="1459"/>
      <c r="N34" s="1459"/>
      <c r="O34" s="1459"/>
      <c r="P34" s="1459"/>
      <c r="Q34" s="1459"/>
      <c r="R34" s="1459"/>
      <c r="S34" s="1459"/>
      <c r="T34" s="465" cm="1" t="str">
        <f t="array" ref="T34:T34">T32</f>
        <v>true</v>
      </c>
      <c r="U34" s="1459"/>
      <c r="V34" s="1459"/>
      <c r="W34" s="757" t="s">
        <v>1510</v>
      </c>
      <c r="X34" s="1596"/>
      <c r="Y34" s="1459"/>
      <c r="Z34" s="1597"/>
      <c r="AA34" s="1459"/>
      <c r="AB34" s="1192"/>
      <c r="AC34" s="1193" t="s">
        <v>178</v>
      </c>
      <c r="AD34" s="1313"/>
      <c r="AE34" s="1313"/>
      <c r="AF34" s="1313"/>
      <c r="AG34" s="1313"/>
      <c r="AH34" s="1313"/>
      <c r="AI34" s="1313"/>
      <c r="AJ34" s="1313"/>
      <c r="AK34" s="1313"/>
      <c r="AL34" s="1313"/>
      <c r="AM34" s="1313"/>
      <c r="AN34" s="1313"/>
      <c r="AO34" s="1358"/>
      <c r="AP34" s="1194"/>
      <c r="AQ34" s="1459"/>
      <c r="AR34" s="1459"/>
      <c r="AS34" s="1424"/>
      <c r="AT34" s="1424"/>
      <c r="AU34" s="1424"/>
      <c r="AV34" s="649" t="s">
        <v>1509</v>
      </c>
      <c r="AW34" s="1419"/>
    </row>
    <row s="1834" customFormat="1" customHeight="1" ht="14.25">
      <c r="A35" s="1021"/>
      <c r="B35" s="1459"/>
      <c r="C35" s="1459"/>
      <c r="D35" s="1459"/>
      <c r="E35" s="649">
        <v>15</v>
      </c>
      <c r="F35" s="1312" cm="1" t="str">
        <f t="array" ref="F35:F35">X35</f>
        <v>2</v>
      </c>
      <c r="G35" s="488" t="s">
        <v>1507</v>
      </c>
      <c r="H35" s="1459"/>
      <c r="I35" s="1459"/>
      <c r="J35" s="1459"/>
      <c r="K35" s="1459"/>
      <c r="L35" s="1459"/>
      <c r="M35" s="1459"/>
      <c r="N35" s="1459"/>
      <c r="O35" s="1459"/>
      <c r="P35" s="1459"/>
      <c r="Q35" s="1459"/>
      <c r="R35" s="1459"/>
      <c r="S35" s="1459"/>
      <c r="T35" s="465">
        <f>X35&gt;0</f>
        <v>1</v>
      </c>
      <c r="U35" s="1459"/>
      <c r="V35" s="488" cm="1" t="str">
        <f t="array" ref="V35:V35">Баланс!$AB$209</f>
        <v>Тариф 2 (Водоснабжение) - тариф на питьевую воду (Доп. признак не требуется)</v>
      </c>
      <c r="W35" s="1459"/>
      <c r="X35" s="1596" t="s">
        <v>285</v>
      </c>
      <c r="Y35" s="1459"/>
      <c r="Z35" s="1597"/>
      <c r="AA35" s="1459"/>
      <c r="AB35" s="1179" cm="1" t="str">
        <f t="array" ref="AB35:AB35">Баланс!$AB$209</f>
        <v>Тариф 2 (Водоснабжение) - тариф на питьевую воду (Доп. признак не требуется)</v>
      </c>
      <c r="AC35" s="1180"/>
      <c r="AD35" s="180"/>
      <c r="AE35" s="180"/>
      <c r="AF35" s="180"/>
      <c r="AG35" s="180"/>
      <c r="AH35" s="180"/>
      <c r="AI35" s="180"/>
      <c r="AJ35" s="180"/>
      <c r="AK35" s="1181">
        <f>SUM(AK36:AK37)</f>
        <v>0</v>
      </c>
      <c r="AL35" s="543">
        <f>SUM(AL36:AL37)</f>
        <v>0</v>
      </c>
      <c r="AM35" s="543">
        <f>SUM(AM36:AM37)</f>
        <v>0</v>
      </c>
      <c r="AN35" s="543">
        <f>SUM(AN36:AN37)</f>
        <v>0</v>
      </c>
      <c r="AO35" s="1180"/>
      <c r="AP35" s="1180"/>
      <c r="AQ35" s="1459"/>
      <c r="AR35" s="1459"/>
      <c r="AS35" s="1424"/>
      <c r="AT35" s="1424"/>
      <c r="AU35" s="1424"/>
      <c r="AV35" s="1419"/>
      <c r="AW35" s="1419"/>
    </row>
    <row s="1834" customFormat="1" customHeight="1" ht="14.25" hidden="1">
      <c r="A36" s="1021"/>
      <c r="B36" s="1459"/>
      <c r="C36" s="1459"/>
      <c r="D36" s="1459"/>
      <c r="E36" s="649">
        <v>15</v>
      </c>
      <c r="F36" s="50" cm="1" t="str">
        <f t="array" ref="F36:F36">OFFSET(E36,-1,1)</f>
        <v>2</v>
      </c>
      <c r="G36" s="1459"/>
      <c r="H36" s="488" cm="1" t="str">
        <f t="array" ref="H36:H36">AB36</f>
        <v>0</v>
      </c>
      <c r="I36" s="1459"/>
      <c r="J36" s="1459"/>
      <c r="K36" s="1459"/>
      <c r="L36" s="1459"/>
      <c r="M36" s="1459"/>
      <c r="N36" s="1459"/>
      <c r="O36" s="1459"/>
      <c r="P36" s="1459"/>
      <c r="Q36" s="1459"/>
      <c r="R36" s="1459"/>
      <c r="S36" s="1459"/>
      <c r="T36" s="465">
        <f>AND(F36&gt;0,AB36&gt;0)</f>
        <v>0</v>
      </c>
      <c r="U36" s="1459"/>
      <c r="V36" s="1459"/>
      <c r="W36" s="757" t="s">
        <v>174</v>
      </c>
      <c r="X36" s="1596"/>
      <c r="Y36" s="1459"/>
      <c r="Z36" s="1597"/>
      <c r="AA36" s="1182" t="s">
        <v>175</v>
      </c>
      <c r="AB36" s="668">
        <v>0</v>
      </c>
      <c r="AC36" s="2736"/>
      <c r="AD36" s="2737"/>
      <c r="AE36" s="2737"/>
      <c r="AF36" s="2738"/>
      <c r="AG36" s="2739"/>
      <c r="AH36" s="2739"/>
      <c r="AI36" s="2740"/>
      <c r="AJ36" s="1188">
        <f>IF(AH36=0,0,AG36/AH36)</f>
        <v>0</v>
      </c>
      <c r="AK36" s="2742"/>
      <c r="AL36" s="2743">
        <f>AK36*$AJ36</f>
        <v>0</v>
      </c>
      <c r="AM36" s="2742"/>
      <c r="AN36" s="544">
        <f>AM36*$AJ36</f>
        <v>0</v>
      </c>
      <c r="AO36" s="2745"/>
      <c r="AP36" s="2745"/>
      <c r="AQ36" s="1459"/>
      <c r="AR36" s="1459"/>
      <c r="AS36" s="1025" t="s">
        <v>1508</v>
      </c>
      <c r="AT36" s="1025" t="s">
        <v>1509</v>
      </c>
      <c r="AU36" s="1025" cm="1" t="str">
        <f t="array" ref="AU36:AU36">AC36</f>
        <v>0</v>
      </c>
      <c r="AV36" s="1419"/>
      <c r="AW36" s="649" t="b">
        <v>1</v>
      </c>
    </row>
    <row s="1834" customFormat="1" customHeight="1" ht="14.25">
      <c r="A37" s="1021"/>
      <c r="B37" s="1459"/>
      <c r="C37" s="1023"/>
      <c r="D37" s="1459"/>
      <c r="E37" s="649">
        <v>15</v>
      </c>
      <c r="F37" s="50" cm="1" t="str">
        <f t="array" ref="F37:F37">OFFSET(E37,-1,1)</f>
        <v>2</v>
      </c>
      <c r="G37" s="1023"/>
      <c r="H37" s="488" t="str">
        <f>"!= 0"</f>
        <v>!= 0</v>
      </c>
      <c r="I37" s="1459"/>
      <c r="J37" s="1459"/>
      <c r="K37" s="1459"/>
      <c r="L37" s="1459"/>
      <c r="M37" s="1459"/>
      <c r="N37" s="1459"/>
      <c r="O37" s="1459"/>
      <c r="P37" s="1459"/>
      <c r="Q37" s="1459"/>
      <c r="R37" s="1459"/>
      <c r="S37" s="1459"/>
      <c r="T37" s="465" cm="1" t="str">
        <f t="array" ref="T37:T37">T35</f>
        <v>true</v>
      </c>
      <c r="U37" s="1459"/>
      <c r="V37" s="1459"/>
      <c r="W37" s="757" t="s">
        <v>1510</v>
      </c>
      <c r="X37" s="1596"/>
      <c r="Y37" s="1459"/>
      <c r="Z37" s="1597"/>
      <c r="AA37" s="1459"/>
      <c r="AB37" s="1192"/>
      <c r="AC37" s="1193" t="s">
        <v>178</v>
      </c>
      <c r="AD37" s="1313"/>
      <c r="AE37" s="1313"/>
      <c r="AF37" s="1313"/>
      <c r="AG37" s="1313"/>
      <c r="AH37" s="1313"/>
      <c r="AI37" s="1313"/>
      <c r="AJ37" s="1313"/>
      <c r="AK37" s="1313"/>
      <c r="AL37" s="1313"/>
      <c r="AM37" s="1313"/>
      <c r="AN37" s="1313"/>
      <c r="AO37" s="1358"/>
      <c r="AP37" s="1194"/>
      <c r="AQ37" s="1459"/>
      <c r="AR37" s="1459"/>
      <c r="AS37" s="1424"/>
      <c r="AT37" s="1424"/>
      <c r="AU37" s="1424"/>
      <c r="AV37" s="649" t="s">
        <v>1509</v>
      </c>
      <c r="AW37" s="1419"/>
    </row>
    <row s="1834" customFormat="1" customHeight="1" ht="14.25">
      <c r="A38" s="1021"/>
      <c r="B38" s="1459"/>
      <c r="C38" s="1459"/>
      <c r="D38" s="1459"/>
      <c r="E38" s="649">
        <v>15</v>
      </c>
      <c r="F38" s="1312" cm="1" t="str">
        <f t="array" ref="F38:F38">X38</f>
        <v>3</v>
      </c>
      <c r="G38" s="488" t="s">
        <v>1507</v>
      </c>
      <c r="H38" s="1459"/>
      <c r="I38" s="1459"/>
      <c r="J38" s="1459"/>
      <c r="K38" s="1459"/>
      <c r="L38" s="1459"/>
      <c r="M38" s="1459"/>
      <c r="N38" s="1459"/>
      <c r="O38" s="1459"/>
      <c r="P38" s="1459"/>
      <c r="Q38" s="1459"/>
      <c r="R38" s="1459"/>
      <c r="S38" s="1459"/>
      <c r="T38" s="465">
        <f>X38&gt;0</f>
        <v>1</v>
      </c>
      <c r="U38" s="1459"/>
      <c r="V38" s="488" cm="1" t="str">
        <f t="array" ref="V38:V38">Баланс!$AB$300</f>
        <v>Тариф 3 (Водоотведение) - тариф на водоотведение (Доп. признак не требуется)</v>
      </c>
      <c r="W38" s="1459"/>
      <c r="X38" s="1596" t="s">
        <v>289</v>
      </c>
      <c r="Y38" s="1459"/>
      <c r="Z38" s="1597"/>
      <c r="AA38" s="1459"/>
      <c r="AB38" s="1179" cm="1" t="str">
        <f t="array" ref="AB38:AB38">Баланс!$AB$300</f>
        <v>Тариф 3 (Водоотведение) - тариф на водоотведение (Доп. признак не требуется)</v>
      </c>
      <c r="AC38" s="1180"/>
      <c r="AD38" s="180"/>
      <c r="AE38" s="180"/>
      <c r="AF38" s="180"/>
      <c r="AG38" s="180"/>
      <c r="AH38" s="180"/>
      <c r="AI38" s="180"/>
      <c r="AJ38" s="180"/>
      <c r="AK38" s="1181">
        <f>SUM(AK39:AK40)</f>
        <v>0</v>
      </c>
      <c r="AL38" s="543">
        <f>SUM(AL39:AL40)</f>
        <v>0</v>
      </c>
      <c r="AM38" s="543">
        <f>SUM(AM39:AM40)</f>
        <v>0</v>
      </c>
      <c r="AN38" s="543">
        <f>SUM(AN39:AN40)</f>
        <v>0</v>
      </c>
      <c r="AO38" s="1180"/>
      <c r="AP38" s="1180"/>
      <c r="AQ38" s="1459"/>
      <c r="AR38" s="1459"/>
      <c r="AS38" s="1424"/>
      <c r="AT38" s="1424"/>
      <c r="AU38" s="1424"/>
      <c r="AV38" s="1419"/>
      <c r="AW38" s="1419"/>
    </row>
    <row s="1834" customFormat="1" customHeight="1" ht="14.25" hidden="1">
      <c r="A39" s="1021"/>
      <c r="B39" s="1459"/>
      <c r="C39" s="1459"/>
      <c r="D39" s="1459"/>
      <c r="E39" s="649">
        <v>15</v>
      </c>
      <c r="F39" s="50" cm="1" t="str">
        <f t="array" ref="F39:F39">OFFSET(E39,-1,1)</f>
        <v>3</v>
      </c>
      <c r="G39" s="1459"/>
      <c r="H39" s="488" cm="1" t="str">
        <f t="array" ref="H39:H39">AB39</f>
        <v>0</v>
      </c>
      <c r="I39" s="1459"/>
      <c r="J39" s="1459"/>
      <c r="K39" s="1459"/>
      <c r="L39" s="1459"/>
      <c r="M39" s="1459"/>
      <c r="N39" s="1459"/>
      <c r="O39" s="1459"/>
      <c r="P39" s="1459"/>
      <c r="Q39" s="1459"/>
      <c r="R39" s="1459"/>
      <c r="S39" s="1459"/>
      <c r="T39" s="465">
        <f>AND(F39&gt;0,AB39&gt;0)</f>
        <v>0</v>
      </c>
      <c r="U39" s="1459"/>
      <c r="V39" s="1459"/>
      <c r="W39" s="757" t="s">
        <v>174</v>
      </c>
      <c r="X39" s="1596"/>
      <c r="Y39" s="1459"/>
      <c r="Z39" s="1597"/>
      <c r="AA39" s="1182" t="s">
        <v>175</v>
      </c>
      <c r="AB39" s="668">
        <v>0</v>
      </c>
      <c r="AC39" s="2736"/>
      <c r="AD39" s="2737"/>
      <c r="AE39" s="2737"/>
      <c r="AF39" s="2738"/>
      <c r="AG39" s="2739"/>
      <c r="AH39" s="2739"/>
      <c r="AI39" s="2740"/>
      <c r="AJ39" s="1188">
        <f>IF(AH39=0,0,AG39/AH39)</f>
        <v>0</v>
      </c>
      <c r="AK39" s="2742"/>
      <c r="AL39" s="2743">
        <f>AK39*$AJ39</f>
        <v>0</v>
      </c>
      <c r="AM39" s="2742"/>
      <c r="AN39" s="544">
        <f>AM39*$AJ39</f>
        <v>0</v>
      </c>
      <c r="AO39" s="2745"/>
      <c r="AP39" s="2745"/>
      <c r="AQ39" s="1459"/>
      <c r="AR39" s="1459"/>
      <c r="AS39" s="1025" t="s">
        <v>1508</v>
      </c>
      <c r="AT39" s="1025" t="s">
        <v>1509</v>
      </c>
      <c r="AU39" s="1025" cm="1" t="str">
        <f t="array" ref="AU39:AU39">AC39</f>
        <v>0</v>
      </c>
      <c r="AV39" s="1419"/>
      <c r="AW39" s="649" t="b">
        <v>1</v>
      </c>
    </row>
    <row s="1834" customFormat="1" customHeight="1" ht="14.25">
      <c r="A40" s="1021"/>
      <c r="B40" s="1459"/>
      <c r="C40" s="1023"/>
      <c r="D40" s="1459"/>
      <c r="E40" s="649">
        <v>15</v>
      </c>
      <c r="F40" s="50" cm="1" t="str">
        <f t="array" ref="F40:F40">OFFSET(E40,-1,1)</f>
        <v>3</v>
      </c>
      <c r="G40" s="1023"/>
      <c r="H40" s="488" t="str">
        <f>"!= 0"</f>
        <v>!= 0</v>
      </c>
      <c r="I40" s="1459"/>
      <c r="J40" s="1459"/>
      <c r="K40" s="1459"/>
      <c r="L40" s="1459"/>
      <c r="M40" s="1459"/>
      <c r="N40" s="1459"/>
      <c r="O40" s="1459"/>
      <c r="P40" s="1459"/>
      <c r="Q40" s="1459"/>
      <c r="R40" s="1459"/>
      <c r="S40" s="1459"/>
      <c r="T40" s="465" cm="1" t="str">
        <f t="array" ref="T40:T40">T38</f>
        <v>true</v>
      </c>
      <c r="U40" s="1459"/>
      <c r="V40" s="1459"/>
      <c r="W40" s="757" t="s">
        <v>1510</v>
      </c>
      <c r="X40" s="1596"/>
      <c r="Y40" s="1459"/>
      <c r="Z40" s="1597"/>
      <c r="AA40" s="1459"/>
      <c r="AB40" s="1192"/>
      <c r="AC40" s="1193" t="s">
        <v>178</v>
      </c>
      <c r="AD40" s="1313"/>
      <c r="AE40" s="1313"/>
      <c r="AF40" s="1313"/>
      <c r="AG40" s="1313"/>
      <c r="AH40" s="1313"/>
      <c r="AI40" s="1313"/>
      <c r="AJ40" s="1313"/>
      <c r="AK40" s="1313"/>
      <c r="AL40" s="1313"/>
      <c r="AM40" s="1313"/>
      <c r="AN40" s="1313"/>
      <c r="AO40" s="1358"/>
      <c r="AP40" s="1194"/>
      <c r="AQ40" s="1459"/>
      <c r="AR40" s="1459"/>
      <c r="AS40" s="1424"/>
      <c r="AT40" s="1424"/>
      <c r="AU40" s="1424"/>
      <c r="AV40" s="649" t="s">
        <v>1509</v>
      </c>
      <c r="AW40" s="1419"/>
    </row>
    <row s="1834" customFormat="1" customHeight="1" ht="14.25">
      <c r="A41" s="1021"/>
      <c r="B41" s="1459"/>
      <c r="C41" s="1459"/>
      <c r="D41" s="1459"/>
      <c r="E41" s="649">
        <v>15</v>
      </c>
      <c r="F41" s="1312" cm="1" t="str">
        <f t="array" ref="F41:F41">X41</f>
        <v>4</v>
      </c>
      <c r="G41" s="488" t="s">
        <v>1507</v>
      </c>
      <c r="H41" s="1459"/>
      <c r="I41" s="1459"/>
      <c r="J41" s="1459"/>
      <c r="K41" s="1459"/>
      <c r="L41" s="1459"/>
      <c r="M41" s="1459"/>
      <c r="N41" s="1459"/>
      <c r="O41" s="1459"/>
      <c r="P41" s="1459"/>
      <c r="Q41" s="1459"/>
      <c r="R41" s="1459"/>
      <c r="S41" s="1459"/>
      <c r="T41" s="465">
        <f>X41&gt;0</f>
        <v>1</v>
      </c>
      <c r="U41" s="1459"/>
      <c r="V41" s="488" cm="1" t="str">
        <f t="array" ref="V41:V41">Баланс!$AB$391</f>
        <v>Тариф 4 (Водоотведение) - тариф на водоотведение (Доп. признак не требуется)</v>
      </c>
      <c r="W41" s="1459"/>
      <c r="X41" s="1596" t="s">
        <v>295</v>
      </c>
      <c r="Y41" s="1459"/>
      <c r="Z41" s="1597"/>
      <c r="AA41" s="1459"/>
      <c r="AB41" s="1179" cm="1" t="str">
        <f t="array" ref="AB41:AB41">Баланс!$AB$391</f>
        <v>Тариф 4 (Водоотведение) - тариф на водоотведение (Доп. признак не требуется)</v>
      </c>
      <c r="AC41" s="1180"/>
      <c r="AD41" s="180"/>
      <c r="AE41" s="180"/>
      <c r="AF41" s="180"/>
      <c r="AG41" s="180"/>
      <c r="AH41" s="180"/>
      <c r="AI41" s="180"/>
      <c r="AJ41" s="180"/>
      <c r="AK41" s="1181">
        <f>SUM(AK42:AK43)</f>
        <v>0</v>
      </c>
      <c r="AL41" s="543">
        <f>SUM(AL42:AL43)</f>
        <v>0</v>
      </c>
      <c r="AM41" s="543">
        <f>SUM(AM42:AM43)</f>
        <v>0</v>
      </c>
      <c r="AN41" s="543">
        <f>SUM(AN42:AN43)</f>
        <v>0</v>
      </c>
      <c r="AO41" s="1180"/>
      <c r="AP41" s="1180"/>
      <c r="AQ41" s="1459"/>
      <c r="AR41" s="1459"/>
      <c r="AS41" s="1424"/>
      <c r="AT41" s="1424"/>
      <c r="AU41" s="1424"/>
      <c r="AV41" s="1419"/>
      <c r="AW41" s="1419"/>
    </row>
    <row s="1834" customFormat="1" customHeight="1" ht="14.25" hidden="1">
      <c r="A42" s="1021"/>
      <c r="B42" s="1459"/>
      <c r="C42" s="1459"/>
      <c r="D42" s="1459"/>
      <c r="E42" s="649">
        <v>15</v>
      </c>
      <c r="F42" s="50" cm="1" t="str">
        <f t="array" ref="F42:F42">OFFSET(E42,-1,1)</f>
        <v>4</v>
      </c>
      <c r="G42" s="1459"/>
      <c r="H42" s="488" cm="1" t="str">
        <f t="array" ref="H42:H42">AB42</f>
        <v>0</v>
      </c>
      <c r="I42" s="1459"/>
      <c r="J42" s="1459"/>
      <c r="K42" s="1459"/>
      <c r="L42" s="1459"/>
      <c r="M42" s="1459"/>
      <c r="N42" s="1459"/>
      <c r="O42" s="1459"/>
      <c r="P42" s="1459"/>
      <c r="Q42" s="1459"/>
      <c r="R42" s="1459"/>
      <c r="S42" s="1459"/>
      <c r="T42" s="465">
        <f>AND(F42&gt;0,AB42&gt;0)</f>
        <v>0</v>
      </c>
      <c r="U42" s="1459"/>
      <c r="V42" s="1459"/>
      <c r="W42" s="757" t="s">
        <v>174</v>
      </c>
      <c r="X42" s="1596"/>
      <c r="Y42" s="1459"/>
      <c r="Z42" s="1597"/>
      <c r="AA42" s="1182" t="s">
        <v>175</v>
      </c>
      <c r="AB42" s="668">
        <v>0</v>
      </c>
      <c r="AC42" s="2736"/>
      <c r="AD42" s="2737"/>
      <c r="AE42" s="2737"/>
      <c r="AF42" s="2738"/>
      <c r="AG42" s="2739"/>
      <c r="AH42" s="2739"/>
      <c r="AI42" s="2740"/>
      <c r="AJ42" s="1188">
        <f>IF(AH42=0,0,AG42/AH42)</f>
        <v>0</v>
      </c>
      <c r="AK42" s="2742"/>
      <c r="AL42" s="2743">
        <f>AK42*$AJ42</f>
        <v>0</v>
      </c>
      <c r="AM42" s="2742"/>
      <c r="AN42" s="544">
        <f>AM42*$AJ42</f>
        <v>0</v>
      </c>
      <c r="AO42" s="2745"/>
      <c r="AP42" s="2745"/>
      <c r="AQ42" s="1459"/>
      <c r="AR42" s="1459"/>
      <c r="AS42" s="1025" t="s">
        <v>1508</v>
      </c>
      <c r="AT42" s="1025" t="s">
        <v>1509</v>
      </c>
      <c r="AU42" s="1025" cm="1" t="str">
        <f t="array" ref="AU42:AU42">AC42</f>
        <v>0</v>
      </c>
      <c r="AV42" s="1419"/>
      <c r="AW42" s="649" t="b">
        <v>1</v>
      </c>
    </row>
    <row s="1834" customFormat="1" customHeight="1" ht="14.25">
      <c r="A43" s="1021"/>
      <c r="B43" s="1459"/>
      <c r="C43" s="1023"/>
      <c r="D43" s="1459"/>
      <c r="E43" s="649">
        <v>15</v>
      </c>
      <c r="F43" s="50" cm="1" t="str">
        <f t="array" ref="F43:F43">OFFSET(E43,-1,1)</f>
        <v>4</v>
      </c>
      <c r="G43" s="1023"/>
      <c r="H43" s="488" t="str">
        <f>"!= 0"</f>
        <v>!= 0</v>
      </c>
      <c r="I43" s="1459"/>
      <c r="J43" s="1459"/>
      <c r="K43" s="1459"/>
      <c r="L43" s="1459"/>
      <c r="M43" s="1459"/>
      <c r="N43" s="1459"/>
      <c r="O43" s="1459"/>
      <c r="P43" s="1459"/>
      <c r="Q43" s="1459"/>
      <c r="R43" s="1459"/>
      <c r="S43" s="1459"/>
      <c r="T43" s="465" cm="1" t="str">
        <f t="array" ref="T43:T43">T41</f>
        <v>true</v>
      </c>
      <c r="U43" s="1459"/>
      <c r="V43" s="1459"/>
      <c r="W43" s="757" t="s">
        <v>1510</v>
      </c>
      <c r="X43" s="1596"/>
      <c r="Y43" s="1459"/>
      <c r="Z43" s="1597"/>
      <c r="AA43" s="1459"/>
      <c r="AB43" s="1192"/>
      <c r="AC43" s="1193" t="s">
        <v>178</v>
      </c>
      <c r="AD43" s="1313"/>
      <c r="AE43" s="1313"/>
      <c r="AF43" s="1313"/>
      <c r="AG43" s="1313"/>
      <c r="AH43" s="1313"/>
      <c r="AI43" s="1313"/>
      <c r="AJ43" s="1313"/>
      <c r="AK43" s="1313"/>
      <c r="AL43" s="1313"/>
      <c r="AM43" s="1313"/>
      <c r="AN43" s="1313"/>
      <c r="AO43" s="1358"/>
      <c r="AP43" s="1194"/>
      <c r="AQ43" s="1459"/>
      <c r="AR43" s="1459"/>
      <c r="AS43" s="1424"/>
      <c r="AT43" s="1424"/>
      <c r="AU43" s="1424"/>
      <c r="AV43" s="649" t="s">
        <v>1509</v>
      </c>
      <c r="AW43" s="1419"/>
    </row>
    <row customHeight="1" ht="10.96875">
      <c r="E44" s="649">
        <v>11.25</v>
      </c>
      <c r="U44" s="1195" t="s">
        <v>178</v>
      </c>
      <c r="V44" s="1196" t="s">
        <v>1511</v>
      </c>
      <c r="AB44" s="535"/>
      <c r="AC44" s="536"/>
      <c r="AD44" s="535"/>
      <c r="AE44" s="535"/>
      <c r="AF44" s="535"/>
      <c r="AG44" s="535"/>
      <c r="AH44" s="535"/>
      <c r="AI44" s="535"/>
      <c r="AJ44" s="535"/>
      <c r="AK44" s="537"/>
      <c r="AL44" s="537"/>
    </row>
    <row s="1304" customFormat="1" customHeight="1" ht="14.625">
      <c r="A45" s="1022"/>
      <c r="E45" s="650">
        <v>15</v>
      </c>
      <c r="AB45" s="1577" t="s">
        <v>407</v>
      </c>
      <c r="AC45" s="1577"/>
      <c r="AD45" s="1577"/>
      <c r="AE45" s="1577"/>
      <c r="AF45" s="1577"/>
      <c r="AG45" s="1577"/>
      <c r="AH45" s="1577"/>
      <c r="AI45" s="1577"/>
      <c r="AJ45" s="1577"/>
      <c r="AK45" s="1598"/>
      <c r="AL45" s="1598"/>
      <c r="AM45" s="1598"/>
      <c r="AN45" s="1598"/>
      <c r="AO45" s="1598"/>
      <c r="AP45" s="1598"/>
      <c r="AS45" s="1027"/>
      <c r="AT45" s="1027"/>
      <c r="AU45" s="1027"/>
      <c r="AV45" s="650"/>
      <c r="AW45" s="650"/>
    </row>
    <row s="1304" customFormat="1" customHeight="1" ht="14.625">
      <c r="A46" s="1022"/>
      <c r="E46" s="650">
        <v>15</v>
      </c>
      <c r="AA46" s="1314"/>
      <c r="AB46" s="1599"/>
      <c r="AC46" s="1599"/>
      <c r="AD46" s="1599"/>
      <c r="AE46" s="1599"/>
      <c r="AF46" s="1599"/>
      <c r="AG46" s="1599"/>
      <c r="AH46" s="1599"/>
      <c r="AI46" s="1599"/>
      <c r="AJ46" s="1599"/>
      <c r="AK46" s="1600"/>
      <c r="AL46" s="1600"/>
      <c r="AM46" s="1600"/>
      <c r="AN46" s="1600"/>
      <c r="AO46" s="1600"/>
      <c r="AP46" s="1600"/>
      <c r="AS46" s="1027"/>
      <c r="AT46" s="1027"/>
      <c r="AU46" s="1027"/>
      <c r="AV46" s="650"/>
      <c r="AW46" s="650"/>
    </row>
    <row s="1304" customFormat="1" customHeight="1" ht="14.625" hidden="1">
      <c r="A47" s="1022"/>
      <c r="B47" s="1304"/>
      <c r="C47" s="1304"/>
      <c r="D47" s="1304"/>
      <c r="E47" s="650">
        <v>15</v>
      </c>
      <c r="F47" s="1304"/>
      <c r="G47" s="1304"/>
      <c r="H47" s="1304"/>
      <c r="I47" s="1304"/>
      <c r="J47" s="1304"/>
      <c r="K47" s="1304"/>
      <c r="L47" s="1304"/>
      <c r="M47" s="1304"/>
      <c r="N47" s="1304"/>
      <c r="O47" s="1304"/>
      <c r="P47" s="1304"/>
      <c r="Q47" s="1304"/>
      <c r="R47" s="1304"/>
      <c r="S47" s="1304"/>
      <c r="T47" s="465">
        <f>ROW(Y47)&gt;ROW(Y$47)</f>
        <v>0</v>
      </c>
      <c r="U47" s="1304"/>
      <c r="V47" s="1304"/>
      <c r="W47" s="757" t="s">
        <v>174</v>
      </c>
      <c r="X47" s="1304"/>
      <c r="Y47" s="1304"/>
      <c r="Z47" s="1304"/>
      <c r="AA47" s="1197" t="s">
        <v>175</v>
      </c>
      <c r="AB47" s="2816"/>
      <c r="AC47" s="1999"/>
      <c r="AD47" s="1999"/>
      <c r="AE47" s="1999"/>
      <c r="AF47" s="1999"/>
      <c r="AG47" s="1999"/>
      <c r="AH47" s="1999"/>
      <c r="AI47" s="1999"/>
      <c r="AJ47" s="1999"/>
      <c r="AK47" s="1999"/>
      <c r="AL47" s="1999"/>
      <c r="AM47" s="1999"/>
      <c r="AN47" s="1999"/>
      <c r="AO47" s="1999"/>
      <c r="AP47" s="2817"/>
      <c r="AQ47" s="1304"/>
      <c r="AR47" s="1304"/>
      <c r="AS47" s="1027"/>
      <c r="AT47" s="1027"/>
      <c r="AU47" s="1027"/>
      <c r="AV47" s="650"/>
      <c r="AW47" s="650"/>
    </row>
    <row s="1304" customFormat="1" customHeight="1" ht="14.625">
      <c r="A48" s="1022"/>
      <c r="E48" s="650">
        <v>15</v>
      </c>
      <c r="W48" s="757" t="s">
        <v>408</v>
      </c>
      <c r="AB48" s="1315"/>
      <c r="AC48" s="1316" t="s">
        <v>409</v>
      </c>
      <c r="AD48" s="1317"/>
      <c r="AE48" s="1317"/>
      <c r="AF48" s="1317"/>
      <c r="AG48" s="1317"/>
      <c r="AH48" s="1317"/>
      <c r="AI48" s="1317"/>
      <c r="AJ48" s="1317"/>
      <c r="AK48" s="1318"/>
      <c r="AL48" s="1318"/>
      <c r="AM48" s="1318"/>
      <c r="AN48" s="1318"/>
      <c r="AO48" s="1359"/>
      <c r="AP48" s="1319"/>
      <c r="AS48" s="1027"/>
      <c r="AT48" s="1027"/>
      <c r="AU48" s="1027"/>
      <c r="AV48" s="650"/>
      <c r="AW48" s="650"/>
    </row>
    <row customHeight="1" ht="10.725000000000001">
      <c r="E49" s="649">
        <v>11</v>
      </c>
      <c r="AC49" s="538"/>
      <c r="AQ49" s="488"/>
    </row>
  </sheetData>
  <sheetProtection formatColumns="0" formatRows="0" insertRows="0" deleteColumns="0" deleteRows="0" sort="0" autoFilter="0" insertColumns="1"/>
  <mergeCells count="29">
    <mergeCell ref="AB47:AP47"/>
    <mergeCell ref="X29:X31"/>
    <mergeCell ref="Z29:Z31"/>
    <mergeCell ref="AB45:AP45"/>
    <mergeCell ref="AB46:AP46"/>
    <mergeCell ref="AO24:AO27"/>
    <mergeCell ref="AP24:AP27"/>
    <mergeCell ref="AK25:AN25"/>
    <mergeCell ref="AK26:AL26"/>
    <mergeCell ref="AM26:AN26"/>
    <mergeCell ref="AB23:AM23"/>
    <mergeCell ref="AB24:AB27"/>
    <mergeCell ref="AC24:AC27"/>
    <mergeCell ref="AD24:AD27"/>
    <mergeCell ref="AE24:AE27"/>
    <mergeCell ref="AF24:AF27"/>
    <mergeCell ref="AG24:AG27"/>
    <mergeCell ref="AH24:AH27"/>
    <mergeCell ref="AI24:AI27"/>
    <mergeCell ref="AJ24:AJ27"/>
    <mergeCell ref="AK24:AN24"/>
    <mergeCell ref="X32:X34"/>
    <mergeCell ref="Z32:Z34"/>
    <mergeCell ref="X35:X37"/>
    <mergeCell ref="Z35:Z37"/>
    <mergeCell ref="X38:X40"/>
    <mergeCell ref="Z38:Z40"/>
    <mergeCell ref="X41:X43"/>
    <mergeCell ref="Z41:Z43"/>
  </mergeCells>
  <dataValidations count="10">
    <dataValidation type="decimal" allowBlank="1" showErrorMessage="1" errorTitle="Ошибка" error="Допускается ввод только неотрицательных чисел!" sqref="AH29 AM30 AK30 AG30:AH30 AH32 AG33 AH33 AK33 AM33 AH35 AG36 AH36 AK36 AM36 AH38 AG39 AH39 AK39 AM39 AH41 AG42 AH42 AK42 AM42">
      <formula1>0</formula1>
      <formula2>9.99999999999999E+23</formula2>
    </dataValidation>
    <dataValidation type="list" allowBlank="1" showInputMessage="1" errorTitle="Ошибка" error="Выберите значение из списка" prompt="Выберите значение из списка или введите свой вариант" sqref="AE30 AE33 AE36 AE39 AE42">
      <formula1>grunt_list</formula1>
    </dataValidation>
    <dataValidation type="list" allowBlank="1" showInputMessage="1" errorTitle="Ошибка" error="Выберите значение из списка" prompt="Выберите значение из списка или введите свой вариант" sqref="AD30 AD33 AD36 AD39 AD42">
      <formula1>material_list</formula1>
    </dataValidation>
    <dataValidation type="list" allowBlank="1" showInputMessage="1" showErrorMessage="1" errorTitle="Ошибка" error="Выберите значение из списка" prompt="Выберите значение из списка" sqref="AC30">
      <formula1>diametr_list</formula1>
    </dataValidation>
    <dataValidation type="list" allowBlank="1" showInputMessage="1" showErrorMessage="1" errorTitle="Ошибка" error="Выберите значение из списка" prompt="Выберите значение из списка" sqref="AI30 AI33 AI36 AI39 AI42">
      <formula1>ist_info_build_list</formula1>
    </dataValidation>
    <dataValidation type="whole" allowBlank="1" showErrorMessage="1" errorTitle="Ошибка" error="Допускается ввод только неотрицательных целых чисел!" sqref="AF30 AF33 AF36 AF39 AF42">
      <formula1>0</formula1>
      <formula2>9.99999999999999E+23</formula2>
    </dataValidation>
    <dataValidation type="list" allowBlank="1" showInputMessage="1" showErrorMessage="1" errorTitle="Ошибка" error="Выберите значение из списка" sqref="AC33">
      <formula1>diametr_list_vs</formula1>
    </dataValidation>
    <dataValidation type="list" allowBlank="1" showInputMessage="1" showErrorMessage="1" errorTitle="Ошибка" error="Выберите значение из списка" sqref="AC36">
      <formula1>diametr_list_vs</formula1>
    </dataValidation>
    <dataValidation type="list" allowBlank="1" showInputMessage="1" showErrorMessage="1" errorTitle="Ошибка" error="Выберите значение из списка" sqref="AC39">
      <formula1>diametr_list_vo</formula1>
    </dataValidation>
    <dataValidation type="list" allowBlank="1" showInputMessage="1" showErrorMessage="1" errorTitle="Ошибка" error="Выберите значение из списка" sqref="AC42">
      <formula1>diametr_list_vo</formula1>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5FC448-DEA7-9158-1792-F7E8E477D93B}" mc:Ignorable="x14ac xr xr2 xr3">
  <sheetPr>
    <tabColor rgb="FF002060"/>
    <outlinePr summaryRight="0" summaryBelow="0"/>
    <pageSetUpPr fitToPage="1"/>
  </sheetPr>
  <dimension ref="A1:BK169"/>
  <sheetViews>
    <sheetView showGridLines="0" workbookViewId="0">
      <pane xSplit="30" ySplit="25" topLeftCell="AI144" activePane="bottomRight" state="frozen"/>
      <selection pane="bottomLeft" activeCell="A26" sqref="A26"/>
      <selection pane="topRight" activeCell="AE1" sqref="AE1"/>
      <selection pane="bottomRight" activeCell="BC149" sqref="BC149"/>
    </sheetView>
  </sheetViews>
  <sheetFormatPr defaultColWidth="9.140625" customHeight="1" defaultRowHeight="11.25"/>
  <cols>
    <col min="1" max="1" style="1304" width="3.57421875" hidden="1" customWidth="1"/>
    <col min="2" max="2" style="1436" width="8.57421875" hidden="1" customWidth="1"/>
    <col min="3" max="3" style="1304" width="6.28125" hidden="1" customWidth="1"/>
    <col min="4" max="4" style="1304" width="6.140625" hidden="1" customWidth="1"/>
    <col min="5" max="5" style="1305" width="3.57421875" hidden="1" customWidth="1"/>
    <col min="6" max="10" style="1304" width="3.57421875" hidden="1" customWidth="1"/>
    <col min="11" max="11" style="1304" width="7.421875" hidden="1" customWidth="1"/>
    <col min="12" max="12" style="1304" width="6.7109375" hidden="1" customWidth="1"/>
    <col min="13" max="19" style="1304" width="3.57421875" hidden="1" customWidth="1"/>
    <col min="20" max="20" style="1304" width="10.00390625" hidden="1" customWidth="1"/>
    <col min="21" max="26" style="1304" width="6.8515625" hidden="1" customWidth="1"/>
    <col min="27" max="27" style="1304" width="3.00390625" customWidth="1"/>
    <col min="28" max="28" style="1304" width="9.7109375" customWidth="1"/>
    <col min="29" max="29" style="1304" width="21.57421875" customWidth="1"/>
    <col min="30" max="30" style="1304" width="8.57421875" customWidth="1"/>
    <col min="31" max="34" style="1304" width="0" customWidth="1"/>
    <col min="35" max="39" style="1304" width="9.8515625" customWidth="1"/>
    <col min="40" max="44" style="1304" width="9.8515625" hidden="1" customWidth="1"/>
    <col min="45" max="49" style="1304" width="9.8515625" customWidth="1"/>
    <col min="50" max="54" style="1304" width="12.57421875" hidden="1" customWidth="1"/>
    <col min="55" max="55" style="1304" width="54.7109375" customWidth="1"/>
    <col min="56" max="56" style="1304" width="3.00390625" customWidth="1"/>
    <col min="57" max="57" style="1304" width="9.140625" hidden="1"/>
    <col min="58" max="60" style="1306" width="9.140625" hidden="1"/>
    <col min="61" max="61" style="1834" width="9.140625" hidden="1"/>
    <col min="62" max="63" style="1305" width="9.140625" hidden="1"/>
  </cols>
  <sheetData>
    <row customHeight="1" ht="11.25" hidden="1">
      <c r="E1" s="98"/>
      <c r="F1" s="98" t="s">
        <v>321</v>
      </c>
      <c r="G1" s="98" t="s">
        <v>331</v>
      </c>
      <c r="H1" s="98" t="s">
        <v>357</v>
      </c>
      <c r="T1" s="465" t="s">
        <v>93</v>
      </c>
      <c r="U1" s="465" t="s">
        <v>98</v>
      </c>
      <c r="V1" s="465" t="s">
        <v>94</v>
      </c>
      <c r="W1" s="465" t="s">
        <v>95</v>
      </c>
      <c r="X1" s="465" t="s">
        <v>96</v>
      </c>
      <c r="Y1" s="1360" t="s">
        <v>323</v>
      </c>
      <c r="Z1" s="465" t="s">
        <v>100</v>
      </c>
      <c r="AA1" s="467" t="s">
        <v>97</v>
      </c>
      <c r="AB1" s="467"/>
      <c r="AC1" s="466" t="s">
        <v>99</v>
      </c>
      <c r="AI1" s="1304"/>
      <c r="AJ1" s="1304"/>
      <c r="AK1" s="1304"/>
      <c r="AL1" s="1304"/>
      <c r="AM1" s="1304"/>
      <c r="AN1" s="1304"/>
      <c r="AO1" s="1304"/>
      <c r="AP1" s="1304"/>
      <c r="AQ1" s="1304"/>
      <c r="AR1" s="1304"/>
      <c r="AS1" s="1304"/>
      <c r="AT1" s="1304"/>
      <c r="AU1" s="1304"/>
      <c r="AV1" s="1304"/>
      <c r="AW1" s="1304"/>
      <c r="AX1" s="1304"/>
      <c r="AY1" s="1304"/>
      <c r="AZ1" s="1304"/>
      <c r="BA1" s="1304"/>
      <c r="BB1" s="1304"/>
      <c r="BF1" s="1015" t="s">
        <v>324</v>
      </c>
      <c r="BG1" s="1015" t="s">
        <v>325</v>
      </c>
      <c r="BH1" s="1015" t="s">
        <v>326</v>
      </c>
      <c r="BI1" s="0" t="s">
        <v>359</v>
      </c>
      <c r="BJ1" s="632" t="s">
        <v>329</v>
      </c>
      <c r="BK1" s="632" t="s">
        <v>330</v>
      </c>
    </row>
    <row s="1436" customFormat="1" customHeight="1" ht="11.25" hidden="1">
      <c r="B2" s="445" t="s">
        <v>19</v>
      </c>
      <c r="AF2" s="1378" cm="1" t="str">
        <f t="array" ref="AF2:AF2">isOrgDeclare</f>
        <v>true</v>
      </c>
      <c r="AI2" s="446">
        <f>AND(AI6&lt;=last_year_vis,isOrgDeclare)</f>
        <v>1</v>
      </c>
      <c r="AJ2" s="446">
        <f>AND(AJ6&lt;=last_year_vis,isOrgDeclare)</f>
        <v>1</v>
      </c>
      <c r="AK2" s="446">
        <f>AND(AK6&lt;=last_year_vis,isOrgDeclare)</f>
        <v>1</v>
      </c>
      <c r="AL2" s="446">
        <f>AND(AL6&lt;=last_year_vis,isOrgDeclare)</f>
        <v>1</v>
      </c>
      <c r="AM2" s="446">
        <f>AND(AM6&lt;=last_year_vis,isOrgDeclare)</f>
        <v>1</v>
      </c>
      <c r="AN2" s="446">
        <f>AND(AN6&lt;=last_year_vis,isOrgDeclare)</f>
        <v>0</v>
      </c>
      <c r="AO2" s="446">
        <f>AND(AO6&lt;=last_year_vis,isOrgDeclare)</f>
        <v>0</v>
      </c>
      <c r="AP2" s="446">
        <f>AND(AP6&lt;=last_year_vis,isOrgDeclare)</f>
        <v>0</v>
      </c>
      <c r="AQ2" s="446">
        <f>AND(AQ6&lt;=last_year_vis,isOrgDeclare)</f>
        <v>0</v>
      </c>
      <c r="AR2" s="446">
        <f>AND(AR6&lt;=last_year_vis,isOrgDeclare)</f>
        <v>0</v>
      </c>
      <c r="AS2" s="446">
        <f>AS6&lt;=last_year_vis</f>
        <v>1</v>
      </c>
      <c r="AT2" s="446">
        <f>AT6&lt;=last_year_vis</f>
        <v>1</v>
      </c>
      <c r="AU2" s="446">
        <f>AU6&lt;=last_year_vis</f>
        <v>1</v>
      </c>
      <c r="AV2" s="446">
        <f>AV6&lt;=last_year_vis</f>
        <v>1</v>
      </c>
      <c r="AW2" s="446">
        <f>AW6&lt;=last_year_vis</f>
        <v>1</v>
      </c>
      <c r="AX2" s="446">
        <f>AX6&lt;=last_year_vis</f>
        <v>0</v>
      </c>
      <c r="AY2" s="446">
        <f>AY6&lt;=last_year_vis</f>
        <v>0</v>
      </c>
      <c r="AZ2" s="446">
        <f>AZ6&lt;=last_year_vis</f>
        <v>0</v>
      </c>
      <c r="BA2" s="446">
        <f>BA6&lt;=last_year_vis</f>
        <v>0</v>
      </c>
      <c r="BB2" s="446">
        <f>BB6&lt;=last_year_vis</f>
        <v>0</v>
      </c>
      <c r="BF2" s="1016"/>
      <c r="BG2" s="1016"/>
      <c r="BH2" s="1016"/>
      <c r="BJ2" s="1029"/>
      <c r="BK2" s="1029"/>
    </row>
    <row customHeight="1" ht="11.25" hidden="1">
      <c r="E3" s="98"/>
      <c r="AI3" s="1304"/>
      <c r="AJ3" s="1304"/>
      <c r="AK3" s="1304"/>
      <c r="AL3" s="1304"/>
      <c r="AM3" s="1304"/>
      <c r="AN3" s="1304"/>
      <c r="AO3" s="1304"/>
      <c r="AP3" s="1304"/>
      <c r="AQ3" s="1304"/>
      <c r="AR3" s="1304"/>
      <c r="AS3" s="1304"/>
      <c r="AT3" s="1304"/>
      <c r="AU3" s="1304"/>
      <c r="AV3" s="1304"/>
      <c r="AW3" s="1304"/>
      <c r="AX3" s="1304"/>
      <c r="AY3" s="1304"/>
      <c r="AZ3" s="1304"/>
      <c r="BA3" s="1304"/>
      <c r="BB3" s="1304"/>
    </row>
    <row customHeight="1" ht="11.25" hidden="1">
      <c r="E4" s="98"/>
      <c r="AI4" s="1304"/>
      <c r="AJ4" s="1304"/>
      <c r="AK4" s="1304"/>
      <c r="AL4" s="1304"/>
      <c r="AM4" s="1304"/>
      <c r="AN4" s="1304"/>
      <c r="AO4" s="1304"/>
      <c r="AP4" s="1304"/>
      <c r="AQ4" s="1304"/>
      <c r="AR4" s="1304"/>
      <c r="AS4" s="1304"/>
      <c r="AT4" s="1304"/>
      <c r="AU4" s="1304"/>
      <c r="AV4" s="1304"/>
      <c r="AW4" s="1304"/>
      <c r="AX4" s="1304"/>
      <c r="AY4" s="1304"/>
      <c r="AZ4" s="1304"/>
      <c r="BA4" s="1304"/>
      <c r="BB4" s="1304"/>
    </row>
    <row s="1305" customFormat="1" customHeight="1" ht="11.25" hidden="1">
      <c r="A5" s="98"/>
      <c r="B5" s="427"/>
      <c r="C5" s="98"/>
      <c r="D5" s="98"/>
      <c r="E5" s="632" t="s">
        <v>20</v>
      </c>
      <c r="AA5" s="632">
        <v>3</v>
      </c>
      <c r="AB5" s="632">
        <v>9.71</v>
      </c>
      <c r="AC5" s="632">
        <v>45</v>
      </c>
      <c r="AD5" s="632">
        <v>8.57</v>
      </c>
      <c r="AE5" s="632">
        <v>12.57</v>
      </c>
      <c r="AF5" s="632">
        <v>12.57</v>
      </c>
      <c r="AG5" s="632">
        <v>12.57</v>
      </c>
      <c r="AH5" s="632">
        <v>12.57</v>
      </c>
      <c r="AI5" s="632">
        <v>12.57</v>
      </c>
      <c r="AJ5" s="632">
        <v>12.57</v>
      </c>
      <c r="AK5" s="632">
        <v>12.57</v>
      </c>
      <c r="AL5" s="632">
        <v>12.57</v>
      </c>
      <c r="AM5" s="632">
        <v>12.57</v>
      </c>
      <c r="AN5" s="632">
        <v>12.57</v>
      </c>
      <c r="AO5" s="632">
        <v>12.57</v>
      </c>
      <c r="AP5" s="632">
        <v>12.57</v>
      </c>
      <c r="AQ5" s="632">
        <v>12.57</v>
      </c>
      <c r="AR5" s="632">
        <v>12.57</v>
      </c>
      <c r="AS5" s="632">
        <v>12.57</v>
      </c>
      <c r="AT5" s="632">
        <v>12.57</v>
      </c>
      <c r="AU5" s="632">
        <v>12.57</v>
      </c>
      <c r="AV5" s="632">
        <v>12.57</v>
      </c>
      <c r="AW5" s="632">
        <v>12.57</v>
      </c>
      <c r="AX5" s="632">
        <v>12.57</v>
      </c>
      <c r="AY5" s="632">
        <v>12.57</v>
      </c>
      <c r="AZ5" s="632">
        <v>12.57</v>
      </c>
      <c r="BA5" s="632">
        <v>12.57</v>
      </c>
      <c r="BB5" s="632">
        <v>12.57</v>
      </c>
      <c r="BC5" s="632">
        <v>20</v>
      </c>
      <c r="BD5" s="632">
        <v>3</v>
      </c>
      <c r="BF5" s="1015"/>
      <c r="BG5" s="1015"/>
      <c r="BH5" s="1015"/>
    </row>
    <row customHeight="1" ht="11.25" hidden="1">
      <c r="A6" s="98" t="s">
        <v>360</v>
      </c>
      <c r="AE6" s="98">
        <f>god-2</f>
        <v>2024</v>
      </c>
      <c r="AF6" s="98">
        <f>god-2</f>
        <v>2024</v>
      </c>
      <c r="AG6" s="98">
        <f>god-2</f>
        <v>2024</v>
      </c>
      <c r="AH6" s="98">
        <f>god-1</f>
        <v>2025</v>
      </c>
      <c r="AI6" s="98" cm="1" t="str">
        <f t="array" ref="AI6:AI6">god</f>
        <v>2026</v>
      </c>
      <c r="AJ6" s="98">
        <f>god+1</f>
        <v>2027</v>
      </c>
      <c r="AK6" s="98">
        <f>god+2</f>
        <v>2028</v>
      </c>
      <c r="AL6" s="98">
        <f>god+3</f>
        <v>2029</v>
      </c>
      <c r="AM6" s="98">
        <f>god+4</f>
        <v>2030</v>
      </c>
      <c r="AN6" s="98">
        <f>god+5</f>
        <v>2031</v>
      </c>
      <c r="AO6" s="98">
        <f>god+6</f>
        <v>2032</v>
      </c>
      <c r="AP6" s="98">
        <f>god+7</f>
        <v>2033</v>
      </c>
      <c r="AQ6" s="98">
        <f>god+8</f>
        <v>2034</v>
      </c>
      <c r="AR6" s="98">
        <f>god+9</f>
        <v>2035</v>
      </c>
      <c r="AS6" s="98" cm="1" t="str">
        <f t="array" ref="AS6:AS6">god</f>
        <v>2026</v>
      </c>
      <c r="AT6" s="98">
        <f>god+1</f>
        <v>2027</v>
      </c>
      <c r="AU6" s="98">
        <f>god+2</f>
        <v>2028</v>
      </c>
      <c r="AV6" s="98">
        <f>god+3</f>
        <v>2029</v>
      </c>
      <c r="AW6" s="98">
        <f>god+4</f>
        <v>2030</v>
      </c>
      <c r="AX6" s="98">
        <f>god+5</f>
        <v>2031</v>
      </c>
      <c r="AY6" s="98">
        <f>god+6</f>
        <v>2032</v>
      </c>
      <c r="AZ6" s="98">
        <f>god+7</f>
        <v>2033</v>
      </c>
      <c r="BA6" s="98">
        <f>god+8</f>
        <v>2034</v>
      </c>
      <c r="BB6" s="98">
        <f>god+9</f>
        <v>2035</v>
      </c>
    </row>
    <row customHeight="1" ht="11.25" hidden="1">
      <c r="A7" s="98" t="s">
        <v>361</v>
      </c>
      <c r="AE7" s="98" cm="1" t="str">
        <f t="array" ref="AE7:AE7">AE25</f>
        <v>Принято органом регулирования</v>
      </c>
      <c r="AF7" s="98" cm="1" t="str">
        <f t="array" ref="AF7:AF7">AF25</f>
        <v>Факт по данным организации</v>
      </c>
      <c r="AG7" s="98" cm="1" t="str">
        <f t="array" ref="AG7:AG7">AG25</f>
        <v>Факт, принятый органом регулирования</v>
      </c>
      <c r="AH7" s="98" cm="1" t="str">
        <f t="array" ref="AH7:AH7">AH25</f>
        <v>Принято органом регулирования</v>
      </c>
      <c r="AI7" s="98" cm="1" t="str">
        <f t="array" ref="AI7:AI7">AI25</f>
        <v>Предложение организации</v>
      </c>
      <c r="AJ7" s="98" cm="1" t="str">
        <f t="array" ref="AJ7:AJ7">AJ25</f>
        <v>Предложение организации</v>
      </c>
      <c r="AK7" s="98" cm="1" t="str">
        <f t="array" ref="AK7:AK7">AK25</f>
        <v>Предложение организации</v>
      </c>
      <c r="AL7" s="98" cm="1" t="str">
        <f t="array" ref="AL7:AL7">AL25</f>
        <v>Предложение организации</v>
      </c>
      <c r="AM7" s="98" cm="1" t="str">
        <f t="array" ref="AM7:AM7">AM25</f>
        <v>Предложение организации</v>
      </c>
      <c r="AN7" s="98" cm="1" t="str">
        <f t="array" ref="AN7:AN7">AN25</f>
        <v>Предложение организации</v>
      </c>
      <c r="AO7" s="98" cm="1" t="str">
        <f t="array" ref="AO7:AO7">AO25</f>
        <v>Предложение организации</v>
      </c>
      <c r="AP7" s="98" cm="1" t="str">
        <f t="array" ref="AP7:AP7">AP25</f>
        <v>Предложение организации</v>
      </c>
      <c r="AQ7" s="98" cm="1" t="str">
        <f t="array" ref="AQ7:AQ7">AQ25</f>
        <v>Предложение организации</v>
      </c>
      <c r="AR7" s="98" cm="1" t="str">
        <f t="array" ref="AR7:AR7">AR25</f>
        <v>Предложение организации</v>
      </c>
      <c r="AS7" s="98" cm="1" t="str">
        <f t="array" ref="AS7:AS7">AS25</f>
        <v>Принято органом регулирования</v>
      </c>
      <c r="AT7" s="98" cm="1" t="str">
        <f t="array" ref="AT7:AT7">AT25</f>
        <v>Принято органом регулирования</v>
      </c>
      <c r="AU7" s="98" cm="1" t="str">
        <f t="array" ref="AU7:AU7">AU25</f>
        <v>Принято органом регулирования</v>
      </c>
      <c r="AV7" s="98" cm="1" t="str">
        <f t="array" ref="AV7:AV7">AV25</f>
        <v>Принято органом регулирования</v>
      </c>
      <c r="AW7" s="98" cm="1" t="str">
        <f t="array" ref="AW7:AW7">AW25</f>
        <v>Принято органом регулирования</v>
      </c>
      <c r="AX7" s="98" cm="1" t="str">
        <f t="array" ref="AX7:AX7">AX25</f>
        <v>Принято органом регулирования</v>
      </c>
      <c r="AY7" s="98" cm="1" t="str">
        <f t="array" ref="AY7:AY7">AY25</f>
        <v>Принято органом регулирования</v>
      </c>
      <c r="AZ7" s="98" cm="1" t="str">
        <f t="array" ref="AZ7:AZ7">AZ25</f>
        <v>Принято органом регулирования</v>
      </c>
      <c r="BA7" s="98" cm="1" t="str">
        <f t="array" ref="BA7:BA7">BA25</f>
        <v>Принято органом регулирования</v>
      </c>
      <c r="BB7" s="98" cm="1" t="str">
        <f t="array" ref="BB7:BB7">BB25</f>
        <v>Принято органом регулирования</v>
      </c>
    </row>
    <row customHeight="1" ht="11.25" hidden="1">
      <c r="AI8" s="1304"/>
      <c r="AJ8" s="1304"/>
      <c r="AK8" s="1304"/>
      <c r="AL8" s="1304"/>
      <c r="AM8" s="1304"/>
      <c r="AN8" s="1304"/>
      <c r="AO8" s="1304"/>
      <c r="AP8" s="1304"/>
      <c r="AQ8" s="1304"/>
      <c r="AR8" s="1304"/>
      <c r="AS8" s="1304"/>
      <c r="AT8" s="1304"/>
      <c r="AU8" s="1304"/>
      <c r="AV8" s="1304"/>
      <c r="AW8" s="1304"/>
      <c r="AX8" s="1304"/>
      <c r="AY8" s="1304"/>
      <c r="AZ8" s="1304"/>
      <c r="BA8" s="1304"/>
      <c r="BB8" s="1304"/>
    </row>
    <row s="1306" customFormat="1" customHeight="1" ht="11.25" hidden="1">
      <c r="A9" s="1015" t="s">
        <v>365</v>
      </c>
      <c r="B9" s="1016"/>
      <c r="AE9" s="1015" cm="1" t="str">
        <f t="array" ref="AE9:AE9">AE6</f>
        <v>2024</v>
      </c>
      <c r="AF9" s="1015" cm="1" t="str">
        <f t="array" ref="AF9:AF9">AF6</f>
        <v>2024</v>
      </c>
      <c r="AG9" s="1015" cm="1" t="str">
        <f t="array" ref="AG9:AG9">AG6</f>
        <v>2024</v>
      </c>
      <c r="AH9" s="1015" cm="1" t="str">
        <f t="array" ref="AH9:AH9">AH6</f>
        <v>2025</v>
      </c>
      <c r="AI9" s="1015" cm="1" t="str">
        <f t="array" ref="AI9:AI9">AI6</f>
        <v>2026</v>
      </c>
      <c r="AJ9" s="1015" cm="1" t="str">
        <f t="array" ref="AJ9:AJ9">AJ6</f>
        <v>2027</v>
      </c>
      <c r="AK9" s="1015" cm="1" t="str">
        <f t="array" ref="AK9:AK9">AK6</f>
        <v>2028</v>
      </c>
      <c r="AL9" s="1015" cm="1" t="str">
        <f t="array" ref="AL9:AL9">AL6</f>
        <v>2029</v>
      </c>
      <c r="AM9" s="1015" cm="1" t="str">
        <f t="array" ref="AM9:AM9">AM6</f>
        <v>2030</v>
      </c>
      <c r="AN9" s="1015" cm="1" t="str">
        <f t="array" ref="AN9:AN9">AN6</f>
        <v>2031</v>
      </c>
      <c r="AO9" s="1015" cm="1" t="str">
        <f t="array" ref="AO9:AO9">AO6</f>
        <v>2032</v>
      </c>
      <c r="AP9" s="1015" cm="1" t="str">
        <f t="array" ref="AP9:AP9">AP6</f>
        <v>2033</v>
      </c>
      <c r="AQ9" s="1015" cm="1" t="str">
        <f t="array" ref="AQ9:AQ9">AQ6</f>
        <v>2034</v>
      </c>
      <c r="AR9" s="1015" cm="1" t="str">
        <f t="array" ref="AR9:AR9">AR6</f>
        <v>2035</v>
      </c>
      <c r="AS9" s="1015" cm="1" t="str">
        <f t="array" ref="AS9:AS9">AS6</f>
        <v>2026</v>
      </c>
      <c r="AT9" s="1015" cm="1" t="str">
        <f t="array" ref="AT9:AT9">AT6</f>
        <v>2027</v>
      </c>
      <c r="AU9" s="1015" cm="1" t="str">
        <f t="array" ref="AU9:AU9">AU6</f>
        <v>2028</v>
      </c>
      <c r="AV9" s="1015" cm="1" t="str">
        <f t="array" ref="AV9:AV9">AV6</f>
        <v>2029</v>
      </c>
      <c r="AW9" s="1015" cm="1" t="str">
        <f t="array" ref="AW9:AW9">AW6</f>
        <v>2030</v>
      </c>
      <c r="AX9" s="1015" cm="1" t="str">
        <f t="array" ref="AX9:AX9">AX6</f>
        <v>2031</v>
      </c>
      <c r="AY9" s="1015" cm="1" t="str">
        <f t="array" ref="AY9:AY9">AY6</f>
        <v>2032</v>
      </c>
      <c r="AZ9" s="1015" cm="1" t="str">
        <f t="array" ref="AZ9:AZ9">AZ6</f>
        <v>2033</v>
      </c>
      <c r="BA9" s="1015" cm="1" t="str">
        <f t="array" ref="BA9:BA9">BA6</f>
        <v>2034</v>
      </c>
      <c r="BB9" s="1015" cm="1" t="str">
        <f t="array" ref="BB9:BB9">BB6</f>
        <v>2035</v>
      </c>
      <c r="BJ9" s="632"/>
      <c r="BK9" s="632"/>
    </row>
    <row s="1306" customFormat="1" customHeight="1" ht="11.25" hidden="1">
      <c r="A10" s="1015" t="s">
        <v>366</v>
      </c>
      <c r="B10" s="1016"/>
      <c r="AE10" s="1015" cm="1" t="str">
        <f t="array" ref="AE10:AE10">AE25</f>
        <v>Принято органом регулирования</v>
      </c>
      <c r="AF10" s="1015" cm="1" t="str">
        <f t="array" ref="AF10:AF10">AF25</f>
        <v>Факт по данным организации</v>
      </c>
      <c r="AG10" s="1015" cm="1" t="str">
        <f t="array" ref="AG10:AG10">AG25</f>
        <v>Факт, принятый органом регулирования</v>
      </c>
      <c r="AH10" s="1015" cm="1" t="str">
        <f t="array" ref="AH10:AH10">AH25</f>
        <v>Принято органом регулирования</v>
      </c>
      <c r="AI10" s="1015" cm="1" t="str">
        <f t="array" ref="AI10:AI10">AI25</f>
        <v>Предложение организации</v>
      </c>
      <c r="AJ10" s="1015" cm="1" t="str">
        <f t="array" ref="AJ10:AJ10">AJ25</f>
        <v>Предложение организации</v>
      </c>
      <c r="AK10" s="1015" cm="1" t="str">
        <f t="array" ref="AK10:AK10">AK25</f>
        <v>Предложение организации</v>
      </c>
      <c r="AL10" s="1015" cm="1" t="str">
        <f t="array" ref="AL10:AL10">AL25</f>
        <v>Предложение организации</v>
      </c>
      <c r="AM10" s="1015" cm="1" t="str">
        <f t="array" ref="AM10:AM10">AM25</f>
        <v>Предложение организации</v>
      </c>
      <c r="AN10" s="1015" cm="1" t="str">
        <f t="array" ref="AN10:AN10">AN25</f>
        <v>Предложение организации</v>
      </c>
      <c r="AO10" s="1015" cm="1" t="str">
        <f t="array" ref="AO10:AO10">AO25</f>
        <v>Предложение организации</v>
      </c>
      <c r="AP10" s="1015" cm="1" t="str">
        <f t="array" ref="AP10:AP10">AP25</f>
        <v>Предложение организации</v>
      </c>
      <c r="AQ10" s="1015" cm="1" t="str">
        <f t="array" ref="AQ10:AQ10">AQ25</f>
        <v>Предложение организации</v>
      </c>
      <c r="AR10" s="1015" cm="1" t="str">
        <f t="array" ref="AR10:AR10">AR25</f>
        <v>Предложение организации</v>
      </c>
      <c r="AS10" s="1015" cm="1" t="str">
        <f t="array" ref="AS10:AS10">AS25</f>
        <v>Принято органом регулирования</v>
      </c>
      <c r="AT10" s="1015" cm="1" t="str">
        <f t="array" ref="AT10:AT10">AT25</f>
        <v>Принято органом регулирования</v>
      </c>
      <c r="AU10" s="1015" cm="1" t="str">
        <f t="array" ref="AU10:AU10">AU25</f>
        <v>Принято органом регулирования</v>
      </c>
      <c r="AV10" s="1015" cm="1" t="str">
        <f t="array" ref="AV10:AV10">AV25</f>
        <v>Принято органом регулирования</v>
      </c>
      <c r="AW10" s="1015" cm="1" t="str">
        <f t="array" ref="AW10:AW10">AW25</f>
        <v>Принято органом регулирования</v>
      </c>
      <c r="AX10" s="1015" cm="1" t="str">
        <f t="array" ref="AX10:AX10">AX25</f>
        <v>Принято органом регулирования</v>
      </c>
      <c r="AY10" s="1015" cm="1" t="str">
        <f t="array" ref="AY10:AY10">AY25</f>
        <v>Принято органом регулирования</v>
      </c>
      <c r="AZ10" s="1015" cm="1" t="str">
        <f t="array" ref="AZ10:AZ10">AZ25</f>
        <v>Принято органом регулирования</v>
      </c>
      <c r="BA10" s="1015" cm="1" t="str">
        <f t="array" ref="BA10:BA10">BA25</f>
        <v>Принято органом регулирования</v>
      </c>
      <c r="BB10" s="1015" cm="1" t="str">
        <f t="array" ref="BB10:BB10">BB25</f>
        <v>Принято органом регулирования</v>
      </c>
      <c r="BJ10" s="632"/>
      <c r="BK10" s="632"/>
    </row>
    <row s="1306" customFormat="1" customHeight="1" ht="11.25" hidden="1">
      <c r="A11" s="1015" t="s">
        <v>367</v>
      </c>
      <c r="B11" s="1016"/>
      <c r="AI11" s="1306"/>
      <c r="AJ11" s="1306"/>
      <c r="AK11" s="1306"/>
      <c r="AL11" s="1306"/>
      <c r="AM11" s="1306"/>
      <c r="AN11" s="1306"/>
      <c r="AO11" s="1306"/>
      <c r="AP11" s="1306"/>
      <c r="AQ11" s="1306"/>
      <c r="AR11" s="1306"/>
      <c r="AS11" s="1306"/>
      <c r="AT11" s="1306"/>
      <c r="AU11" s="1306"/>
      <c r="AV11" s="1306"/>
      <c r="AW11" s="1306"/>
      <c r="AX11" s="1306"/>
      <c r="AY11" s="1306"/>
      <c r="AZ11" s="1306"/>
      <c r="BA11" s="1306"/>
      <c r="BB11" s="1306"/>
      <c r="BC11" s="1015" cm="1" t="str">
        <f t="array" ref="BC11:BC11">BC24</f>
        <v>Ссылка на правовую норму (основание для принятия показателя в расчет тарифа)</v>
      </c>
      <c r="BJ11" s="632"/>
      <c r="BK11" s="632"/>
    </row>
    <row s="1306" customFormat="1" customHeight="1" ht="11.25" hidden="1">
      <c r="A12" s="1015" t="s">
        <v>338</v>
      </c>
      <c r="B12" s="1016"/>
      <c r="AC12" s="1015" t="s">
        <v>326</v>
      </c>
      <c r="AD12" s="1306" t="s">
        <v>359</v>
      </c>
      <c r="AI12" s="1306"/>
      <c r="AJ12" s="1306"/>
      <c r="AK12" s="1306"/>
      <c r="AL12" s="1306"/>
      <c r="AM12" s="1306"/>
      <c r="AN12" s="1306"/>
      <c r="AO12" s="1306"/>
      <c r="AP12" s="1306"/>
      <c r="AQ12" s="1306"/>
      <c r="AR12" s="1306"/>
      <c r="AS12" s="1306"/>
      <c r="AT12" s="1306"/>
      <c r="AU12" s="1306"/>
      <c r="AV12" s="1306"/>
      <c r="AW12" s="1306"/>
      <c r="AX12" s="1306"/>
      <c r="AY12" s="1306"/>
      <c r="AZ12" s="1306"/>
      <c r="BA12" s="1306"/>
      <c r="BB12" s="1306"/>
      <c r="BJ12" s="632"/>
      <c r="BK12" s="632"/>
    </row>
    <row customHeight="1" ht="11.25" hidden="1">
      <c r="AI13" s="1304"/>
      <c r="AJ13" s="1304"/>
      <c r="AK13" s="1304"/>
      <c r="AL13" s="1304"/>
      <c r="AM13" s="1304"/>
      <c r="AN13" s="1304"/>
      <c r="AO13" s="1304"/>
      <c r="AP13" s="1304"/>
      <c r="AQ13" s="1304"/>
      <c r="AR13" s="1304"/>
      <c r="AS13" s="1304"/>
      <c r="AT13" s="1304"/>
      <c r="AU13" s="1304"/>
      <c r="AV13" s="1304"/>
      <c r="AW13" s="1304"/>
      <c r="AX13" s="1304"/>
      <c r="AY13" s="1304"/>
      <c r="AZ13" s="1304"/>
      <c r="BA13" s="1304"/>
      <c r="BB13" s="1304"/>
    </row>
    <row customHeight="1" ht="11.25" hidden="1">
      <c r="AI14" s="1304"/>
      <c r="AJ14" s="1304"/>
      <c r="AK14" s="1304"/>
      <c r="AL14" s="1304"/>
      <c r="AM14" s="1304"/>
      <c r="AN14" s="1304"/>
      <c r="AO14" s="1304"/>
      <c r="AP14" s="1304"/>
      <c r="AQ14" s="1304"/>
      <c r="AR14" s="1304"/>
      <c r="AS14" s="1304"/>
      <c r="AT14" s="1304"/>
      <c r="AU14" s="1304"/>
      <c r="AV14" s="1304"/>
      <c r="AW14" s="1304"/>
      <c r="AX14" s="1304"/>
      <c r="AY14" s="1304"/>
      <c r="AZ14" s="1304"/>
      <c r="BA14" s="1304"/>
      <c r="BB14" s="1304"/>
    </row>
    <row customHeight="1" ht="11.25" hidden="1">
      <c r="AI15" s="1304"/>
      <c r="AJ15" s="1304"/>
      <c r="AK15" s="1304"/>
      <c r="AL15" s="1304"/>
      <c r="AM15" s="1304"/>
      <c r="AN15" s="1304"/>
      <c r="AO15" s="1304"/>
      <c r="AP15" s="1304"/>
      <c r="AQ15" s="1304"/>
      <c r="AR15" s="1304"/>
      <c r="AS15" s="1304"/>
      <c r="AT15" s="1304"/>
      <c r="AU15" s="1304"/>
      <c r="AV15" s="1304"/>
      <c r="AW15" s="1304"/>
      <c r="AX15" s="1304"/>
      <c r="AY15" s="1304"/>
      <c r="AZ15" s="1304"/>
      <c r="BA15" s="1304"/>
      <c r="BB15" s="1304"/>
    </row>
    <row customHeight="1" ht="11.25" hidden="1">
      <c r="AI16" s="1304"/>
      <c r="AJ16" s="1304"/>
      <c r="AK16" s="1304"/>
      <c r="AL16" s="1304"/>
      <c r="AM16" s="1304"/>
      <c r="AN16" s="1304"/>
      <c r="AO16" s="1304"/>
      <c r="AP16" s="1304"/>
      <c r="AQ16" s="1304"/>
      <c r="AR16" s="1304"/>
      <c r="AS16" s="1304"/>
      <c r="AT16" s="1304"/>
      <c r="AU16" s="1304"/>
      <c r="AV16" s="1304"/>
      <c r="AW16" s="1304"/>
      <c r="AX16" s="1304"/>
      <c r="AY16" s="1304"/>
      <c r="AZ16" s="1304"/>
      <c r="BA16" s="1304"/>
      <c r="BB16" s="1304"/>
    </row>
    <row customHeight="1" ht="11.25" hidden="1">
      <c r="AI17" s="1304"/>
      <c r="AJ17" s="1304"/>
      <c r="AK17" s="1304"/>
      <c r="AL17" s="1304"/>
      <c r="AM17" s="1304"/>
      <c r="AN17" s="1304"/>
      <c r="AO17" s="1304"/>
      <c r="AP17" s="1304"/>
      <c r="AQ17" s="1304"/>
      <c r="AR17" s="1304"/>
      <c r="AS17" s="1304"/>
      <c r="AT17" s="1304"/>
      <c r="AU17" s="1304"/>
      <c r="AV17" s="1304"/>
      <c r="AW17" s="1304"/>
      <c r="AX17" s="1304"/>
      <c r="AY17" s="1304"/>
      <c r="AZ17" s="1304"/>
      <c r="BA17" s="1304"/>
      <c r="BB17" s="1304"/>
    </row>
    <row customHeight="1" ht="11.25" hidden="1">
      <c r="A18" s="98" t="s">
        <v>368</v>
      </c>
      <c r="AC18" s="98" t="s">
        <v>195</v>
      </c>
      <c r="AI18" s="1304"/>
      <c r="AJ18" s="1304"/>
      <c r="AK18" s="1304"/>
      <c r="AL18" s="1304"/>
      <c r="AM18" s="1304"/>
      <c r="AN18" s="1304"/>
      <c r="AO18" s="1304"/>
      <c r="AP18" s="1304"/>
      <c r="AQ18" s="1304"/>
      <c r="AR18" s="1304"/>
      <c r="AS18" s="1304"/>
      <c r="AT18" s="1304"/>
      <c r="AU18" s="1304"/>
      <c r="AV18" s="1304"/>
      <c r="AW18" s="1304"/>
      <c r="AX18" s="1304"/>
      <c r="AY18" s="1304"/>
      <c r="AZ18" s="1304"/>
      <c r="BA18" s="1304"/>
      <c r="BB18" s="1304"/>
    </row>
    <row customHeight="1" ht="11.25" hidden="1">
      <c r="AI19" s="1304"/>
      <c r="AJ19" s="1304"/>
      <c r="AK19" s="1304"/>
      <c r="AL19" s="1304"/>
      <c r="AM19" s="1304"/>
      <c r="AN19" s="1304"/>
      <c r="AO19" s="1304"/>
      <c r="AP19" s="1304"/>
      <c r="AQ19" s="1304"/>
      <c r="AR19" s="1304"/>
      <c r="AS19" s="1304"/>
      <c r="AT19" s="1304"/>
      <c r="AU19" s="1304"/>
      <c r="AV19" s="1304"/>
      <c r="AW19" s="1304"/>
      <c r="AX19" s="1304"/>
      <c r="AY19" s="1304"/>
      <c r="AZ19" s="1304"/>
      <c r="BA19" s="1304"/>
      <c r="BB19" s="1304"/>
    </row>
    <row customHeight="1" ht="11.25" hidden="1">
      <c r="AI20" s="1304"/>
      <c r="AJ20" s="1304"/>
      <c r="AK20" s="1304"/>
      <c r="AL20" s="1304"/>
      <c r="AM20" s="1304"/>
      <c r="AN20" s="1304"/>
      <c r="AO20" s="1304"/>
      <c r="AP20" s="1304"/>
      <c r="AQ20" s="1304"/>
      <c r="AR20" s="1304"/>
      <c r="AS20" s="1304"/>
      <c r="AT20" s="1304"/>
      <c r="AU20" s="1304"/>
      <c r="AV20" s="1304"/>
      <c r="AW20" s="1304"/>
      <c r="AX20" s="1304"/>
      <c r="AY20" s="1304"/>
      <c r="AZ20" s="1304"/>
      <c r="BA20" s="1304"/>
      <c r="BB20" s="1304"/>
    </row>
    <row customHeight="1" ht="14.625">
      <c r="E21" s="632">
        <v>15</v>
      </c>
      <c r="AA21" s="657"/>
      <c r="AC21" s="50" cm="1" t="str">
        <f t="array" ref="AC21:AC21">tpl_title</f>
        <v>Кемеровская область / 2026 / ООО "Теплоэнерго" (ИНН:4214046200, КПП:421401001) / ДПР: 2026-2030</v>
      </c>
      <c r="AI21" s="1304"/>
      <c r="AJ21" s="1304"/>
      <c r="AK21" s="1304"/>
      <c r="AL21" s="1304"/>
      <c r="AM21" s="1304"/>
      <c r="AN21" s="1304"/>
      <c r="AO21" s="1304"/>
      <c r="AP21" s="1304"/>
      <c r="AQ21" s="1304"/>
      <c r="AR21" s="1304"/>
      <c r="AS21" s="1304"/>
      <c r="AT21" s="1304"/>
      <c r="AU21" s="1304"/>
      <c r="AV21" s="1304"/>
      <c r="AW21" s="1304"/>
      <c r="AX21" s="1304"/>
      <c r="AY21" s="1304"/>
      <c r="AZ21" s="1304"/>
      <c r="BA21" s="1304"/>
      <c r="BB21" s="1304"/>
    </row>
    <row s="1426" customFormat="1" customHeight="1" ht="14.625">
      <c r="B22" s="427"/>
      <c r="E22" s="633">
        <v>15</v>
      </c>
      <c r="AB22" s="320" t="s">
        <v>1512</v>
      </c>
      <c r="AC22" s="203"/>
      <c r="AD22" s="203"/>
      <c r="AE22" s="203"/>
      <c r="AF22" s="203"/>
      <c r="AG22" s="203"/>
      <c r="AH22" s="203"/>
      <c r="AI22" s="203"/>
      <c r="AJ22" s="203"/>
      <c r="AK22" s="203"/>
      <c r="AL22" s="203"/>
      <c r="AM22" s="203"/>
      <c r="AN22" s="203"/>
      <c r="AO22" s="203"/>
      <c r="AP22" s="203"/>
      <c r="AQ22" s="203"/>
      <c r="AR22" s="203"/>
      <c r="AS22" s="203"/>
      <c r="AT22" s="203"/>
      <c r="AU22" s="203"/>
      <c r="AV22" s="203"/>
      <c r="AW22" s="203"/>
      <c r="AX22" s="203"/>
      <c r="AY22" s="203"/>
      <c r="AZ22" s="203"/>
      <c r="BA22" s="203"/>
      <c r="BB22" s="203"/>
      <c r="BC22" s="203"/>
      <c r="BF22" s="1018"/>
      <c r="BG22" s="1018"/>
      <c r="BH22" s="1018"/>
      <c r="BJ22" s="633"/>
      <c r="BK22" s="633"/>
    </row>
    <row s="1426" customFormat="1" customHeight="1" ht="10.96875">
      <c r="B23" s="427"/>
      <c r="E23" s="633">
        <v>11.25</v>
      </c>
      <c r="AB23" s="201"/>
      <c r="AC23" s="201"/>
      <c r="AD23" s="201"/>
      <c r="AE23" s="202"/>
      <c r="AF23" s="202"/>
      <c r="AG23" s="202"/>
      <c r="AH23" s="202"/>
      <c r="AI23" s="201"/>
      <c r="AJ23" s="201"/>
      <c r="AK23" s="201"/>
      <c r="AL23" s="201"/>
      <c r="AM23" s="201"/>
      <c r="AN23" s="201"/>
      <c r="AO23" s="201"/>
      <c r="AP23" s="201"/>
      <c r="AQ23" s="201"/>
      <c r="AR23" s="201"/>
      <c r="AS23" s="201"/>
      <c r="AT23" s="201"/>
      <c r="AU23" s="201"/>
      <c r="AV23" s="201"/>
      <c r="AW23" s="201"/>
      <c r="AX23" s="201"/>
      <c r="AY23" s="201"/>
      <c r="AZ23" s="201"/>
      <c r="BA23" s="201"/>
      <c r="BB23" s="201"/>
      <c r="BC23" s="201"/>
      <c r="BF23" s="1018"/>
      <c r="BG23" s="1018"/>
      <c r="BH23" s="1018"/>
      <c r="BJ23" s="633"/>
      <c r="BK23" s="633"/>
    </row>
    <row s="1446" customFormat="1" customHeight="1" ht="14.625">
      <c r="B24" s="429"/>
      <c r="E24" s="630">
        <v>15</v>
      </c>
      <c r="AB24" s="1604" t="s">
        <v>22</v>
      </c>
      <c r="AC24" s="1604" t="s">
        <v>369</v>
      </c>
      <c r="AD24" s="1604" t="s">
        <v>370</v>
      </c>
      <c r="AE24" s="359" t="str">
        <f>god-2&amp;" год"</f>
        <v>2024 год</v>
      </c>
      <c r="AF24" s="1121" t="str">
        <f>god-2&amp;" год"</f>
        <v>2024 год</v>
      </c>
      <c r="AG24" s="359" t="str">
        <f>god-2&amp;" год"</f>
        <v>2024 год</v>
      </c>
      <c r="AH24" s="94" t="str">
        <f>god-1&amp;" год"</f>
        <v>2025 год</v>
      </c>
      <c r="AI24" s="1118" t="str">
        <f>god&amp;" год"</f>
        <v>2026 год</v>
      </c>
      <c r="AJ24" s="1118" t="str">
        <f>god+1&amp;" год"</f>
        <v>2027 год</v>
      </c>
      <c r="AK24" s="1118" t="str">
        <f>god+2&amp;" год"</f>
        <v>2028 год</v>
      </c>
      <c r="AL24" s="1118" t="str">
        <f>god+3&amp;" год"</f>
        <v>2029 год</v>
      </c>
      <c r="AM24" s="1118" t="str">
        <f>god+4&amp;" год"</f>
        <v>2030 год</v>
      </c>
      <c r="AN24" s="1118" t="str">
        <f>god+5&amp;" год"</f>
        <v>2031 год</v>
      </c>
      <c r="AO24" s="1118" t="str">
        <f>god+6&amp;" год"</f>
        <v>2032 год</v>
      </c>
      <c r="AP24" s="1118" t="str">
        <f>god+7&amp;" год"</f>
        <v>2033 год</v>
      </c>
      <c r="AQ24" s="1118" t="str">
        <f>god+8&amp;" год"</f>
        <v>2034 год</v>
      </c>
      <c r="AR24" s="1118" t="str">
        <f>god+9&amp;" год"</f>
        <v>2035 год</v>
      </c>
      <c r="AS24" s="92" t="str">
        <f>god&amp;" год"</f>
        <v>2026 год</v>
      </c>
      <c r="AT24" s="92" t="str">
        <f>god+1&amp;" год"</f>
        <v>2027 год</v>
      </c>
      <c r="AU24" s="92" t="str">
        <f>god+2&amp;" год"</f>
        <v>2028 год</v>
      </c>
      <c r="AV24" s="92" t="str">
        <f>god+3&amp;" год"</f>
        <v>2029 год</v>
      </c>
      <c r="AW24" s="92" t="str">
        <f>god+4&amp;" год"</f>
        <v>2030 год</v>
      </c>
      <c r="AX24" s="92" t="str">
        <f>god+5&amp;" год"</f>
        <v>2031 год</v>
      </c>
      <c r="AY24" s="92" t="str">
        <f>god+6&amp;" год"</f>
        <v>2032 год</v>
      </c>
      <c r="AZ24" s="92" t="str">
        <f>god+7&amp;" год"</f>
        <v>2033 год</v>
      </c>
      <c r="BA24" s="92" t="str">
        <f>god+8&amp;" год"</f>
        <v>2034 год</v>
      </c>
      <c r="BB24" s="92" t="str">
        <f>god+9&amp;" год"</f>
        <v>2035 год</v>
      </c>
      <c r="BC24" s="1578" t="s">
        <v>1242</v>
      </c>
      <c r="BF24" s="1013"/>
      <c r="BG24" s="1013"/>
      <c r="BH24" s="1013"/>
      <c r="BJ24" s="630"/>
      <c r="BK24" s="630"/>
    </row>
    <row s="1446" customFormat="1" customHeight="1" ht="48.75">
      <c r="B25" s="429"/>
      <c r="E25" s="630">
        <v>50</v>
      </c>
      <c r="F25" s="144" t="s">
        <v>372</v>
      </c>
      <c r="AB25" s="1604"/>
      <c r="AC25" s="1604"/>
      <c r="AD25" s="1604"/>
      <c r="AE25" s="92" t="s">
        <v>362</v>
      </c>
      <c r="AF25" s="1118" t="s">
        <v>1164</v>
      </c>
      <c r="AG25" s="92" t="s">
        <v>1165</v>
      </c>
      <c r="AH25" s="92" t="s">
        <v>362</v>
      </c>
      <c r="AI25" s="1122" t="s">
        <v>363</v>
      </c>
      <c r="AJ25" s="1122" t="s">
        <v>363</v>
      </c>
      <c r="AK25" s="1122" t="s">
        <v>363</v>
      </c>
      <c r="AL25" s="1122" t="s">
        <v>363</v>
      </c>
      <c r="AM25" s="1122" t="s">
        <v>363</v>
      </c>
      <c r="AN25" s="1122" t="s">
        <v>363</v>
      </c>
      <c r="AO25" s="1122" t="s">
        <v>363</v>
      </c>
      <c r="AP25" s="1122" t="s">
        <v>363</v>
      </c>
      <c r="AQ25" s="1122" t="s">
        <v>363</v>
      </c>
      <c r="AR25" s="1122" t="s">
        <v>363</v>
      </c>
      <c r="AS25" s="360" t="s">
        <v>362</v>
      </c>
      <c r="AT25" s="360" t="s">
        <v>362</v>
      </c>
      <c r="AU25" s="360" t="s">
        <v>362</v>
      </c>
      <c r="AV25" s="360" t="s">
        <v>362</v>
      </c>
      <c r="AW25" s="360" t="s">
        <v>362</v>
      </c>
      <c r="AX25" s="360" t="s">
        <v>362</v>
      </c>
      <c r="AY25" s="360" t="s">
        <v>362</v>
      </c>
      <c r="AZ25" s="360" t="s">
        <v>362</v>
      </c>
      <c r="BA25" s="360" t="s">
        <v>362</v>
      </c>
      <c r="BB25" s="360" t="s">
        <v>362</v>
      </c>
      <c r="BC25" s="1578"/>
      <c r="BF25" s="1013"/>
      <c r="BG25" s="1013"/>
      <c r="BH25" s="1013"/>
      <c r="BJ25" s="630"/>
      <c r="BK25" s="630"/>
    </row>
    <row s="1834" customFormat="1" customHeight="1" ht="11.25" hidden="1">
      <c r="A26" s="499"/>
      <c r="B26" s="658"/>
      <c r="C26" s="499"/>
      <c r="D26" s="499"/>
      <c r="E26" s="659">
        <v>0</v>
      </c>
      <c r="F26" s="482"/>
      <c r="G26" s="499"/>
      <c r="H26" s="499"/>
      <c r="I26" s="499"/>
      <c r="J26" s="499"/>
      <c r="K26" s="499"/>
      <c r="L26" s="499"/>
      <c r="M26" s="499"/>
      <c r="N26" s="499"/>
      <c r="O26" s="499"/>
      <c r="P26" s="499"/>
      <c r="Q26" s="499"/>
      <c r="R26" s="499"/>
      <c r="S26" s="499"/>
      <c r="T26" s="499"/>
      <c r="U26" s="499"/>
      <c r="V26" s="499"/>
      <c r="W26" s="499"/>
      <c r="X26" s="499"/>
      <c r="Y26" s="499"/>
      <c r="Z26" s="499"/>
      <c r="AA26" s="499"/>
      <c r="AC26" s="100"/>
      <c r="AD26" s="100"/>
      <c r="AE26" s="100"/>
      <c r="AF26" s="100"/>
      <c r="AI26" s="1834"/>
      <c r="AJ26" s="1834"/>
      <c r="AK26" s="1834"/>
      <c r="AL26" s="1834"/>
      <c r="AM26" s="1834"/>
      <c r="AN26" s="1834"/>
      <c r="AO26" s="1834"/>
      <c r="AP26" s="1834"/>
      <c r="AQ26" s="101"/>
      <c r="AR26" s="1834"/>
      <c r="AS26" s="1834"/>
      <c r="AT26" s="1834"/>
      <c r="AU26" s="1834"/>
      <c r="AV26" s="1834"/>
      <c r="AW26" s="1834"/>
      <c r="AX26" s="1834"/>
      <c r="AY26" s="1834"/>
      <c r="AZ26" s="1834"/>
      <c r="BA26" s="1834"/>
      <c r="BB26" s="1834"/>
      <c r="BF26" s="1004"/>
      <c r="BG26" s="1004"/>
      <c r="BH26" s="1004"/>
      <c r="BJ26" s="624"/>
      <c r="BK26" s="624"/>
    </row>
    <row s="1446" customFormat="1" customHeight="1" ht="14.625" hidden="1">
      <c r="A27" s="1446"/>
      <c r="B27" s="429"/>
      <c r="C27" s="1446"/>
      <c r="D27" s="1446"/>
      <c r="E27" s="630">
        <v>15</v>
      </c>
      <c r="F27" s="349" cm="1" t="str">
        <f t="array" ref="F27:F27">X27</f>
        <v>0</v>
      </c>
      <c r="G27" s="146"/>
      <c r="H27" s="146"/>
      <c r="I27" s="1446"/>
      <c r="J27" s="1446"/>
      <c r="K27" s="1446"/>
      <c r="L27" s="1446"/>
      <c r="M27" s="1446"/>
      <c r="N27" s="1446"/>
      <c r="O27" s="1446"/>
      <c r="P27" s="1446"/>
      <c r="Q27" s="1446"/>
      <c r="R27" s="1446"/>
      <c r="S27" s="1446"/>
      <c r="T27" s="465">
        <f>X27&gt;0</f>
        <v>0</v>
      </c>
      <c r="U27" s="1446"/>
      <c r="V27" s="144" t="s">
        <v>265</v>
      </c>
      <c r="W27" s="1446"/>
      <c r="X27" s="1543">
        <v>0</v>
      </c>
      <c r="Y27" s="1446"/>
      <c r="Z27" s="1565"/>
      <c r="AA27" s="1446"/>
      <c r="AB27" s="183" cm="1" t="str">
        <f t="array" ref="AB27:AB27">INDEX('Общие сведения'!$AG$179:$AG$250,MATCH($X27,'Общие сведения'!$Z$179:$Z$250,0))</f>
        <v>Тариф 0 () - </v>
      </c>
      <c r="AC27" s="180"/>
      <c r="AD27" s="174"/>
      <c r="AE27" s="174"/>
      <c r="AF27" s="174"/>
      <c r="AG27" s="174"/>
      <c r="AH27" s="174"/>
      <c r="AI27" s="174"/>
      <c r="AJ27" s="174"/>
      <c r="AK27" s="174"/>
      <c r="AL27" s="174"/>
      <c r="AM27" s="174"/>
      <c r="AN27" s="174"/>
      <c r="AO27" s="174"/>
      <c r="AP27" s="174"/>
      <c r="AQ27" s="174"/>
      <c r="AR27" s="174"/>
      <c r="AS27" s="174"/>
      <c r="AT27" s="174"/>
      <c r="AU27" s="174"/>
      <c r="AV27" s="174"/>
      <c r="AW27" s="174"/>
      <c r="AX27" s="174"/>
      <c r="AY27" s="174"/>
      <c r="AZ27" s="174"/>
      <c r="BA27" s="174"/>
      <c r="BB27" s="174"/>
      <c r="BC27" s="174"/>
      <c r="BD27" s="1446"/>
      <c r="BE27" s="1446"/>
      <c r="BF27" s="1013"/>
      <c r="BG27" s="1013"/>
      <c r="BH27" s="1013"/>
      <c r="BI27" s="1446"/>
      <c r="BJ27" s="630"/>
      <c r="BK27" s="630"/>
    </row>
    <row s="1812" customFormat="1" customHeight="1" ht="14.625" hidden="1">
      <c r="A28" s="1812"/>
      <c r="B28" s="429"/>
      <c r="C28" s="1812"/>
      <c r="D28" s="483"/>
      <c r="E28" s="267">
        <v>15</v>
      </c>
      <c r="F28" s="50" cm="1" t="str">
        <f t="array" ref="F28:F28">OFFSET(E28,-1,1)</f>
        <v>0</v>
      </c>
      <c r="G28" s="1812"/>
      <c r="H28" s="146" cm="1" t="str">
        <f t="array" ref="H28:H28">AC28</f>
        <v>Всего по тарифу</v>
      </c>
      <c r="I28" s="1812"/>
      <c r="J28" s="1812"/>
      <c r="K28" s="483" t="str">
        <f>F28&amp;"komm"</f>
        <v>0komm</v>
      </c>
      <c r="L28" s="917" cm="1" t="str">
        <f t="array" ref="L28:L28">BC28</f>
        <v>0</v>
      </c>
      <c r="M28" s="1812"/>
      <c r="N28" s="1812"/>
      <c r="O28" s="1812"/>
      <c r="P28" s="1812"/>
      <c r="Q28" s="1812"/>
      <c r="R28" s="1812"/>
      <c r="S28" s="1812"/>
      <c r="T28" s="465" cm="1" t="str">
        <f t="array" ref="T28:T28">T27</f>
        <v>false</v>
      </c>
      <c r="U28" s="1812"/>
      <c r="V28" s="1812"/>
      <c r="W28" s="1812"/>
      <c r="X28" s="1543"/>
      <c r="Y28" s="1812"/>
      <c r="Z28" s="1565"/>
      <c r="AA28" s="1812"/>
      <c r="AB28" s="145"/>
      <c r="AC28" s="138" t="s">
        <v>1513</v>
      </c>
      <c r="AD28" s="93" t="s">
        <v>1514</v>
      </c>
      <c r="AE28" s="142">
        <f>AE29+AE34+AE41</f>
        <v>0</v>
      </c>
      <c r="AF28" s="142">
        <f>AF29+AF34+AF41</f>
        <v>0</v>
      </c>
      <c r="AG28" s="142">
        <f>AG29+AG34+AG41</f>
        <v>0</v>
      </c>
      <c r="AH28" s="142">
        <f>AH29+AH34+AH41</f>
        <v>0</v>
      </c>
      <c r="AI28" s="142">
        <f>AI29+AI34+AI41</f>
        <v>0</v>
      </c>
      <c r="AJ28" s="142">
        <f>AJ29+AJ34+AJ41</f>
        <v>0</v>
      </c>
      <c r="AK28" s="142">
        <f>AK29+AK34+AK41</f>
        <v>0</v>
      </c>
      <c r="AL28" s="142">
        <f>AL29+AL34+AL41</f>
        <v>0</v>
      </c>
      <c r="AM28" s="142">
        <f>AM29+AM34+AM41</f>
        <v>0</v>
      </c>
      <c r="AN28" s="142">
        <f>AN29+AN34+AN41</f>
        <v>0</v>
      </c>
      <c r="AO28" s="142">
        <f>AO29+AO34+AO41</f>
        <v>0</v>
      </c>
      <c r="AP28" s="142">
        <f>AP29+AP34+AP41</f>
        <v>0</v>
      </c>
      <c r="AQ28" s="142">
        <f>AQ29+AQ34+AQ41</f>
        <v>0</v>
      </c>
      <c r="AR28" s="142">
        <f>AR29+AR34+AR41</f>
        <v>0</v>
      </c>
      <c r="AS28" s="142">
        <f>AS29+AS34+AS41</f>
        <v>0</v>
      </c>
      <c r="AT28" s="142">
        <f>AT29+AT34+AT41</f>
        <v>0</v>
      </c>
      <c r="AU28" s="142">
        <f>AU29+AU34+AU41</f>
        <v>0</v>
      </c>
      <c r="AV28" s="142">
        <f>AV29+AV34+AV41</f>
        <v>0</v>
      </c>
      <c r="AW28" s="142">
        <f>AW29+AW34+AW41</f>
        <v>0</v>
      </c>
      <c r="AX28" s="142">
        <f>AX29+AX34+AX41</f>
        <v>0</v>
      </c>
      <c r="AY28" s="142">
        <f>AY29+AY34+AY41</f>
        <v>0</v>
      </c>
      <c r="AZ28" s="142">
        <f>AZ29+AZ34+AZ41</f>
        <v>0</v>
      </c>
      <c r="BA28" s="142">
        <f>BA29+BA34+BA41</f>
        <v>0</v>
      </c>
      <c r="BB28" s="142">
        <f>BB29+BB34+BB41</f>
        <v>0</v>
      </c>
      <c r="BC28" s="2070"/>
      <c r="BD28" s="1812"/>
      <c r="BE28" s="1812"/>
      <c r="BF28" s="1030" t="s">
        <v>1515</v>
      </c>
      <c r="BG28" s="1030"/>
      <c r="BH28" s="1030"/>
      <c r="BI28" s="1812"/>
      <c r="BJ28" s="267"/>
      <c r="BK28" s="267"/>
    </row>
    <row customHeight="1" ht="14.625" hidden="1">
      <c r="A29" s="1304"/>
      <c r="B29" s="1679"/>
      <c r="C29" s="1304"/>
      <c r="D29" s="916"/>
      <c r="E29" s="630">
        <v>15</v>
      </c>
      <c r="F29" s="1387" cm="1" t="str">
        <f t="array" ref="F29:F29">OFFSET(E29,-1,1)</f>
        <v>0</v>
      </c>
      <c r="G29" s="1304"/>
      <c r="H29" s="1304"/>
      <c r="I29" s="1312" t="s">
        <v>1516</v>
      </c>
      <c r="J29" s="1304"/>
      <c r="K29" s="916"/>
      <c r="L29" s="917"/>
      <c r="M29" s="1304"/>
      <c r="N29" s="1304"/>
      <c r="O29" s="1304"/>
      <c r="P29" s="1304"/>
      <c r="Q29" s="1304"/>
      <c r="R29" s="1304"/>
      <c r="S29" s="1304"/>
      <c r="T29" s="1356" cm="1" t="str">
        <f t="array" ref="T29:T29">T28</f>
        <v>false</v>
      </c>
      <c r="U29" s="1304"/>
      <c r="V29" s="1304"/>
      <c r="W29" s="1304"/>
      <c r="X29" s="1385"/>
      <c r="Y29" s="1304"/>
      <c r="Z29" s="1385"/>
      <c r="AA29" s="1304"/>
      <c r="AB29" s="145" t="s">
        <v>276</v>
      </c>
      <c r="AC29" s="1089" t="s">
        <v>1516</v>
      </c>
      <c r="AD29" s="1564" t="s">
        <v>1514</v>
      </c>
      <c r="AE29" s="191">
        <f>SUMIF($AD30:$AD33,$AD29,AE30:AE33)</f>
        <v>0</v>
      </c>
      <c r="AF29" s="191">
        <f>SUMIF($AD30:$AD33,$AD29,AF30:AF33)</f>
        <v>0</v>
      </c>
      <c r="AG29" s="191">
        <f>SUMIF($AD30:$AD33,$AD29,AG30:AG33)</f>
        <v>0</v>
      </c>
      <c r="AH29" s="191">
        <f>SUMIF($AD30:$AD33,$AD29,AH30:AH33)</f>
        <v>0</v>
      </c>
      <c r="AI29" s="191">
        <f>SUMIF($AD30:$AD33,$AD29,AI30:AI33)</f>
        <v>0</v>
      </c>
      <c r="AJ29" s="191">
        <f>SUMIF($AD30:$AD33,$AD29,AJ30:AJ33)</f>
        <v>0</v>
      </c>
      <c r="AK29" s="191">
        <f>SUMIF($AD30:$AD33,$AD29,AK30:AK33)</f>
        <v>0</v>
      </c>
      <c r="AL29" s="191">
        <f>SUMIF($AD30:$AD33,$AD29,AL30:AL33)</f>
        <v>0</v>
      </c>
      <c r="AM29" s="191">
        <f>SUMIF($AD30:$AD33,$AD29,AM30:AM33)</f>
        <v>0</v>
      </c>
      <c r="AN29" s="191">
        <f>SUMIF($AD30:$AD33,$AD29,AN30:AN33)</f>
        <v>0</v>
      </c>
      <c r="AO29" s="191">
        <f>SUMIF($AD30:$AD33,$AD29,AO30:AO33)</f>
        <v>0</v>
      </c>
      <c r="AP29" s="191">
        <f>SUMIF($AD30:$AD33,$AD29,AP30:AP33)</f>
        <v>0</v>
      </c>
      <c r="AQ29" s="191">
        <f>SUMIF($AD30:$AD33,$AD29,AQ30:AQ33)</f>
        <v>0</v>
      </c>
      <c r="AR29" s="191">
        <f>SUMIF($AD30:$AD33,$AD29,AR30:AR33)</f>
        <v>0</v>
      </c>
      <c r="AS29" s="191">
        <f>SUMIF($AD30:$AD33,$AD29,AS30:AS33)</f>
        <v>0</v>
      </c>
      <c r="AT29" s="191">
        <f>SUMIF($AD30:$AD33,$AD29,AT30:AT33)</f>
        <v>0</v>
      </c>
      <c r="AU29" s="191">
        <f>SUMIF($AD30:$AD33,$AD29,AU30:AU33)</f>
        <v>0</v>
      </c>
      <c r="AV29" s="191">
        <f>SUMIF($AD30:$AD33,$AD29,AV30:AV33)</f>
        <v>0</v>
      </c>
      <c r="AW29" s="191">
        <f>SUMIF($AD30:$AD33,$AD29,AW30:AW33)</f>
        <v>0</v>
      </c>
      <c r="AX29" s="191">
        <f>SUMIF($AD30:$AD33,$AD29,AX30:AX33)</f>
        <v>0</v>
      </c>
      <c r="AY29" s="191">
        <f>SUMIF($AD30:$AD33,$AD29,AY30:AY33)</f>
        <v>0</v>
      </c>
      <c r="AZ29" s="191">
        <f>SUMIF($AD30:$AD33,$AD29,AZ30:AZ33)</f>
        <v>0</v>
      </c>
      <c r="BA29" s="191">
        <f>SUMIF($AD30:$AD33,$AD29,BA30:BA33)</f>
        <v>0</v>
      </c>
      <c r="BB29" s="191">
        <f>SUMIF($AD30:$AD33,$AD29,BB30:BB33)</f>
        <v>0</v>
      </c>
      <c r="BC29" s="2836"/>
      <c r="BD29" s="1304"/>
      <c r="BE29" s="1304"/>
      <c r="BF29" s="1046" t="s">
        <v>1517</v>
      </c>
      <c r="BG29" s="1046"/>
      <c r="BH29" s="1046"/>
      <c r="BI29" s="1809"/>
      <c r="BJ29" s="1047"/>
      <c r="BK29" s="1047"/>
    </row>
    <row s="1812" customFormat="1" customHeight="1" ht="14.625" hidden="1">
      <c r="A30" s="1812"/>
      <c r="B30" s="429"/>
      <c r="C30" s="1812"/>
      <c r="D30" s="1812"/>
      <c r="E30" s="267">
        <v>15</v>
      </c>
      <c r="F30" s="50" cm="1" t="str">
        <f t="array" ref="F30:F30">OFFSET(E30,-1,1)</f>
        <v>0</v>
      </c>
      <c r="G30" s="146" t="s">
        <v>332</v>
      </c>
      <c r="H30" s="146" cm="1" t="str">
        <f t="array" ref="H30:H30">AC30</f>
        <v>0</v>
      </c>
      <c r="I30" s="1812"/>
      <c r="J30" s="1812"/>
      <c r="K30" s="1812"/>
      <c r="L30" s="1812"/>
      <c r="M30" s="1812"/>
      <c r="N30" s="1812"/>
      <c r="O30" s="1812"/>
      <c r="P30" s="1812"/>
      <c r="Q30" s="1812"/>
      <c r="R30" s="1812"/>
      <c r="S30" s="1812"/>
      <c r="T30" s="465">
        <f>AND(F30&gt;0,Y30&gt;0)</f>
        <v>0</v>
      </c>
      <c r="U30" s="1812"/>
      <c r="V30" s="1812"/>
      <c r="W30" s="757" t="s">
        <v>174</v>
      </c>
      <c r="X30" s="1543"/>
      <c r="Y30" s="1565">
        <v>0</v>
      </c>
      <c r="Z30" s="1565"/>
      <c r="AA30" s="662" t="s">
        <v>175</v>
      </c>
      <c r="AB30" s="89" t="str">
        <f>"1."&amp;Y30</f>
        <v>1.0</v>
      </c>
      <c r="AC30" s="2841"/>
      <c r="AD30" s="93" t="s">
        <v>1514</v>
      </c>
      <c r="AE30" s="1940"/>
      <c r="AF30" s="1940"/>
      <c r="AG30" s="1940"/>
      <c r="AH30" s="1940"/>
      <c r="AI30" s="1940"/>
      <c r="AJ30" s="1940"/>
      <c r="AK30" s="1940"/>
      <c r="AL30" s="1940"/>
      <c r="AM30" s="1940"/>
      <c r="AN30" s="1940"/>
      <c r="AO30" s="1940"/>
      <c r="AP30" s="1940"/>
      <c r="AQ30" s="1940"/>
      <c r="AR30" s="1940"/>
      <c r="AS30" s="1940"/>
      <c r="AT30" s="1940"/>
      <c r="AU30" s="1940"/>
      <c r="AV30" s="1940"/>
      <c r="AW30" s="1940"/>
      <c r="AX30" s="1940"/>
      <c r="AY30" s="1940"/>
      <c r="AZ30" s="1940"/>
      <c r="BA30" s="1940"/>
      <c r="BB30" s="1940"/>
      <c r="BC30" s="2070"/>
      <c r="BD30" s="1812"/>
      <c r="BE30" s="1812"/>
      <c r="BF30" s="1030" t="s">
        <v>1518</v>
      </c>
      <c r="BG30" s="1030" t="s">
        <v>1519</v>
      </c>
      <c r="BH30" s="1030" cm="1" t="str">
        <f t="array" ref="BH30:BH30">AC30</f>
        <v>0</v>
      </c>
      <c r="BI30" s="1812"/>
      <c r="BJ30" s="267"/>
      <c r="BK30" s="267" t="b">
        <v>1</v>
      </c>
    </row>
    <row customHeight="1" ht="14.625" hidden="1">
      <c r="A31" s="1304"/>
      <c r="B31" s="1679"/>
      <c r="C31" s="1304"/>
      <c r="D31" s="1304"/>
      <c r="E31" s="630">
        <v>15</v>
      </c>
      <c r="F31" s="1387" cm="1" t="str">
        <f t="array" ref="F31:F31">OFFSET(E31,-1,1)</f>
        <v>0</v>
      </c>
      <c r="G31" s="1304"/>
      <c r="H31" s="1304"/>
      <c r="I31" s="1304"/>
      <c r="J31" s="1304"/>
      <c r="K31" s="1304"/>
      <c r="L31" s="1304"/>
      <c r="M31" s="1304"/>
      <c r="N31" s="1304"/>
      <c r="O31" s="1304"/>
      <c r="P31" s="1304"/>
      <c r="Q31" s="1304"/>
      <c r="R31" s="1304"/>
      <c r="S31" s="1304"/>
      <c r="T31" s="1356" cm="1" t="str">
        <f t="array" ref="T31:T31">T30</f>
        <v>false</v>
      </c>
      <c r="U31" s="1304"/>
      <c r="V31" s="1304"/>
      <c r="W31" s="849"/>
      <c r="X31" s="1385"/>
      <c r="Y31" s="1543"/>
      <c r="Z31" s="1385"/>
      <c r="AA31" s="1680"/>
      <c r="AB31" s="1681" t="str">
        <f>AB30&amp;".1"</f>
        <v>1.0.1</v>
      </c>
      <c r="AC31" s="331" t="s">
        <v>1520</v>
      </c>
      <c r="AD31" s="1578" t="s">
        <v>1521</v>
      </c>
      <c r="AE31" s="2846"/>
      <c r="AF31" s="2846"/>
      <c r="AG31" s="2846"/>
      <c r="AH31" s="2846"/>
      <c r="AI31" s="2846"/>
      <c r="AJ31" s="2846"/>
      <c r="AK31" s="2846"/>
      <c r="AL31" s="2846"/>
      <c r="AM31" s="2846"/>
      <c r="AN31" s="2846"/>
      <c r="AO31" s="2846"/>
      <c r="AP31" s="2846"/>
      <c r="AQ31" s="2846"/>
      <c r="AR31" s="2846"/>
      <c r="AS31" s="2846"/>
      <c r="AT31" s="2846"/>
      <c r="AU31" s="2846"/>
      <c r="AV31" s="2846"/>
      <c r="AW31" s="2846"/>
      <c r="AX31" s="2846"/>
      <c r="AY31" s="2846"/>
      <c r="AZ31" s="2846"/>
      <c r="BA31" s="2846"/>
      <c r="BB31" s="2846"/>
      <c r="BC31" s="2070"/>
      <c r="BD31" s="1304"/>
      <c r="BE31" s="1304"/>
      <c r="BF31" s="1046" t="s">
        <v>1522</v>
      </c>
      <c r="BG31" s="1046" t="s">
        <v>1519</v>
      </c>
      <c r="BH31" s="1046" cm="1" t="str">
        <f t="array" ref="BH31:BH31">BH30</f>
        <v>0</v>
      </c>
      <c r="BI31" s="1809"/>
      <c r="BJ31" s="1047"/>
      <c r="BK31" s="1047"/>
    </row>
    <row customHeight="1" ht="14.625" hidden="1">
      <c r="A32" s="1304"/>
      <c r="B32" s="1679"/>
      <c r="C32" s="1304"/>
      <c r="D32" s="1304"/>
      <c r="E32" s="630">
        <v>15</v>
      </c>
      <c r="F32" s="1387" cm="1" t="str">
        <f t="array" ref="F32:F32">OFFSET(E32,-1,1)</f>
        <v>0</v>
      </c>
      <c r="G32" s="1304"/>
      <c r="H32" s="1304"/>
      <c r="I32" s="1304"/>
      <c r="J32" s="1304"/>
      <c r="K32" s="1304"/>
      <c r="L32" s="1304"/>
      <c r="M32" s="1304"/>
      <c r="N32" s="1304"/>
      <c r="O32" s="1304"/>
      <c r="P32" s="1304"/>
      <c r="Q32" s="1304"/>
      <c r="R32" s="1304"/>
      <c r="S32" s="1304"/>
      <c r="T32" s="1356" cm="1" t="str">
        <f t="array" ref="T32:T32">T31</f>
        <v>false</v>
      </c>
      <c r="U32" s="1304"/>
      <c r="V32" s="1304"/>
      <c r="W32" s="849"/>
      <c r="X32" s="1385"/>
      <c r="Y32" s="1543"/>
      <c r="Z32" s="1385"/>
      <c r="AA32" s="1680"/>
      <c r="AB32" s="1681" t="str">
        <f>AB30&amp;".2"</f>
        <v>1.0.2</v>
      </c>
      <c r="AC32" s="331" t="s">
        <v>1523</v>
      </c>
      <c r="AD32" s="1578" t="s">
        <v>1524</v>
      </c>
      <c r="AE32" s="2846"/>
      <c r="AF32" s="2846"/>
      <c r="AG32" s="2846"/>
      <c r="AH32" s="2846"/>
      <c r="AI32" s="2846"/>
      <c r="AJ32" s="2846"/>
      <c r="AK32" s="2846"/>
      <c r="AL32" s="2846"/>
      <c r="AM32" s="2846"/>
      <c r="AN32" s="2846"/>
      <c r="AO32" s="2846"/>
      <c r="AP32" s="2846"/>
      <c r="AQ32" s="2846"/>
      <c r="AR32" s="2846"/>
      <c r="AS32" s="2846"/>
      <c r="AT32" s="2846"/>
      <c r="AU32" s="2846"/>
      <c r="AV32" s="2846"/>
      <c r="AW32" s="2846"/>
      <c r="AX32" s="2846"/>
      <c r="AY32" s="2846"/>
      <c r="AZ32" s="2846"/>
      <c r="BA32" s="2846"/>
      <c r="BB32" s="2846"/>
      <c r="BC32" s="2070"/>
      <c r="BD32" s="1304"/>
      <c r="BE32" s="1304"/>
      <c r="BF32" s="1046" t="s">
        <v>1525</v>
      </c>
      <c r="BG32" s="1046" t="s">
        <v>1519</v>
      </c>
      <c r="BH32" s="1046" cm="1" t="str">
        <f t="array" ref="BH32:BH32">BH31</f>
        <v>0</v>
      </c>
      <c r="BI32" s="1809"/>
      <c r="BJ32" s="1047"/>
      <c r="BK32" s="1047"/>
    </row>
    <row customHeight="1" ht="14.625" hidden="1">
      <c r="A33" s="1304"/>
      <c r="B33" s="1682"/>
      <c r="C33" s="1304"/>
      <c r="D33" s="1304"/>
      <c r="E33" s="630">
        <v>15</v>
      </c>
      <c r="F33" s="1387" cm="1" t="str">
        <f t="array" ref="F33:F33">OFFSET(E33,-1,1)</f>
        <v>0</v>
      </c>
      <c r="G33" s="1304"/>
      <c r="H33" s="1377" t="str">
        <f>"!== 'Всего по тарифу'"</f>
        <v>!== 'Всего по тарифу'</v>
      </c>
      <c r="I33" s="1304"/>
      <c r="J33" s="1304"/>
      <c r="K33" s="1304"/>
      <c r="L33" s="1304"/>
      <c r="M33" s="1304"/>
      <c r="N33" s="1304"/>
      <c r="O33" s="1304"/>
      <c r="P33" s="1304"/>
      <c r="Q33" s="1304"/>
      <c r="R33" s="1304"/>
      <c r="S33" s="1304"/>
      <c r="T33" s="1356">
        <f>F33&gt;0</f>
        <v>0</v>
      </c>
      <c r="U33" s="1304"/>
      <c r="V33" s="1304"/>
      <c r="W33" s="849" t="s">
        <v>399</v>
      </c>
      <c r="X33" s="1385"/>
      <c r="Y33" s="1304"/>
      <c r="Z33" s="1385"/>
      <c r="AA33" s="1304"/>
      <c r="AB33" s="1683"/>
      <c r="AC33" s="1684" t="s">
        <v>178</v>
      </c>
      <c r="AD33" s="1685"/>
      <c r="AE33" s="1685"/>
      <c r="AF33" s="1685"/>
      <c r="AG33" s="1685"/>
      <c r="AH33" s="1685"/>
      <c r="AI33" s="1685"/>
      <c r="AJ33" s="1685"/>
      <c r="AK33" s="1685"/>
      <c r="AL33" s="1685"/>
      <c r="AM33" s="1685"/>
      <c r="AN33" s="1685"/>
      <c r="AO33" s="1685"/>
      <c r="AP33" s="1685"/>
      <c r="AQ33" s="1685"/>
      <c r="AR33" s="1685"/>
      <c r="AS33" s="1685"/>
      <c r="AT33" s="1685"/>
      <c r="AU33" s="1685"/>
      <c r="AV33" s="1685"/>
      <c r="AW33" s="1685"/>
      <c r="AX33" s="1685"/>
      <c r="AY33" s="1685"/>
      <c r="AZ33" s="1685"/>
      <c r="BA33" s="1685"/>
      <c r="BB33" s="1685"/>
      <c r="BC33" s="1686"/>
      <c r="BD33" s="1304"/>
      <c r="BE33" s="1304"/>
      <c r="BF33" s="1018"/>
      <c r="BG33" s="1018"/>
      <c r="BH33" s="1018"/>
      <c r="BI33" s="1810"/>
      <c r="BJ33" s="1338" t="s">
        <v>1519</v>
      </c>
      <c r="BK33" s="1338"/>
    </row>
    <row customHeight="1" ht="14.625" hidden="1">
      <c r="A34" s="1304"/>
      <c r="B34" s="1682"/>
      <c r="C34" s="1304"/>
      <c r="D34" s="1304"/>
      <c r="E34" s="630">
        <v>15</v>
      </c>
      <c r="F34" s="1387" cm="1" t="str">
        <f t="array" ref="F34:F34">OFFSET(E34,-1,1)</f>
        <v>0</v>
      </c>
      <c r="G34" s="1304"/>
      <c r="H34" s="1304"/>
      <c r="I34" s="1312" t="s">
        <v>1526</v>
      </c>
      <c r="J34" s="1304"/>
      <c r="K34" s="1304"/>
      <c r="L34" s="1304"/>
      <c r="M34" s="1304"/>
      <c r="N34" s="1304"/>
      <c r="O34" s="1304"/>
      <c r="P34" s="1304"/>
      <c r="Q34" s="1304"/>
      <c r="R34" s="1304"/>
      <c r="S34" s="1304"/>
      <c r="T34" s="1356" cm="1" t="str">
        <f t="array" ref="T34:T34">T33</f>
        <v>false</v>
      </c>
      <c r="U34" s="1304"/>
      <c r="V34" s="1304"/>
      <c r="W34" s="849"/>
      <c r="X34" s="1385"/>
      <c r="Y34" s="1304"/>
      <c r="Z34" s="1385"/>
      <c r="AA34" s="1304"/>
      <c r="AB34" s="145" t="s">
        <v>285</v>
      </c>
      <c r="AC34" s="1089" t="s">
        <v>1526</v>
      </c>
      <c r="AD34" s="1564" t="s">
        <v>1514</v>
      </c>
      <c r="AE34" s="191">
        <f>AE35+AE36</f>
        <v>0</v>
      </c>
      <c r="AF34" s="191">
        <f>AF35+AF36</f>
        <v>0</v>
      </c>
      <c r="AG34" s="191">
        <f>AG35+AG36</f>
        <v>0</v>
      </c>
      <c r="AH34" s="191">
        <f>AH35+AH36</f>
        <v>0</v>
      </c>
      <c r="AI34" s="191">
        <f>AI35+AI36</f>
        <v>0</v>
      </c>
      <c r="AJ34" s="191">
        <f>AJ35+AJ36</f>
        <v>0</v>
      </c>
      <c r="AK34" s="191">
        <f>AK35+AK36</f>
        <v>0</v>
      </c>
      <c r="AL34" s="191">
        <f>AL35+AL36</f>
        <v>0</v>
      </c>
      <c r="AM34" s="191">
        <f>AM35+AM36</f>
        <v>0</v>
      </c>
      <c r="AN34" s="191">
        <f>AN35+AN36</f>
        <v>0</v>
      </c>
      <c r="AO34" s="191">
        <f>AO35+AO36</f>
        <v>0</v>
      </c>
      <c r="AP34" s="191">
        <f>AP35+AP36</f>
        <v>0</v>
      </c>
      <c r="AQ34" s="191">
        <f>AQ35+AQ36</f>
        <v>0</v>
      </c>
      <c r="AR34" s="191">
        <f>AR35+AR36</f>
        <v>0</v>
      </c>
      <c r="AS34" s="191">
        <f>AS35+AS36</f>
        <v>0</v>
      </c>
      <c r="AT34" s="191">
        <f>AT35+AT36</f>
        <v>0</v>
      </c>
      <c r="AU34" s="191">
        <f>AU35+AU36</f>
        <v>0</v>
      </c>
      <c r="AV34" s="191">
        <f>AV35+AV36</f>
        <v>0</v>
      </c>
      <c r="AW34" s="191">
        <f>AW35+AW36</f>
        <v>0</v>
      </c>
      <c r="AX34" s="191">
        <f>AX35+AX36</f>
        <v>0</v>
      </c>
      <c r="AY34" s="191">
        <f>AY35+AY36</f>
        <v>0</v>
      </c>
      <c r="AZ34" s="191">
        <f>AZ35+AZ36</f>
        <v>0</v>
      </c>
      <c r="BA34" s="191">
        <f>BA35+BA36</f>
        <v>0</v>
      </c>
      <c r="BB34" s="191">
        <f>BB35+BB36</f>
        <v>0</v>
      </c>
      <c r="BC34" s="2836"/>
      <c r="BD34" s="1304"/>
      <c r="BE34" s="1304"/>
      <c r="BF34" s="1018" t="s">
        <v>1527</v>
      </c>
      <c r="BG34" s="1018"/>
      <c r="BH34" s="1018"/>
      <c r="BI34" s="1810"/>
      <c r="BJ34" s="1338"/>
      <c r="BK34" s="1338"/>
    </row>
    <row customHeight="1" ht="32.90625" hidden="1">
      <c r="A35" s="1304"/>
      <c r="B35" s="1682"/>
      <c r="C35" s="1304"/>
      <c r="D35" s="1304"/>
      <c r="E35" s="630">
        <v>33.75</v>
      </c>
      <c r="F35" s="1387" cm="1" t="str">
        <f t="array" ref="F35:F35">OFFSET(E35,-1,1)</f>
        <v>0</v>
      </c>
      <c r="G35" s="1304"/>
      <c r="H35" s="1304"/>
      <c r="I35" s="1304"/>
      <c r="J35" s="1304"/>
      <c r="K35" s="1304"/>
      <c r="L35" s="1304"/>
      <c r="M35" s="1304"/>
      <c r="N35" s="1304"/>
      <c r="O35" s="1304"/>
      <c r="P35" s="1304"/>
      <c r="Q35" s="1304"/>
      <c r="R35" s="1304"/>
      <c r="S35" s="1304"/>
      <c r="T35" s="1356" cm="1" t="str">
        <f t="array" ref="T35:T35">T34</f>
        <v>false</v>
      </c>
      <c r="U35" s="1304"/>
      <c r="V35" s="1304"/>
      <c r="W35" s="849"/>
      <c r="X35" s="1385"/>
      <c r="Y35" s="1304"/>
      <c r="Z35" s="1385"/>
      <c r="AA35" s="1304"/>
      <c r="AB35" s="145" t="s">
        <v>1250</v>
      </c>
      <c r="AC35" s="1089" t="s">
        <v>1528</v>
      </c>
      <c r="AD35" s="1564" t="s">
        <v>1514</v>
      </c>
      <c r="AE35" s="2846"/>
      <c r="AF35" s="2846"/>
      <c r="AG35" s="2846"/>
      <c r="AH35" s="2846"/>
      <c r="AI35" s="2846"/>
      <c r="AJ35" s="2846"/>
      <c r="AK35" s="2846"/>
      <c r="AL35" s="2846"/>
      <c r="AM35" s="2846"/>
      <c r="AN35" s="2846"/>
      <c r="AO35" s="2846"/>
      <c r="AP35" s="2846"/>
      <c r="AQ35" s="2846"/>
      <c r="AR35" s="2846"/>
      <c r="AS35" s="2846"/>
      <c r="AT35" s="2846"/>
      <c r="AU35" s="2846"/>
      <c r="AV35" s="2846"/>
      <c r="AW35" s="2846"/>
      <c r="AX35" s="2846"/>
      <c r="AY35" s="2846"/>
      <c r="AZ35" s="2846"/>
      <c r="BA35" s="2846"/>
      <c r="BB35" s="2846"/>
      <c r="BC35" s="2836"/>
      <c r="BD35" s="1304"/>
      <c r="BE35" s="1304"/>
      <c r="BF35" s="1018" t="s">
        <v>1529</v>
      </c>
      <c r="BG35" s="1018"/>
      <c r="BH35" s="1018"/>
      <c r="BI35" s="1810"/>
      <c r="BJ35" s="1338"/>
      <c r="BK35" s="1338"/>
    </row>
    <row customHeight="1" ht="43.875" hidden="1">
      <c r="A36" s="1304"/>
      <c r="B36" s="1682"/>
      <c r="C36" s="1304"/>
      <c r="D36" s="1304"/>
      <c r="E36" s="630">
        <v>45</v>
      </c>
      <c r="F36" s="1387" cm="1" t="str">
        <f t="array" ref="F36:F36">OFFSET(E36,-1,1)</f>
        <v>0</v>
      </c>
      <c r="G36" s="1304"/>
      <c r="H36" s="1304"/>
      <c r="I36" s="1304"/>
      <c r="J36" s="1304"/>
      <c r="K36" s="1304"/>
      <c r="L36" s="1304"/>
      <c r="M36" s="1304"/>
      <c r="N36" s="1304"/>
      <c r="O36" s="1304"/>
      <c r="P36" s="1304"/>
      <c r="Q36" s="1304"/>
      <c r="R36" s="1304"/>
      <c r="S36" s="1304"/>
      <c r="T36" s="1356" cm="1" t="str">
        <f t="array" ref="T36:T36">T35</f>
        <v>false</v>
      </c>
      <c r="U36" s="1304"/>
      <c r="V36" s="1304"/>
      <c r="W36" s="849"/>
      <c r="X36" s="1385"/>
      <c r="Y36" s="1304"/>
      <c r="Z36" s="1385"/>
      <c r="AA36" s="1304"/>
      <c r="AB36" s="145" t="s">
        <v>1254</v>
      </c>
      <c r="AC36" s="1089" t="s">
        <v>1530</v>
      </c>
      <c r="AD36" s="1564" t="s">
        <v>1514</v>
      </c>
      <c r="AE36" s="191">
        <f>SUMIF($AD37:$AD40,$AD36,AE37:AE40)</f>
        <v>0</v>
      </c>
      <c r="AF36" s="191">
        <f>SUMIF($AD37:$AD40,$AD36,AF37:AF40)</f>
        <v>0</v>
      </c>
      <c r="AG36" s="191">
        <f>SUMIF($AD37:$AD40,$AD36,AG37:AG40)</f>
        <v>0</v>
      </c>
      <c r="AH36" s="191">
        <f>SUMIF($AD37:$AD40,$AD36,AH37:AH40)</f>
        <v>0</v>
      </c>
      <c r="AI36" s="191">
        <f>SUMIF($AD37:$AD40,$AD36,AI37:AI40)</f>
        <v>0</v>
      </c>
      <c r="AJ36" s="191">
        <f>SUMIF($AD37:$AD40,$AD36,AJ37:AJ40)</f>
        <v>0</v>
      </c>
      <c r="AK36" s="191">
        <f>SUMIF($AD37:$AD40,$AD36,AK37:AK40)</f>
        <v>0</v>
      </c>
      <c r="AL36" s="191">
        <f>SUMIF($AD37:$AD40,$AD36,AL37:AL40)</f>
        <v>0</v>
      </c>
      <c r="AM36" s="191">
        <f>SUMIF($AD37:$AD40,$AD36,AM37:AM40)</f>
        <v>0</v>
      </c>
      <c r="AN36" s="191">
        <f>SUMIF($AD37:$AD40,$AD36,AN37:AN40)</f>
        <v>0</v>
      </c>
      <c r="AO36" s="191">
        <f>SUMIF($AD37:$AD40,$AD36,AO37:AO40)</f>
        <v>0</v>
      </c>
      <c r="AP36" s="191">
        <f>SUMIF($AD37:$AD40,$AD36,AP37:AP40)</f>
        <v>0</v>
      </c>
      <c r="AQ36" s="191">
        <f>SUMIF($AD37:$AD40,$AD36,AQ37:AQ40)</f>
        <v>0</v>
      </c>
      <c r="AR36" s="191">
        <f>SUMIF($AD37:$AD40,$AD36,AR37:AR40)</f>
        <v>0</v>
      </c>
      <c r="AS36" s="191">
        <f>SUMIF($AD37:$AD40,$AD36,AS37:AS40)</f>
        <v>0</v>
      </c>
      <c r="AT36" s="191">
        <f>SUMIF($AD37:$AD40,$AD36,AT37:AT40)</f>
        <v>0</v>
      </c>
      <c r="AU36" s="191">
        <f>SUMIF($AD37:$AD40,$AD36,AU37:AU40)</f>
        <v>0</v>
      </c>
      <c r="AV36" s="191">
        <f>SUMIF($AD37:$AD40,$AD36,AV37:AV40)</f>
        <v>0</v>
      </c>
      <c r="AW36" s="191">
        <f>SUMIF($AD37:$AD40,$AD36,AW37:AW40)</f>
        <v>0</v>
      </c>
      <c r="AX36" s="191">
        <f>SUMIF($AD37:$AD40,$AD36,AX37:AX40)</f>
        <v>0</v>
      </c>
      <c r="AY36" s="191">
        <f>SUMIF($AD37:$AD40,$AD36,AY37:AY40)</f>
        <v>0</v>
      </c>
      <c r="AZ36" s="191">
        <f>SUMIF($AD37:$AD40,$AD36,AZ37:AZ40)</f>
        <v>0</v>
      </c>
      <c r="BA36" s="191">
        <f>SUMIF($AD37:$AD40,$AD36,BA37:BA40)</f>
        <v>0</v>
      </c>
      <c r="BB36" s="191">
        <f>SUMIF($AD37:$AD40,$AD36,BB37:BB40)</f>
        <v>0</v>
      </c>
      <c r="BC36" s="2836"/>
      <c r="BD36" s="1304"/>
      <c r="BE36" s="1304"/>
      <c r="BF36" s="1018" t="s">
        <v>1531</v>
      </c>
      <c r="BG36" s="1018"/>
      <c r="BH36" s="1018"/>
      <c r="BI36" s="1810"/>
      <c r="BJ36" s="1338"/>
      <c r="BK36" s="1338"/>
    </row>
    <row customHeight="1" ht="14.625" hidden="1">
      <c r="A37" s="1379"/>
      <c r="B37" s="1641"/>
      <c r="C37" s="1379"/>
      <c r="D37" s="1379"/>
      <c r="E37" s="630">
        <v>15</v>
      </c>
      <c r="F37" s="1387" cm="1" t="str">
        <f t="array" ref="F37:F37">OFFSET(E37,-1,1)</f>
        <v>0</v>
      </c>
      <c r="G37" s="1379"/>
      <c r="H37" s="1379"/>
      <c r="I37" s="1379"/>
      <c r="J37" s="1379"/>
      <c r="K37" s="1379"/>
      <c r="L37" s="1379"/>
      <c r="M37" s="1379"/>
      <c r="N37" s="1379"/>
      <c r="O37" s="1379"/>
      <c r="P37" s="1379"/>
      <c r="Q37" s="1379"/>
      <c r="R37" s="1379"/>
      <c r="S37" s="1379"/>
      <c r="T37" s="1356">
        <f>AND(F37&gt;0,Y37&gt;0)</f>
        <v>0</v>
      </c>
      <c r="U37" s="1304"/>
      <c r="V37" s="1304"/>
      <c r="W37" s="849" t="s">
        <v>174</v>
      </c>
      <c r="X37" s="1385"/>
      <c r="Y37" s="1596">
        <v>0</v>
      </c>
      <c r="Z37" s="1385"/>
      <c r="AA37" s="1687" t="s">
        <v>175</v>
      </c>
      <c r="AB37" s="1604" t="str">
        <f>"2.3."&amp;Y37</f>
        <v>2.3.0</v>
      </c>
      <c r="AC37" s="2860"/>
      <c r="AD37" s="1564" t="s">
        <v>1514</v>
      </c>
      <c r="AE37" s="2846"/>
      <c r="AF37" s="2846"/>
      <c r="AG37" s="2846"/>
      <c r="AH37" s="2846"/>
      <c r="AI37" s="2846"/>
      <c r="AJ37" s="2846"/>
      <c r="AK37" s="2846"/>
      <c r="AL37" s="2846"/>
      <c r="AM37" s="2846"/>
      <c r="AN37" s="2846"/>
      <c r="AO37" s="2846"/>
      <c r="AP37" s="2846"/>
      <c r="AQ37" s="2846"/>
      <c r="AR37" s="2846"/>
      <c r="AS37" s="2846"/>
      <c r="AT37" s="2846"/>
      <c r="AU37" s="2846"/>
      <c r="AV37" s="2846"/>
      <c r="AW37" s="2846"/>
      <c r="AX37" s="2846"/>
      <c r="AY37" s="2846"/>
      <c r="AZ37" s="2846"/>
      <c r="BA37" s="2846"/>
      <c r="BB37" s="2846"/>
      <c r="BC37" s="2836"/>
      <c r="BD37" s="1304"/>
      <c r="BE37" s="1304"/>
      <c r="BF37" s="1289" t="s">
        <v>1532</v>
      </c>
      <c r="BG37" s="1289" t="s">
        <v>1533</v>
      </c>
      <c r="BH37" s="1289" cm="1" t="str">
        <f t="array" ref="BH37:BH37">AC37</f>
        <v>0</v>
      </c>
      <c r="BI37" s="1811" cm="1" t="str">
        <f t="array" ref="BI37:BI37">AD38</f>
        <v>0</v>
      </c>
      <c r="BJ37" s="1224"/>
      <c r="BK37" s="1380" t="b">
        <v>1</v>
      </c>
    </row>
    <row customHeight="1" ht="14.625" hidden="1">
      <c r="A38" s="1379"/>
      <c r="B38" s="1641"/>
      <c r="C38" s="1379"/>
      <c r="D38" s="1379"/>
      <c r="E38" s="630">
        <v>15</v>
      </c>
      <c r="F38" s="1387" cm="1" t="str">
        <f t="array" ref="F38:F38">OFFSET(E38,-1,1)</f>
        <v>0</v>
      </c>
      <c r="G38" s="1379"/>
      <c r="H38" s="1379"/>
      <c r="I38" s="1379"/>
      <c r="J38" s="1379"/>
      <c r="K38" s="1379"/>
      <c r="L38" s="1379"/>
      <c r="M38" s="1379"/>
      <c r="N38" s="1379"/>
      <c r="O38" s="1379"/>
      <c r="P38" s="1379"/>
      <c r="Q38" s="1379"/>
      <c r="R38" s="1379"/>
      <c r="S38" s="1379"/>
      <c r="T38" s="1356" cm="1" t="str">
        <f t="array" ref="T38:T38">T37</f>
        <v>false</v>
      </c>
      <c r="U38" s="1379"/>
      <c r="V38" s="1388"/>
      <c r="W38" s="1379"/>
      <c r="X38" s="1385"/>
      <c r="Y38" s="1596"/>
      <c r="Z38" s="1385"/>
      <c r="AA38" s="1687"/>
      <c r="AB38" s="1604" t="str">
        <f>AB37&amp;".1"</f>
        <v>2.3.0.1</v>
      </c>
      <c r="AC38" s="1091" t="s">
        <v>1520</v>
      </c>
      <c r="AD38" s="2867"/>
      <c r="AE38" s="2846"/>
      <c r="AF38" s="2846"/>
      <c r="AG38" s="2846"/>
      <c r="AH38" s="2846"/>
      <c r="AI38" s="2846"/>
      <c r="AJ38" s="2846"/>
      <c r="AK38" s="2846"/>
      <c r="AL38" s="2846"/>
      <c r="AM38" s="2846"/>
      <c r="AN38" s="2846"/>
      <c r="AO38" s="2846"/>
      <c r="AP38" s="2846"/>
      <c r="AQ38" s="2846"/>
      <c r="AR38" s="2846"/>
      <c r="AS38" s="2846"/>
      <c r="AT38" s="2846"/>
      <c r="AU38" s="2846"/>
      <c r="AV38" s="2846"/>
      <c r="AW38" s="2846"/>
      <c r="AX38" s="2846"/>
      <c r="AY38" s="2846"/>
      <c r="AZ38" s="2846"/>
      <c r="BA38" s="2846"/>
      <c r="BB38" s="2846"/>
      <c r="BC38" s="2836"/>
      <c r="BD38" s="1304"/>
      <c r="BE38" s="1304"/>
      <c r="BF38" s="1289" t="s">
        <v>1522</v>
      </c>
      <c r="BG38" s="1289" t="s">
        <v>1533</v>
      </c>
      <c r="BH38" s="1289" cm="1" t="str">
        <f t="array" ref="BH38:BH38">BH37</f>
        <v>0</v>
      </c>
      <c r="BI38" s="1811" cm="1" t="str">
        <f t="array" ref="BI38:BI38">BI37</f>
        <v>0</v>
      </c>
      <c r="BJ38" s="1224"/>
      <c r="BK38" s="1380"/>
    </row>
    <row customHeight="1" ht="14.625" hidden="1">
      <c r="A39" s="1379"/>
      <c r="B39" s="1641"/>
      <c r="C39" s="1379"/>
      <c r="D39" s="1379"/>
      <c r="E39" s="630">
        <v>15</v>
      </c>
      <c r="F39" s="1387" cm="1" t="str">
        <f t="array" ref="F39:F39">OFFSET(E39,-1,1)</f>
        <v>0</v>
      </c>
      <c r="G39" s="1379"/>
      <c r="H39" s="1379"/>
      <c r="I39" s="1379"/>
      <c r="J39" s="1379"/>
      <c r="K39" s="1379"/>
      <c r="L39" s="1379"/>
      <c r="M39" s="1379"/>
      <c r="N39" s="1379"/>
      <c r="O39" s="1379"/>
      <c r="P39" s="1379"/>
      <c r="Q39" s="1379"/>
      <c r="R39" s="1379"/>
      <c r="S39" s="1379"/>
      <c r="T39" s="1356" cm="1" t="str">
        <f t="array" ref="T39:T39">T38</f>
        <v>false</v>
      </c>
      <c r="U39" s="1379"/>
      <c r="V39" s="1388"/>
      <c r="W39" s="1379"/>
      <c r="X39" s="1385"/>
      <c r="Y39" s="1596"/>
      <c r="Z39" s="1385"/>
      <c r="AA39" s="1687"/>
      <c r="AB39" s="1604" t="str">
        <f>AB37&amp;".2"</f>
        <v>2.3.0.2</v>
      </c>
      <c r="AC39" s="1091" t="s">
        <v>1534</v>
      </c>
      <c r="AD39" s="1578" t="s">
        <v>1524</v>
      </c>
      <c r="AE39" s="2846"/>
      <c r="AF39" s="2846"/>
      <c r="AG39" s="2846"/>
      <c r="AH39" s="2846"/>
      <c r="AI39" s="2846"/>
      <c r="AJ39" s="2846"/>
      <c r="AK39" s="2846"/>
      <c r="AL39" s="2846"/>
      <c r="AM39" s="2846"/>
      <c r="AN39" s="2846"/>
      <c r="AO39" s="2846"/>
      <c r="AP39" s="2846"/>
      <c r="AQ39" s="2846"/>
      <c r="AR39" s="2846"/>
      <c r="AS39" s="2846"/>
      <c r="AT39" s="2846"/>
      <c r="AU39" s="2846"/>
      <c r="AV39" s="2846"/>
      <c r="AW39" s="2846"/>
      <c r="AX39" s="2846"/>
      <c r="AY39" s="2846"/>
      <c r="AZ39" s="2846"/>
      <c r="BA39" s="2846"/>
      <c r="BB39" s="2846"/>
      <c r="BC39" s="2836"/>
      <c r="BD39" s="1304"/>
      <c r="BE39" s="1304"/>
      <c r="BF39" s="1289" t="s">
        <v>1525</v>
      </c>
      <c r="BG39" s="1289" t="s">
        <v>1533</v>
      </c>
      <c r="BH39" s="1289" cm="1" t="str">
        <f t="array" ref="BH39:BH39">BH38</f>
        <v>0</v>
      </c>
      <c r="BI39" s="1811" cm="1" t="str">
        <f t="array" ref="BI39:BI39">BI38</f>
        <v>0</v>
      </c>
      <c r="BJ39" s="1224"/>
      <c r="BK39" s="1380"/>
    </row>
    <row customHeight="1" ht="14.625" hidden="1">
      <c r="A40" s="1379"/>
      <c r="B40" s="1641"/>
      <c r="C40" s="1379"/>
      <c r="D40" s="1379"/>
      <c r="E40" s="630">
        <v>15</v>
      </c>
      <c r="F40" s="1387" cm="1" t="str">
        <f t="array" ref="F40:F40">OFFSET(E40,-1,1)</f>
        <v>0</v>
      </c>
      <c r="G40" s="1379"/>
      <c r="H40" s="1379"/>
      <c r="I40" s="1379"/>
      <c r="J40" s="1379"/>
      <c r="K40" s="1379"/>
      <c r="L40" s="1379"/>
      <c r="M40" s="1379"/>
      <c r="N40" s="1379"/>
      <c r="O40" s="1379"/>
      <c r="P40" s="1379"/>
      <c r="Q40" s="1379"/>
      <c r="R40" s="1379"/>
      <c r="S40" s="1379"/>
      <c r="T40" s="1356">
        <f>F40&gt;0</f>
        <v>0</v>
      </c>
      <c r="U40" s="1379"/>
      <c r="V40" s="1388"/>
      <c r="W40" s="849" t="s">
        <v>1535</v>
      </c>
      <c r="X40" s="1385"/>
      <c r="Y40" s="1379"/>
      <c r="Z40" s="1385"/>
      <c r="AA40" s="1379"/>
      <c r="AB40" s="1689"/>
      <c r="AC40" s="1690" t="s">
        <v>178</v>
      </c>
      <c r="AD40" s="1685"/>
      <c r="AE40" s="1685"/>
      <c r="AF40" s="1685"/>
      <c r="AG40" s="1685"/>
      <c r="AH40" s="1685"/>
      <c r="AI40" s="1685"/>
      <c r="AJ40" s="1685"/>
      <c r="AK40" s="1685"/>
      <c r="AL40" s="1685"/>
      <c r="AM40" s="1685"/>
      <c r="AN40" s="1685"/>
      <c r="AO40" s="1685"/>
      <c r="AP40" s="1685"/>
      <c r="AQ40" s="1685"/>
      <c r="AR40" s="1685"/>
      <c r="AS40" s="1685"/>
      <c r="AT40" s="1685"/>
      <c r="AU40" s="1685"/>
      <c r="AV40" s="1685"/>
      <c r="AW40" s="1685"/>
      <c r="AX40" s="1685"/>
      <c r="AY40" s="1685"/>
      <c r="AZ40" s="1685"/>
      <c r="BA40" s="1685"/>
      <c r="BB40" s="1685"/>
      <c r="BC40" s="1685"/>
      <c r="BD40" s="1304"/>
      <c r="BE40" s="1304"/>
      <c r="BF40" s="1289"/>
      <c r="BG40" s="1289"/>
      <c r="BH40" s="1289"/>
      <c r="BI40" s="1811"/>
      <c r="BJ40" s="1224" t="s">
        <v>1533</v>
      </c>
      <c r="BK40" s="1380"/>
    </row>
    <row customHeight="1" ht="22.668750000000003" hidden="1">
      <c r="A41" s="1379"/>
      <c r="B41" s="1641"/>
      <c r="C41" s="1379"/>
      <c r="D41" s="1379"/>
      <c r="E41" s="630">
        <v>23.25</v>
      </c>
      <c r="F41" s="1387" cm="1" t="str">
        <f t="array" ref="F41:F41">OFFSET(E41,-1,1)</f>
        <v>0</v>
      </c>
      <c r="G41" s="1379"/>
      <c r="H41" s="1304"/>
      <c r="I41" s="1312" t="s">
        <v>1536</v>
      </c>
      <c r="J41" s="1379"/>
      <c r="K41" s="1379"/>
      <c r="L41" s="1379"/>
      <c r="M41" s="1379"/>
      <c r="N41" s="1379"/>
      <c r="O41" s="1379"/>
      <c r="P41" s="1379"/>
      <c r="Q41" s="1379"/>
      <c r="R41" s="1379"/>
      <c r="S41" s="1379"/>
      <c r="T41" s="1356" cm="1" t="str">
        <f t="array" ref="T41:T41">T40</f>
        <v>false</v>
      </c>
      <c r="U41" s="1379"/>
      <c r="V41" s="1388"/>
      <c r="W41" s="1379"/>
      <c r="X41" s="1385"/>
      <c r="Y41" s="1379"/>
      <c r="Z41" s="1385"/>
      <c r="AA41" s="1379"/>
      <c r="AB41" s="145" t="s">
        <v>289</v>
      </c>
      <c r="AC41" s="1089" t="s">
        <v>1537</v>
      </c>
      <c r="AD41" s="1564" t="s">
        <v>1514</v>
      </c>
      <c r="AE41" s="191">
        <f>AE42+AE43</f>
        <v>0</v>
      </c>
      <c r="AF41" s="191">
        <f>AF42+AF43</f>
        <v>0</v>
      </c>
      <c r="AG41" s="191">
        <f>AG42+AG43</f>
        <v>0</v>
      </c>
      <c r="AH41" s="191">
        <f>AH42+AH43</f>
        <v>0</v>
      </c>
      <c r="AI41" s="191">
        <f>AI42+AI43</f>
        <v>0</v>
      </c>
      <c r="AJ41" s="191">
        <f>AJ42+AJ43</f>
        <v>0</v>
      </c>
      <c r="AK41" s="191">
        <f>AK42+AK43</f>
        <v>0</v>
      </c>
      <c r="AL41" s="191">
        <f>AL42+AL43</f>
        <v>0</v>
      </c>
      <c r="AM41" s="191">
        <f>AM42+AM43</f>
        <v>0</v>
      </c>
      <c r="AN41" s="191">
        <f>AN42+AN43</f>
        <v>0</v>
      </c>
      <c r="AO41" s="191">
        <f>AO42+AO43</f>
        <v>0</v>
      </c>
      <c r="AP41" s="191">
        <f>AP42+AP43</f>
        <v>0</v>
      </c>
      <c r="AQ41" s="191">
        <f>AQ42+AQ43</f>
        <v>0</v>
      </c>
      <c r="AR41" s="191">
        <f>AR42+AR43</f>
        <v>0</v>
      </c>
      <c r="AS41" s="191">
        <f>AS42+AS43</f>
        <v>0</v>
      </c>
      <c r="AT41" s="191">
        <f>AT42+AT43</f>
        <v>0</v>
      </c>
      <c r="AU41" s="191">
        <f>AU42+AU43</f>
        <v>0</v>
      </c>
      <c r="AV41" s="191">
        <f>AV42+AV43</f>
        <v>0</v>
      </c>
      <c r="AW41" s="191">
        <f>AW42+AW43</f>
        <v>0</v>
      </c>
      <c r="AX41" s="191">
        <f>AX42+AX43</f>
        <v>0</v>
      </c>
      <c r="AY41" s="191">
        <f>AY42+AY43</f>
        <v>0</v>
      </c>
      <c r="AZ41" s="191">
        <f>AZ42+AZ43</f>
        <v>0</v>
      </c>
      <c r="BA41" s="191">
        <f>BA42+BA43</f>
        <v>0</v>
      </c>
      <c r="BB41" s="191">
        <f>BB42+BB43</f>
        <v>0</v>
      </c>
      <c r="BC41" s="2836"/>
      <c r="BD41" s="1304"/>
      <c r="BE41" s="1304"/>
      <c r="BF41" s="1289" t="s">
        <v>1538</v>
      </c>
      <c r="BG41" s="1289"/>
      <c r="BH41" s="1289"/>
      <c r="BI41" s="1811"/>
      <c r="BJ41" s="1224"/>
      <c r="BK41" s="1380"/>
    </row>
    <row customHeight="1" ht="32.90625" hidden="1">
      <c r="A42" s="1379"/>
      <c r="B42" s="1641"/>
      <c r="C42" s="1379"/>
      <c r="D42" s="1379"/>
      <c r="E42" s="630">
        <v>33.75</v>
      </c>
      <c r="F42" s="1387" cm="1" t="str">
        <f t="array" ref="F42:F42">OFFSET(E42,-1,1)</f>
        <v>0</v>
      </c>
      <c r="G42" s="1379"/>
      <c r="H42" s="1379"/>
      <c r="I42" s="1379"/>
      <c r="J42" s="1379"/>
      <c r="K42" s="1379"/>
      <c r="L42" s="1379"/>
      <c r="M42" s="1379"/>
      <c r="N42" s="1379"/>
      <c r="O42" s="1379"/>
      <c r="P42" s="1379"/>
      <c r="Q42" s="1379"/>
      <c r="R42" s="1379"/>
      <c r="S42" s="1379"/>
      <c r="T42" s="1356" cm="1" t="str">
        <f t="array" ref="T42:T42">T41</f>
        <v>false</v>
      </c>
      <c r="U42" s="1379"/>
      <c r="V42" s="1388"/>
      <c r="W42" s="1379"/>
      <c r="X42" s="1385"/>
      <c r="Y42" s="1379"/>
      <c r="Z42" s="1385"/>
      <c r="AA42" s="1379"/>
      <c r="AB42" s="145" t="s">
        <v>1264</v>
      </c>
      <c r="AC42" s="1089" t="s">
        <v>1539</v>
      </c>
      <c r="AD42" s="1564" t="s">
        <v>1514</v>
      </c>
      <c r="AE42" s="2846"/>
      <c r="AF42" s="2846"/>
      <c r="AG42" s="2846"/>
      <c r="AH42" s="2846"/>
      <c r="AI42" s="2846"/>
      <c r="AJ42" s="2846"/>
      <c r="AK42" s="2846"/>
      <c r="AL42" s="2846"/>
      <c r="AM42" s="2846"/>
      <c r="AN42" s="2846"/>
      <c r="AO42" s="2846"/>
      <c r="AP42" s="2846"/>
      <c r="AQ42" s="2846"/>
      <c r="AR42" s="2846"/>
      <c r="AS42" s="2846"/>
      <c r="AT42" s="2846"/>
      <c r="AU42" s="2846"/>
      <c r="AV42" s="2846"/>
      <c r="AW42" s="2846"/>
      <c r="AX42" s="2846"/>
      <c r="AY42" s="2846"/>
      <c r="AZ42" s="2846"/>
      <c r="BA42" s="2846"/>
      <c r="BB42" s="2846"/>
      <c r="BC42" s="2836"/>
      <c r="BD42" s="1304"/>
      <c r="BE42" s="1304"/>
      <c r="BF42" s="1289" t="s">
        <v>1540</v>
      </c>
      <c r="BG42" s="1289"/>
      <c r="BH42" s="1289"/>
      <c r="BI42" s="1811"/>
      <c r="BJ42" s="1224"/>
      <c r="BK42" s="1380"/>
    </row>
    <row customHeight="1" ht="43.875" hidden="1">
      <c r="A43" s="1379"/>
      <c r="B43" s="1641"/>
      <c r="C43" s="1379"/>
      <c r="D43" s="1379"/>
      <c r="E43" s="630">
        <v>45</v>
      </c>
      <c r="F43" s="1387" cm="1" t="str">
        <f t="array" ref="F43:F43">OFFSET(E43,-1,1)</f>
        <v>0</v>
      </c>
      <c r="G43" s="1379"/>
      <c r="H43" s="1379"/>
      <c r="I43" s="1379"/>
      <c r="J43" s="1379"/>
      <c r="K43" s="1379"/>
      <c r="L43" s="1379"/>
      <c r="M43" s="1379"/>
      <c r="N43" s="1379"/>
      <c r="O43" s="1379"/>
      <c r="P43" s="1379"/>
      <c r="Q43" s="1379"/>
      <c r="R43" s="1379"/>
      <c r="S43" s="1379"/>
      <c r="T43" s="1356" cm="1" t="str">
        <f t="array" ref="T43:T43">T42</f>
        <v>false</v>
      </c>
      <c r="U43" s="1379"/>
      <c r="V43" s="1388"/>
      <c r="W43" s="1379"/>
      <c r="X43" s="1385"/>
      <c r="Y43" s="1379"/>
      <c r="Z43" s="1385"/>
      <c r="AA43" s="1379"/>
      <c r="AB43" s="145" t="s">
        <v>1268</v>
      </c>
      <c r="AC43" s="1089" t="s">
        <v>1541</v>
      </c>
      <c r="AD43" s="1564" t="s">
        <v>1514</v>
      </c>
      <c r="AE43" s="191">
        <f>SUMIF($AD44:$AD47,$AD43,AE44:AE47)</f>
        <v>0</v>
      </c>
      <c r="AF43" s="191">
        <f>SUMIF($AD44:$AD47,$AD43,AF44:AF47)</f>
        <v>0</v>
      </c>
      <c r="AG43" s="191">
        <f>SUMIF($AD44:$AD47,$AD43,AG44:AG47)</f>
        <v>0</v>
      </c>
      <c r="AH43" s="191">
        <f>SUMIF($AD44:$AD47,$AD43,AH44:AH47)</f>
        <v>0</v>
      </c>
      <c r="AI43" s="191">
        <f>SUMIF($AD44:$AD47,$AD43,AI44:AI47)</f>
        <v>0</v>
      </c>
      <c r="AJ43" s="191">
        <f>SUMIF($AD44:$AD47,$AD43,AJ44:AJ47)</f>
        <v>0</v>
      </c>
      <c r="AK43" s="191">
        <f>SUMIF($AD44:$AD47,$AD43,AK44:AK47)</f>
        <v>0</v>
      </c>
      <c r="AL43" s="191">
        <f>SUMIF($AD44:$AD47,$AD43,AL44:AL47)</f>
        <v>0</v>
      </c>
      <c r="AM43" s="191">
        <f>SUMIF($AD44:$AD47,$AD43,AM44:AM47)</f>
        <v>0</v>
      </c>
      <c r="AN43" s="191">
        <f>SUMIF($AD44:$AD47,$AD43,AN44:AN47)</f>
        <v>0</v>
      </c>
      <c r="AO43" s="191">
        <f>SUMIF($AD44:$AD47,$AD43,AO44:AO47)</f>
        <v>0</v>
      </c>
      <c r="AP43" s="191">
        <f>SUMIF($AD44:$AD47,$AD43,AP44:AP47)</f>
        <v>0</v>
      </c>
      <c r="AQ43" s="191">
        <f>SUMIF($AD44:$AD47,$AD43,AQ44:AQ47)</f>
        <v>0</v>
      </c>
      <c r="AR43" s="191">
        <f>SUMIF($AD44:$AD47,$AD43,AR44:AR47)</f>
        <v>0</v>
      </c>
      <c r="AS43" s="191">
        <f>SUMIF($AD44:$AD47,$AD43,AS44:AS47)</f>
        <v>0</v>
      </c>
      <c r="AT43" s="191">
        <f>SUMIF($AD44:$AD47,$AD43,AT44:AT47)</f>
        <v>0</v>
      </c>
      <c r="AU43" s="191">
        <f>SUMIF($AD44:$AD47,$AD43,AU44:AU47)</f>
        <v>0</v>
      </c>
      <c r="AV43" s="191">
        <f>SUMIF($AD44:$AD47,$AD43,AV44:AV47)</f>
        <v>0</v>
      </c>
      <c r="AW43" s="191">
        <f>SUMIF($AD44:$AD47,$AD43,AW44:AW47)</f>
        <v>0</v>
      </c>
      <c r="AX43" s="191">
        <f>SUMIF($AD44:$AD47,$AD43,AX44:AX47)</f>
        <v>0</v>
      </c>
      <c r="AY43" s="191">
        <f>SUMIF($AD44:$AD47,$AD43,AY44:AY47)</f>
        <v>0</v>
      </c>
      <c r="AZ43" s="191">
        <f>SUMIF($AD44:$AD47,$AD43,AZ44:AZ47)</f>
        <v>0</v>
      </c>
      <c r="BA43" s="191">
        <f>SUMIF($AD44:$AD47,$AD43,BA44:BA47)</f>
        <v>0</v>
      </c>
      <c r="BB43" s="191">
        <f>SUMIF($AD44:$AD47,$AD43,BB44:BB47)</f>
        <v>0</v>
      </c>
      <c r="BC43" s="2836"/>
      <c r="BD43" s="1304"/>
      <c r="BE43" s="1304"/>
      <c r="BF43" s="1289" t="s">
        <v>1542</v>
      </c>
      <c r="BG43" s="1289"/>
      <c r="BH43" s="1289"/>
      <c r="BI43" s="1811"/>
      <c r="BJ43" s="1224"/>
      <c r="BK43" s="1380"/>
    </row>
    <row customHeight="1" ht="14.625" hidden="1">
      <c r="A44" s="1379"/>
      <c r="B44" s="1641"/>
      <c r="C44" s="1379"/>
      <c r="D44" s="1379"/>
      <c r="E44" s="630">
        <v>15</v>
      </c>
      <c r="F44" s="1387" cm="1" t="str">
        <f t="array" ref="F44:F44">OFFSET(E44,-1,1)</f>
        <v>0</v>
      </c>
      <c r="G44" s="1379"/>
      <c r="H44" s="1379"/>
      <c r="I44" s="1379"/>
      <c r="J44" s="1379"/>
      <c r="K44" s="1379"/>
      <c r="L44" s="1379"/>
      <c r="M44" s="1379"/>
      <c r="N44" s="1379"/>
      <c r="O44" s="1379"/>
      <c r="P44" s="1379"/>
      <c r="Q44" s="1379"/>
      <c r="R44" s="1379"/>
      <c r="S44" s="1379"/>
      <c r="T44" s="1356">
        <f>AND(F44&gt;0,Y44&gt;0)</f>
        <v>0</v>
      </c>
      <c r="U44" s="1379"/>
      <c r="V44" s="1388"/>
      <c r="W44" s="849" t="s">
        <v>174</v>
      </c>
      <c r="X44" s="1385"/>
      <c r="Y44" s="1596">
        <v>0</v>
      </c>
      <c r="Z44" s="1385"/>
      <c r="AA44" s="1687" t="s">
        <v>175</v>
      </c>
      <c r="AB44" s="1604" t="str">
        <f>"3.3."&amp;Y44</f>
        <v>3.3.0</v>
      </c>
      <c r="AC44" s="2860"/>
      <c r="AD44" s="1564" t="s">
        <v>1514</v>
      </c>
      <c r="AE44" s="2846"/>
      <c r="AF44" s="2846"/>
      <c r="AG44" s="2846"/>
      <c r="AH44" s="2846"/>
      <c r="AI44" s="2846"/>
      <c r="AJ44" s="2846"/>
      <c r="AK44" s="2846"/>
      <c r="AL44" s="2846"/>
      <c r="AM44" s="2846"/>
      <c r="AN44" s="2846"/>
      <c r="AO44" s="2846"/>
      <c r="AP44" s="2846"/>
      <c r="AQ44" s="2846"/>
      <c r="AR44" s="2846"/>
      <c r="AS44" s="2846"/>
      <c r="AT44" s="2846"/>
      <c r="AU44" s="2846"/>
      <c r="AV44" s="2846"/>
      <c r="AW44" s="2846"/>
      <c r="AX44" s="2846"/>
      <c r="AY44" s="2846"/>
      <c r="AZ44" s="2846"/>
      <c r="BA44" s="2846"/>
      <c r="BB44" s="2846"/>
      <c r="BC44" s="2836"/>
      <c r="BD44" s="1304"/>
      <c r="BE44" s="1304"/>
      <c r="BF44" s="1289" t="s">
        <v>1543</v>
      </c>
      <c r="BG44" s="1289" t="s">
        <v>1544</v>
      </c>
      <c r="BH44" s="1289" cm="1" t="str">
        <f t="array" ref="BH44:BH44">AC44</f>
        <v>0</v>
      </c>
      <c r="BI44" s="1811" cm="1" t="str">
        <f t="array" ref="BI44:BI44">AD45</f>
        <v>0</v>
      </c>
      <c r="BJ44" s="1224"/>
      <c r="BK44" s="1380" t="b">
        <v>1</v>
      </c>
    </row>
    <row customHeight="1" ht="14.625" hidden="1">
      <c r="A45" s="1379"/>
      <c r="B45" s="1641"/>
      <c r="C45" s="1379"/>
      <c r="D45" s="1379"/>
      <c r="E45" s="630">
        <v>15</v>
      </c>
      <c r="F45" s="1387" cm="1" t="str">
        <f t="array" ref="F45:F45">OFFSET(E45,-1,1)</f>
        <v>0</v>
      </c>
      <c r="G45" s="1379"/>
      <c r="H45" s="1379"/>
      <c r="I45" s="1379"/>
      <c r="J45" s="1379"/>
      <c r="K45" s="1379"/>
      <c r="L45" s="1379"/>
      <c r="M45" s="1379"/>
      <c r="N45" s="1379"/>
      <c r="O45" s="1379"/>
      <c r="P45" s="1379"/>
      <c r="Q45" s="1379"/>
      <c r="R45" s="1379"/>
      <c r="S45" s="1379"/>
      <c r="T45" s="1356" cm="1" t="str">
        <f t="array" ref="T45:T45">T44</f>
        <v>false</v>
      </c>
      <c r="U45" s="1379"/>
      <c r="V45" s="1388"/>
      <c r="W45" s="1379"/>
      <c r="X45" s="1385"/>
      <c r="Y45" s="1596"/>
      <c r="Z45" s="1385"/>
      <c r="AA45" s="1687"/>
      <c r="AB45" s="1604" t="str">
        <f>AB44&amp;".1"</f>
        <v>3.3.0.1</v>
      </c>
      <c r="AC45" s="1091" t="s">
        <v>1520</v>
      </c>
      <c r="AD45" s="2867"/>
      <c r="AE45" s="2846"/>
      <c r="AF45" s="2846"/>
      <c r="AG45" s="2846"/>
      <c r="AH45" s="2846"/>
      <c r="AI45" s="2846"/>
      <c r="AJ45" s="2846"/>
      <c r="AK45" s="2846"/>
      <c r="AL45" s="2846"/>
      <c r="AM45" s="2846"/>
      <c r="AN45" s="2846"/>
      <c r="AO45" s="2846"/>
      <c r="AP45" s="2846"/>
      <c r="AQ45" s="2846"/>
      <c r="AR45" s="2846"/>
      <c r="AS45" s="2846"/>
      <c r="AT45" s="2846"/>
      <c r="AU45" s="2846"/>
      <c r="AV45" s="2846"/>
      <c r="AW45" s="2846"/>
      <c r="AX45" s="2846"/>
      <c r="AY45" s="2846"/>
      <c r="AZ45" s="2846"/>
      <c r="BA45" s="2846"/>
      <c r="BB45" s="2846"/>
      <c r="BC45" s="2836"/>
      <c r="BD45" s="1304"/>
      <c r="BE45" s="1304"/>
      <c r="BF45" s="1289" t="s">
        <v>1522</v>
      </c>
      <c r="BG45" s="1289" t="s">
        <v>1544</v>
      </c>
      <c r="BH45" s="1289" cm="1" t="str">
        <f t="array" ref="BH45:BH45">BH44</f>
        <v>0</v>
      </c>
      <c r="BI45" s="1811" cm="1" t="str">
        <f t="array" ref="BI45:BI45">BI44</f>
        <v>0</v>
      </c>
      <c r="BJ45" s="1224"/>
      <c r="BK45" s="1380"/>
    </row>
    <row customHeight="1" ht="14.625" hidden="1">
      <c r="A46" s="1379"/>
      <c r="B46" s="1641"/>
      <c r="C46" s="1379"/>
      <c r="D46" s="1379"/>
      <c r="E46" s="630">
        <v>15</v>
      </c>
      <c r="F46" s="1387" cm="1" t="str">
        <f t="array" ref="F46:F46">OFFSET(E46,-1,1)</f>
        <v>0</v>
      </c>
      <c r="G46" s="1379"/>
      <c r="H46" s="1379"/>
      <c r="I46" s="1379"/>
      <c r="J46" s="1379"/>
      <c r="K46" s="1379"/>
      <c r="L46" s="1379"/>
      <c r="M46" s="1379"/>
      <c r="N46" s="1379"/>
      <c r="O46" s="1379"/>
      <c r="P46" s="1379"/>
      <c r="Q46" s="1379"/>
      <c r="R46" s="1379"/>
      <c r="S46" s="1379"/>
      <c r="T46" s="1356" cm="1" t="str">
        <f t="array" ref="T46:T46">T45</f>
        <v>false</v>
      </c>
      <c r="U46" s="1379"/>
      <c r="V46" s="1388"/>
      <c r="W46" s="1379"/>
      <c r="X46" s="1385"/>
      <c r="Y46" s="1596"/>
      <c r="Z46" s="1385"/>
      <c r="AA46" s="1687"/>
      <c r="AB46" s="1604" t="str">
        <f>AB44&amp;".2"</f>
        <v>3.3.0.2</v>
      </c>
      <c r="AC46" s="1091" t="s">
        <v>1534</v>
      </c>
      <c r="AD46" s="1578" t="s">
        <v>1524</v>
      </c>
      <c r="AE46" s="2846"/>
      <c r="AF46" s="2846"/>
      <c r="AG46" s="2846"/>
      <c r="AH46" s="2846"/>
      <c r="AI46" s="2846"/>
      <c r="AJ46" s="2846"/>
      <c r="AK46" s="2846"/>
      <c r="AL46" s="2846"/>
      <c r="AM46" s="2846"/>
      <c r="AN46" s="2846"/>
      <c r="AO46" s="2846"/>
      <c r="AP46" s="2846"/>
      <c r="AQ46" s="2846"/>
      <c r="AR46" s="2846"/>
      <c r="AS46" s="2846"/>
      <c r="AT46" s="2846"/>
      <c r="AU46" s="2846"/>
      <c r="AV46" s="2846"/>
      <c r="AW46" s="2846"/>
      <c r="AX46" s="2846"/>
      <c r="AY46" s="2846"/>
      <c r="AZ46" s="2846"/>
      <c r="BA46" s="2846"/>
      <c r="BB46" s="2846"/>
      <c r="BC46" s="2836"/>
      <c r="BD46" s="1304"/>
      <c r="BE46" s="1304"/>
      <c r="BF46" s="1289" t="s">
        <v>1525</v>
      </c>
      <c r="BG46" s="1289" t="s">
        <v>1544</v>
      </c>
      <c r="BH46" s="1289" cm="1" t="str">
        <f t="array" ref="BH46:BH46">BH45</f>
        <v>0</v>
      </c>
      <c r="BI46" s="1811" cm="1" t="str">
        <f t="array" ref="BI46:BI46">BI45</f>
        <v>0</v>
      </c>
      <c r="BJ46" s="1224"/>
      <c r="BK46" s="1380"/>
    </row>
    <row s="1426" customFormat="1" customHeight="1" ht="14.625" hidden="1">
      <c r="A47" s="1379"/>
      <c r="B47" s="1641"/>
      <c r="C47" s="1379"/>
      <c r="D47" s="1379"/>
      <c r="E47" s="630">
        <v>15</v>
      </c>
      <c r="F47" s="1387" cm="1" t="str">
        <f t="array" ref="F47:F47">OFFSET(E47,-1,1)</f>
        <v>0</v>
      </c>
      <c r="G47" s="1379"/>
      <c r="H47" s="1379"/>
      <c r="I47" s="1379"/>
      <c r="J47" s="1379"/>
      <c r="K47" s="1379"/>
      <c r="L47" s="1379"/>
      <c r="M47" s="1379"/>
      <c r="N47" s="1379"/>
      <c r="O47" s="1379"/>
      <c r="P47" s="1379"/>
      <c r="Q47" s="1379"/>
      <c r="R47" s="1379"/>
      <c r="S47" s="1379"/>
      <c r="T47" s="1356">
        <f>F47&gt;0</f>
        <v>0</v>
      </c>
      <c r="U47" s="1379"/>
      <c r="V47" s="1388"/>
      <c r="W47" s="849" t="s">
        <v>1545</v>
      </c>
      <c r="X47" s="1385"/>
      <c r="Y47" s="1379"/>
      <c r="Z47" s="1385"/>
      <c r="AA47" s="1379"/>
      <c r="AB47" s="1691"/>
      <c r="AC47" s="1692" t="s">
        <v>178</v>
      </c>
      <c r="AD47" s="1693"/>
      <c r="AE47" s="1693"/>
      <c r="AF47" s="1693"/>
      <c r="AG47" s="1693"/>
      <c r="AH47" s="1693"/>
      <c r="AI47" s="1693"/>
      <c r="AJ47" s="1693"/>
      <c r="AK47" s="1693"/>
      <c r="AL47" s="1693"/>
      <c r="AM47" s="1693"/>
      <c r="AN47" s="1693"/>
      <c r="AO47" s="1693"/>
      <c r="AP47" s="1693"/>
      <c r="AQ47" s="1693"/>
      <c r="AR47" s="1693"/>
      <c r="AS47" s="1693"/>
      <c r="AT47" s="1693"/>
      <c r="AU47" s="1693"/>
      <c r="AV47" s="1693"/>
      <c r="AW47" s="1693"/>
      <c r="AX47" s="1693"/>
      <c r="AY47" s="1693"/>
      <c r="AZ47" s="1693"/>
      <c r="BA47" s="1693"/>
      <c r="BB47" s="1693"/>
      <c r="BC47" s="1693"/>
      <c r="BD47" s="1426"/>
      <c r="BE47" s="1426"/>
      <c r="BF47" s="1289"/>
      <c r="BG47" s="1289"/>
      <c r="BH47" s="1289"/>
      <c r="BI47" s="1811"/>
      <c r="BJ47" s="1224" t="s">
        <v>1544</v>
      </c>
      <c r="BK47" s="1380"/>
    </row>
    <row s="2873" customFormat="1" customHeight="1" ht="14.25">
      <c r="A48" s="1446"/>
      <c r="B48" s="429"/>
      <c r="C48" s="1446"/>
      <c r="D48" s="1446"/>
      <c r="E48" s="630">
        <v>15</v>
      </c>
      <c r="F48" s="349" cm="1" t="str">
        <f t="array" ref="F48:F48">X48</f>
        <v>1</v>
      </c>
      <c r="G48" s="146"/>
      <c r="H48" s="146"/>
      <c r="I48" s="1446"/>
      <c r="J48" s="1446"/>
      <c r="K48" s="1446"/>
      <c r="L48" s="1446"/>
      <c r="M48" s="1446"/>
      <c r="N48" s="1446"/>
      <c r="O48" s="1446"/>
      <c r="P48" s="1446"/>
      <c r="Q48" s="1446"/>
      <c r="R48" s="1446"/>
      <c r="S48" s="1446"/>
      <c r="T48" s="465">
        <f>X48&gt;0</f>
        <v>1</v>
      </c>
      <c r="U48" s="1446"/>
      <c r="V48" s="144" cm="1" t="str">
        <f t="array" ref="V48:V48">'Условные метры'!$AB$32</f>
        <v>Тариф 1 (Водоснабжение) - тариф на питьевую воду (Доп. признак не требуется)</v>
      </c>
      <c r="W48" s="1446"/>
      <c r="X48" s="1543" t="s">
        <v>276</v>
      </c>
      <c r="Y48" s="1446"/>
      <c r="Z48" s="1565"/>
      <c r="AA48" s="1446"/>
      <c r="AB48" s="183" cm="1" t="str">
        <f t="array" ref="AB48:AB48">'Условные метры'!$AB$32</f>
        <v>Тариф 1 (Водоснабжение) - тариф на питьевую воду (Доп. признак не требуется)</v>
      </c>
      <c r="AC48" s="180"/>
      <c r="AD48" s="174"/>
      <c r="AE48" s="174"/>
      <c r="AF48" s="174"/>
      <c r="AG48" s="174"/>
      <c r="AH48" s="174"/>
      <c r="AI48" s="174"/>
      <c r="AJ48" s="174"/>
      <c r="AK48" s="174"/>
      <c r="AL48" s="174"/>
      <c r="AM48" s="174"/>
      <c r="AN48" s="174"/>
      <c r="AO48" s="174"/>
      <c r="AP48" s="174"/>
      <c r="AQ48" s="174"/>
      <c r="AR48" s="174"/>
      <c r="AS48" s="174"/>
      <c r="AT48" s="174"/>
      <c r="AU48" s="174"/>
      <c r="AV48" s="174"/>
      <c r="AW48" s="174"/>
      <c r="AX48" s="174"/>
      <c r="AY48" s="174"/>
      <c r="AZ48" s="174"/>
      <c r="BA48" s="174"/>
      <c r="BB48" s="174"/>
      <c r="BC48" s="174"/>
      <c r="BD48" s="1446"/>
      <c r="BE48" s="1446"/>
      <c r="BF48" s="1013"/>
      <c r="BG48" s="1013"/>
      <c r="BH48" s="1013"/>
      <c r="BI48" s="1446"/>
      <c r="BJ48" s="630"/>
      <c r="BK48" s="630"/>
    </row>
    <row s="1448" customFormat="1" customHeight="1" ht="23.25">
      <c r="A49" s="1812"/>
      <c r="B49" s="429"/>
      <c r="C49" s="1812"/>
      <c r="D49" s="483"/>
      <c r="E49" s="267">
        <v>15</v>
      </c>
      <c r="F49" s="50" cm="1" t="str">
        <f t="array" ref="F49:F49">OFFSET(E49,-1,1)</f>
        <v>1</v>
      </c>
      <c r="G49" s="1812"/>
      <c r="H49" s="146" cm="1" t="str">
        <f t="array" ref="H49:H49">AC49</f>
        <v>Всего по тарифу</v>
      </c>
      <c r="I49" s="1812"/>
      <c r="J49" s="1812"/>
      <c r="K49" s="483" t="str">
        <f>F49&amp;"komm"</f>
        <v>1komm</v>
      </c>
      <c r="L49" s="917" cm="1" t="str">
        <f t="array" ref="L49:L49">BC49</f>
        <v>0</v>
      </c>
      <c r="M49" s="1812"/>
      <c r="N49" s="1812"/>
      <c r="O49" s="1812"/>
      <c r="P49" s="1812"/>
      <c r="Q49" s="1812"/>
      <c r="R49" s="1812"/>
      <c r="S49" s="1812"/>
      <c r="T49" s="465" cm="1" t="str">
        <f t="array" ref="T49:T49">T48</f>
        <v>true</v>
      </c>
      <c r="U49" s="1812"/>
      <c r="V49" s="1812"/>
      <c r="W49" s="1812"/>
      <c r="X49" s="1543"/>
      <c r="Y49" s="1812"/>
      <c r="Z49" s="1565"/>
      <c r="AA49" s="1812"/>
      <c r="AB49" s="145"/>
      <c r="AC49" s="138" t="s">
        <v>1513</v>
      </c>
      <c r="AD49" s="93" t="s">
        <v>1514</v>
      </c>
      <c r="AE49" s="142">
        <f>AE50+AE73+AE80</f>
        <v>0</v>
      </c>
      <c r="AF49" s="142">
        <f>AF50+AF73+AF80</f>
        <v>0</v>
      </c>
      <c r="AG49" s="142">
        <f>AG50+AG73+AG80</f>
        <v>0</v>
      </c>
      <c r="AH49" s="142">
        <f>AH50+AH73+AH80</f>
        <v>0</v>
      </c>
      <c r="AI49" s="142">
        <f>AI50+AI73+AI80</f>
        <v>13674.9829130815</v>
      </c>
      <c r="AJ49" s="142">
        <f>AJ50+AJ73+AJ80</f>
        <v>14171.1739325647</v>
      </c>
      <c r="AK49" s="142">
        <f>AK50+AK73+AK80</f>
        <v>14675.5133668621</v>
      </c>
      <c r="AL49" s="142">
        <f>AL50+AL73+AL80</f>
        <v>15198.0064096229</v>
      </c>
      <c r="AM49" s="142">
        <f>AM50+AM73+AM80</f>
        <v>15739.3129555486</v>
      </c>
      <c r="AN49" s="142">
        <f>AN50+AN73+AN80</f>
        <v>0</v>
      </c>
      <c r="AO49" s="142">
        <f>AO50+AO73+AO80</f>
        <v>0</v>
      </c>
      <c r="AP49" s="142">
        <f>AP50+AP73+AP80</f>
        <v>0</v>
      </c>
      <c r="AQ49" s="142">
        <f>AQ50+AQ73+AQ80</f>
        <v>0</v>
      </c>
      <c r="AR49" s="142">
        <f>AR50+AR73+AR80</f>
        <v>0</v>
      </c>
      <c r="AS49" s="142">
        <f>AS50+AS73+AS80</f>
        <v>13674.9829130815</v>
      </c>
      <c r="AT49" s="142">
        <f>AT50+AT73+AT80</f>
        <v>14171.1739325647</v>
      </c>
      <c r="AU49" s="142">
        <f>AU50+AU73+AU80</f>
        <v>14675.5133668621</v>
      </c>
      <c r="AV49" s="142">
        <f>AV50+AV73+AV80</f>
        <v>15198.0064096229</v>
      </c>
      <c r="AW49" s="142">
        <f>AW50+AW73+AW80</f>
        <v>15739.3129555486</v>
      </c>
      <c r="AX49" s="142">
        <f>AX50+AX73+AX80</f>
        <v>0</v>
      </c>
      <c r="AY49" s="142">
        <f>AY50+AY73+AY80</f>
        <v>0</v>
      </c>
      <c r="AZ49" s="142">
        <f>AZ50+AZ73+AZ80</f>
        <v>0</v>
      </c>
      <c r="BA49" s="142">
        <f>BA50+BA73+BA80</f>
        <v>0</v>
      </c>
      <c r="BB49" s="142">
        <f>BB50+BB73+BB80</f>
        <v>0</v>
      </c>
      <c r="BC49" s="200"/>
      <c r="BD49" s="1812"/>
      <c r="BE49" s="1812"/>
      <c r="BF49" s="1030" t="s">
        <v>1515</v>
      </c>
      <c r="BG49" s="1030"/>
      <c r="BH49" s="1030"/>
      <c r="BI49" s="1812"/>
      <c r="BJ49" s="267"/>
      <c r="BK49" s="267"/>
    </row>
    <row s="1834" customFormat="1" customHeight="1" ht="23.25">
      <c r="A50" s="1304"/>
      <c r="B50" s="1679"/>
      <c r="C50" s="1304"/>
      <c r="D50" s="916"/>
      <c r="E50" s="630">
        <v>15</v>
      </c>
      <c r="F50" s="1387" cm="1" t="str">
        <f t="array" ref="F50:F50">OFFSET(E50,-1,1)</f>
        <v>1</v>
      </c>
      <c r="G50" s="1304"/>
      <c r="H50" s="1304"/>
      <c r="I50" s="1312" t="s">
        <v>1516</v>
      </c>
      <c r="J50" s="1304"/>
      <c r="K50" s="916"/>
      <c r="L50" s="917"/>
      <c r="M50" s="1304"/>
      <c r="N50" s="1304"/>
      <c r="O50" s="1304"/>
      <c r="P50" s="1304"/>
      <c r="Q50" s="1304"/>
      <c r="R50" s="1304"/>
      <c r="S50" s="1304"/>
      <c r="T50" s="1356" cm="1" t="str">
        <f t="array" ref="T50:T50">T49</f>
        <v>true</v>
      </c>
      <c r="U50" s="1304"/>
      <c r="V50" s="1304"/>
      <c r="W50" s="1304"/>
      <c r="X50" s="1385"/>
      <c r="Y50" s="1304"/>
      <c r="Z50" s="1385"/>
      <c r="AA50" s="1304"/>
      <c r="AB50" s="145" t="s">
        <v>276</v>
      </c>
      <c r="AC50" s="1089" t="s">
        <v>1516</v>
      </c>
      <c r="AD50" s="1564" t="s">
        <v>1514</v>
      </c>
      <c r="AE50" s="191">
        <f>SUMIF($AD51:$AD72,$AD50,AE51:AE72)</f>
        <v>0</v>
      </c>
      <c r="AF50" s="191">
        <f>SUMIF($AD51:$AD72,$AD50,AF51:AF72)</f>
        <v>0</v>
      </c>
      <c r="AG50" s="191">
        <f>SUMIF($AD51:$AD72,$AD50,AG51:AG72)</f>
        <v>0</v>
      </c>
      <c r="AH50" s="191">
        <f>SUMIF($AD51:$AD72,$AD50,AH51:AH72)</f>
        <v>0</v>
      </c>
      <c r="AI50" s="191">
        <f>SUMIF($AD51:$AD72,$AD50,AI51:AI72)</f>
        <v>9724.63032008149</v>
      </c>
      <c r="AJ50" s="191">
        <f>SUMIF($AD51:$AD72,$AD50,AJ51:AJ72)</f>
        <v>10103.8909025647</v>
      </c>
      <c r="AK50" s="191">
        <f>SUMIF($AD51:$AD72,$AD50,AK51:AK72)</f>
        <v>10487.8387568621</v>
      </c>
      <c r="AL50" s="191">
        <f>SUMIF($AD51:$AD72,$AD50,AL51:AL72)</f>
        <v>10886.3766296229</v>
      </c>
      <c r="AM50" s="191">
        <f>SUMIF($AD51:$AD72,$AD50,AM51:AM72)</f>
        <v>11300.0589415486</v>
      </c>
      <c r="AN50" s="191">
        <f>SUMIF($AD51:$AD72,$AD50,AN51:AN72)</f>
        <v>0</v>
      </c>
      <c r="AO50" s="191">
        <f>SUMIF($AD51:$AD72,$AD50,AO51:AO72)</f>
        <v>0</v>
      </c>
      <c r="AP50" s="191">
        <f>SUMIF($AD51:$AD72,$AD50,AP51:AP72)</f>
        <v>0</v>
      </c>
      <c r="AQ50" s="191">
        <f>SUMIF($AD51:$AD72,$AD50,AQ51:AQ72)</f>
        <v>0</v>
      </c>
      <c r="AR50" s="191">
        <f>SUMIF($AD51:$AD72,$AD50,AR51:AR72)</f>
        <v>0</v>
      </c>
      <c r="AS50" s="191">
        <f>SUMIF($AD51:$AD72,$AD50,AS51:AS72)</f>
        <v>9724.63032008149</v>
      </c>
      <c r="AT50" s="191">
        <f>SUMIF($AD51:$AD72,$AD50,AT51:AT72)</f>
        <v>10103.8909025647</v>
      </c>
      <c r="AU50" s="191">
        <f>SUMIF($AD51:$AD72,$AD50,AU51:AU72)</f>
        <v>10487.8387568621</v>
      </c>
      <c r="AV50" s="191">
        <f>SUMIF($AD51:$AD72,$AD50,AV51:AV72)</f>
        <v>10886.3766296229</v>
      </c>
      <c r="AW50" s="191">
        <f>SUMIF($AD51:$AD72,$AD50,AW51:AW72)</f>
        <v>11300.0589415486</v>
      </c>
      <c r="AX50" s="191">
        <f>SUMIF($AD51:$AD72,$AD50,AX51:AX72)</f>
        <v>0</v>
      </c>
      <c r="AY50" s="191">
        <f>SUMIF($AD51:$AD72,$AD50,AY51:AY72)</f>
        <v>0</v>
      </c>
      <c r="AZ50" s="191">
        <f>SUMIF($AD51:$AD72,$AD50,AZ51:AZ72)</f>
        <v>0</v>
      </c>
      <c r="BA50" s="191">
        <f>SUMIF($AD51:$AD72,$AD50,BA51:BA72)</f>
        <v>0</v>
      </c>
      <c r="BB50" s="191">
        <f>SUMIF($AD51:$AD72,$AD50,BB51:BB72)</f>
        <v>0</v>
      </c>
      <c r="BC50" s="1808" t="s">
        <v>1546</v>
      </c>
      <c r="BD50" s="1304"/>
      <c r="BE50" s="1304"/>
      <c r="BF50" s="1046" t="s">
        <v>1517</v>
      </c>
      <c r="BG50" s="1046"/>
      <c r="BH50" s="1046"/>
      <c r="BI50" s="1809"/>
      <c r="BJ50" s="1047"/>
      <c r="BK50" s="1047"/>
    </row>
    <row s="1448" customFormat="1" customHeight="1" ht="14.25" hidden="1">
      <c r="E51" s="267">
        <v>15</v>
      </c>
      <c r="F51" s="50" cm="1" t="str">
        <f t="array" ref="F51:F51">OFFSET(E51,-1,1)</f>
        <v>1</v>
      </c>
      <c r="G51" s="146" t="s">
        <v>332</v>
      </c>
      <c r="H51" s="146" cm="1" t="str">
        <f t="array" ref="H51:H51">AC51</f>
        <v>0</v>
      </c>
      <c r="T51" s="465">
        <f>AND(F51&gt;0,Y51&gt;0)</f>
        <v>0</v>
      </c>
      <c r="W51" s="717" t="s">
        <v>174</v>
      </c>
      <c r="Y51" s="146">
        <v>0</v>
      </c>
      <c r="AA51" s="662" t="s">
        <v>175</v>
      </c>
      <c r="AB51" s="89" t="str">
        <f>"1."&amp;Y51</f>
        <v>1.0</v>
      </c>
      <c r="AC51" s="2875"/>
      <c r="AD51" s="93" t="s">
        <v>1514</v>
      </c>
      <c r="AE51" s="2876"/>
      <c r="AF51" s="2876"/>
      <c r="AG51" s="2876"/>
      <c r="AH51" s="2876"/>
      <c r="AI51" s="2876"/>
      <c r="AJ51" s="2876"/>
      <c r="AK51" s="2876"/>
      <c r="AL51" s="2876"/>
      <c r="AM51" s="2876"/>
      <c r="AN51" s="2876"/>
      <c r="AO51" s="2876"/>
      <c r="AP51" s="2876"/>
      <c r="AQ51" s="2876"/>
      <c r="AR51" s="2876"/>
      <c r="AS51" s="2876"/>
      <c r="AT51" s="2876"/>
      <c r="AU51" s="2876"/>
      <c r="AV51" s="2876"/>
      <c r="AW51" s="2876"/>
      <c r="AX51" s="2876"/>
      <c r="AY51" s="2876"/>
      <c r="AZ51" s="2876"/>
      <c r="BA51" s="2876"/>
      <c r="BB51" s="2876"/>
      <c r="BC51" s="2877"/>
      <c r="BF51" s="1030" t="s">
        <v>1518</v>
      </c>
      <c r="BG51" s="1030" t="s">
        <v>1519</v>
      </c>
      <c r="BH51" s="1030" cm="1" t="str">
        <f t="array" ref="BH51:BH51">AC51</f>
        <v>0</v>
      </c>
      <c r="BJ51" s="267"/>
      <c r="BK51" s="267" t="b">
        <v>1</v>
      </c>
    </row>
    <row s="1834" customFormat="1" customHeight="1" ht="14.25" hidden="1">
      <c r="E52" s="630">
        <v>15</v>
      </c>
      <c r="F52" s="1175" cm="1" t="str">
        <f t="array" ref="F52:F52">OFFSET(E52,-1,1)</f>
        <v>1</v>
      </c>
      <c r="T52" s="465" cm="1" t="str">
        <f t="array" ref="T52:T52">T51</f>
        <v>false</v>
      </c>
      <c r="AB52" s="1681" t="str">
        <f>AB51&amp;".1"</f>
        <v>1.0.1</v>
      </c>
      <c r="AC52" s="331" t="s">
        <v>1520</v>
      </c>
      <c r="AD52" s="92" t="s">
        <v>1521</v>
      </c>
      <c r="AE52" s="2876"/>
      <c r="AF52" s="2876"/>
      <c r="AG52" s="2876"/>
      <c r="AH52" s="2876"/>
      <c r="AI52" s="2876"/>
      <c r="AJ52" s="2876"/>
      <c r="AK52" s="2876"/>
      <c r="AL52" s="2876"/>
      <c r="AM52" s="2876"/>
      <c r="AN52" s="2876"/>
      <c r="AO52" s="2876"/>
      <c r="AP52" s="2876"/>
      <c r="AQ52" s="2876"/>
      <c r="AR52" s="2876"/>
      <c r="AS52" s="2876"/>
      <c r="AT52" s="2876"/>
      <c r="AU52" s="2876"/>
      <c r="AV52" s="2876"/>
      <c r="AW52" s="2876"/>
      <c r="AX52" s="2876"/>
      <c r="AY52" s="2876"/>
      <c r="AZ52" s="2876"/>
      <c r="BA52" s="2876"/>
      <c r="BB52" s="2876"/>
      <c r="BC52" s="2877"/>
      <c r="BF52" s="1030" t="s">
        <v>1522</v>
      </c>
      <c r="BG52" s="1030" t="s">
        <v>1519</v>
      </c>
      <c r="BH52" s="1030" cm="1" t="str">
        <f t="array" ref="BH52:BH52">BH51</f>
        <v>0</v>
      </c>
      <c r="BI52" s="1030"/>
      <c r="BJ52" s="267"/>
      <c r="BK52" s="267"/>
    </row>
    <row s="1834" customFormat="1" customHeight="1" ht="14.25" hidden="1">
      <c r="E53" s="630">
        <v>15</v>
      </c>
      <c r="F53" s="1175" cm="1" t="str">
        <f t="array" ref="F53:F53">OFFSET(E53,-1,1)</f>
        <v>1</v>
      </c>
      <c r="T53" s="465" cm="1" t="str">
        <f t="array" ref="T53:T53">T52</f>
        <v>false</v>
      </c>
      <c r="AB53" s="1681" t="str">
        <f>AB51&amp;".2"</f>
        <v>1.0.2</v>
      </c>
      <c r="AC53" s="331" t="s">
        <v>1523</v>
      </c>
      <c r="AD53" s="92" t="s">
        <v>1524</v>
      </c>
      <c r="AE53" s="2876"/>
      <c r="AF53" s="2876"/>
      <c r="AG53" s="2876"/>
      <c r="AH53" s="2876"/>
      <c r="AI53" s="2876"/>
      <c r="AJ53" s="2876"/>
      <c r="AK53" s="2876"/>
      <c r="AL53" s="2876"/>
      <c r="AM53" s="2876"/>
      <c r="AN53" s="2876"/>
      <c r="AO53" s="2876"/>
      <c r="AP53" s="2876"/>
      <c r="AQ53" s="2876"/>
      <c r="AR53" s="2876"/>
      <c r="AS53" s="2876"/>
      <c r="AT53" s="2876"/>
      <c r="AU53" s="2876"/>
      <c r="AV53" s="2876"/>
      <c r="AW53" s="2876"/>
      <c r="AX53" s="2876"/>
      <c r="AY53" s="2876"/>
      <c r="AZ53" s="2876"/>
      <c r="BA53" s="2876"/>
      <c r="BB53" s="2876"/>
      <c r="BC53" s="2877"/>
      <c r="BF53" s="1030" t="s">
        <v>1525</v>
      </c>
      <c r="BG53" s="1030" t="s">
        <v>1519</v>
      </c>
      <c r="BH53" s="1030" cm="1" t="str">
        <f t="array" ref="BH53:BH53">BH52</f>
        <v>0</v>
      </c>
      <c r="BI53" s="1030"/>
      <c r="BJ53" s="267"/>
      <c r="BK53" s="267"/>
    </row>
    <row s="1448" customFormat="1" customHeight="1" ht="12.75">
      <c r="A54" s="1448"/>
      <c r="B54" s="1448"/>
      <c r="C54" s="1448"/>
      <c r="D54" s="1448"/>
      <c r="E54" s="267">
        <v>15</v>
      </c>
      <c r="F54" s="50" cm="1" t="str">
        <f t="array" ref="F54:F54">OFFSET(E54,-1,1)</f>
        <v>1</v>
      </c>
      <c r="G54" s="146" t="s">
        <v>332</v>
      </c>
      <c r="H54" s="146" cm="1" t="str">
        <f t="array" ref="H54:H54">AC54</f>
        <v>хлор жидкий</v>
      </c>
      <c r="I54" s="1448"/>
      <c r="J54" s="1448"/>
      <c r="K54" s="1448"/>
      <c r="L54" s="1448"/>
      <c r="M54" s="1448"/>
      <c r="N54" s="1448"/>
      <c r="O54" s="1448"/>
      <c r="P54" s="1448"/>
      <c r="Q54" s="1448"/>
      <c r="R54" s="1448"/>
      <c r="S54" s="1448"/>
      <c r="T54" s="465">
        <f>AND(F54&gt;0,Y54&gt;0)</f>
        <v>1</v>
      </c>
      <c r="U54" s="1448"/>
      <c r="V54" s="1448"/>
      <c r="W54" s="717"/>
      <c r="X54" s="1448"/>
      <c r="Y54" s="146" t="s">
        <v>276</v>
      </c>
      <c r="Z54" s="1448"/>
      <c r="AA54" s="662" t="s">
        <v>175</v>
      </c>
      <c r="AB54" s="89" t="str">
        <f>"1."&amp;Y54</f>
        <v>1.1</v>
      </c>
      <c r="AC54" s="51" t="s">
        <v>1547</v>
      </c>
      <c r="AD54" s="93" t="s">
        <v>1514</v>
      </c>
      <c r="AE54" s="2878"/>
      <c r="AF54" s="2878"/>
      <c r="AG54" s="2878"/>
      <c r="AH54" s="2878"/>
      <c r="AI54" s="2878">
        <v>2674.603017216</v>
      </c>
      <c r="AJ54" s="2878">
        <v>2778.91253488742</v>
      </c>
      <c r="AK54" s="2878">
        <v>2884.51121121315</v>
      </c>
      <c r="AL54" s="2878">
        <v>2994.12263723925</v>
      </c>
      <c r="AM54" s="2878">
        <v>3107.89929745435</v>
      </c>
      <c r="AN54" s="52"/>
      <c r="AO54" s="52"/>
      <c r="AP54" s="52"/>
      <c r="AQ54" s="52"/>
      <c r="AR54" s="52"/>
      <c r="AS54" s="2878">
        <f>AS55*AS56/1000</f>
        <v>2674.603017216</v>
      </c>
      <c r="AT54" s="2878">
        <f>AT55*AT56/1000</f>
        <v>2778.91253488742</v>
      </c>
      <c r="AU54" s="2878">
        <f>AU55*AU56/1000</f>
        <v>2884.51121121315</v>
      </c>
      <c r="AV54" s="2878">
        <f>AV55*AV56/1000</f>
        <v>2994.12263723925</v>
      </c>
      <c r="AW54" s="2878">
        <f>AW55*AW56/1000</f>
        <v>3107.89929745435</v>
      </c>
      <c r="AX54" s="52"/>
      <c r="AY54" s="52"/>
      <c r="AZ54" s="52"/>
      <c r="BA54" s="52"/>
      <c r="BB54" s="52"/>
      <c r="BC54" s="2879"/>
      <c r="BD54" s="1448"/>
      <c r="BE54" s="1448"/>
      <c r="BF54" s="1030" t="s">
        <v>1518</v>
      </c>
      <c r="BG54" s="1030" t="s">
        <v>1519</v>
      </c>
      <c r="BH54" s="1030" cm="1" t="str">
        <f t="array" ref="BH54:BH54">AC54</f>
        <v>хлор жидкий</v>
      </c>
      <c r="BI54" s="1448"/>
      <c r="BJ54" s="267"/>
      <c r="BK54" s="267" t="b">
        <v>1</v>
      </c>
    </row>
    <row s="1834" customFormat="1" customHeight="1" ht="12.75">
      <c r="A55" s="1834"/>
      <c r="B55" s="1834"/>
      <c r="C55" s="1834"/>
      <c r="D55" s="1834"/>
      <c r="E55" s="630">
        <v>15</v>
      </c>
      <c r="F55" s="1175" cm="1" t="str">
        <f t="array" ref="F55:F55">OFFSET(E55,-1,1)</f>
        <v>1</v>
      </c>
      <c r="G55" s="1834"/>
      <c r="H55" s="1834"/>
      <c r="I55" s="1834"/>
      <c r="J55" s="1834"/>
      <c r="K55" s="1834"/>
      <c r="L55" s="1834"/>
      <c r="M55" s="1834"/>
      <c r="N55" s="1834"/>
      <c r="O55" s="1834"/>
      <c r="P55" s="1834"/>
      <c r="Q55" s="1834"/>
      <c r="R55" s="1834"/>
      <c r="S55" s="1834"/>
      <c r="T55" s="465" cm="1" t="str">
        <f t="array" ref="T55:T55">T54</f>
        <v>true</v>
      </c>
      <c r="U55" s="1834"/>
      <c r="V55" s="1834"/>
      <c r="W55" s="1834"/>
      <c r="X55" s="1834"/>
      <c r="Y55" s="1834"/>
      <c r="Z55" s="1834"/>
      <c r="AA55" s="1834"/>
      <c r="AB55" s="1681" t="str">
        <f>AB54&amp;".1"</f>
        <v>1.1.1</v>
      </c>
      <c r="AC55" s="331" t="s">
        <v>1520</v>
      </c>
      <c r="AD55" s="92" t="s">
        <v>1521</v>
      </c>
      <c r="AE55" s="2878"/>
      <c r="AF55" s="2878"/>
      <c r="AG55" s="2878"/>
      <c r="AH55" s="2878"/>
      <c r="AI55" s="2878">
        <v>26.26362</v>
      </c>
      <c r="AJ55" s="2878">
        <v>26.26362</v>
      </c>
      <c r="AK55" s="2878">
        <v>26.26362</v>
      </c>
      <c r="AL55" s="2878">
        <v>26.26362</v>
      </c>
      <c r="AM55" s="2878">
        <v>26.26362</v>
      </c>
      <c r="AN55" s="52"/>
      <c r="AO55" s="52"/>
      <c r="AP55" s="52"/>
      <c r="AQ55" s="52"/>
      <c r="AR55" s="52"/>
      <c r="AS55" s="2878">
        <v>26.26362</v>
      </c>
      <c r="AT55" s="2878" cm="1" t="str">
        <f t="array" ref="AT55:AT55">AS55</f>
        <v>26.26362</v>
      </c>
      <c r="AU55" s="2878" cm="1" t="str">
        <f t="array" ref="AU55:AU55">AT55</f>
        <v>26.26362</v>
      </c>
      <c r="AV55" s="2878" cm="1" t="str">
        <f t="array" ref="AV55:AV55">AU55</f>
        <v>26.26362</v>
      </c>
      <c r="AW55" s="2878" cm="1" t="str">
        <f t="array" ref="AW55:AW55">AV55</f>
        <v>26.26362</v>
      </c>
      <c r="AX55" s="52"/>
      <c r="AY55" s="52"/>
      <c r="AZ55" s="52"/>
      <c r="BA55" s="52"/>
      <c r="BB55" s="52"/>
      <c r="BC55" s="2879" t="s">
        <v>1548</v>
      </c>
      <c r="BD55" s="1834"/>
      <c r="BE55" s="1834"/>
      <c r="BF55" s="1030" t="s">
        <v>1522</v>
      </c>
      <c r="BG55" s="1030" t="s">
        <v>1519</v>
      </c>
      <c r="BH55" s="1030" cm="1" t="str">
        <f t="array" ref="BH55:BH55">BH54</f>
        <v>хлор жидкий</v>
      </c>
      <c r="BI55" s="1030"/>
      <c r="BJ55" s="267"/>
      <c r="BK55" s="267"/>
    </row>
    <row s="1834" customFormat="1" customHeight="1" ht="33.75">
      <c r="A56" s="1834"/>
      <c r="B56" s="1834"/>
      <c r="C56" s="1834"/>
      <c r="D56" s="1834"/>
      <c r="E56" s="630">
        <v>15</v>
      </c>
      <c r="F56" s="1175" cm="1" t="str">
        <f t="array" ref="F56:F56">OFFSET(E56,-1,1)</f>
        <v>1</v>
      </c>
      <c r="G56" s="1834"/>
      <c r="H56" s="1834"/>
      <c r="I56" s="1834"/>
      <c r="J56" s="1834"/>
      <c r="K56" s="1834"/>
      <c r="L56" s="1834"/>
      <c r="M56" s="1834"/>
      <c r="N56" s="1834"/>
      <c r="O56" s="1834"/>
      <c r="P56" s="1834"/>
      <c r="Q56" s="1834"/>
      <c r="R56" s="1834"/>
      <c r="S56" s="1834"/>
      <c r="T56" s="465" cm="1" t="str">
        <f t="array" ref="T56:T56">T55</f>
        <v>true</v>
      </c>
      <c r="U56" s="1834"/>
      <c r="V56" s="1834"/>
      <c r="W56" s="1834"/>
      <c r="X56" s="1834"/>
      <c r="Y56" s="1834"/>
      <c r="Z56" s="1834"/>
      <c r="AA56" s="1834"/>
      <c r="AB56" s="1681" t="str">
        <f>AB54&amp;".2"</f>
        <v>1.1.2</v>
      </c>
      <c r="AC56" s="331" t="s">
        <v>1523</v>
      </c>
      <c r="AD56" s="92" t="s">
        <v>1524</v>
      </c>
      <c r="AE56" s="2878"/>
      <c r="AF56" s="2878"/>
      <c r="AG56" s="2878"/>
      <c r="AH56" s="2878"/>
      <c r="AI56" s="2878">
        <v>101836.8</v>
      </c>
      <c r="AJ56" s="2878">
        <v>105808.4352</v>
      </c>
      <c r="AK56" s="2878">
        <v>109829.1557376</v>
      </c>
      <c r="AL56" s="2878">
        <v>114002.663655629</v>
      </c>
      <c r="AM56" s="2878">
        <v>118334.764874543</v>
      </c>
      <c r="AN56" s="52"/>
      <c r="AO56" s="52"/>
      <c r="AP56" s="52"/>
      <c r="AQ56" s="52"/>
      <c r="AR56" s="52"/>
      <c r="AS56" s="2878">
        <f>97920*1.04</f>
        <v>101836.8</v>
      </c>
      <c r="AT56" s="2878">
        <f>AS56*1.039</f>
        <v>105808.4352</v>
      </c>
      <c r="AU56" s="2878">
        <f>AT56*1.038</f>
        <v>109829.1557376</v>
      </c>
      <c r="AV56" s="2878">
        <f>AU56*1.038</f>
        <v>114002.663655629</v>
      </c>
      <c r="AW56" s="2878">
        <f>AV56*1.038</f>
        <v>118334.764874543</v>
      </c>
      <c r="AX56" s="52"/>
      <c r="AY56" s="52"/>
      <c r="AZ56" s="52"/>
      <c r="BA56" s="52"/>
      <c r="BB56" s="52"/>
      <c r="BC56" s="2879" t="s">
        <v>1549</v>
      </c>
      <c r="BD56" s="1834"/>
      <c r="BE56" s="1834"/>
      <c r="BF56" s="1030" t="s">
        <v>1525</v>
      </c>
      <c r="BG56" s="1030" t="s">
        <v>1519</v>
      </c>
      <c r="BH56" s="1030" cm="1" t="str">
        <f t="array" ref="BH56:BH56">BH55</f>
        <v>хлор жидкий</v>
      </c>
      <c r="BI56" s="1030"/>
      <c r="BJ56" s="267"/>
      <c r="BK56" s="267"/>
    </row>
    <row s="1448" customFormat="1" customHeight="1" ht="12.75">
      <c r="A57" s="1448"/>
      <c r="B57" s="1448"/>
      <c r="C57" s="1448"/>
      <c r="D57" s="1448"/>
      <c r="E57" s="267">
        <v>15</v>
      </c>
      <c r="F57" s="50" cm="1" t="str">
        <f t="array" ref="F57:F57">OFFSET(E57,-1,1)</f>
        <v>1</v>
      </c>
      <c r="G57" s="146" t="s">
        <v>332</v>
      </c>
      <c r="H57" s="146" cm="1" t="str">
        <f t="array" ref="H57:H57">AC57</f>
        <v>гипохлорит натрия</v>
      </c>
      <c r="I57" s="1448"/>
      <c r="J57" s="1448"/>
      <c r="K57" s="1448"/>
      <c r="L57" s="1448"/>
      <c r="M57" s="1448"/>
      <c r="N57" s="1448"/>
      <c r="O57" s="1448"/>
      <c r="P57" s="1448"/>
      <c r="Q57" s="1448"/>
      <c r="R57" s="1448"/>
      <c r="S57" s="1448"/>
      <c r="T57" s="465">
        <f>AND(F57&gt;0,Y57&gt;0)</f>
        <v>1</v>
      </c>
      <c r="U57" s="1448"/>
      <c r="V57" s="1448"/>
      <c r="W57" s="717"/>
      <c r="X57" s="1448"/>
      <c r="Y57" s="146" t="s">
        <v>285</v>
      </c>
      <c r="Z57" s="1448"/>
      <c r="AA57" s="662" t="s">
        <v>175</v>
      </c>
      <c r="AB57" s="89" t="str">
        <f>"1."&amp;Y57</f>
        <v>1.2</v>
      </c>
      <c r="AC57" s="2875" t="s">
        <v>1550</v>
      </c>
      <c r="AD57" s="93" t="s">
        <v>1514</v>
      </c>
      <c r="AE57" s="2880"/>
      <c r="AF57" s="2880"/>
      <c r="AG57" s="2880"/>
      <c r="AH57" s="2880"/>
      <c r="AI57" s="2880">
        <v>458.392867529584</v>
      </c>
      <c r="AJ57" s="2880">
        <v>476.270189363238</v>
      </c>
      <c r="AK57" s="2880">
        <v>494.368456559041</v>
      </c>
      <c r="AL57" s="2880">
        <v>513.154457908284</v>
      </c>
      <c r="AM57" s="2880">
        <v>532.6543273088</v>
      </c>
      <c r="AN57" s="2876"/>
      <c r="AO57" s="2876"/>
      <c r="AP57" s="2876"/>
      <c r="AQ57" s="2876"/>
      <c r="AR57" s="2876"/>
      <c r="AS57" s="2880">
        <f>AS58*AS59/1000</f>
        <v>458.392867529584</v>
      </c>
      <c r="AT57" s="2880">
        <f>AT58*AT59/1000</f>
        <v>476.270189363238</v>
      </c>
      <c r="AU57" s="2880">
        <f>AU58*AU59/1000</f>
        <v>494.368456559041</v>
      </c>
      <c r="AV57" s="2880">
        <f>AV58*AV59/1000</f>
        <v>513.154457908284</v>
      </c>
      <c r="AW57" s="2880">
        <f>AW58*AW59/1000</f>
        <v>532.6543273088</v>
      </c>
      <c r="AX57" s="2876"/>
      <c r="AY57" s="2876"/>
      <c r="AZ57" s="2876"/>
      <c r="BA57" s="2876"/>
      <c r="BB57" s="2876"/>
      <c r="BC57" s="2881"/>
      <c r="BD57" s="1448"/>
      <c r="BE57" s="1448"/>
      <c r="BF57" s="1030" t="s">
        <v>1518</v>
      </c>
      <c r="BG57" s="1030" t="s">
        <v>1519</v>
      </c>
      <c r="BH57" s="1030" cm="1" t="str">
        <f t="array" ref="BH57:BH57">AC57</f>
        <v>гипохлорит натрия</v>
      </c>
      <c r="BI57" s="1448"/>
      <c r="BJ57" s="267"/>
      <c r="BK57" s="267" t="b">
        <v>1</v>
      </c>
    </row>
    <row s="1834" customFormat="1" customHeight="1" ht="14.25">
      <c r="A58" s="1834"/>
      <c r="B58" s="1834"/>
      <c r="C58" s="1834"/>
      <c r="D58" s="1834"/>
      <c r="E58" s="630">
        <v>15</v>
      </c>
      <c r="F58" s="1175" cm="1" t="str">
        <f t="array" ref="F58:F58">OFFSET(E58,-1,1)</f>
        <v>1</v>
      </c>
      <c r="G58" s="1834"/>
      <c r="H58" s="1834"/>
      <c r="I58" s="1834"/>
      <c r="J58" s="1834"/>
      <c r="K58" s="1834"/>
      <c r="L58" s="1834"/>
      <c r="M58" s="1834"/>
      <c r="N58" s="1834"/>
      <c r="O58" s="1834"/>
      <c r="P58" s="1834"/>
      <c r="Q58" s="1834"/>
      <c r="R58" s="1834"/>
      <c r="S58" s="1834"/>
      <c r="T58" s="465" cm="1" t="str">
        <f t="array" ref="T58:T58">T57</f>
        <v>true</v>
      </c>
      <c r="U58" s="1834"/>
      <c r="V58" s="1834"/>
      <c r="W58" s="1834"/>
      <c r="X58" s="1834"/>
      <c r="Y58" s="1834"/>
      <c r="Z58" s="1834"/>
      <c r="AA58" s="1834"/>
      <c r="AB58" s="1681" t="str">
        <f>AB57&amp;".1"</f>
        <v>1.2.1</v>
      </c>
      <c r="AC58" s="331" t="s">
        <v>1520</v>
      </c>
      <c r="AD58" s="92" t="s">
        <v>1521</v>
      </c>
      <c r="AE58" s="2880"/>
      <c r="AF58" s="2880"/>
      <c r="AG58" s="2880"/>
      <c r="AH58" s="2880"/>
      <c r="AI58" s="2880">
        <v>12.37401383</v>
      </c>
      <c r="AJ58" s="2880">
        <v>12.37401383</v>
      </c>
      <c r="AK58" s="2880">
        <v>12.37401383</v>
      </c>
      <c r="AL58" s="2880">
        <v>12.37401383</v>
      </c>
      <c r="AM58" s="2880">
        <v>12.37401383</v>
      </c>
      <c r="AN58" s="2876"/>
      <c r="AO58" s="2876"/>
      <c r="AP58" s="2876"/>
      <c r="AQ58" s="2876"/>
      <c r="AR58" s="2876"/>
      <c r="AS58" s="2880">
        <v>12.37401383</v>
      </c>
      <c r="AT58" s="2880" cm="1" t="str">
        <f t="array" ref="AT58:AT58">AS58</f>
        <v>12.37401383</v>
      </c>
      <c r="AU58" s="2880" cm="1" t="str">
        <f t="array" ref="AU58:AU58">AT58</f>
        <v>12.37401383</v>
      </c>
      <c r="AV58" s="2880" cm="1" t="str">
        <f t="array" ref="AV58:AV58">AU58</f>
        <v>12.37401383</v>
      </c>
      <c r="AW58" s="2880" cm="1" t="str">
        <f t="array" ref="AW58:AW58">AV58</f>
        <v>12.37401383</v>
      </c>
      <c r="AX58" s="2876"/>
      <c r="AY58" s="2876"/>
      <c r="AZ58" s="2876"/>
      <c r="BA58" s="2876"/>
      <c r="BB58" s="2876"/>
      <c r="BC58" s="2881" t="s">
        <v>1548</v>
      </c>
      <c r="BD58" s="1834"/>
      <c r="BE58" s="1834"/>
      <c r="BF58" s="1030" t="s">
        <v>1522</v>
      </c>
      <c r="BG58" s="1030" t="s">
        <v>1519</v>
      </c>
      <c r="BH58" s="1030" cm="1" t="str">
        <f t="array" ref="BH58:BH58">BH57</f>
        <v>гипохлорит натрия</v>
      </c>
      <c r="BI58" s="1030"/>
      <c r="BJ58" s="267"/>
      <c r="BK58" s="267"/>
    </row>
    <row s="1834" customFormat="1" customHeight="1" ht="33.75">
      <c r="A59" s="1834"/>
      <c r="B59" s="1834"/>
      <c r="C59" s="1834"/>
      <c r="D59" s="1834"/>
      <c r="E59" s="630">
        <v>15</v>
      </c>
      <c r="F59" s="1175" cm="1" t="str">
        <f t="array" ref="F59:F59">OFFSET(E59,-1,1)</f>
        <v>1</v>
      </c>
      <c r="G59" s="1834"/>
      <c r="H59" s="1834"/>
      <c r="I59" s="1834"/>
      <c r="J59" s="1834"/>
      <c r="K59" s="1834"/>
      <c r="L59" s="1834"/>
      <c r="M59" s="1834"/>
      <c r="N59" s="1834"/>
      <c r="O59" s="1834"/>
      <c r="P59" s="1834"/>
      <c r="Q59" s="1834"/>
      <c r="R59" s="1834"/>
      <c r="S59" s="1834"/>
      <c r="T59" s="465" cm="1" t="str">
        <f t="array" ref="T59:T59">T58</f>
        <v>true</v>
      </c>
      <c r="U59" s="1834"/>
      <c r="V59" s="1834"/>
      <c r="W59" s="1834"/>
      <c r="X59" s="1834"/>
      <c r="Y59" s="1834"/>
      <c r="Z59" s="1834"/>
      <c r="AA59" s="1834"/>
      <c r="AB59" s="1681" t="str">
        <f>AB57&amp;".2"</f>
        <v>1.2.2</v>
      </c>
      <c r="AC59" s="331" t="s">
        <v>1523</v>
      </c>
      <c r="AD59" s="92" t="s">
        <v>1524</v>
      </c>
      <c r="AE59" s="2880"/>
      <c r="AF59" s="2880"/>
      <c r="AG59" s="2880"/>
      <c r="AH59" s="2880"/>
      <c r="AI59" s="2880">
        <v>37044.8</v>
      </c>
      <c r="AJ59" s="2880">
        <v>38489.5472</v>
      </c>
      <c r="AK59" s="2880">
        <v>39952.1499936</v>
      </c>
      <c r="AL59" s="2880">
        <v>41470.3316933568</v>
      </c>
      <c r="AM59" s="2880">
        <v>43046.2042977044</v>
      </c>
      <c r="AN59" s="2876"/>
      <c r="AO59" s="2876"/>
      <c r="AP59" s="2876"/>
      <c r="AQ59" s="2876"/>
      <c r="AR59" s="2876"/>
      <c r="AS59" s="2880">
        <f>35620*1.04</f>
        <v>37044.8</v>
      </c>
      <c r="AT59" s="2880">
        <f>AS59*1.039</f>
        <v>38489.5472</v>
      </c>
      <c r="AU59" s="2880">
        <f>AT59*1.038</f>
        <v>39952.1499936</v>
      </c>
      <c r="AV59" s="2880">
        <f>AU59*1.038</f>
        <v>41470.3316933568</v>
      </c>
      <c r="AW59" s="2880">
        <f>AV59*1.038</f>
        <v>43046.2042977044</v>
      </c>
      <c r="AX59" s="2876"/>
      <c r="AY59" s="2876"/>
      <c r="AZ59" s="2876"/>
      <c r="BA59" s="2876"/>
      <c r="BB59" s="2876"/>
      <c r="BC59" s="2881" t="s">
        <v>1551</v>
      </c>
      <c r="BD59" s="1834"/>
      <c r="BE59" s="1834"/>
      <c r="BF59" s="1030" t="s">
        <v>1525</v>
      </c>
      <c r="BG59" s="1030" t="s">
        <v>1519</v>
      </c>
      <c r="BH59" s="1030" cm="1" t="str">
        <f t="array" ref="BH59:BH59">BH58</f>
        <v>гипохлорит натрия</v>
      </c>
      <c r="BI59" s="1030"/>
      <c r="BJ59" s="267"/>
      <c r="BK59" s="267"/>
    </row>
    <row s="1448" customFormat="1" customHeight="1" ht="12.75">
      <c r="A60" s="1448"/>
      <c r="B60" s="1448"/>
      <c r="C60" s="1448"/>
      <c r="D60" s="1448"/>
      <c r="E60" s="267">
        <v>15</v>
      </c>
      <c r="F60" s="50" cm="1" t="str">
        <f t="array" ref="F60:F60">OFFSET(E60,-1,1)</f>
        <v>1</v>
      </c>
      <c r="G60" s="146" t="s">
        <v>332</v>
      </c>
      <c r="H60" s="146" cm="1" t="str">
        <f t="array" ref="H60:H60">AC60</f>
        <v>прочие</v>
      </c>
      <c r="I60" s="1448"/>
      <c r="J60" s="1448"/>
      <c r="K60" s="1448"/>
      <c r="L60" s="1448"/>
      <c r="M60" s="1448"/>
      <c r="N60" s="1448"/>
      <c r="O60" s="1448"/>
      <c r="P60" s="1448"/>
      <c r="Q60" s="1448"/>
      <c r="R60" s="1448"/>
      <c r="S60" s="1448"/>
      <c r="T60" s="465">
        <f>AND(F60&gt;0,Y60&gt;0)</f>
        <v>1</v>
      </c>
      <c r="U60" s="1448"/>
      <c r="V60" s="1448"/>
      <c r="W60" s="717"/>
      <c r="X60" s="1448"/>
      <c r="Y60" s="146" t="s">
        <v>289</v>
      </c>
      <c r="Z60" s="1448"/>
      <c r="AA60" s="662" t="s">
        <v>175</v>
      </c>
      <c r="AB60" s="89" t="str">
        <f>"1."&amp;Y60</f>
        <v>1.3</v>
      </c>
      <c r="AC60" s="2875" t="s">
        <v>1314</v>
      </c>
      <c r="AD60" s="93" t="s">
        <v>1514</v>
      </c>
      <c r="AE60" s="2880"/>
      <c r="AF60" s="2880"/>
      <c r="AG60" s="2880"/>
      <c r="AH60" s="2880"/>
      <c r="AI60" s="2880">
        <v>6470.315384</v>
      </c>
      <c r="AJ60" s="2880">
        <v>6722.657683976</v>
      </c>
      <c r="AK60" s="2880">
        <v>6978.11867596709</v>
      </c>
      <c r="AL60" s="2880">
        <v>7243.28718565384</v>
      </c>
      <c r="AM60" s="2880">
        <v>7518.53209870868</v>
      </c>
      <c r="AN60" s="2876"/>
      <c r="AO60" s="2876"/>
      <c r="AP60" s="2876"/>
      <c r="AQ60" s="2876"/>
      <c r="AR60" s="2876"/>
      <c r="AS60" s="2880">
        <f>AS61*AS62/1000</f>
        <v>6470.315384</v>
      </c>
      <c r="AT60" s="2880">
        <f>AT61*AT62/1000</f>
        <v>6722.657683976</v>
      </c>
      <c r="AU60" s="2880">
        <f>AU61*AU62/1000</f>
        <v>6978.11867596709</v>
      </c>
      <c r="AV60" s="2880">
        <f>AV61*AV62/1000</f>
        <v>7243.28718565384</v>
      </c>
      <c r="AW60" s="2880">
        <f>AW61*AW62/1000</f>
        <v>7518.53209870868</v>
      </c>
      <c r="AX60" s="2876"/>
      <c r="AY60" s="2876"/>
      <c r="AZ60" s="2876"/>
      <c r="BA60" s="2876"/>
      <c r="BB60" s="2876"/>
      <c r="BC60" s="2881" t="s">
        <v>1552</v>
      </c>
      <c r="BD60" s="1448"/>
      <c r="BE60" s="1448"/>
      <c r="BF60" s="1030" t="s">
        <v>1518</v>
      </c>
      <c r="BG60" s="1030" t="s">
        <v>1519</v>
      </c>
      <c r="BH60" s="1030" cm="1" t="str">
        <f t="array" ref="BH60:BH60">AC60</f>
        <v>прочие</v>
      </c>
      <c r="BI60" s="1448"/>
      <c r="BJ60" s="267"/>
      <c r="BK60" s="267" t="b">
        <v>1</v>
      </c>
    </row>
    <row s="1834" customFormat="1" customHeight="1" ht="23.25">
      <c r="A61" s="1834"/>
      <c r="B61" s="1834"/>
      <c r="C61" s="1834"/>
      <c r="D61" s="1834"/>
      <c r="E61" s="630">
        <v>15</v>
      </c>
      <c r="F61" s="1175" cm="1" t="str">
        <f t="array" ref="F61:F61">OFFSET(E61,-1,1)</f>
        <v>1</v>
      </c>
      <c r="G61" s="1834"/>
      <c r="H61" s="1834"/>
      <c r="I61" s="1834"/>
      <c r="J61" s="1834"/>
      <c r="K61" s="1834"/>
      <c r="L61" s="1834"/>
      <c r="M61" s="1834"/>
      <c r="N61" s="1834"/>
      <c r="O61" s="1834"/>
      <c r="P61" s="1834"/>
      <c r="Q61" s="1834"/>
      <c r="R61" s="1834"/>
      <c r="S61" s="1834"/>
      <c r="T61" s="465" cm="1" t="str">
        <f t="array" ref="T61:T61">T60</f>
        <v>true</v>
      </c>
      <c r="U61" s="1834"/>
      <c r="V61" s="1834"/>
      <c r="W61" s="1834"/>
      <c r="X61" s="1834"/>
      <c r="Y61" s="1834"/>
      <c r="Z61" s="1834"/>
      <c r="AA61" s="1834"/>
      <c r="AB61" s="1681" t="str">
        <f>AB60&amp;".1"</f>
        <v>1.3.1</v>
      </c>
      <c r="AC61" s="331" t="s">
        <v>1520</v>
      </c>
      <c r="AD61" s="92" t="s">
        <v>1521</v>
      </c>
      <c r="AE61" s="2880"/>
      <c r="AF61" s="2880"/>
      <c r="AG61" s="2880"/>
      <c r="AH61" s="2880"/>
      <c r="AI61" s="2880">
        <v>138.47</v>
      </c>
      <c r="AJ61" s="2880">
        <v>138.47</v>
      </c>
      <c r="AK61" s="2880">
        <v>138.47</v>
      </c>
      <c r="AL61" s="2880">
        <v>138.47</v>
      </c>
      <c r="AM61" s="2880">
        <v>138.47</v>
      </c>
      <c r="AN61" s="2876"/>
      <c r="AO61" s="2876"/>
      <c r="AP61" s="2876"/>
      <c r="AQ61" s="2876"/>
      <c r="AR61" s="2876"/>
      <c r="AS61" s="2880">
        <v>138.47</v>
      </c>
      <c r="AT61" s="2880" cm="1" t="str">
        <f t="array" ref="AT61:AT61">AS61</f>
        <v>138.47</v>
      </c>
      <c r="AU61" s="2880" cm="1" t="str">
        <f t="array" ref="AU61:AU61">AT61</f>
        <v>138.47</v>
      </c>
      <c r="AV61" s="2880" cm="1" t="str">
        <f t="array" ref="AV61:AV61">AU61</f>
        <v>138.47</v>
      </c>
      <c r="AW61" s="2880" cm="1" t="str">
        <f t="array" ref="AW61:AW61">AV61</f>
        <v>138.47</v>
      </c>
      <c r="AX61" s="2876"/>
      <c r="AY61" s="2876"/>
      <c r="AZ61" s="2876"/>
      <c r="BA61" s="2876"/>
      <c r="BB61" s="2876"/>
      <c r="BC61" s="2881" t="s">
        <v>1553</v>
      </c>
      <c r="BD61" s="1834"/>
      <c r="BE61" s="1834"/>
      <c r="BF61" s="1030" t="s">
        <v>1522</v>
      </c>
      <c r="BG61" s="1030" t="s">
        <v>1519</v>
      </c>
      <c r="BH61" s="1030" cm="1" t="str">
        <f t="array" ref="BH61:BH61">BH60</f>
        <v>прочие</v>
      </c>
      <c r="BI61" s="1030"/>
      <c r="BJ61" s="267"/>
      <c r="BK61" s="267"/>
    </row>
    <row s="1834" customFormat="1" customHeight="1" ht="33.75">
      <c r="A62" s="1834"/>
      <c r="B62" s="1834"/>
      <c r="C62" s="1834"/>
      <c r="D62" s="1834"/>
      <c r="E62" s="630">
        <v>15</v>
      </c>
      <c r="F62" s="1175" cm="1" t="str">
        <f t="array" ref="F62:F62">OFFSET(E62,-1,1)</f>
        <v>1</v>
      </c>
      <c r="G62" s="1834"/>
      <c r="H62" s="1834"/>
      <c r="I62" s="1834"/>
      <c r="J62" s="1834"/>
      <c r="K62" s="1834"/>
      <c r="L62" s="1834"/>
      <c r="M62" s="1834"/>
      <c r="N62" s="1834"/>
      <c r="O62" s="1834"/>
      <c r="P62" s="1834"/>
      <c r="Q62" s="1834"/>
      <c r="R62" s="1834"/>
      <c r="S62" s="1834"/>
      <c r="T62" s="465" cm="1" t="str">
        <f t="array" ref="T62:T62">T61</f>
        <v>true</v>
      </c>
      <c r="U62" s="1834"/>
      <c r="V62" s="1834"/>
      <c r="W62" s="1834"/>
      <c r="X62" s="1834"/>
      <c r="Y62" s="1834"/>
      <c r="Z62" s="1834"/>
      <c r="AA62" s="1834"/>
      <c r="AB62" s="1681" t="str">
        <f>AB60&amp;".2"</f>
        <v>1.3.2</v>
      </c>
      <c r="AC62" s="331" t="s">
        <v>1523</v>
      </c>
      <c r="AD62" s="92" t="s">
        <v>1524</v>
      </c>
      <c r="AE62" s="2880"/>
      <c r="AF62" s="2880"/>
      <c r="AG62" s="2880"/>
      <c r="AH62" s="2880"/>
      <c r="AI62" s="2880">
        <v>46727.2</v>
      </c>
      <c r="AJ62" s="2880">
        <v>48549.5608</v>
      </c>
      <c r="AK62" s="2880">
        <v>50394.4441104</v>
      </c>
      <c r="AL62" s="2880">
        <v>52309.4329865952</v>
      </c>
      <c r="AM62" s="2880">
        <v>54297.1914400858</v>
      </c>
      <c r="AN62" s="2876"/>
      <c r="AO62" s="2876"/>
      <c r="AP62" s="2876"/>
      <c r="AQ62" s="2876"/>
      <c r="AR62" s="2876"/>
      <c r="AS62" s="2880">
        <f>44930*1.04</f>
        <v>46727.2</v>
      </c>
      <c r="AT62" s="2880">
        <f>AS62*1.039</f>
        <v>48549.5608</v>
      </c>
      <c r="AU62" s="2880">
        <f>AT62*1.038</f>
        <v>50394.4441104</v>
      </c>
      <c r="AV62" s="2880">
        <f>AU62*1.038</f>
        <v>52309.4329865952</v>
      </c>
      <c r="AW62" s="2880">
        <f>AV62*1.038</f>
        <v>54297.1914400858</v>
      </c>
      <c r="AX62" s="2876"/>
      <c r="AY62" s="2876"/>
      <c r="AZ62" s="2876"/>
      <c r="BA62" s="2876"/>
      <c r="BB62" s="2876"/>
      <c r="BC62" s="2881" t="s">
        <v>1554</v>
      </c>
      <c r="BD62" s="1834"/>
      <c r="BE62" s="1834"/>
      <c r="BF62" s="1030" t="s">
        <v>1525</v>
      </c>
      <c r="BG62" s="1030" t="s">
        <v>1519</v>
      </c>
      <c r="BH62" s="1030" cm="1" t="str">
        <f t="array" ref="BH62:BH62">BH61</f>
        <v>прочие</v>
      </c>
      <c r="BI62" s="1030"/>
      <c r="BJ62" s="267"/>
      <c r="BK62" s="267"/>
    </row>
    <row s="1448" customFormat="1" customHeight="1" ht="12.75">
      <c r="A63" s="1448"/>
      <c r="B63" s="1448"/>
      <c r="C63" s="1448"/>
      <c r="D63" s="1448"/>
      <c r="E63" s="267">
        <v>15</v>
      </c>
      <c r="F63" s="50" cm="1" t="str">
        <f t="array" ref="F63:F63">OFFSET(E63,-1,1)</f>
        <v>1</v>
      </c>
      <c r="G63" s="146" t="s">
        <v>332</v>
      </c>
      <c r="H63" s="146" cm="1" t="str">
        <f t="array" ref="H63:H63">AC63</f>
        <v>прочие</v>
      </c>
      <c r="I63" s="1448"/>
      <c r="J63" s="1448"/>
      <c r="K63" s="1448"/>
      <c r="L63" s="1448"/>
      <c r="M63" s="1448"/>
      <c r="N63" s="1448"/>
      <c r="O63" s="1448"/>
      <c r="P63" s="1448"/>
      <c r="Q63" s="1448"/>
      <c r="R63" s="1448"/>
      <c r="S63" s="1448"/>
      <c r="T63" s="465">
        <f>AND(F63&gt;0,Y63&gt;0)</f>
        <v>1</v>
      </c>
      <c r="U63" s="1448"/>
      <c r="V63" s="1448"/>
      <c r="W63" s="717"/>
      <c r="X63" s="1448"/>
      <c r="Y63" s="146" t="s">
        <v>295</v>
      </c>
      <c r="Z63" s="1448"/>
      <c r="AA63" s="662" t="s">
        <v>175</v>
      </c>
      <c r="AB63" s="89" t="str">
        <f>"1."&amp;Y63</f>
        <v>1.4</v>
      </c>
      <c r="AC63" s="2875" t="s">
        <v>1314</v>
      </c>
      <c r="AD63" s="93" t="s">
        <v>1514</v>
      </c>
      <c r="AE63" s="2880"/>
      <c r="AF63" s="2880"/>
      <c r="AG63" s="2880"/>
      <c r="AH63" s="2880"/>
      <c r="AI63" s="2880">
        <v>114.53889096</v>
      </c>
      <c r="AJ63" s="2880">
        <v>119.00590770744</v>
      </c>
      <c r="AK63" s="2880">
        <v>123.528132200323</v>
      </c>
      <c r="AL63" s="2880">
        <v>128.222201223935</v>
      </c>
      <c r="AM63" s="2880">
        <v>133.094644870445</v>
      </c>
      <c r="AN63" s="2876"/>
      <c r="AO63" s="2876"/>
      <c r="AP63" s="2876"/>
      <c r="AQ63" s="2876"/>
      <c r="AR63" s="2876"/>
      <c r="AS63" s="2880">
        <f>AS64*AS65/1000</f>
        <v>114.53889096</v>
      </c>
      <c r="AT63" s="2880">
        <f>AT64*AT65/1000</f>
        <v>119.00590770744</v>
      </c>
      <c r="AU63" s="2880">
        <f>AU64*AU65/1000</f>
        <v>123.528132200323</v>
      </c>
      <c r="AV63" s="2880">
        <f>AV64*AV65/1000</f>
        <v>128.222201223935</v>
      </c>
      <c r="AW63" s="2880">
        <f>AW64*AW65/1000</f>
        <v>133.094644870445</v>
      </c>
      <c r="AX63" s="2876"/>
      <c r="AY63" s="2876"/>
      <c r="AZ63" s="2876"/>
      <c r="BA63" s="2876"/>
      <c r="BB63" s="2876"/>
      <c r="BC63" s="2881" t="s">
        <v>1555</v>
      </c>
      <c r="BD63" s="1448"/>
      <c r="BE63" s="1448"/>
      <c r="BF63" s="1030" t="s">
        <v>1518</v>
      </c>
      <c r="BG63" s="1030" t="s">
        <v>1519</v>
      </c>
      <c r="BH63" s="1030" cm="1" t="str">
        <f t="array" ref="BH63:BH63">AC63</f>
        <v>прочие</v>
      </c>
      <c r="BI63" s="1448"/>
      <c r="BJ63" s="267"/>
      <c r="BK63" s="267" t="b">
        <v>1</v>
      </c>
    </row>
    <row s="1834" customFormat="1" customHeight="1" ht="14.25">
      <c r="A64" s="1834"/>
      <c r="B64" s="1834"/>
      <c r="C64" s="1834"/>
      <c r="D64" s="1834"/>
      <c r="E64" s="630">
        <v>15</v>
      </c>
      <c r="F64" s="1175" cm="1" t="str">
        <f t="array" ref="F64:F64">OFFSET(E64,-1,1)</f>
        <v>1</v>
      </c>
      <c r="G64" s="1834"/>
      <c r="H64" s="1834"/>
      <c r="I64" s="1834"/>
      <c r="J64" s="1834"/>
      <c r="K64" s="1834"/>
      <c r="L64" s="1834"/>
      <c r="M64" s="1834"/>
      <c r="N64" s="1834"/>
      <c r="O64" s="1834"/>
      <c r="P64" s="1834"/>
      <c r="Q64" s="1834"/>
      <c r="R64" s="1834"/>
      <c r="S64" s="1834"/>
      <c r="T64" s="465" cm="1" t="str">
        <f t="array" ref="T64:T64">T63</f>
        <v>true</v>
      </c>
      <c r="U64" s="1834"/>
      <c r="V64" s="1834"/>
      <c r="W64" s="1834"/>
      <c r="X64" s="1834"/>
      <c r="Y64" s="1834"/>
      <c r="Z64" s="1834"/>
      <c r="AA64" s="1834"/>
      <c r="AB64" s="1681" t="str">
        <f>AB63&amp;".1"</f>
        <v>1.4.1</v>
      </c>
      <c r="AC64" s="331" t="s">
        <v>1520</v>
      </c>
      <c r="AD64" s="92" t="s">
        <v>1521</v>
      </c>
      <c r="AE64" s="2880"/>
      <c r="AF64" s="2880"/>
      <c r="AG64" s="2880"/>
      <c r="AH64" s="2880"/>
      <c r="AI64" s="2880">
        <v>0.24474122</v>
      </c>
      <c r="AJ64" s="2880">
        <v>0.24474122</v>
      </c>
      <c r="AK64" s="2880">
        <v>0.24474122</v>
      </c>
      <c r="AL64" s="2880">
        <v>0.24474122</v>
      </c>
      <c r="AM64" s="2880">
        <v>0.24474122</v>
      </c>
      <c r="AN64" s="2876"/>
      <c r="AO64" s="2876"/>
      <c r="AP64" s="2876"/>
      <c r="AQ64" s="2876"/>
      <c r="AR64" s="2876"/>
      <c r="AS64" s="2880">
        <v>0.24474122</v>
      </c>
      <c r="AT64" s="2880" cm="1" t="str">
        <f t="array" ref="AT64:AT64">AS64</f>
        <v>0.24474122</v>
      </c>
      <c r="AU64" s="2880" cm="1" t="str">
        <f t="array" ref="AU64:AU64">AT64</f>
        <v>0.24474122</v>
      </c>
      <c r="AV64" s="2880" cm="1" t="str">
        <f t="array" ref="AV64:AV64">AU64</f>
        <v>0.24474122</v>
      </c>
      <c r="AW64" s="2880" cm="1" t="str">
        <f t="array" ref="AW64:AW64">AV64</f>
        <v>0.24474122</v>
      </c>
      <c r="AX64" s="2876"/>
      <c r="AY64" s="2876"/>
      <c r="AZ64" s="2876"/>
      <c r="BA64" s="2876"/>
      <c r="BB64" s="2876"/>
      <c r="BC64" s="2881" t="s">
        <v>1548</v>
      </c>
      <c r="BD64" s="1834"/>
      <c r="BE64" s="1834"/>
      <c r="BF64" s="1030" t="s">
        <v>1522</v>
      </c>
      <c r="BG64" s="1030" t="s">
        <v>1519</v>
      </c>
      <c r="BH64" s="1030" cm="1" t="str">
        <f t="array" ref="BH64:BH64">BH63</f>
        <v>прочие</v>
      </c>
      <c r="BI64" s="1030"/>
      <c r="BJ64" s="267"/>
      <c r="BK64" s="267"/>
    </row>
    <row s="1834" customFormat="1" customHeight="1" ht="44.25">
      <c r="A65" s="1834"/>
      <c r="B65" s="1834"/>
      <c r="C65" s="1834"/>
      <c r="D65" s="1834"/>
      <c r="E65" s="630">
        <v>15</v>
      </c>
      <c r="F65" s="1175" cm="1" t="str">
        <f t="array" ref="F65:F65">OFFSET(E65,-1,1)</f>
        <v>1</v>
      </c>
      <c r="G65" s="1834"/>
      <c r="H65" s="1834"/>
      <c r="I65" s="1834"/>
      <c r="J65" s="1834"/>
      <c r="K65" s="1834"/>
      <c r="L65" s="1834"/>
      <c r="M65" s="1834"/>
      <c r="N65" s="1834"/>
      <c r="O65" s="1834"/>
      <c r="P65" s="1834"/>
      <c r="Q65" s="1834"/>
      <c r="R65" s="1834"/>
      <c r="S65" s="1834"/>
      <c r="T65" s="465" cm="1" t="str">
        <f t="array" ref="T65:T65">T64</f>
        <v>true</v>
      </c>
      <c r="U65" s="1834"/>
      <c r="V65" s="1834"/>
      <c r="W65" s="1834"/>
      <c r="X65" s="1834"/>
      <c r="Y65" s="1834"/>
      <c r="Z65" s="1834"/>
      <c r="AA65" s="1834"/>
      <c r="AB65" s="1681" t="str">
        <f>AB63&amp;".2"</f>
        <v>1.4.2</v>
      </c>
      <c r="AC65" s="331" t="s">
        <v>1523</v>
      </c>
      <c r="AD65" s="92" t="s">
        <v>1524</v>
      </c>
      <c r="AE65" s="2880"/>
      <c r="AF65" s="2880"/>
      <c r="AG65" s="2880"/>
      <c r="AH65" s="2880"/>
      <c r="AI65" s="2880">
        <v>468000</v>
      </c>
      <c r="AJ65" s="2880">
        <v>486252</v>
      </c>
      <c r="AK65" s="2880">
        <v>504729.576</v>
      </c>
      <c r="AL65" s="2880">
        <v>523909.299888</v>
      </c>
      <c r="AM65" s="2880">
        <v>543817.853283744</v>
      </c>
      <c r="AN65" s="2876"/>
      <c r="AO65" s="2876"/>
      <c r="AP65" s="2876"/>
      <c r="AQ65" s="2876"/>
      <c r="AR65" s="2876"/>
      <c r="AS65" s="2880">
        <f>450000*1.04</f>
        <v>468000</v>
      </c>
      <c r="AT65" s="2880">
        <f>AS65*1.039</f>
        <v>486252</v>
      </c>
      <c r="AU65" s="2880">
        <f>AT65*1.038</f>
        <v>504729.576</v>
      </c>
      <c r="AV65" s="2880">
        <f>AU65*1.038</f>
        <v>523909.299888</v>
      </c>
      <c r="AW65" s="2880">
        <f>AV65*1.038</f>
        <v>543817.853283744</v>
      </c>
      <c r="AX65" s="2876"/>
      <c r="AY65" s="2876"/>
      <c r="AZ65" s="2876"/>
      <c r="BA65" s="2876"/>
      <c r="BB65" s="2876"/>
      <c r="BC65" s="2881" t="s">
        <v>1556</v>
      </c>
      <c r="BD65" s="1834"/>
      <c r="BE65" s="1834"/>
      <c r="BF65" s="1030" t="s">
        <v>1525</v>
      </c>
      <c r="BG65" s="1030" t="s">
        <v>1519</v>
      </c>
      <c r="BH65" s="1030" cm="1" t="str">
        <f t="array" ref="BH65:BH65">BH64</f>
        <v>прочие</v>
      </c>
      <c r="BI65" s="1030"/>
      <c r="BJ65" s="267"/>
      <c r="BK65" s="267"/>
    </row>
    <row s="1448" customFormat="1" customHeight="1" ht="12.75">
      <c r="A66" s="1448"/>
      <c r="B66" s="1448"/>
      <c r="C66" s="1448"/>
      <c r="D66" s="1448"/>
      <c r="E66" s="267">
        <v>15</v>
      </c>
      <c r="F66" s="50" cm="1" t="str">
        <f t="array" ref="F66:F66">OFFSET(E66,-1,1)</f>
        <v>1</v>
      </c>
      <c r="G66" s="146" t="s">
        <v>332</v>
      </c>
      <c r="H66" s="146" cm="1" t="str">
        <f t="array" ref="H66:H66">AC66</f>
        <v>прочие</v>
      </c>
      <c r="I66" s="1448"/>
      <c r="J66" s="1448"/>
      <c r="K66" s="1448"/>
      <c r="L66" s="1448"/>
      <c r="M66" s="1448"/>
      <c r="N66" s="1448"/>
      <c r="O66" s="1448"/>
      <c r="P66" s="1448"/>
      <c r="Q66" s="1448"/>
      <c r="R66" s="1448"/>
      <c r="S66" s="1448"/>
      <c r="T66" s="465">
        <f>AND(F66&gt;0,Y66&gt;0)</f>
        <v>1</v>
      </c>
      <c r="U66" s="1448"/>
      <c r="V66" s="1448"/>
      <c r="W66" s="717"/>
      <c r="X66" s="1448"/>
      <c r="Y66" s="146" t="s">
        <v>443</v>
      </c>
      <c r="Z66" s="1448"/>
      <c r="AA66" s="662" t="s">
        <v>175</v>
      </c>
      <c r="AB66" s="89" t="str">
        <f>"1."&amp;Y66</f>
        <v>1.5</v>
      </c>
      <c r="AC66" s="2875" t="s">
        <v>1314</v>
      </c>
      <c r="AD66" s="93" t="s">
        <v>1514</v>
      </c>
      <c r="AE66" s="2880"/>
      <c r="AF66" s="2880"/>
      <c r="AG66" s="2880"/>
      <c r="AH66" s="2880"/>
      <c r="AI66" s="2880">
        <v>2.41216037590298</v>
      </c>
      <c r="AJ66" s="2880">
        <v>2.5062346305632</v>
      </c>
      <c r="AK66" s="2880">
        <v>2.6014715465246</v>
      </c>
      <c r="AL66" s="2880">
        <v>2.70032746529253</v>
      </c>
      <c r="AM66" s="2880">
        <v>2.80293990897364</v>
      </c>
      <c r="AN66" s="2876"/>
      <c r="AO66" s="2876"/>
      <c r="AP66" s="2876"/>
      <c r="AQ66" s="2876"/>
      <c r="AR66" s="2876"/>
      <c r="AS66" s="2880">
        <f>AS67*AS68/1000</f>
        <v>2.41216037590298</v>
      </c>
      <c r="AT66" s="2880">
        <f>AT67*AT68/1000</f>
        <v>2.5062346305632</v>
      </c>
      <c r="AU66" s="2880">
        <f>AU67*AU68/1000</f>
        <v>2.6014715465246</v>
      </c>
      <c r="AV66" s="2880">
        <f>AV67*AV68/1000</f>
        <v>2.70032746529253</v>
      </c>
      <c r="AW66" s="2880">
        <f>AW67*AW68/1000</f>
        <v>2.80293990897364</v>
      </c>
      <c r="AX66" s="2876"/>
      <c r="AY66" s="2876"/>
      <c r="AZ66" s="2876"/>
      <c r="BA66" s="2876"/>
      <c r="BB66" s="2876"/>
      <c r="BC66" s="2881" t="s">
        <v>1557</v>
      </c>
      <c r="BD66" s="1448"/>
      <c r="BE66" s="1448"/>
      <c r="BF66" s="1030" t="s">
        <v>1518</v>
      </c>
      <c r="BG66" s="1030" t="s">
        <v>1519</v>
      </c>
      <c r="BH66" s="1030" cm="1" t="str">
        <f t="array" ref="BH66:BH66">AC66</f>
        <v>прочие</v>
      </c>
      <c r="BI66" s="1448"/>
      <c r="BJ66" s="267"/>
      <c r="BK66" s="267" t="b">
        <v>1</v>
      </c>
    </row>
    <row s="1834" customFormat="1" customHeight="1" ht="14.25">
      <c r="A67" s="1834"/>
      <c r="B67" s="1834"/>
      <c r="C67" s="1834"/>
      <c r="D67" s="1834"/>
      <c r="E67" s="630">
        <v>15</v>
      </c>
      <c r="F67" s="1175" cm="1" t="str">
        <f t="array" ref="F67:F67">OFFSET(E67,-1,1)</f>
        <v>1</v>
      </c>
      <c r="G67" s="1834"/>
      <c r="H67" s="1834"/>
      <c r="I67" s="1834"/>
      <c r="J67" s="1834"/>
      <c r="K67" s="1834"/>
      <c r="L67" s="1834"/>
      <c r="M67" s="1834"/>
      <c r="N67" s="1834"/>
      <c r="O67" s="1834"/>
      <c r="P67" s="1834"/>
      <c r="Q67" s="1834"/>
      <c r="R67" s="1834"/>
      <c r="S67" s="1834"/>
      <c r="T67" s="465" cm="1" t="str">
        <f t="array" ref="T67:T67">T66</f>
        <v>true</v>
      </c>
      <c r="U67" s="1834"/>
      <c r="V67" s="1834"/>
      <c r="W67" s="1834"/>
      <c r="X67" s="1834"/>
      <c r="Y67" s="1834"/>
      <c r="Z67" s="1834"/>
      <c r="AA67" s="1834"/>
      <c r="AB67" s="1681" t="str">
        <f>AB66&amp;".1"</f>
        <v>1.5.1</v>
      </c>
      <c r="AC67" s="331" t="s">
        <v>1520</v>
      </c>
      <c r="AD67" s="92" t="s">
        <v>1521</v>
      </c>
      <c r="AE67" s="2880"/>
      <c r="AF67" s="2880"/>
      <c r="AG67" s="2880"/>
      <c r="AH67" s="2880"/>
      <c r="AI67" s="2880">
        <v>0.01141573</v>
      </c>
      <c r="AJ67" s="2880">
        <v>0.01141573</v>
      </c>
      <c r="AK67" s="2880">
        <v>0.01141573</v>
      </c>
      <c r="AL67" s="2880">
        <v>0.01141573</v>
      </c>
      <c r="AM67" s="2880">
        <v>0.01141573</v>
      </c>
      <c r="AN67" s="2876"/>
      <c r="AO67" s="2876"/>
      <c r="AP67" s="2876"/>
      <c r="AQ67" s="2876"/>
      <c r="AR67" s="2876"/>
      <c r="AS67" s="2880">
        <v>0.01141573</v>
      </c>
      <c r="AT67" s="2880" cm="1" t="str">
        <f t="array" ref="AT67:AT67">AS67</f>
        <v>0.01141573</v>
      </c>
      <c r="AU67" s="2880" cm="1" t="str">
        <f t="array" ref="AU67:AU67">AT67</f>
        <v>0.01141573</v>
      </c>
      <c r="AV67" s="2880" cm="1" t="str">
        <f t="array" ref="AV67:AV67">AU67</f>
        <v>0.01141573</v>
      </c>
      <c r="AW67" s="2880" cm="1" t="str">
        <f t="array" ref="AW67:AW67">AV67</f>
        <v>0.01141573</v>
      </c>
      <c r="AX67" s="2876"/>
      <c r="AY67" s="2876"/>
      <c r="AZ67" s="2876"/>
      <c r="BA67" s="2876"/>
      <c r="BB67" s="2876"/>
      <c r="BC67" s="2881" t="s">
        <v>1548</v>
      </c>
      <c r="BD67" s="1834"/>
      <c r="BE67" s="1834"/>
      <c r="BF67" s="1030" t="s">
        <v>1522</v>
      </c>
      <c r="BG67" s="1030" t="s">
        <v>1519</v>
      </c>
      <c r="BH67" s="1030" cm="1" t="str">
        <f t="array" ref="BH67:BH67">BH66</f>
        <v>прочие</v>
      </c>
      <c r="BI67" s="1030"/>
      <c r="BJ67" s="267"/>
      <c r="BK67" s="267"/>
    </row>
    <row s="1834" customFormat="1" customHeight="1" ht="33.75">
      <c r="A68" s="1834"/>
      <c r="B68" s="1834"/>
      <c r="C68" s="1834"/>
      <c r="D68" s="1834"/>
      <c r="E68" s="630">
        <v>15</v>
      </c>
      <c r="F68" s="1175" cm="1" t="str">
        <f t="array" ref="F68:F68">OFFSET(E68,-1,1)</f>
        <v>1</v>
      </c>
      <c r="G68" s="1834"/>
      <c r="H68" s="1834"/>
      <c r="I68" s="1834"/>
      <c r="J68" s="1834"/>
      <c r="K68" s="1834"/>
      <c r="L68" s="1834"/>
      <c r="M68" s="1834"/>
      <c r="N68" s="1834"/>
      <c r="O68" s="1834"/>
      <c r="P68" s="1834"/>
      <c r="Q68" s="1834"/>
      <c r="R68" s="1834"/>
      <c r="S68" s="1834"/>
      <c r="T68" s="465" cm="1" t="str">
        <f t="array" ref="T68:T68">T67</f>
        <v>true</v>
      </c>
      <c r="U68" s="1834"/>
      <c r="V68" s="1834"/>
      <c r="W68" s="1834"/>
      <c r="X68" s="1834"/>
      <c r="Y68" s="1834"/>
      <c r="Z68" s="1834"/>
      <c r="AA68" s="1834"/>
      <c r="AB68" s="1681" t="str">
        <f>AB66&amp;".2"</f>
        <v>1.5.2</v>
      </c>
      <c r="AC68" s="331" t="s">
        <v>1523</v>
      </c>
      <c r="AD68" s="92" t="s">
        <v>1524</v>
      </c>
      <c r="AE68" s="2880"/>
      <c r="AF68" s="2880"/>
      <c r="AG68" s="2880"/>
      <c r="AH68" s="2880"/>
      <c r="AI68" s="2880">
        <v>211301.45649056</v>
      </c>
      <c r="AJ68" s="2880">
        <v>219542.213293692</v>
      </c>
      <c r="AK68" s="2880">
        <v>227884.817398852</v>
      </c>
      <c r="AL68" s="2880">
        <v>236544.440460008</v>
      </c>
      <c r="AM68" s="2880">
        <v>245533.129197488</v>
      </c>
      <c r="AN68" s="2876"/>
      <c r="AO68" s="2876"/>
      <c r="AP68" s="2876"/>
      <c r="AQ68" s="2876"/>
      <c r="AR68" s="2876"/>
      <c r="AS68" s="2880">
        <f>194985.103065997*1.042*1.04</f>
        <v>211301.45649056</v>
      </c>
      <c r="AT68" s="2880">
        <f>AS68*1.039</f>
        <v>219542.213293692</v>
      </c>
      <c r="AU68" s="2880">
        <f>AT68*1.038</f>
        <v>227884.817398852</v>
      </c>
      <c r="AV68" s="2880">
        <f>AU68*1.038</f>
        <v>236544.440460008</v>
      </c>
      <c r="AW68" s="2880">
        <f>AV68*1.038</f>
        <v>245533.129197488</v>
      </c>
      <c r="AX68" s="2876"/>
      <c r="AY68" s="2876"/>
      <c r="AZ68" s="2876"/>
      <c r="BA68" s="2876"/>
      <c r="BB68" s="2876"/>
      <c r="BC68" s="2881" t="s">
        <v>1558</v>
      </c>
      <c r="BD68" s="1834"/>
      <c r="BE68" s="1834"/>
      <c r="BF68" s="1030" t="s">
        <v>1525</v>
      </c>
      <c r="BG68" s="1030" t="s">
        <v>1519</v>
      </c>
      <c r="BH68" s="1030" cm="1" t="str">
        <f t="array" ref="BH68:BH68">BH67</f>
        <v>прочие</v>
      </c>
      <c r="BI68" s="1030"/>
      <c r="BJ68" s="267"/>
      <c r="BK68" s="267"/>
    </row>
    <row s="1448" customFormat="1" customHeight="1" ht="12.75">
      <c r="A69" s="1448"/>
      <c r="B69" s="1448"/>
      <c r="C69" s="1448"/>
      <c r="D69" s="1448"/>
      <c r="E69" s="267">
        <v>15</v>
      </c>
      <c r="F69" s="50" cm="1" t="str">
        <f t="array" ref="F69:F69">OFFSET(E69,-1,1)</f>
        <v>1</v>
      </c>
      <c r="G69" s="146" t="s">
        <v>332</v>
      </c>
      <c r="H69" s="146" cm="1" t="str">
        <f t="array" ref="H69:H69">AC69</f>
        <v>сода кальцинированная</v>
      </c>
      <c r="I69" s="1448"/>
      <c r="J69" s="1448"/>
      <c r="K69" s="1448"/>
      <c r="L69" s="1448"/>
      <c r="M69" s="1448"/>
      <c r="N69" s="1448"/>
      <c r="O69" s="1448"/>
      <c r="P69" s="1448"/>
      <c r="Q69" s="1448"/>
      <c r="R69" s="1448"/>
      <c r="S69" s="1448"/>
      <c r="T69" s="465">
        <f>AND(F69&gt;0,Y69&gt;0)</f>
        <v>1</v>
      </c>
      <c r="U69" s="1448"/>
      <c r="V69" s="1448"/>
      <c r="W69" s="717"/>
      <c r="X69" s="1448"/>
      <c r="Y69" s="146" t="s">
        <v>446</v>
      </c>
      <c r="Z69" s="1448"/>
      <c r="AA69" s="662" t="s">
        <v>175</v>
      </c>
      <c r="AB69" s="89" t="str">
        <f>"1."&amp;Y69</f>
        <v>1.6</v>
      </c>
      <c r="AC69" s="2875" t="s">
        <v>1559</v>
      </c>
      <c r="AD69" s="93" t="s">
        <v>1514</v>
      </c>
      <c r="AE69" s="2880"/>
      <c r="AF69" s="2880"/>
      <c r="AG69" s="2880"/>
      <c r="AH69" s="2880"/>
      <c r="AI69" s="2880">
        <v>4.368</v>
      </c>
      <c r="AJ69" s="2880">
        <v>4.538352</v>
      </c>
      <c r="AK69" s="2880">
        <v>4.710809376</v>
      </c>
      <c r="AL69" s="2880">
        <v>4.889820132288</v>
      </c>
      <c r="AM69" s="2880">
        <v>5.07563329731494</v>
      </c>
      <c r="AN69" s="2876"/>
      <c r="AO69" s="2876"/>
      <c r="AP69" s="2876"/>
      <c r="AQ69" s="2876"/>
      <c r="AR69" s="2876"/>
      <c r="AS69" s="2880">
        <f>AS70*AS71/1000</f>
        <v>4.368</v>
      </c>
      <c r="AT69" s="2880">
        <f>AT70*AT71/1000</f>
        <v>4.538352</v>
      </c>
      <c r="AU69" s="2880">
        <f>AU70*AU71/1000</f>
        <v>4.710809376</v>
      </c>
      <c r="AV69" s="2880">
        <f>AV70*AV71/1000</f>
        <v>4.889820132288</v>
      </c>
      <c r="AW69" s="2880">
        <f>AW70*AW71/1000</f>
        <v>5.07563329731494</v>
      </c>
      <c r="AX69" s="2876"/>
      <c r="AY69" s="2876"/>
      <c r="AZ69" s="2876"/>
      <c r="BA69" s="2876"/>
      <c r="BB69" s="2876"/>
      <c r="BC69" s="2881"/>
      <c r="BD69" s="1448"/>
      <c r="BE69" s="1448"/>
      <c r="BF69" s="1030" t="s">
        <v>1518</v>
      </c>
      <c r="BG69" s="1030" t="s">
        <v>1519</v>
      </c>
      <c r="BH69" s="1030" cm="1" t="str">
        <f t="array" ref="BH69:BH69">AC69</f>
        <v>сода кальцинированная</v>
      </c>
      <c r="BI69" s="1448"/>
      <c r="BJ69" s="267"/>
      <c r="BK69" s="267" t="b">
        <v>1</v>
      </c>
    </row>
    <row s="1834" customFormat="1" customHeight="1" ht="14.25">
      <c r="A70" s="1834"/>
      <c r="B70" s="1834"/>
      <c r="C70" s="1834"/>
      <c r="D70" s="1834"/>
      <c r="E70" s="630">
        <v>15</v>
      </c>
      <c r="F70" s="1175" cm="1" t="str">
        <f t="array" ref="F70:F70">OFFSET(E70,-1,1)</f>
        <v>1</v>
      </c>
      <c r="G70" s="1834"/>
      <c r="H70" s="1834"/>
      <c r="I70" s="1834"/>
      <c r="J70" s="1834"/>
      <c r="K70" s="1834"/>
      <c r="L70" s="1834"/>
      <c r="M70" s="1834"/>
      <c r="N70" s="1834"/>
      <c r="O70" s="1834"/>
      <c r="P70" s="1834"/>
      <c r="Q70" s="1834"/>
      <c r="R70" s="1834"/>
      <c r="S70" s="1834"/>
      <c r="T70" s="465" cm="1" t="str">
        <f t="array" ref="T70:T70">T69</f>
        <v>true</v>
      </c>
      <c r="U70" s="1834"/>
      <c r="V70" s="1834"/>
      <c r="W70" s="1834"/>
      <c r="X70" s="1834"/>
      <c r="Y70" s="1834"/>
      <c r="Z70" s="1834"/>
      <c r="AA70" s="1834"/>
      <c r="AB70" s="1681" t="str">
        <f>AB69&amp;".1"</f>
        <v>1.6.1</v>
      </c>
      <c r="AC70" s="331" t="s">
        <v>1520</v>
      </c>
      <c r="AD70" s="92" t="s">
        <v>1521</v>
      </c>
      <c r="AE70" s="2880"/>
      <c r="AF70" s="2880"/>
      <c r="AG70" s="2880"/>
      <c r="AH70" s="2880"/>
      <c r="AI70" s="2880">
        <v>0.042</v>
      </c>
      <c r="AJ70" s="2880">
        <v>0.042</v>
      </c>
      <c r="AK70" s="2880">
        <v>0.042</v>
      </c>
      <c r="AL70" s="2880">
        <v>0.042</v>
      </c>
      <c r="AM70" s="2880">
        <v>0.042</v>
      </c>
      <c r="AN70" s="2876"/>
      <c r="AO70" s="2876"/>
      <c r="AP70" s="2876"/>
      <c r="AQ70" s="2876"/>
      <c r="AR70" s="2876"/>
      <c r="AS70" s="2880">
        <v>0.042</v>
      </c>
      <c r="AT70" s="2880" cm="1" t="str">
        <f t="array" ref="AT70:AT70">AS70</f>
        <v>0.042</v>
      </c>
      <c r="AU70" s="2880" cm="1" t="str">
        <f t="array" ref="AU70:AU70">AT70</f>
        <v>0.042</v>
      </c>
      <c r="AV70" s="2880" cm="1" t="str">
        <f t="array" ref="AV70:AV70">AU70</f>
        <v>0.042</v>
      </c>
      <c r="AW70" s="2880" cm="1" t="str">
        <f t="array" ref="AW70:AW70">AV70</f>
        <v>0.042</v>
      </c>
      <c r="AX70" s="2876"/>
      <c r="AY70" s="2876"/>
      <c r="AZ70" s="2876"/>
      <c r="BA70" s="2876"/>
      <c r="BB70" s="2876"/>
      <c r="BC70" s="2881" t="s">
        <v>1548</v>
      </c>
      <c r="BD70" s="1834"/>
      <c r="BE70" s="1834"/>
      <c r="BF70" s="1030" t="s">
        <v>1522</v>
      </c>
      <c r="BG70" s="1030" t="s">
        <v>1519</v>
      </c>
      <c r="BH70" s="1030" cm="1" t="str">
        <f t="array" ref="BH70:BH70">BH69</f>
        <v>сода кальцинированная</v>
      </c>
      <c r="BI70" s="1030"/>
      <c r="BJ70" s="267"/>
      <c r="BK70" s="267"/>
    </row>
    <row s="1834" customFormat="1" customHeight="1" ht="33.75">
      <c r="A71" s="1834"/>
      <c r="B71" s="1834"/>
      <c r="C71" s="1834"/>
      <c r="D71" s="1834"/>
      <c r="E71" s="630">
        <v>15</v>
      </c>
      <c r="F71" s="1175" cm="1" t="str">
        <f t="array" ref="F71:F71">OFFSET(E71,-1,1)</f>
        <v>1</v>
      </c>
      <c r="G71" s="1834"/>
      <c r="H71" s="1834"/>
      <c r="I71" s="1834"/>
      <c r="J71" s="1834"/>
      <c r="K71" s="1834"/>
      <c r="L71" s="1834"/>
      <c r="M71" s="1834"/>
      <c r="N71" s="1834"/>
      <c r="O71" s="1834"/>
      <c r="P71" s="1834"/>
      <c r="Q71" s="1834"/>
      <c r="R71" s="1834"/>
      <c r="S71" s="1834"/>
      <c r="T71" s="465" cm="1" t="str">
        <f t="array" ref="T71:T71">T70</f>
        <v>true</v>
      </c>
      <c r="U71" s="1834"/>
      <c r="V71" s="1834"/>
      <c r="W71" s="1834"/>
      <c r="X71" s="1834"/>
      <c r="Y71" s="1834"/>
      <c r="Z71" s="1834"/>
      <c r="AA71" s="1834"/>
      <c r="AB71" s="1681" t="str">
        <f>AB69&amp;".2"</f>
        <v>1.6.2</v>
      </c>
      <c r="AC71" s="331" t="s">
        <v>1523</v>
      </c>
      <c r="AD71" s="92" t="s">
        <v>1524</v>
      </c>
      <c r="AE71" s="2880"/>
      <c r="AF71" s="2880"/>
      <c r="AG71" s="2880"/>
      <c r="AH71" s="2880"/>
      <c r="AI71" s="2880">
        <v>104000</v>
      </c>
      <c r="AJ71" s="2880">
        <v>108056</v>
      </c>
      <c r="AK71" s="2880">
        <v>112162.128</v>
      </c>
      <c r="AL71" s="2880">
        <v>116424.288864</v>
      </c>
      <c r="AM71" s="2880">
        <v>120848.411840832</v>
      </c>
      <c r="AN71" s="2876"/>
      <c r="AO71" s="2876"/>
      <c r="AP71" s="2876"/>
      <c r="AQ71" s="2876"/>
      <c r="AR71" s="2876"/>
      <c r="AS71" s="2880">
        <f>100000*1.04</f>
        <v>104000</v>
      </c>
      <c r="AT71" s="2880">
        <f>AS71*1.039</f>
        <v>108056</v>
      </c>
      <c r="AU71" s="2880">
        <f>AT71*1.038</f>
        <v>112162.128</v>
      </c>
      <c r="AV71" s="2880">
        <f>AU71*1.038</f>
        <v>116424.288864</v>
      </c>
      <c r="AW71" s="2880">
        <f>AV71*1.038</f>
        <v>120848.411840832</v>
      </c>
      <c r="AX71" s="2876"/>
      <c r="AY71" s="2876"/>
      <c r="AZ71" s="2876"/>
      <c r="BA71" s="2876"/>
      <c r="BB71" s="2876"/>
      <c r="BC71" s="2881" t="s">
        <v>1560</v>
      </c>
      <c r="BD71" s="1834"/>
      <c r="BE71" s="1834"/>
      <c r="BF71" s="1030" t="s">
        <v>1525</v>
      </c>
      <c r="BG71" s="1030" t="s">
        <v>1519</v>
      </c>
      <c r="BH71" s="1030" cm="1" t="str">
        <f t="array" ref="BH71:BH71">BH70</f>
        <v>сода кальцинированная</v>
      </c>
      <c r="BI71" s="1030"/>
      <c r="BJ71" s="267"/>
      <c r="BK71" s="267"/>
    </row>
    <row s="1834" customFormat="1" customHeight="1" ht="12.75">
      <c r="A72" s="1304"/>
      <c r="B72" s="1682"/>
      <c r="C72" s="1304"/>
      <c r="D72" s="1304"/>
      <c r="E72" s="630">
        <v>15</v>
      </c>
      <c r="F72" s="1387" cm="1" t="str">
        <f t="array" ref="F72:F72">OFFSET(E72,-1,1)</f>
        <v>1</v>
      </c>
      <c r="G72" s="1304"/>
      <c r="H72" s="1377" t="str">
        <f>"!== 'Всего по тарифу'"</f>
        <v>!== 'Всего по тарифу'</v>
      </c>
      <c r="I72" s="1304"/>
      <c r="J72" s="1304"/>
      <c r="K72" s="1304"/>
      <c r="L72" s="1304"/>
      <c r="M72" s="1304"/>
      <c r="N72" s="1304"/>
      <c r="O72" s="1304"/>
      <c r="P72" s="1304"/>
      <c r="Q72" s="1304"/>
      <c r="R72" s="1304"/>
      <c r="S72" s="1304"/>
      <c r="T72" s="1356">
        <f>F72&gt;0</f>
        <v>1</v>
      </c>
      <c r="U72" s="1304"/>
      <c r="V72" s="1304"/>
      <c r="W72" s="849" t="s">
        <v>399</v>
      </c>
      <c r="X72" s="1385"/>
      <c r="Y72" s="1304"/>
      <c r="Z72" s="1385"/>
      <c r="AA72" s="1304"/>
      <c r="AB72" s="1683"/>
      <c r="AC72" s="1684" t="s">
        <v>178</v>
      </c>
      <c r="AD72" s="1685"/>
      <c r="AE72" s="1685"/>
      <c r="AF72" s="1685"/>
      <c r="AG72" s="1685"/>
      <c r="AH72" s="1685"/>
      <c r="AI72" s="1685"/>
      <c r="AJ72" s="1685"/>
      <c r="AK72" s="1685"/>
      <c r="AL72" s="1685"/>
      <c r="AM72" s="1685"/>
      <c r="AN72" s="1685"/>
      <c r="AO72" s="1685"/>
      <c r="AP72" s="1685"/>
      <c r="AQ72" s="1685"/>
      <c r="AR72" s="1685"/>
      <c r="AS72" s="1685"/>
      <c r="AT72" s="1685"/>
      <c r="AU72" s="1685"/>
      <c r="AV72" s="1685"/>
      <c r="AW72" s="1685"/>
      <c r="AX72" s="1685"/>
      <c r="AY72" s="1685"/>
      <c r="AZ72" s="1685"/>
      <c r="BA72" s="1685"/>
      <c r="BB72" s="1685"/>
      <c r="BC72" s="1686"/>
      <c r="BD72" s="1304"/>
      <c r="BE72" s="1304"/>
      <c r="BF72" s="1018"/>
      <c r="BG72" s="1018"/>
      <c r="BH72" s="1018"/>
      <c r="BI72" s="1810"/>
      <c r="BJ72" s="1338" t="s">
        <v>1519</v>
      </c>
      <c r="BK72" s="1338"/>
    </row>
    <row s="1834" customFormat="1" customHeight="1" ht="23.25">
      <c r="A73" s="1304"/>
      <c r="B73" s="1682"/>
      <c r="C73" s="1304"/>
      <c r="D73" s="1304"/>
      <c r="E73" s="630">
        <v>15</v>
      </c>
      <c r="F73" s="1387" cm="1" t="str">
        <f t="array" ref="F73:F73">OFFSET(E73,-1,1)</f>
        <v>1</v>
      </c>
      <c r="G73" s="1304"/>
      <c r="H73" s="1304"/>
      <c r="I73" s="1312" t="s">
        <v>1526</v>
      </c>
      <c r="J73" s="1304"/>
      <c r="K73" s="1304"/>
      <c r="L73" s="1304"/>
      <c r="M73" s="1304"/>
      <c r="N73" s="1304"/>
      <c r="O73" s="1304"/>
      <c r="P73" s="1304"/>
      <c r="Q73" s="1304"/>
      <c r="R73" s="1304"/>
      <c r="S73" s="1304"/>
      <c r="T73" s="1356" cm="1" t="str">
        <f t="array" ref="T73:T73">T72</f>
        <v>true</v>
      </c>
      <c r="U73" s="1304"/>
      <c r="V73" s="1304"/>
      <c r="W73" s="849"/>
      <c r="X73" s="1385"/>
      <c r="Y73" s="1304"/>
      <c r="Z73" s="1385"/>
      <c r="AA73" s="1304"/>
      <c r="AB73" s="145" t="s">
        <v>285</v>
      </c>
      <c r="AC73" s="1089" t="s">
        <v>1526</v>
      </c>
      <c r="AD73" s="1564" t="s">
        <v>1514</v>
      </c>
      <c r="AE73" s="191">
        <f>AE74+AE75</f>
        <v>0</v>
      </c>
      <c r="AF73" s="191">
        <f>AF74+AF75</f>
        <v>0</v>
      </c>
      <c r="AG73" s="191">
        <f>AG74+AG75</f>
        <v>0</v>
      </c>
      <c r="AH73" s="191">
        <f>AH74+AH75</f>
        <v>0</v>
      </c>
      <c r="AI73" s="191">
        <f>AI74+AI75</f>
        <v>863</v>
      </c>
      <c r="AJ73" s="191">
        <f>AJ74+AJ75</f>
        <v>888.5448</v>
      </c>
      <c r="AK73" s="191">
        <f>AK74+AK75</f>
        <v>914.84573</v>
      </c>
      <c r="AL73" s="191">
        <f>AL74+AL75</f>
        <v>941.92516</v>
      </c>
      <c r="AM73" s="191">
        <f>AM74+AM75</f>
        <v>969.806144</v>
      </c>
      <c r="AN73" s="191">
        <f>AN74+AN75</f>
        <v>0</v>
      </c>
      <c r="AO73" s="191">
        <f>AO74+AO75</f>
        <v>0</v>
      </c>
      <c r="AP73" s="191">
        <f>AP74+AP75</f>
        <v>0</v>
      </c>
      <c r="AQ73" s="191">
        <f>AQ74+AQ75</f>
        <v>0</v>
      </c>
      <c r="AR73" s="191">
        <f>AR74+AR75</f>
        <v>0</v>
      </c>
      <c r="AS73" s="191">
        <f>AS74+AS75</f>
        <v>863</v>
      </c>
      <c r="AT73" s="191">
        <f>AT74+AT75</f>
        <v>888.5448</v>
      </c>
      <c r="AU73" s="191">
        <f>AU74+AU75</f>
        <v>914.84573</v>
      </c>
      <c r="AV73" s="191">
        <f>AV74+AV75</f>
        <v>941.92516</v>
      </c>
      <c r="AW73" s="191">
        <f>AW74+AW75</f>
        <v>969.806144</v>
      </c>
      <c r="AX73" s="191">
        <f>AX74+AX75</f>
        <v>0</v>
      </c>
      <c r="AY73" s="191">
        <f>AY74+AY75</f>
        <v>0</v>
      </c>
      <c r="AZ73" s="191">
        <f>AZ74+AZ75</f>
        <v>0</v>
      </c>
      <c r="BA73" s="191">
        <f>BA74+BA75</f>
        <v>0</v>
      </c>
      <c r="BB73" s="191">
        <f>BB74+BB75</f>
        <v>0</v>
      </c>
      <c r="BC73" s="1808" t="s">
        <v>1561</v>
      </c>
      <c r="BD73" s="1304"/>
      <c r="BE73" s="1304"/>
      <c r="BF73" s="1018" t="s">
        <v>1527</v>
      </c>
      <c r="BG73" s="1018"/>
      <c r="BH73" s="1018"/>
      <c r="BI73" s="1810"/>
      <c r="BJ73" s="1338"/>
      <c r="BK73" s="1338"/>
    </row>
    <row s="1834" customFormat="1" customHeight="1" ht="65.25">
      <c r="A74" s="1304"/>
      <c r="B74" s="1682"/>
      <c r="C74" s="1304"/>
      <c r="D74" s="1304"/>
      <c r="E74" s="630">
        <v>33.75</v>
      </c>
      <c r="F74" s="1387" cm="1" t="str">
        <f t="array" ref="F74:F74">OFFSET(E74,-1,1)</f>
        <v>1</v>
      </c>
      <c r="G74" s="1304"/>
      <c r="H74" s="1304"/>
      <c r="I74" s="1304"/>
      <c r="J74" s="1304"/>
      <c r="K74" s="1304"/>
      <c r="L74" s="1304"/>
      <c r="M74" s="1304"/>
      <c r="N74" s="1304"/>
      <c r="O74" s="1304"/>
      <c r="P74" s="1304"/>
      <c r="Q74" s="1304"/>
      <c r="R74" s="1304"/>
      <c r="S74" s="1304"/>
      <c r="T74" s="1356" cm="1" t="str">
        <f t="array" ref="T74:T74">T73</f>
        <v>true</v>
      </c>
      <c r="U74" s="1304"/>
      <c r="V74" s="1304"/>
      <c r="W74" s="849"/>
      <c r="X74" s="1385"/>
      <c r="Y74" s="1304"/>
      <c r="Z74" s="1385"/>
      <c r="AA74" s="1304"/>
      <c r="AB74" s="145" t="s">
        <v>1250</v>
      </c>
      <c r="AC74" s="1089" t="s">
        <v>1528</v>
      </c>
      <c r="AD74" s="1564" t="s">
        <v>1514</v>
      </c>
      <c r="AE74" s="1096"/>
      <c r="AF74" s="1096"/>
      <c r="AG74" s="1096"/>
      <c r="AH74" s="1096"/>
      <c r="AI74" s="1096">
        <v>863</v>
      </c>
      <c r="AJ74" s="1096">
        <v>888.5448</v>
      </c>
      <c r="AK74" s="1096">
        <v>914.84573</v>
      </c>
      <c r="AL74" s="1096">
        <v>941.92516</v>
      </c>
      <c r="AM74" s="1096">
        <v>969.806144</v>
      </c>
      <c r="AN74" s="2846"/>
      <c r="AO74" s="2846"/>
      <c r="AP74" s="2846"/>
      <c r="AQ74" s="2846"/>
      <c r="AR74" s="2846"/>
      <c r="AS74" s="1096">
        <v>863</v>
      </c>
      <c r="AT74" s="1096">
        <v>888.5448</v>
      </c>
      <c r="AU74" s="1096">
        <v>914.84573</v>
      </c>
      <c r="AV74" s="1096">
        <v>941.92516</v>
      </c>
      <c r="AW74" s="1096">
        <v>969.806144</v>
      </c>
      <c r="AX74" s="2846"/>
      <c r="AY74" s="2846"/>
      <c r="AZ74" s="2846"/>
      <c r="BA74" s="2846"/>
      <c r="BB74" s="2846"/>
      <c r="BC74" s="1808" t="s">
        <v>1562</v>
      </c>
      <c r="BD74" s="1304"/>
      <c r="BE74" s="1304"/>
      <c r="BF74" s="1018" t="s">
        <v>1529</v>
      </c>
      <c r="BG74" s="1018"/>
      <c r="BH74" s="1018"/>
      <c r="BI74" s="1810"/>
      <c r="BJ74" s="1338"/>
      <c r="BK74" s="1338"/>
    </row>
    <row s="1834" customFormat="1" customHeight="1" ht="0">
      <c r="A75" s="1304"/>
      <c r="B75" s="1682"/>
      <c r="C75" s="1304"/>
      <c r="D75" s="1304"/>
      <c r="E75" s="630">
        <v>45</v>
      </c>
      <c r="F75" s="1387" cm="1" t="str">
        <f t="array" ref="F75:F75">OFFSET(E75,-1,1)</f>
        <v>1</v>
      </c>
      <c r="G75" s="1304"/>
      <c r="H75" s="1304"/>
      <c r="I75" s="1304"/>
      <c r="J75" s="1304"/>
      <c r="K75" s="1304"/>
      <c r="L75" s="1304"/>
      <c r="M75" s="1304"/>
      <c r="N75" s="1304"/>
      <c r="O75" s="1304"/>
      <c r="P75" s="1304"/>
      <c r="Q75" s="1304"/>
      <c r="R75" s="1304"/>
      <c r="S75" s="1304"/>
      <c r="T75" s="1356" cm="1" t="str">
        <f t="array" ref="T75:T75">T74</f>
        <v>true</v>
      </c>
      <c r="U75" s="1304"/>
      <c r="V75" s="1304"/>
      <c r="W75" s="849"/>
      <c r="X75" s="1385"/>
      <c r="Y75" s="1304"/>
      <c r="Z75" s="1385"/>
      <c r="AA75" s="1304"/>
      <c r="AB75" s="145" t="s">
        <v>1254</v>
      </c>
      <c r="AC75" s="1089" t="s">
        <v>1530</v>
      </c>
      <c r="AD75" s="1564" t="s">
        <v>1514</v>
      </c>
      <c r="AE75" s="191">
        <f>SUMIF($AD76:$AD79,$AD75,AE76:AE79)</f>
        <v>0</v>
      </c>
      <c r="AF75" s="191">
        <f>SUMIF($AD76:$AD79,$AD75,AF76:AF79)</f>
        <v>0</v>
      </c>
      <c r="AG75" s="191">
        <f>SUMIF($AD76:$AD79,$AD75,AG76:AG79)</f>
        <v>0</v>
      </c>
      <c r="AH75" s="191">
        <f>SUMIF($AD76:$AD79,$AD75,AH76:AH79)</f>
        <v>0</v>
      </c>
      <c r="AI75" s="191">
        <f>SUMIF($AD76:$AD79,$AD75,AI76:AI79)</f>
        <v>0</v>
      </c>
      <c r="AJ75" s="191">
        <f>SUMIF($AD76:$AD79,$AD75,AJ76:AJ79)</f>
        <v>0</v>
      </c>
      <c r="AK75" s="191">
        <f>SUMIF($AD76:$AD79,$AD75,AK76:AK79)</f>
        <v>0</v>
      </c>
      <c r="AL75" s="191">
        <f>SUMIF($AD76:$AD79,$AD75,AL76:AL79)</f>
        <v>0</v>
      </c>
      <c r="AM75" s="191">
        <f>SUMIF($AD76:$AD79,$AD75,AM76:AM79)</f>
        <v>0</v>
      </c>
      <c r="AN75" s="191">
        <f>SUMIF($AD76:$AD79,$AD75,AN76:AN79)</f>
        <v>0</v>
      </c>
      <c r="AO75" s="191">
        <f>SUMIF($AD76:$AD79,$AD75,AO76:AO79)</f>
        <v>0</v>
      </c>
      <c r="AP75" s="191">
        <f>SUMIF($AD76:$AD79,$AD75,AP76:AP79)</f>
        <v>0</v>
      </c>
      <c r="AQ75" s="191">
        <f>SUMIF($AD76:$AD79,$AD75,AQ76:AQ79)</f>
        <v>0</v>
      </c>
      <c r="AR75" s="191">
        <f>SUMIF($AD76:$AD79,$AD75,AR76:AR79)</f>
        <v>0</v>
      </c>
      <c r="AS75" s="191">
        <f>SUMIF($AD76:$AD79,$AD75,AS76:AS79)</f>
        <v>0</v>
      </c>
      <c r="AT75" s="191">
        <f>SUMIF($AD76:$AD79,$AD75,AT76:AT79)</f>
        <v>0</v>
      </c>
      <c r="AU75" s="191">
        <f>SUMIF($AD76:$AD79,$AD75,AU76:AU79)</f>
        <v>0</v>
      </c>
      <c r="AV75" s="191">
        <f>SUMIF($AD76:$AD79,$AD75,AV76:AV79)</f>
        <v>0</v>
      </c>
      <c r="AW75" s="191">
        <f>SUMIF($AD76:$AD79,$AD75,AW76:AW79)</f>
        <v>0</v>
      </c>
      <c r="AX75" s="191">
        <f>SUMIF($AD76:$AD79,$AD75,AX76:AX79)</f>
        <v>0</v>
      </c>
      <c r="AY75" s="191">
        <f>SUMIF($AD76:$AD79,$AD75,AY76:AY79)</f>
        <v>0</v>
      </c>
      <c r="AZ75" s="191">
        <f>SUMIF($AD76:$AD79,$AD75,AZ76:AZ79)</f>
        <v>0</v>
      </c>
      <c r="BA75" s="191">
        <f>SUMIF($AD76:$AD79,$AD75,BA76:BA79)</f>
        <v>0</v>
      </c>
      <c r="BB75" s="191">
        <f>SUMIF($AD76:$AD79,$AD75,BB76:BB79)</f>
        <v>0</v>
      </c>
      <c r="BC75" s="1808"/>
      <c r="BD75" s="1304"/>
      <c r="BE75" s="1304"/>
      <c r="BF75" s="1018" t="s">
        <v>1531</v>
      </c>
      <c r="BG75" s="1018"/>
      <c r="BH75" s="1018"/>
      <c r="BI75" s="1810"/>
      <c r="BJ75" s="1338"/>
      <c r="BK75" s="1338"/>
    </row>
    <row s="1834" customFormat="1" customHeight="1" ht="12.75" hidden="1">
      <c r="A76" s="1379"/>
      <c r="B76" s="1641"/>
      <c r="C76" s="1379"/>
      <c r="D76" s="1379"/>
      <c r="E76" s="630">
        <v>15</v>
      </c>
      <c r="F76" s="1387" cm="1" t="str">
        <f t="array" ref="F76:F76">OFFSET(E76,-1,1)</f>
        <v>1</v>
      </c>
      <c r="G76" s="1379"/>
      <c r="H76" s="1379"/>
      <c r="I76" s="1379"/>
      <c r="J76" s="1379"/>
      <c r="K76" s="1379"/>
      <c r="L76" s="1379"/>
      <c r="M76" s="1379"/>
      <c r="N76" s="1379"/>
      <c r="O76" s="1379"/>
      <c r="P76" s="1379"/>
      <c r="Q76" s="1379"/>
      <c r="R76" s="1379"/>
      <c r="S76" s="1379"/>
      <c r="T76" s="1356">
        <f>AND(F76&gt;0,Y76&gt;0)</f>
        <v>0</v>
      </c>
      <c r="U76" s="1304"/>
      <c r="V76" s="1304"/>
      <c r="W76" s="849" t="s">
        <v>174</v>
      </c>
      <c r="X76" s="1385"/>
      <c r="Y76" s="1596">
        <v>0</v>
      </c>
      <c r="Z76" s="1385"/>
      <c r="AA76" s="1687" t="s">
        <v>175</v>
      </c>
      <c r="AB76" s="1604" t="str">
        <f>"2.3."&amp;Y76</f>
        <v>2.3.0</v>
      </c>
      <c r="AC76" s="2860"/>
      <c r="AD76" s="1564" t="s">
        <v>1514</v>
      </c>
      <c r="AE76" s="2846"/>
      <c r="AF76" s="2846"/>
      <c r="AG76" s="2846"/>
      <c r="AH76" s="2846"/>
      <c r="AI76" s="2846"/>
      <c r="AJ76" s="2846"/>
      <c r="AK76" s="2846"/>
      <c r="AL76" s="2846"/>
      <c r="AM76" s="2846"/>
      <c r="AN76" s="2846"/>
      <c r="AO76" s="2846"/>
      <c r="AP76" s="2846"/>
      <c r="AQ76" s="2846"/>
      <c r="AR76" s="2846"/>
      <c r="AS76" s="2846"/>
      <c r="AT76" s="2846"/>
      <c r="AU76" s="2846"/>
      <c r="AV76" s="2846"/>
      <c r="AW76" s="2846"/>
      <c r="AX76" s="2846"/>
      <c r="AY76" s="2846"/>
      <c r="AZ76" s="2846"/>
      <c r="BA76" s="2846"/>
      <c r="BB76" s="2846"/>
      <c r="BC76" s="2836"/>
      <c r="BD76" s="1304"/>
      <c r="BE76" s="1304"/>
      <c r="BF76" s="1289" t="s">
        <v>1532</v>
      </c>
      <c r="BG76" s="1289" t="s">
        <v>1533</v>
      </c>
      <c r="BH76" s="1289" cm="1" t="str">
        <f t="array" ref="BH76:BH76">AC76</f>
        <v>0</v>
      </c>
      <c r="BI76" s="1811" cm="1" t="str">
        <f t="array" ref="BI76:BI76">AD77</f>
        <v>0</v>
      </c>
      <c r="BJ76" s="1224"/>
      <c r="BK76" s="1380" t="b">
        <v>1</v>
      </c>
    </row>
    <row s="1834" customFormat="1" customHeight="1" ht="12.75" hidden="1">
      <c r="A77" s="1379"/>
      <c r="B77" s="1641"/>
      <c r="C77" s="1379"/>
      <c r="D77" s="1379"/>
      <c r="E77" s="630">
        <v>15</v>
      </c>
      <c r="F77" s="1387" cm="1" t="str">
        <f t="array" ref="F77:F77">OFFSET(E77,-1,1)</f>
        <v>1</v>
      </c>
      <c r="G77" s="1379"/>
      <c r="H77" s="1379"/>
      <c r="I77" s="1379"/>
      <c r="J77" s="1379"/>
      <c r="K77" s="1379"/>
      <c r="L77" s="1379"/>
      <c r="M77" s="1379"/>
      <c r="N77" s="1379"/>
      <c r="O77" s="1379"/>
      <c r="P77" s="1379"/>
      <c r="Q77" s="1379"/>
      <c r="R77" s="1379"/>
      <c r="S77" s="1379"/>
      <c r="T77" s="1356" cm="1" t="str">
        <f t="array" ref="T77:T77">T76</f>
        <v>false</v>
      </c>
      <c r="U77" s="1379"/>
      <c r="V77" s="1388"/>
      <c r="W77" s="1379"/>
      <c r="X77" s="1385"/>
      <c r="Y77" s="1596"/>
      <c r="Z77" s="1385"/>
      <c r="AA77" s="1687"/>
      <c r="AB77" s="1604" t="str">
        <f>AB76&amp;".1"</f>
        <v>2.3.0.1</v>
      </c>
      <c r="AC77" s="1091" t="s">
        <v>1520</v>
      </c>
      <c r="AD77" s="2867"/>
      <c r="AE77" s="2846"/>
      <c r="AF77" s="2846"/>
      <c r="AG77" s="2846"/>
      <c r="AH77" s="2846"/>
      <c r="AI77" s="2846"/>
      <c r="AJ77" s="2846"/>
      <c r="AK77" s="2846"/>
      <c r="AL77" s="2846"/>
      <c r="AM77" s="2846"/>
      <c r="AN77" s="2846"/>
      <c r="AO77" s="2846"/>
      <c r="AP77" s="2846"/>
      <c r="AQ77" s="2846"/>
      <c r="AR77" s="2846"/>
      <c r="AS77" s="2846"/>
      <c r="AT77" s="2846"/>
      <c r="AU77" s="2846"/>
      <c r="AV77" s="2846"/>
      <c r="AW77" s="2846"/>
      <c r="AX77" s="2846"/>
      <c r="AY77" s="2846"/>
      <c r="AZ77" s="2846"/>
      <c r="BA77" s="2846"/>
      <c r="BB77" s="2846"/>
      <c r="BC77" s="2836"/>
      <c r="BD77" s="1304"/>
      <c r="BE77" s="1304"/>
      <c r="BF77" s="1289" t="s">
        <v>1522</v>
      </c>
      <c r="BG77" s="1289" t="s">
        <v>1533</v>
      </c>
      <c r="BH77" s="1289" cm="1" t="str">
        <f t="array" ref="BH77:BH77">BH76</f>
        <v>0</v>
      </c>
      <c r="BI77" s="1811" cm="1" t="str">
        <f t="array" ref="BI77:BI77">BI76</f>
        <v>0</v>
      </c>
      <c r="BJ77" s="1224"/>
      <c r="BK77" s="1380"/>
    </row>
    <row s="1834" customFormat="1" customHeight="1" ht="12.75" hidden="1">
      <c r="A78" s="1379"/>
      <c r="B78" s="1641"/>
      <c r="C78" s="1379"/>
      <c r="D78" s="1379"/>
      <c r="E78" s="630">
        <v>15</v>
      </c>
      <c r="F78" s="1387" cm="1" t="str">
        <f t="array" ref="F78:F78">OFFSET(E78,-1,1)</f>
        <v>1</v>
      </c>
      <c r="G78" s="1379"/>
      <c r="H78" s="1379"/>
      <c r="I78" s="1379"/>
      <c r="J78" s="1379"/>
      <c r="K78" s="1379"/>
      <c r="L78" s="1379"/>
      <c r="M78" s="1379"/>
      <c r="N78" s="1379"/>
      <c r="O78" s="1379"/>
      <c r="P78" s="1379"/>
      <c r="Q78" s="1379"/>
      <c r="R78" s="1379"/>
      <c r="S78" s="1379"/>
      <c r="T78" s="1356" cm="1" t="str">
        <f t="array" ref="T78:T78">T77</f>
        <v>false</v>
      </c>
      <c r="U78" s="1379"/>
      <c r="V78" s="1388"/>
      <c r="W78" s="1379"/>
      <c r="X78" s="1385"/>
      <c r="Y78" s="1596"/>
      <c r="Z78" s="1385"/>
      <c r="AA78" s="1687"/>
      <c r="AB78" s="1604" t="str">
        <f>AB76&amp;".2"</f>
        <v>2.3.0.2</v>
      </c>
      <c r="AC78" s="1091" t="s">
        <v>1534</v>
      </c>
      <c r="AD78" s="1578" t="s">
        <v>1524</v>
      </c>
      <c r="AE78" s="2846"/>
      <c r="AF78" s="2846"/>
      <c r="AG78" s="2846"/>
      <c r="AH78" s="2846"/>
      <c r="AI78" s="2846"/>
      <c r="AJ78" s="2846"/>
      <c r="AK78" s="2846"/>
      <c r="AL78" s="2846"/>
      <c r="AM78" s="2846"/>
      <c r="AN78" s="2846"/>
      <c r="AO78" s="2846"/>
      <c r="AP78" s="2846"/>
      <c r="AQ78" s="2846"/>
      <c r="AR78" s="2846"/>
      <c r="AS78" s="2846"/>
      <c r="AT78" s="2846"/>
      <c r="AU78" s="2846"/>
      <c r="AV78" s="2846"/>
      <c r="AW78" s="2846"/>
      <c r="AX78" s="2846"/>
      <c r="AY78" s="2846"/>
      <c r="AZ78" s="2846"/>
      <c r="BA78" s="2846"/>
      <c r="BB78" s="2846"/>
      <c r="BC78" s="2836"/>
      <c r="BD78" s="1304"/>
      <c r="BE78" s="1304"/>
      <c r="BF78" s="1289" t="s">
        <v>1525</v>
      </c>
      <c r="BG78" s="1289" t="s">
        <v>1533</v>
      </c>
      <c r="BH78" s="1289" cm="1" t="str">
        <f t="array" ref="BH78:BH78">BH77</f>
        <v>0</v>
      </c>
      <c r="BI78" s="1811" cm="1" t="str">
        <f t="array" ref="BI78:BI78">BI77</f>
        <v>0</v>
      </c>
      <c r="BJ78" s="1224"/>
      <c r="BK78" s="1380"/>
    </row>
    <row s="1834" customFormat="1" customHeight="1" ht="12.75">
      <c r="A79" s="1379"/>
      <c r="B79" s="1641"/>
      <c r="C79" s="1379"/>
      <c r="D79" s="1379"/>
      <c r="E79" s="630">
        <v>15</v>
      </c>
      <c r="F79" s="1387" cm="1" t="str">
        <f t="array" ref="F79:F79">OFFSET(E79,-1,1)</f>
        <v>1</v>
      </c>
      <c r="G79" s="1379"/>
      <c r="H79" s="1379"/>
      <c r="I79" s="1379"/>
      <c r="J79" s="1379"/>
      <c r="K79" s="1379"/>
      <c r="L79" s="1379"/>
      <c r="M79" s="1379"/>
      <c r="N79" s="1379"/>
      <c r="O79" s="1379"/>
      <c r="P79" s="1379"/>
      <c r="Q79" s="1379"/>
      <c r="R79" s="1379"/>
      <c r="S79" s="1379"/>
      <c r="T79" s="1356">
        <f>F79&gt;0</f>
        <v>1</v>
      </c>
      <c r="U79" s="1379"/>
      <c r="V79" s="1388"/>
      <c r="W79" s="849" t="s">
        <v>1535</v>
      </c>
      <c r="X79" s="1385"/>
      <c r="Y79" s="1379"/>
      <c r="Z79" s="1385"/>
      <c r="AA79" s="1379"/>
      <c r="AB79" s="1689"/>
      <c r="AC79" s="1690" t="s">
        <v>178</v>
      </c>
      <c r="AD79" s="1685"/>
      <c r="AE79" s="1685"/>
      <c r="AF79" s="1685"/>
      <c r="AG79" s="1685"/>
      <c r="AH79" s="1685"/>
      <c r="AI79" s="1685"/>
      <c r="AJ79" s="1685"/>
      <c r="AK79" s="1685"/>
      <c r="AL79" s="1685"/>
      <c r="AM79" s="1685"/>
      <c r="AN79" s="1685"/>
      <c r="AO79" s="1685"/>
      <c r="AP79" s="1685"/>
      <c r="AQ79" s="1685"/>
      <c r="AR79" s="1685"/>
      <c r="AS79" s="1685"/>
      <c r="AT79" s="1685"/>
      <c r="AU79" s="1685"/>
      <c r="AV79" s="1685"/>
      <c r="AW79" s="1685"/>
      <c r="AX79" s="1685"/>
      <c r="AY79" s="1685"/>
      <c r="AZ79" s="1685"/>
      <c r="BA79" s="1685"/>
      <c r="BB79" s="1685"/>
      <c r="BC79" s="1685"/>
      <c r="BD79" s="1304"/>
      <c r="BE79" s="1304"/>
      <c r="BF79" s="1289"/>
      <c r="BG79" s="1289"/>
      <c r="BH79" s="1289"/>
      <c r="BI79" s="1811"/>
      <c r="BJ79" s="1224" t="s">
        <v>1533</v>
      </c>
      <c r="BK79" s="1380"/>
    </row>
    <row s="1834" customFormat="1" customHeight="1" ht="22.5">
      <c r="A80" s="1379"/>
      <c r="B80" s="1641"/>
      <c r="C80" s="1379"/>
      <c r="D80" s="1379"/>
      <c r="E80" s="630">
        <v>23.25</v>
      </c>
      <c r="F80" s="1387" cm="1" t="str">
        <f t="array" ref="F80:F80">OFFSET(E80,-1,1)</f>
        <v>1</v>
      </c>
      <c r="G80" s="1379"/>
      <c r="H80" s="1304"/>
      <c r="I80" s="1312" t="s">
        <v>1536</v>
      </c>
      <c r="J80" s="1379"/>
      <c r="K80" s="1379"/>
      <c r="L80" s="1379"/>
      <c r="M80" s="1379"/>
      <c r="N80" s="1379"/>
      <c r="O80" s="1379"/>
      <c r="P80" s="1379"/>
      <c r="Q80" s="1379"/>
      <c r="R80" s="1379"/>
      <c r="S80" s="1379"/>
      <c r="T80" s="1356" cm="1" t="str">
        <f t="array" ref="T80:T80">T79</f>
        <v>true</v>
      </c>
      <c r="U80" s="1379"/>
      <c r="V80" s="1388"/>
      <c r="W80" s="1379"/>
      <c r="X80" s="1385"/>
      <c r="Y80" s="1379"/>
      <c r="Z80" s="1385"/>
      <c r="AA80" s="1379"/>
      <c r="AB80" s="145" t="s">
        <v>289</v>
      </c>
      <c r="AC80" s="1089" t="s">
        <v>1537</v>
      </c>
      <c r="AD80" s="1564" t="s">
        <v>1514</v>
      </c>
      <c r="AE80" s="191">
        <f>AE81+AE82</f>
        <v>0</v>
      </c>
      <c r="AF80" s="191">
        <f>AF81+AF82</f>
        <v>0</v>
      </c>
      <c r="AG80" s="191">
        <f>AG81+AG82</f>
        <v>0</v>
      </c>
      <c r="AH80" s="191">
        <f>AH81+AH82</f>
        <v>0</v>
      </c>
      <c r="AI80" s="191">
        <f>AI81+AI82</f>
        <v>3087.352593</v>
      </c>
      <c r="AJ80" s="191">
        <f>AJ81+AJ82</f>
        <v>3178.73823</v>
      </c>
      <c r="AK80" s="191">
        <f>AK81+AK82</f>
        <v>3272.82888</v>
      </c>
      <c r="AL80" s="191">
        <f>AL81+AL82</f>
        <v>3369.70462</v>
      </c>
      <c r="AM80" s="191">
        <f>AM81+AM82</f>
        <v>3469.44787</v>
      </c>
      <c r="AN80" s="191">
        <f>AN81+AN82</f>
        <v>0</v>
      </c>
      <c r="AO80" s="191">
        <f>AO81+AO82</f>
        <v>0</v>
      </c>
      <c r="AP80" s="191">
        <f>AP81+AP82</f>
        <v>0</v>
      </c>
      <c r="AQ80" s="191">
        <f>AQ81+AQ82</f>
        <v>0</v>
      </c>
      <c r="AR80" s="191">
        <f>AR81+AR82</f>
        <v>0</v>
      </c>
      <c r="AS80" s="191">
        <f>AS81+AS82</f>
        <v>3087.352593</v>
      </c>
      <c r="AT80" s="191">
        <f>AT81+AT82</f>
        <v>3178.73823</v>
      </c>
      <c r="AU80" s="191">
        <f>AU81+AU82</f>
        <v>3272.82888</v>
      </c>
      <c r="AV80" s="191">
        <f>AV81+AV82</f>
        <v>3369.70462</v>
      </c>
      <c r="AW80" s="191">
        <f>AW81+AW82</f>
        <v>3469.44787</v>
      </c>
      <c r="AX80" s="191">
        <f>AX81+AX82</f>
        <v>0</v>
      </c>
      <c r="AY80" s="191">
        <f>AY81+AY82</f>
        <v>0</v>
      </c>
      <c r="AZ80" s="191">
        <f>AZ81+AZ82</f>
        <v>0</v>
      </c>
      <c r="BA80" s="191">
        <f>BA81+BA82</f>
        <v>0</v>
      </c>
      <c r="BB80" s="191">
        <f>BB81+BB82</f>
        <v>0</v>
      </c>
      <c r="BC80" s="1808" t="s">
        <v>1561</v>
      </c>
      <c r="BD80" s="1304"/>
      <c r="BE80" s="1304"/>
      <c r="BF80" s="1289" t="s">
        <v>1538</v>
      </c>
      <c r="BG80" s="1289"/>
      <c r="BH80" s="1289"/>
      <c r="BI80" s="1811"/>
      <c r="BJ80" s="1224"/>
      <c r="BK80" s="1380"/>
    </row>
    <row s="1834" customFormat="1" customHeight="1" ht="75.75">
      <c r="A81" s="1379"/>
      <c r="B81" s="1641"/>
      <c r="C81" s="1379"/>
      <c r="D81" s="1379"/>
      <c r="E81" s="630">
        <v>33.75</v>
      </c>
      <c r="F81" s="1387" cm="1" t="str">
        <f t="array" ref="F81:F81">OFFSET(E81,-1,1)</f>
        <v>1</v>
      </c>
      <c r="G81" s="1379"/>
      <c r="H81" s="1379"/>
      <c r="I81" s="1379"/>
      <c r="J81" s="1379"/>
      <c r="K81" s="1379"/>
      <c r="L81" s="1379"/>
      <c r="M81" s="1379"/>
      <c r="N81" s="1379"/>
      <c r="O81" s="1379"/>
      <c r="P81" s="1379"/>
      <c r="Q81" s="1379"/>
      <c r="R81" s="1379"/>
      <c r="S81" s="1379"/>
      <c r="T81" s="1356" cm="1" t="str">
        <f t="array" ref="T81:T81">T80</f>
        <v>true</v>
      </c>
      <c r="U81" s="1379"/>
      <c r="V81" s="1388"/>
      <c r="W81" s="1379"/>
      <c r="X81" s="1385"/>
      <c r="Y81" s="1379"/>
      <c r="Z81" s="1385"/>
      <c r="AA81" s="1379"/>
      <c r="AB81" s="145" t="s">
        <v>1264</v>
      </c>
      <c r="AC81" s="1089" t="s">
        <v>1539</v>
      </c>
      <c r="AD81" s="1564" t="s">
        <v>1514</v>
      </c>
      <c r="AE81" s="1096"/>
      <c r="AF81" s="1096"/>
      <c r="AG81" s="1096"/>
      <c r="AH81" s="1096"/>
      <c r="AI81" s="1096">
        <v>3087.352593</v>
      </c>
      <c r="AJ81" s="1096">
        <v>3178.73823</v>
      </c>
      <c r="AK81" s="1096">
        <v>3272.82888</v>
      </c>
      <c r="AL81" s="1096">
        <v>3369.70462</v>
      </c>
      <c r="AM81" s="1096">
        <v>3469.44787</v>
      </c>
      <c r="AN81" s="2846"/>
      <c r="AO81" s="2846"/>
      <c r="AP81" s="2846"/>
      <c r="AQ81" s="2846"/>
      <c r="AR81" s="2846"/>
      <c r="AS81" s="1096">
        <v>3087.352593</v>
      </c>
      <c r="AT81" s="1096">
        <v>3178.73823</v>
      </c>
      <c r="AU81" s="1096">
        <v>3272.82888</v>
      </c>
      <c r="AV81" s="1096">
        <v>3369.70462</v>
      </c>
      <c r="AW81" s="1096">
        <v>3469.44787</v>
      </c>
      <c r="AX81" s="2846"/>
      <c r="AY81" s="2846"/>
      <c r="AZ81" s="2846"/>
      <c r="BA81" s="2846"/>
      <c r="BB81" s="2846"/>
      <c r="BC81" s="1808" t="s">
        <v>1563</v>
      </c>
      <c r="BD81" s="1304"/>
      <c r="BE81" s="1304"/>
      <c r="BF81" s="1289" t="s">
        <v>1540</v>
      </c>
      <c r="BG81" s="1289"/>
      <c r="BH81" s="1289"/>
      <c r="BI81" s="1811"/>
      <c r="BJ81" s="1224"/>
      <c r="BK81" s="1380"/>
    </row>
    <row s="1834" customFormat="1" customHeight="1" ht="0">
      <c r="A82" s="1379"/>
      <c r="B82" s="1641"/>
      <c r="C82" s="1379"/>
      <c r="D82" s="1379"/>
      <c r="E82" s="630">
        <v>45</v>
      </c>
      <c r="F82" s="1387" cm="1" t="str">
        <f t="array" ref="F82:F82">OFFSET(E82,-1,1)</f>
        <v>1</v>
      </c>
      <c r="G82" s="1379"/>
      <c r="H82" s="1379"/>
      <c r="I82" s="1379"/>
      <c r="J82" s="1379"/>
      <c r="K82" s="1379"/>
      <c r="L82" s="1379"/>
      <c r="M82" s="1379"/>
      <c r="N82" s="1379"/>
      <c r="O82" s="1379"/>
      <c r="P82" s="1379"/>
      <c r="Q82" s="1379"/>
      <c r="R82" s="1379"/>
      <c r="S82" s="1379"/>
      <c r="T82" s="1356" cm="1" t="str">
        <f t="array" ref="T82:T82">T81</f>
        <v>true</v>
      </c>
      <c r="U82" s="1379"/>
      <c r="V82" s="1388"/>
      <c r="W82" s="1379"/>
      <c r="X82" s="1385"/>
      <c r="Y82" s="1379"/>
      <c r="Z82" s="1385"/>
      <c r="AA82" s="1379"/>
      <c r="AB82" s="145" t="s">
        <v>1268</v>
      </c>
      <c r="AC82" s="1089" t="s">
        <v>1541</v>
      </c>
      <c r="AD82" s="1564" t="s">
        <v>1514</v>
      </c>
      <c r="AE82" s="191">
        <f>SUMIF($AD83:$AD86,$AD82,AE83:AE86)</f>
        <v>0</v>
      </c>
      <c r="AF82" s="191">
        <f>SUMIF($AD83:$AD86,$AD82,AF83:AF86)</f>
        <v>0</v>
      </c>
      <c r="AG82" s="191">
        <f>SUMIF($AD83:$AD86,$AD82,AG83:AG86)</f>
        <v>0</v>
      </c>
      <c r="AH82" s="191">
        <f>SUMIF($AD83:$AD86,$AD82,AH83:AH86)</f>
        <v>0</v>
      </c>
      <c r="AI82" s="191">
        <f>SUMIF($AD83:$AD86,$AD82,AI83:AI86)</f>
        <v>0</v>
      </c>
      <c r="AJ82" s="191">
        <f>SUMIF($AD83:$AD86,$AD82,AJ83:AJ86)</f>
        <v>0</v>
      </c>
      <c r="AK82" s="191">
        <f>SUMIF($AD83:$AD86,$AD82,AK83:AK86)</f>
        <v>0</v>
      </c>
      <c r="AL82" s="191">
        <f>SUMIF($AD83:$AD86,$AD82,AL83:AL86)</f>
        <v>0</v>
      </c>
      <c r="AM82" s="191">
        <f>SUMIF($AD83:$AD86,$AD82,AM83:AM86)</f>
        <v>0</v>
      </c>
      <c r="AN82" s="191">
        <f>SUMIF($AD83:$AD86,$AD82,AN83:AN86)</f>
        <v>0</v>
      </c>
      <c r="AO82" s="191">
        <f>SUMIF($AD83:$AD86,$AD82,AO83:AO86)</f>
        <v>0</v>
      </c>
      <c r="AP82" s="191">
        <f>SUMIF($AD83:$AD86,$AD82,AP83:AP86)</f>
        <v>0</v>
      </c>
      <c r="AQ82" s="191">
        <f>SUMIF($AD83:$AD86,$AD82,AQ83:AQ86)</f>
        <v>0</v>
      </c>
      <c r="AR82" s="191">
        <f>SUMIF($AD83:$AD86,$AD82,AR83:AR86)</f>
        <v>0</v>
      </c>
      <c r="AS82" s="191">
        <f>SUMIF($AD83:$AD86,$AD82,AS83:AS86)</f>
        <v>0</v>
      </c>
      <c r="AT82" s="191">
        <f>SUMIF($AD83:$AD86,$AD82,AT83:AT86)</f>
        <v>0</v>
      </c>
      <c r="AU82" s="191">
        <f>SUMIF($AD83:$AD86,$AD82,AU83:AU86)</f>
        <v>0</v>
      </c>
      <c r="AV82" s="191">
        <f>SUMIF($AD83:$AD86,$AD82,AV83:AV86)</f>
        <v>0</v>
      </c>
      <c r="AW82" s="191">
        <f>SUMIF($AD83:$AD86,$AD82,AW83:AW86)</f>
        <v>0</v>
      </c>
      <c r="AX82" s="191">
        <f>SUMIF($AD83:$AD86,$AD82,AX83:AX86)</f>
        <v>0</v>
      </c>
      <c r="AY82" s="191">
        <f>SUMIF($AD83:$AD86,$AD82,AY83:AY86)</f>
        <v>0</v>
      </c>
      <c r="AZ82" s="191">
        <f>SUMIF($AD83:$AD86,$AD82,AZ83:AZ86)</f>
        <v>0</v>
      </c>
      <c r="BA82" s="191">
        <f>SUMIF($AD83:$AD86,$AD82,BA83:BA86)</f>
        <v>0</v>
      </c>
      <c r="BB82" s="191">
        <f>SUMIF($AD83:$AD86,$AD82,BB83:BB86)</f>
        <v>0</v>
      </c>
      <c r="BC82" s="1808"/>
      <c r="BD82" s="1304"/>
      <c r="BE82" s="1304"/>
      <c r="BF82" s="1289" t="s">
        <v>1542</v>
      </c>
      <c r="BG82" s="1289"/>
      <c r="BH82" s="1289"/>
      <c r="BI82" s="1811"/>
      <c r="BJ82" s="1224"/>
      <c r="BK82" s="1380"/>
    </row>
    <row s="1834" customFormat="1" customHeight="1" ht="0" hidden="1">
      <c r="A83" s="1379"/>
      <c r="B83" s="1641"/>
      <c r="C83" s="1379"/>
      <c r="D83" s="1379"/>
      <c r="E83" s="630">
        <v>15</v>
      </c>
      <c r="F83" s="1387" cm="1" t="str">
        <f t="array" ref="F83:F83">OFFSET(E83,-1,1)</f>
        <v>1</v>
      </c>
      <c r="G83" s="1379"/>
      <c r="H83" s="1379"/>
      <c r="I83" s="1379"/>
      <c r="J83" s="1379"/>
      <c r="K83" s="1379"/>
      <c r="L83" s="1379"/>
      <c r="M83" s="1379"/>
      <c r="N83" s="1379"/>
      <c r="O83" s="1379"/>
      <c r="P83" s="1379"/>
      <c r="Q83" s="1379"/>
      <c r="R83" s="1379"/>
      <c r="S83" s="1379"/>
      <c r="T83" s="1356">
        <f>AND(F83&gt;0,Y83&gt;0)</f>
        <v>0</v>
      </c>
      <c r="U83" s="1379"/>
      <c r="V83" s="1388"/>
      <c r="W83" s="849" t="s">
        <v>174</v>
      </c>
      <c r="X83" s="1385"/>
      <c r="Y83" s="1596">
        <v>0</v>
      </c>
      <c r="Z83" s="1385"/>
      <c r="AA83" s="1687" t="s">
        <v>175</v>
      </c>
      <c r="AB83" s="1604" t="str">
        <f>"3.3."&amp;Y83</f>
        <v>3.3.0</v>
      </c>
      <c r="AC83" s="2860"/>
      <c r="AD83" s="1564" t="s">
        <v>1514</v>
      </c>
      <c r="AE83" s="2846"/>
      <c r="AF83" s="2846"/>
      <c r="AG83" s="2846"/>
      <c r="AH83" s="2846"/>
      <c r="AI83" s="2846"/>
      <c r="AJ83" s="2846"/>
      <c r="AK83" s="2846"/>
      <c r="AL83" s="2846"/>
      <c r="AM83" s="2846"/>
      <c r="AN83" s="2846"/>
      <c r="AO83" s="2846"/>
      <c r="AP83" s="2846"/>
      <c r="AQ83" s="2846"/>
      <c r="AR83" s="2846"/>
      <c r="AS83" s="2846"/>
      <c r="AT83" s="2846"/>
      <c r="AU83" s="2846"/>
      <c r="AV83" s="2846"/>
      <c r="AW83" s="2846"/>
      <c r="AX83" s="2846"/>
      <c r="AY83" s="2846"/>
      <c r="AZ83" s="2846"/>
      <c r="BA83" s="2846"/>
      <c r="BB83" s="2846"/>
      <c r="BC83" s="2836"/>
      <c r="BD83" s="1304"/>
      <c r="BE83" s="1304"/>
      <c r="BF83" s="1289" t="s">
        <v>1543</v>
      </c>
      <c r="BG83" s="1289" t="s">
        <v>1544</v>
      </c>
      <c r="BH83" s="1289" cm="1" t="str">
        <f t="array" ref="BH83:BH83">AC83</f>
        <v>0</v>
      </c>
      <c r="BI83" s="1811" cm="1" t="str">
        <f t="array" ref="BI83:BI83">AD84</f>
        <v>0</v>
      </c>
      <c r="BJ83" s="1224"/>
      <c r="BK83" s="1380" t="b">
        <v>1</v>
      </c>
    </row>
    <row s="1834" customFormat="1" customHeight="1" ht="0" hidden="1">
      <c r="A84" s="1379"/>
      <c r="B84" s="1641"/>
      <c r="C84" s="1379"/>
      <c r="D84" s="1379"/>
      <c r="E84" s="630">
        <v>15</v>
      </c>
      <c r="F84" s="1387" cm="1" t="str">
        <f t="array" ref="F84:F84">OFFSET(E84,-1,1)</f>
        <v>1</v>
      </c>
      <c r="G84" s="1379"/>
      <c r="H84" s="1379"/>
      <c r="I84" s="1379"/>
      <c r="J84" s="1379"/>
      <c r="K84" s="1379"/>
      <c r="L84" s="1379"/>
      <c r="M84" s="1379"/>
      <c r="N84" s="1379"/>
      <c r="O84" s="1379"/>
      <c r="P84" s="1379"/>
      <c r="Q84" s="1379"/>
      <c r="R84" s="1379"/>
      <c r="S84" s="1379"/>
      <c r="T84" s="1356" cm="1" t="str">
        <f t="array" ref="T84:T84">T83</f>
        <v>false</v>
      </c>
      <c r="U84" s="1379"/>
      <c r="V84" s="1388"/>
      <c r="W84" s="1379"/>
      <c r="X84" s="1385"/>
      <c r="Y84" s="1596"/>
      <c r="Z84" s="1385"/>
      <c r="AA84" s="1687"/>
      <c r="AB84" s="1604" t="str">
        <f>AB83&amp;".1"</f>
        <v>3.3.0.1</v>
      </c>
      <c r="AC84" s="1091" t="s">
        <v>1520</v>
      </c>
      <c r="AD84" s="2867"/>
      <c r="AE84" s="2846"/>
      <c r="AF84" s="2846"/>
      <c r="AG84" s="2846"/>
      <c r="AH84" s="2846"/>
      <c r="AI84" s="2846"/>
      <c r="AJ84" s="2846"/>
      <c r="AK84" s="2846"/>
      <c r="AL84" s="2846"/>
      <c r="AM84" s="2846"/>
      <c r="AN84" s="2846"/>
      <c r="AO84" s="2846"/>
      <c r="AP84" s="2846"/>
      <c r="AQ84" s="2846"/>
      <c r="AR84" s="2846"/>
      <c r="AS84" s="2846"/>
      <c r="AT84" s="2846"/>
      <c r="AU84" s="2846"/>
      <c r="AV84" s="2846"/>
      <c r="AW84" s="2846"/>
      <c r="AX84" s="2846"/>
      <c r="AY84" s="2846"/>
      <c r="AZ84" s="2846"/>
      <c r="BA84" s="2846"/>
      <c r="BB84" s="2846"/>
      <c r="BC84" s="2836"/>
      <c r="BD84" s="1304"/>
      <c r="BE84" s="1304"/>
      <c r="BF84" s="1289" t="s">
        <v>1522</v>
      </c>
      <c r="BG84" s="1289" t="s">
        <v>1544</v>
      </c>
      <c r="BH84" s="1289" cm="1" t="str">
        <f t="array" ref="BH84:BH84">BH83</f>
        <v>0</v>
      </c>
      <c r="BI84" s="1811" cm="1" t="str">
        <f t="array" ref="BI84:BI84">BI83</f>
        <v>0</v>
      </c>
      <c r="BJ84" s="1224"/>
      <c r="BK84" s="1380"/>
    </row>
    <row s="1834" customFormat="1" customHeight="1" ht="0" hidden="1">
      <c r="A85" s="1379"/>
      <c r="B85" s="1641"/>
      <c r="C85" s="1379"/>
      <c r="D85" s="1379"/>
      <c r="E85" s="630">
        <v>15</v>
      </c>
      <c r="F85" s="1387" cm="1" t="str">
        <f t="array" ref="F85:F85">OFFSET(E85,-1,1)</f>
        <v>1</v>
      </c>
      <c r="G85" s="1379"/>
      <c r="H85" s="1379"/>
      <c r="I85" s="1379"/>
      <c r="J85" s="1379"/>
      <c r="K85" s="1379"/>
      <c r="L85" s="1379"/>
      <c r="M85" s="1379"/>
      <c r="N85" s="1379"/>
      <c r="O85" s="1379"/>
      <c r="P85" s="1379"/>
      <c r="Q85" s="1379"/>
      <c r="R85" s="1379"/>
      <c r="S85" s="1379"/>
      <c r="T85" s="1356" cm="1" t="str">
        <f t="array" ref="T85:T85">T84</f>
        <v>false</v>
      </c>
      <c r="U85" s="1379"/>
      <c r="V85" s="1388"/>
      <c r="W85" s="1379"/>
      <c r="X85" s="1385"/>
      <c r="Y85" s="1596"/>
      <c r="Z85" s="1385"/>
      <c r="AA85" s="1687"/>
      <c r="AB85" s="1604" t="str">
        <f>AB83&amp;".2"</f>
        <v>3.3.0.2</v>
      </c>
      <c r="AC85" s="1091" t="s">
        <v>1534</v>
      </c>
      <c r="AD85" s="1578" t="s">
        <v>1524</v>
      </c>
      <c r="AE85" s="2846"/>
      <c r="AF85" s="2846"/>
      <c r="AG85" s="2846"/>
      <c r="AH85" s="2846"/>
      <c r="AI85" s="2846"/>
      <c r="AJ85" s="2846"/>
      <c r="AK85" s="2846"/>
      <c r="AL85" s="2846"/>
      <c r="AM85" s="2846"/>
      <c r="AN85" s="2846"/>
      <c r="AO85" s="2846"/>
      <c r="AP85" s="2846"/>
      <c r="AQ85" s="2846"/>
      <c r="AR85" s="2846"/>
      <c r="AS85" s="2846"/>
      <c r="AT85" s="2846"/>
      <c r="AU85" s="2846"/>
      <c r="AV85" s="2846"/>
      <c r="AW85" s="2846"/>
      <c r="AX85" s="2846"/>
      <c r="AY85" s="2846"/>
      <c r="AZ85" s="2846"/>
      <c r="BA85" s="2846"/>
      <c r="BB85" s="2846"/>
      <c r="BC85" s="2836"/>
      <c r="BD85" s="1304"/>
      <c r="BE85" s="1304"/>
      <c r="BF85" s="1289" t="s">
        <v>1525</v>
      </c>
      <c r="BG85" s="1289" t="s">
        <v>1544</v>
      </c>
      <c r="BH85" s="1289" cm="1" t="str">
        <f t="array" ref="BH85:BH85">BH84</f>
        <v>0</v>
      </c>
      <c r="BI85" s="1811" cm="1" t="str">
        <f t="array" ref="BI85:BI85">BI84</f>
        <v>0</v>
      </c>
      <c r="BJ85" s="1224"/>
      <c r="BK85" s="1380"/>
    </row>
    <row s="1426" customFormat="1" customHeight="1" ht="0">
      <c r="A86" s="1379"/>
      <c r="B86" s="1641"/>
      <c r="C86" s="1379"/>
      <c r="D86" s="1379"/>
      <c r="E86" s="630">
        <v>15</v>
      </c>
      <c r="F86" s="1387" cm="1" t="str">
        <f t="array" ref="F86:F86">OFFSET(E86,-1,1)</f>
        <v>1</v>
      </c>
      <c r="G86" s="1379"/>
      <c r="H86" s="1379"/>
      <c r="I86" s="1379"/>
      <c r="J86" s="1379"/>
      <c r="K86" s="1379"/>
      <c r="L86" s="1379"/>
      <c r="M86" s="1379"/>
      <c r="N86" s="1379"/>
      <c r="O86" s="1379"/>
      <c r="P86" s="1379"/>
      <c r="Q86" s="1379"/>
      <c r="R86" s="1379"/>
      <c r="S86" s="1379"/>
      <c r="T86" s="1356">
        <f>F86&gt;0</f>
        <v>1</v>
      </c>
      <c r="U86" s="1379"/>
      <c r="V86" s="1388"/>
      <c r="W86" s="849" t="s">
        <v>1545</v>
      </c>
      <c r="X86" s="1385"/>
      <c r="Y86" s="1379"/>
      <c r="Z86" s="1385"/>
      <c r="AA86" s="1379"/>
      <c r="AB86" s="1691"/>
      <c r="AC86" s="1692" t="s">
        <v>178</v>
      </c>
      <c r="AD86" s="1693"/>
      <c r="AE86" s="1693"/>
      <c r="AF86" s="1693"/>
      <c r="AG86" s="1693"/>
      <c r="AH86" s="1693"/>
      <c r="AI86" s="1693"/>
      <c r="AJ86" s="1693"/>
      <c r="AK86" s="1693"/>
      <c r="AL86" s="1693"/>
      <c r="AM86" s="1693"/>
      <c r="AN86" s="1693"/>
      <c r="AO86" s="1693"/>
      <c r="AP86" s="1693"/>
      <c r="AQ86" s="1693"/>
      <c r="AR86" s="1693"/>
      <c r="AS86" s="1693"/>
      <c r="AT86" s="1693"/>
      <c r="AU86" s="1693"/>
      <c r="AV86" s="1693"/>
      <c r="AW86" s="1693"/>
      <c r="AX86" s="1693"/>
      <c r="AY86" s="1693"/>
      <c r="AZ86" s="1693"/>
      <c r="BA86" s="1693"/>
      <c r="BB86" s="1693"/>
      <c r="BC86" s="1693"/>
      <c r="BD86" s="1426"/>
      <c r="BE86" s="1426"/>
      <c r="BF86" s="1289"/>
      <c r="BG86" s="1289"/>
      <c r="BH86" s="1289"/>
      <c r="BI86" s="1811"/>
      <c r="BJ86" s="1224" t="s">
        <v>1544</v>
      </c>
      <c r="BK86" s="1380"/>
    </row>
    <row s="2967" customFormat="1" customHeight="1" ht="14.25">
      <c r="A87" s="1446"/>
      <c r="B87" s="429"/>
      <c r="C87" s="1446"/>
      <c r="D87" s="1446"/>
      <c r="E87" s="630">
        <v>15</v>
      </c>
      <c r="F87" s="349" cm="1" t="str">
        <f t="array" ref="F87:F87">X87</f>
        <v>2</v>
      </c>
      <c r="G87" s="146"/>
      <c r="H87" s="146"/>
      <c r="I87" s="1446"/>
      <c r="J87" s="1446"/>
      <c r="K87" s="1446"/>
      <c r="L87" s="1446"/>
      <c r="M87" s="1446"/>
      <c r="N87" s="1446"/>
      <c r="O87" s="1446"/>
      <c r="P87" s="1446"/>
      <c r="Q87" s="1446"/>
      <c r="R87" s="1446"/>
      <c r="S87" s="1446"/>
      <c r="T87" s="465">
        <f>X87&gt;0</f>
        <v>1</v>
      </c>
      <c r="U87" s="1446"/>
      <c r="V87" s="144" cm="1" t="str">
        <f t="array" ref="V87:V87">'Условные метры'!$AB$35</f>
        <v>Тариф 2 (Водоснабжение) - тариф на питьевую воду (Доп. признак не требуется)</v>
      </c>
      <c r="W87" s="1446"/>
      <c r="X87" s="1543" t="s">
        <v>285</v>
      </c>
      <c r="Y87" s="1446"/>
      <c r="Z87" s="1565"/>
      <c r="AA87" s="1446"/>
      <c r="AB87" s="183" cm="1" t="str">
        <f t="array" ref="AB87:AB87">'Условные метры'!$AB$35</f>
        <v>Тариф 2 (Водоснабжение) - тариф на питьевую воду (Доп. признак не требуется)</v>
      </c>
      <c r="AC87" s="180"/>
      <c r="AD87" s="174"/>
      <c r="AE87" s="174"/>
      <c r="AF87" s="174"/>
      <c r="AG87" s="174"/>
      <c r="AH87" s="174"/>
      <c r="AI87" s="174"/>
      <c r="AJ87" s="174"/>
      <c r="AK87" s="174"/>
      <c r="AL87" s="174"/>
      <c r="AM87" s="174"/>
      <c r="AN87" s="174"/>
      <c r="AO87" s="174"/>
      <c r="AP87" s="174"/>
      <c r="AQ87" s="174"/>
      <c r="AR87" s="174"/>
      <c r="AS87" s="174"/>
      <c r="AT87" s="174"/>
      <c r="AU87" s="174"/>
      <c r="AV87" s="174"/>
      <c r="AW87" s="174"/>
      <c r="AX87" s="174"/>
      <c r="AY87" s="174"/>
      <c r="AZ87" s="174"/>
      <c r="BA87" s="174"/>
      <c r="BB87" s="174"/>
      <c r="BC87" s="174"/>
      <c r="BD87" s="1446"/>
      <c r="BE87" s="1446"/>
      <c r="BF87" s="1013"/>
      <c r="BG87" s="1013"/>
      <c r="BH87" s="1013"/>
      <c r="BI87" s="1446"/>
      <c r="BJ87" s="630"/>
      <c r="BK87" s="630"/>
    </row>
    <row s="1448" customFormat="1" customHeight="1" ht="23.25">
      <c r="A88" s="1812"/>
      <c r="B88" s="429"/>
      <c r="C88" s="1812"/>
      <c r="D88" s="483"/>
      <c r="E88" s="267">
        <v>15</v>
      </c>
      <c r="F88" s="50" cm="1" t="str">
        <f t="array" ref="F88:F88">OFFSET(E88,-1,1)</f>
        <v>2</v>
      </c>
      <c r="G88" s="1812"/>
      <c r="H88" s="146" cm="1" t="str">
        <f t="array" ref="H88:H88">AC88</f>
        <v>Всего по тарифу</v>
      </c>
      <c r="I88" s="1812"/>
      <c r="J88" s="1812"/>
      <c r="K88" s="483" t="str">
        <f>F88&amp;"komm"</f>
        <v>2komm</v>
      </c>
      <c r="L88" s="917" cm="1" t="str">
        <f t="array" ref="L88:L88">BC88</f>
        <v>0</v>
      </c>
      <c r="M88" s="1812"/>
      <c r="N88" s="1812"/>
      <c r="O88" s="1812"/>
      <c r="P88" s="1812"/>
      <c r="Q88" s="1812"/>
      <c r="R88" s="1812"/>
      <c r="S88" s="1812"/>
      <c r="T88" s="465" cm="1" t="str">
        <f t="array" ref="T88:T88">T87</f>
        <v>true</v>
      </c>
      <c r="U88" s="1812"/>
      <c r="V88" s="1812"/>
      <c r="W88" s="1812"/>
      <c r="X88" s="1543"/>
      <c r="Y88" s="1812"/>
      <c r="Z88" s="1565"/>
      <c r="AA88" s="1812"/>
      <c r="AB88" s="145"/>
      <c r="AC88" s="138" t="s">
        <v>1513</v>
      </c>
      <c r="AD88" s="93" t="s">
        <v>1514</v>
      </c>
      <c r="AE88" s="142">
        <f>AE89+AE97+AE104</f>
        <v>0</v>
      </c>
      <c r="AF88" s="142">
        <f>AF89+AF97+AF104</f>
        <v>0</v>
      </c>
      <c r="AG88" s="142">
        <f>AG89+AG97+AG104</f>
        <v>0</v>
      </c>
      <c r="AH88" s="142">
        <f>AH89+AH97+AH104</f>
        <v>0</v>
      </c>
      <c r="AI88" s="142">
        <f>AI89+AI97+AI104</f>
        <v>162.4330588</v>
      </c>
      <c r="AJ88" s="142">
        <f>AJ89+AJ97+AJ104</f>
        <v>167.3189806432</v>
      </c>
      <c r="AK88" s="142">
        <f>AK89+AK97+AK104</f>
        <v>172.343964547642</v>
      </c>
      <c r="AL88" s="142">
        <f>AL89+AL97+AL104</f>
        <v>177.520433834452</v>
      </c>
      <c r="AM88" s="142">
        <f>AM89+AM97+AM104</f>
        <v>182.852980048161</v>
      </c>
      <c r="AN88" s="142">
        <f>AN89+AN97+AN104</f>
        <v>0</v>
      </c>
      <c r="AO88" s="142">
        <f>AO89+AO97+AO104</f>
        <v>0</v>
      </c>
      <c r="AP88" s="142">
        <f>AP89+AP97+AP104</f>
        <v>0</v>
      </c>
      <c r="AQ88" s="142">
        <f>AQ89+AQ97+AQ104</f>
        <v>0</v>
      </c>
      <c r="AR88" s="142">
        <f>AR89+AR97+AR104</f>
        <v>0</v>
      </c>
      <c r="AS88" s="142">
        <f>AS89+AS97+AS104</f>
        <v>162.4330588</v>
      </c>
      <c r="AT88" s="142">
        <f>AT89+AT97+AT104</f>
        <v>167.3189806432</v>
      </c>
      <c r="AU88" s="142">
        <f>AU89+AU97+AU104</f>
        <v>172.343964547642</v>
      </c>
      <c r="AV88" s="142">
        <f>AV89+AV97+AV104</f>
        <v>177.520433834452</v>
      </c>
      <c r="AW88" s="142">
        <f>AW89+AW97+AW104</f>
        <v>182.852980048161</v>
      </c>
      <c r="AX88" s="142">
        <f>AX89+AX97+AX104</f>
        <v>0</v>
      </c>
      <c r="AY88" s="142">
        <f>AY89+AY97+AY104</f>
        <v>0</v>
      </c>
      <c r="AZ88" s="142">
        <f>AZ89+AZ97+AZ104</f>
        <v>0</v>
      </c>
      <c r="BA88" s="142">
        <f>BA89+BA97+BA104</f>
        <v>0</v>
      </c>
      <c r="BB88" s="142">
        <f>BB89+BB97+BB104</f>
        <v>0</v>
      </c>
      <c r="BC88" s="200"/>
      <c r="BD88" s="1812"/>
      <c r="BE88" s="1812"/>
      <c r="BF88" s="1030" t="s">
        <v>1515</v>
      </c>
      <c r="BG88" s="1030"/>
      <c r="BH88" s="1030"/>
      <c r="BI88" s="1812"/>
      <c r="BJ88" s="267"/>
      <c r="BK88" s="267"/>
    </row>
    <row s="1834" customFormat="1" customHeight="1" ht="23.25">
      <c r="A89" s="1304"/>
      <c r="B89" s="1679"/>
      <c r="C89" s="1304"/>
      <c r="D89" s="916"/>
      <c r="E89" s="630">
        <v>15</v>
      </c>
      <c r="F89" s="1387" cm="1" t="str">
        <f t="array" ref="F89:F89">OFFSET(E89,-1,1)</f>
        <v>2</v>
      </c>
      <c r="G89" s="1304"/>
      <c r="H89" s="1304"/>
      <c r="I89" s="1312" t="s">
        <v>1516</v>
      </c>
      <c r="J89" s="1304"/>
      <c r="K89" s="916"/>
      <c r="L89" s="917"/>
      <c r="M89" s="1304"/>
      <c r="N89" s="1304"/>
      <c r="O89" s="1304"/>
      <c r="P89" s="1304"/>
      <c r="Q89" s="1304"/>
      <c r="R89" s="1304"/>
      <c r="S89" s="1304"/>
      <c r="T89" s="1356" cm="1" t="str">
        <f t="array" ref="T89:T89">T88</f>
        <v>true</v>
      </c>
      <c r="U89" s="1304"/>
      <c r="V89" s="1304"/>
      <c r="W89" s="1304"/>
      <c r="X89" s="1385"/>
      <c r="Y89" s="1304"/>
      <c r="Z89" s="1385"/>
      <c r="AA89" s="1304"/>
      <c r="AB89" s="145" t="s">
        <v>276</v>
      </c>
      <c r="AC89" s="1089" t="s">
        <v>1516</v>
      </c>
      <c r="AD89" s="1564" t="s">
        <v>1514</v>
      </c>
      <c r="AE89" s="191">
        <f>SUMIF($AD90:$AD96,$AD89,AE90:AE96)</f>
        <v>0</v>
      </c>
      <c r="AF89" s="191">
        <f>SUMIF($AD90:$AD96,$AD89,AF90:AF96)</f>
        <v>0</v>
      </c>
      <c r="AG89" s="191">
        <f>SUMIF($AD90:$AD96,$AD89,AG90:AG96)</f>
        <v>0</v>
      </c>
      <c r="AH89" s="191">
        <f>SUMIF($AD90:$AD96,$AD89,AH90:AH96)</f>
        <v>0</v>
      </c>
      <c r="AI89" s="191">
        <f>SUMIF($AD90:$AD96,$AD89,AI90:AI96)</f>
        <v>8.2885088</v>
      </c>
      <c r="AJ89" s="191">
        <f>SUMIF($AD90:$AD96,$AD89,AJ90:AJ96)</f>
        <v>8.6117606432</v>
      </c>
      <c r="AK89" s="191">
        <f>SUMIF($AD90:$AD96,$AD89,AK90:AK96)</f>
        <v>8.9390075476416</v>
      </c>
      <c r="AL89" s="191">
        <f>SUMIF($AD90:$AD96,$AD89,AL90:AL96)</f>
        <v>9.27868983445198</v>
      </c>
      <c r="AM89" s="191">
        <f>SUMIF($AD90:$AD96,$AD89,AM90:AM96)</f>
        <v>9.63128004816116</v>
      </c>
      <c r="AN89" s="191">
        <f>SUMIF($AD90:$AD96,$AD89,AN90:AN96)</f>
        <v>0</v>
      </c>
      <c r="AO89" s="191">
        <f>SUMIF($AD90:$AD96,$AD89,AO90:AO96)</f>
        <v>0</v>
      </c>
      <c r="AP89" s="191">
        <f>SUMIF($AD90:$AD96,$AD89,AP90:AP96)</f>
        <v>0</v>
      </c>
      <c r="AQ89" s="191">
        <f>SUMIF($AD90:$AD96,$AD89,AQ90:AQ96)</f>
        <v>0</v>
      </c>
      <c r="AR89" s="191">
        <f>SUMIF($AD90:$AD96,$AD89,AR90:AR96)</f>
        <v>0</v>
      </c>
      <c r="AS89" s="191">
        <f>SUMIF($AD90:$AD96,$AD89,AS90:AS96)</f>
        <v>8.2885088</v>
      </c>
      <c r="AT89" s="191">
        <f>SUMIF($AD90:$AD96,$AD89,AT90:AT96)</f>
        <v>8.6117606432</v>
      </c>
      <c r="AU89" s="191">
        <f>SUMIF($AD90:$AD96,$AD89,AU90:AU96)</f>
        <v>8.9390075476416</v>
      </c>
      <c r="AV89" s="191">
        <f>SUMIF($AD90:$AD96,$AD89,AV90:AV96)</f>
        <v>9.27868983445198</v>
      </c>
      <c r="AW89" s="191">
        <f>SUMIF($AD90:$AD96,$AD89,AW90:AW96)</f>
        <v>9.63128004816116</v>
      </c>
      <c r="AX89" s="191">
        <f>SUMIF($AD90:$AD96,$AD89,AX90:AX96)</f>
        <v>0</v>
      </c>
      <c r="AY89" s="191">
        <f>SUMIF($AD90:$AD96,$AD89,AY90:AY96)</f>
        <v>0</v>
      </c>
      <c r="AZ89" s="191">
        <f>SUMIF($AD90:$AD96,$AD89,AZ90:AZ96)</f>
        <v>0</v>
      </c>
      <c r="BA89" s="191">
        <f>SUMIF($AD90:$AD96,$AD89,BA90:BA96)</f>
        <v>0</v>
      </c>
      <c r="BB89" s="191">
        <f>SUMIF($AD90:$AD96,$AD89,BB90:BB96)</f>
        <v>0</v>
      </c>
      <c r="BC89" s="1808" t="s">
        <v>1546</v>
      </c>
      <c r="BD89" s="1304"/>
      <c r="BE89" s="1304"/>
      <c r="BF89" s="1046" t="s">
        <v>1517</v>
      </c>
      <c r="BG89" s="1046"/>
      <c r="BH89" s="1046"/>
      <c r="BI89" s="1809"/>
      <c r="BJ89" s="1047"/>
      <c r="BK89" s="1047"/>
    </row>
    <row s="1448" customFormat="1" customHeight="1" ht="14.25" hidden="1">
      <c r="E90" s="267">
        <v>15</v>
      </c>
      <c r="F90" s="50" cm="1" t="str">
        <f t="array" ref="F90:F90">OFFSET(E90,-1,1)</f>
        <v>2</v>
      </c>
      <c r="G90" s="146" t="s">
        <v>332</v>
      </c>
      <c r="H90" s="146" cm="1" t="str">
        <f t="array" ref="H90:H90">AC90</f>
        <v>0</v>
      </c>
      <c r="T90" s="465">
        <f>AND(F90&gt;0,Y90&gt;0)</f>
        <v>0</v>
      </c>
      <c r="W90" s="717" t="s">
        <v>174</v>
      </c>
      <c r="Y90" s="146">
        <v>0</v>
      </c>
      <c r="AA90" s="662" t="s">
        <v>175</v>
      </c>
      <c r="AB90" s="89" t="str">
        <f>"1."&amp;Y90</f>
        <v>1.0</v>
      </c>
      <c r="AC90" s="2968"/>
      <c r="AD90" s="93" t="s">
        <v>1514</v>
      </c>
      <c r="AE90" s="2969"/>
      <c r="AF90" s="2969"/>
      <c r="AG90" s="2969"/>
      <c r="AH90" s="2969"/>
      <c r="AI90" s="2969"/>
      <c r="AJ90" s="2969"/>
      <c r="AK90" s="2969"/>
      <c r="AL90" s="2969"/>
      <c r="AM90" s="2969"/>
      <c r="AN90" s="2969"/>
      <c r="AO90" s="2969"/>
      <c r="AP90" s="2969"/>
      <c r="AQ90" s="2969"/>
      <c r="AR90" s="2969"/>
      <c r="AS90" s="2969"/>
      <c r="AT90" s="2969"/>
      <c r="AU90" s="2969"/>
      <c r="AV90" s="2969"/>
      <c r="AW90" s="2969"/>
      <c r="AX90" s="2969"/>
      <c r="AY90" s="2969"/>
      <c r="AZ90" s="2969"/>
      <c r="BA90" s="2969"/>
      <c r="BB90" s="2969"/>
      <c r="BC90" s="2970"/>
      <c r="BF90" s="1030" t="s">
        <v>1518</v>
      </c>
      <c r="BG90" s="1030" t="s">
        <v>1519</v>
      </c>
      <c r="BH90" s="1030" cm="1" t="str">
        <f t="array" ref="BH90:BH90">AC90</f>
        <v>0</v>
      </c>
      <c r="BJ90" s="267"/>
      <c r="BK90" s="267" t="b">
        <v>1</v>
      </c>
    </row>
    <row s="1834" customFormat="1" customHeight="1" ht="14.25" hidden="1">
      <c r="E91" s="630">
        <v>15</v>
      </c>
      <c r="F91" s="1175" cm="1" t="str">
        <f t="array" ref="F91:F91">OFFSET(E91,-1,1)</f>
        <v>2</v>
      </c>
      <c r="T91" s="465" cm="1" t="str">
        <f t="array" ref="T91:T91">T90</f>
        <v>false</v>
      </c>
      <c r="AB91" s="1681" t="str">
        <f>AB90&amp;".1"</f>
        <v>1.0.1</v>
      </c>
      <c r="AC91" s="331" t="s">
        <v>1520</v>
      </c>
      <c r="AD91" s="92" t="s">
        <v>1521</v>
      </c>
      <c r="AE91" s="2969"/>
      <c r="AF91" s="2969"/>
      <c r="AG91" s="2969"/>
      <c r="AH91" s="2969"/>
      <c r="AI91" s="2969"/>
      <c r="AJ91" s="2969"/>
      <c r="AK91" s="2969"/>
      <c r="AL91" s="2969"/>
      <c r="AM91" s="2969"/>
      <c r="AN91" s="2969"/>
      <c r="AO91" s="2969"/>
      <c r="AP91" s="2969"/>
      <c r="AQ91" s="2969"/>
      <c r="AR91" s="2969"/>
      <c r="AS91" s="2969"/>
      <c r="AT91" s="2969"/>
      <c r="AU91" s="2969"/>
      <c r="AV91" s="2969"/>
      <c r="AW91" s="2969"/>
      <c r="AX91" s="2969"/>
      <c r="AY91" s="2969"/>
      <c r="AZ91" s="2969"/>
      <c r="BA91" s="2969"/>
      <c r="BB91" s="2969"/>
      <c r="BC91" s="2970"/>
      <c r="BF91" s="1030" t="s">
        <v>1522</v>
      </c>
      <c r="BG91" s="1030" t="s">
        <v>1519</v>
      </c>
      <c r="BH91" s="1030" cm="1" t="str">
        <f t="array" ref="BH91:BH91">BH90</f>
        <v>0</v>
      </c>
      <c r="BI91" s="1030"/>
      <c r="BJ91" s="267"/>
      <c r="BK91" s="267"/>
    </row>
    <row s="1834" customFormat="1" customHeight="1" ht="14.25" hidden="1">
      <c r="E92" s="630">
        <v>15</v>
      </c>
      <c r="F92" s="1175" cm="1" t="str">
        <f t="array" ref="F92:F92">OFFSET(E92,-1,1)</f>
        <v>2</v>
      </c>
      <c r="T92" s="465" cm="1" t="str">
        <f t="array" ref="T92:T92">T91</f>
        <v>false</v>
      </c>
      <c r="AB92" s="1681" t="str">
        <f>AB90&amp;".2"</f>
        <v>1.0.2</v>
      </c>
      <c r="AC92" s="331" t="s">
        <v>1523</v>
      </c>
      <c r="AD92" s="92" t="s">
        <v>1524</v>
      </c>
      <c r="AE92" s="2969"/>
      <c r="AF92" s="2969"/>
      <c r="AG92" s="2969"/>
      <c r="AH92" s="2969"/>
      <c r="AI92" s="2969"/>
      <c r="AJ92" s="2969"/>
      <c r="AK92" s="2969"/>
      <c r="AL92" s="2969"/>
      <c r="AM92" s="2969"/>
      <c r="AN92" s="2969"/>
      <c r="AO92" s="2969"/>
      <c r="AP92" s="2969"/>
      <c r="AQ92" s="2969"/>
      <c r="AR92" s="2969"/>
      <c r="AS92" s="2969"/>
      <c r="AT92" s="2969"/>
      <c r="AU92" s="2969"/>
      <c r="AV92" s="2969"/>
      <c r="AW92" s="2969"/>
      <c r="AX92" s="2969"/>
      <c r="AY92" s="2969"/>
      <c r="AZ92" s="2969"/>
      <c r="BA92" s="2969"/>
      <c r="BB92" s="2969"/>
      <c r="BC92" s="2970"/>
      <c r="BF92" s="1030" t="s">
        <v>1525</v>
      </c>
      <c r="BG92" s="1030" t="s">
        <v>1519</v>
      </c>
      <c r="BH92" s="1030" cm="1" t="str">
        <f t="array" ref="BH92:BH92">BH91</f>
        <v>0</v>
      </c>
      <c r="BI92" s="1030"/>
      <c r="BJ92" s="267"/>
      <c r="BK92" s="267"/>
    </row>
    <row s="1448" customFormat="1" customHeight="1" ht="12.75">
      <c r="A93" s="1448"/>
      <c r="B93" s="1448"/>
      <c r="C93" s="1448"/>
      <c r="D93" s="1448"/>
      <c r="E93" s="267">
        <v>15</v>
      </c>
      <c r="F93" s="50" cm="1" t="str">
        <f t="array" ref="F93:F93">OFFSET(E93,-1,1)</f>
        <v>2</v>
      </c>
      <c r="G93" s="146" t="s">
        <v>332</v>
      </c>
      <c r="H93" s="146" cm="1" t="str">
        <f t="array" ref="H93:H93">AC93</f>
        <v>гипохлорит натрия</v>
      </c>
      <c r="I93" s="1448"/>
      <c r="J93" s="1448"/>
      <c r="K93" s="1448"/>
      <c r="L93" s="1448"/>
      <c r="M93" s="1448"/>
      <c r="N93" s="1448"/>
      <c r="O93" s="1448"/>
      <c r="P93" s="1448"/>
      <c r="Q93" s="1448"/>
      <c r="R93" s="1448"/>
      <c r="S93" s="1448"/>
      <c r="T93" s="465">
        <f>AND(F93&gt;0,Y93&gt;0)</f>
        <v>1</v>
      </c>
      <c r="U93" s="1448"/>
      <c r="V93" s="1448"/>
      <c r="W93" s="717"/>
      <c r="X93" s="1448"/>
      <c r="Y93" s="146" t="s">
        <v>276</v>
      </c>
      <c r="Z93" s="1448"/>
      <c r="AA93" s="662" t="s">
        <v>175</v>
      </c>
      <c r="AB93" s="89" t="str">
        <f>"1."&amp;Y93</f>
        <v>1.1</v>
      </c>
      <c r="AC93" s="2968" t="s">
        <v>1550</v>
      </c>
      <c r="AD93" s="93" t="s">
        <v>1514</v>
      </c>
      <c r="AE93" s="2971"/>
      <c r="AF93" s="2971"/>
      <c r="AG93" s="2971"/>
      <c r="AH93" s="2971"/>
      <c r="AI93" s="2971">
        <v>8.2885088</v>
      </c>
      <c r="AJ93" s="2971">
        <v>8.6117606432</v>
      </c>
      <c r="AK93" s="2971">
        <v>8.9390075476416</v>
      </c>
      <c r="AL93" s="2971">
        <v>9.27868983445198</v>
      </c>
      <c r="AM93" s="2971">
        <v>9.63128004816116</v>
      </c>
      <c r="AN93" s="2969"/>
      <c r="AO93" s="2969"/>
      <c r="AP93" s="2969"/>
      <c r="AQ93" s="2969"/>
      <c r="AR93" s="2969"/>
      <c r="AS93" s="2971">
        <f>AS94*AS95/1000</f>
        <v>8.2885088</v>
      </c>
      <c r="AT93" s="2971">
        <f>AT94*AT95/1000</f>
        <v>8.6117606432</v>
      </c>
      <c r="AU93" s="2971">
        <f>AU94*AU95/1000</f>
        <v>8.9390075476416</v>
      </c>
      <c r="AV93" s="2971">
        <f>AV94*AV95/1000</f>
        <v>9.27868983445198</v>
      </c>
      <c r="AW93" s="2971">
        <f>AW94*AW95/1000</f>
        <v>9.63128004816116</v>
      </c>
      <c r="AX93" s="2969"/>
      <c r="AY93" s="2969"/>
      <c r="AZ93" s="2969"/>
      <c r="BA93" s="2969"/>
      <c r="BB93" s="2969"/>
      <c r="BC93" s="2972"/>
      <c r="BD93" s="1448"/>
      <c r="BE93" s="1448"/>
      <c r="BF93" s="1030" t="s">
        <v>1518</v>
      </c>
      <c r="BG93" s="1030" t="s">
        <v>1519</v>
      </c>
      <c r="BH93" s="1030" cm="1" t="str">
        <f t="array" ref="BH93:BH93">AC93</f>
        <v>гипохлорит натрия</v>
      </c>
      <c r="BI93" s="1448"/>
      <c r="BJ93" s="267"/>
      <c r="BK93" s="267" t="b">
        <v>1</v>
      </c>
    </row>
    <row s="1834" customFormat="1" customHeight="1" ht="20.859375">
      <c r="A94" s="1834"/>
      <c r="B94" s="1834"/>
      <c r="C94" s="1834"/>
      <c r="D94" s="1834"/>
      <c r="E94" s="630">
        <v>15</v>
      </c>
      <c r="F94" s="1175" cm="1" t="str">
        <f t="array" ref="F94:F94">OFFSET(E94,-1,1)</f>
        <v>2</v>
      </c>
      <c r="G94" s="1834"/>
      <c r="H94" s="1834"/>
      <c r="I94" s="1834"/>
      <c r="J94" s="1834"/>
      <c r="K94" s="1834"/>
      <c r="L94" s="1834"/>
      <c r="M94" s="1834"/>
      <c r="N94" s="1834"/>
      <c r="O94" s="1834"/>
      <c r="P94" s="1834"/>
      <c r="Q94" s="1834"/>
      <c r="R94" s="1834"/>
      <c r="S94" s="1834"/>
      <c r="T94" s="465" cm="1" t="str">
        <f t="array" ref="T94:T94">T93</f>
        <v>true</v>
      </c>
      <c r="U94" s="1834"/>
      <c r="V94" s="1834"/>
      <c r="W94" s="1834"/>
      <c r="X94" s="1834"/>
      <c r="Y94" s="1834"/>
      <c r="Z94" s="1834"/>
      <c r="AA94" s="1834"/>
      <c r="AB94" s="1681" t="str">
        <f>AB93&amp;".1"</f>
        <v>1.1.1</v>
      </c>
      <c r="AC94" s="331" t="s">
        <v>1520</v>
      </c>
      <c r="AD94" s="92" t="s">
        <v>1521</v>
      </c>
      <c r="AE94" s="2971"/>
      <c r="AF94" s="2971"/>
      <c r="AG94" s="2971"/>
      <c r="AH94" s="2971"/>
      <c r="AI94" s="2971">
        <v>0.236</v>
      </c>
      <c r="AJ94" s="2971">
        <v>0.236</v>
      </c>
      <c r="AK94" s="2971">
        <v>0.236</v>
      </c>
      <c r="AL94" s="2971">
        <v>0.236</v>
      </c>
      <c r="AM94" s="2971">
        <v>0.236</v>
      </c>
      <c r="AN94" s="2969"/>
      <c r="AO94" s="2969"/>
      <c r="AP94" s="2969"/>
      <c r="AQ94" s="2969"/>
      <c r="AR94" s="2969"/>
      <c r="AS94" s="2971">
        <v>0.236</v>
      </c>
      <c r="AT94" s="2971" cm="1" t="str">
        <f t="array" ref="AT94:AT94">AS94</f>
        <v>0.236</v>
      </c>
      <c r="AU94" s="2971" cm="1" t="str">
        <f t="array" ref="AU94:AU94">AT94</f>
        <v>0.236</v>
      </c>
      <c r="AV94" s="2971" cm="1" t="str">
        <f t="array" ref="AV94:AV94">AU94</f>
        <v>0.236</v>
      </c>
      <c r="AW94" s="2971" cm="1" t="str">
        <f t="array" ref="AW94:AW94">AV94</f>
        <v>0.236</v>
      </c>
      <c r="AX94" s="2969"/>
      <c r="AY94" s="2969"/>
      <c r="AZ94" s="2969"/>
      <c r="BA94" s="2969"/>
      <c r="BB94" s="2969"/>
      <c r="BC94" s="2972" t="s">
        <v>1564</v>
      </c>
      <c r="BD94" s="1834"/>
      <c r="BE94" s="1834"/>
      <c r="BF94" s="1030" t="s">
        <v>1522</v>
      </c>
      <c r="BG94" s="1030" t="s">
        <v>1519</v>
      </c>
      <c r="BH94" s="1030" cm="1" t="str">
        <f t="array" ref="BH94:BH94">BH93</f>
        <v>гипохлорит натрия</v>
      </c>
      <c r="BI94" s="1030"/>
      <c r="BJ94" s="267"/>
      <c r="BK94" s="267"/>
    </row>
    <row s="1834" customFormat="1" customHeight="1" ht="33.75">
      <c r="A95" s="1834"/>
      <c r="B95" s="1834"/>
      <c r="C95" s="1834"/>
      <c r="D95" s="1834"/>
      <c r="E95" s="630">
        <v>15</v>
      </c>
      <c r="F95" s="1175" cm="1" t="str">
        <f t="array" ref="F95:F95">OFFSET(E95,-1,1)</f>
        <v>2</v>
      </c>
      <c r="G95" s="1834"/>
      <c r="H95" s="1834"/>
      <c r="I95" s="1834"/>
      <c r="J95" s="1834"/>
      <c r="K95" s="1834"/>
      <c r="L95" s="1834"/>
      <c r="M95" s="1834"/>
      <c r="N95" s="1834"/>
      <c r="O95" s="1834"/>
      <c r="P95" s="1834"/>
      <c r="Q95" s="1834"/>
      <c r="R95" s="1834"/>
      <c r="S95" s="1834"/>
      <c r="T95" s="465" cm="1" t="str">
        <f t="array" ref="T95:T95">T94</f>
        <v>true</v>
      </c>
      <c r="U95" s="1834"/>
      <c r="V95" s="1834"/>
      <c r="W95" s="1834"/>
      <c r="X95" s="1834"/>
      <c r="Y95" s="1834"/>
      <c r="Z95" s="1834"/>
      <c r="AA95" s="1834"/>
      <c r="AB95" s="1681" t="str">
        <f>AB93&amp;".2"</f>
        <v>1.1.2</v>
      </c>
      <c r="AC95" s="331" t="s">
        <v>1523</v>
      </c>
      <c r="AD95" s="92" t="s">
        <v>1524</v>
      </c>
      <c r="AE95" s="2971"/>
      <c r="AF95" s="2971"/>
      <c r="AG95" s="2971"/>
      <c r="AH95" s="2971"/>
      <c r="AI95" s="2971">
        <v>35120.8</v>
      </c>
      <c r="AJ95" s="2971">
        <v>36490.5112</v>
      </c>
      <c r="AK95" s="2971">
        <v>37877.1506256</v>
      </c>
      <c r="AL95" s="2971">
        <v>39316.4823493728</v>
      </c>
      <c r="AM95" s="2971">
        <v>40810.508678649</v>
      </c>
      <c r="AN95" s="2969"/>
      <c r="AO95" s="2969"/>
      <c r="AP95" s="2969"/>
      <c r="AQ95" s="2969"/>
      <c r="AR95" s="2969"/>
      <c r="AS95" s="2971">
        <f>33770*1.04</f>
        <v>35120.8</v>
      </c>
      <c r="AT95" s="2971">
        <f>AS95*1.039</f>
        <v>36490.5112</v>
      </c>
      <c r="AU95" s="2971">
        <f>AT95*1.038</f>
        <v>37877.1506256</v>
      </c>
      <c r="AV95" s="2971">
        <f>AU95*1.038</f>
        <v>39316.4823493728</v>
      </c>
      <c r="AW95" s="2971">
        <f>AV95*1.038</f>
        <v>40810.508678649</v>
      </c>
      <c r="AX95" s="2969"/>
      <c r="AY95" s="2969"/>
      <c r="AZ95" s="2969"/>
      <c r="BA95" s="2969"/>
      <c r="BB95" s="2969"/>
      <c r="BC95" s="2972" t="s">
        <v>1565</v>
      </c>
      <c r="BD95" s="1834"/>
      <c r="BE95" s="1834"/>
      <c r="BF95" s="1030" t="s">
        <v>1525</v>
      </c>
      <c r="BG95" s="1030" t="s">
        <v>1519</v>
      </c>
      <c r="BH95" s="1030" cm="1" t="str">
        <f t="array" ref="BH95:BH95">BH94</f>
        <v>гипохлорит натрия</v>
      </c>
      <c r="BI95" s="1030"/>
      <c r="BJ95" s="267"/>
      <c r="BK95" s="267"/>
    </row>
    <row s="1834" customFormat="1" customHeight="1" ht="12.75">
      <c r="A96" s="1304"/>
      <c r="B96" s="1682"/>
      <c r="C96" s="1304"/>
      <c r="D96" s="1304"/>
      <c r="E96" s="630">
        <v>15</v>
      </c>
      <c r="F96" s="1387" cm="1" t="str">
        <f t="array" ref="F96:F96">OFFSET(E96,-1,1)</f>
        <v>2</v>
      </c>
      <c r="G96" s="1304"/>
      <c r="H96" s="1377" t="str">
        <f>"!== 'Всего по тарифу'"</f>
        <v>!== 'Всего по тарифу'</v>
      </c>
      <c r="I96" s="1304"/>
      <c r="J96" s="1304"/>
      <c r="K96" s="1304"/>
      <c r="L96" s="1304"/>
      <c r="M96" s="1304"/>
      <c r="N96" s="1304"/>
      <c r="O96" s="1304"/>
      <c r="P96" s="1304"/>
      <c r="Q96" s="1304"/>
      <c r="R96" s="1304"/>
      <c r="S96" s="1304"/>
      <c r="T96" s="1356">
        <f>F96&gt;0</f>
        <v>1</v>
      </c>
      <c r="U96" s="1304"/>
      <c r="V96" s="1304"/>
      <c r="W96" s="849" t="s">
        <v>399</v>
      </c>
      <c r="X96" s="1385"/>
      <c r="Y96" s="1304"/>
      <c r="Z96" s="1385"/>
      <c r="AA96" s="1304"/>
      <c r="AB96" s="1683"/>
      <c r="AC96" s="1684" t="s">
        <v>178</v>
      </c>
      <c r="AD96" s="1685"/>
      <c r="AE96" s="1685"/>
      <c r="AF96" s="1685"/>
      <c r="AG96" s="1685"/>
      <c r="AH96" s="1685"/>
      <c r="AI96" s="1685"/>
      <c r="AJ96" s="1685"/>
      <c r="AK96" s="1685"/>
      <c r="AL96" s="1685"/>
      <c r="AM96" s="1685"/>
      <c r="AN96" s="1685"/>
      <c r="AO96" s="1685"/>
      <c r="AP96" s="1685"/>
      <c r="AQ96" s="1685"/>
      <c r="AR96" s="1685"/>
      <c r="AS96" s="1685"/>
      <c r="AT96" s="1685"/>
      <c r="AU96" s="1685"/>
      <c r="AV96" s="1685"/>
      <c r="AW96" s="1685"/>
      <c r="AX96" s="1685"/>
      <c r="AY96" s="1685"/>
      <c r="AZ96" s="1685"/>
      <c r="BA96" s="1685"/>
      <c r="BB96" s="1685"/>
      <c r="BC96" s="1686"/>
      <c r="BD96" s="1304"/>
      <c r="BE96" s="1304"/>
      <c r="BF96" s="1018"/>
      <c r="BG96" s="1018"/>
      <c r="BH96" s="1018"/>
      <c r="BI96" s="1810"/>
      <c r="BJ96" s="1338" t="s">
        <v>1519</v>
      </c>
      <c r="BK96" s="1338"/>
    </row>
    <row s="1834" customFormat="1" customHeight="1" ht="23.25">
      <c r="A97" s="1304"/>
      <c r="B97" s="1682"/>
      <c r="C97" s="1304"/>
      <c r="D97" s="1304"/>
      <c r="E97" s="630">
        <v>15</v>
      </c>
      <c r="F97" s="1387" cm="1" t="str">
        <f t="array" ref="F97:F97">OFFSET(E97,-1,1)</f>
        <v>2</v>
      </c>
      <c r="G97" s="1304"/>
      <c r="H97" s="1304"/>
      <c r="I97" s="1312" t="s">
        <v>1526</v>
      </c>
      <c r="J97" s="1304"/>
      <c r="K97" s="1304"/>
      <c r="L97" s="1304"/>
      <c r="M97" s="1304"/>
      <c r="N97" s="1304"/>
      <c r="O97" s="1304"/>
      <c r="P97" s="1304"/>
      <c r="Q97" s="1304"/>
      <c r="R97" s="1304"/>
      <c r="S97" s="1304"/>
      <c r="T97" s="1356" cm="1" t="str">
        <f t="array" ref="T97:T97">T96</f>
        <v>true</v>
      </c>
      <c r="U97" s="1304"/>
      <c r="V97" s="1304"/>
      <c r="W97" s="849"/>
      <c r="X97" s="1385"/>
      <c r="Y97" s="1304"/>
      <c r="Z97" s="1385"/>
      <c r="AA97" s="1304"/>
      <c r="AB97" s="145" t="s">
        <v>285</v>
      </c>
      <c r="AC97" s="1089" t="s">
        <v>1526</v>
      </c>
      <c r="AD97" s="1564" t="s">
        <v>1514</v>
      </c>
      <c r="AE97" s="191">
        <f>AE98+AE99</f>
        <v>0</v>
      </c>
      <c r="AF97" s="191">
        <f>AF98+AF99</f>
        <v>0</v>
      </c>
      <c r="AG97" s="191">
        <f>AG98+AG99</f>
        <v>0</v>
      </c>
      <c r="AH97" s="191">
        <f>AH98+AH99</f>
        <v>0</v>
      </c>
      <c r="AI97" s="191">
        <f>AI98+AI99</f>
        <v>0</v>
      </c>
      <c r="AJ97" s="191">
        <f>AJ98+AJ99</f>
        <v>0</v>
      </c>
      <c r="AK97" s="191">
        <f>AK98+AK99</f>
        <v>0</v>
      </c>
      <c r="AL97" s="191">
        <f>AL98+AL99</f>
        <v>0</v>
      </c>
      <c r="AM97" s="191">
        <f>AM98+AM99</f>
        <v>0</v>
      </c>
      <c r="AN97" s="191">
        <f>AN98+AN99</f>
        <v>0</v>
      </c>
      <c r="AO97" s="191">
        <f>AO98+AO99</f>
        <v>0</v>
      </c>
      <c r="AP97" s="191">
        <f>AP98+AP99</f>
        <v>0</v>
      </c>
      <c r="AQ97" s="191">
        <f>AQ98+AQ99</f>
        <v>0</v>
      </c>
      <c r="AR97" s="191">
        <f>AR98+AR99</f>
        <v>0</v>
      </c>
      <c r="AS97" s="191">
        <f>AS98+AS99</f>
        <v>0</v>
      </c>
      <c r="AT97" s="191">
        <f>AT98+AT99</f>
        <v>0</v>
      </c>
      <c r="AU97" s="191">
        <f>AU98+AU99</f>
        <v>0</v>
      </c>
      <c r="AV97" s="191">
        <f>AV98+AV99</f>
        <v>0</v>
      </c>
      <c r="AW97" s="191">
        <f>AW98+AW99</f>
        <v>0</v>
      </c>
      <c r="AX97" s="191">
        <f>AX98+AX99</f>
        <v>0</v>
      </c>
      <c r="AY97" s="191">
        <f>AY98+AY99</f>
        <v>0</v>
      </c>
      <c r="AZ97" s="191">
        <f>AZ98+AZ99</f>
        <v>0</v>
      </c>
      <c r="BA97" s="191">
        <f>BA98+BA99</f>
        <v>0</v>
      </c>
      <c r="BB97" s="191">
        <f>BB98+BB99</f>
        <v>0</v>
      </c>
      <c r="BC97" s="1808"/>
      <c r="BD97" s="1304"/>
      <c r="BE97" s="1304"/>
      <c r="BF97" s="1018" t="s">
        <v>1527</v>
      </c>
      <c r="BG97" s="1018"/>
      <c r="BH97" s="1018"/>
      <c r="BI97" s="1810"/>
      <c r="BJ97" s="1338"/>
      <c r="BK97" s="1338"/>
    </row>
    <row s="1834" customFormat="1" customHeight="1" ht="0">
      <c r="A98" s="1304"/>
      <c r="B98" s="1682"/>
      <c r="C98" s="1304"/>
      <c r="D98" s="1304"/>
      <c r="E98" s="630">
        <v>33.75</v>
      </c>
      <c r="F98" s="1387" cm="1" t="str">
        <f t="array" ref="F98:F98">OFFSET(E98,-1,1)</f>
        <v>2</v>
      </c>
      <c r="G98" s="1304"/>
      <c r="H98" s="1304"/>
      <c r="I98" s="1304"/>
      <c r="J98" s="1304"/>
      <c r="K98" s="1304"/>
      <c r="L98" s="1304"/>
      <c r="M98" s="1304"/>
      <c r="N98" s="1304"/>
      <c r="O98" s="1304"/>
      <c r="P98" s="1304"/>
      <c r="Q98" s="1304"/>
      <c r="R98" s="1304"/>
      <c r="S98" s="1304"/>
      <c r="T98" s="1356" cm="1" t="str">
        <f t="array" ref="T98:T98">T97</f>
        <v>true</v>
      </c>
      <c r="U98" s="1304"/>
      <c r="V98" s="1304"/>
      <c r="W98" s="849"/>
      <c r="X98" s="1385"/>
      <c r="Y98" s="1304"/>
      <c r="Z98" s="1385"/>
      <c r="AA98" s="1304"/>
      <c r="AB98" s="145" t="s">
        <v>1250</v>
      </c>
      <c r="AC98" s="1089" t="s">
        <v>1528</v>
      </c>
      <c r="AD98" s="1564" t="s">
        <v>1514</v>
      </c>
      <c r="AE98" s="1096"/>
      <c r="AF98" s="1096"/>
      <c r="AG98" s="1096"/>
      <c r="AH98" s="1096"/>
      <c r="AI98" s="1096"/>
      <c r="AJ98" s="1096"/>
      <c r="AK98" s="1096"/>
      <c r="AL98" s="1096"/>
      <c r="AM98" s="1096"/>
      <c r="AN98" s="2846"/>
      <c r="AO98" s="2846"/>
      <c r="AP98" s="2846"/>
      <c r="AQ98" s="2846"/>
      <c r="AR98" s="2846"/>
      <c r="AS98" s="1096"/>
      <c r="AT98" s="1096"/>
      <c r="AU98" s="1096"/>
      <c r="AV98" s="1096"/>
      <c r="AW98" s="1096"/>
      <c r="AX98" s="2846"/>
      <c r="AY98" s="2846"/>
      <c r="AZ98" s="2846"/>
      <c r="BA98" s="2846"/>
      <c r="BB98" s="2846"/>
      <c r="BC98" s="1808"/>
      <c r="BD98" s="1304"/>
      <c r="BE98" s="1304"/>
      <c r="BF98" s="1018" t="s">
        <v>1529</v>
      </c>
      <c r="BG98" s="1018"/>
      <c r="BH98" s="1018"/>
      <c r="BI98" s="1810"/>
      <c r="BJ98" s="1338"/>
      <c r="BK98" s="1338"/>
    </row>
    <row s="1834" customFormat="1" customHeight="1" ht="0">
      <c r="A99" s="1304"/>
      <c r="B99" s="1682"/>
      <c r="C99" s="1304"/>
      <c r="D99" s="1304"/>
      <c r="E99" s="630">
        <v>45</v>
      </c>
      <c r="F99" s="1387" cm="1" t="str">
        <f t="array" ref="F99:F99">OFFSET(E99,-1,1)</f>
        <v>2</v>
      </c>
      <c r="G99" s="1304"/>
      <c r="H99" s="1304"/>
      <c r="I99" s="1304"/>
      <c r="J99" s="1304"/>
      <c r="K99" s="1304"/>
      <c r="L99" s="1304"/>
      <c r="M99" s="1304"/>
      <c r="N99" s="1304"/>
      <c r="O99" s="1304"/>
      <c r="P99" s="1304"/>
      <c r="Q99" s="1304"/>
      <c r="R99" s="1304"/>
      <c r="S99" s="1304"/>
      <c r="T99" s="1356" cm="1" t="str">
        <f t="array" ref="T99:T99">T98</f>
        <v>true</v>
      </c>
      <c r="U99" s="1304"/>
      <c r="V99" s="1304"/>
      <c r="W99" s="849"/>
      <c r="X99" s="1385"/>
      <c r="Y99" s="1304"/>
      <c r="Z99" s="1385"/>
      <c r="AA99" s="1304"/>
      <c r="AB99" s="145" t="s">
        <v>1254</v>
      </c>
      <c r="AC99" s="1089" t="s">
        <v>1530</v>
      </c>
      <c r="AD99" s="1564" t="s">
        <v>1514</v>
      </c>
      <c r="AE99" s="191">
        <f>SUMIF($AD100:$AD103,$AD99,AE100:AE103)</f>
        <v>0</v>
      </c>
      <c r="AF99" s="191">
        <f>SUMIF($AD100:$AD103,$AD99,AF100:AF103)</f>
        <v>0</v>
      </c>
      <c r="AG99" s="191">
        <f>SUMIF($AD100:$AD103,$AD99,AG100:AG103)</f>
        <v>0</v>
      </c>
      <c r="AH99" s="191">
        <f>SUMIF($AD100:$AD103,$AD99,AH100:AH103)</f>
        <v>0</v>
      </c>
      <c r="AI99" s="191">
        <f>SUMIF($AD100:$AD103,$AD99,AI100:AI103)</f>
        <v>0</v>
      </c>
      <c r="AJ99" s="191">
        <f>SUMIF($AD100:$AD103,$AD99,AJ100:AJ103)</f>
        <v>0</v>
      </c>
      <c r="AK99" s="191">
        <f>SUMIF($AD100:$AD103,$AD99,AK100:AK103)</f>
        <v>0</v>
      </c>
      <c r="AL99" s="191">
        <f>SUMIF($AD100:$AD103,$AD99,AL100:AL103)</f>
        <v>0</v>
      </c>
      <c r="AM99" s="191">
        <f>SUMIF($AD100:$AD103,$AD99,AM100:AM103)</f>
        <v>0</v>
      </c>
      <c r="AN99" s="191">
        <f>SUMIF($AD100:$AD103,$AD99,AN100:AN103)</f>
        <v>0</v>
      </c>
      <c r="AO99" s="191">
        <f>SUMIF($AD100:$AD103,$AD99,AO100:AO103)</f>
        <v>0</v>
      </c>
      <c r="AP99" s="191">
        <f>SUMIF($AD100:$AD103,$AD99,AP100:AP103)</f>
        <v>0</v>
      </c>
      <c r="AQ99" s="191">
        <f>SUMIF($AD100:$AD103,$AD99,AQ100:AQ103)</f>
        <v>0</v>
      </c>
      <c r="AR99" s="191">
        <f>SUMIF($AD100:$AD103,$AD99,AR100:AR103)</f>
        <v>0</v>
      </c>
      <c r="AS99" s="191">
        <f>SUMIF($AD100:$AD103,$AD99,AS100:AS103)</f>
        <v>0</v>
      </c>
      <c r="AT99" s="191">
        <f>SUMIF($AD100:$AD103,$AD99,AT100:AT103)</f>
        <v>0</v>
      </c>
      <c r="AU99" s="191">
        <f>SUMIF($AD100:$AD103,$AD99,AU100:AU103)</f>
        <v>0</v>
      </c>
      <c r="AV99" s="191">
        <f>SUMIF($AD100:$AD103,$AD99,AV100:AV103)</f>
        <v>0</v>
      </c>
      <c r="AW99" s="191">
        <f>SUMIF($AD100:$AD103,$AD99,AW100:AW103)</f>
        <v>0</v>
      </c>
      <c r="AX99" s="191">
        <f>SUMIF($AD100:$AD103,$AD99,AX100:AX103)</f>
        <v>0</v>
      </c>
      <c r="AY99" s="191">
        <f>SUMIF($AD100:$AD103,$AD99,AY100:AY103)</f>
        <v>0</v>
      </c>
      <c r="AZ99" s="191">
        <f>SUMIF($AD100:$AD103,$AD99,AZ100:AZ103)</f>
        <v>0</v>
      </c>
      <c r="BA99" s="191">
        <f>SUMIF($AD100:$AD103,$AD99,BA100:BA103)</f>
        <v>0</v>
      </c>
      <c r="BB99" s="191">
        <f>SUMIF($AD100:$AD103,$AD99,BB100:BB103)</f>
        <v>0</v>
      </c>
      <c r="BC99" s="1808"/>
      <c r="BD99" s="1304"/>
      <c r="BE99" s="1304"/>
      <c r="BF99" s="1018" t="s">
        <v>1531</v>
      </c>
      <c r="BG99" s="1018"/>
      <c r="BH99" s="1018"/>
      <c r="BI99" s="1810"/>
      <c r="BJ99" s="1338"/>
      <c r="BK99" s="1338"/>
    </row>
    <row s="1834" customFormat="1" customHeight="1" ht="12.75" hidden="1">
      <c r="A100" s="1379"/>
      <c r="B100" s="1641"/>
      <c r="C100" s="1379"/>
      <c r="D100" s="1379"/>
      <c r="E100" s="630">
        <v>15</v>
      </c>
      <c r="F100" s="1387" cm="1" t="str">
        <f t="array" ref="F100:F100">OFFSET(E100,-1,1)</f>
        <v>2</v>
      </c>
      <c r="G100" s="1379"/>
      <c r="H100" s="1379"/>
      <c r="I100" s="1379"/>
      <c r="J100" s="1379"/>
      <c r="K100" s="1379"/>
      <c r="L100" s="1379"/>
      <c r="M100" s="1379"/>
      <c r="N100" s="1379"/>
      <c r="O100" s="1379"/>
      <c r="P100" s="1379"/>
      <c r="Q100" s="1379"/>
      <c r="R100" s="1379"/>
      <c r="S100" s="1379"/>
      <c r="T100" s="1356">
        <f>AND(F100&gt;0,Y100&gt;0)</f>
        <v>0</v>
      </c>
      <c r="U100" s="1304"/>
      <c r="V100" s="1304"/>
      <c r="W100" s="849" t="s">
        <v>174</v>
      </c>
      <c r="X100" s="1385"/>
      <c r="Y100" s="1596">
        <v>0</v>
      </c>
      <c r="Z100" s="1385"/>
      <c r="AA100" s="1687" t="s">
        <v>175</v>
      </c>
      <c r="AB100" s="1604" t="str">
        <f>"2.3."&amp;Y100</f>
        <v>2.3.0</v>
      </c>
      <c r="AC100" s="2860"/>
      <c r="AD100" s="1564" t="s">
        <v>1514</v>
      </c>
      <c r="AE100" s="2846"/>
      <c r="AF100" s="2846"/>
      <c r="AG100" s="2846"/>
      <c r="AH100" s="2846"/>
      <c r="AI100" s="2846"/>
      <c r="AJ100" s="2846"/>
      <c r="AK100" s="2846"/>
      <c r="AL100" s="2846"/>
      <c r="AM100" s="2846"/>
      <c r="AN100" s="2846"/>
      <c r="AO100" s="2846"/>
      <c r="AP100" s="2846"/>
      <c r="AQ100" s="2846"/>
      <c r="AR100" s="2846"/>
      <c r="AS100" s="2846"/>
      <c r="AT100" s="2846"/>
      <c r="AU100" s="2846"/>
      <c r="AV100" s="2846"/>
      <c r="AW100" s="2846"/>
      <c r="AX100" s="2846"/>
      <c r="AY100" s="2846"/>
      <c r="AZ100" s="2846"/>
      <c r="BA100" s="2846"/>
      <c r="BB100" s="2846"/>
      <c r="BC100" s="2836"/>
      <c r="BD100" s="1304"/>
      <c r="BE100" s="1304"/>
      <c r="BF100" s="1289" t="s">
        <v>1532</v>
      </c>
      <c r="BG100" s="1289" t="s">
        <v>1533</v>
      </c>
      <c r="BH100" s="1289" cm="1" t="str">
        <f t="array" ref="BH100:BH100">AC100</f>
        <v>0</v>
      </c>
      <c r="BI100" s="1811" cm="1" t="str">
        <f t="array" ref="BI100:BI100">AD101</f>
        <v>0</v>
      </c>
      <c r="BJ100" s="1224"/>
      <c r="BK100" s="1380" t="b">
        <v>1</v>
      </c>
    </row>
    <row s="1834" customFormat="1" customHeight="1" ht="12.75" hidden="1">
      <c r="A101" s="1379"/>
      <c r="B101" s="1641"/>
      <c r="C101" s="1379"/>
      <c r="D101" s="1379"/>
      <c r="E101" s="630">
        <v>15</v>
      </c>
      <c r="F101" s="1387" cm="1" t="str">
        <f t="array" ref="F101:F101">OFFSET(E101,-1,1)</f>
        <v>2</v>
      </c>
      <c r="G101" s="1379"/>
      <c r="H101" s="1379"/>
      <c r="I101" s="1379"/>
      <c r="J101" s="1379"/>
      <c r="K101" s="1379"/>
      <c r="L101" s="1379"/>
      <c r="M101" s="1379"/>
      <c r="N101" s="1379"/>
      <c r="O101" s="1379"/>
      <c r="P101" s="1379"/>
      <c r="Q101" s="1379"/>
      <c r="R101" s="1379"/>
      <c r="S101" s="1379"/>
      <c r="T101" s="1356" cm="1" t="str">
        <f t="array" ref="T101:T101">T100</f>
        <v>false</v>
      </c>
      <c r="U101" s="1379"/>
      <c r="V101" s="1388"/>
      <c r="W101" s="1379"/>
      <c r="X101" s="1385"/>
      <c r="Y101" s="1596"/>
      <c r="Z101" s="1385"/>
      <c r="AA101" s="1687"/>
      <c r="AB101" s="1604" t="str">
        <f>AB100&amp;".1"</f>
        <v>2.3.0.1</v>
      </c>
      <c r="AC101" s="1091" t="s">
        <v>1520</v>
      </c>
      <c r="AD101" s="2867"/>
      <c r="AE101" s="2846"/>
      <c r="AF101" s="2846"/>
      <c r="AG101" s="2846"/>
      <c r="AH101" s="2846"/>
      <c r="AI101" s="2846"/>
      <c r="AJ101" s="2846"/>
      <c r="AK101" s="2846"/>
      <c r="AL101" s="2846"/>
      <c r="AM101" s="2846"/>
      <c r="AN101" s="2846"/>
      <c r="AO101" s="2846"/>
      <c r="AP101" s="2846"/>
      <c r="AQ101" s="2846"/>
      <c r="AR101" s="2846"/>
      <c r="AS101" s="2846"/>
      <c r="AT101" s="2846"/>
      <c r="AU101" s="2846"/>
      <c r="AV101" s="2846"/>
      <c r="AW101" s="2846"/>
      <c r="AX101" s="2846"/>
      <c r="AY101" s="2846"/>
      <c r="AZ101" s="2846"/>
      <c r="BA101" s="2846"/>
      <c r="BB101" s="2846"/>
      <c r="BC101" s="2836"/>
      <c r="BD101" s="1304"/>
      <c r="BE101" s="1304"/>
      <c r="BF101" s="1289" t="s">
        <v>1522</v>
      </c>
      <c r="BG101" s="1289" t="s">
        <v>1533</v>
      </c>
      <c r="BH101" s="1289" cm="1" t="str">
        <f t="array" ref="BH101:BH101">BH100</f>
        <v>0</v>
      </c>
      <c r="BI101" s="1811" cm="1" t="str">
        <f t="array" ref="BI101:BI101">BI100</f>
        <v>0</v>
      </c>
      <c r="BJ101" s="1224"/>
      <c r="BK101" s="1380"/>
    </row>
    <row s="1834" customFormat="1" customHeight="1" ht="12.75" hidden="1">
      <c r="A102" s="1379"/>
      <c r="B102" s="1641"/>
      <c r="C102" s="1379"/>
      <c r="D102" s="1379"/>
      <c r="E102" s="630">
        <v>15</v>
      </c>
      <c r="F102" s="1387" cm="1" t="str">
        <f t="array" ref="F102:F102">OFFSET(E102,-1,1)</f>
        <v>2</v>
      </c>
      <c r="G102" s="1379"/>
      <c r="H102" s="1379"/>
      <c r="I102" s="1379"/>
      <c r="J102" s="1379"/>
      <c r="K102" s="1379"/>
      <c r="L102" s="1379"/>
      <c r="M102" s="1379"/>
      <c r="N102" s="1379"/>
      <c r="O102" s="1379"/>
      <c r="P102" s="1379"/>
      <c r="Q102" s="1379"/>
      <c r="R102" s="1379"/>
      <c r="S102" s="1379"/>
      <c r="T102" s="1356" cm="1" t="str">
        <f t="array" ref="T102:T102">T101</f>
        <v>false</v>
      </c>
      <c r="U102" s="1379"/>
      <c r="V102" s="1388"/>
      <c r="W102" s="1379"/>
      <c r="X102" s="1385"/>
      <c r="Y102" s="1596"/>
      <c r="Z102" s="1385"/>
      <c r="AA102" s="1687"/>
      <c r="AB102" s="1604" t="str">
        <f>AB100&amp;".2"</f>
        <v>2.3.0.2</v>
      </c>
      <c r="AC102" s="1091" t="s">
        <v>1534</v>
      </c>
      <c r="AD102" s="1578" t="s">
        <v>1524</v>
      </c>
      <c r="AE102" s="2846"/>
      <c r="AF102" s="2846"/>
      <c r="AG102" s="2846"/>
      <c r="AH102" s="2846"/>
      <c r="AI102" s="2846"/>
      <c r="AJ102" s="2846"/>
      <c r="AK102" s="2846"/>
      <c r="AL102" s="2846"/>
      <c r="AM102" s="2846"/>
      <c r="AN102" s="2846"/>
      <c r="AO102" s="2846"/>
      <c r="AP102" s="2846"/>
      <c r="AQ102" s="2846"/>
      <c r="AR102" s="2846"/>
      <c r="AS102" s="2846"/>
      <c r="AT102" s="2846"/>
      <c r="AU102" s="2846"/>
      <c r="AV102" s="2846"/>
      <c r="AW102" s="2846"/>
      <c r="AX102" s="2846"/>
      <c r="AY102" s="2846"/>
      <c r="AZ102" s="2846"/>
      <c r="BA102" s="2846"/>
      <c r="BB102" s="2846"/>
      <c r="BC102" s="2836"/>
      <c r="BD102" s="1304"/>
      <c r="BE102" s="1304"/>
      <c r="BF102" s="1289" t="s">
        <v>1525</v>
      </c>
      <c r="BG102" s="1289" t="s">
        <v>1533</v>
      </c>
      <c r="BH102" s="1289" cm="1" t="str">
        <f t="array" ref="BH102:BH102">BH101</f>
        <v>0</v>
      </c>
      <c r="BI102" s="1811" cm="1" t="str">
        <f t="array" ref="BI102:BI102">BI101</f>
        <v>0</v>
      </c>
      <c r="BJ102" s="1224"/>
      <c r="BK102" s="1380"/>
    </row>
    <row s="1834" customFormat="1" customHeight="1" ht="12.75">
      <c r="A103" s="1379"/>
      <c r="B103" s="1641"/>
      <c r="C103" s="1379"/>
      <c r="D103" s="1379"/>
      <c r="E103" s="630">
        <v>15</v>
      </c>
      <c r="F103" s="1387" cm="1" t="str">
        <f t="array" ref="F103:F103">OFFSET(E103,-1,1)</f>
        <v>2</v>
      </c>
      <c r="G103" s="1379"/>
      <c r="H103" s="1379"/>
      <c r="I103" s="1379"/>
      <c r="J103" s="1379"/>
      <c r="K103" s="1379"/>
      <c r="L103" s="1379"/>
      <c r="M103" s="1379"/>
      <c r="N103" s="1379"/>
      <c r="O103" s="1379"/>
      <c r="P103" s="1379"/>
      <c r="Q103" s="1379"/>
      <c r="R103" s="1379"/>
      <c r="S103" s="1379"/>
      <c r="T103" s="1356">
        <f>F103&gt;0</f>
        <v>1</v>
      </c>
      <c r="U103" s="1379"/>
      <c r="V103" s="1388"/>
      <c r="W103" s="849" t="s">
        <v>1535</v>
      </c>
      <c r="X103" s="1385"/>
      <c r="Y103" s="1379"/>
      <c r="Z103" s="1385"/>
      <c r="AA103" s="1379"/>
      <c r="AB103" s="1689"/>
      <c r="AC103" s="1690" t="s">
        <v>178</v>
      </c>
      <c r="AD103" s="1685"/>
      <c r="AE103" s="1685"/>
      <c r="AF103" s="1685"/>
      <c r="AG103" s="1685"/>
      <c r="AH103" s="1685"/>
      <c r="AI103" s="1685"/>
      <c r="AJ103" s="1685"/>
      <c r="AK103" s="1685"/>
      <c r="AL103" s="1685"/>
      <c r="AM103" s="1685"/>
      <c r="AN103" s="1685"/>
      <c r="AO103" s="1685"/>
      <c r="AP103" s="1685"/>
      <c r="AQ103" s="1685"/>
      <c r="AR103" s="1685"/>
      <c r="AS103" s="1685"/>
      <c r="AT103" s="1685"/>
      <c r="AU103" s="1685"/>
      <c r="AV103" s="1685"/>
      <c r="AW103" s="1685"/>
      <c r="AX103" s="1685"/>
      <c r="AY103" s="1685"/>
      <c r="AZ103" s="1685"/>
      <c r="BA103" s="1685"/>
      <c r="BB103" s="1685"/>
      <c r="BC103" s="1685"/>
      <c r="BD103" s="1304"/>
      <c r="BE103" s="1304"/>
      <c r="BF103" s="1289"/>
      <c r="BG103" s="1289"/>
      <c r="BH103" s="1289"/>
      <c r="BI103" s="1811"/>
      <c r="BJ103" s="1224" t="s">
        <v>1533</v>
      </c>
      <c r="BK103" s="1380"/>
    </row>
    <row s="1834" customFormat="1" customHeight="1" ht="22.5">
      <c r="A104" s="1379"/>
      <c r="B104" s="1641"/>
      <c r="C104" s="1379"/>
      <c r="D104" s="1379"/>
      <c r="E104" s="630">
        <v>23.25</v>
      </c>
      <c r="F104" s="1387" cm="1" t="str">
        <f t="array" ref="F104:F104">OFFSET(E104,-1,1)</f>
        <v>2</v>
      </c>
      <c r="G104" s="1379"/>
      <c r="H104" s="1304"/>
      <c r="I104" s="1312" t="s">
        <v>1536</v>
      </c>
      <c r="J104" s="1379"/>
      <c r="K104" s="1379"/>
      <c r="L104" s="1379"/>
      <c r="M104" s="1379"/>
      <c r="N104" s="1379"/>
      <c r="O104" s="1379"/>
      <c r="P104" s="1379"/>
      <c r="Q104" s="1379"/>
      <c r="R104" s="1379"/>
      <c r="S104" s="1379"/>
      <c r="T104" s="1356" cm="1" t="str">
        <f t="array" ref="T104:T104">T103</f>
        <v>true</v>
      </c>
      <c r="U104" s="1379"/>
      <c r="V104" s="1388"/>
      <c r="W104" s="1379"/>
      <c r="X104" s="1385"/>
      <c r="Y104" s="1379"/>
      <c r="Z104" s="1385"/>
      <c r="AA104" s="1379"/>
      <c r="AB104" s="145" t="s">
        <v>289</v>
      </c>
      <c r="AC104" s="1089" t="s">
        <v>1537</v>
      </c>
      <c r="AD104" s="1564" t="s">
        <v>1514</v>
      </c>
      <c r="AE104" s="191">
        <f>AE105+AE106</f>
        <v>0</v>
      </c>
      <c r="AF104" s="191">
        <f>AF105+AF106</f>
        <v>0</v>
      </c>
      <c r="AG104" s="191">
        <f>AG105+AG106</f>
        <v>0</v>
      </c>
      <c r="AH104" s="191">
        <f>AH105+AH106</f>
        <v>0</v>
      </c>
      <c r="AI104" s="191">
        <f>AI105+AI106</f>
        <v>154.14455</v>
      </c>
      <c r="AJ104" s="191">
        <f>AJ105+AJ106</f>
        <v>158.70722</v>
      </c>
      <c r="AK104" s="191">
        <f>AK105+AK106</f>
        <v>163.404957</v>
      </c>
      <c r="AL104" s="191">
        <f>AL105+AL106</f>
        <v>168.241744</v>
      </c>
      <c r="AM104" s="191">
        <f>AM105+AM106</f>
        <v>173.2217</v>
      </c>
      <c r="AN104" s="191">
        <f>AN105+AN106</f>
        <v>0</v>
      </c>
      <c r="AO104" s="191">
        <f>AO105+AO106</f>
        <v>0</v>
      </c>
      <c r="AP104" s="191">
        <f>AP105+AP106</f>
        <v>0</v>
      </c>
      <c r="AQ104" s="191">
        <f>AQ105+AQ106</f>
        <v>0</v>
      </c>
      <c r="AR104" s="191">
        <f>AR105+AR106</f>
        <v>0</v>
      </c>
      <c r="AS104" s="191">
        <f>AS105+AS106</f>
        <v>154.14455</v>
      </c>
      <c r="AT104" s="191">
        <f>AT105+AT106</f>
        <v>158.70722</v>
      </c>
      <c r="AU104" s="191">
        <f>AU105+AU106</f>
        <v>163.404957</v>
      </c>
      <c r="AV104" s="191">
        <f>AV105+AV106</f>
        <v>168.241744</v>
      </c>
      <c r="AW104" s="191">
        <f>AW105+AW106</f>
        <v>173.2217</v>
      </c>
      <c r="AX104" s="191">
        <f>AX105+AX106</f>
        <v>0</v>
      </c>
      <c r="AY104" s="191">
        <f>AY105+AY106</f>
        <v>0</v>
      </c>
      <c r="AZ104" s="191">
        <f>AZ105+AZ106</f>
        <v>0</v>
      </c>
      <c r="BA104" s="191">
        <f>BA105+BA106</f>
        <v>0</v>
      </c>
      <c r="BB104" s="191">
        <f>BB105+BB106</f>
        <v>0</v>
      </c>
      <c r="BC104" s="1808" t="s">
        <v>1561</v>
      </c>
      <c r="BD104" s="1304"/>
      <c r="BE104" s="1304"/>
      <c r="BF104" s="1289" t="s">
        <v>1538</v>
      </c>
      <c r="BG104" s="1289"/>
      <c r="BH104" s="1289"/>
      <c r="BI104" s="1811"/>
      <c r="BJ104" s="1224"/>
      <c r="BK104" s="1380"/>
    </row>
    <row s="1834" customFormat="1" customHeight="1" ht="75.75">
      <c r="A105" s="1379"/>
      <c r="B105" s="1641"/>
      <c r="C105" s="1379"/>
      <c r="D105" s="1379"/>
      <c r="E105" s="630">
        <v>33.75</v>
      </c>
      <c r="F105" s="1387" cm="1" t="str">
        <f t="array" ref="F105:F105">OFFSET(E105,-1,1)</f>
        <v>2</v>
      </c>
      <c r="G105" s="1379"/>
      <c r="H105" s="1379"/>
      <c r="I105" s="1379"/>
      <c r="J105" s="1379"/>
      <c r="K105" s="1379"/>
      <c r="L105" s="1379"/>
      <c r="M105" s="1379"/>
      <c r="N105" s="1379"/>
      <c r="O105" s="1379"/>
      <c r="P105" s="1379"/>
      <c r="Q105" s="1379"/>
      <c r="R105" s="1379"/>
      <c r="S105" s="1379"/>
      <c r="T105" s="1356" cm="1" t="str">
        <f t="array" ref="T105:T105">T104</f>
        <v>true</v>
      </c>
      <c r="U105" s="1379"/>
      <c r="V105" s="1388"/>
      <c r="W105" s="1379"/>
      <c r="X105" s="1385"/>
      <c r="Y105" s="1379"/>
      <c r="Z105" s="1385"/>
      <c r="AA105" s="1379"/>
      <c r="AB105" s="145" t="s">
        <v>1264</v>
      </c>
      <c r="AC105" s="1089" t="s">
        <v>1539</v>
      </c>
      <c r="AD105" s="1564" t="s">
        <v>1514</v>
      </c>
      <c r="AE105" s="1096"/>
      <c r="AF105" s="1096"/>
      <c r="AG105" s="1096"/>
      <c r="AH105" s="1096"/>
      <c r="AI105" s="1096">
        <v>154.14455</v>
      </c>
      <c r="AJ105" s="1096">
        <v>158.70722</v>
      </c>
      <c r="AK105" s="1096">
        <v>163.404957</v>
      </c>
      <c r="AL105" s="1096">
        <v>168.241744</v>
      </c>
      <c r="AM105" s="1096">
        <v>173.2217</v>
      </c>
      <c r="AN105" s="2846"/>
      <c r="AO105" s="2846"/>
      <c r="AP105" s="2846"/>
      <c r="AQ105" s="2846"/>
      <c r="AR105" s="2846"/>
      <c r="AS105" s="1096">
        <v>154.14455</v>
      </c>
      <c r="AT105" s="1096">
        <v>158.70722</v>
      </c>
      <c r="AU105" s="1096">
        <v>163.404957</v>
      </c>
      <c r="AV105" s="1096">
        <v>168.241744</v>
      </c>
      <c r="AW105" s="1096">
        <v>173.2217</v>
      </c>
      <c r="AX105" s="2846"/>
      <c r="AY105" s="2846"/>
      <c r="AZ105" s="2846"/>
      <c r="BA105" s="2846"/>
      <c r="BB105" s="2846"/>
      <c r="BC105" s="1808" t="s">
        <v>1566</v>
      </c>
      <c r="BD105" s="1304"/>
      <c r="BE105" s="1304"/>
      <c r="BF105" s="1289" t="s">
        <v>1540</v>
      </c>
      <c r="BG105" s="1289"/>
      <c r="BH105" s="1289"/>
      <c r="BI105" s="1811"/>
      <c r="BJ105" s="1224"/>
      <c r="BK105" s="1380"/>
    </row>
    <row s="1834" customFormat="1" customHeight="1" ht="33.75">
      <c r="A106" s="1379"/>
      <c r="B106" s="1641"/>
      <c r="C106" s="1379"/>
      <c r="D106" s="1379"/>
      <c r="E106" s="630">
        <v>45</v>
      </c>
      <c r="F106" s="1387" cm="1" t="str">
        <f t="array" ref="F106:F106">OFFSET(E106,-1,1)</f>
        <v>2</v>
      </c>
      <c r="G106" s="1379"/>
      <c r="H106" s="1379"/>
      <c r="I106" s="1379"/>
      <c r="J106" s="1379"/>
      <c r="K106" s="1379"/>
      <c r="L106" s="1379"/>
      <c r="M106" s="1379"/>
      <c r="N106" s="1379"/>
      <c r="O106" s="1379"/>
      <c r="P106" s="1379"/>
      <c r="Q106" s="1379"/>
      <c r="R106" s="1379"/>
      <c r="S106" s="1379"/>
      <c r="T106" s="1356" cm="1" t="str">
        <f t="array" ref="T106:T106">T105</f>
        <v>true</v>
      </c>
      <c r="U106" s="1379"/>
      <c r="V106" s="1388"/>
      <c r="W106" s="1379"/>
      <c r="X106" s="1385"/>
      <c r="Y106" s="1379"/>
      <c r="Z106" s="1385"/>
      <c r="AA106" s="1379"/>
      <c r="AB106" s="145" t="s">
        <v>1268</v>
      </c>
      <c r="AC106" s="1089" t="s">
        <v>1541</v>
      </c>
      <c r="AD106" s="1564" t="s">
        <v>1514</v>
      </c>
      <c r="AE106" s="191">
        <f>SUMIF($AD107:$AD110,$AD106,AE107:AE110)</f>
        <v>0</v>
      </c>
      <c r="AF106" s="191">
        <f>SUMIF($AD107:$AD110,$AD106,AF107:AF110)</f>
        <v>0</v>
      </c>
      <c r="AG106" s="191">
        <f>SUMIF($AD107:$AD110,$AD106,AG107:AG110)</f>
        <v>0</v>
      </c>
      <c r="AH106" s="191">
        <f>SUMIF($AD107:$AD110,$AD106,AH107:AH110)</f>
        <v>0</v>
      </c>
      <c r="AI106" s="191">
        <f>SUMIF($AD107:$AD110,$AD106,AI107:AI110)</f>
        <v>0</v>
      </c>
      <c r="AJ106" s="191">
        <f>SUMIF($AD107:$AD110,$AD106,AJ107:AJ110)</f>
        <v>0</v>
      </c>
      <c r="AK106" s="191">
        <f>SUMIF($AD107:$AD110,$AD106,AK107:AK110)</f>
        <v>0</v>
      </c>
      <c r="AL106" s="191">
        <f>SUMIF($AD107:$AD110,$AD106,AL107:AL110)</f>
        <v>0</v>
      </c>
      <c r="AM106" s="191">
        <f>SUMIF($AD107:$AD110,$AD106,AM107:AM110)</f>
        <v>0</v>
      </c>
      <c r="AN106" s="191">
        <f>SUMIF($AD107:$AD110,$AD106,AN107:AN110)</f>
        <v>0</v>
      </c>
      <c r="AO106" s="191">
        <f>SUMIF($AD107:$AD110,$AD106,AO107:AO110)</f>
        <v>0</v>
      </c>
      <c r="AP106" s="191">
        <f>SUMIF($AD107:$AD110,$AD106,AP107:AP110)</f>
        <v>0</v>
      </c>
      <c r="AQ106" s="191">
        <f>SUMIF($AD107:$AD110,$AD106,AQ107:AQ110)</f>
        <v>0</v>
      </c>
      <c r="AR106" s="191">
        <f>SUMIF($AD107:$AD110,$AD106,AR107:AR110)</f>
        <v>0</v>
      </c>
      <c r="AS106" s="191">
        <f>SUMIF($AD107:$AD110,$AD106,AS107:AS110)</f>
        <v>0</v>
      </c>
      <c r="AT106" s="191">
        <f>SUMIF($AD107:$AD110,$AD106,AT107:AT110)</f>
        <v>0</v>
      </c>
      <c r="AU106" s="191">
        <f>SUMIF($AD107:$AD110,$AD106,AU107:AU110)</f>
        <v>0</v>
      </c>
      <c r="AV106" s="191">
        <f>SUMIF($AD107:$AD110,$AD106,AV107:AV110)</f>
        <v>0</v>
      </c>
      <c r="AW106" s="191">
        <f>SUMIF($AD107:$AD110,$AD106,AW107:AW110)</f>
        <v>0</v>
      </c>
      <c r="AX106" s="191">
        <f>SUMIF($AD107:$AD110,$AD106,AX107:AX110)</f>
        <v>0</v>
      </c>
      <c r="AY106" s="191">
        <f>SUMIF($AD107:$AD110,$AD106,AY107:AY110)</f>
        <v>0</v>
      </c>
      <c r="AZ106" s="191">
        <f>SUMIF($AD107:$AD110,$AD106,AZ107:AZ110)</f>
        <v>0</v>
      </c>
      <c r="BA106" s="191">
        <f>SUMIF($AD107:$AD110,$AD106,BA107:BA110)</f>
        <v>0</v>
      </c>
      <c r="BB106" s="191">
        <f>SUMIF($AD107:$AD110,$AD106,BB107:BB110)</f>
        <v>0</v>
      </c>
      <c r="BC106" s="1808"/>
      <c r="BD106" s="1304"/>
      <c r="BE106" s="1304"/>
      <c r="BF106" s="1289" t="s">
        <v>1542</v>
      </c>
      <c r="BG106" s="1289"/>
      <c r="BH106" s="1289"/>
      <c r="BI106" s="1811"/>
      <c r="BJ106" s="1224"/>
      <c r="BK106" s="1380"/>
    </row>
    <row s="1834" customFormat="1" customHeight="1" ht="12.75" hidden="1">
      <c r="A107" s="1379"/>
      <c r="B107" s="1641"/>
      <c r="C107" s="1379"/>
      <c r="D107" s="1379"/>
      <c r="E107" s="630">
        <v>15</v>
      </c>
      <c r="F107" s="1387" cm="1" t="str">
        <f t="array" ref="F107:F107">OFFSET(E107,-1,1)</f>
        <v>2</v>
      </c>
      <c r="G107" s="1379"/>
      <c r="H107" s="1379"/>
      <c r="I107" s="1379"/>
      <c r="J107" s="1379"/>
      <c r="K107" s="1379"/>
      <c r="L107" s="1379"/>
      <c r="M107" s="1379"/>
      <c r="N107" s="1379"/>
      <c r="O107" s="1379"/>
      <c r="P107" s="1379"/>
      <c r="Q107" s="1379"/>
      <c r="R107" s="1379"/>
      <c r="S107" s="1379"/>
      <c r="T107" s="1356">
        <f>AND(F107&gt;0,Y107&gt;0)</f>
        <v>0</v>
      </c>
      <c r="U107" s="1379"/>
      <c r="V107" s="1388"/>
      <c r="W107" s="849" t="s">
        <v>174</v>
      </c>
      <c r="X107" s="1385"/>
      <c r="Y107" s="1596">
        <v>0</v>
      </c>
      <c r="Z107" s="1385"/>
      <c r="AA107" s="1687" t="s">
        <v>175</v>
      </c>
      <c r="AB107" s="1604" t="str">
        <f>"3.3."&amp;Y107</f>
        <v>3.3.0</v>
      </c>
      <c r="AC107" s="2860"/>
      <c r="AD107" s="1564" t="s">
        <v>1514</v>
      </c>
      <c r="AE107" s="2846"/>
      <c r="AF107" s="2846"/>
      <c r="AG107" s="2846"/>
      <c r="AH107" s="2846"/>
      <c r="AI107" s="2846"/>
      <c r="AJ107" s="2846"/>
      <c r="AK107" s="2846"/>
      <c r="AL107" s="2846"/>
      <c r="AM107" s="2846"/>
      <c r="AN107" s="2846"/>
      <c r="AO107" s="2846"/>
      <c r="AP107" s="2846"/>
      <c r="AQ107" s="2846"/>
      <c r="AR107" s="2846"/>
      <c r="AS107" s="2846"/>
      <c r="AT107" s="2846"/>
      <c r="AU107" s="2846"/>
      <c r="AV107" s="2846"/>
      <c r="AW107" s="2846"/>
      <c r="AX107" s="2846"/>
      <c r="AY107" s="2846"/>
      <c r="AZ107" s="2846"/>
      <c r="BA107" s="2846"/>
      <c r="BB107" s="2846"/>
      <c r="BC107" s="2836"/>
      <c r="BD107" s="1304"/>
      <c r="BE107" s="1304"/>
      <c r="BF107" s="1289" t="s">
        <v>1543</v>
      </c>
      <c r="BG107" s="1289" t="s">
        <v>1544</v>
      </c>
      <c r="BH107" s="1289" cm="1" t="str">
        <f t="array" ref="BH107:BH107">AC107</f>
        <v>0</v>
      </c>
      <c r="BI107" s="1811" cm="1" t="str">
        <f t="array" ref="BI107:BI107">AD108</f>
        <v>0</v>
      </c>
      <c r="BJ107" s="1224"/>
      <c r="BK107" s="1380" t="b">
        <v>1</v>
      </c>
    </row>
    <row s="1834" customFormat="1" customHeight="1" ht="12.75" hidden="1">
      <c r="A108" s="1379"/>
      <c r="B108" s="1641"/>
      <c r="C108" s="1379"/>
      <c r="D108" s="1379"/>
      <c r="E108" s="630">
        <v>15</v>
      </c>
      <c r="F108" s="1387" cm="1" t="str">
        <f t="array" ref="F108:F108">OFFSET(E108,-1,1)</f>
        <v>2</v>
      </c>
      <c r="G108" s="1379"/>
      <c r="H108" s="1379"/>
      <c r="I108" s="1379"/>
      <c r="J108" s="1379"/>
      <c r="K108" s="1379"/>
      <c r="L108" s="1379"/>
      <c r="M108" s="1379"/>
      <c r="N108" s="1379"/>
      <c r="O108" s="1379"/>
      <c r="P108" s="1379"/>
      <c r="Q108" s="1379"/>
      <c r="R108" s="1379"/>
      <c r="S108" s="1379"/>
      <c r="T108" s="1356" cm="1" t="str">
        <f t="array" ref="T108:T108">T107</f>
        <v>false</v>
      </c>
      <c r="U108" s="1379"/>
      <c r="V108" s="1388"/>
      <c r="W108" s="1379"/>
      <c r="X108" s="1385"/>
      <c r="Y108" s="1596"/>
      <c r="Z108" s="1385"/>
      <c r="AA108" s="1687"/>
      <c r="AB108" s="1604" t="str">
        <f>AB107&amp;".1"</f>
        <v>3.3.0.1</v>
      </c>
      <c r="AC108" s="1091" t="s">
        <v>1520</v>
      </c>
      <c r="AD108" s="2867"/>
      <c r="AE108" s="2846"/>
      <c r="AF108" s="2846"/>
      <c r="AG108" s="2846"/>
      <c r="AH108" s="2846"/>
      <c r="AI108" s="2846"/>
      <c r="AJ108" s="2846"/>
      <c r="AK108" s="2846"/>
      <c r="AL108" s="2846"/>
      <c r="AM108" s="2846"/>
      <c r="AN108" s="2846"/>
      <c r="AO108" s="2846"/>
      <c r="AP108" s="2846"/>
      <c r="AQ108" s="2846"/>
      <c r="AR108" s="2846"/>
      <c r="AS108" s="2846"/>
      <c r="AT108" s="2846"/>
      <c r="AU108" s="2846"/>
      <c r="AV108" s="2846"/>
      <c r="AW108" s="2846"/>
      <c r="AX108" s="2846"/>
      <c r="AY108" s="2846"/>
      <c r="AZ108" s="2846"/>
      <c r="BA108" s="2846"/>
      <c r="BB108" s="2846"/>
      <c r="BC108" s="2836"/>
      <c r="BD108" s="1304"/>
      <c r="BE108" s="1304"/>
      <c r="BF108" s="1289" t="s">
        <v>1522</v>
      </c>
      <c r="BG108" s="1289" t="s">
        <v>1544</v>
      </c>
      <c r="BH108" s="1289" cm="1" t="str">
        <f t="array" ref="BH108:BH108">BH107</f>
        <v>0</v>
      </c>
      <c r="BI108" s="1811" cm="1" t="str">
        <f t="array" ref="BI108:BI108">BI107</f>
        <v>0</v>
      </c>
      <c r="BJ108" s="1224"/>
      <c r="BK108" s="1380"/>
    </row>
    <row s="1834" customFormat="1" customHeight="1" ht="12.75" hidden="1">
      <c r="A109" s="1379"/>
      <c r="B109" s="1641"/>
      <c r="C109" s="1379"/>
      <c r="D109" s="1379"/>
      <c r="E109" s="630">
        <v>15</v>
      </c>
      <c r="F109" s="1387" cm="1" t="str">
        <f t="array" ref="F109:F109">OFFSET(E109,-1,1)</f>
        <v>2</v>
      </c>
      <c r="G109" s="1379"/>
      <c r="H109" s="1379"/>
      <c r="I109" s="1379"/>
      <c r="J109" s="1379"/>
      <c r="K109" s="1379"/>
      <c r="L109" s="1379"/>
      <c r="M109" s="1379"/>
      <c r="N109" s="1379"/>
      <c r="O109" s="1379"/>
      <c r="P109" s="1379"/>
      <c r="Q109" s="1379"/>
      <c r="R109" s="1379"/>
      <c r="S109" s="1379"/>
      <c r="T109" s="1356" cm="1" t="str">
        <f t="array" ref="T109:T109">T108</f>
        <v>false</v>
      </c>
      <c r="U109" s="1379"/>
      <c r="V109" s="1388"/>
      <c r="W109" s="1379"/>
      <c r="X109" s="1385"/>
      <c r="Y109" s="1596"/>
      <c r="Z109" s="1385"/>
      <c r="AA109" s="1687"/>
      <c r="AB109" s="1604" t="str">
        <f>AB107&amp;".2"</f>
        <v>3.3.0.2</v>
      </c>
      <c r="AC109" s="1091" t="s">
        <v>1534</v>
      </c>
      <c r="AD109" s="1578" t="s">
        <v>1524</v>
      </c>
      <c r="AE109" s="2846"/>
      <c r="AF109" s="2846"/>
      <c r="AG109" s="2846"/>
      <c r="AH109" s="2846"/>
      <c r="AI109" s="2846"/>
      <c r="AJ109" s="2846"/>
      <c r="AK109" s="2846"/>
      <c r="AL109" s="2846"/>
      <c r="AM109" s="2846"/>
      <c r="AN109" s="2846"/>
      <c r="AO109" s="2846"/>
      <c r="AP109" s="2846"/>
      <c r="AQ109" s="2846"/>
      <c r="AR109" s="2846"/>
      <c r="AS109" s="2846"/>
      <c r="AT109" s="2846"/>
      <c r="AU109" s="2846"/>
      <c r="AV109" s="2846"/>
      <c r="AW109" s="2846"/>
      <c r="AX109" s="2846"/>
      <c r="AY109" s="2846"/>
      <c r="AZ109" s="2846"/>
      <c r="BA109" s="2846"/>
      <c r="BB109" s="2846"/>
      <c r="BC109" s="2836"/>
      <c r="BD109" s="1304"/>
      <c r="BE109" s="1304"/>
      <c r="BF109" s="1289" t="s">
        <v>1525</v>
      </c>
      <c r="BG109" s="1289" t="s">
        <v>1544</v>
      </c>
      <c r="BH109" s="1289" cm="1" t="str">
        <f t="array" ref="BH109:BH109">BH108</f>
        <v>0</v>
      </c>
      <c r="BI109" s="1811" cm="1" t="str">
        <f t="array" ref="BI109:BI109">BI108</f>
        <v>0</v>
      </c>
      <c r="BJ109" s="1224"/>
      <c r="BK109" s="1380"/>
    </row>
    <row s="1426" customFormat="1" customHeight="1" ht="14.25">
      <c r="A110" s="1379"/>
      <c r="B110" s="1641"/>
      <c r="C110" s="1379"/>
      <c r="D110" s="1379"/>
      <c r="E110" s="630">
        <v>15</v>
      </c>
      <c r="F110" s="1387" cm="1" t="str">
        <f t="array" ref="F110:F110">OFFSET(E110,-1,1)</f>
        <v>2</v>
      </c>
      <c r="G110" s="1379"/>
      <c r="H110" s="1379"/>
      <c r="I110" s="1379"/>
      <c r="J110" s="1379"/>
      <c r="K110" s="1379"/>
      <c r="L110" s="1379"/>
      <c r="M110" s="1379"/>
      <c r="N110" s="1379"/>
      <c r="O110" s="1379"/>
      <c r="P110" s="1379"/>
      <c r="Q110" s="1379"/>
      <c r="R110" s="1379"/>
      <c r="S110" s="1379"/>
      <c r="T110" s="1356">
        <f>F110&gt;0</f>
        <v>1</v>
      </c>
      <c r="U110" s="1379"/>
      <c r="V110" s="1388"/>
      <c r="W110" s="849" t="s">
        <v>1545</v>
      </c>
      <c r="X110" s="1385"/>
      <c r="Y110" s="1379"/>
      <c r="Z110" s="1385"/>
      <c r="AA110" s="1379"/>
      <c r="AB110" s="1691"/>
      <c r="AC110" s="1692" t="s">
        <v>178</v>
      </c>
      <c r="AD110" s="1693"/>
      <c r="AE110" s="1693"/>
      <c r="AF110" s="1693"/>
      <c r="AG110" s="1693"/>
      <c r="AH110" s="1693"/>
      <c r="AI110" s="1693"/>
      <c r="AJ110" s="1693"/>
      <c r="AK110" s="1693"/>
      <c r="AL110" s="1693"/>
      <c r="AM110" s="1693"/>
      <c r="AN110" s="1693"/>
      <c r="AO110" s="1693"/>
      <c r="AP110" s="1693"/>
      <c r="AQ110" s="1693"/>
      <c r="AR110" s="1693"/>
      <c r="AS110" s="1693"/>
      <c r="AT110" s="1693"/>
      <c r="AU110" s="1693"/>
      <c r="AV110" s="1693"/>
      <c r="AW110" s="1693"/>
      <c r="AX110" s="1693"/>
      <c r="AY110" s="1693"/>
      <c r="AZ110" s="1693"/>
      <c r="BA110" s="1693"/>
      <c r="BB110" s="1693"/>
      <c r="BC110" s="1693"/>
      <c r="BD110" s="1426"/>
      <c r="BE110" s="1426"/>
      <c r="BF110" s="1289"/>
      <c r="BG110" s="1289"/>
      <c r="BH110" s="1289"/>
      <c r="BI110" s="1811"/>
      <c r="BJ110" s="1224" t="s">
        <v>1544</v>
      </c>
      <c r="BK110" s="1380"/>
    </row>
    <row s="3057" customFormat="1" customHeight="1" ht="14.25">
      <c r="A111" s="1446"/>
      <c r="B111" s="429"/>
      <c r="C111" s="1446"/>
      <c r="D111" s="1446"/>
      <c r="E111" s="630">
        <v>15</v>
      </c>
      <c r="F111" s="349" cm="1" t="str">
        <f t="array" ref="F111:F111">X111</f>
        <v>3</v>
      </c>
      <c r="G111" s="146"/>
      <c r="H111" s="146"/>
      <c r="I111" s="1446"/>
      <c r="J111" s="1446"/>
      <c r="K111" s="1446"/>
      <c r="L111" s="1446"/>
      <c r="M111" s="1446"/>
      <c r="N111" s="1446"/>
      <c r="O111" s="1446"/>
      <c r="P111" s="1446"/>
      <c r="Q111" s="1446"/>
      <c r="R111" s="1446"/>
      <c r="S111" s="1446"/>
      <c r="T111" s="465">
        <f>X111&gt;0</f>
        <v>1</v>
      </c>
      <c r="U111" s="1446"/>
      <c r="V111" s="144" cm="1" t="str">
        <f t="array" ref="V111:V111">'Условные метры'!$AB$38</f>
        <v>Тариф 3 (Водоотведение) - тариф на водоотведение (Доп. признак не требуется)</v>
      </c>
      <c r="W111" s="1446"/>
      <c r="X111" s="1543" t="s">
        <v>289</v>
      </c>
      <c r="Y111" s="1446"/>
      <c r="Z111" s="1565"/>
      <c r="AA111" s="1446"/>
      <c r="AB111" s="183" cm="1" t="str">
        <f t="array" ref="AB111:AB111">'Условные метры'!$AB$38</f>
        <v>Тариф 3 (Водоотведение) - тариф на водоотведение (Доп. признак не требуется)</v>
      </c>
      <c r="AC111" s="180"/>
      <c r="AD111" s="174"/>
      <c r="AE111" s="174"/>
      <c r="AF111" s="174"/>
      <c r="AG111" s="174"/>
      <c r="AH111" s="174"/>
      <c r="AI111" s="174"/>
      <c r="AJ111" s="174"/>
      <c r="AK111" s="174"/>
      <c r="AL111" s="174"/>
      <c r="AM111" s="174"/>
      <c r="AN111" s="174"/>
      <c r="AO111" s="174"/>
      <c r="AP111" s="174"/>
      <c r="AQ111" s="174"/>
      <c r="AR111" s="174"/>
      <c r="AS111" s="174"/>
      <c r="AT111" s="174"/>
      <c r="AU111" s="174"/>
      <c r="AV111" s="174"/>
      <c r="AW111" s="174"/>
      <c r="AX111" s="174"/>
      <c r="AY111" s="174"/>
      <c r="AZ111" s="174"/>
      <c r="BA111" s="174"/>
      <c r="BB111" s="174"/>
      <c r="BC111" s="174"/>
      <c r="BD111" s="1446"/>
      <c r="BE111" s="1446"/>
      <c r="BF111" s="1013"/>
      <c r="BG111" s="1013"/>
      <c r="BH111" s="1013"/>
      <c r="BI111" s="1446"/>
      <c r="BJ111" s="630"/>
      <c r="BK111" s="630"/>
    </row>
    <row s="1448" customFormat="1" customHeight="1" ht="23.25">
      <c r="A112" s="1812"/>
      <c r="B112" s="429"/>
      <c r="C112" s="1812"/>
      <c r="D112" s="483"/>
      <c r="E112" s="267">
        <v>15</v>
      </c>
      <c r="F112" s="50" cm="1" t="str">
        <f t="array" ref="F112:F112">OFFSET(E112,-1,1)</f>
        <v>3</v>
      </c>
      <c r="G112" s="1812"/>
      <c r="H112" s="146" cm="1" t="str">
        <f t="array" ref="H112:H112">AC112</f>
        <v>Всего по тарифу</v>
      </c>
      <c r="I112" s="1812"/>
      <c r="J112" s="1812"/>
      <c r="K112" s="483" t="str">
        <f>F112&amp;"komm"</f>
        <v>3komm</v>
      </c>
      <c r="L112" s="917" cm="1" t="str">
        <f t="array" ref="L112:L112">BC112</f>
        <v>0</v>
      </c>
      <c r="M112" s="1812"/>
      <c r="N112" s="1812"/>
      <c r="O112" s="1812"/>
      <c r="P112" s="1812"/>
      <c r="Q112" s="1812"/>
      <c r="R112" s="1812"/>
      <c r="S112" s="1812"/>
      <c r="T112" s="465" cm="1" t="str">
        <f t="array" ref="T112:T112">T111</f>
        <v>true</v>
      </c>
      <c r="U112" s="1812"/>
      <c r="V112" s="1812"/>
      <c r="W112" s="1812"/>
      <c r="X112" s="1543"/>
      <c r="Y112" s="1812"/>
      <c r="Z112" s="1565"/>
      <c r="AA112" s="1812"/>
      <c r="AB112" s="145"/>
      <c r="AC112" s="138" t="s">
        <v>1513</v>
      </c>
      <c r="AD112" s="93" t="s">
        <v>1514</v>
      </c>
      <c r="AE112" s="142">
        <f>AE113+AE124+AE131</f>
        <v>0</v>
      </c>
      <c r="AF112" s="142">
        <f>AF113+AF124+AF131</f>
        <v>0</v>
      </c>
      <c r="AG112" s="142">
        <f>AG113+AG124+AG131</f>
        <v>0</v>
      </c>
      <c r="AH112" s="142">
        <f>AH113+AH124+AH131</f>
        <v>0</v>
      </c>
      <c r="AI112" s="142">
        <f>AI113+AI124+AI131</f>
        <v>2974.3866092</v>
      </c>
      <c r="AJ112" s="142">
        <f>AJ113+AJ124+AJ131</f>
        <v>3078.0503603248</v>
      </c>
      <c r="AK112" s="142">
        <f>AK113+AK124+AK131</f>
        <v>3183.66509266114</v>
      </c>
      <c r="AL112" s="142">
        <f>AL113+AL124+AL131</f>
        <v>3292.94706766427</v>
      </c>
      <c r="AM112" s="142">
        <f>AM113+AM124+AM131</f>
        <v>3406.05644287551</v>
      </c>
      <c r="AN112" s="142">
        <f>AN113+AN124+AN131</f>
        <v>0</v>
      </c>
      <c r="AO112" s="142">
        <f>AO113+AO124+AO131</f>
        <v>0</v>
      </c>
      <c r="AP112" s="142">
        <f>AP113+AP124+AP131</f>
        <v>0</v>
      </c>
      <c r="AQ112" s="142">
        <f>AQ113+AQ124+AQ131</f>
        <v>0</v>
      </c>
      <c r="AR112" s="142">
        <f>AR113+AR124+AR131</f>
        <v>0</v>
      </c>
      <c r="AS112" s="142">
        <f>AS113+AS124+AS131</f>
        <v>2974.3866092</v>
      </c>
      <c r="AT112" s="142">
        <f>AT113+AT124+AT131</f>
        <v>3078.0503603248</v>
      </c>
      <c r="AU112" s="142">
        <f>AU113+AU124+AU131</f>
        <v>3183.66509266114</v>
      </c>
      <c r="AV112" s="142">
        <f>AV113+AV124+AV131</f>
        <v>3292.94706766427</v>
      </c>
      <c r="AW112" s="142">
        <f>AW113+AW124+AW131</f>
        <v>3406.05644287551</v>
      </c>
      <c r="AX112" s="142">
        <f>AX113+AX124+AX131</f>
        <v>0</v>
      </c>
      <c r="AY112" s="142">
        <f>AY113+AY124+AY131</f>
        <v>0</v>
      </c>
      <c r="AZ112" s="142">
        <f>AZ113+AZ124+AZ131</f>
        <v>0</v>
      </c>
      <c r="BA112" s="142">
        <f>BA113+BA124+BA131</f>
        <v>0</v>
      </c>
      <c r="BB112" s="142">
        <f>BB113+BB124+BB131</f>
        <v>0</v>
      </c>
      <c r="BC112" s="200"/>
      <c r="BD112" s="1812"/>
      <c r="BE112" s="1812"/>
      <c r="BF112" s="1030" t="s">
        <v>1515</v>
      </c>
      <c r="BG112" s="1030"/>
      <c r="BH112" s="1030"/>
      <c r="BI112" s="1812"/>
      <c r="BJ112" s="267"/>
      <c r="BK112" s="267"/>
    </row>
    <row s="1834" customFormat="1" customHeight="1" ht="23.25">
      <c r="A113" s="1304"/>
      <c r="B113" s="1679"/>
      <c r="C113" s="1304"/>
      <c r="D113" s="916"/>
      <c r="E113" s="630">
        <v>15</v>
      </c>
      <c r="F113" s="1387" cm="1" t="str">
        <f t="array" ref="F113:F113">OFFSET(E113,-1,1)</f>
        <v>3</v>
      </c>
      <c r="G113" s="1304"/>
      <c r="H113" s="1304"/>
      <c r="I113" s="1312" t="s">
        <v>1516</v>
      </c>
      <c r="J113" s="1304"/>
      <c r="K113" s="916"/>
      <c r="L113" s="917"/>
      <c r="M113" s="1304"/>
      <c r="N113" s="1304"/>
      <c r="O113" s="1304"/>
      <c r="P113" s="1304"/>
      <c r="Q113" s="1304"/>
      <c r="R113" s="1304"/>
      <c r="S113" s="1304"/>
      <c r="T113" s="1356" cm="1" t="str">
        <f t="array" ref="T113:T113">T112</f>
        <v>true</v>
      </c>
      <c r="U113" s="1304"/>
      <c r="V113" s="1304"/>
      <c r="W113" s="1304"/>
      <c r="X113" s="1385"/>
      <c r="Y113" s="1304"/>
      <c r="Z113" s="1385"/>
      <c r="AA113" s="1304"/>
      <c r="AB113" s="145" t="s">
        <v>276</v>
      </c>
      <c r="AC113" s="1089" t="s">
        <v>1516</v>
      </c>
      <c r="AD113" s="1564" t="s">
        <v>1514</v>
      </c>
      <c r="AE113" s="191">
        <f>SUMIF($AD114:$AD123,$AD113,AE114:AE123)</f>
        <v>0</v>
      </c>
      <c r="AF113" s="191">
        <f>SUMIF($AD114:$AD123,$AD113,AF114:AF123)</f>
        <v>0</v>
      </c>
      <c r="AG113" s="191">
        <f>SUMIF($AD114:$AD123,$AD113,AG114:AG123)</f>
        <v>0</v>
      </c>
      <c r="AH113" s="191">
        <f>SUMIF($AD114:$AD123,$AD113,AH114:AH123)</f>
        <v>0</v>
      </c>
      <c r="AI113" s="191">
        <f>SUMIF($AD114:$AD123,$AD113,AI114:AI123)</f>
        <v>1661.9050032</v>
      </c>
      <c r="AJ113" s="191">
        <f>SUMIF($AD114:$AD123,$AD113,AJ114:AJ123)</f>
        <v>1726.7192983248</v>
      </c>
      <c r="AK113" s="191">
        <f>SUMIF($AD114:$AD123,$AD113,AK114:AK123)</f>
        <v>1792.33463166114</v>
      </c>
      <c r="AL113" s="191">
        <f>SUMIF($AD114:$AD123,$AD113,AL114:AL123)</f>
        <v>1860.44334766427</v>
      </c>
      <c r="AM113" s="191">
        <f>SUMIF($AD114:$AD123,$AD113,AM114:AM123)</f>
        <v>1931.14019487551</v>
      </c>
      <c r="AN113" s="191">
        <f>SUMIF($AD114:$AD123,$AD113,AN114:AN123)</f>
        <v>0</v>
      </c>
      <c r="AO113" s="191">
        <f>SUMIF($AD114:$AD123,$AD113,AO114:AO123)</f>
        <v>0</v>
      </c>
      <c r="AP113" s="191">
        <f>SUMIF($AD114:$AD123,$AD113,AP114:AP123)</f>
        <v>0</v>
      </c>
      <c r="AQ113" s="191">
        <f>SUMIF($AD114:$AD123,$AD113,AQ114:AQ123)</f>
        <v>0</v>
      </c>
      <c r="AR113" s="191">
        <f>SUMIF($AD114:$AD123,$AD113,AR114:AR123)</f>
        <v>0</v>
      </c>
      <c r="AS113" s="191">
        <f>SUMIF($AD114:$AD123,$AD113,AS114:AS123)</f>
        <v>1661.9050032</v>
      </c>
      <c r="AT113" s="191">
        <f>SUMIF($AD114:$AD123,$AD113,AT114:AT123)</f>
        <v>1726.7192983248</v>
      </c>
      <c r="AU113" s="191">
        <f>SUMIF($AD114:$AD123,$AD113,AU114:AU123)</f>
        <v>1792.33463166114</v>
      </c>
      <c r="AV113" s="191">
        <f>SUMIF($AD114:$AD123,$AD113,AV114:AV123)</f>
        <v>1860.44334766427</v>
      </c>
      <c r="AW113" s="191">
        <f>SUMIF($AD114:$AD123,$AD113,AW114:AW123)</f>
        <v>1931.14019487551</v>
      </c>
      <c r="AX113" s="191">
        <f>SUMIF($AD114:$AD123,$AD113,AX114:AX123)</f>
        <v>0</v>
      </c>
      <c r="AY113" s="191">
        <f>SUMIF($AD114:$AD123,$AD113,AY114:AY123)</f>
        <v>0</v>
      </c>
      <c r="AZ113" s="191">
        <f>SUMIF($AD114:$AD123,$AD113,AZ114:AZ123)</f>
        <v>0</v>
      </c>
      <c r="BA113" s="191">
        <f>SUMIF($AD114:$AD123,$AD113,BA114:BA123)</f>
        <v>0</v>
      </c>
      <c r="BB113" s="191">
        <f>SUMIF($AD114:$AD123,$AD113,BB114:BB123)</f>
        <v>0</v>
      </c>
      <c r="BC113" s="1808" t="s">
        <v>1546</v>
      </c>
      <c r="BD113" s="1304"/>
      <c r="BE113" s="1304"/>
      <c r="BF113" s="1046" t="s">
        <v>1517</v>
      </c>
      <c r="BG113" s="1046"/>
      <c r="BH113" s="1046"/>
      <c r="BI113" s="1809"/>
      <c r="BJ113" s="1047"/>
      <c r="BK113" s="1047"/>
    </row>
    <row s="1448" customFormat="1" customHeight="1" ht="14.25" hidden="1">
      <c r="E114" s="267">
        <v>15</v>
      </c>
      <c r="F114" s="50" cm="1" t="str">
        <f t="array" ref="F114:F114">OFFSET(E114,-1,1)</f>
        <v>3</v>
      </c>
      <c r="G114" s="146" t="s">
        <v>332</v>
      </c>
      <c r="H114" s="146" cm="1" t="str">
        <f t="array" ref="H114:H114">AC114</f>
        <v>0</v>
      </c>
      <c r="T114" s="465">
        <f>AND(F114&gt;0,Y114&gt;0)</f>
        <v>0</v>
      </c>
      <c r="W114" s="717" t="s">
        <v>174</v>
      </c>
      <c r="Y114" s="146">
        <v>0</v>
      </c>
      <c r="AA114" s="662" t="s">
        <v>175</v>
      </c>
      <c r="AB114" s="89" t="str">
        <f>"1."&amp;Y114</f>
        <v>1.0</v>
      </c>
      <c r="AC114" s="3058"/>
      <c r="AD114" s="93" t="s">
        <v>1514</v>
      </c>
      <c r="AE114" s="3059"/>
      <c r="AF114" s="3059"/>
      <c r="AG114" s="3059"/>
      <c r="AH114" s="3059"/>
      <c r="AI114" s="3059"/>
      <c r="AJ114" s="3059"/>
      <c r="AK114" s="3059"/>
      <c r="AL114" s="3059"/>
      <c r="AM114" s="3059"/>
      <c r="AN114" s="3059"/>
      <c r="AO114" s="3059"/>
      <c r="AP114" s="3059"/>
      <c r="AQ114" s="3059"/>
      <c r="AR114" s="3059"/>
      <c r="AS114" s="3059"/>
      <c r="AT114" s="3059"/>
      <c r="AU114" s="3059"/>
      <c r="AV114" s="3059"/>
      <c r="AW114" s="3059"/>
      <c r="AX114" s="3059"/>
      <c r="AY114" s="3059"/>
      <c r="AZ114" s="3059"/>
      <c r="BA114" s="3059"/>
      <c r="BB114" s="3059"/>
      <c r="BC114" s="3060"/>
      <c r="BF114" s="1030" t="s">
        <v>1518</v>
      </c>
      <c r="BG114" s="1030" t="s">
        <v>1519</v>
      </c>
      <c r="BH114" s="1030" cm="1" t="str">
        <f t="array" ref="BH114:BH114">AC114</f>
        <v>0</v>
      </c>
      <c r="BJ114" s="267"/>
      <c r="BK114" s="267" t="b">
        <v>1</v>
      </c>
    </row>
    <row s="1834" customFormat="1" customHeight="1" ht="14.25" hidden="1">
      <c r="E115" s="630">
        <v>15</v>
      </c>
      <c r="F115" s="1175" cm="1" t="str">
        <f t="array" ref="F115:F115">OFFSET(E115,-1,1)</f>
        <v>3</v>
      </c>
      <c r="T115" s="465" cm="1" t="str">
        <f t="array" ref="T115:T115">T114</f>
        <v>false</v>
      </c>
      <c r="AB115" s="1681" t="str">
        <f>AB114&amp;".1"</f>
        <v>1.0.1</v>
      </c>
      <c r="AC115" s="331" t="s">
        <v>1520</v>
      </c>
      <c r="AD115" s="92" t="s">
        <v>1521</v>
      </c>
      <c r="AE115" s="3059"/>
      <c r="AF115" s="3059"/>
      <c r="AG115" s="3059"/>
      <c r="AH115" s="3059"/>
      <c r="AI115" s="3059"/>
      <c r="AJ115" s="3059"/>
      <c r="AK115" s="3059"/>
      <c r="AL115" s="3059"/>
      <c r="AM115" s="3059"/>
      <c r="AN115" s="3059"/>
      <c r="AO115" s="3059"/>
      <c r="AP115" s="3059"/>
      <c r="AQ115" s="3059"/>
      <c r="AR115" s="3059"/>
      <c r="AS115" s="3059"/>
      <c r="AT115" s="3059"/>
      <c r="AU115" s="3059"/>
      <c r="AV115" s="3059"/>
      <c r="AW115" s="3059"/>
      <c r="AX115" s="3059"/>
      <c r="AY115" s="3059"/>
      <c r="AZ115" s="3059"/>
      <c r="BA115" s="3059"/>
      <c r="BB115" s="3059"/>
      <c r="BC115" s="3060"/>
      <c r="BF115" s="1030" t="s">
        <v>1522</v>
      </c>
      <c r="BG115" s="1030" t="s">
        <v>1519</v>
      </c>
      <c r="BH115" s="1030" cm="1" t="str">
        <f t="array" ref="BH115:BH115">BH114</f>
        <v>0</v>
      </c>
      <c r="BI115" s="1030"/>
      <c r="BJ115" s="267"/>
      <c r="BK115" s="267"/>
    </row>
    <row s="1834" customFormat="1" customHeight="1" ht="14.25" hidden="1">
      <c r="E116" s="630">
        <v>15</v>
      </c>
      <c r="F116" s="1175" cm="1" t="str">
        <f t="array" ref="F116:F116">OFFSET(E116,-1,1)</f>
        <v>3</v>
      </c>
      <c r="T116" s="465" cm="1" t="str">
        <f t="array" ref="T116:T116">T115</f>
        <v>false</v>
      </c>
      <c r="AB116" s="1681" t="str">
        <f>AB114&amp;".2"</f>
        <v>1.0.2</v>
      </c>
      <c r="AC116" s="331" t="s">
        <v>1523</v>
      </c>
      <c r="AD116" s="92" t="s">
        <v>1524</v>
      </c>
      <c r="AE116" s="3059"/>
      <c r="AF116" s="3059"/>
      <c r="AG116" s="3059"/>
      <c r="AH116" s="3059"/>
      <c r="AI116" s="3059"/>
      <c r="AJ116" s="3059"/>
      <c r="AK116" s="3059"/>
      <c r="AL116" s="3059"/>
      <c r="AM116" s="3059"/>
      <c r="AN116" s="3059"/>
      <c r="AO116" s="3059"/>
      <c r="AP116" s="3059"/>
      <c r="AQ116" s="3059"/>
      <c r="AR116" s="3059"/>
      <c r="AS116" s="3059"/>
      <c r="AT116" s="3059"/>
      <c r="AU116" s="3059"/>
      <c r="AV116" s="3059"/>
      <c r="AW116" s="3059"/>
      <c r="AX116" s="3059"/>
      <c r="AY116" s="3059"/>
      <c r="AZ116" s="3059"/>
      <c r="BA116" s="3059"/>
      <c r="BB116" s="3059"/>
      <c r="BC116" s="3060"/>
      <c r="BF116" s="1030" t="s">
        <v>1525</v>
      </c>
      <c r="BG116" s="1030" t="s">
        <v>1519</v>
      </c>
      <c r="BH116" s="1030" cm="1" t="str">
        <f t="array" ref="BH116:BH116">BH115</f>
        <v>0</v>
      </c>
      <c r="BI116" s="1030"/>
      <c r="BJ116" s="267"/>
      <c r="BK116" s="267"/>
    </row>
    <row s="1448" customFormat="1" customHeight="1" ht="12.75">
      <c r="A117" s="1448"/>
      <c r="B117" s="1448"/>
      <c r="C117" s="1448"/>
      <c r="D117" s="1448"/>
      <c r="E117" s="267">
        <v>15</v>
      </c>
      <c r="F117" s="50" cm="1" t="str">
        <f t="array" ref="F117:F117">OFFSET(E117,-1,1)</f>
        <v>3</v>
      </c>
      <c r="G117" s="146" t="s">
        <v>332</v>
      </c>
      <c r="H117" s="146" cm="1" t="str">
        <f t="array" ref="H117:H117">AC117</f>
        <v>хлор жидкий</v>
      </c>
      <c r="I117" s="1448"/>
      <c r="J117" s="1448"/>
      <c r="K117" s="1448"/>
      <c r="L117" s="1448"/>
      <c r="M117" s="1448"/>
      <c r="N117" s="1448"/>
      <c r="O117" s="1448"/>
      <c r="P117" s="1448"/>
      <c r="Q117" s="1448"/>
      <c r="R117" s="1448"/>
      <c r="S117" s="1448"/>
      <c r="T117" s="465">
        <f>AND(F117&gt;0,Y117&gt;0)</f>
        <v>1</v>
      </c>
      <c r="U117" s="1448"/>
      <c r="V117" s="1448"/>
      <c r="W117" s="717"/>
      <c r="X117" s="1448"/>
      <c r="Y117" s="146" t="s">
        <v>276</v>
      </c>
      <c r="Z117" s="1448"/>
      <c r="AA117" s="662" t="s">
        <v>175</v>
      </c>
      <c r="AB117" s="89" t="str">
        <f>"1."&amp;Y117</f>
        <v>1.1</v>
      </c>
      <c r="AC117" s="3058" t="s">
        <v>1547</v>
      </c>
      <c r="AD117" s="93" t="s">
        <v>1514</v>
      </c>
      <c r="AE117" s="3061"/>
      <c r="AF117" s="3061"/>
      <c r="AG117" s="3061"/>
      <c r="AH117" s="3061"/>
      <c r="AI117" s="3061">
        <v>1240.372224</v>
      </c>
      <c r="AJ117" s="3061">
        <v>1288.746740736</v>
      </c>
      <c r="AK117" s="3061">
        <v>1337.71911688397</v>
      </c>
      <c r="AL117" s="3061">
        <v>1388.55244332556</v>
      </c>
      <c r="AM117" s="3061">
        <v>1441.31743617193</v>
      </c>
      <c r="AN117" s="3059"/>
      <c r="AO117" s="3059"/>
      <c r="AP117" s="3059"/>
      <c r="AQ117" s="3059"/>
      <c r="AR117" s="3059"/>
      <c r="AS117" s="3061">
        <f>AS118*AS119/1000</f>
        <v>1240.372224</v>
      </c>
      <c r="AT117" s="3061">
        <f>AT118*AT119/1000</f>
        <v>1288.746740736</v>
      </c>
      <c r="AU117" s="3061">
        <f>AU118*AU119/1000</f>
        <v>1337.71911688397</v>
      </c>
      <c r="AV117" s="3061">
        <f>AV118*AV119/1000</f>
        <v>1388.55244332556</v>
      </c>
      <c r="AW117" s="3061">
        <f>AW118*AW119/1000</f>
        <v>1441.31743617193</v>
      </c>
      <c r="AX117" s="3059"/>
      <c r="AY117" s="3059"/>
      <c r="AZ117" s="3059"/>
      <c r="BA117" s="3059"/>
      <c r="BB117" s="3059"/>
      <c r="BC117" s="3062"/>
      <c r="BD117" s="1448"/>
      <c r="BE117" s="1448"/>
      <c r="BF117" s="1030" t="s">
        <v>1518</v>
      </c>
      <c r="BG117" s="1030" t="s">
        <v>1519</v>
      </c>
      <c r="BH117" s="1030" cm="1" t="str">
        <f t="array" ref="BH117:BH117">AC117</f>
        <v>хлор жидкий</v>
      </c>
      <c r="BI117" s="1448"/>
      <c r="BJ117" s="267"/>
      <c r="BK117" s="267" t="b">
        <v>1</v>
      </c>
    </row>
    <row s="1834" customFormat="1" customHeight="1" ht="14.25">
      <c r="A118" s="1834"/>
      <c r="B118" s="1834"/>
      <c r="C118" s="1834"/>
      <c r="D118" s="1834"/>
      <c r="E118" s="630">
        <v>15</v>
      </c>
      <c r="F118" s="1175" cm="1" t="str">
        <f t="array" ref="F118:F118">OFFSET(E118,-1,1)</f>
        <v>3</v>
      </c>
      <c r="G118" s="1834"/>
      <c r="H118" s="1834"/>
      <c r="I118" s="1834"/>
      <c r="J118" s="1834"/>
      <c r="K118" s="1834"/>
      <c r="L118" s="1834"/>
      <c r="M118" s="1834"/>
      <c r="N118" s="1834"/>
      <c r="O118" s="1834"/>
      <c r="P118" s="1834"/>
      <c r="Q118" s="1834"/>
      <c r="R118" s="1834"/>
      <c r="S118" s="1834"/>
      <c r="T118" s="465" cm="1" t="str">
        <f t="array" ref="T118:T118">T117</f>
        <v>true</v>
      </c>
      <c r="U118" s="1834"/>
      <c r="V118" s="1834"/>
      <c r="W118" s="1834"/>
      <c r="X118" s="1834"/>
      <c r="Y118" s="1834"/>
      <c r="Z118" s="1834"/>
      <c r="AA118" s="1834"/>
      <c r="AB118" s="1681" t="str">
        <f>AB117&amp;".1"</f>
        <v>1.1.1</v>
      </c>
      <c r="AC118" s="331" t="s">
        <v>1520</v>
      </c>
      <c r="AD118" s="92" t="s">
        <v>1521</v>
      </c>
      <c r="AE118" s="3061"/>
      <c r="AF118" s="3061"/>
      <c r="AG118" s="3061"/>
      <c r="AH118" s="3061"/>
      <c r="AI118" s="3061">
        <v>12.18</v>
      </c>
      <c r="AJ118" s="3061">
        <v>12.18</v>
      </c>
      <c r="AK118" s="3061">
        <v>12.18</v>
      </c>
      <c r="AL118" s="3061">
        <v>12.18</v>
      </c>
      <c r="AM118" s="3061">
        <v>12.18</v>
      </c>
      <c r="AN118" s="3059"/>
      <c r="AO118" s="3059"/>
      <c r="AP118" s="3059"/>
      <c r="AQ118" s="3059"/>
      <c r="AR118" s="3059"/>
      <c r="AS118" s="3061">
        <v>12.18</v>
      </c>
      <c r="AT118" s="3061" cm="1" t="str">
        <f t="array" ref="AT118:AT118">AS118</f>
        <v>12.18</v>
      </c>
      <c r="AU118" s="3061" cm="1" t="str">
        <f t="array" ref="AU118:AU118">AT118</f>
        <v>12.18</v>
      </c>
      <c r="AV118" s="3061" cm="1" t="str">
        <f t="array" ref="AV118:AV118">AU118</f>
        <v>12.18</v>
      </c>
      <c r="AW118" s="3061" cm="1" t="str">
        <f t="array" ref="AW118:AW118">AV118</f>
        <v>12.18</v>
      </c>
      <c r="AX118" s="3059"/>
      <c r="AY118" s="3059"/>
      <c r="AZ118" s="3059"/>
      <c r="BA118" s="3059"/>
      <c r="BB118" s="3059"/>
      <c r="BC118" s="3062" t="s">
        <v>1548</v>
      </c>
      <c r="BD118" s="1834"/>
      <c r="BE118" s="1834"/>
      <c r="BF118" s="1030" t="s">
        <v>1522</v>
      </c>
      <c r="BG118" s="1030" t="s">
        <v>1519</v>
      </c>
      <c r="BH118" s="1030" cm="1" t="str">
        <f t="array" ref="BH118:BH118">BH117</f>
        <v>хлор жидкий</v>
      </c>
      <c r="BI118" s="1030"/>
      <c r="BJ118" s="267"/>
      <c r="BK118" s="267"/>
    </row>
    <row s="1834" customFormat="1" customHeight="1" ht="33.75">
      <c r="A119" s="1834"/>
      <c r="B119" s="1834"/>
      <c r="C119" s="1834"/>
      <c r="D119" s="1834"/>
      <c r="E119" s="630">
        <v>15</v>
      </c>
      <c r="F119" s="1175" cm="1" t="str">
        <f t="array" ref="F119:F119">OFFSET(E119,-1,1)</f>
        <v>3</v>
      </c>
      <c r="G119" s="1834"/>
      <c r="H119" s="1834"/>
      <c r="I119" s="1834"/>
      <c r="J119" s="1834"/>
      <c r="K119" s="1834"/>
      <c r="L119" s="1834"/>
      <c r="M119" s="1834"/>
      <c r="N119" s="1834"/>
      <c r="O119" s="1834"/>
      <c r="P119" s="1834"/>
      <c r="Q119" s="1834"/>
      <c r="R119" s="1834"/>
      <c r="S119" s="1834"/>
      <c r="T119" s="465" cm="1" t="str">
        <f t="array" ref="T119:T119">T118</f>
        <v>true</v>
      </c>
      <c r="U119" s="1834"/>
      <c r="V119" s="1834"/>
      <c r="W119" s="1834"/>
      <c r="X119" s="1834"/>
      <c r="Y119" s="1834"/>
      <c r="Z119" s="1834"/>
      <c r="AA119" s="1834"/>
      <c r="AB119" s="1681" t="str">
        <f>AB117&amp;".2"</f>
        <v>1.1.2</v>
      </c>
      <c r="AC119" s="331" t="s">
        <v>1523</v>
      </c>
      <c r="AD119" s="92" t="s">
        <v>1524</v>
      </c>
      <c r="AE119" s="3061"/>
      <c r="AF119" s="3061"/>
      <c r="AG119" s="3061"/>
      <c r="AH119" s="3061"/>
      <c r="AI119" s="3061">
        <v>101836.8</v>
      </c>
      <c r="AJ119" s="3061">
        <v>105808.4352</v>
      </c>
      <c r="AK119" s="3061">
        <v>109829.1557376</v>
      </c>
      <c r="AL119" s="3061">
        <v>114002.663655629</v>
      </c>
      <c r="AM119" s="3061">
        <v>118334.764874543</v>
      </c>
      <c r="AN119" s="3059"/>
      <c r="AO119" s="3059"/>
      <c r="AP119" s="3059"/>
      <c r="AQ119" s="3059"/>
      <c r="AR119" s="3059"/>
      <c r="AS119" s="3061">
        <f>97920*1.04</f>
        <v>101836.8</v>
      </c>
      <c r="AT119" s="3061">
        <f>AS119*1.039</f>
        <v>105808.4352</v>
      </c>
      <c r="AU119" s="3061">
        <f>AT119*1.038</f>
        <v>109829.1557376</v>
      </c>
      <c r="AV119" s="3061">
        <f>AU119*1.038</f>
        <v>114002.663655629</v>
      </c>
      <c r="AW119" s="3061">
        <f>AV119*1.038</f>
        <v>118334.764874543</v>
      </c>
      <c r="AX119" s="3059"/>
      <c r="AY119" s="3059"/>
      <c r="AZ119" s="3059"/>
      <c r="BA119" s="3059"/>
      <c r="BB119" s="3059"/>
      <c r="BC119" s="3062" t="s">
        <v>1549</v>
      </c>
      <c r="BD119" s="1834"/>
      <c r="BE119" s="1834"/>
      <c r="BF119" s="1030" t="s">
        <v>1525</v>
      </c>
      <c r="BG119" s="1030" t="s">
        <v>1519</v>
      </c>
      <c r="BH119" s="1030" cm="1" t="str">
        <f t="array" ref="BH119:BH119">BH118</f>
        <v>хлор жидкий</v>
      </c>
      <c r="BI119" s="1030"/>
      <c r="BJ119" s="267"/>
      <c r="BK119" s="267"/>
    </row>
    <row s="1448" customFormat="1" customHeight="1" ht="12.75">
      <c r="A120" s="1448"/>
      <c r="B120" s="1448"/>
      <c r="C120" s="1448"/>
      <c r="D120" s="1448"/>
      <c r="E120" s="267">
        <v>15</v>
      </c>
      <c r="F120" s="50" cm="1" t="str">
        <f t="array" ref="F120:F120">OFFSET(E120,-1,1)</f>
        <v>3</v>
      </c>
      <c r="G120" s="146" t="s">
        <v>332</v>
      </c>
      <c r="H120" s="146" cm="1" t="str">
        <f t="array" ref="H120:H120">AC120</f>
        <v>гипохлорит натрия</v>
      </c>
      <c r="I120" s="1448"/>
      <c r="J120" s="1448"/>
      <c r="K120" s="1448"/>
      <c r="L120" s="1448"/>
      <c r="M120" s="1448"/>
      <c r="N120" s="1448"/>
      <c r="O120" s="1448"/>
      <c r="P120" s="1448"/>
      <c r="Q120" s="1448"/>
      <c r="R120" s="1448"/>
      <c r="S120" s="1448"/>
      <c r="T120" s="465">
        <f>AND(F120&gt;0,Y120&gt;0)</f>
        <v>1</v>
      </c>
      <c r="U120" s="1448"/>
      <c r="V120" s="1448"/>
      <c r="W120" s="717"/>
      <c r="X120" s="1448"/>
      <c r="Y120" s="146" t="s">
        <v>285</v>
      </c>
      <c r="Z120" s="1448"/>
      <c r="AA120" s="662" t="s">
        <v>175</v>
      </c>
      <c r="AB120" s="89" t="str">
        <f>"1."&amp;Y120</f>
        <v>1.2</v>
      </c>
      <c r="AC120" s="3058" t="s">
        <v>1550</v>
      </c>
      <c r="AD120" s="93" t="s">
        <v>1514</v>
      </c>
      <c r="AE120" s="3061"/>
      <c r="AF120" s="3061"/>
      <c r="AG120" s="3061"/>
      <c r="AH120" s="3061"/>
      <c r="AI120" s="3061">
        <v>421.5327792</v>
      </c>
      <c r="AJ120" s="3061">
        <v>437.9725575888</v>
      </c>
      <c r="AK120" s="3061">
        <v>454.615514777174</v>
      </c>
      <c r="AL120" s="3061">
        <v>471.890904338707</v>
      </c>
      <c r="AM120" s="3061">
        <v>489.822758703578</v>
      </c>
      <c r="AN120" s="3059"/>
      <c r="AO120" s="3059"/>
      <c r="AP120" s="3059"/>
      <c r="AQ120" s="3059"/>
      <c r="AR120" s="3059"/>
      <c r="AS120" s="3061">
        <f>AS121*AS122/1000</f>
        <v>421.5327792</v>
      </c>
      <c r="AT120" s="3061">
        <f>AT121*AT122/1000</f>
        <v>437.9725575888</v>
      </c>
      <c r="AU120" s="3061">
        <f>AU121*AU122/1000</f>
        <v>454.615514777174</v>
      </c>
      <c r="AV120" s="3061">
        <f>AV121*AV122/1000</f>
        <v>471.890904338707</v>
      </c>
      <c r="AW120" s="3061">
        <f>AW121*AW122/1000</f>
        <v>489.822758703578</v>
      </c>
      <c r="AX120" s="3059"/>
      <c r="AY120" s="3059"/>
      <c r="AZ120" s="3059"/>
      <c r="BA120" s="3059"/>
      <c r="BB120" s="3059"/>
      <c r="BC120" s="3062"/>
      <c r="BD120" s="1448"/>
      <c r="BE120" s="1448"/>
      <c r="BF120" s="1030" t="s">
        <v>1518</v>
      </c>
      <c r="BG120" s="1030" t="s">
        <v>1519</v>
      </c>
      <c r="BH120" s="1030" cm="1" t="str">
        <f t="array" ref="BH120:BH120">AC120</f>
        <v>гипохлорит натрия</v>
      </c>
      <c r="BI120" s="1448"/>
      <c r="BJ120" s="267"/>
      <c r="BK120" s="267" t="b">
        <v>1</v>
      </c>
    </row>
    <row s="1834" customFormat="1" customHeight="1" ht="14.25">
      <c r="A121" s="1834"/>
      <c r="B121" s="1834"/>
      <c r="C121" s="1834"/>
      <c r="D121" s="1834"/>
      <c r="E121" s="630">
        <v>15</v>
      </c>
      <c r="F121" s="1175" cm="1" t="str">
        <f t="array" ref="F121:F121">OFFSET(E121,-1,1)</f>
        <v>3</v>
      </c>
      <c r="G121" s="1834"/>
      <c r="H121" s="1834"/>
      <c r="I121" s="1834"/>
      <c r="J121" s="1834"/>
      <c r="K121" s="1834"/>
      <c r="L121" s="1834"/>
      <c r="M121" s="1834"/>
      <c r="N121" s="1834"/>
      <c r="O121" s="1834"/>
      <c r="P121" s="1834"/>
      <c r="Q121" s="1834"/>
      <c r="R121" s="1834"/>
      <c r="S121" s="1834"/>
      <c r="T121" s="465" cm="1" t="str">
        <f t="array" ref="T121:T121">T120</f>
        <v>true</v>
      </c>
      <c r="U121" s="1834"/>
      <c r="V121" s="1834"/>
      <c r="W121" s="1834"/>
      <c r="X121" s="1834"/>
      <c r="Y121" s="1834"/>
      <c r="Z121" s="1834"/>
      <c r="AA121" s="1834"/>
      <c r="AB121" s="1681" t="str">
        <f>AB120&amp;".1"</f>
        <v>1.2.1</v>
      </c>
      <c r="AC121" s="331" t="s">
        <v>1520</v>
      </c>
      <c r="AD121" s="92" t="s">
        <v>1521</v>
      </c>
      <c r="AE121" s="3061"/>
      <c r="AF121" s="3061"/>
      <c r="AG121" s="3061"/>
      <c r="AH121" s="3061"/>
      <c r="AI121" s="3061">
        <v>11.379</v>
      </c>
      <c r="AJ121" s="3061">
        <v>11.379</v>
      </c>
      <c r="AK121" s="3061">
        <v>11.379</v>
      </c>
      <c r="AL121" s="3061">
        <v>11.379</v>
      </c>
      <c r="AM121" s="3061">
        <v>11.379</v>
      </c>
      <c r="AN121" s="3059"/>
      <c r="AO121" s="3059"/>
      <c r="AP121" s="3059"/>
      <c r="AQ121" s="3059"/>
      <c r="AR121" s="3059"/>
      <c r="AS121" s="3061">
        <v>11.379</v>
      </c>
      <c r="AT121" s="3061" cm="1" t="str">
        <f t="array" ref="AT121:AT121">AS121</f>
        <v>11.379</v>
      </c>
      <c r="AU121" s="3061" cm="1" t="str">
        <f t="array" ref="AU121:AU121">AT121</f>
        <v>11.379</v>
      </c>
      <c r="AV121" s="3061" cm="1" t="str">
        <f t="array" ref="AV121:AV121">AU121</f>
        <v>11.379</v>
      </c>
      <c r="AW121" s="3061" cm="1" t="str">
        <f t="array" ref="AW121:AW121">AV121</f>
        <v>11.379</v>
      </c>
      <c r="AX121" s="3059"/>
      <c r="AY121" s="3059"/>
      <c r="AZ121" s="3059"/>
      <c r="BA121" s="3059"/>
      <c r="BB121" s="3059"/>
      <c r="BC121" s="3062" t="s">
        <v>1548</v>
      </c>
      <c r="BD121" s="1834"/>
      <c r="BE121" s="1834"/>
      <c r="BF121" s="1030" t="s">
        <v>1522</v>
      </c>
      <c r="BG121" s="1030" t="s">
        <v>1519</v>
      </c>
      <c r="BH121" s="1030" cm="1" t="str">
        <f t="array" ref="BH121:BH121">BH120</f>
        <v>гипохлорит натрия</v>
      </c>
      <c r="BI121" s="1030"/>
      <c r="BJ121" s="267"/>
      <c r="BK121" s="267"/>
    </row>
    <row s="1834" customFormat="1" customHeight="1" ht="33.75">
      <c r="A122" s="1834"/>
      <c r="B122" s="1834"/>
      <c r="C122" s="1834"/>
      <c r="D122" s="1834"/>
      <c r="E122" s="630">
        <v>15</v>
      </c>
      <c r="F122" s="1175" cm="1" t="str">
        <f t="array" ref="F122:F122">OFFSET(E122,-1,1)</f>
        <v>3</v>
      </c>
      <c r="G122" s="1834"/>
      <c r="H122" s="1834"/>
      <c r="I122" s="1834"/>
      <c r="J122" s="1834"/>
      <c r="K122" s="1834"/>
      <c r="L122" s="1834"/>
      <c r="M122" s="1834"/>
      <c r="N122" s="1834"/>
      <c r="O122" s="1834"/>
      <c r="P122" s="1834"/>
      <c r="Q122" s="1834"/>
      <c r="R122" s="1834"/>
      <c r="S122" s="1834"/>
      <c r="T122" s="465" cm="1" t="str">
        <f t="array" ref="T122:T122">T121</f>
        <v>true</v>
      </c>
      <c r="U122" s="1834"/>
      <c r="V122" s="1834"/>
      <c r="W122" s="1834"/>
      <c r="X122" s="1834"/>
      <c r="Y122" s="1834"/>
      <c r="Z122" s="1834"/>
      <c r="AA122" s="1834"/>
      <c r="AB122" s="1681" t="str">
        <f>AB120&amp;".2"</f>
        <v>1.2.2</v>
      </c>
      <c r="AC122" s="331" t="s">
        <v>1523</v>
      </c>
      <c r="AD122" s="92" t="s">
        <v>1524</v>
      </c>
      <c r="AE122" s="3061"/>
      <c r="AF122" s="3061"/>
      <c r="AG122" s="3061"/>
      <c r="AH122" s="3061"/>
      <c r="AI122" s="3061">
        <v>37044.8</v>
      </c>
      <c r="AJ122" s="3061">
        <v>38489.5472</v>
      </c>
      <c r="AK122" s="3061">
        <v>39952.1499936</v>
      </c>
      <c r="AL122" s="3061">
        <v>41470.3316933568</v>
      </c>
      <c r="AM122" s="3061">
        <v>43046.2042977044</v>
      </c>
      <c r="AN122" s="3059"/>
      <c r="AO122" s="3059"/>
      <c r="AP122" s="3059"/>
      <c r="AQ122" s="3059"/>
      <c r="AR122" s="3059"/>
      <c r="AS122" s="3061">
        <f>35620*1.04</f>
        <v>37044.8</v>
      </c>
      <c r="AT122" s="3061">
        <f>AS122*1.039</f>
        <v>38489.5472</v>
      </c>
      <c r="AU122" s="3061">
        <f>AT122*1.038</f>
        <v>39952.1499936</v>
      </c>
      <c r="AV122" s="3061">
        <f>AU122*1.038</f>
        <v>41470.3316933568</v>
      </c>
      <c r="AW122" s="3061">
        <f>AV122*1.038</f>
        <v>43046.2042977044</v>
      </c>
      <c r="AX122" s="3059"/>
      <c r="AY122" s="3059"/>
      <c r="AZ122" s="3059"/>
      <c r="BA122" s="3059"/>
      <c r="BB122" s="3059"/>
      <c r="BC122" s="3062" t="s">
        <v>1551</v>
      </c>
      <c r="BD122" s="1834"/>
      <c r="BE122" s="1834"/>
      <c r="BF122" s="1030" t="s">
        <v>1525</v>
      </c>
      <c r="BG122" s="1030" t="s">
        <v>1519</v>
      </c>
      <c r="BH122" s="1030" cm="1" t="str">
        <f t="array" ref="BH122:BH122">BH121</f>
        <v>гипохлорит натрия</v>
      </c>
      <c r="BI122" s="1030"/>
      <c r="BJ122" s="267"/>
      <c r="BK122" s="267"/>
    </row>
    <row s="1834" customFormat="1" customHeight="1" ht="12.75">
      <c r="A123" s="1304"/>
      <c r="B123" s="1682"/>
      <c r="C123" s="1304"/>
      <c r="D123" s="1304"/>
      <c r="E123" s="630">
        <v>15</v>
      </c>
      <c r="F123" s="1387" cm="1" t="str">
        <f t="array" ref="F123:F123">OFFSET(E123,-1,1)</f>
        <v>3</v>
      </c>
      <c r="G123" s="1304"/>
      <c r="H123" s="1377" t="str">
        <f>"!== 'Всего по тарифу'"</f>
        <v>!== 'Всего по тарифу'</v>
      </c>
      <c r="I123" s="1304"/>
      <c r="J123" s="1304"/>
      <c r="K123" s="1304"/>
      <c r="L123" s="1304"/>
      <c r="M123" s="1304"/>
      <c r="N123" s="1304"/>
      <c r="O123" s="1304"/>
      <c r="P123" s="1304"/>
      <c r="Q123" s="1304"/>
      <c r="R123" s="1304"/>
      <c r="S123" s="1304"/>
      <c r="T123" s="1356">
        <f>F123&gt;0</f>
        <v>1</v>
      </c>
      <c r="U123" s="1304"/>
      <c r="V123" s="1304"/>
      <c r="W123" s="849" t="s">
        <v>399</v>
      </c>
      <c r="X123" s="1385"/>
      <c r="Y123" s="1304"/>
      <c r="Z123" s="1385"/>
      <c r="AA123" s="1304"/>
      <c r="AB123" s="1683"/>
      <c r="AC123" s="1684" t="s">
        <v>178</v>
      </c>
      <c r="AD123" s="1685"/>
      <c r="AE123" s="1685"/>
      <c r="AF123" s="1685"/>
      <c r="AG123" s="1685"/>
      <c r="AH123" s="1685"/>
      <c r="AI123" s="1685"/>
      <c r="AJ123" s="1685"/>
      <c r="AK123" s="1685"/>
      <c r="AL123" s="1685"/>
      <c r="AM123" s="1685"/>
      <c r="AN123" s="1685"/>
      <c r="AO123" s="1685"/>
      <c r="AP123" s="1685"/>
      <c r="AQ123" s="1685"/>
      <c r="AR123" s="1685"/>
      <c r="AS123" s="1685"/>
      <c r="AT123" s="1685"/>
      <c r="AU123" s="1685"/>
      <c r="AV123" s="1685"/>
      <c r="AW123" s="1685"/>
      <c r="AX123" s="1685"/>
      <c r="AY123" s="1685"/>
      <c r="AZ123" s="1685"/>
      <c r="BA123" s="1685"/>
      <c r="BB123" s="1685"/>
      <c r="BC123" s="1686"/>
      <c r="BD123" s="1304"/>
      <c r="BE123" s="1304"/>
      <c r="BF123" s="1018"/>
      <c r="BG123" s="1018"/>
      <c r="BH123" s="1018"/>
      <c r="BI123" s="1810"/>
      <c r="BJ123" s="1338" t="s">
        <v>1519</v>
      </c>
      <c r="BK123" s="1338"/>
    </row>
    <row s="1834" customFormat="1" customHeight="1" ht="23.25">
      <c r="A124" s="1304"/>
      <c r="B124" s="1682"/>
      <c r="C124" s="1304"/>
      <c r="D124" s="1304"/>
      <c r="E124" s="630">
        <v>15</v>
      </c>
      <c r="F124" s="1387" cm="1" t="str">
        <f t="array" ref="F124:F124">OFFSET(E124,-1,1)</f>
        <v>3</v>
      </c>
      <c r="G124" s="1304"/>
      <c r="H124" s="1304"/>
      <c r="I124" s="1312" t="s">
        <v>1526</v>
      </c>
      <c r="J124" s="1304"/>
      <c r="K124" s="1304"/>
      <c r="L124" s="1304"/>
      <c r="M124" s="1304"/>
      <c r="N124" s="1304"/>
      <c r="O124" s="1304"/>
      <c r="P124" s="1304"/>
      <c r="Q124" s="1304"/>
      <c r="R124" s="1304"/>
      <c r="S124" s="1304"/>
      <c r="T124" s="1356" cm="1" t="str">
        <f t="array" ref="T124:T124">T123</f>
        <v>true</v>
      </c>
      <c r="U124" s="1304"/>
      <c r="V124" s="1304"/>
      <c r="W124" s="849"/>
      <c r="X124" s="1385"/>
      <c r="Y124" s="1304"/>
      <c r="Z124" s="1385"/>
      <c r="AA124" s="1304"/>
      <c r="AB124" s="145" t="s">
        <v>285</v>
      </c>
      <c r="AC124" s="1089" t="s">
        <v>1526</v>
      </c>
      <c r="AD124" s="1564" t="s">
        <v>1514</v>
      </c>
      <c r="AE124" s="191">
        <f>AE125+AE126</f>
        <v>0</v>
      </c>
      <c r="AF124" s="191">
        <f>AF125+AF126</f>
        <v>0</v>
      </c>
      <c r="AG124" s="191">
        <f>AG125+AG126</f>
        <v>0</v>
      </c>
      <c r="AH124" s="191">
        <f>AH125+AH126</f>
        <v>0</v>
      </c>
      <c r="AI124" s="191">
        <f>AI125+AI126</f>
        <v>242</v>
      </c>
      <c r="AJ124" s="191">
        <f>AJ125+AJ126</f>
        <v>249.1632</v>
      </c>
      <c r="AK124" s="191">
        <f>AK125+AK126</f>
        <v>256.53843</v>
      </c>
      <c r="AL124" s="191">
        <f>AL125+AL126</f>
        <v>264.12197</v>
      </c>
      <c r="AM124" s="191">
        <f>AM125+AM126</f>
        <v>271.95027</v>
      </c>
      <c r="AN124" s="191">
        <f>AN125+AN126</f>
        <v>0</v>
      </c>
      <c r="AO124" s="191">
        <f>AO125+AO126</f>
        <v>0</v>
      </c>
      <c r="AP124" s="191">
        <f>AP125+AP126</f>
        <v>0</v>
      </c>
      <c r="AQ124" s="191">
        <f>AQ125+AQ126</f>
        <v>0</v>
      </c>
      <c r="AR124" s="191">
        <f>AR125+AR126</f>
        <v>0</v>
      </c>
      <c r="AS124" s="191">
        <f>AS125+AS126</f>
        <v>242</v>
      </c>
      <c r="AT124" s="191">
        <f>AT125+AT126</f>
        <v>249.1632</v>
      </c>
      <c r="AU124" s="191">
        <f>AU125+AU126</f>
        <v>256.53843</v>
      </c>
      <c r="AV124" s="191">
        <f>AV125+AV126</f>
        <v>264.12197</v>
      </c>
      <c r="AW124" s="191">
        <f>AW125+AW126</f>
        <v>271.95027</v>
      </c>
      <c r="AX124" s="191">
        <f>AX125+AX126</f>
        <v>0</v>
      </c>
      <c r="AY124" s="191">
        <f>AY125+AY126</f>
        <v>0</v>
      </c>
      <c r="AZ124" s="191">
        <f>AZ125+AZ126</f>
        <v>0</v>
      </c>
      <c r="BA124" s="191">
        <f>BA125+BA126</f>
        <v>0</v>
      </c>
      <c r="BB124" s="191">
        <f>BB125+BB126</f>
        <v>0</v>
      </c>
      <c r="BC124" s="1808" t="s">
        <v>1561</v>
      </c>
      <c r="BD124" s="1304"/>
      <c r="BE124" s="1304"/>
      <c r="BF124" s="1018" t="s">
        <v>1527</v>
      </c>
      <c r="BG124" s="1018"/>
      <c r="BH124" s="1018"/>
      <c r="BI124" s="1810"/>
      <c r="BJ124" s="1338"/>
      <c r="BK124" s="1338"/>
    </row>
    <row s="1834" customFormat="1" customHeight="1" ht="65.25">
      <c r="A125" s="1304"/>
      <c r="B125" s="1682"/>
      <c r="C125" s="1304"/>
      <c r="D125" s="1304"/>
      <c r="E125" s="630">
        <v>33.75</v>
      </c>
      <c r="F125" s="1387" cm="1" t="str">
        <f t="array" ref="F125:F125">OFFSET(E125,-1,1)</f>
        <v>3</v>
      </c>
      <c r="G125" s="1304"/>
      <c r="H125" s="1304"/>
      <c r="I125" s="1304"/>
      <c r="J125" s="1304"/>
      <c r="K125" s="1304"/>
      <c r="L125" s="1304"/>
      <c r="M125" s="1304"/>
      <c r="N125" s="1304"/>
      <c r="O125" s="1304"/>
      <c r="P125" s="1304"/>
      <c r="Q125" s="1304"/>
      <c r="R125" s="1304"/>
      <c r="S125" s="1304"/>
      <c r="T125" s="1356" cm="1" t="str">
        <f t="array" ref="T125:T125">T124</f>
        <v>true</v>
      </c>
      <c r="U125" s="1304"/>
      <c r="V125" s="1304"/>
      <c r="W125" s="849"/>
      <c r="X125" s="1385"/>
      <c r="Y125" s="1304"/>
      <c r="Z125" s="1385"/>
      <c r="AA125" s="1304"/>
      <c r="AB125" s="145" t="s">
        <v>1250</v>
      </c>
      <c r="AC125" s="1089" t="s">
        <v>1528</v>
      </c>
      <c r="AD125" s="1564" t="s">
        <v>1514</v>
      </c>
      <c r="AE125" s="1096"/>
      <c r="AF125" s="1096"/>
      <c r="AG125" s="1096"/>
      <c r="AH125" s="1096"/>
      <c r="AI125" s="1096">
        <v>242</v>
      </c>
      <c r="AJ125" s="1096">
        <v>249.1632</v>
      </c>
      <c r="AK125" s="1096">
        <v>256.53843</v>
      </c>
      <c r="AL125" s="1096">
        <v>264.12197</v>
      </c>
      <c r="AM125" s="1096">
        <v>271.95027</v>
      </c>
      <c r="AN125" s="2846"/>
      <c r="AO125" s="2846"/>
      <c r="AP125" s="2846"/>
      <c r="AQ125" s="2846"/>
      <c r="AR125" s="2846"/>
      <c r="AS125" s="1096">
        <v>242</v>
      </c>
      <c r="AT125" s="1096">
        <v>249.1632</v>
      </c>
      <c r="AU125" s="1096">
        <v>256.53843</v>
      </c>
      <c r="AV125" s="1096">
        <v>264.12197</v>
      </c>
      <c r="AW125" s="1096">
        <v>271.95027</v>
      </c>
      <c r="AX125" s="2846"/>
      <c r="AY125" s="2846"/>
      <c r="AZ125" s="2846"/>
      <c r="BA125" s="2846"/>
      <c r="BB125" s="2846"/>
      <c r="BC125" s="1808" t="s">
        <v>1562</v>
      </c>
      <c r="BD125" s="1304"/>
      <c r="BE125" s="1304"/>
      <c r="BF125" s="1018" t="s">
        <v>1529</v>
      </c>
      <c r="BG125" s="1018"/>
      <c r="BH125" s="1018"/>
      <c r="BI125" s="1810"/>
      <c r="BJ125" s="1338"/>
      <c r="BK125" s="1338"/>
    </row>
    <row s="1834" customFormat="1" customHeight="1" ht="0">
      <c r="A126" s="1304"/>
      <c r="B126" s="1682"/>
      <c r="C126" s="1304"/>
      <c r="D126" s="1304"/>
      <c r="E126" s="630">
        <v>45</v>
      </c>
      <c r="F126" s="1387" cm="1" t="str">
        <f t="array" ref="F126:F126">OFFSET(E126,-1,1)</f>
        <v>3</v>
      </c>
      <c r="G126" s="1304"/>
      <c r="H126" s="1304"/>
      <c r="I126" s="1304"/>
      <c r="J126" s="1304"/>
      <c r="K126" s="1304"/>
      <c r="L126" s="1304"/>
      <c r="M126" s="1304"/>
      <c r="N126" s="1304"/>
      <c r="O126" s="1304"/>
      <c r="P126" s="1304"/>
      <c r="Q126" s="1304"/>
      <c r="R126" s="1304"/>
      <c r="S126" s="1304"/>
      <c r="T126" s="1356" cm="1" t="str">
        <f t="array" ref="T126:T126">T125</f>
        <v>true</v>
      </c>
      <c r="U126" s="1304"/>
      <c r="V126" s="1304"/>
      <c r="W126" s="849"/>
      <c r="X126" s="1385"/>
      <c r="Y126" s="1304"/>
      <c r="Z126" s="1385"/>
      <c r="AA126" s="1304"/>
      <c r="AB126" s="145" t="s">
        <v>1254</v>
      </c>
      <c r="AC126" s="1089" t="s">
        <v>1530</v>
      </c>
      <c r="AD126" s="1564" t="s">
        <v>1514</v>
      </c>
      <c r="AE126" s="191">
        <f>SUMIF($AD127:$AD130,$AD126,AE127:AE130)</f>
        <v>0</v>
      </c>
      <c r="AF126" s="191">
        <f>SUMIF($AD127:$AD130,$AD126,AF127:AF130)</f>
        <v>0</v>
      </c>
      <c r="AG126" s="191">
        <f>SUMIF($AD127:$AD130,$AD126,AG127:AG130)</f>
        <v>0</v>
      </c>
      <c r="AH126" s="191">
        <f>SUMIF($AD127:$AD130,$AD126,AH127:AH130)</f>
        <v>0</v>
      </c>
      <c r="AI126" s="191">
        <f>SUMIF($AD127:$AD130,$AD126,AI127:AI130)</f>
        <v>0</v>
      </c>
      <c r="AJ126" s="191">
        <f>SUMIF($AD127:$AD130,$AD126,AJ127:AJ130)</f>
        <v>0</v>
      </c>
      <c r="AK126" s="191">
        <f>SUMIF($AD127:$AD130,$AD126,AK127:AK130)</f>
        <v>0</v>
      </c>
      <c r="AL126" s="191">
        <f>SUMIF($AD127:$AD130,$AD126,AL127:AL130)</f>
        <v>0</v>
      </c>
      <c r="AM126" s="191">
        <f>SUMIF($AD127:$AD130,$AD126,AM127:AM130)</f>
        <v>0</v>
      </c>
      <c r="AN126" s="191">
        <f>SUMIF($AD127:$AD130,$AD126,AN127:AN130)</f>
        <v>0</v>
      </c>
      <c r="AO126" s="191">
        <f>SUMIF($AD127:$AD130,$AD126,AO127:AO130)</f>
        <v>0</v>
      </c>
      <c r="AP126" s="191">
        <f>SUMIF($AD127:$AD130,$AD126,AP127:AP130)</f>
        <v>0</v>
      </c>
      <c r="AQ126" s="191">
        <f>SUMIF($AD127:$AD130,$AD126,AQ127:AQ130)</f>
        <v>0</v>
      </c>
      <c r="AR126" s="191">
        <f>SUMIF($AD127:$AD130,$AD126,AR127:AR130)</f>
        <v>0</v>
      </c>
      <c r="AS126" s="191">
        <f>SUMIF($AD127:$AD130,$AD126,AS127:AS130)</f>
        <v>0</v>
      </c>
      <c r="AT126" s="191">
        <f>SUMIF($AD127:$AD130,$AD126,AT127:AT130)</f>
        <v>0</v>
      </c>
      <c r="AU126" s="191">
        <f>SUMIF($AD127:$AD130,$AD126,AU127:AU130)</f>
        <v>0</v>
      </c>
      <c r="AV126" s="191">
        <f>SUMIF($AD127:$AD130,$AD126,AV127:AV130)</f>
        <v>0</v>
      </c>
      <c r="AW126" s="191">
        <f>SUMIF($AD127:$AD130,$AD126,AW127:AW130)</f>
        <v>0</v>
      </c>
      <c r="AX126" s="191">
        <f>SUMIF($AD127:$AD130,$AD126,AX127:AX130)</f>
        <v>0</v>
      </c>
      <c r="AY126" s="191">
        <f>SUMIF($AD127:$AD130,$AD126,AY127:AY130)</f>
        <v>0</v>
      </c>
      <c r="AZ126" s="191">
        <f>SUMIF($AD127:$AD130,$AD126,AZ127:AZ130)</f>
        <v>0</v>
      </c>
      <c r="BA126" s="191">
        <f>SUMIF($AD127:$AD130,$AD126,BA127:BA130)</f>
        <v>0</v>
      </c>
      <c r="BB126" s="191">
        <f>SUMIF($AD127:$AD130,$AD126,BB127:BB130)</f>
        <v>0</v>
      </c>
      <c r="BC126" s="1808"/>
      <c r="BD126" s="1304"/>
      <c r="BE126" s="1304"/>
      <c r="BF126" s="1018" t="s">
        <v>1531</v>
      </c>
      <c r="BG126" s="1018"/>
      <c r="BH126" s="1018"/>
      <c r="BI126" s="1810"/>
      <c r="BJ126" s="1338"/>
      <c r="BK126" s="1338"/>
    </row>
    <row s="1834" customFormat="1" customHeight="1" ht="12.75" hidden="1">
      <c r="A127" s="1379"/>
      <c r="B127" s="1641"/>
      <c r="C127" s="1379"/>
      <c r="D127" s="1379"/>
      <c r="E127" s="630">
        <v>15</v>
      </c>
      <c r="F127" s="1387" cm="1" t="str">
        <f t="array" ref="F127:F127">OFFSET(E127,-1,1)</f>
        <v>3</v>
      </c>
      <c r="G127" s="1379"/>
      <c r="H127" s="1379"/>
      <c r="I127" s="1379"/>
      <c r="J127" s="1379"/>
      <c r="K127" s="1379"/>
      <c r="L127" s="1379"/>
      <c r="M127" s="1379"/>
      <c r="N127" s="1379"/>
      <c r="O127" s="1379"/>
      <c r="P127" s="1379"/>
      <c r="Q127" s="1379"/>
      <c r="R127" s="1379"/>
      <c r="S127" s="1379"/>
      <c r="T127" s="1356">
        <f>AND(F127&gt;0,Y127&gt;0)</f>
        <v>0</v>
      </c>
      <c r="U127" s="1304"/>
      <c r="V127" s="1304"/>
      <c r="W127" s="849" t="s">
        <v>174</v>
      </c>
      <c r="X127" s="1385"/>
      <c r="Y127" s="1596">
        <v>0</v>
      </c>
      <c r="Z127" s="1385"/>
      <c r="AA127" s="1687" t="s">
        <v>175</v>
      </c>
      <c r="AB127" s="1604" t="str">
        <f>"2.3."&amp;Y127</f>
        <v>2.3.0</v>
      </c>
      <c r="AC127" s="2860"/>
      <c r="AD127" s="1564" t="s">
        <v>1514</v>
      </c>
      <c r="AE127" s="2846"/>
      <c r="AF127" s="2846"/>
      <c r="AG127" s="2846"/>
      <c r="AH127" s="2846"/>
      <c r="AI127" s="2846"/>
      <c r="AJ127" s="2846"/>
      <c r="AK127" s="2846"/>
      <c r="AL127" s="2846"/>
      <c r="AM127" s="2846"/>
      <c r="AN127" s="2846"/>
      <c r="AO127" s="2846"/>
      <c r="AP127" s="2846"/>
      <c r="AQ127" s="2846"/>
      <c r="AR127" s="2846"/>
      <c r="AS127" s="2846"/>
      <c r="AT127" s="2846"/>
      <c r="AU127" s="2846"/>
      <c r="AV127" s="2846"/>
      <c r="AW127" s="2846"/>
      <c r="AX127" s="2846"/>
      <c r="AY127" s="2846"/>
      <c r="AZ127" s="2846"/>
      <c r="BA127" s="2846"/>
      <c r="BB127" s="2846"/>
      <c r="BC127" s="2836"/>
      <c r="BD127" s="1304"/>
      <c r="BE127" s="1304"/>
      <c r="BF127" s="1289" t="s">
        <v>1532</v>
      </c>
      <c r="BG127" s="1289" t="s">
        <v>1533</v>
      </c>
      <c r="BH127" s="1289" cm="1" t="str">
        <f t="array" ref="BH127:BH127">AC127</f>
        <v>0</v>
      </c>
      <c r="BI127" s="1811" cm="1" t="str">
        <f t="array" ref="BI127:BI127">AD128</f>
        <v>0</v>
      </c>
      <c r="BJ127" s="1224"/>
      <c r="BK127" s="1380" t="b">
        <v>1</v>
      </c>
    </row>
    <row s="1834" customFormat="1" customHeight="1" ht="12.75" hidden="1">
      <c r="A128" s="1379"/>
      <c r="B128" s="1641"/>
      <c r="C128" s="1379"/>
      <c r="D128" s="1379"/>
      <c r="E128" s="630">
        <v>15</v>
      </c>
      <c r="F128" s="1387" cm="1" t="str">
        <f t="array" ref="F128:F128">OFFSET(E128,-1,1)</f>
        <v>3</v>
      </c>
      <c r="G128" s="1379"/>
      <c r="H128" s="1379"/>
      <c r="I128" s="1379"/>
      <c r="J128" s="1379"/>
      <c r="K128" s="1379"/>
      <c r="L128" s="1379"/>
      <c r="M128" s="1379"/>
      <c r="N128" s="1379"/>
      <c r="O128" s="1379"/>
      <c r="P128" s="1379"/>
      <c r="Q128" s="1379"/>
      <c r="R128" s="1379"/>
      <c r="S128" s="1379"/>
      <c r="T128" s="1356" cm="1" t="str">
        <f t="array" ref="T128:T128">T127</f>
        <v>false</v>
      </c>
      <c r="U128" s="1379"/>
      <c r="V128" s="1388"/>
      <c r="W128" s="1379"/>
      <c r="X128" s="1385"/>
      <c r="Y128" s="1596"/>
      <c r="Z128" s="1385"/>
      <c r="AA128" s="1687"/>
      <c r="AB128" s="1604" t="str">
        <f>AB127&amp;".1"</f>
        <v>2.3.0.1</v>
      </c>
      <c r="AC128" s="1091" t="s">
        <v>1520</v>
      </c>
      <c r="AD128" s="2867"/>
      <c r="AE128" s="2846"/>
      <c r="AF128" s="2846"/>
      <c r="AG128" s="2846"/>
      <c r="AH128" s="2846"/>
      <c r="AI128" s="2846"/>
      <c r="AJ128" s="2846"/>
      <c r="AK128" s="2846"/>
      <c r="AL128" s="2846"/>
      <c r="AM128" s="2846"/>
      <c r="AN128" s="2846"/>
      <c r="AO128" s="2846"/>
      <c r="AP128" s="2846"/>
      <c r="AQ128" s="2846"/>
      <c r="AR128" s="2846"/>
      <c r="AS128" s="2846"/>
      <c r="AT128" s="2846"/>
      <c r="AU128" s="2846"/>
      <c r="AV128" s="2846"/>
      <c r="AW128" s="2846"/>
      <c r="AX128" s="2846"/>
      <c r="AY128" s="2846"/>
      <c r="AZ128" s="2846"/>
      <c r="BA128" s="2846"/>
      <c r="BB128" s="2846"/>
      <c r="BC128" s="2836"/>
      <c r="BD128" s="1304"/>
      <c r="BE128" s="1304"/>
      <c r="BF128" s="1289" t="s">
        <v>1522</v>
      </c>
      <c r="BG128" s="1289" t="s">
        <v>1533</v>
      </c>
      <c r="BH128" s="1289" cm="1" t="str">
        <f t="array" ref="BH128:BH128">BH127</f>
        <v>0</v>
      </c>
      <c r="BI128" s="1811" cm="1" t="str">
        <f t="array" ref="BI128:BI128">BI127</f>
        <v>0</v>
      </c>
      <c r="BJ128" s="1224"/>
      <c r="BK128" s="1380"/>
    </row>
    <row s="1834" customFormat="1" customHeight="1" ht="12.75" hidden="1">
      <c r="A129" s="1379"/>
      <c r="B129" s="1641"/>
      <c r="C129" s="1379"/>
      <c r="D129" s="1379"/>
      <c r="E129" s="630">
        <v>15</v>
      </c>
      <c r="F129" s="1387" cm="1" t="str">
        <f t="array" ref="F129:F129">OFFSET(E129,-1,1)</f>
        <v>3</v>
      </c>
      <c r="G129" s="1379"/>
      <c r="H129" s="1379"/>
      <c r="I129" s="1379"/>
      <c r="J129" s="1379"/>
      <c r="K129" s="1379"/>
      <c r="L129" s="1379"/>
      <c r="M129" s="1379"/>
      <c r="N129" s="1379"/>
      <c r="O129" s="1379"/>
      <c r="P129" s="1379"/>
      <c r="Q129" s="1379"/>
      <c r="R129" s="1379"/>
      <c r="S129" s="1379"/>
      <c r="T129" s="1356" cm="1" t="str">
        <f t="array" ref="T129:T129">T128</f>
        <v>false</v>
      </c>
      <c r="U129" s="1379"/>
      <c r="V129" s="1388"/>
      <c r="W129" s="1379"/>
      <c r="X129" s="1385"/>
      <c r="Y129" s="1596"/>
      <c r="Z129" s="1385"/>
      <c r="AA129" s="1687"/>
      <c r="AB129" s="1604" t="str">
        <f>AB127&amp;".2"</f>
        <v>2.3.0.2</v>
      </c>
      <c r="AC129" s="1091" t="s">
        <v>1534</v>
      </c>
      <c r="AD129" s="1578" t="s">
        <v>1524</v>
      </c>
      <c r="AE129" s="2846"/>
      <c r="AF129" s="2846"/>
      <c r="AG129" s="2846"/>
      <c r="AH129" s="2846"/>
      <c r="AI129" s="2846"/>
      <c r="AJ129" s="2846"/>
      <c r="AK129" s="2846"/>
      <c r="AL129" s="2846"/>
      <c r="AM129" s="2846"/>
      <c r="AN129" s="2846"/>
      <c r="AO129" s="2846"/>
      <c r="AP129" s="2846"/>
      <c r="AQ129" s="2846"/>
      <c r="AR129" s="2846"/>
      <c r="AS129" s="2846"/>
      <c r="AT129" s="2846"/>
      <c r="AU129" s="2846"/>
      <c r="AV129" s="2846"/>
      <c r="AW129" s="2846"/>
      <c r="AX129" s="2846"/>
      <c r="AY129" s="2846"/>
      <c r="AZ129" s="2846"/>
      <c r="BA129" s="2846"/>
      <c r="BB129" s="2846"/>
      <c r="BC129" s="2836"/>
      <c r="BD129" s="1304"/>
      <c r="BE129" s="1304"/>
      <c r="BF129" s="1289" t="s">
        <v>1525</v>
      </c>
      <c r="BG129" s="1289" t="s">
        <v>1533</v>
      </c>
      <c r="BH129" s="1289" cm="1" t="str">
        <f t="array" ref="BH129:BH129">BH128</f>
        <v>0</v>
      </c>
      <c r="BI129" s="1811" cm="1" t="str">
        <f t="array" ref="BI129:BI129">BI128</f>
        <v>0</v>
      </c>
      <c r="BJ129" s="1224"/>
      <c r="BK129" s="1380"/>
    </row>
    <row s="1834" customFormat="1" customHeight="1" ht="12.75">
      <c r="A130" s="1379"/>
      <c r="B130" s="1641"/>
      <c r="C130" s="1379"/>
      <c r="D130" s="1379"/>
      <c r="E130" s="630">
        <v>15</v>
      </c>
      <c r="F130" s="1387" cm="1" t="str">
        <f t="array" ref="F130:F130">OFFSET(E130,-1,1)</f>
        <v>3</v>
      </c>
      <c r="G130" s="1379"/>
      <c r="H130" s="1379"/>
      <c r="I130" s="1379"/>
      <c r="J130" s="1379"/>
      <c r="K130" s="1379"/>
      <c r="L130" s="1379"/>
      <c r="M130" s="1379"/>
      <c r="N130" s="1379"/>
      <c r="O130" s="1379"/>
      <c r="P130" s="1379"/>
      <c r="Q130" s="1379"/>
      <c r="R130" s="1379"/>
      <c r="S130" s="1379"/>
      <c r="T130" s="1356">
        <f>F130&gt;0</f>
        <v>1</v>
      </c>
      <c r="U130" s="1379"/>
      <c r="V130" s="1388"/>
      <c r="W130" s="849" t="s">
        <v>1535</v>
      </c>
      <c r="X130" s="1385"/>
      <c r="Y130" s="1379"/>
      <c r="Z130" s="1385"/>
      <c r="AA130" s="1379"/>
      <c r="AB130" s="1689"/>
      <c r="AC130" s="1690" t="s">
        <v>178</v>
      </c>
      <c r="AD130" s="1685"/>
      <c r="AE130" s="1685"/>
      <c r="AF130" s="1685"/>
      <c r="AG130" s="1685"/>
      <c r="AH130" s="1685"/>
      <c r="AI130" s="1685"/>
      <c r="AJ130" s="1685"/>
      <c r="AK130" s="1685"/>
      <c r="AL130" s="1685"/>
      <c r="AM130" s="1685"/>
      <c r="AN130" s="1685"/>
      <c r="AO130" s="1685"/>
      <c r="AP130" s="1685"/>
      <c r="AQ130" s="1685"/>
      <c r="AR130" s="1685"/>
      <c r="AS130" s="1685"/>
      <c r="AT130" s="1685"/>
      <c r="AU130" s="1685"/>
      <c r="AV130" s="1685"/>
      <c r="AW130" s="1685"/>
      <c r="AX130" s="1685"/>
      <c r="AY130" s="1685"/>
      <c r="AZ130" s="1685"/>
      <c r="BA130" s="1685"/>
      <c r="BB130" s="1685"/>
      <c r="BC130" s="1685"/>
      <c r="BD130" s="1304"/>
      <c r="BE130" s="1304"/>
      <c r="BF130" s="1289"/>
      <c r="BG130" s="1289"/>
      <c r="BH130" s="1289"/>
      <c r="BI130" s="1811"/>
      <c r="BJ130" s="1224" t="s">
        <v>1533</v>
      </c>
      <c r="BK130" s="1380"/>
    </row>
    <row s="1834" customFormat="1" customHeight="1" ht="22.5">
      <c r="A131" s="1379"/>
      <c r="B131" s="1641"/>
      <c r="C131" s="1379"/>
      <c r="D131" s="1379"/>
      <c r="E131" s="630">
        <v>23.25</v>
      </c>
      <c r="F131" s="1387" cm="1" t="str">
        <f t="array" ref="F131:F131">OFFSET(E131,-1,1)</f>
        <v>3</v>
      </c>
      <c r="G131" s="1379"/>
      <c r="H131" s="1304"/>
      <c r="I131" s="1312" t="s">
        <v>1536</v>
      </c>
      <c r="J131" s="1379"/>
      <c r="K131" s="1379"/>
      <c r="L131" s="1379"/>
      <c r="M131" s="1379"/>
      <c r="N131" s="1379"/>
      <c r="O131" s="1379"/>
      <c r="P131" s="1379"/>
      <c r="Q131" s="1379"/>
      <c r="R131" s="1379"/>
      <c r="S131" s="1379"/>
      <c r="T131" s="1356" cm="1" t="str">
        <f t="array" ref="T131:T131">T130</f>
        <v>true</v>
      </c>
      <c r="U131" s="1379"/>
      <c r="V131" s="1388"/>
      <c r="W131" s="1379"/>
      <c r="X131" s="1385"/>
      <c r="Y131" s="1379"/>
      <c r="Z131" s="1385"/>
      <c r="AA131" s="1379"/>
      <c r="AB131" s="145" t="s">
        <v>289</v>
      </c>
      <c r="AC131" s="1089" t="s">
        <v>1537</v>
      </c>
      <c r="AD131" s="1564" t="s">
        <v>1514</v>
      </c>
      <c r="AE131" s="191">
        <f>AE132+AE133</f>
        <v>0</v>
      </c>
      <c r="AF131" s="191">
        <f>AF132+AF133</f>
        <v>0</v>
      </c>
      <c r="AG131" s="191">
        <f>AG132+AG133</f>
        <v>0</v>
      </c>
      <c r="AH131" s="191">
        <f>AH132+AH133</f>
        <v>0</v>
      </c>
      <c r="AI131" s="191">
        <f>AI132+AI133</f>
        <v>1070.481606</v>
      </c>
      <c r="AJ131" s="191">
        <f>AJ132+AJ133</f>
        <v>1102.167862</v>
      </c>
      <c r="AK131" s="191">
        <f>AK132+AK133</f>
        <v>1134.792031</v>
      </c>
      <c r="AL131" s="191">
        <f>AL132+AL133</f>
        <v>1168.38175</v>
      </c>
      <c r="AM131" s="191">
        <f>AM132+AM133</f>
        <v>1202.965978</v>
      </c>
      <c r="AN131" s="191">
        <f>AN132+AN133</f>
        <v>0</v>
      </c>
      <c r="AO131" s="191">
        <f>AO132+AO133</f>
        <v>0</v>
      </c>
      <c r="AP131" s="191">
        <f>AP132+AP133</f>
        <v>0</v>
      </c>
      <c r="AQ131" s="191">
        <f>AQ132+AQ133</f>
        <v>0</v>
      </c>
      <c r="AR131" s="191">
        <f>AR132+AR133</f>
        <v>0</v>
      </c>
      <c r="AS131" s="191">
        <f>AS132+AS133</f>
        <v>1070.481606</v>
      </c>
      <c r="AT131" s="191">
        <f>AT132+AT133</f>
        <v>1102.167862</v>
      </c>
      <c r="AU131" s="191">
        <f>AU132+AU133</f>
        <v>1134.792031</v>
      </c>
      <c r="AV131" s="191">
        <f>AV132+AV133</f>
        <v>1168.38175</v>
      </c>
      <c r="AW131" s="191">
        <f>AW132+AW133</f>
        <v>1202.965978</v>
      </c>
      <c r="AX131" s="191">
        <f>AX132+AX133</f>
        <v>0</v>
      </c>
      <c r="AY131" s="191">
        <f>AY132+AY133</f>
        <v>0</v>
      </c>
      <c r="AZ131" s="191">
        <f>AZ132+AZ133</f>
        <v>0</v>
      </c>
      <c r="BA131" s="191">
        <f>BA132+BA133</f>
        <v>0</v>
      </c>
      <c r="BB131" s="191">
        <f>BB132+BB133</f>
        <v>0</v>
      </c>
      <c r="BC131" s="1808" t="s">
        <v>1561</v>
      </c>
      <c r="BD131" s="1304"/>
      <c r="BE131" s="1304"/>
      <c r="BF131" s="1289" t="s">
        <v>1538</v>
      </c>
      <c r="BG131" s="1289"/>
      <c r="BH131" s="1289"/>
      <c r="BI131" s="1811"/>
      <c r="BJ131" s="1224"/>
      <c r="BK131" s="1380"/>
    </row>
    <row s="1834" customFormat="1" customHeight="1" ht="75.75">
      <c r="A132" s="1379"/>
      <c r="B132" s="1641"/>
      <c r="C132" s="1379"/>
      <c r="D132" s="1379"/>
      <c r="E132" s="630">
        <v>33.75</v>
      </c>
      <c r="F132" s="1387" cm="1" t="str">
        <f t="array" ref="F132:F132">OFFSET(E132,-1,1)</f>
        <v>3</v>
      </c>
      <c r="G132" s="1379"/>
      <c r="H132" s="1379"/>
      <c r="I132" s="1379"/>
      <c r="J132" s="1379"/>
      <c r="K132" s="1379"/>
      <c r="L132" s="1379"/>
      <c r="M132" s="1379"/>
      <c r="N132" s="1379"/>
      <c r="O132" s="1379"/>
      <c r="P132" s="1379"/>
      <c r="Q132" s="1379"/>
      <c r="R132" s="1379"/>
      <c r="S132" s="1379"/>
      <c r="T132" s="1356" cm="1" t="str">
        <f t="array" ref="T132:T132">T131</f>
        <v>true</v>
      </c>
      <c r="U132" s="1379"/>
      <c r="V132" s="1388"/>
      <c r="W132" s="1379"/>
      <c r="X132" s="1385"/>
      <c r="Y132" s="1379"/>
      <c r="Z132" s="1385"/>
      <c r="AA132" s="1379"/>
      <c r="AB132" s="145" t="s">
        <v>1264</v>
      </c>
      <c r="AC132" s="1089" t="s">
        <v>1539</v>
      </c>
      <c r="AD132" s="1564" t="s">
        <v>1514</v>
      </c>
      <c r="AE132" s="1096"/>
      <c r="AF132" s="1096"/>
      <c r="AG132" s="1096"/>
      <c r="AH132" s="1096"/>
      <c r="AI132" s="1096">
        <v>1070.481606</v>
      </c>
      <c r="AJ132" s="1096">
        <v>1102.167862</v>
      </c>
      <c r="AK132" s="1096">
        <v>1134.792031</v>
      </c>
      <c r="AL132" s="1096">
        <v>1168.38175</v>
      </c>
      <c r="AM132" s="1096">
        <v>1202.965978</v>
      </c>
      <c r="AN132" s="2846"/>
      <c r="AO132" s="2846"/>
      <c r="AP132" s="2846"/>
      <c r="AQ132" s="2846"/>
      <c r="AR132" s="2846"/>
      <c r="AS132" s="1096">
        <v>1070.481606</v>
      </c>
      <c r="AT132" s="1096">
        <v>1102.167862</v>
      </c>
      <c r="AU132" s="1096">
        <v>1134.792031</v>
      </c>
      <c r="AV132" s="1096">
        <v>1168.38175</v>
      </c>
      <c r="AW132" s="1096">
        <v>1202.965978</v>
      </c>
      <c r="AX132" s="2846"/>
      <c r="AY132" s="2846"/>
      <c r="AZ132" s="2846"/>
      <c r="BA132" s="2846"/>
      <c r="BB132" s="2846"/>
      <c r="BC132" s="1808" t="s">
        <v>1567</v>
      </c>
      <c r="BD132" s="1304"/>
      <c r="BE132" s="1304"/>
      <c r="BF132" s="1289" t="s">
        <v>1540</v>
      </c>
      <c r="BG132" s="1289"/>
      <c r="BH132" s="1289"/>
      <c r="BI132" s="1811"/>
      <c r="BJ132" s="1224"/>
      <c r="BK132" s="1380"/>
    </row>
    <row s="1834" customFormat="1" customHeight="1" ht="43.5">
      <c r="A133" s="1379"/>
      <c r="B133" s="1641"/>
      <c r="C133" s="1379"/>
      <c r="D133" s="1379"/>
      <c r="E133" s="630">
        <v>45</v>
      </c>
      <c r="F133" s="1387" cm="1" t="str">
        <f t="array" ref="F133:F133">OFFSET(E133,-1,1)</f>
        <v>3</v>
      </c>
      <c r="G133" s="1379"/>
      <c r="H133" s="1379"/>
      <c r="I133" s="1379"/>
      <c r="J133" s="1379"/>
      <c r="K133" s="1379"/>
      <c r="L133" s="1379"/>
      <c r="M133" s="1379"/>
      <c r="N133" s="1379"/>
      <c r="O133" s="1379"/>
      <c r="P133" s="1379"/>
      <c r="Q133" s="1379"/>
      <c r="R133" s="1379"/>
      <c r="S133" s="1379"/>
      <c r="T133" s="1356" cm="1" t="str">
        <f t="array" ref="T133:T133">T132</f>
        <v>true</v>
      </c>
      <c r="U133" s="1379"/>
      <c r="V133" s="1388"/>
      <c r="W133" s="1379"/>
      <c r="X133" s="1385"/>
      <c r="Y133" s="1379"/>
      <c r="Z133" s="1385"/>
      <c r="AA133" s="1379"/>
      <c r="AB133" s="145" t="s">
        <v>1268</v>
      </c>
      <c r="AC133" s="1089" t="s">
        <v>1541</v>
      </c>
      <c r="AD133" s="1564" t="s">
        <v>1514</v>
      </c>
      <c r="AE133" s="191">
        <f>SUMIF($AD134:$AD137,$AD133,AE134:AE137)</f>
        <v>0</v>
      </c>
      <c r="AF133" s="191">
        <f>SUMIF($AD134:$AD137,$AD133,AF134:AF137)</f>
        <v>0</v>
      </c>
      <c r="AG133" s="191">
        <f>SUMIF($AD134:$AD137,$AD133,AG134:AG137)</f>
        <v>0</v>
      </c>
      <c r="AH133" s="191">
        <f>SUMIF($AD134:$AD137,$AD133,AH134:AH137)</f>
        <v>0</v>
      </c>
      <c r="AI133" s="191">
        <f>SUMIF($AD134:$AD137,$AD133,AI134:AI137)</f>
        <v>0</v>
      </c>
      <c r="AJ133" s="191">
        <f>SUMIF($AD134:$AD137,$AD133,AJ134:AJ137)</f>
        <v>0</v>
      </c>
      <c r="AK133" s="191">
        <f>SUMIF($AD134:$AD137,$AD133,AK134:AK137)</f>
        <v>0</v>
      </c>
      <c r="AL133" s="191">
        <f>SUMIF($AD134:$AD137,$AD133,AL134:AL137)</f>
        <v>0</v>
      </c>
      <c r="AM133" s="191">
        <f>SUMIF($AD134:$AD137,$AD133,AM134:AM137)</f>
        <v>0</v>
      </c>
      <c r="AN133" s="191">
        <f>SUMIF($AD134:$AD137,$AD133,AN134:AN137)</f>
        <v>0</v>
      </c>
      <c r="AO133" s="191">
        <f>SUMIF($AD134:$AD137,$AD133,AO134:AO137)</f>
        <v>0</v>
      </c>
      <c r="AP133" s="191">
        <f>SUMIF($AD134:$AD137,$AD133,AP134:AP137)</f>
        <v>0</v>
      </c>
      <c r="AQ133" s="191">
        <f>SUMIF($AD134:$AD137,$AD133,AQ134:AQ137)</f>
        <v>0</v>
      </c>
      <c r="AR133" s="191">
        <f>SUMIF($AD134:$AD137,$AD133,AR134:AR137)</f>
        <v>0</v>
      </c>
      <c r="AS133" s="191">
        <f>SUMIF($AD134:$AD137,$AD133,AS134:AS137)</f>
        <v>0</v>
      </c>
      <c r="AT133" s="191">
        <f>SUMIF($AD134:$AD137,$AD133,AT134:AT137)</f>
        <v>0</v>
      </c>
      <c r="AU133" s="191">
        <f>SUMIF($AD134:$AD137,$AD133,AU134:AU137)</f>
        <v>0</v>
      </c>
      <c r="AV133" s="191">
        <f>SUMIF($AD134:$AD137,$AD133,AV134:AV137)</f>
        <v>0</v>
      </c>
      <c r="AW133" s="191">
        <f>SUMIF($AD134:$AD137,$AD133,AW134:AW137)</f>
        <v>0</v>
      </c>
      <c r="AX133" s="191">
        <f>SUMIF($AD134:$AD137,$AD133,AX134:AX137)</f>
        <v>0</v>
      </c>
      <c r="AY133" s="191">
        <f>SUMIF($AD134:$AD137,$AD133,AY134:AY137)</f>
        <v>0</v>
      </c>
      <c r="AZ133" s="191">
        <f>SUMIF($AD134:$AD137,$AD133,AZ134:AZ137)</f>
        <v>0</v>
      </c>
      <c r="BA133" s="191">
        <f>SUMIF($AD134:$AD137,$AD133,BA134:BA137)</f>
        <v>0</v>
      </c>
      <c r="BB133" s="191">
        <f>SUMIF($AD134:$AD137,$AD133,BB134:BB137)</f>
        <v>0</v>
      </c>
      <c r="BC133" s="1808"/>
      <c r="BD133" s="1304"/>
      <c r="BE133" s="1304"/>
      <c r="BF133" s="1289" t="s">
        <v>1542</v>
      </c>
      <c r="BG133" s="1289"/>
      <c r="BH133" s="1289"/>
      <c r="BI133" s="1811"/>
      <c r="BJ133" s="1224"/>
      <c r="BK133" s="1380"/>
    </row>
    <row s="1834" customFormat="1" customHeight="1" ht="14.25" hidden="1">
      <c r="A134" s="1379"/>
      <c r="B134" s="1641"/>
      <c r="C134" s="1379"/>
      <c r="D134" s="1379"/>
      <c r="E134" s="630">
        <v>15</v>
      </c>
      <c r="F134" s="1387" cm="1" t="str">
        <f t="array" ref="F134:F134">OFFSET(E134,-1,1)</f>
        <v>3</v>
      </c>
      <c r="G134" s="1379"/>
      <c r="H134" s="1379"/>
      <c r="I134" s="1379"/>
      <c r="J134" s="1379"/>
      <c r="K134" s="1379"/>
      <c r="L134" s="1379"/>
      <c r="M134" s="1379"/>
      <c r="N134" s="1379"/>
      <c r="O134" s="1379"/>
      <c r="P134" s="1379"/>
      <c r="Q134" s="1379"/>
      <c r="R134" s="1379"/>
      <c r="S134" s="1379"/>
      <c r="T134" s="1356">
        <f>AND(F134&gt;0,Y134&gt;0)</f>
        <v>0</v>
      </c>
      <c r="U134" s="1379"/>
      <c r="V134" s="1388"/>
      <c r="W134" s="849" t="s">
        <v>174</v>
      </c>
      <c r="X134" s="1385"/>
      <c r="Y134" s="1596">
        <v>0</v>
      </c>
      <c r="Z134" s="1385"/>
      <c r="AA134" s="1687" t="s">
        <v>175</v>
      </c>
      <c r="AB134" s="1604" t="str">
        <f>"3.3."&amp;Y134</f>
        <v>3.3.0</v>
      </c>
      <c r="AC134" s="2860"/>
      <c r="AD134" s="1564" t="s">
        <v>1514</v>
      </c>
      <c r="AE134" s="2846"/>
      <c r="AF134" s="2846"/>
      <c r="AG134" s="2846"/>
      <c r="AH134" s="2846"/>
      <c r="AI134" s="2846"/>
      <c r="AJ134" s="2846"/>
      <c r="AK134" s="2846"/>
      <c r="AL134" s="2846"/>
      <c r="AM134" s="2846"/>
      <c r="AN134" s="2846"/>
      <c r="AO134" s="2846"/>
      <c r="AP134" s="2846"/>
      <c r="AQ134" s="2846"/>
      <c r="AR134" s="2846"/>
      <c r="AS134" s="2846"/>
      <c r="AT134" s="2846"/>
      <c r="AU134" s="2846"/>
      <c r="AV134" s="2846"/>
      <c r="AW134" s="2846"/>
      <c r="AX134" s="2846"/>
      <c r="AY134" s="2846"/>
      <c r="AZ134" s="2846"/>
      <c r="BA134" s="2846"/>
      <c r="BB134" s="2846"/>
      <c r="BC134" s="2836"/>
      <c r="BD134" s="1304"/>
      <c r="BE134" s="1304"/>
      <c r="BF134" s="1289" t="s">
        <v>1543</v>
      </c>
      <c r="BG134" s="1289" t="s">
        <v>1544</v>
      </c>
      <c r="BH134" s="1289" cm="1" t="str">
        <f t="array" ref="BH134:BH134">AC134</f>
        <v>0</v>
      </c>
      <c r="BI134" s="1811" cm="1" t="str">
        <f t="array" ref="BI134:BI134">AD135</f>
        <v>0</v>
      </c>
      <c r="BJ134" s="1224"/>
      <c r="BK134" s="1380" t="b">
        <v>1</v>
      </c>
    </row>
    <row s="1834" customFormat="1" customHeight="1" ht="14.25" hidden="1">
      <c r="A135" s="1379"/>
      <c r="B135" s="1641"/>
      <c r="C135" s="1379"/>
      <c r="D135" s="1379"/>
      <c r="E135" s="630">
        <v>15</v>
      </c>
      <c r="F135" s="1387" cm="1" t="str">
        <f t="array" ref="F135:F135">OFFSET(E135,-1,1)</f>
        <v>3</v>
      </c>
      <c r="G135" s="1379"/>
      <c r="H135" s="1379"/>
      <c r="I135" s="1379"/>
      <c r="J135" s="1379"/>
      <c r="K135" s="1379"/>
      <c r="L135" s="1379"/>
      <c r="M135" s="1379"/>
      <c r="N135" s="1379"/>
      <c r="O135" s="1379"/>
      <c r="P135" s="1379"/>
      <c r="Q135" s="1379"/>
      <c r="R135" s="1379"/>
      <c r="S135" s="1379"/>
      <c r="T135" s="1356" cm="1" t="str">
        <f t="array" ref="T135:T135">T134</f>
        <v>false</v>
      </c>
      <c r="U135" s="1379"/>
      <c r="V135" s="1388"/>
      <c r="W135" s="1379"/>
      <c r="X135" s="1385"/>
      <c r="Y135" s="1596"/>
      <c r="Z135" s="1385"/>
      <c r="AA135" s="1687"/>
      <c r="AB135" s="1604" t="str">
        <f>AB134&amp;".1"</f>
        <v>3.3.0.1</v>
      </c>
      <c r="AC135" s="1091" t="s">
        <v>1520</v>
      </c>
      <c r="AD135" s="2867"/>
      <c r="AE135" s="2846"/>
      <c r="AF135" s="2846"/>
      <c r="AG135" s="2846"/>
      <c r="AH135" s="2846"/>
      <c r="AI135" s="2846"/>
      <c r="AJ135" s="2846"/>
      <c r="AK135" s="2846"/>
      <c r="AL135" s="2846"/>
      <c r="AM135" s="2846"/>
      <c r="AN135" s="2846"/>
      <c r="AO135" s="2846"/>
      <c r="AP135" s="2846"/>
      <c r="AQ135" s="2846"/>
      <c r="AR135" s="2846"/>
      <c r="AS135" s="2846"/>
      <c r="AT135" s="2846"/>
      <c r="AU135" s="2846"/>
      <c r="AV135" s="2846"/>
      <c r="AW135" s="2846"/>
      <c r="AX135" s="2846"/>
      <c r="AY135" s="2846"/>
      <c r="AZ135" s="2846"/>
      <c r="BA135" s="2846"/>
      <c r="BB135" s="2846"/>
      <c r="BC135" s="2836"/>
      <c r="BD135" s="1304"/>
      <c r="BE135" s="1304"/>
      <c r="BF135" s="1289" t="s">
        <v>1522</v>
      </c>
      <c r="BG135" s="1289" t="s">
        <v>1544</v>
      </c>
      <c r="BH135" s="1289" cm="1" t="str">
        <f t="array" ref="BH135:BH135">BH134</f>
        <v>0</v>
      </c>
      <c r="BI135" s="1811" cm="1" t="str">
        <f t="array" ref="BI135:BI135">BI134</f>
        <v>0</v>
      </c>
      <c r="BJ135" s="1224"/>
      <c r="BK135" s="1380"/>
    </row>
    <row s="1834" customFormat="1" customHeight="1" ht="14.25" hidden="1">
      <c r="A136" s="1379"/>
      <c r="B136" s="1641"/>
      <c r="C136" s="1379"/>
      <c r="D136" s="1379"/>
      <c r="E136" s="630">
        <v>15</v>
      </c>
      <c r="F136" s="1387" cm="1" t="str">
        <f t="array" ref="F136:F136">OFFSET(E136,-1,1)</f>
        <v>3</v>
      </c>
      <c r="G136" s="1379"/>
      <c r="H136" s="1379"/>
      <c r="I136" s="1379"/>
      <c r="J136" s="1379"/>
      <c r="K136" s="1379"/>
      <c r="L136" s="1379"/>
      <c r="M136" s="1379"/>
      <c r="N136" s="1379"/>
      <c r="O136" s="1379"/>
      <c r="P136" s="1379"/>
      <c r="Q136" s="1379"/>
      <c r="R136" s="1379"/>
      <c r="S136" s="1379"/>
      <c r="T136" s="1356" cm="1" t="str">
        <f t="array" ref="T136:T136">T135</f>
        <v>false</v>
      </c>
      <c r="U136" s="1379"/>
      <c r="V136" s="1388"/>
      <c r="W136" s="1379"/>
      <c r="X136" s="1385"/>
      <c r="Y136" s="1596"/>
      <c r="Z136" s="1385"/>
      <c r="AA136" s="1687"/>
      <c r="AB136" s="1604" t="str">
        <f>AB134&amp;".2"</f>
        <v>3.3.0.2</v>
      </c>
      <c r="AC136" s="1091" t="s">
        <v>1534</v>
      </c>
      <c r="AD136" s="1578" t="s">
        <v>1524</v>
      </c>
      <c r="AE136" s="2846"/>
      <c r="AF136" s="2846"/>
      <c r="AG136" s="2846"/>
      <c r="AH136" s="2846"/>
      <c r="AI136" s="2846"/>
      <c r="AJ136" s="2846"/>
      <c r="AK136" s="2846"/>
      <c r="AL136" s="2846"/>
      <c r="AM136" s="2846"/>
      <c r="AN136" s="2846"/>
      <c r="AO136" s="2846"/>
      <c r="AP136" s="2846"/>
      <c r="AQ136" s="2846"/>
      <c r="AR136" s="2846"/>
      <c r="AS136" s="2846"/>
      <c r="AT136" s="2846"/>
      <c r="AU136" s="2846"/>
      <c r="AV136" s="2846"/>
      <c r="AW136" s="2846"/>
      <c r="AX136" s="2846"/>
      <c r="AY136" s="2846"/>
      <c r="AZ136" s="2846"/>
      <c r="BA136" s="2846"/>
      <c r="BB136" s="2846"/>
      <c r="BC136" s="2836"/>
      <c r="BD136" s="1304"/>
      <c r="BE136" s="1304"/>
      <c r="BF136" s="1289" t="s">
        <v>1525</v>
      </c>
      <c r="BG136" s="1289" t="s">
        <v>1544</v>
      </c>
      <c r="BH136" s="1289" cm="1" t="str">
        <f t="array" ref="BH136:BH136">BH135</f>
        <v>0</v>
      </c>
      <c r="BI136" s="1811" cm="1" t="str">
        <f t="array" ref="BI136:BI136">BI135</f>
        <v>0</v>
      </c>
      <c r="BJ136" s="1224"/>
      <c r="BK136" s="1380"/>
    </row>
    <row s="1426" customFormat="1" customHeight="1" ht="14.25">
      <c r="A137" s="1379"/>
      <c r="B137" s="1641"/>
      <c r="C137" s="1379"/>
      <c r="D137" s="1379"/>
      <c r="E137" s="630">
        <v>15</v>
      </c>
      <c r="F137" s="1387" cm="1" t="str">
        <f t="array" ref="F137:F137">OFFSET(E137,-1,1)</f>
        <v>3</v>
      </c>
      <c r="G137" s="1379"/>
      <c r="H137" s="1379"/>
      <c r="I137" s="1379"/>
      <c r="J137" s="1379"/>
      <c r="K137" s="1379"/>
      <c r="L137" s="1379"/>
      <c r="M137" s="1379"/>
      <c r="N137" s="1379"/>
      <c r="O137" s="1379"/>
      <c r="P137" s="1379"/>
      <c r="Q137" s="1379"/>
      <c r="R137" s="1379"/>
      <c r="S137" s="1379"/>
      <c r="T137" s="1356">
        <f>F137&gt;0</f>
        <v>1</v>
      </c>
      <c r="U137" s="1379"/>
      <c r="V137" s="1388"/>
      <c r="W137" s="849" t="s">
        <v>1545</v>
      </c>
      <c r="X137" s="1385"/>
      <c r="Y137" s="1379"/>
      <c r="Z137" s="1385"/>
      <c r="AA137" s="1379"/>
      <c r="AB137" s="1691"/>
      <c r="AC137" s="1692" t="s">
        <v>178</v>
      </c>
      <c r="AD137" s="1693"/>
      <c r="AE137" s="1693"/>
      <c r="AF137" s="1693"/>
      <c r="AG137" s="1693"/>
      <c r="AH137" s="1693"/>
      <c r="AI137" s="1693"/>
      <c r="AJ137" s="1693"/>
      <c r="AK137" s="1693"/>
      <c r="AL137" s="1693"/>
      <c r="AM137" s="1693"/>
      <c r="AN137" s="1693"/>
      <c r="AO137" s="1693"/>
      <c r="AP137" s="1693"/>
      <c r="AQ137" s="1693"/>
      <c r="AR137" s="1693"/>
      <c r="AS137" s="1693"/>
      <c r="AT137" s="1693"/>
      <c r="AU137" s="1693"/>
      <c r="AV137" s="1693"/>
      <c r="AW137" s="1693"/>
      <c r="AX137" s="1693"/>
      <c r="AY137" s="1693"/>
      <c r="AZ137" s="1693"/>
      <c r="BA137" s="1693"/>
      <c r="BB137" s="1693"/>
      <c r="BC137" s="1693"/>
      <c r="BD137" s="1426"/>
      <c r="BE137" s="1426"/>
      <c r="BF137" s="1289"/>
      <c r="BG137" s="1289"/>
      <c r="BH137" s="1289"/>
      <c r="BI137" s="1811"/>
      <c r="BJ137" s="1224" t="s">
        <v>1544</v>
      </c>
      <c r="BK137" s="1380"/>
    </row>
    <row s="3147" customFormat="1" customHeight="1" ht="14.25">
      <c r="A138" s="1446"/>
      <c r="B138" s="429"/>
      <c r="C138" s="1446"/>
      <c r="D138" s="1446"/>
      <c r="E138" s="630">
        <v>15</v>
      </c>
      <c r="F138" s="349" cm="1" t="str">
        <f t="array" ref="F138:F138">X138</f>
        <v>4</v>
      </c>
      <c r="G138" s="146"/>
      <c r="H138" s="146"/>
      <c r="I138" s="1446"/>
      <c r="J138" s="1446"/>
      <c r="K138" s="1446"/>
      <c r="L138" s="1446"/>
      <c r="M138" s="1446"/>
      <c r="N138" s="1446"/>
      <c r="O138" s="1446"/>
      <c r="P138" s="1446"/>
      <c r="Q138" s="1446"/>
      <c r="R138" s="1446"/>
      <c r="S138" s="1446"/>
      <c r="T138" s="465">
        <f>X138&gt;0</f>
        <v>1</v>
      </c>
      <c r="U138" s="1446"/>
      <c r="V138" s="144" cm="1" t="str">
        <f t="array" ref="V138:V138">'Условные метры'!$AB$41</f>
        <v>Тариф 4 (Водоотведение) - тариф на водоотведение (Доп. признак не требуется)</v>
      </c>
      <c r="W138" s="1446"/>
      <c r="X138" s="1543" t="s">
        <v>295</v>
      </c>
      <c r="Y138" s="1446"/>
      <c r="Z138" s="1565"/>
      <c r="AA138" s="1446"/>
      <c r="AB138" s="183" cm="1" t="str">
        <f t="array" ref="AB138:AB138">'Условные метры'!$AB$41</f>
        <v>Тариф 4 (Водоотведение) - тариф на водоотведение (Доп. признак не требуется)</v>
      </c>
      <c r="AC138" s="180"/>
      <c r="AD138" s="174"/>
      <c r="AE138" s="174"/>
      <c r="AF138" s="174"/>
      <c r="AG138" s="174"/>
      <c r="AH138" s="174"/>
      <c r="AI138" s="174"/>
      <c r="AJ138" s="174"/>
      <c r="AK138" s="174"/>
      <c r="AL138" s="174"/>
      <c r="AM138" s="174"/>
      <c r="AN138" s="174"/>
      <c r="AO138" s="174"/>
      <c r="AP138" s="174"/>
      <c r="AQ138" s="174"/>
      <c r="AR138" s="174"/>
      <c r="AS138" s="174"/>
      <c r="AT138" s="174"/>
      <c r="AU138" s="174"/>
      <c r="AV138" s="174"/>
      <c r="AW138" s="174"/>
      <c r="AX138" s="174"/>
      <c r="AY138" s="174"/>
      <c r="AZ138" s="174"/>
      <c r="BA138" s="174"/>
      <c r="BB138" s="174"/>
      <c r="BC138" s="174"/>
      <c r="BD138" s="1446"/>
      <c r="BE138" s="1446"/>
      <c r="BF138" s="1013"/>
      <c r="BG138" s="1013"/>
      <c r="BH138" s="1013"/>
      <c r="BI138" s="1446"/>
      <c r="BJ138" s="630"/>
      <c r="BK138" s="630"/>
    </row>
    <row s="1448" customFormat="1" customHeight="1" ht="23.25">
      <c r="A139" s="1812"/>
      <c r="B139" s="429"/>
      <c r="C139" s="1812"/>
      <c r="D139" s="483"/>
      <c r="E139" s="267">
        <v>15</v>
      </c>
      <c r="F139" s="50" cm="1" t="str">
        <f t="array" ref="F139:F139">OFFSET(E139,-1,1)</f>
        <v>4</v>
      </c>
      <c r="G139" s="1812"/>
      <c r="H139" s="146" cm="1" t="str">
        <f t="array" ref="H139:H139">AC139</f>
        <v>Всего по тарифу</v>
      </c>
      <c r="I139" s="1812"/>
      <c r="J139" s="1812"/>
      <c r="K139" s="483" t="str">
        <f>F139&amp;"komm"</f>
        <v>4komm</v>
      </c>
      <c r="L139" s="917" cm="1" t="str">
        <f t="array" ref="L139:L139">BC139</f>
        <v>0</v>
      </c>
      <c r="M139" s="1812"/>
      <c r="N139" s="1812"/>
      <c r="O139" s="1812"/>
      <c r="P139" s="1812"/>
      <c r="Q139" s="1812"/>
      <c r="R139" s="1812"/>
      <c r="S139" s="1812"/>
      <c r="T139" s="465" cm="1" t="str">
        <f t="array" ref="T139:T139">T138</f>
        <v>true</v>
      </c>
      <c r="U139" s="1812"/>
      <c r="V139" s="1812"/>
      <c r="W139" s="1812"/>
      <c r="X139" s="1543"/>
      <c r="Y139" s="1812"/>
      <c r="Z139" s="1565"/>
      <c r="AA139" s="1812"/>
      <c r="AB139" s="145"/>
      <c r="AC139" s="138" t="s">
        <v>1513</v>
      </c>
      <c r="AD139" s="93" t="s">
        <v>1514</v>
      </c>
      <c r="AE139" s="142">
        <f>AE140+AE148+AE155</f>
        <v>0</v>
      </c>
      <c r="AF139" s="142">
        <f>AF140+AF148+AF155</f>
        <v>0</v>
      </c>
      <c r="AG139" s="142">
        <f>AG140+AG148+AG155</f>
        <v>0</v>
      </c>
      <c r="AH139" s="142">
        <f>AH140+AH148+AH155</f>
        <v>0</v>
      </c>
      <c r="AI139" s="142">
        <f>AI140+AI148+AI155</f>
        <v>3851.294578</v>
      </c>
      <c r="AJ139" s="142">
        <f>AJ140+AJ148+AJ155</f>
        <v>3996.568288532</v>
      </c>
      <c r="AK139" s="142">
        <f>AK140+AK148+AK155</f>
        <v>4143.90490851622</v>
      </c>
      <c r="AL139" s="142">
        <f>AL140+AL148+AL155</f>
        <v>4296.70614936783</v>
      </c>
      <c r="AM139" s="142">
        <f>AM140+AM148+AM155</f>
        <v>4455.17568067181</v>
      </c>
      <c r="AN139" s="142">
        <f>AN140+AN148+AN155</f>
        <v>0</v>
      </c>
      <c r="AO139" s="142">
        <f>AO140+AO148+AO155</f>
        <v>0</v>
      </c>
      <c r="AP139" s="142">
        <f>AP140+AP148+AP155</f>
        <v>0</v>
      </c>
      <c r="AQ139" s="142">
        <f>AQ140+AQ148+AQ155</f>
        <v>0</v>
      </c>
      <c r="AR139" s="142">
        <f>AR140+AR148+AR155</f>
        <v>0</v>
      </c>
      <c r="AS139" s="142">
        <f>AS140+AS148+AS155</f>
        <v>3851.294578</v>
      </c>
      <c r="AT139" s="142">
        <f>AT140+AT148+AT155</f>
        <v>3996.568288532</v>
      </c>
      <c r="AU139" s="142">
        <f>AU140+AU148+AU155</f>
        <v>4143.90490851622</v>
      </c>
      <c r="AV139" s="142">
        <f>AV140+AV148+AV155</f>
        <v>4296.70614936783</v>
      </c>
      <c r="AW139" s="142">
        <f>AW140+AW148+AW155</f>
        <v>4455.17568067181</v>
      </c>
      <c r="AX139" s="142">
        <f>AX140+AX148+AX155</f>
        <v>0</v>
      </c>
      <c r="AY139" s="142">
        <f>AY140+AY148+AY155</f>
        <v>0</v>
      </c>
      <c r="AZ139" s="142">
        <f>AZ140+AZ148+AZ155</f>
        <v>0</v>
      </c>
      <c r="BA139" s="142">
        <f>BA140+BA148+BA155</f>
        <v>0</v>
      </c>
      <c r="BB139" s="142">
        <f>BB140+BB148+BB155</f>
        <v>0</v>
      </c>
      <c r="BC139" s="200"/>
      <c r="BD139" s="1812"/>
      <c r="BE139" s="1812"/>
      <c r="BF139" s="1030" t="s">
        <v>1515</v>
      </c>
      <c r="BG139" s="1030"/>
      <c r="BH139" s="1030"/>
      <c r="BI139" s="1812"/>
      <c r="BJ139" s="267"/>
      <c r="BK139" s="267"/>
    </row>
    <row s="1834" customFormat="1" customHeight="1" ht="23.25">
      <c r="A140" s="1304"/>
      <c r="B140" s="1679"/>
      <c r="C140" s="1304"/>
      <c r="D140" s="916"/>
      <c r="E140" s="630">
        <v>15</v>
      </c>
      <c r="F140" s="1387" cm="1" t="str">
        <f t="array" ref="F140:F140">OFFSET(E140,-1,1)</f>
        <v>4</v>
      </c>
      <c r="G140" s="1304"/>
      <c r="H140" s="1304"/>
      <c r="I140" s="1312" t="s">
        <v>1516</v>
      </c>
      <c r="J140" s="1304"/>
      <c r="K140" s="916"/>
      <c r="L140" s="917"/>
      <c r="M140" s="1304"/>
      <c r="N140" s="1304"/>
      <c r="O140" s="1304"/>
      <c r="P140" s="1304"/>
      <c r="Q140" s="1304"/>
      <c r="R140" s="1304"/>
      <c r="S140" s="1304"/>
      <c r="T140" s="1356" cm="1" t="str">
        <f t="array" ref="T140:T140">T139</f>
        <v>true</v>
      </c>
      <c r="U140" s="1304"/>
      <c r="V140" s="1304"/>
      <c r="W140" s="1304"/>
      <c r="X140" s="1385"/>
      <c r="Y140" s="1304"/>
      <c r="Z140" s="1385"/>
      <c r="AA140" s="1304"/>
      <c r="AB140" s="145" t="s">
        <v>276</v>
      </c>
      <c r="AC140" s="1089" t="s">
        <v>1516</v>
      </c>
      <c r="AD140" s="1564" t="s">
        <v>1514</v>
      </c>
      <c r="AE140" s="191">
        <f>SUMIF($AD141:$AD147,$AD140,AE141:AE147)</f>
        <v>0</v>
      </c>
      <c r="AF140" s="191">
        <f>SUMIF($AD141:$AD147,$AD140,AF141:AF147)</f>
        <v>0</v>
      </c>
      <c r="AG140" s="191">
        <f>SUMIF($AD141:$AD147,$AD140,AG141:AG147)</f>
        <v>0</v>
      </c>
      <c r="AH140" s="191">
        <f>SUMIF($AD141:$AD147,$AD140,AH141:AH147)</f>
        <v>0</v>
      </c>
      <c r="AI140" s="191">
        <f>SUMIF($AD141:$AD147,$AD140,AI141:AI147)</f>
        <v>3327.168988</v>
      </c>
      <c r="AJ140" s="191">
        <f>SUMIF($AD141:$AD147,$AD140,AJ141:AJ147)</f>
        <v>3456.928578532</v>
      </c>
      <c r="AK140" s="191">
        <f>SUMIF($AD141:$AD147,$AD140,AK141:AK147)</f>
        <v>3588.29186451622</v>
      </c>
      <c r="AL140" s="191">
        <f>SUMIF($AD141:$AD147,$AD140,AL141:AL147)</f>
        <v>3724.64695536783</v>
      </c>
      <c r="AM140" s="191">
        <f>SUMIF($AD141:$AD147,$AD140,AM141:AM147)</f>
        <v>3866.18353967181</v>
      </c>
      <c r="AN140" s="191">
        <f>SUMIF($AD141:$AD147,$AD140,AN141:AN147)</f>
        <v>0</v>
      </c>
      <c r="AO140" s="191">
        <f>SUMIF($AD141:$AD147,$AD140,AO141:AO147)</f>
        <v>0</v>
      </c>
      <c r="AP140" s="191">
        <f>SUMIF($AD141:$AD147,$AD140,AP141:AP147)</f>
        <v>0</v>
      </c>
      <c r="AQ140" s="191">
        <f>SUMIF($AD141:$AD147,$AD140,AQ141:AQ147)</f>
        <v>0</v>
      </c>
      <c r="AR140" s="191">
        <f>SUMIF($AD141:$AD147,$AD140,AR141:AR147)</f>
        <v>0</v>
      </c>
      <c r="AS140" s="191">
        <f>SUMIF($AD141:$AD147,$AD140,AS141:AS147)</f>
        <v>3327.168988</v>
      </c>
      <c r="AT140" s="191">
        <f>SUMIF($AD141:$AD147,$AD140,AT141:AT147)</f>
        <v>3456.928578532</v>
      </c>
      <c r="AU140" s="191">
        <f>SUMIF($AD141:$AD147,$AD140,AU141:AU147)</f>
        <v>3588.29186451622</v>
      </c>
      <c r="AV140" s="191">
        <f>SUMIF($AD141:$AD147,$AD140,AV141:AV147)</f>
        <v>3724.64695536783</v>
      </c>
      <c r="AW140" s="191">
        <f>SUMIF($AD141:$AD147,$AD140,AW141:AW147)</f>
        <v>3866.18353967181</v>
      </c>
      <c r="AX140" s="191">
        <f>SUMIF($AD141:$AD147,$AD140,AX141:AX147)</f>
        <v>0</v>
      </c>
      <c r="AY140" s="191">
        <f>SUMIF($AD141:$AD147,$AD140,AY141:AY147)</f>
        <v>0</v>
      </c>
      <c r="AZ140" s="191">
        <f>SUMIF($AD141:$AD147,$AD140,AZ141:AZ147)</f>
        <v>0</v>
      </c>
      <c r="BA140" s="191">
        <f>SUMIF($AD141:$AD147,$AD140,BA141:BA147)</f>
        <v>0</v>
      </c>
      <c r="BB140" s="191">
        <f>SUMIF($AD141:$AD147,$AD140,BB141:BB147)</f>
        <v>0</v>
      </c>
      <c r="BC140" s="1808" t="s">
        <v>1546</v>
      </c>
      <c r="BD140" s="1304"/>
      <c r="BE140" s="1304"/>
      <c r="BF140" s="1046" t="s">
        <v>1517</v>
      </c>
      <c r="BG140" s="1046"/>
      <c r="BH140" s="1046"/>
      <c r="BI140" s="1809"/>
      <c r="BJ140" s="1047"/>
      <c r="BK140" s="1047"/>
    </row>
    <row s="1448" customFormat="1" customHeight="1" ht="14.25" hidden="1">
      <c r="E141" s="267">
        <v>15</v>
      </c>
      <c r="F141" s="50" cm="1" t="str">
        <f t="array" ref="F141:F141">OFFSET(E141,-1,1)</f>
        <v>4</v>
      </c>
      <c r="G141" s="146" t="s">
        <v>332</v>
      </c>
      <c r="H141" s="146" cm="1" t="str">
        <f t="array" ref="H141:H141">AC141</f>
        <v>0</v>
      </c>
      <c r="T141" s="465">
        <f>AND(F141&gt;0,Y141&gt;0)</f>
        <v>0</v>
      </c>
      <c r="W141" s="717" t="s">
        <v>174</v>
      </c>
      <c r="Y141" s="146">
        <v>0</v>
      </c>
      <c r="AA141" s="662" t="s">
        <v>175</v>
      </c>
      <c r="AB141" s="89" t="str">
        <f>"1."&amp;Y141</f>
        <v>1.0</v>
      </c>
      <c r="AC141" s="3148"/>
      <c r="AD141" s="93" t="s">
        <v>1514</v>
      </c>
      <c r="AE141" s="3149"/>
      <c r="AF141" s="3149"/>
      <c r="AG141" s="3149"/>
      <c r="AH141" s="3149"/>
      <c r="AI141" s="3149"/>
      <c r="AJ141" s="3149"/>
      <c r="AK141" s="3149"/>
      <c r="AL141" s="3149"/>
      <c r="AM141" s="3149"/>
      <c r="AN141" s="3149"/>
      <c r="AO141" s="3149"/>
      <c r="AP141" s="3149"/>
      <c r="AQ141" s="3149"/>
      <c r="AR141" s="3149"/>
      <c r="AS141" s="3149"/>
      <c r="AT141" s="3149"/>
      <c r="AU141" s="3149"/>
      <c r="AV141" s="3149"/>
      <c r="AW141" s="3149"/>
      <c r="AX141" s="3149"/>
      <c r="AY141" s="3149"/>
      <c r="AZ141" s="3149"/>
      <c r="BA141" s="3149"/>
      <c r="BB141" s="3149"/>
      <c r="BC141" s="3150"/>
      <c r="BF141" s="1030" t="s">
        <v>1518</v>
      </c>
      <c r="BG141" s="1030" t="s">
        <v>1519</v>
      </c>
      <c r="BH141" s="1030" cm="1" t="str">
        <f t="array" ref="BH141:BH141">AC141</f>
        <v>0</v>
      </c>
      <c r="BJ141" s="267"/>
      <c r="BK141" s="267" t="b">
        <v>1</v>
      </c>
    </row>
    <row s="1834" customFormat="1" customHeight="1" ht="14.25" hidden="1">
      <c r="E142" s="630">
        <v>15</v>
      </c>
      <c r="F142" s="1175" cm="1" t="str">
        <f t="array" ref="F142:F142">OFFSET(E142,-1,1)</f>
        <v>4</v>
      </c>
      <c r="T142" s="465" cm="1" t="str">
        <f t="array" ref="T142:T142">T141</f>
        <v>false</v>
      </c>
      <c r="AB142" s="1681" t="str">
        <f>AB141&amp;".1"</f>
        <v>1.0.1</v>
      </c>
      <c r="AC142" s="331" t="s">
        <v>1520</v>
      </c>
      <c r="AD142" s="92" t="s">
        <v>1521</v>
      </c>
      <c r="AE142" s="3149"/>
      <c r="AF142" s="3149"/>
      <c r="AG142" s="3149"/>
      <c r="AH142" s="3149"/>
      <c r="AI142" s="3149"/>
      <c r="AJ142" s="3149"/>
      <c r="AK142" s="3149"/>
      <c r="AL142" s="3149"/>
      <c r="AM142" s="3149"/>
      <c r="AN142" s="3149"/>
      <c r="AO142" s="3149"/>
      <c r="AP142" s="3149"/>
      <c r="AQ142" s="3149"/>
      <c r="AR142" s="3149"/>
      <c r="AS142" s="3149"/>
      <c r="AT142" s="3149"/>
      <c r="AU142" s="3149"/>
      <c r="AV142" s="3149"/>
      <c r="AW142" s="3149"/>
      <c r="AX142" s="3149"/>
      <c r="AY142" s="3149"/>
      <c r="AZ142" s="3149"/>
      <c r="BA142" s="3149"/>
      <c r="BB142" s="3149"/>
      <c r="BC142" s="3150"/>
      <c r="BF142" s="1030" t="s">
        <v>1522</v>
      </c>
      <c r="BG142" s="1030" t="s">
        <v>1519</v>
      </c>
      <c r="BH142" s="1030" cm="1" t="str">
        <f t="array" ref="BH142:BH142">BH141</f>
        <v>0</v>
      </c>
      <c r="BI142" s="1030"/>
      <c r="BJ142" s="267"/>
      <c r="BK142" s="267"/>
    </row>
    <row s="1834" customFormat="1" customHeight="1" ht="14.25" hidden="1">
      <c r="E143" s="630">
        <v>15</v>
      </c>
      <c r="F143" s="1175" cm="1" t="str">
        <f t="array" ref="F143:F143">OFFSET(E143,-1,1)</f>
        <v>4</v>
      </c>
      <c r="T143" s="465" cm="1" t="str">
        <f t="array" ref="T143:T143">T142</f>
        <v>false</v>
      </c>
      <c r="AB143" s="1681" t="str">
        <f>AB141&amp;".2"</f>
        <v>1.0.2</v>
      </c>
      <c r="AC143" s="331" t="s">
        <v>1523</v>
      </c>
      <c r="AD143" s="92" t="s">
        <v>1524</v>
      </c>
      <c r="AE143" s="3149"/>
      <c r="AF143" s="3149"/>
      <c r="AG143" s="3149"/>
      <c r="AH143" s="3149"/>
      <c r="AI143" s="3149"/>
      <c r="AJ143" s="3149"/>
      <c r="AK143" s="3149"/>
      <c r="AL143" s="3149"/>
      <c r="AM143" s="3149"/>
      <c r="AN143" s="3149"/>
      <c r="AO143" s="3149"/>
      <c r="AP143" s="3149"/>
      <c r="AQ143" s="3149"/>
      <c r="AR143" s="3149"/>
      <c r="AS143" s="3149"/>
      <c r="AT143" s="3149"/>
      <c r="AU143" s="3149"/>
      <c r="AV143" s="3149"/>
      <c r="AW143" s="3149"/>
      <c r="AX143" s="3149"/>
      <c r="AY143" s="3149"/>
      <c r="AZ143" s="3149"/>
      <c r="BA143" s="3149"/>
      <c r="BB143" s="3149"/>
      <c r="BC143" s="3150"/>
      <c r="BF143" s="1030" t="s">
        <v>1525</v>
      </c>
      <c r="BG143" s="1030" t="s">
        <v>1519</v>
      </c>
      <c r="BH143" s="1030" cm="1" t="str">
        <f t="array" ref="BH143:BH143">BH142</f>
        <v>0</v>
      </c>
      <c r="BI143" s="1030"/>
      <c r="BJ143" s="267"/>
      <c r="BK143" s="267"/>
    </row>
    <row s="1448" customFormat="1" customHeight="1" ht="12.75">
      <c r="A144" s="1448"/>
      <c r="B144" s="1448"/>
      <c r="C144" s="1448"/>
      <c r="D144" s="1448"/>
      <c r="E144" s="267">
        <v>15</v>
      </c>
      <c r="F144" s="50" cm="1" t="str">
        <f t="array" ref="F144:F144">OFFSET(E144,-1,1)</f>
        <v>4</v>
      </c>
      <c r="G144" s="146" t="s">
        <v>332</v>
      </c>
      <c r="H144" s="146" cm="1" t="str">
        <f t="array" ref="H144:H144">AC144</f>
        <v>гипохлорит натрия</v>
      </c>
      <c r="I144" s="1448"/>
      <c r="J144" s="1448"/>
      <c r="K144" s="1448"/>
      <c r="L144" s="1448"/>
      <c r="M144" s="1448"/>
      <c r="N144" s="1448"/>
      <c r="O144" s="1448"/>
      <c r="P144" s="1448"/>
      <c r="Q144" s="1448"/>
      <c r="R144" s="1448"/>
      <c r="S144" s="1448"/>
      <c r="T144" s="465">
        <f>AND(F144&gt;0,Y144&gt;0)</f>
        <v>1</v>
      </c>
      <c r="U144" s="1448"/>
      <c r="V144" s="1448"/>
      <c r="W144" s="717"/>
      <c r="X144" s="1448"/>
      <c r="Y144" s="146" t="s">
        <v>276</v>
      </c>
      <c r="Z144" s="1448"/>
      <c r="AA144" s="662" t="s">
        <v>175</v>
      </c>
      <c r="AB144" s="89" t="str">
        <f>"1."&amp;Y144</f>
        <v>1.1</v>
      </c>
      <c r="AC144" s="3148" t="s">
        <v>1550</v>
      </c>
      <c r="AD144" s="93" t="s">
        <v>1514</v>
      </c>
      <c r="AE144" s="3151"/>
      <c r="AF144" s="3151"/>
      <c r="AG144" s="3151"/>
      <c r="AH144" s="3151"/>
      <c r="AI144" s="3151">
        <v>3327.168988</v>
      </c>
      <c r="AJ144" s="3151">
        <v>3456.928578532</v>
      </c>
      <c r="AK144" s="3151">
        <v>3588.29186451622</v>
      </c>
      <c r="AL144" s="3151">
        <v>3724.64695536783</v>
      </c>
      <c r="AM144" s="3151">
        <v>3866.18353967181</v>
      </c>
      <c r="AN144" s="3149"/>
      <c r="AO144" s="3149"/>
      <c r="AP144" s="3149"/>
      <c r="AQ144" s="3149"/>
      <c r="AR144" s="3149"/>
      <c r="AS144" s="3151">
        <f>AS145*AS146/1000</f>
        <v>3327.168988</v>
      </c>
      <c r="AT144" s="3151">
        <f>AT145*AT146/1000</f>
        <v>3456.928578532</v>
      </c>
      <c r="AU144" s="3151">
        <f>AU145*AU146/1000</f>
        <v>3588.29186451622</v>
      </c>
      <c r="AV144" s="3151">
        <f>AV145*AV146/1000</f>
        <v>3724.64695536783</v>
      </c>
      <c r="AW144" s="3151">
        <f>AW145*AW146/1000</f>
        <v>3866.18353967181</v>
      </c>
      <c r="AX144" s="3149"/>
      <c r="AY144" s="3149"/>
      <c r="AZ144" s="3149"/>
      <c r="BA144" s="3149"/>
      <c r="BB144" s="3149"/>
      <c r="BC144" s="3152"/>
      <c r="BD144" s="1448"/>
      <c r="BE144" s="1448"/>
      <c r="BF144" s="1030" t="s">
        <v>1518</v>
      </c>
      <c r="BG144" s="1030" t="s">
        <v>1519</v>
      </c>
      <c r="BH144" s="1030" cm="1" t="str">
        <f t="array" ref="BH144:BH144">AC144</f>
        <v>гипохлорит натрия</v>
      </c>
      <c r="BI144" s="1448"/>
      <c r="BJ144" s="267"/>
      <c r="BK144" s="267" t="b">
        <v>1</v>
      </c>
    </row>
    <row s="1834" customFormat="1" customHeight="1" ht="14.25">
      <c r="A145" s="1834"/>
      <c r="B145" s="1834"/>
      <c r="C145" s="1834"/>
      <c r="D145" s="1834"/>
      <c r="E145" s="630">
        <v>15</v>
      </c>
      <c r="F145" s="1175" cm="1" t="str">
        <f t="array" ref="F145:F145">OFFSET(E145,-1,1)</f>
        <v>4</v>
      </c>
      <c r="G145" s="1834"/>
      <c r="H145" s="1834"/>
      <c r="I145" s="1834"/>
      <c r="J145" s="1834"/>
      <c r="K145" s="1834"/>
      <c r="L145" s="1834"/>
      <c r="M145" s="1834"/>
      <c r="N145" s="1834"/>
      <c r="O145" s="1834"/>
      <c r="P145" s="1834"/>
      <c r="Q145" s="1834"/>
      <c r="R145" s="1834"/>
      <c r="S145" s="1834"/>
      <c r="T145" s="465" cm="1" t="str">
        <f t="array" ref="T145:T145">T144</f>
        <v>true</v>
      </c>
      <c r="U145" s="1834"/>
      <c r="V145" s="1834"/>
      <c r="W145" s="1834"/>
      <c r="X145" s="1834"/>
      <c r="Y145" s="1834"/>
      <c r="Z145" s="1834"/>
      <c r="AA145" s="1834"/>
      <c r="AB145" s="1681" t="str">
        <f>AB144&amp;".1"</f>
        <v>1.1.1</v>
      </c>
      <c r="AC145" s="331" t="s">
        <v>1520</v>
      </c>
      <c r="AD145" s="92" t="s">
        <v>1521</v>
      </c>
      <c r="AE145" s="3151"/>
      <c r="AF145" s="3151"/>
      <c r="AG145" s="3151"/>
      <c r="AH145" s="3151"/>
      <c r="AI145" s="3151">
        <v>94.735</v>
      </c>
      <c r="AJ145" s="3151">
        <v>94.735</v>
      </c>
      <c r="AK145" s="3151">
        <v>94.735</v>
      </c>
      <c r="AL145" s="3151">
        <v>94.735</v>
      </c>
      <c r="AM145" s="3151">
        <v>94.735</v>
      </c>
      <c r="AN145" s="3149"/>
      <c r="AO145" s="3149"/>
      <c r="AP145" s="3149"/>
      <c r="AQ145" s="3149"/>
      <c r="AR145" s="3149"/>
      <c r="AS145" s="3151">
        <v>94.735</v>
      </c>
      <c r="AT145" s="3151" cm="1" t="str">
        <f t="array" ref="AT145:AT145">AS145</f>
        <v>94.735</v>
      </c>
      <c r="AU145" s="3151" cm="1" t="str">
        <f t="array" ref="AU145:AU145">AT145</f>
        <v>94.735</v>
      </c>
      <c r="AV145" s="3151" cm="1" t="str">
        <f t="array" ref="AV145:AV145">AU145</f>
        <v>94.735</v>
      </c>
      <c r="AW145" s="3151" cm="1" t="str">
        <f t="array" ref="AW145:AW145">AV145</f>
        <v>94.735</v>
      </c>
      <c r="AX145" s="3149"/>
      <c r="AY145" s="3149"/>
      <c r="AZ145" s="3149"/>
      <c r="BA145" s="3149"/>
      <c r="BB145" s="3149"/>
      <c r="BC145" s="3152" t="s">
        <v>1548</v>
      </c>
      <c r="BD145" s="1834"/>
      <c r="BE145" s="1834"/>
      <c r="BF145" s="1030" t="s">
        <v>1522</v>
      </c>
      <c r="BG145" s="1030" t="s">
        <v>1519</v>
      </c>
      <c r="BH145" s="1030" cm="1" t="str">
        <f t="array" ref="BH145:BH145">BH144</f>
        <v>гипохлорит натрия</v>
      </c>
      <c r="BI145" s="1030"/>
      <c r="BJ145" s="267"/>
      <c r="BK145" s="267"/>
    </row>
    <row s="1834" customFormat="1" customHeight="1" ht="33.75">
      <c r="A146" s="1834"/>
      <c r="B146" s="1834"/>
      <c r="C146" s="1834"/>
      <c r="D146" s="1834"/>
      <c r="E146" s="630">
        <v>15</v>
      </c>
      <c r="F146" s="1175" cm="1" t="str">
        <f t="array" ref="F146:F146">OFFSET(E146,-1,1)</f>
        <v>4</v>
      </c>
      <c r="G146" s="1834"/>
      <c r="H146" s="1834"/>
      <c r="I146" s="1834"/>
      <c r="J146" s="1834"/>
      <c r="K146" s="1834"/>
      <c r="L146" s="1834"/>
      <c r="M146" s="1834"/>
      <c r="N146" s="1834"/>
      <c r="O146" s="1834"/>
      <c r="P146" s="1834"/>
      <c r="Q146" s="1834"/>
      <c r="R146" s="1834"/>
      <c r="S146" s="1834"/>
      <c r="T146" s="465" cm="1" t="str">
        <f t="array" ref="T146:T146">T145</f>
        <v>true</v>
      </c>
      <c r="U146" s="1834"/>
      <c r="V146" s="1834"/>
      <c r="W146" s="1834"/>
      <c r="X146" s="1834"/>
      <c r="Y146" s="1834"/>
      <c r="Z146" s="1834"/>
      <c r="AA146" s="1834"/>
      <c r="AB146" s="1681" t="str">
        <f>AB144&amp;".2"</f>
        <v>1.1.2</v>
      </c>
      <c r="AC146" s="331" t="s">
        <v>1523</v>
      </c>
      <c r="AD146" s="92" t="s">
        <v>1524</v>
      </c>
      <c r="AE146" s="3151"/>
      <c r="AF146" s="3151"/>
      <c r="AG146" s="3151"/>
      <c r="AH146" s="3151"/>
      <c r="AI146" s="3151">
        <v>35120.8</v>
      </c>
      <c r="AJ146" s="3151">
        <v>36490.5112</v>
      </c>
      <c r="AK146" s="3151">
        <v>37877.1506256</v>
      </c>
      <c r="AL146" s="3151">
        <v>39316.4823493728</v>
      </c>
      <c r="AM146" s="3151">
        <v>40810.508678649</v>
      </c>
      <c r="AN146" s="3149"/>
      <c r="AO146" s="3149"/>
      <c r="AP146" s="3149"/>
      <c r="AQ146" s="3149"/>
      <c r="AR146" s="3149"/>
      <c r="AS146" s="3151">
        <f>33770*1.04</f>
        <v>35120.8</v>
      </c>
      <c r="AT146" s="3151">
        <f>AS146*1.039</f>
        <v>36490.5112</v>
      </c>
      <c r="AU146" s="3151">
        <f>AT146*1.038</f>
        <v>37877.1506256</v>
      </c>
      <c r="AV146" s="3151">
        <f>AU146*1.038</f>
        <v>39316.4823493728</v>
      </c>
      <c r="AW146" s="3151">
        <f>AV146*1.038</f>
        <v>40810.508678649</v>
      </c>
      <c r="AX146" s="3149"/>
      <c r="AY146" s="3149"/>
      <c r="AZ146" s="3149"/>
      <c r="BA146" s="3149"/>
      <c r="BB146" s="3149"/>
      <c r="BC146" s="3152" t="s">
        <v>1565</v>
      </c>
      <c r="BD146" s="1834"/>
      <c r="BE146" s="1834"/>
      <c r="BF146" s="1030" t="s">
        <v>1525</v>
      </c>
      <c r="BG146" s="1030" t="s">
        <v>1519</v>
      </c>
      <c r="BH146" s="1030" cm="1" t="str">
        <f t="array" ref="BH146:BH146">BH145</f>
        <v>гипохлорит натрия</v>
      </c>
      <c r="BI146" s="1030"/>
      <c r="BJ146" s="267"/>
      <c r="BK146" s="267"/>
    </row>
    <row s="1834" customFormat="1" customHeight="1" ht="12.75">
      <c r="A147" s="1304"/>
      <c r="B147" s="1682"/>
      <c r="C147" s="1304"/>
      <c r="D147" s="1304"/>
      <c r="E147" s="630">
        <v>15</v>
      </c>
      <c r="F147" s="1387" cm="1" t="str">
        <f t="array" ref="F147:F147">OFFSET(E147,-1,1)</f>
        <v>4</v>
      </c>
      <c r="G147" s="1304"/>
      <c r="H147" s="1377" t="str">
        <f>"!== 'Всего по тарифу'"</f>
        <v>!== 'Всего по тарифу'</v>
      </c>
      <c r="I147" s="1304"/>
      <c r="J147" s="1304"/>
      <c r="K147" s="1304"/>
      <c r="L147" s="1304"/>
      <c r="M147" s="1304"/>
      <c r="N147" s="1304"/>
      <c r="O147" s="1304"/>
      <c r="P147" s="1304"/>
      <c r="Q147" s="1304"/>
      <c r="R147" s="1304"/>
      <c r="S147" s="1304"/>
      <c r="T147" s="1356">
        <f>F147&gt;0</f>
        <v>1</v>
      </c>
      <c r="U147" s="1304"/>
      <c r="V147" s="1304"/>
      <c r="W147" s="849" t="s">
        <v>399</v>
      </c>
      <c r="X147" s="1385"/>
      <c r="Y147" s="1304"/>
      <c r="Z147" s="1385"/>
      <c r="AA147" s="1304"/>
      <c r="AB147" s="1683"/>
      <c r="AC147" s="1684" t="s">
        <v>178</v>
      </c>
      <c r="AD147" s="1685"/>
      <c r="AE147" s="1685"/>
      <c r="AF147" s="1685"/>
      <c r="AG147" s="1685"/>
      <c r="AH147" s="1685"/>
      <c r="AI147" s="1685"/>
      <c r="AJ147" s="1685"/>
      <c r="AK147" s="1685"/>
      <c r="AL147" s="1685"/>
      <c r="AM147" s="1685"/>
      <c r="AN147" s="1685"/>
      <c r="AO147" s="1685"/>
      <c r="AP147" s="1685"/>
      <c r="AQ147" s="1685"/>
      <c r="AR147" s="1685"/>
      <c r="AS147" s="1685"/>
      <c r="AT147" s="1685"/>
      <c r="AU147" s="1685"/>
      <c r="AV147" s="1685"/>
      <c r="AW147" s="1685"/>
      <c r="AX147" s="1685"/>
      <c r="AY147" s="1685"/>
      <c r="AZ147" s="1685"/>
      <c r="BA147" s="1685"/>
      <c r="BB147" s="1685"/>
      <c r="BC147" s="1686"/>
      <c r="BD147" s="1304"/>
      <c r="BE147" s="1304"/>
      <c r="BF147" s="1018"/>
      <c r="BG147" s="1018"/>
      <c r="BH147" s="1018"/>
      <c r="BI147" s="1810"/>
      <c r="BJ147" s="1338" t="s">
        <v>1519</v>
      </c>
      <c r="BK147" s="1338"/>
    </row>
    <row s="1834" customFormat="1" customHeight="1" ht="23.25">
      <c r="A148" s="1304"/>
      <c r="B148" s="1682"/>
      <c r="C148" s="1304"/>
      <c r="D148" s="1304"/>
      <c r="E148" s="630">
        <v>15</v>
      </c>
      <c r="F148" s="1387" cm="1" t="str">
        <f t="array" ref="F148:F148">OFFSET(E148,-1,1)</f>
        <v>4</v>
      </c>
      <c r="G148" s="1304"/>
      <c r="H148" s="1304"/>
      <c r="I148" s="1312" t="s">
        <v>1526</v>
      </c>
      <c r="J148" s="1304"/>
      <c r="K148" s="1304"/>
      <c r="L148" s="1304"/>
      <c r="M148" s="1304"/>
      <c r="N148" s="1304"/>
      <c r="O148" s="1304"/>
      <c r="P148" s="1304"/>
      <c r="Q148" s="1304"/>
      <c r="R148" s="1304"/>
      <c r="S148" s="1304"/>
      <c r="T148" s="1356" cm="1" t="str">
        <f t="array" ref="T148:T148">T147</f>
        <v>true</v>
      </c>
      <c r="U148" s="1304"/>
      <c r="V148" s="1304"/>
      <c r="W148" s="849"/>
      <c r="X148" s="1385"/>
      <c r="Y148" s="1304"/>
      <c r="Z148" s="1385"/>
      <c r="AA148" s="1304"/>
      <c r="AB148" s="145" t="s">
        <v>285</v>
      </c>
      <c r="AC148" s="1089" t="s">
        <v>1526</v>
      </c>
      <c r="AD148" s="1564" t="s">
        <v>1514</v>
      </c>
      <c r="AE148" s="191">
        <f>AE149+AE150</f>
        <v>0</v>
      </c>
      <c r="AF148" s="191">
        <f>AF149+AF150</f>
        <v>0</v>
      </c>
      <c r="AG148" s="191">
        <f>AG149+AG150</f>
        <v>0</v>
      </c>
      <c r="AH148" s="191">
        <f>AH149+AH150</f>
        <v>0</v>
      </c>
      <c r="AI148" s="191">
        <f>AI149+AI150</f>
        <v>151</v>
      </c>
      <c r="AJ148" s="191">
        <f>AJ149+AJ150</f>
        <v>155.4696</v>
      </c>
      <c r="AK148" s="191">
        <f>AK149+AK150</f>
        <v>160.0715</v>
      </c>
      <c r="AL148" s="191">
        <f>AL149+AL150</f>
        <v>164.80962</v>
      </c>
      <c r="AM148" s="191">
        <f>AM149+AM150</f>
        <v>169.68798</v>
      </c>
      <c r="AN148" s="191">
        <f>AN149+AN150</f>
        <v>0</v>
      </c>
      <c r="AO148" s="191">
        <f>AO149+AO150</f>
        <v>0</v>
      </c>
      <c r="AP148" s="191">
        <f>AP149+AP150</f>
        <v>0</v>
      </c>
      <c r="AQ148" s="191">
        <f>AQ149+AQ150</f>
        <v>0</v>
      </c>
      <c r="AR148" s="191">
        <f>AR149+AR150</f>
        <v>0</v>
      </c>
      <c r="AS148" s="191">
        <f>AS149+AS150</f>
        <v>151</v>
      </c>
      <c r="AT148" s="191">
        <f>AT149+AT150</f>
        <v>155.4696</v>
      </c>
      <c r="AU148" s="191">
        <f>AU149+AU150</f>
        <v>160.0715</v>
      </c>
      <c r="AV148" s="191">
        <f>AV149+AV150</f>
        <v>164.80962</v>
      </c>
      <c r="AW148" s="191">
        <f>AW149+AW150</f>
        <v>169.68798</v>
      </c>
      <c r="AX148" s="191">
        <f>AX149+AX150</f>
        <v>0</v>
      </c>
      <c r="AY148" s="191">
        <f>AY149+AY150</f>
        <v>0</v>
      </c>
      <c r="AZ148" s="191">
        <f>AZ149+AZ150</f>
        <v>0</v>
      </c>
      <c r="BA148" s="191">
        <f>BA149+BA150</f>
        <v>0</v>
      </c>
      <c r="BB148" s="191">
        <f>BB149+BB150</f>
        <v>0</v>
      </c>
      <c r="BC148" s="1808" t="s">
        <v>1561</v>
      </c>
      <c r="BD148" s="1304"/>
      <c r="BE148" s="1304"/>
      <c r="BF148" s="1018" t="s">
        <v>1527</v>
      </c>
      <c r="BG148" s="1018"/>
      <c r="BH148" s="1018"/>
      <c r="BI148" s="1810"/>
      <c r="BJ148" s="1338"/>
      <c r="BK148" s="1338"/>
    </row>
    <row s="1834" customFormat="1" customHeight="1" ht="65.25">
      <c r="A149" s="1304"/>
      <c r="B149" s="1682"/>
      <c r="C149" s="1304"/>
      <c r="D149" s="1304"/>
      <c r="E149" s="630">
        <v>33.75</v>
      </c>
      <c r="F149" s="1387" cm="1" t="str">
        <f t="array" ref="F149:F149">OFFSET(E149,-1,1)</f>
        <v>4</v>
      </c>
      <c r="G149" s="1304"/>
      <c r="H149" s="1304"/>
      <c r="I149" s="1304"/>
      <c r="J149" s="1304"/>
      <c r="K149" s="1304"/>
      <c r="L149" s="1304"/>
      <c r="M149" s="1304"/>
      <c r="N149" s="1304"/>
      <c r="O149" s="1304"/>
      <c r="P149" s="1304"/>
      <c r="Q149" s="1304"/>
      <c r="R149" s="1304"/>
      <c r="S149" s="1304"/>
      <c r="T149" s="1356" cm="1" t="str">
        <f t="array" ref="T149:T149">T148</f>
        <v>true</v>
      </c>
      <c r="U149" s="1304"/>
      <c r="V149" s="1304"/>
      <c r="W149" s="849"/>
      <c r="X149" s="1385"/>
      <c r="Y149" s="1304"/>
      <c r="Z149" s="1385"/>
      <c r="AA149" s="1304"/>
      <c r="AB149" s="145" t="s">
        <v>1250</v>
      </c>
      <c r="AC149" s="1089" t="s">
        <v>1528</v>
      </c>
      <c r="AD149" s="1564" t="s">
        <v>1514</v>
      </c>
      <c r="AE149" s="1096"/>
      <c r="AF149" s="1096"/>
      <c r="AG149" s="1096"/>
      <c r="AH149" s="1096"/>
      <c r="AI149" s="1096">
        <v>151</v>
      </c>
      <c r="AJ149" s="1096">
        <v>155.4696</v>
      </c>
      <c r="AK149" s="1096">
        <v>160.0715</v>
      </c>
      <c r="AL149" s="1096">
        <v>164.80962</v>
      </c>
      <c r="AM149" s="1096">
        <v>169.68798</v>
      </c>
      <c r="AN149" s="2846"/>
      <c r="AO149" s="2846"/>
      <c r="AP149" s="2846"/>
      <c r="AQ149" s="2846"/>
      <c r="AR149" s="2846"/>
      <c r="AS149" s="1096">
        <v>151</v>
      </c>
      <c r="AT149" s="1096">
        <v>155.4696</v>
      </c>
      <c r="AU149" s="1096">
        <v>160.0715</v>
      </c>
      <c r="AV149" s="1096">
        <v>164.80962</v>
      </c>
      <c r="AW149" s="1096">
        <v>169.68798</v>
      </c>
      <c r="AX149" s="2846"/>
      <c r="AY149" s="2846"/>
      <c r="AZ149" s="2846"/>
      <c r="BA149" s="2846"/>
      <c r="BB149" s="2846"/>
      <c r="BC149" s="1808" t="s">
        <v>1562</v>
      </c>
      <c r="BD149" s="1304"/>
      <c r="BE149" s="1304"/>
      <c r="BF149" s="1018" t="s">
        <v>1529</v>
      </c>
      <c r="BG149" s="1018"/>
      <c r="BH149" s="1018"/>
      <c r="BI149" s="1810"/>
      <c r="BJ149" s="1338"/>
      <c r="BK149" s="1338"/>
    </row>
    <row s="1834" customFormat="1" customHeight="1" ht="0">
      <c r="A150" s="1304"/>
      <c r="B150" s="1682"/>
      <c r="C150" s="1304"/>
      <c r="D150" s="1304"/>
      <c r="E150" s="630">
        <v>45</v>
      </c>
      <c r="F150" s="1387" cm="1" t="str">
        <f t="array" ref="F150:F150">OFFSET(E150,-1,1)</f>
        <v>4</v>
      </c>
      <c r="G150" s="1304"/>
      <c r="H150" s="1304"/>
      <c r="I150" s="1304"/>
      <c r="J150" s="1304"/>
      <c r="K150" s="1304"/>
      <c r="L150" s="1304"/>
      <c r="M150" s="1304"/>
      <c r="N150" s="1304"/>
      <c r="O150" s="1304"/>
      <c r="P150" s="1304"/>
      <c r="Q150" s="1304"/>
      <c r="R150" s="1304"/>
      <c r="S150" s="1304"/>
      <c r="T150" s="1356" cm="1" t="str">
        <f t="array" ref="T150:T150">T149</f>
        <v>true</v>
      </c>
      <c r="U150" s="1304"/>
      <c r="V150" s="1304"/>
      <c r="W150" s="849"/>
      <c r="X150" s="1385"/>
      <c r="Y150" s="1304"/>
      <c r="Z150" s="1385"/>
      <c r="AA150" s="1304"/>
      <c r="AB150" s="145" t="s">
        <v>1254</v>
      </c>
      <c r="AC150" s="1089" t="s">
        <v>1530</v>
      </c>
      <c r="AD150" s="1564" t="s">
        <v>1514</v>
      </c>
      <c r="AE150" s="191">
        <f>SUMIF($AD151:$AD154,$AD150,AE151:AE154)</f>
        <v>0</v>
      </c>
      <c r="AF150" s="191">
        <f>SUMIF($AD151:$AD154,$AD150,AF151:AF154)</f>
        <v>0</v>
      </c>
      <c r="AG150" s="191">
        <f>SUMIF($AD151:$AD154,$AD150,AG151:AG154)</f>
        <v>0</v>
      </c>
      <c r="AH150" s="191">
        <f>SUMIF($AD151:$AD154,$AD150,AH151:AH154)</f>
        <v>0</v>
      </c>
      <c r="AI150" s="191">
        <f>SUMIF($AD151:$AD154,$AD150,AI151:AI154)</f>
        <v>0</v>
      </c>
      <c r="AJ150" s="191">
        <f>SUMIF($AD151:$AD154,$AD150,AJ151:AJ154)</f>
        <v>0</v>
      </c>
      <c r="AK150" s="191">
        <f>SUMIF($AD151:$AD154,$AD150,AK151:AK154)</f>
        <v>0</v>
      </c>
      <c r="AL150" s="191">
        <f>SUMIF($AD151:$AD154,$AD150,AL151:AL154)</f>
        <v>0</v>
      </c>
      <c r="AM150" s="191">
        <f>SUMIF($AD151:$AD154,$AD150,AM151:AM154)</f>
        <v>0</v>
      </c>
      <c r="AN150" s="191">
        <f>SUMIF($AD151:$AD154,$AD150,AN151:AN154)</f>
        <v>0</v>
      </c>
      <c r="AO150" s="191">
        <f>SUMIF($AD151:$AD154,$AD150,AO151:AO154)</f>
        <v>0</v>
      </c>
      <c r="AP150" s="191">
        <f>SUMIF($AD151:$AD154,$AD150,AP151:AP154)</f>
        <v>0</v>
      </c>
      <c r="AQ150" s="191">
        <f>SUMIF($AD151:$AD154,$AD150,AQ151:AQ154)</f>
        <v>0</v>
      </c>
      <c r="AR150" s="191">
        <f>SUMIF($AD151:$AD154,$AD150,AR151:AR154)</f>
        <v>0</v>
      </c>
      <c r="AS150" s="191">
        <f>SUMIF($AD151:$AD154,$AD150,AS151:AS154)</f>
        <v>0</v>
      </c>
      <c r="AT150" s="191">
        <f>SUMIF($AD151:$AD154,$AD150,AT151:AT154)</f>
        <v>0</v>
      </c>
      <c r="AU150" s="191">
        <f>SUMIF($AD151:$AD154,$AD150,AU151:AU154)</f>
        <v>0</v>
      </c>
      <c r="AV150" s="191">
        <f>SUMIF($AD151:$AD154,$AD150,AV151:AV154)</f>
        <v>0</v>
      </c>
      <c r="AW150" s="191">
        <f>SUMIF($AD151:$AD154,$AD150,AW151:AW154)</f>
        <v>0</v>
      </c>
      <c r="AX150" s="191">
        <f>SUMIF($AD151:$AD154,$AD150,AX151:AX154)</f>
        <v>0</v>
      </c>
      <c r="AY150" s="191">
        <f>SUMIF($AD151:$AD154,$AD150,AY151:AY154)</f>
        <v>0</v>
      </c>
      <c r="AZ150" s="191">
        <f>SUMIF($AD151:$AD154,$AD150,AZ151:AZ154)</f>
        <v>0</v>
      </c>
      <c r="BA150" s="191">
        <f>SUMIF($AD151:$AD154,$AD150,BA151:BA154)</f>
        <v>0</v>
      </c>
      <c r="BB150" s="191">
        <f>SUMIF($AD151:$AD154,$AD150,BB151:BB154)</f>
        <v>0</v>
      </c>
      <c r="BC150" s="1808"/>
      <c r="BD150" s="1304"/>
      <c r="BE150" s="1304"/>
      <c r="BF150" s="1018" t="s">
        <v>1531</v>
      </c>
      <c r="BG150" s="1018"/>
      <c r="BH150" s="1018"/>
      <c r="BI150" s="1810"/>
      <c r="BJ150" s="1338"/>
      <c r="BK150" s="1338"/>
    </row>
    <row s="1834" customFormat="1" customHeight="1" ht="12.75" hidden="1">
      <c r="A151" s="1379"/>
      <c r="B151" s="1641"/>
      <c r="C151" s="1379"/>
      <c r="D151" s="1379"/>
      <c r="E151" s="630">
        <v>15</v>
      </c>
      <c r="F151" s="1387" cm="1" t="str">
        <f t="array" ref="F151:F151">OFFSET(E151,-1,1)</f>
        <v>4</v>
      </c>
      <c r="G151" s="1379"/>
      <c r="H151" s="1379"/>
      <c r="I151" s="1379"/>
      <c r="J151" s="1379"/>
      <c r="K151" s="1379"/>
      <c r="L151" s="1379"/>
      <c r="M151" s="1379"/>
      <c r="N151" s="1379"/>
      <c r="O151" s="1379"/>
      <c r="P151" s="1379"/>
      <c r="Q151" s="1379"/>
      <c r="R151" s="1379"/>
      <c r="S151" s="1379"/>
      <c r="T151" s="1356">
        <f>AND(F151&gt;0,Y151&gt;0)</f>
        <v>0</v>
      </c>
      <c r="U151" s="1304"/>
      <c r="V151" s="1304"/>
      <c r="W151" s="849" t="s">
        <v>174</v>
      </c>
      <c r="X151" s="1385"/>
      <c r="Y151" s="1596">
        <v>0</v>
      </c>
      <c r="Z151" s="1385"/>
      <c r="AA151" s="1687" t="s">
        <v>175</v>
      </c>
      <c r="AB151" s="1604" t="str">
        <f>"2.3."&amp;Y151</f>
        <v>2.3.0</v>
      </c>
      <c r="AC151" s="2860"/>
      <c r="AD151" s="1564" t="s">
        <v>1514</v>
      </c>
      <c r="AE151" s="2846"/>
      <c r="AF151" s="2846"/>
      <c r="AG151" s="2846"/>
      <c r="AH151" s="2846"/>
      <c r="AI151" s="2846"/>
      <c r="AJ151" s="2846"/>
      <c r="AK151" s="2846"/>
      <c r="AL151" s="2846"/>
      <c r="AM151" s="2846"/>
      <c r="AN151" s="2846"/>
      <c r="AO151" s="2846"/>
      <c r="AP151" s="2846"/>
      <c r="AQ151" s="2846"/>
      <c r="AR151" s="2846"/>
      <c r="AS151" s="2846"/>
      <c r="AT151" s="2846"/>
      <c r="AU151" s="2846"/>
      <c r="AV151" s="2846"/>
      <c r="AW151" s="2846"/>
      <c r="AX151" s="2846"/>
      <c r="AY151" s="2846"/>
      <c r="AZ151" s="2846"/>
      <c r="BA151" s="2846"/>
      <c r="BB151" s="2846"/>
      <c r="BC151" s="2836"/>
      <c r="BD151" s="1304"/>
      <c r="BE151" s="1304"/>
      <c r="BF151" s="1289" t="s">
        <v>1532</v>
      </c>
      <c r="BG151" s="1289" t="s">
        <v>1533</v>
      </c>
      <c r="BH151" s="1289" cm="1" t="str">
        <f t="array" ref="BH151:BH151">AC151</f>
        <v>0</v>
      </c>
      <c r="BI151" s="1811" cm="1" t="str">
        <f t="array" ref="BI151:BI151">AD152</f>
        <v>0</v>
      </c>
      <c r="BJ151" s="1224"/>
      <c r="BK151" s="1380" t="b">
        <v>1</v>
      </c>
    </row>
    <row s="1834" customFormat="1" customHeight="1" ht="12.75" hidden="1">
      <c r="A152" s="1379"/>
      <c r="B152" s="1641"/>
      <c r="C152" s="1379"/>
      <c r="D152" s="1379"/>
      <c r="E152" s="630">
        <v>15</v>
      </c>
      <c r="F152" s="1387" cm="1" t="str">
        <f t="array" ref="F152:F152">OFFSET(E152,-1,1)</f>
        <v>4</v>
      </c>
      <c r="G152" s="1379"/>
      <c r="H152" s="1379"/>
      <c r="I152" s="1379"/>
      <c r="J152" s="1379"/>
      <c r="K152" s="1379"/>
      <c r="L152" s="1379"/>
      <c r="M152" s="1379"/>
      <c r="N152" s="1379"/>
      <c r="O152" s="1379"/>
      <c r="P152" s="1379"/>
      <c r="Q152" s="1379"/>
      <c r="R152" s="1379"/>
      <c r="S152" s="1379"/>
      <c r="T152" s="1356" cm="1" t="str">
        <f t="array" ref="T152:T152">T151</f>
        <v>false</v>
      </c>
      <c r="U152" s="1379"/>
      <c r="V152" s="1388"/>
      <c r="W152" s="1379"/>
      <c r="X152" s="1385"/>
      <c r="Y152" s="1596"/>
      <c r="Z152" s="1385"/>
      <c r="AA152" s="1687"/>
      <c r="AB152" s="1604" t="str">
        <f>AB151&amp;".1"</f>
        <v>2.3.0.1</v>
      </c>
      <c r="AC152" s="1091" t="s">
        <v>1520</v>
      </c>
      <c r="AD152" s="2867"/>
      <c r="AE152" s="2846"/>
      <c r="AF152" s="2846"/>
      <c r="AG152" s="2846"/>
      <c r="AH152" s="2846"/>
      <c r="AI152" s="2846"/>
      <c r="AJ152" s="2846"/>
      <c r="AK152" s="2846"/>
      <c r="AL152" s="2846"/>
      <c r="AM152" s="2846"/>
      <c r="AN152" s="2846"/>
      <c r="AO152" s="2846"/>
      <c r="AP152" s="2846"/>
      <c r="AQ152" s="2846"/>
      <c r="AR152" s="2846"/>
      <c r="AS152" s="2846"/>
      <c r="AT152" s="2846"/>
      <c r="AU152" s="2846"/>
      <c r="AV152" s="2846"/>
      <c r="AW152" s="2846"/>
      <c r="AX152" s="2846"/>
      <c r="AY152" s="2846"/>
      <c r="AZ152" s="2846"/>
      <c r="BA152" s="2846"/>
      <c r="BB152" s="2846"/>
      <c r="BC152" s="2836"/>
      <c r="BD152" s="1304"/>
      <c r="BE152" s="1304"/>
      <c r="BF152" s="1289" t="s">
        <v>1522</v>
      </c>
      <c r="BG152" s="1289" t="s">
        <v>1533</v>
      </c>
      <c r="BH152" s="1289" cm="1" t="str">
        <f t="array" ref="BH152:BH152">BH151</f>
        <v>0</v>
      </c>
      <c r="BI152" s="1811" cm="1" t="str">
        <f t="array" ref="BI152:BI152">BI151</f>
        <v>0</v>
      </c>
      <c r="BJ152" s="1224"/>
      <c r="BK152" s="1380"/>
    </row>
    <row s="1834" customFormat="1" customHeight="1" ht="12.75" hidden="1">
      <c r="A153" s="1379"/>
      <c r="B153" s="1641"/>
      <c r="C153" s="1379"/>
      <c r="D153" s="1379"/>
      <c r="E153" s="630">
        <v>15</v>
      </c>
      <c r="F153" s="1387" cm="1" t="str">
        <f t="array" ref="F153:F153">OFFSET(E153,-1,1)</f>
        <v>4</v>
      </c>
      <c r="G153" s="1379"/>
      <c r="H153" s="1379"/>
      <c r="I153" s="1379"/>
      <c r="J153" s="1379"/>
      <c r="K153" s="1379"/>
      <c r="L153" s="1379"/>
      <c r="M153" s="1379"/>
      <c r="N153" s="1379"/>
      <c r="O153" s="1379"/>
      <c r="P153" s="1379"/>
      <c r="Q153" s="1379"/>
      <c r="R153" s="1379"/>
      <c r="S153" s="1379"/>
      <c r="T153" s="1356" cm="1" t="str">
        <f t="array" ref="T153:T153">T152</f>
        <v>false</v>
      </c>
      <c r="U153" s="1379"/>
      <c r="V153" s="1388"/>
      <c r="W153" s="1379"/>
      <c r="X153" s="1385"/>
      <c r="Y153" s="1596"/>
      <c r="Z153" s="1385"/>
      <c r="AA153" s="1687"/>
      <c r="AB153" s="1604" t="str">
        <f>AB151&amp;".2"</f>
        <v>2.3.0.2</v>
      </c>
      <c r="AC153" s="1091" t="s">
        <v>1534</v>
      </c>
      <c r="AD153" s="1578" t="s">
        <v>1524</v>
      </c>
      <c r="AE153" s="2846"/>
      <c r="AF153" s="2846"/>
      <c r="AG153" s="2846"/>
      <c r="AH153" s="2846"/>
      <c r="AI153" s="2846"/>
      <c r="AJ153" s="2846"/>
      <c r="AK153" s="2846"/>
      <c r="AL153" s="2846"/>
      <c r="AM153" s="2846"/>
      <c r="AN153" s="2846"/>
      <c r="AO153" s="2846"/>
      <c r="AP153" s="2846"/>
      <c r="AQ153" s="2846"/>
      <c r="AR153" s="2846"/>
      <c r="AS153" s="2846"/>
      <c r="AT153" s="2846"/>
      <c r="AU153" s="2846"/>
      <c r="AV153" s="2846"/>
      <c r="AW153" s="2846"/>
      <c r="AX153" s="2846"/>
      <c r="AY153" s="2846"/>
      <c r="AZ153" s="2846"/>
      <c r="BA153" s="2846"/>
      <c r="BB153" s="2846"/>
      <c r="BC153" s="2836"/>
      <c r="BD153" s="1304"/>
      <c r="BE153" s="1304"/>
      <c r="BF153" s="1289" t="s">
        <v>1525</v>
      </c>
      <c r="BG153" s="1289" t="s">
        <v>1533</v>
      </c>
      <c r="BH153" s="1289" cm="1" t="str">
        <f t="array" ref="BH153:BH153">BH152</f>
        <v>0</v>
      </c>
      <c r="BI153" s="1811" cm="1" t="str">
        <f t="array" ref="BI153:BI153">BI152</f>
        <v>0</v>
      </c>
      <c r="BJ153" s="1224"/>
      <c r="BK153" s="1380"/>
    </row>
    <row s="1834" customFormat="1" customHeight="1" ht="12.75">
      <c r="A154" s="1379"/>
      <c r="B154" s="1641"/>
      <c r="C154" s="1379"/>
      <c r="D154" s="1379"/>
      <c r="E154" s="630">
        <v>15</v>
      </c>
      <c r="F154" s="1387" cm="1" t="str">
        <f t="array" ref="F154:F154">OFFSET(E154,-1,1)</f>
        <v>4</v>
      </c>
      <c r="G154" s="1379"/>
      <c r="H154" s="1379"/>
      <c r="I154" s="1379"/>
      <c r="J154" s="1379"/>
      <c r="K154" s="1379"/>
      <c r="L154" s="1379"/>
      <c r="M154" s="1379"/>
      <c r="N154" s="1379"/>
      <c r="O154" s="1379"/>
      <c r="P154" s="1379"/>
      <c r="Q154" s="1379"/>
      <c r="R154" s="1379"/>
      <c r="S154" s="1379"/>
      <c r="T154" s="1356">
        <f>F154&gt;0</f>
        <v>1</v>
      </c>
      <c r="U154" s="1379"/>
      <c r="V154" s="1388"/>
      <c r="W154" s="849" t="s">
        <v>1535</v>
      </c>
      <c r="X154" s="1385"/>
      <c r="Y154" s="1379"/>
      <c r="Z154" s="1385"/>
      <c r="AA154" s="1379"/>
      <c r="AB154" s="1689"/>
      <c r="AC154" s="1690" t="s">
        <v>178</v>
      </c>
      <c r="AD154" s="1685"/>
      <c r="AE154" s="1685"/>
      <c r="AF154" s="1685"/>
      <c r="AG154" s="1685"/>
      <c r="AH154" s="1685"/>
      <c r="AI154" s="1685"/>
      <c r="AJ154" s="1685"/>
      <c r="AK154" s="1685"/>
      <c r="AL154" s="1685"/>
      <c r="AM154" s="1685"/>
      <c r="AN154" s="1685"/>
      <c r="AO154" s="1685"/>
      <c r="AP154" s="1685"/>
      <c r="AQ154" s="1685"/>
      <c r="AR154" s="1685"/>
      <c r="AS154" s="1685"/>
      <c r="AT154" s="1685"/>
      <c r="AU154" s="1685"/>
      <c r="AV154" s="1685"/>
      <c r="AW154" s="1685"/>
      <c r="AX154" s="1685"/>
      <c r="AY154" s="1685"/>
      <c r="AZ154" s="1685"/>
      <c r="BA154" s="1685"/>
      <c r="BB154" s="1685"/>
      <c r="BC154" s="1685"/>
      <c r="BD154" s="1304"/>
      <c r="BE154" s="1304"/>
      <c r="BF154" s="1289"/>
      <c r="BG154" s="1289"/>
      <c r="BH154" s="1289"/>
      <c r="BI154" s="1811"/>
      <c r="BJ154" s="1224" t="s">
        <v>1533</v>
      </c>
      <c r="BK154" s="1380"/>
    </row>
    <row s="1834" customFormat="1" customHeight="1" ht="22.5">
      <c r="A155" s="1379"/>
      <c r="B155" s="1641"/>
      <c r="C155" s="1379"/>
      <c r="D155" s="1379"/>
      <c r="E155" s="630">
        <v>23.25</v>
      </c>
      <c r="F155" s="1387" cm="1" t="str">
        <f t="array" ref="F155:F155">OFFSET(E155,-1,1)</f>
        <v>4</v>
      </c>
      <c r="G155" s="1379"/>
      <c r="H155" s="1304"/>
      <c r="I155" s="1312" t="s">
        <v>1536</v>
      </c>
      <c r="J155" s="1379"/>
      <c r="K155" s="1379"/>
      <c r="L155" s="1379"/>
      <c r="M155" s="1379"/>
      <c r="N155" s="1379"/>
      <c r="O155" s="1379"/>
      <c r="P155" s="1379"/>
      <c r="Q155" s="1379"/>
      <c r="R155" s="1379"/>
      <c r="S155" s="1379"/>
      <c r="T155" s="1356" cm="1" t="str">
        <f t="array" ref="T155:T155">T154</f>
        <v>true</v>
      </c>
      <c r="U155" s="1379"/>
      <c r="V155" s="1388"/>
      <c r="W155" s="1379"/>
      <c r="X155" s="1385"/>
      <c r="Y155" s="1379"/>
      <c r="Z155" s="1385"/>
      <c r="AA155" s="1379"/>
      <c r="AB155" s="145" t="s">
        <v>289</v>
      </c>
      <c r="AC155" s="1089" t="s">
        <v>1537</v>
      </c>
      <c r="AD155" s="1564" t="s">
        <v>1514</v>
      </c>
      <c r="AE155" s="191">
        <f>AE156+AE157</f>
        <v>0</v>
      </c>
      <c r="AF155" s="191">
        <f>AF156+AF157</f>
        <v>0</v>
      </c>
      <c r="AG155" s="191">
        <f>AG156+AG157</f>
        <v>0</v>
      </c>
      <c r="AH155" s="191">
        <f>AH156+AH157</f>
        <v>0</v>
      </c>
      <c r="AI155" s="191">
        <f>AI156+AI157</f>
        <v>373.12559</v>
      </c>
      <c r="AJ155" s="191">
        <f>AJ156+AJ157</f>
        <v>384.17011</v>
      </c>
      <c r="AK155" s="191">
        <f>AK156+AK157</f>
        <v>395.541544</v>
      </c>
      <c r="AL155" s="191">
        <f>AL156+AL157</f>
        <v>407.249574</v>
      </c>
      <c r="AM155" s="191">
        <f>AM156+AM157</f>
        <v>419.304161</v>
      </c>
      <c r="AN155" s="191">
        <f>AN156+AN157</f>
        <v>0</v>
      </c>
      <c r="AO155" s="191">
        <f>AO156+AO157</f>
        <v>0</v>
      </c>
      <c r="AP155" s="191">
        <f>AP156+AP157</f>
        <v>0</v>
      </c>
      <c r="AQ155" s="191">
        <f>AQ156+AQ157</f>
        <v>0</v>
      </c>
      <c r="AR155" s="191">
        <f>AR156+AR157</f>
        <v>0</v>
      </c>
      <c r="AS155" s="191">
        <f>AS156+AS157</f>
        <v>373.12559</v>
      </c>
      <c r="AT155" s="191">
        <f>AT156+AT157</f>
        <v>384.17011</v>
      </c>
      <c r="AU155" s="191">
        <f>AU156+AU157</f>
        <v>395.541544</v>
      </c>
      <c r="AV155" s="191">
        <f>AV156+AV157</f>
        <v>407.249574</v>
      </c>
      <c r="AW155" s="191">
        <f>AW156+AW157</f>
        <v>419.304161</v>
      </c>
      <c r="AX155" s="191">
        <f>AX156+AX157</f>
        <v>0</v>
      </c>
      <c r="AY155" s="191">
        <f>AY156+AY157</f>
        <v>0</v>
      </c>
      <c r="AZ155" s="191">
        <f>AZ156+AZ157</f>
        <v>0</v>
      </c>
      <c r="BA155" s="191">
        <f>BA156+BA157</f>
        <v>0</v>
      </c>
      <c r="BB155" s="191">
        <f>BB156+BB157</f>
        <v>0</v>
      </c>
      <c r="BC155" s="1808" t="s">
        <v>1561</v>
      </c>
      <c r="BD155" s="1304"/>
      <c r="BE155" s="1304"/>
      <c r="BF155" s="1289" t="s">
        <v>1538</v>
      </c>
      <c r="BG155" s="1289"/>
      <c r="BH155" s="1289"/>
      <c r="BI155" s="1811"/>
      <c r="BJ155" s="1224"/>
      <c r="BK155" s="1380"/>
    </row>
    <row s="1834" customFormat="1" customHeight="1" ht="75.75">
      <c r="A156" s="1379"/>
      <c r="B156" s="1641"/>
      <c r="C156" s="1379"/>
      <c r="D156" s="1379"/>
      <c r="E156" s="630">
        <v>33.75</v>
      </c>
      <c r="F156" s="1387" cm="1" t="str">
        <f t="array" ref="F156:F156">OFFSET(E156,-1,1)</f>
        <v>4</v>
      </c>
      <c r="G156" s="1379"/>
      <c r="H156" s="1379"/>
      <c r="I156" s="1379"/>
      <c r="J156" s="1379"/>
      <c r="K156" s="1379"/>
      <c r="L156" s="1379"/>
      <c r="M156" s="1379"/>
      <c r="N156" s="1379"/>
      <c r="O156" s="1379"/>
      <c r="P156" s="1379"/>
      <c r="Q156" s="1379"/>
      <c r="R156" s="1379"/>
      <c r="S156" s="1379"/>
      <c r="T156" s="1356" cm="1" t="str">
        <f t="array" ref="T156:T156">T155</f>
        <v>true</v>
      </c>
      <c r="U156" s="1379"/>
      <c r="V156" s="1388"/>
      <c r="W156" s="1379"/>
      <c r="X156" s="1385"/>
      <c r="Y156" s="1379"/>
      <c r="Z156" s="1385"/>
      <c r="AA156" s="1379"/>
      <c r="AB156" s="145" t="s">
        <v>1264</v>
      </c>
      <c r="AC156" s="1089" t="s">
        <v>1539</v>
      </c>
      <c r="AD156" s="1564" t="s">
        <v>1514</v>
      </c>
      <c r="AE156" s="1096"/>
      <c r="AF156" s="1096"/>
      <c r="AG156" s="1096"/>
      <c r="AH156" s="1096"/>
      <c r="AI156" s="1096">
        <v>373.12559</v>
      </c>
      <c r="AJ156" s="1096">
        <v>384.17011</v>
      </c>
      <c r="AK156" s="1096">
        <v>395.541544</v>
      </c>
      <c r="AL156" s="1096">
        <v>407.249574</v>
      </c>
      <c r="AM156" s="1096">
        <v>419.304161</v>
      </c>
      <c r="AN156" s="2846"/>
      <c r="AO156" s="2846"/>
      <c r="AP156" s="2846"/>
      <c r="AQ156" s="2846"/>
      <c r="AR156" s="2846"/>
      <c r="AS156" s="1096">
        <v>373.12559</v>
      </c>
      <c r="AT156" s="1096">
        <v>384.17011</v>
      </c>
      <c r="AU156" s="1096">
        <v>395.541544</v>
      </c>
      <c r="AV156" s="1096">
        <v>407.249574</v>
      </c>
      <c r="AW156" s="1096">
        <v>419.304161</v>
      </c>
      <c r="AX156" s="2846"/>
      <c r="AY156" s="2846"/>
      <c r="AZ156" s="2846"/>
      <c r="BA156" s="2846"/>
      <c r="BB156" s="2846"/>
      <c r="BC156" s="1808" t="s">
        <v>1566</v>
      </c>
      <c r="BD156" s="1304"/>
      <c r="BE156" s="1304"/>
      <c r="BF156" s="1289" t="s">
        <v>1540</v>
      </c>
      <c r="BG156" s="1289"/>
      <c r="BH156" s="1289"/>
      <c r="BI156" s="1811"/>
      <c r="BJ156" s="1224"/>
      <c r="BK156" s="1380"/>
    </row>
    <row s="1834" customFormat="1" customHeight="1" ht="0">
      <c r="A157" s="1379"/>
      <c r="B157" s="1641"/>
      <c r="C157" s="1379"/>
      <c r="D157" s="1379"/>
      <c r="E157" s="630">
        <v>45</v>
      </c>
      <c r="F157" s="1387" cm="1" t="str">
        <f t="array" ref="F157:F157">OFFSET(E157,-1,1)</f>
        <v>4</v>
      </c>
      <c r="G157" s="1379"/>
      <c r="H157" s="1379"/>
      <c r="I157" s="1379"/>
      <c r="J157" s="1379"/>
      <c r="K157" s="1379"/>
      <c r="L157" s="1379"/>
      <c r="M157" s="1379"/>
      <c r="N157" s="1379"/>
      <c r="O157" s="1379"/>
      <c r="P157" s="1379"/>
      <c r="Q157" s="1379"/>
      <c r="R157" s="1379"/>
      <c r="S157" s="1379"/>
      <c r="T157" s="1356" cm="1" t="str">
        <f t="array" ref="T157:T157">T156</f>
        <v>true</v>
      </c>
      <c r="U157" s="1379"/>
      <c r="V157" s="1388"/>
      <c r="W157" s="1379"/>
      <c r="X157" s="1385"/>
      <c r="Y157" s="1379"/>
      <c r="Z157" s="1385"/>
      <c r="AA157" s="1379"/>
      <c r="AB157" s="145" t="s">
        <v>1268</v>
      </c>
      <c r="AC157" s="1089" t="s">
        <v>1541</v>
      </c>
      <c r="AD157" s="1564" t="s">
        <v>1514</v>
      </c>
      <c r="AE157" s="191">
        <f>SUMIF($AD158:$AD161,$AD157,AE158:AE161)</f>
        <v>0</v>
      </c>
      <c r="AF157" s="191">
        <f>SUMIF($AD158:$AD161,$AD157,AF158:AF161)</f>
        <v>0</v>
      </c>
      <c r="AG157" s="191">
        <f>SUMIF($AD158:$AD161,$AD157,AG158:AG161)</f>
        <v>0</v>
      </c>
      <c r="AH157" s="191">
        <f>SUMIF($AD158:$AD161,$AD157,AH158:AH161)</f>
        <v>0</v>
      </c>
      <c r="AI157" s="191">
        <f>SUMIF($AD158:$AD161,$AD157,AI158:AI161)</f>
        <v>0</v>
      </c>
      <c r="AJ157" s="191">
        <f>SUMIF($AD158:$AD161,$AD157,AJ158:AJ161)</f>
        <v>0</v>
      </c>
      <c r="AK157" s="191">
        <f>SUMIF($AD158:$AD161,$AD157,AK158:AK161)</f>
        <v>0</v>
      </c>
      <c r="AL157" s="191">
        <f>SUMIF($AD158:$AD161,$AD157,AL158:AL161)</f>
        <v>0</v>
      </c>
      <c r="AM157" s="191">
        <f>SUMIF($AD158:$AD161,$AD157,AM158:AM161)</f>
        <v>0</v>
      </c>
      <c r="AN157" s="191">
        <f>SUMIF($AD158:$AD161,$AD157,AN158:AN161)</f>
        <v>0</v>
      </c>
      <c r="AO157" s="191">
        <f>SUMIF($AD158:$AD161,$AD157,AO158:AO161)</f>
        <v>0</v>
      </c>
      <c r="AP157" s="191">
        <f>SUMIF($AD158:$AD161,$AD157,AP158:AP161)</f>
        <v>0</v>
      </c>
      <c r="AQ157" s="191">
        <f>SUMIF($AD158:$AD161,$AD157,AQ158:AQ161)</f>
        <v>0</v>
      </c>
      <c r="AR157" s="191">
        <f>SUMIF($AD158:$AD161,$AD157,AR158:AR161)</f>
        <v>0</v>
      </c>
      <c r="AS157" s="191">
        <f>SUMIF($AD158:$AD161,$AD157,AS158:AS161)</f>
        <v>0</v>
      </c>
      <c r="AT157" s="191">
        <f>SUMIF($AD158:$AD161,$AD157,AT158:AT161)</f>
        <v>0</v>
      </c>
      <c r="AU157" s="191">
        <f>SUMIF($AD158:$AD161,$AD157,AU158:AU161)</f>
        <v>0</v>
      </c>
      <c r="AV157" s="191">
        <f>SUMIF($AD158:$AD161,$AD157,AV158:AV161)</f>
        <v>0</v>
      </c>
      <c r="AW157" s="191">
        <f>SUMIF($AD158:$AD161,$AD157,AW158:AW161)</f>
        <v>0</v>
      </c>
      <c r="AX157" s="191">
        <f>SUMIF($AD158:$AD161,$AD157,AX158:AX161)</f>
        <v>0</v>
      </c>
      <c r="AY157" s="191">
        <f>SUMIF($AD158:$AD161,$AD157,AY158:AY161)</f>
        <v>0</v>
      </c>
      <c r="AZ157" s="191">
        <f>SUMIF($AD158:$AD161,$AD157,AZ158:AZ161)</f>
        <v>0</v>
      </c>
      <c r="BA157" s="191">
        <f>SUMIF($AD158:$AD161,$AD157,BA158:BA161)</f>
        <v>0</v>
      </c>
      <c r="BB157" s="191">
        <f>SUMIF($AD158:$AD161,$AD157,BB158:BB161)</f>
        <v>0</v>
      </c>
      <c r="BC157" s="1808"/>
      <c r="BD157" s="1304"/>
      <c r="BE157" s="1304"/>
      <c r="BF157" s="1289" t="s">
        <v>1542</v>
      </c>
      <c r="BG157" s="1289"/>
      <c r="BH157" s="1289"/>
      <c r="BI157" s="1811"/>
      <c r="BJ157" s="1224"/>
      <c r="BK157" s="1380"/>
    </row>
    <row s="1834" customFormat="1" customHeight="1" ht="14.25" hidden="1">
      <c r="A158" s="1379"/>
      <c r="B158" s="1641"/>
      <c r="C158" s="1379"/>
      <c r="D158" s="1379"/>
      <c r="E158" s="630">
        <v>15</v>
      </c>
      <c r="F158" s="1387" cm="1" t="str">
        <f t="array" ref="F158:F158">OFFSET(E158,-1,1)</f>
        <v>4</v>
      </c>
      <c r="G158" s="1379"/>
      <c r="H158" s="1379"/>
      <c r="I158" s="1379"/>
      <c r="J158" s="1379"/>
      <c r="K158" s="1379"/>
      <c r="L158" s="1379"/>
      <c r="M158" s="1379"/>
      <c r="N158" s="1379"/>
      <c r="O158" s="1379"/>
      <c r="P158" s="1379"/>
      <c r="Q158" s="1379"/>
      <c r="R158" s="1379"/>
      <c r="S158" s="1379"/>
      <c r="T158" s="1356">
        <f>AND(F158&gt;0,Y158&gt;0)</f>
        <v>0</v>
      </c>
      <c r="U158" s="1379"/>
      <c r="V158" s="1388"/>
      <c r="W158" s="849" t="s">
        <v>174</v>
      </c>
      <c r="X158" s="1385"/>
      <c r="Y158" s="1596">
        <v>0</v>
      </c>
      <c r="Z158" s="1385"/>
      <c r="AA158" s="1687" t="s">
        <v>175</v>
      </c>
      <c r="AB158" s="1604" t="str">
        <f>"3.3."&amp;Y158</f>
        <v>3.3.0</v>
      </c>
      <c r="AC158" s="2860"/>
      <c r="AD158" s="1564" t="s">
        <v>1514</v>
      </c>
      <c r="AE158" s="2846"/>
      <c r="AF158" s="2846"/>
      <c r="AG158" s="2846"/>
      <c r="AH158" s="2846"/>
      <c r="AI158" s="2846"/>
      <c r="AJ158" s="2846"/>
      <c r="AK158" s="2846"/>
      <c r="AL158" s="2846"/>
      <c r="AM158" s="2846"/>
      <c r="AN158" s="2846"/>
      <c r="AO158" s="2846"/>
      <c r="AP158" s="2846"/>
      <c r="AQ158" s="2846"/>
      <c r="AR158" s="2846"/>
      <c r="AS158" s="2846"/>
      <c r="AT158" s="2846"/>
      <c r="AU158" s="2846"/>
      <c r="AV158" s="2846"/>
      <c r="AW158" s="2846"/>
      <c r="AX158" s="2846"/>
      <c r="AY158" s="2846"/>
      <c r="AZ158" s="2846"/>
      <c r="BA158" s="2846"/>
      <c r="BB158" s="2846"/>
      <c r="BC158" s="2836"/>
      <c r="BD158" s="1304"/>
      <c r="BE158" s="1304"/>
      <c r="BF158" s="1289" t="s">
        <v>1543</v>
      </c>
      <c r="BG158" s="1289" t="s">
        <v>1544</v>
      </c>
      <c r="BH158" s="1289" cm="1" t="str">
        <f t="array" ref="BH158:BH158">AC158</f>
        <v>0</v>
      </c>
      <c r="BI158" s="1811" cm="1" t="str">
        <f t="array" ref="BI158:BI158">AD159</f>
        <v>0</v>
      </c>
      <c r="BJ158" s="1224"/>
      <c r="BK158" s="1380" t="b">
        <v>1</v>
      </c>
    </row>
    <row s="1834" customFormat="1" customHeight="1" ht="14.25" hidden="1">
      <c r="A159" s="1379"/>
      <c r="B159" s="1641"/>
      <c r="C159" s="1379"/>
      <c r="D159" s="1379"/>
      <c r="E159" s="630">
        <v>15</v>
      </c>
      <c r="F159" s="1387" cm="1" t="str">
        <f t="array" ref="F159:F159">OFFSET(E159,-1,1)</f>
        <v>4</v>
      </c>
      <c r="G159" s="1379"/>
      <c r="H159" s="1379"/>
      <c r="I159" s="1379"/>
      <c r="J159" s="1379"/>
      <c r="K159" s="1379"/>
      <c r="L159" s="1379"/>
      <c r="M159" s="1379"/>
      <c r="N159" s="1379"/>
      <c r="O159" s="1379"/>
      <c r="P159" s="1379"/>
      <c r="Q159" s="1379"/>
      <c r="R159" s="1379"/>
      <c r="S159" s="1379"/>
      <c r="T159" s="1356" cm="1" t="str">
        <f t="array" ref="T159:T159">T158</f>
        <v>false</v>
      </c>
      <c r="U159" s="1379"/>
      <c r="V159" s="1388"/>
      <c r="W159" s="1379"/>
      <c r="X159" s="1385"/>
      <c r="Y159" s="1596"/>
      <c r="Z159" s="1385"/>
      <c r="AA159" s="1687"/>
      <c r="AB159" s="1604" t="str">
        <f>AB158&amp;".1"</f>
        <v>3.3.0.1</v>
      </c>
      <c r="AC159" s="1091" t="s">
        <v>1520</v>
      </c>
      <c r="AD159" s="2867"/>
      <c r="AE159" s="2846"/>
      <c r="AF159" s="2846"/>
      <c r="AG159" s="2846"/>
      <c r="AH159" s="2846"/>
      <c r="AI159" s="2846"/>
      <c r="AJ159" s="2846"/>
      <c r="AK159" s="2846"/>
      <c r="AL159" s="2846"/>
      <c r="AM159" s="2846"/>
      <c r="AN159" s="2846"/>
      <c r="AO159" s="2846"/>
      <c r="AP159" s="2846"/>
      <c r="AQ159" s="2846"/>
      <c r="AR159" s="2846"/>
      <c r="AS159" s="2846"/>
      <c r="AT159" s="2846"/>
      <c r="AU159" s="2846"/>
      <c r="AV159" s="2846"/>
      <c r="AW159" s="2846"/>
      <c r="AX159" s="2846"/>
      <c r="AY159" s="2846"/>
      <c r="AZ159" s="2846"/>
      <c r="BA159" s="2846"/>
      <c r="BB159" s="2846"/>
      <c r="BC159" s="2836"/>
      <c r="BD159" s="1304"/>
      <c r="BE159" s="1304"/>
      <c r="BF159" s="1289" t="s">
        <v>1522</v>
      </c>
      <c r="BG159" s="1289" t="s">
        <v>1544</v>
      </c>
      <c r="BH159" s="1289" cm="1" t="str">
        <f t="array" ref="BH159:BH159">BH158</f>
        <v>0</v>
      </c>
      <c r="BI159" s="1811" cm="1" t="str">
        <f t="array" ref="BI159:BI159">BI158</f>
        <v>0</v>
      </c>
      <c r="BJ159" s="1224"/>
      <c r="BK159" s="1380"/>
    </row>
    <row s="1834" customFormat="1" customHeight="1" ht="14.25" hidden="1">
      <c r="A160" s="1379"/>
      <c r="B160" s="1641"/>
      <c r="C160" s="1379"/>
      <c r="D160" s="1379"/>
      <c r="E160" s="630">
        <v>15</v>
      </c>
      <c r="F160" s="1387" cm="1" t="str">
        <f t="array" ref="F160:F160">OFFSET(E160,-1,1)</f>
        <v>4</v>
      </c>
      <c r="G160" s="1379"/>
      <c r="H160" s="1379"/>
      <c r="I160" s="1379"/>
      <c r="J160" s="1379"/>
      <c r="K160" s="1379"/>
      <c r="L160" s="1379"/>
      <c r="M160" s="1379"/>
      <c r="N160" s="1379"/>
      <c r="O160" s="1379"/>
      <c r="P160" s="1379"/>
      <c r="Q160" s="1379"/>
      <c r="R160" s="1379"/>
      <c r="S160" s="1379"/>
      <c r="T160" s="1356" cm="1" t="str">
        <f t="array" ref="T160:T160">T159</f>
        <v>false</v>
      </c>
      <c r="U160" s="1379"/>
      <c r="V160" s="1388"/>
      <c r="W160" s="1379"/>
      <c r="X160" s="1385"/>
      <c r="Y160" s="1596"/>
      <c r="Z160" s="1385"/>
      <c r="AA160" s="1687"/>
      <c r="AB160" s="1604" t="str">
        <f>AB158&amp;".2"</f>
        <v>3.3.0.2</v>
      </c>
      <c r="AC160" s="1091" t="s">
        <v>1534</v>
      </c>
      <c r="AD160" s="1578" t="s">
        <v>1524</v>
      </c>
      <c r="AE160" s="2846"/>
      <c r="AF160" s="2846"/>
      <c r="AG160" s="2846"/>
      <c r="AH160" s="2846"/>
      <c r="AI160" s="2846"/>
      <c r="AJ160" s="2846"/>
      <c r="AK160" s="2846"/>
      <c r="AL160" s="2846"/>
      <c r="AM160" s="2846"/>
      <c r="AN160" s="2846"/>
      <c r="AO160" s="2846"/>
      <c r="AP160" s="2846"/>
      <c r="AQ160" s="2846"/>
      <c r="AR160" s="2846"/>
      <c r="AS160" s="2846"/>
      <c r="AT160" s="2846"/>
      <c r="AU160" s="2846"/>
      <c r="AV160" s="2846"/>
      <c r="AW160" s="2846"/>
      <c r="AX160" s="2846"/>
      <c r="AY160" s="2846"/>
      <c r="AZ160" s="2846"/>
      <c r="BA160" s="2846"/>
      <c r="BB160" s="2846"/>
      <c r="BC160" s="2836"/>
      <c r="BD160" s="1304"/>
      <c r="BE160" s="1304"/>
      <c r="BF160" s="1289" t="s">
        <v>1525</v>
      </c>
      <c r="BG160" s="1289" t="s">
        <v>1544</v>
      </c>
      <c r="BH160" s="1289" cm="1" t="str">
        <f t="array" ref="BH160:BH160">BH159</f>
        <v>0</v>
      </c>
      <c r="BI160" s="1811" cm="1" t="str">
        <f t="array" ref="BI160:BI160">BI159</f>
        <v>0</v>
      </c>
      <c r="BJ160" s="1224"/>
      <c r="BK160" s="1380"/>
    </row>
    <row s="1426" customFormat="1" customHeight="1" ht="14.25">
      <c r="A161" s="1379"/>
      <c r="B161" s="1641"/>
      <c r="C161" s="1379"/>
      <c r="D161" s="1379"/>
      <c r="E161" s="630">
        <v>15</v>
      </c>
      <c r="F161" s="1387" cm="1" t="str">
        <f t="array" ref="F161:F161">OFFSET(E161,-1,1)</f>
        <v>4</v>
      </c>
      <c r="G161" s="1379"/>
      <c r="H161" s="1379"/>
      <c r="I161" s="1379"/>
      <c r="J161" s="1379"/>
      <c r="K161" s="1379"/>
      <c r="L161" s="1379"/>
      <c r="M161" s="1379"/>
      <c r="N161" s="1379"/>
      <c r="O161" s="1379"/>
      <c r="P161" s="1379"/>
      <c r="Q161" s="1379"/>
      <c r="R161" s="1379"/>
      <c r="S161" s="1379"/>
      <c r="T161" s="1356">
        <f>F161&gt;0</f>
        <v>1</v>
      </c>
      <c r="U161" s="1379"/>
      <c r="V161" s="1388"/>
      <c r="W161" s="849" t="s">
        <v>1545</v>
      </c>
      <c r="X161" s="1385"/>
      <c r="Y161" s="1379"/>
      <c r="Z161" s="1385"/>
      <c r="AA161" s="1379"/>
      <c r="AB161" s="1691"/>
      <c r="AC161" s="1692" t="s">
        <v>178</v>
      </c>
      <c r="AD161" s="1693"/>
      <c r="AE161" s="1693"/>
      <c r="AF161" s="1693"/>
      <c r="AG161" s="1693"/>
      <c r="AH161" s="1693"/>
      <c r="AI161" s="1693"/>
      <c r="AJ161" s="1693"/>
      <c r="AK161" s="1693"/>
      <c r="AL161" s="1693"/>
      <c r="AM161" s="1693"/>
      <c r="AN161" s="1693"/>
      <c r="AO161" s="1693"/>
      <c r="AP161" s="1693"/>
      <c r="AQ161" s="1693"/>
      <c r="AR161" s="1693"/>
      <c r="AS161" s="1693"/>
      <c r="AT161" s="1693"/>
      <c r="AU161" s="1693"/>
      <c r="AV161" s="1693"/>
      <c r="AW161" s="1693"/>
      <c r="AX161" s="1693"/>
      <c r="AY161" s="1693"/>
      <c r="AZ161" s="1693"/>
      <c r="BA161" s="1693"/>
      <c r="BB161" s="1693"/>
      <c r="BC161" s="1693"/>
      <c r="BD161" s="1426"/>
      <c r="BE161" s="1426"/>
      <c r="BF161" s="1289"/>
      <c r="BG161" s="1289"/>
      <c r="BH161" s="1289"/>
      <c r="BI161" s="1811"/>
      <c r="BJ161" s="1224" t="s">
        <v>1544</v>
      </c>
      <c r="BK161" s="1380"/>
    </row>
    <row s="1834" customFormat="1" customHeight="1" ht="10.96875">
      <c r="A162" s="499"/>
      <c r="B162" s="658"/>
      <c r="C162" s="499"/>
      <c r="D162" s="499"/>
      <c r="E162" s="659">
        <v>11.25</v>
      </c>
      <c r="F162" s="482"/>
      <c r="G162" s="499"/>
      <c r="H162" s="499"/>
      <c r="I162" s="499"/>
      <c r="J162" s="499"/>
      <c r="K162" s="499"/>
      <c r="L162" s="499"/>
      <c r="M162" s="499"/>
      <c r="N162" s="499"/>
      <c r="O162" s="499"/>
      <c r="P162" s="499"/>
      <c r="Q162" s="499"/>
      <c r="R162" s="499"/>
      <c r="S162" s="499"/>
      <c r="T162" s="499"/>
      <c r="U162" s="416" t="s">
        <v>178</v>
      </c>
      <c r="V162" s="140" t="s">
        <v>1568</v>
      </c>
      <c r="W162" s="499"/>
      <c r="X162" s="499"/>
      <c r="Y162" s="499"/>
      <c r="Z162" s="499"/>
      <c r="AA162" s="499"/>
      <c r="AC162" s="100"/>
      <c r="AD162" s="100"/>
      <c r="AE162" s="100"/>
      <c r="AF162" s="100"/>
      <c r="AI162" s="1834"/>
      <c r="AJ162" s="1834"/>
      <c r="AK162" s="1834"/>
      <c r="AL162" s="1834"/>
      <c r="AM162" s="1834"/>
      <c r="AN162" s="1834"/>
      <c r="AO162" s="1834"/>
      <c r="AP162" s="1834"/>
      <c r="AQ162" s="101"/>
      <c r="AR162" s="1834"/>
      <c r="AS162" s="1834"/>
      <c r="AT162" s="1834"/>
      <c r="AU162" s="1834"/>
      <c r="AV162" s="1834"/>
      <c r="AW162" s="1834"/>
      <c r="AX162" s="1834"/>
      <c r="AY162" s="1834"/>
      <c r="AZ162" s="1834"/>
      <c r="BA162" s="1834"/>
      <c r="BB162" s="1834"/>
      <c r="BF162" s="1004"/>
      <c r="BG162" s="1004"/>
      <c r="BH162" s="1004"/>
      <c r="BJ162" s="624"/>
      <c r="BK162" s="624"/>
    </row>
    <row customHeight="1" ht="10.96875">
      <c r="E163" s="632">
        <v>11.25</v>
      </c>
      <c r="AI163" s="1304"/>
      <c r="AJ163" s="1304"/>
      <c r="AK163" s="1304"/>
      <c r="AL163" s="1304"/>
      <c r="AM163" s="1304"/>
      <c r="AN163" s="1304"/>
      <c r="AO163" s="1304"/>
      <c r="AP163" s="1304"/>
      <c r="AQ163" s="1304"/>
      <c r="AR163" s="1304"/>
      <c r="AS163" s="1304"/>
      <c r="AT163" s="1304"/>
      <c r="AU163" s="1304"/>
      <c r="AV163" s="1304"/>
      <c r="AW163" s="1304"/>
      <c r="AX163" s="1304"/>
      <c r="AY163" s="1304"/>
      <c r="AZ163" s="1304"/>
      <c r="BA163" s="1304"/>
      <c r="BB163" s="1304"/>
    </row>
    <row customHeight="1" ht="14.625">
      <c r="E164" s="632">
        <v>15</v>
      </c>
      <c r="AB164" s="1577" t="s">
        <v>407</v>
      </c>
      <c r="AC164" s="1577"/>
      <c r="AD164" s="1577"/>
      <c r="AE164" s="1577"/>
      <c r="AF164" s="1577"/>
      <c r="AG164" s="1577"/>
      <c r="AH164" s="1577"/>
      <c r="AI164" s="1598"/>
      <c r="AJ164" s="1598"/>
      <c r="AK164" s="1598"/>
      <c r="AL164" s="1598"/>
      <c r="AM164" s="1598"/>
      <c r="AN164" s="1598"/>
      <c r="AO164" s="1598"/>
      <c r="AP164" s="1598"/>
      <c r="AQ164" s="1598"/>
      <c r="AR164" s="1598"/>
      <c r="AS164" s="1598"/>
      <c r="AT164" s="1598"/>
      <c r="AU164" s="1598"/>
      <c r="AV164" s="1598"/>
      <c r="AW164" s="1598"/>
      <c r="AX164" s="1598"/>
      <c r="AY164" s="1598"/>
      <c r="AZ164" s="1598"/>
      <c r="BA164" s="1598"/>
      <c r="BB164" s="1598"/>
      <c r="BC164" s="1598"/>
    </row>
    <row customHeight="1" ht="14.625">
      <c r="E165" s="632">
        <v>15</v>
      </c>
      <c r="AB165" s="1601" t="s">
        <v>1569</v>
      </c>
      <c r="AC165" s="1602"/>
      <c r="AD165" s="1602"/>
      <c r="AE165" s="1602"/>
      <c r="AF165" s="1602"/>
      <c r="AG165" s="1602"/>
      <c r="AH165" s="1602"/>
      <c r="AI165" s="3238"/>
      <c r="AJ165" s="3238"/>
      <c r="AK165" s="3238"/>
      <c r="AL165" s="3238"/>
      <c r="AM165" s="3238"/>
      <c r="AN165" s="3238"/>
      <c r="AO165" s="3238"/>
      <c r="AP165" s="3238"/>
      <c r="AQ165" s="3238"/>
      <c r="AR165" s="3238"/>
      <c r="AS165" s="3238"/>
      <c r="AT165" s="3238"/>
      <c r="AU165" s="3238"/>
      <c r="AV165" s="3238"/>
      <c r="AW165" s="3238"/>
      <c r="AX165" s="3238"/>
      <c r="AY165" s="3238"/>
      <c r="AZ165" s="3238"/>
      <c r="BA165" s="3238"/>
      <c r="BB165" s="3238"/>
      <c r="BC165" s="1603"/>
    </row>
    <row customHeight="1" ht="14.625" hidden="1">
      <c r="E166" s="632">
        <v>15</v>
      </c>
      <c r="T166" s="465">
        <f>ROW(W166)&gt;ROW(W$166)</f>
        <v>0</v>
      </c>
      <c r="W166" s="717" t="s">
        <v>174</v>
      </c>
      <c r="AA166" s="63" t="s">
        <v>175</v>
      </c>
      <c r="AB166" s="65" t="s">
        <v>227</v>
      </c>
      <c r="AC166" s="66"/>
      <c r="AD166" s="66"/>
      <c r="AE166" s="66"/>
      <c r="AF166" s="66"/>
      <c r="AG166" s="66"/>
      <c r="AH166" s="66"/>
      <c r="AI166" s="66"/>
      <c r="AJ166" s="66"/>
      <c r="AK166" s="66"/>
      <c r="AL166" s="66"/>
      <c r="AM166" s="66"/>
      <c r="AN166" s="66"/>
      <c r="AO166" s="66"/>
      <c r="AP166" s="66"/>
      <c r="AQ166" s="66"/>
      <c r="AR166" s="66"/>
      <c r="AS166" s="66"/>
      <c r="AT166" s="66"/>
      <c r="AU166" s="66"/>
      <c r="AV166" s="66"/>
      <c r="AW166" s="66"/>
      <c r="AX166" s="66"/>
      <c r="AY166" s="66"/>
      <c r="AZ166" s="66"/>
      <c r="BA166" s="66"/>
      <c r="BB166" s="66"/>
      <c r="BC166" s="67"/>
    </row>
    <row s="1834" customFormat="1" customHeight="1" ht="23.25">
      <c r="A167" s="1304"/>
      <c r="B167" s="1436"/>
      <c r="C167" s="1304"/>
      <c r="D167" s="1304"/>
      <c r="E167" s="632">
        <v>15</v>
      </c>
      <c r="F167" s="1304"/>
      <c r="G167" s="1304"/>
      <c r="H167" s="1304"/>
      <c r="I167" s="1304"/>
      <c r="J167" s="1304"/>
      <c r="K167" s="1304"/>
      <c r="L167" s="1304"/>
      <c r="M167" s="1304"/>
      <c r="N167" s="1304"/>
      <c r="O167" s="1304"/>
      <c r="P167" s="1304"/>
      <c r="Q167" s="1304"/>
      <c r="R167" s="1304"/>
      <c r="S167" s="1304"/>
      <c r="T167" s="465">
        <f>ROW(W167)&gt;ROW(W$166)</f>
        <v>1</v>
      </c>
      <c r="U167" s="1304"/>
      <c r="V167" s="1304"/>
      <c r="W167" s="717"/>
      <c r="X167" s="1304"/>
      <c r="Y167" s="1304" t="s">
        <v>227</v>
      </c>
      <c r="Z167" s="1304"/>
      <c r="AA167" s="63" t="s">
        <v>175</v>
      </c>
      <c r="AB167" s="3239" t="s">
        <v>1231</v>
      </c>
      <c r="AC167" s="66"/>
      <c r="AD167" s="66"/>
      <c r="AE167" s="66"/>
      <c r="AF167" s="66"/>
      <c r="AG167" s="66"/>
      <c r="AH167" s="66"/>
      <c r="AI167" s="66"/>
      <c r="AJ167" s="66"/>
      <c r="AK167" s="66"/>
      <c r="AL167" s="66"/>
      <c r="AM167" s="66"/>
      <c r="AN167" s="66"/>
      <c r="AO167" s="66"/>
      <c r="AP167" s="66"/>
      <c r="AQ167" s="66"/>
      <c r="AR167" s="66"/>
      <c r="AS167" s="66"/>
      <c r="AT167" s="66"/>
      <c r="AU167" s="66"/>
      <c r="AV167" s="66"/>
      <c r="AW167" s="66"/>
      <c r="AX167" s="66"/>
      <c r="AY167" s="66"/>
      <c r="AZ167" s="66"/>
      <c r="BA167" s="66"/>
      <c r="BB167" s="66"/>
      <c r="BC167" s="67"/>
      <c r="BD167" s="1304"/>
      <c r="BE167" s="1304"/>
      <c r="BF167" s="1306"/>
      <c r="BG167" s="1306"/>
      <c r="BH167" s="1306"/>
      <c r="BI167" s="1834"/>
      <c r="BJ167" s="1305"/>
      <c r="BK167" s="1305"/>
    </row>
    <row customHeight="1" ht="14.625">
      <c r="E168" s="632">
        <v>15</v>
      </c>
      <c r="W168" s="757" t="s">
        <v>408</v>
      </c>
      <c r="AB168" s="647"/>
      <c r="AC168" s="514" t="s">
        <v>409</v>
      </c>
      <c r="AD168" s="310"/>
      <c r="AE168" s="310"/>
      <c r="AF168" s="311"/>
      <c r="AG168" s="311"/>
      <c r="AH168" s="311"/>
      <c r="AI168" s="311"/>
      <c r="AJ168" s="311"/>
      <c r="AK168" s="311"/>
      <c r="AL168" s="311"/>
      <c r="AM168" s="311"/>
      <c r="AN168" s="311"/>
      <c r="AO168" s="311"/>
      <c r="AP168" s="311"/>
      <c r="AQ168" s="311"/>
      <c r="AR168" s="311"/>
      <c r="AS168" s="311"/>
      <c r="AT168" s="311"/>
      <c r="AU168" s="311"/>
      <c r="AV168" s="311"/>
      <c r="AW168" s="311"/>
      <c r="AX168" s="311"/>
      <c r="AY168" s="311"/>
      <c r="AZ168" s="311"/>
      <c r="BA168" s="311"/>
      <c r="BB168" s="311"/>
      <c r="BC168" s="312"/>
    </row>
    <row customHeight="1" ht="10.725000000000001">
      <c r="E169" s="632">
        <v>11</v>
      </c>
      <c r="AI169" s="1304"/>
      <c r="AJ169" s="1304"/>
      <c r="AK169" s="1304"/>
      <c r="AL169" s="1304"/>
      <c r="AM169" s="1304"/>
      <c r="AN169" s="1304"/>
      <c r="AO169" s="1304"/>
      <c r="AP169" s="1304"/>
      <c r="AQ169" s="1304"/>
      <c r="AR169" s="1304"/>
      <c r="AS169" s="1304"/>
      <c r="AT169" s="1304"/>
      <c r="AU169" s="1304"/>
      <c r="AV169" s="1304"/>
      <c r="AW169" s="1304"/>
      <c r="AX169" s="1304"/>
      <c r="AY169" s="1304"/>
      <c r="AZ169" s="1304"/>
      <c r="BA169" s="1304"/>
      <c r="BB169" s="1304"/>
      <c r="BD169" s="98"/>
    </row>
  </sheetData>
  <sheetProtection formatColumns="0" formatRows="0" insertRows="0" deleteColumns="0" deleteRows="0" sort="0" autoFilter="0" insertColumns="1"/>
  <mergeCells count="68">
    <mergeCell ref="AB24:AB25"/>
    <mergeCell ref="AC24:AC25"/>
    <mergeCell ref="AD24:AD25"/>
    <mergeCell ref="BC24:BC25"/>
    <mergeCell ref="AB166:BC166"/>
    <mergeCell ref="AB165:BC165"/>
    <mergeCell ref="X27:X47"/>
    <mergeCell ref="Z27:Z47"/>
    <mergeCell ref="AB164:BC164"/>
    <mergeCell ref="Y30:Y32"/>
    <mergeCell ref="AA30:AA32"/>
    <mergeCell ref="Y37:Y39"/>
    <mergeCell ref="AA37:AA39"/>
    <mergeCell ref="Y44:Y46"/>
    <mergeCell ref="AA44:AA46"/>
    <mergeCell ref="X48:X86"/>
    <mergeCell ref="Z48:Z86"/>
    <mergeCell ref="Y51:Y53"/>
    <mergeCell ref="AA51:AA53"/>
    <mergeCell ref="Y76:Y78"/>
    <mergeCell ref="AA76:AA78"/>
    <mergeCell ref="Y83:Y85"/>
    <mergeCell ref="AA83:AA85"/>
    <mergeCell ref="X87:X110"/>
    <mergeCell ref="Z87:Z110"/>
    <mergeCell ref="Y90:Y92"/>
    <mergeCell ref="AA90:AA92"/>
    <mergeCell ref="Y100:Y102"/>
    <mergeCell ref="AA100:AA102"/>
    <mergeCell ref="Y107:Y109"/>
    <mergeCell ref="AA107:AA109"/>
    <mergeCell ref="X111:X137"/>
    <mergeCell ref="Z111:Z137"/>
    <mergeCell ref="Y114:Y116"/>
    <mergeCell ref="AA114:AA116"/>
    <mergeCell ref="Y127:Y129"/>
    <mergeCell ref="AA127:AA129"/>
    <mergeCell ref="Y134:Y136"/>
    <mergeCell ref="AA134:AA136"/>
    <mergeCell ref="X138:X161"/>
    <mergeCell ref="Z138:Z161"/>
    <mergeCell ref="Y141:Y143"/>
    <mergeCell ref="AA141:AA143"/>
    <mergeCell ref="Y151:Y153"/>
    <mergeCell ref="AA151:AA153"/>
    <mergeCell ref="Y158:Y160"/>
    <mergeCell ref="AA158:AA160"/>
    <mergeCell ref="Y54:Y56"/>
    <mergeCell ref="AA54:AA56"/>
    <mergeCell ref="Y57:Y59"/>
    <mergeCell ref="AA57:AA59"/>
    <mergeCell ref="Y60:Y62"/>
    <mergeCell ref="AA60:AA62"/>
    <mergeCell ref="Y63:Y65"/>
    <mergeCell ref="AA63:AA65"/>
    <mergeCell ref="Y66:Y68"/>
    <mergeCell ref="AA66:AA68"/>
    <mergeCell ref="Y69:Y71"/>
    <mergeCell ref="AA69:AA71"/>
    <mergeCell ref="Y117:Y119"/>
    <mergeCell ref="AA117:AA119"/>
    <mergeCell ref="Y120:Y122"/>
    <mergeCell ref="AA120:AA122"/>
    <mergeCell ref="Y144:Y146"/>
    <mergeCell ref="AA144:AA146"/>
    <mergeCell ref="Y93:Y95"/>
    <mergeCell ref="AA93:AA95"/>
    <mergeCell ref="AB167:BC167"/>
  </mergeCells>
  <dataValidations count="1">
    <dataValidation type="decimal" allowBlank="1" showErrorMessage="1" errorTitle="Ошибка" error="Допускается ввод только неотрицательных чисел!" sqref="AE30:BB46 AE51 AF51 AG51 AH51 AI51 AJ51 AK51 AL51 AM51 AN51 AO51 AP51 AQ51 AR51 AS51 AT51 AU51 AV51 AW51 AX51 AY51 AZ51 BA51 BB51 AE52 AF52 AG52 AH52 AI52 AJ52 AK52 AL52 AM52 AN52 AO52 AP52 AQ52 AR52 AS52 AT52 AU52 AV52 AW52 AX52 AY52 AZ52 BA52 BB52 AE53:AE71 AF53:AF71 AG53:AG71 AH53:AH71 AI53:AI71 AJ53:AJ71 AK53:AK71 AL53:AL71 AM53:AM71 AN53:AN71 AO53:AO71 AP53:AP71 AQ53:AQ71 AR53:AR71 AS53:AS71 AT53:AT71 AU53:AU71 AV53:AV71 AW53:AW71 AX53:AX71 AY53:AY71 AZ53:AZ71 BA53:BA71 BB53:BB71 AE72 AF72 AG72 AH72 AI72 AJ72 AK72 AL72 AM72 AN72 AO72 AP72 AQ72 AR72 AS72 AT72 AU72 AV72 AW72 AX72 AY72 AZ72 BA72 BB72 AE73 AF73 AG73 AH73 AI73 AJ73 AK73 AL73 AM73 AN73 AO73 AP73 AQ73 AR73 AS73 AT73 AU73 AV73 AW73 AX73 AY73 AZ73 BA73 BB73 AE74 AF74 AG74 AH74 AI74 AJ74 AK74 AL74 AM74 AN74 AO74 AP74 AQ74 AR74 AS74 AT74 AU74 AV74 AW74 AX74 AY74 AZ74 BA74 BB74 AE75 AF75 AG75 AH75 AI75 AJ75 AK75 AL75 AM75 AN75 AO75 AP75 AQ75 AR75 AS75 AT75 AU75 AV75 AW75 AX75 AY75 AZ75 BA75 BB75 AE76 AF76 AG76 AH76 AI76 AJ76 AK76 AL76 AM76 AN76 AO76 AP76 AQ76 AR76 AS76 AT76 AU76 AV76 AW76 AX76 AY76 AZ76 BA76 BB76 AE77 AF77 AG77 AH77 AI77 AJ77 AK77 AL77 AM77 AN77 AO77 AP77 AQ77 AR77 AS77 AT77 AU77 AV77 AW77 AX77 AY77 AZ77 BA77 BB77 AE78 AF78 AG78 AH78 AI78 AJ78 AK78 AL78 AM78 AN78 AO78 AP78 AQ78 AR78 AS78 AT78 AU78 AV78 AW78 AX78 AY78 AZ78 BA78 BB78 AE79 AF79 AG79 AH79 AI79 AJ79 AK79 AL79 AM79 AN79 AO79 AP79 AQ79 AR79 AS79 AT79 AU79 AV79 AW79 AX79 AY79 AZ79 BA79 BB79 AE80 AF80 AG80 AH80 AI80 AJ80 AK80 AL80 AM80 AN80 AO80 AP80 AQ80 AR80 AS80 AT80 AU80 AV80 AW80 AX80 AY80 AZ80 BA80 BB80 AE81 AF81 AG81 AH81 AI81 AJ81 AK81 AL81 AM81 AN81 AO81 AP81 AQ81 AR81 AS81 AT81 AU81 AV81 AW81 AX81 AY81 AZ81 BA81 BB81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90 AF90 AG90 AH90 AI90 AJ90 AK90 AL90 AM90 AN90 AO90 AP90 AQ90 AR90 AS90 AT90 AU90 AV90 AW90 AX90 AY90 AZ90 BA90 BB90 AE91 AF91 AG91 AH91 AI91 AJ91 AK91 AL91 AM91 AN91 AO91 AP91 AQ91 AR91 AS91 AT91 AU91 AV91 AW91 AX91 AY91 AZ91 BA91 BB91 AE92:AE95 AF92:AF95 AG92:AG95 AH92:AH95 AI92:AI95 AJ92:AJ95 AK92:AK95 AL92:AL95 AM92:AM95 AN92:AN95 AO92:AO95 AP92:AP95 AQ92:AQ95 AR92:AR95 AS92:AS95 AT92:AT95 AU92:AU95 AV92:AV95 AW92:AW95 AX92:AX95 AY92:AY95 AZ92:AZ95 BA92:BA95 BB92:BB95 AE96 AF96 AG96 AH96 AI96 AJ96 AK96 AL96 AM96 AN96 AO96 AP96 AQ96 AR96 AS96 AT96 AU96 AV96 AW96 AX96 AY96 AZ96 BA96 BB96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4 AF114 AG114 AH114 AI114 AJ114 AK114 AL114 AM114 AN114 AO114 AP114 AQ114 AR114 AS114 AT114 AU114 AV114 AW114 AX114 AY114 AZ114 BA114 BB114 AE115 AF115 AG115 AH115 AI115 AJ115 AK115 AL115 AM115 AN115 AO115 AP115 AQ115 AR115 AS115 AT115 AU115 AV115 AW115 AX115 AY115 AZ115 BA115 BB115 AE116:AE122 AF116:AF122 AG116:AG122 AH116:AH122 AI116:AI122 AJ116:AJ122 AK116:AK122 AL116:AL122 AM116:AM122 AN116:AN122 AO116:AO122 AP116:AP122 AQ116:AQ122 AR116:AR122 AS116:AS122 AT116:AT122 AU116:AU122 AV116:AV122 AW116:AW122 AX116:AX122 AY116:AY122 AZ116:AZ122 BA116:BA122 BB116:BB122 AE123 AF123 AG123 AH123 AI123 AJ123 AK123 AL123 AM123 AN123 AO123 AP123 AQ123 AR123 AS123 AT123 AU123 AV123 AW123 AX123 AY123 AZ123 BA123 BB123 AE124 AF124 AG124 AH124 AI124 AJ124 AK124 AL124 AM124 AN124 AO124 AP124 AQ124 AR124 AS124 AT124 AU124 AV124 AW124 AX124 AY124 AZ124 BA124 BB124 AE125 AF125 AG125 AH125 AI125 AJ125 AK125 AL125 AM125 AN125 AO125 AP125 AQ125 AR125 AS125 AT125 AU125 AV125 AW125 AX125 AY125 AZ125 BA125 BB125 AE126 AF126 AG126 AH126 AI126 AJ126 AK126 AL126 AM126 AN126 AO126 AP126 AQ126 AR126 AS126 AT126 AU126 AV126 AW126 AX126 AY126 AZ126 BA126 BB126 AE127 AF127 AG127 AH127 AI127 AJ127 AK127 AL127 AM127 AN127 AO127 AP127 AQ127 AR127 AS127 AT127 AU127 AV127 AW127 AX127 AY127 AZ127 BA127 BB127 AE128 AF128 AG128 AH128 AI128 AJ128 AK128 AL128 AM128 AN128 AO128 AP128 AQ128 AR128 AS128 AT128 AU128 AV128 AW128 AX128 AY128 AZ128 BA128 BB128 AE129 AF129 AG129 AH129 AI129 AJ129 AK129 AL129 AM129 AN129 AO129 AP129 AQ129 AR129 AS129 AT129 AU129 AV129 AW129 AX129 AY129 AZ129 BA129 BB129 AE130 AF130 AG130 AH130 AI130 AJ130 AK130 AL130 AM130 AN130 AO130 AP130 AQ130 AR130 AS130 AT130 AU130 AV130 AW130 AX130 AY130 AZ130 BA130 BB130 AE131 AF131 AG131 AH131 AI131 AJ131 AK131 AL131 AM131 AN131 AO131 AP131 AQ131 AR131 AS131 AT131 AU131 AV131 AW131 AX131 AY131 AZ131 BA131 BB131 AE132 AF132 AG132 AH132 AI132 AJ132 AK132 AL132 AM132 AN132 AO132 AP132 AQ132 AR132 AS132 AT132 AU132 AV132 AW132 AX132 AY132 AZ132 BA132 BB132 AE133 AF133 AG133 AH133 AI133 AJ133 AK133 AL133 AM133 AN133 AO133 AP133 AQ133 AR133 AS133 AT133 AU133 AV133 AW133 AX133 AY133 AZ133 BA133 BB133 AE134 AF134 AG134 AH134 AI134 AJ134 AK134 AL134 AM134 AN134 AO134 AP134 AQ134 AR134 AS134 AT134 AU134 AV134 AW134 AX134 AY134 AZ134 BA134 BB134 AE135 AF135 AG135 AH135 AI135 AJ135 AK135 AL135 AM135 AN135 AO135 AP135 AQ135 AR135 AS135 AT135 AU135 AV135 AW135 AX135 AY135 AZ135 BA135 BB135 AE136 AF136 AG136 AH136 AI136 AJ136 AK136 AL136 AM136 AN136 AO136 AP136 AQ136 AR136 AS136 AT136 AU136 AV136 AW136 AX136 AY136 AZ136 BA136 BB136 AE141 AF141 AG141 AH141 AI141 AJ141 AK141 AL141 AM141 AN141 AO141 AP141 AQ141 AR141 AS141 AT141 AU141 AV141 AW141 AX141 AY141 AZ141 BA141 BB141 AE142 AF142 AG142 AH142 AI142 AJ142 AK142 AL142 AM142 AN142 AO142 AP142 AQ142 AR142 AS142 AT142 AU142 AV142 AW142 AX142 AY142 AZ142 BA142 BB142 AE143:AE146 AF143:AF146 AG143:AG146 AH143:AH146 AI143:AI146 AJ143:AJ146 AK143:AK146 AL143:AL146 AM143:AM146 AN143:AN146 AO143:AO146 AP143:AP146 AQ143:AQ146 AR143:AR146 AS143:AS146 AT143:AT146 AU143:AU146 AV143:AV146 AW143:AW146 AX143:AX146 AY143:AY146 AZ143:AZ146 BA143:BA146 BB143:BB146 AE147 AF147 AG147 AH147 AI147 AJ147 AK147 AL147 AM147 AN147 AO147 AP147 AQ147 AR147 AS147 AT147 AU147 AV147 AW147 AX147 AY147 AZ147 BA147 BB147 AE148 AF148 AG148 AH148 AI148 AJ148 AK148 AL148 AM148 AN148 AO148 AP148 AQ148 AR148 AS148 AT148 AU148 AV148 AW148 AX148 AY148 AZ148 BA148 BB148 AE149 AF149 AG149 AH149 AI149 AJ149 AK149 AL149 AM149 AN149 AO149 AP149 AQ149 AR149 AS149 AT149 AU149 AV149 AW149 AX149 AY149 AZ149 BA149 BB149 AE150 AF150 AG150 AH150 AI150 AJ150 AK150 AL150 AM150 AN150 AO150 AP150 AQ150 AR150 AS150 AT150 AU150 AV150 AW150 AX150 AY150 AZ150 BA150 BB150 AE151 AF151 AG151 AH151 AI151 AJ151 AK151 AL151 AM151 AN151 AO151 AP151 AQ151 AR151 AS151 AT151 AU151 AV151 AW151 AX151 AY151 AZ151 BA151 BB151 AE152 AF152 AG152 AH152 AI152 AJ152 AK152 AL152 AM152 AN152 AO152 AP152 AQ152 AR152 AS152 AT152 AU152 AV152 AW152 AX152 AY152 AZ152 BA152 BB152 AE153 AF153 AG153 AH153 AI153 AJ153 AK153 AL153 AM153 AN153 AO153 AP153 AQ153 AR153 AS153 AT153 AU153 AV153 AW153 AX153 AY153 AZ153 BA153 BB153 AE154 AF154 AG154 AH154 AI154 AJ154 AK154 AL154 AM154 AN154 AO154 AP154 AQ154 AR154 AS154 AT154 AU154 AV154 AW154 AX154 AY154 AZ154 BA154 BB154 AE155 AF155 AG155 AH155 AI155 AJ155 AK155 AL155 AM155 AN155 AO155 AP155 AQ155 AR155 AS155 AT155 AU155 AV155 AW155 AX155 AY155 AZ155 BA155 BB155 AE156 AF156 AG156 AH156 AI156 AJ156 AK156 AL156 AM156 AN156 AO156 AP156 AQ156 AR156 AS156 AT156 AU156 AV156 AW156 AX156 AY156 AZ156 BA156 BB156 AE157 AF157 AG157 AH157 AI157 AJ157 AK157 AL157 AM157 AN157 AO157 AP157 AQ157 AR157 AS157 AT157 AU157 AV157 AW157 AX157 AY157 AZ157 BA157 BB157 AE158 AF158 AG158 AH158 AI158 AJ158 AK158 AL158 AM158 AN158 AO158 AP158 AQ158 AR158 AS158 AT158 AU158 AV158 AW158 AX158 AY158 AZ158 BA158 BB158 AE159 AF159 AG159 AH159 AI159 AJ159 AK159 AL159 AM159 AN159 AO159 AP159 AQ159 AR159 AS159 AT159 AU159 AV159 AW159 AX159 AY159 AZ159 BA159 BB159 AE160 AF160 AG160 AH160 AI160 AJ160 AK160 AL160 AM160 AN160 AO160 AP160 AQ160 AR160 AS160 AT160 AU160 AV160 AW160 AX160 AY160 AZ160 BA160 BB160">
      <formula1>0</formula1>
      <formula2>9.99999999999999E+23</formula2>
    </dataValidation>
  </dataValidation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9BC138-A528-CCD1-7A78-ABFE75B55FAD}" mc:Ignorable="x14ac xr xr2 xr3">
  <sheetPr>
    <tabColor rgb="FFFFC000"/>
    <outlinePr summaryRight="0" summaryBelow="0"/>
    <pageSetUpPr fitToPage="1"/>
  </sheetPr>
  <dimension ref="A1:BK194"/>
  <sheetViews>
    <sheetView showGridLines="0" workbookViewId="0">
      <pane xSplit="30" ySplit="25" topLeftCell="AI161" activePane="bottomRight" state="frozen"/>
      <selection pane="bottomLeft" activeCell="A26" sqref="A26"/>
      <selection pane="topRight" activeCell="AE1" sqref="AE1"/>
      <selection pane="bottomRight" activeCell="BC186" sqref="BC186"/>
    </sheetView>
  </sheetViews>
  <sheetFormatPr defaultColWidth="9.140625" customHeight="1" defaultRowHeight="11.25"/>
  <cols>
    <col min="1" max="1" style="1304" width="3.57421875" hidden="1" customWidth="1"/>
    <col min="2" max="2" style="1436" width="4.421875" hidden="1" customWidth="1"/>
    <col min="3" max="3" style="1312" width="6.7109375" hidden="1" customWidth="1"/>
    <col min="4" max="4" style="1304" width="4.57421875" hidden="1" customWidth="1"/>
    <col min="5" max="5" style="1305" width="3.57421875" hidden="1" customWidth="1"/>
    <col min="6" max="6" style="1304" width="8.140625" hidden="1" customWidth="1"/>
    <col min="7" max="10" style="1304" width="3.57421875" hidden="1" customWidth="1"/>
    <col min="11" max="11" style="1304" width="5.8515625" hidden="1" customWidth="1"/>
    <col min="12" max="19" style="1304" width="3.57421875" hidden="1" customWidth="1"/>
    <col min="20" max="20" style="1304" width="10.28125" hidden="1" customWidth="1"/>
    <col min="21" max="21" style="1304" width="5.8515625" hidden="1" customWidth="1"/>
    <col min="22" max="23" style="1304" width="6.140625" hidden="1" customWidth="1"/>
    <col min="24" max="25" style="1304" width="5.57421875" hidden="1" customWidth="1"/>
    <col min="26" max="26" style="1304" width="5.28125" hidden="1" customWidth="1"/>
    <col min="27" max="27" style="1304" width="3.00390625" customWidth="1"/>
    <col min="28" max="28" style="1304" width="11.00390625" customWidth="1"/>
    <col min="29" max="29" style="1304" width="35.00390625" customWidth="1"/>
    <col min="30" max="30" style="1304" width="12.57421875" customWidth="1"/>
    <col min="31" max="34" style="1304" width="0" customWidth="1"/>
    <col min="35" max="39" style="1304" width="12.57421875" customWidth="1"/>
    <col min="40" max="44" style="1304" width="12.57421875" hidden="1" customWidth="1"/>
    <col min="45" max="49" style="1304" width="12.421875" customWidth="1"/>
    <col min="50" max="54" style="1304" width="15.43359375" hidden="1" customWidth="1"/>
    <col min="55" max="55" style="1304" width="62.140625" customWidth="1"/>
    <col min="56" max="56" style="1304" width="3.00390625" customWidth="1"/>
    <col min="57" max="57" style="1304" width="9.140625" hidden="1"/>
    <col min="58" max="60" style="1306" width="9.140625" hidden="1"/>
    <col min="61" max="61" style="1834" width="9.140625" hidden="1"/>
    <col min="62" max="63" style="1305" width="9.140625" hidden="1"/>
  </cols>
  <sheetData>
    <row customHeight="1" ht="11.25" hidden="1">
      <c r="E1" s="98"/>
      <c r="F1" s="98" t="s">
        <v>321</v>
      </c>
      <c r="G1" s="98" t="s">
        <v>331</v>
      </c>
      <c r="H1" s="98" t="s">
        <v>357</v>
      </c>
      <c r="T1" s="465" t="s">
        <v>93</v>
      </c>
      <c r="U1" s="465" t="s">
        <v>98</v>
      </c>
      <c r="V1" s="465" t="s">
        <v>94</v>
      </c>
      <c r="W1" s="465" t="s">
        <v>95</v>
      </c>
      <c r="X1" s="465" t="s">
        <v>96</v>
      </c>
      <c r="Y1" s="467" t="s">
        <v>323</v>
      </c>
      <c r="Z1" s="465" t="s">
        <v>100</v>
      </c>
      <c r="AA1" s="467" t="s">
        <v>97</v>
      </c>
      <c r="AB1" s="521"/>
      <c r="AC1" s="466" t="s">
        <v>99</v>
      </c>
      <c r="AI1" s="1304"/>
      <c r="AJ1" s="1304"/>
      <c r="AK1" s="1304"/>
      <c r="AL1" s="1304"/>
      <c r="AM1" s="1304"/>
      <c r="AN1" s="1304"/>
      <c r="AO1" s="1304"/>
      <c r="AP1" s="1304"/>
      <c r="AQ1" s="1304"/>
      <c r="AR1" s="1304"/>
      <c r="AS1" s="1304"/>
      <c r="AT1" s="1304"/>
      <c r="AU1" s="1304"/>
      <c r="AV1" s="1304"/>
      <c r="AW1" s="1304"/>
      <c r="AX1" s="1304"/>
      <c r="AY1" s="1304"/>
      <c r="AZ1" s="1304"/>
      <c r="BA1" s="1304"/>
      <c r="BB1" s="1304"/>
      <c r="BF1" s="1015" t="s">
        <v>324</v>
      </c>
      <c r="BG1" s="1015" t="s">
        <v>325</v>
      </c>
      <c r="BH1" s="1015" t="s">
        <v>326</v>
      </c>
      <c r="BI1" s="0" t="s">
        <v>1570</v>
      </c>
      <c r="BJ1" s="632" t="s">
        <v>329</v>
      </c>
      <c r="BK1" s="632" t="s">
        <v>330</v>
      </c>
    </row>
    <row s="1436" customFormat="1" customHeight="1" ht="11.25" hidden="1">
      <c r="B2" s="445" t="s">
        <v>19</v>
      </c>
      <c r="C2" s="485"/>
      <c r="AF2" s="1378" cm="1" t="str">
        <f t="array" ref="AF2:AF2">isOrgDeclare</f>
        <v>true</v>
      </c>
      <c r="AI2" s="446">
        <f>AND(AI6&lt;=last_year_vis,isOrgDeclare)</f>
        <v>1</v>
      </c>
      <c r="AJ2" s="446">
        <f>AND(AJ6&lt;=last_year_vis,isOrgDeclare)</f>
        <v>1</v>
      </c>
      <c r="AK2" s="446">
        <f>AND(AK6&lt;=last_year_vis,isOrgDeclare)</f>
        <v>1</v>
      </c>
      <c r="AL2" s="446">
        <f>AND(AL6&lt;=last_year_vis,isOrgDeclare)</f>
        <v>1</v>
      </c>
      <c r="AM2" s="446">
        <f>AND(AM6&lt;=last_year_vis,isOrgDeclare)</f>
        <v>1</v>
      </c>
      <c r="AN2" s="446">
        <f>AND(AN6&lt;=last_year_vis,isOrgDeclare)</f>
        <v>0</v>
      </c>
      <c r="AO2" s="446">
        <f>AND(AO6&lt;=last_year_vis,isOrgDeclare)</f>
        <v>0</v>
      </c>
      <c r="AP2" s="446">
        <f>AND(AP6&lt;=last_year_vis,isOrgDeclare)</f>
        <v>0</v>
      </c>
      <c r="AQ2" s="446">
        <f>AND(AQ6&lt;=last_year_vis,isOrgDeclare)</f>
        <v>0</v>
      </c>
      <c r="AR2" s="446">
        <f>AND(AR6&lt;=last_year_vis,isOrgDeclare)</f>
        <v>0</v>
      </c>
      <c r="AS2" s="446">
        <f>AS6&lt;=last_year_vis</f>
        <v>1</v>
      </c>
      <c r="AT2" s="446">
        <f>AT6&lt;=last_year_vis</f>
        <v>1</v>
      </c>
      <c r="AU2" s="446">
        <f>AU6&lt;=last_year_vis</f>
        <v>1</v>
      </c>
      <c r="AV2" s="446">
        <f>AV6&lt;=last_year_vis</f>
        <v>1</v>
      </c>
      <c r="AW2" s="446">
        <f>AW6&lt;=last_year_vis</f>
        <v>1</v>
      </c>
      <c r="AX2" s="446">
        <f>AX6&lt;=last_year_vis</f>
        <v>0</v>
      </c>
      <c r="AY2" s="446">
        <f>AY6&lt;=last_year_vis</f>
        <v>0</v>
      </c>
      <c r="AZ2" s="446">
        <f>AZ6&lt;=last_year_vis</f>
        <v>0</v>
      </c>
      <c r="BA2" s="446">
        <f>BA6&lt;=last_year_vis</f>
        <v>0</v>
      </c>
      <c r="BB2" s="446">
        <f>BB6&lt;=last_year_vis</f>
        <v>0</v>
      </c>
      <c r="BF2" s="1016"/>
      <c r="BG2" s="1016"/>
      <c r="BH2" s="1016"/>
      <c r="BJ2" s="1029"/>
      <c r="BK2" s="1029"/>
    </row>
    <row customHeight="1" ht="11.25" hidden="1">
      <c r="E3" s="98"/>
      <c r="AI3" s="1304"/>
      <c r="AJ3" s="1304"/>
      <c r="AK3" s="1304"/>
      <c r="AL3" s="1304"/>
      <c r="AM3" s="1304"/>
      <c r="AN3" s="1304"/>
      <c r="AO3" s="1304"/>
      <c r="AP3" s="1304"/>
      <c r="AQ3" s="1304"/>
      <c r="AR3" s="1304"/>
      <c r="AS3" s="1304"/>
      <c r="AT3" s="1304"/>
      <c r="AU3" s="1304"/>
      <c r="AV3" s="1304"/>
      <c r="AW3" s="1304"/>
      <c r="AX3" s="1304"/>
      <c r="AY3" s="1304"/>
      <c r="AZ3" s="1304"/>
      <c r="BA3" s="1304"/>
      <c r="BB3" s="1304"/>
    </row>
    <row customHeight="1" ht="11.25" hidden="1">
      <c r="E4" s="98"/>
      <c r="AI4" s="1304"/>
      <c r="AJ4" s="1304"/>
      <c r="AK4" s="1304"/>
      <c r="AL4" s="1304"/>
      <c r="AM4" s="1304"/>
      <c r="AN4" s="1304"/>
      <c r="AO4" s="1304"/>
      <c r="AP4" s="1304"/>
      <c r="AQ4" s="1304"/>
      <c r="AR4" s="1304"/>
      <c r="AS4" s="1304"/>
      <c r="AT4" s="1304"/>
      <c r="AU4" s="1304"/>
      <c r="AV4" s="1304"/>
      <c r="AW4" s="1304"/>
      <c r="AX4" s="1304"/>
      <c r="AY4" s="1304"/>
      <c r="AZ4" s="1304"/>
      <c r="BA4" s="1304"/>
      <c r="BB4" s="1304"/>
    </row>
    <row s="1305" customFormat="1" customHeight="1" ht="11.25" hidden="1">
      <c r="A5" s="98"/>
      <c r="B5" s="427"/>
      <c r="C5" s="484"/>
      <c r="D5" s="98"/>
      <c r="E5" s="632" t="s">
        <v>20</v>
      </c>
      <c r="AA5" s="632">
        <v>3</v>
      </c>
      <c r="AB5" s="632">
        <v>11</v>
      </c>
      <c r="AC5" s="632">
        <v>35</v>
      </c>
      <c r="AD5" s="632">
        <v>12.57</v>
      </c>
      <c r="AE5" s="632">
        <v>14.57</v>
      </c>
      <c r="AF5" s="632">
        <v>12.57</v>
      </c>
      <c r="AG5" s="632">
        <v>15</v>
      </c>
      <c r="AH5" s="632">
        <v>16</v>
      </c>
      <c r="AI5" s="632">
        <v>12.57</v>
      </c>
      <c r="AJ5" s="632">
        <v>12.57</v>
      </c>
      <c r="AK5" s="632">
        <v>12.57</v>
      </c>
      <c r="AL5" s="632">
        <v>12.57</v>
      </c>
      <c r="AM5" s="632">
        <v>12.57</v>
      </c>
      <c r="AN5" s="632">
        <v>12.57</v>
      </c>
      <c r="AO5" s="632">
        <v>12.57</v>
      </c>
      <c r="AP5" s="632">
        <v>12.57</v>
      </c>
      <c r="AQ5" s="632">
        <v>12.57</v>
      </c>
      <c r="AR5" s="632">
        <v>12.57</v>
      </c>
      <c r="AS5" s="632">
        <v>15.43</v>
      </c>
      <c r="AT5" s="632">
        <v>15.43</v>
      </c>
      <c r="AU5" s="632">
        <v>15.43</v>
      </c>
      <c r="AV5" s="632">
        <v>15.43</v>
      </c>
      <c r="AW5" s="632">
        <v>15.43</v>
      </c>
      <c r="AX5" s="632">
        <v>15.43</v>
      </c>
      <c r="AY5" s="632">
        <v>15.43</v>
      </c>
      <c r="AZ5" s="632">
        <v>15.43</v>
      </c>
      <c r="BA5" s="632">
        <v>15.43</v>
      </c>
      <c r="BB5" s="632">
        <v>15.43</v>
      </c>
      <c r="BC5" s="632">
        <v>20</v>
      </c>
      <c r="BD5" s="632">
        <v>3</v>
      </c>
      <c r="BF5" s="1015"/>
      <c r="BG5" s="1015"/>
      <c r="BH5" s="1015"/>
    </row>
    <row customHeight="1" ht="11.25" hidden="1">
      <c r="A6" s="98" t="s">
        <v>360</v>
      </c>
      <c r="AE6" s="98">
        <f>god-2</f>
        <v>2024</v>
      </c>
      <c r="AF6" s="98">
        <f>god-2</f>
        <v>2024</v>
      </c>
      <c r="AG6" s="98">
        <f>god-2</f>
        <v>2024</v>
      </c>
      <c r="AH6" s="98">
        <f>god-1</f>
        <v>2025</v>
      </c>
      <c r="AI6" s="98" cm="1" t="str">
        <f t="array" ref="AI6:AI6">god</f>
        <v>2026</v>
      </c>
      <c r="AJ6" s="98">
        <f>god+1</f>
        <v>2027</v>
      </c>
      <c r="AK6" s="98">
        <f>god+2</f>
        <v>2028</v>
      </c>
      <c r="AL6" s="98">
        <f>god+3</f>
        <v>2029</v>
      </c>
      <c r="AM6" s="98">
        <f>god+4</f>
        <v>2030</v>
      </c>
      <c r="AN6" s="98">
        <f>god+5</f>
        <v>2031</v>
      </c>
      <c r="AO6" s="98">
        <f>god+6</f>
        <v>2032</v>
      </c>
      <c r="AP6" s="98">
        <f>god+7</f>
        <v>2033</v>
      </c>
      <c r="AQ6" s="98">
        <f>god+8</f>
        <v>2034</v>
      </c>
      <c r="AR6" s="98">
        <f>god+9</f>
        <v>2035</v>
      </c>
      <c r="AS6" s="98" cm="1" t="str">
        <f t="array" ref="AS6:AS6">god</f>
        <v>2026</v>
      </c>
      <c r="AT6" s="98">
        <f>god+1</f>
        <v>2027</v>
      </c>
      <c r="AU6" s="98">
        <f>god+2</f>
        <v>2028</v>
      </c>
      <c r="AV6" s="98">
        <f>god+3</f>
        <v>2029</v>
      </c>
      <c r="AW6" s="98">
        <f>god+4</f>
        <v>2030</v>
      </c>
      <c r="AX6" s="98">
        <f>god+5</f>
        <v>2031</v>
      </c>
      <c r="AY6" s="98">
        <f>god+6</f>
        <v>2032</v>
      </c>
      <c r="AZ6" s="98">
        <f>god+7</f>
        <v>2033</v>
      </c>
      <c r="BA6" s="98">
        <f>god+8</f>
        <v>2034</v>
      </c>
      <c r="BB6" s="98">
        <f>god+9</f>
        <v>2035</v>
      </c>
    </row>
    <row customHeight="1" ht="11.25" hidden="1">
      <c r="A7" s="98" t="s">
        <v>361</v>
      </c>
      <c r="AE7" s="98" cm="1" t="str">
        <f t="array" ref="AE7:AE7">AE25</f>
        <v>Принято органом регулирования</v>
      </c>
      <c r="AF7" s="98" cm="1" t="str">
        <f t="array" ref="AF7:AF7">AF25</f>
        <v>Факт по данным организации</v>
      </c>
      <c r="AG7" s="98" cm="1" t="str">
        <f t="array" ref="AG7:AG7">AG25</f>
        <v>Факт, принятый органом регулирования</v>
      </c>
      <c r="AH7" s="98" cm="1" t="str">
        <f t="array" ref="AH7:AH7">AH25</f>
        <v>Принято органом регулирования</v>
      </c>
      <c r="AI7" s="98" cm="1" t="str">
        <f t="array" ref="AI7:AI7">$AI$25</f>
        <v>Предложение организации</v>
      </c>
      <c r="AJ7" s="98" cm="1" t="str">
        <f t="array" ref="AJ7:AJ7">$AI$25</f>
        <v>Предложение организации</v>
      </c>
      <c r="AK7" s="98" cm="1" t="str">
        <f t="array" ref="AK7:AK7">$AI$25</f>
        <v>Предложение организации</v>
      </c>
      <c r="AL7" s="98" cm="1" t="str">
        <f t="array" ref="AL7:AL7">$AI$25</f>
        <v>Предложение организации</v>
      </c>
      <c r="AM7" s="98" cm="1" t="str">
        <f t="array" ref="AM7:AM7">$AI$25</f>
        <v>Предложение организации</v>
      </c>
      <c r="AN7" s="98" cm="1" t="str">
        <f t="array" ref="AN7:AN7">$AI$25</f>
        <v>Предложение организации</v>
      </c>
      <c r="AO7" s="98" cm="1" t="str">
        <f t="array" ref="AO7:AO7">$AI$25</f>
        <v>Предложение организации</v>
      </c>
      <c r="AP7" s="98" cm="1" t="str">
        <f t="array" ref="AP7:AP7">$AI$25</f>
        <v>Предложение организации</v>
      </c>
      <c r="AQ7" s="98" cm="1" t="str">
        <f t="array" ref="AQ7:AQ7">$AI$25</f>
        <v>Предложение организации</v>
      </c>
      <c r="AR7" s="98" cm="1" t="str">
        <f t="array" ref="AR7:AR7">$AI$25</f>
        <v>Предложение организации</v>
      </c>
      <c r="AS7" s="98" cm="1" t="str">
        <f t="array" ref="AS7:AS7">$AS$25</f>
        <v>Принято органом регулирования</v>
      </c>
      <c r="AT7" s="98" cm="1" t="str">
        <f t="array" ref="AT7:AT7">$AS$25</f>
        <v>Принято органом регулирования</v>
      </c>
      <c r="AU7" s="98" cm="1" t="str">
        <f t="array" ref="AU7:AU7">$AS$25</f>
        <v>Принято органом регулирования</v>
      </c>
      <c r="AV7" s="98" cm="1" t="str">
        <f t="array" ref="AV7:AV7">$AS$25</f>
        <v>Принято органом регулирования</v>
      </c>
      <c r="AW7" s="98" cm="1" t="str">
        <f t="array" ref="AW7:AW7">$AS$25</f>
        <v>Принято органом регулирования</v>
      </c>
      <c r="AX7" s="98" cm="1" t="str">
        <f t="array" ref="AX7:AX7">$AS$25</f>
        <v>Принято органом регулирования</v>
      </c>
      <c r="AY7" s="98" cm="1" t="str">
        <f t="array" ref="AY7:AY7">$AS$25</f>
        <v>Принято органом регулирования</v>
      </c>
      <c r="AZ7" s="98" cm="1" t="str">
        <f t="array" ref="AZ7:AZ7">$AS$25</f>
        <v>Принято органом регулирования</v>
      </c>
      <c r="BA7" s="98" cm="1" t="str">
        <f t="array" ref="BA7:BA7">$AS$25</f>
        <v>Принято органом регулирования</v>
      </c>
      <c r="BB7" s="98" cm="1" t="str">
        <f t="array" ref="BB7:BB7">$AS$25</f>
        <v>Принято органом регулирования</v>
      </c>
    </row>
    <row customHeight="1" ht="11.25" hidden="1">
      <c r="AE8" s="98" t="str">
        <f>AE6&amp;AE7</f>
        <v>2024Принято органом регулирования</v>
      </c>
      <c r="AF8" s="98" t="str">
        <f>AF6&amp;AF7</f>
        <v>2024Факт по данным организации</v>
      </c>
      <c r="AG8" s="98" t="str">
        <f>AG6&amp;AG7</f>
        <v>2024Факт, принятый органом регулирования</v>
      </c>
      <c r="AH8" s="98" t="str">
        <f>AH6&amp;AH7</f>
        <v>2025Принято органом регулирования</v>
      </c>
      <c r="AI8" s="98" t="str">
        <f>AI6&amp;AI7</f>
        <v>2026Предложение организации</v>
      </c>
      <c r="AJ8" s="98" t="str">
        <f>AJ6&amp;AJ7</f>
        <v>2027Предложение организации</v>
      </c>
      <c r="AK8" s="98" t="str">
        <f>AK6&amp;AK7</f>
        <v>2028Предложение организации</v>
      </c>
      <c r="AL8" s="98" t="str">
        <f>AL6&amp;AL7</f>
        <v>2029Предложение организации</v>
      </c>
      <c r="AM8" s="98" t="str">
        <f>AM6&amp;AM7</f>
        <v>2030Предложение организации</v>
      </c>
      <c r="AN8" s="98" t="str">
        <f>AN6&amp;AN7</f>
        <v>2031Предложение организации</v>
      </c>
      <c r="AO8" s="98" t="str">
        <f>AO6&amp;AO7</f>
        <v>2032Предложение организации</v>
      </c>
      <c r="AP8" s="98" t="str">
        <f>AP6&amp;AP7</f>
        <v>2033Предложение организации</v>
      </c>
      <c r="AQ8" s="98" t="str">
        <f>AQ6&amp;AQ7</f>
        <v>2034Предложение организации</v>
      </c>
      <c r="AR8" s="98" t="str">
        <f>AR6&amp;AR7</f>
        <v>2035Предложение организации</v>
      </c>
      <c r="AS8" s="98" t="str">
        <f>AS6&amp;AS7</f>
        <v>2026Принято органом регулирования</v>
      </c>
      <c r="AT8" s="98" t="str">
        <f>AT6&amp;AT7</f>
        <v>2027Принято органом регулирования</v>
      </c>
      <c r="AU8" s="98" t="str">
        <f>AU6&amp;AU7</f>
        <v>2028Принято органом регулирования</v>
      </c>
      <c r="AV8" s="98" t="str">
        <f>AV6&amp;AV7</f>
        <v>2029Принято органом регулирования</v>
      </c>
      <c r="AW8" s="98" t="str">
        <f>AW6&amp;AW7</f>
        <v>2030Принято органом регулирования</v>
      </c>
      <c r="AX8" s="98" t="str">
        <f>AX6&amp;AX7</f>
        <v>2031Принято органом регулирования</v>
      </c>
      <c r="AY8" s="98" t="str">
        <f>AY6&amp;AY7</f>
        <v>2032Принято органом регулирования</v>
      </c>
      <c r="AZ8" s="98" t="str">
        <f>AZ6&amp;AZ7</f>
        <v>2033Принято органом регулирования</v>
      </c>
      <c r="BA8" s="98" t="str">
        <f>BA6&amp;BA7</f>
        <v>2034Принято органом регулирования</v>
      </c>
      <c r="BB8" s="98" t="str">
        <f>BB6&amp;BB7</f>
        <v>2035Принято органом регулирования</v>
      </c>
    </row>
    <row s="1306" customFormat="1" customHeight="1" ht="11.25" hidden="1">
      <c r="A9" s="1015" t="s">
        <v>365</v>
      </c>
      <c r="B9" s="1016"/>
      <c r="C9" s="1031"/>
      <c r="AE9" s="1015" cm="1" t="str">
        <f t="array" ref="AE9:AE9">AE6</f>
        <v>2024</v>
      </c>
      <c r="AF9" s="1015" cm="1" t="str">
        <f t="array" ref="AF9:AF9">AF6</f>
        <v>2024</v>
      </c>
      <c r="AG9" s="1015" cm="1" t="str">
        <f t="array" ref="AG9:AG9">AG6</f>
        <v>2024</v>
      </c>
      <c r="AH9" s="1015" cm="1" t="str">
        <f t="array" ref="AH9:AH9">AH6</f>
        <v>2025</v>
      </c>
      <c r="AI9" s="1015" cm="1" t="str">
        <f t="array" ref="AI9:AI9">AI6</f>
        <v>2026</v>
      </c>
      <c r="AJ9" s="1015" cm="1" t="str">
        <f t="array" ref="AJ9:AJ9">AJ6</f>
        <v>2027</v>
      </c>
      <c r="AK9" s="1015" cm="1" t="str">
        <f t="array" ref="AK9:AK9">AK6</f>
        <v>2028</v>
      </c>
      <c r="AL9" s="1015" cm="1" t="str">
        <f t="array" ref="AL9:AL9">AL6</f>
        <v>2029</v>
      </c>
      <c r="AM9" s="1015" cm="1" t="str">
        <f t="array" ref="AM9:AM9">AM6</f>
        <v>2030</v>
      </c>
      <c r="AN9" s="1015" cm="1" t="str">
        <f t="array" ref="AN9:AN9">AN6</f>
        <v>2031</v>
      </c>
      <c r="AO9" s="1015" cm="1" t="str">
        <f t="array" ref="AO9:AO9">AO6</f>
        <v>2032</v>
      </c>
      <c r="AP9" s="1015" cm="1" t="str">
        <f t="array" ref="AP9:AP9">AP6</f>
        <v>2033</v>
      </c>
      <c r="AQ9" s="1015" cm="1" t="str">
        <f t="array" ref="AQ9:AQ9">AQ6</f>
        <v>2034</v>
      </c>
      <c r="AR9" s="1015" cm="1" t="str">
        <f t="array" ref="AR9:AR9">AR6</f>
        <v>2035</v>
      </c>
      <c r="AS9" s="1015" cm="1" t="str">
        <f t="array" ref="AS9:AS9">AS6</f>
        <v>2026</v>
      </c>
      <c r="AT9" s="1015" cm="1" t="str">
        <f t="array" ref="AT9:AT9">AT6</f>
        <v>2027</v>
      </c>
      <c r="AU9" s="1015" cm="1" t="str">
        <f t="array" ref="AU9:AU9">AU6</f>
        <v>2028</v>
      </c>
      <c r="AV9" s="1015" cm="1" t="str">
        <f t="array" ref="AV9:AV9">AV6</f>
        <v>2029</v>
      </c>
      <c r="AW9" s="1015" cm="1" t="str">
        <f t="array" ref="AW9:AW9">AW6</f>
        <v>2030</v>
      </c>
      <c r="AX9" s="1015" cm="1" t="str">
        <f t="array" ref="AX9:AX9">AX6</f>
        <v>2031</v>
      </c>
      <c r="AY9" s="1015" cm="1" t="str">
        <f t="array" ref="AY9:AY9">AY6</f>
        <v>2032</v>
      </c>
      <c r="AZ9" s="1015" cm="1" t="str">
        <f t="array" ref="AZ9:AZ9">AZ6</f>
        <v>2033</v>
      </c>
      <c r="BA9" s="1015" cm="1" t="str">
        <f t="array" ref="BA9:BA9">BA6</f>
        <v>2034</v>
      </c>
      <c r="BB9" s="1015" cm="1" t="str">
        <f t="array" ref="BB9:BB9">BB6</f>
        <v>2035</v>
      </c>
      <c r="BJ9" s="632"/>
      <c r="BK9" s="632"/>
    </row>
    <row s="1306" customFormat="1" customHeight="1" ht="11.25" hidden="1">
      <c r="A10" s="1015" t="s">
        <v>366</v>
      </c>
      <c r="B10" s="1016"/>
      <c r="C10" s="1031"/>
      <c r="AE10" s="1015" cm="1" t="str">
        <f t="array" ref="AE10:AE10">AE25</f>
        <v>Принято органом регулирования</v>
      </c>
      <c r="AF10" s="1015" cm="1" t="str">
        <f t="array" ref="AF10:AF10">AF25</f>
        <v>Факт по данным организации</v>
      </c>
      <c r="AG10" s="1015" cm="1" t="str">
        <f t="array" ref="AG10:AG10">AG25</f>
        <v>Факт, принятый органом регулирования</v>
      </c>
      <c r="AH10" s="1015" cm="1" t="str">
        <f t="array" ref="AH10:AH10">AH25</f>
        <v>Принято органом регулирования</v>
      </c>
      <c r="AI10" s="1015" cm="1" t="str">
        <f t="array" ref="AI10:AI10">AI25</f>
        <v>Предложение организации</v>
      </c>
      <c r="AJ10" s="1015" cm="1" t="str">
        <f t="array" ref="AJ10:AJ10">AJ25</f>
        <v>Предложение организации</v>
      </c>
      <c r="AK10" s="1015" cm="1" t="str">
        <f t="array" ref="AK10:AK10">AK25</f>
        <v>Предложение организации</v>
      </c>
      <c r="AL10" s="1015" cm="1" t="str">
        <f t="array" ref="AL10:AL10">AL25</f>
        <v>Предложение организации</v>
      </c>
      <c r="AM10" s="1015" cm="1" t="str">
        <f t="array" ref="AM10:AM10">AM25</f>
        <v>Предложение организации</v>
      </c>
      <c r="AN10" s="1015" cm="1" t="str">
        <f t="array" ref="AN10:AN10">AN25</f>
        <v>Предложение организации</v>
      </c>
      <c r="AO10" s="1015" cm="1" t="str">
        <f t="array" ref="AO10:AO10">AO25</f>
        <v>Предложение организации</v>
      </c>
      <c r="AP10" s="1015" cm="1" t="str">
        <f t="array" ref="AP10:AP10">AP25</f>
        <v>Предложение организации</v>
      </c>
      <c r="AQ10" s="1015" cm="1" t="str">
        <f t="array" ref="AQ10:AQ10">AQ25</f>
        <v>Предложение организации</v>
      </c>
      <c r="AR10" s="1015" cm="1" t="str">
        <f t="array" ref="AR10:AR10">AR25</f>
        <v>Предложение организации</v>
      </c>
      <c r="AS10" s="1015" cm="1" t="str">
        <f t="array" ref="AS10:AS10">AS25</f>
        <v>Принято органом регулирования</v>
      </c>
      <c r="AT10" s="1015" cm="1" t="str">
        <f t="array" ref="AT10:AT10">AT25</f>
        <v>Принято органом регулирования</v>
      </c>
      <c r="AU10" s="1015" cm="1" t="str">
        <f t="array" ref="AU10:AU10">AU25</f>
        <v>Принято органом регулирования</v>
      </c>
      <c r="AV10" s="1015" cm="1" t="str">
        <f t="array" ref="AV10:AV10">AV25</f>
        <v>Принято органом регулирования</v>
      </c>
      <c r="AW10" s="1015" cm="1" t="str">
        <f t="array" ref="AW10:AW10">AW25</f>
        <v>Принято органом регулирования</v>
      </c>
      <c r="AX10" s="1015" cm="1" t="str">
        <f t="array" ref="AX10:AX10">AX25</f>
        <v>Принято органом регулирования</v>
      </c>
      <c r="AY10" s="1015" cm="1" t="str">
        <f t="array" ref="AY10:AY10">AY25</f>
        <v>Принято органом регулирования</v>
      </c>
      <c r="AZ10" s="1015" cm="1" t="str">
        <f t="array" ref="AZ10:AZ10">AZ25</f>
        <v>Принято органом регулирования</v>
      </c>
      <c r="BA10" s="1015" cm="1" t="str">
        <f t="array" ref="BA10:BA10">BA25</f>
        <v>Принято органом регулирования</v>
      </c>
      <c r="BB10" s="1015" cm="1" t="str">
        <f t="array" ref="BB10:BB10">BB25</f>
        <v>Принято органом регулирования</v>
      </c>
      <c r="BJ10" s="632"/>
      <c r="BK10" s="632"/>
    </row>
    <row s="1306" customFormat="1" customHeight="1" ht="11.25" hidden="1">
      <c r="A11" s="1015" t="s">
        <v>367</v>
      </c>
      <c r="B11" s="1016"/>
      <c r="C11" s="1031"/>
      <c r="AI11" s="1306"/>
      <c r="AJ11" s="1306"/>
      <c r="AK11" s="1306"/>
      <c r="AL11" s="1306"/>
      <c r="AM11" s="1306"/>
      <c r="AN11" s="1306"/>
      <c r="AO11" s="1306"/>
      <c r="AP11" s="1306"/>
      <c r="AQ11" s="1306"/>
      <c r="AR11" s="1306"/>
      <c r="AS11" s="1306"/>
      <c r="AT11" s="1306"/>
      <c r="AU11" s="1306"/>
      <c r="AV11" s="1306"/>
      <c r="AW11" s="1306"/>
      <c r="AX11" s="1306"/>
      <c r="AY11" s="1306"/>
      <c r="AZ11" s="1306"/>
      <c r="BA11" s="1306"/>
      <c r="BB11" s="1306"/>
      <c r="BC11" s="1015" cm="1" t="str">
        <f t="array" ref="BC11:BC11">BC24</f>
        <v>Ссылка на правовую норму (основание для принятия показателя в расчет тарифа)</v>
      </c>
      <c r="BJ11" s="632"/>
      <c r="BK11" s="632"/>
    </row>
    <row s="1306" customFormat="1" customHeight="1" ht="11.25" hidden="1">
      <c r="A12" s="1015" t="s">
        <v>338</v>
      </c>
      <c r="B12" s="1016"/>
      <c r="C12" s="1031"/>
      <c r="AC12" s="1015" t="s">
        <v>326</v>
      </c>
      <c r="AI12" s="1306"/>
      <c r="AJ12" s="1306"/>
      <c r="AK12" s="1306"/>
      <c r="AL12" s="1306"/>
      <c r="AM12" s="1306"/>
      <c r="AN12" s="1306"/>
      <c r="AO12" s="1306"/>
      <c r="AP12" s="1306"/>
      <c r="AQ12" s="1306"/>
      <c r="AR12" s="1306"/>
      <c r="AS12" s="1306"/>
      <c r="AT12" s="1306"/>
      <c r="AU12" s="1306"/>
      <c r="AV12" s="1306"/>
      <c r="AW12" s="1306"/>
      <c r="AX12" s="1306"/>
      <c r="AY12" s="1306"/>
      <c r="AZ12" s="1306"/>
      <c r="BA12" s="1306"/>
      <c r="BB12" s="1306"/>
      <c r="BJ12" s="632"/>
      <c r="BK12" s="632"/>
    </row>
    <row customHeight="1" ht="11.25" hidden="1">
      <c r="AI13" s="1304"/>
      <c r="AJ13" s="1304"/>
      <c r="AK13" s="1304"/>
      <c r="AL13" s="1304"/>
      <c r="AM13" s="1304"/>
      <c r="AN13" s="1304"/>
      <c r="AO13" s="1304"/>
      <c r="AP13" s="1304"/>
      <c r="AQ13" s="1304"/>
      <c r="AR13" s="1304"/>
      <c r="AS13" s="1304"/>
      <c r="AT13" s="1304"/>
      <c r="AU13" s="1304"/>
      <c r="AV13" s="1304"/>
      <c r="AW13" s="1304"/>
      <c r="AX13" s="1304"/>
      <c r="AY13" s="1304"/>
      <c r="AZ13" s="1304"/>
      <c r="BA13" s="1304"/>
      <c r="BB13" s="1304"/>
    </row>
    <row customHeight="1" ht="11.25" hidden="1">
      <c r="AI14" s="1304"/>
      <c r="AJ14" s="1304"/>
      <c r="AK14" s="1304"/>
      <c r="AL14" s="1304"/>
      <c r="AM14" s="1304"/>
      <c r="AN14" s="1304"/>
      <c r="AO14" s="1304"/>
      <c r="AP14" s="1304"/>
      <c r="AQ14" s="1304"/>
      <c r="AR14" s="1304"/>
      <c r="AS14" s="1304"/>
      <c r="AT14" s="1304"/>
      <c r="AU14" s="1304"/>
      <c r="AV14" s="1304"/>
      <c r="AW14" s="1304"/>
      <c r="AX14" s="1304"/>
      <c r="AY14" s="1304"/>
      <c r="AZ14" s="1304"/>
      <c r="BA14" s="1304"/>
      <c r="BB14" s="1304"/>
    </row>
    <row customHeight="1" ht="11.25" hidden="1">
      <c r="AI15" s="1304"/>
      <c r="AJ15" s="1304"/>
      <c r="AK15" s="1304"/>
      <c r="AL15" s="1304"/>
      <c r="AM15" s="1304"/>
      <c r="AN15" s="1304"/>
      <c r="AO15" s="1304"/>
      <c r="AP15" s="1304"/>
      <c r="AQ15" s="1304"/>
      <c r="AR15" s="1304"/>
      <c r="AS15" s="1304"/>
      <c r="AT15" s="1304"/>
      <c r="AU15" s="1304"/>
      <c r="AV15" s="1304"/>
      <c r="AW15" s="1304"/>
      <c r="AX15" s="1304"/>
      <c r="AY15" s="1304"/>
      <c r="AZ15" s="1304"/>
      <c r="BA15" s="1304"/>
      <c r="BB15" s="1304"/>
    </row>
    <row customHeight="1" ht="11.25" hidden="1">
      <c r="AI16" s="1304"/>
      <c r="AJ16" s="1304"/>
      <c r="AK16" s="1304"/>
      <c r="AL16" s="1304"/>
      <c r="AM16" s="1304"/>
      <c r="AN16" s="1304"/>
      <c r="AO16" s="1304"/>
      <c r="AP16" s="1304"/>
      <c r="AQ16" s="1304"/>
      <c r="AR16" s="1304"/>
      <c r="AS16" s="1304"/>
      <c r="AT16" s="1304"/>
      <c r="AU16" s="1304"/>
      <c r="AV16" s="1304"/>
      <c r="AW16" s="1304"/>
      <c r="AX16" s="1304"/>
      <c r="AY16" s="1304"/>
      <c r="AZ16" s="1304"/>
      <c r="BA16" s="1304"/>
      <c r="BB16" s="1304"/>
    </row>
    <row customHeight="1" ht="11.25" hidden="1">
      <c r="AI17" s="1304"/>
      <c r="AJ17" s="1304"/>
      <c r="AK17" s="1304"/>
      <c r="AL17" s="1304"/>
      <c r="AM17" s="1304"/>
      <c r="AN17" s="1304"/>
      <c r="AO17" s="1304"/>
      <c r="AP17" s="1304"/>
      <c r="AQ17" s="1304"/>
      <c r="AR17" s="1304"/>
      <c r="AS17" s="1304"/>
      <c r="AT17" s="1304"/>
      <c r="AU17" s="1304"/>
      <c r="AV17" s="1304"/>
      <c r="AW17" s="1304"/>
      <c r="AX17" s="1304"/>
      <c r="AY17" s="1304"/>
      <c r="AZ17" s="1304"/>
      <c r="BA17" s="1304"/>
      <c r="BB17" s="1304"/>
    </row>
    <row customHeight="1" ht="11.25" hidden="1">
      <c r="A18" s="98"/>
      <c r="AC18" s="98" t="s">
        <v>195</v>
      </c>
      <c r="AI18" s="1304"/>
      <c r="AJ18" s="1304"/>
      <c r="AK18" s="1304"/>
      <c r="AL18" s="1304"/>
      <c r="AM18" s="1304"/>
      <c r="AN18" s="1304"/>
      <c r="AO18" s="1304"/>
      <c r="AP18" s="1304"/>
      <c r="AQ18" s="1304"/>
      <c r="AR18" s="1304"/>
      <c r="AS18" s="1304"/>
      <c r="AT18" s="1304"/>
      <c r="AU18" s="1304"/>
      <c r="AV18" s="1304"/>
      <c r="AW18" s="1304"/>
      <c r="AX18" s="1304"/>
      <c r="AY18" s="1304"/>
      <c r="AZ18" s="1304"/>
      <c r="BA18" s="1304"/>
      <c r="BB18" s="1304"/>
    </row>
    <row customHeight="1" ht="11.25" hidden="1">
      <c r="AI19" s="1304"/>
      <c r="AJ19" s="1304"/>
      <c r="AK19" s="1304"/>
      <c r="AL19" s="1304"/>
      <c r="AM19" s="1304"/>
      <c r="AN19" s="1304"/>
      <c r="AO19" s="1304"/>
      <c r="AP19" s="1304"/>
      <c r="AQ19" s="1304"/>
      <c r="AR19" s="1304"/>
      <c r="AS19" s="1304"/>
      <c r="AT19" s="1304"/>
      <c r="AU19" s="1304"/>
      <c r="AV19" s="1304"/>
      <c r="AW19" s="1304"/>
      <c r="AX19" s="1304"/>
      <c r="AY19" s="1304"/>
      <c r="AZ19" s="1304"/>
      <c r="BA19" s="1304"/>
      <c r="BB19" s="1304"/>
    </row>
    <row customHeight="1" ht="11.25" hidden="1">
      <c r="AI20" s="1304"/>
      <c r="AJ20" s="1304"/>
      <c r="AK20" s="1304"/>
      <c r="AL20" s="1304"/>
      <c r="AM20" s="1304"/>
      <c r="AN20" s="1304"/>
      <c r="AO20" s="1304"/>
      <c r="AP20" s="1304"/>
      <c r="AQ20" s="1304"/>
      <c r="AR20" s="1304"/>
      <c r="AS20" s="1304"/>
      <c r="AT20" s="1304"/>
      <c r="AU20" s="1304"/>
      <c r="AV20" s="1304"/>
      <c r="AW20" s="1304"/>
      <c r="AX20" s="1304"/>
      <c r="AY20" s="1304"/>
      <c r="AZ20" s="1304"/>
      <c r="BA20" s="1304"/>
      <c r="BB20" s="1304"/>
    </row>
    <row customHeight="1" ht="14.625">
      <c r="E21" s="632">
        <v>15</v>
      </c>
      <c r="AA21" s="657"/>
      <c r="AC21" s="50" cm="1" t="str">
        <f t="array" ref="AC21:AC21">tpl_title</f>
        <v>Кемеровская область / 2026 / ООО "Теплоэнерго" (ИНН:4214046200, КПП:421401001) / ДПР: 2026-2030</v>
      </c>
      <c r="AI21" s="1304"/>
      <c r="AJ21" s="1304"/>
      <c r="AK21" s="1304"/>
      <c r="AL21" s="1304"/>
      <c r="AM21" s="1304"/>
      <c r="AN21" s="1304"/>
      <c r="AO21" s="1304"/>
      <c r="AP21" s="1304"/>
      <c r="AQ21" s="1304"/>
      <c r="AR21" s="1304"/>
      <c r="AS21" s="1304"/>
      <c r="AT21" s="1304"/>
      <c r="AU21" s="1304"/>
      <c r="AV21" s="1304"/>
      <c r="AW21" s="1304"/>
      <c r="AX21" s="1304"/>
      <c r="AY21" s="1304"/>
      <c r="AZ21" s="1304"/>
      <c r="BA21" s="1304"/>
      <c r="BB21" s="1304"/>
    </row>
    <row s="1426" customFormat="1" customHeight="1" ht="19.5">
      <c r="B22" s="427"/>
      <c r="C22" s="484"/>
      <c r="E22" s="633">
        <v>20</v>
      </c>
      <c r="AB22" s="320" t="s">
        <v>51</v>
      </c>
      <c r="AC22" s="206"/>
      <c r="AD22" s="206"/>
      <c r="AE22" s="206"/>
      <c r="AF22" s="206"/>
      <c r="AG22" s="206"/>
      <c r="AH22" s="206"/>
      <c r="AI22" s="206"/>
      <c r="AJ22" s="206"/>
      <c r="AK22" s="206"/>
      <c r="AL22" s="206"/>
      <c r="AM22" s="206"/>
      <c r="AN22" s="206"/>
      <c r="AO22" s="206"/>
      <c r="AP22" s="206"/>
      <c r="AQ22" s="206"/>
      <c r="AR22" s="206"/>
      <c r="AS22" s="206"/>
      <c r="AT22" s="206"/>
      <c r="AU22" s="206"/>
      <c r="AV22" s="206"/>
      <c r="AW22" s="206"/>
      <c r="AX22" s="206"/>
      <c r="AY22" s="206"/>
      <c r="AZ22" s="206"/>
      <c r="BA22" s="206"/>
      <c r="BB22" s="206"/>
      <c r="BC22" s="206"/>
      <c r="BF22" s="1018"/>
      <c r="BG22" s="1018"/>
      <c r="BH22" s="1018"/>
      <c r="BJ22" s="633"/>
      <c r="BK22" s="633"/>
    </row>
    <row s="1426" customFormat="1" customHeight="1" ht="10.96875">
      <c r="B23" s="427"/>
      <c r="C23" s="484"/>
      <c r="E23" s="633">
        <v>11.25</v>
      </c>
      <c r="AB23" s="201"/>
      <c r="AC23" s="201"/>
      <c r="AD23" s="201"/>
      <c r="AE23" s="202"/>
      <c r="AF23" s="202"/>
      <c r="AG23" s="202"/>
      <c r="AH23" s="202"/>
      <c r="AI23" s="201"/>
      <c r="AJ23" s="201"/>
      <c r="AK23" s="201"/>
      <c r="AL23" s="201"/>
      <c r="AM23" s="201"/>
      <c r="AN23" s="201"/>
      <c r="AO23" s="201"/>
      <c r="AP23" s="201"/>
      <c r="AQ23" s="201"/>
      <c r="AR23" s="201"/>
      <c r="AS23" s="201"/>
      <c r="AT23" s="201"/>
      <c r="AU23" s="201"/>
      <c r="AV23" s="201"/>
      <c r="AW23" s="201"/>
      <c r="AX23" s="201"/>
      <c r="AY23" s="201"/>
      <c r="AZ23" s="201"/>
      <c r="BA23" s="201"/>
      <c r="BB23" s="201"/>
      <c r="BC23" s="201"/>
      <c r="BF23" s="1018"/>
      <c r="BG23" s="1018"/>
      <c r="BH23" s="1018"/>
      <c r="BJ23" s="633"/>
      <c r="BK23" s="633"/>
    </row>
    <row s="1446" customFormat="1" customHeight="1" ht="14.625">
      <c r="B24" s="429"/>
      <c r="C24" s="486"/>
      <c r="E24" s="630">
        <v>15</v>
      </c>
      <c r="AB24" s="1604" t="s">
        <v>22</v>
      </c>
      <c r="AC24" s="1604" t="s">
        <v>369</v>
      </c>
      <c r="AD24" s="1604" t="s">
        <v>370</v>
      </c>
      <c r="AE24" s="359" t="str">
        <f>god-2&amp;" год"</f>
        <v>2024 год</v>
      </c>
      <c r="AF24" s="1121" t="str">
        <f>god-2&amp;" год"</f>
        <v>2024 год</v>
      </c>
      <c r="AG24" s="359" t="str">
        <f>god-2&amp;" год"</f>
        <v>2024 год</v>
      </c>
      <c r="AH24" s="94" t="str">
        <f>god-1&amp;" год"</f>
        <v>2025 год</v>
      </c>
      <c r="AI24" s="1118" t="str">
        <f>god&amp;" год"</f>
        <v>2026 год</v>
      </c>
      <c r="AJ24" s="1118" t="str">
        <f>god+1&amp;" год"</f>
        <v>2027 год</v>
      </c>
      <c r="AK24" s="1118" t="str">
        <f>god+2&amp;" год"</f>
        <v>2028 год</v>
      </c>
      <c r="AL24" s="1118" t="str">
        <f>god+3&amp;" год"</f>
        <v>2029 год</v>
      </c>
      <c r="AM24" s="1118" t="str">
        <f>god+4&amp;" год"</f>
        <v>2030 год</v>
      </c>
      <c r="AN24" s="1118" t="str">
        <f>god+5&amp;" год"</f>
        <v>2031 год</v>
      </c>
      <c r="AO24" s="1118" t="str">
        <f>god+6&amp;" год"</f>
        <v>2032 год</v>
      </c>
      <c r="AP24" s="1118" t="str">
        <f>god+7&amp;" год"</f>
        <v>2033 год</v>
      </c>
      <c r="AQ24" s="1118" t="str">
        <f>god+8&amp;" год"</f>
        <v>2034 год</v>
      </c>
      <c r="AR24" s="1118" t="str">
        <f>god+9&amp;" год"</f>
        <v>2035 год</v>
      </c>
      <c r="AS24" s="92" t="str">
        <f>god&amp;" год"</f>
        <v>2026 год</v>
      </c>
      <c r="AT24" s="92" t="str">
        <f>god+1&amp;" год"</f>
        <v>2027 год</v>
      </c>
      <c r="AU24" s="92" t="str">
        <f>god+2&amp;" год"</f>
        <v>2028 год</v>
      </c>
      <c r="AV24" s="92" t="str">
        <f>god+3&amp;" год"</f>
        <v>2029 год</v>
      </c>
      <c r="AW24" s="92" t="str">
        <f>god+4&amp;" год"</f>
        <v>2030 год</v>
      </c>
      <c r="AX24" s="92" t="str">
        <f>god+5&amp;" год"</f>
        <v>2031 год</v>
      </c>
      <c r="AY24" s="92" t="str">
        <f>god+6&amp;" год"</f>
        <v>2032 год</v>
      </c>
      <c r="AZ24" s="92" t="str">
        <f>god+7&amp;" год"</f>
        <v>2033 год</v>
      </c>
      <c r="BA24" s="92" t="str">
        <f>god+8&amp;" год"</f>
        <v>2034 год</v>
      </c>
      <c r="BB24" s="92" t="str">
        <f>god+9&amp;" год"</f>
        <v>2035 год</v>
      </c>
      <c r="BC24" s="1578" t="s">
        <v>1242</v>
      </c>
      <c r="BF24" s="1013"/>
      <c r="BG24" s="1013"/>
      <c r="BH24" s="1013"/>
      <c r="BJ24" s="630"/>
      <c r="BK24" s="630"/>
    </row>
    <row s="1446" customFormat="1" customHeight="1" ht="48.75">
      <c r="B25" s="429"/>
      <c r="C25" s="486"/>
      <c r="E25" s="630">
        <v>50</v>
      </c>
      <c r="AB25" s="1604"/>
      <c r="AC25" s="1604"/>
      <c r="AD25" s="1604"/>
      <c r="AE25" s="92" t="s">
        <v>362</v>
      </c>
      <c r="AF25" s="1118" t="s">
        <v>1164</v>
      </c>
      <c r="AG25" s="92" t="s">
        <v>1165</v>
      </c>
      <c r="AH25" s="92" t="s">
        <v>362</v>
      </c>
      <c r="AI25" s="1122" t="s">
        <v>363</v>
      </c>
      <c r="AJ25" s="1122" t="s">
        <v>363</v>
      </c>
      <c r="AK25" s="1122" t="s">
        <v>363</v>
      </c>
      <c r="AL25" s="1122" t="s">
        <v>363</v>
      </c>
      <c r="AM25" s="1122" t="s">
        <v>363</v>
      </c>
      <c r="AN25" s="1122" t="s">
        <v>363</v>
      </c>
      <c r="AO25" s="1122" t="s">
        <v>363</v>
      </c>
      <c r="AP25" s="1122" t="s">
        <v>363</v>
      </c>
      <c r="AQ25" s="1122" t="s">
        <v>363</v>
      </c>
      <c r="AR25" s="1122" t="s">
        <v>363</v>
      </c>
      <c r="AS25" s="360" t="s">
        <v>362</v>
      </c>
      <c r="AT25" s="360" t="s">
        <v>362</v>
      </c>
      <c r="AU25" s="360" t="s">
        <v>362</v>
      </c>
      <c r="AV25" s="360" t="s">
        <v>362</v>
      </c>
      <c r="AW25" s="360" t="s">
        <v>362</v>
      </c>
      <c r="AX25" s="360" t="s">
        <v>362</v>
      </c>
      <c r="AY25" s="360" t="s">
        <v>362</v>
      </c>
      <c r="AZ25" s="360" t="s">
        <v>362</v>
      </c>
      <c r="BA25" s="360" t="s">
        <v>362</v>
      </c>
      <c r="BB25" s="360" t="s">
        <v>362</v>
      </c>
      <c r="BC25" s="1578"/>
      <c r="BF25" s="1013"/>
      <c r="BG25" s="1013"/>
      <c r="BH25" s="1013"/>
      <c r="BJ25" s="630"/>
      <c r="BK25" s="630"/>
    </row>
    <row s="1446" customFormat="1" customHeight="1" ht="14.25" hidden="1">
      <c r="B26" s="429"/>
      <c r="C26" s="486"/>
      <c r="E26" s="630">
        <v>0</v>
      </c>
      <c r="AB26" s="723"/>
      <c r="AC26" s="723"/>
      <c r="AD26" s="723"/>
      <c r="AE26" s="720"/>
      <c r="AF26" s="720"/>
      <c r="AG26" s="720"/>
      <c r="AH26" s="720"/>
      <c r="AI26" s="720"/>
      <c r="AJ26" s="720"/>
      <c r="AK26" s="720"/>
      <c r="AL26" s="720"/>
      <c r="AM26" s="720"/>
      <c r="AN26" s="720"/>
      <c r="AO26" s="720"/>
      <c r="AP26" s="720"/>
      <c r="AQ26" s="720"/>
      <c r="AR26" s="720"/>
      <c r="AS26" s="720"/>
      <c r="AT26" s="720"/>
      <c r="AU26" s="720"/>
      <c r="AV26" s="720"/>
      <c r="AW26" s="720"/>
      <c r="AX26" s="720"/>
      <c r="AY26" s="720"/>
      <c r="AZ26" s="720"/>
      <c r="BA26" s="720"/>
      <c r="BB26" s="720"/>
      <c r="BC26" s="720"/>
      <c r="BF26" s="1013"/>
      <c r="BG26" s="1013"/>
      <c r="BH26" s="1013"/>
      <c r="BJ26" s="630"/>
      <c r="BK26" s="630"/>
    </row>
    <row s="1446" customFormat="1" customHeight="1" ht="14.625" hidden="1">
      <c r="A27" s="1446"/>
      <c r="B27" s="429"/>
      <c r="C27" s="485"/>
      <c r="D27" s="1446"/>
      <c r="E27" s="632">
        <v>15</v>
      </c>
      <c r="F27" s="98" cm="1" t="str">
        <f t="array" ref="F27:F27">X27</f>
        <v>0</v>
      </c>
      <c r="G27" s="98"/>
      <c r="H27" s="98"/>
      <c r="I27" s="1446"/>
      <c r="J27" s="1446"/>
      <c r="K27" s="1446"/>
      <c r="L27" s="1446"/>
      <c r="M27" s="1446"/>
      <c r="N27" s="1446"/>
      <c r="O27" s="1446"/>
      <c r="P27" s="1446"/>
      <c r="Q27" s="1446"/>
      <c r="R27" s="1446"/>
      <c r="S27" s="1446"/>
      <c r="T27" s="465">
        <f>X27&gt;0</f>
        <v>0</v>
      </c>
      <c r="U27" s="1446"/>
      <c r="V27" s="144" t="s">
        <v>265</v>
      </c>
      <c r="W27" s="1446"/>
      <c r="X27" s="1543">
        <v>0</v>
      </c>
      <c r="Y27" s="1446"/>
      <c r="Z27" s="1565"/>
      <c r="AA27" s="1446"/>
      <c r="AB27" s="183" cm="1" t="str">
        <f t="array" ref="AB27:AB27">INDEX('Общие сведения'!$AG$179:$AG$250,MATCH($X27,'Общие сведения'!$Z$179:$Z$250,0))</f>
        <v>Тариф 0 () - </v>
      </c>
      <c r="AC27" s="180"/>
      <c r="AD27" s="174"/>
      <c r="AE27" s="174"/>
      <c r="AF27" s="174"/>
      <c r="AG27" s="174"/>
      <c r="AH27" s="174"/>
      <c r="AI27" s="174"/>
      <c r="AJ27" s="174"/>
      <c r="AK27" s="174"/>
      <c r="AL27" s="174"/>
      <c r="AM27" s="174"/>
      <c r="AN27" s="174"/>
      <c r="AO27" s="174"/>
      <c r="AP27" s="174"/>
      <c r="AQ27" s="174"/>
      <c r="AR27" s="174"/>
      <c r="AS27" s="174"/>
      <c r="AT27" s="174"/>
      <c r="AU27" s="174"/>
      <c r="AV27" s="174"/>
      <c r="AW27" s="174"/>
      <c r="AX27" s="174"/>
      <c r="AY27" s="174"/>
      <c r="AZ27" s="174"/>
      <c r="BA27" s="174"/>
      <c r="BB27" s="174"/>
      <c r="BC27" s="174"/>
      <c r="BD27" s="1446"/>
      <c r="BE27" s="1446"/>
      <c r="BF27" s="1013"/>
      <c r="BG27" s="1013"/>
      <c r="BH27" s="1013"/>
      <c r="BI27" s="1446"/>
      <c r="BJ27" s="630"/>
      <c r="BK27" s="630"/>
    </row>
    <row s="1812" customFormat="1" customHeight="1" ht="10.96875" hidden="1">
      <c r="A28" s="1812"/>
      <c r="B28" s="429"/>
      <c r="C28" s="483"/>
      <c r="D28" s="956"/>
      <c r="E28" s="267">
        <v>11.25</v>
      </c>
      <c r="F28" s="50" cm="1" t="str">
        <f t="array" ref="F28:F28">OFFSET(E28,-1,1)</f>
        <v>0</v>
      </c>
      <c r="G28" s="126" t="s">
        <v>332</v>
      </c>
      <c r="H28" s="126"/>
      <c r="I28" s="1812"/>
      <c r="J28" s="1812"/>
      <c r="K28" s="483" t="str">
        <f>F28&amp;"komm"</f>
        <v>0komm</v>
      </c>
      <c r="L28" s="917" cm="1" t="str">
        <f t="array" ref="L28:L28">BC28</f>
        <v>0</v>
      </c>
      <c r="M28" s="1812"/>
      <c r="N28" s="1812"/>
      <c r="O28" s="1812"/>
      <c r="P28" s="1812"/>
      <c r="Q28" s="1812"/>
      <c r="R28" s="1812"/>
      <c r="S28" s="1812"/>
      <c r="T28" s="465" cm="1" t="str">
        <f t="array" ref="T28:T28">T27</f>
        <v>false</v>
      </c>
      <c r="U28" s="1812"/>
      <c r="V28" s="1812"/>
      <c r="W28" s="1812"/>
      <c r="X28" s="1543"/>
      <c r="Y28" s="1812"/>
      <c r="Z28" s="1565"/>
      <c r="AA28" s="1812"/>
      <c r="AB28" s="89" t="s">
        <v>276</v>
      </c>
      <c r="AC28" s="138" t="s">
        <v>1513</v>
      </c>
      <c r="AD28" s="89" t="s">
        <v>1514</v>
      </c>
      <c r="AE28" s="191">
        <f>IF(COUNTIF(AE33:AE48,"Ошибка")&gt;0,"Ошибка",SUMIF($AD33:$AD48,$AD28,AE33:AE48))</f>
        <v>0</v>
      </c>
      <c r="AF28" s="191">
        <f>IF(COUNTIF(AF33:AF48,"Ошибка")&gt;0,"Ошибка",SUMIF($AD33:$AD48,$AD28,AF33:AF48))</f>
        <v>0</v>
      </c>
      <c r="AG28" s="191">
        <f>IF(COUNTIF(AG33:AG48,"Ошибка")&gt;0,"Ошибка",SUMIF($AD33:$AD48,$AD28,AG33:AG48))</f>
        <v>0</v>
      </c>
      <c r="AH28" s="191">
        <f>IF(COUNTIF(AH33:AH48,"Ошибка")&gt;0,"Ошибка",SUMIF($AD33:$AD48,$AD28,AH33:AH48))</f>
        <v>0</v>
      </c>
      <c r="AI28" s="191">
        <f>IF(COUNTIF(AI33:AI48,"Ошибка")&gt;0,"Ошибка",SUMIF($AD33:$AD48,$AD28,AI33:AI48))</f>
        <v>0</v>
      </c>
      <c r="AJ28" s="191">
        <f>IF(COUNTIF(AJ33:AJ48,"Ошибка")&gt;0,"Ошибка",SUMIF($AD33:$AD48,$AD28,AJ33:AJ48))</f>
        <v>0</v>
      </c>
      <c r="AK28" s="191">
        <f>IF(COUNTIF(AK33:AK48,"Ошибка")&gt;0,"Ошибка",SUMIF($AD33:$AD48,$AD28,AK33:AK48))</f>
        <v>0</v>
      </c>
      <c r="AL28" s="191">
        <f>IF(COUNTIF(AL33:AL48,"Ошибка")&gt;0,"Ошибка",SUMIF($AD33:$AD48,$AD28,AL33:AL48))</f>
        <v>0</v>
      </c>
      <c r="AM28" s="191">
        <f>IF(COUNTIF(AM33:AM48,"Ошибка")&gt;0,"Ошибка",SUMIF($AD33:$AD48,$AD28,AM33:AM48))</f>
        <v>0</v>
      </c>
      <c r="AN28" s="191">
        <f>IF(COUNTIF(AN33:AN48,"Ошибка")&gt;0,"Ошибка",SUMIF($AD33:$AD48,$AD28,AN33:AN48))</f>
        <v>0</v>
      </c>
      <c r="AO28" s="191">
        <f>IF(COUNTIF(AO33:AO48,"Ошибка")&gt;0,"Ошибка",SUMIF($AD33:$AD48,$AD28,AO33:AO48))</f>
        <v>0</v>
      </c>
      <c r="AP28" s="191">
        <f>IF(COUNTIF(AP33:AP48,"Ошибка")&gt;0,"Ошибка",SUMIF($AD33:$AD48,$AD28,AP33:AP48))</f>
        <v>0</v>
      </c>
      <c r="AQ28" s="191">
        <f>IF(COUNTIF(AQ33:AQ48,"Ошибка")&gt;0,"Ошибка",SUMIF($AD33:$AD48,$AD28,AQ33:AQ48))</f>
        <v>0</v>
      </c>
      <c r="AR28" s="191">
        <f>IF(COUNTIF(AR33:AR48,"Ошибка")&gt;0,"Ошибка",SUMIF($AD33:$AD48,$AD28,AR33:AR48))</f>
        <v>0</v>
      </c>
      <c r="AS28" s="191">
        <f>IF(COUNTIF(AS33:AS48,"Ошибка")&gt;0,"Ошибка",SUMIF($AD33:$AD48,$AD28,AS33:AS48))</f>
        <v>0</v>
      </c>
      <c r="AT28" s="191">
        <f>IF(COUNTIF(AT33:AT48,"Ошибка")&gt;0,"Ошибка",SUMIF($AD33:$AD48,$AD28,AT33:AT48))</f>
        <v>0</v>
      </c>
      <c r="AU28" s="191">
        <f>IF(COUNTIF(AU33:AU48,"Ошибка")&gt;0,"Ошибка",SUMIF($AD33:$AD48,$AD28,AU33:AU48))</f>
        <v>0</v>
      </c>
      <c r="AV28" s="191">
        <f>IF(COUNTIF(AV33:AV48,"Ошибка")&gt;0,"Ошибка",SUMIF($AD33:$AD48,$AD28,AV33:AV48))</f>
        <v>0</v>
      </c>
      <c r="AW28" s="191">
        <f>IF(COUNTIF(AW33:AW48,"Ошибка")&gt;0,"Ошибка",SUMIF($AD33:$AD48,$AD28,AW33:AW48))</f>
        <v>0</v>
      </c>
      <c r="AX28" s="191">
        <f>IF(COUNTIF(AX33:AX48,"Ошибка")&gt;0,"Ошибка",SUMIF($AD33:$AD48,$AD28,AX33:AX48))</f>
        <v>0</v>
      </c>
      <c r="AY28" s="191">
        <f>IF(COUNTIF(AY33:AY48,"Ошибка")&gt;0,"Ошибка",SUMIF($AD33:$AD48,$AD28,AY33:AY48))</f>
        <v>0</v>
      </c>
      <c r="AZ28" s="191">
        <f>IF(COUNTIF(AZ33:AZ48,"Ошибка")&gt;0,"Ошибка",SUMIF($AD33:$AD48,$AD28,AZ33:AZ48))</f>
        <v>0</v>
      </c>
      <c r="BA28" s="191">
        <f>IF(COUNTIF(BA33:BA48,"Ошибка")&gt;0,"Ошибка",SUMIF($AD33:$AD48,$AD28,BA33:BA48))</f>
        <v>0</v>
      </c>
      <c r="BB28" s="191">
        <f>IF(COUNTIF(BB33:BB48,"Ошибка")&gt;0,"Ошибка",SUMIF($AD33:$AD48,$AD28,BB33:BB48))</f>
        <v>0</v>
      </c>
      <c r="BC28" s="2070"/>
      <c r="BD28" s="1812"/>
      <c r="BE28" s="1812"/>
      <c r="BF28" s="1030" t="s">
        <v>1571</v>
      </c>
      <c r="BG28" s="1030"/>
      <c r="BH28" s="1030"/>
      <c r="BI28" s="1812"/>
      <c r="BJ28" s="267"/>
      <c r="BK28" s="267"/>
    </row>
    <row s="1812" customFormat="1" customHeight="1" ht="10.96875" hidden="1">
      <c r="A29" s="1812"/>
      <c r="B29" s="429"/>
      <c r="C29" s="483"/>
      <c r="D29" s="1812"/>
      <c r="E29" s="267">
        <v>11.25</v>
      </c>
      <c r="F29" s="50" cm="1" t="str">
        <f t="array" ref="F29:F29">OFFSET(E29,-1,1)</f>
        <v>0</v>
      </c>
      <c r="G29" s="126" t="s">
        <v>333</v>
      </c>
      <c r="H29" s="126"/>
      <c r="I29" s="1812"/>
      <c r="J29" s="1812"/>
      <c r="K29" s="1812"/>
      <c r="L29" s="1812"/>
      <c r="M29" s="1812"/>
      <c r="N29" s="1812"/>
      <c r="O29" s="1812"/>
      <c r="P29" s="1812"/>
      <c r="Q29" s="1812"/>
      <c r="R29" s="1812"/>
      <c r="S29" s="1812"/>
      <c r="T29" s="465" cm="1" t="str">
        <f t="array" ref="T29:T29">T28</f>
        <v>false</v>
      </c>
      <c r="U29" s="1812"/>
      <c r="V29" s="1812"/>
      <c r="W29" s="1812"/>
      <c r="X29" s="1543"/>
      <c r="Y29" s="1812"/>
      <c r="Z29" s="1565"/>
      <c r="AA29" s="1812"/>
      <c r="AB29" s="89" t="s">
        <v>285</v>
      </c>
      <c r="AC29" s="138" t="s">
        <v>1572</v>
      </c>
      <c r="AD29" s="92" t="s">
        <v>1573</v>
      </c>
      <c r="AE29" s="191">
        <f>SUMIF(AD33:AD48,AD29,AE33:AE48)</f>
        <v>0</v>
      </c>
      <c r="AF29" s="191">
        <f>SUMIF(AD33:AD48,AD29,AF33:AF48)</f>
        <v>0</v>
      </c>
      <c r="AG29" s="191">
        <f>SUMIF(AD33:AD48,AD29,AG33:AG48)</f>
        <v>0</v>
      </c>
      <c r="AH29" s="191">
        <f>SUMIF(AD33:AD48,AD29,AH33:AH48)</f>
        <v>0</v>
      </c>
      <c r="AI29" s="191">
        <f>SUMIF(AD33:AD48,AD29,AI33:AI48)</f>
        <v>0</v>
      </c>
      <c r="AJ29" s="191">
        <f>SUMIF(AD33:AD48,AD29,AJ33:AJ48)</f>
        <v>0</v>
      </c>
      <c r="AK29" s="191">
        <f>SUMIF(AD33:AD48,AD29,AK33:AK48)</f>
        <v>0</v>
      </c>
      <c r="AL29" s="191">
        <f>SUMIF(AD33:AD48,AD29,AL33:AL48)</f>
        <v>0</v>
      </c>
      <c r="AM29" s="191">
        <f>SUMIF(AD33:AD48,AD29,AM33:AM48)</f>
        <v>0</v>
      </c>
      <c r="AN29" s="191">
        <f>SUMIF(AD33:AD48,AD29,AN33:AN48)</f>
        <v>0</v>
      </c>
      <c r="AO29" s="191">
        <f>SUMIF(AD33:AD48,AD29,AO33:AO48)</f>
        <v>0</v>
      </c>
      <c r="AP29" s="191">
        <f>SUMIF(AD33:AD48,AD29,AP33:AP48)</f>
        <v>0</v>
      </c>
      <c r="AQ29" s="191">
        <f>SUMIF(AD33:AD48,AD29,AQ33:AQ48)</f>
        <v>0</v>
      </c>
      <c r="AR29" s="191">
        <f>SUMIF(AD33:AD48,AD29,AR33:AR48)</f>
        <v>0</v>
      </c>
      <c r="AS29" s="191">
        <f>SUMIF(AD33:AD48,AD29,AS33:AS48)</f>
        <v>0</v>
      </c>
      <c r="AT29" s="191">
        <f>SUMIF(AD33:AD48,AD29,AT33:AT48)</f>
        <v>0</v>
      </c>
      <c r="AU29" s="191">
        <f>SUMIF(AD33:AD48,AD29,AU33:AU48)</f>
        <v>0</v>
      </c>
      <c r="AV29" s="191">
        <f>SUMIF(AD33:AD48,AD29,AV33:AV48)</f>
        <v>0</v>
      </c>
      <c r="AW29" s="191">
        <f>SUMIF(AD33:AD48,AD29,AW33:AW48)</f>
        <v>0</v>
      </c>
      <c r="AX29" s="191">
        <f>SUMIF(AD33:AD48,AD29,AX33:AX48)</f>
        <v>0</v>
      </c>
      <c r="AY29" s="191">
        <f>SUMIF(AD33:AD48,AD29,AY33:AY48)</f>
        <v>0</v>
      </c>
      <c r="AZ29" s="191">
        <f>SUMIF(AD33:AD48,AD29,AZ33:AZ48)</f>
        <v>0</v>
      </c>
      <c r="BA29" s="191">
        <f>SUMIF(AD33:AD48,AD29,BA33:BA48)</f>
        <v>0</v>
      </c>
      <c r="BB29" s="191">
        <f>SUMIF(AD33:AD48,AD29,BB33:BB48)</f>
        <v>0</v>
      </c>
      <c r="BC29" s="2070"/>
      <c r="BD29" s="1812"/>
      <c r="BE29" s="1812"/>
      <c r="BF29" s="1030" t="s">
        <v>1574</v>
      </c>
      <c r="BG29" s="1030"/>
      <c r="BH29" s="1030"/>
      <c r="BI29" s="1812"/>
      <c r="BJ29" s="267"/>
      <c r="BK29" s="267"/>
    </row>
    <row s="1812" customFormat="1" customHeight="1" ht="10.96875" hidden="1">
      <c r="A30" s="1812"/>
      <c r="B30" s="429"/>
      <c r="C30" s="483"/>
      <c r="D30" s="1812"/>
      <c r="E30" s="267">
        <v>11.25</v>
      </c>
      <c r="F30" s="50" cm="1" t="str">
        <f t="array" ref="F30:F30">OFFSET(E30,-1,1)</f>
        <v>0</v>
      </c>
      <c r="G30" s="126" t="s">
        <v>334</v>
      </c>
      <c r="H30" s="126"/>
      <c r="I30" s="1812"/>
      <c r="J30" s="1812"/>
      <c r="K30" s="1812"/>
      <c r="L30" s="1812"/>
      <c r="M30" s="1812"/>
      <c r="N30" s="1812"/>
      <c r="O30" s="1812"/>
      <c r="P30" s="1812"/>
      <c r="Q30" s="1812"/>
      <c r="R30" s="1812"/>
      <c r="S30" s="1812"/>
      <c r="T30" s="465" cm="1" t="str">
        <f t="array" ref="T30:T30">T29</f>
        <v>false</v>
      </c>
      <c r="U30" s="1812"/>
      <c r="V30" s="1812"/>
      <c r="W30" s="1812"/>
      <c r="X30" s="1543"/>
      <c r="Y30" s="1812"/>
      <c r="Z30" s="1565"/>
      <c r="AA30" s="1812"/>
      <c r="AB30" s="89" t="s">
        <v>289</v>
      </c>
      <c r="AC30" s="138" t="s">
        <v>1575</v>
      </c>
      <c r="AD30" s="92" t="s">
        <v>1576</v>
      </c>
      <c r="AE30" s="3246"/>
      <c r="AF30" s="3246"/>
      <c r="AG30" s="3246"/>
      <c r="AH30" s="3246"/>
      <c r="AI30" s="3246"/>
      <c r="AJ30" s="3246"/>
      <c r="AK30" s="3246"/>
      <c r="AL30" s="3246"/>
      <c r="AM30" s="3246"/>
      <c r="AN30" s="3246"/>
      <c r="AO30" s="3246"/>
      <c r="AP30" s="3246"/>
      <c r="AQ30" s="3246"/>
      <c r="AR30" s="3246"/>
      <c r="AS30" s="3246"/>
      <c r="AT30" s="3246"/>
      <c r="AU30" s="3246"/>
      <c r="AV30" s="3246"/>
      <c r="AW30" s="3246"/>
      <c r="AX30" s="3246"/>
      <c r="AY30" s="3246"/>
      <c r="AZ30" s="3246"/>
      <c r="BA30" s="3246"/>
      <c r="BB30" s="3246"/>
      <c r="BC30" s="2070"/>
      <c r="BD30" s="1812"/>
      <c r="BE30" s="1812"/>
      <c r="BF30" s="1030" t="s">
        <v>1577</v>
      </c>
      <c r="BG30" s="1030"/>
      <c r="BH30" s="1030"/>
      <c r="BI30" s="1812"/>
      <c r="BJ30" s="267"/>
      <c r="BK30" s="267"/>
    </row>
    <row s="1812" customFormat="1" customHeight="1" ht="10.96875" hidden="1">
      <c r="A31" s="1812"/>
      <c r="B31" s="429"/>
      <c r="C31" s="483"/>
      <c r="D31" s="1812"/>
      <c r="E31" s="267">
        <v>11.25</v>
      </c>
      <c r="F31" s="50" cm="1" t="str">
        <f t="array" ref="F31:F31">OFFSET(E31,-1,1)</f>
        <v>0</v>
      </c>
      <c r="G31" s="126" t="s">
        <v>336</v>
      </c>
      <c r="H31" s="126"/>
      <c r="I31" s="1812"/>
      <c r="J31" s="1812"/>
      <c r="K31" s="1812"/>
      <c r="L31" s="1812"/>
      <c r="M31" s="1812"/>
      <c r="N31" s="1812"/>
      <c r="O31" s="1812"/>
      <c r="P31" s="1812"/>
      <c r="Q31" s="1812"/>
      <c r="R31" s="1812"/>
      <c r="S31" s="1812"/>
      <c r="T31" s="465" cm="1" t="str">
        <f t="array" ref="T31:T31">T30</f>
        <v>false</v>
      </c>
      <c r="U31" s="1812"/>
      <c r="V31" s="1812"/>
      <c r="W31" s="1812"/>
      <c r="X31" s="1543"/>
      <c r="Y31" s="1812"/>
      <c r="Z31" s="1565"/>
      <c r="AA31" s="1812"/>
      <c r="AB31" s="89" t="s">
        <v>295</v>
      </c>
      <c r="AC31" s="138" t="s">
        <v>1578</v>
      </c>
      <c r="AD31" s="92" t="s">
        <v>1579</v>
      </c>
      <c r="AE31" s="191">
        <f>IF(AE29=0,0,AE28/AE29)</f>
        <v>0</v>
      </c>
      <c r="AF31" s="191">
        <f>IF(AF29=0,0,AF28/AF29)</f>
        <v>0</v>
      </c>
      <c r="AG31" s="191">
        <f>IF(AG29=0,0,AG28/AG29)</f>
        <v>0</v>
      </c>
      <c r="AH31" s="191">
        <f>IF(AH29=0,0,AH28/AH29)</f>
        <v>0</v>
      </c>
      <c r="AI31" s="191">
        <f>IF(AI29=0,0,AI28/AI29)</f>
        <v>0</v>
      </c>
      <c r="AJ31" s="191">
        <f>IF(AJ29=0,0,AJ28/AJ29)</f>
        <v>0</v>
      </c>
      <c r="AK31" s="191">
        <f>IF(AK29=0,0,AK28/AK29)</f>
        <v>0</v>
      </c>
      <c r="AL31" s="191">
        <f>IF(AL29=0,0,AL28/AL29)</f>
        <v>0</v>
      </c>
      <c r="AM31" s="191">
        <f>IF(AM29=0,0,AM28/AM29)</f>
        <v>0</v>
      </c>
      <c r="AN31" s="191">
        <f>IF(AN29=0,0,AN28/AN29)</f>
        <v>0</v>
      </c>
      <c r="AO31" s="191">
        <f>IF(AO29=0,0,AO28/AO29)</f>
        <v>0</v>
      </c>
      <c r="AP31" s="191">
        <f>IF(AP29=0,0,AP28/AP29)</f>
        <v>0</v>
      </c>
      <c r="AQ31" s="191">
        <f>IF(AQ29=0,0,AQ28/AQ29)</f>
        <v>0</v>
      </c>
      <c r="AR31" s="191">
        <f>IF(AR29=0,0,AR28/AR29)</f>
        <v>0</v>
      </c>
      <c r="AS31" s="191">
        <f>IF(AS29=0,0,AS28/AS29)</f>
        <v>0</v>
      </c>
      <c r="AT31" s="191">
        <f>IF(AT29=0,0,AT28/AT29)</f>
        <v>0</v>
      </c>
      <c r="AU31" s="191">
        <f>IF(AU29=0,0,AU28/AU29)</f>
        <v>0</v>
      </c>
      <c r="AV31" s="191">
        <f>IF(AV29=0,0,AV28/AV29)</f>
        <v>0</v>
      </c>
      <c r="AW31" s="191">
        <f>IF(AW29=0,0,AW28/AW29)</f>
        <v>0</v>
      </c>
      <c r="AX31" s="191">
        <f>IF(AX29=0,0,AX28/AX29)</f>
        <v>0</v>
      </c>
      <c r="AY31" s="191">
        <f>IF(AY29=0,0,AY28/AY29)</f>
        <v>0</v>
      </c>
      <c r="AZ31" s="191">
        <f>IF(AZ29=0,0,AZ28/AZ29)</f>
        <v>0</v>
      </c>
      <c r="BA31" s="191">
        <f>IF(BA29=0,0,BA28/BA29)</f>
        <v>0</v>
      </c>
      <c r="BB31" s="191">
        <f>IF(BB29=0,0,BB28/BB29)</f>
        <v>0</v>
      </c>
      <c r="BC31" s="2070"/>
      <c r="BD31" s="1812"/>
      <c r="BE31" s="1812"/>
      <c r="BF31" s="1030" t="s">
        <v>1580</v>
      </c>
      <c r="BG31" s="1030"/>
      <c r="BH31" s="1030"/>
      <c r="BI31" s="1812"/>
      <c r="BJ31" s="267"/>
      <c r="BK31" s="267"/>
    </row>
    <row s="1812" customFormat="1" customHeight="1" ht="10.96875" hidden="1">
      <c r="A32" s="1812"/>
      <c r="B32" s="429"/>
      <c r="C32" s="483"/>
      <c r="D32" s="1812"/>
      <c r="E32" s="267">
        <v>11.25</v>
      </c>
      <c r="F32" s="50" cm="1" t="str">
        <f t="array" ref="F32:F32">OFFSET(E32,-1,1)</f>
        <v>0</v>
      </c>
      <c r="G32" s="126" t="s">
        <v>335</v>
      </c>
      <c r="H32" s="126"/>
      <c r="I32" s="1812"/>
      <c r="J32" s="1812"/>
      <c r="K32" s="1812"/>
      <c r="L32" s="1812"/>
      <c r="M32" s="1812"/>
      <c r="N32" s="1812"/>
      <c r="O32" s="1812"/>
      <c r="P32" s="1812"/>
      <c r="Q32" s="1812"/>
      <c r="R32" s="1812"/>
      <c r="S32" s="1812"/>
      <c r="T32" s="465" cm="1" t="str">
        <f t="array" ref="T32:T32">T31</f>
        <v>false</v>
      </c>
      <c r="U32" s="1812"/>
      <c r="V32" s="1812"/>
      <c r="W32" s="1812"/>
      <c r="X32" s="1543"/>
      <c r="Y32" s="1812"/>
      <c r="Z32" s="1565"/>
      <c r="AA32" s="1812"/>
      <c r="AB32" s="89" t="s">
        <v>443</v>
      </c>
      <c r="AC32" s="138" t="s">
        <v>1581</v>
      </c>
      <c r="AD32" s="92" t="s">
        <v>1582</v>
      </c>
      <c r="AE32" s="315">
        <f>IF(AE30=0,0,AE29/AE30)</f>
        <v>0</v>
      </c>
      <c r="AF32" s="315">
        <f>IF(AF30=0,0,AF29/AF30)</f>
        <v>0</v>
      </c>
      <c r="AG32" s="315">
        <f>IF(AG30=0,0,AG29/AG30)</f>
        <v>0</v>
      </c>
      <c r="AH32" s="315">
        <f>IF(AH30=0,0,AH29/AH30)</f>
        <v>0</v>
      </c>
      <c r="AI32" s="315">
        <f>IF(AI30=0,0,AI29/AI30)</f>
        <v>0</v>
      </c>
      <c r="AJ32" s="315">
        <f>IF(AJ30=0,0,AJ29/AJ30)</f>
        <v>0</v>
      </c>
      <c r="AK32" s="315">
        <f>IF(AK30=0,0,AK29/AK30)</f>
        <v>0</v>
      </c>
      <c r="AL32" s="315">
        <f>IF(AL30=0,0,AL29/AL30)</f>
        <v>0</v>
      </c>
      <c r="AM32" s="315">
        <f>IF(AM30=0,0,AM29/AM30)</f>
        <v>0</v>
      </c>
      <c r="AN32" s="315">
        <f>IF(AN30=0,0,AN29/AN30)</f>
        <v>0</v>
      </c>
      <c r="AO32" s="315">
        <f>IF(AO30=0,0,AO29/AO30)</f>
        <v>0</v>
      </c>
      <c r="AP32" s="315">
        <f>IF(AP30=0,0,AP29/AP30)</f>
        <v>0</v>
      </c>
      <c r="AQ32" s="315">
        <f>IF(AQ30=0,0,AQ29/AQ30)</f>
        <v>0</v>
      </c>
      <c r="AR32" s="315">
        <f>IF(AR30=0,0,AR29/AR30)</f>
        <v>0</v>
      </c>
      <c r="AS32" s="315">
        <f>IF(AS30=0,0,AS29/AS30)</f>
        <v>0</v>
      </c>
      <c r="AT32" s="315">
        <f>IF(AT30=0,0,AT29/AT30)</f>
        <v>0</v>
      </c>
      <c r="AU32" s="315">
        <f>IF(AU30=0,0,AU29/AU30)</f>
        <v>0</v>
      </c>
      <c r="AV32" s="315">
        <f>IF(AV30=0,0,AV29/AV30)</f>
        <v>0</v>
      </c>
      <c r="AW32" s="315">
        <f>IF(AW30=0,0,AW29/AW30)</f>
        <v>0</v>
      </c>
      <c r="AX32" s="315">
        <f>IF(AX30=0,0,AX29/AX30)</f>
        <v>0</v>
      </c>
      <c r="AY32" s="315">
        <f>IF(AY30=0,0,AY29/AY30)</f>
        <v>0</v>
      </c>
      <c r="AZ32" s="315">
        <f>IF(AZ30=0,0,AZ29/AZ30)</f>
        <v>0</v>
      </c>
      <c r="BA32" s="315">
        <f>IF(BA30=0,0,BA29/BA30)</f>
        <v>0</v>
      </c>
      <c r="BB32" s="315">
        <f>IF(BB30=0,0,BB29/BB30)</f>
        <v>0</v>
      </c>
      <c r="BC32" s="2070"/>
      <c r="BD32" s="1812"/>
      <c r="BE32" s="1812"/>
      <c r="BF32" s="1030" t="s">
        <v>1583</v>
      </c>
      <c r="BG32" s="1030"/>
      <c r="BH32" s="1030"/>
      <c r="BI32" s="1812"/>
      <c r="BJ32" s="267"/>
      <c r="BK32" s="267"/>
    </row>
    <row s="1812" customFormat="1" customHeight="1" ht="12.675000000000002" hidden="1">
      <c r="A33" s="1812"/>
      <c r="B33" s="429"/>
      <c r="C33" s="483"/>
      <c r="D33" s="1812"/>
      <c r="E33" s="267">
        <v>13</v>
      </c>
      <c r="F33" s="50" cm="1" t="str">
        <f t="array" ref="F33:F33">OFFSET(E33,-1,1)</f>
        <v>0</v>
      </c>
      <c r="G33" s="126"/>
      <c r="H33" s="126"/>
      <c r="I33" s="1812"/>
      <c r="J33" s="1812"/>
      <c r="K33" s="1812"/>
      <c r="L33" s="1812"/>
      <c r="M33" s="1812"/>
      <c r="N33" s="1812"/>
      <c r="O33" s="1812"/>
      <c r="P33" s="1812"/>
      <c r="Q33" s="1812"/>
      <c r="R33" s="1812"/>
      <c r="S33" s="1812"/>
      <c r="T33" s="465" cm="1" t="str">
        <f t="array" ref="T33:T33">T32</f>
        <v>false</v>
      </c>
      <c r="U33" s="1812"/>
      <c r="V33" s="1812"/>
      <c r="W33" s="1812"/>
      <c r="X33" s="1543"/>
      <c r="Y33" s="1812"/>
      <c r="Z33" s="1565"/>
      <c r="AA33" s="1812"/>
      <c r="AB33" s="652"/>
      <c r="AC33" s="266" t="s">
        <v>1584</v>
      </c>
      <c r="AD33" s="267"/>
      <c r="AE33" s="268"/>
      <c r="AF33" s="268"/>
      <c r="AG33" s="268"/>
      <c r="AH33" s="268"/>
      <c r="AI33" s="268"/>
      <c r="AJ33" s="268"/>
      <c r="AK33" s="268"/>
      <c r="AL33" s="268"/>
      <c r="AM33" s="268"/>
      <c r="AN33" s="268"/>
      <c r="AO33" s="268"/>
      <c r="AP33" s="268"/>
      <c r="AQ33" s="268"/>
      <c r="AR33" s="268"/>
      <c r="AS33" s="268"/>
      <c r="AT33" s="268"/>
      <c r="AU33" s="268"/>
      <c r="AV33" s="268"/>
      <c r="AW33" s="268"/>
      <c r="AX33" s="268"/>
      <c r="AY33" s="268"/>
      <c r="AZ33" s="268"/>
      <c r="BA33" s="268"/>
      <c r="BB33" s="268"/>
      <c r="BC33" s="269"/>
      <c r="BD33" s="1812"/>
      <c r="BE33" s="1812"/>
      <c r="BF33" s="1030"/>
      <c r="BG33" s="1030"/>
      <c r="BH33" s="1030"/>
      <c r="BI33" s="1812"/>
      <c r="BJ33" s="267"/>
      <c r="BK33" s="267"/>
    </row>
    <row customHeight="1" ht="10.725000000000001" hidden="1">
      <c r="A34" s="1304"/>
      <c r="B34" s="1694"/>
      <c r="C34" s="916"/>
      <c r="D34" s="1304"/>
      <c r="E34" s="1047">
        <v>11</v>
      </c>
      <c r="F34" s="50" cm="1" t="str">
        <f t="array" ref="F34:F34">OFFSET(E34,-1,1)</f>
        <v>0</v>
      </c>
      <c r="G34" s="1545"/>
      <c r="H34" s="1545"/>
      <c r="I34" s="1304"/>
      <c r="J34" s="1304"/>
      <c r="K34" s="1304"/>
      <c r="L34" s="1304"/>
      <c r="M34" s="1304"/>
      <c r="N34" s="1304"/>
      <c r="O34" s="1304"/>
      <c r="P34" s="1304"/>
      <c r="Q34" s="1304"/>
      <c r="R34" s="1304"/>
      <c r="S34" s="1304"/>
      <c r="T34" s="1356">
        <f>AND(F34&gt;0,Y34&gt;0)</f>
        <v>0</v>
      </c>
      <c r="U34" s="1304"/>
      <c r="V34" s="1304"/>
      <c r="W34" s="849" t="s">
        <v>174</v>
      </c>
      <c r="X34" s="1385"/>
      <c r="Y34" s="1641">
        <v>0</v>
      </c>
      <c r="Z34" s="1385"/>
      <c r="AA34" s="1648" t="s">
        <v>175</v>
      </c>
      <c r="AB34" s="1604" t="str">
        <f>"6."&amp;Y34</f>
        <v>6.0</v>
      </c>
      <c r="AC34" s="1695"/>
      <c r="AD34" s="1604"/>
      <c r="AE34" s="355"/>
      <c r="AF34" s="355"/>
      <c r="AG34" s="355"/>
      <c r="AH34" s="355"/>
      <c r="AI34" s="355"/>
      <c r="AJ34" s="355"/>
      <c r="AK34" s="355"/>
      <c r="AL34" s="355"/>
      <c r="AM34" s="355"/>
      <c r="AN34" s="355"/>
      <c r="AO34" s="355"/>
      <c r="AP34" s="355"/>
      <c r="AQ34" s="355"/>
      <c r="AR34" s="355"/>
      <c r="AS34" s="355"/>
      <c r="AT34" s="355"/>
      <c r="AU34" s="355"/>
      <c r="AV34" s="355"/>
      <c r="AW34" s="355"/>
      <c r="AX34" s="355"/>
      <c r="AY34" s="355"/>
      <c r="AZ34" s="355"/>
      <c r="BA34" s="355"/>
      <c r="BB34" s="355"/>
      <c r="BC34" s="355"/>
      <c r="BD34" s="1696"/>
      <c r="BE34" s="1304"/>
      <c r="BF34" s="1046"/>
      <c r="BG34" s="1046"/>
      <c r="BH34" s="1046"/>
      <c r="BI34" s="1809"/>
      <c r="BJ34" s="1047"/>
      <c r="BK34" s="1047"/>
    </row>
    <row s="1812" customFormat="1" customHeight="1" ht="10.96875" hidden="1">
      <c r="A35" s="1812"/>
      <c r="B35" s="429"/>
      <c r="C35" s="483"/>
      <c r="D35" s="1812"/>
      <c r="E35" s="267">
        <v>11.25</v>
      </c>
      <c r="F35" s="50" cm="1" t="str">
        <f t="array" ref="F35:F35">OFFSET(E35,-1,1)</f>
        <v>0</v>
      </c>
      <c r="G35" s="126" t="s">
        <v>1225</v>
      </c>
      <c r="H35" s="126" cm="1" t="str">
        <f t="array" ref="H35:H35">AC35</f>
        <v>0</v>
      </c>
      <c r="I35" s="1812"/>
      <c r="J35" s="1812"/>
      <c r="K35" s="1812"/>
      <c r="L35" s="1812"/>
      <c r="M35" s="1812"/>
      <c r="N35" s="1812"/>
      <c r="O35" s="1812"/>
      <c r="P35" s="1812"/>
      <c r="Q35" s="1812"/>
      <c r="R35" s="1812"/>
      <c r="S35" s="1812"/>
      <c r="T35" s="465" cm="1" t="str">
        <f t="array" ref="T35:T35">T34</f>
        <v>false</v>
      </c>
      <c r="U35" s="1812"/>
      <c r="V35" s="1812"/>
      <c r="W35" s="757"/>
      <c r="X35" s="1543"/>
      <c r="Y35" s="1543">
        <v>0</v>
      </c>
      <c r="Z35" s="1565"/>
      <c r="AA35" s="1494" t="s">
        <v>175</v>
      </c>
      <c r="AB35" s="89" t="str">
        <f>AB34&amp;".1"</f>
        <v>6.0.1</v>
      </c>
      <c r="AC35" s="3257"/>
      <c r="AD35" s="89" t="s">
        <v>1514</v>
      </c>
      <c r="AE35" s="1940"/>
      <c r="AF35" s="1940"/>
      <c r="AG35" s="1940"/>
      <c r="AH35" s="1940"/>
      <c r="AI35" s="1940"/>
      <c r="AJ35" s="1940"/>
      <c r="AK35" s="1940"/>
      <c r="AL35" s="1940"/>
      <c r="AM35" s="1940"/>
      <c r="AN35" s="1940"/>
      <c r="AO35" s="1940"/>
      <c r="AP35" s="1940"/>
      <c r="AQ35" s="1940"/>
      <c r="AR35" s="1940"/>
      <c r="AS35" s="1940"/>
      <c r="AT35" s="1940"/>
      <c r="AU35" s="1940"/>
      <c r="AV35" s="1940"/>
      <c r="AW35" s="1940"/>
      <c r="AX35" s="1940"/>
      <c r="AY35" s="1940"/>
      <c r="AZ35" s="1940"/>
      <c r="BA35" s="1940"/>
      <c r="BB35" s="1940"/>
      <c r="BC35" s="2070"/>
      <c r="BD35" s="1812"/>
      <c r="BE35" s="1812"/>
      <c r="BF35" s="1030" t="s">
        <v>1585</v>
      </c>
      <c r="BG35" s="1030" t="s">
        <v>1586</v>
      </c>
      <c r="BH35" s="1030" cm="1" t="str">
        <f t="array" ref="BH35:BH35">AC35</f>
        <v>0</v>
      </c>
      <c r="BI35" s="1812" cm="1" t="str">
        <f t="array" ref="BI35:BI35">AC34</f>
        <v>0</v>
      </c>
      <c r="BJ35" s="267"/>
      <c r="BK35" s="267" t="b">
        <v>1</v>
      </c>
    </row>
    <row s="1812" customFormat="1" customHeight="1" ht="10.96875" hidden="1">
      <c r="A36" s="1812"/>
      <c r="B36" s="429"/>
      <c r="C36" s="483"/>
      <c r="D36" s="1812"/>
      <c r="E36" s="267">
        <v>11.25</v>
      </c>
      <c r="F36" s="50" cm="1" t="str">
        <f t="array" ref="F36:F36">OFFSET(E36,-1,1)</f>
        <v>0</v>
      </c>
      <c r="G36" s="126" t="s">
        <v>1383</v>
      </c>
      <c r="H36" s="126" cm="1" t="str">
        <f t="array" ref="H36:H36">H35</f>
        <v>0</v>
      </c>
      <c r="I36" s="1812"/>
      <c r="J36" s="1812"/>
      <c r="K36" s="1812"/>
      <c r="L36" s="1812"/>
      <c r="M36" s="1812"/>
      <c r="N36" s="1812"/>
      <c r="O36" s="1812"/>
      <c r="P36" s="1812"/>
      <c r="Q36" s="1812"/>
      <c r="R36" s="1812"/>
      <c r="S36" s="1812"/>
      <c r="T36" s="465" cm="1" t="str">
        <f t="array" ref="T36:T36">T35</f>
        <v>false</v>
      </c>
      <c r="U36" s="1812"/>
      <c r="V36" s="1812"/>
      <c r="W36" s="1812"/>
      <c r="X36" s="1543"/>
      <c r="Y36" s="1543"/>
      <c r="Z36" s="1565"/>
      <c r="AA36" s="1494"/>
      <c r="AB36" s="89" t="str">
        <f>AB34&amp;".2"</f>
        <v>6.0.2</v>
      </c>
      <c r="AC36" s="192" t="s">
        <v>1587</v>
      </c>
      <c r="AD36" s="92" t="s">
        <v>1579</v>
      </c>
      <c r="AE36" s="191">
        <f>IF(OR(AND(AE35&lt;&gt;0,AE37=0),AND(AE35=0,AE37&lt;&gt;0)),"Ошибка",IF(AE37=0,0,AE35/AE37))</f>
        <v>0</v>
      </c>
      <c r="AF36" s="191">
        <f>IF(OR(AND(AF35&lt;&gt;0,AF37=0),AND(AF35=0,AF37&lt;&gt;0)),"Ошибка",IF(AF37=0,0,AF35/AF37))</f>
        <v>0</v>
      </c>
      <c r="AG36" s="191">
        <f>IF(OR(AND(AG35&lt;&gt;0,AG37=0),AND(AG35=0,AG37&lt;&gt;0)),"Ошибка",IF(AG37=0,0,AG35/AG37))</f>
        <v>0</v>
      </c>
      <c r="AH36" s="191">
        <f>IF(OR(AND(AH35&lt;&gt;0,AH37=0),AND(AH35=0,AH37&lt;&gt;0)),"Ошибка",IF(AH37=0,0,AH35/AH37))</f>
        <v>0</v>
      </c>
      <c r="AI36" s="191">
        <f>IF(OR(AND(AI35&lt;&gt;0,AI37=0),AND(AI35=0,AI37&lt;&gt;0)),"Ошибка",IF(AI37=0,0,AI35/AI37))</f>
        <v>0</v>
      </c>
      <c r="AJ36" s="191">
        <f>IF(OR(AND(AJ35&lt;&gt;0,AJ37=0),AND(AJ35=0,AJ37&lt;&gt;0)),"Ошибка",IF(AJ37=0,0,AJ35/AJ37))</f>
        <v>0</v>
      </c>
      <c r="AK36" s="191">
        <f>IF(OR(AND(AK35&lt;&gt;0,AK37=0),AND(AK35=0,AK37&lt;&gt;0)),"Ошибка",IF(AK37=0,0,AK35/AK37))</f>
        <v>0</v>
      </c>
      <c r="AL36" s="191">
        <f>IF(OR(AND(AL35&lt;&gt;0,AL37=0),AND(AL35=0,AL37&lt;&gt;0)),"Ошибка",IF(AL37=0,0,AL35/AL37))</f>
        <v>0</v>
      </c>
      <c r="AM36" s="191">
        <f>IF(OR(AND(AM35&lt;&gt;0,AM37=0),AND(AM35=0,AM37&lt;&gt;0)),"Ошибка",IF(AM37=0,0,AM35/AM37))</f>
        <v>0</v>
      </c>
      <c r="AN36" s="191">
        <f>IF(OR(AND(AN35&lt;&gt;0,AN37=0),AND(AN35=0,AN37&lt;&gt;0)),"Ошибка",IF(AN37=0,0,AN35/AN37))</f>
        <v>0</v>
      </c>
      <c r="AO36" s="191">
        <f>IF(OR(AND(AO35&lt;&gt;0,AO37=0),AND(AO35=0,AO37&lt;&gt;0)),"Ошибка",IF(AO37=0,0,AO35/AO37))</f>
        <v>0</v>
      </c>
      <c r="AP36" s="191">
        <f>IF(OR(AND(AP35&lt;&gt;0,AP37=0),AND(AP35=0,AP37&lt;&gt;0)),"Ошибка",IF(AP37=0,0,AP35/AP37))</f>
        <v>0</v>
      </c>
      <c r="AQ36" s="191">
        <f>IF(OR(AND(AQ35&lt;&gt;0,AQ37=0),AND(AQ35=0,AQ37&lt;&gt;0)),"Ошибка",IF(AQ37=0,0,AQ35/AQ37))</f>
        <v>0</v>
      </c>
      <c r="AR36" s="191">
        <f>IF(OR(AND(AR35&lt;&gt;0,AR37=0),AND(AR35=0,AR37&lt;&gt;0)),"Ошибка",IF(AR37=0,0,AR35/AR37))</f>
        <v>0</v>
      </c>
      <c r="AS36" s="191">
        <f>IF(OR(AND(AS35&lt;&gt;0,AS37=0),AND(AS35=0,AS37&lt;&gt;0)),"Ошибка",IF(AS37=0,0,AS35/AS37))</f>
        <v>0</v>
      </c>
      <c r="AT36" s="191">
        <f>IF(OR(AND(AT35&lt;&gt;0,AT37=0),AND(AT35=0,AT37&lt;&gt;0)),"Ошибка",IF(AT37=0,0,AT35/AT37))</f>
        <v>0</v>
      </c>
      <c r="AU36" s="191">
        <f>IF(OR(AND(AU35&lt;&gt;0,AU37=0),AND(AU35=0,AU37&lt;&gt;0)),"Ошибка",IF(AU37=0,0,AU35/AU37))</f>
        <v>0</v>
      </c>
      <c r="AV36" s="191">
        <f>IF(OR(AND(AV35&lt;&gt;0,AV37=0),AND(AV35=0,AV37&lt;&gt;0)),"Ошибка",IF(AV37=0,0,AV35/AV37))</f>
        <v>0</v>
      </c>
      <c r="AW36" s="191">
        <f>IF(OR(AND(AW35&lt;&gt;0,AW37=0),AND(AW35=0,AW37&lt;&gt;0)),"Ошибка",IF(AW37=0,0,AW35/AW37))</f>
        <v>0</v>
      </c>
      <c r="AX36" s="191">
        <f>IF(OR(AND(AX35&lt;&gt;0,AX37=0),AND(AX35=0,AX37&lt;&gt;0)),"Ошибка",IF(AX37=0,0,AX35/AX37))</f>
        <v>0</v>
      </c>
      <c r="AY36" s="191">
        <f>IF(OR(AND(AY35&lt;&gt;0,AY37=0),AND(AY35=0,AY37&lt;&gt;0)),"Ошибка",IF(AY37=0,0,AY35/AY37))</f>
        <v>0</v>
      </c>
      <c r="AZ36" s="191">
        <f>IF(OR(AND(AZ35&lt;&gt;0,AZ37=0),AND(AZ35=0,AZ37&lt;&gt;0)),"Ошибка",IF(AZ37=0,0,AZ35/AZ37))</f>
        <v>0</v>
      </c>
      <c r="BA36" s="191">
        <f>IF(OR(AND(BA35&lt;&gt;0,BA37=0),AND(BA35=0,BA37&lt;&gt;0)),"Ошибка",IF(BA37=0,0,BA35/BA37))</f>
        <v>0</v>
      </c>
      <c r="BB36" s="191">
        <f>IF(OR(AND(BB35&lt;&gt;0,BB37=0),AND(BB35=0,BB37&lt;&gt;0)),"Ошибка",IF(BB37=0,0,BB35/BB37))</f>
        <v>0</v>
      </c>
      <c r="BC36" s="2070"/>
      <c r="BD36" s="1812"/>
      <c r="BE36" s="1812"/>
      <c r="BF36" s="1030" t="s">
        <v>1588</v>
      </c>
      <c r="BG36" s="1030" t="s">
        <v>1586</v>
      </c>
      <c r="BH36" s="1030" cm="1" t="str">
        <f t="array" ref="BH36:BH36">BH35</f>
        <v>0</v>
      </c>
      <c r="BI36" s="1812" cm="1" t="str">
        <f t="array" ref="BI36:BI36">BI35</f>
        <v>0</v>
      </c>
      <c r="BJ36" s="267"/>
      <c r="BK36" s="267"/>
    </row>
    <row s="1812" customFormat="1" customHeight="1" ht="10.96875" hidden="1">
      <c r="A37" s="1812"/>
      <c r="B37" s="429"/>
      <c r="C37" s="483"/>
      <c r="D37" s="1812"/>
      <c r="E37" s="267">
        <v>11.25</v>
      </c>
      <c r="F37" s="50" cm="1" t="str">
        <f t="array" ref="F37:F37">OFFSET(E37,-1,1)</f>
        <v>0</v>
      </c>
      <c r="G37" s="126" t="s">
        <v>1386</v>
      </c>
      <c r="H37" s="126" cm="1" t="str">
        <f t="array" ref="H37:H37">H36</f>
        <v>0</v>
      </c>
      <c r="I37" s="1812"/>
      <c r="J37" s="1812"/>
      <c r="K37" s="1812"/>
      <c r="L37" s="1812"/>
      <c r="M37" s="1812"/>
      <c r="N37" s="1812"/>
      <c r="O37" s="1812"/>
      <c r="P37" s="1812"/>
      <c r="Q37" s="1812"/>
      <c r="R37" s="1812"/>
      <c r="S37" s="1812"/>
      <c r="T37" s="465" cm="1" t="str">
        <f t="array" ref="T37:T37">T36</f>
        <v>false</v>
      </c>
      <c r="U37" s="1812"/>
      <c r="V37" s="1812"/>
      <c r="W37" s="1812"/>
      <c r="X37" s="1543"/>
      <c r="Y37" s="1543"/>
      <c r="Z37" s="1565"/>
      <c r="AA37" s="1494"/>
      <c r="AB37" s="89" t="str">
        <f>AB34&amp;".3"</f>
        <v>6.0.3</v>
      </c>
      <c r="AC37" s="192" t="s">
        <v>1589</v>
      </c>
      <c r="AD37" s="92" t="s">
        <v>1573</v>
      </c>
      <c r="AE37" s="1940"/>
      <c r="AF37" s="1940"/>
      <c r="AG37" s="1940"/>
      <c r="AH37" s="1940"/>
      <c r="AI37" s="1940"/>
      <c r="AJ37" s="1940"/>
      <c r="AK37" s="1940"/>
      <c r="AL37" s="1940"/>
      <c r="AM37" s="1940"/>
      <c r="AN37" s="1940"/>
      <c r="AO37" s="1940"/>
      <c r="AP37" s="1940"/>
      <c r="AQ37" s="1940"/>
      <c r="AR37" s="1940"/>
      <c r="AS37" s="1940"/>
      <c r="AT37" s="1940"/>
      <c r="AU37" s="1940"/>
      <c r="AV37" s="1940"/>
      <c r="AW37" s="1940"/>
      <c r="AX37" s="1940"/>
      <c r="AY37" s="1940"/>
      <c r="AZ37" s="1940"/>
      <c r="BA37" s="1940"/>
      <c r="BB37" s="1940"/>
      <c r="BC37" s="2070"/>
      <c r="BD37" s="1812"/>
      <c r="BE37" s="1812"/>
      <c r="BF37" s="1030" t="s">
        <v>1590</v>
      </c>
      <c r="BG37" s="1030" t="s">
        <v>1586</v>
      </c>
      <c r="BH37" s="1030" cm="1" t="str">
        <f t="array" ref="BH37:BH37">BH36</f>
        <v>0</v>
      </c>
      <c r="BI37" s="1812" cm="1" t="str">
        <f t="array" ref="BI37:BI37">BI36</f>
        <v>0</v>
      </c>
      <c r="BJ37" s="267"/>
      <c r="BK37" s="267"/>
    </row>
    <row s="1426" customFormat="1" customHeight="1" ht="14.625" hidden="1">
      <c r="A38" s="1426"/>
      <c r="B38" s="427"/>
      <c r="C38" s="483"/>
      <c r="D38" s="1426"/>
      <c r="E38" s="633">
        <v>15</v>
      </c>
      <c r="F38" s="50" cm="1" t="str">
        <f t="array" ref="F38:F38">OFFSET(E38,-1,1)</f>
        <v>0</v>
      </c>
      <c r="G38" s="1426"/>
      <c r="H38" s="957" t="s">
        <v>1591</v>
      </c>
      <c r="I38" s="1426"/>
      <c r="J38" s="1426"/>
      <c r="K38" s="1426"/>
      <c r="L38" s="1426"/>
      <c r="M38" s="1426"/>
      <c r="N38" s="1426"/>
      <c r="O38" s="1426"/>
      <c r="P38" s="1426"/>
      <c r="Q38" s="1426"/>
      <c r="R38" s="1426"/>
      <c r="S38" s="1426"/>
      <c r="T38" s="465">
        <f>F38&gt;0</f>
        <v>0</v>
      </c>
      <c r="U38" s="1426"/>
      <c r="V38" s="1426"/>
      <c r="W38" s="757" t="s">
        <v>399</v>
      </c>
      <c r="X38" s="1543"/>
      <c r="Y38" s="1426"/>
      <c r="Z38" s="1565"/>
      <c r="AA38" s="1426"/>
      <c r="AB38" s="653"/>
      <c r="AC38" s="178" t="s">
        <v>178</v>
      </c>
      <c r="AD38" s="176"/>
      <c r="AE38" s="176"/>
      <c r="AF38" s="176"/>
      <c r="AG38" s="176"/>
      <c r="AH38" s="176"/>
      <c r="AI38" s="176"/>
      <c r="AJ38" s="176"/>
      <c r="AK38" s="176"/>
      <c r="AL38" s="176"/>
      <c r="AM38" s="176"/>
      <c r="AN38" s="176"/>
      <c r="AO38" s="176"/>
      <c r="AP38" s="176"/>
      <c r="AQ38" s="176"/>
      <c r="AR38" s="176"/>
      <c r="AS38" s="176"/>
      <c r="AT38" s="176"/>
      <c r="AU38" s="176"/>
      <c r="AV38" s="176"/>
      <c r="AW38" s="176"/>
      <c r="AX38" s="176"/>
      <c r="AY38" s="176"/>
      <c r="AZ38" s="176"/>
      <c r="BA38" s="176"/>
      <c r="BB38" s="176"/>
      <c r="BC38" s="187"/>
      <c r="BD38" s="1426"/>
      <c r="BE38" s="1426"/>
      <c r="BF38" s="1018"/>
      <c r="BG38" s="1018"/>
      <c r="BH38" s="1018"/>
      <c r="BI38" s="1426"/>
      <c r="BJ38" s="633" t="s">
        <v>1586</v>
      </c>
      <c r="BK38" s="633"/>
    </row>
    <row s="1812" customFormat="1" customHeight="1" ht="12.675000000000002" hidden="1">
      <c r="A39" s="1812"/>
      <c r="B39" s="429"/>
      <c r="C39" s="483"/>
      <c r="D39" s="1812"/>
      <c r="E39" s="267">
        <v>13</v>
      </c>
      <c r="F39" s="50" cm="1" t="str">
        <f t="array" ref="F39:F39">OFFSET(E39,-1,1)</f>
        <v>0</v>
      </c>
      <c r="G39" s="126"/>
      <c r="H39" s="126"/>
      <c r="I39" s="1812"/>
      <c r="J39" s="1812"/>
      <c r="K39" s="1812"/>
      <c r="L39" s="1812"/>
      <c r="M39" s="1812"/>
      <c r="N39" s="1812"/>
      <c r="O39" s="1812"/>
      <c r="P39" s="1812"/>
      <c r="Q39" s="1812"/>
      <c r="R39" s="1812"/>
      <c r="S39" s="1812"/>
      <c r="T39" s="465" cm="1" t="str">
        <f t="array" ref="T39:T39">T38</f>
        <v>false</v>
      </c>
      <c r="U39" s="1812"/>
      <c r="V39" s="1812"/>
      <c r="W39" s="1812"/>
      <c r="X39" s="1543"/>
      <c r="Y39" s="1812"/>
      <c r="Z39" s="1565"/>
      <c r="AA39" s="1812"/>
      <c r="AB39" s="652"/>
      <c r="AC39" s="266" t="s">
        <v>1592</v>
      </c>
      <c r="AD39" s="267"/>
      <c r="AE39" s="268"/>
      <c r="AF39" s="268"/>
      <c r="AG39" s="268"/>
      <c r="AH39" s="268"/>
      <c r="AI39" s="268"/>
      <c r="AJ39" s="268"/>
      <c r="AK39" s="268"/>
      <c r="AL39" s="268"/>
      <c r="AM39" s="268"/>
      <c r="AN39" s="268"/>
      <c r="AO39" s="268"/>
      <c r="AP39" s="268"/>
      <c r="AQ39" s="268"/>
      <c r="AR39" s="268"/>
      <c r="AS39" s="268"/>
      <c r="AT39" s="268"/>
      <c r="AU39" s="268"/>
      <c r="AV39" s="268"/>
      <c r="AW39" s="268"/>
      <c r="AX39" s="268"/>
      <c r="AY39" s="268"/>
      <c r="AZ39" s="268"/>
      <c r="BA39" s="268"/>
      <c r="BB39" s="268"/>
      <c r="BC39" s="269"/>
      <c r="BD39" s="1812"/>
      <c r="BE39" s="1812"/>
      <c r="BF39" s="1030"/>
      <c r="BG39" s="1030"/>
      <c r="BH39" s="1030"/>
      <c r="BI39" s="1812"/>
      <c r="BJ39" s="267"/>
      <c r="BK39" s="267"/>
    </row>
    <row customHeight="1" ht="10.725000000000001" hidden="1">
      <c r="A40" s="1304"/>
      <c r="B40" s="1694"/>
      <c r="C40" s="916"/>
      <c r="D40" s="1304"/>
      <c r="E40" s="1047">
        <v>11</v>
      </c>
      <c r="F40" s="50" cm="1" t="str">
        <f t="array" ref="F40:F40">OFFSET(E40,-1,1)</f>
        <v>0</v>
      </c>
      <c r="G40" s="1545"/>
      <c r="H40" s="1545"/>
      <c r="I40" s="1304"/>
      <c r="J40" s="1304"/>
      <c r="K40" s="1304"/>
      <c r="L40" s="1304"/>
      <c r="M40" s="1304"/>
      <c r="N40" s="1304"/>
      <c r="O40" s="1304"/>
      <c r="P40" s="1304"/>
      <c r="Q40" s="1304"/>
      <c r="R40" s="1304"/>
      <c r="S40" s="1304"/>
      <c r="T40" s="1356">
        <f>AND(F40&gt;0,Y40&gt;0)</f>
        <v>0</v>
      </c>
      <c r="U40" s="1304"/>
      <c r="V40" s="1304"/>
      <c r="W40" s="849" t="s">
        <v>174</v>
      </c>
      <c r="X40" s="1385"/>
      <c r="Y40" s="1641">
        <v>0</v>
      </c>
      <c r="Z40" s="1385"/>
      <c r="AA40" s="1648" t="s">
        <v>175</v>
      </c>
      <c r="AB40" s="1604" t="str">
        <f>"7."&amp;Y40</f>
        <v>7.0</v>
      </c>
      <c r="AC40" s="1695"/>
      <c r="AD40" s="1564"/>
      <c r="AE40" s="355"/>
      <c r="AF40" s="355"/>
      <c r="AG40" s="355"/>
      <c r="AH40" s="355"/>
      <c r="AI40" s="355"/>
      <c r="AJ40" s="355"/>
      <c r="AK40" s="355"/>
      <c r="AL40" s="355"/>
      <c r="AM40" s="355"/>
      <c r="AN40" s="355"/>
      <c r="AO40" s="355"/>
      <c r="AP40" s="355"/>
      <c r="AQ40" s="355"/>
      <c r="AR40" s="355"/>
      <c r="AS40" s="355"/>
      <c r="AT40" s="355"/>
      <c r="AU40" s="355"/>
      <c r="AV40" s="355"/>
      <c r="AW40" s="355"/>
      <c r="AX40" s="355"/>
      <c r="AY40" s="355"/>
      <c r="AZ40" s="355"/>
      <c r="BA40" s="355"/>
      <c r="BB40" s="355"/>
      <c r="BC40" s="355"/>
      <c r="BD40" s="1696"/>
      <c r="BE40" s="1304"/>
      <c r="BF40" s="1046"/>
      <c r="BG40" s="1046"/>
      <c r="BH40" s="1046"/>
      <c r="BI40" s="1809"/>
      <c r="BJ40" s="1047"/>
      <c r="BK40" s="1047"/>
    </row>
    <row s="1812" customFormat="1" customHeight="1" ht="10.96875" hidden="1">
      <c r="A41" s="1812"/>
      <c r="B41" s="429"/>
      <c r="C41" s="483"/>
      <c r="D41" s="1812"/>
      <c r="E41" s="267">
        <v>11.25</v>
      </c>
      <c r="F41" s="50" cm="1" t="str">
        <f t="array" ref="F41:F41">OFFSET(E41,-1,1)</f>
        <v>0</v>
      </c>
      <c r="G41" s="126" t="s">
        <v>1225</v>
      </c>
      <c r="H41" s="126" cm="1" t="str">
        <f t="array" ref="H41:H41">AC41</f>
        <v>0</v>
      </c>
      <c r="I41" s="1812"/>
      <c r="J41" s="1812"/>
      <c r="K41" s="1812"/>
      <c r="L41" s="1812"/>
      <c r="M41" s="1812"/>
      <c r="N41" s="1812"/>
      <c r="O41" s="1812"/>
      <c r="P41" s="1812"/>
      <c r="Q41" s="1812"/>
      <c r="R41" s="1812"/>
      <c r="S41" s="1812"/>
      <c r="T41" s="465" cm="1" t="str">
        <f t="array" ref="T41:T41">T40</f>
        <v>false</v>
      </c>
      <c r="U41" s="1812"/>
      <c r="V41" s="1812"/>
      <c r="W41" s="757"/>
      <c r="X41" s="1543"/>
      <c r="Y41" s="1543">
        <v>0</v>
      </c>
      <c r="Z41" s="1565"/>
      <c r="AA41" s="1494" t="s">
        <v>175</v>
      </c>
      <c r="AB41" s="89" t="str">
        <f>AB40&amp;".1"</f>
        <v>7.0.1</v>
      </c>
      <c r="AC41" s="3257"/>
      <c r="AD41" s="89" t="s">
        <v>1514</v>
      </c>
      <c r="AE41" s="191">
        <f>AE42+AE45</f>
        <v>0</v>
      </c>
      <c r="AF41" s="191">
        <f>AF42+AF45</f>
        <v>0</v>
      </c>
      <c r="AG41" s="191">
        <f>AG42+AG45</f>
        <v>0</v>
      </c>
      <c r="AH41" s="191">
        <f>AH42+AH45</f>
        <v>0</v>
      </c>
      <c r="AI41" s="191">
        <f>AI42+AI45</f>
        <v>0</v>
      </c>
      <c r="AJ41" s="191">
        <f>AJ42+AJ45</f>
        <v>0</v>
      </c>
      <c r="AK41" s="191">
        <f>AK42+AK45</f>
        <v>0</v>
      </c>
      <c r="AL41" s="191">
        <f>AL42+AL45</f>
        <v>0</v>
      </c>
      <c r="AM41" s="191">
        <f>AM42+AM45</f>
        <v>0</v>
      </c>
      <c r="AN41" s="191">
        <f>AN42+AN45</f>
        <v>0</v>
      </c>
      <c r="AO41" s="191">
        <f>AO42+AO45</f>
        <v>0</v>
      </c>
      <c r="AP41" s="191">
        <f>AP42+AP45</f>
        <v>0</v>
      </c>
      <c r="AQ41" s="191">
        <f>AQ42+AQ45</f>
        <v>0</v>
      </c>
      <c r="AR41" s="191">
        <f>AR42+AR45</f>
        <v>0</v>
      </c>
      <c r="AS41" s="191">
        <f>AS42+AS45</f>
        <v>0</v>
      </c>
      <c r="AT41" s="191">
        <f>AT42+AT45</f>
        <v>0</v>
      </c>
      <c r="AU41" s="191">
        <f>AU42+AU45</f>
        <v>0</v>
      </c>
      <c r="AV41" s="191">
        <f>AV42+AV45</f>
        <v>0</v>
      </c>
      <c r="AW41" s="191">
        <f>AW42+AW45</f>
        <v>0</v>
      </c>
      <c r="AX41" s="191">
        <f>AX42+AX45</f>
        <v>0</v>
      </c>
      <c r="AY41" s="191">
        <f>AY42+AY45</f>
        <v>0</v>
      </c>
      <c r="AZ41" s="191">
        <f>AZ42+AZ45</f>
        <v>0</v>
      </c>
      <c r="BA41" s="191">
        <f>BA42+BA45</f>
        <v>0</v>
      </c>
      <c r="BB41" s="191">
        <f>BB42+BB45</f>
        <v>0</v>
      </c>
      <c r="BC41" s="2070"/>
      <c r="BD41" s="1812"/>
      <c r="BE41" s="1812"/>
      <c r="BF41" s="1030" t="s">
        <v>1593</v>
      </c>
      <c r="BG41" s="1030" t="s">
        <v>1594</v>
      </c>
      <c r="BH41" s="1030" cm="1" t="str">
        <f t="array" ref="BH41:BH41">AC41</f>
        <v>0</v>
      </c>
      <c r="BI41" s="1812" cm="1" t="str">
        <f t="array" ref="BI41:BI41">AC40</f>
        <v>0</v>
      </c>
      <c r="BJ41" s="267"/>
      <c r="BK41" s="267" t="b">
        <v>1</v>
      </c>
    </row>
    <row s="1812" customFormat="1" customHeight="1" ht="10.96875" hidden="1">
      <c r="A42" s="1812"/>
      <c r="B42" s="429"/>
      <c r="C42" s="483"/>
      <c r="D42" s="1812"/>
      <c r="E42" s="267">
        <v>11.25</v>
      </c>
      <c r="F42" s="50" cm="1" t="str">
        <f t="array" ref="F42:F42">OFFSET(E42,-1,1)</f>
        <v>0</v>
      </c>
      <c r="G42" s="126" t="s">
        <v>1390</v>
      </c>
      <c r="H42" s="126" cm="1" t="str">
        <f t="array" ref="H42:H42">H41</f>
        <v>0</v>
      </c>
      <c r="I42" s="1812"/>
      <c r="J42" s="1812"/>
      <c r="K42" s="1812"/>
      <c r="L42" s="1812"/>
      <c r="M42" s="1812"/>
      <c r="N42" s="1812"/>
      <c r="O42" s="1812"/>
      <c r="P42" s="1812"/>
      <c r="Q42" s="1812"/>
      <c r="R42" s="1812"/>
      <c r="S42" s="1812"/>
      <c r="T42" s="465" cm="1" t="str">
        <f t="array" ref="T42:T42">T41</f>
        <v>false</v>
      </c>
      <c r="U42" s="1812"/>
      <c r="V42" s="1812"/>
      <c r="W42" s="1812"/>
      <c r="X42" s="1543"/>
      <c r="Y42" s="1543"/>
      <c r="Z42" s="1565"/>
      <c r="AA42" s="1494"/>
      <c r="AB42" s="89" t="str">
        <f>AB40&amp;".2"</f>
        <v>7.0.2</v>
      </c>
      <c r="AC42" s="192" t="s">
        <v>1595</v>
      </c>
      <c r="AD42" s="89" t="s">
        <v>1596</v>
      </c>
      <c r="AE42" s="1940"/>
      <c r="AF42" s="1940"/>
      <c r="AG42" s="1940"/>
      <c r="AH42" s="1940"/>
      <c r="AI42" s="1940"/>
      <c r="AJ42" s="1940"/>
      <c r="AK42" s="1940"/>
      <c r="AL42" s="1940"/>
      <c r="AM42" s="1940"/>
      <c r="AN42" s="1940"/>
      <c r="AO42" s="1940"/>
      <c r="AP42" s="1940"/>
      <c r="AQ42" s="1940"/>
      <c r="AR42" s="1940"/>
      <c r="AS42" s="1940"/>
      <c r="AT42" s="1940"/>
      <c r="AU42" s="1940"/>
      <c r="AV42" s="1940"/>
      <c r="AW42" s="1940"/>
      <c r="AX42" s="1940"/>
      <c r="AY42" s="1940"/>
      <c r="AZ42" s="1940"/>
      <c r="BA42" s="1940"/>
      <c r="BB42" s="1940"/>
      <c r="BC42" s="2070"/>
      <c r="BD42" s="1812"/>
      <c r="BE42" s="1812"/>
      <c r="BF42" s="1030" t="s">
        <v>1597</v>
      </c>
      <c r="BG42" s="1030" t="s">
        <v>1594</v>
      </c>
      <c r="BH42" s="1030" cm="1" t="str">
        <f t="array" ref="BH42:BH42">BH41</f>
        <v>0</v>
      </c>
      <c r="BI42" s="1812" cm="1" t="str">
        <f t="array" ref="BI42:BI42">BI41</f>
        <v>0</v>
      </c>
      <c r="BJ42" s="267"/>
      <c r="BK42" s="267"/>
    </row>
    <row s="1812" customFormat="1" customHeight="1" ht="10.96875" hidden="1">
      <c r="A43" s="1812"/>
      <c r="B43" s="429"/>
      <c r="C43" s="483"/>
      <c r="D43" s="1812"/>
      <c r="E43" s="267">
        <v>11.25</v>
      </c>
      <c r="F43" s="50" cm="1" t="str">
        <f t="array" ref="F43:F43">OFFSET(E43,-1,1)</f>
        <v>0</v>
      </c>
      <c r="G43" s="126" t="s">
        <v>1598</v>
      </c>
      <c r="H43" s="126" cm="1" t="str">
        <f t="array" ref="H43:H43">H42</f>
        <v>0</v>
      </c>
      <c r="I43" s="1812"/>
      <c r="J43" s="1812"/>
      <c r="K43" s="1812"/>
      <c r="L43" s="1812"/>
      <c r="M43" s="1812"/>
      <c r="N43" s="1812"/>
      <c r="O43" s="1812"/>
      <c r="P43" s="1812"/>
      <c r="Q43" s="1812"/>
      <c r="R43" s="1812"/>
      <c r="S43" s="1812"/>
      <c r="T43" s="465" cm="1" t="str">
        <f t="array" ref="T43:T43">T42</f>
        <v>false</v>
      </c>
      <c r="U43" s="1812"/>
      <c r="V43" s="1812"/>
      <c r="W43" s="1812"/>
      <c r="X43" s="1543"/>
      <c r="Y43" s="1543"/>
      <c r="Z43" s="1565"/>
      <c r="AA43" s="1494"/>
      <c r="AB43" s="89" t="str">
        <f>AB40&amp;".3"</f>
        <v>7.0.3</v>
      </c>
      <c r="AC43" s="332" t="s">
        <v>1587</v>
      </c>
      <c r="AD43" s="92" t="s">
        <v>1579</v>
      </c>
      <c r="AE43" s="191">
        <f>IF(OR(AND(AE42&lt;&gt;0,AE44=0),AND(AE42=0,AE44&lt;&gt;0)),"Ошибка",IF(AE44=0,0,AE42/AE44))</f>
        <v>0</v>
      </c>
      <c r="AF43" s="191">
        <f>IF(OR(AND(AF42&lt;&gt;0,AF44=0),AND(AF42=0,AF44&lt;&gt;0)),"Ошибка",IF(AF44=0,0,AF42/AF44))</f>
        <v>0</v>
      </c>
      <c r="AG43" s="191">
        <f>IF(OR(AND(AG42&lt;&gt;0,AG44=0),AND(AG42=0,AG44&lt;&gt;0)),"Ошибка",IF(AG44=0,0,AG42/AG44))</f>
        <v>0</v>
      </c>
      <c r="AH43" s="191">
        <f>IF(OR(AND(AH42&lt;&gt;0,AH44=0),AND(AH42=0,AH44&lt;&gt;0)),"Ошибка",IF(AH44=0,0,AH42/AH44))</f>
        <v>0</v>
      </c>
      <c r="AI43" s="191">
        <f>IF(OR(AND(AI42&lt;&gt;0,AI44=0),AND(AI42=0,AI44&lt;&gt;0)),"Ошибка",IF(AI44=0,0,AI42/AI44))</f>
        <v>0</v>
      </c>
      <c r="AJ43" s="191">
        <f>IF(OR(AND(AJ42&lt;&gt;0,AJ44=0),AND(AJ42=0,AJ44&lt;&gt;0)),"Ошибка",IF(AJ44=0,0,AJ42/AJ44))</f>
        <v>0</v>
      </c>
      <c r="AK43" s="191">
        <f>IF(OR(AND(AK42&lt;&gt;0,AK44=0),AND(AK42=0,AK44&lt;&gt;0)),"Ошибка",IF(AK44=0,0,AK42/AK44))</f>
        <v>0</v>
      </c>
      <c r="AL43" s="191">
        <f>IF(OR(AND(AL42&lt;&gt;0,AL44=0),AND(AL42=0,AL44&lt;&gt;0)),"Ошибка",IF(AL44=0,0,AL42/AL44))</f>
        <v>0</v>
      </c>
      <c r="AM43" s="191">
        <f>IF(OR(AND(AM42&lt;&gt;0,AM44=0),AND(AM42=0,AM44&lt;&gt;0)),"Ошибка",IF(AM44=0,0,AM42/AM44))</f>
        <v>0</v>
      </c>
      <c r="AN43" s="191">
        <f>IF(OR(AND(AN42&lt;&gt;0,AN44=0),AND(AN42=0,AN44&lt;&gt;0)),"Ошибка",IF(AN44=0,0,AN42/AN44))</f>
        <v>0</v>
      </c>
      <c r="AO43" s="191">
        <f>IF(OR(AND(AO42&lt;&gt;0,AO44=0),AND(AO42=0,AO44&lt;&gt;0)),"Ошибка",IF(AO44=0,0,AO42/AO44))</f>
        <v>0</v>
      </c>
      <c r="AP43" s="191">
        <f>IF(OR(AND(AP42&lt;&gt;0,AP44=0),AND(AP42=0,AP44&lt;&gt;0)),"Ошибка",IF(AP44=0,0,AP42/AP44))</f>
        <v>0</v>
      </c>
      <c r="AQ43" s="191">
        <f>IF(OR(AND(AQ42&lt;&gt;0,AQ44=0),AND(AQ42=0,AQ44&lt;&gt;0)),"Ошибка",IF(AQ44=0,0,AQ42/AQ44))</f>
        <v>0</v>
      </c>
      <c r="AR43" s="191">
        <f>IF(OR(AND(AR42&lt;&gt;0,AR44=0),AND(AR42=0,AR44&lt;&gt;0)),"Ошибка",IF(AR44=0,0,AR42/AR44))</f>
        <v>0</v>
      </c>
      <c r="AS43" s="191">
        <f>IF(OR(AND(AS42&lt;&gt;0,AS44=0),AND(AS42=0,AS44&lt;&gt;0)),"Ошибка",IF(AS44=0,0,AS42/AS44))</f>
        <v>0</v>
      </c>
      <c r="AT43" s="191">
        <f>IF(OR(AND(AT42&lt;&gt;0,AT44=0),AND(AT42=0,AT44&lt;&gt;0)),"Ошибка",IF(AT44=0,0,AT42/AT44))</f>
        <v>0</v>
      </c>
      <c r="AU43" s="191">
        <f>IF(OR(AND(AU42&lt;&gt;0,AU44=0),AND(AU42=0,AU44&lt;&gt;0)),"Ошибка",IF(AU44=0,0,AU42/AU44))</f>
        <v>0</v>
      </c>
      <c r="AV43" s="191">
        <f>IF(OR(AND(AV42&lt;&gt;0,AV44=0),AND(AV42=0,AV44&lt;&gt;0)),"Ошибка",IF(AV44=0,0,AV42/AV44))</f>
        <v>0</v>
      </c>
      <c r="AW43" s="191">
        <f>IF(OR(AND(AW42&lt;&gt;0,AW44=0),AND(AW42=0,AW44&lt;&gt;0)),"Ошибка",IF(AW44=0,0,AW42/AW44))</f>
        <v>0</v>
      </c>
      <c r="AX43" s="191">
        <f>IF(OR(AND(AX42&lt;&gt;0,AX44=0),AND(AX42=0,AX44&lt;&gt;0)),"Ошибка",IF(AX44=0,0,AX42/AX44))</f>
        <v>0</v>
      </c>
      <c r="AY43" s="191">
        <f>IF(OR(AND(AY42&lt;&gt;0,AY44=0),AND(AY42=0,AY44&lt;&gt;0)),"Ошибка",IF(AY44=0,0,AY42/AY44))</f>
        <v>0</v>
      </c>
      <c r="AZ43" s="191">
        <f>IF(OR(AND(AZ42&lt;&gt;0,AZ44=0),AND(AZ42=0,AZ44&lt;&gt;0)),"Ошибка",IF(AZ44=0,0,AZ42/AZ44))</f>
        <v>0</v>
      </c>
      <c r="BA43" s="191">
        <f>IF(OR(AND(BA42&lt;&gt;0,BA44=0),AND(BA42=0,BA44&lt;&gt;0)),"Ошибка",IF(BA44=0,0,BA42/BA44))</f>
        <v>0</v>
      </c>
      <c r="BB43" s="191">
        <f>IF(OR(AND(BB42&lt;&gt;0,BB44=0),AND(BB42=0,BB44&lt;&gt;0)),"Ошибка",IF(BB44=0,0,BB42/BB44))</f>
        <v>0</v>
      </c>
      <c r="BC43" s="2070"/>
      <c r="BD43" s="1812"/>
      <c r="BE43" s="1812"/>
      <c r="BF43" s="1030" t="s">
        <v>1599</v>
      </c>
      <c r="BG43" s="1030" t="s">
        <v>1594</v>
      </c>
      <c r="BH43" s="1030" cm="1" t="str">
        <f t="array" ref="BH43:BH43">BH42</f>
        <v>0</v>
      </c>
      <c r="BI43" s="1812" cm="1" t="str">
        <f t="array" ref="BI43:BI43">BI42</f>
        <v>0</v>
      </c>
      <c r="BJ43" s="267"/>
      <c r="BK43" s="267"/>
    </row>
    <row s="1812" customFormat="1" customHeight="1" ht="10.96875" hidden="1">
      <c r="A44" s="1812"/>
      <c r="B44" s="429"/>
      <c r="C44" s="483"/>
      <c r="D44" s="1812"/>
      <c r="E44" s="267">
        <v>11.25</v>
      </c>
      <c r="F44" s="50" cm="1" t="str">
        <f t="array" ref="F44:F44">OFFSET(E44,-1,1)</f>
        <v>0</v>
      </c>
      <c r="G44" s="126" t="s">
        <v>1600</v>
      </c>
      <c r="H44" s="126" cm="1" t="str">
        <f t="array" ref="H44:H44">H43</f>
        <v>0</v>
      </c>
      <c r="I44" s="1812"/>
      <c r="J44" s="1812"/>
      <c r="K44" s="1812"/>
      <c r="L44" s="1812"/>
      <c r="M44" s="1812"/>
      <c r="N44" s="1812"/>
      <c r="O44" s="1812"/>
      <c r="P44" s="1812"/>
      <c r="Q44" s="1812"/>
      <c r="R44" s="1812"/>
      <c r="S44" s="1812"/>
      <c r="T44" s="465" cm="1" t="str">
        <f t="array" ref="T44:T44">T43</f>
        <v>false</v>
      </c>
      <c r="U44" s="1812"/>
      <c r="V44" s="1812"/>
      <c r="W44" s="1812"/>
      <c r="X44" s="1543"/>
      <c r="Y44" s="1543"/>
      <c r="Z44" s="1565"/>
      <c r="AA44" s="1494"/>
      <c r="AB44" s="89" t="str">
        <f>AB40&amp;".4"</f>
        <v>7.0.4</v>
      </c>
      <c r="AC44" s="332" t="s">
        <v>1589</v>
      </c>
      <c r="AD44" s="92" t="s">
        <v>1573</v>
      </c>
      <c r="AE44" s="1940"/>
      <c r="AF44" s="1940"/>
      <c r="AG44" s="1940"/>
      <c r="AH44" s="1940"/>
      <c r="AI44" s="1940"/>
      <c r="AJ44" s="1940"/>
      <c r="AK44" s="1940"/>
      <c r="AL44" s="1940"/>
      <c r="AM44" s="1940"/>
      <c r="AN44" s="1940"/>
      <c r="AO44" s="1940"/>
      <c r="AP44" s="1940"/>
      <c r="AQ44" s="1940"/>
      <c r="AR44" s="1940"/>
      <c r="AS44" s="1940"/>
      <c r="AT44" s="1940"/>
      <c r="AU44" s="1940"/>
      <c r="AV44" s="1940"/>
      <c r="AW44" s="1940"/>
      <c r="AX44" s="1940"/>
      <c r="AY44" s="1940"/>
      <c r="AZ44" s="1940"/>
      <c r="BA44" s="1940"/>
      <c r="BB44" s="1940"/>
      <c r="BC44" s="2070"/>
      <c r="BD44" s="1812"/>
      <c r="BE44" s="1812"/>
      <c r="BF44" s="1030" t="s">
        <v>1601</v>
      </c>
      <c r="BG44" s="1030" t="s">
        <v>1594</v>
      </c>
      <c r="BH44" s="1030" cm="1" t="str">
        <f t="array" ref="BH44:BH44">BH43</f>
        <v>0</v>
      </c>
      <c r="BI44" s="1812" cm="1" t="str">
        <f t="array" ref="BI44:BI44">BI43</f>
        <v>0</v>
      </c>
      <c r="BJ44" s="267"/>
      <c r="BK44" s="267"/>
    </row>
    <row s="1812" customFormat="1" customHeight="1" ht="10.96875" hidden="1">
      <c r="A45" s="1812"/>
      <c r="B45" s="429"/>
      <c r="C45" s="483"/>
      <c r="D45" s="1812"/>
      <c r="E45" s="267">
        <v>11.25</v>
      </c>
      <c r="F45" s="50" cm="1" t="str">
        <f t="array" ref="F45:F45">OFFSET(E45,-1,1)</f>
        <v>0</v>
      </c>
      <c r="G45" s="126" t="s">
        <v>1393</v>
      </c>
      <c r="H45" s="126" cm="1" t="str">
        <f t="array" ref="H45:H45">H44</f>
        <v>0</v>
      </c>
      <c r="I45" s="1812"/>
      <c r="J45" s="1812"/>
      <c r="K45" s="1812"/>
      <c r="L45" s="1812"/>
      <c r="M45" s="1812"/>
      <c r="N45" s="1812"/>
      <c r="O45" s="1812"/>
      <c r="P45" s="1812"/>
      <c r="Q45" s="1812"/>
      <c r="R45" s="1812"/>
      <c r="S45" s="1812"/>
      <c r="T45" s="465" cm="1" t="str">
        <f t="array" ref="T45:T45">T44</f>
        <v>false</v>
      </c>
      <c r="U45" s="1812"/>
      <c r="V45" s="1812"/>
      <c r="W45" s="1812"/>
      <c r="X45" s="1543"/>
      <c r="Y45" s="1543"/>
      <c r="Z45" s="1565"/>
      <c r="AA45" s="1494"/>
      <c r="AB45" s="89" t="str">
        <f>AB40&amp;".5"</f>
        <v>7.0.5</v>
      </c>
      <c r="AC45" s="192" t="s">
        <v>1602</v>
      </c>
      <c r="AD45" s="89" t="s">
        <v>1596</v>
      </c>
      <c r="AE45" s="1940"/>
      <c r="AF45" s="1940"/>
      <c r="AG45" s="1940"/>
      <c r="AH45" s="1940"/>
      <c r="AI45" s="1940"/>
      <c r="AJ45" s="1940"/>
      <c r="AK45" s="1940"/>
      <c r="AL45" s="1940"/>
      <c r="AM45" s="1940"/>
      <c r="AN45" s="1940"/>
      <c r="AO45" s="1940"/>
      <c r="AP45" s="1940"/>
      <c r="AQ45" s="1940"/>
      <c r="AR45" s="1940"/>
      <c r="AS45" s="1940"/>
      <c r="AT45" s="1940"/>
      <c r="AU45" s="1940"/>
      <c r="AV45" s="1940"/>
      <c r="AW45" s="1940"/>
      <c r="AX45" s="1940"/>
      <c r="AY45" s="1940"/>
      <c r="AZ45" s="1940"/>
      <c r="BA45" s="1940"/>
      <c r="BB45" s="1940"/>
      <c r="BC45" s="2070"/>
      <c r="BD45" s="1812"/>
      <c r="BE45" s="1812"/>
      <c r="BF45" s="1030" t="s">
        <v>1603</v>
      </c>
      <c r="BG45" s="1030" t="s">
        <v>1594</v>
      </c>
      <c r="BH45" s="1030" cm="1" t="str">
        <f t="array" ref="BH45:BH45">BH44</f>
        <v>0</v>
      </c>
      <c r="BI45" s="1812" cm="1" t="str">
        <f t="array" ref="BI45:BI45">BI44</f>
        <v>0</v>
      </c>
      <c r="BJ45" s="267"/>
      <c r="BK45" s="267"/>
    </row>
    <row s="1812" customFormat="1" customHeight="1" ht="10.96875" hidden="1">
      <c r="A46" s="1812"/>
      <c r="B46" s="429"/>
      <c r="C46" s="483"/>
      <c r="D46" s="1812"/>
      <c r="E46" s="267">
        <v>11.25</v>
      </c>
      <c r="F46" s="50" cm="1" t="str">
        <f t="array" ref="F46:F46">OFFSET(E46,-1,1)</f>
        <v>0</v>
      </c>
      <c r="G46" s="126" t="s">
        <v>1604</v>
      </c>
      <c r="H46" s="126" cm="1" t="str">
        <f t="array" ref="H46:H46">H45</f>
        <v>0</v>
      </c>
      <c r="I46" s="1812"/>
      <c r="J46" s="1812"/>
      <c r="K46" s="1812"/>
      <c r="L46" s="1812"/>
      <c r="M46" s="1812"/>
      <c r="N46" s="1812"/>
      <c r="O46" s="1812"/>
      <c r="P46" s="1812"/>
      <c r="Q46" s="1812"/>
      <c r="R46" s="1812"/>
      <c r="S46" s="1812"/>
      <c r="T46" s="465" cm="1" t="str">
        <f t="array" ref="T46:T46">T45</f>
        <v>false</v>
      </c>
      <c r="U46" s="1812"/>
      <c r="V46" s="1812"/>
      <c r="W46" s="1812"/>
      <c r="X46" s="1543"/>
      <c r="Y46" s="1543"/>
      <c r="Z46" s="1565"/>
      <c r="AA46" s="1494"/>
      <c r="AB46" s="89" t="str">
        <f>AB40&amp;".6"</f>
        <v>7.0.6</v>
      </c>
      <c r="AC46" s="332" t="s">
        <v>1605</v>
      </c>
      <c r="AD46" s="92" t="s">
        <v>1606</v>
      </c>
      <c r="AE46" s="191">
        <f>IF(OR(AND(AE45&lt;&gt;0,AE47=0),AND(AE45=0,AE47&lt;&gt;0)),"Ошибка",IF(AE47=0,0,AE45/AE47*1000/12))</f>
        <v>0</v>
      </c>
      <c r="AF46" s="191">
        <f>IF(OR(AND(AF45&lt;&gt;0,AF47=0),AND(AF45=0,AF47&lt;&gt;0)),"Ошибка",IF(AF47=0,0,AF45/AF47*1000/12))</f>
        <v>0</v>
      </c>
      <c r="AG46" s="191">
        <f>IF(OR(AND(AG45&lt;&gt;0,AG47=0),AND(AG45=0,AG47&lt;&gt;0)),"Ошибка",IF(AG47=0,0,AG45/AG47*1000/12))</f>
        <v>0</v>
      </c>
      <c r="AH46" s="191">
        <f>IF(OR(AND(AH45&lt;&gt;0,AH47=0),AND(AH45=0,AH47&lt;&gt;0)),"Ошибка",IF(AH47=0,0,AH45/AH47*1000/12))</f>
        <v>0</v>
      </c>
      <c r="AI46" s="191">
        <f>IF(OR(AND(AI45&lt;&gt;0,AI47=0),AND(AI45=0,AI47&lt;&gt;0)),"Ошибка",IF(AI47=0,0,AI45/AI47*1000/12))</f>
        <v>0</v>
      </c>
      <c r="AJ46" s="191">
        <f>IF(OR(AND(AJ45&lt;&gt;0,AJ47=0),AND(AJ45=0,AJ47&lt;&gt;0)),"Ошибка",IF(AJ47=0,0,AJ45/AJ47*1000/12))</f>
        <v>0</v>
      </c>
      <c r="AK46" s="191">
        <f>IF(OR(AND(AK45&lt;&gt;0,AK47=0),AND(AK45=0,AK47&lt;&gt;0)),"Ошибка",IF(AK47=0,0,AK45/AK47*1000/12))</f>
        <v>0</v>
      </c>
      <c r="AL46" s="191">
        <f>IF(OR(AND(AL45&lt;&gt;0,AL47=0),AND(AL45=0,AL47&lt;&gt;0)),"Ошибка",IF(AL47=0,0,AL45/AL47*1000/12))</f>
        <v>0</v>
      </c>
      <c r="AM46" s="191">
        <f>IF(OR(AND(AM45&lt;&gt;0,AM47=0),AND(AM45=0,AM47&lt;&gt;0)),"Ошибка",IF(AM47=0,0,AM45/AM47*1000/12))</f>
        <v>0</v>
      </c>
      <c r="AN46" s="191">
        <f>IF(OR(AND(AN45&lt;&gt;0,AN47=0),AND(AN45=0,AN47&lt;&gt;0)),"Ошибка",IF(AN47=0,0,AN45/AN47*1000/12))</f>
        <v>0</v>
      </c>
      <c r="AO46" s="191">
        <f>IF(OR(AND(AO45&lt;&gt;0,AO47=0),AND(AO45=0,AO47&lt;&gt;0)),"Ошибка",IF(AO47=0,0,AO45/AO47*1000/12))</f>
        <v>0</v>
      </c>
      <c r="AP46" s="191">
        <f>IF(OR(AND(AP45&lt;&gt;0,AP47=0),AND(AP45=0,AP47&lt;&gt;0)),"Ошибка",IF(AP47=0,0,AP45/AP47*1000/12))</f>
        <v>0</v>
      </c>
      <c r="AQ46" s="191">
        <f>IF(OR(AND(AQ45&lt;&gt;0,AQ47=0),AND(AQ45=0,AQ47&lt;&gt;0)),"Ошибка",IF(AQ47=0,0,AQ45/AQ47*1000/12))</f>
        <v>0</v>
      </c>
      <c r="AR46" s="191">
        <f>IF(OR(AND(AR45&lt;&gt;0,AR47=0),AND(AR45=0,AR47&lt;&gt;0)),"Ошибка",IF(AR47=0,0,AR45/AR47*1000/12))</f>
        <v>0</v>
      </c>
      <c r="AS46" s="191">
        <f>IF(OR(AND(AS45&lt;&gt;0,AS47=0),AND(AS45=0,AS47&lt;&gt;0)),"Ошибка",IF(AS47=0,0,AS45/AS47*1000/12))</f>
        <v>0</v>
      </c>
      <c r="AT46" s="191">
        <f>IF(OR(AND(AT45&lt;&gt;0,AT47=0),AND(AT45=0,AT47&lt;&gt;0)),"Ошибка",IF(AT47=0,0,AT45/AT47*1000/12))</f>
        <v>0</v>
      </c>
      <c r="AU46" s="191">
        <f>IF(OR(AND(AU45&lt;&gt;0,AU47=0),AND(AU45=0,AU47&lt;&gt;0)),"Ошибка",IF(AU47=0,0,AU45/AU47*1000/12))</f>
        <v>0</v>
      </c>
      <c r="AV46" s="191">
        <f>IF(OR(AND(AV45&lt;&gt;0,AV47=0),AND(AV45=0,AV47&lt;&gt;0)),"Ошибка",IF(AV47=0,0,AV45/AV47*1000/12))</f>
        <v>0</v>
      </c>
      <c r="AW46" s="191">
        <f>IF(OR(AND(AW45&lt;&gt;0,AW47=0),AND(AW45=0,AW47&lt;&gt;0)),"Ошибка",IF(AW47=0,0,AW45/AW47*1000/12))</f>
        <v>0</v>
      </c>
      <c r="AX46" s="191">
        <f>IF(OR(AND(AX45&lt;&gt;0,AX47=0),AND(AX45=0,AX47&lt;&gt;0)),"Ошибка",IF(AX47=0,0,AX45/AX47*1000/12))</f>
        <v>0</v>
      </c>
      <c r="AY46" s="191">
        <f>IF(OR(AND(AY45&lt;&gt;0,AY47=0),AND(AY45=0,AY47&lt;&gt;0)),"Ошибка",IF(AY47=0,0,AY45/AY47*1000/12))</f>
        <v>0</v>
      </c>
      <c r="AZ46" s="191">
        <f>IF(OR(AND(AZ45&lt;&gt;0,AZ47=0),AND(AZ45=0,AZ47&lt;&gt;0)),"Ошибка",IF(AZ47=0,0,AZ45/AZ47*1000/12))</f>
        <v>0</v>
      </c>
      <c r="BA46" s="191">
        <f>IF(OR(AND(BA45&lt;&gt;0,BA47=0),AND(BA45=0,BA47&lt;&gt;0)),"Ошибка",IF(BA47=0,0,BA45/BA47*1000/12))</f>
        <v>0</v>
      </c>
      <c r="BB46" s="191">
        <f>IF(OR(AND(BB45&lt;&gt;0,BB47=0),AND(BB45=0,BB47&lt;&gt;0)),"Ошибка",IF(BB47=0,0,BB45/BB47*1000/12))</f>
        <v>0</v>
      </c>
      <c r="BC46" s="2070"/>
      <c r="BD46" s="1812"/>
      <c r="BE46" s="1812"/>
      <c r="BF46" s="1030" t="s">
        <v>1607</v>
      </c>
      <c r="BG46" s="1030" t="s">
        <v>1594</v>
      </c>
      <c r="BH46" s="1030" cm="1" t="str">
        <f t="array" ref="BH46:BH46">BH45</f>
        <v>0</v>
      </c>
      <c r="BI46" s="1812" cm="1" t="str">
        <f t="array" ref="BI46:BI46">BI45</f>
        <v>0</v>
      </c>
      <c r="BJ46" s="267"/>
      <c r="BK46" s="267"/>
    </row>
    <row s="1812" customFormat="1" customHeight="1" ht="10.96875" hidden="1">
      <c r="A47" s="1812"/>
      <c r="B47" s="429"/>
      <c r="C47" s="483"/>
      <c r="D47" s="1812"/>
      <c r="E47" s="267">
        <v>11.25</v>
      </c>
      <c r="F47" s="50" cm="1" t="str">
        <f t="array" ref="F47:F47">OFFSET(E47,-1,1)</f>
        <v>0</v>
      </c>
      <c r="G47" s="126" t="s">
        <v>1608</v>
      </c>
      <c r="H47" s="126" cm="1" t="str">
        <f t="array" ref="H47:H47">H46</f>
        <v>0</v>
      </c>
      <c r="I47" s="1812"/>
      <c r="J47" s="1812"/>
      <c r="K47" s="1812"/>
      <c r="L47" s="1812"/>
      <c r="M47" s="1812"/>
      <c r="N47" s="1812"/>
      <c r="O47" s="1812"/>
      <c r="P47" s="1812"/>
      <c r="Q47" s="1812"/>
      <c r="R47" s="1812"/>
      <c r="S47" s="1812"/>
      <c r="T47" s="465" cm="1" t="str">
        <f t="array" ref="T47:T47">T46</f>
        <v>false</v>
      </c>
      <c r="U47" s="1812"/>
      <c r="V47" s="1812"/>
      <c r="W47" s="1812"/>
      <c r="X47" s="1543"/>
      <c r="Y47" s="1543"/>
      <c r="Z47" s="1565"/>
      <c r="AA47" s="1494"/>
      <c r="AB47" s="89" t="str">
        <f>AB40&amp;".7"</f>
        <v>7.0.7</v>
      </c>
      <c r="AC47" s="332" t="s">
        <v>1609</v>
      </c>
      <c r="AD47" s="92" t="s">
        <v>1610</v>
      </c>
      <c r="AE47" s="1940"/>
      <c r="AF47" s="1940"/>
      <c r="AG47" s="1940"/>
      <c r="AH47" s="1940"/>
      <c r="AI47" s="1940"/>
      <c r="AJ47" s="1940"/>
      <c r="AK47" s="1940"/>
      <c r="AL47" s="1940"/>
      <c r="AM47" s="1940"/>
      <c r="AN47" s="1940"/>
      <c r="AO47" s="1940"/>
      <c r="AP47" s="1940"/>
      <c r="AQ47" s="1940"/>
      <c r="AR47" s="1940"/>
      <c r="AS47" s="1940"/>
      <c r="AT47" s="1940"/>
      <c r="AU47" s="1940"/>
      <c r="AV47" s="1940"/>
      <c r="AW47" s="1940"/>
      <c r="AX47" s="1940"/>
      <c r="AY47" s="1940"/>
      <c r="AZ47" s="1940"/>
      <c r="BA47" s="1940"/>
      <c r="BB47" s="1940"/>
      <c r="BC47" s="2070"/>
      <c r="BD47" s="1812"/>
      <c r="BE47" s="1812"/>
      <c r="BF47" s="1030" t="s">
        <v>1611</v>
      </c>
      <c r="BG47" s="1030" t="s">
        <v>1594</v>
      </c>
      <c r="BH47" s="1030" cm="1" t="str">
        <f t="array" ref="BH47:BH47">BH46</f>
        <v>0</v>
      </c>
      <c r="BI47" s="1812" cm="1" t="str">
        <f t="array" ref="BI47:BI47">BI46</f>
        <v>0</v>
      </c>
      <c r="BJ47" s="267"/>
      <c r="BK47" s="267"/>
    </row>
    <row s="1426" customFormat="1" customHeight="1" ht="14.625" hidden="1">
      <c r="A48" s="1426"/>
      <c r="B48" s="427"/>
      <c r="C48" s="483"/>
      <c r="D48" s="1426"/>
      <c r="E48" s="633">
        <v>15</v>
      </c>
      <c r="F48" s="50" cm="1" t="str">
        <f t="array" ref="F48:F48">OFFSET(E48,-1,1)</f>
        <v>0</v>
      </c>
      <c r="G48" s="1426"/>
      <c r="H48" s="957" t="s">
        <v>1612</v>
      </c>
      <c r="I48" s="1426"/>
      <c r="J48" s="1426"/>
      <c r="K48" s="1426"/>
      <c r="L48" s="1426"/>
      <c r="M48" s="1426"/>
      <c r="N48" s="1426"/>
      <c r="O48" s="1426"/>
      <c r="P48" s="1426"/>
      <c r="Q48" s="1426"/>
      <c r="R48" s="1426"/>
      <c r="S48" s="1426"/>
      <c r="T48" s="465">
        <f>F48&gt;0</f>
        <v>0</v>
      </c>
      <c r="U48" s="1426"/>
      <c r="V48" s="1426"/>
      <c r="W48" s="757" t="s">
        <v>1613</v>
      </c>
      <c r="X48" s="1543"/>
      <c r="Y48" s="1426"/>
      <c r="Z48" s="1565"/>
      <c r="AA48" s="1426"/>
      <c r="AB48" s="175"/>
      <c r="AC48" s="178" t="s">
        <v>1614</v>
      </c>
      <c r="AD48" s="176"/>
      <c r="AE48" s="176"/>
      <c r="AF48" s="176"/>
      <c r="AG48" s="176"/>
      <c r="AH48" s="176"/>
      <c r="AI48" s="176"/>
      <c r="AJ48" s="176"/>
      <c r="AK48" s="176"/>
      <c r="AL48" s="176"/>
      <c r="AM48" s="176"/>
      <c r="AN48" s="176"/>
      <c r="AO48" s="176"/>
      <c r="AP48" s="176"/>
      <c r="AQ48" s="176"/>
      <c r="AR48" s="176"/>
      <c r="AS48" s="176"/>
      <c r="AT48" s="176"/>
      <c r="AU48" s="176"/>
      <c r="AV48" s="176"/>
      <c r="AW48" s="176"/>
      <c r="AX48" s="176"/>
      <c r="AY48" s="176"/>
      <c r="AZ48" s="176"/>
      <c r="BA48" s="176"/>
      <c r="BB48" s="176"/>
      <c r="BC48" s="187"/>
      <c r="BD48" s="1426"/>
      <c r="BE48" s="1426"/>
      <c r="BF48" s="1018"/>
      <c r="BG48" s="1018"/>
      <c r="BH48" s="1018"/>
      <c r="BI48" s="1426"/>
      <c r="BJ48" s="633" t="s">
        <v>1594</v>
      </c>
      <c r="BK48" s="633"/>
    </row>
    <row s="3262" customFormat="1" customHeight="1" ht="14.25">
      <c r="A49" s="1446"/>
      <c r="B49" s="429"/>
      <c r="C49" s="485"/>
      <c r="D49" s="1446"/>
      <c r="E49" s="632">
        <v>15</v>
      </c>
      <c r="F49" s="98" cm="1" t="str">
        <f t="array" ref="F49:F49">X49</f>
        <v>1</v>
      </c>
      <c r="G49" s="98"/>
      <c r="H49" s="98"/>
      <c r="I49" s="1446"/>
      <c r="J49" s="1446"/>
      <c r="K49" s="1446"/>
      <c r="L49" s="1446"/>
      <c r="M49" s="1446"/>
      <c r="N49" s="1446"/>
      <c r="O49" s="1446"/>
      <c r="P49" s="1446"/>
      <c r="Q49" s="1446"/>
      <c r="R49" s="1446"/>
      <c r="S49" s="1446"/>
      <c r="T49" s="465">
        <f>X49&gt;0</f>
        <v>1</v>
      </c>
      <c r="U49" s="1446"/>
      <c r="V49" s="144" cm="1" t="str">
        <f t="array" ref="V49:V49">'Сырье и материалы'!$AB$48</f>
        <v>Тариф 1 (Водоснабжение) - тариф на питьевую воду (Доп. признак не требуется)</v>
      </c>
      <c r="W49" s="1446"/>
      <c r="X49" s="1543" t="s">
        <v>276</v>
      </c>
      <c r="Y49" s="1446"/>
      <c r="Z49" s="1565"/>
      <c r="AA49" s="1446"/>
      <c r="AB49" s="183" cm="1" t="str">
        <f t="array" ref="AB49:AB49">'Сырье и материалы'!$AB$48</f>
        <v>Тариф 1 (Водоснабжение) - тариф на питьевую воду (Доп. признак не требуется)</v>
      </c>
      <c r="AC49" s="180"/>
      <c r="AD49" s="174"/>
      <c r="AE49" s="174"/>
      <c r="AF49" s="174"/>
      <c r="AG49" s="174"/>
      <c r="AH49" s="174"/>
      <c r="AI49" s="174"/>
      <c r="AJ49" s="174"/>
      <c r="AK49" s="174"/>
      <c r="AL49" s="174"/>
      <c r="AM49" s="174"/>
      <c r="AN49" s="174"/>
      <c r="AO49" s="174"/>
      <c r="AP49" s="174"/>
      <c r="AQ49" s="174"/>
      <c r="AR49" s="174"/>
      <c r="AS49" s="174"/>
      <c r="AT49" s="174"/>
      <c r="AU49" s="174"/>
      <c r="AV49" s="174"/>
      <c r="AW49" s="174"/>
      <c r="AX49" s="174"/>
      <c r="AY49" s="174"/>
      <c r="AZ49" s="174"/>
      <c r="BA49" s="174"/>
      <c r="BB49" s="174"/>
      <c r="BC49" s="174"/>
      <c r="BD49" s="1446"/>
      <c r="BE49" s="1446"/>
      <c r="BF49" s="1013"/>
      <c r="BG49" s="1013"/>
      <c r="BH49" s="1013"/>
      <c r="BI49" s="1446"/>
      <c r="BJ49" s="630"/>
      <c r="BK49" s="630"/>
    </row>
    <row s="1448" customFormat="1" customHeight="1" ht="149.25">
      <c r="A50" s="1812"/>
      <c r="B50" s="429"/>
      <c r="C50" s="483"/>
      <c r="D50" s="956"/>
      <c r="E50" s="267">
        <v>11.25</v>
      </c>
      <c r="F50" s="50" cm="1" t="str">
        <f t="array" ref="F50:F50">OFFSET(E50,-1,1)</f>
        <v>1</v>
      </c>
      <c r="G50" s="126" t="s">
        <v>332</v>
      </c>
      <c r="H50" s="126"/>
      <c r="I50" s="1812"/>
      <c r="J50" s="1812"/>
      <c r="K50" s="483" t="str">
        <f>F50&amp;"komm"</f>
        <v>1komm</v>
      </c>
      <c r="L50" s="917" cm="1" t="str">
        <f t="array" ref="L50:L50">BC50</f>
        <v>В соответствии с п. 20 Методических указаний расходы регулируемой организации на приобретаемые электрическую энергию (мощность), тепловую энергию (мощность), другие виды энергетических ресурсов, холодную воду, теплоноситель определяются как сумма произведений расчетных экономически (технологически, технически) обоснованных объемов приобретаемых электрической энергии (мощности), тепловой энергии (мощности), других видов энергетических ресурсов холодной воды на соответственно плановые (расчетные) цены (тарифы) на электрическую энергию (мощность), тепловую энергию (мощность), другие виды энергетических ресурсов, холодную воду. Объемы приобретаемой электрической энергии (мощности), тепловой энергии (мощности) определяются с учетом показателей надежности, качества, энергетической эффективности в сфере водоснабжения и (или) водоотведения, определенных в установленном порядке.</v>
      </c>
      <c r="M50" s="1812"/>
      <c r="N50" s="1812"/>
      <c r="O50" s="1812"/>
      <c r="P50" s="1812"/>
      <c r="Q50" s="1812"/>
      <c r="R50" s="1812"/>
      <c r="S50" s="1812"/>
      <c r="T50" s="465" cm="1" t="str">
        <f t="array" ref="T50:T50">T49</f>
        <v>true</v>
      </c>
      <c r="U50" s="1812"/>
      <c r="V50" s="1812"/>
      <c r="W50" s="1812"/>
      <c r="X50" s="1543"/>
      <c r="Y50" s="1812"/>
      <c r="Z50" s="1565"/>
      <c r="AA50" s="1812"/>
      <c r="AB50" s="89" t="s">
        <v>276</v>
      </c>
      <c r="AC50" s="138" t="s">
        <v>1513</v>
      </c>
      <c r="AD50" s="89" t="s">
        <v>1514</v>
      </c>
      <c r="AE50" s="191">
        <f>IF(COUNTIF(AE55:AE94,"Ошибка")&gt;0,"Ошибка",SUMIF($AD55:$AD94,$AD50,AE55:AE94))</f>
        <v>0</v>
      </c>
      <c r="AF50" s="191">
        <f>IF(COUNTIF(AF55:AF94,"Ошибка")&gt;0,"Ошибка",SUMIF($AD55:$AD94,$AD50,AF55:AF94))</f>
        <v>0</v>
      </c>
      <c r="AG50" s="191">
        <f>IF(COUNTIF(AG55:AG94,"Ошибка")&gt;0,"Ошибка",SUMIF($AD55:$AD94,$AD50,AG55:AG94))</f>
        <v>0</v>
      </c>
      <c r="AH50" s="191">
        <f>IF(COUNTIF(AH55:AH94,"Ошибка")&gt;0,"Ошибка",SUMIF($AD55:$AD94,$AD50,AH55:AH94))</f>
        <v>0</v>
      </c>
      <c r="AI50" s="191">
        <f>IF(COUNTIF(AI55:AI94,"Ошибка")&gt;0,"Ошибка",SUMIF($AD55:$AD94,$AD50,AI55:AI94))</f>
        <v>48401.99</v>
      </c>
      <c r="AJ50" s="191">
        <f>IF(COUNTIF(AJ55:AJ94,"Ошибка")&gt;0,"Ошибка",SUMIF($AD55:$AD94,$AD50,AJ55:AJ94))</f>
        <v>52806.57</v>
      </c>
      <c r="AK50" s="191">
        <f>IF(COUNTIF(AK55:AK94,"Ошибка")&gt;0,"Ошибка",SUMIF($AD55:$AD94,$AD50,AK55:AK94))</f>
        <v>55394.09</v>
      </c>
      <c r="AL50" s="191">
        <f>IF(COUNTIF(AL55:AL94,"Ошибка")&gt;0,"Ошибка",SUMIF($AD55:$AD94,$AD50,AL55:AL94))</f>
        <v>58108.4</v>
      </c>
      <c r="AM50" s="191">
        <f>IF(COUNTIF(AM55:AM94,"Ошибка")&gt;0,"Ошибка",SUMIF($AD55:$AD94,$AD50,AM55:AM94))</f>
        <v>60955.714</v>
      </c>
      <c r="AN50" s="191">
        <f>IF(COUNTIF(AN55:AN94,"Ошибка")&gt;0,"Ошибка",SUMIF($AD55:$AD94,$AD50,AN55:AN94))</f>
        <v>0</v>
      </c>
      <c r="AO50" s="191">
        <f>IF(COUNTIF(AO55:AO94,"Ошибка")&gt;0,"Ошибка",SUMIF($AD55:$AD94,$AD50,AO55:AO94))</f>
        <v>0</v>
      </c>
      <c r="AP50" s="191">
        <f>IF(COUNTIF(AP55:AP94,"Ошибка")&gt;0,"Ошибка",SUMIF($AD55:$AD94,$AD50,AP55:AP94))</f>
        <v>0</v>
      </c>
      <c r="AQ50" s="191">
        <f>IF(COUNTIF(AQ55:AQ94,"Ошибка")&gt;0,"Ошибка",SUMIF($AD55:$AD94,$AD50,AQ55:AQ94))</f>
        <v>0</v>
      </c>
      <c r="AR50" s="191">
        <f>IF(COUNTIF(AR55:AR94,"Ошибка")&gt;0,"Ошибка",SUMIF($AD55:$AD94,$AD50,AR55:AR94))</f>
        <v>0</v>
      </c>
      <c r="AS50" s="191">
        <f>IF(COUNTIF(AS55:AS94,"Ошибка")&gt;0,"Ошибка",SUMIF($AD55:$AD94,$AD50,AS55:AS94))</f>
        <v>48505.1543799309</v>
      </c>
      <c r="AT50" s="191">
        <f>IF(COUNTIF(AT55:AT94,"Ошибка")&gt;0,"Ошибка",SUMIF($AD55:$AD94,$AD50,AT55:AT94))</f>
        <v>52919.1234285047</v>
      </c>
      <c r="AU50" s="191">
        <f>IF(COUNTIF(AU55:AU94,"Ошибка")&gt;0,"Ошибка",SUMIF($AD55:$AD94,$AD50,AU55:AU94))</f>
        <v>55512.1604765015</v>
      </c>
      <c r="AV50" s="191">
        <f>IF(COUNTIF(AV55:AV94,"Ошибка")&gt;0,"Ошибка",SUMIF($AD55:$AD94,$AD50,AV55:AV94))</f>
        <v>58233.8653094486</v>
      </c>
      <c r="AW50" s="191">
        <f>IF(COUNTIF(AW55:AW94,"Ошибка")&gt;0,"Ошибка",SUMIF($AD55:$AD94,$AD50,AW55:AW94))</f>
        <v>61117.1048125848</v>
      </c>
      <c r="AX50" s="191">
        <f>IF(COUNTIF(AX55:AX94,"Ошибка")&gt;0,"Ошибка",SUMIF($AD55:$AD94,$AD50,AX55:AX94))</f>
        <v>0</v>
      </c>
      <c r="AY50" s="191">
        <f>IF(COUNTIF(AY55:AY94,"Ошибка")&gt;0,"Ошибка",SUMIF($AD55:$AD94,$AD50,AY55:AY94))</f>
        <v>0</v>
      </c>
      <c r="AZ50" s="191">
        <f>IF(COUNTIF(AZ55:AZ94,"Ошибка")&gt;0,"Ошибка",SUMIF($AD55:$AD94,$AD50,AZ55:AZ94))</f>
        <v>0</v>
      </c>
      <c r="BA50" s="191">
        <f>IF(COUNTIF(BA55:BA94,"Ошибка")&gt;0,"Ошибка",SUMIF($AD55:$AD94,$AD50,BA55:BA94))</f>
        <v>0</v>
      </c>
      <c r="BB50" s="191">
        <f>IF(COUNTIF(BB55:BB94,"Ошибка")&gt;0,"Ошибка",SUMIF($AD55:$AD94,$AD50,BB55:BB94))</f>
        <v>0</v>
      </c>
      <c r="BC50" s="200" t="s">
        <v>1615</v>
      </c>
      <c r="BD50" s="1812"/>
      <c r="BE50" s="1812"/>
      <c r="BF50" s="1030" t="s">
        <v>1571</v>
      </c>
      <c r="BG50" s="1030"/>
      <c r="BH50" s="1030"/>
      <c r="BI50" s="1812"/>
      <c r="BJ50" s="267"/>
      <c r="BK50" s="267"/>
    </row>
    <row s="1448" customFormat="1" customHeight="1" ht="10.5">
      <c r="A51" s="1812"/>
      <c r="B51" s="429"/>
      <c r="C51" s="483"/>
      <c r="D51" s="1812"/>
      <c r="E51" s="267">
        <v>11.25</v>
      </c>
      <c r="F51" s="50" cm="1" t="str">
        <f t="array" ref="F51:F51">OFFSET(E51,-1,1)</f>
        <v>1</v>
      </c>
      <c r="G51" s="126" t="s">
        <v>333</v>
      </c>
      <c r="H51" s="126"/>
      <c r="I51" s="1812"/>
      <c r="J51" s="1812"/>
      <c r="K51" s="1812"/>
      <c r="L51" s="1812"/>
      <c r="M51" s="1812"/>
      <c r="N51" s="1812"/>
      <c r="O51" s="1812"/>
      <c r="P51" s="1812"/>
      <c r="Q51" s="1812"/>
      <c r="R51" s="1812"/>
      <c r="S51" s="1812"/>
      <c r="T51" s="465" cm="1" t="str">
        <f t="array" ref="T51:T51">T50</f>
        <v>true</v>
      </c>
      <c r="U51" s="1812"/>
      <c r="V51" s="1812"/>
      <c r="W51" s="1812"/>
      <c r="X51" s="1543"/>
      <c r="Y51" s="1812"/>
      <c r="Z51" s="1565"/>
      <c r="AA51" s="1812"/>
      <c r="AB51" s="89" t="s">
        <v>285</v>
      </c>
      <c r="AC51" s="138" t="s">
        <v>1572</v>
      </c>
      <c r="AD51" s="92" t="s">
        <v>1573</v>
      </c>
      <c r="AE51" s="191">
        <f>SUMIF(AD55:AD94,AD51,AE55:AE94)</f>
        <v>0</v>
      </c>
      <c r="AF51" s="191">
        <f>SUMIF(AD55:AD94,AD51,AF55:AF94)</f>
        <v>0</v>
      </c>
      <c r="AG51" s="191">
        <f>SUMIF(AD55:AD94,AD51,AG55:AG94)</f>
        <v>0</v>
      </c>
      <c r="AH51" s="191">
        <f>SUMIF(AD55:AD94,AD51,AH55:AH94)</f>
        <v>0</v>
      </c>
      <c r="AI51" s="191">
        <f>SUMIF(AD55:AD94,AD51,AI55:AI94)</f>
        <v>7569</v>
      </c>
      <c r="AJ51" s="191">
        <f>SUMIF(AD55:AD94,AD51,AJ55:AJ94)</f>
        <v>7569</v>
      </c>
      <c r="AK51" s="191">
        <f>SUMIF(AD55:AD94,AD51,AK55:AK94)</f>
        <v>7569</v>
      </c>
      <c r="AL51" s="191">
        <f>SUMIF(AD55:AD94,AD51,AL55:AL94)</f>
        <v>7569</v>
      </c>
      <c r="AM51" s="191">
        <f>SUMIF(AD55:AD94,AD51,AM55:AM94)</f>
        <v>7569</v>
      </c>
      <c r="AN51" s="191">
        <f>SUMIF(AD55:AD94,AD51,AN55:AN94)</f>
        <v>0</v>
      </c>
      <c r="AO51" s="191">
        <f>SUMIF(AD55:AD94,AD51,AO55:AO94)</f>
        <v>0</v>
      </c>
      <c r="AP51" s="191">
        <f>SUMIF(AD55:AD94,AD51,AP55:AP94)</f>
        <v>0</v>
      </c>
      <c r="AQ51" s="191">
        <f>SUMIF(AD55:AD94,AD51,AQ55:AQ94)</f>
        <v>0</v>
      </c>
      <c r="AR51" s="191">
        <f>SUMIF(AD55:AD94,AD51,AR55:AR94)</f>
        <v>0</v>
      </c>
      <c r="AS51" s="191">
        <f>SUMIF(AD55:AD94,AD51,AS55:AS94)</f>
        <v>7585.1359931</v>
      </c>
      <c r="AT51" s="191">
        <f>SUMIF(AD55:AD94,AD51,AT55:AT94)</f>
        <v>7585.1359931</v>
      </c>
      <c r="AU51" s="191">
        <f>SUMIF(AD55:AD94,AD51,AU55:AU94)</f>
        <v>7585.1359931</v>
      </c>
      <c r="AV51" s="191">
        <f>SUMIF(AD55:AD94,AD51,AV55:AV94)</f>
        <v>7585.345572</v>
      </c>
      <c r="AW51" s="191">
        <f>SUMIF(AD55:AD94,AD51,AW55:AW94)</f>
        <v>7589.043432</v>
      </c>
      <c r="AX51" s="191">
        <f>SUMIF(AD55:AD94,AD51,AX55:AX94)</f>
        <v>0</v>
      </c>
      <c r="AY51" s="191">
        <f>SUMIF(AD55:AD94,AD51,AY55:AY94)</f>
        <v>0</v>
      </c>
      <c r="AZ51" s="191">
        <f>SUMIF(AD55:AD94,AD51,AZ55:AZ94)</f>
        <v>0</v>
      </c>
      <c r="BA51" s="191">
        <f>SUMIF(AD55:AD94,AD51,BA55:BA94)</f>
        <v>0</v>
      </c>
      <c r="BB51" s="191">
        <f>SUMIF(AD55:AD94,AD51,BB55:BB94)</f>
        <v>0</v>
      </c>
      <c r="BC51" s="200"/>
      <c r="BD51" s="1812"/>
      <c r="BE51" s="1812"/>
      <c r="BF51" s="1030" t="s">
        <v>1574</v>
      </c>
      <c r="BG51" s="1030"/>
      <c r="BH51" s="1030"/>
      <c r="BI51" s="1812"/>
      <c r="BJ51" s="267"/>
      <c r="BK51" s="267"/>
    </row>
    <row s="1448" customFormat="1" customHeight="1" ht="10.5">
      <c r="A52" s="1812"/>
      <c r="B52" s="429"/>
      <c r="C52" s="483"/>
      <c r="D52" s="1812"/>
      <c r="E52" s="267">
        <v>11.25</v>
      </c>
      <c r="F52" s="50" cm="1" t="str">
        <f t="array" ref="F52:F52">OFFSET(E52,-1,1)</f>
        <v>1</v>
      </c>
      <c r="G52" s="126" t="s">
        <v>334</v>
      </c>
      <c r="H52" s="126"/>
      <c r="I52" s="1812"/>
      <c r="J52" s="1812"/>
      <c r="K52" s="1812"/>
      <c r="L52" s="1812"/>
      <c r="M52" s="1812"/>
      <c r="N52" s="1812"/>
      <c r="O52" s="1812"/>
      <c r="P52" s="1812"/>
      <c r="Q52" s="1812"/>
      <c r="R52" s="1812"/>
      <c r="S52" s="1812"/>
      <c r="T52" s="465" cm="1" t="str">
        <f t="array" ref="T52:T52">T51</f>
        <v>true</v>
      </c>
      <c r="U52" s="1812"/>
      <c r="V52" s="1812"/>
      <c r="W52" s="1812"/>
      <c r="X52" s="1543"/>
      <c r="Y52" s="1812"/>
      <c r="Z52" s="1565"/>
      <c r="AA52" s="1812"/>
      <c r="AB52" s="89" t="s">
        <v>289</v>
      </c>
      <c r="AC52" s="138" t="s">
        <v>1575</v>
      </c>
      <c r="AD52" s="92" t="s">
        <v>1576</v>
      </c>
      <c r="AE52" s="239"/>
      <c r="AF52" s="239"/>
      <c r="AG52" s="239"/>
      <c r="AH52" s="239"/>
      <c r="AI52" s="239" cm="1" t="str">
        <f t="array" ref="AI52:AI52">Баланс!AI120</f>
        <v>5859.0791</v>
      </c>
      <c r="AJ52" s="239" cm="1" t="str">
        <f t="array" ref="AJ52:AJ52">Баланс!AJ120</f>
        <v>5859.0791</v>
      </c>
      <c r="AK52" s="239" cm="1" t="str">
        <f t="array" ref="AK52:AK52">Баланс!AK120</f>
        <v>5858.74</v>
      </c>
      <c r="AL52" s="239" cm="1" t="str">
        <f t="array" ref="AL52:AL52">Баланс!AL120</f>
        <v>5857.779</v>
      </c>
      <c r="AM52" s="239" cm="1" t="str">
        <f t="array" ref="AM52:AM52">Баланс!AM120</f>
        <v>5857.779</v>
      </c>
      <c r="AN52" s="3246"/>
      <c r="AO52" s="3246"/>
      <c r="AP52" s="3246"/>
      <c r="AQ52" s="3246"/>
      <c r="AR52" s="3246"/>
      <c r="AS52" s="239" cm="1" t="str">
        <f t="array" ref="AS52:AS52">Баланс!AS120</f>
        <v>5871.56749</v>
      </c>
      <c r="AT52" s="239" cm="1" t="str">
        <f t="array" ref="AT52:AT52">Баланс!AT120</f>
        <v>5871.56749</v>
      </c>
      <c r="AU52" s="239" cm="1" t="str">
        <f t="array" ref="AU52:AU52">Баланс!AU120</f>
        <v>5871.56749</v>
      </c>
      <c r="AV52" s="239" cm="1" t="str">
        <f t="array" ref="AV52:AV52">Баланс!AV120</f>
        <v>5871.72972</v>
      </c>
      <c r="AW52" s="239" cm="1" t="str">
        <f t="array" ref="AW52:AW52">Баланс!AW120</f>
        <v>5874.5922</v>
      </c>
      <c r="AX52" s="3246"/>
      <c r="AY52" s="3246"/>
      <c r="AZ52" s="3246"/>
      <c r="BA52" s="3246"/>
      <c r="BB52" s="3246"/>
      <c r="BC52" s="200"/>
      <c r="BD52" s="1812"/>
      <c r="BE52" s="1812"/>
      <c r="BF52" s="1030" t="s">
        <v>1577</v>
      </c>
      <c r="BG52" s="1030"/>
      <c r="BH52" s="1030"/>
      <c r="BI52" s="1812"/>
      <c r="BJ52" s="267"/>
      <c r="BK52" s="267"/>
    </row>
    <row s="1448" customFormat="1" customHeight="1" ht="10.5">
      <c r="A53" s="1812"/>
      <c r="B53" s="429"/>
      <c r="C53" s="483"/>
      <c r="D53" s="1812"/>
      <c r="E53" s="267">
        <v>11.25</v>
      </c>
      <c r="F53" s="50" cm="1" t="str">
        <f t="array" ref="F53:F53">OFFSET(E53,-1,1)</f>
        <v>1</v>
      </c>
      <c r="G53" s="126" t="s">
        <v>336</v>
      </c>
      <c r="H53" s="126"/>
      <c r="I53" s="1812"/>
      <c r="J53" s="1812"/>
      <c r="K53" s="1812"/>
      <c r="L53" s="1812"/>
      <c r="M53" s="1812"/>
      <c r="N53" s="1812"/>
      <c r="O53" s="1812"/>
      <c r="P53" s="1812"/>
      <c r="Q53" s="1812"/>
      <c r="R53" s="1812"/>
      <c r="S53" s="1812"/>
      <c r="T53" s="465" cm="1" t="str">
        <f t="array" ref="T53:T53">T52</f>
        <v>true</v>
      </c>
      <c r="U53" s="1812"/>
      <c r="V53" s="1812"/>
      <c r="W53" s="1812"/>
      <c r="X53" s="1543"/>
      <c r="Y53" s="1812"/>
      <c r="Z53" s="1565"/>
      <c r="AA53" s="1812"/>
      <c r="AB53" s="89" t="s">
        <v>295</v>
      </c>
      <c r="AC53" s="138" t="s">
        <v>1578</v>
      </c>
      <c r="AD53" s="92" t="s">
        <v>1579</v>
      </c>
      <c r="AE53" s="191">
        <f>IF(AE51=0,0,AE50/AE51)</f>
        <v>0</v>
      </c>
      <c r="AF53" s="191">
        <f>IF(AF51=0,0,AF50/AF51)</f>
        <v>0</v>
      </c>
      <c r="AG53" s="191">
        <f>IF(AG51=0,0,AG50/AG51)</f>
        <v>0</v>
      </c>
      <c r="AH53" s="191">
        <f>IF(AH51=0,0,AH50/AH51)</f>
        <v>0</v>
      </c>
      <c r="AI53" s="191">
        <f>IF(AI51=0,0,AI50/AI51)</f>
        <v>6.3947668119963</v>
      </c>
      <c r="AJ53" s="191">
        <f>IF(AJ51=0,0,AJ50/AJ51)</f>
        <v>6.97669044787951</v>
      </c>
      <c r="AK53" s="191">
        <f>IF(AK51=0,0,AK50/AK51)</f>
        <v>7.31854802483816</v>
      </c>
      <c r="AL53" s="191">
        <f>IF(AL51=0,0,AL50/AL51)</f>
        <v>7.67715682388691</v>
      </c>
      <c r="AM53" s="191">
        <f>IF(AM51=0,0,AM50/AM51)</f>
        <v>8.0533378253402</v>
      </c>
      <c r="AN53" s="191">
        <f>IF(AN51=0,0,AN50/AN51)</f>
        <v>0</v>
      </c>
      <c r="AO53" s="191">
        <f>IF(AO51=0,0,AO50/AO51)</f>
        <v>0</v>
      </c>
      <c r="AP53" s="191">
        <f>IF(AP51=0,0,AP50/AP51)</f>
        <v>0</v>
      </c>
      <c r="AQ53" s="191">
        <f>IF(AQ51=0,0,AQ50/AQ51)</f>
        <v>0</v>
      </c>
      <c r="AR53" s="191">
        <f>IF(AR51=0,0,AR50/AR51)</f>
        <v>0</v>
      </c>
      <c r="AS53" s="191">
        <f>IF(AS51=0,0,AS50/AS51)</f>
        <v>6.39476397312517</v>
      </c>
      <c r="AT53" s="191">
        <f>IF(AT51=0,0,AT50/AT51)</f>
        <v>6.97668749467957</v>
      </c>
      <c r="AU53" s="191">
        <f>IF(AU51=0,0,AU50/AU51)</f>
        <v>7.31854518191888</v>
      </c>
      <c r="AV53" s="191">
        <f>IF(AV51=0,0,AV50/AV51)</f>
        <v>7.67715389585003</v>
      </c>
      <c r="AW53" s="191">
        <f>IF(AW51=0,0,AW50/AW51)</f>
        <v>8.05333443670623</v>
      </c>
      <c r="AX53" s="191">
        <f>IF(AX51=0,0,AX50/AX51)</f>
        <v>0</v>
      </c>
      <c r="AY53" s="191">
        <f>IF(AY51=0,0,AY50/AY51)</f>
        <v>0</v>
      </c>
      <c r="AZ53" s="191">
        <f>IF(AZ51=0,0,AZ50/AZ51)</f>
        <v>0</v>
      </c>
      <c r="BA53" s="191">
        <f>IF(BA51=0,0,BA50/BA51)</f>
        <v>0</v>
      </c>
      <c r="BB53" s="191">
        <f>IF(BB51=0,0,BB50/BB51)</f>
        <v>0</v>
      </c>
      <c r="BC53" s="200"/>
      <c r="BD53" s="1812"/>
      <c r="BE53" s="1812"/>
      <c r="BF53" s="1030" t="s">
        <v>1580</v>
      </c>
      <c r="BG53" s="1030"/>
      <c r="BH53" s="1030"/>
      <c r="BI53" s="1812"/>
      <c r="BJ53" s="267"/>
      <c r="BK53" s="267"/>
    </row>
    <row s="1448" customFormat="1" customHeight="1" ht="10.5">
      <c r="A54" s="1812"/>
      <c r="B54" s="429"/>
      <c r="C54" s="483"/>
      <c r="D54" s="1812"/>
      <c r="E54" s="267">
        <v>11.25</v>
      </c>
      <c r="F54" s="50" cm="1" t="str">
        <f t="array" ref="F54:F54">OFFSET(E54,-1,1)</f>
        <v>1</v>
      </c>
      <c r="G54" s="126" t="s">
        <v>335</v>
      </c>
      <c r="H54" s="126"/>
      <c r="I54" s="1812"/>
      <c r="J54" s="1812"/>
      <c r="K54" s="1812"/>
      <c r="L54" s="1812"/>
      <c r="M54" s="1812"/>
      <c r="N54" s="1812"/>
      <c r="O54" s="1812"/>
      <c r="P54" s="1812"/>
      <c r="Q54" s="1812"/>
      <c r="R54" s="1812"/>
      <c r="S54" s="1812"/>
      <c r="T54" s="465" cm="1" t="str">
        <f t="array" ref="T54:T54">T53</f>
        <v>true</v>
      </c>
      <c r="U54" s="1812"/>
      <c r="V54" s="1812"/>
      <c r="W54" s="1812"/>
      <c r="X54" s="1543"/>
      <c r="Y54" s="1812"/>
      <c r="Z54" s="1565"/>
      <c r="AA54" s="1812"/>
      <c r="AB54" s="89" t="s">
        <v>443</v>
      </c>
      <c r="AC54" s="138" t="s">
        <v>1581</v>
      </c>
      <c r="AD54" s="92" t="s">
        <v>1582</v>
      </c>
      <c r="AE54" s="315">
        <f>IF(AE52=0,0,AE51/AE52)</f>
        <v>0</v>
      </c>
      <c r="AF54" s="315">
        <f>IF(AF52=0,0,AF51/AF52)</f>
        <v>0</v>
      </c>
      <c r="AG54" s="315">
        <f>IF(AG52=0,0,AG51/AG52)</f>
        <v>0</v>
      </c>
      <c r="AH54" s="315">
        <f>IF(AH52=0,0,AH51/AH52)</f>
        <v>0</v>
      </c>
      <c r="AI54" s="315">
        <f>IF(AI52=0,0,AI51/AI52)</f>
        <v>1.29184123832703</v>
      </c>
      <c r="AJ54" s="315">
        <f>IF(AJ52=0,0,AJ51/AJ52)</f>
        <v>1.29184123832703</v>
      </c>
      <c r="AK54" s="315">
        <f>IF(AK52=0,0,AK51/AK52)</f>
        <v>1.29191600924431</v>
      </c>
      <c r="AL54" s="315">
        <f>IF(AL52=0,0,AL51/AL52)</f>
        <v>1.29212795498089</v>
      </c>
      <c r="AM54" s="315">
        <f>IF(AM52=0,0,AM51/AM52)</f>
        <v>1.29212795498089</v>
      </c>
      <c r="AN54" s="315">
        <f>IF(AN52=0,0,AN51/AN52)</f>
        <v>0</v>
      </c>
      <c r="AO54" s="315">
        <f>IF(AO52=0,0,AO51/AO52)</f>
        <v>0</v>
      </c>
      <c r="AP54" s="315">
        <f>IF(AP52=0,0,AP51/AP52)</f>
        <v>0</v>
      </c>
      <c r="AQ54" s="315">
        <f>IF(AQ52=0,0,AQ51/AQ52)</f>
        <v>0</v>
      </c>
      <c r="AR54" s="315">
        <f>IF(AR52=0,0,AR51/AR52)</f>
        <v>0</v>
      </c>
      <c r="AS54" s="315">
        <f>IF(AS52=0,0,AS51/AS52)</f>
        <v>1.29184174515892</v>
      </c>
      <c r="AT54" s="315">
        <f>IF(AT52=0,0,AT51/AT52)</f>
        <v>1.29184174515892</v>
      </c>
      <c r="AU54" s="315">
        <f>IF(AU52=0,0,AU51/AU52)</f>
        <v>1.29184174515892</v>
      </c>
      <c r="AV54" s="315">
        <f>IF(AV52=0,0,AV51/AV52)</f>
        <v>1.2918417457403</v>
      </c>
      <c r="AW54" s="315">
        <f>IF(AW52=0,0,AW51/AW52)</f>
        <v>1.29184174384053</v>
      </c>
      <c r="AX54" s="315">
        <f>IF(AX52=0,0,AX51/AX52)</f>
        <v>0</v>
      </c>
      <c r="AY54" s="315">
        <f>IF(AY52=0,0,AY51/AY52)</f>
        <v>0</v>
      </c>
      <c r="AZ54" s="315">
        <f>IF(AZ52=0,0,AZ51/AZ52)</f>
        <v>0</v>
      </c>
      <c r="BA54" s="315">
        <f>IF(BA52=0,0,BA51/BA52)</f>
        <v>0</v>
      </c>
      <c r="BB54" s="315">
        <f>IF(BB52=0,0,BB51/BB52)</f>
        <v>0</v>
      </c>
      <c r="BC54" s="200" t="s">
        <v>1483</v>
      </c>
      <c r="BD54" s="1812"/>
      <c r="BE54" s="1812"/>
      <c r="BF54" s="1030" t="s">
        <v>1583</v>
      </c>
      <c r="BG54" s="1030"/>
      <c r="BH54" s="1030"/>
      <c r="BI54" s="1812"/>
      <c r="BJ54" s="267"/>
      <c r="BK54" s="267"/>
    </row>
    <row s="1448" customFormat="1" customHeight="1" ht="0">
      <c r="A55" s="1812"/>
      <c r="B55" s="429"/>
      <c r="C55" s="483"/>
      <c r="D55" s="1812"/>
      <c r="E55" s="267">
        <v>13</v>
      </c>
      <c r="F55" s="50" cm="1" t="str">
        <f t="array" ref="F55:F55">OFFSET(E55,-1,1)</f>
        <v>1</v>
      </c>
      <c r="G55" s="126"/>
      <c r="H55" s="126"/>
      <c r="I55" s="1812"/>
      <c r="J55" s="1812"/>
      <c r="K55" s="1812"/>
      <c r="L55" s="1812"/>
      <c r="M55" s="1812"/>
      <c r="N55" s="1812"/>
      <c r="O55" s="1812"/>
      <c r="P55" s="1812"/>
      <c r="Q55" s="1812"/>
      <c r="R55" s="1812"/>
      <c r="S55" s="1812"/>
      <c r="T55" s="465" cm="1" t="str">
        <f t="array" ref="T55:T55">T54</f>
        <v>true</v>
      </c>
      <c r="U55" s="1812"/>
      <c r="V55" s="1812"/>
      <c r="W55" s="1812"/>
      <c r="X55" s="1543"/>
      <c r="Y55" s="1812"/>
      <c r="Z55" s="1565"/>
      <c r="AA55" s="1812"/>
      <c r="AB55" s="652"/>
      <c r="AC55" s="266" t="s">
        <v>1584</v>
      </c>
      <c r="AD55" s="267"/>
      <c r="AE55" s="268"/>
      <c r="AF55" s="268"/>
      <c r="AG55" s="268"/>
      <c r="AH55" s="268"/>
      <c r="AI55" s="268"/>
      <c r="AJ55" s="268"/>
      <c r="AK55" s="268"/>
      <c r="AL55" s="268"/>
      <c r="AM55" s="268"/>
      <c r="AN55" s="268"/>
      <c r="AO55" s="268"/>
      <c r="AP55" s="268"/>
      <c r="AQ55" s="268"/>
      <c r="AR55" s="268"/>
      <c r="AS55" s="268"/>
      <c r="AT55" s="268"/>
      <c r="AU55" s="268"/>
      <c r="AV55" s="268"/>
      <c r="AW55" s="268"/>
      <c r="AX55" s="268"/>
      <c r="AY55" s="268"/>
      <c r="AZ55" s="268"/>
      <c r="BA55" s="268"/>
      <c r="BB55" s="268"/>
      <c r="BC55" s="269"/>
      <c r="BD55" s="1812"/>
      <c r="BE55" s="1812"/>
      <c r="BF55" s="1030"/>
      <c r="BG55" s="1030"/>
      <c r="BH55" s="1030"/>
      <c r="BI55" s="1812"/>
      <c r="BJ55" s="267"/>
      <c r="BK55" s="267"/>
    </row>
    <row s="1834" customFormat="1" customHeight="1" ht="0" hidden="1">
      <c r="A56" s="1304"/>
      <c r="B56" s="1694"/>
      <c r="C56" s="916"/>
      <c r="D56" s="1304"/>
      <c r="E56" s="1047">
        <v>11</v>
      </c>
      <c r="F56" s="50" cm="1" t="str">
        <f t="array" ref="F56:F56">OFFSET(E56,-1,1)</f>
        <v>1</v>
      </c>
      <c r="G56" s="1545"/>
      <c r="H56" s="1545"/>
      <c r="I56" s="1304"/>
      <c r="J56" s="1304"/>
      <c r="K56" s="1304"/>
      <c r="L56" s="1304"/>
      <c r="M56" s="1304"/>
      <c r="N56" s="1304"/>
      <c r="O56" s="1304"/>
      <c r="P56" s="1304"/>
      <c r="Q56" s="1304"/>
      <c r="R56" s="1304"/>
      <c r="S56" s="1304"/>
      <c r="T56" s="1356">
        <f>AND(F56&gt;0,Y56&gt;0)</f>
        <v>0</v>
      </c>
      <c r="U56" s="1304"/>
      <c r="V56" s="1304"/>
      <c r="W56" s="849" t="s">
        <v>174</v>
      </c>
      <c r="X56" s="1385"/>
      <c r="Y56" s="1641">
        <v>0</v>
      </c>
      <c r="Z56" s="1385"/>
      <c r="AA56" s="1648" t="s">
        <v>175</v>
      </c>
      <c r="AB56" s="1604" t="str">
        <f>"6."&amp;Y56</f>
        <v>6.0</v>
      </c>
      <c r="AC56" s="1695"/>
      <c r="AD56" s="1604"/>
      <c r="AE56" s="355"/>
      <c r="AF56" s="355"/>
      <c r="AG56" s="355"/>
      <c r="AH56" s="355"/>
      <c r="AI56" s="355"/>
      <c r="AJ56" s="355"/>
      <c r="AK56" s="355"/>
      <c r="AL56" s="355"/>
      <c r="AM56" s="355"/>
      <c r="AN56" s="355"/>
      <c r="AO56" s="355"/>
      <c r="AP56" s="355"/>
      <c r="AQ56" s="355"/>
      <c r="AR56" s="355"/>
      <c r="AS56" s="355"/>
      <c r="AT56" s="355"/>
      <c r="AU56" s="355"/>
      <c r="AV56" s="355"/>
      <c r="AW56" s="355"/>
      <c r="AX56" s="355"/>
      <c r="AY56" s="355"/>
      <c r="AZ56" s="355"/>
      <c r="BA56" s="355"/>
      <c r="BB56" s="355"/>
      <c r="BC56" s="355"/>
      <c r="BD56" s="1696"/>
      <c r="BE56" s="1304"/>
      <c r="BF56" s="1046"/>
      <c r="BG56" s="1046"/>
      <c r="BH56" s="1046"/>
      <c r="BI56" s="1809"/>
      <c r="BJ56" s="1047"/>
      <c r="BK56" s="1047"/>
    </row>
    <row s="1448" customFormat="1" customHeight="1" ht="0" hidden="1">
      <c r="A57" s="1812"/>
      <c r="B57" s="429"/>
      <c r="C57" s="483"/>
      <c r="D57" s="1812"/>
      <c r="E57" s="267">
        <v>11.25</v>
      </c>
      <c r="F57" s="50" cm="1" t="str">
        <f t="array" ref="F57:F57">OFFSET(E57,-1,1)</f>
        <v>1</v>
      </c>
      <c r="G57" s="126" t="s">
        <v>1225</v>
      </c>
      <c r="H57" s="126" cm="1" t="str">
        <f t="array" ref="H57:H57">AC57</f>
        <v>0</v>
      </c>
      <c r="I57" s="1812"/>
      <c r="J57" s="1812"/>
      <c r="K57" s="1812"/>
      <c r="L57" s="1812"/>
      <c r="M57" s="1812"/>
      <c r="N57" s="1812"/>
      <c r="O57" s="1812"/>
      <c r="P57" s="1812"/>
      <c r="Q57" s="1812"/>
      <c r="R57" s="1812"/>
      <c r="S57" s="1812"/>
      <c r="T57" s="465" cm="1" t="str">
        <f t="array" ref="T57:T57">T56</f>
        <v>false</v>
      </c>
      <c r="U57" s="1812"/>
      <c r="V57" s="1812"/>
      <c r="W57" s="757"/>
      <c r="X57" s="1543"/>
      <c r="Y57" s="1543">
        <v>0</v>
      </c>
      <c r="Z57" s="1565"/>
      <c r="AA57" s="1494" t="s">
        <v>175</v>
      </c>
      <c r="AB57" s="89" t="str">
        <f>AB56&amp;".1"</f>
        <v>6.0.1</v>
      </c>
      <c r="AC57" s="3257"/>
      <c r="AD57" s="89" t="s">
        <v>1514</v>
      </c>
      <c r="AE57" s="1940"/>
      <c r="AF57" s="1940"/>
      <c r="AG57" s="1940"/>
      <c r="AH57" s="1940"/>
      <c r="AI57" s="1940"/>
      <c r="AJ57" s="1940"/>
      <c r="AK57" s="1940"/>
      <c r="AL57" s="1940"/>
      <c r="AM57" s="1940"/>
      <c r="AN57" s="1940"/>
      <c r="AO57" s="1940"/>
      <c r="AP57" s="1940"/>
      <c r="AQ57" s="1940"/>
      <c r="AR57" s="1940"/>
      <c r="AS57" s="1940"/>
      <c r="AT57" s="1940"/>
      <c r="AU57" s="1940"/>
      <c r="AV57" s="1940"/>
      <c r="AW57" s="1940"/>
      <c r="AX57" s="1940"/>
      <c r="AY57" s="1940"/>
      <c r="AZ57" s="1940"/>
      <c r="BA57" s="1940"/>
      <c r="BB57" s="1940"/>
      <c r="BC57" s="2070"/>
      <c r="BD57" s="1812"/>
      <c r="BE57" s="1812"/>
      <c r="BF57" s="1030" t="s">
        <v>1585</v>
      </c>
      <c r="BG57" s="1030" t="s">
        <v>1586</v>
      </c>
      <c r="BH57" s="1030" cm="1" t="str">
        <f t="array" ref="BH57:BH57">AC57</f>
        <v>0</v>
      </c>
      <c r="BI57" s="1812" cm="1" t="str">
        <f t="array" ref="BI57:BI57">AC56</f>
        <v>0</v>
      </c>
      <c r="BJ57" s="267"/>
      <c r="BK57" s="267" t="b">
        <v>1</v>
      </c>
    </row>
    <row s="1448" customFormat="1" customHeight="1" ht="0" hidden="1">
      <c r="A58" s="1812"/>
      <c r="B58" s="429"/>
      <c r="C58" s="483"/>
      <c r="D58" s="1812"/>
      <c r="E58" s="267">
        <v>11.25</v>
      </c>
      <c r="F58" s="50" cm="1" t="str">
        <f t="array" ref="F58:F58">OFFSET(E58,-1,1)</f>
        <v>1</v>
      </c>
      <c r="G58" s="126" t="s">
        <v>1383</v>
      </c>
      <c r="H58" s="126" cm="1" t="str">
        <f t="array" ref="H58:H58">H57</f>
        <v>0</v>
      </c>
      <c r="I58" s="1812"/>
      <c r="J58" s="1812"/>
      <c r="K58" s="1812"/>
      <c r="L58" s="1812"/>
      <c r="M58" s="1812"/>
      <c r="N58" s="1812"/>
      <c r="O58" s="1812"/>
      <c r="P58" s="1812"/>
      <c r="Q58" s="1812"/>
      <c r="R58" s="1812"/>
      <c r="S58" s="1812"/>
      <c r="T58" s="465" cm="1" t="str">
        <f t="array" ref="T58:T58">T57</f>
        <v>false</v>
      </c>
      <c r="U58" s="1812"/>
      <c r="V58" s="1812"/>
      <c r="W58" s="1812"/>
      <c r="X58" s="1543"/>
      <c r="Y58" s="1543"/>
      <c r="Z58" s="1565"/>
      <c r="AA58" s="1494"/>
      <c r="AB58" s="89" t="str">
        <f>AB56&amp;".2"</f>
        <v>6.0.2</v>
      </c>
      <c r="AC58" s="192" t="s">
        <v>1587</v>
      </c>
      <c r="AD58" s="92" t="s">
        <v>1579</v>
      </c>
      <c r="AE58" s="191">
        <f>IF(OR(AND(AE57&lt;&gt;0,AE59=0),AND(AE57=0,AE59&lt;&gt;0)),"Ошибка",IF(AE59=0,0,AE57/AE59))</f>
        <v>0</v>
      </c>
      <c r="AF58" s="191">
        <f>IF(OR(AND(AF57&lt;&gt;0,AF59=0),AND(AF57=0,AF59&lt;&gt;0)),"Ошибка",IF(AF59=0,0,AF57/AF59))</f>
        <v>0</v>
      </c>
      <c r="AG58" s="191">
        <f>IF(OR(AND(AG57&lt;&gt;0,AG59=0),AND(AG57=0,AG59&lt;&gt;0)),"Ошибка",IF(AG59=0,0,AG57/AG59))</f>
        <v>0</v>
      </c>
      <c r="AH58" s="191">
        <f>IF(OR(AND(AH57&lt;&gt;0,AH59=0),AND(AH57=0,AH59&lt;&gt;0)),"Ошибка",IF(AH59=0,0,AH57/AH59))</f>
        <v>0</v>
      </c>
      <c r="AI58" s="191">
        <f>IF(OR(AND(AI57&lt;&gt;0,AI59=0),AND(AI57=0,AI59&lt;&gt;0)),"Ошибка",IF(AI59=0,0,AI57/AI59))</f>
        <v>0</v>
      </c>
      <c r="AJ58" s="191">
        <f>IF(OR(AND(AJ57&lt;&gt;0,AJ59=0),AND(AJ57=0,AJ59&lt;&gt;0)),"Ошибка",IF(AJ59=0,0,AJ57/AJ59))</f>
        <v>0</v>
      </c>
      <c r="AK58" s="191">
        <f>IF(OR(AND(AK57&lt;&gt;0,AK59=0),AND(AK57=0,AK59&lt;&gt;0)),"Ошибка",IF(AK59=0,0,AK57/AK59))</f>
        <v>0</v>
      </c>
      <c r="AL58" s="191">
        <f>IF(OR(AND(AL57&lt;&gt;0,AL59=0),AND(AL57=0,AL59&lt;&gt;0)),"Ошибка",IF(AL59=0,0,AL57/AL59))</f>
        <v>0</v>
      </c>
      <c r="AM58" s="191">
        <f>IF(OR(AND(AM57&lt;&gt;0,AM59=0),AND(AM57=0,AM59&lt;&gt;0)),"Ошибка",IF(AM59=0,0,AM57/AM59))</f>
        <v>0</v>
      </c>
      <c r="AN58" s="191">
        <f>IF(OR(AND(AN57&lt;&gt;0,AN59=0),AND(AN57=0,AN59&lt;&gt;0)),"Ошибка",IF(AN59=0,0,AN57/AN59))</f>
        <v>0</v>
      </c>
      <c r="AO58" s="191">
        <f>IF(OR(AND(AO57&lt;&gt;0,AO59=0),AND(AO57=0,AO59&lt;&gt;0)),"Ошибка",IF(AO59=0,0,AO57/AO59))</f>
        <v>0</v>
      </c>
      <c r="AP58" s="191">
        <f>IF(OR(AND(AP57&lt;&gt;0,AP59=0),AND(AP57=0,AP59&lt;&gt;0)),"Ошибка",IF(AP59=0,0,AP57/AP59))</f>
        <v>0</v>
      </c>
      <c r="AQ58" s="191">
        <f>IF(OR(AND(AQ57&lt;&gt;0,AQ59=0),AND(AQ57=0,AQ59&lt;&gt;0)),"Ошибка",IF(AQ59=0,0,AQ57/AQ59))</f>
        <v>0</v>
      </c>
      <c r="AR58" s="191">
        <f>IF(OR(AND(AR57&lt;&gt;0,AR59=0),AND(AR57=0,AR59&lt;&gt;0)),"Ошибка",IF(AR59=0,0,AR57/AR59))</f>
        <v>0</v>
      </c>
      <c r="AS58" s="191">
        <f>IF(OR(AND(AS57&lt;&gt;0,AS59=0),AND(AS57=0,AS59&lt;&gt;0)),"Ошибка",IF(AS59=0,0,AS57/AS59))</f>
        <v>0</v>
      </c>
      <c r="AT58" s="191">
        <f>IF(OR(AND(AT57&lt;&gt;0,AT59=0),AND(AT57=0,AT59&lt;&gt;0)),"Ошибка",IF(AT59=0,0,AT57/AT59))</f>
        <v>0</v>
      </c>
      <c r="AU58" s="191">
        <f>IF(OR(AND(AU57&lt;&gt;0,AU59=0),AND(AU57=0,AU59&lt;&gt;0)),"Ошибка",IF(AU59=0,0,AU57/AU59))</f>
        <v>0</v>
      </c>
      <c r="AV58" s="191">
        <f>IF(OR(AND(AV57&lt;&gt;0,AV59=0),AND(AV57=0,AV59&lt;&gt;0)),"Ошибка",IF(AV59=0,0,AV57/AV59))</f>
        <v>0</v>
      </c>
      <c r="AW58" s="191">
        <f>IF(OR(AND(AW57&lt;&gt;0,AW59=0),AND(AW57=0,AW59&lt;&gt;0)),"Ошибка",IF(AW59=0,0,AW57/AW59))</f>
        <v>0</v>
      </c>
      <c r="AX58" s="191">
        <f>IF(OR(AND(AX57&lt;&gt;0,AX59=0),AND(AX57=0,AX59&lt;&gt;0)),"Ошибка",IF(AX59=0,0,AX57/AX59))</f>
        <v>0</v>
      </c>
      <c r="AY58" s="191">
        <f>IF(OR(AND(AY57&lt;&gt;0,AY59=0),AND(AY57=0,AY59&lt;&gt;0)),"Ошибка",IF(AY59=0,0,AY57/AY59))</f>
        <v>0</v>
      </c>
      <c r="AZ58" s="191">
        <f>IF(OR(AND(AZ57&lt;&gt;0,AZ59=0),AND(AZ57=0,AZ59&lt;&gt;0)),"Ошибка",IF(AZ59=0,0,AZ57/AZ59))</f>
        <v>0</v>
      </c>
      <c r="BA58" s="191">
        <f>IF(OR(AND(BA57&lt;&gt;0,BA59=0),AND(BA57=0,BA59&lt;&gt;0)),"Ошибка",IF(BA59=0,0,BA57/BA59))</f>
        <v>0</v>
      </c>
      <c r="BB58" s="191">
        <f>IF(OR(AND(BB57&lt;&gt;0,BB59=0),AND(BB57=0,BB59&lt;&gt;0)),"Ошибка",IF(BB59=0,0,BB57/BB59))</f>
        <v>0</v>
      </c>
      <c r="BC58" s="2070"/>
      <c r="BD58" s="1812"/>
      <c r="BE58" s="1812"/>
      <c r="BF58" s="1030" t="s">
        <v>1588</v>
      </c>
      <c r="BG58" s="1030" t="s">
        <v>1586</v>
      </c>
      <c r="BH58" s="1030" cm="1" t="str">
        <f t="array" ref="BH58:BH58">BH57</f>
        <v>0</v>
      </c>
      <c r="BI58" s="1812" cm="1" t="str">
        <f t="array" ref="BI58:BI58">BI57</f>
        <v>0</v>
      </c>
      <c r="BJ58" s="267"/>
      <c r="BK58" s="267"/>
    </row>
    <row s="1448" customFormat="1" customHeight="1" ht="0" hidden="1">
      <c r="A59" s="1812"/>
      <c r="B59" s="429"/>
      <c r="C59" s="483"/>
      <c r="D59" s="1812"/>
      <c r="E59" s="267">
        <v>11.25</v>
      </c>
      <c r="F59" s="50" cm="1" t="str">
        <f t="array" ref="F59:F59">OFFSET(E59,-1,1)</f>
        <v>1</v>
      </c>
      <c r="G59" s="126" t="s">
        <v>1386</v>
      </c>
      <c r="H59" s="126" cm="1" t="str">
        <f t="array" ref="H59:H59">H58</f>
        <v>0</v>
      </c>
      <c r="I59" s="1812"/>
      <c r="J59" s="1812"/>
      <c r="K59" s="1812"/>
      <c r="L59" s="1812"/>
      <c r="M59" s="1812"/>
      <c r="N59" s="1812"/>
      <c r="O59" s="1812"/>
      <c r="P59" s="1812"/>
      <c r="Q59" s="1812"/>
      <c r="R59" s="1812"/>
      <c r="S59" s="1812"/>
      <c r="T59" s="465" cm="1" t="str">
        <f t="array" ref="T59:T59">T58</f>
        <v>false</v>
      </c>
      <c r="U59" s="1812"/>
      <c r="V59" s="1812"/>
      <c r="W59" s="1812"/>
      <c r="X59" s="1543"/>
      <c r="Y59" s="1543"/>
      <c r="Z59" s="1565"/>
      <c r="AA59" s="1494"/>
      <c r="AB59" s="89" t="str">
        <f>AB56&amp;".3"</f>
        <v>6.0.3</v>
      </c>
      <c r="AC59" s="192" t="s">
        <v>1589</v>
      </c>
      <c r="AD59" s="92" t="s">
        <v>1573</v>
      </c>
      <c r="AE59" s="1940"/>
      <c r="AF59" s="1940"/>
      <c r="AG59" s="1940"/>
      <c r="AH59" s="1940"/>
      <c r="AI59" s="1940"/>
      <c r="AJ59" s="1940"/>
      <c r="AK59" s="1940"/>
      <c r="AL59" s="1940"/>
      <c r="AM59" s="1940"/>
      <c r="AN59" s="1940"/>
      <c r="AO59" s="1940"/>
      <c r="AP59" s="1940"/>
      <c r="AQ59" s="1940"/>
      <c r="AR59" s="1940"/>
      <c r="AS59" s="1940"/>
      <c r="AT59" s="1940"/>
      <c r="AU59" s="1940"/>
      <c r="AV59" s="1940"/>
      <c r="AW59" s="1940"/>
      <c r="AX59" s="1940"/>
      <c r="AY59" s="1940"/>
      <c r="AZ59" s="1940"/>
      <c r="BA59" s="1940"/>
      <c r="BB59" s="1940"/>
      <c r="BC59" s="2070"/>
      <c r="BD59" s="1812"/>
      <c r="BE59" s="1812"/>
      <c r="BF59" s="1030" t="s">
        <v>1590</v>
      </c>
      <c r="BG59" s="1030" t="s">
        <v>1586</v>
      </c>
      <c r="BH59" s="1030" cm="1" t="str">
        <f t="array" ref="BH59:BH59">BH58</f>
        <v>0</v>
      </c>
      <c r="BI59" s="1812" cm="1" t="str">
        <f t="array" ref="BI59:BI59">BI58</f>
        <v>0</v>
      </c>
      <c r="BJ59" s="267"/>
      <c r="BK59" s="267"/>
    </row>
    <row s="1426" customFormat="1" customHeight="1" ht="0">
      <c r="A60" s="1426"/>
      <c r="B60" s="427"/>
      <c r="C60" s="483"/>
      <c r="D60" s="1426"/>
      <c r="E60" s="633">
        <v>15</v>
      </c>
      <c r="F60" s="50" cm="1" t="str">
        <f t="array" ref="F60:F60">OFFSET(E60,-1,1)</f>
        <v>1</v>
      </c>
      <c r="G60" s="1426"/>
      <c r="H60" s="957" t="s">
        <v>1591</v>
      </c>
      <c r="I60" s="1426"/>
      <c r="J60" s="1426"/>
      <c r="K60" s="1426"/>
      <c r="L60" s="1426"/>
      <c r="M60" s="1426"/>
      <c r="N60" s="1426"/>
      <c r="O60" s="1426"/>
      <c r="P60" s="1426"/>
      <c r="Q60" s="1426"/>
      <c r="R60" s="1426"/>
      <c r="S60" s="1426"/>
      <c r="T60" s="465">
        <f>F60&gt;0</f>
        <v>1</v>
      </c>
      <c r="U60" s="1426"/>
      <c r="V60" s="1426"/>
      <c r="W60" s="757" t="s">
        <v>399</v>
      </c>
      <c r="X60" s="1543"/>
      <c r="Y60" s="1426"/>
      <c r="Z60" s="1565"/>
      <c r="AA60" s="1426"/>
      <c r="AB60" s="653"/>
      <c r="AC60" s="178" t="s">
        <v>178</v>
      </c>
      <c r="AD60" s="176"/>
      <c r="AE60" s="176"/>
      <c r="AF60" s="176"/>
      <c r="AG60" s="176"/>
      <c r="AH60" s="176"/>
      <c r="AI60" s="176"/>
      <c r="AJ60" s="176"/>
      <c r="AK60" s="176"/>
      <c r="AL60" s="176"/>
      <c r="AM60" s="176"/>
      <c r="AN60" s="176"/>
      <c r="AO60" s="176"/>
      <c r="AP60" s="176"/>
      <c r="AQ60" s="176"/>
      <c r="AR60" s="176"/>
      <c r="AS60" s="176"/>
      <c r="AT60" s="176"/>
      <c r="AU60" s="176"/>
      <c r="AV60" s="176"/>
      <c r="AW60" s="176"/>
      <c r="AX60" s="176"/>
      <c r="AY60" s="176"/>
      <c r="AZ60" s="176"/>
      <c r="BA60" s="176"/>
      <c r="BB60" s="176"/>
      <c r="BC60" s="187"/>
      <c r="BD60" s="1426"/>
      <c r="BE60" s="1426"/>
      <c r="BF60" s="1018"/>
      <c r="BG60" s="1018"/>
      <c r="BH60" s="1018"/>
      <c r="BI60" s="1426"/>
      <c r="BJ60" s="633" t="s">
        <v>1586</v>
      </c>
      <c r="BK60" s="633"/>
    </row>
    <row s="1448" customFormat="1" customHeight="1" ht="12">
      <c r="A61" s="1812"/>
      <c r="B61" s="429"/>
      <c r="C61" s="483"/>
      <c r="D61" s="1812"/>
      <c r="E61" s="267">
        <v>13</v>
      </c>
      <c r="F61" s="50" cm="1" t="str">
        <f t="array" ref="F61:F61">OFFSET(E61,-1,1)</f>
        <v>1</v>
      </c>
      <c r="G61" s="126"/>
      <c r="H61" s="126"/>
      <c r="I61" s="1812"/>
      <c r="J61" s="1812"/>
      <c r="K61" s="1812"/>
      <c r="L61" s="1812"/>
      <c r="M61" s="1812"/>
      <c r="N61" s="1812"/>
      <c r="O61" s="1812"/>
      <c r="P61" s="1812"/>
      <c r="Q61" s="1812"/>
      <c r="R61" s="1812"/>
      <c r="S61" s="1812"/>
      <c r="T61" s="465" cm="1" t="str">
        <f t="array" ref="T61:T61">T60</f>
        <v>true</v>
      </c>
      <c r="U61" s="1812"/>
      <c r="V61" s="1812"/>
      <c r="W61" s="1812"/>
      <c r="X61" s="1543"/>
      <c r="Y61" s="1812"/>
      <c r="Z61" s="1565"/>
      <c r="AA61" s="1812"/>
      <c r="AB61" s="652"/>
      <c r="AC61" s="266" t="s">
        <v>1592</v>
      </c>
      <c r="AD61" s="267"/>
      <c r="AE61" s="268"/>
      <c r="AF61" s="268"/>
      <c r="AG61" s="268"/>
      <c r="AH61" s="268"/>
      <c r="AI61" s="268"/>
      <c r="AJ61" s="268"/>
      <c r="AK61" s="268"/>
      <c r="AL61" s="268"/>
      <c r="AM61" s="268"/>
      <c r="AN61" s="268"/>
      <c r="AO61" s="268"/>
      <c r="AP61" s="268"/>
      <c r="AQ61" s="268"/>
      <c r="AR61" s="268"/>
      <c r="AS61" s="268"/>
      <c r="AT61" s="268"/>
      <c r="AU61" s="268"/>
      <c r="AV61" s="268"/>
      <c r="AW61" s="268"/>
      <c r="AX61" s="268"/>
      <c r="AY61" s="268"/>
      <c r="AZ61" s="268"/>
      <c r="BA61" s="268"/>
      <c r="BB61" s="268"/>
      <c r="BC61" s="269"/>
      <c r="BD61" s="1812"/>
      <c r="BE61" s="1812"/>
      <c r="BF61" s="1030"/>
      <c r="BG61" s="1030"/>
      <c r="BH61" s="1030"/>
      <c r="BI61" s="1812"/>
      <c r="BJ61" s="267"/>
      <c r="BK61" s="267"/>
    </row>
    <row s="1834" customFormat="1" customHeight="1" ht="10.5" hidden="1">
      <c r="E62" s="267">
        <v>11</v>
      </c>
      <c r="F62" s="1175" cm="1" t="str">
        <f t="array" ref="F62:F62">OFFSET(E62,-1,1)</f>
        <v>1</v>
      </c>
      <c r="T62" s="465">
        <f>AND(F62&gt;0,Y62&gt;0)</f>
        <v>0</v>
      </c>
      <c r="W62" s="717" t="s">
        <v>174</v>
      </c>
      <c r="Y62" s="1641">
        <v>0</v>
      </c>
      <c r="AA62" s="1648" t="s">
        <v>175</v>
      </c>
      <c r="AB62" s="89" t="str">
        <f>"7."&amp;Y62</f>
        <v>7.0</v>
      </c>
      <c r="AC62" s="1695"/>
      <c r="AD62" s="93"/>
      <c r="BF62" s="1030"/>
      <c r="BG62" s="1030"/>
      <c r="BH62" s="1030"/>
      <c r="BI62" s="1030"/>
      <c r="BJ62" s="267"/>
      <c r="BK62" s="267"/>
    </row>
    <row s="1448" customFormat="1" customHeight="1" ht="10.5" hidden="1">
      <c r="E63" s="267">
        <v>11.25</v>
      </c>
      <c r="F63" s="50" cm="1" t="str">
        <f t="array" ref="F63:F63">OFFSET(E63,-1,1)</f>
        <v>1</v>
      </c>
      <c r="G63" s="126" t="s">
        <v>1225</v>
      </c>
      <c r="H63" s="126" cm="1" t="str">
        <f t="array" ref="H63:H63">AC63</f>
        <v>0</v>
      </c>
      <c r="T63" s="465" cm="1" t="str">
        <f t="array" ref="T63:T63">T62</f>
        <v>false</v>
      </c>
      <c r="Y63" s="1543">
        <v>0</v>
      </c>
      <c r="AA63" s="1494" t="s">
        <v>175</v>
      </c>
      <c r="AB63" s="89" t="str">
        <f>AB62&amp;".1"</f>
        <v>7.0.1</v>
      </c>
      <c r="AC63" s="54"/>
      <c r="AD63" s="89" t="s">
        <v>1514</v>
      </c>
      <c r="AE63" s="142">
        <f>AE64+AE67</f>
        <v>0</v>
      </c>
      <c r="AF63" s="142">
        <f>AF64+AF67</f>
        <v>0</v>
      </c>
      <c r="AG63" s="142">
        <f>AG64+AG67</f>
        <v>0</v>
      </c>
      <c r="AH63" s="142">
        <f>AH64+AH67</f>
        <v>0</v>
      </c>
      <c r="AI63" s="142">
        <f>AI64+AI67</f>
        <v>0</v>
      </c>
      <c r="AJ63" s="142">
        <f>AJ64+AJ67</f>
        <v>0</v>
      </c>
      <c r="AK63" s="142">
        <f>AK64+AK67</f>
        <v>0</v>
      </c>
      <c r="AL63" s="142">
        <f>AL64+AL67</f>
        <v>0</v>
      </c>
      <c r="AM63" s="142">
        <f>AM64+AM67</f>
        <v>0</v>
      </c>
      <c r="AN63" s="142">
        <f>AN64+AN67</f>
        <v>0</v>
      </c>
      <c r="AO63" s="142">
        <f>AO64+AO67</f>
        <v>0</v>
      </c>
      <c r="AP63" s="142">
        <f>AP64+AP67</f>
        <v>0</v>
      </c>
      <c r="AQ63" s="142">
        <f>AQ64+AQ67</f>
        <v>0</v>
      </c>
      <c r="AR63" s="142">
        <f>AR64+AR67</f>
        <v>0</v>
      </c>
      <c r="AS63" s="142">
        <f>AS64+AS67</f>
        <v>0</v>
      </c>
      <c r="AT63" s="142">
        <f>AT64+AT67</f>
        <v>0</v>
      </c>
      <c r="AU63" s="142">
        <f>AU64+AU67</f>
        <v>0</v>
      </c>
      <c r="AV63" s="142">
        <f>AV64+AV67</f>
        <v>0</v>
      </c>
      <c r="AW63" s="142">
        <f>AW64+AW67</f>
        <v>0</v>
      </c>
      <c r="AX63" s="142">
        <f>AX64+AX67</f>
        <v>0</v>
      </c>
      <c r="AY63" s="142">
        <f>AY64+AY67</f>
        <v>0</v>
      </c>
      <c r="AZ63" s="142">
        <f>AZ64+AZ67</f>
        <v>0</v>
      </c>
      <c r="BA63" s="142">
        <f>BA64+BA67</f>
        <v>0</v>
      </c>
      <c r="BB63" s="142">
        <f>BB64+BB67</f>
        <v>0</v>
      </c>
      <c r="BC63" s="3292"/>
      <c r="BF63" s="1030" t="s">
        <v>1593</v>
      </c>
      <c r="BG63" s="1030" t="s">
        <v>1594</v>
      </c>
      <c r="BH63" s="1030" cm="1" t="str">
        <f t="array" ref="BH63:BH63">AC63</f>
        <v>0</v>
      </c>
      <c r="BI63" s="146" cm="1" t="str">
        <f t="array" ref="BI63:BI63">AC62</f>
        <v>0</v>
      </c>
      <c r="BJ63" s="267"/>
      <c r="BK63" s="267" t="b">
        <v>1</v>
      </c>
    </row>
    <row s="1448" customFormat="1" customHeight="1" ht="10.5" hidden="1">
      <c r="E64" s="267">
        <v>11.25</v>
      </c>
      <c r="F64" s="50" cm="1" t="str">
        <f t="array" ref="F64:F64">OFFSET(E64,-1,1)</f>
        <v>1</v>
      </c>
      <c r="G64" s="126" t="s">
        <v>1390</v>
      </c>
      <c r="H64" s="126" cm="1" t="str">
        <f t="array" ref="H64:H64">H63</f>
        <v>0</v>
      </c>
      <c r="T64" s="465" cm="1" t="str">
        <f t="array" ref="T64:T64">T63</f>
        <v>false</v>
      </c>
      <c r="AA64" s="1494"/>
      <c r="AB64" s="89" t="str">
        <f>AB62&amp;".2"</f>
        <v>7.0.2</v>
      </c>
      <c r="AC64" s="192" t="s">
        <v>1595</v>
      </c>
      <c r="AD64" s="89" t="s">
        <v>1596</v>
      </c>
      <c r="AE64" s="3293"/>
      <c r="AF64" s="3293"/>
      <c r="AG64" s="3293"/>
      <c r="AH64" s="3293"/>
      <c r="AI64" s="3293"/>
      <c r="AJ64" s="3293"/>
      <c r="AK64" s="3293"/>
      <c r="AL64" s="3293"/>
      <c r="AM64" s="3293"/>
      <c r="AN64" s="3293"/>
      <c r="AO64" s="3293"/>
      <c r="AP64" s="3293"/>
      <c r="AQ64" s="3293"/>
      <c r="AR64" s="3293"/>
      <c r="AS64" s="3293"/>
      <c r="AT64" s="3293"/>
      <c r="AU64" s="3293"/>
      <c r="AV64" s="3293"/>
      <c r="AW64" s="3293"/>
      <c r="AX64" s="3293"/>
      <c r="AY64" s="3293"/>
      <c r="AZ64" s="3293"/>
      <c r="BA64" s="3293"/>
      <c r="BB64" s="3293"/>
      <c r="BC64" s="3292"/>
      <c r="BF64" s="1030" t="s">
        <v>1597</v>
      </c>
      <c r="BG64" s="1030" t="s">
        <v>1594</v>
      </c>
      <c r="BH64" s="1030" cm="1" t="str">
        <f t="array" ref="BH64:BH64">BH63</f>
        <v>0</v>
      </c>
      <c r="BI64" s="146" cm="1" t="str">
        <f t="array" ref="BI64:BI64">BI63</f>
        <v>0</v>
      </c>
      <c r="BJ64" s="267"/>
      <c r="BK64" s="267"/>
    </row>
    <row s="1448" customFormat="1" customHeight="1" ht="10.5" hidden="1">
      <c r="E65" s="267">
        <v>11.25</v>
      </c>
      <c r="F65" s="50" cm="1" t="str">
        <f t="array" ref="F65:F65">OFFSET(E65,-1,1)</f>
        <v>1</v>
      </c>
      <c r="G65" s="126" t="s">
        <v>1598</v>
      </c>
      <c r="H65" s="126" cm="1" t="str">
        <f t="array" ref="H65:H65">H64</f>
        <v>0</v>
      </c>
      <c r="T65" s="465" cm="1" t="str">
        <f t="array" ref="T65:T65">T64</f>
        <v>false</v>
      </c>
      <c r="AA65" s="1494"/>
      <c r="AB65" s="89" t="str">
        <f>AB62&amp;".3"</f>
        <v>7.0.3</v>
      </c>
      <c r="AC65" s="332" t="s">
        <v>1587</v>
      </c>
      <c r="AD65" s="92" t="s">
        <v>1579</v>
      </c>
      <c r="AE65" s="142">
        <f>IF(OR(AND(AE64&lt;&gt;0,AE66=0),AND(AE64=0,AE66&lt;&gt;0)),"Ошибка",IF(AE66=0,0,AE64/AE66))</f>
        <v>0</v>
      </c>
      <c r="AF65" s="142">
        <f>IF(OR(AND(AF64&lt;&gt;0,AF66=0),AND(AF64=0,AF66&lt;&gt;0)),"Ошибка",IF(AF66=0,0,AF64/AF66))</f>
        <v>0</v>
      </c>
      <c r="AG65" s="142">
        <f>IF(OR(AND(AG64&lt;&gt;0,AG66=0),AND(AG64=0,AG66&lt;&gt;0)),"Ошибка",IF(AG66=0,0,AG64/AG66))</f>
        <v>0</v>
      </c>
      <c r="AH65" s="142">
        <f>IF(OR(AND(AH64&lt;&gt;0,AH66=0),AND(AH64=0,AH66&lt;&gt;0)),"Ошибка",IF(AH66=0,0,AH64/AH66))</f>
        <v>0</v>
      </c>
      <c r="AI65" s="142">
        <f>IF(OR(AND(AI64&lt;&gt;0,AI66=0),AND(AI64=0,AI66&lt;&gt;0)),"Ошибка",IF(AI66=0,0,AI64/AI66))</f>
        <v>0</v>
      </c>
      <c r="AJ65" s="142">
        <f>IF(OR(AND(AJ64&lt;&gt;0,AJ66=0),AND(AJ64=0,AJ66&lt;&gt;0)),"Ошибка",IF(AJ66=0,0,AJ64/AJ66))</f>
        <v>0</v>
      </c>
      <c r="AK65" s="142">
        <f>IF(OR(AND(AK64&lt;&gt;0,AK66=0),AND(AK64=0,AK66&lt;&gt;0)),"Ошибка",IF(AK66=0,0,AK64/AK66))</f>
        <v>0</v>
      </c>
      <c r="AL65" s="142">
        <f>IF(OR(AND(AL64&lt;&gt;0,AL66=0),AND(AL64=0,AL66&lt;&gt;0)),"Ошибка",IF(AL66=0,0,AL64/AL66))</f>
        <v>0</v>
      </c>
      <c r="AM65" s="142">
        <f>IF(OR(AND(AM64&lt;&gt;0,AM66=0),AND(AM64=0,AM66&lt;&gt;0)),"Ошибка",IF(AM66=0,0,AM64/AM66))</f>
        <v>0</v>
      </c>
      <c r="AN65" s="142">
        <f>IF(OR(AND(AN64&lt;&gt;0,AN66=0),AND(AN64=0,AN66&lt;&gt;0)),"Ошибка",IF(AN66=0,0,AN64/AN66))</f>
        <v>0</v>
      </c>
      <c r="AO65" s="142">
        <f>IF(OR(AND(AO64&lt;&gt;0,AO66=0),AND(AO64=0,AO66&lt;&gt;0)),"Ошибка",IF(AO66=0,0,AO64/AO66))</f>
        <v>0</v>
      </c>
      <c r="AP65" s="142">
        <f>IF(OR(AND(AP64&lt;&gt;0,AP66=0),AND(AP64=0,AP66&lt;&gt;0)),"Ошибка",IF(AP66=0,0,AP64/AP66))</f>
        <v>0</v>
      </c>
      <c r="AQ65" s="142">
        <f>IF(OR(AND(AQ64&lt;&gt;0,AQ66=0),AND(AQ64=0,AQ66&lt;&gt;0)),"Ошибка",IF(AQ66=0,0,AQ64/AQ66))</f>
        <v>0</v>
      </c>
      <c r="AR65" s="142">
        <f>IF(OR(AND(AR64&lt;&gt;0,AR66=0),AND(AR64=0,AR66&lt;&gt;0)),"Ошибка",IF(AR66=0,0,AR64/AR66))</f>
        <v>0</v>
      </c>
      <c r="AS65" s="142">
        <f>IF(OR(AND(AS64&lt;&gt;0,AS66=0),AND(AS64=0,AS66&lt;&gt;0)),"Ошибка",IF(AS66=0,0,AS64/AS66))</f>
        <v>0</v>
      </c>
      <c r="AT65" s="142">
        <f>IF(OR(AND(AT64&lt;&gt;0,AT66=0),AND(AT64=0,AT66&lt;&gt;0)),"Ошибка",IF(AT66=0,0,AT64/AT66))</f>
        <v>0</v>
      </c>
      <c r="AU65" s="142">
        <f>IF(OR(AND(AU64&lt;&gt;0,AU66=0),AND(AU64=0,AU66&lt;&gt;0)),"Ошибка",IF(AU66=0,0,AU64/AU66))</f>
        <v>0</v>
      </c>
      <c r="AV65" s="142">
        <f>IF(OR(AND(AV64&lt;&gt;0,AV66=0),AND(AV64=0,AV66&lt;&gt;0)),"Ошибка",IF(AV66=0,0,AV64/AV66))</f>
        <v>0</v>
      </c>
      <c r="AW65" s="142">
        <f>IF(OR(AND(AW64&lt;&gt;0,AW66=0),AND(AW64=0,AW66&lt;&gt;0)),"Ошибка",IF(AW66=0,0,AW64/AW66))</f>
        <v>0</v>
      </c>
      <c r="AX65" s="142">
        <f>IF(OR(AND(AX64&lt;&gt;0,AX66=0),AND(AX64=0,AX66&lt;&gt;0)),"Ошибка",IF(AX66=0,0,AX64/AX66))</f>
        <v>0</v>
      </c>
      <c r="AY65" s="142">
        <f>IF(OR(AND(AY64&lt;&gt;0,AY66=0),AND(AY64=0,AY66&lt;&gt;0)),"Ошибка",IF(AY66=0,0,AY64/AY66))</f>
        <v>0</v>
      </c>
      <c r="AZ65" s="142">
        <f>IF(OR(AND(AZ64&lt;&gt;0,AZ66=0),AND(AZ64=0,AZ66&lt;&gt;0)),"Ошибка",IF(AZ66=0,0,AZ64/AZ66))</f>
        <v>0</v>
      </c>
      <c r="BA65" s="142">
        <f>IF(OR(AND(BA64&lt;&gt;0,BA66=0),AND(BA64=0,BA66&lt;&gt;0)),"Ошибка",IF(BA66=0,0,BA64/BA66))</f>
        <v>0</v>
      </c>
      <c r="BB65" s="142">
        <f>IF(OR(AND(BB64&lt;&gt;0,BB66=0),AND(BB64=0,BB66&lt;&gt;0)),"Ошибка",IF(BB66=0,0,BB64/BB66))</f>
        <v>0</v>
      </c>
      <c r="BC65" s="3292"/>
      <c r="BF65" s="1030" t="s">
        <v>1599</v>
      </c>
      <c r="BG65" s="1030" t="s">
        <v>1594</v>
      </c>
      <c r="BH65" s="1030" cm="1" t="str">
        <f t="array" ref="BH65:BH65">BH64</f>
        <v>0</v>
      </c>
      <c r="BI65" s="146" cm="1" t="str">
        <f t="array" ref="BI65:BI65">BI64</f>
        <v>0</v>
      </c>
      <c r="BJ65" s="267"/>
      <c r="BK65" s="267"/>
    </row>
    <row s="1448" customFormat="1" customHeight="1" ht="10.5" hidden="1">
      <c r="E66" s="267">
        <v>11.25</v>
      </c>
      <c r="F66" s="50" cm="1" t="str">
        <f t="array" ref="F66:F66">OFFSET(E66,-1,1)</f>
        <v>1</v>
      </c>
      <c r="G66" s="126" t="s">
        <v>1600</v>
      </c>
      <c r="H66" s="126" cm="1" t="str">
        <f t="array" ref="H66:H66">H65</f>
        <v>0</v>
      </c>
      <c r="T66" s="465" cm="1" t="str">
        <f t="array" ref="T66:T66">T65</f>
        <v>false</v>
      </c>
      <c r="AA66" s="1494"/>
      <c r="AB66" s="89" t="str">
        <f>AB62&amp;".4"</f>
        <v>7.0.4</v>
      </c>
      <c r="AC66" s="332" t="s">
        <v>1589</v>
      </c>
      <c r="AD66" s="92" t="s">
        <v>1573</v>
      </c>
      <c r="AE66" s="3293"/>
      <c r="AF66" s="3293"/>
      <c r="AG66" s="3293"/>
      <c r="AH66" s="3293"/>
      <c r="AI66" s="3293"/>
      <c r="AJ66" s="3293"/>
      <c r="AK66" s="3293"/>
      <c r="AL66" s="3293"/>
      <c r="AM66" s="3293"/>
      <c r="AN66" s="3293"/>
      <c r="AO66" s="3293"/>
      <c r="AP66" s="3293"/>
      <c r="AQ66" s="3293"/>
      <c r="AR66" s="3293"/>
      <c r="AS66" s="3293"/>
      <c r="AT66" s="3293"/>
      <c r="AU66" s="3293"/>
      <c r="AV66" s="3293"/>
      <c r="AW66" s="3293"/>
      <c r="AX66" s="3293"/>
      <c r="AY66" s="3293"/>
      <c r="AZ66" s="3293"/>
      <c r="BA66" s="3293"/>
      <c r="BB66" s="3293"/>
      <c r="BC66" s="3292"/>
      <c r="BF66" s="1030" t="s">
        <v>1601</v>
      </c>
      <c r="BG66" s="1030" t="s">
        <v>1594</v>
      </c>
      <c r="BH66" s="1030" cm="1" t="str">
        <f t="array" ref="BH66:BH66">BH65</f>
        <v>0</v>
      </c>
      <c r="BI66" s="146" cm="1" t="str">
        <f t="array" ref="BI66:BI66">BI65</f>
        <v>0</v>
      </c>
      <c r="BJ66" s="267"/>
      <c r="BK66" s="267"/>
    </row>
    <row s="1448" customFormat="1" customHeight="1" ht="10.5" hidden="1">
      <c r="E67" s="267">
        <v>11.25</v>
      </c>
      <c r="F67" s="50" cm="1" t="str">
        <f t="array" ref="F67:F67">OFFSET(E67,-1,1)</f>
        <v>1</v>
      </c>
      <c r="G67" s="126" t="s">
        <v>1393</v>
      </c>
      <c r="H67" s="126" cm="1" t="str">
        <f t="array" ref="H67:H67">H66</f>
        <v>0</v>
      </c>
      <c r="T67" s="465" cm="1" t="str">
        <f t="array" ref="T67:T67">T66</f>
        <v>false</v>
      </c>
      <c r="AA67" s="1494"/>
      <c r="AB67" s="89" t="str">
        <f>AB62&amp;".5"</f>
        <v>7.0.5</v>
      </c>
      <c r="AC67" s="192" t="s">
        <v>1602</v>
      </c>
      <c r="AD67" s="89" t="s">
        <v>1596</v>
      </c>
      <c r="AE67" s="3293"/>
      <c r="AF67" s="3293"/>
      <c r="AG67" s="3293"/>
      <c r="AH67" s="3293"/>
      <c r="AI67" s="3293"/>
      <c r="AJ67" s="3293"/>
      <c r="AK67" s="3293"/>
      <c r="AL67" s="3293"/>
      <c r="AM67" s="3293"/>
      <c r="AN67" s="3293"/>
      <c r="AO67" s="3293"/>
      <c r="AP67" s="3293"/>
      <c r="AQ67" s="3293"/>
      <c r="AR67" s="3293"/>
      <c r="AS67" s="3293"/>
      <c r="AT67" s="3293"/>
      <c r="AU67" s="3293"/>
      <c r="AV67" s="3293"/>
      <c r="AW67" s="3293"/>
      <c r="AX67" s="3293"/>
      <c r="AY67" s="3293"/>
      <c r="AZ67" s="3293"/>
      <c r="BA67" s="3293"/>
      <c r="BB67" s="3293"/>
      <c r="BC67" s="3292"/>
      <c r="BF67" s="1030" t="s">
        <v>1603</v>
      </c>
      <c r="BG67" s="1030" t="s">
        <v>1594</v>
      </c>
      <c r="BH67" s="1030" cm="1" t="str">
        <f t="array" ref="BH67:BH67">BH66</f>
        <v>0</v>
      </c>
      <c r="BI67" s="146" cm="1" t="str">
        <f t="array" ref="BI67:BI67">BI66</f>
        <v>0</v>
      </c>
      <c r="BJ67" s="267"/>
      <c r="BK67" s="267"/>
    </row>
    <row s="1448" customFormat="1" customHeight="1" ht="10.5" hidden="1">
      <c r="E68" s="267">
        <v>11.25</v>
      </c>
      <c r="F68" s="50" cm="1" t="str">
        <f t="array" ref="F68:F68">OFFSET(E68,-1,1)</f>
        <v>1</v>
      </c>
      <c r="G68" s="126" t="s">
        <v>1604</v>
      </c>
      <c r="H68" s="126" cm="1" t="str">
        <f t="array" ref="H68:H68">H67</f>
        <v>0</v>
      </c>
      <c r="T68" s="465" cm="1" t="str">
        <f t="array" ref="T68:T68">T67</f>
        <v>false</v>
      </c>
      <c r="AA68" s="1494"/>
      <c r="AB68" s="89" t="str">
        <f>AB62&amp;".6"</f>
        <v>7.0.6</v>
      </c>
      <c r="AC68" s="332" t="s">
        <v>1605</v>
      </c>
      <c r="AD68" s="92" t="s">
        <v>1606</v>
      </c>
      <c r="AE68" s="142">
        <f>IF(OR(AND(AE67&lt;&gt;0,AE69=0),AND(AE67=0,AE69&lt;&gt;0)),"Ошибка",IF(AE69=0,0,AE67/AE69*1000/12))</f>
        <v>0</v>
      </c>
      <c r="AF68" s="142">
        <f>IF(OR(AND(AF67&lt;&gt;0,AF69=0),AND(AF67=0,AF69&lt;&gt;0)),"Ошибка",IF(AF69=0,0,AF67/AF69*1000/12))</f>
        <v>0</v>
      </c>
      <c r="AG68" s="142">
        <f>IF(OR(AND(AG67&lt;&gt;0,AG69=0),AND(AG67=0,AG69&lt;&gt;0)),"Ошибка",IF(AG69=0,0,AG67/AG69*1000/12))</f>
        <v>0</v>
      </c>
      <c r="AH68" s="142">
        <f>IF(OR(AND(AH67&lt;&gt;0,AH69=0),AND(AH67=0,AH69&lt;&gt;0)),"Ошибка",IF(AH69=0,0,AH67/AH69*1000/12))</f>
        <v>0</v>
      </c>
      <c r="AI68" s="142">
        <f>IF(OR(AND(AI67&lt;&gt;0,AI69=0),AND(AI67=0,AI69&lt;&gt;0)),"Ошибка",IF(AI69=0,0,AI67/AI69*1000/12))</f>
        <v>0</v>
      </c>
      <c r="AJ68" s="142">
        <f>IF(OR(AND(AJ67&lt;&gt;0,AJ69=0),AND(AJ67=0,AJ69&lt;&gt;0)),"Ошибка",IF(AJ69=0,0,AJ67/AJ69*1000/12))</f>
        <v>0</v>
      </c>
      <c r="AK68" s="142">
        <f>IF(OR(AND(AK67&lt;&gt;0,AK69=0),AND(AK67=0,AK69&lt;&gt;0)),"Ошибка",IF(AK69=0,0,AK67/AK69*1000/12))</f>
        <v>0</v>
      </c>
      <c r="AL68" s="142">
        <f>IF(OR(AND(AL67&lt;&gt;0,AL69=0),AND(AL67=0,AL69&lt;&gt;0)),"Ошибка",IF(AL69=0,0,AL67/AL69*1000/12))</f>
        <v>0</v>
      </c>
      <c r="AM68" s="142">
        <f>IF(OR(AND(AM67&lt;&gt;0,AM69=0),AND(AM67=0,AM69&lt;&gt;0)),"Ошибка",IF(AM69=0,0,AM67/AM69*1000/12))</f>
        <v>0</v>
      </c>
      <c r="AN68" s="142">
        <f>IF(OR(AND(AN67&lt;&gt;0,AN69=0),AND(AN67=0,AN69&lt;&gt;0)),"Ошибка",IF(AN69=0,0,AN67/AN69*1000/12))</f>
        <v>0</v>
      </c>
      <c r="AO68" s="142">
        <f>IF(OR(AND(AO67&lt;&gt;0,AO69=0),AND(AO67=0,AO69&lt;&gt;0)),"Ошибка",IF(AO69=0,0,AO67/AO69*1000/12))</f>
        <v>0</v>
      </c>
      <c r="AP68" s="142">
        <f>IF(OR(AND(AP67&lt;&gt;0,AP69=0),AND(AP67=0,AP69&lt;&gt;0)),"Ошибка",IF(AP69=0,0,AP67/AP69*1000/12))</f>
        <v>0</v>
      </c>
      <c r="AQ68" s="142">
        <f>IF(OR(AND(AQ67&lt;&gt;0,AQ69=0),AND(AQ67=0,AQ69&lt;&gt;0)),"Ошибка",IF(AQ69=0,0,AQ67/AQ69*1000/12))</f>
        <v>0</v>
      </c>
      <c r="AR68" s="142">
        <f>IF(OR(AND(AR67&lt;&gt;0,AR69=0),AND(AR67=0,AR69&lt;&gt;0)),"Ошибка",IF(AR69=0,0,AR67/AR69*1000/12))</f>
        <v>0</v>
      </c>
      <c r="AS68" s="142">
        <f>IF(OR(AND(AS67&lt;&gt;0,AS69=0),AND(AS67=0,AS69&lt;&gt;0)),"Ошибка",IF(AS69=0,0,AS67/AS69*1000/12))</f>
        <v>0</v>
      </c>
      <c r="AT68" s="142">
        <f>IF(OR(AND(AT67&lt;&gt;0,AT69=0),AND(AT67=0,AT69&lt;&gt;0)),"Ошибка",IF(AT69=0,0,AT67/AT69*1000/12))</f>
        <v>0</v>
      </c>
      <c r="AU68" s="142">
        <f>IF(OR(AND(AU67&lt;&gt;0,AU69=0),AND(AU67=0,AU69&lt;&gt;0)),"Ошибка",IF(AU69=0,0,AU67/AU69*1000/12))</f>
        <v>0</v>
      </c>
      <c r="AV68" s="142">
        <f>IF(OR(AND(AV67&lt;&gt;0,AV69=0),AND(AV67=0,AV69&lt;&gt;0)),"Ошибка",IF(AV69=0,0,AV67/AV69*1000/12))</f>
        <v>0</v>
      </c>
      <c r="AW68" s="142">
        <f>IF(OR(AND(AW67&lt;&gt;0,AW69=0),AND(AW67=0,AW69&lt;&gt;0)),"Ошибка",IF(AW69=0,0,AW67/AW69*1000/12))</f>
        <v>0</v>
      </c>
      <c r="AX68" s="142">
        <f>IF(OR(AND(AX67&lt;&gt;0,AX69=0),AND(AX67=0,AX69&lt;&gt;0)),"Ошибка",IF(AX69=0,0,AX67/AX69*1000/12))</f>
        <v>0</v>
      </c>
      <c r="AY68" s="142">
        <f>IF(OR(AND(AY67&lt;&gt;0,AY69=0),AND(AY67=0,AY69&lt;&gt;0)),"Ошибка",IF(AY69=0,0,AY67/AY69*1000/12))</f>
        <v>0</v>
      </c>
      <c r="AZ68" s="142">
        <f>IF(OR(AND(AZ67&lt;&gt;0,AZ69=0),AND(AZ67=0,AZ69&lt;&gt;0)),"Ошибка",IF(AZ69=0,0,AZ67/AZ69*1000/12))</f>
        <v>0</v>
      </c>
      <c r="BA68" s="142">
        <f>IF(OR(AND(BA67&lt;&gt;0,BA69=0),AND(BA67=0,BA69&lt;&gt;0)),"Ошибка",IF(BA69=0,0,BA67/BA69*1000/12))</f>
        <v>0</v>
      </c>
      <c r="BB68" s="142">
        <f>IF(OR(AND(BB67&lt;&gt;0,BB69=0),AND(BB67=0,BB69&lt;&gt;0)),"Ошибка",IF(BB69=0,0,BB67/BB69*1000/12))</f>
        <v>0</v>
      </c>
      <c r="BC68" s="3292"/>
      <c r="BF68" s="1030" t="s">
        <v>1607</v>
      </c>
      <c r="BG68" s="1030" t="s">
        <v>1594</v>
      </c>
      <c r="BH68" s="1030" cm="1" t="str">
        <f t="array" ref="BH68:BH68">BH67</f>
        <v>0</v>
      </c>
      <c r="BI68" s="146" cm="1" t="str">
        <f t="array" ref="BI68:BI68">BI67</f>
        <v>0</v>
      </c>
      <c r="BJ68" s="267"/>
      <c r="BK68" s="267"/>
    </row>
    <row s="1448" customFormat="1" customHeight="1" ht="10.5" hidden="1">
      <c r="E69" s="267">
        <v>11.25</v>
      </c>
      <c r="F69" s="50" cm="1" t="str">
        <f t="array" ref="F69:F69">OFFSET(E69,-1,1)</f>
        <v>1</v>
      </c>
      <c r="G69" s="126" t="s">
        <v>1608</v>
      </c>
      <c r="H69" s="126" cm="1" t="str">
        <f t="array" ref="H69:H69">H68</f>
        <v>0</v>
      </c>
      <c r="T69" s="465" cm="1" t="str">
        <f t="array" ref="T69:T69">T68</f>
        <v>false</v>
      </c>
      <c r="AA69" s="1494"/>
      <c r="AB69" s="89" t="str">
        <f>AB62&amp;".7"</f>
        <v>7.0.7</v>
      </c>
      <c r="AC69" s="332" t="s">
        <v>1609</v>
      </c>
      <c r="AD69" s="92" t="s">
        <v>1610</v>
      </c>
      <c r="AE69" s="3293"/>
      <c r="AF69" s="3293"/>
      <c r="AG69" s="3293"/>
      <c r="AH69" s="3293"/>
      <c r="AI69" s="3293"/>
      <c r="AJ69" s="3293"/>
      <c r="AK69" s="3293"/>
      <c r="AL69" s="3293"/>
      <c r="AM69" s="3293"/>
      <c r="AN69" s="3293"/>
      <c r="AO69" s="3293"/>
      <c r="AP69" s="3293"/>
      <c r="AQ69" s="3293"/>
      <c r="AR69" s="3293"/>
      <c r="AS69" s="3293"/>
      <c r="AT69" s="3293"/>
      <c r="AU69" s="3293"/>
      <c r="AV69" s="3293"/>
      <c r="AW69" s="3293"/>
      <c r="AX69" s="3293"/>
      <c r="AY69" s="3293"/>
      <c r="AZ69" s="3293"/>
      <c r="BA69" s="3293"/>
      <c r="BB69" s="3293"/>
      <c r="BC69" s="3292"/>
      <c r="BF69" s="1030" t="s">
        <v>1611</v>
      </c>
      <c r="BG69" s="1030" t="s">
        <v>1594</v>
      </c>
      <c r="BH69" s="1030" cm="1" t="str">
        <f t="array" ref="BH69:BH69">BH68</f>
        <v>0</v>
      </c>
      <c r="BI69" s="146" cm="1" t="str">
        <f t="array" ref="BI69:BI69">BI68</f>
        <v>0</v>
      </c>
      <c r="BJ69" s="267"/>
      <c r="BK69" s="267"/>
    </row>
    <row s="1834" customFormat="1" customHeight="1" ht="23.25">
      <c r="A70" s="1834"/>
      <c r="B70" s="1834"/>
      <c r="C70" s="1834"/>
      <c r="D70" s="1834"/>
      <c r="E70" s="267">
        <v>11</v>
      </c>
      <c r="F70" s="1175" cm="1" t="str">
        <f t="array" ref="F70:F70">OFFSET(E70,-1,1)</f>
        <v>1</v>
      </c>
      <c r="G70" s="1834"/>
      <c r="H70" s="1834"/>
      <c r="I70" s="1834"/>
      <c r="J70" s="1834"/>
      <c r="K70" s="1834"/>
      <c r="L70" s="1834"/>
      <c r="M70" s="1834"/>
      <c r="N70" s="1834"/>
      <c r="O70" s="1834"/>
      <c r="P70" s="1834"/>
      <c r="Q70" s="1834"/>
      <c r="R70" s="1834"/>
      <c r="S70" s="1834"/>
      <c r="T70" s="465">
        <f>AND(F70&gt;0,Y70&gt;0)</f>
        <v>1</v>
      </c>
      <c r="U70" s="1834"/>
      <c r="V70" s="1834"/>
      <c r="W70" s="717"/>
      <c r="X70" s="1834"/>
      <c r="Y70" s="1641" t="s">
        <v>276</v>
      </c>
      <c r="Z70" s="1834"/>
      <c r="AA70" s="1648" t="s">
        <v>175</v>
      </c>
      <c r="AB70" s="89" t="str">
        <f>"7."&amp;Y70</f>
        <v>7.1</v>
      </c>
      <c r="AC70" s="1695" t="s">
        <v>1616</v>
      </c>
      <c r="AD70" s="93"/>
      <c r="AE70" s="1834"/>
      <c r="AF70" s="1834"/>
      <c r="AG70" s="1834"/>
      <c r="AH70" s="1834"/>
      <c r="AI70" s="1834"/>
      <c r="AJ70" s="1834"/>
      <c r="AK70" s="1834"/>
      <c r="AL70" s="1834"/>
      <c r="AM70" s="1834"/>
      <c r="AN70" s="1834"/>
      <c r="AO70" s="1834"/>
      <c r="AP70" s="1834"/>
      <c r="AQ70" s="1834"/>
      <c r="AR70" s="1834"/>
      <c r="AS70" s="1834"/>
      <c r="AT70" s="1834"/>
      <c r="AU70" s="1834"/>
      <c r="AV70" s="1834"/>
      <c r="AW70" s="1834"/>
      <c r="AX70" s="1834"/>
      <c r="AY70" s="1834"/>
      <c r="AZ70" s="1834"/>
      <c r="BA70" s="1834"/>
      <c r="BB70" s="1834"/>
      <c r="BC70" s="1834"/>
      <c r="BD70" s="1834"/>
      <c r="BE70" s="1834"/>
      <c r="BF70" s="1030"/>
      <c r="BG70" s="1030"/>
      <c r="BH70" s="1030"/>
      <c r="BI70" s="1030"/>
      <c r="BJ70" s="267"/>
      <c r="BK70" s="267"/>
    </row>
    <row s="1448" customFormat="1" customHeight="1" ht="10.5">
      <c r="A71" s="1448"/>
      <c r="B71" s="1448"/>
      <c r="C71" s="1448"/>
      <c r="D71" s="1448"/>
      <c r="E71" s="267">
        <v>11.25</v>
      </c>
      <c r="F71" s="50" cm="1" t="str">
        <f t="array" ref="F71:F71">OFFSET(E71,-1,1)</f>
        <v>1</v>
      </c>
      <c r="G71" s="126" t="s">
        <v>1225</v>
      </c>
      <c r="H71" s="126" cm="1" t="str">
        <f t="array" ref="H71:H71">AC71</f>
        <v>НН</v>
      </c>
      <c r="I71" s="1448"/>
      <c r="J71" s="1448"/>
      <c r="K71" s="1448"/>
      <c r="L71" s="1448"/>
      <c r="M71" s="1448"/>
      <c r="N71" s="1448"/>
      <c r="O71" s="1448"/>
      <c r="P71" s="1448"/>
      <c r="Q71" s="1448"/>
      <c r="R71" s="1448"/>
      <c r="S71" s="1448"/>
      <c r="T71" s="465" cm="1" t="str">
        <f t="array" ref="T71:T71">T70</f>
        <v>true</v>
      </c>
      <c r="U71" s="1448"/>
      <c r="V71" s="1448"/>
      <c r="W71" s="1448"/>
      <c r="X71" s="1448"/>
      <c r="Y71" s="1543">
        <v>0</v>
      </c>
      <c r="Z71" s="1448"/>
      <c r="AA71" s="1494" t="s">
        <v>175</v>
      </c>
      <c r="AB71" s="89" t="str">
        <f>AB70&amp;".1"</f>
        <v>7.1.1</v>
      </c>
      <c r="AC71" s="3294" t="s">
        <v>1617</v>
      </c>
      <c r="AD71" s="89" t="s">
        <v>1514</v>
      </c>
      <c r="AE71" s="142">
        <f>AE72+AE75</f>
        <v>0</v>
      </c>
      <c r="AF71" s="142">
        <f>AF72+AF75</f>
        <v>0</v>
      </c>
      <c r="AG71" s="142">
        <f>AG72+AG75</f>
        <v>0</v>
      </c>
      <c r="AH71" s="142">
        <f>AH72+AH75</f>
        <v>0</v>
      </c>
      <c r="AI71" s="142">
        <f>AI72+AI75</f>
        <v>402.89</v>
      </c>
      <c r="AJ71" s="142">
        <f>AJ72+AJ75</f>
        <v>439.56</v>
      </c>
      <c r="AK71" s="142">
        <f>AK72+AK75</f>
        <v>461.1</v>
      </c>
      <c r="AL71" s="142">
        <f>AL72+AL75</f>
        <v>483.69</v>
      </c>
      <c r="AM71" s="142">
        <f>AM72+AM75</f>
        <v>507.39</v>
      </c>
      <c r="AN71" s="142">
        <f>AN72+AN75</f>
        <v>0</v>
      </c>
      <c r="AO71" s="142">
        <f>AO72+AO75</f>
        <v>0</v>
      </c>
      <c r="AP71" s="142">
        <f>AP72+AP75</f>
        <v>0</v>
      </c>
      <c r="AQ71" s="142">
        <f>AQ72+AQ75</f>
        <v>0</v>
      </c>
      <c r="AR71" s="142">
        <f>AR72+AR75</f>
        <v>0</v>
      </c>
      <c r="AS71" s="142">
        <f>AS72+AS75</f>
        <v>403.751593612847</v>
      </c>
      <c r="AT71" s="142">
        <f>AT72+AT75</f>
        <v>440.492988631616</v>
      </c>
      <c r="AU71" s="142">
        <f>AU72+AU75</f>
        <v>462.077145074565</v>
      </c>
      <c r="AV71" s="142">
        <f>AV72+AV75</f>
        <v>484.732317962824</v>
      </c>
      <c r="AW71" s="142">
        <f>AW72+AW75</f>
        <v>508.732087313415</v>
      </c>
      <c r="AX71" s="142">
        <f>AX72+AX75</f>
        <v>0</v>
      </c>
      <c r="AY71" s="142">
        <f>AY72+AY75</f>
        <v>0</v>
      </c>
      <c r="AZ71" s="142">
        <f>AZ72+AZ75</f>
        <v>0</v>
      </c>
      <c r="BA71" s="142">
        <f>BA72+BA75</f>
        <v>0</v>
      </c>
      <c r="BB71" s="142">
        <f>BB72+BB75</f>
        <v>0</v>
      </c>
      <c r="BC71" s="3295"/>
      <c r="BD71" s="1448"/>
      <c r="BE71" s="1448"/>
      <c r="BF71" s="1030" t="s">
        <v>1593</v>
      </c>
      <c r="BG71" s="1030" t="s">
        <v>1594</v>
      </c>
      <c r="BH71" s="1030" cm="1" t="str">
        <f t="array" ref="BH71:BH71">AC71</f>
        <v>НН</v>
      </c>
      <c r="BI71" s="146" cm="1" t="str">
        <f t="array" ref="BI71:BI71">AC70</f>
        <v>ПАО "Кузбассэнергосбыт" (ИНН: 4205109214, КПП: 420501001)</v>
      </c>
      <c r="BJ71" s="267"/>
      <c r="BK71" s="267" t="b">
        <v>1</v>
      </c>
    </row>
    <row s="1448" customFormat="1" customHeight="1" ht="10.5">
      <c r="A72" s="1448"/>
      <c r="B72" s="1448"/>
      <c r="C72" s="1448"/>
      <c r="D72" s="1448"/>
      <c r="E72" s="267">
        <v>11.25</v>
      </c>
      <c r="F72" s="50" cm="1" t="str">
        <f t="array" ref="F72:F72">OFFSET(E72,-1,1)</f>
        <v>1</v>
      </c>
      <c r="G72" s="126" t="s">
        <v>1390</v>
      </c>
      <c r="H72" s="126" cm="1" t="str">
        <f t="array" ref="H72:H72">H71</f>
        <v>НН</v>
      </c>
      <c r="I72" s="1448"/>
      <c r="J72" s="1448"/>
      <c r="K72" s="1448"/>
      <c r="L72" s="1448"/>
      <c r="M72" s="1448"/>
      <c r="N72" s="1448"/>
      <c r="O72" s="1448"/>
      <c r="P72" s="1448"/>
      <c r="Q72" s="1448"/>
      <c r="R72" s="1448"/>
      <c r="S72" s="1448"/>
      <c r="T72" s="465" cm="1" t="str">
        <f t="array" ref="T72:T72">T71</f>
        <v>true</v>
      </c>
      <c r="U72" s="1448"/>
      <c r="V72" s="1448"/>
      <c r="W72" s="1448"/>
      <c r="X72" s="1448"/>
      <c r="Y72" s="1448"/>
      <c r="Z72" s="1448"/>
      <c r="AA72" s="1494"/>
      <c r="AB72" s="89" t="str">
        <f>AB70&amp;".2"</f>
        <v>7.1.2</v>
      </c>
      <c r="AC72" s="192" t="s">
        <v>1595</v>
      </c>
      <c r="AD72" s="89" t="s">
        <v>1596</v>
      </c>
      <c r="AE72" s="3296"/>
      <c r="AF72" s="3296"/>
      <c r="AG72" s="3296"/>
      <c r="AH72" s="3296"/>
      <c r="AI72" s="3296">
        <v>236.28</v>
      </c>
      <c r="AJ72" s="3296">
        <v>257.79</v>
      </c>
      <c r="AK72" s="3296">
        <v>270.42</v>
      </c>
      <c r="AL72" s="3296">
        <v>283.67</v>
      </c>
      <c r="AM72" s="3296">
        <v>297.57</v>
      </c>
      <c r="AN72" s="3293"/>
      <c r="AO72" s="3293"/>
      <c r="AP72" s="3293"/>
      <c r="AQ72" s="3293"/>
      <c r="AR72" s="3293"/>
      <c r="AS72" s="3296">
        <f>3.8179*1.132*AS74</f>
        <v>236.787477612847</v>
      </c>
      <c r="AT72" s="3296">
        <f>AS73*1.091*AT74</f>
        <v>258.335138075616</v>
      </c>
      <c r="AU72" s="3296">
        <f>AT73*1.049*AU74</f>
        <v>270.993559841321</v>
      </c>
      <c r="AV72" s="3296">
        <f>AU73*1.049*AV74</f>
        <v>284.280098713134</v>
      </c>
      <c r="AW72" s="3296">
        <f>AV73*1.049*AW74</f>
        <v>298.355200676114</v>
      </c>
      <c r="AX72" s="3293"/>
      <c r="AY72" s="3293"/>
      <c r="AZ72" s="3293"/>
      <c r="BA72" s="3293"/>
      <c r="BB72" s="3293"/>
      <c r="BC72" s="3295"/>
      <c r="BD72" s="1448"/>
      <c r="BE72" s="1448"/>
      <c r="BF72" s="1030" t="s">
        <v>1597</v>
      </c>
      <c r="BG72" s="1030" t="s">
        <v>1594</v>
      </c>
      <c r="BH72" s="1030" cm="1" t="str">
        <f t="array" ref="BH72:BH72">BH71</f>
        <v>НН</v>
      </c>
      <c r="BI72" s="146" cm="1" t="str">
        <f t="array" ref="BI72:BI72">BI71</f>
        <v>ПАО "Кузбассэнергосбыт" (ИНН: 4205109214, КПП: 420501001)</v>
      </c>
      <c r="BJ72" s="267"/>
      <c r="BK72" s="267"/>
    </row>
    <row s="1448" customFormat="1" customHeight="1" ht="23.25">
      <c r="A73" s="1448"/>
      <c r="B73" s="1448"/>
      <c r="C73" s="1448"/>
      <c r="D73" s="1448"/>
      <c r="E73" s="267">
        <v>11.25</v>
      </c>
      <c r="F73" s="50" cm="1" t="str">
        <f t="array" ref="F73:F73">OFFSET(E73,-1,1)</f>
        <v>1</v>
      </c>
      <c r="G73" s="126" t="s">
        <v>1598</v>
      </c>
      <c r="H73" s="126" cm="1" t="str">
        <f t="array" ref="H73:H73">H72</f>
        <v>НН</v>
      </c>
      <c r="I73" s="1448"/>
      <c r="J73" s="1448"/>
      <c r="K73" s="1448"/>
      <c r="L73" s="1448"/>
      <c r="M73" s="1448"/>
      <c r="N73" s="1448"/>
      <c r="O73" s="1448"/>
      <c r="P73" s="1448"/>
      <c r="Q73" s="1448"/>
      <c r="R73" s="1448"/>
      <c r="S73" s="1448"/>
      <c r="T73" s="465" cm="1" t="str">
        <f t="array" ref="T73:T73">T72</f>
        <v>true</v>
      </c>
      <c r="U73" s="1448"/>
      <c r="V73" s="1448"/>
      <c r="W73" s="1448"/>
      <c r="X73" s="1448"/>
      <c r="Y73" s="1448"/>
      <c r="Z73" s="1448"/>
      <c r="AA73" s="1494"/>
      <c r="AB73" s="89" t="str">
        <f>AB70&amp;".3"</f>
        <v>7.1.3</v>
      </c>
      <c r="AC73" s="332" t="s">
        <v>1587</v>
      </c>
      <c r="AD73" s="92" t="s">
        <v>1579</v>
      </c>
      <c r="AE73" s="142">
        <f>IF(OR(AND(AE72&lt;&gt;0,AE74=0),AND(AE72=0,AE74&lt;&gt;0)),"Ошибка",IF(AE74=0,0,AE72/AE74))</f>
        <v>0</v>
      </c>
      <c r="AF73" s="142">
        <f>IF(OR(AND(AF72&lt;&gt;0,AF74=0),AND(AF72=0,AF74&lt;&gt;0)),"Ошибка",IF(AF74=0,0,AF72/AF74))</f>
        <v>0</v>
      </c>
      <c r="AG73" s="142">
        <f>IF(OR(AND(AG72&lt;&gt;0,AG74=0),AND(AG72=0,AG74&lt;&gt;0)),"Ошибка",IF(AG74=0,0,AG72/AG74))</f>
        <v>0</v>
      </c>
      <c r="AH73" s="142">
        <f>IF(OR(AND(AH72&lt;&gt;0,AH74=0),AND(AH72=0,AH74&lt;&gt;0)),"Ошибка",IF(AH74=0,0,AH72/AH74))</f>
        <v>0</v>
      </c>
      <c r="AI73" s="142">
        <f>IF(OR(AND(AI72&lt;&gt;0,AI74=0),AND(AI72=0,AI74&lt;&gt;0)),"Ошибка",IF(AI74=0,0,AI72/AI74))</f>
        <v>4.32193158953722</v>
      </c>
      <c r="AJ73" s="142">
        <f>IF(OR(AND(AJ72&lt;&gt;0,AJ74=0),AND(AJ72=0,AJ74&lt;&gt;0)),"Ошибка",IF(AJ74=0,0,AJ72/AJ74))</f>
        <v>4.71538320834096</v>
      </c>
      <c r="AK73" s="142">
        <f>IF(OR(AND(AK72&lt;&gt;0,AK74=0),AND(AK72=0,AK74&lt;&gt;0)),"Ошибка",IF(AK74=0,0,AK72/AK74))</f>
        <v>4.94640570696909</v>
      </c>
      <c r="AL73" s="142">
        <f>IF(OR(AND(AL72&lt;&gt;0,AL74=0),AND(AL72=0,AL74&lt;&gt;0)),"Ошибка",IF(AL74=0,0,AL72/AL74))</f>
        <v>5.18876897750137</v>
      </c>
      <c r="AM73" s="142">
        <f>IF(OR(AND(AM72&lt;&gt;0,AM74=0),AND(AM72=0,AM74&lt;&gt;0)),"Ошибка",IF(AM74=0,0,AM72/AM74))</f>
        <v>5.44302176696543</v>
      </c>
      <c r="AN73" s="142">
        <f>IF(OR(AND(AN72&lt;&gt;0,AN74=0),AND(AN72=0,AN74&lt;&gt;0)),"Ошибка",IF(AN74=0,0,AN72/AN74))</f>
        <v>0</v>
      </c>
      <c r="AO73" s="142">
        <f>IF(OR(AND(AO72&lt;&gt;0,AO74=0),AND(AO72=0,AO74&lt;&gt;0)),"Ошибка",IF(AO74=0,0,AO72/AO74))</f>
        <v>0</v>
      </c>
      <c r="AP73" s="142">
        <f>IF(OR(AND(AP72&lt;&gt;0,AP74=0),AND(AP72=0,AP74&lt;&gt;0)),"Ошибка",IF(AP74=0,0,AP72/AP74))</f>
        <v>0</v>
      </c>
      <c r="AQ73" s="142">
        <f>IF(OR(AND(AQ72&lt;&gt;0,AQ74=0),AND(AQ72=0,AQ74&lt;&gt;0)),"Ошибка",IF(AQ74=0,0,AQ72/AQ74))</f>
        <v>0</v>
      </c>
      <c r="AR73" s="142">
        <f>IF(OR(AND(AR72&lt;&gt;0,AR74=0),AND(AR72=0,AR74&lt;&gt;0)),"Ошибка",IF(AR74=0,0,AR72/AR74))</f>
        <v>0</v>
      </c>
      <c r="AS73" s="142">
        <f>IF(OR(AND(AS72&lt;&gt;0,AS74=0),AND(AS72=0,AS74&lt;&gt;0)),"Ошибка",IF(AS74=0,0,AS72/AS74))</f>
        <v>4.32186279999999</v>
      </c>
      <c r="AT73" s="142">
        <f>IF(OR(AND(AT72&lt;&gt;0,AT74=0),AND(AT72=0,AT74&lt;&gt;0)),"Ошибка",IF(AT74=0,0,AT72/AT74))</f>
        <v>4.71515231479999</v>
      </c>
      <c r="AU73" s="142">
        <f>IF(OR(AND(AU72&lt;&gt;0,AU74=0),AND(AU72=0,AU74&lt;&gt;0)),"Ошибка",IF(AU74=0,0,AU72/AU74))</f>
        <v>4.94619477822519</v>
      </c>
      <c r="AV73" s="142">
        <f>IF(OR(AND(AV72&lt;&gt;0,AV74=0),AND(AV72=0,AV74&lt;&gt;0)),"Ошибка",IF(AV74=0,0,AV72/AV74))</f>
        <v>5.18855832235822</v>
      </c>
      <c r="AW73" s="142">
        <f>IF(OR(AND(AW72&lt;&gt;0,AW74=0),AND(AW72=0,AW74&lt;&gt;0)),"Ошибка",IF(AW74=0,0,AW72/AW74))</f>
        <v>5.44279768015376</v>
      </c>
      <c r="AX73" s="142">
        <f>IF(OR(AND(AX72&lt;&gt;0,AX74=0),AND(AX72=0,AX74&lt;&gt;0)),"Ошибка",IF(AX74=0,0,AX72/AX74))</f>
        <v>0</v>
      </c>
      <c r="AY73" s="142">
        <f>IF(OR(AND(AY72&lt;&gt;0,AY74=0),AND(AY72=0,AY74&lt;&gt;0)),"Ошибка",IF(AY74=0,0,AY72/AY74))</f>
        <v>0</v>
      </c>
      <c r="AZ73" s="142">
        <f>IF(OR(AND(AZ72&lt;&gt;0,AZ74=0),AND(AZ72=0,AZ74&lt;&gt;0)),"Ошибка",IF(AZ74=0,0,AZ72/AZ74))</f>
        <v>0</v>
      </c>
      <c r="BA73" s="142">
        <f>IF(OR(AND(BA72&lt;&gt;0,BA74=0),AND(BA72=0,BA74&lt;&gt;0)),"Ошибка",IF(BA74=0,0,BA72/BA74))</f>
        <v>0</v>
      </c>
      <c r="BB73" s="142">
        <f>IF(OR(AND(BB72&lt;&gt;0,BB74=0),AND(BB72=0,BB74&lt;&gt;0)),"Ошибка",IF(BB74=0,0,BB72/BB74))</f>
        <v>0</v>
      </c>
      <c r="BC73" s="3295" t="s">
        <v>1618</v>
      </c>
      <c r="BD73" s="1448"/>
      <c r="BE73" s="1448"/>
      <c r="BF73" s="1030" t="s">
        <v>1599</v>
      </c>
      <c r="BG73" s="1030" t="s">
        <v>1594</v>
      </c>
      <c r="BH73" s="1030" cm="1" t="str">
        <f t="array" ref="BH73:BH73">BH72</f>
        <v>НН</v>
      </c>
      <c r="BI73" s="146" cm="1" t="str">
        <f t="array" ref="BI73:BI73">BI72</f>
        <v>ПАО "Кузбассэнергосбыт" (ИНН: 4205109214, КПП: 420501001)</v>
      </c>
      <c r="BJ73" s="267"/>
      <c r="BK73" s="267"/>
    </row>
    <row s="1448" customFormat="1" customHeight="1" ht="33.75">
      <c r="A74" s="1448"/>
      <c r="B74" s="1448"/>
      <c r="C74" s="1448"/>
      <c r="D74" s="1448"/>
      <c r="E74" s="267">
        <v>11.25</v>
      </c>
      <c r="F74" s="50" cm="1" t="str">
        <f t="array" ref="F74:F74">OFFSET(E74,-1,1)</f>
        <v>1</v>
      </c>
      <c r="G74" s="126" t="s">
        <v>1600</v>
      </c>
      <c r="H74" s="126" cm="1" t="str">
        <f t="array" ref="H74:H74">H73</f>
        <v>НН</v>
      </c>
      <c r="I74" s="1448"/>
      <c r="J74" s="1448"/>
      <c r="K74" s="1448"/>
      <c r="L74" s="1448"/>
      <c r="M74" s="1448"/>
      <c r="N74" s="1448"/>
      <c r="O74" s="1448"/>
      <c r="P74" s="1448"/>
      <c r="Q74" s="1448"/>
      <c r="R74" s="1448"/>
      <c r="S74" s="1448"/>
      <c r="T74" s="465" cm="1" t="str">
        <f t="array" ref="T74:T74">T73</f>
        <v>true</v>
      </c>
      <c r="U74" s="1448"/>
      <c r="V74" s="1448"/>
      <c r="W74" s="1448"/>
      <c r="X74" s="1448"/>
      <c r="Y74" s="1448"/>
      <c r="Z74" s="1448"/>
      <c r="AA74" s="1494"/>
      <c r="AB74" s="89" t="str">
        <f>AB70&amp;".4"</f>
        <v>7.1.4</v>
      </c>
      <c r="AC74" s="332" t="s">
        <v>1589</v>
      </c>
      <c r="AD74" s="92" t="s">
        <v>1573</v>
      </c>
      <c r="AE74" s="3296"/>
      <c r="AF74" s="3296"/>
      <c r="AG74" s="3296"/>
      <c r="AH74" s="3296"/>
      <c r="AI74" s="3296">
        <v>54.67</v>
      </c>
      <c r="AJ74" s="3296" cm="1" t="str">
        <f t="array" ref="AJ74:AJ74">AI74</f>
        <v>54.67</v>
      </c>
      <c r="AK74" s="3296" cm="1" t="str">
        <f t="array" ref="AK74:AK74">AJ74</f>
        <v>54.67</v>
      </c>
      <c r="AL74" s="3296" cm="1" t="str">
        <f t="array" ref="AL74:AL74">AK74</f>
        <v>54.67</v>
      </c>
      <c r="AM74" s="3296" cm="1" t="str">
        <f t="array" ref="AM74:AM74">AL74</f>
        <v>54.67</v>
      </c>
      <c r="AN74" s="3293"/>
      <c r="AO74" s="3293"/>
      <c r="AP74" s="3293"/>
      <c r="AQ74" s="3293"/>
      <c r="AR74" s="3293"/>
      <c r="AS74" s="3296">
        <v>54.7882912</v>
      </c>
      <c r="AT74" s="3296" cm="1" t="str">
        <f t="array" ref="AT74:AT74">AS74</f>
        <v>54.7882912</v>
      </c>
      <c r="AU74" s="3296" cm="1" t="str">
        <f t="array" ref="AU74:AU74">AT74</f>
        <v>54.7882912</v>
      </c>
      <c r="AV74" s="3296">
        <v>54.789805</v>
      </c>
      <c r="AW74" s="3296">
        <v>54.816515</v>
      </c>
      <c r="AX74" s="3293"/>
      <c r="AY74" s="3293"/>
      <c r="AZ74" s="3293"/>
      <c r="BA74" s="3293"/>
      <c r="BB74" s="3293"/>
      <c r="BC74" s="3295" t="s">
        <v>1619</v>
      </c>
      <c r="BD74" s="1448"/>
      <c r="BE74" s="1448"/>
      <c r="BF74" s="1030" t="s">
        <v>1601</v>
      </c>
      <c r="BG74" s="1030" t="s">
        <v>1594</v>
      </c>
      <c r="BH74" s="1030" cm="1" t="str">
        <f t="array" ref="BH74:BH74">BH73</f>
        <v>НН</v>
      </c>
      <c r="BI74" s="146" cm="1" t="str">
        <f t="array" ref="BI74:BI74">BI73</f>
        <v>ПАО "Кузбассэнергосбыт" (ИНН: 4205109214, КПП: 420501001)</v>
      </c>
      <c r="BJ74" s="267"/>
      <c r="BK74" s="267"/>
    </row>
    <row s="1448" customFormat="1" customHeight="1" ht="10.5">
      <c r="A75" s="1448"/>
      <c r="B75" s="1448"/>
      <c r="C75" s="1448"/>
      <c r="D75" s="1448"/>
      <c r="E75" s="267">
        <v>11.25</v>
      </c>
      <c r="F75" s="50" cm="1" t="str">
        <f t="array" ref="F75:F75">OFFSET(E75,-1,1)</f>
        <v>1</v>
      </c>
      <c r="G75" s="126" t="s">
        <v>1393</v>
      </c>
      <c r="H75" s="126" cm="1" t="str">
        <f t="array" ref="H75:H75">H74</f>
        <v>НН</v>
      </c>
      <c r="I75" s="1448"/>
      <c r="J75" s="1448"/>
      <c r="K75" s="1448"/>
      <c r="L75" s="1448"/>
      <c r="M75" s="1448"/>
      <c r="N75" s="1448"/>
      <c r="O75" s="1448"/>
      <c r="P75" s="1448"/>
      <c r="Q75" s="1448"/>
      <c r="R75" s="1448"/>
      <c r="S75" s="1448"/>
      <c r="T75" s="465" cm="1" t="str">
        <f t="array" ref="T75:T75">T74</f>
        <v>true</v>
      </c>
      <c r="U75" s="1448"/>
      <c r="V75" s="1448"/>
      <c r="W75" s="1448"/>
      <c r="X75" s="1448"/>
      <c r="Y75" s="1448"/>
      <c r="Z75" s="1448"/>
      <c r="AA75" s="1494"/>
      <c r="AB75" s="89" t="str">
        <f>AB70&amp;".5"</f>
        <v>7.1.5</v>
      </c>
      <c r="AC75" s="192" t="s">
        <v>1602</v>
      </c>
      <c r="AD75" s="89" t="s">
        <v>1596</v>
      </c>
      <c r="AE75" s="3296"/>
      <c r="AF75" s="3296"/>
      <c r="AG75" s="3296"/>
      <c r="AH75" s="3296"/>
      <c r="AI75" s="3296">
        <v>166.61</v>
      </c>
      <c r="AJ75" s="3296">
        <v>181.77</v>
      </c>
      <c r="AK75" s="3296">
        <v>190.68</v>
      </c>
      <c r="AL75" s="3296">
        <v>200.02</v>
      </c>
      <c r="AM75" s="3296">
        <v>209.82</v>
      </c>
      <c r="AN75" s="3293"/>
      <c r="AO75" s="3293"/>
      <c r="AP75" s="3293"/>
      <c r="AQ75" s="3293"/>
      <c r="AR75" s="3293"/>
      <c r="AS75" s="3296">
        <v>166.964116</v>
      </c>
      <c r="AT75" s="3296">
        <f>AS75*1.091</f>
        <v>182.157850556</v>
      </c>
      <c r="AU75" s="3296">
        <f>AT75*1.049</f>
        <v>191.083585233244</v>
      </c>
      <c r="AV75" s="3296">
        <f>AU76*1.049*AV77*12/1000</f>
        <v>200.45221924969</v>
      </c>
      <c r="AW75" s="3296">
        <f>AV76*1.049*AW77*12/1000</f>
        <v>210.376886637301</v>
      </c>
      <c r="AX75" s="3293"/>
      <c r="AY75" s="3293"/>
      <c r="AZ75" s="3293"/>
      <c r="BA75" s="3293"/>
      <c r="BB75" s="3293"/>
      <c r="BC75" s="3295"/>
      <c r="BD75" s="1448"/>
      <c r="BE75" s="1448"/>
      <c r="BF75" s="1030" t="s">
        <v>1603</v>
      </c>
      <c r="BG75" s="1030" t="s">
        <v>1594</v>
      </c>
      <c r="BH75" s="1030" cm="1" t="str">
        <f t="array" ref="BH75:BH75">BH74</f>
        <v>НН</v>
      </c>
      <c r="BI75" s="146" cm="1" t="str">
        <f t="array" ref="BI75:BI75">BI74</f>
        <v>ПАО "Кузбассэнергосбыт" (ИНН: 4205109214, КПП: 420501001)</v>
      </c>
      <c r="BJ75" s="267"/>
      <c r="BK75" s="267"/>
    </row>
    <row s="1448" customFormat="1" customHeight="1" ht="23.25">
      <c r="A76" s="1448"/>
      <c r="B76" s="1448"/>
      <c r="C76" s="1448"/>
      <c r="D76" s="1448"/>
      <c r="E76" s="267">
        <v>11.25</v>
      </c>
      <c r="F76" s="50" cm="1" t="str">
        <f t="array" ref="F76:F76">OFFSET(E76,-1,1)</f>
        <v>1</v>
      </c>
      <c r="G76" s="126" t="s">
        <v>1604</v>
      </c>
      <c r="H76" s="126" cm="1" t="str">
        <f t="array" ref="H76:H76">H75</f>
        <v>НН</v>
      </c>
      <c r="I76" s="1448"/>
      <c r="J76" s="1448"/>
      <c r="K76" s="1448"/>
      <c r="L76" s="1448"/>
      <c r="M76" s="1448"/>
      <c r="N76" s="1448"/>
      <c r="O76" s="1448"/>
      <c r="P76" s="1448"/>
      <c r="Q76" s="1448"/>
      <c r="R76" s="1448"/>
      <c r="S76" s="1448"/>
      <c r="T76" s="465" cm="1" t="str">
        <f t="array" ref="T76:T76">T75</f>
        <v>true</v>
      </c>
      <c r="U76" s="1448"/>
      <c r="V76" s="1448"/>
      <c r="W76" s="1448"/>
      <c r="X76" s="1448"/>
      <c r="Y76" s="1448"/>
      <c r="Z76" s="1448"/>
      <c r="AA76" s="1494"/>
      <c r="AB76" s="89" t="str">
        <f>AB70&amp;".6"</f>
        <v>7.1.6</v>
      </c>
      <c r="AC76" s="332" t="s">
        <v>1605</v>
      </c>
      <c r="AD76" s="92" t="s">
        <v>1606</v>
      </c>
      <c r="AE76" s="142">
        <f>IF(OR(AND(AE75&lt;&gt;0,AE77=0),AND(AE75=0,AE77&lt;&gt;0)),"Ошибка",IF(AE77=0,0,AE75/AE77*1000/12))</f>
        <v>0</v>
      </c>
      <c r="AF76" s="142">
        <f>IF(OR(AND(AF75&lt;&gt;0,AF77=0),AND(AF75=0,AF77&lt;&gt;0)),"Ошибка",IF(AF77=0,0,AF75/AF77*1000/12))</f>
        <v>0</v>
      </c>
      <c r="AG76" s="142">
        <f>IF(OR(AND(AG75&lt;&gt;0,AG77=0),AND(AG75=0,AG77&lt;&gt;0)),"Ошибка",IF(AG77=0,0,AG75/AG77*1000/12))</f>
        <v>0</v>
      </c>
      <c r="AH76" s="142">
        <f>IF(OR(AND(AH75&lt;&gt;0,AH77=0),AND(AH75=0,AH77&lt;&gt;0)),"Ошибка",IF(AH77=0,0,AH75/AH77*1000/12))</f>
        <v>0</v>
      </c>
      <c r="AI76" s="142">
        <f>IF(OR(AND(AI75&lt;&gt;0,AI77=0),AND(AI75=0,AI77&lt;&gt;0)),"Ошибка",IF(AI77=0,0,AI75/AI77*1000/12))</f>
        <v>2766.54000625904</v>
      </c>
      <c r="AJ76" s="142">
        <f>IF(OR(AND(AJ75&lt;&gt;0,AJ77=0),AND(AJ75=0,AJ77&lt;&gt;0)),"Ошибка",IF(AJ77=0,0,AJ75/AJ77*1000/12))</f>
        <v>3018.27007345122</v>
      </c>
      <c r="AK76" s="142">
        <f>IF(OR(AND(AK75&lt;&gt;0,AK77=0),AND(AK75=0,AK77&lt;&gt;0)),"Ошибка",IF(AK77=0,0,AK75/AK77*1000/12))</f>
        <v>3166.21960502656</v>
      </c>
      <c r="AL76" s="142">
        <f>IF(OR(AND(AL75&lt;&gt;0,AL77=0),AND(AL75=0,AL77&lt;&gt;0)),"Ошибка",IF(AL77=0,0,AL75/AL77*1000/12))</f>
        <v>3321.30923745234</v>
      </c>
      <c r="AM76" s="142">
        <f>IF(OR(AND(AM75&lt;&gt;0,AM77=0),AND(AM75=0,AM77&lt;&gt;0)),"Ошибка",IF(AM77=0,0,AM75/AM77*1000/12))</f>
        <v>3484.03711729952</v>
      </c>
      <c r="AN76" s="142">
        <f>IF(OR(AND(AN75&lt;&gt;0,AN77=0),AND(AN75=0,AN77&lt;&gt;0)),"Ошибка",IF(AN77=0,0,AN75/AN77*1000/12))</f>
        <v>0</v>
      </c>
      <c r="AO76" s="142">
        <f>IF(OR(AND(AO75&lt;&gt;0,AO77=0),AND(AO75=0,AO77&lt;&gt;0)),"Ошибка",IF(AO77=0,0,AO75/AO77*1000/12))</f>
        <v>0</v>
      </c>
      <c r="AP76" s="142">
        <f>IF(OR(AND(AP75&lt;&gt;0,AP77=0),AND(AP75=0,AP77&lt;&gt;0)),"Ошибка",IF(AP77=0,0,AP75/AP77*1000/12))</f>
        <v>0</v>
      </c>
      <c r="AQ76" s="142">
        <f>IF(OR(AND(AQ75&lt;&gt;0,AQ77=0),AND(AQ75=0,AQ77&lt;&gt;0)),"Ошибка",IF(AQ77=0,0,AQ75/AQ77*1000/12))</f>
        <v>0</v>
      </c>
      <c r="AR76" s="142">
        <f>IF(OR(AND(AR75&lt;&gt;0,AR77=0),AND(AR75=0,AR77&lt;&gt;0)),"Ошибка",IF(AR77=0,0,AR75/AR77*1000/12))</f>
        <v>0</v>
      </c>
      <c r="AS76" s="142">
        <f>IF(OR(AND(AS75&lt;&gt;0,AS77=0),AND(AS75=0,AS77&lt;&gt;0)),"Ошибка",IF(AS77=0,0,AS75/AS77*1000/12))</f>
        <v>2766.54177547422</v>
      </c>
      <c r="AT76" s="142">
        <f>IF(OR(AND(AT75&lt;&gt;0,AT77=0),AND(AT75=0,AT77&lt;&gt;0)),"Ошибка",IF(AT77=0,0,AT75/AT77*1000/12))</f>
        <v>3018.29707704237</v>
      </c>
      <c r="AU76" s="142">
        <f>IF(OR(AND(AU75&lt;&gt;0,AU77=0),AND(AU75=0,AU77&lt;&gt;0)),"Ошибка",IF(AU77=0,0,AU75/AU77*1000/12))</f>
        <v>3166.19363381745</v>
      </c>
      <c r="AV76" s="142">
        <f>IF(OR(AND(AV75&lt;&gt;0,AV77=0),AND(AV75=0,AV77&lt;&gt;0)),"Ошибка",IF(AV77=0,0,AV75/AV77*1000/12))</f>
        <v>3321.33712187453</v>
      </c>
      <c r="AW76" s="142">
        <f>IF(OR(AND(AW75&lt;&gt;0,AW77=0),AND(AW75=0,AW77&lt;&gt;0)),"Ошибка",IF(AW77=0,0,AW75/AW77*1000/12))</f>
        <v>3484.08264084637</v>
      </c>
      <c r="AX76" s="142">
        <f>IF(OR(AND(AX75&lt;&gt;0,AX77=0),AND(AX75=0,AX77&lt;&gt;0)),"Ошибка",IF(AX77=0,0,AX75/AX77*1000/12))</f>
        <v>0</v>
      </c>
      <c r="AY76" s="142">
        <f>IF(OR(AND(AY75&lt;&gt;0,AY77=0),AND(AY75=0,AY77&lt;&gt;0)),"Ошибка",IF(AY77=0,0,AY75/AY77*1000/12))</f>
        <v>0</v>
      </c>
      <c r="AZ76" s="142">
        <f>IF(OR(AND(AZ75&lt;&gt;0,AZ77=0),AND(AZ75=0,AZ77&lt;&gt;0)),"Ошибка",IF(AZ77=0,0,AZ75/AZ77*1000/12))</f>
        <v>0</v>
      </c>
      <c r="BA76" s="142">
        <f>IF(OR(AND(BA75&lt;&gt;0,BA77=0),AND(BA75=0,BA77&lt;&gt;0)),"Ошибка",IF(BA77=0,0,BA75/BA77*1000/12))</f>
        <v>0</v>
      </c>
      <c r="BB76" s="142">
        <f>IF(OR(AND(BB75&lt;&gt;0,BB77=0),AND(BB75=0,BB77&lt;&gt;0)),"Ошибка",IF(BB77=0,0,BB75/BB77*1000/12))</f>
        <v>0</v>
      </c>
      <c r="BC76" s="3295" t="s">
        <v>1618</v>
      </c>
      <c r="BD76" s="1448"/>
      <c r="BE76" s="1448"/>
      <c r="BF76" s="1030" t="s">
        <v>1607</v>
      </c>
      <c r="BG76" s="1030" t="s">
        <v>1594</v>
      </c>
      <c r="BH76" s="1030" cm="1" t="str">
        <f t="array" ref="BH76:BH76">BH75</f>
        <v>НН</v>
      </c>
      <c r="BI76" s="146" cm="1" t="str">
        <f t="array" ref="BI76:BI76">BI75</f>
        <v>ПАО "Кузбассэнергосбыт" (ИНН: 4205109214, КПП: 420501001)</v>
      </c>
      <c r="BJ76" s="267"/>
      <c r="BK76" s="267"/>
    </row>
    <row s="1448" customFormat="1" customHeight="1" ht="33.75">
      <c r="A77" s="1448"/>
      <c r="B77" s="1448"/>
      <c r="C77" s="1448"/>
      <c r="D77" s="1448"/>
      <c r="E77" s="267">
        <v>11.25</v>
      </c>
      <c r="F77" s="50" cm="1" t="str">
        <f t="array" ref="F77:F77">OFFSET(E77,-1,1)</f>
        <v>1</v>
      </c>
      <c r="G77" s="126" t="s">
        <v>1608</v>
      </c>
      <c r="H77" s="126" cm="1" t="str">
        <f t="array" ref="H77:H77">H76</f>
        <v>НН</v>
      </c>
      <c r="I77" s="1448"/>
      <c r="J77" s="1448"/>
      <c r="K77" s="1448"/>
      <c r="L77" s="1448"/>
      <c r="M77" s="1448"/>
      <c r="N77" s="1448"/>
      <c r="O77" s="1448"/>
      <c r="P77" s="1448"/>
      <c r="Q77" s="1448"/>
      <c r="R77" s="1448"/>
      <c r="S77" s="1448"/>
      <c r="T77" s="465" cm="1" t="str">
        <f t="array" ref="T77:T77">T76</f>
        <v>true</v>
      </c>
      <c r="U77" s="1448"/>
      <c r="V77" s="1448"/>
      <c r="W77" s="1448"/>
      <c r="X77" s="1448"/>
      <c r="Y77" s="1448"/>
      <c r="Z77" s="1448"/>
      <c r="AA77" s="1494"/>
      <c r="AB77" s="89" t="str">
        <f>AB70&amp;".7"</f>
        <v>7.1.7</v>
      </c>
      <c r="AC77" s="332" t="s">
        <v>1609</v>
      </c>
      <c r="AD77" s="92" t="s">
        <v>1610</v>
      </c>
      <c r="AE77" s="3296"/>
      <c r="AF77" s="3296"/>
      <c r="AG77" s="3296"/>
      <c r="AH77" s="3296"/>
      <c r="AI77" s="3296">
        <f>0.060223239/12*1000</f>
        <v>5.01860325</v>
      </c>
      <c r="AJ77" s="3296" cm="1" t="str">
        <f t="array" ref="AJ77:AJ77">AI77</f>
        <v>5.01860325</v>
      </c>
      <c r="AK77" s="3296" cm="1" t="str">
        <f t="array" ref="AK77:AK77">AJ77</f>
        <v>5.01860325</v>
      </c>
      <c r="AL77" s="3296" cm="1" t="str">
        <f t="array" ref="AL77:AL77">AK77</f>
        <v>5.01860325</v>
      </c>
      <c r="AM77" s="3296" cm="1" t="str">
        <f t="array" ref="AM77:AM77">AL77</f>
        <v>5.01860325</v>
      </c>
      <c r="AN77" s="3293"/>
      <c r="AO77" s="3293"/>
      <c r="AP77" s="3293"/>
      <c r="AQ77" s="3293"/>
      <c r="AR77" s="3293"/>
      <c r="AS77" s="3296">
        <f>0.0603512/12*1000</f>
        <v>5.02926666666667</v>
      </c>
      <c r="AT77" s="3296" cm="1" t="str">
        <f t="array" ref="AT77:AT77">AS77</f>
        <v>5.02926666666667</v>
      </c>
      <c r="AU77" s="3296" cm="1" t="str">
        <f t="array" ref="AU77:AU77">AT77</f>
        <v>5.02926666666667</v>
      </c>
      <c r="AV77" s="3296">
        <f>(AU77/AU74*AV74)</f>
        <v>5.02940562526007</v>
      </c>
      <c r="AW77" s="3296">
        <f>AV77/AV74*AW74</f>
        <v>5.03185745775429</v>
      </c>
      <c r="AX77" s="3293"/>
      <c r="AY77" s="3293"/>
      <c r="AZ77" s="3293"/>
      <c r="BA77" s="3293"/>
      <c r="BB77" s="3293"/>
      <c r="BC77" s="3295" t="s">
        <v>1620</v>
      </c>
      <c r="BD77" s="1448"/>
      <c r="BE77" s="1448"/>
      <c r="BF77" s="1030" t="s">
        <v>1611</v>
      </c>
      <c r="BG77" s="1030" t="s">
        <v>1594</v>
      </c>
      <c r="BH77" s="1030" cm="1" t="str">
        <f t="array" ref="BH77:BH77">BH76</f>
        <v>НН</v>
      </c>
      <c r="BI77" s="146" cm="1" t="str">
        <f t="array" ref="BI77:BI77">BI76</f>
        <v>ПАО "Кузбассэнергосбыт" (ИНН: 4205109214, КПП: 420501001)</v>
      </c>
      <c r="BJ77" s="267"/>
      <c r="BK77" s="267"/>
    </row>
    <row s="1834" customFormat="1" customHeight="1" ht="23.25">
      <c r="A78" s="1834"/>
      <c r="B78" s="1834"/>
      <c r="C78" s="1834"/>
      <c r="D78" s="1834"/>
      <c r="E78" s="267">
        <v>11</v>
      </c>
      <c r="F78" s="1175" cm="1" t="str">
        <f t="array" ref="F78:F78">OFFSET(E78,-1,1)</f>
        <v>1</v>
      </c>
      <c r="G78" s="1834"/>
      <c r="H78" s="1834"/>
      <c r="I78" s="1834"/>
      <c r="J78" s="1834"/>
      <c r="K78" s="1834"/>
      <c r="L78" s="1834"/>
      <c r="M78" s="1834"/>
      <c r="N78" s="1834"/>
      <c r="O78" s="1834"/>
      <c r="P78" s="1834"/>
      <c r="Q78" s="1834"/>
      <c r="R78" s="1834"/>
      <c r="S78" s="1834"/>
      <c r="T78" s="465">
        <f>AND(F78&gt;0,Y78&gt;0)</f>
        <v>1</v>
      </c>
      <c r="U78" s="1834"/>
      <c r="V78" s="1834"/>
      <c r="W78" s="717"/>
      <c r="X78" s="1834"/>
      <c r="Y78" s="1641" t="s">
        <v>285</v>
      </c>
      <c r="Z78" s="1834"/>
      <c r="AA78" s="1648" t="s">
        <v>175</v>
      </c>
      <c r="AB78" s="89" t="str">
        <f>"7."&amp;Y78</f>
        <v>7.2</v>
      </c>
      <c r="AC78" s="1695" t="s">
        <v>1616</v>
      </c>
      <c r="AD78" s="93"/>
      <c r="AE78" s="1834"/>
      <c r="AF78" s="1834"/>
      <c r="AG78" s="1834"/>
      <c r="AH78" s="1834"/>
      <c r="AI78" s="1834"/>
      <c r="AJ78" s="1834"/>
      <c r="AK78" s="1834"/>
      <c r="AL78" s="1834"/>
      <c r="AM78" s="1834"/>
      <c r="AN78" s="1834"/>
      <c r="AO78" s="1834"/>
      <c r="AP78" s="1834"/>
      <c r="AQ78" s="1834"/>
      <c r="AR78" s="1834"/>
      <c r="AS78" s="1834"/>
      <c r="AT78" s="1834"/>
      <c r="AU78" s="1834"/>
      <c r="AV78" s="1834"/>
      <c r="AW78" s="1834"/>
      <c r="AX78" s="1834"/>
      <c r="AY78" s="1834"/>
      <c r="AZ78" s="1834"/>
      <c r="BA78" s="1834"/>
      <c r="BB78" s="1834"/>
      <c r="BC78" s="1834"/>
      <c r="BD78" s="1834"/>
      <c r="BE78" s="1834"/>
      <c r="BF78" s="1030"/>
      <c r="BG78" s="1030"/>
      <c r="BH78" s="1030"/>
      <c r="BI78" s="1030"/>
      <c r="BJ78" s="267"/>
      <c r="BK78" s="267"/>
    </row>
    <row s="1448" customFormat="1" customHeight="1" ht="10.5">
      <c r="A79" s="1448"/>
      <c r="B79" s="1448"/>
      <c r="C79" s="1448"/>
      <c r="D79" s="1448"/>
      <c r="E79" s="267">
        <v>11.25</v>
      </c>
      <c r="F79" s="50" cm="1" t="str">
        <f t="array" ref="F79:F79">OFFSET(E79,-1,1)</f>
        <v>1</v>
      </c>
      <c r="G79" s="126" t="s">
        <v>1225</v>
      </c>
      <c r="H79" s="126" cm="1" t="str">
        <f t="array" ref="H79:H79">AC79</f>
        <v>СН2</v>
      </c>
      <c r="I79" s="1448"/>
      <c r="J79" s="1448"/>
      <c r="K79" s="1448"/>
      <c r="L79" s="1448"/>
      <c r="M79" s="1448"/>
      <c r="N79" s="1448"/>
      <c r="O79" s="1448"/>
      <c r="P79" s="1448"/>
      <c r="Q79" s="1448"/>
      <c r="R79" s="1448"/>
      <c r="S79" s="1448"/>
      <c r="T79" s="465" cm="1" t="str">
        <f t="array" ref="T79:T79">T78</f>
        <v>true</v>
      </c>
      <c r="U79" s="1448"/>
      <c r="V79" s="1448"/>
      <c r="W79" s="1448"/>
      <c r="X79" s="1448"/>
      <c r="Y79" s="1543">
        <v>0</v>
      </c>
      <c r="Z79" s="1448"/>
      <c r="AA79" s="1494" t="s">
        <v>175</v>
      </c>
      <c r="AB79" s="89" t="str">
        <f>AB78&amp;".1"</f>
        <v>7.2.1</v>
      </c>
      <c r="AC79" s="3294" t="s">
        <v>1621</v>
      </c>
      <c r="AD79" s="89" t="s">
        <v>1514</v>
      </c>
      <c r="AE79" s="142">
        <f>AE80+AE83</f>
        <v>0</v>
      </c>
      <c r="AF79" s="142">
        <f>AF80+AF83</f>
        <v>0</v>
      </c>
      <c r="AG79" s="142">
        <f>AG80+AG83</f>
        <v>0</v>
      </c>
      <c r="AH79" s="142">
        <f>AH80+AH83</f>
        <v>0</v>
      </c>
      <c r="AI79" s="142">
        <f>AI80+AI83</f>
        <v>32816.37</v>
      </c>
      <c r="AJ79" s="142">
        <f>AJ80+AJ83</f>
        <v>35802.65</v>
      </c>
      <c r="AK79" s="142">
        <f>AK80+AK83</f>
        <v>37556.98</v>
      </c>
      <c r="AL79" s="142">
        <f>AL80+AL83</f>
        <v>39397.27</v>
      </c>
      <c r="AM79" s="142">
        <f>AM80+AM83</f>
        <v>41327.736</v>
      </c>
      <c r="AN79" s="142">
        <f>AN80+AN83</f>
        <v>0</v>
      </c>
      <c r="AO79" s="142">
        <f>AO80+AO83</f>
        <v>0</v>
      </c>
      <c r="AP79" s="142">
        <f>AP80+AP83</f>
        <v>0</v>
      </c>
      <c r="AQ79" s="142">
        <f>AQ80+AQ83</f>
        <v>0</v>
      </c>
      <c r="AR79" s="142">
        <f>AR80+AR83</f>
        <v>0</v>
      </c>
      <c r="AS79" s="142">
        <f>AS80+AS83</f>
        <v>32886.3078132226</v>
      </c>
      <c r="AT79" s="142">
        <f>AT80+AT83</f>
        <v>35878.9618242259</v>
      </c>
      <c r="AU79" s="142">
        <f>AU80+AU83</f>
        <v>37637.030953613</v>
      </c>
      <c r="AV79" s="142">
        <f>AV80+AV83</f>
        <v>39482.3363551705</v>
      </c>
      <c r="AW79" s="142">
        <f>AW80+AW83</f>
        <v>41437.1616165161</v>
      </c>
      <c r="AX79" s="142">
        <f>AX80+AX83</f>
        <v>0</v>
      </c>
      <c r="AY79" s="142">
        <f>AY80+AY83</f>
        <v>0</v>
      </c>
      <c r="AZ79" s="142">
        <f>AZ80+AZ83</f>
        <v>0</v>
      </c>
      <c r="BA79" s="142">
        <f>BA80+BA83</f>
        <v>0</v>
      </c>
      <c r="BB79" s="142">
        <f>BB80+BB83</f>
        <v>0</v>
      </c>
      <c r="BC79" s="3295"/>
      <c r="BD79" s="1448"/>
      <c r="BE79" s="1448"/>
      <c r="BF79" s="1030" t="s">
        <v>1593</v>
      </c>
      <c r="BG79" s="1030" t="s">
        <v>1594</v>
      </c>
      <c r="BH79" s="1030" cm="1" t="str">
        <f t="array" ref="BH79:BH79">AC79</f>
        <v>СН2</v>
      </c>
      <c r="BI79" s="146" cm="1" t="str">
        <f t="array" ref="BI79:BI79">AC78</f>
        <v>ПАО "Кузбассэнергосбыт" (ИНН: 4205109214, КПП: 420501001)</v>
      </c>
      <c r="BJ79" s="267"/>
      <c r="BK79" s="267" t="b">
        <v>1</v>
      </c>
    </row>
    <row s="1448" customFormat="1" customHeight="1" ht="10.5">
      <c r="A80" s="1448"/>
      <c r="B80" s="1448"/>
      <c r="C80" s="1448"/>
      <c r="D80" s="1448"/>
      <c r="E80" s="267">
        <v>11.25</v>
      </c>
      <c r="F80" s="50" cm="1" t="str">
        <f t="array" ref="F80:F80">OFFSET(E80,-1,1)</f>
        <v>1</v>
      </c>
      <c r="G80" s="126" t="s">
        <v>1390</v>
      </c>
      <c r="H80" s="126" cm="1" t="str">
        <f t="array" ref="H80:H80">H79</f>
        <v>СН2</v>
      </c>
      <c r="I80" s="1448"/>
      <c r="J80" s="1448"/>
      <c r="K80" s="1448"/>
      <c r="L80" s="1448"/>
      <c r="M80" s="1448"/>
      <c r="N80" s="1448"/>
      <c r="O80" s="1448"/>
      <c r="P80" s="1448"/>
      <c r="Q80" s="1448"/>
      <c r="R80" s="1448"/>
      <c r="S80" s="1448"/>
      <c r="T80" s="465" cm="1" t="str">
        <f t="array" ref="T80:T80">T79</f>
        <v>true</v>
      </c>
      <c r="U80" s="1448"/>
      <c r="V80" s="1448"/>
      <c r="W80" s="1448"/>
      <c r="X80" s="1448"/>
      <c r="Y80" s="1448"/>
      <c r="Z80" s="1448"/>
      <c r="AA80" s="1494"/>
      <c r="AB80" s="89" t="str">
        <f>AB78&amp;".2"</f>
        <v>7.2.2</v>
      </c>
      <c r="AC80" s="192" t="s">
        <v>1595</v>
      </c>
      <c r="AD80" s="89" t="s">
        <v>1596</v>
      </c>
      <c r="AE80" s="3296"/>
      <c r="AF80" s="3296"/>
      <c r="AG80" s="3296"/>
      <c r="AH80" s="3296"/>
      <c r="AI80" s="3296">
        <v>15236.57</v>
      </c>
      <c r="AJ80" s="3296">
        <v>16623.09</v>
      </c>
      <c r="AK80" s="3296">
        <v>17437.62</v>
      </c>
      <c r="AL80" s="3296">
        <v>18292.07</v>
      </c>
      <c r="AM80" s="3296">
        <v>19188.378</v>
      </c>
      <c r="AN80" s="3293"/>
      <c r="AO80" s="3293"/>
      <c r="AP80" s="3293"/>
      <c r="AQ80" s="3293"/>
      <c r="AR80" s="3293"/>
      <c r="AS80" s="3296">
        <f>2.6325*1.132*AS82</f>
        <v>15269.0418332226</v>
      </c>
      <c r="AT80" s="3296">
        <f>AS81*1.091*AT82</f>
        <v>16658.5246400459</v>
      </c>
      <c r="AU80" s="3296">
        <f>AT81*1.049*AU82</f>
        <v>17474.7923474082</v>
      </c>
      <c r="AV80" s="3296">
        <f>AU81*1.049*AV82</f>
        <v>18331.5636679067</v>
      </c>
      <c r="AW80" s="3296">
        <f>AV81*1.049*AW82</f>
        <v>19239.1848232413</v>
      </c>
      <c r="AX80" s="3293"/>
      <c r="AY80" s="3293"/>
      <c r="AZ80" s="3293"/>
      <c r="BA80" s="3293"/>
      <c r="BB80" s="3293"/>
      <c r="BC80" s="3295"/>
      <c r="BD80" s="1448"/>
      <c r="BE80" s="1448"/>
      <c r="BF80" s="1030" t="s">
        <v>1597</v>
      </c>
      <c r="BG80" s="1030" t="s">
        <v>1594</v>
      </c>
      <c r="BH80" s="1030" cm="1" t="str">
        <f t="array" ref="BH80:BH80">BH79</f>
        <v>СН2</v>
      </c>
      <c r="BI80" s="146" cm="1" t="str">
        <f t="array" ref="BI80:BI80">BI79</f>
        <v>ПАО "Кузбассэнергосбыт" (ИНН: 4205109214, КПП: 420501001)</v>
      </c>
      <c r="BJ80" s="267"/>
      <c r="BK80" s="267"/>
    </row>
    <row s="1448" customFormat="1" customHeight="1" ht="23.25">
      <c r="A81" s="1448"/>
      <c r="B81" s="1448"/>
      <c r="C81" s="1448"/>
      <c r="D81" s="1448"/>
      <c r="E81" s="267">
        <v>11.25</v>
      </c>
      <c r="F81" s="50" cm="1" t="str">
        <f t="array" ref="F81:F81">OFFSET(E81,-1,1)</f>
        <v>1</v>
      </c>
      <c r="G81" s="126" t="s">
        <v>1598</v>
      </c>
      <c r="H81" s="126" cm="1" t="str">
        <f t="array" ref="H81:H81">H80</f>
        <v>СН2</v>
      </c>
      <c r="I81" s="1448"/>
      <c r="J81" s="1448"/>
      <c r="K81" s="1448"/>
      <c r="L81" s="1448"/>
      <c r="M81" s="1448"/>
      <c r="N81" s="1448"/>
      <c r="O81" s="1448"/>
      <c r="P81" s="1448"/>
      <c r="Q81" s="1448"/>
      <c r="R81" s="1448"/>
      <c r="S81" s="1448"/>
      <c r="T81" s="465" cm="1" t="str">
        <f t="array" ref="T81:T81">T80</f>
        <v>true</v>
      </c>
      <c r="U81" s="1448"/>
      <c r="V81" s="1448"/>
      <c r="W81" s="1448"/>
      <c r="X81" s="1448"/>
      <c r="Y81" s="1448"/>
      <c r="Z81" s="1448"/>
      <c r="AA81" s="1494"/>
      <c r="AB81" s="89" t="str">
        <f>AB78&amp;".3"</f>
        <v>7.2.3</v>
      </c>
      <c r="AC81" s="332" t="s">
        <v>1587</v>
      </c>
      <c r="AD81" s="92" t="s">
        <v>1579</v>
      </c>
      <c r="AE81" s="142">
        <f>IF(OR(AND(AE80&lt;&gt;0,AE82=0),AND(AE80=0,AE82&lt;&gt;0)),"Ошибка",IF(AE82=0,0,AE80/AE82))</f>
        <v>0</v>
      </c>
      <c r="AF81" s="142">
        <f>IF(OR(AND(AF80&lt;&gt;0,AF82=0),AND(AF80=0,AF82&lt;&gt;0)),"Ошибка",IF(AF82=0,0,AF80/AF82))</f>
        <v>0</v>
      </c>
      <c r="AG81" s="142">
        <f>IF(OR(AND(AG80&lt;&gt;0,AG82=0),AND(AG80=0,AG82&lt;&gt;0)),"Ошибка",IF(AG82=0,0,AG80/AG82))</f>
        <v>0</v>
      </c>
      <c r="AH81" s="142">
        <f>IF(OR(AND(AH80&lt;&gt;0,AH82=0),AND(AH80=0,AH82&lt;&gt;0)),"Ошибка",IF(AH82=0,0,AH80/AH82))</f>
        <v>0</v>
      </c>
      <c r="AI81" s="142">
        <f>IF(OR(AND(AI80&lt;&gt;0,AI82=0),AND(AI80=0,AI82&lt;&gt;0)),"Ошибка",IF(AI82=0,0,AI80/AI82))</f>
        <v>2.97999006446364</v>
      </c>
      <c r="AJ81" s="142">
        <f>IF(OR(AND(AJ80&lt;&gt;0,AJ82=0),AND(AJ80=0,AJ82&lt;&gt;0)),"Ошибка",IF(AJ82=0,0,AJ80/AJ82))</f>
        <v>3.25116762110402</v>
      </c>
      <c r="AK81" s="142">
        <f>IF(OR(AND(AK80&lt;&gt;0,AK82=0),AND(AK80=0,AK82&lt;&gt;0)),"Ошибка",IF(AK82=0,0,AK80/AK82))</f>
        <v>3.41047455876831</v>
      </c>
      <c r="AL81" s="142">
        <f>IF(OR(AND(AL80&lt;&gt;0,AL82=0),AND(AL80=0,AL82&lt;&gt;0)),"Ошибка",IF(AL82=0,0,AL80/AL82))</f>
        <v>3.57758910689698</v>
      </c>
      <c r="AM81" s="142">
        <f>IF(OR(AND(AM80&lt;&gt;0,AM82=0),AND(AM80=0,AM82&lt;&gt;0)),"Ошибка",IF(AM82=0,0,AM80/AM82))</f>
        <v>3.75289030229065</v>
      </c>
      <c r="AN81" s="142">
        <f>IF(OR(AND(AN80&lt;&gt;0,AN82=0),AND(AN80=0,AN82&lt;&gt;0)),"Ошибка",IF(AN82=0,0,AN80/AN82))</f>
        <v>0</v>
      </c>
      <c r="AO81" s="142">
        <f>IF(OR(AND(AO80&lt;&gt;0,AO82=0),AND(AO80=0,AO82&lt;&gt;0)),"Ошибка",IF(AO82=0,0,AO80/AO82))</f>
        <v>0</v>
      </c>
      <c r="AP81" s="142">
        <f>IF(OR(AND(AP80&lt;&gt;0,AP82=0),AND(AP80=0,AP82&lt;&gt;0)),"Ошибка",IF(AP82=0,0,AP80/AP82))</f>
        <v>0</v>
      </c>
      <c r="AQ81" s="142">
        <f>IF(OR(AND(AQ80&lt;&gt;0,AQ82=0),AND(AQ80=0,AQ82&lt;&gt;0)),"Ошибка",IF(AQ82=0,0,AQ80/AQ82))</f>
        <v>0</v>
      </c>
      <c r="AR81" s="142">
        <f>IF(OR(AND(AR80&lt;&gt;0,AR82=0),AND(AR80=0,AR82&lt;&gt;0)),"Ошибка",IF(AR82=0,0,AR80/AR82))</f>
        <v>0</v>
      </c>
      <c r="AS81" s="142">
        <f>IF(OR(AND(AS80&lt;&gt;0,AS82=0),AND(AS80=0,AS82&lt;&gt;0)),"Ошибка",IF(AS82=0,0,AS80/AS82))</f>
        <v>2.97998999999999</v>
      </c>
      <c r="AT81" s="142">
        <f>IF(OR(AND(AT80&lt;&gt;0,AT82=0),AND(AT80=0,AT82&lt;&gt;0)),"Ошибка",IF(AT82=0,0,AT80/AT82))</f>
        <v>3.25116909</v>
      </c>
      <c r="AU81" s="142">
        <f>IF(OR(AND(AU80&lt;&gt;0,AU82=0),AND(AU80=0,AU82&lt;&gt;0)),"Ошибка",IF(AU82=0,0,AU80/AU82))</f>
        <v>3.41047637541001</v>
      </c>
      <c r="AV81" s="142">
        <f>IF(OR(AND(AV80&lt;&gt;0,AV82=0),AND(AV80=0,AV82&lt;&gt;0)),"Ошибка",IF(AV82=0,0,AV80/AV82))</f>
        <v>3.5775897178051</v>
      </c>
      <c r="AW81" s="142">
        <f>IF(OR(AND(AW80&lt;&gt;0,AW82=0),AND(AW80=0,AW82&lt;&gt;0)),"Ошибка",IF(AW82=0,0,AW80/AW82))</f>
        <v>3.75289161397755</v>
      </c>
      <c r="AX81" s="142">
        <f>IF(OR(AND(AX80&lt;&gt;0,AX82=0),AND(AX80=0,AX82&lt;&gt;0)),"Ошибка",IF(AX82=0,0,AX80/AX82))</f>
        <v>0</v>
      </c>
      <c r="AY81" s="142">
        <f>IF(OR(AND(AY80&lt;&gt;0,AY82=0),AND(AY80=0,AY82&lt;&gt;0)),"Ошибка",IF(AY82=0,0,AY80/AY82))</f>
        <v>0</v>
      </c>
      <c r="AZ81" s="142">
        <f>IF(OR(AND(AZ80&lt;&gt;0,AZ82=0),AND(AZ80=0,AZ82&lt;&gt;0)),"Ошибка",IF(AZ82=0,0,AZ80/AZ82))</f>
        <v>0</v>
      </c>
      <c r="BA81" s="142">
        <f>IF(OR(AND(BA80&lt;&gt;0,BA82=0),AND(BA80=0,BA82&lt;&gt;0)),"Ошибка",IF(BA82=0,0,BA80/BA82))</f>
        <v>0</v>
      </c>
      <c r="BB81" s="142">
        <f>IF(OR(AND(BB80&lt;&gt;0,BB82=0),AND(BB80=0,BB82&lt;&gt;0)),"Ошибка",IF(BB82=0,0,BB80/BB82))</f>
        <v>0</v>
      </c>
      <c r="BC81" s="3295" t="s">
        <v>1618</v>
      </c>
      <c r="BD81" s="1448"/>
      <c r="BE81" s="1448"/>
      <c r="BF81" s="1030" t="s">
        <v>1599</v>
      </c>
      <c r="BG81" s="1030" t="s">
        <v>1594</v>
      </c>
      <c r="BH81" s="1030" cm="1" t="str">
        <f t="array" ref="BH81:BH81">BH80</f>
        <v>СН2</v>
      </c>
      <c r="BI81" s="146" cm="1" t="str">
        <f t="array" ref="BI81:BI81">BI80</f>
        <v>ПАО "Кузбассэнергосбыт" (ИНН: 4205109214, КПП: 420501001)</v>
      </c>
      <c r="BJ81" s="267"/>
      <c r="BK81" s="267"/>
    </row>
    <row s="1448" customFormat="1" customHeight="1" ht="33.75">
      <c r="A82" s="1448"/>
      <c r="B82" s="1448"/>
      <c r="C82" s="1448"/>
      <c r="D82" s="1448"/>
      <c r="E82" s="267">
        <v>11.25</v>
      </c>
      <c r="F82" s="50" cm="1" t="str">
        <f t="array" ref="F82:F82">OFFSET(E82,-1,1)</f>
        <v>1</v>
      </c>
      <c r="G82" s="126" t="s">
        <v>1600</v>
      </c>
      <c r="H82" s="126" cm="1" t="str">
        <f t="array" ref="H82:H82">H81</f>
        <v>СН2</v>
      </c>
      <c r="I82" s="1448"/>
      <c r="J82" s="1448"/>
      <c r="K82" s="1448"/>
      <c r="L82" s="1448"/>
      <c r="M82" s="1448"/>
      <c r="N82" s="1448"/>
      <c r="O82" s="1448"/>
      <c r="P82" s="1448"/>
      <c r="Q82" s="1448"/>
      <c r="R82" s="1448"/>
      <c r="S82" s="1448"/>
      <c r="T82" s="465" cm="1" t="str">
        <f t="array" ref="T82:T82">T81</f>
        <v>true</v>
      </c>
      <c r="U82" s="1448"/>
      <c r="V82" s="1448"/>
      <c r="W82" s="1448"/>
      <c r="X82" s="1448"/>
      <c r="Y82" s="1448"/>
      <c r="Z82" s="1448"/>
      <c r="AA82" s="1494"/>
      <c r="AB82" s="89" t="str">
        <f>AB78&amp;".4"</f>
        <v>7.2.4</v>
      </c>
      <c r="AC82" s="332" t="s">
        <v>1589</v>
      </c>
      <c r="AD82" s="92" t="s">
        <v>1573</v>
      </c>
      <c r="AE82" s="3296"/>
      <c r="AF82" s="3296"/>
      <c r="AG82" s="3296"/>
      <c r="AH82" s="3296"/>
      <c r="AI82" s="3296">
        <v>5112.96</v>
      </c>
      <c r="AJ82" s="3296" cm="1" t="str">
        <f t="array" ref="AJ82:AJ82">AI82</f>
        <v>5112.96</v>
      </c>
      <c r="AK82" s="3296" cm="1" t="str">
        <f t="array" ref="AK82:AK82">AJ82</f>
        <v>5112.96</v>
      </c>
      <c r="AL82" s="3296" cm="1" t="str">
        <f t="array" ref="AL82:AL82">AK82</f>
        <v>5112.96</v>
      </c>
      <c r="AM82" s="3296" cm="1" t="str">
        <f t="array" ref="AM82:AM82">AL82</f>
        <v>5112.96</v>
      </c>
      <c r="AN82" s="3293"/>
      <c r="AO82" s="3293"/>
      <c r="AP82" s="3293"/>
      <c r="AQ82" s="3293"/>
      <c r="AR82" s="3293"/>
      <c r="AS82" s="3296">
        <v>5123.8567355</v>
      </c>
      <c r="AT82" s="3296" cm="1" t="str">
        <f t="array" ref="AT82:AT82">AS82</f>
        <v>5123.8567355</v>
      </c>
      <c r="AU82" s="3296" cm="1" t="str">
        <f t="array" ref="AU82:AU82">AT82</f>
        <v>5123.8567355</v>
      </c>
      <c r="AV82" s="3296">
        <v>5123.99831</v>
      </c>
      <c r="AW82" s="3296">
        <v>5126.49626</v>
      </c>
      <c r="AX82" s="3293"/>
      <c r="AY82" s="3293"/>
      <c r="AZ82" s="3293"/>
      <c r="BA82" s="3293"/>
      <c r="BB82" s="3293"/>
      <c r="BC82" s="3295" t="s">
        <v>1619</v>
      </c>
      <c r="BD82" s="1448"/>
      <c r="BE82" s="1448"/>
      <c r="BF82" s="1030" t="s">
        <v>1601</v>
      </c>
      <c r="BG82" s="1030" t="s">
        <v>1594</v>
      </c>
      <c r="BH82" s="1030" cm="1" t="str">
        <f t="array" ref="BH82:BH82">BH81</f>
        <v>СН2</v>
      </c>
      <c r="BI82" s="146" cm="1" t="str">
        <f t="array" ref="BI82:BI82">BI81</f>
        <v>ПАО "Кузбассэнергосбыт" (ИНН: 4205109214, КПП: 420501001)</v>
      </c>
      <c r="BJ82" s="267"/>
      <c r="BK82" s="267"/>
    </row>
    <row s="1448" customFormat="1" customHeight="1" ht="12.75">
      <c r="A83" s="1448"/>
      <c r="B83" s="1448"/>
      <c r="C83" s="1448"/>
      <c r="D83" s="1448"/>
      <c r="E83" s="267">
        <v>11.25</v>
      </c>
      <c r="F83" s="50" cm="1" t="str">
        <f t="array" ref="F83:F83">OFFSET(E83,-1,1)</f>
        <v>1</v>
      </c>
      <c r="G83" s="126" t="s">
        <v>1393</v>
      </c>
      <c r="H83" s="126" cm="1" t="str">
        <f t="array" ref="H83:H83">H82</f>
        <v>СН2</v>
      </c>
      <c r="I83" s="1448"/>
      <c r="J83" s="1448"/>
      <c r="K83" s="1448"/>
      <c r="L83" s="1448"/>
      <c r="M83" s="1448"/>
      <c r="N83" s="1448"/>
      <c r="O83" s="1448"/>
      <c r="P83" s="1448"/>
      <c r="Q83" s="1448"/>
      <c r="R83" s="1448"/>
      <c r="S83" s="1448"/>
      <c r="T83" s="465" cm="1" t="str">
        <f t="array" ref="T83:T83">T82</f>
        <v>true</v>
      </c>
      <c r="U83" s="1448"/>
      <c r="V83" s="1448"/>
      <c r="W83" s="1448"/>
      <c r="X83" s="1448"/>
      <c r="Y83" s="1448"/>
      <c r="Z83" s="1448"/>
      <c r="AA83" s="1494"/>
      <c r="AB83" s="89" t="str">
        <f>AB78&amp;".5"</f>
        <v>7.2.5</v>
      </c>
      <c r="AC83" s="192" t="s">
        <v>1602</v>
      </c>
      <c r="AD83" s="89" t="s">
        <v>1596</v>
      </c>
      <c r="AE83" s="3296"/>
      <c r="AF83" s="3296"/>
      <c r="AG83" s="3296"/>
      <c r="AH83" s="3296"/>
      <c r="AI83" s="3296">
        <v>17579.8</v>
      </c>
      <c r="AJ83" s="3296">
        <v>19179.56</v>
      </c>
      <c r="AK83" s="3296">
        <v>20119.36</v>
      </c>
      <c r="AL83" s="3296">
        <v>21105.2</v>
      </c>
      <c r="AM83" s="3296">
        <v>22139.358</v>
      </c>
      <c r="AN83" s="3293"/>
      <c r="AO83" s="3293"/>
      <c r="AP83" s="3293"/>
      <c r="AQ83" s="3293"/>
      <c r="AR83" s="3293"/>
      <c r="AS83" s="3296">
        <v>17617.26598</v>
      </c>
      <c r="AT83" s="3296">
        <f>AS83*1.091</f>
        <v>19220.43718418</v>
      </c>
      <c r="AU83" s="3296">
        <f>AT83*1.049</f>
        <v>20162.2386062048</v>
      </c>
      <c r="AV83" s="3296">
        <f>AU84*1.049*AV85*12/1000</f>
        <v>21150.7726872638</v>
      </c>
      <c r="AW83" s="3296">
        <f>AV84*1.049*AW85*12/1000</f>
        <v>22197.9767932748</v>
      </c>
      <c r="AX83" s="3293"/>
      <c r="AY83" s="3293"/>
      <c r="AZ83" s="3293"/>
      <c r="BA83" s="3293"/>
      <c r="BB83" s="3293"/>
      <c r="BC83" s="3295"/>
      <c r="BD83" s="1448"/>
      <c r="BE83" s="1448"/>
      <c r="BF83" s="1030" t="s">
        <v>1603</v>
      </c>
      <c r="BG83" s="1030" t="s">
        <v>1594</v>
      </c>
      <c r="BH83" s="1030" cm="1" t="str">
        <f t="array" ref="BH83:BH83">BH82</f>
        <v>СН2</v>
      </c>
      <c r="BI83" s="146" cm="1" t="str">
        <f t="array" ref="BI83:BI83">BI82</f>
        <v>ПАО "Кузбассэнергосбыт" (ИНН: 4205109214, КПП: 420501001)</v>
      </c>
      <c r="BJ83" s="267"/>
      <c r="BK83" s="267"/>
    </row>
    <row s="1448" customFormat="1" customHeight="1" ht="23.25">
      <c r="A84" s="1448"/>
      <c r="B84" s="1448"/>
      <c r="C84" s="1448"/>
      <c r="D84" s="1448"/>
      <c r="E84" s="267">
        <v>11.25</v>
      </c>
      <c r="F84" s="50" cm="1" t="str">
        <f t="array" ref="F84:F84">OFFSET(E84,-1,1)</f>
        <v>1</v>
      </c>
      <c r="G84" s="126" t="s">
        <v>1604</v>
      </c>
      <c r="H84" s="126" cm="1" t="str">
        <f t="array" ref="H84:H84">H83</f>
        <v>СН2</v>
      </c>
      <c r="I84" s="1448"/>
      <c r="J84" s="1448"/>
      <c r="K84" s="1448"/>
      <c r="L84" s="1448"/>
      <c r="M84" s="1448"/>
      <c r="N84" s="1448"/>
      <c r="O84" s="1448"/>
      <c r="P84" s="1448"/>
      <c r="Q84" s="1448"/>
      <c r="R84" s="1448"/>
      <c r="S84" s="1448"/>
      <c r="T84" s="465" cm="1" t="str">
        <f t="array" ref="T84:T84">T83</f>
        <v>true</v>
      </c>
      <c r="U84" s="1448"/>
      <c r="V84" s="1448"/>
      <c r="W84" s="1448"/>
      <c r="X84" s="1448"/>
      <c r="Y84" s="1448"/>
      <c r="Z84" s="1448"/>
      <c r="AA84" s="1494"/>
      <c r="AB84" s="89" t="str">
        <f>AB78&amp;".6"</f>
        <v>7.2.6</v>
      </c>
      <c r="AC84" s="332" t="s">
        <v>1605</v>
      </c>
      <c r="AD84" s="92" t="s">
        <v>1606</v>
      </c>
      <c r="AE84" s="142">
        <f>IF(OR(AND(AE83&lt;&gt;0,AE85=0),AND(AE83=0,AE85&lt;&gt;0)),"Ошибка",IF(AE85=0,0,AE83/AE85*1000/12))</f>
        <v>0</v>
      </c>
      <c r="AF84" s="142">
        <f>IF(OR(AND(AF83&lt;&gt;0,AF85=0),AND(AF83=0,AF85&lt;&gt;0)),"Ошибка",IF(AF85=0,0,AF83/AF85*1000/12))</f>
        <v>0</v>
      </c>
      <c r="AG84" s="142">
        <f>IF(OR(AND(AG83&lt;&gt;0,AG85=0),AND(AG83=0,AG85&lt;&gt;0)),"Ошибка",IF(AG85=0,0,AG83/AG85*1000/12))</f>
        <v>0</v>
      </c>
      <c r="AH84" s="142">
        <f>IF(OR(AND(AH83&lt;&gt;0,AH85=0),AND(AH83=0,AH85&lt;&gt;0)),"Ошибка",IF(AH85=0,0,AH83/AH85*1000/12))</f>
        <v>0</v>
      </c>
      <c r="AI84" s="142">
        <f>IF(OR(AND(AI83&lt;&gt;0,AI85=0),AND(AI83=0,AI85&lt;&gt;0)),"Ошибка",IF(AI85=0,0,AI83/AI85*1000/12))</f>
        <v>2519.38</v>
      </c>
      <c r="AJ84" s="142">
        <f>IF(OR(AND(AJ83&lt;&gt;0,AJ85=0),AND(AJ83=0,AJ85&lt;&gt;0)),"Ошибка",IF(AJ85=0,0,AJ83/AJ85*1000/12))</f>
        <v>2748.64332204007</v>
      </c>
      <c r="AK84" s="142">
        <f>IF(OR(AND(AK83&lt;&gt;0,AK85=0),AND(AK83=0,AK85&lt;&gt;0)),"Ошибка",IF(AK85=0,0,AK83/AK85*1000/12))</f>
        <v>2883.32706838531</v>
      </c>
      <c r="AL84" s="142">
        <f>IF(OR(AND(AL83&lt;&gt;0,AL85=0),AND(AL83=0,AL85&lt;&gt;0)),"Ошибка",IF(AL85=0,0,AL83/AL85*1000/12))</f>
        <v>3024.60885652852</v>
      </c>
      <c r="AM84" s="142">
        <f>IF(OR(AND(AM83&lt;&gt;0,AM85=0),AND(AM83=0,AM85&lt;&gt;0)),"Ошибка",IF(AM85=0,0,AM83/AM85*1000/12))</f>
        <v>3172.81514909384</v>
      </c>
      <c r="AN84" s="142">
        <f>IF(OR(AND(AN83&lt;&gt;0,AN85=0),AND(AN83=0,AN85&lt;&gt;0)),"Ошибка",IF(AN85=0,0,AN83/AN85*1000/12))</f>
        <v>0</v>
      </c>
      <c r="AO84" s="142">
        <f>IF(OR(AND(AO83&lt;&gt;0,AO85=0),AND(AO83=0,AO85&lt;&gt;0)),"Ошибка",IF(AO85=0,0,AO83/AO85*1000/12))</f>
        <v>0</v>
      </c>
      <c r="AP84" s="142">
        <f>IF(OR(AND(AP83&lt;&gt;0,AP85=0),AND(AP83=0,AP85&lt;&gt;0)),"Ошибка",IF(AP85=0,0,AP83/AP85*1000/12))</f>
        <v>0</v>
      </c>
      <c r="AQ84" s="142">
        <f>IF(OR(AND(AQ83&lt;&gt;0,AQ85=0),AND(AQ83=0,AQ85&lt;&gt;0)),"Ошибка",IF(AQ85=0,0,AQ83/AQ85*1000/12))</f>
        <v>0</v>
      </c>
      <c r="AR84" s="142">
        <f>IF(OR(AND(AR83&lt;&gt;0,AR85=0),AND(AR83=0,AR85&lt;&gt;0)),"Ошибка",IF(AR85=0,0,AR83/AR85*1000/12))</f>
        <v>0</v>
      </c>
      <c r="AS84" s="142">
        <f>IF(OR(AND(AS83&lt;&gt;0,AS85=0),AND(AS83=0,AS85&lt;&gt;0)),"Ошибка",IF(AS85=0,0,AS83/AS85*1000/12))</f>
        <v>2519.37920356157</v>
      </c>
      <c r="AT84" s="142">
        <f>IF(OR(AND(AT83&lt;&gt;0,AT85=0),AND(AT83=0,AT85&lt;&gt;0)),"Ошибка",IF(AT85=0,0,AT83/AT85*1000/12))</f>
        <v>2748.64271108567</v>
      </c>
      <c r="AU84" s="142">
        <f>IF(OR(AND(AU83&lt;&gt;0,AU85=0),AND(AU83=0,AU85&lt;&gt;0)),"Ошибка",IF(AU85=0,0,AU83/AU85*1000/12))</f>
        <v>2883.32620392886</v>
      </c>
      <c r="AV84" s="142">
        <f>IF(OR(AND(AV83&lt;&gt;0,AV85=0),AND(AV83=0,AV85&lt;&gt;0)),"Ошибка",IF(AV85=0,0,AV83/AV85*1000/12))</f>
        <v>3024.60918792136</v>
      </c>
      <c r="AW84" s="142">
        <f>IF(OR(AND(AW83&lt;&gt;0,AW85=0),AND(AW83=0,AW85&lt;&gt;0)),"Ошибка",IF(AW85=0,0,AW83/AW85*1000/12))</f>
        <v>3172.81503812951</v>
      </c>
      <c r="AX84" s="142">
        <f>IF(OR(AND(AX83&lt;&gt;0,AX85=0),AND(AX83=0,AX85&lt;&gt;0)),"Ошибка",IF(AX85=0,0,AX83/AX85*1000/12))</f>
        <v>0</v>
      </c>
      <c r="AY84" s="142">
        <f>IF(OR(AND(AY83&lt;&gt;0,AY85=0),AND(AY83=0,AY85&lt;&gt;0)),"Ошибка",IF(AY85=0,0,AY83/AY85*1000/12))</f>
        <v>0</v>
      </c>
      <c r="AZ84" s="142">
        <f>IF(OR(AND(AZ83&lt;&gt;0,AZ85=0),AND(AZ83=0,AZ85&lt;&gt;0)),"Ошибка",IF(AZ85=0,0,AZ83/AZ85*1000/12))</f>
        <v>0</v>
      </c>
      <c r="BA84" s="142">
        <f>IF(OR(AND(BA83&lt;&gt;0,BA85=0),AND(BA83=0,BA85&lt;&gt;0)),"Ошибка",IF(BA85=0,0,BA83/BA85*1000/12))</f>
        <v>0</v>
      </c>
      <c r="BB84" s="142">
        <f>IF(OR(AND(BB83&lt;&gt;0,BB85=0),AND(BB83=0,BB85&lt;&gt;0)),"Ошибка",IF(BB85=0,0,BB83/BB85*1000/12))</f>
        <v>0</v>
      </c>
      <c r="BC84" s="3295" t="s">
        <v>1618</v>
      </c>
      <c r="BD84" s="1448"/>
      <c r="BE84" s="1448"/>
      <c r="BF84" s="1030" t="s">
        <v>1607</v>
      </c>
      <c r="BG84" s="1030" t="s">
        <v>1594</v>
      </c>
      <c r="BH84" s="1030" cm="1" t="str">
        <f t="array" ref="BH84:BH84">BH83</f>
        <v>СН2</v>
      </c>
      <c r="BI84" s="146" cm="1" t="str">
        <f t="array" ref="BI84:BI84">BI83</f>
        <v>ПАО "Кузбассэнергосбыт" (ИНН: 4205109214, КПП: 420501001)</v>
      </c>
      <c r="BJ84" s="267"/>
      <c r="BK84" s="267"/>
    </row>
    <row s="1448" customFormat="1" customHeight="1" ht="33.75">
      <c r="A85" s="1448"/>
      <c r="B85" s="1448"/>
      <c r="C85" s="1448"/>
      <c r="D85" s="1448"/>
      <c r="E85" s="267">
        <v>11.25</v>
      </c>
      <c r="F85" s="50" cm="1" t="str">
        <f t="array" ref="F85:F85">OFFSET(E85,-1,1)</f>
        <v>1</v>
      </c>
      <c r="G85" s="126" t="s">
        <v>1608</v>
      </c>
      <c r="H85" s="126" cm="1" t="str">
        <f t="array" ref="H85:H85">H84</f>
        <v>СН2</v>
      </c>
      <c r="I85" s="1448"/>
      <c r="J85" s="1448"/>
      <c r="K85" s="1448"/>
      <c r="L85" s="1448"/>
      <c r="M85" s="1448"/>
      <c r="N85" s="1448"/>
      <c r="O85" s="1448"/>
      <c r="P85" s="1448"/>
      <c r="Q85" s="1448"/>
      <c r="R85" s="1448"/>
      <c r="S85" s="1448"/>
      <c r="T85" s="465" cm="1" t="str">
        <f t="array" ref="T85:T85">T84</f>
        <v>true</v>
      </c>
      <c r="U85" s="1448"/>
      <c r="V85" s="1448"/>
      <c r="W85" s="1448"/>
      <c r="X85" s="1448"/>
      <c r="Y85" s="1448"/>
      <c r="Z85" s="1448"/>
      <c r="AA85" s="1494"/>
      <c r="AB85" s="89" t="str">
        <f>AB78&amp;".7"</f>
        <v>7.2.7</v>
      </c>
      <c r="AC85" s="332" t="s">
        <v>1609</v>
      </c>
      <c r="AD85" s="92" t="s">
        <v>1610</v>
      </c>
      <c r="AE85" s="3296"/>
      <c r="AF85" s="3296"/>
      <c r="AG85" s="3296"/>
      <c r="AH85" s="3296"/>
      <c r="AI85" s="3296">
        <f>AI83/2519.38/12*1000</f>
        <v>581.48565652396</v>
      </c>
      <c r="AJ85" s="3296" cm="1" t="str">
        <f t="array" ref="AJ85:AJ85">AI85</f>
        <v>581.48565652396</v>
      </c>
      <c r="AK85" s="3296" cm="1" t="str">
        <f t="array" ref="AK85:AK85">AJ85</f>
        <v>581.48565652396</v>
      </c>
      <c r="AL85" s="3296" cm="1" t="str">
        <f t="array" ref="AL85:AL85">AK85</f>
        <v>581.48565652396</v>
      </c>
      <c r="AM85" s="3296" cm="1" t="str">
        <f t="array" ref="AM85:AM85">AL85</f>
        <v>581.48565652396</v>
      </c>
      <c r="AN85" s="3293"/>
      <c r="AO85" s="3293"/>
      <c r="AP85" s="3293"/>
      <c r="AQ85" s="3293"/>
      <c r="AR85" s="3293"/>
      <c r="AS85" s="3296">
        <f>6.9927012/12*1000</f>
        <v>582.7251</v>
      </c>
      <c r="AT85" s="3296">
        <f>AS85/AS82*AT82</f>
        <v>582.7251</v>
      </c>
      <c r="AU85" s="3296">
        <f>AT85/AT82*AU82</f>
        <v>582.7251</v>
      </c>
      <c r="AV85" s="3296">
        <f>AU85/AU82*AV82</f>
        <v>582.741200960454</v>
      </c>
      <c r="AW85" s="3296">
        <f>AV85/AV82*AW82</f>
        <v>583.02528738962</v>
      </c>
      <c r="AX85" s="3293"/>
      <c r="AY85" s="3293"/>
      <c r="AZ85" s="3293"/>
      <c r="BA85" s="3293"/>
      <c r="BB85" s="3293"/>
      <c r="BC85" s="3295" t="s">
        <v>1620</v>
      </c>
      <c r="BD85" s="1448"/>
      <c r="BE85" s="1448"/>
      <c r="BF85" s="1030" t="s">
        <v>1611</v>
      </c>
      <c r="BG85" s="1030" t="s">
        <v>1594</v>
      </c>
      <c r="BH85" s="1030" cm="1" t="str">
        <f t="array" ref="BH85:BH85">BH84</f>
        <v>СН2</v>
      </c>
      <c r="BI85" s="146" cm="1" t="str">
        <f t="array" ref="BI85:BI85">BI84</f>
        <v>ПАО "Кузбассэнергосбыт" (ИНН: 4205109214, КПП: 420501001)</v>
      </c>
      <c r="BJ85" s="267"/>
      <c r="BK85" s="267"/>
    </row>
    <row s="1834" customFormat="1" customHeight="1" ht="23.25">
      <c r="A86" s="1834"/>
      <c r="B86" s="1834"/>
      <c r="C86" s="1834"/>
      <c r="D86" s="1834"/>
      <c r="E86" s="267">
        <v>11</v>
      </c>
      <c r="F86" s="1175" cm="1" t="str">
        <f t="array" ref="F86:F86">OFFSET(E86,-1,1)</f>
        <v>1</v>
      </c>
      <c r="G86" s="1834"/>
      <c r="H86" s="1834"/>
      <c r="I86" s="1834"/>
      <c r="J86" s="1834"/>
      <c r="K86" s="1834"/>
      <c r="L86" s="1834"/>
      <c r="M86" s="1834"/>
      <c r="N86" s="1834"/>
      <c r="O86" s="1834"/>
      <c r="P86" s="1834"/>
      <c r="Q86" s="1834"/>
      <c r="R86" s="1834"/>
      <c r="S86" s="1834"/>
      <c r="T86" s="465">
        <f>AND(F86&gt;0,Y86&gt;0)</f>
        <v>1</v>
      </c>
      <c r="U86" s="1834"/>
      <c r="V86" s="1834"/>
      <c r="W86" s="717"/>
      <c r="X86" s="1834"/>
      <c r="Y86" s="1641" t="s">
        <v>289</v>
      </c>
      <c r="Z86" s="1834"/>
      <c r="AA86" s="1648" t="s">
        <v>175</v>
      </c>
      <c r="AB86" s="89" t="str">
        <f>"7."&amp;Y86</f>
        <v>7.3</v>
      </c>
      <c r="AC86" s="1695" t="s">
        <v>1616</v>
      </c>
      <c r="AD86" s="93"/>
      <c r="AE86" s="1834"/>
      <c r="AF86" s="1834"/>
      <c r="AG86" s="1834"/>
      <c r="AH86" s="1834"/>
      <c r="AI86" s="1834"/>
      <c r="AJ86" s="1834"/>
      <c r="AK86" s="1834"/>
      <c r="AL86" s="1834"/>
      <c r="AM86" s="1834"/>
      <c r="AN86" s="1834"/>
      <c r="AO86" s="1834"/>
      <c r="AP86" s="1834"/>
      <c r="AQ86" s="1834"/>
      <c r="AR86" s="1834"/>
      <c r="AS86" s="1834"/>
      <c r="AT86" s="1834"/>
      <c r="AU86" s="1834"/>
      <c r="AV86" s="1834"/>
      <c r="AW86" s="1834"/>
      <c r="AX86" s="1834"/>
      <c r="AY86" s="1834"/>
      <c r="AZ86" s="1834"/>
      <c r="BA86" s="1834"/>
      <c r="BB86" s="1834"/>
      <c r="BC86" s="1834"/>
      <c r="BD86" s="1834"/>
      <c r="BE86" s="1834"/>
      <c r="BF86" s="1030"/>
      <c r="BG86" s="1030"/>
      <c r="BH86" s="1030"/>
      <c r="BI86" s="1030"/>
      <c r="BJ86" s="267"/>
      <c r="BK86" s="267"/>
    </row>
    <row s="1448" customFormat="1" customHeight="1" ht="10.5">
      <c r="A87" s="1448"/>
      <c r="B87" s="1448"/>
      <c r="C87" s="1448"/>
      <c r="D87" s="1448"/>
      <c r="E87" s="267">
        <v>11.25</v>
      </c>
      <c r="F87" s="50" cm="1" t="str">
        <f t="array" ref="F87:F87">OFFSET(E87,-1,1)</f>
        <v>1</v>
      </c>
      <c r="G87" s="126" t="s">
        <v>1225</v>
      </c>
      <c r="H87" s="126" cm="1" t="str">
        <f t="array" ref="H87:H87">AC87</f>
        <v>СН1</v>
      </c>
      <c r="I87" s="1448"/>
      <c r="J87" s="1448"/>
      <c r="K87" s="1448"/>
      <c r="L87" s="1448"/>
      <c r="M87" s="1448"/>
      <c r="N87" s="1448"/>
      <c r="O87" s="1448"/>
      <c r="P87" s="1448"/>
      <c r="Q87" s="1448"/>
      <c r="R87" s="1448"/>
      <c r="S87" s="1448"/>
      <c r="T87" s="465" cm="1" t="str">
        <f t="array" ref="T87:T87">T86</f>
        <v>true</v>
      </c>
      <c r="U87" s="1448"/>
      <c r="V87" s="1448"/>
      <c r="W87" s="1448"/>
      <c r="X87" s="1448"/>
      <c r="Y87" s="1543">
        <v>0</v>
      </c>
      <c r="Z87" s="1448"/>
      <c r="AA87" s="1494" t="s">
        <v>175</v>
      </c>
      <c r="AB87" s="89" t="str">
        <f>AB86&amp;".1"</f>
        <v>7.3.1</v>
      </c>
      <c r="AC87" s="3294" t="s">
        <v>1622</v>
      </c>
      <c r="AD87" s="89" t="s">
        <v>1514</v>
      </c>
      <c r="AE87" s="142">
        <f>AE88+AE91</f>
        <v>0</v>
      </c>
      <c r="AF87" s="142">
        <f>AF88+AF91</f>
        <v>0</v>
      </c>
      <c r="AG87" s="142">
        <f>AG88+AG91</f>
        <v>0</v>
      </c>
      <c r="AH87" s="142">
        <f>AH88+AH91</f>
        <v>0</v>
      </c>
      <c r="AI87" s="142">
        <f>AI88+AI91</f>
        <v>15182.73</v>
      </c>
      <c r="AJ87" s="142">
        <f>AJ88+AJ91</f>
        <v>16564.36</v>
      </c>
      <c r="AK87" s="142">
        <f>AK88+AK91</f>
        <v>17376.01</v>
      </c>
      <c r="AL87" s="142">
        <f>AL88+AL91</f>
        <v>18227.44</v>
      </c>
      <c r="AM87" s="142">
        <f>AM88+AM91</f>
        <v>19120.588</v>
      </c>
      <c r="AN87" s="142">
        <f>AN88+AN91</f>
        <v>0</v>
      </c>
      <c r="AO87" s="142">
        <f>AO88+AO91</f>
        <v>0</v>
      </c>
      <c r="AP87" s="142">
        <f>AP88+AP91</f>
        <v>0</v>
      </c>
      <c r="AQ87" s="142">
        <f>AQ88+AQ91</f>
        <v>0</v>
      </c>
      <c r="AR87" s="142">
        <f>AR88+AR91</f>
        <v>0</v>
      </c>
      <c r="AS87" s="142">
        <f>AS88+AS91</f>
        <v>15215.0949730955</v>
      </c>
      <c r="AT87" s="142">
        <f>AT88+AT91</f>
        <v>16599.6686156472</v>
      </c>
      <c r="AU87" s="142">
        <f>AU88+AU91</f>
        <v>17413.0523778139</v>
      </c>
      <c r="AV87" s="142">
        <f>AV88+AV91</f>
        <v>18266.7966363153</v>
      </c>
      <c r="AW87" s="142">
        <f>AW88+AW91</f>
        <v>19171.2111087553</v>
      </c>
      <c r="AX87" s="142">
        <f>AX88+AX91</f>
        <v>0</v>
      </c>
      <c r="AY87" s="142">
        <f>AY88+AY91</f>
        <v>0</v>
      </c>
      <c r="AZ87" s="142">
        <f>AZ88+AZ91</f>
        <v>0</v>
      </c>
      <c r="BA87" s="142">
        <f>BA88+BA91</f>
        <v>0</v>
      </c>
      <c r="BB87" s="142">
        <f>BB88+BB91</f>
        <v>0</v>
      </c>
      <c r="BC87" s="3295"/>
      <c r="BD87" s="1448"/>
      <c r="BE87" s="1448"/>
      <c r="BF87" s="1030" t="s">
        <v>1593</v>
      </c>
      <c r="BG87" s="1030" t="s">
        <v>1594</v>
      </c>
      <c r="BH87" s="1030" cm="1" t="str">
        <f t="array" ref="BH87:BH87">AC87</f>
        <v>СН1</v>
      </c>
      <c r="BI87" s="146" cm="1" t="str">
        <f t="array" ref="BI87:BI87">AC86</f>
        <v>ПАО "Кузбассэнергосбыт" (ИНН: 4205109214, КПП: 420501001)</v>
      </c>
      <c r="BJ87" s="267"/>
      <c r="BK87" s="267" t="b">
        <v>1</v>
      </c>
    </row>
    <row s="1448" customFormat="1" customHeight="1" ht="10.5">
      <c r="A88" s="1448"/>
      <c r="B88" s="1448"/>
      <c r="C88" s="1448"/>
      <c r="D88" s="1448"/>
      <c r="E88" s="267">
        <v>11.25</v>
      </c>
      <c r="F88" s="50" cm="1" t="str">
        <f t="array" ref="F88:F88">OFFSET(E88,-1,1)</f>
        <v>1</v>
      </c>
      <c r="G88" s="126" t="s">
        <v>1390</v>
      </c>
      <c r="H88" s="126" cm="1" t="str">
        <f t="array" ref="H88:H88">H87</f>
        <v>СН1</v>
      </c>
      <c r="I88" s="1448"/>
      <c r="J88" s="1448"/>
      <c r="K88" s="1448"/>
      <c r="L88" s="1448"/>
      <c r="M88" s="1448"/>
      <c r="N88" s="1448"/>
      <c r="O88" s="1448"/>
      <c r="P88" s="1448"/>
      <c r="Q88" s="1448"/>
      <c r="R88" s="1448"/>
      <c r="S88" s="1448"/>
      <c r="T88" s="465" cm="1" t="str">
        <f t="array" ref="T88:T88">T87</f>
        <v>true</v>
      </c>
      <c r="U88" s="1448"/>
      <c r="V88" s="1448"/>
      <c r="W88" s="1448"/>
      <c r="X88" s="1448"/>
      <c r="Y88" s="1448"/>
      <c r="Z88" s="1448"/>
      <c r="AA88" s="1494"/>
      <c r="AB88" s="89" t="str">
        <f>AB86&amp;".2"</f>
        <v>7.3.2</v>
      </c>
      <c r="AC88" s="192" t="s">
        <v>1595</v>
      </c>
      <c r="AD88" s="89" t="s">
        <v>1596</v>
      </c>
      <c r="AE88" s="3296"/>
      <c r="AF88" s="3296"/>
      <c r="AG88" s="3296"/>
      <c r="AH88" s="3296"/>
      <c r="AI88" s="3296">
        <v>7298.78</v>
      </c>
      <c r="AJ88" s="3296">
        <v>7962.97</v>
      </c>
      <c r="AK88" s="3296">
        <v>8353.15</v>
      </c>
      <c r="AL88" s="3296">
        <v>8762.46</v>
      </c>
      <c r="AM88" s="3296">
        <v>9191.818</v>
      </c>
      <c r="AN88" s="3293"/>
      <c r="AO88" s="3293"/>
      <c r="AP88" s="3293"/>
      <c r="AQ88" s="3293"/>
      <c r="AR88" s="3293"/>
      <c r="AS88" s="3296">
        <f>2.685*1.132*AS90</f>
        <v>7314.33677309549</v>
      </c>
      <c r="AT88" s="3296">
        <f>AS89*1.091*AT90</f>
        <v>7979.94141944718</v>
      </c>
      <c r="AU88" s="3296">
        <f>AT89*1.049*AU90</f>
        <v>8370.95854900009</v>
      </c>
      <c r="AV88" s="3296">
        <f>AU89*1.049*AV90</f>
        <v>8781.37813795553</v>
      </c>
      <c r="AW88" s="3296">
        <f>AV89*1.049*AW90</f>
        <v>9216.15636612865</v>
      </c>
      <c r="AX88" s="3293"/>
      <c r="AY88" s="3293"/>
      <c r="AZ88" s="3293"/>
      <c r="BA88" s="3293"/>
      <c r="BB88" s="3293"/>
      <c r="BC88" s="3295"/>
      <c r="BD88" s="1448"/>
      <c r="BE88" s="1448"/>
      <c r="BF88" s="1030" t="s">
        <v>1597</v>
      </c>
      <c r="BG88" s="1030" t="s">
        <v>1594</v>
      </c>
      <c r="BH88" s="1030" cm="1" t="str">
        <f t="array" ref="BH88:BH88">BH87</f>
        <v>СН1</v>
      </c>
      <c r="BI88" s="146" cm="1" t="str">
        <f t="array" ref="BI88:BI88">BI87</f>
        <v>ПАО "Кузбассэнергосбыт" (ИНН: 4205109214, КПП: 420501001)</v>
      </c>
      <c r="BJ88" s="267"/>
      <c r="BK88" s="267"/>
    </row>
    <row s="1448" customFormat="1" customHeight="1" ht="23.25">
      <c r="A89" s="1448"/>
      <c r="B89" s="1448"/>
      <c r="C89" s="1448"/>
      <c r="D89" s="1448"/>
      <c r="E89" s="267">
        <v>11.25</v>
      </c>
      <c r="F89" s="50" cm="1" t="str">
        <f t="array" ref="F89:F89">OFFSET(E89,-1,1)</f>
        <v>1</v>
      </c>
      <c r="G89" s="126" t="s">
        <v>1598</v>
      </c>
      <c r="H89" s="126" cm="1" t="str">
        <f t="array" ref="H89:H89">H88</f>
        <v>СН1</v>
      </c>
      <c r="I89" s="1448"/>
      <c r="J89" s="1448"/>
      <c r="K89" s="1448"/>
      <c r="L89" s="1448"/>
      <c r="M89" s="1448"/>
      <c r="N89" s="1448"/>
      <c r="O89" s="1448"/>
      <c r="P89" s="1448"/>
      <c r="Q89" s="1448"/>
      <c r="R89" s="1448"/>
      <c r="S89" s="1448"/>
      <c r="T89" s="465" cm="1" t="str">
        <f t="array" ref="T89:T89">T88</f>
        <v>true</v>
      </c>
      <c r="U89" s="1448"/>
      <c r="V89" s="1448"/>
      <c r="W89" s="1448"/>
      <c r="X89" s="1448"/>
      <c r="Y89" s="1448"/>
      <c r="Z89" s="1448"/>
      <c r="AA89" s="1494"/>
      <c r="AB89" s="89" t="str">
        <f>AB86&amp;".3"</f>
        <v>7.3.3</v>
      </c>
      <c r="AC89" s="332" t="s">
        <v>1587</v>
      </c>
      <c r="AD89" s="92" t="s">
        <v>1579</v>
      </c>
      <c r="AE89" s="142">
        <f>IF(OR(AND(AE88&lt;&gt;0,AE90=0),AND(AE88=0,AE90&lt;&gt;0)),"Ошибка",IF(AE90=0,0,AE88/AE90))</f>
        <v>0</v>
      </c>
      <c r="AF89" s="142">
        <f>IF(OR(AND(AF88&lt;&gt;0,AF90=0),AND(AF88=0,AF90&lt;&gt;0)),"Ошибка",IF(AF90=0,0,AF88/AF90))</f>
        <v>0</v>
      </c>
      <c r="AG89" s="142">
        <f>IF(OR(AND(AG88&lt;&gt;0,AG90=0),AND(AG88=0,AG90&lt;&gt;0)),"Ошибка",IF(AG90=0,0,AG88/AG90))</f>
        <v>0</v>
      </c>
      <c r="AH89" s="142">
        <f>IF(OR(AND(AH88&lt;&gt;0,AH90=0),AND(AH88=0,AH90&lt;&gt;0)),"Ошибка",IF(AH90=0,0,AH88/AH90))</f>
        <v>0</v>
      </c>
      <c r="AI89" s="142">
        <f>IF(OR(AND(AI88&lt;&gt;0,AI90=0),AND(AI88=0,AI90&lt;&gt;0)),"Ошибка",IF(AI90=0,0,AI88/AI90))</f>
        <v>3.03942332918292</v>
      </c>
      <c r="AJ89" s="142">
        <f>IF(OR(AND(AJ88&lt;&gt;0,AJ90=0),AND(AJ88=0,AJ90&lt;&gt;0)),"Ошибка",IF(AJ90=0,0,AJ88/AJ90))</f>
        <v>3.31601127689611</v>
      </c>
      <c r="AK89" s="142">
        <f>IF(OR(AND(AK88&lt;&gt;0,AK90=0),AND(AK88=0,AK90&lt;&gt;0)),"Ошибка",IF(AK90=0,0,AK88/AK90))</f>
        <v>3.47849352661189</v>
      </c>
      <c r="AL89" s="142">
        <f>IF(OR(AND(AL88&lt;&gt;0,AL90=0),AND(AL88=0,AL90&lt;&gt;0)),"Ошибка",IF(AL90=0,0,AL88/AL90))</f>
        <v>3.64894206223947</v>
      </c>
      <c r="AM89" s="142">
        <f>IF(OR(AND(AM88&lt;&gt;0,AM90=0),AND(AM88=0,AM90&lt;&gt;0)),"Ошибка",IF(AM90=0,0,AM88/AM90))</f>
        <v>3.82773916555966</v>
      </c>
      <c r="AN89" s="142">
        <f>IF(OR(AND(AN88&lt;&gt;0,AN90=0),AND(AN88=0,AN90&lt;&gt;0)),"Ошибка",IF(AN90=0,0,AN88/AN90))</f>
        <v>0</v>
      </c>
      <c r="AO89" s="142">
        <f>IF(OR(AND(AO88&lt;&gt;0,AO90=0),AND(AO88=0,AO90&lt;&gt;0)),"Ошибка",IF(AO90=0,0,AO88/AO90))</f>
        <v>0</v>
      </c>
      <c r="AP89" s="142">
        <f>IF(OR(AND(AP88&lt;&gt;0,AP90=0),AND(AP88=0,AP90&lt;&gt;0)),"Ошибка",IF(AP90=0,0,AP88/AP90))</f>
        <v>0</v>
      </c>
      <c r="AQ89" s="142">
        <f>IF(OR(AND(AQ88&lt;&gt;0,AQ90=0),AND(AQ88=0,AQ90&lt;&gt;0)),"Ошибка",IF(AQ90=0,0,AQ88/AQ90))</f>
        <v>0</v>
      </c>
      <c r="AR89" s="142">
        <f>IF(OR(AND(AR88&lt;&gt;0,AR90=0),AND(AR88=0,AR90&lt;&gt;0)),"Ошибка",IF(AR90=0,0,AR88/AR90))</f>
        <v>0</v>
      </c>
      <c r="AS89" s="142">
        <f>IF(OR(AND(AS88&lt;&gt;0,AS90=0),AND(AS88=0,AS90&lt;&gt;0)),"Ошибка",IF(AS90=0,0,AS88/AS90))</f>
        <v>3.03942</v>
      </c>
      <c r="AT89" s="142">
        <f>IF(OR(AND(AT88&lt;&gt;0,AT90=0),AND(AT88=0,AT90&lt;&gt;0)),"Ошибка",IF(AT90=0,0,AT88/AT90))</f>
        <v>3.31600722</v>
      </c>
      <c r="AU89" s="142">
        <f>IF(OR(AND(AU88&lt;&gt;0,AU90=0),AND(AU88=0,AU90&lt;&gt;0)),"Ошибка",IF(AU90=0,0,AU88/AU90))</f>
        <v>3.47849157378</v>
      </c>
      <c r="AV89" s="142">
        <f>IF(OR(AND(AV88&lt;&gt;0,AV90=0),AND(AV88=0,AV90&lt;&gt;0)),"Ошибка",IF(AV90=0,0,AV88/AV90))</f>
        <v>3.64893766089522</v>
      </c>
      <c r="AW89" s="142">
        <f>IF(OR(AND(AW88&lt;&gt;0,AW90=0),AND(AW88=0,AW90&lt;&gt;0)),"Ошибка",IF(AW90=0,0,AW88/AW90))</f>
        <v>3.82773560627909</v>
      </c>
      <c r="AX89" s="142">
        <f>IF(OR(AND(AX88&lt;&gt;0,AX90=0),AND(AX88=0,AX90&lt;&gt;0)),"Ошибка",IF(AX90=0,0,AX88/AX90))</f>
        <v>0</v>
      </c>
      <c r="AY89" s="142">
        <f>IF(OR(AND(AY88&lt;&gt;0,AY90=0),AND(AY88=0,AY90&lt;&gt;0)),"Ошибка",IF(AY90=0,0,AY88/AY90))</f>
        <v>0</v>
      </c>
      <c r="AZ89" s="142">
        <f>IF(OR(AND(AZ88&lt;&gt;0,AZ90=0),AND(AZ88=0,AZ90&lt;&gt;0)),"Ошибка",IF(AZ90=0,0,AZ88/AZ90))</f>
        <v>0</v>
      </c>
      <c r="BA89" s="142">
        <f>IF(OR(AND(BA88&lt;&gt;0,BA90=0),AND(BA88=0,BA90&lt;&gt;0)),"Ошибка",IF(BA90=0,0,BA88/BA90))</f>
        <v>0</v>
      </c>
      <c r="BB89" s="142">
        <f>IF(OR(AND(BB88&lt;&gt;0,BB90=0),AND(BB88=0,BB90&lt;&gt;0)),"Ошибка",IF(BB90=0,0,BB88/BB90))</f>
        <v>0</v>
      </c>
      <c r="BC89" s="3295" t="s">
        <v>1618</v>
      </c>
      <c r="BD89" s="1448"/>
      <c r="BE89" s="1448"/>
      <c r="BF89" s="1030" t="s">
        <v>1599</v>
      </c>
      <c r="BG89" s="1030" t="s">
        <v>1594</v>
      </c>
      <c r="BH89" s="1030" cm="1" t="str">
        <f t="array" ref="BH89:BH89">BH88</f>
        <v>СН1</v>
      </c>
      <c r="BI89" s="146" cm="1" t="str">
        <f t="array" ref="BI89:BI89">BI88</f>
        <v>ПАО "Кузбассэнергосбыт" (ИНН: 4205109214, КПП: 420501001)</v>
      </c>
      <c r="BJ89" s="267"/>
      <c r="BK89" s="267"/>
    </row>
    <row s="1448" customFormat="1" customHeight="1" ht="33.75">
      <c r="A90" s="1448"/>
      <c r="B90" s="1448"/>
      <c r="C90" s="1448"/>
      <c r="D90" s="1448"/>
      <c r="E90" s="267">
        <v>11.25</v>
      </c>
      <c r="F90" s="50" cm="1" t="str">
        <f t="array" ref="F90:F90">OFFSET(E90,-1,1)</f>
        <v>1</v>
      </c>
      <c r="G90" s="126" t="s">
        <v>1600</v>
      </c>
      <c r="H90" s="126" cm="1" t="str">
        <f t="array" ref="H90:H90">H89</f>
        <v>СН1</v>
      </c>
      <c r="I90" s="1448"/>
      <c r="J90" s="1448"/>
      <c r="K90" s="1448"/>
      <c r="L90" s="1448"/>
      <c r="M90" s="1448"/>
      <c r="N90" s="1448"/>
      <c r="O90" s="1448"/>
      <c r="P90" s="1448"/>
      <c r="Q90" s="1448"/>
      <c r="R90" s="1448"/>
      <c r="S90" s="1448"/>
      <c r="T90" s="465" cm="1" t="str">
        <f t="array" ref="T90:T90">T89</f>
        <v>true</v>
      </c>
      <c r="U90" s="1448"/>
      <c r="V90" s="1448"/>
      <c r="W90" s="1448"/>
      <c r="X90" s="1448"/>
      <c r="Y90" s="1448"/>
      <c r="Z90" s="1448"/>
      <c r="AA90" s="1494"/>
      <c r="AB90" s="89" t="str">
        <f>AB86&amp;".4"</f>
        <v>7.3.4</v>
      </c>
      <c r="AC90" s="332" t="s">
        <v>1589</v>
      </c>
      <c r="AD90" s="92" t="s">
        <v>1573</v>
      </c>
      <c r="AE90" s="3296"/>
      <c r="AF90" s="3296"/>
      <c r="AG90" s="3296"/>
      <c r="AH90" s="3296"/>
      <c r="AI90" s="3296">
        <v>2401.37</v>
      </c>
      <c r="AJ90" s="3296" cm="1" t="str">
        <f t="array" ref="AJ90:AJ90">AI90</f>
        <v>2401.37</v>
      </c>
      <c r="AK90" s="3296" cm="1" t="str">
        <f t="array" ref="AK90:AK90">AJ90</f>
        <v>2401.37</v>
      </c>
      <c r="AL90" s="3296" cm="1" t="str">
        <f t="array" ref="AL90:AL90">AK90</f>
        <v>2401.37</v>
      </c>
      <c r="AM90" s="3296" cm="1" t="str">
        <f t="array" ref="AM90:AM90">AL90</f>
        <v>2401.37</v>
      </c>
      <c r="AN90" s="3293"/>
      <c r="AO90" s="3293"/>
      <c r="AP90" s="3293"/>
      <c r="AQ90" s="3293"/>
      <c r="AR90" s="3293"/>
      <c r="AS90" s="3296">
        <v>2406.4909664</v>
      </c>
      <c r="AT90" s="3296" cm="1" t="str">
        <f t="array" ref="AT90:AT90">AS90</f>
        <v>2406.4909664</v>
      </c>
      <c r="AU90" s="3296" cm="1" t="str">
        <f t="array" ref="AU90:AU90">AT90</f>
        <v>2406.4909664</v>
      </c>
      <c r="AV90" s="3296">
        <v>2406.557457</v>
      </c>
      <c r="AW90" s="3296">
        <v>2407.730657</v>
      </c>
      <c r="AX90" s="3293"/>
      <c r="AY90" s="3293"/>
      <c r="AZ90" s="3293"/>
      <c r="BA90" s="3293"/>
      <c r="BB90" s="3293"/>
      <c r="BC90" s="3295" t="s">
        <v>1619</v>
      </c>
      <c r="BD90" s="1448"/>
      <c r="BE90" s="1448"/>
      <c r="BF90" s="1030" t="s">
        <v>1601</v>
      </c>
      <c r="BG90" s="1030" t="s">
        <v>1594</v>
      </c>
      <c r="BH90" s="1030" cm="1" t="str">
        <f t="array" ref="BH90:BH90">BH89</f>
        <v>СН1</v>
      </c>
      <c r="BI90" s="146" cm="1" t="str">
        <f t="array" ref="BI90:BI90">BI89</f>
        <v>ПАО "Кузбассэнергосбыт" (ИНН: 4205109214, КПП: 420501001)</v>
      </c>
      <c r="BJ90" s="267"/>
      <c r="BK90" s="267"/>
    </row>
    <row s="1448" customFormat="1" customHeight="1" ht="12.75">
      <c r="A91" s="1448"/>
      <c r="B91" s="1448"/>
      <c r="C91" s="1448"/>
      <c r="D91" s="1448"/>
      <c r="E91" s="267">
        <v>11.25</v>
      </c>
      <c r="F91" s="50" cm="1" t="str">
        <f t="array" ref="F91:F91">OFFSET(E91,-1,1)</f>
        <v>1</v>
      </c>
      <c r="G91" s="126" t="s">
        <v>1393</v>
      </c>
      <c r="H91" s="126" cm="1" t="str">
        <f t="array" ref="H91:H91">H90</f>
        <v>СН1</v>
      </c>
      <c r="I91" s="1448"/>
      <c r="J91" s="1448"/>
      <c r="K91" s="1448"/>
      <c r="L91" s="1448"/>
      <c r="M91" s="1448"/>
      <c r="N91" s="1448"/>
      <c r="O91" s="1448"/>
      <c r="P91" s="1448"/>
      <c r="Q91" s="1448"/>
      <c r="R91" s="1448"/>
      <c r="S91" s="1448"/>
      <c r="T91" s="465" cm="1" t="str">
        <f t="array" ref="T91:T91">T90</f>
        <v>true</v>
      </c>
      <c r="U91" s="1448"/>
      <c r="V91" s="1448"/>
      <c r="W91" s="1448"/>
      <c r="X91" s="1448"/>
      <c r="Y91" s="1448"/>
      <c r="Z91" s="1448"/>
      <c r="AA91" s="1494"/>
      <c r="AB91" s="89" t="str">
        <f>AB86&amp;".5"</f>
        <v>7.3.5</v>
      </c>
      <c r="AC91" s="192" t="s">
        <v>1602</v>
      </c>
      <c r="AD91" s="89" t="s">
        <v>1596</v>
      </c>
      <c r="AE91" s="3296"/>
      <c r="AF91" s="3296"/>
      <c r="AG91" s="3296"/>
      <c r="AH91" s="3296"/>
      <c r="AI91" s="3296">
        <v>7883.95</v>
      </c>
      <c r="AJ91" s="3296">
        <v>8601.39</v>
      </c>
      <c r="AK91" s="3296">
        <v>9022.86</v>
      </c>
      <c r="AL91" s="3296">
        <v>9464.98</v>
      </c>
      <c r="AM91" s="3296">
        <v>9928.77</v>
      </c>
      <c r="AN91" s="3293"/>
      <c r="AO91" s="3293"/>
      <c r="AP91" s="3293"/>
      <c r="AQ91" s="3293"/>
      <c r="AR91" s="3293"/>
      <c r="AS91" s="3296">
        <v>7900.7582</v>
      </c>
      <c r="AT91" s="3296">
        <f>AS91*1.091</f>
        <v>8619.7271962</v>
      </c>
      <c r="AU91" s="3296">
        <f>AT91*1.049</f>
        <v>9042.0938288138</v>
      </c>
      <c r="AV91" s="3296">
        <f>AU92*1.049*AV93*12/1000</f>
        <v>9485.41849835975</v>
      </c>
      <c r="AW91" s="3296">
        <f>AV92*1.049*AW93*12/1000</f>
        <v>9955.0547426267</v>
      </c>
      <c r="AX91" s="3293"/>
      <c r="AY91" s="3293"/>
      <c r="AZ91" s="3293"/>
      <c r="BA91" s="3293"/>
      <c r="BB91" s="3293"/>
      <c r="BC91" s="3295"/>
      <c r="BD91" s="1448"/>
      <c r="BE91" s="1448"/>
      <c r="BF91" s="1030" t="s">
        <v>1603</v>
      </c>
      <c r="BG91" s="1030" t="s">
        <v>1594</v>
      </c>
      <c r="BH91" s="1030" cm="1" t="str">
        <f t="array" ref="BH91:BH91">BH90</f>
        <v>СН1</v>
      </c>
      <c r="BI91" s="146" cm="1" t="str">
        <f t="array" ref="BI91:BI91">BI90</f>
        <v>ПАО "Кузбассэнергосбыт" (ИНН: 4205109214, КПП: 420501001)</v>
      </c>
      <c r="BJ91" s="267"/>
      <c r="BK91" s="267"/>
    </row>
    <row s="1448" customFormat="1" customHeight="1" ht="23.25">
      <c r="A92" s="1448"/>
      <c r="B92" s="1448"/>
      <c r="C92" s="1448"/>
      <c r="D92" s="1448"/>
      <c r="E92" s="267">
        <v>11.25</v>
      </c>
      <c r="F92" s="50" cm="1" t="str">
        <f t="array" ref="F92:F92">OFFSET(E92,-1,1)</f>
        <v>1</v>
      </c>
      <c r="G92" s="126" t="s">
        <v>1604</v>
      </c>
      <c r="H92" s="126" cm="1" t="str">
        <f t="array" ref="H92:H92">H91</f>
        <v>СН1</v>
      </c>
      <c r="I92" s="1448"/>
      <c r="J92" s="1448"/>
      <c r="K92" s="1448"/>
      <c r="L92" s="1448"/>
      <c r="M92" s="1448"/>
      <c r="N92" s="1448"/>
      <c r="O92" s="1448"/>
      <c r="P92" s="1448"/>
      <c r="Q92" s="1448"/>
      <c r="R92" s="1448"/>
      <c r="S92" s="1448"/>
      <c r="T92" s="465" cm="1" t="str">
        <f t="array" ref="T92:T92">T91</f>
        <v>true</v>
      </c>
      <c r="U92" s="1448"/>
      <c r="V92" s="1448"/>
      <c r="W92" s="1448"/>
      <c r="X92" s="1448"/>
      <c r="Y92" s="1448"/>
      <c r="Z92" s="1448"/>
      <c r="AA92" s="1494"/>
      <c r="AB92" s="89" t="str">
        <f>AB86&amp;".6"</f>
        <v>7.3.6</v>
      </c>
      <c r="AC92" s="332" t="s">
        <v>1605</v>
      </c>
      <c r="AD92" s="92" t="s">
        <v>1606</v>
      </c>
      <c r="AE92" s="142">
        <f>IF(OR(AND(AE91&lt;&gt;0,AE93=0),AND(AE91=0,AE93&lt;&gt;0)),"Ошибка",IF(AE93=0,0,AE91/AE93*1000/12))</f>
        <v>0</v>
      </c>
      <c r="AF92" s="142">
        <f>IF(OR(AND(AF91&lt;&gt;0,AF93=0),AND(AF91=0,AF93&lt;&gt;0)),"Ошибка",IF(AF93=0,0,AF91/AF93*1000/12))</f>
        <v>0</v>
      </c>
      <c r="AG92" s="142">
        <f>IF(OR(AND(AG91&lt;&gt;0,AG93=0),AND(AG91=0,AG93&lt;&gt;0)),"Ошибка",IF(AG93=0,0,AG91/AG93*1000/12))</f>
        <v>0</v>
      </c>
      <c r="AH92" s="142">
        <f>IF(OR(AND(AH91&lt;&gt;0,AH93=0),AND(AH91=0,AH93&lt;&gt;0)),"Ошибка",IF(AH93=0,0,AH91/AH93*1000/12))</f>
        <v>0</v>
      </c>
      <c r="AI92" s="142">
        <f>IF(OR(AND(AI91&lt;&gt;0,AI93=0),AND(AI91=0,AI93&lt;&gt;0)),"Ошибка",IF(AI93=0,0,AI91/AI93*1000/12))</f>
        <v>2385.36</v>
      </c>
      <c r="AJ92" s="142">
        <f>IF(OR(AND(AJ91&lt;&gt;0,AJ93=0),AND(AJ91=0,AJ93&lt;&gt;0)),"Ошибка",IF(AJ93=0,0,AJ91/AJ93*1000/12))</f>
        <v>2602.42792640745</v>
      </c>
      <c r="AK92" s="142">
        <f>IF(OR(AND(AK91&lt;&gt;0,AK93=0),AND(AK91=0,AK93&lt;&gt;0)),"Ошибка",IF(AK93=0,0,AK91/AK93*1000/12))</f>
        <v>2729.94746663792</v>
      </c>
      <c r="AL92" s="142">
        <f>IF(OR(AND(AL91&lt;&gt;0,AL93=0),AND(AL91=0,AL93&lt;&gt;0)),"Ошибка",IF(AL93=0,0,AL91/AL93*1000/12))</f>
        <v>2863.71485014492</v>
      </c>
      <c r="AM92" s="142">
        <f>IF(OR(AND(AM91&lt;&gt;0,AM93=0),AND(AM91=0,AM93&lt;&gt;0)),"Ошибка",IF(AM93=0,0,AM91/AM93*1000/12))</f>
        <v>3004.03868710482</v>
      </c>
      <c r="AN92" s="142">
        <f>IF(OR(AND(AN91&lt;&gt;0,AN93=0),AND(AN91=0,AN93&lt;&gt;0)),"Ошибка",IF(AN93=0,0,AN91/AN93*1000/12))</f>
        <v>0</v>
      </c>
      <c r="AO92" s="142">
        <f>IF(OR(AND(AO91&lt;&gt;0,AO93=0),AND(AO91=0,AO93&lt;&gt;0)),"Ошибка",IF(AO93=0,0,AO91/AO93*1000/12))</f>
        <v>0</v>
      </c>
      <c r="AP92" s="142">
        <f>IF(OR(AND(AP91&lt;&gt;0,AP93=0),AND(AP91=0,AP93&lt;&gt;0)),"Ошибка",IF(AP93=0,0,AP91/AP93*1000/12))</f>
        <v>0</v>
      </c>
      <c r="AQ92" s="142">
        <f>IF(OR(AND(AQ91&lt;&gt;0,AQ93=0),AND(AQ91=0,AQ93&lt;&gt;0)),"Ошибка",IF(AQ93=0,0,AQ91/AQ93*1000/12))</f>
        <v>0</v>
      </c>
      <c r="AR92" s="142">
        <f>IF(OR(AND(AR91&lt;&gt;0,AR93=0),AND(AR91=0,AR93&lt;&gt;0)),"Ошибка",IF(AR93=0,0,AR91/AR93*1000/12))</f>
        <v>0</v>
      </c>
      <c r="AS92" s="142">
        <f>IF(OR(AND(AS91&lt;&gt;0,AS93=0),AND(AS91=0,AS93&lt;&gt;0)),"Ошибка",IF(AS93=0,0,AS91/AS93*1000/12))</f>
        <v>2385.36282566513</v>
      </c>
      <c r="AT92" s="142">
        <f>IF(OR(AND(AT91&lt;&gt;0,AT93=0),AND(AT91=0,AT93&lt;&gt;0)),"Ошибка",IF(AT93=0,0,AT91/AT93*1000/12))</f>
        <v>2602.43084280066</v>
      </c>
      <c r="AU92" s="142">
        <f>IF(OR(AND(AU91&lt;&gt;0,AU93=0),AND(AU91=0,AU93&lt;&gt;0)),"Ошибка",IF(AU93=0,0,AU91/AU93*1000/12))</f>
        <v>2729.94995409788</v>
      </c>
      <c r="AV92" s="142">
        <f>IF(OR(AND(AV91&lt;&gt;0,AV93=0),AND(AV91=0,AV93&lt;&gt;0)),"Ошибка",IF(AV93=0,0,AV91/AV93*1000/12))</f>
        <v>2863.71750184868</v>
      </c>
      <c r="AW92" s="142">
        <f>IF(OR(AND(AW91&lt;&gt;0,AW93=0),AND(AW91=0,AW93&lt;&gt;0)),"Ошибка",IF(AW93=0,0,AW91/AW93*1000/12))</f>
        <v>3004.03965943927</v>
      </c>
      <c r="AX92" s="142">
        <f>IF(OR(AND(AX91&lt;&gt;0,AX93=0),AND(AX91=0,AX93&lt;&gt;0)),"Ошибка",IF(AX93=0,0,AX91/AX93*1000/12))</f>
        <v>0</v>
      </c>
      <c r="AY92" s="142">
        <f>IF(OR(AND(AY91&lt;&gt;0,AY93=0),AND(AY91=0,AY93&lt;&gt;0)),"Ошибка",IF(AY93=0,0,AY91/AY93*1000/12))</f>
        <v>0</v>
      </c>
      <c r="AZ92" s="142">
        <f>IF(OR(AND(AZ91&lt;&gt;0,AZ93=0),AND(AZ91=0,AZ93&lt;&gt;0)),"Ошибка",IF(AZ93=0,0,AZ91/AZ93*1000/12))</f>
        <v>0</v>
      </c>
      <c r="BA92" s="142">
        <f>IF(OR(AND(BA91&lt;&gt;0,BA93=0),AND(BA91=0,BA93&lt;&gt;0)),"Ошибка",IF(BA93=0,0,BA91/BA93*1000/12))</f>
        <v>0</v>
      </c>
      <c r="BB92" s="142">
        <f>IF(OR(AND(BB91&lt;&gt;0,BB93=0),AND(BB91=0,BB93&lt;&gt;0)),"Ошибка",IF(BB93=0,0,BB91/BB93*1000/12))</f>
        <v>0</v>
      </c>
      <c r="BC92" s="3295" t="s">
        <v>1618</v>
      </c>
      <c r="BD92" s="1448"/>
      <c r="BE92" s="1448"/>
      <c r="BF92" s="1030" t="s">
        <v>1607</v>
      </c>
      <c r="BG92" s="1030" t="s">
        <v>1594</v>
      </c>
      <c r="BH92" s="1030" cm="1" t="str">
        <f t="array" ref="BH92:BH92">BH91</f>
        <v>СН1</v>
      </c>
      <c r="BI92" s="146" cm="1" t="str">
        <f t="array" ref="BI92:BI92">BI91</f>
        <v>ПАО "Кузбассэнергосбыт" (ИНН: 4205109214, КПП: 420501001)</v>
      </c>
      <c r="BJ92" s="267"/>
      <c r="BK92" s="267"/>
    </row>
    <row s="1448" customFormat="1" customHeight="1" ht="33.75">
      <c r="A93" s="1448"/>
      <c r="B93" s="1448"/>
      <c r="C93" s="1448"/>
      <c r="D93" s="1448"/>
      <c r="E93" s="267">
        <v>11.25</v>
      </c>
      <c r="F93" s="50" cm="1" t="str">
        <f t="array" ref="F93:F93">OFFSET(E93,-1,1)</f>
        <v>1</v>
      </c>
      <c r="G93" s="126" t="s">
        <v>1608</v>
      </c>
      <c r="H93" s="126" cm="1" t="str">
        <f t="array" ref="H93:H93">H92</f>
        <v>СН1</v>
      </c>
      <c r="I93" s="1448"/>
      <c r="J93" s="1448"/>
      <c r="K93" s="1448"/>
      <c r="L93" s="1448"/>
      <c r="M93" s="1448"/>
      <c r="N93" s="1448"/>
      <c r="O93" s="1448"/>
      <c r="P93" s="1448"/>
      <c r="Q93" s="1448"/>
      <c r="R93" s="1448"/>
      <c r="S93" s="1448"/>
      <c r="T93" s="465" cm="1" t="str">
        <f t="array" ref="T93:T93">T92</f>
        <v>true</v>
      </c>
      <c r="U93" s="1448"/>
      <c r="V93" s="1448"/>
      <c r="W93" s="1448"/>
      <c r="X93" s="1448"/>
      <c r="Y93" s="1448"/>
      <c r="Z93" s="1448"/>
      <c r="AA93" s="1494"/>
      <c r="AB93" s="89" t="str">
        <f>AB86&amp;".7"</f>
        <v>7.3.7</v>
      </c>
      <c r="AC93" s="332" t="s">
        <v>1609</v>
      </c>
      <c r="AD93" s="92" t="s">
        <v>1610</v>
      </c>
      <c r="AE93" s="3296"/>
      <c r="AF93" s="3296"/>
      <c r="AG93" s="3296"/>
      <c r="AH93" s="3296"/>
      <c r="AI93" s="3296">
        <f>AI91/2385.36/12*1000</f>
        <v>275.428376988519</v>
      </c>
      <c r="AJ93" s="3296" cm="1" t="str">
        <f t="array" ref="AJ93:AJ93">AI93</f>
        <v>275.428376988519</v>
      </c>
      <c r="AK93" s="3296" cm="1" t="str">
        <f t="array" ref="AK93:AK93">AJ93</f>
        <v>275.428376988519</v>
      </c>
      <c r="AL93" s="3296" cm="1" t="str">
        <f t="array" ref="AL93:AL93">AK93</f>
        <v>275.428376988519</v>
      </c>
      <c r="AM93" s="3296" cm="1" t="str">
        <f t="array" ref="AM93:AM93">AL93</f>
        <v>275.428376988519</v>
      </c>
      <c r="AN93" s="3293"/>
      <c r="AO93" s="3293"/>
      <c r="AP93" s="3293"/>
      <c r="AQ93" s="3293"/>
      <c r="AR93" s="3293"/>
      <c r="AS93" s="3296">
        <f>3.312183/12*1000</f>
        <v>276.01525</v>
      </c>
      <c r="AT93" s="3296">
        <f>AS93/AS90*AT90</f>
        <v>276.01525</v>
      </c>
      <c r="AU93" s="3296">
        <f>AT93/AT90*AU90</f>
        <v>276.01525</v>
      </c>
      <c r="AV93" s="3296">
        <f>AU93/AU90*AV90</f>
        <v>276.022876215863</v>
      </c>
      <c r="AW93" s="3296">
        <f>AV93/AV90*AW90</f>
        <v>276.157437739601</v>
      </c>
      <c r="AX93" s="3293"/>
      <c r="AY93" s="3293"/>
      <c r="AZ93" s="3293"/>
      <c r="BA93" s="3293"/>
      <c r="BB93" s="3293"/>
      <c r="BC93" s="3295" t="s">
        <v>1620</v>
      </c>
      <c r="BD93" s="1448"/>
      <c r="BE93" s="1448"/>
      <c r="BF93" s="1030" t="s">
        <v>1611</v>
      </c>
      <c r="BG93" s="1030" t="s">
        <v>1594</v>
      </c>
      <c r="BH93" s="1030" cm="1" t="str">
        <f t="array" ref="BH93:BH93">BH92</f>
        <v>СН1</v>
      </c>
      <c r="BI93" s="146" cm="1" t="str">
        <f t="array" ref="BI93:BI93">BI92</f>
        <v>ПАО "Кузбассэнергосбыт" (ИНН: 4205109214, КПП: 420501001)</v>
      </c>
      <c r="BJ93" s="267"/>
      <c r="BK93" s="267"/>
    </row>
    <row s="1426" customFormat="1" customHeight="1" ht="14.25">
      <c r="A94" s="1426"/>
      <c r="B94" s="427"/>
      <c r="C94" s="483"/>
      <c r="D94" s="1426"/>
      <c r="E94" s="633">
        <v>15</v>
      </c>
      <c r="F94" s="50" cm="1" t="str">
        <f t="array" ref="F94:F94">OFFSET(E94,-1,1)</f>
        <v>1</v>
      </c>
      <c r="G94" s="1426"/>
      <c r="H94" s="957" t="s">
        <v>1612</v>
      </c>
      <c r="I94" s="1426"/>
      <c r="J94" s="1426"/>
      <c r="K94" s="1426"/>
      <c r="L94" s="1426"/>
      <c r="M94" s="1426"/>
      <c r="N94" s="1426"/>
      <c r="O94" s="1426"/>
      <c r="P94" s="1426"/>
      <c r="Q94" s="1426"/>
      <c r="R94" s="1426"/>
      <c r="S94" s="1426"/>
      <c r="T94" s="465">
        <f>F94&gt;0</f>
        <v>1</v>
      </c>
      <c r="U94" s="1426"/>
      <c r="V94" s="1426"/>
      <c r="W94" s="757" t="s">
        <v>1613</v>
      </c>
      <c r="X94" s="1543"/>
      <c r="Y94" s="1426"/>
      <c r="Z94" s="1565"/>
      <c r="AA94" s="1426"/>
      <c r="AB94" s="175"/>
      <c r="AC94" s="178" t="s">
        <v>1614</v>
      </c>
      <c r="AD94" s="176"/>
      <c r="AE94" s="176"/>
      <c r="AF94" s="176"/>
      <c r="AG94" s="176"/>
      <c r="AH94" s="176"/>
      <c r="AI94" s="176"/>
      <c r="AJ94" s="176"/>
      <c r="AK94" s="176"/>
      <c r="AL94" s="176"/>
      <c r="AM94" s="176"/>
      <c r="AN94" s="176"/>
      <c r="AO94" s="176"/>
      <c r="AP94" s="176"/>
      <c r="AQ94" s="176"/>
      <c r="AR94" s="176"/>
      <c r="AS94" s="176"/>
      <c r="AT94" s="176"/>
      <c r="AU94" s="176"/>
      <c r="AV94" s="176"/>
      <c r="AW94" s="176"/>
      <c r="AX94" s="176"/>
      <c r="AY94" s="176"/>
      <c r="AZ94" s="176"/>
      <c r="BA94" s="176"/>
      <c r="BB94" s="176"/>
      <c r="BC94" s="187"/>
      <c r="BD94" s="1426"/>
      <c r="BE94" s="1426"/>
      <c r="BF94" s="1018"/>
      <c r="BG94" s="1018"/>
      <c r="BH94" s="1018"/>
      <c r="BI94" s="1426"/>
      <c r="BJ94" s="633" t="s">
        <v>1594</v>
      </c>
      <c r="BK94" s="633"/>
    </row>
    <row s="3325" customFormat="1" customHeight="1" ht="14.25">
      <c r="A95" s="1446"/>
      <c r="B95" s="429"/>
      <c r="C95" s="485"/>
      <c r="D95" s="1446"/>
      <c r="E95" s="632">
        <v>15</v>
      </c>
      <c r="F95" s="98" cm="1" t="str">
        <f t="array" ref="F95:F95">X95</f>
        <v>2</v>
      </c>
      <c r="G95" s="98"/>
      <c r="H95" s="98"/>
      <c r="I95" s="1446"/>
      <c r="J95" s="1446"/>
      <c r="K95" s="1446"/>
      <c r="L95" s="1446"/>
      <c r="M95" s="1446"/>
      <c r="N95" s="1446"/>
      <c r="O95" s="1446"/>
      <c r="P95" s="1446"/>
      <c r="Q95" s="1446"/>
      <c r="R95" s="1446"/>
      <c r="S95" s="1446"/>
      <c r="T95" s="465">
        <f>X95&gt;0</f>
        <v>1</v>
      </c>
      <c r="U95" s="1446"/>
      <c r="V95" s="144" cm="1" t="str">
        <f t="array" ref="V95:V95">'Сырье и материалы'!$AB$87</f>
        <v>Тариф 2 (Водоснабжение) - тариф на питьевую воду (Доп. признак не требуется)</v>
      </c>
      <c r="W95" s="1446"/>
      <c r="X95" s="1543" t="s">
        <v>285</v>
      </c>
      <c r="Y95" s="1446"/>
      <c r="Z95" s="1565"/>
      <c r="AA95" s="1446"/>
      <c r="AB95" s="183" cm="1" t="str">
        <f t="array" ref="AB95:AB95">'Сырье и материалы'!$AB$87</f>
        <v>Тариф 2 (Водоснабжение) - тариф на питьевую воду (Доп. признак не требуется)</v>
      </c>
      <c r="AC95" s="180"/>
      <c r="AD95" s="174"/>
      <c r="AE95" s="174"/>
      <c r="AF95" s="174"/>
      <c r="AG95" s="174"/>
      <c r="AH95" s="174"/>
      <c r="AI95" s="174"/>
      <c r="AJ95" s="174"/>
      <c r="AK95" s="174"/>
      <c r="AL95" s="174"/>
      <c r="AM95" s="174"/>
      <c r="AN95" s="174"/>
      <c r="AO95" s="174"/>
      <c r="AP95" s="174"/>
      <c r="AQ95" s="174"/>
      <c r="AR95" s="174"/>
      <c r="AS95" s="174"/>
      <c r="AT95" s="174"/>
      <c r="AU95" s="174"/>
      <c r="AV95" s="174"/>
      <c r="AW95" s="174"/>
      <c r="AX95" s="174"/>
      <c r="AY95" s="174"/>
      <c r="AZ95" s="174"/>
      <c r="BA95" s="174"/>
      <c r="BB95" s="174"/>
      <c r="BC95" s="174"/>
      <c r="BD95" s="1446"/>
      <c r="BE95" s="1446"/>
      <c r="BF95" s="1013"/>
      <c r="BG95" s="1013"/>
      <c r="BH95" s="1013"/>
      <c r="BI95" s="1446"/>
      <c r="BJ95" s="630"/>
      <c r="BK95" s="630"/>
    </row>
    <row s="1448" customFormat="1" customHeight="1" ht="149.25">
      <c r="A96" s="1812"/>
      <c r="B96" s="429"/>
      <c r="C96" s="483"/>
      <c r="D96" s="956"/>
      <c r="E96" s="267">
        <v>11.25</v>
      </c>
      <c r="F96" s="50" cm="1" t="str">
        <f t="array" ref="F96:F96">OFFSET(E96,-1,1)</f>
        <v>2</v>
      </c>
      <c r="G96" s="126" t="s">
        <v>332</v>
      </c>
      <c r="H96" s="126"/>
      <c r="I96" s="1812"/>
      <c r="J96" s="1812"/>
      <c r="K96" s="483" t="str">
        <f>F96&amp;"komm"</f>
        <v>2komm</v>
      </c>
      <c r="L96" s="917" cm="1" t="str">
        <f t="array" ref="L96:L96">BC96</f>
        <v>В соответствии с п. 20 Методических указаний расходы регулируемой организации на приобретаемые электрическую энергию (мощность), тепловую энергию (мощность), другие виды энергетических ресурсов, холодную воду, теплоноситель определяются как сумма произведений расчетных экономически (технологически, технически) обоснованных объемов приобретаемых электрической энергии (мощности), тепловой энергии (мощности), других видов энергетических ресурсов холодной воды на соответственно плановые (расчетные) цены (тарифы) на электрическую энергию (мощность), тепловую энергию (мощность), другие виды энергетических ресурсов, холодную воду. Объемы приобретаемой электрической энергии (мощности), тепловой энергии (мощности) определяются с учетом показателей надежности, качества, энергетической эффективности в сфере водоснабжения и (или) водоотведения, определенных в установленном порядке.</v>
      </c>
      <c r="M96" s="1812"/>
      <c r="N96" s="1812"/>
      <c r="O96" s="1812"/>
      <c r="P96" s="1812"/>
      <c r="Q96" s="1812"/>
      <c r="R96" s="1812"/>
      <c r="S96" s="1812"/>
      <c r="T96" s="465" cm="1" t="str">
        <f t="array" ref="T96:T96">T95</f>
        <v>true</v>
      </c>
      <c r="U96" s="1812"/>
      <c r="V96" s="1812"/>
      <c r="W96" s="1812"/>
      <c r="X96" s="1543"/>
      <c r="Y96" s="1812"/>
      <c r="Z96" s="1565"/>
      <c r="AA96" s="1812"/>
      <c r="AB96" s="89" t="s">
        <v>276</v>
      </c>
      <c r="AC96" s="138" t="s">
        <v>1513</v>
      </c>
      <c r="AD96" s="89" t="s">
        <v>1514</v>
      </c>
      <c r="AE96" s="191">
        <f>IF(COUNTIF(AE101:AE124,"Ошибка")&gt;0,"Ошибка",SUMIF($AD101:$AD124,$AD96,AE101:AE124))</f>
        <v>0</v>
      </c>
      <c r="AF96" s="191">
        <f>IF(COUNTIF(AF101:AF124,"Ошибка")&gt;0,"Ошибка",SUMIF($AD101:$AD124,$AD96,AF101:AF124))</f>
        <v>0</v>
      </c>
      <c r="AG96" s="191">
        <f>IF(COUNTIF(AG101:AG124,"Ошибка")&gt;0,"Ошибка",SUMIF($AD101:$AD124,$AD96,AG101:AG124))</f>
        <v>0</v>
      </c>
      <c r="AH96" s="191">
        <f>IF(COUNTIF(AH101:AH124,"Ошибка")&gt;0,"Ошибка",SUMIF($AD101:$AD124,$AD96,AH101:AH124))</f>
        <v>0</v>
      </c>
      <c r="AI96" s="191">
        <f>IF(COUNTIF(AI101:AI124,"Ошибка")&gt;0,"Ошибка",SUMIF($AD101:$AD124,$AD96,AI101:AI124))</f>
        <v>4424.17</v>
      </c>
      <c r="AJ96" s="191">
        <f>IF(COUNTIF(AJ101:AJ124,"Ошибка")&gt;0,"Ошибка",SUMIF($AD101:$AD124,$AD96,AJ101:AJ124))</f>
        <v>4826.77</v>
      </c>
      <c r="AK96" s="191">
        <f>IF(COUNTIF(AK101:AK124,"Ошибка")&gt;0,"Ошибка",SUMIF($AD101:$AD124,$AD96,AK101:AK124))</f>
        <v>5063.28</v>
      </c>
      <c r="AL96" s="191">
        <f>IF(COUNTIF(AL101:AL124,"Ошибка")&gt;0,"Ошибка",SUMIF($AD101:$AD124,$AD96,AL101:AL124))</f>
        <v>5311.38</v>
      </c>
      <c r="AM96" s="191">
        <f>IF(COUNTIF(AM101:AM124,"Ошибка")&gt;0,"Ошибка",SUMIF($AD101:$AD124,$AD96,AM101:AM124))</f>
        <v>5571.64</v>
      </c>
      <c r="AN96" s="191">
        <f>IF(COUNTIF(AN101:AN124,"Ошибка")&gt;0,"Ошибка",SUMIF($AD101:$AD124,$AD96,AN101:AN124))</f>
        <v>0</v>
      </c>
      <c r="AO96" s="191">
        <f>IF(COUNTIF(AO101:AO124,"Ошибка")&gt;0,"Ошибка",SUMIF($AD101:$AD124,$AD96,AO101:AO124))</f>
        <v>0</v>
      </c>
      <c r="AP96" s="191">
        <f>IF(COUNTIF(AP101:AP124,"Ошибка")&gt;0,"Ошибка",SUMIF($AD101:$AD124,$AD96,AP101:AP124))</f>
        <v>0</v>
      </c>
      <c r="AQ96" s="191">
        <f>IF(COUNTIF(AQ101:AQ124,"Ошибка")&gt;0,"Ошибка",SUMIF($AD101:$AD124,$AD96,AQ101:AQ124))</f>
        <v>0</v>
      </c>
      <c r="AR96" s="191">
        <f>IF(COUNTIF(AR101:AR124,"Ошибка")&gt;0,"Ошибка",SUMIF($AD101:$AD124,$AD96,AR101:AR124))</f>
        <v>0</v>
      </c>
      <c r="AS96" s="191">
        <f>IF(COUNTIF(AS101:AS124,"Ошибка")&gt;0,"Ошибка",SUMIF($AD101:$AD124,$AD96,AS101:AS124))</f>
        <v>4424.16764612032</v>
      </c>
      <c r="AT96" s="191">
        <f>IF(COUNTIF(AT101:AT124,"Ошибка")&gt;0,"Ошибка",SUMIF($AD101:$AD124,$AD96,AT101:AT124))</f>
        <v>4826.76690191727</v>
      </c>
      <c r="AU96" s="191">
        <f>IF(COUNTIF(AU101:AU124,"Ошибка")&gt;0,"Ошибка",SUMIF($AD101:$AD124,$AD96,AU101:AU124))</f>
        <v>5063.27848011121</v>
      </c>
      <c r="AV96" s="191">
        <f>IF(COUNTIF(AV101:AV124,"Ошибка")&gt;0,"Ошибка",SUMIF($AD101:$AD124,$AD96,AV101:AV124))</f>
        <v>5311.02442465204</v>
      </c>
      <c r="AW96" s="191">
        <f>IF(COUNTIF(AW101:AW124,"Ошибка")&gt;0,"Ошибка",SUMIF($AD101:$AD124,$AD96,AW101:AW124))</f>
        <v>5564.69940310494</v>
      </c>
      <c r="AX96" s="191">
        <f>IF(COUNTIF(AX101:AX124,"Ошибка")&gt;0,"Ошибка",SUMIF($AD101:$AD124,$AD96,AX101:AX124))</f>
        <v>0</v>
      </c>
      <c r="AY96" s="191">
        <f>IF(COUNTIF(AY101:AY124,"Ошибка")&gt;0,"Ошибка",SUMIF($AD101:$AD124,$AD96,AY101:AY124))</f>
        <v>0</v>
      </c>
      <c r="AZ96" s="191">
        <f>IF(COUNTIF(AZ101:AZ124,"Ошибка")&gt;0,"Ошибка",SUMIF($AD101:$AD124,$AD96,AZ101:AZ124))</f>
        <v>0</v>
      </c>
      <c r="BA96" s="191">
        <f>IF(COUNTIF(BA101:BA124,"Ошибка")&gt;0,"Ошибка",SUMIF($AD101:$AD124,$AD96,BA101:BA124))</f>
        <v>0</v>
      </c>
      <c r="BB96" s="191">
        <f>IF(COUNTIF(BB101:BB124,"Ошибка")&gt;0,"Ошибка",SUMIF($AD101:$AD124,$AD96,BB101:BB124))</f>
        <v>0</v>
      </c>
      <c r="BC96" s="200" t="s">
        <v>1615</v>
      </c>
      <c r="BD96" s="1812"/>
      <c r="BE96" s="1812"/>
      <c r="BF96" s="1030" t="s">
        <v>1571</v>
      </c>
      <c r="BG96" s="1030"/>
      <c r="BH96" s="1030"/>
      <c r="BI96" s="1812"/>
      <c r="BJ96" s="267"/>
      <c r="BK96" s="267"/>
    </row>
    <row s="1448" customFormat="1" customHeight="1" ht="10.5">
      <c r="A97" s="1812"/>
      <c r="B97" s="429"/>
      <c r="C97" s="483"/>
      <c r="D97" s="1812"/>
      <c r="E97" s="267">
        <v>11.25</v>
      </c>
      <c r="F97" s="50" cm="1" t="str">
        <f t="array" ref="F97:F97">OFFSET(E97,-1,1)</f>
        <v>2</v>
      </c>
      <c r="G97" s="126" t="s">
        <v>333</v>
      </c>
      <c r="H97" s="126"/>
      <c r="I97" s="1812"/>
      <c r="J97" s="1812"/>
      <c r="K97" s="1812"/>
      <c r="L97" s="1812"/>
      <c r="M97" s="1812"/>
      <c r="N97" s="1812"/>
      <c r="O97" s="1812"/>
      <c r="P97" s="1812"/>
      <c r="Q97" s="1812"/>
      <c r="R97" s="1812"/>
      <c r="S97" s="1812"/>
      <c r="T97" s="465" cm="1" t="str">
        <f t="array" ref="T97:T97">T96</f>
        <v>true</v>
      </c>
      <c r="U97" s="1812"/>
      <c r="V97" s="1812"/>
      <c r="W97" s="1812"/>
      <c r="X97" s="1543"/>
      <c r="Y97" s="1812"/>
      <c r="Z97" s="1565"/>
      <c r="AA97" s="1812"/>
      <c r="AB97" s="89" t="s">
        <v>285</v>
      </c>
      <c r="AC97" s="138" t="s">
        <v>1572</v>
      </c>
      <c r="AD97" s="92" t="s">
        <v>1573</v>
      </c>
      <c r="AE97" s="191">
        <f>SUMIF(AD101:AD124,AD97,AE101:AE124)</f>
        <v>0</v>
      </c>
      <c r="AF97" s="191">
        <f>SUMIF(AD101:AD124,AD97,AF101:AF124)</f>
        <v>0</v>
      </c>
      <c r="AG97" s="191">
        <f>SUMIF(AD101:AD124,AD97,AG101:AG124)</f>
        <v>0</v>
      </c>
      <c r="AH97" s="191">
        <f>SUMIF(AD101:AD124,AD97,AH101:AH124)</f>
        <v>0</v>
      </c>
      <c r="AI97" s="191">
        <f>SUMIF(AD101:AD124,AD97,AI101:AI124)</f>
        <v>634.33</v>
      </c>
      <c r="AJ97" s="191">
        <f>SUMIF(AD101:AD124,AD97,AJ101:AJ124)</f>
        <v>634.33</v>
      </c>
      <c r="AK97" s="191">
        <f>SUMIF(AD101:AD124,AD97,AK101:AK124)</f>
        <v>634.33</v>
      </c>
      <c r="AL97" s="191">
        <f>SUMIF(AD101:AD124,AD97,AL101:AL124)</f>
        <v>634.33</v>
      </c>
      <c r="AM97" s="191">
        <f>SUMIF(AD101:AD124,AD97,AM101:AM124)</f>
        <v>634.33</v>
      </c>
      <c r="AN97" s="191">
        <f>SUMIF(AD101:AD124,AD97,AN101:AN124)</f>
        <v>0</v>
      </c>
      <c r="AO97" s="191">
        <f>SUMIF(AD101:AD124,AD97,AO101:AO124)</f>
        <v>0</v>
      </c>
      <c r="AP97" s="191">
        <f>SUMIF(AD101:AD124,AD97,AP101:AP124)</f>
        <v>0</v>
      </c>
      <c r="AQ97" s="191">
        <f>SUMIF(AD101:AD124,AD97,AQ101:AQ124)</f>
        <v>0</v>
      </c>
      <c r="AR97" s="191">
        <f>SUMIF(AD101:AD124,AD97,AR101:AR124)</f>
        <v>0</v>
      </c>
      <c r="AS97" s="191">
        <f>SUMIF(AD101:AD124,AD97,AS101:AS124)</f>
        <v>634.32819</v>
      </c>
      <c r="AT97" s="191">
        <f>SUMIF(AD101:AD124,AD97,AT101:AT124)</f>
        <v>634.32819</v>
      </c>
      <c r="AU97" s="191">
        <f>SUMIF(AD101:AD124,AD97,AU101:AU124)</f>
        <v>634.32819</v>
      </c>
      <c r="AV97" s="191">
        <f>SUMIF(AD101:AD124,AD97,AV101:AV124)</f>
        <v>634.28582871713</v>
      </c>
      <c r="AW97" s="191">
        <f>SUMIF(AD101:AD124,AD97,AW101:AW124)</f>
        <v>633.538381728344</v>
      </c>
      <c r="AX97" s="191">
        <f>SUMIF(AD101:AD124,AD97,AX101:AX124)</f>
        <v>0</v>
      </c>
      <c r="AY97" s="191">
        <f>SUMIF(AD101:AD124,AD97,AY101:AY124)</f>
        <v>0</v>
      </c>
      <c r="AZ97" s="191">
        <f>SUMIF(AD101:AD124,AD97,AZ101:AZ124)</f>
        <v>0</v>
      </c>
      <c r="BA97" s="191">
        <f>SUMIF(AD101:AD124,AD97,BA101:BA124)</f>
        <v>0</v>
      </c>
      <c r="BB97" s="191">
        <f>SUMIF(AD101:AD124,AD97,BB101:BB124)</f>
        <v>0</v>
      </c>
      <c r="BC97" s="200"/>
      <c r="BD97" s="1812"/>
      <c r="BE97" s="1812"/>
      <c r="BF97" s="1030" t="s">
        <v>1574</v>
      </c>
      <c r="BG97" s="1030"/>
      <c r="BH97" s="1030"/>
      <c r="BI97" s="1812"/>
      <c r="BJ97" s="267"/>
      <c r="BK97" s="267"/>
    </row>
    <row s="1448" customFormat="1" customHeight="1" ht="10.5">
      <c r="A98" s="1812"/>
      <c r="B98" s="429"/>
      <c r="C98" s="483"/>
      <c r="D98" s="1812"/>
      <c r="E98" s="267">
        <v>11.25</v>
      </c>
      <c r="F98" s="50" cm="1" t="str">
        <f t="array" ref="F98:F98">OFFSET(E98,-1,1)</f>
        <v>2</v>
      </c>
      <c r="G98" s="126" t="s">
        <v>334</v>
      </c>
      <c r="H98" s="126"/>
      <c r="I98" s="1812"/>
      <c r="J98" s="1812"/>
      <c r="K98" s="1812"/>
      <c r="L98" s="1812"/>
      <c r="M98" s="1812"/>
      <c r="N98" s="1812"/>
      <c r="O98" s="1812"/>
      <c r="P98" s="1812"/>
      <c r="Q98" s="1812"/>
      <c r="R98" s="1812"/>
      <c r="S98" s="1812"/>
      <c r="T98" s="465" cm="1" t="str">
        <f t="array" ref="T98:T98">T97</f>
        <v>true</v>
      </c>
      <c r="U98" s="1812"/>
      <c r="V98" s="1812"/>
      <c r="W98" s="1812"/>
      <c r="X98" s="1543"/>
      <c r="Y98" s="1812"/>
      <c r="Z98" s="1565"/>
      <c r="AA98" s="1812"/>
      <c r="AB98" s="89" t="s">
        <v>289</v>
      </c>
      <c r="AC98" s="138" t="s">
        <v>1575</v>
      </c>
      <c r="AD98" s="92" t="s">
        <v>1576</v>
      </c>
      <c r="AE98" s="239"/>
      <c r="AF98" s="239"/>
      <c r="AG98" s="239"/>
      <c r="AH98" s="239"/>
      <c r="AI98" s="239" cm="1" t="str">
        <f t="array" ref="AI98:AI98">Баланс!AI218</f>
        <v>2429.27162</v>
      </c>
      <c r="AJ98" s="239" cm="1" t="str">
        <f t="array" ref="AJ98:AJ98">Баланс!AJ218</f>
        <v>2429.27162</v>
      </c>
      <c r="AK98" s="239" cm="1" t="str">
        <f t="array" ref="AK98:AK98">Баланс!AK218</f>
        <v>2429.26762</v>
      </c>
      <c r="AL98" s="239" cm="1" t="str">
        <f t="array" ref="AL98:AL98">Баланс!AL218</f>
        <v>2429.129</v>
      </c>
      <c r="AM98" s="239" cm="1" t="str">
        <f t="array" ref="AM98:AM98">Баланс!AM218</f>
        <v>2426.2559</v>
      </c>
      <c r="AN98" s="3246"/>
      <c r="AO98" s="3246"/>
      <c r="AP98" s="3246"/>
      <c r="AQ98" s="3246"/>
      <c r="AR98" s="3246"/>
      <c r="AS98" s="239" cm="1" t="str">
        <f t="array" ref="AS98:AS98">Баланс!AS218</f>
        <v>2429.27162</v>
      </c>
      <c r="AT98" s="239" cm="1" t="str">
        <f t="array" ref="AT98:AT98">Баланс!AT218</f>
        <v>2429.27162</v>
      </c>
      <c r="AU98" s="239" cm="1" t="str">
        <f t="array" ref="AU98:AU98">Баланс!AU218</f>
        <v>2429.27162</v>
      </c>
      <c r="AV98" s="239" cm="1" t="str">
        <f t="array" ref="AV98:AV98">Баланс!AV218</f>
        <v>2429.10939</v>
      </c>
      <c r="AW98" s="239" cm="1" t="str">
        <f t="array" ref="AW98:AW98">Баланс!AW218</f>
        <v>2426.24691</v>
      </c>
      <c r="AX98" s="3246"/>
      <c r="AY98" s="3246"/>
      <c r="AZ98" s="3246"/>
      <c r="BA98" s="3246"/>
      <c r="BB98" s="3246"/>
      <c r="BC98" s="200"/>
      <c r="BD98" s="1812"/>
      <c r="BE98" s="1812"/>
      <c r="BF98" s="1030" t="s">
        <v>1577</v>
      </c>
      <c r="BG98" s="1030"/>
      <c r="BH98" s="1030"/>
      <c r="BI98" s="1812"/>
      <c r="BJ98" s="267"/>
      <c r="BK98" s="267"/>
    </row>
    <row s="1448" customFormat="1" customHeight="1" ht="10.5">
      <c r="A99" s="1812"/>
      <c r="B99" s="429"/>
      <c r="C99" s="483"/>
      <c r="D99" s="1812"/>
      <c r="E99" s="267">
        <v>11.25</v>
      </c>
      <c r="F99" s="50" cm="1" t="str">
        <f t="array" ref="F99:F99">OFFSET(E99,-1,1)</f>
        <v>2</v>
      </c>
      <c r="G99" s="126" t="s">
        <v>336</v>
      </c>
      <c r="H99" s="126"/>
      <c r="I99" s="1812"/>
      <c r="J99" s="1812"/>
      <c r="K99" s="1812"/>
      <c r="L99" s="1812"/>
      <c r="M99" s="1812"/>
      <c r="N99" s="1812"/>
      <c r="O99" s="1812"/>
      <c r="P99" s="1812"/>
      <c r="Q99" s="1812"/>
      <c r="R99" s="1812"/>
      <c r="S99" s="1812"/>
      <c r="T99" s="465" cm="1" t="str">
        <f t="array" ref="T99:T99">T98</f>
        <v>true</v>
      </c>
      <c r="U99" s="1812"/>
      <c r="V99" s="1812"/>
      <c r="W99" s="1812"/>
      <c r="X99" s="1543"/>
      <c r="Y99" s="1812"/>
      <c r="Z99" s="1565"/>
      <c r="AA99" s="1812"/>
      <c r="AB99" s="89" t="s">
        <v>295</v>
      </c>
      <c r="AC99" s="138" t="s">
        <v>1578</v>
      </c>
      <c r="AD99" s="92" t="s">
        <v>1579</v>
      </c>
      <c r="AE99" s="191">
        <f>IF(AE97=0,0,AE96/AE97)</f>
        <v>0</v>
      </c>
      <c r="AF99" s="191">
        <f>IF(AF97=0,0,AF96/AF97)</f>
        <v>0</v>
      </c>
      <c r="AG99" s="191">
        <f>IF(AG97=0,0,AG96/AG97)</f>
        <v>0</v>
      </c>
      <c r="AH99" s="191">
        <f>IF(AH97=0,0,AH96/AH97)</f>
        <v>0</v>
      </c>
      <c r="AI99" s="191">
        <f>IF(AI97=0,0,AI96/AI97)</f>
        <v>6.97455583056138</v>
      </c>
      <c r="AJ99" s="191">
        <f>IF(AJ97=0,0,AJ96/AJ97)</f>
        <v>7.60924124666971</v>
      </c>
      <c r="AK99" s="191">
        <f>IF(AK97=0,0,AK96/AK97)</f>
        <v>7.98209134046947</v>
      </c>
      <c r="AL99" s="191">
        <f>IF(AL97=0,0,AL96/AL97)</f>
        <v>8.37321268109659</v>
      </c>
      <c r="AM99" s="191">
        <f>IF(AM97=0,0,AM96/AM97)</f>
        <v>8.78350385446061</v>
      </c>
      <c r="AN99" s="191">
        <f>IF(AN97=0,0,AN96/AN97)</f>
        <v>0</v>
      </c>
      <c r="AO99" s="191">
        <f>IF(AO97=0,0,AO96/AO97)</f>
        <v>0</v>
      </c>
      <c r="AP99" s="191">
        <f>IF(AP97=0,0,AP96/AP97)</f>
        <v>0</v>
      </c>
      <c r="AQ99" s="191">
        <f>IF(AQ97=0,0,AQ96/AQ97)</f>
        <v>0</v>
      </c>
      <c r="AR99" s="191">
        <f>IF(AR97=0,0,AR96/AR97)</f>
        <v>0</v>
      </c>
      <c r="AS99" s="191">
        <f>IF(AS97=0,0,AS96/AS97)</f>
        <v>6.97457202102325</v>
      </c>
      <c r="AT99" s="191">
        <f>IF(AT97=0,0,AT96/AT97)</f>
        <v>7.60925807493637</v>
      </c>
      <c r="AU99" s="191">
        <f>IF(AU97=0,0,AU96/AU97)</f>
        <v>7.98211172060824</v>
      </c>
      <c r="AV99" s="191">
        <f>IF(AV97=0,0,AV96/AV97)</f>
        <v>8.37323519491806</v>
      </c>
      <c r="AW99" s="191">
        <f>IF(AW97=0,0,AW96/AW97)</f>
        <v>8.78352371946904</v>
      </c>
      <c r="AX99" s="191">
        <f>IF(AX97=0,0,AX96/AX97)</f>
        <v>0</v>
      </c>
      <c r="AY99" s="191">
        <f>IF(AY97=0,0,AY96/AY97)</f>
        <v>0</v>
      </c>
      <c r="AZ99" s="191">
        <f>IF(AZ97=0,0,AZ96/AZ97)</f>
        <v>0</v>
      </c>
      <c r="BA99" s="191">
        <f>IF(BA97=0,0,BA96/BA97)</f>
        <v>0</v>
      </c>
      <c r="BB99" s="191">
        <f>IF(BB97=0,0,BB96/BB97)</f>
        <v>0</v>
      </c>
      <c r="BC99" s="200"/>
      <c r="BD99" s="1812"/>
      <c r="BE99" s="1812"/>
      <c r="BF99" s="1030" t="s">
        <v>1580</v>
      </c>
      <c r="BG99" s="1030"/>
      <c r="BH99" s="1030"/>
      <c r="BI99" s="1812"/>
      <c r="BJ99" s="267"/>
      <c r="BK99" s="267"/>
    </row>
    <row s="1448" customFormat="1" customHeight="1" ht="10.5">
      <c r="A100" s="1812"/>
      <c r="B100" s="429"/>
      <c r="C100" s="483"/>
      <c r="D100" s="1812"/>
      <c r="E100" s="267">
        <v>11.25</v>
      </c>
      <c r="F100" s="50" cm="1" t="str">
        <f t="array" ref="F100:F100">OFFSET(E100,-1,1)</f>
        <v>2</v>
      </c>
      <c r="G100" s="126" t="s">
        <v>335</v>
      </c>
      <c r="H100" s="126"/>
      <c r="I100" s="1812"/>
      <c r="J100" s="1812"/>
      <c r="K100" s="1812"/>
      <c r="L100" s="1812"/>
      <c r="M100" s="1812"/>
      <c r="N100" s="1812"/>
      <c r="O100" s="1812"/>
      <c r="P100" s="1812"/>
      <c r="Q100" s="1812"/>
      <c r="R100" s="1812"/>
      <c r="S100" s="1812"/>
      <c r="T100" s="465" cm="1" t="str">
        <f t="array" ref="T100:T100">T99</f>
        <v>true</v>
      </c>
      <c r="U100" s="1812"/>
      <c r="V100" s="1812"/>
      <c r="W100" s="1812"/>
      <c r="X100" s="1543"/>
      <c r="Y100" s="1812"/>
      <c r="Z100" s="1565"/>
      <c r="AA100" s="1812"/>
      <c r="AB100" s="89" t="s">
        <v>443</v>
      </c>
      <c r="AC100" s="138" t="s">
        <v>1581</v>
      </c>
      <c r="AD100" s="92" t="s">
        <v>1582</v>
      </c>
      <c r="AE100" s="315">
        <f>IF(AE98=0,0,AE97/AE98)</f>
        <v>0</v>
      </c>
      <c r="AF100" s="315">
        <f>IF(AF98=0,0,AF97/AF98)</f>
        <v>0</v>
      </c>
      <c r="AG100" s="315">
        <f>IF(AG98=0,0,AG97/AG98)</f>
        <v>0</v>
      </c>
      <c r="AH100" s="315">
        <f>IF(AH98=0,0,AH97/AH98)</f>
        <v>0</v>
      </c>
      <c r="AI100" s="315">
        <f>IF(AI98=0,0,AI97/AI98)</f>
        <v>0.261119421466752</v>
      </c>
      <c r="AJ100" s="315">
        <f>IF(AJ98=0,0,AJ97/AJ98)</f>
        <v>0.261119421466752</v>
      </c>
      <c r="AK100" s="315">
        <f>IF(AK98=0,0,AK97/AK98)</f>
        <v>0.261119851422545</v>
      </c>
      <c r="AL100" s="315">
        <f>IF(AL98=0,0,AL97/AL98)</f>
        <v>0.261134752415372</v>
      </c>
      <c r="AM100" s="315">
        <f>IF(AM98=0,0,AM97/AM98)</f>
        <v>0.261443980414432</v>
      </c>
      <c r="AN100" s="315">
        <f>IF(AN98=0,0,AN97/AN98)</f>
        <v>0</v>
      </c>
      <c r="AO100" s="315">
        <f>IF(AO98=0,0,AO97/AO98)</f>
        <v>0</v>
      </c>
      <c r="AP100" s="315">
        <f>IF(AP98=0,0,AP97/AP98)</f>
        <v>0</v>
      </c>
      <c r="AQ100" s="315">
        <f>IF(AQ98=0,0,AQ97/AQ98)</f>
        <v>0</v>
      </c>
      <c r="AR100" s="315">
        <f>IF(AR98=0,0,AR97/AR98)</f>
        <v>0</v>
      </c>
      <c r="AS100" s="315">
        <f>IF(AS98=0,0,AS97/AS98)</f>
        <v>0.261118676387451</v>
      </c>
      <c r="AT100" s="315">
        <f>IF(AT98=0,0,AT97/AT98)</f>
        <v>0.261118676387451</v>
      </c>
      <c r="AU100" s="315">
        <f>IF(AU98=0,0,AU97/AU98)</f>
        <v>0.261118676387451</v>
      </c>
      <c r="AV100" s="315">
        <f>IF(AV98=0,0,AV97/AV98)</f>
        <v>0.261118676387452</v>
      </c>
      <c r="AW100" s="315">
        <f>IF(AW98=0,0,AW97/AW98)</f>
        <v>0.261118676387451</v>
      </c>
      <c r="AX100" s="315">
        <f>IF(AX98=0,0,AX97/AX98)</f>
        <v>0</v>
      </c>
      <c r="AY100" s="315">
        <f>IF(AY98=0,0,AY97/AY98)</f>
        <v>0</v>
      </c>
      <c r="AZ100" s="315">
        <f>IF(AZ98=0,0,AZ97/AZ98)</f>
        <v>0</v>
      </c>
      <c r="BA100" s="315">
        <f>IF(BA98=0,0,BA97/BA98)</f>
        <v>0</v>
      </c>
      <c r="BB100" s="315">
        <f>IF(BB98=0,0,BB97/BB98)</f>
        <v>0</v>
      </c>
      <c r="BC100" s="200" t="s">
        <v>1483</v>
      </c>
      <c r="BD100" s="1812"/>
      <c r="BE100" s="1812"/>
      <c r="BF100" s="1030" t="s">
        <v>1583</v>
      </c>
      <c r="BG100" s="1030"/>
      <c r="BH100" s="1030"/>
      <c r="BI100" s="1812"/>
      <c r="BJ100" s="267"/>
      <c r="BK100" s="267"/>
    </row>
    <row s="1448" customFormat="1" customHeight="1" ht="0">
      <c r="A101" s="1812"/>
      <c r="B101" s="429"/>
      <c r="C101" s="483"/>
      <c r="D101" s="1812"/>
      <c r="E101" s="267">
        <v>13</v>
      </c>
      <c r="F101" s="50" cm="1" t="str">
        <f t="array" ref="F101:F101">OFFSET(E101,-1,1)</f>
        <v>2</v>
      </c>
      <c r="G101" s="126"/>
      <c r="H101" s="126"/>
      <c r="I101" s="1812"/>
      <c r="J101" s="1812"/>
      <c r="K101" s="1812"/>
      <c r="L101" s="1812"/>
      <c r="M101" s="1812"/>
      <c r="N101" s="1812"/>
      <c r="O101" s="1812"/>
      <c r="P101" s="1812"/>
      <c r="Q101" s="1812"/>
      <c r="R101" s="1812"/>
      <c r="S101" s="1812"/>
      <c r="T101" s="465" cm="1" t="str">
        <f t="array" ref="T101:T101">T100</f>
        <v>true</v>
      </c>
      <c r="U101" s="1812"/>
      <c r="V101" s="1812"/>
      <c r="W101" s="1812"/>
      <c r="X101" s="1543"/>
      <c r="Y101" s="1812"/>
      <c r="Z101" s="1565"/>
      <c r="AA101" s="1812"/>
      <c r="AB101" s="652"/>
      <c r="AC101" s="266" t="s">
        <v>1584</v>
      </c>
      <c r="AD101" s="267"/>
      <c r="AE101" s="268"/>
      <c r="AF101" s="268"/>
      <c r="AG101" s="268"/>
      <c r="AH101" s="268"/>
      <c r="AI101" s="268"/>
      <c r="AJ101" s="268"/>
      <c r="AK101" s="268"/>
      <c r="AL101" s="268"/>
      <c r="AM101" s="268"/>
      <c r="AN101" s="268"/>
      <c r="AO101" s="268"/>
      <c r="AP101" s="268"/>
      <c r="AQ101" s="268"/>
      <c r="AR101" s="268"/>
      <c r="AS101" s="268"/>
      <c r="AT101" s="268"/>
      <c r="AU101" s="268"/>
      <c r="AV101" s="268"/>
      <c r="AW101" s="268"/>
      <c r="AX101" s="268"/>
      <c r="AY101" s="268"/>
      <c r="AZ101" s="268"/>
      <c r="BA101" s="268"/>
      <c r="BB101" s="268"/>
      <c r="BC101" s="269"/>
      <c r="BD101" s="1812"/>
      <c r="BE101" s="1812"/>
      <c r="BF101" s="1030"/>
      <c r="BG101" s="1030"/>
      <c r="BH101" s="1030"/>
      <c r="BI101" s="1812"/>
      <c r="BJ101" s="267"/>
      <c r="BK101" s="267"/>
    </row>
    <row s="1834" customFormat="1" customHeight="1" ht="0" hidden="1">
      <c r="A102" s="1304"/>
      <c r="B102" s="1694"/>
      <c r="C102" s="916"/>
      <c r="D102" s="1304"/>
      <c r="E102" s="1047">
        <v>11</v>
      </c>
      <c r="F102" s="50" cm="1" t="str">
        <f t="array" ref="F102:F102">OFFSET(E102,-1,1)</f>
        <v>2</v>
      </c>
      <c r="G102" s="1545"/>
      <c r="H102" s="1545"/>
      <c r="I102" s="1304"/>
      <c r="J102" s="1304"/>
      <c r="K102" s="1304"/>
      <c r="L102" s="1304"/>
      <c r="M102" s="1304"/>
      <c r="N102" s="1304"/>
      <c r="O102" s="1304"/>
      <c r="P102" s="1304"/>
      <c r="Q102" s="1304"/>
      <c r="R102" s="1304"/>
      <c r="S102" s="1304"/>
      <c r="T102" s="1356">
        <f>AND(F102&gt;0,Y102&gt;0)</f>
        <v>0</v>
      </c>
      <c r="U102" s="1304"/>
      <c r="V102" s="1304"/>
      <c r="W102" s="849" t="s">
        <v>174</v>
      </c>
      <c r="X102" s="1385"/>
      <c r="Y102" s="1641">
        <v>0</v>
      </c>
      <c r="Z102" s="1385"/>
      <c r="AA102" s="1648" t="s">
        <v>175</v>
      </c>
      <c r="AB102" s="1604" t="str">
        <f>"6."&amp;Y102</f>
        <v>6.0</v>
      </c>
      <c r="AC102" s="1695"/>
      <c r="AD102" s="1604"/>
      <c r="AE102" s="355"/>
      <c r="AF102" s="355"/>
      <c r="AG102" s="355"/>
      <c r="AH102" s="355"/>
      <c r="AI102" s="355"/>
      <c r="AJ102" s="355"/>
      <c r="AK102" s="355"/>
      <c r="AL102" s="355"/>
      <c r="AM102" s="355"/>
      <c r="AN102" s="355"/>
      <c r="AO102" s="355"/>
      <c r="AP102" s="355"/>
      <c r="AQ102" s="355"/>
      <c r="AR102" s="355"/>
      <c r="AS102" s="355"/>
      <c r="AT102" s="355"/>
      <c r="AU102" s="355"/>
      <c r="AV102" s="355"/>
      <c r="AW102" s="355"/>
      <c r="AX102" s="355"/>
      <c r="AY102" s="355"/>
      <c r="AZ102" s="355"/>
      <c r="BA102" s="355"/>
      <c r="BB102" s="355"/>
      <c r="BC102" s="355"/>
      <c r="BD102" s="1696"/>
      <c r="BE102" s="1304"/>
      <c r="BF102" s="1046"/>
      <c r="BG102" s="1046"/>
      <c r="BH102" s="1046"/>
      <c r="BI102" s="1809"/>
      <c r="BJ102" s="1047"/>
      <c r="BK102" s="1047"/>
    </row>
    <row s="1448" customFormat="1" customHeight="1" ht="0" hidden="1">
      <c r="A103" s="1812"/>
      <c r="B103" s="429"/>
      <c r="C103" s="483"/>
      <c r="D103" s="1812"/>
      <c r="E103" s="267">
        <v>11.25</v>
      </c>
      <c r="F103" s="50" cm="1" t="str">
        <f t="array" ref="F103:F103">OFFSET(E103,-1,1)</f>
        <v>2</v>
      </c>
      <c r="G103" s="126" t="s">
        <v>1225</v>
      </c>
      <c r="H103" s="126" cm="1" t="str">
        <f t="array" ref="H103:H103">AC103</f>
        <v>0</v>
      </c>
      <c r="I103" s="1812"/>
      <c r="J103" s="1812"/>
      <c r="K103" s="1812"/>
      <c r="L103" s="1812"/>
      <c r="M103" s="1812"/>
      <c r="N103" s="1812"/>
      <c r="O103" s="1812"/>
      <c r="P103" s="1812"/>
      <c r="Q103" s="1812"/>
      <c r="R103" s="1812"/>
      <c r="S103" s="1812"/>
      <c r="T103" s="465" cm="1" t="str">
        <f t="array" ref="T103:T103">T102</f>
        <v>false</v>
      </c>
      <c r="U103" s="1812"/>
      <c r="V103" s="1812"/>
      <c r="W103" s="757"/>
      <c r="X103" s="1543"/>
      <c r="Y103" s="1543">
        <v>0</v>
      </c>
      <c r="Z103" s="1565"/>
      <c r="AA103" s="1494" t="s">
        <v>175</v>
      </c>
      <c r="AB103" s="89" t="str">
        <f>AB102&amp;".1"</f>
        <v>6.0.1</v>
      </c>
      <c r="AC103" s="3257"/>
      <c r="AD103" s="89" t="s">
        <v>1514</v>
      </c>
      <c r="AE103" s="1940"/>
      <c r="AF103" s="1940"/>
      <c r="AG103" s="1940"/>
      <c r="AH103" s="1940"/>
      <c r="AI103" s="1940"/>
      <c r="AJ103" s="1940"/>
      <c r="AK103" s="1940"/>
      <c r="AL103" s="1940"/>
      <c r="AM103" s="1940"/>
      <c r="AN103" s="1940"/>
      <c r="AO103" s="1940"/>
      <c r="AP103" s="1940"/>
      <c r="AQ103" s="1940"/>
      <c r="AR103" s="1940"/>
      <c r="AS103" s="1940"/>
      <c r="AT103" s="1940"/>
      <c r="AU103" s="1940"/>
      <c r="AV103" s="1940"/>
      <c r="AW103" s="1940"/>
      <c r="AX103" s="1940"/>
      <c r="AY103" s="1940"/>
      <c r="AZ103" s="1940"/>
      <c r="BA103" s="1940"/>
      <c r="BB103" s="1940"/>
      <c r="BC103" s="2070"/>
      <c r="BD103" s="1812"/>
      <c r="BE103" s="1812"/>
      <c r="BF103" s="1030" t="s">
        <v>1585</v>
      </c>
      <c r="BG103" s="1030" t="s">
        <v>1586</v>
      </c>
      <c r="BH103" s="1030" cm="1" t="str">
        <f t="array" ref="BH103:BH103">AC103</f>
        <v>0</v>
      </c>
      <c r="BI103" s="1812" cm="1" t="str">
        <f t="array" ref="BI103:BI103">AC102</f>
        <v>0</v>
      </c>
      <c r="BJ103" s="267"/>
      <c r="BK103" s="267" t="b">
        <v>1</v>
      </c>
    </row>
    <row s="1448" customFormat="1" customHeight="1" ht="0" hidden="1">
      <c r="A104" s="1812"/>
      <c r="B104" s="429"/>
      <c r="C104" s="483"/>
      <c r="D104" s="1812"/>
      <c r="E104" s="267">
        <v>11.25</v>
      </c>
      <c r="F104" s="50" cm="1" t="str">
        <f t="array" ref="F104:F104">OFFSET(E104,-1,1)</f>
        <v>2</v>
      </c>
      <c r="G104" s="126" t="s">
        <v>1383</v>
      </c>
      <c r="H104" s="126" cm="1" t="str">
        <f t="array" ref="H104:H104">H103</f>
        <v>0</v>
      </c>
      <c r="I104" s="1812"/>
      <c r="J104" s="1812"/>
      <c r="K104" s="1812"/>
      <c r="L104" s="1812"/>
      <c r="M104" s="1812"/>
      <c r="N104" s="1812"/>
      <c r="O104" s="1812"/>
      <c r="P104" s="1812"/>
      <c r="Q104" s="1812"/>
      <c r="R104" s="1812"/>
      <c r="S104" s="1812"/>
      <c r="T104" s="465" cm="1" t="str">
        <f t="array" ref="T104:T104">T103</f>
        <v>false</v>
      </c>
      <c r="U104" s="1812"/>
      <c r="V104" s="1812"/>
      <c r="W104" s="1812"/>
      <c r="X104" s="1543"/>
      <c r="Y104" s="1543"/>
      <c r="Z104" s="1565"/>
      <c r="AA104" s="1494"/>
      <c r="AB104" s="89" t="str">
        <f>AB102&amp;".2"</f>
        <v>6.0.2</v>
      </c>
      <c r="AC104" s="192" t="s">
        <v>1587</v>
      </c>
      <c r="AD104" s="92" t="s">
        <v>1579</v>
      </c>
      <c r="AE104" s="191">
        <f>IF(OR(AND(AE103&lt;&gt;0,AE105=0),AND(AE103=0,AE105&lt;&gt;0)),"Ошибка",IF(AE105=0,0,AE103/AE105))</f>
        <v>0</v>
      </c>
      <c r="AF104" s="191">
        <f>IF(OR(AND(AF103&lt;&gt;0,AF105=0),AND(AF103=0,AF105&lt;&gt;0)),"Ошибка",IF(AF105=0,0,AF103/AF105))</f>
        <v>0</v>
      </c>
      <c r="AG104" s="191">
        <f>IF(OR(AND(AG103&lt;&gt;0,AG105=0),AND(AG103=0,AG105&lt;&gt;0)),"Ошибка",IF(AG105=0,0,AG103/AG105))</f>
        <v>0</v>
      </c>
      <c r="AH104" s="191">
        <f>IF(OR(AND(AH103&lt;&gt;0,AH105=0),AND(AH103=0,AH105&lt;&gt;0)),"Ошибка",IF(AH105=0,0,AH103/AH105))</f>
        <v>0</v>
      </c>
      <c r="AI104" s="191">
        <f>IF(OR(AND(AI103&lt;&gt;0,AI105=0),AND(AI103=0,AI105&lt;&gt;0)),"Ошибка",IF(AI105=0,0,AI103/AI105))</f>
        <v>0</v>
      </c>
      <c r="AJ104" s="191">
        <f>IF(OR(AND(AJ103&lt;&gt;0,AJ105=0),AND(AJ103=0,AJ105&lt;&gt;0)),"Ошибка",IF(AJ105=0,0,AJ103/AJ105))</f>
        <v>0</v>
      </c>
      <c r="AK104" s="191">
        <f>IF(OR(AND(AK103&lt;&gt;0,AK105=0),AND(AK103=0,AK105&lt;&gt;0)),"Ошибка",IF(AK105=0,0,AK103/AK105))</f>
        <v>0</v>
      </c>
      <c r="AL104" s="191">
        <f>IF(OR(AND(AL103&lt;&gt;0,AL105=0),AND(AL103=0,AL105&lt;&gt;0)),"Ошибка",IF(AL105=0,0,AL103/AL105))</f>
        <v>0</v>
      </c>
      <c r="AM104" s="191">
        <f>IF(OR(AND(AM103&lt;&gt;0,AM105=0),AND(AM103=0,AM105&lt;&gt;0)),"Ошибка",IF(AM105=0,0,AM103/AM105))</f>
        <v>0</v>
      </c>
      <c r="AN104" s="191">
        <f>IF(OR(AND(AN103&lt;&gt;0,AN105=0),AND(AN103=0,AN105&lt;&gt;0)),"Ошибка",IF(AN105=0,0,AN103/AN105))</f>
        <v>0</v>
      </c>
      <c r="AO104" s="191">
        <f>IF(OR(AND(AO103&lt;&gt;0,AO105=0),AND(AO103=0,AO105&lt;&gt;0)),"Ошибка",IF(AO105=0,0,AO103/AO105))</f>
        <v>0</v>
      </c>
      <c r="AP104" s="191">
        <f>IF(OR(AND(AP103&lt;&gt;0,AP105=0),AND(AP103=0,AP105&lt;&gt;0)),"Ошибка",IF(AP105=0,0,AP103/AP105))</f>
        <v>0</v>
      </c>
      <c r="AQ104" s="191">
        <f>IF(OR(AND(AQ103&lt;&gt;0,AQ105=0),AND(AQ103=0,AQ105&lt;&gt;0)),"Ошибка",IF(AQ105=0,0,AQ103/AQ105))</f>
        <v>0</v>
      </c>
      <c r="AR104" s="191">
        <f>IF(OR(AND(AR103&lt;&gt;0,AR105=0),AND(AR103=0,AR105&lt;&gt;0)),"Ошибка",IF(AR105=0,0,AR103/AR105))</f>
        <v>0</v>
      </c>
      <c r="AS104" s="191">
        <f>IF(OR(AND(AS103&lt;&gt;0,AS105=0),AND(AS103=0,AS105&lt;&gt;0)),"Ошибка",IF(AS105=0,0,AS103/AS105))</f>
        <v>0</v>
      </c>
      <c r="AT104" s="191">
        <f>IF(OR(AND(AT103&lt;&gt;0,AT105=0),AND(AT103=0,AT105&lt;&gt;0)),"Ошибка",IF(AT105=0,0,AT103/AT105))</f>
        <v>0</v>
      </c>
      <c r="AU104" s="191">
        <f>IF(OR(AND(AU103&lt;&gt;0,AU105=0),AND(AU103=0,AU105&lt;&gt;0)),"Ошибка",IF(AU105=0,0,AU103/AU105))</f>
        <v>0</v>
      </c>
      <c r="AV104" s="191">
        <f>IF(OR(AND(AV103&lt;&gt;0,AV105=0),AND(AV103=0,AV105&lt;&gt;0)),"Ошибка",IF(AV105=0,0,AV103/AV105))</f>
        <v>0</v>
      </c>
      <c r="AW104" s="191">
        <f>IF(OR(AND(AW103&lt;&gt;0,AW105=0),AND(AW103=0,AW105&lt;&gt;0)),"Ошибка",IF(AW105=0,0,AW103/AW105))</f>
        <v>0</v>
      </c>
      <c r="AX104" s="191">
        <f>IF(OR(AND(AX103&lt;&gt;0,AX105=0),AND(AX103=0,AX105&lt;&gt;0)),"Ошибка",IF(AX105=0,0,AX103/AX105))</f>
        <v>0</v>
      </c>
      <c r="AY104" s="191">
        <f>IF(OR(AND(AY103&lt;&gt;0,AY105=0),AND(AY103=0,AY105&lt;&gt;0)),"Ошибка",IF(AY105=0,0,AY103/AY105))</f>
        <v>0</v>
      </c>
      <c r="AZ104" s="191">
        <f>IF(OR(AND(AZ103&lt;&gt;0,AZ105=0),AND(AZ103=0,AZ105&lt;&gt;0)),"Ошибка",IF(AZ105=0,0,AZ103/AZ105))</f>
        <v>0</v>
      </c>
      <c r="BA104" s="191">
        <f>IF(OR(AND(BA103&lt;&gt;0,BA105=0),AND(BA103=0,BA105&lt;&gt;0)),"Ошибка",IF(BA105=0,0,BA103/BA105))</f>
        <v>0</v>
      </c>
      <c r="BB104" s="191">
        <f>IF(OR(AND(BB103&lt;&gt;0,BB105=0),AND(BB103=0,BB105&lt;&gt;0)),"Ошибка",IF(BB105=0,0,BB103/BB105))</f>
        <v>0</v>
      </c>
      <c r="BC104" s="2070"/>
      <c r="BD104" s="1812"/>
      <c r="BE104" s="1812"/>
      <c r="BF104" s="1030" t="s">
        <v>1588</v>
      </c>
      <c r="BG104" s="1030" t="s">
        <v>1586</v>
      </c>
      <c r="BH104" s="1030" cm="1" t="str">
        <f t="array" ref="BH104:BH104">BH103</f>
        <v>0</v>
      </c>
      <c r="BI104" s="1812" cm="1" t="str">
        <f t="array" ref="BI104:BI104">BI103</f>
        <v>0</v>
      </c>
      <c r="BJ104" s="267"/>
      <c r="BK104" s="267"/>
    </row>
    <row s="1448" customFormat="1" customHeight="1" ht="0" hidden="1">
      <c r="A105" s="1812"/>
      <c r="B105" s="429"/>
      <c r="C105" s="483"/>
      <c r="D105" s="1812"/>
      <c r="E105" s="267">
        <v>11.25</v>
      </c>
      <c r="F105" s="50" cm="1" t="str">
        <f t="array" ref="F105:F105">OFFSET(E105,-1,1)</f>
        <v>2</v>
      </c>
      <c r="G105" s="126" t="s">
        <v>1386</v>
      </c>
      <c r="H105" s="126" cm="1" t="str">
        <f t="array" ref="H105:H105">H104</f>
        <v>0</v>
      </c>
      <c r="I105" s="1812"/>
      <c r="J105" s="1812"/>
      <c r="K105" s="1812"/>
      <c r="L105" s="1812"/>
      <c r="M105" s="1812"/>
      <c r="N105" s="1812"/>
      <c r="O105" s="1812"/>
      <c r="P105" s="1812"/>
      <c r="Q105" s="1812"/>
      <c r="R105" s="1812"/>
      <c r="S105" s="1812"/>
      <c r="T105" s="465" cm="1" t="str">
        <f t="array" ref="T105:T105">T104</f>
        <v>false</v>
      </c>
      <c r="U105" s="1812"/>
      <c r="V105" s="1812"/>
      <c r="W105" s="1812"/>
      <c r="X105" s="1543"/>
      <c r="Y105" s="1543"/>
      <c r="Z105" s="1565"/>
      <c r="AA105" s="1494"/>
      <c r="AB105" s="89" t="str">
        <f>AB102&amp;".3"</f>
        <v>6.0.3</v>
      </c>
      <c r="AC105" s="192" t="s">
        <v>1589</v>
      </c>
      <c r="AD105" s="92" t="s">
        <v>1573</v>
      </c>
      <c r="AE105" s="1940"/>
      <c r="AF105" s="1940"/>
      <c r="AG105" s="1940"/>
      <c r="AH105" s="1940"/>
      <c r="AI105" s="1940"/>
      <c r="AJ105" s="1940"/>
      <c r="AK105" s="1940"/>
      <c r="AL105" s="1940"/>
      <c r="AM105" s="1940"/>
      <c r="AN105" s="1940"/>
      <c r="AO105" s="1940"/>
      <c r="AP105" s="1940"/>
      <c r="AQ105" s="1940"/>
      <c r="AR105" s="1940"/>
      <c r="AS105" s="1940"/>
      <c r="AT105" s="1940"/>
      <c r="AU105" s="1940"/>
      <c r="AV105" s="1940"/>
      <c r="AW105" s="1940"/>
      <c r="AX105" s="1940"/>
      <c r="AY105" s="1940"/>
      <c r="AZ105" s="1940"/>
      <c r="BA105" s="1940"/>
      <c r="BB105" s="1940"/>
      <c r="BC105" s="2070"/>
      <c r="BD105" s="1812"/>
      <c r="BE105" s="1812"/>
      <c r="BF105" s="1030" t="s">
        <v>1590</v>
      </c>
      <c r="BG105" s="1030" t="s">
        <v>1586</v>
      </c>
      <c r="BH105" s="1030" cm="1" t="str">
        <f t="array" ref="BH105:BH105">BH104</f>
        <v>0</v>
      </c>
      <c r="BI105" s="1812" cm="1" t="str">
        <f t="array" ref="BI105:BI105">BI104</f>
        <v>0</v>
      </c>
      <c r="BJ105" s="267"/>
      <c r="BK105" s="267"/>
    </row>
    <row s="1426" customFormat="1" customHeight="1" ht="0">
      <c r="A106" s="1426"/>
      <c r="B106" s="427"/>
      <c r="C106" s="483"/>
      <c r="D106" s="1426"/>
      <c r="E106" s="633">
        <v>15</v>
      </c>
      <c r="F106" s="50" cm="1" t="str">
        <f t="array" ref="F106:F106">OFFSET(E106,-1,1)</f>
        <v>2</v>
      </c>
      <c r="G106" s="1426"/>
      <c r="H106" s="957" t="s">
        <v>1591</v>
      </c>
      <c r="I106" s="1426"/>
      <c r="J106" s="1426"/>
      <c r="K106" s="1426"/>
      <c r="L106" s="1426"/>
      <c r="M106" s="1426"/>
      <c r="N106" s="1426"/>
      <c r="O106" s="1426"/>
      <c r="P106" s="1426"/>
      <c r="Q106" s="1426"/>
      <c r="R106" s="1426"/>
      <c r="S106" s="1426"/>
      <c r="T106" s="465">
        <f>F106&gt;0</f>
        <v>1</v>
      </c>
      <c r="U106" s="1426"/>
      <c r="V106" s="1426"/>
      <c r="W106" s="757" t="s">
        <v>399</v>
      </c>
      <c r="X106" s="1543"/>
      <c r="Y106" s="1426"/>
      <c r="Z106" s="1565"/>
      <c r="AA106" s="1426"/>
      <c r="AB106" s="653"/>
      <c r="AC106" s="178" t="s">
        <v>178</v>
      </c>
      <c r="AD106" s="176"/>
      <c r="AE106" s="176"/>
      <c r="AF106" s="176"/>
      <c r="AG106" s="176"/>
      <c r="AH106" s="176"/>
      <c r="AI106" s="176"/>
      <c r="AJ106" s="176"/>
      <c r="AK106" s="176"/>
      <c r="AL106" s="176"/>
      <c r="AM106" s="176"/>
      <c r="AN106" s="176"/>
      <c r="AO106" s="176"/>
      <c r="AP106" s="176"/>
      <c r="AQ106" s="176"/>
      <c r="AR106" s="176"/>
      <c r="AS106" s="176"/>
      <c r="AT106" s="176"/>
      <c r="AU106" s="176"/>
      <c r="AV106" s="176"/>
      <c r="AW106" s="176"/>
      <c r="AX106" s="176"/>
      <c r="AY106" s="176"/>
      <c r="AZ106" s="176"/>
      <c r="BA106" s="176"/>
      <c r="BB106" s="176"/>
      <c r="BC106" s="187"/>
      <c r="BD106" s="1426"/>
      <c r="BE106" s="1426"/>
      <c r="BF106" s="1018"/>
      <c r="BG106" s="1018"/>
      <c r="BH106" s="1018"/>
      <c r="BI106" s="1426"/>
      <c r="BJ106" s="633" t="s">
        <v>1586</v>
      </c>
      <c r="BK106" s="633"/>
    </row>
    <row s="1448" customFormat="1" customHeight="1" ht="12">
      <c r="A107" s="1812"/>
      <c r="B107" s="429"/>
      <c r="C107" s="483"/>
      <c r="D107" s="1812"/>
      <c r="E107" s="267">
        <v>13</v>
      </c>
      <c r="F107" s="50" cm="1" t="str">
        <f t="array" ref="F107:F107">OFFSET(E107,-1,1)</f>
        <v>2</v>
      </c>
      <c r="G107" s="126"/>
      <c r="H107" s="126"/>
      <c r="I107" s="1812"/>
      <c r="J107" s="1812"/>
      <c r="K107" s="1812"/>
      <c r="L107" s="1812"/>
      <c r="M107" s="1812"/>
      <c r="N107" s="1812"/>
      <c r="O107" s="1812"/>
      <c r="P107" s="1812"/>
      <c r="Q107" s="1812"/>
      <c r="R107" s="1812"/>
      <c r="S107" s="1812"/>
      <c r="T107" s="465" cm="1" t="str">
        <f t="array" ref="T107:T107">T106</f>
        <v>true</v>
      </c>
      <c r="U107" s="1812"/>
      <c r="V107" s="1812"/>
      <c r="W107" s="1812"/>
      <c r="X107" s="1543"/>
      <c r="Y107" s="1812"/>
      <c r="Z107" s="1565"/>
      <c r="AA107" s="1812"/>
      <c r="AB107" s="652"/>
      <c r="AC107" s="266" t="s">
        <v>1592</v>
      </c>
      <c r="AD107" s="267"/>
      <c r="AE107" s="268"/>
      <c r="AF107" s="268"/>
      <c r="AG107" s="268"/>
      <c r="AH107" s="268"/>
      <c r="AI107" s="268"/>
      <c r="AJ107" s="268"/>
      <c r="AK107" s="268"/>
      <c r="AL107" s="268"/>
      <c r="AM107" s="268"/>
      <c r="AN107" s="268"/>
      <c r="AO107" s="268"/>
      <c r="AP107" s="268"/>
      <c r="AQ107" s="268"/>
      <c r="AR107" s="268"/>
      <c r="AS107" s="268"/>
      <c r="AT107" s="268"/>
      <c r="AU107" s="268"/>
      <c r="AV107" s="268"/>
      <c r="AW107" s="268"/>
      <c r="AX107" s="268"/>
      <c r="AY107" s="268"/>
      <c r="AZ107" s="268"/>
      <c r="BA107" s="268"/>
      <c r="BB107" s="268"/>
      <c r="BC107" s="269"/>
      <c r="BD107" s="1812"/>
      <c r="BE107" s="1812"/>
      <c r="BF107" s="1030"/>
      <c r="BG107" s="1030"/>
      <c r="BH107" s="1030"/>
      <c r="BI107" s="1812"/>
      <c r="BJ107" s="267"/>
      <c r="BK107" s="267"/>
    </row>
    <row s="1834" customFormat="1" customHeight="1" ht="10.5" hidden="1">
      <c r="E108" s="267">
        <v>11</v>
      </c>
      <c r="F108" s="1175" cm="1" t="str">
        <f t="array" ref="F108:F108">OFFSET(E108,-1,1)</f>
        <v>2</v>
      </c>
      <c r="T108" s="465">
        <f>AND(F108&gt;0,Y108&gt;0)</f>
        <v>0</v>
      </c>
      <c r="W108" s="717" t="s">
        <v>174</v>
      </c>
      <c r="Y108" s="1641">
        <v>0</v>
      </c>
      <c r="AA108" s="1648" t="s">
        <v>175</v>
      </c>
      <c r="AB108" s="89" t="str">
        <f>"7."&amp;Y108</f>
        <v>7.0</v>
      </c>
      <c r="AC108" s="1695"/>
      <c r="AD108" s="93"/>
      <c r="BF108" s="1030"/>
      <c r="BG108" s="1030"/>
      <c r="BH108" s="1030"/>
      <c r="BI108" s="1030"/>
      <c r="BJ108" s="267"/>
      <c r="BK108" s="267"/>
    </row>
    <row s="1448" customFormat="1" customHeight="1" ht="10.5" hidden="1">
      <c r="E109" s="267">
        <v>11.25</v>
      </c>
      <c r="F109" s="50" cm="1" t="str">
        <f t="array" ref="F109:F109">OFFSET(E109,-1,1)</f>
        <v>2</v>
      </c>
      <c r="G109" s="126" t="s">
        <v>1225</v>
      </c>
      <c r="H109" s="126" cm="1" t="str">
        <f t="array" ref="H109:H109">AC109</f>
        <v>0</v>
      </c>
      <c r="T109" s="465" cm="1" t="str">
        <f t="array" ref="T109:T109">T108</f>
        <v>false</v>
      </c>
      <c r="Y109" s="1543">
        <v>0</v>
      </c>
      <c r="AA109" s="1494" t="s">
        <v>175</v>
      </c>
      <c r="AB109" s="89" t="str">
        <f>AB108&amp;".1"</f>
        <v>7.0.1</v>
      </c>
      <c r="AC109" s="3354"/>
      <c r="AD109" s="89" t="s">
        <v>1514</v>
      </c>
      <c r="AE109" s="142">
        <f>AE110+AE113</f>
        <v>0</v>
      </c>
      <c r="AF109" s="142">
        <f>AF110+AF113</f>
        <v>0</v>
      </c>
      <c r="AG109" s="142">
        <f>AG110+AG113</f>
        <v>0</v>
      </c>
      <c r="AH109" s="142">
        <f>AH110+AH113</f>
        <v>0</v>
      </c>
      <c r="AI109" s="142">
        <f>AI110+AI113</f>
        <v>0</v>
      </c>
      <c r="AJ109" s="142">
        <f>AJ110+AJ113</f>
        <v>0</v>
      </c>
      <c r="AK109" s="142">
        <f>AK110+AK113</f>
        <v>0</v>
      </c>
      <c r="AL109" s="142">
        <f>AL110+AL113</f>
        <v>0</v>
      </c>
      <c r="AM109" s="142">
        <f>AM110+AM113</f>
        <v>0</v>
      </c>
      <c r="AN109" s="142">
        <f>AN110+AN113</f>
        <v>0</v>
      </c>
      <c r="AO109" s="142">
        <f>AO110+AO113</f>
        <v>0</v>
      </c>
      <c r="AP109" s="142">
        <f>AP110+AP113</f>
        <v>0</v>
      </c>
      <c r="AQ109" s="142">
        <f>AQ110+AQ113</f>
        <v>0</v>
      </c>
      <c r="AR109" s="142">
        <f>AR110+AR113</f>
        <v>0</v>
      </c>
      <c r="AS109" s="142">
        <f>AS110+AS113</f>
        <v>0</v>
      </c>
      <c r="AT109" s="142">
        <f>AT110+AT113</f>
        <v>0</v>
      </c>
      <c r="AU109" s="142">
        <f>AU110+AU113</f>
        <v>0</v>
      </c>
      <c r="AV109" s="142">
        <f>AV110+AV113</f>
        <v>0</v>
      </c>
      <c r="AW109" s="142">
        <f>AW110+AW113</f>
        <v>0</v>
      </c>
      <c r="AX109" s="142">
        <f>AX110+AX113</f>
        <v>0</v>
      </c>
      <c r="AY109" s="142">
        <f>AY110+AY113</f>
        <v>0</v>
      </c>
      <c r="AZ109" s="142">
        <f>AZ110+AZ113</f>
        <v>0</v>
      </c>
      <c r="BA109" s="142">
        <f>BA110+BA113</f>
        <v>0</v>
      </c>
      <c r="BB109" s="142">
        <f>BB110+BB113</f>
        <v>0</v>
      </c>
      <c r="BC109" s="3355"/>
      <c r="BF109" s="1030" t="s">
        <v>1593</v>
      </c>
      <c r="BG109" s="1030" t="s">
        <v>1594</v>
      </c>
      <c r="BH109" s="1030" cm="1" t="str">
        <f t="array" ref="BH109:BH109">AC109</f>
        <v>0</v>
      </c>
      <c r="BI109" s="146" cm="1" t="str">
        <f t="array" ref="BI109:BI109">AC108</f>
        <v>0</v>
      </c>
      <c r="BJ109" s="267"/>
      <c r="BK109" s="267" t="b">
        <v>1</v>
      </c>
    </row>
    <row s="1448" customFormat="1" customHeight="1" ht="10.5" hidden="1">
      <c r="E110" s="267">
        <v>11.25</v>
      </c>
      <c r="F110" s="50" cm="1" t="str">
        <f t="array" ref="F110:F110">OFFSET(E110,-1,1)</f>
        <v>2</v>
      </c>
      <c r="G110" s="126" t="s">
        <v>1390</v>
      </c>
      <c r="H110" s="126" cm="1" t="str">
        <f t="array" ref="H110:H110">H109</f>
        <v>0</v>
      </c>
      <c r="T110" s="465" cm="1" t="str">
        <f t="array" ref="T110:T110">T109</f>
        <v>false</v>
      </c>
      <c r="AA110" s="1494"/>
      <c r="AB110" s="89" t="str">
        <f>AB108&amp;".2"</f>
        <v>7.0.2</v>
      </c>
      <c r="AC110" s="192" t="s">
        <v>1595</v>
      </c>
      <c r="AD110" s="89" t="s">
        <v>1596</v>
      </c>
      <c r="AE110" s="3356"/>
      <c r="AF110" s="3356"/>
      <c r="AG110" s="3356"/>
      <c r="AH110" s="3356"/>
      <c r="AI110" s="3356"/>
      <c r="AJ110" s="3356"/>
      <c r="AK110" s="3356"/>
      <c r="AL110" s="3356"/>
      <c r="AM110" s="3356"/>
      <c r="AN110" s="3356"/>
      <c r="AO110" s="3356"/>
      <c r="AP110" s="3356"/>
      <c r="AQ110" s="3356"/>
      <c r="AR110" s="3356"/>
      <c r="AS110" s="3356"/>
      <c r="AT110" s="3356"/>
      <c r="AU110" s="3356"/>
      <c r="AV110" s="3356"/>
      <c r="AW110" s="3356"/>
      <c r="AX110" s="3356"/>
      <c r="AY110" s="3356"/>
      <c r="AZ110" s="3356"/>
      <c r="BA110" s="3356"/>
      <c r="BB110" s="3356"/>
      <c r="BC110" s="3355"/>
      <c r="BF110" s="1030" t="s">
        <v>1597</v>
      </c>
      <c r="BG110" s="1030" t="s">
        <v>1594</v>
      </c>
      <c r="BH110" s="1030" cm="1" t="str">
        <f t="array" ref="BH110:BH110">BH109</f>
        <v>0</v>
      </c>
      <c r="BI110" s="146" cm="1" t="str">
        <f t="array" ref="BI110:BI110">BI109</f>
        <v>0</v>
      </c>
      <c r="BJ110" s="267"/>
      <c r="BK110" s="267"/>
    </row>
    <row s="1448" customFormat="1" customHeight="1" ht="10.5" hidden="1">
      <c r="E111" s="267">
        <v>11.25</v>
      </c>
      <c r="F111" s="50" cm="1" t="str">
        <f t="array" ref="F111:F111">OFFSET(E111,-1,1)</f>
        <v>2</v>
      </c>
      <c r="G111" s="126" t="s">
        <v>1598</v>
      </c>
      <c r="H111" s="126" cm="1" t="str">
        <f t="array" ref="H111:H111">H110</f>
        <v>0</v>
      </c>
      <c r="T111" s="465" cm="1" t="str">
        <f t="array" ref="T111:T111">T110</f>
        <v>false</v>
      </c>
      <c r="AA111" s="1494"/>
      <c r="AB111" s="89" t="str">
        <f>AB108&amp;".3"</f>
        <v>7.0.3</v>
      </c>
      <c r="AC111" s="332" t="s">
        <v>1587</v>
      </c>
      <c r="AD111" s="92" t="s">
        <v>1579</v>
      </c>
      <c r="AE111" s="142">
        <f>IF(OR(AND(AE110&lt;&gt;0,AE112=0),AND(AE110=0,AE112&lt;&gt;0)),"Ошибка",IF(AE112=0,0,AE110/AE112))</f>
        <v>0</v>
      </c>
      <c r="AF111" s="142">
        <f>IF(OR(AND(AF110&lt;&gt;0,AF112=0),AND(AF110=0,AF112&lt;&gt;0)),"Ошибка",IF(AF112=0,0,AF110/AF112))</f>
        <v>0</v>
      </c>
      <c r="AG111" s="142">
        <f>IF(OR(AND(AG110&lt;&gt;0,AG112=0),AND(AG110=0,AG112&lt;&gt;0)),"Ошибка",IF(AG112=0,0,AG110/AG112))</f>
        <v>0</v>
      </c>
      <c r="AH111" s="142">
        <f>IF(OR(AND(AH110&lt;&gt;0,AH112=0),AND(AH110=0,AH112&lt;&gt;0)),"Ошибка",IF(AH112=0,0,AH110/AH112))</f>
        <v>0</v>
      </c>
      <c r="AI111" s="142">
        <f>IF(OR(AND(AI110&lt;&gt;0,AI112=0),AND(AI110=0,AI112&lt;&gt;0)),"Ошибка",IF(AI112=0,0,AI110/AI112))</f>
        <v>0</v>
      </c>
      <c r="AJ111" s="142">
        <f>IF(OR(AND(AJ110&lt;&gt;0,AJ112=0),AND(AJ110=0,AJ112&lt;&gt;0)),"Ошибка",IF(AJ112=0,0,AJ110/AJ112))</f>
        <v>0</v>
      </c>
      <c r="AK111" s="142">
        <f>IF(OR(AND(AK110&lt;&gt;0,AK112=0),AND(AK110=0,AK112&lt;&gt;0)),"Ошибка",IF(AK112=0,0,AK110/AK112))</f>
        <v>0</v>
      </c>
      <c r="AL111" s="142">
        <f>IF(OR(AND(AL110&lt;&gt;0,AL112=0),AND(AL110=0,AL112&lt;&gt;0)),"Ошибка",IF(AL112=0,0,AL110/AL112))</f>
        <v>0</v>
      </c>
      <c r="AM111" s="142">
        <f>IF(OR(AND(AM110&lt;&gt;0,AM112=0),AND(AM110=0,AM112&lt;&gt;0)),"Ошибка",IF(AM112=0,0,AM110/AM112))</f>
        <v>0</v>
      </c>
      <c r="AN111" s="142">
        <f>IF(OR(AND(AN110&lt;&gt;0,AN112=0),AND(AN110=0,AN112&lt;&gt;0)),"Ошибка",IF(AN112=0,0,AN110/AN112))</f>
        <v>0</v>
      </c>
      <c r="AO111" s="142">
        <f>IF(OR(AND(AO110&lt;&gt;0,AO112=0),AND(AO110=0,AO112&lt;&gt;0)),"Ошибка",IF(AO112=0,0,AO110/AO112))</f>
        <v>0</v>
      </c>
      <c r="AP111" s="142">
        <f>IF(OR(AND(AP110&lt;&gt;0,AP112=0),AND(AP110=0,AP112&lt;&gt;0)),"Ошибка",IF(AP112=0,0,AP110/AP112))</f>
        <v>0</v>
      </c>
      <c r="AQ111" s="142">
        <f>IF(OR(AND(AQ110&lt;&gt;0,AQ112=0),AND(AQ110=0,AQ112&lt;&gt;0)),"Ошибка",IF(AQ112=0,0,AQ110/AQ112))</f>
        <v>0</v>
      </c>
      <c r="AR111" s="142">
        <f>IF(OR(AND(AR110&lt;&gt;0,AR112=0),AND(AR110=0,AR112&lt;&gt;0)),"Ошибка",IF(AR112=0,0,AR110/AR112))</f>
        <v>0</v>
      </c>
      <c r="AS111" s="142">
        <f>IF(OR(AND(AS110&lt;&gt;0,AS112=0),AND(AS110=0,AS112&lt;&gt;0)),"Ошибка",IF(AS112=0,0,AS110/AS112))</f>
        <v>0</v>
      </c>
      <c r="AT111" s="142">
        <f>IF(OR(AND(AT110&lt;&gt;0,AT112=0),AND(AT110=0,AT112&lt;&gt;0)),"Ошибка",IF(AT112=0,0,AT110/AT112))</f>
        <v>0</v>
      </c>
      <c r="AU111" s="142">
        <f>IF(OR(AND(AU110&lt;&gt;0,AU112=0),AND(AU110=0,AU112&lt;&gt;0)),"Ошибка",IF(AU112=0,0,AU110/AU112))</f>
        <v>0</v>
      </c>
      <c r="AV111" s="142">
        <f>IF(OR(AND(AV110&lt;&gt;0,AV112=0),AND(AV110=0,AV112&lt;&gt;0)),"Ошибка",IF(AV112=0,0,AV110/AV112))</f>
        <v>0</v>
      </c>
      <c r="AW111" s="142">
        <f>IF(OR(AND(AW110&lt;&gt;0,AW112=0),AND(AW110=0,AW112&lt;&gt;0)),"Ошибка",IF(AW112=0,0,AW110/AW112))</f>
        <v>0</v>
      </c>
      <c r="AX111" s="142">
        <f>IF(OR(AND(AX110&lt;&gt;0,AX112=0),AND(AX110=0,AX112&lt;&gt;0)),"Ошибка",IF(AX112=0,0,AX110/AX112))</f>
        <v>0</v>
      </c>
      <c r="AY111" s="142">
        <f>IF(OR(AND(AY110&lt;&gt;0,AY112=0),AND(AY110=0,AY112&lt;&gt;0)),"Ошибка",IF(AY112=0,0,AY110/AY112))</f>
        <v>0</v>
      </c>
      <c r="AZ111" s="142">
        <f>IF(OR(AND(AZ110&lt;&gt;0,AZ112=0),AND(AZ110=0,AZ112&lt;&gt;0)),"Ошибка",IF(AZ112=0,0,AZ110/AZ112))</f>
        <v>0</v>
      </c>
      <c r="BA111" s="142">
        <f>IF(OR(AND(BA110&lt;&gt;0,BA112=0),AND(BA110=0,BA112&lt;&gt;0)),"Ошибка",IF(BA112=0,0,BA110/BA112))</f>
        <v>0</v>
      </c>
      <c r="BB111" s="142">
        <f>IF(OR(AND(BB110&lt;&gt;0,BB112=0),AND(BB110=0,BB112&lt;&gt;0)),"Ошибка",IF(BB112=0,0,BB110/BB112))</f>
        <v>0</v>
      </c>
      <c r="BC111" s="3355"/>
      <c r="BF111" s="1030" t="s">
        <v>1599</v>
      </c>
      <c r="BG111" s="1030" t="s">
        <v>1594</v>
      </c>
      <c r="BH111" s="1030" cm="1" t="str">
        <f t="array" ref="BH111:BH111">BH110</f>
        <v>0</v>
      </c>
      <c r="BI111" s="146" cm="1" t="str">
        <f t="array" ref="BI111:BI111">BI110</f>
        <v>0</v>
      </c>
      <c r="BJ111" s="267"/>
      <c r="BK111" s="267"/>
    </row>
    <row s="1448" customFormat="1" customHeight="1" ht="10.5" hidden="1">
      <c r="E112" s="267">
        <v>11.25</v>
      </c>
      <c r="F112" s="50" cm="1" t="str">
        <f t="array" ref="F112:F112">OFFSET(E112,-1,1)</f>
        <v>2</v>
      </c>
      <c r="G112" s="126" t="s">
        <v>1600</v>
      </c>
      <c r="H112" s="126" cm="1" t="str">
        <f t="array" ref="H112:H112">H111</f>
        <v>0</v>
      </c>
      <c r="T112" s="465" cm="1" t="str">
        <f t="array" ref="T112:T112">T111</f>
        <v>false</v>
      </c>
      <c r="AA112" s="1494"/>
      <c r="AB112" s="89" t="str">
        <f>AB108&amp;".4"</f>
        <v>7.0.4</v>
      </c>
      <c r="AC112" s="332" t="s">
        <v>1589</v>
      </c>
      <c r="AD112" s="92" t="s">
        <v>1573</v>
      </c>
      <c r="AE112" s="3356"/>
      <c r="AF112" s="3356"/>
      <c r="AG112" s="3356"/>
      <c r="AH112" s="3356"/>
      <c r="AI112" s="3356"/>
      <c r="AJ112" s="3356"/>
      <c r="AK112" s="3356"/>
      <c r="AL112" s="3356"/>
      <c r="AM112" s="3356"/>
      <c r="AN112" s="3356"/>
      <c r="AO112" s="3356"/>
      <c r="AP112" s="3356"/>
      <c r="AQ112" s="3356"/>
      <c r="AR112" s="3356"/>
      <c r="AS112" s="3356"/>
      <c r="AT112" s="3356"/>
      <c r="AU112" s="3356"/>
      <c r="AV112" s="3356"/>
      <c r="AW112" s="3356"/>
      <c r="AX112" s="3356"/>
      <c r="AY112" s="3356"/>
      <c r="AZ112" s="3356"/>
      <c r="BA112" s="3356"/>
      <c r="BB112" s="3356"/>
      <c r="BC112" s="3355"/>
      <c r="BF112" s="1030" t="s">
        <v>1601</v>
      </c>
      <c r="BG112" s="1030" t="s">
        <v>1594</v>
      </c>
      <c r="BH112" s="1030" cm="1" t="str">
        <f t="array" ref="BH112:BH112">BH111</f>
        <v>0</v>
      </c>
      <c r="BI112" s="146" cm="1" t="str">
        <f t="array" ref="BI112:BI112">BI111</f>
        <v>0</v>
      </c>
      <c r="BJ112" s="267"/>
      <c r="BK112" s="267"/>
    </row>
    <row s="1448" customFormat="1" customHeight="1" ht="10.5" hidden="1">
      <c r="E113" s="267">
        <v>11.25</v>
      </c>
      <c r="F113" s="50" cm="1" t="str">
        <f t="array" ref="F113:F113">OFFSET(E113,-1,1)</f>
        <v>2</v>
      </c>
      <c r="G113" s="126" t="s">
        <v>1393</v>
      </c>
      <c r="H113" s="126" cm="1" t="str">
        <f t="array" ref="H113:H113">H112</f>
        <v>0</v>
      </c>
      <c r="T113" s="465" cm="1" t="str">
        <f t="array" ref="T113:T113">T112</f>
        <v>false</v>
      </c>
      <c r="AA113" s="1494"/>
      <c r="AB113" s="89" t="str">
        <f>AB108&amp;".5"</f>
        <v>7.0.5</v>
      </c>
      <c r="AC113" s="192" t="s">
        <v>1602</v>
      </c>
      <c r="AD113" s="89" t="s">
        <v>1596</v>
      </c>
      <c r="AE113" s="3356"/>
      <c r="AF113" s="3356"/>
      <c r="AG113" s="3356"/>
      <c r="AH113" s="3356"/>
      <c r="AI113" s="3356"/>
      <c r="AJ113" s="3356"/>
      <c r="AK113" s="3356"/>
      <c r="AL113" s="3356"/>
      <c r="AM113" s="3356"/>
      <c r="AN113" s="3356"/>
      <c r="AO113" s="3356"/>
      <c r="AP113" s="3356"/>
      <c r="AQ113" s="3356"/>
      <c r="AR113" s="3356"/>
      <c r="AS113" s="3356"/>
      <c r="AT113" s="3356"/>
      <c r="AU113" s="3356"/>
      <c r="AV113" s="3356"/>
      <c r="AW113" s="3356"/>
      <c r="AX113" s="3356"/>
      <c r="AY113" s="3356"/>
      <c r="AZ113" s="3356"/>
      <c r="BA113" s="3356"/>
      <c r="BB113" s="3356"/>
      <c r="BC113" s="3355"/>
      <c r="BF113" s="1030" t="s">
        <v>1603</v>
      </c>
      <c r="BG113" s="1030" t="s">
        <v>1594</v>
      </c>
      <c r="BH113" s="1030" cm="1" t="str">
        <f t="array" ref="BH113:BH113">BH112</f>
        <v>0</v>
      </c>
      <c r="BI113" s="146" cm="1" t="str">
        <f t="array" ref="BI113:BI113">BI112</f>
        <v>0</v>
      </c>
      <c r="BJ113" s="267"/>
      <c r="BK113" s="267"/>
    </row>
    <row s="1448" customFormat="1" customHeight="1" ht="10.5" hidden="1">
      <c r="E114" s="267">
        <v>11.25</v>
      </c>
      <c r="F114" s="50" cm="1" t="str">
        <f t="array" ref="F114:F114">OFFSET(E114,-1,1)</f>
        <v>2</v>
      </c>
      <c r="G114" s="126" t="s">
        <v>1604</v>
      </c>
      <c r="H114" s="126" cm="1" t="str">
        <f t="array" ref="H114:H114">H113</f>
        <v>0</v>
      </c>
      <c r="T114" s="465" cm="1" t="str">
        <f t="array" ref="T114:T114">T113</f>
        <v>false</v>
      </c>
      <c r="AA114" s="1494"/>
      <c r="AB114" s="89" t="str">
        <f>AB108&amp;".6"</f>
        <v>7.0.6</v>
      </c>
      <c r="AC114" s="332" t="s">
        <v>1605</v>
      </c>
      <c r="AD114" s="92" t="s">
        <v>1606</v>
      </c>
      <c r="AE114" s="142">
        <f>IF(OR(AND(AE113&lt;&gt;0,AE115=0),AND(AE113=0,AE115&lt;&gt;0)),"Ошибка",IF(AE115=0,0,AE113/AE115*1000/12))</f>
        <v>0</v>
      </c>
      <c r="AF114" s="142">
        <f>IF(OR(AND(AF113&lt;&gt;0,AF115=0),AND(AF113=0,AF115&lt;&gt;0)),"Ошибка",IF(AF115=0,0,AF113/AF115*1000/12))</f>
        <v>0</v>
      </c>
      <c r="AG114" s="142">
        <f>IF(OR(AND(AG113&lt;&gt;0,AG115=0),AND(AG113=0,AG115&lt;&gt;0)),"Ошибка",IF(AG115=0,0,AG113/AG115*1000/12))</f>
        <v>0</v>
      </c>
      <c r="AH114" s="142">
        <f>IF(OR(AND(AH113&lt;&gt;0,AH115=0),AND(AH113=0,AH115&lt;&gt;0)),"Ошибка",IF(AH115=0,0,AH113/AH115*1000/12))</f>
        <v>0</v>
      </c>
      <c r="AI114" s="142">
        <f>IF(OR(AND(AI113&lt;&gt;0,AI115=0),AND(AI113=0,AI115&lt;&gt;0)),"Ошибка",IF(AI115=0,0,AI113/AI115*1000/12))</f>
        <v>0</v>
      </c>
      <c r="AJ114" s="142">
        <f>IF(OR(AND(AJ113&lt;&gt;0,AJ115=0),AND(AJ113=0,AJ115&lt;&gt;0)),"Ошибка",IF(AJ115=0,0,AJ113/AJ115*1000/12))</f>
        <v>0</v>
      </c>
      <c r="AK114" s="142">
        <f>IF(OR(AND(AK113&lt;&gt;0,AK115=0),AND(AK113=0,AK115&lt;&gt;0)),"Ошибка",IF(AK115=0,0,AK113/AK115*1000/12))</f>
        <v>0</v>
      </c>
      <c r="AL114" s="142">
        <f>IF(OR(AND(AL113&lt;&gt;0,AL115=0),AND(AL113=0,AL115&lt;&gt;0)),"Ошибка",IF(AL115=0,0,AL113/AL115*1000/12))</f>
        <v>0</v>
      </c>
      <c r="AM114" s="142">
        <f>IF(OR(AND(AM113&lt;&gt;0,AM115=0),AND(AM113=0,AM115&lt;&gt;0)),"Ошибка",IF(AM115=0,0,AM113/AM115*1000/12))</f>
        <v>0</v>
      </c>
      <c r="AN114" s="142">
        <f>IF(OR(AND(AN113&lt;&gt;0,AN115=0),AND(AN113=0,AN115&lt;&gt;0)),"Ошибка",IF(AN115=0,0,AN113/AN115*1000/12))</f>
        <v>0</v>
      </c>
      <c r="AO114" s="142">
        <f>IF(OR(AND(AO113&lt;&gt;0,AO115=0),AND(AO113=0,AO115&lt;&gt;0)),"Ошибка",IF(AO115=0,0,AO113/AO115*1000/12))</f>
        <v>0</v>
      </c>
      <c r="AP114" s="142">
        <f>IF(OR(AND(AP113&lt;&gt;0,AP115=0),AND(AP113=0,AP115&lt;&gt;0)),"Ошибка",IF(AP115=0,0,AP113/AP115*1000/12))</f>
        <v>0</v>
      </c>
      <c r="AQ114" s="142">
        <f>IF(OR(AND(AQ113&lt;&gt;0,AQ115=0),AND(AQ113=0,AQ115&lt;&gt;0)),"Ошибка",IF(AQ115=0,0,AQ113/AQ115*1000/12))</f>
        <v>0</v>
      </c>
      <c r="AR114" s="142">
        <f>IF(OR(AND(AR113&lt;&gt;0,AR115=0),AND(AR113=0,AR115&lt;&gt;0)),"Ошибка",IF(AR115=0,0,AR113/AR115*1000/12))</f>
        <v>0</v>
      </c>
      <c r="AS114" s="142">
        <f>IF(OR(AND(AS113&lt;&gt;0,AS115=0),AND(AS113=0,AS115&lt;&gt;0)),"Ошибка",IF(AS115=0,0,AS113/AS115*1000/12))</f>
        <v>0</v>
      </c>
      <c r="AT114" s="142">
        <f>IF(OR(AND(AT113&lt;&gt;0,AT115=0),AND(AT113=0,AT115&lt;&gt;0)),"Ошибка",IF(AT115=0,0,AT113/AT115*1000/12))</f>
        <v>0</v>
      </c>
      <c r="AU114" s="142">
        <f>IF(OR(AND(AU113&lt;&gt;0,AU115=0),AND(AU113=0,AU115&lt;&gt;0)),"Ошибка",IF(AU115=0,0,AU113/AU115*1000/12))</f>
        <v>0</v>
      </c>
      <c r="AV114" s="142">
        <f>IF(OR(AND(AV113&lt;&gt;0,AV115=0),AND(AV113=0,AV115&lt;&gt;0)),"Ошибка",IF(AV115=0,0,AV113/AV115*1000/12))</f>
        <v>0</v>
      </c>
      <c r="AW114" s="142">
        <f>IF(OR(AND(AW113&lt;&gt;0,AW115=0),AND(AW113=0,AW115&lt;&gt;0)),"Ошибка",IF(AW115=0,0,AW113/AW115*1000/12))</f>
        <v>0</v>
      </c>
      <c r="AX114" s="142">
        <f>IF(OR(AND(AX113&lt;&gt;0,AX115=0),AND(AX113=0,AX115&lt;&gt;0)),"Ошибка",IF(AX115=0,0,AX113/AX115*1000/12))</f>
        <v>0</v>
      </c>
      <c r="AY114" s="142">
        <f>IF(OR(AND(AY113&lt;&gt;0,AY115=0),AND(AY113=0,AY115&lt;&gt;0)),"Ошибка",IF(AY115=0,0,AY113/AY115*1000/12))</f>
        <v>0</v>
      </c>
      <c r="AZ114" s="142">
        <f>IF(OR(AND(AZ113&lt;&gt;0,AZ115=0),AND(AZ113=0,AZ115&lt;&gt;0)),"Ошибка",IF(AZ115=0,0,AZ113/AZ115*1000/12))</f>
        <v>0</v>
      </c>
      <c r="BA114" s="142">
        <f>IF(OR(AND(BA113&lt;&gt;0,BA115=0),AND(BA113=0,BA115&lt;&gt;0)),"Ошибка",IF(BA115=0,0,BA113/BA115*1000/12))</f>
        <v>0</v>
      </c>
      <c r="BB114" s="142">
        <f>IF(OR(AND(BB113&lt;&gt;0,BB115=0),AND(BB113=0,BB115&lt;&gt;0)),"Ошибка",IF(BB115=0,0,BB113/BB115*1000/12))</f>
        <v>0</v>
      </c>
      <c r="BC114" s="3355"/>
      <c r="BF114" s="1030" t="s">
        <v>1607</v>
      </c>
      <c r="BG114" s="1030" t="s">
        <v>1594</v>
      </c>
      <c r="BH114" s="1030" cm="1" t="str">
        <f t="array" ref="BH114:BH114">BH113</f>
        <v>0</v>
      </c>
      <c r="BI114" s="146" cm="1" t="str">
        <f t="array" ref="BI114:BI114">BI113</f>
        <v>0</v>
      </c>
      <c r="BJ114" s="267"/>
      <c r="BK114" s="267"/>
    </row>
    <row s="1448" customFormat="1" customHeight="1" ht="10.5" hidden="1">
      <c r="E115" s="267">
        <v>11.25</v>
      </c>
      <c r="F115" s="50" cm="1" t="str">
        <f t="array" ref="F115:F115">OFFSET(E115,-1,1)</f>
        <v>2</v>
      </c>
      <c r="G115" s="126" t="s">
        <v>1608</v>
      </c>
      <c r="H115" s="126" cm="1" t="str">
        <f t="array" ref="H115:H115">H114</f>
        <v>0</v>
      </c>
      <c r="T115" s="465" cm="1" t="str">
        <f t="array" ref="T115:T115">T114</f>
        <v>false</v>
      </c>
      <c r="AA115" s="1494"/>
      <c r="AB115" s="89" t="str">
        <f>AB108&amp;".7"</f>
        <v>7.0.7</v>
      </c>
      <c r="AC115" s="332" t="s">
        <v>1609</v>
      </c>
      <c r="AD115" s="92" t="s">
        <v>1610</v>
      </c>
      <c r="AE115" s="3356"/>
      <c r="AF115" s="3356"/>
      <c r="AG115" s="3356"/>
      <c r="AH115" s="3356"/>
      <c r="AI115" s="3356"/>
      <c r="AJ115" s="3356"/>
      <c r="AK115" s="3356"/>
      <c r="AL115" s="3356"/>
      <c r="AM115" s="3356"/>
      <c r="AN115" s="3356"/>
      <c r="AO115" s="3356"/>
      <c r="AP115" s="3356"/>
      <c r="AQ115" s="3356"/>
      <c r="AR115" s="3356"/>
      <c r="AS115" s="3356"/>
      <c r="AT115" s="3356"/>
      <c r="AU115" s="3356"/>
      <c r="AV115" s="3356"/>
      <c r="AW115" s="3356"/>
      <c r="AX115" s="3356"/>
      <c r="AY115" s="3356"/>
      <c r="AZ115" s="3356"/>
      <c r="BA115" s="3356"/>
      <c r="BB115" s="3356"/>
      <c r="BC115" s="3355"/>
      <c r="BF115" s="1030" t="s">
        <v>1611</v>
      </c>
      <c r="BG115" s="1030" t="s">
        <v>1594</v>
      </c>
      <c r="BH115" s="1030" cm="1" t="str">
        <f t="array" ref="BH115:BH115">BH114</f>
        <v>0</v>
      </c>
      <c r="BI115" s="146" cm="1" t="str">
        <f t="array" ref="BI115:BI115">BI114</f>
        <v>0</v>
      </c>
      <c r="BJ115" s="267"/>
      <c r="BK115" s="267"/>
    </row>
    <row s="1834" customFormat="1" customHeight="1" ht="23.25">
      <c r="A116" s="1834"/>
      <c r="B116" s="1834"/>
      <c r="C116" s="1834"/>
      <c r="D116" s="1834"/>
      <c r="E116" s="267">
        <v>11</v>
      </c>
      <c r="F116" s="1175" cm="1" t="str">
        <f t="array" ref="F116:F116">OFFSET(E116,-1,1)</f>
        <v>2</v>
      </c>
      <c r="G116" s="1834"/>
      <c r="H116" s="1834"/>
      <c r="I116" s="1834"/>
      <c r="J116" s="1834"/>
      <c r="K116" s="1834"/>
      <c r="L116" s="1834"/>
      <c r="M116" s="1834"/>
      <c r="N116" s="1834"/>
      <c r="O116" s="1834"/>
      <c r="P116" s="1834"/>
      <c r="Q116" s="1834"/>
      <c r="R116" s="1834"/>
      <c r="S116" s="1834"/>
      <c r="T116" s="465">
        <f>AND(F116&gt;0,Y116&gt;0)</f>
        <v>1</v>
      </c>
      <c r="U116" s="1834"/>
      <c r="V116" s="1834"/>
      <c r="W116" s="717"/>
      <c r="X116" s="1834"/>
      <c r="Y116" s="1641" t="s">
        <v>276</v>
      </c>
      <c r="Z116" s="1834"/>
      <c r="AA116" s="1648" t="s">
        <v>175</v>
      </c>
      <c r="AB116" s="89" t="str">
        <f>"7."&amp;Y116</f>
        <v>7.1</v>
      </c>
      <c r="AC116" s="1695" t="s">
        <v>1616</v>
      </c>
      <c r="AD116" s="93"/>
      <c r="AE116" s="1834"/>
      <c r="AF116" s="1834"/>
      <c r="AG116" s="1834"/>
      <c r="AH116" s="1834"/>
      <c r="AI116" s="1834"/>
      <c r="AJ116" s="1834"/>
      <c r="AK116" s="1834"/>
      <c r="AL116" s="1834"/>
      <c r="AM116" s="1834"/>
      <c r="AN116" s="1834"/>
      <c r="AO116" s="1834"/>
      <c r="AP116" s="1834"/>
      <c r="AQ116" s="1834"/>
      <c r="AR116" s="1834"/>
      <c r="AS116" s="1834"/>
      <c r="AT116" s="1834"/>
      <c r="AU116" s="1834"/>
      <c r="AV116" s="1834"/>
      <c r="AW116" s="1834"/>
      <c r="AX116" s="1834"/>
      <c r="AY116" s="1834"/>
      <c r="AZ116" s="1834"/>
      <c r="BA116" s="1834"/>
      <c r="BB116" s="1834"/>
      <c r="BC116" s="1834"/>
      <c r="BD116" s="1834"/>
      <c r="BE116" s="1834"/>
      <c r="BF116" s="1030"/>
      <c r="BG116" s="1030"/>
      <c r="BH116" s="1030"/>
      <c r="BI116" s="1030"/>
      <c r="BJ116" s="267"/>
      <c r="BK116" s="267"/>
    </row>
    <row s="1448" customFormat="1" customHeight="1" ht="10.5">
      <c r="A117" s="1448"/>
      <c r="B117" s="1448"/>
      <c r="C117" s="1448"/>
      <c r="D117" s="1448"/>
      <c r="E117" s="267">
        <v>11.25</v>
      </c>
      <c r="F117" s="50" cm="1" t="str">
        <f t="array" ref="F117:F117">OFFSET(E117,-1,1)</f>
        <v>2</v>
      </c>
      <c r="G117" s="126" t="s">
        <v>1225</v>
      </c>
      <c r="H117" s="126" cm="1" t="str">
        <f t="array" ref="H117:H117">AC117</f>
        <v>СН2</v>
      </c>
      <c r="I117" s="1448"/>
      <c r="J117" s="1448"/>
      <c r="K117" s="1448"/>
      <c r="L117" s="1448"/>
      <c r="M117" s="1448"/>
      <c r="N117" s="1448"/>
      <c r="O117" s="1448"/>
      <c r="P117" s="1448"/>
      <c r="Q117" s="1448"/>
      <c r="R117" s="1448"/>
      <c r="S117" s="1448"/>
      <c r="T117" s="465" cm="1" t="str">
        <f t="array" ref="T117:T117">T116</f>
        <v>true</v>
      </c>
      <c r="U117" s="1448"/>
      <c r="V117" s="1448"/>
      <c r="W117" s="1448"/>
      <c r="X117" s="1448"/>
      <c r="Y117" s="1543">
        <v>0</v>
      </c>
      <c r="Z117" s="1448"/>
      <c r="AA117" s="1494" t="s">
        <v>175</v>
      </c>
      <c r="AB117" s="89" t="str">
        <f>AB116&amp;".1"</f>
        <v>7.1.1</v>
      </c>
      <c r="AC117" s="3357" t="s">
        <v>1621</v>
      </c>
      <c r="AD117" s="89" t="s">
        <v>1514</v>
      </c>
      <c r="AE117" s="142">
        <f>AE118+AE121</f>
        <v>0</v>
      </c>
      <c r="AF117" s="142">
        <f>AF118+AF121</f>
        <v>0</v>
      </c>
      <c r="AG117" s="142">
        <f>AG118+AG121</f>
        <v>0</v>
      </c>
      <c r="AH117" s="142">
        <f>AH118+AH121</f>
        <v>0</v>
      </c>
      <c r="AI117" s="142">
        <f>AI118+AI121</f>
        <v>4424.17</v>
      </c>
      <c r="AJ117" s="142">
        <f>AJ118+AJ121</f>
        <v>4826.77</v>
      </c>
      <c r="AK117" s="142">
        <f>AK118+AK121</f>
        <v>5063.28</v>
      </c>
      <c r="AL117" s="142">
        <f>AL118+AL121</f>
        <v>5311.38</v>
      </c>
      <c r="AM117" s="142">
        <f>AM118+AM121</f>
        <v>5571.64</v>
      </c>
      <c r="AN117" s="142">
        <f>AN118+AN121</f>
        <v>0</v>
      </c>
      <c r="AO117" s="142">
        <f>AO118+AO121</f>
        <v>0</v>
      </c>
      <c r="AP117" s="142">
        <f>AP118+AP121</f>
        <v>0</v>
      </c>
      <c r="AQ117" s="142">
        <f>AQ118+AQ121</f>
        <v>0</v>
      </c>
      <c r="AR117" s="142">
        <f>AR118+AR121</f>
        <v>0</v>
      </c>
      <c r="AS117" s="142">
        <f>AS118+AS121</f>
        <v>4424.16764612032</v>
      </c>
      <c r="AT117" s="142">
        <f>AT118+AT121</f>
        <v>4826.76690191727</v>
      </c>
      <c r="AU117" s="142">
        <f>AU118+AU121</f>
        <v>5063.27848011121</v>
      </c>
      <c r="AV117" s="142">
        <f>AV118+AV121</f>
        <v>5311.02442465204</v>
      </c>
      <c r="AW117" s="142">
        <f>AW118+AW121</f>
        <v>5564.69940310494</v>
      </c>
      <c r="AX117" s="142">
        <f>AX118+AX121</f>
        <v>0</v>
      </c>
      <c r="AY117" s="142">
        <f>AY118+AY121</f>
        <v>0</v>
      </c>
      <c r="AZ117" s="142">
        <f>AZ118+AZ121</f>
        <v>0</v>
      </c>
      <c r="BA117" s="142">
        <f>BA118+BA121</f>
        <v>0</v>
      </c>
      <c r="BB117" s="142">
        <f>BB118+BB121</f>
        <v>0</v>
      </c>
      <c r="BC117" s="3358"/>
      <c r="BD117" s="1448"/>
      <c r="BE117" s="1448"/>
      <c r="BF117" s="1030" t="s">
        <v>1593</v>
      </c>
      <c r="BG117" s="1030" t="s">
        <v>1594</v>
      </c>
      <c r="BH117" s="1030" cm="1" t="str">
        <f t="array" ref="BH117:BH117">AC117</f>
        <v>СН2</v>
      </c>
      <c r="BI117" s="146" cm="1" t="str">
        <f t="array" ref="BI117:BI117">AC116</f>
        <v>ПАО "Кузбассэнергосбыт" (ИНН: 4205109214, КПП: 420501001)</v>
      </c>
      <c r="BJ117" s="267"/>
      <c r="BK117" s="267" t="b">
        <v>1</v>
      </c>
    </row>
    <row s="1448" customFormat="1" customHeight="1" ht="10.5">
      <c r="A118" s="1448"/>
      <c r="B118" s="1448"/>
      <c r="C118" s="1448"/>
      <c r="D118" s="1448"/>
      <c r="E118" s="267">
        <v>11.25</v>
      </c>
      <c r="F118" s="50" cm="1" t="str">
        <f t="array" ref="F118:F118">OFFSET(E118,-1,1)</f>
        <v>2</v>
      </c>
      <c r="G118" s="126" t="s">
        <v>1390</v>
      </c>
      <c r="H118" s="126" cm="1" t="str">
        <f t="array" ref="H118:H118">H117</f>
        <v>СН2</v>
      </c>
      <c r="I118" s="1448"/>
      <c r="J118" s="1448"/>
      <c r="K118" s="1448"/>
      <c r="L118" s="1448"/>
      <c r="M118" s="1448"/>
      <c r="N118" s="1448"/>
      <c r="O118" s="1448"/>
      <c r="P118" s="1448"/>
      <c r="Q118" s="1448"/>
      <c r="R118" s="1448"/>
      <c r="S118" s="1448"/>
      <c r="T118" s="465" cm="1" t="str">
        <f t="array" ref="T118:T118">T117</f>
        <v>true</v>
      </c>
      <c r="U118" s="1448"/>
      <c r="V118" s="1448"/>
      <c r="W118" s="1448"/>
      <c r="X118" s="1448"/>
      <c r="Y118" s="1448"/>
      <c r="Z118" s="1448"/>
      <c r="AA118" s="1494"/>
      <c r="AB118" s="89" t="str">
        <f>AB116&amp;".2"</f>
        <v>7.1.2</v>
      </c>
      <c r="AC118" s="192" t="s">
        <v>1595</v>
      </c>
      <c r="AD118" s="89" t="s">
        <v>1596</v>
      </c>
      <c r="AE118" s="3359"/>
      <c r="AF118" s="3359"/>
      <c r="AG118" s="3359"/>
      <c r="AH118" s="3359"/>
      <c r="AI118" s="3359">
        <v>2157.77</v>
      </c>
      <c r="AJ118" s="3359">
        <v>2354.13</v>
      </c>
      <c r="AK118" s="3359">
        <v>2469.48</v>
      </c>
      <c r="AL118" s="3359">
        <v>2590.48</v>
      </c>
      <c r="AM118" s="3359">
        <v>2717.42</v>
      </c>
      <c r="AN118" s="3356"/>
      <c r="AO118" s="3356"/>
      <c r="AP118" s="3356"/>
      <c r="AQ118" s="3356"/>
      <c r="AR118" s="3356"/>
      <c r="AS118" s="3359">
        <f>3.005*1.132*AS120</f>
        <v>2157.7688307954</v>
      </c>
      <c r="AT118" s="3359">
        <f>AS119*1.091*AT120</f>
        <v>2354.12579439778</v>
      </c>
      <c r="AU118" s="3359">
        <f>AT119*1.049*AU120</f>
        <v>2469.47795832327</v>
      </c>
      <c r="AV118" s="3359">
        <f>AU119*1.049*AV120</f>
        <v>2590.30938241158</v>
      </c>
      <c r="AW118" s="3359">
        <f>AV119*1.049*AW120</f>
        <v>2714.03253339533</v>
      </c>
      <c r="AX118" s="3356"/>
      <c r="AY118" s="3356"/>
      <c r="AZ118" s="3356"/>
      <c r="BA118" s="3356"/>
      <c r="BB118" s="3356"/>
      <c r="BC118" s="3358"/>
      <c r="BD118" s="1448"/>
      <c r="BE118" s="1448"/>
      <c r="BF118" s="1030" t="s">
        <v>1597</v>
      </c>
      <c r="BG118" s="1030" t="s">
        <v>1594</v>
      </c>
      <c r="BH118" s="1030" cm="1" t="str">
        <f t="array" ref="BH118:BH118">BH117</f>
        <v>СН2</v>
      </c>
      <c r="BI118" s="146" cm="1" t="str">
        <f t="array" ref="BI118:BI118">BI117</f>
        <v>ПАО "Кузбассэнергосбыт" (ИНН: 4205109214, КПП: 420501001)</v>
      </c>
      <c r="BJ118" s="267"/>
      <c r="BK118" s="267"/>
    </row>
    <row s="1448" customFormat="1" customHeight="1" ht="23.25">
      <c r="A119" s="1448"/>
      <c r="B119" s="1448"/>
      <c r="C119" s="1448"/>
      <c r="D119" s="1448"/>
      <c r="E119" s="267">
        <v>11.25</v>
      </c>
      <c r="F119" s="50" cm="1" t="str">
        <f t="array" ref="F119:F119">OFFSET(E119,-1,1)</f>
        <v>2</v>
      </c>
      <c r="G119" s="126" t="s">
        <v>1598</v>
      </c>
      <c r="H119" s="126" cm="1" t="str">
        <f t="array" ref="H119:H119">H118</f>
        <v>СН2</v>
      </c>
      <c r="I119" s="1448"/>
      <c r="J119" s="1448"/>
      <c r="K119" s="1448"/>
      <c r="L119" s="1448"/>
      <c r="M119" s="1448"/>
      <c r="N119" s="1448"/>
      <c r="O119" s="1448"/>
      <c r="P119" s="1448"/>
      <c r="Q119" s="1448"/>
      <c r="R119" s="1448"/>
      <c r="S119" s="1448"/>
      <c r="T119" s="465" cm="1" t="str">
        <f t="array" ref="T119:T119">T118</f>
        <v>true</v>
      </c>
      <c r="U119" s="1448"/>
      <c r="V119" s="1448"/>
      <c r="W119" s="1448"/>
      <c r="X119" s="1448"/>
      <c r="Y119" s="1448"/>
      <c r="Z119" s="1448"/>
      <c r="AA119" s="1494"/>
      <c r="AB119" s="89" t="str">
        <f>AB116&amp;".3"</f>
        <v>7.1.3</v>
      </c>
      <c r="AC119" s="332" t="s">
        <v>1587</v>
      </c>
      <c r="AD119" s="92" t="s">
        <v>1579</v>
      </c>
      <c r="AE119" s="142">
        <f>IF(OR(AND(AE118&lt;&gt;0,AE120=0),AND(AE118=0,AE120&lt;&gt;0)),"Ошибка",IF(AE120=0,0,AE118/AE120))</f>
        <v>0</v>
      </c>
      <c r="AF119" s="142">
        <f>IF(OR(AND(AF118&lt;&gt;0,AF120=0),AND(AF118=0,AF120&lt;&gt;0)),"Ошибка",IF(AF120=0,0,AF118/AF120))</f>
        <v>0</v>
      </c>
      <c r="AG119" s="142">
        <f>IF(OR(AND(AG118&lt;&gt;0,AG120=0),AND(AG118=0,AG120&lt;&gt;0)),"Ошибка",IF(AG120=0,0,AG118/AG120))</f>
        <v>0</v>
      </c>
      <c r="AH119" s="142">
        <f>IF(OR(AND(AH118&lt;&gt;0,AH120=0),AND(AH118=0,AH120&lt;&gt;0)),"Ошибка",IF(AH120=0,0,AH118/AH120))</f>
        <v>0</v>
      </c>
      <c r="AI119" s="142">
        <f>IF(OR(AND(AI118&lt;&gt;0,AI120=0),AND(AI118=0,AI120&lt;&gt;0)),"Ошибка",IF(AI120=0,0,AI118/AI120))</f>
        <v>3.40165213690035</v>
      </c>
      <c r="AJ119" s="142">
        <f>IF(OR(AND(AJ118&lt;&gt;0,AJ120=0),AND(AJ118=0,AJ120&lt;&gt;0)),"Ошибка",IF(AJ120=0,0,AJ118/AJ120))</f>
        <v>3.71120710040515</v>
      </c>
      <c r="AK119" s="142">
        <f>IF(OR(AND(AK118&lt;&gt;0,AK120=0),AND(AK118=0,AK120&lt;&gt;0)),"Ошибка",IF(AK120=0,0,AK118/AK120))</f>
        <v>3.89305251209938</v>
      </c>
      <c r="AL119" s="142">
        <f>IF(OR(AND(AL118&lt;&gt;0,AL120=0),AND(AL118=0,AL120&lt;&gt;0)),"Ошибка",IF(AL120=0,0,AL118/AL120))</f>
        <v>4.08380495956363</v>
      </c>
      <c r="AM119" s="142">
        <f>IF(OR(AND(AM118&lt;&gt;0,AM120=0),AND(AM118=0,AM120&lt;&gt;0)),"Ошибка",IF(AM120=0,0,AM118/AM120))</f>
        <v>4.28392161808522</v>
      </c>
      <c r="AN119" s="142">
        <f>IF(OR(AND(AN118&lt;&gt;0,AN120=0),AND(AN118=0,AN120&lt;&gt;0)),"Ошибка",IF(AN120=0,0,AN118/AN120))</f>
        <v>0</v>
      </c>
      <c r="AO119" s="142">
        <f>IF(OR(AND(AO118&lt;&gt;0,AO120=0),AND(AO118=0,AO120&lt;&gt;0)),"Ошибка",IF(AO120=0,0,AO118/AO120))</f>
        <v>0</v>
      </c>
      <c r="AP119" s="142">
        <f>IF(OR(AND(AP118&lt;&gt;0,AP120=0),AND(AP118=0,AP120&lt;&gt;0)),"Ошибка",IF(AP120=0,0,AP118/AP120))</f>
        <v>0</v>
      </c>
      <c r="AQ119" s="142">
        <f>IF(OR(AND(AQ118&lt;&gt;0,AQ120=0),AND(AQ118=0,AQ120&lt;&gt;0)),"Ошибка",IF(AQ120=0,0,AQ118/AQ120))</f>
        <v>0</v>
      </c>
      <c r="AR119" s="142">
        <f>IF(OR(AND(AR118&lt;&gt;0,AR120=0),AND(AR118=0,AR120&lt;&gt;0)),"Ошибка",IF(AR120=0,0,AR118/AR120))</f>
        <v>0</v>
      </c>
      <c r="AS119" s="142">
        <f>IF(OR(AND(AS118&lt;&gt;0,AS120=0),AND(AS118=0,AS120&lt;&gt;0)),"Ошибка",IF(AS120=0,0,AS118/AS120))</f>
        <v>3.40166</v>
      </c>
      <c r="AT119" s="142">
        <f>IF(OR(AND(AT118&lt;&gt;0,AT120=0),AND(AT118=0,AT120&lt;&gt;0)),"Ошибка",IF(AT120=0,0,AT118/AT120))</f>
        <v>3.71121106</v>
      </c>
      <c r="AU119" s="142">
        <f>IF(OR(AND(AU118&lt;&gt;0,AU120=0),AND(AU118=0,AU120&lt;&gt;0)),"Ошибка",IF(AU120=0,0,AU118/AU120))</f>
        <v>3.89306040194</v>
      </c>
      <c r="AV119" s="142">
        <f>IF(OR(AND(AV118&lt;&gt;0,AV120=0),AND(AV118=0,AV120&lt;&gt;0)),"Ошибка",IF(AV120=0,0,AV118/AV120))</f>
        <v>4.08382036163505</v>
      </c>
      <c r="AW119" s="142">
        <f>IF(OR(AND(AW118&lt;&gt;0,AW120=0),AND(AW118=0,AW120&lt;&gt;0)),"Ошибка",IF(AW120=0,0,AW118/AW120))</f>
        <v>4.28392755935517</v>
      </c>
      <c r="AX119" s="142">
        <f>IF(OR(AND(AX118&lt;&gt;0,AX120=0),AND(AX118=0,AX120&lt;&gt;0)),"Ошибка",IF(AX120=0,0,AX118/AX120))</f>
        <v>0</v>
      </c>
      <c r="AY119" s="142">
        <f>IF(OR(AND(AY118&lt;&gt;0,AY120=0),AND(AY118=0,AY120&lt;&gt;0)),"Ошибка",IF(AY120=0,0,AY118/AY120))</f>
        <v>0</v>
      </c>
      <c r="AZ119" s="142">
        <f>IF(OR(AND(AZ118&lt;&gt;0,AZ120=0),AND(AZ118=0,AZ120&lt;&gt;0)),"Ошибка",IF(AZ120=0,0,AZ118/AZ120))</f>
        <v>0</v>
      </c>
      <c r="BA119" s="142">
        <f>IF(OR(AND(BA118&lt;&gt;0,BA120=0),AND(BA118=0,BA120&lt;&gt;0)),"Ошибка",IF(BA120=0,0,BA118/BA120))</f>
        <v>0</v>
      </c>
      <c r="BB119" s="142">
        <f>IF(OR(AND(BB118&lt;&gt;0,BB120=0),AND(BB118=0,BB120&lt;&gt;0)),"Ошибка",IF(BB120=0,0,BB118/BB120))</f>
        <v>0</v>
      </c>
      <c r="BC119" s="3358" t="s">
        <v>1618</v>
      </c>
      <c r="BD119" s="1448"/>
      <c r="BE119" s="1448"/>
      <c r="BF119" s="1030" t="s">
        <v>1599</v>
      </c>
      <c r="BG119" s="1030" t="s">
        <v>1594</v>
      </c>
      <c r="BH119" s="1030" cm="1" t="str">
        <f t="array" ref="BH119:BH119">BH118</f>
        <v>СН2</v>
      </c>
      <c r="BI119" s="146" cm="1" t="str">
        <f t="array" ref="BI119:BI119">BI118</f>
        <v>ПАО "Кузбассэнергосбыт" (ИНН: 4205109214, КПП: 420501001)</v>
      </c>
      <c r="BJ119" s="267"/>
      <c r="BK119" s="267"/>
    </row>
    <row s="1448" customFormat="1" customHeight="1" ht="33.75">
      <c r="A120" s="1448"/>
      <c r="B120" s="1448"/>
      <c r="C120" s="1448"/>
      <c r="D120" s="1448"/>
      <c r="E120" s="267">
        <v>11.25</v>
      </c>
      <c r="F120" s="50" cm="1" t="str">
        <f t="array" ref="F120:F120">OFFSET(E120,-1,1)</f>
        <v>2</v>
      </c>
      <c r="G120" s="126" t="s">
        <v>1600</v>
      </c>
      <c r="H120" s="126" cm="1" t="str">
        <f t="array" ref="H120:H120">H119</f>
        <v>СН2</v>
      </c>
      <c r="I120" s="1448"/>
      <c r="J120" s="1448"/>
      <c r="K120" s="1448"/>
      <c r="L120" s="1448"/>
      <c r="M120" s="1448"/>
      <c r="N120" s="1448"/>
      <c r="O120" s="1448"/>
      <c r="P120" s="1448"/>
      <c r="Q120" s="1448"/>
      <c r="R120" s="1448"/>
      <c r="S120" s="1448"/>
      <c r="T120" s="465" cm="1" t="str">
        <f t="array" ref="T120:T120">T119</f>
        <v>true</v>
      </c>
      <c r="U120" s="1448"/>
      <c r="V120" s="1448"/>
      <c r="W120" s="1448"/>
      <c r="X120" s="1448"/>
      <c r="Y120" s="1448"/>
      <c r="Z120" s="1448"/>
      <c r="AA120" s="1494"/>
      <c r="AB120" s="89" t="str">
        <f>AB116&amp;".4"</f>
        <v>7.1.4</v>
      </c>
      <c r="AC120" s="332" t="s">
        <v>1589</v>
      </c>
      <c r="AD120" s="92" t="s">
        <v>1573</v>
      </c>
      <c r="AE120" s="3359"/>
      <c r="AF120" s="3359"/>
      <c r="AG120" s="3359"/>
      <c r="AH120" s="3359"/>
      <c r="AI120" s="3359">
        <v>634.33</v>
      </c>
      <c r="AJ120" s="3359" cm="1" t="str">
        <f t="array" ref="AJ120:AJ120">AI120</f>
        <v>634.33</v>
      </c>
      <c r="AK120" s="3359" cm="1" t="str">
        <f t="array" ref="AK120:AK120">AJ120</f>
        <v>634.33</v>
      </c>
      <c r="AL120" s="3359" cm="1" t="str">
        <f t="array" ref="AL120:AL120">AK120</f>
        <v>634.33</v>
      </c>
      <c r="AM120" s="3359" cm="1" t="str">
        <f t="array" ref="AM120:AM120">AL120</f>
        <v>634.33</v>
      </c>
      <c r="AN120" s="3356"/>
      <c r="AO120" s="3356"/>
      <c r="AP120" s="3356"/>
      <c r="AQ120" s="3356"/>
      <c r="AR120" s="3356"/>
      <c r="AS120" s="3359">
        <v>634.32819</v>
      </c>
      <c r="AT120" s="3359">
        <f>AS120/AS98*AT98</f>
        <v>634.32819</v>
      </c>
      <c r="AU120" s="3359">
        <f>AT120/AT98*AU98</f>
        <v>634.32819</v>
      </c>
      <c r="AV120" s="3359">
        <f>AU120/AU98*AV98</f>
        <v>634.28582871713</v>
      </c>
      <c r="AW120" s="3359">
        <f>AV120/AV98*AW98</f>
        <v>633.538381728344</v>
      </c>
      <c r="AX120" s="3356"/>
      <c r="AY120" s="3356"/>
      <c r="AZ120" s="3356"/>
      <c r="BA120" s="3356"/>
      <c r="BB120" s="3356"/>
      <c r="BC120" s="3358" t="s">
        <v>1619</v>
      </c>
      <c r="BD120" s="1448"/>
      <c r="BE120" s="1448"/>
      <c r="BF120" s="1030" t="s">
        <v>1601</v>
      </c>
      <c r="BG120" s="1030" t="s">
        <v>1594</v>
      </c>
      <c r="BH120" s="1030" cm="1" t="str">
        <f t="array" ref="BH120:BH120">BH119</f>
        <v>СН2</v>
      </c>
      <c r="BI120" s="146" cm="1" t="str">
        <f t="array" ref="BI120:BI120">BI119</f>
        <v>ПАО "Кузбассэнергосбыт" (ИНН: 4205109214, КПП: 420501001)</v>
      </c>
      <c r="BJ120" s="267"/>
      <c r="BK120" s="267"/>
    </row>
    <row s="1448" customFormat="1" customHeight="1" ht="12.75">
      <c r="A121" s="1448"/>
      <c r="B121" s="1448"/>
      <c r="C121" s="1448"/>
      <c r="D121" s="1448"/>
      <c r="E121" s="267">
        <v>11.25</v>
      </c>
      <c r="F121" s="50" cm="1" t="str">
        <f t="array" ref="F121:F121">OFFSET(E121,-1,1)</f>
        <v>2</v>
      </c>
      <c r="G121" s="126" t="s">
        <v>1393</v>
      </c>
      <c r="H121" s="126" cm="1" t="str">
        <f t="array" ref="H121:H121">H120</f>
        <v>СН2</v>
      </c>
      <c r="I121" s="1448"/>
      <c r="J121" s="1448"/>
      <c r="K121" s="1448"/>
      <c r="L121" s="1448"/>
      <c r="M121" s="1448"/>
      <c r="N121" s="1448"/>
      <c r="O121" s="1448"/>
      <c r="P121" s="1448"/>
      <c r="Q121" s="1448"/>
      <c r="R121" s="1448"/>
      <c r="S121" s="1448"/>
      <c r="T121" s="465" cm="1" t="str">
        <f t="array" ref="T121:T121">T120</f>
        <v>true</v>
      </c>
      <c r="U121" s="1448"/>
      <c r="V121" s="1448"/>
      <c r="W121" s="1448"/>
      <c r="X121" s="1448"/>
      <c r="Y121" s="1448"/>
      <c r="Z121" s="1448"/>
      <c r="AA121" s="1494"/>
      <c r="AB121" s="89" t="str">
        <f>AB116&amp;".5"</f>
        <v>7.1.5</v>
      </c>
      <c r="AC121" s="192" t="s">
        <v>1602</v>
      </c>
      <c r="AD121" s="89" t="s">
        <v>1596</v>
      </c>
      <c r="AE121" s="3359"/>
      <c r="AF121" s="3359"/>
      <c r="AG121" s="3359"/>
      <c r="AH121" s="3359"/>
      <c r="AI121" s="3359">
        <v>2266.4</v>
      </c>
      <c r="AJ121" s="3359">
        <v>2472.64</v>
      </c>
      <c r="AK121" s="3359">
        <v>2593.8</v>
      </c>
      <c r="AL121" s="3359">
        <v>2720.9</v>
      </c>
      <c r="AM121" s="3359">
        <v>2854.22</v>
      </c>
      <c r="AN121" s="3356"/>
      <c r="AO121" s="3356"/>
      <c r="AP121" s="3356"/>
      <c r="AQ121" s="3356"/>
      <c r="AR121" s="3356"/>
      <c r="AS121" s="3359">
        <f>2306.3*1.132*AS123*12/1000</f>
        <v>2266.39881532492</v>
      </c>
      <c r="AT121" s="3359">
        <f>AS121*1.091</f>
        <v>2472.64110751949</v>
      </c>
      <c r="AU121" s="3359">
        <f>AT121*1.049</f>
        <v>2593.80052178794</v>
      </c>
      <c r="AV121" s="3359">
        <f>AU122*1.049*AV123*12/1000</f>
        <v>2720.71504224046</v>
      </c>
      <c r="AW121" s="3359">
        <f>AV122*1.049*AW123*12/1000</f>
        <v>2850.66686970961</v>
      </c>
      <c r="AX121" s="3356"/>
      <c r="AY121" s="3356"/>
      <c r="AZ121" s="3356"/>
      <c r="BA121" s="3356"/>
      <c r="BB121" s="3356"/>
      <c r="BC121" s="3358"/>
      <c r="BD121" s="1448"/>
      <c r="BE121" s="1448"/>
      <c r="BF121" s="1030" t="s">
        <v>1603</v>
      </c>
      <c r="BG121" s="1030" t="s">
        <v>1594</v>
      </c>
      <c r="BH121" s="1030" cm="1" t="str">
        <f t="array" ref="BH121:BH121">BH120</f>
        <v>СН2</v>
      </c>
      <c r="BI121" s="146" cm="1" t="str">
        <f t="array" ref="BI121:BI121">BI120</f>
        <v>ПАО "Кузбассэнергосбыт" (ИНН: 4205109214, КПП: 420501001)</v>
      </c>
      <c r="BJ121" s="267"/>
      <c r="BK121" s="267"/>
    </row>
    <row s="1448" customFormat="1" customHeight="1" ht="23.25">
      <c r="A122" s="1448"/>
      <c r="B122" s="1448"/>
      <c r="C122" s="1448"/>
      <c r="D122" s="1448"/>
      <c r="E122" s="267">
        <v>11.25</v>
      </c>
      <c r="F122" s="50" cm="1" t="str">
        <f t="array" ref="F122:F122">OFFSET(E122,-1,1)</f>
        <v>2</v>
      </c>
      <c r="G122" s="126" t="s">
        <v>1604</v>
      </c>
      <c r="H122" s="126" cm="1" t="str">
        <f t="array" ref="H122:H122">H121</f>
        <v>СН2</v>
      </c>
      <c r="I122" s="1448"/>
      <c r="J122" s="1448"/>
      <c r="K122" s="1448"/>
      <c r="L122" s="1448"/>
      <c r="M122" s="1448"/>
      <c r="N122" s="1448"/>
      <c r="O122" s="1448"/>
      <c r="P122" s="1448"/>
      <c r="Q122" s="1448"/>
      <c r="R122" s="1448"/>
      <c r="S122" s="1448"/>
      <c r="T122" s="465" cm="1" t="str">
        <f t="array" ref="T122:T122">T121</f>
        <v>true</v>
      </c>
      <c r="U122" s="1448"/>
      <c r="V122" s="1448"/>
      <c r="W122" s="1448"/>
      <c r="X122" s="1448"/>
      <c r="Y122" s="1448"/>
      <c r="Z122" s="1448"/>
      <c r="AA122" s="1494"/>
      <c r="AB122" s="89" t="str">
        <f>AB116&amp;".6"</f>
        <v>7.1.6</v>
      </c>
      <c r="AC122" s="332" t="s">
        <v>1605</v>
      </c>
      <c r="AD122" s="92" t="s">
        <v>1606</v>
      </c>
      <c r="AE122" s="142">
        <f>IF(OR(AND(AE121&lt;&gt;0,AE123=0),AND(AE121=0,AE123&lt;&gt;0)),"Ошибка",IF(AE123=0,0,AE121/AE123*1000/12))</f>
        <v>0</v>
      </c>
      <c r="AF122" s="142">
        <f>IF(OR(AND(AF121&lt;&gt;0,AF123=0),AND(AF121=0,AF123&lt;&gt;0)),"Ошибка",IF(AF123=0,0,AF121/AF123*1000/12))</f>
        <v>0</v>
      </c>
      <c r="AG122" s="142">
        <f>IF(OR(AND(AG121&lt;&gt;0,AG123=0),AND(AG121=0,AG123&lt;&gt;0)),"Ошибка",IF(AG123=0,0,AG121/AG123*1000/12))</f>
        <v>0</v>
      </c>
      <c r="AH122" s="142">
        <f>IF(OR(AND(AH121&lt;&gt;0,AH123=0),AND(AH121=0,AH123&lt;&gt;0)),"Ошибка",IF(AH123=0,0,AH121/AH123*1000/12))</f>
        <v>0</v>
      </c>
      <c r="AI122" s="142">
        <f>IF(OR(AND(AI121&lt;&gt;0,AI123=0),AND(AI121=0,AI123&lt;&gt;0)),"Ошибка",IF(AI123=0,0,AI121/AI123*1000/12))</f>
        <v>2610.73</v>
      </c>
      <c r="AJ122" s="142">
        <f>IF(OR(AND(AJ121&lt;&gt;0,AJ123=0),AND(AJ121=0,AJ123&lt;&gt;0)),"Ошибка",IF(AJ123=0,0,AJ121/AJ123*1000/12))</f>
        <v>2848.30366537239</v>
      </c>
      <c r="AK122" s="142">
        <f>IF(OR(AND(AK121&lt;&gt;0,AK123=0),AND(AK121=0,AK123&lt;&gt;0)),"Ошибка",IF(AK123=0,0,AK121/AK123*1000/12))</f>
        <v>2987.87128220967</v>
      </c>
      <c r="AL122" s="142">
        <f>IF(OR(AND(AL121&lt;&gt;0,AL123=0),AND(AL121=0,AL123&lt;&gt;0)),"Ошибка",IF(AL123=0,0,AL121/AL123*1000/12))</f>
        <v>3134.28135236498</v>
      </c>
      <c r="AM122" s="142">
        <f>IF(OR(AND(AM121&lt;&gt;0,AM123=0),AND(AM121=0,AM123&lt;&gt;0)),"Ошибка",IF(AM123=0,0,AM121/AM123*1000/12))</f>
        <v>3287.85641572537</v>
      </c>
      <c r="AN122" s="142">
        <f>IF(OR(AND(AN121&lt;&gt;0,AN123=0),AND(AN121=0,AN123&lt;&gt;0)),"Ошибка",IF(AN123=0,0,AN121/AN123*1000/12))</f>
        <v>0</v>
      </c>
      <c r="AO122" s="142">
        <f>IF(OR(AND(AO121&lt;&gt;0,AO123=0),AND(AO121=0,AO123&lt;&gt;0)),"Ошибка",IF(AO123=0,0,AO121/AO123*1000/12))</f>
        <v>0</v>
      </c>
      <c r="AP122" s="142">
        <f>IF(OR(AND(AP121&lt;&gt;0,AP123=0),AND(AP121=0,AP123&lt;&gt;0)),"Ошибка",IF(AP123=0,0,AP121/AP123*1000/12))</f>
        <v>0</v>
      </c>
      <c r="AQ122" s="142">
        <f>IF(OR(AND(AQ121&lt;&gt;0,AQ123=0),AND(AQ121=0,AQ123&lt;&gt;0)),"Ошибка",IF(AQ123=0,0,AQ121/AQ123*1000/12))</f>
        <v>0</v>
      </c>
      <c r="AR122" s="142">
        <f>IF(OR(AND(AR121&lt;&gt;0,AR123=0),AND(AR121=0,AR123&lt;&gt;0)),"Ошибка",IF(AR123=0,0,AR121/AR123*1000/12))</f>
        <v>0</v>
      </c>
      <c r="AS122" s="142">
        <f>IF(OR(AND(AS121&lt;&gt;0,AS123=0),AND(AS121=0,AS123&lt;&gt;0)),"Ошибка",IF(AS123=0,0,AS121/AS123*1000/12))</f>
        <v>2610.7316</v>
      </c>
      <c r="AT122" s="142">
        <f>IF(OR(AND(AT121&lt;&gt;0,AT123=0),AND(AT121=0,AT123&lt;&gt;0)),"Ошибка",IF(AT123=0,0,AT121/AT123*1000/12))</f>
        <v>2848.3081756</v>
      </c>
      <c r="AU122" s="142">
        <f>IF(OR(AND(AU121&lt;&gt;0,AU123=0),AND(AU121=0,AU123&lt;&gt;0)),"Ошибка",IF(AU123=0,0,AU121/AU123*1000/12))</f>
        <v>2987.87527620439</v>
      </c>
      <c r="AV122" s="142">
        <f>IF(OR(AND(AV121&lt;&gt;0,AV123=0),AND(AV121=0,AV123&lt;&gt;0)),"Ошибка",IF(AV123=0,0,AV121/AV123*1000/12))</f>
        <v>3134.28116473842</v>
      </c>
      <c r="AW122" s="142">
        <f>IF(OR(AND(AW121&lt;&gt;0,AW123=0),AND(AW121=0,AW123&lt;&gt;0)),"Ошибка",IF(AW123=0,0,AW121/AW123*1000/12))</f>
        <v>3287.8609418106</v>
      </c>
      <c r="AX122" s="142">
        <f>IF(OR(AND(AX121&lt;&gt;0,AX123=0),AND(AX121=0,AX123&lt;&gt;0)),"Ошибка",IF(AX123=0,0,AX121/AX123*1000/12))</f>
        <v>0</v>
      </c>
      <c r="AY122" s="142">
        <f>IF(OR(AND(AY121&lt;&gt;0,AY123=0),AND(AY121=0,AY123&lt;&gt;0)),"Ошибка",IF(AY123=0,0,AY121/AY123*1000/12))</f>
        <v>0</v>
      </c>
      <c r="AZ122" s="142">
        <f>IF(OR(AND(AZ121&lt;&gt;0,AZ123=0),AND(AZ121=0,AZ123&lt;&gt;0)),"Ошибка",IF(AZ123=0,0,AZ121/AZ123*1000/12))</f>
        <v>0</v>
      </c>
      <c r="BA122" s="142">
        <f>IF(OR(AND(BA121&lt;&gt;0,BA123=0),AND(BA121=0,BA123&lt;&gt;0)),"Ошибка",IF(BA123=0,0,BA121/BA123*1000/12))</f>
        <v>0</v>
      </c>
      <c r="BB122" s="142">
        <f>IF(OR(AND(BB121&lt;&gt;0,BB123=0),AND(BB121=0,BB123&lt;&gt;0)),"Ошибка",IF(BB123=0,0,BB121/BB123*1000/12))</f>
        <v>0</v>
      </c>
      <c r="BC122" s="3358" t="s">
        <v>1618</v>
      </c>
      <c r="BD122" s="1448"/>
      <c r="BE122" s="1448"/>
      <c r="BF122" s="1030" t="s">
        <v>1607</v>
      </c>
      <c r="BG122" s="1030" t="s">
        <v>1594</v>
      </c>
      <c r="BH122" s="1030" cm="1" t="str">
        <f t="array" ref="BH122:BH122">BH121</f>
        <v>СН2</v>
      </c>
      <c r="BI122" s="146" cm="1" t="str">
        <f t="array" ref="BI122:BI122">BI121</f>
        <v>ПАО "Кузбассэнергосбыт" (ИНН: 4205109214, КПП: 420501001)</v>
      </c>
      <c r="BJ122" s="267"/>
      <c r="BK122" s="267"/>
    </row>
    <row s="1448" customFormat="1" customHeight="1" ht="33.75">
      <c r="A123" s="1448"/>
      <c r="B123" s="1448"/>
      <c r="C123" s="1448"/>
      <c r="D123" s="1448"/>
      <c r="E123" s="267">
        <v>11.25</v>
      </c>
      <c r="F123" s="50" cm="1" t="str">
        <f t="array" ref="F123:F123">OFFSET(E123,-1,1)</f>
        <v>2</v>
      </c>
      <c r="G123" s="126" t="s">
        <v>1608</v>
      </c>
      <c r="H123" s="126" cm="1" t="str">
        <f t="array" ref="H123:H123">H122</f>
        <v>СН2</v>
      </c>
      <c r="I123" s="1448"/>
      <c r="J123" s="1448"/>
      <c r="K123" s="1448"/>
      <c r="L123" s="1448"/>
      <c r="M123" s="1448"/>
      <c r="N123" s="1448"/>
      <c r="O123" s="1448"/>
      <c r="P123" s="1448"/>
      <c r="Q123" s="1448"/>
      <c r="R123" s="1448"/>
      <c r="S123" s="1448"/>
      <c r="T123" s="465" cm="1" t="str">
        <f t="array" ref="T123:T123">T122</f>
        <v>true</v>
      </c>
      <c r="U123" s="1448"/>
      <c r="V123" s="1448"/>
      <c r="W123" s="1448"/>
      <c r="X123" s="1448"/>
      <c r="Y123" s="1448"/>
      <c r="Z123" s="1448"/>
      <c r="AA123" s="1494"/>
      <c r="AB123" s="89" t="str">
        <f>AB116&amp;".7"</f>
        <v>7.1.7</v>
      </c>
      <c r="AC123" s="332" t="s">
        <v>1609</v>
      </c>
      <c r="AD123" s="92" t="s">
        <v>1610</v>
      </c>
      <c r="AE123" s="3359"/>
      <c r="AF123" s="3359"/>
      <c r="AG123" s="3359"/>
      <c r="AH123" s="3359"/>
      <c r="AI123" s="3359">
        <f>AI121/2610.73/12*1000</f>
        <v>72.3424738163911</v>
      </c>
      <c r="AJ123" s="3359" cm="1" t="str">
        <f t="array" ref="AJ123:AJ123">AI123</f>
        <v>72.3424738163911</v>
      </c>
      <c r="AK123" s="3359" cm="1" t="str">
        <f t="array" ref="AK123:AK123">AJ123</f>
        <v>72.3424738163911</v>
      </c>
      <c r="AL123" s="3359" cm="1" t="str">
        <f t="array" ref="AL123:AL123">AK123</f>
        <v>72.3424738163911</v>
      </c>
      <c r="AM123" s="3359" cm="1" t="str">
        <f t="array" ref="AM123:AM123">AL123</f>
        <v>72.3424738163911</v>
      </c>
      <c r="AN123" s="3356"/>
      <c r="AO123" s="3356"/>
      <c r="AP123" s="3356"/>
      <c r="AQ123" s="3356"/>
      <c r="AR123" s="3356"/>
      <c r="AS123" s="3359">
        <f>0.8681087/12*1000</f>
        <v>72.3423916666667</v>
      </c>
      <c r="AT123" s="3359">
        <f>AS123/AS120*AT120</f>
        <v>72.3423916666667</v>
      </c>
      <c r="AU123" s="3359">
        <f>AT123/AT120*AU120</f>
        <v>72.3423916666667</v>
      </c>
      <c r="AV123" s="3359">
        <f>AU123/AU120*AV120</f>
        <v>72.3375605452296</v>
      </c>
      <c r="AW123" s="3359">
        <f>AV123/AV120*AW120</f>
        <v>72.2523174428967</v>
      </c>
      <c r="AX123" s="3356"/>
      <c r="AY123" s="3356"/>
      <c r="AZ123" s="3356"/>
      <c r="BA123" s="3356"/>
      <c r="BB123" s="3356"/>
      <c r="BC123" s="3358" t="s">
        <v>1620</v>
      </c>
      <c r="BD123" s="1448"/>
      <c r="BE123" s="1448"/>
      <c r="BF123" s="1030" t="s">
        <v>1611</v>
      </c>
      <c r="BG123" s="1030" t="s">
        <v>1594</v>
      </c>
      <c r="BH123" s="1030" cm="1" t="str">
        <f t="array" ref="BH123:BH123">BH122</f>
        <v>СН2</v>
      </c>
      <c r="BI123" s="146" cm="1" t="str">
        <f t="array" ref="BI123:BI123">BI122</f>
        <v>ПАО "Кузбассэнергосбыт" (ИНН: 4205109214, КПП: 420501001)</v>
      </c>
      <c r="BJ123" s="267"/>
      <c r="BK123" s="267"/>
    </row>
    <row s="1426" customFormat="1" customHeight="1" ht="14.25">
      <c r="A124" s="1426"/>
      <c r="B124" s="427"/>
      <c r="C124" s="483"/>
      <c r="D124" s="1426"/>
      <c r="E124" s="633">
        <v>15</v>
      </c>
      <c r="F124" s="50" cm="1" t="str">
        <f t="array" ref="F124:F124">OFFSET(E124,-1,1)</f>
        <v>2</v>
      </c>
      <c r="G124" s="1426"/>
      <c r="H124" s="957" t="s">
        <v>1612</v>
      </c>
      <c r="I124" s="1426"/>
      <c r="J124" s="1426"/>
      <c r="K124" s="1426"/>
      <c r="L124" s="1426"/>
      <c r="M124" s="1426"/>
      <c r="N124" s="1426"/>
      <c r="O124" s="1426"/>
      <c r="P124" s="1426"/>
      <c r="Q124" s="1426"/>
      <c r="R124" s="1426"/>
      <c r="S124" s="1426"/>
      <c r="T124" s="465">
        <f>F124&gt;0</f>
        <v>1</v>
      </c>
      <c r="U124" s="1426"/>
      <c r="V124" s="1426"/>
      <c r="W124" s="757" t="s">
        <v>1613</v>
      </c>
      <c r="X124" s="1543"/>
      <c r="Y124" s="1426"/>
      <c r="Z124" s="1565"/>
      <c r="AA124" s="1426"/>
      <c r="AB124" s="175"/>
      <c r="AC124" s="178" t="s">
        <v>1614</v>
      </c>
      <c r="AD124" s="176"/>
      <c r="AE124" s="176"/>
      <c r="AF124" s="176"/>
      <c r="AG124" s="176"/>
      <c r="AH124" s="176"/>
      <c r="AI124" s="176"/>
      <c r="AJ124" s="176"/>
      <c r="AK124" s="176"/>
      <c r="AL124" s="176"/>
      <c r="AM124" s="176"/>
      <c r="AN124" s="176"/>
      <c r="AO124" s="176"/>
      <c r="AP124" s="176"/>
      <c r="AQ124" s="176"/>
      <c r="AR124" s="176"/>
      <c r="AS124" s="176"/>
      <c r="AT124" s="176"/>
      <c r="AU124" s="176"/>
      <c r="AV124" s="176"/>
      <c r="AW124" s="176"/>
      <c r="AX124" s="176"/>
      <c r="AY124" s="176"/>
      <c r="AZ124" s="176"/>
      <c r="BA124" s="176"/>
      <c r="BB124" s="176"/>
      <c r="BC124" s="187"/>
      <c r="BD124" s="1426"/>
      <c r="BE124" s="1426"/>
      <c r="BF124" s="1018"/>
      <c r="BG124" s="1018"/>
      <c r="BH124" s="1018"/>
      <c r="BI124" s="1426"/>
      <c r="BJ124" s="633" t="s">
        <v>1594</v>
      </c>
      <c r="BK124" s="633"/>
    </row>
    <row s="3388" customFormat="1" customHeight="1" ht="14.25">
      <c r="A125" s="1446"/>
      <c r="B125" s="429"/>
      <c r="C125" s="485"/>
      <c r="D125" s="1446"/>
      <c r="E125" s="632">
        <v>15</v>
      </c>
      <c r="F125" s="98" cm="1" t="str">
        <f t="array" ref="F125:F125">X125</f>
        <v>3</v>
      </c>
      <c r="G125" s="98"/>
      <c r="H125" s="98"/>
      <c r="I125" s="1446"/>
      <c r="J125" s="1446"/>
      <c r="K125" s="1446"/>
      <c r="L125" s="1446"/>
      <c r="M125" s="1446"/>
      <c r="N125" s="1446"/>
      <c r="O125" s="1446"/>
      <c r="P125" s="1446"/>
      <c r="Q125" s="1446"/>
      <c r="R125" s="1446"/>
      <c r="S125" s="1446"/>
      <c r="T125" s="465">
        <f>X125&gt;0</f>
        <v>1</v>
      </c>
      <c r="U125" s="1446"/>
      <c r="V125" s="144" cm="1" t="str">
        <f t="array" ref="V125:V125">'Сырье и материалы'!$AB$111</f>
        <v>Тариф 3 (Водоотведение) - тариф на водоотведение (Доп. признак не требуется)</v>
      </c>
      <c r="W125" s="1446"/>
      <c r="X125" s="1543" t="s">
        <v>289</v>
      </c>
      <c r="Y125" s="1446"/>
      <c r="Z125" s="1565"/>
      <c r="AA125" s="1446"/>
      <c r="AB125" s="183" cm="1" t="str">
        <f t="array" ref="AB125:AB125">'Сырье и материалы'!$AB$111</f>
        <v>Тариф 3 (Водоотведение) - тариф на водоотведение (Доп. признак не требуется)</v>
      </c>
      <c r="AC125" s="180"/>
      <c r="AD125" s="174"/>
      <c r="AE125" s="174"/>
      <c r="AF125" s="174"/>
      <c r="AG125" s="174"/>
      <c r="AH125" s="174"/>
      <c r="AI125" s="174"/>
      <c r="AJ125" s="174"/>
      <c r="AK125" s="174"/>
      <c r="AL125" s="174"/>
      <c r="AM125" s="174"/>
      <c r="AN125" s="174"/>
      <c r="AO125" s="174"/>
      <c r="AP125" s="174"/>
      <c r="AQ125" s="174"/>
      <c r="AR125" s="174"/>
      <c r="AS125" s="174"/>
      <c r="AT125" s="174"/>
      <c r="AU125" s="174"/>
      <c r="AV125" s="174"/>
      <c r="AW125" s="174"/>
      <c r="AX125" s="174"/>
      <c r="AY125" s="174"/>
      <c r="AZ125" s="174"/>
      <c r="BA125" s="174"/>
      <c r="BB125" s="174"/>
      <c r="BC125" s="174"/>
      <c r="BD125" s="1446"/>
      <c r="BE125" s="1446"/>
      <c r="BF125" s="1013"/>
      <c r="BG125" s="1013"/>
      <c r="BH125" s="1013"/>
      <c r="BI125" s="1446"/>
      <c r="BJ125" s="630"/>
      <c r="BK125" s="630"/>
    </row>
    <row s="1448" customFormat="1" customHeight="1" ht="149.25">
      <c r="A126" s="1812"/>
      <c r="B126" s="429"/>
      <c r="C126" s="483"/>
      <c r="D126" s="956"/>
      <c r="E126" s="267">
        <v>11.25</v>
      </c>
      <c r="F126" s="50" cm="1" t="str">
        <f t="array" ref="F126:F126">OFFSET(E126,-1,1)</f>
        <v>3</v>
      </c>
      <c r="G126" s="126" t="s">
        <v>332</v>
      </c>
      <c r="H126" s="126"/>
      <c r="I126" s="1812"/>
      <c r="J126" s="1812"/>
      <c r="K126" s="483" t="str">
        <f>F126&amp;"komm"</f>
        <v>3komm</v>
      </c>
      <c r="L126" s="917" cm="1" t="str">
        <f t="array" ref="L126:L126">BC126</f>
        <v>В соответствии с п. 20 Методических указаний расходы регулируемой организации на приобретаемые электрическую энергию (мощность), тепловую энергию (мощность), другие виды энергетических ресурсов, холодную воду, теплоноситель определяются как сумма произведений расчетных экономически (технологически, технически) обоснованных объемов приобретаемых электрической энергии (мощности), тепловой энергии (мощности), других видов энергетических ресурсов холодной воды на соответственно плановые (расчетные) цены (тарифы) на электрическую энергию (мощность), тепловую энергию (мощность), другие виды энергетических ресурсов, холодную воду. Объемы приобретаемой электрической энергии (мощности), тепловой энергии (мощности) определяются с учетом показателей надежности, качества, энергетической эффективности в сфере водоснабжения и (или) водоотведения, определенных в установленном порядке.</v>
      </c>
      <c r="M126" s="1812"/>
      <c r="N126" s="1812"/>
      <c r="O126" s="1812"/>
      <c r="P126" s="1812"/>
      <c r="Q126" s="1812"/>
      <c r="R126" s="1812"/>
      <c r="S126" s="1812"/>
      <c r="T126" s="465" cm="1" t="str">
        <f t="array" ref="T126:T126">T125</f>
        <v>true</v>
      </c>
      <c r="U126" s="1812"/>
      <c r="V126" s="1812"/>
      <c r="W126" s="1812"/>
      <c r="X126" s="1543"/>
      <c r="Y126" s="1812"/>
      <c r="Z126" s="1565"/>
      <c r="AA126" s="1812"/>
      <c r="AB126" s="89" t="s">
        <v>276</v>
      </c>
      <c r="AC126" s="138" t="s">
        <v>1513</v>
      </c>
      <c r="AD126" s="89" t="s">
        <v>1514</v>
      </c>
      <c r="AE126" s="191">
        <f>IF(COUNTIF(AE131:AE158,"Ошибка")&gt;0,"Ошибка",SUMIF($AD131:$AD158,$AD126,AE131:AE158))</f>
        <v>0</v>
      </c>
      <c r="AF126" s="191">
        <f>IF(COUNTIF(AF131:AF158,"Ошибка")&gt;0,"Ошибка",SUMIF($AD131:$AD158,$AD126,AF131:AF158))</f>
        <v>0</v>
      </c>
      <c r="AG126" s="191">
        <f>IF(COUNTIF(AG131:AG158,"Ошибка")&gt;0,"Ошибка",SUMIF($AD131:$AD158,$AD126,AG131:AG158))</f>
        <v>0</v>
      </c>
      <c r="AH126" s="191">
        <f>IF(COUNTIF(AH131:AH158,"Ошибка")&gt;0,"Ошибка",SUMIF($AD131:$AD158,$AD126,AH131:AH158))</f>
        <v>0</v>
      </c>
      <c r="AI126" s="191">
        <f>IF(COUNTIF(AI131:AI158,"Ошибка")&gt;0,"Ошибка",SUMIF($AD131:$AD158,$AD126,AI131:AI158))</f>
        <v>23644.503378224</v>
      </c>
      <c r="AJ126" s="191">
        <f>IF(COUNTIF(AJ131:AJ158,"Ошибка")&gt;0,"Ошибка",SUMIF($AD131:$AD158,$AD126,AJ131:AJ158))</f>
        <v>25796.1531856423</v>
      </c>
      <c r="AK126" s="191">
        <f>IF(COUNTIF(AK131:AK158,"Ошибка")&gt;0,"Ошибка",SUMIF($AD131:$AD158,$AD126,AK131:AK158))</f>
        <v>27060.1646917388</v>
      </c>
      <c r="AL126" s="191">
        <f>IF(COUNTIF(AL131:AL158,"Ошибка")&gt;0,"Ошибка",SUMIF($AD131:$AD158,$AD126,AL131:AL158))</f>
        <v>28386.112761634</v>
      </c>
      <c r="AM126" s="191">
        <f>IF(COUNTIF(AM131:AM158,"Ошибка")&gt;0,"Ошибка",SUMIF($AD131:$AD158,$AD126,AM131:AM158))</f>
        <v>29777.032286954</v>
      </c>
      <c r="AN126" s="191">
        <f>IF(COUNTIF(AN131:AN158,"Ошибка")&gt;0,"Ошибка",SUMIF($AD131:$AD158,$AD126,AN131:AN158))</f>
        <v>0</v>
      </c>
      <c r="AO126" s="191">
        <f>IF(COUNTIF(AO131:AO158,"Ошибка")&gt;0,"Ошибка",SUMIF($AD131:$AD158,$AD126,AO131:AO158))</f>
        <v>0</v>
      </c>
      <c r="AP126" s="191">
        <f>IF(COUNTIF(AP131:AP158,"Ошибка")&gt;0,"Ошибка",SUMIF($AD131:$AD158,$AD126,AP131:AP158))</f>
        <v>0</v>
      </c>
      <c r="AQ126" s="191">
        <f>IF(COUNTIF(AQ131:AQ158,"Ошибка")&gt;0,"Ошибка",SUMIF($AD131:$AD158,$AD126,AQ131:AQ158))</f>
        <v>0</v>
      </c>
      <c r="AR126" s="191">
        <f>IF(COUNTIF(AR131:AR158,"Ошибка")&gt;0,"Ошибка",SUMIF($AD131:$AD158,$AD126,AR131:AR158))</f>
        <v>0</v>
      </c>
      <c r="AS126" s="191">
        <f>IF(COUNTIF(AS131:AS158,"Ошибка")&gt;0,"Ошибка",SUMIF($AD131:$AD158,$AD126,AS131:AS158))</f>
        <v>23644.503378224</v>
      </c>
      <c r="AT126" s="191">
        <f>IF(COUNTIF(AT131:AT158,"Ошибка")&gt;0,"Ошибка",SUMIF($AD131:$AD158,$AD126,AT131:AT158))</f>
        <v>25796.1531856423</v>
      </c>
      <c r="AU126" s="191">
        <f>IF(COUNTIF(AU131:AU158,"Ошибка")&gt;0,"Ошибка",SUMIF($AD131:$AD158,$AD126,AU131:AU158))</f>
        <v>27060.1646917388</v>
      </c>
      <c r="AV126" s="191">
        <f>IF(COUNTIF(AV131:AV158,"Ошибка")&gt;0,"Ошибка",SUMIF($AD131:$AD158,$AD126,AV131:AV158))</f>
        <v>28386.112761634</v>
      </c>
      <c r="AW126" s="191">
        <f>IF(COUNTIF(AW131:AW158,"Ошибка")&gt;0,"Ошибка",SUMIF($AD131:$AD158,$AD126,AW131:AW158))</f>
        <v>29777.032286954</v>
      </c>
      <c r="AX126" s="191">
        <f>IF(COUNTIF(AX131:AX158,"Ошибка")&gt;0,"Ошибка",SUMIF($AD131:$AD158,$AD126,AX131:AX158))</f>
        <v>0</v>
      </c>
      <c r="AY126" s="191">
        <f>IF(COUNTIF(AY131:AY158,"Ошибка")&gt;0,"Ошибка",SUMIF($AD131:$AD158,$AD126,AY131:AY158))</f>
        <v>0</v>
      </c>
      <c r="AZ126" s="191">
        <f>IF(COUNTIF(AZ131:AZ158,"Ошибка")&gt;0,"Ошибка",SUMIF($AD131:$AD158,$AD126,AZ131:AZ158))</f>
        <v>0</v>
      </c>
      <c r="BA126" s="191">
        <f>IF(COUNTIF(BA131:BA158,"Ошибка")&gt;0,"Ошибка",SUMIF($AD131:$AD158,$AD126,BA131:BA158))</f>
        <v>0</v>
      </c>
      <c r="BB126" s="191">
        <f>IF(COUNTIF(BB131:BB158,"Ошибка")&gt;0,"Ошибка",SUMIF($AD131:$AD158,$AD126,BB131:BB158))</f>
        <v>0</v>
      </c>
      <c r="BC126" s="200" t="s">
        <v>1615</v>
      </c>
      <c r="BD126" s="1812"/>
      <c r="BE126" s="1812"/>
      <c r="BF126" s="1030" t="s">
        <v>1571</v>
      </c>
      <c r="BG126" s="1030"/>
      <c r="BH126" s="1030"/>
      <c r="BI126" s="1812"/>
      <c r="BJ126" s="267"/>
      <c r="BK126" s="267"/>
    </row>
    <row s="1448" customFormat="1" customHeight="1" ht="10.5">
      <c r="A127" s="1812"/>
      <c r="B127" s="429"/>
      <c r="C127" s="483"/>
      <c r="D127" s="1812"/>
      <c r="E127" s="267">
        <v>11.25</v>
      </c>
      <c r="F127" s="50" cm="1" t="str">
        <f t="array" ref="F127:F127">OFFSET(E127,-1,1)</f>
        <v>3</v>
      </c>
      <c r="G127" s="126" t="s">
        <v>333</v>
      </c>
      <c r="H127" s="126"/>
      <c r="I127" s="1812"/>
      <c r="J127" s="1812"/>
      <c r="K127" s="1812"/>
      <c r="L127" s="1812"/>
      <c r="M127" s="1812"/>
      <c r="N127" s="1812"/>
      <c r="O127" s="1812"/>
      <c r="P127" s="1812"/>
      <c r="Q127" s="1812"/>
      <c r="R127" s="1812"/>
      <c r="S127" s="1812"/>
      <c r="T127" s="465" cm="1" t="str">
        <f t="array" ref="T127:T127">T126</f>
        <v>true</v>
      </c>
      <c r="U127" s="1812"/>
      <c r="V127" s="1812"/>
      <c r="W127" s="1812"/>
      <c r="X127" s="1543"/>
      <c r="Y127" s="1812"/>
      <c r="Z127" s="1565"/>
      <c r="AA127" s="1812"/>
      <c r="AB127" s="89" t="s">
        <v>285</v>
      </c>
      <c r="AC127" s="138" t="s">
        <v>1572</v>
      </c>
      <c r="AD127" s="92" t="s">
        <v>1573</v>
      </c>
      <c r="AE127" s="191">
        <f>SUMIF(AD131:AD158,AD127,AE131:AE158)</f>
        <v>0</v>
      </c>
      <c r="AF127" s="191">
        <f>SUMIF(AD131:AD158,AD127,AF131:AF158)</f>
        <v>0</v>
      </c>
      <c r="AG127" s="191">
        <f>SUMIF(AD131:AD158,AD127,AG131:AG158)</f>
        <v>0</v>
      </c>
      <c r="AH127" s="191">
        <f>SUMIF(AD131:AD158,AD127,AH131:AH158)</f>
        <v>0</v>
      </c>
      <c r="AI127" s="191">
        <f>SUMIF(AD131:AD158,AD127,AI131:AI158)</f>
        <v>3992.93116114</v>
      </c>
      <c r="AJ127" s="191">
        <f>SUMIF(AD131:AD158,AD127,AJ131:AJ158)</f>
        <v>3992.93116114</v>
      </c>
      <c r="AK127" s="191">
        <f>SUMIF(AD131:AD158,AD127,AK131:AK158)</f>
        <v>3992.93116114</v>
      </c>
      <c r="AL127" s="191">
        <f>SUMIF(AD131:AD158,AD127,AL131:AL158)</f>
        <v>3992.93116114</v>
      </c>
      <c r="AM127" s="191">
        <f>SUMIF(AD131:AD158,AD127,AM131:AM158)</f>
        <v>3992.93116114</v>
      </c>
      <c r="AN127" s="191">
        <f>SUMIF(AD131:AD158,AD127,AN131:AN158)</f>
        <v>0</v>
      </c>
      <c r="AO127" s="191">
        <f>SUMIF(AD131:AD158,AD127,AO131:AO158)</f>
        <v>0</v>
      </c>
      <c r="AP127" s="191">
        <f>SUMIF(AD131:AD158,AD127,AP131:AP158)</f>
        <v>0</v>
      </c>
      <c r="AQ127" s="191">
        <f>SUMIF(AD131:AD158,AD127,AQ131:AQ158)</f>
        <v>0</v>
      </c>
      <c r="AR127" s="191">
        <f>SUMIF(AD131:AD158,AD127,AR131:AR158)</f>
        <v>0</v>
      </c>
      <c r="AS127" s="191">
        <f>SUMIF(AD131:AD158,AD127,AS131:AS158)</f>
        <v>3992.93116114</v>
      </c>
      <c r="AT127" s="191">
        <f>SUMIF(AD131:AD158,AD127,AT131:AT158)</f>
        <v>3992.93116114</v>
      </c>
      <c r="AU127" s="191">
        <f>SUMIF(AD131:AD158,AD127,AU131:AU158)</f>
        <v>3992.93116114</v>
      </c>
      <c r="AV127" s="191">
        <f>SUMIF(AD131:AD158,AD127,AV131:AV158)</f>
        <v>3992.93116114</v>
      </c>
      <c r="AW127" s="191">
        <f>SUMIF(AD131:AD158,AD127,AW131:AW158)</f>
        <v>3992.93116114</v>
      </c>
      <c r="AX127" s="191">
        <f>SUMIF(AD131:AD158,AD127,AX131:AX158)</f>
        <v>0</v>
      </c>
      <c r="AY127" s="191">
        <f>SUMIF(AD131:AD158,AD127,AY131:AY158)</f>
        <v>0</v>
      </c>
      <c r="AZ127" s="191">
        <f>SUMIF(AD131:AD158,AD127,AZ131:AZ158)</f>
        <v>0</v>
      </c>
      <c r="BA127" s="191">
        <f>SUMIF(AD131:AD158,AD127,BA131:BA158)</f>
        <v>0</v>
      </c>
      <c r="BB127" s="191">
        <f>SUMIF(AD131:AD158,AD127,BB131:BB158)</f>
        <v>0</v>
      </c>
      <c r="BC127" s="200"/>
      <c r="BD127" s="1812"/>
      <c r="BE127" s="1812"/>
      <c r="BF127" s="1030" t="s">
        <v>1574</v>
      </c>
      <c r="BG127" s="1030"/>
      <c r="BH127" s="1030"/>
      <c r="BI127" s="1812"/>
      <c r="BJ127" s="267"/>
      <c r="BK127" s="267"/>
    </row>
    <row s="1448" customFormat="1" customHeight="1" ht="10.5">
      <c r="A128" s="1812"/>
      <c r="B128" s="429"/>
      <c r="C128" s="483"/>
      <c r="D128" s="1812"/>
      <c r="E128" s="267">
        <v>11.25</v>
      </c>
      <c r="F128" s="50" cm="1" t="str">
        <f t="array" ref="F128:F128">OFFSET(E128,-1,1)</f>
        <v>3</v>
      </c>
      <c r="G128" s="126" t="s">
        <v>334</v>
      </c>
      <c r="H128" s="126"/>
      <c r="I128" s="1812"/>
      <c r="J128" s="1812"/>
      <c r="K128" s="1812"/>
      <c r="L128" s="1812"/>
      <c r="M128" s="1812"/>
      <c r="N128" s="1812"/>
      <c r="O128" s="1812"/>
      <c r="P128" s="1812"/>
      <c r="Q128" s="1812"/>
      <c r="R128" s="1812"/>
      <c r="S128" s="1812"/>
      <c r="T128" s="465" cm="1" t="str">
        <f t="array" ref="T128:T128">T127</f>
        <v>true</v>
      </c>
      <c r="U128" s="1812"/>
      <c r="V128" s="1812"/>
      <c r="W128" s="1812"/>
      <c r="X128" s="1543"/>
      <c r="Y128" s="1812"/>
      <c r="Z128" s="1565"/>
      <c r="AA128" s="1812"/>
      <c r="AB128" s="89" t="s">
        <v>289</v>
      </c>
      <c r="AC128" s="138" t="s">
        <v>1575</v>
      </c>
      <c r="AD128" s="92" t="s">
        <v>1576</v>
      </c>
      <c r="AE128" s="239"/>
      <c r="AF128" s="239"/>
      <c r="AG128" s="239"/>
      <c r="AH128" s="239"/>
      <c r="AI128" s="239" cm="1" t="str">
        <f t="array" ref="AI128:AI128">Баланс!AI373</f>
        <v>4094.206</v>
      </c>
      <c r="AJ128" s="239" cm="1" t="str">
        <f t="array" ref="AJ128:AJ128">Баланс!AJ373</f>
        <v>4094.206</v>
      </c>
      <c r="AK128" s="239" cm="1" t="str">
        <f t="array" ref="AK128:AK128">Баланс!AK373</f>
        <v>4094.206</v>
      </c>
      <c r="AL128" s="239" cm="1" t="str">
        <f t="array" ref="AL128:AL128">Баланс!AL373</f>
        <v>4094.206</v>
      </c>
      <c r="AM128" s="239" cm="1" t="str">
        <f t="array" ref="AM128:AM128">Баланс!AM373</f>
        <v>4094.206</v>
      </c>
      <c r="AN128" s="3246"/>
      <c r="AO128" s="3246"/>
      <c r="AP128" s="3246"/>
      <c r="AQ128" s="3246"/>
      <c r="AR128" s="3246"/>
      <c r="AS128" s="239" cm="1" t="str">
        <f t="array" ref="AS128:AS128">Баланс!AS373</f>
        <v>4094.206</v>
      </c>
      <c r="AT128" s="239" cm="1" t="str">
        <f t="array" ref="AT128:AT128">Баланс!AT373</f>
        <v>4094.206</v>
      </c>
      <c r="AU128" s="239" cm="1" t="str">
        <f t="array" ref="AU128:AU128">Баланс!AU373</f>
        <v>4094.206</v>
      </c>
      <c r="AV128" s="239" cm="1" t="str">
        <f t="array" ref="AV128:AV128">Баланс!AV373</f>
        <v>4094.206</v>
      </c>
      <c r="AW128" s="239" cm="1" t="str">
        <f t="array" ref="AW128:AW128">Баланс!AW373</f>
        <v>4094.206</v>
      </c>
      <c r="AX128" s="3246"/>
      <c r="AY128" s="3246"/>
      <c r="AZ128" s="3246"/>
      <c r="BA128" s="3246"/>
      <c r="BB128" s="3246"/>
      <c r="BC128" s="200"/>
      <c r="BD128" s="1812"/>
      <c r="BE128" s="1812"/>
      <c r="BF128" s="1030" t="s">
        <v>1577</v>
      </c>
      <c r="BG128" s="1030"/>
      <c r="BH128" s="1030"/>
      <c r="BI128" s="1812"/>
      <c r="BJ128" s="267"/>
      <c r="BK128" s="267"/>
    </row>
    <row s="1448" customFormat="1" customHeight="1" ht="10.5">
      <c r="A129" s="1812"/>
      <c r="B129" s="429"/>
      <c r="C129" s="483"/>
      <c r="D129" s="1812"/>
      <c r="E129" s="267">
        <v>11.25</v>
      </c>
      <c r="F129" s="50" cm="1" t="str">
        <f t="array" ref="F129:F129">OFFSET(E129,-1,1)</f>
        <v>3</v>
      </c>
      <c r="G129" s="126" t="s">
        <v>336</v>
      </c>
      <c r="H129" s="126"/>
      <c r="I129" s="1812"/>
      <c r="J129" s="1812"/>
      <c r="K129" s="1812"/>
      <c r="L129" s="1812"/>
      <c r="M129" s="1812"/>
      <c r="N129" s="1812"/>
      <c r="O129" s="1812"/>
      <c r="P129" s="1812"/>
      <c r="Q129" s="1812"/>
      <c r="R129" s="1812"/>
      <c r="S129" s="1812"/>
      <c r="T129" s="465" cm="1" t="str">
        <f t="array" ref="T129:T129">T128</f>
        <v>true</v>
      </c>
      <c r="U129" s="1812"/>
      <c r="V129" s="1812"/>
      <c r="W129" s="1812"/>
      <c r="X129" s="1543"/>
      <c r="Y129" s="1812"/>
      <c r="Z129" s="1565"/>
      <c r="AA129" s="1812"/>
      <c r="AB129" s="89" t="s">
        <v>295</v>
      </c>
      <c r="AC129" s="138" t="s">
        <v>1578</v>
      </c>
      <c r="AD129" s="92" t="s">
        <v>1579</v>
      </c>
      <c r="AE129" s="191">
        <f>IF(AE127=0,0,AE126/AE127)</f>
        <v>0</v>
      </c>
      <c r="AF129" s="191">
        <f>IF(AF127=0,0,AF126/AF127)</f>
        <v>0</v>
      </c>
      <c r="AG129" s="191">
        <f>IF(AG127=0,0,AG126/AG127)</f>
        <v>0</v>
      </c>
      <c r="AH129" s="191">
        <f>IF(AH127=0,0,AH126/AH127)</f>
        <v>0</v>
      </c>
      <c r="AI129" s="191">
        <f>IF(AI127=0,0,AI126/AI127)</f>
        <v>5.92159053688103</v>
      </c>
      <c r="AJ129" s="191">
        <f>IF(AJ127=0,0,AJ126/AJ127)</f>
        <v>6.46045527573718</v>
      </c>
      <c r="AK129" s="191">
        <f>IF(AK127=0,0,AK126/AK127)</f>
        <v>6.77701758424831</v>
      </c>
      <c r="AL129" s="191">
        <f>IF(AL127=0,0,AL126/AL127)</f>
        <v>7.10909144587648</v>
      </c>
      <c r="AM129" s="191">
        <f>IF(AM127=0,0,AM126/AM127)</f>
        <v>7.45743692672441</v>
      </c>
      <c r="AN129" s="191">
        <f>IF(AN127=0,0,AN126/AN127)</f>
        <v>0</v>
      </c>
      <c r="AO129" s="191">
        <f>IF(AO127=0,0,AO126/AO127)</f>
        <v>0</v>
      </c>
      <c r="AP129" s="191">
        <f>IF(AP127=0,0,AP126/AP127)</f>
        <v>0</v>
      </c>
      <c r="AQ129" s="191">
        <f>IF(AQ127=0,0,AQ126/AQ127)</f>
        <v>0</v>
      </c>
      <c r="AR129" s="191">
        <f>IF(AR127=0,0,AR126/AR127)</f>
        <v>0</v>
      </c>
      <c r="AS129" s="191">
        <f>IF(AS127=0,0,AS126/AS127)</f>
        <v>5.92159053688103</v>
      </c>
      <c r="AT129" s="191">
        <f>IF(AT127=0,0,AT126/AT127)</f>
        <v>6.46045527573718</v>
      </c>
      <c r="AU129" s="191">
        <f>IF(AU127=0,0,AU126/AU127)</f>
        <v>6.77701758424831</v>
      </c>
      <c r="AV129" s="191">
        <f>IF(AV127=0,0,AV126/AV127)</f>
        <v>7.10909144587648</v>
      </c>
      <c r="AW129" s="191">
        <f>IF(AW127=0,0,AW126/AW127)</f>
        <v>7.45743692672441</v>
      </c>
      <c r="AX129" s="191">
        <f>IF(AX127=0,0,AX126/AX127)</f>
        <v>0</v>
      </c>
      <c r="AY129" s="191">
        <f>IF(AY127=0,0,AY126/AY127)</f>
        <v>0</v>
      </c>
      <c r="AZ129" s="191">
        <f>IF(AZ127=0,0,AZ126/AZ127)</f>
        <v>0</v>
      </c>
      <c r="BA129" s="191">
        <f>IF(BA127=0,0,BA126/BA127)</f>
        <v>0</v>
      </c>
      <c r="BB129" s="191">
        <f>IF(BB127=0,0,BB126/BB127)</f>
        <v>0</v>
      </c>
      <c r="BC129" s="200"/>
      <c r="BD129" s="1812"/>
      <c r="BE129" s="1812"/>
      <c r="BF129" s="1030" t="s">
        <v>1580</v>
      </c>
      <c r="BG129" s="1030"/>
      <c r="BH129" s="1030"/>
      <c r="BI129" s="1812"/>
      <c r="BJ129" s="267"/>
      <c r="BK129" s="267"/>
    </row>
    <row s="1448" customFormat="1" customHeight="1" ht="10.5">
      <c r="A130" s="1812"/>
      <c r="B130" s="429"/>
      <c r="C130" s="483"/>
      <c r="D130" s="1812"/>
      <c r="E130" s="267">
        <v>11.25</v>
      </c>
      <c r="F130" s="50" cm="1" t="str">
        <f t="array" ref="F130:F130">OFFSET(E130,-1,1)</f>
        <v>3</v>
      </c>
      <c r="G130" s="126" t="s">
        <v>335</v>
      </c>
      <c r="H130" s="126"/>
      <c r="I130" s="1812"/>
      <c r="J130" s="1812"/>
      <c r="K130" s="1812"/>
      <c r="L130" s="1812"/>
      <c r="M130" s="1812"/>
      <c r="N130" s="1812"/>
      <c r="O130" s="1812"/>
      <c r="P130" s="1812"/>
      <c r="Q130" s="1812"/>
      <c r="R130" s="1812"/>
      <c r="S130" s="1812"/>
      <c r="T130" s="465" cm="1" t="str">
        <f t="array" ref="T130:T130">T129</f>
        <v>true</v>
      </c>
      <c r="U130" s="1812"/>
      <c r="V130" s="1812"/>
      <c r="W130" s="1812"/>
      <c r="X130" s="1543"/>
      <c r="Y130" s="1812"/>
      <c r="Z130" s="1565"/>
      <c r="AA130" s="1812"/>
      <c r="AB130" s="89" t="s">
        <v>443</v>
      </c>
      <c r="AC130" s="138" t="s">
        <v>1581</v>
      </c>
      <c r="AD130" s="92" t="s">
        <v>1582</v>
      </c>
      <c r="AE130" s="315">
        <f>IF(AE128=0,0,AE127/AE128)</f>
        <v>0</v>
      </c>
      <c r="AF130" s="315">
        <f>IF(AF128=0,0,AF127/AF128)</f>
        <v>0</v>
      </c>
      <c r="AG130" s="315">
        <f>IF(AG128=0,0,AG127/AG128)</f>
        <v>0</v>
      </c>
      <c r="AH130" s="315">
        <f>IF(AH128=0,0,AH127/AH128)</f>
        <v>0</v>
      </c>
      <c r="AI130" s="315">
        <f>IF(AI128=0,0,AI127/AI128)</f>
        <v>0.975263863405994</v>
      </c>
      <c r="AJ130" s="315">
        <f>IF(AJ128=0,0,AJ127/AJ128)</f>
        <v>0.975263863405994</v>
      </c>
      <c r="AK130" s="315">
        <f>IF(AK128=0,0,AK127/AK128)</f>
        <v>0.975263863405994</v>
      </c>
      <c r="AL130" s="315">
        <f>IF(AL128=0,0,AL127/AL128)</f>
        <v>0.975263863405994</v>
      </c>
      <c r="AM130" s="315">
        <f>IF(AM128=0,0,AM127/AM128)</f>
        <v>0.975263863405994</v>
      </c>
      <c r="AN130" s="315">
        <f>IF(AN128=0,0,AN127/AN128)</f>
        <v>0</v>
      </c>
      <c r="AO130" s="315">
        <f>IF(AO128=0,0,AO127/AO128)</f>
        <v>0</v>
      </c>
      <c r="AP130" s="315">
        <f>IF(AP128=0,0,AP127/AP128)</f>
        <v>0</v>
      </c>
      <c r="AQ130" s="315">
        <f>IF(AQ128=0,0,AQ127/AQ128)</f>
        <v>0</v>
      </c>
      <c r="AR130" s="315">
        <f>IF(AR128=0,0,AR127/AR128)</f>
        <v>0</v>
      </c>
      <c r="AS130" s="315">
        <f>IF(AS128=0,0,AS127/AS128)</f>
        <v>0.975263863405994</v>
      </c>
      <c r="AT130" s="315">
        <f>IF(AT128=0,0,AT127/AT128)</f>
        <v>0.975263863405994</v>
      </c>
      <c r="AU130" s="315">
        <f>IF(AU128=0,0,AU127/AU128)</f>
        <v>0.975263863405994</v>
      </c>
      <c r="AV130" s="315">
        <f>IF(AV128=0,0,AV127/AV128)</f>
        <v>0.975263863405994</v>
      </c>
      <c r="AW130" s="315">
        <f>IF(AW128=0,0,AW127/AW128)</f>
        <v>0.975263863405994</v>
      </c>
      <c r="AX130" s="315">
        <f>IF(AX128=0,0,AX127/AX128)</f>
        <v>0</v>
      </c>
      <c r="AY130" s="315">
        <f>IF(AY128=0,0,AY127/AY128)</f>
        <v>0</v>
      </c>
      <c r="AZ130" s="315">
        <f>IF(AZ128=0,0,AZ127/AZ128)</f>
        <v>0</v>
      </c>
      <c r="BA130" s="315">
        <f>IF(BA128=0,0,BA127/BA128)</f>
        <v>0</v>
      </c>
      <c r="BB130" s="315">
        <f>IF(BB128=0,0,BB127/BB128)</f>
        <v>0</v>
      </c>
      <c r="BC130" s="200" t="s">
        <v>1483</v>
      </c>
      <c r="BD130" s="1812"/>
      <c r="BE130" s="1812"/>
      <c r="BF130" s="1030" t="s">
        <v>1583</v>
      </c>
      <c r="BG130" s="1030"/>
      <c r="BH130" s="1030"/>
      <c r="BI130" s="1812"/>
      <c r="BJ130" s="267"/>
      <c r="BK130" s="267"/>
    </row>
    <row s="1448" customFormat="1" customHeight="1" ht="12">
      <c r="A131" s="1812"/>
      <c r="B131" s="429"/>
      <c r="C131" s="483"/>
      <c r="D131" s="1812"/>
      <c r="E131" s="267">
        <v>13</v>
      </c>
      <c r="F131" s="50" cm="1" t="str">
        <f t="array" ref="F131:F131">OFFSET(E131,-1,1)</f>
        <v>3</v>
      </c>
      <c r="G131" s="126"/>
      <c r="H131" s="126"/>
      <c r="I131" s="1812"/>
      <c r="J131" s="1812"/>
      <c r="K131" s="1812"/>
      <c r="L131" s="1812"/>
      <c r="M131" s="1812"/>
      <c r="N131" s="1812"/>
      <c r="O131" s="1812"/>
      <c r="P131" s="1812"/>
      <c r="Q131" s="1812"/>
      <c r="R131" s="1812"/>
      <c r="S131" s="1812"/>
      <c r="T131" s="465" cm="1" t="str">
        <f t="array" ref="T131:T131">T130</f>
        <v>true</v>
      </c>
      <c r="U131" s="1812"/>
      <c r="V131" s="1812"/>
      <c r="W131" s="1812"/>
      <c r="X131" s="1543"/>
      <c r="Y131" s="1812"/>
      <c r="Z131" s="1565"/>
      <c r="AA131" s="1812"/>
      <c r="AB131" s="652"/>
      <c r="AC131" s="266" t="s">
        <v>1584</v>
      </c>
      <c r="AD131" s="267"/>
      <c r="AE131" s="268"/>
      <c r="AF131" s="268"/>
      <c r="AG131" s="268"/>
      <c r="AH131" s="268"/>
      <c r="AI131" s="268"/>
      <c r="AJ131" s="268"/>
      <c r="AK131" s="268"/>
      <c r="AL131" s="268"/>
      <c r="AM131" s="268"/>
      <c r="AN131" s="268"/>
      <c r="AO131" s="268"/>
      <c r="AP131" s="268"/>
      <c r="AQ131" s="268"/>
      <c r="AR131" s="268"/>
      <c r="AS131" s="268"/>
      <c r="AT131" s="268"/>
      <c r="AU131" s="268"/>
      <c r="AV131" s="268"/>
      <c r="AW131" s="268"/>
      <c r="AX131" s="268"/>
      <c r="AY131" s="268"/>
      <c r="AZ131" s="268"/>
      <c r="BA131" s="268"/>
      <c r="BB131" s="268"/>
      <c r="BC131" s="269"/>
      <c r="BD131" s="1812"/>
      <c r="BE131" s="1812"/>
      <c r="BF131" s="1030"/>
      <c r="BG131" s="1030"/>
      <c r="BH131" s="1030"/>
      <c r="BI131" s="1812"/>
      <c r="BJ131" s="267"/>
      <c r="BK131" s="267"/>
    </row>
    <row s="1834" customFormat="1" customHeight="1" ht="10.5" hidden="1">
      <c r="E132" s="267">
        <v>11</v>
      </c>
      <c r="F132" s="1175" cm="1" t="str">
        <f t="array" ref="F132:F132">OFFSET(E132,-1,1)</f>
        <v>3</v>
      </c>
      <c r="T132" s="465">
        <f>AND(F132&gt;0,Y132&gt;0)</f>
        <v>0</v>
      </c>
      <c r="W132" s="717" t="s">
        <v>174</v>
      </c>
      <c r="Y132" s="1641">
        <v>0</v>
      </c>
      <c r="AA132" s="1648" t="s">
        <v>175</v>
      </c>
      <c r="AB132" s="89" t="str">
        <f>"6."&amp;Y132</f>
        <v>6.0</v>
      </c>
      <c r="AC132" s="1695"/>
      <c r="AD132" s="89"/>
      <c r="BF132" s="1030"/>
      <c r="BG132" s="1030"/>
      <c r="BH132" s="1030"/>
      <c r="BI132" s="1030"/>
      <c r="BJ132" s="267"/>
      <c r="BK132" s="267"/>
    </row>
    <row s="1448" customFormat="1" customHeight="1" ht="10.5" hidden="1">
      <c r="E133" s="267">
        <v>11.25</v>
      </c>
      <c r="F133" s="50" cm="1" t="str">
        <f t="array" ref="F133:F133">OFFSET(E133,-1,1)</f>
        <v>3</v>
      </c>
      <c r="G133" s="126" t="s">
        <v>1225</v>
      </c>
      <c r="H133" s="126" cm="1" t="str">
        <f t="array" ref="H133:H133">AC133</f>
        <v>0</v>
      </c>
      <c r="T133" s="465" cm="1" t="str">
        <f t="array" ref="T133:T133">T132</f>
        <v>false</v>
      </c>
      <c r="Y133" s="1543">
        <v>0</v>
      </c>
      <c r="AA133" s="1494" t="s">
        <v>175</v>
      </c>
      <c r="AB133" s="89" t="str">
        <f>AB132&amp;".1"</f>
        <v>6.0.1</v>
      </c>
      <c r="AC133" s="3389"/>
      <c r="AD133" s="89" t="s">
        <v>1514</v>
      </c>
      <c r="AE133" s="3390"/>
      <c r="AF133" s="3390"/>
      <c r="AG133" s="3390"/>
      <c r="AH133" s="3390"/>
      <c r="AI133" s="3390"/>
      <c r="AJ133" s="3390"/>
      <c r="AK133" s="3390"/>
      <c r="AL133" s="3390"/>
      <c r="AM133" s="3390"/>
      <c r="AN133" s="3390"/>
      <c r="AO133" s="3390"/>
      <c r="AP133" s="3390"/>
      <c r="AQ133" s="3390"/>
      <c r="AR133" s="3390"/>
      <c r="AS133" s="3390"/>
      <c r="AT133" s="3390"/>
      <c r="AU133" s="3390"/>
      <c r="AV133" s="3390"/>
      <c r="AW133" s="3390"/>
      <c r="AX133" s="3390"/>
      <c r="AY133" s="3390"/>
      <c r="AZ133" s="3390"/>
      <c r="BA133" s="3390"/>
      <c r="BB133" s="3390"/>
      <c r="BC133" s="3391"/>
      <c r="BF133" s="1030" t="s">
        <v>1585</v>
      </c>
      <c r="BG133" s="1030" t="s">
        <v>1586</v>
      </c>
      <c r="BH133" s="1030" cm="1" t="str">
        <f t="array" ref="BH133:BH133">AC133</f>
        <v>0</v>
      </c>
      <c r="BI133" s="146" cm="1" t="str">
        <f t="array" ref="BI133:BI133">AC132</f>
        <v>0</v>
      </c>
      <c r="BJ133" s="267"/>
      <c r="BK133" s="267" t="b">
        <v>1</v>
      </c>
    </row>
    <row s="1448" customFormat="1" customHeight="1" ht="10.5" hidden="1">
      <c r="E134" s="267">
        <v>11.25</v>
      </c>
      <c r="F134" s="50" cm="1" t="str">
        <f t="array" ref="F134:F134">OFFSET(E134,-1,1)</f>
        <v>3</v>
      </c>
      <c r="G134" s="126" t="s">
        <v>1383</v>
      </c>
      <c r="H134" s="126" cm="1" t="str">
        <f t="array" ref="H134:H134">H133</f>
        <v>0</v>
      </c>
      <c r="T134" s="465" cm="1" t="str">
        <f t="array" ref="T134:T134">T133</f>
        <v>false</v>
      </c>
      <c r="AA134" s="1494"/>
      <c r="AB134" s="89" t="str">
        <f>AB132&amp;".2"</f>
        <v>6.0.2</v>
      </c>
      <c r="AC134" s="192" t="s">
        <v>1587</v>
      </c>
      <c r="AD134" s="92" t="s">
        <v>1579</v>
      </c>
      <c r="AE134" s="142">
        <f>IF(OR(AND(AE133&lt;&gt;0,AE135=0),AND(AE133=0,AE135&lt;&gt;0)),"Ошибка",IF(AE135=0,0,AE133/AE135))</f>
        <v>0</v>
      </c>
      <c r="AF134" s="142">
        <f>IF(OR(AND(AF133&lt;&gt;0,AF135=0),AND(AF133=0,AF135&lt;&gt;0)),"Ошибка",IF(AF135=0,0,AF133/AF135))</f>
        <v>0</v>
      </c>
      <c r="AG134" s="142">
        <f>IF(OR(AND(AG133&lt;&gt;0,AG135=0),AND(AG133=0,AG135&lt;&gt;0)),"Ошибка",IF(AG135=0,0,AG133/AG135))</f>
        <v>0</v>
      </c>
      <c r="AH134" s="142">
        <f>IF(OR(AND(AH133&lt;&gt;0,AH135=0),AND(AH133=0,AH135&lt;&gt;0)),"Ошибка",IF(AH135=0,0,AH133/AH135))</f>
        <v>0</v>
      </c>
      <c r="AI134" s="142">
        <f>IF(OR(AND(AI133&lt;&gt;0,AI135=0),AND(AI133=0,AI135&lt;&gt;0)),"Ошибка",IF(AI135=0,0,AI133/AI135))</f>
        <v>0</v>
      </c>
      <c r="AJ134" s="142">
        <f>IF(OR(AND(AJ133&lt;&gt;0,AJ135=0),AND(AJ133=0,AJ135&lt;&gt;0)),"Ошибка",IF(AJ135=0,0,AJ133/AJ135))</f>
        <v>0</v>
      </c>
      <c r="AK134" s="142">
        <f>IF(OR(AND(AK133&lt;&gt;0,AK135=0),AND(AK133=0,AK135&lt;&gt;0)),"Ошибка",IF(AK135=0,0,AK133/AK135))</f>
        <v>0</v>
      </c>
      <c r="AL134" s="142">
        <f>IF(OR(AND(AL133&lt;&gt;0,AL135=0),AND(AL133=0,AL135&lt;&gt;0)),"Ошибка",IF(AL135=0,0,AL133/AL135))</f>
        <v>0</v>
      </c>
      <c r="AM134" s="142">
        <f>IF(OR(AND(AM133&lt;&gt;0,AM135=0),AND(AM133=0,AM135&lt;&gt;0)),"Ошибка",IF(AM135=0,0,AM133/AM135))</f>
        <v>0</v>
      </c>
      <c r="AN134" s="142">
        <f>IF(OR(AND(AN133&lt;&gt;0,AN135=0),AND(AN133=0,AN135&lt;&gt;0)),"Ошибка",IF(AN135=0,0,AN133/AN135))</f>
        <v>0</v>
      </c>
      <c r="AO134" s="142">
        <f>IF(OR(AND(AO133&lt;&gt;0,AO135=0),AND(AO133=0,AO135&lt;&gt;0)),"Ошибка",IF(AO135=0,0,AO133/AO135))</f>
        <v>0</v>
      </c>
      <c r="AP134" s="142">
        <f>IF(OR(AND(AP133&lt;&gt;0,AP135=0),AND(AP133=0,AP135&lt;&gt;0)),"Ошибка",IF(AP135=0,0,AP133/AP135))</f>
        <v>0</v>
      </c>
      <c r="AQ134" s="142">
        <f>IF(OR(AND(AQ133&lt;&gt;0,AQ135=0),AND(AQ133=0,AQ135&lt;&gt;0)),"Ошибка",IF(AQ135=0,0,AQ133/AQ135))</f>
        <v>0</v>
      </c>
      <c r="AR134" s="142">
        <f>IF(OR(AND(AR133&lt;&gt;0,AR135=0),AND(AR133=0,AR135&lt;&gt;0)),"Ошибка",IF(AR135=0,0,AR133/AR135))</f>
        <v>0</v>
      </c>
      <c r="AS134" s="142">
        <f>IF(OR(AND(AS133&lt;&gt;0,AS135=0),AND(AS133=0,AS135&lt;&gt;0)),"Ошибка",IF(AS135=0,0,AS133/AS135))</f>
        <v>0</v>
      </c>
      <c r="AT134" s="142">
        <f>IF(OR(AND(AT133&lt;&gt;0,AT135=0),AND(AT133=0,AT135&lt;&gt;0)),"Ошибка",IF(AT135=0,0,AT133/AT135))</f>
        <v>0</v>
      </c>
      <c r="AU134" s="142">
        <f>IF(OR(AND(AU133&lt;&gt;0,AU135=0),AND(AU133=0,AU135&lt;&gt;0)),"Ошибка",IF(AU135=0,0,AU133/AU135))</f>
        <v>0</v>
      </c>
      <c r="AV134" s="142">
        <f>IF(OR(AND(AV133&lt;&gt;0,AV135=0),AND(AV133=0,AV135&lt;&gt;0)),"Ошибка",IF(AV135=0,0,AV133/AV135))</f>
        <v>0</v>
      </c>
      <c r="AW134" s="142">
        <f>IF(OR(AND(AW133&lt;&gt;0,AW135=0),AND(AW133=0,AW135&lt;&gt;0)),"Ошибка",IF(AW135=0,0,AW133/AW135))</f>
        <v>0</v>
      </c>
      <c r="AX134" s="142">
        <f>IF(OR(AND(AX133&lt;&gt;0,AX135=0),AND(AX133=0,AX135&lt;&gt;0)),"Ошибка",IF(AX135=0,0,AX133/AX135))</f>
        <v>0</v>
      </c>
      <c r="AY134" s="142">
        <f>IF(OR(AND(AY133&lt;&gt;0,AY135=0),AND(AY133=0,AY135&lt;&gt;0)),"Ошибка",IF(AY135=0,0,AY133/AY135))</f>
        <v>0</v>
      </c>
      <c r="AZ134" s="142">
        <f>IF(OR(AND(AZ133&lt;&gt;0,AZ135=0),AND(AZ133=0,AZ135&lt;&gt;0)),"Ошибка",IF(AZ135=0,0,AZ133/AZ135))</f>
        <v>0</v>
      </c>
      <c r="BA134" s="142">
        <f>IF(OR(AND(BA133&lt;&gt;0,BA135=0),AND(BA133=0,BA135&lt;&gt;0)),"Ошибка",IF(BA135=0,0,BA133/BA135))</f>
        <v>0</v>
      </c>
      <c r="BB134" s="142">
        <f>IF(OR(AND(BB133&lt;&gt;0,BB135=0),AND(BB133=0,BB135&lt;&gt;0)),"Ошибка",IF(BB135=0,0,BB133/BB135))</f>
        <v>0</v>
      </c>
      <c r="BC134" s="3391"/>
      <c r="BF134" s="1030" t="s">
        <v>1588</v>
      </c>
      <c r="BG134" s="1030" t="s">
        <v>1586</v>
      </c>
      <c r="BH134" s="1030" cm="1" t="str">
        <f t="array" ref="BH134:BH134">BH133</f>
        <v>0</v>
      </c>
      <c r="BI134" s="146" cm="1" t="str">
        <f t="array" ref="BI134:BI134">BI133</f>
        <v>0</v>
      </c>
      <c r="BJ134" s="267"/>
      <c r="BK134" s="267"/>
    </row>
    <row s="1448" customFormat="1" customHeight="1" ht="10.5" hidden="1">
      <c r="E135" s="267">
        <v>11.25</v>
      </c>
      <c r="F135" s="50" cm="1" t="str">
        <f t="array" ref="F135:F135">OFFSET(E135,-1,1)</f>
        <v>3</v>
      </c>
      <c r="G135" s="126" t="s">
        <v>1386</v>
      </c>
      <c r="H135" s="126" cm="1" t="str">
        <f t="array" ref="H135:H135">H134</f>
        <v>0</v>
      </c>
      <c r="T135" s="465" cm="1" t="str">
        <f t="array" ref="T135:T135">T134</f>
        <v>false</v>
      </c>
      <c r="AA135" s="1494"/>
      <c r="AB135" s="89" t="str">
        <f>AB132&amp;".3"</f>
        <v>6.0.3</v>
      </c>
      <c r="AC135" s="192" t="s">
        <v>1589</v>
      </c>
      <c r="AD135" s="92" t="s">
        <v>1573</v>
      </c>
      <c r="AE135" s="3390"/>
      <c r="AF135" s="3390"/>
      <c r="AG135" s="3390"/>
      <c r="AH135" s="3390"/>
      <c r="AI135" s="3390"/>
      <c r="AJ135" s="3390"/>
      <c r="AK135" s="3390"/>
      <c r="AL135" s="3390"/>
      <c r="AM135" s="3390"/>
      <c r="AN135" s="3390"/>
      <c r="AO135" s="3390"/>
      <c r="AP135" s="3390"/>
      <c r="AQ135" s="3390"/>
      <c r="AR135" s="3390"/>
      <c r="AS135" s="3390"/>
      <c r="AT135" s="3390"/>
      <c r="AU135" s="3390"/>
      <c r="AV135" s="3390"/>
      <c r="AW135" s="3390"/>
      <c r="AX135" s="3390"/>
      <c r="AY135" s="3390"/>
      <c r="AZ135" s="3390"/>
      <c r="BA135" s="3390"/>
      <c r="BB135" s="3390"/>
      <c r="BC135" s="3391"/>
      <c r="BF135" s="1030" t="s">
        <v>1590</v>
      </c>
      <c r="BG135" s="1030" t="s">
        <v>1586</v>
      </c>
      <c r="BH135" s="1030" cm="1" t="str">
        <f t="array" ref="BH135:BH135">BH134</f>
        <v>0</v>
      </c>
      <c r="BI135" s="146" cm="1" t="str">
        <f t="array" ref="BI135:BI135">BI134</f>
        <v>0</v>
      </c>
      <c r="BJ135" s="267"/>
      <c r="BK135" s="267"/>
    </row>
    <row s="1834" customFormat="1" customHeight="1" ht="23.25">
      <c r="A136" s="1834"/>
      <c r="B136" s="1834"/>
      <c r="C136" s="1834"/>
      <c r="D136" s="1834"/>
      <c r="E136" s="267">
        <v>11</v>
      </c>
      <c r="F136" s="1175" cm="1" t="str">
        <f t="array" ref="F136:F136">OFFSET(E136,-1,1)</f>
        <v>3</v>
      </c>
      <c r="G136" s="1834"/>
      <c r="H136" s="1834"/>
      <c r="I136" s="1834"/>
      <c r="J136" s="1834"/>
      <c r="K136" s="1834"/>
      <c r="L136" s="1834"/>
      <c r="M136" s="1834"/>
      <c r="N136" s="1834"/>
      <c r="O136" s="1834"/>
      <c r="P136" s="1834"/>
      <c r="Q136" s="1834"/>
      <c r="R136" s="1834"/>
      <c r="S136" s="1834"/>
      <c r="T136" s="465">
        <f>AND(F136&gt;0,Y136&gt;0)</f>
        <v>1</v>
      </c>
      <c r="U136" s="1834"/>
      <c r="V136" s="1834"/>
      <c r="W136" s="717"/>
      <c r="X136" s="1834"/>
      <c r="Y136" s="1641" t="s">
        <v>276</v>
      </c>
      <c r="Z136" s="1834"/>
      <c r="AA136" s="1648" t="s">
        <v>175</v>
      </c>
      <c r="AB136" s="89" t="str">
        <f>"6."&amp;Y136</f>
        <v>6.1</v>
      </c>
      <c r="AC136" s="1695" t="s">
        <v>1616</v>
      </c>
      <c r="AD136" s="89"/>
      <c r="AE136" s="1834"/>
      <c r="AF136" s="1834"/>
      <c r="AG136" s="1834"/>
      <c r="AH136" s="1834"/>
      <c r="AI136" s="1834"/>
      <c r="AJ136" s="1834"/>
      <c r="AK136" s="1834"/>
      <c r="AL136" s="1834"/>
      <c r="AM136" s="1834"/>
      <c r="AN136" s="1834"/>
      <c r="AO136" s="1834"/>
      <c r="AP136" s="1834"/>
      <c r="AQ136" s="1834"/>
      <c r="AR136" s="1834"/>
      <c r="AS136" s="1834"/>
      <c r="AT136" s="1834"/>
      <c r="AU136" s="1834"/>
      <c r="AV136" s="1834"/>
      <c r="AW136" s="1834"/>
      <c r="AX136" s="1834"/>
      <c r="AY136" s="1834"/>
      <c r="AZ136" s="1834"/>
      <c r="BA136" s="1834"/>
      <c r="BB136" s="1834"/>
      <c r="BC136" s="1834"/>
      <c r="BD136" s="1834"/>
      <c r="BE136" s="1834"/>
      <c r="BF136" s="1030"/>
      <c r="BG136" s="1030"/>
      <c r="BH136" s="1030"/>
      <c r="BI136" s="1030"/>
      <c r="BJ136" s="267"/>
      <c r="BK136" s="267"/>
    </row>
    <row s="1448" customFormat="1" customHeight="1" ht="10.5">
      <c r="A137" s="1448"/>
      <c r="B137" s="1448"/>
      <c r="C137" s="1448"/>
      <c r="D137" s="1448"/>
      <c r="E137" s="267">
        <v>11.25</v>
      </c>
      <c r="F137" s="50" cm="1" t="str">
        <f t="array" ref="F137:F137">OFFSET(E137,-1,1)</f>
        <v>3</v>
      </c>
      <c r="G137" s="126" t="s">
        <v>1225</v>
      </c>
      <c r="H137" s="126" cm="1" t="str">
        <f t="array" ref="H137:H137">AC137</f>
        <v>НН</v>
      </c>
      <c r="I137" s="1448"/>
      <c r="J137" s="1448"/>
      <c r="K137" s="1448"/>
      <c r="L137" s="1448"/>
      <c r="M137" s="1448"/>
      <c r="N137" s="1448"/>
      <c r="O137" s="1448"/>
      <c r="P137" s="1448"/>
      <c r="Q137" s="1448"/>
      <c r="R137" s="1448"/>
      <c r="S137" s="1448"/>
      <c r="T137" s="465" cm="1" t="str">
        <f t="array" ref="T137:T137">T136</f>
        <v>true</v>
      </c>
      <c r="U137" s="1448"/>
      <c r="V137" s="1448"/>
      <c r="W137" s="1448"/>
      <c r="X137" s="1448"/>
      <c r="Y137" s="1543">
        <v>0</v>
      </c>
      <c r="Z137" s="1448"/>
      <c r="AA137" s="1494" t="s">
        <v>175</v>
      </c>
      <c r="AB137" s="89" t="str">
        <f>AB136&amp;".1"</f>
        <v>6.1.1</v>
      </c>
      <c r="AC137" s="3392" t="s">
        <v>1617</v>
      </c>
      <c r="AD137" s="89" t="s">
        <v>1514</v>
      </c>
      <c r="AE137" s="3393"/>
      <c r="AF137" s="3393"/>
      <c r="AG137" s="3393"/>
      <c r="AH137" s="3393"/>
      <c r="AI137" s="3393">
        <v>123.344082034664</v>
      </c>
      <c r="AJ137" s="3393">
        <v>134.568393499819</v>
      </c>
      <c r="AK137" s="3393">
        <v>141.16224478131</v>
      </c>
      <c r="AL137" s="3393">
        <v>148.079194775594</v>
      </c>
      <c r="AM137" s="3393">
        <v>155.335075319599</v>
      </c>
      <c r="AN137" s="3390"/>
      <c r="AO137" s="3390"/>
      <c r="AP137" s="3390"/>
      <c r="AQ137" s="3390"/>
      <c r="AR137" s="3390"/>
      <c r="AS137" s="3393">
        <f>8.4981*1.132*AS139</f>
        <v>123.344082034664</v>
      </c>
      <c r="AT137" s="3393">
        <f>AS138*1.091*AT139</f>
        <v>134.568393499819</v>
      </c>
      <c r="AU137" s="3393">
        <f>AT138*1.049*AU139</f>
        <v>141.16224478131</v>
      </c>
      <c r="AV137" s="3393">
        <f>AU138*1.049*AV139</f>
        <v>148.079194775594</v>
      </c>
      <c r="AW137" s="3393">
        <f>AV138*1.049*AW139</f>
        <v>155.335075319599</v>
      </c>
      <c r="AX137" s="3390"/>
      <c r="AY137" s="3390"/>
      <c r="AZ137" s="3390"/>
      <c r="BA137" s="3390"/>
      <c r="BB137" s="3390"/>
      <c r="BC137" s="3394"/>
      <c r="BD137" s="1448"/>
      <c r="BE137" s="1448"/>
      <c r="BF137" s="1030" t="s">
        <v>1585</v>
      </c>
      <c r="BG137" s="1030" t="s">
        <v>1586</v>
      </c>
      <c r="BH137" s="1030" cm="1" t="str">
        <f t="array" ref="BH137:BH137">AC137</f>
        <v>НН</v>
      </c>
      <c r="BI137" s="146" cm="1" t="str">
        <f t="array" ref="BI137:BI137">AC136</f>
        <v>ПАО "Кузбассэнергосбыт" (ИНН: 4205109214, КПП: 420501001)</v>
      </c>
      <c r="BJ137" s="267"/>
      <c r="BK137" s="267" t="b">
        <v>1</v>
      </c>
    </row>
    <row s="1448" customFormat="1" customHeight="1" ht="23.25">
      <c r="A138" s="1448"/>
      <c r="B138" s="1448"/>
      <c r="C138" s="1448"/>
      <c r="D138" s="1448"/>
      <c r="E138" s="267">
        <v>11.25</v>
      </c>
      <c r="F138" s="50" cm="1" t="str">
        <f t="array" ref="F138:F138">OFFSET(E138,-1,1)</f>
        <v>3</v>
      </c>
      <c r="G138" s="126" t="s">
        <v>1383</v>
      </c>
      <c r="H138" s="126" cm="1" t="str">
        <f t="array" ref="H138:H138">H137</f>
        <v>НН</v>
      </c>
      <c r="I138" s="1448"/>
      <c r="J138" s="1448"/>
      <c r="K138" s="1448"/>
      <c r="L138" s="1448"/>
      <c r="M138" s="1448"/>
      <c r="N138" s="1448"/>
      <c r="O138" s="1448"/>
      <c r="P138" s="1448"/>
      <c r="Q138" s="1448"/>
      <c r="R138" s="1448"/>
      <c r="S138" s="1448"/>
      <c r="T138" s="465" cm="1" t="str">
        <f t="array" ref="T138:T138">T137</f>
        <v>true</v>
      </c>
      <c r="U138" s="1448"/>
      <c r="V138" s="1448"/>
      <c r="W138" s="1448"/>
      <c r="X138" s="1448"/>
      <c r="Y138" s="1448"/>
      <c r="Z138" s="1448"/>
      <c r="AA138" s="1494"/>
      <c r="AB138" s="89" t="str">
        <f>AB136&amp;".2"</f>
        <v>6.1.2</v>
      </c>
      <c r="AC138" s="192" t="s">
        <v>1587</v>
      </c>
      <c r="AD138" s="92" t="s">
        <v>1579</v>
      </c>
      <c r="AE138" s="142">
        <f>IF(OR(AND(AE137&lt;&gt;0,AE139=0),AND(AE137=0,AE139&lt;&gt;0)),"Ошибка",IF(AE139=0,0,AE137/AE139))</f>
        <v>0</v>
      </c>
      <c r="AF138" s="142">
        <f>IF(OR(AND(AF137&lt;&gt;0,AF139=0),AND(AF137=0,AF139&lt;&gt;0)),"Ошибка",IF(AF139=0,0,AF137/AF139))</f>
        <v>0</v>
      </c>
      <c r="AG138" s="142">
        <f>IF(OR(AND(AG137&lt;&gt;0,AG139=0),AND(AG137=0,AG139&lt;&gt;0)),"Ошибка",IF(AG139=0,0,AG137/AG139))</f>
        <v>0</v>
      </c>
      <c r="AH138" s="142">
        <f>IF(OR(AND(AH137&lt;&gt;0,AH139=0),AND(AH137=0,AH139&lt;&gt;0)),"Ошибка",IF(AH139=0,0,AH137/AH139))</f>
        <v>0</v>
      </c>
      <c r="AI138" s="142">
        <f>IF(OR(AND(AI137&lt;&gt;0,AI139=0),AND(AI137=0,AI139&lt;&gt;0)),"Ошибка",IF(AI139=0,0,AI137/AI139))</f>
        <v>9.61984919999999</v>
      </c>
      <c r="AJ138" s="142">
        <f>IF(OR(AND(AJ137&lt;&gt;0,AJ139=0),AND(AJ137=0,AJ139&lt;&gt;0)),"Ошибка",IF(AJ139=0,0,AJ137/AJ139))</f>
        <v>10.4952554772</v>
      </c>
      <c r="AK138" s="142">
        <f>IF(OR(AND(AK137&lt;&gt;0,AK139=0),AND(AK137=0,AK139&lt;&gt;0)),"Ошибка",IF(AK139=0,0,AK137/AK139))</f>
        <v>11.0095229955828</v>
      </c>
      <c r="AL138" s="142">
        <f>IF(OR(AND(AL137&lt;&gt;0,AL139=0),AND(AL137=0,AL139&lt;&gt;0)),"Ошибка",IF(AL139=0,0,AL137/AL139))</f>
        <v>11.5489896223664</v>
      </c>
      <c r="AM138" s="142">
        <f>IF(OR(AND(AM137&lt;&gt;0,AM139=0),AND(AM137=0,AM139&lt;&gt;0)),"Ошибка",IF(AM139=0,0,AM137/AM139))</f>
        <v>12.1148901138624</v>
      </c>
      <c r="AN138" s="142">
        <f>IF(OR(AND(AN137&lt;&gt;0,AN139=0),AND(AN137=0,AN139&lt;&gt;0)),"Ошибка",IF(AN139=0,0,AN137/AN139))</f>
        <v>0</v>
      </c>
      <c r="AO138" s="142">
        <f>IF(OR(AND(AO137&lt;&gt;0,AO139=0),AND(AO137=0,AO139&lt;&gt;0)),"Ошибка",IF(AO139=0,0,AO137/AO139))</f>
        <v>0</v>
      </c>
      <c r="AP138" s="142">
        <f>IF(OR(AND(AP137&lt;&gt;0,AP139=0),AND(AP137=0,AP139&lt;&gt;0)),"Ошибка",IF(AP139=0,0,AP137/AP139))</f>
        <v>0</v>
      </c>
      <c r="AQ138" s="142">
        <f>IF(OR(AND(AQ137&lt;&gt;0,AQ139=0),AND(AQ137=0,AQ139&lt;&gt;0)),"Ошибка",IF(AQ139=0,0,AQ137/AQ139))</f>
        <v>0</v>
      </c>
      <c r="AR138" s="142">
        <f>IF(OR(AND(AR137&lt;&gt;0,AR139=0),AND(AR137=0,AR139&lt;&gt;0)),"Ошибка",IF(AR139=0,0,AR137/AR139))</f>
        <v>0</v>
      </c>
      <c r="AS138" s="142">
        <f>IF(OR(AND(AS137&lt;&gt;0,AS139=0),AND(AS137=0,AS139&lt;&gt;0)),"Ошибка",IF(AS139=0,0,AS137/AS139))</f>
        <v>9.61984919999999</v>
      </c>
      <c r="AT138" s="142">
        <f>IF(OR(AND(AT137&lt;&gt;0,AT139=0),AND(AT137=0,AT139&lt;&gt;0)),"Ошибка",IF(AT139=0,0,AT137/AT139))</f>
        <v>10.4952554772</v>
      </c>
      <c r="AU138" s="142">
        <f>IF(OR(AND(AU137&lt;&gt;0,AU139=0),AND(AU137=0,AU139&lt;&gt;0)),"Ошибка",IF(AU139=0,0,AU137/AU139))</f>
        <v>11.0095229955828</v>
      </c>
      <c r="AV138" s="142">
        <f>IF(OR(AND(AV137&lt;&gt;0,AV139=0),AND(AV137=0,AV139&lt;&gt;0)),"Ошибка",IF(AV139=0,0,AV137/AV139))</f>
        <v>11.5489896223664</v>
      </c>
      <c r="AW138" s="142">
        <f>IF(OR(AND(AW137&lt;&gt;0,AW139=0),AND(AW137=0,AW139&lt;&gt;0)),"Ошибка",IF(AW139=0,0,AW137/AW139))</f>
        <v>12.1148901138624</v>
      </c>
      <c r="AX138" s="142">
        <f>IF(OR(AND(AX137&lt;&gt;0,AX139=0),AND(AX137=0,AX139&lt;&gt;0)),"Ошибка",IF(AX139=0,0,AX137/AX139))</f>
        <v>0</v>
      </c>
      <c r="AY138" s="142">
        <f>IF(OR(AND(AY137&lt;&gt;0,AY139=0),AND(AY137=0,AY139&lt;&gt;0)),"Ошибка",IF(AY139=0,0,AY137/AY139))</f>
        <v>0</v>
      </c>
      <c r="AZ138" s="142">
        <f>IF(OR(AND(AZ137&lt;&gt;0,AZ139=0),AND(AZ137=0,AZ139&lt;&gt;0)),"Ошибка",IF(AZ139=0,0,AZ137/AZ139))</f>
        <v>0</v>
      </c>
      <c r="BA138" s="142">
        <f>IF(OR(AND(BA137&lt;&gt;0,BA139=0),AND(BA137=0,BA139&lt;&gt;0)),"Ошибка",IF(BA139=0,0,BA137/BA139))</f>
        <v>0</v>
      </c>
      <c r="BB138" s="142">
        <f>IF(OR(AND(BB137&lt;&gt;0,BB139=0),AND(BB137=0,BB139&lt;&gt;0)),"Ошибка",IF(BB139=0,0,BB137/BB139))</f>
        <v>0</v>
      </c>
      <c r="BC138" s="3394" t="s">
        <v>1618</v>
      </c>
      <c r="BD138" s="1448"/>
      <c r="BE138" s="1448"/>
      <c r="BF138" s="1030" t="s">
        <v>1588</v>
      </c>
      <c r="BG138" s="1030" t="s">
        <v>1586</v>
      </c>
      <c r="BH138" s="1030" cm="1" t="str">
        <f t="array" ref="BH138:BH138">BH137</f>
        <v>НН</v>
      </c>
      <c r="BI138" s="146" cm="1" t="str">
        <f t="array" ref="BI138:BI138">BI137</f>
        <v>ПАО "Кузбассэнергосбыт" (ИНН: 4205109214, КПП: 420501001)</v>
      </c>
      <c r="BJ138" s="267"/>
      <c r="BK138" s="267"/>
    </row>
    <row s="1448" customFormat="1" customHeight="1" ht="33.75">
      <c r="A139" s="1448"/>
      <c r="B139" s="1448"/>
      <c r="C139" s="1448"/>
      <c r="D139" s="1448"/>
      <c r="E139" s="267">
        <v>11.25</v>
      </c>
      <c r="F139" s="50" cm="1" t="str">
        <f t="array" ref="F139:F139">OFFSET(E139,-1,1)</f>
        <v>3</v>
      </c>
      <c r="G139" s="126" t="s">
        <v>1386</v>
      </c>
      <c r="H139" s="126" cm="1" t="str">
        <f t="array" ref="H139:H139">H138</f>
        <v>НН</v>
      </c>
      <c r="I139" s="1448"/>
      <c r="J139" s="1448"/>
      <c r="K139" s="1448"/>
      <c r="L139" s="1448"/>
      <c r="M139" s="1448"/>
      <c r="N139" s="1448"/>
      <c r="O139" s="1448"/>
      <c r="P139" s="1448"/>
      <c r="Q139" s="1448"/>
      <c r="R139" s="1448"/>
      <c r="S139" s="1448"/>
      <c r="T139" s="465" cm="1" t="str">
        <f t="array" ref="T139:T139">T138</f>
        <v>true</v>
      </c>
      <c r="U139" s="1448"/>
      <c r="V139" s="1448"/>
      <c r="W139" s="1448"/>
      <c r="X139" s="1448"/>
      <c r="Y139" s="1448"/>
      <c r="Z139" s="1448"/>
      <c r="AA139" s="1494"/>
      <c r="AB139" s="89" t="str">
        <f>AB136&amp;".3"</f>
        <v>6.1.3</v>
      </c>
      <c r="AC139" s="192" t="s">
        <v>1589</v>
      </c>
      <c r="AD139" s="92" t="s">
        <v>1573</v>
      </c>
      <c r="AE139" s="3393"/>
      <c r="AF139" s="3393"/>
      <c r="AG139" s="3393"/>
      <c r="AH139" s="3393"/>
      <c r="AI139" s="3393">
        <v>12.82183114</v>
      </c>
      <c r="AJ139" s="3393">
        <v>12.82183114</v>
      </c>
      <c r="AK139" s="3393">
        <v>12.82183114</v>
      </c>
      <c r="AL139" s="3393">
        <v>12.82183114</v>
      </c>
      <c r="AM139" s="3393">
        <v>12.82183114</v>
      </c>
      <c r="AN139" s="3390"/>
      <c r="AO139" s="3390"/>
      <c r="AP139" s="3390"/>
      <c r="AQ139" s="3390"/>
      <c r="AR139" s="3390"/>
      <c r="AS139" s="3393">
        <v>12.82183114</v>
      </c>
      <c r="AT139" s="3393" cm="1" t="str">
        <f t="array" ref="AT139:AT139">AS139</f>
        <v>12.82183114</v>
      </c>
      <c r="AU139" s="3393" cm="1" t="str">
        <f t="array" ref="AU139:AU139">AT139</f>
        <v>12.82183114</v>
      </c>
      <c r="AV139" s="3393" cm="1" t="str">
        <f t="array" ref="AV139:AV139">AU139</f>
        <v>12.82183114</v>
      </c>
      <c r="AW139" s="3393" cm="1" t="str">
        <f t="array" ref="AW139:AW139">AV139</f>
        <v>12.82183114</v>
      </c>
      <c r="AX139" s="3390"/>
      <c r="AY139" s="3390"/>
      <c r="AZ139" s="3390"/>
      <c r="BA139" s="3390"/>
      <c r="BB139" s="3390"/>
      <c r="BC139" s="3394" t="s">
        <v>1619</v>
      </c>
      <c r="BD139" s="1448"/>
      <c r="BE139" s="1448"/>
      <c r="BF139" s="1030" t="s">
        <v>1590</v>
      </c>
      <c r="BG139" s="1030" t="s">
        <v>1586</v>
      </c>
      <c r="BH139" s="1030" cm="1" t="str">
        <f t="array" ref="BH139:BH139">BH138</f>
        <v>НН</v>
      </c>
      <c r="BI139" s="146" cm="1" t="str">
        <f t="array" ref="BI139:BI139">BI138</f>
        <v>ПАО "Кузбассэнергосбыт" (ИНН: 4205109214, КПП: 420501001)</v>
      </c>
      <c r="BJ139" s="267"/>
      <c r="BK139" s="267"/>
    </row>
    <row s="1426" customFormat="1" customHeight="1" ht="0">
      <c r="A140" s="1426"/>
      <c r="B140" s="427"/>
      <c r="C140" s="483"/>
      <c r="D140" s="1426"/>
      <c r="E140" s="633">
        <v>15</v>
      </c>
      <c r="F140" s="50" cm="1" t="str">
        <f t="array" ref="F140:F140">OFFSET(E140,-1,1)</f>
        <v>3</v>
      </c>
      <c r="G140" s="1426"/>
      <c r="H140" s="957" t="s">
        <v>1591</v>
      </c>
      <c r="I140" s="1426"/>
      <c r="J140" s="1426"/>
      <c r="K140" s="1426"/>
      <c r="L140" s="1426"/>
      <c r="M140" s="1426"/>
      <c r="N140" s="1426"/>
      <c r="O140" s="1426"/>
      <c r="P140" s="1426"/>
      <c r="Q140" s="1426"/>
      <c r="R140" s="1426"/>
      <c r="S140" s="1426"/>
      <c r="T140" s="465">
        <f>F140&gt;0</f>
        <v>1</v>
      </c>
      <c r="U140" s="1426"/>
      <c r="V140" s="1426"/>
      <c r="W140" s="757" t="s">
        <v>399</v>
      </c>
      <c r="X140" s="1543"/>
      <c r="Y140" s="1426"/>
      <c r="Z140" s="1565"/>
      <c r="AA140" s="1426"/>
      <c r="AB140" s="653"/>
      <c r="AC140" s="178" t="s">
        <v>178</v>
      </c>
      <c r="AD140" s="176"/>
      <c r="AE140" s="176"/>
      <c r="AF140" s="176"/>
      <c r="AG140" s="176"/>
      <c r="AH140" s="176"/>
      <c r="AI140" s="176"/>
      <c r="AJ140" s="176"/>
      <c r="AK140" s="176"/>
      <c r="AL140" s="176"/>
      <c r="AM140" s="176"/>
      <c r="AN140" s="176"/>
      <c r="AO140" s="176"/>
      <c r="AP140" s="176"/>
      <c r="AQ140" s="176"/>
      <c r="AR140" s="176"/>
      <c r="AS140" s="176"/>
      <c r="AT140" s="176"/>
      <c r="AU140" s="176"/>
      <c r="AV140" s="176"/>
      <c r="AW140" s="176"/>
      <c r="AX140" s="176"/>
      <c r="AY140" s="176"/>
      <c r="AZ140" s="176"/>
      <c r="BA140" s="176"/>
      <c r="BB140" s="176"/>
      <c r="BC140" s="187"/>
      <c r="BD140" s="1426"/>
      <c r="BE140" s="1426"/>
      <c r="BF140" s="1018"/>
      <c r="BG140" s="1018"/>
      <c r="BH140" s="1018"/>
      <c r="BI140" s="1426"/>
      <c r="BJ140" s="633" t="s">
        <v>1586</v>
      </c>
      <c r="BK140" s="633"/>
    </row>
    <row s="1448" customFormat="1" customHeight="1" ht="12">
      <c r="A141" s="1812"/>
      <c r="B141" s="429"/>
      <c r="C141" s="483"/>
      <c r="D141" s="1812"/>
      <c r="E141" s="267">
        <v>13</v>
      </c>
      <c r="F141" s="50" cm="1" t="str">
        <f t="array" ref="F141:F141">OFFSET(E141,-1,1)</f>
        <v>3</v>
      </c>
      <c r="G141" s="126"/>
      <c r="H141" s="126"/>
      <c r="I141" s="1812"/>
      <c r="J141" s="1812"/>
      <c r="K141" s="1812"/>
      <c r="L141" s="1812"/>
      <c r="M141" s="1812"/>
      <c r="N141" s="1812"/>
      <c r="O141" s="1812"/>
      <c r="P141" s="1812"/>
      <c r="Q141" s="1812"/>
      <c r="R141" s="1812"/>
      <c r="S141" s="1812"/>
      <c r="T141" s="465" cm="1" t="str">
        <f t="array" ref="T141:T141">T140</f>
        <v>true</v>
      </c>
      <c r="U141" s="1812"/>
      <c r="V141" s="1812"/>
      <c r="W141" s="1812"/>
      <c r="X141" s="1543"/>
      <c r="Y141" s="1812"/>
      <c r="Z141" s="1565"/>
      <c r="AA141" s="1812"/>
      <c r="AB141" s="652"/>
      <c r="AC141" s="266" t="s">
        <v>1592</v>
      </c>
      <c r="AD141" s="267"/>
      <c r="AE141" s="268"/>
      <c r="AF141" s="268"/>
      <c r="AG141" s="268"/>
      <c r="AH141" s="268"/>
      <c r="AI141" s="268"/>
      <c r="AJ141" s="268"/>
      <c r="AK141" s="268"/>
      <c r="AL141" s="268"/>
      <c r="AM141" s="268"/>
      <c r="AN141" s="268"/>
      <c r="AO141" s="268"/>
      <c r="AP141" s="268"/>
      <c r="AQ141" s="268"/>
      <c r="AR141" s="268"/>
      <c r="AS141" s="268"/>
      <c r="AT141" s="268"/>
      <c r="AU141" s="268"/>
      <c r="AV141" s="268"/>
      <c r="AW141" s="268"/>
      <c r="AX141" s="268"/>
      <c r="AY141" s="268"/>
      <c r="AZ141" s="268"/>
      <c r="BA141" s="268"/>
      <c r="BB141" s="268"/>
      <c r="BC141" s="269"/>
      <c r="BD141" s="1812"/>
      <c r="BE141" s="1812"/>
      <c r="BF141" s="1030"/>
      <c r="BG141" s="1030"/>
      <c r="BH141" s="1030"/>
      <c r="BI141" s="1812"/>
      <c r="BJ141" s="267"/>
      <c r="BK141" s="267"/>
    </row>
    <row s="1834" customFormat="1" customHeight="1" ht="10.5" hidden="1">
      <c r="E142" s="267">
        <v>11</v>
      </c>
      <c r="F142" s="1175" cm="1" t="str">
        <f t="array" ref="F142:F142">OFFSET(E142,-1,1)</f>
        <v>3</v>
      </c>
      <c r="T142" s="465">
        <f>AND(F142&gt;0,Y142&gt;0)</f>
        <v>0</v>
      </c>
      <c r="W142" s="717" t="s">
        <v>174</v>
      </c>
      <c r="Y142" s="1641">
        <v>0</v>
      </c>
      <c r="AA142" s="1648" t="s">
        <v>175</v>
      </c>
      <c r="AB142" s="89" t="str">
        <f>"7."&amp;Y142</f>
        <v>7.0</v>
      </c>
      <c r="AC142" s="1695"/>
      <c r="AD142" s="93"/>
      <c r="BF142" s="1030"/>
      <c r="BG142" s="1030"/>
      <c r="BH142" s="1030"/>
      <c r="BI142" s="1030"/>
      <c r="BJ142" s="267"/>
      <c r="BK142" s="267"/>
    </row>
    <row s="1448" customFormat="1" customHeight="1" ht="10.5" hidden="1">
      <c r="E143" s="267">
        <v>11.25</v>
      </c>
      <c r="F143" s="50" cm="1" t="str">
        <f t="array" ref="F143:F143">OFFSET(E143,-1,1)</f>
        <v>3</v>
      </c>
      <c r="G143" s="126" t="s">
        <v>1225</v>
      </c>
      <c r="H143" s="126" cm="1" t="str">
        <f t="array" ref="H143:H143">AC143</f>
        <v>0</v>
      </c>
      <c r="T143" s="465" cm="1" t="str">
        <f t="array" ref="T143:T143">T142</f>
        <v>false</v>
      </c>
      <c r="Y143" s="1543">
        <v>0</v>
      </c>
      <c r="AA143" s="1494" t="s">
        <v>175</v>
      </c>
      <c r="AB143" s="89" t="str">
        <f>AB142&amp;".1"</f>
        <v>7.0.1</v>
      </c>
      <c r="AC143" s="3423"/>
      <c r="AD143" s="89" t="s">
        <v>1514</v>
      </c>
      <c r="AE143" s="142">
        <f>AE144+AE147</f>
        <v>0</v>
      </c>
      <c r="AF143" s="142">
        <f>AF144+AF147</f>
        <v>0</v>
      </c>
      <c r="AG143" s="142">
        <f>AG144+AG147</f>
        <v>0</v>
      </c>
      <c r="AH143" s="142">
        <f>AH144+AH147</f>
        <v>0</v>
      </c>
      <c r="AI143" s="142">
        <f>AI144+AI147</f>
        <v>0</v>
      </c>
      <c r="AJ143" s="142">
        <f>AJ144+AJ147</f>
        <v>0</v>
      </c>
      <c r="AK143" s="142">
        <f>AK144+AK147</f>
        <v>0</v>
      </c>
      <c r="AL143" s="142">
        <f>AL144+AL147</f>
        <v>0</v>
      </c>
      <c r="AM143" s="142">
        <f>AM144+AM147</f>
        <v>0</v>
      </c>
      <c r="AN143" s="142">
        <f>AN144+AN147</f>
        <v>0</v>
      </c>
      <c r="AO143" s="142">
        <f>AO144+AO147</f>
        <v>0</v>
      </c>
      <c r="AP143" s="142">
        <f>AP144+AP147</f>
        <v>0</v>
      </c>
      <c r="AQ143" s="142">
        <f>AQ144+AQ147</f>
        <v>0</v>
      </c>
      <c r="AR143" s="142">
        <f>AR144+AR147</f>
        <v>0</v>
      </c>
      <c r="AS143" s="142">
        <f>AS144+AS147</f>
        <v>0</v>
      </c>
      <c r="AT143" s="142">
        <f>AT144+AT147</f>
        <v>0</v>
      </c>
      <c r="AU143" s="142">
        <f>AU144+AU147</f>
        <v>0</v>
      </c>
      <c r="AV143" s="142">
        <f>AV144+AV147</f>
        <v>0</v>
      </c>
      <c r="AW143" s="142">
        <f>AW144+AW147</f>
        <v>0</v>
      </c>
      <c r="AX143" s="142">
        <f>AX144+AX147</f>
        <v>0</v>
      </c>
      <c r="AY143" s="142">
        <f>AY144+AY147</f>
        <v>0</v>
      </c>
      <c r="AZ143" s="142">
        <f>AZ144+AZ147</f>
        <v>0</v>
      </c>
      <c r="BA143" s="142">
        <f>BA144+BA147</f>
        <v>0</v>
      </c>
      <c r="BB143" s="142">
        <f>BB144+BB147</f>
        <v>0</v>
      </c>
      <c r="BC143" s="3424"/>
      <c r="BF143" s="1030" t="s">
        <v>1593</v>
      </c>
      <c r="BG143" s="1030" t="s">
        <v>1594</v>
      </c>
      <c r="BH143" s="1030" cm="1" t="str">
        <f t="array" ref="BH143:BH143">AC143</f>
        <v>0</v>
      </c>
      <c r="BI143" s="146" cm="1" t="str">
        <f t="array" ref="BI143:BI143">AC142</f>
        <v>0</v>
      </c>
      <c r="BJ143" s="267"/>
      <c r="BK143" s="267" t="b">
        <v>1</v>
      </c>
    </row>
    <row s="1448" customFormat="1" customHeight="1" ht="10.5" hidden="1">
      <c r="E144" s="267">
        <v>11.25</v>
      </c>
      <c r="F144" s="50" cm="1" t="str">
        <f t="array" ref="F144:F144">OFFSET(E144,-1,1)</f>
        <v>3</v>
      </c>
      <c r="G144" s="126" t="s">
        <v>1390</v>
      </c>
      <c r="H144" s="126" cm="1" t="str">
        <f t="array" ref="H144:H144">H143</f>
        <v>0</v>
      </c>
      <c r="T144" s="465" cm="1" t="str">
        <f t="array" ref="T144:T144">T143</f>
        <v>false</v>
      </c>
      <c r="AA144" s="1494"/>
      <c r="AB144" s="89" t="str">
        <f>AB142&amp;".2"</f>
        <v>7.0.2</v>
      </c>
      <c r="AC144" s="192" t="s">
        <v>1595</v>
      </c>
      <c r="AD144" s="89" t="s">
        <v>1596</v>
      </c>
      <c r="AE144" s="3425"/>
      <c r="AF144" s="3425"/>
      <c r="AG144" s="3425"/>
      <c r="AH144" s="3425"/>
      <c r="AI144" s="3425"/>
      <c r="AJ144" s="3425"/>
      <c r="AK144" s="3425"/>
      <c r="AL144" s="3425"/>
      <c r="AM144" s="3425"/>
      <c r="AN144" s="3425"/>
      <c r="AO144" s="3425"/>
      <c r="AP144" s="3425"/>
      <c r="AQ144" s="3425"/>
      <c r="AR144" s="3425"/>
      <c r="AS144" s="3425"/>
      <c r="AT144" s="3425"/>
      <c r="AU144" s="3425"/>
      <c r="AV144" s="3425"/>
      <c r="AW144" s="3425"/>
      <c r="AX144" s="3425"/>
      <c r="AY144" s="3425"/>
      <c r="AZ144" s="3425"/>
      <c r="BA144" s="3425"/>
      <c r="BB144" s="3425"/>
      <c r="BC144" s="3424"/>
      <c r="BF144" s="1030" t="s">
        <v>1597</v>
      </c>
      <c r="BG144" s="1030" t="s">
        <v>1594</v>
      </c>
      <c r="BH144" s="1030" cm="1" t="str">
        <f t="array" ref="BH144:BH144">BH143</f>
        <v>0</v>
      </c>
      <c r="BI144" s="146" cm="1" t="str">
        <f t="array" ref="BI144:BI144">BI143</f>
        <v>0</v>
      </c>
      <c r="BJ144" s="267"/>
      <c r="BK144" s="267"/>
    </row>
    <row s="1448" customFormat="1" customHeight="1" ht="10.5" hidden="1">
      <c r="E145" s="267">
        <v>11.25</v>
      </c>
      <c r="F145" s="50" cm="1" t="str">
        <f t="array" ref="F145:F145">OFFSET(E145,-1,1)</f>
        <v>3</v>
      </c>
      <c r="G145" s="126" t="s">
        <v>1598</v>
      </c>
      <c r="H145" s="126" cm="1" t="str">
        <f t="array" ref="H145:H145">H144</f>
        <v>0</v>
      </c>
      <c r="T145" s="465" cm="1" t="str">
        <f t="array" ref="T145:T145">T144</f>
        <v>false</v>
      </c>
      <c r="AA145" s="1494"/>
      <c r="AB145" s="89" t="str">
        <f>AB142&amp;".3"</f>
        <v>7.0.3</v>
      </c>
      <c r="AC145" s="332" t="s">
        <v>1587</v>
      </c>
      <c r="AD145" s="92" t="s">
        <v>1579</v>
      </c>
      <c r="AE145" s="142">
        <f>IF(OR(AND(AE144&lt;&gt;0,AE146=0),AND(AE144=0,AE146&lt;&gt;0)),"Ошибка",IF(AE146=0,0,AE144/AE146))</f>
        <v>0</v>
      </c>
      <c r="AF145" s="142">
        <f>IF(OR(AND(AF144&lt;&gt;0,AF146=0),AND(AF144=0,AF146&lt;&gt;0)),"Ошибка",IF(AF146=0,0,AF144/AF146))</f>
        <v>0</v>
      </c>
      <c r="AG145" s="142">
        <f>IF(OR(AND(AG144&lt;&gt;0,AG146=0),AND(AG144=0,AG146&lt;&gt;0)),"Ошибка",IF(AG146=0,0,AG144/AG146))</f>
        <v>0</v>
      </c>
      <c r="AH145" s="142">
        <f>IF(OR(AND(AH144&lt;&gt;0,AH146=0),AND(AH144=0,AH146&lt;&gt;0)),"Ошибка",IF(AH146=0,0,AH144/AH146))</f>
        <v>0</v>
      </c>
      <c r="AI145" s="142">
        <f>IF(OR(AND(AI144&lt;&gt;0,AI146=0),AND(AI144=0,AI146&lt;&gt;0)),"Ошибка",IF(AI146=0,0,AI144/AI146))</f>
        <v>0</v>
      </c>
      <c r="AJ145" s="142">
        <f>IF(OR(AND(AJ144&lt;&gt;0,AJ146=0),AND(AJ144=0,AJ146&lt;&gt;0)),"Ошибка",IF(AJ146=0,0,AJ144/AJ146))</f>
        <v>0</v>
      </c>
      <c r="AK145" s="142">
        <f>IF(OR(AND(AK144&lt;&gt;0,AK146=0),AND(AK144=0,AK146&lt;&gt;0)),"Ошибка",IF(AK146=0,0,AK144/AK146))</f>
        <v>0</v>
      </c>
      <c r="AL145" s="142">
        <f>IF(OR(AND(AL144&lt;&gt;0,AL146=0),AND(AL144=0,AL146&lt;&gt;0)),"Ошибка",IF(AL146=0,0,AL144/AL146))</f>
        <v>0</v>
      </c>
      <c r="AM145" s="142">
        <f>IF(OR(AND(AM144&lt;&gt;0,AM146=0),AND(AM144=0,AM146&lt;&gt;0)),"Ошибка",IF(AM146=0,0,AM144/AM146))</f>
        <v>0</v>
      </c>
      <c r="AN145" s="142">
        <f>IF(OR(AND(AN144&lt;&gt;0,AN146=0),AND(AN144=0,AN146&lt;&gt;0)),"Ошибка",IF(AN146=0,0,AN144/AN146))</f>
        <v>0</v>
      </c>
      <c r="AO145" s="142">
        <f>IF(OR(AND(AO144&lt;&gt;0,AO146=0),AND(AO144=0,AO146&lt;&gt;0)),"Ошибка",IF(AO146=0,0,AO144/AO146))</f>
        <v>0</v>
      </c>
      <c r="AP145" s="142">
        <f>IF(OR(AND(AP144&lt;&gt;0,AP146=0),AND(AP144=0,AP146&lt;&gt;0)),"Ошибка",IF(AP146=0,0,AP144/AP146))</f>
        <v>0</v>
      </c>
      <c r="AQ145" s="142">
        <f>IF(OR(AND(AQ144&lt;&gt;0,AQ146=0),AND(AQ144=0,AQ146&lt;&gt;0)),"Ошибка",IF(AQ146=0,0,AQ144/AQ146))</f>
        <v>0</v>
      </c>
      <c r="AR145" s="142">
        <f>IF(OR(AND(AR144&lt;&gt;0,AR146=0),AND(AR144=0,AR146&lt;&gt;0)),"Ошибка",IF(AR146=0,0,AR144/AR146))</f>
        <v>0</v>
      </c>
      <c r="AS145" s="142">
        <f>IF(OR(AND(AS144&lt;&gt;0,AS146=0),AND(AS144=0,AS146&lt;&gt;0)),"Ошибка",IF(AS146=0,0,AS144/AS146))</f>
        <v>0</v>
      </c>
      <c r="AT145" s="142">
        <f>IF(OR(AND(AT144&lt;&gt;0,AT146=0),AND(AT144=0,AT146&lt;&gt;0)),"Ошибка",IF(AT146=0,0,AT144/AT146))</f>
        <v>0</v>
      </c>
      <c r="AU145" s="142">
        <f>IF(OR(AND(AU144&lt;&gt;0,AU146=0),AND(AU144=0,AU146&lt;&gt;0)),"Ошибка",IF(AU146=0,0,AU144/AU146))</f>
        <v>0</v>
      </c>
      <c r="AV145" s="142">
        <f>IF(OR(AND(AV144&lt;&gt;0,AV146=0),AND(AV144=0,AV146&lt;&gt;0)),"Ошибка",IF(AV146=0,0,AV144/AV146))</f>
        <v>0</v>
      </c>
      <c r="AW145" s="142">
        <f>IF(OR(AND(AW144&lt;&gt;0,AW146=0),AND(AW144=0,AW146&lt;&gt;0)),"Ошибка",IF(AW146=0,0,AW144/AW146))</f>
        <v>0</v>
      </c>
      <c r="AX145" s="142">
        <f>IF(OR(AND(AX144&lt;&gt;0,AX146=0),AND(AX144=0,AX146&lt;&gt;0)),"Ошибка",IF(AX146=0,0,AX144/AX146))</f>
        <v>0</v>
      </c>
      <c r="AY145" s="142">
        <f>IF(OR(AND(AY144&lt;&gt;0,AY146=0),AND(AY144=0,AY146&lt;&gt;0)),"Ошибка",IF(AY146=0,0,AY144/AY146))</f>
        <v>0</v>
      </c>
      <c r="AZ145" s="142">
        <f>IF(OR(AND(AZ144&lt;&gt;0,AZ146=0),AND(AZ144=0,AZ146&lt;&gt;0)),"Ошибка",IF(AZ146=0,0,AZ144/AZ146))</f>
        <v>0</v>
      </c>
      <c r="BA145" s="142">
        <f>IF(OR(AND(BA144&lt;&gt;0,BA146=0),AND(BA144=0,BA146&lt;&gt;0)),"Ошибка",IF(BA146=0,0,BA144/BA146))</f>
        <v>0</v>
      </c>
      <c r="BB145" s="142">
        <f>IF(OR(AND(BB144&lt;&gt;0,BB146=0),AND(BB144=0,BB146&lt;&gt;0)),"Ошибка",IF(BB146=0,0,BB144/BB146))</f>
        <v>0</v>
      </c>
      <c r="BC145" s="3424"/>
      <c r="BF145" s="1030" t="s">
        <v>1599</v>
      </c>
      <c r="BG145" s="1030" t="s">
        <v>1594</v>
      </c>
      <c r="BH145" s="1030" cm="1" t="str">
        <f t="array" ref="BH145:BH145">BH144</f>
        <v>0</v>
      </c>
      <c r="BI145" s="146" cm="1" t="str">
        <f t="array" ref="BI145:BI145">BI144</f>
        <v>0</v>
      </c>
      <c r="BJ145" s="267"/>
      <c r="BK145" s="267"/>
    </row>
    <row s="1448" customFormat="1" customHeight="1" ht="10.5" hidden="1">
      <c r="E146" s="267">
        <v>11.25</v>
      </c>
      <c r="F146" s="50" cm="1" t="str">
        <f t="array" ref="F146:F146">OFFSET(E146,-1,1)</f>
        <v>3</v>
      </c>
      <c r="G146" s="126" t="s">
        <v>1600</v>
      </c>
      <c r="H146" s="126" cm="1" t="str">
        <f t="array" ref="H146:H146">H145</f>
        <v>0</v>
      </c>
      <c r="T146" s="465" cm="1" t="str">
        <f t="array" ref="T146:T146">T145</f>
        <v>false</v>
      </c>
      <c r="AA146" s="1494"/>
      <c r="AB146" s="89" t="str">
        <f>AB142&amp;".4"</f>
        <v>7.0.4</v>
      </c>
      <c r="AC146" s="332" t="s">
        <v>1589</v>
      </c>
      <c r="AD146" s="92" t="s">
        <v>1573</v>
      </c>
      <c r="AE146" s="3425"/>
      <c r="AF146" s="3425"/>
      <c r="AG146" s="3425"/>
      <c r="AH146" s="3425"/>
      <c r="AI146" s="3425"/>
      <c r="AJ146" s="3425"/>
      <c r="AK146" s="3425"/>
      <c r="AL146" s="3425"/>
      <c r="AM146" s="3425"/>
      <c r="AN146" s="3425"/>
      <c r="AO146" s="3425"/>
      <c r="AP146" s="3425"/>
      <c r="AQ146" s="3425"/>
      <c r="AR146" s="3425"/>
      <c r="AS146" s="3425"/>
      <c r="AT146" s="3425"/>
      <c r="AU146" s="3425"/>
      <c r="AV146" s="3425"/>
      <c r="AW146" s="3425"/>
      <c r="AX146" s="3425"/>
      <c r="AY146" s="3425"/>
      <c r="AZ146" s="3425"/>
      <c r="BA146" s="3425"/>
      <c r="BB146" s="3425"/>
      <c r="BC146" s="3424"/>
      <c r="BF146" s="1030" t="s">
        <v>1601</v>
      </c>
      <c r="BG146" s="1030" t="s">
        <v>1594</v>
      </c>
      <c r="BH146" s="1030" cm="1" t="str">
        <f t="array" ref="BH146:BH146">BH145</f>
        <v>0</v>
      </c>
      <c r="BI146" s="146" cm="1" t="str">
        <f t="array" ref="BI146:BI146">BI145</f>
        <v>0</v>
      </c>
      <c r="BJ146" s="267"/>
      <c r="BK146" s="267"/>
    </row>
    <row s="1448" customFormat="1" customHeight="1" ht="10.5" hidden="1">
      <c r="E147" s="267">
        <v>11.25</v>
      </c>
      <c r="F147" s="50" cm="1" t="str">
        <f t="array" ref="F147:F147">OFFSET(E147,-1,1)</f>
        <v>3</v>
      </c>
      <c r="G147" s="126" t="s">
        <v>1393</v>
      </c>
      <c r="H147" s="126" cm="1" t="str">
        <f t="array" ref="H147:H147">H146</f>
        <v>0</v>
      </c>
      <c r="T147" s="465" cm="1" t="str">
        <f t="array" ref="T147:T147">T146</f>
        <v>false</v>
      </c>
      <c r="AA147" s="1494"/>
      <c r="AB147" s="89" t="str">
        <f>AB142&amp;".5"</f>
        <v>7.0.5</v>
      </c>
      <c r="AC147" s="192" t="s">
        <v>1602</v>
      </c>
      <c r="AD147" s="89" t="s">
        <v>1596</v>
      </c>
      <c r="AE147" s="3425"/>
      <c r="AF147" s="3425"/>
      <c r="AG147" s="3425"/>
      <c r="AH147" s="3425"/>
      <c r="AI147" s="3425"/>
      <c r="AJ147" s="3425"/>
      <c r="AK147" s="3425"/>
      <c r="AL147" s="3425"/>
      <c r="AM147" s="3425"/>
      <c r="AN147" s="3425"/>
      <c r="AO147" s="3425"/>
      <c r="AP147" s="3425"/>
      <c r="AQ147" s="3425"/>
      <c r="AR147" s="3425"/>
      <c r="AS147" s="3425"/>
      <c r="AT147" s="3425"/>
      <c r="AU147" s="3425"/>
      <c r="AV147" s="3425"/>
      <c r="AW147" s="3425"/>
      <c r="AX147" s="3425"/>
      <c r="AY147" s="3425"/>
      <c r="AZ147" s="3425"/>
      <c r="BA147" s="3425"/>
      <c r="BB147" s="3425"/>
      <c r="BC147" s="3424"/>
      <c r="BF147" s="1030" t="s">
        <v>1603</v>
      </c>
      <c r="BG147" s="1030" t="s">
        <v>1594</v>
      </c>
      <c r="BH147" s="1030" cm="1" t="str">
        <f t="array" ref="BH147:BH147">BH146</f>
        <v>0</v>
      </c>
      <c r="BI147" s="146" cm="1" t="str">
        <f t="array" ref="BI147:BI147">BI146</f>
        <v>0</v>
      </c>
      <c r="BJ147" s="267"/>
      <c r="BK147" s="267"/>
    </row>
    <row s="1448" customFormat="1" customHeight="1" ht="10.5" hidden="1">
      <c r="E148" s="267">
        <v>11.25</v>
      </c>
      <c r="F148" s="50" cm="1" t="str">
        <f t="array" ref="F148:F148">OFFSET(E148,-1,1)</f>
        <v>3</v>
      </c>
      <c r="G148" s="126" t="s">
        <v>1604</v>
      </c>
      <c r="H148" s="126" cm="1" t="str">
        <f t="array" ref="H148:H148">H147</f>
        <v>0</v>
      </c>
      <c r="T148" s="465" cm="1" t="str">
        <f t="array" ref="T148:T148">T147</f>
        <v>false</v>
      </c>
      <c r="AA148" s="1494"/>
      <c r="AB148" s="89" t="str">
        <f>AB142&amp;".6"</f>
        <v>7.0.6</v>
      </c>
      <c r="AC148" s="332" t="s">
        <v>1605</v>
      </c>
      <c r="AD148" s="92" t="s">
        <v>1606</v>
      </c>
      <c r="AE148" s="142">
        <f>IF(OR(AND(AE147&lt;&gt;0,AE149=0),AND(AE147=0,AE149&lt;&gt;0)),"Ошибка",IF(AE149=0,0,AE147/AE149*1000/12))</f>
        <v>0</v>
      </c>
      <c r="AF148" s="142">
        <f>IF(OR(AND(AF147&lt;&gt;0,AF149=0),AND(AF147=0,AF149&lt;&gt;0)),"Ошибка",IF(AF149=0,0,AF147/AF149*1000/12))</f>
        <v>0</v>
      </c>
      <c r="AG148" s="142">
        <f>IF(OR(AND(AG147&lt;&gt;0,AG149=0),AND(AG147=0,AG149&lt;&gt;0)),"Ошибка",IF(AG149=0,0,AG147/AG149*1000/12))</f>
        <v>0</v>
      </c>
      <c r="AH148" s="142">
        <f>IF(OR(AND(AH147&lt;&gt;0,AH149=0),AND(AH147=0,AH149&lt;&gt;0)),"Ошибка",IF(AH149=0,0,AH147/AH149*1000/12))</f>
        <v>0</v>
      </c>
      <c r="AI148" s="142">
        <f>IF(OR(AND(AI147&lt;&gt;0,AI149=0),AND(AI147=0,AI149&lt;&gt;0)),"Ошибка",IF(AI149=0,0,AI147/AI149*1000/12))</f>
        <v>0</v>
      </c>
      <c r="AJ148" s="142">
        <f>IF(OR(AND(AJ147&lt;&gt;0,AJ149=0),AND(AJ147=0,AJ149&lt;&gt;0)),"Ошибка",IF(AJ149=0,0,AJ147/AJ149*1000/12))</f>
        <v>0</v>
      </c>
      <c r="AK148" s="142">
        <f>IF(OR(AND(AK147&lt;&gt;0,AK149=0),AND(AK147=0,AK149&lt;&gt;0)),"Ошибка",IF(AK149=0,0,AK147/AK149*1000/12))</f>
        <v>0</v>
      </c>
      <c r="AL148" s="142">
        <f>IF(OR(AND(AL147&lt;&gt;0,AL149=0),AND(AL147=0,AL149&lt;&gt;0)),"Ошибка",IF(AL149=0,0,AL147/AL149*1000/12))</f>
        <v>0</v>
      </c>
      <c r="AM148" s="142">
        <f>IF(OR(AND(AM147&lt;&gt;0,AM149=0),AND(AM147=0,AM149&lt;&gt;0)),"Ошибка",IF(AM149=0,0,AM147/AM149*1000/12))</f>
        <v>0</v>
      </c>
      <c r="AN148" s="142">
        <f>IF(OR(AND(AN147&lt;&gt;0,AN149=0),AND(AN147=0,AN149&lt;&gt;0)),"Ошибка",IF(AN149=0,0,AN147/AN149*1000/12))</f>
        <v>0</v>
      </c>
      <c r="AO148" s="142">
        <f>IF(OR(AND(AO147&lt;&gt;0,AO149=0),AND(AO147=0,AO149&lt;&gt;0)),"Ошибка",IF(AO149=0,0,AO147/AO149*1000/12))</f>
        <v>0</v>
      </c>
      <c r="AP148" s="142">
        <f>IF(OR(AND(AP147&lt;&gt;0,AP149=0),AND(AP147=0,AP149&lt;&gt;0)),"Ошибка",IF(AP149=0,0,AP147/AP149*1000/12))</f>
        <v>0</v>
      </c>
      <c r="AQ148" s="142">
        <f>IF(OR(AND(AQ147&lt;&gt;0,AQ149=0),AND(AQ147=0,AQ149&lt;&gt;0)),"Ошибка",IF(AQ149=0,0,AQ147/AQ149*1000/12))</f>
        <v>0</v>
      </c>
      <c r="AR148" s="142">
        <f>IF(OR(AND(AR147&lt;&gt;0,AR149=0),AND(AR147=0,AR149&lt;&gt;0)),"Ошибка",IF(AR149=0,0,AR147/AR149*1000/12))</f>
        <v>0</v>
      </c>
      <c r="AS148" s="142">
        <f>IF(OR(AND(AS147&lt;&gt;0,AS149=0),AND(AS147=0,AS149&lt;&gt;0)),"Ошибка",IF(AS149=0,0,AS147/AS149*1000/12))</f>
        <v>0</v>
      </c>
      <c r="AT148" s="142">
        <f>IF(OR(AND(AT147&lt;&gt;0,AT149=0),AND(AT147=0,AT149&lt;&gt;0)),"Ошибка",IF(AT149=0,0,AT147/AT149*1000/12))</f>
        <v>0</v>
      </c>
      <c r="AU148" s="142">
        <f>IF(OR(AND(AU147&lt;&gt;0,AU149=0),AND(AU147=0,AU149&lt;&gt;0)),"Ошибка",IF(AU149=0,0,AU147/AU149*1000/12))</f>
        <v>0</v>
      </c>
      <c r="AV148" s="142">
        <f>IF(OR(AND(AV147&lt;&gt;0,AV149=0),AND(AV147=0,AV149&lt;&gt;0)),"Ошибка",IF(AV149=0,0,AV147/AV149*1000/12))</f>
        <v>0</v>
      </c>
      <c r="AW148" s="142">
        <f>IF(OR(AND(AW147&lt;&gt;0,AW149=0),AND(AW147=0,AW149&lt;&gt;0)),"Ошибка",IF(AW149=0,0,AW147/AW149*1000/12))</f>
        <v>0</v>
      </c>
      <c r="AX148" s="142">
        <f>IF(OR(AND(AX147&lt;&gt;0,AX149=0),AND(AX147=0,AX149&lt;&gt;0)),"Ошибка",IF(AX149=0,0,AX147/AX149*1000/12))</f>
        <v>0</v>
      </c>
      <c r="AY148" s="142">
        <f>IF(OR(AND(AY147&lt;&gt;0,AY149=0),AND(AY147=0,AY149&lt;&gt;0)),"Ошибка",IF(AY149=0,0,AY147/AY149*1000/12))</f>
        <v>0</v>
      </c>
      <c r="AZ148" s="142">
        <f>IF(OR(AND(AZ147&lt;&gt;0,AZ149=0),AND(AZ147=0,AZ149&lt;&gt;0)),"Ошибка",IF(AZ149=0,0,AZ147/AZ149*1000/12))</f>
        <v>0</v>
      </c>
      <c r="BA148" s="142">
        <f>IF(OR(AND(BA147&lt;&gt;0,BA149=0),AND(BA147=0,BA149&lt;&gt;0)),"Ошибка",IF(BA149=0,0,BA147/BA149*1000/12))</f>
        <v>0</v>
      </c>
      <c r="BB148" s="142">
        <f>IF(OR(AND(BB147&lt;&gt;0,BB149=0),AND(BB147=0,BB149&lt;&gt;0)),"Ошибка",IF(BB149=0,0,BB147/BB149*1000/12))</f>
        <v>0</v>
      </c>
      <c r="BC148" s="3424"/>
      <c r="BF148" s="1030" t="s">
        <v>1607</v>
      </c>
      <c r="BG148" s="1030" t="s">
        <v>1594</v>
      </c>
      <c r="BH148" s="1030" cm="1" t="str">
        <f t="array" ref="BH148:BH148">BH147</f>
        <v>0</v>
      </c>
      <c r="BI148" s="146" cm="1" t="str">
        <f t="array" ref="BI148:BI148">BI147</f>
        <v>0</v>
      </c>
      <c r="BJ148" s="267"/>
      <c r="BK148" s="267"/>
    </row>
    <row s="1448" customFormat="1" customHeight="1" ht="10.5" hidden="1">
      <c r="E149" s="267">
        <v>11.25</v>
      </c>
      <c r="F149" s="50" cm="1" t="str">
        <f t="array" ref="F149:F149">OFFSET(E149,-1,1)</f>
        <v>3</v>
      </c>
      <c r="G149" s="126" t="s">
        <v>1608</v>
      </c>
      <c r="H149" s="126" cm="1" t="str">
        <f t="array" ref="H149:H149">H148</f>
        <v>0</v>
      </c>
      <c r="T149" s="465" cm="1" t="str">
        <f t="array" ref="T149:T149">T148</f>
        <v>false</v>
      </c>
      <c r="AA149" s="1494"/>
      <c r="AB149" s="89" t="str">
        <f>AB142&amp;".7"</f>
        <v>7.0.7</v>
      </c>
      <c r="AC149" s="332" t="s">
        <v>1609</v>
      </c>
      <c r="AD149" s="92" t="s">
        <v>1610</v>
      </c>
      <c r="AE149" s="3425"/>
      <c r="AF149" s="3425"/>
      <c r="AG149" s="3425"/>
      <c r="AH149" s="3425"/>
      <c r="AI149" s="3425"/>
      <c r="AJ149" s="3425"/>
      <c r="AK149" s="3425"/>
      <c r="AL149" s="3425"/>
      <c r="AM149" s="3425"/>
      <c r="AN149" s="3425"/>
      <c r="AO149" s="3425"/>
      <c r="AP149" s="3425"/>
      <c r="AQ149" s="3425"/>
      <c r="AR149" s="3425"/>
      <c r="AS149" s="3425"/>
      <c r="AT149" s="3425"/>
      <c r="AU149" s="3425"/>
      <c r="AV149" s="3425"/>
      <c r="AW149" s="3425"/>
      <c r="AX149" s="3425"/>
      <c r="AY149" s="3425"/>
      <c r="AZ149" s="3425"/>
      <c r="BA149" s="3425"/>
      <c r="BB149" s="3425"/>
      <c r="BC149" s="3424"/>
      <c r="BF149" s="1030" t="s">
        <v>1611</v>
      </c>
      <c r="BG149" s="1030" t="s">
        <v>1594</v>
      </c>
      <c r="BH149" s="1030" cm="1" t="str">
        <f t="array" ref="BH149:BH149">BH148</f>
        <v>0</v>
      </c>
      <c r="BI149" s="146" cm="1" t="str">
        <f t="array" ref="BI149:BI149">BI148</f>
        <v>0</v>
      </c>
      <c r="BJ149" s="267"/>
      <c r="BK149" s="267"/>
    </row>
    <row s="1834" customFormat="1" customHeight="1" ht="23.25">
      <c r="A150" s="1834"/>
      <c r="B150" s="1834"/>
      <c r="C150" s="1834"/>
      <c r="D150" s="1834"/>
      <c r="E150" s="267">
        <v>11</v>
      </c>
      <c r="F150" s="1175" cm="1" t="str">
        <f t="array" ref="F150:F150">OFFSET(E150,-1,1)</f>
        <v>3</v>
      </c>
      <c r="G150" s="1834"/>
      <c r="H150" s="1834"/>
      <c r="I150" s="1834"/>
      <c r="J150" s="1834"/>
      <c r="K150" s="1834"/>
      <c r="L150" s="1834"/>
      <c r="M150" s="1834"/>
      <c r="N150" s="1834"/>
      <c r="O150" s="1834"/>
      <c r="P150" s="1834"/>
      <c r="Q150" s="1834"/>
      <c r="R150" s="1834"/>
      <c r="S150" s="1834"/>
      <c r="T150" s="465">
        <f>AND(F150&gt;0,Y150&gt;0)</f>
        <v>1</v>
      </c>
      <c r="U150" s="1834"/>
      <c r="V150" s="1834"/>
      <c r="W150" s="717"/>
      <c r="X150" s="1834"/>
      <c r="Y150" s="1641" t="s">
        <v>276</v>
      </c>
      <c r="Z150" s="1834"/>
      <c r="AA150" s="1648" t="s">
        <v>175</v>
      </c>
      <c r="AB150" s="89" t="str">
        <f>"7."&amp;Y150</f>
        <v>7.1</v>
      </c>
      <c r="AC150" s="1695" t="s">
        <v>1616</v>
      </c>
      <c r="AD150" s="93"/>
      <c r="AE150" s="1834"/>
      <c r="AF150" s="1834"/>
      <c r="AG150" s="1834"/>
      <c r="AH150" s="1834"/>
      <c r="AI150" s="1834"/>
      <c r="AJ150" s="1834"/>
      <c r="AK150" s="1834"/>
      <c r="AL150" s="1834"/>
      <c r="AM150" s="1834"/>
      <c r="AN150" s="1834"/>
      <c r="AO150" s="1834"/>
      <c r="AP150" s="1834"/>
      <c r="AQ150" s="1834"/>
      <c r="AR150" s="1834"/>
      <c r="AS150" s="1834"/>
      <c r="AT150" s="1834"/>
      <c r="AU150" s="1834"/>
      <c r="AV150" s="1834"/>
      <c r="AW150" s="1834"/>
      <c r="AX150" s="1834"/>
      <c r="AY150" s="1834"/>
      <c r="AZ150" s="1834"/>
      <c r="BA150" s="1834"/>
      <c r="BB150" s="1834"/>
      <c r="BC150" s="1834"/>
      <c r="BD150" s="1834"/>
      <c r="BE150" s="1834"/>
      <c r="BF150" s="1030"/>
      <c r="BG150" s="1030"/>
      <c r="BH150" s="1030"/>
      <c r="BI150" s="1030"/>
      <c r="BJ150" s="267"/>
      <c r="BK150" s="267"/>
    </row>
    <row s="1448" customFormat="1" customHeight="1" ht="10.5">
      <c r="A151" s="1448"/>
      <c r="B151" s="1448"/>
      <c r="C151" s="1448"/>
      <c r="D151" s="1448"/>
      <c r="E151" s="267">
        <v>11.25</v>
      </c>
      <c r="F151" s="50" cm="1" t="str">
        <f t="array" ref="F151:F151">OFFSET(E151,-1,1)</f>
        <v>3</v>
      </c>
      <c r="G151" s="126" t="s">
        <v>1225</v>
      </c>
      <c r="H151" s="126" cm="1" t="str">
        <f t="array" ref="H151:H151">AC151</f>
        <v>СН2</v>
      </c>
      <c r="I151" s="1448"/>
      <c r="J151" s="1448"/>
      <c r="K151" s="1448"/>
      <c r="L151" s="1448"/>
      <c r="M151" s="1448"/>
      <c r="N151" s="1448"/>
      <c r="O151" s="1448"/>
      <c r="P151" s="1448"/>
      <c r="Q151" s="1448"/>
      <c r="R151" s="1448"/>
      <c r="S151" s="1448"/>
      <c r="T151" s="465" cm="1" t="str">
        <f t="array" ref="T151:T151">T150</f>
        <v>true</v>
      </c>
      <c r="U151" s="1448"/>
      <c r="V151" s="1448"/>
      <c r="W151" s="1448"/>
      <c r="X151" s="1448"/>
      <c r="Y151" s="1543">
        <v>0</v>
      </c>
      <c r="Z151" s="1448"/>
      <c r="AA151" s="1494" t="s">
        <v>175</v>
      </c>
      <c r="AB151" s="89" t="str">
        <f>AB150&amp;".1"</f>
        <v>7.1.1</v>
      </c>
      <c r="AC151" s="3426" t="s">
        <v>1621</v>
      </c>
      <c r="AD151" s="89" t="s">
        <v>1514</v>
      </c>
      <c r="AE151" s="142">
        <f>AE152+AE155</f>
        <v>0</v>
      </c>
      <c r="AF151" s="142">
        <f>AF152+AF155</f>
        <v>0</v>
      </c>
      <c r="AG151" s="142">
        <f>AG152+AG155</f>
        <v>0</v>
      </c>
      <c r="AH151" s="142">
        <f>AH152+AH155</f>
        <v>0</v>
      </c>
      <c r="AI151" s="142">
        <f>AI152+AI155</f>
        <v>23521.1592961893</v>
      </c>
      <c r="AJ151" s="142">
        <f>AJ152+AJ155</f>
        <v>25661.5847921425</v>
      </c>
      <c r="AK151" s="142">
        <f>AK152+AK155</f>
        <v>26919.0024469575</v>
      </c>
      <c r="AL151" s="142">
        <f>AL152+AL155</f>
        <v>28238.0335668584</v>
      </c>
      <c r="AM151" s="142">
        <f>AM152+AM155</f>
        <v>29621.6972116344</v>
      </c>
      <c r="AN151" s="142">
        <f>AN152+AN155</f>
        <v>0</v>
      </c>
      <c r="AO151" s="142">
        <f>AO152+AO155</f>
        <v>0</v>
      </c>
      <c r="AP151" s="142">
        <f>AP152+AP155</f>
        <v>0</v>
      </c>
      <c r="AQ151" s="142">
        <f>AQ152+AQ155</f>
        <v>0</v>
      </c>
      <c r="AR151" s="142">
        <f>AR152+AR155</f>
        <v>0</v>
      </c>
      <c r="AS151" s="142">
        <f>AS152+AS155</f>
        <v>23521.1592961893</v>
      </c>
      <c r="AT151" s="142">
        <f>AT152+AT155</f>
        <v>25661.5847921425</v>
      </c>
      <c r="AU151" s="142">
        <f>AU152+AU155</f>
        <v>26919.0024469575</v>
      </c>
      <c r="AV151" s="142">
        <f>AV152+AV155</f>
        <v>28238.0335668584</v>
      </c>
      <c r="AW151" s="142">
        <f>AW152+AW155</f>
        <v>29621.6972116344</v>
      </c>
      <c r="AX151" s="142">
        <f>AX152+AX155</f>
        <v>0</v>
      </c>
      <c r="AY151" s="142">
        <f>AY152+AY155</f>
        <v>0</v>
      </c>
      <c r="AZ151" s="142">
        <f>AZ152+AZ155</f>
        <v>0</v>
      </c>
      <c r="BA151" s="142">
        <f>BA152+BA155</f>
        <v>0</v>
      </c>
      <c r="BB151" s="142">
        <f>BB152+BB155</f>
        <v>0</v>
      </c>
      <c r="BC151" s="3427"/>
      <c r="BD151" s="1448"/>
      <c r="BE151" s="1448"/>
      <c r="BF151" s="1030" t="s">
        <v>1593</v>
      </c>
      <c r="BG151" s="1030" t="s">
        <v>1594</v>
      </c>
      <c r="BH151" s="1030" cm="1" t="str">
        <f t="array" ref="BH151:BH151">AC151</f>
        <v>СН2</v>
      </c>
      <c r="BI151" s="146" cm="1" t="str">
        <f t="array" ref="BI151:BI151">AC150</f>
        <v>ПАО "Кузбассэнергосбыт" (ИНН: 4205109214, КПП: 420501001)</v>
      </c>
      <c r="BJ151" s="267"/>
      <c r="BK151" s="267" t="b">
        <v>1</v>
      </c>
    </row>
    <row s="1448" customFormat="1" customHeight="1" ht="10.5">
      <c r="A152" s="1448"/>
      <c r="B152" s="1448"/>
      <c r="C152" s="1448"/>
      <c r="D152" s="1448"/>
      <c r="E152" s="267">
        <v>11.25</v>
      </c>
      <c r="F152" s="50" cm="1" t="str">
        <f t="array" ref="F152:F152">OFFSET(E152,-1,1)</f>
        <v>3</v>
      </c>
      <c r="G152" s="126" t="s">
        <v>1390</v>
      </c>
      <c r="H152" s="126" cm="1" t="str">
        <f t="array" ref="H152:H152">H151</f>
        <v>СН2</v>
      </c>
      <c r="I152" s="1448"/>
      <c r="J152" s="1448"/>
      <c r="K152" s="1448"/>
      <c r="L152" s="1448"/>
      <c r="M152" s="1448"/>
      <c r="N152" s="1448"/>
      <c r="O152" s="1448"/>
      <c r="P152" s="1448"/>
      <c r="Q152" s="1448"/>
      <c r="R152" s="1448"/>
      <c r="S152" s="1448"/>
      <c r="T152" s="465" cm="1" t="str">
        <f t="array" ref="T152:T152">T151</f>
        <v>true</v>
      </c>
      <c r="U152" s="1448"/>
      <c r="V152" s="1448"/>
      <c r="W152" s="1448"/>
      <c r="X152" s="1448"/>
      <c r="Y152" s="1448"/>
      <c r="Z152" s="1448"/>
      <c r="AA152" s="1494"/>
      <c r="AB152" s="89" t="str">
        <f>AB150&amp;".2"</f>
        <v>7.1.2</v>
      </c>
      <c r="AC152" s="192" t="s">
        <v>1595</v>
      </c>
      <c r="AD152" s="89" t="s">
        <v>1596</v>
      </c>
      <c r="AE152" s="3428"/>
      <c r="AF152" s="3428"/>
      <c r="AG152" s="3428"/>
      <c r="AH152" s="3428"/>
      <c r="AI152" s="3428">
        <v>11162.7865676411</v>
      </c>
      <c r="AJ152" s="3428">
        <v>12178.6001452964</v>
      </c>
      <c r="AK152" s="3428">
        <v>12775.3515524159</v>
      </c>
      <c r="AL152" s="3428">
        <v>13401.3437784843</v>
      </c>
      <c r="AM152" s="3428">
        <v>14058.00962363</v>
      </c>
      <c r="AN152" s="3425"/>
      <c r="AO152" s="3425"/>
      <c r="AP152" s="3425"/>
      <c r="AQ152" s="3425"/>
      <c r="AR152" s="3425"/>
      <c r="AS152" s="3428">
        <f>2.4776*1.132*AS154</f>
        <v>11162.7865676411</v>
      </c>
      <c r="AT152" s="3428">
        <f>AS153*1.091*AT154</f>
        <v>12178.6001452964</v>
      </c>
      <c r="AU152" s="3428">
        <f>AT153*1.049*AU154</f>
        <v>12775.3515524159</v>
      </c>
      <c r="AV152" s="3428">
        <f>AU153*1.049*AV154</f>
        <v>13401.3437784843</v>
      </c>
      <c r="AW152" s="3428">
        <f>AV153*1.049*AW154</f>
        <v>14058.00962363</v>
      </c>
      <c r="AX152" s="3425"/>
      <c r="AY152" s="3425"/>
      <c r="AZ152" s="3425"/>
      <c r="BA152" s="3425"/>
      <c r="BB152" s="3425"/>
      <c r="BC152" s="3427"/>
      <c r="BD152" s="1448"/>
      <c r="BE152" s="1448"/>
      <c r="BF152" s="1030" t="s">
        <v>1597</v>
      </c>
      <c r="BG152" s="1030" t="s">
        <v>1594</v>
      </c>
      <c r="BH152" s="1030" cm="1" t="str">
        <f t="array" ref="BH152:BH152">BH151</f>
        <v>СН2</v>
      </c>
      <c r="BI152" s="146" cm="1" t="str">
        <f t="array" ref="BI152:BI152">BI151</f>
        <v>ПАО "Кузбассэнергосбыт" (ИНН: 4205109214, КПП: 420501001)</v>
      </c>
      <c r="BJ152" s="267"/>
      <c r="BK152" s="267"/>
    </row>
    <row s="1448" customFormat="1" customHeight="1" ht="23.25">
      <c r="A153" s="1448"/>
      <c r="B153" s="1448"/>
      <c r="C153" s="1448"/>
      <c r="D153" s="1448"/>
      <c r="E153" s="267">
        <v>11.25</v>
      </c>
      <c r="F153" s="50" cm="1" t="str">
        <f t="array" ref="F153:F153">OFFSET(E153,-1,1)</f>
        <v>3</v>
      </c>
      <c r="G153" s="126" t="s">
        <v>1598</v>
      </c>
      <c r="H153" s="126" cm="1" t="str">
        <f t="array" ref="H153:H153">H152</f>
        <v>СН2</v>
      </c>
      <c r="I153" s="1448"/>
      <c r="J153" s="1448"/>
      <c r="K153" s="1448"/>
      <c r="L153" s="1448"/>
      <c r="M153" s="1448"/>
      <c r="N153" s="1448"/>
      <c r="O153" s="1448"/>
      <c r="P153" s="1448"/>
      <c r="Q153" s="1448"/>
      <c r="R153" s="1448"/>
      <c r="S153" s="1448"/>
      <c r="T153" s="465" cm="1" t="str">
        <f t="array" ref="T153:T153">T152</f>
        <v>true</v>
      </c>
      <c r="U153" s="1448"/>
      <c r="V153" s="1448"/>
      <c r="W153" s="1448"/>
      <c r="X153" s="1448"/>
      <c r="Y153" s="1448"/>
      <c r="Z153" s="1448"/>
      <c r="AA153" s="1494"/>
      <c r="AB153" s="89" t="str">
        <f>AB150&amp;".3"</f>
        <v>7.1.3</v>
      </c>
      <c r="AC153" s="332" t="s">
        <v>1587</v>
      </c>
      <c r="AD153" s="92" t="s">
        <v>1579</v>
      </c>
      <c r="AE153" s="142">
        <f>IF(OR(AND(AE152&lt;&gt;0,AE154=0),AND(AE152=0,AE154&lt;&gt;0)),"Ошибка",IF(AE154=0,0,AE152/AE154))</f>
        <v>0</v>
      </c>
      <c r="AF153" s="142">
        <f>IF(OR(AND(AF152&lt;&gt;0,AF154=0),AND(AF152=0,AF154&lt;&gt;0)),"Ошибка",IF(AF154=0,0,AF152/AF154))</f>
        <v>0</v>
      </c>
      <c r="AG153" s="142">
        <f>IF(OR(AND(AG152&lt;&gt;0,AG154=0),AND(AG152=0,AG154&lt;&gt;0)),"Ошибка",IF(AG154=0,0,AG152/AG154))</f>
        <v>0</v>
      </c>
      <c r="AH153" s="142">
        <f>IF(OR(AND(AH152&lt;&gt;0,AH154=0),AND(AH152=0,AH154&lt;&gt;0)),"Ошибка",IF(AH154=0,0,AH152/AH154))</f>
        <v>0</v>
      </c>
      <c r="AI153" s="142">
        <f>IF(OR(AND(AI152&lt;&gt;0,AI154=0),AND(AI152=0,AI154&lt;&gt;0)),"Ошибка",IF(AI154=0,0,AI152/AI154))</f>
        <v>2.80464320000001</v>
      </c>
      <c r="AJ153" s="142">
        <f>IF(OR(AND(AJ152&lt;&gt;0,AJ154=0),AND(AJ152=0,AJ154&lt;&gt;0)),"Ошибка",IF(AJ154=0,0,AJ152/AJ154))</f>
        <v>3.0598657312</v>
      </c>
      <c r="AK153" s="142">
        <f>IF(OR(AND(AK152&lt;&gt;0,AK154=0),AND(AK152=0,AK154&lt;&gt;0)),"Ошибка",IF(AK154=0,0,AK152/AK154))</f>
        <v>3.2097991520288</v>
      </c>
      <c r="AL153" s="142">
        <f>IF(OR(AND(AL152&lt;&gt;0,AL154=0),AND(AL152=0,AL154&lt;&gt;0)),"Ошибка",IF(AL154=0,0,AL152/AL154))</f>
        <v>3.36707931047821</v>
      </c>
      <c r="AM153" s="142">
        <f>IF(OR(AND(AM152&lt;&gt;0,AM154=0),AND(AM152=0,AM154&lt;&gt;0)),"Ошибка",IF(AM154=0,0,AM152/AM154))</f>
        <v>3.53206619669164</v>
      </c>
      <c r="AN153" s="142">
        <f>IF(OR(AND(AN152&lt;&gt;0,AN154=0),AND(AN152=0,AN154&lt;&gt;0)),"Ошибка",IF(AN154=0,0,AN152/AN154))</f>
        <v>0</v>
      </c>
      <c r="AO153" s="142">
        <f>IF(OR(AND(AO152&lt;&gt;0,AO154=0),AND(AO152=0,AO154&lt;&gt;0)),"Ошибка",IF(AO154=0,0,AO152/AO154))</f>
        <v>0</v>
      </c>
      <c r="AP153" s="142">
        <f>IF(OR(AND(AP152&lt;&gt;0,AP154=0),AND(AP152=0,AP154&lt;&gt;0)),"Ошибка",IF(AP154=0,0,AP152/AP154))</f>
        <v>0</v>
      </c>
      <c r="AQ153" s="142">
        <f>IF(OR(AND(AQ152&lt;&gt;0,AQ154=0),AND(AQ152=0,AQ154&lt;&gt;0)),"Ошибка",IF(AQ154=0,0,AQ152/AQ154))</f>
        <v>0</v>
      </c>
      <c r="AR153" s="142">
        <f>IF(OR(AND(AR152&lt;&gt;0,AR154=0),AND(AR152=0,AR154&lt;&gt;0)),"Ошибка",IF(AR154=0,0,AR152/AR154))</f>
        <v>0</v>
      </c>
      <c r="AS153" s="142">
        <f>IF(OR(AND(AS152&lt;&gt;0,AS154=0),AND(AS152=0,AS154&lt;&gt;0)),"Ошибка",IF(AS154=0,0,AS152/AS154))</f>
        <v>2.80464320000001</v>
      </c>
      <c r="AT153" s="142">
        <f>IF(OR(AND(AT152&lt;&gt;0,AT154=0),AND(AT152=0,AT154&lt;&gt;0)),"Ошибка",IF(AT154=0,0,AT152/AT154))</f>
        <v>3.0598657312</v>
      </c>
      <c r="AU153" s="142">
        <f>IF(OR(AND(AU152&lt;&gt;0,AU154=0),AND(AU152=0,AU154&lt;&gt;0)),"Ошибка",IF(AU154=0,0,AU152/AU154))</f>
        <v>3.2097991520288</v>
      </c>
      <c r="AV153" s="142">
        <f>IF(OR(AND(AV152&lt;&gt;0,AV154=0),AND(AV152=0,AV154&lt;&gt;0)),"Ошибка",IF(AV154=0,0,AV152/AV154))</f>
        <v>3.36707931047821</v>
      </c>
      <c r="AW153" s="142">
        <f>IF(OR(AND(AW152&lt;&gt;0,AW154=0),AND(AW152=0,AW154&lt;&gt;0)),"Ошибка",IF(AW154=0,0,AW152/AW154))</f>
        <v>3.53206619669164</v>
      </c>
      <c r="AX153" s="142">
        <f>IF(OR(AND(AX152&lt;&gt;0,AX154=0),AND(AX152=0,AX154&lt;&gt;0)),"Ошибка",IF(AX154=0,0,AX152/AX154))</f>
        <v>0</v>
      </c>
      <c r="AY153" s="142">
        <f>IF(OR(AND(AY152&lt;&gt;0,AY154=0),AND(AY152=0,AY154&lt;&gt;0)),"Ошибка",IF(AY154=0,0,AY152/AY154))</f>
        <v>0</v>
      </c>
      <c r="AZ153" s="142">
        <f>IF(OR(AND(AZ152&lt;&gt;0,AZ154=0),AND(AZ152=0,AZ154&lt;&gt;0)),"Ошибка",IF(AZ154=0,0,AZ152/AZ154))</f>
        <v>0</v>
      </c>
      <c r="BA153" s="142">
        <f>IF(OR(AND(BA152&lt;&gt;0,BA154=0),AND(BA152=0,BA154&lt;&gt;0)),"Ошибка",IF(BA154=0,0,BA152/BA154))</f>
        <v>0</v>
      </c>
      <c r="BB153" s="142">
        <f>IF(OR(AND(BB152&lt;&gt;0,BB154=0),AND(BB152=0,BB154&lt;&gt;0)),"Ошибка",IF(BB154=0,0,BB152/BB154))</f>
        <v>0</v>
      </c>
      <c r="BC153" s="3427" t="s">
        <v>1618</v>
      </c>
      <c r="BD153" s="1448"/>
      <c r="BE153" s="1448"/>
      <c r="BF153" s="1030" t="s">
        <v>1599</v>
      </c>
      <c r="BG153" s="1030" t="s">
        <v>1594</v>
      </c>
      <c r="BH153" s="1030" cm="1" t="str">
        <f t="array" ref="BH153:BH153">BH152</f>
        <v>СН2</v>
      </c>
      <c r="BI153" s="146" cm="1" t="str">
        <f t="array" ref="BI153:BI153">BI152</f>
        <v>ПАО "Кузбассэнергосбыт" (ИНН: 4205109214, КПП: 420501001)</v>
      </c>
      <c r="BJ153" s="267"/>
      <c r="BK153" s="267"/>
    </row>
    <row s="1448" customFormat="1" customHeight="1" ht="33.75">
      <c r="A154" s="1448"/>
      <c r="B154" s="1448"/>
      <c r="C154" s="1448"/>
      <c r="D154" s="1448"/>
      <c r="E154" s="267">
        <v>11.25</v>
      </c>
      <c r="F154" s="50" cm="1" t="str">
        <f t="array" ref="F154:F154">OFFSET(E154,-1,1)</f>
        <v>3</v>
      </c>
      <c r="G154" s="126" t="s">
        <v>1600</v>
      </c>
      <c r="H154" s="126" cm="1" t="str">
        <f t="array" ref="H154:H154">H153</f>
        <v>СН2</v>
      </c>
      <c r="I154" s="1448"/>
      <c r="J154" s="1448"/>
      <c r="K154" s="1448"/>
      <c r="L154" s="1448"/>
      <c r="M154" s="1448"/>
      <c r="N154" s="1448"/>
      <c r="O154" s="1448"/>
      <c r="P154" s="1448"/>
      <c r="Q154" s="1448"/>
      <c r="R154" s="1448"/>
      <c r="S154" s="1448"/>
      <c r="T154" s="465" cm="1" t="str">
        <f t="array" ref="T154:T154">T153</f>
        <v>true</v>
      </c>
      <c r="U154" s="1448"/>
      <c r="V154" s="1448"/>
      <c r="W154" s="1448"/>
      <c r="X154" s="1448"/>
      <c r="Y154" s="1448"/>
      <c r="Z154" s="1448"/>
      <c r="AA154" s="1494"/>
      <c r="AB154" s="89" t="str">
        <f>AB150&amp;".4"</f>
        <v>7.1.4</v>
      </c>
      <c r="AC154" s="332" t="s">
        <v>1589</v>
      </c>
      <c r="AD154" s="92" t="s">
        <v>1573</v>
      </c>
      <c r="AE154" s="3428"/>
      <c r="AF154" s="3428"/>
      <c r="AG154" s="3428"/>
      <c r="AH154" s="3428"/>
      <c r="AI154" s="3428">
        <v>3980.10933</v>
      </c>
      <c r="AJ154" s="3428">
        <v>3980.10933</v>
      </c>
      <c r="AK154" s="3428">
        <v>3980.10933</v>
      </c>
      <c r="AL154" s="3428">
        <v>3980.10933</v>
      </c>
      <c r="AM154" s="3428">
        <v>3980.10933</v>
      </c>
      <c r="AN154" s="3425"/>
      <c r="AO154" s="3425"/>
      <c r="AP154" s="3425"/>
      <c r="AQ154" s="3425"/>
      <c r="AR154" s="3425"/>
      <c r="AS154" s="3428">
        <v>3980.10933</v>
      </c>
      <c r="AT154" s="3428" cm="1" t="str">
        <f t="array" ref="AT154:AT154">AS154</f>
        <v>3980.10933</v>
      </c>
      <c r="AU154" s="3428" cm="1" t="str">
        <f t="array" ref="AU154:AU154">AT154</f>
        <v>3980.10933</v>
      </c>
      <c r="AV154" s="3428" cm="1" t="str">
        <f t="array" ref="AV154:AV154">AU154</f>
        <v>3980.10933</v>
      </c>
      <c r="AW154" s="3428" cm="1" t="str">
        <f t="array" ref="AW154:AW154">AV154</f>
        <v>3980.10933</v>
      </c>
      <c r="AX154" s="3425"/>
      <c r="AY154" s="3425"/>
      <c r="AZ154" s="3425"/>
      <c r="BA154" s="3425"/>
      <c r="BB154" s="3425"/>
      <c r="BC154" s="3427" t="s">
        <v>1619</v>
      </c>
      <c r="BD154" s="1448"/>
      <c r="BE154" s="1448"/>
      <c r="BF154" s="1030" t="s">
        <v>1601</v>
      </c>
      <c r="BG154" s="1030" t="s">
        <v>1594</v>
      </c>
      <c r="BH154" s="1030" cm="1" t="str">
        <f t="array" ref="BH154:BH154">BH153</f>
        <v>СН2</v>
      </c>
      <c r="BI154" s="146" cm="1" t="str">
        <f t="array" ref="BI154:BI154">BI153</f>
        <v>ПАО "Кузбассэнергосбыт" (ИНН: 4205109214, КПП: 420501001)</v>
      </c>
      <c r="BJ154" s="267"/>
      <c r="BK154" s="267"/>
    </row>
    <row s="1448" customFormat="1" customHeight="1" ht="12.75">
      <c r="A155" s="1448"/>
      <c r="B155" s="1448"/>
      <c r="C155" s="1448"/>
      <c r="D155" s="1448"/>
      <c r="E155" s="267">
        <v>11.25</v>
      </c>
      <c r="F155" s="50" cm="1" t="str">
        <f t="array" ref="F155:F155">OFFSET(E155,-1,1)</f>
        <v>3</v>
      </c>
      <c r="G155" s="126" t="s">
        <v>1393</v>
      </c>
      <c r="H155" s="126" cm="1" t="str">
        <f t="array" ref="H155:H155">H154</f>
        <v>СН2</v>
      </c>
      <c r="I155" s="1448"/>
      <c r="J155" s="1448"/>
      <c r="K155" s="1448"/>
      <c r="L155" s="1448"/>
      <c r="M155" s="1448"/>
      <c r="N155" s="1448"/>
      <c r="O155" s="1448"/>
      <c r="P155" s="1448"/>
      <c r="Q155" s="1448"/>
      <c r="R155" s="1448"/>
      <c r="S155" s="1448"/>
      <c r="T155" s="465" cm="1" t="str">
        <f t="array" ref="T155:T155">T154</f>
        <v>true</v>
      </c>
      <c r="U155" s="1448"/>
      <c r="V155" s="1448"/>
      <c r="W155" s="1448"/>
      <c r="X155" s="1448"/>
      <c r="Y155" s="1448"/>
      <c r="Z155" s="1448"/>
      <c r="AA155" s="1494"/>
      <c r="AB155" s="89" t="str">
        <f>AB150&amp;".5"</f>
        <v>7.1.5</v>
      </c>
      <c r="AC155" s="192" t="s">
        <v>1602</v>
      </c>
      <c r="AD155" s="89" t="s">
        <v>1596</v>
      </c>
      <c r="AE155" s="3428"/>
      <c r="AF155" s="3428"/>
      <c r="AG155" s="3428"/>
      <c r="AH155" s="3428"/>
      <c r="AI155" s="3428">
        <v>12358.3727285482</v>
      </c>
      <c r="AJ155" s="3428">
        <v>13482.9846468461</v>
      </c>
      <c r="AK155" s="3428">
        <v>14143.6508945416</v>
      </c>
      <c r="AL155" s="3428">
        <v>14836.6897883741</v>
      </c>
      <c r="AM155" s="3428">
        <v>15563.6875880044</v>
      </c>
      <c r="AN155" s="3425"/>
      <c r="AO155" s="3425"/>
      <c r="AP155" s="3425"/>
      <c r="AQ155" s="3425"/>
      <c r="AR155" s="3425"/>
      <c r="AS155" s="3428">
        <f>2217.903*1.132*AS157*12/1000</f>
        <v>12358.3727285482</v>
      </c>
      <c r="AT155" s="3428">
        <f>AS156*1.091*AT157*12/1000</f>
        <v>13482.9846468461</v>
      </c>
      <c r="AU155" s="3428">
        <f>AT156*1.049*AU157*12/1000</f>
        <v>14143.6508945416</v>
      </c>
      <c r="AV155" s="3428">
        <f>AU156*1.049*AV157*12/1000</f>
        <v>14836.6897883741</v>
      </c>
      <c r="AW155" s="3428">
        <f>AV156*1.049*AW157*12/1000</f>
        <v>15563.6875880044</v>
      </c>
      <c r="AX155" s="3425"/>
      <c r="AY155" s="3425"/>
      <c r="AZ155" s="3425"/>
      <c r="BA155" s="3425"/>
      <c r="BB155" s="3425"/>
      <c r="BC155" s="3427"/>
      <c r="BD155" s="1448"/>
      <c r="BE155" s="1448"/>
      <c r="BF155" s="1030" t="s">
        <v>1603</v>
      </c>
      <c r="BG155" s="1030" t="s">
        <v>1594</v>
      </c>
      <c r="BH155" s="1030" cm="1" t="str">
        <f t="array" ref="BH155:BH155">BH154</f>
        <v>СН2</v>
      </c>
      <c r="BI155" s="146" cm="1" t="str">
        <f t="array" ref="BI155:BI155">BI154</f>
        <v>ПАО "Кузбассэнергосбыт" (ИНН: 4205109214, КПП: 420501001)</v>
      </c>
      <c r="BJ155" s="267"/>
      <c r="BK155" s="267"/>
    </row>
    <row s="1448" customFormat="1" customHeight="1" ht="23.25">
      <c r="A156" s="1448"/>
      <c r="B156" s="1448"/>
      <c r="C156" s="1448"/>
      <c r="D156" s="1448"/>
      <c r="E156" s="267">
        <v>11.25</v>
      </c>
      <c r="F156" s="50" cm="1" t="str">
        <f t="array" ref="F156:F156">OFFSET(E156,-1,1)</f>
        <v>3</v>
      </c>
      <c r="G156" s="126" t="s">
        <v>1604</v>
      </c>
      <c r="H156" s="126" cm="1" t="str">
        <f t="array" ref="H156:H156">H155</f>
        <v>СН2</v>
      </c>
      <c r="I156" s="1448"/>
      <c r="J156" s="1448"/>
      <c r="K156" s="1448"/>
      <c r="L156" s="1448"/>
      <c r="M156" s="1448"/>
      <c r="N156" s="1448"/>
      <c r="O156" s="1448"/>
      <c r="P156" s="1448"/>
      <c r="Q156" s="1448"/>
      <c r="R156" s="1448"/>
      <c r="S156" s="1448"/>
      <c r="T156" s="465" cm="1" t="str">
        <f t="array" ref="T156:T156">T155</f>
        <v>true</v>
      </c>
      <c r="U156" s="1448"/>
      <c r="V156" s="1448"/>
      <c r="W156" s="1448"/>
      <c r="X156" s="1448"/>
      <c r="Y156" s="1448"/>
      <c r="Z156" s="1448"/>
      <c r="AA156" s="1494"/>
      <c r="AB156" s="89" t="str">
        <f>AB150&amp;".6"</f>
        <v>7.1.6</v>
      </c>
      <c r="AC156" s="332" t="s">
        <v>1605</v>
      </c>
      <c r="AD156" s="92" t="s">
        <v>1606</v>
      </c>
      <c r="AE156" s="142">
        <f>IF(OR(AND(AE155&lt;&gt;0,AE157=0),AND(AE155=0,AE157&lt;&gt;0)),"Ошибка",IF(AE157=0,0,AE155/AE157*1000/12))</f>
        <v>0</v>
      </c>
      <c r="AF156" s="142">
        <f>IF(OR(AND(AF155&lt;&gt;0,AF157=0),AND(AF155=0,AF157&lt;&gt;0)),"Ошибка",IF(AF157=0,0,AF155/AF157*1000/12))</f>
        <v>0</v>
      </c>
      <c r="AG156" s="142">
        <f>IF(OR(AND(AG155&lt;&gt;0,AG157=0),AND(AG155=0,AG157&lt;&gt;0)),"Ошибка",IF(AG157=0,0,AG155/AG157*1000/12))</f>
        <v>0</v>
      </c>
      <c r="AH156" s="142">
        <f>IF(OR(AND(AH155&lt;&gt;0,AH157=0),AND(AH155=0,AH157&lt;&gt;0)),"Ошибка",IF(AH157=0,0,AH155/AH157*1000/12))</f>
        <v>0</v>
      </c>
      <c r="AI156" s="142">
        <f>IF(OR(AND(AI155&lt;&gt;0,AI157=0),AND(AI155=0,AI157&lt;&gt;0)),"Ошибка",IF(AI157=0,0,AI155/AI157*1000/12))</f>
        <v>2510.666196</v>
      </c>
      <c r="AJ156" s="142">
        <f>IF(OR(AND(AJ155&lt;&gt;0,AJ157=0),AND(AJ155=0,AJ157&lt;&gt;0)),"Ошибка",IF(AJ157=0,0,AJ155/AJ157*1000/12))</f>
        <v>2739.136819836</v>
      </c>
      <c r="AK156" s="142">
        <f>IF(OR(AND(AK155&lt;&gt;0,AK157=0),AND(AK155=0,AK157&lt;&gt;0)),"Ошибка",IF(AK157=0,0,AK155/AK157*1000/12))</f>
        <v>2873.35452400797</v>
      </c>
      <c r="AL156" s="142">
        <f>IF(OR(AND(AL155&lt;&gt;0,AL157=0),AND(AL155=0,AL157&lt;&gt;0)),"Ошибка",IF(AL157=0,0,AL155/AL157*1000/12))</f>
        <v>3014.14889568435</v>
      </c>
      <c r="AM156" s="142">
        <f>IF(OR(AND(AM155&lt;&gt;0,AM157=0),AND(AM155=0,AM157&lt;&gt;0)),"Ошибка",IF(AM157=0,0,AM155/AM157*1000/12))</f>
        <v>3161.84219157288</v>
      </c>
      <c r="AN156" s="142">
        <f>IF(OR(AND(AN155&lt;&gt;0,AN157=0),AND(AN155=0,AN157&lt;&gt;0)),"Ошибка",IF(AN157=0,0,AN155/AN157*1000/12))</f>
        <v>0</v>
      </c>
      <c r="AO156" s="142">
        <f>IF(OR(AND(AO155&lt;&gt;0,AO157=0),AND(AO155=0,AO157&lt;&gt;0)),"Ошибка",IF(AO157=0,0,AO155/AO157*1000/12))</f>
        <v>0</v>
      </c>
      <c r="AP156" s="142">
        <f>IF(OR(AND(AP155&lt;&gt;0,AP157=0),AND(AP155=0,AP157&lt;&gt;0)),"Ошибка",IF(AP157=0,0,AP155/AP157*1000/12))</f>
        <v>0</v>
      </c>
      <c r="AQ156" s="142">
        <f>IF(OR(AND(AQ155&lt;&gt;0,AQ157=0),AND(AQ155=0,AQ157&lt;&gt;0)),"Ошибка",IF(AQ157=0,0,AQ155/AQ157*1000/12))</f>
        <v>0</v>
      </c>
      <c r="AR156" s="142">
        <f>IF(OR(AND(AR155&lt;&gt;0,AR157=0),AND(AR155=0,AR157&lt;&gt;0)),"Ошибка",IF(AR157=0,0,AR155/AR157*1000/12))</f>
        <v>0</v>
      </c>
      <c r="AS156" s="142">
        <f>IF(OR(AND(AS155&lt;&gt;0,AS157=0),AND(AS155=0,AS157&lt;&gt;0)),"Ошибка",IF(AS157=0,0,AS155/AS157*1000/12))</f>
        <v>2510.666196</v>
      </c>
      <c r="AT156" s="142">
        <f>IF(OR(AND(AT155&lt;&gt;0,AT157=0),AND(AT155=0,AT157&lt;&gt;0)),"Ошибка",IF(AT157=0,0,AT155/AT157*1000/12))</f>
        <v>2739.136819836</v>
      </c>
      <c r="AU156" s="142">
        <f>IF(OR(AND(AU155&lt;&gt;0,AU157=0),AND(AU155=0,AU157&lt;&gt;0)),"Ошибка",IF(AU157=0,0,AU155/AU157*1000/12))</f>
        <v>2873.35452400797</v>
      </c>
      <c r="AV156" s="142">
        <f>IF(OR(AND(AV155&lt;&gt;0,AV157=0),AND(AV155=0,AV157&lt;&gt;0)),"Ошибка",IF(AV157=0,0,AV155/AV157*1000/12))</f>
        <v>3014.14889568435</v>
      </c>
      <c r="AW156" s="142">
        <f>IF(OR(AND(AW155&lt;&gt;0,AW157=0),AND(AW155=0,AW157&lt;&gt;0)),"Ошибка",IF(AW157=0,0,AW155/AW157*1000/12))</f>
        <v>3161.84219157288</v>
      </c>
      <c r="AX156" s="142">
        <f>IF(OR(AND(AX155&lt;&gt;0,AX157=0),AND(AX155=0,AX157&lt;&gt;0)),"Ошибка",IF(AX157=0,0,AX155/AX157*1000/12))</f>
        <v>0</v>
      </c>
      <c r="AY156" s="142">
        <f>IF(OR(AND(AY155&lt;&gt;0,AY157=0),AND(AY155=0,AY157&lt;&gt;0)),"Ошибка",IF(AY157=0,0,AY155/AY157*1000/12))</f>
        <v>0</v>
      </c>
      <c r="AZ156" s="142">
        <f>IF(OR(AND(AZ155&lt;&gt;0,AZ157=0),AND(AZ155=0,AZ157&lt;&gt;0)),"Ошибка",IF(AZ157=0,0,AZ155/AZ157*1000/12))</f>
        <v>0</v>
      </c>
      <c r="BA156" s="142">
        <f>IF(OR(AND(BA155&lt;&gt;0,BA157=0),AND(BA155=0,BA157&lt;&gt;0)),"Ошибка",IF(BA157=0,0,BA155/BA157*1000/12))</f>
        <v>0</v>
      </c>
      <c r="BB156" s="142">
        <f>IF(OR(AND(BB155&lt;&gt;0,BB157=0),AND(BB155=0,BB157&lt;&gt;0)),"Ошибка",IF(BB157=0,0,BB155/BB157*1000/12))</f>
        <v>0</v>
      </c>
      <c r="BC156" s="3427" t="s">
        <v>1618</v>
      </c>
      <c r="BD156" s="1448"/>
      <c r="BE156" s="1448"/>
      <c r="BF156" s="1030" t="s">
        <v>1607</v>
      </c>
      <c r="BG156" s="1030" t="s">
        <v>1594</v>
      </c>
      <c r="BH156" s="1030" cm="1" t="str">
        <f t="array" ref="BH156:BH156">BH155</f>
        <v>СН2</v>
      </c>
      <c r="BI156" s="146" cm="1" t="str">
        <f t="array" ref="BI156:BI156">BI155</f>
        <v>ПАО "Кузбассэнергосбыт" (ИНН: 4205109214, КПП: 420501001)</v>
      </c>
      <c r="BJ156" s="267"/>
      <c r="BK156" s="267"/>
    </row>
    <row s="1448" customFormat="1" customHeight="1" ht="33.75">
      <c r="A157" s="1448"/>
      <c r="B157" s="1448"/>
      <c r="C157" s="1448"/>
      <c r="D157" s="1448"/>
      <c r="E157" s="267">
        <v>11.25</v>
      </c>
      <c r="F157" s="50" cm="1" t="str">
        <f t="array" ref="F157:F157">OFFSET(E157,-1,1)</f>
        <v>3</v>
      </c>
      <c r="G157" s="126" t="s">
        <v>1608</v>
      </c>
      <c r="H157" s="126" cm="1" t="str">
        <f t="array" ref="H157:H157">H156</f>
        <v>СН2</v>
      </c>
      <c r="I157" s="1448"/>
      <c r="J157" s="1448"/>
      <c r="K157" s="1448"/>
      <c r="L157" s="1448"/>
      <c r="M157" s="1448"/>
      <c r="N157" s="1448"/>
      <c r="O157" s="1448"/>
      <c r="P157" s="1448"/>
      <c r="Q157" s="1448"/>
      <c r="R157" s="1448"/>
      <c r="S157" s="1448"/>
      <c r="T157" s="465" cm="1" t="str">
        <f t="array" ref="T157:T157">T156</f>
        <v>true</v>
      </c>
      <c r="U157" s="1448"/>
      <c r="V157" s="1448"/>
      <c r="W157" s="1448"/>
      <c r="X157" s="1448"/>
      <c r="Y157" s="1448"/>
      <c r="Z157" s="1448"/>
      <c r="AA157" s="1494"/>
      <c r="AB157" s="89" t="str">
        <f>AB150&amp;".7"</f>
        <v>7.1.7</v>
      </c>
      <c r="AC157" s="332" t="s">
        <v>1609</v>
      </c>
      <c r="AD157" s="92" t="s">
        <v>1610</v>
      </c>
      <c r="AE157" s="3428"/>
      <c r="AF157" s="3428"/>
      <c r="AG157" s="3428"/>
      <c r="AH157" s="3428"/>
      <c r="AI157" s="3428">
        <v>410.195666666667</v>
      </c>
      <c r="AJ157" s="3428" cm="1" t="str">
        <f t="array" ref="AJ157:AJ157">AI157</f>
        <v>410.195666666667</v>
      </c>
      <c r="AK157" s="3428" cm="1" t="str">
        <f t="array" ref="AK157:AK157">AJ157</f>
        <v>410.195666666667</v>
      </c>
      <c r="AL157" s="3428" cm="1" t="str">
        <f t="array" ref="AL157:AL157">AK157</f>
        <v>410.195666666667</v>
      </c>
      <c r="AM157" s="3428" cm="1" t="str">
        <f t="array" ref="AM157:AM157">AL157</f>
        <v>410.195666666667</v>
      </c>
      <c r="AN157" s="3425"/>
      <c r="AO157" s="3425"/>
      <c r="AP157" s="3425"/>
      <c r="AQ157" s="3425"/>
      <c r="AR157" s="3425"/>
      <c r="AS157" s="3428">
        <f>4.922348/12*1000</f>
        <v>410.195666666667</v>
      </c>
      <c r="AT157" s="3428" cm="1" t="str">
        <f t="array" ref="AT157:AT157">AS157</f>
        <v>410.195666666667</v>
      </c>
      <c r="AU157" s="3428" cm="1" t="str">
        <f t="array" ref="AU157:AU157">AT157</f>
        <v>410.195666666667</v>
      </c>
      <c r="AV157" s="3428" cm="1" t="str">
        <f t="array" ref="AV157:AV157">AU157</f>
        <v>410.195666666667</v>
      </c>
      <c r="AW157" s="3428" cm="1" t="str">
        <f t="array" ref="AW157:AW157">AV157</f>
        <v>410.195666666667</v>
      </c>
      <c r="AX157" s="3425"/>
      <c r="AY157" s="3425"/>
      <c r="AZ157" s="3425"/>
      <c r="BA157" s="3425"/>
      <c r="BB157" s="3425"/>
      <c r="BC157" s="3427" t="s">
        <v>1620</v>
      </c>
      <c r="BD157" s="1448"/>
      <c r="BE157" s="1448"/>
      <c r="BF157" s="1030" t="s">
        <v>1611</v>
      </c>
      <c r="BG157" s="1030" t="s">
        <v>1594</v>
      </c>
      <c r="BH157" s="1030" cm="1" t="str">
        <f t="array" ref="BH157:BH157">BH156</f>
        <v>СН2</v>
      </c>
      <c r="BI157" s="146" cm="1" t="str">
        <f t="array" ref="BI157:BI157">BI156</f>
        <v>ПАО "Кузбассэнергосбыт" (ИНН: 4205109214, КПП: 420501001)</v>
      </c>
      <c r="BJ157" s="267"/>
      <c r="BK157" s="267"/>
    </row>
    <row s="1426" customFormat="1" customHeight="1" ht="14.25">
      <c r="A158" s="1426"/>
      <c r="B158" s="427"/>
      <c r="C158" s="483"/>
      <c r="D158" s="1426"/>
      <c r="E158" s="633">
        <v>15</v>
      </c>
      <c r="F158" s="50" cm="1" t="str">
        <f t="array" ref="F158:F158">OFFSET(E158,-1,1)</f>
        <v>3</v>
      </c>
      <c r="G158" s="1426"/>
      <c r="H158" s="957" t="s">
        <v>1612</v>
      </c>
      <c r="I158" s="1426"/>
      <c r="J158" s="1426"/>
      <c r="K158" s="1426"/>
      <c r="L158" s="1426"/>
      <c r="M158" s="1426"/>
      <c r="N158" s="1426"/>
      <c r="O158" s="1426"/>
      <c r="P158" s="1426"/>
      <c r="Q158" s="1426"/>
      <c r="R158" s="1426"/>
      <c r="S158" s="1426"/>
      <c r="T158" s="465">
        <f>F158&gt;0</f>
        <v>1</v>
      </c>
      <c r="U158" s="1426"/>
      <c r="V158" s="1426"/>
      <c r="W158" s="757" t="s">
        <v>1613</v>
      </c>
      <c r="X158" s="1543"/>
      <c r="Y158" s="1426"/>
      <c r="Z158" s="1565"/>
      <c r="AA158" s="1426"/>
      <c r="AB158" s="175"/>
      <c r="AC158" s="178" t="s">
        <v>1614</v>
      </c>
      <c r="AD158" s="176"/>
      <c r="AE158" s="176"/>
      <c r="AF158" s="176"/>
      <c r="AG158" s="176"/>
      <c r="AH158" s="176"/>
      <c r="AI158" s="176"/>
      <c r="AJ158" s="176"/>
      <c r="AK158" s="176"/>
      <c r="AL158" s="176"/>
      <c r="AM158" s="176"/>
      <c r="AN158" s="176"/>
      <c r="AO158" s="176"/>
      <c r="AP158" s="176"/>
      <c r="AQ158" s="176"/>
      <c r="AR158" s="176"/>
      <c r="AS158" s="176"/>
      <c r="AT158" s="176"/>
      <c r="AU158" s="176"/>
      <c r="AV158" s="176"/>
      <c r="AW158" s="176"/>
      <c r="AX158" s="176"/>
      <c r="AY158" s="176"/>
      <c r="AZ158" s="176"/>
      <c r="BA158" s="176"/>
      <c r="BB158" s="176"/>
      <c r="BC158" s="187"/>
      <c r="BD158" s="1426"/>
      <c r="BE158" s="1426"/>
      <c r="BF158" s="1018"/>
      <c r="BG158" s="1018"/>
      <c r="BH158" s="1018"/>
      <c r="BI158" s="1426"/>
      <c r="BJ158" s="633" t="s">
        <v>1594</v>
      </c>
      <c r="BK158" s="633"/>
    </row>
    <row s="3457" customFormat="1" customHeight="1" ht="14.25">
      <c r="A159" s="1446"/>
      <c r="B159" s="429"/>
      <c r="C159" s="485"/>
      <c r="D159" s="1446"/>
      <c r="E159" s="632">
        <v>15</v>
      </c>
      <c r="F159" s="98" cm="1" t="str">
        <f t="array" ref="F159:F159">X159</f>
        <v>4</v>
      </c>
      <c r="G159" s="98"/>
      <c r="H159" s="98"/>
      <c r="I159" s="1446"/>
      <c r="J159" s="1446"/>
      <c r="K159" s="1446"/>
      <c r="L159" s="1446"/>
      <c r="M159" s="1446"/>
      <c r="N159" s="1446"/>
      <c r="O159" s="1446"/>
      <c r="P159" s="1446"/>
      <c r="Q159" s="1446"/>
      <c r="R159" s="1446"/>
      <c r="S159" s="1446"/>
      <c r="T159" s="465">
        <f>X159&gt;0</f>
        <v>1</v>
      </c>
      <c r="U159" s="1446"/>
      <c r="V159" s="144" cm="1" t="str">
        <f t="array" ref="V159:V159">'Сырье и материалы'!$AB$138</f>
        <v>Тариф 4 (Водоотведение) - тариф на водоотведение (Доп. признак не требуется)</v>
      </c>
      <c r="W159" s="1446"/>
      <c r="X159" s="1543" t="s">
        <v>295</v>
      </c>
      <c r="Y159" s="1446"/>
      <c r="Z159" s="1565"/>
      <c r="AA159" s="1446"/>
      <c r="AB159" s="183" cm="1" t="str">
        <f t="array" ref="AB159:AB159">'Сырье и материалы'!$AB$138</f>
        <v>Тариф 4 (Водоотведение) - тариф на водоотведение (Доп. признак не требуется)</v>
      </c>
      <c r="AC159" s="180"/>
      <c r="AD159" s="174"/>
      <c r="AE159" s="174"/>
      <c r="AF159" s="174"/>
      <c r="AG159" s="174"/>
      <c r="AH159" s="174"/>
      <c r="AI159" s="174"/>
      <c r="AJ159" s="174"/>
      <c r="AK159" s="174"/>
      <c r="AL159" s="174"/>
      <c r="AM159" s="174"/>
      <c r="AN159" s="174"/>
      <c r="AO159" s="174"/>
      <c r="AP159" s="174"/>
      <c r="AQ159" s="174"/>
      <c r="AR159" s="174"/>
      <c r="AS159" s="174"/>
      <c r="AT159" s="174"/>
      <c r="AU159" s="174"/>
      <c r="AV159" s="174"/>
      <c r="AW159" s="174"/>
      <c r="AX159" s="174"/>
      <c r="AY159" s="174"/>
      <c r="AZ159" s="174"/>
      <c r="BA159" s="174"/>
      <c r="BB159" s="174"/>
      <c r="BC159" s="174"/>
      <c r="BD159" s="1446"/>
      <c r="BE159" s="1446"/>
      <c r="BF159" s="1013"/>
      <c r="BG159" s="1013"/>
      <c r="BH159" s="1013"/>
      <c r="BI159" s="1446"/>
      <c r="BJ159" s="630"/>
      <c r="BK159" s="630"/>
    </row>
    <row s="1448" customFormat="1" customHeight="1" ht="149.25">
      <c r="A160" s="1812"/>
      <c r="B160" s="429"/>
      <c r="C160" s="483"/>
      <c r="D160" s="956"/>
      <c r="E160" s="267">
        <v>11.25</v>
      </c>
      <c r="F160" s="50" cm="1" t="str">
        <f t="array" ref="F160:F160">OFFSET(E160,-1,1)</f>
        <v>4</v>
      </c>
      <c r="G160" s="126" t="s">
        <v>332</v>
      </c>
      <c r="H160" s="126"/>
      <c r="I160" s="1812"/>
      <c r="J160" s="1812"/>
      <c r="K160" s="483" t="str">
        <f>F160&amp;"komm"</f>
        <v>4komm</v>
      </c>
      <c r="L160" s="917" cm="1" t="str">
        <f t="array" ref="L160:L160">BC160</f>
        <v>В соответствии с п. 20 Методических указаний расходы регулируемой организации на приобретаемые электрическую энергию (мощность), тепловую энергию (мощность), другие виды энергетических ресурсов, холодную воду, теплоноситель определяются как сумма произведений расчетных экономически (технологически, технически) обоснованных объемов приобретаемых электрической энергии (мощности), тепловой энергии (мощности), других видов энергетических ресурсов холодной воды на соответственно плановые (расчетные) цены (тарифы) на электрическую энергию (мощность), тепловую энергию (мощность), другие виды энергетических ресурсов, холодную воду. Объемы приобретаемой электрической энергии (мощности), тепловой энергии (мощности) определяются с учетом показателей надежности, качества, энергетической эффективности в сфере водоснабжения и (или) водоотведения, определенных в установленном порядке.</v>
      </c>
      <c r="M160" s="1812"/>
      <c r="N160" s="1812"/>
      <c r="O160" s="1812"/>
      <c r="P160" s="1812"/>
      <c r="Q160" s="1812"/>
      <c r="R160" s="1812"/>
      <c r="S160" s="1812"/>
      <c r="T160" s="465" cm="1" t="str">
        <f t="array" ref="T160:T160">T159</f>
        <v>true</v>
      </c>
      <c r="U160" s="1812"/>
      <c r="V160" s="1812"/>
      <c r="W160" s="1812"/>
      <c r="X160" s="1543"/>
      <c r="Y160" s="1812"/>
      <c r="Z160" s="1565"/>
      <c r="AA160" s="1812"/>
      <c r="AB160" s="89" t="s">
        <v>276</v>
      </c>
      <c r="AC160" s="138" t="s">
        <v>1513</v>
      </c>
      <c r="AD160" s="89" t="s">
        <v>1514</v>
      </c>
      <c r="AE160" s="191">
        <f>IF(COUNTIF(AE165:AE188,"Ошибка")&gt;0,"Ошибка",SUMIF($AD165:$AD188,$AD160,AE165:AE188))</f>
        <v>0</v>
      </c>
      <c r="AF160" s="191">
        <f>IF(COUNTIF(AF165:AF188,"Ошибка")&gt;0,"Ошибка",SUMIF($AD165:$AD188,$AD160,AF165:AF188))</f>
        <v>0</v>
      </c>
      <c r="AG160" s="191">
        <f>IF(COUNTIF(AG165:AG188,"Ошибка")&gt;0,"Ошибка",SUMIF($AD165:$AD188,$AD160,AG165:AG188))</f>
        <v>0</v>
      </c>
      <c r="AH160" s="191">
        <f>IF(COUNTIF(AH165:AH188,"Ошибка")&gt;0,"Ошибка",SUMIF($AD165:$AD188,$AD160,AH165:AH188))</f>
        <v>0</v>
      </c>
      <c r="AI160" s="191">
        <f>IF(COUNTIF(AI165:AI188,"Ошибка")&gt;0,"Ошибка",SUMIF($AD165:$AD188,$AD160,AI165:AI188))</f>
        <v>8385.20781084891</v>
      </c>
      <c r="AJ160" s="191">
        <f>IF(COUNTIF(AJ165:AJ188,"Ошибка")&gt;0,"Ошибка",SUMIF($AD165:$AD188,$AD160,AJ165:AJ188))</f>
        <v>9148.26172163616</v>
      </c>
      <c r="AK160" s="191">
        <f>IF(COUNTIF(AK165:AK188,"Ошибка")&gt;0,"Ошибка",SUMIF($AD165:$AD188,$AD160,AK165:AK188))</f>
        <v>9596.52654599633</v>
      </c>
      <c r="AL160" s="191">
        <f>IF(COUNTIF(AL165:AL188,"Ошибка")&gt;0,"Ошибка",SUMIF($AD165:$AD188,$AD160,AL165:AL188))</f>
        <v>10066.7563467501</v>
      </c>
      <c r="AM160" s="191">
        <f>IF(COUNTIF(AM165:AM188,"Ошибка")&gt;0,"Ошибка",SUMIF($AD165:$AD188,$AD160,AM165:AM188))</f>
        <v>10560.0274077409</v>
      </c>
      <c r="AN160" s="191">
        <f>IF(COUNTIF(AN165:AN188,"Ошибка")&gt;0,"Ошибка",SUMIF($AD165:$AD188,$AD160,AN165:AN188))</f>
        <v>0</v>
      </c>
      <c r="AO160" s="191">
        <f>IF(COUNTIF(AO165:AO188,"Ошибка")&gt;0,"Ошибка",SUMIF($AD165:$AD188,$AD160,AO165:AO188))</f>
        <v>0</v>
      </c>
      <c r="AP160" s="191">
        <f>IF(COUNTIF(AP165:AP188,"Ошибка")&gt;0,"Ошибка",SUMIF($AD165:$AD188,$AD160,AP165:AP188))</f>
        <v>0</v>
      </c>
      <c r="AQ160" s="191">
        <f>IF(COUNTIF(AQ165:AQ188,"Ошибка")&gt;0,"Ошибка",SUMIF($AD165:$AD188,$AD160,AQ165:AQ188))</f>
        <v>0</v>
      </c>
      <c r="AR160" s="191">
        <f>IF(COUNTIF(AR165:AR188,"Ошибка")&gt;0,"Ошибка",SUMIF($AD165:$AD188,$AD160,AR165:AR188))</f>
        <v>0</v>
      </c>
      <c r="AS160" s="191">
        <f>IF(COUNTIF(AS165:AS188,"Ошибка")&gt;0,"Ошибка",SUMIF($AD165:$AD188,$AD160,AS165:AS188))</f>
        <v>8385.20781084891</v>
      </c>
      <c r="AT160" s="191">
        <f>IF(COUNTIF(AT165:AT188,"Ошибка")&gt;0,"Ошибка",SUMIF($AD165:$AD188,$AD160,AT165:AT188))</f>
        <v>9148.26172163616</v>
      </c>
      <c r="AU160" s="191">
        <f>IF(COUNTIF(AU165:AU188,"Ошибка")&gt;0,"Ошибка",SUMIF($AD165:$AD188,$AD160,AU165:AU188))</f>
        <v>9596.52654599633</v>
      </c>
      <c r="AV160" s="191">
        <f>IF(COUNTIF(AV165:AV188,"Ошибка")&gt;0,"Ошибка",SUMIF($AD165:$AD188,$AD160,AV165:AV188))</f>
        <v>10066.7563467501</v>
      </c>
      <c r="AW160" s="191">
        <f>IF(COUNTIF(AW165:AW188,"Ошибка")&gt;0,"Ошибка",SUMIF($AD165:$AD188,$AD160,AW165:AW188))</f>
        <v>10560.0274077409</v>
      </c>
      <c r="AX160" s="191">
        <f>IF(COUNTIF(AX165:AX188,"Ошибка")&gt;0,"Ошибка",SUMIF($AD165:$AD188,$AD160,AX165:AX188))</f>
        <v>0</v>
      </c>
      <c r="AY160" s="191">
        <f>IF(COUNTIF(AY165:AY188,"Ошибка")&gt;0,"Ошибка",SUMIF($AD165:$AD188,$AD160,AY165:AY188))</f>
        <v>0</v>
      </c>
      <c r="AZ160" s="191">
        <f>IF(COUNTIF(AZ165:AZ188,"Ошибка")&gt;0,"Ошибка",SUMIF($AD165:$AD188,$AD160,AZ165:AZ188))</f>
        <v>0</v>
      </c>
      <c r="BA160" s="191">
        <f>IF(COUNTIF(BA165:BA188,"Ошибка")&gt;0,"Ошибка",SUMIF($AD165:$AD188,$AD160,BA165:BA188))</f>
        <v>0</v>
      </c>
      <c r="BB160" s="191">
        <f>IF(COUNTIF(BB165:BB188,"Ошибка")&gt;0,"Ошибка",SUMIF($AD165:$AD188,$AD160,BB165:BB188))</f>
        <v>0</v>
      </c>
      <c r="BC160" s="200" t="s">
        <v>1615</v>
      </c>
      <c r="BD160" s="1812"/>
      <c r="BE160" s="1812"/>
      <c r="BF160" s="1030" t="s">
        <v>1571</v>
      </c>
      <c r="BG160" s="1030"/>
      <c r="BH160" s="1030"/>
      <c r="BI160" s="1812"/>
      <c r="BJ160" s="267"/>
      <c r="BK160" s="267"/>
    </row>
    <row s="1448" customFormat="1" customHeight="1" ht="10.5">
      <c r="A161" s="1812"/>
      <c r="B161" s="429"/>
      <c r="C161" s="483"/>
      <c r="D161" s="1812"/>
      <c r="E161" s="267">
        <v>11.25</v>
      </c>
      <c r="F161" s="50" cm="1" t="str">
        <f t="array" ref="F161:F161">OFFSET(E161,-1,1)</f>
        <v>4</v>
      </c>
      <c r="G161" s="126" t="s">
        <v>333</v>
      </c>
      <c r="H161" s="126"/>
      <c r="I161" s="1812"/>
      <c r="J161" s="1812"/>
      <c r="K161" s="1812"/>
      <c r="L161" s="1812"/>
      <c r="M161" s="1812"/>
      <c r="N161" s="1812"/>
      <c r="O161" s="1812"/>
      <c r="P161" s="1812"/>
      <c r="Q161" s="1812"/>
      <c r="R161" s="1812"/>
      <c r="S161" s="1812"/>
      <c r="T161" s="465" cm="1" t="str">
        <f t="array" ref="T161:T161">T160</f>
        <v>true</v>
      </c>
      <c r="U161" s="1812"/>
      <c r="V161" s="1812"/>
      <c r="W161" s="1812"/>
      <c r="X161" s="1543"/>
      <c r="Y161" s="1812"/>
      <c r="Z161" s="1565"/>
      <c r="AA161" s="1812"/>
      <c r="AB161" s="89" t="s">
        <v>285</v>
      </c>
      <c r="AC161" s="138" t="s">
        <v>1572</v>
      </c>
      <c r="AD161" s="92" t="s">
        <v>1573</v>
      </c>
      <c r="AE161" s="191">
        <f>SUMIF(AD165:AD188,AD161,AE165:AE188)</f>
        <v>0</v>
      </c>
      <c r="AF161" s="191">
        <f>SUMIF(AD165:AD188,AD161,AF165:AF188)</f>
        <v>0</v>
      </c>
      <c r="AG161" s="191">
        <f>SUMIF(AD165:AD188,AD161,AG165:AG188)</f>
        <v>0</v>
      </c>
      <c r="AH161" s="191">
        <f>SUMIF(AD165:AD188,AD161,AH165:AH188)</f>
        <v>0</v>
      </c>
      <c r="AI161" s="191">
        <f>SUMIF(AD165:AD188,AD161,AI165:AI188)</f>
        <v>1231.75371428571</v>
      </c>
      <c r="AJ161" s="191">
        <f>SUMIF(AD165:AD188,AD161,AJ165:AJ188)</f>
        <v>1231.75371428571</v>
      </c>
      <c r="AK161" s="191">
        <f>SUMIF(AD165:AD188,AD161,AK165:AK188)</f>
        <v>1231.75371428571</v>
      </c>
      <c r="AL161" s="191">
        <f>SUMIF(AD165:AD188,AD161,AL165:AL188)</f>
        <v>1231.75371428571</v>
      </c>
      <c r="AM161" s="191">
        <f>SUMIF(AD165:AD188,AD161,AM165:AM188)</f>
        <v>1231.75371428571</v>
      </c>
      <c r="AN161" s="191">
        <f>SUMIF(AD165:AD188,AD161,AN165:AN188)</f>
        <v>0</v>
      </c>
      <c r="AO161" s="191">
        <f>SUMIF(AD165:AD188,AD161,AO165:AO188)</f>
        <v>0</v>
      </c>
      <c r="AP161" s="191">
        <f>SUMIF(AD165:AD188,AD161,AP165:AP188)</f>
        <v>0</v>
      </c>
      <c r="AQ161" s="191">
        <f>SUMIF(AD165:AD188,AD161,AQ165:AQ188)</f>
        <v>0</v>
      </c>
      <c r="AR161" s="191">
        <f>SUMIF(AD165:AD188,AD161,AR165:AR188)</f>
        <v>0</v>
      </c>
      <c r="AS161" s="191">
        <f>SUMIF(AD165:AD188,AD161,AS165:AS188)</f>
        <v>1231.75371428571</v>
      </c>
      <c r="AT161" s="191">
        <f>SUMIF(AD165:AD188,AD161,AT165:AT188)</f>
        <v>1231.75371428571</v>
      </c>
      <c r="AU161" s="191">
        <f>SUMIF(AD165:AD188,AD161,AU165:AU188)</f>
        <v>1231.75371428571</v>
      </c>
      <c r="AV161" s="191">
        <f>SUMIF(AD165:AD188,AD161,AV165:AV188)</f>
        <v>1231.75371428571</v>
      </c>
      <c r="AW161" s="191">
        <f>SUMIF(AD165:AD188,AD161,AW165:AW188)</f>
        <v>1231.75371428571</v>
      </c>
      <c r="AX161" s="191">
        <f>SUMIF(AD165:AD188,AD161,AX165:AX188)</f>
        <v>0</v>
      </c>
      <c r="AY161" s="191">
        <f>SUMIF(AD165:AD188,AD161,AY165:AY188)</f>
        <v>0</v>
      </c>
      <c r="AZ161" s="191">
        <f>SUMIF(AD165:AD188,AD161,AZ165:AZ188)</f>
        <v>0</v>
      </c>
      <c r="BA161" s="191">
        <f>SUMIF(AD165:AD188,AD161,BA165:BA188)</f>
        <v>0</v>
      </c>
      <c r="BB161" s="191">
        <f>SUMIF(AD165:AD188,AD161,BB165:BB188)</f>
        <v>0</v>
      </c>
      <c r="BC161" s="200"/>
      <c r="BD161" s="1812"/>
      <c r="BE161" s="1812"/>
      <c r="BF161" s="1030" t="s">
        <v>1574</v>
      </c>
      <c r="BG161" s="1030"/>
      <c r="BH161" s="1030"/>
      <c r="BI161" s="1812"/>
      <c r="BJ161" s="267"/>
      <c r="BK161" s="267"/>
    </row>
    <row s="1448" customFormat="1" customHeight="1" ht="10.5">
      <c r="A162" s="1812"/>
      <c r="B162" s="429"/>
      <c r="C162" s="483"/>
      <c r="D162" s="1812"/>
      <c r="E162" s="267">
        <v>11.25</v>
      </c>
      <c r="F162" s="50" cm="1" t="str">
        <f t="array" ref="F162:F162">OFFSET(E162,-1,1)</f>
        <v>4</v>
      </c>
      <c r="G162" s="126" t="s">
        <v>334</v>
      </c>
      <c r="H162" s="126"/>
      <c r="I162" s="1812"/>
      <c r="J162" s="1812"/>
      <c r="K162" s="1812"/>
      <c r="L162" s="1812"/>
      <c r="M162" s="1812"/>
      <c r="N162" s="1812"/>
      <c r="O162" s="1812"/>
      <c r="P162" s="1812"/>
      <c r="Q162" s="1812"/>
      <c r="R162" s="1812"/>
      <c r="S162" s="1812"/>
      <c r="T162" s="465" cm="1" t="str">
        <f t="array" ref="T162:T162">T161</f>
        <v>true</v>
      </c>
      <c r="U162" s="1812"/>
      <c r="V162" s="1812"/>
      <c r="W162" s="1812"/>
      <c r="X162" s="1543"/>
      <c r="Y162" s="1812"/>
      <c r="Z162" s="1565"/>
      <c r="AA162" s="1812"/>
      <c r="AB162" s="89" t="s">
        <v>289</v>
      </c>
      <c r="AC162" s="138" t="s">
        <v>1575</v>
      </c>
      <c r="AD162" s="92" t="s">
        <v>1576</v>
      </c>
      <c r="AE162" s="239"/>
      <c r="AF162" s="239"/>
      <c r="AG162" s="239"/>
      <c r="AH162" s="239"/>
      <c r="AI162" s="239" cm="1" t="str">
        <f t="array" ref="AI162:AI162">Баланс!AI464</f>
        <v>3713.629</v>
      </c>
      <c r="AJ162" s="239" cm="1" t="str">
        <f t="array" ref="AJ162:AJ162">Баланс!AJ464</f>
        <v>3713.629</v>
      </c>
      <c r="AK162" s="239" cm="1" t="str">
        <f t="array" ref="AK162:AK162">Баланс!AK464</f>
        <v>3713.629</v>
      </c>
      <c r="AL162" s="239" cm="1" t="str">
        <f t="array" ref="AL162:AL162">Баланс!AL464</f>
        <v>3713.629</v>
      </c>
      <c r="AM162" s="239" cm="1" t="str">
        <f t="array" ref="AM162:AM162">Баланс!AM464</f>
        <v>3713.629</v>
      </c>
      <c r="AN162" s="3246"/>
      <c r="AO162" s="3246"/>
      <c r="AP162" s="3246"/>
      <c r="AQ162" s="3246"/>
      <c r="AR162" s="3246"/>
      <c r="AS162" s="239" cm="1" t="str">
        <f t="array" ref="AS162:AS162">Баланс!AS464</f>
        <v>3713.629</v>
      </c>
      <c r="AT162" s="239" cm="1" t="str">
        <f t="array" ref="AT162:AT162">Баланс!AT464</f>
        <v>3713.629</v>
      </c>
      <c r="AU162" s="239" cm="1" t="str">
        <f t="array" ref="AU162:AU162">Баланс!AU464</f>
        <v>3713.629</v>
      </c>
      <c r="AV162" s="239" cm="1" t="str">
        <f t="array" ref="AV162:AV162">Баланс!AV464</f>
        <v>3713.629</v>
      </c>
      <c r="AW162" s="239" cm="1" t="str">
        <f t="array" ref="AW162:AW162">Баланс!AW464</f>
        <v>3713.629</v>
      </c>
      <c r="AX162" s="3246"/>
      <c r="AY162" s="3246"/>
      <c r="AZ162" s="3246"/>
      <c r="BA162" s="3246"/>
      <c r="BB162" s="3246"/>
      <c r="BC162" s="200"/>
      <c r="BD162" s="1812"/>
      <c r="BE162" s="1812"/>
      <c r="BF162" s="1030" t="s">
        <v>1577</v>
      </c>
      <c r="BG162" s="1030"/>
      <c r="BH162" s="1030"/>
      <c r="BI162" s="1812"/>
      <c r="BJ162" s="267"/>
      <c r="BK162" s="267"/>
    </row>
    <row s="1448" customFormat="1" customHeight="1" ht="10.5">
      <c r="A163" s="1812"/>
      <c r="B163" s="429"/>
      <c r="C163" s="483"/>
      <c r="D163" s="1812"/>
      <c r="E163" s="267">
        <v>11.25</v>
      </c>
      <c r="F163" s="50" cm="1" t="str">
        <f t="array" ref="F163:F163">OFFSET(E163,-1,1)</f>
        <v>4</v>
      </c>
      <c r="G163" s="126" t="s">
        <v>336</v>
      </c>
      <c r="H163" s="126"/>
      <c r="I163" s="1812"/>
      <c r="J163" s="1812"/>
      <c r="K163" s="1812"/>
      <c r="L163" s="1812"/>
      <c r="M163" s="1812"/>
      <c r="N163" s="1812"/>
      <c r="O163" s="1812"/>
      <c r="P163" s="1812"/>
      <c r="Q163" s="1812"/>
      <c r="R163" s="1812"/>
      <c r="S163" s="1812"/>
      <c r="T163" s="465" cm="1" t="str">
        <f t="array" ref="T163:T163">T162</f>
        <v>true</v>
      </c>
      <c r="U163" s="1812"/>
      <c r="V163" s="1812"/>
      <c r="W163" s="1812"/>
      <c r="X163" s="1543"/>
      <c r="Y163" s="1812"/>
      <c r="Z163" s="1565"/>
      <c r="AA163" s="1812"/>
      <c r="AB163" s="89" t="s">
        <v>295</v>
      </c>
      <c r="AC163" s="138" t="s">
        <v>1578</v>
      </c>
      <c r="AD163" s="92" t="s">
        <v>1579</v>
      </c>
      <c r="AE163" s="191">
        <f>IF(AE161=0,0,AE160/AE161)</f>
        <v>0</v>
      </c>
      <c r="AF163" s="191">
        <f>IF(AF161=0,0,AF160/AF161)</f>
        <v>0</v>
      </c>
      <c r="AG163" s="191">
        <f>IF(AG161=0,0,AG160/AG161)</f>
        <v>0</v>
      </c>
      <c r="AH163" s="191">
        <f>IF(AH161=0,0,AH160/AH161)</f>
        <v>0</v>
      </c>
      <c r="AI163" s="191">
        <f>IF(AI161=0,0,AI160/AI161)</f>
        <v>6.80753604685614</v>
      </c>
      <c r="AJ163" s="191">
        <f>IF(AJ161=0,0,AJ160/AJ161)</f>
        <v>7.42702182712005</v>
      </c>
      <c r="AK163" s="191">
        <f>IF(AK161=0,0,AK160/AK161)</f>
        <v>7.79094589664893</v>
      </c>
      <c r="AL163" s="191">
        <f>IF(AL161=0,0,AL160/AL161)</f>
        <v>8.17270224558469</v>
      </c>
      <c r="AM163" s="191">
        <f>IF(AM161=0,0,AM160/AM161)</f>
        <v>8.57316465561837</v>
      </c>
      <c r="AN163" s="191">
        <f>IF(AN161=0,0,AN160/AN161)</f>
        <v>0</v>
      </c>
      <c r="AO163" s="191">
        <f>IF(AO161=0,0,AO160/AO161)</f>
        <v>0</v>
      </c>
      <c r="AP163" s="191">
        <f>IF(AP161=0,0,AP160/AP161)</f>
        <v>0</v>
      </c>
      <c r="AQ163" s="191">
        <f>IF(AQ161=0,0,AQ160/AQ161)</f>
        <v>0</v>
      </c>
      <c r="AR163" s="191">
        <f>IF(AR161=0,0,AR160/AR161)</f>
        <v>0</v>
      </c>
      <c r="AS163" s="191">
        <f>IF(AS161=0,0,AS160/AS161)</f>
        <v>6.80753604685614</v>
      </c>
      <c r="AT163" s="191">
        <f>IF(AT161=0,0,AT160/AT161)</f>
        <v>7.42702182712005</v>
      </c>
      <c r="AU163" s="191">
        <f>IF(AU161=0,0,AU160/AU161)</f>
        <v>7.79094589664893</v>
      </c>
      <c r="AV163" s="191">
        <f>IF(AV161=0,0,AV160/AV161)</f>
        <v>8.17270224558469</v>
      </c>
      <c r="AW163" s="191">
        <f>IF(AW161=0,0,AW160/AW161)</f>
        <v>8.57316465561837</v>
      </c>
      <c r="AX163" s="191">
        <f>IF(AX161=0,0,AX160/AX161)</f>
        <v>0</v>
      </c>
      <c r="AY163" s="191">
        <f>IF(AY161=0,0,AY160/AY161)</f>
        <v>0</v>
      </c>
      <c r="AZ163" s="191">
        <f>IF(AZ161=0,0,AZ160/AZ161)</f>
        <v>0</v>
      </c>
      <c r="BA163" s="191">
        <f>IF(BA161=0,0,BA160/BA161)</f>
        <v>0</v>
      </c>
      <c r="BB163" s="191">
        <f>IF(BB161=0,0,BB160/BB161)</f>
        <v>0</v>
      </c>
      <c r="BC163" s="200"/>
      <c r="BD163" s="1812"/>
      <c r="BE163" s="1812"/>
      <c r="BF163" s="1030" t="s">
        <v>1580</v>
      </c>
      <c r="BG163" s="1030"/>
      <c r="BH163" s="1030"/>
      <c r="BI163" s="1812"/>
      <c r="BJ163" s="267"/>
      <c r="BK163" s="267"/>
    </row>
    <row s="1448" customFormat="1" customHeight="1" ht="10.5">
      <c r="A164" s="1812"/>
      <c r="B164" s="429"/>
      <c r="C164" s="483"/>
      <c r="D164" s="1812"/>
      <c r="E164" s="267">
        <v>11.25</v>
      </c>
      <c r="F164" s="50" cm="1" t="str">
        <f t="array" ref="F164:F164">OFFSET(E164,-1,1)</f>
        <v>4</v>
      </c>
      <c r="G164" s="126" t="s">
        <v>335</v>
      </c>
      <c r="H164" s="126"/>
      <c r="I164" s="1812"/>
      <c r="J164" s="1812"/>
      <c r="K164" s="1812"/>
      <c r="L164" s="1812"/>
      <c r="M164" s="1812"/>
      <c r="N164" s="1812"/>
      <c r="O164" s="1812"/>
      <c r="P164" s="1812"/>
      <c r="Q164" s="1812"/>
      <c r="R164" s="1812"/>
      <c r="S164" s="1812"/>
      <c r="T164" s="465" cm="1" t="str">
        <f t="array" ref="T164:T164">T163</f>
        <v>true</v>
      </c>
      <c r="U164" s="1812"/>
      <c r="V164" s="1812"/>
      <c r="W164" s="1812"/>
      <c r="X164" s="1543"/>
      <c r="Y164" s="1812"/>
      <c r="Z164" s="1565"/>
      <c r="AA164" s="1812"/>
      <c r="AB164" s="89" t="s">
        <v>443</v>
      </c>
      <c r="AC164" s="138" t="s">
        <v>1581</v>
      </c>
      <c r="AD164" s="92" t="s">
        <v>1582</v>
      </c>
      <c r="AE164" s="315">
        <f>IF(AE162=0,0,AE161/AE162)</f>
        <v>0</v>
      </c>
      <c r="AF164" s="315">
        <f>IF(AF162=0,0,AF161/AF162)</f>
        <v>0</v>
      </c>
      <c r="AG164" s="315">
        <f>IF(AG162=0,0,AG161/AG162)</f>
        <v>0</v>
      </c>
      <c r="AH164" s="315">
        <f>IF(AH162=0,0,AH161/AH162)</f>
        <v>0</v>
      </c>
      <c r="AI164" s="315">
        <f>IF(AI162=0,0,AI161/AI162)</f>
        <v>0.331684644396548</v>
      </c>
      <c r="AJ164" s="315">
        <f>IF(AJ162=0,0,AJ161/AJ162)</f>
        <v>0.331684644396548</v>
      </c>
      <c r="AK164" s="315">
        <f>IF(AK162=0,0,AK161/AK162)</f>
        <v>0.331684644396548</v>
      </c>
      <c r="AL164" s="315">
        <f>IF(AL162=0,0,AL161/AL162)</f>
        <v>0.331684644396548</v>
      </c>
      <c r="AM164" s="315">
        <f>IF(AM162=0,0,AM161/AM162)</f>
        <v>0.331684644396548</v>
      </c>
      <c r="AN164" s="315">
        <f>IF(AN162=0,0,AN161/AN162)</f>
        <v>0</v>
      </c>
      <c r="AO164" s="315">
        <f>IF(AO162=0,0,AO161/AO162)</f>
        <v>0</v>
      </c>
      <c r="AP164" s="315">
        <f>IF(AP162=0,0,AP161/AP162)</f>
        <v>0</v>
      </c>
      <c r="AQ164" s="315">
        <f>IF(AQ162=0,0,AQ161/AQ162)</f>
        <v>0</v>
      </c>
      <c r="AR164" s="315">
        <f>IF(AR162=0,0,AR161/AR162)</f>
        <v>0</v>
      </c>
      <c r="AS164" s="315">
        <f>IF(AS162=0,0,AS161/AS162)</f>
        <v>0.331684644396548</v>
      </c>
      <c r="AT164" s="315">
        <f>IF(AT162=0,0,AT161/AT162)</f>
        <v>0.331684644396548</v>
      </c>
      <c r="AU164" s="315">
        <f>IF(AU162=0,0,AU161/AU162)</f>
        <v>0.331684644396548</v>
      </c>
      <c r="AV164" s="315">
        <f>IF(AV162=0,0,AV161/AV162)</f>
        <v>0.331684644396548</v>
      </c>
      <c r="AW164" s="315">
        <f>IF(AW162=0,0,AW161/AW162)</f>
        <v>0.331684644396548</v>
      </c>
      <c r="AX164" s="315">
        <f>IF(AX162=0,0,AX161/AX162)</f>
        <v>0</v>
      </c>
      <c r="AY164" s="315">
        <f>IF(AY162=0,0,AY161/AY162)</f>
        <v>0</v>
      </c>
      <c r="AZ164" s="315">
        <f>IF(AZ162=0,0,AZ161/AZ162)</f>
        <v>0</v>
      </c>
      <c r="BA164" s="315">
        <f>IF(BA162=0,0,BA161/BA162)</f>
        <v>0</v>
      </c>
      <c r="BB164" s="315">
        <f>IF(BB162=0,0,BB161/BB162)</f>
        <v>0</v>
      </c>
      <c r="BC164" s="200" t="s">
        <v>1483</v>
      </c>
      <c r="BD164" s="1812"/>
      <c r="BE164" s="1812"/>
      <c r="BF164" s="1030" t="s">
        <v>1583</v>
      </c>
      <c r="BG164" s="1030"/>
      <c r="BH164" s="1030"/>
      <c r="BI164" s="1812"/>
      <c r="BJ164" s="267"/>
      <c r="BK164" s="267"/>
    </row>
    <row s="1448" customFormat="1" customHeight="1" ht="0">
      <c r="A165" s="1812"/>
      <c r="B165" s="429"/>
      <c r="C165" s="483"/>
      <c r="D165" s="1812"/>
      <c r="E165" s="267">
        <v>13</v>
      </c>
      <c r="F165" s="50" cm="1" t="str">
        <f t="array" ref="F165:F165">OFFSET(E165,-1,1)</f>
        <v>4</v>
      </c>
      <c r="G165" s="126"/>
      <c r="H165" s="126"/>
      <c r="I165" s="1812"/>
      <c r="J165" s="1812"/>
      <c r="K165" s="1812"/>
      <c r="L165" s="1812"/>
      <c r="M165" s="1812"/>
      <c r="N165" s="1812"/>
      <c r="O165" s="1812"/>
      <c r="P165" s="1812"/>
      <c r="Q165" s="1812"/>
      <c r="R165" s="1812"/>
      <c r="S165" s="1812"/>
      <c r="T165" s="465" cm="1" t="str">
        <f t="array" ref="T165:T165">T164</f>
        <v>true</v>
      </c>
      <c r="U165" s="1812"/>
      <c r="V165" s="1812"/>
      <c r="W165" s="1812"/>
      <c r="X165" s="1543"/>
      <c r="Y165" s="1812"/>
      <c r="Z165" s="1565"/>
      <c r="AA165" s="1812"/>
      <c r="AB165" s="652"/>
      <c r="AC165" s="266" t="s">
        <v>1584</v>
      </c>
      <c r="AD165" s="267"/>
      <c r="AE165" s="268"/>
      <c r="AF165" s="268"/>
      <c r="AG165" s="268"/>
      <c r="AH165" s="268"/>
      <c r="AI165" s="268"/>
      <c r="AJ165" s="268"/>
      <c r="AK165" s="268"/>
      <c r="AL165" s="268"/>
      <c r="AM165" s="268"/>
      <c r="AN165" s="268"/>
      <c r="AO165" s="268"/>
      <c r="AP165" s="268"/>
      <c r="AQ165" s="268"/>
      <c r="AR165" s="268"/>
      <c r="AS165" s="268"/>
      <c r="AT165" s="268"/>
      <c r="AU165" s="268"/>
      <c r="AV165" s="268"/>
      <c r="AW165" s="268"/>
      <c r="AX165" s="268"/>
      <c r="AY165" s="268"/>
      <c r="AZ165" s="268"/>
      <c r="BA165" s="268"/>
      <c r="BB165" s="268"/>
      <c r="BC165" s="269"/>
      <c r="BD165" s="1812"/>
      <c r="BE165" s="1812"/>
      <c r="BF165" s="1030"/>
      <c r="BG165" s="1030"/>
      <c r="BH165" s="1030"/>
      <c r="BI165" s="1812"/>
      <c r="BJ165" s="267"/>
      <c r="BK165" s="267"/>
    </row>
    <row s="1834" customFormat="1" customHeight="1" ht="0" hidden="1">
      <c r="A166" s="1304"/>
      <c r="B166" s="1694"/>
      <c r="C166" s="916"/>
      <c r="D166" s="1304"/>
      <c r="E166" s="1047">
        <v>11</v>
      </c>
      <c r="F166" s="50" cm="1" t="str">
        <f t="array" ref="F166:F166">OFFSET(E166,-1,1)</f>
        <v>4</v>
      </c>
      <c r="G166" s="1545"/>
      <c r="H166" s="1545"/>
      <c r="I166" s="1304"/>
      <c r="J166" s="1304"/>
      <c r="K166" s="1304"/>
      <c r="L166" s="1304"/>
      <c r="M166" s="1304"/>
      <c r="N166" s="1304"/>
      <c r="O166" s="1304"/>
      <c r="P166" s="1304"/>
      <c r="Q166" s="1304"/>
      <c r="R166" s="1304"/>
      <c r="S166" s="1304"/>
      <c r="T166" s="1356">
        <f>AND(F166&gt;0,Y166&gt;0)</f>
        <v>0</v>
      </c>
      <c r="U166" s="1304"/>
      <c r="V166" s="1304"/>
      <c r="W166" s="849" t="s">
        <v>174</v>
      </c>
      <c r="X166" s="1385"/>
      <c r="Y166" s="1641">
        <v>0</v>
      </c>
      <c r="Z166" s="1385"/>
      <c r="AA166" s="1648" t="s">
        <v>175</v>
      </c>
      <c r="AB166" s="1604" t="str">
        <f>"6."&amp;Y166</f>
        <v>6.0</v>
      </c>
      <c r="AC166" s="1695"/>
      <c r="AD166" s="1604"/>
      <c r="AE166" s="355"/>
      <c r="AF166" s="355"/>
      <c r="AG166" s="355"/>
      <c r="AH166" s="355"/>
      <c r="AI166" s="355"/>
      <c r="AJ166" s="355"/>
      <c r="AK166" s="355"/>
      <c r="AL166" s="355"/>
      <c r="AM166" s="355"/>
      <c r="AN166" s="355"/>
      <c r="AO166" s="355"/>
      <c r="AP166" s="355"/>
      <c r="AQ166" s="355"/>
      <c r="AR166" s="355"/>
      <c r="AS166" s="355"/>
      <c r="AT166" s="355"/>
      <c r="AU166" s="355"/>
      <c r="AV166" s="355"/>
      <c r="AW166" s="355"/>
      <c r="AX166" s="355"/>
      <c r="AY166" s="355"/>
      <c r="AZ166" s="355"/>
      <c r="BA166" s="355"/>
      <c r="BB166" s="355"/>
      <c r="BC166" s="355"/>
      <c r="BD166" s="1696"/>
      <c r="BE166" s="1304"/>
      <c r="BF166" s="1046"/>
      <c r="BG166" s="1046"/>
      <c r="BH166" s="1046"/>
      <c r="BI166" s="1809"/>
      <c r="BJ166" s="1047"/>
      <c r="BK166" s="1047"/>
    </row>
    <row s="1448" customFormat="1" customHeight="1" ht="0" hidden="1">
      <c r="A167" s="1812"/>
      <c r="B167" s="429"/>
      <c r="C167" s="483"/>
      <c r="D167" s="1812"/>
      <c r="E167" s="267">
        <v>11.25</v>
      </c>
      <c r="F167" s="50" cm="1" t="str">
        <f t="array" ref="F167:F167">OFFSET(E167,-1,1)</f>
        <v>4</v>
      </c>
      <c r="G167" s="126" t="s">
        <v>1225</v>
      </c>
      <c r="H167" s="126" cm="1" t="str">
        <f t="array" ref="H167:H167">AC167</f>
        <v>0</v>
      </c>
      <c r="I167" s="1812"/>
      <c r="J167" s="1812"/>
      <c r="K167" s="1812"/>
      <c r="L167" s="1812"/>
      <c r="M167" s="1812"/>
      <c r="N167" s="1812"/>
      <c r="O167" s="1812"/>
      <c r="P167" s="1812"/>
      <c r="Q167" s="1812"/>
      <c r="R167" s="1812"/>
      <c r="S167" s="1812"/>
      <c r="T167" s="465" cm="1" t="str">
        <f t="array" ref="T167:T167">T166</f>
        <v>false</v>
      </c>
      <c r="U167" s="1812"/>
      <c r="V167" s="1812"/>
      <c r="W167" s="757"/>
      <c r="X167" s="1543"/>
      <c r="Y167" s="1543">
        <v>0</v>
      </c>
      <c r="Z167" s="1565"/>
      <c r="AA167" s="1494" t="s">
        <v>175</v>
      </c>
      <c r="AB167" s="89" t="str">
        <f>AB166&amp;".1"</f>
        <v>6.0.1</v>
      </c>
      <c r="AC167" s="3257"/>
      <c r="AD167" s="89" t="s">
        <v>1514</v>
      </c>
      <c r="AE167" s="1940"/>
      <c r="AF167" s="1940"/>
      <c r="AG167" s="1940"/>
      <c r="AH167" s="1940"/>
      <c r="AI167" s="1940"/>
      <c r="AJ167" s="1940"/>
      <c r="AK167" s="1940"/>
      <c r="AL167" s="1940"/>
      <c r="AM167" s="1940"/>
      <c r="AN167" s="1940"/>
      <c r="AO167" s="1940"/>
      <c r="AP167" s="1940"/>
      <c r="AQ167" s="1940"/>
      <c r="AR167" s="1940"/>
      <c r="AS167" s="1940"/>
      <c r="AT167" s="1940"/>
      <c r="AU167" s="1940"/>
      <c r="AV167" s="1940"/>
      <c r="AW167" s="1940"/>
      <c r="AX167" s="1940"/>
      <c r="AY167" s="1940"/>
      <c r="AZ167" s="1940"/>
      <c r="BA167" s="1940"/>
      <c r="BB167" s="1940"/>
      <c r="BC167" s="2070"/>
      <c r="BD167" s="1812"/>
      <c r="BE167" s="1812"/>
      <c r="BF167" s="1030" t="s">
        <v>1585</v>
      </c>
      <c r="BG167" s="1030" t="s">
        <v>1586</v>
      </c>
      <c r="BH167" s="1030" cm="1" t="str">
        <f t="array" ref="BH167:BH167">AC167</f>
        <v>0</v>
      </c>
      <c r="BI167" s="1812" cm="1" t="str">
        <f t="array" ref="BI167:BI167">AC166</f>
        <v>0</v>
      </c>
      <c r="BJ167" s="267"/>
      <c r="BK167" s="267" t="b">
        <v>1</v>
      </c>
    </row>
    <row s="1448" customFormat="1" customHeight="1" ht="0" hidden="1">
      <c r="A168" s="1812"/>
      <c r="B168" s="429"/>
      <c r="C168" s="483"/>
      <c r="D168" s="1812"/>
      <c r="E168" s="267">
        <v>11.25</v>
      </c>
      <c r="F168" s="50" cm="1" t="str">
        <f t="array" ref="F168:F168">OFFSET(E168,-1,1)</f>
        <v>4</v>
      </c>
      <c r="G168" s="126" t="s">
        <v>1383</v>
      </c>
      <c r="H168" s="126" cm="1" t="str">
        <f t="array" ref="H168:H168">H167</f>
        <v>0</v>
      </c>
      <c r="I168" s="1812"/>
      <c r="J168" s="1812"/>
      <c r="K168" s="1812"/>
      <c r="L168" s="1812"/>
      <c r="M168" s="1812"/>
      <c r="N168" s="1812"/>
      <c r="O168" s="1812"/>
      <c r="P168" s="1812"/>
      <c r="Q168" s="1812"/>
      <c r="R168" s="1812"/>
      <c r="S168" s="1812"/>
      <c r="T168" s="465" cm="1" t="str">
        <f t="array" ref="T168:T168">T167</f>
        <v>false</v>
      </c>
      <c r="U168" s="1812"/>
      <c r="V168" s="1812"/>
      <c r="W168" s="1812"/>
      <c r="X168" s="1543"/>
      <c r="Y168" s="1543"/>
      <c r="Z168" s="1565"/>
      <c r="AA168" s="1494"/>
      <c r="AB168" s="89" t="str">
        <f>AB166&amp;".2"</f>
        <v>6.0.2</v>
      </c>
      <c r="AC168" s="192" t="s">
        <v>1587</v>
      </c>
      <c r="AD168" s="92" t="s">
        <v>1579</v>
      </c>
      <c r="AE168" s="191">
        <f>IF(OR(AND(AE167&lt;&gt;0,AE169=0),AND(AE167=0,AE169&lt;&gt;0)),"Ошибка",IF(AE169=0,0,AE167/AE169))</f>
        <v>0</v>
      </c>
      <c r="AF168" s="191">
        <f>IF(OR(AND(AF167&lt;&gt;0,AF169=0),AND(AF167=0,AF169&lt;&gt;0)),"Ошибка",IF(AF169=0,0,AF167/AF169))</f>
        <v>0</v>
      </c>
      <c r="AG168" s="191">
        <f>IF(OR(AND(AG167&lt;&gt;0,AG169=0),AND(AG167=0,AG169&lt;&gt;0)),"Ошибка",IF(AG169=0,0,AG167/AG169))</f>
        <v>0</v>
      </c>
      <c r="AH168" s="191">
        <f>IF(OR(AND(AH167&lt;&gt;0,AH169=0),AND(AH167=0,AH169&lt;&gt;0)),"Ошибка",IF(AH169=0,0,AH167/AH169))</f>
        <v>0</v>
      </c>
      <c r="AI168" s="191">
        <f>IF(OR(AND(AI167&lt;&gt;0,AI169=0),AND(AI167=0,AI169&lt;&gt;0)),"Ошибка",IF(AI169=0,0,AI167/AI169))</f>
        <v>0</v>
      </c>
      <c r="AJ168" s="191">
        <f>IF(OR(AND(AJ167&lt;&gt;0,AJ169=0),AND(AJ167=0,AJ169&lt;&gt;0)),"Ошибка",IF(AJ169=0,0,AJ167/AJ169))</f>
        <v>0</v>
      </c>
      <c r="AK168" s="191">
        <f>IF(OR(AND(AK167&lt;&gt;0,AK169=0),AND(AK167=0,AK169&lt;&gt;0)),"Ошибка",IF(AK169=0,0,AK167/AK169))</f>
        <v>0</v>
      </c>
      <c r="AL168" s="191">
        <f>IF(OR(AND(AL167&lt;&gt;0,AL169=0),AND(AL167=0,AL169&lt;&gt;0)),"Ошибка",IF(AL169=0,0,AL167/AL169))</f>
        <v>0</v>
      </c>
      <c r="AM168" s="191">
        <f>IF(OR(AND(AM167&lt;&gt;0,AM169=0),AND(AM167=0,AM169&lt;&gt;0)),"Ошибка",IF(AM169=0,0,AM167/AM169))</f>
        <v>0</v>
      </c>
      <c r="AN168" s="191">
        <f>IF(OR(AND(AN167&lt;&gt;0,AN169=0),AND(AN167=0,AN169&lt;&gt;0)),"Ошибка",IF(AN169=0,0,AN167/AN169))</f>
        <v>0</v>
      </c>
      <c r="AO168" s="191">
        <f>IF(OR(AND(AO167&lt;&gt;0,AO169=0),AND(AO167=0,AO169&lt;&gt;0)),"Ошибка",IF(AO169=0,0,AO167/AO169))</f>
        <v>0</v>
      </c>
      <c r="AP168" s="191">
        <f>IF(OR(AND(AP167&lt;&gt;0,AP169=0),AND(AP167=0,AP169&lt;&gt;0)),"Ошибка",IF(AP169=0,0,AP167/AP169))</f>
        <v>0</v>
      </c>
      <c r="AQ168" s="191">
        <f>IF(OR(AND(AQ167&lt;&gt;0,AQ169=0),AND(AQ167=0,AQ169&lt;&gt;0)),"Ошибка",IF(AQ169=0,0,AQ167/AQ169))</f>
        <v>0</v>
      </c>
      <c r="AR168" s="191">
        <f>IF(OR(AND(AR167&lt;&gt;0,AR169=0),AND(AR167=0,AR169&lt;&gt;0)),"Ошибка",IF(AR169=0,0,AR167/AR169))</f>
        <v>0</v>
      </c>
      <c r="AS168" s="191">
        <f>IF(OR(AND(AS167&lt;&gt;0,AS169=0),AND(AS167=0,AS169&lt;&gt;0)),"Ошибка",IF(AS169=0,0,AS167/AS169))</f>
        <v>0</v>
      </c>
      <c r="AT168" s="191">
        <f>IF(OR(AND(AT167&lt;&gt;0,AT169=0),AND(AT167=0,AT169&lt;&gt;0)),"Ошибка",IF(AT169=0,0,AT167/AT169))</f>
        <v>0</v>
      </c>
      <c r="AU168" s="191">
        <f>IF(OR(AND(AU167&lt;&gt;0,AU169=0),AND(AU167=0,AU169&lt;&gt;0)),"Ошибка",IF(AU169=0,0,AU167/AU169))</f>
        <v>0</v>
      </c>
      <c r="AV168" s="191">
        <f>IF(OR(AND(AV167&lt;&gt;0,AV169=0),AND(AV167=0,AV169&lt;&gt;0)),"Ошибка",IF(AV169=0,0,AV167/AV169))</f>
        <v>0</v>
      </c>
      <c r="AW168" s="191">
        <f>IF(OR(AND(AW167&lt;&gt;0,AW169=0),AND(AW167=0,AW169&lt;&gt;0)),"Ошибка",IF(AW169=0,0,AW167/AW169))</f>
        <v>0</v>
      </c>
      <c r="AX168" s="191">
        <f>IF(OR(AND(AX167&lt;&gt;0,AX169=0),AND(AX167=0,AX169&lt;&gt;0)),"Ошибка",IF(AX169=0,0,AX167/AX169))</f>
        <v>0</v>
      </c>
      <c r="AY168" s="191">
        <f>IF(OR(AND(AY167&lt;&gt;0,AY169=0),AND(AY167=0,AY169&lt;&gt;0)),"Ошибка",IF(AY169=0,0,AY167/AY169))</f>
        <v>0</v>
      </c>
      <c r="AZ168" s="191">
        <f>IF(OR(AND(AZ167&lt;&gt;0,AZ169=0),AND(AZ167=0,AZ169&lt;&gt;0)),"Ошибка",IF(AZ169=0,0,AZ167/AZ169))</f>
        <v>0</v>
      </c>
      <c r="BA168" s="191">
        <f>IF(OR(AND(BA167&lt;&gt;0,BA169=0),AND(BA167=0,BA169&lt;&gt;0)),"Ошибка",IF(BA169=0,0,BA167/BA169))</f>
        <v>0</v>
      </c>
      <c r="BB168" s="191">
        <f>IF(OR(AND(BB167&lt;&gt;0,BB169=0),AND(BB167=0,BB169&lt;&gt;0)),"Ошибка",IF(BB169=0,0,BB167/BB169))</f>
        <v>0</v>
      </c>
      <c r="BC168" s="2070"/>
      <c r="BD168" s="1812"/>
      <c r="BE168" s="1812"/>
      <c r="BF168" s="1030" t="s">
        <v>1588</v>
      </c>
      <c r="BG168" s="1030" t="s">
        <v>1586</v>
      </c>
      <c r="BH168" s="1030" cm="1" t="str">
        <f t="array" ref="BH168:BH168">BH167</f>
        <v>0</v>
      </c>
      <c r="BI168" s="1812" cm="1" t="str">
        <f t="array" ref="BI168:BI168">BI167</f>
        <v>0</v>
      </c>
      <c r="BJ168" s="267"/>
      <c r="BK168" s="267"/>
    </row>
    <row s="1448" customFormat="1" customHeight="1" ht="0" hidden="1">
      <c r="A169" s="1812"/>
      <c r="B169" s="429"/>
      <c r="C169" s="483"/>
      <c r="D169" s="1812"/>
      <c r="E169" s="267">
        <v>11.25</v>
      </c>
      <c r="F169" s="50" cm="1" t="str">
        <f t="array" ref="F169:F169">OFFSET(E169,-1,1)</f>
        <v>4</v>
      </c>
      <c r="G169" s="126" t="s">
        <v>1386</v>
      </c>
      <c r="H169" s="126" cm="1" t="str">
        <f t="array" ref="H169:H169">H168</f>
        <v>0</v>
      </c>
      <c r="I169" s="1812"/>
      <c r="J169" s="1812"/>
      <c r="K169" s="1812"/>
      <c r="L169" s="1812"/>
      <c r="M169" s="1812"/>
      <c r="N169" s="1812"/>
      <c r="O169" s="1812"/>
      <c r="P169" s="1812"/>
      <c r="Q169" s="1812"/>
      <c r="R169" s="1812"/>
      <c r="S169" s="1812"/>
      <c r="T169" s="465" cm="1" t="str">
        <f t="array" ref="T169:T169">T168</f>
        <v>false</v>
      </c>
      <c r="U169" s="1812"/>
      <c r="V169" s="1812"/>
      <c r="W169" s="1812"/>
      <c r="X169" s="1543"/>
      <c r="Y169" s="1543"/>
      <c r="Z169" s="1565"/>
      <c r="AA169" s="1494"/>
      <c r="AB169" s="89" t="str">
        <f>AB166&amp;".3"</f>
        <v>6.0.3</v>
      </c>
      <c r="AC169" s="192" t="s">
        <v>1589</v>
      </c>
      <c r="AD169" s="92" t="s">
        <v>1573</v>
      </c>
      <c r="AE169" s="1940"/>
      <c r="AF169" s="1940"/>
      <c r="AG169" s="1940"/>
      <c r="AH169" s="1940"/>
      <c r="AI169" s="1940"/>
      <c r="AJ169" s="1940"/>
      <c r="AK169" s="1940"/>
      <c r="AL169" s="1940"/>
      <c r="AM169" s="1940"/>
      <c r="AN169" s="1940"/>
      <c r="AO169" s="1940"/>
      <c r="AP169" s="1940"/>
      <c r="AQ169" s="1940"/>
      <c r="AR169" s="1940"/>
      <c r="AS169" s="1940"/>
      <c r="AT169" s="1940"/>
      <c r="AU169" s="1940"/>
      <c r="AV169" s="1940"/>
      <c r="AW169" s="1940"/>
      <c r="AX169" s="1940"/>
      <c r="AY169" s="1940"/>
      <c r="AZ169" s="1940"/>
      <c r="BA169" s="1940"/>
      <c r="BB169" s="1940"/>
      <c r="BC169" s="2070"/>
      <c r="BD169" s="1812"/>
      <c r="BE169" s="1812"/>
      <c r="BF169" s="1030" t="s">
        <v>1590</v>
      </c>
      <c r="BG169" s="1030" t="s">
        <v>1586</v>
      </c>
      <c r="BH169" s="1030" cm="1" t="str">
        <f t="array" ref="BH169:BH169">BH168</f>
        <v>0</v>
      </c>
      <c r="BI169" s="1812" cm="1" t="str">
        <f t="array" ref="BI169:BI169">BI168</f>
        <v>0</v>
      </c>
      <c r="BJ169" s="267"/>
      <c r="BK169" s="267"/>
    </row>
    <row s="1426" customFormat="1" customHeight="1" ht="0">
      <c r="A170" s="1426"/>
      <c r="B170" s="427"/>
      <c r="C170" s="483"/>
      <c r="D170" s="1426"/>
      <c r="E170" s="633">
        <v>15</v>
      </c>
      <c r="F170" s="50" cm="1" t="str">
        <f t="array" ref="F170:F170">OFFSET(E170,-1,1)</f>
        <v>4</v>
      </c>
      <c r="G170" s="1426"/>
      <c r="H170" s="957" t="s">
        <v>1591</v>
      </c>
      <c r="I170" s="1426"/>
      <c r="J170" s="1426"/>
      <c r="K170" s="1426"/>
      <c r="L170" s="1426"/>
      <c r="M170" s="1426"/>
      <c r="N170" s="1426"/>
      <c r="O170" s="1426"/>
      <c r="P170" s="1426"/>
      <c r="Q170" s="1426"/>
      <c r="R170" s="1426"/>
      <c r="S170" s="1426"/>
      <c r="T170" s="465">
        <f>F170&gt;0</f>
        <v>1</v>
      </c>
      <c r="U170" s="1426"/>
      <c r="V170" s="1426"/>
      <c r="W170" s="757" t="s">
        <v>399</v>
      </c>
      <c r="X170" s="1543"/>
      <c r="Y170" s="1426"/>
      <c r="Z170" s="1565"/>
      <c r="AA170" s="1426"/>
      <c r="AB170" s="653"/>
      <c r="AC170" s="178" t="s">
        <v>178</v>
      </c>
      <c r="AD170" s="176"/>
      <c r="AE170" s="176"/>
      <c r="AF170" s="176"/>
      <c r="AG170" s="176"/>
      <c r="AH170" s="176"/>
      <c r="AI170" s="176"/>
      <c r="AJ170" s="176"/>
      <c r="AK170" s="176"/>
      <c r="AL170" s="176"/>
      <c r="AM170" s="176"/>
      <c r="AN170" s="176"/>
      <c r="AO170" s="176"/>
      <c r="AP170" s="176"/>
      <c r="AQ170" s="176"/>
      <c r="AR170" s="176"/>
      <c r="AS170" s="176"/>
      <c r="AT170" s="176"/>
      <c r="AU170" s="176"/>
      <c r="AV170" s="176"/>
      <c r="AW170" s="176"/>
      <c r="AX170" s="176"/>
      <c r="AY170" s="176"/>
      <c r="AZ170" s="176"/>
      <c r="BA170" s="176"/>
      <c r="BB170" s="176"/>
      <c r="BC170" s="187"/>
      <c r="BD170" s="1426"/>
      <c r="BE170" s="1426"/>
      <c r="BF170" s="1018"/>
      <c r="BG170" s="1018"/>
      <c r="BH170" s="1018"/>
      <c r="BI170" s="1426"/>
      <c r="BJ170" s="633" t="s">
        <v>1586</v>
      </c>
      <c r="BK170" s="633"/>
    </row>
    <row s="1448" customFormat="1" customHeight="1" ht="12">
      <c r="A171" s="1812"/>
      <c r="B171" s="429"/>
      <c r="C171" s="483"/>
      <c r="D171" s="1812"/>
      <c r="E171" s="267">
        <v>13</v>
      </c>
      <c r="F171" s="50" cm="1" t="str">
        <f t="array" ref="F171:F171">OFFSET(E171,-1,1)</f>
        <v>4</v>
      </c>
      <c r="G171" s="126"/>
      <c r="H171" s="126"/>
      <c r="I171" s="1812"/>
      <c r="J171" s="1812"/>
      <c r="K171" s="1812"/>
      <c r="L171" s="1812"/>
      <c r="M171" s="1812"/>
      <c r="N171" s="1812"/>
      <c r="O171" s="1812"/>
      <c r="P171" s="1812"/>
      <c r="Q171" s="1812"/>
      <c r="R171" s="1812"/>
      <c r="S171" s="1812"/>
      <c r="T171" s="465" cm="1" t="str">
        <f t="array" ref="T171:T171">T170</f>
        <v>true</v>
      </c>
      <c r="U171" s="1812"/>
      <c r="V171" s="1812"/>
      <c r="W171" s="1812"/>
      <c r="X171" s="1543"/>
      <c r="Y171" s="1812"/>
      <c r="Z171" s="1565"/>
      <c r="AA171" s="1812"/>
      <c r="AB171" s="652"/>
      <c r="AC171" s="266" t="s">
        <v>1592</v>
      </c>
      <c r="AD171" s="267"/>
      <c r="AE171" s="268"/>
      <c r="AF171" s="268"/>
      <c r="AG171" s="268"/>
      <c r="AH171" s="268"/>
      <c r="AI171" s="268"/>
      <c r="AJ171" s="268"/>
      <c r="AK171" s="268"/>
      <c r="AL171" s="268"/>
      <c r="AM171" s="268"/>
      <c r="AN171" s="268"/>
      <c r="AO171" s="268"/>
      <c r="AP171" s="268"/>
      <c r="AQ171" s="268"/>
      <c r="AR171" s="268"/>
      <c r="AS171" s="268"/>
      <c r="AT171" s="268"/>
      <c r="AU171" s="268"/>
      <c r="AV171" s="268"/>
      <c r="AW171" s="268"/>
      <c r="AX171" s="268"/>
      <c r="AY171" s="268"/>
      <c r="AZ171" s="268"/>
      <c r="BA171" s="268"/>
      <c r="BB171" s="268"/>
      <c r="BC171" s="269"/>
      <c r="BD171" s="1812"/>
      <c r="BE171" s="1812"/>
      <c r="BF171" s="1030"/>
      <c r="BG171" s="1030"/>
      <c r="BH171" s="1030"/>
      <c r="BI171" s="1812"/>
      <c r="BJ171" s="267"/>
      <c r="BK171" s="267"/>
    </row>
    <row s="1834" customFormat="1" customHeight="1" ht="10.5" hidden="1">
      <c r="E172" s="267">
        <v>11</v>
      </c>
      <c r="F172" s="1175" cm="1" t="str">
        <f t="array" ref="F172:F172">OFFSET(E172,-1,1)</f>
        <v>4</v>
      </c>
      <c r="T172" s="465">
        <f>AND(F172&gt;0,Y172&gt;0)</f>
        <v>0</v>
      </c>
      <c r="W172" s="717" t="s">
        <v>174</v>
      </c>
      <c r="Y172" s="1641">
        <v>0</v>
      </c>
      <c r="AA172" s="1648" t="s">
        <v>175</v>
      </c>
      <c r="AB172" s="89" t="str">
        <f>"7."&amp;Y172</f>
        <v>7.0</v>
      </c>
      <c r="AC172" s="1695"/>
      <c r="AD172" s="93"/>
      <c r="BF172" s="1030"/>
      <c r="BG172" s="1030"/>
      <c r="BH172" s="1030"/>
      <c r="BI172" s="1030"/>
      <c r="BJ172" s="267"/>
      <c r="BK172" s="267"/>
    </row>
    <row s="1448" customFormat="1" customHeight="1" ht="10.5" hidden="1">
      <c r="E173" s="267">
        <v>11.25</v>
      </c>
      <c r="F173" s="50" cm="1" t="str">
        <f t="array" ref="F173:F173">OFFSET(E173,-1,1)</f>
        <v>4</v>
      </c>
      <c r="G173" s="126" t="s">
        <v>1225</v>
      </c>
      <c r="H173" s="126" cm="1" t="str">
        <f t="array" ref="H173:H173">AC173</f>
        <v>0</v>
      </c>
      <c r="T173" s="465" cm="1" t="str">
        <f t="array" ref="T173:T173">T172</f>
        <v>false</v>
      </c>
      <c r="Y173" s="1543">
        <v>0</v>
      </c>
      <c r="AA173" s="1494" t="s">
        <v>175</v>
      </c>
      <c r="AB173" s="89" t="str">
        <f>AB172&amp;".1"</f>
        <v>7.0.1</v>
      </c>
      <c r="AC173" s="3486"/>
      <c r="AD173" s="89" t="s">
        <v>1514</v>
      </c>
      <c r="AE173" s="142">
        <f>AE174+AE177</f>
        <v>0</v>
      </c>
      <c r="AF173" s="142">
        <f>AF174+AF177</f>
        <v>0</v>
      </c>
      <c r="AG173" s="142">
        <f>AG174+AG177</f>
        <v>0</v>
      </c>
      <c r="AH173" s="142">
        <f>AH174+AH177</f>
        <v>0</v>
      </c>
      <c r="AI173" s="142">
        <f>AI174+AI177</f>
        <v>0</v>
      </c>
      <c r="AJ173" s="142">
        <f>AJ174+AJ177</f>
        <v>0</v>
      </c>
      <c r="AK173" s="142">
        <f>AK174+AK177</f>
        <v>0</v>
      </c>
      <c r="AL173" s="142">
        <f>AL174+AL177</f>
        <v>0</v>
      </c>
      <c r="AM173" s="142">
        <f>AM174+AM177</f>
        <v>0</v>
      </c>
      <c r="AN173" s="142">
        <f>AN174+AN177</f>
        <v>0</v>
      </c>
      <c r="AO173" s="142">
        <f>AO174+AO177</f>
        <v>0</v>
      </c>
      <c r="AP173" s="142">
        <f>AP174+AP177</f>
        <v>0</v>
      </c>
      <c r="AQ173" s="142">
        <f>AQ174+AQ177</f>
        <v>0</v>
      </c>
      <c r="AR173" s="142">
        <f>AR174+AR177</f>
        <v>0</v>
      </c>
      <c r="AS173" s="142">
        <f>AS174+AS177</f>
        <v>0</v>
      </c>
      <c r="AT173" s="142">
        <f>AT174+AT177</f>
        <v>0</v>
      </c>
      <c r="AU173" s="142">
        <f>AU174+AU177</f>
        <v>0</v>
      </c>
      <c r="AV173" s="142">
        <f>AV174+AV177</f>
        <v>0</v>
      </c>
      <c r="AW173" s="142">
        <f>AW174+AW177</f>
        <v>0</v>
      </c>
      <c r="AX173" s="142">
        <f>AX174+AX177</f>
        <v>0</v>
      </c>
      <c r="AY173" s="142">
        <f>AY174+AY177</f>
        <v>0</v>
      </c>
      <c r="AZ173" s="142">
        <f>AZ174+AZ177</f>
        <v>0</v>
      </c>
      <c r="BA173" s="142">
        <f>BA174+BA177</f>
        <v>0</v>
      </c>
      <c r="BB173" s="142">
        <f>BB174+BB177</f>
        <v>0</v>
      </c>
      <c r="BC173" s="3487"/>
      <c r="BF173" s="1030" t="s">
        <v>1593</v>
      </c>
      <c r="BG173" s="1030" t="s">
        <v>1594</v>
      </c>
      <c r="BH173" s="1030" cm="1" t="str">
        <f t="array" ref="BH173:BH173">AC173</f>
        <v>0</v>
      </c>
      <c r="BI173" s="146" cm="1" t="str">
        <f t="array" ref="BI173:BI173">AC172</f>
        <v>0</v>
      </c>
      <c r="BJ173" s="267"/>
      <c r="BK173" s="267" t="b">
        <v>1</v>
      </c>
    </row>
    <row s="1448" customFormat="1" customHeight="1" ht="10.5" hidden="1">
      <c r="E174" s="267">
        <v>11.25</v>
      </c>
      <c r="F174" s="50" cm="1" t="str">
        <f t="array" ref="F174:F174">OFFSET(E174,-1,1)</f>
        <v>4</v>
      </c>
      <c r="G174" s="126" t="s">
        <v>1390</v>
      </c>
      <c r="H174" s="126" cm="1" t="str">
        <f t="array" ref="H174:H174">H173</f>
        <v>0</v>
      </c>
      <c r="T174" s="465" cm="1" t="str">
        <f t="array" ref="T174:T174">T173</f>
        <v>false</v>
      </c>
      <c r="AA174" s="1494"/>
      <c r="AB174" s="89" t="str">
        <f>AB172&amp;".2"</f>
        <v>7.0.2</v>
      </c>
      <c r="AC174" s="192" t="s">
        <v>1595</v>
      </c>
      <c r="AD174" s="89" t="s">
        <v>1596</v>
      </c>
      <c r="AE174" s="3488"/>
      <c r="AF174" s="3488"/>
      <c r="AG174" s="3488"/>
      <c r="AH174" s="3488"/>
      <c r="AI174" s="3488"/>
      <c r="AJ174" s="3488"/>
      <c r="AK174" s="3488"/>
      <c r="AL174" s="3488"/>
      <c r="AM174" s="3488"/>
      <c r="AN174" s="3488"/>
      <c r="AO174" s="3488"/>
      <c r="AP174" s="3488"/>
      <c r="AQ174" s="3488"/>
      <c r="AR174" s="3488"/>
      <c r="AS174" s="3488"/>
      <c r="AT174" s="3488"/>
      <c r="AU174" s="3488"/>
      <c r="AV174" s="3488"/>
      <c r="AW174" s="3488"/>
      <c r="AX174" s="3488"/>
      <c r="AY174" s="3488"/>
      <c r="AZ174" s="3488"/>
      <c r="BA174" s="3488"/>
      <c r="BB174" s="3488"/>
      <c r="BC174" s="3487"/>
      <c r="BF174" s="1030" t="s">
        <v>1597</v>
      </c>
      <c r="BG174" s="1030" t="s">
        <v>1594</v>
      </c>
      <c r="BH174" s="1030" cm="1" t="str">
        <f t="array" ref="BH174:BH174">BH173</f>
        <v>0</v>
      </c>
      <c r="BI174" s="146" cm="1" t="str">
        <f t="array" ref="BI174:BI174">BI173</f>
        <v>0</v>
      </c>
      <c r="BJ174" s="267"/>
      <c r="BK174" s="267"/>
    </row>
    <row s="1448" customFormat="1" customHeight="1" ht="10.5" hidden="1">
      <c r="E175" s="267">
        <v>11.25</v>
      </c>
      <c r="F175" s="50" cm="1" t="str">
        <f t="array" ref="F175:F175">OFFSET(E175,-1,1)</f>
        <v>4</v>
      </c>
      <c r="G175" s="126" t="s">
        <v>1598</v>
      </c>
      <c r="H175" s="126" cm="1" t="str">
        <f t="array" ref="H175:H175">H174</f>
        <v>0</v>
      </c>
      <c r="T175" s="465" cm="1" t="str">
        <f t="array" ref="T175:T175">T174</f>
        <v>false</v>
      </c>
      <c r="AA175" s="1494"/>
      <c r="AB175" s="89" t="str">
        <f>AB172&amp;".3"</f>
        <v>7.0.3</v>
      </c>
      <c r="AC175" s="332" t="s">
        <v>1587</v>
      </c>
      <c r="AD175" s="92" t="s">
        <v>1579</v>
      </c>
      <c r="AE175" s="142">
        <f>IF(OR(AND(AE174&lt;&gt;0,AE176=0),AND(AE174=0,AE176&lt;&gt;0)),"Ошибка",IF(AE176=0,0,AE174/AE176))</f>
        <v>0</v>
      </c>
      <c r="AF175" s="142">
        <f>IF(OR(AND(AF174&lt;&gt;0,AF176=0),AND(AF174=0,AF176&lt;&gt;0)),"Ошибка",IF(AF176=0,0,AF174/AF176))</f>
        <v>0</v>
      </c>
      <c r="AG175" s="142">
        <f>IF(OR(AND(AG174&lt;&gt;0,AG176=0),AND(AG174=0,AG176&lt;&gt;0)),"Ошибка",IF(AG176=0,0,AG174/AG176))</f>
        <v>0</v>
      </c>
      <c r="AH175" s="142">
        <f>IF(OR(AND(AH174&lt;&gt;0,AH176=0),AND(AH174=0,AH176&lt;&gt;0)),"Ошибка",IF(AH176=0,0,AH174/AH176))</f>
        <v>0</v>
      </c>
      <c r="AI175" s="142">
        <f>IF(OR(AND(AI174&lt;&gt;0,AI176=0),AND(AI174=0,AI176&lt;&gt;0)),"Ошибка",IF(AI176=0,0,AI174/AI176))</f>
        <v>0</v>
      </c>
      <c r="AJ175" s="142">
        <f>IF(OR(AND(AJ174&lt;&gt;0,AJ176=0),AND(AJ174=0,AJ176&lt;&gt;0)),"Ошибка",IF(AJ176=0,0,AJ174/AJ176))</f>
        <v>0</v>
      </c>
      <c r="AK175" s="142">
        <f>IF(OR(AND(AK174&lt;&gt;0,AK176=0),AND(AK174=0,AK176&lt;&gt;0)),"Ошибка",IF(AK176=0,0,AK174/AK176))</f>
        <v>0</v>
      </c>
      <c r="AL175" s="142">
        <f>IF(OR(AND(AL174&lt;&gt;0,AL176=0),AND(AL174=0,AL176&lt;&gt;0)),"Ошибка",IF(AL176=0,0,AL174/AL176))</f>
        <v>0</v>
      </c>
      <c r="AM175" s="142">
        <f>IF(OR(AND(AM174&lt;&gt;0,AM176=0),AND(AM174=0,AM176&lt;&gt;0)),"Ошибка",IF(AM176=0,0,AM174/AM176))</f>
        <v>0</v>
      </c>
      <c r="AN175" s="142">
        <f>IF(OR(AND(AN174&lt;&gt;0,AN176=0),AND(AN174=0,AN176&lt;&gt;0)),"Ошибка",IF(AN176=0,0,AN174/AN176))</f>
        <v>0</v>
      </c>
      <c r="AO175" s="142">
        <f>IF(OR(AND(AO174&lt;&gt;0,AO176=0),AND(AO174=0,AO176&lt;&gt;0)),"Ошибка",IF(AO176=0,0,AO174/AO176))</f>
        <v>0</v>
      </c>
      <c r="AP175" s="142">
        <f>IF(OR(AND(AP174&lt;&gt;0,AP176=0),AND(AP174=0,AP176&lt;&gt;0)),"Ошибка",IF(AP176=0,0,AP174/AP176))</f>
        <v>0</v>
      </c>
      <c r="AQ175" s="142">
        <f>IF(OR(AND(AQ174&lt;&gt;0,AQ176=0),AND(AQ174=0,AQ176&lt;&gt;0)),"Ошибка",IF(AQ176=0,0,AQ174/AQ176))</f>
        <v>0</v>
      </c>
      <c r="AR175" s="142">
        <f>IF(OR(AND(AR174&lt;&gt;0,AR176=0),AND(AR174=0,AR176&lt;&gt;0)),"Ошибка",IF(AR176=0,0,AR174/AR176))</f>
        <v>0</v>
      </c>
      <c r="AS175" s="142">
        <f>IF(OR(AND(AS174&lt;&gt;0,AS176=0),AND(AS174=0,AS176&lt;&gt;0)),"Ошибка",IF(AS176=0,0,AS174/AS176))</f>
        <v>0</v>
      </c>
      <c r="AT175" s="142">
        <f>IF(OR(AND(AT174&lt;&gt;0,AT176=0),AND(AT174=0,AT176&lt;&gt;0)),"Ошибка",IF(AT176=0,0,AT174/AT176))</f>
        <v>0</v>
      </c>
      <c r="AU175" s="142">
        <f>IF(OR(AND(AU174&lt;&gt;0,AU176=0),AND(AU174=0,AU176&lt;&gt;0)),"Ошибка",IF(AU176=0,0,AU174/AU176))</f>
        <v>0</v>
      </c>
      <c r="AV175" s="142">
        <f>IF(OR(AND(AV174&lt;&gt;0,AV176=0),AND(AV174=0,AV176&lt;&gt;0)),"Ошибка",IF(AV176=0,0,AV174/AV176))</f>
        <v>0</v>
      </c>
      <c r="AW175" s="142">
        <f>IF(OR(AND(AW174&lt;&gt;0,AW176=0),AND(AW174=0,AW176&lt;&gt;0)),"Ошибка",IF(AW176=0,0,AW174/AW176))</f>
        <v>0</v>
      </c>
      <c r="AX175" s="142">
        <f>IF(OR(AND(AX174&lt;&gt;0,AX176=0),AND(AX174=0,AX176&lt;&gt;0)),"Ошибка",IF(AX176=0,0,AX174/AX176))</f>
        <v>0</v>
      </c>
      <c r="AY175" s="142">
        <f>IF(OR(AND(AY174&lt;&gt;0,AY176=0),AND(AY174=0,AY176&lt;&gt;0)),"Ошибка",IF(AY176=0,0,AY174/AY176))</f>
        <v>0</v>
      </c>
      <c r="AZ175" s="142">
        <f>IF(OR(AND(AZ174&lt;&gt;0,AZ176=0),AND(AZ174=0,AZ176&lt;&gt;0)),"Ошибка",IF(AZ176=0,0,AZ174/AZ176))</f>
        <v>0</v>
      </c>
      <c r="BA175" s="142">
        <f>IF(OR(AND(BA174&lt;&gt;0,BA176=0),AND(BA174=0,BA176&lt;&gt;0)),"Ошибка",IF(BA176=0,0,BA174/BA176))</f>
        <v>0</v>
      </c>
      <c r="BB175" s="142">
        <f>IF(OR(AND(BB174&lt;&gt;0,BB176=0),AND(BB174=0,BB176&lt;&gt;0)),"Ошибка",IF(BB176=0,0,BB174/BB176))</f>
        <v>0</v>
      </c>
      <c r="BC175" s="3487"/>
      <c r="BF175" s="1030" t="s">
        <v>1599</v>
      </c>
      <c r="BG175" s="1030" t="s">
        <v>1594</v>
      </c>
      <c r="BH175" s="1030" cm="1" t="str">
        <f t="array" ref="BH175:BH175">BH174</f>
        <v>0</v>
      </c>
      <c r="BI175" s="146" cm="1" t="str">
        <f t="array" ref="BI175:BI175">BI174</f>
        <v>0</v>
      </c>
      <c r="BJ175" s="267"/>
      <c r="BK175" s="267"/>
    </row>
    <row s="1448" customFormat="1" customHeight="1" ht="10.5" hidden="1">
      <c r="E176" s="267">
        <v>11.25</v>
      </c>
      <c r="F176" s="50" cm="1" t="str">
        <f t="array" ref="F176:F176">OFFSET(E176,-1,1)</f>
        <v>4</v>
      </c>
      <c r="G176" s="126" t="s">
        <v>1600</v>
      </c>
      <c r="H176" s="126" cm="1" t="str">
        <f t="array" ref="H176:H176">H175</f>
        <v>0</v>
      </c>
      <c r="T176" s="465" cm="1" t="str">
        <f t="array" ref="T176:T176">T175</f>
        <v>false</v>
      </c>
      <c r="AA176" s="1494"/>
      <c r="AB176" s="89" t="str">
        <f>AB172&amp;".4"</f>
        <v>7.0.4</v>
      </c>
      <c r="AC176" s="332" t="s">
        <v>1589</v>
      </c>
      <c r="AD176" s="92" t="s">
        <v>1573</v>
      </c>
      <c r="AE176" s="3488"/>
      <c r="AF176" s="3488"/>
      <c r="AG176" s="3488"/>
      <c r="AH176" s="3488"/>
      <c r="AI176" s="3488"/>
      <c r="AJ176" s="3488"/>
      <c r="AK176" s="3488"/>
      <c r="AL176" s="3488"/>
      <c r="AM176" s="3488"/>
      <c r="AN176" s="3488"/>
      <c r="AO176" s="3488"/>
      <c r="AP176" s="3488"/>
      <c r="AQ176" s="3488"/>
      <c r="AR176" s="3488"/>
      <c r="AS176" s="3488"/>
      <c r="AT176" s="3488"/>
      <c r="AU176" s="3488"/>
      <c r="AV176" s="3488"/>
      <c r="AW176" s="3488"/>
      <c r="AX176" s="3488"/>
      <c r="AY176" s="3488"/>
      <c r="AZ176" s="3488"/>
      <c r="BA176" s="3488"/>
      <c r="BB176" s="3488"/>
      <c r="BC176" s="3487"/>
      <c r="BF176" s="1030" t="s">
        <v>1601</v>
      </c>
      <c r="BG176" s="1030" t="s">
        <v>1594</v>
      </c>
      <c r="BH176" s="1030" cm="1" t="str">
        <f t="array" ref="BH176:BH176">BH175</f>
        <v>0</v>
      </c>
      <c r="BI176" s="146" cm="1" t="str">
        <f t="array" ref="BI176:BI176">BI175</f>
        <v>0</v>
      </c>
      <c r="BJ176" s="267"/>
      <c r="BK176" s="267"/>
    </row>
    <row s="1448" customFormat="1" customHeight="1" ht="10.5" hidden="1">
      <c r="E177" s="267">
        <v>11.25</v>
      </c>
      <c r="F177" s="50" cm="1" t="str">
        <f t="array" ref="F177:F177">OFFSET(E177,-1,1)</f>
        <v>4</v>
      </c>
      <c r="G177" s="126" t="s">
        <v>1393</v>
      </c>
      <c r="H177" s="126" cm="1" t="str">
        <f t="array" ref="H177:H177">H176</f>
        <v>0</v>
      </c>
      <c r="T177" s="465" cm="1" t="str">
        <f t="array" ref="T177:T177">T176</f>
        <v>false</v>
      </c>
      <c r="AA177" s="1494"/>
      <c r="AB177" s="89" t="str">
        <f>AB172&amp;".5"</f>
        <v>7.0.5</v>
      </c>
      <c r="AC177" s="192" t="s">
        <v>1602</v>
      </c>
      <c r="AD177" s="89" t="s">
        <v>1596</v>
      </c>
      <c r="AE177" s="3488"/>
      <c r="AF177" s="3488"/>
      <c r="AG177" s="3488"/>
      <c r="AH177" s="3488"/>
      <c r="AI177" s="3488"/>
      <c r="AJ177" s="3488"/>
      <c r="AK177" s="3488"/>
      <c r="AL177" s="3488"/>
      <c r="AM177" s="3488"/>
      <c r="AN177" s="3488"/>
      <c r="AO177" s="3488"/>
      <c r="AP177" s="3488"/>
      <c r="AQ177" s="3488"/>
      <c r="AR177" s="3488"/>
      <c r="AS177" s="3488"/>
      <c r="AT177" s="3488"/>
      <c r="AU177" s="3488"/>
      <c r="AV177" s="3488"/>
      <c r="AW177" s="3488"/>
      <c r="AX177" s="3488"/>
      <c r="AY177" s="3488"/>
      <c r="AZ177" s="3488"/>
      <c r="BA177" s="3488"/>
      <c r="BB177" s="3488"/>
      <c r="BC177" s="3487"/>
      <c r="BF177" s="1030" t="s">
        <v>1603</v>
      </c>
      <c r="BG177" s="1030" t="s">
        <v>1594</v>
      </c>
      <c r="BH177" s="1030" cm="1" t="str">
        <f t="array" ref="BH177:BH177">BH176</f>
        <v>0</v>
      </c>
      <c r="BI177" s="146" cm="1" t="str">
        <f t="array" ref="BI177:BI177">BI176</f>
        <v>0</v>
      </c>
      <c r="BJ177" s="267"/>
      <c r="BK177" s="267"/>
    </row>
    <row s="1448" customFormat="1" customHeight="1" ht="10.5" hidden="1">
      <c r="E178" s="267">
        <v>11.25</v>
      </c>
      <c r="F178" s="50" cm="1" t="str">
        <f t="array" ref="F178:F178">OFFSET(E178,-1,1)</f>
        <v>4</v>
      </c>
      <c r="G178" s="126" t="s">
        <v>1604</v>
      </c>
      <c r="H178" s="126" cm="1" t="str">
        <f t="array" ref="H178:H178">H177</f>
        <v>0</v>
      </c>
      <c r="T178" s="465" cm="1" t="str">
        <f t="array" ref="T178:T178">T177</f>
        <v>false</v>
      </c>
      <c r="AA178" s="1494"/>
      <c r="AB178" s="89" t="str">
        <f>AB172&amp;".6"</f>
        <v>7.0.6</v>
      </c>
      <c r="AC178" s="332" t="s">
        <v>1605</v>
      </c>
      <c r="AD178" s="92" t="s">
        <v>1606</v>
      </c>
      <c r="AE178" s="142">
        <f>IF(OR(AND(AE177&lt;&gt;0,AE179=0),AND(AE177=0,AE179&lt;&gt;0)),"Ошибка",IF(AE179=0,0,AE177/AE179*1000/12))</f>
        <v>0</v>
      </c>
      <c r="AF178" s="142">
        <f>IF(OR(AND(AF177&lt;&gt;0,AF179=0),AND(AF177=0,AF179&lt;&gt;0)),"Ошибка",IF(AF179=0,0,AF177/AF179*1000/12))</f>
        <v>0</v>
      </c>
      <c r="AG178" s="142">
        <f>IF(OR(AND(AG177&lt;&gt;0,AG179=0),AND(AG177=0,AG179&lt;&gt;0)),"Ошибка",IF(AG179=0,0,AG177/AG179*1000/12))</f>
        <v>0</v>
      </c>
      <c r="AH178" s="142">
        <f>IF(OR(AND(AH177&lt;&gt;0,AH179=0),AND(AH177=0,AH179&lt;&gt;0)),"Ошибка",IF(AH179=0,0,AH177/AH179*1000/12))</f>
        <v>0</v>
      </c>
      <c r="AI178" s="142">
        <f>IF(OR(AND(AI177&lt;&gt;0,AI179=0),AND(AI177=0,AI179&lt;&gt;0)),"Ошибка",IF(AI179=0,0,AI177/AI179*1000/12))</f>
        <v>0</v>
      </c>
      <c r="AJ178" s="142">
        <f>IF(OR(AND(AJ177&lt;&gt;0,AJ179=0),AND(AJ177=0,AJ179&lt;&gt;0)),"Ошибка",IF(AJ179=0,0,AJ177/AJ179*1000/12))</f>
        <v>0</v>
      </c>
      <c r="AK178" s="142">
        <f>IF(OR(AND(AK177&lt;&gt;0,AK179=0),AND(AK177=0,AK179&lt;&gt;0)),"Ошибка",IF(AK179=0,0,AK177/AK179*1000/12))</f>
        <v>0</v>
      </c>
      <c r="AL178" s="142">
        <f>IF(OR(AND(AL177&lt;&gt;0,AL179=0),AND(AL177=0,AL179&lt;&gt;0)),"Ошибка",IF(AL179=0,0,AL177/AL179*1000/12))</f>
        <v>0</v>
      </c>
      <c r="AM178" s="142">
        <f>IF(OR(AND(AM177&lt;&gt;0,AM179=0),AND(AM177=0,AM179&lt;&gt;0)),"Ошибка",IF(AM179=0,0,AM177/AM179*1000/12))</f>
        <v>0</v>
      </c>
      <c r="AN178" s="142">
        <f>IF(OR(AND(AN177&lt;&gt;0,AN179=0),AND(AN177=0,AN179&lt;&gt;0)),"Ошибка",IF(AN179=0,0,AN177/AN179*1000/12))</f>
        <v>0</v>
      </c>
      <c r="AO178" s="142">
        <f>IF(OR(AND(AO177&lt;&gt;0,AO179=0),AND(AO177=0,AO179&lt;&gt;0)),"Ошибка",IF(AO179=0,0,AO177/AO179*1000/12))</f>
        <v>0</v>
      </c>
      <c r="AP178" s="142">
        <f>IF(OR(AND(AP177&lt;&gt;0,AP179=0),AND(AP177=0,AP179&lt;&gt;0)),"Ошибка",IF(AP179=0,0,AP177/AP179*1000/12))</f>
        <v>0</v>
      </c>
      <c r="AQ178" s="142">
        <f>IF(OR(AND(AQ177&lt;&gt;0,AQ179=0),AND(AQ177=0,AQ179&lt;&gt;0)),"Ошибка",IF(AQ179=0,0,AQ177/AQ179*1000/12))</f>
        <v>0</v>
      </c>
      <c r="AR178" s="142">
        <f>IF(OR(AND(AR177&lt;&gt;0,AR179=0),AND(AR177=0,AR179&lt;&gt;0)),"Ошибка",IF(AR179=0,0,AR177/AR179*1000/12))</f>
        <v>0</v>
      </c>
      <c r="AS178" s="142">
        <f>IF(OR(AND(AS177&lt;&gt;0,AS179=0),AND(AS177=0,AS179&lt;&gt;0)),"Ошибка",IF(AS179=0,0,AS177/AS179*1000/12))</f>
        <v>0</v>
      </c>
      <c r="AT178" s="142">
        <f>IF(OR(AND(AT177&lt;&gt;0,AT179=0),AND(AT177=0,AT179&lt;&gt;0)),"Ошибка",IF(AT179=0,0,AT177/AT179*1000/12))</f>
        <v>0</v>
      </c>
      <c r="AU178" s="142">
        <f>IF(OR(AND(AU177&lt;&gt;0,AU179=0),AND(AU177=0,AU179&lt;&gt;0)),"Ошибка",IF(AU179=0,0,AU177/AU179*1000/12))</f>
        <v>0</v>
      </c>
      <c r="AV178" s="142">
        <f>IF(OR(AND(AV177&lt;&gt;0,AV179=0),AND(AV177=0,AV179&lt;&gt;0)),"Ошибка",IF(AV179=0,0,AV177/AV179*1000/12))</f>
        <v>0</v>
      </c>
      <c r="AW178" s="142">
        <f>IF(OR(AND(AW177&lt;&gt;0,AW179=0),AND(AW177=0,AW179&lt;&gt;0)),"Ошибка",IF(AW179=0,0,AW177/AW179*1000/12))</f>
        <v>0</v>
      </c>
      <c r="AX178" s="142">
        <f>IF(OR(AND(AX177&lt;&gt;0,AX179=0),AND(AX177=0,AX179&lt;&gt;0)),"Ошибка",IF(AX179=0,0,AX177/AX179*1000/12))</f>
        <v>0</v>
      </c>
      <c r="AY178" s="142">
        <f>IF(OR(AND(AY177&lt;&gt;0,AY179=0),AND(AY177=0,AY179&lt;&gt;0)),"Ошибка",IF(AY179=0,0,AY177/AY179*1000/12))</f>
        <v>0</v>
      </c>
      <c r="AZ178" s="142">
        <f>IF(OR(AND(AZ177&lt;&gt;0,AZ179=0),AND(AZ177=0,AZ179&lt;&gt;0)),"Ошибка",IF(AZ179=0,0,AZ177/AZ179*1000/12))</f>
        <v>0</v>
      </c>
      <c r="BA178" s="142">
        <f>IF(OR(AND(BA177&lt;&gt;0,BA179=0),AND(BA177=0,BA179&lt;&gt;0)),"Ошибка",IF(BA179=0,0,BA177/BA179*1000/12))</f>
        <v>0</v>
      </c>
      <c r="BB178" s="142">
        <f>IF(OR(AND(BB177&lt;&gt;0,BB179=0),AND(BB177=0,BB179&lt;&gt;0)),"Ошибка",IF(BB179=0,0,BB177/BB179*1000/12))</f>
        <v>0</v>
      </c>
      <c r="BC178" s="3487"/>
      <c r="BF178" s="1030" t="s">
        <v>1607</v>
      </c>
      <c r="BG178" s="1030" t="s">
        <v>1594</v>
      </c>
      <c r="BH178" s="1030" cm="1" t="str">
        <f t="array" ref="BH178:BH178">BH177</f>
        <v>0</v>
      </c>
      <c r="BI178" s="146" cm="1" t="str">
        <f t="array" ref="BI178:BI178">BI177</f>
        <v>0</v>
      </c>
      <c r="BJ178" s="267"/>
      <c r="BK178" s="267"/>
    </row>
    <row s="1448" customFormat="1" customHeight="1" ht="10.5" hidden="1">
      <c r="E179" s="267">
        <v>11.25</v>
      </c>
      <c r="F179" s="50" cm="1" t="str">
        <f t="array" ref="F179:F179">OFFSET(E179,-1,1)</f>
        <v>4</v>
      </c>
      <c r="G179" s="126" t="s">
        <v>1608</v>
      </c>
      <c r="H179" s="126" cm="1" t="str">
        <f t="array" ref="H179:H179">H178</f>
        <v>0</v>
      </c>
      <c r="T179" s="465" cm="1" t="str">
        <f t="array" ref="T179:T179">T178</f>
        <v>false</v>
      </c>
      <c r="AA179" s="1494"/>
      <c r="AB179" s="89" t="str">
        <f>AB172&amp;".7"</f>
        <v>7.0.7</v>
      </c>
      <c r="AC179" s="332" t="s">
        <v>1609</v>
      </c>
      <c r="AD179" s="92" t="s">
        <v>1610</v>
      </c>
      <c r="AE179" s="3488"/>
      <c r="AF179" s="3488"/>
      <c r="AG179" s="3488"/>
      <c r="AH179" s="3488"/>
      <c r="AI179" s="3488"/>
      <c r="AJ179" s="3488"/>
      <c r="AK179" s="3488"/>
      <c r="AL179" s="3488"/>
      <c r="AM179" s="3488"/>
      <c r="AN179" s="3488"/>
      <c r="AO179" s="3488"/>
      <c r="AP179" s="3488"/>
      <c r="AQ179" s="3488"/>
      <c r="AR179" s="3488"/>
      <c r="AS179" s="3488"/>
      <c r="AT179" s="3488"/>
      <c r="AU179" s="3488"/>
      <c r="AV179" s="3488"/>
      <c r="AW179" s="3488"/>
      <c r="AX179" s="3488"/>
      <c r="AY179" s="3488"/>
      <c r="AZ179" s="3488"/>
      <c r="BA179" s="3488"/>
      <c r="BB179" s="3488"/>
      <c r="BC179" s="3487"/>
      <c r="BF179" s="1030" t="s">
        <v>1611</v>
      </c>
      <c r="BG179" s="1030" t="s">
        <v>1594</v>
      </c>
      <c r="BH179" s="1030" cm="1" t="str">
        <f t="array" ref="BH179:BH179">BH178</f>
        <v>0</v>
      </c>
      <c r="BI179" s="146" cm="1" t="str">
        <f t="array" ref="BI179:BI179">BI178</f>
        <v>0</v>
      </c>
      <c r="BJ179" s="267"/>
      <c r="BK179" s="267"/>
    </row>
    <row s="1834" customFormat="1" customHeight="1" ht="23.25">
      <c r="A180" s="1834"/>
      <c r="B180" s="1834"/>
      <c r="C180" s="1834"/>
      <c r="D180" s="1834"/>
      <c r="E180" s="267">
        <v>11</v>
      </c>
      <c r="F180" s="1175" cm="1" t="str">
        <f t="array" ref="F180:F180">OFFSET(E180,-1,1)</f>
        <v>4</v>
      </c>
      <c r="G180" s="1834"/>
      <c r="H180" s="1834"/>
      <c r="I180" s="1834"/>
      <c r="J180" s="1834"/>
      <c r="K180" s="1834"/>
      <c r="L180" s="1834"/>
      <c r="M180" s="1834"/>
      <c r="N180" s="1834"/>
      <c r="O180" s="1834"/>
      <c r="P180" s="1834"/>
      <c r="Q180" s="1834"/>
      <c r="R180" s="1834"/>
      <c r="S180" s="1834"/>
      <c r="T180" s="465">
        <f>AND(F180&gt;0,Y180&gt;0)</f>
        <v>1</v>
      </c>
      <c r="U180" s="1834"/>
      <c r="V180" s="1834"/>
      <c r="W180" s="717"/>
      <c r="X180" s="1834"/>
      <c r="Y180" s="1641" t="s">
        <v>276</v>
      </c>
      <c r="Z180" s="1834"/>
      <c r="AA180" s="1648" t="s">
        <v>175</v>
      </c>
      <c r="AB180" s="89" t="str">
        <f>"7."&amp;Y180</f>
        <v>7.1</v>
      </c>
      <c r="AC180" s="1695" t="s">
        <v>1616</v>
      </c>
      <c r="AD180" s="93"/>
      <c r="AE180" s="1834"/>
      <c r="AF180" s="1834"/>
      <c r="AG180" s="1834"/>
      <c r="AH180" s="1834"/>
      <c r="AI180" s="1834"/>
      <c r="AJ180" s="1834"/>
      <c r="AK180" s="1834"/>
      <c r="AL180" s="1834"/>
      <c r="AM180" s="1834"/>
      <c r="AN180" s="1834"/>
      <c r="AO180" s="1834"/>
      <c r="AP180" s="1834"/>
      <c r="AQ180" s="1834"/>
      <c r="AR180" s="1834"/>
      <c r="AS180" s="1834"/>
      <c r="AT180" s="1834"/>
      <c r="AU180" s="1834"/>
      <c r="AV180" s="1834"/>
      <c r="AW180" s="1834"/>
      <c r="AX180" s="1834"/>
      <c r="AY180" s="1834"/>
      <c r="AZ180" s="1834"/>
      <c r="BA180" s="1834"/>
      <c r="BB180" s="1834"/>
      <c r="BC180" s="1834"/>
      <c r="BD180" s="1834"/>
      <c r="BE180" s="1834"/>
      <c r="BF180" s="1030"/>
      <c r="BG180" s="1030"/>
      <c r="BH180" s="1030"/>
      <c r="BI180" s="1030"/>
      <c r="BJ180" s="267"/>
      <c r="BK180" s="267"/>
    </row>
    <row s="1448" customFormat="1" customHeight="1" ht="10.5">
      <c r="A181" s="1448"/>
      <c r="B181" s="1448"/>
      <c r="C181" s="1448"/>
      <c r="D181" s="1448"/>
      <c r="E181" s="267">
        <v>11.25</v>
      </c>
      <c r="F181" s="50" cm="1" t="str">
        <f t="array" ref="F181:F181">OFFSET(E181,-1,1)</f>
        <v>4</v>
      </c>
      <c r="G181" s="126" t="s">
        <v>1225</v>
      </c>
      <c r="H181" s="126" cm="1" t="str">
        <f t="array" ref="H181:H181">AC181</f>
        <v>СН2</v>
      </c>
      <c r="I181" s="1448"/>
      <c r="J181" s="1448"/>
      <c r="K181" s="1448"/>
      <c r="L181" s="1448"/>
      <c r="M181" s="1448"/>
      <c r="N181" s="1448"/>
      <c r="O181" s="1448"/>
      <c r="P181" s="1448"/>
      <c r="Q181" s="1448"/>
      <c r="R181" s="1448"/>
      <c r="S181" s="1448"/>
      <c r="T181" s="465" cm="1" t="str">
        <f t="array" ref="T181:T181">T180</f>
        <v>true</v>
      </c>
      <c r="U181" s="1448"/>
      <c r="V181" s="1448"/>
      <c r="W181" s="1448"/>
      <c r="X181" s="1448"/>
      <c r="Y181" s="1543">
        <v>0</v>
      </c>
      <c r="Z181" s="1448"/>
      <c r="AA181" s="1494" t="s">
        <v>175</v>
      </c>
      <c r="AB181" s="89" t="str">
        <f>AB180&amp;".1"</f>
        <v>7.1.1</v>
      </c>
      <c r="AC181" s="3489" t="s">
        <v>1621</v>
      </c>
      <c r="AD181" s="89" t="s">
        <v>1514</v>
      </c>
      <c r="AE181" s="142">
        <f>AE182+AE185</f>
        <v>0</v>
      </c>
      <c r="AF181" s="142">
        <f>AF182+AF185</f>
        <v>0</v>
      </c>
      <c r="AG181" s="142">
        <f>AG182+AG185</f>
        <v>0</v>
      </c>
      <c r="AH181" s="142">
        <f>AH182+AH185</f>
        <v>0</v>
      </c>
      <c r="AI181" s="142">
        <f>AI182+AI185</f>
        <v>8385.20781084891</v>
      </c>
      <c r="AJ181" s="142">
        <f>AJ182+AJ185</f>
        <v>9148.26172163616</v>
      </c>
      <c r="AK181" s="142">
        <f>AK182+AK185</f>
        <v>9596.52654599633</v>
      </c>
      <c r="AL181" s="142">
        <f>AL182+AL185</f>
        <v>10066.7563467501</v>
      </c>
      <c r="AM181" s="142">
        <f>AM182+AM185</f>
        <v>10560.0274077409</v>
      </c>
      <c r="AN181" s="142">
        <f>AN182+AN185</f>
        <v>0</v>
      </c>
      <c r="AO181" s="142">
        <f>AO182+AO185</f>
        <v>0</v>
      </c>
      <c r="AP181" s="142">
        <f>AP182+AP185</f>
        <v>0</v>
      </c>
      <c r="AQ181" s="142">
        <f>AQ182+AQ185</f>
        <v>0</v>
      </c>
      <c r="AR181" s="142">
        <f>AR182+AR185</f>
        <v>0</v>
      </c>
      <c r="AS181" s="142">
        <f>AS182+AS185</f>
        <v>8385.20781084891</v>
      </c>
      <c r="AT181" s="142">
        <f>AT182+AT185</f>
        <v>9148.26172163616</v>
      </c>
      <c r="AU181" s="142">
        <f>AU182+AU185</f>
        <v>9596.52654599633</v>
      </c>
      <c r="AV181" s="142">
        <f>AV182+AV185</f>
        <v>10066.7563467501</v>
      </c>
      <c r="AW181" s="142">
        <f>AW182+AW185</f>
        <v>10560.0274077409</v>
      </c>
      <c r="AX181" s="142">
        <f>AX182+AX185</f>
        <v>0</v>
      </c>
      <c r="AY181" s="142">
        <f>AY182+AY185</f>
        <v>0</v>
      </c>
      <c r="AZ181" s="142">
        <f>AZ182+AZ185</f>
        <v>0</v>
      </c>
      <c r="BA181" s="142">
        <f>BA182+BA185</f>
        <v>0</v>
      </c>
      <c r="BB181" s="142">
        <f>BB182+BB185</f>
        <v>0</v>
      </c>
      <c r="BC181" s="3490"/>
      <c r="BD181" s="1448"/>
      <c r="BE181" s="1448"/>
      <c r="BF181" s="1030" t="s">
        <v>1593</v>
      </c>
      <c r="BG181" s="1030" t="s">
        <v>1594</v>
      </c>
      <c r="BH181" s="1030" cm="1" t="str">
        <f t="array" ref="BH181:BH181">AC181</f>
        <v>СН2</v>
      </c>
      <c r="BI181" s="146" cm="1" t="str">
        <f t="array" ref="BI181:BI181">AC180</f>
        <v>ПАО "Кузбассэнергосбыт" (ИНН: 4205109214, КПП: 420501001)</v>
      </c>
      <c r="BJ181" s="267"/>
      <c r="BK181" s="267" t="b">
        <v>1</v>
      </c>
    </row>
    <row s="1448" customFormat="1" customHeight="1" ht="10.5">
      <c r="A182" s="1448"/>
      <c r="B182" s="1448"/>
      <c r="C182" s="1448"/>
      <c r="D182" s="1448"/>
      <c r="E182" s="267">
        <v>11.25</v>
      </c>
      <c r="F182" s="50" cm="1" t="str">
        <f t="array" ref="F182:F182">OFFSET(E182,-1,1)</f>
        <v>4</v>
      </c>
      <c r="G182" s="126" t="s">
        <v>1390</v>
      </c>
      <c r="H182" s="126" cm="1" t="str">
        <f t="array" ref="H182:H182">H181</f>
        <v>СН2</v>
      </c>
      <c r="I182" s="1448"/>
      <c r="J182" s="1448"/>
      <c r="K182" s="1448"/>
      <c r="L182" s="1448"/>
      <c r="M182" s="1448"/>
      <c r="N182" s="1448"/>
      <c r="O182" s="1448"/>
      <c r="P182" s="1448"/>
      <c r="Q182" s="1448"/>
      <c r="R182" s="1448"/>
      <c r="S182" s="1448"/>
      <c r="T182" s="465" cm="1" t="str">
        <f t="array" ref="T182:T182">T181</f>
        <v>true</v>
      </c>
      <c r="U182" s="1448"/>
      <c r="V182" s="1448"/>
      <c r="W182" s="1448"/>
      <c r="X182" s="1448"/>
      <c r="Y182" s="1448"/>
      <c r="Z182" s="1448"/>
      <c r="AA182" s="1494"/>
      <c r="AB182" s="89" t="str">
        <f>AB180&amp;".2"</f>
        <v>7.1.2</v>
      </c>
      <c r="AC182" s="192" t="s">
        <v>1595</v>
      </c>
      <c r="AD182" s="89" t="s">
        <v>1596</v>
      </c>
      <c r="AE182" s="3491"/>
      <c r="AF182" s="3491"/>
      <c r="AG182" s="3491"/>
      <c r="AH182" s="3491"/>
      <c r="AI182" s="3491">
        <v>4078.73859241233</v>
      </c>
      <c r="AJ182" s="3491">
        <v>4449.90380432185</v>
      </c>
      <c r="AK182" s="3491">
        <v>4667.94909073362</v>
      </c>
      <c r="AL182" s="3491">
        <v>4896.67859617957</v>
      </c>
      <c r="AM182" s="3491">
        <v>5136.61584739236</v>
      </c>
      <c r="AN182" s="3488"/>
      <c r="AO182" s="3488"/>
      <c r="AP182" s="3488"/>
      <c r="AQ182" s="3488"/>
      <c r="AR182" s="3488"/>
      <c r="AS182" s="3491">
        <f>2.9252*1.132*AS184</f>
        <v>4078.73859241233</v>
      </c>
      <c r="AT182" s="3491">
        <f>AS183*1.091*AT184</f>
        <v>4449.90380432185</v>
      </c>
      <c r="AU182" s="3491">
        <f>AT183*1.049*AU184</f>
        <v>4667.94909073362</v>
      </c>
      <c r="AV182" s="3491">
        <f>AU183*1.049*AV184</f>
        <v>4896.67859617957</v>
      </c>
      <c r="AW182" s="3491">
        <f>AV183*1.049*AW184</f>
        <v>5136.61584739236</v>
      </c>
      <c r="AX182" s="3488"/>
      <c r="AY182" s="3488"/>
      <c r="AZ182" s="3488"/>
      <c r="BA182" s="3488"/>
      <c r="BB182" s="3488"/>
      <c r="BC182" s="3490"/>
      <c r="BD182" s="1448"/>
      <c r="BE182" s="1448"/>
      <c r="BF182" s="1030" t="s">
        <v>1597</v>
      </c>
      <c r="BG182" s="1030" t="s">
        <v>1594</v>
      </c>
      <c r="BH182" s="1030" cm="1" t="str">
        <f t="array" ref="BH182:BH182">BH181</f>
        <v>СН2</v>
      </c>
      <c r="BI182" s="146" cm="1" t="str">
        <f t="array" ref="BI182:BI182">BI181</f>
        <v>ПАО "Кузбассэнергосбыт" (ИНН: 4205109214, КПП: 420501001)</v>
      </c>
      <c r="BJ182" s="267"/>
      <c r="BK182" s="267"/>
    </row>
    <row s="1448" customFormat="1" customHeight="1" ht="23.25">
      <c r="A183" s="1448"/>
      <c r="B183" s="1448"/>
      <c r="C183" s="1448"/>
      <c r="D183" s="1448"/>
      <c r="E183" s="267">
        <v>11.25</v>
      </c>
      <c r="F183" s="50" cm="1" t="str">
        <f t="array" ref="F183:F183">OFFSET(E183,-1,1)</f>
        <v>4</v>
      </c>
      <c r="G183" s="126" t="s">
        <v>1598</v>
      </c>
      <c r="H183" s="126" cm="1" t="str">
        <f t="array" ref="H183:H183">H182</f>
        <v>СН2</v>
      </c>
      <c r="I183" s="1448"/>
      <c r="J183" s="1448"/>
      <c r="K183" s="1448"/>
      <c r="L183" s="1448"/>
      <c r="M183" s="1448"/>
      <c r="N183" s="1448"/>
      <c r="O183" s="1448"/>
      <c r="P183" s="1448"/>
      <c r="Q183" s="1448"/>
      <c r="R183" s="1448"/>
      <c r="S183" s="1448"/>
      <c r="T183" s="465" cm="1" t="str">
        <f t="array" ref="T183:T183">T182</f>
        <v>true</v>
      </c>
      <c r="U183" s="1448"/>
      <c r="V183" s="1448"/>
      <c r="W183" s="1448"/>
      <c r="X183" s="1448"/>
      <c r="Y183" s="1448"/>
      <c r="Z183" s="1448"/>
      <c r="AA183" s="1494"/>
      <c r="AB183" s="89" t="str">
        <f>AB180&amp;".3"</f>
        <v>7.1.3</v>
      </c>
      <c r="AC183" s="332" t="s">
        <v>1587</v>
      </c>
      <c r="AD183" s="92" t="s">
        <v>1579</v>
      </c>
      <c r="AE183" s="142">
        <f>IF(OR(AND(AE182&lt;&gt;0,AE184=0),AND(AE182=0,AE184&lt;&gt;0)),"Ошибка",IF(AE184=0,0,AE182/AE184))</f>
        <v>0</v>
      </c>
      <c r="AF183" s="142">
        <f>IF(OR(AND(AF182&lt;&gt;0,AF184=0),AND(AF182=0,AF184&lt;&gt;0)),"Ошибка",IF(AF184=0,0,AF182/AF184))</f>
        <v>0</v>
      </c>
      <c r="AG183" s="142">
        <f>IF(OR(AND(AG182&lt;&gt;0,AG184=0),AND(AG182=0,AG184&lt;&gt;0)),"Ошибка",IF(AG184=0,0,AG182/AG184))</f>
        <v>0</v>
      </c>
      <c r="AH183" s="142">
        <f>IF(OR(AND(AH182&lt;&gt;0,AH184=0),AND(AH182=0,AH184&lt;&gt;0)),"Ошибка",IF(AH184=0,0,AH182/AH184))</f>
        <v>0</v>
      </c>
      <c r="AI183" s="142">
        <f>IF(OR(AND(AI182&lt;&gt;0,AI184=0),AND(AI182=0,AI184&lt;&gt;0)),"Ошибка",IF(AI184=0,0,AI182/AI184))</f>
        <v>3.3113264</v>
      </c>
      <c r="AJ183" s="142">
        <f>IF(OR(AND(AJ182&lt;&gt;0,AJ184=0),AND(AJ182=0,AJ184&lt;&gt;0)),"Ошибка",IF(AJ184=0,0,AJ182/AJ184))</f>
        <v>3.6126571024</v>
      </c>
      <c r="AK183" s="142">
        <f>IF(OR(AND(AK182&lt;&gt;0,AK184=0),AND(AK182=0,AK184&lt;&gt;0)),"Ошибка",IF(AK184=0,0,AK182/AK184))</f>
        <v>3.7896773004176</v>
      </c>
      <c r="AL183" s="142">
        <f>IF(OR(AND(AL182&lt;&gt;0,AL184=0),AND(AL182=0,AL184&lt;&gt;0)),"Ошибка",IF(AL184=0,0,AL182/AL184))</f>
        <v>3.97537148813806</v>
      </c>
      <c r="AM183" s="142">
        <f>IF(OR(AND(AM182&lt;&gt;0,AM184=0),AND(AM182=0,AM184&lt;&gt;0)),"Ошибка",IF(AM184=0,0,AM182/AM184))</f>
        <v>4.17016469105682</v>
      </c>
      <c r="AN183" s="142">
        <f>IF(OR(AND(AN182&lt;&gt;0,AN184=0),AND(AN182=0,AN184&lt;&gt;0)),"Ошибка",IF(AN184=0,0,AN182/AN184))</f>
        <v>0</v>
      </c>
      <c r="AO183" s="142">
        <f>IF(OR(AND(AO182&lt;&gt;0,AO184=0),AND(AO182=0,AO184&lt;&gt;0)),"Ошибка",IF(AO184=0,0,AO182/AO184))</f>
        <v>0</v>
      </c>
      <c r="AP183" s="142">
        <f>IF(OR(AND(AP182&lt;&gt;0,AP184=0),AND(AP182=0,AP184&lt;&gt;0)),"Ошибка",IF(AP184=0,0,AP182/AP184))</f>
        <v>0</v>
      </c>
      <c r="AQ183" s="142">
        <f>IF(OR(AND(AQ182&lt;&gt;0,AQ184=0),AND(AQ182=0,AQ184&lt;&gt;0)),"Ошибка",IF(AQ184=0,0,AQ182/AQ184))</f>
        <v>0</v>
      </c>
      <c r="AR183" s="142">
        <f>IF(OR(AND(AR182&lt;&gt;0,AR184=0),AND(AR182=0,AR184&lt;&gt;0)),"Ошибка",IF(AR184=0,0,AR182/AR184))</f>
        <v>0</v>
      </c>
      <c r="AS183" s="142">
        <f>IF(OR(AND(AS182&lt;&gt;0,AS184=0),AND(AS182=0,AS184&lt;&gt;0)),"Ошибка",IF(AS184=0,0,AS182/AS184))</f>
        <v>3.3113264</v>
      </c>
      <c r="AT183" s="142">
        <f>IF(OR(AND(AT182&lt;&gt;0,AT184=0),AND(AT182=0,AT184&lt;&gt;0)),"Ошибка",IF(AT184=0,0,AT182/AT184))</f>
        <v>3.6126571024</v>
      </c>
      <c r="AU183" s="142">
        <f>IF(OR(AND(AU182&lt;&gt;0,AU184=0),AND(AU182=0,AU184&lt;&gt;0)),"Ошибка",IF(AU184=0,0,AU182/AU184))</f>
        <v>3.7896773004176</v>
      </c>
      <c r="AV183" s="142">
        <f>IF(OR(AND(AV182&lt;&gt;0,AV184=0),AND(AV182=0,AV184&lt;&gt;0)),"Ошибка",IF(AV184=0,0,AV182/AV184))</f>
        <v>3.97537148813806</v>
      </c>
      <c r="AW183" s="142">
        <f>IF(OR(AND(AW182&lt;&gt;0,AW184=0),AND(AW182=0,AW184&lt;&gt;0)),"Ошибка",IF(AW184=0,0,AW182/AW184))</f>
        <v>4.17016469105682</v>
      </c>
      <c r="AX183" s="142">
        <f>IF(OR(AND(AX182&lt;&gt;0,AX184=0),AND(AX182=0,AX184&lt;&gt;0)),"Ошибка",IF(AX184=0,0,AX182/AX184))</f>
        <v>0</v>
      </c>
      <c r="AY183" s="142">
        <f>IF(OR(AND(AY182&lt;&gt;0,AY184=0),AND(AY182=0,AY184&lt;&gt;0)),"Ошибка",IF(AY184=0,0,AY182/AY184))</f>
        <v>0</v>
      </c>
      <c r="AZ183" s="142">
        <f>IF(OR(AND(AZ182&lt;&gt;0,AZ184=0),AND(AZ182=0,AZ184&lt;&gt;0)),"Ошибка",IF(AZ184=0,0,AZ182/AZ184))</f>
        <v>0</v>
      </c>
      <c r="BA183" s="142">
        <f>IF(OR(AND(BA182&lt;&gt;0,BA184=0),AND(BA182=0,BA184&lt;&gt;0)),"Ошибка",IF(BA184=0,0,BA182/BA184))</f>
        <v>0</v>
      </c>
      <c r="BB183" s="142">
        <f>IF(OR(AND(BB182&lt;&gt;0,BB184=0),AND(BB182=0,BB184&lt;&gt;0)),"Ошибка",IF(BB184=0,0,BB182/BB184))</f>
        <v>0</v>
      </c>
      <c r="BC183" s="3490" t="s">
        <v>1618</v>
      </c>
      <c r="BD183" s="1448"/>
      <c r="BE183" s="1448"/>
      <c r="BF183" s="1030" t="s">
        <v>1599</v>
      </c>
      <c r="BG183" s="1030" t="s">
        <v>1594</v>
      </c>
      <c r="BH183" s="1030" cm="1" t="str">
        <f t="array" ref="BH183:BH183">BH182</f>
        <v>СН2</v>
      </c>
      <c r="BI183" s="146" cm="1" t="str">
        <f t="array" ref="BI183:BI183">BI182</f>
        <v>ПАО "Кузбассэнергосбыт" (ИНН: 4205109214, КПП: 420501001)</v>
      </c>
      <c r="BJ183" s="267"/>
      <c r="BK183" s="267"/>
    </row>
    <row s="1448" customFormat="1" customHeight="1" ht="33.75">
      <c r="A184" s="1448"/>
      <c r="B184" s="1448"/>
      <c r="C184" s="1448"/>
      <c r="D184" s="1448"/>
      <c r="E184" s="267">
        <v>11.25</v>
      </c>
      <c r="F184" s="50" cm="1" t="str">
        <f t="array" ref="F184:F184">OFFSET(E184,-1,1)</f>
        <v>4</v>
      </c>
      <c r="G184" s="126" t="s">
        <v>1600</v>
      </c>
      <c r="H184" s="126" cm="1" t="str">
        <f t="array" ref="H184:H184">H183</f>
        <v>СН2</v>
      </c>
      <c r="I184" s="1448"/>
      <c r="J184" s="1448"/>
      <c r="K184" s="1448"/>
      <c r="L184" s="1448"/>
      <c r="M184" s="1448"/>
      <c r="N184" s="1448"/>
      <c r="O184" s="1448"/>
      <c r="P184" s="1448"/>
      <c r="Q184" s="1448"/>
      <c r="R184" s="1448"/>
      <c r="S184" s="1448"/>
      <c r="T184" s="465" cm="1" t="str">
        <f t="array" ref="T184:T184">T183</f>
        <v>true</v>
      </c>
      <c r="U184" s="1448"/>
      <c r="V184" s="1448"/>
      <c r="W184" s="1448"/>
      <c r="X184" s="1448"/>
      <c r="Y184" s="1448"/>
      <c r="Z184" s="1448"/>
      <c r="AA184" s="1494"/>
      <c r="AB184" s="89" t="str">
        <f>AB180&amp;".4"</f>
        <v>7.1.4</v>
      </c>
      <c r="AC184" s="332" t="s">
        <v>1589</v>
      </c>
      <c r="AD184" s="92" t="s">
        <v>1573</v>
      </c>
      <c r="AE184" s="3491"/>
      <c r="AF184" s="3491"/>
      <c r="AG184" s="3491"/>
      <c r="AH184" s="3491"/>
      <c r="AI184" s="3491">
        <v>1231.75371428571</v>
      </c>
      <c r="AJ184" s="3491" cm="1" t="str">
        <f t="array" ref="AJ184:AJ184">AI184</f>
        <v>1231.75371428571</v>
      </c>
      <c r="AK184" s="3491" cm="1" t="str">
        <f t="array" ref="AK184:AK184">AJ184</f>
        <v>1231.75371428571</v>
      </c>
      <c r="AL184" s="3491" cm="1" t="str">
        <f t="array" ref="AL184:AL184">AK184</f>
        <v>1231.75371428571</v>
      </c>
      <c r="AM184" s="3491" cm="1" t="str">
        <f t="array" ref="AM184:AM184">AL184</f>
        <v>1231.75371428571</v>
      </c>
      <c r="AN184" s="3488"/>
      <c r="AO184" s="3488"/>
      <c r="AP184" s="3488"/>
      <c r="AQ184" s="3488"/>
      <c r="AR184" s="3488"/>
      <c r="AS184" s="3491">
        <v>1231.75371428571</v>
      </c>
      <c r="AT184" s="3491" cm="1" t="str">
        <f t="array" ref="AT184:AT184">AS184</f>
        <v>1231.75371428571</v>
      </c>
      <c r="AU184" s="3491" cm="1" t="str">
        <f t="array" ref="AU184:AU184">AT184</f>
        <v>1231.75371428571</v>
      </c>
      <c r="AV184" s="3491" cm="1" t="str">
        <f t="array" ref="AV184:AV184">AU184</f>
        <v>1231.75371428571</v>
      </c>
      <c r="AW184" s="3491" cm="1" t="str">
        <f t="array" ref="AW184:AW184">AV184</f>
        <v>1231.75371428571</v>
      </c>
      <c r="AX184" s="3488"/>
      <c r="AY184" s="3488"/>
      <c r="AZ184" s="3488"/>
      <c r="BA184" s="3488"/>
      <c r="BB184" s="3488"/>
      <c r="BC184" s="3490" t="s">
        <v>1619</v>
      </c>
      <c r="BD184" s="1448"/>
      <c r="BE184" s="1448"/>
      <c r="BF184" s="1030" t="s">
        <v>1601</v>
      </c>
      <c r="BG184" s="1030" t="s">
        <v>1594</v>
      </c>
      <c r="BH184" s="1030" cm="1" t="str">
        <f t="array" ref="BH184:BH184">BH183</f>
        <v>СН2</v>
      </c>
      <c r="BI184" s="146" cm="1" t="str">
        <f t="array" ref="BI184:BI184">BI183</f>
        <v>ПАО "Кузбассэнергосбыт" (ИНН: 4205109214, КПП: 420501001)</v>
      </c>
      <c r="BJ184" s="267"/>
      <c r="BK184" s="267"/>
    </row>
    <row s="1448" customFormat="1" customHeight="1" ht="12.75">
      <c r="A185" s="1448"/>
      <c r="B185" s="1448"/>
      <c r="C185" s="1448"/>
      <c r="D185" s="1448"/>
      <c r="E185" s="267">
        <v>11.25</v>
      </c>
      <c r="F185" s="50" cm="1" t="str">
        <f t="array" ref="F185:F185">OFFSET(E185,-1,1)</f>
        <v>4</v>
      </c>
      <c r="G185" s="126" t="s">
        <v>1393</v>
      </c>
      <c r="H185" s="126" cm="1" t="str">
        <f t="array" ref="H185:H185">H184</f>
        <v>СН2</v>
      </c>
      <c r="I185" s="1448"/>
      <c r="J185" s="1448"/>
      <c r="K185" s="1448"/>
      <c r="L185" s="1448"/>
      <c r="M185" s="1448"/>
      <c r="N185" s="1448"/>
      <c r="O185" s="1448"/>
      <c r="P185" s="1448"/>
      <c r="Q185" s="1448"/>
      <c r="R185" s="1448"/>
      <c r="S185" s="1448"/>
      <c r="T185" s="465" cm="1" t="str">
        <f t="array" ref="T185:T185">T184</f>
        <v>true</v>
      </c>
      <c r="U185" s="1448"/>
      <c r="V185" s="1448"/>
      <c r="W185" s="1448"/>
      <c r="X185" s="1448"/>
      <c r="Y185" s="1448"/>
      <c r="Z185" s="1448"/>
      <c r="AA185" s="1494"/>
      <c r="AB185" s="89" t="str">
        <f>AB180&amp;".5"</f>
        <v>7.1.5</v>
      </c>
      <c r="AC185" s="192" t="s">
        <v>1602</v>
      </c>
      <c r="AD185" s="89" t="s">
        <v>1596</v>
      </c>
      <c r="AE185" s="3491"/>
      <c r="AF185" s="3491"/>
      <c r="AG185" s="3491"/>
      <c r="AH185" s="3491"/>
      <c r="AI185" s="3491">
        <v>4306.46921843658</v>
      </c>
      <c r="AJ185" s="3491">
        <v>4698.35791731431</v>
      </c>
      <c r="AK185" s="3491">
        <v>4928.57745526271</v>
      </c>
      <c r="AL185" s="3491">
        <v>5170.07775057058</v>
      </c>
      <c r="AM185" s="3491">
        <v>5423.41156034852</v>
      </c>
      <c r="AN185" s="3488"/>
      <c r="AO185" s="3488"/>
      <c r="AP185" s="3488"/>
      <c r="AQ185" s="3488"/>
      <c r="AR185" s="3488"/>
      <c r="AS185" s="3491">
        <f>2285.454*1.132*AS187*12/1000</f>
        <v>4306.46921843658</v>
      </c>
      <c r="AT185" s="3491">
        <f>AS186*1.091*AT187*12/1000</f>
        <v>4698.35791731431</v>
      </c>
      <c r="AU185" s="3491">
        <f>AT186*1.049*AU187*12/1000</f>
        <v>4928.57745526271</v>
      </c>
      <c r="AV185" s="3491">
        <f>AU186*1.049*AV187*12/1000</f>
        <v>5170.07775057058</v>
      </c>
      <c r="AW185" s="3491">
        <f>AV186*1.049*AW187*12/1000</f>
        <v>5423.41156034852</v>
      </c>
      <c r="AX185" s="3488"/>
      <c r="AY185" s="3488"/>
      <c r="AZ185" s="3488"/>
      <c r="BA185" s="3488"/>
      <c r="BB185" s="3488"/>
      <c r="BC185" s="3490"/>
      <c r="BD185" s="1448"/>
      <c r="BE185" s="1448"/>
      <c r="BF185" s="1030" t="s">
        <v>1603</v>
      </c>
      <c r="BG185" s="1030" t="s">
        <v>1594</v>
      </c>
      <c r="BH185" s="1030" cm="1" t="str">
        <f t="array" ref="BH185:BH185">BH184</f>
        <v>СН2</v>
      </c>
      <c r="BI185" s="146" cm="1" t="str">
        <f t="array" ref="BI185:BI185">BI184</f>
        <v>ПАО "Кузбассэнергосбыт" (ИНН: 4205109214, КПП: 420501001)</v>
      </c>
      <c r="BJ185" s="267"/>
      <c r="BK185" s="267"/>
    </row>
    <row s="1448" customFormat="1" customHeight="1" ht="23.25">
      <c r="A186" s="1448"/>
      <c r="B186" s="1448"/>
      <c r="C186" s="1448"/>
      <c r="D186" s="1448"/>
      <c r="E186" s="267">
        <v>11.25</v>
      </c>
      <c r="F186" s="50" cm="1" t="str">
        <f t="array" ref="F186:F186">OFFSET(E186,-1,1)</f>
        <v>4</v>
      </c>
      <c r="G186" s="126" t="s">
        <v>1604</v>
      </c>
      <c r="H186" s="126" cm="1" t="str">
        <f t="array" ref="H186:H186">H185</f>
        <v>СН2</v>
      </c>
      <c r="I186" s="1448"/>
      <c r="J186" s="1448"/>
      <c r="K186" s="1448"/>
      <c r="L186" s="1448"/>
      <c r="M186" s="1448"/>
      <c r="N186" s="1448"/>
      <c r="O186" s="1448"/>
      <c r="P186" s="1448"/>
      <c r="Q186" s="1448"/>
      <c r="R186" s="1448"/>
      <c r="S186" s="1448"/>
      <c r="T186" s="465" cm="1" t="str">
        <f t="array" ref="T186:T186">T185</f>
        <v>true</v>
      </c>
      <c r="U186" s="1448"/>
      <c r="V186" s="1448"/>
      <c r="W186" s="1448"/>
      <c r="X186" s="1448"/>
      <c r="Y186" s="1448"/>
      <c r="Z186" s="1448"/>
      <c r="AA186" s="1494"/>
      <c r="AB186" s="89" t="str">
        <f>AB180&amp;".6"</f>
        <v>7.1.6</v>
      </c>
      <c r="AC186" s="332" t="s">
        <v>1605</v>
      </c>
      <c r="AD186" s="92" t="s">
        <v>1606</v>
      </c>
      <c r="AE186" s="142">
        <f>IF(OR(AND(AE185&lt;&gt;0,AE187=0),AND(AE185=0,AE187&lt;&gt;0)),"Ошибка",IF(AE187=0,0,AE185/AE187*1000/12))</f>
        <v>0</v>
      </c>
      <c r="AF186" s="142">
        <f>IF(OR(AND(AF185&lt;&gt;0,AF187=0),AND(AF185=0,AF187&lt;&gt;0)),"Ошибка",IF(AF187=0,0,AF185/AF187*1000/12))</f>
        <v>0</v>
      </c>
      <c r="AG186" s="142">
        <f>IF(OR(AND(AG185&lt;&gt;0,AG187=0),AND(AG185=0,AG187&lt;&gt;0)),"Ошибка",IF(AG187=0,0,AG185/AG187*1000/12))</f>
        <v>0</v>
      </c>
      <c r="AH186" s="142">
        <f>IF(OR(AND(AH185&lt;&gt;0,AH187=0),AND(AH185=0,AH187&lt;&gt;0)),"Ошибка",IF(AH187=0,0,AH185/AH187*1000/12))</f>
        <v>0</v>
      </c>
      <c r="AI186" s="142">
        <f>IF(OR(AND(AI185&lt;&gt;0,AI187=0),AND(AI185=0,AI187&lt;&gt;0)),"Ошибка",IF(AI187=0,0,AI185/AI187*1000/12))</f>
        <v>2587.133928</v>
      </c>
      <c r="AJ186" s="142">
        <f>IF(OR(AND(AJ185&lt;&gt;0,AJ187=0),AND(AJ185=0,AJ187&lt;&gt;0)),"Ошибка",IF(AJ187=0,0,AJ185/AJ187*1000/12))</f>
        <v>2822.563115448</v>
      </c>
      <c r="AK186" s="142">
        <f>IF(OR(AND(AK185&lt;&gt;0,AK187=0),AND(AK185=0,AK187&lt;&gt;0)),"Ошибка",IF(AK187=0,0,AK185/AK187*1000/12))</f>
        <v>2960.86870810495</v>
      </c>
      <c r="AL186" s="142">
        <f>IF(OR(AND(AL185&lt;&gt;0,AL187=0),AND(AL185=0,AL187&lt;&gt;0)),"Ошибка",IF(AL187=0,0,AL185/AL187*1000/12))</f>
        <v>3105.95127480209</v>
      </c>
      <c r="AM186" s="142">
        <f>IF(OR(AND(AM185&lt;&gt;0,AM187=0),AND(AM185=0,AM187&lt;&gt;0)),"Ошибка",IF(AM187=0,0,AM185/AM187*1000/12))</f>
        <v>3258.14288726738</v>
      </c>
      <c r="AN186" s="142">
        <f>IF(OR(AND(AN185&lt;&gt;0,AN187=0),AND(AN185=0,AN187&lt;&gt;0)),"Ошибка",IF(AN187=0,0,AN185/AN187*1000/12))</f>
        <v>0</v>
      </c>
      <c r="AO186" s="142">
        <f>IF(OR(AND(AO185&lt;&gt;0,AO187=0),AND(AO185=0,AO187&lt;&gt;0)),"Ошибка",IF(AO187=0,0,AO185/AO187*1000/12))</f>
        <v>0</v>
      </c>
      <c r="AP186" s="142">
        <f>IF(OR(AND(AP185&lt;&gt;0,AP187=0),AND(AP185=0,AP187&lt;&gt;0)),"Ошибка",IF(AP187=0,0,AP185/AP187*1000/12))</f>
        <v>0</v>
      </c>
      <c r="AQ186" s="142">
        <f>IF(OR(AND(AQ185&lt;&gt;0,AQ187=0),AND(AQ185=0,AQ187&lt;&gt;0)),"Ошибка",IF(AQ187=0,0,AQ185/AQ187*1000/12))</f>
        <v>0</v>
      </c>
      <c r="AR186" s="142">
        <f>IF(OR(AND(AR185&lt;&gt;0,AR187=0),AND(AR185=0,AR187&lt;&gt;0)),"Ошибка",IF(AR187=0,0,AR185/AR187*1000/12))</f>
        <v>0</v>
      </c>
      <c r="AS186" s="142">
        <f>IF(OR(AND(AS185&lt;&gt;0,AS187=0),AND(AS185=0,AS187&lt;&gt;0)),"Ошибка",IF(AS187=0,0,AS185/AS187*1000/12))</f>
        <v>2587.133928</v>
      </c>
      <c r="AT186" s="142">
        <f>IF(OR(AND(AT185&lt;&gt;0,AT187=0),AND(AT185=0,AT187&lt;&gt;0)),"Ошибка",IF(AT187=0,0,AT185/AT187*1000/12))</f>
        <v>2822.563115448</v>
      </c>
      <c r="AU186" s="142">
        <f>IF(OR(AND(AU185&lt;&gt;0,AU187=0),AND(AU185=0,AU187&lt;&gt;0)),"Ошибка",IF(AU187=0,0,AU185/AU187*1000/12))</f>
        <v>2960.86870810495</v>
      </c>
      <c r="AV186" s="142">
        <f>IF(OR(AND(AV185&lt;&gt;0,AV187=0),AND(AV185=0,AV187&lt;&gt;0)),"Ошибка",IF(AV187=0,0,AV185/AV187*1000/12))</f>
        <v>3105.95127480209</v>
      </c>
      <c r="AW186" s="142">
        <f>IF(OR(AND(AW185&lt;&gt;0,AW187=0),AND(AW185=0,AW187&lt;&gt;0)),"Ошибка",IF(AW187=0,0,AW185/AW187*1000/12))</f>
        <v>3258.14288726738</v>
      </c>
      <c r="AX186" s="142">
        <f>IF(OR(AND(AX185&lt;&gt;0,AX187=0),AND(AX185=0,AX187&lt;&gt;0)),"Ошибка",IF(AX187=0,0,AX185/AX187*1000/12))</f>
        <v>0</v>
      </c>
      <c r="AY186" s="142">
        <f>IF(OR(AND(AY185&lt;&gt;0,AY187=0),AND(AY185=0,AY187&lt;&gt;0)),"Ошибка",IF(AY187=0,0,AY185/AY187*1000/12))</f>
        <v>0</v>
      </c>
      <c r="AZ186" s="142">
        <f>IF(OR(AND(AZ185&lt;&gt;0,AZ187=0),AND(AZ185=0,AZ187&lt;&gt;0)),"Ошибка",IF(AZ187=0,0,AZ185/AZ187*1000/12))</f>
        <v>0</v>
      </c>
      <c r="BA186" s="142">
        <f>IF(OR(AND(BA185&lt;&gt;0,BA187=0),AND(BA185=0,BA187&lt;&gt;0)),"Ошибка",IF(BA187=0,0,BA185/BA187*1000/12))</f>
        <v>0</v>
      </c>
      <c r="BB186" s="142">
        <f>IF(OR(AND(BB185&lt;&gt;0,BB187=0),AND(BB185=0,BB187&lt;&gt;0)),"Ошибка",IF(BB187=0,0,BB185/BB187*1000/12))</f>
        <v>0</v>
      </c>
      <c r="BC186" s="3490" t="s">
        <v>1618</v>
      </c>
      <c r="BD186" s="1448"/>
      <c r="BE186" s="1448"/>
      <c r="BF186" s="1030" t="s">
        <v>1607</v>
      </c>
      <c r="BG186" s="1030" t="s">
        <v>1594</v>
      </c>
      <c r="BH186" s="1030" cm="1" t="str">
        <f t="array" ref="BH186:BH186">BH185</f>
        <v>СН2</v>
      </c>
      <c r="BI186" s="146" cm="1" t="str">
        <f t="array" ref="BI186:BI186">BI185</f>
        <v>ПАО "Кузбассэнергосбыт" (ИНН: 4205109214, КПП: 420501001)</v>
      </c>
      <c r="BJ186" s="267"/>
      <c r="BK186" s="267"/>
    </row>
    <row s="1448" customFormat="1" customHeight="1" ht="33.75">
      <c r="A187" s="1448"/>
      <c r="B187" s="1448"/>
      <c r="C187" s="1448"/>
      <c r="D187" s="1448"/>
      <c r="E187" s="267">
        <v>11.25</v>
      </c>
      <c r="F187" s="50" cm="1" t="str">
        <f t="array" ref="F187:F187">OFFSET(E187,-1,1)</f>
        <v>4</v>
      </c>
      <c r="G187" s="126" t="s">
        <v>1608</v>
      </c>
      <c r="H187" s="126" cm="1" t="str">
        <f t="array" ref="H187:H187">H186</f>
        <v>СН2</v>
      </c>
      <c r="I187" s="1448"/>
      <c r="J187" s="1448"/>
      <c r="K187" s="1448"/>
      <c r="L187" s="1448"/>
      <c r="M187" s="1448"/>
      <c r="N187" s="1448"/>
      <c r="O187" s="1448"/>
      <c r="P187" s="1448"/>
      <c r="Q187" s="1448"/>
      <c r="R187" s="1448"/>
      <c r="S187" s="1448"/>
      <c r="T187" s="465" cm="1" t="str">
        <f t="array" ref="T187:T187">T186</f>
        <v>true</v>
      </c>
      <c r="U187" s="1448"/>
      <c r="V187" s="1448"/>
      <c r="W187" s="1448"/>
      <c r="X187" s="1448"/>
      <c r="Y187" s="1448"/>
      <c r="Z187" s="1448"/>
      <c r="AA187" s="1494"/>
      <c r="AB187" s="89" t="str">
        <f>AB180&amp;".7"</f>
        <v>7.1.7</v>
      </c>
      <c r="AC187" s="332" t="s">
        <v>1609</v>
      </c>
      <c r="AD187" s="92" t="s">
        <v>1610</v>
      </c>
      <c r="AE187" s="3491"/>
      <c r="AF187" s="3491"/>
      <c r="AG187" s="3491"/>
      <c r="AH187" s="3491"/>
      <c r="AI187" s="3491">
        <v>138.714285714286</v>
      </c>
      <c r="AJ187" s="3491" cm="1" t="str">
        <f t="array" ref="AJ187:AJ187">AI187</f>
        <v>138.714285714286</v>
      </c>
      <c r="AK187" s="3491" cm="1" t="str">
        <f t="array" ref="AK187:AK187">AJ187</f>
        <v>138.714285714286</v>
      </c>
      <c r="AL187" s="3491" cm="1" t="str">
        <f t="array" ref="AL187:AL187">AK187</f>
        <v>138.714285714286</v>
      </c>
      <c r="AM187" s="3491" cm="1" t="str">
        <f t="array" ref="AM187:AM187">AL187</f>
        <v>138.714285714286</v>
      </c>
      <c r="AN187" s="3488"/>
      <c r="AO187" s="3488"/>
      <c r="AP187" s="3488"/>
      <c r="AQ187" s="3488"/>
      <c r="AR187" s="3488"/>
      <c r="AS187" s="3491">
        <f>1.66457142857143/12*1000</f>
        <v>138.714285714286</v>
      </c>
      <c r="AT187" s="3491" cm="1" t="str">
        <f t="array" ref="AT187:AT187">AS187</f>
        <v>138.714285714286</v>
      </c>
      <c r="AU187" s="3491" cm="1" t="str">
        <f t="array" ref="AU187:AU187">AT187</f>
        <v>138.714285714286</v>
      </c>
      <c r="AV187" s="3491" cm="1" t="str">
        <f t="array" ref="AV187:AV187">AU187</f>
        <v>138.714285714286</v>
      </c>
      <c r="AW187" s="3491" cm="1" t="str">
        <f t="array" ref="AW187:AW187">AV187</f>
        <v>138.714285714286</v>
      </c>
      <c r="AX187" s="3488"/>
      <c r="AY187" s="3488"/>
      <c r="AZ187" s="3488"/>
      <c r="BA187" s="3488"/>
      <c r="BB187" s="3488"/>
      <c r="BC187" s="3490" t="s">
        <v>1620</v>
      </c>
      <c r="BD187" s="1448"/>
      <c r="BE187" s="1448"/>
      <c r="BF187" s="1030" t="s">
        <v>1611</v>
      </c>
      <c r="BG187" s="1030" t="s">
        <v>1594</v>
      </c>
      <c r="BH187" s="1030" cm="1" t="str">
        <f t="array" ref="BH187:BH187">BH186</f>
        <v>СН2</v>
      </c>
      <c r="BI187" s="146" cm="1" t="str">
        <f t="array" ref="BI187:BI187">BI186</f>
        <v>ПАО "Кузбассэнергосбыт" (ИНН: 4205109214, КПП: 420501001)</v>
      </c>
      <c r="BJ187" s="267"/>
      <c r="BK187" s="267"/>
    </row>
    <row s="1426" customFormat="1" customHeight="1" ht="14.25">
      <c r="A188" s="1426"/>
      <c r="B188" s="427"/>
      <c r="C188" s="483"/>
      <c r="D188" s="1426"/>
      <c r="E188" s="633">
        <v>15</v>
      </c>
      <c r="F188" s="50" cm="1" t="str">
        <f t="array" ref="F188:F188">OFFSET(E188,-1,1)</f>
        <v>4</v>
      </c>
      <c r="G188" s="1426"/>
      <c r="H188" s="957" t="s">
        <v>1612</v>
      </c>
      <c r="I188" s="1426"/>
      <c r="J188" s="1426"/>
      <c r="K188" s="1426"/>
      <c r="L188" s="1426"/>
      <c r="M188" s="1426"/>
      <c r="N188" s="1426"/>
      <c r="O188" s="1426"/>
      <c r="P188" s="1426"/>
      <c r="Q188" s="1426"/>
      <c r="R188" s="1426"/>
      <c r="S188" s="1426"/>
      <c r="T188" s="465">
        <f>F188&gt;0</f>
        <v>1</v>
      </c>
      <c r="U188" s="1426"/>
      <c r="V188" s="1426"/>
      <c r="W188" s="757" t="s">
        <v>1613</v>
      </c>
      <c r="X188" s="1543"/>
      <c r="Y188" s="1426"/>
      <c r="Z188" s="1565"/>
      <c r="AA188" s="1426"/>
      <c r="AB188" s="175"/>
      <c r="AC188" s="178" t="s">
        <v>1614</v>
      </c>
      <c r="AD188" s="176"/>
      <c r="AE188" s="176"/>
      <c r="AF188" s="176"/>
      <c r="AG188" s="176"/>
      <c r="AH188" s="176"/>
      <c r="AI188" s="176"/>
      <c r="AJ188" s="176"/>
      <c r="AK188" s="176"/>
      <c r="AL188" s="176"/>
      <c r="AM188" s="176"/>
      <c r="AN188" s="176"/>
      <c r="AO188" s="176"/>
      <c r="AP188" s="176"/>
      <c r="AQ188" s="176"/>
      <c r="AR188" s="176"/>
      <c r="AS188" s="176"/>
      <c r="AT188" s="176"/>
      <c r="AU188" s="176"/>
      <c r="AV188" s="176"/>
      <c r="AW188" s="176"/>
      <c r="AX188" s="176"/>
      <c r="AY188" s="176"/>
      <c r="AZ188" s="176"/>
      <c r="BA188" s="176"/>
      <c r="BB188" s="176"/>
      <c r="BC188" s="187"/>
      <c r="BD188" s="1426"/>
      <c r="BE188" s="1426"/>
      <c r="BF188" s="1018"/>
      <c r="BG188" s="1018"/>
      <c r="BH188" s="1018"/>
      <c r="BI188" s="1426"/>
      <c r="BJ188" s="633" t="s">
        <v>1594</v>
      </c>
      <c r="BK188" s="633"/>
    </row>
    <row customHeight="1" ht="10.96875">
      <c r="E189" s="659">
        <v>11.25</v>
      </c>
      <c r="U189" s="98" t="s">
        <v>178</v>
      </c>
      <c r="V189" s="140" t="s">
        <v>1623</v>
      </c>
      <c r="AI189" s="1304"/>
      <c r="AJ189" s="1304"/>
      <c r="AK189" s="1304"/>
      <c r="AL189" s="1304"/>
      <c r="AM189" s="1304"/>
      <c r="AN189" s="1304"/>
      <c r="AO189" s="1304"/>
      <c r="AP189" s="1304"/>
      <c r="AQ189" s="1304"/>
      <c r="AR189" s="1304"/>
      <c r="AS189" s="1304"/>
      <c r="AT189" s="1304"/>
      <c r="AU189" s="1304"/>
      <c r="AV189" s="1304"/>
      <c r="AW189" s="1304"/>
      <c r="AX189" s="1304"/>
      <c r="AY189" s="1304"/>
      <c r="AZ189" s="1304"/>
      <c r="BA189" s="1304"/>
      <c r="BB189" s="1304"/>
    </row>
    <row customHeight="1" ht="14.625">
      <c r="E190" s="632">
        <v>15</v>
      </c>
      <c r="AB190" s="1605" t="s">
        <v>407</v>
      </c>
      <c r="AC190" s="1606"/>
      <c r="AD190" s="1606"/>
      <c r="AE190" s="1606"/>
      <c r="AF190" s="1606"/>
      <c r="AG190" s="1606"/>
      <c r="AH190" s="1606"/>
      <c r="AI190" s="1606"/>
      <c r="AJ190" s="1606"/>
      <c r="AK190" s="1606"/>
      <c r="AL190" s="1606"/>
      <c r="AM190" s="1606"/>
      <c r="AN190" s="1606"/>
      <c r="AO190" s="1606"/>
      <c r="AP190" s="1606"/>
      <c r="AQ190" s="1606"/>
      <c r="AR190" s="1606"/>
      <c r="AS190" s="1606"/>
      <c r="AT190" s="1606"/>
      <c r="AU190" s="1606"/>
      <c r="AV190" s="1606"/>
      <c r="AW190" s="1606"/>
      <c r="AX190" s="1606"/>
      <c r="AY190" s="1606"/>
      <c r="AZ190" s="1606"/>
      <c r="BA190" s="1606"/>
      <c r="BB190" s="1606"/>
      <c r="BC190" s="1607"/>
    </row>
    <row customHeight="1" ht="26.109375">
      <c r="E191" s="632">
        <v>15</v>
      </c>
      <c r="AA191" s="661"/>
      <c r="AB191" s="1601" t="s">
        <v>1231</v>
      </c>
      <c r="AC191" s="1602"/>
      <c r="AD191" s="1602"/>
      <c r="AE191" s="1602"/>
      <c r="AF191" s="1602"/>
      <c r="AG191" s="1602"/>
      <c r="AH191" s="1602"/>
      <c r="AI191" s="3238"/>
      <c r="AJ191" s="3238"/>
      <c r="AK191" s="3238"/>
      <c r="AL191" s="3238"/>
      <c r="AM191" s="3238"/>
      <c r="AN191" s="3238"/>
      <c r="AO191" s="3238"/>
      <c r="AP191" s="3238"/>
      <c r="AQ191" s="3238"/>
      <c r="AR191" s="3238"/>
      <c r="AS191" s="3238"/>
      <c r="AT191" s="3238"/>
      <c r="AU191" s="3238"/>
      <c r="AV191" s="3238"/>
      <c r="AW191" s="3238"/>
      <c r="AX191" s="3238"/>
      <c r="AY191" s="3238"/>
      <c r="AZ191" s="3238"/>
      <c r="BA191" s="3238"/>
      <c r="BB191" s="3238"/>
      <c r="BC191" s="1603"/>
    </row>
    <row customHeight="1" ht="14.625" hidden="1">
      <c r="A192" s="1304"/>
      <c r="B192" s="1436"/>
      <c r="C192" s="1312"/>
      <c r="D192" s="1304"/>
      <c r="E192" s="632">
        <v>15</v>
      </c>
      <c r="F192" s="1304"/>
      <c r="G192" s="1304"/>
      <c r="H192" s="1304"/>
      <c r="I192" s="1304"/>
      <c r="J192" s="1304"/>
      <c r="K192" s="1304"/>
      <c r="L192" s="1304"/>
      <c r="M192" s="1304"/>
      <c r="N192" s="1304"/>
      <c r="O192" s="1304"/>
      <c r="P192" s="1304"/>
      <c r="Q192" s="1304"/>
      <c r="R192" s="1304"/>
      <c r="S192" s="1304"/>
      <c r="T192" s="465">
        <f>ROW(W192)&gt;ROW(W$192)</f>
        <v>0</v>
      </c>
      <c r="U192" s="1304"/>
      <c r="V192" s="1304"/>
      <c r="W192" s="757" t="s">
        <v>174</v>
      </c>
      <c r="X192" s="1304"/>
      <c r="Y192" s="1304"/>
      <c r="Z192" s="1304"/>
      <c r="AA192" s="672" t="s">
        <v>175</v>
      </c>
      <c r="AB192" s="3522" t="s">
        <v>227</v>
      </c>
      <c r="AC192" s="3238"/>
      <c r="AD192" s="3238"/>
      <c r="AE192" s="3238"/>
      <c r="AF192" s="3238"/>
      <c r="AG192" s="3238"/>
      <c r="AH192" s="3238"/>
      <c r="AI192" s="3238"/>
      <c r="AJ192" s="3238"/>
      <c r="AK192" s="3238"/>
      <c r="AL192" s="3238"/>
      <c r="AM192" s="3238"/>
      <c r="AN192" s="3238"/>
      <c r="AO192" s="3238"/>
      <c r="AP192" s="3238"/>
      <c r="AQ192" s="3238"/>
      <c r="AR192" s="3238"/>
      <c r="AS192" s="3238"/>
      <c r="AT192" s="3238"/>
      <c r="AU192" s="3238"/>
      <c r="AV192" s="3238"/>
      <c r="AW192" s="3238"/>
      <c r="AX192" s="3238"/>
      <c r="AY192" s="3238"/>
      <c r="AZ192" s="3238"/>
      <c r="BA192" s="3238"/>
      <c r="BB192" s="3238"/>
      <c r="BC192" s="3523"/>
      <c r="BD192" s="1304"/>
      <c r="BE192" s="1304"/>
      <c r="BF192" s="1306"/>
      <c r="BG192" s="1306"/>
      <c r="BH192" s="1306"/>
      <c r="BI192" s="1834"/>
      <c r="BJ192" s="1305"/>
      <c r="BK192" s="1305"/>
    </row>
    <row customHeight="1" ht="14.625">
      <c r="E193" s="632">
        <v>15</v>
      </c>
      <c r="W193" s="757" t="s">
        <v>408</v>
      </c>
      <c r="AA193" s="673"/>
      <c r="AB193" s="647"/>
      <c r="AC193" s="514" t="s">
        <v>409</v>
      </c>
      <c r="AD193" s="310"/>
      <c r="AE193" s="310"/>
      <c r="AF193" s="311"/>
      <c r="AG193" s="311"/>
      <c r="AH193" s="311"/>
      <c r="AI193" s="311"/>
      <c r="AJ193" s="311"/>
      <c r="AK193" s="311"/>
      <c r="AL193" s="311"/>
      <c r="AM193" s="311"/>
      <c r="AN193" s="311"/>
      <c r="AO193" s="311"/>
      <c r="AP193" s="311"/>
      <c r="AQ193" s="311"/>
      <c r="AR193" s="311"/>
      <c r="AS193" s="311"/>
      <c r="AT193" s="311"/>
      <c r="AU193" s="311"/>
      <c r="AV193" s="311"/>
      <c r="AW193" s="311"/>
      <c r="AX193" s="311"/>
      <c r="AY193" s="311"/>
      <c r="AZ193" s="311"/>
      <c r="BA193" s="311"/>
      <c r="BB193" s="311"/>
      <c r="BC193" s="312"/>
    </row>
    <row customHeight="1" ht="10.96875">
      <c r="E194" s="632">
        <v>11.25</v>
      </c>
      <c r="AA194" s="733"/>
      <c r="AB194" s="734"/>
      <c r="AI194" s="1304"/>
      <c r="AJ194" s="1304"/>
      <c r="AK194" s="1304"/>
      <c r="AL194" s="1304"/>
      <c r="AM194" s="1304"/>
      <c r="AN194" s="1304"/>
      <c r="AO194" s="1304"/>
      <c r="AP194" s="1304"/>
      <c r="AQ194" s="1304"/>
      <c r="AR194" s="1304"/>
      <c r="AS194" s="1304"/>
      <c r="AT194" s="1304"/>
      <c r="AU194" s="1304"/>
      <c r="AV194" s="1304"/>
      <c r="AW194" s="1304"/>
      <c r="AX194" s="1304"/>
      <c r="AY194" s="1304"/>
      <c r="AZ194" s="1304"/>
      <c r="BA194" s="1304"/>
      <c r="BB194" s="1304"/>
      <c r="BD194" s="426"/>
    </row>
  </sheetData>
  <sheetProtection formatColumns="0" formatRows="0" insertRows="0" deleteColumns="0" deleteRows="0" sort="0" autoFilter="0" insertColumns="1"/>
  <mergeCells count="51">
    <mergeCell ref="AB192:BC192"/>
    <mergeCell ref="AB24:AB25"/>
    <mergeCell ref="AC24:AC25"/>
    <mergeCell ref="AD24:AD25"/>
    <mergeCell ref="BC24:BC25"/>
    <mergeCell ref="X27:X48"/>
    <mergeCell ref="Z27:Z48"/>
    <mergeCell ref="AB190:BC190"/>
    <mergeCell ref="AB191:BC191"/>
    <mergeCell ref="Y34:Y37"/>
    <mergeCell ref="AA34:AA37"/>
    <mergeCell ref="Y40:Y47"/>
    <mergeCell ref="AA40:AA47"/>
    <mergeCell ref="X49:X94"/>
    <mergeCell ref="Z49:Z94"/>
    <mergeCell ref="Y56:Y59"/>
    <mergeCell ref="AA56:AA59"/>
    <mergeCell ref="Y62:Y69"/>
    <mergeCell ref="AA62:AA69"/>
    <mergeCell ref="X95:X124"/>
    <mergeCell ref="Z95:Z124"/>
    <mergeCell ref="Y102:Y105"/>
    <mergeCell ref="AA102:AA105"/>
    <mergeCell ref="Y108:Y115"/>
    <mergeCell ref="AA108:AA115"/>
    <mergeCell ref="X125:X158"/>
    <mergeCell ref="Z125:Z158"/>
    <mergeCell ref="Y132:Y135"/>
    <mergeCell ref="AA132:AA135"/>
    <mergeCell ref="Y142:Y149"/>
    <mergeCell ref="AA142:AA149"/>
    <mergeCell ref="X159:X188"/>
    <mergeCell ref="Z159:Z188"/>
    <mergeCell ref="Y166:Y169"/>
    <mergeCell ref="AA166:AA169"/>
    <mergeCell ref="Y172:Y179"/>
    <mergeCell ref="AA172:AA179"/>
    <mergeCell ref="Y70:Y77"/>
    <mergeCell ref="AA70:AA77"/>
    <mergeCell ref="Y78:Y85"/>
    <mergeCell ref="AA78:AA85"/>
    <mergeCell ref="Y86:Y93"/>
    <mergeCell ref="AA86:AA93"/>
    <mergeCell ref="Y116:Y123"/>
    <mergeCell ref="AA116:AA123"/>
    <mergeCell ref="Y136:Y139"/>
    <mergeCell ref="AA136:AA139"/>
    <mergeCell ref="Y150:Y157"/>
    <mergeCell ref="AA150:AA157"/>
    <mergeCell ref="Y180:Y187"/>
    <mergeCell ref="AA180:AA187"/>
  </mergeCells>
  <dataValidations count="3">
    <dataValidation type="decimal" allowBlank="1" showErrorMessage="1" errorTitle="Ошибка" error="Допускается ввод только неотрицательных чисел!" sqref="AE35:BB35 AE44:BB45 AE37:BB37 AE47:BB47 AE42:BB42 AE57 AF57 AG57 AH57 AI57 AJ57 AK57 AL57 AM57 AN57 AO57 AP57 AQ57 AR57 AS57 AT57 AU57 AV57 AW57 AX57 AY57 AZ57 BA57 BB57 AE59 AF59 AG59 AH59 AI59 AJ59 AK59 AL59 AM59 AN59 AO59 AP59 AQ59 AR59 AS59 AT59 AU59 AV59 AW59 AX59 AY59 AZ59 BA59 BB59 AE64 AF64 AG64 AH64 AI64 AJ64 AK64 AL64 AM64 AN64 AO64 AP64 AQ64 AR64 AS64 AT64 AU64 AV64 AW64 AX64 AY64 AZ64 BA64 BB64 AE66 AF66 AG66 AH66 AI66 AJ66 AK66 AL66 AM66 AN66 AO66 AP66 AQ66 AR66 AS66 AT66 AU66 AV66 AW66 AX66 AY66 AZ66 BA66 BB66 AE67 AF67 AG67 AH67 AI67 AJ67 AK67 AL67 AM67 AN67 AO67 AP67 AQ67 AR67 AS67 AT67 AU67 AV67 AW67 AX67 AY67 AZ67 BA67 BB67 AE69 AE72 AE74:AE75 AE77 AE80 AE82:AE83 AE85 AE88 AE90:AE91 AE93 AF69 AF72 AF74:AF75 AF77 AF80 AF82:AF83 AF85 AF88 AF90:AF91 AF93 AG69 AG72 AG74:AG75 AG77 AG80 AG82:AG83 AG85 AG88 AG90:AG91 AG93 AH69 AH72 AH74:AH75 AH77 AH80 AH82:AH83 AH85 AH88 AH90:AH91 AH93 AI69 AI72 AI74:AI75 AI77 AI80 AI82:AI83 AI85 AI88 AI90:AI91 AI93 AJ69 AJ72 AJ74:AJ75 AJ77 AJ80 AJ82:AJ83 AJ85 AJ88 AJ90:AJ91 AJ93 AK69 AK72 AK74:AK75 AK77 AK80 AK82:AK83 AK85 AK88 AK90:AK91 AK93 AL69 AL72 AL74:AL75 AL77 AL80 AL82:AL83 AL85 AL88 AL90:AL91 AL93 AM69 AM72 AM74:AM75 AM77 AM80 AM82:AM83 AM85 AM88 AM90:AM91 AM93 AN69 AN72 AN74:AN75 AN77 AN80 AN82:AN83 AN85 AN88 AN90:AN91 AN93 AO69 AO72 AO74:AO75 AO77 AO80 AO82:AO83 AO85 AO88 AO90:AO91 AO93 AP69 AP72 AP74:AP75 AP77 AP80 AP82:AP83 AP85 AP88 AP90:AP91 AP93 AQ69 AQ72 AQ74:AQ75 AQ77 AQ80 AQ82:AQ83 AQ85 AQ88 AQ90:AQ91 AQ93 AR69 AR72 AR74:AR75 AR77 AR80 AR82:AR83 AR85 AR88 AR90:AR91 AR93 AS69 AS72 AS74:AS75 AS77 AS80 AS82:AS83 AS85 AS88 AS90:AS91 AS93 AT69 AT72 AT74:AT75 AT77 AT80 AT82:AT83 AT85 AT88 AT90:AT91 AT93 AU69 AU72 AU74:AU75 AU77 AU80 AU82:AU83 AU85 AU88 AU90:AU91 AU93 AV69 AV72 AV74:AV75 AV77 AV80 AV82:AV83 AV85 AV88 AV90:AV91 AV93 AW69 AW72 AW74:AW75 AW77 AW80 AW82:AW83 AW85 AW88 AW90:AW91 AW93 AX69 AX72 AX74:AX75 AX77 AX80 AX82:AX83 AX85 AX88 AX90:AX91 AX93 AY69 AY72 AY74:AY75 AY77 AY80 AY82:AY83 AY85 AY88 AY90:AY91 AY93 AZ69 AZ72 AZ74:AZ75 AZ77 AZ80 AZ82:AZ83 AZ85 AZ88 AZ90:AZ91 AZ93 BA69 BA72 BA74:BA75 BA77 BA80 BA82:BA83 BA85 BA88 BA90:BA91 BA93 BB69 BB72 BB74:BB75 BB77 BB80 BB82:BB83 BB85 BB88 BB90:BB91 BB93 AE103 AF103 AG103 AH103 AI103 AJ103 AK103 AL103 AM103 AN103 AO103 AP103 AQ103 AR103 AS103 AT103 AU103 AV103 AW103 AX103 AY103 AZ103 BA103 BB103 AE105 AF105 AG105 AH105 AI105 AJ105 AK105 AL105 AM105 AN105 AO105 AP105 AQ105 AR105 AS105 AT105 AU105 AV105 AW105 AX105 AY105 AZ105 BA105 BB105 AE110 AF110 AG110 AH110 AI110 AJ110 AK110 AL110 AM110 AN110 AO110 AP110 AQ110 AR110 AS110 AT110 AU110 AV110 AW110 AX110 AY110 AZ110 BA110 BB110 AE112 AF112 AG112 AH112 AI112 AJ112 AK112 AL112 AM112 AN112 AO112 AP112 AQ112 AR112 AS112 AT112 AU112 AV112 AW112 AX112 AY112 AZ112 BA112 BB112 AE113 AF113 AG113 AH113 AI113 AJ113 AK113 AL113 AM113 AN113 AO113 AP113 AQ113 AR113 AS113 AT113 AU113 AV113 AW113 AX113 AY113 AZ113 BA113 BB113 AE115 AE118 AE120:AE121 AE123 AF115 AF118 AF120:AF121 AF123 AG115 AG118 AG120:AG121 AG123 AH115 AH118 AH120:AH121 AH123 AI115 AI118 AI120:AI121 AI123 AJ115 AJ118 AJ120:AJ121 AJ123 AK115 AK118 AK120:AK121 AK123 AL115 AL118 AL120:AL121 AL123 AM115 AM118 AM120:AM121 AM123 AN115 AN118 AN120:AN121 AN123 AO115 AO118 AO120:AO121 AO123 AP115 AP118 AP120:AP121 AP123 AQ115 AQ118 AQ120:AQ121 AQ123 AR115 AR118 AR120:AR121 AR123 AS115 AS118 AS120:AS121 AS123 AT115 AT118 AT120:AT121 AT123 AU115 AU118 AU120:AU121 AU123 AV115 AV118 AV120:AV121 AV123 AW115 AW118 AW120:AW121 AW123 AX115 AX118 AX120:AX121 AX123 AY115 AY118 AY120:AY121 AY123 AZ115 AZ118 AZ120:AZ121 AZ123 BA115 BA118 BA120:BA121 BA123 BB115 BB118 BB120:BB121 BB123 AE133 AF133 AG133 AH133 AI133 AJ133 AK133 AL133 AM133 AN133 AO133 AP133 AQ133 AR133 AS133 AT133 AU133 AV133 AW133 AX133 AY133 AZ133 BA133 BB133 AE135 AE137 AE139 AF135 AF137 AF139 AG135 AG137 AG139 AH135 AH137 AH139 AI135 AI137 AI139 AJ135 AJ137 AJ139 AK135 AK137 AK139 AL135 AL137 AL139 AM135 AM137 AM139 AN135 AN137 AN139 AO135 AO137 AO139 AP135 AP137 AP139 AQ135 AQ137 AQ139 AR135 AR137 AR139 AS135 AS137 AS139 AT135 AT137 AT139 AU135 AU137 AU139 AV135 AV137 AV139 AW135 AW137 AW139 AX135 AX137 AX139 AY135 AY137 AY139 AZ135 AZ137 AZ139 BA135 BA137 BA139 BB135 BB137 BB139 AE144 AF144 AG144 AH144 AI144 AJ144 AK144 AL144 AM144 AN144 AO144 AP144 AQ144 AR144 AS144 AT144 AU144 AV144 AW144 AX144 AY144 AZ144 BA144 BB144 AE146 AF146 AG146 AH146 AI146 AJ146 AK146 AL146 AM146 AN146 AO146 AP146 AQ146 AR146 AS146 AT146 AU146 AV146 AW146 AX146 AY146 AZ146 BA146 BB146 AE147 AF147 AG147 AH147 AI147 AJ147 AK147 AL147 AM147 AN147 AO147 AP147 AQ147 AR147 AS147 AT147 AU147 AV147 AW147 AX147 AY147 AZ147 BA147 BB147 AE149 AE152 AE154:AE155 AE157 AF149 AF152 AF154:AF155 AF157 AG149 AG152 AG154:AG155 AG157 AH149 AH152 AH154:AH155 AH157 AI149 AI152 AI154:AI155 AI157 AJ149 AJ152 AJ154:AJ155 AJ157 AK149 AK152 AK154:AK155 AK157 AL149 AL152 AL154:AL155 AL157 AM149 AM152 AM154:AM155 AM157 AN149 AN152 AN154:AN155 AN157 AO149 AO152 AO154:AO155 AO157 AP149 AP152 AP154:AP155 AP157 AQ149 AQ152 AQ154:AQ155 AQ157 AR149 AR152 AR154:AR155 AR157 AS149 AS152 AS154:AS155 AS157 AT149 AT152 AT154:AT155 AT157 AU149 AU152 AU154:AU155 AU157 AV149 AV152 AV154:AV155 AV157 AW149 AW152 AW154:AW155 AW157 AX149 AX152 AX154:AX155 AX157 AY149 AY152 AY154:AY155 AY157 AZ149 AZ152 AZ154:AZ155 AZ157 BA149 BA152 BA154:BA155 BA157 BB149 BB152 BB154:BB155 BB157 AE167 AF167 AG167 AH167 AI167 AJ167 AK167 AL167 AM167 AN167 AO167 AP167 AQ167 AR167 AS167 AT167 AU167 AV167 AW167 AX167 AY167 AZ167 BA167 BB167 AE169 AF169 AG169 AH169 AI169 AJ169 AK169 AL169 AM169 AN169 AO169 AP169 AQ169 AR169 AS169 AT169 AU169 AV169 AW169 AX169 AY169 AZ169 BA169 BB169 AE174 AF174 AG174 AH174 AI174 AJ174 AK174 AL174 AM174 AN174 AO174 AP174 AQ174 AR174 AS174 AT174 AU174 AV174 AW174 AX174 AY174 AZ174 BA174 BB174 AE176 AF176 AG176 AH176 AI176 AJ176 AK176 AL176 AM176 AN176 AO176 AP176 AQ176 AR176 AS176 AT176 AU176 AV176 AW176 AX176 AY176 AZ176 BA176 BB176 AE177 AF177 AG177 AH177 AI177 AJ177 AK177 AL177 AM177 AN177 AO177 AP177 AQ177 AR177 AS177 AT177 AU177 AV177 AW177 AX177 AY177 AZ177 BA177 BB177 AE179 AE182 AE184:AE185 AE187 AF179 AF182 AF184:AF185 AF187 AG179 AG182 AG184:AG185 AG187 AH179 AH182 AH184:AH185 AH187 AI179 AI182 AI184:AI185 AI187 AJ179 AJ182 AJ184:AJ185 AJ187 AK179 AK182 AK184:AK185 AK187 AL179 AL182 AL184:AL185 AL187 AM179 AM182 AM184:AM185 AM187 AN179 AN182 AN184:AN185 AN187 AO179 AO182 AO184:AO185 AO187 AP179 AP182 AP184:AP185 AP187 AQ179 AQ182 AQ184:AQ185 AQ187 AR179 AR182 AR184:AR185 AR187 AS179 AS182 AS184:AS185 AS187 AT179 AT182 AT184:AT185 AT187 AU179 AU182 AU184:AU185 AU187 AV179 AV182 AV184:AV185 AV187 AW179 AW182 AW184:AW185 AW187 AX179 AX182 AX184:AX185 AX187 AY179 AY182 AY184:AY185 AY187 AZ179 AZ182 AZ184:AZ185 AZ187 BA179 BA182 BA184:BA185 BA187 BB179 BB182 BB184:BB185 BB187">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5 AC57 AC103 AC133 AC167 AC137">
      <formula1>VOLTAGE_LEVEL_list</formula1>
    </dataValidation>
    <dataValidation type="list" allowBlank="1" showInputMessage="1" showErrorMessage="1" errorTitle="Ошибка" error="Выберите значение из списка" prompt="Выберите значение из списка" sqref="AC41 AC63 AC109 AC143 AC173 AC71 AC79 AC87 AC117 AC151 AC181">
      <formula1>VOLTAGE_LEVEL2_list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A80F89-99DC-2F92-6B2D-10517FAD4B08}" mc:Ignorable="x14ac xr xr2 xr3">
  <sheetPr>
    <tabColor rgb="FF002060"/>
    <outlinePr summaryRight="0" summaryBelow="0"/>
    <pageSetUpPr fitToPage="1"/>
  </sheetPr>
  <dimension ref="A1:BF280"/>
  <sheetViews>
    <sheetView showGridLines="0" workbookViewId="0">
      <pane xSplit="30" ySplit="25" topLeftCell="AI26" activePane="bottomRight" state="frozen"/>
      <selection pane="bottomLeft" activeCell="A26" sqref="A26"/>
      <selection pane="topRight" activeCell="AE1" sqref="AE1"/>
      <selection pane="bottomRight" activeCell="BC118" sqref="BC118"/>
    </sheetView>
  </sheetViews>
  <sheetFormatPr defaultColWidth="8.7109375" customHeight="1" defaultRowHeight="11.25"/>
  <cols>
    <col min="1" max="1" style="1459" width="3.57421875" hidden="1" customWidth="1"/>
    <col min="2" max="2" style="1416" width="6.7109375" hidden="1" customWidth="1"/>
    <col min="3" max="4" style="1459" width="3.57421875" hidden="1" customWidth="1"/>
    <col min="5" max="5" style="1419" width="7.8515625" hidden="1" customWidth="1"/>
    <col min="6" max="19" style="1459" width="3.57421875" hidden="1" customWidth="1"/>
    <col min="20" max="20" style="1459" width="11.140625" hidden="1" customWidth="1"/>
    <col min="21" max="21" style="1459" width="5.8515625" hidden="1" customWidth="1"/>
    <col min="22" max="23" style="1459" width="6.140625" hidden="1" customWidth="1"/>
    <col min="24" max="25" style="1459" width="5.57421875" hidden="1" customWidth="1"/>
    <col min="26" max="26" style="1459" width="5.28125" hidden="1" customWidth="1"/>
    <col min="27" max="27" style="1459" width="3.00390625" customWidth="1"/>
    <col min="28" max="28" style="1459" width="11.00390625" customWidth="1"/>
    <col min="29" max="29" style="1459" width="41.7109375" customWidth="1"/>
    <col min="30" max="30" style="1597" width="11.00390625" customWidth="1"/>
    <col min="31" max="34" style="1597" width="0" customWidth="1"/>
    <col min="35" max="39" style="1597" width="10.57421875" customWidth="1"/>
    <col min="40" max="44" style="1597" width="10.57421875" hidden="1" customWidth="1"/>
    <col min="45" max="49" style="1597" width="10.57421875" customWidth="1"/>
    <col min="50" max="54" style="1597" width="12.57421875" hidden="1" customWidth="1"/>
    <col min="55" max="55" style="1459" width="40.8515625" customWidth="1"/>
    <col min="56" max="56" style="1459" width="3.00390625" customWidth="1"/>
    <col min="57" max="57" style="1459" width="8.7109375" hidden="1"/>
    <col min="58" max="58" style="1424" width="8.7109375" hidden="1"/>
  </cols>
  <sheetData>
    <row customHeight="1" ht="11.25" hidden="1">
      <c r="E1" s="104"/>
      <c r="F1" s="104" t="s">
        <v>321</v>
      </c>
      <c r="G1" s="104" t="s">
        <v>331</v>
      </c>
      <c r="T1" s="465" t="s">
        <v>93</v>
      </c>
      <c r="U1" s="465" t="s">
        <v>98</v>
      </c>
      <c r="V1" s="465" t="s">
        <v>94</v>
      </c>
      <c r="W1" s="465" t="s">
        <v>95</v>
      </c>
      <c r="X1" s="465" t="s">
        <v>96</v>
      </c>
      <c r="Y1" s="467" t="s">
        <v>323</v>
      </c>
      <c r="Z1" s="465" t="s">
        <v>100</v>
      </c>
      <c r="AA1" s="466" t="s">
        <v>97</v>
      </c>
      <c r="AB1" s="85"/>
      <c r="AC1" s="466" t="s">
        <v>99</v>
      </c>
      <c r="AI1" s="1597"/>
      <c r="AJ1" s="1597"/>
      <c r="AK1" s="1597"/>
      <c r="AL1" s="1597"/>
      <c r="AM1" s="1597"/>
      <c r="AN1" s="1597"/>
      <c r="AO1" s="1597"/>
      <c r="AP1" s="1597"/>
      <c r="AQ1" s="1597"/>
      <c r="AR1" s="1597"/>
      <c r="AS1" s="1597"/>
      <c r="AT1" s="1597"/>
      <c r="AU1" s="1597"/>
      <c r="AV1" s="1597"/>
      <c r="AW1" s="1597"/>
      <c r="AX1" s="1597"/>
      <c r="AY1" s="1597"/>
      <c r="AZ1" s="1597"/>
      <c r="BA1" s="1597"/>
      <c r="BB1" s="1597"/>
      <c r="BF1" s="1000" t="s">
        <v>324</v>
      </c>
    </row>
    <row s="1416" customFormat="1" customHeight="1" ht="11.25" hidden="1">
      <c r="B2" s="446" t="s">
        <v>19</v>
      </c>
      <c r="AF2" s="1372" cm="1" t="str">
        <f t="array" ref="AF2:AF2">isOrgDeclare</f>
        <v>true</v>
      </c>
      <c r="AI2" s="446">
        <f>AND(AI6&lt;=last_year_vis,isOrgDeclare)</f>
        <v>1</v>
      </c>
      <c r="AJ2" s="446">
        <f>AND(AJ6&lt;=last_year_vis,isOrgDeclare)</f>
        <v>1</v>
      </c>
      <c r="AK2" s="446">
        <f>AND(AK6&lt;=last_year_vis,isOrgDeclare)</f>
        <v>1</v>
      </c>
      <c r="AL2" s="446">
        <f>AND(AL6&lt;=last_year_vis,isOrgDeclare)</f>
        <v>1</v>
      </c>
      <c r="AM2" s="446">
        <f>AND(AM6&lt;=last_year_vis,isOrgDeclare)</f>
        <v>1</v>
      </c>
      <c r="AN2" s="446">
        <f>AND(AN6&lt;=last_year_vis,isOrgDeclare)</f>
        <v>0</v>
      </c>
      <c r="AO2" s="446">
        <f>AND(AO6&lt;=last_year_vis,isOrgDeclare)</f>
        <v>0</v>
      </c>
      <c r="AP2" s="446">
        <f>AND(AP6&lt;=last_year_vis,isOrgDeclare)</f>
        <v>0</v>
      </c>
      <c r="AQ2" s="446">
        <f>AND(AQ6&lt;=last_year_vis,isOrgDeclare)</f>
        <v>0</v>
      </c>
      <c r="AR2" s="446">
        <f>AND(AR6&lt;=last_year_vis,isOrgDeclare)</f>
        <v>0</v>
      </c>
      <c r="AS2" s="446">
        <f>AS6&lt;=last_year_vis</f>
        <v>1</v>
      </c>
      <c r="AT2" s="446">
        <f>AT6&lt;=last_year_vis</f>
        <v>1</v>
      </c>
      <c r="AU2" s="446">
        <f>AU6&lt;=last_year_vis</f>
        <v>1</v>
      </c>
      <c r="AV2" s="446">
        <f>AV6&lt;=last_year_vis</f>
        <v>1</v>
      </c>
      <c r="AW2" s="446">
        <f>AW6&lt;=last_year_vis</f>
        <v>1</v>
      </c>
      <c r="AX2" s="446">
        <f>AX6&lt;=last_year_vis</f>
        <v>0</v>
      </c>
      <c r="AY2" s="446">
        <f>AY6&lt;=last_year_vis</f>
        <v>0</v>
      </c>
      <c r="AZ2" s="446">
        <f>AZ6&lt;=last_year_vis</f>
        <v>0</v>
      </c>
      <c r="BA2" s="446">
        <f>BA6&lt;=last_year_vis</f>
        <v>0</v>
      </c>
      <c r="BB2" s="446">
        <f>BB6&lt;=last_year_vis</f>
        <v>0</v>
      </c>
      <c r="BF2" s="1009"/>
    </row>
    <row customHeight="1" ht="11.25" hidden="1">
      <c r="E3" s="104"/>
      <c r="AI3" s="1597"/>
      <c r="AJ3" s="1597"/>
      <c r="AK3" s="1597"/>
      <c r="AL3" s="1597"/>
      <c r="AM3" s="1597"/>
      <c r="AN3" s="1597"/>
      <c r="AO3" s="1597"/>
      <c r="AP3" s="1597"/>
      <c r="AQ3" s="1597"/>
      <c r="AR3" s="1597"/>
      <c r="AS3" s="1597"/>
      <c r="AT3" s="1597"/>
      <c r="AU3" s="1597"/>
      <c r="AV3" s="1597"/>
      <c r="AW3" s="1597"/>
      <c r="AX3" s="1597"/>
      <c r="AY3" s="1597"/>
      <c r="AZ3" s="1597"/>
      <c r="BA3" s="1597"/>
      <c r="BB3" s="1597"/>
    </row>
    <row customHeight="1" ht="11.25" hidden="1">
      <c r="E4" s="104"/>
      <c r="AI4" s="1597"/>
      <c r="AJ4" s="1597"/>
      <c r="AK4" s="1597"/>
      <c r="AL4" s="1597"/>
      <c r="AM4" s="1597"/>
      <c r="AN4" s="1597"/>
      <c r="AO4" s="1597"/>
      <c r="AP4" s="1597"/>
      <c r="AQ4" s="1597"/>
      <c r="AR4" s="1597"/>
      <c r="AS4" s="1597"/>
      <c r="AT4" s="1597"/>
      <c r="AU4" s="1597"/>
      <c r="AV4" s="1597"/>
      <c r="AW4" s="1597"/>
      <c r="AX4" s="1597"/>
      <c r="AY4" s="1597"/>
      <c r="AZ4" s="1597"/>
      <c r="BA4" s="1597"/>
      <c r="BB4" s="1597"/>
    </row>
    <row s="1419" customFormat="1" customHeight="1" ht="11.25" hidden="1">
      <c r="A5" s="104"/>
      <c r="B5" s="428"/>
      <c r="C5" s="104"/>
      <c r="D5" s="104"/>
      <c r="E5" s="628" t="s">
        <v>20</v>
      </c>
      <c r="T5" s="619"/>
      <c r="AA5" s="628">
        <v>3</v>
      </c>
      <c r="AB5" s="628">
        <v>11</v>
      </c>
      <c r="AC5" s="628">
        <v>41.71</v>
      </c>
      <c r="AD5" s="670">
        <v>11</v>
      </c>
      <c r="AE5" s="670">
        <v>12.57</v>
      </c>
      <c r="AF5" s="670">
        <v>12.57</v>
      </c>
      <c r="AG5" s="670">
        <v>12.57</v>
      </c>
      <c r="AH5" s="670">
        <v>12.57</v>
      </c>
      <c r="AI5" s="670">
        <v>12.57</v>
      </c>
      <c r="AJ5" s="670">
        <v>12.57</v>
      </c>
      <c r="AK5" s="670">
        <v>12.57</v>
      </c>
      <c r="AL5" s="670">
        <v>12.57</v>
      </c>
      <c r="AM5" s="670">
        <v>12.57</v>
      </c>
      <c r="AN5" s="670">
        <v>12.57</v>
      </c>
      <c r="AO5" s="670">
        <v>12.57</v>
      </c>
      <c r="AP5" s="670">
        <v>12.57</v>
      </c>
      <c r="AQ5" s="670">
        <v>12.57</v>
      </c>
      <c r="AR5" s="670">
        <v>12.57</v>
      </c>
      <c r="AS5" s="670">
        <v>12.57</v>
      </c>
      <c r="AT5" s="670">
        <v>12.57</v>
      </c>
      <c r="AU5" s="670">
        <v>12.57</v>
      </c>
      <c r="AV5" s="670">
        <v>12.57</v>
      </c>
      <c r="AW5" s="670">
        <v>12.57</v>
      </c>
      <c r="AX5" s="670">
        <v>12.57</v>
      </c>
      <c r="AY5" s="670">
        <v>12.57</v>
      </c>
      <c r="AZ5" s="670">
        <v>12.57</v>
      </c>
      <c r="BA5" s="670">
        <v>12.57</v>
      </c>
      <c r="BB5" s="670">
        <v>12.57</v>
      </c>
      <c r="BC5" s="628">
        <v>20</v>
      </c>
      <c r="BD5" s="628">
        <v>3</v>
      </c>
      <c r="BF5" s="1000"/>
    </row>
    <row customHeight="1" ht="11.25" hidden="1">
      <c r="A6" s="104" t="s">
        <v>360</v>
      </c>
      <c r="AE6" s="128">
        <f>god-2</f>
        <v>2024</v>
      </c>
      <c r="AF6" s="128">
        <f>god-2</f>
        <v>2024</v>
      </c>
      <c r="AG6" s="128">
        <f>god-2</f>
        <v>2024</v>
      </c>
      <c r="AH6" s="128">
        <f>god-1</f>
        <v>2025</v>
      </c>
      <c r="AI6" s="98" cm="1" t="str">
        <f t="array" ref="AI6:AI6">god</f>
        <v>2026</v>
      </c>
      <c r="AJ6" s="98">
        <f>god+1</f>
        <v>2027</v>
      </c>
      <c r="AK6" s="98">
        <f>god+2</f>
        <v>2028</v>
      </c>
      <c r="AL6" s="98">
        <f>god+3</f>
        <v>2029</v>
      </c>
      <c r="AM6" s="98">
        <f>god+4</f>
        <v>2030</v>
      </c>
      <c r="AN6" s="98">
        <f>god+5</f>
        <v>2031</v>
      </c>
      <c r="AO6" s="98">
        <f>god+6</f>
        <v>2032</v>
      </c>
      <c r="AP6" s="98">
        <f>god+7</f>
        <v>2033</v>
      </c>
      <c r="AQ6" s="98">
        <f>god+8</f>
        <v>2034</v>
      </c>
      <c r="AR6" s="98">
        <f>god+9</f>
        <v>2035</v>
      </c>
      <c r="AS6" s="98" cm="1" t="str">
        <f t="array" ref="AS6:AS6">god</f>
        <v>2026</v>
      </c>
      <c r="AT6" s="98">
        <f>god+1</f>
        <v>2027</v>
      </c>
      <c r="AU6" s="98">
        <f>god+2</f>
        <v>2028</v>
      </c>
      <c r="AV6" s="98">
        <f>god+3</f>
        <v>2029</v>
      </c>
      <c r="AW6" s="98">
        <f>god+4</f>
        <v>2030</v>
      </c>
      <c r="AX6" s="98">
        <f>god+5</f>
        <v>2031</v>
      </c>
      <c r="AY6" s="98">
        <f>god+6</f>
        <v>2032</v>
      </c>
      <c r="AZ6" s="98">
        <f>god+7</f>
        <v>2033</v>
      </c>
      <c r="BA6" s="98">
        <f>god+8</f>
        <v>2034</v>
      </c>
      <c r="BB6" s="98">
        <f>god+9</f>
        <v>2035</v>
      </c>
    </row>
    <row customHeight="1" ht="11.25" hidden="1">
      <c r="A7" s="104" t="s">
        <v>361</v>
      </c>
      <c r="AE7" s="375" cm="1" t="str">
        <f t="array" ref="AE7:AE7">AE25</f>
        <v>Принято органом регулирования</v>
      </c>
      <c r="AF7" s="375" cm="1" t="str">
        <f t="array" ref="AF7:AF7">AF25</f>
        <v>Факт по данным организации</v>
      </c>
      <c r="AG7" s="375" cm="1" t="str">
        <f t="array" ref="AG7:AG7">AG25</f>
        <v>Факт, принятый органом регулирования</v>
      </c>
      <c r="AH7" s="375" cm="1" t="str">
        <f t="array" ref="AH7:AH7">AH25</f>
        <v>Принято органом регулирования</v>
      </c>
      <c r="AI7" s="375" cm="1" t="str">
        <f t="array" ref="AI7:AI7">AI25</f>
        <v>Предложение организации</v>
      </c>
      <c r="AJ7" s="375" cm="1" t="str">
        <f t="array" ref="AJ7:AJ7">AJ25</f>
        <v>Предложение организации</v>
      </c>
      <c r="AK7" s="375" cm="1" t="str">
        <f t="array" ref="AK7:AK7">AK25</f>
        <v>Предложение организации</v>
      </c>
      <c r="AL7" s="375" cm="1" t="str">
        <f t="array" ref="AL7:AL7">AL25</f>
        <v>Предложение организации</v>
      </c>
      <c r="AM7" s="375" cm="1" t="str">
        <f t="array" ref="AM7:AM7">AM25</f>
        <v>Предложение организации</v>
      </c>
      <c r="AN7" s="375" cm="1" t="str">
        <f t="array" ref="AN7:AN7">AN25</f>
        <v>Предложение организации</v>
      </c>
      <c r="AO7" s="375" cm="1" t="str">
        <f t="array" ref="AO7:AO7">AO25</f>
        <v>Предложение организации</v>
      </c>
      <c r="AP7" s="375" cm="1" t="str">
        <f t="array" ref="AP7:AP7">AP25</f>
        <v>Предложение организации</v>
      </c>
      <c r="AQ7" s="375" cm="1" t="str">
        <f t="array" ref="AQ7:AQ7">AQ25</f>
        <v>Предложение организации</v>
      </c>
      <c r="AR7" s="375" cm="1" t="str">
        <f t="array" ref="AR7:AR7">AR25</f>
        <v>Предложение организации</v>
      </c>
      <c r="AS7" s="375" cm="1" t="str">
        <f t="array" ref="AS7:AS7">AS25</f>
        <v>Принято органом регулирования</v>
      </c>
      <c r="AT7" s="375" cm="1" t="str">
        <f t="array" ref="AT7:AT7">AT25</f>
        <v>Принято органом регулирования</v>
      </c>
      <c r="AU7" s="375" cm="1" t="str">
        <f t="array" ref="AU7:AU7">AU25</f>
        <v>Принято органом регулирования</v>
      </c>
      <c r="AV7" s="375" cm="1" t="str">
        <f t="array" ref="AV7:AV7">AV25</f>
        <v>Принято органом регулирования</v>
      </c>
      <c r="AW7" s="375" cm="1" t="str">
        <f t="array" ref="AW7:AW7">AW25</f>
        <v>Принято органом регулирования</v>
      </c>
      <c r="AX7" s="375" cm="1" t="str">
        <f t="array" ref="AX7:AX7">AX25</f>
        <v>Принято органом регулирования</v>
      </c>
      <c r="AY7" s="375" cm="1" t="str">
        <f t="array" ref="AY7:AY7">AY25</f>
        <v>Принято органом регулирования</v>
      </c>
      <c r="AZ7" s="375" cm="1" t="str">
        <f t="array" ref="AZ7:AZ7">AZ25</f>
        <v>Принято органом регулирования</v>
      </c>
      <c r="BA7" s="375" cm="1" t="str">
        <f t="array" ref="BA7:BA7">BA25</f>
        <v>Принято органом регулирования</v>
      </c>
      <c r="BB7" s="375" cm="1" t="str">
        <f t="array" ref="BB7:BB7">BB25</f>
        <v>Принято органом регулирования</v>
      </c>
    </row>
    <row customHeight="1" ht="11.25" hidden="1">
      <c r="AI8" s="1597"/>
      <c r="AJ8" s="1597"/>
      <c r="AK8" s="1597"/>
      <c r="AL8" s="1597"/>
      <c r="AM8" s="1597"/>
      <c r="AN8" s="1597"/>
      <c r="AO8" s="1597"/>
      <c r="AP8" s="1597"/>
      <c r="AQ8" s="1597"/>
      <c r="AR8" s="1597"/>
      <c r="AS8" s="1597"/>
      <c r="AT8" s="1597"/>
      <c r="AU8" s="1597"/>
      <c r="AV8" s="1597"/>
      <c r="AW8" s="1597"/>
      <c r="AX8" s="1597"/>
      <c r="AY8" s="1597"/>
      <c r="AZ8" s="1597"/>
      <c r="BA8" s="1597"/>
      <c r="BB8" s="1597"/>
    </row>
    <row s="1424" customFormat="1" customHeight="1" ht="11.25" hidden="1">
      <c r="A9" s="1015" t="s">
        <v>365</v>
      </c>
      <c r="B9" s="1009"/>
      <c r="AD9" s="1033"/>
      <c r="AE9" s="1033" cm="1" t="str">
        <f t="array" ref="AE9:AE9">AE6</f>
        <v>2024</v>
      </c>
      <c r="AF9" s="1033" cm="1" t="str">
        <f t="array" ref="AF9:AF9">AF6</f>
        <v>2024</v>
      </c>
      <c r="AG9" s="1033" cm="1" t="str">
        <f t="array" ref="AG9:AG9">AG6</f>
        <v>2024</v>
      </c>
      <c r="AH9" s="1033" cm="1" t="str">
        <f t="array" ref="AH9:AH9">AH6</f>
        <v>2025</v>
      </c>
      <c r="AI9" s="1033" cm="1" t="str">
        <f t="array" ref="AI9:AI9">AI6</f>
        <v>2026</v>
      </c>
      <c r="AJ9" s="1033" cm="1" t="str">
        <f t="array" ref="AJ9:AJ9">AJ6</f>
        <v>2027</v>
      </c>
      <c r="AK9" s="1033" cm="1" t="str">
        <f t="array" ref="AK9:AK9">AK6</f>
        <v>2028</v>
      </c>
      <c r="AL9" s="1033" cm="1" t="str">
        <f t="array" ref="AL9:AL9">AL6</f>
        <v>2029</v>
      </c>
      <c r="AM9" s="1033" cm="1" t="str">
        <f t="array" ref="AM9:AM9">AM6</f>
        <v>2030</v>
      </c>
      <c r="AN9" s="1033" cm="1" t="str">
        <f t="array" ref="AN9:AN9">AN6</f>
        <v>2031</v>
      </c>
      <c r="AO9" s="1033" cm="1" t="str">
        <f t="array" ref="AO9:AO9">AO6</f>
        <v>2032</v>
      </c>
      <c r="AP9" s="1033" cm="1" t="str">
        <f t="array" ref="AP9:AP9">AP6</f>
        <v>2033</v>
      </c>
      <c r="AQ9" s="1033" cm="1" t="str">
        <f t="array" ref="AQ9:AQ9">AQ6</f>
        <v>2034</v>
      </c>
      <c r="AR9" s="1033" cm="1" t="str">
        <f t="array" ref="AR9:AR9">AR6</f>
        <v>2035</v>
      </c>
      <c r="AS9" s="1033" cm="1" t="str">
        <f t="array" ref="AS9:AS9">AS6</f>
        <v>2026</v>
      </c>
      <c r="AT9" s="1033" cm="1" t="str">
        <f t="array" ref="AT9:AT9">AT6</f>
        <v>2027</v>
      </c>
      <c r="AU9" s="1033" cm="1" t="str">
        <f t="array" ref="AU9:AU9">AU6</f>
        <v>2028</v>
      </c>
      <c r="AV9" s="1033" cm="1" t="str">
        <f t="array" ref="AV9:AV9">AV6</f>
        <v>2029</v>
      </c>
      <c r="AW9" s="1033" cm="1" t="str">
        <f t="array" ref="AW9:AW9">AW6</f>
        <v>2030</v>
      </c>
      <c r="AX9" s="1033" cm="1" t="str">
        <f t="array" ref="AX9:AX9">AX6</f>
        <v>2031</v>
      </c>
      <c r="AY9" s="1033" cm="1" t="str">
        <f t="array" ref="AY9:AY9">AY6</f>
        <v>2032</v>
      </c>
      <c r="AZ9" s="1033" cm="1" t="str">
        <f t="array" ref="AZ9:AZ9">AZ6</f>
        <v>2033</v>
      </c>
      <c r="BA9" s="1033" cm="1" t="str">
        <f t="array" ref="BA9:BA9">BA6</f>
        <v>2034</v>
      </c>
      <c r="BB9" s="1033" cm="1" t="str">
        <f t="array" ref="BB9:BB9">BB6</f>
        <v>2035</v>
      </c>
    </row>
    <row s="1424" customFormat="1" customHeight="1" ht="11.25" hidden="1">
      <c r="A10" s="1015" t="s">
        <v>366</v>
      </c>
      <c r="B10" s="1009"/>
      <c r="AD10" s="1033"/>
      <c r="AE10" s="1033" cm="1" t="str">
        <f t="array" ref="AE10:AE10">AE25</f>
        <v>Принято органом регулирования</v>
      </c>
      <c r="AF10" s="1033" cm="1" t="str">
        <f t="array" ref="AF10:AF10">AF25</f>
        <v>Факт по данным организации</v>
      </c>
      <c r="AG10" s="1033" cm="1" t="str">
        <f t="array" ref="AG10:AG10">AG25</f>
        <v>Факт, принятый органом регулирования</v>
      </c>
      <c r="AH10" s="1033" cm="1" t="str">
        <f t="array" ref="AH10:AH10">AH25</f>
        <v>Принято органом регулирования</v>
      </c>
      <c r="AI10" s="1033" cm="1" t="str">
        <f t="array" ref="AI10:AI10">AI25</f>
        <v>Предложение организации</v>
      </c>
      <c r="AJ10" s="1033" cm="1" t="str">
        <f t="array" ref="AJ10:AJ10">AJ25</f>
        <v>Предложение организации</v>
      </c>
      <c r="AK10" s="1033" cm="1" t="str">
        <f t="array" ref="AK10:AK10">AK25</f>
        <v>Предложение организации</v>
      </c>
      <c r="AL10" s="1033" cm="1" t="str">
        <f t="array" ref="AL10:AL10">AL25</f>
        <v>Предложение организации</v>
      </c>
      <c r="AM10" s="1033" cm="1" t="str">
        <f t="array" ref="AM10:AM10">AM25</f>
        <v>Предложение организации</v>
      </c>
      <c r="AN10" s="1033" cm="1" t="str">
        <f t="array" ref="AN10:AN10">AN25</f>
        <v>Предложение организации</v>
      </c>
      <c r="AO10" s="1033" cm="1" t="str">
        <f t="array" ref="AO10:AO10">AO25</f>
        <v>Предложение организации</v>
      </c>
      <c r="AP10" s="1033" cm="1" t="str">
        <f t="array" ref="AP10:AP10">AP25</f>
        <v>Предложение организации</v>
      </c>
      <c r="AQ10" s="1033" cm="1" t="str">
        <f t="array" ref="AQ10:AQ10">AQ25</f>
        <v>Предложение организации</v>
      </c>
      <c r="AR10" s="1033" cm="1" t="str">
        <f t="array" ref="AR10:AR10">AR25</f>
        <v>Предложение организации</v>
      </c>
      <c r="AS10" s="1033" cm="1" t="str">
        <f t="array" ref="AS10:AS10">AS25</f>
        <v>Принято органом регулирования</v>
      </c>
      <c r="AT10" s="1033" cm="1" t="str">
        <f t="array" ref="AT10:AT10">AT25</f>
        <v>Принято органом регулирования</v>
      </c>
      <c r="AU10" s="1033" cm="1" t="str">
        <f t="array" ref="AU10:AU10">AU25</f>
        <v>Принято органом регулирования</v>
      </c>
      <c r="AV10" s="1033" cm="1" t="str">
        <f t="array" ref="AV10:AV10">AV25</f>
        <v>Принято органом регулирования</v>
      </c>
      <c r="AW10" s="1033" cm="1" t="str">
        <f t="array" ref="AW10:AW10">AW25</f>
        <v>Принято органом регулирования</v>
      </c>
      <c r="AX10" s="1033" cm="1" t="str">
        <f t="array" ref="AX10:AX10">AX25</f>
        <v>Принято органом регулирования</v>
      </c>
      <c r="AY10" s="1033" cm="1" t="str">
        <f t="array" ref="AY10:AY10">AY25</f>
        <v>Принято органом регулирования</v>
      </c>
      <c r="AZ10" s="1033" cm="1" t="str">
        <f t="array" ref="AZ10:AZ10">AZ25</f>
        <v>Принято органом регулирования</v>
      </c>
      <c r="BA10" s="1033" cm="1" t="str">
        <f t="array" ref="BA10:BA10">BA25</f>
        <v>Принято органом регулирования</v>
      </c>
      <c r="BB10" s="1033" cm="1" t="str">
        <f t="array" ref="BB10:BB10">BB25</f>
        <v>Принято органом регулирования</v>
      </c>
    </row>
    <row s="1424" customFormat="1" customHeight="1" ht="11.25" hidden="1">
      <c r="A11" s="1015" t="s">
        <v>367</v>
      </c>
      <c r="B11" s="1009"/>
      <c r="AD11" s="1033"/>
      <c r="AE11" s="1033"/>
      <c r="AF11" s="1033"/>
      <c r="AG11" s="1033"/>
      <c r="AH11" s="1033"/>
      <c r="AI11" s="1033"/>
      <c r="AJ11" s="1033"/>
      <c r="AK11" s="1033"/>
      <c r="AL11" s="1033"/>
      <c r="AM11" s="1033"/>
      <c r="AN11" s="1033"/>
      <c r="AO11" s="1033"/>
      <c r="AP11" s="1033"/>
      <c r="AQ11" s="1033"/>
      <c r="AR11" s="1033"/>
      <c r="AS11" s="1033"/>
      <c r="AT11" s="1033"/>
      <c r="AU11" s="1033"/>
      <c r="AV11" s="1033"/>
      <c r="AW11" s="1033"/>
      <c r="AX11" s="1033"/>
      <c r="AY11" s="1033"/>
      <c r="AZ11" s="1033"/>
      <c r="BA11" s="1033"/>
      <c r="BB11" s="1033"/>
      <c r="BC11" s="1000" cm="1" t="str">
        <f t="array" ref="BC11:BC11">BC24</f>
        <v>Ссылка на правовую норму (основание для принятия показателя в расчет тарифа)</v>
      </c>
    </row>
    <row customHeight="1" ht="11.25" hidden="1">
      <c r="AI12" s="1597"/>
      <c r="AJ12" s="1597"/>
      <c r="AK12" s="1597"/>
      <c r="AL12" s="1597"/>
      <c r="AM12" s="1597"/>
      <c r="AN12" s="1597"/>
      <c r="AO12" s="1597"/>
      <c r="AP12" s="1597"/>
      <c r="AQ12" s="1597"/>
      <c r="AR12" s="1597"/>
      <c r="AS12" s="1597"/>
      <c r="AT12" s="1597"/>
      <c r="AU12" s="1597"/>
      <c r="AV12" s="1597"/>
      <c r="AW12" s="1597"/>
      <c r="AX12" s="1597"/>
      <c r="AY12" s="1597"/>
      <c r="AZ12" s="1597"/>
      <c r="BA12" s="1597"/>
      <c r="BB12" s="1597"/>
    </row>
    <row customHeight="1" ht="11.25" hidden="1">
      <c r="AI13" s="98"/>
      <c r="AJ13" s="98"/>
      <c r="AK13" s="98"/>
      <c r="AL13" s="98"/>
      <c r="AM13" s="98"/>
      <c r="AN13" s="98"/>
      <c r="AO13" s="98"/>
      <c r="AP13" s="98"/>
      <c r="AQ13" s="98"/>
      <c r="AR13" s="98"/>
      <c r="AS13" s="98"/>
      <c r="AT13" s="98"/>
      <c r="AU13" s="98"/>
      <c r="AV13" s="98"/>
      <c r="AW13" s="98"/>
      <c r="AX13" s="98"/>
      <c r="AY13" s="98"/>
      <c r="AZ13" s="98"/>
      <c r="BA13" s="98"/>
      <c r="BB13" s="98"/>
    </row>
    <row customHeight="1" ht="11.25" hidden="1">
      <c r="AI14" s="98"/>
      <c r="AJ14" s="98"/>
      <c r="AK14" s="98"/>
      <c r="AL14" s="98"/>
      <c r="AM14" s="98"/>
      <c r="AN14" s="98"/>
      <c r="AO14" s="98"/>
      <c r="AP14" s="98"/>
      <c r="AQ14" s="98"/>
      <c r="AR14" s="98"/>
      <c r="AS14" s="98"/>
      <c r="AT14" s="98"/>
      <c r="AU14" s="98"/>
      <c r="AV14" s="98"/>
      <c r="AW14" s="98"/>
      <c r="AX14" s="98"/>
      <c r="AY14" s="98"/>
      <c r="AZ14" s="98"/>
      <c r="BA14" s="98"/>
      <c r="BB14" s="98"/>
    </row>
    <row customHeight="1" ht="11.25" hidden="1">
      <c r="AI15" s="98"/>
      <c r="AJ15" s="98"/>
      <c r="AK15" s="98"/>
      <c r="AL15" s="98"/>
      <c r="AM15" s="98"/>
      <c r="AN15" s="98"/>
      <c r="AO15" s="98"/>
      <c r="AP15" s="98"/>
      <c r="AQ15" s="98"/>
      <c r="AR15" s="98"/>
      <c r="AS15" s="98"/>
      <c r="AT15" s="98"/>
      <c r="AU15" s="98"/>
      <c r="AV15" s="98"/>
      <c r="AW15" s="98"/>
      <c r="AX15" s="98"/>
      <c r="AY15" s="98"/>
      <c r="AZ15" s="98"/>
      <c r="BA15" s="98"/>
      <c r="BB15" s="98"/>
    </row>
    <row customHeight="1" ht="11.25" hidden="1">
      <c r="AI16" s="98"/>
      <c r="AJ16" s="98"/>
      <c r="AK16" s="98"/>
      <c r="AL16" s="98"/>
      <c r="AM16" s="98"/>
      <c r="AN16" s="98"/>
      <c r="AO16" s="98"/>
      <c r="AP16" s="98"/>
      <c r="AQ16" s="98"/>
      <c r="AR16" s="98"/>
      <c r="AS16" s="98"/>
      <c r="AT16" s="98"/>
      <c r="AU16" s="98"/>
      <c r="AV16" s="98"/>
      <c r="AW16" s="98"/>
      <c r="AX16" s="98"/>
      <c r="AY16" s="98"/>
      <c r="AZ16" s="98"/>
      <c r="BA16" s="98"/>
      <c r="BB16" s="98"/>
    </row>
    <row customHeight="1" ht="11.25" hidden="1">
      <c r="AI17" s="1597"/>
      <c r="AJ17" s="1597"/>
      <c r="AK17" s="1597"/>
      <c r="AL17" s="1597"/>
      <c r="AM17" s="1597"/>
      <c r="AN17" s="1597"/>
      <c r="AO17" s="1597"/>
      <c r="AP17" s="1597"/>
      <c r="AQ17" s="1597"/>
      <c r="AR17" s="1597"/>
      <c r="AS17" s="1597"/>
      <c r="AT17" s="1597"/>
      <c r="AU17" s="1597"/>
      <c r="AV17" s="1597"/>
      <c r="AW17" s="1597"/>
      <c r="AX17" s="1597"/>
      <c r="AY17" s="1597"/>
      <c r="AZ17" s="1597"/>
      <c r="BA17" s="1597"/>
      <c r="BB17" s="1597"/>
    </row>
    <row customHeight="1" ht="11.25" hidden="1">
      <c r="AI18" s="1597"/>
      <c r="AJ18" s="1597"/>
      <c r="AK18" s="1597"/>
      <c r="AL18" s="1597"/>
      <c r="AM18" s="1597"/>
      <c r="AN18" s="1597"/>
      <c r="AO18" s="1597"/>
      <c r="AP18" s="1597"/>
      <c r="AQ18" s="1597"/>
      <c r="AR18" s="1597"/>
      <c r="AS18" s="1597"/>
      <c r="AT18" s="1597"/>
      <c r="AU18" s="1597"/>
      <c r="AV18" s="1597"/>
      <c r="AW18" s="1597"/>
      <c r="AX18" s="1597"/>
      <c r="AY18" s="1597"/>
      <c r="AZ18" s="1597"/>
      <c r="BA18" s="1597"/>
      <c r="BB18" s="1597"/>
    </row>
    <row customHeight="1" ht="11.25" hidden="1">
      <c r="AI19" s="1597"/>
      <c r="AJ19" s="1597"/>
      <c r="AK19" s="1597"/>
      <c r="AL19" s="1597"/>
      <c r="AM19" s="1597"/>
      <c r="AN19" s="1597"/>
      <c r="AO19" s="1597"/>
      <c r="AP19" s="1597"/>
      <c r="AQ19" s="1597"/>
      <c r="AR19" s="1597"/>
      <c r="AS19" s="1597"/>
      <c r="AT19" s="1597"/>
      <c r="AU19" s="1597"/>
      <c r="AV19" s="1597"/>
      <c r="AW19" s="1597"/>
      <c r="AX19" s="1597"/>
      <c r="AY19" s="1597"/>
      <c r="AZ19" s="1597"/>
      <c r="BA19" s="1597"/>
      <c r="BB19" s="1597"/>
    </row>
    <row customHeight="1" ht="11.25" hidden="1">
      <c r="AI20" s="1597"/>
      <c r="AJ20" s="1597"/>
      <c r="AK20" s="1597"/>
      <c r="AL20" s="1597"/>
      <c r="AM20" s="1597"/>
      <c r="AN20" s="1597"/>
      <c r="AO20" s="1597"/>
      <c r="AP20" s="1597"/>
      <c r="AQ20" s="1597"/>
      <c r="AR20" s="1597"/>
      <c r="AS20" s="1597"/>
      <c r="AT20" s="1597"/>
      <c r="AU20" s="1597"/>
      <c r="AV20" s="1597"/>
      <c r="AW20" s="1597"/>
      <c r="AX20" s="1597"/>
      <c r="AY20" s="1597"/>
      <c r="AZ20" s="1597"/>
      <c r="BA20" s="1597"/>
      <c r="BB20" s="1597"/>
    </row>
    <row customHeight="1" ht="14.625">
      <c r="E21" s="628">
        <v>15</v>
      </c>
      <c r="AA21" s="425"/>
      <c r="AC21" s="50" cm="1" t="str">
        <f t="array" ref="AC21:AC21">tpl_title</f>
        <v>Кемеровская область / 2026 / ООО "Теплоэнерго" (ИНН:4214046200, КПП:421401001) / ДПР: 2026-2030</v>
      </c>
      <c r="AI21" s="1597"/>
      <c r="AJ21" s="1597"/>
      <c r="AK21" s="1597"/>
      <c r="AL21" s="1597"/>
      <c r="AM21" s="1597"/>
      <c r="AN21" s="1597"/>
      <c r="AO21" s="1597"/>
      <c r="AP21" s="1597"/>
      <c r="AQ21" s="1597"/>
      <c r="AR21" s="1597"/>
      <c r="AS21" s="1597"/>
      <c r="AT21" s="1597"/>
      <c r="AU21" s="1597"/>
      <c r="AV21" s="1597"/>
      <c r="AW21" s="1597"/>
      <c r="AX21" s="1597"/>
      <c r="AY21" s="1597"/>
      <c r="AZ21" s="1597"/>
      <c r="BA21" s="1597"/>
      <c r="BB21" s="1597"/>
    </row>
    <row customHeight="1" ht="19.5">
      <c r="E22" s="628">
        <v>20</v>
      </c>
      <c r="AB22" s="320" t="s">
        <v>1624</v>
      </c>
      <c r="AC22" s="206"/>
      <c r="AD22" s="209"/>
      <c r="AE22" s="206"/>
      <c r="AF22" s="206"/>
      <c r="AG22" s="206"/>
      <c r="AH22" s="206"/>
      <c r="AI22" s="206"/>
      <c r="AJ22" s="206"/>
      <c r="AK22" s="206"/>
      <c r="AL22" s="206"/>
      <c r="AM22" s="206"/>
      <c r="AN22" s="206"/>
      <c r="AO22" s="206"/>
      <c r="AP22" s="206"/>
      <c r="AQ22" s="206"/>
      <c r="AR22" s="206"/>
      <c r="AS22" s="206"/>
      <c r="AT22" s="206"/>
      <c r="AU22" s="206"/>
      <c r="AV22" s="206"/>
      <c r="AW22" s="206"/>
      <c r="AX22" s="206"/>
      <c r="AY22" s="206"/>
      <c r="AZ22" s="206"/>
      <c r="BA22" s="206"/>
      <c r="BB22" s="206"/>
      <c r="BC22" s="208"/>
    </row>
    <row customHeight="1" ht="10.725000000000001">
      <c r="E23" s="628">
        <v>11</v>
      </c>
      <c r="AB23" s="1581"/>
      <c r="AC23" s="1581"/>
      <c r="AD23" s="1581"/>
      <c r="AE23" s="1581"/>
      <c r="AF23" s="1581"/>
      <c r="AG23" s="1581"/>
      <c r="AH23" s="1581"/>
      <c r="AI23" s="1581"/>
      <c r="AJ23" s="1581"/>
      <c r="AK23" s="1581"/>
      <c r="AL23" s="1581"/>
      <c r="AM23" s="1581"/>
      <c r="AN23" s="1581"/>
      <c r="AO23" s="1581"/>
      <c r="AP23" s="1581"/>
      <c r="AQ23" s="1581"/>
      <c r="AR23" s="1581"/>
      <c r="AS23" s="1581"/>
      <c r="AT23" s="1581"/>
      <c r="AU23" s="1581"/>
      <c r="AV23" s="1581"/>
      <c r="AW23" s="1581"/>
      <c r="AX23" s="1581"/>
      <c r="AY23" s="1581"/>
      <c r="AZ23" s="1581"/>
      <c r="BA23" s="1581"/>
      <c r="BB23" s="1581"/>
    </row>
    <row customHeight="1" ht="14.625">
      <c r="E24" s="628">
        <v>15</v>
      </c>
      <c r="AB24" s="1577" t="s">
        <v>1496</v>
      </c>
      <c r="AC24" s="1608" t="s">
        <v>195</v>
      </c>
      <c r="AD24" s="1577" t="s">
        <v>370</v>
      </c>
      <c r="AE24" s="359" t="str">
        <f>god-2&amp;" год"</f>
        <v>2024 год</v>
      </c>
      <c r="AF24" s="1121" t="str">
        <f>god-2&amp;" год"</f>
        <v>2024 год</v>
      </c>
      <c r="AG24" s="359" t="str">
        <f>god-2&amp;" год"</f>
        <v>2024 год</v>
      </c>
      <c r="AH24" s="94" t="str">
        <f>god-1&amp;" год"</f>
        <v>2025 год</v>
      </c>
      <c r="AI24" s="1118" t="str">
        <f>god&amp;" год"</f>
        <v>2026 год</v>
      </c>
      <c r="AJ24" s="1118" t="str">
        <f>god+1&amp;" год"</f>
        <v>2027 год</v>
      </c>
      <c r="AK24" s="1118" t="str">
        <f>god+2&amp;" год"</f>
        <v>2028 год</v>
      </c>
      <c r="AL24" s="1118" t="str">
        <f>god+3&amp;" год"</f>
        <v>2029 год</v>
      </c>
      <c r="AM24" s="1118" t="str">
        <f>god+4&amp;" год"</f>
        <v>2030 год</v>
      </c>
      <c r="AN24" s="1118" t="str">
        <f>god+5&amp;" год"</f>
        <v>2031 год</v>
      </c>
      <c r="AO24" s="1118" t="str">
        <f>god+6&amp;" год"</f>
        <v>2032 год</v>
      </c>
      <c r="AP24" s="1118" t="str">
        <f>god+7&amp;" год"</f>
        <v>2033 год</v>
      </c>
      <c r="AQ24" s="1118" t="str">
        <f>god+8&amp;" год"</f>
        <v>2034 год</v>
      </c>
      <c r="AR24" s="1118" t="str">
        <f>god+9&amp;" год"</f>
        <v>2035 год</v>
      </c>
      <c r="AS24" s="92" t="str">
        <f>god&amp;" год"</f>
        <v>2026 год</v>
      </c>
      <c r="AT24" s="92" t="str">
        <f>god+1&amp;" год"</f>
        <v>2027 год</v>
      </c>
      <c r="AU24" s="92" t="str">
        <f>god+2&amp;" год"</f>
        <v>2028 год</v>
      </c>
      <c r="AV24" s="92" t="str">
        <f>god+3&amp;" год"</f>
        <v>2029 год</v>
      </c>
      <c r="AW24" s="92" t="str">
        <f>god+4&amp;" год"</f>
        <v>2030 год</v>
      </c>
      <c r="AX24" s="92" t="str">
        <f>god+5&amp;" год"</f>
        <v>2031 год</v>
      </c>
      <c r="AY24" s="92" t="str">
        <f>god+6&amp;" год"</f>
        <v>2032 год</v>
      </c>
      <c r="AZ24" s="92" t="str">
        <f>god+7&amp;" год"</f>
        <v>2033 год</v>
      </c>
      <c r="BA24" s="92" t="str">
        <f>god+8&amp;" год"</f>
        <v>2034 год</v>
      </c>
      <c r="BB24" s="92" t="str">
        <f>god+9&amp;" год"</f>
        <v>2035 год</v>
      </c>
      <c r="BC24" s="1609" t="s">
        <v>1242</v>
      </c>
    </row>
    <row customHeight="1" ht="48.75">
      <c r="E25" s="628">
        <v>50</v>
      </c>
      <c r="AB25" s="1577"/>
      <c r="AC25" s="1608"/>
      <c r="AD25" s="1577"/>
      <c r="AE25" s="92" t="s">
        <v>362</v>
      </c>
      <c r="AF25" s="1118" t="s">
        <v>1164</v>
      </c>
      <c r="AG25" s="92" t="s">
        <v>1165</v>
      </c>
      <c r="AH25" s="92" t="s">
        <v>362</v>
      </c>
      <c r="AI25" s="1122" t="s">
        <v>363</v>
      </c>
      <c r="AJ25" s="1122" t="s">
        <v>363</v>
      </c>
      <c r="AK25" s="1122" t="s">
        <v>363</v>
      </c>
      <c r="AL25" s="1122" t="s">
        <v>363</v>
      </c>
      <c r="AM25" s="1122" t="s">
        <v>363</v>
      </c>
      <c r="AN25" s="1122" t="s">
        <v>363</v>
      </c>
      <c r="AO25" s="1122" t="s">
        <v>363</v>
      </c>
      <c r="AP25" s="1122" t="s">
        <v>363</v>
      </c>
      <c r="AQ25" s="1122" t="s">
        <v>363</v>
      </c>
      <c r="AR25" s="1122" t="s">
        <v>363</v>
      </c>
      <c r="AS25" s="360" t="s">
        <v>362</v>
      </c>
      <c r="AT25" s="360" t="s">
        <v>362</v>
      </c>
      <c r="AU25" s="360" t="s">
        <v>362</v>
      </c>
      <c r="AV25" s="360" t="s">
        <v>362</v>
      </c>
      <c r="AW25" s="360" t="s">
        <v>362</v>
      </c>
      <c r="AX25" s="360" t="s">
        <v>362</v>
      </c>
      <c r="AY25" s="360" t="s">
        <v>362</v>
      </c>
      <c r="AZ25" s="360" t="s">
        <v>362</v>
      </c>
      <c r="BA25" s="360" t="s">
        <v>362</v>
      </c>
      <c r="BB25" s="360" t="s">
        <v>362</v>
      </c>
      <c r="BC25" s="1610"/>
    </row>
    <row s="1834" customFormat="1" customHeight="1" ht="11.25">
      <c r="B26" s="430"/>
      <c r="E26" s="671" t="s">
        <v>373</v>
      </c>
      <c r="F26" s="172" t="s">
        <v>1625</v>
      </c>
      <c r="T26" s="0"/>
      <c r="AC26" s="100"/>
      <c r="AD26" s="100"/>
      <c r="AE26" s="100"/>
      <c r="AF26" s="100"/>
      <c r="AI26" s="1834"/>
      <c r="AJ26" s="1834"/>
      <c r="AK26" s="1834"/>
      <c r="AL26" s="1834"/>
      <c r="AM26" s="1834"/>
      <c r="AN26" s="1834"/>
      <c r="AO26" s="1834"/>
      <c r="AP26" s="1834"/>
      <c r="AQ26" s="101"/>
      <c r="AR26" s="1834"/>
      <c r="AS26" s="1834"/>
      <c r="AT26" s="1834"/>
      <c r="AU26" s="1834"/>
      <c r="AV26" s="1834"/>
      <c r="AW26" s="1834"/>
      <c r="AX26" s="1834"/>
      <c r="AY26" s="1834"/>
      <c r="AZ26" s="1834"/>
      <c r="BA26" s="1834"/>
      <c r="BB26" s="1834"/>
      <c r="BF26" s="1004"/>
    </row>
    <row customHeight="1" ht="14.625" hidden="1">
      <c r="A27" s="1459"/>
      <c r="B27" s="1416"/>
      <c r="C27" s="1459"/>
      <c r="D27" s="1459"/>
      <c r="E27" s="628">
        <v>15</v>
      </c>
      <c r="F27" s="719" cm="1" t="str">
        <f t="array" ref="F27:F27">X27</f>
        <v>0</v>
      </c>
      <c r="G27" s="1459"/>
      <c r="H27" s="1459"/>
      <c r="I27" s="1459"/>
      <c r="J27" s="1459"/>
      <c r="K27" s="1459"/>
      <c r="L27" s="1459"/>
      <c r="M27" s="1459"/>
      <c r="N27" s="1459"/>
      <c r="O27" s="1459"/>
      <c r="P27" s="1459"/>
      <c r="Q27" s="1459"/>
      <c r="R27" s="1459"/>
      <c r="S27" s="1459"/>
      <c r="T27" s="465">
        <f>X27&gt;0</f>
        <v>0</v>
      </c>
      <c r="U27" s="1459"/>
      <c r="V27" s="104" t="s">
        <v>265</v>
      </c>
      <c r="W27" s="1459"/>
      <c r="X27" s="1596">
        <v>0</v>
      </c>
      <c r="Y27" s="1459"/>
      <c r="Z27" s="1597"/>
      <c r="AA27" s="1459"/>
      <c r="AB27" s="183" cm="1" t="str">
        <f t="array" ref="AB27:AB27">INDEX('Общие сведения'!$AG$179:$AG$250,MATCH($X27,'Общие сведения'!$Z$179:$Z$250,0))</f>
        <v>Тариф 0 () - </v>
      </c>
      <c r="AC27" s="180"/>
      <c r="AD27" s="174"/>
      <c r="AE27" s="174"/>
      <c r="AF27" s="174"/>
      <c r="AG27" s="174"/>
      <c r="AH27" s="174"/>
      <c r="AI27" s="174"/>
      <c r="AJ27" s="174"/>
      <c r="AK27" s="174"/>
      <c r="AL27" s="174"/>
      <c r="AM27" s="174"/>
      <c r="AN27" s="174"/>
      <c r="AO27" s="174"/>
      <c r="AP27" s="174"/>
      <c r="AQ27" s="174"/>
      <c r="AR27" s="174"/>
      <c r="AS27" s="174"/>
      <c r="AT27" s="174"/>
      <c r="AU27" s="174"/>
      <c r="AV27" s="174"/>
      <c r="AW27" s="174"/>
      <c r="AX27" s="174"/>
      <c r="AY27" s="174"/>
      <c r="AZ27" s="174"/>
      <c r="BA27" s="174"/>
      <c r="BB27" s="174"/>
      <c r="BC27" s="210"/>
      <c r="BD27" s="1459"/>
      <c r="BE27" s="1459"/>
      <c r="BF27" s="1424"/>
    </row>
    <row s="525" customFormat="1" customHeight="1" ht="21.9375" hidden="1">
      <c r="A28" s="525"/>
      <c r="B28" s="431"/>
      <c r="C28" s="525"/>
      <c r="D28" s="525"/>
      <c r="E28" s="669">
        <v>22.5</v>
      </c>
      <c r="F28" s="50" cm="1" t="str">
        <f t="array" ref="F28:F28">OFFSET(E28,-1,1)</f>
        <v>0</v>
      </c>
      <c r="G28" s="104" t="s">
        <v>332</v>
      </c>
      <c r="H28" s="525"/>
      <c r="I28" s="525"/>
      <c r="J28" s="525"/>
      <c r="K28" s="525"/>
      <c r="L28" s="525"/>
      <c r="M28" s="525"/>
      <c r="N28" s="525"/>
      <c r="O28" s="525"/>
      <c r="P28" s="525"/>
      <c r="Q28" s="525"/>
      <c r="R28" s="525"/>
      <c r="S28" s="525"/>
      <c r="T28" s="465" cm="1" t="str">
        <f t="array" ref="T28:T28">T27</f>
        <v>false</v>
      </c>
      <c r="U28" s="525"/>
      <c r="V28" s="525"/>
      <c r="W28" s="525"/>
      <c r="X28" s="1596"/>
      <c r="Y28" s="525"/>
      <c r="Z28" s="1597"/>
      <c r="AA28" s="525"/>
      <c r="AB28" s="211">
        <v>1</v>
      </c>
      <c r="AC28" s="212" t="s">
        <v>1626</v>
      </c>
      <c r="AD28" s="89" t="s">
        <v>1514</v>
      </c>
      <c r="AE28" s="3534">
        <f>SUM(AE29:AE33)</f>
        <v>0</v>
      </c>
      <c r="AF28" s="3534">
        <f>SUM(AF29:AF33)</f>
        <v>0</v>
      </c>
      <c r="AG28" s="3534">
        <f>SUM(AG29:AG33)</f>
        <v>0</v>
      </c>
      <c r="AH28" s="3534">
        <f>SUM(AH29:AH33)</f>
        <v>0</v>
      </c>
      <c r="AI28" s="3534">
        <f>SUM(AI29:AI33)</f>
        <v>0</v>
      </c>
      <c r="AJ28" s="3534">
        <f>SUM(AJ29:AJ33)</f>
        <v>0</v>
      </c>
      <c r="AK28" s="3534">
        <f>SUM(AK29:AK33)</f>
        <v>0</v>
      </c>
      <c r="AL28" s="3534">
        <f>SUM(AL29:AL33)</f>
        <v>0</v>
      </c>
      <c r="AM28" s="3534">
        <f>SUM(AM29:AM33)</f>
        <v>0</v>
      </c>
      <c r="AN28" s="3534">
        <f>SUM(AN29:AN33)</f>
        <v>0</v>
      </c>
      <c r="AO28" s="3534">
        <f>SUM(AO29:AO33)</f>
        <v>0</v>
      </c>
      <c r="AP28" s="3534">
        <f>SUM(AP29:AP33)</f>
        <v>0</v>
      </c>
      <c r="AQ28" s="3534">
        <f>SUM(AQ29:AQ33)</f>
        <v>0</v>
      </c>
      <c r="AR28" s="3534">
        <f>SUM(AR29:AR33)</f>
        <v>0</v>
      </c>
      <c r="AS28" s="3534">
        <f>SUM(AS29:AS33)</f>
        <v>0</v>
      </c>
      <c r="AT28" s="3534">
        <f>SUM(AT29:AT33)</f>
        <v>0</v>
      </c>
      <c r="AU28" s="3534">
        <f>SUM(AU29:AU33)</f>
        <v>0</v>
      </c>
      <c r="AV28" s="3534">
        <f>SUM(AV29:AV33)</f>
        <v>0</v>
      </c>
      <c r="AW28" s="3534">
        <f>SUM(AW29:AW33)</f>
        <v>0</v>
      </c>
      <c r="AX28" s="3534">
        <f>SUM(AX29:AX33)</f>
        <v>0</v>
      </c>
      <c r="AY28" s="3534">
        <f>SUM(AY29:AY33)</f>
        <v>0</v>
      </c>
      <c r="AZ28" s="3534">
        <f>SUM(AZ29:AZ33)</f>
        <v>0</v>
      </c>
      <c r="BA28" s="3534">
        <f>SUM(BA29:BA33)</f>
        <v>0</v>
      </c>
      <c r="BB28" s="3534">
        <f>SUM(BB29:BB33)</f>
        <v>0</v>
      </c>
      <c r="BC28" s="2070"/>
      <c r="BD28" s="525"/>
      <c r="BE28" s="525"/>
      <c r="BF28" s="1034" t="s">
        <v>1627</v>
      </c>
    </row>
    <row customHeight="1" ht="14.625" hidden="1">
      <c r="A29" s="1459"/>
      <c r="B29" s="1416"/>
      <c r="C29" s="1459"/>
      <c r="D29" s="1459"/>
      <c r="E29" s="628">
        <v>15</v>
      </c>
      <c r="F29" s="50" cm="1" t="str">
        <f t="array" ref="F29:F29">OFFSET(E29,-1,1)</f>
        <v>0</v>
      </c>
      <c r="G29" s="104" t="s">
        <v>1175</v>
      </c>
      <c r="H29" s="1459"/>
      <c r="I29" s="1459"/>
      <c r="J29" s="1459"/>
      <c r="K29" s="1459"/>
      <c r="L29" s="1459"/>
      <c r="M29" s="1459"/>
      <c r="N29" s="1459"/>
      <c r="O29" s="1459"/>
      <c r="P29" s="1459"/>
      <c r="Q29" s="1459"/>
      <c r="R29" s="1459"/>
      <c r="S29" s="1459"/>
      <c r="T29" s="465" cm="1" t="str">
        <f t="array" ref="T29:T29">T28</f>
        <v>false</v>
      </c>
      <c r="U29" s="1459"/>
      <c r="V29" s="1459"/>
      <c r="W29" s="1459"/>
      <c r="X29" s="1596"/>
      <c r="Y29" s="1459"/>
      <c r="Z29" s="1597"/>
      <c r="AA29" s="1459"/>
      <c r="AB29" s="88" t="s">
        <v>1628</v>
      </c>
      <c r="AC29" s="214" t="s">
        <v>1629</v>
      </c>
      <c r="AD29" s="89" t="s">
        <v>1514</v>
      </c>
      <c r="AE29" s="3536"/>
      <c r="AF29" s="3536"/>
      <c r="AG29" s="3536"/>
      <c r="AH29" s="3536"/>
      <c r="AI29" s="3536"/>
      <c r="AJ29" s="3536"/>
      <c r="AK29" s="3536"/>
      <c r="AL29" s="3536"/>
      <c r="AM29" s="3536"/>
      <c r="AN29" s="3536"/>
      <c r="AO29" s="3536"/>
      <c r="AP29" s="3536"/>
      <c r="AQ29" s="3536"/>
      <c r="AR29" s="3536"/>
      <c r="AS29" s="3536"/>
      <c r="AT29" s="3536"/>
      <c r="AU29" s="3536"/>
      <c r="AV29" s="3536"/>
      <c r="AW29" s="3536"/>
      <c r="AX29" s="3536"/>
      <c r="AY29" s="3536"/>
      <c r="AZ29" s="3536"/>
      <c r="BA29" s="3536"/>
      <c r="BB29" s="3536"/>
      <c r="BC29" s="2070"/>
      <c r="BD29" s="1459"/>
      <c r="BE29" s="1459"/>
      <c r="BF29" s="1034" t="s">
        <v>1630</v>
      </c>
    </row>
    <row customHeight="1" ht="14.625" hidden="1">
      <c r="A30" s="1459"/>
      <c r="B30" s="1416"/>
      <c r="C30" s="1459"/>
      <c r="D30" s="1459"/>
      <c r="E30" s="628">
        <v>15</v>
      </c>
      <c r="F30" s="50" cm="1" t="str">
        <f t="array" ref="F30:F30">OFFSET(E30,-1,1)</f>
        <v>0</v>
      </c>
      <c r="G30" s="104" t="s">
        <v>1179</v>
      </c>
      <c r="H30" s="1459"/>
      <c r="I30" s="1459"/>
      <c r="J30" s="1459"/>
      <c r="K30" s="1459"/>
      <c r="L30" s="1459"/>
      <c r="M30" s="1459"/>
      <c r="N30" s="1459"/>
      <c r="O30" s="1459"/>
      <c r="P30" s="1459"/>
      <c r="Q30" s="1459"/>
      <c r="R30" s="1459"/>
      <c r="S30" s="1459"/>
      <c r="T30" s="465" cm="1" t="str">
        <f t="array" ref="T30:T30">T29</f>
        <v>false</v>
      </c>
      <c r="U30" s="1459"/>
      <c r="V30" s="1459"/>
      <c r="W30" s="1459"/>
      <c r="X30" s="1596"/>
      <c r="Y30" s="1459"/>
      <c r="Z30" s="1597"/>
      <c r="AA30" s="1459"/>
      <c r="AB30" s="88" t="s">
        <v>1631</v>
      </c>
      <c r="AC30" s="214" t="s">
        <v>1632</v>
      </c>
      <c r="AD30" s="89" t="s">
        <v>1514</v>
      </c>
      <c r="AE30" s="3536"/>
      <c r="AF30" s="3536"/>
      <c r="AG30" s="3536"/>
      <c r="AH30" s="3536"/>
      <c r="AI30" s="3536"/>
      <c r="AJ30" s="3536"/>
      <c r="AK30" s="3536"/>
      <c r="AL30" s="3536"/>
      <c r="AM30" s="3536"/>
      <c r="AN30" s="3536"/>
      <c r="AO30" s="3536"/>
      <c r="AP30" s="3536"/>
      <c r="AQ30" s="3536"/>
      <c r="AR30" s="3536"/>
      <c r="AS30" s="3536"/>
      <c r="AT30" s="3536"/>
      <c r="AU30" s="3536"/>
      <c r="AV30" s="3536"/>
      <c r="AW30" s="3536"/>
      <c r="AX30" s="3536"/>
      <c r="AY30" s="3536"/>
      <c r="AZ30" s="3536"/>
      <c r="BA30" s="3536"/>
      <c r="BB30" s="3536"/>
      <c r="BC30" s="2070"/>
      <c r="BD30" s="1459"/>
      <c r="BE30" s="1459"/>
      <c r="BF30" s="1034" t="s">
        <v>1633</v>
      </c>
    </row>
    <row customHeight="1" ht="14.625" hidden="1">
      <c r="A31" s="1459"/>
      <c r="B31" s="1416"/>
      <c r="C31" s="1459"/>
      <c r="D31" s="1459"/>
      <c r="E31" s="628">
        <v>15</v>
      </c>
      <c r="F31" s="50" cm="1" t="str">
        <f t="array" ref="F31:F31">OFFSET(E31,-1,1)</f>
        <v>0</v>
      </c>
      <c r="G31" s="104" t="s">
        <v>1182</v>
      </c>
      <c r="H31" s="1459"/>
      <c r="I31" s="1459"/>
      <c r="J31" s="1459"/>
      <c r="K31" s="1459"/>
      <c r="L31" s="1459"/>
      <c r="M31" s="1459"/>
      <c r="N31" s="1459"/>
      <c r="O31" s="1459"/>
      <c r="P31" s="1459"/>
      <c r="Q31" s="1459"/>
      <c r="R31" s="1459"/>
      <c r="S31" s="1459"/>
      <c r="T31" s="465" cm="1" t="str">
        <f t="array" ref="T31:T31">T30</f>
        <v>false</v>
      </c>
      <c r="U31" s="1459"/>
      <c r="V31" s="1459"/>
      <c r="W31" s="1459"/>
      <c r="X31" s="1596"/>
      <c r="Y31" s="1459"/>
      <c r="Z31" s="1597"/>
      <c r="AA31" s="1459"/>
      <c r="AB31" s="88" t="s">
        <v>1634</v>
      </c>
      <c r="AC31" s="214" t="s">
        <v>1635</v>
      </c>
      <c r="AD31" s="89" t="s">
        <v>1514</v>
      </c>
      <c r="AE31" s="3536"/>
      <c r="AF31" s="3536"/>
      <c r="AG31" s="3536"/>
      <c r="AH31" s="3536"/>
      <c r="AI31" s="3536"/>
      <c r="AJ31" s="3536"/>
      <c r="AK31" s="3536"/>
      <c r="AL31" s="3536"/>
      <c r="AM31" s="3536"/>
      <c r="AN31" s="3536"/>
      <c r="AO31" s="3536"/>
      <c r="AP31" s="3536"/>
      <c r="AQ31" s="3536"/>
      <c r="AR31" s="3536"/>
      <c r="AS31" s="3536"/>
      <c r="AT31" s="3536"/>
      <c r="AU31" s="3536"/>
      <c r="AV31" s="3536"/>
      <c r="AW31" s="3536"/>
      <c r="AX31" s="3536"/>
      <c r="AY31" s="3536"/>
      <c r="AZ31" s="3536"/>
      <c r="BA31" s="3536"/>
      <c r="BB31" s="3536"/>
      <c r="BC31" s="2070"/>
      <c r="BD31" s="1459"/>
      <c r="BE31" s="1459"/>
      <c r="BF31" s="1034" t="s">
        <v>1636</v>
      </c>
    </row>
    <row customHeight="1" ht="14.625" hidden="1">
      <c r="A32" s="1459"/>
      <c r="B32" s="1416"/>
      <c r="C32" s="1459"/>
      <c r="D32" s="1459"/>
      <c r="E32" s="628">
        <v>15</v>
      </c>
      <c r="F32" s="50" cm="1" t="str">
        <f t="array" ref="F32:F32">OFFSET(E32,-1,1)</f>
        <v>0</v>
      </c>
      <c r="G32" s="104" t="s">
        <v>1186</v>
      </c>
      <c r="H32" s="1459"/>
      <c r="I32" s="1459"/>
      <c r="J32" s="1459"/>
      <c r="K32" s="1459"/>
      <c r="L32" s="1459"/>
      <c r="M32" s="1459"/>
      <c r="N32" s="1459"/>
      <c r="O32" s="1459"/>
      <c r="P32" s="1459"/>
      <c r="Q32" s="1459"/>
      <c r="R32" s="1459"/>
      <c r="S32" s="1459"/>
      <c r="T32" s="465" cm="1" t="str">
        <f t="array" ref="T32:T32">T31</f>
        <v>false</v>
      </c>
      <c r="U32" s="1459"/>
      <c r="V32" s="1459"/>
      <c r="W32" s="1459"/>
      <c r="X32" s="1596"/>
      <c r="Y32" s="1459"/>
      <c r="Z32" s="1597"/>
      <c r="AA32" s="1459"/>
      <c r="AB32" s="88" t="s">
        <v>1637</v>
      </c>
      <c r="AC32" s="214" t="s">
        <v>1638</v>
      </c>
      <c r="AD32" s="89" t="s">
        <v>1514</v>
      </c>
      <c r="AE32" s="3536"/>
      <c r="AF32" s="3536"/>
      <c r="AG32" s="3536"/>
      <c r="AH32" s="3536"/>
      <c r="AI32" s="3536"/>
      <c r="AJ32" s="3536"/>
      <c r="AK32" s="3536"/>
      <c r="AL32" s="3536"/>
      <c r="AM32" s="3536"/>
      <c r="AN32" s="3536"/>
      <c r="AO32" s="3536"/>
      <c r="AP32" s="3536"/>
      <c r="AQ32" s="3536"/>
      <c r="AR32" s="3536"/>
      <c r="AS32" s="3536"/>
      <c r="AT32" s="3536"/>
      <c r="AU32" s="3536"/>
      <c r="AV32" s="3536"/>
      <c r="AW32" s="3536"/>
      <c r="AX32" s="3536"/>
      <c r="AY32" s="3536"/>
      <c r="AZ32" s="3536"/>
      <c r="BA32" s="3536"/>
      <c r="BB32" s="3536"/>
      <c r="BC32" s="2070"/>
      <c r="BD32" s="1459"/>
      <c r="BE32" s="1459"/>
      <c r="BF32" s="1034" t="s">
        <v>1639</v>
      </c>
    </row>
    <row customHeight="1" ht="14.625" hidden="1">
      <c r="A33" s="1459"/>
      <c r="B33" s="1416"/>
      <c r="C33" s="1459"/>
      <c r="D33" s="1459"/>
      <c r="E33" s="628">
        <v>15</v>
      </c>
      <c r="F33" s="50" cm="1" t="str">
        <f t="array" ref="F33:F33">OFFSET(E33,-1,1)</f>
        <v>0</v>
      </c>
      <c r="G33" s="104" t="s">
        <v>1640</v>
      </c>
      <c r="H33" s="1459"/>
      <c r="I33" s="1459"/>
      <c r="J33" s="1459"/>
      <c r="K33" s="1459"/>
      <c r="L33" s="1459"/>
      <c r="M33" s="1459"/>
      <c r="N33" s="1459"/>
      <c r="O33" s="1459"/>
      <c r="P33" s="1459"/>
      <c r="Q33" s="1459"/>
      <c r="R33" s="1459"/>
      <c r="S33" s="1459"/>
      <c r="T33" s="465" cm="1" t="str">
        <f t="array" ref="T33:T33">T32</f>
        <v>false</v>
      </c>
      <c r="U33" s="1459"/>
      <c r="V33" s="1459"/>
      <c r="W33" s="1459"/>
      <c r="X33" s="1596"/>
      <c r="Y33" s="1459"/>
      <c r="Z33" s="1597"/>
      <c r="AA33" s="1459"/>
      <c r="AB33" s="88" t="s">
        <v>1641</v>
      </c>
      <c r="AC33" s="214" t="s">
        <v>1642</v>
      </c>
      <c r="AD33" s="89" t="s">
        <v>1514</v>
      </c>
      <c r="AE33" s="3536"/>
      <c r="AF33" s="3536"/>
      <c r="AG33" s="3536"/>
      <c r="AH33" s="3536"/>
      <c r="AI33" s="3536"/>
      <c r="AJ33" s="3536"/>
      <c r="AK33" s="3536"/>
      <c r="AL33" s="3536"/>
      <c r="AM33" s="3536"/>
      <c r="AN33" s="3536"/>
      <c r="AO33" s="3536"/>
      <c r="AP33" s="3536"/>
      <c r="AQ33" s="3536"/>
      <c r="AR33" s="3536"/>
      <c r="AS33" s="3536"/>
      <c r="AT33" s="3536"/>
      <c r="AU33" s="3536"/>
      <c r="AV33" s="3536"/>
      <c r="AW33" s="3536"/>
      <c r="AX33" s="3536"/>
      <c r="AY33" s="3536"/>
      <c r="AZ33" s="3536"/>
      <c r="BA33" s="3536"/>
      <c r="BB33" s="3536"/>
      <c r="BC33" s="2070"/>
      <c r="BD33" s="1459"/>
      <c r="BE33" s="1459"/>
      <c r="BF33" s="1034" t="s">
        <v>1643</v>
      </c>
    </row>
    <row s="525" customFormat="1" customHeight="1" ht="14.625" hidden="1">
      <c r="A34" s="525"/>
      <c r="B34" s="431"/>
      <c r="C34" s="525"/>
      <c r="D34" s="525"/>
      <c r="E34" s="628">
        <v>15</v>
      </c>
      <c r="F34" s="50" cm="1" t="str">
        <f t="array" ref="F34:F34">OFFSET(E34,-1,1)</f>
        <v>0</v>
      </c>
      <c r="G34" s="104" t="s">
        <v>333</v>
      </c>
      <c r="H34" s="525"/>
      <c r="I34" s="525"/>
      <c r="J34" s="525"/>
      <c r="K34" s="525"/>
      <c r="L34" s="525"/>
      <c r="M34" s="525"/>
      <c r="N34" s="525"/>
      <c r="O34" s="525"/>
      <c r="P34" s="525"/>
      <c r="Q34" s="525"/>
      <c r="R34" s="525"/>
      <c r="S34" s="525"/>
      <c r="T34" s="465" cm="1" t="str">
        <f t="array" ref="T34:T34">T33</f>
        <v>false</v>
      </c>
      <c r="U34" s="525"/>
      <c r="V34" s="525"/>
      <c r="W34" s="525"/>
      <c r="X34" s="1596"/>
      <c r="Y34" s="525"/>
      <c r="Z34" s="1597"/>
      <c r="AA34" s="525"/>
      <c r="AB34" s="211">
        <v>2</v>
      </c>
      <c r="AC34" s="212" t="s">
        <v>1644</v>
      </c>
      <c r="AD34" s="89" t="s">
        <v>1514</v>
      </c>
      <c r="AE34" s="3534">
        <f>SUM(AE35:AE39)</f>
        <v>0</v>
      </c>
      <c r="AF34" s="3534">
        <f>SUM(AF35:AF39)</f>
        <v>0</v>
      </c>
      <c r="AG34" s="3534">
        <f>SUM(AG35:AG39)</f>
        <v>0</v>
      </c>
      <c r="AH34" s="3534">
        <f>SUM(AH35:AH39)</f>
        <v>0</v>
      </c>
      <c r="AI34" s="3534">
        <f>SUM(AI35:AI39)</f>
        <v>0</v>
      </c>
      <c r="AJ34" s="3534">
        <f>SUM(AJ35:AJ39)</f>
        <v>0</v>
      </c>
      <c r="AK34" s="3534">
        <f>SUM(AK35:AK39)</f>
        <v>0</v>
      </c>
      <c r="AL34" s="3534">
        <f>SUM(AL35:AL39)</f>
        <v>0</v>
      </c>
      <c r="AM34" s="3534">
        <f>SUM(AM35:AM39)</f>
        <v>0</v>
      </c>
      <c r="AN34" s="3534">
        <f>SUM(AN35:AN39)</f>
        <v>0</v>
      </c>
      <c r="AO34" s="3534">
        <f>SUM(AO35:AO39)</f>
        <v>0</v>
      </c>
      <c r="AP34" s="3534">
        <f>SUM(AP35:AP39)</f>
        <v>0</v>
      </c>
      <c r="AQ34" s="3534">
        <f>SUM(AQ35:AQ39)</f>
        <v>0</v>
      </c>
      <c r="AR34" s="3534">
        <f>SUM(AR35:AR39)</f>
        <v>0</v>
      </c>
      <c r="AS34" s="3534">
        <f>SUM(AS35:AS39)</f>
        <v>0</v>
      </c>
      <c r="AT34" s="3534">
        <f>SUM(AT35:AT39)</f>
        <v>0</v>
      </c>
      <c r="AU34" s="3534">
        <f>SUM(AU35:AU39)</f>
        <v>0</v>
      </c>
      <c r="AV34" s="3534">
        <f>SUM(AV35:AV39)</f>
        <v>0</v>
      </c>
      <c r="AW34" s="3534">
        <f>SUM(AW35:AW39)</f>
        <v>0</v>
      </c>
      <c r="AX34" s="3534">
        <f>SUM(AX35:AX39)</f>
        <v>0</v>
      </c>
      <c r="AY34" s="3534">
        <f>SUM(AY35:AY39)</f>
        <v>0</v>
      </c>
      <c r="AZ34" s="3534">
        <f>SUM(AZ35:AZ39)</f>
        <v>0</v>
      </c>
      <c r="BA34" s="3534">
        <f>SUM(BA35:BA39)</f>
        <v>0</v>
      </c>
      <c r="BB34" s="3534">
        <f>SUM(BB35:BB39)</f>
        <v>0</v>
      </c>
      <c r="BC34" s="2070"/>
      <c r="BD34" s="525"/>
      <c r="BE34" s="525"/>
      <c r="BF34" s="1034" t="s">
        <v>1645</v>
      </c>
    </row>
    <row customHeight="1" ht="14.625" hidden="1">
      <c r="A35" s="1459"/>
      <c r="B35" s="1416"/>
      <c r="C35" s="1459"/>
      <c r="D35" s="1459"/>
      <c r="E35" s="628">
        <v>15</v>
      </c>
      <c r="F35" s="50" cm="1" t="str">
        <f t="array" ref="F35:F35">OFFSET(E35,-1,1)</f>
        <v>0</v>
      </c>
      <c r="G35" s="104" t="s">
        <v>1193</v>
      </c>
      <c r="H35" s="1459"/>
      <c r="I35" s="1459"/>
      <c r="J35" s="1459"/>
      <c r="K35" s="1459"/>
      <c r="L35" s="1459"/>
      <c r="M35" s="1459"/>
      <c r="N35" s="1459"/>
      <c r="O35" s="1459"/>
      <c r="P35" s="1459"/>
      <c r="Q35" s="1459"/>
      <c r="R35" s="1459"/>
      <c r="S35" s="1459"/>
      <c r="T35" s="465" cm="1" t="str">
        <f t="array" ref="T35:T35">T34</f>
        <v>false</v>
      </c>
      <c r="U35" s="1459"/>
      <c r="V35" s="1459"/>
      <c r="W35" s="1459"/>
      <c r="X35" s="1596"/>
      <c r="Y35" s="1459"/>
      <c r="Z35" s="1597"/>
      <c r="AA35" s="1459"/>
      <c r="AB35" s="88" t="s">
        <v>1250</v>
      </c>
      <c r="AC35" s="214" t="s">
        <v>1629</v>
      </c>
      <c r="AD35" s="89" t="s">
        <v>1514</v>
      </c>
      <c r="AE35" s="3536"/>
      <c r="AF35" s="3536"/>
      <c r="AG35" s="3536"/>
      <c r="AH35" s="3536"/>
      <c r="AI35" s="3536"/>
      <c r="AJ35" s="3536"/>
      <c r="AK35" s="3536"/>
      <c r="AL35" s="3536"/>
      <c r="AM35" s="3536"/>
      <c r="AN35" s="3536"/>
      <c r="AO35" s="3536"/>
      <c r="AP35" s="3536"/>
      <c r="AQ35" s="3536"/>
      <c r="AR35" s="3536"/>
      <c r="AS35" s="3536"/>
      <c r="AT35" s="3536"/>
      <c r="AU35" s="3536"/>
      <c r="AV35" s="3536"/>
      <c r="AW35" s="3536"/>
      <c r="AX35" s="3536"/>
      <c r="AY35" s="3536"/>
      <c r="AZ35" s="3536"/>
      <c r="BA35" s="3536"/>
      <c r="BB35" s="3536"/>
      <c r="BC35" s="2070"/>
      <c r="BD35" s="1459"/>
      <c r="BE35" s="1459"/>
      <c r="BF35" s="1034" t="s">
        <v>1646</v>
      </c>
    </row>
    <row customHeight="1" ht="14.625" hidden="1">
      <c r="A36" s="1459"/>
      <c r="B36" s="1416"/>
      <c r="C36" s="1459"/>
      <c r="D36" s="1459"/>
      <c r="E36" s="628">
        <v>15</v>
      </c>
      <c r="F36" s="50" cm="1" t="str">
        <f t="array" ref="F36:F36">OFFSET(E36,-1,1)</f>
        <v>0</v>
      </c>
      <c r="G36" s="104" t="s">
        <v>1196</v>
      </c>
      <c r="H36" s="1459"/>
      <c r="I36" s="1459"/>
      <c r="J36" s="1459"/>
      <c r="K36" s="1459"/>
      <c r="L36" s="1459"/>
      <c r="M36" s="1459"/>
      <c r="N36" s="1459"/>
      <c r="O36" s="1459"/>
      <c r="P36" s="1459"/>
      <c r="Q36" s="1459"/>
      <c r="R36" s="1459"/>
      <c r="S36" s="1459"/>
      <c r="T36" s="465" cm="1" t="str">
        <f t="array" ref="T36:T36">T35</f>
        <v>false</v>
      </c>
      <c r="U36" s="1459"/>
      <c r="V36" s="1459"/>
      <c r="W36" s="1459"/>
      <c r="X36" s="1596"/>
      <c r="Y36" s="1459"/>
      <c r="Z36" s="1597"/>
      <c r="AA36" s="1459"/>
      <c r="AB36" s="88" t="s">
        <v>1254</v>
      </c>
      <c r="AC36" s="214" t="s">
        <v>1632</v>
      </c>
      <c r="AD36" s="89" t="s">
        <v>1514</v>
      </c>
      <c r="AE36" s="3536"/>
      <c r="AF36" s="3536"/>
      <c r="AG36" s="3536"/>
      <c r="AH36" s="3536"/>
      <c r="AI36" s="3536"/>
      <c r="AJ36" s="3536"/>
      <c r="AK36" s="3536"/>
      <c r="AL36" s="3536"/>
      <c r="AM36" s="3536"/>
      <c r="AN36" s="3536"/>
      <c r="AO36" s="3536"/>
      <c r="AP36" s="3536"/>
      <c r="AQ36" s="3536"/>
      <c r="AR36" s="3536"/>
      <c r="AS36" s="3536"/>
      <c r="AT36" s="3536"/>
      <c r="AU36" s="3536"/>
      <c r="AV36" s="3536"/>
      <c r="AW36" s="3536"/>
      <c r="AX36" s="3536"/>
      <c r="AY36" s="3536"/>
      <c r="AZ36" s="3536"/>
      <c r="BA36" s="3536"/>
      <c r="BB36" s="3536"/>
      <c r="BC36" s="2070"/>
      <c r="BD36" s="1459"/>
      <c r="BE36" s="1459"/>
      <c r="BF36" s="1034" t="s">
        <v>1647</v>
      </c>
    </row>
    <row customHeight="1" ht="14.625" hidden="1">
      <c r="A37" s="1459"/>
      <c r="B37" s="1416"/>
      <c r="C37" s="1459"/>
      <c r="D37" s="1459"/>
      <c r="E37" s="628">
        <v>15</v>
      </c>
      <c r="F37" s="50" cm="1" t="str">
        <f t="array" ref="F37:F37">OFFSET(E37,-1,1)</f>
        <v>0</v>
      </c>
      <c r="G37" s="104" t="s">
        <v>1648</v>
      </c>
      <c r="H37" s="1459"/>
      <c r="I37" s="1459"/>
      <c r="J37" s="1459"/>
      <c r="K37" s="1459"/>
      <c r="L37" s="1459"/>
      <c r="M37" s="1459"/>
      <c r="N37" s="1459"/>
      <c r="O37" s="1459"/>
      <c r="P37" s="1459"/>
      <c r="Q37" s="1459"/>
      <c r="R37" s="1459"/>
      <c r="S37" s="1459"/>
      <c r="T37" s="465" cm="1" t="str">
        <f t="array" ref="T37:T37">T36</f>
        <v>false</v>
      </c>
      <c r="U37" s="1459"/>
      <c r="V37" s="1459"/>
      <c r="W37" s="1459"/>
      <c r="X37" s="1596"/>
      <c r="Y37" s="1459"/>
      <c r="Z37" s="1597"/>
      <c r="AA37" s="1459"/>
      <c r="AB37" s="88" t="s">
        <v>1258</v>
      </c>
      <c r="AC37" s="214" t="s">
        <v>1635</v>
      </c>
      <c r="AD37" s="89" t="s">
        <v>1514</v>
      </c>
      <c r="AE37" s="3536"/>
      <c r="AF37" s="3536"/>
      <c r="AG37" s="3536"/>
      <c r="AH37" s="3536"/>
      <c r="AI37" s="3536"/>
      <c r="AJ37" s="3536"/>
      <c r="AK37" s="3536"/>
      <c r="AL37" s="3536"/>
      <c r="AM37" s="3536"/>
      <c r="AN37" s="3536"/>
      <c r="AO37" s="3536"/>
      <c r="AP37" s="3536"/>
      <c r="AQ37" s="3536"/>
      <c r="AR37" s="3536"/>
      <c r="AS37" s="3536"/>
      <c r="AT37" s="3536"/>
      <c r="AU37" s="3536"/>
      <c r="AV37" s="3536"/>
      <c r="AW37" s="3536"/>
      <c r="AX37" s="3536"/>
      <c r="AY37" s="3536"/>
      <c r="AZ37" s="3536"/>
      <c r="BA37" s="3536"/>
      <c r="BB37" s="3536"/>
      <c r="BC37" s="2070"/>
      <c r="BD37" s="1459"/>
      <c r="BE37" s="1459"/>
      <c r="BF37" s="1034" t="s">
        <v>1649</v>
      </c>
    </row>
    <row customHeight="1" ht="14.625" hidden="1">
      <c r="A38" s="1459"/>
      <c r="B38" s="1416"/>
      <c r="C38" s="1459"/>
      <c r="D38" s="1459"/>
      <c r="E38" s="628">
        <v>15</v>
      </c>
      <c r="F38" s="50" cm="1" t="str">
        <f t="array" ref="F38:F38">OFFSET(E38,-1,1)</f>
        <v>0</v>
      </c>
      <c r="G38" s="104" t="s">
        <v>1650</v>
      </c>
      <c r="H38" s="1459"/>
      <c r="I38" s="1459"/>
      <c r="J38" s="1459"/>
      <c r="K38" s="1459"/>
      <c r="L38" s="1459"/>
      <c r="M38" s="1459"/>
      <c r="N38" s="1459"/>
      <c r="O38" s="1459"/>
      <c r="P38" s="1459"/>
      <c r="Q38" s="1459"/>
      <c r="R38" s="1459"/>
      <c r="S38" s="1459"/>
      <c r="T38" s="465" cm="1" t="str">
        <f t="array" ref="T38:T38">T37</f>
        <v>false</v>
      </c>
      <c r="U38" s="1459"/>
      <c r="V38" s="1459"/>
      <c r="W38" s="1459"/>
      <c r="X38" s="1596"/>
      <c r="Y38" s="1459"/>
      <c r="Z38" s="1597"/>
      <c r="AA38" s="1459"/>
      <c r="AB38" s="88" t="s">
        <v>1651</v>
      </c>
      <c r="AC38" s="214" t="s">
        <v>1638</v>
      </c>
      <c r="AD38" s="89" t="s">
        <v>1514</v>
      </c>
      <c r="AE38" s="3536"/>
      <c r="AF38" s="3536"/>
      <c r="AG38" s="3536"/>
      <c r="AH38" s="3536"/>
      <c r="AI38" s="3536"/>
      <c r="AJ38" s="3536"/>
      <c r="AK38" s="3536"/>
      <c r="AL38" s="3536"/>
      <c r="AM38" s="3536"/>
      <c r="AN38" s="3536"/>
      <c r="AO38" s="3536"/>
      <c r="AP38" s="3536"/>
      <c r="AQ38" s="3536"/>
      <c r="AR38" s="3536"/>
      <c r="AS38" s="3536"/>
      <c r="AT38" s="3536"/>
      <c r="AU38" s="3536"/>
      <c r="AV38" s="3536"/>
      <c r="AW38" s="3536"/>
      <c r="AX38" s="3536"/>
      <c r="AY38" s="3536"/>
      <c r="AZ38" s="3536"/>
      <c r="BA38" s="3536"/>
      <c r="BB38" s="3536"/>
      <c r="BC38" s="2070"/>
      <c r="BD38" s="1459"/>
      <c r="BE38" s="1459"/>
      <c r="BF38" s="1034" t="s">
        <v>1652</v>
      </c>
    </row>
    <row customHeight="1" ht="14.625" hidden="1">
      <c r="A39" s="1459"/>
      <c r="B39" s="1416"/>
      <c r="C39" s="1459"/>
      <c r="D39" s="1459"/>
      <c r="E39" s="628">
        <v>15</v>
      </c>
      <c r="F39" s="50" cm="1" t="str">
        <f t="array" ref="F39:F39">OFFSET(E39,-1,1)</f>
        <v>0</v>
      </c>
      <c r="G39" s="104" t="s">
        <v>1653</v>
      </c>
      <c r="H39" s="1459"/>
      <c r="I39" s="1459"/>
      <c r="J39" s="1459"/>
      <c r="K39" s="1459"/>
      <c r="L39" s="1459"/>
      <c r="M39" s="1459"/>
      <c r="N39" s="1459"/>
      <c r="O39" s="1459"/>
      <c r="P39" s="1459"/>
      <c r="Q39" s="1459"/>
      <c r="R39" s="1459"/>
      <c r="S39" s="1459"/>
      <c r="T39" s="465" cm="1" t="str">
        <f t="array" ref="T39:T39">T38</f>
        <v>false</v>
      </c>
      <c r="U39" s="1459"/>
      <c r="V39" s="1459"/>
      <c r="W39" s="1459"/>
      <c r="X39" s="1596"/>
      <c r="Y39" s="1459"/>
      <c r="Z39" s="1597"/>
      <c r="AA39" s="1459"/>
      <c r="AB39" s="88" t="s">
        <v>1654</v>
      </c>
      <c r="AC39" s="214" t="s">
        <v>1642</v>
      </c>
      <c r="AD39" s="89" t="s">
        <v>1514</v>
      </c>
      <c r="AE39" s="3536"/>
      <c r="AF39" s="3536"/>
      <c r="AG39" s="3536"/>
      <c r="AH39" s="3536"/>
      <c r="AI39" s="3536"/>
      <c r="AJ39" s="3536"/>
      <c r="AK39" s="3536"/>
      <c r="AL39" s="3536"/>
      <c r="AM39" s="3536"/>
      <c r="AN39" s="3536"/>
      <c r="AO39" s="3536"/>
      <c r="AP39" s="3536"/>
      <c r="AQ39" s="3536"/>
      <c r="AR39" s="3536"/>
      <c r="AS39" s="3536"/>
      <c r="AT39" s="3536"/>
      <c r="AU39" s="3536"/>
      <c r="AV39" s="3536"/>
      <c r="AW39" s="3536"/>
      <c r="AX39" s="3536"/>
      <c r="AY39" s="3536"/>
      <c r="AZ39" s="3536"/>
      <c r="BA39" s="3536"/>
      <c r="BB39" s="3536"/>
      <c r="BC39" s="2070"/>
      <c r="BD39" s="1459"/>
      <c r="BE39" s="1459"/>
      <c r="BF39" s="1034" t="s">
        <v>1655</v>
      </c>
    </row>
    <row s="525" customFormat="1" customHeight="1" ht="14.625" hidden="1">
      <c r="A40" s="525"/>
      <c r="B40" s="431"/>
      <c r="C40" s="525"/>
      <c r="D40" s="525"/>
      <c r="E40" s="628">
        <v>15</v>
      </c>
      <c r="F40" s="50" cm="1" t="str">
        <f t="array" ref="F40:F40">OFFSET(E40,-1,1)</f>
        <v>0</v>
      </c>
      <c r="G40" s="104" t="s">
        <v>334</v>
      </c>
      <c r="H40" s="525"/>
      <c r="I40" s="525"/>
      <c r="J40" s="525"/>
      <c r="K40" s="525"/>
      <c r="L40" s="525"/>
      <c r="M40" s="525"/>
      <c r="N40" s="525"/>
      <c r="O40" s="525"/>
      <c r="P40" s="525"/>
      <c r="Q40" s="525"/>
      <c r="R40" s="525"/>
      <c r="S40" s="525"/>
      <c r="T40" s="465" cm="1" t="str">
        <f t="array" ref="T40:T40">T39</f>
        <v>false</v>
      </c>
      <c r="U40" s="525"/>
      <c r="V40" s="525"/>
      <c r="W40" s="525"/>
      <c r="X40" s="1596"/>
      <c r="Y40" s="525"/>
      <c r="Z40" s="1597"/>
      <c r="AA40" s="525"/>
      <c r="AB40" s="211">
        <v>3</v>
      </c>
      <c r="AC40" s="212" t="s">
        <v>1656</v>
      </c>
      <c r="AD40" s="89" t="s">
        <v>1514</v>
      </c>
      <c r="AE40" s="3534">
        <f>SUM(AE41:AE45)</f>
        <v>0</v>
      </c>
      <c r="AF40" s="3534">
        <f>SUM(AF41:AF45)</f>
        <v>0</v>
      </c>
      <c r="AG40" s="3534">
        <f>SUM(AG41:AG45)</f>
        <v>0</v>
      </c>
      <c r="AH40" s="3534">
        <f>SUM(AH41:AH45)</f>
        <v>0</v>
      </c>
      <c r="AI40" s="3534">
        <f>SUM(AI41:AI45)</f>
        <v>0</v>
      </c>
      <c r="AJ40" s="3534">
        <f>SUM(AJ41:AJ45)</f>
        <v>0</v>
      </c>
      <c r="AK40" s="3534">
        <f>SUM(AK41:AK45)</f>
        <v>0</v>
      </c>
      <c r="AL40" s="3534">
        <f>SUM(AL41:AL45)</f>
        <v>0</v>
      </c>
      <c r="AM40" s="3534">
        <f>SUM(AM41:AM45)</f>
        <v>0</v>
      </c>
      <c r="AN40" s="3534">
        <f>SUM(AN41:AN45)</f>
        <v>0</v>
      </c>
      <c r="AO40" s="3534">
        <f>SUM(AO41:AO45)</f>
        <v>0</v>
      </c>
      <c r="AP40" s="3534">
        <f>SUM(AP41:AP45)</f>
        <v>0</v>
      </c>
      <c r="AQ40" s="3534">
        <f>SUM(AQ41:AQ45)</f>
        <v>0</v>
      </c>
      <c r="AR40" s="3534">
        <f>SUM(AR41:AR45)</f>
        <v>0</v>
      </c>
      <c r="AS40" s="3534">
        <f>SUM(AS41:AS45)</f>
        <v>0</v>
      </c>
      <c r="AT40" s="3534">
        <f>SUM(AT41:AT45)</f>
        <v>0</v>
      </c>
      <c r="AU40" s="3534">
        <f>SUM(AU41:AU45)</f>
        <v>0</v>
      </c>
      <c r="AV40" s="3534">
        <f>SUM(AV41:AV45)</f>
        <v>0</v>
      </c>
      <c r="AW40" s="3534">
        <f>SUM(AW41:AW45)</f>
        <v>0</v>
      </c>
      <c r="AX40" s="3534">
        <f>SUM(AX41:AX45)</f>
        <v>0</v>
      </c>
      <c r="AY40" s="3534">
        <f>SUM(AY41:AY45)</f>
        <v>0</v>
      </c>
      <c r="AZ40" s="3534">
        <f>SUM(AZ41:AZ45)</f>
        <v>0</v>
      </c>
      <c r="BA40" s="3534">
        <f>SUM(BA41:BA45)</f>
        <v>0</v>
      </c>
      <c r="BB40" s="3534">
        <f>SUM(BB41:BB45)</f>
        <v>0</v>
      </c>
      <c r="BC40" s="2070"/>
      <c r="BD40" s="525"/>
      <c r="BE40" s="525"/>
      <c r="BF40" s="1034" t="s">
        <v>1657</v>
      </c>
    </row>
    <row customHeight="1" ht="14.625" hidden="1">
      <c r="A41" s="1459"/>
      <c r="B41" s="1416"/>
      <c r="C41" s="1459"/>
      <c r="D41" s="1459"/>
      <c r="E41" s="628">
        <v>15</v>
      </c>
      <c r="F41" s="50" cm="1" t="str">
        <f t="array" ref="F41:F41">OFFSET(E41,-1,1)</f>
        <v>0</v>
      </c>
      <c r="G41" s="104" t="s">
        <v>1658</v>
      </c>
      <c r="H41" s="1459"/>
      <c r="I41" s="1459"/>
      <c r="J41" s="1459"/>
      <c r="K41" s="1459"/>
      <c r="L41" s="1459"/>
      <c r="M41" s="1459"/>
      <c r="N41" s="1459"/>
      <c r="O41" s="1459"/>
      <c r="P41" s="1459"/>
      <c r="Q41" s="1459"/>
      <c r="R41" s="1459"/>
      <c r="S41" s="1459"/>
      <c r="T41" s="465" cm="1" t="str">
        <f t="array" ref="T41:T41">T40</f>
        <v>false</v>
      </c>
      <c r="U41" s="1459"/>
      <c r="V41" s="1459"/>
      <c r="W41" s="1459"/>
      <c r="X41" s="1596"/>
      <c r="Y41" s="1459"/>
      <c r="Z41" s="1597"/>
      <c r="AA41" s="1459"/>
      <c r="AB41" s="88" t="s">
        <v>1264</v>
      </c>
      <c r="AC41" s="214" t="s">
        <v>1629</v>
      </c>
      <c r="AD41" s="89" t="s">
        <v>1514</v>
      </c>
      <c r="AE41" s="3536"/>
      <c r="AF41" s="3536"/>
      <c r="AG41" s="3536"/>
      <c r="AH41" s="3536"/>
      <c r="AI41" s="3536"/>
      <c r="AJ41" s="3536"/>
      <c r="AK41" s="3536"/>
      <c r="AL41" s="3536"/>
      <c r="AM41" s="3536"/>
      <c r="AN41" s="3536"/>
      <c r="AO41" s="3536"/>
      <c r="AP41" s="3536"/>
      <c r="AQ41" s="3536"/>
      <c r="AR41" s="3536"/>
      <c r="AS41" s="3536"/>
      <c r="AT41" s="3536"/>
      <c r="AU41" s="3536"/>
      <c r="AV41" s="3536"/>
      <c r="AW41" s="3536"/>
      <c r="AX41" s="3536"/>
      <c r="AY41" s="3536"/>
      <c r="AZ41" s="3536"/>
      <c r="BA41" s="3536"/>
      <c r="BB41" s="3536"/>
      <c r="BC41" s="2070"/>
      <c r="BD41" s="1459"/>
      <c r="BE41" s="1459"/>
      <c r="BF41" s="1034" t="s">
        <v>1659</v>
      </c>
    </row>
    <row customHeight="1" ht="14.625" hidden="1">
      <c r="A42" s="1459"/>
      <c r="B42" s="1416"/>
      <c r="C42" s="1459"/>
      <c r="D42" s="1459"/>
      <c r="E42" s="628">
        <v>15</v>
      </c>
      <c r="F42" s="50" cm="1" t="str">
        <f t="array" ref="F42:F42">OFFSET(E42,-1,1)</f>
        <v>0</v>
      </c>
      <c r="G42" s="104" t="s">
        <v>1660</v>
      </c>
      <c r="H42" s="1459"/>
      <c r="I42" s="1459"/>
      <c r="J42" s="1459"/>
      <c r="K42" s="1459"/>
      <c r="L42" s="1459"/>
      <c r="M42" s="1459"/>
      <c r="N42" s="1459"/>
      <c r="O42" s="1459"/>
      <c r="P42" s="1459"/>
      <c r="Q42" s="1459"/>
      <c r="R42" s="1459"/>
      <c r="S42" s="1459"/>
      <c r="T42" s="465" cm="1" t="str">
        <f t="array" ref="T42:T42">T41</f>
        <v>false</v>
      </c>
      <c r="U42" s="1459"/>
      <c r="V42" s="1459"/>
      <c r="W42" s="1459"/>
      <c r="X42" s="1596"/>
      <c r="Y42" s="1459"/>
      <c r="Z42" s="1597"/>
      <c r="AA42" s="1459"/>
      <c r="AB42" s="88" t="s">
        <v>1268</v>
      </c>
      <c r="AC42" s="214" t="s">
        <v>1632</v>
      </c>
      <c r="AD42" s="89" t="s">
        <v>1514</v>
      </c>
      <c r="AE42" s="3536"/>
      <c r="AF42" s="3536"/>
      <c r="AG42" s="3536"/>
      <c r="AH42" s="3536"/>
      <c r="AI42" s="3536"/>
      <c r="AJ42" s="3536"/>
      <c r="AK42" s="3536"/>
      <c r="AL42" s="3536"/>
      <c r="AM42" s="3536"/>
      <c r="AN42" s="3536"/>
      <c r="AO42" s="3536"/>
      <c r="AP42" s="3536"/>
      <c r="AQ42" s="3536"/>
      <c r="AR42" s="3536"/>
      <c r="AS42" s="3536"/>
      <c r="AT42" s="3536"/>
      <c r="AU42" s="3536"/>
      <c r="AV42" s="3536"/>
      <c r="AW42" s="3536"/>
      <c r="AX42" s="3536"/>
      <c r="AY42" s="3536"/>
      <c r="AZ42" s="3536"/>
      <c r="BA42" s="3536"/>
      <c r="BB42" s="3536"/>
      <c r="BC42" s="2070"/>
      <c r="BD42" s="1459"/>
      <c r="BE42" s="1459"/>
      <c r="BF42" s="1034" t="s">
        <v>1661</v>
      </c>
    </row>
    <row customHeight="1" ht="14.625" hidden="1">
      <c r="A43" s="1459"/>
      <c r="B43" s="1416"/>
      <c r="C43" s="1459"/>
      <c r="D43" s="1459"/>
      <c r="E43" s="628">
        <v>15</v>
      </c>
      <c r="F43" s="50" cm="1" t="str">
        <f t="array" ref="F43:F43">OFFSET(E43,-1,1)</f>
        <v>0</v>
      </c>
      <c r="G43" s="104" t="s">
        <v>1662</v>
      </c>
      <c r="H43" s="1459"/>
      <c r="I43" s="1459"/>
      <c r="J43" s="1459"/>
      <c r="K43" s="1459"/>
      <c r="L43" s="1459"/>
      <c r="M43" s="1459"/>
      <c r="N43" s="1459"/>
      <c r="O43" s="1459"/>
      <c r="P43" s="1459"/>
      <c r="Q43" s="1459"/>
      <c r="R43" s="1459"/>
      <c r="S43" s="1459"/>
      <c r="T43" s="465" cm="1" t="str">
        <f t="array" ref="T43:T43">T42</f>
        <v>false</v>
      </c>
      <c r="U43" s="1459"/>
      <c r="V43" s="1459"/>
      <c r="W43" s="1459"/>
      <c r="X43" s="1596"/>
      <c r="Y43" s="1459"/>
      <c r="Z43" s="1597"/>
      <c r="AA43" s="1459"/>
      <c r="AB43" s="88" t="s">
        <v>1480</v>
      </c>
      <c r="AC43" s="214" t="s">
        <v>1635</v>
      </c>
      <c r="AD43" s="89" t="s">
        <v>1514</v>
      </c>
      <c r="AE43" s="3536"/>
      <c r="AF43" s="3536"/>
      <c r="AG43" s="3536"/>
      <c r="AH43" s="3536"/>
      <c r="AI43" s="3536"/>
      <c r="AJ43" s="3536"/>
      <c r="AK43" s="3536"/>
      <c r="AL43" s="3536"/>
      <c r="AM43" s="3536"/>
      <c r="AN43" s="3536"/>
      <c r="AO43" s="3536"/>
      <c r="AP43" s="3536"/>
      <c r="AQ43" s="3536"/>
      <c r="AR43" s="3536"/>
      <c r="AS43" s="3536"/>
      <c r="AT43" s="3536"/>
      <c r="AU43" s="3536"/>
      <c r="AV43" s="3536"/>
      <c r="AW43" s="3536"/>
      <c r="AX43" s="3536"/>
      <c r="AY43" s="3536"/>
      <c r="AZ43" s="3536"/>
      <c r="BA43" s="3536"/>
      <c r="BB43" s="3536"/>
      <c r="BC43" s="2070"/>
      <c r="BD43" s="1459"/>
      <c r="BE43" s="1459"/>
      <c r="BF43" s="1034" t="s">
        <v>1663</v>
      </c>
    </row>
    <row customHeight="1" ht="14.625" hidden="1">
      <c r="A44" s="1459"/>
      <c r="B44" s="1416"/>
      <c r="C44" s="1459"/>
      <c r="D44" s="1459"/>
      <c r="E44" s="628">
        <v>15</v>
      </c>
      <c r="F44" s="50" cm="1" t="str">
        <f t="array" ref="F44:F44">OFFSET(E44,-1,1)</f>
        <v>0</v>
      </c>
      <c r="G44" s="104" t="s">
        <v>1664</v>
      </c>
      <c r="H44" s="1459"/>
      <c r="I44" s="1459"/>
      <c r="J44" s="1459"/>
      <c r="K44" s="1459"/>
      <c r="L44" s="1459"/>
      <c r="M44" s="1459"/>
      <c r="N44" s="1459"/>
      <c r="O44" s="1459"/>
      <c r="P44" s="1459"/>
      <c r="Q44" s="1459"/>
      <c r="R44" s="1459"/>
      <c r="S44" s="1459"/>
      <c r="T44" s="465" cm="1" t="str">
        <f t="array" ref="T44:T44">T43</f>
        <v>false</v>
      </c>
      <c r="U44" s="1459"/>
      <c r="V44" s="1459"/>
      <c r="W44" s="1459"/>
      <c r="X44" s="1596"/>
      <c r="Y44" s="1459"/>
      <c r="Z44" s="1597"/>
      <c r="AA44" s="1459"/>
      <c r="AB44" s="88" t="s">
        <v>1665</v>
      </c>
      <c r="AC44" s="214" t="s">
        <v>1638</v>
      </c>
      <c r="AD44" s="89" t="s">
        <v>1514</v>
      </c>
      <c r="AE44" s="3536"/>
      <c r="AF44" s="3536"/>
      <c r="AG44" s="3536"/>
      <c r="AH44" s="3536"/>
      <c r="AI44" s="3536"/>
      <c r="AJ44" s="3536"/>
      <c r="AK44" s="3536"/>
      <c r="AL44" s="3536"/>
      <c r="AM44" s="3536"/>
      <c r="AN44" s="3536"/>
      <c r="AO44" s="3536"/>
      <c r="AP44" s="3536"/>
      <c r="AQ44" s="3536"/>
      <c r="AR44" s="3536"/>
      <c r="AS44" s="3536"/>
      <c r="AT44" s="3536"/>
      <c r="AU44" s="3536"/>
      <c r="AV44" s="3536"/>
      <c r="AW44" s="3536"/>
      <c r="AX44" s="3536"/>
      <c r="AY44" s="3536"/>
      <c r="AZ44" s="3536"/>
      <c r="BA44" s="3536"/>
      <c r="BB44" s="3536"/>
      <c r="BC44" s="2070"/>
      <c r="BD44" s="1459"/>
      <c r="BE44" s="1459"/>
      <c r="BF44" s="1034" t="s">
        <v>1666</v>
      </c>
    </row>
    <row customHeight="1" ht="14.625" hidden="1">
      <c r="A45" s="1459"/>
      <c r="B45" s="1416"/>
      <c r="C45" s="1459"/>
      <c r="D45" s="1459"/>
      <c r="E45" s="628">
        <v>15</v>
      </c>
      <c r="F45" s="50" cm="1" t="str">
        <f t="array" ref="F45:F45">OFFSET(E45,-1,1)</f>
        <v>0</v>
      </c>
      <c r="G45" s="104" t="s">
        <v>1667</v>
      </c>
      <c r="H45" s="1459"/>
      <c r="I45" s="1459"/>
      <c r="J45" s="1459"/>
      <c r="K45" s="1459"/>
      <c r="L45" s="1459"/>
      <c r="M45" s="1459"/>
      <c r="N45" s="1459"/>
      <c r="O45" s="1459"/>
      <c r="P45" s="1459"/>
      <c r="Q45" s="1459"/>
      <c r="R45" s="1459"/>
      <c r="S45" s="1459"/>
      <c r="T45" s="465" cm="1" t="str">
        <f t="array" ref="T45:T45">T44</f>
        <v>false</v>
      </c>
      <c r="U45" s="1459"/>
      <c r="V45" s="1459"/>
      <c r="W45" s="1459"/>
      <c r="X45" s="1596"/>
      <c r="Y45" s="1459"/>
      <c r="Z45" s="1597"/>
      <c r="AA45" s="1459"/>
      <c r="AB45" s="88" t="s">
        <v>1668</v>
      </c>
      <c r="AC45" s="214" t="s">
        <v>1642</v>
      </c>
      <c r="AD45" s="89" t="s">
        <v>1514</v>
      </c>
      <c r="AE45" s="3536"/>
      <c r="AF45" s="3536"/>
      <c r="AG45" s="3536"/>
      <c r="AH45" s="3536"/>
      <c r="AI45" s="3536"/>
      <c r="AJ45" s="3536"/>
      <c r="AK45" s="3536"/>
      <c r="AL45" s="3536"/>
      <c r="AM45" s="3536"/>
      <c r="AN45" s="3536"/>
      <c r="AO45" s="3536"/>
      <c r="AP45" s="3536"/>
      <c r="AQ45" s="3536"/>
      <c r="AR45" s="3536"/>
      <c r="AS45" s="3536"/>
      <c r="AT45" s="3536"/>
      <c r="AU45" s="3536"/>
      <c r="AV45" s="3536"/>
      <c r="AW45" s="3536"/>
      <c r="AX45" s="3536"/>
      <c r="AY45" s="3536"/>
      <c r="AZ45" s="3536"/>
      <c r="BA45" s="3536"/>
      <c r="BB45" s="3536"/>
      <c r="BC45" s="2070"/>
      <c r="BD45" s="1459"/>
      <c r="BE45" s="1459"/>
      <c r="BF45" s="1034" t="s">
        <v>1669</v>
      </c>
    </row>
    <row s="525" customFormat="1" customHeight="1" ht="21.9375" hidden="1">
      <c r="A46" s="525"/>
      <c r="B46" s="431"/>
      <c r="C46" s="525"/>
      <c r="D46" s="525"/>
      <c r="E46" s="669">
        <v>22.5</v>
      </c>
      <c r="F46" s="50" cm="1" t="str">
        <f t="array" ref="F46:F46">OFFSET(E46,-1,1)</f>
        <v>0</v>
      </c>
      <c r="G46" s="104" t="s">
        <v>336</v>
      </c>
      <c r="H46" s="525"/>
      <c r="I46" s="525"/>
      <c r="J46" s="525"/>
      <c r="K46" s="525"/>
      <c r="L46" s="525"/>
      <c r="M46" s="525"/>
      <c r="N46" s="525"/>
      <c r="O46" s="525"/>
      <c r="P46" s="525"/>
      <c r="Q46" s="525"/>
      <c r="R46" s="525"/>
      <c r="S46" s="525"/>
      <c r="T46" s="465" cm="1" t="str">
        <f t="array" ref="T46:T46">T45</f>
        <v>false</v>
      </c>
      <c r="U46" s="525"/>
      <c r="V46" s="525"/>
      <c r="W46" s="525"/>
      <c r="X46" s="1596"/>
      <c r="Y46" s="525"/>
      <c r="Z46" s="1597"/>
      <c r="AA46" s="525"/>
      <c r="AB46" s="211">
        <v>4</v>
      </c>
      <c r="AC46" s="212" t="s">
        <v>1670</v>
      </c>
      <c r="AD46" s="89" t="s">
        <v>1514</v>
      </c>
      <c r="AE46" s="3534">
        <f>SUM(AE47:AE51)</f>
        <v>0</v>
      </c>
      <c r="AF46" s="3534">
        <f>SUM(AF47:AF51)</f>
        <v>0</v>
      </c>
      <c r="AG46" s="3534">
        <f>SUM(AG47:AG51)</f>
        <v>0</v>
      </c>
      <c r="AH46" s="3534">
        <f>SUM(AH47:AH51)</f>
        <v>0</v>
      </c>
      <c r="AI46" s="3534">
        <f>SUM(AI47:AI51)</f>
        <v>0</v>
      </c>
      <c r="AJ46" s="3534">
        <f>SUM(AJ47:AJ51)</f>
        <v>0</v>
      </c>
      <c r="AK46" s="3534">
        <f>SUM(AK47:AK51)</f>
        <v>0</v>
      </c>
      <c r="AL46" s="3534">
        <f>SUM(AL47:AL51)</f>
        <v>0</v>
      </c>
      <c r="AM46" s="3534">
        <f>SUM(AM47:AM51)</f>
        <v>0</v>
      </c>
      <c r="AN46" s="3534">
        <f>SUM(AN47:AN51)</f>
        <v>0</v>
      </c>
      <c r="AO46" s="3534">
        <f>SUM(AO47:AO51)</f>
        <v>0</v>
      </c>
      <c r="AP46" s="3534">
        <f>SUM(AP47:AP51)</f>
        <v>0</v>
      </c>
      <c r="AQ46" s="3534">
        <f>SUM(AQ47:AQ51)</f>
        <v>0</v>
      </c>
      <c r="AR46" s="3534">
        <f>SUM(AR47:AR51)</f>
        <v>0</v>
      </c>
      <c r="AS46" s="3534">
        <f>SUM(AS47:AS51)</f>
        <v>0</v>
      </c>
      <c r="AT46" s="3534">
        <f>SUM(AT47:AT51)</f>
        <v>0</v>
      </c>
      <c r="AU46" s="3534">
        <f>SUM(AU47:AU51)</f>
        <v>0</v>
      </c>
      <c r="AV46" s="3534">
        <f>SUM(AV47:AV51)</f>
        <v>0</v>
      </c>
      <c r="AW46" s="3534">
        <f>SUM(AW47:AW51)</f>
        <v>0</v>
      </c>
      <c r="AX46" s="3534">
        <f>SUM(AX47:AX51)</f>
        <v>0</v>
      </c>
      <c r="AY46" s="3534">
        <f>SUM(AY47:AY51)</f>
        <v>0</v>
      </c>
      <c r="AZ46" s="3534">
        <f>SUM(AZ47:AZ51)</f>
        <v>0</v>
      </c>
      <c r="BA46" s="3534">
        <f>SUM(BA47:BA51)</f>
        <v>0</v>
      </c>
      <c r="BB46" s="3534">
        <f>SUM(BB47:BB51)</f>
        <v>0</v>
      </c>
      <c r="BC46" s="2070"/>
      <c r="BD46" s="525"/>
      <c r="BE46" s="525"/>
      <c r="BF46" s="1034" t="s">
        <v>1671</v>
      </c>
    </row>
    <row customHeight="1" ht="14.625" hidden="1">
      <c r="A47" s="1459"/>
      <c r="B47" s="1416"/>
      <c r="C47" s="1459"/>
      <c r="D47" s="1459"/>
      <c r="E47" s="628">
        <v>15</v>
      </c>
      <c r="F47" s="50" cm="1" t="str">
        <f t="array" ref="F47:F47">OFFSET(E47,-1,1)</f>
        <v>0</v>
      </c>
      <c r="G47" s="104" t="s">
        <v>1249</v>
      </c>
      <c r="H47" s="1459"/>
      <c r="I47" s="1459"/>
      <c r="J47" s="1459"/>
      <c r="K47" s="1459"/>
      <c r="L47" s="1459"/>
      <c r="M47" s="1459"/>
      <c r="N47" s="1459"/>
      <c r="O47" s="1459"/>
      <c r="P47" s="1459"/>
      <c r="Q47" s="1459"/>
      <c r="R47" s="1459"/>
      <c r="S47" s="1459"/>
      <c r="T47" s="465" cm="1" t="str">
        <f t="array" ref="T47:T47">T46</f>
        <v>false</v>
      </c>
      <c r="U47" s="1459"/>
      <c r="V47" s="1459"/>
      <c r="W47" s="1459"/>
      <c r="X47" s="1596"/>
      <c r="Y47" s="1459"/>
      <c r="Z47" s="1597"/>
      <c r="AA47" s="1459"/>
      <c r="AB47" s="88" t="s">
        <v>1384</v>
      </c>
      <c r="AC47" s="214" t="s">
        <v>1629</v>
      </c>
      <c r="AD47" s="89" t="s">
        <v>1514</v>
      </c>
      <c r="AE47" s="3536">
        <f>AE29+AE35-AE41</f>
        <v>0</v>
      </c>
      <c r="AF47" s="3536">
        <f>AF29+AF35-AF41</f>
        <v>0</v>
      </c>
      <c r="AG47" s="3536">
        <f>AG29+AG35-AG41</f>
        <v>0</v>
      </c>
      <c r="AH47" s="3536">
        <f>AH29+AH35-AH41</f>
        <v>0</v>
      </c>
      <c r="AI47" s="3536">
        <f>AI29+AI35-AI41</f>
        <v>0</v>
      </c>
      <c r="AJ47" s="3536">
        <f>AJ29+AJ35-AJ41</f>
        <v>0</v>
      </c>
      <c r="AK47" s="3536">
        <f>AK29+AK35-AK41</f>
        <v>0</v>
      </c>
      <c r="AL47" s="3536">
        <f>AL29+AL35-AL41</f>
        <v>0</v>
      </c>
      <c r="AM47" s="3536">
        <f>AM29+AM35-AM41</f>
        <v>0</v>
      </c>
      <c r="AN47" s="3536">
        <f>AN29+AN35-AN41</f>
        <v>0</v>
      </c>
      <c r="AO47" s="3536">
        <f>AO29+AO35-AO41</f>
        <v>0</v>
      </c>
      <c r="AP47" s="3536">
        <f>AP29+AP35-AP41</f>
        <v>0</v>
      </c>
      <c r="AQ47" s="3536">
        <f>AQ29+AQ35-AQ41</f>
        <v>0</v>
      </c>
      <c r="AR47" s="3536">
        <f>AR29+AR35-AR41</f>
        <v>0</v>
      </c>
      <c r="AS47" s="3536">
        <f>AS29+AS35-AS41</f>
        <v>0</v>
      </c>
      <c r="AT47" s="3536">
        <f>AT29+AT35-AT41</f>
        <v>0</v>
      </c>
      <c r="AU47" s="3536">
        <f>AU29+AU35-AU41</f>
        <v>0</v>
      </c>
      <c r="AV47" s="3536">
        <f>AV29+AV35-AV41</f>
        <v>0</v>
      </c>
      <c r="AW47" s="3536">
        <f>AW29+AW35-AW41</f>
        <v>0</v>
      </c>
      <c r="AX47" s="3536">
        <f>AX29+AX35-AX41</f>
        <v>0</v>
      </c>
      <c r="AY47" s="3536">
        <f>AY29+AY35-AY41</f>
        <v>0</v>
      </c>
      <c r="AZ47" s="3536">
        <f>AZ29+AZ35-AZ41</f>
        <v>0</v>
      </c>
      <c r="BA47" s="3536">
        <f>BA29+BA35-BA41</f>
        <v>0</v>
      </c>
      <c r="BB47" s="3536">
        <f>BB29+BB35-BB41</f>
        <v>0</v>
      </c>
      <c r="BC47" s="2070"/>
      <c r="BD47" s="1459"/>
      <c r="BE47" s="1459"/>
      <c r="BF47" s="1034" t="s">
        <v>1672</v>
      </c>
    </row>
    <row customHeight="1" ht="14.625" hidden="1">
      <c r="A48" s="1459"/>
      <c r="B48" s="1416"/>
      <c r="C48" s="1459"/>
      <c r="D48" s="1459"/>
      <c r="E48" s="628">
        <v>15</v>
      </c>
      <c r="F48" s="50" cm="1" t="str">
        <f t="array" ref="F48:F48">OFFSET(E48,-1,1)</f>
        <v>0</v>
      </c>
      <c r="G48" s="104" t="s">
        <v>1253</v>
      </c>
      <c r="H48" s="1459"/>
      <c r="I48" s="1459"/>
      <c r="J48" s="1459"/>
      <c r="K48" s="1459"/>
      <c r="L48" s="1459"/>
      <c r="M48" s="1459"/>
      <c r="N48" s="1459"/>
      <c r="O48" s="1459"/>
      <c r="P48" s="1459"/>
      <c r="Q48" s="1459"/>
      <c r="R48" s="1459"/>
      <c r="S48" s="1459"/>
      <c r="T48" s="465" cm="1" t="str">
        <f t="array" ref="T48:T48">T47</f>
        <v>false</v>
      </c>
      <c r="U48" s="1459"/>
      <c r="V48" s="1459"/>
      <c r="W48" s="1459"/>
      <c r="X48" s="1596"/>
      <c r="Y48" s="1459"/>
      <c r="Z48" s="1597"/>
      <c r="AA48" s="1459"/>
      <c r="AB48" s="88" t="s">
        <v>1387</v>
      </c>
      <c r="AC48" s="214" t="s">
        <v>1632</v>
      </c>
      <c r="AD48" s="89" t="s">
        <v>1514</v>
      </c>
      <c r="AE48" s="3536">
        <f>AE30+AE36-AE42</f>
        <v>0</v>
      </c>
      <c r="AF48" s="3536">
        <f>AF30+AF36-AF42</f>
        <v>0</v>
      </c>
      <c r="AG48" s="3536">
        <f>AG30+AG36-AG42</f>
        <v>0</v>
      </c>
      <c r="AH48" s="3536">
        <f>AH30+AH36-AH42</f>
        <v>0</v>
      </c>
      <c r="AI48" s="3536">
        <f>AI30+AI36-AI42</f>
        <v>0</v>
      </c>
      <c r="AJ48" s="3536">
        <f>AJ30+AJ36-AJ42</f>
        <v>0</v>
      </c>
      <c r="AK48" s="3536">
        <f>AK30+AK36-AK42</f>
        <v>0</v>
      </c>
      <c r="AL48" s="3536">
        <f>AL30+AL36-AL42</f>
        <v>0</v>
      </c>
      <c r="AM48" s="3536">
        <f>AM30+AM36-AM42</f>
        <v>0</v>
      </c>
      <c r="AN48" s="3536">
        <f>AN30+AN36-AN42</f>
        <v>0</v>
      </c>
      <c r="AO48" s="3536">
        <f>AO30+AO36-AO42</f>
        <v>0</v>
      </c>
      <c r="AP48" s="3536">
        <f>AP30+AP36-AP42</f>
        <v>0</v>
      </c>
      <c r="AQ48" s="3536">
        <f>AQ30+AQ36-AQ42</f>
        <v>0</v>
      </c>
      <c r="AR48" s="3536">
        <f>AR30+AR36-AR42</f>
        <v>0</v>
      </c>
      <c r="AS48" s="3536">
        <f>AS30+AS36-AS42</f>
        <v>0</v>
      </c>
      <c r="AT48" s="3536">
        <f>AT30+AT36-AT42</f>
        <v>0</v>
      </c>
      <c r="AU48" s="3536">
        <f>AU30+AU36-AU42</f>
        <v>0</v>
      </c>
      <c r="AV48" s="3536">
        <f>AV30+AV36-AV42</f>
        <v>0</v>
      </c>
      <c r="AW48" s="3536">
        <f>AW30+AW36-AW42</f>
        <v>0</v>
      </c>
      <c r="AX48" s="3536">
        <f>AX30+AX36-AX42</f>
        <v>0</v>
      </c>
      <c r="AY48" s="3536">
        <f>AY30+AY36-AY42</f>
        <v>0</v>
      </c>
      <c r="AZ48" s="3536">
        <f>AZ30+AZ36-AZ42</f>
        <v>0</v>
      </c>
      <c r="BA48" s="3536">
        <f>BA30+BA36-BA42</f>
        <v>0</v>
      </c>
      <c r="BB48" s="3536">
        <f>BB30+BB36-BB42</f>
        <v>0</v>
      </c>
      <c r="BC48" s="2070"/>
      <c r="BD48" s="1459"/>
      <c r="BE48" s="1459"/>
      <c r="BF48" s="1034" t="s">
        <v>1673</v>
      </c>
    </row>
    <row customHeight="1" ht="14.625" hidden="1">
      <c r="A49" s="1459"/>
      <c r="B49" s="1416"/>
      <c r="C49" s="1459"/>
      <c r="D49" s="1459"/>
      <c r="E49" s="628">
        <v>15</v>
      </c>
      <c r="F49" s="50" cm="1" t="str">
        <f t="array" ref="F49:F49">OFFSET(E49,-1,1)</f>
        <v>0</v>
      </c>
      <c r="G49" s="104" t="s">
        <v>1257</v>
      </c>
      <c r="H49" s="1459"/>
      <c r="I49" s="1459"/>
      <c r="J49" s="1459"/>
      <c r="K49" s="1459"/>
      <c r="L49" s="1459"/>
      <c r="M49" s="1459"/>
      <c r="N49" s="1459"/>
      <c r="O49" s="1459"/>
      <c r="P49" s="1459"/>
      <c r="Q49" s="1459"/>
      <c r="R49" s="1459"/>
      <c r="S49" s="1459"/>
      <c r="T49" s="465" cm="1" t="str">
        <f t="array" ref="T49:T49">T48</f>
        <v>false</v>
      </c>
      <c r="U49" s="1459"/>
      <c r="V49" s="1459"/>
      <c r="W49" s="1459"/>
      <c r="X49" s="1596"/>
      <c r="Y49" s="1459"/>
      <c r="Z49" s="1597"/>
      <c r="AA49" s="1459"/>
      <c r="AB49" s="88" t="s">
        <v>1421</v>
      </c>
      <c r="AC49" s="214" t="s">
        <v>1635</v>
      </c>
      <c r="AD49" s="89" t="s">
        <v>1514</v>
      </c>
      <c r="AE49" s="3536">
        <f>AE31+AE37-AE43</f>
        <v>0</v>
      </c>
      <c r="AF49" s="3536">
        <f>AF31+AF37-AF43</f>
        <v>0</v>
      </c>
      <c r="AG49" s="3536">
        <f>AG31+AG37-AG43</f>
        <v>0</v>
      </c>
      <c r="AH49" s="3536">
        <f>AH31+AH37-AH43</f>
        <v>0</v>
      </c>
      <c r="AI49" s="3536">
        <f>AI31+AI37-AI43</f>
        <v>0</v>
      </c>
      <c r="AJ49" s="3536">
        <f>AJ31+AJ37-AJ43</f>
        <v>0</v>
      </c>
      <c r="AK49" s="3536">
        <f>AK31+AK37-AK43</f>
        <v>0</v>
      </c>
      <c r="AL49" s="3536">
        <f>AL31+AL37-AL43</f>
        <v>0</v>
      </c>
      <c r="AM49" s="3536">
        <f>AM31+AM37-AM43</f>
        <v>0</v>
      </c>
      <c r="AN49" s="3536">
        <f>AN31+AN37-AN43</f>
        <v>0</v>
      </c>
      <c r="AO49" s="3536">
        <f>AO31+AO37-AO43</f>
        <v>0</v>
      </c>
      <c r="AP49" s="3536">
        <f>AP31+AP37-AP43</f>
        <v>0</v>
      </c>
      <c r="AQ49" s="3536">
        <f>AQ31+AQ37-AQ43</f>
        <v>0</v>
      </c>
      <c r="AR49" s="3536">
        <f>AR31+AR37-AR43</f>
        <v>0</v>
      </c>
      <c r="AS49" s="3536">
        <f>AS31+AS37-AS43</f>
        <v>0</v>
      </c>
      <c r="AT49" s="3536">
        <f>AT31+AT37-AT43</f>
        <v>0</v>
      </c>
      <c r="AU49" s="3536">
        <f>AU31+AU37-AU43</f>
        <v>0</v>
      </c>
      <c r="AV49" s="3536">
        <f>AV31+AV37-AV43</f>
        <v>0</v>
      </c>
      <c r="AW49" s="3536">
        <f>AW31+AW37-AW43</f>
        <v>0</v>
      </c>
      <c r="AX49" s="3536">
        <f>AX31+AX37-AX43</f>
        <v>0</v>
      </c>
      <c r="AY49" s="3536">
        <f>AY31+AY37-AY43</f>
        <v>0</v>
      </c>
      <c r="AZ49" s="3536">
        <f>AZ31+AZ37-AZ43</f>
        <v>0</v>
      </c>
      <c r="BA49" s="3536">
        <f>BA31+BA37-BA43</f>
        <v>0</v>
      </c>
      <c r="BB49" s="3536">
        <f>BB31+BB37-BB43</f>
        <v>0</v>
      </c>
      <c r="BC49" s="2070"/>
      <c r="BD49" s="1459"/>
      <c r="BE49" s="1459"/>
      <c r="BF49" s="1034" t="s">
        <v>1674</v>
      </c>
    </row>
    <row customHeight="1" ht="14.625" hidden="1">
      <c r="A50" s="1459"/>
      <c r="B50" s="1416"/>
      <c r="C50" s="1459"/>
      <c r="D50" s="1459"/>
      <c r="E50" s="628">
        <v>15</v>
      </c>
      <c r="F50" s="50" cm="1" t="str">
        <f t="array" ref="F50:F50">OFFSET(E50,-1,1)</f>
        <v>0</v>
      </c>
      <c r="G50" s="104" t="s">
        <v>1675</v>
      </c>
      <c r="H50" s="1459"/>
      <c r="I50" s="1459"/>
      <c r="J50" s="1459"/>
      <c r="K50" s="1459"/>
      <c r="L50" s="1459"/>
      <c r="M50" s="1459"/>
      <c r="N50" s="1459"/>
      <c r="O50" s="1459"/>
      <c r="P50" s="1459"/>
      <c r="Q50" s="1459"/>
      <c r="R50" s="1459"/>
      <c r="S50" s="1459"/>
      <c r="T50" s="465" cm="1" t="str">
        <f t="array" ref="T50:T50">T49</f>
        <v>false</v>
      </c>
      <c r="U50" s="1459"/>
      <c r="V50" s="1459"/>
      <c r="W50" s="1459"/>
      <c r="X50" s="1596"/>
      <c r="Y50" s="1459"/>
      <c r="Z50" s="1597"/>
      <c r="AA50" s="1459"/>
      <c r="AB50" s="88" t="s">
        <v>1430</v>
      </c>
      <c r="AC50" s="214" t="s">
        <v>1638</v>
      </c>
      <c r="AD50" s="89" t="s">
        <v>1514</v>
      </c>
      <c r="AE50" s="3536">
        <f>AE32+AE38-AE44</f>
        <v>0</v>
      </c>
      <c r="AF50" s="3536">
        <f>AF32+AF38-AF44</f>
        <v>0</v>
      </c>
      <c r="AG50" s="3536">
        <f>AG32+AG38-AG44</f>
        <v>0</v>
      </c>
      <c r="AH50" s="3536">
        <f>AH32+AH38-AH44</f>
        <v>0</v>
      </c>
      <c r="AI50" s="3536">
        <f>AI32+AI38-AI44</f>
        <v>0</v>
      </c>
      <c r="AJ50" s="3536">
        <f>AJ32+AJ38-AJ44</f>
        <v>0</v>
      </c>
      <c r="AK50" s="3536">
        <f>AK32+AK38-AK44</f>
        <v>0</v>
      </c>
      <c r="AL50" s="3536">
        <f>AL32+AL38-AL44</f>
        <v>0</v>
      </c>
      <c r="AM50" s="3536">
        <f>AM32+AM38-AM44</f>
        <v>0</v>
      </c>
      <c r="AN50" s="3536">
        <f>AN32+AN38-AN44</f>
        <v>0</v>
      </c>
      <c r="AO50" s="3536">
        <f>AO32+AO38-AO44</f>
        <v>0</v>
      </c>
      <c r="AP50" s="3536">
        <f>AP32+AP38-AP44</f>
        <v>0</v>
      </c>
      <c r="AQ50" s="3536">
        <f>AQ32+AQ38-AQ44</f>
        <v>0</v>
      </c>
      <c r="AR50" s="3536">
        <f>AR32+AR38-AR44</f>
        <v>0</v>
      </c>
      <c r="AS50" s="3536">
        <f>AS32+AS38-AS44</f>
        <v>0</v>
      </c>
      <c r="AT50" s="3536">
        <f>AT32+AT38-AT44</f>
        <v>0</v>
      </c>
      <c r="AU50" s="3536">
        <f>AU32+AU38-AU44</f>
        <v>0</v>
      </c>
      <c r="AV50" s="3536">
        <f>AV32+AV38-AV44</f>
        <v>0</v>
      </c>
      <c r="AW50" s="3536">
        <f>AW32+AW38-AW44</f>
        <v>0</v>
      </c>
      <c r="AX50" s="3536">
        <f>AX32+AX38-AX44</f>
        <v>0</v>
      </c>
      <c r="AY50" s="3536">
        <f>AY32+AY38-AY44</f>
        <v>0</v>
      </c>
      <c r="AZ50" s="3536">
        <f>AZ32+AZ38-AZ44</f>
        <v>0</v>
      </c>
      <c r="BA50" s="3536">
        <f>BA32+BA38-BA44</f>
        <v>0</v>
      </c>
      <c r="BB50" s="3536">
        <f>BB32+BB38-BB44</f>
        <v>0</v>
      </c>
      <c r="BC50" s="2070"/>
      <c r="BD50" s="1459"/>
      <c r="BE50" s="1459"/>
      <c r="BF50" s="1034" t="s">
        <v>1676</v>
      </c>
    </row>
    <row customHeight="1" ht="14.625" hidden="1">
      <c r="A51" s="1459"/>
      <c r="B51" s="1416"/>
      <c r="C51" s="1459"/>
      <c r="D51" s="1459"/>
      <c r="E51" s="628">
        <v>15</v>
      </c>
      <c r="F51" s="50" cm="1" t="str">
        <f t="array" ref="F51:F51">OFFSET(E51,-1,1)</f>
        <v>0</v>
      </c>
      <c r="G51" s="104" t="s">
        <v>1677</v>
      </c>
      <c r="H51" s="1459"/>
      <c r="I51" s="1459"/>
      <c r="J51" s="1459"/>
      <c r="K51" s="1459"/>
      <c r="L51" s="1459"/>
      <c r="M51" s="1459"/>
      <c r="N51" s="1459"/>
      <c r="O51" s="1459"/>
      <c r="P51" s="1459"/>
      <c r="Q51" s="1459"/>
      <c r="R51" s="1459"/>
      <c r="S51" s="1459"/>
      <c r="T51" s="465" cm="1" t="str">
        <f t="array" ref="T51:T51">T50</f>
        <v>false</v>
      </c>
      <c r="U51" s="1459"/>
      <c r="V51" s="1459"/>
      <c r="W51" s="1459"/>
      <c r="X51" s="1596"/>
      <c r="Y51" s="1459"/>
      <c r="Z51" s="1597"/>
      <c r="AA51" s="1459"/>
      <c r="AB51" s="88" t="s">
        <v>1440</v>
      </c>
      <c r="AC51" s="214" t="s">
        <v>1642</v>
      </c>
      <c r="AD51" s="89" t="s">
        <v>1514</v>
      </c>
      <c r="AE51" s="3536">
        <f>AE33+AE39-AE45</f>
        <v>0</v>
      </c>
      <c r="AF51" s="3536">
        <f>AF33+AF39-AF45</f>
        <v>0</v>
      </c>
      <c r="AG51" s="3536">
        <f>AG33+AG39-AG45</f>
        <v>0</v>
      </c>
      <c r="AH51" s="3536">
        <f>AH33+AH39-AH45</f>
        <v>0</v>
      </c>
      <c r="AI51" s="3536">
        <f>AI33+AI39-AI45</f>
        <v>0</v>
      </c>
      <c r="AJ51" s="3536">
        <f>AJ33+AJ39-AJ45</f>
        <v>0</v>
      </c>
      <c r="AK51" s="3536">
        <f>AK33+AK39-AK45</f>
        <v>0</v>
      </c>
      <c r="AL51" s="3536">
        <f>AL33+AL39-AL45</f>
        <v>0</v>
      </c>
      <c r="AM51" s="3536">
        <f>AM33+AM39-AM45</f>
        <v>0</v>
      </c>
      <c r="AN51" s="3536">
        <f>AN33+AN39-AN45</f>
        <v>0</v>
      </c>
      <c r="AO51" s="3536">
        <f>AO33+AO39-AO45</f>
        <v>0</v>
      </c>
      <c r="AP51" s="3536">
        <f>AP33+AP39-AP45</f>
        <v>0</v>
      </c>
      <c r="AQ51" s="3536">
        <f>AQ33+AQ39-AQ45</f>
        <v>0</v>
      </c>
      <c r="AR51" s="3536">
        <f>AR33+AR39-AR45</f>
        <v>0</v>
      </c>
      <c r="AS51" s="3536">
        <f>AS33+AS39-AS45</f>
        <v>0</v>
      </c>
      <c r="AT51" s="3536">
        <f>AT33+AT39-AT45</f>
        <v>0</v>
      </c>
      <c r="AU51" s="3536">
        <f>AU33+AU39-AU45</f>
        <v>0</v>
      </c>
      <c r="AV51" s="3536">
        <f>AV33+AV39-AV45</f>
        <v>0</v>
      </c>
      <c r="AW51" s="3536">
        <f>AW33+AW39-AW45</f>
        <v>0</v>
      </c>
      <c r="AX51" s="3536">
        <f>AX33+AX39-AX45</f>
        <v>0</v>
      </c>
      <c r="AY51" s="3536">
        <f>AY33+AY39-AY45</f>
        <v>0</v>
      </c>
      <c r="AZ51" s="3536">
        <f>AZ33+AZ39-AZ45</f>
        <v>0</v>
      </c>
      <c r="BA51" s="3536">
        <f>BA33+BA39-BA45</f>
        <v>0</v>
      </c>
      <c r="BB51" s="3536">
        <f>BB33+BB39-BB45</f>
        <v>0</v>
      </c>
      <c r="BC51" s="2070"/>
      <c r="BD51" s="1459"/>
      <c r="BE51" s="1459"/>
      <c r="BF51" s="1034" t="s">
        <v>1678</v>
      </c>
    </row>
    <row s="525" customFormat="1" customHeight="1" ht="14.625" hidden="1">
      <c r="A52" s="525"/>
      <c r="B52" s="431"/>
      <c r="C52" s="525"/>
      <c r="D52" s="525"/>
      <c r="E52" s="628">
        <v>15</v>
      </c>
      <c r="F52" s="50" cm="1" t="str">
        <f t="array" ref="F52:F52">OFFSET(E52,-1,1)</f>
        <v>0</v>
      </c>
      <c r="G52" s="104" t="s">
        <v>335</v>
      </c>
      <c r="H52" s="525"/>
      <c r="I52" s="525"/>
      <c r="J52" s="525"/>
      <c r="K52" s="525"/>
      <c r="L52" s="525"/>
      <c r="M52" s="525"/>
      <c r="N52" s="525"/>
      <c r="O52" s="525"/>
      <c r="P52" s="525"/>
      <c r="Q52" s="525"/>
      <c r="R52" s="525"/>
      <c r="S52" s="525"/>
      <c r="T52" s="465" cm="1" t="str">
        <f t="array" ref="T52:T52">T51</f>
        <v>false</v>
      </c>
      <c r="U52" s="525"/>
      <c r="V52" s="525"/>
      <c r="W52" s="525"/>
      <c r="X52" s="1596"/>
      <c r="Y52" s="525"/>
      <c r="Z52" s="1597"/>
      <c r="AA52" s="525"/>
      <c r="AB52" s="211">
        <v>5</v>
      </c>
      <c r="AC52" s="212" t="s">
        <v>1679</v>
      </c>
      <c r="AD52" s="89" t="s">
        <v>1514</v>
      </c>
      <c r="AE52" s="3534">
        <f>SUM(AE53:AE57)</f>
        <v>0</v>
      </c>
      <c r="AF52" s="3534">
        <f>SUM(AF53:AF57)</f>
        <v>0</v>
      </c>
      <c r="AG52" s="3534">
        <f>SUM(AG53:AG57)</f>
        <v>0</v>
      </c>
      <c r="AH52" s="3534">
        <f>SUM(AH53:AH57)</f>
        <v>0</v>
      </c>
      <c r="AI52" s="3534">
        <f>SUM(AI53:AI57)</f>
        <v>0</v>
      </c>
      <c r="AJ52" s="3534">
        <f>SUM(AJ53:AJ57)</f>
        <v>0</v>
      </c>
      <c r="AK52" s="3534">
        <f>SUM(AK53:AK57)</f>
        <v>0</v>
      </c>
      <c r="AL52" s="3534">
        <f>SUM(AL53:AL57)</f>
        <v>0</v>
      </c>
      <c r="AM52" s="3534">
        <f>SUM(AM53:AM57)</f>
        <v>0</v>
      </c>
      <c r="AN52" s="3534">
        <f>SUM(AN53:AN57)</f>
        <v>0</v>
      </c>
      <c r="AO52" s="3534">
        <f>SUM(AO53:AO57)</f>
        <v>0</v>
      </c>
      <c r="AP52" s="3534">
        <f>SUM(AP53:AP57)</f>
        <v>0</v>
      </c>
      <c r="AQ52" s="3534">
        <f>SUM(AQ53:AQ57)</f>
        <v>0</v>
      </c>
      <c r="AR52" s="3534">
        <f>SUM(AR53:AR57)</f>
        <v>0</v>
      </c>
      <c r="AS52" s="3534">
        <f>SUM(AS53:AS57)</f>
        <v>0</v>
      </c>
      <c r="AT52" s="3534">
        <f>SUM(AT53:AT57)</f>
        <v>0</v>
      </c>
      <c r="AU52" s="3534">
        <f>SUM(AU53:AU57)</f>
        <v>0</v>
      </c>
      <c r="AV52" s="3534">
        <f>SUM(AV53:AV57)</f>
        <v>0</v>
      </c>
      <c r="AW52" s="3534">
        <f>SUM(AW53:AW57)</f>
        <v>0</v>
      </c>
      <c r="AX52" s="3534">
        <f>SUM(AX53:AX57)</f>
        <v>0</v>
      </c>
      <c r="AY52" s="3534">
        <f>SUM(AY53:AY57)</f>
        <v>0</v>
      </c>
      <c r="AZ52" s="3534">
        <f>SUM(AZ53:AZ57)</f>
        <v>0</v>
      </c>
      <c r="BA52" s="3534">
        <f>SUM(BA53:BA57)</f>
        <v>0</v>
      </c>
      <c r="BB52" s="3534">
        <f>SUM(BB53:BB57)</f>
        <v>0</v>
      </c>
      <c r="BC52" s="2070"/>
      <c r="BD52" s="525"/>
      <c r="BE52" s="525"/>
      <c r="BF52" s="1034" t="s">
        <v>1680</v>
      </c>
    </row>
    <row customHeight="1" ht="14.625" hidden="1">
      <c r="A53" s="1459"/>
      <c r="B53" s="1416"/>
      <c r="C53" s="1459"/>
      <c r="D53" s="1459"/>
      <c r="E53" s="628">
        <v>15</v>
      </c>
      <c r="F53" s="50" cm="1" t="str">
        <f t="array" ref="F53:F53">OFFSET(E53,-1,1)</f>
        <v>0</v>
      </c>
      <c r="G53" s="104" t="s">
        <v>1263</v>
      </c>
      <c r="H53" s="1459"/>
      <c r="I53" s="1459"/>
      <c r="J53" s="1459"/>
      <c r="K53" s="1459"/>
      <c r="L53" s="1459"/>
      <c r="M53" s="1459"/>
      <c r="N53" s="1459"/>
      <c r="O53" s="1459"/>
      <c r="P53" s="1459"/>
      <c r="Q53" s="1459"/>
      <c r="R53" s="1459"/>
      <c r="S53" s="1459"/>
      <c r="T53" s="465" cm="1" t="str">
        <f t="array" ref="T53:T53">T52</f>
        <v>false</v>
      </c>
      <c r="U53" s="1459"/>
      <c r="V53" s="1459"/>
      <c r="W53" s="1459"/>
      <c r="X53" s="1596"/>
      <c r="Y53" s="1459"/>
      <c r="Z53" s="1597"/>
      <c r="AA53" s="1459"/>
      <c r="AB53" s="88" t="s">
        <v>1391</v>
      </c>
      <c r="AC53" s="214" t="s">
        <v>1629</v>
      </c>
      <c r="AD53" s="89" t="s">
        <v>1514</v>
      </c>
      <c r="AE53" s="3536">
        <f>(AE47+AE29)/2</f>
        <v>0</v>
      </c>
      <c r="AF53" s="3536">
        <f>(AF47+AF29)/2</f>
        <v>0</v>
      </c>
      <c r="AG53" s="3536">
        <f>(AG47+AG29)/2</f>
        <v>0</v>
      </c>
      <c r="AH53" s="3536">
        <f>(AH47+AH29)/2</f>
        <v>0</v>
      </c>
      <c r="AI53" s="3536">
        <f>(AI47+AI29)/2</f>
        <v>0</v>
      </c>
      <c r="AJ53" s="3536">
        <f>(AJ47+AJ29)/2</f>
        <v>0</v>
      </c>
      <c r="AK53" s="3536">
        <f>(AK47+AK29)/2</f>
        <v>0</v>
      </c>
      <c r="AL53" s="3536">
        <f>(AL47+AL29)/2</f>
        <v>0</v>
      </c>
      <c r="AM53" s="3536">
        <f>(AM47+AM29)/2</f>
        <v>0</v>
      </c>
      <c r="AN53" s="3536">
        <f>(AN47+AN29)/2</f>
        <v>0</v>
      </c>
      <c r="AO53" s="3536">
        <f>(AO47+AO29)/2</f>
        <v>0</v>
      </c>
      <c r="AP53" s="3536">
        <f>(AP47+AP29)/2</f>
        <v>0</v>
      </c>
      <c r="AQ53" s="3536">
        <f>(AQ47+AQ29)/2</f>
        <v>0</v>
      </c>
      <c r="AR53" s="3536">
        <f>(AR47+AR29)/2</f>
        <v>0</v>
      </c>
      <c r="AS53" s="3536">
        <f>(AS47+AS29)/2</f>
        <v>0</v>
      </c>
      <c r="AT53" s="3536">
        <f>(AT47+AT29)/2</f>
        <v>0</v>
      </c>
      <c r="AU53" s="3536">
        <f>(AU47+AU29)/2</f>
        <v>0</v>
      </c>
      <c r="AV53" s="3536">
        <f>(AV47+AV29)/2</f>
        <v>0</v>
      </c>
      <c r="AW53" s="3536">
        <f>(AW47+AW29)/2</f>
        <v>0</v>
      </c>
      <c r="AX53" s="3536">
        <f>(AX47+AX29)/2</f>
        <v>0</v>
      </c>
      <c r="AY53" s="3536">
        <f>(AY47+AY29)/2</f>
        <v>0</v>
      </c>
      <c r="AZ53" s="3536">
        <f>(AZ47+AZ29)/2</f>
        <v>0</v>
      </c>
      <c r="BA53" s="3536">
        <f>(BA47+BA29)/2</f>
        <v>0</v>
      </c>
      <c r="BB53" s="3536">
        <f>(BB47+BB29)/2</f>
        <v>0</v>
      </c>
      <c r="BC53" s="2070"/>
      <c r="BD53" s="1459"/>
      <c r="BE53" s="1459"/>
      <c r="BF53" s="1034" t="s">
        <v>1681</v>
      </c>
    </row>
    <row customHeight="1" ht="14.625" hidden="1">
      <c r="A54" s="1459"/>
      <c r="B54" s="1416"/>
      <c r="C54" s="1459"/>
      <c r="D54" s="1459"/>
      <c r="E54" s="628">
        <v>15</v>
      </c>
      <c r="F54" s="50" cm="1" t="str">
        <f t="array" ref="F54:F54">OFFSET(E54,-1,1)</f>
        <v>0</v>
      </c>
      <c r="G54" s="104" t="s">
        <v>1267</v>
      </c>
      <c r="H54" s="1459"/>
      <c r="I54" s="1459"/>
      <c r="J54" s="1459"/>
      <c r="K54" s="1459"/>
      <c r="L54" s="1459"/>
      <c r="M54" s="1459"/>
      <c r="N54" s="1459"/>
      <c r="O54" s="1459"/>
      <c r="P54" s="1459"/>
      <c r="Q54" s="1459"/>
      <c r="R54" s="1459"/>
      <c r="S54" s="1459"/>
      <c r="T54" s="465" cm="1" t="str">
        <f t="array" ref="T54:T54">T53</f>
        <v>false</v>
      </c>
      <c r="U54" s="1459"/>
      <c r="V54" s="1459"/>
      <c r="W54" s="1459"/>
      <c r="X54" s="1596"/>
      <c r="Y54" s="1459"/>
      <c r="Z54" s="1597"/>
      <c r="AA54" s="1459"/>
      <c r="AB54" s="88" t="s">
        <v>1394</v>
      </c>
      <c r="AC54" s="214" t="s">
        <v>1632</v>
      </c>
      <c r="AD54" s="89" t="s">
        <v>1514</v>
      </c>
      <c r="AE54" s="3536">
        <f>(AE48+AE30)/2</f>
        <v>0</v>
      </c>
      <c r="AF54" s="3536">
        <f>(AF48+AF30)/2</f>
        <v>0</v>
      </c>
      <c r="AG54" s="3536">
        <f>(AG48+AG30)/2</f>
        <v>0</v>
      </c>
      <c r="AH54" s="3536">
        <f>(AH48+AH30)/2</f>
        <v>0</v>
      </c>
      <c r="AI54" s="3536">
        <f>(AI48+AI30)/2</f>
        <v>0</v>
      </c>
      <c r="AJ54" s="3536">
        <f>(AJ48+AJ30)/2</f>
        <v>0</v>
      </c>
      <c r="AK54" s="3536">
        <f>(AK48+AK30)/2</f>
        <v>0</v>
      </c>
      <c r="AL54" s="3536">
        <f>(AL48+AL30)/2</f>
        <v>0</v>
      </c>
      <c r="AM54" s="3536">
        <f>(AM48+AM30)/2</f>
        <v>0</v>
      </c>
      <c r="AN54" s="3536">
        <f>(AN48+AN30)/2</f>
        <v>0</v>
      </c>
      <c r="AO54" s="3536">
        <f>(AO48+AO30)/2</f>
        <v>0</v>
      </c>
      <c r="AP54" s="3536">
        <f>(AP48+AP30)/2</f>
        <v>0</v>
      </c>
      <c r="AQ54" s="3536">
        <f>(AQ48+AQ30)/2</f>
        <v>0</v>
      </c>
      <c r="AR54" s="3536">
        <f>(AR48+AR30)/2</f>
        <v>0</v>
      </c>
      <c r="AS54" s="3536">
        <f>(AS48+AS30)/2</f>
        <v>0</v>
      </c>
      <c r="AT54" s="3536">
        <f>(AT48+AT30)/2</f>
        <v>0</v>
      </c>
      <c r="AU54" s="3536">
        <f>(AU48+AU30)/2</f>
        <v>0</v>
      </c>
      <c r="AV54" s="3536">
        <f>(AV48+AV30)/2</f>
        <v>0</v>
      </c>
      <c r="AW54" s="3536">
        <f>(AW48+AW30)/2</f>
        <v>0</v>
      </c>
      <c r="AX54" s="3536">
        <f>(AX48+AX30)/2</f>
        <v>0</v>
      </c>
      <c r="AY54" s="3536">
        <f>(AY48+AY30)/2</f>
        <v>0</v>
      </c>
      <c r="AZ54" s="3536">
        <f>(AZ48+AZ30)/2</f>
        <v>0</v>
      </c>
      <c r="BA54" s="3536">
        <f>(BA48+BA30)/2</f>
        <v>0</v>
      </c>
      <c r="BB54" s="3536">
        <f>(BB48+BB30)/2</f>
        <v>0</v>
      </c>
      <c r="BC54" s="2070"/>
      <c r="BD54" s="1459"/>
      <c r="BE54" s="1459"/>
      <c r="BF54" s="1034" t="s">
        <v>1682</v>
      </c>
    </row>
    <row customHeight="1" ht="14.625" hidden="1">
      <c r="A55" s="1459"/>
      <c r="B55" s="1416"/>
      <c r="C55" s="1459"/>
      <c r="D55" s="1459"/>
      <c r="E55" s="628">
        <v>15</v>
      </c>
      <c r="F55" s="50" cm="1" t="str">
        <f t="array" ref="F55:F55">OFFSET(E55,-1,1)</f>
        <v>0</v>
      </c>
      <c r="G55" s="104" t="s">
        <v>1479</v>
      </c>
      <c r="H55" s="1459"/>
      <c r="I55" s="1459"/>
      <c r="J55" s="1459"/>
      <c r="K55" s="1459"/>
      <c r="L55" s="1459"/>
      <c r="M55" s="1459"/>
      <c r="N55" s="1459"/>
      <c r="O55" s="1459"/>
      <c r="P55" s="1459"/>
      <c r="Q55" s="1459"/>
      <c r="R55" s="1459"/>
      <c r="S55" s="1459"/>
      <c r="T55" s="465" cm="1" t="str">
        <f t="array" ref="T55:T55">T54</f>
        <v>false</v>
      </c>
      <c r="U55" s="1459"/>
      <c r="V55" s="1459"/>
      <c r="W55" s="1459"/>
      <c r="X55" s="1596"/>
      <c r="Y55" s="1459"/>
      <c r="Z55" s="1597"/>
      <c r="AA55" s="1459"/>
      <c r="AB55" s="88" t="s">
        <v>1683</v>
      </c>
      <c r="AC55" s="214" t="s">
        <v>1635</v>
      </c>
      <c r="AD55" s="89" t="s">
        <v>1514</v>
      </c>
      <c r="AE55" s="3536">
        <f>(AE49+AE31)/2</f>
        <v>0</v>
      </c>
      <c r="AF55" s="3536">
        <f>(AF49+AF31)/2</f>
        <v>0</v>
      </c>
      <c r="AG55" s="3536">
        <f>(AG49+AG31)/2</f>
        <v>0</v>
      </c>
      <c r="AH55" s="3536">
        <f>(AH49+AH31)/2</f>
        <v>0</v>
      </c>
      <c r="AI55" s="3536">
        <f>(AI49+AI31)/2</f>
        <v>0</v>
      </c>
      <c r="AJ55" s="3536">
        <f>(AJ49+AJ31)/2</f>
        <v>0</v>
      </c>
      <c r="AK55" s="3536">
        <f>(AK49+AK31)/2</f>
        <v>0</v>
      </c>
      <c r="AL55" s="3536">
        <f>(AL49+AL31)/2</f>
        <v>0</v>
      </c>
      <c r="AM55" s="3536">
        <f>(AM49+AM31)/2</f>
        <v>0</v>
      </c>
      <c r="AN55" s="3536">
        <f>(AN49+AN31)/2</f>
        <v>0</v>
      </c>
      <c r="AO55" s="3536">
        <f>(AO49+AO31)/2</f>
        <v>0</v>
      </c>
      <c r="AP55" s="3536">
        <f>(AP49+AP31)/2</f>
        <v>0</v>
      </c>
      <c r="AQ55" s="3536">
        <f>(AQ49+AQ31)/2</f>
        <v>0</v>
      </c>
      <c r="AR55" s="3536">
        <f>(AR49+AR31)/2</f>
        <v>0</v>
      </c>
      <c r="AS55" s="3536">
        <f>(AS49+AS31)/2</f>
        <v>0</v>
      </c>
      <c r="AT55" s="3536">
        <f>(AT49+AT31)/2</f>
        <v>0</v>
      </c>
      <c r="AU55" s="3536">
        <f>(AU49+AU31)/2</f>
        <v>0</v>
      </c>
      <c r="AV55" s="3536">
        <f>(AV49+AV31)/2</f>
        <v>0</v>
      </c>
      <c r="AW55" s="3536">
        <f>(AW49+AW31)/2</f>
        <v>0</v>
      </c>
      <c r="AX55" s="3536">
        <f>(AX49+AX31)/2</f>
        <v>0</v>
      </c>
      <c r="AY55" s="3536">
        <f>(AY49+AY31)/2</f>
        <v>0</v>
      </c>
      <c r="AZ55" s="3536">
        <f>(AZ49+AZ31)/2</f>
        <v>0</v>
      </c>
      <c r="BA55" s="3536">
        <f>(BA49+BA31)/2</f>
        <v>0</v>
      </c>
      <c r="BB55" s="3536">
        <f>(BB49+BB31)/2</f>
        <v>0</v>
      </c>
      <c r="BC55" s="2070"/>
      <c r="BD55" s="1459"/>
      <c r="BE55" s="1459"/>
      <c r="BF55" s="1034" t="s">
        <v>1684</v>
      </c>
    </row>
    <row customHeight="1" ht="14.625" hidden="1">
      <c r="A56" s="1459"/>
      <c r="B56" s="1416"/>
      <c r="C56" s="1459"/>
      <c r="D56" s="1459"/>
      <c r="E56" s="628">
        <v>15</v>
      </c>
      <c r="F56" s="50" cm="1" t="str">
        <f t="array" ref="F56:F56">OFFSET(E56,-1,1)</f>
        <v>0</v>
      </c>
      <c r="G56" s="104" t="s">
        <v>1685</v>
      </c>
      <c r="H56" s="1459"/>
      <c r="I56" s="1459"/>
      <c r="J56" s="1459"/>
      <c r="K56" s="1459"/>
      <c r="L56" s="1459"/>
      <c r="M56" s="1459"/>
      <c r="N56" s="1459"/>
      <c r="O56" s="1459"/>
      <c r="P56" s="1459"/>
      <c r="Q56" s="1459"/>
      <c r="R56" s="1459"/>
      <c r="S56" s="1459"/>
      <c r="T56" s="465" cm="1" t="str">
        <f t="array" ref="T56:T56">T55</f>
        <v>false</v>
      </c>
      <c r="U56" s="1459"/>
      <c r="V56" s="1459"/>
      <c r="W56" s="1459"/>
      <c r="X56" s="1596"/>
      <c r="Y56" s="1459"/>
      <c r="Z56" s="1597"/>
      <c r="AA56" s="1459"/>
      <c r="AB56" s="88" t="s">
        <v>1686</v>
      </c>
      <c r="AC56" s="214" t="s">
        <v>1638</v>
      </c>
      <c r="AD56" s="89" t="s">
        <v>1514</v>
      </c>
      <c r="AE56" s="3536">
        <f>(AE50+AE32)/2</f>
        <v>0</v>
      </c>
      <c r="AF56" s="3536">
        <f>(AF50+AF32)/2</f>
        <v>0</v>
      </c>
      <c r="AG56" s="3536">
        <f>(AG50+AG32)/2</f>
        <v>0</v>
      </c>
      <c r="AH56" s="3536">
        <f>(AH50+AH32)/2</f>
        <v>0</v>
      </c>
      <c r="AI56" s="3536">
        <f>(AI50+AI32)/2</f>
        <v>0</v>
      </c>
      <c r="AJ56" s="3536">
        <f>(AJ50+AJ32)/2</f>
        <v>0</v>
      </c>
      <c r="AK56" s="3536">
        <f>(AK50+AK32)/2</f>
        <v>0</v>
      </c>
      <c r="AL56" s="3536">
        <f>(AL50+AL32)/2</f>
        <v>0</v>
      </c>
      <c r="AM56" s="3536">
        <f>(AM50+AM32)/2</f>
        <v>0</v>
      </c>
      <c r="AN56" s="3536">
        <f>(AN50+AN32)/2</f>
        <v>0</v>
      </c>
      <c r="AO56" s="3536">
        <f>(AO50+AO32)/2</f>
        <v>0</v>
      </c>
      <c r="AP56" s="3536">
        <f>(AP50+AP32)/2</f>
        <v>0</v>
      </c>
      <c r="AQ56" s="3536">
        <f>(AQ50+AQ32)/2</f>
        <v>0</v>
      </c>
      <c r="AR56" s="3536">
        <f>(AR50+AR32)/2</f>
        <v>0</v>
      </c>
      <c r="AS56" s="3536">
        <f>(AS50+AS32)/2</f>
        <v>0</v>
      </c>
      <c r="AT56" s="3536">
        <f>(AT50+AT32)/2</f>
        <v>0</v>
      </c>
      <c r="AU56" s="3536">
        <f>(AU50+AU32)/2</f>
        <v>0</v>
      </c>
      <c r="AV56" s="3536">
        <f>(AV50+AV32)/2</f>
        <v>0</v>
      </c>
      <c r="AW56" s="3536">
        <f>(AW50+AW32)/2</f>
        <v>0</v>
      </c>
      <c r="AX56" s="3536">
        <f>(AX50+AX32)/2</f>
        <v>0</v>
      </c>
      <c r="AY56" s="3536">
        <f>(AY50+AY32)/2</f>
        <v>0</v>
      </c>
      <c r="AZ56" s="3536">
        <f>(AZ50+AZ32)/2</f>
        <v>0</v>
      </c>
      <c r="BA56" s="3536">
        <f>(BA50+BA32)/2</f>
        <v>0</v>
      </c>
      <c r="BB56" s="3536">
        <f>(BB50+BB32)/2</f>
        <v>0</v>
      </c>
      <c r="BC56" s="2070"/>
      <c r="BD56" s="1459"/>
      <c r="BE56" s="1459"/>
      <c r="BF56" s="1034" t="s">
        <v>1687</v>
      </c>
    </row>
    <row customHeight="1" ht="14.625" hidden="1">
      <c r="A57" s="1459"/>
      <c r="B57" s="1416"/>
      <c r="C57" s="1459"/>
      <c r="D57" s="1459"/>
      <c r="E57" s="628">
        <v>15</v>
      </c>
      <c r="F57" s="50" cm="1" t="str">
        <f t="array" ref="F57:F57">OFFSET(E57,-1,1)</f>
        <v>0</v>
      </c>
      <c r="G57" s="104" t="s">
        <v>1688</v>
      </c>
      <c r="H57" s="1459"/>
      <c r="I57" s="1459"/>
      <c r="J57" s="1459"/>
      <c r="K57" s="1459"/>
      <c r="L57" s="1459"/>
      <c r="M57" s="1459"/>
      <c r="N57" s="1459"/>
      <c r="O57" s="1459"/>
      <c r="P57" s="1459"/>
      <c r="Q57" s="1459"/>
      <c r="R57" s="1459"/>
      <c r="S57" s="1459"/>
      <c r="T57" s="465" cm="1" t="str">
        <f t="array" ref="T57:T57">T56</f>
        <v>false</v>
      </c>
      <c r="U57" s="1459"/>
      <c r="V57" s="1459"/>
      <c r="W57" s="1459"/>
      <c r="X57" s="1596"/>
      <c r="Y57" s="1459"/>
      <c r="Z57" s="1597"/>
      <c r="AA57" s="1459"/>
      <c r="AB57" s="88" t="s">
        <v>1689</v>
      </c>
      <c r="AC57" s="214" t="s">
        <v>1642</v>
      </c>
      <c r="AD57" s="89" t="s">
        <v>1514</v>
      </c>
      <c r="AE57" s="3536">
        <f>(AE51+AE33)/2</f>
        <v>0</v>
      </c>
      <c r="AF57" s="3536">
        <f>(AF51+AF33)/2</f>
        <v>0</v>
      </c>
      <c r="AG57" s="3536">
        <f>(AG51+AG33)/2</f>
        <v>0</v>
      </c>
      <c r="AH57" s="3536">
        <f>(AH51+AH33)/2</f>
        <v>0</v>
      </c>
      <c r="AI57" s="3536">
        <f>(AI51+AI33)/2</f>
        <v>0</v>
      </c>
      <c r="AJ57" s="3536">
        <f>(AJ51+AJ33)/2</f>
        <v>0</v>
      </c>
      <c r="AK57" s="3536">
        <f>(AK51+AK33)/2</f>
        <v>0</v>
      </c>
      <c r="AL57" s="3536">
        <f>(AL51+AL33)/2</f>
        <v>0</v>
      </c>
      <c r="AM57" s="3536">
        <f>(AM51+AM33)/2</f>
        <v>0</v>
      </c>
      <c r="AN57" s="3536">
        <f>(AN51+AN33)/2</f>
        <v>0</v>
      </c>
      <c r="AO57" s="3536">
        <f>(AO51+AO33)/2</f>
        <v>0</v>
      </c>
      <c r="AP57" s="3536">
        <f>(AP51+AP33)/2</f>
        <v>0</v>
      </c>
      <c r="AQ57" s="3536">
        <f>(AQ51+AQ33)/2</f>
        <v>0</v>
      </c>
      <c r="AR57" s="3536">
        <f>(AR51+AR33)/2</f>
        <v>0</v>
      </c>
      <c r="AS57" s="3536">
        <f>(AS51+AS33)/2</f>
        <v>0</v>
      </c>
      <c r="AT57" s="3536">
        <f>(AT51+AT33)/2</f>
        <v>0</v>
      </c>
      <c r="AU57" s="3536">
        <f>(AU51+AU33)/2</f>
        <v>0</v>
      </c>
      <c r="AV57" s="3536">
        <f>(AV51+AV33)/2</f>
        <v>0</v>
      </c>
      <c r="AW57" s="3536">
        <f>(AW51+AW33)/2</f>
        <v>0</v>
      </c>
      <c r="AX57" s="3536">
        <f>(AX51+AX33)/2</f>
        <v>0</v>
      </c>
      <c r="AY57" s="3536">
        <f>(AY51+AY33)/2</f>
        <v>0</v>
      </c>
      <c r="AZ57" s="3536">
        <f>(AZ51+AZ33)/2</f>
        <v>0</v>
      </c>
      <c r="BA57" s="3536">
        <f>(BA51+BA33)/2</f>
        <v>0</v>
      </c>
      <c r="BB57" s="3536">
        <f>(BB51+BB33)/2</f>
        <v>0</v>
      </c>
      <c r="BC57" s="2070"/>
      <c r="BD57" s="1459"/>
      <c r="BE57" s="1459"/>
      <c r="BF57" s="1034" t="s">
        <v>1690</v>
      </c>
    </row>
    <row s="525" customFormat="1" customHeight="1" ht="21.9375" hidden="1">
      <c r="A58" s="525"/>
      <c r="B58" s="431"/>
      <c r="C58" s="525"/>
      <c r="D58" s="525"/>
      <c r="E58" s="669">
        <v>22.5</v>
      </c>
      <c r="F58" s="50" cm="1" t="str">
        <f t="array" ref="F58:F58">OFFSET(E58,-1,1)</f>
        <v>0</v>
      </c>
      <c r="G58" s="104" t="s">
        <v>1225</v>
      </c>
      <c r="H58" s="525"/>
      <c r="I58" s="525"/>
      <c r="J58" s="525"/>
      <c r="K58" s="525"/>
      <c r="L58" s="525"/>
      <c r="M58" s="525"/>
      <c r="N58" s="525"/>
      <c r="O58" s="525"/>
      <c r="P58" s="525"/>
      <c r="Q58" s="525"/>
      <c r="R58" s="525"/>
      <c r="S58" s="525"/>
      <c r="T58" s="465" cm="1" t="str">
        <f t="array" ref="T58:T58">T57</f>
        <v>false</v>
      </c>
      <c r="U58" s="525"/>
      <c r="V58" s="525"/>
      <c r="W58" s="525"/>
      <c r="X58" s="1596"/>
      <c r="Y58" s="525"/>
      <c r="Z58" s="1597"/>
      <c r="AA58" s="525"/>
      <c r="AB58" s="211">
        <v>6</v>
      </c>
      <c r="AC58" s="212" t="s">
        <v>1691</v>
      </c>
      <c r="AD58" s="211"/>
      <c r="AE58" s="216"/>
      <c r="AF58" s="216"/>
      <c r="AG58" s="216"/>
      <c r="AH58" s="216"/>
      <c r="AI58" s="216"/>
      <c r="AJ58" s="216"/>
      <c r="AK58" s="216"/>
      <c r="AL58" s="216"/>
      <c r="AM58" s="216"/>
      <c r="AN58" s="216"/>
      <c r="AO58" s="216"/>
      <c r="AP58" s="216"/>
      <c r="AQ58" s="216"/>
      <c r="AR58" s="216"/>
      <c r="AS58" s="216"/>
      <c r="AT58" s="216"/>
      <c r="AU58" s="216"/>
      <c r="AV58" s="216"/>
      <c r="AW58" s="216"/>
      <c r="AX58" s="216"/>
      <c r="AY58" s="216"/>
      <c r="AZ58" s="216"/>
      <c r="BA58" s="216"/>
      <c r="BB58" s="216"/>
      <c r="BC58" s="2070"/>
      <c r="BD58" s="525"/>
      <c r="BE58" s="525"/>
      <c r="BF58" s="1034" t="s">
        <v>1692</v>
      </c>
    </row>
    <row customHeight="1" ht="14.625" hidden="1">
      <c r="A59" s="1459"/>
      <c r="B59" s="1416"/>
      <c r="C59" s="1459"/>
      <c r="D59" s="1459"/>
      <c r="E59" s="628">
        <v>15</v>
      </c>
      <c r="F59" s="50" cm="1" t="str">
        <f t="array" ref="F59:F59">OFFSET(E59,-1,1)</f>
        <v>0</v>
      </c>
      <c r="G59" s="104" t="s">
        <v>1383</v>
      </c>
      <c r="H59" s="1459"/>
      <c r="I59" s="1459"/>
      <c r="J59" s="1459"/>
      <c r="K59" s="1459"/>
      <c r="L59" s="1459"/>
      <c r="M59" s="1459"/>
      <c r="N59" s="1459"/>
      <c r="O59" s="1459"/>
      <c r="P59" s="1459"/>
      <c r="Q59" s="1459"/>
      <c r="R59" s="1459"/>
      <c r="S59" s="1459"/>
      <c r="T59" s="465" cm="1" t="str">
        <f t="array" ref="T59:T59">T58</f>
        <v>false</v>
      </c>
      <c r="U59" s="1459"/>
      <c r="V59" s="1459"/>
      <c r="W59" s="1459"/>
      <c r="X59" s="1596"/>
      <c r="Y59" s="1459"/>
      <c r="Z59" s="1597"/>
      <c r="AA59" s="1459"/>
      <c r="AB59" s="88" t="s">
        <v>1279</v>
      </c>
      <c r="AC59" s="214" t="s">
        <v>1629</v>
      </c>
      <c r="AD59" s="88" t="s">
        <v>1170</v>
      </c>
      <c r="AE59" s="3536">
        <f>IF(AE53=0,0,AE65/AE53*100)</f>
        <v>0</v>
      </c>
      <c r="AF59" s="3536">
        <f>IF(AF53=0,0,AF65/AF53*100)</f>
        <v>0</v>
      </c>
      <c r="AG59" s="3536">
        <f>IF(AG53=0,0,AG65/AG53*100)</f>
        <v>0</v>
      </c>
      <c r="AH59" s="3536">
        <f>IF(AH53=0,0,AH65/AH53*100)</f>
        <v>0</v>
      </c>
      <c r="AI59" s="3536">
        <f>IF(AI53=0,0,AI65/AI53*100)</f>
        <v>0</v>
      </c>
      <c r="AJ59" s="3536">
        <f>IF(AJ53=0,0,AJ65/AJ53*100)</f>
        <v>0</v>
      </c>
      <c r="AK59" s="3536">
        <f>IF(AK53=0,0,AK65/AK53*100)</f>
        <v>0</v>
      </c>
      <c r="AL59" s="3536">
        <f>IF(AL53=0,0,AL65/AL53*100)</f>
        <v>0</v>
      </c>
      <c r="AM59" s="3536">
        <f>IF(AM53=0,0,AM65/AM53*100)</f>
        <v>0</v>
      </c>
      <c r="AN59" s="3536">
        <f>IF(AN53=0,0,AN65/AN53*100)</f>
        <v>0</v>
      </c>
      <c r="AO59" s="3536">
        <f>IF(AO53=0,0,AO65/AO53*100)</f>
        <v>0</v>
      </c>
      <c r="AP59" s="3536">
        <f>IF(AP53=0,0,AP65/AP53*100)</f>
        <v>0</v>
      </c>
      <c r="AQ59" s="3536">
        <f>IF(AQ53=0,0,AQ65/AQ53*100)</f>
        <v>0</v>
      </c>
      <c r="AR59" s="3536">
        <f>IF(AR53=0,0,AR65/AR53*100)</f>
        <v>0</v>
      </c>
      <c r="AS59" s="3536">
        <f>IF(AS53=0,0,AS65/AS53*100)</f>
        <v>0</v>
      </c>
      <c r="AT59" s="3536">
        <f>IF(AT53=0,0,AT65/AT53*100)</f>
        <v>0</v>
      </c>
      <c r="AU59" s="3536">
        <f>IF(AU53=0,0,AU65/AU53*100)</f>
        <v>0</v>
      </c>
      <c r="AV59" s="3536">
        <f>IF(AV53=0,0,AV65/AV53*100)</f>
        <v>0</v>
      </c>
      <c r="AW59" s="3536">
        <f>IF(AW53=0,0,AW65/AW53*100)</f>
        <v>0</v>
      </c>
      <c r="AX59" s="3536">
        <f>IF(AX53=0,0,AX65/AX53*100)</f>
        <v>0</v>
      </c>
      <c r="AY59" s="3536">
        <f>IF(AY53=0,0,AY65/AY53*100)</f>
        <v>0</v>
      </c>
      <c r="AZ59" s="3536">
        <f>IF(AZ53=0,0,AZ65/AZ53*100)</f>
        <v>0</v>
      </c>
      <c r="BA59" s="3536">
        <f>IF(BA53=0,0,BA65/BA53*100)</f>
        <v>0</v>
      </c>
      <c r="BB59" s="3536">
        <f>IF(BB53=0,0,BB65/BB53*100)</f>
        <v>0</v>
      </c>
      <c r="BC59" s="2070"/>
      <c r="BD59" s="1459"/>
      <c r="BE59" s="1459"/>
      <c r="BF59" s="1034" t="s">
        <v>1693</v>
      </c>
    </row>
    <row customHeight="1" ht="14.625" hidden="1">
      <c r="A60" s="1459"/>
      <c r="B60" s="1416"/>
      <c r="C60" s="1459"/>
      <c r="D60" s="1459"/>
      <c r="E60" s="628">
        <v>15</v>
      </c>
      <c r="F60" s="50" cm="1" t="str">
        <f t="array" ref="F60:F60">OFFSET(E60,-1,1)</f>
        <v>0</v>
      </c>
      <c r="G60" s="104" t="s">
        <v>1386</v>
      </c>
      <c r="H60" s="1459"/>
      <c r="I60" s="1459"/>
      <c r="J60" s="1459"/>
      <c r="K60" s="1459"/>
      <c r="L60" s="1459"/>
      <c r="M60" s="1459"/>
      <c r="N60" s="1459"/>
      <c r="O60" s="1459"/>
      <c r="P60" s="1459"/>
      <c r="Q60" s="1459"/>
      <c r="R60" s="1459"/>
      <c r="S60" s="1459"/>
      <c r="T60" s="465" cm="1" t="str">
        <f t="array" ref="T60:T60">T59</f>
        <v>false</v>
      </c>
      <c r="U60" s="1459"/>
      <c r="V60" s="1459"/>
      <c r="W60" s="1459"/>
      <c r="X60" s="1596"/>
      <c r="Y60" s="1459"/>
      <c r="Z60" s="1597"/>
      <c r="AA60" s="1459"/>
      <c r="AB60" s="88" t="s">
        <v>1283</v>
      </c>
      <c r="AC60" s="214" t="s">
        <v>1632</v>
      </c>
      <c r="AD60" s="88" t="s">
        <v>1170</v>
      </c>
      <c r="AE60" s="3536">
        <f>IF(AE54=0,0,AE66/AE54*100)</f>
        <v>0</v>
      </c>
      <c r="AF60" s="3536">
        <f>IF(AF54=0,0,AF66/AF54*100)</f>
        <v>0</v>
      </c>
      <c r="AG60" s="3536">
        <f>IF(AG54=0,0,AG66/AG54*100)</f>
        <v>0</v>
      </c>
      <c r="AH60" s="3536">
        <f>IF(AH54=0,0,AH66/AH54*100)</f>
        <v>0</v>
      </c>
      <c r="AI60" s="3536">
        <f>IF(AI54=0,0,AI66/AI54*100)</f>
        <v>0</v>
      </c>
      <c r="AJ60" s="3536">
        <f>IF(AJ54=0,0,AJ66/AJ54*100)</f>
        <v>0</v>
      </c>
      <c r="AK60" s="3536">
        <f>IF(AK54=0,0,AK66/AK54*100)</f>
        <v>0</v>
      </c>
      <c r="AL60" s="3536">
        <f>IF(AL54=0,0,AL66/AL54*100)</f>
        <v>0</v>
      </c>
      <c r="AM60" s="3536">
        <f>IF(AM54=0,0,AM66/AM54*100)</f>
        <v>0</v>
      </c>
      <c r="AN60" s="3536">
        <f>IF(AN54=0,0,AN66/AN54*100)</f>
        <v>0</v>
      </c>
      <c r="AO60" s="3536">
        <f>IF(AO54=0,0,AO66/AO54*100)</f>
        <v>0</v>
      </c>
      <c r="AP60" s="3536">
        <f>IF(AP54=0,0,AP66/AP54*100)</f>
        <v>0</v>
      </c>
      <c r="AQ60" s="3536">
        <f>IF(AQ54=0,0,AQ66/AQ54*100)</f>
        <v>0</v>
      </c>
      <c r="AR60" s="3536">
        <f>IF(AR54=0,0,AR66/AR54*100)</f>
        <v>0</v>
      </c>
      <c r="AS60" s="3536">
        <f>IF(AS54=0,0,AS66/AS54*100)</f>
        <v>0</v>
      </c>
      <c r="AT60" s="3536">
        <f>IF(AT54=0,0,AT66/AT54*100)</f>
        <v>0</v>
      </c>
      <c r="AU60" s="3536">
        <f>IF(AU54=0,0,AU66/AU54*100)</f>
        <v>0</v>
      </c>
      <c r="AV60" s="3536">
        <f>IF(AV54=0,0,AV66/AV54*100)</f>
        <v>0</v>
      </c>
      <c r="AW60" s="3536">
        <f>IF(AW54=0,0,AW66/AW54*100)</f>
        <v>0</v>
      </c>
      <c r="AX60" s="3536">
        <f>IF(AX54=0,0,AX66/AX54*100)</f>
        <v>0</v>
      </c>
      <c r="AY60" s="3536">
        <f>IF(AY54=0,0,AY66/AY54*100)</f>
        <v>0</v>
      </c>
      <c r="AZ60" s="3536">
        <f>IF(AZ54=0,0,AZ66/AZ54*100)</f>
        <v>0</v>
      </c>
      <c r="BA60" s="3536">
        <f>IF(BA54=0,0,BA66/BA54*100)</f>
        <v>0</v>
      </c>
      <c r="BB60" s="3536">
        <f>IF(BB54=0,0,BB66/BB54*100)</f>
        <v>0</v>
      </c>
      <c r="BC60" s="2070"/>
      <c r="BD60" s="1459"/>
      <c r="BE60" s="1459"/>
      <c r="BF60" s="1034" t="s">
        <v>1694</v>
      </c>
    </row>
    <row customHeight="1" ht="14.625" hidden="1">
      <c r="A61" s="1459"/>
      <c r="B61" s="1416"/>
      <c r="C61" s="1459"/>
      <c r="D61" s="1459"/>
      <c r="E61" s="628">
        <v>15</v>
      </c>
      <c r="F61" s="50" cm="1" t="str">
        <f t="array" ref="F61:F61">OFFSET(E61,-1,1)</f>
        <v>0</v>
      </c>
      <c r="G61" s="104" t="s">
        <v>1420</v>
      </c>
      <c r="H61" s="1459"/>
      <c r="I61" s="1459"/>
      <c r="J61" s="1459"/>
      <c r="K61" s="1459"/>
      <c r="L61" s="1459"/>
      <c r="M61" s="1459"/>
      <c r="N61" s="1459"/>
      <c r="O61" s="1459"/>
      <c r="P61" s="1459"/>
      <c r="Q61" s="1459"/>
      <c r="R61" s="1459"/>
      <c r="S61" s="1459"/>
      <c r="T61" s="465" cm="1" t="str">
        <f t="array" ref="T61:T61">T60</f>
        <v>false</v>
      </c>
      <c r="U61" s="1459"/>
      <c r="V61" s="1459"/>
      <c r="W61" s="1459"/>
      <c r="X61" s="1596"/>
      <c r="Y61" s="1459"/>
      <c r="Z61" s="1597"/>
      <c r="AA61" s="1459"/>
      <c r="AB61" s="88" t="s">
        <v>1287</v>
      </c>
      <c r="AC61" s="214" t="s">
        <v>1635</v>
      </c>
      <c r="AD61" s="88" t="s">
        <v>1170</v>
      </c>
      <c r="AE61" s="3536">
        <f>IF(AE55=0,0,AE67/AE55*100)</f>
        <v>0</v>
      </c>
      <c r="AF61" s="3536">
        <f>IF(AF55=0,0,AF67/AF55*100)</f>
        <v>0</v>
      </c>
      <c r="AG61" s="3536">
        <f>IF(AG55=0,0,AG67/AG55*100)</f>
        <v>0</v>
      </c>
      <c r="AH61" s="3536">
        <f>IF(AH55=0,0,AH67/AH55*100)</f>
        <v>0</v>
      </c>
      <c r="AI61" s="3536">
        <f>IF(AI55=0,0,AI67/AI55*100)</f>
        <v>0</v>
      </c>
      <c r="AJ61" s="3536">
        <f>IF(AJ55=0,0,AJ67/AJ55*100)</f>
        <v>0</v>
      </c>
      <c r="AK61" s="3536">
        <f>IF(AK55=0,0,AK67/AK55*100)</f>
        <v>0</v>
      </c>
      <c r="AL61" s="3536">
        <f>IF(AL55=0,0,AL67/AL55*100)</f>
        <v>0</v>
      </c>
      <c r="AM61" s="3536">
        <f>IF(AM55=0,0,AM67/AM55*100)</f>
        <v>0</v>
      </c>
      <c r="AN61" s="3536">
        <f>IF(AN55=0,0,AN67/AN55*100)</f>
        <v>0</v>
      </c>
      <c r="AO61" s="3536">
        <f>IF(AO55=0,0,AO67/AO55*100)</f>
        <v>0</v>
      </c>
      <c r="AP61" s="3536">
        <f>IF(AP55=0,0,AP67/AP55*100)</f>
        <v>0</v>
      </c>
      <c r="AQ61" s="3536">
        <f>IF(AQ55=0,0,AQ67/AQ55*100)</f>
        <v>0</v>
      </c>
      <c r="AR61" s="3536">
        <f>IF(AR55=0,0,AR67/AR55*100)</f>
        <v>0</v>
      </c>
      <c r="AS61" s="3536">
        <f>IF(AS55=0,0,AS67/AS55*100)</f>
        <v>0</v>
      </c>
      <c r="AT61" s="3536">
        <f>IF(AT55=0,0,AT67/AT55*100)</f>
        <v>0</v>
      </c>
      <c r="AU61" s="3536">
        <f>IF(AU55=0,0,AU67/AU55*100)</f>
        <v>0</v>
      </c>
      <c r="AV61" s="3536">
        <f>IF(AV55=0,0,AV67/AV55*100)</f>
        <v>0</v>
      </c>
      <c r="AW61" s="3536">
        <f>IF(AW55=0,0,AW67/AW55*100)</f>
        <v>0</v>
      </c>
      <c r="AX61" s="3536">
        <f>IF(AX55=0,0,AX67/AX55*100)</f>
        <v>0</v>
      </c>
      <c r="AY61" s="3536">
        <f>IF(AY55=0,0,AY67/AY55*100)</f>
        <v>0</v>
      </c>
      <c r="AZ61" s="3536">
        <f>IF(AZ55=0,0,AZ67/AZ55*100)</f>
        <v>0</v>
      </c>
      <c r="BA61" s="3536">
        <f>IF(BA55=0,0,BA67/BA55*100)</f>
        <v>0</v>
      </c>
      <c r="BB61" s="3536">
        <f>IF(BB55=0,0,BB67/BB55*100)</f>
        <v>0</v>
      </c>
      <c r="BC61" s="2070"/>
      <c r="BD61" s="1459"/>
      <c r="BE61" s="1459"/>
      <c r="BF61" s="1034" t="s">
        <v>1695</v>
      </c>
    </row>
    <row customHeight="1" ht="14.625" hidden="1">
      <c r="A62" s="1459"/>
      <c r="B62" s="1416"/>
      <c r="C62" s="1459"/>
      <c r="D62" s="1459"/>
      <c r="E62" s="628">
        <v>15</v>
      </c>
      <c r="F62" s="50" cm="1" t="str">
        <f t="array" ref="F62:F62">OFFSET(E62,-1,1)</f>
        <v>0</v>
      </c>
      <c r="G62" s="104" t="s">
        <v>1429</v>
      </c>
      <c r="H62" s="1459"/>
      <c r="I62" s="1459"/>
      <c r="J62" s="1459"/>
      <c r="K62" s="1459"/>
      <c r="L62" s="1459"/>
      <c r="M62" s="1459"/>
      <c r="N62" s="1459"/>
      <c r="O62" s="1459"/>
      <c r="P62" s="1459"/>
      <c r="Q62" s="1459"/>
      <c r="R62" s="1459"/>
      <c r="S62" s="1459"/>
      <c r="T62" s="465" cm="1" t="str">
        <f t="array" ref="T62:T62">T61</f>
        <v>false</v>
      </c>
      <c r="U62" s="1459"/>
      <c r="V62" s="1459"/>
      <c r="W62" s="1459"/>
      <c r="X62" s="1596"/>
      <c r="Y62" s="1459"/>
      <c r="Z62" s="1597"/>
      <c r="AA62" s="1459"/>
      <c r="AB62" s="88" t="s">
        <v>1696</v>
      </c>
      <c r="AC62" s="214" t="s">
        <v>1638</v>
      </c>
      <c r="AD62" s="88" t="s">
        <v>1170</v>
      </c>
      <c r="AE62" s="3536">
        <f>IF(AE56=0,0,AE68/AE56*100)</f>
        <v>0</v>
      </c>
      <c r="AF62" s="3536">
        <f>IF(AF56=0,0,AF68/AF56*100)</f>
        <v>0</v>
      </c>
      <c r="AG62" s="3536">
        <f>IF(AG56=0,0,AG68/AG56*100)</f>
        <v>0</v>
      </c>
      <c r="AH62" s="3536">
        <f>IF(AH56=0,0,AH68/AH56*100)</f>
        <v>0</v>
      </c>
      <c r="AI62" s="3536">
        <f>IF(AI56=0,0,AI68/AI56*100)</f>
        <v>0</v>
      </c>
      <c r="AJ62" s="3536">
        <f>IF(AJ56=0,0,AJ68/AJ56*100)</f>
        <v>0</v>
      </c>
      <c r="AK62" s="3536">
        <f>IF(AK56=0,0,AK68/AK56*100)</f>
        <v>0</v>
      </c>
      <c r="AL62" s="3536">
        <f>IF(AL56=0,0,AL68/AL56*100)</f>
        <v>0</v>
      </c>
      <c r="AM62" s="3536">
        <f>IF(AM56=0,0,AM68/AM56*100)</f>
        <v>0</v>
      </c>
      <c r="AN62" s="3536">
        <f>IF(AN56=0,0,AN68/AN56*100)</f>
        <v>0</v>
      </c>
      <c r="AO62" s="3536">
        <f>IF(AO56=0,0,AO68/AO56*100)</f>
        <v>0</v>
      </c>
      <c r="AP62" s="3536">
        <f>IF(AP56=0,0,AP68/AP56*100)</f>
        <v>0</v>
      </c>
      <c r="AQ62" s="3536">
        <f>IF(AQ56=0,0,AQ68/AQ56*100)</f>
        <v>0</v>
      </c>
      <c r="AR62" s="3536">
        <f>IF(AR56=0,0,AR68/AR56*100)</f>
        <v>0</v>
      </c>
      <c r="AS62" s="3536">
        <f>IF(AS56=0,0,AS68/AS56*100)</f>
        <v>0</v>
      </c>
      <c r="AT62" s="3536">
        <f>IF(AT56=0,0,AT68/AT56*100)</f>
        <v>0</v>
      </c>
      <c r="AU62" s="3536">
        <f>IF(AU56=0,0,AU68/AU56*100)</f>
        <v>0</v>
      </c>
      <c r="AV62" s="3536">
        <f>IF(AV56=0,0,AV68/AV56*100)</f>
        <v>0</v>
      </c>
      <c r="AW62" s="3536">
        <f>IF(AW56=0,0,AW68/AW56*100)</f>
        <v>0</v>
      </c>
      <c r="AX62" s="3536">
        <f>IF(AX56=0,0,AX68/AX56*100)</f>
        <v>0</v>
      </c>
      <c r="AY62" s="3536">
        <f>IF(AY56=0,0,AY68/AY56*100)</f>
        <v>0</v>
      </c>
      <c r="AZ62" s="3536">
        <f>IF(AZ56=0,0,AZ68/AZ56*100)</f>
        <v>0</v>
      </c>
      <c r="BA62" s="3536">
        <f>IF(BA56=0,0,BA68/BA56*100)</f>
        <v>0</v>
      </c>
      <c r="BB62" s="3536">
        <f>IF(BB56=0,0,BB68/BB56*100)</f>
        <v>0</v>
      </c>
      <c r="BC62" s="2070"/>
      <c r="BD62" s="1459"/>
      <c r="BE62" s="1459"/>
      <c r="BF62" s="1034" t="s">
        <v>1697</v>
      </c>
    </row>
    <row customHeight="1" ht="14.625" hidden="1">
      <c r="A63" s="1459"/>
      <c r="B63" s="1416"/>
      <c r="C63" s="1459"/>
      <c r="D63" s="1459"/>
      <c r="E63" s="628">
        <v>15</v>
      </c>
      <c r="F63" s="50" cm="1" t="str">
        <f t="array" ref="F63:F63">OFFSET(E63,-1,1)</f>
        <v>0</v>
      </c>
      <c r="G63" s="104" t="s">
        <v>1439</v>
      </c>
      <c r="H63" s="1459"/>
      <c r="I63" s="1459"/>
      <c r="J63" s="1459"/>
      <c r="K63" s="1459"/>
      <c r="L63" s="1459"/>
      <c r="M63" s="1459"/>
      <c r="N63" s="1459"/>
      <c r="O63" s="1459"/>
      <c r="P63" s="1459"/>
      <c r="Q63" s="1459"/>
      <c r="R63" s="1459"/>
      <c r="S63" s="1459"/>
      <c r="T63" s="465" cm="1" t="str">
        <f t="array" ref="T63:T63">T62</f>
        <v>false</v>
      </c>
      <c r="U63" s="1459"/>
      <c r="V63" s="1459"/>
      <c r="W63" s="1459"/>
      <c r="X63" s="1596"/>
      <c r="Y63" s="1459"/>
      <c r="Z63" s="1597"/>
      <c r="AA63" s="1459"/>
      <c r="AB63" s="88" t="s">
        <v>1698</v>
      </c>
      <c r="AC63" s="214" t="s">
        <v>1642</v>
      </c>
      <c r="AD63" s="88" t="s">
        <v>1170</v>
      </c>
      <c r="AE63" s="3536">
        <f>IF(AE57=0,0,AE69/AE57*100)</f>
        <v>0</v>
      </c>
      <c r="AF63" s="3536">
        <f>IF(AF57=0,0,AF69/AF57*100)</f>
        <v>0</v>
      </c>
      <c r="AG63" s="3536">
        <f>IF(AG57=0,0,AG69/AG57*100)</f>
        <v>0</v>
      </c>
      <c r="AH63" s="3536">
        <f>IF(AH57=0,0,AH69/AH57*100)</f>
        <v>0</v>
      </c>
      <c r="AI63" s="3536">
        <f>IF(AI57=0,0,AI69/AI57*100)</f>
        <v>0</v>
      </c>
      <c r="AJ63" s="3536">
        <f>IF(AJ57=0,0,AJ69/AJ57*100)</f>
        <v>0</v>
      </c>
      <c r="AK63" s="3536">
        <f>IF(AK57=0,0,AK69/AK57*100)</f>
        <v>0</v>
      </c>
      <c r="AL63" s="3536">
        <f>IF(AL57=0,0,AL69/AL57*100)</f>
        <v>0</v>
      </c>
      <c r="AM63" s="3536">
        <f>IF(AM57=0,0,AM69/AM57*100)</f>
        <v>0</v>
      </c>
      <c r="AN63" s="3536">
        <f>IF(AN57=0,0,AN69/AN57*100)</f>
        <v>0</v>
      </c>
      <c r="AO63" s="3536">
        <f>IF(AO57=0,0,AO69/AO57*100)</f>
        <v>0</v>
      </c>
      <c r="AP63" s="3536">
        <f>IF(AP57=0,0,AP69/AP57*100)</f>
        <v>0</v>
      </c>
      <c r="AQ63" s="3536">
        <f>IF(AQ57=0,0,AQ69/AQ57*100)</f>
        <v>0</v>
      </c>
      <c r="AR63" s="3536">
        <f>IF(AR57=0,0,AR69/AR57*100)</f>
        <v>0</v>
      </c>
      <c r="AS63" s="3536">
        <f>IF(AS57=0,0,AS69/AS57*100)</f>
        <v>0</v>
      </c>
      <c r="AT63" s="3536">
        <f>IF(AT57=0,0,AT69/AT57*100)</f>
        <v>0</v>
      </c>
      <c r="AU63" s="3536">
        <f>IF(AU57=0,0,AU69/AU57*100)</f>
        <v>0</v>
      </c>
      <c r="AV63" s="3536">
        <f>IF(AV57=0,0,AV69/AV57*100)</f>
        <v>0</v>
      </c>
      <c r="AW63" s="3536">
        <f>IF(AW57=0,0,AW69/AW57*100)</f>
        <v>0</v>
      </c>
      <c r="AX63" s="3536">
        <f>IF(AX57=0,0,AX69/AX57*100)</f>
        <v>0</v>
      </c>
      <c r="AY63" s="3536">
        <f>IF(AY57=0,0,AY69/AY57*100)</f>
        <v>0</v>
      </c>
      <c r="AZ63" s="3536">
        <f>IF(AZ57=0,0,AZ69/AZ57*100)</f>
        <v>0</v>
      </c>
      <c r="BA63" s="3536">
        <f>IF(BA57=0,0,BA69/BA57*100)</f>
        <v>0</v>
      </c>
      <c r="BB63" s="3536">
        <f>IF(BB57=0,0,BB69/BB57*100)</f>
        <v>0</v>
      </c>
      <c r="BC63" s="2070"/>
      <c r="BD63" s="1459"/>
      <c r="BE63" s="1459"/>
      <c r="BF63" s="1034" t="s">
        <v>1699</v>
      </c>
    </row>
    <row s="525" customFormat="1" customHeight="1" ht="14.625" hidden="1">
      <c r="A64" s="525"/>
      <c r="B64" s="431"/>
      <c r="C64" s="525"/>
      <c r="D64" s="525"/>
      <c r="E64" s="628">
        <v>15</v>
      </c>
      <c r="F64" s="50" cm="1" t="str">
        <f t="array" ref="F64:F64">OFFSET(E64,-1,1)</f>
        <v>0</v>
      </c>
      <c r="G64" s="104" t="s">
        <v>1228</v>
      </c>
      <c r="H64" s="525"/>
      <c r="I64" s="525"/>
      <c r="J64" s="525"/>
      <c r="K64" s="124" t="str">
        <f>F64&amp;"komm"</f>
        <v>0komm</v>
      </c>
      <c r="L64" s="919" cm="1" t="str">
        <f t="array" ref="L64:L64">BC64</f>
        <v>0</v>
      </c>
      <c r="M64" s="525"/>
      <c r="N64" s="525"/>
      <c r="O64" s="525"/>
      <c r="P64" s="525"/>
      <c r="Q64" s="525"/>
      <c r="R64" s="525"/>
      <c r="S64" s="525"/>
      <c r="T64" s="465" cm="1" t="str">
        <f t="array" ref="T64:T64">T63</f>
        <v>false</v>
      </c>
      <c r="U64" s="525"/>
      <c r="V64" s="525"/>
      <c r="W64" s="525"/>
      <c r="X64" s="1596"/>
      <c r="Y64" s="525"/>
      <c r="Z64" s="1597"/>
      <c r="AA64" s="525"/>
      <c r="AB64" s="211">
        <v>7</v>
      </c>
      <c r="AC64" s="212" t="s">
        <v>1700</v>
      </c>
      <c r="AD64" s="89" t="s">
        <v>1514</v>
      </c>
      <c r="AE64" s="3534">
        <f>SUM(AE65:AE69)</f>
        <v>0</v>
      </c>
      <c r="AF64" s="3534">
        <f>SUM(AF65:AF69)</f>
        <v>0</v>
      </c>
      <c r="AG64" s="3534">
        <f>SUM(AG65:AG69)</f>
        <v>0</v>
      </c>
      <c r="AH64" s="3534">
        <f>SUM(AH65:AH69)</f>
        <v>0</v>
      </c>
      <c r="AI64" s="3534">
        <f>SUM(AI65:AI69)</f>
        <v>0</v>
      </c>
      <c r="AJ64" s="3534">
        <f>SUM(AJ65:AJ69)</f>
        <v>0</v>
      </c>
      <c r="AK64" s="3534">
        <f>SUM(AK65:AK69)</f>
        <v>0</v>
      </c>
      <c r="AL64" s="3534">
        <f>SUM(AL65:AL69)</f>
        <v>0</v>
      </c>
      <c r="AM64" s="3534">
        <f>SUM(AM65:AM69)</f>
        <v>0</v>
      </c>
      <c r="AN64" s="3534">
        <f>SUM(AN65:AN69)</f>
        <v>0</v>
      </c>
      <c r="AO64" s="3534">
        <f>SUM(AO65:AO69)</f>
        <v>0</v>
      </c>
      <c r="AP64" s="3534">
        <f>SUM(AP65:AP69)</f>
        <v>0</v>
      </c>
      <c r="AQ64" s="3534">
        <f>SUM(AQ65:AQ69)</f>
        <v>0</v>
      </c>
      <c r="AR64" s="3534">
        <f>SUM(AR65:AR69)</f>
        <v>0</v>
      </c>
      <c r="AS64" s="3534">
        <f>SUM(AS65:AS69)</f>
        <v>0</v>
      </c>
      <c r="AT64" s="3534">
        <f>SUM(AT65:AT69)</f>
        <v>0</v>
      </c>
      <c r="AU64" s="3534">
        <f>SUM(AU65:AU69)</f>
        <v>0</v>
      </c>
      <c r="AV64" s="3534">
        <f>SUM(AV65:AV69)</f>
        <v>0</v>
      </c>
      <c r="AW64" s="3534">
        <f>SUM(AW65:AW69)</f>
        <v>0</v>
      </c>
      <c r="AX64" s="3534">
        <f>SUM(AX65:AX69)</f>
        <v>0</v>
      </c>
      <c r="AY64" s="3534">
        <f>SUM(AY65:AY69)</f>
        <v>0</v>
      </c>
      <c r="AZ64" s="3534">
        <f>SUM(AZ65:AZ69)</f>
        <v>0</v>
      </c>
      <c r="BA64" s="3534">
        <f>SUM(BA65:BA69)</f>
        <v>0</v>
      </c>
      <c r="BB64" s="3534">
        <f>SUM(BB65:BB69)</f>
        <v>0</v>
      </c>
      <c r="BC64" s="2070"/>
      <c r="BD64" s="525"/>
      <c r="BE64" s="525"/>
      <c r="BF64" s="1034" t="s">
        <v>1701</v>
      </c>
    </row>
    <row customHeight="1" ht="14.625" hidden="1">
      <c r="A65" s="1459"/>
      <c r="B65" s="1416"/>
      <c r="C65" s="1459"/>
      <c r="D65" s="1459"/>
      <c r="E65" s="628">
        <v>15</v>
      </c>
      <c r="F65" s="50" cm="1" t="str">
        <f t="array" ref="F65:F65">OFFSET(E65,-1,1)</f>
        <v>0</v>
      </c>
      <c r="G65" s="104" t="s">
        <v>1390</v>
      </c>
      <c r="H65" s="1459"/>
      <c r="I65" s="1459"/>
      <c r="J65" s="1459"/>
      <c r="K65" s="1459"/>
      <c r="L65" s="1459"/>
      <c r="M65" s="1459"/>
      <c r="N65" s="1459"/>
      <c r="O65" s="1459"/>
      <c r="P65" s="1459"/>
      <c r="Q65" s="1459"/>
      <c r="R65" s="1459"/>
      <c r="S65" s="1459"/>
      <c r="T65" s="465" cm="1" t="str">
        <f t="array" ref="T65:T65">T64</f>
        <v>false</v>
      </c>
      <c r="U65" s="1459"/>
      <c r="V65" s="1459"/>
      <c r="W65" s="1459"/>
      <c r="X65" s="1596"/>
      <c r="Y65" s="1459"/>
      <c r="Z65" s="1597"/>
      <c r="AA65" s="1459"/>
      <c r="AB65" s="88" t="s">
        <v>1294</v>
      </c>
      <c r="AC65" s="214" t="s">
        <v>1629</v>
      </c>
      <c r="AD65" s="89" t="s">
        <v>1514</v>
      </c>
      <c r="AE65" s="3536"/>
      <c r="AF65" s="3536"/>
      <c r="AG65" s="3536"/>
      <c r="AH65" s="3536"/>
      <c r="AI65" s="3536"/>
      <c r="AJ65" s="3536"/>
      <c r="AK65" s="3536"/>
      <c r="AL65" s="3536"/>
      <c r="AM65" s="3536"/>
      <c r="AN65" s="3536"/>
      <c r="AO65" s="3536"/>
      <c r="AP65" s="3536"/>
      <c r="AQ65" s="3536"/>
      <c r="AR65" s="3536"/>
      <c r="AS65" s="3536"/>
      <c r="AT65" s="3536"/>
      <c r="AU65" s="3536"/>
      <c r="AV65" s="3536"/>
      <c r="AW65" s="3536"/>
      <c r="AX65" s="3536"/>
      <c r="AY65" s="3536"/>
      <c r="AZ65" s="3536"/>
      <c r="BA65" s="3536"/>
      <c r="BB65" s="3536"/>
      <c r="BC65" s="2070"/>
      <c r="BD65" s="1459"/>
      <c r="BE65" s="1459"/>
      <c r="BF65" s="1034" t="s">
        <v>1702</v>
      </c>
    </row>
    <row customHeight="1" ht="14.625" hidden="1">
      <c r="A66" s="1459"/>
      <c r="B66" s="1416"/>
      <c r="C66" s="1459"/>
      <c r="D66" s="1459"/>
      <c r="E66" s="628">
        <v>15</v>
      </c>
      <c r="F66" s="50" cm="1" t="str">
        <f t="array" ref="F66:F66">OFFSET(E66,-1,1)</f>
        <v>0</v>
      </c>
      <c r="G66" s="104" t="s">
        <v>1393</v>
      </c>
      <c r="H66" s="1459"/>
      <c r="I66" s="1459"/>
      <c r="J66" s="1459"/>
      <c r="K66" s="1459"/>
      <c r="L66" s="1459"/>
      <c r="M66" s="1459"/>
      <c r="N66" s="1459"/>
      <c r="O66" s="1459"/>
      <c r="P66" s="1459"/>
      <c r="Q66" s="1459"/>
      <c r="R66" s="1459"/>
      <c r="S66" s="1459"/>
      <c r="T66" s="465" cm="1" t="str">
        <f t="array" ref="T66:T66">T65</f>
        <v>false</v>
      </c>
      <c r="U66" s="1459"/>
      <c r="V66" s="1459"/>
      <c r="W66" s="1459"/>
      <c r="X66" s="1596"/>
      <c r="Y66" s="1459"/>
      <c r="Z66" s="1597"/>
      <c r="AA66" s="1459"/>
      <c r="AB66" s="88" t="s">
        <v>1703</v>
      </c>
      <c r="AC66" s="214" t="s">
        <v>1632</v>
      </c>
      <c r="AD66" s="89" t="s">
        <v>1514</v>
      </c>
      <c r="AE66" s="3536"/>
      <c r="AF66" s="3536"/>
      <c r="AG66" s="3536"/>
      <c r="AH66" s="3536"/>
      <c r="AI66" s="3536"/>
      <c r="AJ66" s="3536"/>
      <c r="AK66" s="3536"/>
      <c r="AL66" s="3536"/>
      <c r="AM66" s="3536"/>
      <c r="AN66" s="3536"/>
      <c r="AO66" s="3536"/>
      <c r="AP66" s="3536"/>
      <c r="AQ66" s="3536"/>
      <c r="AR66" s="3536"/>
      <c r="AS66" s="3536"/>
      <c r="AT66" s="3536"/>
      <c r="AU66" s="3536"/>
      <c r="AV66" s="3536"/>
      <c r="AW66" s="3536"/>
      <c r="AX66" s="3536"/>
      <c r="AY66" s="3536"/>
      <c r="AZ66" s="3536"/>
      <c r="BA66" s="3536"/>
      <c r="BB66" s="3536"/>
      <c r="BC66" s="2070"/>
      <c r="BD66" s="1459"/>
      <c r="BE66" s="1459"/>
      <c r="BF66" s="1034" t="s">
        <v>1704</v>
      </c>
    </row>
    <row customHeight="1" ht="14.625" hidden="1">
      <c r="A67" s="1459"/>
      <c r="B67" s="1416"/>
      <c r="C67" s="1459"/>
      <c r="D67" s="1459"/>
      <c r="E67" s="628">
        <v>15</v>
      </c>
      <c r="F67" s="50" cm="1" t="str">
        <f t="array" ref="F67:F67">OFFSET(E67,-1,1)</f>
        <v>0</v>
      </c>
      <c r="G67" s="104" t="s">
        <v>1705</v>
      </c>
      <c r="H67" s="1459"/>
      <c r="I67" s="1459"/>
      <c r="J67" s="1459"/>
      <c r="K67" s="1459"/>
      <c r="L67" s="1459"/>
      <c r="M67" s="1459"/>
      <c r="N67" s="1459"/>
      <c r="O67" s="1459"/>
      <c r="P67" s="1459"/>
      <c r="Q67" s="1459"/>
      <c r="R67" s="1459"/>
      <c r="S67" s="1459"/>
      <c r="T67" s="465" cm="1" t="str">
        <f t="array" ref="T67:T67">T66</f>
        <v>false</v>
      </c>
      <c r="U67" s="1459"/>
      <c r="V67" s="1459"/>
      <c r="W67" s="1459"/>
      <c r="X67" s="1596"/>
      <c r="Y67" s="1459"/>
      <c r="Z67" s="1597"/>
      <c r="AA67" s="1459"/>
      <c r="AB67" s="88" t="s">
        <v>1706</v>
      </c>
      <c r="AC67" s="214" t="s">
        <v>1635</v>
      </c>
      <c r="AD67" s="89" t="s">
        <v>1514</v>
      </c>
      <c r="AE67" s="3536"/>
      <c r="AF67" s="3536"/>
      <c r="AG67" s="3536"/>
      <c r="AH67" s="3536"/>
      <c r="AI67" s="3536"/>
      <c r="AJ67" s="3536"/>
      <c r="AK67" s="3536"/>
      <c r="AL67" s="3536"/>
      <c r="AM67" s="3536"/>
      <c r="AN67" s="3536"/>
      <c r="AO67" s="3536"/>
      <c r="AP67" s="3536"/>
      <c r="AQ67" s="3536"/>
      <c r="AR67" s="3536"/>
      <c r="AS67" s="3536"/>
      <c r="AT67" s="3536"/>
      <c r="AU67" s="3536"/>
      <c r="AV67" s="3536"/>
      <c r="AW67" s="3536"/>
      <c r="AX67" s="3536"/>
      <c r="AY67" s="3536"/>
      <c r="AZ67" s="3536"/>
      <c r="BA67" s="3536"/>
      <c r="BB67" s="3536"/>
      <c r="BC67" s="2070"/>
      <c r="BD67" s="1459"/>
      <c r="BE67" s="1459"/>
      <c r="BF67" s="1034" t="s">
        <v>1707</v>
      </c>
    </row>
    <row customHeight="1" ht="14.625" hidden="1">
      <c r="A68" s="1459"/>
      <c r="B68" s="1416"/>
      <c r="C68" s="1459"/>
      <c r="D68" s="1459"/>
      <c r="E68" s="628">
        <v>15</v>
      </c>
      <c r="F68" s="50" cm="1" t="str">
        <f t="array" ref="F68:F68">OFFSET(E68,-1,1)</f>
        <v>0</v>
      </c>
      <c r="G68" s="104" t="s">
        <v>1708</v>
      </c>
      <c r="H68" s="1459"/>
      <c r="I68" s="1459"/>
      <c r="J68" s="1459"/>
      <c r="K68" s="1459"/>
      <c r="L68" s="1459"/>
      <c r="M68" s="1459"/>
      <c r="N68" s="1459"/>
      <c r="O68" s="1459"/>
      <c r="P68" s="1459"/>
      <c r="Q68" s="1459"/>
      <c r="R68" s="1459"/>
      <c r="S68" s="1459"/>
      <c r="T68" s="465" cm="1" t="str">
        <f t="array" ref="T68:T68">T67</f>
        <v>false</v>
      </c>
      <c r="U68" s="1459"/>
      <c r="V68" s="1459"/>
      <c r="W68" s="1459"/>
      <c r="X68" s="1596"/>
      <c r="Y68" s="1459"/>
      <c r="Z68" s="1597"/>
      <c r="AA68" s="1459"/>
      <c r="AB68" s="88" t="s">
        <v>1709</v>
      </c>
      <c r="AC68" s="214" t="s">
        <v>1638</v>
      </c>
      <c r="AD68" s="89" t="s">
        <v>1514</v>
      </c>
      <c r="AE68" s="3536"/>
      <c r="AF68" s="3536"/>
      <c r="AG68" s="3536"/>
      <c r="AH68" s="3536"/>
      <c r="AI68" s="3536"/>
      <c r="AJ68" s="3536"/>
      <c r="AK68" s="3536"/>
      <c r="AL68" s="3536"/>
      <c r="AM68" s="3536"/>
      <c r="AN68" s="3536"/>
      <c r="AO68" s="3536"/>
      <c r="AP68" s="3536"/>
      <c r="AQ68" s="3536"/>
      <c r="AR68" s="3536"/>
      <c r="AS68" s="3536"/>
      <c r="AT68" s="3536"/>
      <c r="AU68" s="3536"/>
      <c r="AV68" s="3536"/>
      <c r="AW68" s="3536"/>
      <c r="AX68" s="3536"/>
      <c r="AY68" s="3536"/>
      <c r="AZ68" s="3536"/>
      <c r="BA68" s="3536"/>
      <c r="BB68" s="3536"/>
      <c r="BC68" s="2070"/>
      <c r="BD68" s="1459"/>
      <c r="BE68" s="1459"/>
      <c r="BF68" s="1034" t="s">
        <v>1710</v>
      </c>
    </row>
    <row customHeight="1" ht="14.625" hidden="1">
      <c r="A69" s="1459"/>
      <c r="B69" s="1416"/>
      <c r="C69" s="1459"/>
      <c r="D69" s="1459"/>
      <c r="E69" s="628">
        <v>15</v>
      </c>
      <c r="F69" s="50" cm="1" t="str">
        <f t="array" ref="F69:F69">OFFSET(E69,-1,1)</f>
        <v>0</v>
      </c>
      <c r="G69" s="104" t="s">
        <v>1711</v>
      </c>
      <c r="H69" s="1459"/>
      <c r="I69" s="1459"/>
      <c r="J69" s="1459"/>
      <c r="K69" s="1459"/>
      <c r="L69" s="1459"/>
      <c r="M69" s="1459"/>
      <c r="N69" s="1459"/>
      <c r="O69" s="1459"/>
      <c r="P69" s="1459"/>
      <c r="Q69" s="1459"/>
      <c r="R69" s="1459"/>
      <c r="S69" s="1459"/>
      <c r="T69" s="465" cm="1" t="str">
        <f t="array" ref="T69:T69">T68</f>
        <v>false</v>
      </c>
      <c r="U69" s="1459"/>
      <c r="V69" s="1459"/>
      <c r="W69" s="1459"/>
      <c r="X69" s="1596"/>
      <c r="Y69" s="1459"/>
      <c r="Z69" s="1597"/>
      <c r="AA69" s="1459"/>
      <c r="AB69" s="88" t="s">
        <v>1712</v>
      </c>
      <c r="AC69" s="214" t="s">
        <v>1642</v>
      </c>
      <c r="AD69" s="89" t="s">
        <v>1514</v>
      </c>
      <c r="AE69" s="3536"/>
      <c r="AF69" s="3536"/>
      <c r="AG69" s="3536"/>
      <c r="AH69" s="3536"/>
      <c r="AI69" s="3536"/>
      <c r="AJ69" s="3536"/>
      <c r="AK69" s="3536"/>
      <c r="AL69" s="3536"/>
      <c r="AM69" s="3536"/>
      <c r="AN69" s="3536"/>
      <c r="AO69" s="3536"/>
      <c r="AP69" s="3536"/>
      <c r="AQ69" s="3536"/>
      <c r="AR69" s="3536"/>
      <c r="AS69" s="3536"/>
      <c r="AT69" s="3536"/>
      <c r="AU69" s="3536"/>
      <c r="AV69" s="3536"/>
      <c r="AW69" s="3536"/>
      <c r="AX69" s="3536"/>
      <c r="AY69" s="3536"/>
      <c r="AZ69" s="3536"/>
      <c r="BA69" s="3536"/>
      <c r="BB69" s="3536"/>
      <c r="BC69" s="2070"/>
      <c r="BD69" s="1459"/>
      <c r="BE69" s="1459"/>
      <c r="BF69" s="1034" t="s">
        <v>1713</v>
      </c>
    </row>
    <row s="525" customFormat="1" customHeight="1" ht="14.625" hidden="1">
      <c r="A70" s="525"/>
      <c r="B70" s="431"/>
      <c r="C70" s="525"/>
      <c r="D70" s="525"/>
      <c r="E70" s="628">
        <v>15</v>
      </c>
      <c r="F70" s="50" cm="1" t="str">
        <f t="array" ref="F70:F70">OFFSET(E70,-1,1)</f>
        <v>0</v>
      </c>
      <c r="G70" s="104" t="s">
        <v>1275</v>
      </c>
      <c r="H70" s="525"/>
      <c r="I70" s="525"/>
      <c r="J70" s="525"/>
      <c r="K70" s="525"/>
      <c r="L70" s="525"/>
      <c r="M70" s="525"/>
      <c r="N70" s="525"/>
      <c r="O70" s="525"/>
      <c r="P70" s="525"/>
      <c r="Q70" s="525"/>
      <c r="R70" s="525"/>
      <c r="S70" s="525"/>
      <c r="T70" s="465" cm="1" t="str">
        <f t="array" ref="T70:T70">T69</f>
        <v>false</v>
      </c>
      <c r="U70" s="525"/>
      <c r="V70" s="525"/>
      <c r="W70" s="525"/>
      <c r="X70" s="1596"/>
      <c r="Y70" s="525"/>
      <c r="Z70" s="1597"/>
      <c r="AA70" s="525"/>
      <c r="AB70" s="211">
        <v>8</v>
      </c>
      <c r="AC70" s="212" t="s">
        <v>1714</v>
      </c>
      <c r="AD70" s="89" t="s">
        <v>1514</v>
      </c>
      <c r="AE70" s="3534">
        <f>SUM(AE71:AE75)</f>
        <v>0</v>
      </c>
      <c r="AF70" s="3534">
        <f>SUM(AF71:AF75)</f>
        <v>0</v>
      </c>
      <c r="AG70" s="3534">
        <f>SUM(AG71:AG75)</f>
        <v>0</v>
      </c>
      <c r="AH70" s="3534">
        <f>SUM(AH71:AH75)</f>
        <v>0</v>
      </c>
      <c r="AI70" s="3534">
        <f>SUM(AI71:AI75)</f>
        <v>0</v>
      </c>
      <c r="AJ70" s="3534">
        <f>SUM(AJ71:AJ75)</f>
        <v>0</v>
      </c>
      <c r="AK70" s="3534">
        <f>SUM(AK71:AK75)</f>
        <v>0</v>
      </c>
      <c r="AL70" s="3534">
        <f>SUM(AL71:AL75)</f>
        <v>0</v>
      </c>
      <c r="AM70" s="3534">
        <f>SUM(AM71:AM75)</f>
        <v>0</v>
      </c>
      <c r="AN70" s="3534">
        <f>SUM(AN71:AN75)</f>
        <v>0</v>
      </c>
      <c r="AO70" s="3534">
        <f>SUM(AO71:AO75)</f>
        <v>0</v>
      </c>
      <c r="AP70" s="3534">
        <f>SUM(AP71:AP75)</f>
        <v>0</v>
      </c>
      <c r="AQ70" s="3534">
        <f>SUM(AQ71:AQ75)</f>
        <v>0</v>
      </c>
      <c r="AR70" s="3534">
        <f>SUM(AR71:AR75)</f>
        <v>0</v>
      </c>
      <c r="AS70" s="3534">
        <f>SUM(AS71:AS75)</f>
        <v>0</v>
      </c>
      <c r="AT70" s="3534">
        <f>SUM(AT71:AT75)</f>
        <v>0</v>
      </c>
      <c r="AU70" s="3534">
        <f>SUM(AU71:AU75)</f>
        <v>0</v>
      </c>
      <c r="AV70" s="3534">
        <f>SUM(AV71:AV75)</f>
        <v>0</v>
      </c>
      <c r="AW70" s="3534">
        <f>SUM(AW71:AW75)</f>
        <v>0</v>
      </c>
      <c r="AX70" s="3534">
        <f>SUM(AX71:AX75)</f>
        <v>0</v>
      </c>
      <c r="AY70" s="3534">
        <f>SUM(AY71:AY75)</f>
        <v>0</v>
      </c>
      <c r="AZ70" s="3534">
        <f>SUM(AZ71:AZ75)</f>
        <v>0</v>
      </c>
      <c r="BA70" s="3534">
        <f>SUM(BA71:BA75)</f>
        <v>0</v>
      </c>
      <c r="BB70" s="3534">
        <f>SUM(BB71:BB75)</f>
        <v>0</v>
      </c>
      <c r="BC70" s="2070"/>
      <c r="BD70" s="525"/>
      <c r="BE70" s="525"/>
      <c r="BF70" s="1034" t="s">
        <v>1715</v>
      </c>
    </row>
    <row customHeight="1" ht="14.625" hidden="1">
      <c r="A71" s="1459"/>
      <c r="B71" s="1416"/>
      <c r="C71" s="1459"/>
      <c r="D71" s="1459"/>
      <c r="E71" s="628">
        <v>15</v>
      </c>
      <c r="F71" s="50" cm="1" t="str">
        <f t="array" ref="F71:F71">OFFSET(E71,-1,1)</f>
        <v>0</v>
      </c>
      <c r="G71" s="104" t="s">
        <v>1278</v>
      </c>
      <c r="H71" s="1459"/>
      <c r="I71" s="1459"/>
      <c r="J71" s="1459"/>
      <c r="K71" s="1459"/>
      <c r="L71" s="1459"/>
      <c r="M71" s="1459"/>
      <c r="N71" s="1459"/>
      <c r="O71" s="1459"/>
      <c r="P71" s="1459"/>
      <c r="Q71" s="1459"/>
      <c r="R71" s="1459"/>
      <c r="S71" s="1459"/>
      <c r="T71" s="465" cm="1" t="str">
        <f t="array" ref="T71:T71">T70</f>
        <v>false</v>
      </c>
      <c r="U71" s="1459"/>
      <c r="V71" s="1459"/>
      <c r="W71" s="1459"/>
      <c r="X71" s="1596"/>
      <c r="Y71" s="1459"/>
      <c r="Z71" s="1597"/>
      <c r="AA71" s="1459"/>
      <c r="AB71" s="88" t="s">
        <v>1301</v>
      </c>
      <c r="AC71" s="214" t="s">
        <v>1629</v>
      </c>
      <c r="AD71" s="89" t="s">
        <v>1514</v>
      </c>
      <c r="AE71" s="3536"/>
      <c r="AF71" s="3536"/>
      <c r="AG71" s="3536"/>
      <c r="AH71" s="3536"/>
      <c r="AI71" s="3536"/>
      <c r="AJ71" s="3536"/>
      <c r="AK71" s="3536"/>
      <c r="AL71" s="3536"/>
      <c r="AM71" s="3536"/>
      <c r="AN71" s="3536"/>
      <c r="AO71" s="3536"/>
      <c r="AP71" s="3536"/>
      <c r="AQ71" s="3536"/>
      <c r="AR71" s="3536"/>
      <c r="AS71" s="3536"/>
      <c r="AT71" s="3536"/>
      <c r="AU71" s="3536"/>
      <c r="AV71" s="3536"/>
      <c r="AW71" s="3536"/>
      <c r="AX71" s="3536"/>
      <c r="AY71" s="3536"/>
      <c r="AZ71" s="3536"/>
      <c r="BA71" s="3536"/>
      <c r="BB71" s="3536"/>
      <c r="BC71" s="2070"/>
      <c r="BD71" s="1459"/>
      <c r="BE71" s="1459"/>
      <c r="BF71" s="1034" t="s">
        <v>1716</v>
      </c>
    </row>
    <row customHeight="1" ht="14.625" hidden="1">
      <c r="A72" s="1459"/>
      <c r="B72" s="1416"/>
      <c r="C72" s="1459"/>
      <c r="D72" s="1459"/>
      <c r="E72" s="628">
        <v>15</v>
      </c>
      <c r="F72" s="50" cm="1" t="str">
        <f t="array" ref="F72:F72">OFFSET(E72,-1,1)</f>
        <v>0</v>
      </c>
      <c r="G72" s="104" t="s">
        <v>1282</v>
      </c>
      <c r="H72" s="1459"/>
      <c r="I72" s="1459"/>
      <c r="J72" s="1459"/>
      <c r="K72" s="1459"/>
      <c r="L72" s="1459"/>
      <c r="M72" s="1459"/>
      <c r="N72" s="1459"/>
      <c r="O72" s="1459"/>
      <c r="P72" s="1459"/>
      <c r="Q72" s="1459"/>
      <c r="R72" s="1459"/>
      <c r="S72" s="1459"/>
      <c r="T72" s="465" cm="1" t="str">
        <f t="array" ref="T72:T72">T71</f>
        <v>false</v>
      </c>
      <c r="U72" s="1459"/>
      <c r="V72" s="1459"/>
      <c r="W72" s="1459"/>
      <c r="X72" s="1596"/>
      <c r="Y72" s="1459"/>
      <c r="Z72" s="1597"/>
      <c r="AA72" s="1459"/>
      <c r="AB72" s="88" t="s">
        <v>1318</v>
      </c>
      <c r="AC72" s="214" t="s">
        <v>1632</v>
      </c>
      <c r="AD72" s="89" t="s">
        <v>1514</v>
      </c>
      <c r="AE72" s="3536"/>
      <c r="AF72" s="3536"/>
      <c r="AG72" s="3536"/>
      <c r="AH72" s="3536"/>
      <c r="AI72" s="3536"/>
      <c r="AJ72" s="3536"/>
      <c r="AK72" s="3536"/>
      <c r="AL72" s="3536"/>
      <c r="AM72" s="3536"/>
      <c r="AN72" s="3536"/>
      <c r="AO72" s="3536"/>
      <c r="AP72" s="3536"/>
      <c r="AQ72" s="3536"/>
      <c r="AR72" s="3536"/>
      <c r="AS72" s="3536"/>
      <c r="AT72" s="3536"/>
      <c r="AU72" s="3536"/>
      <c r="AV72" s="3536"/>
      <c r="AW72" s="3536"/>
      <c r="AX72" s="3536"/>
      <c r="AY72" s="3536"/>
      <c r="AZ72" s="3536"/>
      <c r="BA72" s="3536"/>
      <c r="BB72" s="3536"/>
      <c r="BC72" s="2070"/>
      <c r="BD72" s="1459"/>
      <c r="BE72" s="1459"/>
      <c r="BF72" s="1034" t="s">
        <v>1717</v>
      </c>
    </row>
    <row customHeight="1" ht="14.625" hidden="1">
      <c r="A73" s="1459"/>
      <c r="B73" s="1416"/>
      <c r="C73" s="1459"/>
      <c r="D73" s="1459"/>
      <c r="E73" s="628">
        <v>15</v>
      </c>
      <c r="F73" s="50" cm="1" t="str">
        <f t="array" ref="F73:F73">OFFSET(E73,-1,1)</f>
        <v>0</v>
      </c>
      <c r="G73" s="104" t="s">
        <v>1286</v>
      </c>
      <c r="H73" s="1459"/>
      <c r="I73" s="1459"/>
      <c r="J73" s="1459"/>
      <c r="K73" s="1459"/>
      <c r="L73" s="1459"/>
      <c r="M73" s="1459"/>
      <c r="N73" s="1459"/>
      <c r="O73" s="1459"/>
      <c r="P73" s="1459"/>
      <c r="Q73" s="1459"/>
      <c r="R73" s="1459"/>
      <c r="S73" s="1459"/>
      <c r="T73" s="465" cm="1" t="str">
        <f t="array" ref="T73:T73">T72</f>
        <v>false</v>
      </c>
      <c r="U73" s="1459"/>
      <c r="V73" s="1459"/>
      <c r="W73" s="1459"/>
      <c r="X73" s="1596"/>
      <c r="Y73" s="1459"/>
      <c r="Z73" s="1597"/>
      <c r="AA73" s="1459"/>
      <c r="AB73" s="88" t="s">
        <v>1330</v>
      </c>
      <c r="AC73" s="214" t="s">
        <v>1635</v>
      </c>
      <c r="AD73" s="89" t="s">
        <v>1514</v>
      </c>
      <c r="AE73" s="3536"/>
      <c r="AF73" s="3536"/>
      <c r="AG73" s="3536"/>
      <c r="AH73" s="3536"/>
      <c r="AI73" s="3536"/>
      <c r="AJ73" s="3536"/>
      <c r="AK73" s="3536"/>
      <c r="AL73" s="3536"/>
      <c r="AM73" s="3536"/>
      <c r="AN73" s="3536"/>
      <c r="AO73" s="3536"/>
      <c r="AP73" s="3536"/>
      <c r="AQ73" s="3536"/>
      <c r="AR73" s="3536"/>
      <c r="AS73" s="3536"/>
      <c r="AT73" s="3536"/>
      <c r="AU73" s="3536"/>
      <c r="AV73" s="3536"/>
      <c r="AW73" s="3536"/>
      <c r="AX73" s="3536"/>
      <c r="AY73" s="3536"/>
      <c r="AZ73" s="3536"/>
      <c r="BA73" s="3536"/>
      <c r="BB73" s="3536"/>
      <c r="BC73" s="2070"/>
      <c r="BD73" s="1459"/>
      <c r="BE73" s="1459"/>
      <c r="BF73" s="1034" t="s">
        <v>1718</v>
      </c>
    </row>
    <row customHeight="1" ht="14.625" hidden="1">
      <c r="A74" s="1459"/>
      <c r="B74" s="1416"/>
      <c r="C74" s="1459"/>
      <c r="D74" s="1459"/>
      <c r="E74" s="628">
        <v>15</v>
      </c>
      <c r="F74" s="50" cm="1" t="str">
        <f t="array" ref="F74:F74">OFFSET(E74,-1,1)</f>
        <v>0</v>
      </c>
      <c r="G74" s="104" t="s">
        <v>1719</v>
      </c>
      <c r="H74" s="1459"/>
      <c r="I74" s="1459"/>
      <c r="J74" s="1459"/>
      <c r="K74" s="1459"/>
      <c r="L74" s="1459"/>
      <c r="M74" s="1459"/>
      <c r="N74" s="1459"/>
      <c r="O74" s="1459"/>
      <c r="P74" s="1459"/>
      <c r="Q74" s="1459"/>
      <c r="R74" s="1459"/>
      <c r="S74" s="1459"/>
      <c r="T74" s="465" cm="1" t="str">
        <f t="array" ref="T74:T74">T73</f>
        <v>false</v>
      </c>
      <c r="U74" s="1459"/>
      <c r="V74" s="1459"/>
      <c r="W74" s="1459"/>
      <c r="X74" s="1596"/>
      <c r="Y74" s="1459"/>
      <c r="Z74" s="1597"/>
      <c r="AA74" s="1459"/>
      <c r="AB74" s="88" t="s">
        <v>1365</v>
      </c>
      <c r="AC74" s="214" t="s">
        <v>1638</v>
      </c>
      <c r="AD74" s="89" t="s">
        <v>1514</v>
      </c>
      <c r="AE74" s="3536"/>
      <c r="AF74" s="3536"/>
      <c r="AG74" s="3536"/>
      <c r="AH74" s="3536"/>
      <c r="AI74" s="3536"/>
      <c r="AJ74" s="3536"/>
      <c r="AK74" s="3536"/>
      <c r="AL74" s="3536"/>
      <c r="AM74" s="3536"/>
      <c r="AN74" s="3536"/>
      <c r="AO74" s="3536"/>
      <c r="AP74" s="3536"/>
      <c r="AQ74" s="3536"/>
      <c r="AR74" s="3536"/>
      <c r="AS74" s="3536"/>
      <c r="AT74" s="3536"/>
      <c r="AU74" s="3536"/>
      <c r="AV74" s="3536"/>
      <c r="AW74" s="3536"/>
      <c r="AX74" s="3536"/>
      <c r="AY74" s="3536"/>
      <c r="AZ74" s="3536"/>
      <c r="BA74" s="3536"/>
      <c r="BB74" s="3536"/>
      <c r="BC74" s="2070"/>
      <c r="BD74" s="1459"/>
      <c r="BE74" s="1459"/>
      <c r="BF74" s="1034" t="s">
        <v>1720</v>
      </c>
    </row>
    <row customHeight="1" ht="14.625" hidden="1">
      <c r="A75" s="1459"/>
      <c r="B75" s="1416"/>
      <c r="C75" s="1459"/>
      <c r="D75" s="1459"/>
      <c r="E75" s="628">
        <v>15</v>
      </c>
      <c r="F75" s="50" cm="1" t="str">
        <f t="array" ref="F75:F75">OFFSET(E75,-1,1)</f>
        <v>0</v>
      </c>
      <c r="G75" s="104" t="s">
        <v>1721</v>
      </c>
      <c r="H75" s="1459"/>
      <c r="I75" s="1459"/>
      <c r="J75" s="1459"/>
      <c r="K75" s="1459"/>
      <c r="L75" s="1459"/>
      <c r="M75" s="1459"/>
      <c r="N75" s="1459"/>
      <c r="O75" s="1459"/>
      <c r="P75" s="1459"/>
      <c r="Q75" s="1459"/>
      <c r="R75" s="1459"/>
      <c r="S75" s="1459"/>
      <c r="T75" s="465" cm="1" t="str">
        <f t="array" ref="T75:T75">T74</f>
        <v>false</v>
      </c>
      <c r="U75" s="1459"/>
      <c r="V75" s="1459"/>
      <c r="W75" s="1459"/>
      <c r="X75" s="1596"/>
      <c r="Y75" s="1459"/>
      <c r="Z75" s="1597"/>
      <c r="AA75" s="1459"/>
      <c r="AB75" s="88" t="s">
        <v>1368</v>
      </c>
      <c r="AC75" s="214" t="s">
        <v>1642</v>
      </c>
      <c r="AD75" s="89" t="s">
        <v>1514</v>
      </c>
      <c r="AE75" s="3536"/>
      <c r="AF75" s="3536"/>
      <c r="AG75" s="3536"/>
      <c r="AH75" s="3536"/>
      <c r="AI75" s="3536"/>
      <c r="AJ75" s="3536"/>
      <c r="AK75" s="3536"/>
      <c r="AL75" s="3536"/>
      <c r="AM75" s="3536"/>
      <c r="AN75" s="3536"/>
      <c r="AO75" s="3536"/>
      <c r="AP75" s="3536"/>
      <c r="AQ75" s="3536"/>
      <c r="AR75" s="3536"/>
      <c r="AS75" s="3536"/>
      <c r="AT75" s="3536"/>
      <c r="AU75" s="3536"/>
      <c r="AV75" s="3536"/>
      <c r="AW75" s="3536"/>
      <c r="AX75" s="3536"/>
      <c r="AY75" s="3536"/>
      <c r="AZ75" s="3536"/>
      <c r="BA75" s="3536"/>
      <c r="BB75" s="3536"/>
      <c r="BC75" s="2070"/>
      <c r="BD75" s="1459"/>
      <c r="BE75" s="1459"/>
      <c r="BF75" s="1034" t="s">
        <v>1722</v>
      </c>
    </row>
    <row s="1834" customFormat="1" customHeight="1" ht="14.25">
      <c r="A76" s="1459"/>
      <c r="B76" s="1416"/>
      <c r="C76" s="1459"/>
      <c r="D76" s="1459"/>
      <c r="E76" s="628">
        <v>15</v>
      </c>
      <c r="F76" s="719" cm="1" t="str">
        <f t="array" ref="F76:F76">X76</f>
        <v>1</v>
      </c>
      <c r="G76" s="1459"/>
      <c r="H76" s="1459"/>
      <c r="I76" s="1459"/>
      <c r="J76" s="1459"/>
      <c r="K76" s="1459"/>
      <c r="L76" s="1459"/>
      <c r="M76" s="1459"/>
      <c r="N76" s="1459"/>
      <c r="O76" s="1459"/>
      <c r="P76" s="1459"/>
      <c r="Q76" s="1459"/>
      <c r="R76" s="1459"/>
      <c r="S76" s="1459"/>
      <c r="T76" s="465">
        <f>X76&gt;0</f>
        <v>1</v>
      </c>
      <c r="U76" s="1459"/>
      <c r="V76" s="104" cm="1" t="str">
        <f t="array" ref="V76:V76">ЭЭ!$AB$49</f>
        <v>Тариф 1 (Водоснабжение) - тариф на питьевую воду (Доп. признак не требуется)</v>
      </c>
      <c r="W76" s="1459"/>
      <c r="X76" s="1596" t="s">
        <v>276</v>
      </c>
      <c r="Y76" s="1459"/>
      <c r="Z76" s="1597"/>
      <c r="AA76" s="1459"/>
      <c r="AB76" s="183" cm="1" t="str">
        <f t="array" ref="AB76:AB76">ЭЭ!$AB$49</f>
        <v>Тариф 1 (Водоснабжение) - тариф на питьевую воду (Доп. признак не требуется)</v>
      </c>
      <c r="AC76" s="180"/>
      <c r="AD76" s="174"/>
      <c r="AE76" s="174"/>
      <c r="AF76" s="174"/>
      <c r="AG76" s="174"/>
      <c r="AH76" s="174"/>
      <c r="AI76" s="174"/>
      <c r="AJ76" s="174"/>
      <c r="AK76" s="174"/>
      <c r="AL76" s="174"/>
      <c r="AM76" s="174"/>
      <c r="AN76" s="174"/>
      <c r="AO76" s="174"/>
      <c r="AP76" s="174"/>
      <c r="AQ76" s="174"/>
      <c r="AR76" s="174"/>
      <c r="AS76" s="174"/>
      <c r="AT76" s="174"/>
      <c r="AU76" s="174"/>
      <c r="AV76" s="174"/>
      <c r="AW76" s="174"/>
      <c r="AX76" s="174"/>
      <c r="AY76" s="174"/>
      <c r="AZ76" s="174"/>
      <c r="BA76" s="174"/>
      <c r="BB76" s="174"/>
      <c r="BC76" s="210"/>
      <c r="BD76" s="1459"/>
      <c r="BE76" s="1459"/>
      <c r="BF76" s="1424"/>
    </row>
    <row s="525" customFormat="1" customHeight="1" ht="21.75">
      <c r="A77" s="525"/>
      <c r="B77" s="431"/>
      <c r="C77" s="525"/>
      <c r="D77" s="525"/>
      <c r="E77" s="669">
        <v>22.5</v>
      </c>
      <c r="F77" s="50" cm="1" t="str">
        <f t="array" ref="F77:F77">OFFSET(E77,-1,1)</f>
        <v>1</v>
      </c>
      <c r="G77" s="104" t="s">
        <v>332</v>
      </c>
      <c r="H77" s="525"/>
      <c r="I77" s="525"/>
      <c r="J77" s="525"/>
      <c r="K77" s="525"/>
      <c r="L77" s="525"/>
      <c r="M77" s="525"/>
      <c r="N77" s="525"/>
      <c r="O77" s="525"/>
      <c r="P77" s="525"/>
      <c r="Q77" s="525"/>
      <c r="R77" s="525"/>
      <c r="S77" s="525"/>
      <c r="T77" s="465" cm="1" t="str">
        <f t="array" ref="T77:T77">T76</f>
        <v>true</v>
      </c>
      <c r="U77" s="525"/>
      <c r="V77" s="525"/>
      <c r="W77" s="525"/>
      <c r="X77" s="1596"/>
      <c r="Y77" s="525"/>
      <c r="Z77" s="1597"/>
      <c r="AA77" s="525"/>
      <c r="AB77" s="211">
        <v>1</v>
      </c>
      <c r="AC77" s="212" t="s">
        <v>1626</v>
      </c>
      <c r="AD77" s="89" t="s">
        <v>1514</v>
      </c>
      <c r="AE77" s="1198">
        <f>SUM(AE78:AE82)</f>
        <v>0</v>
      </c>
      <c r="AF77" s="1198">
        <f>SUM(AF78:AF82)</f>
        <v>0</v>
      </c>
      <c r="AG77" s="1198">
        <f>SUM(AG78:AG82)</f>
        <v>0</v>
      </c>
      <c r="AH77" s="1198">
        <f>SUM(AH78:AH82)</f>
        <v>0</v>
      </c>
      <c r="AI77" s="1198">
        <f>SUM(AI78:AI82)</f>
        <v>0</v>
      </c>
      <c r="AJ77" s="1198">
        <f>SUM(AJ78:AJ82)</f>
        <v>0</v>
      </c>
      <c r="AK77" s="1198">
        <f>SUM(AK78:AK82)</f>
        <v>0</v>
      </c>
      <c r="AL77" s="1198">
        <f>SUM(AL78:AL82)</f>
        <v>0</v>
      </c>
      <c r="AM77" s="1198">
        <f>SUM(AM78:AM82)</f>
        <v>0</v>
      </c>
      <c r="AN77" s="3534">
        <f>SUM(AN78:AN82)</f>
        <v>0</v>
      </c>
      <c r="AO77" s="3534">
        <f>SUM(AO78:AO82)</f>
        <v>0</v>
      </c>
      <c r="AP77" s="3534">
        <f>SUM(AP78:AP82)</f>
        <v>0</v>
      </c>
      <c r="AQ77" s="3534">
        <f>SUM(AQ78:AQ82)</f>
        <v>0</v>
      </c>
      <c r="AR77" s="3534">
        <f>SUM(AR78:AR82)</f>
        <v>0</v>
      </c>
      <c r="AS77" s="1198">
        <f>SUM(AS78:AS82)</f>
        <v>0</v>
      </c>
      <c r="AT77" s="1198">
        <f>SUM(AT78:AT82)</f>
        <v>0</v>
      </c>
      <c r="AU77" s="1198">
        <f>SUM(AU78:AU82)</f>
        <v>0</v>
      </c>
      <c r="AV77" s="1198">
        <f>SUM(AV78:AV82)</f>
        <v>0</v>
      </c>
      <c r="AW77" s="1198">
        <f>SUM(AW78:AW82)</f>
        <v>0</v>
      </c>
      <c r="AX77" s="3534">
        <f>SUM(AX78:AX82)</f>
        <v>0</v>
      </c>
      <c r="AY77" s="3534">
        <f>SUM(AY78:AY82)</f>
        <v>0</v>
      </c>
      <c r="AZ77" s="3534">
        <f>SUM(AZ78:AZ82)</f>
        <v>0</v>
      </c>
      <c r="BA77" s="3534">
        <f>SUM(BA78:BA82)</f>
        <v>0</v>
      </c>
      <c r="BB77" s="3534">
        <f>SUM(BB78:BB82)</f>
        <v>0</v>
      </c>
      <c r="BC77" s="200"/>
      <c r="BD77" s="525"/>
      <c r="BE77" s="525"/>
      <c r="BF77" s="1034" t="s">
        <v>1627</v>
      </c>
    </row>
    <row s="1834" customFormat="1" customHeight="1" ht="0">
      <c r="A78" s="1459"/>
      <c r="B78" s="1416"/>
      <c r="C78" s="1459"/>
      <c r="D78" s="1459"/>
      <c r="E78" s="628">
        <v>15</v>
      </c>
      <c r="F78" s="50" cm="1" t="str">
        <f t="array" ref="F78:F78">OFFSET(E78,-1,1)</f>
        <v>1</v>
      </c>
      <c r="G78" s="104" t="s">
        <v>1175</v>
      </c>
      <c r="H78" s="1459"/>
      <c r="I78" s="1459"/>
      <c r="J78" s="1459"/>
      <c r="K78" s="1459"/>
      <c r="L78" s="1459"/>
      <c r="M78" s="1459"/>
      <c r="N78" s="1459"/>
      <c r="O78" s="1459"/>
      <c r="P78" s="1459"/>
      <c r="Q78" s="1459"/>
      <c r="R78" s="1459"/>
      <c r="S78" s="1459"/>
      <c r="T78" s="465" cm="1" t="str">
        <f t="array" ref="T78:T78">T77</f>
        <v>true</v>
      </c>
      <c r="U78" s="1459"/>
      <c r="V78" s="1459"/>
      <c r="W78" s="1459"/>
      <c r="X78" s="1596"/>
      <c r="Y78" s="1459"/>
      <c r="Z78" s="1597"/>
      <c r="AA78" s="1459"/>
      <c r="AB78" s="88" t="s">
        <v>1628</v>
      </c>
      <c r="AC78" s="214" t="s">
        <v>1629</v>
      </c>
      <c r="AD78" s="89" t="s">
        <v>1514</v>
      </c>
      <c r="AE78" s="215"/>
      <c r="AF78" s="215"/>
      <c r="AG78" s="215"/>
      <c r="AH78" s="215"/>
      <c r="AI78" s="215"/>
      <c r="AJ78" s="215"/>
      <c r="AK78" s="215"/>
      <c r="AL78" s="215"/>
      <c r="AM78" s="215"/>
      <c r="AN78" s="3536"/>
      <c r="AO78" s="3536"/>
      <c r="AP78" s="3536"/>
      <c r="AQ78" s="3536"/>
      <c r="AR78" s="3536"/>
      <c r="AS78" s="215"/>
      <c r="AT78" s="215"/>
      <c r="AU78" s="215"/>
      <c r="AV78" s="215"/>
      <c r="AW78" s="215"/>
      <c r="AX78" s="3536"/>
      <c r="AY78" s="3536"/>
      <c r="AZ78" s="3536"/>
      <c r="BA78" s="3536"/>
      <c r="BB78" s="3536"/>
      <c r="BC78" s="200"/>
      <c r="BD78" s="1459"/>
      <c r="BE78" s="1459"/>
      <c r="BF78" s="1034" t="s">
        <v>1630</v>
      </c>
    </row>
    <row s="1834" customFormat="1" customHeight="1" ht="0">
      <c r="A79" s="1459"/>
      <c r="B79" s="1416"/>
      <c r="C79" s="1459"/>
      <c r="D79" s="1459"/>
      <c r="E79" s="628">
        <v>15</v>
      </c>
      <c r="F79" s="50" cm="1" t="str">
        <f t="array" ref="F79:F79">OFFSET(E79,-1,1)</f>
        <v>1</v>
      </c>
      <c r="G79" s="104" t="s">
        <v>1179</v>
      </c>
      <c r="H79" s="1459"/>
      <c r="I79" s="1459"/>
      <c r="J79" s="1459"/>
      <c r="K79" s="1459"/>
      <c r="L79" s="1459"/>
      <c r="M79" s="1459"/>
      <c r="N79" s="1459"/>
      <c r="O79" s="1459"/>
      <c r="P79" s="1459"/>
      <c r="Q79" s="1459"/>
      <c r="R79" s="1459"/>
      <c r="S79" s="1459"/>
      <c r="T79" s="465" cm="1" t="str">
        <f t="array" ref="T79:T79">T78</f>
        <v>true</v>
      </c>
      <c r="U79" s="1459"/>
      <c r="V79" s="1459"/>
      <c r="W79" s="1459"/>
      <c r="X79" s="1596"/>
      <c r="Y79" s="1459"/>
      <c r="Z79" s="1597"/>
      <c r="AA79" s="1459"/>
      <c r="AB79" s="88" t="s">
        <v>1631</v>
      </c>
      <c r="AC79" s="214" t="s">
        <v>1632</v>
      </c>
      <c r="AD79" s="89" t="s">
        <v>1514</v>
      </c>
      <c r="AE79" s="215"/>
      <c r="AF79" s="215"/>
      <c r="AG79" s="215"/>
      <c r="AH79" s="215"/>
      <c r="AI79" s="215"/>
      <c r="AJ79" s="215"/>
      <c r="AK79" s="215"/>
      <c r="AL79" s="215"/>
      <c r="AM79" s="215"/>
      <c r="AN79" s="3536"/>
      <c r="AO79" s="3536"/>
      <c r="AP79" s="3536"/>
      <c r="AQ79" s="3536"/>
      <c r="AR79" s="3536"/>
      <c r="AS79" s="215"/>
      <c r="AT79" s="215"/>
      <c r="AU79" s="215"/>
      <c r="AV79" s="215"/>
      <c r="AW79" s="215"/>
      <c r="AX79" s="3536"/>
      <c r="AY79" s="3536"/>
      <c r="AZ79" s="3536"/>
      <c r="BA79" s="3536"/>
      <c r="BB79" s="3536"/>
      <c r="BC79" s="200"/>
      <c r="BD79" s="1459"/>
      <c r="BE79" s="1459"/>
      <c r="BF79" s="1034" t="s">
        <v>1633</v>
      </c>
    </row>
    <row s="1834" customFormat="1" customHeight="1" ht="0">
      <c r="A80" s="1459"/>
      <c r="B80" s="1416"/>
      <c r="C80" s="1459"/>
      <c r="D80" s="1459"/>
      <c r="E80" s="628">
        <v>15</v>
      </c>
      <c r="F80" s="50" cm="1" t="str">
        <f t="array" ref="F80:F80">OFFSET(E80,-1,1)</f>
        <v>1</v>
      </c>
      <c r="G80" s="104" t="s">
        <v>1182</v>
      </c>
      <c r="H80" s="1459"/>
      <c r="I80" s="1459"/>
      <c r="J80" s="1459"/>
      <c r="K80" s="1459"/>
      <c r="L80" s="1459"/>
      <c r="M80" s="1459"/>
      <c r="N80" s="1459"/>
      <c r="O80" s="1459"/>
      <c r="P80" s="1459"/>
      <c r="Q80" s="1459"/>
      <c r="R80" s="1459"/>
      <c r="S80" s="1459"/>
      <c r="T80" s="465" cm="1" t="str">
        <f t="array" ref="T80:T80">T79</f>
        <v>true</v>
      </c>
      <c r="U80" s="1459"/>
      <c r="V80" s="1459"/>
      <c r="W80" s="1459"/>
      <c r="X80" s="1596"/>
      <c r="Y80" s="1459"/>
      <c r="Z80" s="1597"/>
      <c r="AA80" s="1459"/>
      <c r="AB80" s="88" t="s">
        <v>1634</v>
      </c>
      <c r="AC80" s="214" t="s">
        <v>1635</v>
      </c>
      <c r="AD80" s="89" t="s">
        <v>1514</v>
      </c>
      <c r="AE80" s="215"/>
      <c r="AF80" s="215"/>
      <c r="AG80" s="215"/>
      <c r="AH80" s="215"/>
      <c r="AI80" s="215"/>
      <c r="AJ80" s="215"/>
      <c r="AK80" s="215"/>
      <c r="AL80" s="215"/>
      <c r="AM80" s="215"/>
      <c r="AN80" s="3536"/>
      <c r="AO80" s="3536"/>
      <c r="AP80" s="3536"/>
      <c r="AQ80" s="3536"/>
      <c r="AR80" s="3536"/>
      <c r="AS80" s="215"/>
      <c r="AT80" s="215"/>
      <c r="AU80" s="215"/>
      <c r="AV80" s="215"/>
      <c r="AW80" s="215"/>
      <c r="AX80" s="3536"/>
      <c r="AY80" s="3536"/>
      <c r="AZ80" s="3536"/>
      <c r="BA80" s="3536"/>
      <c r="BB80" s="3536"/>
      <c r="BC80" s="200"/>
      <c r="BD80" s="1459"/>
      <c r="BE80" s="1459"/>
      <c r="BF80" s="1034" t="s">
        <v>1636</v>
      </c>
    </row>
    <row s="1834" customFormat="1" customHeight="1" ht="0">
      <c r="A81" s="1459"/>
      <c r="B81" s="1416"/>
      <c r="C81" s="1459"/>
      <c r="D81" s="1459"/>
      <c r="E81" s="628">
        <v>15</v>
      </c>
      <c r="F81" s="50" cm="1" t="str">
        <f t="array" ref="F81:F81">OFFSET(E81,-1,1)</f>
        <v>1</v>
      </c>
      <c r="G81" s="104" t="s">
        <v>1186</v>
      </c>
      <c r="H81" s="1459"/>
      <c r="I81" s="1459"/>
      <c r="J81" s="1459"/>
      <c r="K81" s="1459"/>
      <c r="L81" s="1459"/>
      <c r="M81" s="1459"/>
      <c r="N81" s="1459"/>
      <c r="O81" s="1459"/>
      <c r="P81" s="1459"/>
      <c r="Q81" s="1459"/>
      <c r="R81" s="1459"/>
      <c r="S81" s="1459"/>
      <c r="T81" s="465" cm="1" t="str">
        <f t="array" ref="T81:T81">T80</f>
        <v>true</v>
      </c>
      <c r="U81" s="1459"/>
      <c r="V81" s="1459"/>
      <c r="W81" s="1459"/>
      <c r="X81" s="1596"/>
      <c r="Y81" s="1459"/>
      <c r="Z81" s="1597"/>
      <c r="AA81" s="1459"/>
      <c r="AB81" s="88" t="s">
        <v>1637</v>
      </c>
      <c r="AC81" s="214" t="s">
        <v>1638</v>
      </c>
      <c r="AD81" s="89" t="s">
        <v>1514</v>
      </c>
      <c r="AE81" s="215"/>
      <c r="AF81" s="215"/>
      <c r="AG81" s="215"/>
      <c r="AH81" s="215"/>
      <c r="AI81" s="215"/>
      <c r="AJ81" s="215"/>
      <c r="AK81" s="215"/>
      <c r="AL81" s="215"/>
      <c r="AM81" s="215"/>
      <c r="AN81" s="3536"/>
      <c r="AO81" s="3536"/>
      <c r="AP81" s="3536"/>
      <c r="AQ81" s="3536"/>
      <c r="AR81" s="3536"/>
      <c r="AS81" s="215"/>
      <c r="AT81" s="215"/>
      <c r="AU81" s="215"/>
      <c r="AV81" s="215"/>
      <c r="AW81" s="215"/>
      <c r="AX81" s="3536"/>
      <c r="AY81" s="3536"/>
      <c r="AZ81" s="3536"/>
      <c r="BA81" s="3536"/>
      <c r="BB81" s="3536"/>
      <c r="BC81" s="200"/>
      <c r="BD81" s="1459"/>
      <c r="BE81" s="1459"/>
      <c r="BF81" s="1034" t="s">
        <v>1639</v>
      </c>
    </row>
    <row s="1834" customFormat="1" customHeight="1" ht="0">
      <c r="A82" s="1459"/>
      <c r="B82" s="1416"/>
      <c r="C82" s="1459"/>
      <c r="D82" s="1459"/>
      <c r="E82" s="628">
        <v>15</v>
      </c>
      <c r="F82" s="50" cm="1" t="str">
        <f t="array" ref="F82:F82">OFFSET(E82,-1,1)</f>
        <v>1</v>
      </c>
      <c r="G82" s="104" t="s">
        <v>1640</v>
      </c>
      <c r="H82" s="1459"/>
      <c r="I82" s="1459"/>
      <c r="J82" s="1459"/>
      <c r="K82" s="1459"/>
      <c r="L82" s="1459"/>
      <c r="M82" s="1459"/>
      <c r="N82" s="1459"/>
      <c r="O82" s="1459"/>
      <c r="P82" s="1459"/>
      <c r="Q82" s="1459"/>
      <c r="R82" s="1459"/>
      <c r="S82" s="1459"/>
      <c r="T82" s="465" cm="1" t="str">
        <f t="array" ref="T82:T82">T81</f>
        <v>true</v>
      </c>
      <c r="U82" s="1459"/>
      <c r="V82" s="1459"/>
      <c r="W82" s="1459"/>
      <c r="X82" s="1596"/>
      <c r="Y82" s="1459"/>
      <c r="Z82" s="1597"/>
      <c r="AA82" s="1459"/>
      <c r="AB82" s="88" t="s">
        <v>1641</v>
      </c>
      <c r="AC82" s="214" t="s">
        <v>1642</v>
      </c>
      <c r="AD82" s="89" t="s">
        <v>1514</v>
      </c>
      <c r="AE82" s="215"/>
      <c r="AF82" s="215"/>
      <c r="AG82" s="215"/>
      <c r="AH82" s="215"/>
      <c r="AI82" s="215"/>
      <c r="AJ82" s="215"/>
      <c r="AK82" s="215"/>
      <c r="AL82" s="215"/>
      <c r="AM82" s="215"/>
      <c r="AN82" s="3536"/>
      <c r="AO82" s="3536"/>
      <c r="AP82" s="3536"/>
      <c r="AQ82" s="3536"/>
      <c r="AR82" s="3536"/>
      <c r="AS82" s="215"/>
      <c r="AT82" s="215"/>
      <c r="AU82" s="215"/>
      <c r="AV82" s="215"/>
      <c r="AW82" s="215"/>
      <c r="AX82" s="3536"/>
      <c r="AY82" s="3536"/>
      <c r="AZ82" s="3536"/>
      <c r="BA82" s="3536"/>
      <c r="BB82" s="3536"/>
      <c r="BC82" s="200"/>
      <c r="BD82" s="1459"/>
      <c r="BE82" s="1459"/>
      <c r="BF82" s="1034" t="s">
        <v>1643</v>
      </c>
    </row>
    <row s="525" customFormat="1" customHeight="1" ht="14.25">
      <c r="A83" s="525"/>
      <c r="B83" s="431"/>
      <c r="C83" s="525"/>
      <c r="D83" s="525"/>
      <c r="E83" s="628">
        <v>15</v>
      </c>
      <c r="F83" s="50" cm="1" t="str">
        <f t="array" ref="F83:F83">OFFSET(E83,-1,1)</f>
        <v>1</v>
      </c>
      <c r="G83" s="104" t="s">
        <v>333</v>
      </c>
      <c r="H83" s="525"/>
      <c r="I83" s="525"/>
      <c r="J83" s="525"/>
      <c r="K83" s="525"/>
      <c r="L83" s="525"/>
      <c r="M83" s="525"/>
      <c r="N83" s="525"/>
      <c r="O83" s="525"/>
      <c r="P83" s="525"/>
      <c r="Q83" s="525"/>
      <c r="R83" s="525"/>
      <c r="S83" s="525"/>
      <c r="T83" s="465" cm="1" t="str">
        <f t="array" ref="T83:T83">T82</f>
        <v>true</v>
      </c>
      <c r="U83" s="525"/>
      <c r="V83" s="525"/>
      <c r="W83" s="525"/>
      <c r="X83" s="1596"/>
      <c r="Y83" s="525"/>
      <c r="Z83" s="1597"/>
      <c r="AA83" s="525"/>
      <c r="AB83" s="211">
        <v>2</v>
      </c>
      <c r="AC83" s="212" t="s">
        <v>1644</v>
      </c>
      <c r="AD83" s="89" t="s">
        <v>1514</v>
      </c>
      <c r="AE83" s="1198">
        <f>SUM(AE84:AE88)</f>
        <v>0</v>
      </c>
      <c r="AF83" s="1198">
        <f>SUM(AF84:AF88)</f>
        <v>0</v>
      </c>
      <c r="AG83" s="1198">
        <f>SUM(AG84:AG88)</f>
        <v>0</v>
      </c>
      <c r="AH83" s="1198">
        <f>SUM(AH84:AH88)</f>
        <v>0</v>
      </c>
      <c r="AI83" s="1198">
        <f>SUM(AI84:AI88)</f>
        <v>0</v>
      </c>
      <c r="AJ83" s="1198">
        <f>SUM(AJ84:AJ88)</f>
        <v>0</v>
      </c>
      <c r="AK83" s="1198">
        <f>SUM(AK84:AK88)</f>
        <v>0</v>
      </c>
      <c r="AL83" s="1198">
        <f>SUM(AL84:AL88)</f>
        <v>0</v>
      </c>
      <c r="AM83" s="1198">
        <f>SUM(AM84:AM88)</f>
        <v>0</v>
      </c>
      <c r="AN83" s="3534">
        <f>SUM(AN84:AN88)</f>
        <v>0</v>
      </c>
      <c r="AO83" s="3534">
        <f>SUM(AO84:AO88)</f>
        <v>0</v>
      </c>
      <c r="AP83" s="3534">
        <f>SUM(AP84:AP88)</f>
        <v>0</v>
      </c>
      <c r="AQ83" s="3534">
        <f>SUM(AQ84:AQ88)</f>
        <v>0</v>
      </c>
      <c r="AR83" s="3534">
        <f>SUM(AR84:AR88)</f>
        <v>0</v>
      </c>
      <c r="AS83" s="1198">
        <f>SUM(AS84:AS88)</f>
        <v>0</v>
      </c>
      <c r="AT83" s="1198">
        <f>SUM(AT84:AT88)</f>
        <v>0</v>
      </c>
      <c r="AU83" s="1198">
        <f>SUM(AU84:AU88)</f>
        <v>0</v>
      </c>
      <c r="AV83" s="1198">
        <f>SUM(AV84:AV88)</f>
        <v>0</v>
      </c>
      <c r="AW83" s="1198">
        <f>SUM(AW84:AW88)</f>
        <v>0</v>
      </c>
      <c r="AX83" s="3534">
        <f>SUM(AX84:AX88)</f>
        <v>0</v>
      </c>
      <c r="AY83" s="3534">
        <f>SUM(AY84:AY88)</f>
        <v>0</v>
      </c>
      <c r="AZ83" s="3534">
        <f>SUM(AZ84:AZ88)</f>
        <v>0</v>
      </c>
      <c r="BA83" s="3534">
        <f>SUM(BA84:BA88)</f>
        <v>0</v>
      </c>
      <c r="BB83" s="3534">
        <f>SUM(BB84:BB88)</f>
        <v>0</v>
      </c>
      <c r="BC83" s="200"/>
      <c r="BD83" s="525"/>
      <c r="BE83" s="525"/>
      <c r="BF83" s="1034" t="s">
        <v>1645</v>
      </c>
    </row>
    <row s="1834" customFormat="1" customHeight="1" ht="0">
      <c r="A84" s="1459"/>
      <c r="B84" s="1416"/>
      <c r="C84" s="1459"/>
      <c r="D84" s="1459"/>
      <c r="E84" s="628">
        <v>15</v>
      </c>
      <c r="F84" s="50" cm="1" t="str">
        <f t="array" ref="F84:F84">OFFSET(E84,-1,1)</f>
        <v>1</v>
      </c>
      <c r="G84" s="104" t="s">
        <v>1193</v>
      </c>
      <c r="H84" s="1459"/>
      <c r="I84" s="1459"/>
      <c r="J84" s="1459"/>
      <c r="K84" s="1459"/>
      <c r="L84" s="1459"/>
      <c r="M84" s="1459"/>
      <c r="N84" s="1459"/>
      <c r="O84" s="1459"/>
      <c r="P84" s="1459"/>
      <c r="Q84" s="1459"/>
      <c r="R84" s="1459"/>
      <c r="S84" s="1459"/>
      <c r="T84" s="465" cm="1" t="str">
        <f t="array" ref="T84:T84">T83</f>
        <v>true</v>
      </c>
      <c r="U84" s="1459"/>
      <c r="V84" s="1459"/>
      <c r="W84" s="1459"/>
      <c r="X84" s="1596"/>
      <c r="Y84" s="1459"/>
      <c r="Z84" s="1597"/>
      <c r="AA84" s="1459"/>
      <c r="AB84" s="88" t="s">
        <v>1250</v>
      </c>
      <c r="AC84" s="214" t="s">
        <v>1629</v>
      </c>
      <c r="AD84" s="89" t="s">
        <v>1514</v>
      </c>
      <c r="AE84" s="215"/>
      <c r="AF84" s="215"/>
      <c r="AG84" s="215"/>
      <c r="AH84" s="215"/>
      <c r="AI84" s="215"/>
      <c r="AJ84" s="215"/>
      <c r="AK84" s="215"/>
      <c r="AL84" s="215"/>
      <c r="AM84" s="215"/>
      <c r="AN84" s="3536"/>
      <c r="AO84" s="3536"/>
      <c r="AP84" s="3536"/>
      <c r="AQ84" s="3536"/>
      <c r="AR84" s="3536"/>
      <c r="AS84" s="215"/>
      <c r="AT84" s="215"/>
      <c r="AU84" s="215"/>
      <c r="AV84" s="215"/>
      <c r="AW84" s="215"/>
      <c r="AX84" s="3536"/>
      <c r="AY84" s="3536"/>
      <c r="AZ84" s="3536"/>
      <c r="BA84" s="3536"/>
      <c r="BB84" s="3536"/>
      <c r="BC84" s="200"/>
      <c r="BD84" s="1459"/>
      <c r="BE84" s="1459"/>
      <c r="BF84" s="1034" t="s">
        <v>1646</v>
      </c>
    </row>
    <row s="1834" customFormat="1" customHeight="1" ht="0">
      <c r="A85" s="1459"/>
      <c r="B85" s="1416"/>
      <c r="C85" s="1459"/>
      <c r="D85" s="1459"/>
      <c r="E85" s="628">
        <v>15</v>
      </c>
      <c r="F85" s="50" cm="1" t="str">
        <f t="array" ref="F85:F85">OFFSET(E85,-1,1)</f>
        <v>1</v>
      </c>
      <c r="G85" s="104" t="s">
        <v>1196</v>
      </c>
      <c r="H85" s="1459"/>
      <c r="I85" s="1459"/>
      <c r="J85" s="1459"/>
      <c r="K85" s="1459"/>
      <c r="L85" s="1459"/>
      <c r="M85" s="1459"/>
      <c r="N85" s="1459"/>
      <c r="O85" s="1459"/>
      <c r="P85" s="1459"/>
      <c r="Q85" s="1459"/>
      <c r="R85" s="1459"/>
      <c r="S85" s="1459"/>
      <c r="T85" s="465" cm="1" t="str">
        <f t="array" ref="T85:T85">T84</f>
        <v>true</v>
      </c>
      <c r="U85" s="1459"/>
      <c r="V85" s="1459"/>
      <c r="W85" s="1459"/>
      <c r="X85" s="1596"/>
      <c r="Y85" s="1459"/>
      <c r="Z85" s="1597"/>
      <c r="AA85" s="1459"/>
      <c r="AB85" s="88" t="s">
        <v>1254</v>
      </c>
      <c r="AC85" s="214" t="s">
        <v>1632</v>
      </c>
      <c r="AD85" s="89" t="s">
        <v>1514</v>
      </c>
      <c r="AE85" s="215"/>
      <c r="AF85" s="215"/>
      <c r="AG85" s="215"/>
      <c r="AH85" s="215"/>
      <c r="AI85" s="215"/>
      <c r="AJ85" s="215"/>
      <c r="AK85" s="215"/>
      <c r="AL85" s="215"/>
      <c r="AM85" s="215"/>
      <c r="AN85" s="3536"/>
      <c r="AO85" s="3536"/>
      <c r="AP85" s="3536"/>
      <c r="AQ85" s="3536"/>
      <c r="AR85" s="3536"/>
      <c r="AS85" s="215"/>
      <c r="AT85" s="215"/>
      <c r="AU85" s="215"/>
      <c r="AV85" s="215"/>
      <c r="AW85" s="215"/>
      <c r="AX85" s="3536"/>
      <c r="AY85" s="3536"/>
      <c r="AZ85" s="3536"/>
      <c r="BA85" s="3536"/>
      <c r="BB85" s="3536"/>
      <c r="BC85" s="200"/>
      <c r="BD85" s="1459"/>
      <c r="BE85" s="1459"/>
      <c r="BF85" s="1034" t="s">
        <v>1647</v>
      </c>
    </row>
    <row s="1834" customFormat="1" customHeight="1" ht="0">
      <c r="A86" s="1459"/>
      <c r="B86" s="1416"/>
      <c r="C86" s="1459"/>
      <c r="D86" s="1459"/>
      <c r="E86" s="628">
        <v>15</v>
      </c>
      <c r="F86" s="50" cm="1" t="str">
        <f t="array" ref="F86:F86">OFFSET(E86,-1,1)</f>
        <v>1</v>
      </c>
      <c r="G86" s="104" t="s">
        <v>1648</v>
      </c>
      <c r="H86" s="1459"/>
      <c r="I86" s="1459"/>
      <c r="J86" s="1459"/>
      <c r="K86" s="1459"/>
      <c r="L86" s="1459"/>
      <c r="M86" s="1459"/>
      <c r="N86" s="1459"/>
      <c r="O86" s="1459"/>
      <c r="P86" s="1459"/>
      <c r="Q86" s="1459"/>
      <c r="R86" s="1459"/>
      <c r="S86" s="1459"/>
      <c r="T86" s="465" cm="1" t="str">
        <f t="array" ref="T86:T86">T85</f>
        <v>true</v>
      </c>
      <c r="U86" s="1459"/>
      <c r="V86" s="1459"/>
      <c r="W86" s="1459"/>
      <c r="X86" s="1596"/>
      <c r="Y86" s="1459"/>
      <c r="Z86" s="1597"/>
      <c r="AA86" s="1459"/>
      <c r="AB86" s="88" t="s">
        <v>1258</v>
      </c>
      <c r="AC86" s="214" t="s">
        <v>1635</v>
      </c>
      <c r="AD86" s="89" t="s">
        <v>1514</v>
      </c>
      <c r="AE86" s="215"/>
      <c r="AF86" s="215"/>
      <c r="AG86" s="215"/>
      <c r="AH86" s="215"/>
      <c r="AI86" s="215"/>
      <c r="AJ86" s="215"/>
      <c r="AK86" s="215"/>
      <c r="AL86" s="215"/>
      <c r="AM86" s="215"/>
      <c r="AN86" s="3536"/>
      <c r="AO86" s="3536"/>
      <c r="AP86" s="3536"/>
      <c r="AQ86" s="3536"/>
      <c r="AR86" s="3536"/>
      <c r="AS86" s="215"/>
      <c r="AT86" s="215"/>
      <c r="AU86" s="215"/>
      <c r="AV86" s="215"/>
      <c r="AW86" s="215"/>
      <c r="AX86" s="3536"/>
      <c r="AY86" s="3536"/>
      <c r="AZ86" s="3536"/>
      <c r="BA86" s="3536"/>
      <c r="BB86" s="3536"/>
      <c r="BC86" s="200"/>
      <c r="BD86" s="1459"/>
      <c r="BE86" s="1459"/>
      <c r="BF86" s="1034" t="s">
        <v>1649</v>
      </c>
    </row>
    <row s="1834" customFormat="1" customHeight="1" ht="0">
      <c r="A87" s="1459"/>
      <c r="B87" s="1416"/>
      <c r="C87" s="1459"/>
      <c r="D87" s="1459"/>
      <c r="E87" s="628">
        <v>15</v>
      </c>
      <c r="F87" s="50" cm="1" t="str">
        <f t="array" ref="F87:F87">OFFSET(E87,-1,1)</f>
        <v>1</v>
      </c>
      <c r="G87" s="104" t="s">
        <v>1650</v>
      </c>
      <c r="H87" s="1459"/>
      <c r="I87" s="1459"/>
      <c r="J87" s="1459"/>
      <c r="K87" s="1459"/>
      <c r="L87" s="1459"/>
      <c r="M87" s="1459"/>
      <c r="N87" s="1459"/>
      <c r="O87" s="1459"/>
      <c r="P87" s="1459"/>
      <c r="Q87" s="1459"/>
      <c r="R87" s="1459"/>
      <c r="S87" s="1459"/>
      <c r="T87" s="465" cm="1" t="str">
        <f t="array" ref="T87:T87">T86</f>
        <v>true</v>
      </c>
      <c r="U87" s="1459"/>
      <c r="V87" s="1459"/>
      <c r="W87" s="1459"/>
      <c r="X87" s="1596"/>
      <c r="Y87" s="1459"/>
      <c r="Z87" s="1597"/>
      <c r="AA87" s="1459"/>
      <c r="AB87" s="88" t="s">
        <v>1651</v>
      </c>
      <c r="AC87" s="214" t="s">
        <v>1638</v>
      </c>
      <c r="AD87" s="89" t="s">
        <v>1514</v>
      </c>
      <c r="AE87" s="215"/>
      <c r="AF87" s="215"/>
      <c r="AG87" s="215"/>
      <c r="AH87" s="215"/>
      <c r="AI87" s="215"/>
      <c r="AJ87" s="215"/>
      <c r="AK87" s="215"/>
      <c r="AL87" s="215"/>
      <c r="AM87" s="215"/>
      <c r="AN87" s="3536"/>
      <c r="AO87" s="3536"/>
      <c r="AP87" s="3536"/>
      <c r="AQ87" s="3536"/>
      <c r="AR87" s="3536"/>
      <c r="AS87" s="215"/>
      <c r="AT87" s="215"/>
      <c r="AU87" s="215"/>
      <c r="AV87" s="215"/>
      <c r="AW87" s="215"/>
      <c r="AX87" s="3536"/>
      <c r="AY87" s="3536"/>
      <c r="AZ87" s="3536"/>
      <c r="BA87" s="3536"/>
      <c r="BB87" s="3536"/>
      <c r="BC87" s="200"/>
      <c r="BD87" s="1459"/>
      <c r="BE87" s="1459"/>
      <c r="BF87" s="1034" t="s">
        <v>1652</v>
      </c>
    </row>
    <row s="1834" customFormat="1" customHeight="1" ht="0">
      <c r="A88" s="1459"/>
      <c r="B88" s="1416"/>
      <c r="C88" s="1459"/>
      <c r="D88" s="1459"/>
      <c r="E88" s="628">
        <v>15</v>
      </c>
      <c r="F88" s="50" cm="1" t="str">
        <f t="array" ref="F88:F88">OFFSET(E88,-1,1)</f>
        <v>1</v>
      </c>
      <c r="G88" s="104" t="s">
        <v>1653</v>
      </c>
      <c r="H88" s="1459"/>
      <c r="I88" s="1459"/>
      <c r="J88" s="1459"/>
      <c r="K88" s="1459"/>
      <c r="L88" s="1459"/>
      <c r="M88" s="1459"/>
      <c r="N88" s="1459"/>
      <c r="O88" s="1459"/>
      <c r="P88" s="1459"/>
      <c r="Q88" s="1459"/>
      <c r="R88" s="1459"/>
      <c r="S88" s="1459"/>
      <c r="T88" s="465" cm="1" t="str">
        <f t="array" ref="T88:T88">T87</f>
        <v>true</v>
      </c>
      <c r="U88" s="1459"/>
      <c r="V88" s="1459"/>
      <c r="W88" s="1459"/>
      <c r="X88" s="1596"/>
      <c r="Y88" s="1459"/>
      <c r="Z88" s="1597"/>
      <c r="AA88" s="1459"/>
      <c r="AB88" s="88" t="s">
        <v>1654</v>
      </c>
      <c r="AC88" s="214" t="s">
        <v>1642</v>
      </c>
      <c r="AD88" s="89" t="s">
        <v>1514</v>
      </c>
      <c r="AE88" s="215"/>
      <c r="AF88" s="215"/>
      <c r="AG88" s="215"/>
      <c r="AH88" s="215"/>
      <c r="AI88" s="215"/>
      <c r="AJ88" s="215"/>
      <c r="AK88" s="215"/>
      <c r="AL88" s="215"/>
      <c r="AM88" s="215"/>
      <c r="AN88" s="3536"/>
      <c r="AO88" s="3536"/>
      <c r="AP88" s="3536"/>
      <c r="AQ88" s="3536"/>
      <c r="AR88" s="3536"/>
      <c r="AS88" s="215"/>
      <c r="AT88" s="215"/>
      <c r="AU88" s="215"/>
      <c r="AV88" s="215"/>
      <c r="AW88" s="215"/>
      <c r="AX88" s="3536"/>
      <c r="AY88" s="3536"/>
      <c r="AZ88" s="3536"/>
      <c r="BA88" s="3536"/>
      <c r="BB88" s="3536"/>
      <c r="BC88" s="200"/>
      <c r="BD88" s="1459"/>
      <c r="BE88" s="1459"/>
      <c r="BF88" s="1034" t="s">
        <v>1655</v>
      </c>
    </row>
    <row s="525" customFormat="1" customHeight="1" ht="14.25">
      <c r="A89" s="525"/>
      <c r="B89" s="431"/>
      <c r="C89" s="525"/>
      <c r="D89" s="525"/>
      <c r="E89" s="628">
        <v>15</v>
      </c>
      <c r="F89" s="50" cm="1" t="str">
        <f t="array" ref="F89:F89">OFFSET(E89,-1,1)</f>
        <v>1</v>
      </c>
      <c r="G89" s="104" t="s">
        <v>334</v>
      </c>
      <c r="H89" s="525"/>
      <c r="I89" s="525"/>
      <c r="J89" s="525"/>
      <c r="K89" s="525"/>
      <c r="L89" s="525"/>
      <c r="M89" s="525"/>
      <c r="N89" s="525"/>
      <c r="O89" s="525"/>
      <c r="P89" s="525"/>
      <c r="Q89" s="525"/>
      <c r="R89" s="525"/>
      <c r="S89" s="525"/>
      <c r="T89" s="465" cm="1" t="str">
        <f t="array" ref="T89:T89">T88</f>
        <v>true</v>
      </c>
      <c r="U89" s="525"/>
      <c r="V89" s="525"/>
      <c r="W89" s="525"/>
      <c r="X89" s="1596"/>
      <c r="Y89" s="525"/>
      <c r="Z89" s="1597"/>
      <c r="AA89" s="525"/>
      <c r="AB89" s="211">
        <v>3</v>
      </c>
      <c r="AC89" s="212" t="s">
        <v>1656</v>
      </c>
      <c r="AD89" s="89" t="s">
        <v>1514</v>
      </c>
      <c r="AE89" s="1198">
        <f>SUM(AE90:AE94)</f>
        <v>0</v>
      </c>
      <c r="AF89" s="1198">
        <f>SUM(AF90:AF94)</f>
        <v>0</v>
      </c>
      <c r="AG89" s="1198">
        <f>SUM(AG90:AG94)</f>
        <v>0</v>
      </c>
      <c r="AH89" s="1198">
        <f>SUM(AH90:AH94)</f>
        <v>0</v>
      </c>
      <c r="AI89" s="1198">
        <f>SUM(AI90:AI94)</f>
        <v>0</v>
      </c>
      <c r="AJ89" s="1198">
        <f>SUM(AJ90:AJ94)</f>
        <v>0</v>
      </c>
      <c r="AK89" s="1198">
        <f>SUM(AK90:AK94)</f>
        <v>0</v>
      </c>
      <c r="AL89" s="1198">
        <f>SUM(AL90:AL94)</f>
        <v>0</v>
      </c>
      <c r="AM89" s="1198">
        <f>SUM(AM90:AM94)</f>
        <v>0</v>
      </c>
      <c r="AN89" s="3534">
        <f>SUM(AN90:AN94)</f>
        <v>0</v>
      </c>
      <c r="AO89" s="3534">
        <f>SUM(AO90:AO94)</f>
        <v>0</v>
      </c>
      <c r="AP89" s="3534">
        <f>SUM(AP90:AP94)</f>
        <v>0</v>
      </c>
      <c r="AQ89" s="3534">
        <f>SUM(AQ90:AQ94)</f>
        <v>0</v>
      </c>
      <c r="AR89" s="3534">
        <f>SUM(AR90:AR94)</f>
        <v>0</v>
      </c>
      <c r="AS89" s="1198">
        <f>SUM(AS90:AS94)</f>
        <v>0</v>
      </c>
      <c r="AT89" s="1198">
        <f>SUM(AT90:AT94)</f>
        <v>0</v>
      </c>
      <c r="AU89" s="1198">
        <f>SUM(AU90:AU94)</f>
        <v>0</v>
      </c>
      <c r="AV89" s="1198">
        <f>SUM(AV90:AV94)</f>
        <v>0</v>
      </c>
      <c r="AW89" s="1198">
        <f>SUM(AW90:AW94)</f>
        <v>0</v>
      </c>
      <c r="AX89" s="3534">
        <f>SUM(AX90:AX94)</f>
        <v>0</v>
      </c>
      <c r="AY89" s="3534">
        <f>SUM(AY90:AY94)</f>
        <v>0</v>
      </c>
      <c r="AZ89" s="3534">
        <f>SUM(AZ90:AZ94)</f>
        <v>0</v>
      </c>
      <c r="BA89" s="3534">
        <f>SUM(BA90:BA94)</f>
        <v>0</v>
      </c>
      <c r="BB89" s="3534">
        <f>SUM(BB90:BB94)</f>
        <v>0</v>
      </c>
      <c r="BC89" s="200"/>
      <c r="BD89" s="525"/>
      <c r="BE89" s="525"/>
      <c r="BF89" s="1034" t="s">
        <v>1657</v>
      </c>
    </row>
    <row s="1834" customFormat="1" customHeight="1" ht="0">
      <c r="A90" s="1459"/>
      <c r="B90" s="1416"/>
      <c r="C90" s="1459"/>
      <c r="D90" s="1459"/>
      <c r="E90" s="628">
        <v>15</v>
      </c>
      <c r="F90" s="50" cm="1" t="str">
        <f t="array" ref="F90:F90">OFFSET(E90,-1,1)</f>
        <v>1</v>
      </c>
      <c r="G90" s="104" t="s">
        <v>1658</v>
      </c>
      <c r="H90" s="1459"/>
      <c r="I90" s="1459"/>
      <c r="J90" s="1459"/>
      <c r="K90" s="1459"/>
      <c r="L90" s="1459"/>
      <c r="M90" s="1459"/>
      <c r="N90" s="1459"/>
      <c r="O90" s="1459"/>
      <c r="P90" s="1459"/>
      <c r="Q90" s="1459"/>
      <c r="R90" s="1459"/>
      <c r="S90" s="1459"/>
      <c r="T90" s="465" cm="1" t="str">
        <f t="array" ref="T90:T90">T89</f>
        <v>true</v>
      </c>
      <c r="U90" s="1459"/>
      <c r="V90" s="1459"/>
      <c r="W90" s="1459"/>
      <c r="X90" s="1596"/>
      <c r="Y90" s="1459"/>
      <c r="Z90" s="1597"/>
      <c r="AA90" s="1459"/>
      <c r="AB90" s="88" t="s">
        <v>1264</v>
      </c>
      <c r="AC90" s="214" t="s">
        <v>1629</v>
      </c>
      <c r="AD90" s="89" t="s">
        <v>1514</v>
      </c>
      <c r="AE90" s="215"/>
      <c r="AF90" s="215"/>
      <c r="AG90" s="215"/>
      <c r="AH90" s="215"/>
      <c r="AI90" s="215"/>
      <c r="AJ90" s="215"/>
      <c r="AK90" s="215"/>
      <c r="AL90" s="215"/>
      <c r="AM90" s="215"/>
      <c r="AN90" s="3536"/>
      <c r="AO90" s="3536"/>
      <c r="AP90" s="3536"/>
      <c r="AQ90" s="3536"/>
      <c r="AR90" s="3536"/>
      <c r="AS90" s="215"/>
      <c r="AT90" s="215"/>
      <c r="AU90" s="215"/>
      <c r="AV90" s="215"/>
      <c r="AW90" s="215"/>
      <c r="AX90" s="3536"/>
      <c r="AY90" s="3536"/>
      <c r="AZ90" s="3536"/>
      <c r="BA90" s="3536"/>
      <c r="BB90" s="3536"/>
      <c r="BC90" s="200"/>
      <c r="BD90" s="1459"/>
      <c r="BE90" s="1459"/>
      <c r="BF90" s="1034" t="s">
        <v>1659</v>
      </c>
    </row>
    <row s="1834" customFormat="1" customHeight="1" ht="0">
      <c r="A91" s="1459"/>
      <c r="B91" s="1416"/>
      <c r="C91" s="1459"/>
      <c r="D91" s="1459"/>
      <c r="E91" s="628">
        <v>15</v>
      </c>
      <c r="F91" s="50" cm="1" t="str">
        <f t="array" ref="F91:F91">OFFSET(E91,-1,1)</f>
        <v>1</v>
      </c>
      <c r="G91" s="104" t="s">
        <v>1660</v>
      </c>
      <c r="H91" s="1459"/>
      <c r="I91" s="1459"/>
      <c r="J91" s="1459"/>
      <c r="K91" s="1459"/>
      <c r="L91" s="1459"/>
      <c r="M91" s="1459"/>
      <c r="N91" s="1459"/>
      <c r="O91" s="1459"/>
      <c r="P91" s="1459"/>
      <c r="Q91" s="1459"/>
      <c r="R91" s="1459"/>
      <c r="S91" s="1459"/>
      <c r="T91" s="465" cm="1" t="str">
        <f t="array" ref="T91:T91">T90</f>
        <v>true</v>
      </c>
      <c r="U91" s="1459"/>
      <c r="V91" s="1459"/>
      <c r="W91" s="1459"/>
      <c r="X91" s="1596"/>
      <c r="Y91" s="1459"/>
      <c r="Z91" s="1597"/>
      <c r="AA91" s="1459"/>
      <c r="AB91" s="88" t="s">
        <v>1268</v>
      </c>
      <c r="AC91" s="214" t="s">
        <v>1632</v>
      </c>
      <c r="AD91" s="89" t="s">
        <v>1514</v>
      </c>
      <c r="AE91" s="215"/>
      <c r="AF91" s="215"/>
      <c r="AG91" s="215"/>
      <c r="AH91" s="215"/>
      <c r="AI91" s="215"/>
      <c r="AJ91" s="215"/>
      <c r="AK91" s="215"/>
      <c r="AL91" s="215"/>
      <c r="AM91" s="215"/>
      <c r="AN91" s="3536"/>
      <c r="AO91" s="3536"/>
      <c r="AP91" s="3536"/>
      <c r="AQ91" s="3536"/>
      <c r="AR91" s="3536"/>
      <c r="AS91" s="215"/>
      <c r="AT91" s="215"/>
      <c r="AU91" s="215"/>
      <c r="AV91" s="215"/>
      <c r="AW91" s="215"/>
      <c r="AX91" s="3536"/>
      <c r="AY91" s="3536"/>
      <c r="AZ91" s="3536"/>
      <c r="BA91" s="3536"/>
      <c r="BB91" s="3536"/>
      <c r="BC91" s="200"/>
      <c r="BD91" s="1459"/>
      <c r="BE91" s="1459"/>
      <c r="BF91" s="1034" t="s">
        <v>1661</v>
      </c>
    </row>
    <row s="1834" customFormat="1" customHeight="1" ht="0">
      <c r="A92" s="1459"/>
      <c r="B92" s="1416"/>
      <c r="C92" s="1459"/>
      <c r="D92" s="1459"/>
      <c r="E92" s="628">
        <v>15</v>
      </c>
      <c r="F92" s="50" cm="1" t="str">
        <f t="array" ref="F92:F92">OFFSET(E92,-1,1)</f>
        <v>1</v>
      </c>
      <c r="G92" s="104" t="s">
        <v>1662</v>
      </c>
      <c r="H92" s="1459"/>
      <c r="I92" s="1459"/>
      <c r="J92" s="1459"/>
      <c r="K92" s="1459"/>
      <c r="L92" s="1459"/>
      <c r="M92" s="1459"/>
      <c r="N92" s="1459"/>
      <c r="O92" s="1459"/>
      <c r="P92" s="1459"/>
      <c r="Q92" s="1459"/>
      <c r="R92" s="1459"/>
      <c r="S92" s="1459"/>
      <c r="T92" s="465" cm="1" t="str">
        <f t="array" ref="T92:T92">T91</f>
        <v>true</v>
      </c>
      <c r="U92" s="1459"/>
      <c r="V92" s="1459"/>
      <c r="W92" s="1459"/>
      <c r="X92" s="1596"/>
      <c r="Y92" s="1459"/>
      <c r="Z92" s="1597"/>
      <c r="AA92" s="1459"/>
      <c r="AB92" s="88" t="s">
        <v>1480</v>
      </c>
      <c r="AC92" s="214" t="s">
        <v>1635</v>
      </c>
      <c r="AD92" s="89" t="s">
        <v>1514</v>
      </c>
      <c r="AE92" s="215"/>
      <c r="AF92" s="215"/>
      <c r="AG92" s="215"/>
      <c r="AH92" s="215"/>
      <c r="AI92" s="215"/>
      <c r="AJ92" s="215"/>
      <c r="AK92" s="215"/>
      <c r="AL92" s="215"/>
      <c r="AM92" s="215"/>
      <c r="AN92" s="3536"/>
      <c r="AO92" s="3536"/>
      <c r="AP92" s="3536"/>
      <c r="AQ92" s="3536"/>
      <c r="AR92" s="3536"/>
      <c r="AS92" s="215"/>
      <c r="AT92" s="215"/>
      <c r="AU92" s="215"/>
      <c r="AV92" s="215"/>
      <c r="AW92" s="215"/>
      <c r="AX92" s="3536"/>
      <c r="AY92" s="3536"/>
      <c r="AZ92" s="3536"/>
      <c r="BA92" s="3536"/>
      <c r="BB92" s="3536"/>
      <c r="BC92" s="200"/>
      <c r="BD92" s="1459"/>
      <c r="BE92" s="1459"/>
      <c r="BF92" s="1034" t="s">
        <v>1663</v>
      </c>
    </row>
    <row s="1834" customFormat="1" customHeight="1" ht="0">
      <c r="A93" s="1459"/>
      <c r="B93" s="1416"/>
      <c r="C93" s="1459"/>
      <c r="D93" s="1459"/>
      <c r="E93" s="628">
        <v>15</v>
      </c>
      <c r="F93" s="50" cm="1" t="str">
        <f t="array" ref="F93:F93">OFFSET(E93,-1,1)</f>
        <v>1</v>
      </c>
      <c r="G93" s="104" t="s">
        <v>1664</v>
      </c>
      <c r="H93" s="1459"/>
      <c r="I93" s="1459"/>
      <c r="J93" s="1459"/>
      <c r="K93" s="1459"/>
      <c r="L93" s="1459"/>
      <c r="M93" s="1459"/>
      <c r="N93" s="1459"/>
      <c r="O93" s="1459"/>
      <c r="P93" s="1459"/>
      <c r="Q93" s="1459"/>
      <c r="R93" s="1459"/>
      <c r="S93" s="1459"/>
      <c r="T93" s="465" cm="1" t="str">
        <f t="array" ref="T93:T93">T92</f>
        <v>true</v>
      </c>
      <c r="U93" s="1459"/>
      <c r="V93" s="1459"/>
      <c r="W93" s="1459"/>
      <c r="X93" s="1596"/>
      <c r="Y93" s="1459"/>
      <c r="Z93" s="1597"/>
      <c r="AA93" s="1459"/>
      <c r="AB93" s="88" t="s">
        <v>1665</v>
      </c>
      <c r="AC93" s="214" t="s">
        <v>1638</v>
      </c>
      <c r="AD93" s="89" t="s">
        <v>1514</v>
      </c>
      <c r="AE93" s="215"/>
      <c r="AF93" s="215"/>
      <c r="AG93" s="215"/>
      <c r="AH93" s="215"/>
      <c r="AI93" s="215"/>
      <c r="AJ93" s="215"/>
      <c r="AK93" s="215"/>
      <c r="AL93" s="215"/>
      <c r="AM93" s="215"/>
      <c r="AN93" s="3536"/>
      <c r="AO93" s="3536"/>
      <c r="AP93" s="3536"/>
      <c r="AQ93" s="3536"/>
      <c r="AR93" s="3536"/>
      <c r="AS93" s="215"/>
      <c r="AT93" s="215"/>
      <c r="AU93" s="215"/>
      <c r="AV93" s="215"/>
      <c r="AW93" s="215"/>
      <c r="AX93" s="3536"/>
      <c r="AY93" s="3536"/>
      <c r="AZ93" s="3536"/>
      <c r="BA93" s="3536"/>
      <c r="BB93" s="3536"/>
      <c r="BC93" s="200"/>
      <c r="BD93" s="1459"/>
      <c r="BE93" s="1459"/>
      <c r="BF93" s="1034" t="s">
        <v>1666</v>
      </c>
    </row>
    <row s="1834" customFormat="1" customHeight="1" ht="0">
      <c r="A94" s="1459"/>
      <c r="B94" s="1416"/>
      <c r="C94" s="1459"/>
      <c r="D94" s="1459"/>
      <c r="E94" s="628">
        <v>15</v>
      </c>
      <c r="F94" s="50" cm="1" t="str">
        <f t="array" ref="F94:F94">OFFSET(E94,-1,1)</f>
        <v>1</v>
      </c>
      <c r="G94" s="104" t="s">
        <v>1667</v>
      </c>
      <c r="H94" s="1459"/>
      <c r="I94" s="1459"/>
      <c r="J94" s="1459"/>
      <c r="K94" s="1459"/>
      <c r="L94" s="1459"/>
      <c r="M94" s="1459"/>
      <c r="N94" s="1459"/>
      <c r="O94" s="1459"/>
      <c r="P94" s="1459"/>
      <c r="Q94" s="1459"/>
      <c r="R94" s="1459"/>
      <c r="S94" s="1459"/>
      <c r="T94" s="465" cm="1" t="str">
        <f t="array" ref="T94:T94">T93</f>
        <v>true</v>
      </c>
      <c r="U94" s="1459"/>
      <c r="V94" s="1459"/>
      <c r="W94" s="1459"/>
      <c r="X94" s="1596"/>
      <c r="Y94" s="1459"/>
      <c r="Z94" s="1597"/>
      <c r="AA94" s="1459"/>
      <c r="AB94" s="88" t="s">
        <v>1668</v>
      </c>
      <c r="AC94" s="214" t="s">
        <v>1642</v>
      </c>
      <c r="AD94" s="89" t="s">
        <v>1514</v>
      </c>
      <c r="AE94" s="215"/>
      <c r="AF94" s="215"/>
      <c r="AG94" s="215"/>
      <c r="AH94" s="215"/>
      <c r="AI94" s="215"/>
      <c r="AJ94" s="215"/>
      <c r="AK94" s="215"/>
      <c r="AL94" s="215"/>
      <c r="AM94" s="215"/>
      <c r="AN94" s="3536"/>
      <c r="AO94" s="3536"/>
      <c r="AP94" s="3536"/>
      <c r="AQ94" s="3536"/>
      <c r="AR94" s="3536"/>
      <c r="AS94" s="215"/>
      <c r="AT94" s="215"/>
      <c r="AU94" s="215"/>
      <c r="AV94" s="215"/>
      <c r="AW94" s="215"/>
      <c r="AX94" s="3536"/>
      <c r="AY94" s="3536"/>
      <c r="AZ94" s="3536"/>
      <c r="BA94" s="3536"/>
      <c r="BB94" s="3536"/>
      <c r="BC94" s="200"/>
      <c r="BD94" s="1459"/>
      <c r="BE94" s="1459"/>
      <c r="BF94" s="1034" t="s">
        <v>1669</v>
      </c>
    </row>
    <row s="525" customFormat="1" customHeight="1" ht="21.75">
      <c r="A95" s="525"/>
      <c r="B95" s="431"/>
      <c r="C95" s="525"/>
      <c r="D95" s="525"/>
      <c r="E95" s="669">
        <v>22.5</v>
      </c>
      <c r="F95" s="50" cm="1" t="str">
        <f t="array" ref="F95:F95">OFFSET(E95,-1,1)</f>
        <v>1</v>
      </c>
      <c r="G95" s="104" t="s">
        <v>336</v>
      </c>
      <c r="H95" s="525"/>
      <c r="I95" s="525"/>
      <c r="J95" s="525"/>
      <c r="K95" s="525"/>
      <c r="L95" s="525"/>
      <c r="M95" s="525"/>
      <c r="N95" s="525"/>
      <c r="O95" s="525"/>
      <c r="P95" s="525"/>
      <c r="Q95" s="525"/>
      <c r="R95" s="525"/>
      <c r="S95" s="525"/>
      <c r="T95" s="465" cm="1" t="str">
        <f t="array" ref="T95:T95">T94</f>
        <v>true</v>
      </c>
      <c r="U95" s="525"/>
      <c r="V95" s="525"/>
      <c r="W95" s="525"/>
      <c r="X95" s="1596"/>
      <c r="Y95" s="525"/>
      <c r="Z95" s="1597"/>
      <c r="AA95" s="525"/>
      <c r="AB95" s="211">
        <v>4</v>
      </c>
      <c r="AC95" s="212" t="s">
        <v>1670</v>
      </c>
      <c r="AD95" s="89" t="s">
        <v>1514</v>
      </c>
      <c r="AE95" s="1198">
        <f>SUM(AE96:AE100)</f>
        <v>0</v>
      </c>
      <c r="AF95" s="1198">
        <f>SUM(AF96:AF100)</f>
        <v>0</v>
      </c>
      <c r="AG95" s="1198">
        <f>SUM(AG96:AG100)</f>
        <v>0</v>
      </c>
      <c r="AH95" s="1198">
        <f>SUM(AH96:AH100)</f>
        <v>0</v>
      </c>
      <c r="AI95" s="1198">
        <f>SUM(AI96:AI100)</f>
        <v>0</v>
      </c>
      <c r="AJ95" s="1198">
        <f>SUM(AJ96:AJ100)</f>
        <v>0</v>
      </c>
      <c r="AK95" s="1198">
        <f>SUM(AK96:AK100)</f>
        <v>0</v>
      </c>
      <c r="AL95" s="1198">
        <f>SUM(AL96:AL100)</f>
        <v>0</v>
      </c>
      <c r="AM95" s="1198">
        <f>SUM(AM96:AM100)</f>
        <v>0</v>
      </c>
      <c r="AN95" s="3534">
        <f>SUM(AN96:AN100)</f>
        <v>0</v>
      </c>
      <c r="AO95" s="3534">
        <f>SUM(AO96:AO100)</f>
        <v>0</v>
      </c>
      <c r="AP95" s="3534">
        <f>SUM(AP96:AP100)</f>
        <v>0</v>
      </c>
      <c r="AQ95" s="3534">
        <f>SUM(AQ96:AQ100)</f>
        <v>0</v>
      </c>
      <c r="AR95" s="3534">
        <f>SUM(AR96:AR100)</f>
        <v>0</v>
      </c>
      <c r="AS95" s="1198">
        <f>SUM(AS96:AS100)</f>
        <v>0</v>
      </c>
      <c r="AT95" s="1198">
        <f>SUM(AT96:AT100)</f>
        <v>0</v>
      </c>
      <c r="AU95" s="1198">
        <f>SUM(AU96:AU100)</f>
        <v>0</v>
      </c>
      <c r="AV95" s="1198">
        <f>SUM(AV96:AV100)</f>
        <v>0</v>
      </c>
      <c r="AW95" s="1198">
        <f>SUM(AW96:AW100)</f>
        <v>0</v>
      </c>
      <c r="AX95" s="3534">
        <f>SUM(AX96:AX100)</f>
        <v>0</v>
      </c>
      <c r="AY95" s="3534">
        <f>SUM(AY96:AY100)</f>
        <v>0</v>
      </c>
      <c r="AZ95" s="3534">
        <f>SUM(AZ96:AZ100)</f>
        <v>0</v>
      </c>
      <c r="BA95" s="3534">
        <f>SUM(BA96:BA100)</f>
        <v>0</v>
      </c>
      <c r="BB95" s="3534">
        <f>SUM(BB96:BB100)</f>
        <v>0</v>
      </c>
      <c r="BC95" s="200"/>
      <c r="BD95" s="525"/>
      <c r="BE95" s="525"/>
      <c r="BF95" s="1034" t="s">
        <v>1671</v>
      </c>
    </row>
    <row s="1834" customFormat="1" customHeight="1" ht="0">
      <c r="A96" s="1459"/>
      <c r="B96" s="1416"/>
      <c r="C96" s="1459"/>
      <c r="D96" s="1459"/>
      <c r="E96" s="628">
        <v>15</v>
      </c>
      <c r="F96" s="50" cm="1" t="str">
        <f t="array" ref="F96:F96">OFFSET(E96,-1,1)</f>
        <v>1</v>
      </c>
      <c r="G96" s="104" t="s">
        <v>1249</v>
      </c>
      <c r="H96" s="1459"/>
      <c r="I96" s="1459"/>
      <c r="J96" s="1459"/>
      <c r="K96" s="1459"/>
      <c r="L96" s="1459"/>
      <c r="M96" s="1459"/>
      <c r="N96" s="1459"/>
      <c r="O96" s="1459"/>
      <c r="P96" s="1459"/>
      <c r="Q96" s="1459"/>
      <c r="R96" s="1459"/>
      <c r="S96" s="1459"/>
      <c r="T96" s="465" cm="1" t="str">
        <f t="array" ref="T96:T96">T95</f>
        <v>true</v>
      </c>
      <c r="U96" s="1459"/>
      <c r="V96" s="1459"/>
      <c r="W96" s="1459"/>
      <c r="X96" s="1596"/>
      <c r="Y96" s="1459"/>
      <c r="Z96" s="1597"/>
      <c r="AA96" s="1459"/>
      <c r="AB96" s="88" t="s">
        <v>1384</v>
      </c>
      <c r="AC96" s="214" t="s">
        <v>1629</v>
      </c>
      <c r="AD96" s="89" t="s">
        <v>1514</v>
      </c>
      <c r="AE96" s="215">
        <f>AE78+AE84-AE90</f>
        <v>0</v>
      </c>
      <c r="AF96" s="215">
        <f>AF78+AF84-AF90</f>
        <v>0</v>
      </c>
      <c r="AG96" s="215">
        <f>AG78+AG84-AG90</f>
        <v>0</v>
      </c>
      <c r="AH96" s="215">
        <f>AH78+AH84-AH90</f>
        <v>0</v>
      </c>
      <c r="AI96" s="215">
        <f>AI78+AI84-AI90</f>
        <v>0</v>
      </c>
      <c r="AJ96" s="215">
        <f>AJ78+AJ84-AJ90</f>
        <v>0</v>
      </c>
      <c r="AK96" s="215">
        <f>AK78+AK84-AK90</f>
        <v>0</v>
      </c>
      <c r="AL96" s="215">
        <f>AL78+AL84-AL90</f>
        <v>0</v>
      </c>
      <c r="AM96" s="215">
        <f>AM78+AM84-AM90</f>
        <v>0</v>
      </c>
      <c r="AN96" s="3536">
        <f>AN78+AN84-AN90</f>
        <v>0</v>
      </c>
      <c r="AO96" s="3536">
        <f>AO78+AO84-AO90</f>
        <v>0</v>
      </c>
      <c r="AP96" s="3536">
        <f>AP78+AP84-AP90</f>
        <v>0</v>
      </c>
      <c r="AQ96" s="3536">
        <f>AQ78+AQ84-AQ90</f>
        <v>0</v>
      </c>
      <c r="AR96" s="3536">
        <f>AR78+AR84-AR90</f>
        <v>0</v>
      </c>
      <c r="AS96" s="215">
        <f>AS78+AS84-AS90</f>
        <v>0</v>
      </c>
      <c r="AT96" s="215">
        <f>AT78+AT84-AT90</f>
        <v>0</v>
      </c>
      <c r="AU96" s="215">
        <f>AU78+AU84-AU90</f>
        <v>0</v>
      </c>
      <c r="AV96" s="215">
        <f>AV78+AV84-AV90</f>
        <v>0</v>
      </c>
      <c r="AW96" s="215">
        <f>AW78+AW84-AW90</f>
        <v>0</v>
      </c>
      <c r="AX96" s="3536">
        <f>AX78+AX84-AX90</f>
        <v>0</v>
      </c>
      <c r="AY96" s="3536">
        <f>AY78+AY84-AY90</f>
        <v>0</v>
      </c>
      <c r="AZ96" s="3536">
        <f>AZ78+AZ84-AZ90</f>
        <v>0</v>
      </c>
      <c r="BA96" s="3536">
        <f>BA78+BA84-BA90</f>
        <v>0</v>
      </c>
      <c r="BB96" s="3536">
        <f>BB78+BB84-BB90</f>
        <v>0</v>
      </c>
      <c r="BC96" s="200"/>
      <c r="BD96" s="1459"/>
      <c r="BE96" s="1459"/>
      <c r="BF96" s="1034" t="s">
        <v>1672</v>
      </c>
    </row>
    <row s="1834" customFormat="1" customHeight="1" ht="0">
      <c r="A97" s="1459"/>
      <c r="B97" s="1416"/>
      <c r="C97" s="1459"/>
      <c r="D97" s="1459"/>
      <c r="E97" s="628">
        <v>15</v>
      </c>
      <c r="F97" s="50" cm="1" t="str">
        <f t="array" ref="F97:F97">OFFSET(E97,-1,1)</f>
        <v>1</v>
      </c>
      <c r="G97" s="104" t="s">
        <v>1253</v>
      </c>
      <c r="H97" s="1459"/>
      <c r="I97" s="1459"/>
      <c r="J97" s="1459"/>
      <c r="K97" s="1459"/>
      <c r="L97" s="1459"/>
      <c r="M97" s="1459"/>
      <c r="N97" s="1459"/>
      <c r="O97" s="1459"/>
      <c r="P97" s="1459"/>
      <c r="Q97" s="1459"/>
      <c r="R97" s="1459"/>
      <c r="S97" s="1459"/>
      <c r="T97" s="465" cm="1" t="str">
        <f t="array" ref="T97:T97">T96</f>
        <v>true</v>
      </c>
      <c r="U97" s="1459"/>
      <c r="V97" s="1459"/>
      <c r="W97" s="1459"/>
      <c r="X97" s="1596"/>
      <c r="Y97" s="1459"/>
      <c r="Z97" s="1597"/>
      <c r="AA97" s="1459"/>
      <c r="AB97" s="88" t="s">
        <v>1387</v>
      </c>
      <c r="AC97" s="214" t="s">
        <v>1632</v>
      </c>
      <c r="AD97" s="89" t="s">
        <v>1514</v>
      </c>
      <c r="AE97" s="215">
        <f>AE79+AE85-AE91</f>
        <v>0</v>
      </c>
      <c r="AF97" s="215">
        <f>AF79+AF85-AF91</f>
        <v>0</v>
      </c>
      <c r="AG97" s="215">
        <f>AG79+AG85-AG91</f>
        <v>0</v>
      </c>
      <c r="AH97" s="215">
        <f>AH79+AH85-AH91</f>
        <v>0</v>
      </c>
      <c r="AI97" s="215">
        <f>AI79+AI85-AI91</f>
        <v>0</v>
      </c>
      <c r="AJ97" s="215">
        <f>AJ79+AJ85-AJ91</f>
        <v>0</v>
      </c>
      <c r="AK97" s="215">
        <f>AK79+AK85-AK91</f>
        <v>0</v>
      </c>
      <c r="AL97" s="215">
        <f>AL79+AL85-AL91</f>
        <v>0</v>
      </c>
      <c r="AM97" s="215">
        <f>AM79+AM85-AM91</f>
        <v>0</v>
      </c>
      <c r="AN97" s="3536">
        <f>AN79+AN85-AN91</f>
        <v>0</v>
      </c>
      <c r="AO97" s="3536">
        <f>AO79+AO85-AO91</f>
        <v>0</v>
      </c>
      <c r="AP97" s="3536">
        <f>AP79+AP85-AP91</f>
        <v>0</v>
      </c>
      <c r="AQ97" s="3536">
        <f>AQ79+AQ85-AQ91</f>
        <v>0</v>
      </c>
      <c r="AR97" s="3536">
        <f>AR79+AR85-AR91</f>
        <v>0</v>
      </c>
      <c r="AS97" s="215">
        <f>AS79+AS85-AS91</f>
        <v>0</v>
      </c>
      <c r="AT97" s="215">
        <f>AT79+AT85-AT91</f>
        <v>0</v>
      </c>
      <c r="AU97" s="215">
        <f>AU79+AU85-AU91</f>
        <v>0</v>
      </c>
      <c r="AV97" s="215">
        <f>AV79+AV85-AV91</f>
        <v>0</v>
      </c>
      <c r="AW97" s="215">
        <f>AW79+AW85-AW91</f>
        <v>0</v>
      </c>
      <c r="AX97" s="3536">
        <f>AX79+AX85-AX91</f>
        <v>0</v>
      </c>
      <c r="AY97" s="3536">
        <f>AY79+AY85-AY91</f>
        <v>0</v>
      </c>
      <c r="AZ97" s="3536">
        <f>AZ79+AZ85-AZ91</f>
        <v>0</v>
      </c>
      <c r="BA97" s="3536">
        <f>BA79+BA85-BA91</f>
        <v>0</v>
      </c>
      <c r="BB97" s="3536">
        <f>BB79+BB85-BB91</f>
        <v>0</v>
      </c>
      <c r="BC97" s="200"/>
      <c r="BD97" s="1459"/>
      <c r="BE97" s="1459"/>
      <c r="BF97" s="1034" t="s">
        <v>1673</v>
      </c>
    </row>
    <row s="1834" customFormat="1" customHeight="1" ht="0">
      <c r="A98" s="1459"/>
      <c r="B98" s="1416"/>
      <c r="C98" s="1459"/>
      <c r="D98" s="1459"/>
      <c r="E98" s="628">
        <v>15</v>
      </c>
      <c r="F98" s="50" cm="1" t="str">
        <f t="array" ref="F98:F98">OFFSET(E98,-1,1)</f>
        <v>1</v>
      </c>
      <c r="G98" s="104" t="s">
        <v>1257</v>
      </c>
      <c r="H98" s="1459"/>
      <c r="I98" s="1459"/>
      <c r="J98" s="1459"/>
      <c r="K98" s="1459"/>
      <c r="L98" s="1459"/>
      <c r="M98" s="1459"/>
      <c r="N98" s="1459"/>
      <c r="O98" s="1459"/>
      <c r="P98" s="1459"/>
      <c r="Q98" s="1459"/>
      <c r="R98" s="1459"/>
      <c r="S98" s="1459"/>
      <c r="T98" s="465" cm="1" t="str">
        <f t="array" ref="T98:T98">T97</f>
        <v>true</v>
      </c>
      <c r="U98" s="1459"/>
      <c r="V98" s="1459"/>
      <c r="W98" s="1459"/>
      <c r="X98" s="1596"/>
      <c r="Y98" s="1459"/>
      <c r="Z98" s="1597"/>
      <c r="AA98" s="1459"/>
      <c r="AB98" s="88" t="s">
        <v>1421</v>
      </c>
      <c r="AC98" s="214" t="s">
        <v>1635</v>
      </c>
      <c r="AD98" s="89" t="s">
        <v>1514</v>
      </c>
      <c r="AE98" s="215">
        <f>AE80+AE86-AE92</f>
        <v>0</v>
      </c>
      <c r="AF98" s="215">
        <f>AF80+AF86-AF92</f>
        <v>0</v>
      </c>
      <c r="AG98" s="215">
        <f>AG80+AG86-AG92</f>
        <v>0</v>
      </c>
      <c r="AH98" s="215">
        <f>AH80+AH86-AH92</f>
        <v>0</v>
      </c>
      <c r="AI98" s="215">
        <f>AI80+AI86-AI92</f>
        <v>0</v>
      </c>
      <c r="AJ98" s="215">
        <f>AJ80+AJ86-AJ92</f>
        <v>0</v>
      </c>
      <c r="AK98" s="215">
        <f>AK80+AK86-AK92</f>
        <v>0</v>
      </c>
      <c r="AL98" s="215">
        <f>AL80+AL86-AL92</f>
        <v>0</v>
      </c>
      <c r="AM98" s="215">
        <f>AM80+AM86-AM92</f>
        <v>0</v>
      </c>
      <c r="AN98" s="3536">
        <f>AN80+AN86-AN92</f>
        <v>0</v>
      </c>
      <c r="AO98" s="3536">
        <f>AO80+AO86-AO92</f>
        <v>0</v>
      </c>
      <c r="AP98" s="3536">
        <f>AP80+AP86-AP92</f>
        <v>0</v>
      </c>
      <c r="AQ98" s="3536">
        <f>AQ80+AQ86-AQ92</f>
        <v>0</v>
      </c>
      <c r="AR98" s="3536">
        <f>AR80+AR86-AR92</f>
        <v>0</v>
      </c>
      <c r="AS98" s="215">
        <f>AS80+AS86-AS92</f>
        <v>0</v>
      </c>
      <c r="AT98" s="215">
        <f>AT80+AT86-AT92</f>
        <v>0</v>
      </c>
      <c r="AU98" s="215">
        <f>AU80+AU86-AU92</f>
        <v>0</v>
      </c>
      <c r="AV98" s="215">
        <f>AV80+AV86-AV92</f>
        <v>0</v>
      </c>
      <c r="AW98" s="215">
        <f>AW80+AW86-AW92</f>
        <v>0</v>
      </c>
      <c r="AX98" s="3536">
        <f>AX80+AX86-AX92</f>
        <v>0</v>
      </c>
      <c r="AY98" s="3536">
        <f>AY80+AY86-AY92</f>
        <v>0</v>
      </c>
      <c r="AZ98" s="3536">
        <f>AZ80+AZ86-AZ92</f>
        <v>0</v>
      </c>
      <c r="BA98" s="3536">
        <f>BA80+BA86-BA92</f>
        <v>0</v>
      </c>
      <c r="BB98" s="3536">
        <f>BB80+BB86-BB92</f>
        <v>0</v>
      </c>
      <c r="BC98" s="200"/>
      <c r="BD98" s="1459"/>
      <c r="BE98" s="1459"/>
      <c r="BF98" s="1034" t="s">
        <v>1674</v>
      </c>
    </row>
    <row s="1834" customFormat="1" customHeight="1" ht="0">
      <c r="A99" s="1459"/>
      <c r="B99" s="1416"/>
      <c r="C99" s="1459"/>
      <c r="D99" s="1459"/>
      <c r="E99" s="628">
        <v>15</v>
      </c>
      <c r="F99" s="50" cm="1" t="str">
        <f t="array" ref="F99:F99">OFFSET(E99,-1,1)</f>
        <v>1</v>
      </c>
      <c r="G99" s="104" t="s">
        <v>1675</v>
      </c>
      <c r="H99" s="1459"/>
      <c r="I99" s="1459"/>
      <c r="J99" s="1459"/>
      <c r="K99" s="1459"/>
      <c r="L99" s="1459"/>
      <c r="M99" s="1459"/>
      <c r="N99" s="1459"/>
      <c r="O99" s="1459"/>
      <c r="P99" s="1459"/>
      <c r="Q99" s="1459"/>
      <c r="R99" s="1459"/>
      <c r="S99" s="1459"/>
      <c r="T99" s="465" cm="1" t="str">
        <f t="array" ref="T99:T99">T98</f>
        <v>true</v>
      </c>
      <c r="U99" s="1459"/>
      <c r="V99" s="1459"/>
      <c r="W99" s="1459"/>
      <c r="X99" s="1596"/>
      <c r="Y99" s="1459"/>
      <c r="Z99" s="1597"/>
      <c r="AA99" s="1459"/>
      <c r="AB99" s="88" t="s">
        <v>1430</v>
      </c>
      <c r="AC99" s="214" t="s">
        <v>1638</v>
      </c>
      <c r="AD99" s="89" t="s">
        <v>1514</v>
      </c>
      <c r="AE99" s="215">
        <f>AE81+AE87-AE93</f>
        <v>0</v>
      </c>
      <c r="AF99" s="215">
        <f>AF81+AF87-AF93</f>
        <v>0</v>
      </c>
      <c r="AG99" s="215">
        <f>AG81+AG87-AG93</f>
        <v>0</v>
      </c>
      <c r="AH99" s="215">
        <f>AH81+AH87-AH93</f>
        <v>0</v>
      </c>
      <c r="AI99" s="215">
        <f>AI81+AI87-AI93</f>
        <v>0</v>
      </c>
      <c r="AJ99" s="215">
        <f>AJ81+AJ87-AJ93</f>
        <v>0</v>
      </c>
      <c r="AK99" s="215">
        <f>AK81+AK87-AK93</f>
        <v>0</v>
      </c>
      <c r="AL99" s="215">
        <f>AL81+AL87-AL93</f>
        <v>0</v>
      </c>
      <c r="AM99" s="215">
        <f>AM81+AM87-AM93</f>
        <v>0</v>
      </c>
      <c r="AN99" s="3536">
        <f>AN81+AN87-AN93</f>
        <v>0</v>
      </c>
      <c r="AO99" s="3536">
        <f>AO81+AO87-AO93</f>
        <v>0</v>
      </c>
      <c r="AP99" s="3536">
        <f>AP81+AP87-AP93</f>
        <v>0</v>
      </c>
      <c r="AQ99" s="3536">
        <f>AQ81+AQ87-AQ93</f>
        <v>0</v>
      </c>
      <c r="AR99" s="3536">
        <f>AR81+AR87-AR93</f>
        <v>0</v>
      </c>
      <c r="AS99" s="215">
        <f>AS81+AS87-AS93</f>
        <v>0</v>
      </c>
      <c r="AT99" s="215">
        <f>AT81+AT87-AT93</f>
        <v>0</v>
      </c>
      <c r="AU99" s="215">
        <f>AU81+AU87-AU93</f>
        <v>0</v>
      </c>
      <c r="AV99" s="215">
        <f>AV81+AV87-AV93</f>
        <v>0</v>
      </c>
      <c r="AW99" s="215">
        <f>AW81+AW87-AW93</f>
        <v>0</v>
      </c>
      <c r="AX99" s="3536">
        <f>AX81+AX87-AX93</f>
        <v>0</v>
      </c>
      <c r="AY99" s="3536">
        <f>AY81+AY87-AY93</f>
        <v>0</v>
      </c>
      <c r="AZ99" s="3536">
        <f>AZ81+AZ87-AZ93</f>
        <v>0</v>
      </c>
      <c r="BA99" s="3536">
        <f>BA81+BA87-BA93</f>
        <v>0</v>
      </c>
      <c r="BB99" s="3536">
        <f>BB81+BB87-BB93</f>
        <v>0</v>
      </c>
      <c r="BC99" s="200"/>
      <c r="BD99" s="1459"/>
      <c r="BE99" s="1459"/>
      <c r="BF99" s="1034" t="s">
        <v>1676</v>
      </c>
    </row>
    <row s="1834" customFormat="1" customHeight="1" ht="0">
      <c r="A100" s="1459"/>
      <c r="B100" s="1416"/>
      <c r="C100" s="1459"/>
      <c r="D100" s="1459"/>
      <c r="E100" s="628">
        <v>15</v>
      </c>
      <c r="F100" s="50" cm="1" t="str">
        <f t="array" ref="F100:F100">OFFSET(E100,-1,1)</f>
        <v>1</v>
      </c>
      <c r="G100" s="104" t="s">
        <v>1677</v>
      </c>
      <c r="H100" s="1459"/>
      <c r="I100" s="1459"/>
      <c r="J100" s="1459"/>
      <c r="K100" s="1459"/>
      <c r="L100" s="1459"/>
      <c r="M100" s="1459"/>
      <c r="N100" s="1459"/>
      <c r="O100" s="1459"/>
      <c r="P100" s="1459"/>
      <c r="Q100" s="1459"/>
      <c r="R100" s="1459"/>
      <c r="S100" s="1459"/>
      <c r="T100" s="465" cm="1" t="str">
        <f t="array" ref="T100:T100">T99</f>
        <v>true</v>
      </c>
      <c r="U100" s="1459"/>
      <c r="V100" s="1459"/>
      <c r="W100" s="1459"/>
      <c r="X100" s="1596"/>
      <c r="Y100" s="1459"/>
      <c r="Z100" s="1597"/>
      <c r="AA100" s="1459"/>
      <c r="AB100" s="88" t="s">
        <v>1440</v>
      </c>
      <c r="AC100" s="214" t="s">
        <v>1642</v>
      </c>
      <c r="AD100" s="89" t="s">
        <v>1514</v>
      </c>
      <c r="AE100" s="215">
        <f>AE82+AE88-AE94</f>
        <v>0</v>
      </c>
      <c r="AF100" s="215">
        <f>AF82+AF88-AF94</f>
        <v>0</v>
      </c>
      <c r="AG100" s="215">
        <f>AG82+AG88-AG94</f>
        <v>0</v>
      </c>
      <c r="AH100" s="215">
        <f>AH82+AH88-AH94</f>
        <v>0</v>
      </c>
      <c r="AI100" s="215">
        <f>AI82+AI88-AI94</f>
        <v>0</v>
      </c>
      <c r="AJ100" s="215">
        <f>AJ82+AJ88-AJ94</f>
        <v>0</v>
      </c>
      <c r="AK100" s="215">
        <f>AK82+AK88-AK94</f>
        <v>0</v>
      </c>
      <c r="AL100" s="215">
        <f>AL82+AL88-AL94</f>
        <v>0</v>
      </c>
      <c r="AM100" s="215">
        <f>AM82+AM88-AM94</f>
        <v>0</v>
      </c>
      <c r="AN100" s="3536">
        <f>AN82+AN88-AN94</f>
        <v>0</v>
      </c>
      <c r="AO100" s="3536">
        <f>AO82+AO88-AO94</f>
        <v>0</v>
      </c>
      <c r="AP100" s="3536">
        <f>AP82+AP88-AP94</f>
        <v>0</v>
      </c>
      <c r="AQ100" s="3536">
        <f>AQ82+AQ88-AQ94</f>
        <v>0</v>
      </c>
      <c r="AR100" s="3536">
        <f>AR82+AR88-AR94</f>
        <v>0</v>
      </c>
      <c r="AS100" s="215">
        <f>AS82+AS88-AS94</f>
        <v>0</v>
      </c>
      <c r="AT100" s="215">
        <f>AT82+AT88-AT94</f>
        <v>0</v>
      </c>
      <c r="AU100" s="215">
        <f>AU82+AU88-AU94</f>
        <v>0</v>
      </c>
      <c r="AV100" s="215">
        <f>AV82+AV88-AV94</f>
        <v>0</v>
      </c>
      <c r="AW100" s="215">
        <f>AW82+AW88-AW94</f>
        <v>0</v>
      </c>
      <c r="AX100" s="3536">
        <f>AX82+AX88-AX94</f>
        <v>0</v>
      </c>
      <c r="AY100" s="3536">
        <f>AY82+AY88-AY94</f>
        <v>0</v>
      </c>
      <c r="AZ100" s="3536">
        <f>AZ82+AZ88-AZ94</f>
        <v>0</v>
      </c>
      <c r="BA100" s="3536">
        <f>BA82+BA88-BA94</f>
        <v>0</v>
      </c>
      <c r="BB100" s="3536">
        <f>BB82+BB88-BB94</f>
        <v>0</v>
      </c>
      <c r="BC100" s="200"/>
      <c r="BD100" s="1459"/>
      <c r="BE100" s="1459"/>
      <c r="BF100" s="1034" t="s">
        <v>1678</v>
      </c>
    </row>
    <row s="525" customFormat="1" customHeight="1" ht="14.25">
      <c r="A101" s="525"/>
      <c r="B101" s="431"/>
      <c r="C101" s="525"/>
      <c r="D101" s="525"/>
      <c r="E101" s="628">
        <v>15</v>
      </c>
      <c r="F101" s="50" cm="1" t="str">
        <f t="array" ref="F101:F101">OFFSET(E101,-1,1)</f>
        <v>1</v>
      </c>
      <c r="G101" s="104" t="s">
        <v>335</v>
      </c>
      <c r="H101" s="525"/>
      <c r="I101" s="525"/>
      <c r="J101" s="525"/>
      <c r="K101" s="525"/>
      <c r="L101" s="525"/>
      <c r="M101" s="525"/>
      <c r="N101" s="525"/>
      <c r="O101" s="525"/>
      <c r="P101" s="525"/>
      <c r="Q101" s="525"/>
      <c r="R101" s="525"/>
      <c r="S101" s="525"/>
      <c r="T101" s="465" cm="1" t="str">
        <f t="array" ref="T101:T101">T100</f>
        <v>true</v>
      </c>
      <c r="U101" s="525"/>
      <c r="V101" s="525"/>
      <c r="W101" s="525"/>
      <c r="X101" s="1596"/>
      <c r="Y101" s="525"/>
      <c r="Z101" s="1597"/>
      <c r="AA101" s="525"/>
      <c r="AB101" s="211">
        <v>5</v>
      </c>
      <c r="AC101" s="212" t="s">
        <v>1679</v>
      </c>
      <c r="AD101" s="89" t="s">
        <v>1514</v>
      </c>
      <c r="AE101" s="1198">
        <f>SUM(AE102:AE106)</f>
        <v>0</v>
      </c>
      <c r="AF101" s="1198">
        <f>SUM(AF102:AF106)</f>
        <v>0</v>
      </c>
      <c r="AG101" s="1198">
        <f>SUM(AG102:AG106)</f>
        <v>0</v>
      </c>
      <c r="AH101" s="1198">
        <f>SUM(AH102:AH106)</f>
        <v>0</v>
      </c>
      <c r="AI101" s="1198">
        <f>SUM(AI102:AI106)</f>
        <v>0</v>
      </c>
      <c r="AJ101" s="1198">
        <f>SUM(AJ102:AJ106)</f>
        <v>0</v>
      </c>
      <c r="AK101" s="1198">
        <f>SUM(AK102:AK106)</f>
        <v>0</v>
      </c>
      <c r="AL101" s="1198">
        <f>SUM(AL102:AL106)</f>
        <v>0</v>
      </c>
      <c r="AM101" s="1198">
        <f>SUM(AM102:AM106)</f>
        <v>0</v>
      </c>
      <c r="AN101" s="3534">
        <f>SUM(AN102:AN106)</f>
        <v>0</v>
      </c>
      <c r="AO101" s="3534">
        <f>SUM(AO102:AO106)</f>
        <v>0</v>
      </c>
      <c r="AP101" s="3534">
        <f>SUM(AP102:AP106)</f>
        <v>0</v>
      </c>
      <c r="AQ101" s="3534">
        <f>SUM(AQ102:AQ106)</f>
        <v>0</v>
      </c>
      <c r="AR101" s="3534">
        <f>SUM(AR102:AR106)</f>
        <v>0</v>
      </c>
      <c r="AS101" s="1198">
        <f>SUM(AS102:AS106)</f>
        <v>0</v>
      </c>
      <c r="AT101" s="1198">
        <f>SUM(AT102:AT106)</f>
        <v>0</v>
      </c>
      <c r="AU101" s="1198">
        <f>SUM(AU102:AU106)</f>
        <v>0</v>
      </c>
      <c r="AV101" s="1198">
        <f>SUM(AV102:AV106)</f>
        <v>0</v>
      </c>
      <c r="AW101" s="1198">
        <f>SUM(AW102:AW106)</f>
        <v>0</v>
      </c>
      <c r="AX101" s="3534">
        <f>SUM(AX102:AX106)</f>
        <v>0</v>
      </c>
      <c r="AY101" s="3534">
        <f>SUM(AY102:AY106)</f>
        <v>0</v>
      </c>
      <c r="AZ101" s="3534">
        <f>SUM(AZ102:AZ106)</f>
        <v>0</v>
      </c>
      <c r="BA101" s="3534">
        <f>SUM(BA102:BA106)</f>
        <v>0</v>
      </c>
      <c r="BB101" s="3534">
        <f>SUM(BB102:BB106)</f>
        <v>0</v>
      </c>
      <c r="BC101" s="200"/>
      <c r="BD101" s="525"/>
      <c r="BE101" s="525"/>
      <c r="BF101" s="1034" t="s">
        <v>1680</v>
      </c>
    </row>
    <row s="1834" customFormat="1" customHeight="1" ht="0">
      <c r="A102" s="1459"/>
      <c r="B102" s="1416"/>
      <c r="C102" s="1459"/>
      <c r="D102" s="1459"/>
      <c r="E102" s="628">
        <v>15</v>
      </c>
      <c r="F102" s="50" cm="1" t="str">
        <f t="array" ref="F102:F102">OFFSET(E102,-1,1)</f>
        <v>1</v>
      </c>
      <c r="G102" s="104" t="s">
        <v>1263</v>
      </c>
      <c r="H102" s="1459"/>
      <c r="I102" s="1459"/>
      <c r="J102" s="1459"/>
      <c r="K102" s="1459"/>
      <c r="L102" s="1459"/>
      <c r="M102" s="1459"/>
      <c r="N102" s="1459"/>
      <c r="O102" s="1459"/>
      <c r="P102" s="1459"/>
      <c r="Q102" s="1459"/>
      <c r="R102" s="1459"/>
      <c r="S102" s="1459"/>
      <c r="T102" s="465" cm="1" t="str">
        <f t="array" ref="T102:T102">T101</f>
        <v>true</v>
      </c>
      <c r="U102" s="1459"/>
      <c r="V102" s="1459"/>
      <c r="W102" s="1459"/>
      <c r="X102" s="1596"/>
      <c r="Y102" s="1459"/>
      <c r="Z102" s="1597"/>
      <c r="AA102" s="1459"/>
      <c r="AB102" s="88" t="s">
        <v>1391</v>
      </c>
      <c r="AC102" s="214" t="s">
        <v>1629</v>
      </c>
      <c r="AD102" s="89" t="s">
        <v>1514</v>
      </c>
      <c r="AE102" s="215">
        <f>(AE96+AE78)/2</f>
        <v>0</v>
      </c>
      <c r="AF102" s="215">
        <f>(AF96+AF78)/2</f>
        <v>0</v>
      </c>
      <c r="AG102" s="215">
        <f>(AG96+AG78)/2</f>
        <v>0</v>
      </c>
      <c r="AH102" s="215">
        <f>(AH96+AH78)/2</f>
        <v>0</v>
      </c>
      <c r="AI102" s="215">
        <f>(AI96+AI78)/2</f>
        <v>0</v>
      </c>
      <c r="AJ102" s="215">
        <f>(AJ96+AJ78)/2</f>
        <v>0</v>
      </c>
      <c r="AK102" s="215">
        <f>(AK96+AK78)/2</f>
        <v>0</v>
      </c>
      <c r="AL102" s="215">
        <f>(AL96+AL78)/2</f>
        <v>0</v>
      </c>
      <c r="AM102" s="215">
        <f>(AM96+AM78)/2</f>
        <v>0</v>
      </c>
      <c r="AN102" s="3536">
        <f>(AN96+AN78)/2</f>
        <v>0</v>
      </c>
      <c r="AO102" s="3536">
        <f>(AO96+AO78)/2</f>
        <v>0</v>
      </c>
      <c r="AP102" s="3536">
        <f>(AP96+AP78)/2</f>
        <v>0</v>
      </c>
      <c r="AQ102" s="3536">
        <f>(AQ96+AQ78)/2</f>
        <v>0</v>
      </c>
      <c r="AR102" s="3536">
        <f>(AR96+AR78)/2</f>
        <v>0</v>
      </c>
      <c r="AS102" s="215">
        <f>(AS96+AS78)/2</f>
        <v>0</v>
      </c>
      <c r="AT102" s="215">
        <f>(AT96+AT78)/2</f>
        <v>0</v>
      </c>
      <c r="AU102" s="215">
        <f>(AU96+AU78)/2</f>
        <v>0</v>
      </c>
      <c r="AV102" s="215">
        <f>(AV96+AV78)/2</f>
        <v>0</v>
      </c>
      <c r="AW102" s="215">
        <f>(AW96+AW78)/2</f>
        <v>0</v>
      </c>
      <c r="AX102" s="3536">
        <f>(AX96+AX78)/2</f>
        <v>0</v>
      </c>
      <c r="AY102" s="3536">
        <f>(AY96+AY78)/2</f>
        <v>0</v>
      </c>
      <c r="AZ102" s="3536">
        <f>(AZ96+AZ78)/2</f>
        <v>0</v>
      </c>
      <c r="BA102" s="3536">
        <f>(BA96+BA78)/2</f>
        <v>0</v>
      </c>
      <c r="BB102" s="3536">
        <f>(BB96+BB78)/2</f>
        <v>0</v>
      </c>
      <c r="BC102" s="200"/>
      <c r="BD102" s="1459"/>
      <c r="BE102" s="1459"/>
      <c r="BF102" s="1034" t="s">
        <v>1681</v>
      </c>
    </row>
    <row s="1834" customFormat="1" customHeight="1" ht="0">
      <c r="A103" s="1459"/>
      <c r="B103" s="1416"/>
      <c r="C103" s="1459"/>
      <c r="D103" s="1459"/>
      <c r="E103" s="628">
        <v>15</v>
      </c>
      <c r="F103" s="50" cm="1" t="str">
        <f t="array" ref="F103:F103">OFFSET(E103,-1,1)</f>
        <v>1</v>
      </c>
      <c r="G103" s="104" t="s">
        <v>1267</v>
      </c>
      <c r="H103" s="1459"/>
      <c r="I103" s="1459"/>
      <c r="J103" s="1459"/>
      <c r="K103" s="1459"/>
      <c r="L103" s="1459"/>
      <c r="M103" s="1459"/>
      <c r="N103" s="1459"/>
      <c r="O103" s="1459"/>
      <c r="P103" s="1459"/>
      <c r="Q103" s="1459"/>
      <c r="R103" s="1459"/>
      <c r="S103" s="1459"/>
      <c r="T103" s="465" cm="1" t="str">
        <f t="array" ref="T103:T103">T102</f>
        <v>true</v>
      </c>
      <c r="U103" s="1459"/>
      <c r="V103" s="1459"/>
      <c r="W103" s="1459"/>
      <c r="X103" s="1596"/>
      <c r="Y103" s="1459"/>
      <c r="Z103" s="1597"/>
      <c r="AA103" s="1459"/>
      <c r="AB103" s="88" t="s">
        <v>1394</v>
      </c>
      <c r="AC103" s="214" t="s">
        <v>1632</v>
      </c>
      <c r="AD103" s="89" t="s">
        <v>1514</v>
      </c>
      <c r="AE103" s="215">
        <f>(AE97+AE79)/2</f>
        <v>0</v>
      </c>
      <c r="AF103" s="215">
        <f>(AF97+AF79)/2</f>
        <v>0</v>
      </c>
      <c r="AG103" s="215">
        <f>(AG97+AG79)/2</f>
        <v>0</v>
      </c>
      <c r="AH103" s="215">
        <f>(AH97+AH79)/2</f>
        <v>0</v>
      </c>
      <c r="AI103" s="215">
        <f>(AI97+AI79)/2</f>
        <v>0</v>
      </c>
      <c r="AJ103" s="215">
        <f>(AJ97+AJ79)/2</f>
        <v>0</v>
      </c>
      <c r="AK103" s="215">
        <f>(AK97+AK79)/2</f>
        <v>0</v>
      </c>
      <c r="AL103" s="215">
        <f>(AL97+AL79)/2</f>
        <v>0</v>
      </c>
      <c r="AM103" s="215">
        <f>(AM97+AM79)/2</f>
        <v>0</v>
      </c>
      <c r="AN103" s="3536">
        <f>(AN97+AN79)/2</f>
        <v>0</v>
      </c>
      <c r="AO103" s="3536">
        <f>(AO97+AO79)/2</f>
        <v>0</v>
      </c>
      <c r="AP103" s="3536">
        <f>(AP97+AP79)/2</f>
        <v>0</v>
      </c>
      <c r="AQ103" s="3536">
        <f>(AQ97+AQ79)/2</f>
        <v>0</v>
      </c>
      <c r="AR103" s="3536">
        <f>(AR97+AR79)/2</f>
        <v>0</v>
      </c>
      <c r="AS103" s="215">
        <f>(AS97+AS79)/2</f>
        <v>0</v>
      </c>
      <c r="AT103" s="215">
        <f>(AT97+AT79)/2</f>
        <v>0</v>
      </c>
      <c r="AU103" s="215">
        <f>(AU97+AU79)/2</f>
        <v>0</v>
      </c>
      <c r="AV103" s="215">
        <f>(AV97+AV79)/2</f>
        <v>0</v>
      </c>
      <c r="AW103" s="215">
        <f>(AW97+AW79)/2</f>
        <v>0</v>
      </c>
      <c r="AX103" s="3536">
        <f>(AX97+AX79)/2</f>
        <v>0</v>
      </c>
      <c r="AY103" s="3536">
        <f>(AY97+AY79)/2</f>
        <v>0</v>
      </c>
      <c r="AZ103" s="3536">
        <f>(AZ97+AZ79)/2</f>
        <v>0</v>
      </c>
      <c r="BA103" s="3536">
        <f>(BA97+BA79)/2</f>
        <v>0</v>
      </c>
      <c r="BB103" s="3536">
        <f>(BB97+BB79)/2</f>
        <v>0</v>
      </c>
      <c r="BC103" s="200"/>
      <c r="BD103" s="1459"/>
      <c r="BE103" s="1459"/>
      <c r="BF103" s="1034" t="s">
        <v>1682</v>
      </c>
    </row>
    <row s="1834" customFormat="1" customHeight="1" ht="0">
      <c r="A104" s="1459"/>
      <c r="B104" s="1416"/>
      <c r="C104" s="1459"/>
      <c r="D104" s="1459"/>
      <c r="E104" s="628">
        <v>15</v>
      </c>
      <c r="F104" s="50" cm="1" t="str">
        <f t="array" ref="F104:F104">OFFSET(E104,-1,1)</f>
        <v>1</v>
      </c>
      <c r="G104" s="104" t="s">
        <v>1479</v>
      </c>
      <c r="H104" s="1459"/>
      <c r="I104" s="1459"/>
      <c r="J104" s="1459"/>
      <c r="K104" s="1459"/>
      <c r="L104" s="1459"/>
      <c r="M104" s="1459"/>
      <c r="N104" s="1459"/>
      <c r="O104" s="1459"/>
      <c r="P104" s="1459"/>
      <c r="Q104" s="1459"/>
      <c r="R104" s="1459"/>
      <c r="S104" s="1459"/>
      <c r="T104" s="465" cm="1" t="str">
        <f t="array" ref="T104:T104">T103</f>
        <v>true</v>
      </c>
      <c r="U104" s="1459"/>
      <c r="V104" s="1459"/>
      <c r="W104" s="1459"/>
      <c r="X104" s="1596"/>
      <c r="Y104" s="1459"/>
      <c r="Z104" s="1597"/>
      <c r="AA104" s="1459"/>
      <c r="AB104" s="88" t="s">
        <v>1683</v>
      </c>
      <c r="AC104" s="214" t="s">
        <v>1635</v>
      </c>
      <c r="AD104" s="89" t="s">
        <v>1514</v>
      </c>
      <c r="AE104" s="215">
        <f>(AE98+AE80)/2</f>
        <v>0</v>
      </c>
      <c r="AF104" s="215">
        <f>(AF98+AF80)/2</f>
        <v>0</v>
      </c>
      <c r="AG104" s="215">
        <f>(AG98+AG80)/2</f>
        <v>0</v>
      </c>
      <c r="AH104" s="215">
        <f>(AH98+AH80)/2</f>
        <v>0</v>
      </c>
      <c r="AI104" s="215">
        <f>(AI98+AI80)/2</f>
        <v>0</v>
      </c>
      <c r="AJ104" s="215">
        <f>(AJ98+AJ80)/2</f>
        <v>0</v>
      </c>
      <c r="AK104" s="215">
        <f>(AK98+AK80)/2</f>
        <v>0</v>
      </c>
      <c r="AL104" s="215">
        <f>(AL98+AL80)/2</f>
        <v>0</v>
      </c>
      <c r="AM104" s="215">
        <f>(AM98+AM80)/2</f>
        <v>0</v>
      </c>
      <c r="AN104" s="3536">
        <f>(AN98+AN80)/2</f>
        <v>0</v>
      </c>
      <c r="AO104" s="3536">
        <f>(AO98+AO80)/2</f>
        <v>0</v>
      </c>
      <c r="AP104" s="3536">
        <f>(AP98+AP80)/2</f>
        <v>0</v>
      </c>
      <c r="AQ104" s="3536">
        <f>(AQ98+AQ80)/2</f>
        <v>0</v>
      </c>
      <c r="AR104" s="3536">
        <f>(AR98+AR80)/2</f>
        <v>0</v>
      </c>
      <c r="AS104" s="215">
        <f>(AS98+AS80)/2</f>
        <v>0</v>
      </c>
      <c r="AT104" s="215">
        <f>(AT98+AT80)/2</f>
        <v>0</v>
      </c>
      <c r="AU104" s="215">
        <f>(AU98+AU80)/2</f>
        <v>0</v>
      </c>
      <c r="AV104" s="215">
        <f>(AV98+AV80)/2</f>
        <v>0</v>
      </c>
      <c r="AW104" s="215">
        <f>(AW98+AW80)/2</f>
        <v>0</v>
      </c>
      <c r="AX104" s="3536">
        <f>(AX98+AX80)/2</f>
        <v>0</v>
      </c>
      <c r="AY104" s="3536">
        <f>(AY98+AY80)/2</f>
        <v>0</v>
      </c>
      <c r="AZ104" s="3536">
        <f>(AZ98+AZ80)/2</f>
        <v>0</v>
      </c>
      <c r="BA104" s="3536">
        <f>(BA98+BA80)/2</f>
        <v>0</v>
      </c>
      <c r="BB104" s="3536">
        <f>(BB98+BB80)/2</f>
        <v>0</v>
      </c>
      <c r="BC104" s="200"/>
      <c r="BD104" s="1459"/>
      <c r="BE104" s="1459"/>
      <c r="BF104" s="1034" t="s">
        <v>1684</v>
      </c>
    </row>
    <row s="1834" customFormat="1" customHeight="1" ht="0">
      <c r="A105" s="1459"/>
      <c r="B105" s="1416"/>
      <c r="C105" s="1459"/>
      <c r="D105" s="1459"/>
      <c r="E105" s="628">
        <v>15</v>
      </c>
      <c r="F105" s="50" cm="1" t="str">
        <f t="array" ref="F105:F105">OFFSET(E105,-1,1)</f>
        <v>1</v>
      </c>
      <c r="G105" s="104" t="s">
        <v>1685</v>
      </c>
      <c r="H105" s="1459"/>
      <c r="I105" s="1459"/>
      <c r="J105" s="1459"/>
      <c r="K105" s="1459"/>
      <c r="L105" s="1459"/>
      <c r="M105" s="1459"/>
      <c r="N105" s="1459"/>
      <c r="O105" s="1459"/>
      <c r="P105" s="1459"/>
      <c r="Q105" s="1459"/>
      <c r="R105" s="1459"/>
      <c r="S105" s="1459"/>
      <c r="T105" s="465" cm="1" t="str">
        <f t="array" ref="T105:T105">T104</f>
        <v>true</v>
      </c>
      <c r="U105" s="1459"/>
      <c r="V105" s="1459"/>
      <c r="W105" s="1459"/>
      <c r="X105" s="1596"/>
      <c r="Y105" s="1459"/>
      <c r="Z105" s="1597"/>
      <c r="AA105" s="1459"/>
      <c r="AB105" s="88" t="s">
        <v>1686</v>
      </c>
      <c r="AC105" s="214" t="s">
        <v>1638</v>
      </c>
      <c r="AD105" s="89" t="s">
        <v>1514</v>
      </c>
      <c r="AE105" s="215">
        <f>(AE99+AE81)/2</f>
        <v>0</v>
      </c>
      <c r="AF105" s="215">
        <f>(AF99+AF81)/2</f>
        <v>0</v>
      </c>
      <c r="AG105" s="215">
        <f>(AG99+AG81)/2</f>
        <v>0</v>
      </c>
      <c r="AH105" s="215">
        <f>(AH99+AH81)/2</f>
        <v>0</v>
      </c>
      <c r="AI105" s="215">
        <f>(AI99+AI81)/2</f>
        <v>0</v>
      </c>
      <c r="AJ105" s="215">
        <f>(AJ99+AJ81)/2</f>
        <v>0</v>
      </c>
      <c r="AK105" s="215">
        <f>(AK99+AK81)/2</f>
        <v>0</v>
      </c>
      <c r="AL105" s="215">
        <f>(AL99+AL81)/2</f>
        <v>0</v>
      </c>
      <c r="AM105" s="215">
        <f>(AM99+AM81)/2</f>
        <v>0</v>
      </c>
      <c r="AN105" s="3536">
        <f>(AN99+AN81)/2</f>
        <v>0</v>
      </c>
      <c r="AO105" s="3536">
        <f>(AO99+AO81)/2</f>
        <v>0</v>
      </c>
      <c r="AP105" s="3536">
        <f>(AP99+AP81)/2</f>
        <v>0</v>
      </c>
      <c r="AQ105" s="3536">
        <f>(AQ99+AQ81)/2</f>
        <v>0</v>
      </c>
      <c r="AR105" s="3536">
        <f>(AR99+AR81)/2</f>
        <v>0</v>
      </c>
      <c r="AS105" s="215">
        <f>(AS99+AS81)/2</f>
        <v>0</v>
      </c>
      <c r="AT105" s="215">
        <f>(AT99+AT81)/2</f>
        <v>0</v>
      </c>
      <c r="AU105" s="215">
        <f>(AU99+AU81)/2</f>
        <v>0</v>
      </c>
      <c r="AV105" s="215">
        <f>(AV99+AV81)/2</f>
        <v>0</v>
      </c>
      <c r="AW105" s="215">
        <f>(AW99+AW81)/2</f>
        <v>0</v>
      </c>
      <c r="AX105" s="3536">
        <f>(AX99+AX81)/2</f>
        <v>0</v>
      </c>
      <c r="AY105" s="3536">
        <f>(AY99+AY81)/2</f>
        <v>0</v>
      </c>
      <c r="AZ105" s="3536">
        <f>(AZ99+AZ81)/2</f>
        <v>0</v>
      </c>
      <c r="BA105" s="3536">
        <f>(BA99+BA81)/2</f>
        <v>0</v>
      </c>
      <c r="BB105" s="3536">
        <f>(BB99+BB81)/2</f>
        <v>0</v>
      </c>
      <c r="BC105" s="200"/>
      <c r="BD105" s="1459"/>
      <c r="BE105" s="1459"/>
      <c r="BF105" s="1034" t="s">
        <v>1687</v>
      </c>
    </row>
    <row s="1834" customFormat="1" customHeight="1" ht="0">
      <c r="A106" s="1459"/>
      <c r="B106" s="1416"/>
      <c r="C106" s="1459"/>
      <c r="D106" s="1459"/>
      <c r="E106" s="628">
        <v>15</v>
      </c>
      <c r="F106" s="50" cm="1" t="str">
        <f t="array" ref="F106:F106">OFFSET(E106,-1,1)</f>
        <v>1</v>
      </c>
      <c r="G106" s="104" t="s">
        <v>1688</v>
      </c>
      <c r="H106" s="1459"/>
      <c r="I106" s="1459"/>
      <c r="J106" s="1459"/>
      <c r="K106" s="1459"/>
      <c r="L106" s="1459"/>
      <c r="M106" s="1459"/>
      <c r="N106" s="1459"/>
      <c r="O106" s="1459"/>
      <c r="P106" s="1459"/>
      <c r="Q106" s="1459"/>
      <c r="R106" s="1459"/>
      <c r="S106" s="1459"/>
      <c r="T106" s="465" cm="1" t="str">
        <f t="array" ref="T106:T106">T105</f>
        <v>true</v>
      </c>
      <c r="U106" s="1459"/>
      <c r="V106" s="1459"/>
      <c r="W106" s="1459"/>
      <c r="X106" s="1596"/>
      <c r="Y106" s="1459"/>
      <c r="Z106" s="1597"/>
      <c r="AA106" s="1459"/>
      <c r="AB106" s="88" t="s">
        <v>1689</v>
      </c>
      <c r="AC106" s="214" t="s">
        <v>1642</v>
      </c>
      <c r="AD106" s="89" t="s">
        <v>1514</v>
      </c>
      <c r="AE106" s="215">
        <f>(AE100+AE82)/2</f>
        <v>0</v>
      </c>
      <c r="AF106" s="215">
        <f>(AF100+AF82)/2</f>
        <v>0</v>
      </c>
      <c r="AG106" s="215">
        <f>(AG100+AG82)/2</f>
        <v>0</v>
      </c>
      <c r="AH106" s="215">
        <f>(AH100+AH82)/2</f>
        <v>0</v>
      </c>
      <c r="AI106" s="215">
        <f>(AI100+AI82)/2</f>
        <v>0</v>
      </c>
      <c r="AJ106" s="215">
        <f>(AJ100+AJ82)/2</f>
        <v>0</v>
      </c>
      <c r="AK106" s="215">
        <f>(AK100+AK82)/2</f>
        <v>0</v>
      </c>
      <c r="AL106" s="215">
        <f>(AL100+AL82)/2</f>
        <v>0</v>
      </c>
      <c r="AM106" s="215">
        <f>(AM100+AM82)/2</f>
        <v>0</v>
      </c>
      <c r="AN106" s="3536">
        <f>(AN100+AN82)/2</f>
        <v>0</v>
      </c>
      <c r="AO106" s="3536">
        <f>(AO100+AO82)/2</f>
        <v>0</v>
      </c>
      <c r="AP106" s="3536">
        <f>(AP100+AP82)/2</f>
        <v>0</v>
      </c>
      <c r="AQ106" s="3536">
        <f>(AQ100+AQ82)/2</f>
        <v>0</v>
      </c>
      <c r="AR106" s="3536">
        <f>(AR100+AR82)/2</f>
        <v>0</v>
      </c>
      <c r="AS106" s="215">
        <f>(AS100+AS82)/2</f>
        <v>0</v>
      </c>
      <c r="AT106" s="215">
        <f>(AT100+AT82)/2</f>
        <v>0</v>
      </c>
      <c r="AU106" s="215">
        <f>(AU100+AU82)/2</f>
        <v>0</v>
      </c>
      <c r="AV106" s="215">
        <f>(AV100+AV82)/2</f>
        <v>0</v>
      </c>
      <c r="AW106" s="215">
        <f>(AW100+AW82)/2</f>
        <v>0</v>
      </c>
      <c r="AX106" s="3536">
        <f>(AX100+AX82)/2</f>
        <v>0</v>
      </c>
      <c r="AY106" s="3536">
        <f>(AY100+AY82)/2</f>
        <v>0</v>
      </c>
      <c r="AZ106" s="3536">
        <f>(AZ100+AZ82)/2</f>
        <v>0</v>
      </c>
      <c r="BA106" s="3536">
        <f>(BA100+BA82)/2</f>
        <v>0</v>
      </c>
      <c r="BB106" s="3536">
        <f>(BB100+BB82)/2</f>
        <v>0</v>
      </c>
      <c r="BC106" s="200"/>
      <c r="BD106" s="1459"/>
      <c r="BE106" s="1459"/>
      <c r="BF106" s="1034" t="s">
        <v>1690</v>
      </c>
    </row>
    <row s="525" customFormat="1" customHeight="1" ht="21.75">
      <c r="A107" s="525"/>
      <c r="B107" s="431"/>
      <c r="C107" s="525"/>
      <c r="D107" s="525"/>
      <c r="E107" s="669">
        <v>22.5</v>
      </c>
      <c r="F107" s="50" cm="1" t="str">
        <f t="array" ref="F107:F107">OFFSET(E107,-1,1)</f>
        <v>1</v>
      </c>
      <c r="G107" s="104" t="s">
        <v>1225</v>
      </c>
      <c r="H107" s="525"/>
      <c r="I107" s="525"/>
      <c r="J107" s="525"/>
      <c r="K107" s="525"/>
      <c r="L107" s="525"/>
      <c r="M107" s="525"/>
      <c r="N107" s="525"/>
      <c r="O107" s="525"/>
      <c r="P107" s="525"/>
      <c r="Q107" s="525"/>
      <c r="R107" s="525"/>
      <c r="S107" s="525"/>
      <c r="T107" s="465" cm="1" t="str">
        <f t="array" ref="T107:T107">T106</f>
        <v>true</v>
      </c>
      <c r="U107" s="525"/>
      <c r="V107" s="525"/>
      <c r="W107" s="525"/>
      <c r="X107" s="1596"/>
      <c r="Y107" s="525"/>
      <c r="Z107" s="1597"/>
      <c r="AA107" s="525"/>
      <c r="AB107" s="211">
        <v>6</v>
      </c>
      <c r="AC107" s="212" t="s">
        <v>1691</v>
      </c>
      <c r="AD107" s="211"/>
      <c r="AE107" s="216"/>
      <c r="AF107" s="216"/>
      <c r="AG107" s="216"/>
      <c r="AH107" s="216"/>
      <c r="AI107" s="216"/>
      <c r="AJ107" s="216"/>
      <c r="AK107" s="216"/>
      <c r="AL107" s="216"/>
      <c r="AM107" s="216"/>
      <c r="AN107" s="216"/>
      <c r="AO107" s="216"/>
      <c r="AP107" s="216"/>
      <c r="AQ107" s="216"/>
      <c r="AR107" s="216"/>
      <c r="AS107" s="216"/>
      <c r="AT107" s="216"/>
      <c r="AU107" s="216"/>
      <c r="AV107" s="216"/>
      <c r="AW107" s="216"/>
      <c r="AX107" s="216"/>
      <c r="AY107" s="216"/>
      <c r="AZ107" s="216"/>
      <c r="BA107" s="216"/>
      <c r="BB107" s="216"/>
      <c r="BC107" s="200"/>
      <c r="BD107" s="525"/>
      <c r="BE107" s="525"/>
      <c r="BF107" s="1034" t="s">
        <v>1692</v>
      </c>
    </row>
    <row s="1834" customFormat="1" customHeight="1" ht="0">
      <c r="A108" s="1459"/>
      <c r="B108" s="1416"/>
      <c r="C108" s="1459"/>
      <c r="D108" s="1459"/>
      <c r="E108" s="628">
        <v>15</v>
      </c>
      <c r="F108" s="50" cm="1" t="str">
        <f t="array" ref="F108:F108">OFFSET(E108,-1,1)</f>
        <v>1</v>
      </c>
      <c r="G108" s="104" t="s">
        <v>1383</v>
      </c>
      <c r="H108" s="1459"/>
      <c r="I108" s="1459"/>
      <c r="J108" s="1459"/>
      <c r="K108" s="1459"/>
      <c r="L108" s="1459"/>
      <c r="M108" s="1459"/>
      <c r="N108" s="1459"/>
      <c r="O108" s="1459"/>
      <c r="P108" s="1459"/>
      <c r="Q108" s="1459"/>
      <c r="R108" s="1459"/>
      <c r="S108" s="1459"/>
      <c r="T108" s="465" cm="1" t="str">
        <f t="array" ref="T108:T108">T107</f>
        <v>true</v>
      </c>
      <c r="U108" s="1459"/>
      <c r="V108" s="1459"/>
      <c r="W108" s="1459"/>
      <c r="X108" s="1596"/>
      <c r="Y108" s="1459"/>
      <c r="Z108" s="1597"/>
      <c r="AA108" s="1459"/>
      <c r="AB108" s="88" t="s">
        <v>1279</v>
      </c>
      <c r="AC108" s="214" t="s">
        <v>1629</v>
      </c>
      <c r="AD108" s="88" t="s">
        <v>1170</v>
      </c>
      <c r="AE108" s="215">
        <f>IF(AE102=0,0,AE114/AE102*100)</f>
        <v>0</v>
      </c>
      <c r="AF108" s="215">
        <f>IF(AF102=0,0,AF114/AF102*100)</f>
        <v>0</v>
      </c>
      <c r="AG108" s="215">
        <f>IF(AG102=0,0,AG114/AG102*100)</f>
        <v>0</v>
      </c>
      <c r="AH108" s="215">
        <f>IF(AH102=0,0,AH114/AH102*100)</f>
        <v>0</v>
      </c>
      <c r="AI108" s="215">
        <f>IF(AI102=0,0,AI114/AI102*100)</f>
        <v>0</v>
      </c>
      <c r="AJ108" s="215">
        <f>IF(AJ102=0,0,AJ114/AJ102*100)</f>
        <v>0</v>
      </c>
      <c r="AK108" s="215">
        <f>IF(AK102=0,0,AK114/AK102*100)</f>
        <v>0</v>
      </c>
      <c r="AL108" s="215">
        <f>IF(AL102=0,0,AL114/AL102*100)</f>
        <v>0</v>
      </c>
      <c r="AM108" s="215">
        <f>IF(AM102=0,0,AM114/AM102*100)</f>
        <v>0</v>
      </c>
      <c r="AN108" s="3536">
        <f>IF(AN102=0,0,AN114/AN102*100)</f>
        <v>0</v>
      </c>
      <c r="AO108" s="3536">
        <f>IF(AO102=0,0,AO114/AO102*100)</f>
        <v>0</v>
      </c>
      <c r="AP108" s="3536">
        <f>IF(AP102=0,0,AP114/AP102*100)</f>
        <v>0</v>
      </c>
      <c r="AQ108" s="3536">
        <f>IF(AQ102=0,0,AQ114/AQ102*100)</f>
        <v>0</v>
      </c>
      <c r="AR108" s="3536">
        <f>IF(AR102=0,0,AR114/AR102*100)</f>
        <v>0</v>
      </c>
      <c r="AS108" s="215">
        <f>IF(AS102=0,0,AS114/AS102*100)</f>
        <v>0</v>
      </c>
      <c r="AT108" s="215">
        <f>IF(AT102=0,0,AT114/AT102*100)</f>
        <v>0</v>
      </c>
      <c r="AU108" s="215">
        <f>IF(AU102=0,0,AU114/AU102*100)</f>
        <v>0</v>
      </c>
      <c r="AV108" s="215">
        <f>IF(AV102=0,0,AV114/AV102*100)</f>
        <v>0</v>
      </c>
      <c r="AW108" s="215">
        <f>IF(AW102=0,0,AW114/AW102*100)</f>
        <v>0</v>
      </c>
      <c r="AX108" s="3536">
        <f>IF(AX102=0,0,AX114/AX102*100)</f>
        <v>0</v>
      </c>
      <c r="AY108" s="3536">
        <f>IF(AY102=0,0,AY114/AY102*100)</f>
        <v>0</v>
      </c>
      <c r="AZ108" s="3536">
        <f>IF(AZ102=0,0,AZ114/AZ102*100)</f>
        <v>0</v>
      </c>
      <c r="BA108" s="3536">
        <f>IF(BA102=0,0,BA114/BA102*100)</f>
        <v>0</v>
      </c>
      <c r="BB108" s="3536">
        <f>IF(BB102=0,0,BB114/BB102*100)</f>
        <v>0</v>
      </c>
      <c r="BC108" s="200"/>
      <c r="BD108" s="1459"/>
      <c r="BE108" s="1459"/>
      <c r="BF108" s="1034" t="s">
        <v>1693</v>
      </c>
    </row>
    <row s="1834" customFormat="1" customHeight="1" ht="0">
      <c r="A109" s="1459"/>
      <c r="B109" s="1416"/>
      <c r="C109" s="1459"/>
      <c r="D109" s="1459"/>
      <c r="E109" s="628">
        <v>15</v>
      </c>
      <c r="F109" s="50" cm="1" t="str">
        <f t="array" ref="F109:F109">OFFSET(E109,-1,1)</f>
        <v>1</v>
      </c>
      <c r="G109" s="104" t="s">
        <v>1386</v>
      </c>
      <c r="H109" s="1459"/>
      <c r="I109" s="1459"/>
      <c r="J109" s="1459"/>
      <c r="K109" s="1459"/>
      <c r="L109" s="1459"/>
      <c r="M109" s="1459"/>
      <c r="N109" s="1459"/>
      <c r="O109" s="1459"/>
      <c r="P109" s="1459"/>
      <c r="Q109" s="1459"/>
      <c r="R109" s="1459"/>
      <c r="S109" s="1459"/>
      <c r="T109" s="465" cm="1" t="str">
        <f t="array" ref="T109:T109">T108</f>
        <v>true</v>
      </c>
      <c r="U109" s="1459"/>
      <c r="V109" s="1459"/>
      <c r="W109" s="1459"/>
      <c r="X109" s="1596"/>
      <c r="Y109" s="1459"/>
      <c r="Z109" s="1597"/>
      <c r="AA109" s="1459"/>
      <c r="AB109" s="88" t="s">
        <v>1283</v>
      </c>
      <c r="AC109" s="214" t="s">
        <v>1632</v>
      </c>
      <c r="AD109" s="88" t="s">
        <v>1170</v>
      </c>
      <c r="AE109" s="215">
        <f>IF(AE103=0,0,AE115/AE103*100)</f>
        <v>0</v>
      </c>
      <c r="AF109" s="215">
        <f>IF(AF103=0,0,AF115/AF103*100)</f>
        <v>0</v>
      </c>
      <c r="AG109" s="215">
        <f>IF(AG103=0,0,AG115/AG103*100)</f>
        <v>0</v>
      </c>
      <c r="AH109" s="215">
        <f>IF(AH103=0,0,AH115/AH103*100)</f>
        <v>0</v>
      </c>
      <c r="AI109" s="215">
        <f>IF(AI103=0,0,AI115/AI103*100)</f>
        <v>0</v>
      </c>
      <c r="AJ109" s="215">
        <f>IF(AJ103=0,0,AJ115/AJ103*100)</f>
        <v>0</v>
      </c>
      <c r="AK109" s="215">
        <f>IF(AK103=0,0,AK115/AK103*100)</f>
        <v>0</v>
      </c>
      <c r="AL109" s="215">
        <f>IF(AL103=0,0,AL115/AL103*100)</f>
        <v>0</v>
      </c>
      <c r="AM109" s="215">
        <f>IF(AM103=0,0,AM115/AM103*100)</f>
        <v>0</v>
      </c>
      <c r="AN109" s="3536">
        <f>IF(AN103=0,0,AN115/AN103*100)</f>
        <v>0</v>
      </c>
      <c r="AO109" s="3536">
        <f>IF(AO103=0,0,AO115/AO103*100)</f>
        <v>0</v>
      </c>
      <c r="AP109" s="3536">
        <f>IF(AP103=0,0,AP115/AP103*100)</f>
        <v>0</v>
      </c>
      <c r="AQ109" s="3536">
        <f>IF(AQ103=0,0,AQ115/AQ103*100)</f>
        <v>0</v>
      </c>
      <c r="AR109" s="3536">
        <f>IF(AR103=0,0,AR115/AR103*100)</f>
        <v>0</v>
      </c>
      <c r="AS109" s="215">
        <f>IF(AS103=0,0,AS115/AS103*100)</f>
        <v>0</v>
      </c>
      <c r="AT109" s="215">
        <f>IF(AT103=0,0,AT115/AT103*100)</f>
        <v>0</v>
      </c>
      <c r="AU109" s="215">
        <f>IF(AU103=0,0,AU115/AU103*100)</f>
        <v>0</v>
      </c>
      <c r="AV109" s="215">
        <f>IF(AV103=0,0,AV115/AV103*100)</f>
        <v>0</v>
      </c>
      <c r="AW109" s="215">
        <f>IF(AW103=0,0,AW115/AW103*100)</f>
        <v>0</v>
      </c>
      <c r="AX109" s="3536">
        <f>IF(AX103=0,0,AX115/AX103*100)</f>
        <v>0</v>
      </c>
      <c r="AY109" s="3536">
        <f>IF(AY103=0,0,AY115/AY103*100)</f>
        <v>0</v>
      </c>
      <c r="AZ109" s="3536">
        <f>IF(AZ103=0,0,AZ115/AZ103*100)</f>
        <v>0</v>
      </c>
      <c r="BA109" s="3536">
        <f>IF(BA103=0,0,BA115/BA103*100)</f>
        <v>0</v>
      </c>
      <c r="BB109" s="3536">
        <f>IF(BB103=0,0,BB115/BB103*100)</f>
        <v>0</v>
      </c>
      <c r="BC109" s="200"/>
      <c r="BD109" s="1459"/>
      <c r="BE109" s="1459"/>
      <c r="BF109" s="1034" t="s">
        <v>1694</v>
      </c>
    </row>
    <row s="1834" customFormat="1" customHeight="1" ht="0">
      <c r="A110" s="1459"/>
      <c r="B110" s="1416"/>
      <c r="C110" s="1459"/>
      <c r="D110" s="1459"/>
      <c r="E110" s="628">
        <v>15</v>
      </c>
      <c r="F110" s="50" cm="1" t="str">
        <f t="array" ref="F110:F110">OFFSET(E110,-1,1)</f>
        <v>1</v>
      </c>
      <c r="G110" s="104" t="s">
        <v>1420</v>
      </c>
      <c r="H110" s="1459"/>
      <c r="I110" s="1459"/>
      <c r="J110" s="1459"/>
      <c r="K110" s="1459"/>
      <c r="L110" s="1459"/>
      <c r="M110" s="1459"/>
      <c r="N110" s="1459"/>
      <c r="O110" s="1459"/>
      <c r="P110" s="1459"/>
      <c r="Q110" s="1459"/>
      <c r="R110" s="1459"/>
      <c r="S110" s="1459"/>
      <c r="T110" s="465" cm="1" t="str">
        <f t="array" ref="T110:T110">T109</f>
        <v>true</v>
      </c>
      <c r="U110" s="1459"/>
      <c r="V110" s="1459"/>
      <c r="W110" s="1459"/>
      <c r="X110" s="1596"/>
      <c r="Y110" s="1459"/>
      <c r="Z110" s="1597"/>
      <c r="AA110" s="1459"/>
      <c r="AB110" s="88" t="s">
        <v>1287</v>
      </c>
      <c r="AC110" s="214" t="s">
        <v>1635</v>
      </c>
      <c r="AD110" s="88" t="s">
        <v>1170</v>
      </c>
      <c r="AE110" s="215">
        <f>IF(AE104=0,0,AE116/AE104*100)</f>
        <v>0</v>
      </c>
      <c r="AF110" s="215">
        <f>IF(AF104=0,0,AF116/AF104*100)</f>
        <v>0</v>
      </c>
      <c r="AG110" s="215">
        <f>IF(AG104=0,0,AG116/AG104*100)</f>
        <v>0</v>
      </c>
      <c r="AH110" s="215">
        <f>IF(AH104=0,0,AH116/AH104*100)</f>
        <v>0</v>
      </c>
      <c r="AI110" s="215">
        <f>IF(AI104=0,0,AI116/AI104*100)</f>
        <v>0</v>
      </c>
      <c r="AJ110" s="215">
        <f>IF(AJ104=0,0,AJ116/AJ104*100)</f>
        <v>0</v>
      </c>
      <c r="AK110" s="215">
        <f>IF(AK104=0,0,AK116/AK104*100)</f>
        <v>0</v>
      </c>
      <c r="AL110" s="215">
        <f>IF(AL104=0,0,AL116/AL104*100)</f>
        <v>0</v>
      </c>
      <c r="AM110" s="215">
        <f>IF(AM104=0,0,AM116/AM104*100)</f>
        <v>0</v>
      </c>
      <c r="AN110" s="3536">
        <f>IF(AN104=0,0,AN116/AN104*100)</f>
        <v>0</v>
      </c>
      <c r="AO110" s="3536">
        <f>IF(AO104=0,0,AO116/AO104*100)</f>
        <v>0</v>
      </c>
      <c r="AP110" s="3536">
        <f>IF(AP104=0,0,AP116/AP104*100)</f>
        <v>0</v>
      </c>
      <c r="AQ110" s="3536">
        <f>IF(AQ104=0,0,AQ116/AQ104*100)</f>
        <v>0</v>
      </c>
      <c r="AR110" s="3536">
        <f>IF(AR104=0,0,AR116/AR104*100)</f>
        <v>0</v>
      </c>
      <c r="AS110" s="215">
        <f>IF(AS104=0,0,AS116/AS104*100)</f>
        <v>0</v>
      </c>
      <c r="AT110" s="215">
        <f>IF(AT104=0,0,AT116/AT104*100)</f>
        <v>0</v>
      </c>
      <c r="AU110" s="215">
        <f>IF(AU104=0,0,AU116/AU104*100)</f>
        <v>0</v>
      </c>
      <c r="AV110" s="215">
        <f>IF(AV104=0,0,AV116/AV104*100)</f>
        <v>0</v>
      </c>
      <c r="AW110" s="215">
        <f>IF(AW104=0,0,AW116/AW104*100)</f>
        <v>0</v>
      </c>
      <c r="AX110" s="3536">
        <f>IF(AX104=0,0,AX116/AX104*100)</f>
        <v>0</v>
      </c>
      <c r="AY110" s="3536">
        <f>IF(AY104=0,0,AY116/AY104*100)</f>
        <v>0</v>
      </c>
      <c r="AZ110" s="3536">
        <f>IF(AZ104=0,0,AZ116/AZ104*100)</f>
        <v>0</v>
      </c>
      <c r="BA110" s="3536">
        <f>IF(BA104=0,0,BA116/BA104*100)</f>
        <v>0</v>
      </c>
      <c r="BB110" s="3536">
        <f>IF(BB104=0,0,BB116/BB104*100)</f>
        <v>0</v>
      </c>
      <c r="BC110" s="200"/>
      <c r="BD110" s="1459"/>
      <c r="BE110" s="1459"/>
      <c r="BF110" s="1034" t="s">
        <v>1695</v>
      </c>
    </row>
    <row s="1834" customFormat="1" customHeight="1" ht="0">
      <c r="A111" s="1459"/>
      <c r="B111" s="1416"/>
      <c r="C111" s="1459"/>
      <c r="D111" s="1459"/>
      <c r="E111" s="628">
        <v>15</v>
      </c>
      <c r="F111" s="50" cm="1" t="str">
        <f t="array" ref="F111:F111">OFFSET(E111,-1,1)</f>
        <v>1</v>
      </c>
      <c r="G111" s="104" t="s">
        <v>1429</v>
      </c>
      <c r="H111" s="1459"/>
      <c r="I111" s="1459"/>
      <c r="J111" s="1459"/>
      <c r="K111" s="1459"/>
      <c r="L111" s="1459"/>
      <c r="M111" s="1459"/>
      <c r="N111" s="1459"/>
      <c r="O111" s="1459"/>
      <c r="P111" s="1459"/>
      <c r="Q111" s="1459"/>
      <c r="R111" s="1459"/>
      <c r="S111" s="1459"/>
      <c r="T111" s="465" cm="1" t="str">
        <f t="array" ref="T111:T111">T110</f>
        <v>true</v>
      </c>
      <c r="U111" s="1459"/>
      <c r="V111" s="1459"/>
      <c r="W111" s="1459"/>
      <c r="X111" s="1596"/>
      <c r="Y111" s="1459"/>
      <c r="Z111" s="1597"/>
      <c r="AA111" s="1459"/>
      <c r="AB111" s="88" t="s">
        <v>1696</v>
      </c>
      <c r="AC111" s="214" t="s">
        <v>1638</v>
      </c>
      <c r="AD111" s="88" t="s">
        <v>1170</v>
      </c>
      <c r="AE111" s="215">
        <f>IF(AE105=0,0,AE117/AE105*100)</f>
        <v>0</v>
      </c>
      <c r="AF111" s="215">
        <f>IF(AF105=0,0,AF117/AF105*100)</f>
        <v>0</v>
      </c>
      <c r="AG111" s="215">
        <f>IF(AG105=0,0,AG117/AG105*100)</f>
        <v>0</v>
      </c>
      <c r="AH111" s="215">
        <f>IF(AH105=0,0,AH117/AH105*100)</f>
        <v>0</v>
      </c>
      <c r="AI111" s="215">
        <f>IF(AI105=0,0,AI117/AI105*100)</f>
        <v>0</v>
      </c>
      <c r="AJ111" s="215">
        <f>IF(AJ105=0,0,AJ117/AJ105*100)</f>
        <v>0</v>
      </c>
      <c r="AK111" s="215">
        <f>IF(AK105=0,0,AK117/AK105*100)</f>
        <v>0</v>
      </c>
      <c r="AL111" s="215">
        <f>IF(AL105=0,0,AL117/AL105*100)</f>
        <v>0</v>
      </c>
      <c r="AM111" s="215">
        <f>IF(AM105=0,0,AM117/AM105*100)</f>
        <v>0</v>
      </c>
      <c r="AN111" s="3536">
        <f>IF(AN105=0,0,AN117/AN105*100)</f>
        <v>0</v>
      </c>
      <c r="AO111" s="3536">
        <f>IF(AO105=0,0,AO117/AO105*100)</f>
        <v>0</v>
      </c>
      <c r="AP111" s="3536">
        <f>IF(AP105=0,0,AP117/AP105*100)</f>
        <v>0</v>
      </c>
      <c r="AQ111" s="3536">
        <f>IF(AQ105=0,0,AQ117/AQ105*100)</f>
        <v>0</v>
      </c>
      <c r="AR111" s="3536">
        <f>IF(AR105=0,0,AR117/AR105*100)</f>
        <v>0</v>
      </c>
      <c r="AS111" s="215">
        <f>IF(AS105=0,0,AS117/AS105*100)</f>
        <v>0</v>
      </c>
      <c r="AT111" s="215">
        <f>IF(AT105=0,0,AT117/AT105*100)</f>
        <v>0</v>
      </c>
      <c r="AU111" s="215">
        <f>IF(AU105=0,0,AU117/AU105*100)</f>
        <v>0</v>
      </c>
      <c r="AV111" s="215">
        <f>IF(AV105=0,0,AV117/AV105*100)</f>
        <v>0</v>
      </c>
      <c r="AW111" s="215">
        <f>IF(AW105=0,0,AW117/AW105*100)</f>
        <v>0</v>
      </c>
      <c r="AX111" s="3536">
        <f>IF(AX105=0,0,AX117/AX105*100)</f>
        <v>0</v>
      </c>
      <c r="AY111" s="3536">
        <f>IF(AY105=0,0,AY117/AY105*100)</f>
        <v>0</v>
      </c>
      <c r="AZ111" s="3536">
        <f>IF(AZ105=0,0,AZ117/AZ105*100)</f>
        <v>0</v>
      </c>
      <c r="BA111" s="3536">
        <f>IF(BA105=0,0,BA117/BA105*100)</f>
        <v>0</v>
      </c>
      <c r="BB111" s="3536">
        <f>IF(BB105=0,0,BB117/BB105*100)</f>
        <v>0</v>
      </c>
      <c r="BC111" s="200"/>
      <c r="BD111" s="1459"/>
      <c r="BE111" s="1459"/>
      <c r="BF111" s="1034" t="s">
        <v>1697</v>
      </c>
    </row>
    <row s="1834" customFormat="1" customHeight="1" ht="0">
      <c r="A112" s="1459"/>
      <c r="B112" s="1416"/>
      <c r="C112" s="1459"/>
      <c r="D112" s="1459"/>
      <c r="E112" s="628">
        <v>15</v>
      </c>
      <c r="F112" s="50" cm="1" t="str">
        <f t="array" ref="F112:F112">OFFSET(E112,-1,1)</f>
        <v>1</v>
      </c>
      <c r="G112" s="104" t="s">
        <v>1439</v>
      </c>
      <c r="H112" s="1459"/>
      <c r="I112" s="1459"/>
      <c r="J112" s="1459"/>
      <c r="K112" s="1459"/>
      <c r="L112" s="1459"/>
      <c r="M112" s="1459"/>
      <c r="N112" s="1459"/>
      <c r="O112" s="1459"/>
      <c r="P112" s="1459"/>
      <c r="Q112" s="1459"/>
      <c r="R112" s="1459"/>
      <c r="S112" s="1459"/>
      <c r="T112" s="465" cm="1" t="str">
        <f t="array" ref="T112:T112">T111</f>
        <v>true</v>
      </c>
      <c r="U112" s="1459"/>
      <c r="V112" s="1459"/>
      <c r="W112" s="1459"/>
      <c r="X112" s="1596"/>
      <c r="Y112" s="1459"/>
      <c r="Z112" s="1597"/>
      <c r="AA112" s="1459"/>
      <c r="AB112" s="88" t="s">
        <v>1698</v>
      </c>
      <c r="AC112" s="214" t="s">
        <v>1642</v>
      </c>
      <c r="AD112" s="88" t="s">
        <v>1170</v>
      </c>
      <c r="AE112" s="215">
        <f>IF(AE106=0,0,AE118/AE106*100)</f>
        <v>0</v>
      </c>
      <c r="AF112" s="215">
        <f>IF(AF106=0,0,AF118/AF106*100)</f>
        <v>0</v>
      </c>
      <c r="AG112" s="215">
        <f>IF(AG106=0,0,AG118/AG106*100)</f>
        <v>0</v>
      </c>
      <c r="AH112" s="215">
        <f>IF(AH106=0,0,AH118/AH106*100)</f>
        <v>0</v>
      </c>
      <c r="AI112" s="215">
        <f>IF(AI106=0,0,AI118/AI106*100)</f>
        <v>0</v>
      </c>
      <c r="AJ112" s="215">
        <f>IF(AJ106=0,0,AJ118/AJ106*100)</f>
        <v>0</v>
      </c>
      <c r="AK112" s="215">
        <f>IF(AK106=0,0,AK118/AK106*100)</f>
        <v>0</v>
      </c>
      <c r="AL112" s="215">
        <f>IF(AL106=0,0,AL118/AL106*100)</f>
        <v>0</v>
      </c>
      <c r="AM112" s="215">
        <f>IF(AM106=0,0,AM118/AM106*100)</f>
        <v>0</v>
      </c>
      <c r="AN112" s="3536">
        <f>IF(AN106=0,0,AN118/AN106*100)</f>
        <v>0</v>
      </c>
      <c r="AO112" s="3536">
        <f>IF(AO106=0,0,AO118/AO106*100)</f>
        <v>0</v>
      </c>
      <c r="AP112" s="3536">
        <f>IF(AP106=0,0,AP118/AP106*100)</f>
        <v>0</v>
      </c>
      <c r="AQ112" s="3536">
        <f>IF(AQ106=0,0,AQ118/AQ106*100)</f>
        <v>0</v>
      </c>
      <c r="AR112" s="3536">
        <f>IF(AR106=0,0,AR118/AR106*100)</f>
        <v>0</v>
      </c>
      <c r="AS112" s="215">
        <f>IF(AS106=0,0,AS118/AS106*100)</f>
        <v>0</v>
      </c>
      <c r="AT112" s="215">
        <f>IF(AT106=0,0,AT118/AT106*100)</f>
        <v>0</v>
      </c>
      <c r="AU112" s="215">
        <f>IF(AU106=0,0,AU118/AU106*100)</f>
        <v>0</v>
      </c>
      <c r="AV112" s="215">
        <f>IF(AV106=0,0,AV118/AV106*100)</f>
        <v>0</v>
      </c>
      <c r="AW112" s="215">
        <f>IF(AW106=0,0,AW118/AW106*100)</f>
        <v>0</v>
      </c>
      <c r="AX112" s="3536">
        <f>IF(AX106=0,0,AX118/AX106*100)</f>
        <v>0</v>
      </c>
      <c r="AY112" s="3536">
        <f>IF(AY106=0,0,AY118/AY106*100)</f>
        <v>0</v>
      </c>
      <c r="AZ112" s="3536">
        <f>IF(AZ106=0,0,AZ118/AZ106*100)</f>
        <v>0</v>
      </c>
      <c r="BA112" s="3536">
        <f>IF(BA106=0,0,BA118/BA106*100)</f>
        <v>0</v>
      </c>
      <c r="BB112" s="3536">
        <f>IF(BB106=0,0,BB118/BB106*100)</f>
        <v>0</v>
      </c>
      <c r="BC112" s="200"/>
      <c r="BD112" s="1459"/>
      <c r="BE112" s="1459"/>
      <c r="BF112" s="1034" t="s">
        <v>1699</v>
      </c>
    </row>
    <row s="525" customFormat="1" customHeight="1" ht="14.25">
      <c r="A113" s="525"/>
      <c r="B113" s="431"/>
      <c r="C113" s="525"/>
      <c r="D113" s="525"/>
      <c r="E113" s="628">
        <v>15</v>
      </c>
      <c r="F113" s="50" cm="1" t="str">
        <f t="array" ref="F113:F113">OFFSET(E113,-1,1)</f>
        <v>1</v>
      </c>
      <c r="G113" s="104" t="s">
        <v>1228</v>
      </c>
      <c r="H113" s="525"/>
      <c r="I113" s="525"/>
      <c r="J113" s="525"/>
      <c r="K113" s="124" t="str">
        <f>F113&amp;"komm"</f>
        <v>1komm</v>
      </c>
      <c r="L113" s="919" cm="1" t="str">
        <f t="array" ref="L113:L113">BC113</f>
        <v>0</v>
      </c>
      <c r="M113" s="525"/>
      <c r="N113" s="525"/>
      <c r="O113" s="525"/>
      <c r="P113" s="525"/>
      <c r="Q113" s="525"/>
      <c r="R113" s="525"/>
      <c r="S113" s="525"/>
      <c r="T113" s="465" cm="1" t="str">
        <f t="array" ref="T113:T113">T112</f>
        <v>true</v>
      </c>
      <c r="U113" s="525"/>
      <c r="V113" s="525"/>
      <c r="W113" s="525"/>
      <c r="X113" s="1596"/>
      <c r="Y113" s="525"/>
      <c r="Z113" s="1597"/>
      <c r="AA113" s="525"/>
      <c r="AB113" s="211">
        <v>7</v>
      </c>
      <c r="AC113" s="212" t="s">
        <v>1700</v>
      </c>
      <c r="AD113" s="89" t="s">
        <v>1514</v>
      </c>
      <c r="AE113" s="1198">
        <f>SUM(AE114:AE118)</f>
        <v>0</v>
      </c>
      <c r="AF113" s="1198">
        <f>SUM(AF114:AF118)</f>
        <v>0</v>
      </c>
      <c r="AG113" s="1198">
        <f>SUM(AG114:AG118)</f>
        <v>0</v>
      </c>
      <c r="AH113" s="1198">
        <f>SUM(AH114:AH118)</f>
        <v>0</v>
      </c>
      <c r="AI113" s="1198">
        <f>SUM(AI114:AI118)</f>
        <v>0</v>
      </c>
      <c r="AJ113" s="1198">
        <f>SUM(AJ114:AJ118)</f>
        <v>0</v>
      </c>
      <c r="AK113" s="1198">
        <f>SUM(AK114:AK118)</f>
        <v>1666.67</v>
      </c>
      <c r="AL113" s="1198">
        <f>SUM(AL114:AL118)</f>
        <v>7043.79</v>
      </c>
      <c r="AM113" s="1198">
        <f>SUM(AM114:AM118)</f>
        <v>57081.93</v>
      </c>
      <c r="AN113" s="3534">
        <f>SUM(AN114:AN118)</f>
        <v>0</v>
      </c>
      <c r="AO113" s="3534">
        <f>SUM(AO114:AO118)</f>
        <v>0</v>
      </c>
      <c r="AP113" s="3534">
        <f>SUM(AP114:AP118)</f>
        <v>0</v>
      </c>
      <c r="AQ113" s="3534">
        <f>SUM(AQ114:AQ118)</f>
        <v>0</v>
      </c>
      <c r="AR113" s="3534">
        <f>SUM(AR114:AR118)</f>
        <v>0</v>
      </c>
      <c r="AS113" s="1198">
        <f>SUM(AS114:AS118)</f>
        <v>0</v>
      </c>
      <c r="AT113" s="1198">
        <f>SUM(AT114:AT118)</f>
        <v>0</v>
      </c>
      <c r="AU113" s="1198">
        <f>SUM(AU114:AU118)</f>
        <v>1666.67</v>
      </c>
      <c r="AV113" s="1198">
        <f>SUM(AV114:AV118)</f>
        <v>7043.79</v>
      </c>
      <c r="AW113" s="1198">
        <f>SUM(AW114:AW118)</f>
        <v>57081.93</v>
      </c>
      <c r="AX113" s="3534">
        <f>SUM(AX114:AX118)</f>
        <v>0</v>
      </c>
      <c r="AY113" s="3534">
        <f>SUM(AY114:AY118)</f>
        <v>0</v>
      </c>
      <c r="AZ113" s="3534">
        <f>SUM(AZ114:AZ118)</f>
        <v>0</v>
      </c>
      <c r="BA113" s="3534">
        <f>SUM(BA114:BA118)</f>
        <v>0</v>
      </c>
      <c r="BB113" s="3534">
        <f>SUM(BB114:BB118)</f>
        <v>0</v>
      </c>
      <c r="BC113" s="200"/>
      <c r="BD113" s="525"/>
      <c r="BE113" s="525"/>
      <c r="BF113" s="1034" t="s">
        <v>1701</v>
      </c>
    </row>
    <row s="1834" customFormat="1" customHeight="1" ht="0">
      <c r="A114" s="1459"/>
      <c r="B114" s="1416"/>
      <c r="C114" s="1459"/>
      <c r="D114" s="1459"/>
      <c r="E114" s="628">
        <v>15</v>
      </c>
      <c r="F114" s="50" cm="1" t="str">
        <f t="array" ref="F114:F114">OFFSET(E114,-1,1)</f>
        <v>1</v>
      </c>
      <c r="G114" s="104" t="s">
        <v>1390</v>
      </c>
      <c r="H114" s="1459"/>
      <c r="I114" s="1459"/>
      <c r="J114" s="1459"/>
      <c r="K114" s="1459"/>
      <c r="L114" s="1459"/>
      <c r="M114" s="1459"/>
      <c r="N114" s="1459"/>
      <c r="O114" s="1459"/>
      <c r="P114" s="1459"/>
      <c r="Q114" s="1459"/>
      <c r="R114" s="1459"/>
      <c r="S114" s="1459"/>
      <c r="T114" s="465" cm="1" t="str">
        <f t="array" ref="T114:T114">T113</f>
        <v>true</v>
      </c>
      <c r="U114" s="1459"/>
      <c r="V114" s="1459"/>
      <c r="W114" s="1459"/>
      <c r="X114" s="1596"/>
      <c r="Y114" s="1459"/>
      <c r="Z114" s="1597"/>
      <c r="AA114" s="1459"/>
      <c r="AB114" s="88" t="s">
        <v>1294</v>
      </c>
      <c r="AC114" s="214" t="s">
        <v>1629</v>
      </c>
      <c r="AD114" s="89" t="s">
        <v>1514</v>
      </c>
      <c r="AE114" s="215"/>
      <c r="AF114" s="215"/>
      <c r="AG114" s="215"/>
      <c r="AH114" s="215"/>
      <c r="AI114" s="215"/>
      <c r="AJ114" s="215"/>
      <c r="AK114" s="215"/>
      <c r="AL114" s="215"/>
      <c r="AM114" s="215"/>
      <c r="AN114" s="3536"/>
      <c r="AO114" s="3536"/>
      <c r="AP114" s="3536"/>
      <c r="AQ114" s="3536"/>
      <c r="AR114" s="3536"/>
      <c r="AS114" s="215"/>
      <c r="AT114" s="215"/>
      <c r="AU114" s="215"/>
      <c r="AV114" s="215"/>
      <c r="AW114" s="215"/>
      <c r="AX114" s="3536"/>
      <c r="AY114" s="3536"/>
      <c r="AZ114" s="3536"/>
      <c r="BA114" s="3536"/>
      <c r="BB114" s="3536"/>
      <c r="BC114" s="200"/>
      <c r="BD114" s="1459"/>
      <c r="BE114" s="1459"/>
      <c r="BF114" s="1034" t="s">
        <v>1702</v>
      </c>
    </row>
    <row s="1834" customFormat="1" customHeight="1" ht="0">
      <c r="A115" s="1459"/>
      <c r="B115" s="1416"/>
      <c r="C115" s="1459"/>
      <c r="D115" s="1459"/>
      <c r="E115" s="628">
        <v>15</v>
      </c>
      <c r="F115" s="50" cm="1" t="str">
        <f t="array" ref="F115:F115">OFFSET(E115,-1,1)</f>
        <v>1</v>
      </c>
      <c r="G115" s="104" t="s">
        <v>1393</v>
      </c>
      <c r="H115" s="1459"/>
      <c r="I115" s="1459"/>
      <c r="J115" s="1459"/>
      <c r="K115" s="1459"/>
      <c r="L115" s="1459"/>
      <c r="M115" s="1459"/>
      <c r="N115" s="1459"/>
      <c r="O115" s="1459"/>
      <c r="P115" s="1459"/>
      <c r="Q115" s="1459"/>
      <c r="R115" s="1459"/>
      <c r="S115" s="1459"/>
      <c r="T115" s="465" cm="1" t="str">
        <f t="array" ref="T115:T115">T114</f>
        <v>true</v>
      </c>
      <c r="U115" s="1459"/>
      <c r="V115" s="1459"/>
      <c r="W115" s="1459"/>
      <c r="X115" s="1596"/>
      <c r="Y115" s="1459"/>
      <c r="Z115" s="1597"/>
      <c r="AA115" s="1459"/>
      <c r="AB115" s="88" t="s">
        <v>1703</v>
      </c>
      <c r="AC115" s="214" t="s">
        <v>1632</v>
      </c>
      <c r="AD115" s="89" t="s">
        <v>1514</v>
      </c>
      <c r="AE115" s="215"/>
      <c r="AF115" s="215"/>
      <c r="AG115" s="215"/>
      <c r="AH115" s="215"/>
      <c r="AI115" s="215"/>
      <c r="AJ115" s="215"/>
      <c r="AK115" s="215"/>
      <c r="AL115" s="215"/>
      <c r="AM115" s="215"/>
      <c r="AN115" s="3536"/>
      <c r="AO115" s="3536"/>
      <c r="AP115" s="3536"/>
      <c r="AQ115" s="3536"/>
      <c r="AR115" s="3536"/>
      <c r="AS115" s="215"/>
      <c r="AT115" s="215"/>
      <c r="AU115" s="215"/>
      <c r="AV115" s="215"/>
      <c r="AW115" s="215"/>
      <c r="AX115" s="3536"/>
      <c r="AY115" s="3536"/>
      <c r="AZ115" s="3536"/>
      <c r="BA115" s="3536"/>
      <c r="BB115" s="3536"/>
      <c r="BC115" s="200"/>
      <c r="BD115" s="1459"/>
      <c r="BE115" s="1459"/>
      <c r="BF115" s="1034" t="s">
        <v>1704</v>
      </c>
    </row>
    <row s="1834" customFormat="1" customHeight="1" ht="0">
      <c r="A116" s="1459"/>
      <c r="B116" s="1416"/>
      <c r="C116" s="1459"/>
      <c r="D116" s="1459"/>
      <c r="E116" s="628">
        <v>15</v>
      </c>
      <c r="F116" s="50" cm="1" t="str">
        <f t="array" ref="F116:F116">OFFSET(E116,-1,1)</f>
        <v>1</v>
      </c>
      <c r="G116" s="104" t="s">
        <v>1705</v>
      </c>
      <c r="H116" s="1459"/>
      <c r="I116" s="1459"/>
      <c r="J116" s="1459"/>
      <c r="K116" s="1459"/>
      <c r="L116" s="1459"/>
      <c r="M116" s="1459"/>
      <c r="N116" s="1459"/>
      <c r="O116" s="1459"/>
      <c r="P116" s="1459"/>
      <c r="Q116" s="1459"/>
      <c r="R116" s="1459"/>
      <c r="S116" s="1459"/>
      <c r="T116" s="465" cm="1" t="str">
        <f t="array" ref="T116:T116">T115</f>
        <v>true</v>
      </c>
      <c r="U116" s="1459"/>
      <c r="V116" s="1459"/>
      <c r="W116" s="1459"/>
      <c r="X116" s="1596"/>
      <c r="Y116" s="1459"/>
      <c r="Z116" s="1597"/>
      <c r="AA116" s="1459"/>
      <c r="AB116" s="88" t="s">
        <v>1706</v>
      </c>
      <c r="AC116" s="214" t="s">
        <v>1635</v>
      </c>
      <c r="AD116" s="89" t="s">
        <v>1514</v>
      </c>
      <c r="AE116" s="215"/>
      <c r="AF116" s="215"/>
      <c r="AG116" s="215"/>
      <c r="AH116" s="215"/>
      <c r="AI116" s="215"/>
      <c r="AJ116" s="215"/>
      <c r="AK116" s="215"/>
      <c r="AL116" s="215"/>
      <c r="AM116" s="215"/>
      <c r="AN116" s="3536"/>
      <c r="AO116" s="3536"/>
      <c r="AP116" s="3536"/>
      <c r="AQ116" s="3536"/>
      <c r="AR116" s="3536"/>
      <c r="AS116" s="215"/>
      <c r="AT116" s="215"/>
      <c r="AU116" s="215"/>
      <c r="AV116" s="215"/>
      <c r="AW116" s="215"/>
      <c r="AX116" s="3536"/>
      <c r="AY116" s="3536"/>
      <c r="AZ116" s="3536"/>
      <c r="BA116" s="3536"/>
      <c r="BB116" s="3536"/>
      <c r="BC116" s="200"/>
      <c r="BD116" s="1459"/>
      <c r="BE116" s="1459"/>
      <c r="BF116" s="1034" t="s">
        <v>1707</v>
      </c>
    </row>
    <row s="1834" customFormat="1" customHeight="1" ht="0">
      <c r="A117" s="1459"/>
      <c r="B117" s="1416"/>
      <c r="C117" s="1459"/>
      <c r="D117" s="1459"/>
      <c r="E117" s="628">
        <v>15</v>
      </c>
      <c r="F117" s="50" cm="1" t="str">
        <f t="array" ref="F117:F117">OFFSET(E117,-1,1)</f>
        <v>1</v>
      </c>
      <c r="G117" s="104" t="s">
        <v>1708</v>
      </c>
      <c r="H117" s="1459"/>
      <c r="I117" s="1459"/>
      <c r="J117" s="1459"/>
      <c r="K117" s="1459"/>
      <c r="L117" s="1459"/>
      <c r="M117" s="1459"/>
      <c r="N117" s="1459"/>
      <c r="O117" s="1459"/>
      <c r="P117" s="1459"/>
      <c r="Q117" s="1459"/>
      <c r="R117" s="1459"/>
      <c r="S117" s="1459"/>
      <c r="T117" s="465" cm="1" t="str">
        <f t="array" ref="T117:T117">T116</f>
        <v>true</v>
      </c>
      <c r="U117" s="1459"/>
      <c r="V117" s="1459"/>
      <c r="W117" s="1459"/>
      <c r="X117" s="1596"/>
      <c r="Y117" s="1459"/>
      <c r="Z117" s="1597"/>
      <c r="AA117" s="1459"/>
      <c r="AB117" s="88" t="s">
        <v>1709</v>
      </c>
      <c r="AC117" s="214" t="s">
        <v>1638</v>
      </c>
      <c r="AD117" s="89" t="s">
        <v>1514</v>
      </c>
      <c r="AE117" s="215"/>
      <c r="AF117" s="215"/>
      <c r="AG117" s="215"/>
      <c r="AH117" s="215"/>
      <c r="AI117" s="215"/>
      <c r="AJ117" s="215"/>
      <c r="AK117" s="215"/>
      <c r="AL117" s="215"/>
      <c r="AM117" s="215"/>
      <c r="AN117" s="3536"/>
      <c r="AO117" s="3536"/>
      <c r="AP117" s="3536"/>
      <c r="AQ117" s="3536"/>
      <c r="AR117" s="3536"/>
      <c r="AS117" s="215"/>
      <c r="AT117" s="215"/>
      <c r="AU117" s="215"/>
      <c r="AV117" s="215"/>
      <c r="AW117" s="215"/>
      <c r="AX117" s="3536"/>
      <c r="AY117" s="3536"/>
      <c r="AZ117" s="3536"/>
      <c r="BA117" s="3536"/>
      <c r="BB117" s="3536"/>
      <c r="BC117" s="200"/>
      <c r="BD117" s="1459"/>
      <c r="BE117" s="1459"/>
      <c r="BF117" s="1034" t="s">
        <v>1710</v>
      </c>
    </row>
    <row s="1834" customFormat="1" customHeight="1" ht="75.75">
      <c r="A118" s="1459"/>
      <c r="B118" s="1416"/>
      <c r="C118" s="1459"/>
      <c r="D118" s="1459"/>
      <c r="E118" s="628">
        <v>15</v>
      </c>
      <c r="F118" s="50" cm="1" t="str">
        <f t="array" ref="F118:F118">OFFSET(E118,-1,1)</f>
        <v>1</v>
      </c>
      <c r="G118" s="104" t="s">
        <v>1711</v>
      </c>
      <c r="H118" s="1459"/>
      <c r="I118" s="1459"/>
      <c r="J118" s="1459"/>
      <c r="K118" s="1459"/>
      <c r="L118" s="1459"/>
      <c r="M118" s="1459"/>
      <c r="N118" s="1459"/>
      <c r="O118" s="1459"/>
      <c r="P118" s="1459"/>
      <c r="Q118" s="1459"/>
      <c r="R118" s="1459"/>
      <c r="S118" s="1459"/>
      <c r="T118" s="465" cm="1" t="str">
        <f t="array" ref="T118:T118">T117</f>
        <v>true</v>
      </c>
      <c r="U118" s="1459"/>
      <c r="V118" s="1459"/>
      <c r="W118" s="1459"/>
      <c r="X118" s="1596"/>
      <c r="Y118" s="1459"/>
      <c r="Z118" s="1597"/>
      <c r="AA118" s="1459"/>
      <c r="AB118" s="88" t="s">
        <v>1712</v>
      </c>
      <c r="AC118" s="214" t="s">
        <v>1642</v>
      </c>
      <c r="AD118" s="89" t="s">
        <v>1514</v>
      </c>
      <c r="AE118" s="215"/>
      <c r="AF118" s="215"/>
      <c r="AG118" s="215"/>
      <c r="AH118" s="215"/>
      <c r="AI118" s="215"/>
      <c r="AJ118" s="215"/>
      <c r="AK118" s="215">
        <v>1666.67</v>
      </c>
      <c r="AL118" s="215">
        <v>7043.79</v>
      </c>
      <c r="AM118" s="215">
        <v>57081.93</v>
      </c>
      <c r="AN118" s="3536"/>
      <c r="AO118" s="3536"/>
      <c r="AP118" s="3536"/>
      <c r="AQ118" s="3536"/>
      <c r="AR118" s="3536"/>
      <c r="AS118" s="215"/>
      <c r="AT118" s="215"/>
      <c r="AU118" s="215">
        <v>1666.67</v>
      </c>
      <c r="AV118" s="215">
        <v>7043.79</v>
      </c>
      <c r="AW118" s="215">
        <v>57081.93</v>
      </c>
      <c r="AX118" s="3536"/>
      <c r="AY118" s="3536"/>
      <c r="AZ118" s="3536"/>
      <c r="BA118" s="3536"/>
      <c r="BB118" s="3536"/>
      <c r="BC118" s="200" t="s">
        <v>1723</v>
      </c>
      <c r="BD118" s="1459"/>
      <c r="BE118" s="1459"/>
      <c r="BF118" s="1034" t="s">
        <v>1713</v>
      </c>
    </row>
    <row s="525" customFormat="1" customHeight="1" ht="14.25">
      <c r="A119" s="525"/>
      <c r="B119" s="431"/>
      <c r="C119" s="525"/>
      <c r="D119" s="525"/>
      <c r="E119" s="628">
        <v>15</v>
      </c>
      <c r="F119" s="50" cm="1" t="str">
        <f t="array" ref="F119:F119">OFFSET(E119,-1,1)</f>
        <v>1</v>
      </c>
      <c r="G119" s="104" t="s">
        <v>1275</v>
      </c>
      <c r="H119" s="525"/>
      <c r="I119" s="525"/>
      <c r="J119" s="525"/>
      <c r="K119" s="525"/>
      <c r="L119" s="525"/>
      <c r="M119" s="525"/>
      <c r="N119" s="525"/>
      <c r="O119" s="525"/>
      <c r="P119" s="525"/>
      <c r="Q119" s="525"/>
      <c r="R119" s="525"/>
      <c r="S119" s="525"/>
      <c r="T119" s="465" cm="1" t="str">
        <f t="array" ref="T119:T119">T118</f>
        <v>true</v>
      </c>
      <c r="U119" s="525"/>
      <c r="V119" s="525"/>
      <c r="W119" s="525"/>
      <c r="X119" s="1596"/>
      <c r="Y119" s="525"/>
      <c r="Z119" s="1597"/>
      <c r="AA119" s="525"/>
      <c r="AB119" s="211">
        <v>8</v>
      </c>
      <c r="AC119" s="212" t="s">
        <v>1714</v>
      </c>
      <c r="AD119" s="89" t="s">
        <v>1514</v>
      </c>
      <c r="AE119" s="1198">
        <f>SUM(AE120:AE124)</f>
        <v>0</v>
      </c>
      <c r="AF119" s="1198">
        <f>SUM(AF120:AF124)</f>
        <v>0</v>
      </c>
      <c r="AG119" s="1198">
        <f>SUM(AG120:AG124)</f>
        <v>0</v>
      </c>
      <c r="AH119" s="1198">
        <f>SUM(AH120:AH124)</f>
        <v>0</v>
      </c>
      <c r="AI119" s="1198">
        <f>SUM(AI120:AI124)</f>
        <v>0</v>
      </c>
      <c r="AJ119" s="1198">
        <f>SUM(AJ120:AJ124)</f>
        <v>0</v>
      </c>
      <c r="AK119" s="1198">
        <f>SUM(AK120:AK124)</f>
        <v>0</v>
      </c>
      <c r="AL119" s="1198">
        <f>SUM(AL120:AL124)</f>
        <v>0</v>
      </c>
      <c r="AM119" s="1198">
        <f>SUM(AM120:AM124)</f>
        <v>0</v>
      </c>
      <c r="AN119" s="3534">
        <f>SUM(AN120:AN124)</f>
        <v>0</v>
      </c>
      <c r="AO119" s="3534">
        <f>SUM(AO120:AO124)</f>
        <v>0</v>
      </c>
      <c r="AP119" s="3534">
        <f>SUM(AP120:AP124)</f>
        <v>0</v>
      </c>
      <c r="AQ119" s="3534">
        <f>SUM(AQ120:AQ124)</f>
        <v>0</v>
      </c>
      <c r="AR119" s="3534">
        <f>SUM(AR120:AR124)</f>
        <v>0</v>
      </c>
      <c r="AS119" s="1198">
        <f>SUM(AS120:AS124)</f>
        <v>0</v>
      </c>
      <c r="AT119" s="1198">
        <f>SUM(AT120:AT124)</f>
        <v>0</v>
      </c>
      <c r="AU119" s="1198">
        <f>SUM(AU120:AU124)</f>
        <v>0</v>
      </c>
      <c r="AV119" s="1198">
        <f>SUM(AV120:AV124)</f>
        <v>0</v>
      </c>
      <c r="AW119" s="1198">
        <f>SUM(AW120:AW124)</f>
        <v>0</v>
      </c>
      <c r="AX119" s="3534">
        <f>SUM(AX120:AX124)</f>
        <v>0</v>
      </c>
      <c r="AY119" s="3534">
        <f>SUM(AY120:AY124)</f>
        <v>0</v>
      </c>
      <c r="AZ119" s="3534">
        <f>SUM(AZ120:AZ124)</f>
        <v>0</v>
      </c>
      <c r="BA119" s="3534">
        <f>SUM(BA120:BA124)</f>
        <v>0</v>
      </c>
      <c r="BB119" s="3534">
        <f>SUM(BB120:BB124)</f>
        <v>0</v>
      </c>
      <c r="BC119" s="200"/>
      <c r="BD119" s="525"/>
      <c r="BE119" s="525"/>
      <c r="BF119" s="1034" t="s">
        <v>1715</v>
      </c>
    </row>
    <row s="1834" customFormat="1" customHeight="1" ht="0">
      <c r="A120" s="1459"/>
      <c r="B120" s="1416"/>
      <c r="C120" s="1459"/>
      <c r="D120" s="1459"/>
      <c r="E120" s="628">
        <v>15</v>
      </c>
      <c r="F120" s="50" cm="1" t="str">
        <f t="array" ref="F120:F120">OFFSET(E120,-1,1)</f>
        <v>1</v>
      </c>
      <c r="G120" s="104" t="s">
        <v>1278</v>
      </c>
      <c r="H120" s="1459"/>
      <c r="I120" s="1459"/>
      <c r="J120" s="1459"/>
      <c r="K120" s="1459"/>
      <c r="L120" s="1459"/>
      <c r="M120" s="1459"/>
      <c r="N120" s="1459"/>
      <c r="O120" s="1459"/>
      <c r="P120" s="1459"/>
      <c r="Q120" s="1459"/>
      <c r="R120" s="1459"/>
      <c r="S120" s="1459"/>
      <c r="T120" s="465" cm="1" t="str">
        <f t="array" ref="T120:T120">T119</f>
        <v>true</v>
      </c>
      <c r="U120" s="1459"/>
      <c r="V120" s="1459"/>
      <c r="W120" s="1459"/>
      <c r="X120" s="1596"/>
      <c r="Y120" s="1459"/>
      <c r="Z120" s="1597"/>
      <c r="AA120" s="1459"/>
      <c r="AB120" s="88" t="s">
        <v>1301</v>
      </c>
      <c r="AC120" s="214" t="s">
        <v>1629</v>
      </c>
      <c r="AD120" s="89" t="s">
        <v>1514</v>
      </c>
      <c r="AE120" s="215"/>
      <c r="AF120" s="215"/>
      <c r="AG120" s="215"/>
      <c r="AH120" s="215"/>
      <c r="AI120" s="215"/>
      <c r="AJ120" s="215"/>
      <c r="AK120" s="215"/>
      <c r="AL120" s="215"/>
      <c r="AM120" s="215"/>
      <c r="AN120" s="3536"/>
      <c r="AO120" s="3536"/>
      <c r="AP120" s="3536"/>
      <c r="AQ120" s="3536"/>
      <c r="AR120" s="3536"/>
      <c r="AS120" s="215"/>
      <c r="AT120" s="215"/>
      <c r="AU120" s="215"/>
      <c r="AV120" s="215"/>
      <c r="AW120" s="215"/>
      <c r="AX120" s="3536"/>
      <c r="AY120" s="3536"/>
      <c r="AZ120" s="3536"/>
      <c r="BA120" s="3536"/>
      <c r="BB120" s="3536"/>
      <c r="BC120" s="200"/>
      <c r="BD120" s="1459"/>
      <c r="BE120" s="1459"/>
      <c r="BF120" s="1034" t="s">
        <v>1716</v>
      </c>
    </row>
    <row s="1834" customFormat="1" customHeight="1" ht="0">
      <c r="A121" s="1459"/>
      <c r="B121" s="1416"/>
      <c r="C121" s="1459"/>
      <c r="D121" s="1459"/>
      <c r="E121" s="628">
        <v>15</v>
      </c>
      <c r="F121" s="50" cm="1" t="str">
        <f t="array" ref="F121:F121">OFFSET(E121,-1,1)</f>
        <v>1</v>
      </c>
      <c r="G121" s="104" t="s">
        <v>1282</v>
      </c>
      <c r="H121" s="1459"/>
      <c r="I121" s="1459"/>
      <c r="J121" s="1459"/>
      <c r="K121" s="1459"/>
      <c r="L121" s="1459"/>
      <c r="M121" s="1459"/>
      <c r="N121" s="1459"/>
      <c r="O121" s="1459"/>
      <c r="P121" s="1459"/>
      <c r="Q121" s="1459"/>
      <c r="R121" s="1459"/>
      <c r="S121" s="1459"/>
      <c r="T121" s="465" cm="1" t="str">
        <f t="array" ref="T121:T121">T120</f>
        <v>true</v>
      </c>
      <c r="U121" s="1459"/>
      <c r="V121" s="1459"/>
      <c r="W121" s="1459"/>
      <c r="X121" s="1596"/>
      <c r="Y121" s="1459"/>
      <c r="Z121" s="1597"/>
      <c r="AA121" s="1459"/>
      <c r="AB121" s="88" t="s">
        <v>1318</v>
      </c>
      <c r="AC121" s="214" t="s">
        <v>1632</v>
      </c>
      <c r="AD121" s="89" t="s">
        <v>1514</v>
      </c>
      <c r="AE121" s="215"/>
      <c r="AF121" s="215"/>
      <c r="AG121" s="215"/>
      <c r="AH121" s="215"/>
      <c r="AI121" s="215"/>
      <c r="AJ121" s="215"/>
      <c r="AK121" s="215"/>
      <c r="AL121" s="215"/>
      <c r="AM121" s="215"/>
      <c r="AN121" s="3536"/>
      <c r="AO121" s="3536"/>
      <c r="AP121" s="3536"/>
      <c r="AQ121" s="3536"/>
      <c r="AR121" s="3536"/>
      <c r="AS121" s="215"/>
      <c r="AT121" s="215"/>
      <c r="AU121" s="215"/>
      <c r="AV121" s="215"/>
      <c r="AW121" s="215"/>
      <c r="AX121" s="3536"/>
      <c r="AY121" s="3536"/>
      <c r="AZ121" s="3536"/>
      <c r="BA121" s="3536"/>
      <c r="BB121" s="3536"/>
      <c r="BC121" s="200"/>
      <c r="BD121" s="1459"/>
      <c r="BE121" s="1459"/>
      <c r="BF121" s="1034" t="s">
        <v>1717</v>
      </c>
    </row>
    <row s="1834" customFormat="1" customHeight="1" ht="0">
      <c r="A122" s="1459"/>
      <c r="B122" s="1416"/>
      <c r="C122" s="1459"/>
      <c r="D122" s="1459"/>
      <c r="E122" s="628">
        <v>15</v>
      </c>
      <c r="F122" s="50" cm="1" t="str">
        <f t="array" ref="F122:F122">OFFSET(E122,-1,1)</f>
        <v>1</v>
      </c>
      <c r="G122" s="104" t="s">
        <v>1286</v>
      </c>
      <c r="H122" s="1459"/>
      <c r="I122" s="1459"/>
      <c r="J122" s="1459"/>
      <c r="K122" s="1459"/>
      <c r="L122" s="1459"/>
      <c r="M122" s="1459"/>
      <c r="N122" s="1459"/>
      <c r="O122" s="1459"/>
      <c r="P122" s="1459"/>
      <c r="Q122" s="1459"/>
      <c r="R122" s="1459"/>
      <c r="S122" s="1459"/>
      <c r="T122" s="465" cm="1" t="str">
        <f t="array" ref="T122:T122">T121</f>
        <v>true</v>
      </c>
      <c r="U122" s="1459"/>
      <c r="V122" s="1459"/>
      <c r="W122" s="1459"/>
      <c r="X122" s="1596"/>
      <c r="Y122" s="1459"/>
      <c r="Z122" s="1597"/>
      <c r="AA122" s="1459"/>
      <c r="AB122" s="88" t="s">
        <v>1330</v>
      </c>
      <c r="AC122" s="214" t="s">
        <v>1635</v>
      </c>
      <c r="AD122" s="89" t="s">
        <v>1514</v>
      </c>
      <c r="AE122" s="215"/>
      <c r="AF122" s="215"/>
      <c r="AG122" s="215"/>
      <c r="AH122" s="215"/>
      <c r="AI122" s="215"/>
      <c r="AJ122" s="215"/>
      <c r="AK122" s="215"/>
      <c r="AL122" s="215"/>
      <c r="AM122" s="215"/>
      <c r="AN122" s="3536"/>
      <c r="AO122" s="3536"/>
      <c r="AP122" s="3536"/>
      <c r="AQ122" s="3536"/>
      <c r="AR122" s="3536"/>
      <c r="AS122" s="215"/>
      <c r="AT122" s="215"/>
      <c r="AU122" s="215"/>
      <c r="AV122" s="215"/>
      <c r="AW122" s="215"/>
      <c r="AX122" s="3536"/>
      <c r="AY122" s="3536"/>
      <c r="AZ122" s="3536"/>
      <c r="BA122" s="3536"/>
      <c r="BB122" s="3536"/>
      <c r="BC122" s="200"/>
      <c r="BD122" s="1459"/>
      <c r="BE122" s="1459"/>
      <c r="BF122" s="1034" t="s">
        <v>1718</v>
      </c>
    </row>
    <row s="1834" customFormat="1" customHeight="1" ht="0">
      <c r="A123" s="1459"/>
      <c r="B123" s="1416"/>
      <c r="C123" s="1459"/>
      <c r="D123" s="1459"/>
      <c r="E123" s="628">
        <v>15</v>
      </c>
      <c r="F123" s="50" cm="1" t="str">
        <f t="array" ref="F123:F123">OFFSET(E123,-1,1)</f>
        <v>1</v>
      </c>
      <c r="G123" s="104" t="s">
        <v>1719</v>
      </c>
      <c r="H123" s="1459"/>
      <c r="I123" s="1459"/>
      <c r="J123" s="1459"/>
      <c r="K123" s="1459"/>
      <c r="L123" s="1459"/>
      <c r="M123" s="1459"/>
      <c r="N123" s="1459"/>
      <c r="O123" s="1459"/>
      <c r="P123" s="1459"/>
      <c r="Q123" s="1459"/>
      <c r="R123" s="1459"/>
      <c r="S123" s="1459"/>
      <c r="T123" s="465" cm="1" t="str">
        <f t="array" ref="T123:T123">T122</f>
        <v>true</v>
      </c>
      <c r="U123" s="1459"/>
      <c r="V123" s="1459"/>
      <c r="W123" s="1459"/>
      <c r="X123" s="1596"/>
      <c r="Y123" s="1459"/>
      <c r="Z123" s="1597"/>
      <c r="AA123" s="1459"/>
      <c r="AB123" s="88" t="s">
        <v>1365</v>
      </c>
      <c r="AC123" s="214" t="s">
        <v>1638</v>
      </c>
      <c r="AD123" s="89" t="s">
        <v>1514</v>
      </c>
      <c r="AE123" s="215"/>
      <c r="AF123" s="215"/>
      <c r="AG123" s="215"/>
      <c r="AH123" s="215"/>
      <c r="AI123" s="215"/>
      <c r="AJ123" s="215"/>
      <c r="AK123" s="215"/>
      <c r="AL123" s="215"/>
      <c r="AM123" s="215"/>
      <c r="AN123" s="3536"/>
      <c r="AO123" s="3536"/>
      <c r="AP123" s="3536"/>
      <c r="AQ123" s="3536"/>
      <c r="AR123" s="3536"/>
      <c r="AS123" s="215"/>
      <c r="AT123" s="215"/>
      <c r="AU123" s="215"/>
      <c r="AV123" s="215"/>
      <c r="AW123" s="215"/>
      <c r="AX123" s="3536"/>
      <c r="AY123" s="3536"/>
      <c r="AZ123" s="3536"/>
      <c r="BA123" s="3536"/>
      <c r="BB123" s="3536"/>
      <c r="BC123" s="200"/>
      <c r="BD123" s="1459"/>
      <c r="BE123" s="1459"/>
      <c r="BF123" s="1034" t="s">
        <v>1720</v>
      </c>
    </row>
    <row s="1834" customFormat="1" customHeight="1" ht="0">
      <c r="A124" s="1459"/>
      <c r="B124" s="1416"/>
      <c r="C124" s="1459"/>
      <c r="D124" s="1459"/>
      <c r="E124" s="628">
        <v>15</v>
      </c>
      <c r="F124" s="50" cm="1" t="str">
        <f t="array" ref="F124:F124">OFFSET(E124,-1,1)</f>
        <v>1</v>
      </c>
      <c r="G124" s="104" t="s">
        <v>1721</v>
      </c>
      <c r="H124" s="1459"/>
      <c r="I124" s="1459"/>
      <c r="J124" s="1459"/>
      <c r="K124" s="1459"/>
      <c r="L124" s="1459"/>
      <c r="M124" s="1459"/>
      <c r="N124" s="1459"/>
      <c r="O124" s="1459"/>
      <c r="P124" s="1459"/>
      <c r="Q124" s="1459"/>
      <c r="R124" s="1459"/>
      <c r="S124" s="1459"/>
      <c r="T124" s="465" cm="1" t="str">
        <f t="array" ref="T124:T124">T123</f>
        <v>true</v>
      </c>
      <c r="U124" s="1459"/>
      <c r="V124" s="1459"/>
      <c r="W124" s="1459"/>
      <c r="X124" s="1596"/>
      <c r="Y124" s="1459"/>
      <c r="Z124" s="1597"/>
      <c r="AA124" s="1459"/>
      <c r="AB124" s="88" t="s">
        <v>1368</v>
      </c>
      <c r="AC124" s="214" t="s">
        <v>1642</v>
      </c>
      <c r="AD124" s="89" t="s">
        <v>1514</v>
      </c>
      <c r="AE124" s="215"/>
      <c r="AF124" s="215"/>
      <c r="AG124" s="215"/>
      <c r="AH124" s="215"/>
      <c r="AI124" s="215"/>
      <c r="AJ124" s="215"/>
      <c r="AK124" s="215"/>
      <c r="AL124" s="215"/>
      <c r="AM124" s="215"/>
      <c r="AN124" s="3536"/>
      <c r="AO124" s="3536"/>
      <c r="AP124" s="3536"/>
      <c r="AQ124" s="3536"/>
      <c r="AR124" s="3536"/>
      <c r="AS124" s="215"/>
      <c r="AT124" s="215"/>
      <c r="AU124" s="215"/>
      <c r="AV124" s="215"/>
      <c r="AW124" s="215"/>
      <c r="AX124" s="3536"/>
      <c r="AY124" s="3536"/>
      <c r="AZ124" s="3536"/>
      <c r="BA124" s="3536"/>
      <c r="BB124" s="3536"/>
      <c r="BC124" s="200"/>
      <c r="BD124" s="1459"/>
      <c r="BE124" s="1459"/>
      <c r="BF124" s="1034" t="s">
        <v>1722</v>
      </c>
    </row>
    <row s="1834" customFormat="1" customHeight="1" ht="14.25">
      <c r="A125" s="1459"/>
      <c r="B125" s="1416"/>
      <c r="C125" s="1459"/>
      <c r="D125" s="1459"/>
      <c r="E125" s="628">
        <v>15</v>
      </c>
      <c r="F125" s="719" cm="1" t="str">
        <f t="array" ref="F125:F125">X125</f>
        <v>2</v>
      </c>
      <c r="G125" s="1459"/>
      <c r="H125" s="1459"/>
      <c r="I125" s="1459"/>
      <c r="J125" s="1459"/>
      <c r="K125" s="1459"/>
      <c r="L125" s="1459"/>
      <c r="M125" s="1459"/>
      <c r="N125" s="1459"/>
      <c r="O125" s="1459"/>
      <c r="P125" s="1459"/>
      <c r="Q125" s="1459"/>
      <c r="R125" s="1459"/>
      <c r="S125" s="1459"/>
      <c r="T125" s="465">
        <f>X125&gt;0</f>
        <v>1</v>
      </c>
      <c r="U125" s="1459"/>
      <c r="V125" s="104" cm="1" t="str">
        <f t="array" ref="V125:V125">ЭЭ!$AB$95</f>
        <v>Тариф 2 (Водоснабжение) - тариф на питьевую воду (Доп. признак не требуется)</v>
      </c>
      <c r="W125" s="1459"/>
      <c r="X125" s="1596" t="s">
        <v>285</v>
      </c>
      <c r="Y125" s="1459"/>
      <c r="Z125" s="1597"/>
      <c r="AA125" s="1459"/>
      <c r="AB125" s="183" cm="1" t="str">
        <f t="array" ref="AB125:AB125">ЭЭ!$AB$95</f>
        <v>Тариф 2 (Водоснабжение) - тариф на питьевую воду (Доп. признак не требуется)</v>
      </c>
      <c r="AC125" s="180"/>
      <c r="AD125" s="174"/>
      <c r="AE125" s="174"/>
      <c r="AF125" s="174"/>
      <c r="AG125" s="174"/>
      <c r="AH125" s="174"/>
      <c r="AI125" s="174"/>
      <c r="AJ125" s="174"/>
      <c r="AK125" s="174"/>
      <c r="AL125" s="174"/>
      <c r="AM125" s="174"/>
      <c r="AN125" s="174"/>
      <c r="AO125" s="174"/>
      <c r="AP125" s="174"/>
      <c r="AQ125" s="174"/>
      <c r="AR125" s="174"/>
      <c r="AS125" s="174"/>
      <c r="AT125" s="174"/>
      <c r="AU125" s="174"/>
      <c r="AV125" s="174"/>
      <c r="AW125" s="174"/>
      <c r="AX125" s="174"/>
      <c r="AY125" s="174"/>
      <c r="AZ125" s="174"/>
      <c r="BA125" s="174"/>
      <c r="BB125" s="174"/>
      <c r="BC125" s="210"/>
      <c r="BD125" s="1459"/>
      <c r="BE125" s="1459"/>
      <c r="BF125" s="1424"/>
    </row>
    <row s="525" customFormat="1" customHeight="1" ht="21.75">
      <c r="A126" s="525"/>
      <c r="B126" s="431"/>
      <c r="C126" s="525"/>
      <c r="D126" s="525"/>
      <c r="E126" s="669">
        <v>22.5</v>
      </c>
      <c r="F126" s="50" cm="1" t="str">
        <f t="array" ref="F126:F126">OFFSET(E126,-1,1)</f>
        <v>2</v>
      </c>
      <c r="G126" s="104" t="s">
        <v>332</v>
      </c>
      <c r="H126" s="525"/>
      <c r="I126" s="525"/>
      <c r="J126" s="525"/>
      <c r="K126" s="525"/>
      <c r="L126" s="525"/>
      <c r="M126" s="525"/>
      <c r="N126" s="525"/>
      <c r="O126" s="525"/>
      <c r="P126" s="525"/>
      <c r="Q126" s="525"/>
      <c r="R126" s="525"/>
      <c r="S126" s="525"/>
      <c r="T126" s="465" cm="1" t="str">
        <f t="array" ref="T126:T126">T125</f>
        <v>true</v>
      </c>
      <c r="U126" s="525"/>
      <c r="V126" s="525"/>
      <c r="W126" s="525"/>
      <c r="X126" s="1596"/>
      <c r="Y126" s="525"/>
      <c r="Z126" s="1597"/>
      <c r="AA126" s="525"/>
      <c r="AB126" s="211">
        <v>1</v>
      </c>
      <c r="AC126" s="212" t="s">
        <v>1626</v>
      </c>
      <c r="AD126" s="89" t="s">
        <v>1514</v>
      </c>
      <c r="AE126" s="1198">
        <f>SUM(AE127:AE131)</f>
        <v>0</v>
      </c>
      <c r="AF126" s="1198">
        <f>SUM(AF127:AF131)</f>
        <v>0</v>
      </c>
      <c r="AG126" s="1198">
        <f>SUM(AG127:AG131)</f>
        <v>0</v>
      </c>
      <c r="AH126" s="1198">
        <f>SUM(AH127:AH131)</f>
        <v>0</v>
      </c>
      <c r="AI126" s="1198">
        <f>SUM(AI127:AI131)</f>
        <v>0</v>
      </c>
      <c r="AJ126" s="1198">
        <f>SUM(AJ127:AJ131)</f>
        <v>0</v>
      </c>
      <c r="AK126" s="1198">
        <f>SUM(AK127:AK131)</f>
        <v>0</v>
      </c>
      <c r="AL126" s="1198">
        <f>SUM(AL127:AL131)</f>
        <v>0</v>
      </c>
      <c r="AM126" s="1198">
        <f>SUM(AM127:AM131)</f>
        <v>0</v>
      </c>
      <c r="AN126" s="3534">
        <f>SUM(AN127:AN131)</f>
        <v>0</v>
      </c>
      <c r="AO126" s="3534">
        <f>SUM(AO127:AO131)</f>
        <v>0</v>
      </c>
      <c r="AP126" s="3534">
        <f>SUM(AP127:AP131)</f>
        <v>0</v>
      </c>
      <c r="AQ126" s="3534">
        <f>SUM(AQ127:AQ131)</f>
        <v>0</v>
      </c>
      <c r="AR126" s="3534">
        <f>SUM(AR127:AR131)</f>
        <v>0</v>
      </c>
      <c r="AS126" s="1198">
        <f>SUM(AS127:AS131)</f>
        <v>0</v>
      </c>
      <c r="AT126" s="1198">
        <f>SUM(AT127:AT131)</f>
        <v>0</v>
      </c>
      <c r="AU126" s="1198">
        <f>SUM(AU127:AU131)</f>
        <v>0</v>
      </c>
      <c r="AV126" s="1198">
        <f>SUM(AV127:AV131)</f>
        <v>0</v>
      </c>
      <c r="AW126" s="1198">
        <f>SUM(AW127:AW131)</f>
        <v>0</v>
      </c>
      <c r="AX126" s="3534">
        <f>SUM(AX127:AX131)</f>
        <v>0</v>
      </c>
      <c r="AY126" s="3534">
        <f>SUM(AY127:AY131)</f>
        <v>0</v>
      </c>
      <c r="AZ126" s="3534">
        <f>SUM(AZ127:AZ131)</f>
        <v>0</v>
      </c>
      <c r="BA126" s="3534">
        <f>SUM(BA127:BA131)</f>
        <v>0</v>
      </c>
      <c r="BB126" s="3534">
        <f>SUM(BB127:BB131)</f>
        <v>0</v>
      </c>
      <c r="BC126" s="200"/>
      <c r="BD126" s="525"/>
      <c r="BE126" s="525"/>
      <c r="BF126" s="1034" t="s">
        <v>1627</v>
      </c>
    </row>
    <row s="1834" customFormat="1" customHeight="1" ht="0">
      <c r="A127" s="1459"/>
      <c r="B127" s="1416"/>
      <c r="C127" s="1459"/>
      <c r="D127" s="1459"/>
      <c r="E127" s="628">
        <v>15</v>
      </c>
      <c r="F127" s="50" cm="1" t="str">
        <f t="array" ref="F127:F127">OFFSET(E127,-1,1)</f>
        <v>2</v>
      </c>
      <c r="G127" s="104" t="s">
        <v>1175</v>
      </c>
      <c r="H127" s="1459"/>
      <c r="I127" s="1459"/>
      <c r="J127" s="1459"/>
      <c r="K127" s="1459"/>
      <c r="L127" s="1459"/>
      <c r="M127" s="1459"/>
      <c r="N127" s="1459"/>
      <c r="O127" s="1459"/>
      <c r="P127" s="1459"/>
      <c r="Q127" s="1459"/>
      <c r="R127" s="1459"/>
      <c r="S127" s="1459"/>
      <c r="T127" s="465" cm="1" t="str">
        <f t="array" ref="T127:T127">T126</f>
        <v>true</v>
      </c>
      <c r="U127" s="1459"/>
      <c r="V127" s="1459"/>
      <c r="W127" s="1459"/>
      <c r="X127" s="1596"/>
      <c r="Y127" s="1459"/>
      <c r="Z127" s="1597"/>
      <c r="AA127" s="1459"/>
      <c r="AB127" s="88" t="s">
        <v>1628</v>
      </c>
      <c r="AC127" s="214" t="s">
        <v>1629</v>
      </c>
      <c r="AD127" s="89" t="s">
        <v>1514</v>
      </c>
      <c r="AE127" s="215"/>
      <c r="AF127" s="215"/>
      <c r="AG127" s="215"/>
      <c r="AH127" s="215"/>
      <c r="AI127" s="215"/>
      <c r="AJ127" s="215"/>
      <c r="AK127" s="215"/>
      <c r="AL127" s="215"/>
      <c r="AM127" s="215"/>
      <c r="AN127" s="3536"/>
      <c r="AO127" s="3536"/>
      <c r="AP127" s="3536"/>
      <c r="AQ127" s="3536"/>
      <c r="AR127" s="3536"/>
      <c r="AS127" s="215"/>
      <c r="AT127" s="215"/>
      <c r="AU127" s="215"/>
      <c r="AV127" s="215"/>
      <c r="AW127" s="215"/>
      <c r="AX127" s="3536"/>
      <c r="AY127" s="3536"/>
      <c r="AZ127" s="3536"/>
      <c r="BA127" s="3536"/>
      <c r="BB127" s="3536"/>
      <c r="BC127" s="200"/>
      <c r="BD127" s="1459"/>
      <c r="BE127" s="1459"/>
      <c r="BF127" s="1034" t="s">
        <v>1630</v>
      </c>
    </row>
    <row s="1834" customFormat="1" customHeight="1" ht="0">
      <c r="A128" s="1459"/>
      <c r="B128" s="1416"/>
      <c r="C128" s="1459"/>
      <c r="D128" s="1459"/>
      <c r="E128" s="628">
        <v>15</v>
      </c>
      <c r="F128" s="50" cm="1" t="str">
        <f t="array" ref="F128:F128">OFFSET(E128,-1,1)</f>
        <v>2</v>
      </c>
      <c r="G128" s="104" t="s">
        <v>1179</v>
      </c>
      <c r="H128" s="1459"/>
      <c r="I128" s="1459"/>
      <c r="J128" s="1459"/>
      <c r="K128" s="1459"/>
      <c r="L128" s="1459"/>
      <c r="M128" s="1459"/>
      <c r="N128" s="1459"/>
      <c r="O128" s="1459"/>
      <c r="P128" s="1459"/>
      <c r="Q128" s="1459"/>
      <c r="R128" s="1459"/>
      <c r="S128" s="1459"/>
      <c r="T128" s="465" cm="1" t="str">
        <f t="array" ref="T128:T128">T127</f>
        <v>true</v>
      </c>
      <c r="U128" s="1459"/>
      <c r="V128" s="1459"/>
      <c r="W128" s="1459"/>
      <c r="X128" s="1596"/>
      <c r="Y128" s="1459"/>
      <c r="Z128" s="1597"/>
      <c r="AA128" s="1459"/>
      <c r="AB128" s="88" t="s">
        <v>1631</v>
      </c>
      <c r="AC128" s="214" t="s">
        <v>1632</v>
      </c>
      <c r="AD128" s="89" t="s">
        <v>1514</v>
      </c>
      <c r="AE128" s="215"/>
      <c r="AF128" s="215"/>
      <c r="AG128" s="215"/>
      <c r="AH128" s="215"/>
      <c r="AI128" s="215"/>
      <c r="AJ128" s="215"/>
      <c r="AK128" s="215"/>
      <c r="AL128" s="215"/>
      <c r="AM128" s="215"/>
      <c r="AN128" s="3536"/>
      <c r="AO128" s="3536"/>
      <c r="AP128" s="3536"/>
      <c r="AQ128" s="3536"/>
      <c r="AR128" s="3536"/>
      <c r="AS128" s="215"/>
      <c r="AT128" s="215"/>
      <c r="AU128" s="215"/>
      <c r="AV128" s="215"/>
      <c r="AW128" s="215"/>
      <c r="AX128" s="3536"/>
      <c r="AY128" s="3536"/>
      <c r="AZ128" s="3536"/>
      <c r="BA128" s="3536"/>
      <c r="BB128" s="3536"/>
      <c r="BC128" s="200"/>
      <c r="BD128" s="1459"/>
      <c r="BE128" s="1459"/>
      <c r="BF128" s="1034" t="s">
        <v>1633</v>
      </c>
    </row>
    <row s="1834" customFormat="1" customHeight="1" ht="0">
      <c r="A129" s="1459"/>
      <c r="B129" s="1416"/>
      <c r="C129" s="1459"/>
      <c r="D129" s="1459"/>
      <c r="E129" s="628">
        <v>15</v>
      </c>
      <c r="F129" s="50" cm="1" t="str">
        <f t="array" ref="F129:F129">OFFSET(E129,-1,1)</f>
        <v>2</v>
      </c>
      <c r="G129" s="104" t="s">
        <v>1182</v>
      </c>
      <c r="H129" s="1459"/>
      <c r="I129" s="1459"/>
      <c r="J129" s="1459"/>
      <c r="K129" s="1459"/>
      <c r="L129" s="1459"/>
      <c r="M129" s="1459"/>
      <c r="N129" s="1459"/>
      <c r="O129" s="1459"/>
      <c r="P129" s="1459"/>
      <c r="Q129" s="1459"/>
      <c r="R129" s="1459"/>
      <c r="S129" s="1459"/>
      <c r="T129" s="465" cm="1" t="str">
        <f t="array" ref="T129:T129">T128</f>
        <v>true</v>
      </c>
      <c r="U129" s="1459"/>
      <c r="V129" s="1459"/>
      <c r="W129" s="1459"/>
      <c r="X129" s="1596"/>
      <c r="Y129" s="1459"/>
      <c r="Z129" s="1597"/>
      <c r="AA129" s="1459"/>
      <c r="AB129" s="88" t="s">
        <v>1634</v>
      </c>
      <c r="AC129" s="214" t="s">
        <v>1635</v>
      </c>
      <c r="AD129" s="89" t="s">
        <v>1514</v>
      </c>
      <c r="AE129" s="215"/>
      <c r="AF129" s="215"/>
      <c r="AG129" s="215"/>
      <c r="AH129" s="215"/>
      <c r="AI129" s="215"/>
      <c r="AJ129" s="215"/>
      <c r="AK129" s="215"/>
      <c r="AL129" s="215"/>
      <c r="AM129" s="215"/>
      <c r="AN129" s="3536"/>
      <c r="AO129" s="3536"/>
      <c r="AP129" s="3536"/>
      <c r="AQ129" s="3536"/>
      <c r="AR129" s="3536"/>
      <c r="AS129" s="215"/>
      <c r="AT129" s="215"/>
      <c r="AU129" s="215"/>
      <c r="AV129" s="215"/>
      <c r="AW129" s="215"/>
      <c r="AX129" s="3536"/>
      <c r="AY129" s="3536"/>
      <c r="AZ129" s="3536"/>
      <c r="BA129" s="3536"/>
      <c r="BB129" s="3536"/>
      <c r="BC129" s="200"/>
      <c r="BD129" s="1459"/>
      <c r="BE129" s="1459"/>
      <c r="BF129" s="1034" t="s">
        <v>1636</v>
      </c>
    </row>
    <row s="1834" customFormat="1" customHeight="1" ht="0">
      <c r="A130" s="1459"/>
      <c r="B130" s="1416"/>
      <c r="C130" s="1459"/>
      <c r="D130" s="1459"/>
      <c r="E130" s="628">
        <v>15</v>
      </c>
      <c r="F130" s="50" cm="1" t="str">
        <f t="array" ref="F130:F130">OFFSET(E130,-1,1)</f>
        <v>2</v>
      </c>
      <c r="G130" s="104" t="s">
        <v>1186</v>
      </c>
      <c r="H130" s="1459"/>
      <c r="I130" s="1459"/>
      <c r="J130" s="1459"/>
      <c r="K130" s="1459"/>
      <c r="L130" s="1459"/>
      <c r="M130" s="1459"/>
      <c r="N130" s="1459"/>
      <c r="O130" s="1459"/>
      <c r="P130" s="1459"/>
      <c r="Q130" s="1459"/>
      <c r="R130" s="1459"/>
      <c r="S130" s="1459"/>
      <c r="T130" s="465" cm="1" t="str">
        <f t="array" ref="T130:T130">T129</f>
        <v>true</v>
      </c>
      <c r="U130" s="1459"/>
      <c r="V130" s="1459"/>
      <c r="W130" s="1459"/>
      <c r="X130" s="1596"/>
      <c r="Y130" s="1459"/>
      <c r="Z130" s="1597"/>
      <c r="AA130" s="1459"/>
      <c r="AB130" s="88" t="s">
        <v>1637</v>
      </c>
      <c r="AC130" s="214" t="s">
        <v>1638</v>
      </c>
      <c r="AD130" s="89" t="s">
        <v>1514</v>
      </c>
      <c r="AE130" s="215"/>
      <c r="AF130" s="215"/>
      <c r="AG130" s="215"/>
      <c r="AH130" s="215"/>
      <c r="AI130" s="215"/>
      <c r="AJ130" s="215"/>
      <c r="AK130" s="215"/>
      <c r="AL130" s="215"/>
      <c r="AM130" s="215"/>
      <c r="AN130" s="3536"/>
      <c r="AO130" s="3536"/>
      <c r="AP130" s="3536"/>
      <c r="AQ130" s="3536"/>
      <c r="AR130" s="3536"/>
      <c r="AS130" s="215"/>
      <c r="AT130" s="215"/>
      <c r="AU130" s="215"/>
      <c r="AV130" s="215"/>
      <c r="AW130" s="215"/>
      <c r="AX130" s="3536"/>
      <c r="AY130" s="3536"/>
      <c r="AZ130" s="3536"/>
      <c r="BA130" s="3536"/>
      <c r="BB130" s="3536"/>
      <c r="BC130" s="200"/>
      <c r="BD130" s="1459"/>
      <c r="BE130" s="1459"/>
      <c r="BF130" s="1034" t="s">
        <v>1639</v>
      </c>
    </row>
    <row s="1834" customFormat="1" customHeight="1" ht="0">
      <c r="A131" s="1459"/>
      <c r="B131" s="1416"/>
      <c r="C131" s="1459"/>
      <c r="D131" s="1459"/>
      <c r="E131" s="628">
        <v>15</v>
      </c>
      <c r="F131" s="50" cm="1" t="str">
        <f t="array" ref="F131:F131">OFFSET(E131,-1,1)</f>
        <v>2</v>
      </c>
      <c r="G131" s="104" t="s">
        <v>1640</v>
      </c>
      <c r="H131" s="1459"/>
      <c r="I131" s="1459"/>
      <c r="J131" s="1459"/>
      <c r="K131" s="1459"/>
      <c r="L131" s="1459"/>
      <c r="M131" s="1459"/>
      <c r="N131" s="1459"/>
      <c r="O131" s="1459"/>
      <c r="P131" s="1459"/>
      <c r="Q131" s="1459"/>
      <c r="R131" s="1459"/>
      <c r="S131" s="1459"/>
      <c r="T131" s="465" cm="1" t="str">
        <f t="array" ref="T131:T131">T130</f>
        <v>true</v>
      </c>
      <c r="U131" s="1459"/>
      <c r="V131" s="1459"/>
      <c r="W131" s="1459"/>
      <c r="X131" s="1596"/>
      <c r="Y131" s="1459"/>
      <c r="Z131" s="1597"/>
      <c r="AA131" s="1459"/>
      <c r="AB131" s="88" t="s">
        <v>1641</v>
      </c>
      <c r="AC131" s="214" t="s">
        <v>1642</v>
      </c>
      <c r="AD131" s="89" t="s">
        <v>1514</v>
      </c>
      <c r="AE131" s="215"/>
      <c r="AF131" s="215"/>
      <c r="AG131" s="215"/>
      <c r="AH131" s="215"/>
      <c r="AI131" s="215"/>
      <c r="AJ131" s="215"/>
      <c r="AK131" s="215"/>
      <c r="AL131" s="215"/>
      <c r="AM131" s="215"/>
      <c r="AN131" s="3536"/>
      <c r="AO131" s="3536"/>
      <c r="AP131" s="3536"/>
      <c r="AQ131" s="3536"/>
      <c r="AR131" s="3536"/>
      <c r="AS131" s="215"/>
      <c r="AT131" s="215"/>
      <c r="AU131" s="215"/>
      <c r="AV131" s="215"/>
      <c r="AW131" s="215"/>
      <c r="AX131" s="3536"/>
      <c r="AY131" s="3536"/>
      <c r="AZ131" s="3536"/>
      <c r="BA131" s="3536"/>
      <c r="BB131" s="3536"/>
      <c r="BC131" s="200"/>
      <c r="BD131" s="1459"/>
      <c r="BE131" s="1459"/>
      <c r="BF131" s="1034" t="s">
        <v>1643</v>
      </c>
    </row>
    <row s="525" customFormat="1" customHeight="1" ht="14.25">
      <c r="A132" s="525"/>
      <c r="B132" s="431"/>
      <c r="C132" s="525"/>
      <c r="D132" s="525"/>
      <c r="E132" s="628">
        <v>15</v>
      </c>
      <c r="F132" s="50" cm="1" t="str">
        <f t="array" ref="F132:F132">OFFSET(E132,-1,1)</f>
        <v>2</v>
      </c>
      <c r="G132" s="104" t="s">
        <v>333</v>
      </c>
      <c r="H132" s="525"/>
      <c r="I132" s="525"/>
      <c r="J132" s="525"/>
      <c r="K132" s="525"/>
      <c r="L132" s="525"/>
      <c r="M132" s="525"/>
      <c r="N132" s="525"/>
      <c r="O132" s="525"/>
      <c r="P132" s="525"/>
      <c r="Q132" s="525"/>
      <c r="R132" s="525"/>
      <c r="S132" s="525"/>
      <c r="T132" s="465" cm="1" t="str">
        <f t="array" ref="T132:T132">T131</f>
        <v>true</v>
      </c>
      <c r="U132" s="525"/>
      <c r="V132" s="525"/>
      <c r="W132" s="525"/>
      <c r="X132" s="1596"/>
      <c r="Y132" s="525"/>
      <c r="Z132" s="1597"/>
      <c r="AA132" s="525"/>
      <c r="AB132" s="211">
        <v>2</v>
      </c>
      <c r="AC132" s="212" t="s">
        <v>1644</v>
      </c>
      <c r="AD132" s="89" t="s">
        <v>1514</v>
      </c>
      <c r="AE132" s="1198">
        <f>SUM(AE133:AE137)</f>
        <v>0</v>
      </c>
      <c r="AF132" s="1198">
        <f>SUM(AF133:AF137)</f>
        <v>0</v>
      </c>
      <c r="AG132" s="1198">
        <f>SUM(AG133:AG137)</f>
        <v>0</v>
      </c>
      <c r="AH132" s="1198">
        <f>SUM(AH133:AH137)</f>
        <v>0</v>
      </c>
      <c r="AI132" s="1198">
        <f>SUM(AI133:AI137)</f>
        <v>0</v>
      </c>
      <c r="AJ132" s="1198">
        <f>SUM(AJ133:AJ137)</f>
        <v>0</v>
      </c>
      <c r="AK132" s="1198">
        <f>SUM(AK133:AK137)</f>
        <v>0</v>
      </c>
      <c r="AL132" s="1198">
        <f>SUM(AL133:AL137)</f>
        <v>0</v>
      </c>
      <c r="AM132" s="1198">
        <f>SUM(AM133:AM137)</f>
        <v>0</v>
      </c>
      <c r="AN132" s="3534">
        <f>SUM(AN133:AN137)</f>
        <v>0</v>
      </c>
      <c r="AO132" s="3534">
        <f>SUM(AO133:AO137)</f>
        <v>0</v>
      </c>
      <c r="AP132" s="3534">
        <f>SUM(AP133:AP137)</f>
        <v>0</v>
      </c>
      <c r="AQ132" s="3534">
        <f>SUM(AQ133:AQ137)</f>
        <v>0</v>
      </c>
      <c r="AR132" s="3534">
        <f>SUM(AR133:AR137)</f>
        <v>0</v>
      </c>
      <c r="AS132" s="1198">
        <f>SUM(AS133:AS137)</f>
        <v>0</v>
      </c>
      <c r="AT132" s="1198">
        <f>SUM(AT133:AT137)</f>
        <v>0</v>
      </c>
      <c r="AU132" s="1198">
        <f>SUM(AU133:AU137)</f>
        <v>0</v>
      </c>
      <c r="AV132" s="1198">
        <f>SUM(AV133:AV137)</f>
        <v>0</v>
      </c>
      <c r="AW132" s="1198">
        <f>SUM(AW133:AW137)</f>
        <v>0</v>
      </c>
      <c r="AX132" s="3534">
        <f>SUM(AX133:AX137)</f>
        <v>0</v>
      </c>
      <c r="AY132" s="3534">
        <f>SUM(AY133:AY137)</f>
        <v>0</v>
      </c>
      <c r="AZ132" s="3534">
        <f>SUM(AZ133:AZ137)</f>
        <v>0</v>
      </c>
      <c r="BA132" s="3534">
        <f>SUM(BA133:BA137)</f>
        <v>0</v>
      </c>
      <c r="BB132" s="3534">
        <f>SUM(BB133:BB137)</f>
        <v>0</v>
      </c>
      <c r="BC132" s="200"/>
      <c r="BD132" s="525"/>
      <c r="BE132" s="525"/>
      <c r="BF132" s="1034" t="s">
        <v>1645</v>
      </c>
    </row>
    <row s="1834" customFormat="1" customHeight="1" ht="0">
      <c r="A133" s="1459"/>
      <c r="B133" s="1416"/>
      <c r="C133" s="1459"/>
      <c r="D133" s="1459"/>
      <c r="E133" s="628">
        <v>15</v>
      </c>
      <c r="F133" s="50" cm="1" t="str">
        <f t="array" ref="F133:F133">OFFSET(E133,-1,1)</f>
        <v>2</v>
      </c>
      <c r="G133" s="104" t="s">
        <v>1193</v>
      </c>
      <c r="H133" s="1459"/>
      <c r="I133" s="1459"/>
      <c r="J133" s="1459"/>
      <c r="K133" s="1459"/>
      <c r="L133" s="1459"/>
      <c r="M133" s="1459"/>
      <c r="N133" s="1459"/>
      <c r="O133" s="1459"/>
      <c r="P133" s="1459"/>
      <c r="Q133" s="1459"/>
      <c r="R133" s="1459"/>
      <c r="S133" s="1459"/>
      <c r="T133" s="465" cm="1" t="str">
        <f t="array" ref="T133:T133">T132</f>
        <v>true</v>
      </c>
      <c r="U133" s="1459"/>
      <c r="V133" s="1459"/>
      <c r="W133" s="1459"/>
      <c r="X133" s="1596"/>
      <c r="Y133" s="1459"/>
      <c r="Z133" s="1597"/>
      <c r="AA133" s="1459"/>
      <c r="AB133" s="88" t="s">
        <v>1250</v>
      </c>
      <c r="AC133" s="214" t="s">
        <v>1629</v>
      </c>
      <c r="AD133" s="89" t="s">
        <v>1514</v>
      </c>
      <c r="AE133" s="215"/>
      <c r="AF133" s="215"/>
      <c r="AG133" s="215"/>
      <c r="AH133" s="215"/>
      <c r="AI133" s="215"/>
      <c r="AJ133" s="215"/>
      <c r="AK133" s="215"/>
      <c r="AL133" s="215"/>
      <c r="AM133" s="215"/>
      <c r="AN133" s="3536"/>
      <c r="AO133" s="3536"/>
      <c r="AP133" s="3536"/>
      <c r="AQ133" s="3536"/>
      <c r="AR133" s="3536"/>
      <c r="AS133" s="215"/>
      <c r="AT133" s="215"/>
      <c r="AU133" s="215"/>
      <c r="AV133" s="215"/>
      <c r="AW133" s="215"/>
      <c r="AX133" s="3536"/>
      <c r="AY133" s="3536"/>
      <c r="AZ133" s="3536"/>
      <c r="BA133" s="3536"/>
      <c r="BB133" s="3536"/>
      <c r="BC133" s="200"/>
      <c r="BD133" s="1459"/>
      <c r="BE133" s="1459"/>
      <c r="BF133" s="1034" t="s">
        <v>1646</v>
      </c>
    </row>
    <row s="1834" customFormat="1" customHeight="1" ht="0">
      <c r="A134" s="1459"/>
      <c r="B134" s="1416"/>
      <c r="C134" s="1459"/>
      <c r="D134" s="1459"/>
      <c r="E134" s="628">
        <v>15</v>
      </c>
      <c r="F134" s="50" cm="1" t="str">
        <f t="array" ref="F134:F134">OFFSET(E134,-1,1)</f>
        <v>2</v>
      </c>
      <c r="G134" s="104" t="s">
        <v>1196</v>
      </c>
      <c r="H134" s="1459"/>
      <c r="I134" s="1459"/>
      <c r="J134" s="1459"/>
      <c r="K134" s="1459"/>
      <c r="L134" s="1459"/>
      <c r="M134" s="1459"/>
      <c r="N134" s="1459"/>
      <c r="O134" s="1459"/>
      <c r="P134" s="1459"/>
      <c r="Q134" s="1459"/>
      <c r="R134" s="1459"/>
      <c r="S134" s="1459"/>
      <c r="T134" s="465" cm="1" t="str">
        <f t="array" ref="T134:T134">T133</f>
        <v>true</v>
      </c>
      <c r="U134" s="1459"/>
      <c r="V134" s="1459"/>
      <c r="W134" s="1459"/>
      <c r="X134" s="1596"/>
      <c r="Y134" s="1459"/>
      <c r="Z134" s="1597"/>
      <c r="AA134" s="1459"/>
      <c r="AB134" s="88" t="s">
        <v>1254</v>
      </c>
      <c r="AC134" s="214" t="s">
        <v>1632</v>
      </c>
      <c r="AD134" s="89" t="s">
        <v>1514</v>
      </c>
      <c r="AE134" s="215"/>
      <c r="AF134" s="215"/>
      <c r="AG134" s="215"/>
      <c r="AH134" s="215"/>
      <c r="AI134" s="215"/>
      <c r="AJ134" s="215"/>
      <c r="AK134" s="215"/>
      <c r="AL134" s="215"/>
      <c r="AM134" s="215"/>
      <c r="AN134" s="3536"/>
      <c r="AO134" s="3536"/>
      <c r="AP134" s="3536"/>
      <c r="AQ134" s="3536"/>
      <c r="AR134" s="3536"/>
      <c r="AS134" s="215"/>
      <c r="AT134" s="215"/>
      <c r="AU134" s="215"/>
      <c r="AV134" s="215"/>
      <c r="AW134" s="215"/>
      <c r="AX134" s="3536"/>
      <c r="AY134" s="3536"/>
      <c r="AZ134" s="3536"/>
      <c r="BA134" s="3536"/>
      <c r="BB134" s="3536"/>
      <c r="BC134" s="200"/>
      <c r="BD134" s="1459"/>
      <c r="BE134" s="1459"/>
      <c r="BF134" s="1034" t="s">
        <v>1647</v>
      </c>
    </row>
    <row s="1834" customFormat="1" customHeight="1" ht="0">
      <c r="A135" s="1459"/>
      <c r="B135" s="1416"/>
      <c r="C135" s="1459"/>
      <c r="D135" s="1459"/>
      <c r="E135" s="628">
        <v>15</v>
      </c>
      <c r="F135" s="50" cm="1" t="str">
        <f t="array" ref="F135:F135">OFFSET(E135,-1,1)</f>
        <v>2</v>
      </c>
      <c r="G135" s="104" t="s">
        <v>1648</v>
      </c>
      <c r="H135" s="1459"/>
      <c r="I135" s="1459"/>
      <c r="J135" s="1459"/>
      <c r="K135" s="1459"/>
      <c r="L135" s="1459"/>
      <c r="M135" s="1459"/>
      <c r="N135" s="1459"/>
      <c r="O135" s="1459"/>
      <c r="P135" s="1459"/>
      <c r="Q135" s="1459"/>
      <c r="R135" s="1459"/>
      <c r="S135" s="1459"/>
      <c r="T135" s="465" cm="1" t="str">
        <f t="array" ref="T135:T135">T134</f>
        <v>true</v>
      </c>
      <c r="U135" s="1459"/>
      <c r="V135" s="1459"/>
      <c r="W135" s="1459"/>
      <c r="X135" s="1596"/>
      <c r="Y135" s="1459"/>
      <c r="Z135" s="1597"/>
      <c r="AA135" s="1459"/>
      <c r="AB135" s="88" t="s">
        <v>1258</v>
      </c>
      <c r="AC135" s="214" t="s">
        <v>1635</v>
      </c>
      <c r="AD135" s="89" t="s">
        <v>1514</v>
      </c>
      <c r="AE135" s="215"/>
      <c r="AF135" s="215"/>
      <c r="AG135" s="215"/>
      <c r="AH135" s="215"/>
      <c r="AI135" s="215"/>
      <c r="AJ135" s="215"/>
      <c r="AK135" s="215"/>
      <c r="AL135" s="215"/>
      <c r="AM135" s="215"/>
      <c r="AN135" s="3536"/>
      <c r="AO135" s="3536"/>
      <c r="AP135" s="3536"/>
      <c r="AQ135" s="3536"/>
      <c r="AR135" s="3536"/>
      <c r="AS135" s="215"/>
      <c r="AT135" s="215"/>
      <c r="AU135" s="215"/>
      <c r="AV135" s="215"/>
      <c r="AW135" s="215"/>
      <c r="AX135" s="3536"/>
      <c r="AY135" s="3536"/>
      <c r="AZ135" s="3536"/>
      <c r="BA135" s="3536"/>
      <c r="BB135" s="3536"/>
      <c r="BC135" s="200"/>
      <c r="BD135" s="1459"/>
      <c r="BE135" s="1459"/>
      <c r="BF135" s="1034" t="s">
        <v>1649</v>
      </c>
    </row>
    <row s="1834" customFormat="1" customHeight="1" ht="0">
      <c r="A136" s="1459"/>
      <c r="B136" s="1416"/>
      <c r="C136" s="1459"/>
      <c r="D136" s="1459"/>
      <c r="E136" s="628">
        <v>15</v>
      </c>
      <c r="F136" s="50" cm="1" t="str">
        <f t="array" ref="F136:F136">OFFSET(E136,-1,1)</f>
        <v>2</v>
      </c>
      <c r="G136" s="104" t="s">
        <v>1650</v>
      </c>
      <c r="H136" s="1459"/>
      <c r="I136" s="1459"/>
      <c r="J136" s="1459"/>
      <c r="K136" s="1459"/>
      <c r="L136" s="1459"/>
      <c r="M136" s="1459"/>
      <c r="N136" s="1459"/>
      <c r="O136" s="1459"/>
      <c r="P136" s="1459"/>
      <c r="Q136" s="1459"/>
      <c r="R136" s="1459"/>
      <c r="S136" s="1459"/>
      <c r="T136" s="465" cm="1" t="str">
        <f t="array" ref="T136:T136">T135</f>
        <v>true</v>
      </c>
      <c r="U136" s="1459"/>
      <c r="V136" s="1459"/>
      <c r="W136" s="1459"/>
      <c r="X136" s="1596"/>
      <c r="Y136" s="1459"/>
      <c r="Z136" s="1597"/>
      <c r="AA136" s="1459"/>
      <c r="AB136" s="88" t="s">
        <v>1651</v>
      </c>
      <c r="AC136" s="214" t="s">
        <v>1638</v>
      </c>
      <c r="AD136" s="89" t="s">
        <v>1514</v>
      </c>
      <c r="AE136" s="215"/>
      <c r="AF136" s="215"/>
      <c r="AG136" s="215"/>
      <c r="AH136" s="215"/>
      <c r="AI136" s="215"/>
      <c r="AJ136" s="215"/>
      <c r="AK136" s="215"/>
      <c r="AL136" s="215"/>
      <c r="AM136" s="215"/>
      <c r="AN136" s="3536"/>
      <c r="AO136" s="3536"/>
      <c r="AP136" s="3536"/>
      <c r="AQ136" s="3536"/>
      <c r="AR136" s="3536"/>
      <c r="AS136" s="215"/>
      <c r="AT136" s="215"/>
      <c r="AU136" s="215"/>
      <c r="AV136" s="215"/>
      <c r="AW136" s="215"/>
      <c r="AX136" s="3536"/>
      <c r="AY136" s="3536"/>
      <c r="AZ136" s="3536"/>
      <c r="BA136" s="3536"/>
      <c r="BB136" s="3536"/>
      <c r="BC136" s="200"/>
      <c r="BD136" s="1459"/>
      <c r="BE136" s="1459"/>
      <c r="BF136" s="1034" t="s">
        <v>1652</v>
      </c>
    </row>
    <row s="1834" customFormat="1" customHeight="1" ht="0">
      <c r="A137" s="1459"/>
      <c r="B137" s="1416"/>
      <c r="C137" s="1459"/>
      <c r="D137" s="1459"/>
      <c r="E137" s="628">
        <v>15</v>
      </c>
      <c r="F137" s="50" cm="1" t="str">
        <f t="array" ref="F137:F137">OFFSET(E137,-1,1)</f>
        <v>2</v>
      </c>
      <c r="G137" s="104" t="s">
        <v>1653</v>
      </c>
      <c r="H137" s="1459"/>
      <c r="I137" s="1459"/>
      <c r="J137" s="1459"/>
      <c r="K137" s="1459"/>
      <c r="L137" s="1459"/>
      <c r="M137" s="1459"/>
      <c r="N137" s="1459"/>
      <c r="O137" s="1459"/>
      <c r="P137" s="1459"/>
      <c r="Q137" s="1459"/>
      <c r="R137" s="1459"/>
      <c r="S137" s="1459"/>
      <c r="T137" s="465" cm="1" t="str">
        <f t="array" ref="T137:T137">T136</f>
        <v>true</v>
      </c>
      <c r="U137" s="1459"/>
      <c r="V137" s="1459"/>
      <c r="W137" s="1459"/>
      <c r="X137" s="1596"/>
      <c r="Y137" s="1459"/>
      <c r="Z137" s="1597"/>
      <c r="AA137" s="1459"/>
      <c r="AB137" s="88" t="s">
        <v>1654</v>
      </c>
      <c r="AC137" s="214" t="s">
        <v>1642</v>
      </c>
      <c r="AD137" s="89" t="s">
        <v>1514</v>
      </c>
      <c r="AE137" s="215"/>
      <c r="AF137" s="215"/>
      <c r="AG137" s="215"/>
      <c r="AH137" s="215"/>
      <c r="AI137" s="215"/>
      <c r="AJ137" s="215"/>
      <c r="AK137" s="215"/>
      <c r="AL137" s="215"/>
      <c r="AM137" s="215"/>
      <c r="AN137" s="3536"/>
      <c r="AO137" s="3536"/>
      <c r="AP137" s="3536"/>
      <c r="AQ137" s="3536"/>
      <c r="AR137" s="3536"/>
      <c r="AS137" s="215"/>
      <c r="AT137" s="215"/>
      <c r="AU137" s="215"/>
      <c r="AV137" s="215"/>
      <c r="AW137" s="215"/>
      <c r="AX137" s="3536"/>
      <c r="AY137" s="3536"/>
      <c r="AZ137" s="3536"/>
      <c r="BA137" s="3536"/>
      <c r="BB137" s="3536"/>
      <c r="BC137" s="200"/>
      <c r="BD137" s="1459"/>
      <c r="BE137" s="1459"/>
      <c r="BF137" s="1034" t="s">
        <v>1655</v>
      </c>
    </row>
    <row s="525" customFormat="1" customHeight="1" ht="14.25">
      <c r="A138" s="525"/>
      <c r="B138" s="431"/>
      <c r="C138" s="525"/>
      <c r="D138" s="525"/>
      <c r="E138" s="628">
        <v>15</v>
      </c>
      <c r="F138" s="50" cm="1" t="str">
        <f t="array" ref="F138:F138">OFFSET(E138,-1,1)</f>
        <v>2</v>
      </c>
      <c r="G138" s="104" t="s">
        <v>334</v>
      </c>
      <c r="H138" s="525"/>
      <c r="I138" s="525"/>
      <c r="J138" s="525"/>
      <c r="K138" s="525"/>
      <c r="L138" s="525"/>
      <c r="M138" s="525"/>
      <c r="N138" s="525"/>
      <c r="O138" s="525"/>
      <c r="P138" s="525"/>
      <c r="Q138" s="525"/>
      <c r="R138" s="525"/>
      <c r="S138" s="525"/>
      <c r="T138" s="465" cm="1" t="str">
        <f t="array" ref="T138:T138">T137</f>
        <v>true</v>
      </c>
      <c r="U138" s="525"/>
      <c r="V138" s="525"/>
      <c r="W138" s="525"/>
      <c r="X138" s="1596"/>
      <c r="Y138" s="525"/>
      <c r="Z138" s="1597"/>
      <c r="AA138" s="525"/>
      <c r="AB138" s="211">
        <v>3</v>
      </c>
      <c r="AC138" s="212" t="s">
        <v>1656</v>
      </c>
      <c r="AD138" s="89" t="s">
        <v>1514</v>
      </c>
      <c r="AE138" s="1198">
        <f>SUM(AE139:AE143)</f>
        <v>0</v>
      </c>
      <c r="AF138" s="1198">
        <f>SUM(AF139:AF143)</f>
        <v>0</v>
      </c>
      <c r="AG138" s="1198">
        <f>SUM(AG139:AG143)</f>
        <v>0</v>
      </c>
      <c r="AH138" s="1198">
        <f>SUM(AH139:AH143)</f>
        <v>0</v>
      </c>
      <c r="AI138" s="1198">
        <f>SUM(AI139:AI143)</f>
        <v>0</v>
      </c>
      <c r="AJ138" s="1198">
        <f>SUM(AJ139:AJ143)</f>
        <v>0</v>
      </c>
      <c r="AK138" s="1198">
        <f>SUM(AK139:AK143)</f>
        <v>0</v>
      </c>
      <c r="AL138" s="1198">
        <f>SUM(AL139:AL143)</f>
        <v>0</v>
      </c>
      <c r="AM138" s="1198">
        <f>SUM(AM139:AM143)</f>
        <v>0</v>
      </c>
      <c r="AN138" s="3534">
        <f>SUM(AN139:AN143)</f>
        <v>0</v>
      </c>
      <c r="AO138" s="3534">
        <f>SUM(AO139:AO143)</f>
        <v>0</v>
      </c>
      <c r="AP138" s="3534">
        <f>SUM(AP139:AP143)</f>
        <v>0</v>
      </c>
      <c r="AQ138" s="3534">
        <f>SUM(AQ139:AQ143)</f>
        <v>0</v>
      </c>
      <c r="AR138" s="3534">
        <f>SUM(AR139:AR143)</f>
        <v>0</v>
      </c>
      <c r="AS138" s="1198">
        <f>SUM(AS139:AS143)</f>
        <v>0</v>
      </c>
      <c r="AT138" s="1198">
        <f>SUM(AT139:AT143)</f>
        <v>0</v>
      </c>
      <c r="AU138" s="1198">
        <f>SUM(AU139:AU143)</f>
        <v>0</v>
      </c>
      <c r="AV138" s="1198">
        <f>SUM(AV139:AV143)</f>
        <v>0</v>
      </c>
      <c r="AW138" s="1198">
        <f>SUM(AW139:AW143)</f>
        <v>0</v>
      </c>
      <c r="AX138" s="3534">
        <f>SUM(AX139:AX143)</f>
        <v>0</v>
      </c>
      <c r="AY138" s="3534">
        <f>SUM(AY139:AY143)</f>
        <v>0</v>
      </c>
      <c r="AZ138" s="3534">
        <f>SUM(AZ139:AZ143)</f>
        <v>0</v>
      </c>
      <c r="BA138" s="3534">
        <f>SUM(BA139:BA143)</f>
        <v>0</v>
      </c>
      <c r="BB138" s="3534">
        <f>SUM(BB139:BB143)</f>
        <v>0</v>
      </c>
      <c r="BC138" s="200"/>
      <c r="BD138" s="525"/>
      <c r="BE138" s="525"/>
      <c r="BF138" s="1034" t="s">
        <v>1657</v>
      </c>
    </row>
    <row s="1834" customFormat="1" customHeight="1" ht="0">
      <c r="A139" s="1459"/>
      <c r="B139" s="1416"/>
      <c r="C139" s="1459"/>
      <c r="D139" s="1459"/>
      <c r="E139" s="628">
        <v>15</v>
      </c>
      <c r="F139" s="50" cm="1" t="str">
        <f t="array" ref="F139:F139">OFFSET(E139,-1,1)</f>
        <v>2</v>
      </c>
      <c r="G139" s="104" t="s">
        <v>1658</v>
      </c>
      <c r="H139" s="1459"/>
      <c r="I139" s="1459"/>
      <c r="J139" s="1459"/>
      <c r="K139" s="1459"/>
      <c r="L139" s="1459"/>
      <c r="M139" s="1459"/>
      <c r="N139" s="1459"/>
      <c r="O139" s="1459"/>
      <c r="P139" s="1459"/>
      <c r="Q139" s="1459"/>
      <c r="R139" s="1459"/>
      <c r="S139" s="1459"/>
      <c r="T139" s="465" cm="1" t="str">
        <f t="array" ref="T139:T139">T138</f>
        <v>true</v>
      </c>
      <c r="U139" s="1459"/>
      <c r="V139" s="1459"/>
      <c r="W139" s="1459"/>
      <c r="X139" s="1596"/>
      <c r="Y139" s="1459"/>
      <c r="Z139" s="1597"/>
      <c r="AA139" s="1459"/>
      <c r="AB139" s="88" t="s">
        <v>1264</v>
      </c>
      <c r="AC139" s="214" t="s">
        <v>1629</v>
      </c>
      <c r="AD139" s="89" t="s">
        <v>1514</v>
      </c>
      <c r="AE139" s="215"/>
      <c r="AF139" s="215"/>
      <c r="AG139" s="215"/>
      <c r="AH139" s="215"/>
      <c r="AI139" s="215"/>
      <c r="AJ139" s="215"/>
      <c r="AK139" s="215"/>
      <c r="AL139" s="215"/>
      <c r="AM139" s="215"/>
      <c r="AN139" s="3536"/>
      <c r="AO139" s="3536"/>
      <c r="AP139" s="3536"/>
      <c r="AQ139" s="3536"/>
      <c r="AR139" s="3536"/>
      <c r="AS139" s="215"/>
      <c r="AT139" s="215"/>
      <c r="AU139" s="215"/>
      <c r="AV139" s="215"/>
      <c r="AW139" s="215"/>
      <c r="AX139" s="3536"/>
      <c r="AY139" s="3536"/>
      <c r="AZ139" s="3536"/>
      <c r="BA139" s="3536"/>
      <c r="BB139" s="3536"/>
      <c r="BC139" s="200"/>
      <c r="BD139" s="1459"/>
      <c r="BE139" s="1459"/>
      <c r="BF139" s="1034" t="s">
        <v>1659</v>
      </c>
    </row>
    <row s="1834" customFormat="1" customHeight="1" ht="0">
      <c r="A140" s="1459"/>
      <c r="B140" s="1416"/>
      <c r="C140" s="1459"/>
      <c r="D140" s="1459"/>
      <c r="E140" s="628">
        <v>15</v>
      </c>
      <c r="F140" s="50" cm="1" t="str">
        <f t="array" ref="F140:F140">OFFSET(E140,-1,1)</f>
        <v>2</v>
      </c>
      <c r="G140" s="104" t="s">
        <v>1660</v>
      </c>
      <c r="H140" s="1459"/>
      <c r="I140" s="1459"/>
      <c r="J140" s="1459"/>
      <c r="K140" s="1459"/>
      <c r="L140" s="1459"/>
      <c r="M140" s="1459"/>
      <c r="N140" s="1459"/>
      <c r="O140" s="1459"/>
      <c r="P140" s="1459"/>
      <c r="Q140" s="1459"/>
      <c r="R140" s="1459"/>
      <c r="S140" s="1459"/>
      <c r="T140" s="465" cm="1" t="str">
        <f t="array" ref="T140:T140">T139</f>
        <v>true</v>
      </c>
      <c r="U140" s="1459"/>
      <c r="V140" s="1459"/>
      <c r="W140" s="1459"/>
      <c r="X140" s="1596"/>
      <c r="Y140" s="1459"/>
      <c r="Z140" s="1597"/>
      <c r="AA140" s="1459"/>
      <c r="AB140" s="88" t="s">
        <v>1268</v>
      </c>
      <c r="AC140" s="214" t="s">
        <v>1632</v>
      </c>
      <c r="AD140" s="89" t="s">
        <v>1514</v>
      </c>
      <c r="AE140" s="215"/>
      <c r="AF140" s="215"/>
      <c r="AG140" s="215"/>
      <c r="AH140" s="215"/>
      <c r="AI140" s="215"/>
      <c r="AJ140" s="215"/>
      <c r="AK140" s="215"/>
      <c r="AL140" s="215"/>
      <c r="AM140" s="215"/>
      <c r="AN140" s="3536"/>
      <c r="AO140" s="3536"/>
      <c r="AP140" s="3536"/>
      <c r="AQ140" s="3536"/>
      <c r="AR140" s="3536"/>
      <c r="AS140" s="215"/>
      <c r="AT140" s="215"/>
      <c r="AU140" s="215"/>
      <c r="AV140" s="215"/>
      <c r="AW140" s="215"/>
      <c r="AX140" s="3536"/>
      <c r="AY140" s="3536"/>
      <c r="AZ140" s="3536"/>
      <c r="BA140" s="3536"/>
      <c r="BB140" s="3536"/>
      <c r="BC140" s="200"/>
      <c r="BD140" s="1459"/>
      <c r="BE140" s="1459"/>
      <c r="BF140" s="1034" t="s">
        <v>1661</v>
      </c>
    </row>
    <row s="1834" customFormat="1" customHeight="1" ht="0">
      <c r="A141" s="1459"/>
      <c r="B141" s="1416"/>
      <c r="C141" s="1459"/>
      <c r="D141" s="1459"/>
      <c r="E141" s="628">
        <v>15</v>
      </c>
      <c r="F141" s="50" cm="1" t="str">
        <f t="array" ref="F141:F141">OFFSET(E141,-1,1)</f>
        <v>2</v>
      </c>
      <c r="G141" s="104" t="s">
        <v>1662</v>
      </c>
      <c r="H141" s="1459"/>
      <c r="I141" s="1459"/>
      <c r="J141" s="1459"/>
      <c r="K141" s="1459"/>
      <c r="L141" s="1459"/>
      <c r="M141" s="1459"/>
      <c r="N141" s="1459"/>
      <c r="O141" s="1459"/>
      <c r="P141" s="1459"/>
      <c r="Q141" s="1459"/>
      <c r="R141" s="1459"/>
      <c r="S141" s="1459"/>
      <c r="T141" s="465" cm="1" t="str">
        <f t="array" ref="T141:T141">T140</f>
        <v>true</v>
      </c>
      <c r="U141" s="1459"/>
      <c r="V141" s="1459"/>
      <c r="W141" s="1459"/>
      <c r="X141" s="1596"/>
      <c r="Y141" s="1459"/>
      <c r="Z141" s="1597"/>
      <c r="AA141" s="1459"/>
      <c r="AB141" s="88" t="s">
        <v>1480</v>
      </c>
      <c r="AC141" s="214" t="s">
        <v>1635</v>
      </c>
      <c r="AD141" s="89" t="s">
        <v>1514</v>
      </c>
      <c r="AE141" s="215"/>
      <c r="AF141" s="215"/>
      <c r="AG141" s="215"/>
      <c r="AH141" s="215"/>
      <c r="AI141" s="215"/>
      <c r="AJ141" s="215"/>
      <c r="AK141" s="215"/>
      <c r="AL141" s="215"/>
      <c r="AM141" s="215"/>
      <c r="AN141" s="3536"/>
      <c r="AO141" s="3536"/>
      <c r="AP141" s="3536"/>
      <c r="AQ141" s="3536"/>
      <c r="AR141" s="3536"/>
      <c r="AS141" s="215"/>
      <c r="AT141" s="215"/>
      <c r="AU141" s="215"/>
      <c r="AV141" s="215"/>
      <c r="AW141" s="215"/>
      <c r="AX141" s="3536"/>
      <c r="AY141" s="3536"/>
      <c r="AZ141" s="3536"/>
      <c r="BA141" s="3536"/>
      <c r="BB141" s="3536"/>
      <c r="BC141" s="200"/>
      <c r="BD141" s="1459"/>
      <c r="BE141" s="1459"/>
      <c r="BF141" s="1034" t="s">
        <v>1663</v>
      </c>
    </row>
    <row s="1834" customFormat="1" customHeight="1" ht="0">
      <c r="A142" s="1459"/>
      <c r="B142" s="1416"/>
      <c r="C142" s="1459"/>
      <c r="D142" s="1459"/>
      <c r="E142" s="628">
        <v>15</v>
      </c>
      <c r="F142" s="50" cm="1" t="str">
        <f t="array" ref="F142:F142">OFFSET(E142,-1,1)</f>
        <v>2</v>
      </c>
      <c r="G142" s="104" t="s">
        <v>1664</v>
      </c>
      <c r="H142" s="1459"/>
      <c r="I142" s="1459"/>
      <c r="J142" s="1459"/>
      <c r="K142" s="1459"/>
      <c r="L142" s="1459"/>
      <c r="M142" s="1459"/>
      <c r="N142" s="1459"/>
      <c r="O142" s="1459"/>
      <c r="P142" s="1459"/>
      <c r="Q142" s="1459"/>
      <c r="R142" s="1459"/>
      <c r="S142" s="1459"/>
      <c r="T142" s="465" cm="1" t="str">
        <f t="array" ref="T142:T142">T141</f>
        <v>true</v>
      </c>
      <c r="U142" s="1459"/>
      <c r="V142" s="1459"/>
      <c r="W142" s="1459"/>
      <c r="X142" s="1596"/>
      <c r="Y142" s="1459"/>
      <c r="Z142" s="1597"/>
      <c r="AA142" s="1459"/>
      <c r="AB142" s="88" t="s">
        <v>1665</v>
      </c>
      <c r="AC142" s="214" t="s">
        <v>1638</v>
      </c>
      <c r="AD142" s="89" t="s">
        <v>1514</v>
      </c>
      <c r="AE142" s="215"/>
      <c r="AF142" s="215"/>
      <c r="AG142" s="215"/>
      <c r="AH142" s="215"/>
      <c r="AI142" s="215"/>
      <c r="AJ142" s="215"/>
      <c r="AK142" s="215"/>
      <c r="AL142" s="215"/>
      <c r="AM142" s="215"/>
      <c r="AN142" s="3536"/>
      <c r="AO142" s="3536"/>
      <c r="AP142" s="3536"/>
      <c r="AQ142" s="3536"/>
      <c r="AR142" s="3536"/>
      <c r="AS142" s="215"/>
      <c r="AT142" s="215"/>
      <c r="AU142" s="215"/>
      <c r="AV142" s="215"/>
      <c r="AW142" s="215"/>
      <c r="AX142" s="3536"/>
      <c r="AY142" s="3536"/>
      <c r="AZ142" s="3536"/>
      <c r="BA142" s="3536"/>
      <c r="BB142" s="3536"/>
      <c r="BC142" s="200"/>
      <c r="BD142" s="1459"/>
      <c r="BE142" s="1459"/>
      <c r="BF142" s="1034" t="s">
        <v>1666</v>
      </c>
    </row>
    <row s="1834" customFormat="1" customHeight="1" ht="0">
      <c r="A143" s="1459"/>
      <c r="B143" s="1416"/>
      <c r="C143" s="1459"/>
      <c r="D143" s="1459"/>
      <c r="E143" s="628">
        <v>15</v>
      </c>
      <c r="F143" s="50" cm="1" t="str">
        <f t="array" ref="F143:F143">OFFSET(E143,-1,1)</f>
        <v>2</v>
      </c>
      <c r="G143" s="104" t="s">
        <v>1667</v>
      </c>
      <c r="H143" s="1459"/>
      <c r="I143" s="1459"/>
      <c r="J143" s="1459"/>
      <c r="K143" s="1459"/>
      <c r="L143" s="1459"/>
      <c r="M143" s="1459"/>
      <c r="N143" s="1459"/>
      <c r="O143" s="1459"/>
      <c r="P143" s="1459"/>
      <c r="Q143" s="1459"/>
      <c r="R143" s="1459"/>
      <c r="S143" s="1459"/>
      <c r="T143" s="465" cm="1" t="str">
        <f t="array" ref="T143:T143">T142</f>
        <v>true</v>
      </c>
      <c r="U143" s="1459"/>
      <c r="V143" s="1459"/>
      <c r="W143" s="1459"/>
      <c r="X143" s="1596"/>
      <c r="Y143" s="1459"/>
      <c r="Z143" s="1597"/>
      <c r="AA143" s="1459"/>
      <c r="AB143" s="88" t="s">
        <v>1668</v>
      </c>
      <c r="AC143" s="214" t="s">
        <v>1642</v>
      </c>
      <c r="AD143" s="89" t="s">
        <v>1514</v>
      </c>
      <c r="AE143" s="215"/>
      <c r="AF143" s="215"/>
      <c r="AG143" s="215"/>
      <c r="AH143" s="215"/>
      <c r="AI143" s="215"/>
      <c r="AJ143" s="215"/>
      <c r="AK143" s="215"/>
      <c r="AL143" s="215"/>
      <c r="AM143" s="215"/>
      <c r="AN143" s="3536"/>
      <c r="AO143" s="3536"/>
      <c r="AP143" s="3536"/>
      <c r="AQ143" s="3536"/>
      <c r="AR143" s="3536"/>
      <c r="AS143" s="215"/>
      <c r="AT143" s="215"/>
      <c r="AU143" s="215"/>
      <c r="AV143" s="215"/>
      <c r="AW143" s="215"/>
      <c r="AX143" s="3536"/>
      <c r="AY143" s="3536"/>
      <c r="AZ143" s="3536"/>
      <c r="BA143" s="3536"/>
      <c r="BB143" s="3536"/>
      <c r="BC143" s="200"/>
      <c r="BD143" s="1459"/>
      <c r="BE143" s="1459"/>
      <c r="BF143" s="1034" t="s">
        <v>1669</v>
      </c>
    </row>
    <row s="525" customFormat="1" customHeight="1" ht="21.75">
      <c r="A144" s="525"/>
      <c r="B144" s="431"/>
      <c r="C144" s="525"/>
      <c r="D144" s="525"/>
      <c r="E144" s="669">
        <v>22.5</v>
      </c>
      <c r="F144" s="50" cm="1" t="str">
        <f t="array" ref="F144:F144">OFFSET(E144,-1,1)</f>
        <v>2</v>
      </c>
      <c r="G144" s="104" t="s">
        <v>336</v>
      </c>
      <c r="H144" s="525"/>
      <c r="I144" s="525"/>
      <c r="J144" s="525"/>
      <c r="K144" s="525"/>
      <c r="L144" s="525"/>
      <c r="M144" s="525"/>
      <c r="N144" s="525"/>
      <c r="O144" s="525"/>
      <c r="P144" s="525"/>
      <c r="Q144" s="525"/>
      <c r="R144" s="525"/>
      <c r="S144" s="525"/>
      <c r="T144" s="465" cm="1" t="str">
        <f t="array" ref="T144:T144">T143</f>
        <v>true</v>
      </c>
      <c r="U144" s="525"/>
      <c r="V144" s="525"/>
      <c r="W144" s="525"/>
      <c r="X144" s="1596"/>
      <c r="Y144" s="525"/>
      <c r="Z144" s="1597"/>
      <c r="AA144" s="525"/>
      <c r="AB144" s="211">
        <v>4</v>
      </c>
      <c r="AC144" s="212" t="s">
        <v>1670</v>
      </c>
      <c r="AD144" s="89" t="s">
        <v>1514</v>
      </c>
      <c r="AE144" s="1198">
        <f>SUM(AE145:AE149)</f>
        <v>0</v>
      </c>
      <c r="AF144" s="1198">
        <f>SUM(AF145:AF149)</f>
        <v>0</v>
      </c>
      <c r="AG144" s="1198">
        <f>SUM(AG145:AG149)</f>
        <v>0</v>
      </c>
      <c r="AH144" s="1198">
        <f>SUM(AH145:AH149)</f>
        <v>0</v>
      </c>
      <c r="AI144" s="1198">
        <f>SUM(AI145:AI149)</f>
        <v>0</v>
      </c>
      <c r="AJ144" s="1198">
        <f>SUM(AJ145:AJ149)</f>
        <v>0</v>
      </c>
      <c r="AK144" s="1198">
        <f>SUM(AK145:AK149)</f>
        <v>0</v>
      </c>
      <c r="AL144" s="1198">
        <f>SUM(AL145:AL149)</f>
        <v>0</v>
      </c>
      <c r="AM144" s="1198">
        <f>SUM(AM145:AM149)</f>
        <v>0</v>
      </c>
      <c r="AN144" s="3534">
        <f>SUM(AN145:AN149)</f>
        <v>0</v>
      </c>
      <c r="AO144" s="3534">
        <f>SUM(AO145:AO149)</f>
        <v>0</v>
      </c>
      <c r="AP144" s="3534">
        <f>SUM(AP145:AP149)</f>
        <v>0</v>
      </c>
      <c r="AQ144" s="3534">
        <f>SUM(AQ145:AQ149)</f>
        <v>0</v>
      </c>
      <c r="AR144" s="3534">
        <f>SUM(AR145:AR149)</f>
        <v>0</v>
      </c>
      <c r="AS144" s="1198">
        <f>SUM(AS145:AS149)</f>
        <v>0</v>
      </c>
      <c r="AT144" s="1198">
        <f>SUM(AT145:AT149)</f>
        <v>0</v>
      </c>
      <c r="AU144" s="1198">
        <f>SUM(AU145:AU149)</f>
        <v>0</v>
      </c>
      <c r="AV144" s="1198">
        <f>SUM(AV145:AV149)</f>
        <v>0</v>
      </c>
      <c r="AW144" s="1198">
        <f>SUM(AW145:AW149)</f>
        <v>0</v>
      </c>
      <c r="AX144" s="3534">
        <f>SUM(AX145:AX149)</f>
        <v>0</v>
      </c>
      <c r="AY144" s="3534">
        <f>SUM(AY145:AY149)</f>
        <v>0</v>
      </c>
      <c r="AZ144" s="3534">
        <f>SUM(AZ145:AZ149)</f>
        <v>0</v>
      </c>
      <c r="BA144" s="3534">
        <f>SUM(BA145:BA149)</f>
        <v>0</v>
      </c>
      <c r="BB144" s="3534">
        <f>SUM(BB145:BB149)</f>
        <v>0</v>
      </c>
      <c r="BC144" s="200"/>
      <c r="BD144" s="525"/>
      <c r="BE144" s="525"/>
      <c r="BF144" s="1034" t="s">
        <v>1671</v>
      </c>
    </row>
    <row s="1834" customFormat="1" customHeight="1" ht="0">
      <c r="A145" s="1459"/>
      <c r="B145" s="1416"/>
      <c r="C145" s="1459"/>
      <c r="D145" s="1459"/>
      <c r="E145" s="628">
        <v>15</v>
      </c>
      <c r="F145" s="50" cm="1" t="str">
        <f t="array" ref="F145:F145">OFFSET(E145,-1,1)</f>
        <v>2</v>
      </c>
      <c r="G145" s="104" t="s">
        <v>1249</v>
      </c>
      <c r="H145" s="1459"/>
      <c r="I145" s="1459"/>
      <c r="J145" s="1459"/>
      <c r="K145" s="1459"/>
      <c r="L145" s="1459"/>
      <c r="M145" s="1459"/>
      <c r="N145" s="1459"/>
      <c r="O145" s="1459"/>
      <c r="P145" s="1459"/>
      <c r="Q145" s="1459"/>
      <c r="R145" s="1459"/>
      <c r="S145" s="1459"/>
      <c r="T145" s="465" cm="1" t="str">
        <f t="array" ref="T145:T145">T144</f>
        <v>true</v>
      </c>
      <c r="U145" s="1459"/>
      <c r="V145" s="1459"/>
      <c r="W145" s="1459"/>
      <c r="X145" s="1596"/>
      <c r="Y145" s="1459"/>
      <c r="Z145" s="1597"/>
      <c r="AA145" s="1459"/>
      <c r="AB145" s="88" t="s">
        <v>1384</v>
      </c>
      <c r="AC145" s="214" t="s">
        <v>1629</v>
      </c>
      <c r="AD145" s="89" t="s">
        <v>1514</v>
      </c>
      <c r="AE145" s="215">
        <f>AE127+AE133-AE139</f>
        <v>0</v>
      </c>
      <c r="AF145" s="215">
        <f>AF127+AF133-AF139</f>
        <v>0</v>
      </c>
      <c r="AG145" s="215">
        <f>AG127+AG133-AG139</f>
        <v>0</v>
      </c>
      <c r="AH145" s="215">
        <f>AH127+AH133-AH139</f>
        <v>0</v>
      </c>
      <c r="AI145" s="215">
        <f>AI127+AI133-AI139</f>
        <v>0</v>
      </c>
      <c r="AJ145" s="215">
        <f>AJ127+AJ133-AJ139</f>
        <v>0</v>
      </c>
      <c r="AK145" s="215">
        <f>AK127+AK133-AK139</f>
        <v>0</v>
      </c>
      <c r="AL145" s="215">
        <f>AL127+AL133-AL139</f>
        <v>0</v>
      </c>
      <c r="AM145" s="215">
        <f>AM127+AM133-AM139</f>
        <v>0</v>
      </c>
      <c r="AN145" s="3536">
        <f>AN127+AN133-AN139</f>
        <v>0</v>
      </c>
      <c r="AO145" s="3536">
        <f>AO127+AO133-AO139</f>
        <v>0</v>
      </c>
      <c r="AP145" s="3536">
        <f>AP127+AP133-AP139</f>
        <v>0</v>
      </c>
      <c r="AQ145" s="3536">
        <f>AQ127+AQ133-AQ139</f>
        <v>0</v>
      </c>
      <c r="AR145" s="3536">
        <f>AR127+AR133-AR139</f>
        <v>0</v>
      </c>
      <c r="AS145" s="215">
        <f>AS127+AS133-AS139</f>
        <v>0</v>
      </c>
      <c r="AT145" s="215">
        <f>AT127+AT133-AT139</f>
        <v>0</v>
      </c>
      <c r="AU145" s="215">
        <f>AU127+AU133-AU139</f>
        <v>0</v>
      </c>
      <c r="AV145" s="215">
        <f>AV127+AV133-AV139</f>
        <v>0</v>
      </c>
      <c r="AW145" s="215">
        <f>AW127+AW133-AW139</f>
        <v>0</v>
      </c>
      <c r="AX145" s="3536">
        <f>AX127+AX133-AX139</f>
        <v>0</v>
      </c>
      <c r="AY145" s="3536">
        <f>AY127+AY133-AY139</f>
        <v>0</v>
      </c>
      <c r="AZ145" s="3536">
        <f>AZ127+AZ133-AZ139</f>
        <v>0</v>
      </c>
      <c r="BA145" s="3536">
        <f>BA127+BA133-BA139</f>
        <v>0</v>
      </c>
      <c r="BB145" s="3536">
        <f>BB127+BB133-BB139</f>
        <v>0</v>
      </c>
      <c r="BC145" s="200"/>
      <c r="BD145" s="1459"/>
      <c r="BE145" s="1459"/>
      <c r="BF145" s="1034" t="s">
        <v>1672</v>
      </c>
    </row>
    <row s="1834" customFormat="1" customHeight="1" ht="0">
      <c r="A146" s="1459"/>
      <c r="B146" s="1416"/>
      <c r="C146" s="1459"/>
      <c r="D146" s="1459"/>
      <c r="E146" s="628">
        <v>15</v>
      </c>
      <c r="F146" s="50" cm="1" t="str">
        <f t="array" ref="F146:F146">OFFSET(E146,-1,1)</f>
        <v>2</v>
      </c>
      <c r="G146" s="104" t="s">
        <v>1253</v>
      </c>
      <c r="H146" s="1459"/>
      <c r="I146" s="1459"/>
      <c r="J146" s="1459"/>
      <c r="K146" s="1459"/>
      <c r="L146" s="1459"/>
      <c r="M146" s="1459"/>
      <c r="N146" s="1459"/>
      <c r="O146" s="1459"/>
      <c r="P146" s="1459"/>
      <c r="Q146" s="1459"/>
      <c r="R146" s="1459"/>
      <c r="S146" s="1459"/>
      <c r="T146" s="465" cm="1" t="str">
        <f t="array" ref="T146:T146">T145</f>
        <v>true</v>
      </c>
      <c r="U146" s="1459"/>
      <c r="V146" s="1459"/>
      <c r="W146" s="1459"/>
      <c r="X146" s="1596"/>
      <c r="Y146" s="1459"/>
      <c r="Z146" s="1597"/>
      <c r="AA146" s="1459"/>
      <c r="AB146" s="88" t="s">
        <v>1387</v>
      </c>
      <c r="AC146" s="214" t="s">
        <v>1632</v>
      </c>
      <c r="AD146" s="89" t="s">
        <v>1514</v>
      </c>
      <c r="AE146" s="215">
        <f>AE128+AE134-AE140</f>
        <v>0</v>
      </c>
      <c r="AF146" s="215">
        <f>AF128+AF134-AF140</f>
        <v>0</v>
      </c>
      <c r="AG146" s="215">
        <f>AG128+AG134-AG140</f>
        <v>0</v>
      </c>
      <c r="AH146" s="215">
        <f>AH128+AH134-AH140</f>
        <v>0</v>
      </c>
      <c r="AI146" s="215">
        <f>AI128+AI134-AI140</f>
        <v>0</v>
      </c>
      <c r="AJ146" s="215">
        <f>AJ128+AJ134-AJ140</f>
        <v>0</v>
      </c>
      <c r="AK146" s="215">
        <f>AK128+AK134-AK140</f>
        <v>0</v>
      </c>
      <c r="AL146" s="215">
        <f>AL128+AL134-AL140</f>
        <v>0</v>
      </c>
      <c r="AM146" s="215">
        <f>AM128+AM134-AM140</f>
        <v>0</v>
      </c>
      <c r="AN146" s="3536">
        <f>AN128+AN134-AN140</f>
        <v>0</v>
      </c>
      <c r="AO146" s="3536">
        <f>AO128+AO134-AO140</f>
        <v>0</v>
      </c>
      <c r="AP146" s="3536">
        <f>AP128+AP134-AP140</f>
        <v>0</v>
      </c>
      <c r="AQ146" s="3536">
        <f>AQ128+AQ134-AQ140</f>
        <v>0</v>
      </c>
      <c r="AR146" s="3536">
        <f>AR128+AR134-AR140</f>
        <v>0</v>
      </c>
      <c r="AS146" s="215">
        <f>AS128+AS134-AS140</f>
        <v>0</v>
      </c>
      <c r="AT146" s="215">
        <f>AT128+AT134-AT140</f>
        <v>0</v>
      </c>
      <c r="AU146" s="215">
        <f>AU128+AU134-AU140</f>
        <v>0</v>
      </c>
      <c r="AV146" s="215">
        <f>AV128+AV134-AV140</f>
        <v>0</v>
      </c>
      <c r="AW146" s="215">
        <f>AW128+AW134-AW140</f>
        <v>0</v>
      </c>
      <c r="AX146" s="3536">
        <f>AX128+AX134-AX140</f>
        <v>0</v>
      </c>
      <c r="AY146" s="3536">
        <f>AY128+AY134-AY140</f>
        <v>0</v>
      </c>
      <c r="AZ146" s="3536">
        <f>AZ128+AZ134-AZ140</f>
        <v>0</v>
      </c>
      <c r="BA146" s="3536">
        <f>BA128+BA134-BA140</f>
        <v>0</v>
      </c>
      <c r="BB146" s="3536">
        <f>BB128+BB134-BB140</f>
        <v>0</v>
      </c>
      <c r="BC146" s="200"/>
      <c r="BD146" s="1459"/>
      <c r="BE146" s="1459"/>
      <c r="BF146" s="1034" t="s">
        <v>1673</v>
      </c>
    </row>
    <row s="1834" customFormat="1" customHeight="1" ht="0">
      <c r="A147" s="1459"/>
      <c r="B147" s="1416"/>
      <c r="C147" s="1459"/>
      <c r="D147" s="1459"/>
      <c r="E147" s="628">
        <v>15</v>
      </c>
      <c r="F147" s="50" cm="1" t="str">
        <f t="array" ref="F147:F147">OFFSET(E147,-1,1)</f>
        <v>2</v>
      </c>
      <c r="G147" s="104" t="s">
        <v>1257</v>
      </c>
      <c r="H147" s="1459"/>
      <c r="I147" s="1459"/>
      <c r="J147" s="1459"/>
      <c r="K147" s="1459"/>
      <c r="L147" s="1459"/>
      <c r="M147" s="1459"/>
      <c r="N147" s="1459"/>
      <c r="O147" s="1459"/>
      <c r="P147" s="1459"/>
      <c r="Q147" s="1459"/>
      <c r="R147" s="1459"/>
      <c r="S147" s="1459"/>
      <c r="T147" s="465" cm="1" t="str">
        <f t="array" ref="T147:T147">T146</f>
        <v>true</v>
      </c>
      <c r="U147" s="1459"/>
      <c r="V147" s="1459"/>
      <c r="W147" s="1459"/>
      <c r="X147" s="1596"/>
      <c r="Y147" s="1459"/>
      <c r="Z147" s="1597"/>
      <c r="AA147" s="1459"/>
      <c r="AB147" s="88" t="s">
        <v>1421</v>
      </c>
      <c r="AC147" s="214" t="s">
        <v>1635</v>
      </c>
      <c r="AD147" s="89" t="s">
        <v>1514</v>
      </c>
      <c r="AE147" s="215">
        <f>AE129+AE135-AE141</f>
        <v>0</v>
      </c>
      <c r="AF147" s="215">
        <f>AF129+AF135-AF141</f>
        <v>0</v>
      </c>
      <c r="AG147" s="215">
        <f>AG129+AG135-AG141</f>
        <v>0</v>
      </c>
      <c r="AH147" s="215">
        <f>AH129+AH135-AH141</f>
        <v>0</v>
      </c>
      <c r="AI147" s="215">
        <f>AI129+AI135-AI141</f>
        <v>0</v>
      </c>
      <c r="AJ147" s="215">
        <f>AJ129+AJ135-AJ141</f>
        <v>0</v>
      </c>
      <c r="AK147" s="215">
        <f>AK129+AK135-AK141</f>
        <v>0</v>
      </c>
      <c r="AL147" s="215">
        <f>AL129+AL135-AL141</f>
        <v>0</v>
      </c>
      <c r="AM147" s="215">
        <f>AM129+AM135-AM141</f>
        <v>0</v>
      </c>
      <c r="AN147" s="3536">
        <f>AN129+AN135-AN141</f>
        <v>0</v>
      </c>
      <c r="AO147" s="3536">
        <f>AO129+AO135-AO141</f>
        <v>0</v>
      </c>
      <c r="AP147" s="3536">
        <f>AP129+AP135-AP141</f>
        <v>0</v>
      </c>
      <c r="AQ147" s="3536">
        <f>AQ129+AQ135-AQ141</f>
        <v>0</v>
      </c>
      <c r="AR147" s="3536">
        <f>AR129+AR135-AR141</f>
        <v>0</v>
      </c>
      <c r="AS147" s="215">
        <f>AS129+AS135-AS141</f>
        <v>0</v>
      </c>
      <c r="AT147" s="215">
        <f>AT129+AT135-AT141</f>
        <v>0</v>
      </c>
      <c r="AU147" s="215">
        <f>AU129+AU135-AU141</f>
        <v>0</v>
      </c>
      <c r="AV147" s="215">
        <f>AV129+AV135-AV141</f>
        <v>0</v>
      </c>
      <c r="AW147" s="215">
        <f>AW129+AW135-AW141</f>
        <v>0</v>
      </c>
      <c r="AX147" s="3536">
        <f>AX129+AX135-AX141</f>
        <v>0</v>
      </c>
      <c r="AY147" s="3536">
        <f>AY129+AY135-AY141</f>
        <v>0</v>
      </c>
      <c r="AZ147" s="3536">
        <f>AZ129+AZ135-AZ141</f>
        <v>0</v>
      </c>
      <c r="BA147" s="3536">
        <f>BA129+BA135-BA141</f>
        <v>0</v>
      </c>
      <c r="BB147" s="3536">
        <f>BB129+BB135-BB141</f>
        <v>0</v>
      </c>
      <c r="BC147" s="200"/>
      <c r="BD147" s="1459"/>
      <c r="BE147" s="1459"/>
      <c r="BF147" s="1034" t="s">
        <v>1674</v>
      </c>
    </row>
    <row s="1834" customFormat="1" customHeight="1" ht="0">
      <c r="A148" s="1459"/>
      <c r="B148" s="1416"/>
      <c r="C148" s="1459"/>
      <c r="D148" s="1459"/>
      <c r="E148" s="628">
        <v>15</v>
      </c>
      <c r="F148" s="50" cm="1" t="str">
        <f t="array" ref="F148:F148">OFFSET(E148,-1,1)</f>
        <v>2</v>
      </c>
      <c r="G148" s="104" t="s">
        <v>1675</v>
      </c>
      <c r="H148" s="1459"/>
      <c r="I148" s="1459"/>
      <c r="J148" s="1459"/>
      <c r="K148" s="1459"/>
      <c r="L148" s="1459"/>
      <c r="M148" s="1459"/>
      <c r="N148" s="1459"/>
      <c r="O148" s="1459"/>
      <c r="P148" s="1459"/>
      <c r="Q148" s="1459"/>
      <c r="R148" s="1459"/>
      <c r="S148" s="1459"/>
      <c r="T148" s="465" cm="1" t="str">
        <f t="array" ref="T148:T148">T147</f>
        <v>true</v>
      </c>
      <c r="U148" s="1459"/>
      <c r="V148" s="1459"/>
      <c r="W148" s="1459"/>
      <c r="X148" s="1596"/>
      <c r="Y148" s="1459"/>
      <c r="Z148" s="1597"/>
      <c r="AA148" s="1459"/>
      <c r="AB148" s="88" t="s">
        <v>1430</v>
      </c>
      <c r="AC148" s="214" t="s">
        <v>1638</v>
      </c>
      <c r="AD148" s="89" t="s">
        <v>1514</v>
      </c>
      <c r="AE148" s="215">
        <f>AE130+AE136-AE142</f>
        <v>0</v>
      </c>
      <c r="AF148" s="215">
        <f>AF130+AF136-AF142</f>
        <v>0</v>
      </c>
      <c r="AG148" s="215">
        <f>AG130+AG136-AG142</f>
        <v>0</v>
      </c>
      <c r="AH148" s="215">
        <f>AH130+AH136-AH142</f>
        <v>0</v>
      </c>
      <c r="AI148" s="215">
        <f>AI130+AI136-AI142</f>
        <v>0</v>
      </c>
      <c r="AJ148" s="215">
        <f>AJ130+AJ136-AJ142</f>
        <v>0</v>
      </c>
      <c r="AK148" s="215">
        <f>AK130+AK136-AK142</f>
        <v>0</v>
      </c>
      <c r="AL148" s="215">
        <f>AL130+AL136-AL142</f>
        <v>0</v>
      </c>
      <c r="AM148" s="215">
        <f>AM130+AM136-AM142</f>
        <v>0</v>
      </c>
      <c r="AN148" s="3536">
        <f>AN130+AN136-AN142</f>
        <v>0</v>
      </c>
      <c r="AO148" s="3536">
        <f>AO130+AO136-AO142</f>
        <v>0</v>
      </c>
      <c r="AP148" s="3536">
        <f>AP130+AP136-AP142</f>
        <v>0</v>
      </c>
      <c r="AQ148" s="3536">
        <f>AQ130+AQ136-AQ142</f>
        <v>0</v>
      </c>
      <c r="AR148" s="3536">
        <f>AR130+AR136-AR142</f>
        <v>0</v>
      </c>
      <c r="AS148" s="215">
        <f>AS130+AS136-AS142</f>
        <v>0</v>
      </c>
      <c r="AT148" s="215">
        <f>AT130+AT136-AT142</f>
        <v>0</v>
      </c>
      <c r="AU148" s="215">
        <f>AU130+AU136-AU142</f>
        <v>0</v>
      </c>
      <c r="AV148" s="215">
        <f>AV130+AV136-AV142</f>
        <v>0</v>
      </c>
      <c r="AW148" s="215">
        <f>AW130+AW136-AW142</f>
        <v>0</v>
      </c>
      <c r="AX148" s="3536">
        <f>AX130+AX136-AX142</f>
        <v>0</v>
      </c>
      <c r="AY148" s="3536">
        <f>AY130+AY136-AY142</f>
        <v>0</v>
      </c>
      <c r="AZ148" s="3536">
        <f>AZ130+AZ136-AZ142</f>
        <v>0</v>
      </c>
      <c r="BA148" s="3536">
        <f>BA130+BA136-BA142</f>
        <v>0</v>
      </c>
      <c r="BB148" s="3536">
        <f>BB130+BB136-BB142</f>
        <v>0</v>
      </c>
      <c r="BC148" s="200"/>
      <c r="BD148" s="1459"/>
      <c r="BE148" s="1459"/>
      <c r="BF148" s="1034" t="s">
        <v>1676</v>
      </c>
    </row>
    <row s="1834" customFormat="1" customHeight="1" ht="0">
      <c r="A149" s="1459"/>
      <c r="B149" s="1416"/>
      <c r="C149" s="1459"/>
      <c r="D149" s="1459"/>
      <c r="E149" s="628">
        <v>15</v>
      </c>
      <c r="F149" s="50" cm="1" t="str">
        <f t="array" ref="F149:F149">OFFSET(E149,-1,1)</f>
        <v>2</v>
      </c>
      <c r="G149" s="104" t="s">
        <v>1677</v>
      </c>
      <c r="H149" s="1459"/>
      <c r="I149" s="1459"/>
      <c r="J149" s="1459"/>
      <c r="K149" s="1459"/>
      <c r="L149" s="1459"/>
      <c r="M149" s="1459"/>
      <c r="N149" s="1459"/>
      <c r="O149" s="1459"/>
      <c r="P149" s="1459"/>
      <c r="Q149" s="1459"/>
      <c r="R149" s="1459"/>
      <c r="S149" s="1459"/>
      <c r="T149" s="465" cm="1" t="str">
        <f t="array" ref="T149:T149">T148</f>
        <v>true</v>
      </c>
      <c r="U149" s="1459"/>
      <c r="V149" s="1459"/>
      <c r="W149" s="1459"/>
      <c r="X149" s="1596"/>
      <c r="Y149" s="1459"/>
      <c r="Z149" s="1597"/>
      <c r="AA149" s="1459"/>
      <c r="AB149" s="88" t="s">
        <v>1440</v>
      </c>
      <c r="AC149" s="214" t="s">
        <v>1642</v>
      </c>
      <c r="AD149" s="89" t="s">
        <v>1514</v>
      </c>
      <c r="AE149" s="215">
        <f>AE131+AE137-AE143</f>
        <v>0</v>
      </c>
      <c r="AF149" s="215">
        <f>AF131+AF137-AF143</f>
        <v>0</v>
      </c>
      <c r="AG149" s="215">
        <f>AG131+AG137-AG143</f>
        <v>0</v>
      </c>
      <c r="AH149" s="215">
        <f>AH131+AH137-AH143</f>
        <v>0</v>
      </c>
      <c r="AI149" s="215">
        <f>AI131+AI137-AI143</f>
        <v>0</v>
      </c>
      <c r="AJ149" s="215">
        <f>AJ131+AJ137-AJ143</f>
        <v>0</v>
      </c>
      <c r="AK149" s="215">
        <f>AK131+AK137-AK143</f>
        <v>0</v>
      </c>
      <c r="AL149" s="215">
        <f>AL131+AL137-AL143</f>
        <v>0</v>
      </c>
      <c r="AM149" s="215">
        <f>AM131+AM137-AM143</f>
        <v>0</v>
      </c>
      <c r="AN149" s="3536">
        <f>AN131+AN137-AN143</f>
        <v>0</v>
      </c>
      <c r="AO149" s="3536">
        <f>AO131+AO137-AO143</f>
        <v>0</v>
      </c>
      <c r="AP149" s="3536">
        <f>AP131+AP137-AP143</f>
        <v>0</v>
      </c>
      <c r="AQ149" s="3536">
        <f>AQ131+AQ137-AQ143</f>
        <v>0</v>
      </c>
      <c r="AR149" s="3536">
        <f>AR131+AR137-AR143</f>
        <v>0</v>
      </c>
      <c r="AS149" s="215">
        <f>AS131+AS137-AS143</f>
        <v>0</v>
      </c>
      <c r="AT149" s="215">
        <f>AT131+AT137-AT143</f>
        <v>0</v>
      </c>
      <c r="AU149" s="215">
        <f>AU131+AU137-AU143</f>
        <v>0</v>
      </c>
      <c r="AV149" s="215">
        <f>AV131+AV137-AV143</f>
        <v>0</v>
      </c>
      <c r="AW149" s="215">
        <f>AW131+AW137-AW143</f>
        <v>0</v>
      </c>
      <c r="AX149" s="3536">
        <f>AX131+AX137-AX143</f>
        <v>0</v>
      </c>
      <c r="AY149" s="3536">
        <f>AY131+AY137-AY143</f>
        <v>0</v>
      </c>
      <c r="AZ149" s="3536">
        <f>AZ131+AZ137-AZ143</f>
        <v>0</v>
      </c>
      <c r="BA149" s="3536">
        <f>BA131+BA137-BA143</f>
        <v>0</v>
      </c>
      <c r="BB149" s="3536">
        <f>BB131+BB137-BB143</f>
        <v>0</v>
      </c>
      <c r="BC149" s="200"/>
      <c r="BD149" s="1459"/>
      <c r="BE149" s="1459"/>
      <c r="BF149" s="1034" t="s">
        <v>1678</v>
      </c>
    </row>
    <row s="525" customFormat="1" customHeight="1" ht="14.25">
      <c r="A150" s="525"/>
      <c r="B150" s="431"/>
      <c r="C150" s="525"/>
      <c r="D150" s="525"/>
      <c r="E150" s="628">
        <v>15</v>
      </c>
      <c r="F150" s="50" cm="1" t="str">
        <f t="array" ref="F150:F150">OFFSET(E150,-1,1)</f>
        <v>2</v>
      </c>
      <c r="G150" s="104" t="s">
        <v>335</v>
      </c>
      <c r="H150" s="525"/>
      <c r="I150" s="525"/>
      <c r="J150" s="525"/>
      <c r="K150" s="525"/>
      <c r="L150" s="525"/>
      <c r="M150" s="525"/>
      <c r="N150" s="525"/>
      <c r="O150" s="525"/>
      <c r="P150" s="525"/>
      <c r="Q150" s="525"/>
      <c r="R150" s="525"/>
      <c r="S150" s="525"/>
      <c r="T150" s="465" cm="1" t="str">
        <f t="array" ref="T150:T150">T149</f>
        <v>true</v>
      </c>
      <c r="U150" s="525"/>
      <c r="V150" s="525"/>
      <c r="W150" s="525"/>
      <c r="X150" s="1596"/>
      <c r="Y150" s="525"/>
      <c r="Z150" s="1597"/>
      <c r="AA150" s="525"/>
      <c r="AB150" s="211">
        <v>5</v>
      </c>
      <c r="AC150" s="212" t="s">
        <v>1679</v>
      </c>
      <c r="AD150" s="89" t="s">
        <v>1514</v>
      </c>
      <c r="AE150" s="1198">
        <f>SUM(AE151:AE155)</f>
        <v>0</v>
      </c>
      <c r="AF150" s="1198">
        <f>SUM(AF151:AF155)</f>
        <v>0</v>
      </c>
      <c r="AG150" s="1198">
        <f>SUM(AG151:AG155)</f>
        <v>0</v>
      </c>
      <c r="AH150" s="1198">
        <f>SUM(AH151:AH155)</f>
        <v>0</v>
      </c>
      <c r="AI150" s="1198">
        <f>SUM(AI151:AI155)</f>
        <v>0</v>
      </c>
      <c r="AJ150" s="1198">
        <f>SUM(AJ151:AJ155)</f>
        <v>0</v>
      </c>
      <c r="AK150" s="1198">
        <f>SUM(AK151:AK155)</f>
        <v>0</v>
      </c>
      <c r="AL150" s="1198">
        <f>SUM(AL151:AL155)</f>
        <v>0</v>
      </c>
      <c r="AM150" s="1198">
        <f>SUM(AM151:AM155)</f>
        <v>0</v>
      </c>
      <c r="AN150" s="3534">
        <f>SUM(AN151:AN155)</f>
        <v>0</v>
      </c>
      <c r="AO150" s="3534">
        <f>SUM(AO151:AO155)</f>
        <v>0</v>
      </c>
      <c r="AP150" s="3534">
        <f>SUM(AP151:AP155)</f>
        <v>0</v>
      </c>
      <c r="AQ150" s="3534">
        <f>SUM(AQ151:AQ155)</f>
        <v>0</v>
      </c>
      <c r="AR150" s="3534">
        <f>SUM(AR151:AR155)</f>
        <v>0</v>
      </c>
      <c r="AS150" s="1198">
        <f>SUM(AS151:AS155)</f>
        <v>0</v>
      </c>
      <c r="AT150" s="1198">
        <f>SUM(AT151:AT155)</f>
        <v>0</v>
      </c>
      <c r="AU150" s="1198">
        <f>SUM(AU151:AU155)</f>
        <v>0</v>
      </c>
      <c r="AV150" s="1198">
        <f>SUM(AV151:AV155)</f>
        <v>0</v>
      </c>
      <c r="AW150" s="1198">
        <f>SUM(AW151:AW155)</f>
        <v>0</v>
      </c>
      <c r="AX150" s="3534">
        <f>SUM(AX151:AX155)</f>
        <v>0</v>
      </c>
      <c r="AY150" s="3534">
        <f>SUM(AY151:AY155)</f>
        <v>0</v>
      </c>
      <c r="AZ150" s="3534">
        <f>SUM(AZ151:AZ155)</f>
        <v>0</v>
      </c>
      <c r="BA150" s="3534">
        <f>SUM(BA151:BA155)</f>
        <v>0</v>
      </c>
      <c r="BB150" s="3534">
        <f>SUM(BB151:BB155)</f>
        <v>0</v>
      </c>
      <c r="BC150" s="200"/>
      <c r="BD150" s="525"/>
      <c r="BE150" s="525"/>
      <c r="BF150" s="1034" t="s">
        <v>1680</v>
      </c>
    </row>
    <row s="1834" customFormat="1" customHeight="1" ht="0">
      <c r="A151" s="1459"/>
      <c r="B151" s="1416"/>
      <c r="C151" s="1459"/>
      <c r="D151" s="1459"/>
      <c r="E151" s="628">
        <v>15</v>
      </c>
      <c r="F151" s="50" cm="1" t="str">
        <f t="array" ref="F151:F151">OFFSET(E151,-1,1)</f>
        <v>2</v>
      </c>
      <c r="G151" s="104" t="s">
        <v>1263</v>
      </c>
      <c r="H151" s="1459"/>
      <c r="I151" s="1459"/>
      <c r="J151" s="1459"/>
      <c r="K151" s="1459"/>
      <c r="L151" s="1459"/>
      <c r="M151" s="1459"/>
      <c r="N151" s="1459"/>
      <c r="O151" s="1459"/>
      <c r="P151" s="1459"/>
      <c r="Q151" s="1459"/>
      <c r="R151" s="1459"/>
      <c r="S151" s="1459"/>
      <c r="T151" s="465" cm="1" t="str">
        <f t="array" ref="T151:T151">T150</f>
        <v>true</v>
      </c>
      <c r="U151" s="1459"/>
      <c r="V151" s="1459"/>
      <c r="W151" s="1459"/>
      <c r="X151" s="1596"/>
      <c r="Y151" s="1459"/>
      <c r="Z151" s="1597"/>
      <c r="AA151" s="1459"/>
      <c r="AB151" s="88" t="s">
        <v>1391</v>
      </c>
      <c r="AC151" s="214" t="s">
        <v>1629</v>
      </c>
      <c r="AD151" s="89" t="s">
        <v>1514</v>
      </c>
      <c r="AE151" s="215">
        <f>(AE145+AE127)/2</f>
        <v>0</v>
      </c>
      <c r="AF151" s="215">
        <f>(AF145+AF127)/2</f>
        <v>0</v>
      </c>
      <c r="AG151" s="215">
        <f>(AG145+AG127)/2</f>
        <v>0</v>
      </c>
      <c r="AH151" s="215">
        <f>(AH145+AH127)/2</f>
        <v>0</v>
      </c>
      <c r="AI151" s="215">
        <f>(AI145+AI127)/2</f>
        <v>0</v>
      </c>
      <c r="AJ151" s="215">
        <f>(AJ145+AJ127)/2</f>
        <v>0</v>
      </c>
      <c r="AK151" s="215">
        <f>(AK145+AK127)/2</f>
        <v>0</v>
      </c>
      <c r="AL151" s="215">
        <f>(AL145+AL127)/2</f>
        <v>0</v>
      </c>
      <c r="AM151" s="215">
        <f>(AM145+AM127)/2</f>
        <v>0</v>
      </c>
      <c r="AN151" s="3536">
        <f>(AN145+AN127)/2</f>
        <v>0</v>
      </c>
      <c r="AO151" s="3536">
        <f>(AO145+AO127)/2</f>
        <v>0</v>
      </c>
      <c r="AP151" s="3536">
        <f>(AP145+AP127)/2</f>
        <v>0</v>
      </c>
      <c r="AQ151" s="3536">
        <f>(AQ145+AQ127)/2</f>
        <v>0</v>
      </c>
      <c r="AR151" s="3536">
        <f>(AR145+AR127)/2</f>
        <v>0</v>
      </c>
      <c r="AS151" s="215">
        <f>(AS145+AS127)/2</f>
        <v>0</v>
      </c>
      <c r="AT151" s="215">
        <f>(AT145+AT127)/2</f>
        <v>0</v>
      </c>
      <c r="AU151" s="215">
        <f>(AU145+AU127)/2</f>
        <v>0</v>
      </c>
      <c r="AV151" s="215">
        <f>(AV145+AV127)/2</f>
        <v>0</v>
      </c>
      <c r="AW151" s="215">
        <f>(AW145+AW127)/2</f>
        <v>0</v>
      </c>
      <c r="AX151" s="3536">
        <f>(AX145+AX127)/2</f>
        <v>0</v>
      </c>
      <c r="AY151" s="3536">
        <f>(AY145+AY127)/2</f>
        <v>0</v>
      </c>
      <c r="AZ151" s="3536">
        <f>(AZ145+AZ127)/2</f>
        <v>0</v>
      </c>
      <c r="BA151" s="3536">
        <f>(BA145+BA127)/2</f>
        <v>0</v>
      </c>
      <c r="BB151" s="3536">
        <f>(BB145+BB127)/2</f>
        <v>0</v>
      </c>
      <c r="BC151" s="200"/>
      <c r="BD151" s="1459"/>
      <c r="BE151" s="1459"/>
      <c r="BF151" s="1034" t="s">
        <v>1681</v>
      </c>
    </row>
    <row s="1834" customFormat="1" customHeight="1" ht="0">
      <c r="A152" s="1459"/>
      <c r="B152" s="1416"/>
      <c r="C152" s="1459"/>
      <c r="D152" s="1459"/>
      <c r="E152" s="628">
        <v>15</v>
      </c>
      <c r="F152" s="50" cm="1" t="str">
        <f t="array" ref="F152:F152">OFFSET(E152,-1,1)</f>
        <v>2</v>
      </c>
      <c r="G152" s="104" t="s">
        <v>1267</v>
      </c>
      <c r="H152" s="1459"/>
      <c r="I152" s="1459"/>
      <c r="J152" s="1459"/>
      <c r="K152" s="1459"/>
      <c r="L152" s="1459"/>
      <c r="M152" s="1459"/>
      <c r="N152" s="1459"/>
      <c r="O152" s="1459"/>
      <c r="P152" s="1459"/>
      <c r="Q152" s="1459"/>
      <c r="R152" s="1459"/>
      <c r="S152" s="1459"/>
      <c r="T152" s="465" cm="1" t="str">
        <f t="array" ref="T152:T152">T151</f>
        <v>true</v>
      </c>
      <c r="U152" s="1459"/>
      <c r="V152" s="1459"/>
      <c r="W152" s="1459"/>
      <c r="X152" s="1596"/>
      <c r="Y152" s="1459"/>
      <c r="Z152" s="1597"/>
      <c r="AA152" s="1459"/>
      <c r="AB152" s="88" t="s">
        <v>1394</v>
      </c>
      <c r="AC152" s="214" t="s">
        <v>1632</v>
      </c>
      <c r="AD152" s="89" t="s">
        <v>1514</v>
      </c>
      <c r="AE152" s="215">
        <f>(AE146+AE128)/2</f>
        <v>0</v>
      </c>
      <c r="AF152" s="215">
        <f>(AF146+AF128)/2</f>
        <v>0</v>
      </c>
      <c r="AG152" s="215">
        <f>(AG146+AG128)/2</f>
        <v>0</v>
      </c>
      <c r="AH152" s="215">
        <f>(AH146+AH128)/2</f>
        <v>0</v>
      </c>
      <c r="AI152" s="215">
        <f>(AI146+AI128)/2</f>
        <v>0</v>
      </c>
      <c r="AJ152" s="215">
        <f>(AJ146+AJ128)/2</f>
        <v>0</v>
      </c>
      <c r="AK152" s="215">
        <f>(AK146+AK128)/2</f>
        <v>0</v>
      </c>
      <c r="AL152" s="215">
        <f>(AL146+AL128)/2</f>
        <v>0</v>
      </c>
      <c r="AM152" s="215">
        <f>(AM146+AM128)/2</f>
        <v>0</v>
      </c>
      <c r="AN152" s="3536">
        <f>(AN146+AN128)/2</f>
        <v>0</v>
      </c>
      <c r="AO152" s="3536">
        <f>(AO146+AO128)/2</f>
        <v>0</v>
      </c>
      <c r="AP152" s="3536">
        <f>(AP146+AP128)/2</f>
        <v>0</v>
      </c>
      <c r="AQ152" s="3536">
        <f>(AQ146+AQ128)/2</f>
        <v>0</v>
      </c>
      <c r="AR152" s="3536">
        <f>(AR146+AR128)/2</f>
        <v>0</v>
      </c>
      <c r="AS152" s="215">
        <f>(AS146+AS128)/2</f>
        <v>0</v>
      </c>
      <c r="AT152" s="215">
        <f>(AT146+AT128)/2</f>
        <v>0</v>
      </c>
      <c r="AU152" s="215">
        <f>(AU146+AU128)/2</f>
        <v>0</v>
      </c>
      <c r="AV152" s="215">
        <f>(AV146+AV128)/2</f>
        <v>0</v>
      </c>
      <c r="AW152" s="215">
        <f>(AW146+AW128)/2</f>
        <v>0</v>
      </c>
      <c r="AX152" s="3536">
        <f>(AX146+AX128)/2</f>
        <v>0</v>
      </c>
      <c r="AY152" s="3536">
        <f>(AY146+AY128)/2</f>
        <v>0</v>
      </c>
      <c r="AZ152" s="3536">
        <f>(AZ146+AZ128)/2</f>
        <v>0</v>
      </c>
      <c r="BA152" s="3536">
        <f>(BA146+BA128)/2</f>
        <v>0</v>
      </c>
      <c r="BB152" s="3536">
        <f>(BB146+BB128)/2</f>
        <v>0</v>
      </c>
      <c r="BC152" s="200"/>
      <c r="BD152" s="1459"/>
      <c r="BE152" s="1459"/>
      <c r="BF152" s="1034" t="s">
        <v>1682</v>
      </c>
    </row>
    <row s="1834" customFormat="1" customHeight="1" ht="0">
      <c r="A153" s="1459"/>
      <c r="B153" s="1416"/>
      <c r="C153" s="1459"/>
      <c r="D153" s="1459"/>
      <c r="E153" s="628">
        <v>15</v>
      </c>
      <c r="F153" s="50" cm="1" t="str">
        <f t="array" ref="F153:F153">OFFSET(E153,-1,1)</f>
        <v>2</v>
      </c>
      <c r="G153" s="104" t="s">
        <v>1479</v>
      </c>
      <c r="H153" s="1459"/>
      <c r="I153" s="1459"/>
      <c r="J153" s="1459"/>
      <c r="K153" s="1459"/>
      <c r="L153" s="1459"/>
      <c r="M153" s="1459"/>
      <c r="N153" s="1459"/>
      <c r="O153" s="1459"/>
      <c r="P153" s="1459"/>
      <c r="Q153" s="1459"/>
      <c r="R153" s="1459"/>
      <c r="S153" s="1459"/>
      <c r="T153" s="465" cm="1" t="str">
        <f t="array" ref="T153:T153">T152</f>
        <v>true</v>
      </c>
      <c r="U153" s="1459"/>
      <c r="V153" s="1459"/>
      <c r="W153" s="1459"/>
      <c r="X153" s="1596"/>
      <c r="Y153" s="1459"/>
      <c r="Z153" s="1597"/>
      <c r="AA153" s="1459"/>
      <c r="AB153" s="88" t="s">
        <v>1683</v>
      </c>
      <c r="AC153" s="214" t="s">
        <v>1635</v>
      </c>
      <c r="AD153" s="89" t="s">
        <v>1514</v>
      </c>
      <c r="AE153" s="215">
        <f>(AE147+AE129)/2</f>
        <v>0</v>
      </c>
      <c r="AF153" s="215">
        <f>(AF147+AF129)/2</f>
        <v>0</v>
      </c>
      <c r="AG153" s="215">
        <f>(AG147+AG129)/2</f>
        <v>0</v>
      </c>
      <c r="AH153" s="215">
        <f>(AH147+AH129)/2</f>
        <v>0</v>
      </c>
      <c r="AI153" s="215">
        <f>(AI147+AI129)/2</f>
        <v>0</v>
      </c>
      <c r="AJ153" s="215">
        <f>(AJ147+AJ129)/2</f>
        <v>0</v>
      </c>
      <c r="AK153" s="215">
        <f>(AK147+AK129)/2</f>
        <v>0</v>
      </c>
      <c r="AL153" s="215">
        <f>(AL147+AL129)/2</f>
        <v>0</v>
      </c>
      <c r="AM153" s="215">
        <f>(AM147+AM129)/2</f>
        <v>0</v>
      </c>
      <c r="AN153" s="3536">
        <f>(AN147+AN129)/2</f>
        <v>0</v>
      </c>
      <c r="AO153" s="3536">
        <f>(AO147+AO129)/2</f>
        <v>0</v>
      </c>
      <c r="AP153" s="3536">
        <f>(AP147+AP129)/2</f>
        <v>0</v>
      </c>
      <c r="AQ153" s="3536">
        <f>(AQ147+AQ129)/2</f>
        <v>0</v>
      </c>
      <c r="AR153" s="3536">
        <f>(AR147+AR129)/2</f>
        <v>0</v>
      </c>
      <c r="AS153" s="215">
        <f>(AS147+AS129)/2</f>
        <v>0</v>
      </c>
      <c r="AT153" s="215">
        <f>(AT147+AT129)/2</f>
        <v>0</v>
      </c>
      <c r="AU153" s="215">
        <f>(AU147+AU129)/2</f>
        <v>0</v>
      </c>
      <c r="AV153" s="215">
        <f>(AV147+AV129)/2</f>
        <v>0</v>
      </c>
      <c r="AW153" s="215">
        <f>(AW147+AW129)/2</f>
        <v>0</v>
      </c>
      <c r="AX153" s="3536">
        <f>(AX147+AX129)/2</f>
        <v>0</v>
      </c>
      <c r="AY153" s="3536">
        <f>(AY147+AY129)/2</f>
        <v>0</v>
      </c>
      <c r="AZ153" s="3536">
        <f>(AZ147+AZ129)/2</f>
        <v>0</v>
      </c>
      <c r="BA153" s="3536">
        <f>(BA147+BA129)/2</f>
        <v>0</v>
      </c>
      <c r="BB153" s="3536">
        <f>(BB147+BB129)/2</f>
        <v>0</v>
      </c>
      <c r="BC153" s="200"/>
      <c r="BD153" s="1459"/>
      <c r="BE153" s="1459"/>
      <c r="BF153" s="1034" t="s">
        <v>1684</v>
      </c>
    </row>
    <row s="1834" customFormat="1" customHeight="1" ht="0">
      <c r="A154" s="1459"/>
      <c r="B154" s="1416"/>
      <c r="C154" s="1459"/>
      <c r="D154" s="1459"/>
      <c r="E154" s="628">
        <v>15</v>
      </c>
      <c r="F154" s="50" cm="1" t="str">
        <f t="array" ref="F154:F154">OFFSET(E154,-1,1)</f>
        <v>2</v>
      </c>
      <c r="G154" s="104" t="s">
        <v>1685</v>
      </c>
      <c r="H154" s="1459"/>
      <c r="I154" s="1459"/>
      <c r="J154" s="1459"/>
      <c r="K154" s="1459"/>
      <c r="L154" s="1459"/>
      <c r="M154" s="1459"/>
      <c r="N154" s="1459"/>
      <c r="O154" s="1459"/>
      <c r="P154" s="1459"/>
      <c r="Q154" s="1459"/>
      <c r="R154" s="1459"/>
      <c r="S154" s="1459"/>
      <c r="T154" s="465" cm="1" t="str">
        <f t="array" ref="T154:T154">T153</f>
        <v>true</v>
      </c>
      <c r="U154" s="1459"/>
      <c r="V154" s="1459"/>
      <c r="W154" s="1459"/>
      <c r="X154" s="1596"/>
      <c r="Y154" s="1459"/>
      <c r="Z154" s="1597"/>
      <c r="AA154" s="1459"/>
      <c r="AB154" s="88" t="s">
        <v>1686</v>
      </c>
      <c r="AC154" s="214" t="s">
        <v>1638</v>
      </c>
      <c r="AD154" s="89" t="s">
        <v>1514</v>
      </c>
      <c r="AE154" s="215">
        <f>(AE148+AE130)/2</f>
        <v>0</v>
      </c>
      <c r="AF154" s="215">
        <f>(AF148+AF130)/2</f>
        <v>0</v>
      </c>
      <c r="AG154" s="215">
        <f>(AG148+AG130)/2</f>
        <v>0</v>
      </c>
      <c r="AH154" s="215">
        <f>(AH148+AH130)/2</f>
        <v>0</v>
      </c>
      <c r="AI154" s="215">
        <f>(AI148+AI130)/2</f>
        <v>0</v>
      </c>
      <c r="AJ154" s="215">
        <f>(AJ148+AJ130)/2</f>
        <v>0</v>
      </c>
      <c r="AK154" s="215">
        <f>(AK148+AK130)/2</f>
        <v>0</v>
      </c>
      <c r="AL154" s="215">
        <f>(AL148+AL130)/2</f>
        <v>0</v>
      </c>
      <c r="AM154" s="215">
        <f>(AM148+AM130)/2</f>
        <v>0</v>
      </c>
      <c r="AN154" s="3536">
        <f>(AN148+AN130)/2</f>
        <v>0</v>
      </c>
      <c r="AO154" s="3536">
        <f>(AO148+AO130)/2</f>
        <v>0</v>
      </c>
      <c r="AP154" s="3536">
        <f>(AP148+AP130)/2</f>
        <v>0</v>
      </c>
      <c r="AQ154" s="3536">
        <f>(AQ148+AQ130)/2</f>
        <v>0</v>
      </c>
      <c r="AR154" s="3536">
        <f>(AR148+AR130)/2</f>
        <v>0</v>
      </c>
      <c r="AS154" s="215">
        <f>(AS148+AS130)/2</f>
        <v>0</v>
      </c>
      <c r="AT154" s="215">
        <f>(AT148+AT130)/2</f>
        <v>0</v>
      </c>
      <c r="AU154" s="215">
        <f>(AU148+AU130)/2</f>
        <v>0</v>
      </c>
      <c r="AV154" s="215">
        <f>(AV148+AV130)/2</f>
        <v>0</v>
      </c>
      <c r="AW154" s="215">
        <f>(AW148+AW130)/2</f>
        <v>0</v>
      </c>
      <c r="AX154" s="3536">
        <f>(AX148+AX130)/2</f>
        <v>0</v>
      </c>
      <c r="AY154" s="3536">
        <f>(AY148+AY130)/2</f>
        <v>0</v>
      </c>
      <c r="AZ154" s="3536">
        <f>(AZ148+AZ130)/2</f>
        <v>0</v>
      </c>
      <c r="BA154" s="3536">
        <f>(BA148+BA130)/2</f>
        <v>0</v>
      </c>
      <c r="BB154" s="3536">
        <f>(BB148+BB130)/2</f>
        <v>0</v>
      </c>
      <c r="BC154" s="200"/>
      <c r="BD154" s="1459"/>
      <c r="BE154" s="1459"/>
      <c r="BF154" s="1034" t="s">
        <v>1687</v>
      </c>
    </row>
    <row s="1834" customFormat="1" customHeight="1" ht="0">
      <c r="A155" s="1459"/>
      <c r="B155" s="1416"/>
      <c r="C155" s="1459"/>
      <c r="D155" s="1459"/>
      <c r="E155" s="628">
        <v>15</v>
      </c>
      <c r="F155" s="50" cm="1" t="str">
        <f t="array" ref="F155:F155">OFFSET(E155,-1,1)</f>
        <v>2</v>
      </c>
      <c r="G155" s="104" t="s">
        <v>1688</v>
      </c>
      <c r="H155" s="1459"/>
      <c r="I155" s="1459"/>
      <c r="J155" s="1459"/>
      <c r="K155" s="1459"/>
      <c r="L155" s="1459"/>
      <c r="M155" s="1459"/>
      <c r="N155" s="1459"/>
      <c r="O155" s="1459"/>
      <c r="P155" s="1459"/>
      <c r="Q155" s="1459"/>
      <c r="R155" s="1459"/>
      <c r="S155" s="1459"/>
      <c r="T155" s="465" cm="1" t="str">
        <f t="array" ref="T155:T155">T154</f>
        <v>true</v>
      </c>
      <c r="U155" s="1459"/>
      <c r="V155" s="1459"/>
      <c r="W155" s="1459"/>
      <c r="X155" s="1596"/>
      <c r="Y155" s="1459"/>
      <c r="Z155" s="1597"/>
      <c r="AA155" s="1459"/>
      <c r="AB155" s="88" t="s">
        <v>1689</v>
      </c>
      <c r="AC155" s="214" t="s">
        <v>1642</v>
      </c>
      <c r="AD155" s="89" t="s">
        <v>1514</v>
      </c>
      <c r="AE155" s="215">
        <f>(AE149+AE131)/2</f>
        <v>0</v>
      </c>
      <c r="AF155" s="215">
        <f>(AF149+AF131)/2</f>
        <v>0</v>
      </c>
      <c r="AG155" s="215">
        <f>(AG149+AG131)/2</f>
        <v>0</v>
      </c>
      <c r="AH155" s="215">
        <f>(AH149+AH131)/2</f>
        <v>0</v>
      </c>
      <c r="AI155" s="215">
        <f>(AI149+AI131)/2</f>
        <v>0</v>
      </c>
      <c r="AJ155" s="215">
        <f>(AJ149+AJ131)/2</f>
        <v>0</v>
      </c>
      <c r="AK155" s="215">
        <f>(AK149+AK131)/2</f>
        <v>0</v>
      </c>
      <c r="AL155" s="215">
        <f>(AL149+AL131)/2</f>
        <v>0</v>
      </c>
      <c r="AM155" s="215">
        <f>(AM149+AM131)/2</f>
        <v>0</v>
      </c>
      <c r="AN155" s="3536">
        <f>(AN149+AN131)/2</f>
        <v>0</v>
      </c>
      <c r="AO155" s="3536">
        <f>(AO149+AO131)/2</f>
        <v>0</v>
      </c>
      <c r="AP155" s="3536">
        <f>(AP149+AP131)/2</f>
        <v>0</v>
      </c>
      <c r="AQ155" s="3536">
        <f>(AQ149+AQ131)/2</f>
        <v>0</v>
      </c>
      <c r="AR155" s="3536">
        <f>(AR149+AR131)/2</f>
        <v>0</v>
      </c>
      <c r="AS155" s="215">
        <f>(AS149+AS131)/2</f>
        <v>0</v>
      </c>
      <c r="AT155" s="215">
        <f>(AT149+AT131)/2</f>
        <v>0</v>
      </c>
      <c r="AU155" s="215">
        <f>(AU149+AU131)/2</f>
        <v>0</v>
      </c>
      <c r="AV155" s="215">
        <f>(AV149+AV131)/2</f>
        <v>0</v>
      </c>
      <c r="AW155" s="215">
        <f>(AW149+AW131)/2</f>
        <v>0</v>
      </c>
      <c r="AX155" s="3536">
        <f>(AX149+AX131)/2</f>
        <v>0</v>
      </c>
      <c r="AY155" s="3536">
        <f>(AY149+AY131)/2</f>
        <v>0</v>
      </c>
      <c r="AZ155" s="3536">
        <f>(AZ149+AZ131)/2</f>
        <v>0</v>
      </c>
      <c r="BA155" s="3536">
        <f>(BA149+BA131)/2</f>
        <v>0</v>
      </c>
      <c r="BB155" s="3536">
        <f>(BB149+BB131)/2</f>
        <v>0</v>
      </c>
      <c r="BC155" s="200"/>
      <c r="BD155" s="1459"/>
      <c r="BE155" s="1459"/>
      <c r="BF155" s="1034" t="s">
        <v>1690</v>
      </c>
    </row>
    <row s="525" customFormat="1" customHeight="1" ht="21.75">
      <c r="A156" s="525"/>
      <c r="B156" s="431"/>
      <c r="C156" s="525"/>
      <c r="D156" s="525"/>
      <c r="E156" s="669">
        <v>22.5</v>
      </c>
      <c r="F156" s="50" cm="1" t="str">
        <f t="array" ref="F156:F156">OFFSET(E156,-1,1)</f>
        <v>2</v>
      </c>
      <c r="G156" s="104" t="s">
        <v>1225</v>
      </c>
      <c r="H156" s="525"/>
      <c r="I156" s="525"/>
      <c r="J156" s="525"/>
      <c r="K156" s="525"/>
      <c r="L156" s="525"/>
      <c r="M156" s="525"/>
      <c r="N156" s="525"/>
      <c r="O156" s="525"/>
      <c r="P156" s="525"/>
      <c r="Q156" s="525"/>
      <c r="R156" s="525"/>
      <c r="S156" s="525"/>
      <c r="T156" s="465" cm="1" t="str">
        <f t="array" ref="T156:T156">T155</f>
        <v>true</v>
      </c>
      <c r="U156" s="525"/>
      <c r="V156" s="525"/>
      <c r="W156" s="525"/>
      <c r="X156" s="1596"/>
      <c r="Y156" s="525"/>
      <c r="Z156" s="1597"/>
      <c r="AA156" s="525"/>
      <c r="AB156" s="211">
        <v>6</v>
      </c>
      <c r="AC156" s="212" t="s">
        <v>1691</v>
      </c>
      <c r="AD156" s="211"/>
      <c r="AE156" s="216"/>
      <c r="AF156" s="216"/>
      <c r="AG156" s="216"/>
      <c r="AH156" s="216"/>
      <c r="AI156" s="216"/>
      <c r="AJ156" s="216"/>
      <c r="AK156" s="216"/>
      <c r="AL156" s="216"/>
      <c r="AM156" s="216"/>
      <c r="AN156" s="216"/>
      <c r="AO156" s="216"/>
      <c r="AP156" s="216"/>
      <c r="AQ156" s="216"/>
      <c r="AR156" s="216"/>
      <c r="AS156" s="216"/>
      <c r="AT156" s="216"/>
      <c r="AU156" s="216"/>
      <c r="AV156" s="216"/>
      <c r="AW156" s="216"/>
      <c r="AX156" s="216"/>
      <c r="AY156" s="216"/>
      <c r="AZ156" s="216"/>
      <c r="BA156" s="216"/>
      <c r="BB156" s="216"/>
      <c r="BC156" s="200"/>
      <c r="BD156" s="525"/>
      <c r="BE156" s="525"/>
      <c r="BF156" s="1034" t="s">
        <v>1692</v>
      </c>
    </row>
    <row s="1834" customFormat="1" customHeight="1" ht="0">
      <c r="A157" s="1459"/>
      <c r="B157" s="1416"/>
      <c r="C157" s="1459"/>
      <c r="D157" s="1459"/>
      <c r="E157" s="628">
        <v>15</v>
      </c>
      <c r="F157" s="50" cm="1" t="str">
        <f t="array" ref="F157:F157">OFFSET(E157,-1,1)</f>
        <v>2</v>
      </c>
      <c r="G157" s="104" t="s">
        <v>1383</v>
      </c>
      <c r="H157" s="1459"/>
      <c r="I157" s="1459"/>
      <c r="J157" s="1459"/>
      <c r="K157" s="1459"/>
      <c r="L157" s="1459"/>
      <c r="M157" s="1459"/>
      <c r="N157" s="1459"/>
      <c r="O157" s="1459"/>
      <c r="P157" s="1459"/>
      <c r="Q157" s="1459"/>
      <c r="R157" s="1459"/>
      <c r="S157" s="1459"/>
      <c r="T157" s="465" cm="1" t="str">
        <f t="array" ref="T157:T157">T156</f>
        <v>true</v>
      </c>
      <c r="U157" s="1459"/>
      <c r="V157" s="1459"/>
      <c r="W157" s="1459"/>
      <c r="X157" s="1596"/>
      <c r="Y157" s="1459"/>
      <c r="Z157" s="1597"/>
      <c r="AA157" s="1459"/>
      <c r="AB157" s="88" t="s">
        <v>1279</v>
      </c>
      <c r="AC157" s="214" t="s">
        <v>1629</v>
      </c>
      <c r="AD157" s="88" t="s">
        <v>1170</v>
      </c>
      <c r="AE157" s="215">
        <f>IF(AE151=0,0,AE163/AE151*100)</f>
        <v>0</v>
      </c>
      <c r="AF157" s="215">
        <f>IF(AF151=0,0,AF163/AF151*100)</f>
        <v>0</v>
      </c>
      <c r="AG157" s="215">
        <f>IF(AG151=0,0,AG163/AG151*100)</f>
        <v>0</v>
      </c>
      <c r="AH157" s="215">
        <f>IF(AH151=0,0,AH163/AH151*100)</f>
        <v>0</v>
      </c>
      <c r="AI157" s="215">
        <f>IF(AI151=0,0,AI163/AI151*100)</f>
        <v>0</v>
      </c>
      <c r="AJ157" s="215">
        <f>IF(AJ151=0,0,AJ163/AJ151*100)</f>
        <v>0</v>
      </c>
      <c r="AK157" s="215">
        <f>IF(AK151=0,0,AK163/AK151*100)</f>
        <v>0</v>
      </c>
      <c r="AL157" s="215">
        <f>IF(AL151=0,0,AL163/AL151*100)</f>
        <v>0</v>
      </c>
      <c r="AM157" s="215">
        <f>IF(AM151=0,0,AM163/AM151*100)</f>
        <v>0</v>
      </c>
      <c r="AN157" s="3536">
        <f>IF(AN151=0,0,AN163/AN151*100)</f>
        <v>0</v>
      </c>
      <c r="AO157" s="3536">
        <f>IF(AO151=0,0,AO163/AO151*100)</f>
        <v>0</v>
      </c>
      <c r="AP157" s="3536">
        <f>IF(AP151=0,0,AP163/AP151*100)</f>
        <v>0</v>
      </c>
      <c r="AQ157" s="3536">
        <f>IF(AQ151=0,0,AQ163/AQ151*100)</f>
        <v>0</v>
      </c>
      <c r="AR157" s="3536">
        <f>IF(AR151=0,0,AR163/AR151*100)</f>
        <v>0</v>
      </c>
      <c r="AS157" s="215">
        <f>IF(AS151=0,0,AS163/AS151*100)</f>
        <v>0</v>
      </c>
      <c r="AT157" s="215">
        <f>IF(AT151=0,0,AT163/AT151*100)</f>
        <v>0</v>
      </c>
      <c r="AU157" s="215">
        <f>IF(AU151=0,0,AU163/AU151*100)</f>
        <v>0</v>
      </c>
      <c r="AV157" s="215">
        <f>IF(AV151=0,0,AV163/AV151*100)</f>
        <v>0</v>
      </c>
      <c r="AW157" s="215">
        <f>IF(AW151=0,0,AW163/AW151*100)</f>
        <v>0</v>
      </c>
      <c r="AX157" s="3536">
        <f>IF(AX151=0,0,AX163/AX151*100)</f>
        <v>0</v>
      </c>
      <c r="AY157" s="3536">
        <f>IF(AY151=0,0,AY163/AY151*100)</f>
        <v>0</v>
      </c>
      <c r="AZ157" s="3536">
        <f>IF(AZ151=0,0,AZ163/AZ151*100)</f>
        <v>0</v>
      </c>
      <c r="BA157" s="3536">
        <f>IF(BA151=0,0,BA163/BA151*100)</f>
        <v>0</v>
      </c>
      <c r="BB157" s="3536">
        <f>IF(BB151=0,0,BB163/BB151*100)</f>
        <v>0</v>
      </c>
      <c r="BC157" s="200"/>
      <c r="BD157" s="1459"/>
      <c r="BE157" s="1459"/>
      <c r="BF157" s="1034" t="s">
        <v>1693</v>
      </c>
    </row>
    <row s="1834" customFormat="1" customHeight="1" ht="0">
      <c r="A158" s="1459"/>
      <c r="B158" s="1416"/>
      <c r="C158" s="1459"/>
      <c r="D158" s="1459"/>
      <c r="E158" s="628">
        <v>15</v>
      </c>
      <c r="F158" s="50" cm="1" t="str">
        <f t="array" ref="F158:F158">OFFSET(E158,-1,1)</f>
        <v>2</v>
      </c>
      <c r="G158" s="104" t="s">
        <v>1386</v>
      </c>
      <c r="H158" s="1459"/>
      <c r="I158" s="1459"/>
      <c r="J158" s="1459"/>
      <c r="K158" s="1459"/>
      <c r="L158" s="1459"/>
      <c r="M158" s="1459"/>
      <c r="N158" s="1459"/>
      <c r="O158" s="1459"/>
      <c r="P158" s="1459"/>
      <c r="Q158" s="1459"/>
      <c r="R158" s="1459"/>
      <c r="S158" s="1459"/>
      <c r="T158" s="465" cm="1" t="str">
        <f t="array" ref="T158:T158">T157</f>
        <v>true</v>
      </c>
      <c r="U158" s="1459"/>
      <c r="V158" s="1459"/>
      <c r="W158" s="1459"/>
      <c r="X158" s="1596"/>
      <c r="Y158" s="1459"/>
      <c r="Z158" s="1597"/>
      <c r="AA158" s="1459"/>
      <c r="AB158" s="88" t="s">
        <v>1283</v>
      </c>
      <c r="AC158" s="214" t="s">
        <v>1632</v>
      </c>
      <c r="AD158" s="88" t="s">
        <v>1170</v>
      </c>
      <c r="AE158" s="215">
        <f>IF(AE152=0,0,AE164/AE152*100)</f>
        <v>0</v>
      </c>
      <c r="AF158" s="215">
        <f>IF(AF152=0,0,AF164/AF152*100)</f>
        <v>0</v>
      </c>
      <c r="AG158" s="215">
        <f>IF(AG152=0,0,AG164/AG152*100)</f>
        <v>0</v>
      </c>
      <c r="AH158" s="215">
        <f>IF(AH152=0,0,AH164/AH152*100)</f>
        <v>0</v>
      </c>
      <c r="AI158" s="215">
        <f>IF(AI152=0,0,AI164/AI152*100)</f>
        <v>0</v>
      </c>
      <c r="AJ158" s="215">
        <f>IF(AJ152=0,0,AJ164/AJ152*100)</f>
        <v>0</v>
      </c>
      <c r="AK158" s="215">
        <f>IF(AK152=0,0,AK164/AK152*100)</f>
        <v>0</v>
      </c>
      <c r="AL158" s="215">
        <f>IF(AL152=0,0,AL164/AL152*100)</f>
        <v>0</v>
      </c>
      <c r="AM158" s="215">
        <f>IF(AM152=0,0,AM164/AM152*100)</f>
        <v>0</v>
      </c>
      <c r="AN158" s="3536">
        <f>IF(AN152=0,0,AN164/AN152*100)</f>
        <v>0</v>
      </c>
      <c r="AO158" s="3536">
        <f>IF(AO152=0,0,AO164/AO152*100)</f>
        <v>0</v>
      </c>
      <c r="AP158" s="3536">
        <f>IF(AP152=0,0,AP164/AP152*100)</f>
        <v>0</v>
      </c>
      <c r="AQ158" s="3536">
        <f>IF(AQ152=0,0,AQ164/AQ152*100)</f>
        <v>0</v>
      </c>
      <c r="AR158" s="3536">
        <f>IF(AR152=0,0,AR164/AR152*100)</f>
        <v>0</v>
      </c>
      <c r="AS158" s="215">
        <f>IF(AS152=0,0,AS164/AS152*100)</f>
        <v>0</v>
      </c>
      <c r="AT158" s="215">
        <f>IF(AT152=0,0,AT164/AT152*100)</f>
        <v>0</v>
      </c>
      <c r="AU158" s="215">
        <f>IF(AU152=0,0,AU164/AU152*100)</f>
        <v>0</v>
      </c>
      <c r="AV158" s="215">
        <f>IF(AV152=0,0,AV164/AV152*100)</f>
        <v>0</v>
      </c>
      <c r="AW158" s="215">
        <f>IF(AW152=0,0,AW164/AW152*100)</f>
        <v>0</v>
      </c>
      <c r="AX158" s="3536">
        <f>IF(AX152=0,0,AX164/AX152*100)</f>
        <v>0</v>
      </c>
      <c r="AY158" s="3536">
        <f>IF(AY152=0,0,AY164/AY152*100)</f>
        <v>0</v>
      </c>
      <c r="AZ158" s="3536">
        <f>IF(AZ152=0,0,AZ164/AZ152*100)</f>
        <v>0</v>
      </c>
      <c r="BA158" s="3536">
        <f>IF(BA152=0,0,BA164/BA152*100)</f>
        <v>0</v>
      </c>
      <c r="BB158" s="3536">
        <f>IF(BB152=0,0,BB164/BB152*100)</f>
        <v>0</v>
      </c>
      <c r="BC158" s="200"/>
      <c r="BD158" s="1459"/>
      <c r="BE158" s="1459"/>
      <c r="BF158" s="1034" t="s">
        <v>1694</v>
      </c>
    </row>
    <row s="1834" customFormat="1" customHeight="1" ht="0">
      <c r="A159" s="1459"/>
      <c r="B159" s="1416"/>
      <c r="C159" s="1459"/>
      <c r="D159" s="1459"/>
      <c r="E159" s="628">
        <v>15</v>
      </c>
      <c r="F159" s="50" cm="1" t="str">
        <f t="array" ref="F159:F159">OFFSET(E159,-1,1)</f>
        <v>2</v>
      </c>
      <c r="G159" s="104" t="s">
        <v>1420</v>
      </c>
      <c r="H159" s="1459"/>
      <c r="I159" s="1459"/>
      <c r="J159" s="1459"/>
      <c r="K159" s="1459"/>
      <c r="L159" s="1459"/>
      <c r="M159" s="1459"/>
      <c r="N159" s="1459"/>
      <c r="O159" s="1459"/>
      <c r="P159" s="1459"/>
      <c r="Q159" s="1459"/>
      <c r="R159" s="1459"/>
      <c r="S159" s="1459"/>
      <c r="T159" s="465" cm="1" t="str">
        <f t="array" ref="T159:T159">T158</f>
        <v>true</v>
      </c>
      <c r="U159" s="1459"/>
      <c r="V159" s="1459"/>
      <c r="W159" s="1459"/>
      <c r="X159" s="1596"/>
      <c r="Y159" s="1459"/>
      <c r="Z159" s="1597"/>
      <c r="AA159" s="1459"/>
      <c r="AB159" s="88" t="s">
        <v>1287</v>
      </c>
      <c r="AC159" s="214" t="s">
        <v>1635</v>
      </c>
      <c r="AD159" s="88" t="s">
        <v>1170</v>
      </c>
      <c r="AE159" s="215">
        <f>IF(AE153=0,0,AE165/AE153*100)</f>
        <v>0</v>
      </c>
      <c r="AF159" s="215">
        <f>IF(AF153=0,0,AF165/AF153*100)</f>
        <v>0</v>
      </c>
      <c r="AG159" s="215">
        <f>IF(AG153=0,0,AG165/AG153*100)</f>
        <v>0</v>
      </c>
      <c r="AH159" s="215">
        <f>IF(AH153=0,0,AH165/AH153*100)</f>
        <v>0</v>
      </c>
      <c r="AI159" s="215">
        <f>IF(AI153=0,0,AI165/AI153*100)</f>
        <v>0</v>
      </c>
      <c r="AJ159" s="215">
        <f>IF(AJ153=0,0,AJ165/AJ153*100)</f>
        <v>0</v>
      </c>
      <c r="AK159" s="215">
        <f>IF(AK153=0,0,AK165/AK153*100)</f>
        <v>0</v>
      </c>
      <c r="AL159" s="215">
        <f>IF(AL153=0,0,AL165/AL153*100)</f>
        <v>0</v>
      </c>
      <c r="AM159" s="215">
        <f>IF(AM153=0,0,AM165/AM153*100)</f>
        <v>0</v>
      </c>
      <c r="AN159" s="3536">
        <f>IF(AN153=0,0,AN165/AN153*100)</f>
        <v>0</v>
      </c>
      <c r="AO159" s="3536">
        <f>IF(AO153=0,0,AO165/AO153*100)</f>
        <v>0</v>
      </c>
      <c r="AP159" s="3536">
        <f>IF(AP153=0,0,AP165/AP153*100)</f>
        <v>0</v>
      </c>
      <c r="AQ159" s="3536">
        <f>IF(AQ153=0,0,AQ165/AQ153*100)</f>
        <v>0</v>
      </c>
      <c r="AR159" s="3536">
        <f>IF(AR153=0,0,AR165/AR153*100)</f>
        <v>0</v>
      </c>
      <c r="AS159" s="215">
        <f>IF(AS153=0,0,AS165/AS153*100)</f>
        <v>0</v>
      </c>
      <c r="AT159" s="215">
        <f>IF(AT153=0,0,AT165/AT153*100)</f>
        <v>0</v>
      </c>
      <c r="AU159" s="215">
        <f>IF(AU153=0,0,AU165/AU153*100)</f>
        <v>0</v>
      </c>
      <c r="AV159" s="215">
        <f>IF(AV153=0,0,AV165/AV153*100)</f>
        <v>0</v>
      </c>
      <c r="AW159" s="215">
        <f>IF(AW153=0,0,AW165/AW153*100)</f>
        <v>0</v>
      </c>
      <c r="AX159" s="3536">
        <f>IF(AX153=0,0,AX165/AX153*100)</f>
        <v>0</v>
      </c>
      <c r="AY159" s="3536">
        <f>IF(AY153=0,0,AY165/AY153*100)</f>
        <v>0</v>
      </c>
      <c r="AZ159" s="3536">
        <f>IF(AZ153=0,0,AZ165/AZ153*100)</f>
        <v>0</v>
      </c>
      <c r="BA159" s="3536">
        <f>IF(BA153=0,0,BA165/BA153*100)</f>
        <v>0</v>
      </c>
      <c r="BB159" s="3536">
        <f>IF(BB153=0,0,BB165/BB153*100)</f>
        <v>0</v>
      </c>
      <c r="BC159" s="200"/>
      <c r="BD159" s="1459"/>
      <c r="BE159" s="1459"/>
      <c r="BF159" s="1034" t="s">
        <v>1695</v>
      </c>
    </row>
    <row s="1834" customFormat="1" customHeight="1" ht="0">
      <c r="A160" s="1459"/>
      <c r="B160" s="1416"/>
      <c r="C160" s="1459"/>
      <c r="D160" s="1459"/>
      <c r="E160" s="628">
        <v>15</v>
      </c>
      <c r="F160" s="50" cm="1" t="str">
        <f t="array" ref="F160:F160">OFFSET(E160,-1,1)</f>
        <v>2</v>
      </c>
      <c r="G160" s="104" t="s">
        <v>1429</v>
      </c>
      <c r="H160" s="1459"/>
      <c r="I160" s="1459"/>
      <c r="J160" s="1459"/>
      <c r="K160" s="1459"/>
      <c r="L160" s="1459"/>
      <c r="M160" s="1459"/>
      <c r="N160" s="1459"/>
      <c r="O160" s="1459"/>
      <c r="P160" s="1459"/>
      <c r="Q160" s="1459"/>
      <c r="R160" s="1459"/>
      <c r="S160" s="1459"/>
      <c r="T160" s="465" cm="1" t="str">
        <f t="array" ref="T160:T160">T159</f>
        <v>true</v>
      </c>
      <c r="U160" s="1459"/>
      <c r="V160" s="1459"/>
      <c r="W160" s="1459"/>
      <c r="X160" s="1596"/>
      <c r="Y160" s="1459"/>
      <c r="Z160" s="1597"/>
      <c r="AA160" s="1459"/>
      <c r="AB160" s="88" t="s">
        <v>1696</v>
      </c>
      <c r="AC160" s="214" t="s">
        <v>1638</v>
      </c>
      <c r="AD160" s="88" t="s">
        <v>1170</v>
      </c>
      <c r="AE160" s="215">
        <f>IF(AE154=0,0,AE166/AE154*100)</f>
        <v>0</v>
      </c>
      <c r="AF160" s="215">
        <f>IF(AF154=0,0,AF166/AF154*100)</f>
        <v>0</v>
      </c>
      <c r="AG160" s="215">
        <f>IF(AG154=0,0,AG166/AG154*100)</f>
        <v>0</v>
      </c>
      <c r="AH160" s="215">
        <f>IF(AH154=0,0,AH166/AH154*100)</f>
        <v>0</v>
      </c>
      <c r="AI160" s="215">
        <f>IF(AI154=0,0,AI166/AI154*100)</f>
        <v>0</v>
      </c>
      <c r="AJ160" s="215">
        <f>IF(AJ154=0,0,AJ166/AJ154*100)</f>
        <v>0</v>
      </c>
      <c r="AK160" s="215">
        <f>IF(AK154=0,0,AK166/AK154*100)</f>
        <v>0</v>
      </c>
      <c r="AL160" s="215">
        <f>IF(AL154=0,0,AL166/AL154*100)</f>
        <v>0</v>
      </c>
      <c r="AM160" s="215">
        <f>IF(AM154=0,0,AM166/AM154*100)</f>
        <v>0</v>
      </c>
      <c r="AN160" s="3536">
        <f>IF(AN154=0,0,AN166/AN154*100)</f>
        <v>0</v>
      </c>
      <c r="AO160" s="3536">
        <f>IF(AO154=0,0,AO166/AO154*100)</f>
        <v>0</v>
      </c>
      <c r="AP160" s="3536">
        <f>IF(AP154=0,0,AP166/AP154*100)</f>
        <v>0</v>
      </c>
      <c r="AQ160" s="3536">
        <f>IF(AQ154=0,0,AQ166/AQ154*100)</f>
        <v>0</v>
      </c>
      <c r="AR160" s="3536">
        <f>IF(AR154=0,0,AR166/AR154*100)</f>
        <v>0</v>
      </c>
      <c r="AS160" s="215">
        <f>IF(AS154=0,0,AS166/AS154*100)</f>
        <v>0</v>
      </c>
      <c r="AT160" s="215">
        <f>IF(AT154=0,0,AT166/AT154*100)</f>
        <v>0</v>
      </c>
      <c r="AU160" s="215">
        <f>IF(AU154=0,0,AU166/AU154*100)</f>
        <v>0</v>
      </c>
      <c r="AV160" s="215">
        <f>IF(AV154=0,0,AV166/AV154*100)</f>
        <v>0</v>
      </c>
      <c r="AW160" s="215">
        <f>IF(AW154=0,0,AW166/AW154*100)</f>
        <v>0</v>
      </c>
      <c r="AX160" s="3536">
        <f>IF(AX154=0,0,AX166/AX154*100)</f>
        <v>0</v>
      </c>
      <c r="AY160" s="3536">
        <f>IF(AY154=0,0,AY166/AY154*100)</f>
        <v>0</v>
      </c>
      <c r="AZ160" s="3536">
        <f>IF(AZ154=0,0,AZ166/AZ154*100)</f>
        <v>0</v>
      </c>
      <c r="BA160" s="3536">
        <f>IF(BA154=0,0,BA166/BA154*100)</f>
        <v>0</v>
      </c>
      <c r="BB160" s="3536">
        <f>IF(BB154=0,0,BB166/BB154*100)</f>
        <v>0</v>
      </c>
      <c r="BC160" s="200"/>
      <c r="BD160" s="1459"/>
      <c r="BE160" s="1459"/>
      <c r="BF160" s="1034" t="s">
        <v>1697</v>
      </c>
    </row>
    <row s="1834" customFormat="1" customHeight="1" ht="0">
      <c r="A161" s="1459"/>
      <c r="B161" s="1416"/>
      <c r="C161" s="1459"/>
      <c r="D161" s="1459"/>
      <c r="E161" s="628">
        <v>15</v>
      </c>
      <c r="F161" s="50" cm="1" t="str">
        <f t="array" ref="F161:F161">OFFSET(E161,-1,1)</f>
        <v>2</v>
      </c>
      <c r="G161" s="104" t="s">
        <v>1439</v>
      </c>
      <c r="H161" s="1459"/>
      <c r="I161" s="1459"/>
      <c r="J161" s="1459"/>
      <c r="K161" s="1459"/>
      <c r="L161" s="1459"/>
      <c r="M161" s="1459"/>
      <c r="N161" s="1459"/>
      <c r="O161" s="1459"/>
      <c r="P161" s="1459"/>
      <c r="Q161" s="1459"/>
      <c r="R161" s="1459"/>
      <c r="S161" s="1459"/>
      <c r="T161" s="465" cm="1" t="str">
        <f t="array" ref="T161:T161">T160</f>
        <v>true</v>
      </c>
      <c r="U161" s="1459"/>
      <c r="V161" s="1459"/>
      <c r="W161" s="1459"/>
      <c r="X161" s="1596"/>
      <c r="Y161" s="1459"/>
      <c r="Z161" s="1597"/>
      <c r="AA161" s="1459"/>
      <c r="AB161" s="88" t="s">
        <v>1698</v>
      </c>
      <c r="AC161" s="214" t="s">
        <v>1642</v>
      </c>
      <c r="AD161" s="88" t="s">
        <v>1170</v>
      </c>
      <c r="AE161" s="215">
        <f>IF(AE155=0,0,AE167/AE155*100)</f>
        <v>0</v>
      </c>
      <c r="AF161" s="215">
        <f>IF(AF155=0,0,AF167/AF155*100)</f>
        <v>0</v>
      </c>
      <c r="AG161" s="215">
        <f>IF(AG155=0,0,AG167/AG155*100)</f>
        <v>0</v>
      </c>
      <c r="AH161" s="215">
        <f>IF(AH155=0,0,AH167/AH155*100)</f>
        <v>0</v>
      </c>
      <c r="AI161" s="215">
        <f>IF(AI155=0,0,AI167/AI155*100)</f>
        <v>0</v>
      </c>
      <c r="AJ161" s="215">
        <f>IF(AJ155=0,0,AJ167/AJ155*100)</f>
        <v>0</v>
      </c>
      <c r="AK161" s="215">
        <f>IF(AK155=0,0,AK167/AK155*100)</f>
        <v>0</v>
      </c>
      <c r="AL161" s="215">
        <f>IF(AL155=0,0,AL167/AL155*100)</f>
        <v>0</v>
      </c>
      <c r="AM161" s="215">
        <f>IF(AM155=0,0,AM167/AM155*100)</f>
        <v>0</v>
      </c>
      <c r="AN161" s="3536">
        <f>IF(AN155=0,0,AN167/AN155*100)</f>
        <v>0</v>
      </c>
      <c r="AO161" s="3536">
        <f>IF(AO155=0,0,AO167/AO155*100)</f>
        <v>0</v>
      </c>
      <c r="AP161" s="3536">
        <f>IF(AP155=0,0,AP167/AP155*100)</f>
        <v>0</v>
      </c>
      <c r="AQ161" s="3536">
        <f>IF(AQ155=0,0,AQ167/AQ155*100)</f>
        <v>0</v>
      </c>
      <c r="AR161" s="3536">
        <f>IF(AR155=0,0,AR167/AR155*100)</f>
        <v>0</v>
      </c>
      <c r="AS161" s="215">
        <f>IF(AS155=0,0,AS167/AS155*100)</f>
        <v>0</v>
      </c>
      <c r="AT161" s="215">
        <f>IF(AT155=0,0,AT167/AT155*100)</f>
        <v>0</v>
      </c>
      <c r="AU161" s="215">
        <f>IF(AU155=0,0,AU167/AU155*100)</f>
        <v>0</v>
      </c>
      <c r="AV161" s="215">
        <f>IF(AV155=0,0,AV167/AV155*100)</f>
        <v>0</v>
      </c>
      <c r="AW161" s="215">
        <f>IF(AW155=0,0,AW167/AW155*100)</f>
        <v>0</v>
      </c>
      <c r="AX161" s="3536">
        <f>IF(AX155=0,0,AX167/AX155*100)</f>
        <v>0</v>
      </c>
      <c r="AY161" s="3536">
        <f>IF(AY155=0,0,AY167/AY155*100)</f>
        <v>0</v>
      </c>
      <c r="AZ161" s="3536">
        <f>IF(AZ155=0,0,AZ167/AZ155*100)</f>
        <v>0</v>
      </c>
      <c r="BA161" s="3536">
        <f>IF(BA155=0,0,BA167/BA155*100)</f>
        <v>0</v>
      </c>
      <c r="BB161" s="3536">
        <f>IF(BB155=0,0,BB167/BB155*100)</f>
        <v>0</v>
      </c>
      <c r="BC161" s="200"/>
      <c r="BD161" s="1459"/>
      <c r="BE161" s="1459"/>
      <c r="BF161" s="1034" t="s">
        <v>1699</v>
      </c>
    </row>
    <row s="525" customFormat="1" customHeight="1" ht="14.25">
      <c r="A162" s="525"/>
      <c r="B162" s="431"/>
      <c r="C162" s="525"/>
      <c r="D162" s="525"/>
      <c r="E162" s="628">
        <v>15</v>
      </c>
      <c r="F162" s="50" cm="1" t="str">
        <f t="array" ref="F162:F162">OFFSET(E162,-1,1)</f>
        <v>2</v>
      </c>
      <c r="G162" s="104" t="s">
        <v>1228</v>
      </c>
      <c r="H162" s="525"/>
      <c r="I162" s="525"/>
      <c r="J162" s="525"/>
      <c r="K162" s="124" t="str">
        <f>F162&amp;"komm"</f>
        <v>2komm</v>
      </c>
      <c r="L162" s="919" cm="1" t="str">
        <f t="array" ref="L162:L162">BC162</f>
        <v>0</v>
      </c>
      <c r="M162" s="525"/>
      <c r="N162" s="525"/>
      <c r="O162" s="525"/>
      <c r="P162" s="525"/>
      <c r="Q162" s="525"/>
      <c r="R162" s="525"/>
      <c r="S162" s="525"/>
      <c r="T162" s="465" cm="1" t="str">
        <f t="array" ref="T162:T162">T161</f>
        <v>true</v>
      </c>
      <c r="U162" s="525"/>
      <c r="V162" s="525"/>
      <c r="W162" s="525"/>
      <c r="X162" s="1596"/>
      <c r="Y162" s="525"/>
      <c r="Z162" s="1597"/>
      <c r="AA162" s="525"/>
      <c r="AB162" s="211">
        <v>7</v>
      </c>
      <c r="AC162" s="212" t="s">
        <v>1700</v>
      </c>
      <c r="AD162" s="89" t="s">
        <v>1514</v>
      </c>
      <c r="AE162" s="1198">
        <f>SUM(AE163:AE167)</f>
        <v>0</v>
      </c>
      <c r="AF162" s="1198">
        <f>SUM(AF163:AF167)</f>
        <v>0</v>
      </c>
      <c r="AG162" s="1198">
        <f>SUM(AG163:AG167)</f>
        <v>0</v>
      </c>
      <c r="AH162" s="1198">
        <f>SUM(AH163:AH167)</f>
        <v>0</v>
      </c>
      <c r="AI162" s="1198">
        <f>SUM(AI163:AI167)</f>
        <v>0</v>
      </c>
      <c r="AJ162" s="1198">
        <f>SUM(AJ163:AJ167)</f>
        <v>0</v>
      </c>
      <c r="AK162" s="1198">
        <f>SUM(AK163:AK167)</f>
        <v>1332.66</v>
      </c>
      <c r="AL162" s="1198">
        <f>SUM(AL163:AL167)</f>
        <v>4705.35</v>
      </c>
      <c r="AM162" s="1198">
        <f>SUM(AM163:AM167)</f>
        <v>19775.36</v>
      </c>
      <c r="AN162" s="3534">
        <f>SUM(AN163:AN167)</f>
        <v>0</v>
      </c>
      <c r="AO162" s="3534">
        <f>SUM(AO163:AO167)</f>
        <v>0</v>
      </c>
      <c r="AP162" s="3534">
        <f>SUM(AP163:AP167)</f>
        <v>0</v>
      </c>
      <c r="AQ162" s="3534">
        <f>SUM(AQ163:AQ167)</f>
        <v>0</v>
      </c>
      <c r="AR162" s="3534">
        <f>SUM(AR163:AR167)</f>
        <v>0</v>
      </c>
      <c r="AS162" s="1198">
        <f>SUM(AS163:AS167)</f>
        <v>0</v>
      </c>
      <c r="AT162" s="1198">
        <f>SUM(AT163:AT167)</f>
        <v>0</v>
      </c>
      <c r="AU162" s="1198">
        <f>SUM(AU163:AU167)</f>
        <v>1332.66</v>
      </c>
      <c r="AV162" s="1198">
        <f>SUM(AV163:AV167)</f>
        <v>4705.35</v>
      </c>
      <c r="AW162" s="1198">
        <f>SUM(AW163:AW167)</f>
        <v>19775.36</v>
      </c>
      <c r="AX162" s="3534">
        <f>SUM(AX163:AX167)</f>
        <v>0</v>
      </c>
      <c r="AY162" s="3534">
        <f>SUM(AY163:AY167)</f>
        <v>0</v>
      </c>
      <c r="AZ162" s="3534">
        <f>SUM(AZ163:AZ167)</f>
        <v>0</v>
      </c>
      <c r="BA162" s="3534">
        <f>SUM(BA163:BA167)</f>
        <v>0</v>
      </c>
      <c r="BB162" s="3534">
        <f>SUM(BB163:BB167)</f>
        <v>0</v>
      </c>
      <c r="BC162" s="200"/>
      <c r="BD162" s="525"/>
      <c r="BE162" s="525"/>
      <c r="BF162" s="1034" t="s">
        <v>1701</v>
      </c>
    </row>
    <row s="1834" customFormat="1" customHeight="1" ht="0">
      <c r="A163" s="1459"/>
      <c r="B163" s="1416"/>
      <c r="C163" s="1459"/>
      <c r="D163" s="1459"/>
      <c r="E163" s="628">
        <v>15</v>
      </c>
      <c r="F163" s="50" cm="1" t="str">
        <f t="array" ref="F163:F163">OFFSET(E163,-1,1)</f>
        <v>2</v>
      </c>
      <c r="G163" s="104" t="s">
        <v>1390</v>
      </c>
      <c r="H163" s="1459"/>
      <c r="I163" s="1459"/>
      <c r="J163" s="1459"/>
      <c r="K163" s="1459"/>
      <c r="L163" s="1459"/>
      <c r="M163" s="1459"/>
      <c r="N163" s="1459"/>
      <c r="O163" s="1459"/>
      <c r="P163" s="1459"/>
      <c r="Q163" s="1459"/>
      <c r="R163" s="1459"/>
      <c r="S163" s="1459"/>
      <c r="T163" s="465" cm="1" t="str">
        <f t="array" ref="T163:T163">T162</f>
        <v>true</v>
      </c>
      <c r="U163" s="1459"/>
      <c r="V163" s="1459"/>
      <c r="W163" s="1459"/>
      <c r="X163" s="1596"/>
      <c r="Y163" s="1459"/>
      <c r="Z163" s="1597"/>
      <c r="AA163" s="1459"/>
      <c r="AB163" s="88" t="s">
        <v>1294</v>
      </c>
      <c r="AC163" s="214" t="s">
        <v>1629</v>
      </c>
      <c r="AD163" s="89" t="s">
        <v>1514</v>
      </c>
      <c r="AE163" s="215"/>
      <c r="AF163" s="215"/>
      <c r="AG163" s="215"/>
      <c r="AH163" s="215"/>
      <c r="AI163" s="215"/>
      <c r="AJ163" s="215"/>
      <c r="AK163" s="215"/>
      <c r="AL163" s="215"/>
      <c r="AM163" s="215"/>
      <c r="AN163" s="3536"/>
      <c r="AO163" s="3536"/>
      <c r="AP163" s="3536"/>
      <c r="AQ163" s="3536"/>
      <c r="AR163" s="3536"/>
      <c r="AS163" s="215"/>
      <c r="AT163" s="215"/>
      <c r="AU163" s="215"/>
      <c r="AV163" s="215"/>
      <c r="AW163" s="215"/>
      <c r="AX163" s="3536"/>
      <c r="AY163" s="3536"/>
      <c r="AZ163" s="3536"/>
      <c r="BA163" s="3536"/>
      <c r="BB163" s="3536"/>
      <c r="BC163" s="200"/>
      <c r="BD163" s="1459"/>
      <c r="BE163" s="1459"/>
      <c r="BF163" s="1034" t="s">
        <v>1702</v>
      </c>
    </row>
    <row s="1834" customFormat="1" customHeight="1" ht="0">
      <c r="A164" s="1459"/>
      <c r="B164" s="1416"/>
      <c r="C164" s="1459"/>
      <c r="D164" s="1459"/>
      <c r="E164" s="628">
        <v>15</v>
      </c>
      <c r="F164" s="50" cm="1" t="str">
        <f t="array" ref="F164:F164">OFFSET(E164,-1,1)</f>
        <v>2</v>
      </c>
      <c r="G164" s="104" t="s">
        <v>1393</v>
      </c>
      <c r="H164" s="1459"/>
      <c r="I164" s="1459"/>
      <c r="J164" s="1459"/>
      <c r="K164" s="1459"/>
      <c r="L164" s="1459"/>
      <c r="M164" s="1459"/>
      <c r="N164" s="1459"/>
      <c r="O164" s="1459"/>
      <c r="P164" s="1459"/>
      <c r="Q164" s="1459"/>
      <c r="R164" s="1459"/>
      <c r="S164" s="1459"/>
      <c r="T164" s="465" cm="1" t="str">
        <f t="array" ref="T164:T164">T163</f>
        <v>true</v>
      </c>
      <c r="U164" s="1459"/>
      <c r="V164" s="1459"/>
      <c r="W164" s="1459"/>
      <c r="X164" s="1596"/>
      <c r="Y164" s="1459"/>
      <c r="Z164" s="1597"/>
      <c r="AA164" s="1459"/>
      <c r="AB164" s="88" t="s">
        <v>1703</v>
      </c>
      <c r="AC164" s="214" t="s">
        <v>1632</v>
      </c>
      <c r="AD164" s="89" t="s">
        <v>1514</v>
      </c>
      <c r="AE164" s="215"/>
      <c r="AF164" s="215"/>
      <c r="AG164" s="215"/>
      <c r="AH164" s="215"/>
      <c r="AI164" s="215"/>
      <c r="AJ164" s="215"/>
      <c r="AK164" s="215"/>
      <c r="AL164" s="215"/>
      <c r="AM164" s="215"/>
      <c r="AN164" s="3536"/>
      <c r="AO164" s="3536"/>
      <c r="AP164" s="3536"/>
      <c r="AQ164" s="3536"/>
      <c r="AR164" s="3536"/>
      <c r="AS164" s="215"/>
      <c r="AT164" s="215"/>
      <c r="AU164" s="215"/>
      <c r="AV164" s="215"/>
      <c r="AW164" s="215"/>
      <c r="AX164" s="3536"/>
      <c r="AY164" s="3536"/>
      <c r="AZ164" s="3536"/>
      <c r="BA164" s="3536"/>
      <c r="BB164" s="3536"/>
      <c r="BC164" s="200"/>
      <c r="BD164" s="1459"/>
      <c r="BE164" s="1459"/>
      <c r="BF164" s="1034" t="s">
        <v>1704</v>
      </c>
    </row>
    <row s="1834" customFormat="1" customHeight="1" ht="0">
      <c r="A165" s="1459"/>
      <c r="B165" s="1416"/>
      <c r="C165" s="1459"/>
      <c r="D165" s="1459"/>
      <c r="E165" s="628">
        <v>15</v>
      </c>
      <c r="F165" s="50" cm="1" t="str">
        <f t="array" ref="F165:F165">OFFSET(E165,-1,1)</f>
        <v>2</v>
      </c>
      <c r="G165" s="104" t="s">
        <v>1705</v>
      </c>
      <c r="H165" s="1459"/>
      <c r="I165" s="1459"/>
      <c r="J165" s="1459"/>
      <c r="K165" s="1459"/>
      <c r="L165" s="1459"/>
      <c r="M165" s="1459"/>
      <c r="N165" s="1459"/>
      <c r="O165" s="1459"/>
      <c r="P165" s="1459"/>
      <c r="Q165" s="1459"/>
      <c r="R165" s="1459"/>
      <c r="S165" s="1459"/>
      <c r="T165" s="465" cm="1" t="str">
        <f t="array" ref="T165:T165">T164</f>
        <v>true</v>
      </c>
      <c r="U165" s="1459"/>
      <c r="V165" s="1459"/>
      <c r="W165" s="1459"/>
      <c r="X165" s="1596"/>
      <c r="Y165" s="1459"/>
      <c r="Z165" s="1597"/>
      <c r="AA165" s="1459"/>
      <c r="AB165" s="88" t="s">
        <v>1706</v>
      </c>
      <c r="AC165" s="214" t="s">
        <v>1635</v>
      </c>
      <c r="AD165" s="89" t="s">
        <v>1514</v>
      </c>
      <c r="AE165" s="215"/>
      <c r="AF165" s="215"/>
      <c r="AG165" s="215"/>
      <c r="AH165" s="215"/>
      <c r="AI165" s="215"/>
      <c r="AJ165" s="215"/>
      <c r="AK165" s="215"/>
      <c r="AL165" s="215"/>
      <c r="AM165" s="215"/>
      <c r="AN165" s="3536"/>
      <c r="AO165" s="3536"/>
      <c r="AP165" s="3536"/>
      <c r="AQ165" s="3536"/>
      <c r="AR165" s="3536"/>
      <c r="AS165" s="215"/>
      <c r="AT165" s="215"/>
      <c r="AU165" s="215"/>
      <c r="AV165" s="215"/>
      <c r="AW165" s="215"/>
      <c r="AX165" s="3536"/>
      <c r="AY165" s="3536"/>
      <c r="AZ165" s="3536"/>
      <c r="BA165" s="3536"/>
      <c r="BB165" s="3536"/>
      <c r="BC165" s="200"/>
      <c r="BD165" s="1459"/>
      <c r="BE165" s="1459"/>
      <c r="BF165" s="1034" t="s">
        <v>1707</v>
      </c>
    </row>
    <row s="1834" customFormat="1" customHeight="1" ht="0">
      <c r="A166" s="1459"/>
      <c r="B166" s="1416"/>
      <c r="C166" s="1459"/>
      <c r="D166" s="1459"/>
      <c r="E166" s="628">
        <v>15</v>
      </c>
      <c r="F166" s="50" cm="1" t="str">
        <f t="array" ref="F166:F166">OFFSET(E166,-1,1)</f>
        <v>2</v>
      </c>
      <c r="G166" s="104" t="s">
        <v>1708</v>
      </c>
      <c r="H166" s="1459"/>
      <c r="I166" s="1459"/>
      <c r="J166" s="1459"/>
      <c r="K166" s="1459"/>
      <c r="L166" s="1459"/>
      <c r="M166" s="1459"/>
      <c r="N166" s="1459"/>
      <c r="O166" s="1459"/>
      <c r="P166" s="1459"/>
      <c r="Q166" s="1459"/>
      <c r="R166" s="1459"/>
      <c r="S166" s="1459"/>
      <c r="T166" s="465" cm="1" t="str">
        <f t="array" ref="T166:T166">T165</f>
        <v>true</v>
      </c>
      <c r="U166" s="1459"/>
      <c r="V166" s="1459"/>
      <c r="W166" s="1459"/>
      <c r="X166" s="1596"/>
      <c r="Y166" s="1459"/>
      <c r="Z166" s="1597"/>
      <c r="AA166" s="1459"/>
      <c r="AB166" s="88" t="s">
        <v>1709</v>
      </c>
      <c r="AC166" s="214" t="s">
        <v>1638</v>
      </c>
      <c r="AD166" s="89" t="s">
        <v>1514</v>
      </c>
      <c r="AE166" s="215"/>
      <c r="AF166" s="215"/>
      <c r="AG166" s="215"/>
      <c r="AH166" s="215"/>
      <c r="AI166" s="215"/>
      <c r="AJ166" s="215"/>
      <c r="AK166" s="215"/>
      <c r="AL166" s="215"/>
      <c r="AM166" s="215"/>
      <c r="AN166" s="3536"/>
      <c r="AO166" s="3536"/>
      <c r="AP166" s="3536"/>
      <c r="AQ166" s="3536"/>
      <c r="AR166" s="3536"/>
      <c r="AS166" s="215"/>
      <c r="AT166" s="215"/>
      <c r="AU166" s="215"/>
      <c r="AV166" s="215"/>
      <c r="AW166" s="215"/>
      <c r="AX166" s="3536"/>
      <c r="AY166" s="3536"/>
      <c r="AZ166" s="3536"/>
      <c r="BA166" s="3536"/>
      <c r="BB166" s="3536"/>
      <c r="BC166" s="200"/>
      <c r="BD166" s="1459"/>
      <c r="BE166" s="1459"/>
      <c r="BF166" s="1034" t="s">
        <v>1710</v>
      </c>
    </row>
    <row s="1834" customFormat="1" customHeight="1" ht="75.75">
      <c r="A167" s="1459"/>
      <c r="B167" s="1416"/>
      <c r="C167" s="1459"/>
      <c r="D167" s="1459"/>
      <c r="E167" s="628">
        <v>15</v>
      </c>
      <c r="F167" s="50" cm="1" t="str">
        <f t="array" ref="F167:F167">OFFSET(E167,-1,1)</f>
        <v>2</v>
      </c>
      <c r="G167" s="104" t="s">
        <v>1711</v>
      </c>
      <c r="H167" s="1459"/>
      <c r="I167" s="1459"/>
      <c r="J167" s="1459"/>
      <c r="K167" s="1459"/>
      <c r="L167" s="1459"/>
      <c r="M167" s="1459"/>
      <c r="N167" s="1459"/>
      <c r="O167" s="1459"/>
      <c r="P167" s="1459"/>
      <c r="Q167" s="1459"/>
      <c r="R167" s="1459"/>
      <c r="S167" s="1459"/>
      <c r="T167" s="465" cm="1" t="str">
        <f t="array" ref="T167:T167">T166</f>
        <v>true</v>
      </c>
      <c r="U167" s="1459"/>
      <c r="V167" s="1459"/>
      <c r="W167" s="1459"/>
      <c r="X167" s="1596"/>
      <c r="Y167" s="1459"/>
      <c r="Z167" s="1597"/>
      <c r="AA167" s="1459"/>
      <c r="AB167" s="88" t="s">
        <v>1712</v>
      </c>
      <c r="AC167" s="214" t="s">
        <v>1642</v>
      </c>
      <c r="AD167" s="89" t="s">
        <v>1514</v>
      </c>
      <c r="AE167" s="215"/>
      <c r="AF167" s="215"/>
      <c r="AG167" s="215"/>
      <c r="AH167" s="215"/>
      <c r="AI167" s="215"/>
      <c r="AJ167" s="215"/>
      <c r="AK167" s="215">
        <v>1332.66</v>
      </c>
      <c r="AL167" s="215">
        <v>4705.35</v>
      </c>
      <c r="AM167" s="215">
        <v>19775.36</v>
      </c>
      <c r="AN167" s="3536"/>
      <c r="AO167" s="3536"/>
      <c r="AP167" s="3536"/>
      <c r="AQ167" s="3536"/>
      <c r="AR167" s="3536"/>
      <c r="AS167" s="215"/>
      <c r="AT167" s="215"/>
      <c r="AU167" s="215">
        <v>1332.66</v>
      </c>
      <c r="AV167" s="215">
        <v>4705.35</v>
      </c>
      <c r="AW167" s="215">
        <v>19775.36</v>
      </c>
      <c r="AX167" s="3536"/>
      <c r="AY167" s="3536"/>
      <c r="AZ167" s="3536"/>
      <c r="BA167" s="3536"/>
      <c r="BB167" s="3536"/>
      <c r="BC167" s="200" t="s">
        <v>1723</v>
      </c>
      <c r="BD167" s="1459"/>
      <c r="BE167" s="1459"/>
      <c r="BF167" s="1034" t="s">
        <v>1713</v>
      </c>
    </row>
    <row s="525" customFormat="1" customHeight="1" ht="14.25">
      <c r="A168" s="525"/>
      <c r="B168" s="431"/>
      <c r="C168" s="525"/>
      <c r="D168" s="525"/>
      <c r="E168" s="628">
        <v>15</v>
      </c>
      <c r="F168" s="50" cm="1" t="str">
        <f t="array" ref="F168:F168">OFFSET(E168,-1,1)</f>
        <v>2</v>
      </c>
      <c r="G168" s="104" t="s">
        <v>1275</v>
      </c>
      <c r="H168" s="525"/>
      <c r="I168" s="525"/>
      <c r="J168" s="525"/>
      <c r="K168" s="525"/>
      <c r="L168" s="525"/>
      <c r="M168" s="525"/>
      <c r="N168" s="525"/>
      <c r="O168" s="525"/>
      <c r="P168" s="525"/>
      <c r="Q168" s="525"/>
      <c r="R168" s="525"/>
      <c r="S168" s="525"/>
      <c r="T168" s="465" cm="1" t="str">
        <f t="array" ref="T168:T168">T167</f>
        <v>true</v>
      </c>
      <c r="U168" s="525"/>
      <c r="V168" s="525"/>
      <c r="W168" s="525"/>
      <c r="X168" s="1596"/>
      <c r="Y168" s="525"/>
      <c r="Z168" s="1597"/>
      <c r="AA168" s="525"/>
      <c r="AB168" s="211">
        <v>8</v>
      </c>
      <c r="AC168" s="212" t="s">
        <v>1714</v>
      </c>
      <c r="AD168" s="89" t="s">
        <v>1514</v>
      </c>
      <c r="AE168" s="1198">
        <f>SUM(AE169:AE173)</f>
        <v>0</v>
      </c>
      <c r="AF168" s="1198">
        <f>SUM(AF169:AF173)</f>
        <v>0</v>
      </c>
      <c r="AG168" s="1198">
        <f>SUM(AG169:AG173)</f>
        <v>0</v>
      </c>
      <c r="AH168" s="1198">
        <f>SUM(AH169:AH173)</f>
        <v>0</v>
      </c>
      <c r="AI168" s="1198">
        <f>SUM(AI169:AI173)</f>
        <v>0</v>
      </c>
      <c r="AJ168" s="1198">
        <f>SUM(AJ169:AJ173)</f>
        <v>0</v>
      </c>
      <c r="AK168" s="1198">
        <f>SUM(AK169:AK173)</f>
        <v>0</v>
      </c>
      <c r="AL168" s="1198">
        <f>SUM(AL169:AL173)</f>
        <v>0</v>
      </c>
      <c r="AM168" s="1198">
        <f>SUM(AM169:AM173)</f>
        <v>0</v>
      </c>
      <c r="AN168" s="3534">
        <f>SUM(AN169:AN173)</f>
        <v>0</v>
      </c>
      <c r="AO168" s="3534">
        <f>SUM(AO169:AO173)</f>
        <v>0</v>
      </c>
      <c r="AP168" s="3534">
        <f>SUM(AP169:AP173)</f>
        <v>0</v>
      </c>
      <c r="AQ168" s="3534">
        <f>SUM(AQ169:AQ173)</f>
        <v>0</v>
      </c>
      <c r="AR168" s="3534">
        <f>SUM(AR169:AR173)</f>
        <v>0</v>
      </c>
      <c r="AS168" s="1198">
        <f>SUM(AS169:AS173)</f>
        <v>0</v>
      </c>
      <c r="AT168" s="1198">
        <f>SUM(AT169:AT173)</f>
        <v>0</v>
      </c>
      <c r="AU168" s="1198">
        <f>SUM(AU169:AU173)</f>
        <v>0</v>
      </c>
      <c r="AV168" s="1198">
        <f>SUM(AV169:AV173)</f>
        <v>0</v>
      </c>
      <c r="AW168" s="1198">
        <f>SUM(AW169:AW173)</f>
        <v>0</v>
      </c>
      <c r="AX168" s="3534">
        <f>SUM(AX169:AX173)</f>
        <v>0</v>
      </c>
      <c r="AY168" s="3534">
        <f>SUM(AY169:AY173)</f>
        <v>0</v>
      </c>
      <c r="AZ168" s="3534">
        <f>SUM(AZ169:AZ173)</f>
        <v>0</v>
      </c>
      <c r="BA168" s="3534">
        <f>SUM(BA169:BA173)</f>
        <v>0</v>
      </c>
      <c r="BB168" s="3534">
        <f>SUM(BB169:BB173)</f>
        <v>0</v>
      </c>
      <c r="BC168" s="200"/>
      <c r="BD168" s="525"/>
      <c r="BE168" s="525"/>
      <c r="BF168" s="1034" t="s">
        <v>1715</v>
      </c>
    </row>
    <row s="1834" customFormat="1" customHeight="1" ht="0">
      <c r="A169" s="1459"/>
      <c r="B169" s="1416"/>
      <c r="C169" s="1459"/>
      <c r="D169" s="1459"/>
      <c r="E169" s="628">
        <v>15</v>
      </c>
      <c r="F169" s="50" cm="1" t="str">
        <f t="array" ref="F169:F169">OFFSET(E169,-1,1)</f>
        <v>2</v>
      </c>
      <c r="G169" s="104" t="s">
        <v>1278</v>
      </c>
      <c r="H169" s="1459"/>
      <c r="I169" s="1459"/>
      <c r="J169" s="1459"/>
      <c r="K169" s="1459"/>
      <c r="L169" s="1459"/>
      <c r="M169" s="1459"/>
      <c r="N169" s="1459"/>
      <c r="O169" s="1459"/>
      <c r="P169" s="1459"/>
      <c r="Q169" s="1459"/>
      <c r="R169" s="1459"/>
      <c r="S169" s="1459"/>
      <c r="T169" s="465" cm="1" t="str">
        <f t="array" ref="T169:T169">T168</f>
        <v>true</v>
      </c>
      <c r="U169" s="1459"/>
      <c r="V169" s="1459"/>
      <c r="W169" s="1459"/>
      <c r="X169" s="1596"/>
      <c r="Y169" s="1459"/>
      <c r="Z169" s="1597"/>
      <c r="AA169" s="1459"/>
      <c r="AB169" s="88" t="s">
        <v>1301</v>
      </c>
      <c r="AC169" s="214" t="s">
        <v>1629</v>
      </c>
      <c r="AD169" s="89" t="s">
        <v>1514</v>
      </c>
      <c r="AE169" s="215"/>
      <c r="AF169" s="215"/>
      <c r="AG169" s="215"/>
      <c r="AH169" s="215"/>
      <c r="AI169" s="215"/>
      <c r="AJ169" s="215"/>
      <c r="AK169" s="215"/>
      <c r="AL169" s="215"/>
      <c r="AM169" s="215"/>
      <c r="AN169" s="3536"/>
      <c r="AO169" s="3536"/>
      <c r="AP169" s="3536"/>
      <c r="AQ169" s="3536"/>
      <c r="AR169" s="3536"/>
      <c r="AS169" s="215"/>
      <c r="AT169" s="215"/>
      <c r="AU169" s="215"/>
      <c r="AV169" s="215"/>
      <c r="AW169" s="215"/>
      <c r="AX169" s="3536"/>
      <c r="AY169" s="3536"/>
      <c r="AZ169" s="3536"/>
      <c r="BA169" s="3536"/>
      <c r="BB169" s="3536"/>
      <c r="BC169" s="200"/>
      <c r="BD169" s="1459"/>
      <c r="BE169" s="1459"/>
      <c r="BF169" s="1034" t="s">
        <v>1716</v>
      </c>
    </row>
    <row s="1834" customFormat="1" customHeight="1" ht="0">
      <c r="A170" s="1459"/>
      <c r="B170" s="1416"/>
      <c r="C170" s="1459"/>
      <c r="D170" s="1459"/>
      <c r="E170" s="628">
        <v>15</v>
      </c>
      <c r="F170" s="50" cm="1" t="str">
        <f t="array" ref="F170:F170">OFFSET(E170,-1,1)</f>
        <v>2</v>
      </c>
      <c r="G170" s="104" t="s">
        <v>1282</v>
      </c>
      <c r="H170" s="1459"/>
      <c r="I170" s="1459"/>
      <c r="J170" s="1459"/>
      <c r="K170" s="1459"/>
      <c r="L170" s="1459"/>
      <c r="M170" s="1459"/>
      <c r="N170" s="1459"/>
      <c r="O170" s="1459"/>
      <c r="P170" s="1459"/>
      <c r="Q170" s="1459"/>
      <c r="R170" s="1459"/>
      <c r="S170" s="1459"/>
      <c r="T170" s="465" cm="1" t="str">
        <f t="array" ref="T170:T170">T169</f>
        <v>true</v>
      </c>
      <c r="U170" s="1459"/>
      <c r="V170" s="1459"/>
      <c r="W170" s="1459"/>
      <c r="X170" s="1596"/>
      <c r="Y170" s="1459"/>
      <c r="Z170" s="1597"/>
      <c r="AA170" s="1459"/>
      <c r="AB170" s="88" t="s">
        <v>1318</v>
      </c>
      <c r="AC170" s="214" t="s">
        <v>1632</v>
      </c>
      <c r="AD170" s="89" t="s">
        <v>1514</v>
      </c>
      <c r="AE170" s="215"/>
      <c r="AF170" s="215"/>
      <c r="AG170" s="215"/>
      <c r="AH170" s="215"/>
      <c r="AI170" s="215"/>
      <c r="AJ170" s="215"/>
      <c r="AK170" s="215"/>
      <c r="AL170" s="215"/>
      <c r="AM170" s="215"/>
      <c r="AN170" s="3536"/>
      <c r="AO170" s="3536"/>
      <c r="AP170" s="3536"/>
      <c r="AQ170" s="3536"/>
      <c r="AR170" s="3536"/>
      <c r="AS170" s="215"/>
      <c r="AT170" s="215"/>
      <c r="AU170" s="215"/>
      <c r="AV170" s="215"/>
      <c r="AW170" s="215"/>
      <c r="AX170" s="3536"/>
      <c r="AY170" s="3536"/>
      <c r="AZ170" s="3536"/>
      <c r="BA170" s="3536"/>
      <c r="BB170" s="3536"/>
      <c r="BC170" s="200"/>
      <c r="BD170" s="1459"/>
      <c r="BE170" s="1459"/>
      <c r="BF170" s="1034" t="s">
        <v>1717</v>
      </c>
    </row>
    <row s="1834" customFormat="1" customHeight="1" ht="0">
      <c r="A171" s="1459"/>
      <c r="B171" s="1416"/>
      <c r="C171" s="1459"/>
      <c r="D171" s="1459"/>
      <c r="E171" s="628">
        <v>15</v>
      </c>
      <c r="F171" s="50" cm="1" t="str">
        <f t="array" ref="F171:F171">OFFSET(E171,-1,1)</f>
        <v>2</v>
      </c>
      <c r="G171" s="104" t="s">
        <v>1286</v>
      </c>
      <c r="H171" s="1459"/>
      <c r="I171" s="1459"/>
      <c r="J171" s="1459"/>
      <c r="K171" s="1459"/>
      <c r="L171" s="1459"/>
      <c r="M171" s="1459"/>
      <c r="N171" s="1459"/>
      <c r="O171" s="1459"/>
      <c r="P171" s="1459"/>
      <c r="Q171" s="1459"/>
      <c r="R171" s="1459"/>
      <c r="S171" s="1459"/>
      <c r="T171" s="465" cm="1" t="str">
        <f t="array" ref="T171:T171">T170</f>
        <v>true</v>
      </c>
      <c r="U171" s="1459"/>
      <c r="V171" s="1459"/>
      <c r="W171" s="1459"/>
      <c r="X171" s="1596"/>
      <c r="Y171" s="1459"/>
      <c r="Z171" s="1597"/>
      <c r="AA171" s="1459"/>
      <c r="AB171" s="88" t="s">
        <v>1330</v>
      </c>
      <c r="AC171" s="214" t="s">
        <v>1635</v>
      </c>
      <c r="AD171" s="89" t="s">
        <v>1514</v>
      </c>
      <c r="AE171" s="215"/>
      <c r="AF171" s="215"/>
      <c r="AG171" s="215"/>
      <c r="AH171" s="215"/>
      <c r="AI171" s="215"/>
      <c r="AJ171" s="215"/>
      <c r="AK171" s="215"/>
      <c r="AL171" s="215"/>
      <c r="AM171" s="215"/>
      <c r="AN171" s="3536"/>
      <c r="AO171" s="3536"/>
      <c r="AP171" s="3536"/>
      <c r="AQ171" s="3536"/>
      <c r="AR171" s="3536"/>
      <c r="AS171" s="215"/>
      <c r="AT171" s="215"/>
      <c r="AU171" s="215"/>
      <c r="AV171" s="215"/>
      <c r="AW171" s="215"/>
      <c r="AX171" s="3536"/>
      <c r="AY171" s="3536"/>
      <c r="AZ171" s="3536"/>
      <c r="BA171" s="3536"/>
      <c r="BB171" s="3536"/>
      <c r="BC171" s="200"/>
      <c r="BD171" s="1459"/>
      <c r="BE171" s="1459"/>
      <c r="BF171" s="1034" t="s">
        <v>1718</v>
      </c>
    </row>
    <row s="1834" customFormat="1" customHeight="1" ht="0">
      <c r="A172" s="1459"/>
      <c r="B172" s="1416"/>
      <c r="C172" s="1459"/>
      <c r="D172" s="1459"/>
      <c r="E172" s="628">
        <v>15</v>
      </c>
      <c r="F172" s="50" cm="1" t="str">
        <f t="array" ref="F172:F172">OFFSET(E172,-1,1)</f>
        <v>2</v>
      </c>
      <c r="G172" s="104" t="s">
        <v>1719</v>
      </c>
      <c r="H172" s="1459"/>
      <c r="I172" s="1459"/>
      <c r="J172" s="1459"/>
      <c r="K172" s="1459"/>
      <c r="L172" s="1459"/>
      <c r="M172" s="1459"/>
      <c r="N172" s="1459"/>
      <c r="O172" s="1459"/>
      <c r="P172" s="1459"/>
      <c r="Q172" s="1459"/>
      <c r="R172" s="1459"/>
      <c r="S172" s="1459"/>
      <c r="T172" s="465" cm="1" t="str">
        <f t="array" ref="T172:T172">T171</f>
        <v>true</v>
      </c>
      <c r="U172" s="1459"/>
      <c r="V172" s="1459"/>
      <c r="W172" s="1459"/>
      <c r="X172" s="1596"/>
      <c r="Y172" s="1459"/>
      <c r="Z172" s="1597"/>
      <c r="AA172" s="1459"/>
      <c r="AB172" s="88" t="s">
        <v>1365</v>
      </c>
      <c r="AC172" s="214" t="s">
        <v>1638</v>
      </c>
      <c r="AD172" s="89" t="s">
        <v>1514</v>
      </c>
      <c r="AE172" s="215"/>
      <c r="AF172" s="215"/>
      <c r="AG172" s="215"/>
      <c r="AH172" s="215"/>
      <c r="AI172" s="215"/>
      <c r="AJ172" s="215"/>
      <c r="AK172" s="215"/>
      <c r="AL172" s="215"/>
      <c r="AM172" s="215"/>
      <c r="AN172" s="3536"/>
      <c r="AO172" s="3536"/>
      <c r="AP172" s="3536"/>
      <c r="AQ172" s="3536"/>
      <c r="AR172" s="3536"/>
      <c r="AS172" s="215"/>
      <c r="AT172" s="215"/>
      <c r="AU172" s="215"/>
      <c r="AV172" s="215"/>
      <c r="AW172" s="215"/>
      <c r="AX172" s="3536"/>
      <c r="AY172" s="3536"/>
      <c r="AZ172" s="3536"/>
      <c r="BA172" s="3536"/>
      <c r="BB172" s="3536"/>
      <c r="BC172" s="200"/>
      <c r="BD172" s="1459"/>
      <c r="BE172" s="1459"/>
      <c r="BF172" s="1034" t="s">
        <v>1720</v>
      </c>
    </row>
    <row s="1834" customFormat="1" customHeight="1" ht="0">
      <c r="A173" s="1459"/>
      <c r="B173" s="1416"/>
      <c r="C173" s="1459"/>
      <c r="D173" s="1459"/>
      <c r="E173" s="628">
        <v>15</v>
      </c>
      <c r="F173" s="50" cm="1" t="str">
        <f t="array" ref="F173:F173">OFFSET(E173,-1,1)</f>
        <v>2</v>
      </c>
      <c r="G173" s="104" t="s">
        <v>1721</v>
      </c>
      <c r="H173" s="1459"/>
      <c r="I173" s="1459"/>
      <c r="J173" s="1459"/>
      <c r="K173" s="1459"/>
      <c r="L173" s="1459"/>
      <c r="M173" s="1459"/>
      <c r="N173" s="1459"/>
      <c r="O173" s="1459"/>
      <c r="P173" s="1459"/>
      <c r="Q173" s="1459"/>
      <c r="R173" s="1459"/>
      <c r="S173" s="1459"/>
      <c r="T173" s="465" cm="1" t="str">
        <f t="array" ref="T173:T173">T172</f>
        <v>true</v>
      </c>
      <c r="U173" s="1459"/>
      <c r="V173" s="1459"/>
      <c r="W173" s="1459"/>
      <c r="X173" s="1596"/>
      <c r="Y173" s="1459"/>
      <c r="Z173" s="1597"/>
      <c r="AA173" s="1459"/>
      <c r="AB173" s="88" t="s">
        <v>1368</v>
      </c>
      <c r="AC173" s="214" t="s">
        <v>1642</v>
      </c>
      <c r="AD173" s="89" t="s">
        <v>1514</v>
      </c>
      <c r="AE173" s="215"/>
      <c r="AF173" s="215"/>
      <c r="AG173" s="215"/>
      <c r="AH173" s="215"/>
      <c r="AI173" s="215"/>
      <c r="AJ173" s="215"/>
      <c r="AK173" s="215"/>
      <c r="AL173" s="215"/>
      <c r="AM173" s="215"/>
      <c r="AN173" s="3536"/>
      <c r="AO173" s="3536"/>
      <c r="AP173" s="3536"/>
      <c r="AQ173" s="3536"/>
      <c r="AR173" s="3536"/>
      <c r="AS173" s="215"/>
      <c r="AT173" s="215"/>
      <c r="AU173" s="215"/>
      <c r="AV173" s="215"/>
      <c r="AW173" s="215"/>
      <c r="AX173" s="3536"/>
      <c r="AY173" s="3536"/>
      <c r="AZ173" s="3536"/>
      <c r="BA173" s="3536"/>
      <c r="BB173" s="3536"/>
      <c r="BC173" s="200"/>
      <c r="BD173" s="1459"/>
      <c r="BE173" s="1459"/>
      <c r="BF173" s="1034" t="s">
        <v>1722</v>
      </c>
    </row>
    <row s="1834" customFormat="1" customHeight="1" ht="14.25">
      <c r="A174" s="1459"/>
      <c r="B174" s="1416"/>
      <c r="C174" s="1459"/>
      <c r="D174" s="1459"/>
      <c r="E174" s="628">
        <v>15</v>
      </c>
      <c r="F174" s="719" cm="1" t="str">
        <f t="array" ref="F174:F174">X174</f>
        <v>3</v>
      </c>
      <c r="G174" s="1459"/>
      <c r="H174" s="1459"/>
      <c r="I174" s="1459"/>
      <c r="J174" s="1459"/>
      <c r="K174" s="1459"/>
      <c r="L174" s="1459"/>
      <c r="M174" s="1459"/>
      <c r="N174" s="1459"/>
      <c r="O174" s="1459"/>
      <c r="P174" s="1459"/>
      <c r="Q174" s="1459"/>
      <c r="R174" s="1459"/>
      <c r="S174" s="1459"/>
      <c r="T174" s="465">
        <f>X174&gt;0</f>
        <v>1</v>
      </c>
      <c r="U174" s="1459"/>
      <c r="V174" s="104" cm="1" t="str">
        <f t="array" ref="V174:V174">ЭЭ!$AB$125</f>
        <v>Тариф 3 (Водоотведение) - тариф на водоотведение (Доп. признак не требуется)</v>
      </c>
      <c r="W174" s="1459"/>
      <c r="X174" s="1596" t="s">
        <v>289</v>
      </c>
      <c r="Y174" s="1459"/>
      <c r="Z174" s="1597"/>
      <c r="AA174" s="1459"/>
      <c r="AB174" s="183" cm="1" t="str">
        <f t="array" ref="AB174:AB174">ЭЭ!$AB$125</f>
        <v>Тариф 3 (Водоотведение) - тариф на водоотведение (Доп. признак не требуется)</v>
      </c>
      <c r="AC174" s="180"/>
      <c r="AD174" s="174"/>
      <c r="AE174" s="174"/>
      <c r="AF174" s="174"/>
      <c r="AG174" s="174"/>
      <c r="AH174" s="174"/>
      <c r="AI174" s="174"/>
      <c r="AJ174" s="174"/>
      <c r="AK174" s="174"/>
      <c r="AL174" s="174"/>
      <c r="AM174" s="174"/>
      <c r="AN174" s="174"/>
      <c r="AO174" s="174"/>
      <c r="AP174" s="174"/>
      <c r="AQ174" s="174"/>
      <c r="AR174" s="174"/>
      <c r="AS174" s="174"/>
      <c r="AT174" s="174"/>
      <c r="AU174" s="174"/>
      <c r="AV174" s="174"/>
      <c r="AW174" s="174"/>
      <c r="AX174" s="174"/>
      <c r="AY174" s="174"/>
      <c r="AZ174" s="174"/>
      <c r="BA174" s="174"/>
      <c r="BB174" s="174"/>
      <c r="BC174" s="210"/>
      <c r="BD174" s="1459"/>
      <c r="BE174" s="1459"/>
      <c r="BF174" s="1424"/>
    </row>
    <row s="525" customFormat="1" customHeight="1" ht="21.75">
      <c r="A175" s="525"/>
      <c r="B175" s="431"/>
      <c r="C175" s="525"/>
      <c r="D175" s="525"/>
      <c r="E175" s="669">
        <v>22.5</v>
      </c>
      <c r="F175" s="50" cm="1" t="str">
        <f t="array" ref="F175:F175">OFFSET(E175,-1,1)</f>
        <v>3</v>
      </c>
      <c r="G175" s="104" t="s">
        <v>332</v>
      </c>
      <c r="H175" s="525"/>
      <c r="I175" s="525"/>
      <c r="J175" s="525"/>
      <c r="K175" s="525"/>
      <c r="L175" s="525"/>
      <c r="M175" s="525"/>
      <c r="N175" s="525"/>
      <c r="O175" s="525"/>
      <c r="P175" s="525"/>
      <c r="Q175" s="525"/>
      <c r="R175" s="525"/>
      <c r="S175" s="525"/>
      <c r="T175" s="465" cm="1" t="str">
        <f t="array" ref="T175:T175">T174</f>
        <v>true</v>
      </c>
      <c r="U175" s="525"/>
      <c r="V175" s="525"/>
      <c r="W175" s="525"/>
      <c r="X175" s="1596"/>
      <c r="Y175" s="525"/>
      <c r="Z175" s="1597"/>
      <c r="AA175" s="525"/>
      <c r="AB175" s="211">
        <v>1</v>
      </c>
      <c r="AC175" s="212" t="s">
        <v>1626</v>
      </c>
      <c r="AD175" s="89" t="s">
        <v>1514</v>
      </c>
      <c r="AE175" s="1198">
        <f>SUM(AE176:AE180)</f>
        <v>0</v>
      </c>
      <c r="AF175" s="1198">
        <f>SUM(AF176:AF180)</f>
        <v>0</v>
      </c>
      <c r="AG175" s="1198">
        <f>SUM(AG176:AG180)</f>
        <v>0</v>
      </c>
      <c r="AH175" s="1198">
        <f>SUM(AH176:AH180)</f>
        <v>0</v>
      </c>
      <c r="AI175" s="1198">
        <f>SUM(AI176:AI180)</f>
        <v>0</v>
      </c>
      <c r="AJ175" s="1198">
        <f>SUM(AJ176:AJ180)</f>
        <v>0</v>
      </c>
      <c r="AK175" s="1198">
        <f>SUM(AK176:AK180)</f>
        <v>0</v>
      </c>
      <c r="AL175" s="1198">
        <f>SUM(AL176:AL180)</f>
        <v>0</v>
      </c>
      <c r="AM175" s="1198">
        <f>SUM(AM176:AM180)</f>
        <v>0</v>
      </c>
      <c r="AN175" s="3534">
        <f>SUM(AN176:AN180)</f>
        <v>0</v>
      </c>
      <c r="AO175" s="3534">
        <f>SUM(AO176:AO180)</f>
        <v>0</v>
      </c>
      <c r="AP175" s="3534">
        <f>SUM(AP176:AP180)</f>
        <v>0</v>
      </c>
      <c r="AQ175" s="3534">
        <f>SUM(AQ176:AQ180)</f>
        <v>0</v>
      </c>
      <c r="AR175" s="3534">
        <f>SUM(AR176:AR180)</f>
        <v>0</v>
      </c>
      <c r="AS175" s="1198">
        <f>SUM(AS176:AS180)</f>
        <v>0</v>
      </c>
      <c r="AT175" s="1198">
        <f>SUM(AT176:AT180)</f>
        <v>0</v>
      </c>
      <c r="AU175" s="1198">
        <f>SUM(AU176:AU180)</f>
        <v>0</v>
      </c>
      <c r="AV175" s="1198">
        <f>SUM(AV176:AV180)</f>
        <v>0</v>
      </c>
      <c r="AW175" s="1198">
        <f>SUM(AW176:AW180)</f>
        <v>0</v>
      </c>
      <c r="AX175" s="3534">
        <f>SUM(AX176:AX180)</f>
        <v>0</v>
      </c>
      <c r="AY175" s="3534">
        <f>SUM(AY176:AY180)</f>
        <v>0</v>
      </c>
      <c r="AZ175" s="3534">
        <f>SUM(AZ176:AZ180)</f>
        <v>0</v>
      </c>
      <c r="BA175" s="3534">
        <f>SUM(BA176:BA180)</f>
        <v>0</v>
      </c>
      <c r="BB175" s="3534">
        <f>SUM(BB176:BB180)</f>
        <v>0</v>
      </c>
      <c r="BC175" s="200"/>
      <c r="BD175" s="525"/>
      <c r="BE175" s="525"/>
      <c r="BF175" s="1034" t="s">
        <v>1627</v>
      </c>
    </row>
    <row s="1834" customFormat="1" customHeight="1" ht="0">
      <c r="A176" s="1459"/>
      <c r="B176" s="1416"/>
      <c r="C176" s="1459"/>
      <c r="D176" s="1459"/>
      <c r="E176" s="628">
        <v>15</v>
      </c>
      <c r="F176" s="50" cm="1" t="str">
        <f t="array" ref="F176:F176">OFFSET(E176,-1,1)</f>
        <v>3</v>
      </c>
      <c r="G176" s="104" t="s">
        <v>1175</v>
      </c>
      <c r="H176" s="1459"/>
      <c r="I176" s="1459"/>
      <c r="J176" s="1459"/>
      <c r="K176" s="1459"/>
      <c r="L176" s="1459"/>
      <c r="M176" s="1459"/>
      <c r="N176" s="1459"/>
      <c r="O176" s="1459"/>
      <c r="P176" s="1459"/>
      <c r="Q176" s="1459"/>
      <c r="R176" s="1459"/>
      <c r="S176" s="1459"/>
      <c r="T176" s="465" cm="1" t="str">
        <f t="array" ref="T176:T176">T175</f>
        <v>true</v>
      </c>
      <c r="U176" s="1459"/>
      <c r="V176" s="1459"/>
      <c r="W176" s="1459"/>
      <c r="X176" s="1596"/>
      <c r="Y176" s="1459"/>
      <c r="Z176" s="1597"/>
      <c r="AA176" s="1459"/>
      <c r="AB176" s="88" t="s">
        <v>1628</v>
      </c>
      <c r="AC176" s="214" t="s">
        <v>1629</v>
      </c>
      <c r="AD176" s="89" t="s">
        <v>1514</v>
      </c>
      <c r="AE176" s="215"/>
      <c r="AF176" s="215"/>
      <c r="AG176" s="215"/>
      <c r="AH176" s="215"/>
      <c r="AI176" s="215"/>
      <c r="AJ176" s="215"/>
      <c r="AK176" s="215"/>
      <c r="AL176" s="215"/>
      <c r="AM176" s="215"/>
      <c r="AN176" s="3536"/>
      <c r="AO176" s="3536"/>
      <c r="AP176" s="3536"/>
      <c r="AQ176" s="3536"/>
      <c r="AR176" s="3536"/>
      <c r="AS176" s="215"/>
      <c r="AT176" s="215"/>
      <c r="AU176" s="215"/>
      <c r="AV176" s="215"/>
      <c r="AW176" s="215"/>
      <c r="AX176" s="3536"/>
      <c r="AY176" s="3536"/>
      <c r="AZ176" s="3536"/>
      <c r="BA176" s="3536"/>
      <c r="BB176" s="3536"/>
      <c r="BC176" s="200"/>
      <c r="BD176" s="1459"/>
      <c r="BE176" s="1459"/>
      <c r="BF176" s="1034" t="s">
        <v>1630</v>
      </c>
    </row>
    <row s="1834" customFormat="1" customHeight="1" ht="0">
      <c r="A177" s="1459"/>
      <c r="B177" s="1416"/>
      <c r="C177" s="1459"/>
      <c r="D177" s="1459"/>
      <c r="E177" s="628">
        <v>15</v>
      </c>
      <c r="F177" s="50" cm="1" t="str">
        <f t="array" ref="F177:F177">OFFSET(E177,-1,1)</f>
        <v>3</v>
      </c>
      <c r="G177" s="104" t="s">
        <v>1179</v>
      </c>
      <c r="H177" s="1459"/>
      <c r="I177" s="1459"/>
      <c r="J177" s="1459"/>
      <c r="K177" s="1459"/>
      <c r="L177" s="1459"/>
      <c r="M177" s="1459"/>
      <c r="N177" s="1459"/>
      <c r="O177" s="1459"/>
      <c r="P177" s="1459"/>
      <c r="Q177" s="1459"/>
      <c r="R177" s="1459"/>
      <c r="S177" s="1459"/>
      <c r="T177" s="465" cm="1" t="str">
        <f t="array" ref="T177:T177">T176</f>
        <v>true</v>
      </c>
      <c r="U177" s="1459"/>
      <c r="V177" s="1459"/>
      <c r="W177" s="1459"/>
      <c r="X177" s="1596"/>
      <c r="Y177" s="1459"/>
      <c r="Z177" s="1597"/>
      <c r="AA177" s="1459"/>
      <c r="AB177" s="88" t="s">
        <v>1631</v>
      </c>
      <c r="AC177" s="214" t="s">
        <v>1632</v>
      </c>
      <c r="AD177" s="89" t="s">
        <v>1514</v>
      </c>
      <c r="AE177" s="215"/>
      <c r="AF177" s="215"/>
      <c r="AG177" s="215"/>
      <c r="AH177" s="215"/>
      <c r="AI177" s="215"/>
      <c r="AJ177" s="215"/>
      <c r="AK177" s="215"/>
      <c r="AL177" s="215"/>
      <c r="AM177" s="215"/>
      <c r="AN177" s="3536"/>
      <c r="AO177" s="3536"/>
      <c r="AP177" s="3536"/>
      <c r="AQ177" s="3536"/>
      <c r="AR177" s="3536"/>
      <c r="AS177" s="215"/>
      <c r="AT177" s="215"/>
      <c r="AU177" s="215"/>
      <c r="AV177" s="215"/>
      <c r="AW177" s="215"/>
      <c r="AX177" s="3536"/>
      <c r="AY177" s="3536"/>
      <c r="AZ177" s="3536"/>
      <c r="BA177" s="3536"/>
      <c r="BB177" s="3536"/>
      <c r="BC177" s="200"/>
      <c r="BD177" s="1459"/>
      <c r="BE177" s="1459"/>
      <c r="BF177" s="1034" t="s">
        <v>1633</v>
      </c>
    </row>
    <row s="1834" customFormat="1" customHeight="1" ht="0">
      <c r="A178" s="1459"/>
      <c r="B178" s="1416"/>
      <c r="C178" s="1459"/>
      <c r="D178" s="1459"/>
      <c r="E178" s="628">
        <v>15</v>
      </c>
      <c r="F178" s="50" cm="1" t="str">
        <f t="array" ref="F178:F178">OFFSET(E178,-1,1)</f>
        <v>3</v>
      </c>
      <c r="G178" s="104" t="s">
        <v>1182</v>
      </c>
      <c r="H178" s="1459"/>
      <c r="I178" s="1459"/>
      <c r="J178" s="1459"/>
      <c r="K178" s="1459"/>
      <c r="L178" s="1459"/>
      <c r="M178" s="1459"/>
      <c r="N178" s="1459"/>
      <c r="O178" s="1459"/>
      <c r="P178" s="1459"/>
      <c r="Q178" s="1459"/>
      <c r="R178" s="1459"/>
      <c r="S178" s="1459"/>
      <c r="T178" s="465" cm="1" t="str">
        <f t="array" ref="T178:T178">T177</f>
        <v>true</v>
      </c>
      <c r="U178" s="1459"/>
      <c r="V178" s="1459"/>
      <c r="W178" s="1459"/>
      <c r="X178" s="1596"/>
      <c r="Y178" s="1459"/>
      <c r="Z178" s="1597"/>
      <c r="AA178" s="1459"/>
      <c r="AB178" s="88" t="s">
        <v>1634</v>
      </c>
      <c r="AC178" s="214" t="s">
        <v>1635</v>
      </c>
      <c r="AD178" s="89" t="s">
        <v>1514</v>
      </c>
      <c r="AE178" s="215"/>
      <c r="AF178" s="215"/>
      <c r="AG178" s="215"/>
      <c r="AH178" s="215"/>
      <c r="AI178" s="215"/>
      <c r="AJ178" s="215"/>
      <c r="AK178" s="215"/>
      <c r="AL178" s="215"/>
      <c r="AM178" s="215"/>
      <c r="AN178" s="3536"/>
      <c r="AO178" s="3536"/>
      <c r="AP178" s="3536"/>
      <c r="AQ178" s="3536"/>
      <c r="AR178" s="3536"/>
      <c r="AS178" s="215"/>
      <c r="AT178" s="215"/>
      <c r="AU178" s="215"/>
      <c r="AV178" s="215"/>
      <c r="AW178" s="215"/>
      <c r="AX178" s="3536"/>
      <c r="AY178" s="3536"/>
      <c r="AZ178" s="3536"/>
      <c r="BA178" s="3536"/>
      <c r="BB178" s="3536"/>
      <c r="BC178" s="200"/>
      <c r="BD178" s="1459"/>
      <c r="BE178" s="1459"/>
      <c r="BF178" s="1034" t="s">
        <v>1636</v>
      </c>
    </row>
    <row s="1834" customFormat="1" customHeight="1" ht="0">
      <c r="A179" s="1459"/>
      <c r="B179" s="1416"/>
      <c r="C179" s="1459"/>
      <c r="D179" s="1459"/>
      <c r="E179" s="628">
        <v>15</v>
      </c>
      <c r="F179" s="50" cm="1" t="str">
        <f t="array" ref="F179:F179">OFFSET(E179,-1,1)</f>
        <v>3</v>
      </c>
      <c r="G179" s="104" t="s">
        <v>1186</v>
      </c>
      <c r="H179" s="1459"/>
      <c r="I179" s="1459"/>
      <c r="J179" s="1459"/>
      <c r="K179" s="1459"/>
      <c r="L179" s="1459"/>
      <c r="M179" s="1459"/>
      <c r="N179" s="1459"/>
      <c r="O179" s="1459"/>
      <c r="P179" s="1459"/>
      <c r="Q179" s="1459"/>
      <c r="R179" s="1459"/>
      <c r="S179" s="1459"/>
      <c r="T179" s="465" cm="1" t="str">
        <f t="array" ref="T179:T179">T178</f>
        <v>true</v>
      </c>
      <c r="U179" s="1459"/>
      <c r="V179" s="1459"/>
      <c r="W179" s="1459"/>
      <c r="X179" s="1596"/>
      <c r="Y179" s="1459"/>
      <c r="Z179" s="1597"/>
      <c r="AA179" s="1459"/>
      <c r="AB179" s="88" t="s">
        <v>1637</v>
      </c>
      <c r="AC179" s="214" t="s">
        <v>1638</v>
      </c>
      <c r="AD179" s="89" t="s">
        <v>1514</v>
      </c>
      <c r="AE179" s="215"/>
      <c r="AF179" s="215"/>
      <c r="AG179" s="215"/>
      <c r="AH179" s="215"/>
      <c r="AI179" s="215"/>
      <c r="AJ179" s="215"/>
      <c r="AK179" s="215"/>
      <c r="AL179" s="215"/>
      <c r="AM179" s="215"/>
      <c r="AN179" s="3536"/>
      <c r="AO179" s="3536"/>
      <c r="AP179" s="3536"/>
      <c r="AQ179" s="3536"/>
      <c r="AR179" s="3536"/>
      <c r="AS179" s="215"/>
      <c r="AT179" s="215"/>
      <c r="AU179" s="215"/>
      <c r="AV179" s="215"/>
      <c r="AW179" s="215"/>
      <c r="AX179" s="3536"/>
      <c r="AY179" s="3536"/>
      <c r="AZ179" s="3536"/>
      <c r="BA179" s="3536"/>
      <c r="BB179" s="3536"/>
      <c r="BC179" s="200"/>
      <c r="BD179" s="1459"/>
      <c r="BE179" s="1459"/>
      <c r="BF179" s="1034" t="s">
        <v>1639</v>
      </c>
    </row>
    <row s="1834" customFormat="1" customHeight="1" ht="0">
      <c r="A180" s="1459"/>
      <c r="B180" s="1416"/>
      <c r="C180" s="1459"/>
      <c r="D180" s="1459"/>
      <c r="E180" s="628">
        <v>15</v>
      </c>
      <c r="F180" s="50" cm="1" t="str">
        <f t="array" ref="F180:F180">OFFSET(E180,-1,1)</f>
        <v>3</v>
      </c>
      <c r="G180" s="104" t="s">
        <v>1640</v>
      </c>
      <c r="H180" s="1459"/>
      <c r="I180" s="1459"/>
      <c r="J180" s="1459"/>
      <c r="K180" s="1459"/>
      <c r="L180" s="1459"/>
      <c r="M180" s="1459"/>
      <c r="N180" s="1459"/>
      <c r="O180" s="1459"/>
      <c r="P180" s="1459"/>
      <c r="Q180" s="1459"/>
      <c r="R180" s="1459"/>
      <c r="S180" s="1459"/>
      <c r="T180" s="465" cm="1" t="str">
        <f t="array" ref="T180:T180">T179</f>
        <v>true</v>
      </c>
      <c r="U180" s="1459"/>
      <c r="V180" s="1459"/>
      <c r="W180" s="1459"/>
      <c r="X180" s="1596"/>
      <c r="Y180" s="1459"/>
      <c r="Z180" s="1597"/>
      <c r="AA180" s="1459"/>
      <c r="AB180" s="88" t="s">
        <v>1641</v>
      </c>
      <c r="AC180" s="214" t="s">
        <v>1642</v>
      </c>
      <c r="AD180" s="89" t="s">
        <v>1514</v>
      </c>
      <c r="AE180" s="215"/>
      <c r="AF180" s="215"/>
      <c r="AG180" s="215"/>
      <c r="AH180" s="215"/>
      <c r="AI180" s="215"/>
      <c r="AJ180" s="215"/>
      <c r="AK180" s="215"/>
      <c r="AL180" s="215"/>
      <c r="AM180" s="215"/>
      <c r="AN180" s="3536"/>
      <c r="AO180" s="3536"/>
      <c r="AP180" s="3536"/>
      <c r="AQ180" s="3536"/>
      <c r="AR180" s="3536"/>
      <c r="AS180" s="215"/>
      <c r="AT180" s="215"/>
      <c r="AU180" s="215"/>
      <c r="AV180" s="215"/>
      <c r="AW180" s="215"/>
      <c r="AX180" s="3536"/>
      <c r="AY180" s="3536"/>
      <c r="AZ180" s="3536"/>
      <c r="BA180" s="3536"/>
      <c r="BB180" s="3536"/>
      <c r="BC180" s="200"/>
      <c r="BD180" s="1459"/>
      <c r="BE180" s="1459"/>
      <c r="BF180" s="1034" t="s">
        <v>1643</v>
      </c>
    </row>
    <row s="525" customFormat="1" customHeight="1" ht="14.25">
      <c r="A181" s="525"/>
      <c r="B181" s="431"/>
      <c r="C181" s="525"/>
      <c r="D181" s="525"/>
      <c r="E181" s="628">
        <v>15</v>
      </c>
      <c r="F181" s="50" cm="1" t="str">
        <f t="array" ref="F181:F181">OFFSET(E181,-1,1)</f>
        <v>3</v>
      </c>
      <c r="G181" s="104" t="s">
        <v>333</v>
      </c>
      <c r="H181" s="525"/>
      <c r="I181" s="525"/>
      <c r="J181" s="525"/>
      <c r="K181" s="525"/>
      <c r="L181" s="525"/>
      <c r="M181" s="525"/>
      <c r="N181" s="525"/>
      <c r="O181" s="525"/>
      <c r="P181" s="525"/>
      <c r="Q181" s="525"/>
      <c r="R181" s="525"/>
      <c r="S181" s="525"/>
      <c r="T181" s="465" cm="1" t="str">
        <f t="array" ref="T181:T181">T180</f>
        <v>true</v>
      </c>
      <c r="U181" s="525"/>
      <c r="V181" s="525"/>
      <c r="W181" s="525"/>
      <c r="X181" s="1596"/>
      <c r="Y181" s="525"/>
      <c r="Z181" s="1597"/>
      <c r="AA181" s="525"/>
      <c r="AB181" s="211">
        <v>2</v>
      </c>
      <c r="AC181" s="212" t="s">
        <v>1644</v>
      </c>
      <c r="AD181" s="89" t="s">
        <v>1514</v>
      </c>
      <c r="AE181" s="1198">
        <f>SUM(AE182:AE186)</f>
        <v>0</v>
      </c>
      <c r="AF181" s="1198">
        <f>SUM(AF182:AF186)</f>
        <v>0</v>
      </c>
      <c r="AG181" s="1198">
        <f>SUM(AG182:AG186)</f>
        <v>0</v>
      </c>
      <c r="AH181" s="1198">
        <f>SUM(AH182:AH186)</f>
        <v>0</v>
      </c>
      <c r="AI181" s="1198">
        <f>SUM(AI182:AI186)</f>
        <v>0</v>
      </c>
      <c r="AJ181" s="1198">
        <f>SUM(AJ182:AJ186)</f>
        <v>0</v>
      </c>
      <c r="AK181" s="1198">
        <f>SUM(AK182:AK186)</f>
        <v>0</v>
      </c>
      <c r="AL181" s="1198">
        <f>SUM(AL182:AL186)</f>
        <v>0</v>
      </c>
      <c r="AM181" s="1198">
        <f>SUM(AM182:AM186)</f>
        <v>0</v>
      </c>
      <c r="AN181" s="3534">
        <f>SUM(AN182:AN186)</f>
        <v>0</v>
      </c>
      <c r="AO181" s="3534">
        <f>SUM(AO182:AO186)</f>
        <v>0</v>
      </c>
      <c r="AP181" s="3534">
        <f>SUM(AP182:AP186)</f>
        <v>0</v>
      </c>
      <c r="AQ181" s="3534">
        <f>SUM(AQ182:AQ186)</f>
        <v>0</v>
      </c>
      <c r="AR181" s="3534">
        <f>SUM(AR182:AR186)</f>
        <v>0</v>
      </c>
      <c r="AS181" s="1198">
        <f>SUM(AS182:AS186)</f>
        <v>0</v>
      </c>
      <c r="AT181" s="1198">
        <f>SUM(AT182:AT186)</f>
        <v>0</v>
      </c>
      <c r="AU181" s="1198">
        <f>SUM(AU182:AU186)</f>
        <v>0</v>
      </c>
      <c r="AV181" s="1198">
        <f>SUM(AV182:AV186)</f>
        <v>0</v>
      </c>
      <c r="AW181" s="1198">
        <f>SUM(AW182:AW186)</f>
        <v>0</v>
      </c>
      <c r="AX181" s="3534">
        <f>SUM(AX182:AX186)</f>
        <v>0</v>
      </c>
      <c r="AY181" s="3534">
        <f>SUM(AY182:AY186)</f>
        <v>0</v>
      </c>
      <c r="AZ181" s="3534">
        <f>SUM(AZ182:AZ186)</f>
        <v>0</v>
      </c>
      <c r="BA181" s="3534">
        <f>SUM(BA182:BA186)</f>
        <v>0</v>
      </c>
      <c r="BB181" s="3534">
        <f>SUM(BB182:BB186)</f>
        <v>0</v>
      </c>
      <c r="BC181" s="200"/>
      <c r="BD181" s="525"/>
      <c r="BE181" s="525"/>
      <c r="BF181" s="1034" t="s">
        <v>1645</v>
      </c>
    </row>
    <row s="1834" customFormat="1" customHeight="1" ht="0">
      <c r="A182" s="1459"/>
      <c r="B182" s="1416"/>
      <c r="C182" s="1459"/>
      <c r="D182" s="1459"/>
      <c r="E182" s="628">
        <v>15</v>
      </c>
      <c r="F182" s="50" cm="1" t="str">
        <f t="array" ref="F182:F182">OFFSET(E182,-1,1)</f>
        <v>3</v>
      </c>
      <c r="G182" s="104" t="s">
        <v>1193</v>
      </c>
      <c r="H182" s="1459"/>
      <c r="I182" s="1459"/>
      <c r="J182" s="1459"/>
      <c r="K182" s="1459"/>
      <c r="L182" s="1459"/>
      <c r="M182" s="1459"/>
      <c r="N182" s="1459"/>
      <c r="O182" s="1459"/>
      <c r="P182" s="1459"/>
      <c r="Q182" s="1459"/>
      <c r="R182" s="1459"/>
      <c r="S182" s="1459"/>
      <c r="T182" s="465" cm="1" t="str">
        <f t="array" ref="T182:T182">T181</f>
        <v>true</v>
      </c>
      <c r="U182" s="1459"/>
      <c r="V182" s="1459"/>
      <c r="W182" s="1459"/>
      <c r="X182" s="1596"/>
      <c r="Y182" s="1459"/>
      <c r="Z182" s="1597"/>
      <c r="AA182" s="1459"/>
      <c r="AB182" s="88" t="s">
        <v>1250</v>
      </c>
      <c r="AC182" s="214" t="s">
        <v>1629</v>
      </c>
      <c r="AD182" s="89" t="s">
        <v>1514</v>
      </c>
      <c r="AE182" s="215"/>
      <c r="AF182" s="215"/>
      <c r="AG182" s="215"/>
      <c r="AH182" s="215"/>
      <c r="AI182" s="215"/>
      <c r="AJ182" s="215"/>
      <c r="AK182" s="215"/>
      <c r="AL182" s="215"/>
      <c r="AM182" s="215"/>
      <c r="AN182" s="3536"/>
      <c r="AO182" s="3536"/>
      <c r="AP182" s="3536"/>
      <c r="AQ182" s="3536"/>
      <c r="AR182" s="3536"/>
      <c r="AS182" s="215"/>
      <c r="AT182" s="215"/>
      <c r="AU182" s="215"/>
      <c r="AV182" s="215"/>
      <c r="AW182" s="215"/>
      <c r="AX182" s="3536"/>
      <c r="AY182" s="3536"/>
      <c r="AZ182" s="3536"/>
      <c r="BA182" s="3536"/>
      <c r="BB182" s="3536"/>
      <c r="BC182" s="200"/>
      <c r="BD182" s="1459"/>
      <c r="BE182" s="1459"/>
      <c r="BF182" s="1034" t="s">
        <v>1646</v>
      </c>
    </row>
    <row s="1834" customFormat="1" customHeight="1" ht="0">
      <c r="A183" s="1459"/>
      <c r="B183" s="1416"/>
      <c r="C183" s="1459"/>
      <c r="D183" s="1459"/>
      <c r="E183" s="628">
        <v>15</v>
      </c>
      <c r="F183" s="50" cm="1" t="str">
        <f t="array" ref="F183:F183">OFFSET(E183,-1,1)</f>
        <v>3</v>
      </c>
      <c r="G183" s="104" t="s">
        <v>1196</v>
      </c>
      <c r="H183" s="1459"/>
      <c r="I183" s="1459"/>
      <c r="J183" s="1459"/>
      <c r="K183" s="1459"/>
      <c r="L183" s="1459"/>
      <c r="M183" s="1459"/>
      <c r="N183" s="1459"/>
      <c r="O183" s="1459"/>
      <c r="P183" s="1459"/>
      <c r="Q183" s="1459"/>
      <c r="R183" s="1459"/>
      <c r="S183" s="1459"/>
      <c r="T183" s="465" cm="1" t="str">
        <f t="array" ref="T183:T183">T182</f>
        <v>true</v>
      </c>
      <c r="U183" s="1459"/>
      <c r="V183" s="1459"/>
      <c r="W183" s="1459"/>
      <c r="X183" s="1596"/>
      <c r="Y183" s="1459"/>
      <c r="Z183" s="1597"/>
      <c r="AA183" s="1459"/>
      <c r="AB183" s="88" t="s">
        <v>1254</v>
      </c>
      <c r="AC183" s="214" t="s">
        <v>1632</v>
      </c>
      <c r="AD183" s="89" t="s">
        <v>1514</v>
      </c>
      <c r="AE183" s="215"/>
      <c r="AF183" s="215"/>
      <c r="AG183" s="215"/>
      <c r="AH183" s="215"/>
      <c r="AI183" s="215"/>
      <c r="AJ183" s="215"/>
      <c r="AK183" s="215"/>
      <c r="AL183" s="215"/>
      <c r="AM183" s="215"/>
      <c r="AN183" s="3536"/>
      <c r="AO183" s="3536"/>
      <c r="AP183" s="3536"/>
      <c r="AQ183" s="3536"/>
      <c r="AR183" s="3536"/>
      <c r="AS183" s="215"/>
      <c r="AT183" s="215"/>
      <c r="AU183" s="215"/>
      <c r="AV183" s="215"/>
      <c r="AW183" s="215"/>
      <c r="AX183" s="3536"/>
      <c r="AY183" s="3536"/>
      <c r="AZ183" s="3536"/>
      <c r="BA183" s="3536"/>
      <c r="BB183" s="3536"/>
      <c r="BC183" s="200"/>
      <c r="BD183" s="1459"/>
      <c r="BE183" s="1459"/>
      <c r="BF183" s="1034" t="s">
        <v>1647</v>
      </c>
    </row>
    <row s="1834" customFormat="1" customHeight="1" ht="0">
      <c r="A184" s="1459"/>
      <c r="B184" s="1416"/>
      <c r="C184" s="1459"/>
      <c r="D184" s="1459"/>
      <c r="E184" s="628">
        <v>15</v>
      </c>
      <c r="F184" s="50" cm="1" t="str">
        <f t="array" ref="F184:F184">OFFSET(E184,-1,1)</f>
        <v>3</v>
      </c>
      <c r="G184" s="104" t="s">
        <v>1648</v>
      </c>
      <c r="H184" s="1459"/>
      <c r="I184" s="1459"/>
      <c r="J184" s="1459"/>
      <c r="K184" s="1459"/>
      <c r="L184" s="1459"/>
      <c r="M184" s="1459"/>
      <c r="N184" s="1459"/>
      <c r="O184" s="1459"/>
      <c r="P184" s="1459"/>
      <c r="Q184" s="1459"/>
      <c r="R184" s="1459"/>
      <c r="S184" s="1459"/>
      <c r="T184" s="465" cm="1" t="str">
        <f t="array" ref="T184:T184">T183</f>
        <v>true</v>
      </c>
      <c r="U184" s="1459"/>
      <c r="V184" s="1459"/>
      <c r="W184" s="1459"/>
      <c r="X184" s="1596"/>
      <c r="Y184" s="1459"/>
      <c r="Z184" s="1597"/>
      <c r="AA184" s="1459"/>
      <c r="AB184" s="88" t="s">
        <v>1258</v>
      </c>
      <c r="AC184" s="214" t="s">
        <v>1635</v>
      </c>
      <c r="AD184" s="89" t="s">
        <v>1514</v>
      </c>
      <c r="AE184" s="215"/>
      <c r="AF184" s="215"/>
      <c r="AG184" s="215"/>
      <c r="AH184" s="215"/>
      <c r="AI184" s="215"/>
      <c r="AJ184" s="215"/>
      <c r="AK184" s="215"/>
      <c r="AL184" s="215"/>
      <c r="AM184" s="215"/>
      <c r="AN184" s="3536"/>
      <c r="AO184" s="3536"/>
      <c r="AP184" s="3536"/>
      <c r="AQ184" s="3536"/>
      <c r="AR184" s="3536"/>
      <c r="AS184" s="215"/>
      <c r="AT184" s="215"/>
      <c r="AU184" s="215"/>
      <c r="AV184" s="215"/>
      <c r="AW184" s="215"/>
      <c r="AX184" s="3536"/>
      <c r="AY184" s="3536"/>
      <c r="AZ184" s="3536"/>
      <c r="BA184" s="3536"/>
      <c r="BB184" s="3536"/>
      <c r="BC184" s="200"/>
      <c r="BD184" s="1459"/>
      <c r="BE184" s="1459"/>
      <c r="BF184" s="1034" t="s">
        <v>1649</v>
      </c>
    </row>
    <row s="1834" customFormat="1" customHeight="1" ht="0">
      <c r="A185" s="1459"/>
      <c r="B185" s="1416"/>
      <c r="C185" s="1459"/>
      <c r="D185" s="1459"/>
      <c r="E185" s="628">
        <v>15</v>
      </c>
      <c r="F185" s="50" cm="1" t="str">
        <f t="array" ref="F185:F185">OFFSET(E185,-1,1)</f>
        <v>3</v>
      </c>
      <c r="G185" s="104" t="s">
        <v>1650</v>
      </c>
      <c r="H185" s="1459"/>
      <c r="I185" s="1459"/>
      <c r="J185" s="1459"/>
      <c r="K185" s="1459"/>
      <c r="L185" s="1459"/>
      <c r="M185" s="1459"/>
      <c r="N185" s="1459"/>
      <c r="O185" s="1459"/>
      <c r="P185" s="1459"/>
      <c r="Q185" s="1459"/>
      <c r="R185" s="1459"/>
      <c r="S185" s="1459"/>
      <c r="T185" s="465" cm="1" t="str">
        <f t="array" ref="T185:T185">T184</f>
        <v>true</v>
      </c>
      <c r="U185" s="1459"/>
      <c r="V185" s="1459"/>
      <c r="W185" s="1459"/>
      <c r="X185" s="1596"/>
      <c r="Y185" s="1459"/>
      <c r="Z185" s="1597"/>
      <c r="AA185" s="1459"/>
      <c r="AB185" s="88" t="s">
        <v>1651</v>
      </c>
      <c r="AC185" s="214" t="s">
        <v>1638</v>
      </c>
      <c r="AD185" s="89" t="s">
        <v>1514</v>
      </c>
      <c r="AE185" s="215"/>
      <c r="AF185" s="215"/>
      <c r="AG185" s="215"/>
      <c r="AH185" s="215"/>
      <c r="AI185" s="215"/>
      <c r="AJ185" s="215"/>
      <c r="AK185" s="215"/>
      <c r="AL185" s="215"/>
      <c r="AM185" s="215"/>
      <c r="AN185" s="3536"/>
      <c r="AO185" s="3536"/>
      <c r="AP185" s="3536"/>
      <c r="AQ185" s="3536"/>
      <c r="AR185" s="3536"/>
      <c r="AS185" s="215"/>
      <c r="AT185" s="215"/>
      <c r="AU185" s="215"/>
      <c r="AV185" s="215"/>
      <c r="AW185" s="215"/>
      <c r="AX185" s="3536"/>
      <c r="AY185" s="3536"/>
      <c r="AZ185" s="3536"/>
      <c r="BA185" s="3536"/>
      <c r="BB185" s="3536"/>
      <c r="BC185" s="200"/>
      <c r="BD185" s="1459"/>
      <c r="BE185" s="1459"/>
      <c r="BF185" s="1034" t="s">
        <v>1652</v>
      </c>
    </row>
    <row s="1834" customFormat="1" customHeight="1" ht="0">
      <c r="A186" s="1459"/>
      <c r="B186" s="1416"/>
      <c r="C186" s="1459"/>
      <c r="D186" s="1459"/>
      <c r="E186" s="628">
        <v>15</v>
      </c>
      <c r="F186" s="50" cm="1" t="str">
        <f t="array" ref="F186:F186">OFFSET(E186,-1,1)</f>
        <v>3</v>
      </c>
      <c r="G186" s="104" t="s">
        <v>1653</v>
      </c>
      <c r="H186" s="1459"/>
      <c r="I186" s="1459"/>
      <c r="J186" s="1459"/>
      <c r="K186" s="1459"/>
      <c r="L186" s="1459"/>
      <c r="M186" s="1459"/>
      <c r="N186" s="1459"/>
      <c r="O186" s="1459"/>
      <c r="P186" s="1459"/>
      <c r="Q186" s="1459"/>
      <c r="R186" s="1459"/>
      <c r="S186" s="1459"/>
      <c r="T186" s="465" cm="1" t="str">
        <f t="array" ref="T186:T186">T185</f>
        <v>true</v>
      </c>
      <c r="U186" s="1459"/>
      <c r="V186" s="1459"/>
      <c r="W186" s="1459"/>
      <c r="X186" s="1596"/>
      <c r="Y186" s="1459"/>
      <c r="Z186" s="1597"/>
      <c r="AA186" s="1459"/>
      <c r="AB186" s="88" t="s">
        <v>1654</v>
      </c>
      <c r="AC186" s="214" t="s">
        <v>1642</v>
      </c>
      <c r="AD186" s="89" t="s">
        <v>1514</v>
      </c>
      <c r="AE186" s="215"/>
      <c r="AF186" s="215"/>
      <c r="AG186" s="215"/>
      <c r="AH186" s="215"/>
      <c r="AI186" s="215"/>
      <c r="AJ186" s="215"/>
      <c r="AK186" s="215"/>
      <c r="AL186" s="215"/>
      <c r="AM186" s="215"/>
      <c r="AN186" s="3536"/>
      <c r="AO186" s="3536"/>
      <c r="AP186" s="3536"/>
      <c r="AQ186" s="3536"/>
      <c r="AR186" s="3536"/>
      <c r="AS186" s="215"/>
      <c r="AT186" s="215"/>
      <c r="AU186" s="215"/>
      <c r="AV186" s="215"/>
      <c r="AW186" s="215"/>
      <c r="AX186" s="3536"/>
      <c r="AY186" s="3536"/>
      <c r="AZ186" s="3536"/>
      <c r="BA186" s="3536"/>
      <c r="BB186" s="3536"/>
      <c r="BC186" s="200"/>
      <c r="BD186" s="1459"/>
      <c r="BE186" s="1459"/>
      <c r="BF186" s="1034" t="s">
        <v>1655</v>
      </c>
    </row>
    <row s="525" customFormat="1" customHeight="1" ht="14.25">
      <c r="A187" s="525"/>
      <c r="B187" s="431"/>
      <c r="C187" s="525"/>
      <c r="D187" s="525"/>
      <c r="E187" s="628">
        <v>15</v>
      </c>
      <c r="F187" s="50" cm="1" t="str">
        <f t="array" ref="F187:F187">OFFSET(E187,-1,1)</f>
        <v>3</v>
      </c>
      <c r="G187" s="104" t="s">
        <v>334</v>
      </c>
      <c r="H187" s="525"/>
      <c r="I187" s="525"/>
      <c r="J187" s="525"/>
      <c r="K187" s="525"/>
      <c r="L187" s="525"/>
      <c r="M187" s="525"/>
      <c r="N187" s="525"/>
      <c r="O187" s="525"/>
      <c r="P187" s="525"/>
      <c r="Q187" s="525"/>
      <c r="R187" s="525"/>
      <c r="S187" s="525"/>
      <c r="T187" s="465" cm="1" t="str">
        <f t="array" ref="T187:T187">T186</f>
        <v>true</v>
      </c>
      <c r="U187" s="525"/>
      <c r="V187" s="525"/>
      <c r="W187" s="525"/>
      <c r="X187" s="1596"/>
      <c r="Y187" s="525"/>
      <c r="Z187" s="1597"/>
      <c r="AA187" s="525"/>
      <c r="AB187" s="211">
        <v>3</v>
      </c>
      <c r="AC187" s="212" t="s">
        <v>1656</v>
      </c>
      <c r="AD187" s="89" t="s">
        <v>1514</v>
      </c>
      <c r="AE187" s="1198">
        <f>SUM(AE188:AE192)</f>
        <v>0</v>
      </c>
      <c r="AF187" s="1198">
        <f>SUM(AF188:AF192)</f>
        <v>0</v>
      </c>
      <c r="AG187" s="1198">
        <f>SUM(AG188:AG192)</f>
        <v>0</v>
      </c>
      <c r="AH187" s="1198">
        <f>SUM(AH188:AH192)</f>
        <v>0</v>
      </c>
      <c r="AI187" s="1198">
        <f>SUM(AI188:AI192)</f>
        <v>0</v>
      </c>
      <c r="AJ187" s="1198">
        <f>SUM(AJ188:AJ192)</f>
        <v>0</v>
      </c>
      <c r="AK187" s="1198">
        <f>SUM(AK188:AK192)</f>
        <v>0</v>
      </c>
      <c r="AL187" s="1198">
        <f>SUM(AL188:AL192)</f>
        <v>0</v>
      </c>
      <c r="AM187" s="1198">
        <f>SUM(AM188:AM192)</f>
        <v>0</v>
      </c>
      <c r="AN187" s="3534">
        <f>SUM(AN188:AN192)</f>
        <v>0</v>
      </c>
      <c r="AO187" s="3534">
        <f>SUM(AO188:AO192)</f>
        <v>0</v>
      </c>
      <c r="AP187" s="3534">
        <f>SUM(AP188:AP192)</f>
        <v>0</v>
      </c>
      <c r="AQ187" s="3534">
        <f>SUM(AQ188:AQ192)</f>
        <v>0</v>
      </c>
      <c r="AR187" s="3534">
        <f>SUM(AR188:AR192)</f>
        <v>0</v>
      </c>
      <c r="AS187" s="1198">
        <f>SUM(AS188:AS192)</f>
        <v>0</v>
      </c>
      <c r="AT187" s="1198">
        <f>SUM(AT188:AT192)</f>
        <v>0</v>
      </c>
      <c r="AU187" s="1198">
        <f>SUM(AU188:AU192)</f>
        <v>0</v>
      </c>
      <c r="AV187" s="1198">
        <f>SUM(AV188:AV192)</f>
        <v>0</v>
      </c>
      <c r="AW187" s="1198">
        <f>SUM(AW188:AW192)</f>
        <v>0</v>
      </c>
      <c r="AX187" s="3534">
        <f>SUM(AX188:AX192)</f>
        <v>0</v>
      </c>
      <c r="AY187" s="3534">
        <f>SUM(AY188:AY192)</f>
        <v>0</v>
      </c>
      <c r="AZ187" s="3534">
        <f>SUM(AZ188:AZ192)</f>
        <v>0</v>
      </c>
      <c r="BA187" s="3534">
        <f>SUM(BA188:BA192)</f>
        <v>0</v>
      </c>
      <c r="BB187" s="3534">
        <f>SUM(BB188:BB192)</f>
        <v>0</v>
      </c>
      <c r="BC187" s="200"/>
      <c r="BD187" s="525"/>
      <c r="BE187" s="525"/>
      <c r="BF187" s="1034" t="s">
        <v>1657</v>
      </c>
    </row>
    <row s="1834" customFormat="1" customHeight="1" ht="0">
      <c r="A188" s="1459"/>
      <c r="B188" s="1416"/>
      <c r="C188" s="1459"/>
      <c r="D188" s="1459"/>
      <c r="E188" s="628">
        <v>15</v>
      </c>
      <c r="F188" s="50" cm="1" t="str">
        <f t="array" ref="F188:F188">OFFSET(E188,-1,1)</f>
        <v>3</v>
      </c>
      <c r="G188" s="104" t="s">
        <v>1658</v>
      </c>
      <c r="H188" s="1459"/>
      <c r="I188" s="1459"/>
      <c r="J188" s="1459"/>
      <c r="K188" s="1459"/>
      <c r="L188" s="1459"/>
      <c r="M188" s="1459"/>
      <c r="N188" s="1459"/>
      <c r="O188" s="1459"/>
      <c r="P188" s="1459"/>
      <c r="Q188" s="1459"/>
      <c r="R188" s="1459"/>
      <c r="S188" s="1459"/>
      <c r="T188" s="465" cm="1" t="str">
        <f t="array" ref="T188:T188">T187</f>
        <v>true</v>
      </c>
      <c r="U188" s="1459"/>
      <c r="V188" s="1459"/>
      <c r="W188" s="1459"/>
      <c r="X188" s="1596"/>
      <c r="Y188" s="1459"/>
      <c r="Z188" s="1597"/>
      <c r="AA188" s="1459"/>
      <c r="AB188" s="88" t="s">
        <v>1264</v>
      </c>
      <c r="AC188" s="214" t="s">
        <v>1629</v>
      </c>
      <c r="AD188" s="89" t="s">
        <v>1514</v>
      </c>
      <c r="AE188" s="215"/>
      <c r="AF188" s="215"/>
      <c r="AG188" s="215"/>
      <c r="AH188" s="215"/>
      <c r="AI188" s="215"/>
      <c r="AJ188" s="215"/>
      <c r="AK188" s="215"/>
      <c r="AL188" s="215"/>
      <c r="AM188" s="215"/>
      <c r="AN188" s="3536"/>
      <c r="AO188" s="3536"/>
      <c r="AP188" s="3536"/>
      <c r="AQ188" s="3536"/>
      <c r="AR188" s="3536"/>
      <c r="AS188" s="215"/>
      <c r="AT188" s="215"/>
      <c r="AU188" s="215"/>
      <c r="AV188" s="215"/>
      <c r="AW188" s="215"/>
      <c r="AX188" s="3536"/>
      <c r="AY188" s="3536"/>
      <c r="AZ188" s="3536"/>
      <c r="BA188" s="3536"/>
      <c r="BB188" s="3536"/>
      <c r="BC188" s="200"/>
      <c r="BD188" s="1459"/>
      <c r="BE188" s="1459"/>
      <c r="BF188" s="1034" t="s">
        <v>1659</v>
      </c>
    </row>
    <row s="1834" customFormat="1" customHeight="1" ht="0">
      <c r="A189" s="1459"/>
      <c r="B189" s="1416"/>
      <c r="C189" s="1459"/>
      <c r="D189" s="1459"/>
      <c r="E189" s="628">
        <v>15</v>
      </c>
      <c r="F189" s="50" cm="1" t="str">
        <f t="array" ref="F189:F189">OFFSET(E189,-1,1)</f>
        <v>3</v>
      </c>
      <c r="G189" s="104" t="s">
        <v>1660</v>
      </c>
      <c r="H189" s="1459"/>
      <c r="I189" s="1459"/>
      <c r="J189" s="1459"/>
      <c r="K189" s="1459"/>
      <c r="L189" s="1459"/>
      <c r="M189" s="1459"/>
      <c r="N189" s="1459"/>
      <c r="O189" s="1459"/>
      <c r="P189" s="1459"/>
      <c r="Q189" s="1459"/>
      <c r="R189" s="1459"/>
      <c r="S189" s="1459"/>
      <c r="T189" s="465" cm="1" t="str">
        <f t="array" ref="T189:T189">T188</f>
        <v>true</v>
      </c>
      <c r="U189" s="1459"/>
      <c r="V189" s="1459"/>
      <c r="W189" s="1459"/>
      <c r="X189" s="1596"/>
      <c r="Y189" s="1459"/>
      <c r="Z189" s="1597"/>
      <c r="AA189" s="1459"/>
      <c r="AB189" s="88" t="s">
        <v>1268</v>
      </c>
      <c r="AC189" s="214" t="s">
        <v>1632</v>
      </c>
      <c r="AD189" s="89" t="s">
        <v>1514</v>
      </c>
      <c r="AE189" s="215"/>
      <c r="AF189" s="215"/>
      <c r="AG189" s="215"/>
      <c r="AH189" s="215"/>
      <c r="AI189" s="215"/>
      <c r="AJ189" s="215"/>
      <c r="AK189" s="215"/>
      <c r="AL189" s="215"/>
      <c r="AM189" s="215"/>
      <c r="AN189" s="3536"/>
      <c r="AO189" s="3536"/>
      <c r="AP189" s="3536"/>
      <c r="AQ189" s="3536"/>
      <c r="AR189" s="3536"/>
      <c r="AS189" s="215"/>
      <c r="AT189" s="215"/>
      <c r="AU189" s="215"/>
      <c r="AV189" s="215"/>
      <c r="AW189" s="215"/>
      <c r="AX189" s="3536"/>
      <c r="AY189" s="3536"/>
      <c r="AZ189" s="3536"/>
      <c r="BA189" s="3536"/>
      <c r="BB189" s="3536"/>
      <c r="BC189" s="200"/>
      <c r="BD189" s="1459"/>
      <c r="BE189" s="1459"/>
      <c r="BF189" s="1034" t="s">
        <v>1661</v>
      </c>
    </row>
    <row s="1834" customFormat="1" customHeight="1" ht="0">
      <c r="A190" s="1459"/>
      <c r="B190" s="1416"/>
      <c r="C190" s="1459"/>
      <c r="D190" s="1459"/>
      <c r="E190" s="628">
        <v>15</v>
      </c>
      <c r="F190" s="50" cm="1" t="str">
        <f t="array" ref="F190:F190">OFFSET(E190,-1,1)</f>
        <v>3</v>
      </c>
      <c r="G190" s="104" t="s">
        <v>1662</v>
      </c>
      <c r="H190" s="1459"/>
      <c r="I190" s="1459"/>
      <c r="J190" s="1459"/>
      <c r="K190" s="1459"/>
      <c r="L190" s="1459"/>
      <c r="M190" s="1459"/>
      <c r="N190" s="1459"/>
      <c r="O190" s="1459"/>
      <c r="P190" s="1459"/>
      <c r="Q190" s="1459"/>
      <c r="R190" s="1459"/>
      <c r="S190" s="1459"/>
      <c r="T190" s="465" cm="1" t="str">
        <f t="array" ref="T190:T190">T189</f>
        <v>true</v>
      </c>
      <c r="U190" s="1459"/>
      <c r="V190" s="1459"/>
      <c r="W190" s="1459"/>
      <c r="X190" s="1596"/>
      <c r="Y190" s="1459"/>
      <c r="Z190" s="1597"/>
      <c r="AA190" s="1459"/>
      <c r="AB190" s="88" t="s">
        <v>1480</v>
      </c>
      <c r="AC190" s="214" t="s">
        <v>1635</v>
      </c>
      <c r="AD190" s="89" t="s">
        <v>1514</v>
      </c>
      <c r="AE190" s="215"/>
      <c r="AF190" s="215"/>
      <c r="AG190" s="215"/>
      <c r="AH190" s="215"/>
      <c r="AI190" s="215"/>
      <c r="AJ190" s="215"/>
      <c r="AK190" s="215"/>
      <c r="AL190" s="215"/>
      <c r="AM190" s="215"/>
      <c r="AN190" s="3536"/>
      <c r="AO190" s="3536"/>
      <c r="AP190" s="3536"/>
      <c r="AQ190" s="3536"/>
      <c r="AR190" s="3536"/>
      <c r="AS190" s="215"/>
      <c r="AT190" s="215"/>
      <c r="AU190" s="215"/>
      <c r="AV190" s="215"/>
      <c r="AW190" s="215"/>
      <c r="AX190" s="3536"/>
      <c r="AY190" s="3536"/>
      <c r="AZ190" s="3536"/>
      <c r="BA190" s="3536"/>
      <c r="BB190" s="3536"/>
      <c r="BC190" s="200"/>
      <c r="BD190" s="1459"/>
      <c r="BE190" s="1459"/>
      <c r="BF190" s="1034" t="s">
        <v>1663</v>
      </c>
    </row>
    <row s="1834" customFormat="1" customHeight="1" ht="0">
      <c r="A191" s="1459"/>
      <c r="B191" s="1416"/>
      <c r="C191" s="1459"/>
      <c r="D191" s="1459"/>
      <c r="E191" s="628">
        <v>15</v>
      </c>
      <c r="F191" s="50" cm="1" t="str">
        <f t="array" ref="F191:F191">OFFSET(E191,-1,1)</f>
        <v>3</v>
      </c>
      <c r="G191" s="104" t="s">
        <v>1664</v>
      </c>
      <c r="H191" s="1459"/>
      <c r="I191" s="1459"/>
      <c r="J191" s="1459"/>
      <c r="K191" s="1459"/>
      <c r="L191" s="1459"/>
      <c r="M191" s="1459"/>
      <c r="N191" s="1459"/>
      <c r="O191" s="1459"/>
      <c r="P191" s="1459"/>
      <c r="Q191" s="1459"/>
      <c r="R191" s="1459"/>
      <c r="S191" s="1459"/>
      <c r="T191" s="465" cm="1" t="str">
        <f t="array" ref="T191:T191">T190</f>
        <v>true</v>
      </c>
      <c r="U191" s="1459"/>
      <c r="V191" s="1459"/>
      <c r="W191" s="1459"/>
      <c r="X191" s="1596"/>
      <c r="Y191" s="1459"/>
      <c r="Z191" s="1597"/>
      <c r="AA191" s="1459"/>
      <c r="AB191" s="88" t="s">
        <v>1665</v>
      </c>
      <c r="AC191" s="214" t="s">
        <v>1638</v>
      </c>
      <c r="AD191" s="89" t="s">
        <v>1514</v>
      </c>
      <c r="AE191" s="215"/>
      <c r="AF191" s="215"/>
      <c r="AG191" s="215"/>
      <c r="AH191" s="215"/>
      <c r="AI191" s="215"/>
      <c r="AJ191" s="215"/>
      <c r="AK191" s="215"/>
      <c r="AL191" s="215"/>
      <c r="AM191" s="215"/>
      <c r="AN191" s="3536"/>
      <c r="AO191" s="3536"/>
      <c r="AP191" s="3536"/>
      <c r="AQ191" s="3536"/>
      <c r="AR191" s="3536"/>
      <c r="AS191" s="215"/>
      <c r="AT191" s="215"/>
      <c r="AU191" s="215"/>
      <c r="AV191" s="215"/>
      <c r="AW191" s="215"/>
      <c r="AX191" s="3536"/>
      <c r="AY191" s="3536"/>
      <c r="AZ191" s="3536"/>
      <c r="BA191" s="3536"/>
      <c r="BB191" s="3536"/>
      <c r="BC191" s="200"/>
      <c r="BD191" s="1459"/>
      <c r="BE191" s="1459"/>
      <c r="BF191" s="1034" t="s">
        <v>1666</v>
      </c>
    </row>
    <row s="1834" customFormat="1" customHeight="1" ht="0">
      <c r="A192" s="1459"/>
      <c r="B192" s="1416"/>
      <c r="C192" s="1459"/>
      <c r="D192" s="1459"/>
      <c r="E192" s="628">
        <v>15</v>
      </c>
      <c r="F192" s="50" cm="1" t="str">
        <f t="array" ref="F192:F192">OFFSET(E192,-1,1)</f>
        <v>3</v>
      </c>
      <c r="G192" s="104" t="s">
        <v>1667</v>
      </c>
      <c r="H192" s="1459"/>
      <c r="I192" s="1459"/>
      <c r="J192" s="1459"/>
      <c r="K192" s="1459"/>
      <c r="L192" s="1459"/>
      <c r="M192" s="1459"/>
      <c r="N192" s="1459"/>
      <c r="O192" s="1459"/>
      <c r="P192" s="1459"/>
      <c r="Q192" s="1459"/>
      <c r="R192" s="1459"/>
      <c r="S192" s="1459"/>
      <c r="T192" s="465" cm="1" t="str">
        <f t="array" ref="T192:T192">T191</f>
        <v>true</v>
      </c>
      <c r="U192" s="1459"/>
      <c r="V192" s="1459"/>
      <c r="W192" s="1459"/>
      <c r="X192" s="1596"/>
      <c r="Y192" s="1459"/>
      <c r="Z192" s="1597"/>
      <c r="AA192" s="1459"/>
      <c r="AB192" s="88" t="s">
        <v>1668</v>
      </c>
      <c r="AC192" s="214" t="s">
        <v>1642</v>
      </c>
      <c r="AD192" s="89" t="s">
        <v>1514</v>
      </c>
      <c r="AE192" s="215"/>
      <c r="AF192" s="215"/>
      <c r="AG192" s="215"/>
      <c r="AH192" s="215"/>
      <c r="AI192" s="215"/>
      <c r="AJ192" s="215"/>
      <c r="AK192" s="215"/>
      <c r="AL192" s="215"/>
      <c r="AM192" s="215"/>
      <c r="AN192" s="3536"/>
      <c r="AO192" s="3536"/>
      <c r="AP192" s="3536"/>
      <c r="AQ192" s="3536"/>
      <c r="AR192" s="3536"/>
      <c r="AS192" s="215"/>
      <c r="AT192" s="215"/>
      <c r="AU192" s="215"/>
      <c r="AV192" s="215"/>
      <c r="AW192" s="215"/>
      <c r="AX192" s="3536"/>
      <c r="AY192" s="3536"/>
      <c r="AZ192" s="3536"/>
      <c r="BA192" s="3536"/>
      <c r="BB192" s="3536"/>
      <c r="BC192" s="200"/>
      <c r="BD192" s="1459"/>
      <c r="BE192" s="1459"/>
      <c r="BF192" s="1034" t="s">
        <v>1669</v>
      </c>
    </row>
    <row s="525" customFormat="1" customHeight="1" ht="21.75">
      <c r="A193" s="525"/>
      <c r="B193" s="431"/>
      <c r="C193" s="525"/>
      <c r="D193" s="525"/>
      <c r="E193" s="669">
        <v>22.5</v>
      </c>
      <c r="F193" s="50" cm="1" t="str">
        <f t="array" ref="F193:F193">OFFSET(E193,-1,1)</f>
        <v>3</v>
      </c>
      <c r="G193" s="104" t="s">
        <v>336</v>
      </c>
      <c r="H193" s="525"/>
      <c r="I193" s="525"/>
      <c r="J193" s="525"/>
      <c r="K193" s="525"/>
      <c r="L193" s="525"/>
      <c r="M193" s="525"/>
      <c r="N193" s="525"/>
      <c r="O193" s="525"/>
      <c r="P193" s="525"/>
      <c r="Q193" s="525"/>
      <c r="R193" s="525"/>
      <c r="S193" s="525"/>
      <c r="T193" s="465" cm="1" t="str">
        <f t="array" ref="T193:T193">T192</f>
        <v>true</v>
      </c>
      <c r="U193" s="525"/>
      <c r="V193" s="525"/>
      <c r="W193" s="525"/>
      <c r="X193" s="1596"/>
      <c r="Y193" s="525"/>
      <c r="Z193" s="1597"/>
      <c r="AA193" s="525"/>
      <c r="AB193" s="211">
        <v>4</v>
      </c>
      <c r="AC193" s="212" t="s">
        <v>1670</v>
      </c>
      <c r="AD193" s="89" t="s">
        <v>1514</v>
      </c>
      <c r="AE193" s="1198">
        <f>SUM(AE194:AE198)</f>
        <v>0</v>
      </c>
      <c r="AF193" s="1198">
        <f>SUM(AF194:AF198)</f>
        <v>0</v>
      </c>
      <c r="AG193" s="1198">
        <f>SUM(AG194:AG198)</f>
        <v>0</v>
      </c>
      <c r="AH193" s="1198">
        <f>SUM(AH194:AH198)</f>
        <v>0</v>
      </c>
      <c r="AI193" s="1198">
        <f>SUM(AI194:AI198)</f>
        <v>0</v>
      </c>
      <c r="AJ193" s="1198">
        <f>SUM(AJ194:AJ198)</f>
        <v>0</v>
      </c>
      <c r="AK193" s="1198">
        <f>SUM(AK194:AK198)</f>
        <v>0</v>
      </c>
      <c r="AL193" s="1198">
        <f>SUM(AL194:AL198)</f>
        <v>0</v>
      </c>
      <c r="AM193" s="1198">
        <f>SUM(AM194:AM198)</f>
        <v>0</v>
      </c>
      <c r="AN193" s="3534">
        <f>SUM(AN194:AN198)</f>
        <v>0</v>
      </c>
      <c r="AO193" s="3534">
        <f>SUM(AO194:AO198)</f>
        <v>0</v>
      </c>
      <c r="AP193" s="3534">
        <f>SUM(AP194:AP198)</f>
        <v>0</v>
      </c>
      <c r="AQ193" s="3534">
        <f>SUM(AQ194:AQ198)</f>
        <v>0</v>
      </c>
      <c r="AR193" s="3534">
        <f>SUM(AR194:AR198)</f>
        <v>0</v>
      </c>
      <c r="AS193" s="1198">
        <f>SUM(AS194:AS198)</f>
        <v>0</v>
      </c>
      <c r="AT193" s="1198">
        <f>SUM(AT194:AT198)</f>
        <v>0</v>
      </c>
      <c r="AU193" s="1198">
        <f>SUM(AU194:AU198)</f>
        <v>0</v>
      </c>
      <c r="AV193" s="1198">
        <f>SUM(AV194:AV198)</f>
        <v>0</v>
      </c>
      <c r="AW193" s="1198">
        <f>SUM(AW194:AW198)</f>
        <v>0</v>
      </c>
      <c r="AX193" s="3534">
        <f>SUM(AX194:AX198)</f>
        <v>0</v>
      </c>
      <c r="AY193" s="3534">
        <f>SUM(AY194:AY198)</f>
        <v>0</v>
      </c>
      <c r="AZ193" s="3534">
        <f>SUM(AZ194:AZ198)</f>
        <v>0</v>
      </c>
      <c r="BA193" s="3534">
        <f>SUM(BA194:BA198)</f>
        <v>0</v>
      </c>
      <c r="BB193" s="3534">
        <f>SUM(BB194:BB198)</f>
        <v>0</v>
      </c>
      <c r="BC193" s="200"/>
      <c r="BD193" s="525"/>
      <c r="BE193" s="525"/>
      <c r="BF193" s="1034" t="s">
        <v>1671</v>
      </c>
    </row>
    <row s="1834" customFormat="1" customHeight="1" ht="0">
      <c r="A194" s="1459"/>
      <c r="B194" s="1416"/>
      <c r="C194" s="1459"/>
      <c r="D194" s="1459"/>
      <c r="E194" s="628">
        <v>15</v>
      </c>
      <c r="F194" s="50" cm="1" t="str">
        <f t="array" ref="F194:F194">OFFSET(E194,-1,1)</f>
        <v>3</v>
      </c>
      <c r="G194" s="104" t="s">
        <v>1249</v>
      </c>
      <c r="H194" s="1459"/>
      <c r="I194" s="1459"/>
      <c r="J194" s="1459"/>
      <c r="K194" s="1459"/>
      <c r="L194" s="1459"/>
      <c r="M194" s="1459"/>
      <c r="N194" s="1459"/>
      <c r="O194" s="1459"/>
      <c r="P194" s="1459"/>
      <c r="Q194" s="1459"/>
      <c r="R194" s="1459"/>
      <c r="S194" s="1459"/>
      <c r="T194" s="465" cm="1" t="str">
        <f t="array" ref="T194:T194">T193</f>
        <v>true</v>
      </c>
      <c r="U194" s="1459"/>
      <c r="V194" s="1459"/>
      <c r="W194" s="1459"/>
      <c r="X194" s="1596"/>
      <c r="Y194" s="1459"/>
      <c r="Z194" s="1597"/>
      <c r="AA194" s="1459"/>
      <c r="AB194" s="88" t="s">
        <v>1384</v>
      </c>
      <c r="AC194" s="214" t="s">
        <v>1629</v>
      </c>
      <c r="AD194" s="89" t="s">
        <v>1514</v>
      </c>
      <c r="AE194" s="215">
        <f>AE176+AE182-AE188</f>
        <v>0</v>
      </c>
      <c r="AF194" s="215">
        <f>AF176+AF182-AF188</f>
        <v>0</v>
      </c>
      <c r="AG194" s="215">
        <f>AG176+AG182-AG188</f>
        <v>0</v>
      </c>
      <c r="AH194" s="215">
        <f>AH176+AH182-AH188</f>
        <v>0</v>
      </c>
      <c r="AI194" s="215">
        <f>AI176+AI182-AI188</f>
        <v>0</v>
      </c>
      <c r="AJ194" s="215">
        <f>AJ176+AJ182-AJ188</f>
        <v>0</v>
      </c>
      <c r="AK194" s="215">
        <f>AK176+AK182-AK188</f>
        <v>0</v>
      </c>
      <c r="AL194" s="215">
        <f>AL176+AL182-AL188</f>
        <v>0</v>
      </c>
      <c r="AM194" s="215">
        <f>AM176+AM182-AM188</f>
        <v>0</v>
      </c>
      <c r="AN194" s="3536">
        <f>AN176+AN182-AN188</f>
        <v>0</v>
      </c>
      <c r="AO194" s="3536">
        <f>AO176+AO182-AO188</f>
        <v>0</v>
      </c>
      <c r="AP194" s="3536">
        <f>AP176+AP182-AP188</f>
        <v>0</v>
      </c>
      <c r="AQ194" s="3536">
        <f>AQ176+AQ182-AQ188</f>
        <v>0</v>
      </c>
      <c r="AR194" s="3536">
        <f>AR176+AR182-AR188</f>
        <v>0</v>
      </c>
      <c r="AS194" s="215">
        <f>AS176+AS182-AS188</f>
        <v>0</v>
      </c>
      <c r="AT194" s="215">
        <f>AT176+AT182-AT188</f>
        <v>0</v>
      </c>
      <c r="AU194" s="215">
        <f>AU176+AU182-AU188</f>
        <v>0</v>
      </c>
      <c r="AV194" s="215">
        <f>AV176+AV182-AV188</f>
        <v>0</v>
      </c>
      <c r="AW194" s="215">
        <f>AW176+AW182-AW188</f>
        <v>0</v>
      </c>
      <c r="AX194" s="3536">
        <f>AX176+AX182-AX188</f>
        <v>0</v>
      </c>
      <c r="AY194" s="3536">
        <f>AY176+AY182-AY188</f>
        <v>0</v>
      </c>
      <c r="AZ194" s="3536">
        <f>AZ176+AZ182-AZ188</f>
        <v>0</v>
      </c>
      <c r="BA194" s="3536">
        <f>BA176+BA182-BA188</f>
        <v>0</v>
      </c>
      <c r="BB194" s="3536">
        <f>BB176+BB182-BB188</f>
        <v>0</v>
      </c>
      <c r="BC194" s="200"/>
      <c r="BD194" s="1459"/>
      <c r="BE194" s="1459"/>
      <c r="BF194" s="1034" t="s">
        <v>1672</v>
      </c>
    </row>
    <row s="1834" customFormat="1" customHeight="1" ht="0">
      <c r="A195" s="1459"/>
      <c r="B195" s="1416"/>
      <c r="C195" s="1459"/>
      <c r="D195" s="1459"/>
      <c r="E195" s="628">
        <v>15</v>
      </c>
      <c r="F195" s="50" cm="1" t="str">
        <f t="array" ref="F195:F195">OFFSET(E195,-1,1)</f>
        <v>3</v>
      </c>
      <c r="G195" s="104" t="s">
        <v>1253</v>
      </c>
      <c r="H195" s="1459"/>
      <c r="I195" s="1459"/>
      <c r="J195" s="1459"/>
      <c r="K195" s="1459"/>
      <c r="L195" s="1459"/>
      <c r="M195" s="1459"/>
      <c r="N195" s="1459"/>
      <c r="O195" s="1459"/>
      <c r="P195" s="1459"/>
      <c r="Q195" s="1459"/>
      <c r="R195" s="1459"/>
      <c r="S195" s="1459"/>
      <c r="T195" s="465" cm="1" t="str">
        <f t="array" ref="T195:T195">T194</f>
        <v>true</v>
      </c>
      <c r="U195" s="1459"/>
      <c r="V195" s="1459"/>
      <c r="W195" s="1459"/>
      <c r="X195" s="1596"/>
      <c r="Y195" s="1459"/>
      <c r="Z195" s="1597"/>
      <c r="AA195" s="1459"/>
      <c r="AB195" s="88" t="s">
        <v>1387</v>
      </c>
      <c r="AC195" s="214" t="s">
        <v>1632</v>
      </c>
      <c r="AD195" s="89" t="s">
        <v>1514</v>
      </c>
      <c r="AE195" s="215">
        <f>AE177+AE183-AE189</f>
        <v>0</v>
      </c>
      <c r="AF195" s="215">
        <f>AF177+AF183-AF189</f>
        <v>0</v>
      </c>
      <c r="AG195" s="215">
        <f>AG177+AG183-AG189</f>
        <v>0</v>
      </c>
      <c r="AH195" s="215">
        <f>AH177+AH183-AH189</f>
        <v>0</v>
      </c>
      <c r="AI195" s="215">
        <f>AI177+AI183-AI189</f>
        <v>0</v>
      </c>
      <c r="AJ195" s="215">
        <f>AJ177+AJ183-AJ189</f>
        <v>0</v>
      </c>
      <c r="AK195" s="215">
        <f>AK177+AK183-AK189</f>
        <v>0</v>
      </c>
      <c r="AL195" s="215">
        <f>AL177+AL183-AL189</f>
        <v>0</v>
      </c>
      <c r="AM195" s="215">
        <f>AM177+AM183-AM189</f>
        <v>0</v>
      </c>
      <c r="AN195" s="3536">
        <f>AN177+AN183-AN189</f>
        <v>0</v>
      </c>
      <c r="AO195" s="3536">
        <f>AO177+AO183-AO189</f>
        <v>0</v>
      </c>
      <c r="AP195" s="3536">
        <f>AP177+AP183-AP189</f>
        <v>0</v>
      </c>
      <c r="AQ195" s="3536">
        <f>AQ177+AQ183-AQ189</f>
        <v>0</v>
      </c>
      <c r="AR195" s="3536">
        <f>AR177+AR183-AR189</f>
        <v>0</v>
      </c>
      <c r="AS195" s="215">
        <f>AS177+AS183-AS189</f>
        <v>0</v>
      </c>
      <c r="AT195" s="215">
        <f>AT177+AT183-AT189</f>
        <v>0</v>
      </c>
      <c r="AU195" s="215">
        <f>AU177+AU183-AU189</f>
        <v>0</v>
      </c>
      <c r="AV195" s="215">
        <f>AV177+AV183-AV189</f>
        <v>0</v>
      </c>
      <c r="AW195" s="215">
        <f>AW177+AW183-AW189</f>
        <v>0</v>
      </c>
      <c r="AX195" s="3536">
        <f>AX177+AX183-AX189</f>
        <v>0</v>
      </c>
      <c r="AY195" s="3536">
        <f>AY177+AY183-AY189</f>
        <v>0</v>
      </c>
      <c r="AZ195" s="3536">
        <f>AZ177+AZ183-AZ189</f>
        <v>0</v>
      </c>
      <c r="BA195" s="3536">
        <f>BA177+BA183-BA189</f>
        <v>0</v>
      </c>
      <c r="BB195" s="3536">
        <f>BB177+BB183-BB189</f>
        <v>0</v>
      </c>
      <c r="BC195" s="200"/>
      <c r="BD195" s="1459"/>
      <c r="BE195" s="1459"/>
      <c r="BF195" s="1034" t="s">
        <v>1673</v>
      </c>
    </row>
    <row s="1834" customFormat="1" customHeight="1" ht="0">
      <c r="A196" s="1459"/>
      <c r="B196" s="1416"/>
      <c r="C196" s="1459"/>
      <c r="D196" s="1459"/>
      <c r="E196" s="628">
        <v>15</v>
      </c>
      <c r="F196" s="50" cm="1" t="str">
        <f t="array" ref="F196:F196">OFFSET(E196,-1,1)</f>
        <v>3</v>
      </c>
      <c r="G196" s="104" t="s">
        <v>1257</v>
      </c>
      <c r="H196" s="1459"/>
      <c r="I196" s="1459"/>
      <c r="J196" s="1459"/>
      <c r="K196" s="1459"/>
      <c r="L196" s="1459"/>
      <c r="M196" s="1459"/>
      <c r="N196" s="1459"/>
      <c r="O196" s="1459"/>
      <c r="P196" s="1459"/>
      <c r="Q196" s="1459"/>
      <c r="R196" s="1459"/>
      <c r="S196" s="1459"/>
      <c r="T196" s="465" cm="1" t="str">
        <f t="array" ref="T196:T196">T195</f>
        <v>true</v>
      </c>
      <c r="U196" s="1459"/>
      <c r="V196" s="1459"/>
      <c r="W196" s="1459"/>
      <c r="X196" s="1596"/>
      <c r="Y196" s="1459"/>
      <c r="Z196" s="1597"/>
      <c r="AA196" s="1459"/>
      <c r="AB196" s="88" t="s">
        <v>1421</v>
      </c>
      <c r="AC196" s="214" t="s">
        <v>1635</v>
      </c>
      <c r="AD196" s="89" t="s">
        <v>1514</v>
      </c>
      <c r="AE196" s="215">
        <f>AE178+AE184-AE190</f>
        <v>0</v>
      </c>
      <c r="AF196" s="215">
        <f>AF178+AF184-AF190</f>
        <v>0</v>
      </c>
      <c r="AG196" s="215">
        <f>AG178+AG184-AG190</f>
        <v>0</v>
      </c>
      <c r="AH196" s="215">
        <f>AH178+AH184-AH190</f>
        <v>0</v>
      </c>
      <c r="AI196" s="215">
        <f>AI178+AI184-AI190</f>
        <v>0</v>
      </c>
      <c r="AJ196" s="215">
        <f>AJ178+AJ184-AJ190</f>
        <v>0</v>
      </c>
      <c r="AK196" s="215">
        <f>AK178+AK184-AK190</f>
        <v>0</v>
      </c>
      <c r="AL196" s="215">
        <f>AL178+AL184-AL190</f>
        <v>0</v>
      </c>
      <c r="AM196" s="215">
        <f>AM178+AM184-AM190</f>
        <v>0</v>
      </c>
      <c r="AN196" s="3536">
        <f>AN178+AN184-AN190</f>
        <v>0</v>
      </c>
      <c r="AO196" s="3536">
        <f>AO178+AO184-AO190</f>
        <v>0</v>
      </c>
      <c r="AP196" s="3536">
        <f>AP178+AP184-AP190</f>
        <v>0</v>
      </c>
      <c r="AQ196" s="3536">
        <f>AQ178+AQ184-AQ190</f>
        <v>0</v>
      </c>
      <c r="AR196" s="3536">
        <f>AR178+AR184-AR190</f>
        <v>0</v>
      </c>
      <c r="AS196" s="215">
        <f>AS178+AS184-AS190</f>
        <v>0</v>
      </c>
      <c r="AT196" s="215">
        <f>AT178+AT184-AT190</f>
        <v>0</v>
      </c>
      <c r="AU196" s="215">
        <f>AU178+AU184-AU190</f>
        <v>0</v>
      </c>
      <c r="AV196" s="215">
        <f>AV178+AV184-AV190</f>
        <v>0</v>
      </c>
      <c r="AW196" s="215">
        <f>AW178+AW184-AW190</f>
        <v>0</v>
      </c>
      <c r="AX196" s="3536">
        <f>AX178+AX184-AX190</f>
        <v>0</v>
      </c>
      <c r="AY196" s="3536">
        <f>AY178+AY184-AY190</f>
        <v>0</v>
      </c>
      <c r="AZ196" s="3536">
        <f>AZ178+AZ184-AZ190</f>
        <v>0</v>
      </c>
      <c r="BA196" s="3536">
        <f>BA178+BA184-BA190</f>
        <v>0</v>
      </c>
      <c r="BB196" s="3536">
        <f>BB178+BB184-BB190</f>
        <v>0</v>
      </c>
      <c r="BC196" s="200"/>
      <c r="BD196" s="1459"/>
      <c r="BE196" s="1459"/>
      <c r="BF196" s="1034" t="s">
        <v>1674</v>
      </c>
    </row>
    <row s="1834" customFormat="1" customHeight="1" ht="0">
      <c r="A197" s="1459"/>
      <c r="B197" s="1416"/>
      <c r="C197" s="1459"/>
      <c r="D197" s="1459"/>
      <c r="E197" s="628">
        <v>15</v>
      </c>
      <c r="F197" s="50" cm="1" t="str">
        <f t="array" ref="F197:F197">OFFSET(E197,-1,1)</f>
        <v>3</v>
      </c>
      <c r="G197" s="104" t="s">
        <v>1675</v>
      </c>
      <c r="H197" s="1459"/>
      <c r="I197" s="1459"/>
      <c r="J197" s="1459"/>
      <c r="K197" s="1459"/>
      <c r="L197" s="1459"/>
      <c r="M197" s="1459"/>
      <c r="N197" s="1459"/>
      <c r="O197" s="1459"/>
      <c r="P197" s="1459"/>
      <c r="Q197" s="1459"/>
      <c r="R197" s="1459"/>
      <c r="S197" s="1459"/>
      <c r="T197" s="465" cm="1" t="str">
        <f t="array" ref="T197:T197">T196</f>
        <v>true</v>
      </c>
      <c r="U197" s="1459"/>
      <c r="V197" s="1459"/>
      <c r="W197" s="1459"/>
      <c r="X197" s="1596"/>
      <c r="Y197" s="1459"/>
      <c r="Z197" s="1597"/>
      <c r="AA197" s="1459"/>
      <c r="AB197" s="88" t="s">
        <v>1430</v>
      </c>
      <c r="AC197" s="214" t="s">
        <v>1638</v>
      </c>
      <c r="AD197" s="89" t="s">
        <v>1514</v>
      </c>
      <c r="AE197" s="215">
        <f>AE179+AE185-AE191</f>
        <v>0</v>
      </c>
      <c r="AF197" s="215">
        <f>AF179+AF185-AF191</f>
        <v>0</v>
      </c>
      <c r="AG197" s="215">
        <f>AG179+AG185-AG191</f>
        <v>0</v>
      </c>
      <c r="AH197" s="215">
        <f>AH179+AH185-AH191</f>
        <v>0</v>
      </c>
      <c r="AI197" s="215">
        <f>AI179+AI185-AI191</f>
        <v>0</v>
      </c>
      <c r="AJ197" s="215">
        <f>AJ179+AJ185-AJ191</f>
        <v>0</v>
      </c>
      <c r="AK197" s="215">
        <f>AK179+AK185-AK191</f>
        <v>0</v>
      </c>
      <c r="AL197" s="215">
        <f>AL179+AL185-AL191</f>
        <v>0</v>
      </c>
      <c r="AM197" s="215">
        <f>AM179+AM185-AM191</f>
        <v>0</v>
      </c>
      <c r="AN197" s="3536">
        <f>AN179+AN185-AN191</f>
        <v>0</v>
      </c>
      <c r="AO197" s="3536">
        <f>AO179+AO185-AO191</f>
        <v>0</v>
      </c>
      <c r="AP197" s="3536">
        <f>AP179+AP185-AP191</f>
        <v>0</v>
      </c>
      <c r="AQ197" s="3536">
        <f>AQ179+AQ185-AQ191</f>
        <v>0</v>
      </c>
      <c r="AR197" s="3536">
        <f>AR179+AR185-AR191</f>
        <v>0</v>
      </c>
      <c r="AS197" s="215">
        <f>AS179+AS185-AS191</f>
        <v>0</v>
      </c>
      <c r="AT197" s="215">
        <f>AT179+AT185-AT191</f>
        <v>0</v>
      </c>
      <c r="AU197" s="215">
        <f>AU179+AU185-AU191</f>
        <v>0</v>
      </c>
      <c r="AV197" s="215">
        <f>AV179+AV185-AV191</f>
        <v>0</v>
      </c>
      <c r="AW197" s="215">
        <f>AW179+AW185-AW191</f>
        <v>0</v>
      </c>
      <c r="AX197" s="3536">
        <f>AX179+AX185-AX191</f>
        <v>0</v>
      </c>
      <c r="AY197" s="3536">
        <f>AY179+AY185-AY191</f>
        <v>0</v>
      </c>
      <c r="AZ197" s="3536">
        <f>AZ179+AZ185-AZ191</f>
        <v>0</v>
      </c>
      <c r="BA197" s="3536">
        <f>BA179+BA185-BA191</f>
        <v>0</v>
      </c>
      <c r="BB197" s="3536">
        <f>BB179+BB185-BB191</f>
        <v>0</v>
      </c>
      <c r="BC197" s="200"/>
      <c r="BD197" s="1459"/>
      <c r="BE197" s="1459"/>
      <c r="BF197" s="1034" t="s">
        <v>1676</v>
      </c>
    </row>
    <row s="1834" customFormat="1" customHeight="1" ht="0">
      <c r="A198" s="1459"/>
      <c r="B198" s="1416"/>
      <c r="C198" s="1459"/>
      <c r="D198" s="1459"/>
      <c r="E198" s="628">
        <v>15</v>
      </c>
      <c r="F198" s="50" cm="1" t="str">
        <f t="array" ref="F198:F198">OFFSET(E198,-1,1)</f>
        <v>3</v>
      </c>
      <c r="G198" s="104" t="s">
        <v>1677</v>
      </c>
      <c r="H198" s="1459"/>
      <c r="I198" s="1459"/>
      <c r="J198" s="1459"/>
      <c r="K198" s="1459"/>
      <c r="L198" s="1459"/>
      <c r="M198" s="1459"/>
      <c r="N198" s="1459"/>
      <c r="O198" s="1459"/>
      <c r="P198" s="1459"/>
      <c r="Q198" s="1459"/>
      <c r="R198" s="1459"/>
      <c r="S198" s="1459"/>
      <c r="T198" s="465" cm="1" t="str">
        <f t="array" ref="T198:T198">T197</f>
        <v>true</v>
      </c>
      <c r="U198" s="1459"/>
      <c r="V198" s="1459"/>
      <c r="W198" s="1459"/>
      <c r="X198" s="1596"/>
      <c r="Y198" s="1459"/>
      <c r="Z198" s="1597"/>
      <c r="AA198" s="1459"/>
      <c r="AB198" s="88" t="s">
        <v>1440</v>
      </c>
      <c r="AC198" s="214" t="s">
        <v>1642</v>
      </c>
      <c r="AD198" s="89" t="s">
        <v>1514</v>
      </c>
      <c r="AE198" s="215">
        <f>AE180+AE186-AE192</f>
        <v>0</v>
      </c>
      <c r="AF198" s="215">
        <f>AF180+AF186-AF192</f>
        <v>0</v>
      </c>
      <c r="AG198" s="215">
        <f>AG180+AG186-AG192</f>
        <v>0</v>
      </c>
      <c r="AH198" s="215">
        <f>AH180+AH186-AH192</f>
        <v>0</v>
      </c>
      <c r="AI198" s="215">
        <f>AI180+AI186-AI192</f>
        <v>0</v>
      </c>
      <c r="AJ198" s="215">
        <f>AJ180+AJ186-AJ192</f>
        <v>0</v>
      </c>
      <c r="AK198" s="215">
        <f>AK180+AK186-AK192</f>
        <v>0</v>
      </c>
      <c r="AL198" s="215">
        <f>AL180+AL186-AL192</f>
        <v>0</v>
      </c>
      <c r="AM198" s="215">
        <f>AM180+AM186-AM192</f>
        <v>0</v>
      </c>
      <c r="AN198" s="3536">
        <f>AN180+AN186-AN192</f>
        <v>0</v>
      </c>
      <c r="AO198" s="3536">
        <f>AO180+AO186-AO192</f>
        <v>0</v>
      </c>
      <c r="AP198" s="3536">
        <f>AP180+AP186-AP192</f>
        <v>0</v>
      </c>
      <c r="AQ198" s="3536">
        <f>AQ180+AQ186-AQ192</f>
        <v>0</v>
      </c>
      <c r="AR198" s="3536">
        <f>AR180+AR186-AR192</f>
        <v>0</v>
      </c>
      <c r="AS198" s="215">
        <f>AS180+AS186-AS192</f>
        <v>0</v>
      </c>
      <c r="AT198" s="215">
        <f>AT180+AT186-AT192</f>
        <v>0</v>
      </c>
      <c r="AU198" s="215">
        <f>AU180+AU186-AU192</f>
        <v>0</v>
      </c>
      <c r="AV198" s="215">
        <f>AV180+AV186-AV192</f>
        <v>0</v>
      </c>
      <c r="AW198" s="215">
        <f>AW180+AW186-AW192</f>
        <v>0</v>
      </c>
      <c r="AX198" s="3536">
        <f>AX180+AX186-AX192</f>
        <v>0</v>
      </c>
      <c r="AY198" s="3536">
        <f>AY180+AY186-AY192</f>
        <v>0</v>
      </c>
      <c r="AZ198" s="3536">
        <f>AZ180+AZ186-AZ192</f>
        <v>0</v>
      </c>
      <c r="BA198" s="3536">
        <f>BA180+BA186-BA192</f>
        <v>0</v>
      </c>
      <c r="BB198" s="3536">
        <f>BB180+BB186-BB192</f>
        <v>0</v>
      </c>
      <c r="BC198" s="200"/>
      <c r="BD198" s="1459"/>
      <c r="BE198" s="1459"/>
      <c r="BF198" s="1034" t="s">
        <v>1678</v>
      </c>
    </row>
    <row s="525" customFormat="1" customHeight="1" ht="14.25">
      <c r="A199" s="525"/>
      <c r="B199" s="431"/>
      <c r="C199" s="525"/>
      <c r="D199" s="525"/>
      <c r="E199" s="628">
        <v>15</v>
      </c>
      <c r="F199" s="50" cm="1" t="str">
        <f t="array" ref="F199:F199">OFFSET(E199,-1,1)</f>
        <v>3</v>
      </c>
      <c r="G199" s="104" t="s">
        <v>335</v>
      </c>
      <c r="H199" s="525"/>
      <c r="I199" s="525"/>
      <c r="J199" s="525"/>
      <c r="K199" s="525"/>
      <c r="L199" s="525"/>
      <c r="M199" s="525"/>
      <c r="N199" s="525"/>
      <c r="O199" s="525"/>
      <c r="P199" s="525"/>
      <c r="Q199" s="525"/>
      <c r="R199" s="525"/>
      <c r="S199" s="525"/>
      <c r="T199" s="465" cm="1" t="str">
        <f t="array" ref="T199:T199">T198</f>
        <v>true</v>
      </c>
      <c r="U199" s="525"/>
      <c r="V199" s="525"/>
      <c r="W199" s="525"/>
      <c r="X199" s="1596"/>
      <c r="Y199" s="525"/>
      <c r="Z199" s="1597"/>
      <c r="AA199" s="525"/>
      <c r="AB199" s="211">
        <v>5</v>
      </c>
      <c r="AC199" s="212" t="s">
        <v>1679</v>
      </c>
      <c r="AD199" s="89" t="s">
        <v>1514</v>
      </c>
      <c r="AE199" s="1198">
        <f>SUM(AE200:AE204)</f>
        <v>0</v>
      </c>
      <c r="AF199" s="1198">
        <f>SUM(AF200:AF204)</f>
        <v>0</v>
      </c>
      <c r="AG199" s="1198">
        <f>SUM(AG200:AG204)</f>
        <v>0</v>
      </c>
      <c r="AH199" s="1198">
        <f>SUM(AH200:AH204)</f>
        <v>0</v>
      </c>
      <c r="AI199" s="1198">
        <f>SUM(AI200:AI204)</f>
        <v>0</v>
      </c>
      <c r="AJ199" s="1198">
        <f>SUM(AJ200:AJ204)</f>
        <v>0</v>
      </c>
      <c r="AK199" s="1198">
        <f>SUM(AK200:AK204)</f>
        <v>0</v>
      </c>
      <c r="AL199" s="1198">
        <f>SUM(AL200:AL204)</f>
        <v>0</v>
      </c>
      <c r="AM199" s="1198">
        <f>SUM(AM200:AM204)</f>
        <v>0</v>
      </c>
      <c r="AN199" s="3534">
        <f>SUM(AN200:AN204)</f>
        <v>0</v>
      </c>
      <c r="AO199" s="3534">
        <f>SUM(AO200:AO204)</f>
        <v>0</v>
      </c>
      <c r="AP199" s="3534">
        <f>SUM(AP200:AP204)</f>
        <v>0</v>
      </c>
      <c r="AQ199" s="3534">
        <f>SUM(AQ200:AQ204)</f>
        <v>0</v>
      </c>
      <c r="AR199" s="3534">
        <f>SUM(AR200:AR204)</f>
        <v>0</v>
      </c>
      <c r="AS199" s="1198">
        <f>SUM(AS200:AS204)</f>
        <v>0</v>
      </c>
      <c r="AT199" s="1198">
        <f>SUM(AT200:AT204)</f>
        <v>0</v>
      </c>
      <c r="AU199" s="1198">
        <f>SUM(AU200:AU204)</f>
        <v>0</v>
      </c>
      <c r="AV199" s="1198">
        <f>SUM(AV200:AV204)</f>
        <v>0</v>
      </c>
      <c r="AW199" s="1198">
        <f>SUM(AW200:AW204)</f>
        <v>0</v>
      </c>
      <c r="AX199" s="3534">
        <f>SUM(AX200:AX204)</f>
        <v>0</v>
      </c>
      <c r="AY199" s="3534">
        <f>SUM(AY200:AY204)</f>
        <v>0</v>
      </c>
      <c r="AZ199" s="3534">
        <f>SUM(AZ200:AZ204)</f>
        <v>0</v>
      </c>
      <c r="BA199" s="3534">
        <f>SUM(BA200:BA204)</f>
        <v>0</v>
      </c>
      <c r="BB199" s="3534">
        <f>SUM(BB200:BB204)</f>
        <v>0</v>
      </c>
      <c r="BC199" s="200"/>
      <c r="BD199" s="525"/>
      <c r="BE199" s="525"/>
      <c r="BF199" s="1034" t="s">
        <v>1680</v>
      </c>
    </row>
    <row s="1834" customFormat="1" customHeight="1" ht="0">
      <c r="A200" s="1459"/>
      <c r="B200" s="1416"/>
      <c r="C200" s="1459"/>
      <c r="D200" s="1459"/>
      <c r="E200" s="628">
        <v>15</v>
      </c>
      <c r="F200" s="50" cm="1" t="str">
        <f t="array" ref="F200:F200">OFFSET(E200,-1,1)</f>
        <v>3</v>
      </c>
      <c r="G200" s="104" t="s">
        <v>1263</v>
      </c>
      <c r="H200" s="1459"/>
      <c r="I200" s="1459"/>
      <c r="J200" s="1459"/>
      <c r="K200" s="1459"/>
      <c r="L200" s="1459"/>
      <c r="M200" s="1459"/>
      <c r="N200" s="1459"/>
      <c r="O200" s="1459"/>
      <c r="P200" s="1459"/>
      <c r="Q200" s="1459"/>
      <c r="R200" s="1459"/>
      <c r="S200" s="1459"/>
      <c r="T200" s="465" cm="1" t="str">
        <f t="array" ref="T200:T200">T199</f>
        <v>true</v>
      </c>
      <c r="U200" s="1459"/>
      <c r="V200" s="1459"/>
      <c r="W200" s="1459"/>
      <c r="X200" s="1596"/>
      <c r="Y200" s="1459"/>
      <c r="Z200" s="1597"/>
      <c r="AA200" s="1459"/>
      <c r="AB200" s="88" t="s">
        <v>1391</v>
      </c>
      <c r="AC200" s="214" t="s">
        <v>1629</v>
      </c>
      <c r="AD200" s="89" t="s">
        <v>1514</v>
      </c>
      <c r="AE200" s="215">
        <f>(AE194+AE176)/2</f>
        <v>0</v>
      </c>
      <c r="AF200" s="215">
        <f>(AF194+AF176)/2</f>
        <v>0</v>
      </c>
      <c r="AG200" s="215">
        <f>(AG194+AG176)/2</f>
        <v>0</v>
      </c>
      <c r="AH200" s="215">
        <f>(AH194+AH176)/2</f>
        <v>0</v>
      </c>
      <c r="AI200" s="215">
        <f>(AI194+AI176)/2</f>
        <v>0</v>
      </c>
      <c r="AJ200" s="215">
        <f>(AJ194+AJ176)/2</f>
        <v>0</v>
      </c>
      <c r="AK200" s="215">
        <f>(AK194+AK176)/2</f>
        <v>0</v>
      </c>
      <c r="AL200" s="215">
        <f>(AL194+AL176)/2</f>
        <v>0</v>
      </c>
      <c r="AM200" s="215">
        <f>(AM194+AM176)/2</f>
        <v>0</v>
      </c>
      <c r="AN200" s="3536">
        <f>(AN194+AN176)/2</f>
        <v>0</v>
      </c>
      <c r="AO200" s="3536">
        <f>(AO194+AO176)/2</f>
        <v>0</v>
      </c>
      <c r="AP200" s="3536">
        <f>(AP194+AP176)/2</f>
        <v>0</v>
      </c>
      <c r="AQ200" s="3536">
        <f>(AQ194+AQ176)/2</f>
        <v>0</v>
      </c>
      <c r="AR200" s="3536">
        <f>(AR194+AR176)/2</f>
        <v>0</v>
      </c>
      <c r="AS200" s="215">
        <f>(AS194+AS176)/2</f>
        <v>0</v>
      </c>
      <c r="AT200" s="215">
        <f>(AT194+AT176)/2</f>
        <v>0</v>
      </c>
      <c r="AU200" s="215">
        <f>(AU194+AU176)/2</f>
        <v>0</v>
      </c>
      <c r="AV200" s="215">
        <f>(AV194+AV176)/2</f>
        <v>0</v>
      </c>
      <c r="AW200" s="215">
        <f>(AW194+AW176)/2</f>
        <v>0</v>
      </c>
      <c r="AX200" s="3536">
        <f>(AX194+AX176)/2</f>
        <v>0</v>
      </c>
      <c r="AY200" s="3536">
        <f>(AY194+AY176)/2</f>
        <v>0</v>
      </c>
      <c r="AZ200" s="3536">
        <f>(AZ194+AZ176)/2</f>
        <v>0</v>
      </c>
      <c r="BA200" s="3536">
        <f>(BA194+BA176)/2</f>
        <v>0</v>
      </c>
      <c r="BB200" s="3536">
        <f>(BB194+BB176)/2</f>
        <v>0</v>
      </c>
      <c r="BC200" s="200"/>
      <c r="BD200" s="1459"/>
      <c r="BE200" s="1459"/>
      <c r="BF200" s="1034" t="s">
        <v>1681</v>
      </c>
    </row>
    <row s="1834" customFormat="1" customHeight="1" ht="0">
      <c r="A201" s="1459"/>
      <c r="B201" s="1416"/>
      <c r="C201" s="1459"/>
      <c r="D201" s="1459"/>
      <c r="E201" s="628">
        <v>15</v>
      </c>
      <c r="F201" s="50" cm="1" t="str">
        <f t="array" ref="F201:F201">OFFSET(E201,-1,1)</f>
        <v>3</v>
      </c>
      <c r="G201" s="104" t="s">
        <v>1267</v>
      </c>
      <c r="H201" s="1459"/>
      <c r="I201" s="1459"/>
      <c r="J201" s="1459"/>
      <c r="K201" s="1459"/>
      <c r="L201" s="1459"/>
      <c r="M201" s="1459"/>
      <c r="N201" s="1459"/>
      <c r="O201" s="1459"/>
      <c r="P201" s="1459"/>
      <c r="Q201" s="1459"/>
      <c r="R201" s="1459"/>
      <c r="S201" s="1459"/>
      <c r="T201" s="465" cm="1" t="str">
        <f t="array" ref="T201:T201">T200</f>
        <v>true</v>
      </c>
      <c r="U201" s="1459"/>
      <c r="V201" s="1459"/>
      <c r="W201" s="1459"/>
      <c r="X201" s="1596"/>
      <c r="Y201" s="1459"/>
      <c r="Z201" s="1597"/>
      <c r="AA201" s="1459"/>
      <c r="AB201" s="88" t="s">
        <v>1394</v>
      </c>
      <c r="AC201" s="214" t="s">
        <v>1632</v>
      </c>
      <c r="AD201" s="89" t="s">
        <v>1514</v>
      </c>
      <c r="AE201" s="215">
        <f>(AE195+AE177)/2</f>
        <v>0</v>
      </c>
      <c r="AF201" s="215">
        <f>(AF195+AF177)/2</f>
        <v>0</v>
      </c>
      <c r="AG201" s="215">
        <f>(AG195+AG177)/2</f>
        <v>0</v>
      </c>
      <c r="AH201" s="215">
        <f>(AH195+AH177)/2</f>
        <v>0</v>
      </c>
      <c r="AI201" s="215">
        <f>(AI195+AI177)/2</f>
        <v>0</v>
      </c>
      <c r="AJ201" s="215">
        <f>(AJ195+AJ177)/2</f>
        <v>0</v>
      </c>
      <c r="AK201" s="215">
        <f>(AK195+AK177)/2</f>
        <v>0</v>
      </c>
      <c r="AL201" s="215">
        <f>(AL195+AL177)/2</f>
        <v>0</v>
      </c>
      <c r="AM201" s="215">
        <f>(AM195+AM177)/2</f>
        <v>0</v>
      </c>
      <c r="AN201" s="3536">
        <f>(AN195+AN177)/2</f>
        <v>0</v>
      </c>
      <c r="AO201" s="3536">
        <f>(AO195+AO177)/2</f>
        <v>0</v>
      </c>
      <c r="AP201" s="3536">
        <f>(AP195+AP177)/2</f>
        <v>0</v>
      </c>
      <c r="AQ201" s="3536">
        <f>(AQ195+AQ177)/2</f>
        <v>0</v>
      </c>
      <c r="AR201" s="3536">
        <f>(AR195+AR177)/2</f>
        <v>0</v>
      </c>
      <c r="AS201" s="215">
        <f>(AS195+AS177)/2</f>
        <v>0</v>
      </c>
      <c r="AT201" s="215">
        <f>(AT195+AT177)/2</f>
        <v>0</v>
      </c>
      <c r="AU201" s="215">
        <f>(AU195+AU177)/2</f>
        <v>0</v>
      </c>
      <c r="AV201" s="215">
        <f>(AV195+AV177)/2</f>
        <v>0</v>
      </c>
      <c r="AW201" s="215">
        <f>(AW195+AW177)/2</f>
        <v>0</v>
      </c>
      <c r="AX201" s="3536">
        <f>(AX195+AX177)/2</f>
        <v>0</v>
      </c>
      <c r="AY201" s="3536">
        <f>(AY195+AY177)/2</f>
        <v>0</v>
      </c>
      <c r="AZ201" s="3536">
        <f>(AZ195+AZ177)/2</f>
        <v>0</v>
      </c>
      <c r="BA201" s="3536">
        <f>(BA195+BA177)/2</f>
        <v>0</v>
      </c>
      <c r="BB201" s="3536">
        <f>(BB195+BB177)/2</f>
        <v>0</v>
      </c>
      <c r="BC201" s="200"/>
      <c r="BD201" s="1459"/>
      <c r="BE201" s="1459"/>
      <c r="BF201" s="1034" t="s">
        <v>1682</v>
      </c>
    </row>
    <row s="1834" customFormat="1" customHeight="1" ht="0">
      <c r="A202" s="1459"/>
      <c r="B202" s="1416"/>
      <c r="C202" s="1459"/>
      <c r="D202" s="1459"/>
      <c r="E202" s="628">
        <v>15</v>
      </c>
      <c r="F202" s="50" cm="1" t="str">
        <f t="array" ref="F202:F202">OFFSET(E202,-1,1)</f>
        <v>3</v>
      </c>
      <c r="G202" s="104" t="s">
        <v>1479</v>
      </c>
      <c r="H202" s="1459"/>
      <c r="I202" s="1459"/>
      <c r="J202" s="1459"/>
      <c r="K202" s="1459"/>
      <c r="L202" s="1459"/>
      <c r="M202" s="1459"/>
      <c r="N202" s="1459"/>
      <c r="O202" s="1459"/>
      <c r="P202" s="1459"/>
      <c r="Q202" s="1459"/>
      <c r="R202" s="1459"/>
      <c r="S202" s="1459"/>
      <c r="T202" s="465" cm="1" t="str">
        <f t="array" ref="T202:T202">T201</f>
        <v>true</v>
      </c>
      <c r="U202" s="1459"/>
      <c r="V202" s="1459"/>
      <c r="W202" s="1459"/>
      <c r="X202" s="1596"/>
      <c r="Y202" s="1459"/>
      <c r="Z202" s="1597"/>
      <c r="AA202" s="1459"/>
      <c r="AB202" s="88" t="s">
        <v>1683</v>
      </c>
      <c r="AC202" s="214" t="s">
        <v>1635</v>
      </c>
      <c r="AD202" s="89" t="s">
        <v>1514</v>
      </c>
      <c r="AE202" s="215">
        <f>(AE196+AE178)/2</f>
        <v>0</v>
      </c>
      <c r="AF202" s="215">
        <f>(AF196+AF178)/2</f>
        <v>0</v>
      </c>
      <c r="AG202" s="215">
        <f>(AG196+AG178)/2</f>
        <v>0</v>
      </c>
      <c r="AH202" s="215">
        <f>(AH196+AH178)/2</f>
        <v>0</v>
      </c>
      <c r="AI202" s="215">
        <f>(AI196+AI178)/2</f>
        <v>0</v>
      </c>
      <c r="AJ202" s="215">
        <f>(AJ196+AJ178)/2</f>
        <v>0</v>
      </c>
      <c r="AK202" s="215">
        <f>(AK196+AK178)/2</f>
        <v>0</v>
      </c>
      <c r="AL202" s="215">
        <f>(AL196+AL178)/2</f>
        <v>0</v>
      </c>
      <c r="AM202" s="215">
        <f>(AM196+AM178)/2</f>
        <v>0</v>
      </c>
      <c r="AN202" s="3536">
        <f>(AN196+AN178)/2</f>
        <v>0</v>
      </c>
      <c r="AO202" s="3536">
        <f>(AO196+AO178)/2</f>
        <v>0</v>
      </c>
      <c r="AP202" s="3536">
        <f>(AP196+AP178)/2</f>
        <v>0</v>
      </c>
      <c r="AQ202" s="3536">
        <f>(AQ196+AQ178)/2</f>
        <v>0</v>
      </c>
      <c r="AR202" s="3536">
        <f>(AR196+AR178)/2</f>
        <v>0</v>
      </c>
      <c r="AS202" s="215">
        <f>(AS196+AS178)/2</f>
        <v>0</v>
      </c>
      <c r="AT202" s="215">
        <f>(AT196+AT178)/2</f>
        <v>0</v>
      </c>
      <c r="AU202" s="215">
        <f>(AU196+AU178)/2</f>
        <v>0</v>
      </c>
      <c r="AV202" s="215">
        <f>(AV196+AV178)/2</f>
        <v>0</v>
      </c>
      <c r="AW202" s="215">
        <f>(AW196+AW178)/2</f>
        <v>0</v>
      </c>
      <c r="AX202" s="3536">
        <f>(AX196+AX178)/2</f>
        <v>0</v>
      </c>
      <c r="AY202" s="3536">
        <f>(AY196+AY178)/2</f>
        <v>0</v>
      </c>
      <c r="AZ202" s="3536">
        <f>(AZ196+AZ178)/2</f>
        <v>0</v>
      </c>
      <c r="BA202" s="3536">
        <f>(BA196+BA178)/2</f>
        <v>0</v>
      </c>
      <c r="BB202" s="3536">
        <f>(BB196+BB178)/2</f>
        <v>0</v>
      </c>
      <c r="BC202" s="200"/>
      <c r="BD202" s="1459"/>
      <c r="BE202" s="1459"/>
      <c r="BF202" s="1034" t="s">
        <v>1684</v>
      </c>
    </row>
    <row s="1834" customFormat="1" customHeight="1" ht="0">
      <c r="A203" s="1459"/>
      <c r="B203" s="1416"/>
      <c r="C203" s="1459"/>
      <c r="D203" s="1459"/>
      <c r="E203" s="628">
        <v>15</v>
      </c>
      <c r="F203" s="50" cm="1" t="str">
        <f t="array" ref="F203:F203">OFFSET(E203,-1,1)</f>
        <v>3</v>
      </c>
      <c r="G203" s="104" t="s">
        <v>1685</v>
      </c>
      <c r="H203" s="1459"/>
      <c r="I203" s="1459"/>
      <c r="J203" s="1459"/>
      <c r="K203" s="1459"/>
      <c r="L203" s="1459"/>
      <c r="M203" s="1459"/>
      <c r="N203" s="1459"/>
      <c r="O203" s="1459"/>
      <c r="P203" s="1459"/>
      <c r="Q203" s="1459"/>
      <c r="R203" s="1459"/>
      <c r="S203" s="1459"/>
      <c r="T203" s="465" cm="1" t="str">
        <f t="array" ref="T203:T203">T202</f>
        <v>true</v>
      </c>
      <c r="U203" s="1459"/>
      <c r="V203" s="1459"/>
      <c r="W203" s="1459"/>
      <c r="X203" s="1596"/>
      <c r="Y203" s="1459"/>
      <c r="Z203" s="1597"/>
      <c r="AA203" s="1459"/>
      <c r="AB203" s="88" t="s">
        <v>1686</v>
      </c>
      <c r="AC203" s="214" t="s">
        <v>1638</v>
      </c>
      <c r="AD203" s="89" t="s">
        <v>1514</v>
      </c>
      <c r="AE203" s="215">
        <f>(AE197+AE179)/2</f>
        <v>0</v>
      </c>
      <c r="AF203" s="215">
        <f>(AF197+AF179)/2</f>
        <v>0</v>
      </c>
      <c r="AG203" s="215">
        <f>(AG197+AG179)/2</f>
        <v>0</v>
      </c>
      <c r="AH203" s="215">
        <f>(AH197+AH179)/2</f>
        <v>0</v>
      </c>
      <c r="AI203" s="215">
        <f>(AI197+AI179)/2</f>
        <v>0</v>
      </c>
      <c r="AJ203" s="215">
        <f>(AJ197+AJ179)/2</f>
        <v>0</v>
      </c>
      <c r="AK203" s="215">
        <f>(AK197+AK179)/2</f>
        <v>0</v>
      </c>
      <c r="AL203" s="215">
        <f>(AL197+AL179)/2</f>
        <v>0</v>
      </c>
      <c r="AM203" s="215">
        <f>(AM197+AM179)/2</f>
        <v>0</v>
      </c>
      <c r="AN203" s="3536">
        <f>(AN197+AN179)/2</f>
        <v>0</v>
      </c>
      <c r="AO203" s="3536">
        <f>(AO197+AO179)/2</f>
        <v>0</v>
      </c>
      <c r="AP203" s="3536">
        <f>(AP197+AP179)/2</f>
        <v>0</v>
      </c>
      <c r="AQ203" s="3536">
        <f>(AQ197+AQ179)/2</f>
        <v>0</v>
      </c>
      <c r="AR203" s="3536">
        <f>(AR197+AR179)/2</f>
        <v>0</v>
      </c>
      <c r="AS203" s="215">
        <f>(AS197+AS179)/2</f>
        <v>0</v>
      </c>
      <c r="AT203" s="215">
        <f>(AT197+AT179)/2</f>
        <v>0</v>
      </c>
      <c r="AU203" s="215">
        <f>(AU197+AU179)/2</f>
        <v>0</v>
      </c>
      <c r="AV203" s="215">
        <f>(AV197+AV179)/2</f>
        <v>0</v>
      </c>
      <c r="AW203" s="215">
        <f>(AW197+AW179)/2</f>
        <v>0</v>
      </c>
      <c r="AX203" s="3536">
        <f>(AX197+AX179)/2</f>
        <v>0</v>
      </c>
      <c r="AY203" s="3536">
        <f>(AY197+AY179)/2</f>
        <v>0</v>
      </c>
      <c r="AZ203" s="3536">
        <f>(AZ197+AZ179)/2</f>
        <v>0</v>
      </c>
      <c r="BA203" s="3536">
        <f>(BA197+BA179)/2</f>
        <v>0</v>
      </c>
      <c r="BB203" s="3536">
        <f>(BB197+BB179)/2</f>
        <v>0</v>
      </c>
      <c r="BC203" s="200"/>
      <c r="BD203" s="1459"/>
      <c r="BE203" s="1459"/>
      <c r="BF203" s="1034" t="s">
        <v>1687</v>
      </c>
    </row>
    <row s="1834" customFormat="1" customHeight="1" ht="0">
      <c r="A204" s="1459"/>
      <c r="B204" s="1416"/>
      <c r="C204" s="1459"/>
      <c r="D204" s="1459"/>
      <c r="E204" s="628">
        <v>15</v>
      </c>
      <c r="F204" s="50" cm="1" t="str">
        <f t="array" ref="F204:F204">OFFSET(E204,-1,1)</f>
        <v>3</v>
      </c>
      <c r="G204" s="104" t="s">
        <v>1688</v>
      </c>
      <c r="H204" s="1459"/>
      <c r="I204" s="1459"/>
      <c r="J204" s="1459"/>
      <c r="K204" s="1459"/>
      <c r="L204" s="1459"/>
      <c r="M204" s="1459"/>
      <c r="N204" s="1459"/>
      <c r="O204" s="1459"/>
      <c r="P204" s="1459"/>
      <c r="Q204" s="1459"/>
      <c r="R204" s="1459"/>
      <c r="S204" s="1459"/>
      <c r="T204" s="465" cm="1" t="str">
        <f t="array" ref="T204:T204">T203</f>
        <v>true</v>
      </c>
      <c r="U204" s="1459"/>
      <c r="V204" s="1459"/>
      <c r="W204" s="1459"/>
      <c r="X204" s="1596"/>
      <c r="Y204" s="1459"/>
      <c r="Z204" s="1597"/>
      <c r="AA204" s="1459"/>
      <c r="AB204" s="88" t="s">
        <v>1689</v>
      </c>
      <c r="AC204" s="214" t="s">
        <v>1642</v>
      </c>
      <c r="AD204" s="89" t="s">
        <v>1514</v>
      </c>
      <c r="AE204" s="215">
        <f>(AE198+AE180)/2</f>
        <v>0</v>
      </c>
      <c r="AF204" s="215">
        <f>(AF198+AF180)/2</f>
        <v>0</v>
      </c>
      <c r="AG204" s="215">
        <f>(AG198+AG180)/2</f>
        <v>0</v>
      </c>
      <c r="AH204" s="215">
        <f>(AH198+AH180)/2</f>
        <v>0</v>
      </c>
      <c r="AI204" s="215">
        <f>(AI198+AI180)/2</f>
        <v>0</v>
      </c>
      <c r="AJ204" s="215">
        <f>(AJ198+AJ180)/2</f>
        <v>0</v>
      </c>
      <c r="AK204" s="215">
        <f>(AK198+AK180)/2</f>
        <v>0</v>
      </c>
      <c r="AL204" s="215">
        <f>(AL198+AL180)/2</f>
        <v>0</v>
      </c>
      <c r="AM204" s="215">
        <f>(AM198+AM180)/2</f>
        <v>0</v>
      </c>
      <c r="AN204" s="3536">
        <f>(AN198+AN180)/2</f>
        <v>0</v>
      </c>
      <c r="AO204" s="3536">
        <f>(AO198+AO180)/2</f>
        <v>0</v>
      </c>
      <c r="AP204" s="3536">
        <f>(AP198+AP180)/2</f>
        <v>0</v>
      </c>
      <c r="AQ204" s="3536">
        <f>(AQ198+AQ180)/2</f>
        <v>0</v>
      </c>
      <c r="AR204" s="3536">
        <f>(AR198+AR180)/2</f>
        <v>0</v>
      </c>
      <c r="AS204" s="215">
        <f>(AS198+AS180)/2</f>
        <v>0</v>
      </c>
      <c r="AT204" s="215">
        <f>(AT198+AT180)/2</f>
        <v>0</v>
      </c>
      <c r="AU204" s="215">
        <f>(AU198+AU180)/2</f>
        <v>0</v>
      </c>
      <c r="AV204" s="215">
        <f>(AV198+AV180)/2</f>
        <v>0</v>
      </c>
      <c r="AW204" s="215">
        <f>(AW198+AW180)/2</f>
        <v>0</v>
      </c>
      <c r="AX204" s="3536">
        <f>(AX198+AX180)/2</f>
        <v>0</v>
      </c>
      <c r="AY204" s="3536">
        <f>(AY198+AY180)/2</f>
        <v>0</v>
      </c>
      <c r="AZ204" s="3536">
        <f>(AZ198+AZ180)/2</f>
        <v>0</v>
      </c>
      <c r="BA204" s="3536">
        <f>(BA198+BA180)/2</f>
        <v>0</v>
      </c>
      <c r="BB204" s="3536">
        <f>(BB198+BB180)/2</f>
        <v>0</v>
      </c>
      <c r="BC204" s="200"/>
      <c r="BD204" s="1459"/>
      <c r="BE204" s="1459"/>
      <c r="BF204" s="1034" t="s">
        <v>1690</v>
      </c>
    </row>
    <row s="525" customFormat="1" customHeight="1" ht="21.75">
      <c r="A205" s="525"/>
      <c r="B205" s="431"/>
      <c r="C205" s="525"/>
      <c r="D205" s="525"/>
      <c r="E205" s="669">
        <v>22.5</v>
      </c>
      <c r="F205" s="50" cm="1" t="str">
        <f t="array" ref="F205:F205">OFFSET(E205,-1,1)</f>
        <v>3</v>
      </c>
      <c r="G205" s="104" t="s">
        <v>1225</v>
      </c>
      <c r="H205" s="525"/>
      <c r="I205" s="525"/>
      <c r="J205" s="525"/>
      <c r="K205" s="525"/>
      <c r="L205" s="525"/>
      <c r="M205" s="525"/>
      <c r="N205" s="525"/>
      <c r="O205" s="525"/>
      <c r="P205" s="525"/>
      <c r="Q205" s="525"/>
      <c r="R205" s="525"/>
      <c r="S205" s="525"/>
      <c r="T205" s="465" cm="1" t="str">
        <f t="array" ref="T205:T205">T204</f>
        <v>true</v>
      </c>
      <c r="U205" s="525"/>
      <c r="V205" s="525"/>
      <c r="W205" s="525"/>
      <c r="X205" s="1596"/>
      <c r="Y205" s="525"/>
      <c r="Z205" s="1597"/>
      <c r="AA205" s="525"/>
      <c r="AB205" s="211">
        <v>6</v>
      </c>
      <c r="AC205" s="212" t="s">
        <v>1691</v>
      </c>
      <c r="AD205" s="211"/>
      <c r="AE205" s="216"/>
      <c r="AF205" s="216"/>
      <c r="AG205" s="216"/>
      <c r="AH205" s="216"/>
      <c r="AI205" s="216"/>
      <c r="AJ205" s="216"/>
      <c r="AK205" s="216"/>
      <c r="AL205" s="216"/>
      <c r="AM205" s="216"/>
      <c r="AN205" s="216"/>
      <c r="AO205" s="216"/>
      <c r="AP205" s="216"/>
      <c r="AQ205" s="216"/>
      <c r="AR205" s="216"/>
      <c r="AS205" s="216"/>
      <c r="AT205" s="216"/>
      <c r="AU205" s="216"/>
      <c r="AV205" s="216"/>
      <c r="AW205" s="216"/>
      <c r="AX205" s="216"/>
      <c r="AY205" s="216"/>
      <c r="AZ205" s="216"/>
      <c r="BA205" s="216"/>
      <c r="BB205" s="216"/>
      <c r="BC205" s="200"/>
      <c r="BD205" s="525"/>
      <c r="BE205" s="525"/>
      <c r="BF205" s="1034" t="s">
        <v>1692</v>
      </c>
    </row>
    <row s="1834" customFormat="1" customHeight="1" ht="0">
      <c r="A206" s="1459"/>
      <c r="B206" s="1416"/>
      <c r="C206" s="1459"/>
      <c r="D206" s="1459"/>
      <c r="E206" s="628">
        <v>15</v>
      </c>
      <c r="F206" s="50" cm="1" t="str">
        <f t="array" ref="F206:F206">OFFSET(E206,-1,1)</f>
        <v>3</v>
      </c>
      <c r="G206" s="104" t="s">
        <v>1383</v>
      </c>
      <c r="H206" s="1459"/>
      <c r="I206" s="1459"/>
      <c r="J206" s="1459"/>
      <c r="K206" s="1459"/>
      <c r="L206" s="1459"/>
      <c r="M206" s="1459"/>
      <c r="N206" s="1459"/>
      <c r="O206" s="1459"/>
      <c r="P206" s="1459"/>
      <c r="Q206" s="1459"/>
      <c r="R206" s="1459"/>
      <c r="S206" s="1459"/>
      <c r="T206" s="465" cm="1" t="str">
        <f t="array" ref="T206:T206">T205</f>
        <v>true</v>
      </c>
      <c r="U206" s="1459"/>
      <c r="V206" s="1459"/>
      <c r="W206" s="1459"/>
      <c r="X206" s="1596"/>
      <c r="Y206" s="1459"/>
      <c r="Z206" s="1597"/>
      <c r="AA206" s="1459"/>
      <c r="AB206" s="88" t="s">
        <v>1279</v>
      </c>
      <c r="AC206" s="214" t="s">
        <v>1629</v>
      </c>
      <c r="AD206" s="88" t="s">
        <v>1170</v>
      </c>
      <c r="AE206" s="215">
        <f>IF(AE200=0,0,AE212/AE200*100)</f>
        <v>0</v>
      </c>
      <c r="AF206" s="215">
        <f>IF(AF200=0,0,AF212/AF200*100)</f>
        <v>0</v>
      </c>
      <c r="AG206" s="215">
        <f>IF(AG200=0,0,AG212/AG200*100)</f>
        <v>0</v>
      </c>
      <c r="AH206" s="215">
        <f>IF(AH200=0,0,AH212/AH200*100)</f>
        <v>0</v>
      </c>
      <c r="AI206" s="215">
        <f>IF(AI200=0,0,AI212/AI200*100)</f>
        <v>0</v>
      </c>
      <c r="AJ206" s="215">
        <f>IF(AJ200=0,0,AJ212/AJ200*100)</f>
        <v>0</v>
      </c>
      <c r="AK206" s="215">
        <f>IF(AK200=0,0,AK212/AK200*100)</f>
        <v>0</v>
      </c>
      <c r="AL206" s="215">
        <f>IF(AL200=0,0,AL212/AL200*100)</f>
        <v>0</v>
      </c>
      <c r="AM206" s="215">
        <f>IF(AM200=0,0,AM212/AM200*100)</f>
        <v>0</v>
      </c>
      <c r="AN206" s="3536">
        <f>IF(AN200=0,0,AN212/AN200*100)</f>
        <v>0</v>
      </c>
      <c r="AO206" s="3536">
        <f>IF(AO200=0,0,AO212/AO200*100)</f>
        <v>0</v>
      </c>
      <c r="AP206" s="3536">
        <f>IF(AP200=0,0,AP212/AP200*100)</f>
        <v>0</v>
      </c>
      <c r="AQ206" s="3536">
        <f>IF(AQ200=0,0,AQ212/AQ200*100)</f>
        <v>0</v>
      </c>
      <c r="AR206" s="3536">
        <f>IF(AR200=0,0,AR212/AR200*100)</f>
        <v>0</v>
      </c>
      <c r="AS206" s="215">
        <f>IF(AS200=0,0,AS212/AS200*100)</f>
        <v>0</v>
      </c>
      <c r="AT206" s="215">
        <f>IF(AT200=0,0,AT212/AT200*100)</f>
        <v>0</v>
      </c>
      <c r="AU206" s="215">
        <f>IF(AU200=0,0,AU212/AU200*100)</f>
        <v>0</v>
      </c>
      <c r="AV206" s="215">
        <f>IF(AV200=0,0,AV212/AV200*100)</f>
        <v>0</v>
      </c>
      <c r="AW206" s="215">
        <f>IF(AW200=0,0,AW212/AW200*100)</f>
        <v>0</v>
      </c>
      <c r="AX206" s="3536">
        <f>IF(AX200=0,0,AX212/AX200*100)</f>
        <v>0</v>
      </c>
      <c r="AY206" s="3536">
        <f>IF(AY200=0,0,AY212/AY200*100)</f>
        <v>0</v>
      </c>
      <c r="AZ206" s="3536">
        <f>IF(AZ200=0,0,AZ212/AZ200*100)</f>
        <v>0</v>
      </c>
      <c r="BA206" s="3536">
        <f>IF(BA200=0,0,BA212/BA200*100)</f>
        <v>0</v>
      </c>
      <c r="BB206" s="3536">
        <f>IF(BB200=0,0,BB212/BB200*100)</f>
        <v>0</v>
      </c>
      <c r="BC206" s="200"/>
      <c r="BD206" s="1459"/>
      <c r="BE206" s="1459"/>
      <c r="BF206" s="1034" t="s">
        <v>1693</v>
      </c>
    </row>
    <row s="1834" customFormat="1" customHeight="1" ht="0">
      <c r="A207" s="1459"/>
      <c r="B207" s="1416"/>
      <c r="C207" s="1459"/>
      <c r="D207" s="1459"/>
      <c r="E207" s="628">
        <v>15</v>
      </c>
      <c r="F207" s="50" cm="1" t="str">
        <f t="array" ref="F207:F207">OFFSET(E207,-1,1)</f>
        <v>3</v>
      </c>
      <c r="G207" s="104" t="s">
        <v>1386</v>
      </c>
      <c r="H207" s="1459"/>
      <c r="I207" s="1459"/>
      <c r="J207" s="1459"/>
      <c r="K207" s="1459"/>
      <c r="L207" s="1459"/>
      <c r="M207" s="1459"/>
      <c r="N207" s="1459"/>
      <c r="O207" s="1459"/>
      <c r="P207" s="1459"/>
      <c r="Q207" s="1459"/>
      <c r="R207" s="1459"/>
      <c r="S207" s="1459"/>
      <c r="T207" s="465" cm="1" t="str">
        <f t="array" ref="T207:T207">T206</f>
        <v>true</v>
      </c>
      <c r="U207" s="1459"/>
      <c r="V207" s="1459"/>
      <c r="W207" s="1459"/>
      <c r="X207" s="1596"/>
      <c r="Y207" s="1459"/>
      <c r="Z207" s="1597"/>
      <c r="AA207" s="1459"/>
      <c r="AB207" s="88" t="s">
        <v>1283</v>
      </c>
      <c r="AC207" s="214" t="s">
        <v>1632</v>
      </c>
      <c r="AD207" s="88" t="s">
        <v>1170</v>
      </c>
      <c r="AE207" s="215">
        <f>IF(AE201=0,0,AE213/AE201*100)</f>
        <v>0</v>
      </c>
      <c r="AF207" s="215">
        <f>IF(AF201=0,0,AF213/AF201*100)</f>
        <v>0</v>
      </c>
      <c r="AG207" s="215">
        <f>IF(AG201=0,0,AG213/AG201*100)</f>
        <v>0</v>
      </c>
      <c r="AH207" s="215">
        <f>IF(AH201=0,0,AH213/AH201*100)</f>
        <v>0</v>
      </c>
      <c r="AI207" s="215">
        <f>IF(AI201=0,0,AI213/AI201*100)</f>
        <v>0</v>
      </c>
      <c r="AJ207" s="215">
        <f>IF(AJ201=0,0,AJ213/AJ201*100)</f>
        <v>0</v>
      </c>
      <c r="AK207" s="215">
        <f>IF(AK201=0,0,AK213/AK201*100)</f>
        <v>0</v>
      </c>
      <c r="AL207" s="215">
        <f>IF(AL201=0,0,AL213/AL201*100)</f>
        <v>0</v>
      </c>
      <c r="AM207" s="215">
        <f>IF(AM201=0,0,AM213/AM201*100)</f>
        <v>0</v>
      </c>
      <c r="AN207" s="3536">
        <f>IF(AN201=0,0,AN213/AN201*100)</f>
        <v>0</v>
      </c>
      <c r="AO207" s="3536">
        <f>IF(AO201=0,0,AO213/AO201*100)</f>
        <v>0</v>
      </c>
      <c r="AP207" s="3536">
        <f>IF(AP201=0,0,AP213/AP201*100)</f>
        <v>0</v>
      </c>
      <c r="AQ207" s="3536">
        <f>IF(AQ201=0,0,AQ213/AQ201*100)</f>
        <v>0</v>
      </c>
      <c r="AR207" s="3536">
        <f>IF(AR201=0,0,AR213/AR201*100)</f>
        <v>0</v>
      </c>
      <c r="AS207" s="215">
        <f>IF(AS201=0,0,AS213/AS201*100)</f>
        <v>0</v>
      </c>
      <c r="AT207" s="215">
        <f>IF(AT201=0,0,AT213/AT201*100)</f>
        <v>0</v>
      </c>
      <c r="AU207" s="215">
        <f>IF(AU201=0,0,AU213/AU201*100)</f>
        <v>0</v>
      </c>
      <c r="AV207" s="215">
        <f>IF(AV201=0,0,AV213/AV201*100)</f>
        <v>0</v>
      </c>
      <c r="AW207" s="215">
        <f>IF(AW201=0,0,AW213/AW201*100)</f>
        <v>0</v>
      </c>
      <c r="AX207" s="3536">
        <f>IF(AX201=0,0,AX213/AX201*100)</f>
        <v>0</v>
      </c>
      <c r="AY207" s="3536">
        <f>IF(AY201=0,0,AY213/AY201*100)</f>
        <v>0</v>
      </c>
      <c r="AZ207" s="3536">
        <f>IF(AZ201=0,0,AZ213/AZ201*100)</f>
        <v>0</v>
      </c>
      <c r="BA207" s="3536">
        <f>IF(BA201=0,0,BA213/BA201*100)</f>
        <v>0</v>
      </c>
      <c r="BB207" s="3536">
        <f>IF(BB201=0,0,BB213/BB201*100)</f>
        <v>0</v>
      </c>
      <c r="BC207" s="200"/>
      <c r="BD207" s="1459"/>
      <c r="BE207" s="1459"/>
      <c r="BF207" s="1034" t="s">
        <v>1694</v>
      </c>
    </row>
    <row s="1834" customFormat="1" customHeight="1" ht="0">
      <c r="A208" s="1459"/>
      <c r="B208" s="1416"/>
      <c r="C208" s="1459"/>
      <c r="D208" s="1459"/>
      <c r="E208" s="628">
        <v>15</v>
      </c>
      <c r="F208" s="50" cm="1" t="str">
        <f t="array" ref="F208:F208">OFFSET(E208,-1,1)</f>
        <v>3</v>
      </c>
      <c r="G208" s="104" t="s">
        <v>1420</v>
      </c>
      <c r="H208" s="1459"/>
      <c r="I208" s="1459"/>
      <c r="J208" s="1459"/>
      <c r="K208" s="1459"/>
      <c r="L208" s="1459"/>
      <c r="M208" s="1459"/>
      <c r="N208" s="1459"/>
      <c r="O208" s="1459"/>
      <c r="P208" s="1459"/>
      <c r="Q208" s="1459"/>
      <c r="R208" s="1459"/>
      <c r="S208" s="1459"/>
      <c r="T208" s="465" cm="1" t="str">
        <f t="array" ref="T208:T208">T207</f>
        <v>true</v>
      </c>
      <c r="U208" s="1459"/>
      <c r="V208" s="1459"/>
      <c r="W208" s="1459"/>
      <c r="X208" s="1596"/>
      <c r="Y208" s="1459"/>
      <c r="Z208" s="1597"/>
      <c r="AA208" s="1459"/>
      <c r="AB208" s="88" t="s">
        <v>1287</v>
      </c>
      <c r="AC208" s="214" t="s">
        <v>1635</v>
      </c>
      <c r="AD208" s="88" t="s">
        <v>1170</v>
      </c>
      <c r="AE208" s="215">
        <f>IF(AE202=0,0,AE214/AE202*100)</f>
        <v>0</v>
      </c>
      <c r="AF208" s="215">
        <f>IF(AF202=0,0,AF214/AF202*100)</f>
        <v>0</v>
      </c>
      <c r="AG208" s="215">
        <f>IF(AG202=0,0,AG214/AG202*100)</f>
        <v>0</v>
      </c>
      <c r="AH208" s="215">
        <f>IF(AH202=0,0,AH214/AH202*100)</f>
        <v>0</v>
      </c>
      <c r="AI208" s="215">
        <f>IF(AI202=0,0,AI214/AI202*100)</f>
        <v>0</v>
      </c>
      <c r="AJ208" s="215">
        <f>IF(AJ202=0,0,AJ214/AJ202*100)</f>
        <v>0</v>
      </c>
      <c r="AK208" s="215">
        <f>IF(AK202=0,0,AK214/AK202*100)</f>
        <v>0</v>
      </c>
      <c r="AL208" s="215">
        <f>IF(AL202=0,0,AL214/AL202*100)</f>
        <v>0</v>
      </c>
      <c r="AM208" s="215">
        <f>IF(AM202=0,0,AM214/AM202*100)</f>
        <v>0</v>
      </c>
      <c r="AN208" s="3536">
        <f>IF(AN202=0,0,AN214/AN202*100)</f>
        <v>0</v>
      </c>
      <c r="AO208" s="3536">
        <f>IF(AO202=0,0,AO214/AO202*100)</f>
        <v>0</v>
      </c>
      <c r="AP208" s="3536">
        <f>IF(AP202=0,0,AP214/AP202*100)</f>
        <v>0</v>
      </c>
      <c r="AQ208" s="3536">
        <f>IF(AQ202=0,0,AQ214/AQ202*100)</f>
        <v>0</v>
      </c>
      <c r="AR208" s="3536">
        <f>IF(AR202=0,0,AR214/AR202*100)</f>
        <v>0</v>
      </c>
      <c r="AS208" s="215">
        <f>IF(AS202=0,0,AS214/AS202*100)</f>
        <v>0</v>
      </c>
      <c r="AT208" s="215">
        <f>IF(AT202=0,0,AT214/AT202*100)</f>
        <v>0</v>
      </c>
      <c r="AU208" s="215">
        <f>IF(AU202=0,0,AU214/AU202*100)</f>
        <v>0</v>
      </c>
      <c r="AV208" s="215">
        <f>IF(AV202=0,0,AV214/AV202*100)</f>
        <v>0</v>
      </c>
      <c r="AW208" s="215">
        <f>IF(AW202=0,0,AW214/AW202*100)</f>
        <v>0</v>
      </c>
      <c r="AX208" s="3536">
        <f>IF(AX202=0,0,AX214/AX202*100)</f>
        <v>0</v>
      </c>
      <c r="AY208" s="3536">
        <f>IF(AY202=0,0,AY214/AY202*100)</f>
        <v>0</v>
      </c>
      <c r="AZ208" s="3536">
        <f>IF(AZ202=0,0,AZ214/AZ202*100)</f>
        <v>0</v>
      </c>
      <c r="BA208" s="3536">
        <f>IF(BA202=0,0,BA214/BA202*100)</f>
        <v>0</v>
      </c>
      <c r="BB208" s="3536">
        <f>IF(BB202=0,0,BB214/BB202*100)</f>
        <v>0</v>
      </c>
      <c r="BC208" s="200"/>
      <c r="BD208" s="1459"/>
      <c r="BE208" s="1459"/>
      <c r="BF208" s="1034" t="s">
        <v>1695</v>
      </c>
    </row>
    <row s="1834" customFormat="1" customHeight="1" ht="0">
      <c r="A209" s="1459"/>
      <c r="B209" s="1416"/>
      <c r="C209" s="1459"/>
      <c r="D209" s="1459"/>
      <c r="E209" s="628">
        <v>15</v>
      </c>
      <c r="F209" s="50" cm="1" t="str">
        <f t="array" ref="F209:F209">OFFSET(E209,-1,1)</f>
        <v>3</v>
      </c>
      <c r="G209" s="104" t="s">
        <v>1429</v>
      </c>
      <c r="H209" s="1459"/>
      <c r="I209" s="1459"/>
      <c r="J209" s="1459"/>
      <c r="K209" s="1459"/>
      <c r="L209" s="1459"/>
      <c r="M209" s="1459"/>
      <c r="N209" s="1459"/>
      <c r="O209" s="1459"/>
      <c r="P209" s="1459"/>
      <c r="Q209" s="1459"/>
      <c r="R209" s="1459"/>
      <c r="S209" s="1459"/>
      <c r="T209" s="465" cm="1" t="str">
        <f t="array" ref="T209:T209">T208</f>
        <v>true</v>
      </c>
      <c r="U209" s="1459"/>
      <c r="V209" s="1459"/>
      <c r="W209" s="1459"/>
      <c r="X209" s="1596"/>
      <c r="Y209" s="1459"/>
      <c r="Z209" s="1597"/>
      <c r="AA209" s="1459"/>
      <c r="AB209" s="88" t="s">
        <v>1696</v>
      </c>
      <c r="AC209" s="214" t="s">
        <v>1638</v>
      </c>
      <c r="AD209" s="88" t="s">
        <v>1170</v>
      </c>
      <c r="AE209" s="215">
        <f>IF(AE203=0,0,AE215/AE203*100)</f>
        <v>0</v>
      </c>
      <c r="AF209" s="215">
        <f>IF(AF203=0,0,AF215/AF203*100)</f>
        <v>0</v>
      </c>
      <c r="AG209" s="215">
        <f>IF(AG203=0,0,AG215/AG203*100)</f>
        <v>0</v>
      </c>
      <c r="AH209" s="215">
        <f>IF(AH203=0,0,AH215/AH203*100)</f>
        <v>0</v>
      </c>
      <c r="AI209" s="215">
        <f>IF(AI203=0,0,AI215/AI203*100)</f>
        <v>0</v>
      </c>
      <c r="AJ209" s="215">
        <f>IF(AJ203=0,0,AJ215/AJ203*100)</f>
        <v>0</v>
      </c>
      <c r="AK209" s="215">
        <f>IF(AK203=0,0,AK215/AK203*100)</f>
        <v>0</v>
      </c>
      <c r="AL209" s="215">
        <f>IF(AL203=0,0,AL215/AL203*100)</f>
        <v>0</v>
      </c>
      <c r="AM209" s="215">
        <f>IF(AM203=0,0,AM215/AM203*100)</f>
        <v>0</v>
      </c>
      <c r="AN209" s="3536">
        <f>IF(AN203=0,0,AN215/AN203*100)</f>
        <v>0</v>
      </c>
      <c r="AO209" s="3536">
        <f>IF(AO203=0,0,AO215/AO203*100)</f>
        <v>0</v>
      </c>
      <c r="AP209" s="3536">
        <f>IF(AP203=0,0,AP215/AP203*100)</f>
        <v>0</v>
      </c>
      <c r="AQ209" s="3536">
        <f>IF(AQ203=0,0,AQ215/AQ203*100)</f>
        <v>0</v>
      </c>
      <c r="AR209" s="3536">
        <f>IF(AR203=0,0,AR215/AR203*100)</f>
        <v>0</v>
      </c>
      <c r="AS209" s="215">
        <f>IF(AS203=0,0,AS215/AS203*100)</f>
        <v>0</v>
      </c>
      <c r="AT209" s="215">
        <f>IF(AT203=0,0,AT215/AT203*100)</f>
        <v>0</v>
      </c>
      <c r="AU209" s="215">
        <f>IF(AU203=0,0,AU215/AU203*100)</f>
        <v>0</v>
      </c>
      <c r="AV209" s="215">
        <f>IF(AV203=0,0,AV215/AV203*100)</f>
        <v>0</v>
      </c>
      <c r="AW209" s="215">
        <f>IF(AW203=0,0,AW215/AW203*100)</f>
        <v>0</v>
      </c>
      <c r="AX209" s="3536">
        <f>IF(AX203=0,0,AX215/AX203*100)</f>
        <v>0</v>
      </c>
      <c r="AY209" s="3536">
        <f>IF(AY203=0,0,AY215/AY203*100)</f>
        <v>0</v>
      </c>
      <c r="AZ209" s="3536">
        <f>IF(AZ203=0,0,AZ215/AZ203*100)</f>
        <v>0</v>
      </c>
      <c r="BA209" s="3536">
        <f>IF(BA203=0,0,BA215/BA203*100)</f>
        <v>0</v>
      </c>
      <c r="BB209" s="3536">
        <f>IF(BB203=0,0,BB215/BB203*100)</f>
        <v>0</v>
      </c>
      <c r="BC209" s="200"/>
      <c r="BD209" s="1459"/>
      <c r="BE209" s="1459"/>
      <c r="BF209" s="1034" t="s">
        <v>1697</v>
      </c>
    </row>
    <row s="1834" customFormat="1" customHeight="1" ht="0">
      <c r="A210" s="1459"/>
      <c r="B210" s="1416"/>
      <c r="C210" s="1459"/>
      <c r="D210" s="1459"/>
      <c r="E210" s="628">
        <v>15</v>
      </c>
      <c r="F210" s="50" cm="1" t="str">
        <f t="array" ref="F210:F210">OFFSET(E210,-1,1)</f>
        <v>3</v>
      </c>
      <c r="G210" s="104" t="s">
        <v>1439</v>
      </c>
      <c r="H210" s="1459"/>
      <c r="I210" s="1459"/>
      <c r="J210" s="1459"/>
      <c r="K210" s="1459"/>
      <c r="L210" s="1459"/>
      <c r="M210" s="1459"/>
      <c r="N210" s="1459"/>
      <c r="O210" s="1459"/>
      <c r="P210" s="1459"/>
      <c r="Q210" s="1459"/>
      <c r="R210" s="1459"/>
      <c r="S210" s="1459"/>
      <c r="T210" s="465" cm="1" t="str">
        <f t="array" ref="T210:T210">T209</f>
        <v>true</v>
      </c>
      <c r="U210" s="1459"/>
      <c r="V210" s="1459"/>
      <c r="W210" s="1459"/>
      <c r="X210" s="1596"/>
      <c r="Y210" s="1459"/>
      <c r="Z210" s="1597"/>
      <c r="AA210" s="1459"/>
      <c r="AB210" s="88" t="s">
        <v>1698</v>
      </c>
      <c r="AC210" s="214" t="s">
        <v>1642</v>
      </c>
      <c r="AD210" s="88" t="s">
        <v>1170</v>
      </c>
      <c r="AE210" s="215">
        <f>IF(AE204=0,0,AE216/AE204*100)</f>
        <v>0</v>
      </c>
      <c r="AF210" s="215">
        <f>IF(AF204=0,0,AF216/AF204*100)</f>
        <v>0</v>
      </c>
      <c r="AG210" s="215">
        <f>IF(AG204=0,0,AG216/AG204*100)</f>
        <v>0</v>
      </c>
      <c r="AH210" s="215">
        <f>IF(AH204=0,0,AH216/AH204*100)</f>
        <v>0</v>
      </c>
      <c r="AI210" s="215">
        <f>IF(AI204=0,0,AI216/AI204*100)</f>
        <v>0</v>
      </c>
      <c r="AJ210" s="215">
        <f>IF(AJ204=0,0,AJ216/AJ204*100)</f>
        <v>0</v>
      </c>
      <c r="AK210" s="215">
        <f>IF(AK204=0,0,AK216/AK204*100)</f>
        <v>0</v>
      </c>
      <c r="AL210" s="215">
        <f>IF(AL204=0,0,AL216/AL204*100)</f>
        <v>0</v>
      </c>
      <c r="AM210" s="215">
        <f>IF(AM204=0,0,AM216/AM204*100)</f>
        <v>0</v>
      </c>
      <c r="AN210" s="3536">
        <f>IF(AN204=0,0,AN216/AN204*100)</f>
        <v>0</v>
      </c>
      <c r="AO210" s="3536">
        <f>IF(AO204=0,0,AO216/AO204*100)</f>
        <v>0</v>
      </c>
      <c r="AP210" s="3536">
        <f>IF(AP204=0,0,AP216/AP204*100)</f>
        <v>0</v>
      </c>
      <c r="AQ210" s="3536">
        <f>IF(AQ204=0,0,AQ216/AQ204*100)</f>
        <v>0</v>
      </c>
      <c r="AR210" s="3536">
        <f>IF(AR204=0,0,AR216/AR204*100)</f>
        <v>0</v>
      </c>
      <c r="AS210" s="215">
        <f>IF(AS204=0,0,AS216/AS204*100)</f>
        <v>0</v>
      </c>
      <c r="AT210" s="215">
        <f>IF(AT204=0,0,AT216/AT204*100)</f>
        <v>0</v>
      </c>
      <c r="AU210" s="215">
        <f>IF(AU204=0,0,AU216/AU204*100)</f>
        <v>0</v>
      </c>
      <c r="AV210" s="215">
        <f>IF(AV204=0,0,AV216/AV204*100)</f>
        <v>0</v>
      </c>
      <c r="AW210" s="215">
        <f>IF(AW204=0,0,AW216/AW204*100)</f>
        <v>0</v>
      </c>
      <c r="AX210" s="3536">
        <f>IF(AX204=0,0,AX216/AX204*100)</f>
        <v>0</v>
      </c>
      <c r="AY210" s="3536">
        <f>IF(AY204=0,0,AY216/AY204*100)</f>
        <v>0</v>
      </c>
      <c r="AZ210" s="3536">
        <f>IF(AZ204=0,0,AZ216/AZ204*100)</f>
        <v>0</v>
      </c>
      <c r="BA210" s="3536">
        <f>IF(BA204=0,0,BA216/BA204*100)</f>
        <v>0</v>
      </c>
      <c r="BB210" s="3536">
        <f>IF(BB204=0,0,BB216/BB204*100)</f>
        <v>0</v>
      </c>
      <c r="BC210" s="200"/>
      <c r="BD210" s="1459"/>
      <c r="BE210" s="1459"/>
      <c r="BF210" s="1034" t="s">
        <v>1699</v>
      </c>
    </row>
    <row s="525" customFormat="1" customHeight="1" ht="14.25">
      <c r="A211" s="525"/>
      <c r="B211" s="431"/>
      <c r="C211" s="525"/>
      <c r="D211" s="525"/>
      <c r="E211" s="628">
        <v>15</v>
      </c>
      <c r="F211" s="50" cm="1" t="str">
        <f t="array" ref="F211:F211">OFFSET(E211,-1,1)</f>
        <v>3</v>
      </c>
      <c r="G211" s="104" t="s">
        <v>1228</v>
      </c>
      <c r="H211" s="525"/>
      <c r="I211" s="525"/>
      <c r="J211" s="525"/>
      <c r="K211" s="124" t="str">
        <f>F211&amp;"komm"</f>
        <v>3komm</v>
      </c>
      <c r="L211" s="919" cm="1" t="str">
        <f t="array" ref="L211:L211">BC211</f>
        <v>0</v>
      </c>
      <c r="M211" s="525"/>
      <c r="N211" s="525"/>
      <c r="O211" s="525"/>
      <c r="P211" s="525"/>
      <c r="Q211" s="525"/>
      <c r="R211" s="525"/>
      <c r="S211" s="525"/>
      <c r="T211" s="465" cm="1" t="str">
        <f t="array" ref="T211:T211">T210</f>
        <v>true</v>
      </c>
      <c r="U211" s="525"/>
      <c r="V211" s="525"/>
      <c r="W211" s="525"/>
      <c r="X211" s="1596"/>
      <c r="Y211" s="525"/>
      <c r="Z211" s="1597"/>
      <c r="AA211" s="525"/>
      <c r="AB211" s="211">
        <v>7</v>
      </c>
      <c r="AC211" s="212" t="s">
        <v>1700</v>
      </c>
      <c r="AD211" s="89" t="s">
        <v>1514</v>
      </c>
      <c r="AE211" s="1198">
        <f>SUM(AE212:AE216)</f>
        <v>0</v>
      </c>
      <c r="AF211" s="1198">
        <f>SUM(AF212:AF216)</f>
        <v>0</v>
      </c>
      <c r="AG211" s="1198">
        <f>SUM(AG212:AG216)</f>
        <v>0</v>
      </c>
      <c r="AH211" s="1198">
        <f>SUM(AH212:AH216)</f>
        <v>0</v>
      </c>
      <c r="AI211" s="1198">
        <f>SUM(AI212:AI216)</f>
        <v>0</v>
      </c>
      <c r="AJ211" s="1198">
        <f>SUM(AJ212:AJ216)</f>
        <v>0</v>
      </c>
      <c r="AK211" s="1198">
        <f>SUM(AK212:AK216)</f>
        <v>1466.67</v>
      </c>
      <c r="AL211" s="1198">
        <f>SUM(AL212:AL216)</f>
        <v>5228.58</v>
      </c>
      <c r="AM211" s="1198">
        <f>SUM(AM212:AM216)</f>
        <v>19556.45</v>
      </c>
      <c r="AN211" s="3534">
        <f>SUM(AN212:AN216)</f>
        <v>0</v>
      </c>
      <c r="AO211" s="3534">
        <f>SUM(AO212:AO216)</f>
        <v>0</v>
      </c>
      <c r="AP211" s="3534">
        <f>SUM(AP212:AP216)</f>
        <v>0</v>
      </c>
      <c r="AQ211" s="3534">
        <f>SUM(AQ212:AQ216)</f>
        <v>0</v>
      </c>
      <c r="AR211" s="3534">
        <f>SUM(AR212:AR216)</f>
        <v>0</v>
      </c>
      <c r="AS211" s="1198">
        <f>SUM(AS212:AS216)</f>
        <v>0</v>
      </c>
      <c r="AT211" s="1198">
        <f>SUM(AT212:AT216)</f>
        <v>0</v>
      </c>
      <c r="AU211" s="1198">
        <f>SUM(AU212:AU216)</f>
        <v>1466.67</v>
      </c>
      <c r="AV211" s="1198">
        <f>SUM(AV212:AV216)</f>
        <v>5228.58</v>
      </c>
      <c r="AW211" s="1198">
        <f>SUM(AW212:AW216)</f>
        <v>19556.45</v>
      </c>
      <c r="AX211" s="3534">
        <f>SUM(AX212:AX216)</f>
        <v>0</v>
      </c>
      <c r="AY211" s="3534">
        <f>SUM(AY212:AY216)</f>
        <v>0</v>
      </c>
      <c r="AZ211" s="3534">
        <f>SUM(AZ212:AZ216)</f>
        <v>0</v>
      </c>
      <c r="BA211" s="3534">
        <f>SUM(BA212:BA216)</f>
        <v>0</v>
      </c>
      <c r="BB211" s="3534">
        <f>SUM(BB212:BB216)</f>
        <v>0</v>
      </c>
      <c r="BC211" s="200"/>
      <c r="BD211" s="525"/>
      <c r="BE211" s="525"/>
      <c r="BF211" s="1034" t="s">
        <v>1701</v>
      </c>
    </row>
    <row s="1834" customFormat="1" customHeight="1" ht="0">
      <c r="A212" s="1459"/>
      <c r="B212" s="1416"/>
      <c r="C212" s="1459"/>
      <c r="D212" s="1459"/>
      <c r="E212" s="628">
        <v>15</v>
      </c>
      <c r="F212" s="50" cm="1" t="str">
        <f t="array" ref="F212:F212">OFFSET(E212,-1,1)</f>
        <v>3</v>
      </c>
      <c r="G212" s="104" t="s">
        <v>1390</v>
      </c>
      <c r="H212" s="1459"/>
      <c r="I212" s="1459"/>
      <c r="J212" s="1459"/>
      <c r="K212" s="1459"/>
      <c r="L212" s="1459"/>
      <c r="M212" s="1459"/>
      <c r="N212" s="1459"/>
      <c r="O212" s="1459"/>
      <c r="P212" s="1459"/>
      <c r="Q212" s="1459"/>
      <c r="R212" s="1459"/>
      <c r="S212" s="1459"/>
      <c r="T212" s="465" cm="1" t="str">
        <f t="array" ref="T212:T212">T211</f>
        <v>true</v>
      </c>
      <c r="U212" s="1459"/>
      <c r="V212" s="1459"/>
      <c r="W212" s="1459"/>
      <c r="X212" s="1596"/>
      <c r="Y212" s="1459"/>
      <c r="Z212" s="1597"/>
      <c r="AA212" s="1459"/>
      <c r="AB212" s="88" t="s">
        <v>1294</v>
      </c>
      <c r="AC212" s="214" t="s">
        <v>1629</v>
      </c>
      <c r="AD212" s="89" t="s">
        <v>1514</v>
      </c>
      <c r="AE212" s="215"/>
      <c r="AF212" s="215"/>
      <c r="AG212" s="215"/>
      <c r="AH212" s="215"/>
      <c r="AI212" s="215"/>
      <c r="AJ212" s="215"/>
      <c r="AK212" s="215"/>
      <c r="AL212" s="215"/>
      <c r="AM212" s="215"/>
      <c r="AN212" s="3536"/>
      <c r="AO212" s="3536"/>
      <c r="AP212" s="3536"/>
      <c r="AQ212" s="3536"/>
      <c r="AR212" s="3536"/>
      <c r="AS212" s="215"/>
      <c r="AT212" s="215"/>
      <c r="AU212" s="215"/>
      <c r="AV212" s="215"/>
      <c r="AW212" s="215"/>
      <c r="AX212" s="3536"/>
      <c r="AY212" s="3536"/>
      <c r="AZ212" s="3536"/>
      <c r="BA212" s="3536"/>
      <c r="BB212" s="3536"/>
      <c r="BC212" s="200"/>
      <c r="BD212" s="1459"/>
      <c r="BE212" s="1459"/>
      <c r="BF212" s="1034" t="s">
        <v>1702</v>
      </c>
    </row>
    <row s="1834" customFormat="1" customHeight="1" ht="0">
      <c r="A213" s="1459"/>
      <c r="B213" s="1416"/>
      <c r="C213" s="1459"/>
      <c r="D213" s="1459"/>
      <c r="E213" s="628">
        <v>15</v>
      </c>
      <c r="F213" s="50" cm="1" t="str">
        <f t="array" ref="F213:F213">OFFSET(E213,-1,1)</f>
        <v>3</v>
      </c>
      <c r="G213" s="104" t="s">
        <v>1393</v>
      </c>
      <c r="H213" s="1459"/>
      <c r="I213" s="1459"/>
      <c r="J213" s="1459"/>
      <c r="K213" s="1459"/>
      <c r="L213" s="1459"/>
      <c r="M213" s="1459"/>
      <c r="N213" s="1459"/>
      <c r="O213" s="1459"/>
      <c r="P213" s="1459"/>
      <c r="Q213" s="1459"/>
      <c r="R213" s="1459"/>
      <c r="S213" s="1459"/>
      <c r="T213" s="465" cm="1" t="str">
        <f t="array" ref="T213:T213">T212</f>
        <v>true</v>
      </c>
      <c r="U213" s="1459"/>
      <c r="V213" s="1459"/>
      <c r="W213" s="1459"/>
      <c r="X213" s="1596"/>
      <c r="Y213" s="1459"/>
      <c r="Z213" s="1597"/>
      <c r="AA213" s="1459"/>
      <c r="AB213" s="88" t="s">
        <v>1703</v>
      </c>
      <c r="AC213" s="214" t="s">
        <v>1632</v>
      </c>
      <c r="AD213" s="89" t="s">
        <v>1514</v>
      </c>
      <c r="AE213" s="215"/>
      <c r="AF213" s="215"/>
      <c r="AG213" s="215"/>
      <c r="AH213" s="215"/>
      <c r="AI213" s="215"/>
      <c r="AJ213" s="215"/>
      <c r="AK213" s="215"/>
      <c r="AL213" s="215"/>
      <c r="AM213" s="215"/>
      <c r="AN213" s="3536"/>
      <c r="AO213" s="3536"/>
      <c r="AP213" s="3536"/>
      <c r="AQ213" s="3536"/>
      <c r="AR213" s="3536"/>
      <c r="AS213" s="215"/>
      <c r="AT213" s="215"/>
      <c r="AU213" s="215"/>
      <c r="AV213" s="215"/>
      <c r="AW213" s="215"/>
      <c r="AX213" s="3536"/>
      <c r="AY213" s="3536"/>
      <c r="AZ213" s="3536"/>
      <c r="BA213" s="3536"/>
      <c r="BB213" s="3536"/>
      <c r="BC213" s="200"/>
      <c r="BD213" s="1459"/>
      <c r="BE213" s="1459"/>
      <c r="BF213" s="1034" t="s">
        <v>1704</v>
      </c>
    </row>
    <row s="1834" customFormat="1" customHeight="1" ht="0">
      <c r="A214" s="1459"/>
      <c r="B214" s="1416"/>
      <c r="C214" s="1459"/>
      <c r="D214" s="1459"/>
      <c r="E214" s="628">
        <v>15</v>
      </c>
      <c r="F214" s="50" cm="1" t="str">
        <f t="array" ref="F214:F214">OFFSET(E214,-1,1)</f>
        <v>3</v>
      </c>
      <c r="G214" s="104" t="s">
        <v>1705</v>
      </c>
      <c r="H214" s="1459"/>
      <c r="I214" s="1459"/>
      <c r="J214" s="1459"/>
      <c r="K214" s="1459"/>
      <c r="L214" s="1459"/>
      <c r="M214" s="1459"/>
      <c r="N214" s="1459"/>
      <c r="O214" s="1459"/>
      <c r="P214" s="1459"/>
      <c r="Q214" s="1459"/>
      <c r="R214" s="1459"/>
      <c r="S214" s="1459"/>
      <c r="T214" s="465" cm="1" t="str">
        <f t="array" ref="T214:T214">T213</f>
        <v>true</v>
      </c>
      <c r="U214" s="1459"/>
      <c r="V214" s="1459"/>
      <c r="W214" s="1459"/>
      <c r="X214" s="1596"/>
      <c r="Y214" s="1459"/>
      <c r="Z214" s="1597"/>
      <c r="AA214" s="1459"/>
      <c r="AB214" s="88" t="s">
        <v>1706</v>
      </c>
      <c r="AC214" s="214" t="s">
        <v>1635</v>
      </c>
      <c r="AD214" s="89" t="s">
        <v>1514</v>
      </c>
      <c r="AE214" s="215"/>
      <c r="AF214" s="215"/>
      <c r="AG214" s="215"/>
      <c r="AH214" s="215"/>
      <c r="AI214" s="215"/>
      <c r="AJ214" s="215"/>
      <c r="AK214" s="215"/>
      <c r="AL214" s="215"/>
      <c r="AM214" s="215"/>
      <c r="AN214" s="3536"/>
      <c r="AO214" s="3536"/>
      <c r="AP214" s="3536"/>
      <c r="AQ214" s="3536"/>
      <c r="AR214" s="3536"/>
      <c r="AS214" s="215"/>
      <c r="AT214" s="215"/>
      <c r="AU214" s="215"/>
      <c r="AV214" s="215"/>
      <c r="AW214" s="215"/>
      <c r="AX214" s="3536"/>
      <c r="AY214" s="3536"/>
      <c r="AZ214" s="3536"/>
      <c r="BA214" s="3536"/>
      <c r="BB214" s="3536"/>
      <c r="BC214" s="200"/>
      <c r="BD214" s="1459"/>
      <c r="BE214" s="1459"/>
      <c r="BF214" s="1034" t="s">
        <v>1707</v>
      </c>
    </row>
    <row s="1834" customFormat="1" customHeight="1" ht="0">
      <c r="A215" s="1459"/>
      <c r="B215" s="1416"/>
      <c r="C215" s="1459"/>
      <c r="D215" s="1459"/>
      <c r="E215" s="628">
        <v>15</v>
      </c>
      <c r="F215" s="50" cm="1" t="str">
        <f t="array" ref="F215:F215">OFFSET(E215,-1,1)</f>
        <v>3</v>
      </c>
      <c r="G215" s="104" t="s">
        <v>1708</v>
      </c>
      <c r="H215" s="1459"/>
      <c r="I215" s="1459"/>
      <c r="J215" s="1459"/>
      <c r="K215" s="1459"/>
      <c r="L215" s="1459"/>
      <c r="M215" s="1459"/>
      <c r="N215" s="1459"/>
      <c r="O215" s="1459"/>
      <c r="P215" s="1459"/>
      <c r="Q215" s="1459"/>
      <c r="R215" s="1459"/>
      <c r="S215" s="1459"/>
      <c r="T215" s="465" cm="1" t="str">
        <f t="array" ref="T215:T215">T214</f>
        <v>true</v>
      </c>
      <c r="U215" s="1459"/>
      <c r="V215" s="1459"/>
      <c r="W215" s="1459"/>
      <c r="X215" s="1596"/>
      <c r="Y215" s="1459"/>
      <c r="Z215" s="1597"/>
      <c r="AA215" s="1459"/>
      <c r="AB215" s="88" t="s">
        <v>1709</v>
      </c>
      <c r="AC215" s="214" t="s">
        <v>1638</v>
      </c>
      <c r="AD215" s="89" t="s">
        <v>1514</v>
      </c>
      <c r="AE215" s="215"/>
      <c r="AF215" s="215"/>
      <c r="AG215" s="215"/>
      <c r="AH215" s="215"/>
      <c r="AI215" s="215"/>
      <c r="AJ215" s="215"/>
      <c r="AK215" s="215"/>
      <c r="AL215" s="215"/>
      <c r="AM215" s="215"/>
      <c r="AN215" s="3536"/>
      <c r="AO215" s="3536"/>
      <c r="AP215" s="3536"/>
      <c r="AQ215" s="3536"/>
      <c r="AR215" s="3536"/>
      <c r="AS215" s="215"/>
      <c r="AT215" s="215"/>
      <c r="AU215" s="215"/>
      <c r="AV215" s="215"/>
      <c r="AW215" s="215"/>
      <c r="AX215" s="3536"/>
      <c r="AY215" s="3536"/>
      <c r="AZ215" s="3536"/>
      <c r="BA215" s="3536"/>
      <c r="BB215" s="3536"/>
      <c r="BC215" s="200"/>
      <c r="BD215" s="1459"/>
      <c r="BE215" s="1459"/>
      <c r="BF215" s="1034" t="s">
        <v>1710</v>
      </c>
    </row>
    <row s="1834" customFormat="1" customHeight="1" ht="75.75">
      <c r="A216" s="1459"/>
      <c r="B216" s="1416"/>
      <c r="C216" s="1459"/>
      <c r="D216" s="1459"/>
      <c r="E216" s="628">
        <v>15</v>
      </c>
      <c r="F216" s="50" cm="1" t="str">
        <f t="array" ref="F216:F216">OFFSET(E216,-1,1)</f>
        <v>3</v>
      </c>
      <c r="G216" s="104" t="s">
        <v>1711</v>
      </c>
      <c r="H216" s="1459"/>
      <c r="I216" s="1459"/>
      <c r="J216" s="1459"/>
      <c r="K216" s="1459"/>
      <c r="L216" s="1459"/>
      <c r="M216" s="1459"/>
      <c r="N216" s="1459"/>
      <c r="O216" s="1459"/>
      <c r="P216" s="1459"/>
      <c r="Q216" s="1459"/>
      <c r="R216" s="1459"/>
      <c r="S216" s="1459"/>
      <c r="T216" s="465" cm="1" t="str">
        <f t="array" ref="T216:T216">T215</f>
        <v>true</v>
      </c>
      <c r="U216" s="1459"/>
      <c r="V216" s="1459"/>
      <c r="W216" s="1459"/>
      <c r="X216" s="1596"/>
      <c r="Y216" s="1459"/>
      <c r="Z216" s="1597"/>
      <c r="AA216" s="1459"/>
      <c r="AB216" s="88" t="s">
        <v>1712</v>
      </c>
      <c r="AC216" s="214" t="s">
        <v>1642</v>
      </c>
      <c r="AD216" s="89" t="s">
        <v>1514</v>
      </c>
      <c r="AE216" s="215"/>
      <c r="AF216" s="215"/>
      <c r="AG216" s="215"/>
      <c r="AH216" s="215"/>
      <c r="AI216" s="215"/>
      <c r="AJ216" s="215"/>
      <c r="AK216" s="215">
        <v>1466.67</v>
      </c>
      <c r="AL216" s="215">
        <v>5228.58</v>
      </c>
      <c r="AM216" s="215">
        <v>19556.45</v>
      </c>
      <c r="AN216" s="3536"/>
      <c r="AO216" s="3536"/>
      <c r="AP216" s="3536"/>
      <c r="AQ216" s="3536"/>
      <c r="AR216" s="3536"/>
      <c r="AS216" s="215"/>
      <c r="AT216" s="215"/>
      <c r="AU216" s="215">
        <v>1466.67</v>
      </c>
      <c r="AV216" s="215">
        <v>5228.58</v>
      </c>
      <c r="AW216" s="215">
        <v>19556.45</v>
      </c>
      <c r="AX216" s="3536"/>
      <c r="AY216" s="3536"/>
      <c r="AZ216" s="3536"/>
      <c r="BA216" s="3536"/>
      <c r="BB216" s="3536"/>
      <c r="BC216" s="200" t="s">
        <v>1723</v>
      </c>
      <c r="BD216" s="1459"/>
      <c r="BE216" s="1459"/>
      <c r="BF216" s="1034" t="s">
        <v>1713</v>
      </c>
    </row>
    <row s="525" customFormat="1" customHeight="1" ht="14.25">
      <c r="A217" s="525"/>
      <c r="B217" s="431"/>
      <c r="C217" s="525"/>
      <c r="D217" s="525"/>
      <c r="E217" s="628">
        <v>15</v>
      </c>
      <c r="F217" s="50" cm="1" t="str">
        <f t="array" ref="F217:F217">OFFSET(E217,-1,1)</f>
        <v>3</v>
      </c>
      <c r="G217" s="104" t="s">
        <v>1275</v>
      </c>
      <c r="H217" s="525"/>
      <c r="I217" s="525"/>
      <c r="J217" s="525"/>
      <c r="K217" s="525"/>
      <c r="L217" s="525"/>
      <c r="M217" s="525"/>
      <c r="N217" s="525"/>
      <c r="O217" s="525"/>
      <c r="P217" s="525"/>
      <c r="Q217" s="525"/>
      <c r="R217" s="525"/>
      <c r="S217" s="525"/>
      <c r="T217" s="465" cm="1" t="str">
        <f t="array" ref="T217:T217">T216</f>
        <v>true</v>
      </c>
      <c r="U217" s="525"/>
      <c r="V217" s="525"/>
      <c r="W217" s="525"/>
      <c r="X217" s="1596"/>
      <c r="Y217" s="525"/>
      <c r="Z217" s="1597"/>
      <c r="AA217" s="525"/>
      <c r="AB217" s="211">
        <v>8</v>
      </c>
      <c r="AC217" s="212" t="s">
        <v>1714</v>
      </c>
      <c r="AD217" s="89" t="s">
        <v>1514</v>
      </c>
      <c r="AE217" s="1198">
        <f>SUM(AE218:AE222)</f>
        <v>0</v>
      </c>
      <c r="AF217" s="1198">
        <f>SUM(AF218:AF222)</f>
        <v>0</v>
      </c>
      <c r="AG217" s="1198">
        <f>SUM(AG218:AG222)</f>
        <v>0</v>
      </c>
      <c r="AH217" s="1198">
        <f>SUM(AH218:AH222)</f>
        <v>0</v>
      </c>
      <c r="AI217" s="1198">
        <f>SUM(AI218:AI222)</f>
        <v>0</v>
      </c>
      <c r="AJ217" s="1198">
        <f>SUM(AJ218:AJ222)</f>
        <v>0</v>
      </c>
      <c r="AK217" s="1198">
        <f>SUM(AK218:AK222)</f>
        <v>0</v>
      </c>
      <c r="AL217" s="1198">
        <f>SUM(AL218:AL222)</f>
        <v>0</v>
      </c>
      <c r="AM217" s="1198">
        <f>SUM(AM218:AM222)</f>
        <v>0</v>
      </c>
      <c r="AN217" s="3534">
        <f>SUM(AN218:AN222)</f>
        <v>0</v>
      </c>
      <c r="AO217" s="3534">
        <f>SUM(AO218:AO222)</f>
        <v>0</v>
      </c>
      <c r="AP217" s="3534">
        <f>SUM(AP218:AP222)</f>
        <v>0</v>
      </c>
      <c r="AQ217" s="3534">
        <f>SUM(AQ218:AQ222)</f>
        <v>0</v>
      </c>
      <c r="AR217" s="3534">
        <f>SUM(AR218:AR222)</f>
        <v>0</v>
      </c>
      <c r="AS217" s="1198">
        <f>SUM(AS218:AS222)</f>
        <v>0</v>
      </c>
      <c r="AT217" s="1198">
        <f>SUM(AT218:AT222)</f>
        <v>0</v>
      </c>
      <c r="AU217" s="1198">
        <f>SUM(AU218:AU222)</f>
        <v>0</v>
      </c>
      <c r="AV217" s="1198">
        <f>SUM(AV218:AV222)</f>
        <v>0</v>
      </c>
      <c r="AW217" s="1198">
        <f>SUM(AW218:AW222)</f>
        <v>0</v>
      </c>
      <c r="AX217" s="3534">
        <f>SUM(AX218:AX222)</f>
        <v>0</v>
      </c>
      <c r="AY217" s="3534">
        <f>SUM(AY218:AY222)</f>
        <v>0</v>
      </c>
      <c r="AZ217" s="3534">
        <f>SUM(AZ218:AZ222)</f>
        <v>0</v>
      </c>
      <c r="BA217" s="3534">
        <f>SUM(BA218:BA222)</f>
        <v>0</v>
      </c>
      <c r="BB217" s="3534">
        <f>SUM(BB218:BB222)</f>
        <v>0</v>
      </c>
      <c r="BC217" s="200"/>
      <c r="BD217" s="525"/>
      <c r="BE217" s="525"/>
      <c r="BF217" s="1034" t="s">
        <v>1715</v>
      </c>
    </row>
    <row s="1834" customFormat="1" customHeight="1" ht="0">
      <c r="A218" s="1459"/>
      <c r="B218" s="1416"/>
      <c r="C218" s="1459"/>
      <c r="D218" s="1459"/>
      <c r="E218" s="628">
        <v>15</v>
      </c>
      <c r="F218" s="50" cm="1" t="str">
        <f t="array" ref="F218:F218">OFFSET(E218,-1,1)</f>
        <v>3</v>
      </c>
      <c r="G218" s="104" t="s">
        <v>1278</v>
      </c>
      <c r="H218" s="1459"/>
      <c r="I218" s="1459"/>
      <c r="J218" s="1459"/>
      <c r="K218" s="1459"/>
      <c r="L218" s="1459"/>
      <c r="M218" s="1459"/>
      <c r="N218" s="1459"/>
      <c r="O218" s="1459"/>
      <c r="P218" s="1459"/>
      <c r="Q218" s="1459"/>
      <c r="R218" s="1459"/>
      <c r="S218" s="1459"/>
      <c r="T218" s="465" cm="1" t="str">
        <f t="array" ref="T218:T218">T217</f>
        <v>true</v>
      </c>
      <c r="U218" s="1459"/>
      <c r="V218" s="1459"/>
      <c r="W218" s="1459"/>
      <c r="X218" s="1596"/>
      <c r="Y218" s="1459"/>
      <c r="Z218" s="1597"/>
      <c r="AA218" s="1459"/>
      <c r="AB218" s="88" t="s">
        <v>1301</v>
      </c>
      <c r="AC218" s="214" t="s">
        <v>1629</v>
      </c>
      <c r="AD218" s="89" t="s">
        <v>1514</v>
      </c>
      <c r="AE218" s="215"/>
      <c r="AF218" s="215"/>
      <c r="AG218" s="215"/>
      <c r="AH218" s="215"/>
      <c r="AI218" s="215"/>
      <c r="AJ218" s="215"/>
      <c r="AK218" s="215"/>
      <c r="AL218" s="215"/>
      <c r="AM218" s="215"/>
      <c r="AN218" s="3536"/>
      <c r="AO218" s="3536"/>
      <c r="AP218" s="3536"/>
      <c r="AQ218" s="3536"/>
      <c r="AR218" s="3536"/>
      <c r="AS218" s="215"/>
      <c r="AT218" s="215"/>
      <c r="AU218" s="215"/>
      <c r="AV218" s="215"/>
      <c r="AW218" s="215"/>
      <c r="AX218" s="3536"/>
      <c r="AY218" s="3536"/>
      <c r="AZ218" s="3536"/>
      <c r="BA218" s="3536"/>
      <c r="BB218" s="3536"/>
      <c r="BC218" s="200"/>
      <c r="BD218" s="1459"/>
      <c r="BE218" s="1459"/>
      <c r="BF218" s="1034" t="s">
        <v>1716</v>
      </c>
    </row>
    <row s="1834" customFormat="1" customHeight="1" ht="0">
      <c r="A219" s="1459"/>
      <c r="B219" s="1416"/>
      <c r="C219" s="1459"/>
      <c r="D219" s="1459"/>
      <c r="E219" s="628">
        <v>15</v>
      </c>
      <c r="F219" s="50" cm="1" t="str">
        <f t="array" ref="F219:F219">OFFSET(E219,-1,1)</f>
        <v>3</v>
      </c>
      <c r="G219" s="104" t="s">
        <v>1282</v>
      </c>
      <c r="H219" s="1459"/>
      <c r="I219" s="1459"/>
      <c r="J219" s="1459"/>
      <c r="K219" s="1459"/>
      <c r="L219" s="1459"/>
      <c r="M219" s="1459"/>
      <c r="N219" s="1459"/>
      <c r="O219" s="1459"/>
      <c r="P219" s="1459"/>
      <c r="Q219" s="1459"/>
      <c r="R219" s="1459"/>
      <c r="S219" s="1459"/>
      <c r="T219" s="465" cm="1" t="str">
        <f t="array" ref="T219:T219">T218</f>
        <v>true</v>
      </c>
      <c r="U219" s="1459"/>
      <c r="V219" s="1459"/>
      <c r="W219" s="1459"/>
      <c r="X219" s="1596"/>
      <c r="Y219" s="1459"/>
      <c r="Z219" s="1597"/>
      <c r="AA219" s="1459"/>
      <c r="AB219" s="88" t="s">
        <v>1318</v>
      </c>
      <c r="AC219" s="214" t="s">
        <v>1632</v>
      </c>
      <c r="AD219" s="89" t="s">
        <v>1514</v>
      </c>
      <c r="AE219" s="215"/>
      <c r="AF219" s="215"/>
      <c r="AG219" s="215"/>
      <c r="AH219" s="215"/>
      <c r="AI219" s="215"/>
      <c r="AJ219" s="215"/>
      <c r="AK219" s="215"/>
      <c r="AL219" s="215"/>
      <c r="AM219" s="215"/>
      <c r="AN219" s="3536"/>
      <c r="AO219" s="3536"/>
      <c r="AP219" s="3536"/>
      <c r="AQ219" s="3536"/>
      <c r="AR219" s="3536"/>
      <c r="AS219" s="215"/>
      <c r="AT219" s="215"/>
      <c r="AU219" s="215"/>
      <c r="AV219" s="215"/>
      <c r="AW219" s="215"/>
      <c r="AX219" s="3536"/>
      <c r="AY219" s="3536"/>
      <c r="AZ219" s="3536"/>
      <c r="BA219" s="3536"/>
      <c r="BB219" s="3536"/>
      <c r="BC219" s="200"/>
      <c r="BD219" s="1459"/>
      <c r="BE219" s="1459"/>
      <c r="BF219" s="1034" t="s">
        <v>1717</v>
      </c>
    </row>
    <row s="1834" customFormat="1" customHeight="1" ht="0">
      <c r="A220" s="1459"/>
      <c r="B220" s="1416"/>
      <c r="C220" s="1459"/>
      <c r="D220" s="1459"/>
      <c r="E220" s="628">
        <v>15</v>
      </c>
      <c r="F220" s="50" cm="1" t="str">
        <f t="array" ref="F220:F220">OFFSET(E220,-1,1)</f>
        <v>3</v>
      </c>
      <c r="G220" s="104" t="s">
        <v>1286</v>
      </c>
      <c r="H220" s="1459"/>
      <c r="I220" s="1459"/>
      <c r="J220" s="1459"/>
      <c r="K220" s="1459"/>
      <c r="L220" s="1459"/>
      <c r="M220" s="1459"/>
      <c r="N220" s="1459"/>
      <c r="O220" s="1459"/>
      <c r="P220" s="1459"/>
      <c r="Q220" s="1459"/>
      <c r="R220" s="1459"/>
      <c r="S220" s="1459"/>
      <c r="T220" s="465" cm="1" t="str">
        <f t="array" ref="T220:T220">T219</f>
        <v>true</v>
      </c>
      <c r="U220" s="1459"/>
      <c r="V220" s="1459"/>
      <c r="W220" s="1459"/>
      <c r="X220" s="1596"/>
      <c r="Y220" s="1459"/>
      <c r="Z220" s="1597"/>
      <c r="AA220" s="1459"/>
      <c r="AB220" s="88" t="s">
        <v>1330</v>
      </c>
      <c r="AC220" s="214" t="s">
        <v>1635</v>
      </c>
      <c r="AD220" s="89" t="s">
        <v>1514</v>
      </c>
      <c r="AE220" s="215"/>
      <c r="AF220" s="215"/>
      <c r="AG220" s="215"/>
      <c r="AH220" s="215"/>
      <c r="AI220" s="215"/>
      <c r="AJ220" s="215"/>
      <c r="AK220" s="215"/>
      <c r="AL220" s="215"/>
      <c r="AM220" s="215"/>
      <c r="AN220" s="3536"/>
      <c r="AO220" s="3536"/>
      <c r="AP220" s="3536"/>
      <c r="AQ220" s="3536"/>
      <c r="AR220" s="3536"/>
      <c r="AS220" s="215"/>
      <c r="AT220" s="215"/>
      <c r="AU220" s="215"/>
      <c r="AV220" s="215"/>
      <c r="AW220" s="215"/>
      <c r="AX220" s="3536"/>
      <c r="AY220" s="3536"/>
      <c r="AZ220" s="3536"/>
      <c r="BA220" s="3536"/>
      <c r="BB220" s="3536"/>
      <c r="BC220" s="200"/>
      <c r="BD220" s="1459"/>
      <c r="BE220" s="1459"/>
      <c r="BF220" s="1034" t="s">
        <v>1718</v>
      </c>
    </row>
    <row s="1834" customFormat="1" customHeight="1" ht="0">
      <c r="A221" s="1459"/>
      <c r="B221" s="1416"/>
      <c r="C221" s="1459"/>
      <c r="D221" s="1459"/>
      <c r="E221" s="628">
        <v>15</v>
      </c>
      <c r="F221" s="50" cm="1" t="str">
        <f t="array" ref="F221:F221">OFFSET(E221,-1,1)</f>
        <v>3</v>
      </c>
      <c r="G221" s="104" t="s">
        <v>1719</v>
      </c>
      <c r="H221" s="1459"/>
      <c r="I221" s="1459"/>
      <c r="J221" s="1459"/>
      <c r="K221" s="1459"/>
      <c r="L221" s="1459"/>
      <c r="M221" s="1459"/>
      <c r="N221" s="1459"/>
      <c r="O221" s="1459"/>
      <c r="P221" s="1459"/>
      <c r="Q221" s="1459"/>
      <c r="R221" s="1459"/>
      <c r="S221" s="1459"/>
      <c r="T221" s="465" cm="1" t="str">
        <f t="array" ref="T221:T221">T220</f>
        <v>true</v>
      </c>
      <c r="U221" s="1459"/>
      <c r="V221" s="1459"/>
      <c r="W221" s="1459"/>
      <c r="X221" s="1596"/>
      <c r="Y221" s="1459"/>
      <c r="Z221" s="1597"/>
      <c r="AA221" s="1459"/>
      <c r="AB221" s="88" t="s">
        <v>1365</v>
      </c>
      <c r="AC221" s="214" t="s">
        <v>1638</v>
      </c>
      <c r="AD221" s="89" t="s">
        <v>1514</v>
      </c>
      <c r="AE221" s="215"/>
      <c r="AF221" s="215"/>
      <c r="AG221" s="215"/>
      <c r="AH221" s="215"/>
      <c r="AI221" s="215"/>
      <c r="AJ221" s="215"/>
      <c r="AK221" s="215"/>
      <c r="AL221" s="215"/>
      <c r="AM221" s="215"/>
      <c r="AN221" s="3536"/>
      <c r="AO221" s="3536"/>
      <c r="AP221" s="3536"/>
      <c r="AQ221" s="3536"/>
      <c r="AR221" s="3536"/>
      <c r="AS221" s="215"/>
      <c r="AT221" s="215"/>
      <c r="AU221" s="215"/>
      <c r="AV221" s="215"/>
      <c r="AW221" s="215"/>
      <c r="AX221" s="3536"/>
      <c r="AY221" s="3536"/>
      <c r="AZ221" s="3536"/>
      <c r="BA221" s="3536"/>
      <c r="BB221" s="3536"/>
      <c r="BC221" s="200"/>
      <c r="BD221" s="1459"/>
      <c r="BE221" s="1459"/>
      <c r="BF221" s="1034" t="s">
        <v>1720</v>
      </c>
    </row>
    <row s="1834" customFormat="1" customHeight="1" ht="0">
      <c r="A222" s="1459"/>
      <c r="B222" s="1416"/>
      <c r="C222" s="1459"/>
      <c r="D222" s="1459"/>
      <c r="E222" s="628">
        <v>15</v>
      </c>
      <c r="F222" s="50" cm="1" t="str">
        <f t="array" ref="F222:F222">OFFSET(E222,-1,1)</f>
        <v>3</v>
      </c>
      <c r="G222" s="104" t="s">
        <v>1721</v>
      </c>
      <c r="H222" s="1459"/>
      <c r="I222" s="1459"/>
      <c r="J222" s="1459"/>
      <c r="K222" s="1459"/>
      <c r="L222" s="1459"/>
      <c r="M222" s="1459"/>
      <c r="N222" s="1459"/>
      <c r="O222" s="1459"/>
      <c r="P222" s="1459"/>
      <c r="Q222" s="1459"/>
      <c r="R222" s="1459"/>
      <c r="S222" s="1459"/>
      <c r="T222" s="465" cm="1" t="str">
        <f t="array" ref="T222:T222">T221</f>
        <v>true</v>
      </c>
      <c r="U222" s="1459"/>
      <c r="V222" s="1459"/>
      <c r="W222" s="1459"/>
      <c r="X222" s="1596"/>
      <c r="Y222" s="1459"/>
      <c r="Z222" s="1597"/>
      <c r="AA222" s="1459"/>
      <c r="AB222" s="88" t="s">
        <v>1368</v>
      </c>
      <c r="AC222" s="214" t="s">
        <v>1642</v>
      </c>
      <c r="AD222" s="89" t="s">
        <v>1514</v>
      </c>
      <c r="AE222" s="215"/>
      <c r="AF222" s="215"/>
      <c r="AG222" s="215"/>
      <c r="AH222" s="215"/>
      <c r="AI222" s="215"/>
      <c r="AJ222" s="215"/>
      <c r="AK222" s="215"/>
      <c r="AL222" s="215"/>
      <c r="AM222" s="215"/>
      <c r="AN222" s="3536"/>
      <c r="AO222" s="3536"/>
      <c r="AP222" s="3536"/>
      <c r="AQ222" s="3536"/>
      <c r="AR222" s="3536"/>
      <c r="AS222" s="215"/>
      <c r="AT222" s="215"/>
      <c r="AU222" s="215"/>
      <c r="AV222" s="215"/>
      <c r="AW222" s="215"/>
      <c r="AX222" s="3536"/>
      <c r="AY222" s="3536"/>
      <c r="AZ222" s="3536"/>
      <c r="BA222" s="3536"/>
      <c r="BB222" s="3536"/>
      <c r="BC222" s="200"/>
      <c r="BD222" s="1459"/>
      <c r="BE222" s="1459"/>
      <c r="BF222" s="1034" t="s">
        <v>1722</v>
      </c>
    </row>
    <row s="1834" customFormat="1" customHeight="1" ht="14.25">
      <c r="A223" s="1459"/>
      <c r="B223" s="1416"/>
      <c r="C223" s="1459"/>
      <c r="D223" s="1459"/>
      <c r="E223" s="628">
        <v>15</v>
      </c>
      <c r="F223" s="719" cm="1" t="str">
        <f t="array" ref="F223:F223">X223</f>
        <v>4</v>
      </c>
      <c r="G223" s="1459"/>
      <c r="H223" s="1459"/>
      <c r="I223" s="1459"/>
      <c r="J223" s="1459"/>
      <c r="K223" s="1459"/>
      <c r="L223" s="1459"/>
      <c r="M223" s="1459"/>
      <c r="N223" s="1459"/>
      <c r="O223" s="1459"/>
      <c r="P223" s="1459"/>
      <c r="Q223" s="1459"/>
      <c r="R223" s="1459"/>
      <c r="S223" s="1459"/>
      <c r="T223" s="465">
        <f>X223&gt;0</f>
        <v>1</v>
      </c>
      <c r="U223" s="1459"/>
      <c r="V223" s="104" cm="1" t="str">
        <f t="array" ref="V223:V223">ЭЭ!$AB$159</f>
        <v>Тариф 4 (Водоотведение) - тариф на водоотведение (Доп. признак не требуется)</v>
      </c>
      <c r="W223" s="1459"/>
      <c r="X223" s="1596" t="s">
        <v>295</v>
      </c>
      <c r="Y223" s="1459"/>
      <c r="Z223" s="1597"/>
      <c r="AA223" s="1459"/>
      <c r="AB223" s="183" cm="1" t="str">
        <f t="array" ref="AB223:AB223">ЭЭ!$AB$159</f>
        <v>Тариф 4 (Водоотведение) - тариф на водоотведение (Доп. признак не требуется)</v>
      </c>
      <c r="AC223" s="180"/>
      <c r="AD223" s="174"/>
      <c r="AE223" s="174"/>
      <c r="AF223" s="174"/>
      <c r="AG223" s="174"/>
      <c r="AH223" s="174"/>
      <c r="AI223" s="174"/>
      <c r="AJ223" s="174"/>
      <c r="AK223" s="174"/>
      <c r="AL223" s="174"/>
      <c r="AM223" s="174"/>
      <c r="AN223" s="174"/>
      <c r="AO223" s="174"/>
      <c r="AP223" s="174"/>
      <c r="AQ223" s="174"/>
      <c r="AR223" s="174"/>
      <c r="AS223" s="174"/>
      <c r="AT223" s="174"/>
      <c r="AU223" s="174"/>
      <c r="AV223" s="174"/>
      <c r="AW223" s="174"/>
      <c r="AX223" s="174"/>
      <c r="AY223" s="174"/>
      <c r="AZ223" s="174"/>
      <c r="BA223" s="174"/>
      <c r="BB223" s="174"/>
      <c r="BC223" s="210"/>
      <c r="BD223" s="1459"/>
      <c r="BE223" s="1459"/>
      <c r="BF223" s="1424"/>
    </row>
    <row s="525" customFormat="1" customHeight="1" ht="21.75">
      <c r="A224" s="525"/>
      <c r="B224" s="431"/>
      <c r="C224" s="525"/>
      <c r="D224" s="525"/>
      <c r="E224" s="669">
        <v>22.5</v>
      </c>
      <c r="F224" s="50" cm="1" t="str">
        <f t="array" ref="F224:F224">OFFSET(E224,-1,1)</f>
        <v>4</v>
      </c>
      <c r="G224" s="104" t="s">
        <v>332</v>
      </c>
      <c r="H224" s="525"/>
      <c r="I224" s="525"/>
      <c r="J224" s="525"/>
      <c r="K224" s="525"/>
      <c r="L224" s="525"/>
      <c r="M224" s="525"/>
      <c r="N224" s="525"/>
      <c r="O224" s="525"/>
      <c r="P224" s="525"/>
      <c r="Q224" s="525"/>
      <c r="R224" s="525"/>
      <c r="S224" s="525"/>
      <c r="T224" s="465" cm="1" t="str">
        <f t="array" ref="T224:T224">T223</f>
        <v>true</v>
      </c>
      <c r="U224" s="525"/>
      <c r="V224" s="525"/>
      <c r="W224" s="525"/>
      <c r="X224" s="1596"/>
      <c r="Y224" s="525"/>
      <c r="Z224" s="1597"/>
      <c r="AA224" s="525"/>
      <c r="AB224" s="211">
        <v>1</v>
      </c>
      <c r="AC224" s="212" t="s">
        <v>1626</v>
      </c>
      <c r="AD224" s="89" t="s">
        <v>1514</v>
      </c>
      <c r="AE224" s="1198">
        <f>SUM(AE225:AE229)</f>
        <v>0</v>
      </c>
      <c r="AF224" s="1198">
        <f>SUM(AF225:AF229)</f>
        <v>0</v>
      </c>
      <c r="AG224" s="1198">
        <f>SUM(AG225:AG229)</f>
        <v>0</v>
      </c>
      <c r="AH224" s="1198">
        <f>SUM(AH225:AH229)</f>
        <v>0</v>
      </c>
      <c r="AI224" s="1198">
        <f>SUM(AI225:AI229)</f>
        <v>0</v>
      </c>
      <c r="AJ224" s="1198">
        <f>SUM(AJ225:AJ229)</f>
        <v>0</v>
      </c>
      <c r="AK224" s="1198">
        <f>SUM(AK225:AK229)</f>
        <v>0</v>
      </c>
      <c r="AL224" s="1198">
        <f>SUM(AL225:AL229)</f>
        <v>0</v>
      </c>
      <c r="AM224" s="1198">
        <f>SUM(AM225:AM229)</f>
        <v>0</v>
      </c>
      <c r="AN224" s="3534">
        <f>SUM(AN225:AN229)</f>
        <v>0</v>
      </c>
      <c r="AO224" s="3534">
        <f>SUM(AO225:AO229)</f>
        <v>0</v>
      </c>
      <c r="AP224" s="3534">
        <f>SUM(AP225:AP229)</f>
        <v>0</v>
      </c>
      <c r="AQ224" s="3534">
        <f>SUM(AQ225:AQ229)</f>
        <v>0</v>
      </c>
      <c r="AR224" s="3534">
        <f>SUM(AR225:AR229)</f>
        <v>0</v>
      </c>
      <c r="AS224" s="1198">
        <f>SUM(AS225:AS229)</f>
        <v>0</v>
      </c>
      <c r="AT224" s="1198">
        <f>SUM(AT225:AT229)</f>
        <v>0</v>
      </c>
      <c r="AU224" s="1198">
        <f>SUM(AU225:AU229)</f>
        <v>0</v>
      </c>
      <c r="AV224" s="1198">
        <f>SUM(AV225:AV229)</f>
        <v>0</v>
      </c>
      <c r="AW224" s="1198">
        <f>SUM(AW225:AW229)</f>
        <v>0</v>
      </c>
      <c r="AX224" s="3534">
        <f>SUM(AX225:AX229)</f>
        <v>0</v>
      </c>
      <c r="AY224" s="3534">
        <f>SUM(AY225:AY229)</f>
        <v>0</v>
      </c>
      <c r="AZ224" s="3534">
        <f>SUM(AZ225:AZ229)</f>
        <v>0</v>
      </c>
      <c r="BA224" s="3534">
        <f>SUM(BA225:BA229)</f>
        <v>0</v>
      </c>
      <c r="BB224" s="3534">
        <f>SUM(BB225:BB229)</f>
        <v>0</v>
      </c>
      <c r="BC224" s="200"/>
      <c r="BD224" s="525"/>
      <c r="BE224" s="525"/>
      <c r="BF224" s="1034" t="s">
        <v>1627</v>
      </c>
    </row>
    <row s="1834" customFormat="1" customHeight="1" ht="0">
      <c r="A225" s="1459"/>
      <c r="B225" s="1416"/>
      <c r="C225" s="1459"/>
      <c r="D225" s="1459"/>
      <c r="E225" s="628">
        <v>15</v>
      </c>
      <c r="F225" s="50" cm="1" t="str">
        <f t="array" ref="F225:F225">OFFSET(E225,-1,1)</f>
        <v>4</v>
      </c>
      <c r="G225" s="104" t="s">
        <v>1175</v>
      </c>
      <c r="H225" s="1459"/>
      <c r="I225" s="1459"/>
      <c r="J225" s="1459"/>
      <c r="K225" s="1459"/>
      <c r="L225" s="1459"/>
      <c r="M225" s="1459"/>
      <c r="N225" s="1459"/>
      <c r="O225" s="1459"/>
      <c r="P225" s="1459"/>
      <c r="Q225" s="1459"/>
      <c r="R225" s="1459"/>
      <c r="S225" s="1459"/>
      <c r="T225" s="465" cm="1" t="str">
        <f t="array" ref="T225:T225">T224</f>
        <v>true</v>
      </c>
      <c r="U225" s="1459"/>
      <c r="V225" s="1459"/>
      <c r="W225" s="1459"/>
      <c r="X225" s="1596"/>
      <c r="Y225" s="1459"/>
      <c r="Z225" s="1597"/>
      <c r="AA225" s="1459"/>
      <c r="AB225" s="88" t="s">
        <v>1628</v>
      </c>
      <c r="AC225" s="214" t="s">
        <v>1629</v>
      </c>
      <c r="AD225" s="89" t="s">
        <v>1514</v>
      </c>
      <c r="AE225" s="215"/>
      <c r="AF225" s="215"/>
      <c r="AG225" s="215"/>
      <c r="AH225" s="215"/>
      <c r="AI225" s="215"/>
      <c r="AJ225" s="215"/>
      <c r="AK225" s="215"/>
      <c r="AL225" s="215"/>
      <c r="AM225" s="215"/>
      <c r="AN225" s="3536"/>
      <c r="AO225" s="3536"/>
      <c r="AP225" s="3536"/>
      <c r="AQ225" s="3536"/>
      <c r="AR225" s="3536"/>
      <c r="AS225" s="215"/>
      <c r="AT225" s="215"/>
      <c r="AU225" s="215"/>
      <c r="AV225" s="215"/>
      <c r="AW225" s="215"/>
      <c r="AX225" s="3536"/>
      <c r="AY225" s="3536"/>
      <c r="AZ225" s="3536"/>
      <c r="BA225" s="3536"/>
      <c r="BB225" s="3536"/>
      <c r="BC225" s="200"/>
      <c r="BD225" s="1459"/>
      <c r="BE225" s="1459"/>
      <c r="BF225" s="1034" t="s">
        <v>1630</v>
      </c>
    </row>
    <row s="1834" customFormat="1" customHeight="1" ht="0">
      <c r="A226" s="1459"/>
      <c r="B226" s="1416"/>
      <c r="C226" s="1459"/>
      <c r="D226" s="1459"/>
      <c r="E226" s="628">
        <v>15</v>
      </c>
      <c r="F226" s="50" cm="1" t="str">
        <f t="array" ref="F226:F226">OFFSET(E226,-1,1)</f>
        <v>4</v>
      </c>
      <c r="G226" s="104" t="s">
        <v>1179</v>
      </c>
      <c r="H226" s="1459"/>
      <c r="I226" s="1459"/>
      <c r="J226" s="1459"/>
      <c r="K226" s="1459"/>
      <c r="L226" s="1459"/>
      <c r="M226" s="1459"/>
      <c r="N226" s="1459"/>
      <c r="O226" s="1459"/>
      <c r="P226" s="1459"/>
      <c r="Q226" s="1459"/>
      <c r="R226" s="1459"/>
      <c r="S226" s="1459"/>
      <c r="T226" s="465" cm="1" t="str">
        <f t="array" ref="T226:T226">T225</f>
        <v>true</v>
      </c>
      <c r="U226" s="1459"/>
      <c r="V226" s="1459"/>
      <c r="W226" s="1459"/>
      <c r="X226" s="1596"/>
      <c r="Y226" s="1459"/>
      <c r="Z226" s="1597"/>
      <c r="AA226" s="1459"/>
      <c r="AB226" s="88" t="s">
        <v>1631</v>
      </c>
      <c r="AC226" s="214" t="s">
        <v>1632</v>
      </c>
      <c r="AD226" s="89" t="s">
        <v>1514</v>
      </c>
      <c r="AE226" s="215"/>
      <c r="AF226" s="215"/>
      <c r="AG226" s="215"/>
      <c r="AH226" s="215"/>
      <c r="AI226" s="215"/>
      <c r="AJ226" s="215"/>
      <c r="AK226" s="215"/>
      <c r="AL226" s="215"/>
      <c r="AM226" s="215"/>
      <c r="AN226" s="3536"/>
      <c r="AO226" s="3536"/>
      <c r="AP226" s="3536"/>
      <c r="AQ226" s="3536"/>
      <c r="AR226" s="3536"/>
      <c r="AS226" s="215"/>
      <c r="AT226" s="215"/>
      <c r="AU226" s="215"/>
      <c r="AV226" s="215"/>
      <c r="AW226" s="215"/>
      <c r="AX226" s="3536"/>
      <c r="AY226" s="3536"/>
      <c r="AZ226" s="3536"/>
      <c r="BA226" s="3536"/>
      <c r="BB226" s="3536"/>
      <c r="BC226" s="200"/>
      <c r="BD226" s="1459"/>
      <c r="BE226" s="1459"/>
      <c r="BF226" s="1034" t="s">
        <v>1633</v>
      </c>
    </row>
    <row s="1834" customFormat="1" customHeight="1" ht="0">
      <c r="A227" s="1459"/>
      <c r="B227" s="1416"/>
      <c r="C227" s="1459"/>
      <c r="D227" s="1459"/>
      <c r="E227" s="628">
        <v>15</v>
      </c>
      <c r="F227" s="50" cm="1" t="str">
        <f t="array" ref="F227:F227">OFFSET(E227,-1,1)</f>
        <v>4</v>
      </c>
      <c r="G227" s="104" t="s">
        <v>1182</v>
      </c>
      <c r="H227" s="1459"/>
      <c r="I227" s="1459"/>
      <c r="J227" s="1459"/>
      <c r="K227" s="1459"/>
      <c r="L227" s="1459"/>
      <c r="M227" s="1459"/>
      <c r="N227" s="1459"/>
      <c r="O227" s="1459"/>
      <c r="P227" s="1459"/>
      <c r="Q227" s="1459"/>
      <c r="R227" s="1459"/>
      <c r="S227" s="1459"/>
      <c r="T227" s="465" cm="1" t="str">
        <f t="array" ref="T227:T227">T226</f>
        <v>true</v>
      </c>
      <c r="U227" s="1459"/>
      <c r="V227" s="1459"/>
      <c r="W227" s="1459"/>
      <c r="X227" s="1596"/>
      <c r="Y227" s="1459"/>
      <c r="Z227" s="1597"/>
      <c r="AA227" s="1459"/>
      <c r="AB227" s="88" t="s">
        <v>1634</v>
      </c>
      <c r="AC227" s="214" t="s">
        <v>1635</v>
      </c>
      <c r="AD227" s="89" t="s">
        <v>1514</v>
      </c>
      <c r="AE227" s="215"/>
      <c r="AF227" s="215"/>
      <c r="AG227" s="215"/>
      <c r="AH227" s="215"/>
      <c r="AI227" s="215"/>
      <c r="AJ227" s="215"/>
      <c r="AK227" s="215"/>
      <c r="AL227" s="215"/>
      <c r="AM227" s="215"/>
      <c r="AN227" s="3536"/>
      <c r="AO227" s="3536"/>
      <c r="AP227" s="3536"/>
      <c r="AQ227" s="3536"/>
      <c r="AR227" s="3536"/>
      <c r="AS227" s="215"/>
      <c r="AT227" s="215"/>
      <c r="AU227" s="215"/>
      <c r="AV227" s="215"/>
      <c r="AW227" s="215"/>
      <c r="AX227" s="3536"/>
      <c r="AY227" s="3536"/>
      <c r="AZ227" s="3536"/>
      <c r="BA227" s="3536"/>
      <c r="BB227" s="3536"/>
      <c r="BC227" s="200"/>
      <c r="BD227" s="1459"/>
      <c r="BE227" s="1459"/>
      <c r="BF227" s="1034" t="s">
        <v>1636</v>
      </c>
    </row>
    <row s="1834" customFormat="1" customHeight="1" ht="0">
      <c r="A228" s="1459"/>
      <c r="B228" s="1416"/>
      <c r="C228" s="1459"/>
      <c r="D228" s="1459"/>
      <c r="E228" s="628">
        <v>15</v>
      </c>
      <c r="F228" s="50" cm="1" t="str">
        <f t="array" ref="F228:F228">OFFSET(E228,-1,1)</f>
        <v>4</v>
      </c>
      <c r="G228" s="104" t="s">
        <v>1186</v>
      </c>
      <c r="H228" s="1459"/>
      <c r="I228" s="1459"/>
      <c r="J228" s="1459"/>
      <c r="K228" s="1459"/>
      <c r="L228" s="1459"/>
      <c r="M228" s="1459"/>
      <c r="N228" s="1459"/>
      <c r="O228" s="1459"/>
      <c r="P228" s="1459"/>
      <c r="Q228" s="1459"/>
      <c r="R228" s="1459"/>
      <c r="S228" s="1459"/>
      <c r="T228" s="465" cm="1" t="str">
        <f t="array" ref="T228:T228">T227</f>
        <v>true</v>
      </c>
      <c r="U228" s="1459"/>
      <c r="V228" s="1459"/>
      <c r="W228" s="1459"/>
      <c r="X228" s="1596"/>
      <c r="Y228" s="1459"/>
      <c r="Z228" s="1597"/>
      <c r="AA228" s="1459"/>
      <c r="AB228" s="88" t="s">
        <v>1637</v>
      </c>
      <c r="AC228" s="214" t="s">
        <v>1638</v>
      </c>
      <c r="AD228" s="89" t="s">
        <v>1514</v>
      </c>
      <c r="AE228" s="215"/>
      <c r="AF228" s="215"/>
      <c r="AG228" s="215"/>
      <c r="AH228" s="215"/>
      <c r="AI228" s="215"/>
      <c r="AJ228" s="215"/>
      <c r="AK228" s="215"/>
      <c r="AL228" s="215"/>
      <c r="AM228" s="215"/>
      <c r="AN228" s="3536"/>
      <c r="AO228" s="3536"/>
      <c r="AP228" s="3536"/>
      <c r="AQ228" s="3536"/>
      <c r="AR228" s="3536"/>
      <c r="AS228" s="215"/>
      <c r="AT228" s="215"/>
      <c r="AU228" s="215"/>
      <c r="AV228" s="215"/>
      <c r="AW228" s="215"/>
      <c r="AX228" s="3536"/>
      <c r="AY228" s="3536"/>
      <c r="AZ228" s="3536"/>
      <c r="BA228" s="3536"/>
      <c r="BB228" s="3536"/>
      <c r="BC228" s="200"/>
      <c r="BD228" s="1459"/>
      <c r="BE228" s="1459"/>
      <c r="BF228" s="1034" t="s">
        <v>1639</v>
      </c>
    </row>
    <row s="1834" customFormat="1" customHeight="1" ht="0">
      <c r="A229" s="1459"/>
      <c r="B229" s="1416"/>
      <c r="C229" s="1459"/>
      <c r="D229" s="1459"/>
      <c r="E229" s="628">
        <v>15</v>
      </c>
      <c r="F229" s="50" cm="1" t="str">
        <f t="array" ref="F229:F229">OFFSET(E229,-1,1)</f>
        <v>4</v>
      </c>
      <c r="G229" s="104" t="s">
        <v>1640</v>
      </c>
      <c r="H229" s="1459"/>
      <c r="I229" s="1459"/>
      <c r="J229" s="1459"/>
      <c r="K229" s="1459"/>
      <c r="L229" s="1459"/>
      <c r="M229" s="1459"/>
      <c r="N229" s="1459"/>
      <c r="O229" s="1459"/>
      <c r="P229" s="1459"/>
      <c r="Q229" s="1459"/>
      <c r="R229" s="1459"/>
      <c r="S229" s="1459"/>
      <c r="T229" s="465" cm="1" t="str">
        <f t="array" ref="T229:T229">T228</f>
        <v>true</v>
      </c>
      <c r="U229" s="1459"/>
      <c r="V229" s="1459"/>
      <c r="W229" s="1459"/>
      <c r="X229" s="1596"/>
      <c r="Y229" s="1459"/>
      <c r="Z229" s="1597"/>
      <c r="AA229" s="1459"/>
      <c r="AB229" s="88" t="s">
        <v>1641</v>
      </c>
      <c r="AC229" s="214" t="s">
        <v>1642</v>
      </c>
      <c r="AD229" s="89" t="s">
        <v>1514</v>
      </c>
      <c r="AE229" s="215"/>
      <c r="AF229" s="215"/>
      <c r="AG229" s="215"/>
      <c r="AH229" s="215"/>
      <c r="AI229" s="215"/>
      <c r="AJ229" s="215"/>
      <c r="AK229" s="215"/>
      <c r="AL229" s="215"/>
      <c r="AM229" s="215"/>
      <c r="AN229" s="3536"/>
      <c r="AO229" s="3536"/>
      <c r="AP229" s="3536"/>
      <c r="AQ229" s="3536"/>
      <c r="AR229" s="3536"/>
      <c r="AS229" s="215"/>
      <c r="AT229" s="215"/>
      <c r="AU229" s="215"/>
      <c r="AV229" s="215"/>
      <c r="AW229" s="215"/>
      <c r="AX229" s="3536"/>
      <c r="AY229" s="3536"/>
      <c r="AZ229" s="3536"/>
      <c r="BA229" s="3536"/>
      <c r="BB229" s="3536"/>
      <c r="BC229" s="200"/>
      <c r="BD229" s="1459"/>
      <c r="BE229" s="1459"/>
      <c r="BF229" s="1034" t="s">
        <v>1643</v>
      </c>
    </row>
    <row s="525" customFormat="1" customHeight="1" ht="14.25">
      <c r="A230" s="525"/>
      <c r="B230" s="431"/>
      <c r="C230" s="525"/>
      <c r="D230" s="525"/>
      <c r="E230" s="628">
        <v>15</v>
      </c>
      <c r="F230" s="50" cm="1" t="str">
        <f t="array" ref="F230:F230">OFFSET(E230,-1,1)</f>
        <v>4</v>
      </c>
      <c r="G230" s="104" t="s">
        <v>333</v>
      </c>
      <c r="H230" s="525"/>
      <c r="I230" s="525"/>
      <c r="J230" s="525"/>
      <c r="K230" s="525"/>
      <c r="L230" s="525"/>
      <c r="M230" s="525"/>
      <c r="N230" s="525"/>
      <c r="O230" s="525"/>
      <c r="P230" s="525"/>
      <c r="Q230" s="525"/>
      <c r="R230" s="525"/>
      <c r="S230" s="525"/>
      <c r="T230" s="465" cm="1" t="str">
        <f t="array" ref="T230:T230">T229</f>
        <v>true</v>
      </c>
      <c r="U230" s="525"/>
      <c r="V230" s="525"/>
      <c r="W230" s="525"/>
      <c r="X230" s="1596"/>
      <c r="Y230" s="525"/>
      <c r="Z230" s="1597"/>
      <c r="AA230" s="525"/>
      <c r="AB230" s="211">
        <v>2</v>
      </c>
      <c r="AC230" s="212" t="s">
        <v>1644</v>
      </c>
      <c r="AD230" s="89" t="s">
        <v>1514</v>
      </c>
      <c r="AE230" s="1198">
        <f>SUM(AE231:AE235)</f>
        <v>0</v>
      </c>
      <c r="AF230" s="1198">
        <f>SUM(AF231:AF235)</f>
        <v>0</v>
      </c>
      <c r="AG230" s="1198">
        <f>SUM(AG231:AG235)</f>
        <v>0</v>
      </c>
      <c r="AH230" s="1198">
        <f>SUM(AH231:AH235)</f>
        <v>0</v>
      </c>
      <c r="AI230" s="1198">
        <f>SUM(AI231:AI235)</f>
        <v>0</v>
      </c>
      <c r="AJ230" s="1198">
        <f>SUM(AJ231:AJ235)</f>
        <v>0</v>
      </c>
      <c r="AK230" s="1198">
        <f>SUM(AK231:AK235)</f>
        <v>0</v>
      </c>
      <c r="AL230" s="1198">
        <f>SUM(AL231:AL235)</f>
        <v>0</v>
      </c>
      <c r="AM230" s="1198">
        <f>SUM(AM231:AM235)</f>
        <v>0</v>
      </c>
      <c r="AN230" s="3534">
        <f>SUM(AN231:AN235)</f>
        <v>0</v>
      </c>
      <c r="AO230" s="3534">
        <f>SUM(AO231:AO235)</f>
        <v>0</v>
      </c>
      <c r="AP230" s="3534">
        <f>SUM(AP231:AP235)</f>
        <v>0</v>
      </c>
      <c r="AQ230" s="3534">
        <f>SUM(AQ231:AQ235)</f>
        <v>0</v>
      </c>
      <c r="AR230" s="3534">
        <f>SUM(AR231:AR235)</f>
        <v>0</v>
      </c>
      <c r="AS230" s="1198">
        <f>SUM(AS231:AS235)</f>
        <v>0</v>
      </c>
      <c r="AT230" s="1198">
        <f>SUM(AT231:AT235)</f>
        <v>0</v>
      </c>
      <c r="AU230" s="1198">
        <f>SUM(AU231:AU235)</f>
        <v>0</v>
      </c>
      <c r="AV230" s="1198">
        <f>SUM(AV231:AV235)</f>
        <v>0</v>
      </c>
      <c r="AW230" s="1198">
        <f>SUM(AW231:AW235)</f>
        <v>0</v>
      </c>
      <c r="AX230" s="3534">
        <f>SUM(AX231:AX235)</f>
        <v>0</v>
      </c>
      <c r="AY230" s="3534">
        <f>SUM(AY231:AY235)</f>
        <v>0</v>
      </c>
      <c r="AZ230" s="3534">
        <f>SUM(AZ231:AZ235)</f>
        <v>0</v>
      </c>
      <c r="BA230" s="3534">
        <f>SUM(BA231:BA235)</f>
        <v>0</v>
      </c>
      <c r="BB230" s="3534">
        <f>SUM(BB231:BB235)</f>
        <v>0</v>
      </c>
      <c r="BC230" s="200"/>
      <c r="BD230" s="525"/>
      <c r="BE230" s="525"/>
      <c r="BF230" s="1034" t="s">
        <v>1645</v>
      </c>
    </row>
    <row s="1834" customFormat="1" customHeight="1" ht="0">
      <c r="A231" s="1459"/>
      <c r="B231" s="1416"/>
      <c r="C231" s="1459"/>
      <c r="D231" s="1459"/>
      <c r="E231" s="628">
        <v>15</v>
      </c>
      <c r="F231" s="50" cm="1" t="str">
        <f t="array" ref="F231:F231">OFFSET(E231,-1,1)</f>
        <v>4</v>
      </c>
      <c r="G231" s="104" t="s">
        <v>1193</v>
      </c>
      <c r="H231" s="1459"/>
      <c r="I231" s="1459"/>
      <c r="J231" s="1459"/>
      <c r="K231" s="1459"/>
      <c r="L231" s="1459"/>
      <c r="M231" s="1459"/>
      <c r="N231" s="1459"/>
      <c r="O231" s="1459"/>
      <c r="P231" s="1459"/>
      <c r="Q231" s="1459"/>
      <c r="R231" s="1459"/>
      <c r="S231" s="1459"/>
      <c r="T231" s="465" cm="1" t="str">
        <f t="array" ref="T231:T231">T230</f>
        <v>true</v>
      </c>
      <c r="U231" s="1459"/>
      <c r="V231" s="1459"/>
      <c r="W231" s="1459"/>
      <c r="X231" s="1596"/>
      <c r="Y231" s="1459"/>
      <c r="Z231" s="1597"/>
      <c r="AA231" s="1459"/>
      <c r="AB231" s="88" t="s">
        <v>1250</v>
      </c>
      <c r="AC231" s="214" t="s">
        <v>1629</v>
      </c>
      <c r="AD231" s="89" t="s">
        <v>1514</v>
      </c>
      <c r="AE231" s="215"/>
      <c r="AF231" s="215"/>
      <c r="AG231" s="215"/>
      <c r="AH231" s="215"/>
      <c r="AI231" s="215"/>
      <c r="AJ231" s="215"/>
      <c r="AK231" s="215"/>
      <c r="AL231" s="215"/>
      <c r="AM231" s="215"/>
      <c r="AN231" s="3536"/>
      <c r="AO231" s="3536"/>
      <c r="AP231" s="3536"/>
      <c r="AQ231" s="3536"/>
      <c r="AR231" s="3536"/>
      <c r="AS231" s="215"/>
      <c r="AT231" s="215"/>
      <c r="AU231" s="215"/>
      <c r="AV231" s="215"/>
      <c r="AW231" s="215"/>
      <c r="AX231" s="3536"/>
      <c r="AY231" s="3536"/>
      <c r="AZ231" s="3536"/>
      <c r="BA231" s="3536"/>
      <c r="BB231" s="3536"/>
      <c r="BC231" s="200"/>
      <c r="BD231" s="1459"/>
      <c r="BE231" s="1459"/>
      <c r="BF231" s="1034" t="s">
        <v>1646</v>
      </c>
    </row>
    <row s="1834" customFormat="1" customHeight="1" ht="0">
      <c r="A232" s="1459"/>
      <c r="B232" s="1416"/>
      <c r="C232" s="1459"/>
      <c r="D232" s="1459"/>
      <c r="E232" s="628">
        <v>15</v>
      </c>
      <c r="F232" s="50" cm="1" t="str">
        <f t="array" ref="F232:F232">OFFSET(E232,-1,1)</f>
        <v>4</v>
      </c>
      <c r="G232" s="104" t="s">
        <v>1196</v>
      </c>
      <c r="H232" s="1459"/>
      <c r="I232" s="1459"/>
      <c r="J232" s="1459"/>
      <c r="K232" s="1459"/>
      <c r="L232" s="1459"/>
      <c r="M232" s="1459"/>
      <c r="N232" s="1459"/>
      <c r="O232" s="1459"/>
      <c r="P232" s="1459"/>
      <c r="Q232" s="1459"/>
      <c r="R232" s="1459"/>
      <c r="S232" s="1459"/>
      <c r="T232" s="465" cm="1" t="str">
        <f t="array" ref="T232:T232">T231</f>
        <v>true</v>
      </c>
      <c r="U232" s="1459"/>
      <c r="V232" s="1459"/>
      <c r="W232" s="1459"/>
      <c r="X232" s="1596"/>
      <c r="Y232" s="1459"/>
      <c r="Z232" s="1597"/>
      <c r="AA232" s="1459"/>
      <c r="AB232" s="88" t="s">
        <v>1254</v>
      </c>
      <c r="AC232" s="214" t="s">
        <v>1632</v>
      </c>
      <c r="AD232" s="89" t="s">
        <v>1514</v>
      </c>
      <c r="AE232" s="215"/>
      <c r="AF232" s="215"/>
      <c r="AG232" s="215"/>
      <c r="AH232" s="215"/>
      <c r="AI232" s="215"/>
      <c r="AJ232" s="215"/>
      <c r="AK232" s="215"/>
      <c r="AL232" s="215"/>
      <c r="AM232" s="215"/>
      <c r="AN232" s="3536"/>
      <c r="AO232" s="3536"/>
      <c r="AP232" s="3536"/>
      <c r="AQ232" s="3536"/>
      <c r="AR232" s="3536"/>
      <c r="AS232" s="215"/>
      <c r="AT232" s="215"/>
      <c r="AU232" s="215"/>
      <c r="AV232" s="215"/>
      <c r="AW232" s="215"/>
      <c r="AX232" s="3536"/>
      <c r="AY232" s="3536"/>
      <c r="AZ232" s="3536"/>
      <c r="BA232" s="3536"/>
      <c r="BB232" s="3536"/>
      <c r="BC232" s="200"/>
      <c r="BD232" s="1459"/>
      <c r="BE232" s="1459"/>
      <c r="BF232" s="1034" t="s">
        <v>1647</v>
      </c>
    </row>
    <row s="1834" customFormat="1" customHeight="1" ht="0">
      <c r="A233" s="1459"/>
      <c r="B233" s="1416"/>
      <c r="C233" s="1459"/>
      <c r="D233" s="1459"/>
      <c r="E233" s="628">
        <v>15</v>
      </c>
      <c r="F233" s="50" cm="1" t="str">
        <f t="array" ref="F233:F233">OFFSET(E233,-1,1)</f>
        <v>4</v>
      </c>
      <c r="G233" s="104" t="s">
        <v>1648</v>
      </c>
      <c r="H233" s="1459"/>
      <c r="I233" s="1459"/>
      <c r="J233" s="1459"/>
      <c r="K233" s="1459"/>
      <c r="L233" s="1459"/>
      <c r="M233" s="1459"/>
      <c r="N233" s="1459"/>
      <c r="O233" s="1459"/>
      <c r="P233" s="1459"/>
      <c r="Q233" s="1459"/>
      <c r="R233" s="1459"/>
      <c r="S233" s="1459"/>
      <c r="T233" s="465" cm="1" t="str">
        <f t="array" ref="T233:T233">T232</f>
        <v>true</v>
      </c>
      <c r="U233" s="1459"/>
      <c r="V233" s="1459"/>
      <c r="W233" s="1459"/>
      <c r="X233" s="1596"/>
      <c r="Y233" s="1459"/>
      <c r="Z233" s="1597"/>
      <c r="AA233" s="1459"/>
      <c r="AB233" s="88" t="s">
        <v>1258</v>
      </c>
      <c r="AC233" s="214" t="s">
        <v>1635</v>
      </c>
      <c r="AD233" s="89" t="s">
        <v>1514</v>
      </c>
      <c r="AE233" s="215"/>
      <c r="AF233" s="215"/>
      <c r="AG233" s="215"/>
      <c r="AH233" s="215"/>
      <c r="AI233" s="215"/>
      <c r="AJ233" s="215"/>
      <c r="AK233" s="215"/>
      <c r="AL233" s="215"/>
      <c r="AM233" s="215"/>
      <c r="AN233" s="3536"/>
      <c r="AO233" s="3536"/>
      <c r="AP233" s="3536"/>
      <c r="AQ233" s="3536"/>
      <c r="AR233" s="3536"/>
      <c r="AS233" s="215"/>
      <c r="AT233" s="215"/>
      <c r="AU233" s="215"/>
      <c r="AV233" s="215"/>
      <c r="AW233" s="215"/>
      <c r="AX233" s="3536"/>
      <c r="AY233" s="3536"/>
      <c r="AZ233" s="3536"/>
      <c r="BA233" s="3536"/>
      <c r="BB233" s="3536"/>
      <c r="BC233" s="200"/>
      <c r="BD233" s="1459"/>
      <c r="BE233" s="1459"/>
      <c r="BF233" s="1034" t="s">
        <v>1649</v>
      </c>
    </row>
    <row s="1834" customFormat="1" customHeight="1" ht="0">
      <c r="A234" s="1459"/>
      <c r="B234" s="1416"/>
      <c r="C234" s="1459"/>
      <c r="D234" s="1459"/>
      <c r="E234" s="628">
        <v>15</v>
      </c>
      <c r="F234" s="50" cm="1" t="str">
        <f t="array" ref="F234:F234">OFFSET(E234,-1,1)</f>
        <v>4</v>
      </c>
      <c r="G234" s="104" t="s">
        <v>1650</v>
      </c>
      <c r="H234" s="1459"/>
      <c r="I234" s="1459"/>
      <c r="J234" s="1459"/>
      <c r="K234" s="1459"/>
      <c r="L234" s="1459"/>
      <c r="M234" s="1459"/>
      <c r="N234" s="1459"/>
      <c r="O234" s="1459"/>
      <c r="P234" s="1459"/>
      <c r="Q234" s="1459"/>
      <c r="R234" s="1459"/>
      <c r="S234" s="1459"/>
      <c r="T234" s="465" cm="1" t="str">
        <f t="array" ref="T234:T234">T233</f>
        <v>true</v>
      </c>
      <c r="U234" s="1459"/>
      <c r="V234" s="1459"/>
      <c r="W234" s="1459"/>
      <c r="X234" s="1596"/>
      <c r="Y234" s="1459"/>
      <c r="Z234" s="1597"/>
      <c r="AA234" s="1459"/>
      <c r="AB234" s="88" t="s">
        <v>1651</v>
      </c>
      <c r="AC234" s="214" t="s">
        <v>1638</v>
      </c>
      <c r="AD234" s="89" t="s">
        <v>1514</v>
      </c>
      <c r="AE234" s="215"/>
      <c r="AF234" s="215"/>
      <c r="AG234" s="215"/>
      <c r="AH234" s="215"/>
      <c r="AI234" s="215"/>
      <c r="AJ234" s="215"/>
      <c r="AK234" s="215"/>
      <c r="AL234" s="215"/>
      <c r="AM234" s="215"/>
      <c r="AN234" s="3536"/>
      <c r="AO234" s="3536"/>
      <c r="AP234" s="3536"/>
      <c r="AQ234" s="3536"/>
      <c r="AR234" s="3536"/>
      <c r="AS234" s="215"/>
      <c r="AT234" s="215"/>
      <c r="AU234" s="215"/>
      <c r="AV234" s="215"/>
      <c r="AW234" s="215"/>
      <c r="AX234" s="3536"/>
      <c r="AY234" s="3536"/>
      <c r="AZ234" s="3536"/>
      <c r="BA234" s="3536"/>
      <c r="BB234" s="3536"/>
      <c r="BC234" s="200"/>
      <c r="BD234" s="1459"/>
      <c r="BE234" s="1459"/>
      <c r="BF234" s="1034" t="s">
        <v>1652</v>
      </c>
    </row>
    <row s="1834" customFormat="1" customHeight="1" ht="0">
      <c r="A235" s="1459"/>
      <c r="B235" s="1416"/>
      <c r="C235" s="1459"/>
      <c r="D235" s="1459"/>
      <c r="E235" s="628">
        <v>15</v>
      </c>
      <c r="F235" s="50" cm="1" t="str">
        <f t="array" ref="F235:F235">OFFSET(E235,-1,1)</f>
        <v>4</v>
      </c>
      <c r="G235" s="104" t="s">
        <v>1653</v>
      </c>
      <c r="H235" s="1459"/>
      <c r="I235" s="1459"/>
      <c r="J235" s="1459"/>
      <c r="K235" s="1459"/>
      <c r="L235" s="1459"/>
      <c r="M235" s="1459"/>
      <c r="N235" s="1459"/>
      <c r="O235" s="1459"/>
      <c r="P235" s="1459"/>
      <c r="Q235" s="1459"/>
      <c r="R235" s="1459"/>
      <c r="S235" s="1459"/>
      <c r="T235" s="465" cm="1" t="str">
        <f t="array" ref="T235:T235">T234</f>
        <v>true</v>
      </c>
      <c r="U235" s="1459"/>
      <c r="V235" s="1459"/>
      <c r="W235" s="1459"/>
      <c r="X235" s="1596"/>
      <c r="Y235" s="1459"/>
      <c r="Z235" s="1597"/>
      <c r="AA235" s="1459"/>
      <c r="AB235" s="88" t="s">
        <v>1654</v>
      </c>
      <c r="AC235" s="214" t="s">
        <v>1642</v>
      </c>
      <c r="AD235" s="89" t="s">
        <v>1514</v>
      </c>
      <c r="AE235" s="215"/>
      <c r="AF235" s="215"/>
      <c r="AG235" s="215"/>
      <c r="AH235" s="215"/>
      <c r="AI235" s="215"/>
      <c r="AJ235" s="215"/>
      <c r="AK235" s="215"/>
      <c r="AL235" s="215"/>
      <c r="AM235" s="215"/>
      <c r="AN235" s="3536"/>
      <c r="AO235" s="3536"/>
      <c r="AP235" s="3536"/>
      <c r="AQ235" s="3536"/>
      <c r="AR235" s="3536"/>
      <c r="AS235" s="215"/>
      <c r="AT235" s="215"/>
      <c r="AU235" s="215"/>
      <c r="AV235" s="215"/>
      <c r="AW235" s="215"/>
      <c r="AX235" s="3536"/>
      <c r="AY235" s="3536"/>
      <c r="AZ235" s="3536"/>
      <c r="BA235" s="3536"/>
      <c r="BB235" s="3536"/>
      <c r="BC235" s="200"/>
      <c r="BD235" s="1459"/>
      <c r="BE235" s="1459"/>
      <c r="BF235" s="1034" t="s">
        <v>1655</v>
      </c>
    </row>
    <row s="525" customFormat="1" customHeight="1" ht="14.25">
      <c r="A236" s="525"/>
      <c r="B236" s="431"/>
      <c r="C236" s="525"/>
      <c r="D236" s="525"/>
      <c r="E236" s="628">
        <v>15</v>
      </c>
      <c r="F236" s="50" cm="1" t="str">
        <f t="array" ref="F236:F236">OFFSET(E236,-1,1)</f>
        <v>4</v>
      </c>
      <c r="G236" s="104" t="s">
        <v>334</v>
      </c>
      <c r="H236" s="525"/>
      <c r="I236" s="525"/>
      <c r="J236" s="525"/>
      <c r="K236" s="525"/>
      <c r="L236" s="525"/>
      <c r="M236" s="525"/>
      <c r="N236" s="525"/>
      <c r="O236" s="525"/>
      <c r="P236" s="525"/>
      <c r="Q236" s="525"/>
      <c r="R236" s="525"/>
      <c r="S236" s="525"/>
      <c r="T236" s="465" cm="1" t="str">
        <f t="array" ref="T236:T236">T235</f>
        <v>true</v>
      </c>
      <c r="U236" s="525"/>
      <c r="V236" s="525"/>
      <c r="W236" s="525"/>
      <c r="X236" s="1596"/>
      <c r="Y236" s="525"/>
      <c r="Z236" s="1597"/>
      <c r="AA236" s="525"/>
      <c r="AB236" s="211">
        <v>3</v>
      </c>
      <c r="AC236" s="212" t="s">
        <v>1656</v>
      </c>
      <c r="AD236" s="89" t="s">
        <v>1514</v>
      </c>
      <c r="AE236" s="1198">
        <f>SUM(AE237:AE241)</f>
        <v>0</v>
      </c>
      <c r="AF236" s="1198">
        <f>SUM(AF237:AF241)</f>
        <v>0</v>
      </c>
      <c r="AG236" s="1198">
        <f>SUM(AG237:AG241)</f>
        <v>0</v>
      </c>
      <c r="AH236" s="1198">
        <f>SUM(AH237:AH241)</f>
        <v>0</v>
      </c>
      <c r="AI236" s="1198">
        <f>SUM(AI237:AI241)</f>
        <v>0</v>
      </c>
      <c r="AJ236" s="1198">
        <f>SUM(AJ237:AJ241)</f>
        <v>0</v>
      </c>
      <c r="AK236" s="1198">
        <f>SUM(AK237:AK241)</f>
        <v>0</v>
      </c>
      <c r="AL236" s="1198">
        <f>SUM(AL237:AL241)</f>
        <v>0</v>
      </c>
      <c r="AM236" s="1198">
        <f>SUM(AM237:AM241)</f>
        <v>0</v>
      </c>
      <c r="AN236" s="3534">
        <f>SUM(AN237:AN241)</f>
        <v>0</v>
      </c>
      <c r="AO236" s="3534">
        <f>SUM(AO237:AO241)</f>
        <v>0</v>
      </c>
      <c r="AP236" s="3534">
        <f>SUM(AP237:AP241)</f>
        <v>0</v>
      </c>
      <c r="AQ236" s="3534">
        <f>SUM(AQ237:AQ241)</f>
        <v>0</v>
      </c>
      <c r="AR236" s="3534">
        <f>SUM(AR237:AR241)</f>
        <v>0</v>
      </c>
      <c r="AS236" s="1198">
        <f>SUM(AS237:AS241)</f>
        <v>0</v>
      </c>
      <c r="AT236" s="1198">
        <f>SUM(AT237:AT241)</f>
        <v>0</v>
      </c>
      <c r="AU236" s="1198">
        <f>SUM(AU237:AU241)</f>
        <v>0</v>
      </c>
      <c r="AV236" s="1198">
        <f>SUM(AV237:AV241)</f>
        <v>0</v>
      </c>
      <c r="AW236" s="1198">
        <f>SUM(AW237:AW241)</f>
        <v>0</v>
      </c>
      <c r="AX236" s="3534">
        <f>SUM(AX237:AX241)</f>
        <v>0</v>
      </c>
      <c r="AY236" s="3534">
        <f>SUM(AY237:AY241)</f>
        <v>0</v>
      </c>
      <c r="AZ236" s="3534">
        <f>SUM(AZ237:AZ241)</f>
        <v>0</v>
      </c>
      <c r="BA236" s="3534">
        <f>SUM(BA237:BA241)</f>
        <v>0</v>
      </c>
      <c r="BB236" s="3534">
        <f>SUM(BB237:BB241)</f>
        <v>0</v>
      </c>
      <c r="BC236" s="200"/>
      <c r="BD236" s="525"/>
      <c r="BE236" s="525"/>
      <c r="BF236" s="1034" t="s">
        <v>1657</v>
      </c>
    </row>
    <row s="1834" customFormat="1" customHeight="1" ht="0">
      <c r="A237" s="1459"/>
      <c r="B237" s="1416"/>
      <c r="C237" s="1459"/>
      <c r="D237" s="1459"/>
      <c r="E237" s="628">
        <v>15</v>
      </c>
      <c r="F237" s="50" cm="1" t="str">
        <f t="array" ref="F237:F237">OFFSET(E237,-1,1)</f>
        <v>4</v>
      </c>
      <c r="G237" s="104" t="s">
        <v>1658</v>
      </c>
      <c r="H237" s="1459"/>
      <c r="I237" s="1459"/>
      <c r="J237" s="1459"/>
      <c r="K237" s="1459"/>
      <c r="L237" s="1459"/>
      <c r="M237" s="1459"/>
      <c r="N237" s="1459"/>
      <c r="O237" s="1459"/>
      <c r="P237" s="1459"/>
      <c r="Q237" s="1459"/>
      <c r="R237" s="1459"/>
      <c r="S237" s="1459"/>
      <c r="T237" s="465" cm="1" t="str">
        <f t="array" ref="T237:T237">T236</f>
        <v>true</v>
      </c>
      <c r="U237" s="1459"/>
      <c r="V237" s="1459"/>
      <c r="W237" s="1459"/>
      <c r="X237" s="1596"/>
      <c r="Y237" s="1459"/>
      <c r="Z237" s="1597"/>
      <c r="AA237" s="1459"/>
      <c r="AB237" s="88" t="s">
        <v>1264</v>
      </c>
      <c r="AC237" s="214" t="s">
        <v>1629</v>
      </c>
      <c r="AD237" s="89" t="s">
        <v>1514</v>
      </c>
      <c r="AE237" s="215"/>
      <c r="AF237" s="215"/>
      <c r="AG237" s="215"/>
      <c r="AH237" s="215"/>
      <c r="AI237" s="215"/>
      <c r="AJ237" s="215"/>
      <c r="AK237" s="215"/>
      <c r="AL237" s="215"/>
      <c r="AM237" s="215"/>
      <c r="AN237" s="3536"/>
      <c r="AO237" s="3536"/>
      <c r="AP237" s="3536"/>
      <c r="AQ237" s="3536"/>
      <c r="AR237" s="3536"/>
      <c r="AS237" s="215"/>
      <c r="AT237" s="215"/>
      <c r="AU237" s="215"/>
      <c r="AV237" s="215"/>
      <c r="AW237" s="215"/>
      <c r="AX237" s="3536"/>
      <c r="AY237" s="3536"/>
      <c r="AZ237" s="3536"/>
      <c r="BA237" s="3536"/>
      <c r="BB237" s="3536"/>
      <c r="BC237" s="200"/>
      <c r="BD237" s="1459"/>
      <c r="BE237" s="1459"/>
      <c r="BF237" s="1034" t="s">
        <v>1659</v>
      </c>
    </row>
    <row s="1834" customFormat="1" customHeight="1" ht="0">
      <c r="A238" s="1459"/>
      <c r="B238" s="1416"/>
      <c r="C238" s="1459"/>
      <c r="D238" s="1459"/>
      <c r="E238" s="628">
        <v>15</v>
      </c>
      <c r="F238" s="50" cm="1" t="str">
        <f t="array" ref="F238:F238">OFFSET(E238,-1,1)</f>
        <v>4</v>
      </c>
      <c r="G238" s="104" t="s">
        <v>1660</v>
      </c>
      <c r="H238" s="1459"/>
      <c r="I238" s="1459"/>
      <c r="J238" s="1459"/>
      <c r="K238" s="1459"/>
      <c r="L238" s="1459"/>
      <c r="M238" s="1459"/>
      <c r="N238" s="1459"/>
      <c r="O238" s="1459"/>
      <c r="P238" s="1459"/>
      <c r="Q238" s="1459"/>
      <c r="R238" s="1459"/>
      <c r="S238" s="1459"/>
      <c r="T238" s="465" cm="1" t="str">
        <f t="array" ref="T238:T238">T237</f>
        <v>true</v>
      </c>
      <c r="U238" s="1459"/>
      <c r="V238" s="1459"/>
      <c r="W238" s="1459"/>
      <c r="X238" s="1596"/>
      <c r="Y238" s="1459"/>
      <c r="Z238" s="1597"/>
      <c r="AA238" s="1459"/>
      <c r="AB238" s="88" t="s">
        <v>1268</v>
      </c>
      <c r="AC238" s="214" t="s">
        <v>1632</v>
      </c>
      <c r="AD238" s="89" t="s">
        <v>1514</v>
      </c>
      <c r="AE238" s="215"/>
      <c r="AF238" s="215"/>
      <c r="AG238" s="215"/>
      <c r="AH238" s="215"/>
      <c r="AI238" s="215"/>
      <c r="AJ238" s="215"/>
      <c r="AK238" s="215"/>
      <c r="AL238" s="215"/>
      <c r="AM238" s="215"/>
      <c r="AN238" s="3536"/>
      <c r="AO238" s="3536"/>
      <c r="AP238" s="3536"/>
      <c r="AQ238" s="3536"/>
      <c r="AR238" s="3536"/>
      <c r="AS238" s="215"/>
      <c r="AT238" s="215"/>
      <c r="AU238" s="215"/>
      <c r="AV238" s="215"/>
      <c r="AW238" s="215"/>
      <c r="AX238" s="3536"/>
      <c r="AY238" s="3536"/>
      <c r="AZ238" s="3536"/>
      <c r="BA238" s="3536"/>
      <c r="BB238" s="3536"/>
      <c r="BC238" s="200"/>
      <c r="BD238" s="1459"/>
      <c r="BE238" s="1459"/>
      <c r="BF238" s="1034" t="s">
        <v>1661</v>
      </c>
    </row>
    <row s="1834" customFormat="1" customHeight="1" ht="0">
      <c r="A239" s="1459"/>
      <c r="B239" s="1416"/>
      <c r="C239" s="1459"/>
      <c r="D239" s="1459"/>
      <c r="E239" s="628">
        <v>15</v>
      </c>
      <c r="F239" s="50" cm="1" t="str">
        <f t="array" ref="F239:F239">OFFSET(E239,-1,1)</f>
        <v>4</v>
      </c>
      <c r="G239" s="104" t="s">
        <v>1662</v>
      </c>
      <c r="H239" s="1459"/>
      <c r="I239" s="1459"/>
      <c r="J239" s="1459"/>
      <c r="K239" s="1459"/>
      <c r="L239" s="1459"/>
      <c r="M239" s="1459"/>
      <c r="N239" s="1459"/>
      <c r="O239" s="1459"/>
      <c r="P239" s="1459"/>
      <c r="Q239" s="1459"/>
      <c r="R239" s="1459"/>
      <c r="S239" s="1459"/>
      <c r="T239" s="465" cm="1" t="str">
        <f t="array" ref="T239:T239">T238</f>
        <v>true</v>
      </c>
      <c r="U239" s="1459"/>
      <c r="V239" s="1459"/>
      <c r="W239" s="1459"/>
      <c r="X239" s="1596"/>
      <c r="Y239" s="1459"/>
      <c r="Z239" s="1597"/>
      <c r="AA239" s="1459"/>
      <c r="AB239" s="88" t="s">
        <v>1480</v>
      </c>
      <c r="AC239" s="214" t="s">
        <v>1635</v>
      </c>
      <c r="AD239" s="89" t="s">
        <v>1514</v>
      </c>
      <c r="AE239" s="215"/>
      <c r="AF239" s="215"/>
      <c r="AG239" s="215"/>
      <c r="AH239" s="215"/>
      <c r="AI239" s="215"/>
      <c r="AJ239" s="215"/>
      <c r="AK239" s="215"/>
      <c r="AL239" s="215"/>
      <c r="AM239" s="215"/>
      <c r="AN239" s="3536"/>
      <c r="AO239" s="3536"/>
      <c r="AP239" s="3536"/>
      <c r="AQ239" s="3536"/>
      <c r="AR239" s="3536"/>
      <c r="AS239" s="215"/>
      <c r="AT239" s="215"/>
      <c r="AU239" s="215"/>
      <c r="AV239" s="215"/>
      <c r="AW239" s="215"/>
      <c r="AX239" s="3536"/>
      <c r="AY239" s="3536"/>
      <c r="AZ239" s="3536"/>
      <c r="BA239" s="3536"/>
      <c r="BB239" s="3536"/>
      <c r="BC239" s="200"/>
      <c r="BD239" s="1459"/>
      <c r="BE239" s="1459"/>
      <c r="BF239" s="1034" t="s">
        <v>1663</v>
      </c>
    </row>
    <row s="1834" customFormat="1" customHeight="1" ht="0">
      <c r="A240" s="1459"/>
      <c r="B240" s="1416"/>
      <c r="C240" s="1459"/>
      <c r="D240" s="1459"/>
      <c r="E240" s="628">
        <v>15</v>
      </c>
      <c r="F240" s="50" cm="1" t="str">
        <f t="array" ref="F240:F240">OFFSET(E240,-1,1)</f>
        <v>4</v>
      </c>
      <c r="G240" s="104" t="s">
        <v>1664</v>
      </c>
      <c r="H240" s="1459"/>
      <c r="I240" s="1459"/>
      <c r="J240" s="1459"/>
      <c r="K240" s="1459"/>
      <c r="L240" s="1459"/>
      <c r="M240" s="1459"/>
      <c r="N240" s="1459"/>
      <c r="O240" s="1459"/>
      <c r="P240" s="1459"/>
      <c r="Q240" s="1459"/>
      <c r="R240" s="1459"/>
      <c r="S240" s="1459"/>
      <c r="T240" s="465" cm="1" t="str">
        <f t="array" ref="T240:T240">T239</f>
        <v>true</v>
      </c>
      <c r="U240" s="1459"/>
      <c r="V240" s="1459"/>
      <c r="W240" s="1459"/>
      <c r="X240" s="1596"/>
      <c r="Y240" s="1459"/>
      <c r="Z240" s="1597"/>
      <c r="AA240" s="1459"/>
      <c r="AB240" s="88" t="s">
        <v>1665</v>
      </c>
      <c r="AC240" s="214" t="s">
        <v>1638</v>
      </c>
      <c r="AD240" s="89" t="s">
        <v>1514</v>
      </c>
      <c r="AE240" s="215"/>
      <c r="AF240" s="215"/>
      <c r="AG240" s="215"/>
      <c r="AH240" s="215"/>
      <c r="AI240" s="215"/>
      <c r="AJ240" s="215"/>
      <c r="AK240" s="215"/>
      <c r="AL240" s="215"/>
      <c r="AM240" s="215"/>
      <c r="AN240" s="3536"/>
      <c r="AO240" s="3536"/>
      <c r="AP240" s="3536"/>
      <c r="AQ240" s="3536"/>
      <c r="AR240" s="3536"/>
      <c r="AS240" s="215"/>
      <c r="AT240" s="215"/>
      <c r="AU240" s="215"/>
      <c r="AV240" s="215"/>
      <c r="AW240" s="215"/>
      <c r="AX240" s="3536"/>
      <c r="AY240" s="3536"/>
      <c r="AZ240" s="3536"/>
      <c r="BA240" s="3536"/>
      <c r="BB240" s="3536"/>
      <c r="BC240" s="200"/>
      <c r="BD240" s="1459"/>
      <c r="BE240" s="1459"/>
      <c r="BF240" s="1034" t="s">
        <v>1666</v>
      </c>
    </row>
    <row s="1834" customFormat="1" customHeight="1" ht="0">
      <c r="A241" s="1459"/>
      <c r="B241" s="1416"/>
      <c r="C241" s="1459"/>
      <c r="D241" s="1459"/>
      <c r="E241" s="628">
        <v>15</v>
      </c>
      <c r="F241" s="50" cm="1" t="str">
        <f t="array" ref="F241:F241">OFFSET(E241,-1,1)</f>
        <v>4</v>
      </c>
      <c r="G241" s="104" t="s">
        <v>1667</v>
      </c>
      <c r="H241" s="1459"/>
      <c r="I241" s="1459"/>
      <c r="J241" s="1459"/>
      <c r="K241" s="1459"/>
      <c r="L241" s="1459"/>
      <c r="M241" s="1459"/>
      <c r="N241" s="1459"/>
      <c r="O241" s="1459"/>
      <c r="P241" s="1459"/>
      <c r="Q241" s="1459"/>
      <c r="R241" s="1459"/>
      <c r="S241" s="1459"/>
      <c r="T241" s="465" cm="1" t="str">
        <f t="array" ref="T241:T241">T240</f>
        <v>true</v>
      </c>
      <c r="U241" s="1459"/>
      <c r="V241" s="1459"/>
      <c r="W241" s="1459"/>
      <c r="X241" s="1596"/>
      <c r="Y241" s="1459"/>
      <c r="Z241" s="1597"/>
      <c r="AA241" s="1459"/>
      <c r="AB241" s="88" t="s">
        <v>1668</v>
      </c>
      <c r="AC241" s="214" t="s">
        <v>1642</v>
      </c>
      <c r="AD241" s="89" t="s">
        <v>1514</v>
      </c>
      <c r="AE241" s="215"/>
      <c r="AF241" s="215"/>
      <c r="AG241" s="215"/>
      <c r="AH241" s="215"/>
      <c r="AI241" s="215"/>
      <c r="AJ241" s="215"/>
      <c r="AK241" s="215"/>
      <c r="AL241" s="215"/>
      <c r="AM241" s="215"/>
      <c r="AN241" s="3536"/>
      <c r="AO241" s="3536"/>
      <c r="AP241" s="3536"/>
      <c r="AQ241" s="3536"/>
      <c r="AR241" s="3536"/>
      <c r="AS241" s="215"/>
      <c r="AT241" s="215"/>
      <c r="AU241" s="215"/>
      <c r="AV241" s="215"/>
      <c r="AW241" s="215"/>
      <c r="AX241" s="3536"/>
      <c r="AY241" s="3536"/>
      <c r="AZ241" s="3536"/>
      <c r="BA241" s="3536"/>
      <c r="BB241" s="3536"/>
      <c r="BC241" s="200"/>
      <c r="BD241" s="1459"/>
      <c r="BE241" s="1459"/>
      <c r="BF241" s="1034" t="s">
        <v>1669</v>
      </c>
    </row>
    <row s="525" customFormat="1" customHeight="1" ht="21.75">
      <c r="A242" s="525"/>
      <c r="B242" s="431"/>
      <c r="C242" s="525"/>
      <c r="D242" s="525"/>
      <c r="E242" s="669">
        <v>22.5</v>
      </c>
      <c r="F242" s="50" cm="1" t="str">
        <f t="array" ref="F242:F242">OFFSET(E242,-1,1)</f>
        <v>4</v>
      </c>
      <c r="G242" s="104" t="s">
        <v>336</v>
      </c>
      <c r="H242" s="525"/>
      <c r="I242" s="525"/>
      <c r="J242" s="525"/>
      <c r="K242" s="525"/>
      <c r="L242" s="525"/>
      <c r="M242" s="525"/>
      <c r="N242" s="525"/>
      <c r="O242" s="525"/>
      <c r="P242" s="525"/>
      <c r="Q242" s="525"/>
      <c r="R242" s="525"/>
      <c r="S242" s="525"/>
      <c r="T242" s="465" cm="1" t="str">
        <f t="array" ref="T242:T242">T241</f>
        <v>true</v>
      </c>
      <c r="U242" s="525"/>
      <c r="V242" s="525"/>
      <c r="W242" s="525"/>
      <c r="X242" s="1596"/>
      <c r="Y242" s="525"/>
      <c r="Z242" s="1597"/>
      <c r="AA242" s="525"/>
      <c r="AB242" s="211">
        <v>4</v>
      </c>
      <c r="AC242" s="212" t="s">
        <v>1670</v>
      </c>
      <c r="AD242" s="89" t="s">
        <v>1514</v>
      </c>
      <c r="AE242" s="1198">
        <f>SUM(AE243:AE247)</f>
        <v>0</v>
      </c>
      <c r="AF242" s="1198">
        <f>SUM(AF243:AF247)</f>
        <v>0</v>
      </c>
      <c r="AG242" s="1198">
        <f>SUM(AG243:AG247)</f>
        <v>0</v>
      </c>
      <c r="AH242" s="1198">
        <f>SUM(AH243:AH247)</f>
        <v>0</v>
      </c>
      <c r="AI242" s="1198">
        <f>SUM(AI243:AI247)</f>
        <v>0</v>
      </c>
      <c r="AJ242" s="1198">
        <f>SUM(AJ243:AJ247)</f>
        <v>0</v>
      </c>
      <c r="AK242" s="1198">
        <f>SUM(AK243:AK247)</f>
        <v>0</v>
      </c>
      <c r="AL242" s="1198">
        <f>SUM(AL243:AL247)</f>
        <v>0</v>
      </c>
      <c r="AM242" s="1198">
        <f>SUM(AM243:AM247)</f>
        <v>0</v>
      </c>
      <c r="AN242" s="3534">
        <f>SUM(AN243:AN247)</f>
        <v>0</v>
      </c>
      <c r="AO242" s="3534">
        <f>SUM(AO243:AO247)</f>
        <v>0</v>
      </c>
      <c r="AP242" s="3534">
        <f>SUM(AP243:AP247)</f>
        <v>0</v>
      </c>
      <c r="AQ242" s="3534">
        <f>SUM(AQ243:AQ247)</f>
        <v>0</v>
      </c>
      <c r="AR242" s="3534">
        <f>SUM(AR243:AR247)</f>
        <v>0</v>
      </c>
      <c r="AS242" s="1198">
        <f>SUM(AS243:AS247)</f>
        <v>0</v>
      </c>
      <c r="AT242" s="1198">
        <f>SUM(AT243:AT247)</f>
        <v>0</v>
      </c>
      <c r="AU242" s="1198">
        <f>SUM(AU243:AU247)</f>
        <v>0</v>
      </c>
      <c r="AV242" s="1198">
        <f>SUM(AV243:AV247)</f>
        <v>0</v>
      </c>
      <c r="AW242" s="1198">
        <f>SUM(AW243:AW247)</f>
        <v>0</v>
      </c>
      <c r="AX242" s="3534">
        <f>SUM(AX243:AX247)</f>
        <v>0</v>
      </c>
      <c r="AY242" s="3534">
        <f>SUM(AY243:AY247)</f>
        <v>0</v>
      </c>
      <c r="AZ242" s="3534">
        <f>SUM(AZ243:AZ247)</f>
        <v>0</v>
      </c>
      <c r="BA242" s="3534">
        <f>SUM(BA243:BA247)</f>
        <v>0</v>
      </c>
      <c r="BB242" s="3534">
        <f>SUM(BB243:BB247)</f>
        <v>0</v>
      </c>
      <c r="BC242" s="200"/>
      <c r="BD242" s="525"/>
      <c r="BE242" s="525"/>
      <c r="BF242" s="1034" t="s">
        <v>1671</v>
      </c>
    </row>
    <row s="1834" customFormat="1" customHeight="1" ht="0">
      <c r="A243" s="1459"/>
      <c r="B243" s="1416"/>
      <c r="C243" s="1459"/>
      <c r="D243" s="1459"/>
      <c r="E243" s="628">
        <v>15</v>
      </c>
      <c r="F243" s="50" cm="1" t="str">
        <f t="array" ref="F243:F243">OFFSET(E243,-1,1)</f>
        <v>4</v>
      </c>
      <c r="G243" s="104" t="s">
        <v>1249</v>
      </c>
      <c r="H243" s="1459"/>
      <c r="I243" s="1459"/>
      <c r="J243" s="1459"/>
      <c r="K243" s="1459"/>
      <c r="L243" s="1459"/>
      <c r="M243" s="1459"/>
      <c r="N243" s="1459"/>
      <c r="O243" s="1459"/>
      <c r="P243" s="1459"/>
      <c r="Q243" s="1459"/>
      <c r="R243" s="1459"/>
      <c r="S243" s="1459"/>
      <c r="T243" s="465" cm="1" t="str">
        <f t="array" ref="T243:T243">T242</f>
        <v>true</v>
      </c>
      <c r="U243" s="1459"/>
      <c r="V243" s="1459"/>
      <c r="W243" s="1459"/>
      <c r="X243" s="1596"/>
      <c r="Y243" s="1459"/>
      <c r="Z243" s="1597"/>
      <c r="AA243" s="1459"/>
      <c r="AB243" s="88" t="s">
        <v>1384</v>
      </c>
      <c r="AC243" s="214" t="s">
        <v>1629</v>
      </c>
      <c r="AD243" s="89" t="s">
        <v>1514</v>
      </c>
      <c r="AE243" s="215">
        <f>AE225+AE231-AE237</f>
        <v>0</v>
      </c>
      <c r="AF243" s="215">
        <f>AF225+AF231-AF237</f>
        <v>0</v>
      </c>
      <c r="AG243" s="215">
        <f>AG225+AG231-AG237</f>
        <v>0</v>
      </c>
      <c r="AH243" s="215">
        <f>AH225+AH231-AH237</f>
        <v>0</v>
      </c>
      <c r="AI243" s="215">
        <f>AI225+AI231-AI237</f>
        <v>0</v>
      </c>
      <c r="AJ243" s="215">
        <f>AJ225+AJ231-AJ237</f>
        <v>0</v>
      </c>
      <c r="AK243" s="215">
        <f>AK225+AK231-AK237</f>
        <v>0</v>
      </c>
      <c r="AL243" s="215">
        <f>AL225+AL231-AL237</f>
        <v>0</v>
      </c>
      <c r="AM243" s="215">
        <f>AM225+AM231-AM237</f>
        <v>0</v>
      </c>
      <c r="AN243" s="3536">
        <f>AN225+AN231-AN237</f>
        <v>0</v>
      </c>
      <c r="AO243" s="3536">
        <f>AO225+AO231-AO237</f>
        <v>0</v>
      </c>
      <c r="AP243" s="3536">
        <f>AP225+AP231-AP237</f>
        <v>0</v>
      </c>
      <c r="AQ243" s="3536">
        <f>AQ225+AQ231-AQ237</f>
        <v>0</v>
      </c>
      <c r="AR243" s="3536">
        <f>AR225+AR231-AR237</f>
        <v>0</v>
      </c>
      <c r="AS243" s="215">
        <f>AS225+AS231-AS237</f>
        <v>0</v>
      </c>
      <c r="AT243" s="215">
        <f>AT225+AT231-AT237</f>
        <v>0</v>
      </c>
      <c r="AU243" s="215">
        <f>AU225+AU231-AU237</f>
        <v>0</v>
      </c>
      <c r="AV243" s="215">
        <f>AV225+AV231-AV237</f>
        <v>0</v>
      </c>
      <c r="AW243" s="215">
        <f>AW225+AW231-AW237</f>
        <v>0</v>
      </c>
      <c r="AX243" s="3536">
        <f>AX225+AX231-AX237</f>
        <v>0</v>
      </c>
      <c r="AY243" s="3536">
        <f>AY225+AY231-AY237</f>
        <v>0</v>
      </c>
      <c r="AZ243" s="3536">
        <f>AZ225+AZ231-AZ237</f>
        <v>0</v>
      </c>
      <c r="BA243" s="3536">
        <f>BA225+BA231-BA237</f>
        <v>0</v>
      </c>
      <c r="BB243" s="3536">
        <f>BB225+BB231-BB237</f>
        <v>0</v>
      </c>
      <c r="BC243" s="200"/>
      <c r="BD243" s="1459"/>
      <c r="BE243" s="1459"/>
      <c r="BF243" s="1034" t="s">
        <v>1672</v>
      </c>
    </row>
    <row s="1834" customFormat="1" customHeight="1" ht="0">
      <c r="A244" s="1459"/>
      <c r="B244" s="1416"/>
      <c r="C244" s="1459"/>
      <c r="D244" s="1459"/>
      <c r="E244" s="628">
        <v>15</v>
      </c>
      <c r="F244" s="50" cm="1" t="str">
        <f t="array" ref="F244:F244">OFFSET(E244,-1,1)</f>
        <v>4</v>
      </c>
      <c r="G244" s="104" t="s">
        <v>1253</v>
      </c>
      <c r="H244" s="1459"/>
      <c r="I244" s="1459"/>
      <c r="J244" s="1459"/>
      <c r="K244" s="1459"/>
      <c r="L244" s="1459"/>
      <c r="M244" s="1459"/>
      <c r="N244" s="1459"/>
      <c r="O244" s="1459"/>
      <c r="P244" s="1459"/>
      <c r="Q244" s="1459"/>
      <c r="R244" s="1459"/>
      <c r="S244" s="1459"/>
      <c r="T244" s="465" cm="1" t="str">
        <f t="array" ref="T244:T244">T243</f>
        <v>true</v>
      </c>
      <c r="U244" s="1459"/>
      <c r="V244" s="1459"/>
      <c r="W244" s="1459"/>
      <c r="X244" s="1596"/>
      <c r="Y244" s="1459"/>
      <c r="Z244" s="1597"/>
      <c r="AA244" s="1459"/>
      <c r="AB244" s="88" t="s">
        <v>1387</v>
      </c>
      <c r="AC244" s="214" t="s">
        <v>1632</v>
      </c>
      <c r="AD244" s="89" t="s">
        <v>1514</v>
      </c>
      <c r="AE244" s="215">
        <f>AE226+AE232-AE238</f>
        <v>0</v>
      </c>
      <c r="AF244" s="215">
        <f>AF226+AF232-AF238</f>
        <v>0</v>
      </c>
      <c r="AG244" s="215">
        <f>AG226+AG232-AG238</f>
        <v>0</v>
      </c>
      <c r="AH244" s="215">
        <f>AH226+AH232-AH238</f>
        <v>0</v>
      </c>
      <c r="AI244" s="215">
        <f>AI226+AI232-AI238</f>
        <v>0</v>
      </c>
      <c r="AJ244" s="215">
        <f>AJ226+AJ232-AJ238</f>
        <v>0</v>
      </c>
      <c r="AK244" s="215">
        <f>AK226+AK232-AK238</f>
        <v>0</v>
      </c>
      <c r="AL244" s="215">
        <f>AL226+AL232-AL238</f>
        <v>0</v>
      </c>
      <c r="AM244" s="215">
        <f>AM226+AM232-AM238</f>
        <v>0</v>
      </c>
      <c r="AN244" s="3536">
        <f>AN226+AN232-AN238</f>
        <v>0</v>
      </c>
      <c r="AO244" s="3536">
        <f>AO226+AO232-AO238</f>
        <v>0</v>
      </c>
      <c r="AP244" s="3536">
        <f>AP226+AP232-AP238</f>
        <v>0</v>
      </c>
      <c r="AQ244" s="3536">
        <f>AQ226+AQ232-AQ238</f>
        <v>0</v>
      </c>
      <c r="AR244" s="3536">
        <f>AR226+AR232-AR238</f>
        <v>0</v>
      </c>
      <c r="AS244" s="215">
        <f>AS226+AS232-AS238</f>
        <v>0</v>
      </c>
      <c r="AT244" s="215">
        <f>AT226+AT232-AT238</f>
        <v>0</v>
      </c>
      <c r="AU244" s="215">
        <f>AU226+AU232-AU238</f>
        <v>0</v>
      </c>
      <c r="AV244" s="215">
        <f>AV226+AV232-AV238</f>
        <v>0</v>
      </c>
      <c r="AW244" s="215">
        <f>AW226+AW232-AW238</f>
        <v>0</v>
      </c>
      <c r="AX244" s="3536">
        <f>AX226+AX232-AX238</f>
        <v>0</v>
      </c>
      <c r="AY244" s="3536">
        <f>AY226+AY232-AY238</f>
        <v>0</v>
      </c>
      <c r="AZ244" s="3536">
        <f>AZ226+AZ232-AZ238</f>
        <v>0</v>
      </c>
      <c r="BA244" s="3536">
        <f>BA226+BA232-BA238</f>
        <v>0</v>
      </c>
      <c r="BB244" s="3536">
        <f>BB226+BB232-BB238</f>
        <v>0</v>
      </c>
      <c r="BC244" s="200"/>
      <c r="BD244" s="1459"/>
      <c r="BE244" s="1459"/>
      <c r="BF244" s="1034" t="s">
        <v>1673</v>
      </c>
    </row>
    <row s="1834" customFormat="1" customHeight="1" ht="0">
      <c r="A245" s="1459"/>
      <c r="B245" s="1416"/>
      <c r="C245" s="1459"/>
      <c r="D245" s="1459"/>
      <c r="E245" s="628">
        <v>15</v>
      </c>
      <c r="F245" s="50" cm="1" t="str">
        <f t="array" ref="F245:F245">OFFSET(E245,-1,1)</f>
        <v>4</v>
      </c>
      <c r="G245" s="104" t="s">
        <v>1257</v>
      </c>
      <c r="H245" s="1459"/>
      <c r="I245" s="1459"/>
      <c r="J245" s="1459"/>
      <c r="K245" s="1459"/>
      <c r="L245" s="1459"/>
      <c r="M245" s="1459"/>
      <c r="N245" s="1459"/>
      <c r="O245" s="1459"/>
      <c r="P245" s="1459"/>
      <c r="Q245" s="1459"/>
      <c r="R245" s="1459"/>
      <c r="S245" s="1459"/>
      <c r="T245" s="465" cm="1" t="str">
        <f t="array" ref="T245:T245">T244</f>
        <v>true</v>
      </c>
      <c r="U245" s="1459"/>
      <c r="V245" s="1459"/>
      <c r="W245" s="1459"/>
      <c r="X245" s="1596"/>
      <c r="Y245" s="1459"/>
      <c r="Z245" s="1597"/>
      <c r="AA245" s="1459"/>
      <c r="AB245" s="88" t="s">
        <v>1421</v>
      </c>
      <c r="AC245" s="214" t="s">
        <v>1635</v>
      </c>
      <c r="AD245" s="89" t="s">
        <v>1514</v>
      </c>
      <c r="AE245" s="215">
        <f>AE227+AE233-AE239</f>
        <v>0</v>
      </c>
      <c r="AF245" s="215">
        <f>AF227+AF233-AF239</f>
        <v>0</v>
      </c>
      <c r="AG245" s="215">
        <f>AG227+AG233-AG239</f>
        <v>0</v>
      </c>
      <c r="AH245" s="215">
        <f>AH227+AH233-AH239</f>
        <v>0</v>
      </c>
      <c r="AI245" s="215">
        <f>AI227+AI233-AI239</f>
        <v>0</v>
      </c>
      <c r="AJ245" s="215">
        <f>AJ227+AJ233-AJ239</f>
        <v>0</v>
      </c>
      <c r="AK245" s="215">
        <f>AK227+AK233-AK239</f>
        <v>0</v>
      </c>
      <c r="AL245" s="215">
        <f>AL227+AL233-AL239</f>
        <v>0</v>
      </c>
      <c r="AM245" s="215">
        <f>AM227+AM233-AM239</f>
        <v>0</v>
      </c>
      <c r="AN245" s="3536">
        <f>AN227+AN233-AN239</f>
        <v>0</v>
      </c>
      <c r="AO245" s="3536">
        <f>AO227+AO233-AO239</f>
        <v>0</v>
      </c>
      <c r="AP245" s="3536">
        <f>AP227+AP233-AP239</f>
        <v>0</v>
      </c>
      <c r="AQ245" s="3536">
        <f>AQ227+AQ233-AQ239</f>
        <v>0</v>
      </c>
      <c r="AR245" s="3536">
        <f>AR227+AR233-AR239</f>
        <v>0</v>
      </c>
      <c r="AS245" s="215">
        <f>AS227+AS233-AS239</f>
        <v>0</v>
      </c>
      <c r="AT245" s="215">
        <f>AT227+AT233-AT239</f>
        <v>0</v>
      </c>
      <c r="AU245" s="215">
        <f>AU227+AU233-AU239</f>
        <v>0</v>
      </c>
      <c r="AV245" s="215">
        <f>AV227+AV233-AV239</f>
        <v>0</v>
      </c>
      <c r="AW245" s="215">
        <f>AW227+AW233-AW239</f>
        <v>0</v>
      </c>
      <c r="AX245" s="3536">
        <f>AX227+AX233-AX239</f>
        <v>0</v>
      </c>
      <c r="AY245" s="3536">
        <f>AY227+AY233-AY239</f>
        <v>0</v>
      </c>
      <c r="AZ245" s="3536">
        <f>AZ227+AZ233-AZ239</f>
        <v>0</v>
      </c>
      <c r="BA245" s="3536">
        <f>BA227+BA233-BA239</f>
        <v>0</v>
      </c>
      <c r="BB245" s="3536">
        <f>BB227+BB233-BB239</f>
        <v>0</v>
      </c>
      <c r="BC245" s="200"/>
      <c r="BD245" s="1459"/>
      <c r="BE245" s="1459"/>
      <c r="BF245" s="1034" t="s">
        <v>1674</v>
      </c>
    </row>
    <row s="1834" customFormat="1" customHeight="1" ht="0">
      <c r="A246" s="1459"/>
      <c r="B246" s="1416"/>
      <c r="C246" s="1459"/>
      <c r="D246" s="1459"/>
      <c r="E246" s="628">
        <v>15</v>
      </c>
      <c r="F246" s="50" cm="1" t="str">
        <f t="array" ref="F246:F246">OFFSET(E246,-1,1)</f>
        <v>4</v>
      </c>
      <c r="G246" s="104" t="s">
        <v>1675</v>
      </c>
      <c r="H246" s="1459"/>
      <c r="I246" s="1459"/>
      <c r="J246" s="1459"/>
      <c r="K246" s="1459"/>
      <c r="L246" s="1459"/>
      <c r="M246" s="1459"/>
      <c r="N246" s="1459"/>
      <c r="O246" s="1459"/>
      <c r="P246" s="1459"/>
      <c r="Q246" s="1459"/>
      <c r="R246" s="1459"/>
      <c r="S246" s="1459"/>
      <c r="T246" s="465" cm="1" t="str">
        <f t="array" ref="T246:T246">T245</f>
        <v>true</v>
      </c>
      <c r="U246" s="1459"/>
      <c r="V246" s="1459"/>
      <c r="W246" s="1459"/>
      <c r="X246" s="1596"/>
      <c r="Y246" s="1459"/>
      <c r="Z246" s="1597"/>
      <c r="AA246" s="1459"/>
      <c r="AB246" s="88" t="s">
        <v>1430</v>
      </c>
      <c r="AC246" s="214" t="s">
        <v>1638</v>
      </c>
      <c r="AD246" s="89" t="s">
        <v>1514</v>
      </c>
      <c r="AE246" s="215">
        <f>AE228+AE234-AE240</f>
        <v>0</v>
      </c>
      <c r="AF246" s="215">
        <f>AF228+AF234-AF240</f>
        <v>0</v>
      </c>
      <c r="AG246" s="215">
        <f>AG228+AG234-AG240</f>
        <v>0</v>
      </c>
      <c r="AH246" s="215">
        <f>AH228+AH234-AH240</f>
        <v>0</v>
      </c>
      <c r="AI246" s="215">
        <f>AI228+AI234-AI240</f>
        <v>0</v>
      </c>
      <c r="AJ246" s="215">
        <f>AJ228+AJ234-AJ240</f>
        <v>0</v>
      </c>
      <c r="AK246" s="215">
        <f>AK228+AK234-AK240</f>
        <v>0</v>
      </c>
      <c r="AL246" s="215">
        <f>AL228+AL234-AL240</f>
        <v>0</v>
      </c>
      <c r="AM246" s="215">
        <f>AM228+AM234-AM240</f>
        <v>0</v>
      </c>
      <c r="AN246" s="3536">
        <f>AN228+AN234-AN240</f>
        <v>0</v>
      </c>
      <c r="AO246" s="3536">
        <f>AO228+AO234-AO240</f>
        <v>0</v>
      </c>
      <c r="AP246" s="3536">
        <f>AP228+AP234-AP240</f>
        <v>0</v>
      </c>
      <c r="AQ246" s="3536">
        <f>AQ228+AQ234-AQ240</f>
        <v>0</v>
      </c>
      <c r="AR246" s="3536">
        <f>AR228+AR234-AR240</f>
        <v>0</v>
      </c>
      <c r="AS246" s="215">
        <f>AS228+AS234-AS240</f>
        <v>0</v>
      </c>
      <c r="AT246" s="215">
        <f>AT228+AT234-AT240</f>
        <v>0</v>
      </c>
      <c r="AU246" s="215">
        <f>AU228+AU234-AU240</f>
        <v>0</v>
      </c>
      <c r="AV246" s="215">
        <f>AV228+AV234-AV240</f>
        <v>0</v>
      </c>
      <c r="AW246" s="215">
        <f>AW228+AW234-AW240</f>
        <v>0</v>
      </c>
      <c r="AX246" s="3536">
        <f>AX228+AX234-AX240</f>
        <v>0</v>
      </c>
      <c r="AY246" s="3536">
        <f>AY228+AY234-AY240</f>
        <v>0</v>
      </c>
      <c r="AZ246" s="3536">
        <f>AZ228+AZ234-AZ240</f>
        <v>0</v>
      </c>
      <c r="BA246" s="3536">
        <f>BA228+BA234-BA240</f>
        <v>0</v>
      </c>
      <c r="BB246" s="3536">
        <f>BB228+BB234-BB240</f>
        <v>0</v>
      </c>
      <c r="BC246" s="200"/>
      <c r="BD246" s="1459"/>
      <c r="BE246" s="1459"/>
      <c r="BF246" s="1034" t="s">
        <v>1676</v>
      </c>
    </row>
    <row s="1834" customFormat="1" customHeight="1" ht="0">
      <c r="A247" s="1459"/>
      <c r="B247" s="1416"/>
      <c r="C247" s="1459"/>
      <c r="D247" s="1459"/>
      <c r="E247" s="628">
        <v>15</v>
      </c>
      <c r="F247" s="50" cm="1" t="str">
        <f t="array" ref="F247:F247">OFFSET(E247,-1,1)</f>
        <v>4</v>
      </c>
      <c r="G247" s="104" t="s">
        <v>1677</v>
      </c>
      <c r="H247" s="1459"/>
      <c r="I247" s="1459"/>
      <c r="J247" s="1459"/>
      <c r="K247" s="1459"/>
      <c r="L247" s="1459"/>
      <c r="M247" s="1459"/>
      <c r="N247" s="1459"/>
      <c r="O247" s="1459"/>
      <c r="P247" s="1459"/>
      <c r="Q247" s="1459"/>
      <c r="R247" s="1459"/>
      <c r="S247" s="1459"/>
      <c r="T247" s="465" cm="1" t="str">
        <f t="array" ref="T247:T247">T246</f>
        <v>true</v>
      </c>
      <c r="U247" s="1459"/>
      <c r="V247" s="1459"/>
      <c r="W247" s="1459"/>
      <c r="X247" s="1596"/>
      <c r="Y247" s="1459"/>
      <c r="Z247" s="1597"/>
      <c r="AA247" s="1459"/>
      <c r="AB247" s="88" t="s">
        <v>1440</v>
      </c>
      <c r="AC247" s="214" t="s">
        <v>1642</v>
      </c>
      <c r="AD247" s="89" t="s">
        <v>1514</v>
      </c>
      <c r="AE247" s="215">
        <f>AE229+AE235-AE241</f>
        <v>0</v>
      </c>
      <c r="AF247" s="215">
        <f>AF229+AF235-AF241</f>
        <v>0</v>
      </c>
      <c r="AG247" s="215">
        <f>AG229+AG235-AG241</f>
        <v>0</v>
      </c>
      <c r="AH247" s="215">
        <f>AH229+AH235-AH241</f>
        <v>0</v>
      </c>
      <c r="AI247" s="215">
        <f>AI229+AI235-AI241</f>
        <v>0</v>
      </c>
      <c r="AJ247" s="215">
        <f>AJ229+AJ235-AJ241</f>
        <v>0</v>
      </c>
      <c r="AK247" s="215">
        <f>AK229+AK235-AK241</f>
        <v>0</v>
      </c>
      <c r="AL247" s="215">
        <f>AL229+AL235-AL241</f>
        <v>0</v>
      </c>
      <c r="AM247" s="215">
        <f>AM229+AM235-AM241</f>
        <v>0</v>
      </c>
      <c r="AN247" s="3536">
        <f>AN229+AN235-AN241</f>
        <v>0</v>
      </c>
      <c r="AO247" s="3536">
        <f>AO229+AO235-AO241</f>
        <v>0</v>
      </c>
      <c r="AP247" s="3536">
        <f>AP229+AP235-AP241</f>
        <v>0</v>
      </c>
      <c r="AQ247" s="3536">
        <f>AQ229+AQ235-AQ241</f>
        <v>0</v>
      </c>
      <c r="AR247" s="3536">
        <f>AR229+AR235-AR241</f>
        <v>0</v>
      </c>
      <c r="AS247" s="215">
        <f>AS229+AS235-AS241</f>
        <v>0</v>
      </c>
      <c r="AT247" s="215">
        <f>AT229+AT235-AT241</f>
        <v>0</v>
      </c>
      <c r="AU247" s="215">
        <f>AU229+AU235-AU241</f>
        <v>0</v>
      </c>
      <c r="AV247" s="215">
        <f>AV229+AV235-AV241</f>
        <v>0</v>
      </c>
      <c r="AW247" s="215">
        <f>AW229+AW235-AW241</f>
        <v>0</v>
      </c>
      <c r="AX247" s="3536">
        <f>AX229+AX235-AX241</f>
        <v>0</v>
      </c>
      <c r="AY247" s="3536">
        <f>AY229+AY235-AY241</f>
        <v>0</v>
      </c>
      <c r="AZ247" s="3536">
        <f>AZ229+AZ235-AZ241</f>
        <v>0</v>
      </c>
      <c r="BA247" s="3536">
        <f>BA229+BA235-BA241</f>
        <v>0</v>
      </c>
      <c r="BB247" s="3536">
        <f>BB229+BB235-BB241</f>
        <v>0</v>
      </c>
      <c r="BC247" s="200"/>
      <c r="BD247" s="1459"/>
      <c r="BE247" s="1459"/>
      <c r="BF247" s="1034" t="s">
        <v>1678</v>
      </c>
    </row>
    <row s="525" customFormat="1" customHeight="1" ht="14.25">
      <c r="A248" s="525"/>
      <c r="B248" s="431"/>
      <c r="C248" s="525"/>
      <c r="D248" s="525"/>
      <c r="E248" s="628">
        <v>15</v>
      </c>
      <c r="F248" s="50" cm="1" t="str">
        <f t="array" ref="F248:F248">OFFSET(E248,-1,1)</f>
        <v>4</v>
      </c>
      <c r="G248" s="104" t="s">
        <v>335</v>
      </c>
      <c r="H248" s="525"/>
      <c r="I248" s="525"/>
      <c r="J248" s="525"/>
      <c r="K248" s="525"/>
      <c r="L248" s="525"/>
      <c r="M248" s="525"/>
      <c r="N248" s="525"/>
      <c r="O248" s="525"/>
      <c r="P248" s="525"/>
      <c r="Q248" s="525"/>
      <c r="R248" s="525"/>
      <c r="S248" s="525"/>
      <c r="T248" s="465" cm="1" t="str">
        <f t="array" ref="T248:T248">T247</f>
        <v>true</v>
      </c>
      <c r="U248" s="525"/>
      <c r="V248" s="525"/>
      <c r="W248" s="525"/>
      <c r="X248" s="1596"/>
      <c r="Y248" s="525"/>
      <c r="Z248" s="1597"/>
      <c r="AA248" s="525"/>
      <c r="AB248" s="211">
        <v>5</v>
      </c>
      <c r="AC248" s="212" t="s">
        <v>1679</v>
      </c>
      <c r="AD248" s="89" t="s">
        <v>1514</v>
      </c>
      <c r="AE248" s="1198">
        <f>SUM(AE249:AE253)</f>
        <v>0</v>
      </c>
      <c r="AF248" s="1198">
        <f>SUM(AF249:AF253)</f>
        <v>0</v>
      </c>
      <c r="AG248" s="1198">
        <f>SUM(AG249:AG253)</f>
        <v>0</v>
      </c>
      <c r="AH248" s="1198">
        <f>SUM(AH249:AH253)</f>
        <v>0</v>
      </c>
      <c r="AI248" s="1198">
        <f>SUM(AI249:AI253)</f>
        <v>0</v>
      </c>
      <c r="AJ248" s="1198">
        <f>SUM(AJ249:AJ253)</f>
        <v>0</v>
      </c>
      <c r="AK248" s="1198">
        <f>SUM(AK249:AK253)</f>
        <v>0</v>
      </c>
      <c r="AL248" s="1198">
        <f>SUM(AL249:AL253)</f>
        <v>0</v>
      </c>
      <c r="AM248" s="1198">
        <f>SUM(AM249:AM253)</f>
        <v>0</v>
      </c>
      <c r="AN248" s="3534">
        <f>SUM(AN249:AN253)</f>
        <v>0</v>
      </c>
      <c r="AO248" s="3534">
        <f>SUM(AO249:AO253)</f>
        <v>0</v>
      </c>
      <c r="AP248" s="3534">
        <f>SUM(AP249:AP253)</f>
        <v>0</v>
      </c>
      <c r="AQ248" s="3534">
        <f>SUM(AQ249:AQ253)</f>
        <v>0</v>
      </c>
      <c r="AR248" s="3534">
        <f>SUM(AR249:AR253)</f>
        <v>0</v>
      </c>
      <c r="AS248" s="1198">
        <f>SUM(AS249:AS253)</f>
        <v>0</v>
      </c>
      <c r="AT248" s="1198">
        <f>SUM(AT249:AT253)</f>
        <v>0</v>
      </c>
      <c r="AU248" s="1198">
        <f>SUM(AU249:AU253)</f>
        <v>0</v>
      </c>
      <c r="AV248" s="1198">
        <f>SUM(AV249:AV253)</f>
        <v>0</v>
      </c>
      <c r="AW248" s="1198">
        <f>SUM(AW249:AW253)</f>
        <v>0</v>
      </c>
      <c r="AX248" s="3534">
        <f>SUM(AX249:AX253)</f>
        <v>0</v>
      </c>
      <c r="AY248" s="3534">
        <f>SUM(AY249:AY253)</f>
        <v>0</v>
      </c>
      <c r="AZ248" s="3534">
        <f>SUM(AZ249:AZ253)</f>
        <v>0</v>
      </c>
      <c r="BA248" s="3534">
        <f>SUM(BA249:BA253)</f>
        <v>0</v>
      </c>
      <c r="BB248" s="3534">
        <f>SUM(BB249:BB253)</f>
        <v>0</v>
      </c>
      <c r="BC248" s="200"/>
      <c r="BD248" s="525"/>
      <c r="BE248" s="525"/>
      <c r="BF248" s="1034" t="s">
        <v>1680</v>
      </c>
    </row>
    <row s="1834" customFormat="1" customHeight="1" ht="0">
      <c r="A249" s="1459"/>
      <c r="B249" s="1416"/>
      <c r="C249" s="1459"/>
      <c r="D249" s="1459"/>
      <c r="E249" s="628">
        <v>15</v>
      </c>
      <c r="F249" s="50" cm="1" t="str">
        <f t="array" ref="F249:F249">OFFSET(E249,-1,1)</f>
        <v>4</v>
      </c>
      <c r="G249" s="104" t="s">
        <v>1263</v>
      </c>
      <c r="H249" s="1459"/>
      <c r="I249" s="1459"/>
      <c r="J249" s="1459"/>
      <c r="K249" s="1459"/>
      <c r="L249" s="1459"/>
      <c r="M249" s="1459"/>
      <c r="N249" s="1459"/>
      <c r="O249" s="1459"/>
      <c r="P249" s="1459"/>
      <c r="Q249" s="1459"/>
      <c r="R249" s="1459"/>
      <c r="S249" s="1459"/>
      <c r="T249" s="465" cm="1" t="str">
        <f t="array" ref="T249:T249">T248</f>
        <v>true</v>
      </c>
      <c r="U249" s="1459"/>
      <c r="V249" s="1459"/>
      <c r="W249" s="1459"/>
      <c r="X249" s="1596"/>
      <c r="Y249" s="1459"/>
      <c r="Z249" s="1597"/>
      <c r="AA249" s="1459"/>
      <c r="AB249" s="88" t="s">
        <v>1391</v>
      </c>
      <c r="AC249" s="214" t="s">
        <v>1629</v>
      </c>
      <c r="AD249" s="89" t="s">
        <v>1514</v>
      </c>
      <c r="AE249" s="215">
        <f>(AE243+AE225)/2</f>
        <v>0</v>
      </c>
      <c r="AF249" s="215">
        <f>(AF243+AF225)/2</f>
        <v>0</v>
      </c>
      <c r="AG249" s="215">
        <f>(AG243+AG225)/2</f>
        <v>0</v>
      </c>
      <c r="AH249" s="215">
        <f>(AH243+AH225)/2</f>
        <v>0</v>
      </c>
      <c r="AI249" s="215">
        <f>(AI243+AI225)/2</f>
        <v>0</v>
      </c>
      <c r="AJ249" s="215">
        <f>(AJ243+AJ225)/2</f>
        <v>0</v>
      </c>
      <c r="AK249" s="215">
        <f>(AK243+AK225)/2</f>
        <v>0</v>
      </c>
      <c r="AL249" s="215">
        <f>(AL243+AL225)/2</f>
        <v>0</v>
      </c>
      <c r="AM249" s="215">
        <f>(AM243+AM225)/2</f>
        <v>0</v>
      </c>
      <c r="AN249" s="3536">
        <f>(AN243+AN225)/2</f>
        <v>0</v>
      </c>
      <c r="AO249" s="3536">
        <f>(AO243+AO225)/2</f>
        <v>0</v>
      </c>
      <c r="AP249" s="3536">
        <f>(AP243+AP225)/2</f>
        <v>0</v>
      </c>
      <c r="AQ249" s="3536">
        <f>(AQ243+AQ225)/2</f>
        <v>0</v>
      </c>
      <c r="AR249" s="3536">
        <f>(AR243+AR225)/2</f>
        <v>0</v>
      </c>
      <c r="AS249" s="215">
        <f>(AS243+AS225)/2</f>
        <v>0</v>
      </c>
      <c r="AT249" s="215">
        <f>(AT243+AT225)/2</f>
        <v>0</v>
      </c>
      <c r="AU249" s="215">
        <f>(AU243+AU225)/2</f>
        <v>0</v>
      </c>
      <c r="AV249" s="215">
        <f>(AV243+AV225)/2</f>
        <v>0</v>
      </c>
      <c r="AW249" s="215">
        <f>(AW243+AW225)/2</f>
        <v>0</v>
      </c>
      <c r="AX249" s="3536">
        <f>(AX243+AX225)/2</f>
        <v>0</v>
      </c>
      <c r="AY249" s="3536">
        <f>(AY243+AY225)/2</f>
        <v>0</v>
      </c>
      <c r="AZ249" s="3536">
        <f>(AZ243+AZ225)/2</f>
        <v>0</v>
      </c>
      <c r="BA249" s="3536">
        <f>(BA243+BA225)/2</f>
        <v>0</v>
      </c>
      <c r="BB249" s="3536">
        <f>(BB243+BB225)/2</f>
        <v>0</v>
      </c>
      <c r="BC249" s="200"/>
      <c r="BD249" s="1459"/>
      <c r="BE249" s="1459"/>
      <c r="BF249" s="1034" t="s">
        <v>1681</v>
      </c>
    </row>
    <row s="1834" customFormat="1" customHeight="1" ht="0">
      <c r="A250" s="1459"/>
      <c r="B250" s="1416"/>
      <c r="C250" s="1459"/>
      <c r="D250" s="1459"/>
      <c r="E250" s="628">
        <v>15</v>
      </c>
      <c r="F250" s="50" cm="1" t="str">
        <f t="array" ref="F250:F250">OFFSET(E250,-1,1)</f>
        <v>4</v>
      </c>
      <c r="G250" s="104" t="s">
        <v>1267</v>
      </c>
      <c r="H250" s="1459"/>
      <c r="I250" s="1459"/>
      <c r="J250" s="1459"/>
      <c r="K250" s="1459"/>
      <c r="L250" s="1459"/>
      <c r="M250" s="1459"/>
      <c r="N250" s="1459"/>
      <c r="O250" s="1459"/>
      <c r="P250" s="1459"/>
      <c r="Q250" s="1459"/>
      <c r="R250" s="1459"/>
      <c r="S250" s="1459"/>
      <c r="T250" s="465" cm="1" t="str">
        <f t="array" ref="T250:T250">T249</f>
        <v>true</v>
      </c>
      <c r="U250" s="1459"/>
      <c r="V250" s="1459"/>
      <c r="W250" s="1459"/>
      <c r="X250" s="1596"/>
      <c r="Y250" s="1459"/>
      <c r="Z250" s="1597"/>
      <c r="AA250" s="1459"/>
      <c r="AB250" s="88" t="s">
        <v>1394</v>
      </c>
      <c r="AC250" s="214" t="s">
        <v>1632</v>
      </c>
      <c r="AD250" s="89" t="s">
        <v>1514</v>
      </c>
      <c r="AE250" s="215">
        <f>(AE244+AE226)/2</f>
        <v>0</v>
      </c>
      <c r="AF250" s="215">
        <f>(AF244+AF226)/2</f>
        <v>0</v>
      </c>
      <c r="AG250" s="215">
        <f>(AG244+AG226)/2</f>
        <v>0</v>
      </c>
      <c r="AH250" s="215">
        <f>(AH244+AH226)/2</f>
        <v>0</v>
      </c>
      <c r="AI250" s="215">
        <f>(AI244+AI226)/2</f>
        <v>0</v>
      </c>
      <c r="AJ250" s="215">
        <f>(AJ244+AJ226)/2</f>
        <v>0</v>
      </c>
      <c r="AK250" s="215">
        <f>(AK244+AK226)/2</f>
        <v>0</v>
      </c>
      <c r="AL250" s="215">
        <f>(AL244+AL226)/2</f>
        <v>0</v>
      </c>
      <c r="AM250" s="215">
        <f>(AM244+AM226)/2</f>
        <v>0</v>
      </c>
      <c r="AN250" s="3536">
        <f>(AN244+AN226)/2</f>
        <v>0</v>
      </c>
      <c r="AO250" s="3536">
        <f>(AO244+AO226)/2</f>
        <v>0</v>
      </c>
      <c r="AP250" s="3536">
        <f>(AP244+AP226)/2</f>
        <v>0</v>
      </c>
      <c r="AQ250" s="3536">
        <f>(AQ244+AQ226)/2</f>
        <v>0</v>
      </c>
      <c r="AR250" s="3536">
        <f>(AR244+AR226)/2</f>
        <v>0</v>
      </c>
      <c r="AS250" s="215">
        <f>(AS244+AS226)/2</f>
        <v>0</v>
      </c>
      <c r="AT250" s="215">
        <f>(AT244+AT226)/2</f>
        <v>0</v>
      </c>
      <c r="AU250" s="215">
        <f>(AU244+AU226)/2</f>
        <v>0</v>
      </c>
      <c r="AV250" s="215">
        <f>(AV244+AV226)/2</f>
        <v>0</v>
      </c>
      <c r="AW250" s="215">
        <f>(AW244+AW226)/2</f>
        <v>0</v>
      </c>
      <c r="AX250" s="3536">
        <f>(AX244+AX226)/2</f>
        <v>0</v>
      </c>
      <c r="AY250" s="3536">
        <f>(AY244+AY226)/2</f>
        <v>0</v>
      </c>
      <c r="AZ250" s="3536">
        <f>(AZ244+AZ226)/2</f>
        <v>0</v>
      </c>
      <c r="BA250" s="3536">
        <f>(BA244+BA226)/2</f>
        <v>0</v>
      </c>
      <c r="BB250" s="3536">
        <f>(BB244+BB226)/2</f>
        <v>0</v>
      </c>
      <c r="BC250" s="200"/>
      <c r="BD250" s="1459"/>
      <c r="BE250" s="1459"/>
      <c r="BF250" s="1034" t="s">
        <v>1682</v>
      </c>
    </row>
    <row s="1834" customFormat="1" customHeight="1" ht="0">
      <c r="A251" s="1459"/>
      <c r="B251" s="1416"/>
      <c r="C251" s="1459"/>
      <c r="D251" s="1459"/>
      <c r="E251" s="628">
        <v>15</v>
      </c>
      <c r="F251" s="50" cm="1" t="str">
        <f t="array" ref="F251:F251">OFFSET(E251,-1,1)</f>
        <v>4</v>
      </c>
      <c r="G251" s="104" t="s">
        <v>1479</v>
      </c>
      <c r="H251" s="1459"/>
      <c r="I251" s="1459"/>
      <c r="J251" s="1459"/>
      <c r="K251" s="1459"/>
      <c r="L251" s="1459"/>
      <c r="M251" s="1459"/>
      <c r="N251" s="1459"/>
      <c r="O251" s="1459"/>
      <c r="P251" s="1459"/>
      <c r="Q251" s="1459"/>
      <c r="R251" s="1459"/>
      <c r="S251" s="1459"/>
      <c r="T251" s="465" cm="1" t="str">
        <f t="array" ref="T251:T251">T250</f>
        <v>true</v>
      </c>
      <c r="U251" s="1459"/>
      <c r="V251" s="1459"/>
      <c r="W251" s="1459"/>
      <c r="X251" s="1596"/>
      <c r="Y251" s="1459"/>
      <c r="Z251" s="1597"/>
      <c r="AA251" s="1459"/>
      <c r="AB251" s="88" t="s">
        <v>1683</v>
      </c>
      <c r="AC251" s="214" t="s">
        <v>1635</v>
      </c>
      <c r="AD251" s="89" t="s">
        <v>1514</v>
      </c>
      <c r="AE251" s="215">
        <f>(AE245+AE227)/2</f>
        <v>0</v>
      </c>
      <c r="AF251" s="215">
        <f>(AF245+AF227)/2</f>
        <v>0</v>
      </c>
      <c r="AG251" s="215">
        <f>(AG245+AG227)/2</f>
        <v>0</v>
      </c>
      <c r="AH251" s="215">
        <f>(AH245+AH227)/2</f>
        <v>0</v>
      </c>
      <c r="AI251" s="215">
        <f>(AI245+AI227)/2</f>
        <v>0</v>
      </c>
      <c r="AJ251" s="215">
        <f>(AJ245+AJ227)/2</f>
        <v>0</v>
      </c>
      <c r="AK251" s="215">
        <f>(AK245+AK227)/2</f>
        <v>0</v>
      </c>
      <c r="AL251" s="215">
        <f>(AL245+AL227)/2</f>
        <v>0</v>
      </c>
      <c r="AM251" s="215">
        <f>(AM245+AM227)/2</f>
        <v>0</v>
      </c>
      <c r="AN251" s="3536">
        <f>(AN245+AN227)/2</f>
        <v>0</v>
      </c>
      <c r="AO251" s="3536">
        <f>(AO245+AO227)/2</f>
        <v>0</v>
      </c>
      <c r="AP251" s="3536">
        <f>(AP245+AP227)/2</f>
        <v>0</v>
      </c>
      <c r="AQ251" s="3536">
        <f>(AQ245+AQ227)/2</f>
        <v>0</v>
      </c>
      <c r="AR251" s="3536">
        <f>(AR245+AR227)/2</f>
        <v>0</v>
      </c>
      <c r="AS251" s="215">
        <f>(AS245+AS227)/2</f>
        <v>0</v>
      </c>
      <c r="AT251" s="215">
        <f>(AT245+AT227)/2</f>
        <v>0</v>
      </c>
      <c r="AU251" s="215">
        <f>(AU245+AU227)/2</f>
        <v>0</v>
      </c>
      <c r="AV251" s="215">
        <f>(AV245+AV227)/2</f>
        <v>0</v>
      </c>
      <c r="AW251" s="215">
        <f>(AW245+AW227)/2</f>
        <v>0</v>
      </c>
      <c r="AX251" s="3536">
        <f>(AX245+AX227)/2</f>
        <v>0</v>
      </c>
      <c r="AY251" s="3536">
        <f>(AY245+AY227)/2</f>
        <v>0</v>
      </c>
      <c r="AZ251" s="3536">
        <f>(AZ245+AZ227)/2</f>
        <v>0</v>
      </c>
      <c r="BA251" s="3536">
        <f>(BA245+BA227)/2</f>
        <v>0</v>
      </c>
      <c r="BB251" s="3536">
        <f>(BB245+BB227)/2</f>
        <v>0</v>
      </c>
      <c r="BC251" s="200"/>
      <c r="BD251" s="1459"/>
      <c r="BE251" s="1459"/>
      <c r="BF251" s="1034" t="s">
        <v>1684</v>
      </c>
    </row>
    <row s="1834" customFormat="1" customHeight="1" ht="0">
      <c r="A252" s="1459"/>
      <c r="B252" s="1416"/>
      <c r="C252" s="1459"/>
      <c r="D252" s="1459"/>
      <c r="E252" s="628">
        <v>15</v>
      </c>
      <c r="F252" s="50" cm="1" t="str">
        <f t="array" ref="F252:F252">OFFSET(E252,-1,1)</f>
        <v>4</v>
      </c>
      <c r="G252" s="104" t="s">
        <v>1685</v>
      </c>
      <c r="H252" s="1459"/>
      <c r="I252" s="1459"/>
      <c r="J252" s="1459"/>
      <c r="K252" s="1459"/>
      <c r="L252" s="1459"/>
      <c r="M252" s="1459"/>
      <c r="N252" s="1459"/>
      <c r="O252" s="1459"/>
      <c r="P252" s="1459"/>
      <c r="Q252" s="1459"/>
      <c r="R252" s="1459"/>
      <c r="S252" s="1459"/>
      <c r="T252" s="465" cm="1" t="str">
        <f t="array" ref="T252:T252">T251</f>
        <v>true</v>
      </c>
      <c r="U252" s="1459"/>
      <c r="V252" s="1459"/>
      <c r="W252" s="1459"/>
      <c r="X252" s="1596"/>
      <c r="Y252" s="1459"/>
      <c r="Z252" s="1597"/>
      <c r="AA252" s="1459"/>
      <c r="AB252" s="88" t="s">
        <v>1686</v>
      </c>
      <c r="AC252" s="214" t="s">
        <v>1638</v>
      </c>
      <c r="AD252" s="89" t="s">
        <v>1514</v>
      </c>
      <c r="AE252" s="215">
        <f>(AE246+AE228)/2</f>
        <v>0</v>
      </c>
      <c r="AF252" s="215">
        <f>(AF246+AF228)/2</f>
        <v>0</v>
      </c>
      <c r="AG252" s="215">
        <f>(AG246+AG228)/2</f>
        <v>0</v>
      </c>
      <c r="AH252" s="215">
        <f>(AH246+AH228)/2</f>
        <v>0</v>
      </c>
      <c r="AI252" s="215">
        <f>(AI246+AI228)/2</f>
        <v>0</v>
      </c>
      <c r="AJ252" s="215">
        <f>(AJ246+AJ228)/2</f>
        <v>0</v>
      </c>
      <c r="AK252" s="215">
        <f>(AK246+AK228)/2</f>
        <v>0</v>
      </c>
      <c r="AL252" s="215">
        <f>(AL246+AL228)/2</f>
        <v>0</v>
      </c>
      <c r="AM252" s="215">
        <f>(AM246+AM228)/2</f>
        <v>0</v>
      </c>
      <c r="AN252" s="3536">
        <f>(AN246+AN228)/2</f>
        <v>0</v>
      </c>
      <c r="AO252" s="3536">
        <f>(AO246+AO228)/2</f>
        <v>0</v>
      </c>
      <c r="AP252" s="3536">
        <f>(AP246+AP228)/2</f>
        <v>0</v>
      </c>
      <c r="AQ252" s="3536">
        <f>(AQ246+AQ228)/2</f>
        <v>0</v>
      </c>
      <c r="AR252" s="3536">
        <f>(AR246+AR228)/2</f>
        <v>0</v>
      </c>
      <c r="AS252" s="215">
        <f>(AS246+AS228)/2</f>
        <v>0</v>
      </c>
      <c r="AT252" s="215">
        <f>(AT246+AT228)/2</f>
        <v>0</v>
      </c>
      <c r="AU252" s="215">
        <f>(AU246+AU228)/2</f>
        <v>0</v>
      </c>
      <c r="AV252" s="215">
        <f>(AV246+AV228)/2</f>
        <v>0</v>
      </c>
      <c r="AW252" s="215">
        <f>(AW246+AW228)/2</f>
        <v>0</v>
      </c>
      <c r="AX252" s="3536">
        <f>(AX246+AX228)/2</f>
        <v>0</v>
      </c>
      <c r="AY252" s="3536">
        <f>(AY246+AY228)/2</f>
        <v>0</v>
      </c>
      <c r="AZ252" s="3536">
        <f>(AZ246+AZ228)/2</f>
        <v>0</v>
      </c>
      <c r="BA252" s="3536">
        <f>(BA246+BA228)/2</f>
        <v>0</v>
      </c>
      <c r="BB252" s="3536">
        <f>(BB246+BB228)/2</f>
        <v>0</v>
      </c>
      <c r="BC252" s="200"/>
      <c r="BD252" s="1459"/>
      <c r="BE252" s="1459"/>
      <c r="BF252" s="1034" t="s">
        <v>1687</v>
      </c>
    </row>
    <row s="1834" customFormat="1" customHeight="1" ht="0">
      <c r="A253" s="1459"/>
      <c r="B253" s="1416"/>
      <c r="C253" s="1459"/>
      <c r="D253" s="1459"/>
      <c r="E253" s="628">
        <v>15</v>
      </c>
      <c r="F253" s="50" cm="1" t="str">
        <f t="array" ref="F253:F253">OFFSET(E253,-1,1)</f>
        <v>4</v>
      </c>
      <c r="G253" s="104" t="s">
        <v>1688</v>
      </c>
      <c r="H253" s="1459"/>
      <c r="I253" s="1459"/>
      <c r="J253" s="1459"/>
      <c r="K253" s="1459"/>
      <c r="L253" s="1459"/>
      <c r="M253" s="1459"/>
      <c r="N253" s="1459"/>
      <c r="O253" s="1459"/>
      <c r="P253" s="1459"/>
      <c r="Q253" s="1459"/>
      <c r="R253" s="1459"/>
      <c r="S253" s="1459"/>
      <c r="T253" s="465" cm="1" t="str">
        <f t="array" ref="T253:T253">T252</f>
        <v>true</v>
      </c>
      <c r="U253" s="1459"/>
      <c r="V253" s="1459"/>
      <c r="W253" s="1459"/>
      <c r="X253" s="1596"/>
      <c r="Y253" s="1459"/>
      <c r="Z253" s="1597"/>
      <c r="AA253" s="1459"/>
      <c r="AB253" s="88" t="s">
        <v>1689</v>
      </c>
      <c r="AC253" s="214" t="s">
        <v>1642</v>
      </c>
      <c r="AD253" s="89" t="s">
        <v>1514</v>
      </c>
      <c r="AE253" s="215">
        <f>(AE247+AE229)/2</f>
        <v>0</v>
      </c>
      <c r="AF253" s="215">
        <f>(AF247+AF229)/2</f>
        <v>0</v>
      </c>
      <c r="AG253" s="215">
        <f>(AG247+AG229)/2</f>
        <v>0</v>
      </c>
      <c r="AH253" s="215">
        <f>(AH247+AH229)/2</f>
        <v>0</v>
      </c>
      <c r="AI253" s="215">
        <f>(AI247+AI229)/2</f>
        <v>0</v>
      </c>
      <c r="AJ253" s="215">
        <f>(AJ247+AJ229)/2</f>
        <v>0</v>
      </c>
      <c r="AK253" s="215">
        <f>(AK247+AK229)/2</f>
        <v>0</v>
      </c>
      <c r="AL253" s="215">
        <f>(AL247+AL229)/2</f>
        <v>0</v>
      </c>
      <c r="AM253" s="215">
        <f>(AM247+AM229)/2</f>
        <v>0</v>
      </c>
      <c r="AN253" s="3536">
        <f>(AN247+AN229)/2</f>
        <v>0</v>
      </c>
      <c r="AO253" s="3536">
        <f>(AO247+AO229)/2</f>
        <v>0</v>
      </c>
      <c r="AP253" s="3536">
        <f>(AP247+AP229)/2</f>
        <v>0</v>
      </c>
      <c r="AQ253" s="3536">
        <f>(AQ247+AQ229)/2</f>
        <v>0</v>
      </c>
      <c r="AR253" s="3536">
        <f>(AR247+AR229)/2</f>
        <v>0</v>
      </c>
      <c r="AS253" s="215">
        <f>(AS247+AS229)/2</f>
        <v>0</v>
      </c>
      <c r="AT253" s="215">
        <f>(AT247+AT229)/2</f>
        <v>0</v>
      </c>
      <c r="AU253" s="215">
        <f>(AU247+AU229)/2</f>
        <v>0</v>
      </c>
      <c r="AV253" s="215">
        <f>(AV247+AV229)/2</f>
        <v>0</v>
      </c>
      <c r="AW253" s="215">
        <f>(AW247+AW229)/2</f>
        <v>0</v>
      </c>
      <c r="AX253" s="3536">
        <f>(AX247+AX229)/2</f>
        <v>0</v>
      </c>
      <c r="AY253" s="3536">
        <f>(AY247+AY229)/2</f>
        <v>0</v>
      </c>
      <c r="AZ253" s="3536">
        <f>(AZ247+AZ229)/2</f>
        <v>0</v>
      </c>
      <c r="BA253" s="3536">
        <f>(BA247+BA229)/2</f>
        <v>0</v>
      </c>
      <c r="BB253" s="3536">
        <f>(BB247+BB229)/2</f>
        <v>0</v>
      </c>
      <c r="BC253" s="200"/>
      <c r="BD253" s="1459"/>
      <c r="BE253" s="1459"/>
      <c r="BF253" s="1034" t="s">
        <v>1690</v>
      </c>
    </row>
    <row s="525" customFormat="1" customHeight="1" ht="21.75">
      <c r="A254" s="525"/>
      <c r="B254" s="431"/>
      <c r="C254" s="525"/>
      <c r="D254" s="525"/>
      <c r="E254" s="669">
        <v>22.5</v>
      </c>
      <c r="F254" s="50" cm="1" t="str">
        <f t="array" ref="F254:F254">OFFSET(E254,-1,1)</f>
        <v>4</v>
      </c>
      <c r="G254" s="104" t="s">
        <v>1225</v>
      </c>
      <c r="H254" s="525"/>
      <c r="I254" s="525"/>
      <c r="J254" s="525"/>
      <c r="K254" s="525"/>
      <c r="L254" s="525"/>
      <c r="M254" s="525"/>
      <c r="N254" s="525"/>
      <c r="O254" s="525"/>
      <c r="P254" s="525"/>
      <c r="Q254" s="525"/>
      <c r="R254" s="525"/>
      <c r="S254" s="525"/>
      <c r="T254" s="465" cm="1" t="str">
        <f t="array" ref="T254:T254">T253</f>
        <v>true</v>
      </c>
      <c r="U254" s="525"/>
      <c r="V254" s="525"/>
      <c r="W254" s="525"/>
      <c r="X254" s="1596"/>
      <c r="Y254" s="525"/>
      <c r="Z254" s="1597"/>
      <c r="AA254" s="525"/>
      <c r="AB254" s="211">
        <v>6</v>
      </c>
      <c r="AC254" s="212" t="s">
        <v>1691</v>
      </c>
      <c r="AD254" s="211"/>
      <c r="AE254" s="216"/>
      <c r="AF254" s="216"/>
      <c r="AG254" s="216"/>
      <c r="AH254" s="216"/>
      <c r="AI254" s="216"/>
      <c r="AJ254" s="216"/>
      <c r="AK254" s="216"/>
      <c r="AL254" s="216"/>
      <c r="AM254" s="216"/>
      <c r="AN254" s="216"/>
      <c r="AO254" s="216"/>
      <c r="AP254" s="216"/>
      <c r="AQ254" s="216"/>
      <c r="AR254" s="216"/>
      <c r="AS254" s="216"/>
      <c r="AT254" s="216"/>
      <c r="AU254" s="216"/>
      <c r="AV254" s="216"/>
      <c r="AW254" s="216"/>
      <c r="AX254" s="216"/>
      <c r="AY254" s="216"/>
      <c r="AZ254" s="216"/>
      <c r="BA254" s="216"/>
      <c r="BB254" s="216"/>
      <c r="BC254" s="200"/>
      <c r="BD254" s="525"/>
      <c r="BE254" s="525"/>
      <c r="BF254" s="1034" t="s">
        <v>1692</v>
      </c>
    </row>
    <row s="1834" customFormat="1" customHeight="1" ht="0">
      <c r="A255" s="1459"/>
      <c r="B255" s="1416"/>
      <c r="C255" s="1459"/>
      <c r="D255" s="1459"/>
      <c r="E255" s="628">
        <v>15</v>
      </c>
      <c r="F255" s="50" cm="1" t="str">
        <f t="array" ref="F255:F255">OFFSET(E255,-1,1)</f>
        <v>4</v>
      </c>
      <c r="G255" s="104" t="s">
        <v>1383</v>
      </c>
      <c r="H255" s="1459"/>
      <c r="I255" s="1459"/>
      <c r="J255" s="1459"/>
      <c r="K255" s="1459"/>
      <c r="L255" s="1459"/>
      <c r="M255" s="1459"/>
      <c r="N255" s="1459"/>
      <c r="O255" s="1459"/>
      <c r="P255" s="1459"/>
      <c r="Q255" s="1459"/>
      <c r="R255" s="1459"/>
      <c r="S255" s="1459"/>
      <c r="T255" s="465" cm="1" t="str">
        <f t="array" ref="T255:T255">T254</f>
        <v>true</v>
      </c>
      <c r="U255" s="1459"/>
      <c r="V255" s="1459"/>
      <c r="W255" s="1459"/>
      <c r="X255" s="1596"/>
      <c r="Y255" s="1459"/>
      <c r="Z255" s="1597"/>
      <c r="AA255" s="1459"/>
      <c r="AB255" s="88" t="s">
        <v>1279</v>
      </c>
      <c r="AC255" s="214" t="s">
        <v>1629</v>
      </c>
      <c r="AD255" s="88" t="s">
        <v>1170</v>
      </c>
      <c r="AE255" s="215">
        <f>IF(AE249=0,0,AE261/AE249*100)</f>
        <v>0</v>
      </c>
      <c r="AF255" s="215">
        <f>IF(AF249=0,0,AF261/AF249*100)</f>
        <v>0</v>
      </c>
      <c r="AG255" s="215">
        <f>IF(AG249=0,0,AG261/AG249*100)</f>
        <v>0</v>
      </c>
      <c r="AH255" s="215">
        <f>IF(AH249=0,0,AH261/AH249*100)</f>
        <v>0</v>
      </c>
      <c r="AI255" s="215">
        <f>IF(AI249=0,0,AI261/AI249*100)</f>
        <v>0</v>
      </c>
      <c r="AJ255" s="215">
        <f>IF(AJ249=0,0,AJ261/AJ249*100)</f>
        <v>0</v>
      </c>
      <c r="AK255" s="215">
        <f>IF(AK249=0,0,AK261/AK249*100)</f>
        <v>0</v>
      </c>
      <c r="AL255" s="215">
        <f>IF(AL249=0,0,AL261/AL249*100)</f>
        <v>0</v>
      </c>
      <c r="AM255" s="215">
        <f>IF(AM249=0,0,AM261/AM249*100)</f>
        <v>0</v>
      </c>
      <c r="AN255" s="3536">
        <f>IF(AN249=0,0,AN261/AN249*100)</f>
        <v>0</v>
      </c>
      <c r="AO255" s="3536">
        <f>IF(AO249=0,0,AO261/AO249*100)</f>
        <v>0</v>
      </c>
      <c r="AP255" s="3536">
        <f>IF(AP249=0,0,AP261/AP249*100)</f>
        <v>0</v>
      </c>
      <c r="AQ255" s="3536">
        <f>IF(AQ249=0,0,AQ261/AQ249*100)</f>
        <v>0</v>
      </c>
      <c r="AR255" s="3536">
        <f>IF(AR249=0,0,AR261/AR249*100)</f>
        <v>0</v>
      </c>
      <c r="AS255" s="215">
        <f>IF(AS249=0,0,AS261/AS249*100)</f>
        <v>0</v>
      </c>
      <c r="AT255" s="215">
        <f>IF(AT249=0,0,AT261/AT249*100)</f>
        <v>0</v>
      </c>
      <c r="AU255" s="215">
        <f>IF(AU249=0,0,AU261/AU249*100)</f>
        <v>0</v>
      </c>
      <c r="AV255" s="215">
        <f>IF(AV249=0,0,AV261/AV249*100)</f>
        <v>0</v>
      </c>
      <c r="AW255" s="215">
        <f>IF(AW249=0,0,AW261/AW249*100)</f>
        <v>0</v>
      </c>
      <c r="AX255" s="3536">
        <f>IF(AX249=0,0,AX261/AX249*100)</f>
        <v>0</v>
      </c>
      <c r="AY255" s="3536">
        <f>IF(AY249=0,0,AY261/AY249*100)</f>
        <v>0</v>
      </c>
      <c r="AZ255" s="3536">
        <f>IF(AZ249=0,0,AZ261/AZ249*100)</f>
        <v>0</v>
      </c>
      <c r="BA255" s="3536">
        <f>IF(BA249=0,0,BA261/BA249*100)</f>
        <v>0</v>
      </c>
      <c r="BB255" s="3536">
        <f>IF(BB249=0,0,BB261/BB249*100)</f>
        <v>0</v>
      </c>
      <c r="BC255" s="200"/>
      <c r="BD255" s="1459"/>
      <c r="BE255" s="1459"/>
      <c r="BF255" s="1034" t="s">
        <v>1693</v>
      </c>
    </row>
    <row s="1834" customFormat="1" customHeight="1" ht="0">
      <c r="A256" s="1459"/>
      <c r="B256" s="1416"/>
      <c r="C256" s="1459"/>
      <c r="D256" s="1459"/>
      <c r="E256" s="628">
        <v>15</v>
      </c>
      <c r="F256" s="50" cm="1" t="str">
        <f t="array" ref="F256:F256">OFFSET(E256,-1,1)</f>
        <v>4</v>
      </c>
      <c r="G256" s="104" t="s">
        <v>1386</v>
      </c>
      <c r="H256" s="1459"/>
      <c r="I256" s="1459"/>
      <c r="J256" s="1459"/>
      <c r="K256" s="1459"/>
      <c r="L256" s="1459"/>
      <c r="M256" s="1459"/>
      <c r="N256" s="1459"/>
      <c r="O256" s="1459"/>
      <c r="P256" s="1459"/>
      <c r="Q256" s="1459"/>
      <c r="R256" s="1459"/>
      <c r="S256" s="1459"/>
      <c r="T256" s="465" cm="1" t="str">
        <f t="array" ref="T256:T256">T255</f>
        <v>true</v>
      </c>
      <c r="U256" s="1459"/>
      <c r="V256" s="1459"/>
      <c r="W256" s="1459"/>
      <c r="X256" s="1596"/>
      <c r="Y256" s="1459"/>
      <c r="Z256" s="1597"/>
      <c r="AA256" s="1459"/>
      <c r="AB256" s="88" t="s">
        <v>1283</v>
      </c>
      <c r="AC256" s="214" t="s">
        <v>1632</v>
      </c>
      <c r="AD256" s="88" t="s">
        <v>1170</v>
      </c>
      <c r="AE256" s="215">
        <f>IF(AE250=0,0,AE262/AE250*100)</f>
        <v>0</v>
      </c>
      <c r="AF256" s="215">
        <f>IF(AF250=0,0,AF262/AF250*100)</f>
        <v>0</v>
      </c>
      <c r="AG256" s="215">
        <f>IF(AG250=0,0,AG262/AG250*100)</f>
        <v>0</v>
      </c>
      <c r="AH256" s="215">
        <f>IF(AH250=0,0,AH262/AH250*100)</f>
        <v>0</v>
      </c>
      <c r="AI256" s="215">
        <f>IF(AI250=0,0,AI262/AI250*100)</f>
        <v>0</v>
      </c>
      <c r="AJ256" s="215">
        <f>IF(AJ250=0,0,AJ262/AJ250*100)</f>
        <v>0</v>
      </c>
      <c r="AK256" s="215">
        <f>IF(AK250=0,0,AK262/AK250*100)</f>
        <v>0</v>
      </c>
      <c r="AL256" s="215">
        <f>IF(AL250=0,0,AL262/AL250*100)</f>
        <v>0</v>
      </c>
      <c r="AM256" s="215">
        <f>IF(AM250=0,0,AM262/AM250*100)</f>
        <v>0</v>
      </c>
      <c r="AN256" s="3536">
        <f>IF(AN250=0,0,AN262/AN250*100)</f>
        <v>0</v>
      </c>
      <c r="AO256" s="3536">
        <f>IF(AO250=0,0,AO262/AO250*100)</f>
        <v>0</v>
      </c>
      <c r="AP256" s="3536">
        <f>IF(AP250=0,0,AP262/AP250*100)</f>
        <v>0</v>
      </c>
      <c r="AQ256" s="3536">
        <f>IF(AQ250=0,0,AQ262/AQ250*100)</f>
        <v>0</v>
      </c>
      <c r="AR256" s="3536">
        <f>IF(AR250=0,0,AR262/AR250*100)</f>
        <v>0</v>
      </c>
      <c r="AS256" s="215">
        <f>IF(AS250=0,0,AS262/AS250*100)</f>
        <v>0</v>
      </c>
      <c r="AT256" s="215">
        <f>IF(AT250=0,0,AT262/AT250*100)</f>
        <v>0</v>
      </c>
      <c r="AU256" s="215">
        <f>IF(AU250=0,0,AU262/AU250*100)</f>
        <v>0</v>
      </c>
      <c r="AV256" s="215">
        <f>IF(AV250=0,0,AV262/AV250*100)</f>
        <v>0</v>
      </c>
      <c r="AW256" s="215">
        <f>IF(AW250=0,0,AW262/AW250*100)</f>
        <v>0</v>
      </c>
      <c r="AX256" s="3536">
        <f>IF(AX250=0,0,AX262/AX250*100)</f>
        <v>0</v>
      </c>
      <c r="AY256" s="3536">
        <f>IF(AY250=0,0,AY262/AY250*100)</f>
        <v>0</v>
      </c>
      <c r="AZ256" s="3536">
        <f>IF(AZ250=0,0,AZ262/AZ250*100)</f>
        <v>0</v>
      </c>
      <c r="BA256" s="3536">
        <f>IF(BA250=0,0,BA262/BA250*100)</f>
        <v>0</v>
      </c>
      <c r="BB256" s="3536">
        <f>IF(BB250=0,0,BB262/BB250*100)</f>
        <v>0</v>
      </c>
      <c r="BC256" s="200"/>
      <c r="BD256" s="1459"/>
      <c r="BE256" s="1459"/>
      <c r="BF256" s="1034" t="s">
        <v>1694</v>
      </c>
    </row>
    <row s="1834" customFormat="1" customHeight="1" ht="0">
      <c r="A257" s="1459"/>
      <c r="B257" s="1416"/>
      <c r="C257" s="1459"/>
      <c r="D257" s="1459"/>
      <c r="E257" s="628">
        <v>15</v>
      </c>
      <c r="F257" s="50" cm="1" t="str">
        <f t="array" ref="F257:F257">OFFSET(E257,-1,1)</f>
        <v>4</v>
      </c>
      <c r="G257" s="104" t="s">
        <v>1420</v>
      </c>
      <c r="H257" s="1459"/>
      <c r="I257" s="1459"/>
      <c r="J257" s="1459"/>
      <c r="K257" s="1459"/>
      <c r="L257" s="1459"/>
      <c r="M257" s="1459"/>
      <c r="N257" s="1459"/>
      <c r="O257" s="1459"/>
      <c r="P257" s="1459"/>
      <c r="Q257" s="1459"/>
      <c r="R257" s="1459"/>
      <c r="S257" s="1459"/>
      <c r="T257" s="465" cm="1" t="str">
        <f t="array" ref="T257:T257">T256</f>
        <v>true</v>
      </c>
      <c r="U257" s="1459"/>
      <c r="V257" s="1459"/>
      <c r="W257" s="1459"/>
      <c r="X257" s="1596"/>
      <c r="Y257" s="1459"/>
      <c r="Z257" s="1597"/>
      <c r="AA257" s="1459"/>
      <c r="AB257" s="88" t="s">
        <v>1287</v>
      </c>
      <c r="AC257" s="214" t="s">
        <v>1635</v>
      </c>
      <c r="AD257" s="88" t="s">
        <v>1170</v>
      </c>
      <c r="AE257" s="215">
        <f>IF(AE251=0,0,AE263/AE251*100)</f>
        <v>0</v>
      </c>
      <c r="AF257" s="215">
        <f>IF(AF251=0,0,AF263/AF251*100)</f>
        <v>0</v>
      </c>
      <c r="AG257" s="215">
        <f>IF(AG251=0,0,AG263/AG251*100)</f>
        <v>0</v>
      </c>
      <c r="AH257" s="215">
        <f>IF(AH251=0,0,AH263/AH251*100)</f>
        <v>0</v>
      </c>
      <c r="AI257" s="215">
        <f>IF(AI251=0,0,AI263/AI251*100)</f>
        <v>0</v>
      </c>
      <c r="AJ257" s="215">
        <f>IF(AJ251=0,0,AJ263/AJ251*100)</f>
        <v>0</v>
      </c>
      <c r="AK257" s="215">
        <f>IF(AK251=0,0,AK263/AK251*100)</f>
        <v>0</v>
      </c>
      <c r="AL257" s="215">
        <f>IF(AL251=0,0,AL263/AL251*100)</f>
        <v>0</v>
      </c>
      <c r="AM257" s="215">
        <f>IF(AM251=0,0,AM263/AM251*100)</f>
        <v>0</v>
      </c>
      <c r="AN257" s="3536">
        <f>IF(AN251=0,0,AN263/AN251*100)</f>
        <v>0</v>
      </c>
      <c r="AO257" s="3536">
        <f>IF(AO251=0,0,AO263/AO251*100)</f>
        <v>0</v>
      </c>
      <c r="AP257" s="3536">
        <f>IF(AP251=0,0,AP263/AP251*100)</f>
        <v>0</v>
      </c>
      <c r="AQ257" s="3536">
        <f>IF(AQ251=0,0,AQ263/AQ251*100)</f>
        <v>0</v>
      </c>
      <c r="AR257" s="3536">
        <f>IF(AR251=0,0,AR263/AR251*100)</f>
        <v>0</v>
      </c>
      <c r="AS257" s="215">
        <f>IF(AS251=0,0,AS263/AS251*100)</f>
        <v>0</v>
      </c>
      <c r="AT257" s="215">
        <f>IF(AT251=0,0,AT263/AT251*100)</f>
        <v>0</v>
      </c>
      <c r="AU257" s="215">
        <f>IF(AU251=0,0,AU263/AU251*100)</f>
        <v>0</v>
      </c>
      <c r="AV257" s="215">
        <f>IF(AV251=0,0,AV263/AV251*100)</f>
        <v>0</v>
      </c>
      <c r="AW257" s="215">
        <f>IF(AW251=0,0,AW263/AW251*100)</f>
        <v>0</v>
      </c>
      <c r="AX257" s="3536">
        <f>IF(AX251=0,0,AX263/AX251*100)</f>
        <v>0</v>
      </c>
      <c r="AY257" s="3536">
        <f>IF(AY251=0,0,AY263/AY251*100)</f>
        <v>0</v>
      </c>
      <c r="AZ257" s="3536">
        <f>IF(AZ251=0,0,AZ263/AZ251*100)</f>
        <v>0</v>
      </c>
      <c r="BA257" s="3536">
        <f>IF(BA251=0,0,BA263/BA251*100)</f>
        <v>0</v>
      </c>
      <c r="BB257" s="3536">
        <f>IF(BB251=0,0,BB263/BB251*100)</f>
        <v>0</v>
      </c>
      <c r="BC257" s="200"/>
      <c r="BD257" s="1459"/>
      <c r="BE257" s="1459"/>
      <c r="BF257" s="1034" t="s">
        <v>1695</v>
      </c>
    </row>
    <row s="1834" customFormat="1" customHeight="1" ht="0">
      <c r="A258" s="1459"/>
      <c r="B258" s="1416"/>
      <c r="C258" s="1459"/>
      <c r="D258" s="1459"/>
      <c r="E258" s="628">
        <v>15</v>
      </c>
      <c r="F258" s="50" cm="1" t="str">
        <f t="array" ref="F258:F258">OFFSET(E258,-1,1)</f>
        <v>4</v>
      </c>
      <c r="G258" s="104" t="s">
        <v>1429</v>
      </c>
      <c r="H258" s="1459"/>
      <c r="I258" s="1459"/>
      <c r="J258" s="1459"/>
      <c r="K258" s="1459"/>
      <c r="L258" s="1459"/>
      <c r="M258" s="1459"/>
      <c r="N258" s="1459"/>
      <c r="O258" s="1459"/>
      <c r="P258" s="1459"/>
      <c r="Q258" s="1459"/>
      <c r="R258" s="1459"/>
      <c r="S258" s="1459"/>
      <c r="T258" s="465" cm="1" t="str">
        <f t="array" ref="T258:T258">T257</f>
        <v>true</v>
      </c>
      <c r="U258" s="1459"/>
      <c r="V258" s="1459"/>
      <c r="W258" s="1459"/>
      <c r="X258" s="1596"/>
      <c r="Y258" s="1459"/>
      <c r="Z258" s="1597"/>
      <c r="AA258" s="1459"/>
      <c r="AB258" s="88" t="s">
        <v>1696</v>
      </c>
      <c r="AC258" s="214" t="s">
        <v>1638</v>
      </c>
      <c r="AD258" s="88" t="s">
        <v>1170</v>
      </c>
      <c r="AE258" s="215">
        <f>IF(AE252=0,0,AE264/AE252*100)</f>
        <v>0</v>
      </c>
      <c r="AF258" s="215">
        <f>IF(AF252=0,0,AF264/AF252*100)</f>
        <v>0</v>
      </c>
      <c r="AG258" s="215">
        <f>IF(AG252=0,0,AG264/AG252*100)</f>
        <v>0</v>
      </c>
      <c r="AH258" s="215">
        <f>IF(AH252=0,0,AH264/AH252*100)</f>
        <v>0</v>
      </c>
      <c r="AI258" s="215">
        <f>IF(AI252=0,0,AI264/AI252*100)</f>
        <v>0</v>
      </c>
      <c r="AJ258" s="215">
        <f>IF(AJ252=0,0,AJ264/AJ252*100)</f>
        <v>0</v>
      </c>
      <c r="AK258" s="215">
        <f>IF(AK252=0,0,AK264/AK252*100)</f>
        <v>0</v>
      </c>
      <c r="AL258" s="215">
        <f>IF(AL252=0,0,AL264/AL252*100)</f>
        <v>0</v>
      </c>
      <c r="AM258" s="215">
        <f>IF(AM252=0,0,AM264/AM252*100)</f>
        <v>0</v>
      </c>
      <c r="AN258" s="3536">
        <f>IF(AN252=0,0,AN264/AN252*100)</f>
        <v>0</v>
      </c>
      <c r="AO258" s="3536">
        <f>IF(AO252=0,0,AO264/AO252*100)</f>
        <v>0</v>
      </c>
      <c r="AP258" s="3536">
        <f>IF(AP252=0,0,AP264/AP252*100)</f>
        <v>0</v>
      </c>
      <c r="AQ258" s="3536">
        <f>IF(AQ252=0,0,AQ264/AQ252*100)</f>
        <v>0</v>
      </c>
      <c r="AR258" s="3536">
        <f>IF(AR252=0,0,AR264/AR252*100)</f>
        <v>0</v>
      </c>
      <c r="AS258" s="215">
        <f>IF(AS252=0,0,AS264/AS252*100)</f>
        <v>0</v>
      </c>
      <c r="AT258" s="215">
        <f>IF(AT252=0,0,AT264/AT252*100)</f>
        <v>0</v>
      </c>
      <c r="AU258" s="215">
        <f>IF(AU252=0,0,AU264/AU252*100)</f>
        <v>0</v>
      </c>
      <c r="AV258" s="215">
        <f>IF(AV252=0,0,AV264/AV252*100)</f>
        <v>0</v>
      </c>
      <c r="AW258" s="215">
        <f>IF(AW252=0,0,AW264/AW252*100)</f>
        <v>0</v>
      </c>
      <c r="AX258" s="3536">
        <f>IF(AX252=0,0,AX264/AX252*100)</f>
        <v>0</v>
      </c>
      <c r="AY258" s="3536">
        <f>IF(AY252=0,0,AY264/AY252*100)</f>
        <v>0</v>
      </c>
      <c r="AZ258" s="3536">
        <f>IF(AZ252=0,0,AZ264/AZ252*100)</f>
        <v>0</v>
      </c>
      <c r="BA258" s="3536">
        <f>IF(BA252=0,0,BA264/BA252*100)</f>
        <v>0</v>
      </c>
      <c r="BB258" s="3536">
        <f>IF(BB252=0,0,BB264/BB252*100)</f>
        <v>0</v>
      </c>
      <c r="BC258" s="200"/>
      <c r="BD258" s="1459"/>
      <c r="BE258" s="1459"/>
      <c r="BF258" s="1034" t="s">
        <v>1697</v>
      </c>
    </row>
    <row s="1834" customFormat="1" customHeight="1" ht="0">
      <c r="A259" s="1459"/>
      <c r="B259" s="1416"/>
      <c r="C259" s="1459"/>
      <c r="D259" s="1459"/>
      <c r="E259" s="628">
        <v>15</v>
      </c>
      <c r="F259" s="50" cm="1" t="str">
        <f t="array" ref="F259:F259">OFFSET(E259,-1,1)</f>
        <v>4</v>
      </c>
      <c r="G259" s="104" t="s">
        <v>1439</v>
      </c>
      <c r="H259" s="1459"/>
      <c r="I259" s="1459"/>
      <c r="J259" s="1459"/>
      <c r="K259" s="1459"/>
      <c r="L259" s="1459"/>
      <c r="M259" s="1459"/>
      <c r="N259" s="1459"/>
      <c r="O259" s="1459"/>
      <c r="P259" s="1459"/>
      <c r="Q259" s="1459"/>
      <c r="R259" s="1459"/>
      <c r="S259" s="1459"/>
      <c r="T259" s="465" cm="1" t="str">
        <f t="array" ref="T259:T259">T258</f>
        <v>true</v>
      </c>
      <c r="U259" s="1459"/>
      <c r="V259" s="1459"/>
      <c r="W259" s="1459"/>
      <c r="X259" s="1596"/>
      <c r="Y259" s="1459"/>
      <c r="Z259" s="1597"/>
      <c r="AA259" s="1459"/>
      <c r="AB259" s="88" t="s">
        <v>1698</v>
      </c>
      <c r="AC259" s="214" t="s">
        <v>1642</v>
      </c>
      <c r="AD259" s="88" t="s">
        <v>1170</v>
      </c>
      <c r="AE259" s="215">
        <f>IF(AE253=0,0,AE265/AE253*100)</f>
        <v>0</v>
      </c>
      <c r="AF259" s="215">
        <f>IF(AF253=0,0,AF265/AF253*100)</f>
        <v>0</v>
      </c>
      <c r="AG259" s="215">
        <f>IF(AG253=0,0,AG265/AG253*100)</f>
        <v>0</v>
      </c>
      <c r="AH259" s="215">
        <f>IF(AH253=0,0,AH265/AH253*100)</f>
        <v>0</v>
      </c>
      <c r="AI259" s="215">
        <f>IF(AI253=0,0,AI265/AI253*100)</f>
        <v>0</v>
      </c>
      <c r="AJ259" s="215">
        <f>IF(AJ253=0,0,AJ265/AJ253*100)</f>
        <v>0</v>
      </c>
      <c r="AK259" s="215">
        <f>IF(AK253=0,0,AK265/AK253*100)</f>
        <v>0</v>
      </c>
      <c r="AL259" s="215">
        <f>IF(AL253=0,0,AL265/AL253*100)</f>
        <v>0</v>
      </c>
      <c r="AM259" s="215">
        <f>IF(AM253=0,0,AM265/AM253*100)</f>
        <v>0</v>
      </c>
      <c r="AN259" s="3536">
        <f>IF(AN253=0,0,AN265/AN253*100)</f>
        <v>0</v>
      </c>
      <c r="AO259" s="3536">
        <f>IF(AO253=0,0,AO265/AO253*100)</f>
        <v>0</v>
      </c>
      <c r="AP259" s="3536">
        <f>IF(AP253=0,0,AP265/AP253*100)</f>
        <v>0</v>
      </c>
      <c r="AQ259" s="3536">
        <f>IF(AQ253=0,0,AQ265/AQ253*100)</f>
        <v>0</v>
      </c>
      <c r="AR259" s="3536">
        <f>IF(AR253=0,0,AR265/AR253*100)</f>
        <v>0</v>
      </c>
      <c r="AS259" s="215">
        <f>IF(AS253=0,0,AS265/AS253*100)</f>
        <v>0</v>
      </c>
      <c r="AT259" s="215">
        <f>IF(AT253=0,0,AT265/AT253*100)</f>
        <v>0</v>
      </c>
      <c r="AU259" s="215">
        <f>IF(AU253=0,0,AU265/AU253*100)</f>
        <v>0</v>
      </c>
      <c r="AV259" s="215">
        <f>IF(AV253=0,0,AV265/AV253*100)</f>
        <v>0</v>
      </c>
      <c r="AW259" s="215">
        <f>IF(AW253=0,0,AW265/AW253*100)</f>
        <v>0</v>
      </c>
      <c r="AX259" s="3536">
        <f>IF(AX253=0,0,AX265/AX253*100)</f>
        <v>0</v>
      </c>
      <c r="AY259" s="3536">
        <f>IF(AY253=0,0,AY265/AY253*100)</f>
        <v>0</v>
      </c>
      <c r="AZ259" s="3536">
        <f>IF(AZ253=0,0,AZ265/AZ253*100)</f>
        <v>0</v>
      </c>
      <c r="BA259" s="3536">
        <f>IF(BA253=0,0,BA265/BA253*100)</f>
        <v>0</v>
      </c>
      <c r="BB259" s="3536">
        <f>IF(BB253=0,0,BB265/BB253*100)</f>
        <v>0</v>
      </c>
      <c r="BC259" s="200"/>
      <c r="BD259" s="1459"/>
      <c r="BE259" s="1459"/>
      <c r="BF259" s="1034" t="s">
        <v>1699</v>
      </c>
    </row>
    <row s="525" customFormat="1" customHeight="1" ht="14.25">
      <c r="A260" s="525"/>
      <c r="B260" s="431"/>
      <c r="C260" s="525"/>
      <c r="D260" s="525"/>
      <c r="E260" s="628">
        <v>15</v>
      </c>
      <c r="F260" s="50" cm="1" t="str">
        <f t="array" ref="F260:F260">OFFSET(E260,-1,1)</f>
        <v>4</v>
      </c>
      <c r="G260" s="104" t="s">
        <v>1228</v>
      </c>
      <c r="H260" s="525"/>
      <c r="I260" s="525"/>
      <c r="J260" s="525"/>
      <c r="K260" s="124" t="str">
        <f>F260&amp;"komm"</f>
        <v>4komm</v>
      </c>
      <c r="L260" s="919" cm="1" t="str">
        <f t="array" ref="L260:L260">BC260</f>
        <v>0</v>
      </c>
      <c r="M260" s="525"/>
      <c r="N260" s="525"/>
      <c r="O260" s="525"/>
      <c r="P260" s="525"/>
      <c r="Q260" s="525"/>
      <c r="R260" s="525"/>
      <c r="S260" s="525"/>
      <c r="T260" s="465" cm="1" t="str">
        <f t="array" ref="T260:T260">T259</f>
        <v>true</v>
      </c>
      <c r="U260" s="525"/>
      <c r="V260" s="525"/>
      <c r="W260" s="525"/>
      <c r="X260" s="1596"/>
      <c r="Y260" s="525"/>
      <c r="Z260" s="1597"/>
      <c r="AA260" s="525"/>
      <c r="AB260" s="211">
        <v>7</v>
      </c>
      <c r="AC260" s="212" t="s">
        <v>1700</v>
      </c>
      <c r="AD260" s="89" t="s">
        <v>1514</v>
      </c>
      <c r="AE260" s="1198">
        <f>SUM(AE261:AE265)</f>
        <v>0</v>
      </c>
      <c r="AF260" s="1198">
        <f>SUM(AF261:AF265)</f>
        <v>0</v>
      </c>
      <c r="AG260" s="1198">
        <f>SUM(AG261:AG265)</f>
        <v>0</v>
      </c>
      <c r="AH260" s="1198">
        <f>SUM(AH261:AH265)</f>
        <v>0</v>
      </c>
      <c r="AI260" s="1198">
        <f>SUM(AI261:AI265)</f>
        <v>0</v>
      </c>
      <c r="AJ260" s="1198">
        <f>SUM(AJ261:AJ265)</f>
        <v>0</v>
      </c>
      <c r="AK260" s="1198">
        <f>SUM(AK261:AK265)</f>
        <v>2114.31</v>
      </c>
      <c r="AL260" s="1198">
        <f>SUM(AL261:AL265)</f>
        <v>7657.51</v>
      </c>
      <c r="AM260" s="1198">
        <f>SUM(AM261:AM265)</f>
        <v>32710.78</v>
      </c>
      <c r="AN260" s="3534">
        <f>SUM(AN261:AN265)</f>
        <v>0</v>
      </c>
      <c r="AO260" s="3534">
        <f>SUM(AO261:AO265)</f>
        <v>0</v>
      </c>
      <c r="AP260" s="3534">
        <f>SUM(AP261:AP265)</f>
        <v>0</v>
      </c>
      <c r="AQ260" s="3534">
        <f>SUM(AQ261:AQ265)</f>
        <v>0</v>
      </c>
      <c r="AR260" s="3534">
        <f>SUM(AR261:AR265)</f>
        <v>0</v>
      </c>
      <c r="AS260" s="1198">
        <f>SUM(AS261:AS265)</f>
        <v>0</v>
      </c>
      <c r="AT260" s="1198">
        <f>SUM(AT261:AT265)</f>
        <v>0</v>
      </c>
      <c r="AU260" s="1198">
        <f>SUM(AU261:AU265)</f>
        <v>2114.31</v>
      </c>
      <c r="AV260" s="1198">
        <f>SUM(AV261:AV265)</f>
        <v>7657.51</v>
      </c>
      <c r="AW260" s="1198">
        <f>SUM(AW261:AW265)</f>
        <v>32710.78</v>
      </c>
      <c r="AX260" s="3534">
        <f>SUM(AX261:AX265)</f>
        <v>0</v>
      </c>
      <c r="AY260" s="3534">
        <f>SUM(AY261:AY265)</f>
        <v>0</v>
      </c>
      <c r="AZ260" s="3534">
        <f>SUM(AZ261:AZ265)</f>
        <v>0</v>
      </c>
      <c r="BA260" s="3534">
        <f>SUM(BA261:BA265)</f>
        <v>0</v>
      </c>
      <c r="BB260" s="3534">
        <f>SUM(BB261:BB265)</f>
        <v>0</v>
      </c>
      <c r="BC260" s="200"/>
      <c r="BD260" s="525"/>
      <c r="BE260" s="525"/>
      <c r="BF260" s="1034" t="s">
        <v>1701</v>
      </c>
    </row>
    <row s="1834" customFormat="1" customHeight="1" ht="0">
      <c r="A261" s="1459"/>
      <c r="B261" s="1416"/>
      <c r="C261" s="1459"/>
      <c r="D261" s="1459"/>
      <c r="E261" s="628">
        <v>15</v>
      </c>
      <c r="F261" s="50" cm="1" t="str">
        <f t="array" ref="F261:F261">OFFSET(E261,-1,1)</f>
        <v>4</v>
      </c>
      <c r="G261" s="104" t="s">
        <v>1390</v>
      </c>
      <c r="H261" s="1459"/>
      <c r="I261" s="1459"/>
      <c r="J261" s="1459"/>
      <c r="K261" s="1459"/>
      <c r="L261" s="1459"/>
      <c r="M261" s="1459"/>
      <c r="N261" s="1459"/>
      <c r="O261" s="1459"/>
      <c r="P261" s="1459"/>
      <c r="Q261" s="1459"/>
      <c r="R261" s="1459"/>
      <c r="S261" s="1459"/>
      <c r="T261" s="465" cm="1" t="str">
        <f t="array" ref="T261:T261">T260</f>
        <v>true</v>
      </c>
      <c r="U261" s="1459"/>
      <c r="V261" s="1459"/>
      <c r="W261" s="1459"/>
      <c r="X261" s="1596"/>
      <c r="Y261" s="1459"/>
      <c r="Z261" s="1597"/>
      <c r="AA261" s="1459"/>
      <c r="AB261" s="88" t="s">
        <v>1294</v>
      </c>
      <c r="AC261" s="214" t="s">
        <v>1629</v>
      </c>
      <c r="AD261" s="89" t="s">
        <v>1514</v>
      </c>
      <c r="AE261" s="215"/>
      <c r="AF261" s="215"/>
      <c r="AG261" s="215"/>
      <c r="AH261" s="215"/>
      <c r="AI261" s="215"/>
      <c r="AJ261" s="215"/>
      <c r="AK261" s="215"/>
      <c r="AL261" s="215"/>
      <c r="AM261" s="215"/>
      <c r="AN261" s="3536"/>
      <c r="AO261" s="3536"/>
      <c r="AP261" s="3536"/>
      <c r="AQ261" s="3536"/>
      <c r="AR261" s="3536"/>
      <c r="AS261" s="215"/>
      <c r="AT261" s="215"/>
      <c r="AU261" s="215"/>
      <c r="AV261" s="215"/>
      <c r="AW261" s="215"/>
      <c r="AX261" s="3536"/>
      <c r="AY261" s="3536"/>
      <c r="AZ261" s="3536"/>
      <c r="BA261" s="3536"/>
      <c r="BB261" s="3536"/>
      <c r="BC261" s="200"/>
      <c r="BD261" s="1459"/>
      <c r="BE261" s="1459"/>
      <c r="BF261" s="1034" t="s">
        <v>1702</v>
      </c>
    </row>
    <row s="1834" customFormat="1" customHeight="1" ht="0">
      <c r="A262" s="1459"/>
      <c r="B262" s="1416"/>
      <c r="C262" s="1459"/>
      <c r="D262" s="1459"/>
      <c r="E262" s="628">
        <v>15</v>
      </c>
      <c r="F262" s="50" cm="1" t="str">
        <f t="array" ref="F262:F262">OFFSET(E262,-1,1)</f>
        <v>4</v>
      </c>
      <c r="G262" s="104" t="s">
        <v>1393</v>
      </c>
      <c r="H262" s="1459"/>
      <c r="I262" s="1459"/>
      <c r="J262" s="1459"/>
      <c r="K262" s="1459"/>
      <c r="L262" s="1459"/>
      <c r="M262" s="1459"/>
      <c r="N262" s="1459"/>
      <c r="O262" s="1459"/>
      <c r="P262" s="1459"/>
      <c r="Q262" s="1459"/>
      <c r="R262" s="1459"/>
      <c r="S262" s="1459"/>
      <c r="T262" s="465" cm="1" t="str">
        <f t="array" ref="T262:T262">T261</f>
        <v>true</v>
      </c>
      <c r="U262" s="1459"/>
      <c r="V262" s="1459"/>
      <c r="W262" s="1459"/>
      <c r="X262" s="1596"/>
      <c r="Y262" s="1459"/>
      <c r="Z262" s="1597"/>
      <c r="AA262" s="1459"/>
      <c r="AB262" s="88" t="s">
        <v>1703</v>
      </c>
      <c r="AC262" s="214" t="s">
        <v>1632</v>
      </c>
      <c r="AD262" s="89" t="s">
        <v>1514</v>
      </c>
      <c r="AE262" s="215"/>
      <c r="AF262" s="215"/>
      <c r="AG262" s="215"/>
      <c r="AH262" s="215"/>
      <c r="AI262" s="215"/>
      <c r="AJ262" s="215"/>
      <c r="AK262" s="215"/>
      <c r="AL262" s="215"/>
      <c r="AM262" s="215"/>
      <c r="AN262" s="3536"/>
      <c r="AO262" s="3536"/>
      <c r="AP262" s="3536"/>
      <c r="AQ262" s="3536"/>
      <c r="AR262" s="3536"/>
      <c r="AS262" s="215"/>
      <c r="AT262" s="215"/>
      <c r="AU262" s="215"/>
      <c r="AV262" s="215"/>
      <c r="AW262" s="215"/>
      <c r="AX262" s="3536"/>
      <c r="AY262" s="3536"/>
      <c r="AZ262" s="3536"/>
      <c r="BA262" s="3536"/>
      <c r="BB262" s="3536"/>
      <c r="BC262" s="200"/>
      <c r="BD262" s="1459"/>
      <c r="BE262" s="1459"/>
      <c r="BF262" s="1034" t="s">
        <v>1704</v>
      </c>
    </row>
    <row s="1834" customFormat="1" customHeight="1" ht="0">
      <c r="A263" s="1459"/>
      <c r="B263" s="1416"/>
      <c r="C263" s="1459"/>
      <c r="D263" s="1459"/>
      <c r="E263" s="628">
        <v>15</v>
      </c>
      <c r="F263" s="50" cm="1" t="str">
        <f t="array" ref="F263:F263">OFFSET(E263,-1,1)</f>
        <v>4</v>
      </c>
      <c r="G263" s="104" t="s">
        <v>1705</v>
      </c>
      <c r="H263" s="1459"/>
      <c r="I263" s="1459"/>
      <c r="J263" s="1459"/>
      <c r="K263" s="1459"/>
      <c r="L263" s="1459"/>
      <c r="M263" s="1459"/>
      <c r="N263" s="1459"/>
      <c r="O263" s="1459"/>
      <c r="P263" s="1459"/>
      <c r="Q263" s="1459"/>
      <c r="R263" s="1459"/>
      <c r="S263" s="1459"/>
      <c r="T263" s="465" cm="1" t="str">
        <f t="array" ref="T263:T263">T262</f>
        <v>true</v>
      </c>
      <c r="U263" s="1459"/>
      <c r="V263" s="1459"/>
      <c r="W263" s="1459"/>
      <c r="X263" s="1596"/>
      <c r="Y263" s="1459"/>
      <c r="Z263" s="1597"/>
      <c r="AA263" s="1459"/>
      <c r="AB263" s="88" t="s">
        <v>1706</v>
      </c>
      <c r="AC263" s="214" t="s">
        <v>1635</v>
      </c>
      <c r="AD263" s="89" t="s">
        <v>1514</v>
      </c>
      <c r="AE263" s="215"/>
      <c r="AF263" s="215"/>
      <c r="AG263" s="215"/>
      <c r="AH263" s="215"/>
      <c r="AI263" s="215"/>
      <c r="AJ263" s="215"/>
      <c r="AK263" s="215"/>
      <c r="AL263" s="215"/>
      <c r="AM263" s="215"/>
      <c r="AN263" s="3536"/>
      <c r="AO263" s="3536"/>
      <c r="AP263" s="3536"/>
      <c r="AQ263" s="3536"/>
      <c r="AR263" s="3536"/>
      <c r="AS263" s="215"/>
      <c r="AT263" s="215"/>
      <c r="AU263" s="215"/>
      <c r="AV263" s="215"/>
      <c r="AW263" s="215"/>
      <c r="AX263" s="3536"/>
      <c r="AY263" s="3536"/>
      <c r="AZ263" s="3536"/>
      <c r="BA263" s="3536"/>
      <c r="BB263" s="3536"/>
      <c r="BC263" s="200"/>
      <c r="BD263" s="1459"/>
      <c r="BE263" s="1459"/>
      <c r="BF263" s="1034" t="s">
        <v>1707</v>
      </c>
    </row>
    <row s="1834" customFormat="1" customHeight="1" ht="0">
      <c r="A264" s="1459"/>
      <c r="B264" s="1416"/>
      <c r="C264" s="1459"/>
      <c r="D264" s="1459"/>
      <c r="E264" s="628">
        <v>15</v>
      </c>
      <c r="F264" s="50" cm="1" t="str">
        <f t="array" ref="F264:F264">OFFSET(E264,-1,1)</f>
        <v>4</v>
      </c>
      <c r="G264" s="104" t="s">
        <v>1708</v>
      </c>
      <c r="H264" s="1459"/>
      <c r="I264" s="1459"/>
      <c r="J264" s="1459"/>
      <c r="K264" s="1459"/>
      <c r="L264" s="1459"/>
      <c r="M264" s="1459"/>
      <c r="N264" s="1459"/>
      <c r="O264" s="1459"/>
      <c r="P264" s="1459"/>
      <c r="Q264" s="1459"/>
      <c r="R264" s="1459"/>
      <c r="S264" s="1459"/>
      <c r="T264" s="465" cm="1" t="str">
        <f t="array" ref="T264:T264">T263</f>
        <v>true</v>
      </c>
      <c r="U264" s="1459"/>
      <c r="V264" s="1459"/>
      <c r="W264" s="1459"/>
      <c r="X264" s="1596"/>
      <c r="Y264" s="1459"/>
      <c r="Z264" s="1597"/>
      <c r="AA264" s="1459"/>
      <c r="AB264" s="88" t="s">
        <v>1709</v>
      </c>
      <c r="AC264" s="214" t="s">
        <v>1638</v>
      </c>
      <c r="AD264" s="89" t="s">
        <v>1514</v>
      </c>
      <c r="AE264" s="215"/>
      <c r="AF264" s="215"/>
      <c r="AG264" s="215"/>
      <c r="AH264" s="215"/>
      <c r="AI264" s="215"/>
      <c r="AJ264" s="215"/>
      <c r="AK264" s="215"/>
      <c r="AL264" s="215"/>
      <c r="AM264" s="215"/>
      <c r="AN264" s="3536"/>
      <c r="AO264" s="3536"/>
      <c r="AP264" s="3536"/>
      <c r="AQ264" s="3536"/>
      <c r="AR264" s="3536"/>
      <c r="AS264" s="215"/>
      <c r="AT264" s="215"/>
      <c r="AU264" s="215"/>
      <c r="AV264" s="215"/>
      <c r="AW264" s="215"/>
      <c r="AX264" s="3536"/>
      <c r="AY264" s="3536"/>
      <c r="AZ264" s="3536"/>
      <c r="BA264" s="3536"/>
      <c r="BB264" s="3536"/>
      <c r="BC264" s="200"/>
      <c r="BD264" s="1459"/>
      <c r="BE264" s="1459"/>
      <c r="BF264" s="1034" t="s">
        <v>1710</v>
      </c>
    </row>
    <row s="1834" customFormat="1" customHeight="1" ht="75.75">
      <c r="A265" s="1459"/>
      <c r="B265" s="1416"/>
      <c r="C265" s="1459"/>
      <c r="D265" s="1459"/>
      <c r="E265" s="628">
        <v>15</v>
      </c>
      <c r="F265" s="50" cm="1" t="str">
        <f t="array" ref="F265:F265">OFFSET(E265,-1,1)</f>
        <v>4</v>
      </c>
      <c r="G265" s="104" t="s">
        <v>1711</v>
      </c>
      <c r="H265" s="1459"/>
      <c r="I265" s="1459"/>
      <c r="J265" s="1459"/>
      <c r="K265" s="1459"/>
      <c r="L265" s="1459"/>
      <c r="M265" s="1459"/>
      <c r="N265" s="1459"/>
      <c r="O265" s="1459"/>
      <c r="P265" s="1459"/>
      <c r="Q265" s="1459"/>
      <c r="R265" s="1459"/>
      <c r="S265" s="1459"/>
      <c r="T265" s="465" cm="1" t="str">
        <f t="array" ref="T265:T265">T264</f>
        <v>true</v>
      </c>
      <c r="U265" s="1459"/>
      <c r="V265" s="1459"/>
      <c r="W265" s="1459"/>
      <c r="X265" s="1596"/>
      <c r="Y265" s="1459"/>
      <c r="Z265" s="1597"/>
      <c r="AA265" s="1459"/>
      <c r="AB265" s="88" t="s">
        <v>1712</v>
      </c>
      <c r="AC265" s="214" t="s">
        <v>1642</v>
      </c>
      <c r="AD265" s="89" t="s">
        <v>1514</v>
      </c>
      <c r="AE265" s="215"/>
      <c r="AF265" s="215"/>
      <c r="AG265" s="215"/>
      <c r="AH265" s="215"/>
      <c r="AI265" s="215"/>
      <c r="AJ265" s="215"/>
      <c r="AK265" s="215">
        <v>2114.31</v>
      </c>
      <c r="AL265" s="215">
        <v>7657.51</v>
      </c>
      <c r="AM265" s="215">
        <v>32710.78</v>
      </c>
      <c r="AN265" s="3536"/>
      <c r="AO265" s="3536"/>
      <c r="AP265" s="3536"/>
      <c r="AQ265" s="3536"/>
      <c r="AR265" s="3536"/>
      <c r="AS265" s="215"/>
      <c r="AT265" s="215"/>
      <c r="AU265" s="215">
        <v>2114.31</v>
      </c>
      <c r="AV265" s="215">
        <v>7657.51</v>
      </c>
      <c r="AW265" s="215">
        <v>32710.78</v>
      </c>
      <c r="AX265" s="3536"/>
      <c r="AY265" s="3536"/>
      <c r="AZ265" s="3536"/>
      <c r="BA265" s="3536"/>
      <c r="BB265" s="3536"/>
      <c r="BC265" s="200" t="s">
        <v>1723</v>
      </c>
      <c r="BD265" s="1459"/>
      <c r="BE265" s="1459"/>
      <c r="BF265" s="1034" t="s">
        <v>1713</v>
      </c>
    </row>
    <row s="525" customFormat="1" customHeight="1" ht="14.25">
      <c r="A266" s="525"/>
      <c r="B266" s="431"/>
      <c r="C266" s="525"/>
      <c r="D266" s="525"/>
      <c r="E266" s="628">
        <v>15</v>
      </c>
      <c r="F266" s="50" cm="1" t="str">
        <f t="array" ref="F266:F266">OFFSET(E266,-1,1)</f>
        <v>4</v>
      </c>
      <c r="G266" s="104" t="s">
        <v>1275</v>
      </c>
      <c r="H266" s="525"/>
      <c r="I266" s="525"/>
      <c r="J266" s="525"/>
      <c r="K266" s="525"/>
      <c r="L266" s="525"/>
      <c r="M266" s="525"/>
      <c r="N266" s="525"/>
      <c r="O266" s="525"/>
      <c r="P266" s="525"/>
      <c r="Q266" s="525"/>
      <c r="R266" s="525"/>
      <c r="S266" s="525"/>
      <c r="T266" s="465" cm="1" t="str">
        <f t="array" ref="T266:T266">T265</f>
        <v>true</v>
      </c>
      <c r="U266" s="525"/>
      <c r="V266" s="525"/>
      <c r="W266" s="525"/>
      <c r="X266" s="1596"/>
      <c r="Y266" s="525"/>
      <c r="Z266" s="1597"/>
      <c r="AA266" s="525"/>
      <c r="AB266" s="211">
        <v>8</v>
      </c>
      <c r="AC266" s="212" t="s">
        <v>1714</v>
      </c>
      <c r="AD266" s="89" t="s">
        <v>1514</v>
      </c>
      <c r="AE266" s="1198">
        <f>SUM(AE267:AE271)</f>
        <v>0</v>
      </c>
      <c r="AF266" s="1198">
        <f>SUM(AF267:AF271)</f>
        <v>0</v>
      </c>
      <c r="AG266" s="1198">
        <f>SUM(AG267:AG271)</f>
        <v>0</v>
      </c>
      <c r="AH266" s="1198">
        <f>SUM(AH267:AH271)</f>
        <v>0</v>
      </c>
      <c r="AI266" s="1198">
        <f>SUM(AI267:AI271)</f>
        <v>0</v>
      </c>
      <c r="AJ266" s="1198">
        <f>SUM(AJ267:AJ271)</f>
        <v>0</v>
      </c>
      <c r="AK266" s="1198">
        <f>SUM(AK267:AK271)</f>
        <v>0</v>
      </c>
      <c r="AL266" s="1198">
        <f>SUM(AL267:AL271)</f>
        <v>0</v>
      </c>
      <c r="AM266" s="1198">
        <f>SUM(AM267:AM271)</f>
        <v>0</v>
      </c>
      <c r="AN266" s="3534">
        <f>SUM(AN267:AN271)</f>
        <v>0</v>
      </c>
      <c r="AO266" s="3534">
        <f>SUM(AO267:AO271)</f>
        <v>0</v>
      </c>
      <c r="AP266" s="3534">
        <f>SUM(AP267:AP271)</f>
        <v>0</v>
      </c>
      <c r="AQ266" s="3534">
        <f>SUM(AQ267:AQ271)</f>
        <v>0</v>
      </c>
      <c r="AR266" s="3534">
        <f>SUM(AR267:AR271)</f>
        <v>0</v>
      </c>
      <c r="AS266" s="1198">
        <f>SUM(AS267:AS271)</f>
        <v>0</v>
      </c>
      <c r="AT266" s="1198">
        <f>SUM(AT267:AT271)</f>
        <v>0</v>
      </c>
      <c r="AU266" s="1198">
        <f>SUM(AU267:AU271)</f>
        <v>0</v>
      </c>
      <c r="AV266" s="1198">
        <f>SUM(AV267:AV271)</f>
        <v>0</v>
      </c>
      <c r="AW266" s="1198">
        <f>SUM(AW267:AW271)</f>
        <v>0</v>
      </c>
      <c r="AX266" s="3534">
        <f>SUM(AX267:AX271)</f>
        <v>0</v>
      </c>
      <c r="AY266" s="3534">
        <f>SUM(AY267:AY271)</f>
        <v>0</v>
      </c>
      <c r="AZ266" s="3534">
        <f>SUM(AZ267:AZ271)</f>
        <v>0</v>
      </c>
      <c r="BA266" s="3534">
        <f>SUM(BA267:BA271)</f>
        <v>0</v>
      </c>
      <c r="BB266" s="3534">
        <f>SUM(BB267:BB271)</f>
        <v>0</v>
      </c>
      <c r="BC266" s="200"/>
      <c r="BD266" s="525"/>
      <c r="BE266" s="525"/>
      <c r="BF266" s="1034" t="s">
        <v>1715</v>
      </c>
    </row>
    <row s="1834" customFormat="1" customHeight="1" ht="0">
      <c r="A267" s="1459"/>
      <c r="B267" s="1416"/>
      <c r="C267" s="1459"/>
      <c r="D267" s="1459"/>
      <c r="E267" s="628">
        <v>15</v>
      </c>
      <c r="F267" s="50" cm="1" t="str">
        <f t="array" ref="F267:F267">OFFSET(E267,-1,1)</f>
        <v>4</v>
      </c>
      <c r="G267" s="104" t="s">
        <v>1278</v>
      </c>
      <c r="H267" s="1459"/>
      <c r="I267" s="1459"/>
      <c r="J267" s="1459"/>
      <c r="K267" s="1459"/>
      <c r="L267" s="1459"/>
      <c r="M267" s="1459"/>
      <c r="N267" s="1459"/>
      <c r="O267" s="1459"/>
      <c r="P267" s="1459"/>
      <c r="Q267" s="1459"/>
      <c r="R267" s="1459"/>
      <c r="S267" s="1459"/>
      <c r="T267" s="465" cm="1" t="str">
        <f t="array" ref="T267:T267">T266</f>
        <v>true</v>
      </c>
      <c r="U267" s="1459"/>
      <c r="V267" s="1459"/>
      <c r="W267" s="1459"/>
      <c r="X267" s="1596"/>
      <c r="Y267" s="1459"/>
      <c r="Z267" s="1597"/>
      <c r="AA267" s="1459"/>
      <c r="AB267" s="88" t="s">
        <v>1301</v>
      </c>
      <c r="AC267" s="214" t="s">
        <v>1629</v>
      </c>
      <c r="AD267" s="89" t="s">
        <v>1514</v>
      </c>
      <c r="AE267" s="215"/>
      <c r="AF267" s="215"/>
      <c r="AG267" s="215"/>
      <c r="AH267" s="215"/>
      <c r="AI267" s="215"/>
      <c r="AJ267" s="215"/>
      <c r="AK267" s="215"/>
      <c r="AL267" s="215"/>
      <c r="AM267" s="215"/>
      <c r="AN267" s="3536"/>
      <c r="AO267" s="3536"/>
      <c r="AP267" s="3536"/>
      <c r="AQ267" s="3536"/>
      <c r="AR267" s="3536"/>
      <c r="AS267" s="215"/>
      <c r="AT267" s="215"/>
      <c r="AU267" s="215"/>
      <c r="AV267" s="215"/>
      <c r="AW267" s="215"/>
      <c r="AX267" s="3536"/>
      <c r="AY267" s="3536"/>
      <c r="AZ267" s="3536"/>
      <c r="BA267" s="3536"/>
      <c r="BB267" s="3536"/>
      <c r="BC267" s="200"/>
      <c r="BD267" s="1459"/>
      <c r="BE267" s="1459"/>
      <c r="BF267" s="1034" t="s">
        <v>1716</v>
      </c>
    </row>
    <row s="1834" customFormat="1" customHeight="1" ht="0">
      <c r="A268" s="1459"/>
      <c r="B268" s="1416"/>
      <c r="C268" s="1459"/>
      <c r="D268" s="1459"/>
      <c r="E268" s="628">
        <v>15</v>
      </c>
      <c r="F268" s="50" cm="1" t="str">
        <f t="array" ref="F268:F268">OFFSET(E268,-1,1)</f>
        <v>4</v>
      </c>
      <c r="G268" s="104" t="s">
        <v>1282</v>
      </c>
      <c r="H268" s="1459"/>
      <c r="I268" s="1459"/>
      <c r="J268" s="1459"/>
      <c r="K268" s="1459"/>
      <c r="L268" s="1459"/>
      <c r="M268" s="1459"/>
      <c r="N268" s="1459"/>
      <c r="O268" s="1459"/>
      <c r="P268" s="1459"/>
      <c r="Q268" s="1459"/>
      <c r="R268" s="1459"/>
      <c r="S268" s="1459"/>
      <c r="T268" s="465" cm="1" t="str">
        <f t="array" ref="T268:T268">T267</f>
        <v>true</v>
      </c>
      <c r="U268" s="1459"/>
      <c r="V268" s="1459"/>
      <c r="W268" s="1459"/>
      <c r="X268" s="1596"/>
      <c r="Y268" s="1459"/>
      <c r="Z268" s="1597"/>
      <c r="AA268" s="1459"/>
      <c r="AB268" s="88" t="s">
        <v>1318</v>
      </c>
      <c r="AC268" s="214" t="s">
        <v>1632</v>
      </c>
      <c r="AD268" s="89" t="s">
        <v>1514</v>
      </c>
      <c r="AE268" s="215"/>
      <c r="AF268" s="215"/>
      <c r="AG268" s="215"/>
      <c r="AH268" s="215"/>
      <c r="AI268" s="215"/>
      <c r="AJ268" s="215"/>
      <c r="AK268" s="215"/>
      <c r="AL268" s="215"/>
      <c r="AM268" s="215"/>
      <c r="AN268" s="3536"/>
      <c r="AO268" s="3536"/>
      <c r="AP268" s="3536"/>
      <c r="AQ268" s="3536"/>
      <c r="AR268" s="3536"/>
      <c r="AS268" s="215"/>
      <c r="AT268" s="215"/>
      <c r="AU268" s="215"/>
      <c r="AV268" s="215"/>
      <c r="AW268" s="215"/>
      <c r="AX268" s="3536"/>
      <c r="AY268" s="3536"/>
      <c r="AZ268" s="3536"/>
      <c r="BA268" s="3536"/>
      <c r="BB268" s="3536"/>
      <c r="BC268" s="200"/>
      <c r="BD268" s="1459"/>
      <c r="BE268" s="1459"/>
      <c r="BF268" s="1034" t="s">
        <v>1717</v>
      </c>
    </row>
    <row s="1834" customFormat="1" customHeight="1" ht="0">
      <c r="A269" s="1459"/>
      <c r="B269" s="1416"/>
      <c r="C269" s="1459"/>
      <c r="D269" s="1459"/>
      <c r="E269" s="628">
        <v>15</v>
      </c>
      <c r="F269" s="50" cm="1" t="str">
        <f t="array" ref="F269:F269">OFFSET(E269,-1,1)</f>
        <v>4</v>
      </c>
      <c r="G269" s="104" t="s">
        <v>1286</v>
      </c>
      <c r="H269" s="1459"/>
      <c r="I269" s="1459"/>
      <c r="J269" s="1459"/>
      <c r="K269" s="1459"/>
      <c r="L269" s="1459"/>
      <c r="M269" s="1459"/>
      <c r="N269" s="1459"/>
      <c r="O269" s="1459"/>
      <c r="P269" s="1459"/>
      <c r="Q269" s="1459"/>
      <c r="R269" s="1459"/>
      <c r="S269" s="1459"/>
      <c r="T269" s="465" cm="1" t="str">
        <f t="array" ref="T269:T269">T268</f>
        <v>true</v>
      </c>
      <c r="U269" s="1459"/>
      <c r="V269" s="1459"/>
      <c r="W269" s="1459"/>
      <c r="X269" s="1596"/>
      <c r="Y269" s="1459"/>
      <c r="Z269" s="1597"/>
      <c r="AA269" s="1459"/>
      <c r="AB269" s="88" t="s">
        <v>1330</v>
      </c>
      <c r="AC269" s="214" t="s">
        <v>1635</v>
      </c>
      <c r="AD269" s="89" t="s">
        <v>1514</v>
      </c>
      <c r="AE269" s="215"/>
      <c r="AF269" s="215"/>
      <c r="AG269" s="215"/>
      <c r="AH269" s="215"/>
      <c r="AI269" s="215"/>
      <c r="AJ269" s="215"/>
      <c r="AK269" s="215"/>
      <c r="AL269" s="215"/>
      <c r="AM269" s="215"/>
      <c r="AN269" s="3536"/>
      <c r="AO269" s="3536"/>
      <c r="AP269" s="3536"/>
      <c r="AQ269" s="3536"/>
      <c r="AR269" s="3536"/>
      <c r="AS269" s="215"/>
      <c r="AT269" s="215"/>
      <c r="AU269" s="215"/>
      <c r="AV269" s="215"/>
      <c r="AW269" s="215"/>
      <c r="AX269" s="3536"/>
      <c r="AY269" s="3536"/>
      <c r="AZ269" s="3536"/>
      <c r="BA269" s="3536"/>
      <c r="BB269" s="3536"/>
      <c r="BC269" s="200"/>
      <c r="BD269" s="1459"/>
      <c r="BE269" s="1459"/>
      <c r="BF269" s="1034" t="s">
        <v>1718</v>
      </c>
    </row>
    <row s="1834" customFormat="1" customHeight="1" ht="0">
      <c r="A270" s="1459"/>
      <c r="B270" s="1416"/>
      <c r="C270" s="1459"/>
      <c r="D270" s="1459"/>
      <c r="E270" s="628">
        <v>15</v>
      </c>
      <c r="F270" s="50" cm="1" t="str">
        <f t="array" ref="F270:F270">OFFSET(E270,-1,1)</f>
        <v>4</v>
      </c>
      <c r="G270" s="104" t="s">
        <v>1719</v>
      </c>
      <c r="H270" s="1459"/>
      <c r="I270" s="1459"/>
      <c r="J270" s="1459"/>
      <c r="K270" s="1459"/>
      <c r="L270" s="1459"/>
      <c r="M270" s="1459"/>
      <c r="N270" s="1459"/>
      <c r="O270" s="1459"/>
      <c r="P270" s="1459"/>
      <c r="Q270" s="1459"/>
      <c r="R270" s="1459"/>
      <c r="S270" s="1459"/>
      <c r="T270" s="465" cm="1" t="str">
        <f t="array" ref="T270:T270">T269</f>
        <v>true</v>
      </c>
      <c r="U270" s="1459"/>
      <c r="V270" s="1459"/>
      <c r="W270" s="1459"/>
      <c r="X270" s="1596"/>
      <c r="Y270" s="1459"/>
      <c r="Z270" s="1597"/>
      <c r="AA270" s="1459"/>
      <c r="AB270" s="88" t="s">
        <v>1365</v>
      </c>
      <c r="AC270" s="214" t="s">
        <v>1638</v>
      </c>
      <c r="AD270" s="89" t="s">
        <v>1514</v>
      </c>
      <c r="AE270" s="215"/>
      <c r="AF270" s="215"/>
      <c r="AG270" s="215"/>
      <c r="AH270" s="215"/>
      <c r="AI270" s="215"/>
      <c r="AJ270" s="215"/>
      <c r="AK270" s="215"/>
      <c r="AL270" s="215"/>
      <c r="AM270" s="215"/>
      <c r="AN270" s="3536"/>
      <c r="AO270" s="3536"/>
      <c r="AP270" s="3536"/>
      <c r="AQ270" s="3536"/>
      <c r="AR270" s="3536"/>
      <c r="AS270" s="215"/>
      <c r="AT270" s="215"/>
      <c r="AU270" s="215"/>
      <c r="AV270" s="215"/>
      <c r="AW270" s="215"/>
      <c r="AX270" s="3536"/>
      <c r="AY270" s="3536"/>
      <c r="AZ270" s="3536"/>
      <c r="BA270" s="3536"/>
      <c r="BB270" s="3536"/>
      <c r="BC270" s="200"/>
      <c r="BD270" s="1459"/>
      <c r="BE270" s="1459"/>
      <c r="BF270" s="1034" t="s">
        <v>1720</v>
      </c>
    </row>
    <row s="1834" customFormat="1" customHeight="1" ht="0">
      <c r="A271" s="1459"/>
      <c r="B271" s="1416"/>
      <c r="C271" s="1459"/>
      <c r="D271" s="1459"/>
      <c r="E271" s="628">
        <v>15</v>
      </c>
      <c r="F271" s="50" cm="1" t="str">
        <f t="array" ref="F271:F271">OFFSET(E271,-1,1)</f>
        <v>4</v>
      </c>
      <c r="G271" s="104" t="s">
        <v>1721</v>
      </c>
      <c r="H271" s="1459"/>
      <c r="I271" s="1459"/>
      <c r="J271" s="1459"/>
      <c r="K271" s="1459"/>
      <c r="L271" s="1459"/>
      <c r="M271" s="1459"/>
      <c r="N271" s="1459"/>
      <c r="O271" s="1459"/>
      <c r="P271" s="1459"/>
      <c r="Q271" s="1459"/>
      <c r="R271" s="1459"/>
      <c r="S271" s="1459"/>
      <c r="T271" s="465" cm="1" t="str">
        <f t="array" ref="T271:T271">T270</f>
        <v>true</v>
      </c>
      <c r="U271" s="1459"/>
      <c r="V271" s="1459"/>
      <c r="W271" s="1459"/>
      <c r="X271" s="1596"/>
      <c r="Y271" s="1459"/>
      <c r="Z271" s="1597"/>
      <c r="AA271" s="1459"/>
      <c r="AB271" s="88" t="s">
        <v>1368</v>
      </c>
      <c r="AC271" s="214" t="s">
        <v>1642</v>
      </c>
      <c r="AD271" s="89" t="s">
        <v>1514</v>
      </c>
      <c r="AE271" s="215"/>
      <c r="AF271" s="215"/>
      <c r="AG271" s="215"/>
      <c r="AH271" s="215"/>
      <c r="AI271" s="215"/>
      <c r="AJ271" s="215"/>
      <c r="AK271" s="215"/>
      <c r="AL271" s="215"/>
      <c r="AM271" s="215"/>
      <c r="AN271" s="3536"/>
      <c r="AO271" s="3536"/>
      <c r="AP271" s="3536"/>
      <c r="AQ271" s="3536"/>
      <c r="AR271" s="3536"/>
      <c r="AS271" s="215"/>
      <c r="AT271" s="215"/>
      <c r="AU271" s="215"/>
      <c r="AV271" s="215"/>
      <c r="AW271" s="215"/>
      <c r="AX271" s="3536"/>
      <c r="AY271" s="3536"/>
      <c r="AZ271" s="3536"/>
      <c r="BA271" s="3536"/>
      <c r="BB271" s="3536"/>
      <c r="BC271" s="200"/>
      <c r="BD271" s="1459"/>
      <c r="BE271" s="1459"/>
      <c r="BF271" s="1034" t="s">
        <v>1722</v>
      </c>
    </row>
    <row customHeight="1" ht="10.725000000000001">
      <c r="E272" s="628">
        <v>11</v>
      </c>
      <c r="F272" s="349"/>
      <c r="U272" s="104" t="s">
        <v>178</v>
      </c>
      <c r="V272" s="140" t="s">
        <v>1724</v>
      </c>
      <c r="Z272" s="568"/>
      <c r="AA272" s="568"/>
      <c r="AB272" s="468"/>
      <c r="AC272" s="468"/>
      <c r="AD272" s="468"/>
      <c r="AE272" s="468"/>
      <c r="AF272" s="468"/>
      <c r="AG272" s="468"/>
      <c r="AH272" s="468"/>
      <c r="AI272" s="955"/>
      <c r="AJ272" s="955"/>
      <c r="AK272" s="955"/>
      <c r="AL272" s="955"/>
      <c r="AM272" s="955"/>
      <c r="AN272" s="955"/>
      <c r="AO272" s="955"/>
      <c r="AP272" s="955"/>
      <c r="AQ272" s="955"/>
      <c r="AR272" s="955"/>
      <c r="AS272" s="955"/>
      <c r="AT272" s="955"/>
      <c r="AU272" s="955"/>
      <c r="AV272" s="955"/>
      <c r="AW272" s="955"/>
      <c r="AX272" s="955"/>
      <c r="AY272" s="955"/>
      <c r="AZ272" s="955"/>
      <c r="BA272" s="955"/>
      <c r="BB272" s="955"/>
      <c r="BC272" s="955"/>
    </row>
    <row customHeight="1" ht="14.625">
      <c r="E273" s="628">
        <v>15</v>
      </c>
      <c r="AA273" s="98"/>
      <c r="AB273" s="1577" t="s">
        <v>407</v>
      </c>
      <c r="AC273" s="1577"/>
      <c r="AD273" s="1577"/>
      <c r="AE273" s="1577"/>
      <c r="AF273" s="1577"/>
      <c r="AG273" s="1577"/>
      <c r="AH273" s="1577"/>
      <c r="AI273" s="1598"/>
      <c r="AJ273" s="1598"/>
      <c r="AK273" s="1598"/>
      <c r="AL273" s="1598"/>
      <c r="AM273" s="1598"/>
      <c r="AN273" s="1598"/>
      <c r="AO273" s="1598"/>
      <c r="AP273" s="1598"/>
      <c r="AQ273" s="1598"/>
      <c r="AR273" s="1598"/>
      <c r="AS273" s="1598"/>
      <c r="AT273" s="1598"/>
      <c r="AU273" s="1598"/>
      <c r="AV273" s="1598"/>
      <c r="AW273" s="1598"/>
      <c r="AX273" s="1598"/>
      <c r="AY273" s="1598"/>
      <c r="AZ273" s="1598"/>
      <c r="BA273" s="1598"/>
      <c r="BB273" s="1598"/>
      <c r="BC273" s="1598"/>
      <c r="BD273" s="98"/>
    </row>
    <row customHeight="1" ht="54.75">
      <c r="E274" s="628">
        <v>15</v>
      </c>
      <c r="T274" s="489"/>
      <c r="AA274" s="173"/>
      <c r="AB274" s="1599" t="s">
        <v>1725</v>
      </c>
      <c r="AC274" s="1599"/>
      <c r="AD274" s="1599"/>
      <c r="AE274" s="1599"/>
      <c r="AF274" s="1599"/>
      <c r="AG274" s="1599"/>
      <c r="AH274" s="1599"/>
      <c r="AI274" s="3542"/>
      <c r="AJ274" s="3542"/>
      <c r="AK274" s="3542"/>
      <c r="AL274" s="3542"/>
      <c r="AM274" s="3542"/>
      <c r="AN274" s="3542"/>
      <c r="AO274" s="3542"/>
      <c r="AP274" s="3542"/>
      <c r="AQ274" s="3542"/>
      <c r="AR274" s="3542"/>
      <c r="AS274" s="3542"/>
      <c r="AT274" s="3542"/>
      <c r="AU274" s="3542"/>
      <c r="AV274" s="3542"/>
      <c r="AW274" s="3542"/>
      <c r="AX274" s="3542"/>
      <c r="AY274" s="3542"/>
      <c r="AZ274" s="3542"/>
      <c r="BA274" s="3542"/>
      <c r="BB274" s="3542"/>
      <c r="BC274" s="1600"/>
      <c r="BD274" s="98"/>
    </row>
    <row customHeight="1" ht="14.625" hidden="1">
      <c r="E275" s="619">
        <v>15</v>
      </c>
      <c r="T275" s="465">
        <f>ROW(W275)&gt;ROW(W$275)</f>
        <v>0</v>
      </c>
      <c r="W275" s="717" t="s">
        <v>174</v>
      </c>
      <c r="AA275" s="60" t="s">
        <v>175</v>
      </c>
      <c r="AB275" s="61" t="s">
        <v>227</v>
      </c>
      <c r="AC275" s="61"/>
      <c r="AD275" s="61"/>
      <c r="AE275" s="61"/>
      <c r="AF275" s="61"/>
      <c r="AG275" s="61"/>
      <c r="AH275" s="61"/>
      <c r="AI275" s="62"/>
      <c r="AJ275" s="62"/>
      <c r="AK275" s="62"/>
      <c r="AL275" s="62"/>
      <c r="AM275" s="62"/>
      <c r="AN275" s="62"/>
      <c r="AO275" s="62"/>
      <c r="AP275" s="62"/>
      <c r="AQ275" s="62"/>
      <c r="AR275" s="62"/>
      <c r="AS275" s="62"/>
      <c r="AT275" s="62"/>
      <c r="AU275" s="62"/>
      <c r="AV275" s="62"/>
      <c r="AW275" s="62"/>
      <c r="AX275" s="62"/>
      <c r="AY275" s="62"/>
      <c r="AZ275" s="62"/>
      <c r="BA275" s="62"/>
      <c r="BB275" s="62"/>
      <c r="BC275" s="62"/>
    </row>
    <row s="1834" customFormat="1" customHeight="1" ht="23.25">
      <c r="A276" s="1459"/>
      <c r="B276" s="1416"/>
      <c r="C276" s="1459"/>
      <c r="D276" s="1459"/>
      <c r="E276" s="619">
        <v>15</v>
      </c>
      <c r="F276" s="1459"/>
      <c r="G276" s="1459"/>
      <c r="H276" s="1459"/>
      <c r="I276" s="1459"/>
      <c r="J276" s="1459"/>
      <c r="K276" s="1459"/>
      <c r="L276" s="1459"/>
      <c r="M276" s="1459"/>
      <c r="N276" s="1459"/>
      <c r="O276" s="1459"/>
      <c r="P276" s="1459"/>
      <c r="Q276" s="1459"/>
      <c r="R276" s="1459"/>
      <c r="S276" s="1459"/>
      <c r="T276" s="465">
        <f>ROW(W276)&gt;ROW(W$275)</f>
        <v>1</v>
      </c>
      <c r="U276" s="1459"/>
      <c r="V276" s="1459"/>
      <c r="W276" s="717"/>
      <c r="X276" s="1459"/>
      <c r="Y276" s="1459" t="s">
        <v>227</v>
      </c>
      <c r="Z276" s="1459"/>
      <c r="AA276" s="60" t="s">
        <v>175</v>
      </c>
      <c r="AB276" s="3543" t="s">
        <v>1726</v>
      </c>
      <c r="AC276" s="61"/>
      <c r="AD276" s="61"/>
      <c r="AE276" s="61"/>
      <c r="AF276" s="61"/>
      <c r="AG276" s="61"/>
      <c r="AH276" s="61"/>
      <c r="AI276" s="62"/>
      <c r="AJ276" s="62"/>
      <c r="AK276" s="62"/>
      <c r="AL276" s="62"/>
      <c r="AM276" s="62"/>
      <c r="AN276" s="62"/>
      <c r="AO276" s="62"/>
      <c r="AP276" s="62"/>
      <c r="AQ276" s="62"/>
      <c r="AR276" s="62"/>
      <c r="AS276" s="62"/>
      <c r="AT276" s="62"/>
      <c r="AU276" s="62"/>
      <c r="AV276" s="62"/>
      <c r="AW276" s="62"/>
      <c r="AX276" s="62"/>
      <c r="AY276" s="62"/>
      <c r="AZ276" s="62"/>
      <c r="BA276" s="62"/>
      <c r="BB276" s="62"/>
      <c r="BC276" s="62"/>
      <c r="BD276" s="1459"/>
      <c r="BE276" s="1459"/>
      <c r="BF276" s="1424"/>
    </row>
    <row s="1834" customFormat="1" customHeight="1" ht="33.75">
      <c r="A277" s="1459"/>
      <c r="B277" s="1416"/>
      <c r="C277" s="1459"/>
      <c r="D277" s="1459"/>
      <c r="E277" s="619">
        <v>15</v>
      </c>
      <c r="F277" s="1459"/>
      <c r="G277" s="1459"/>
      <c r="H277" s="1459"/>
      <c r="I277" s="1459"/>
      <c r="J277" s="1459"/>
      <c r="K277" s="1459"/>
      <c r="L277" s="1459"/>
      <c r="M277" s="1459"/>
      <c r="N277" s="1459"/>
      <c r="O277" s="1459"/>
      <c r="P277" s="1459"/>
      <c r="Q277" s="1459"/>
      <c r="R277" s="1459"/>
      <c r="S277" s="1459"/>
      <c r="T277" s="465">
        <f>ROW(W277)&gt;ROW(W$275)</f>
        <v>1</v>
      </c>
      <c r="U277" s="1459"/>
      <c r="V277" s="1459"/>
      <c r="W277" s="717"/>
      <c r="X277" s="1459"/>
      <c r="Y277" s="1459" t="s">
        <v>227</v>
      </c>
      <c r="Z277" s="1459"/>
      <c r="AA277" s="60" t="s">
        <v>175</v>
      </c>
      <c r="AB277" s="3543" t="s">
        <v>1727</v>
      </c>
      <c r="AC277" s="61"/>
      <c r="AD277" s="61"/>
      <c r="AE277" s="61"/>
      <c r="AF277" s="61"/>
      <c r="AG277" s="61"/>
      <c r="AH277" s="61"/>
      <c r="AI277" s="62"/>
      <c r="AJ277" s="62"/>
      <c r="AK277" s="62"/>
      <c r="AL277" s="62"/>
      <c r="AM277" s="62"/>
      <c r="AN277" s="62"/>
      <c r="AO277" s="62"/>
      <c r="AP277" s="62"/>
      <c r="AQ277" s="62"/>
      <c r="AR277" s="62"/>
      <c r="AS277" s="62"/>
      <c r="AT277" s="62"/>
      <c r="AU277" s="62"/>
      <c r="AV277" s="62"/>
      <c r="AW277" s="62"/>
      <c r="AX277" s="62"/>
      <c r="AY277" s="62"/>
      <c r="AZ277" s="62"/>
      <c r="BA277" s="62"/>
      <c r="BB277" s="62"/>
      <c r="BC277" s="62"/>
      <c r="BD277" s="1459"/>
      <c r="BE277" s="1459"/>
      <c r="BF277" s="1424"/>
    </row>
    <row s="1834" customFormat="1" customHeight="1" ht="23.25">
      <c r="A278" s="1459"/>
      <c r="B278" s="1416"/>
      <c r="C278" s="1459"/>
      <c r="D278" s="1459"/>
      <c r="E278" s="619">
        <v>15</v>
      </c>
      <c r="F278" s="1459"/>
      <c r="G278" s="1459"/>
      <c r="H278" s="1459"/>
      <c r="I278" s="1459"/>
      <c r="J278" s="1459"/>
      <c r="K278" s="1459"/>
      <c r="L278" s="1459"/>
      <c r="M278" s="1459"/>
      <c r="N278" s="1459"/>
      <c r="O278" s="1459"/>
      <c r="P278" s="1459"/>
      <c r="Q278" s="1459"/>
      <c r="R278" s="1459"/>
      <c r="S278" s="1459"/>
      <c r="T278" s="465">
        <f>ROW(W278)&gt;ROW(W$275)</f>
        <v>1</v>
      </c>
      <c r="U278" s="1459"/>
      <c r="V278" s="1459"/>
      <c r="W278" s="717"/>
      <c r="X278" s="1459"/>
      <c r="Y278" s="1459" t="s">
        <v>227</v>
      </c>
      <c r="Z278" s="1459"/>
      <c r="AA278" s="60" t="s">
        <v>175</v>
      </c>
      <c r="AB278" s="3543" t="s">
        <v>1569</v>
      </c>
      <c r="AC278" s="61"/>
      <c r="AD278" s="61"/>
      <c r="AE278" s="61"/>
      <c r="AF278" s="61"/>
      <c r="AG278" s="61"/>
      <c r="AH278" s="61"/>
      <c r="AI278" s="62"/>
      <c r="AJ278" s="62"/>
      <c r="AK278" s="62"/>
      <c r="AL278" s="62"/>
      <c r="AM278" s="62"/>
      <c r="AN278" s="62"/>
      <c r="AO278" s="62"/>
      <c r="AP278" s="62"/>
      <c r="AQ278" s="62"/>
      <c r="AR278" s="62"/>
      <c r="AS278" s="62"/>
      <c r="AT278" s="62"/>
      <c r="AU278" s="62"/>
      <c r="AV278" s="62"/>
      <c r="AW278" s="62"/>
      <c r="AX278" s="62"/>
      <c r="AY278" s="62"/>
      <c r="AZ278" s="62"/>
      <c r="BA278" s="62"/>
      <c r="BB278" s="62"/>
      <c r="BC278" s="62"/>
      <c r="BD278" s="1459"/>
      <c r="BE278" s="1459"/>
      <c r="BF278" s="1424"/>
    </row>
    <row customHeight="1" ht="14.625">
      <c r="E279" s="628">
        <v>15</v>
      </c>
      <c r="W279" s="757" t="s">
        <v>408</v>
      </c>
      <c r="AA279" s="98"/>
      <c r="AB279" s="647"/>
      <c r="AC279" s="514" t="s">
        <v>409</v>
      </c>
      <c r="AD279" s="310"/>
      <c r="AE279" s="310"/>
      <c r="AF279" s="311"/>
      <c r="AG279" s="311"/>
      <c r="AH279" s="311"/>
      <c r="AI279" s="311"/>
      <c r="AJ279" s="311"/>
      <c r="AK279" s="311"/>
      <c r="AL279" s="311"/>
      <c r="AM279" s="311"/>
      <c r="AN279" s="311"/>
      <c r="AO279" s="311"/>
      <c r="AP279" s="311"/>
      <c r="AQ279" s="311"/>
      <c r="AR279" s="311"/>
      <c r="AS279" s="311"/>
      <c r="AT279" s="311"/>
      <c r="AU279" s="311"/>
      <c r="AV279" s="311"/>
      <c r="AW279" s="311"/>
      <c r="AX279" s="311"/>
      <c r="AY279" s="311"/>
      <c r="AZ279" s="311"/>
      <c r="BA279" s="311"/>
      <c r="BB279" s="311"/>
      <c r="BC279" s="312"/>
      <c r="BD279" s="98"/>
    </row>
    <row customHeight="1" ht="10.96875">
      <c r="E280" s="628">
        <v>11.25</v>
      </c>
      <c r="AI280" s="1597"/>
      <c r="AJ280" s="1597"/>
      <c r="AK280" s="1597"/>
      <c r="AL280" s="1597"/>
      <c r="AM280" s="1597"/>
      <c r="AN280" s="1597"/>
      <c r="AO280" s="1597"/>
      <c r="AP280" s="1597"/>
      <c r="AQ280" s="1597"/>
      <c r="AR280" s="1597"/>
      <c r="AS280" s="1597"/>
      <c r="AT280" s="1597"/>
      <c r="AU280" s="1597"/>
      <c r="AV280" s="1597"/>
      <c r="AW280" s="1597"/>
      <c r="AX280" s="1597"/>
      <c r="AY280" s="1597"/>
      <c r="AZ280" s="1597"/>
      <c r="BA280" s="1597"/>
      <c r="BB280" s="1597"/>
      <c r="BD280" s="426"/>
    </row>
  </sheetData>
  <sheetProtection formatColumns="0" formatRows="0" insertRows="0" deleteColumns="0" deleteRows="0" sort="0" autoFilter="0" insertColumns="1"/>
  <mergeCells count="21">
    <mergeCell ref="AB23:BB23"/>
    <mergeCell ref="AB24:AB25"/>
    <mergeCell ref="AC24:AC25"/>
    <mergeCell ref="AD24:AD25"/>
    <mergeCell ref="BC24:BC25"/>
    <mergeCell ref="AB275:BC275"/>
    <mergeCell ref="X27:X75"/>
    <mergeCell ref="Z27:Z75"/>
    <mergeCell ref="AB274:BC274"/>
    <mergeCell ref="AB273:BC273"/>
    <mergeCell ref="X76:X124"/>
    <mergeCell ref="Z76:Z124"/>
    <mergeCell ref="X125:X173"/>
    <mergeCell ref="Z125:Z173"/>
    <mergeCell ref="X174:X222"/>
    <mergeCell ref="Z174:Z222"/>
    <mergeCell ref="X223:X271"/>
    <mergeCell ref="Z223:Z271"/>
    <mergeCell ref="AB276:BC276"/>
    <mergeCell ref="AB277:BC277"/>
    <mergeCell ref="AB278:BC278"/>
  </mergeCells>
  <dataValidations count="1">
    <dataValidation type="decimal" allowBlank="1" showErrorMessage="1" errorTitle="Ошибка" error="Допускается ввод только неотрицательных чисел!" sqref="AE59:BB63 BB71:BB75 BB78:BB82 BB84:BB88 BB90:BB94 BB96:BB100 BB102:BB106 BB108:BB112 BB114:BB118 BB120:BB124 BB127:BB131 BB133:BB137 BB139:BB143 BB145:BB149 BB151:BB155 BB157:BB161 BB163:BB167 BB169:BB173 BB176:BB180 BB182:BB186 BB188:BB192 BB194:BB198 BB200:BB204 BB206:BB210 BB212:BB216 BB218:BB222 BB225:BB229 BB231:BB235 BB237:BB241 BB243:BB247 BB249:BB253 BB255:BB259 BB261:BB265 BB267:BB272 BA71:BA75 BA78:BA82 BA84:BA88 BA90:BA94 BA96:BA100 BA102:BA106 BA108:BA112 BA114:BA118 BA120:BA124 BA127:BA131 BA133:BA137 BA139:BA143 BA145:BA149 BA151:BA155 BA157:BA161 BA163:BA167 BA169:BA173 BA176:BA180 BA182:BA186 BA188:BA192 BA194:BA198 BA200:BA204 BA206:BA210 BA212:BA216 BA218:BA222 BA225:BA229 BA231:BA235 BA237:BA241 BA243:BA247 BA249:BA253 BA255:BA259 BA261:BA265 BA267:BA272 AZ71:AZ75 AZ78:AZ82 AZ84:AZ88 AZ90:AZ94 AZ96:AZ100 AZ102:AZ106 AZ108:AZ112 AZ114:AZ118 AZ120:AZ124 AZ127:AZ131 AZ133:AZ137 AZ139:AZ143 AZ145:AZ149 AZ151:AZ155 AZ157:AZ161 AZ163:AZ167 AZ169:AZ173 AZ176:AZ180 AZ182:AZ186 AZ188:AZ192 AZ194:AZ198 AZ200:AZ204 AZ206:AZ210 AZ212:AZ216 AZ218:AZ222 AZ225:AZ229 AZ231:AZ235 AZ237:AZ241 AZ243:AZ247 AZ249:AZ253 AZ255:AZ259 AZ261:AZ265 AZ267:AZ272 AY71:AY75 AY78:AY82 AY84:AY88 AY90:AY94 AY96:AY100 AY102:AY106 AY108:AY112 AY114:AY118 AY120:AY124 AY127:AY131 AY133:AY137 AY139:AY143 AY145:AY149 AY151:AY155 AY157:AY161 AY163:AY167 AY169:AY173 AY176:AY180 AY182:AY186 AY188:AY192 AY194:AY198 AY200:AY204 AY206:AY210 AY212:AY216 AY218:AY222 AY225:AY229 AY231:AY235 AY237:AY241 AY243:AY247 AY249:AY253 AY255:AY259 AY261:AY265 AY267:AY272 AX71:AX75 AX78:AX82 AX84:AX88 AX90:AX94 AX96:AX100 AX102:AX106 AX108:AX112 AX114:AX118 AX120:AX124 AX127:AX131 AX133:AX137 AX139:AX143 AX145:AX149 AX151:AX155 AX157:AX161 AX163:AX167 AX169:AX173 AX176:AX180 AX182:AX186 AX188:AX192 AX194:AX198 AX200:AX204 AX206:AX210 AX212:AX216 AX218:AX222 AX225:AX229 AX231:AX235 AX237:AX241 AX243:AX247 AX249:AX253 AX255:AX259 AX261:AX265 AX267:AX272 AW71:AW75 AW78:AW82 AW84:AW88 AW90:AW94 AW96:AW100 AW102:AW106 AW108:AW112 AW114:AW118 AW120:AW124 AW127:AW131 AW133:AW137 AW139:AW143 AW145:AW149 AW151:AW155 AW157:AW161 AW163:AW167 AW169:AW173 AW176:AW180 AW182:AW186 AW188:AW192 AW194:AW198 AW200:AW204 AW206:AW210 AW212:AW216 AW218:AW222 AW225:AW229 AW231:AW235 AW237:AW241 AW243:AW247 AW249:AW253 AW255:AW259 AW261:AW265 AW267:AW272 AV71:AV75 AV78:AV82 AV84:AV88 AV90:AV94 AV96:AV100 AV102:AV106 AV108:AV112 AV114:AV118 AV120:AV124 AV127:AV131 AV133:AV137 AV139:AV143 AV145:AV149 AV151:AV155 AV157:AV161 AV163:AV167 AV169:AV173 AV176:AV180 AV182:AV186 AV188:AV192 AV194:AV198 AV200:AV204 AV206:AV210 AV212:AV216 AV218:AV222 AV225:AV229 AV231:AV235 AV237:AV241 AV243:AV247 AV249:AV253 AV255:AV259 AV261:AV265 AV267:AV272 AU71:AU75 AU78:AU82 AU84:AU88 AU90:AU94 AU96:AU100 AU102:AU106 AU108:AU112 AU114:AU118 AU120:AU124 AU127:AU131 AU133:AU137 AU139:AU143 AU145:AU149 AU151:AU155 AU157:AU161 AU163:AU167 AU169:AU173 AU176:AU180 AU182:AU186 AU188:AU192 AU194:AU198 AU200:AU204 AU206:AU210 AU212:AU216 AU218:AU222 AU225:AU229 AU231:AU235 AU237:AU241 AU243:AU247 AU249:AU253 AU255:AU259 AU261:AU265 AU267:AU272 AT71:AT75 AT78:AT82 AT84:AT88 AT90:AT94 AT96:AT100 AT102:AT106 AT108:AT112 AT114:AT118 AT120:AT124 AT127:AT131 AT133:AT137 AT139:AT143 AT145:AT149 AT151:AT155 AT157:AT161 AT163:AT167 AT169:AT173 AT176:AT180 AT182:AT186 AT188:AT192 AT194:AT198 AT200:AT204 AT206:AT210 AT212:AT216 AT218:AT222 AT225:AT229 AT231:AT235 AT237:AT241 AT243:AT247 AT249:AT253 AT255:AT259 AT261:AT265 AT267:AT272 AS71:AS75 AS78:AS82 AS84:AS88 AS90:AS94 AS96:AS100 AS102:AS106 AS108:AS112 AS114:AS118 AS120:AS124 AS127:AS131 AS133:AS137 AS139:AS143 AS145:AS149 AS151:AS155 AS157:AS161 AS163:AS167 AS169:AS173 AS176:AS180 AS182:AS186 AS188:AS192 AS194:AS198 AS200:AS204 AS206:AS210 AS212:AS216 AS218:AS222 AS225:AS229 AS231:AS235 AS237:AS241 AS243:AS247 AS249:AS253 AS255:AS259 AS261:AS265 AS267:AS272 AR71:AR75 AR78:AR82 AR84:AR88 AR90:AR94 AR96:AR100 AR102:AR106 AR108:AR112 AR114:AR118 AR120:AR124 AR127:AR131 AR133:AR137 AR139:AR143 AR145:AR149 AR151:AR155 AR157:AR161 AR163:AR167 AR169:AR173 AR176:AR180 AR182:AR186 AR188:AR192 AR194:AR198 AR200:AR204 AR206:AR210 AR212:AR216 AR218:AR222 AR225:AR229 AR231:AR235 AR237:AR241 AR243:AR247 AR249:AR253 AR255:AR259 AR261:AR265 AR267:AR272 AQ71:AQ75 AQ78:AQ82 AQ84:AQ88 AQ90:AQ94 AQ96:AQ100 AQ102:AQ106 AQ108:AQ112 AQ114:AQ118 AQ120:AQ124 AQ127:AQ131 AQ133:AQ137 AQ139:AQ143 AQ145:AQ149 AQ151:AQ155 AQ157:AQ161 AQ163:AQ167 AQ169:AQ173 AQ176:AQ180 AQ182:AQ186 AQ188:AQ192 AQ194:AQ198 AQ200:AQ204 AQ206:AQ210 AQ212:AQ216 AQ218:AQ222 AQ225:AQ229 AQ231:AQ235 AQ237:AQ241 AQ243:AQ247 AQ249:AQ253 AQ255:AQ259 AQ261:AQ265 AQ267:AQ272 AP71:AP75 AP78:AP82 AP84:AP88 AP90:AP94 AP96:AP100 AP102:AP106 AP108:AP112 AP114:AP118 AP120:AP124 AP127:AP131 AP133:AP137 AP139:AP143 AP145:AP149 AP151:AP155 AP157:AP161 AP163:AP167 AP169:AP173 AP176:AP180 AP182:AP186 AP188:AP192 AP194:AP198 AP200:AP204 AP206:AP210 AP212:AP216 AP218:AP222 AP225:AP229 AP231:AP235 AP237:AP241 AP243:AP247 AP249:AP253 AP255:AP259 AP261:AP265 AP267:AP272 AO71:AO75 AO78:AO82 AO84:AO88 AO90:AO94 AO96:AO100 AO102:AO106 AO108:AO112 AO114:AO118 AO120:AO124 AO127:AO131 AO133:AO137 AO139:AO143 AO145:AO149 AO151:AO155 AO157:AO161 AO163:AO167 AO169:AO173 AO176:AO180 AO182:AO186 AO188:AO192 AO194:AO198 AO200:AO204 AO206:AO210 AO212:AO216 AO218:AO222 AO225:AO229 AO231:AO235 AO237:AO241 AO243:AO247 AO249:AO253 AO255:AO259 AO261:AO265 AO267:AO272 AN71:AN75 AN78:AN82 AN84:AN88 AN90:AN94 AN96:AN100 AN102:AN106 AN108:AN112 AN114:AN118 AN120:AN124 AN127:AN131 AN133:AN137 AN139:AN143 AN145:AN149 AN151:AN155 AN157:AN161 AN163:AN167 AN169:AN173 AN176:AN180 AN182:AN186 AN188:AN192 AN194:AN198 AN200:AN204 AN206:AN210 AN212:AN216 AN218:AN222 AN225:AN229 AN231:AN235 AN237:AN241 AN243:AN247 AN249:AN253 AN255:AN259 AN261:AN265 AN267:AN272 AM71:AM75 AM78:AM82 AM84:AM88 AM90:AM94 AM96:AM100 AM102:AM106 AM108:AM112 AM114:AM118 AM120:AM124 AM127:AM131 AM133:AM137 AM139:AM143 AM145:AM149 AM151:AM155 AM157:AM161 AM163:AM167 AM169:AM173 AM176:AM180 AM182:AM186 AM188:AM192 AM194:AM198 AM200:AM204 AM206:AM210 AM212:AM216 AM218:AM222 AM225:AM229 AM231:AM235 AM237:AM241 AM243:AM247 AM249:AM253 AM255:AM259 AM261:AM265 AM267:AM272 AL71:AL75 AL78:AL82 AL84:AL88 AL90:AL94 AL96:AL100 AL102:AL106 AL108:AL112 AL114:AL118 AL120:AL124 AL127:AL131 AL133:AL137 AL139:AL143 AL145:AL149 AL151:AL155 AL157:AL161 AL163:AL167 AL169:AL173 AL176:AL180 AL182:AL186 AL188:AL192 AL194:AL198 AL200:AL204 AL206:AL210 AL212:AL216 AL218:AL222 AL225:AL229 AL231:AL235 AL237:AL241 AL243:AL247 AL249:AL253 AL255:AL259 AL261:AL265 AL267:AL272 AK71:AK75 AK78:AK82 AK84:AK88 AK90:AK94 AK96:AK100 AK102:AK106 AK108:AK112 AK114:AK118 AK120:AK124 AK127:AK131 AK133:AK137 AK139:AK143 AK145:AK149 AK151:AK155 AK157:AK161 AK163:AK167 AK169:AK173 AK176:AK180 AK182:AK186 AK188:AK192 AK194:AK198 AK200:AK204 AK206:AK210 AK212:AK216 AK218:AK222 AK225:AK229 AK231:AK235 AK237:AK241 AK243:AK247 AK249:AK253 AK255:AK259 AK261:AK265 AK267:AK272 AJ71:AJ75 AJ78:AJ82 AJ84:AJ88 AJ90:AJ94 AJ96:AJ100 AJ102:AJ106 AJ108:AJ112 AJ114:AJ118 AJ120:AJ124 AJ127:AJ131 AJ133:AJ137 AJ139:AJ143 AJ145:AJ149 AJ151:AJ155 AJ157:AJ161 AJ163:AJ167 AJ169:AJ173 AJ176:AJ180 AJ182:AJ186 AJ188:AJ192 AJ194:AJ198 AJ200:AJ204 AJ206:AJ210 AJ212:AJ216 AJ218:AJ222 AJ225:AJ229 AJ231:AJ235 AJ237:AJ241 AJ243:AJ247 AJ249:AJ253 AJ255:AJ259 AJ261:AJ265 AJ267:AJ272 AI71:AI75 AI78:AI82 AI84:AI88 AI90:AI94 AI96:AI100 AI102:AI106 AI108:AI112 AI114:AI118 AI120:AI124 AI127:AI131 AI133:AI137 AI139:AI143 AI145:AI149 AI151:AI155 AI157:AI161 AI163:AI167 AI169:AI173 AI176:AI180 AI182:AI186 AI188:AI192 AI194:AI198 AI200:AI204 AI206:AI210 AI212:AI216 AI218:AI222 AI225:AI229 AI231:AI235 AI237:AI241 AI243:AI247 AI249:AI253 AI255:AI259 AI261:AI265 AI267:AI272 AH71:AH75 AH78:AH82 AH84:AH88 AH90:AH94 AH96:AH100 AH102:AH106 AH108:AH112 AH114:AH118 AH120:AH124 AH127:AH131 AH133:AH137 AH139:AH143 AH145:AH149 AH151:AH155 AH157:AH161 AH163:AH167 AH169:AH173 AH176:AH180 AH182:AH186 AH188:AH192 AH194:AH198 AH200:AH204 AH206:AH210 AH212:AH216 AH218:AH222 AH225:AH229 AH231:AH235 AH237:AH241 AH243:AH247 AH249:AH253 AH255:AH259 AH261:AH265 AH267:AH272 AG71:AG75 AG78:AG82 AG84:AG88 AG90:AG94 AG96:AG100 AG102:AG106 AG108:AG112 AG114:AG118 AG120:AG124 AG127:AG131 AG133:AG137 AG139:AG143 AG145:AG149 AG151:AG155 AG157:AG161 AG163:AG167 AG169:AG173 AG176:AG180 AG182:AG186 AG188:AG192 AG194:AG198 AG200:AG204 AG206:AG210 AG212:AG216 AG218:AG222 AG225:AG229 AG231:AG235 AG237:AG241 AG243:AG247 AG249:AG253 AG255:AG259 AG261:AG265 AG267:AG272 AF71:AF75 AF78:AF82 AF84:AF88 AF90:AF94 AF96:AF100 AF102:AF106 AF108:AF112 AF114:AF118 AF120:AF124 AF127:AF131 AF133:AF137 AF139:AF143 AF145:AF149 AF151:AF155 AF157:AF161 AF163:AF167 AF169:AF173 AF176:AF180 AF182:AF186 AF188:AF192 AF194:AF198 AF200:AF204 AF206:AF210 AF212:AF216 AF218:AF222 AF225:AF229 AF231:AF235 AF237:AF241 AF243:AF247 AF249:AF253 AF255:AF259 AF261:AF265 AF267:AF272 AE71:AE75 AE78:AE82 AE84:AE88 AE90:AE94 AE96:AE100 AE102:AE106 AE108:AE112 AE114:AE118 AE120:AE124 AE127:AE131 AE133:AE137 AE139:AE143 AE145:AE149 AE151:AE155 AE157:AE161 AE163:AE167 AE169:AE173 AE176:AE180 AE182:AE186 AE188:AE192 AE194:AE198 AE200:AE204 AE206:AE210 AE212:AE216 AE218:AE222 AE225:AE229 AE231:AE235 AE237:AE241 AE243:AE247 AE249:AE253 AE255:AE259 AE261:AE265 AE267:AE272 AE53:BB57 AE47:BB51 AE41:BB45 AE35:BB39 AE29:BB33 AE65:BB69">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529C87-43C7-1158-3122-D02F20F55718}" mc:Ignorable="x14ac xr xr2 xr3">
  <sheetPr>
    <tabColor rgb="FF002060"/>
    <outlinePr summaryRight="0" summaryBelow="0"/>
    <pageSetUpPr fitToPage="1"/>
  </sheetPr>
  <dimension ref="A1:BF85"/>
  <sheetViews>
    <sheetView showGridLines="0" workbookViewId="0">
      <pane xSplit="30" ySplit="25" topLeftCell="AI64" activePane="bottomRight" state="frozen"/>
      <selection pane="bottomLeft" activeCell="A26" sqref="A26"/>
      <selection pane="topRight" activeCell="AE1" sqref="AE1"/>
      <selection pane="bottomRight" activeCell="AB79" sqref="AB79:BC79"/>
    </sheetView>
  </sheetViews>
  <sheetFormatPr defaultColWidth="9.140625" customHeight="1" defaultRowHeight="11.25"/>
  <cols>
    <col min="1" max="1" style="1758" width="3.57421875" hidden="1" customWidth="1"/>
    <col min="2" max="2" style="1416" width="4.8515625" hidden="1" customWidth="1"/>
    <col min="3" max="3" style="1758" width="3.57421875" hidden="1" customWidth="1"/>
    <col min="4" max="4" style="1758" width="7.140625" hidden="1" customWidth="1"/>
    <col min="5" max="5" style="1757" width="3.57421875" hidden="1" customWidth="1"/>
    <col min="6" max="19" style="1758" width="3.57421875" hidden="1" customWidth="1"/>
    <col min="20" max="20" style="1758" width="8.421875" hidden="1" customWidth="1"/>
    <col min="21" max="21" style="1758" width="5.8515625" hidden="1" customWidth="1"/>
    <col min="22" max="23" style="1758" width="6.140625" hidden="1" customWidth="1"/>
    <col min="24" max="25" style="1758" width="5.57421875" hidden="1" customWidth="1"/>
    <col min="26" max="26" style="1758" width="5.28125" hidden="1" customWidth="1"/>
    <col min="27" max="27" style="1758" width="3.00390625" customWidth="1"/>
    <col min="28" max="28" style="1758" width="11.00390625" customWidth="1"/>
    <col min="29" max="29" style="1758" width="35.00390625" customWidth="1"/>
    <col min="30" max="30" style="1758" width="12.00390625" customWidth="1"/>
    <col min="31" max="31" style="1546" width="0" customWidth="1"/>
    <col min="32" max="34" style="1758" width="0" customWidth="1"/>
    <col min="35" max="39" style="1758" width="10.421875" customWidth="1"/>
    <col min="40" max="44" style="1758" width="10.421875" hidden="1" customWidth="1"/>
    <col min="45" max="49" style="1758" width="10.421875" customWidth="1"/>
    <col min="50" max="54" style="1758" width="13.00390625" hidden="1" customWidth="1"/>
    <col min="55" max="55" style="1758" width="47.7109375" customWidth="1"/>
    <col min="56" max="56" style="1758" width="3.00390625" customWidth="1"/>
    <col min="57" max="57" style="1758" width="9.140625" hidden="1"/>
    <col min="58" max="58" style="1764" width="9.140625" hidden="1"/>
  </cols>
  <sheetData>
    <row customHeight="1" ht="11.25" hidden="1">
      <c r="E1" s="149"/>
      <c r="F1" s="149" t="s">
        <v>321</v>
      </c>
      <c r="H1" s="149" t="s">
        <v>331</v>
      </c>
      <c r="T1" s="465" t="s">
        <v>93</v>
      </c>
      <c r="U1" s="465" t="s">
        <v>98</v>
      </c>
      <c r="V1" s="465" t="s">
        <v>94</v>
      </c>
      <c r="W1" s="465" t="s">
        <v>95</v>
      </c>
      <c r="X1" s="465" t="s">
        <v>96</v>
      </c>
      <c r="Y1" s="467" t="s">
        <v>323</v>
      </c>
      <c r="Z1" s="465" t="s">
        <v>100</v>
      </c>
      <c r="AA1" s="466" t="s">
        <v>97</v>
      </c>
      <c r="AB1" s="85"/>
      <c r="AC1" s="466" t="s">
        <v>99</v>
      </c>
      <c r="AI1" s="1758"/>
      <c r="AJ1" s="1758"/>
      <c r="AK1" s="1758"/>
      <c r="AL1" s="1758"/>
      <c r="AM1" s="1758"/>
      <c r="AN1" s="1758"/>
      <c r="AO1" s="1758"/>
      <c r="AP1" s="1758"/>
      <c r="AQ1" s="1758"/>
      <c r="AR1" s="1758"/>
      <c r="AS1" s="1758"/>
      <c r="AT1" s="1758"/>
      <c r="AU1" s="1758"/>
      <c r="AV1" s="1758"/>
      <c r="AW1" s="1758"/>
      <c r="AX1" s="1758"/>
      <c r="AY1" s="1758"/>
      <c r="AZ1" s="1758"/>
      <c r="BA1" s="1758"/>
      <c r="BB1" s="1758"/>
      <c r="BF1" s="1038" t="s">
        <v>324</v>
      </c>
    </row>
    <row s="1416" customFormat="1" customHeight="1" ht="11.25" hidden="1">
      <c r="B2" s="447" t="s">
        <v>19</v>
      </c>
      <c r="AF2" s="1372" cm="1" t="str">
        <f t="array" ref="AF2:AF2">isOrgDeclare</f>
        <v>true</v>
      </c>
      <c r="AI2" s="446">
        <f>AND(AI6&lt;=last_year_vis,isOrgDeclare)</f>
        <v>1</v>
      </c>
      <c r="AJ2" s="446">
        <f>AND(AJ6&lt;=last_year_vis,isOrgDeclare)</f>
        <v>1</v>
      </c>
      <c r="AK2" s="446">
        <f>AND(AK6&lt;=last_year_vis,isOrgDeclare)</f>
        <v>1</v>
      </c>
      <c r="AL2" s="446">
        <f>AND(AL6&lt;=last_year_vis,isOrgDeclare)</f>
        <v>1</v>
      </c>
      <c r="AM2" s="446">
        <f>AND(AM6&lt;=last_year_vis,isOrgDeclare)</f>
        <v>1</v>
      </c>
      <c r="AN2" s="446">
        <f>AND(AN6&lt;=last_year_vis,isOrgDeclare)</f>
        <v>0</v>
      </c>
      <c r="AO2" s="446">
        <f>AND(AO6&lt;=last_year_vis,isOrgDeclare)</f>
        <v>0</v>
      </c>
      <c r="AP2" s="446">
        <f>AND(AP6&lt;=last_year_vis,isOrgDeclare)</f>
        <v>0</v>
      </c>
      <c r="AQ2" s="446">
        <f>AND(AQ6&lt;=last_year_vis,isOrgDeclare)</f>
        <v>0</v>
      </c>
      <c r="AR2" s="446">
        <f>AND(AR6&lt;=last_year_vis,isOrgDeclare)</f>
        <v>0</v>
      </c>
      <c r="AS2" s="446">
        <f>AS6&lt;=last_year_vis</f>
        <v>1</v>
      </c>
      <c r="AT2" s="446">
        <f>AT6&lt;=last_year_vis</f>
        <v>1</v>
      </c>
      <c r="AU2" s="446">
        <f>AU6&lt;=last_year_vis</f>
        <v>1</v>
      </c>
      <c r="AV2" s="446">
        <f>AV6&lt;=last_year_vis</f>
        <v>1</v>
      </c>
      <c r="AW2" s="446">
        <f>AW6&lt;=last_year_vis</f>
        <v>1</v>
      </c>
      <c r="AX2" s="446">
        <f>AX6&lt;=last_year_vis</f>
        <v>0</v>
      </c>
      <c r="AY2" s="446">
        <f>AY6&lt;=last_year_vis</f>
        <v>0</v>
      </c>
      <c r="AZ2" s="446">
        <f>AZ6&lt;=last_year_vis</f>
        <v>0</v>
      </c>
      <c r="BA2" s="446">
        <f>BA6&lt;=last_year_vis</f>
        <v>0</v>
      </c>
      <c r="BB2" s="446">
        <f>BB6&lt;=last_year_vis</f>
        <v>0</v>
      </c>
      <c r="BF2" s="1037"/>
    </row>
    <row customHeight="1" ht="11.25" hidden="1">
      <c r="E3" s="149"/>
      <c r="AI3" s="495"/>
      <c r="AJ3" s="495"/>
      <c r="AK3" s="495"/>
      <c r="AL3" s="495"/>
      <c r="AM3" s="495"/>
      <c r="AN3" s="495"/>
      <c r="AO3" s="495"/>
      <c r="AP3" s="495"/>
      <c r="AQ3" s="495"/>
      <c r="AR3" s="495"/>
      <c r="AS3" s="495"/>
      <c r="AT3" s="495"/>
      <c r="AU3" s="495"/>
      <c r="AV3" s="495"/>
      <c r="AW3" s="495"/>
      <c r="AX3" s="495"/>
      <c r="AY3" s="495"/>
      <c r="AZ3" s="495"/>
      <c r="BA3" s="495"/>
      <c r="BB3" s="495"/>
    </row>
    <row customHeight="1" ht="11.25" hidden="1">
      <c r="E4" s="149"/>
      <c r="AI4" s="1758"/>
      <c r="AJ4" s="1758"/>
      <c r="AK4" s="1758"/>
      <c r="AL4" s="1758"/>
      <c r="AM4" s="1758"/>
      <c r="AN4" s="1758"/>
      <c r="AO4" s="1758"/>
      <c r="AP4" s="1758"/>
      <c r="AQ4" s="1758"/>
      <c r="AR4" s="1758"/>
      <c r="AS4" s="1758"/>
      <c r="AT4" s="1758"/>
      <c r="AU4" s="1758"/>
      <c r="AV4" s="1758"/>
      <c r="AW4" s="1758"/>
      <c r="AX4" s="1758"/>
      <c r="AY4" s="1758"/>
      <c r="AZ4" s="1758"/>
      <c r="BA4" s="1758"/>
      <c r="BB4" s="1758"/>
    </row>
    <row s="1757" customFormat="1" customHeight="1" ht="11.25" hidden="1">
      <c r="A5" s="149"/>
      <c r="B5" s="442"/>
      <c r="C5" s="149"/>
      <c r="D5" s="149"/>
      <c r="E5" s="676" t="s">
        <v>20</v>
      </c>
      <c r="AA5" s="676">
        <v>3</v>
      </c>
      <c r="AB5" s="676">
        <v>11</v>
      </c>
      <c r="AC5" s="676">
        <v>35</v>
      </c>
      <c r="AD5" s="676">
        <v>12</v>
      </c>
      <c r="AE5" s="677">
        <v>13</v>
      </c>
      <c r="AF5" s="676">
        <v>13</v>
      </c>
      <c r="AG5" s="676">
        <v>13</v>
      </c>
      <c r="AH5" s="676">
        <v>13</v>
      </c>
      <c r="AI5" s="676">
        <v>13</v>
      </c>
      <c r="AJ5" s="676">
        <v>13</v>
      </c>
      <c r="AK5" s="676">
        <v>13</v>
      </c>
      <c r="AL5" s="676">
        <v>13</v>
      </c>
      <c r="AM5" s="676">
        <v>13</v>
      </c>
      <c r="AN5" s="676">
        <v>13</v>
      </c>
      <c r="AO5" s="676">
        <v>13</v>
      </c>
      <c r="AP5" s="676">
        <v>13</v>
      </c>
      <c r="AQ5" s="676">
        <v>13</v>
      </c>
      <c r="AR5" s="676">
        <v>13</v>
      </c>
      <c r="AS5" s="676">
        <v>13</v>
      </c>
      <c r="AT5" s="676">
        <v>13</v>
      </c>
      <c r="AU5" s="676">
        <v>13</v>
      </c>
      <c r="AV5" s="676">
        <v>13</v>
      </c>
      <c r="AW5" s="676">
        <v>13</v>
      </c>
      <c r="AX5" s="676">
        <v>13</v>
      </c>
      <c r="AY5" s="676">
        <v>13</v>
      </c>
      <c r="AZ5" s="676">
        <v>13</v>
      </c>
      <c r="BA5" s="676">
        <v>13</v>
      </c>
      <c r="BB5" s="676">
        <v>13</v>
      </c>
      <c r="BC5" s="676">
        <v>20</v>
      </c>
      <c r="BD5" s="676">
        <v>3</v>
      </c>
      <c r="BF5" s="1038"/>
    </row>
    <row customHeight="1" ht="11.25" hidden="1">
      <c r="A6" s="149" t="s">
        <v>360</v>
      </c>
      <c r="AE6" s="376">
        <f>god-2</f>
        <v>2024</v>
      </c>
      <c r="AF6" s="150">
        <f>god-2</f>
        <v>2024</v>
      </c>
      <c r="AG6" s="150">
        <f>god-2</f>
        <v>2024</v>
      </c>
      <c r="AH6" s="150">
        <f>god-1</f>
        <v>2025</v>
      </c>
      <c r="AI6" s="98" cm="1" t="str">
        <f t="array" ref="AI6:AI6">god</f>
        <v>2026</v>
      </c>
      <c r="AJ6" s="98">
        <f>god+1</f>
        <v>2027</v>
      </c>
      <c r="AK6" s="98">
        <f>god+2</f>
        <v>2028</v>
      </c>
      <c r="AL6" s="98">
        <f>god+3</f>
        <v>2029</v>
      </c>
      <c r="AM6" s="98">
        <f>god+4</f>
        <v>2030</v>
      </c>
      <c r="AN6" s="98">
        <f>god+5</f>
        <v>2031</v>
      </c>
      <c r="AO6" s="98">
        <f>god+6</f>
        <v>2032</v>
      </c>
      <c r="AP6" s="98">
        <f>god+7</f>
        <v>2033</v>
      </c>
      <c r="AQ6" s="98">
        <f>god+8</f>
        <v>2034</v>
      </c>
      <c r="AR6" s="98">
        <f>god+9</f>
        <v>2035</v>
      </c>
      <c r="AS6" s="98" cm="1" t="str">
        <f t="array" ref="AS6:AS6">god</f>
        <v>2026</v>
      </c>
      <c r="AT6" s="98">
        <f>god+1</f>
        <v>2027</v>
      </c>
      <c r="AU6" s="98">
        <f>god+2</f>
        <v>2028</v>
      </c>
      <c r="AV6" s="98">
        <f>god+3</f>
        <v>2029</v>
      </c>
      <c r="AW6" s="98">
        <f>god+4</f>
        <v>2030</v>
      </c>
      <c r="AX6" s="98">
        <f>god+5</f>
        <v>2031</v>
      </c>
      <c r="AY6" s="98">
        <f>god+6</f>
        <v>2032</v>
      </c>
      <c r="AZ6" s="98">
        <f>god+7</f>
        <v>2033</v>
      </c>
      <c r="BA6" s="98">
        <f>god+8</f>
        <v>2034</v>
      </c>
      <c r="BB6" s="98">
        <f>god+9</f>
        <v>2035</v>
      </c>
    </row>
    <row customHeight="1" ht="11.25" hidden="1">
      <c r="A7" s="149" t="s">
        <v>361</v>
      </c>
      <c r="AE7" s="376" cm="1" t="str">
        <f t="array" ref="AE7:AE7">AE25</f>
        <v>Принято органом регулирования</v>
      </c>
      <c r="AF7" s="376" cm="1" t="str">
        <f t="array" ref="AF7:AF7">AF25</f>
        <v>Факт по данным организации</v>
      </c>
      <c r="AG7" s="376" cm="1" t="str">
        <f t="array" ref="AG7:AG7">AG25</f>
        <v>Факт, принятый органом регулирования</v>
      </c>
      <c r="AH7" s="376" cm="1" t="str">
        <f t="array" ref="AH7:AH7">AH25</f>
        <v>Принято органом регулирования</v>
      </c>
      <c r="AI7" s="376" cm="1" t="str">
        <f t="array" ref="AI7:AI7">AI25</f>
        <v>Предложение организации</v>
      </c>
      <c r="AJ7" s="376" cm="1" t="str">
        <f t="array" ref="AJ7:AJ7">AJ25</f>
        <v>Предложение организации</v>
      </c>
      <c r="AK7" s="376" cm="1" t="str">
        <f t="array" ref="AK7:AK7">AK25</f>
        <v>Предложение организации</v>
      </c>
      <c r="AL7" s="376" cm="1" t="str">
        <f t="array" ref="AL7:AL7">AL25</f>
        <v>Предложение организации</v>
      </c>
      <c r="AM7" s="376" cm="1" t="str">
        <f t="array" ref="AM7:AM7">AM25</f>
        <v>Предложение организации</v>
      </c>
      <c r="AN7" s="376" cm="1" t="str">
        <f t="array" ref="AN7:AN7">AN25</f>
        <v>Предложение организации</v>
      </c>
      <c r="AO7" s="376" cm="1" t="str">
        <f t="array" ref="AO7:AO7">AO25</f>
        <v>Предложение организации</v>
      </c>
      <c r="AP7" s="376" cm="1" t="str">
        <f t="array" ref="AP7:AP7">AP25</f>
        <v>Предложение организации</v>
      </c>
      <c r="AQ7" s="376" cm="1" t="str">
        <f t="array" ref="AQ7:AQ7">AQ25</f>
        <v>Предложение организации</v>
      </c>
      <c r="AR7" s="376" cm="1" t="str">
        <f t="array" ref="AR7:AR7">AR25</f>
        <v>Предложение организации</v>
      </c>
      <c r="AS7" s="376" cm="1" t="str">
        <f t="array" ref="AS7:AS7">AS25</f>
        <v>Принято органом регулирования</v>
      </c>
      <c r="AT7" s="376" cm="1" t="str">
        <f t="array" ref="AT7:AT7">AT25</f>
        <v>Принято органом регулирования</v>
      </c>
      <c r="AU7" s="376" cm="1" t="str">
        <f t="array" ref="AU7:AU7">AU25</f>
        <v>Принято органом регулирования</v>
      </c>
      <c r="AV7" s="376" cm="1" t="str">
        <f t="array" ref="AV7:AV7">AV25</f>
        <v>Принято органом регулирования</v>
      </c>
      <c r="AW7" s="376" cm="1" t="str">
        <f t="array" ref="AW7:AW7">AW25</f>
        <v>Принято органом регулирования</v>
      </c>
      <c r="AX7" s="376" cm="1" t="str">
        <f t="array" ref="AX7:AX7">AX25</f>
        <v>Принято органом регулирования</v>
      </c>
      <c r="AY7" s="376" cm="1" t="str">
        <f t="array" ref="AY7:AY7">AY25</f>
        <v>Принято органом регулирования</v>
      </c>
      <c r="AZ7" s="376" cm="1" t="str">
        <f t="array" ref="AZ7:AZ7">AZ25</f>
        <v>Принято органом регулирования</v>
      </c>
      <c r="BA7" s="376" cm="1" t="str">
        <f t="array" ref="BA7:BA7">BA25</f>
        <v>Принято органом регулирования</v>
      </c>
      <c r="BB7" s="376" cm="1" t="str">
        <f t="array" ref="BB7:BB7">BB25</f>
        <v>Принято органом регулирования</v>
      </c>
    </row>
    <row customHeight="1" ht="11.25" hidden="1">
      <c r="AI8" s="1758"/>
      <c r="AJ8" s="1758"/>
      <c r="AK8" s="1758"/>
      <c r="AL8" s="1758"/>
      <c r="AM8" s="1758"/>
      <c r="AN8" s="1758"/>
      <c r="AO8" s="1758"/>
      <c r="AP8" s="1758"/>
      <c r="AQ8" s="1758"/>
      <c r="AR8" s="1758"/>
      <c r="AS8" s="1758"/>
      <c r="AT8" s="1758"/>
      <c r="AU8" s="1758"/>
      <c r="AV8" s="1758"/>
      <c r="AW8" s="1758"/>
      <c r="AX8" s="1758"/>
      <c r="AY8" s="1758"/>
      <c r="AZ8" s="1758"/>
      <c r="BA8" s="1758"/>
      <c r="BB8" s="1758"/>
    </row>
    <row s="1764" customFormat="1" customHeight="1" ht="11.25" hidden="1">
      <c r="A9" s="1015" t="s">
        <v>365</v>
      </c>
      <c r="B9" s="1037"/>
      <c r="AE9" s="1039" cm="1" t="str">
        <f t="array" ref="AE9:AE9">AE6</f>
        <v>2024</v>
      </c>
      <c r="AF9" s="1039" cm="1" t="str">
        <f t="array" ref="AF9:AF9">AF6</f>
        <v>2024</v>
      </c>
      <c r="AG9" s="1039" cm="1" t="str">
        <f t="array" ref="AG9:AG9">AG6</f>
        <v>2024</v>
      </c>
      <c r="AH9" s="1039" cm="1" t="str">
        <f t="array" ref="AH9:AH9">AH6</f>
        <v>2025</v>
      </c>
      <c r="AI9" s="1039" cm="1" t="str">
        <f t="array" ref="AI9:AI9">AI6</f>
        <v>2026</v>
      </c>
      <c r="AJ9" s="1039" cm="1" t="str">
        <f t="array" ref="AJ9:AJ9">AJ6</f>
        <v>2027</v>
      </c>
      <c r="AK9" s="1039" cm="1" t="str">
        <f t="array" ref="AK9:AK9">AK6</f>
        <v>2028</v>
      </c>
      <c r="AL9" s="1039" cm="1" t="str">
        <f t="array" ref="AL9:AL9">AL6</f>
        <v>2029</v>
      </c>
      <c r="AM9" s="1039" cm="1" t="str">
        <f t="array" ref="AM9:AM9">AM6</f>
        <v>2030</v>
      </c>
      <c r="AN9" s="1039" cm="1" t="str">
        <f t="array" ref="AN9:AN9">AN6</f>
        <v>2031</v>
      </c>
      <c r="AO9" s="1039" cm="1" t="str">
        <f t="array" ref="AO9:AO9">AO6</f>
        <v>2032</v>
      </c>
      <c r="AP9" s="1039" cm="1" t="str">
        <f t="array" ref="AP9:AP9">AP6</f>
        <v>2033</v>
      </c>
      <c r="AQ9" s="1039" cm="1" t="str">
        <f t="array" ref="AQ9:AQ9">AQ6</f>
        <v>2034</v>
      </c>
      <c r="AR9" s="1039" cm="1" t="str">
        <f t="array" ref="AR9:AR9">AR6</f>
        <v>2035</v>
      </c>
      <c r="AS9" s="1039" cm="1" t="str">
        <f t="array" ref="AS9:AS9">AS6</f>
        <v>2026</v>
      </c>
      <c r="AT9" s="1039" cm="1" t="str">
        <f t="array" ref="AT9:AT9">AT6</f>
        <v>2027</v>
      </c>
      <c r="AU9" s="1039" cm="1" t="str">
        <f t="array" ref="AU9:AU9">AU6</f>
        <v>2028</v>
      </c>
      <c r="AV9" s="1039" cm="1" t="str">
        <f t="array" ref="AV9:AV9">AV6</f>
        <v>2029</v>
      </c>
      <c r="AW9" s="1039" cm="1" t="str">
        <f t="array" ref="AW9:AW9">AW6</f>
        <v>2030</v>
      </c>
      <c r="AX9" s="1039" cm="1" t="str">
        <f t="array" ref="AX9:AX9">AX6</f>
        <v>2031</v>
      </c>
      <c r="AY9" s="1039" cm="1" t="str">
        <f t="array" ref="AY9:AY9">AY6</f>
        <v>2032</v>
      </c>
      <c r="AZ9" s="1039" cm="1" t="str">
        <f t="array" ref="AZ9:AZ9">AZ6</f>
        <v>2033</v>
      </c>
      <c r="BA9" s="1039" cm="1" t="str">
        <f t="array" ref="BA9:BA9">BA6</f>
        <v>2034</v>
      </c>
      <c r="BB9" s="1039" cm="1" t="str">
        <f t="array" ref="BB9:BB9">BB6</f>
        <v>2035</v>
      </c>
    </row>
    <row s="1764" customFormat="1" customHeight="1" ht="11.25" hidden="1">
      <c r="A10" s="1015" t="s">
        <v>366</v>
      </c>
      <c r="B10" s="1037"/>
      <c r="AE10" s="1039" cm="1" t="str">
        <f t="array" ref="AE10:AE10">AE25</f>
        <v>Принято органом регулирования</v>
      </c>
      <c r="AF10" s="1039" cm="1" t="str">
        <f t="array" ref="AF10:AF10">AF25</f>
        <v>Факт по данным организации</v>
      </c>
      <c r="AG10" s="1039" cm="1" t="str">
        <f t="array" ref="AG10:AG10">AG25</f>
        <v>Факт, принятый органом регулирования</v>
      </c>
      <c r="AH10" s="1039" cm="1" t="str">
        <f t="array" ref="AH10:AH10">AH25</f>
        <v>Принято органом регулирования</v>
      </c>
      <c r="AI10" s="1039" cm="1" t="str">
        <f t="array" ref="AI10:AI10">AI25</f>
        <v>Предложение организации</v>
      </c>
      <c r="AJ10" s="1039" cm="1" t="str">
        <f t="array" ref="AJ10:AJ10">AJ25</f>
        <v>Предложение организации</v>
      </c>
      <c r="AK10" s="1039" cm="1" t="str">
        <f t="array" ref="AK10:AK10">AK25</f>
        <v>Предложение организации</v>
      </c>
      <c r="AL10" s="1039" cm="1" t="str">
        <f t="array" ref="AL10:AL10">AL25</f>
        <v>Предложение организации</v>
      </c>
      <c r="AM10" s="1039" cm="1" t="str">
        <f t="array" ref="AM10:AM10">AM25</f>
        <v>Предложение организации</v>
      </c>
      <c r="AN10" s="1039" cm="1" t="str">
        <f t="array" ref="AN10:AN10">AN25</f>
        <v>Предложение организации</v>
      </c>
      <c r="AO10" s="1039" cm="1" t="str">
        <f t="array" ref="AO10:AO10">AO25</f>
        <v>Предложение организации</v>
      </c>
      <c r="AP10" s="1039" cm="1" t="str">
        <f t="array" ref="AP10:AP10">AP25</f>
        <v>Предложение организации</v>
      </c>
      <c r="AQ10" s="1039" cm="1" t="str">
        <f t="array" ref="AQ10:AQ10">AQ25</f>
        <v>Предложение организации</v>
      </c>
      <c r="AR10" s="1039" cm="1" t="str">
        <f t="array" ref="AR10:AR10">AR25</f>
        <v>Предложение организации</v>
      </c>
      <c r="AS10" s="1039" cm="1" t="str">
        <f t="array" ref="AS10:AS10">AS25</f>
        <v>Принято органом регулирования</v>
      </c>
      <c r="AT10" s="1039" cm="1" t="str">
        <f t="array" ref="AT10:AT10">AT25</f>
        <v>Принято органом регулирования</v>
      </c>
      <c r="AU10" s="1039" cm="1" t="str">
        <f t="array" ref="AU10:AU10">AU25</f>
        <v>Принято органом регулирования</v>
      </c>
      <c r="AV10" s="1039" cm="1" t="str">
        <f t="array" ref="AV10:AV10">AV25</f>
        <v>Принято органом регулирования</v>
      </c>
      <c r="AW10" s="1039" cm="1" t="str">
        <f t="array" ref="AW10:AW10">AW25</f>
        <v>Принято органом регулирования</v>
      </c>
      <c r="AX10" s="1039" cm="1" t="str">
        <f t="array" ref="AX10:AX10">AX25</f>
        <v>Принято органом регулирования</v>
      </c>
      <c r="AY10" s="1039" cm="1" t="str">
        <f t="array" ref="AY10:AY10">AY25</f>
        <v>Принято органом регулирования</v>
      </c>
      <c r="AZ10" s="1039" cm="1" t="str">
        <f t="array" ref="AZ10:AZ10">AZ25</f>
        <v>Принято органом регулирования</v>
      </c>
      <c r="BA10" s="1039" cm="1" t="str">
        <f t="array" ref="BA10:BA10">BA25</f>
        <v>Принято органом регулирования</v>
      </c>
      <c r="BB10" s="1039" cm="1" t="str">
        <f t="array" ref="BB10:BB10">BB25</f>
        <v>Принято органом регулирования</v>
      </c>
    </row>
    <row s="1764" customFormat="1" customHeight="1" ht="11.25" hidden="1">
      <c r="A11" s="1015" t="s">
        <v>367</v>
      </c>
      <c r="B11" s="1037"/>
      <c r="AE11" s="1039"/>
      <c r="AI11" s="1764"/>
      <c r="AJ11" s="1764"/>
      <c r="AK11" s="1764"/>
      <c r="AL11" s="1764"/>
      <c r="AM11" s="1764"/>
      <c r="AN11" s="1764"/>
      <c r="AO11" s="1764"/>
      <c r="AP11" s="1764"/>
      <c r="AQ11" s="1764"/>
      <c r="AR11" s="1764"/>
      <c r="AS11" s="1764"/>
      <c r="AT11" s="1764"/>
      <c r="AU11" s="1764"/>
      <c r="AV11" s="1764"/>
      <c r="AW11" s="1764"/>
      <c r="AX11" s="1764"/>
      <c r="AY11" s="1764"/>
      <c r="AZ11" s="1764"/>
      <c r="BA11" s="1764"/>
      <c r="BB11" s="1764"/>
      <c r="BC11" s="1038" cm="1" t="str">
        <f t="array" ref="BC11:BC11">BC24</f>
        <v>Ссылка на правовую норму (основание для принятия показателя в расчет тарифа)</v>
      </c>
    </row>
    <row customHeight="1" ht="11.25" hidden="1">
      <c r="AI12" s="1758"/>
      <c r="AJ12" s="1758"/>
      <c r="AK12" s="1758"/>
      <c r="AL12" s="1758"/>
      <c r="AM12" s="1758"/>
      <c r="AN12" s="1758"/>
      <c r="AO12" s="1758"/>
      <c r="AP12" s="1758"/>
      <c r="AQ12" s="1758"/>
      <c r="AR12" s="1758"/>
      <c r="AS12" s="1758"/>
      <c r="AT12" s="1758"/>
      <c r="AU12" s="1758"/>
      <c r="AV12" s="1758"/>
      <c r="AW12" s="1758"/>
      <c r="AX12" s="1758"/>
      <c r="AY12" s="1758"/>
      <c r="AZ12" s="1758"/>
      <c r="BA12" s="1758"/>
      <c r="BB12" s="1758"/>
    </row>
    <row customHeight="1" ht="11.25" hidden="1">
      <c r="AI13" s="98"/>
      <c r="AJ13" s="98"/>
      <c r="AK13" s="98"/>
      <c r="AL13" s="98"/>
      <c r="AM13" s="98"/>
      <c r="AN13" s="98"/>
      <c r="AO13" s="98"/>
      <c r="AP13" s="98"/>
      <c r="AQ13" s="98"/>
      <c r="AR13" s="98"/>
      <c r="AS13" s="98"/>
      <c r="AT13" s="98"/>
      <c r="AU13" s="98"/>
      <c r="AV13" s="98"/>
      <c r="AW13" s="98"/>
      <c r="AX13" s="98"/>
      <c r="AY13" s="98"/>
      <c r="AZ13" s="98"/>
      <c r="BA13" s="98"/>
      <c r="BB13" s="98"/>
    </row>
    <row customHeight="1" ht="11.25" hidden="1">
      <c r="AI14" s="98"/>
      <c r="AJ14" s="98"/>
      <c r="AK14" s="98"/>
      <c r="AL14" s="98"/>
      <c r="AM14" s="98"/>
      <c r="AN14" s="98"/>
      <c r="AO14" s="98"/>
      <c r="AP14" s="98"/>
      <c r="AQ14" s="98"/>
      <c r="AR14" s="98"/>
      <c r="AS14" s="98"/>
      <c r="AT14" s="98"/>
      <c r="AU14" s="98"/>
      <c r="AV14" s="98"/>
      <c r="AW14" s="98"/>
      <c r="AX14" s="98"/>
      <c r="AY14" s="98"/>
      <c r="AZ14" s="98"/>
      <c r="BA14" s="98"/>
      <c r="BB14" s="98"/>
    </row>
    <row customHeight="1" ht="11.25" hidden="1">
      <c r="AI15" s="98"/>
      <c r="AJ15" s="98"/>
      <c r="AK15" s="98"/>
      <c r="AL15" s="98"/>
      <c r="AM15" s="98"/>
      <c r="AN15" s="98"/>
      <c r="AO15" s="98"/>
      <c r="AP15" s="98"/>
      <c r="AQ15" s="98"/>
      <c r="AR15" s="98"/>
      <c r="AS15" s="98"/>
      <c r="AT15" s="98"/>
      <c r="AU15" s="98"/>
      <c r="AV15" s="98"/>
      <c r="AW15" s="98"/>
      <c r="AX15" s="98"/>
      <c r="AY15" s="98"/>
      <c r="AZ15" s="98"/>
      <c r="BA15" s="98"/>
      <c r="BB15" s="98"/>
    </row>
    <row customHeight="1" ht="11.25" hidden="1">
      <c r="AI16" s="98"/>
      <c r="AJ16" s="98"/>
      <c r="AK16" s="98"/>
      <c r="AL16" s="98"/>
      <c r="AM16" s="98"/>
      <c r="AN16" s="98"/>
      <c r="AO16" s="98"/>
      <c r="AP16" s="98"/>
      <c r="AQ16" s="98"/>
      <c r="AR16" s="98"/>
      <c r="AS16" s="98"/>
      <c r="AT16" s="98"/>
      <c r="AU16" s="98"/>
      <c r="AV16" s="98"/>
      <c r="AW16" s="98"/>
      <c r="AX16" s="98"/>
      <c r="AY16" s="98"/>
      <c r="AZ16" s="98"/>
      <c r="BA16" s="98"/>
      <c r="BB16" s="98"/>
    </row>
    <row customHeight="1" ht="11.25" hidden="1">
      <c r="AI17" s="1758"/>
      <c r="AJ17" s="1758"/>
      <c r="AK17" s="1758"/>
      <c r="AL17" s="1758"/>
      <c r="AM17" s="1758"/>
      <c r="AN17" s="1758"/>
      <c r="AO17" s="1758"/>
      <c r="AP17" s="1758"/>
      <c r="AQ17" s="1758"/>
      <c r="AR17" s="1758"/>
      <c r="AS17" s="1758"/>
      <c r="AT17" s="1758"/>
      <c r="AU17" s="1758"/>
      <c r="AV17" s="1758"/>
      <c r="AW17" s="1758"/>
      <c r="AX17" s="1758"/>
      <c r="AY17" s="1758"/>
      <c r="AZ17" s="1758"/>
      <c r="BA17" s="1758"/>
      <c r="BB17" s="1758"/>
    </row>
    <row customHeight="1" ht="11.25" hidden="1">
      <c r="AI18" s="1758"/>
      <c r="AJ18" s="1758"/>
      <c r="AK18" s="1758"/>
      <c r="AL18" s="1758"/>
      <c r="AM18" s="1758"/>
      <c r="AN18" s="1758"/>
      <c r="AO18" s="1758"/>
      <c r="AP18" s="1758"/>
      <c r="AQ18" s="1758"/>
      <c r="AR18" s="1758"/>
      <c r="AS18" s="1758"/>
      <c r="AT18" s="1758"/>
      <c r="AU18" s="1758"/>
      <c r="AV18" s="1758"/>
      <c r="AW18" s="1758"/>
      <c r="AX18" s="1758"/>
      <c r="AY18" s="1758"/>
      <c r="AZ18" s="1758"/>
      <c r="BA18" s="1758"/>
      <c r="BB18" s="1758"/>
    </row>
    <row customHeight="1" ht="11.25" hidden="1">
      <c r="AI19" s="1758"/>
      <c r="AJ19" s="1758"/>
      <c r="AK19" s="1758"/>
      <c r="AL19" s="1758"/>
      <c r="AM19" s="1758"/>
      <c r="AN19" s="1758"/>
      <c r="AO19" s="1758"/>
      <c r="AP19" s="1758"/>
      <c r="AQ19" s="1758"/>
      <c r="AR19" s="1758"/>
      <c r="AS19" s="1758"/>
      <c r="AT19" s="1758"/>
      <c r="AU19" s="1758"/>
      <c r="AV19" s="1758"/>
      <c r="AW19" s="1758"/>
      <c r="AX19" s="1758"/>
      <c r="AY19" s="1758"/>
      <c r="AZ19" s="1758"/>
      <c r="BA19" s="1758"/>
      <c r="BB19" s="1758"/>
    </row>
    <row customHeight="1" ht="11.25" hidden="1">
      <c r="AI20" s="1758"/>
      <c r="AJ20" s="1758"/>
      <c r="AK20" s="1758"/>
      <c r="AL20" s="1758"/>
      <c r="AM20" s="1758"/>
      <c r="AN20" s="1758"/>
      <c r="AO20" s="1758"/>
      <c r="AP20" s="1758"/>
      <c r="AQ20" s="1758"/>
      <c r="AR20" s="1758"/>
      <c r="AS20" s="1758"/>
      <c r="AT20" s="1758"/>
      <c r="AU20" s="1758"/>
      <c r="AV20" s="1758"/>
      <c r="AW20" s="1758"/>
      <c r="AX20" s="1758"/>
      <c r="AY20" s="1758"/>
      <c r="AZ20" s="1758"/>
      <c r="BA20" s="1758"/>
      <c r="BB20" s="1758"/>
    </row>
    <row customHeight="1" ht="14.625">
      <c r="E21" s="676">
        <v>15</v>
      </c>
      <c r="AA21" s="425"/>
      <c r="AC21" s="366" cm="1" t="str">
        <f t="array" ref="AC21:AC21">tpl_title</f>
        <v>Кемеровская область / 2026 / ООО "Теплоэнерго" (ИНН:4214046200, КПП:421401001) / ДПР: 2026-2030</v>
      </c>
      <c r="AI21" s="1758"/>
      <c r="AJ21" s="1758"/>
      <c r="AK21" s="1758"/>
      <c r="AL21" s="1758"/>
      <c r="AM21" s="1758"/>
      <c r="AN21" s="1758"/>
      <c r="AO21" s="1758"/>
      <c r="AP21" s="1758"/>
      <c r="AQ21" s="1758"/>
      <c r="AR21" s="1758"/>
      <c r="AS21" s="1758"/>
      <c r="AT21" s="1758"/>
      <c r="AU21" s="1758"/>
      <c r="AV21" s="1758"/>
      <c r="AW21" s="1758"/>
      <c r="AX21" s="1758"/>
      <c r="AY21" s="1758"/>
      <c r="AZ21" s="1758"/>
      <c r="BA21" s="1758"/>
      <c r="BB21" s="1758"/>
    </row>
    <row s="1758" customFormat="1" customHeight="1" ht="19.5">
      <c r="B22" s="428"/>
      <c r="E22" s="618">
        <v>20</v>
      </c>
      <c r="AB22" s="320" t="s">
        <v>58</v>
      </c>
      <c r="AC22" s="217"/>
      <c r="AD22" s="217"/>
      <c r="AE22" s="217"/>
      <c r="AF22" s="217"/>
      <c r="AG22" s="217"/>
      <c r="AH22" s="217"/>
      <c r="AI22" s="217"/>
      <c r="AJ22" s="217"/>
      <c r="AK22" s="217"/>
      <c r="AL22" s="217"/>
      <c r="AM22" s="217"/>
      <c r="AN22" s="217"/>
      <c r="AO22" s="217"/>
      <c r="AP22" s="217"/>
      <c r="AQ22" s="217"/>
      <c r="AR22" s="217"/>
      <c r="AS22" s="217"/>
      <c r="AT22" s="217"/>
      <c r="AU22" s="217"/>
      <c r="AV22" s="217"/>
      <c r="AW22" s="217"/>
      <c r="AX22" s="217"/>
      <c r="AY22" s="217"/>
      <c r="AZ22" s="217"/>
      <c r="BA22" s="217"/>
      <c r="BB22" s="217"/>
      <c r="BC22" s="217"/>
      <c r="BF22" s="997"/>
    </row>
    <row s="1758" customFormat="1" customHeight="1" ht="10.96875">
      <c r="B23" s="428"/>
      <c r="E23" s="618">
        <v>11.25</v>
      </c>
      <c r="AB23" s="151"/>
      <c r="AE23" s="132"/>
      <c r="AI23" s="1758"/>
      <c r="AJ23" s="1758"/>
      <c r="AK23" s="1758"/>
      <c r="AL23" s="1758"/>
      <c r="AM23" s="1758"/>
      <c r="AN23" s="1758"/>
      <c r="AO23" s="1758"/>
      <c r="AP23" s="1758"/>
      <c r="AQ23" s="1758"/>
      <c r="AR23" s="1758"/>
      <c r="AS23" s="1758"/>
      <c r="AT23" s="1758"/>
      <c r="AU23" s="1758"/>
      <c r="AV23" s="1758"/>
      <c r="AW23" s="1758"/>
      <c r="AX23" s="1758"/>
      <c r="AY23" s="1758"/>
      <c r="AZ23" s="1758"/>
      <c r="BA23" s="1758"/>
      <c r="BB23" s="1758"/>
      <c r="BF23" s="997"/>
    </row>
    <row s="1758" customFormat="1" customHeight="1" ht="14.625">
      <c r="B24" s="428"/>
      <c r="E24" s="618">
        <v>15</v>
      </c>
      <c r="AB24" s="1577" t="s">
        <v>22</v>
      </c>
      <c r="AC24" s="1577" t="s">
        <v>369</v>
      </c>
      <c r="AD24" s="1577" t="s">
        <v>1728</v>
      </c>
      <c r="AE24" s="359" t="str">
        <f>god-2&amp;" год"</f>
        <v>2024 год</v>
      </c>
      <c r="AF24" s="1121" t="str">
        <f>god-2&amp;" год"</f>
        <v>2024 год</v>
      </c>
      <c r="AG24" s="359" t="str">
        <f>god-2&amp;" год"</f>
        <v>2024 год</v>
      </c>
      <c r="AH24" s="94" t="str">
        <f>god-1&amp;" год"</f>
        <v>2025 год</v>
      </c>
      <c r="AI24" s="1118" t="str">
        <f>god&amp;" год"</f>
        <v>2026 год</v>
      </c>
      <c r="AJ24" s="1118" t="str">
        <f>god+1&amp;" год"</f>
        <v>2027 год</v>
      </c>
      <c r="AK24" s="1118" t="str">
        <f>god+2&amp;" год"</f>
        <v>2028 год</v>
      </c>
      <c r="AL24" s="1118" t="str">
        <f>god+3&amp;" год"</f>
        <v>2029 год</v>
      </c>
      <c r="AM24" s="1118" t="str">
        <f>god+4&amp;" год"</f>
        <v>2030 год</v>
      </c>
      <c r="AN24" s="1118" t="str">
        <f>god+5&amp;" год"</f>
        <v>2031 год</v>
      </c>
      <c r="AO24" s="1118" t="str">
        <f>god+6&amp;" год"</f>
        <v>2032 год</v>
      </c>
      <c r="AP24" s="1118" t="str">
        <f>god+7&amp;" год"</f>
        <v>2033 год</v>
      </c>
      <c r="AQ24" s="1118" t="str">
        <f>god+8&amp;" год"</f>
        <v>2034 год</v>
      </c>
      <c r="AR24" s="1118" t="str">
        <f>god+9&amp;" год"</f>
        <v>2035 год</v>
      </c>
      <c r="AS24" s="92" t="str">
        <f>god&amp;" год"</f>
        <v>2026 год</v>
      </c>
      <c r="AT24" s="92" t="str">
        <f>god+1&amp;" год"</f>
        <v>2027 год</v>
      </c>
      <c r="AU24" s="92" t="str">
        <f>god+2&amp;" год"</f>
        <v>2028 год</v>
      </c>
      <c r="AV24" s="92" t="str">
        <f>god+3&amp;" год"</f>
        <v>2029 год</v>
      </c>
      <c r="AW24" s="92" t="str">
        <f>god+4&amp;" год"</f>
        <v>2030 год</v>
      </c>
      <c r="AX24" s="92" t="str">
        <f>god+5&amp;" год"</f>
        <v>2031 год</v>
      </c>
      <c r="AY24" s="92" t="str">
        <f>god+6&amp;" год"</f>
        <v>2032 год</v>
      </c>
      <c r="AZ24" s="92" t="str">
        <f>god+7&amp;" год"</f>
        <v>2033 год</v>
      </c>
      <c r="BA24" s="92" t="str">
        <f>god+8&amp;" год"</f>
        <v>2034 год</v>
      </c>
      <c r="BB24" s="92" t="str">
        <f>god+9&amp;" год"</f>
        <v>2035 год</v>
      </c>
      <c r="BC24" s="1590" t="s">
        <v>1242</v>
      </c>
      <c r="BF24" s="997"/>
    </row>
    <row s="1758" customFormat="1" customHeight="1" ht="48.75">
      <c r="B25" s="428"/>
      <c r="E25" s="618">
        <v>50</v>
      </c>
      <c r="AB25" s="1577"/>
      <c r="AC25" s="1577"/>
      <c r="AD25" s="1577"/>
      <c r="AE25" s="92" t="s">
        <v>362</v>
      </c>
      <c r="AF25" s="1118" t="s">
        <v>1164</v>
      </c>
      <c r="AG25" s="92" t="s">
        <v>1165</v>
      </c>
      <c r="AH25" s="92" t="s">
        <v>362</v>
      </c>
      <c r="AI25" s="1122" t="s">
        <v>363</v>
      </c>
      <c r="AJ25" s="1122" t="s">
        <v>363</v>
      </c>
      <c r="AK25" s="1122" t="s">
        <v>363</v>
      </c>
      <c r="AL25" s="1122" t="s">
        <v>363</v>
      </c>
      <c r="AM25" s="1122" t="s">
        <v>363</v>
      </c>
      <c r="AN25" s="1122" t="s">
        <v>363</v>
      </c>
      <c r="AO25" s="1122" t="s">
        <v>363</v>
      </c>
      <c r="AP25" s="1122" t="s">
        <v>363</v>
      </c>
      <c r="AQ25" s="1122" t="s">
        <v>363</v>
      </c>
      <c r="AR25" s="1122" t="s">
        <v>363</v>
      </c>
      <c r="AS25" s="360" t="s">
        <v>362</v>
      </c>
      <c r="AT25" s="360" t="s">
        <v>362</v>
      </c>
      <c r="AU25" s="360" t="s">
        <v>362</v>
      </c>
      <c r="AV25" s="360" t="s">
        <v>362</v>
      </c>
      <c r="AW25" s="360" t="s">
        <v>362</v>
      </c>
      <c r="AX25" s="360" t="s">
        <v>362</v>
      </c>
      <c r="AY25" s="360" t="s">
        <v>362</v>
      </c>
      <c r="AZ25" s="360" t="s">
        <v>362</v>
      </c>
      <c r="BA25" s="360" t="s">
        <v>362</v>
      </c>
      <c r="BB25" s="360" t="s">
        <v>362</v>
      </c>
      <c r="BC25" s="1590"/>
      <c r="BF25" s="997"/>
    </row>
    <row s="1834" customFormat="1" customHeight="1" ht="11.25" hidden="1">
      <c r="A26" s="499"/>
      <c r="B26" s="658"/>
      <c r="C26" s="499"/>
      <c r="D26" s="499"/>
      <c r="E26" s="659">
        <v>0</v>
      </c>
      <c r="F26" s="654" t="s">
        <v>1729</v>
      </c>
      <c r="G26" s="499"/>
      <c r="H26" s="499"/>
      <c r="I26" s="499"/>
      <c r="J26" s="499"/>
      <c r="K26" s="499"/>
      <c r="L26" s="499"/>
      <c r="M26" s="499"/>
      <c r="N26" s="499"/>
      <c r="O26" s="499"/>
      <c r="P26" s="499"/>
      <c r="Q26" s="499"/>
      <c r="R26" s="499"/>
      <c r="S26" s="499"/>
      <c r="T26" s="499"/>
      <c r="U26" s="499"/>
      <c r="V26" s="499"/>
      <c r="W26" s="499"/>
      <c r="X26" s="499"/>
      <c r="Y26" s="499"/>
      <c r="Z26" s="499"/>
      <c r="AC26" s="100"/>
      <c r="AD26" s="100"/>
      <c r="AE26" s="100"/>
      <c r="AF26" s="100"/>
      <c r="AI26" s="1834"/>
      <c r="AJ26" s="1834"/>
      <c r="AK26" s="1834"/>
      <c r="AL26" s="1834"/>
      <c r="AM26" s="1834"/>
      <c r="AN26" s="1834"/>
      <c r="AO26" s="1834"/>
      <c r="AP26" s="1834"/>
      <c r="AQ26" s="101"/>
      <c r="AR26" s="1834"/>
      <c r="AS26" s="1834"/>
      <c r="AT26" s="1834"/>
      <c r="AU26" s="1834"/>
      <c r="AV26" s="1834"/>
      <c r="AW26" s="1834"/>
      <c r="AX26" s="1834"/>
      <c r="AY26" s="1834"/>
      <c r="AZ26" s="1834"/>
      <c r="BA26" s="1834"/>
      <c r="BB26" s="1834"/>
      <c r="BF26" s="1004"/>
    </row>
    <row s="1758" customFormat="1" customHeight="1" ht="14.625" hidden="1">
      <c r="A27" s="1758"/>
      <c r="B27" s="428"/>
      <c r="C27" s="1758"/>
      <c r="D27" s="1758"/>
      <c r="E27" s="618">
        <v>15</v>
      </c>
      <c r="F27" s="98" cm="1" t="str">
        <f t="array" ref="F27:F27">X27</f>
        <v>0</v>
      </c>
      <c r="G27" s="1758"/>
      <c r="H27" s="1758"/>
      <c r="I27" s="1758"/>
      <c r="J27" s="1758"/>
      <c r="K27" s="1758"/>
      <c r="L27" s="1758"/>
      <c r="M27" s="1758"/>
      <c r="N27" s="1758"/>
      <c r="O27" s="1758"/>
      <c r="P27" s="1758"/>
      <c r="Q27" s="1758"/>
      <c r="R27" s="1758"/>
      <c r="S27" s="1758"/>
      <c r="T27" s="465">
        <f>X27&gt;0</f>
        <v>0</v>
      </c>
      <c r="U27" s="1758"/>
      <c r="V27" s="122" t="s">
        <v>265</v>
      </c>
      <c r="W27" s="1758"/>
      <c r="X27" s="1563">
        <v>0</v>
      </c>
      <c r="Y27" s="1758"/>
      <c r="Z27" s="1596"/>
      <c r="AA27" s="1758"/>
      <c r="AB27" s="222" cm="1" t="str">
        <f t="array" ref="AB27:AB27">INDEX('Общие сведения'!$AG$179:$AG$250,MATCH($X27,'Общие сведения'!$Z$179:$Z$250,0))</f>
        <v>Тариф 0 () - </v>
      </c>
      <c r="AC27" s="180"/>
      <c r="AD27" s="174"/>
      <c r="AE27" s="174"/>
      <c r="AF27" s="174"/>
      <c r="AG27" s="174"/>
      <c r="AH27" s="174"/>
      <c r="AI27" s="174"/>
      <c r="AJ27" s="174"/>
      <c r="AK27" s="174"/>
      <c r="AL27" s="174"/>
      <c r="AM27" s="174"/>
      <c r="AN27" s="174"/>
      <c r="AO27" s="174"/>
      <c r="AP27" s="174"/>
      <c r="AQ27" s="174"/>
      <c r="AR27" s="174"/>
      <c r="AS27" s="174"/>
      <c r="AT27" s="174"/>
      <c r="AU27" s="174"/>
      <c r="AV27" s="174"/>
      <c r="AW27" s="174"/>
      <c r="AX27" s="174"/>
      <c r="AY27" s="174"/>
      <c r="AZ27" s="174"/>
      <c r="BA27" s="174"/>
      <c r="BB27" s="174"/>
      <c r="BC27" s="210"/>
      <c r="BD27" s="1758"/>
      <c r="BE27" s="1758"/>
      <c r="BF27" s="997"/>
    </row>
    <row s="1758" customFormat="1" customHeight="1" ht="71.6625" hidden="1">
      <c r="A28" s="1758"/>
      <c r="B28" s="428"/>
      <c r="C28" s="1758"/>
      <c r="D28" s="1758"/>
      <c r="E28" s="618">
        <v>73.5</v>
      </c>
      <c r="F28" s="50" cm="1" t="str">
        <f t="array" ref="F28:F28">OFFSET(E28,-1,1)</f>
        <v>0</v>
      </c>
      <c r="G28" s="494" t="s">
        <v>1730</v>
      </c>
      <c r="H28" s="122" t="s">
        <v>332</v>
      </c>
      <c r="I28" s="1758"/>
      <c r="J28" s="1758"/>
      <c r="K28" s="124" t="str">
        <f>F28&amp;"komm"</f>
        <v>0komm</v>
      </c>
      <c r="L28" s="919" cm="1" t="str">
        <f t="array" ref="L28:L28">BC28</f>
        <v>0</v>
      </c>
      <c r="M28" s="1758"/>
      <c r="N28" s="1758"/>
      <c r="O28" s="1758"/>
      <c r="P28" s="1758"/>
      <c r="Q28" s="1758"/>
      <c r="R28" s="1758"/>
      <c r="S28" s="1758"/>
      <c r="T28" s="465" cm="1" t="str">
        <f t="array" ref="T28:T28">T27</f>
        <v>false</v>
      </c>
      <c r="U28" s="1758"/>
      <c r="V28" s="1758"/>
      <c r="W28" s="1758"/>
      <c r="X28" s="1563"/>
      <c r="Y28" s="1758"/>
      <c r="Z28" s="1596"/>
      <c r="AA28" s="1758"/>
      <c r="AB28" s="218" t="s">
        <v>276</v>
      </c>
      <c r="AC28" s="219" t="s">
        <v>1731</v>
      </c>
      <c r="AD28" s="205" t="s">
        <v>1514</v>
      </c>
      <c r="AE28" s="773">
        <f>AE29+AE32+AE33+AE34</f>
        <v>0</v>
      </c>
      <c r="AF28" s="773">
        <f>AF29+AF32+AF33+AF34</f>
        <v>0</v>
      </c>
      <c r="AG28" s="773">
        <f>AG29+AG32+AG33+AG34</f>
        <v>0</v>
      </c>
      <c r="AH28" s="773">
        <f>AH29+AH32+AH33+AH34</f>
        <v>0</v>
      </c>
      <c r="AI28" s="773">
        <f>AI29+AI32+AI33+AI34</f>
        <v>0</v>
      </c>
      <c r="AJ28" s="773">
        <f>AJ29+AJ32+AJ33+AJ34</f>
        <v>0</v>
      </c>
      <c r="AK28" s="773">
        <f>AK29+AK32+AK33+AK34</f>
        <v>0</v>
      </c>
      <c r="AL28" s="773">
        <f>AL29+AL32+AL33+AL34</f>
        <v>0</v>
      </c>
      <c r="AM28" s="773">
        <f>AM29+AM32+AM33+AM34</f>
        <v>0</v>
      </c>
      <c r="AN28" s="773">
        <f>AN29+AN32+AN33+AN34</f>
        <v>0</v>
      </c>
      <c r="AO28" s="773">
        <f>AO29+AO32+AO33+AO34</f>
        <v>0</v>
      </c>
      <c r="AP28" s="773">
        <f>AP29+AP32+AP33+AP34</f>
        <v>0</v>
      </c>
      <c r="AQ28" s="773">
        <f>AQ29+AQ32+AQ33+AQ34</f>
        <v>0</v>
      </c>
      <c r="AR28" s="773">
        <f>AR29+AR32+AR33+AR34</f>
        <v>0</v>
      </c>
      <c r="AS28" s="773">
        <f>AS29+AS32+AS33+AS34</f>
        <v>0</v>
      </c>
      <c r="AT28" s="773">
        <f>AT29+AT32+AT33+AT34</f>
        <v>0</v>
      </c>
      <c r="AU28" s="773">
        <f>AU29+AU32+AU33+AU34</f>
        <v>0</v>
      </c>
      <c r="AV28" s="773">
        <f>AV29+AV32+AV33+AV34</f>
        <v>0</v>
      </c>
      <c r="AW28" s="773">
        <f>AW29+AW32+AW33+AW34</f>
        <v>0</v>
      </c>
      <c r="AX28" s="773">
        <f>AX29+AX32+AX33+AX34</f>
        <v>0</v>
      </c>
      <c r="AY28" s="773">
        <f>AY29+AY32+AY33+AY34</f>
        <v>0</v>
      </c>
      <c r="AZ28" s="773">
        <f>AZ29+AZ32+AZ33+AZ34</f>
        <v>0</v>
      </c>
      <c r="BA28" s="773">
        <f>BA29+BA32+BA33+BA34</f>
        <v>0</v>
      </c>
      <c r="BB28" s="773">
        <f>BB29+BB32+BB33+BB34</f>
        <v>0</v>
      </c>
      <c r="BC28" s="2070"/>
      <c r="BD28" s="1758"/>
      <c r="BE28" s="1758"/>
      <c r="BF28" s="1040" t="s">
        <v>1732</v>
      </c>
    </row>
    <row s="1758" customFormat="1" customHeight="1" ht="14.625" hidden="1">
      <c r="A29" s="1758"/>
      <c r="B29" s="428"/>
      <c r="C29" s="1758"/>
      <c r="D29" s="122" t="s">
        <v>1733</v>
      </c>
      <c r="E29" s="618">
        <v>15</v>
      </c>
      <c r="F29" s="50" cm="1" t="str">
        <f t="array" ref="F29:F29">OFFSET(E29,-1,1)</f>
        <v>0</v>
      </c>
      <c r="G29" s="1758"/>
      <c r="H29" s="122" t="s">
        <v>1175</v>
      </c>
      <c r="I29" s="1758"/>
      <c r="J29" s="1758"/>
      <c r="K29" s="1758"/>
      <c r="L29" s="1758"/>
      <c r="M29" s="1758"/>
      <c r="N29" s="1758"/>
      <c r="O29" s="1758"/>
      <c r="P29" s="1758"/>
      <c r="Q29" s="1758"/>
      <c r="R29" s="1758"/>
      <c r="S29" s="1758"/>
      <c r="T29" s="465" cm="1" t="str">
        <f t="array" ref="T29:T29">T28</f>
        <v>false</v>
      </c>
      <c r="U29" s="1758"/>
      <c r="V29" s="1758"/>
      <c r="W29" s="1758"/>
      <c r="X29" s="1563"/>
      <c r="Y29" s="1758"/>
      <c r="Z29" s="1596"/>
      <c r="AA29" s="1758"/>
      <c r="AB29" s="220" t="s">
        <v>1628</v>
      </c>
      <c r="AC29" s="762" t="s">
        <v>1733</v>
      </c>
      <c r="AD29" s="930" t="s">
        <v>1514</v>
      </c>
      <c r="AE29" s="3557">
        <f>SUM(AE30:AE31)</f>
        <v>0</v>
      </c>
      <c r="AF29" s="3557">
        <f>SUM(AF30:AF31)</f>
        <v>0</v>
      </c>
      <c r="AG29" s="3557">
        <f>SUM(AG30:AG31)</f>
        <v>0</v>
      </c>
      <c r="AH29" s="3557">
        <f>SUM(AH30:AH31)</f>
        <v>0</v>
      </c>
      <c r="AI29" s="3557">
        <f>SUM(AI30:AI31)</f>
        <v>0</v>
      </c>
      <c r="AJ29" s="3557">
        <f>SUM(AJ30:AJ31)</f>
        <v>0</v>
      </c>
      <c r="AK29" s="3557">
        <f>SUM(AK30:AK31)</f>
        <v>0</v>
      </c>
      <c r="AL29" s="3557">
        <f>SUM(AL30:AL31)</f>
        <v>0</v>
      </c>
      <c r="AM29" s="3557">
        <f>SUM(AM30:AM31)</f>
        <v>0</v>
      </c>
      <c r="AN29" s="3557">
        <f>SUM(AN30:AN31)</f>
        <v>0</v>
      </c>
      <c r="AO29" s="3557">
        <f>SUM(AO30:AO31)</f>
        <v>0</v>
      </c>
      <c r="AP29" s="3557">
        <f>SUM(AP30:AP31)</f>
        <v>0</v>
      </c>
      <c r="AQ29" s="3557">
        <f>SUM(AQ30:AQ31)</f>
        <v>0</v>
      </c>
      <c r="AR29" s="3557">
        <f>SUM(AR30:AR31)</f>
        <v>0</v>
      </c>
      <c r="AS29" s="3557">
        <f>SUM(AS30:AS31)</f>
        <v>0</v>
      </c>
      <c r="AT29" s="3557">
        <f>SUM(AT30:AT31)</f>
        <v>0</v>
      </c>
      <c r="AU29" s="3557">
        <f>SUM(AU30:AU31)</f>
        <v>0</v>
      </c>
      <c r="AV29" s="3557">
        <f>SUM(AV30:AV31)</f>
        <v>0</v>
      </c>
      <c r="AW29" s="3557">
        <f>SUM(AW30:AW31)</f>
        <v>0</v>
      </c>
      <c r="AX29" s="3557">
        <f>SUM(AX30:AX31)</f>
        <v>0</v>
      </c>
      <c r="AY29" s="3557">
        <f>SUM(AY30:AY31)</f>
        <v>0</v>
      </c>
      <c r="AZ29" s="3557">
        <f>SUM(AZ30:AZ31)</f>
        <v>0</v>
      </c>
      <c r="BA29" s="3557">
        <f>SUM(BA30:BA31)</f>
        <v>0</v>
      </c>
      <c r="BB29" s="3557">
        <f>SUM(BB30:BB31)</f>
        <v>0</v>
      </c>
      <c r="BC29" s="2070"/>
      <c r="BD29" s="1758"/>
      <c r="BE29" s="1758"/>
      <c r="BF29" s="1040" t="s">
        <v>1734</v>
      </c>
    </row>
    <row s="1758" customFormat="1" customHeight="1" ht="23.400000000000002" hidden="1">
      <c r="A30" s="1758"/>
      <c r="B30" s="428"/>
      <c r="C30" s="1758"/>
      <c r="D30" s="1758"/>
      <c r="E30" s="618">
        <v>24</v>
      </c>
      <c r="F30" s="50" cm="1" t="str">
        <f t="array" ref="F30:F30">OFFSET(E30,-1,1)</f>
        <v>0</v>
      </c>
      <c r="G30" s="1758"/>
      <c r="H30" s="122" t="s">
        <v>1735</v>
      </c>
      <c r="I30" s="1758"/>
      <c r="J30" s="1758"/>
      <c r="K30" s="1758"/>
      <c r="L30" s="1758"/>
      <c r="M30" s="1758"/>
      <c r="N30" s="1758"/>
      <c r="O30" s="1758"/>
      <c r="P30" s="1758"/>
      <c r="Q30" s="1758"/>
      <c r="R30" s="1758"/>
      <c r="S30" s="1758"/>
      <c r="T30" s="465" cm="1" t="str">
        <f t="array" ref="T30:T30">T29</f>
        <v>false</v>
      </c>
      <c r="U30" s="1758"/>
      <c r="V30" s="1758"/>
      <c r="W30" s="1758"/>
      <c r="X30" s="1563"/>
      <c r="Y30" s="1758"/>
      <c r="Z30" s="1596"/>
      <c r="AA30" s="1758"/>
      <c r="AB30" s="220" t="s">
        <v>1736</v>
      </c>
      <c r="AC30" s="765" t="s">
        <v>1737</v>
      </c>
      <c r="AD30" s="930" t="s">
        <v>1514</v>
      </c>
      <c r="AE30" s="3557"/>
      <c r="AF30" s="3557"/>
      <c r="AG30" s="3557"/>
      <c r="AH30" s="3557"/>
      <c r="AI30" s="3557"/>
      <c r="AJ30" s="3557"/>
      <c r="AK30" s="3557"/>
      <c r="AL30" s="3557"/>
      <c r="AM30" s="3557"/>
      <c r="AN30" s="3557"/>
      <c r="AO30" s="3557"/>
      <c r="AP30" s="3557"/>
      <c r="AQ30" s="3557"/>
      <c r="AR30" s="3557"/>
      <c r="AS30" s="3557"/>
      <c r="AT30" s="3557"/>
      <c r="AU30" s="3557"/>
      <c r="AV30" s="3557"/>
      <c r="AW30" s="3557"/>
      <c r="AX30" s="3557"/>
      <c r="AY30" s="3557"/>
      <c r="AZ30" s="3557"/>
      <c r="BA30" s="3557"/>
      <c r="BB30" s="3557"/>
      <c r="BC30" s="2070"/>
      <c r="BD30" s="1758"/>
      <c r="BE30" s="1758"/>
      <c r="BF30" s="997" t="s">
        <v>1738</v>
      </c>
    </row>
    <row s="1758" customFormat="1" customHeight="1" ht="14.625" hidden="1">
      <c r="A31" s="1758"/>
      <c r="B31" s="428"/>
      <c r="C31" s="1758"/>
      <c r="D31" s="1758"/>
      <c r="E31" s="618">
        <v>15</v>
      </c>
      <c r="F31" s="50" cm="1" t="str">
        <f t="array" ref="F31:F31">OFFSET(E31,-1,1)</f>
        <v>0</v>
      </c>
      <c r="G31" s="1758"/>
      <c r="H31" s="122" t="s">
        <v>1739</v>
      </c>
      <c r="I31" s="1758"/>
      <c r="J31" s="1758"/>
      <c r="K31" s="1758"/>
      <c r="L31" s="1758"/>
      <c r="M31" s="1758"/>
      <c r="N31" s="1758"/>
      <c r="O31" s="1758"/>
      <c r="P31" s="1758"/>
      <c r="Q31" s="1758"/>
      <c r="R31" s="1758"/>
      <c r="S31" s="1758"/>
      <c r="T31" s="465" cm="1" t="str">
        <f t="array" ref="T31:T31">T30</f>
        <v>false</v>
      </c>
      <c r="U31" s="1758"/>
      <c r="V31" s="1758"/>
      <c r="W31" s="1758"/>
      <c r="X31" s="1563"/>
      <c r="Y31" s="1758"/>
      <c r="Z31" s="1596"/>
      <c r="AA31" s="1758"/>
      <c r="AB31" s="220" t="s">
        <v>1740</v>
      </c>
      <c r="AC31" s="765" t="s">
        <v>1741</v>
      </c>
      <c r="AD31" s="930" t="s">
        <v>1514</v>
      </c>
      <c r="AE31" s="3557"/>
      <c r="AF31" s="3557"/>
      <c r="AG31" s="3557"/>
      <c r="AH31" s="3557"/>
      <c r="AI31" s="3557"/>
      <c r="AJ31" s="3557"/>
      <c r="AK31" s="3557"/>
      <c r="AL31" s="3557"/>
      <c r="AM31" s="3557"/>
      <c r="AN31" s="3557"/>
      <c r="AO31" s="3557"/>
      <c r="AP31" s="3557"/>
      <c r="AQ31" s="3557"/>
      <c r="AR31" s="3557"/>
      <c r="AS31" s="3557"/>
      <c r="AT31" s="3557"/>
      <c r="AU31" s="3557"/>
      <c r="AV31" s="3557"/>
      <c r="AW31" s="3557"/>
      <c r="AX31" s="3557"/>
      <c r="AY31" s="3557"/>
      <c r="AZ31" s="3557"/>
      <c r="BA31" s="3557"/>
      <c r="BB31" s="3557"/>
      <c r="BC31" s="2070"/>
      <c r="BD31" s="1758"/>
      <c r="BE31" s="1758"/>
      <c r="BF31" s="997" t="s">
        <v>1742</v>
      </c>
    </row>
    <row s="1758" customFormat="1" customHeight="1" ht="14.625" hidden="1">
      <c r="A32" s="1758"/>
      <c r="B32" s="428"/>
      <c r="C32" s="1758"/>
      <c r="D32" s="122" t="s">
        <v>1743</v>
      </c>
      <c r="E32" s="618">
        <v>15</v>
      </c>
      <c r="F32" s="50" cm="1" t="str">
        <f t="array" ref="F32:F32">OFFSET(E32,-1,1)</f>
        <v>0</v>
      </c>
      <c r="G32" s="1758"/>
      <c r="H32" s="122" t="s">
        <v>1179</v>
      </c>
      <c r="I32" s="1758"/>
      <c r="J32" s="1758"/>
      <c r="K32" s="1758"/>
      <c r="L32" s="1758"/>
      <c r="M32" s="1758"/>
      <c r="N32" s="1758"/>
      <c r="O32" s="1758"/>
      <c r="P32" s="1758"/>
      <c r="Q32" s="1758"/>
      <c r="R32" s="1758"/>
      <c r="S32" s="1758"/>
      <c r="T32" s="465" cm="1" t="str">
        <f t="array" ref="T32:T32">T31</f>
        <v>false</v>
      </c>
      <c r="U32" s="1758"/>
      <c r="V32" s="1758"/>
      <c r="W32" s="1758"/>
      <c r="X32" s="1563"/>
      <c r="Y32" s="1758"/>
      <c r="Z32" s="1596"/>
      <c r="AA32" s="1758"/>
      <c r="AB32" s="220" t="s">
        <v>1631</v>
      </c>
      <c r="AC32" s="931" t="s">
        <v>1744</v>
      </c>
      <c r="AD32" s="930" t="s">
        <v>1514</v>
      </c>
      <c r="AE32" s="3557"/>
      <c r="AF32" s="3557"/>
      <c r="AG32" s="3557"/>
      <c r="AH32" s="3557"/>
      <c r="AI32" s="3557"/>
      <c r="AJ32" s="3557"/>
      <c r="AK32" s="3557"/>
      <c r="AL32" s="3557"/>
      <c r="AM32" s="3557"/>
      <c r="AN32" s="3557"/>
      <c r="AO32" s="3557"/>
      <c r="AP32" s="3557"/>
      <c r="AQ32" s="3557"/>
      <c r="AR32" s="3557"/>
      <c r="AS32" s="3557"/>
      <c r="AT32" s="3557"/>
      <c r="AU32" s="3557"/>
      <c r="AV32" s="3557"/>
      <c r="AW32" s="3557"/>
      <c r="AX32" s="3557"/>
      <c r="AY32" s="3557"/>
      <c r="AZ32" s="3557"/>
      <c r="BA32" s="3557"/>
      <c r="BB32" s="3557"/>
      <c r="BC32" s="2070"/>
      <c r="BD32" s="1758"/>
      <c r="BE32" s="1758"/>
      <c r="BF32" s="997" t="s">
        <v>1745</v>
      </c>
    </row>
    <row s="1758" customFormat="1" customHeight="1" ht="14.625" hidden="1">
      <c r="A33" s="1758"/>
      <c r="B33" s="428"/>
      <c r="C33" s="1758"/>
      <c r="D33" s="122" t="s">
        <v>1746</v>
      </c>
      <c r="E33" s="618">
        <v>15</v>
      </c>
      <c r="F33" s="50" cm="1" t="str">
        <f t="array" ref="F33:F33">OFFSET(E33,-1,1)</f>
        <v>0</v>
      </c>
      <c r="G33" s="1758"/>
      <c r="H33" s="122" t="s">
        <v>1182</v>
      </c>
      <c r="I33" s="1758"/>
      <c r="J33" s="1758"/>
      <c r="K33" s="1758"/>
      <c r="L33" s="1758"/>
      <c r="M33" s="1758"/>
      <c r="N33" s="1758"/>
      <c r="O33" s="1758"/>
      <c r="P33" s="1758"/>
      <c r="Q33" s="1758"/>
      <c r="R33" s="1758"/>
      <c r="S33" s="1758"/>
      <c r="T33" s="465" cm="1" t="str">
        <f t="array" ref="T33:T33">T32</f>
        <v>false</v>
      </c>
      <c r="U33" s="1758"/>
      <c r="V33" s="1758"/>
      <c r="W33" s="1758"/>
      <c r="X33" s="1563"/>
      <c r="Y33" s="1758"/>
      <c r="Z33" s="1596"/>
      <c r="AA33" s="1758"/>
      <c r="AB33" s="220" t="s">
        <v>1634</v>
      </c>
      <c r="AC33" s="762" t="s">
        <v>1747</v>
      </c>
      <c r="AD33" s="930" t="s">
        <v>1514</v>
      </c>
      <c r="AE33" s="3557"/>
      <c r="AF33" s="3557"/>
      <c r="AG33" s="3557"/>
      <c r="AH33" s="3557"/>
      <c r="AI33" s="3557"/>
      <c r="AJ33" s="3557"/>
      <c r="AK33" s="3557"/>
      <c r="AL33" s="3557"/>
      <c r="AM33" s="3557"/>
      <c r="AN33" s="3557"/>
      <c r="AO33" s="3557"/>
      <c r="AP33" s="3557"/>
      <c r="AQ33" s="3557"/>
      <c r="AR33" s="3557"/>
      <c r="AS33" s="3557"/>
      <c r="AT33" s="3557"/>
      <c r="AU33" s="3557"/>
      <c r="AV33" s="3557"/>
      <c r="AW33" s="3557"/>
      <c r="AX33" s="3557"/>
      <c r="AY33" s="3557"/>
      <c r="AZ33" s="3557"/>
      <c r="BA33" s="3557"/>
      <c r="BB33" s="3557"/>
      <c r="BC33" s="2070"/>
      <c r="BD33" s="1758"/>
      <c r="BE33" s="1758"/>
      <c r="BF33" s="997" t="s">
        <v>1748</v>
      </c>
    </row>
    <row s="1758" customFormat="1" customHeight="1" ht="14.625" hidden="1">
      <c r="A34" s="1758"/>
      <c r="B34" s="428"/>
      <c r="C34" s="1758"/>
      <c r="D34" s="122" t="s">
        <v>1749</v>
      </c>
      <c r="E34" s="618">
        <v>15</v>
      </c>
      <c r="F34" s="50" cm="1" t="str">
        <f t="array" ref="F34:F34">OFFSET(E34,-1,1)</f>
        <v>0</v>
      </c>
      <c r="G34" s="1758"/>
      <c r="H34" s="122" t="s">
        <v>1186</v>
      </c>
      <c r="I34" s="1758"/>
      <c r="J34" s="1758"/>
      <c r="K34" s="1758"/>
      <c r="L34" s="1758"/>
      <c r="M34" s="1758"/>
      <c r="N34" s="1758"/>
      <c r="O34" s="1758"/>
      <c r="P34" s="1758"/>
      <c r="Q34" s="1758"/>
      <c r="R34" s="1758"/>
      <c r="S34" s="1758"/>
      <c r="T34" s="465" cm="1" t="str">
        <f t="array" ref="T34:T34">T33</f>
        <v>false</v>
      </c>
      <c r="U34" s="1758"/>
      <c r="V34" s="1758"/>
      <c r="W34" s="1758"/>
      <c r="X34" s="1563"/>
      <c r="Y34" s="1758"/>
      <c r="Z34" s="1596"/>
      <c r="AA34" s="1758"/>
      <c r="AB34" s="220" t="s">
        <v>1637</v>
      </c>
      <c r="AC34" s="762" t="s">
        <v>1750</v>
      </c>
      <c r="AD34" s="930" t="s">
        <v>1514</v>
      </c>
      <c r="AE34" s="3557">
        <f>SUM(AE35:AE36)</f>
        <v>0</v>
      </c>
      <c r="AF34" s="3557">
        <f>SUM(AF35:AF36)</f>
        <v>0</v>
      </c>
      <c r="AG34" s="3557">
        <f>SUM(AG35:AG36)</f>
        <v>0</v>
      </c>
      <c r="AH34" s="3557">
        <f>SUM(AH35:AH36)</f>
        <v>0</v>
      </c>
      <c r="AI34" s="3557">
        <f>SUM(AI35:AI36)</f>
        <v>0</v>
      </c>
      <c r="AJ34" s="3557">
        <f>SUM(AJ35:AJ36)</f>
        <v>0</v>
      </c>
      <c r="AK34" s="3557">
        <f>SUM(AK35:AK36)</f>
        <v>0</v>
      </c>
      <c r="AL34" s="3557">
        <f>SUM(AL35:AL36)</f>
        <v>0</v>
      </c>
      <c r="AM34" s="3557">
        <f>SUM(AM35:AM36)</f>
        <v>0</v>
      </c>
      <c r="AN34" s="3557">
        <f>SUM(AN35:AN36)</f>
        <v>0</v>
      </c>
      <c r="AO34" s="3557">
        <f>SUM(AO35:AO36)</f>
        <v>0</v>
      </c>
      <c r="AP34" s="3557">
        <f>SUM(AP35:AP36)</f>
        <v>0</v>
      </c>
      <c r="AQ34" s="3557">
        <f>SUM(AQ35:AQ36)</f>
        <v>0</v>
      </c>
      <c r="AR34" s="3557">
        <f>SUM(AR35:AR36)</f>
        <v>0</v>
      </c>
      <c r="AS34" s="3557">
        <f>SUM(AS35:AS36)</f>
        <v>0</v>
      </c>
      <c r="AT34" s="3557">
        <f>SUM(AT35:AT36)</f>
        <v>0</v>
      </c>
      <c r="AU34" s="3557">
        <f>SUM(AU35:AU36)</f>
        <v>0</v>
      </c>
      <c r="AV34" s="3557">
        <f>SUM(AV35:AV36)</f>
        <v>0</v>
      </c>
      <c r="AW34" s="3557">
        <f>SUM(AW35:AW36)</f>
        <v>0</v>
      </c>
      <c r="AX34" s="3557">
        <f>SUM(AX35:AX36)</f>
        <v>0</v>
      </c>
      <c r="AY34" s="3557">
        <f>SUM(AY35:AY36)</f>
        <v>0</v>
      </c>
      <c r="AZ34" s="3557">
        <f>SUM(AZ35:AZ36)</f>
        <v>0</v>
      </c>
      <c r="BA34" s="3557">
        <f>SUM(BA35:BA36)</f>
        <v>0</v>
      </c>
      <c r="BB34" s="3557">
        <f>SUM(BB35:BB36)</f>
        <v>0</v>
      </c>
      <c r="BC34" s="2070"/>
      <c r="BD34" s="1758"/>
      <c r="BE34" s="1758"/>
      <c r="BF34" s="997" t="s">
        <v>1751</v>
      </c>
    </row>
    <row s="1758" customFormat="1" customHeight="1" ht="35.1" hidden="1">
      <c r="A35" s="1758"/>
      <c r="B35" s="428"/>
      <c r="C35" s="1758"/>
      <c r="D35" s="1758"/>
      <c r="E35" s="618">
        <v>36</v>
      </c>
      <c r="F35" s="50" cm="1" t="str">
        <f t="array" ref="F35:F35">OFFSET(E35,-1,1)</f>
        <v>0</v>
      </c>
      <c r="G35" s="1758"/>
      <c r="H35" s="1758"/>
      <c r="I35" s="1758"/>
      <c r="J35" s="1758"/>
      <c r="K35" s="1758"/>
      <c r="L35" s="1758"/>
      <c r="M35" s="1758"/>
      <c r="N35" s="1758"/>
      <c r="O35" s="1758"/>
      <c r="P35" s="1758"/>
      <c r="Q35" s="1758"/>
      <c r="R35" s="1758"/>
      <c r="S35" s="1758"/>
      <c r="T35" s="465" cm="1" t="str">
        <f t="array" ref="T35:T35">T34</f>
        <v>false</v>
      </c>
      <c r="U35" s="1758"/>
      <c r="V35" s="1758"/>
      <c r="W35" s="1758"/>
      <c r="X35" s="1563"/>
      <c r="Y35" s="1758"/>
      <c r="Z35" s="1596"/>
      <c r="AA35" s="1758"/>
      <c r="AB35" s="220" t="s">
        <v>1752</v>
      </c>
      <c r="AC35" s="762" t="s">
        <v>1753</v>
      </c>
      <c r="AD35" s="930" t="s">
        <v>1514</v>
      </c>
      <c r="AE35" s="3557"/>
      <c r="AF35" s="3557"/>
      <c r="AG35" s="3557"/>
      <c r="AH35" s="3557"/>
      <c r="AI35" s="3557"/>
      <c r="AJ35" s="3557"/>
      <c r="AK35" s="3557"/>
      <c r="AL35" s="3557"/>
      <c r="AM35" s="3557"/>
      <c r="AN35" s="3557"/>
      <c r="AO35" s="3557"/>
      <c r="AP35" s="3557"/>
      <c r="AQ35" s="3557"/>
      <c r="AR35" s="3557"/>
      <c r="AS35" s="3557"/>
      <c r="AT35" s="3557"/>
      <c r="AU35" s="3557"/>
      <c r="AV35" s="3557"/>
      <c r="AW35" s="3557"/>
      <c r="AX35" s="3557"/>
      <c r="AY35" s="3557"/>
      <c r="AZ35" s="3557"/>
      <c r="BA35" s="3557"/>
      <c r="BB35" s="3557"/>
      <c r="BC35" s="2070"/>
      <c r="BD35" s="1758"/>
      <c r="BE35" s="1758"/>
      <c r="BF35" s="997" t="s">
        <v>1754</v>
      </c>
    </row>
    <row s="1758" customFormat="1" customHeight="1" ht="35.1" hidden="1">
      <c r="A36" s="1758"/>
      <c r="B36" s="428"/>
      <c r="C36" s="1758"/>
      <c r="D36" s="1758"/>
      <c r="E36" s="618">
        <v>36</v>
      </c>
      <c r="F36" s="50" cm="1" t="str">
        <f t="array" ref="F36:F36">OFFSET(E36,-1,1)</f>
        <v>0</v>
      </c>
      <c r="G36" s="1758"/>
      <c r="H36" s="1758"/>
      <c r="I36" s="1758"/>
      <c r="J36" s="1758"/>
      <c r="K36" s="1758"/>
      <c r="L36" s="1758"/>
      <c r="M36" s="1758"/>
      <c r="N36" s="1758"/>
      <c r="O36" s="1758"/>
      <c r="P36" s="1758"/>
      <c r="Q36" s="1758"/>
      <c r="R36" s="1758"/>
      <c r="S36" s="1758"/>
      <c r="T36" s="465" cm="1" t="str">
        <f t="array" ref="T36:T36">T35</f>
        <v>false</v>
      </c>
      <c r="U36" s="1758"/>
      <c r="V36" s="1758"/>
      <c r="W36" s="1758"/>
      <c r="X36" s="1563"/>
      <c r="Y36" s="1758"/>
      <c r="Z36" s="1596"/>
      <c r="AA36" s="1758"/>
      <c r="AB36" s="220" t="s">
        <v>1755</v>
      </c>
      <c r="AC36" s="762" t="s">
        <v>1756</v>
      </c>
      <c r="AD36" s="930" t="s">
        <v>1514</v>
      </c>
      <c r="AE36" s="3557"/>
      <c r="AF36" s="3557"/>
      <c r="AG36" s="3557"/>
      <c r="AH36" s="3557"/>
      <c r="AI36" s="3557"/>
      <c r="AJ36" s="3557"/>
      <c r="AK36" s="3557"/>
      <c r="AL36" s="3557"/>
      <c r="AM36" s="3557"/>
      <c r="AN36" s="3557"/>
      <c r="AO36" s="3557"/>
      <c r="AP36" s="3557"/>
      <c r="AQ36" s="3557"/>
      <c r="AR36" s="3557"/>
      <c r="AS36" s="3557"/>
      <c r="AT36" s="3557"/>
      <c r="AU36" s="3557"/>
      <c r="AV36" s="3557"/>
      <c r="AW36" s="3557"/>
      <c r="AX36" s="3557"/>
      <c r="AY36" s="3557"/>
      <c r="AZ36" s="3557"/>
      <c r="BA36" s="3557"/>
      <c r="BB36" s="3557"/>
      <c r="BC36" s="2070"/>
      <c r="BD36" s="1758"/>
      <c r="BE36" s="1758"/>
      <c r="BF36" s="997" t="s">
        <v>1757</v>
      </c>
    </row>
    <row s="538" customFormat="1" customHeight="1" ht="14.25">
      <c r="A37" s="1758"/>
      <c r="B37" s="428"/>
      <c r="C37" s="1758"/>
      <c r="D37" s="1758"/>
      <c r="E37" s="618">
        <v>15</v>
      </c>
      <c r="F37" s="98" cm="1" t="str">
        <f t="array" ref="F37:F37">X37</f>
        <v>1</v>
      </c>
      <c r="G37" s="1758"/>
      <c r="H37" s="1758"/>
      <c r="I37" s="1758"/>
      <c r="J37" s="1758"/>
      <c r="K37" s="1758"/>
      <c r="L37" s="1758"/>
      <c r="M37" s="1758"/>
      <c r="N37" s="1758"/>
      <c r="O37" s="1758"/>
      <c r="P37" s="1758"/>
      <c r="Q37" s="1758"/>
      <c r="R37" s="1758"/>
      <c r="S37" s="1758"/>
      <c r="T37" s="465">
        <f>X37&gt;0</f>
        <v>1</v>
      </c>
      <c r="U37" s="1758"/>
      <c r="V37" s="122" cm="1" t="str">
        <f t="array" ref="V37:V37">'Амортизация (аналог)'!$AB$34</f>
        <v>Тариф 1 (Водоснабжение) - тариф на питьевую воду (Доп. признак не требуется)</v>
      </c>
      <c r="W37" s="1758"/>
      <c r="X37" s="1563" t="s">
        <v>276</v>
      </c>
      <c r="Y37" s="1758"/>
      <c r="Z37" s="1596"/>
      <c r="AA37" s="1758"/>
      <c r="AB37" s="222" cm="1" t="str">
        <f t="array" ref="AB37:AB37">'Амортизация (аналог)'!$AB$34</f>
        <v>Тариф 1 (Водоснабжение) - тариф на питьевую воду (Доп. признак не требуется)</v>
      </c>
      <c r="AC37" s="180"/>
      <c r="AD37" s="174"/>
      <c r="AE37" s="174"/>
      <c r="AF37" s="174"/>
      <c r="AG37" s="174"/>
      <c r="AH37" s="174"/>
      <c r="AI37" s="174"/>
      <c r="AJ37" s="174"/>
      <c r="AK37" s="174"/>
      <c r="AL37" s="174"/>
      <c r="AM37" s="174"/>
      <c r="AN37" s="174"/>
      <c r="AO37" s="174"/>
      <c r="AP37" s="174"/>
      <c r="AQ37" s="174"/>
      <c r="AR37" s="174"/>
      <c r="AS37" s="174"/>
      <c r="AT37" s="174"/>
      <c r="AU37" s="174"/>
      <c r="AV37" s="174"/>
      <c r="AW37" s="174"/>
      <c r="AX37" s="174"/>
      <c r="AY37" s="174"/>
      <c r="AZ37" s="174"/>
      <c r="BA37" s="174"/>
      <c r="BB37" s="174"/>
      <c r="BC37" s="210"/>
      <c r="BD37" s="1758"/>
      <c r="BE37" s="1758"/>
      <c r="BF37" s="997"/>
    </row>
    <row s="538" customFormat="1" customHeight="1" ht="71.25">
      <c r="A38" s="1758"/>
      <c r="B38" s="428"/>
      <c r="C38" s="1758"/>
      <c r="D38" s="1758"/>
      <c r="E38" s="618">
        <v>73.5</v>
      </c>
      <c r="F38" s="50" cm="1" t="str">
        <f t="array" ref="F38:F38">OFFSET(E38,-1,1)</f>
        <v>1</v>
      </c>
      <c r="G38" s="494" t="s">
        <v>1730</v>
      </c>
      <c r="H38" s="122" t="s">
        <v>332</v>
      </c>
      <c r="I38" s="1758"/>
      <c r="J38" s="1758"/>
      <c r="K38" s="124" t="str">
        <f>F38&amp;"komm"</f>
        <v>1komm</v>
      </c>
      <c r="L38" s="919" cm="1" t="str">
        <f t="array" ref="L38:L38">BC38</f>
        <v>В соответствии с п.п.3 п.49 Методических указаний 1746-э расходы на арендную плату и лизинговые платежи, размер которых определяется с учетом требований, предусмотренных пунктом 29 настоящих Методических указаний.​</v>
      </c>
      <c r="M38" s="1758"/>
      <c r="N38" s="1758"/>
      <c r="O38" s="1758"/>
      <c r="P38" s="1758"/>
      <c r="Q38" s="1758"/>
      <c r="R38" s="1758"/>
      <c r="S38" s="1758"/>
      <c r="T38" s="465" cm="1" t="str">
        <f t="array" ref="T38:T38">T37</f>
        <v>true</v>
      </c>
      <c r="U38" s="1758"/>
      <c r="V38" s="1758"/>
      <c r="W38" s="1758"/>
      <c r="X38" s="1563"/>
      <c r="Y38" s="1758"/>
      <c r="Z38" s="1596"/>
      <c r="AA38" s="1758"/>
      <c r="AB38" s="218" t="s">
        <v>276</v>
      </c>
      <c r="AC38" s="219" t="s">
        <v>1731</v>
      </c>
      <c r="AD38" s="205" t="s">
        <v>1514</v>
      </c>
      <c r="AE38" s="773">
        <f>AE39+AE42+AE43+AE44</f>
        <v>0</v>
      </c>
      <c r="AF38" s="773">
        <f>AF39+AF42+AF43+AF44</f>
        <v>0</v>
      </c>
      <c r="AG38" s="773">
        <f>AG39+AG42+AG43+AG44</f>
        <v>0</v>
      </c>
      <c r="AH38" s="773">
        <f>AH39+AH42+AH43+AH44</f>
        <v>0</v>
      </c>
      <c r="AI38" s="773">
        <f>AI39+AI42+AI43+AI44</f>
        <v>73.45</v>
      </c>
      <c r="AJ38" s="773">
        <f>AJ39+AJ42+AJ43+AJ44</f>
        <v>73.45</v>
      </c>
      <c r="AK38" s="773">
        <f>AK39+AK42+AK43+AK44</f>
        <v>73.45</v>
      </c>
      <c r="AL38" s="773">
        <f>AL39+AL42+AL43+AL44</f>
        <v>73.45</v>
      </c>
      <c r="AM38" s="773">
        <f>AM39+AM42+AM43+AM44</f>
        <v>73.45</v>
      </c>
      <c r="AN38" s="773">
        <f>AN39+AN42+AN43+AN44</f>
        <v>0</v>
      </c>
      <c r="AO38" s="773">
        <f>AO39+AO42+AO43+AO44</f>
        <v>0</v>
      </c>
      <c r="AP38" s="773">
        <f>AP39+AP42+AP43+AP44</f>
        <v>0</v>
      </c>
      <c r="AQ38" s="773">
        <f>AQ39+AQ42+AQ43+AQ44</f>
        <v>0</v>
      </c>
      <c r="AR38" s="773">
        <f>AR39+AR42+AR43+AR44</f>
        <v>0</v>
      </c>
      <c r="AS38" s="773">
        <f>AS39+AS42+AS43+AS44</f>
        <v>73.45</v>
      </c>
      <c r="AT38" s="773">
        <f>AT39+AT42+AT43+AT44</f>
        <v>73.45</v>
      </c>
      <c r="AU38" s="773">
        <f>AU39+AU42+AU43+AU44</f>
        <v>73.45</v>
      </c>
      <c r="AV38" s="773">
        <f>AV39+AV42+AV43+AV44</f>
        <v>73.45</v>
      </c>
      <c r="AW38" s="773">
        <f>AW39+AW42+AW43+AW44</f>
        <v>73.45</v>
      </c>
      <c r="AX38" s="773">
        <f>AX39+AX42+AX43+AX44</f>
        <v>0</v>
      </c>
      <c r="AY38" s="773">
        <f>AY39+AY42+AY43+AY44</f>
        <v>0</v>
      </c>
      <c r="AZ38" s="773">
        <f>AZ39+AZ42+AZ43+AZ44</f>
        <v>0</v>
      </c>
      <c r="BA38" s="773">
        <f>BA39+BA42+BA43+BA44</f>
        <v>0</v>
      </c>
      <c r="BB38" s="773">
        <f>BB39+BB42+BB43+BB44</f>
        <v>0</v>
      </c>
      <c r="BC38" s="200" t="s">
        <v>1758</v>
      </c>
      <c r="BD38" s="1758"/>
      <c r="BE38" s="1758"/>
      <c r="BF38" s="1040" t="s">
        <v>1732</v>
      </c>
    </row>
    <row s="538" customFormat="1" customHeight="1" ht="0">
      <c r="A39" s="1758"/>
      <c r="B39" s="428"/>
      <c r="C39" s="1758"/>
      <c r="D39" s="122" t="s">
        <v>1733</v>
      </c>
      <c r="E39" s="618">
        <v>15</v>
      </c>
      <c r="F39" s="50" cm="1" t="str">
        <f t="array" ref="F39:F39">OFFSET(E39,-1,1)</f>
        <v>1</v>
      </c>
      <c r="G39" s="1758"/>
      <c r="H39" s="122" t="s">
        <v>1175</v>
      </c>
      <c r="I39" s="1758"/>
      <c r="J39" s="1758"/>
      <c r="K39" s="1758"/>
      <c r="L39" s="1758"/>
      <c r="M39" s="1758"/>
      <c r="N39" s="1758"/>
      <c r="O39" s="1758"/>
      <c r="P39" s="1758"/>
      <c r="Q39" s="1758"/>
      <c r="R39" s="1758"/>
      <c r="S39" s="1758"/>
      <c r="T39" s="465" cm="1" t="str">
        <f t="array" ref="T39:T39">T38</f>
        <v>true</v>
      </c>
      <c r="U39" s="1758"/>
      <c r="V39" s="1758"/>
      <c r="W39" s="1758"/>
      <c r="X39" s="1563"/>
      <c r="Y39" s="1758"/>
      <c r="Z39" s="1596"/>
      <c r="AA39" s="1758"/>
      <c r="AB39" s="220" t="s">
        <v>1628</v>
      </c>
      <c r="AC39" s="762" t="s">
        <v>1733</v>
      </c>
      <c r="AD39" s="930" t="s">
        <v>1514</v>
      </c>
      <c r="AE39" s="772">
        <f>SUM(AE40:AE41)</f>
        <v>0</v>
      </c>
      <c r="AF39" s="772">
        <f>SUM(AF40:AF41)</f>
        <v>0</v>
      </c>
      <c r="AG39" s="772">
        <f>SUM(AG40:AG41)</f>
        <v>0</v>
      </c>
      <c r="AH39" s="772">
        <f>SUM(AH40:AH41)</f>
        <v>0</v>
      </c>
      <c r="AI39" s="772">
        <f>SUM(AI40:AI41)</f>
        <v>0</v>
      </c>
      <c r="AJ39" s="772">
        <f>SUM(AJ40:AJ41)</f>
        <v>0</v>
      </c>
      <c r="AK39" s="772">
        <f>SUM(AK40:AK41)</f>
        <v>0</v>
      </c>
      <c r="AL39" s="772">
        <f>SUM(AL40:AL41)</f>
        <v>0</v>
      </c>
      <c r="AM39" s="772">
        <f>SUM(AM40:AM41)</f>
        <v>0</v>
      </c>
      <c r="AN39" s="3557">
        <f>SUM(AN40:AN41)</f>
        <v>0</v>
      </c>
      <c r="AO39" s="3557">
        <f>SUM(AO40:AO41)</f>
        <v>0</v>
      </c>
      <c r="AP39" s="3557">
        <f>SUM(AP40:AP41)</f>
        <v>0</v>
      </c>
      <c r="AQ39" s="3557">
        <f>SUM(AQ40:AQ41)</f>
        <v>0</v>
      </c>
      <c r="AR39" s="3557">
        <f>SUM(AR40:AR41)</f>
        <v>0</v>
      </c>
      <c r="AS39" s="772">
        <f>SUM(AS40:AS41)</f>
        <v>0</v>
      </c>
      <c r="AT39" s="772">
        <f>SUM(AT40:AT41)</f>
        <v>0</v>
      </c>
      <c r="AU39" s="772">
        <f>SUM(AU40:AU41)</f>
        <v>0</v>
      </c>
      <c r="AV39" s="772">
        <f>SUM(AV40:AV41)</f>
        <v>0</v>
      </c>
      <c r="AW39" s="772">
        <f>SUM(AW40:AW41)</f>
        <v>0</v>
      </c>
      <c r="AX39" s="3557">
        <f>SUM(AX40:AX41)</f>
        <v>0</v>
      </c>
      <c r="AY39" s="3557">
        <f>SUM(AY40:AY41)</f>
        <v>0</v>
      </c>
      <c r="AZ39" s="3557">
        <f>SUM(AZ40:AZ41)</f>
        <v>0</v>
      </c>
      <c r="BA39" s="3557">
        <f>SUM(BA40:BA41)</f>
        <v>0</v>
      </c>
      <c r="BB39" s="3557">
        <f>SUM(BB40:BB41)</f>
        <v>0</v>
      </c>
      <c r="BC39" s="200"/>
      <c r="BD39" s="1758"/>
      <c r="BE39" s="1758"/>
      <c r="BF39" s="1040" t="s">
        <v>1734</v>
      </c>
    </row>
    <row s="538" customFormat="1" customHeight="1" ht="0">
      <c r="A40" s="1758"/>
      <c r="B40" s="428"/>
      <c r="C40" s="1758"/>
      <c r="D40" s="1758"/>
      <c r="E40" s="618">
        <v>24</v>
      </c>
      <c r="F40" s="50" cm="1" t="str">
        <f t="array" ref="F40:F40">OFFSET(E40,-1,1)</f>
        <v>1</v>
      </c>
      <c r="G40" s="1758"/>
      <c r="H40" s="122" t="s">
        <v>1735</v>
      </c>
      <c r="I40" s="1758"/>
      <c r="J40" s="1758"/>
      <c r="K40" s="1758"/>
      <c r="L40" s="1758"/>
      <c r="M40" s="1758"/>
      <c r="N40" s="1758"/>
      <c r="O40" s="1758"/>
      <c r="P40" s="1758"/>
      <c r="Q40" s="1758"/>
      <c r="R40" s="1758"/>
      <c r="S40" s="1758"/>
      <c r="T40" s="465" cm="1" t="str">
        <f t="array" ref="T40:T40">T39</f>
        <v>true</v>
      </c>
      <c r="U40" s="1758"/>
      <c r="V40" s="1758"/>
      <c r="W40" s="1758"/>
      <c r="X40" s="1563"/>
      <c r="Y40" s="1758"/>
      <c r="Z40" s="1596"/>
      <c r="AA40" s="1758"/>
      <c r="AB40" s="220" t="s">
        <v>1736</v>
      </c>
      <c r="AC40" s="765" t="s">
        <v>1737</v>
      </c>
      <c r="AD40" s="930" t="s">
        <v>1514</v>
      </c>
      <c r="AE40" s="772"/>
      <c r="AF40" s="772"/>
      <c r="AG40" s="772"/>
      <c r="AH40" s="772"/>
      <c r="AI40" s="772"/>
      <c r="AJ40" s="772"/>
      <c r="AK40" s="772"/>
      <c r="AL40" s="772"/>
      <c r="AM40" s="772"/>
      <c r="AN40" s="3557"/>
      <c r="AO40" s="3557"/>
      <c r="AP40" s="3557"/>
      <c r="AQ40" s="3557"/>
      <c r="AR40" s="3557"/>
      <c r="AS40" s="772"/>
      <c r="AT40" s="772"/>
      <c r="AU40" s="772"/>
      <c r="AV40" s="772"/>
      <c r="AW40" s="772"/>
      <c r="AX40" s="3557"/>
      <c r="AY40" s="3557"/>
      <c r="AZ40" s="3557"/>
      <c r="BA40" s="3557"/>
      <c r="BB40" s="3557"/>
      <c r="BC40" s="200"/>
      <c r="BD40" s="1758"/>
      <c r="BE40" s="1758"/>
      <c r="BF40" s="997" t="s">
        <v>1738</v>
      </c>
    </row>
    <row s="538" customFormat="1" customHeight="1" ht="0">
      <c r="A41" s="1758"/>
      <c r="B41" s="428"/>
      <c r="C41" s="1758"/>
      <c r="D41" s="1758"/>
      <c r="E41" s="618">
        <v>15</v>
      </c>
      <c r="F41" s="50" cm="1" t="str">
        <f t="array" ref="F41:F41">OFFSET(E41,-1,1)</f>
        <v>1</v>
      </c>
      <c r="G41" s="1758"/>
      <c r="H41" s="122" t="s">
        <v>1739</v>
      </c>
      <c r="I41" s="1758"/>
      <c r="J41" s="1758"/>
      <c r="K41" s="1758"/>
      <c r="L41" s="1758"/>
      <c r="M41" s="1758"/>
      <c r="N41" s="1758"/>
      <c r="O41" s="1758"/>
      <c r="P41" s="1758"/>
      <c r="Q41" s="1758"/>
      <c r="R41" s="1758"/>
      <c r="S41" s="1758"/>
      <c r="T41" s="465" cm="1" t="str">
        <f t="array" ref="T41:T41">T40</f>
        <v>true</v>
      </c>
      <c r="U41" s="1758"/>
      <c r="V41" s="1758"/>
      <c r="W41" s="1758"/>
      <c r="X41" s="1563"/>
      <c r="Y41" s="1758"/>
      <c r="Z41" s="1596"/>
      <c r="AA41" s="1758"/>
      <c r="AB41" s="220" t="s">
        <v>1740</v>
      </c>
      <c r="AC41" s="765" t="s">
        <v>1741</v>
      </c>
      <c r="AD41" s="930" t="s">
        <v>1514</v>
      </c>
      <c r="AE41" s="772"/>
      <c r="AF41" s="772"/>
      <c r="AG41" s="772"/>
      <c r="AH41" s="772"/>
      <c r="AI41" s="772"/>
      <c r="AJ41" s="772"/>
      <c r="AK41" s="772"/>
      <c r="AL41" s="772"/>
      <c r="AM41" s="772"/>
      <c r="AN41" s="3557"/>
      <c r="AO41" s="3557"/>
      <c r="AP41" s="3557"/>
      <c r="AQ41" s="3557"/>
      <c r="AR41" s="3557"/>
      <c r="AS41" s="772"/>
      <c r="AT41" s="772"/>
      <c r="AU41" s="772"/>
      <c r="AV41" s="772"/>
      <c r="AW41" s="772"/>
      <c r="AX41" s="3557"/>
      <c r="AY41" s="3557"/>
      <c r="AZ41" s="3557"/>
      <c r="BA41" s="3557"/>
      <c r="BB41" s="3557"/>
      <c r="BC41" s="200"/>
      <c r="BD41" s="1758"/>
      <c r="BE41" s="1758"/>
      <c r="BF41" s="997" t="s">
        <v>1742</v>
      </c>
    </row>
    <row s="538" customFormat="1" customHeight="1" ht="0">
      <c r="A42" s="1758"/>
      <c r="B42" s="428"/>
      <c r="C42" s="1758"/>
      <c r="D42" s="122" t="s">
        <v>1743</v>
      </c>
      <c r="E42" s="618">
        <v>15</v>
      </c>
      <c r="F42" s="50" cm="1" t="str">
        <f t="array" ref="F42:F42">OFFSET(E42,-1,1)</f>
        <v>1</v>
      </c>
      <c r="G42" s="1758"/>
      <c r="H42" s="122" t="s">
        <v>1179</v>
      </c>
      <c r="I42" s="1758"/>
      <c r="J42" s="1758"/>
      <c r="K42" s="1758"/>
      <c r="L42" s="1758"/>
      <c r="M42" s="1758"/>
      <c r="N42" s="1758"/>
      <c r="O42" s="1758"/>
      <c r="P42" s="1758"/>
      <c r="Q42" s="1758"/>
      <c r="R42" s="1758"/>
      <c r="S42" s="1758"/>
      <c r="T42" s="465" cm="1" t="str">
        <f t="array" ref="T42:T42">T41</f>
        <v>true</v>
      </c>
      <c r="U42" s="1758"/>
      <c r="V42" s="1758"/>
      <c r="W42" s="1758"/>
      <c r="X42" s="1563"/>
      <c r="Y42" s="1758"/>
      <c r="Z42" s="1596"/>
      <c r="AA42" s="1758"/>
      <c r="AB42" s="220" t="s">
        <v>1631</v>
      </c>
      <c r="AC42" s="931" t="s">
        <v>1744</v>
      </c>
      <c r="AD42" s="930" t="s">
        <v>1514</v>
      </c>
      <c r="AE42" s="772"/>
      <c r="AF42" s="772"/>
      <c r="AG42" s="772"/>
      <c r="AH42" s="772"/>
      <c r="AI42" s="772"/>
      <c r="AJ42" s="772"/>
      <c r="AK42" s="772"/>
      <c r="AL42" s="772"/>
      <c r="AM42" s="772"/>
      <c r="AN42" s="3557"/>
      <c r="AO42" s="3557"/>
      <c r="AP42" s="3557"/>
      <c r="AQ42" s="3557"/>
      <c r="AR42" s="3557"/>
      <c r="AS42" s="772"/>
      <c r="AT42" s="772"/>
      <c r="AU42" s="772"/>
      <c r="AV42" s="772"/>
      <c r="AW42" s="772"/>
      <c r="AX42" s="3557"/>
      <c r="AY42" s="3557"/>
      <c r="AZ42" s="3557"/>
      <c r="BA42" s="3557"/>
      <c r="BB42" s="3557"/>
      <c r="BC42" s="200"/>
      <c r="BD42" s="1758"/>
      <c r="BE42" s="1758"/>
      <c r="BF42" s="997" t="s">
        <v>1745</v>
      </c>
    </row>
    <row s="538" customFormat="1" customHeight="1" ht="0">
      <c r="A43" s="1758"/>
      <c r="B43" s="428"/>
      <c r="C43" s="1758"/>
      <c r="D43" s="122" t="s">
        <v>1746</v>
      </c>
      <c r="E43" s="618">
        <v>15</v>
      </c>
      <c r="F43" s="50" cm="1" t="str">
        <f t="array" ref="F43:F43">OFFSET(E43,-1,1)</f>
        <v>1</v>
      </c>
      <c r="G43" s="1758"/>
      <c r="H43" s="122" t="s">
        <v>1182</v>
      </c>
      <c r="I43" s="1758"/>
      <c r="J43" s="1758"/>
      <c r="K43" s="1758"/>
      <c r="L43" s="1758"/>
      <c r="M43" s="1758"/>
      <c r="N43" s="1758"/>
      <c r="O43" s="1758"/>
      <c r="P43" s="1758"/>
      <c r="Q43" s="1758"/>
      <c r="R43" s="1758"/>
      <c r="S43" s="1758"/>
      <c r="T43" s="465" cm="1" t="str">
        <f t="array" ref="T43:T43">T42</f>
        <v>true</v>
      </c>
      <c r="U43" s="1758"/>
      <c r="V43" s="1758"/>
      <c r="W43" s="1758"/>
      <c r="X43" s="1563"/>
      <c r="Y43" s="1758"/>
      <c r="Z43" s="1596"/>
      <c r="AA43" s="1758"/>
      <c r="AB43" s="220" t="s">
        <v>1634</v>
      </c>
      <c r="AC43" s="762" t="s">
        <v>1747</v>
      </c>
      <c r="AD43" s="930" t="s">
        <v>1514</v>
      </c>
      <c r="AE43" s="772"/>
      <c r="AF43" s="772"/>
      <c r="AG43" s="772"/>
      <c r="AH43" s="772"/>
      <c r="AI43" s="772"/>
      <c r="AJ43" s="772"/>
      <c r="AK43" s="772"/>
      <c r="AL43" s="772"/>
      <c r="AM43" s="772"/>
      <c r="AN43" s="3557"/>
      <c r="AO43" s="3557"/>
      <c r="AP43" s="3557"/>
      <c r="AQ43" s="3557"/>
      <c r="AR43" s="3557"/>
      <c r="AS43" s="772"/>
      <c r="AT43" s="772"/>
      <c r="AU43" s="772"/>
      <c r="AV43" s="772"/>
      <c r="AW43" s="772"/>
      <c r="AX43" s="3557"/>
      <c r="AY43" s="3557"/>
      <c r="AZ43" s="3557"/>
      <c r="BA43" s="3557"/>
      <c r="BB43" s="3557"/>
      <c r="BC43" s="200"/>
      <c r="BD43" s="1758"/>
      <c r="BE43" s="1758"/>
      <c r="BF43" s="997" t="s">
        <v>1748</v>
      </c>
    </row>
    <row s="538" customFormat="1" customHeight="1" ht="14.25">
      <c r="A44" s="1758"/>
      <c r="B44" s="428"/>
      <c r="C44" s="1758"/>
      <c r="D44" s="122" t="s">
        <v>1749</v>
      </c>
      <c r="E44" s="618">
        <v>15</v>
      </c>
      <c r="F44" s="50" cm="1" t="str">
        <f t="array" ref="F44:F44">OFFSET(E44,-1,1)</f>
        <v>1</v>
      </c>
      <c r="G44" s="1758"/>
      <c r="H44" s="122" t="s">
        <v>1186</v>
      </c>
      <c r="I44" s="1758"/>
      <c r="J44" s="1758"/>
      <c r="K44" s="1758"/>
      <c r="L44" s="1758"/>
      <c r="M44" s="1758"/>
      <c r="N44" s="1758"/>
      <c r="O44" s="1758"/>
      <c r="P44" s="1758"/>
      <c r="Q44" s="1758"/>
      <c r="R44" s="1758"/>
      <c r="S44" s="1758"/>
      <c r="T44" s="465" cm="1" t="str">
        <f t="array" ref="T44:T44">T43</f>
        <v>true</v>
      </c>
      <c r="U44" s="1758"/>
      <c r="V44" s="1758"/>
      <c r="W44" s="1758"/>
      <c r="X44" s="1563"/>
      <c r="Y44" s="1758"/>
      <c r="Z44" s="1596"/>
      <c r="AA44" s="1758"/>
      <c r="AB44" s="220" t="s">
        <v>1637</v>
      </c>
      <c r="AC44" s="762" t="s">
        <v>1750</v>
      </c>
      <c r="AD44" s="930" t="s">
        <v>1514</v>
      </c>
      <c r="AE44" s="772">
        <f>SUM(AE45:AE46)</f>
        <v>0</v>
      </c>
      <c r="AF44" s="772">
        <f>SUM(AF45:AF46)</f>
        <v>0</v>
      </c>
      <c r="AG44" s="772">
        <f>SUM(AG45:AG46)</f>
        <v>0</v>
      </c>
      <c r="AH44" s="772">
        <f>SUM(AH45:AH46)</f>
        <v>0</v>
      </c>
      <c r="AI44" s="772">
        <f>SUM(AI45:AI46)</f>
        <v>73.45</v>
      </c>
      <c r="AJ44" s="772">
        <f>SUM(AJ45:AJ46)</f>
        <v>73.45</v>
      </c>
      <c r="AK44" s="772">
        <f>SUM(AK45:AK46)</f>
        <v>73.45</v>
      </c>
      <c r="AL44" s="772">
        <f>SUM(AL45:AL46)</f>
        <v>73.45</v>
      </c>
      <c r="AM44" s="772">
        <f>SUM(AM45:AM46)</f>
        <v>73.45</v>
      </c>
      <c r="AN44" s="3557">
        <f>SUM(AN45:AN46)</f>
        <v>0</v>
      </c>
      <c r="AO44" s="3557">
        <f>SUM(AO45:AO46)</f>
        <v>0</v>
      </c>
      <c r="AP44" s="3557">
        <f>SUM(AP45:AP46)</f>
        <v>0</v>
      </c>
      <c r="AQ44" s="3557">
        <f>SUM(AQ45:AQ46)</f>
        <v>0</v>
      </c>
      <c r="AR44" s="3557">
        <f>SUM(AR45:AR46)</f>
        <v>0</v>
      </c>
      <c r="AS44" s="772">
        <f>SUM(AS45:AS46)</f>
        <v>73.45</v>
      </c>
      <c r="AT44" s="772">
        <f>SUM(AT45:AT46)</f>
        <v>73.45</v>
      </c>
      <c r="AU44" s="772">
        <f>SUM(AU45:AU46)</f>
        <v>73.45</v>
      </c>
      <c r="AV44" s="772">
        <f>SUM(AV45:AV46)</f>
        <v>73.45</v>
      </c>
      <c r="AW44" s="772">
        <f>SUM(AW45:AW46)</f>
        <v>73.45</v>
      </c>
      <c r="AX44" s="3557">
        <f>SUM(AX45:AX46)</f>
        <v>0</v>
      </c>
      <c r="AY44" s="3557">
        <f>SUM(AY45:AY46)</f>
        <v>0</v>
      </c>
      <c r="AZ44" s="3557">
        <f>SUM(AZ45:AZ46)</f>
        <v>0</v>
      </c>
      <c r="BA44" s="3557">
        <f>SUM(BA45:BA46)</f>
        <v>0</v>
      </c>
      <c r="BB44" s="3557">
        <f>SUM(BB45:BB46)</f>
        <v>0</v>
      </c>
      <c r="BC44" s="200"/>
      <c r="BD44" s="1758"/>
      <c r="BE44" s="1758"/>
      <c r="BF44" s="997" t="s">
        <v>1751</v>
      </c>
    </row>
    <row s="538" customFormat="1" customHeight="1" ht="34.5">
      <c r="A45" s="1758"/>
      <c r="B45" s="428"/>
      <c r="C45" s="1758"/>
      <c r="D45" s="1758"/>
      <c r="E45" s="618">
        <v>36</v>
      </c>
      <c r="F45" s="50" cm="1" t="str">
        <f t="array" ref="F45:F45">OFFSET(E45,-1,1)</f>
        <v>1</v>
      </c>
      <c r="G45" s="1758"/>
      <c r="H45" s="1758"/>
      <c r="I45" s="1758"/>
      <c r="J45" s="1758"/>
      <c r="K45" s="1758"/>
      <c r="L45" s="1758"/>
      <c r="M45" s="1758"/>
      <c r="N45" s="1758"/>
      <c r="O45" s="1758"/>
      <c r="P45" s="1758"/>
      <c r="Q45" s="1758"/>
      <c r="R45" s="1758"/>
      <c r="S45" s="1758"/>
      <c r="T45" s="465" cm="1" t="str">
        <f t="array" ref="T45:T45">T44</f>
        <v>true</v>
      </c>
      <c r="U45" s="1758"/>
      <c r="V45" s="1758"/>
      <c r="W45" s="1758"/>
      <c r="X45" s="1563"/>
      <c r="Y45" s="1758"/>
      <c r="Z45" s="1596"/>
      <c r="AA45" s="1758"/>
      <c r="AB45" s="220" t="s">
        <v>1752</v>
      </c>
      <c r="AC45" s="762" t="s">
        <v>1753</v>
      </c>
      <c r="AD45" s="930" t="s">
        <v>1514</v>
      </c>
      <c r="AE45" s="772"/>
      <c r="AF45" s="772"/>
      <c r="AG45" s="772"/>
      <c r="AH45" s="772"/>
      <c r="AI45" s="772">
        <v>73.45</v>
      </c>
      <c r="AJ45" s="772">
        <v>73.45</v>
      </c>
      <c r="AK45" s="772">
        <v>73.45</v>
      </c>
      <c r="AL45" s="772">
        <v>73.45</v>
      </c>
      <c r="AM45" s="772">
        <v>73.45</v>
      </c>
      <c r="AN45" s="3557"/>
      <c r="AO45" s="3557"/>
      <c r="AP45" s="3557"/>
      <c r="AQ45" s="3557"/>
      <c r="AR45" s="3557"/>
      <c r="AS45" s="772">
        <v>73.45</v>
      </c>
      <c r="AT45" s="772">
        <v>73.45</v>
      </c>
      <c r="AU45" s="772">
        <v>73.45</v>
      </c>
      <c r="AV45" s="772">
        <v>73.45</v>
      </c>
      <c r="AW45" s="772">
        <v>73.45</v>
      </c>
      <c r="AX45" s="3557"/>
      <c r="AY45" s="3557"/>
      <c r="AZ45" s="3557"/>
      <c r="BA45" s="3557"/>
      <c r="BB45" s="3557"/>
      <c r="BC45" s="200"/>
      <c r="BD45" s="1758"/>
      <c r="BE45" s="1758"/>
      <c r="BF45" s="997" t="s">
        <v>1754</v>
      </c>
    </row>
    <row s="538" customFormat="1" customHeight="1" ht="0">
      <c r="A46" s="1758"/>
      <c r="B46" s="428"/>
      <c r="C46" s="1758"/>
      <c r="D46" s="1758"/>
      <c r="E46" s="618">
        <v>36</v>
      </c>
      <c r="F46" s="50" cm="1" t="str">
        <f t="array" ref="F46:F46">OFFSET(E46,-1,1)</f>
        <v>1</v>
      </c>
      <c r="G46" s="1758"/>
      <c r="H46" s="1758"/>
      <c r="I46" s="1758"/>
      <c r="J46" s="1758"/>
      <c r="K46" s="1758"/>
      <c r="L46" s="1758"/>
      <c r="M46" s="1758"/>
      <c r="N46" s="1758"/>
      <c r="O46" s="1758"/>
      <c r="P46" s="1758"/>
      <c r="Q46" s="1758"/>
      <c r="R46" s="1758"/>
      <c r="S46" s="1758"/>
      <c r="T46" s="465" cm="1" t="str">
        <f t="array" ref="T46:T46">T45</f>
        <v>true</v>
      </c>
      <c r="U46" s="1758"/>
      <c r="V46" s="1758"/>
      <c r="W46" s="1758"/>
      <c r="X46" s="1563"/>
      <c r="Y46" s="1758"/>
      <c r="Z46" s="1596"/>
      <c r="AA46" s="1758"/>
      <c r="AB46" s="220" t="s">
        <v>1755</v>
      </c>
      <c r="AC46" s="762" t="s">
        <v>1756</v>
      </c>
      <c r="AD46" s="930" t="s">
        <v>1514</v>
      </c>
      <c r="AE46" s="772"/>
      <c r="AF46" s="772"/>
      <c r="AG46" s="772"/>
      <c r="AH46" s="772"/>
      <c r="AI46" s="772"/>
      <c r="AJ46" s="772"/>
      <c r="AK46" s="772"/>
      <c r="AL46" s="772"/>
      <c r="AM46" s="772"/>
      <c r="AN46" s="3557"/>
      <c r="AO46" s="3557"/>
      <c r="AP46" s="3557"/>
      <c r="AQ46" s="3557"/>
      <c r="AR46" s="3557"/>
      <c r="AS46" s="772"/>
      <c r="AT46" s="772"/>
      <c r="AU46" s="772"/>
      <c r="AV46" s="772"/>
      <c r="AW46" s="772"/>
      <c r="AX46" s="3557"/>
      <c r="AY46" s="3557"/>
      <c r="AZ46" s="3557"/>
      <c r="BA46" s="3557"/>
      <c r="BB46" s="3557"/>
      <c r="BC46" s="200"/>
      <c r="BD46" s="1758"/>
      <c r="BE46" s="1758"/>
      <c r="BF46" s="997" t="s">
        <v>1757</v>
      </c>
    </row>
    <row s="538" customFormat="1" customHeight="1" ht="14.25">
      <c r="A47" s="1758"/>
      <c r="B47" s="428"/>
      <c r="C47" s="1758"/>
      <c r="D47" s="1758"/>
      <c r="E47" s="618">
        <v>15</v>
      </c>
      <c r="F47" s="98" cm="1" t="str">
        <f t="array" ref="F47:F47">X47</f>
        <v>2</v>
      </c>
      <c r="G47" s="1758"/>
      <c r="H47" s="1758"/>
      <c r="I47" s="1758"/>
      <c r="J47" s="1758"/>
      <c r="K47" s="1758"/>
      <c r="L47" s="1758"/>
      <c r="M47" s="1758"/>
      <c r="N47" s="1758"/>
      <c r="O47" s="1758"/>
      <c r="P47" s="1758"/>
      <c r="Q47" s="1758"/>
      <c r="R47" s="1758"/>
      <c r="S47" s="1758"/>
      <c r="T47" s="465">
        <f>X47&gt;0</f>
        <v>1</v>
      </c>
      <c r="U47" s="1758"/>
      <c r="V47" s="122" cm="1" t="str">
        <f t="array" ref="V47:V47">'Амортизация (аналог)'!$AB$41</f>
        <v>Тариф 2 (Водоснабжение) - тариф на питьевую воду (Доп. признак не требуется)</v>
      </c>
      <c r="W47" s="1758"/>
      <c r="X47" s="1563" t="s">
        <v>285</v>
      </c>
      <c r="Y47" s="1758"/>
      <c r="Z47" s="1596"/>
      <c r="AA47" s="1758"/>
      <c r="AB47" s="222" cm="1" t="str">
        <f t="array" ref="AB47:AB47">'Амортизация (аналог)'!$AB$41</f>
        <v>Тариф 2 (Водоснабжение) - тариф на питьевую воду (Доп. признак не требуется)</v>
      </c>
      <c r="AC47" s="180"/>
      <c r="AD47" s="174"/>
      <c r="AE47" s="174"/>
      <c r="AF47" s="174"/>
      <c r="AG47" s="174"/>
      <c r="AH47" s="174"/>
      <c r="AI47" s="174"/>
      <c r="AJ47" s="174"/>
      <c r="AK47" s="174"/>
      <c r="AL47" s="174"/>
      <c r="AM47" s="174"/>
      <c r="AN47" s="174"/>
      <c r="AO47" s="174"/>
      <c r="AP47" s="174"/>
      <c r="AQ47" s="174"/>
      <c r="AR47" s="174"/>
      <c r="AS47" s="174"/>
      <c r="AT47" s="174"/>
      <c r="AU47" s="174"/>
      <c r="AV47" s="174"/>
      <c r="AW47" s="174"/>
      <c r="AX47" s="174"/>
      <c r="AY47" s="174"/>
      <c r="AZ47" s="174"/>
      <c r="BA47" s="174"/>
      <c r="BB47" s="174"/>
      <c r="BC47" s="210"/>
      <c r="BD47" s="1758"/>
      <c r="BE47" s="1758"/>
      <c r="BF47" s="997"/>
    </row>
    <row s="538" customFormat="1" customHeight="1" ht="71.25">
      <c r="A48" s="1758"/>
      <c r="B48" s="428"/>
      <c r="C48" s="1758"/>
      <c r="D48" s="1758"/>
      <c r="E48" s="618">
        <v>73.5</v>
      </c>
      <c r="F48" s="50" cm="1" t="str">
        <f t="array" ref="F48:F48">OFFSET(E48,-1,1)</f>
        <v>2</v>
      </c>
      <c r="G48" s="494" t="s">
        <v>1730</v>
      </c>
      <c r="H48" s="122" t="s">
        <v>332</v>
      </c>
      <c r="I48" s="1758"/>
      <c r="J48" s="1758"/>
      <c r="K48" s="124" t="str">
        <f>F48&amp;"komm"</f>
        <v>2komm</v>
      </c>
      <c r="L48" s="919" cm="1" t="str">
        <f t="array" ref="L48:L48">BC48</f>
        <v>В соответствии с п.п.3 п.49 Методических указаний 1746-э расходы на арендную плату и лизинговые платежи, размер которых определяется с учетом требований, предусмотренных пунктом 29 настоящих Методических указаний.​</v>
      </c>
      <c r="M48" s="1758"/>
      <c r="N48" s="1758"/>
      <c r="O48" s="1758"/>
      <c r="P48" s="1758"/>
      <c r="Q48" s="1758"/>
      <c r="R48" s="1758"/>
      <c r="S48" s="1758"/>
      <c r="T48" s="465" cm="1" t="str">
        <f t="array" ref="T48:T48">T47</f>
        <v>true</v>
      </c>
      <c r="U48" s="1758"/>
      <c r="V48" s="1758"/>
      <c r="W48" s="1758"/>
      <c r="X48" s="1563"/>
      <c r="Y48" s="1758"/>
      <c r="Z48" s="1596"/>
      <c r="AA48" s="1758"/>
      <c r="AB48" s="218" t="s">
        <v>276</v>
      </c>
      <c r="AC48" s="219" t="s">
        <v>1731</v>
      </c>
      <c r="AD48" s="205" t="s">
        <v>1514</v>
      </c>
      <c r="AE48" s="773">
        <f>AE49+AE52+AE53+AE54</f>
        <v>0</v>
      </c>
      <c r="AF48" s="773">
        <f>AF49+AF52+AF53+AF54</f>
        <v>0</v>
      </c>
      <c r="AG48" s="773">
        <f>AG49+AG52+AG53+AG54</f>
        <v>0</v>
      </c>
      <c r="AH48" s="773">
        <f>AH49+AH52+AH53+AH54</f>
        <v>0</v>
      </c>
      <c r="AI48" s="773">
        <f>AI49+AI52+AI53+AI54</f>
        <v>15.89</v>
      </c>
      <c r="AJ48" s="773">
        <f>AJ49+AJ52+AJ53+AJ54</f>
        <v>15.89</v>
      </c>
      <c r="AK48" s="773">
        <f>AK49+AK52+AK53+AK54</f>
        <v>15.89</v>
      </c>
      <c r="AL48" s="773">
        <f>AL49+AL52+AL53+AL54</f>
        <v>15.89</v>
      </c>
      <c r="AM48" s="773">
        <f>AM49+AM52+AM53+AM54</f>
        <v>15.89</v>
      </c>
      <c r="AN48" s="773">
        <f>AN49+AN52+AN53+AN54</f>
        <v>0</v>
      </c>
      <c r="AO48" s="773">
        <f>AO49+AO52+AO53+AO54</f>
        <v>0</v>
      </c>
      <c r="AP48" s="773">
        <f>AP49+AP52+AP53+AP54</f>
        <v>0</v>
      </c>
      <c r="AQ48" s="773">
        <f>AQ49+AQ52+AQ53+AQ54</f>
        <v>0</v>
      </c>
      <c r="AR48" s="773">
        <f>AR49+AR52+AR53+AR54</f>
        <v>0</v>
      </c>
      <c r="AS48" s="773">
        <f>AS49+AS52+AS53+AS54</f>
        <v>15.89</v>
      </c>
      <c r="AT48" s="773">
        <f>AT49+AT52+AT53+AT54</f>
        <v>15.89</v>
      </c>
      <c r="AU48" s="773">
        <f>AU49+AU52+AU53+AU54</f>
        <v>15.89</v>
      </c>
      <c r="AV48" s="773">
        <f>AV49+AV52+AV53+AV54</f>
        <v>15.89</v>
      </c>
      <c r="AW48" s="773">
        <f>AW49+AW52+AW53+AW54</f>
        <v>15.89</v>
      </c>
      <c r="AX48" s="773">
        <f>AX49+AX52+AX53+AX54</f>
        <v>0</v>
      </c>
      <c r="AY48" s="773">
        <f>AY49+AY52+AY53+AY54</f>
        <v>0</v>
      </c>
      <c r="AZ48" s="773">
        <f>AZ49+AZ52+AZ53+AZ54</f>
        <v>0</v>
      </c>
      <c r="BA48" s="773">
        <f>BA49+BA52+BA53+BA54</f>
        <v>0</v>
      </c>
      <c r="BB48" s="773">
        <f>BB49+BB52+BB53+BB54</f>
        <v>0</v>
      </c>
      <c r="BC48" s="200" t="s">
        <v>1758</v>
      </c>
      <c r="BD48" s="1758"/>
      <c r="BE48" s="1758"/>
      <c r="BF48" s="1040" t="s">
        <v>1732</v>
      </c>
    </row>
    <row s="538" customFormat="1" customHeight="1" ht="0">
      <c r="A49" s="1758"/>
      <c r="B49" s="428"/>
      <c r="C49" s="1758"/>
      <c r="D49" s="122" t="s">
        <v>1733</v>
      </c>
      <c r="E49" s="618">
        <v>15</v>
      </c>
      <c r="F49" s="50" cm="1" t="str">
        <f t="array" ref="F49:F49">OFFSET(E49,-1,1)</f>
        <v>2</v>
      </c>
      <c r="G49" s="1758"/>
      <c r="H49" s="122" t="s">
        <v>1175</v>
      </c>
      <c r="I49" s="1758"/>
      <c r="J49" s="1758"/>
      <c r="K49" s="1758"/>
      <c r="L49" s="1758"/>
      <c r="M49" s="1758"/>
      <c r="N49" s="1758"/>
      <c r="O49" s="1758"/>
      <c r="P49" s="1758"/>
      <c r="Q49" s="1758"/>
      <c r="R49" s="1758"/>
      <c r="S49" s="1758"/>
      <c r="T49" s="465" cm="1" t="str">
        <f t="array" ref="T49:T49">T48</f>
        <v>true</v>
      </c>
      <c r="U49" s="1758"/>
      <c r="V49" s="1758"/>
      <c r="W49" s="1758"/>
      <c r="X49" s="1563"/>
      <c r="Y49" s="1758"/>
      <c r="Z49" s="1596"/>
      <c r="AA49" s="1758"/>
      <c r="AB49" s="220" t="s">
        <v>1628</v>
      </c>
      <c r="AC49" s="762" t="s">
        <v>1733</v>
      </c>
      <c r="AD49" s="930" t="s">
        <v>1514</v>
      </c>
      <c r="AE49" s="772">
        <f>SUM(AE50:AE51)</f>
        <v>0</v>
      </c>
      <c r="AF49" s="772">
        <f>SUM(AF50:AF51)</f>
        <v>0</v>
      </c>
      <c r="AG49" s="772">
        <f>SUM(AG50:AG51)</f>
        <v>0</v>
      </c>
      <c r="AH49" s="772">
        <f>SUM(AH50:AH51)</f>
        <v>0</v>
      </c>
      <c r="AI49" s="772">
        <f>SUM(AI50:AI51)</f>
        <v>0</v>
      </c>
      <c r="AJ49" s="772">
        <f>SUM(AJ50:AJ51)</f>
        <v>0</v>
      </c>
      <c r="AK49" s="772">
        <f>SUM(AK50:AK51)</f>
        <v>0</v>
      </c>
      <c r="AL49" s="772">
        <f>SUM(AL50:AL51)</f>
        <v>0</v>
      </c>
      <c r="AM49" s="772">
        <f>SUM(AM50:AM51)</f>
        <v>0</v>
      </c>
      <c r="AN49" s="3557">
        <f>SUM(AN50:AN51)</f>
        <v>0</v>
      </c>
      <c r="AO49" s="3557">
        <f>SUM(AO50:AO51)</f>
        <v>0</v>
      </c>
      <c r="AP49" s="3557">
        <f>SUM(AP50:AP51)</f>
        <v>0</v>
      </c>
      <c r="AQ49" s="3557">
        <f>SUM(AQ50:AQ51)</f>
        <v>0</v>
      </c>
      <c r="AR49" s="3557">
        <f>SUM(AR50:AR51)</f>
        <v>0</v>
      </c>
      <c r="AS49" s="772">
        <f>SUM(AS50:AS51)</f>
        <v>0</v>
      </c>
      <c r="AT49" s="772">
        <f>SUM(AT50:AT51)</f>
        <v>0</v>
      </c>
      <c r="AU49" s="772">
        <f>SUM(AU50:AU51)</f>
        <v>0</v>
      </c>
      <c r="AV49" s="772">
        <f>SUM(AV50:AV51)</f>
        <v>0</v>
      </c>
      <c r="AW49" s="772">
        <f>SUM(AW50:AW51)</f>
        <v>0</v>
      </c>
      <c r="AX49" s="3557">
        <f>SUM(AX50:AX51)</f>
        <v>0</v>
      </c>
      <c r="AY49" s="3557">
        <f>SUM(AY50:AY51)</f>
        <v>0</v>
      </c>
      <c r="AZ49" s="3557">
        <f>SUM(AZ50:AZ51)</f>
        <v>0</v>
      </c>
      <c r="BA49" s="3557">
        <f>SUM(BA50:BA51)</f>
        <v>0</v>
      </c>
      <c r="BB49" s="3557">
        <f>SUM(BB50:BB51)</f>
        <v>0</v>
      </c>
      <c r="BC49" s="200"/>
      <c r="BD49" s="1758"/>
      <c r="BE49" s="1758"/>
      <c r="BF49" s="1040" t="s">
        <v>1734</v>
      </c>
    </row>
    <row s="538" customFormat="1" customHeight="1" ht="0">
      <c r="A50" s="1758"/>
      <c r="B50" s="428"/>
      <c r="C50" s="1758"/>
      <c r="D50" s="1758"/>
      <c r="E50" s="618">
        <v>24</v>
      </c>
      <c r="F50" s="50" cm="1" t="str">
        <f t="array" ref="F50:F50">OFFSET(E50,-1,1)</f>
        <v>2</v>
      </c>
      <c r="G50" s="1758"/>
      <c r="H50" s="122" t="s">
        <v>1735</v>
      </c>
      <c r="I50" s="1758"/>
      <c r="J50" s="1758"/>
      <c r="K50" s="1758"/>
      <c r="L50" s="1758"/>
      <c r="M50" s="1758"/>
      <c r="N50" s="1758"/>
      <c r="O50" s="1758"/>
      <c r="P50" s="1758"/>
      <c r="Q50" s="1758"/>
      <c r="R50" s="1758"/>
      <c r="S50" s="1758"/>
      <c r="T50" s="465" cm="1" t="str">
        <f t="array" ref="T50:T50">T49</f>
        <v>true</v>
      </c>
      <c r="U50" s="1758"/>
      <c r="V50" s="1758"/>
      <c r="W50" s="1758"/>
      <c r="X50" s="1563"/>
      <c r="Y50" s="1758"/>
      <c r="Z50" s="1596"/>
      <c r="AA50" s="1758"/>
      <c r="AB50" s="220" t="s">
        <v>1736</v>
      </c>
      <c r="AC50" s="765" t="s">
        <v>1737</v>
      </c>
      <c r="AD50" s="930" t="s">
        <v>1514</v>
      </c>
      <c r="AE50" s="772"/>
      <c r="AF50" s="772"/>
      <c r="AG50" s="772"/>
      <c r="AH50" s="772"/>
      <c r="AI50" s="772"/>
      <c r="AJ50" s="772"/>
      <c r="AK50" s="772"/>
      <c r="AL50" s="772"/>
      <c r="AM50" s="772"/>
      <c r="AN50" s="3557"/>
      <c r="AO50" s="3557"/>
      <c r="AP50" s="3557"/>
      <c r="AQ50" s="3557"/>
      <c r="AR50" s="3557"/>
      <c r="AS50" s="772"/>
      <c r="AT50" s="772"/>
      <c r="AU50" s="772"/>
      <c r="AV50" s="772"/>
      <c r="AW50" s="772"/>
      <c r="AX50" s="3557"/>
      <c r="AY50" s="3557"/>
      <c r="AZ50" s="3557"/>
      <c r="BA50" s="3557"/>
      <c r="BB50" s="3557"/>
      <c r="BC50" s="200"/>
      <c r="BD50" s="1758"/>
      <c r="BE50" s="1758"/>
      <c r="BF50" s="997" t="s">
        <v>1738</v>
      </c>
    </row>
    <row s="538" customFormat="1" customHeight="1" ht="0">
      <c r="A51" s="1758"/>
      <c r="B51" s="428"/>
      <c r="C51" s="1758"/>
      <c r="D51" s="1758"/>
      <c r="E51" s="618">
        <v>15</v>
      </c>
      <c r="F51" s="50" cm="1" t="str">
        <f t="array" ref="F51:F51">OFFSET(E51,-1,1)</f>
        <v>2</v>
      </c>
      <c r="G51" s="1758"/>
      <c r="H51" s="122" t="s">
        <v>1739</v>
      </c>
      <c r="I51" s="1758"/>
      <c r="J51" s="1758"/>
      <c r="K51" s="1758"/>
      <c r="L51" s="1758"/>
      <c r="M51" s="1758"/>
      <c r="N51" s="1758"/>
      <c r="O51" s="1758"/>
      <c r="P51" s="1758"/>
      <c r="Q51" s="1758"/>
      <c r="R51" s="1758"/>
      <c r="S51" s="1758"/>
      <c r="T51" s="465" cm="1" t="str">
        <f t="array" ref="T51:T51">T50</f>
        <v>true</v>
      </c>
      <c r="U51" s="1758"/>
      <c r="V51" s="1758"/>
      <c r="W51" s="1758"/>
      <c r="X51" s="1563"/>
      <c r="Y51" s="1758"/>
      <c r="Z51" s="1596"/>
      <c r="AA51" s="1758"/>
      <c r="AB51" s="220" t="s">
        <v>1740</v>
      </c>
      <c r="AC51" s="765" t="s">
        <v>1741</v>
      </c>
      <c r="AD51" s="930" t="s">
        <v>1514</v>
      </c>
      <c r="AE51" s="772"/>
      <c r="AF51" s="772"/>
      <c r="AG51" s="772"/>
      <c r="AH51" s="772"/>
      <c r="AI51" s="772"/>
      <c r="AJ51" s="772"/>
      <c r="AK51" s="772"/>
      <c r="AL51" s="772"/>
      <c r="AM51" s="772"/>
      <c r="AN51" s="3557"/>
      <c r="AO51" s="3557"/>
      <c r="AP51" s="3557"/>
      <c r="AQ51" s="3557"/>
      <c r="AR51" s="3557"/>
      <c r="AS51" s="772"/>
      <c r="AT51" s="772"/>
      <c r="AU51" s="772"/>
      <c r="AV51" s="772"/>
      <c r="AW51" s="772"/>
      <c r="AX51" s="3557"/>
      <c r="AY51" s="3557"/>
      <c r="AZ51" s="3557"/>
      <c r="BA51" s="3557"/>
      <c r="BB51" s="3557"/>
      <c r="BC51" s="200"/>
      <c r="BD51" s="1758"/>
      <c r="BE51" s="1758"/>
      <c r="BF51" s="997" t="s">
        <v>1742</v>
      </c>
    </row>
    <row s="538" customFormat="1" customHeight="1" ht="0">
      <c r="A52" s="1758"/>
      <c r="B52" s="428"/>
      <c r="C52" s="1758"/>
      <c r="D52" s="122" t="s">
        <v>1743</v>
      </c>
      <c r="E52" s="618">
        <v>15</v>
      </c>
      <c r="F52" s="50" cm="1" t="str">
        <f t="array" ref="F52:F52">OFFSET(E52,-1,1)</f>
        <v>2</v>
      </c>
      <c r="G52" s="1758"/>
      <c r="H52" s="122" t="s">
        <v>1179</v>
      </c>
      <c r="I52" s="1758"/>
      <c r="J52" s="1758"/>
      <c r="K52" s="1758"/>
      <c r="L52" s="1758"/>
      <c r="M52" s="1758"/>
      <c r="N52" s="1758"/>
      <c r="O52" s="1758"/>
      <c r="P52" s="1758"/>
      <c r="Q52" s="1758"/>
      <c r="R52" s="1758"/>
      <c r="S52" s="1758"/>
      <c r="T52" s="465" cm="1" t="str">
        <f t="array" ref="T52:T52">T51</f>
        <v>true</v>
      </c>
      <c r="U52" s="1758"/>
      <c r="V52" s="1758"/>
      <c r="W52" s="1758"/>
      <c r="X52" s="1563"/>
      <c r="Y52" s="1758"/>
      <c r="Z52" s="1596"/>
      <c r="AA52" s="1758"/>
      <c r="AB52" s="220" t="s">
        <v>1631</v>
      </c>
      <c r="AC52" s="931" t="s">
        <v>1744</v>
      </c>
      <c r="AD52" s="930" t="s">
        <v>1514</v>
      </c>
      <c r="AE52" s="772"/>
      <c r="AF52" s="772"/>
      <c r="AG52" s="772"/>
      <c r="AH52" s="772"/>
      <c r="AI52" s="772"/>
      <c r="AJ52" s="772"/>
      <c r="AK52" s="772"/>
      <c r="AL52" s="772"/>
      <c r="AM52" s="772"/>
      <c r="AN52" s="3557"/>
      <c r="AO52" s="3557"/>
      <c r="AP52" s="3557"/>
      <c r="AQ52" s="3557"/>
      <c r="AR52" s="3557"/>
      <c r="AS52" s="772"/>
      <c r="AT52" s="772"/>
      <c r="AU52" s="772"/>
      <c r="AV52" s="772"/>
      <c r="AW52" s="772"/>
      <c r="AX52" s="3557"/>
      <c r="AY52" s="3557"/>
      <c r="AZ52" s="3557"/>
      <c r="BA52" s="3557"/>
      <c r="BB52" s="3557"/>
      <c r="BC52" s="200"/>
      <c r="BD52" s="1758"/>
      <c r="BE52" s="1758"/>
      <c r="BF52" s="997" t="s">
        <v>1745</v>
      </c>
    </row>
    <row s="538" customFormat="1" customHeight="1" ht="0">
      <c r="A53" s="1758"/>
      <c r="B53" s="428"/>
      <c r="C53" s="1758"/>
      <c r="D53" s="122" t="s">
        <v>1746</v>
      </c>
      <c r="E53" s="618">
        <v>15</v>
      </c>
      <c r="F53" s="50" cm="1" t="str">
        <f t="array" ref="F53:F53">OFFSET(E53,-1,1)</f>
        <v>2</v>
      </c>
      <c r="G53" s="1758"/>
      <c r="H53" s="122" t="s">
        <v>1182</v>
      </c>
      <c r="I53" s="1758"/>
      <c r="J53" s="1758"/>
      <c r="K53" s="1758"/>
      <c r="L53" s="1758"/>
      <c r="M53" s="1758"/>
      <c r="N53" s="1758"/>
      <c r="O53" s="1758"/>
      <c r="P53" s="1758"/>
      <c r="Q53" s="1758"/>
      <c r="R53" s="1758"/>
      <c r="S53" s="1758"/>
      <c r="T53" s="465" cm="1" t="str">
        <f t="array" ref="T53:T53">T52</f>
        <v>true</v>
      </c>
      <c r="U53" s="1758"/>
      <c r="V53" s="1758"/>
      <c r="W53" s="1758"/>
      <c r="X53" s="1563"/>
      <c r="Y53" s="1758"/>
      <c r="Z53" s="1596"/>
      <c r="AA53" s="1758"/>
      <c r="AB53" s="220" t="s">
        <v>1634</v>
      </c>
      <c r="AC53" s="762" t="s">
        <v>1747</v>
      </c>
      <c r="AD53" s="930" t="s">
        <v>1514</v>
      </c>
      <c r="AE53" s="772"/>
      <c r="AF53" s="772"/>
      <c r="AG53" s="772"/>
      <c r="AH53" s="772"/>
      <c r="AI53" s="772"/>
      <c r="AJ53" s="772"/>
      <c r="AK53" s="772"/>
      <c r="AL53" s="772"/>
      <c r="AM53" s="772"/>
      <c r="AN53" s="3557"/>
      <c r="AO53" s="3557"/>
      <c r="AP53" s="3557"/>
      <c r="AQ53" s="3557"/>
      <c r="AR53" s="3557"/>
      <c r="AS53" s="772"/>
      <c r="AT53" s="772"/>
      <c r="AU53" s="772"/>
      <c r="AV53" s="772"/>
      <c r="AW53" s="772"/>
      <c r="AX53" s="3557"/>
      <c r="AY53" s="3557"/>
      <c r="AZ53" s="3557"/>
      <c r="BA53" s="3557"/>
      <c r="BB53" s="3557"/>
      <c r="BC53" s="200"/>
      <c r="BD53" s="1758"/>
      <c r="BE53" s="1758"/>
      <c r="BF53" s="997" t="s">
        <v>1748</v>
      </c>
    </row>
    <row s="538" customFormat="1" customHeight="1" ht="14.25">
      <c r="A54" s="1758"/>
      <c r="B54" s="428"/>
      <c r="C54" s="1758"/>
      <c r="D54" s="122" t="s">
        <v>1749</v>
      </c>
      <c r="E54" s="618">
        <v>15</v>
      </c>
      <c r="F54" s="50" cm="1" t="str">
        <f t="array" ref="F54:F54">OFFSET(E54,-1,1)</f>
        <v>2</v>
      </c>
      <c r="G54" s="1758"/>
      <c r="H54" s="122" t="s">
        <v>1186</v>
      </c>
      <c r="I54" s="1758"/>
      <c r="J54" s="1758"/>
      <c r="K54" s="1758"/>
      <c r="L54" s="1758"/>
      <c r="M54" s="1758"/>
      <c r="N54" s="1758"/>
      <c r="O54" s="1758"/>
      <c r="P54" s="1758"/>
      <c r="Q54" s="1758"/>
      <c r="R54" s="1758"/>
      <c r="S54" s="1758"/>
      <c r="T54" s="465" cm="1" t="str">
        <f t="array" ref="T54:T54">T53</f>
        <v>true</v>
      </c>
      <c r="U54" s="1758"/>
      <c r="V54" s="1758"/>
      <c r="W54" s="1758"/>
      <c r="X54" s="1563"/>
      <c r="Y54" s="1758"/>
      <c r="Z54" s="1596"/>
      <c r="AA54" s="1758"/>
      <c r="AB54" s="220" t="s">
        <v>1637</v>
      </c>
      <c r="AC54" s="762" t="s">
        <v>1750</v>
      </c>
      <c r="AD54" s="930" t="s">
        <v>1514</v>
      </c>
      <c r="AE54" s="772">
        <f>SUM(AE55:AE56)</f>
        <v>0</v>
      </c>
      <c r="AF54" s="772">
        <f>SUM(AF55:AF56)</f>
        <v>0</v>
      </c>
      <c r="AG54" s="772">
        <f>SUM(AG55:AG56)</f>
        <v>0</v>
      </c>
      <c r="AH54" s="772">
        <f>SUM(AH55:AH56)</f>
        <v>0</v>
      </c>
      <c r="AI54" s="772">
        <f>SUM(AI55:AI56)</f>
        <v>15.89</v>
      </c>
      <c r="AJ54" s="772">
        <f>SUM(AJ55:AJ56)</f>
        <v>15.89</v>
      </c>
      <c r="AK54" s="772">
        <f>SUM(AK55:AK56)</f>
        <v>15.89</v>
      </c>
      <c r="AL54" s="772">
        <f>SUM(AL55:AL56)</f>
        <v>15.89</v>
      </c>
      <c r="AM54" s="772">
        <f>SUM(AM55:AM56)</f>
        <v>15.89</v>
      </c>
      <c r="AN54" s="3557">
        <f>SUM(AN55:AN56)</f>
        <v>0</v>
      </c>
      <c r="AO54" s="3557">
        <f>SUM(AO55:AO56)</f>
        <v>0</v>
      </c>
      <c r="AP54" s="3557">
        <f>SUM(AP55:AP56)</f>
        <v>0</v>
      </c>
      <c r="AQ54" s="3557">
        <f>SUM(AQ55:AQ56)</f>
        <v>0</v>
      </c>
      <c r="AR54" s="3557">
        <f>SUM(AR55:AR56)</f>
        <v>0</v>
      </c>
      <c r="AS54" s="772">
        <f>SUM(AS55:AS56)</f>
        <v>15.89</v>
      </c>
      <c r="AT54" s="772">
        <f>SUM(AT55:AT56)</f>
        <v>15.89</v>
      </c>
      <c r="AU54" s="772">
        <f>SUM(AU55:AU56)</f>
        <v>15.89</v>
      </c>
      <c r="AV54" s="772">
        <f>SUM(AV55:AV56)</f>
        <v>15.89</v>
      </c>
      <c r="AW54" s="772">
        <f>SUM(AW55:AW56)</f>
        <v>15.89</v>
      </c>
      <c r="AX54" s="3557">
        <f>SUM(AX55:AX56)</f>
        <v>0</v>
      </c>
      <c r="AY54" s="3557">
        <f>SUM(AY55:AY56)</f>
        <v>0</v>
      </c>
      <c r="AZ54" s="3557">
        <f>SUM(AZ55:AZ56)</f>
        <v>0</v>
      </c>
      <c r="BA54" s="3557">
        <f>SUM(BA55:BA56)</f>
        <v>0</v>
      </c>
      <c r="BB54" s="3557">
        <f>SUM(BB55:BB56)</f>
        <v>0</v>
      </c>
      <c r="BC54" s="200"/>
      <c r="BD54" s="1758"/>
      <c r="BE54" s="1758"/>
      <c r="BF54" s="997" t="s">
        <v>1751</v>
      </c>
    </row>
    <row s="538" customFormat="1" customHeight="1" ht="34.5">
      <c r="A55" s="1758"/>
      <c r="B55" s="428"/>
      <c r="C55" s="1758"/>
      <c r="D55" s="1758"/>
      <c r="E55" s="618">
        <v>36</v>
      </c>
      <c r="F55" s="50" cm="1" t="str">
        <f t="array" ref="F55:F55">OFFSET(E55,-1,1)</f>
        <v>2</v>
      </c>
      <c r="G55" s="1758"/>
      <c r="H55" s="1758"/>
      <c r="I55" s="1758"/>
      <c r="J55" s="1758"/>
      <c r="K55" s="1758"/>
      <c r="L55" s="1758"/>
      <c r="M55" s="1758"/>
      <c r="N55" s="1758"/>
      <c r="O55" s="1758"/>
      <c r="P55" s="1758"/>
      <c r="Q55" s="1758"/>
      <c r="R55" s="1758"/>
      <c r="S55" s="1758"/>
      <c r="T55" s="465" cm="1" t="str">
        <f t="array" ref="T55:T55">T54</f>
        <v>true</v>
      </c>
      <c r="U55" s="1758"/>
      <c r="V55" s="1758"/>
      <c r="W55" s="1758"/>
      <c r="X55" s="1563"/>
      <c r="Y55" s="1758"/>
      <c r="Z55" s="1596"/>
      <c r="AA55" s="1758"/>
      <c r="AB55" s="220" t="s">
        <v>1752</v>
      </c>
      <c r="AC55" s="762" t="s">
        <v>1753</v>
      </c>
      <c r="AD55" s="930" t="s">
        <v>1514</v>
      </c>
      <c r="AE55" s="772"/>
      <c r="AF55" s="772"/>
      <c r="AG55" s="772"/>
      <c r="AH55" s="772"/>
      <c r="AI55" s="772">
        <v>15.89</v>
      </c>
      <c r="AJ55" s="772">
        <v>15.89</v>
      </c>
      <c r="AK55" s="772">
        <v>15.89</v>
      </c>
      <c r="AL55" s="772">
        <v>15.89</v>
      </c>
      <c r="AM55" s="772">
        <v>15.89</v>
      </c>
      <c r="AN55" s="3557"/>
      <c r="AO55" s="3557"/>
      <c r="AP55" s="3557"/>
      <c r="AQ55" s="3557"/>
      <c r="AR55" s="3557"/>
      <c r="AS55" s="772">
        <v>15.89</v>
      </c>
      <c r="AT55" s="772">
        <v>15.89</v>
      </c>
      <c r="AU55" s="772">
        <v>15.89</v>
      </c>
      <c r="AV55" s="772">
        <v>15.89</v>
      </c>
      <c r="AW55" s="772">
        <v>15.89</v>
      </c>
      <c r="AX55" s="3557"/>
      <c r="AY55" s="3557"/>
      <c r="AZ55" s="3557"/>
      <c r="BA55" s="3557"/>
      <c r="BB55" s="3557"/>
      <c r="BC55" s="200"/>
      <c r="BD55" s="1758"/>
      <c r="BE55" s="1758"/>
      <c r="BF55" s="997" t="s">
        <v>1754</v>
      </c>
    </row>
    <row s="538" customFormat="1" customHeight="1" ht="0">
      <c r="A56" s="1758"/>
      <c r="B56" s="428"/>
      <c r="C56" s="1758"/>
      <c r="D56" s="1758"/>
      <c r="E56" s="618">
        <v>36</v>
      </c>
      <c r="F56" s="50" cm="1" t="str">
        <f t="array" ref="F56:F56">OFFSET(E56,-1,1)</f>
        <v>2</v>
      </c>
      <c r="G56" s="1758"/>
      <c r="H56" s="1758"/>
      <c r="I56" s="1758"/>
      <c r="J56" s="1758"/>
      <c r="K56" s="1758"/>
      <c r="L56" s="1758"/>
      <c r="M56" s="1758"/>
      <c r="N56" s="1758"/>
      <c r="O56" s="1758"/>
      <c r="P56" s="1758"/>
      <c r="Q56" s="1758"/>
      <c r="R56" s="1758"/>
      <c r="S56" s="1758"/>
      <c r="T56" s="465" cm="1" t="str">
        <f t="array" ref="T56:T56">T55</f>
        <v>true</v>
      </c>
      <c r="U56" s="1758"/>
      <c r="V56" s="1758"/>
      <c r="W56" s="1758"/>
      <c r="X56" s="1563"/>
      <c r="Y56" s="1758"/>
      <c r="Z56" s="1596"/>
      <c r="AA56" s="1758"/>
      <c r="AB56" s="220" t="s">
        <v>1755</v>
      </c>
      <c r="AC56" s="762" t="s">
        <v>1756</v>
      </c>
      <c r="AD56" s="930" t="s">
        <v>1514</v>
      </c>
      <c r="AE56" s="772"/>
      <c r="AF56" s="772"/>
      <c r="AG56" s="772"/>
      <c r="AH56" s="772"/>
      <c r="AI56" s="772"/>
      <c r="AJ56" s="772"/>
      <c r="AK56" s="772"/>
      <c r="AL56" s="772"/>
      <c r="AM56" s="772"/>
      <c r="AN56" s="3557"/>
      <c r="AO56" s="3557"/>
      <c r="AP56" s="3557"/>
      <c r="AQ56" s="3557"/>
      <c r="AR56" s="3557"/>
      <c r="AS56" s="772"/>
      <c r="AT56" s="772"/>
      <c r="AU56" s="772"/>
      <c r="AV56" s="772"/>
      <c r="AW56" s="772"/>
      <c r="AX56" s="3557"/>
      <c r="AY56" s="3557"/>
      <c r="AZ56" s="3557"/>
      <c r="BA56" s="3557"/>
      <c r="BB56" s="3557"/>
      <c r="BC56" s="200"/>
      <c r="BD56" s="1758"/>
      <c r="BE56" s="1758"/>
      <c r="BF56" s="997" t="s">
        <v>1757</v>
      </c>
    </row>
    <row s="538" customFormat="1" customHeight="1" ht="14.25">
      <c r="A57" s="1758"/>
      <c r="B57" s="428"/>
      <c r="C57" s="1758"/>
      <c r="D57" s="1758"/>
      <c r="E57" s="618">
        <v>15</v>
      </c>
      <c r="F57" s="98" cm="1" t="str">
        <f t="array" ref="F57:F57">X57</f>
        <v>3</v>
      </c>
      <c r="G57" s="1758"/>
      <c r="H57" s="1758"/>
      <c r="I57" s="1758"/>
      <c r="J57" s="1758"/>
      <c r="K57" s="1758"/>
      <c r="L57" s="1758"/>
      <c r="M57" s="1758"/>
      <c r="N57" s="1758"/>
      <c r="O57" s="1758"/>
      <c r="P57" s="1758"/>
      <c r="Q57" s="1758"/>
      <c r="R57" s="1758"/>
      <c r="S57" s="1758"/>
      <c r="T57" s="465">
        <f>X57&gt;0</f>
        <v>1</v>
      </c>
      <c r="U57" s="1758"/>
      <c r="V57" s="122" cm="1" t="str">
        <f t="array" ref="V57:V57">'Амортизация (аналог)'!$AB$48</f>
        <v>Тариф 3 (Водоотведение) - тариф на водоотведение (Доп. признак не требуется)</v>
      </c>
      <c r="W57" s="1758"/>
      <c r="X57" s="1563" t="s">
        <v>289</v>
      </c>
      <c r="Y57" s="1758"/>
      <c r="Z57" s="1596"/>
      <c r="AA57" s="1758"/>
      <c r="AB57" s="222" cm="1" t="str">
        <f t="array" ref="AB57:AB57">'Амортизация (аналог)'!$AB$48</f>
        <v>Тариф 3 (Водоотведение) - тариф на водоотведение (Доп. признак не требуется)</v>
      </c>
      <c r="AC57" s="180"/>
      <c r="AD57" s="174"/>
      <c r="AE57" s="174"/>
      <c r="AF57" s="174"/>
      <c r="AG57" s="174"/>
      <c r="AH57" s="174"/>
      <c r="AI57" s="174"/>
      <c r="AJ57" s="174"/>
      <c r="AK57" s="174"/>
      <c r="AL57" s="174"/>
      <c r="AM57" s="174"/>
      <c r="AN57" s="174"/>
      <c r="AO57" s="174"/>
      <c r="AP57" s="174"/>
      <c r="AQ57" s="174"/>
      <c r="AR57" s="174"/>
      <c r="AS57" s="174"/>
      <c r="AT57" s="174"/>
      <c r="AU57" s="174"/>
      <c r="AV57" s="174"/>
      <c r="AW57" s="174"/>
      <c r="AX57" s="174"/>
      <c r="AY57" s="174"/>
      <c r="AZ57" s="174"/>
      <c r="BA57" s="174"/>
      <c r="BB57" s="174"/>
      <c r="BC57" s="210"/>
      <c r="BD57" s="1758"/>
      <c r="BE57" s="1758"/>
      <c r="BF57" s="997"/>
    </row>
    <row s="538" customFormat="1" customHeight="1" ht="71.25">
      <c r="A58" s="1758"/>
      <c r="B58" s="428"/>
      <c r="C58" s="1758"/>
      <c r="D58" s="1758"/>
      <c r="E58" s="618">
        <v>73.5</v>
      </c>
      <c r="F58" s="50" cm="1" t="str">
        <f t="array" ref="F58:F58">OFFSET(E58,-1,1)</f>
        <v>3</v>
      </c>
      <c r="G58" s="494" t="s">
        <v>1730</v>
      </c>
      <c r="H58" s="122" t="s">
        <v>332</v>
      </c>
      <c r="I58" s="1758"/>
      <c r="J58" s="1758"/>
      <c r="K58" s="124" t="str">
        <f>F58&amp;"komm"</f>
        <v>3komm</v>
      </c>
      <c r="L58" s="919" cm="1" t="str">
        <f t="array" ref="L58:L58">BC58</f>
        <v>В соответствии с п.п.3 п.49 Методических указаний 1746-э расходы на арендную плату и лизинговые платежи, размер которых определяется с учетом требований, предусмотренных пунктом 29 настоящих Методических указаний.​</v>
      </c>
      <c r="M58" s="1758"/>
      <c r="N58" s="1758"/>
      <c r="O58" s="1758"/>
      <c r="P58" s="1758"/>
      <c r="Q58" s="1758"/>
      <c r="R58" s="1758"/>
      <c r="S58" s="1758"/>
      <c r="T58" s="465" cm="1" t="str">
        <f t="array" ref="T58:T58">T57</f>
        <v>true</v>
      </c>
      <c r="U58" s="1758"/>
      <c r="V58" s="1758"/>
      <c r="W58" s="1758"/>
      <c r="X58" s="1563"/>
      <c r="Y58" s="1758"/>
      <c r="Z58" s="1596"/>
      <c r="AA58" s="1758"/>
      <c r="AB58" s="218" t="s">
        <v>276</v>
      </c>
      <c r="AC58" s="219" t="s">
        <v>1731</v>
      </c>
      <c r="AD58" s="205" t="s">
        <v>1514</v>
      </c>
      <c r="AE58" s="773">
        <f>AE59+AE62+AE63+AE64</f>
        <v>0</v>
      </c>
      <c r="AF58" s="773">
        <f>AF59+AF62+AF63+AF64</f>
        <v>0</v>
      </c>
      <c r="AG58" s="773">
        <f>AG59+AG62+AG63+AG64</f>
        <v>0</v>
      </c>
      <c r="AH58" s="773">
        <f>AH59+AH62+AH63+AH64</f>
        <v>0</v>
      </c>
      <c r="AI58" s="773">
        <f>AI59+AI62+AI63+AI64</f>
        <v>193.9</v>
      </c>
      <c r="AJ58" s="773">
        <f>AJ59+AJ62+AJ63+AJ64</f>
        <v>193.9</v>
      </c>
      <c r="AK58" s="773">
        <f>AK59+AK62+AK63+AK64</f>
        <v>193.9</v>
      </c>
      <c r="AL58" s="773">
        <f>AL59+AL62+AL63+AL64</f>
        <v>193.9</v>
      </c>
      <c r="AM58" s="773">
        <f>AM59+AM62+AM63+AM64</f>
        <v>193.9</v>
      </c>
      <c r="AN58" s="773">
        <f>AN59+AN62+AN63+AN64</f>
        <v>0</v>
      </c>
      <c r="AO58" s="773">
        <f>AO59+AO62+AO63+AO64</f>
        <v>0</v>
      </c>
      <c r="AP58" s="773">
        <f>AP59+AP62+AP63+AP64</f>
        <v>0</v>
      </c>
      <c r="AQ58" s="773">
        <f>AQ59+AQ62+AQ63+AQ64</f>
        <v>0</v>
      </c>
      <c r="AR58" s="773">
        <f>AR59+AR62+AR63+AR64</f>
        <v>0</v>
      </c>
      <c r="AS58" s="773">
        <f>AS59+AS62+AS63+AS64</f>
        <v>193.9</v>
      </c>
      <c r="AT58" s="773">
        <f>AT59+AT62+AT63+AT64</f>
        <v>193.9</v>
      </c>
      <c r="AU58" s="773">
        <f>AU59+AU62+AU63+AU64</f>
        <v>193.9</v>
      </c>
      <c r="AV58" s="773">
        <f>AV59+AV62+AV63+AV64</f>
        <v>193.9</v>
      </c>
      <c r="AW58" s="773">
        <f>AW59+AW62+AW63+AW64</f>
        <v>193.9</v>
      </c>
      <c r="AX58" s="773">
        <f>AX59+AX62+AX63+AX64</f>
        <v>0</v>
      </c>
      <c r="AY58" s="773">
        <f>AY59+AY62+AY63+AY64</f>
        <v>0</v>
      </c>
      <c r="AZ58" s="773">
        <f>AZ59+AZ62+AZ63+AZ64</f>
        <v>0</v>
      </c>
      <c r="BA58" s="773">
        <f>BA59+BA62+BA63+BA64</f>
        <v>0</v>
      </c>
      <c r="BB58" s="773">
        <f>BB59+BB62+BB63+BB64</f>
        <v>0</v>
      </c>
      <c r="BC58" s="200" t="s">
        <v>1758</v>
      </c>
      <c r="BD58" s="1758"/>
      <c r="BE58" s="1758"/>
      <c r="BF58" s="1040" t="s">
        <v>1732</v>
      </c>
    </row>
    <row s="538" customFormat="1" customHeight="1" ht="0">
      <c r="A59" s="1758"/>
      <c r="B59" s="428"/>
      <c r="C59" s="1758"/>
      <c r="D59" s="122" t="s">
        <v>1733</v>
      </c>
      <c r="E59" s="618">
        <v>15</v>
      </c>
      <c r="F59" s="50" cm="1" t="str">
        <f t="array" ref="F59:F59">OFFSET(E59,-1,1)</f>
        <v>3</v>
      </c>
      <c r="G59" s="1758"/>
      <c r="H59" s="122" t="s">
        <v>1175</v>
      </c>
      <c r="I59" s="1758"/>
      <c r="J59" s="1758"/>
      <c r="K59" s="1758"/>
      <c r="L59" s="1758"/>
      <c r="M59" s="1758"/>
      <c r="N59" s="1758"/>
      <c r="O59" s="1758"/>
      <c r="P59" s="1758"/>
      <c r="Q59" s="1758"/>
      <c r="R59" s="1758"/>
      <c r="S59" s="1758"/>
      <c r="T59" s="465" cm="1" t="str">
        <f t="array" ref="T59:T59">T58</f>
        <v>true</v>
      </c>
      <c r="U59" s="1758"/>
      <c r="V59" s="1758"/>
      <c r="W59" s="1758"/>
      <c r="X59" s="1563"/>
      <c r="Y59" s="1758"/>
      <c r="Z59" s="1596"/>
      <c r="AA59" s="1758"/>
      <c r="AB59" s="220" t="s">
        <v>1628</v>
      </c>
      <c r="AC59" s="762" t="s">
        <v>1733</v>
      </c>
      <c r="AD59" s="930" t="s">
        <v>1514</v>
      </c>
      <c r="AE59" s="772">
        <f>SUM(AE60:AE61)</f>
        <v>0</v>
      </c>
      <c r="AF59" s="772">
        <f>SUM(AF60:AF61)</f>
        <v>0</v>
      </c>
      <c r="AG59" s="772">
        <f>SUM(AG60:AG61)</f>
        <v>0</v>
      </c>
      <c r="AH59" s="772">
        <f>SUM(AH60:AH61)</f>
        <v>0</v>
      </c>
      <c r="AI59" s="772">
        <f>SUM(AI60:AI61)</f>
        <v>0</v>
      </c>
      <c r="AJ59" s="772">
        <f>SUM(AJ60:AJ61)</f>
        <v>0</v>
      </c>
      <c r="AK59" s="772">
        <f>SUM(AK60:AK61)</f>
        <v>0</v>
      </c>
      <c r="AL59" s="772">
        <f>SUM(AL60:AL61)</f>
        <v>0</v>
      </c>
      <c r="AM59" s="772">
        <f>SUM(AM60:AM61)</f>
        <v>0</v>
      </c>
      <c r="AN59" s="3557">
        <f>SUM(AN60:AN61)</f>
        <v>0</v>
      </c>
      <c r="AO59" s="3557">
        <f>SUM(AO60:AO61)</f>
        <v>0</v>
      </c>
      <c r="AP59" s="3557">
        <f>SUM(AP60:AP61)</f>
        <v>0</v>
      </c>
      <c r="AQ59" s="3557">
        <f>SUM(AQ60:AQ61)</f>
        <v>0</v>
      </c>
      <c r="AR59" s="3557">
        <f>SUM(AR60:AR61)</f>
        <v>0</v>
      </c>
      <c r="AS59" s="772">
        <f>SUM(AS60:AS61)</f>
        <v>0</v>
      </c>
      <c r="AT59" s="772">
        <f>SUM(AT60:AT61)</f>
        <v>0</v>
      </c>
      <c r="AU59" s="772">
        <f>SUM(AU60:AU61)</f>
        <v>0</v>
      </c>
      <c r="AV59" s="772">
        <f>SUM(AV60:AV61)</f>
        <v>0</v>
      </c>
      <c r="AW59" s="772">
        <f>SUM(AW60:AW61)</f>
        <v>0</v>
      </c>
      <c r="AX59" s="3557">
        <f>SUM(AX60:AX61)</f>
        <v>0</v>
      </c>
      <c r="AY59" s="3557">
        <f>SUM(AY60:AY61)</f>
        <v>0</v>
      </c>
      <c r="AZ59" s="3557">
        <f>SUM(AZ60:AZ61)</f>
        <v>0</v>
      </c>
      <c r="BA59" s="3557">
        <f>SUM(BA60:BA61)</f>
        <v>0</v>
      </c>
      <c r="BB59" s="3557">
        <f>SUM(BB60:BB61)</f>
        <v>0</v>
      </c>
      <c r="BC59" s="200"/>
      <c r="BD59" s="1758"/>
      <c r="BE59" s="1758"/>
      <c r="BF59" s="1040" t="s">
        <v>1734</v>
      </c>
    </row>
    <row s="538" customFormat="1" customHeight="1" ht="0">
      <c r="A60" s="1758"/>
      <c r="B60" s="428"/>
      <c r="C60" s="1758"/>
      <c r="D60" s="1758"/>
      <c r="E60" s="618">
        <v>24</v>
      </c>
      <c r="F60" s="50" cm="1" t="str">
        <f t="array" ref="F60:F60">OFFSET(E60,-1,1)</f>
        <v>3</v>
      </c>
      <c r="G60" s="1758"/>
      <c r="H60" s="122" t="s">
        <v>1735</v>
      </c>
      <c r="I60" s="1758"/>
      <c r="J60" s="1758"/>
      <c r="K60" s="1758"/>
      <c r="L60" s="1758"/>
      <c r="M60" s="1758"/>
      <c r="N60" s="1758"/>
      <c r="O60" s="1758"/>
      <c r="P60" s="1758"/>
      <c r="Q60" s="1758"/>
      <c r="R60" s="1758"/>
      <c r="S60" s="1758"/>
      <c r="T60" s="465" cm="1" t="str">
        <f t="array" ref="T60:T60">T59</f>
        <v>true</v>
      </c>
      <c r="U60" s="1758"/>
      <c r="V60" s="1758"/>
      <c r="W60" s="1758"/>
      <c r="X60" s="1563"/>
      <c r="Y60" s="1758"/>
      <c r="Z60" s="1596"/>
      <c r="AA60" s="1758"/>
      <c r="AB60" s="220" t="s">
        <v>1736</v>
      </c>
      <c r="AC60" s="765" t="s">
        <v>1737</v>
      </c>
      <c r="AD60" s="930" t="s">
        <v>1514</v>
      </c>
      <c r="AE60" s="772"/>
      <c r="AF60" s="772"/>
      <c r="AG60" s="772"/>
      <c r="AH60" s="772"/>
      <c r="AI60" s="772"/>
      <c r="AJ60" s="772"/>
      <c r="AK60" s="772"/>
      <c r="AL60" s="772"/>
      <c r="AM60" s="772"/>
      <c r="AN60" s="3557"/>
      <c r="AO60" s="3557"/>
      <c r="AP60" s="3557"/>
      <c r="AQ60" s="3557"/>
      <c r="AR60" s="3557"/>
      <c r="AS60" s="772"/>
      <c r="AT60" s="772"/>
      <c r="AU60" s="772"/>
      <c r="AV60" s="772"/>
      <c r="AW60" s="772"/>
      <c r="AX60" s="3557"/>
      <c r="AY60" s="3557"/>
      <c r="AZ60" s="3557"/>
      <c r="BA60" s="3557"/>
      <c r="BB60" s="3557"/>
      <c r="BC60" s="200"/>
      <c r="BD60" s="1758"/>
      <c r="BE60" s="1758"/>
      <c r="BF60" s="997" t="s">
        <v>1738</v>
      </c>
    </row>
    <row s="538" customFormat="1" customHeight="1" ht="0">
      <c r="A61" s="1758"/>
      <c r="B61" s="428"/>
      <c r="C61" s="1758"/>
      <c r="D61" s="1758"/>
      <c r="E61" s="618">
        <v>15</v>
      </c>
      <c r="F61" s="50" cm="1" t="str">
        <f t="array" ref="F61:F61">OFFSET(E61,-1,1)</f>
        <v>3</v>
      </c>
      <c r="G61" s="1758"/>
      <c r="H61" s="122" t="s">
        <v>1739</v>
      </c>
      <c r="I61" s="1758"/>
      <c r="J61" s="1758"/>
      <c r="K61" s="1758"/>
      <c r="L61" s="1758"/>
      <c r="M61" s="1758"/>
      <c r="N61" s="1758"/>
      <c r="O61" s="1758"/>
      <c r="P61" s="1758"/>
      <c r="Q61" s="1758"/>
      <c r="R61" s="1758"/>
      <c r="S61" s="1758"/>
      <c r="T61" s="465" cm="1" t="str">
        <f t="array" ref="T61:T61">T60</f>
        <v>true</v>
      </c>
      <c r="U61" s="1758"/>
      <c r="V61" s="1758"/>
      <c r="W61" s="1758"/>
      <c r="X61" s="1563"/>
      <c r="Y61" s="1758"/>
      <c r="Z61" s="1596"/>
      <c r="AA61" s="1758"/>
      <c r="AB61" s="220" t="s">
        <v>1740</v>
      </c>
      <c r="AC61" s="765" t="s">
        <v>1741</v>
      </c>
      <c r="AD61" s="930" t="s">
        <v>1514</v>
      </c>
      <c r="AE61" s="772"/>
      <c r="AF61" s="772"/>
      <c r="AG61" s="772"/>
      <c r="AH61" s="772"/>
      <c r="AI61" s="772"/>
      <c r="AJ61" s="772"/>
      <c r="AK61" s="772"/>
      <c r="AL61" s="772"/>
      <c r="AM61" s="772"/>
      <c r="AN61" s="3557"/>
      <c r="AO61" s="3557"/>
      <c r="AP61" s="3557"/>
      <c r="AQ61" s="3557"/>
      <c r="AR61" s="3557"/>
      <c r="AS61" s="772"/>
      <c r="AT61" s="772"/>
      <c r="AU61" s="772"/>
      <c r="AV61" s="772"/>
      <c r="AW61" s="772"/>
      <c r="AX61" s="3557"/>
      <c r="AY61" s="3557"/>
      <c r="AZ61" s="3557"/>
      <c r="BA61" s="3557"/>
      <c r="BB61" s="3557"/>
      <c r="BC61" s="200"/>
      <c r="BD61" s="1758"/>
      <c r="BE61" s="1758"/>
      <c r="BF61" s="997" t="s">
        <v>1742</v>
      </c>
    </row>
    <row s="538" customFormat="1" customHeight="1" ht="0">
      <c r="A62" s="1758"/>
      <c r="B62" s="428"/>
      <c r="C62" s="1758"/>
      <c r="D62" s="122" t="s">
        <v>1743</v>
      </c>
      <c r="E62" s="618">
        <v>15</v>
      </c>
      <c r="F62" s="50" cm="1" t="str">
        <f t="array" ref="F62:F62">OFFSET(E62,-1,1)</f>
        <v>3</v>
      </c>
      <c r="G62" s="1758"/>
      <c r="H62" s="122" t="s">
        <v>1179</v>
      </c>
      <c r="I62" s="1758"/>
      <c r="J62" s="1758"/>
      <c r="K62" s="1758"/>
      <c r="L62" s="1758"/>
      <c r="M62" s="1758"/>
      <c r="N62" s="1758"/>
      <c r="O62" s="1758"/>
      <c r="P62" s="1758"/>
      <c r="Q62" s="1758"/>
      <c r="R62" s="1758"/>
      <c r="S62" s="1758"/>
      <c r="T62" s="465" cm="1" t="str">
        <f t="array" ref="T62:T62">T61</f>
        <v>true</v>
      </c>
      <c r="U62" s="1758"/>
      <c r="V62" s="1758"/>
      <c r="W62" s="1758"/>
      <c r="X62" s="1563"/>
      <c r="Y62" s="1758"/>
      <c r="Z62" s="1596"/>
      <c r="AA62" s="1758"/>
      <c r="AB62" s="220" t="s">
        <v>1631</v>
      </c>
      <c r="AC62" s="931" t="s">
        <v>1744</v>
      </c>
      <c r="AD62" s="930" t="s">
        <v>1514</v>
      </c>
      <c r="AE62" s="772"/>
      <c r="AF62" s="772"/>
      <c r="AG62" s="772"/>
      <c r="AH62" s="772"/>
      <c r="AI62" s="772"/>
      <c r="AJ62" s="772"/>
      <c r="AK62" s="772"/>
      <c r="AL62" s="772"/>
      <c r="AM62" s="772"/>
      <c r="AN62" s="3557"/>
      <c r="AO62" s="3557"/>
      <c r="AP62" s="3557"/>
      <c r="AQ62" s="3557"/>
      <c r="AR62" s="3557"/>
      <c r="AS62" s="772"/>
      <c r="AT62" s="772"/>
      <c r="AU62" s="772"/>
      <c r="AV62" s="772"/>
      <c r="AW62" s="772"/>
      <c r="AX62" s="3557"/>
      <c r="AY62" s="3557"/>
      <c r="AZ62" s="3557"/>
      <c r="BA62" s="3557"/>
      <c r="BB62" s="3557"/>
      <c r="BC62" s="200"/>
      <c r="BD62" s="1758"/>
      <c r="BE62" s="1758"/>
      <c r="BF62" s="997" t="s">
        <v>1745</v>
      </c>
    </row>
    <row s="538" customFormat="1" customHeight="1" ht="0">
      <c r="A63" s="1758"/>
      <c r="B63" s="428"/>
      <c r="C63" s="1758"/>
      <c r="D63" s="122" t="s">
        <v>1746</v>
      </c>
      <c r="E63" s="618">
        <v>15</v>
      </c>
      <c r="F63" s="50" cm="1" t="str">
        <f t="array" ref="F63:F63">OFFSET(E63,-1,1)</f>
        <v>3</v>
      </c>
      <c r="G63" s="1758"/>
      <c r="H63" s="122" t="s">
        <v>1182</v>
      </c>
      <c r="I63" s="1758"/>
      <c r="J63" s="1758"/>
      <c r="K63" s="1758"/>
      <c r="L63" s="1758"/>
      <c r="M63" s="1758"/>
      <c r="N63" s="1758"/>
      <c r="O63" s="1758"/>
      <c r="P63" s="1758"/>
      <c r="Q63" s="1758"/>
      <c r="R63" s="1758"/>
      <c r="S63" s="1758"/>
      <c r="T63" s="465" cm="1" t="str">
        <f t="array" ref="T63:T63">T62</f>
        <v>true</v>
      </c>
      <c r="U63" s="1758"/>
      <c r="V63" s="1758"/>
      <c r="W63" s="1758"/>
      <c r="X63" s="1563"/>
      <c r="Y63" s="1758"/>
      <c r="Z63" s="1596"/>
      <c r="AA63" s="1758"/>
      <c r="AB63" s="220" t="s">
        <v>1634</v>
      </c>
      <c r="AC63" s="762" t="s">
        <v>1747</v>
      </c>
      <c r="AD63" s="930" t="s">
        <v>1514</v>
      </c>
      <c r="AE63" s="772"/>
      <c r="AF63" s="772"/>
      <c r="AG63" s="772"/>
      <c r="AH63" s="772"/>
      <c r="AI63" s="772"/>
      <c r="AJ63" s="772"/>
      <c r="AK63" s="772"/>
      <c r="AL63" s="772"/>
      <c r="AM63" s="772"/>
      <c r="AN63" s="3557"/>
      <c r="AO63" s="3557"/>
      <c r="AP63" s="3557"/>
      <c r="AQ63" s="3557"/>
      <c r="AR63" s="3557"/>
      <c r="AS63" s="772"/>
      <c r="AT63" s="772"/>
      <c r="AU63" s="772"/>
      <c r="AV63" s="772"/>
      <c r="AW63" s="772"/>
      <c r="AX63" s="3557"/>
      <c r="AY63" s="3557"/>
      <c r="AZ63" s="3557"/>
      <c r="BA63" s="3557"/>
      <c r="BB63" s="3557"/>
      <c r="BC63" s="200"/>
      <c r="BD63" s="1758"/>
      <c r="BE63" s="1758"/>
      <c r="BF63" s="997" t="s">
        <v>1748</v>
      </c>
    </row>
    <row s="538" customFormat="1" customHeight="1" ht="14.25">
      <c r="A64" s="1758"/>
      <c r="B64" s="428"/>
      <c r="C64" s="1758"/>
      <c r="D64" s="122" t="s">
        <v>1749</v>
      </c>
      <c r="E64" s="618">
        <v>15</v>
      </c>
      <c r="F64" s="50" cm="1" t="str">
        <f t="array" ref="F64:F64">OFFSET(E64,-1,1)</f>
        <v>3</v>
      </c>
      <c r="G64" s="1758"/>
      <c r="H64" s="122" t="s">
        <v>1186</v>
      </c>
      <c r="I64" s="1758"/>
      <c r="J64" s="1758"/>
      <c r="K64" s="1758"/>
      <c r="L64" s="1758"/>
      <c r="M64" s="1758"/>
      <c r="N64" s="1758"/>
      <c r="O64" s="1758"/>
      <c r="P64" s="1758"/>
      <c r="Q64" s="1758"/>
      <c r="R64" s="1758"/>
      <c r="S64" s="1758"/>
      <c r="T64" s="465" cm="1" t="str">
        <f t="array" ref="T64:T64">T63</f>
        <v>true</v>
      </c>
      <c r="U64" s="1758"/>
      <c r="V64" s="1758"/>
      <c r="W64" s="1758"/>
      <c r="X64" s="1563"/>
      <c r="Y64" s="1758"/>
      <c r="Z64" s="1596"/>
      <c r="AA64" s="1758"/>
      <c r="AB64" s="220" t="s">
        <v>1637</v>
      </c>
      <c r="AC64" s="762" t="s">
        <v>1750</v>
      </c>
      <c r="AD64" s="930" t="s">
        <v>1514</v>
      </c>
      <c r="AE64" s="772">
        <f>SUM(AE65:AE66)</f>
        <v>0</v>
      </c>
      <c r="AF64" s="772">
        <f>SUM(AF65:AF66)</f>
        <v>0</v>
      </c>
      <c r="AG64" s="772">
        <f>SUM(AG65:AG66)</f>
        <v>0</v>
      </c>
      <c r="AH64" s="772">
        <f>SUM(AH65:AH66)</f>
        <v>0</v>
      </c>
      <c r="AI64" s="772">
        <f>SUM(AI65:AI66)</f>
        <v>193.9</v>
      </c>
      <c r="AJ64" s="772">
        <f>SUM(AJ65:AJ66)</f>
        <v>193.9</v>
      </c>
      <c r="AK64" s="772">
        <f>SUM(AK65:AK66)</f>
        <v>193.9</v>
      </c>
      <c r="AL64" s="772">
        <f>SUM(AL65:AL66)</f>
        <v>193.9</v>
      </c>
      <c r="AM64" s="772">
        <f>SUM(AM65:AM66)</f>
        <v>193.9</v>
      </c>
      <c r="AN64" s="3557">
        <f>SUM(AN65:AN66)</f>
        <v>0</v>
      </c>
      <c r="AO64" s="3557">
        <f>SUM(AO65:AO66)</f>
        <v>0</v>
      </c>
      <c r="AP64" s="3557">
        <f>SUM(AP65:AP66)</f>
        <v>0</v>
      </c>
      <c r="AQ64" s="3557">
        <f>SUM(AQ65:AQ66)</f>
        <v>0</v>
      </c>
      <c r="AR64" s="3557">
        <f>SUM(AR65:AR66)</f>
        <v>0</v>
      </c>
      <c r="AS64" s="772">
        <f>SUM(AS65:AS66)</f>
        <v>193.9</v>
      </c>
      <c r="AT64" s="772">
        <f>SUM(AT65:AT66)</f>
        <v>193.9</v>
      </c>
      <c r="AU64" s="772">
        <f>SUM(AU65:AU66)</f>
        <v>193.9</v>
      </c>
      <c r="AV64" s="772">
        <f>SUM(AV65:AV66)</f>
        <v>193.9</v>
      </c>
      <c r="AW64" s="772">
        <f>SUM(AW65:AW66)</f>
        <v>193.9</v>
      </c>
      <c r="AX64" s="3557">
        <f>SUM(AX65:AX66)</f>
        <v>0</v>
      </c>
      <c r="AY64" s="3557">
        <f>SUM(AY65:AY66)</f>
        <v>0</v>
      </c>
      <c r="AZ64" s="3557">
        <f>SUM(AZ65:AZ66)</f>
        <v>0</v>
      </c>
      <c r="BA64" s="3557">
        <f>SUM(BA65:BA66)</f>
        <v>0</v>
      </c>
      <c r="BB64" s="3557">
        <f>SUM(BB65:BB66)</f>
        <v>0</v>
      </c>
      <c r="BC64" s="200"/>
      <c r="BD64" s="1758"/>
      <c r="BE64" s="1758"/>
      <c r="BF64" s="997" t="s">
        <v>1751</v>
      </c>
    </row>
    <row s="538" customFormat="1" customHeight="1" ht="34.5">
      <c r="A65" s="1758"/>
      <c r="B65" s="428"/>
      <c r="C65" s="1758"/>
      <c r="D65" s="1758"/>
      <c r="E65" s="618">
        <v>36</v>
      </c>
      <c r="F65" s="50" cm="1" t="str">
        <f t="array" ref="F65:F65">OFFSET(E65,-1,1)</f>
        <v>3</v>
      </c>
      <c r="G65" s="1758"/>
      <c r="H65" s="1758"/>
      <c r="I65" s="1758"/>
      <c r="J65" s="1758"/>
      <c r="K65" s="1758"/>
      <c r="L65" s="1758"/>
      <c r="M65" s="1758"/>
      <c r="N65" s="1758"/>
      <c r="O65" s="1758"/>
      <c r="P65" s="1758"/>
      <c r="Q65" s="1758"/>
      <c r="R65" s="1758"/>
      <c r="S65" s="1758"/>
      <c r="T65" s="465" cm="1" t="str">
        <f t="array" ref="T65:T65">T64</f>
        <v>true</v>
      </c>
      <c r="U65" s="1758"/>
      <c r="V65" s="1758"/>
      <c r="W65" s="1758"/>
      <c r="X65" s="1563"/>
      <c r="Y65" s="1758"/>
      <c r="Z65" s="1596"/>
      <c r="AA65" s="1758"/>
      <c r="AB65" s="220" t="s">
        <v>1752</v>
      </c>
      <c r="AC65" s="762" t="s">
        <v>1753</v>
      </c>
      <c r="AD65" s="930" t="s">
        <v>1514</v>
      </c>
      <c r="AE65" s="772"/>
      <c r="AF65" s="772"/>
      <c r="AG65" s="772"/>
      <c r="AH65" s="772"/>
      <c r="AI65" s="772">
        <v>193.9</v>
      </c>
      <c r="AJ65" s="772">
        <v>193.9</v>
      </c>
      <c r="AK65" s="772">
        <v>193.9</v>
      </c>
      <c r="AL65" s="772">
        <v>193.9</v>
      </c>
      <c r="AM65" s="772">
        <v>193.9</v>
      </c>
      <c r="AN65" s="3557"/>
      <c r="AO65" s="3557"/>
      <c r="AP65" s="3557"/>
      <c r="AQ65" s="3557"/>
      <c r="AR65" s="3557"/>
      <c r="AS65" s="772">
        <v>193.9</v>
      </c>
      <c r="AT65" s="772">
        <v>193.9</v>
      </c>
      <c r="AU65" s="772">
        <v>193.9</v>
      </c>
      <c r="AV65" s="772">
        <v>193.9</v>
      </c>
      <c r="AW65" s="772">
        <v>193.9</v>
      </c>
      <c r="AX65" s="3557"/>
      <c r="AY65" s="3557"/>
      <c r="AZ65" s="3557"/>
      <c r="BA65" s="3557"/>
      <c r="BB65" s="3557"/>
      <c r="BC65" s="200"/>
      <c r="BD65" s="1758"/>
      <c r="BE65" s="1758"/>
      <c r="BF65" s="997" t="s">
        <v>1754</v>
      </c>
    </row>
    <row s="538" customFormat="1" customHeight="1" ht="0">
      <c r="A66" s="1758"/>
      <c r="B66" s="428"/>
      <c r="C66" s="1758"/>
      <c r="D66" s="1758"/>
      <c r="E66" s="618">
        <v>36</v>
      </c>
      <c r="F66" s="50" cm="1" t="str">
        <f t="array" ref="F66:F66">OFFSET(E66,-1,1)</f>
        <v>3</v>
      </c>
      <c r="G66" s="1758"/>
      <c r="H66" s="1758"/>
      <c r="I66" s="1758"/>
      <c r="J66" s="1758"/>
      <c r="K66" s="1758"/>
      <c r="L66" s="1758"/>
      <c r="M66" s="1758"/>
      <c r="N66" s="1758"/>
      <c r="O66" s="1758"/>
      <c r="P66" s="1758"/>
      <c r="Q66" s="1758"/>
      <c r="R66" s="1758"/>
      <c r="S66" s="1758"/>
      <c r="T66" s="465" cm="1" t="str">
        <f t="array" ref="T66:T66">T65</f>
        <v>true</v>
      </c>
      <c r="U66" s="1758"/>
      <c r="V66" s="1758"/>
      <c r="W66" s="1758"/>
      <c r="X66" s="1563"/>
      <c r="Y66" s="1758"/>
      <c r="Z66" s="1596"/>
      <c r="AA66" s="1758"/>
      <c r="AB66" s="220" t="s">
        <v>1755</v>
      </c>
      <c r="AC66" s="762" t="s">
        <v>1756</v>
      </c>
      <c r="AD66" s="930" t="s">
        <v>1514</v>
      </c>
      <c r="AE66" s="772"/>
      <c r="AF66" s="772"/>
      <c r="AG66" s="772"/>
      <c r="AH66" s="772"/>
      <c r="AI66" s="772"/>
      <c r="AJ66" s="772"/>
      <c r="AK66" s="772"/>
      <c r="AL66" s="772"/>
      <c r="AM66" s="772"/>
      <c r="AN66" s="3557"/>
      <c r="AO66" s="3557"/>
      <c r="AP66" s="3557"/>
      <c r="AQ66" s="3557"/>
      <c r="AR66" s="3557"/>
      <c r="AS66" s="772"/>
      <c r="AT66" s="772"/>
      <c r="AU66" s="772"/>
      <c r="AV66" s="772"/>
      <c r="AW66" s="772"/>
      <c r="AX66" s="3557"/>
      <c r="AY66" s="3557"/>
      <c r="AZ66" s="3557"/>
      <c r="BA66" s="3557"/>
      <c r="BB66" s="3557"/>
      <c r="BC66" s="200"/>
      <c r="BD66" s="1758"/>
      <c r="BE66" s="1758"/>
      <c r="BF66" s="997" t="s">
        <v>1757</v>
      </c>
    </row>
    <row s="538" customFormat="1" customHeight="1" ht="14.25">
      <c r="A67" s="1758"/>
      <c r="B67" s="428"/>
      <c r="C67" s="1758"/>
      <c r="D67" s="1758"/>
      <c r="E67" s="618">
        <v>15</v>
      </c>
      <c r="F67" s="98" cm="1" t="str">
        <f t="array" ref="F67:F67">X67</f>
        <v>4</v>
      </c>
      <c r="G67" s="1758"/>
      <c r="H67" s="1758"/>
      <c r="I67" s="1758"/>
      <c r="J67" s="1758"/>
      <c r="K67" s="1758"/>
      <c r="L67" s="1758"/>
      <c r="M67" s="1758"/>
      <c r="N67" s="1758"/>
      <c r="O67" s="1758"/>
      <c r="P67" s="1758"/>
      <c r="Q67" s="1758"/>
      <c r="R67" s="1758"/>
      <c r="S67" s="1758"/>
      <c r="T67" s="465">
        <f>X67&gt;0</f>
        <v>1</v>
      </c>
      <c r="U67" s="1758"/>
      <c r="V67" s="122" cm="1" t="str">
        <f t="array" ref="V67:V67">'Амортизация (аналог)'!$AB$55</f>
        <v>Тариф 4 (Водоотведение) - тариф на водоотведение (Доп. признак не требуется)</v>
      </c>
      <c r="W67" s="1758"/>
      <c r="X67" s="1563" t="s">
        <v>295</v>
      </c>
      <c r="Y67" s="1758"/>
      <c r="Z67" s="1596"/>
      <c r="AA67" s="1758"/>
      <c r="AB67" s="222" cm="1" t="str">
        <f t="array" ref="AB67:AB67">'Амортизация (аналог)'!$AB$55</f>
        <v>Тариф 4 (Водоотведение) - тариф на водоотведение (Доп. признак не требуется)</v>
      </c>
      <c r="AC67" s="180"/>
      <c r="AD67" s="174"/>
      <c r="AE67" s="174"/>
      <c r="AF67" s="174"/>
      <c r="AG67" s="174"/>
      <c r="AH67" s="174"/>
      <c r="AI67" s="174"/>
      <c r="AJ67" s="174"/>
      <c r="AK67" s="174"/>
      <c r="AL67" s="174"/>
      <c r="AM67" s="174"/>
      <c r="AN67" s="174"/>
      <c r="AO67" s="174"/>
      <c r="AP67" s="174"/>
      <c r="AQ67" s="174"/>
      <c r="AR67" s="174"/>
      <c r="AS67" s="174"/>
      <c r="AT67" s="174"/>
      <c r="AU67" s="174"/>
      <c r="AV67" s="174"/>
      <c r="AW67" s="174"/>
      <c r="AX67" s="174"/>
      <c r="AY67" s="174"/>
      <c r="AZ67" s="174"/>
      <c r="BA67" s="174"/>
      <c r="BB67" s="174"/>
      <c r="BC67" s="210"/>
      <c r="BD67" s="1758"/>
      <c r="BE67" s="1758"/>
      <c r="BF67" s="997"/>
    </row>
    <row s="538" customFormat="1" customHeight="1" ht="71.25">
      <c r="A68" s="1758"/>
      <c r="B68" s="428"/>
      <c r="C68" s="1758"/>
      <c r="D68" s="1758"/>
      <c r="E68" s="618">
        <v>73.5</v>
      </c>
      <c r="F68" s="50" cm="1" t="str">
        <f t="array" ref="F68:F68">OFFSET(E68,-1,1)</f>
        <v>4</v>
      </c>
      <c r="G68" s="494" t="s">
        <v>1730</v>
      </c>
      <c r="H68" s="122" t="s">
        <v>332</v>
      </c>
      <c r="I68" s="1758"/>
      <c r="J68" s="1758"/>
      <c r="K68" s="124" t="str">
        <f>F68&amp;"komm"</f>
        <v>4komm</v>
      </c>
      <c r="L68" s="919" cm="1" t="str">
        <f t="array" ref="L68:L68">BC68</f>
        <v>В соответствии с п.п.3 п.49 Методических указаний 1746-э расходы на арендную плату и лизинговые платежи, размер которых определяется с учетом требований, предусмотренных пунктом 29 настоящих Методических указаний.​</v>
      </c>
      <c r="M68" s="1758"/>
      <c r="N68" s="1758"/>
      <c r="O68" s="1758"/>
      <c r="P68" s="1758"/>
      <c r="Q68" s="1758"/>
      <c r="R68" s="1758"/>
      <c r="S68" s="1758"/>
      <c r="T68" s="465" cm="1" t="str">
        <f t="array" ref="T68:T68">T67</f>
        <v>true</v>
      </c>
      <c r="U68" s="1758"/>
      <c r="V68" s="1758"/>
      <c r="W68" s="1758"/>
      <c r="X68" s="1563"/>
      <c r="Y68" s="1758"/>
      <c r="Z68" s="1596"/>
      <c r="AA68" s="1758"/>
      <c r="AB68" s="218" t="s">
        <v>276</v>
      </c>
      <c r="AC68" s="219" t="s">
        <v>1731</v>
      </c>
      <c r="AD68" s="205" t="s">
        <v>1514</v>
      </c>
      <c r="AE68" s="773">
        <f>AE69+AE72+AE73+AE74</f>
        <v>0</v>
      </c>
      <c r="AF68" s="773">
        <f>AF69+AF72+AF73+AF74</f>
        <v>0</v>
      </c>
      <c r="AG68" s="773">
        <f>AG69+AG72+AG73+AG74</f>
        <v>0</v>
      </c>
      <c r="AH68" s="773">
        <f>AH69+AH72+AH73+AH74</f>
        <v>0</v>
      </c>
      <c r="AI68" s="773">
        <f>AI69+AI72+AI73+AI74</f>
        <v>972.24</v>
      </c>
      <c r="AJ68" s="773">
        <f>AJ69+AJ72+AJ73+AJ74</f>
        <v>972.24</v>
      </c>
      <c r="AK68" s="773">
        <f>AK69+AK72+AK73+AK74</f>
        <v>972.24</v>
      </c>
      <c r="AL68" s="773">
        <f>AL69+AL72+AL73+AL74</f>
        <v>972.24</v>
      </c>
      <c r="AM68" s="773">
        <f>AM69+AM72+AM73+AM74</f>
        <v>972.24</v>
      </c>
      <c r="AN68" s="773">
        <f>AN69+AN72+AN73+AN74</f>
        <v>0</v>
      </c>
      <c r="AO68" s="773">
        <f>AO69+AO72+AO73+AO74</f>
        <v>0</v>
      </c>
      <c r="AP68" s="773">
        <f>AP69+AP72+AP73+AP74</f>
        <v>0</v>
      </c>
      <c r="AQ68" s="773">
        <f>AQ69+AQ72+AQ73+AQ74</f>
        <v>0</v>
      </c>
      <c r="AR68" s="773">
        <f>AR69+AR72+AR73+AR74</f>
        <v>0</v>
      </c>
      <c r="AS68" s="773">
        <f>AS69+AS72+AS73+AS74</f>
        <v>972.24</v>
      </c>
      <c r="AT68" s="773">
        <f>AT69+AT72+AT73+AT74</f>
        <v>972.24</v>
      </c>
      <c r="AU68" s="773">
        <f>AU69+AU72+AU73+AU74</f>
        <v>972.24</v>
      </c>
      <c r="AV68" s="773">
        <f>AV69+AV72+AV73+AV74</f>
        <v>972.24</v>
      </c>
      <c r="AW68" s="773">
        <f>AW69+AW72+AW73+AW74</f>
        <v>972.24</v>
      </c>
      <c r="AX68" s="773">
        <f>AX69+AX72+AX73+AX74</f>
        <v>0</v>
      </c>
      <c r="AY68" s="773">
        <f>AY69+AY72+AY73+AY74</f>
        <v>0</v>
      </c>
      <c r="AZ68" s="773">
        <f>AZ69+AZ72+AZ73+AZ74</f>
        <v>0</v>
      </c>
      <c r="BA68" s="773">
        <f>BA69+BA72+BA73+BA74</f>
        <v>0</v>
      </c>
      <c r="BB68" s="773">
        <f>BB69+BB72+BB73+BB74</f>
        <v>0</v>
      </c>
      <c r="BC68" s="200" t="s">
        <v>1758</v>
      </c>
      <c r="BD68" s="1758"/>
      <c r="BE68" s="1758"/>
      <c r="BF68" s="1040" t="s">
        <v>1732</v>
      </c>
    </row>
    <row s="538" customFormat="1" customHeight="1" ht="0">
      <c r="A69" s="1758"/>
      <c r="B69" s="428"/>
      <c r="C69" s="1758"/>
      <c r="D69" s="122" t="s">
        <v>1733</v>
      </c>
      <c r="E69" s="618">
        <v>15</v>
      </c>
      <c r="F69" s="50" cm="1" t="str">
        <f t="array" ref="F69:F69">OFFSET(E69,-1,1)</f>
        <v>4</v>
      </c>
      <c r="G69" s="1758"/>
      <c r="H69" s="122" t="s">
        <v>1175</v>
      </c>
      <c r="I69" s="1758"/>
      <c r="J69" s="1758"/>
      <c r="K69" s="1758"/>
      <c r="L69" s="1758"/>
      <c r="M69" s="1758"/>
      <c r="N69" s="1758"/>
      <c r="O69" s="1758"/>
      <c r="P69" s="1758"/>
      <c r="Q69" s="1758"/>
      <c r="R69" s="1758"/>
      <c r="S69" s="1758"/>
      <c r="T69" s="465" cm="1" t="str">
        <f t="array" ref="T69:T69">T68</f>
        <v>true</v>
      </c>
      <c r="U69" s="1758"/>
      <c r="V69" s="1758"/>
      <c r="W69" s="1758"/>
      <c r="X69" s="1563"/>
      <c r="Y69" s="1758"/>
      <c r="Z69" s="1596"/>
      <c r="AA69" s="1758"/>
      <c r="AB69" s="220" t="s">
        <v>1628</v>
      </c>
      <c r="AC69" s="762" t="s">
        <v>1733</v>
      </c>
      <c r="AD69" s="930" t="s">
        <v>1514</v>
      </c>
      <c r="AE69" s="772">
        <f>SUM(AE70:AE71)</f>
        <v>0</v>
      </c>
      <c r="AF69" s="772">
        <f>SUM(AF70:AF71)</f>
        <v>0</v>
      </c>
      <c r="AG69" s="772">
        <f>SUM(AG70:AG71)</f>
        <v>0</v>
      </c>
      <c r="AH69" s="772">
        <f>SUM(AH70:AH71)</f>
        <v>0</v>
      </c>
      <c r="AI69" s="772">
        <f>SUM(AI70:AI71)</f>
        <v>0</v>
      </c>
      <c r="AJ69" s="772">
        <f>SUM(AJ70:AJ71)</f>
        <v>0</v>
      </c>
      <c r="AK69" s="772">
        <f>SUM(AK70:AK71)</f>
        <v>0</v>
      </c>
      <c r="AL69" s="772">
        <f>SUM(AL70:AL71)</f>
        <v>0</v>
      </c>
      <c r="AM69" s="772">
        <f>SUM(AM70:AM71)</f>
        <v>0</v>
      </c>
      <c r="AN69" s="3557">
        <f>SUM(AN70:AN71)</f>
        <v>0</v>
      </c>
      <c r="AO69" s="3557">
        <f>SUM(AO70:AO71)</f>
        <v>0</v>
      </c>
      <c r="AP69" s="3557">
        <f>SUM(AP70:AP71)</f>
        <v>0</v>
      </c>
      <c r="AQ69" s="3557">
        <f>SUM(AQ70:AQ71)</f>
        <v>0</v>
      </c>
      <c r="AR69" s="3557">
        <f>SUM(AR70:AR71)</f>
        <v>0</v>
      </c>
      <c r="AS69" s="772">
        <f>SUM(AS70:AS71)</f>
        <v>0</v>
      </c>
      <c r="AT69" s="772">
        <f>SUM(AT70:AT71)</f>
        <v>0</v>
      </c>
      <c r="AU69" s="772">
        <f>SUM(AU70:AU71)</f>
        <v>0</v>
      </c>
      <c r="AV69" s="772">
        <f>SUM(AV70:AV71)</f>
        <v>0</v>
      </c>
      <c r="AW69" s="772">
        <f>SUM(AW70:AW71)</f>
        <v>0</v>
      </c>
      <c r="AX69" s="3557">
        <f>SUM(AX70:AX71)</f>
        <v>0</v>
      </c>
      <c r="AY69" s="3557">
        <f>SUM(AY70:AY71)</f>
        <v>0</v>
      </c>
      <c r="AZ69" s="3557">
        <f>SUM(AZ70:AZ71)</f>
        <v>0</v>
      </c>
      <c r="BA69" s="3557">
        <f>SUM(BA70:BA71)</f>
        <v>0</v>
      </c>
      <c r="BB69" s="3557">
        <f>SUM(BB70:BB71)</f>
        <v>0</v>
      </c>
      <c r="BC69" s="200"/>
      <c r="BD69" s="1758"/>
      <c r="BE69" s="1758"/>
      <c r="BF69" s="1040" t="s">
        <v>1734</v>
      </c>
    </row>
    <row s="538" customFormat="1" customHeight="1" ht="0">
      <c r="A70" s="1758"/>
      <c r="B70" s="428"/>
      <c r="C70" s="1758"/>
      <c r="D70" s="1758"/>
      <c r="E70" s="618">
        <v>24</v>
      </c>
      <c r="F70" s="50" cm="1" t="str">
        <f t="array" ref="F70:F70">OFFSET(E70,-1,1)</f>
        <v>4</v>
      </c>
      <c r="G70" s="1758"/>
      <c r="H70" s="122" t="s">
        <v>1735</v>
      </c>
      <c r="I70" s="1758"/>
      <c r="J70" s="1758"/>
      <c r="K70" s="1758"/>
      <c r="L70" s="1758"/>
      <c r="M70" s="1758"/>
      <c r="N70" s="1758"/>
      <c r="O70" s="1758"/>
      <c r="P70" s="1758"/>
      <c r="Q70" s="1758"/>
      <c r="R70" s="1758"/>
      <c r="S70" s="1758"/>
      <c r="T70" s="465" cm="1" t="str">
        <f t="array" ref="T70:T70">T69</f>
        <v>true</v>
      </c>
      <c r="U70" s="1758"/>
      <c r="V70" s="1758"/>
      <c r="W70" s="1758"/>
      <c r="X70" s="1563"/>
      <c r="Y70" s="1758"/>
      <c r="Z70" s="1596"/>
      <c r="AA70" s="1758"/>
      <c r="AB70" s="220" t="s">
        <v>1736</v>
      </c>
      <c r="AC70" s="765" t="s">
        <v>1737</v>
      </c>
      <c r="AD70" s="930" t="s">
        <v>1514</v>
      </c>
      <c r="AE70" s="772"/>
      <c r="AF70" s="772"/>
      <c r="AG70" s="772"/>
      <c r="AH70" s="772"/>
      <c r="AI70" s="772"/>
      <c r="AJ70" s="772"/>
      <c r="AK70" s="772"/>
      <c r="AL70" s="772"/>
      <c r="AM70" s="772"/>
      <c r="AN70" s="3557"/>
      <c r="AO70" s="3557"/>
      <c r="AP70" s="3557"/>
      <c r="AQ70" s="3557"/>
      <c r="AR70" s="3557"/>
      <c r="AS70" s="772"/>
      <c r="AT70" s="772"/>
      <c r="AU70" s="772"/>
      <c r="AV70" s="772"/>
      <c r="AW70" s="772"/>
      <c r="AX70" s="3557"/>
      <c r="AY70" s="3557"/>
      <c r="AZ70" s="3557"/>
      <c r="BA70" s="3557"/>
      <c r="BB70" s="3557"/>
      <c r="BC70" s="200"/>
      <c r="BD70" s="1758"/>
      <c r="BE70" s="1758"/>
      <c r="BF70" s="997" t="s">
        <v>1738</v>
      </c>
    </row>
    <row s="538" customFormat="1" customHeight="1" ht="0">
      <c r="A71" s="1758"/>
      <c r="B71" s="428"/>
      <c r="C71" s="1758"/>
      <c r="D71" s="1758"/>
      <c r="E71" s="618">
        <v>15</v>
      </c>
      <c r="F71" s="50" cm="1" t="str">
        <f t="array" ref="F71:F71">OFFSET(E71,-1,1)</f>
        <v>4</v>
      </c>
      <c r="G71" s="1758"/>
      <c r="H71" s="122" t="s">
        <v>1739</v>
      </c>
      <c r="I71" s="1758"/>
      <c r="J71" s="1758"/>
      <c r="K71" s="1758"/>
      <c r="L71" s="1758"/>
      <c r="M71" s="1758"/>
      <c r="N71" s="1758"/>
      <c r="O71" s="1758"/>
      <c r="P71" s="1758"/>
      <c r="Q71" s="1758"/>
      <c r="R71" s="1758"/>
      <c r="S71" s="1758"/>
      <c r="T71" s="465" cm="1" t="str">
        <f t="array" ref="T71:T71">T70</f>
        <v>true</v>
      </c>
      <c r="U71" s="1758"/>
      <c r="V71" s="1758"/>
      <c r="W71" s="1758"/>
      <c r="X71" s="1563"/>
      <c r="Y71" s="1758"/>
      <c r="Z71" s="1596"/>
      <c r="AA71" s="1758"/>
      <c r="AB71" s="220" t="s">
        <v>1740</v>
      </c>
      <c r="AC71" s="765" t="s">
        <v>1741</v>
      </c>
      <c r="AD71" s="930" t="s">
        <v>1514</v>
      </c>
      <c r="AE71" s="772"/>
      <c r="AF71" s="772"/>
      <c r="AG71" s="772"/>
      <c r="AH71" s="772"/>
      <c r="AI71" s="772"/>
      <c r="AJ71" s="772"/>
      <c r="AK71" s="772"/>
      <c r="AL71" s="772"/>
      <c r="AM71" s="772"/>
      <c r="AN71" s="3557"/>
      <c r="AO71" s="3557"/>
      <c r="AP71" s="3557"/>
      <c r="AQ71" s="3557"/>
      <c r="AR71" s="3557"/>
      <c r="AS71" s="772"/>
      <c r="AT71" s="772"/>
      <c r="AU71" s="772"/>
      <c r="AV71" s="772"/>
      <c r="AW71" s="772"/>
      <c r="AX71" s="3557"/>
      <c r="AY71" s="3557"/>
      <c r="AZ71" s="3557"/>
      <c r="BA71" s="3557"/>
      <c r="BB71" s="3557"/>
      <c r="BC71" s="200"/>
      <c r="BD71" s="1758"/>
      <c r="BE71" s="1758"/>
      <c r="BF71" s="997" t="s">
        <v>1742</v>
      </c>
    </row>
    <row s="538" customFormat="1" customHeight="1" ht="0">
      <c r="A72" s="1758"/>
      <c r="B72" s="428"/>
      <c r="C72" s="1758"/>
      <c r="D72" s="122" t="s">
        <v>1743</v>
      </c>
      <c r="E72" s="618">
        <v>15</v>
      </c>
      <c r="F72" s="50" cm="1" t="str">
        <f t="array" ref="F72:F72">OFFSET(E72,-1,1)</f>
        <v>4</v>
      </c>
      <c r="G72" s="1758"/>
      <c r="H72" s="122" t="s">
        <v>1179</v>
      </c>
      <c r="I72" s="1758"/>
      <c r="J72" s="1758"/>
      <c r="K72" s="1758"/>
      <c r="L72" s="1758"/>
      <c r="M72" s="1758"/>
      <c r="N72" s="1758"/>
      <c r="O72" s="1758"/>
      <c r="P72" s="1758"/>
      <c r="Q72" s="1758"/>
      <c r="R72" s="1758"/>
      <c r="S72" s="1758"/>
      <c r="T72" s="465" cm="1" t="str">
        <f t="array" ref="T72:T72">T71</f>
        <v>true</v>
      </c>
      <c r="U72" s="1758"/>
      <c r="V72" s="1758"/>
      <c r="W72" s="1758"/>
      <c r="X72" s="1563"/>
      <c r="Y72" s="1758"/>
      <c r="Z72" s="1596"/>
      <c r="AA72" s="1758"/>
      <c r="AB72" s="220" t="s">
        <v>1631</v>
      </c>
      <c r="AC72" s="931" t="s">
        <v>1744</v>
      </c>
      <c r="AD72" s="930" t="s">
        <v>1514</v>
      </c>
      <c r="AE72" s="772"/>
      <c r="AF72" s="772"/>
      <c r="AG72" s="772"/>
      <c r="AH72" s="772"/>
      <c r="AI72" s="772"/>
      <c r="AJ72" s="772"/>
      <c r="AK72" s="772"/>
      <c r="AL72" s="772"/>
      <c r="AM72" s="772"/>
      <c r="AN72" s="3557"/>
      <c r="AO72" s="3557"/>
      <c r="AP72" s="3557"/>
      <c r="AQ72" s="3557"/>
      <c r="AR72" s="3557"/>
      <c r="AS72" s="772"/>
      <c r="AT72" s="772"/>
      <c r="AU72" s="772"/>
      <c r="AV72" s="772"/>
      <c r="AW72" s="772"/>
      <c r="AX72" s="3557"/>
      <c r="AY72" s="3557"/>
      <c r="AZ72" s="3557"/>
      <c r="BA72" s="3557"/>
      <c r="BB72" s="3557"/>
      <c r="BC72" s="200"/>
      <c r="BD72" s="1758"/>
      <c r="BE72" s="1758"/>
      <c r="BF72" s="997" t="s">
        <v>1745</v>
      </c>
    </row>
    <row s="538" customFormat="1" customHeight="1" ht="0">
      <c r="A73" s="1758"/>
      <c r="B73" s="428"/>
      <c r="C73" s="1758"/>
      <c r="D73" s="122" t="s">
        <v>1746</v>
      </c>
      <c r="E73" s="618">
        <v>15</v>
      </c>
      <c r="F73" s="50" cm="1" t="str">
        <f t="array" ref="F73:F73">OFFSET(E73,-1,1)</f>
        <v>4</v>
      </c>
      <c r="G73" s="1758"/>
      <c r="H73" s="122" t="s">
        <v>1182</v>
      </c>
      <c r="I73" s="1758"/>
      <c r="J73" s="1758"/>
      <c r="K73" s="1758"/>
      <c r="L73" s="1758"/>
      <c r="M73" s="1758"/>
      <c r="N73" s="1758"/>
      <c r="O73" s="1758"/>
      <c r="P73" s="1758"/>
      <c r="Q73" s="1758"/>
      <c r="R73" s="1758"/>
      <c r="S73" s="1758"/>
      <c r="T73" s="465" cm="1" t="str">
        <f t="array" ref="T73:T73">T72</f>
        <v>true</v>
      </c>
      <c r="U73" s="1758"/>
      <c r="V73" s="1758"/>
      <c r="W73" s="1758"/>
      <c r="X73" s="1563"/>
      <c r="Y73" s="1758"/>
      <c r="Z73" s="1596"/>
      <c r="AA73" s="1758"/>
      <c r="AB73" s="220" t="s">
        <v>1634</v>
      </c>
      <c r="AC73" s="762" t="s">
        <v>1747</v>
      </c>
      <c r="AD73" s="930" t="s">
        <v>1514</v>
      </c>
      <c r="AE73" s="772"/>
      <c r="AF73" s="772"/>
      <c r="AG73" s="772"/>
      <c r="AH73" s="772"/>
      <c r="AI73" s="772"/>
      <c r="AJ73" s="772"/>
      <c r="AK73" s="772"/>
      <c r="AL73" s="772"/>
      <c r="AM73" s="772"/>
      <c r="AN73" s="3557"/>
      <c r="AO73" s="3557"/>
      <c r="AP73" s="3557"/>
      <c r="AQ73" s="3557"/>
      <c r="AR73" s="3557"/>
      <c r="AS73" s="772"/>
      <c r="AT73" s="772"/>
      <c r="AU73" s="772"/>
      <c r="AV73" s="772"/>
      <c r="AW73" s="772"/>
      <c r="AX73" s="3557"/>
      <c r="AY73" s="3557"/>
      <c r="AZ73" s="3557"/>
      <c r="BA73" s="3557"/>
      <c r="BB73" s="3557"/>
      <c r="BC73" s="200"/>
      <c r="BD73" s="1758"/>
      <c r="BE73" s="1758"/>
      <c r="BF73" s="997" t="s">
        <v>1748</v>
      </c>
    </row>
    <row s="538" customFormat="1" customHeight="1" ht="14.25">
      <c r="A74" s="1758"/>
      <c r="B74" s="428"/>
      <c r="C74" s="1758"/>
      <c r="D74" s="122" t="s">
        <v>1749</v>
      </c>
      <c r="E74" s="618">
        <v>15</v>
      </c>
      <c r="F74" s="50" cm="1" t="str">
        <f t="array" ref="F74:F74">OFFSET(E74,-1,1)</f>
        <v>4</v>
      </c>
      <c r="G74" s="1758"/>
      <c r="H74" s="122" t="s">
        <v>1186</v>
      </c>
      <c r="I74" s="1758"/>
      <c r="J74" s="1758"/>
      <c r="K74" s="1758"/>
      <c r="L74" s="1758"/>
      <c r="M74" s="1758"/>
      <c r="N74" s="1758"/>
      <c r="O74" s="1758"/>
      <c r="P74" s="1758"/>
      <c r="Q74" s="1758"/>
      <c r="R74" s="1758"/>
      <c r="S74" s="1758"/>
      <c r="T74" s="465" cm="1" t="str">
        <f t="array" ref="T74:T74">T73</f>
        <v>true</v>
      </c>
      <c r="U74" s="1758"/>
      <c r="V74" s="1758"/>
      <c r="W74" s="1758"/>
      <c r="X74" s="1563"/>
      <c r="Y74" s="1758"/>
      <c r="Z74" s="1596"/>
      <c r="AA74" s="1758"/>
      <c r="AB74" s="220" t="s">
        <v>1637</v>
      </c>
      <c r="AC74" s="762" t="s">
        <v>1750</v>
      </c>
      <c r="AD74" s="930" t="s">
        <v>1514</v>
      </c>
      <c r="AE74" s="772">
        <f>SUM(AE75:AE76)</f>
        <v>0</v>
      </c>
      <c r="AF74" s="772">
        <f>SUM(AF75:AF76)</f>
        <v>0</v>
      </c>
      <c r="AG74" s="772">
        <f>SUM(AG75:AG76)</f>
        <v>0</v>
      </c>
      <c r="AH74" s="772">
        <f>SUM(AH75:AH76)</f>
        <v>0</v>
      </c>
      <c r="AI74" s="772">
        <f>SUM(AI75:AI76)</f>
        <v>972.24</v>
      </c>
      <c r="AJ74" s="772">
        <f>SUM(AJ75:AJ76)</f>
        <v>972.24</v>
      </c>
      <c r="AK74" s="772">
        <f>SUM(AK75:AK76)</f>
        <v>972.24</v>
      </c>
      <c r="AL74" s="772">
        <f>SUM(AL75:AL76)</f>
        <v>972.24</v>
      </c>
      <c r="AM74" s="772">
        <f>SUM(AM75:AM76)</f>
        <v>972.24</v>
      </c>
      <c r="AN74" s="3557">
        <f>SUM(AN75:AN76)</f>
        <v>0</v>
      </c>
      <c r="AO74" s="3557">
        <f>SUM(AO75:AO76)</f>
        <v>0</v>
      </c>
      <c r="AP74" s="3557">
        <f>SUM(AP75:AP76)</f>
        <v>0</v>
      </c>
      <c r="AQ74" s="3557">
        <f>SUM(AQ75:AQ76)</f>
        <v>0</v>
      </c>
      <c r="AR74" s="3557">
        <f>SUM(AR75:AR76)</f>
        <v>0</v>
      </c>
      <c r="AS74" s="772">
        <f>SUM(AS75:AS76)</f>
        <v>972.24</v>
      </c>
      <c r="AT74" s="772">
        <f>SUM(AT75:AT76)</f>
        <v>972.24</v>
      </c>
      <c r="AU74" s="772">
        <f>SUM(AU75:AU76)</f>
        <v>972.24</v>
      </c>
      <c r="AV74" s="772">
        <f>SUM(AV75:AV76)</f>
        <v>972.24</v>
      </c>
      <c r="AW74" s="772">
        <f>SUM(AW75:AW76)</f>
        <v>972.24</v>
      </c>
      <c r="AX74" s="3557">
        <f>SUM(AX75:AX76)</f>
        <v>0</v>
      </c>
      <c r="AY74" s="3557">
        <f>SUM(AY75:AY76)</f>
        <v>0</v>
      </c>
      <c r="AZ74" s="3557">
        <f>SUM(AZ75:AZ76)</f>
        <v>0</v>
      </c>
      <c r="BA74" s="3557">
        <f>SUM(BA75:BA76)</f>
        <v>0</v>
      </c>
      <c r="BB74" s="3557">
        <f>SUM(BB75:BB76)</f>
        <v>0</v>
      </c>
      <c r="BC74" s="200"/>
      <c r="BD74" s="1758"/>
      <c r="BE74" s="1758"/>
      <c r="BF74" s="997" t="s">
        <v>1751</v>
      </c>
    </row>
    <row s="538" customFormat="1" customHeight="1" ht="34.5">
      <c r="A75" s="1758"/>
      <c r="B75" s="428"/>
      <c r="C75" s="1758"/>
      <c r="D75" s="1758"/>
      <c r="E75" s="618">
        <v>36</v>
      </c>
      <c r="F75" s="50" cm="1" t="str">
        <f t="array" ref="F75:F75">OFFSET(E75,-1,1)</f>
        <v>4</v>
      </c>
      <c r="G75" s="1758"/>
      <c r="H75" s="1758"/>
      <c r="I75" s="1758"/>
      <c r="J75" s="1758"/>
      <c r="K75" s="1758"/>
      <c r="L75" s="1758"/>
      <c r="M75" s="1758"/>
      <c r="N75" s="1758"/>
      <c r="O75" s="1758"/>
      <c r="P75" s="1758"/>
      <c r="Q75" s="1758"/>
      <c r="R75" s="1758"/>
      <c r="S75" s="1758"/>
      <c r="T75" s="465" cm="1" t="str">
        <f t="array" ref="T75:T75">T74</f>
        <v>true</v>
      </c>
      <c r="U75" s="1758"/>
      <c r="V75" s="1758"/>
      <c r="W75" s="1758"/>
      <c r="X75" s="1563"/>
      <c r="Y75" s="1758"/>
      <c r="Z75" s="1596"/>
      <c r="AA75" s="1758"/>
      <c r="AB75" s="220" t="s">
        <v>1752</v>
      </c>
      <c r="AC75" s="762" t="s">
        <v>1753</v>
      </c>
      <c r="AD75" s="930" t="s">
        <v>1514</v>
      </c>
      <c r="AE75" s="772"/>
      <c r="AF75" s="772"/>
      <c r="AG75" s="772"/>
      <c r="AH75" s="772"/>
      <c r="AI75" s="772">
        <v>972.24</v>
      </c>
      <c r="AJ75" s="772">
        <v>972.24</v>
      </c>
      <c r="AK75" s="772">
        <v>972.24</v>
      </c>
      <c r="AL75" s="772">
        <v>972.24</v>
      </c>
      <c r="AM75" s="772">
        <v>972.24</v>
      </c>
      <c r="AN75" s="3557"/>
      <c r="AO75" s="3557"/>
      <c r="AP75" s="3557"/>
      <c r="AQ75" s="3557"/>
      <c r="AR75" s="3557"/>
      <c r="AS75" s="772">
        <v>972.24</v>
      </c>
      <c r="AT75" s="772">
        <v>972.24</v>
      </c>
      <c r="AU75" s="772">
        <v>972.24</v>
      </c>
      <c r="AV75" s="772">
        <v>972.24</v>
      </c>
      <c r="AW75" s="772">
        <v>972.24</v>
      </c>
      <c r="AX75" s="3557"/>
      <c r="AY75" s="3557"/>
      <c r="AZ75" s="3557"/>
      <c r="BA75" s="3557"/>
      <c r="BB75" s="3557"/>
      <c r="BC75" s="200"/>
      <c r="BD75" s="1758"/>
      <c r="BE75" s="1758"/>
      <c r="BF75" s="997" t="s">
        <v>1754</v>
      </c>
    </row>
    <row s="538" customFormat="1" customHeight="1" ht="0">
      <c r="A76" s="1758"/>
      <c r="B76" s="428"/>
      <c r="C76" s="1758"/>
      <c r="D76" s="1758"/>
      <c r="E76" s="618">
        <v>36</v>
      </c>
      <c r="F76" s="50" cm="1" t="str">
        <f t="array" ref="F76:F76">OFFSET(E76,-1,1)</f>
        <v>4</v>
      </c>
      <c r="G76" s="1758"/>
      <c r="H76" s="1758"/>
      <c r="I76" s="1758"/>
      <c r="J76" s="1758"/>
      <c r="K76" s="1758"/>
      <c r="L76" s="1758"/>
      <c r="M76" s="1758"/>
      <c r="N76" s="1758"/>
      <c r="O76" s="1758"/>
      <c r="P76" s="1758"/>
      <c r="Q76" s="1758"/>
      <c r="R76" s="1758"/>
      <c r="S76" s="1758"/>
      <c r="T76" s="465" cm="1" t="str">
        <f t="array" ref="T76:T76">T75</f>
        <v>true</v>
      </c>
      <c r="U76" s="1758"/>
      <c r="V76" s="1758"/>
      <c r="W76" s="1758"/>
      <c r="X76" s="1563"/>
      <c r="Y76" s="1758"/>
      <c r="Z76" s="1596"/>
      <c r="AA76" s="1758"/>
      <c r="AB76" s="220" t="s">
        <v>1755</v>
      </c>
      <c r="AC76" s="762" t="s">
        <v>1756</v>
      </c>
      <c r="AD76" s="930" t="s">
        <v>1514</v>
      </c>
      <c r="AE76" s="772"/>
      <c r="AF76" s="772"/>
      <c r="AG76" s="772"/>
      <c r="AH76" s="772"/>
      <c r="AI76" s="772"/>
      <c r="AJ76" s="772"/>
      <c r="AK76" s="772"/>
      <c r="AL76" s="772"/>
      <c r="AM76" s="772"/>
      <c r="AN76" s="3557"/>
      <c r="AO76" s="3557"/>
      <c r="AP76" s="3557"/>
      <c r="AQ76" s="3557"/>
      <c r="AR76" s="3557"/>
      <c r="AS76" s="772"/>
      <c r="AT76" s="772"/>
      <c r="AU76" s="772"/>
      <c r="AV76" s="772"/>
      <c r="AW76" s="772"/>
      <c r="AX76" s="3557"/>
      <c r="AY76" s="3557"/>
      <c r="AZ76" s="3557"/>
      <c r="BA76" s="3557"/>
      <c r="BB76" s="3557"/>
      <c r="BC76" s="200"/>
      <c r="BD76" s="1758"/>
      <c r="BE76" s="1758"/>
      <c r="BF76" s="997" t="s">
        <v>1757</v>
      </c>
    </row>
    <row customHeight="1" ht="10.96875">
      <c r="E77" s="676">
        <v>11.25</v>
      </c>
      <c r="U77" s="149" t="s">
        <v>178</v>
      </c>
      <c r="V77" s="140" t="s">
        <v>1759</v>
      </c>
      <c r="AI77" s="1758"/>
      <c r="AJ77" s="1758"/>
      <c r="AK77" s="1758"/>
      <c r="AL77" s="1758"/>
      <c r="AM77" s="1758"/>
      <c r="AN77" s="1758"/>
      <c r="AO77" s="1758"/>
      <c r="AP77" s="1758"/>
      <c r="AQ77" s="1758"/>
      <c r="AR77" s="1758"/>
      <c r="AS77" s="1758"/>
      <c r="AT77" s="1758"/>
      <c r="AU77" s="1758"/>
      <c r="AV77" s="1758"/>
      <c r="AW77" s="1758"/>
      <c r="AX77" s="1758"/>
      <c r="AY77" s="1758"/>
      <c r="AZ77" s="1758"/>
      <c r="BA77" s="1758"/>
      <c r="BB77" s="1758"/>
    </row>
    <row customHeight="1" ht="14.625">
      <c r="E78" s="676">
        <v>15</v>
      </c>
      <c r="AA78" s="98"/>
      <c r="AB78" s="1577" t="s">
        <v>407</v>
      </c>
      <c r="AC78" s="1577"/>
      <c r="AD78" s="1577"/>
      <c r="AE78" s="1577"/>
      <c r="AF78" s="1577"/>
      <c r="AG78" s="1577"/>
      <c r="AH78" s="1577"/>
      <c r="AI78" s="1598"/>
      <c r="AJ78" s="1598"/>
      <c r="AK78" s="1598"/>
      <c r="AL78" s="1598"/>
      <c r="AM78" s="1598"/>
      <c r="AN78" s="1598"/>
      <c r="AO78" s="1598"/>
      <c r="AP78" s="1598"/>
      <c r="AQ78" s="1598"/>
      <c r="AR78" s="1598"/>
      <c r="AS78" s="1598"/>
      <c r="AT78" s="1598"/>
      <c r="AU78" s="1598"/>
      <c r="AV78" s="1598"/>
      <c r="AW78" s="1598"/>
      <c r="AX78" s="1598"/>
      <c r="AY78" s="1598"/>
      <c r="AZ78" s="1598"/>
      <c r="BA78" s="1598"/>
      <c r="BB78" s="1598"/>
      <c r="BC78" s="1598"/>
      <c r="BD78" s="98"/>
    </row>
    <row customHeight="1" ht="14.625">
      <c r="E79" s="676">
        <v>15</v>
      </c>
      <c r="AA79" s="173"/>
      <c r="AB79" s="1599" t="s">
        <v>1760</v>
      </c>
      <c r="AC79" s="1599"/>
      <c r="AD79" s="1599"/>
      <c r="AE79" s="1599"/>
      <c r="AF79" s="1599"/>
      <c r="AG79" s="1599"/>
      <c r="AH79" s="1599"/>
      <c r="AI79" s="3542"/>
      <c r="AJ79" s="3542"/>
      <c r="AK79" s="3542"/>
      <c r="AL79" s="3542"/>
      <c r="AM79" s="3542"/>
      <c r="AN79" s="3542"/>
      <c r="AO79" s="3542"/>
      <c r="AP79" s="3542"/>
      <c r="AQ79" s="3542"/>
      <c r="AR79" s="3542"/>
      <c r="AS79" s="3542"/>
      <c r="AT79" s="3542"/>
      <c r="AU79" s="3542"/>
      <c r="AV79" s="3542"/>
      <c r="AW79" s="3542"/>
      <c r="AX79" s="3542"/>
      <c r="AY79" s="3542"/>
      <c r="AZ79" s="3542"/>
      <c r="BA79" s="3542"/>
      <c r="BB79" s="3542"/>
      <c r="BC79" s="1600"/>
      <c r="BD79" s="98"/>
    </row>
    <row customHeight="1" ht="14.625" hidden="1">
      <c r="E80" s="618">
        <v>15</v>
      </c>
      <c r="T80" s="465">
        <f>ROW(W80)&gt;ROW(W$80)</f>
        <v>0</v>
      </c>
      <c r="W80" s="717" t="s">
        <v>174</v>
      </c>
      <c r="AA80" s="60" t="s">
        <v>175</v>
      </c>
      <c r="AB80" s="61" t="s">
        <v>227</v>
      </c>
      <c r="AC80" s="61"/>
      <c r="AD80" s="61"/>
      <c r="AE80" s="61"/>
      <c r="AF80" s="61"/>
      <c r="AG80" s="61"/>
      <c r="AH80" s="61"/>
      <c r="AI80" s="62"/>
      <c r="AJ80" s="62"/>
      <c r="AK80" s="62"/>
      <c r="AL80" s="62"/>
      <c r="AM80" s="62"/>
      <c r="AN80" s="62"/>
      <c r="AO80" s="62"/>
      <c r="AP80" s="62"/>
      <c r="AQ80" s="62"/>
      <c r="AR80" s="62"/>
      <c r="AS80" s="62"/>
      <c r="AT80" s="62"/>
      <c r="AU80" s="62"/>
      <c r="AV80" s="62"/>
      <c r="AW80" s="62"/>
      <c r="AX80" s="62"/>
      <c r="AY80" s="62"/>
      <c r="AZ80" s="62"/>
      <c r="BA80" s="62"/>
      <c r="BB80" s="62"/>
      <c r="BC80" s="62"/>
    </row>
    <row s="1834" customFormat="1" customHeight="1" ht="33.75">
      <c r="A81" s="1758"/>
      <c r="B81" s="1416"/>
      <c r="C81" s="1758"/>
      <c r="D81" s="1758"/>
      <c r="E81" s="618">
        <v>15</v>
      </c>
      <c r="F81" s="1758"/>
      <c r="G81" s="1758"/>
      <c r="H81" s="1758"/>
      <c r="I81" s="1758"/>
      <c r="J81" s="1758"/>
      <c r="K81" s="1758"/>
      <c r="L81" s="1758"/>
      <c r="M81" s="1758"/>
      <c r="N81" s="1758"/>
      <c r="O81" s="1758"/>
      <c r="P81" s="1758"/>
      <c r="Q81" s="1758"/>
      <c r="R81" s="1758"/>
      <c r="S81" s="1758"/>
      <c r="T81" s="465">
        <f>ROW(W81)&gt;ROW(W$80)</f>
        <v>1</v>
      </c>
      <c r="U81" s="1758"/>
      <c r="V81" s="1758"/>
      <c r="W81" s="717"/>
      <c r="X81" s="1758"/>
      <c r="Y81" s="1758" t="s">
        <v>227</v>
      </c>
      <c r="Z81" s="1758"/>
      <c r="AA81" s="60" t="s">
        <v>175</v>
      </c>
      <c r="AB81" s="3543" t="s">
        <v>1761</v>
      </c>
      <c r="AC81" s="61"/>
      <c r="AD81" s="61"/>
      <c r="AE81" s="61"/>
      <c r="AF81" s="61"/>
      <c r="AG81" s="61"/>
      <c r="AH81" s="61"/>
      <c r="AI81" s="62"/>
      <c r="AJ81" s="62"/>
      <c r="AK81" s="62"/>
      <c r="AL81" s="62"/>
      <c r="AM81" s="62"/>
      <c r="AN81" s="62"/>
      <c r="AO81" s="62"/>
      <c r="AP81" s="62"/>
      <c r="AQ81" s="62"/>
      <c r="AR81" s="62"/>
      <c r="AS81" s="62"/>
      <c r="AT81" s="62"/>
      <c r="AU81" s="62"/>
      <c r="AV81" s="62"/>
      <c r="AW81" s="62"/>
      <c r="AX81" s="62"/>
      <c r="AY81" s="62"/>
      <c r="AZ81" s="62"/>
      <c r="BA81" s="62"/>
      <c r="BB81" s="62"/>
      <c r="BC81" s="62"/>
      <c r="BD81" s="1758"/>
      <c r="BE81" s="1758"/>
      <c r="BF81" s="1764"/>
    </row>
    <row s="1834" customFormat="1" customHeight="1" ht="23.25">
      <c r="A82" s="1758"/>
      <c r="B82" s="1416"/>
      <c r="C82" s="1758"/>
      <c r="D82" s="1758"/>
      <c r="E82" s="618">
        <v>15</v>
      </c>
      <c r="F82" s="1758"/>
      <c r="G82" s="1758"/>
      <c r="H82" s="1758"/>
      <c r="I82" s="1758"/>
      <c r="J82" s="1758"/>
      <c r="K82" s="1758"/>
      <c r="L82" s="1758"/>
      <c r="M82" s="1758"/>
      <c r="N82" s="1758"/>
      <c r="O82" s="1758"/>
      <c r="P82" s="1758"/>
      <c r="Q82" s="1758"/>
      <c r="R82" s="1758"/>
      <c r="S82" s="1758"/>
      <c r="T82" s="465">
        <f>ROW(W82)&gt;ROW(W$80)</f>
        <v>1</v>
      </c>
      <c r="U82" s="1758"/>
      <c r="V82" s="1758"/>
      <c r="W82" s="717"/>
      <c r="X82" s="1758"/>
      <c r="Y82" s="1758"/>
      <c r="Z82" s="1758"/>
      <c r="AA82" s="60" t="s">
        <v>175</v>
      </c>
      <c r="AB82" s="3543" t="s">
        <v>1569</v>
      </c>
      <c r="AC82" s="61"/>
      <c r="AD82" s="61"/>
      <c r="AE82" s="61"/>
      <c r="AF82" s="61"/>
      <c r="AG82" s="61"/>
      <c r="AH82" s="61"/>
      <c r="AI82" s="62"/>
      <c r="AJ82" s="62"/>
      <c r="AK82" s="62"/>
      <c r="AL82" s="62"/>
      <c r="AM82" s="62"/>
      <c r="AN82" s="62"/>
      <c r="AO82" s="62"/>
      <c r="AP82" s="62"/>
      <c r="AQ82" s="62"/>
      <c r="AR82" s="62"/>
      <c r="AS82" s="62"/>
      <c r="AT82" s="62"/>
      <c r="AU82" s="62"/>
      <c r="AV82" s="62"/>
      <c r="AW82" s="62"/>
      <c r="AX82" s="62"/>
      <c r="AY82" s="62"/>
      <c r="AZ82" s="62"/>
      <c r="BA82" s="62"/>
      <c r="BB82" s="62"/>
      <c r="BC82" s="62"/>
      <c r="BD82" s="1758"/>
      <c r="BE82" s="1758"/>
      <c r="BF82" s="1764"/>
    </row>
    <row s="1834" customFormat="1" customHeight="1" ht="14.859375">
      <c r="A83" s="1758"/>
      <c r="B83" s="1416"/>
      <c r="C83" s="1758"/>
      <c r="D83" s="1758"/>
      <c r="E83" s="618">
        <v>15</v>
      </c>
      <c r="F83" s="1758"/>
      <c r="G83" s="1758"/>
      <c r="H83" s="1758"/>
      <c r="I83" s="1758"/>
      <c r="J83" s="1758"/>
      <c r="K83" s="1758"/>
      <c r="L83" s="1758"/>
      <c r="M83" s="1758"/>
      <c r="N83" s="1758"/>
      <c r="O83" s="1758"/>
      <c r="P83" s="1758"/>
      <c r="Q83" s="1758"/>
      <c r="R83" s="1758"/>
      <c r="S83" s="1758"/>
      <c r="T83" s="465">
        <f>ROW(W83)&gt;ROW(W$80)</f>
        <v>1</v>
      </c>
      <c r="U83" s="1758"/>
      <c r="V83" s="1758"/>
      <c r="W83" s="717"/>
      <c r="X83" s="1758"/>
      <c r="Y83" s="1758" t="s">
        <v>227</v>
      </c>
      <c r="Z83" s="1758"/>
      <c r="AA83" s="60" t="s">
        <v>175</v>
      </c>
      <c r="AB83" s="3543" t="s">
        <v>1762</v>
      </c>
      <c r="AC83" s="61"/>
      <c r="AD83" s="61"/>
      <c r="AE83" s="61"/>
      <c r="AF83" s="61"/>
      <c r="AG83" s="61"/>
      <c r="AH83" s="61"/>
      <c r="AI83" s="62"/>
      <c r="AJ83" s="62"/>
      <c r="AK83" s="62"/>
      <c r="AL83" s="62"/>
      <c r="AM83" s="62"/>
      <c r="AN83" s="62"/>
      <c r="AO83" s="62"/>
      <c r="AP83" s="62"/>
      <c r="AQ83" s="62"/>
      <c r="AR83" s="62"/>
      <c r="AS83" s="62"/>
      <c r="AT83" s="62"/>
      <c r="AU83" s="62"/>
      <c r="AV83" s="62"/>
      <c r="AW83" s="62"/>
      <c r="AX83" s="62"/>
      <c r="AY83" s="62"/>
      <c r="AZ83" s="62"/>
      <c r="BA83" s="62"/>
      <c r="BB83" s="62"/>
      <c r="BC83" s="62"/>
      <c r="BD83" s="1758"/>
      <c r="BE83" s="1758"/>
      <c r="BF83" s="1764"/>
    </row>
    <row customHeight="1" ht="14.625">
      <c r="E84" s="676">
        <v>15</v>
      </c>
      <c r="W84" s="757" t="s">
        <v>408</v>
      </c>
      <c r="AA84" s="98"/>
      <c r="AB84" s="647"/>
      <c r="AC84" s="514" t="s">
        <v>409</v>
      </c>
      <c r="AD84" s="310"/>
      <c r="AE84" s="310"/>
      <c r="AF84" s="311"/>
      <c r="AG84" s="311"/>
      <c r="AH84" s="311"/>
      <c r="AI84" s="311"/>
      <c r="AJ84" s="311"/>
      <c r="AK84" s="311"/>
      <c r="AL84" s="311"/>
      <c r="AM84" s="311"/>
      <c r="AN84" s="311"/>
      <c r="AO84" s="311"/>
      <c r="AP84" s="311"/>
      <c r="AQ84" s="311"/>
      <c r="AR84" s="311"/>
      <c r="AS84" s="311"/>
      <c r="AT84" s="311"/>
      <c r="AU84" s="311"/>
      <c r="AV84" s="311"/>
      <c r="AW84" s="311"/>
      <c r="AX84" s="311"/>
      <c r="AY84" s="311"/>
      <c r="AZ84" s="311"/>
      <c r="BA84" s="311"/>
      <c r="BB84" s="311"/>
      <c r="BC84" s="312"/>
      <c r="BD84" s="98"/>
    </row>
    <row customHeight="1" ht="10.96875">
      <c r="E85" s="676">
        <v>11.25</v>
      </c>
      <c r="AI85" s="1758"/>
      <c r="AJ85" s="1758"/>
      <c r="AK85" s="1758"/>
      <c r="AL85" s="1758"/>
      <c r="AM85" s="1758"/>
      <c r="AN85" s="1758"/>
      <c r="AO85" s="1758"/>
      <c r="AP85" s="1758"/>
      <c r="AQ85" s="1758"/>
      <c r="AR85" s="1758"/>
      <c r="AS85" s="1758"/>
      <c r="AT85" s="1758"/>
      <c r="AU85" s="1758"/>
      <c r="AV85" s="1758"/>
      <c r="AW85" s="1758"/>
      <c r="AX85" s="1758"/>
      <c r="AY85" s="1758"/>
      <c r="AZ85" s="1758"/>
      <c r="BA85" s="1758"/>
      <c r="BB85" s="1758"/>
      <c r="BD85" s="426"/>
    </row>
  </sheetData>
  <sheetProtection formatColumns="0" formatRows="0" insertRows="0" deleteColumns="0" deleteRows="0" sort="0" autoFilter="0" insertColumns="1"/>
  <mergeCells count="20">
    <mergeCell ref="BC24:BC25"/>
    <mergeCell ref="AB24:AB25"/>
    <mergeCell ref="AC24:AC25"/>
    <mergeCell ref="AD24:AD25"/>
    <mergeCell ref="AB80:BC80"/>
    <mergeCell ref="AB78:BC78"/>
    <mergeCell ref="AB79:BC79"/>
    <mergeCell ref="X27:X36"/>
    <mergeCell ref="Z27:Z36"/>
    <mergeCell ref="X37:X46"/>
    <mergeCell ref="Z37:Z46"/>
    <mergeCell ref="X47:X56"/>
    <mergeCell ref="Z47:Z56"/>
    <mergeCell ref="X57:X66"/>
    <mergeCell ref="Z57:Z66"/>
    <mergeCell ref="X67:X76"/>
    <mergeCell ref="Z67:Z76"/>
    <mergeCell ref="AB81:BC81"/>
    <mergeCell ref="AB82:BC82"/>
    <mergeCell ref="AB83:BC83"/>
  </mergeCells>
  <dataValidations count="1">
    <dataValidation type="decimal" allowBlank="1" showErrorMessage="1" errorTitle="Ошибка" error="Допускается ввод только неотрицательных чисел!" sqref="BB30:BB36 BB40:BB46 BB50:BB56 BB60:BB66 BB70:BB76 BA30:BA36 BA40:BA46 BA50:BA56 BA60:BA66 BA70:BA76 AZ30:AZ36 AZ40:AZ46 AZ50:AZ56 AZ60:AZ66 AZ70:AZ76 AY30:AY36 AY40:AY46 AY50:AY56 AY60:AY66 AY70:AY76 AX30:AX36 AX40:AX46 AX50:AX56 AX60:AX66 AX70:AX76 AW30:AW36 AW40:AW46 AW50:AW56 AW60:AW66 AW70:AW76 AV30:AV36 AV40:AV46 AV50:AV56 AV60:AV66 AV70:AV76 AU30:AU36 AU40:AU46 AU50:AU56 AU60:AU66 AU70:AU76 AT30:AT36 AT40:AT46 AT50:AT56 AT60:AT66 AT70:AT76 AS30:AS36 AS40:AS46 AS50:AS56 AS60:AS66 AS70:AS76 AR30:AR36 AR40:AR46 AR50:AR56 AR60:AR66 AR70:AR76 AQ30:AQ36 AQ40:AQ46 AQ50:AQ56 AQ60:AQ66 AQ70:AQ76 AP30:AP36 AP40:AP46 AP50:AP56 AP60:AP66 AP70:AP76 AO30:AO36 AO40:AO46 AO50:AO56 AO60:AO66 AO70:AO76 AN30:AN36 AN40:AN46 AN50:AN56 AN60:AN66 AN70:AN76 AM30:AM36 AM40:AM46 AM50:AM56 AM60:AM66 AM70:AM76 AL30:AL36 AL40:AL46 AL50:AL56 AL60:AL66 AL70:AL76 AK30:AK36 AK40:AK46 AK50:AK56 AK60:AK66 AK70:AK76 AJ30:AJ36 AJ40:AJ46 AJ50:AJ56 AJ60:AJ66 AJ70:AJ76 AI30:AI36 AI40:AI46 AI50:AI56 AI60:AI66 AI70:AI76 AH30:AH36 AH40:AH46 AH50:AH56 AH60:AH66 AH70:AH76 AG30:AG36 AG40:AG46 AG50:AG56 AG60:AG66 AG70:AG76 AF30:AF36 AF40:AF46 AF50:AF56 AF60:AF66 AF70:AF76 AE30:AE36 AE40:AE46 AE50:AE56 AE60:AE66 AE70:AE76">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364B6D-D4E8-2278-FD28-936E835B1D08}" mc:Ignorable="x14ac xr xr2 xr3">
  <sheetPr>
    <tabColor rgb="FF002060"/>
    <outlinePr summaryRight="0" summaryBelow="0"/>
    <pageSetUpPr fitToPage="1"/>
  </sheetPr>
  <dimension ref="A1:AI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8.7109375" customHeight="1" defaultRowHeight="11.25"/>
  <cols>
    <col min="1" max="1" style="1459" width="5.421875" hidden="1" customWidth="1"/>
    <col min="2" max="2" style="1459" width="6.7109375" hidden="1" customWidth="1"/>
    <col min="3" max="4" style="1459" width="2.7109375" hidden="1" customWidth="1"/>
    <col min="5" max="5" style="1419" width="3.7109375" hidden="1" customWidth="1"/>
    <col min="6" max="19" style="1459" width="2.7109375" hidden="1" customWidth="1"/>
    <col min="20" max="20" style="1459" width="8.140625" hidden="1" customWidth="1"/>
    <col min="21" max="21" style="1459" width="5.8515625" hidden="1" customWidth="1"/>
    <col min="22" max="23" style="1459" width="6.140625" hidden="1" customWidth="1"/>
    <col min="24" max="25" style="1459" width="5.57421875" hidden="1" customWidth="1"/>
    <col min="26" max="26" style="1459" width="5.28125" hidden="1" customWidth="1"/>
    <col min="27" max="27" style="1459" width="3.00390625" customWidth="1"/>
    <col min="28" max="28" style="1459" width="11.7109375" customWidth="1"/>
    <col min="29" max="29" style="1459" width="41.7109375" customWidth="1"/>
    <col min="30" max="30" style="1597" width="15.7109375" customWidth="1"/>
    <col min="31" max="32" style="1597" width="12.57421875" customWidth="1"/>
    <col min="33" max="33" style="1459" width="8.7109375"/>
    <col min="34" max="34" style="1459" width="8.7109375" hidden="1"/>
    <col min="35" max="35" style="1424" width="8.7109375" hidden="1"/>
  </cols>
  <sheetData>
    <row customHeight="1" ht="11.25" hidden="1">
      <c r="E1" s="488"/>
      <c r="F1" s="488" t="s">
        <v>321</v>
      </c>
      <c r="G1" s="488" t="s">
        <v>331</v>
      </c>
      <c r="T1" s="465" t="s">
        <v>93</v>
      </c>
      <c r="U1" s="465" t="s">
        <v>98</v>
      </c>
      <c r="V1" s="465" t="s">
        <v>94</v>
      </c>
      <c r="W1" s="465" t="s">
        <v>95</v>
      </c>
      <c r="X1" s="465" t="s">
        <v>96</v>
      </c>
      <c r="Y1" s="1360" t="s">
        <v>323</v>
      </c>
      <c r="Z1" s="465" t="s">
        <v>100</v>
      </c>
      <c r="AA1" s="467" t="s">
        <v>97</v>
      </c>
      <c r="AB1" s="1361"/>
      <c r="AC1" s="1362" t="s">
        <v>99</v>
      </c>
      <c r="AE1" s="1597"/>
      <c r="AF1" s="1597"/>
      <c r="AI1" s="1025" t="s">
        <v>324</v>
      </c>
    </row>
    <row customHeight="1" ht="11.25" hidden="1">
      <c r="B2" s="1199" t="s">
        <v>19</v>
      </c>
      <c r="E2" s="488"/>
      <c r="T2" s="1363"/>
      <c r="U2" s="1363"/>
      <c r="V2" s="1363"/>
      <c r="W2" s="1363"/>
      <c r="X2" s="1363"/>
      <c r="Y2" s="520"/>
      <c r="Z2" s="1363"/>
      <c r="AA2" s="520"/>
      <c r="AB2" s="1364"/>
      <c r="AC2" s="1364"/>
      <c r="AE2" s="539">
        <f>AE13&lt;=last_year_vis</f>
        <v>1</v>
      </c>
      <c r="AF2" s="539">
        <f>AF13&lt;=last_year_vis</f>
        <v>1</v>
      </c>
    </row>
    <row customHeight="1" ht="11.25" hidden="1">
      <c r="A3" s="416"/>
      <c r="B3" s="416"/>
      <c r="C3" s="416"/>
      <c r="D3" s="416"/>
      <c r="E3" s="416"/>
      <c r="F3" s="416"/>
      <c r="G3" s="416"/>
      <c r="H3" s="416"/>
      <c r="I3" s="416"/>
      <c r="J3" s="416"/>
      <c r="K3" s="416"/>
      <c r="L3" s="416"/>
      <c r="M3" s="416"/>
      <c r="N3" s="416"/>
      <c r="O3" s="416"/>
      <c r="P3" s="416"/>
      <c r="Q3" s="416"/>
      <c r="R3" s="416"/>
      <c r="S3" s="416"/>
      <c r="T3" s="416"/>
      <c r="U3" s="416"/>
      <c r="V3" s="416"/>
      <c r="W3" s="416"/>
      <c r="X3" s="416"/>
      <c r="Y3" s="416"/>
      <c r="Z3" s="416"/>
      <c r="AA3" s="416"/>
      <c r="AE3" s="1597"/>
      <c r="AF3" s="1597"/>
      <c r="AI3" s="1200"/>
    </row>
    <row customHeight="1" ht="11.25" hidden="1">
      <c r="A4" s="416"/>
      <c r="B4" s="416"/>
      <c r="C4" s="416"/>
      <c r="D4" s="416"/>
      <c r="E4" s="416"/>
      <c r="F4" s="416"/>
      <c r="G4" s="416"/>
      <c r="H4" s="416"/>
      <c r="I4" s="416"/>
      <c r="J4" s="416"/>
      <c r="K4" s="416"/>
      <c r="L4" s="416"/>
      <c r="M4" s="416"/>
      <c r="N4" s="416"/>
      <c r="O4" s="416"/>
      <c r="P4" s="416"/>
      <c r="Q4" s="416"/>
      <c r="R4" s="416"/>
      <c r="S4" s="416"/>
      <c r="T4" s="416"/>
      <c r="U4" s="416"/>
      <c r="V4" s="416"/>
      <c r="W4" s="416"/>
      <c r="X4" s="416"/>
      <c r="Y4" s="416"/>
      <c r="Z4" s="416"/>
      <c r="AA4" s="416"/>
      <c r="AE4" s="1597"/>
      <c r="AF4" s="1597"/>
      <c r="AI4" s="1200"/>
    </row>
    <row s="1224" customFormat="1" customHeight="1" ht="11.25" hidden="1">
      <c r="A5" s="416"/>
      <c r="B5" s="416"/>
      <c r="C5" s="416"/>
      <c r="D5" s="416"/>
      <c r="E5" s="1201" t="s">
        <v>20</v>
      </c>
      <c r="F5" s="656"/>
      <c r="G5" s="656"/>
      <c r="H5" s="656"/>
      <c r="I5" s="656"/>
      <c r="J5" s="656"/>
      <c r="K5" s="656"/>
      <c r="L5" s="656"/>
      <c r="M5" s="656"/>
      <c r="N5" s="656"/>
      <c r="O5" s="656"/>
      <c r="P5" s="656"/>
      <c r="Q5" s="656"/>
      <c r="R5" s="656"/>
      <c r="S5" s="656"/>
      <c r="T5" s="656"/>
      <c r="U5" s="656"/>
      <c r="V5" s="656"/>
      <c r="W5" s="656"/>
      <c r="X5" s="656"/>
      <c r="Y5" s="656"/>
      <c r="Z5" s="656"/>
      <c r="AA5" s="656">
        <v>3</v>
      </c>
      <c r="AB5" s="1202" t="s">
        <v>461</v>
      </c>
      <c r="AC5" s="675">
        <v>41.71</v>
      </c>
      <c r="AD5" s="675">
        <v>15.71</v>
      </c>
      <c r="AE5" s="675">
        <v>12.57</v>
      </c>
      <c r="AF5" s="675">
        <v>12.57</v>
      </c>
      <c r="AG5" s="675" t="s">
        <v>289</v>
      </c>
      <c r="AI5" s="1006"/>
    </row>
    <row customHeight="1" ht="11.25" hidden="1">
      <c r="A6" s="416"/>
      <c r="B6" s="416"/>
      <c r="C6" s="416"/>
      <c r="D6" s="416"/>
      <c r="E6" s="656"/>
      <c r="F6" s="416"/>
      <c r="G6" s="416"/>
      <c r="H6" s="416"/>
      <c r="I6" s="416"/>
      <c r="J6" s="416"/>
      <c r="K6" s="416"/>
      <c r="L6" s="416"/>
      <c r="M6" s="416"/>
      <c r="N6" s="416"/>
      <c r="O6" s="416"/>
      <c r="P6" s="416"/>
      <c r="Q6" s="416"/>
      <c r="R6" s="416"/>
      <c r="S6" s="416"/>
      <c r="T6" s="416"/>
      <c r="U6" s="416"/>
      <c r="V6" s="416"/>
      <c r="W6" s="416"/>
      <c r="X6" s="416"/>
      <c r="Y6" s="416"/>
      <c r="Z6" s="416"/>
      <c r="AA6" s="416"/>
      <c r="AE6" s="1597"/>
      <c r="AF6" s="1597"/>
      <c r="AI6" s="1200"/>
    </row>
    <row customHeight="1" ht="11.25" hidden="1">
      <c r="A7" s="416"/>
      <c r="B7" s="416"/>
      <c r="C7" s="416"/>
      <c r="D7" s="416"/>
      <c r="E7" s="656"/>
      <c r="F7" s="416"/>
      <c r="G7" s="416"/>
      <c r="H7" s="416"/>
      <c r="I7" s="416"/>
      <c r="J7" s="416"/>
      <c r="K7" s="416"/>
      <c r="L7" s="416"/>
      <c r="M7" s="416"/>
      <c r="N7" s="416"/>
      <c r="O7" s="416"/>
      <c r="P7" s="416"/>
      <c r="Q7" s="416"/>
      <c r="R7" s="416"/>
      <c r="S7" s="416"/>
      <c r="T7" s="416"/>
      <c r="U7" s="416"/>
      <c r="V7" s="416"/>
      <c r="W7" s="416"/>
      <c r="X7" s="416"/>
      <c r="Y7" s="416"/>
      <c r="Z7" s="416"/>
      <c r="AA7" s="416"/>
      <c r="AE7" s="1597"/>
      <c r="AF7" s="1597"/>
      <c r="AI7" s="1200"/>
    </row>
    <row customHeight="1" ht="11.25" hidden="1">
      <c r="A8" s="416"/>
      <c r="B8" s="416"/>
      <c r="C8" s="416"/>
      <c r="D8" s="416"/>
      <c r="E8" s="656"/>
      <c r="F8" s="416"/>
      <c r="G8" s="416"/>
      <c r="H8" s="416"/>
      <c r="I8" s="416"/>
      <c r="J8" s="416"/>
      <c r="K8" s="416"/>
      <c r="L8" s="416"/>
      <c r="M8" s="416"/>
      <c r="N8" s="416"/>
      <c r="O8" s="416"/>
      <c r="P8" s="416"/>
      <c r="Q8" s="416"/>
      <c r="R8" s="416"/>
      <c r="S8" s="416"/>
      <c r="T8" s="416"/>
      <c r="U8" s="416"/>
      <c r="V8" s="416"/>
      <c r="W8" s="416"/>
      <c r="X8" s="416"/>
      <c r="Y8" s="416"/>
      <c r="Z8" s="416"/>
      <c r="AA8" s="416"/>
      <c r="AE8" s="1597"/>
      <c r="AF8" s="1597"/>
      <c r="AI8" s="1200"/>
    </row>
    <row s="1200" customFormat="1" customHeight="1" ht="11.25" hidden="1">
      <c r="A9" s="1203" t="s">
        <v>365</v>
      </c>
      <c r="B9" s="1001"/>
      <c r="C9" s="1001"/>
      <c r="D9" s="1001"/>
      <c r="E9" s="1001"/>
      <c r="F9" s="1001"/>
      <c r="G9" s="1001"/>
      <c r="H9" s="1001"/>
      <c r="I9" s="1001"/>
      <c r="J9" s="1001"/>
      <c r="K9" s="1001"/>
      <c r="L9" s="1001"/>
      <c r="M9" s="1001"/>
      <c r="N9" s="1001"/>
      <c r="O9" s="1001"/>
      <c r="P9" s="1001"/>
      <c r="Q9" s="1001"/>
      <c r="R9" s="1001"/>
      <c r="S9" s="1001"/>
      <c r="T9" s="1001"/>
      <c r="U9" s="1001"/>
      <c r="V9" s="1001"/>
      <c r="W9" s="1001"/>
      <c r="X9" s="1001"/>
      <c r="Y9" s="1001"/>
      <c r="Z9" s="1001"/>
      <c r="AA9" s="1001"/>
      <c r="AE9" s="1200"/>
      <c r="AF9" s="1200"/>
    </row>
    <row s="1200" customFormat="1" customHeight="1" ht="11.25" hidden="1">
      <c r="A10" s="1001" t="s">
        <v>366</v>
      </c>
      <c r="B10" s="1001"/>
      <c r="C10" s="1001"/>
      <c r="D10" s="1001"/>
      <c r="E10" s="1001"/>
      <c r="F10" s="1001"/>
      <c r="G10" s="1001"/>
      <c r="H10" s="1001"/>
      <c r="I10" s="1001"/>
      <c r="J10" s="1001"/>
      <c r="K10" s="1001"/>
      <c r="L10" s="1001"/>
      <c r="M10" s="1001"/>
      <c r="N10" s="1001"/>
      <c r="O10" s="1001"/>
      <c r="P10" s="1001"/>
      <c r="Q10" s="1001"/>
      <c r="R10" s="1001"/>
      <c r="S10" s="1001"/>
      <c r="T10" s="1001"/>
      <c r="U10" s="1001"/>
      <c r="V10" s="1001"/>
      <c r="W10" s="1001"/>
      <c r="X10" s="1001"/>
      <c r="Y10" s="1001"/>
      <c r="Z10" s="1001"/>
      <c r="AA10" s="1001"/>
      <c r="AE10" s="1001" cm="1" t="str">
        <f t="array" ref="AE10:AE10">AE13</f>
        <v>2026</v>
      </c>
      <c r="AF10" s="1001" cm="1" t="str">
        <f t="array" ref="AF10:AF10">AF13</f>
        <v>2026</v>
      </c>
    </row>
    <row customHeight="1" ht="11.25" hidden="1">
      <c r="A11" s="416"/>
      <c r="B11" s="416"/>
      <c r="C11" s="416"/>
      <c r="D11" s="416"/>
      <c r="E11" s="656"/>
      <c r="F11" s="416"/>
      <c r="G11" s="416"/>
      <c r="H11" s="416"/>
      <c r="I11" s="416"/>
      <c r="J11" s="416"/>
      <c r="K11" s="416"/>
      <c r="L11" s="416"/>
      <c r="M11" s="416"/>
      <c r="N11" s="416"/>
      <c r="O11" s="416"/>
      <c r="P11" s="416"/>
      <c r="Q11" s="416"/>
      <c r="R11" s="416"/>
      <c r="S11" s="416"/>
      <c r="T11" s="416"/>
      <c r="U11" s="416"/>
      <c r="V11" s="416"/>
      <c r="W11" s="416"/>
      <c r="X11" s="416"/>
      <c r="Y11" s="416"/>
      <c r="Z11" s="416"/>
      <c r="AA11" s="416"/>
      <c r="AE11" s="416" cm="1" t="str">
        <f t="array" ref="AE11:AE11">AE25</f>
        <v>Предложение организации</v>
      </c>
      <c r="AF11" s="416" cm="1" t="str">
        <f t="array" ref="AF11:AF11">AF25</f>
        <v>Принято органом регулирования</v>
      </c>
      <c r="AI11" s="1200"/>
    </row>
    <row customHeight="1" ht="11.25" hidden="1">
      <c r="B12" s="1204"/>
      <c r="T12" s="1363"/>
      <c r="U12" s="1363"/>
      <c r="V12" s="1363"/>
      <c r="W12" s="1363"/>
      <c r="X12" s="1363"/>
      <c r="Y12" s="520"/>
      <c r="Z12" s="1363"/>
      <c r="AA12" s="520"/>
      <c r="AB12" s="1364"/>
      <c r="AC12" s="1364"/>
      <c r="AE12" s="1597"/>
      <c r="AF12" s="1597"/>
    </row>
    <row customHeight="1" ht="11.25" hidden="1">
      <c r="A13" s="488" t="s">
        <v>360</v>
      </c>
      <c r="B13" s="1204"/>
      <c r="AE13" s="516" cm="1" t="str">
        <f t="array" ref="AE13:AE13">god</f>
        <v>2026</v>
      </c>
      <c r="AF13" s="516" cm="1" t="str">
        <f t="array" ref="AF13:AF13">god</f>
        <v>2026</v>
      </c>
    </row>
    <row customHeight="1" ht="11.25" hidden="1">
      <c r="A14" s="488" t="s">
        <v>361</v>
      </c>
      <c r="AE14" s="516" cm="1" t="str">
        <f t="array" ref="AE14:AE14">AE25</f>
        <v>Предложение организации</v>
      </c>
      <c r="AF14" s="516" cm="1" t="str">
        <f t="array" ref="AF14:AF14">AF25</f>
        <v>Принято органом регулирования</v>
      </c>
    </row>
    <row customHeight="1" ht="11.25" hidden="1">
      <c r="AE15" s="516"/>
      <c r="AF15" s="516"/>
    </row>
    <row customHeight="1" ht="11.25" hidden="1">
      <c r="AE16" s="516"/>
      <c r="AF16" s="516"/>
    </row>
    <row customHeight="1" ht="11.25" hidden="1">
      <c r="AE17" s="516"/>
      <c r="AF17" s="516"/>
    </row>
    <row customHeight="1" ht="11.25" hidden="1">
      <c r="AE18" s="1597"/>
      <c r="AF18" s="1597"/>
    </row>
    <row customHeight="1" ht="11.25" hidden="1">
      <c r="AE19" s="1597"/>
      <c r="AF19" s="1597"/>
    </row>
    <row customHeight="1" ht="11.25" hidden="1">
      <c r="AE20" s="1597"/>
      <c r="AF20" s="1597"/>
    </row>
    <row customHeight="1" ht="14.625">
      <c r="E21" s="649">
        <v>15</v>
      </c>
      <c r="AA21" s="488"/>
      <c r="AC21" s="523" cm="1" t="str">
        <f t="array" ref="AC21:AC21">tpl_title</f>
        <v>Кемеровская область / 2026 / ООО "Теплоэнерго" (ИНН:4214046200, КПП:421401001) / ДПР: 2026-2030</v>
      </c>
      <c r="AE21" s="1597"/>
      <c r="AF21" s="1597"/>
    </row>
    <row customHeight="1" ht="37.29375">
      <c r="E22" s="649">
        <v>38.25</v>
      </c>
      <c r="AB22" s="1611" t="s">
        <v>56</v>
      </c>
      <c r="AC22" s="1612"/>
      <c r="AD22" s="1612"/>
      <c r="AE22" s="1612"/>
      <c r="AF22" s="1612"/>
    </row>
    <row customHeight="1" ht="10.96875">
      <c r="E23" s="649">
        <v>11.25</v>
      </c>
      <c r="AB23" s="1581"/>
      <c r="AC23" s="1581"/>
      <c r="AD23" s="1581"/>
      <c r="AE23" s="1581"/>
      <c r="AF23" s="1581"/>
    </row>
    <row customHeight="1" ht="14.625">
      <c r="E24" s="649">
        <v>15</v>
      </c>
      <c r="AB24" s="1577" t="s">
        <v>1496</v>
      </c>
      <c r="AC24" s="1608" t="s">
        <v>195</v>
      </c>
      <c r="AD24" s="1577" t="s">
        <v>370</v>
      </c>
      <c r="AE24" s="1613" t="str">
        <f>god&amp;" год"</f>
        <v>2026 год</v>
      </c>
      <c r="AF24" s="1614"/>
    </row>
    <row customHeight="1" ht="48.75">
      <c r="E25" s="649">
        <v>50</v>
      </c>
      <c r="AB25" s="1577"/>
      <c r="AC25" s="1608"/>
      <c r="AD25" s="1577"/>
      <c r="AE25" s="1320" t="s">
        <v>363</v>
      </c>
      <c r="AF25" s="519" t="s">
        <v>362</v>
      </c>
    </row>
    <row customHeight="1" ht="11.25" hidden="1">
      <c r="E26" s="649">
        <v>0</v>
      </c>
      <c r="AB26" s="724"/>
      <c r="AC26" s="738"/>
      <c r="AD26" s="724"/>
      <c r="AE26" s="1321"/>
      <c r="AF26" s="1321"/>
    </row>
    <row customHeight="1" ht="14.625" hidden="1">
      <c r="A27" s="1459"/>
      <c r="B27" s="1459"/>
      <c r="C27" s="516"/>
      <c r="D27" s="1459"/>
      <c r="E27" s="649">
        <v>15</v>
      </c>
      <c r="F27" s="516" cm="1" t="str">
        <f t="array" ref="F27:F27">X27</f>
        <v>0</v>
      </c>
      <c r="G27" s="1459"/>
      <c r="H27" s="1459"/>
      <c r="I27" s="1459"/>
      <c r="J27" s="1459"/>
      <c r="K27" s="1459"/>
      <c r="L27" s="1459"/>
      <c r="M27" s="1459"/>
      <c r="N27" s="1459"/>
      <c r="O27" s="1459"/>
      <c r="P27" s="1459"/>
      <c r="Q27" s="1459"/>
      <c r="R27" s="1459"/>
      <c r="S27" s="1459"/>
      <c r="T27" s="465">
        <f>X27&gt;0</f>
        <v>0</v>
      </c>
      <c r="U27" s="1459"/>
      <c r="V27" s="488" t="s">
        <v>265</v>
      </c>
      <c r="W27" s="1459"/>
      <c r="X27" s="1596">
        <v>0</v>
      </c>
      <c r="Y27" s="1459"/>
      <c r="Z27" s="1597"/>
      <c r="AA27" s="1459"/>
      <c r="AB27" s="1205" cm="1" t="str">
        <f t="array" ref="AB27:AB27">INDEX('Общие сведения'!$AG$179:$AG$250,MATCH($X27,'Общие сведения'!$Z$179:$Z$250,0))</f>
        <v>Тариф 0 () - </v>
      </c>
      <c r="AC27" s="180"/>
      <c r="AD27" s="1206"/>
      <c r="AE27" s="1206"/>
      <c r="AF27" s="1207"/>
      <c r="AG27" s="1459"/>
      <c r="AH27" s="1459"/>
      <c r="AI27" s="1424"/>
    </row>
    <row s="525" customFormat="1" customHeight="1" ht="14.625" hidden="1">
      <c r="A28" s="488"/>
      <c r="B28" s="525"/>
      <c r="C28" s="1322"/>
      <c r="D28" s="525"/>
      <c r="E28" s="674">
        <v>15</v>
      </c>
      <c r="F28" s="50" cm="1" t="str">
        <f t="array" ref="F28:F28">OFFSET(E28,-1,1)</f>
        <v>0</v>
      </c>
      <c r="G28" s="525" t="s">
        <v>332</v>
      </c>
      <c r="H28" s="525"/>
      <c r="I28" s="525"/>
      <c r="J28" s="525"/>
      <c r="K28" s="525"/>
      <c r="L28" s="525"/>
      <c r="M28" s="525"/>
      <c r="N28" s="525"/>
      <c r="O28" s="525"/>
      <c r="P28" s="525"/>
      <c r="Q28" s="525"/>
      <c r="R28" s="525"/>
      <c r="S28" s="525"/>
      <c r="T28" s="465" cm="1" t="str">
        <f t="array" ref="T28:T28">T27</f>
        <v>false</v>
      </c>
      <c r="U28" s="525"/>
      <c r="V28" s="525"/>
      <c r="W28" s="525"/>
      <c r="X28" s="1596"/>
      <c r="Y28" s="525"/>
      <c r="Z28" s="1597"/>
      <c r="AA28" s="525"/>
      <c r="AB28" s="1208" t="s">
        <v>276</v>
      </c>
      <c r="AC28" s="1209" t="s">
        <v>1763</v>
      </c>
      <c r="AD28" s="515" t="s">
        <v>1764</v>
      </c>
      <c r="AE28" s="1210">
        <f>IF(AE30=0,0,AE29/AE30)</f>
        <v>0</v>
      </c>
      <c r="AF28" s="527">
        <f>IF(AF30=0,0,AF29/AF30)</f>
        <v>0</v>
      </c>
      <c r="AG28" s="525"/>
      <c r="AH28" s="525"/>
      <c r="AI28" s="1035" t="s">
        <v>1765</v>
      </c>
    </row>
    <row customHeight="1" ht="14.625" hidden="1">
      <c r="A29" s="1459"/>
      <c r="B29" s="1459"/>
      <c r="C29" s="518"/>
      <c r="D29" s="1459"/>
      <c r="E29" s="649">
        <v>15</v>
      </c>
      <c r="F29" s="50" cm="1" t="str">
        <f t="array" ref="F29:F29">OFFSET(E29,-1,1)</f>
        <v>0</v>
      </c>
      <c r="G29" s="488" t="s">
        <v>1175</v>
      </c>
      <c r="H29" s="1459"/>
      <c r="I29" s="1459"/>
      <c r="J29" s="1459"/>
      <c r="K29" s="1459"/>
      <c r="L29" s="1459"/>
      <c r="M29" s="1459"/>
      <c r="N29" s="1459"/>
      <c r="O29" s="1459"/>
      <c r="P29" s="1459"/>
      <c r="Q29" s="1459"/>
      <c r="R29" s="1459"/>
      <c r="S29" s="1459"/>
      <c r="T29" s="465" cm="1" t="str">
        <f t="array" ref="T29:T29">T28</f>
        <v>false</v>
      </c>
      <c r="U29" s="1459"/>
      <c r="V29" s="1459"/>
      <c r="W29" s="1459"/>
      <c r="X29" s="1596"/>
      <c r="Y29" s="1459"/>
      <c r="Z29" s="1597"/>
      <c r="AA29" s="1459"/>
      <c r="AB29" s="1211" t="s">
        <v>1628</v>
      </c>
      <c r="AC29" s="1212" t="s">
        <v>1766</v>
      </c>
      <c r="AD29" s="528" t="s">
        <v>1514</v>
      </c>
      <c r="AE29" s="3586"/>
      <c r="AF29" s="3586"/>
      <c r="AG29" s="1459"/>
      <c r="AH29" s="1459"/>
      <c r="AI29" s="1025" t="s">
        <v>1767</v>
      </c>
    </row>
    <row customHeight="1" ht="32.90625" hidden="1">
      <c r="A30" s="1459"/>
      <c r="B30" s="1459"/>
      <c r="C30" s="518"/>
      <c r="D30" s="1459"/>
      <c r="E30" s="649">
        <v>33.75</v>
      </c>
      <c r="F30" s="50" cm="1" t="str">
        <f t="array" ref="F30:F30">OFFSET(E30,-1,1)</f>
        <v>0</v>
      </c>
      <c r="G30" s="488" t="s">
        <v>1179</v>
      </c>
      <c r="H30" s="1459"/>
      <c r="I30" s="1459"/>
      <c r="J30" s="1459"/>
      <c r="K30" s="1459"/>
      <c r="L30" s="1459"/>
      <c r="M30" s="1459"/>
      <c r="N30" s="1459"/>
      <c r="O30" s="1459"/>
      <c r="P30" s="1459"/>
      <c r="Q30" s="1459"/>
      <c r="R30" s="1459"/>
      <c r="S30" s="1459"/>
      <c r="T30" s="465" cm="1" t="str">
        <f t="array" ref="T30:T30">T29</f>
        <v>false</v>
      </c>
      <c r="U30" s="1459"/>
      <c r="V30" s="1459"/>
      <c r="W30" s="1459"/>
      <c r="X30" s="1596"/>
      <c r="Y30" s="1459"/>
      <c r="Z30" s="1597"/>
      <c r="AA30" s="1459"/>
      <c r="AB30" s="528" t="s">
        <v>1631</v>
      </c>
      <c r="AC30" s="529" t="s">
        <v>1768</v>
      </c>
      <c r="AD30" s="528" t="s">
        <v>1506</v>
      </c>
      <c r="AE30" s="1214">
        <f>_xlfn.SUMIFS('Условные метры'!$AL$28:$AL$44,'Условные метры'!$F$28:$F$44,$F30,'Условные метры'!$G$28:$G$44,"Итог")</f>
        <v>0</v>
      </c>
      <c r="AF30" s="1084">
        <f>_xlfn.SUMIFS('Условные метры'!$AN$28:$AN$44,'Условные метры'!$F$28:$F$44,$F30,'Условные метры'!$G$28:$G$44,"Итог")</f>
        <v>0</v>
      </c>
      <c r="AG30" s="1459"/>
      <c r="AH30" s="1459"/>
      <c r="AI30" s="1025" t="s">
        <v>1769</v>
      </c>
    </row>
    <row s="525" customFormat="1" customHeight="1" ht="32.90625" hidden="1">
      <c r="A31" s="488"/>
      <c r="B31" s="525"/>
      <c r="C31" s="1323"/>
      <c r="D31" s="525"/>
      <c r="E31" s="674">
        <v>33.75</v>
      </c>
      <c r="F31" s="50" cm="1" t="str">
        <f t="array" ref="F31:F31">OFFSET(E31,-1,1)</f>
        <v>0</v>
      </c>
      <c r="G31" s="525" t="s">
        <v>333</v>
      </c>
      <c r="H31" s="525"/>
      <c r="I31" s="525"/>
      <c r="J31" s="525"/>
      <c r="K31" s="525"/>
      <c r="L31" s="525"/>
      <c r="M31" s="525"/>
      <c r="N31" s="525"/>
      <c r="O31" s="525"/>
      <c r="P31" s="525"/>
      <c r="Q31" s="525"/>
      <c r="R31" s="525"/>
      <c r="S31" s="525"/>
      <c r="T31" s="465" cm="1" t="str">
        <f t="array" ref="T31:T31">T30</f>
        <v>false</v>
      </c>
      <c r="U31" s="525"/>
      <c r="V31" s="525"/>
      <c r="W31" s="525"/>
      <c r="X31" s="1596"/>
      <c r="Y31" s="525"/>
      <c r="Z31" s="1597"/>
      <c r="AA31" s="525"/>
      <c r="AB31" s="1215">
        <v>2</v>
      </c>
      <c r="AC31" s="1216" t="s">
        <v>1770</v>
      </c>
      <c r="AD31" s="1217" t="s">
        <v>1764</v>
      </c>
      <c r="AE31" s="1218">
        <f>MIN(AE33,AE28)</f>
        <v>0</v>
      </c>
      <c r="AF31" s="532">
        <f>MIN(AF33,AF28)</f>
        <v>0</v>
      </c>
      <c r="AG31" s="525"/>
      <c r="AH31" s="525"/>
      <c r="AI31" s="1035" t="s">
        <v>1771</v>
      </c>
    </row>
    <row customHeight="1" ht="21.9375" hidden="1">
      <c r="A32" s="1459"/>
      <c r="B32" s="1459"/>
      <c r="C32" s="518"/>
      <c r="D32" s="1459"/>
      <c r="E32" s="649">
        <v>22.5</v>
      </c>
      <c r="F32" s="50" cm="1" t="str">
        <f t="array" ref="F32:F32">OFFSET(E32,-1,1)</f>
        <v>0</v>
      </c>
      <c r="G32" s="488" t="s">
        <v>334</v>
      </c>
      <c r="H32" s="1459"/>
      <c r="I32" s="1459"/>
      <c r="J32" s="1459"/>
      <c r="K32" s="1459"/>
      <c r="L32" s="1459"/>
      <c r="M32" s="1459"/>
      <c r="N32" s="1459"/>
      <c r="O32" s="1459"/>
      <c r="P32" s="1459"/>
      <c r="Q32" s="1459"/>
      <c r="R32" s="1459"/>
      <c r="S32" s="1459"/>
      <c r="T32" s="465" cm="1" t="str">
        <f t="array" ref="T32:T32">T31</f>
        <v>false</v>
      </c>
      <c r="U32" s="1459"/>
      <c r="V32" s="1459"/>
      <c r="W32" s="1459"/>
      <c r="X32" s="1596"/>
      <c r="Y32" s="1459"/>
      <c r="Z32" s="1597"/>
      <c r="AA32" s="1459"/>
      <c r="AB32" s="1219">
        <v>3</v>
      </c>
      <c r="AC32" s="526" t="s">
        <v>1772</v>
      </c>
      <c r="AD32" s="515" t="s">
        <v>1764</v>
      </c>
      <c r="AE32" s="527" cm="1" t="str">
        <f t="array" ref="AE32:AE32">INDEX('Калькуляция (МСА)'!$L$26:$M$124,MATCH('Амортизация (аналог)'!$F32&amp;"УТР",'Калькуляция (МСА)'!$K$26:$K$124,0),1)</f>
        <v>0</v>
      </c>
      <c r="AF32" s="527" cm="1" t="str">
        <f t="array" ref="AF32:AF32">INDEX('Калькуляция (МСА)'!$L$26:$M$124,MATCH('Амортизация (аналог)'!$F32&amp;"УТР",'Калькуляция (МСА)'!$K$26:$K$124,0),2)</f>
        <v>0</v>
      </c>
      <c r="AG32" s="1459"/>
      <c r="AH32" s="1459"/>
      <c r="AI32" s="1025" t="s">
        <v>1773</v>
      </c>
    </row>
    <row customHeight="1" ht="14.625" hidden="1">
      <c r="A33" s="1459"/>
      <c r="B33" s="1459"/>
      <c r="C33" s="518"/>
      <c r="D33" s="1459"/>
      <c r="E33" s="649">
        <v>15</v>
      </c>
      <c r="F33" s="50" cm="1" t="str">
        <f t="array" ref="F33:F33">OFFSET(E33,-1,1)</f>
        <v>0</v>
      </c>
      <c r="G33" s="488" t="s">
        <v>336</v>
      </c>
      <c r="H33" s="1459"/>
      <c r="I33" s="1459"/>
      <c r="J33" s="1459"/>
      <c r="K33" s="1459"/>
      <c r="L33" s="1459"/>
      <c r="M33" s="1459"/>
      <c r="N33" s="1459"/>
      <c r="O33" s="1459"/>
      <c r="P33" s="1459"/>
      <c r="Q33" s="1459"/>
      <c r="R33" s="1459"/>
      <c r="S33" s="1459"/>
      <c r="T33" s="465" cm="1" t="str">
        <f t="array" ref="T33:T33">T32</f>
        <v>false</v>
      </c>
      <c r="U33" s="1459"/>
      <c r="V33" s="1459"/>
      <c r="W33" s="1459"/>
      <c r="X33" s="1596"/>
      <c r="Y33" s="1459"/>
      <c r="Z33" s="1597"/>
      <c r="AA33" s="1459"/>
      <c r="AB33" s="533">
        <v>4</v>
      </c>
      <c r="AC33" s="526" t="s">
        <v>1774</v>
      </c>
      <c r="AD33" s="515" t="s">
        <v>1764</v>
      </c>
      <c r="AE33" s="3599">
        <f>AE32*0.15</f>
        <v>0</v>
      </c>
      <c r="AF33" s="3600">
        <f>AF32*0.15</f>
        <v>0</v>
      </c>
      <c r="AG33" s="1459"/>
      <c r="AH33" s="1459"/>
      <c r="AI33" s="1025" t="s">
        <v>1775</v>
      </c>
    </row>
    <row s="1834" customFormat="1" customHeight="1" ht="14.25">
      <c r="A34" s="1459"/>
      <c r="B34" s="1459"/>
      <c r="C34" s="516"/>
      <c r="D34" s="1459"/>
      <c r="E34" s="649">
        <v>15</v>
      </c>
      <c r="F34" s="516" cm="1" t="str">
        <f t="array" ref="F34:F34">X34</f>
        <v>1</v>
      </c>
      <c r="G34" s="1459"/>
      <c r="H34" s="1459"/>
      <c r="I34" s="1459"/>
      <c r="J34" s="1459"/>
      <c r="K34" s="1459"/>
      <c r="L34" s="1459"/>
      <c r="M34" s="1459"/>
      <c r="N34" s="1459"/>
      <c r="O34" s="1459"/>
      <c r="P34" s="1459"/>
      <c r="Q34" s="1459"/>
      <c r="R34" s="1459"/>
      <c r="S34" s="1459"/>
      <c r="T34" s="465">
        <f>X34&gt;0</f>
        <v>1</v>
      </c>
      <c r="U34" s="1459"/>
      <c r="V34" s="488" cm="1" t="str">
        <f t="array" ref="V34:V34">Амортизация!$AB$76</f>
        <v>Тариф 1 (Водоснабжение) - тариф на питьевую воду (Доп. признак не требуется)</v>
      </c>
      <c r="W34" s="1459"/>
      <c r="X34" s="1596" t="s">
        <v>276</v>
      </c>
      <c r="Y34" s="1459"/>
      <c r="Z34" s="1597"/>
      <c r="AA34" s="1459"/>
      <c r="AB34" s="1205" cm="1" t="str">
        <f t="array" ref="AB34:AB34">Амортизация!$AB$76</f>
        <v>Тариф 1 (Водоснабжение) - тариф на питьевую воду (Доп. признак не требуется)</v>
      </c>
      <c r="AC34" s="180"/>
      <c r="AD34" s="1206"/>
      <c r="AE34" s="1206"/>
      <c r="AF34" s="1207"/>
      <c r="AG34" s="1459"/>
      <c r="AH34" s="1459"/>
      <c r="AI34" s="1424"/>
    </row>
    <row s="525" customFormat="1" customHeight="1" ht="14.25">
      <c r="A35" s="488"/>
      <c r="B35" s="525"/>
      <c r="C35" s="1322"/>
      <c r="D35" s="525"/>
      <c r="E35" s="674">
        <v>15</v>
      </c>
      <c r="F35" s="50" cm="1" t="str">
        <f t="array" ref="F35:F35">OFFSET(E35,-1,1)</f>
        <v>1</v>
      </c>
      <c r="G35" s="525" t="s">
        <v>332</v>
      </c>
      <c r="H35" s="525"/>
      <c r="I35" s="525"/>
      <c r="J35" s="525"/>
      <c r="K35" s="525"/>
      <c r="L35" s="525"/>
      <c r="M35" s="525"/>
      <c r="N35" s="525"/>
      <c r="O35" s="525"/>
      <c r="P35" s="525"/>
      <c r="Q35" s="525"/>
      <c r="R35" s="525"/>
      <c r="S35" s="525"/>
      <c r="T35" s="465" cm="1" t="str">
        <f t="array" ref="T35:T35">T34</f>
        <v>true</v>
      </c>
      <c r="U35" s="525"/>
      <c r="V35" s="525"/>
      <c r="W35" s="525"/>
      <c r="X35" s="1596"/>
      <c r="Y35" s="525"/>
      <c r="Z35" s="1597"/>
      <c r="AA35" s="525"/>
      <c r="AB35" s="1208" t="s">
        <v>276</v>
      </c>
      <c r="AC35" s="1209" t="s">
        <v>1763</v>
      </c>
      <c r="AD35" s="515" t="s">
        <v>1764</v>
      </c>
      <c r="AE35" s="1210">
        <f>IF(AE37=0,0,AE36/AE37)</f>
        <v>0</v>
      </c>
      <c r="AF35" s="527">
        <f>IF(AF37=0,0,AF36/AF37)</f>
        <v>0</v>
      </c>
      <c r="AG35" s="525"/>
      <c r="AH35" s="525"/>
      <c r="AI35" s="1035" t="s">
        <v>1765</v>
      </c>
    </row>
    <row s="1834" customFormat="1" customHeight="1" ht="14.25">
      <c r="A36" s="1459"/>
      <c r="B36" s="1459"/>
      <c r="C36" s="518"/>
      <c r="D36" s="1459"/>
      <c r="E36" s="649">
        <v>15</v>
      </c>
      <c r="F36" s="50" cm="1" t="str">
        <f t="array" ref="F36:F36">OFFSET(E36,-1,1)</f>
        <v>1</v>
      </c>
      <c r="G36" s="488" t="s">
        <v>1175</v>
      </c>
      <c r="H36" s="1459"/>
      <c r="I36" s="1459"/>
      <c r="J36" s="1459"/>
      <c r="K36" s="1459"/>
      <c r="L36" s="1459"/>
      <c r="M36" s="1459"/>
      <c r="N36" s="1459"/>
      <c r="O36" s="1459"/>
      <c r="P36" s="1459"/>
      <c r="Q36" s="1459"/>
      <c r="R36" s="1459"/>
      <c r="S36" s="1459"/>
      <c r="T36" s="465" cm="1" t="str">
        <f t="array" ref="T36:T36">T35</f>
        <v>true</v>
      </c>
      <c r="U36" s="1459"/>
      <c r="V36" s="1459"/>
      <c r="W36" s="1459"/>
      <c r="X36" s="1596"/>
      <c r="Y36" s="1459"/>
      <c r="Z36" s="1597"/>
      <c r="AA36" s="1459"/>
      <c r="AB36" s="1211" t="s">
        <v>1628</v>
      </c>
      <c r="AC36" s="1212" t="s">
        <v>1766</v>
      </c>
      <c r="AD36" s="528" t="s">
        <v>1514</v>
      </c>
      <c r="AE36" s="1213"/>
      <c r="AF36" s="1213"/>
      <c r="AG36" s="1459"/>
      <c r="AH36" s="1459"/>
      <c r="AI36" s="1025" t="s">
        <v>1767</v>
      </c>
    </row>
    <row s="1834" customFormat="1" customHeight="1" ht="32.25">
      <c r="A37" s="1459"/>
      <c r="B37" s="1459"/>
      <c r="C37" s="518"/>
      <c r="D37" s="1459"/>
      <c r="E37" s="649">
        <v>33.75</v>
      </c>
      <c r="F37" s="50" cm="1" t="str">
        <f t="array" ref="F37:F37">OFFSET(E37,-1,1)</f>
        <v>1</v>
      </c>
      <c r="G37" s="488" t="s">
        <v>1179</v>
      </c>
      <c r="H37" s="1459"/>
      <c r="I37" s="1459"/>
      <c r="J37" s="1459"/>
      <c r="K37" s="1459"/>
      <c r="L37" s="1459"/>
      <c r="M37" s="1459"/>
      <c r="N37" s="1459"/>
      <c r="O37" s="1459"/>
      <c r="P37" s="1459"/>
      <c r="Q37" s="1459"/>
      <c r="R37" s="1459"/>
      <c r="S37" s="1459"/>
      <c r="T37" s="465" cm="1" t="str">
        <f t="array" ref="T37:T37">T36</f>
        <v>true</v>
      </c>
      <c r="U37" s="1459"/>
      <c r="V37" s="1459"/>
      <c r="W37" s="1459"/>
      <c r="X37" s="1596"/>
      <c r="Y37" s="1459"/>
      <c r="Z37" s="1597"/>
      <c r="AA37" s="1459"/>
      <c r="AB37" s="528" t="s">
        <v>1631</v>
      </c>
      <c r="AC37" s="529" t="s">
        <v>1768</v>
      </c>
      <c r="AD37" s="528" t="s">
        <v>1506</v>
      </c>
      <c r="AE37" s="1214">
        <f>_xlfn.SUMIFS('Условные метры'!$AL$28:$AL$44,'Условные метры'!$F$28:$F$44,$F37,'Условные метры'!$G$28:$G$44,"Итог")</f>
        <v>0</v>
      </c>
      <c r="AF37" s="1084">
        <f>_xlfn.SUMIFS('Условные метры'!$AN$28:$AN$44,'Условные метры'!$F$28:$F$44,$F37,'Условные метры'!$G$28:$G$44,"Итог")</f>
        <v>0</v>
      </c>
      <c r="AG37" s="1459"/>
      <c r="AH37" s="1459"/>
      <c r="AI37" s="1025" t="s">
        <v>1769</v>
      </c>
    </row>
    <row s="525" customFormat="1" customHeight="1" ht="32.25">
      <c r="A38" s="488"/>
      <c r="B38" s="525"/>
      <c r="C38" s="1323"/>
      <c r="D38" s="525"/>
      <c r="E38" s="674">
        <v>33.75</v>
      </c>
      <c r="F38" s="50" cm="1" t="str">
        <f t="array" ref="F38:F38">OFFSET(E38,-1,1)</f>
        <v>1</v>
      </c>
      <c r="G38" s="525" t="s">
        <v>333</v>
      </c>
      <c r="H38" s="525"/>
      <c r="I38" s="525"/>
      <c r="J38" s="525"/>
      <c r="K38" s="525"/>
      <c r="L38" s="525"/>
      <c r="M38" s="525"/>
      <c r="N38" s="525"/>
      <c r="O38" s="525"/>
      <c r="P38" s="525"/>
      <c r="Q38" s="525"/>
      <c r="R38" s="525"/>
      <c r="S38" s="525"/>
      <c r="T38" s="465" cm="1" t="str">
        <f t="array" ref="T38:T38">T37</f>
        <v>true</v>
      </c>
      <c r="U38" s="525"/>
      <c r="V38" s="525"/>
      <c r="W38" s="525"/>
      <c r="X38" s="1596"/>
      <c r="Y38" s="525"/>
      <c r="Z38" s="1597"/>
      <c r="AA38" s="525"/>
      <c r="AB38" s="1215">
        <v>2</v>
      </c>
      <c r="AC38" s="1216" t="s">
        <v>1770</v>
      </c>
      <c r="AD38" s="1217" t="s">
        <v>1764</v>
      </c>
      <c r="AE38" s="1218">
        <f>MIN(AE40,AE35)</f>
        <v>0</v>
      </c>
      <c r="AF38" s="532">
        <f>MIN(AF40,AF35)</f>
        <v>0</v>
      </c>
      <c r="AG38" s="525"/>
      <c r="AH38" s="525"/>
      <c r="AI38" s="1035" t="s">
        <v>1771</v>
      </c>
    </row>
    <row s="1834" customFormat="1" customHeight="1" ht="21.75">
      <c r="A39" s="1459"/>
      <c r="B39" s="1459"/>
      <c r="C39" s="518"/>
      <c r="D39" s="1459"/>
      <c r="E39" s="649">
        <v>22.5</v>
      </c>
      <c r="F39" s="50" cm="1" t="str">
        <f t="array" ref="F39:F39">OFFSET(E39,-1,1)</f>
        <v>1</v>
      </c>
      <c r="G39" s="488" t="s">
        <v>334</v>
      </c>
      <c r="H39" s="1459"/>
      <c r="I39" s="1459"/>
      <c r="J39" s="1459"/>
      <c r="K39" s="1459"/>
      <c r="L39" s="1459"/>
      <c r="M39" s="1459"/>
      <c r="N39" s="1459"/>
      <c r="O39" s="1459"/>
      <c r="P39" s="1459"/>
      <c r="Q39" s="1459"/>
      <c r="R39" s="1459"/>
      <c r="S39" s="1459"/>
      <c r="T39" s="465" cm="1" t="str">
        <f t="array" ref="T39:T39">T38</f>
        <v>true</v>
      </c>
      <c r="U39" s="1459"/>
      <c r="V39" s="1459"/>
      <c r="W39" s="1459"/>
      <c r="X39" s="1596"/>
      <c r="Y39" s="1459"/>
      <c r="Z39" s="1597"/>
      <c r="AA39" s="1459"/>
      <c r="AB39" s="1219">
        <v>3</v>
      </c>
      <c r="AC39" s="526" t="s">
        <v>1772</v>
      </c>
      <c r="AD39" s="515" t="s">
        <v>1764</v>
      </c>
      <c r="AE39" s="527" cm="1" t="str">
        <f t="array" ref="AE39:AE39">INDEX('Калькуляция (МСА)'!$L$26:$M$124,MATCH('Амортизация (аналог)'!$F39&amp;"УТР",'Калькуляция (МСА)'!$K$26:$K$124,0),1)</f>
        <v>0</v>
      </c>
      <c r="AF39" s="527" cm="1" t="str">
        <f t="array" ref="AF39:AF39">INDEX('Калькуляция (МСА)'!$L$26:$M$124,MATCH('Амортизация (аналог)'!$F39&amp;"УТР",'Калькуляция (МСА)'!$K$26:$K$124,0),2)</f>
        <v>0</v>
      </c>
      <c r="AG39" s="1459"/>
      <c r="AH39" s="1459"/>
      <c r="AI39" s="1025" t="s">
        <v>1773</v>
      </c>
    </row>
    <row s="1834" customFormat="1" customHeight="1" ht="14.25">
      <c r="A40" s="1459"/>
      <c r="B40" s="1459"/>
      <c r="C40" s="518"/>
      <c r="D40" s="1459"/>
      <c r="E40" s="649">
        <v>15</v>
      </c>
      <c r="F40" s="50" cm="1" t="str">
        <f t="array" ref="F40:F40">OFFSET(E40,-1,1)</f>
        <v>1</v>
      </c>
      <c r="G40" s="488" t="s">
        <v>336</v>
      </c>
      <c r="H40" s="1459"/>
      <c r="I40" s="1459"/>
      <c r="J40" s="1459"/>
      <c r="K40" s="1459"/>
      <c r="L40" s="1459"/>
      <c r="M40" s="1459"/>
      <c r="N40" s="1459"/>
      <c r="O40" s="1459"/>
      <c r="P40" s="1459"/>
      <c r="Q40" s="1459"/>
      <c r="R40" s="1459"/>
      <c r="S40" s="1459"/>
      <c r="T40" s="465" cm="1" t="str">
        <f t="array" ref="T40:T40">T39</f>
        <v>true</v>
      </c>
      <c r="U40" s="1459"/>
      <c r="V40" s="1459"/>
      <c r="W40" s="1459"/>
      <c r="X40" s="1596"/>
      <c r="Y40" s="1459"/>
      <c r="Z40" s="1597"/>
      <c r="AA40" s="1459"/>
      <c r="AB40" s="533">
        <v>4</v>
      </c>
      <c r="AC40" s="526" t="s">
        <v>1774</v>
      </c>
      <c r="AD40" s="515" t="s">
        <v>1764</v>
      </c>
      <c r="AE40" s="1220">
        <f>AE39*0.15</f>
        <v>0</v>
      </c>
      <c r="AF40" s="534">
        <f>AF39*0.15</f>
        <v>0</v>
      </c>
      <c r="AG40" s="1459"/>
      <c r="AH40" s="1459"/>
      <c r="AI40" s="1025" t="s">
        <v>1775</v>
      </c>
    </row>
    <row s="1834" customFormat="1" customHeight="1" ht="14.25">
      <c r="A41" s="1459"/>
      <c r="B41" s="1459"/>
      <c r="C41" s="516"/>
      <c r="D41" s="1459"/>
      <c r="E41" s="649">
        <v>15</v>
      </c>
      <c r="F41" s="516" cm="1" t="str">
        <f t="array" ref="F41:F41">X41</f>
        <v>2</v>
      </c>
      <c r="G41" s="1459"/>
      <c r="H41" s="1459"/>
      <c r="I41" s="1459"/>
      <c r="J41" s="1459"/>
      <c r="K41" s="1459"/>
      <c r="L41" s="1459"/>
      <c r="M41" s="1459"/>
      <c r="N41" s="1459"/>
      <c r="O41" s="1459"/>
      <c r="P41" s="1459"/>
      <c r="Q41" s="1459"/>
      <c r="R41" s="1459"/>
      <c r="S41" s="1459"/>
      <c r="T41" s="465">
        <f>X41&gt;0</f>
        <v>1</v>
      </c>
      <c r="U41" s="1459"/>
      <c r="V41" s="488" cm="1" t="str">
        <f t="array" ref="V41:V41">Амортизация!$AB$125</f>
        <v>Тариф 2 (Водоснабжение) - тариф на питьевую воду (Доп. признак не требуется)</v>
      </c>
      <c r="W41" s="1459"/>
      <c r="X41" s="1596" t="s">
        <v>285</v>
      </c>
      <c r="Y41" s="1459"/>
      <c r="Z41" s="1597"/>
      <c r="AA41" s="1459"/>
      <c r="AB41" s="1205" cm="1" t="str">
        <f t="array" ref="AB41:AB41">Амортизация!$AB$125</f>
        <v>Тариф 2 (Водоснабжение) - тариф на питьевую воду (Доп. признак не требуется)</v>
      </c>
      <c r="AC41" s="180"/>
      <c r="AD41" s="1206"/>
      <c r="AE41" s="1206"/>
      <c r="AF41" s="1207"/>
      <c r="AG41" s="1459"/>
      <c r="AH41" s="1459"/>
      <c r="AI41" s="1424"/>
    </row>
    <row s="525" customFormat="1" customHeight="1" ht="14.25">
      <c r="A42" s="488"/>
      <c r="B42" s="525"/>
      <c r="C42" s="1322"/>
      <c r="D42" s="525"/>
      <c r="E42" s="674">
        <v>15</v>
      </c>
      <c r="F42" s="50" cm="1" t="str">
        <f t="array" ref="F42:F42">OFFSET(E42,-1,1)</f>
        <v>2</v>
      </c>
      <c r="G42" s="525" t="s">
        <v>332</v>
      </c>
      <c r="H42" s="525"/>
      <c r="I42" s="525"/>
      <c r="J42" s="525"/>
      <c r="K42" s="525"/>
      <c r="L42" s="525"/>
      <c r="M42" s="525"/>
      <c r="N42" s="525"/>
      <c r="O42" s="525"/>
      <c r="P42" s="525"/>
      <c r="Q42" s="525"/>
      <c r="R42" s="525"/>
      <c r="S42" s="525"/>
      <c r="T42" s="465" cm="1" t="str">
        <f t="array" ref="T42:T42">T41</f>
        <v>true</v>
      </c>
      <c r="U42" s="525"/>
      <c r="V42" s="525"/>
      <c r="W42" s="525"/>
      <c r="X42" s="1596"/>
      <c r="Y42" s="525"/>
      <c r="Z42" s="1597"/>
      <c r="AA42" s="525"/>
      <c r="AB42" s="1208" t="s">
        <v>276</v>
      </c>
      <c r="AC42" s="1209" t="s">
        <v>1763</v>
      </c>
      <c r="AD42" s="515" t="s">
        <v>1764</v>
      </c>
      <c r="AE42" s="1210">
        <f>IF(AE44=0,0,AE43/AE44)</f>
        <v>0</v>
      </c>
      <c r="AF42" s="527">
        <f>IF(AF44=0,0,AF43/AF44)</f>
        <v>0</v>
      </c>
      <c r="AG42" s="525"/>
      <c r="AH42" s="525"/>
      <c r="AI42" s="1035" t="s">
        <v>1765</v>
      </c>
    </row>
    <row s="1834" customFormat="1" customHeight="1" ht="14.25">
      <c r="A43" s="1459"/>
      <c r="B43" s="1459"/>
      <c r="C43" s="518"/>
      <c r="D43" s="1459"/>
      <c r="E43" s="649">
        <v>15</v>
      </c>
      <c r="F43" s="50" cm="1" t="str">
        <f t="array" ref="F43:F43">OFFSET(E43,-1,1)</f>
        <v>2</v>
      </c>
      <c r="G43" s="488" t="s">
        <v>1175</v>
      </c>
      <c r="H43" s="1459"/>
      <c r="I43" s="1459"/>
      <c r="J43" s="1459"/>
      <c r="K43" s="1459"/>
      <c r="L43" s="1459"/>
      <c r="M43" s="1459"/>
      <c r="N43" s="1459"/>
      <c r="O43" s="1459"/>
      <c r="P43" s="1459"/>
      <c r="Q43" s="1459"/>
      <c r="R43" s="1459"/>
      <c r="S43" s="1459"/>
      <c r="T43" s="465" cm="1" t="str">
        <f t="array" ref="T43:T43">T42</f>
        <v>true</v>
      </c>
      <c r="U43" s="1459"/>
      <c r="V43" s="1459"/>
      <c r="W43" s="1459"/>
      <c r="X43" s="1596"/>
      <c r="Y43" s="1459"/>
      <c r="Z43" s="1597"/>
      <c r="AA43" s="1459"/>
      <c r="AB43" s="1211" t="s">
        <v>1628</v>
      </c>
      <c r="AC43" s="1212" t="s">
        <v>1766</v>
      </c>
      <c r="AD43" s="528" t="s">
        <v>1514</v>
      </c>
      <c r="AE43" s="1213"/>
      <c r="AF43" s="1213"/>
      <c r="AG43" s="1459"/>
      <c r="AH43" s="1459"/>
      <c r="AI43" s="1025" t="s">
        <v>1767</v>
      </c>
    </row>
    <row s="1834" customFormat="1" customHeight="1" ht="32.25">
      <c r="A44" s="1459"/>
      <c r="B44" s="1459"/>
      <c r="C44" s="518"/>
      <c r="D44" s="1459"/>
      <c r="E44" s="649">
        <v>33.75</v>
      </c>
      <c r="F44" s="50" cm="1" t="str">
        <f t="array" ref="F44:F44">OFFSET(E44,-1,1)</f>
        <v>2</v>
      </c>
      <c r="G44" s="488" t="s">
        <v>1179</v>
      </c>
      <c r="H44" s="1459"/>
      <c r="I44" s="1459"/>
      <c r="J44" s="1459"/>
      <c r="K44" s="1459"/>
      <c r="L44" s="1459"/>
      <c r="M44" s="1459"/>
      <c r="N44" s="1459"/>
      <c r="O44" s="1459"/>
      <c r="P44" s="1459"/>
      <c r="Q44" s="1459"/>
      <c r="R44" s="1459"/>
      <c r="S44" s="1459"/>
      <c r="T44" s="465" cm="1" t="str">
        <f t="array" ref="T44:T44">T43</f>
        <v>true</v>
      </c>
      <c r="U44" s="1459"/>
      <c r="V44" s="1459"/>
      <c r="W44" s="1459"/>
      <c r="X44" s="1596"/>
      <c r="Y44" s="1459"/>
      <c r="Z44" s="1597"/>
      <c r="AA44" s="1459"/>
      <c r="AB44" s="528" t="s">
        <v>1631</v>
      </c>
      <c r="AC44" s="529" t="s">
        <v>1768</v>
      </c>
      <c r="AD44" s="528" t="s">
        <v>1506</v>
      </c>
      <c r="AE44" s="1214">
        <f>_xlfn.SUMIFS('Условные метры'!$AL$28:$AL$44,'Условные метры'!$F$28:$F$44,$F44,'Условные метры'!$G$28:$G$44,"Итог")</f>
        <v>0</v>
      </c>
      <c r="AF44" s="1084">
        <f>_xlfn.SUMIFS('Условные метры'!$AN$28:$AN$44,'Условные метры'!$F$28:$F$44,$F44,'Условные метры'!$G$28:$G$44,"Итог")</f>
        <v>0</v>
      </c>
      <c r="AG44" s="1459"/>
      <c r="AH44" s="1459"/>
      <c r="AI44" s="1025" t="s">
        <v>1769</v>
      </c>
    </row>
    <row s="525" customFormat="1" customHeight="1" ht="32.25">
      <c r="A45" s="488"/>
      <c r="B45" s="525"/>
      <c r="C45" s="1323"/>
      <c r="D45" s="525"/>
      <c r="E45" s="674">
        <v>33.75</v>
      </c>
      <c r="F45" s="50" cm="1" t="str">
        <f t="array" ref="F45:F45">OFFSET(E45,-1,1)</f>
        <v>2</v>
      </c>
      <c r="G45" s="525" t="s">
        <v>333</v>
      </c>
      <c r="H45" s="525"/>
      <c r="I45" s="525"/>
      <c r="J45" s="525"/>
      <c r="K45" s="525"/>
      <c r="L45" s="525"/>
      <c r="M45" s="525"/>
      <c r="N45" s="525"/>
      <c r="O45" s="525"/>
      <c r="P45" s="525"/>
      <c r="Q45" s="525"/>
      <c r="R45" s="525"/>
      <c r="S45" s="525"/>
      <c r="T45" s="465" cm="1" t="str">
        <f t="array" ref="T45:T45">T44</f>
        <v>true</v>
      </c>
      <c r="U45" s="525"/>
      <c r="V45" s="525"/>
      <c r="W45" s="525"/>
      <c r="X45" s="1596"/>
      <c r="Y45" s="525"/>
      <c r="Z45" s="1597"/>
      <c r="AA45" s="525"/>
      <c r="AB45" s="1215">
        <v>2</v>
      </c>
      <c r="AC45" s="1216" t="s">
        <v>1770</v>
      </c>
      <c r="AD45" s="1217" t="s">
        <v>1764</v>
      </c>
      <c r="AE45" s="1218">
        <f>MIN(AE47,AE42)</f>
        <v>0</v>
      </c>
      <c r="AF45" s="532">
        <f>MIN(AF47,AF42)</f>
        <v>0</v>
      </c>
      <c r="AG45" s="525"/>
      <c r="AH45" s="525"/>
      <c r="AI45" s="1035" t="s">
        <v>1771</v>
      </c>
    </row>
    <row s="1834" customFormat="1" customHeight="1" ht="21.75">
      <c r="A46" s="1459"/>
      <c r="B46" s="1459"/>
      <c r="C46" s="518"/>
      <c r="D46" s="1459"/>
      <c r="E46" s="649">
        <v>22.5</v>
      </c>
      <c r="F46" s="50" cm="1" t="str">
        <f t="array" ref="F46:F46">OFFSET(E46,-1,1)</f>
        <v>2</v>
      </c>
      <c r="G46" s="488" t="s">
        <v>334</v>
      </c>
      <c r="H46" s="1459"/>
      <c r="I46" s="1459"/>
      <c r="J46" s="1459"/>
      <c r="K46" s="1459"/>
      <c r="L46" s="1459"/>
      <c r="M46" s="1459"/>
      <c r="N46" s="1459"/>
      <c r="O46" s="1459"/>
      <c r="P46" s="1459"/>
      <c r="Q46" s="1459"/>
      <c r="R46" s="1459"/>
      <c r="S46" s="1459"/>
      <c r="T46" s="465" cm="1" t="str">
        <f t="array" ref="T46:T46">T45</f>
        <v>true</v>
      </c>
      <c r="U46" s="1459"/>
      <c r="V46" s="1459"/>
      <c r="W46" s="1459"/>
      <c r="X46" s="1596"/>
      <c r="Y46" s="1459"/>
      <c r="Z46" s="1597"/>
      <c r="AA46" s="1459"/>
      <c r="AB46" s="1219">
        <v>3</v>
      </c>
      <c r="AC46" s="526" t="s">
        <v>1772</v>
      </c>
      <c r="AD46" s="515" t="s">
        <v>1764</v>
      </c>
      <c r="AE46" s="527" cm="1" t="str">
        <f t="array" ref="AE46:AE46">INDEX('Калькуляция (МСА)'!$L$26:$M$124,MATCH('Амортизация (аналог)'!$F46&amp;"УТР",'Калькуляция (МСА)'!$K$26:$K$124,0),1)</f>
        <v>0</v>
      </c>
      <c r="AF46" s="527" cm="1" t="str">
        <f t="array" ref="AF46:AF46">INDEX('Калькуляция (МСА)'!$L$26:$M$124,MATCH('Амортизация (аналог)'!$F46&amp;"УТР",'Калькуляция (МСА)'!$K$26:$K$124,0),2)</f>
        <v>0</v>
      </c>
      <c r="AG46" s="1459"/>
      <c r="AH46" s="1459"/>
      <c r="AI46" s="1025" t="s">
        <v>1773</v>
      </c>
    </row>
    <row s="1834" customFormat="1" customHeight="1" ht="14.25">
      <c r="A47" s="1459"/>
      <c r="B47" s="1459"/>
      <c r="C47" s="518"/>
      <c r="D47" s="1459"/>
      <c r="E47" s="649">
        <v>15</v>
      </c>
      <c r="F47" s="50" cm="1" t="str">
        <f t="array" ref="F47:F47">OFFSET(E47,-1,1)</f>
        <v>2</v>
      </c>
      <c r="G47" s="488" t="s">
        <v>336</v>
      </c>
      <c r="H47" s="1459"/>
      <c r="I47" s="1459"/>
      <c r="J47" s="1459"/>
      <c r="K47" s="1459"/>
      <c r="L47" s="1459"/>
      <c r="M47" s="1459"/>
      <c r="N47" s="1459"/>
      <c r="O47" s="1459"/>
      <c r="P47" s="1459"/>
      <c r="Q47" s="1459"/>
      <c r="R47" s="1459"/>
      <c r="S47" s="1459"/>
      <c r="T47" s="465" cm="1" t="str">
        <f t="array" ref="T47:T47">T46</f>
        <v>true</v>
      </c>
      <c r="U47" s="1459"/>
      <c r="V47" s="1459"/>
      <c r="W47" s="1459"/>
      <c r="X47" s="1596"/>
      <c r="Y47" s="1459"/>
      <c r="Z47" s="1597"/>
      <c r="AA47" s="1459"/>
      <c r="AB47" s="533">
        <v>4</v>
      </c>
      <c r="AC47" s="526" t="s">
        <v>1774</v>
      </c>
      <c r="AD47" s="515" t="s">
        <v>1764</v>
      </c>
      <c r="AE47" s="1220">
        <f>AE46*0.15</f>
        <v>0</v>
      </c>
      <c r="AF47" s="534">
        <f>AF46*0.15</f>
        <v>0</v>
      </c>
      <c r="AG47" s="1459"/>
      <c r="AH47" s="1459"/>
      <c r="AI47" s="1025" t="s">
        <v>1775</v>
      </c>
    </row>
    <row s="1834" customFormat="1" customHeight="1" ht="14.25">
      <c r="A48" s="1459"/>
      <c r="B48" s="1459"/>
      <c r="C48" s="516"/>
      <c r="D48" s="1459"/>
      <c r="E48" s="649">
        <v>15</v>
      </c>
      <c r="F48" s="516" cm="1" t="str">
        <f t="array" ref="F48:F48">X48</f>
        <v>3</v>
      </c>
      <c r="G48" s="1459"/>
      <c r="H48" s="1459"/>
      <c r="I48" s="1459"/>
      <c r="J48" s="1459"/>
      <c r="K48" s="1459"/>
      <c r="L48" s="1459"/>
      <c r="M48" s="1459"/>
      <c r="N48" s="1459"/>
      <c r="O48" s="1459"/>
      <c r="P48" s="1459"/>
      <c r="Q48" s="1459"/>
      <c r="R48" s="1459"/>
      <c r="S48" s="1459"/>
      <c r="T48" s="465">
        <f>X48&gt;0</f>
        <v>1</v>
      </c>
      <c r="U48" s="1459"/>
      <c r="V48" s="488" cm="1" t="str">
        <f t="array" ref="V48:V48">Амортизация!$AB$174</f>
        <v>Тариф 3 (Водоотведение) - тариф на водоотведение (Доп. признак не требуется)</v>
      </c>
      <c r="W48" s="1459"/>
      <c r="X48" s="1596" t="s">
        <v>289</v>
      </c>
      <c r="Y48" s="1459"/>
      <c r="Z48" s="1597"/>
      <c r="AA48" s="1459"/>
      <c r="AB48" s="1205" cm="1" t="str">
        <f t="array" ref="AB48:AB48">Амортизация!$AB$174</f>
        <v>Тариф 3 (Водоотведение) - тариф на водоотведение (Доп. признак не требуется)</v>
      </c>
      <c r="AC48" s="180"/>
      <c r="AD48" s="1206"/>
      <c r="AE48" s="1206"/>
      <c r="AF48" s="1207"/>
      <c r="AG48" s="1459"/>
      <c r="AH48" s="1459"/>
      <c r="AI48" s="1424"/>
    </row>
    <row s="525" customFormat="1" customHeight="1" ht="14.25">
      <c r="A49" s="488"/>
      <c r="B49" s="525"/>
      <c r="C49" s="1322"/>
      <c r="D49" s="525"/>
      <c r="E49" s="674">
        <v>15</v>
      </c>
      <c r="F49" s="50" cm="1" t="str">
        <f t="array" ref="F49:F49">OFFSET(E49,-1,1)</f>
        <v>3</v>
      </c>
      <c r="G49" s="525" t="s">
        <v>332</v>
      </c>
      <c r="H49" s="525"/>
      <c r="I49" s="525"/>
      <c r="J49" s="525"/>
      <c r="K49" s="525"/>
      <c r="L49" s="525"/>
      <c r="M49" s="525"/>
      <c r="N49" s="525"/>
      <c r="O49" s="525"/>
      <c r="P49" s="525"/>
      <c r="Q49" s="525"/>
      <c r="R49" s="525"/>
      <c r="S49" s="525"/>
      <c r="T49" s="465" cm="1" t="str">
        <f t="array" ref="T49:T49">T48</f>
        <v>true</v>
      </c>
      <c r="U49" s="525"/>
      <c r="V49" s="525"/>
      <c r="W49" s="525"/>
      <c r="X49" s="1596"/>
      <c r="Y49" s="525"/>
      <c r="Z49" s="1597"/>
      <c r="AA49" s="525"/>
      <c r="AB49" s="1208" t="s">
        <v>276</v>
      </c>
      <c r="AC49" s="1209" t="s">
        <v>1763</v>
      </c>
      <c r="AD49" s="515" t="s">
        <v>1764</v>
      </c>
      <c r="AE49" s="1210">
        <f>IF(AE51=0,0,AE50/AE51)</f>
        <v>0</v>
      </c>
      <c r="AF49" s="527">
        <f>IF(AF51=0,0,AF50/AF51)</f>
        <v>0</v>
      </c>
      <c r="AG49" s="525"/>
      <c r="AH49" s="525"/>
      <c r="AI49" s="1035" t="s">
        <v>1765</v>
      </c>
    </row>
    <row s="1834" customFormat="1" customHeight="1" ht="14.25">
      <c r="A50" s="1459"/>
      <c r="B50" s="1459"/>
      <c r="C50" s="518"/>
      <c r="D50" s="1459"/>
      <c r="E50" s="649">
        <v>15</v>
      </c>
      <c r="F50" s="50" cm="1" t="str">
        <f t="array" ref="F50:F50">OFFSET(E50,-1,1)</f>
        <v>3</v>
      </c>
      <c r="G50" s="488" t="s">
        <v>1175</v>
      </c>
      <c r="H50" s="1459"/>
      <c r="I50" s="1459"/>
      <c r="J50" s="1459"/>
      <c r="K50" s="1459"/>
      <c r="L50" s="1459"/>
      <c r="M50" s="1459"/>
      <c r="N50" s="1459"/>
      <c r="O50" s="1459"/>
      <c r="P50" s="1459"/>
      <c r="Q50" s="1459"/>
      <c r="R50" s="1459"/>
      <c r="S50" s="1459"/>
      <c r="T50" s="465" cm="1" t="str">
        <f t="array" ref="T50:T50">T49</f>
        <v>true</v>
      </c>
      <c r="U50" s="1459"/>
      <c r="V50" s="1459"/>
      <c r="W50" s="1459"/>
      <c r="X50" s="1596"/>
      <c r="Y50" s="1459"/>
      <c r="Z50" s="1597"/>
      <c r="AA50" s="1459"/>
      <c r="AB50" s="1211" t="s">
        <v>1628</v>
      </c>
      <c r="AC50" s="1212" t="s">
        <v>1766</v>
      </c>
      <c r="AD50" s="528" t="s">
        <v>1514</v>
      </c>
      <c r="AE50" s="1213"/>
      <c r="AF50" s="1213"/>
      <c r="AG50" s="1459"/>
      <c r="AH50" s="1459"/>
      <c r="AI50" s="1025" t="s">
        <v>1767</v>
      </c>
    </row>
    <row s="1834" customFormat="1" customHeight="1" ht="32.25">
      <c r="A51" s="1459"/>
      <c r="B51" s="1459"/>
      <c r="C51" s="518"/>
      <c r="D51" s="1459"/>
      <c r="E51" s="649">
        <v>33.75</v>
      </c>
      <c r="F51" s="50" cm="1" t="str">
        <f t="array" ref="F51:F51">OFFSET(E51,-1,1)</f>
        <v>3</v>
      </c>
      <c r="G51" s="488" t="s">
        <v>1179</v>
      </c>
      <c r="H51" s="1459"/>
      <c r="I51" s="1459"/>
      <c r="J51" s="1459"/>
      <c r="K51" s="1459"/>
      <c r="L51" s="1459"/>
      <c r="M51" s="1459"/>
      <c r="N51" s="1459"/>
      <c r="O51" s="1459"/>
      <c r="P51" s="1459"/>
      <c r="Q51" s="1459"/>
      <c r="R51" s="1459"/>
      <c r="S51" s="1459"/>
      <c r="T51" s="465" cm="1" t="str">
        <f t="array" ref="T51:T51">T50</f>
        <v>true</v>
      </c>
      <c r="U51" s="1459"/>
      <c r="V51" s="1459"/>
      <c r="W51" s="1459"/>
      <c r="X51" s="1596"/>
      <c r="Y51" s="1459"/>
      <c r="Z51" s="1597"/>
      <c r="AA51" s="1459"/>
      <c r="AB51" s="528" t="s">
        <v>1631</v>
      </c>
      <c r="AC51" s="529" t="s">
        <v>1768</v>
      </c>
      <c r="AD51" s="528" t="s">
        <v>1506</v>
      </c>
      <c r="AE51" s="1214">
        <f>_xlfn.SUMIFS('Условные метры'!$AL$28:$AL$44,'Условные метры'!$F$28:$F$44,$F51,'Условные метры'!$G$28:$G$44,"Итог")</f>
        <v>0</v>
      </c>
      <c r="AF51" s="1084">
        <f>_xlfn.SUMIFS('Условные метры'!$AN$28:$AN$44,'Условные метры'!$F$28:$F$44,$F51,'Условные метры'!$G$28:$G$44,"Итог")</f>
        <v>0</v>
      </c>
      <c r="AG51" s="1459"/>
      <c r="AH51" s="1459"/>
      <c r="AI51" s="1025" t="s">
        <v>1769</v>
      </c>
    </row>
    <row s="525" customFormat="1" customHeight="1" ht="32.25">
      <c r="A52" s="488"/>
      <c r="B52" s="525"/>
      <c r="C52" s="1323"/>
      <c r="D52" s="525"/>
      <c r="E52" s="674">
        <v>33.75</v>
      </c>
      <c r="F52" s="50" cm="1" t="str">
        <f t="array" ref="F52:F52">OFFSET(E52,-1,1)</f>
        <v>3</v>
      </c>
      <c r="G52" s="525" t="s">
        <v>333</v>
      </c>
      <c r="H52" s="525"/>
      <c r="I52" s="525"/>
      <c r="J52" s="525"/>
      <c r="K52" s="525"/>
      <c r="L52" s="525"/>
      <c r="M52" s="525"/>
      <c r="N52" s="525"/>
      <c r="O52" s="525"/>
      <c r="P52" s="525"/>
      <c r="Q52" s="525"/>
      <c r="R52" s="525"/>
      <c r="S52" s="525"/>
      <c r="T52" s="465" cm="1" t="str">
        <f t="array" ref="T52:T52">T51</f>
        <v>true</v>
      </c>
      <c r="U52" s="525"/>
      <c r="V52" s="525"/>
      <c r="W52" s="525"/>
      <c r="X52" s="1596"/>
      <c r="Y52" s="525"/>
      <c r="Z52" s="1597"/>
      <c r="AA52" s="525"/>
      <c r="AB52" s="1215">
        <v>2</v>
      </c>
      <c r="AC52" s="1216" t="s">
        <v>1770</v>
      </c>
      <c r="AD52" s="1217" t="s">
        <v>1764</v>
      </c>
      <c r="AE52" s="1218">
        <f>MIN(AE54,AE49)</f>
        <v>0</v>
      </c>
      <c r="AF52" s="532">
        <f>MIN(AF54,AF49)</f>
        <v>0</v>
      </c>
      <c r="AG52" s="525"/>
      <c r="AH52" s="525"/>
      <c r="AI52" s="1035" t="s">
        <v>1771</v>
      </c>
    </row>
    <row s="1834" customFormat="1" customHeight="1" ht="21.75">
      <c r="A53" s="1459"/>
      <c r="B53" s="1459"/>
      <c r="C53" s="518"/>
      <c r="D53" s="1459"/>
      <c r="E53" s="649">
        <v>22.5</v>
      </c>
      <c r="F53" s="50" cm="1" t="str">
        <f t="array" ref="F53:F53">OFFSET(E53,-1,1)</f>
        <v>3</v>
      </c>
      <c r="G53" s="488" t="s">
        <v>334</v>
      </c>
      <c r="H53" s="1459"/>
      <c r="I53" s="1459"/>
      <c r="J53" s="1459"/>
      <c r="K53" s="1459"/>
      <c r="L53" s="1459"/>
      <c r="M53" s="1459"/>
      <c r="N53" s="1459"/>
      <c r="O53" s="1459"/>
      <c r="P53" s="1459"/>
      <c r="Q53" s="1459"/>
      <c r="R53" s="1459"/>
      <c r="S53" s="1459"/>
      <c r="T53" s="465" cm="1" t="str">
        <f t="array" ref="T53:T53">T52</f>
        <v>true</v>
      </c>
      <c r="U53" s="1459"/>
      <c r="V53" s="1459"/>
      <c r="W53" s="1459"/>
      <c r="X53" s="1596"/>
      <c r="Y53" s="1459"/>
      <c r="Z53" s="1597"/>
      <c r="AA53" s="1459"/>
      <c r="AB53" s="1219">
        <v>3</v>
      </c>
      <c r="AC53" s="526" t="s">
        <v>1772</v>
      </c>
      <c r="AD53" s="515" t="s">
        <v>1764</v>
      </c>
      <c r="AE53" s="527" cm="1" t="str">
        <f t="array" ref="AE53:AE53">INDEX('Калькуляция (МСА)'!$L$26:$M$124,MATCH('Амортизация (аналог)'!$F53&amp;"УТР",'Калькуляция (МСА)'!$K$26:$K$124,0),1)</f>
        <v>0</v>
      </c>
      <c r="AF53" s="527" cm="1" t="str">
        <f t="array" ref="AF53:AF53">INDEX('Калькуляция (МСА)'!$L$26:$M$124,MATCH('Амортизация (аналог)'!$F53&amp;"УТР",'Калькуляция (МСА)'!$K$26:$K$124,0),2)</f>
        <v>0</v>
      </c>
      <c r="AG53" s="1459"/>
      <c r="AH53" s="1459"/>
      <c r="AI53" s="1025" t="s">
        <v>1773</v>
      </c>
    </row>
    <row s="1834" customFormat="1" customHeight="1" ht="14.25">
      <c r="A54" s="1459"/>
      <c r="B54" s="1459"/>
      <c r="C54" s="518"/>
      <c r="D54" s="1459"/>
      <c r="E54" s="649">
        <v>15</v>
      </c>
      <c r="F54" s="50" cm="1" t="str">
        <f t="array" ref="F54:F54">OFFSET(E54,-1,1)</f>
        <v>3</v>
      </c>
      <c r="G54" s="488" t="s">
        <v>336</v>
      </c>
      <c r="H54" s="1459"/>
      <c r="I54" s="1459"/>
      <c r="J54" s="1459"/>
      <c r="K54" s="1459"/>
      <c r="L54" s="1459"/>
      <c r="M54" s="1459"/>
      <c r="N54" s="1459"/>
      <c r="O54" s="1459"/>
      <c r="P54" s="1459"/>
      <c r="Q54" s="1459"/>
      <c r="R54" s="1459"/>
      <c r="S54" s="1459"/>
      <c r="T54" s="465" cm="1" t="str">
        <f t="array" ref="T54:T54">T53</f>
        <v>true</v>
      </c>
      <c r="U54" s="1459"/>
      <c r="V54" s="1459"/>
      <c r="W54" s="1459"/>
      <c r="X54" s="1596"/>
      <c r="Y54" s="1459"/>
      <c r="Z54" s="1597"/>
      <c r="AA54" s="1459"/>
      <c r="AB54" s="533">
        <v>4</v>
      </c>
      <c r="AC54" s="526" t="s">
        <v>1774</v>
      </c>
      <c r="AD54" s="515" t="s">
        <v>1764</v>
      </c>
      <c r="AE54" s="1220">
        <f>AE53*0.15</f>
        <v>0</v>
      </c>
      <c r="AF54" s="534">
        <f>AF53*0.15</f>
        <v>0</v>
      </c>
      <c r="AG54" s="1459"/>
      <c r="AH54" s="1459"/>
      <c r="AI54" s="1025" t="s">
        <v>1775</v>
      </c>
    </row>
    <row s="1834" customFormat="1" customHeight="1" ht="14.25">
      <c r="A55" s="1459"/>
      <c r="B55" s="1459"/>
      <c r="C55" s="516"/>
      <c r="D55" s="1459"/>
      <c r="E55" s="649">
        <v>15</v>
      </c>
      <c r="F55" s="516" cm="1" t="str">
        <f t="array" ref="F55:F55">X55</f>
        <v>4</v>
      </c>
      <c r="G55" s="1459"/>
      <c r="H55" s="1459"/>
      <c r="I55" s="1459"/>
      <c r="J55" s="1459"/>
      <c r="K55" s="1459"/>
      <c r="L55" s="1459"/>
      <c r="M55" s="1459"/>
      <c r="N55" s="1459"/>
      <c r="O55" s="1459"/>
      <c r="P55" s="1459"/>
      <c r="Q55" s="1459"/>
      <c r="R55" s="1459"/>
      <c r="S55" s="1459"/>
      <c r="T55" s="465">
        <f>X55&gt;0</f>
        <v>1</v>
      </c>
      <c r="U55" s="1459"/>
      <c r="V55" s="488" cm="1" t="str">
        <f t="array" ref="V55:V55">Амортизация!$AB$223</f>
        <v>Тариф 4 (Водоотведение) - тариф на водоотведение (Доп. признак не требуется)</v>
      </c>
      <c r="W55" s="1459"/>
      <c r="X55" s="1596" t="s">
        <v>295</v>
      </c>
      <c r="Y55" s="1459"/>
      <c r="Z55" s="1597"/>
      <c r="AA55" s="1459"/>
      <c r="AB55" s="1205" cm="1" t="str">
        <f t="array" ref="AB55:AB55">Амортизация!$AB$223</f>
        <v>Тариф 4 (Водоотведение) - тариф на водоотведение (Доп. признак не требуется)</v>
      </c>
      <c r="AC55" s="180"/>
      <c r="AD55" s="1206"/>
      <c r="AE55" s="1206"/>
      <c r="AF55" s="1207"/>
      <c r="AG55" s="1459"/>
      <c r="AH55" s="1459"/>
      <c r="AI55" s="1424"/>
    </row>
    <row s="525" customFormat="1" customHeight="1" ht="14.25">
      <c r="A56" s="488"/>
      <c r="B56" s="525"/>
      <c r="C56" s="1322"/>
      <c r="D56" s="525"/>
      <c r="E56" s="674">
        <v>15</v>
      </c>
      <c r="F56" s="50" cm="1" t="str">
        <f t="array" ref="F56:F56">OFFSET(E56,-1,1)</f>
        <v>4</v>
      </c>
      <c r="G56" s="525" t="s">
        <v>332</v>
      </c>
      <c r="H56" s="525"/>
      <c r="I56" s="525"/>
      <c r="J56" s="525"/>
      <c r="K56" s="525"/>
      <c r="L56" s="525"/>
      <c r="M56" s="525"/>
      <c r="N56" s="525"/>
      <c r="O56" s="525"/>
      <c r="P56" s="525"/>
      <c r="Q56" s="525"/>
      <c r="R56" s="525"/>
      <c r="S56" s="525"/>
      <c r="T56" s="465" cm="1" t="str">
        <f t="array" ref="T56:T56">T55</f>
        <v>true</v>
      </c>
      <c r="U56" s="525"/>
      <c r="V56" s="525"/>
      <c r="W56" s="525"/>
      <c r="X56" s="1596"/>
      <c r="Y56" s="525"/>
      <c r="Z56" s="1597"/>
      <c r="AA56" s="525"/>
      <c r="AB56" s="1208" t="s">
        <v>276</v>
      </c>
      <c r="AC56" s="1209" t="s">
        <v>1763</v>
      </c>
      <c r="AD56" s="515" t="s">
        <v>1764</v>
      </c>
      <c r="AE56" s="1210">
        <f>IF(AE58=0,0,AE57/AE58)</f>
        <v>0</v>
      </c>
      <c r="AF56" s="527">
        <f>IF(AF58=0,0,AF57/AF58)</f>
        <v>0</v>
      </c>
      <c r="AG56" s="525"/>
      <c r="AH56" s="525"/>
      <c r="AI56" s="1035" t="s">
        <v>1765</v>
      </c>
    </row>
    <row s="1834" customFormat="1" customHeight="1" ht="14.25">
      <c r="A57" s="1459"/>
      <c r="B57" s="1459"/>
      <c r="C57" s="518"/>
      <c r="D57" s="1459"/>
      <c r="E57" s="649">
        <v>15</v>
      </c>
      <c r="F57" s="50" cm="1" t="str">
        <f t="array" ref="F57:F57">OFFSET(E57,-1,1)</f>
        <v>4</v>
      </c>
      <c r="G57" s="488" t="s">
        <v>1175</v>
      </c>
      <c r="H57" s="1459"/>
      <c r="I57" s="1459"/>
      <c r="J57" s="1459"/>
      <c r="K57" s="1459"/>
      <c r="L57" s="1459"/>
      <c r="M57" s="1459"/>
      <c r="N57" s="1459"/>
      <c r="O57" s="1459"/>
      <c r="P57" s="1459"/>
      <c r="Q57" s="1459"/>
      <c r="R57" s="1459"/>
      <c r="S57" s="1459"/>
      <c r="T57" s="465" cm="1" t="str">
        <f t="array" ref="T57:T57">T56</f>
        <v>true</v>
      </c>
      <c r="U57" s="1459"/>
      <c r="V57" s="1459"/>
      <c r="W57" s="1459"/>
      <c r="X57" s="1596"/>
      <c r="Y57" s="1459"/>
      <c r="Z57" s="1597"/>
      <c r="AA57" s="1459"/>
      <c r="AB57" s="1211" t="s">
        <v>1628</v>
      </c>
      <c r="AC57" s="1212" t="s">
        <v>1766</v>
      </c>
      <c r="AD57" s="528" t="s">
        <v>1514</v>
      </c>
      <c r="AE57" s="1213"/>
      <c r="AF57" s="1213"/>
      <c r="AG57" s="1459"/>
      <c r="AH57" s="1459"/>
      <c r="AI57" s="1025" t="s">
        <v>1767</v>
      </c>
    </row>
    <row s="1834" customFormat="1" customHeight="1" ht="32.25">
      <c r="A58" s="1459"/>
      <c r="B58" s="1459"/>
      <c r="C58" s="518"/>
      <c r="D58" s="1459"/>
      <c r="E58" s="649">
        <v>33.75</v>
      </c>
      <c r="F58" s="50" cm="1" t="str">
        <f t="array" ref="F58:F58">OFFSET(E58,-1,1)</f>
        <v>4</v>
      </c>
      <c r="G58" s="488" t="s">
        <v>1179</v>
      </c>
      <c r="H58" s="1459"/>
      <c r="I58" s="1459"/>
      <c r="J58" s="1459"/>
      <c r="K58" s="1459"/>
      <c r="L58" s="1459"/>
      <c r="M58" s="1459"/>
      <c r="N58" s="1459"/>
      <c r="O58" s="1459"/>
      <c r="P58" s="1459"/>
      <c r="Q58" s="1459"/>
      <c r="R58" s="1459"/>
      <c r="S58" s="1459"/>
      <c r="T58" s="465" cm="1" t="str">
        <f t="array" ref="T58:T58">T57</f>
        <v>true</v>
      </c>
      <c r="U58" s="1459"/>
      <c r="V58" s="1459"/>
      <c r="W58" s="1459"/>
      <c r="X58" s="1596"/>
      <c r="Y58" s="1459"/>
      <c r="Z58" s="1597"/>
      <c r="AA58" s="1459"/>
      <c r="AB58" s="528" t="s">
        <v>1631</v>
      </c>
      <c r="AC58" s="529" t="s">
        <v>1768</v>
      </c>
      <c r="AD58" s="528" t="s">
        <v>1506</v>
      </c>
      <c r="AE58" s="1214">
        <f>_xlfn.SUMIFS('Условные метры'!$AL$28:$AL$44,'Условные метры'!$F$28:$F$44,$F58,'Условные метры'!$G$28:$G$44,"Итог")</f>
        <v>0</v>
      </c>
      <c r="AF58" s="1084">
        <f>_xlfn.SUMIFS('Условные метры'!$AN$28:$AN$44,'Условные метры'!$F$28:$F$44,$F58,'Условные метры'!$G$28:$G$44,"Итог")</f>
        <v>0</v>
      </c>
      <c r="AG58" s="1459"/>
      <c r="AH58" s="1459"/>
      <c r="AI58" s="1025" t="s">
        <v>1769</v>
      </c>
    </row>
    <row s="525" customFormat="1" customHeight="1" ht="32.25">
      <c r="A59" s="488"/>
      <c r="B59" s="525"/>
      <c r="C59" s="1323"/>
      <c r="D59" s="525"/>
      <c r="E59" s="674">
        <v>33.75</v>
      </c>
      <c r="F59" s="50" cm="1" t="str">
        <f t="array" ref="F59:F59">OFFSET(E59,-1,1)</f>
        <v>4</v>
      </c>
      <c r="G59" s="525" t="s">
        <v>333</v>
      </c>
      <c r="H59" s="525"/>
      <c r="I59" s="525"/>
      <c r="J59" s="525"/>
      <c r="K59" s="525"/>
      <c r="L59" s="525"/>
      <c r="M59" s="525"/>
      <c r="N59" s="525"/>
      <c r="O59" s="525"/>
      <c r="P59" s="525"/>
      <c r="Q59" s="525"/>
      <c r="R59" s="525"/>
      <c r="S59" s="525"/>
      <c r="T59" s="465" cm="1" t="str">
        <f t="array" ref="T59:T59">T58</f>
        <v>true</v>
      </c>
      <c r="U59" s="525"/>
      <c r="V59" s="525"/>
      <c r="W59" s="525"/>
      <c r="X59" s="1596"/>
      <c r="Y59" s="525"/>
      <c r="Z59" s="1597"/>
      <c r="AA59" s="525"/>
      <c r="AB59" s="1215">
        <v>2</v>
      </c>
      <c r="AC59" s="1216" t="s">
        <v>1770</v>
      </c>
      <c r="AD59" s="1217" t="s">
        <v>1764</v>
      </c>
      <c r="AE59" s="1218">
        <f>MIN(AE61,AE56)</f>
        <v>0</v>
      </c>
      <c r="AF59" s="532">
        <f>MIN(AF61,AF56)</f>
        <v>0</v>
      </c>
      <c r="AG59" s="525"/>
      <c r="AH59" s="525"/>
      <c r="AI59" s="1035" t="s">
        <v>1771</v>
      </c>
    </row>
    <row s="1834" customFormat="1" customHeight="1" ht="21.75">
      <c r="A60" s="1459"/>
      <c r="B60" s="1459"/>
      <c r="C60" s="518"/>
      <c r="D60" s="1459"/>
      <c r="E60" s="649">
        <v>22.5</v>
      </c>
      <c r="F60" s="50" cm="1" t="str">
        <f t="array" ref="F60:F60">OFFSET(E60,-1,1)</f>
        <v>4</v>
      </c>
      <c r="G60" s="488" t="s">
        <v>334</v>
      </c>
      <c r="H60" s="1459"/>
      <c r="I60" s="1459"/>
      <c r="J60" s="1459"/>
      <c r="K60" s="1459"/>
      <c r="L60" s="1459"/>
      <c r="M60" s="1459"/>
      <c r="N60" s="1459"/>
      <c r="O60" s="1459"/>
      <c r="P60" s="1459"/>
      <c r="Q60" s="1459"/>
      <c r="R60" s="1459"/>
      <c r="S60" s="1459"/>
      <c r="T60" s="465" cm="1" t="str">
        <f t="array" ref="T60:T60">T59</f>
        <v>true</v>
      </c>
      <c r="U60" s="1459"/>
      <c r="V60" s="1459"/>
      <c r="W60" s="1459"/>
      <c r="X60" s="1596"/>
      <c r="Y60" s="1459"/>
      <c r="Z60" s="1597"/>
      <c r="AA60" s="1459"/>
      <c r="AB60" s="1219">
        <v>3</v>
      </c>
      <c r="AC60" s="526" t="s">
        <v>1772</v>
      </c>
      <c r="AD60" s="515" t="s">
        <v>1764</v>
      </c>
      <c r="AE60" s="527" cm="1" t="str">
        <f t="array" ref="AE60:AE60">INDEX('Калькуляция (МСА)'!$L$26:$M$124,MATCH('Амортизация (аналог)'!$F60&amp;"УТР",'Калькуляция (МСА)'!$K$26:$K$124,0),1)</f>
        <v>0</v>
      </c>
      <c r="AF60" s="527" cm="1" t="str">
        <f t="array" ref="AF60:AF60">INDEX('Калькуляция (МСА)'!$L$26:$M$124,MATCH('Амортизация (аналог)'!$F60&amp;"УТР",'Калькуляция (МСА)'!$K$26:$K$124,0),2)</f>
        <v>0</v>
      </c>
      <c r="AG60" s="1459"/>
      <c r="AH60" s="1459"/>
      <c r="AI60" s="1025" t="s">
        <v>1773</v>
      </c>
    </row>
    <row s="1834" customFormat="1" customHeight="1" ht="14.25">
      <c r="A61" s="1459"/>
      <c r="B61" s="1459"/>
      <c r="C61" s="518"/>
      <c r="D61" s="1459"/>
      <c r="E61" s="649">
        <v>15</v>
      </c>
      <c r="F61" s="50" cm="1" t="str">
        <f t="array" ref="F61:F61">OFFSET(E61,-1,1)</f>
        <v>4</v>
      </c>
      <c r="G61" s="488" t="s">
        <v>336</v>
      </c>
      <c r="H61" s="1459"/>
      <c r="I61" s="1459"/>
      <c r="J61" s="1459"/>
      <c r="K61" s="1459"/>
      <c r="L61" s="1459"/>
      <c r="M61" s="1459"/>
      <c r="N61" s="1459"/>
      <c r="O61" s="1459"/>
      <c r="P61" s="1459"/>
      <c r="Q61" s="1459"/>
      <c r="R61" s="1459"/>
      <c r="S61" s="1459"/>
      <c r="T61" s="465" cm="1" t="str">
        <f t="array" ref="T61:T61">T60</f>
        <v>true</v>
      </c>
      <c r="U61" s="1459"/>
      <c r="V61" s="1459"/>
      <c r="W61" s="1459"/>
      <c r="X61" s="1596"/>
      <c r="Y61" s="1459"/>
      <c r="Z61" s="1597"/>
      <c r="AA61" s="1459"/>
      <c r="AB61" s="533">
        <v>4</v>
      </c>
      <c r="AC61" s="526" t="s">
        <v>1774</v>
      </c>
      <c r="AD61" s="515" t="s">
        <v>1764</v>
      </c>
      <c r="AE61" s="1220">
        <f>AE60*0.15</f>
        <v>0</v>
      </c>
      <c r="AF61" s="534">
        <f>AF60*0.15</f>
        <v>0</v>
      </c>
      <c r="AG61" s="1459"/>
      <c r="AH61" s="1459"/>
      <c r="AI61" s="1025" t="s">
        <v>1775</v>
      </c>
    </row>
    <row customHeight="1" ht="10.96875">
      <c r="E62" s="649">
        <v>11.25</v>
      </c>
      <c r="U62" s="104" t="s">
        <v>178</v>
      </c>
      <c r="V62" s="140" t="s">
        <v>1776</v>
      </c>
      <c r="AB62" s="535"/>
      <c r="AC62" s="536"/>
      <c r="AD62" s="535"/>
      <c r="AE62" s="537"/>
      <c r="AF62" s="1597"/>
    </row>
    <row s="1304" customFormat="1" customHeight="1" ht="14.625">
      <c r="E63" s="648">
        <v>15</v>
      </c>
      <c r="AB63" s="1577" t="s">
        <v>407</v>
      </c>
      <c r="AC63" s="1577"/>
      <c r="AD63" s="1577"/>
      <c r="AE63" s="1598"/>
      <c r="AF63" s="1598"/>
      <c r="AI63" s="1036"/>
    </row>
    <row s="1304" customFormat="1" customHeight="1" ht="14.625">
      <c r="E64" s="648">
        <v>15</v>
      </c>
      <c r="AB64" s="1599"/>
      <c r="AC64" s="1599"/>
      <c r="AD64" s="1599"/>
      <c r="AE64" s="3542"/>
      <c r="AF64" s="3542"/>
      <c r="AI64" s="1036"/>
    </row>
    <row s="1304" customFormat="1" customHeight="1" ht="14.625" hidden="1">
      <c r="A65" s="1304"/>
      <c r="B65" s="1304"/>
      <c r="C65" s="1304"/>
      <c r="D65" s="1304"/>
      <c r="E65" s="648">
        <v>15</v>
      </c>
      <c r="F65" s="1304"/>
      <c r="G65" s="1304"/>
      <c r="H65" s="1304"/>
      <c r="I65" s="1304"/>
      <c r="J65" s="1304"/>
      <c r="K65" s="1304"/>
      <c r="L65" s="1304"/>
      <c r="M65" s="1304"/>
      <c r="N65" s="1304"/>
      <c r="O65" s="1304"/>
      <c r="P65" s="1304"/>
      <c r="Q65" s="1304"/>
      <c r="R65" s="1304"/>
      <c r="S65" s="1304"/>
      <c r="T65" s="465">
        <f>ROW(W65)&gt;ROW(W$65)</f>
        <v>0</v>
      </c>
      <c r="U65" s="1221"/>
      <c r="V65" s="1221"/>
      <c r="W65" s="757" t="s">
        <v>174</v>
      </c>
      <c r="X65" s="1221"/>
      <c r="Y65" s="1221"/>
      <c r="Z65" s="1221"/>
      <c r="AA65" s="1324" t="s">
        <v>175</v>
      </c>
      <c r="AB65" s="3522"/>
      <c r="AC65" s="3238"/>
      <c r="AD65" s="3238"/>
      <c r="AE65" s="3238"/>
      <c r="AF65" s="3523"/>
      <c r="AG65" s="1304"/>
      <c r="AH65" s="1304"/>
      <c r="AI65" s="1036"/>
    </row>
    <row s="1304" customFormat="1" customHeight="1" ht="14.625">
      <c r="E66" s="648">
        <v>15</v>
      </c>
      <c r="W66" s="757" t="s">
        <v>408</v>
      </c>
      <c r="AB66" s="1325"/>
      <c r="AC66" s="1326" t="s">
        <v>409</v>
      </c>
      <c r="AD66" s="1327"/>
      <c r="AE66" s="1328"/>
      <c r="AF66" s="1329"/>
      <c r="AI66" s="1036"/>
    </row>
    <row customHeight="1" ht="10.96875">
      <c r="E67" s="649">
        <v>11.25</v>
      </c>
      <c r="AC67" s="538"/>
      <c r="AE67" s="1597"/>
      <c r="AF67" s="1597"/>
      <c r="AG67" s="488"/>
    </row>
  </sheetData>
  <sheetProtection formatColumns="0" formatRows="0" insertRows="0" deleteColumns="0" deleteRows="0" sort="0" autoFilter="0" insertColumns="1"/>
  <mergeCells count="19">
    <mergeCell ref="X27:X33"/>
    <mergeCell ref="Z27:Z33"/>
    <mergeCell ref="AB63:AF63"/>
    <mergeCell ref="AB64:AF64"/>
    <mergeCell ref="AB65:AF65"/>
    <mergeCell ref="AB22:AF22"/>
    <mergeCell ref="AB23:AF23"/>
    <mergeCell ref="AB24:AB25"/>
    <mergeCell ref="AC24:AC25"/>
    <mergeCell ref="AD24:AD25"/>
    <mergeCell ref="AE24:AF24"/>
    <mergeCell ref="X34:X40"/>
    <mergeCell ref="Z34:Z40"/>
    <mergeCell ref="X41:X47"/>
    <mergeCell ref="Z41:Z47"/>
    <mergeCell ref="X48:X54"/>
    <mergeCell ref="Z48:Z54"/>
    <mergeCell ref="X55:X61"/>
    <mergeCell ref="Z55:Z61"/>
  </mergeCells>
  <dataValidations count="1">
    <dataValidation type="decimal" allowBlank="1" showErrorMessage="1" errorTitle="Ошибка" error="Допускается ввод только неотрицательных чисел!" sqref="AE31:AF31 AF33 AF38 AF40 AF45 AF47 AF52 AF54 AF59 AF61 AE33 AE38 AE40 AE45 AE47 AE52 AE54 AE59 AE61">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35FC25-AF48-3468-ABC8-59817F10D728}" mc:Ignorable="x14ac xr xr2 xr3">
  <sheetPr>
    <tabColor rgb="FF002060"/>
    <outlinePr summaryRight="0" summaryBelow="0"/>
    <pageSetUpPr fitToPage="1"/>
  </sheetPr>
  <dimension ref="A1:BJ377"/>
  <sheetViews>
    <sheetView showGridLines="0" workbookViewId="0">
      <pane xSplit="30" ySplit="25" topLeftCell="AI95" activePane="bottomRight" state="frozen"/>
      <selection pane="bottomLeft" activeCell="A26" sqref="A26"/>
      <selection pane="topRight" activeCell="AE1" sqref="AE1"/>
      <selection pane="bottomRight" activeCell="AV174" sqref="AV174"/>
    </sheetView>
  </sheetViews>
  <sheetFormatPr defaultColWidth="8.7109375" customHeight="1" defaultRowHeight="10.5"/>
  <cols>
    <col min="1" max="1" style="885" width="3.57421875" hidden="1" customWidth="1"/>
    <col min="2" max="2" style="440" width="8.57421875" hidden="1" customWidth="1"/>
    <col min="3" max="4" style="885" width="3.57421875" hidden="1" customWidth="1"/>
    <col min="5" max="5" style="678" width="3.57421875" hidden="1" customWidth="1"/>
    <col min="6" max="6" style="885" width="13.57421875" hidden="1" customWidth="1"/>
    <col min="7" max="8" style="885" width="3.57421875" hidden="1" customWidth="1"/>
    <col min="9" max="9" style="885" width="13.421875" hidden="1" customWidth="1"/>
    <col min="10" max="10" style="885" width="3.57421875" hidden="1" customWidth="1"/>
    <col min="11" max="11" style="911" width="5.8515625" hidden="1" customWidth="1"/>
    <col min="12" max="19" style="885" width="3.57421875" hidden="1" customWidth="1"/>
    <col min="20" max="20" style="885" width="9.8515625" hidden="1" customWidth="1"/>
    <col min="21" max="21" style="885" width="7.00390625" hidden="1" customWidth="1"/>
    <col min="22" max="23" style="885" width="6.140625" hidden="1" customWidth="1"/>
    <col min="24" max="24" style="885" width="5.57421875" hidden="1" customWidth="1"/>
    <col min="25" max="25" style="885" width="5.8515625" hidden="1" customWidth="1"/>
    <col min="26" max="26" style="885" width="5.28125" hidden="1" customWidth="1"/>
    <col min="27" max="27" style="885" width="3.00390625" customWidth="1"/>
    <col min="28" max="28" style="885" width="11.00390625" customWidth="1"/>
    <col min="29" max="29" style="885" width="43.43359375" customWidth="1"/>
    <col min="30" max="30" style="885" width="15.7109375" customWidth="1"/>
    <col min="31" max="34" style="885" width="0" customWidth="1"/>
    <col min="35" max="39" style="885" width="12.57421875" customWidth="1"/>
    <col min="40" max="44" style="885" width="12.57421875" hidden="1" customWidth="1"/>
    <col min="45" max="49" style="885" width="12.57421875" customWidth="1"/>
    <col min="50" max="54" style="885" width="12.57421875" hidden="1" customWidth="1"/>
    <col min="55" max="55" style="885" width="44.421875" customWidth="1"/>
    <col min="56" max="56" style="885" width="3.00390625" customWidth="1"/>
    <col min="57" max="57" style="885" width="8.7109375" hidden="1"/>
    <col min="58" max="60" style="1041" width="8.7109375" hidden="1"/>
    <col min="61" max="62" style="678" width="8.7109375" hidden="1"/>
  </cols>
  <sheetData>
    <row customHeight="1" ht="11.25" hidden="1">
      <c r="E1" s="152"/>
      <c r="F1" s="152" t="s">
        <v>321</v>
      </c>
      <c r="G1" s="152" t="s">
        <v>331</v>
      </c>
      <c r="H1" s="152" t="s">
        <v>357</v>
      </c>
      <c r="T1" s="465" t="s">
        <v>93</v>
      </c>
      <c r="U1" s="465" t="s">
        <v>98</v>
      </c>
      <c r="V1" s="465" t="s">
        <v>94</v>
      </c>
      <c r="W1" s="465" t="s">
        <v>95</v>
      </c>
      <c r="X1" s="465" t="s">
        <v>96</v>
      </c>
      <c r="Y1" s="467" t="s">
        <v>323</v>
      </c>
      <c r="Z1" s="465" t="s">
        <v>100</v>
      </c>
      <c r="AA1" s="467" t="s">
        <v>97</v>
      </c>
      <c r="AB1" s="85"/>
      <c r="AC1" s="466" t="s">
        <v>99</v>
      </c>
      <c r="AI1" s="885"/>
      <c r="AJ1" s="885"/>
      <c r="AK1" s="885"/>
      <c r="AL1" s="885"/>
      <c r="AM1" s="885"/>
      <c r="AN1" s="885"/>
      <c r="AO1" s="885"/>
      <c r="AP1" s="885"/>
      <c r="AQ1" s="885"/>
      <c r="AR1" s="885"/>
      <c r="AS1" s="885"/>
      <c r="AT1" s="885"/>
      <c r="AU1" s="885"/>
      <c r="AV1" s="885"/>
      <c r="AW1" s="885"/>
      <c r="AX1" s="885"/>
      <c r="AY1" s="885"/>
      <c r="AZ1" s="885"/>
      <c r="BA1" s="885"/>
      <c r="BB1" s="885"/>
      <c r="BF1" s="1041" t="s">
        <v>324</v>
      </c>
      <c r="BG1" s="1041" t="s">
        <v>325</v>
      </c>
      <c r="BH1" s="1041" t="s">
        <v>326</v>
      </c>
      <c r="BI1" s="678" t="s">
        <v>329</v>
      </c>
      <c r="BJ1" s="678" t="s">
        <v>330</v>
      </c>
    </row>
    <row s="440" customFormat="1" customHeight="1" ht="11.25" hidden="1">
      <c r="B2" s="446" t="s">
        <v>19</v>
      </c>
      <c r="K2" s="912"/>
      <c r="AF2" s="440" cm="1" t="str">
        <f t="array" ref="AF2:AF2">isOrgDeclare</f>
        <v>true</v>
      </c>
      <c r="AI2" s="446">
        <f>AND(AI6&lt;=last_year_vis,isOrgDeclare)</f>
        <v>1</v>
      </c>
      <c r="AJ2" s="446">
        <f>AND(AJ6&lt;=last_year_vis,isOrgDeclare)</f>
        <v>1</v>
      </c>
      <c r="AK2" s="446">
        <f>AND(AK6&lt;=last_year_vis,isOrgDeclare)</f>
        <v>1</v>
      </c>
      <c r="AL2" s="446">
        <f>AND(AL6&lt;=last_year_vis,isOrgDeclare)</f>
        <v>1</v>
      </c>
      <c r="AM2" s="446">
        <f>AND(AM6&lt;=last_year_vis,isOrgDeclare)</f>
        <v>1</v>
      </c>
      <c r="AN2" s="446">
        <f>AND(AN6&lt;=last_year_vis,isOrgDeclare)</f>
        <v>0</v>
      </c>
      <c r="AO2" s="446">
        <f>AND(AO6&lt;=last_year_vis,isOrgDeclare)</f>
        <v>0</v>
      </c>
      <c r="AP2" s="446">
        <f>AND(AP6&lt;=last_year_vis,isOrgDeclare)</f>
        <v>0</v>
      </c>
      <c r="AQ2" s="446">
        <f>AND(AQ6&lt;=last_year_vis,isOrgDeclare)</f>
        <v>0</v>
      </c>
      <c r="AR2" s="446">
        <f>AND(AR6&lt;=last_year_vis,isOrgDeclare)</f>
        <v>0</v>
      </c>
      <c r="AS2" s="446">
        <f>AS6&lt;=last_year_vis</f>
        <v>1</v>
      </c>
      <c r="AT2" s="446">
        <f>AT6&lt;=last_year_vis</f>
        <v>1</v>
      </c>
      <c r="AU2" s="446">
        <f>AU6&lt;=last_year_vis</f>
        <v>1</v>
      </c>
      <c r="AV2" s="446">
        <f>AV6&lt;=last_year_vis</f>
        <v>1</v>
      </c>
      <c r="AW2" s="446">
        <f>AW6&lt;=last_year_vis</f>
        <v>1</v>
      </c>
      <c r="AX2" s="446">
        <f>AX6&lt;=last_year_vis</f>
        <v>0</v>
      </c>
      <c r="AY2" s="446">
        <f>AY6&lt;=last_year_vis</f>
        <v>0</v>
      </c>
      <c r="AZ2" s="446">
        <f>AZ6&lt;=last_year_vis</f>
        <v>0</v>
      </c>
      <c r="BA2" s="446">
        <f>BA6&lt;=last_year_vis</f>
        <v>0</v>
      </c>
      <c r="BB2" s="446">
        <f>BB6&lt;=last_year_vis</f>
        <v>0</v>
      </c>
      <c r="BF2" s="1042"/>
      <c r="BG2" s="1042"/>
      <c r="BH2" s="1042"/>
      <c r="BI2" s="1045"/>
      <c r="BJ2" s="1045"/>
    </row>
    <row customHeight="1" ht="11.25" hidden="1">
      <c r="E3" s="152"/>
      <c r="AI3" s="885"/>
      <c r="AJ3" s="885"/>
      <c r="AK3" s="885"/>
      <c r="AL3" s="885"/>
      <c r="AM3" s="885"/>
      <c r="AN3" s="885"/>
      <c r="AO3" s="885"/>
      <c r="AP3" s="885"/>
      <c r="AQ3" s="885"/>
      <c r="AR3" s="885"/>
      <c r="AS3" s="885"/>
      <c r="AT3" s="885"/>
      <c r="AU3" s="885"/>
      <c r="AV3" s="885"/>
      <c r="AW3" s="885"/>
      <c r="AX3" s="885"/>
      <c r="AY3" s="885"/>
      <c r="AZ3" s="885"/>
      <c r="BA3" s="885"/>
      <c r="BB3" s="885"/>
    </row>
    <row customHeight="1" ht="11.25" hidden="1">
      <c r="E4" s="152"/>
      <c r="AI4" s="885"/>
      <c r="AJ4" s="885"/>
      <c r="AK4" s="885"/>
      <c r="AL4" s="885"/>
      <c r="AM4" s="885"/>
      <c r="AN4" s="885"/>
      <c r="AO4" s="885"/>
      <c r="AP4" s="885"/>
      <c r="AQ4" s="885"/>
      <c r="AR4" s="885"/>
      <c r="AS4" s="885"/>
      <c r="AT4" s="885"/>
      <c r="AU4" s="885"/>
      <c r="AV4" s="885"/>
      <c r="AW4" s="885"/>
      <c r="AX4" s="885"/>
      <c r="AY4" s="885"/>
      <c r="AZ4" s="885"/>
      <c r="BA4" s="885"/>
      <c r="BB4" s="885"/>
    </row>
    <row s="678" customFormat="1" customHeight="1" ht="11.25" hidden="1">
      <c r="A5" s="152"/>
      <c r="B5" s="440"/>
      <c r="C5" s="152"/>
      <c r="D5" s="152"/>
      <c r="E5" s="678" t="s">
        <v>20</v>
      </c>
      <c r="K5" s="913"/>
      <c r="AA5" s="678">
        <v>3</v>
      </c>
      <c r="AB5" s="678">
        <v>11</v>
      </c>
      <c r="AC5" s="678">
        <v>43.43</v>
      </c>
      <c r="AD5" s="678">
        <v>15.71</v>
      </c>
      <c r="AE5" s="678">
        <v>15.71</v>
      </c>
      <c r="AF5" s="678">
        <v>15.71</v>
      </c>
      <c r="AG5" s="678">
        <v>15.71</v>
      </c>
      <c r="AH5" s="678">
        <v>15.71</v>
      </c>
      <c r="AI5" s="678">
        <v>12.57</v>
      </c>
      <c r="AJ5" s="678">
        <v>12.57</v>
      </c>
      <c r="AK5" s="678">
        <v>12.57</v>
      </c>
      <c r="AL5" s="678">
        <v>12.57</v>
      </c>
      <c r="AM5" s="678">
        <v>12.57</v>
      </c>
      <c r="AN5" s="678">
        <v>12.57</v>
      </c>
      <c r="AO5" s="678">
        <v>12.57</v>
      </c>
      <c r="AP5" s="678">
        <v>12.57</v>
      </c>
      <c r="AQ5" s="678">
        <v>12.57</v>
      </c>
      <c r="AR5" s="678">
        <v>12.57</v>
      </c>
      <c r="AS5" s="678">
        <v>12.57</v>
      </c>
      <c r="AT5" s="678">
        <v>12.57</v>
      </c>
      <c r="AU5" s="678">
        <v>12.57</v>
      </c>
      <c r="AV5" s="678">
        <v>12.57</v>
      </c>
      <c r="AW5" s="678">
        <v>12.57</v>
      </c>
      <c r="AX5" s="678">
        <v>12.57</v>
      </c>
      <c r="AY5" s="678">
        <v>12.57</v>
      </c>
      <c r="AZ5" s="678">
        <v>12.57</v>
      </c>
      <c r="BA5" s="678">
        <v>12.57</v>
      </c>
      <c r="BB5" s="678">
        <v>12.57</v>
      </c>
      <c r="BC5" s="678">
        <v>20</v>
      </c>
      <c r="BD5" s="678">
        <v>3</v>
      </c>
      <c r="BF5" s="1041"/>
      <c r="BG5" s="1041"/>
      <c r="BH5" s="1041"/>
    </row>
    <row customHeight="1" ht="11.25" hidden="1">
      <c r="A6" s="152" t="s">
        <v>360</v>
      </c>
      <c r="AE6" s="152">
        <f>god-2</f>
        <v>2024</v>
      </c>
      <c r="AF6" s="152">
        <f>god-2</f>
        <v>2024</v>
      </c>
      <c r="AG6" s="152">
        <f>god-2</f>
        <v>2024</v>
      </c>
      <c r="AH6" s="152">
        <f>god-1</f>
        <v>2025</v>
      </c>
      <c r="AI6" s="98" cm="1" t="str">
        <f t="array" ref="AI6:AI6">god</f>
        <v>2026</v>
      </c>
      <c r="AJ6" s="98">
        <f>god+1</f>
        <v>2027</v>
      </c>
      <c r="AK6" s="98">
        <f>god+2</f>
        <v>2028</v>
      </c>
      <c r="AL6" s="98">
        <f>god+3</f>
        <v>2029</v>
      </c>
      <c r="AM6" s="98">
        <f>god+4</f>
        <v>2030</v>
      </c>
      <c r="AN6" s="98">
        <f>god+5</f>
        <v>2031</v>
      </c>
      <c r="AO6" s="98">
        <f>god+6</f>
        <v>2032</v>
      </c>
      <c r="AP6" s="98">
        <f>god+7</f>
        <v>2033</v>
      </c>
      <c r="AQ6" s="98">
        <f>god+8</f>
        <v>2034</v>
      </c>
      <c r="AR6" s="98">
        <f>god+9</f>
        <v>2035</v>
      </c>
      <c r="AS6" s="98" cm="1" t="str">
        <f t="array" ref="AS6:AS6">god</f>
        <v>2026</v>
      </c>
      <c r="AT6" s="98">
        <f>god+1</f>
        <v>2027</v>
      </c>
      <c r="AU6" s="98">
        <f>god+2</f>
        <v>2028</v>
      </c>
      <c r="AV6" s="98">
        <f>god+3</f>
        <v>2029</v>
      </c>
      <c r="AW6" s="98">
        <f>god+4</f>
        <v>2030</v>
      </c>
      <c r="AX6" s="98">
        <f>god+5</f>
        <v>2031</v>
      </c>
      <c r="AY6" s="98">
        <f>god+6</f>
        <v>2032</v>
      </c>
      <c r="AZ6" s="98">
        <f>god+7</f>
        <v>2033</v>
      </c>
      <c r="BA6" s="98">
        <f>god+8</f>
        <v>2034</v>
      </c>
      <c r="BB6" s="98">
        <f>god+9</f>
        <v>2035</v>
      </c>
    </row>
    <row customHeight="1" ht="11.25" hidden="1">
      <c r="A7" s="152" t="s">
        <v>361</v>
      </c>
      <c r="AE7" s="152" cm="1" t="str">
        <f t="array" ref="AE7:AE7">AE25</f>
        <v>Принято органом регулирования</v>
      </c>
      <c r="AF7" s="152" cm="1" t="str">
        <f t="array" ref="AF7:AF7">AF25</f>
        <v>Факт по данным организации</v>
      </c>
      <c r="AG7" s="152" cm="1" t="str">
        <f t="array" ref="AG7:AG7">AG25</f>
        <v>Факт, принятый органом регулирования</v>
      </c>
      <c r="AH7" s="152" cm="1" t="str">
        <f t="array" ref="AH7:AH7">AH25</f>
        <v>Принято органом регулирования</v>
      </c>
      <c r="AI7" s="152" cm="1" t="str">
        <f t="array" ref="AI7:AI7">AI25</f>
        <v>Предложение организации</v>
      </c>
      <c r="AJ7" s="152" cm="1" t="str">
        <f t="array" ref="AJ7:AJ7">AJ25</f>
        <v>Предложение организации</v>
      </c>
      <c r="AK7" s="152" cm="1" t="str">
        <f t="array" ref="AK7:AK7">AK25</f>
        <v>Предложение организации</v>
      </c>
      <c r="AL7" s="152" cm="1" t="str">
        <f t="array" ref="AL7:AL7">AL25</f>
        <v>Предложение организации</v>
      </c>
      <c r="AM7" s="152" cm="1" t="str">
        <f t="array" ref="AM7:AM7">AM25</f>
        <v>Предложение организации</v>
      </c>
      <c r="AN7" s="152" cm="1" t="str">
        <f t="array" ref="AN7:AN7">AN25</f>
        <v>Предложение организации</v>
      </c>
      <c r="AO7" s="152" cm="1" t="str">
        <f t="array" ref="AO7:AO7">AO25</f>
        <v>Предложение организации</v>
      </c>
      <c r="AP7" s="152" cm="1" t="str">
        <f t="array" ref="AP7:AP7">AP25</f>
        <v>Предложение организации</v>
      </c>
      <c r="AQ7" s="152" cm="1" t="str">
        <f t="array" ref="AQ7:AQ7">AQ25</f>
        <v>Предложение организации</v>
      </c>
      <c r="AR7" s="152" cm="1" t="str">
        <f t="array" ref="AR7:AR7">AR25</f>
        <v>Предложение организации</v>
      </c>
      <c r="AS7" s="152" cm="1" t="str">
        <f t="array" ref="AS7:AS7">AS25</f>
        <v>Принято органом регулирования</v>
      </c>
      <c r="AT7" s="152" cm="1" t="str">
        <f t="array" ref="AT7:AT7">AT25</f>
        <v>Принято органом регулирования</v>
      </c>
      <c r="AU7" s="152" cm="1" t="str">
        <f t="array" ref="AU7:AU7">AU25</f>
        <v>Принято органом регулирования</v>
      </c>
      <c r="AV7" s="152" cm="1" t="str">
        <f t="array" ref="AV7:AV7">AV25</f>
        <v>Принято органом регулирования</v>
      </c>
      <c r="AW7" s="152" cm="1" t="str">
        <f t="array" ref="AW7:AW7">AW25</f>
        <v>Принято органом регулирования</v>
      </c>
      <c r="AX7" s="152" cm="1" t="str">
        <f t="array" ref="AX7:AX7">AX25</f>
        <v>Принято органом регулирования</v>
      </c>
      <c r="AY7" s="152" cm="1" t="str">
        <f t="array" ref="AY7:AY7">AY25</f>
        <v>Принято органом регулирования</v>
      </c>
      <c r="AZ7" s="152" cm="1" t="str">
        <f t="array" ref="AZ7:AZ7">AZ25</f>
        <v>Принято органом регулирования</v>
      </c>
      <c r="BA7" s="152" cm="1" t="str">
        <f t="array" ref="BA7:BA7">BA25</f>
        <v>Принято органом регулирования</v>
      </c>
      <c r="BB7" s="152" cm="1" t="str">
        <f t="array" ref="BB7:BB7">BB25</f>
        <v>Принято органом регулирования</v>
      </c>
    </row>
    <row customHeight="1" ht="11.25" hidden="1">
      <c r="AI8" s="885"/>
      <c r="AJ8" s="885"/>
      <c r="AK8" s="885"/>
      <c r="AL8" s="885"/>
      <c r="AM8" s="885"/>
      <c r="AN8" s="885"/>
      <c r="AO8" s="885"/>
      <c r="AP8" s="885"/>
      <c r="AQ8" s="885"/>
      <c r="AR8" s="885"/>
      <c r="AS8" s="885"/>
      <c r="AT8" s="885"/>
      <c r="AU8" s="885"/>
      <c r="AV8" s="885"/>
      <c r="AW8" s="885"/>
      <c r="AX8" s="885"/>
      <c r="AY8" s="885"/>
      <c r="AZ8" s="885"/>
      <c r="BA8" s="885"/>
      <c r="BB8" s="885"/>
    </row>
    <row s="1041" customFormat="1" customHeight="1" ht="11.25" hidden="1">
      <c r="A9" s="1041" t="s">
        <v>365</v>
      </c>
      <c r="B9" s="1042"/>
      <c r="K9" s="1043"/>
      <c r="AE9" s="1041" cm="1" t="str">
        <f t="array" ref="AE9:AE9">AE6</f>
        <v>2024</v>
      </c>
      <c r="AF9" s="1041" cm="1" t="str">
        <f t="array" ref="AF9:AF9">AF6</f>
        <v>2024</v>
      </c>
      <c r="AG9" s="1041" cm="1" t="str">
        <f t="array" ref="AG9:AG9">AG6</f>
        <v>2024</v>
      </c>
      <c r="AH9" s="1041" cm="1" t="str">
        <f t="array" ref="AH9:AH9">AH6</f>
        <v>2025</v>
      </c>
      <c r="AI9" s="1041" cm="1" t="str">
        <f t="array" ref="AI9:AI9">AI6</f>
        <v>2026</v>
      </c>
      <c r="AJ9" s="1041" cm="1" t="str">
        <f t="array" ref="AJ9:AJ9">AJ6</f>
        <v>2027</v>
      </c>
      <c r="AK9" s="1041" cm="1" t="str">
        <f t="array" ref="AK9:AK9">AK6</f>
        <v>2028</v>
      </c>
      <c r="AL9" s="1041" cm="1" t="str">
        <f t="array" ref="AL9:AL9">AL6</f>
        <v>2029</v>
      </c>
      <c r="AM9" s="1041" cm="1" t="str">
        <f t="array" ref="AM9:AM9">AM6</f>
        <v>2030</v>
      </c>
      <c r="AN9" s="1041" cm="1" t="str">
        <f t="array" ref="AN9:AN9">AN6</f>
        <v>2031</v>
      </c>
      <c r="AO9" s="1041" cm="1" t="str">
        <f t="array" ref="AO9:AO9">AO6</f>
        <v>2032</v>
      </c>
      <c r="AP9" s="1041" cm="1" t="str">
        <f t="array" ref="AP9:AP9">AP6</f>
        <v>2033</v>
      </c>
      <c r="AQ9" s="1041" cm="1" t="str">
        <f t="array" ref="AQ9:AQ9">AQ6</f>
        <v>2034</v>
      </c>
      <c r="AR9" s="1041" cm="1" t="str">
        <f t="array" ref="AR9:AR9">AR6</f>
        <v>2035</v>
      </c>
      <c r="AS9" s="1041" cm="1" t="str">
        <f t="array" ref="AS9:AS9">AS6</f>
        <v>2026</v>
      </c>
      <c r="AT9" s="1041" cm="1" t="str">
        <f t="array" ref="AT9:AT9">AT6</f>
        <v>2027</v>
      </c>
      <c r="AU9" s="1041" cm="1" t="str">
        <f t="array" ref="AU9:AU9">AU6</f>
        <v>2028</v>
      </c>
      <c r="AV9" s="1041" cm="1" t="str">
        <f t="array" ref="AV9:AV9">AV6</f>
        <v>2029</v>
      </c>
      <c r="AW9" s="1041" cm="1" t="str">
        <f t="array" ref="AW9:AW9">AW6</f>
        <v>2030</v>
      </c>
      <c r="AX9" s="1041" cm="1" t="str">
        <f t="array" ref="AX9:AX9">AX6</f>
        <v>2031</v>
      </c>
      <c r="AY9" s="1041" cm="1" t="str">
        <f t="array" ref="AY9:AY9">AY6</f>
        <v>2032</v>
      </c>
      <c r="AZ9" s="1041" cm="1" t="str">
        <f t="array" ref="AZ9:AZ9">AZ6</f>
        <v>2033</v>
      </c>
      <c r="BA9" s="1041" cm="1" t="str">
        <f t="array" ref="BA9:BA9">BA6</f>
        <v>2034</v>
      </c>
      <c r="BB9" s="1041" cm="1" t="str">
        <f t="array" ref="BB9:BB9">BB6</f>
        <v>2035</v>
      </c>
      <c r="BI9" s="678"/>
      <c r="BJ9" s="678"/>
    </row>
    <row s="1041" customFormat="1" customHeight="1" ht="11.25" hidden="1">
      <c r="A10" s="1041" t="s">
        <v>366</v>
      </c>
      <c r="B10" s="1042"/>
      <c r="K10" s="1043"/>
      <c r="AE10" s="1041" cm="1" t="str">
        <f t="array" ref="AE10:AE10">AE25</f>
        <v>Принято органом регулирования</v>
      </c>
      <c r="AF10" s="1041" cm="1" t="str">
        <f t="array" ref="AF10:AF10">AF25</f>
        <v>Факт по данным организации</v>
      </c>
      <c r="AG10" s="1041" cm="1" t="str">
        <f t="array" ref="AG10:AG10">AG25</f>
        <v>Факт, принятый органом регулирования</v>
      </c>
      <c r="AH10" s="1041" cm="1" t="str">
        <f t="array" ref="AH10:AH10">AH25</f>
        <v>Принято органом регулирования</v>
      </c>
      <c r="AI10" s="1041" cm="1" t="str">
        <f t="array" ref="AI10:AI10">AI25</f>
        <v>Предложение организации</v>
      </c>
      <c r="AJ10" s="1041" cm="1" t="str">
        <f t="array" ref="AJ10:AJ10">AJ25</f>
        <v>Предложение организации</v>
      </c>
      <c r="AK10" s="1041" cm="1" t="str">
        <f t="array" ref="AK10:AK10">AK25</f>
        <v>Предложение организации</v>
      </c>
      <c r="AL10" s="1041" cm="1" t="str">
        <f t="array" ref="AL10:AL10">AL25</f>
        <v>Предложение организации</v>
      </c>
      <c r="AM10" s="1041" cm="1" t="str">
        <f t="array" ref="AM10:AM10">AM25</f>
        <v>Предложение организации</v>
      </c>
      <c r="AN10" s="1041" cm="1" t="str">
        <f t="array" ref="AN10:AN10">AN25</f>
        <v>Предложение организации</v>
      </c>
      <c r="AO10" s="1041" cm="1" t="str">
        <f t="array" ref="AO10:AO10">AO25</f>
        <v>Предложение организации</v>
      </c>
      <c r="AP10" s="1041" cm="1" t="str">
        <f t="array" ref="AP10:AP10">AP25</f>
        <v>Предложение организации</v>
      </c>
      <c r="AQ10" s="1041" cm="1" t="str">
        <f t="array" ref="AQ10:AQ10">AQ25</f>
        <v>Предложение организации</v>
      </c>
      <c r="AR10" s="1041" cm="1" t="str">
        <f t="array" ref="AR10:AR10">AR25</f>
        <v>Предложение организации</v>
      </c>
      <c r="AS10" s="1041" cm="1" t="str">
        <f t="array" ref="AS10:AS10">AS25</f>
        <v>Принято органом регулирования</v>
      </c>
      <c r="AT10" s="1041" cm="1" t="str">
        <f t="array" ref="AT10:AT10">AT25</f>
        <v>Принято органом регулирования</v>
      </c>
      <c r="AU10" s="1041" cm="1" t="str">
        <f t="array" ref="AU10:AU10">AU25</f>
        <v>Принято органом регулирования</v>
      </c>
      <c r="AV10" s="1041" cm="1" t="str">
        <f t="array" ref="AV10:AV10">AV25</f>
        <v>Принято органом регулирования</v>
      </c>
      <c r="AW10" s="1041" cm="1" t="str">
        <f t="array" ref="AW10:AW10">AW25</f>
        <v>Принято органом регулирования</v>
      </c>
      <c r="AX10" s="1041" cm="1" t="str">
        <f t="array" ref="AX10:AX10">AX25</f>
        <v>Принято органом регулирования</v>
      </c>
      <c r="AY10" s="1041" cm="1" t="str">
        <f t="array" ref="AY10:AY10">AY25</f>
        <v>Принято органом регулирования</v>
      </c>
      <c r="AZ10" s="1041" cm="1" t="str">
        <f t="array" ref="AZ10:AZ10">AZ25</f>
        <v>Принято органом регулирования</v>
      </c>
      <c r="BA10" s="1041" cm="1" t="str">
        <f t="array" ref="BA10:BA10">BA25</f>
        <v>Принято органом регулирования</v>
      </c>
      <c r="BB10" s="1041" cm="1" t="str">
        <f t="array" ref="BB10:BB10">BB25</f>
        <v>Принято органом регулирования</v>
      </c>
      <c r="BI10" s="678"/>
      <c r="BJ10" s="678"/>
    </row>
    <row s="1041" customFormat="1" customHeight="1" ht="11.25" hidden="1">
      <c r="A11" s="1041" t="s">
        <v>367</v>
      </c>
      <c r="B11" s="1042"/>
      <c r="K11" s="1043"/>
      <c r="AI11" s="1041"/>
      <c r="AJ11" s="1041"/>
      <c r="AK11" s="1041"/>
      <c r="AL11" s="1041"/>
      <c r="AM11" s="1041"/>
      <c r="AN11" s="1041"/>
      <c r="AO11" s="1041"/>
      <c r="AP11" s="1041"/>
      <c r="AQ11" s="1041"/>
      <c r="AR11" s="1041"/>
      <c r="AS11" s="1041"/>
      <c r="AT11" s="1041"/>
      <c r="AU11" s="1041"/>
      <c r="AV11" s="1041"/>
      <c r="AW11" s="1041"/>
      <c r="AX11" s="1041"/>
      <c r="AY11" s="1041"/>
      <c r="AZ11" s="1041"/>
      <c r="BA11" s="1041"/>
      <c r="BB11" s="1041"/>
      <c r="BC11" s="1041" cm="1" t="str">
        <f t="array" ref="BC11:BC11">BC24</f>
        <v>Ссылка на правовую норму (основание для принятия показателя в расчет тарифа)</v>
      </c>
      <c r="BI11" s="678"/>
      <c r="BJ11" s="678"/>
    </row>
    <row s="1041" customFormat="1" customHeight="1" ht="11.25" hidden="1">
      <c r="A12" s="1041" t="s">
        <v>338</v>
      </c>
      <c r="B12" s="1042"/>
      <c r="K12" s="1043"/>
      <c r="AC12" s="1041" t="s">
        <v>326</v>
      </c>
      <c r="AI12" s="1041"/>
      <c r="AJ12" s="1041"/>
      <c r="AK12" s="1041"/>
      <c r="AL12" s="1041"/>
      <c r="AM12" s="1041"/>
      <c r="AN12" s="1041"/>
      <c r="AO12" s="1041"/>
      <c r="AP12" s="1041"/>
      <c r="AQ12" s="1041"/>
      <c r="AR12" s="1041"/>
      <c r="AS12" s="1041"/>
      <c r="AT12" s="1041"/>
      <c r="AU12" s="1041"/>
      <c r="AV12" s="1041"/>
      <c r="AW12" s="1041"/>
      <c r="AX12" s="1041"/>
      <c r="AY12" s="1041"/>
      <c r="AZ12" s="1041"/>
      <c r="BA12" s="1041"/>
      <c r="BB12" s="1041"/>
      <c r="BI12" s="678"/>
      <c r="BJ12" s="678"/>
    </row>
    <row customHeight="1" ht="11.25" hidden="1">
      <c r="AI13" s="98"/>
      <c r="AJ13" s="98"/>
      <c r="AK13" s="98"/>
      <c r="AL13" s="98"/>
      <c r="AM13" s="98"/>
      <c r="AN13" s="98"/>
      <c r="AO13" s="98"/>
      <c r="AP13" s="98"/>
      <c r="AQ13" s="98"/>
      <c r="AR13" s="98"/>
      <c r="AS13" s="98"/>
      <c r="AT13" s="98"/>
      <c r="AU13" s="98"/>
      <c r="AV13" s="98"/>
      <c r="AW13" s="98"/>
      <c r="AX13" s="98"/>
      <c r="AY13" s="98"/>
      <c r="AZ13" s="98"/>
      <c r="BA13" s="98"/>
      <c r="BB13" s="98"/>
    </row>
    <row customHeight="1" ht="11.25" hidden="1">
      <c r="AI14" s="98"/>
      <c r="AJ14" s="98"/>
      <c r="AK14" s="98"/>
      <c r="AL14" s="98"/>
      <c r="AM14" s="98"/>
      <c r="AN14" s="98"/>
      <c r="AO14" s="98"/>
      <c r="AP14" s="98"/>
      <c r="AQ14" s="98"/>
      <c r="AR14" s="98"/>
      <c r="AS14" s="98"/>
      <c r="AT14" s="98"/>
      <c r="AU14" s="98"/>
      <c r="AV14" s="98"/>
      <c r="AW14" s="98"/>
      <c r="AX14" s="98"/>
      <c r="AY14" s="98"/>
      <c r="AZ14" s="98"/>
      <c r="BA14" s="98"/>
      <c r="BB14" s="98"/>
    </row>
    <row customHeight="1" ht="11.25" hidden="1">
      <c r="AI15" s="98"/>
      <c r="AJ15" s="98"/>
      <c r="AK15" s="98"/>
      <c r="AL15" s="98"/>
      <c r="AM15" s="98"/>
      <c r="AN15" s="98"/>
      <c r="AO15" s="98"/>
      <c r="AP15" s="98"/>
      <c r="AQ15" s="98"/>
      <c r="AR15" s="98"/>
      <c r="AS15" s="98"/>
      <c r="AT15" s="98"/>
      <c r="AU15" s="98"/>
      <c r="AV15" s="98"/>
      <c r="AW15" s="98"/>
      <c r="AX15" s="98"/>
      <c r="AY15" s="98"/>
      <c r="AZ15" s="98"/>
      <c r="BA15" s="98"/>
      <c r="BB15" s="98"/>
    </row>
    <row customHeight="1" ht="11.25" hidden="1">
      <c r="AI16" s="98"/>
      <c r="AJ16" s="98"/>
      <c r="AK16" s="98"/>
      <c r="AL16" s="98"/>
      <c r="AM16" s="98"/>
      <c r="AN16" s="98"/>
      <c r="AO16" s="98"/>
      <c r="AP16" s="98"/>
      <c r="AQ16" s="98"/>
      <c r="AR16" s="98"/>
      <c r="AS16" s="98"/>
      <c r="AT16" s="98"/>
      <c r="AU16" s="98"/>
      <c r="AV16" s="98"/>
      <c r="AW16" s="98"/>
      <c r="AX16" s="98"/>
      <c r="AY16" s="98"/>
      <c r="AZ16" s="98"/>
      <c r="BA16" s="98"/>
      <c r="BB16" s="98"/>
    </row>
    <row customHeight="1" ht="11.25" hidden="1">
      <c r="AI17" s="885"/>
      <c r="AJ17" s="885"/>
      <c r="AK17" s="885"/>
      <c r="AL17" s="885"/>
      <c r="AM17" s="885"/>
      <c r="AN17" s="885"/>
      <c r="AO17" s="885"/>
      <c r="AP17" s="885"/>
      <c r="AQ17" s="885"/>
      <c r="AR17" s="885"/>
      <c r="AS17" s="885"/>
      <c r="AT17" s="885"/>
      <c r="AU17" s="885"/>
      <c r="AV17" s="885"/>
      <c r="AW17" s="885"/>
      <c r="AX17" s="885"/>
      <c r="AY17" s="885"/>
      <c r="AZ17" s="885"/>
      <c r="BA17" s="885"/>
      <c r="BB17" s="885"/>
    </row>
    <row customHeight="1" ht="11.25" hidden="1">
      <c r="A18" s="152" t="s">
        <v>368</v>
      </c>
      <c r="AC18" s="152" t="s">
        <v>1777</v>
      </c>
      <c r="AI18" s="885"/>
      <c r="AJ18" s="885"/>
      <c r="AK18" s="885"/>
      <c r="AL18" s="885"/>
      <c r="AM18" s="885"/>
      <c r="AN18" s="885"/>
      <c r="AO18" s="885"/>
      <c r="AP18" s="885"/>
      <c r="AQ18" s="885"/>
      <c r="AR18" s="885"/>
      <c r="AS18" s="885"/>
      <c r="AT18" s="885"/>
      <c r="AU18" s="885"/>
      <c r="AV18" s="885"/>
      <c r="AW18" s="885"/>
      <c r="AX18" s="885"/>
      <c r="AY18" s="885"/>
      <c r="AZ18" s="885"/>
      <c r="BA18" s="885"/>
      <c r="BB18" s="885"/>
    </row>
    <row customHeight="1" ht="11.25" hidden="1">
      <c r="AI19" s="885"/>
      <c r="AJ19" s="885"/>
      <c r="AK19" s="885"/>
      <c r="AL19" s="885"/>
      <c r="AM19" s="885"/>
      <c r="AN19" s="885"/>
      <c r="AO19" s="885"/>
      <c r="AP19" s="885"/>
      <c r="AQ19" s="885"/>
      <c r="AR19" s="885"/>
      <c r="AS19" s="885"/>
      <c r="AT19" s="885"/>
      <c r="AU19" s="885"/>
      <c r="AV19" s="885"/>
      <c r="AW19" s="885"/>
      <c r="AX19" s="885"/>
      <c r="AY19" s="885"/>
      <c r="AZ19" s="885"/>
      <c r="BA19" s="885"/>
      <c r="BB19" s="885"/>
    </row>
    <row customHeight="1" ht="11.25" hidden="1">
      <c r="AI20" s="885"/>
      <c r="AJ20" s="885"/>
      <c r="AK20" s="885"/>
      <c r="AL20" s="885"/>
      <c r="AM20" s="885"/>
      <c r="AN20" s="885"/>
      <c r="AO20" s="885"/>
      <c r="AP20" s="885"/>
      <c r="AQ20" s="885"/>
      <c r="AR20" s="885"/>
      <c r="AS20" s="885"/>
      <c r="AT20" s="885"/>
      <c r="AU20" s="885"/>
      <c r="AV20" s="885"/>
      <c r="AW20" s="885"/>
      <c r="AX20" s="885"/>
      <c r="AY20" s="885"/>
      <c r="AZ20" s="885"/>
      <c r="BA20" s="885"/>
      <c r="BB20" s="885"/>
    </row>
    <row customHeight="1" ht="14.625">
      <c r="E21" s="678">
        <v>15</v>
      </c>
      <c r="AA21" s="657"/>
      <c r="AC21" s="50" cm="1" t="str">
        <f t="array" ref="AC21:AC21">tpl_title</f>
        <v>Кемеровская область / 2026 / ООО "Теплоэнерго" (ИНН:4214046200, КПП:421401001) / ДПР: 2026-2030</v>
      </c>
      <c r="AI21" s="885"/>
      <c r="AJ21" s="885"/>
      <c r="AK21" s="885"/>
      <c r="AL21" s="885"/>
      <c r="AM21" s="885"/>
      <c r="AN21" s="885"/>
      <c r="AO21" s="885"/>
      <c r="AP21" s="885"/>
      <c r="AQ21" s="885"/>
      <c r="AR21" s="885"/>
      <c r="AS21" s="885"/>
      <c r="AT21" s="885"/>
      <c r="AU21" s="885"/>
      <c r="AV21" s="885"/>
      <c r="AW21" s="885"/>
      <c r="AX21" s="885"/>
      <c r="AY21" s="885"/>
      <c r="AZ21" s="885"/>
      <c r="BA21" s="885"/>
      <c r="BB21" s="885"/>
    </row>
    <row customHeight="1" ht="19.5">
      <c r="E22" s="678">
        <v>20</v>
      </c>
      <c r="AB22" s="319" t="s">
        <v>60</v>
      </c>
      <c r="AC22" s="223"/>
      <c r="AD22" s="223"/>
      <c r="AE22" s="223"/>
      <c r="AF22" s="223"/>
      <c r="AG22" s="223"/>
      <c r="AH22" s="223"/>
      <c r="AI22" s="223"/>
      <c r="AJ22" s="223"/>
      <c r="AK22" s="223"/>
      <c r="AL22" s="223"/>
      <c r="AM22" s="223"/>
      <c r="AN22" s="223"/>
      <c r="AO22" s="223"/>
      <c r="AP22" s="223"/>
      <c r="AQ22" s="223"/>
      <c r="AR22" s="223"/>
      <c r="AS22" s="223"/>
      <c r="AT22" s="223"/>
      <c r="AU22" s="223"/>
      <c r="AV22" s="223"/>
      <c r="AW22" s="223"/>
      <c r="AX22" s="223"/>
      <c r="AY22" s="223"/>
      <c r="AZ22" s="223"/>
      <c r="BA22" s="223"/>
      <c r="BB22" s="223"/>
      <c r="BC22" s="208"/>
    </row>
    <row customHeight="1" ht="10.96875">
      <c r="E23" s="678">
        <v>11.25</v>
      </c>
      <c r="AB23" s="153"/>
      <c r="AC23" s="154"/>
      <c r="AD23" s="154"/>
      <c r="AE23" s="154"/>
      <c r="AF23" s="154"/>
      <c r="AG23" s="154"/>
      <c r="AH23" s="154"/>
      <c r="AI23" s="154"/>
      <c r="AJ23" s="154"/>
      <c r="AK23" s="154"/>
      <c r="AL23" s="154"/>
      <c r="AM23" s="154"/>
      <c r="AN23" s="154"/>
      <c r="AO23" s="154"/>
      <c r="AP23" s="154"/>
      <c r="AQ23" s="154"/>
      <c r="AR23" s="154"/>
      <c r="AS23" s="154"/>
      <c r="AT23" s="155"/>
      <c r="AU23" s="155"/>
      <c r="AV23" s="155"/>
      <c r="AW23" s="155"/>
      <c r="AX23" s="155"/>
      <c r="AY23" s="155"/>
      <c r="AZ23" s="155"/>
      <c r="BA23" s="155"/>
      <c r="BB23" s="155"/>
    </row>
    <row customHeight="1" ht="14.625">
      <c r="E24" s="678">
        <v>15</v>
      </c>
      <c r="AB24" s="1577" t="s">
        <v>1496</v>
      </c>
      <c r="AC24" s="1608" t="s">
        <v>195</v>
      </c>
      <c r="AD24" s="1577" t="s">
        <v>370</v>
      </c>
      <c r="AE24" s="359" t="str">
        <f>god-2&amp;" год"</f>
        <v>2024 год</v>
      </c>
      <c r="AF24" s="1121" t="str">
        <f>god-2&amp;" год"</f>
        <v>2024 год</v>
      </c>
      <c r="AG24" s="359" t="str">
        <f>god-2&amp;" год"</f>
        <v>2024 год</v>
      </c>
      <c r="AH24" s="94" t="str">
        <f>god-1&amp;" год"</f>
        <v>2025 год</v>
      </c>
      <c r="AI24" s="1118" t="str">
        <f>god&amp;" год"</f>
        <v>2026 год</v>
      </c>
      <c r="AJ24" s="1118" t="str">
        <f>god+1&amp;" год"</f>
        <v>2027 год</v>
      </c>
      <c r="AK24" s="1118" t="str">
        <f>god+2&amp;" год"</f>
        <v>2028 год</v>
      </c>
      <c r="AL24" s="1118" t="str">
        <f>god+3&amp;" год"</f>
        <v>2029 год</v>
      </c>
      <c r="AM24" s="1118" t="str">
        <f>god+4&amp;" год"</f>
        <v>2030 год</v>
      </c>
      <c r="AN24" s="1118" t="str">
        <f>god+5&amp;" год"</f>
        <v>2031 год</v>
      </c>
      <c r="AO24" s="1118" t="str">
        <f>god+6&amp;" год"</f>
        <v>2032 год</v>
      </c>
      <c r="AP24" s="1118" t="str">
        <f>god+7&amp;" год"</f>
        <v>2033 год</v>
      </c>
      <c r="AQ24" s="1118" t="str">
        <f>god+8&amp;" год"</f>
        <v>2034 год</v>
      </c>
      <c r="AR24" s="1118" t="str">
        <f>god+9&amp;" год"</f>
        <v>2035 год</v>
      </c>
      <c r="AS24" s="92" t="str">
        <f>god&amp;" год"</f>
        <v>2026 год</v>
      </c>
      <c r="AT24" s="92" t="str">
        <f>god+1&amp;" год"</f>
        <v>2027 год</v>
      </c>
      <c r="AU24" s="92" t="str">
        <f>god+2&amp;" год"</f>
        <v>2028 год</v>
      </c>
      <c r="AV24" s="92" t="str">
        <f>god+3&amp;" год"</f>
        <v>2029 год</v>
      </c>
      <c r="AW24" s="92" t="str">
        <f>god+4&amp;" год"</f>
        <v>2030 год</v>
      </c>
      <c r="AX24" s="92" t="str">
        <f>god+5&amp;" год"</f>
        <v>2031 год</v>
      </c>
      <c r="AY24" s="92" t="str">
        <f>god+6&amp;" год"</f>
        <v>2032 год</v>
      </c>
      <c r="AZ24" s="92" t="str">
        <f>god+7&amp;" год"</f>
        <v>2033 год</v>
      </c>
      <c r="BA24" s="92" t="str">
        <f>god+8&amp;" год"</f>
        <v>2034 год</v>
      </c>
      <c r="BB24" s="92" t="str">
        <f>god+9&amp;" год"</f>
        <v>2035 год</v>
      </c>
      <c r="BC24" s="1590" t="s">
        <v>1242</v>
      </c>
    </row>
    <row customHeight="1" ht="48.75">
      <c r="E25" s="678">
        <v>50</v>
      </c>
      <c r="AB25" s="1618"/>
      <c r="AC25" s="1618"/>
      <c r="AD25" s="1618"/>
      <c r="AE25" s="92" t="s">
        <v>362</v>
      </c>
      <c r="AF25" s="1118" t="s">
        <v>1164</v>
      </c>
      <c r="AG25" s="92" t="s">
        <v>1165</v>
      </c>
      <c r="AH25" s="92" t="s">
        <v>362</v>
      </c>
      <c r="AI25" s="1122" t="s">
        <v>363</v>
      </c>
      <c r="AJ25" s="1122" t="s">
        <v>363</v>
      </c>
      <c r="AK25" s="1122" t="s">
        <v>363</v>
      </c>
      <c r="AL25" s="1122" t="s">
        <v>363</v>
      </c>
      <c r="AM25" s="1122" t="s">
        <v>363</v>
      </c>
      <c r="AN25" s="1122" t="s">
        <v>363</v>
      </c>
      <c r="AO25" s="1122" t="s">
        <v>363</v>
      </c>
      <c r="AP25" s="1122" t="s">
        <v>363</v>
      </c>
      <c r="AQ25" s="1122" t="s">
        <v>363</v>
      </c>
      <c r="AR25" s="1122" t="s">
        <v>363</v>
      </c>
      <c r="AS25" s="360" t="s">
        <v>362</v>
      </c>
      <c r="AT25" s="360" t="s">
        <v>362</v>
      </c>
      <c r="AU25" s="360" t="s">
        <v>362</v>
      </c>
      <c r="AV25" s="360" t="s">
        <v>362</v>
      </c>
      <c r="AW25" s="360" t="s">
        <v>362</v>
      </c>
      <c r="AX25" s="360" t="s">
        <v>362</v>
      </c>
      <c r="AY25" s="360" t="s">
        <v>362</v>
      </c>
      <c r="AZ25" s="360" t="s">
        <v>362</v>
      </c>
      <c r="BA25" s="360" t="s">
        <v>362</v>
      </c>
      <c r="BB25" s="360" t="s">
        <v>362</v>
      </c>
      <c r="BC25" s="1618"/>
    </row>
    <row s="1834" customFormat="1" customHeight="1" ht="11.25" hidden="1">
      <c r="A26" s="499"/>
      <c r="B26" s="658"/>
      <c r="C26" s="499"/>
      <c r="D26" s="499"/>
      <c r="E26" s="659">
        <v>0</v>
      </c>
      <c r="F26" s="654" t="s">
        <v>1778</v>
      </c>
      <c r="G26" s="499"/>
      <c r="H26" s="499"/>
      <c r="I26" s="482"/>
      <c r="J26" s="499"/>
      <c r="K26" s="914"/>
      <c r="L26" s="482"/>
      <c r="M26" s="499"/>
      <c r="N26" s="499"/>
      <c r="O26" s="499"/>
      <c r="P26" s="499"/>
      <c r="Q26" s="499"/>
      <c r="R26" s="499"/>
      <c r="S26" s="499"/>
      <c r="T26" s="499"/>
      <c r="U26" s="499"/>
      <c r="V26" s="499"/>
      <c r="W26" s="499"/>
      <c r="X26" s="499"/>
      <c r="Y26" s="499"/>
      <c r="Z26" s="499"/>
      <c r="AA26" s="499"/>
      <c r="AB26" s="499"/>
      <c r="AC26" s="100"/>
      <c r="AD26" s="100"/>
      <c r="AE26" s="100"/>
      <c r="AF26" s="100"/>
      <c r="AI26" s="1834"/>
      <c r="AJ26" s="1834"/>
      <c r="AK26" s="1834"/>
      <c r="AL26" s="1834"/>
      <c r="AM26" s="1834"/>
      <c r="AN26" s="1834"/>
      <c r="AO26" s="1834"/>
      <c r="AP26" s="1834"/>
      <c r="AQ26" s="101"/>
      <c r="AR26" s="1834"/>
      <c r="AS26" s="1834"/>
      <c r="AT26" s="1834"/>
      <c r="AU26" s="1834"/>
      <c r="AV26" s="1834"/>
      <c r="AW26" s="1834"/>
      <c r="AX26" s="1834"/>
      <c r="AY26" s="1834"/>
      <c r="AZ26" s="1834"/>
      <c r="BA26" s="1834"/>
      <c r="BB26" s="1834"/>
      <c r="BF26" s="1004"/>
      <c r="BG26" s="1004"/>
      <c r="BH26" s="1004"/>
      <c r="BI26" s="624"/>
      <c r="BJ26" s="624"/>
    </row>
    <row customHeight="1" ht="14.625" hidden="1">
      <c r="A27" s="885"/>
      <c r="B27" s="440"/>
      <c r="C27" s="885"/>
      <c r="D27" s="885"/>
      <c r="E27" s="678">
        <v>15</v>
      </c>
      <c r="F27" s="98" cm="1" t="str">
        <f t="array" ref="F27:F27">X27</f>
        <v>0</v>
      </c>
      <c r="G27" s="885"/>
      <c r="H27" s="885"/>
      <c r="I27" s="885" t="s">
        <v>1779</v>
      </c>
      <c r="J27" s="885"/>
      <c r="K27" s="911"/>
      <c r="L27" s="885"/>
      <c r="M27" s="885"/>
      <c r="N27" s="885"/>
      <c r="O27" s="885"/>
      <c r="P27" s="885"/>
      <c r="Q27" s="885"/>
      <c r="R27" s="885"/>
      <c r="S27" s="885"/>
      <c r="T27" s="465">
        <f>X27&gt;0</f>
        <v>0</v>
      </c>
      <c r="U27" s="885"/>
      <c r="V27" s="152" t="s">
        <v>265</v>
      </c>
      <c r="W27" s="885"/>
      <c r="X27" s="1524">
        <v>0</v>
      </c>
      <c r="Y27" s="680"/>
      <c r="Z27" s="1615"/>
      <c r="AA27" s="885"/>
      <c r="AB27" s="222" cm="1" t="str">
        <f t="array" ref="AB27:AB27">INDEX('Общие сведения'!$AG$179:$AG$250,MATCH($X27,'Общие сведения'!$Z$179:$Z$250,0))</f>
        <v>Тариф 0 () - </v>
      </c>
      <c r="AC27" s="180"/>
      <c r="AD27" s="180"/>
      <c r="AE27" s="306">
        <f>AE35+AE42+AE49+AE56+AE28+AE63+AE74+AE81+AE88</f>
        <v>0</v>
      </c>
      <c r="AF27" s="306">
        <f>AF35+AF42+AF49+AF56+AF28+AF63+AF74+AF81+AF88</f>
        <v>0</v>
      </c>
      <c r="AG27" s="306">
        <f>AG35+AG42+AG49+AG56+AG28+AG63+AG74+AG81+AG88</f>
        <v>0</v>
      </c>
      <c r="AH27" s="306">
        <f>AH35+AH42+AH49+AH56+AH28+AH63+AH74+AH81+AH88</f>
        <v>0</v>
      </c>
      <c r="AI27" s="306">
        <f>AI35+AI42+AI49+AI56+AI28+AI63+AI74+AI81+AI88</f>
        <v>0</v>
      </c>
      <c r="AJ27" s="306">
        <f>AJ35+AJ42+AJ49+AJ56+AJ28+AJ63+AJ74+AJ81+AJ88</f>
        <v>0</v>
      </c>
      <c r="AK27" s="306">
        <f>AK35+AK42+AK49+AK56+AK28+AK63+AK74+AK81+AK88</f>
        <v>0</v>
      </c>
      <c r="AL27" s="306">
        <f>AL35+AL42+AL49+AL56+AL28+AL63+AL74+AL81+AL88</f>
        <v>0</v>
      </c>
      <c r="AM27" s="306">
        <f>AM35+AM42+AM49+AM56+AM28+AM63+AM74+AM81+AM88</f>
        <v>0</v>
      </c>
      <c r="AN27" s="306">
        <f>AN35+AN42+AN49+AN56+AN28+AN63+AN74+AN81+AN88</f>
        <v>0</v>
      </c>
      <c r="AO27" s="306">
        <f>AO35+AO42+AO49+AO56+AO28+AO63+AO74+AO81+AO88</f>
        <v>0</v>
      </c>
      <c r="AP27" s="306">
        <f>AP35+AP42+AP49+AP56+AP28+AP63+AP74+AP81+AP88</f>
        <v>0</v>
      </c>
      <c r="AQ27" s="306">
        <f>AQ35+AQ42+AQ49+AQ56+AQ28+AQ63+AQ74+AQ81+AQ88</f>
        <v>0</v>
      </c>
      <c r="AR27" s="306">
        <f>AR35+AR42+AR49+AR56+AR28+AR63+AR74+AR81+AR88</f>
        <v>0</v>
      </c>
      <c r="AS27" s="306">
        <f>AS35+AS42+AS49+AS56+AS28+AS63+AS74+AS81+AS88</f>
        <v>0</v>
      </c>
      <c r="AT27" s="306">
        <f>AT35+AT42+AT49+AT56+AT28+AT63+AT74+AT81+AT88</f>
        <v>0</v>
      </c>
      <c r="AU27" s="306">
        <f>AU35+AU42+AU49+AU56+AU28+AU63+AU74+AU81+AU88</f>
        <v>0</v>
      </c>
      <c r="AV27" s="306">
        <f>AV35+AV42+AV49+AV56+AV28+AV63+AV74+AV81+AV88</f>
        <v>0</v>
      </c>
      <c r="AW27" s="306">
        <f>AW35+AW42+AW49+AW56+AW28+AW63+AW74+AW81+AW88</f>
        <v>0</v>
      </c>
      <c r="AX27" s="306">
        <f>AX35+AX42+AX49+AX56+AX28+AX63+AX74+AX81+AX88</f>
        <v>0</v>
      </c>
      <c r="AY27" s="306">
        <f>AY35+AY42+AY49+AY56+AY28+AY63+AY74+AY81+AY88</f>
        <v>0</v>
      </c>
      <c r="AZ27" s="306">
        <f>AZ35+AZ42+AZ49+AZ56+AZ28+AZ63+AZ74+AZ81+AZ88</f>
        <v>0</v>
      </c>
      <c r="BA27" s="306">
        <f>BA35+BA42+BA49+BA56+BA28+BA63+BA74+BA81+BA88</f>
        <v>0</v>
      </c>
      <c r="BB27" s="306">
        <f>BB35+BB42+BB49+BB56+BB28+BB63+BB74+BB81+BB88</f>
        <v>0</v>
      </c>
      <c r="BC27" s="224"/>
      <c r="BD27" s="885"/>
      <c r="BE27" s="885"/>
      <c r="BF27" s="1041"/>
      <c r="BG27" s="1041"/>
      <c r="BH27" s="1041"/>
      <c r="BI27" s="678"/>
      <c r="BJ27" s="678"/>
    </row>
    <row customHeight="1" ht="14.625" hidden="1">
      <c r="A28" s="885"/>
      <c r="B28" s="440"/>
      <c r="C28" s="885"/>
      <c r="D28" s="885"/>
      <c r="E28" s="678">
        <v>15</v>
      </c>
      <c r="F28" s="50" cm="1" t="str">
        <f t="array" ref="F28:F28">OFFSET(E28,-1,1)</f>
        <v>0</v>
      </c>
      <c r="G28" s="152" t="s">
        <v>332</v>
      </c>
      <c r="H28" s="885"/>
      <c r="I28" s="885"/>
      <c r="J28" s="885"/>
      <c r="K28" s="911" t="str">
        <f>F28&amp;"1komm"</f>
        <v>01komm</v>
      </c>
      <c r="L28" s="915" cm="1" t="str">
        <f t="array" ref="L28:L28">BC28</f>
        <v>0</v>
      </c>
      <c r="M28" s="885"/>
      <c r="N28" s="885"/>
      <c r="O28" s="885"/>
      <c r="P28" s="885"/>
      <c r="Q28" s="885"/>
      <c r="R28" s="885"/>
      <c r="S28" s="885"/>
      <c r="T28" s="465" cm="1" t="str">
        <f t="array" ref="T28:T28">T27</f>
        <v>false</v>
      </c>
      <c r="U28" s="885"/>
      <c r="V28" s="885"/>
      <c r="W28" s="885"/>
      <c r="X28" s="1524"/>
      <c r="Y28" s="885"/>
      <c r="Z28" s="1615"/>
      <c r="AA28" s="885"/>
      <c r="AB28" s="211">
        <v>1</v>
      </c>
      <c r="AC28" s="212" t="s">
        <v>1780</v>
      </c>
      <c r="AD28" s="211" t="s">
        <v>1514</v>
      </c>
      <c r="AE28" s="213">
        <f>SUMIF(AD31:AD34,AD28,AE31:AE34)</f>
        <v>0</v>
      </c>
      <c r="AF28" s="213">
        <f>SUMIF(AD31:AD34,AD28,AF31:AF34)</f>
        <v>0</v>
      </c>
      <c r="AG28" s="213">
        <f>SUMIF(AD31:AD34,AD28,AG31:AG34)</f>
        <v>0</v>
      </c>
      <c r="AH28" s="213">
        <f>SUMIF(AD31:AD34,AD28,AH31:AH34)</f>
        <v>0</v>
      </c>
      <c r="AI28" s="213">
        <f>SUMIF(AD31:AD34,AD28,AI31:AI34)</f>
        <v>0</v>
      </c>
      <c r="AJ28" s="3626">
        <f>SUMIF(AD31:AD34,AD28,AJ31:AJ34)</f>
        <v>0</v>
      </c>
      <c r="AK28" s="3626">
        <f>SUMIF(AD31:AD34,AD28,AK31:AK34)</f>
        <v>0</v>
      </c>
      <c r="AL28" s="3626">
        <f>SUMIF(AD31:AD34,AD28,AL31:AL34)</f>
        <v>0</v>
      </c>
      <c r="AM28" s="3626">
        <f>SUMIF(AD31:AD34,AD28,AM31:AM34)</f>
        <v>0</v>
      </c>
      <c r="AN28" s="3626">
        <f>SUMIF(AD31:AD34,AD28,AN31:AN34)</f>
        <v>0</v>
      </c>
      <c r="AO28" s="3626">
        <f>SUMIF(AD31:AD34,AD28,AO31:AO34)</f>
        <v>0</v>
      </c>
      <c r="AP28" s="3626">
        <f>SUMIF(AD31:AD34,AD28,AP31:AP34)</f>
        <v>0</v>
      </c>
      <c r="AQ28" s="3626">
        <f>SUMIF(AD31:AD34,AD28,AQ31:AQ34)</f>
        <v>0</v>
      </c>
      <c r="AR28" s="3626">
        <f>SUMIF(AD31:AD34,AD28,AR31:AR34)</f>
        <v>0</v>
      </c>
      <c r="AS28" s="213">
        <f>SUMIF(AD31:AD34,AD28,AS31:AS34)</f>
        <v>0</v>
      </c>
      <c r="AT28" s="3626">
        <f>SUMIF(AD31:AD34,AD28,AT31:AT34)</f>
        <v>0</v>
      </c>
      <c r="AU28" s="3626">
        <f>SUMIF(AD31:AD34,AD28,AU31:AU34)</f>
        <v>0</v>
      </c>
      <c r="AV28" s="3626">
        <f>SUMIF(AD31:AD34,AD28,AV31:AV34)</f>
        <v>0</v>
      </c>
      <c r="AW28" s="3626">
        <f>SUMIF(AD31:AD34,AD28,AW31:AW34)</f>
        <v>0</v>
      </c>
      <c r="AX28" s="3626">
        <f>SUMIF(AD31:AD34,AD28,AX31:AX34)</f>
        <v>0</v>
      </c>
      <c r="AY28" s="3626">
        <f>SUMIF(AD31:AD34,AD28,AY31:AY34)</f>
        <v>0</v>
      </c>
      <c r="AZ28" s="3626">
        <f>SUMIF(AD31:AD34,AD28,AZ31:AZ34)</f>
        <v>0</v>
      </c>
      <c r="BA28" s="3626">
        <f>SUMIF(AD31:AD34,AD28,BA31:BA34)</f>
        <v>0</v>
      </c>
      <c r="BB28" s="3626">
        <f>SUMIF(AD31:AD34,AD28,BB31:BB34)</f>
        <v>0</v>
      </c>
      <c r="BC28" s="2070"/>
      <c r="BD28" s="885"/>
      <c r="BE28" s="885"/>
      <c r="BF28" s="1041" t="s">
        <v>1781</v>
      </c>
      <c r="BG28" s="1041"/>
      <c r="BH28" s="1041"/>
      <c r="BI28" s="678"/>
      <c r="BJ28" s="678"/>
    </row>
    <row customHeight="1" ht="15" hidden="1">
      <c r="A29" s="885"/>
      <c r="B29" s="440"/>
      <c r="C29" s="885"/>
      <c r="D29" s="885"/>
      <c r="E29" s="678">
        <v>0</v>
      </c>
      <c r="F29" s="50" cm="1" t="str">
        <f t="array" ref="F29:F29">OFFSET(E29,-1,1)</f>
        <v>0</v>
      </c>
      <c r="G29" s="885"/>
      <c r="H29" s="885"/>
      <c r="I29" s="885"/>
      <c r="J29" s="885"/>
      <c r="K29" s="911"/>
      <c r="L29" s="915"/>
      <c r="M29" s="885"/>
      <c r="N29" s="885"/>
      <c r="O29" s="885"/>
      <c r="P29" s="885"/>
      <c r="Q29" s="885"/>
      <c r="R29" s="885"/>
      <c r="S29" s="885"/>
      <c r="T29" s="465" t="b">
        <v>0</v>
      </c>
      <c r="U29" s="885"/>
      <c r="V29" s="885"/>
      <c r="W29" s="152" t="s">
        <v>174</v>
      </c>
      <c r="X29" s="1524"/>
      <c r="Y29" s="1524">
        <v>0</v>
      </c>
      <c r="Z29" s="1615"/>
      <c r="AA29" s="1616" t="s">
        <v>175</v>
      </c>
      <c r="AB29" s="211"/>
      <c r="AC29" s="212"/>
      <c r="AD29" s="211"/>
      <c r="AE29" s="216">
        <f>OR(AND(AE31&lt;&gt;"",AE32=""),AND(AE31="",AE32&lt;&gt;""))</f>
        <v>0</v>
      </c>
      <c r="AF29" s="216">
        <f>OR(AND(AF31&lt;&gt;"",AF32=""),AND(AF31="",AF32&lt;&gt;""))</f>
        <v>0</v>
      </c>
      <c r="AG29" s="216">
        <f>OR(AND(AG31&lt;&gt;"",AG32=""),AND(AG31="",AG32&lt;&gt;""))</f>
        <v>0</v>
      </c>
      <c r="AH29" s="216">
        <f>OR(AND(AH31&lt;&gt;"",AH32=""),AND(AH31="",AH32&lt;&gt;""))</f>
        <v>0</v>
      </c>
      <c r="AI29" s="216">
        <f>OR(AND(AI31&lt;&gt;"",AI32=""),AND(AI31="",AI32&lt;&gt;""))</f>
        <v>0</v>
      </c>
      <c r="AJ29" s="216">
        <f>OR(AND(AJ31&lt;&gt;"",AJ32=""),AND(AJ31="",AJ32&lt;&gt;""))</f>
        <v>0</v>
      </c>
      <c r="AK29" s="216">
        <f>OR(AND(AK31&lt;&gt;"",AK32=""),AND(AK31="",AK32&lt;&gt;""))</f>
        <v>0</v>
      </c>
      <c r="AL29" s="216">
        <f>OR(AND(AL31&lt;&gt;"",AL32=""),AND(AL31="",AL32&lt;&gt;""))</f>
        <v>0</v>
      </c>
      <c r="AM29" s="216">
        <f>OR(AND(AM31&lt;&gt;"",AM32=""),AND(AM31="",AM32&lt;&gt;""))</f>
        <v>0</v>
      </c>
      <c r="AN29" s="216">
        <f>OR(AND(AN31&lt;&gt;"",AN32=""),AND(AN31="",AN32&lt;&gt;""))</f>
        <v>0</v>
      </c>
      <c r="AO29" s="216">
        <f>OR(AND(AO31&lt;&gt;"",AO32=""),AND(AO31="",AO32&lt;&gt;""))</f>
        <v>0</v>
      </c>
      <c r="AP29" s="216">
        <f>OR(AND(AP31&lt;&gt;"",AP32=""),AND(AP31="",AP32&lt;&gt;""))</f>
        <v>0</v>
      </c>
      <c r="AQ29" s="216">
        <f>OR(AND(AQ31&lt;&gt;"",AQ32=""),AND(AQ31="",AQ32&lt;&gt;""))</f>
        <v>0</v>
      </c>
      <c r="AR29" s="216">
        <f>OR(AND(AR31&lt;&gt;"",AR32=""),AND(AR31="",AR32&lt;&gt;""))</f>
        <v>0</v>
      </c>
      <c r="AS29" s="216">
        <f>OR(AND(AS31&lt;&gt;"",AS32=""),AND(AS31="",AS32&lt;&gt;""))</f>
        <v>0</v>
      </c>
      <c r="AT29" s="216">
        <f>OR(AND(AT31&lt;&gt;"",AT32=""),AND(AT31="",AT32&lt;&gt;""))</f>
        <v>0</v>
      </c>
      <c r="AU29" s="216">
        <f>OR(AND(AU31&lt;&gt;"",AU32=""),AND(AU31="",AU32&lt;&gt;""))</f>
        <v>0</v>
      </c>
      <c r="AV29" s="216">
        <f>OR(AND(AV31&lt;&gt;"",AV32=""),AND(AV31="",AV32&lt;&gt;""))</f>
        <v>0</v>
      </c>
      <c r="AW29" s="216">
        <f>OR(AND(AW31&lt;&gt;"",AW32=""),AND(AW31="",AW32&lt;&gt;""))</f>
        <v>0</v>
      </c>
      <c r="AX29" s="216">
        <f>OR(AND(AX31&lt;&gt;"",AX32=""),AND(AX31="",AX32&lt;&gt;""))</f>
        <v>0</v>
      </c>
      <c r="AY29" s="216">
        <f>OR(AND(AY31&lt;&gt;"",AY32=""),AND(AY31="",AY32&lt;&gt;""))</f>
        <v>0</v>
      </c>
      <c r="AZ29" s="216">
        <f>OR(AND(AZ31&lt;&gt;"",AZ32=""),AND(AZ31="",AZ32&lt;&gt;""))</f>
        <v>0</v>
      </c>
      <c r="BA29" s="216">
        <f>OR(AND(BA31&lt;&gt;"",BA32=""),AND(BA31="",BA32&lt;&gt;""))</f>
        <v>0</v>
      </c>
      <c r="BB29" s="216">
        <f>OR(AND(BB31&lt;&gt;"",BB32=""),AND(BB31="",BB32&lt;&gt;""))</f>
        <v>0</v>
      </c>
      <c r="BC29" s="974"/>
      <c r="BD29" s="885"/>
      <c r="BE29" s="885"/>
      <c r="BF29" s="1041"/>
      <c r="BG29" s="1041"/>
      <c r="BH29" s="1041"/>
      <c r="BI29" s="678"/>
      <c r="BJ29" s="678"/>
    </row>
    <row customHeight="1" ht="14.625" hidden="1">
      <c r="A30" s="885"/>
      <c r="B30" s="440"/>
      <c r="C30" s="885"/>
      <c r="D30" s="885"/>
      <c r="E30" s="678">
        <v>15</v>
      </c>
      <c r="F30" s="1387" cm="1" t="str">
        <f t="array" ref="F30:F30">OFFSET(E30,-1,1)</f>
        <v>0</v>
      </c>
      <c r="G30" s="885"/>
      <c r="H30" s="885"/>
      <c r="I30" s="885"/>
      <c r="J30" s="885"/>
      <c r="K30" s="911"/>
      <c r="L30" s="915"/>
      <c r="M30" s="885"/>
      <c r="N30" s="885"/>
      <c r="O30" s="885"/>
      <c r="P30" s="885"/>
      <c r="Q30" s="885"/>
      <c r="R30" s="885"/>
      <c r="S30" s="885"/>
      <c r="T30" s="1356">
        <f>AND(Y29&gt;0,F30&gt;0)</f>
        <v>0</v>
      </c>
      <c r="U30" s="885"/>
      <c r="V30" s="885"/>
      <c r="W30" s="885"/>
      <c r="X30" s="684"/>
      <c r="Y30" s="1524"/>
      <c r="Z30" s="885"/>
      <c r="AA30" s="1697"/>
      <c r="AB30" s="1698" t="str">
        <f>"1."&amp;Y29</f>
        <v>1.0</v>
      </c>
      <c r="AC30" s="1699" t="s">
        <v>227</v>
      </c>
      <c r="AD30" s="1700"/>
      <c r="AE30" s="3635"/>
      <c r="AF30" s="1702"/>
      <c r="AG30" s="3635"/>
      <c r="AH30" s="3635"/>
      <c r="AI30" s="3635"/>
      <c r="AJ30" s="3635"/>
      <c r="AK30" s="3635"/>
      <c r="AL30" s="3635"/>
      <c r="AM30" s="3635"/>
      <c r="AN30" s="3635"/>
      <c r="AO30" s="3635"/>
      <c r="AP30" s="3635"/>
      <c r="AQ30" s="3635"/>
      <c r="AR30" s="3635"/>
      <c r="AS30" s="1702"/>
      <c r="AT30" s="1702"/>
      <c r="AU30" s="1702"/>
      <c r="AV30" s="1702"/>
      <c r="AW30" s="1702"/>
      <c r="AX30" s="1702"/>
      <c r="AY30" s="1702"/>
      <c r="AZ30" s="1702"/>
      <c r="BA30" s="1702"/>
      <c r="BB30" s="1703"/>
      <c r="BC30" s="1704"/>
      <c r="BD30" s="885"/>
      <c r="BE30" s="885"/>
      <c r="BF30" s="1041"/>
      <c r="BG30" s="1041"/>
      <c r="BH30" s="1041"/>
      <c r="BI30" s="678"/>
      <c r="BJ30" s="678"/>
    </row>
    <row customHeight="1" ht="14.625" hidden="1">
      <c r="A31" s="885"/>
      <c r="B31" s="440"/>
      <c r="C31" s="885"/>
      <c r="D31" s="885"/>
      <c r="E31" s="678">
        <v>15</v>
      </c>
      <c r="F31" s="50" cm="1" t="str">
        <f t="array" ref="F31:F31">OFFSET(E31,-1,1)</f>
        <v>0</v>
      </c>
      <c r="G31" s="152" t="s">
        <v>332</v>
      </c>
      <c r="H31" s="155" cm="1" t="str">
        <f t="array" ref="H31:H31">AC31</f>
        <v>Затраты</v>
      </c>
      <c r="I31" s="152" t="s">
        <v>1782</v>
      </c>
      <c r="J31" s="885"/>
      <c r="K31" s="911"/>
      <c r="L31" s="885"/>
      <c r="M31" s="885"/>
      <c r="N31" s="885"/>
      <c r="O31" s="885"/>
      <c r="P31" s="885"/>
      <c r="Q31" s="885"/>
      <c r="R31" s="885"/>
      <c r="S31" s="885"/>
      <c r="T31" s="465" cm="1" t="str">
        <f t="array" ref="T31:T31">T30</f>
        <v>false</v>
      </c>
      <c r="U31" s="885"/>
      <c r="V31" s="885"/>
      <c r="W31" s="885"/>
      <c r="X31" s="1524"/>
      <c r="Y31" s="1524"/>
      <c r="Z31" s="1615"/>
      <c r="AA31" s="1616"/>
      <c r="AB31" s="88" t="str">
        <f>AB30&amp;".1"</f>
        <v>1.0.1</v>
      </c>
      <c r="AC31" s="1705" t="s">
        <v>1783</v>
      </c>
      <c r="AD31" s="211" t="s">
        <v>1514</v>
      </c>
      <c r="AE31" s="3640"/>
      <c r="AF31" s="3640"/>
      <c r="AG31" s="3640"/>
      <c r="AH31" s="3640"/>
      <c r="AI31" s="3640"/>
      <c r="AJ31" s="3640"/>
      <c r="AK31" s="3640"/>
      <c r="AL31" s="3640"/>
      <c r="AM31" s="3640"/>
      <c r="AN31" s="3640"/>
      <c r="AO31" s="3640"/>
      <c r="AP31" s="3640"/>
      <c r="AQ31" s="3640"/>
      <c r="AR31" s="3640"/>
      <c r="AS31" s="3640"/>
      <c r="AT31" s="3640"/>
      <c r="AU31" s="3640"/>
      <c r="AV31" s="3640"/>
      <c r="AW31" s="3640"/>
      <c r="AX31" s="3640"/>
      <c r="AY31" s="3640"/>
      <c r="AZ31" s="3640"/>
      <c r="BA31" s="3640"/>
      <c r="BB31" s="3640"/>
      <c r="BC31" s="2070"/>
      <c r="BD31" s="885"/>
      <c r="BE31" s="885"/>
      <c r="BF31" s="1041" t="s">
        <v>1784</v>
      </c>
      <c r="BG31" s="1041" t="s">
        <v>1785</v>
      </c>
      <c r="BH31" s="1041" cm="1" t="str">
        <f t="array" ref="BH31:BH31">AC30</f>
        <v/>
      </c>
      <c r="BI31" s="678"/>
      <c r="BJ31" s="678" t="b">
        <v>1</v>
      </c>
    </row>
    <row customHeight="1" ht="14.625" hidden="1">
      <c r="A32" s="885"/>
      <c r="B32" s="440"/>
      <c r="C32" s="885"/>
      <c r="D32" s="885"/>
      <c r="E32" s="678">
        <v>15</v>
      </c>
      <c r="F32" s="50" cm="1" t="str">
        <f t="array" ref="F32:F32">OFFSET(E32,-1,1)</f>
        <v>0</v>
      </c>
      <c r="G32" s="152" t="s">
        <v>1175</v>
      </c>
      <c r="H32" s="155" cm="1" t="str">
        <f t="array" ref="H32:H32">H31</f>
        <v>Затраты</v>
      </c>
      <c r="I32" s="152" t="s">
        <v>1782</v>
      </c>
      <c r="J32" s="885"/>
      <c r="K32" s="911"/>
      <c r="L32" s="885"/>
      <c r="M32" s="885"/>
      <c r="N32" s="885"/>
      <c r="O32" s="885"/>
      <c r="P32" s="885"/>
      <c r="Q32" s="885"/>
      <c r="R32" s="885"/>
      <c r="S32" s="885"/>
      <c r="T32" s="465" cm="1" t="str">
        <f t="array" ref="T32:T32">T31</f>
        <v>false</v>
      </c>
      <c r="U32" s="885"/>
      <c r="V32" s="885"/>
      <c r="W32" s="885"/>
      <c r="X32" s="1524"/>
      <c r="Y32" s="1524"/>
      <c r="Z32" s="1615"/>
      <c r="AA32" s="1616"/>
      <c r="AB32" s="88" t="str">
        <f>AB31&amp;".1"</f>
        <v>1.0.1.1</v>
      </c>
      <c r="AC32" s="221" t="s">
        <v>1786</v>
      </c>
      <c r="AD32" s="88" t="s">
        <v>1247</v>
      </c>
      <c r="AE32" s="3536"/>
      <c r="AF32" s="3536"/>
      <c r="AG32" s="3536"/>
      <c r="AH32" s="3536"/>
      <c r="AI32" s="3536"/>
      <c r="AJ32" s="3536"/>
      <c r="AK32" s="3536"/>
      <c r="AL32" s="3536"/>
      <c r="AM32" s="3536"/>
      <c r="AN32" s="3536"/>
      <c r="AO32" s="3536"/>
      <c r="AP32" s="3536"/>
      <c r="AQ32" s="3536"/>
      <c r="AR32" s="3536"/>
      <c r="AS32" s="3536"/>
      <c r="AT32" s="3536"/>
      <c r="AU32" s="3536"/>
      <c r="AV32" s="3536"/>
      <c r="AW32" s="3536"/>
      <c r="AX32" s="3536"/>
      <c r="AY32" s="3536"/>
      <c r="AZ32" s="3536"/>
      <c r="BA32" s="3536"/>
      <c r="BB32" s="3536"/>
      <c r="BC32" s="2070"/>
      <c r="BD32" s="885"/>
      <c r="BE32" s="885"/>
      <c r="BF32" s="1041" t="s">
        <v>1787</v>
      </c>
      <c r="BG32" s="1041" t="s">
        <v>1785</v>
      </c>
      <c r="BH32" s="1041" cm="1" t="str">
        <f t="array" ref="BH32:BH32">BH31</f>
        <v/>
      </c>
      <c r="BI32" s="678"/>
      <c r="BJ32" s="678"/>
    </row>
    <row customHeight="1" ht="14.625" hidden="1">
      <c r="A33" s="885"/>
      <c r="B33" s="440"/>
      <c r="C33" s="885"/>
      <c r="D33" s="885"/>
      <c r="E33" s="678">
        <v>15</v>
      </c>
      <c r="F33" s="1387" cm="1" t="str">
        <f t="array" ref="F33:F33">OFFSET(E33,-1,1)</f>
        <v>0</v>
      </c>
      <c r="G33" s="885"/>
      <c r="H33" s="155"/>
      <c r="I33" s="885"/>
      <c r="J33" s="885"/>
      <c r="K33" s="911"/>
      <c r="L33" s="885"/>
      <c r="M33" s="885"/>
      <c r="N33" s="885"/>
      <c r="O33" s="885"/>
      <c r="P33" s="885"/>
      <c r="Q33" s="885"/>
      <c r="R33" s="885"/>
      <c r="S33" s="885"/>
      <c r="T33" s="1356" cm="1" t="str">
        <f t="array" ref="T33:T33">T32</f>
        <v>false</v>
      </c>
      <c r="U33" s="885"/>
      <c r="V33" s="885"/>
      <c r="W33" s="885"/>
      <c r="X33" s="684"/>
      <c r="Y33" s="1524"/>
      <c r="Z33" s="885"/>
      <c r="AA33" s="1697"/>
      <c r="AB33" s="1706" t="str">
        <f>AB31&amp;".2"</f>
        <v>1.0.1.2</v>
      </c>
      <c r="AC33" s="1707" t="s">
        <v>1788</v>
      </c>
      <c r="AD33" s="1706" t="s">
        <v>1789</v>
      </c>
      <c r="AE33" s="3644"/>
      <c r="AF33" s="3644"/>
      <c r="AG33" s="3644"/>
      <c r="AH33" s="3644"/>
      <c r="AI33" s="3644"/>
      <c r="AJ33" s="3644"/>
      <c r="AK33" s="3644"/>
      <c r="AL33" s="3644"/>
      <c r="AM33" s="3644"/>
      <c r="AN33" s="3644"/>
      <c r="AO33" s="3644"/>
      <c r="AP33" s="3644"/>
      <c r="AQ33" s="3644"/>
      <c r="AR33" s="3644"/>
      <c r="AS33" s="3644"/>
      <c r="AT33" s="3644"/>
      <c r="AU33" s="3644"/>
      <c r="AV33" s="3644"/>
      <c r="AW33" s="3644"/>
      <c r="AX33" s="3644"/>
      <c r="AY33" s="3644"/>
      <c r="AZ33" s="3644"/>
      <c r="BA33" s="3644"/>
      <c r="BB33" s="3644"/>
      <c r="BC33" s="3645"/>
      <c r="BD33" s="885"/>
      <c r="BE33" s="885"/>
      <c r="BF33" s="1041" t="s">
        <v>1790</v>
      </c>
      <c r="BG33" s="1041" t="s">
        <v>1785</v>
      </c>
      <c r="BH33" s="1710" cm="1" t="str">
        <f t="array" ref="BH33:BH33">BH32</f>
        <v/>
      </c>
      <c r="BI33" s="678"/>
      <c r="BJ33" s="678"/>
    </row>
    <row customHeight="1" ht="14.625" hidden="1">
      <c r="A34" s="885"/>
      <c r="B34" s="440"/>
      <c r="C34" s="885"/>
      <c r="D34" s="885"/>
      <c r="E34" s="678">
        <v>15</v>
      </c>
      <c r="F34" s="50" cm="1" t="str">
        <f t="array" ref="F34:F34">OFFSET(E34,-1,1)</f>
        <v>0</v>
      </c>
      <c r="G34" s="885"/>
      <c r="H34" s="152" t="str">
        <f>"!=='не определено' &amp;&amp; row.l1 !== null"</f>
        <v>!=='не определено' &amp;&amp; row.l1 !== null</v>
      </c>
      <c r="I34" s="885"/>
      <c r="J34" s="885"/>
      <c r="K34" s="911"/>
      <c r="L34" s="885"/>
      <c r="M34" s="885"/>
      <c r="N34" s="885"/>
      <c r="O34" s="885"/>
      <c r="P34" s="885"/>
      <c r="Q34" s="885"/>
      <c r="R34" s="885"/>
      <c r="S34" s="885"/>
      <c r="T34" s="465">
        <f>F34&gt;0</f>
        <v>0</v>
      </c>
      <c r="U34" s="885"/>
      <c r="V34" s="885"/>
      <c r="W34" s="685" t="s">
        <v>1791</v>
      </c>
      <c r="X34" s="1524"/>
      <c r="Y34" s="885"/>
      <c r="Z34" s="1615"/>
      <c r="AA34" s="885"/>
      <c r="AB34" s="681"/>
      <c r="AC34" s="232" t="s">
        <v>1792</v>
      </c>
      <c r="AD34" s="232"/>
      <c r="AE34" s="232"/>
      <c r="AF34" s="232"/>
      <c r="AG34" s="232"/>
      <c r="AH34" s="232"/>
      <c r="AI34" s="232"/>
      <c r="AJ34" s="232"/>
      <c r="AK34" s="232"/>
      <c r="AL34" s="232"/>
      <c r="AM34" s="232"/>
      <c r="AN34" s="232"/>
      <c r="AO34" s="232"/>
      <c r="AP34" s="232"/>
      <c r="AQ34" s="232"/>
      <c r="AR34" s="232"/>
      <c r="AS34" s="232"/>
      <c r="AT34" s="232"/>
      <c r="AU34" s="232"/>
      <c r="AV34" s="232"/>
      <c r="AW34" s="232"/>
      <c r="AX34" s="232"/>
      <c r="AY34" s="232"/>
      <c r="AZ34" s="232"/>
      <c r="BA34" s="232"/>
      <c r="BB34" s="232"/>
      <c r="BC34" s="233"/>
      <c r="BD34" s="885"/>
      <c r="BE34" s="885"/>
      <c r="BF34" s="1041"/>
      <c r="BG34" s="1041"/>
      <c r="BH34" s="1041"/>
      <c r="BI34" s="678" t="s">
        <v>1785</v>
      </c>
      <c r="BJ34" s="678"/>
    </row>
    <row customHeight="1" ht="21.9375" hidden="1">
      <c r="A35" s="885"/>
      <c r="B35" s="440"/>
      <c r="C35" s="885"/>
      <c r="D35" s="885"/>
      <c r="E35" s="678">
        <v>22.5</v>
      </c>
      <c r="F35" s="50" cm="1" t="str">
        <f t="array" ref="F35:F35">OFFSET(E35,-1,1)</f>
        <v>0</v>
      </c>
      <c r="G35" s="885"/>
      <c r="H35" s="885"/>
      <c r="I35" s="885"/>
      <c r="J35" s="885"/>
      <c r="K35" s="911" t="str">
        <f>F28&amp;"2komm"</f>
        <v>02komm</v>
      </c>
      <c r="L35" s="915" cm="1" t="str">
        <f t="array" ref="L35:L35">BC35</f>
        <v>0</v>
      </c>
      <c r="M35" s="885"/>
      <c r="N35" s="885"/>
      <c r="O35" s="885"/>
      <c r="P35" s="885"/>
      <c r="Q35" s="885"/>
      <c r="R35" s="885"/>
      <c r="S35" s="885"/>
      <c r="T35" s="465" cm="1" t="str">
        <f t="array" ref="T35:T35">T34</f>
        <v>false</v>
      </c>
      <c r="U35" s="885"/>
      <c r="V35" s="885"/>
      <c r="W35" s="885"/>
      <c r="X35" s="1524"/>
      <c r="Y35" s="684"/>
      <c r="Z35" s="1615"/>
      <c r="AA35" s="885"/>
      <c r="AB35" s="211">
        <v>2</v>
      </c>
      <c r="AC35" s="212" t="s">
        <v>1793</v>
      </c>
      <c r="AD35" s="211" t="s">
        <v>1514</v>
      </c>
      <c r="AE35" s="213">
        <f>SUMIF(AD38:AD41,AD35,AE38:AE41)</f>
        <v>0</v>
      </c>
      <c r="AF35" s="213">
        <f>SUMIF(AD38:AD41,AD35,AF38:AF41)</f>
        <v>0</v>
      </c>
      <c r="AG35" s="213">
        <f>SUMIF(AD38:AD41,AD35,AG38:AG41)</f>
        <v>0</v>
      </c>
      <c r="AH35" s="213">
        <f>SUMIF(AD38:AD41,AD35,AH38:AH41)</f>
        <v>0</v>
      </c>
      <c r="AI35" s="213">
        <f>SUMIF(AD38:AD41,AD35,AI38:AI41)</f>
        <v>0</v>
      </c>
      <c r="AJ35" s="3626">
        <f>SUMIF(AD38:AD41,AD35,AJ38:AJ41)</f>
        <v>0</v>
      </c>
      <c r="AK35" s="3626">
        <f>SUMIF(AD38:AD41,AD35,AK38:AK41)</f>
        <v>0</v>
      </c>
      <c r="AL35" s="3626">
        <f>SUMIF(AD38:AD41,AD35,AL38:AL41)</f>
        <v>0</v>
      </c>
      <c r="AM35" s="3626">
        <f>SUMIF(AD38:AD41,AD35,AM38:AM41)</f>
        <v>0</v>
      </c>
      <c r="AN35" s="3626">
        <f>SUMIF(AD38:AD41,AD35,AN38:AN41)</f>
        <v>0</v>
      </c>
      <c r="AO35" s="3626">
        <f>SUMIF(AD38:AD41,AD35,AO38:AO41)</f>
        <v>0</v>
      </c>
      <c r="AP35" s="3626">
        <f>SUMIF(AD38:AD41,AD35,AP38:AP41)</f>
        <v>0</v>
      </c>
      <c r="AQ35" s="3626">
        <f>SUMIF(AD38:AD41,AD35,AQ38:AQ41)</f>
        <v>0</v>
      </c>
      <c r="AR35" s="3626">
        <f>SUMIF(AD38:AD41,AD35,AR38:AR41)</f>
        <v>0</v>
      </c>
      <c r="AS35" s="213">
        <f>SUMIF(AD38:AD41,AD35,AS38:AS41)</f>
        <v>0</v>
      </c>
      <c r="AT35" s="3626">
        <f>SUMIF(AD38:AD41,AD35,AT38:AT41)</f>
        <v>0</v>
      </c>
      <c r="AU35" s="3626">
        <f>SUMIF(AD38:AD41,AD35,AU38:AU41)</f>
        <v>0</v>
      </c>
      <c r="AV35" s="3626">
        <f>SUMIF(AD38:AD41,AD35,AV38:AV41)</f>
        <v>0</v>
      </c>
      <c r="AW35" s="3626">
        <f>SUMIF(AD38:AD41,AD35,AW38:AW41)</f>
        <v>0</v>
      </c>
      <c r="AX35" s="3626">
        <f>SUMIF(AD38:AD41,AD35,AX38:AX41)</f>
        <v>0</v>
      </c>
      <c r="AY35" s="3626">
        <f>SUMIF(AD38:AD41,AD35,AY38:AY41)</f>
        <v>0</v>
      </c>
      <c r="AZ35" s="3626">
        <f>SUMIF(AD38:AD41,AD35,AZ38:AZ41)</f>
        <v>0</v>
      </c>
      <c r="BA35" s="3626">
        <f>SUMIF(AD38:AD41,AD35,BA38:BA41)</f>
        <v>0</v>
      </c>
      <c r="BB35" s="3626">
        <f>SUMIF(AD38:AD41,AD35,BB38:BB41)</f>
        <v>0</v>
      </c>
      <c r="BC35" s="2070"/>
      <c r="BD35" s="885"/>
      <c r="BE35" s="885"/>
      <c r="BF35" s="1041" t="s">
        <v>1794</v>
      </c>
      <c r="BG35" s="1041"/>
      <c r="BH35" s="1041"/>
      <c r="BI35" s="678"/>
      <c r="BJ35" s="678"/>
    </row>
    <row customHeight="1" ht="15" hidden="1">
      <c r="A36" s="885"/>
      <c r="B36" s="440"/>
      <c r="C36" s="885"/>
      <c r="D36" s="885"/>
      <c r="E36" s="678">
        <v>0</v>
      </c>
      <c r="F36" s="50" cm="1" t="str">
        <f t="array" ref="F36:F36">OFFSET(E36,-1,1)</f>
        <v>0</v>
      </c>
      <c r="G36" s="152" t="s">
        <v>333</v>
      </c>
      <c r="H36" s="885"/>
      <c r="I36" s="885"/>
      <c r="J36" s="885"/>
      <c r="K36" s="911"/>
      <c r="L36" s="915"/>
      <c r="M36" s="885"/>
      <c r="N36" s="885"/>
      <c r="O36" s="885"/>
      <c r="P36" s="885"/>
      <c r="Q36" s="885"/>
      <c r="R36" s="885"/>
      <c r="S36" s="885"/>
      <c r="T36" s="465" t="b">
        <v>0</v>
      </c>
      <c r="U36" s="885"/>
      <c r="V36" s="885"/>
      <c r="W36" s="152" t="s">
        <v>174</v>
      </c>
      <c r="X36" s="1524"/>
      <c r="Y36" s="1524">
        <v>0</v>
      </c>
      <c r="Z36" s="1615"/>
      <c r="AA36" s="1617" t="s">
        <v>175</v>
      </c>
      <c r="AB36" s="211"/>
      <c r="AC36" s="212"/>
      <c r="AD36" s="211"/>
      <c r="AE36" s="1368">
        <f>OR(AND(AE38&lt;&gt;"",AE39=""),AND(AE38="",AE39&lt;&gt;""))</f>
        <v>0</v>
      </c>
      <c r="AF36" s="1368">
        <f>OR(AND(AF38&lt;&gt;"",AF39=""),AND(AF38="",AF39&lt;&gt;""))</f>
        <v>0</v>
      </c>
      <c r="AG36" s="1368">
        <f>OR(AND(AG38&lt;&gt;"",AG39=""),AND(AG38="",AG39&lt;&gt;""))</f>
        <v>0</v>
      </c>
      <c r="AH36" s="1368">
        <f>OR(AND(AH38&lt;&gt;"",AH39=""),AND(AH38="",AH39&lt;&gt;""))</f>
        <v>0</v>
      </c>
      <c r="AI36" s="1368">
        <f>OR(AND(AI38&lt;&gt;"",AI39=""),AND(AI38="",AI39&lt;&gt;""))</f>
        <v>0</v>
      </c>
      <c r="AJ36" s="1368">
        <f>OR(AND(AJ38&lt;&gt;"",AJ39=""),AND(AJ38="",AJ39&lt;&gt;""))</f>
        <v>0</v>
      </c>
      <c r="AK36" s="1368">
        <f>OR(AND(AK38&lt;&gt;"",AK39=""),AND(AK38="",AK39&lt;&gt;""))</f>
        <v>0</v>
      </c>
      <c r="AL36" s="1368">
        <f>OR(AND(AL38&lt;&gt;"",AL39=""),AND(AL38="",AL39&lt;&gt;""))</f>
        <v>0</v>
      </c>
      <c r="AM36" s="1368">
        <f>OR(AND(AM38&lt;&gt;"",AM39=""),AND(AM38="",AM39&lt;&gt;""))</f>
        <v>0</v>
      </c>
      <c r="AN36" s="1368">
        <f>OR(AND(AN38&lt;&gt;"",AN39=""),AND(AN38="",AN39&lt;&gt;""))</f>
        <v>0</v>
      </c>
      <c r="AO36" s="1368">
        <f>OR(AND(AO38&lt;&gt;"",AO39=""),AND(AO38="",AO39&lt;&gt;""))</f>
        <v>0</v>
      </c>
      <c r="AP36" s="1368">
        <f>OR(AND(AP38&lt;&gt;"",AP39=""),AND(AP38="",AP39&lt;&gt;""))</f>
        <v>0</v>
      </c>
      <c r="AQ36" s="1368">
        <f>OR(AND(AQ38&lt;&gt;"",AQ39=""),AND(AQ38="",AQ39&lt;&gt;""))</f>
        <v>0</v>
      </c>
      <c r="AR36" s="1368">
        <f>OR(AND(AR38&lt;&gt;"",AR39=""),AND(AR38="",AR39&lt;&gt;""))</f>
        <v>0</v>
      </c>
      <c r="AS36" s="1368">
        <f>OR(AND(AS38&lt;&gt;"",AS39=""),AND(AS38="",AS39&lt;&gt;""))</f>
        <v>0</v>
      </c>
      <c r="AT36" s="1368">
        <f>OR(AND(AT38&lt;&gt;"",AT39=""),AND(AT38="",AT39&lt;&gt;""))</f>
        <v>0</v>
      </c>
      <c r="AU36" s="1368">
        <f>OR(AND(AU38&lt;&gt;"",AU39=""),AND(AU38="",AU39&lt;&gt;""))</f>
        <v>0</v>
      </c>
      <c r="AV36" s="1368">
        <f>OR(AND(AV38&lt;&gt;"",AV39=""),AND(AV38="",AV39&lt;&gt;""))</f>
        <v>0</v>
      </c>
      <c r="AW36" s="1368">
        <f>OR(AND(AW38&lt;&gt;"",AW39=""),AND(AW38="",AW39&lt;&gt;""))</f>
        <v>0</v>
      </c>
      <c r="AX36" s="1368">
        <f>OR(AND(AX38&lt;&gt;"",AX39=""),AND(AX38="",AX39&lt;&gt;""))</f>
        <v>0</v>
      </c>
      <c r="AY36" s="1368">
        <f>OR(AND(AY38&lt;&gt;"",AY39=""),AND(AY38="",AY39&lt;&gt;""))</f>
        <v>0</v>
      </c>
      <c r="AZ36" s="1368">
        <f>OR(AND(AZ38&lt;&gt;"",AZ39=""),AND(AZ38="",AZ39&lt;&gt;""))</f>
        <v>0</v>
      </c>
      <c r="BA36" s="1368">
        <f>OR(AND(BA38&lt;&gt;"",BA39=""),AND(BA38="",BA39&lt;&gt;""))</f>
        <v>0</v>
      </c>
      <c r="BB36" s="1368">
        <f>OR(AND(BB38&lt;&gt;"",BB39=""),AND(BB38="",BB39&lt;&gt;""))</f>
        <v>0</v>
      </c>
      <c r="BC36" s="974"/>
      <c r="BD36" s="885"/>
      <c r="BE36" s="885"/>
      <c r="BF36" s="1041"/>
      <c r="BG36" s="1041"/>
      <c r="BH36" s="1041"/>
      <c r="BI36" s="678"/>
      <c r="BJ36" s="678"/>
    </row>
    <row customHeight="1" ht="14.625" hidden="1">
      <c r="A37" s="885"/>
      <c r="B37" s="440"/>
      <c r="C37" s="885"/>
      <c r="D37" s="885"/>
      <c r="E37" s="678">
        <v>15</v>
      </c>
      <c r="F37" s="1387" cm="1" t="str">
        <f t="array" ref="F37:F37">OFFSET(E37,-1,1)</f>
        <v>0</v>
      </c>
      <c r="G37" s="885"/>
      <c r="H37" s="885"/>
      <c r="I37" s="885"/>
      <c r="J37" s="885"/>
      <c r="K37" s="911"/>
      <c r="L37" s="915"/>
      <c r="M37" s="885"/>
      <c r="N37" s="885"/>
      <c r="O37" s="885"/>
      <c r="P37" s="885"/>
      <c r="Q37" s="885"/>
      <c r="R37" s="885"/>
      <c r="S37" s="885"/>
      <c r="T37" s="1356">
        <f>AND(Y36&gt;0,F37&gt;0)</f>
        <v>0</v>
      </c>
      <c r="U37" s="885"/>
      <c r="V37" s="885"/>
      <c r="W37" s="885"/>
      <c r="X37" s="684"/>
      <c r="Y37" s="1524"/>
      <c r="Z37" s="885"/>
      <c r="AA37" s="1697"/>
      <c r="AB37" s="1698" t="str">
        <f>"2."&amp;Y36</f>
        <v>2.0</v>
      </c>
      <c r="AC37" s="1699" t="s">
        <v>227</v>
      </c>
      <c r="AD37" s="1700"/>
      <c r="AE37" s="3635"/>
      <c r="AF37" s="1702"/>
      <c r="AG37" s="3635"/>
      <c r="AH37" s="3635"/>
      <c r="AI37" s="3635"/>
      <c r="AJ37" s="3635"/>
      <c r="AK37" s="3635"/>
      <c r="AL37" s="3635"/>
      <c r="AM37" s="3635"/>
      <c r="AN37" s="3635"/>
      <c r="AO37" s="3635"/>
      <c r="AP37" s="3635"/>
      <c r="AQ37" s="3635"/>
      <c r="AR37" s="3635"/>
      <c r="AS37" s="1702"/>
      <c r="AT37" s="1702"/>
      <c r="AU37" s="1702"/>
      <c r="AV37" s="1702"/>
      <c r="AW37" s="1702"/>
      <c r="AX37" s="1702"/>
      <c r="AY37" s="1702"/>
      <c r="AZ37" s="1702"/>
      <c r="BA37" s="1702"/>
      <c r="BB37" s="1703"/>
      <c r="BC37" s="1704"/>
      <c r="BD37" s="885"/>
      <c r="BE37" s="885"/>
      <c r="BF37" s="1041"/>
      <c r="BG37" s="1041"/>
      <c r="BH37" s="1041"/>
      <c r="BI37" s="678"/>
      <c r="BJ37" s="678"/>
    </row>
    <row customHeight="1" ht="14.625" hidden="1">
      <c r="A38" s="885"/>
      <c r="B38" s="440"/>
      <c r="C38" s="885"/>
      <c r="D38" s="885"/>
      <c r="E38" s="678">
        <v>15</v>
      </c>
      <c r="F38" s="50" cm="1" t="str">
        <f t="array" ref="F38:F38">OFFSET(E38,-1,1)</f>
        <v>0</v>
      </c>
      <c r="G38" s="152" t="s">
        <v>333</v>
      </c>
      <c r="H38" s="155" cm="1" t="str">
        <f t="array" ref="H38:H38">AC38</f>
        <v>Затраты</v>
      </c>
      <c r="I38" s="152" t="s">
        <v>1795</v>
      </c>
      <c r="J38" s="885"/>
      <c r="K38" s="911"/>
      <c r="L38" s="885"/>
      <c r="M38" s="885"/>
      <c r="N38" s="885"/>
      <c r="O38" s="885"/>
      <c r="P38" s="885"/>
      <c r="Q38" s="885"/>
      <c r="R38" s="885"/>
      <c r="S38" s="885"/>
      <c r="T38" s="465" cm="1" t="str">
        <f t="array" ref="T38:T38">T37</f>
        <v>false</v>
      </c>
      <c r="U38" s="885"/>
      <c r="V38" s="885"/>
      <c r="W38" s="885"/>
      <c r="X38" s="1524"/>
      <c r="Y38" s="1524"/>
      <c r="Z38" s="1615"/>
      <c r="AA38" s="1617"/>
      <c r="AB38" s="88" t="str">
        <f>AB37&amp;".1"</f>
        <v>2.0.1</v>
      </c>
      <c r="AC38" s="1705" t="s">
        <v>1783</v>
      </c>
      <c r="AD38" s="211" t="s">
        <v>1514</v>
      </c>
      <c r="AE38" s="3536"/>
      <c r="AF38" s="3536"/>
      <c r="AG38" s="3536"/>
      <c r="AH38" s="3536"/>
      <c r="AI38" s="3536"/>
      <c r="AJ38" s="3536"/>
      <c r="AK38" s="3536"/>
      <c r="AL38" s="3536"/>
      <c r="AM38" s="3536"/>
      <c r="AN38" s="3536"/>
      <c r="AO38" s="3536"/>
      <c r="AP38" s="3536"/>
      <c r="AQ38" s="3536"/>
      <c r="AR38" s="3536"/>
      <c r="AS38" s="3536"/>
      <c r="AT38" s="3536"/>
      <c r="AU38" s="3536"/>
      <c r="AV38" s="3536"/>
      <c r="AW38" s="3536"/>
      <c r="AX38" s="3536"/>
      <c r="AY38" s="3536"/>
      <c r="AZ38" s="3536"/>
      <c r="BA38" s="3536"/>
      <c r="BB38" s="3536"/>
      <c r="BC38" s="2070"/>
      <c r="BD38" s="885"/>
      <c r="BE38" s="885"/>
      <c r="BF38" s="1041" t="s">
        <v>1784</v>
      </c>
      <c r="BG38" s="1041" t="s">
        <v>1796</v>
      </c>
      <c r="BH38" s="1041" cm="1" t="str">
        <f t="array" ref="BH38:BH38">AC37</f>
        <v/>
      </c>
      <c r="BI38" s="678"/>
      <c r="BJ38" s="678" t="b">
        <v>1</v>
      </c>
    </row>
    <row customHeight="1" ht="14.625" hidden="1">
      <c r="A39" s="885"/>
      <c r="B39" s="440"/>
      <c r="C39" s="885"/>
      <c r="D39" s="885"/>
      <c r="E39" s="678">
        <v>15</v>
      </c>
      <c r="F39" s="50" cm="1" t="str">
        <f t="array" ref="F39:F39">OFFSET(E39,-1,1)</f>
        <v>0</v>
      </c>
      <c r="G39" s="152" t="s">
        <v>1193</v>
      </c>
      <c r="H39" s="155" cm="1" t="str">
        <f t="array" ref="H39:H39">H38</f>
        <v>Затраты</v>
      </c>
      <c r="I39" s="152" t="s">
        <v>1795</v>
      </c>
      <c r="J39" s="885"/>
      <c r="K39" s="911"/>
      <c r="L39" s="885"/>
      <c r="M39" s="885"/>
      <c r="N39" s="885"/>
      <c r="O39" s="885"/>
      <c r="P39" s="885"/>
      <c r="Q39" s="885"/>
      <c r="R39" s="885"/>
      <c r="S39" s="885"/>
      <c r="T39" s="465" cm="1" t="str">
        <f t="array" ref="T39:T39">T38</f>
        <v>false</v>
      </c>
      <c r="U39" s="885"/>
      <c r="V39" s="885"/>
      <c r="W39" s="885"/>
      <c r="X39" s="1524"/>
      <c r="Y39" s="1524"/>
      <c r="Z39" s="1615"/>
      <c r="AA39" s="1617"/>
      <c r="AB39" s="88" t="str">
        <f>AB38&amp;".1"</f>
        <v>2.0.1.1</v>
      </c>
      <c r="AC39" s="221" t="s">
        <v>1797</v>
      </c>
      <c r="AD39" s="88" t="s">
        <v>1247</v>
      </c>
      <c r="AE39" s="3536"/>
      <c r="AF39" s="3536"/>
      <c r="AG39" s="3536"/>
      <c r="AH39" s="3536"/>
      <c r="AI39" s="3536"/>
      <c r="AJ39" s="3536"/>
      <c r="AK39" s="3536"/>
      <c r="AL39" s="3536"/>
      <c r="AM39" s="3536"/>
      <c r="AN39" s="3536"/>
      <c r="AO39" s="3536"/>
      <c r="AP39" s="3536"/>
      <c r="AQ39" s="3536"/>
      <c r="AR39" s="3536"/>
      <c r="AS39" s="3536"/>
      <c r="AT39" s="3536"/>
      <c r="AU39" s="3536"/>
      <c r="AV39" s="3536"/>
      <c r="AW39" s="3536"/>
      <c r="AX39" s="3536"/>
      <c r="AY39" s="3536"/>
      <c r="AZ39" s="3536"/>
      <c r="BA39" s="3536"/>
      <c r="BB39" s="3536"/>
      <c r="BC39" s="2070"/>
      <c r="BD39" s="885"/>
      <c r="BE39" s="885"/>
      <c r="BF39" s="1041" t="s">
        <v>1787</v>
      </c>
      <c r="BG39" s="1041" t="s">
        <v>1796</v>
      </c>
      <c r="BH39" s="1041" cm="1" t="str">
        <f t="array" ref="BH39:BH39">BH38</f>
        <v/>
      </c>
      <c r="BI39" s="678"/>
      <c r="BJ39" s="678"/>
    </row>
    <row customHeight="1" ht="14.625" hidden="1">
      <c r="A40" s="885"/>
      <c r="B40" s="440"/>
      <c r="C40" s="885"/>
      <c r="D40" s="885"/>
      <c r="E40" s="678">
        <v>15</v>
      </c>
      <c r="F40" s="1387" cm="1" t="str">
        <f t="array" ref="F40:F40">OFFSET(E40,-1,1)</f>
        <v>0</v>
      </c>
      <c r="G40" s="885"/>
      <c r="H40" s="155"/>
      <c r="I40" s="885"/>
      <c r="J40" s="885"/>
      <c r="K40" s="911"/>
      <c r="L40" s="885"/>
      <c r="M40" s="885"/>
      <c r="N40" s="885"/>
      <c r="O40" s="885"/>
      <c r="P40" s="885"/>
      <c r="Q40" s="885"/>
      <c r="R40" s="885"/>
      <c r="S40" s="885"/>
      <c r="T40" s="1356" cm="1" t="str">
        <f t="array" ref="T40:T40">T39</f>
        <v>false</v>
      </c>
      <c r="U40" s="885"/>
      <c r="V40" s="885"/>
      <c r="W40" s="885"/>
      <c r="X40" s="684"/>
      <c r="Y40" s="1524"/>
      <c r="Z40" s="885"/>
      <c r="AA40" s="1697"/>
      <c r="AB40" s="1706" t="str">
        <f>AB38&amp;".2"</f>
        <v>2.0.1.2</v>
      </c>
      <c r="AC40" s="1707" t="s">
        <v>1798</v>
      </c>
      <c r="AD40" s="1706" t="s">
        <v>1789</v>
      </c>
      <c r="AE40" s="3644"/>
      <c r="AF40" s="3644"/>
      <c r="AG40" s="3644"/>
      <c r="AH40" s="3644"/>
      <c r="AI40" s="3644"/>
      <c r="AJ40" s="3644"/>
      <c r="AK40" s="3644"/>
      <c r="AL40" s="3644"/>
      <c r="AM40" s="3644"/>
      <c r="AN40" s="3644"/>
      <c r="AO40" s="3644"/>
      <c r="AP40" s="3644"/>
      <c r="AQ40" s="3644"/>
      <c r="AR40" s="3644"/>
      <c r="AS40" s="3644"/>
      <c r="AT40" s="3644"/>
      <c r="AU40" s="3644"/>
      <c r="AV40" s="3644"/>
      <c r="AW40" s="3644"/>
      <c r="AX40" s="3644"/>
      <c r="AY40" s="3644"/>
      <c r="AZ40" s="3644"/>
      <c r="BA40" s="3644"/>
      <c r="BB40" s="3644"/>
      <c r="BC40" s="3645"/>
      <c r="BD40" s="885"/>
      <c r="BE40" s="885"/>
      <c r="BF40" s="1041" t="s">
        <v>1790</v>
      </c>
      <c r="BG40" s="1041" t="s">
        <v>1796</v>
      </c>
      <c r="BH40" s="1710" cm="1" t="str">
        <f t="array" ref="BH40:BH40">BH39</f>
        <v/>
      </c>
      <c r="BI40" s="678"/>
      <c r="BJ40" s="678"/>
    </row>
    <row customHeight="1" ht="14.625" hidden="1">
      <c r="A41" s="885"/>
      <c r="B41" s="440"/>
      <c r="C41" s="885"/>
      <c r="D41" s="885"/>
      <c r="E41" s="678">
        <v>15</v>
      </c>
      <c r="F41" s="50" cm="1" t="str">
        <f t="array" ref="F41:F41">OFFSET(E41,-1,1)</f>
        <v>0</v>
      </c>
      <c r="G41" s="885"/>
      <c r="H41" s="152" t="str">
        <f>"!=='не определено' &amp;&amp; row.l2 !== null"</f>
        <v>!=='не определено' &amp;&amp; row.l2 !== null</v>
      </c>
      <c r="I41" s="885"/>
      <c r="J41" s="885"/>
      <c r="K41" s="911"/>
      <c r="L41" s="885"/>
      <c r="M41" s="885"/>
      <c r="N41" s="885"/>
      <c r="O41" s="885"/>
      <c r="P41" s="885"/>
      <c r="Q41" s="885"/>
      <c r="R41" s="885"/>
      <c r="S41" s="885"/>
      <c r="T41" s="465">
        <f>F41&gt;0</f>
        <v>0</v>
      </c>
      <c r="U41" s="885"/>
      <c r="V41" s="885"/>
      <c r="W41" s="685" t="s">
        <v>1791</v>
      </c>
      <c r="X41" s="1524"/>
      <c r="Y41" s="683"/>
      <c r="Z41" s="1615"/>
      <c r="AA41" s="885"/>
      <c r="AB41" s="681"/>
      <c r="AC41" s="232" t="s">
        <v>1792</v>
      </c>
      <c r="AD41" s="232"/>
      <c r="AE41" s="232"/>
      <c r="AF41" s="232"/>
      <c r="AG41" s="232"/>
      <c r="AH41" s="232"/>
      <c r="AI41" s="232"/>
      <c r="AJ41" s="232"/>
      <c r="AK41" s="232"/>
      <c r="AL41" s="232"/>
      <c r="AM41" s="232"/>
      <c r="AN41" s="232"/>
      <c r="AO41" s="232"/>
      <c r="AP41" s="232"/>
      <c r="AQ41" s="232"/>
      <c r="AR41" s="232"/>
      <c r="AS41" s="232"/>
      <c r="AT41" s="232"/>
      <c r="AU41" s="232"/>
      <c r="AV41" s="232"/>
      <c r="AW41" s="232"/>
      <c r="AX41" s="232"/>
      <c r="AY41" s="232"/>
      <c r="AZ41" s="232"/>
      <c r="BA41" s="232"/>
      <c r="BB41" s="232"/>
      <c r="BC41" s="233"/>
      <c r="BD41" s="885"/>
      <c r="BE41" s="885"/>
      <c r="BF41" s="1041"/>
      <c r="BG41" s="1041"/>
      <c r="BH41" s="1041"/>
      <c r="BI41" s="678" t="s">
        <v>1796</v>
      </c>
      <c r="BJ41" s="678"/>
    </row>
    <row customHeight="1" ht="22.425" hidden="1">
      <c r="A42" s="885"/>
      <c r="B42" s="440"/>
      <c r="C42" s="885"/>
      <c r="D42" s="885"/>
      <c r="E42" s="678">
        <v>23</v>
      </c>
      <c r="F42" s="50" cm="1" t="str">
        <f t="array" ref="F42:F42">OFFSET(E42,-1,1)</f>
        <v>0</v>
      </c>
      <c r="G42" s="885"/>
      <c r="H42" s="885"/>
      <c r="I42" s="885"/>
      <c r="J42" s="885"/>
      <c r="K42" s="911" t="str">
        <f>F28&amp;"3komm"</f>
        <v>03komm</v>
      </c>
      <c r="L42" s="915" cm="1" t="str">
        <f t="array" ref="L42:L42">BC42</f>
        <v>0</v>
      </c>
      <c r="M42" s="885"/>
      <c r="N42" s="885"/>
      <c r="O42" s="885"/>
      <c r="P42" s="885"/>
      <c r="Q42" s="885"/>
      <c r="R42" s="885"/>
      <c r="S42" s="885"/>
      <c r="T42" s="465" cm="1" t="str">
        <f t="array" ref="T42:T42">T41</f>
        <v>false</v>
      </c>
      <c r="U42" s="885"/>
      <c r="V42" s="885"/>
      <c r="W42" s="885"/>
      <c r="X42" s="1524"/>
      <c r="Y42" s="684"/>
      <c r="Z42" s="1615"/>
      <c r="AA42" s="885"/>
      <c r="AB42" s="211">
        <v>3</v>
      </c>
      <c r="AC42" s="212" t="s">
        <v>1799</v>
      </c>
      <c r="AD42" s="211" t="s">
        <v>1514</v>
      </c>
      <c r="AE42" s="213">
        <f>SUMIF(AD45:AD48,AD42,AE45:AE48)</f>
        <v>0</v>
      </c>
      <c r="AF42" s="213">
        <f>SUMIF(AD45:AD48,AD42,AF45:AF48)</f>
        <v>0</v>
      </c>
      <c r="AG42" s="213">
        <f>SUMIF(AD45:AD48,AD42,AG45:AG48)</f>
        <v>0</v>
      </c>
      <c r="AH42" s="213">
        <f>SUMIF(AD45:AD48,AD42,AH45:AH48)</f>
        <v>0</v>
      </c>
      <c r="AI42" s="213">
        <f>SUMIF(AD45:AD48,AD42,AI45:AI48)</f>
        <v>0</v>
      </c>
      <c r="AJ42" s="3626">
        <f>SUMIF(AD45:AD48,AD42,AJ45:AJ48)</f>
        <v>0</v>
      </c>
      <c r="AK42" s="3626">
        <f>SUMIF(AD45:AD48,AD42,AK45:AK48)</f>
        <v>0</v>
      </c>
      <c r="AL42" s="3626">
        <f>SUMIF(AD45:AD48,AD42,AL45:AL48)</f>
        <v>0</v>
      </c>
      <c r="AM42" s="3626">
        <f>SUMIF(AD45:AD48,AD42,AM45:AM48)</f>
        <v>0</v>
      </c>
      <c r="AN42" s="3626">
        <f>SUMIF(AD45:AD48,AD42,AN45:AN48)</f>
        <v>0</v>
      </c>
      <c r="AO42" s="3626">
        <f>SUMIF(AD45:AD48,AD42,AO45:AO48)</f>
        <v>0</v>
      </c>
      <c r="AP42" s="3626">
        <f>SUMIF(AD45:AD48,AD42,AP45:AP48)</f>
        <v>0</v>
      </c>
      <c r="AQ42" s="3626">
        <f>SUMIF(AD45:AD48,AD42,AQ45:AQ48)</f>
        <v>0</v>
      </c>
      <c r="AR42" s="3626">
        <f>SUMIF(AD45:AD48,AD42,AR45:AR48)</f>
        <v>0</v>
      </c>
      <c r="AS42" s="213">
        <f>SUMIF(AD45:AD48,AD42,AS45:AS48)</f>
        <v>0</v>
      </c>
      <c r="AT42" s="3626">
        <f>SUMIF(AD45:AD48,AD42,AT45:AT48)</f>
        <v>0</v>
      </c>
      <c r="AU42" s="3626">
        <f>SUMIF(AD45:AD48,AD42,AU45:AU48)</f>
        <v>0</v>
      </c>
      <c r="AV42" s="3626">
        <f>SUMIF(AD45:AD48,AD42,AV45:AV48)</f>
        <v>0</v>
      </c>
      <c r="AW42" s="3626">
        <f>SUMIF(AD45:AD48,AD42,AW45:AW48)</f>
        <v>0</v>
      </c>
      <c r="AX42" s="3626">
        <f>SUMIF(AD45:AD48,AD42,AX45:AX48)</f>
        <v>0</v>
      </c>
      <c r="AY42" s="3626">
        <f>SUMIF(AD45:AD48,AD42,AY45:AY48)</f>
        <v>0</v>
      </c>
      <c r="AZ42" s="3626">
        <f>SUMIF(AD45:AD48,AD42,AZ45:AZ48)</f>
        <v>0</v>
      </c>
      <c r="BA42" s="3626">
        <f>SUMIF(AD45:AD48,AD42,BA45:BA48)</f>
        <v>0</v>
      </c>
      <c r="BB42" s="3626">
        <f>SUMIF(AD45:AD48,AD42,BB45:BB48)</f>
        <v>0</v>
      </c>
      <c r="BC42" s="2070"/>
      <c r="BD42" s="885"/>
      <c r="BE42" s="885"/>
      <c r="BF42" s="1041" t="s">
        <v>1800</v>
      </c>
      <c r="BG42" s="1041"/>
      <c r="BH42" s="1041"/>
      <c r="BI42" s="678"/>
      <c r="BJ42" s="678"/>
    </row>
    <row customHeight="1" ht="15" hidden="1">
      <c r="A43" s="885"/>
      <c r="B43" s="440"/>
      <c r="C43" s="885"/>
      <c r="D43" s="885"/>
      <c r="E43" s="678">
        <v>0</v>
      </c>
      <c r="F43" s="50" cm="1" t="str">
        <f t="array" ref="F43:F43">OFFSET(E43,-1,1)</f>
        <v>0</v>
      </c>
      <c r="G43" s="152" t="s">
        <v>334</v>
      </c>
      <c r="H43" s="885"/>
      <c r="I43" s="885"/>
      <c r="J43" s="885"/>
      <c r="K43" s="911"/>
      <c r="L43" s="915"/>
      <c r="M43" s="885"/>
      <c r="N43" s="885"/>
      <c r="O43" s="885"/>
      <c r="P43" s="885"/>
      <c r="Q43" s="885"/>
      <c r="R43" s="885"/>
      <c r="S43" s="885"/>
      <c r="T43" s="465" t="b">
        <v>0</v>
      </c>
      <c r="U43" s="885"/>
      <c r="V43" s="885"/>
      <c r="W43" s="152" t="s">
        <v>174</v>
      </c>
      <c r="X43" s="1524"/>
      <c r="Y43" s="1524">
        <v>0</v>
      </c>
      <c r="Z43" s="1615"/>
      <c r="AA43" s="1617" t="s">
        <v>175</v>
      </c>
      <c r="AB43" s="211"/>
      <c r="AC43" s="212"/>
      <c r="AD43" s="211"/>
      <c r="AE43" s="1368">
        <f>OR(AND(AE45&lt;&gt;"",AE46=""),AND(AE45="",AE46&lt;&gt;""))</f>
        <v>0</v>
      </c>
      <c r="AF43" s="1368">
        <f>OR(AND(AF45&lt;&gt;"",AF46=""),AND(AF45="",AF46&lt;&gt;""))</f>
        <v>0</v>
      </c>
      <c r="AG43" s="1368">
        <f>OR(AND(AG45&lt;&gt;"",AG46=""),AND(AG45="",AG46&lt;&gt;""))</f>
        <v>0</v>
      </c>
      <c r="AH43" s="1368">
        <f>OR(AND(AH45&lt;&gt;"",AH46=""),AND(AH45="",AH46&lt;&gt;""))</f>
        <v>0</v>
      </c>
      <c r="AI43" s="1368">
        <f>OR(AND(AI45&lt;&gt;"",AI46=""),AND(AI45="",AI46&lt;&gt;""))</f>
        <v>0</v>
      </c>
      <c r="AJ43" s="1368">
        <f>OR(AND(AJ45&lt;&gt;"",AJ46=""),AND(AJ45="",AJ46&lt;&gt;""))</f>
        <v>0</v>
      </c>
      <c r="AK43" s="1368">
        <f>OR(AND(AK45&lt;&gt;"",AK46=""),AND(AK45="",AK46&lt;&gt;""))</f>
        <v>0</v>
      </c>
      <c r="AL43" s="1368">
        <f>OR(AND(AL45&lt;&gt;"",AL46=""),AND(AL45="",AL46&lt;&gt;""))</f>
        <v>0</v>
      </c>
      <c r="AM43" s="1368">
        <f>OR(AND(AM45&lt;&gt;"",AM46=""),AND(AM45="",AM46&lt;&gt;""))</f>
        <v>0</v>
      </c>
      <c r="AN43" s="1368">
        <f>OR(AND(AN45&lt;&gt;"",AN46=""),AND(AN45="",AN46&lt;&gt;""))</f>
        <v>0</v>
      </c>
      <c r="AO43" s="1368">
        <f>OR(AND(AO45&lt;&gt;"",AO46=""),AND(AO45="",AO46&lt;&gt;""))</f>
        <v>0</v>
      </c>
      <c r="AP43" s="1368">
        <f>OR(AND(AP45&lt;&gt;"",AP46=""),AND(AP45="",AP46&lt;&gt;""))</f>
        <v>0</v>
      </c>
      <c r="AQ43" s="1368">
        <f>OR(AND(AQ45&lt;&gt;"",AQ46=""),AND(AQ45="",AQ46&lt;&gt;""))</f>
        <v>0</v>
      </c>
      <c r="AR43" s="1368">
        <f>OR(AND(AR45&lt;&gt;"",AR46=""),AND(AR45="",AR46&lt;&gt;""))</f>
        <v>0</v>
      </c>
      <c r="AS43" s="1368">
        <f>OR(AND(AS45&lt;&gt;"",AS46=""),AND(AS45="",AS46&lt;&gt;""))</f>
        <v>0</v>
      </c>
      <c r="AT43" s="1368">
        <f>OR(AND(AT45&lt;&gt;"",AT46=""),AND(AT45="",AT46&lt;&gt;""))</f>
        <v>0</v>
      </c>
      <c r="AU43" s="1368">
        <f>OR(AND(AU45&lt;&gt;"",AU46=""),AND(AU45="",AU46&lt;&gt;""))</f>
        <v>0</v>
      </c>
      <c r="AV43" s="1368">
        <f>OR(AND(AV45&lt;&gt;"",AV46=""),AND(AV45="",AV46&lt;&gt;""))</f>
        <v>0</v>
      </c>
      <c r="AW43" s="1368">
        <f>OR(AND(AW45&lt;&gt;"",AW46=""),AND(AW45="",AW46&lt;&gt;""))</f>
        <v>0</v>
      </c>
      <c r="AX43" s="1368">
        <f>OR(AND(AX45&lt;&gt;"",AX46=""),AND(AX45="",AX46&lt;&gt;""))</f>
        <v>0</v>
      </c>
      <c r="AY43" s="1368">
        <f>OR(AND(AY45&lt;&gt;"",AY46=""),AND(AY45="",AY46&lt;&gt;""))</f>
        <v>0</v>
      </c>
      <c r="AZ43" s="1368">
        <f>OR(AND(AZ45&lt;&gt;"",AZ46=""),AND(AZ45="",AZ46&lt;&gt;""))</f>
        <v>0</v>
      </c>
      <c r="BA43" s="1368">
        <f>OR(AND(BA45&lt;&gt;"",BA46=""),AND(BA45="",BA46&lt;&gt;""))</f>
        <v>0</v>
      </c>
      <c r="BB43" s="1368">
        <f>OR(AND(BB45&lt;&gt;"",BB46=""),AND(BB45="",BB46&lt;&gt;""))</f>
        <v>0</v>
      </c>
      <c r="BC43" s="974"/>
      <c r="BD43" s="885"/>
      <c r="BE43" s="885"/>
      <c r="BF43" s="1041"/>
      <c r="BG43" s="1041"/>
      <c r="BH43" s="1041"/>
      <c r="BI43" s="678"/>
      <c r="BJ43" s="678"/>
    </row>
    <row customHeight="1" ht="14.625" hidden="1">
      <c r="A44" s="885"/>
      <c r="B44" s="440"/>
      <c r="C44" s="885"/>
      <c r="D44" s="885"/>
      <c r="E44" s="678">
        <v>15</v>
      </c>
      <c r="F44" s="1387" cm="1" t="str">
        <f t="array" ref="F44:F44">OFFSET(E44,-1,1)</f>
        <v>0</v>
      </c>
      <c r="G44" s="885"/>
      <c r="H44" s="885"/>
      <c r="I44" s="885"/>
      <c r="J44" s="885"/>
      <c r="K44" s="911"/>
      <c r="L44" s="915"/>
      <c r="M44" s="885"/>
      <c r="N44" s="885"/>
      <c r="O44" s="885"/>
      <c r="P44" s="885"/>
      <c r="Q44" s="885"/>
      <c r="R44" s="885"/>
      <c r="S44" s="885"/>
      <c r="T44" s="1356">
        <f>AND(Y43&gt;0,F44&gt;0)</f>
        <v>0</v>
      </c>
      <c r="U44" s="885"/>
      <c r="V44" s="885"/>
      <c r="W44" s="885"/>
      <c r="X44" s="684"/>
      <c r="Y44" s="1524"/>
      <c r="Z44" s="885"/>
      <c r="AA44" s="1697"/>
      <c r="AB44" s="1698" t="str">
        <f>"3."&amp;Y43</f>
        <v>3.0</v>
      </c>
      <c r="AC44" s="1699" t="s">
        <v>227</v>
      </c>
      <c r="AD44" s="1700"/>
      <c r="AE44" s="3635"/>
      <c r="AF44" s="1702"/>
      <c r="AG44" s="3635"/>
      <c r="AH44" s="3635"/>
      <c r="AI44" s="3635"/>
      <c r="AJ44" s="3635"/>
      <c r="AK44" s="3635"/>
      <c r="AL44" s="3635"/>
      <c r="AM44" s="3635"/>
      <c r="AN44" s="3635"/>
      <c r="AO44" s="3635"/>
      <c r="AP44" s="3635"/>
      <c r="AQ44" s="3635"/>
      <c r="AR44" s="3635"/>
      <c r="AS44" s="1702"/>
      <c r="AT44" s="1702"/>
      <c r="AU44" s="1702"/>
      <c r="AV44" s="1702"/>
      <c r="AW44" s="1702"/>
      <c r="AX44" s="1702"/>
      <c r="AY44" s="1702"/>
      <c r="AZ44" s="1702"/>
      <c r="BA44" s="1702"/>
      <c r="BB44" s="1703"/>
      <c r="BC44" s="1704"/>
      <c r="BD44" s="885"/>
      <c r="BE44" s="885"/>
      <c r="BF44" s="1041"/>
      <c r="BG44" s="1041"/>
      <c r="BH44" s="1041"/>
      <c r="BI44" s="678"/>
      <c r="BJ44" s="678"/>
    </row>
    <row customHeight="1" ht="14.625" hidden="1">
      <c r="A45" s="885"/>
      <c r="B45" s="440"/>
      <c r="C45" s="885"/>
      <c r="D45" s="885"/>
      <c r="E45" s="678">
        <v>15</v>
      </c>
      <c r="F45" s="50" cm="1" t="str">
        <f t="array" ref="F45:F45">OFFSET(E45,-1,1)</f>
        <v>0</v>
      </c>
      <c r="G45" s="152" t="s">
        <v>334</v>
      </c>
      <c r="H45" s="155" cm="1" t="str">
        <f t="array" ref="H45:H45">AC45</f>
        <v>Затраты</v>
      </c>
      <c r="I45" s="152" t="s">
        <v>1801</v>
      </c>
      <c r="J45" s="885"/>
      <c r="K45" s="911"/>
      <c r="L45" s="885"/>
      <c r="M45" s="885"/>
      <c r="N45" s="885"/>
      <c r="O45" s="885"/>
      <c r="P45" s="885"/>
      <c r="Q45" s="885"/>
      <c r="R45" s="885"/>
      <c r="S45" s="885"/>
      <c r="T45" s="465" cm="1" t="str">
        <f t="array" ref="T45:T45">T44</f>
        <v>false</v>
      </c>
      <c r="U45" s="885"/>
      <c r="V45" s="885"/>
      <c r="W45" s="885"/>
      <c r="X45" s="1524"/>
      <c r="Y45" s="1524"/>
      <c r="Z45" s="1615"/>
      <c r="AA45" s="1617"/>
      <c r="AB45" s="88" t="str">
        <f>AB44&amp;".1"</f>
        <v>3.0.1</v>
      </c>
      <c r="AC45" s="1705" t="s">
        <v>1783</v>
      </c>
      <c r="AD45" s="211" t="s">
        <v>1514</v>
      </c>
      <c r="AE45" s="3536"/>
      <c r="AF45" s="3536"/>
      <c r="AG45" s="3536"/>
      <c r="AH45" s="3536"/>
      <c r="AI45" s="3536"/>
      <c r="AJ45" s="3536"/>
      <c r="AK45" s="3536"/>
      <c r="AL45" s="3536"/>
      <c r="AM45" s="3536"/>
      <c r="AN45" s="3536"/>
      <c r="AO45" s="3536"/>
      <c r="AP45" s="3536"/>
      <c r="AQ45" s="3536"/>
      <c r="AR45" s="3536"/>
      <c r="AS45" s="3536"/>
      <c r="AT45" s="3536"/>
      <c r="AU45" s="3536"/>
      <c r="AV45" s="3536"/>
      <c r="AW45" s="3536"/>
      <c r="AX45" s="3536"/>
      <c r="AY45" s="3536"/>
      <c r="AZ45" s="3536"/>
      <c r="BA45" s="3536"/>
      <c r="BB45" s="3536"/>
      <c r="BC45" s="2070"/>
      <c r="BD45" s="885"/>
      <c r="BE45" s="885"/>
      <c r="BF45" s="1041" t="s">
        <v>1784</v>
      </c>
      <c r="BG45" s="1041" t="s">
        <v>1802</v>
      </c>
      <c r="BH45" s="1041" cm="1" t="str">
        <f t="array" ref="BH45:BH45">AC44</f>
        <v/>
      </c>
      <c r="BI45" s="678"/>
      <c r="BJ45" s="678" t="b">
        <v>1</v>
      </c>
    </row>
    <row customHeight="1" ht="14.625" hidden="1">
      <c r="A46" s="885"/>
      <c r="B46" s="440"/>
      <c r="C46" s="885"/>
      <c r="D46" s="885"/>
      <c r="E46" s="678">
        <v>15</v>
      </c>
      <c r="F46" s="50" cm="1" t="str">
        <f t="array" ref="F46:F46">OFFSET(E46,-1,1)</f>
        <v>0</v>
      </c>
      <c r="G46" s="152" t="s">
        <v>1658</v>
      </c>
      <c r="H46" s="155" cm="1" t="str">
        <f t="array" ref="H46:H46">H45</f>
        <v>Затраты</v>
      </c>
      <c r="I46" s="152" t="s">
        <v>1801</v>
      </c>
      <c r="J46" s="885"/>
      <c r="K46" s="911"/>
      <c r="L46" s="885"/>
      <c r="M46" s="885"/>
      <c r="N46" s="885"/>
      <c r="O46" s="885"/>
      <c r="P46" s="885"/>
      <c r="Q46" s="885"/>
      <c r="R46" s="885"/>
      <c r="S46" s="885"/>
      <c r="T46" s="465" cm="1" t="str">
        <f t="array" ref="T46:T46">T45</f>
        <v>false</v>
      </c>
      <c r="U46" s="885"/>
      <c r="V46" s="885"/>
      <c r="W46" s="885"/>
      <c r="X46" s="1524"/>
      <c r="Y46" s="1524"/>
      <c r="Z46" s="1615"/>
      <c r="AA46" s="1617"/>
      <c r="AB46" s="88" t="str">
        <f>AB45&amp;".1"</f>
        <v>3.0.1.1</v>
      </c>
      <c r="AC46" s="221" t="s">
        <v>1803</v>
      </c>
      <c r="AD46" s="88" t="s">
        <v>1247</v>
      </c>
      <c r="AE46" s="3536"/>
      <c r="AF46" s="3536"/>
      <c r="AG46" s="3536"/>
      <c r="AH46" s="3536"/>
      <c r="AI46" s="3536"/>
      <c r="AJ46" s="3536"/>
      <c r="AK46" s="3536"/>
      <c r="AL46" s="3536"/>
      <c r="AM46" s="3536"/>
      <c r="AN46" s="3536"/>
      <c r="AO46" s="3536"/>
      <c r="AP46" s="3536"/>
      <c r="AQ46" s="3536"/>
      <c r="AR46" s="3536"/>
      <c r="AS46" s="3536"/>
      <c r="AT46" s="3536"/>
      <c r="AU46" s="3536"/>
      <c r="AV46" s="3536"/>
      <c r="AW46" s="3536"/>
      <c r="AX46" s="3536"/>
      <c r="AY46" s="3536"/>
      <c r="AZ46" s="3536"/>
      <c r="BA46" s="3536"/>
      <c r="BB46" s="3536"/>
      <c r="BC46" s="2070"/>
      <c r="BD46" s="885"/>
      <c r="BE46" s="885"/>
      <c r="BF46" s="1041" t="s">
        <v>1787</v>
      </c>
      <c r="BG46" s="1041" t="s">
        <v>1802</v>
      </c>
      <c r="BH46" s="1041" cm="1" t="str">
        <f t="array" ref="BH46:BH46">BH45</f>
        <v/>
      </c>
      <c r="BI46" s="678"/>
      <c r="BJ46" s="678"/>
    </row>
    <row customHeight="1" ht="14.625" hidden="1">
      <c r="A47" s="885"/>
      <c r="B47" s="440"/>
      <c r="C47" s="885"/>
      <c r="D47" s="885"/>
      <c r="E47" s="678">
        <v>15</v>
      </c>
      <c r="F47" s="1387" cm="1" t="str">
        <f t="array" ref="F47:F47">OFFSET(E47,-1,1)</f>
        <v>0</v>
      </c>
      <c r="G47" s="885"/>
      <c r="H47" s="155"/>
      <c r="I47" s="885"/>
      <c r="J47" s="885"/>
      <c r="K47" s="911"/>
      <c r="L47" s="885"/>
      <c r="M47" s="885"/>
      <c r="N47" s="885"/>
      <c r="O47" s="885"/>
      <c r="P47" s="885"/>
      <c r="Q47" s="885"/>
      <c r="R47" s="885"/>
      <c r="S47" s="885"/>
      <c r="T47" s="1356" cm="1" t="str">
        <f t="array" ref="T47:T47">T46</f>
        <v>false</v>
      </c>
      <c r="U47" s="885"/>
      <c r="V47" s="885"/>
      <c r="W47" s="885"/>
      <c r="X47" s="684"/>
      <c r="Y47" s="1524"/>
      <c r="Z47" s="885"/>
      <c r="AA47" s="1697"/>
      <c r="AB47" s="1706" t="str">
        <f>AB45&amp;".2"</f>
        <v>3.0.1.2</v>
      </c>
      <c r="AC47" s="1707" t="s">
        <v>1798</v>
      </c>
      <c r="AD47" s="1706" t="s">
        <v>1789</v>
      </c>
      <c r="AE47" s="3644"/>
      <c r="AF47" s="3644"/>
      <c r="AG47" s="3644"/>
      <c r="AH47" s="3644"/>
      <c r="AI47" s="3644"/>
      <c r="AJ47" s="3644"/>
      <c r="AK47" s="3644"/>
      <c r="AL47" s="3644"/>
      <c r="AM47" s="3644"/>
      <c r="AN47" s="3644"/>
      <c r="AO47" s="3644"/>
      <c r="AP47" s="3644"/>
      <c r="AQ47" s="3644"/>
      <c r="AR47" s="3644"/>
      <c r="AS47" s="3644"/>
      <c r="AT47" s="3644"/>
      <c r="AU47" s="3644"/>
      <c r="AV47" s="3644"/>
      <c r="AW47" s="3644"/>
      <c r="AX47" s="3644"/>
      <c r="AY47" s="3644"/>
      <c r="AZ47" s="3644"/>
      <c r="BA47" s="3644"/>
      <c r="BB47" s="3644"/>
      <c r="BC47" s="3645"/>
      <c r="BD47" s="885"/>
      <c r="BE47" s="885"/>
      <c r="BF47" s="1041" t="s">
        <v>1790</v>
      </c>
      <c r="BG47" s="1041" t="s">
        <v>1802</v>
      </c>
      <c r="BH47" s="1710" cm="1" t="str">
        <f t="array" ref="BH47:BH47">BH46</f>
        <v/>
      </c>
      <c r="BI47" s="678"/>
      <c r="BJ47" s="678"/>
    </row>
    <row customHeight="1" ht="14.625" hidden="1">
      <c r="A48" s="885"/>
      <c r="B48" s="440"/>
      <c r="C48" s="885"/>
      <c r="D48" s="885"/>
      <c r="E48" s="678">
        <v>15</v>
      </c>
      <c r="F48" s="50" cm="1" t="str">
        <f t="array" ref="F48:F48">OFFSET(E48,-1,1)</f>
        <v>0</v>
      </c>
      <c r="G48" s="885"/>
      <c r="H48" s="152" t="str">
        <f>"!=='не определено' &amp;&amp; row.l3 !== null"</f>
        <v>!=='не определено' &amp;&amp; row.l3 !== null</v>
      </c>
      <c r="I48" s="885"/>
      <c r="J48" s="885"/>
      <c r="K48" s="911"/>
      <c r="L48" s="885"/>
      <c r="M48" s="885"/>
      <c r="N48" s="885"/>
      <c r="O48" s="885"/>
      <c r="P48" s="885"/>
      <c r="Q48" s="885"/>
      <c r="R48" s="885"/>
      <c r="S48" s="885"/>
      <c r="T48" s="465">
        <f>F48&gt;0</f>
        <v>0</v>
      </c>
      <c r="U48" s="885"/>
      <c r="V48" s="885"/>
      <c r="W48" s="685" t="s">
        <v>1804</v>
      </c>
      <c r="X48" s="1524"/>
      <c r="Y48" s="683"/>
      <c r="Z48" s="1615"/>
      <c r="AA48" s="885"/>
      <c r="AB48" s="681"/>
      <c r="AC48" s="232" t="s">
        <v>1792</v>
      </c>
      <c r="AD48" s="232"/>
      <c r="AE48" s="232"/>
      <c r="AF48" s="232"/>
      <c r="AG48" s="232"/>
      <c r="AH48" s="232"/>
      <c r="AI48" s="232"/>
      <c r="AJ48" s="232"/>
      <c r="AK48" s="232"/>
      <c r="AL48" s="232"/>
      <c r="AM48" s="232"/>
      <c r="AN48" s="232"/>
      <c r="AO48" s="232"/>
      <c r="AP48" s="232"/>
      <c r="AQ48" s="232"/>
      <c r="AR48" s="232"/>
      <c r="AS48" s="232"/>
      <c r="AT48" s="232"/>
      <c r="AU48" s="232"/>
      <c r="AV48" s="232"/>
      <c r="AW48" s="232"/>
      <c r="AX48" s="232"/>
      <c r="AY48" s="232"/>
      <c r="AZ48" s="232"/>
      <c r="BA48" s="232"/>
      <c r="BB48" s="232"/>
      <c r="BC48" s="233"/>
      <c r="BD48" s="885"/>
      <c r="BE48" s="885"/>
      <c r="BF48" s="1041"/>
      <c r="BG48" s="1041"/>
      <c r="BH48" s="1041"/>
      <c r="BI48" s="678" t="s">
        <v>1802</v>
      </c>
      <c r="BJ48" s="678"/>
    </row>
    <row customHeight="1" ht="22.425" hidden="1">
      <c r="A49" s="885"/>
      <c r="B49" s="440"/>
      <c r="C49" s="885"/>
      <c r="D49" s="885"/>
      <c r="E49" s="678">
        <v>23</v>
      </c>
      <c r="F49" s="50" cm="1" t="str">
        <f t="array" ref="F49:F49">OFFSET(E49,-1,1)</f>
        <v>0</v>
      </c>
      <c r="G49" s="885"/>
      <c r="H49" s="885"/>
      <c r="I49" s="885"/>
      <c r="J49" s="885"/>
      <c r="K49" s="911" t="str">
        <f>F28&amp;"4komm"</f>
        <v>04komm</v>
      </c>
      <c r="L49" s="915" cm="1" t="str">
        <f t="array" ref="L49:L49">BC49</f>
        <v>0</v>
      </c>
      <c r="M49" s="885"/>
      <c r="N49" s="885"/>
      <c r="O49" s="885"/>
      <c r="P49" s="885"/>
      <c r="Q49" s="885"/>
      <c r="R49" s="885"/>
      <c r="S49" s="885"/>
      <c r="T49" s="465" cm="1" t="str">
        <f t="array" ref="T49:T49">T48</f>
        <v>false</v>
      </c>
      <c r="U49" s="885"/>
      <c r="V49" s="885"/>
      <c r="W49" s="885"/>
      <c r="X49" s="1524"/>
      <c r="Y49" s="684"/>
      <c r="Z49" s="1615"/>
      <c r="AA49" s="885"/>
      <c r="AB49" s="211">
        <v>4</v>
      </c>
      <c r="AC49" s="212" t="s">
        <v>1805</v>
      </c>
      <c r="AD49" s="211" t="s">
        <v>1514</v>
      </c>
      <c r="AE49" s="213">
        <f>SUMIF(AD52:AD55,AD49,AE52:AE55)</f>
        <v>0</v>
      </c>
      <c r="AF49" s="213">
        <f>SUMIF(AD52:AD55,AD49,AF52:AF55)</f>
        <v>0</v>
      </c>
      <c r="AG49" s="213">
        <f>SUMIF(AD52:AD55,AD49,AG52:AG55)</f>
        <v>0</v>
      </c>
      <c r="AH49" s="213">
        <f>SUMIF(AD52:AD55,AD49,AH52:AH55)</f>
        <v>0</v>
      </c>
      <c r="AI49" s="213">
        <f>SUMIF(AD52:AD55,AD49,AI52:AI55)</f>
        <v>0</v>
      </c>
      <c r="AJ49" s="3626">
        <f>SUMIF(AD52:AD55,AD49,AJ52:AJ55)</f>
        <v>0</v>
      </c>
      <c r="AK49" s="3626">
        <f>SUMIF(AD52:AD55,AD49,AK52:AK55)</f>
        <v>0</v>
      </c>
      <c r="AL49" s="3626">
        <f>SUMIF(AD52:AD55,AD49,AL52:AL55)</f>
        <v>0</v>
      </c>
      <c r="AM49" s="3626">
        <f>SUMIF(AD52:AD55,AD49,AM52:AM55)</f>
        <v>0</v>
      </c>
      <c r="AN49" s="3626">
        <f>SUMIF(AD52:AD55,AD49,AN52:AN55)</f>
        <v>0</v>
      </c>
      <c r="AO49" s="3626">
        <f>SUMIF(AD52:AD55,AD49,AO52:AO55)</f>
        <v>0</v>
      </c>
      <c r="AP49" s="3626">
        <f>SUMIF(AD52:AD55,AD49,AP52:AP55)</f>
        <v>0</v>
      </c>
      <c r="AQ49" s="3626">
        <f>SUMIF(AD52:AD55,AD49,AQ52:AQ55)</f>
        <v>0</v>
      </c>
      <c r="AR49" s="3626">
        <f>SUMIF(AD52:AD55,AD49,AR52:AR55)</f>
        <v>0</v>
      </c>
      <c r="AS49" s="213">
        <f>SUMIF(AD52:AD55,AD49,AS52:AS55)</f>
        <v>0</v>
      </c>
      <c r="AT49" s="3626">
        <f>SUMIF(AD52:AD55,AD49,AT52:AT55)</f>
        <v>0</v>
      </c>
      <c r="AU49" s="3626">
        <f>SUMIF(AD52:AD55,AD49,AU52:AU55)</f>
        <v>0</v>
      </c>
      <c r="AV49" s="3626">
        <f>SUMIF(AD52:AD55,AD49,AV52:AV55)</f>
        <v>0</v>
      </c>
      <c r="AW49" s="3626">
        <f>SUMIF(AD52:AD55,AD49,AW52:AW55)</f>
        <v>0</v>
      </c>
      <c r="AX49" s="3626">
        <f>SUMIF(AD52:AD55,AD49,AX52:AX55)</f>
        <v>0</v>
      </c>
      <c r="AY49" s="3626">
        <f>SUMIF(AD52:AD55,AD49,AY52:AY55)</f>
        <v>0</v>
      </c>
      <c r="AZ49" s="3626">
        <f>SUMIF(AD52:AD55,AD49,AZ52:AZ55)</f>
        <v>0</v>
      </c>
      <c r="BA49" s="3626">
        <f>SUMIF(AD52:AD55,AD49,BA52:BA55)</f>
        <v>0</v>
      </c>
      <c r="BB49" s="3626">
        <f>SUMIF(AD52:AD55,AD49,BB52:BB55)</f>
        <v>0</v>
      </c>
      <c r="BC49" s="2070"/>
      <c r="BD49" s="885"/>
      <c r="BE49" s="885"/>
      <c r="BF49" s="1041" t="s">
        <v>1806</v>
      </c>
      <c r="BG49" s="1041"/>
      <c r="BH49" s="1041"/>
      <c r="BI49" s="678"/>
      <c r="BJ49" s="678"/>
    </row>
    <row customHeight="1" ht="15" hidden="1">
      <c r="A50" s="885"/>
      <c r="B50" s="440"/>
      <c r="C50" s="885"/>
      <c r="D50" s="885"/>
      <c r="E50" s="678">
        <v>0</v>
      </c>
      <c r="F50" s="50" cm="1" t="str">
        <f t="array" ref="F50:F50">OFFSET(E50,-1,1)</f>
        <v>0</v>
      </c>
      <c r="G50" s="152" t="s">
        <v>336</v>
      </c>
      <c r="H50" s="885"/>
      <c r="I50" s="885"/>
      <c r="J50" s="885"/>
      <c r="K50" s="911"/>
      <c r="L50" s="915"/>
      <c r="M50" s="885"/>
      <c r="N50" s="885"/>
      <c r="O50" s="885"/>
      <c r="P50" s="885"/>
      <c r="Q50" s="885"/>
      <c r="R50" s="885"/>
      <c r="S50" s="885"/>
      <c r="T50" s="465" t="b">
        <v>0</v>
      </c>
      <c r="U50" s="885"/>
      <c r="V50" s="885"/>
      <c r="W50" s="152" t="s">
        <v>174</v>
      </c>
      <c r="X50" s="1524"/>
      <c r="Y50" s="1524">
        <v>0</v>
      </c>
      <c r="Z50" s="1615"/>
      <c r="AA50" s="1617" t="s">
        <v>175</v>
      </c>
      <c r="AB50" s="211"/>
      <c r="AC50" s="212"/>
      <c r="AD50" s="211"/>
      <c r="AE50" s="1368">
        <f>OR(AND(AE52&lt;&gt;"",AE53=""),AND(AE52="",AE53&lt;&gt;""))</f>
        <v>0</v>
      </c>
      <c r="AF50" s="1368">
        <f>OR(AND(AF52&lt;&gt;"",AF53=""),AND(AF52="",AF53&lt;&gt;""))</f>
        <v>0</v>
      </c>
      <c r="AG50" s="1368">
        <f>OR(AND(AG52&lt;&gt;"",AG53=""),AND(AG52="",AG53&lt;&gt;""))</f>
        <v>0</v>
      </c>
      <c r="AH50" s="1368">
        <f>OR(AND(AH52&lt;&gt;"",AH53=""),AND(AH52="",AH53&lt;&gt;""))</f>
        <v>0</v>
      </c>
      <c r="AI50" s="1368">
        <f>OR(AND(AI52&lt;&gt;"",AI53=""),AND(AI52="",AI53&lt;&gt;""))</f>
        <v>0</v>
      </c>
      <c r="AJ50" s="1368">
        <f>OR(AND(AJ52&lt;&gt;"",AJ53=""),AND(AJ52="",AJ53&lt;&gt;""))</f>
        <v>0</v>
      </c>
      <c r="AK50" s="1368">
        <f>OR(AND(AK52&lt;&gt;"",AK53=""),AND(AK52="",AK53&lt;&gt;""))</f>
        <v>0</v>
      </c>
      <c r="AL50" s="1368">
        <f>OR(AND(AL52&lt;&gt;"",AL53=""),AND(AL52="",AL53&lt;&gt;""))</f>
        <v>0</v>
      </c>
      <c r="AM50" s="1368">
        <f>OR(AND(AM52&lt;&gt;"",AM53=""),AND(AM52="",AM53&lt;&gt;""))</f>
        <v>0</v>
      </c>
      <c r="AN50" s="1368">
        <f>OR(AND(AN52&lt;&gt;"",AN53=""),AND(AN52="",AN53&lt;&gt;""))</f>
        <v>0</v>
      </c>
      <c r="AO50" s="1368">
        <f>OR(AND(AO52&lt;&gt;"",AO53=""),AND(AO52="",AO53&lt;&gt;""))</f>
        <v>0</v>
      </c>
      <c r="AP50" s="1368">
        <f>OR(AND(AP52&lt;&gt;"",AP53=""),AND(AP52="",AP53&lt;&gt;""))</f>
        <v>0</v>
      </c>
      <c r="AQ50" s="1368">
        <f>OR(AND(AQ52&lt;&gt;"",AQ53=""),AND(AQ52="",AQ53&lt;&gt;""))</f>
        <v>0</v>
      </c>
      <c r="AR50" s="1368">
        <f>OR(AND(AR52&lt;&gt;"",AR53=""),AND(AR52="",AR53&lt;&gt;""))</f>
        <v>0</v>
      </c>
      <c r="AS50" s="1368">
        <f>OR(AND(AS52&lt;&gt;"",AS53=""),AND(AS52="",AS53&lt;&gt;""))</f>
        <v>0</v>
      </c>
      <c r="AT50" s="1368">
        <f>OR(AND(AT52&lt;&gt;"",AT53=""),AND(AT52="",AT53&lt;&gt;""))</f>
        <v>0</v>
      </c>
      <c r="AU50" s="1368">
        <f>OR(AND(AU52&lt;&gt;"",AU53=""),AND(AU52="",AU53&lt;&gt;""))</f>
        <v>0</v>
      </c>
      <c r="AV50" s="1368">
        <f>OR(AND(AV52&lt;&gt;"",AV53=""),AND(AV52="",AV53&lt;&gt;""))</f>
        <v>0</v>
      </c>
      <c r="AW50" s="1368">
        <f>OR(AND(AW52&lt;&gt;"",AW53=""),AND(AW52="",AW53&lt;&gt;""))</f>
        <v>0</v>
      </c>
      <c r="AX50" s="1368">
        <f>OR(AND(AX52&lt;&gt;"",AX53=""),AND(AX52="",AX53&lt;&gt;""))</f>
        <v>0</v>
      </c>
      <c r="AY50" s="1368">
        <f>OR(AND(AY52&lt;&gt;"",AY53=""),AND(AY52="",AY53&lt;&gt;""))</f>
        <v>0</v>
      </c>
      <c r="AZ50" s="1368">
        <f>OR(AND(AZ52&lt;&gt;"",AZ53=""),AND(AZ52="",AZ53&lt;&gt;""))</f>
        <v>0</v>
      </c>
      <c r="BA50" s="1368">
        <f>OR(AND(BA52&lt;&gt;"",BA53=""),AND(BA52="",BA53&lt;&gt;""))</f>
        <v>0</v>
      </c>
      <c r="BB50" s="1368">
        <f>OR(AND(BB52&lt;&gt;"",BB53=""),AND(BB52="",BB53&lt;&gt;""))</f>
        <v>0</v>
      </c>
      <c r="BC50" s="974"/>
      <c r="BD50" s="885"/>
      <c r="BE50" s="885"/>
      <c r="BF50" s="1041"/>
      <c r="BG50" s="1041"/>
      <c r="BH50" s="1041"/>
      <c r="BI50" s="678"/>
      <c r="BJ50" s="678"/>
    </row>
    <row customHeight="1" ht="14.625" hidden="1">
      <c r="A51" s="885"/>
      <c r="B51" s="440"/>
      <c r="C51" s="885"/>
      <c r="D51" s="885"/>
      <c r="E51" s="678">
        <v>15</v>
      </c>
      <c r="F51" s="1387" cm="1" t="str">
        <f t="array" ref="F51:F51">OFFSET(E51,-1,1)</f>
        <v>0</v>
      </c>
      <c r="G51" s="885"/>
      <c r="H51" s="885"/>
      <c r="I51" s="885"/>
      <c r="J51" s="885"/>
      <c r="K51" s="911"/>
      <c r="L51" s="915"/>
      <c r="M51" s="885"/>
      <c r="N51" s="885"/>
      <c r="O51" s="885"/>
      <c r="P51" s="885"/>
      <c r="Q51" s="885"/>
      <c r="R51" s="885"/>
      <c r="S51" s="885"/>
      <c r="T51" s="1356">
        <f>AND(Y50&gt;0,F51&gt;0)</f>
        <v>0</v>
      </c>
      <c r="U51" s="885"/>
      <c r="V51" s="885"/>
      <c r="W51" s="885"/>
      <c r="X51" s="684"/>
      <c r="Y51" s="1524"/>
      <c r="Z51" s="885"/>
      <c r="AA51" s="1697"/>
      <c r="AB51" s="1698" t="str">
        <f>"4."&amp;Y50</f>
        <v>4.0</v>
      </c>
      <c r="AC51" s="1699" t="s">
        <v>227</v>
      </c>
      <c r="AD51" s="1700"/>
      <c r="AE51" s="3635"/>
      <c r="AF51" s="1702"/>
      <c r="AG51" s="3635"/>
      <c r="AH51" s="3635"/>
      <c r="AI51" s="3635"/>
      <c r="AJ51" s="3635"/>
      <c r="AK51" s="3635"/>
      <c r="AL51" s="3635"/>
      <c r="AM51" s="3635"/>
      <c r="AN51" s="3635"/>
      <c r="AO51" s="3635"/>
      <c r="AP51" s="3635"/>
      <c r="AQ51" s="3635"/>
      <c r="AR51" s="3635"/>
      <c r="AS51" s="1702"/>
      <c r="AT51" s="1702"/>
      <c r="AU51" s="1702"/>
      <c r="AV51" s="1702"/>
      <c r="AW51" s="1702"/>
      <c r="AX51" s="1702"/>
      <c r="AY51" s="1702"/>
      <c r="AZ51" s="1702"/>
      <c r="BA51" s="1702"/>
      <c r="BB51" s="1703"/>
      <c r="BC51" s="1704"/>
      <c r="BD51" s="885"/>
      <c r="BE51" s="885"/>
      <c r="BF51" s="1041"/>
      <c r="BG51" s="1041"/>
      <c r="BH51" s="1041"/>
      <c r="BI51" s="678"/>
      <c r="BJ51" s="678"/>
    </row>
    <row customHeight="1" ht="14.625" hidden="1">
      <c r="A52" s="885"/>
      <c r="B52" s="440"/>
      <c r="C52" s="885"/>
      <c r="D52" s="885"/>
      <c r="E52" s="678">
        <v>15</v>
      </c>
      <c r="F52" s="50" cm="1" t="str">
        <f t="array" ref="F52:F52">OFFSET(E52,-1,1)</f>
        <v>0</v>
      </c>
      <c r="G52" s="152" t="s">
        <v>336</v>
      </c>
      <c r="H52" s="155" cm="1" t="str">
        <f t="array" ref="H52:H52">AC52</f>
        <v>Затраты</v>
      </c>
      <c r="I52" s="152" t="s">
        <v>1807</v>
      </c>
      <c r="J52" s="885"/>
      <c r="K52" s="911"/>
      <c r="L52" s="885"/>
      <c r="M52" s="885"/>
      <c r="N52" s="885"/>
      <c r="O52" s="885"/>
      <c r="P52" s="885"/>
      <c r="Q52" s="885"/>
      <c r="R52" s="885"/>
      <c r="S52" s="885"/>
      <c r="T52" s="465" cm="1" t="str">
        <f t="array" ref="T52:T52">T51</f>
        <v>false</v>
      </c>
      <c r="U52" s="885"/>
      <c r="V52" s="885"/>
      <c r="W52" s="885"/>
      <c r="X52" s="1524"/>
      <c r="Y52" s="1524"/>
      <c r="Z52" s="1615"/>
      <c r="AA52" s="1617"/>
      <c r="AB52" s="88" t="str">
        <f>AB51&amp;".1"</f>
        <v>4.0.1</v>
      </c>
      <c r="AC52" s="1705" t="s">
        <v>1783</v>
      </c>
      <c r="AD52" s="211" t="s">
        <v>1514</v>
      </c>
      <c r="AE52" s="3536"/>
      <c r="AF52" s="3536"/>
      <c r="AG52" s="3536"/>
      <c r="AH52" s="3536"/>
      <c r="AI52" s="3536"/>
      <c r="AJ52" s="3536"/>
      <c r="AK52" s="3536"/>
      <c r="AL52" s="3536"/>
      <c r="AM52" s="3536"/>
      <c r="AN52" s="3536"/>
      <c r="AO52" s="3536"/>
      <c r="AP52" s="3536"/>
      <c r="AQ52" s="3536"/>
      <c r="AR52" s="3536"/>
      <c r="AS52" s="3536"/>
      <c r="AT52" s="3536"/>
      <c r="AU52" s="3536"/>
      <c r="AV52" s="3536"/>
      <c r="AW52" s="3536"/>
      <c r="AX52" s="3536"/>
      <c r="AY52" s="3536"/>
      <c r="AZ52" s="3536"/>
      <c r="BA52" s="3536"/>
      <c r="BB52" s="3536"/>
      <c r="BC52" s="2070"/>
      <c r="BD52" s="885"/>
      <c r="BE52" s="885"/>
      <c r="BF52" s="1041" t="s">
        <v>1784</v>
      </c>
      <c r="BG52" s="1041" t="s">
        <v>1808</v>
      </c>
      <c r="BH52" s="1041" cm="1" t="str">
        <f t="array" ref="BH52:BH52">AC51</f>
        <v/>
      </c>
      <c r="BI52" s="678"/>
      <c r="BJ52" s="678" t="b">
        <v>1</v>
      </c>
    </row>
    <row customHeight="1" ht="14.625" hidden="1">
      <c r="A53" s="885"/>
      <c r="B53" s="440"/>
      <c r="C53" s="885"/>
      <c r="D53" s="885"/>
      <c r="E53" s="678">
        <v>15</v>
      </c>
      <c r="F53" s="50" cm="1" t="str">
        <f t="array" ref="F53:F53">OFFSET(E53,-1,1)</f>
        <v>0</v>
      </c>
      <c r="G53" s="152" t="s">
        <v>1249</v>
      </c>
      <c r="H53" s="155" cm="1" t="str">
        <f t="array" ref="H53:H53">H52</f>
        <v>Затраты</v>
      </c>
      <c r="I53" s="152" t="s">
        <v>1807</v>
      </c>
      <c r="J53" s="885"/>
      <c r="K53" s="911"/>
      <c r="L53" s="885"/>
      <c r="M53" s="885"/>
      <c r="N53" s="885"/>
      <c r="O53" s="885"/>
      <c r="P53" s="885"/>
      <c r="Q53" s="885"/>
      <c r="R53" s="885"/>
      <c r="S53" s="885"/>
      <c r="T53" s="465" cm="1" t="str">
        <f t="array" ref="T53:T53">T52</f>
        <v>false</v>
      </c>
      <c r="U53" s="885"/>
      <c r="V53" s="885"/>
      <c r="W53" s="885"/>
      <c r="X53" s="1524"/>
      <c r="Y53" s="1524"/>
      <c r="Z53" s="1615"/>
      <c r="AA53" s="1617"/>
      <c r="AB53" s="88" t="str">
        <f>AB52&amp;".1"</f>
        <v>4.0.1.1</v>
      </c>
      <c r="AC53" s="221" t="s">
        <v>1809</v>
      </c>
      <c r="AD53" s="88" t="s">
        <v>1247</v>
      </c>
      <c r="AE53" s="3536"/>
      <c r="AF53" s="3536"/>
      <c r="AG53" s="3536"/>
      <c r="AH53" s="3536"/>
      <c r="AI53" s="3536"/>
      <c r="AJ53" s="3536"/>
      <c r="AK53" s="3536"/>
      <c r="AL53" s="3536"/>
      <c r="AM53" s="3536"/>
      <c r="AN53" s="3536"/>
      <c r="AO53" s="3536"/>
      <c r="AP53" s="3536"/>
      <c r="AQ53" s="3536"/>
      <c r="AR53" s="3536"/>
      <c r="AS53" s="3536"/>
      <c r="AT53" s="3536"/>
      <c r="AU53" s="3536"/>
      <c r="AV53" s="3536"/>
      <c r="AW53" s="3536"/>
      <c r="AX53" s="3536"/>
      <c r="AY53" s="3536"/>
      <c r="AZ53" s="3536"/>
      <c r="BA53" s="3536"/>
      <c r="BB53" s="3536"/>
      <c r="BC53" s="2070"/>
      <c r="BD53" s="885"/>
      <c r="BE53" s="885"/>
      <c r="BF53" s="1041" t="s">
        <v>1787</v>
      </c>
      <c r="BG53" s="1041" t="s">
        <v>1808</v>
      </c>
      <c r="BH53" s="1041" cm="1" t="str">
        <f t="array" ref="BH53:BH53">BH52</f>
        <v/>
      </c>
      <c r="BI53" s="678"/>
      <c r="BJ53" s="678"/>
    </row>
    <row customHeight="1" ht="14.625" hidden="1">
      <c r="A54" s="885"/>
      <c r="B54" s="440"/>
      <c r="C54" s="885"/>
      <c r="D54" s="885"/>
      <c r="E54" s="678">
        <v>15</v>
      </c>
      <c r="F54" s="1387" cm="1" t="str">
        <f t="array" ref="F54:F54">OFFSET(E54,-1,1)</f>
        <v>0</v>
      </c>
      <c r="G54" s="885"/>
      <c r="H54" s="155"/>
      <c r="I54" s="885"/>
      <c r="J54" s="885"/>
      <c r="K54" s="911"/>
      <c r="L54" s="885"/>
      <c r="M54" s="885"/>
      <c r="N54" s="885"/>
      <c r="O54" s="885"/>
      <c r="P54" s="885"/>
      <c r="Q54" s="885"/>
      <c r="R54" s="885"/>
      <c r="S54" s="885"/>
      <c r="T54" s="1356" cm="1" t="str">
        <f t="array" ref="T54:T54">T53</f>
        <v>false</v>
      </c>
      <c r="U54" s="885"/>
      <c r="V54" s="885"/>
      <c r="W54" s="885"/>
      <c r="X54" s="684"/>
      <c r="Y54" s="1524"/>
      <c r="Z54" s="885"/>
      <c r="AA54" s="1697"/>
      <c r="AB54" s="1706" t="str">
        <f>AB52&amp;".2"</f>
        <v>4.0.1.2</v>
      </c>
      <c r="AC54" s="1707" t="s">
        <v>1810</v>
      </c>
      <c r="AD54" s="1706" t="s">
        <v>1789</v>
      </c>
      <c r="AE54" s="3644"/>
      <c r="AF54" s="3644"/>
      <c r="AG54" s="3644"/>
      <c r="AH54" s="3644"/>
      <c r="AI54" s="3644"/>
      <c r="AJ54" s="3644"/>
      <c r="AK54" s="3644"/>
      <c r="AL54" s="3644"/>
      <c r="AM54" s="3644"/>
      <c r="AN54" s="3644"/>
      <c r="AO54" s="3644"/>
      <c r="AP54" s="3644"/>
      <c r="AQ54" s="3644"/>
      <c r="AR54" s="3644"/>
      <c r="AS54" s="3644"/>
      <c r="AT54" s="3644"/>
      <c r="AU54" s="3644"/>
      <c r="AV54" s="3644"/>
      <c r="AW54" s="3644"/>
      <c r="AX54" s="3644"/>
      <c r="AY54" s="3644"/>
      <c r="AZ54" s="3644"/>
      <c r="BA54" s="3644"/>
      <c r="BB54" s="3644"/>
      <c r="BC54" s="3645"/>
      <c r="BD54" s="885"/>
      <c r="BE54" s="885"/>
      <c r="BF54" s="1041" t="s">
        <v>1790</v>
      </c>
      <c r="BG54" s="1041" t="s">
        <v>1808</v>
      </c>
      <c r="BH54" s="1710" cm="1" t="str">
        <f t="array" ref="BH54:BH54">BH53</f>
        <v/>
      </c>
      <c r="BI54" s="678"/>
      <c r="BJ54" s="678"/>
    </row>
    <row customHeight="1" ht="14.625" hidden="1">
      <c r="A55" s="885"/>
      <c r="B55" s="440"/>
      <c r="C55" s="885"/>
      <c r="D55" s="885"/>
      <c r="E55" s="678">
        <v>15</v>
      </c>
      <c r="F55" s="50" cm="1" t="str">
        <f t="array" ref="F55:F55">OFFSET(E55,-1,1)</f>
        <v>0</v>
      </c>
      <c r="G55" s="885"/>
      <c r="H55" s="152" t="str">
        <f>"!=='не определено' &amp;&amp; row.l4 !== null"</f>
        <v>!=='не определено' &amp;&amp; row.l4 !== null</v>
      </c>
      <c r="I55" s="885"/>
      <c r="J55" s="885"/>
      <c r="K55" s="911"/>
      <c r="L55" s="885"/>
      <c r="M55" s="885"/>
      <c r="N55" s="885"/>
      <c r="O55" s="885"/>
      <c r="P55" s="885"/>
      <c r="Q55" s="885"/>
      <c r="R55" s="885"/>
      <c r="S55" s="885"/>
      <c r="T55" s="465">
        <f>F55&gt;0</f>
        <v>0</v>
      </c>
      <c r="U55" s="885"/>
      <c r="V55" s="885"/>
      <c r="W55" s="685" t="s">
        <v>1811</v>
      </c>
      <c r="X55" s="1524"/>
      <c r="Y55" s="683"/>
      <c r="Z55" s="1615"/>
      <c r="AA55" s="885"/>
      <c r="AB55" s="681"/>
      <c r="AC55" s="232" t="s">
        <v>1792</v>
      </c>
      <c r="AD55" s="232"/>
      <c r="AE55" s="232"/>
      <c r="AF55" s="232"/>
      <c r="AG55" s="232"/>
      <c r="AH55" s="232"/>
      <c r="AI55" s="232"/>
      <c r="AJ55" s="232"/>
      <c r="AK55" s="232"/>
      <c r="AL55" s="232"/>
      <c r="AM55" s="232"/>
      <c r="AN55" s="232"/>
      <c r="AO55" s="232"/>
      <c r="AP55" s="232"/>
      <c r="AQ55" s="232"/>
      <c r="AR55" s="232"/>
      <c r="AS55" s="232"/>
      <c r="AT55" s="232"/>
      <c r="AU55" s="232"/>
      <c r="AV55" s="232"/>
      <c r="AW55" s="232"/>
      <c r="AX55" s="232"/>
      <c r="AY55" s="232"/>
      <c r="AZ55" s="232"/>
      <c r="BA55" s="232"/>
      <c r="BB55" s="232"/>
      <c r="BC55" s="233"/>
      <c r="BD55" s="885"/>
      <c r="BE55" s="885"/>
      <c r="BF55" s="1041"/>
      <c r="BG55" s="1041"/>
      <c r="BH55" s="1041"/>
      <c r="BI55" s="678" t="s">
        <v>1808</v>
      </c>
      <c r="BJ55" s="678"/>
    </row>
    <row customHeight="1" ht="22.425" hidden="1">
      <c r="A56" s="885"/>
      <c r="B56" s="440"/>
      <c r="C56" s="885"/>
      <c r="D56" s="885"/>
      <c r="E56" s="678">
        <v>23</v>
      </c>
      <c r="F56" s="50" cm="1" t="str">
        <f t="array" ref="F56:F56">OFFSET(E56,-1,1)</f>
        <v>0</v>
      </c>
      <c r="G56" s="885"/>
      <c r="H56" s="885"/>
      <c r="I56" s="885"/>
      <c r="J56" s="885"/>
      <c r="K56" s="911" t="str">
        <f>F28&amp;"5komm"</f>
        <v>05komm</v>
      </c>
      <c r="L56" s="915" cm="1" t="str">
        <f t="array" ref="L56:L56">BC56</f>
        <v>0</v>
      </c>
      <c r="M56" s="885"/>
      <c r="N56" s="885"/>
      <c r="O56" s="885"/>
      <c r="P56" s="885"/>
      <c r="Q56" s="885"/>
      <c r="R56" s="885"/>
      <c r="S56" s="885"/>
      <c r="T56" s="465" cm="1" t="str">
        <f t="array" ref="T56:T56">T55</f>
        <v>false</v>
      </c>
      <c r="U56" s="885"/>
      <c r="V56" s="885"/>
      <c r="W56" s="885"/>
      <c r="X56" s="1524"/>
      <c r="Y56" s="684"/>
      <c r="Z56" s="1615"/>
      <c r="AA56" s="885"/>
      <c r="AB56" s="211">
        <v>5</v>
      </c>
      <c r="AC56" s="212" t="s">
        <v>1812</v>
      </c>
      <c r="AD56" s="211" t="s">
        <v>1514</v>
      </c>
      <c r="AE56" s="213">
        <f>SUMIF(AD59:AD62,AD56,AE59:AE62)</f>
        <v>0</v>
      </c>
      <c r="AF56" s="213">
        <f>SUMIF(AD59:AD62,AD56,AF59:AF62)</f>
        <v>0</v>
      </c>
      <c r="AG56" s="213">
        <f>SUMIF(AD59:AD62,AD56,AG59:AG62)</f>
        <v>0</v>
      </c>
      <c r="AH56" s="213">
        <f>SUMIF(AD59:AD62,AD56,AH59:AH62)</f>
        <v>0</v>
      </c>
      <c r="AI56" s="213">
        <f>SUMIF(AD59:AD62,AD56,AI59:AI62)</f>
        <v>0</v>
      </c>
      <c r="AJ56" s="3626">
        <f>SUMIF(AD59:AD62,AD56,AJ59:AJ62)</f>
        <v>0</v>
      </c>
      <c r="AK56" s="3626">
        <f>SUMIF(AD59:AD62,AD56,AK59:AK62)</f>
        <v>0</v>
      </c>
      <c r="AL56" s="3626">
        <f>SUMIF(AD59:AD62,AD56,AL59:AL62)</f>
        <v>0</v>
      </c>
      <c r="AM56" s="3626">
        <f>SUMIF(AD59:AD62,AD56,AM59:AM62)</f>
        <v>0</v>
      </c>
      <c r="AN56" s="3626">
        <f>SUMIF(AD59:AD62,AD56,AN59:AN62)</f>
        <v>0</v>
      </c>
      <c r="AO56" s="3626">
        <f>SUMIF(AD59:AD62,AD56,AO59:AO62)</f>
        <v>0</v>
      </c>
      <c r="AP56" s="3626">
        <f>SUMIF(AD59:AD62,AD56,AP59:AP62)</f>
        <v>0</v>
      </c>
      <c r="AQ56" s="3626">
        <f>SUMIF(AD59:AD62,AD56,AQ59:AQ62)</f>
        <v>0</v>
      </c>
      <c r="AR56" s="3626">
        <f>SUMIF(AD59:AD62,AD56,AR59:AR62)</f>
        <v>0</v>
      </c>
      <c r="AS56" s="213">
        <f>SUMIF(AD59:AD62,AD56,AS59:AS62)</f>
        <v>0</v>
      </c>
      <c r="AT56" s="3626">
        <f>SUMIF(AD59:AD62,AD56,AT59:AT62)</f>
        <v>0</v>
      </c>
      <c r="AU56" s="3626">
        <f>SUMIF(AD59:AD62,AD56,AU59:AU62)</f>
        <v>0</v>
      </c>
      <c r="AV56" s="3626">
        <f>SUMIF(AD59:AD62,AD56,AV59:AV62)</f>
        <v>0</v>
      </c>
      <c r="AW56" s="3626">
        <f>SUMIF(AD59:AD62,AD56,AW59:AW62)</f>
        <v>0</v>
      </c>
      <c r="AX56" s="3626">
        <f>SUMIF(AD59:AD62,AD56,AX59:AX62)</f>
        <v>0</v>
      </c>
      <c r="AY56" s="3626">
        <f>SUMIF(AD59:AD62,AD56,AY59:AY62)</f>
        <v>0</v>
      </c>
      <c r="AZ56" s="3626">
        <f>SUMIF(AD59:AD62,AD56,AZ59:AZ62)</f>
        <v>0</v>
      </c>
      <c r="BA56" s="3626">
        <f>SUMIF(AD59:AD62,AD56,BA59:BA62)</f>
        <v>0</v>
      </c>
      <c r="BB56" s="3626">
        <f>SUMIF(AD59:AD62,AD56,BB59:BB62)</f>
        <v>0</v>
      </c>
      <c r="BC56" s="2070"/>
      <c r="BD56" s="885"/>
      <c r="BE56" s="885"/>
      <c r="BF56" s="1041" t="s">
        <v>1813</v>
      </c>
      <c r="BG56" s="1041"/>
      <c r="BH56" s="1041"/>
      <c r="BI56" s="678"/>
      <c r="BJ56" s="678"/>
    </row>
    <row customHeight="1" ht="15" hidden="1">
      <c r="A57" s="885"/>
      <c r="B57" s="440"/>
      <c r="C57" s="885"/>
      <c r="D57" s="885"/>
      <c r="E57" s="678">
        <v>0</v>
      </c>
      <c r="F57" s="50" cm="1" t="str">
        <f t="array" ref="F57:F57">OFFSET(E57,-1,1)</f>
        <v>0</v>
      </c>
      <c r="G57" s="152" t="s">
        <v>335</v>
      </c>
      <c r="H57" s="885"/>
      <c r="I57" s="885"/>
      <c r="J57" s="885"/>
      <c r="K57" s="911"/>
      <c r="L57" s="915"/>
      <c r="M57" s="885"/>
      <c r="N57" s="885"/>
      <c r="O57" s="885"/>
      <c r="P57" s="885"/>
      <c r="Q57" s="885"/>
      <c r="R57" s="885"/>
      <c r="S57" s="885"/>
      <c r="T57" s="465" t="b">
        <v>0</v>
      </c>
      <c r="U57" s="885"/>
      <c r="V57" s="885"/>
      <c r="W57" s="152" t="s">
        <v>174</v>
      </c>
      <c r="X57" s="1524"/>
      <c r="Y57" s="1524">
        <v>0</v>
      </c>
      <c r="Z57" s="1615"/>
      <c r="AA57" s="1617" t="s">
        <v>175</v>
      </c>
      <c r="AB57" s="211"/>
      <c r="AC57" s="212"/>
      <c r="AD57" s="211"/>
      <c r="AE57" s="1368">
        <f>OR(AND(AE59&lt;&gt;"",AE60=""),AND(AE59="",AE60&lt;&gt;""))</f>
        <v>0</v>
      </c>
      <c r="AF57" s="1368">
        <f>OR(AND(AF59&lt;&gt;"",AF60=""),AND(AF59="",AF60&lt;&gt;""))</f>
        <v>0</v>
      </c>
      <c r="AG57" s="1368">
        <f>OR(AND(AG59&lt;&gt;"",AG60=""),AND(AG59="",AG60&lt;&gt;""))</f>
        <v>0</v>
      </c>
      <c r="AH57" s="1368">
        <f>OR(AND(AH59&lt;&gt;"",AH60=""),AND(AH59="",AH60&lt;&gt;""))</f>
        <v>0</v>
      </c>
      <c r="AI57" s="1368">
        <f>OR(AND(AI59&lt;&gt;"",AI60=""),AND(AI59="",AI60&lt;&gt;""))</f>
        <v>0</v>
      </c>
      <c r="AJ57" s="1368">
        <f>OR(AND(AJ59&lt;&gt;"",AJ60=""),AND(AJ59="",AJ60&lt;&gt;""))</f>
        <v>0</v>
      </c>
      <c r="AK57" s="1368">
        <f>OR(AND(AK59&lt;&gt;"",AK60=""),AND(AK59="",AK60&lt;&gt;""))</f>
        <v>0</v>
      </c>
      <c r="AL57" s="1368">
        <f>OR(AND(AL59&lt;&gt;"",AL60=""),AND(AL59="",AL60&lt;&gt;""))</f>
        <v>0</v>
      </c>
      <c r="AM57" s="1368">
        <f>OR(AND(AM59&lt;&gt;"",AM60=""),AND(AM59="",AM60&lt;&gt;""))</f>
        <v>0</v>
      </c>
      <c r="AN57" s="1368">
        <f>OR(AND(AN59&lt;&gt;"",AN60=""),AND(AN59="",AN60&lt;&gt;""))</f>
        <v>0</v>
      </c>
      <c r="AO57" s="1368">
        <f>OR(AND(AO59&lt;&gt;"",AO60=""),AND(AO59="",AO60&lt;&gt;""))</f>
        <v>0</v>
      </c>
      <c r="AP57" s="1368">
        <f>OR(AND(AP59&lt;&gt;"",AP60=""),AND(AP59="",AP60&lt;&gt;""))</f>
        <v>0</v>
      </c>
      <c r="AQ57" s="1368">
        <f>OR(AND(AQ59&lt;&gt;"",AQ60=""),AND(AQ59="",AQ60&lt;&gt;""))</f>
        <v>0</v>
      </c>
      <c r="AR57" s="1368">
        <f>OR(AND(AR59&lt;&gt;"",AR60=""),AND(AR59="",AR60&lt;&gt;""))</f>
        <v>0</v>
      </c>
      <c r="AS57" s="1368">
        <f>OR(AND(AS59&lt;&gt;"",AS60=""),AND(AS59="",AS60&lt;&gt;""))</f>
        <v>0</v>
      </c>
      <c r="AT57" s="1368">
        <f>OR(AND(AT59&lt;&gt;"",AT60=""),AND(AT59="",AT60&lt;&gt;""))</f>
        <v>0</v>
      </c>
      <c r="AU57" s="1368">
        <f>OR(AND(AU59&lt;&gt;"",AU60=""),AND(AU59="",AU60&lt;&gt;""))</f>
        <v>0</v>
      </c>
      <c r="AV57" s="1368">
        <f>OR(AND(AV59&lt;&gt;"",AV60=""),AND(AV59="",AV60&lt;&gt;""))</f>
        <v>0</v>
      </c>
      <c r="AW57" s="1368">
        <f>OR(AND(AW59&lt;&gt;"",AW60=""),AND(AW59="",AW60&lt;&gt;""))</f>
        <v>0</v>
      </c>
      <c r="AX57" s="1368">
        <f>OR(AND(AX59&lt;&gt;"",AX60=""),AND(AX59="",AX60&lt;&gt;""))</f>
        <v>0</v>
      </c>
      <c r="AY57" s="1368">
        <f>OR(AND(AY59&lt;&gt;"",AY60=""),AND(AY59="",AY60&lt;&gt;""))</f>
        <v>0</v>
      </c>
      <c r="AZ57" s="1368">
        <f>OR(AND(AZ59&lt;&gt;"",AZ60=""),AND(AZ59="",AZ60&lt;&gt;""))</f>
        <v>0</v>
      </c>
      <c r="BA57" s="1368">
        <f>OR(AND(BA59&lt;&gt;"",BA60=""),AND(BA59="",BA60&lt;&gt;""))</f>
        <v>0</v>
      </c>
      <c r="BB57" s="1368">
        <f>OR(AND(BB59&lt;&gt;"",BB60=""),AND(BB59="",BB60&lt;&gt;""))</f>
        <v>0</v>
      </c>
      <c r="BC57" s="974"/>
      <c r="BD57" s="885"/>
      <c r="BE57" s="885"/>
      <c r="BF57" s="1041"/>
      <c r="BG57" s="1041"/>
      <c r="BH57" s="1041"/>
      <c r="BI57" s="678"/>
      <c r="BJ57" s="678"/>
    </row>
    <row customHeight="1" ht="14.625" hidden="1">
      <c r="A58" s="885"/>
      <c r="B58" s="440"/>
      <c r="C58" s="885"/>
      <c r="D58" s="885"/>
      <c r="E58" s="678">
        <v>15</v>
      </c>
      <c r="F58" s="1387" cm="1" t="str">
        <f t="array" ref="F58:F58">OFFSET(E58,-1,1)</f>
        <v>0</v>
      </c>
      <c r="G58" s="885"/>
      <c r="H58" s="885"/>
      <c r="I58" s="885"/>
      <c r="J58" s="885"/>
      <c r="K58" s="911"/>
      <c r="L58" s="915"/>
      <c r="M58" s="885"/>
      <c r="N58" s="885"/>
      <c r="O58" s="885"/>
      <c r="P58" s="885"/>
      <c r="Q58" s="885"/>
      <c r="R58" s="885"/>
      <c r="S58" s="885"/>
      <c r="T58" s="1356">
        <f>AND(Y57&gt;0,F58&gt;0)</f>
        <v>0</v>
      </c>
      <c r="U58" s="885"/>
      <c r="V58" s="885"/>
      <c r="W58" s="885"/>
      <c r="X58" s="684"/>
      <c r="Y58" s="1524"/>
      <c r="Z58" s="885"/>
      <c r="AA58" s="1697"/>
      <c r="AB58" s="1698" t="str">
        <f>"5."&amp;Y57</f>
        <v>5.0</v>
      </c>
      <c r="AC58" s="1699" t="s">
        <v>227</v>
      </c>
      <c r="AD58" s="1700"/>
      <c r="AE58" s="3635"/>
      <c r="AF58" s="1702"/>
      <c r="AG58" s="3635"/>
      <c r="AH58" s="3635"/>
      <c r="AI58" s="3635"/>
      <c r="AJ58" s="3635"/>
      <c r="AK58" s="3635"/>
      <c r="AL58" s="3635"/>
      <c r="AM58" s="3635"/>
      <c r="AN58" s="3635"/>
      <c r="AO58" s="3635"/>
      <c r="AP58" s="3635"/>
      <c r="AQ58" s="3635"/>
      <c r="AR58" s="3635"/>
      <c r="AS58" s="1702"/>
      <c r="AT58" s="1702"/>
      <c r="AU58" s="1702"/>
      <c r="AV58" s="1702"/>
      <c r="AW58" s="1702"/>
      <c r="AX58" s="1702"/>
      <c r="AY58" s="1702"/>
      <c r="AZ58" s="1702"/>
      <c r="BA58" s="1702"/>
      <c r="BB58" s="1703"/>
      <c r="BC58" s="1704"/>
      <c r="BD58" s="885"/>
      <c r="BE58" s="885"/>
      <c r="BF58" s="1041"/>
      <c r="BG58" s="1041"/>
      <c r="BH58" s="1041"/>
      <c r="BI58" s="678"/>
      <c r="BJ58" s="678"/>
    </row>
    <row customHeight="1" ht="14.625" hidden="1">
      <c r="A59" s="885"/>
      <c r="B59" s="440"/>
      <c r="C59" s="885"/>
      <c r="D59" s="885"/>
      <c r="E59" s="678">
        <v>15</v>
      </c>
      <c r="F59" s="50" cm="1" t="str">
        <f t="array" ref="F59:F59">OFFSET(E59,-1,1)</f>
        <v>0</v>
      </c>
      <c r="G59" s="152" t="s">
        <v>335</v>
      </c>
      <c r="H59" s="155" cm="1" t="str">
        <f t="array" ref="H59:H59">AC59</f>
        <v>Затраты</v>
      </c>
      <c r="I59" s="152" t="s">
        <v>1814</v>
      </c>
      <c r="J59" s="885"/>
      <c r="K59" s="911"/>
      <c r="L59" s="885"/>
      <c r="M59" s="885"/>
      <c r="N59" s="885"/>
      <c r="O59" s="885"/>
      <c r="P59" s="885"/>
      <c r="Q59" s="885"/>
      <c r="R59" s="885"/>
      <c r="S59" s="885"/>
      <c r="T59" s="465" cm="1" t="str">
        <f t="array" ref="T59:T59">T58</f>
        <v>false</v>
      </c>
      <c r="U59" s="885"/>
      <c r="V59" s="885"/>
      <c r="W59" s="885"/>
      <c r="X59" s="1524"/>
      <c r="Y59" s="1524"/>
      <c r="Z59" s="1615"/>
      <c r="AA59" s="1617"/>
      <c r="AB59" s="88" t="str">
        <f>AB58&amp;".1"</f>
        <v>5.0.1</v>
      </c>
      <c r="AC59" s="1705" t="s">
        <v>1783</v>
      </c>
      <c r="AD59" s="211" t="s">
        <v>1514</v>
      </c>
      <c r="AE59" s="3536"/>
      <c r="AF59" s="3536"/>
      <c r="AG59" s="3536"/>
      <c r="AH59" s="3536"/>
      <c r="AI59" s="3536"/>
      <c r="AJ59" s="3536"/>
      <c r="AK59" s="3536"/>
      <c r="AL59" s="3536"/>
      <c r="AM59" s="3536"/>
      <c r="AN59" s="3536"/>
      <c r="AO59" s="3536"/>
      <c r="AP59" s="3536"/>
      <c r="AQ59" s="3536"/>
      <c r="AR59" s="3536"/>
      <c r="AS59" s="3536"/>
      <c r="AT59" s="3536"/>
      <c r="AU59" s="3536"/>
      <c r="AV59" s="3536"/>
      <c r="AW59" s="3536"/>
      <c r="AX59" s="3536"/>
      <c r="AY59" s="3536"/>
      <c r="AZ59" s="3536"/>
      <c r="BA59" s="3536"/>
      <c r="BB59" s="3536"/>
      <c r="BC59" s="2070"/>
      <c r="BD59" s="885"/>
      <c r="BE59" s="885"/>
      <c r="BF59" s="1041" t="s">
        <v>1784</v>
      </c>
      <c r="BG59" s="1041" t="s">
        <v>1815</v>
      </c>
      <c r="BH59" s="1041" cm="1" t="str">
        <f t="array" ref="BH59:BH59">AC58</f>
        <v/>
      </c>
      <c r="BI59" s="678"/>
      <c r="BJ59" s="678" t="b">
        <v>1</v>
      </c>
    </row>
    <row customHeight="1" ht="14.625" hidden="1">
      <c r="A60" s="885"/>
      <c r="B60" s="440"/>
      <c r="C60" s="885"/>
      <c r="D60" s="885"/>
      <c r="E60" s="678">
        <v>15</v>
      </c>
      <c r="F60" s="50" cm="1" t="str">
        <f t="array" ref="F60:F60">OFFSET(E60,-1,1)</f>
        <v>0</v>
      </c>
      <c r="G60" s="152" t="s">
        <v>1263</v>
      </c>
      <c r="H60" s="155" cm="1" t="str">
        <f t="array" ref="H60:H60">H59</f>
        <v>Затраты</v>
      </c>
      <c r="I60" s="152" t="s">
        <v>1814</v>
      </c>
      <c r="J60" s="885"/>
      <c r="K60" s="911"/>
      <c r="L60" s="885"/>
      <c r="M60" s="885"/>
      <c r="N60" s="885"/>
      <c r="O60" s="885"/>
      <c r="P60" s="885"/>
      <c r="Q60" s="885"/>
      <c r="R60" s="885"/>
      <c r="S60" s="885"/>
      <c r="T60" s="465" cm="1" t="str">
        <f t="array" ref="T60:T60">T59</f>
        <v>false</v>
      </c>
      <c r="U60" s="885"/>
      <c r="V60" s="885"/>
      <c r="W60" s="885"/>
      <c r="X60" s="1524"/>
      <c r="Y60" s="1524"/>
      <c r="Z60" s="1615"/>
      <c r="AA60" s="1617"/>
      <c r="AB60" s="88" t="str">
        <f>AB59&amp;".1"</f>
        <v>5.0.1.1</v>
      </c>
      <c r="AC60" s="221" t="s">
        <v>1816</v>
      </c>
      <c r="AD60" s="88" t="s">
        <v>1247</v>
      </c>
      <c r="AE60" s="3536"/>
      <c r="AF60" s="3536"/>
      <c r="AG60" s="3536"/>
      <c r="AH60" s="3536"/>
      <c r="AI60" s="3536"/>
      <c r="AJ60" s="3536"/>
      <c r="AK60" s="3536"/>
      <c r="AL60" s="3536"/>
      <c r="AM60" s="3536"/>
      <c r="AN60" s="3536"/>
      <c r="AO60" s="3536"/>
      <c r="AP60" s="3536"/>
      <c r="AQ60" s="3536"/>
      <c r="AR60" s="3536"/>
      <c r="AS60" s="3536"/>
      <c r="AT60" s="3536"/>
      <c r="AU60" s="3536"/>
      <c r="AV60" s="3536"/>
      <c r="AW60" s="3536"/>
      <c r="AX60" s="3536"/>
      <c r="AY60" s="3536"/>
      <c r="AZ60" s="3536"/>
      <c r="BA60" s="3536"/>
      <c r="BB60" s="3536"/>
      <c r="BC60" s="2070"/>
      <c r="BD60" s="885"/>
      <c r="BE60" s="885"/>
      <c r="BF60" s="1041" t="s">
        <v>1787</v>
      </c>
      <c r="BG60" s="1041" t="s">
        <v>1815</v>
      </c>
      <c r="BH60" s="1041" cm="1" t="str">
        <f t="array" ref="BH60:BH60">BH59</f>
        <v/>
      </c>
      <c r="BI60" s="678"/>
      <c r="BJ60" s="678"/>
    </row>
    <row customHeight="1" ht="14.625" hidden="1">
      <c r="A61" s="885"/>
      <c r="B61" s="440"/>
      <c r="C61" s="885"/>
      <c r="D61" s="885"/>
      <c r="E61" s="678">
        <v>15</v>
      </c>
      <c r="F61" s="1387" cm="1" t="str">
        <f t="array" ref="F61:F61">OFFSET(E61,-1,1)</f>
        <v>0</v>
      </c>
      <c r="G61" s="885"/>
      <c r="H61" s="155"/>
      <c r="I61" s="885"/>
      <c r="J61" s="885"/>
      <c r="K61" s="911"/>
      <c r="L61" s="885"/>
      <c r="M61" s="885"/>
      <c r="N61" s="885"/>
      <c r="O61" s="885"/>
      <c r="P61" s="885"/>
      <c r="Q61" s="885"/>
      <c r="R61" s="885"/>
      <c r="S61" s="885"/>
      <c r="T61" s="1356" cm="1" t="str">
        <f t="array" ref="T61:T61">T60</f>
        <v>false</v>
      </c>
      <c r="U61" s="885"/>
      <c r="V61" s="885"/>
      <c r="W61" s="885"/>
      <c r="X61" s="684"/>
      <c r="Y61" s="1524"/>
      <c r="Z61" s="885"/>
      <c r="AA61" s="1697"/>
      <c r="AB61" s="1706" t="str">
        <f>AB59&amp;".2"</f>
        <v>5.0.1.2</v>
      </c>
      <c r="AC61" s="1707" t="s">
        <v>1817</v>
      </c>
      <c r="AD61" s="1706" t="s">
        <v>1789</v>
      </c>
      <c r="AE61" s="3644"/>
      <c r="AF61" s="3644"/>
      <c r="AG61" s="3644"/>
      <c r="AH61" s="3644"/>
      <c r="AI61" s="3644"/>
      <c r="AJ61" s="3644"/>
      <c r="AK61" s="3644"/>
      <c r="AL61" s="3644"/>
      <c r="AM61" s="3644"/>
      <c r="AN61" s="3644"/>
      <c r="AO61" s="3644"/>
      <c r="AP61" s="3644"/>
      <c r="AQ61" s="3644"/>
      <c r="AR61" s="3644"/>
      <c r="AS61" s="3644"/>
      <c r="AT61" s="3644"/>
      <c r="AU61" s="3644"/>
      <c r="AV61" s="3644"/>
      <c r="AW61" s="3644"/>
      <c r="AX61" s="3644"/>
      <c r="AY61" s="3644"/>
      <c r="AZ61" s="3644"/>
      <c r="BA61" s="3644"/>
      <c r="BB61" s="3644"/>
      <c r="BC61" s="3645"/>
      <c r="BD61" s="885"/>
      <c r="BE61" s="885"/>
      <c r="BF61" s="1041" t="s">
        <v>1790</v>
      </c>
      <c r="BG61" s="1041" t="s">
        <v>1815</v>
      </c>
      <c r="BH61" s="1710" cm="1" t="str">
        <f t="array" ref="BH61:BH61">BH60</f>
        <v/>
      </c>
      <c r="BI61" s="678"/>
      <c r="BJ61" s="678"/>
    </row>
    <row customHeight="1" ht="14.625" hidden="1">
      <c r="A62" s="885"/>
      <c r="B62" s="440"/>
      <c r="C62" s="885"/>
      <c r="D62" s="885"/>
      <c r="E62" s="678">
        <v>15</v>
      </c>
      <c r="F62" s="50" cm="1" t="str">
        <f t="array" ref="F62:F62">OFFSET(E62,-1,1)</f>
        <v>0</v>
      </c>
      <c r="G62" s="885"/>
      <c r="H62" s="152" t="str">
        <f>"!=='не определено' &amp;&amp; row.l5 !== null"</f>
        <v>!=='не определено' &amp;&amp; row.l5 !== null</v>
      </c>
      <c r="I62" s="885"/>
      <c r="J62" s="885"/>
      <c r="K62" s="911"/>
      <c r="L62" s="885"/>
      <c r="M62" s="885"/>
      <c r="N62" s="885"/>
      <c r="O62" s="885"/>
      <c r="P62" s="885"/>
      <c r="Q62" s="885"/>
      <c r="R62" s="885"/>
      <c r="S62" s="885"/>
      <c r="T62" s="465">
        <f>F62&gt;0</f>
        <v>0</v>
      </c>
      <c r="U62" s="885"/>
      <c r="V62" s="885"/>
      <c r="W62" s="685" t="s">
        <v>1818</v>
      </c>
      <c r="X62" s="1524"/>
      <c r="Y62" s="169"/>
      <c r="Z62" s="1615"/>
      <c r="AA62" s="885"/>
      <c r="AB62" s="681"/>
      <c r="AC62" s="232" t="s">
        <v>1792</v>
      </c>
      <c r="AD62" s="232"/>
      <c r="AE62" s="232"/>
      <c r="AF62" s="232"/>
      <c r="AG62" s="232"/>
      <c r="AH62" s="232"/>
      <c r="AI62" s="232"/>
      <c r="AJ62" s="232"/>
      <c r="AK62" s="232"/>
      <c r="AL62" s="232"/>
      <c r="AM62" s="232"/>
      <c r="AN62" s="232"/>
      <c r="AO62" s="232"/>
      <c r="AP62" s="232"/>
      <c r="AQ62" s="232"/>
      <c r="AR62" s="232"/>
      <c r="AS62" s="232"/>
      <c r="AT62" s="232"/>
      <c r="AU62" s="232"/>
      <c r="AV62" s="232"/>
      <c r="AW62" s="232"/>
      <c r="AX62" s="232"/>
      <c r="AY62" s="232"/>
      <c r="AZ62" s="232"/>
      <c r="BA62" s="232"/>
      <c r="BB62" s="232"/>
      <c r="BC62" s="233"/>
      <c r="BD62" s="885"/>
      <c r="BE62" s="885"/>
      <c r="BF62" s="1041"/>
      <c r="BG62" s="1041"/>
      <c r="BH62" s="1041"/>
      <c r="BI62" s="678" t="s">
        <v>1815</v>
      </c>
      <c r="BJ62" s="678"/>
    </row>
    <row s="153" customFormat="1" customHeight="1" ht="14.625" hidden="1">
      <c r="A63" s="153"/>
      <c r="B63" s="441"/>
      <c r="C63" s="153"/>
      <c r="D63" s="153"/>
      <c r="E63" s="679">
        <v>15</v>
      </c>
      <c r="F63" s="50" cm="1" t="str">
        <f t="array" ref="F63:F63">OFFSET(E63,-1,1)</f>
        <v>0</v>
      </c>
      <c r="G63" s="152" t="s">
        <v>1225</v>
      </c>
      <c r="H63" s="153"/>
      <c r="I63" s="153"/>
      <c r="J63" s="153"/>
      <c r="K63" s="911" t="str">
        <f>F28&amp;"6komm"</f>
        <v>06komm</v>
      </c>
      <c r="L63" s="915" cm="1" t="str">
        <f t="array" ref="L63:L63">BC63</f>
        <v>0</v>
      </c>
      <c r="M63" s="153"/>
      <c r="N63" s="153"/>
      <c r="O63" s="153"/>
      <c r="P63" s="153"/>
      <c r="Q63" s="153"/>
      <c r="R63" s="153"/>
      <c r="S63" s="153"/>
      <c r="T63" s="465" cm="1" t="str">
        <f t="array" ref="T63:T63">T62</f>
        <v>false</v>
      </c>
      <c r="U63" s="153"/>
      <c r="V63" s="153"/>
      <c r="W63" s="153"/>
      <c r="X63" s="1524"/>
      <c r="Y63" s="153"/>
      <c r="Z63" s="1615"/>
      <c r="AA63" s="153"/>
      <c r="AB63" s="211">
        <v>6</v>
      </c>
      <c r="AC63" s="212" t="s">
        <v>1819</v>
      </c>
      <c r="AD63" s="211" t="s">
        <v>1514</v>
      </c>
      <c r="AE63" s="3657">
        <f>SUMIF($AC66:$AC73,"Затраты на тепловую энергию, всего",AE66:AE73)</f>
        <v>0</v>
      </c>
      <c r="AF63" s="3657">
        <f>SUMIF($AC66:$AC73,"Затраты на тепловую энергию, всего",AF66:AF73)</f>
        <v>0</v>
      </c>
      <c r="AG63" s="3657">
        <f>SUMIF($AC66:$AC73,"Затраты на тепловую энергию, всего",AG66:AG73)</f>
        <v>0</v>
      </c>
      <c r="AH63" s="3657">
        <f>SUMIF($AC66:$AC73,"Затраты на тепловую энергию, всего",AH66:AH73)</f>
        <v>0</v>
      </c>
      <c r="AI63" s="3657">
        <f>SUMIF($AC66:$AC73,"Затраты на тепловую энергию, всего",AI66:AI73)</f>
        <v>0</v>
      </c>
      <c r="AJ63" s="3658">
        <f>SUMIF($AC66:$AC73,"Затраты на тепловую энергию, всего",AJ66:AJ73)</f>
        <v>0</v>
      </c>
      <c r="AK63" s="3658">
        <f>SUMIF($AC66:$AC73,"Затраты на тепловую энергию, всего",AK66:AK73)</f>
        <v>0</v>
      </c>
      <c r="AL63" s="3658">
        <f>SUMIF($AC66:$AC73,"Затраты на тепловую энергию, всего",AL66:AL73)</f>
        <v>0</v>
      </c>
      <c r="AM63" s="3658">
        <f>SUMIF($AC66:$AC73,"Затраты на тепловую энергию, всего",AM66:AM73)</f>
        <v>0</v>
      </c>
      <c r="AN63" s="3658">
        <f>SUMIF($AC66:$AC73,"Затраты на тепловую энергию, всего",AN66:AN73)</f>
        <v>0</v>
      </c>
      <c r="AO63" s="3658">
        <f>SUMIF($AC66:$AC73,"Затраты на тепловую энергию, всего",AO66:AO73)</f>
        <v>0</v>
      </c>
      <c r="AP63" s="3658">
        <f>SUMIF($AC66:$AC73,"Затраты на тепловую энергию, всего",AP66:AP73)</f>
        <v>0</v>
      </c>
      <c r="AQ63" s="3658">
        <f>SUMIF($AC66:$AC73,"Затраты на тепловую энергию, всего",AQ66:AQ73)</f>
        <v>0</v>
      </c>
      <c r="AR63" s="3658">
        <f>SUMIF($AC66:$AC73,"Затраты на тепловую энергию, всего",AR66:AR73)</f>
        <v>0</v>
      </c>
      <c r="AS63" s="3657">
        <f>SUMIF($AC66:$AC73,"Затраты на тепловую энергию, всего",AS66:AS73)</f>
        <v>0</v>
      </c>
      <c r="AT63" s="3658">
        <f>SUMIF($AC66:$AC73,"Затраты на тепловую энергию, всего",AT66:AT73)</f>
        <v>0</v>
      </c>
      <c r="AU63" s="3658">
        <f>SUMIF($AC66:$AC73,"Затраты на тепловую энергию, всего",AU66:AU73)</f>
        <v>0</v>
      </c>
      <c r="AV63" s="3658">
        <f>SUMIF($AC66:$AC73,"Затраты на тепловую энергию, всего",AV66:AV73)</f>
        <v>0</v>
      </c>
      <c r="AW63" s="3658">
        <f>SUMIF($AC66:$AC73,"Затраты на тепловую энергию, всего",AW66:AW73)</f>
        <v>0</v>
      </c>
      <c r="AX63" s="3658">
        <f>SUMIF($AC66:$AC73,"Затраты на тепловую энергию, всего",AX66:AX73)</f>
        <v>0</v>
      </c>
      <c r="AY63" s="3658">
        <f>SUMIF($AC66:$AC73,"Затраты на тепловую энергию, всего",AY66:AY73)</f>
        <v>0</v>
      </c>
      <c r="AZ63" s="3658">
        <f>SUMIF($AC66:$AC73,"Затраты на тепловую энергию, всего",AZ66:AZ73)</f>
        <v>0</v>
      </c>
      <c r="BA63" s="3658">
        <f>SUMIF($AC66:$AC73,"Затраты на тепловую энергию, всего",BA66:BA73)</f>
        <v>0</v>
      </c>
      <c r="BB63" s="3658">
        <f>SUMIF($AC66:$AC73,"Затраты на тепловую энергию, всего",BB66:BB73)</f>
        <v>0</v>
      </c>
      <c r="BC63" s="2070"/>
      <c r="BD63" s="153"/>
      <c r="BE63" s="153"/>
      <c r="BF63" s="1044" t="s">
        <v>1820</v>
      </c>
      <c r="BG63" s="1044"/>
      <c r="BH63" s="1044"/>
      <c r="BI63" s="679"/>
      <c r="BJ63" s="679"/>
    </row>
    <row customHeight="1" ht="14.625" hidden="1">
      <c r="A64" s="885"/>
      <c r="B64" s="441"/>
      <c r="C64" s="885"/>
      <c r="D64" s="885"/>
      <c r="E64" s="678">
        <v>15</v>
      </c>
      <c r="F64" s="1387" cm="1" t="str">
        <f t="array" ref="F64:F64">OFFSET(E64,-1,1)</f>
        <v>0</v>
      </c>
      <c r="G64" s="885"/>
      <c r="H64" s="885"/>
      <c r="I64" s="885"/>
      <c r="J64" s="885"/>
      <c r="K64" s="911"/>
      <c r="L64" s="915"/>
      <c r="M64" s="885"/>
      <c r="N64" s="885"/>
      <c r="O64" s="885"/>
      <c r="P64" s="885"/>
      <c r="Q64" s="885"/>
      <c r="R64" s="885"/>
      <c r="S64" s="885"/>
      <c r="T64" s="1356" t="b">
        <v>0</v>
      </c>
      <c r="U64" s="885"/>
      <c r="V64" s="885"/>
      <c r="W64" s="885" t="s">
        <v>174</v>
      </c>
      <c r="X64" s="684"/>
      <c r="Y64" s="1524">
        <v>0</v>
      </c>
      <c r="Z64" s="885"/>
      <c r="AA64" s="1714" t="s">
        <v>175</v>
      </c>
      <c r="AB64" s="1700"/>
      <c r="AC64" s="1522"/>
      <c r="AD64" s="1715"/>
      <c r="AE64" s="1716">
        <f>OR(AND(AE67&lt;&gt;"",AE68=""),AND(AE67="",AE68&lt;&gt;""))</f>
        <v>0</v>
      </c>
      <c r="AF64" s="1716">
        <f>OR(AND(AF67&lt;&gt;"",AF68=""),AND(AF67="",AF68&lt;&gt;""))</f>
        <v>0</v>
      </c>
      <c r="AG64" s="1716">
        <f>OR(AND(AG67&lt;&gt;"",AG68=""),AND(AG67="",AG68&lt;&gt;""))</f>
        <v>0</v>
      </c>
      <c r="AH64" s="1716">
        <f>OR(AND(AH67&lt;&gt;"",AH68=""),AND(AH67="",AH68&lt;&gt;""))</f>
        <v>0</v>
      </c>
      <c r="AI64" s="1716">
        <f>OR(AND(AI67&lt;&gt;"",AI68=""),AND(AI67="",AI68&lt;&gt;""))</f>
        <v>0</v>
      </c>
      <c r="AJ64" s="1716">
        <f>OR(AND(AJ67&lt;&gt;"",AJ68=""),AND(AJ67="",AJ68&lt;&gt;""))</f>
        <v>0</v>
      </c>
      <c r="AK64" s="1716">
        <f>OR(AND(AK67&lt;&gt;"",AK68=""),AND(AK67="",AK68&lt;&gt;""))</f>
        <v>0</v>
      </c>
      <c r="AL64" s="1716">
        <f>OR(AND(AL67&lt;&gt;"",AL68=""),AND(AL67="",AL68&lt;&gt;""))</f>
        <v>0</v>
      </c>
      <c r="AM64" s="1716">
        <f>OR(AND(AM67&lt;&gt;"",AM68=""),AND(AM67="",AM68&lt;&gt;""))</f>
        <v>0</v>
      </c>
      <c r="AN64" s="1716">
        <f>OR(AND(AN67&lt;&gt;"",AN68=""),AND(AN67="",AN68&lt;&gt;""))</f>
        <v>0</v>
      </c>
      <c r="AO64" s="1716">
        <f>OR(AND(AO67&lt;&gt;"",AO68=""),AND(AO67="",AO68&lt;&gt;""))</f>
        <v>0</v>
      </c>
      <c r="AP64" s="1716">
        <f>OR(AND(AP67&lt;&gt;"",AP68=""),AND(AP67="",AP68&lt;&gt;""))</f>
        <v>0</v>
      </c>
      <c r="AQ64" s="1716">
        <f>OR(AND(AQ67&lt;&gt;"",AQ68=""),AND(AQ67="",AQ68&lt;&gt;""))</f>
        <v>0</v>
      </c>
      <c r="AR64" s="1716">
        <f>OR(AND(AR67&lt;&gt;"",AR68=""),AND(AR67="",AR68&lt;&gt;""))</f>
        <v>0</v>
      </c>
      <c r="AS64" s="1716">
        <f>OR(AND(AS67&lt;&gt;"",AS68=""),AND(AS67="",AS68&lt;&gt;""))</f>
        <v>0</v>
      </c>
      <c r="AT64" s="1716">
        <f>OR(AND(AT67&lt;&gt;"",AT68=""),AND(AT67="",AT68&lt;&gt;""))</f>
        <v>0</v>
      </c>
      <c r="AU64" s="1716">
        <f>OR(AND(AU67&lt;&gt;"",AU68=""),AND(AU67="",AU68&lt;&gt;""))</f>
        <v>0</v>
      </c>
      <c r="AV64" s="1716">
        <f>OR(AND(AV67&lt;&gt;"",AV68=""),AND(AV67="",AV68&lt;&gt;""))</f>
        <v>0</v>
      </c>
      <c r="AW64" s="1716">
        <f>OR(AND(AW67&lt;&gt;"",AW68=""),AND(AW67="",AW68&lt;&gt;""))</f>
        <v>0</v>
      </c>
      <c r="AX64" s="1716">
        <f>OR(AND(AX67&lt;&gt;"",AX68=""),AND(AX67="",AX68&lt;&gt;""))</f>
        <v>0</v>
      </c>
      <c r="AY64" s="1716">
        <f>OR(AND(AY67&lt;&gt;"",AY68=""),AND(AY67="",AY68&lt;&gt;""))</f>
        <v>0</v>
      </c>
      <c r="AZ64" s="1716">
        <f>OR(AND(AZ67&lt;&gt;"",AZ68=""),AND(AZ67="",AZ68&lt;&gt;""))</f>
        <v>0</v>
      </c>
      <c r="BA64" s="1716">
        <f>OR(AND(BA67&lt;&gt;"",BA68=""),AND(BA67="",BA68&lt;&gt;""))</f>
        <v>0</v>
      </c>
      <c r="BB64" s="1716">
        <f>OR(AND(BB67&lt;&gt;"",BB68=""),AND(BB67="",BB68&lt;&gt;""))</f>
        <v>0</v>
      </c>
      <c r="BC64" s="1716"/>
      <c r="BD64" s="885"/>
      <c r="BE64" s="885"/>
      <c r="BF64" s="1044"/>
      <c r="BG64" s="1044"/>
      <c r="BH64" s="1044"/>
      <c r="BI64" s="679"/>
      <c r="BJ64" s="679"/>
    </row>
    <row customHeight="1" ht="14.625" hidden="1">
      <c r="A65" s="885"/>
      <c r="B65" s="441"/>
      <c r="C65" s="885"/>
      <c r="D65" s="885"/>
      <c r="E65" s="678">
        <v>15</v>
      </c>
      <c r="F65" s="1387" cm="1" t="str">
        <f t="array" ref="F65:F65">OFFSET(E65,-1,1)</f>
        <v>0</v>
      </c>
      <c r="G65" s="885"/>
      <c r="H65" s="885"/>
      <c r="I65" s="885"/>
      <c r="J65" s="885"/>
      <c r="K65" s="911"/>
      <c r="L65" s="915"/>
      <c r="M65" s="885"/>
      <c r="N65" s="885"/>
      <c r="O65" s="885"/>
      <c r="P65" s="885"/>
      <c r="Q65" s="885"/>
      <c r="R65" s="885"/>
      <c r="S65" s="885"/>
      <c r="T65" s="1356">
        <f>AND(F65&gt;0,Y64&gt;0)</f>
        <v>0</v>
      </c>
      <c r="U65" s="885"/>
      <c r="V65" s="885"/>
      <c r="W65" s="885"/>
      <c r="X65" s="684"/>
      <c r="Y65" s="1524"/>
      <c r="Z65" s="885"/>
      <c r="AA65" s="1714"/>
      <c r="AB65" s="1698" t="str">
        <f>"6."&amp;Y64</f>
        <v>6.0</v>
      </c>
      <c r="AC65" s="1717"/>
      <c r="AD65" s="1715"/>
      <c r="AE65" s="1702"/>
      <c r="AF65" s="1702"/>
      <c r="AG65" s="1702"/>
      <c r="AH65" s="1702"/>
      <c r="AI65" s="1702"/>
      <c r="AJ65" s="1702"/>
      <c r="AK65" s="1702"/>
      <c r="AL65" s="1702"/>
      <c r="AM65" s="1702"/>
      <c r="AN65" s="1702"/>
      <c r="AO65" s="1702"/>
      <c r="AP65" s="1702"/>
      <c r="AQ65" s="1702"/>
      <c r="AR65" s="1702"/>
      <c r="AS65" s="1702"/>
      <c r="AT65" s="1702"/>
      <c r="AU65" s="1702"/>
      <c r="AV65" s="1702"/>
      <c r="AW65" s="1702"/>
      <c r="AX65" s="1702"/>
      <c r="AY65" s="1702"/>
      <c r="AZ65" s="1702"/>
      <c r="BA65" s="1702"/>
      <c r="BB65" s="1702"/>
      <c r="BC65" s="1702"/>
      <c r="BD65" s="885"/>
      <c r="BE65" s="885"/>
      <c r="BF65" s="1044"/>
      <c r="BG65" s="1044"/>
      <c r="BH65" s="1044"/>
      <c r="BI65" s="679"/>
      <c r="BJ65" s="679"/>
    </row>
    <row customHeight="1" ht="14.625" hidden="1">
      <c r="A66" s="885"/>
      <c r="B66" s="441"/>
      <c r="C66" s="885"/>
      <c r="D66" s="885"/>
      <c r="E66" s="678">
        <v>15</v>
      </c>
      <c r="F66" s="1387" cm="1" t="str">
        <f t="array" ref="F66:F66">OFFSET(E66,-1,1)</f>
        <v>0</v>
      </c>
      <c r="G66" s="885"/>
      <c r="H66" s="885"/>
      <c r="I66" s="885"/>
      <c r="J66" s="885"/>
      <c r="K66" s="911"/>
      <c r="L66" s="915"/>
      <c r="M66" s="885"/>
      <c r="N66" s="885"/>
      <c r="O66" s="885"/>
      <c r="P66" s="885"/>
      <c r="Q66" s="885"/>
      <c r="R66" s="885"/>
      <c r="S66" s="885"/>
      <c r="T66" s="1356" cm="1" t="str">
        <f t="array" ref="T66:T66">T65</f>
        <v>false</v>
      </c>
      <c r="U66" s="885"/>
      <c r="V66" s="885"/>
      <c r="W66" s="885"/>
      <c r="X66" s="684"/>
      <c r="Y66" s="1524"/>
      <c r="Z66" s="885"/>
      <c r="AA66" s="1714"/>
      <c r="AB66" s="1698" t="str">
        <f>AB65&amp;".1"</f>
        <v>6.0.1</v>
      </c>
      <c r="AC66" s="1718" t="s">
        <v>1821</v>
      </c>
      <c r="AD66" s="1706" t="s">
        <v>1514</v>
      </c>
      <c r="AE66" s="3666">
        <f>AE67+AE70</f>
        <v>0</v>
      </c>
      <c r="AF66" s="3667">
        <f>AF67+AF70</f>
        <v>0</v>
      </c>
      <c r="AG66" s="3666">
        <f>AG67+AG70</f>
        <v>0</v>
      </c>
      <c r="AH66" s="3666">
        <f>AH67+AH70</f>
        <v>0</v>
      </c>
      <c r="AI66" s="3667">
        <f>AI67+AI70</f>
        <v>0</v>
      </c>
      <c r="AJ66" s="3668">
        <f>AJ67+AJ70</f>
        <v>0</v>
      </c>
      <c r="AK66" s="3668">
        <f>AK67+AK70</f>
        <v>0</v>
      </c>
      <c r="AL66" s="3668">
        <f>AL67+AL70</f>
        <v>0</v>
      </c>
      <c r="AM66" s="3668">
        <f>AM67+AM70</f>
        <v>0</v>
      </c>
      <c r="AN66" s="3668">
        <f>AN67+AN70</f>
        <v>0</v>
      </c>
      <c r="AO66" s="3668">
        <f>AO67+AO70</f>
        <v>0</v>
      </c>
      <c r="AP66" s="3668">
        <f>AP67+AP70</f>
        <v>0</v>
      </c>
      <c r="AQ66" s="3668">
        <f>AQ67+AQ70</f>
        <v>0</v>
      </c>
      <c r="AR66" s="3668">
        <f>AR67+AR70</f>
        <v>0</v>
      </c>
      <c r="AS66" s="3667">
        <f>AS67+AS70</f>
        <v>0</v>
      </c>
      <c r="AT66" s="3668">
        <f>AT67+AT70</f>
        <v>0</v>
      </c>
      <c r="AU66" s="3668">
        <f>AU67+AU70</f>
        <v>0</v>
      </c>
      <c r="AV66" s="3668">
        <f>AV67+AV70</f>
        <v>0</v>
      </c>
      <c r="AW66" s="3668">
        <f>AW67+AW70</f>
        <v>0</v>
      </c>
      <c r="AX66" s="3668">
        <f>AX67+AX70</f>
        <v>0</v>
      </c>
      <c r="AY66" s="3668">
        <f>AY67+AY70</f>
        <v>0</v>
      </c>
      <c r="AZ66" s="3668">
        <f>AZ67+AZ70</f>
        <v>0</v>
      </c>
      <c r="BA66" s="3668">
        <f>BA67+BA70</f>
        <v>0</v>
      </c>
      <c r="BB66" s="3668">
        <f>BB67+BB70</f>
        <v>0</v>
      </c>
      <c r="BC66" s="3645"/>
      <c r="BD66" s="885"/>
      <c r="BE66" s="885"/>
      <c r="BF66" s="1044" t="s">
        <v>1822</v>
      </c>
      <c r="BG66" s="1044" t="s">
        <v>1823</v>
      </c>
      <c r="BH66" s="1720" cm="1" t="str">
        <f t="array" ref="BH66:BH66">AC65</f>
        <v>0</v>
      </c>
      <c r="BI66" s="679"/>
      <c r="BJ66" s="679" t="b">
        <v>1</v>
      </c>
    </row>
    <row customHeight="1" ht="14.625" hidden="1">
      <c r="A67" s="885"/>
      <c r="B67" s="441"/>
      <c r="C67" s="885"/>
      <c r="D67" s="885"/>
      <c r="E67" s="678">
        <v>15</v>
      </c>
      <c r="F67" s="1387" cm="1" t="str">
        <f t="array" ref="F67:F67">OFFSET(E67,-1,1)</f>
        <v>0</v>
      </c>
      <c r="G67" s="885"/>
      <c r="H67" s="885"/>
      <c r="I67" s="885"/>
      <c r="J67" s="885"/>
      <c r="K67" s="911"/>
      <c r="L67" s="915"/>
      <c r="M67" s="885"/>
      <c r="N67" s="885"/>
      <c r="O67" s="885"/>
      <c r="P67" s="885"/>
      <c r="Q67" s="885"/>
      <c r="R67" s="885"/>
      <c r="S67" s="885"/>
      <c r="T67" s="1356" cm="1" t="str">
        <f t="array" ref="T67:T67">T66</f>
        <v>false</v>
      </c>
      <c r="U67" s="885"/>
      <c r="V67" s="885"/>
      <c r="W67" s="885"/>
      <c r="X67" s="684"/>
      <c r="Y67" s="1524"/>
      <c r="Z67" s="885"/>
      <c r="AA67" s="1714"/>
      <c r="AB67" s="1698" t="str">
        <f>AB66&amp;".1"</f>
        <v>6.0.1.1</v>
      </c>
      <c r="AC67" s="1721" t="s">
        <v>1824</v>
      </c>
      <c r="AD67" s="1722" t="s">
        <v>1514</v>
      </c>
      <c r="AE67" s="3644"/>
      <c r="AF67" s="3644"/>
      <c r="AG67" s="3644"/>
      <c r="AH67" s="3644"/>
      <c r="AI67" s="3644"/>
      <c r="AJ67" s="3644"/>
      <c r="AK67" s="3644"/>
      <c r="AL67" s="3644"/>
      <c r="AM67" s="3644"/>
      <c r="AN67" s="3644"/>
      <c r="AO67" s="3644"/>
      <c r="AP67" s="3644"/>
      <c r="AQ67" s="3644"/>
      <c r="AR67" s="3644"/>
      <c r="AS67" s="3644"/>
      <c r="AT67" s="3644"/>
      <c r="AU67" s="3644"/>
      <c r="AV67" s="3644"/>
      <c r="AW67" s="3644"/>
      <c r="AX67" s="3644"/>
      <c r="AY67" s="3644"/>
      <c r="AZ67" s="3644"/>
      <c r="BA67" s="3644"/>
      <c r="BB67" s="3644"/>
      <c r="BC67" s="3645"/>
      <c r="BD67" s="885"/>
      <c r="BE67" s="885"/>
      <c r="BF67" s="1044" t="s">
        <v>1825</v>
      </c>
      <c r="BG67" s="1044" t="s">
        <v>1823</v>
      </c>
      <c r="BH67" s="1720" cm="1" t="str">
        <f t="array" ref="BH67:BH67">BH66</f>
        <v>0</v>
      </c>
      <c r="BI67" s="679"/>
      <c r="BJ67" s="679"/>
    </row>
    <row customHeight="1" ht="14.625" hidden="1">
      <c r="A68" s="885"/>
      <c r="B68" s="441"/>
      <c r="C68" s="885"/>
      <c r="D68" s="885"/>
      <c r="E68" s="678">
        <v>15</v>
      </c>
      <c r="F68" s="1387" cm="1" t="str">
        <f t="array" ref="F68:F68">OFFSET(E68,-1,1)</f>
        <v>0</v>
      </c>
      <c r="G68" s="885"/>
      <c r="H68" s="885"/>
      <c r="I68" s="885"/>
      <c r="J68" s="885"/>
      <c r="K68" s="911"/>
      <c r="L68" s="915"/>
      <c r="M68" s="885"/>
      <c r="N68" s="885"/>
      <c r="O68" s="885"/>
      <c r="P68" s="885"/>
      <c r="Q68" s="885"/>
      <c r="R68" s="885"/>
      <c r="S68" s="885"/>
      <c r="T68" s="1356" cm="1" t="str">
        <f t="array" ref="T68:T68">T67</f>
        <v>false</v>
      </c>
      <c r="U68" s="885"/>
      <c r="V68" s="885"/>
      <c r="W68" s="885"/>
      <c r="X68" s="684"/>
      <c r="Y68" s="1524"/>
      <c r="Z68" s="885"/>
      <c r="AA68" s="1714"/>
      <c r="AB68" s="1698" t="str">
        <f>AB67&amp;".1"</f>
        <v>6.0.1.1.1</v>
      </c>
      <c r="AC68" s="1723" t="s">
        <v>1826</v>
      </c>
      <c r="AD68" s="1706" t="s">
        <v>1827</v>
      </c>
      <c r="AE68" s="3644"/>
      <c r="AF68" s="3644"/>
      <c r="AG68" s="3644"/>
      <c r="AH68" s="3644"/>
      <c r="AI68" s="3644"/>
      <c r="AJ68" s="3644"/>
      <c r="AK68" s="3644"/>
      <c r="AL68" s="3644"/>
      <c r="AM68" s="3644"/>
      <c r="AN68" s="3644"/>
      <c r="AO68" s="3644"/>
      <c r="AP68" s="3644"/>
      <c r="AQ68" s="3644"/>
      <c r="AR68" s="3644"/>
      <c r="AS68" s="3644"/>
      <c r="AT68" s="3644"/>
      <c r="AU68" s="3644"/>
      <c r="AV68" s="3644"/>
      <c r="AW68" s="3644"/>
      <c r="AX68" s="3644"/>
      <c r="AY68" s="3644"/>
      <c r="AZ68" s="3644"/>
      <c r="BA68" s="3644"/>
      <c r="BB68" s="3644"/>
      <c r="BC68" s="3645"/>
      <c r="BD68" s="885"/>
      <c r="BE68" s="885"/>
      <c r="BF68" s="1044" t="s">
        <v>1828</v>
      </c>
      <c r="BG68" s="1044" t="s">
        <v>1823</v>
      </c>
      <c r="BH68" s="1720" cm="1" t="str">
        <f t="array" ref="BH68:BH68">BH67</f>
        <v>0</v>
      </c>
      <c r="BI68" s="679"/>
      <c r="BJ68" s="679"/>
    </row>
    <row customHeight="1" ht="14.625" hidden="1">
      <c r="A69" s="885"/>
      <c r="B69" s="441"/>
      <c r="C69" s="885"/>
      <c r="D69" s="885"/>
      <c r="E69" s="678">
        <v>15</v>
      </c>
      <c r="F69" s="1387" cm="1" t="str">
        <f t="array" ref="F69:F69">OFFSET(E69,-1,1)</f>
        <v>0</v>
      </c>
      <c r="G69" s="885"/>
      <c r="H69" s="885"/>
      <c r="I69" s="885"/>
      <c r="J69" s="885"/>
      <c r="K69" s="911"/>
      <c r="L69" s="915"/>
      <c r="M69" s="885"/>
      <c r="N69" s="885"/>
      <c r="O69" s="885"/>
      <c r="P69" s="885"/>
      <c r="Q69" s="885"/>
      <c r="R69" s="885"/>
      <c r="S69" s="885"/>
      <c r="T69" s="1356" cm="1" t="str">
        <f t="array" ref="T69:T69">T68</f>
        <v>false</v>
      </c>
      <c r="U69" s="885"/>
      <c r="V69" s="885"/>
      <c r="W69" s="885"/>
      <c r="X69" s="684"/>
      <c r="Y69" s="1524"/>
      <c r="Z69" s="885"/>
      <c r="AA69" s="1714"/>
      <c r="AB69" s="1698" t="str">
        <f>AB67&amp;".2"</f>
        <v>6.0.1.1.2</v>
      </c>
      <c r="AC69" s="1723" t="s">
        <v>1829</v>
      </c>
      <c r="AD69" s="1706" t="s">
        <v>1830</v>
      </c>
      <c r="AE69" s="3644"/>
      <c r="AF69" s="3644"/>
      <c r="AG69" s="3644"/>
      <c r="AH69" s="3644"/>
      <c r="AI69" s="3644"/>
      <c r="AJ69" s="3644"/>
      <c r="AK69" s="3644"/>
      <c r="AL69" s="3644"/>
      <c r="AM69" s="3644"/>
      <c r="AN69" s="3644"/>
      <c r="AO69" s="3644"/>
      <c r="AP69" s="3644"/>
      <c r="AQ69" s="3644"/>
      <c r="AR69" s="3644"/>
      <c r="AS69" s="3644"/>
      <c r="AT69" s="3644"/>
      <c r="AU69" s="3644"/>
      <c r="AV69" s="3644"/>
      <c r="AW69" s="3644"/>
      <c r="AX69" s="3644"/>
      <c r="AY69" s="3644"/>
      <c r="AZ69" s="3644"/>
      <c r="BA69" s="3644"/>
      <c r="BB69" s="3644"/>
      <c r="BC69" s="3645"/>
      <c r="BD69" s="885"/>
      <c r="BE69" s="885"/>
      <c r="BF69" s="1044" t="s">
        <v>1831</v>
      </c>
      <c r="BG69" s="1044" t="s">
        <v>1823</v>
      </c>
      <c r="BH69" s="1720" cm="1" t="str">
        <f t="array" ref="BH69:BH69">BH68</f>
        <v>0</v>
      </c>
      <c r="BI69" s="679"/>
      <c r="BJ69" s="679"/>
    </row>
    <row customHeight="1" ht="14.625" hidden="1">
      <c r="A70" s="885"/>
      <c r="B70" s="441"/>
      <c r="C70" s="885"/>
      <c r="D70" s="885"/>
      <c r="E70" s="678">
        <v>15</v>
      </c>
      <c r="F70" s="1387" cm="1" t="str">
        <f t="array" ref="F70:F70">OFFSET(E70,-1,1)</f>
        <v>0</v>
      </c>
      <c r="G70" s="885"/>
      <c r="H70" s="885"/>
      <c r="I70" s="885"/>
      <c r="J70" s="885"/>
      <c r="K70" s="911"/>
      <c r="L70" s="915"/>
      <c r="M70" s="885"/>
      <c r="N70" s="885"/>
      <c r="O70" s="885"/>
      <c r="P70" s="885"/>
      <c r="Q70" s="885"/>
      <c r="R70" s="885"/>
      <c r="S70" s="885"/>
      <c r="T70" s="1356" cm="1" t="str">
        <f t="array" ref="T70:T70">T69</f>
        <v>false</v>
      </c>
      <c r="U70" s="885"/>
      <c r="V70" s="885"/>
      <c r="W70" s="885"/>
      <c r="X70" s="684"/>
      <c r="Y70" s="1524"/>
      <c r="Z70" s="885"/>
      <c r="AA70" s="1714"/>
      <c r="AB70" s="1698" t="str">
        <f>AB66&amp;".2"</f>
        <v>6.0.1.2</v>
      </c>
      <c r="AC70" s="1707" t="s">
        <v>1832</v>
      </c>
      <c r="AD70" s="1706" t="s">
        <v>1514</v>
      </c>
      <c r="AE70" s="3644"/>
      <c r="AF70" s="3644"/>
      <c r="AG70" s="3644"/>
      <c r="AH70" s="3644"/>
      <c r="AI70" s="3644"/>
      <c r="AJ70" s="3644"/>
      <c r="AK70" s="3644"/>
      <c r="AL70" s="3644"/>
      <c r="AM70" s="3644"/>
      <c r="AN70" s="3644"/>
      <c r="AO70" s="3644"/>
      <c r="AP70" s="3644"/>
      <c r="AQ70" s="3644"/>
      <c r="AR70" s="3644"/>
      <c r="AS70" s="3644"/>
      <c r="AT70" s="3644"/>
      <c r="AU70" s="3644"/>
      <c r="AV70" s="3644"/>
      <c r="AW70" s="3644"/>
      <c r="AX70" s="3644"/>
      <c r="AY70" s="3644"/>
      <c r="AZ70" s="3644"/>
      <c r="BA70" s="3644"/>
      <c r="BB70" s="3644"/>
      <c r="BC70" s="3645"/>
      <c r="BD70" s="885"/>
      <c r="BE70" s="885"/>
      <c r="BF70" s="1044" t="s">
        <v>1833</v>
      </c>
      <c r="BG70" s="1044" t="s">
        <v>1823</v>
      </c>
      <c r="BH70" s="1720" cm="1" t="str">
        <f t="array" ref="BH70:BH70">BH69</f>
        <v>0</v>
      </c>
      <c r="BI70" s="679"/>
      <c r="BJ70" s="679"/>
    </row>
    <row customHeight="1" ht="14.625" hidden="1">
      <c r="A71" s="885"/>
      <c r="B71" s="441"/>
      <c r="C71" s="885"/>
      <c r="D71" s="885"/>
      <c r="E71" s="678">
        <v>15</v>
      </c>
      <c r="F71" s="1387" cm="1" t="str">
        <f t="array" ref="F71:F71">OFFSET(E71,-1,1)</f>
        <v>0</v>
      </c>
      <c r="G71" s="885"/>
      <c r="H71" s="885"/>
      <c r="I71" s="885"/>
      <c r="J71" s="885"/>
      <c r="K71" s="911"/>
      <c r="L71" s="915"/>
      <c r="M71" s="885"/>
      <c r="N71" s="885"/>
      <c r="O71" s="885"/>
      <c r="P71" s="885"/>
      <c r="Q71" s="885"/>
      <c r="R71" s="885"/>
      <c r="S71" s="885"/>
      <c r="T71" s="1356" cm="1" t="str">
        <f t="array" ref="T71:T71">T70</f>
        <v>false</v>
      </c>
      <c r="U71" s="885"/>
      <c r="V71" s="885"/>
      <c r="W71" s="885"/>
      <c r="X71" s="684"/>
      <c r="Y71" s="1524"/>
      <c r="Z71" s="885"/>
      <c r="AA71" s="1714"/>
      <c r="AB71" s="1698" t="str">
        <f>AB70&amp;".1"</f>
        <v>6.0.1.2.1</v>
      </c>
      <c r="AC71" s="1723" t="s">
        <v>1834</v>
      </c>
      <c r="AD71" s="1706" t="s">
        <v>1835</v>
      </c>
      <c r="AE71" s="3644"/>
      <c r="AF71" s="3644"/>
      <c r="AG71" s="3644"/>
      <c r="AH71" s="3644"/>
      <c r="AI71" s="3644"/>
      <c r="AJ71" s="3644"/>
      <c r="AK71" s="3644"/>
      <c r="AL71" s="3644"/>
      <c r="AM71" s="3644"/>
      <c r="AN71" s="3644"/>
      <c r="AO71" s="3644"/>
      <c r="AP71" s="3644"/>
      <c r="AQ71" s="3644"/>
      <c r="AR71" s="3644"/>
      <c r="AS71" s="3644"/>
      <c r="AT71" s="3644"/>
      <c r="AU71" s="3644"/>
      <c r="AV71" s="3644"/>
      <c r="AW71" s="3644"/>
      <c r="AX71" s="3644"/>
      <c r="AY71" s="3644"/>
      <c r="AZ71" s="3644"/>
      <c r="BA71" s="3644"/>
      <c r="BB71" s="3644"/>
      <c r="BC71" s="3645"/>
      <c r="BD71" s="885"/>
      <c r="BE71" s="885"/>
      <c r="BF71" s="1044" t="s">
        <v>1836</v>
      </c>
      <c r="BG71" s="1044" t="s">
        <v>1823</v>
      </c>
      <c r="BH71" s="1720" cm="1" t="str">
        <f t="array" ref="BH71:BH71">BH70</f>
        <v>0</v>
      </c>
      <c r="BI71" s="679"/>
      <c r="BJ71" s="679"/>
    </row>
    <row customHeight="1" ht="14.625" hidden="1">
      <c r="A72" s="885"/>
      <c r="B72" s="441"/>
      <c r="C72" s="885"/>
      <c r="D72" s="885"/>
      <c r="E72" s="678">
        <v>15</v>
      </c>
      <c r="F72" s="1387" cm="1" t="str">
        <f t="array" ref="F72:F72">OFFSET(E72,-1,1)</f>
        <v>0</v>
      </c>
      <c r="G72" s="885"/>
      <c r="H72" s="885"/>
      <c r="I72" s="885"/>
      <c r="J72" s="885"/>
      <c r="K72" s="911"/>
      <c r="L72" s="915"/>
      <c r="M72" s="885"/>
      <c r="N72" s="885"/>
      <c r="O72" s="885"/>
      <c r="P72" s="885"/>
      <c r="Q72" s="885"/>
      <c r="R72" s="885"/>
      <c r="S72" s="885"/>
      <c r="T72" s="1356" cm="1" t="str">
        <f t="array" ref="T72:T72">T71</f>
        <v>false</v>
      </c>
      <c r="U72" s="885"/>
      <c r="V72" s="885"/>
      <c r="W72" s="885"/>
      <c r="X72" s="684"/>
      <c r="Y72" s="1524"/>
      <c r="Z72" s="885"/>
      <c r="AA72" s="1714"/>
      <c r="AB72" s="1698" t="str">
        <f>AB70&amp;".2"</f>
        <v>6.0.1.2.2</v>
      </c>
      <c r="AC72" s="1723" t="s">
        <v>1837</v>
      </c>
      <c r="AD72" s="1706" t="s">
        <v>1838</v>
      </c>
      <c r="AE72" s="3644"/>
      <c r="AF72" s="3644"/>
      <c r="AG72" s="3644"/>
      <c r="AH72" s="3644"/>
      <c r="AI72" s="3644"/>
      <c r="AJ72" s="3644"/>
      <c r="AK72" s="3644"/>
      <c r="AL72" s="3644"/>
      <c r="AM72" s="3644"/>
      <c r="AN72" s="3644"/>
      <c r="AO72" s="3644"/>
      <c r="AP72" s="3644"/>
      <c r="AQ72" s="3644"/>
      <c r="AR72" s="3644"/>
      <c r="AS72" s="3644"/>
      <c r="AT72" s="3644"/>
      <c r="AU72" s="3644"/>
      <c r="AV72" s="3644"/>
      <c r="AW72" s="3644"/>
      <c r="AX72" s="3644"/>
      <c r="AY72" s="3644"/>
      <c r="AZ72" s="3644"/>
      <c r="BA72" s="3644"/>
      <c r="BB72" s="3644"/>
      <c r="BC72" s="3645"/>
      <c r="BD72" s="885"/>
      <c r="BE72" s="885"/>
      <c r="BF72" s="1044" t="s">
        <v>1839</v>
      </c>
      <c r="BG72" s="1044" t="s">
        <v>1823</v>
      </c>
      <c r="BH72" s="1720" cm="1" t="str">
        <f t="array" ref="BH72:BH72">BH71</f>
        <v>0</v>
      </c>
      <c r="BI72" s="679"/>
      <c r="BJ72" s="679"/>
    </row>
    <row customHeight="1" ht="14.625" hidden="1">
      <c r="A73" s="885"/>
      <c r="B73" s="441"/>
      <c r="C73" s="885"/>
      <c r="D73" s="885"/>
      <c r="E73" s="678">
        <v>15</v>
      </c>
      <c r="F73" s="1387" cm="1" t="str">
        <f t="array" ref="F73:F73">OFFSET(E73,-1,1)</f>
        <v>0</v>
      </c>
      <c r="G73" s="885"/>
      <c r="H73" s="885"/>
      <c r="I73" s="885"/>
      <c r="J73" s="885"/>
      <c r="K73" s="911"/>
      <c r="L73" s="915"/>
      <c r="M73" s="885"/>
      <c r="N73" s="885"/>
      <c r="O73" s="885"/>
      <c r="P73" s="885"/>
      <c r="Q73" s="885"/>
      <c r="R73" s="885"/>
      <c r="S73" s="885"/>
      <c r="T73" s="1356">
        <f>F73&gt;0</f>
        <v>0</v>
      </c>
      <c r="U73" s="885"/>
      <c r="V73" s="885"/>
      <c r="W73" s="685" t="s">
        <v>1840</v>
      </c>
      <c r="X73" s="684"/>
      <c r="Y73" s="1519"/>
      <c r="Z73" s="885"/>
      <c r="AA73" s="1680"/>
      <c r="AB73" s="1724"/>
      <c r="AC73" s="1725" t="s">
        <v>1792</v>
      </c>
      <c r="AD73" s="1726"/>
      <c r="AE73" s="1727"/>
      <c r="AF73" s="1727"/>
      <c r="AG73" s="1727"/>
      <c r="AH73" s="1727"/>
      <c r="AI73" s="1727"/>
      <c r="AJ73" s="1727"/>
      <c r="AK73" s="1727"/>
      <c r="AL73" s="1727"/>
      <c r="AM73" s="1727"/>
      <c r="AN73" s="1727"/>
      <c r="AO73" s="1727"/>
      <c r="AP73" s="1727"/>
      <c r="AQ73" s="1727"/>
      <c r="AR73" s="1727"/>
      <c r="AS73" s="1727"/>
      <c r="AT73" s="1727"/>
      <c r="AU73" s="1727"/>
      <c r="AV73" s="1727"/>
      <c r="AW73" s="1727"/>
      <c r="AX73" s="1727"/>
      <c r="AY73" s="1727"/>
      <c r="AZ73" s="1727"/>
      <c r="BA73" s="1727"/>
      <c r="BB73" s="1727"/>
      <c r="BC73" s="1727"/>
      <c r="BD73" s="885"/>
      <c r="BE73" s="885"/>
      <c r="BF73" s="1044"/>
      <c r="BG73" s="1044"/>
      <c r="BH73" s="1044"/>
      <c r="BI73" s="679" t="s">
        <v>1823</v>
      </c>
      <c r="BJ73" s="679"/>
    </row>
    <row s="153" customFormat="1" customHeight="1" ht="14.625" hidden="1">
      <c r="A74" s="153"/>
      <c r="B74" s="441"/>
      <c r="C74" s="153"/>
      <c r="D74" s="153"/>
      <c r="E74" s="679">
        <v>15</v>
      </c>
      <c r="F74" s="50" cm="1" t="str">
        <f t="array" ref="F74:F74">OFFSET(E74,-1,1)</f>
        <v>0</v>
      </c>
      <c r="G74" s="152" t="s">
        <v>1228</v>
      </c>
      <c r="H74" s="153"/>
      <c r="I74" s="153"/>
      <c r="J74" s="153"/>
      <c r="K74" s="911" t="str">
        <f>F28&amp;"7komm"</f>
        <v>07komm</v>
      </c>
      <c r="L74" s="915" cm="1" t="str">
        <f t="array" ref="L74:L74">BC74</f>
        <v>0</v>
      </c>
      <c r="M74" s="153"/>
      <c r="N74" s="153"/>
      <c r="O74" s="153"/>
      <c r="P74" s="153"/>
      <c r="Q74" s="153"/>
      <c r="R74" s="153"/>
      <c r="S74" s="153"/>
      <c r="T74" s="465" cm="1" t="str">
        <f t="array" ref="T74:T74">T63</f>
        <v>false</v>
      </c>
      <c r="U74" s="153"/>
      <c r="V74" s="153"/>
      <c r="W74" s="153"/>
      <c r="X74" s="1524"/>
      <c r="Y74" s="153"/>
      <c r="Z74" s="1615"/>
      <c r="AA74" s="153"/>
      <c r="AB74" s="211">
        <v>7</v>
      </c>
      <c r="AC74" s="212" t="s">
        <v>1841</v>
      </c>
      <c r="AD74" s="211" t="s">
        <v>1514</v>
      </c>
      <c r="AE74" s="3657">
        <f>SUMIF($AD77:$AD80,$AD74,AE77:AE80)</f>
        <v>0</v>
      </c>
      <c r="AF74" s="3657">
        <f>SUMIF($AD77:$AD80,$AD74,AF77:AF80)</f>
        <v>0</v>
      </c>
      <c r="AG74" s="3657">
        <f>SUMIF($AD77:$AD80,$AD74,AG77:AG80)</f>
        <v>0</v>
      </c>
      <c r="AH74" s="3657">
        <f>SUMIF($AD77:$AD80,$AD74,AH77:AH80)</f>
        <v>0</v>
      </c>
      <c r="AI74" s="3657">
        <f>SUMIF($AD77:$AD80,$AD74,AI77:AI80)</f>
        <v>0</v>
      </c>
      <c r="AJ74" s="3658">
        <f>SUMIF($AD77:$AD80,$AD74,AJ77:AJ80)</f>
        <v>0</v>
      </c>
      <c r="AK74" s="3658">
        <f>SUMIF($AD77:$AD80,$AD74,AK77:AK80)</f>
        <v>0</v>
      </c>
      <c r="AL74" s="3658">
        <f>SUMIF($AD77:$AD80,$AD74,AL77:AL80)</f>
        <v>0</v>
      </c>
      <c r="AM74" s="3658">
        <f>SUMIF($AD77:$AD80,$AD74,AM77:AM80)</f>
        <v>0</v>
      </c>
      <c r="AN74" s="3658">
        <f>SUMIF($AD77:$AD80,$AD74,AN77:AN80)</f>
        <v>0</v>
      </c>
      <c r="AO74" s="3658">
        <f>SUMIF($AD77:$AD80,$AD74,AO77:AO80)</f>
        <v>0</v>
      </c>
      <c r="AP74" s="3658">
        <f>SUMIF($AD77:$AD80,$AD74,AP77:AP80)</f>
        <v>0</v>
      </c>
      <c r="AQ74" s="3658">
        <f>SUMIF($AD77:$AD80,$AD74,AQ77:AQ80)</f>
        <v>0</v>
      </c>
      <c r="AR74" s="3658">
        <f>SUMIF($AD77:$AD80,$AD74,AR77:AR80)</f>
        <v>0</v>
      </c>
      <c r="AS74" s="3657">
        <f>SUMIF($AD77:$AD80,$AD74,AS77:AS80)</f>
        <v>0</v>
      </c>
      <c r="AT74" s="3658">
        <f>SUMIF($AD77:$AD80,$AD74,AT77:AT80)</f>
        <v>0</v>
      </c>
      <c r="AU74" s="3658">
        <f>SUMIF($AD77:$AD80,$AD74,AU77:AU80)</f>
        <v>0</v>
      </c>
      <c r="AV74" s="3658">
        <f>SUMIF($AD77:$AD80,$AD74,AV77:AV80)</f>
        <v>0</v>
      </c>
      <c r="AW74" s="3658">
        <f>SUMIF($AD77:$AD80,$AD74,AW77:AW80)</f>
        <v>0</v>
      </c>
      <c r="AX74" s="3658">
        <f>SUMIF($AD77:$AD80,$AD74,AX77:AX80)</f>
        <v>0</v>
      </c>
      <c r="AY74" s="3658">
        <f>SUMIF($AD77:$AD80,$AD74,AY77:AY80)</f>
        <v>0</v>
      </c>
      <c r="AZ74" s="3658">
        <f>SUMIF($AD77:$AD80,$AD74,AZ77:AZ80)</f>
        <v>0</v>
      </c>
      <c r="BA74" s="3658">
        <f>SUMIF($AD77:$AD80,$AD74,BA77:BA80)</f>
        <v>0</v>
      </c>
      <c r="BB74" s="3658">
        <f>SUMIF($AD77:$AD80,$AD74,BB77:BB80)</f>
        <v>0</v>
      </c>
      <c r="BC74" s="2070"/>
      <c r="BD74" s="153"/>
      <c r="BE74" s="153"/>
      <c r="BF74" s="1044" t="s">
        <v>1842</v>
      </c>
      <c r="BG74" s="1044"/>
      <c r="BH74" s="1044"/>
      <c r="BI74" s="679"/>
      <c r="BJ74" s="679"/>
    </row>
    <row customHeight="1" ht="14.625" hidden="1">
      <c r="A75" s="885"/>
      <c r="B75" s="441"/>
      <c r="C75" s="885"/>
      <c r="D75" s="885"/>
      <c r="E75" s="678">
        <v>15</v>
      </c>
      <c r="F75" s="1387" cm="1" t="str">
        <f t="array" ref="F75:F75">OFFSET(E75,-1,1)</f>
        <v>0</v>
      </c>
      <c r="G75" s="885"/>
      <c r="H75" s="885"/>
      <c r="I75" s="885"/>
      <c r="J75" s="885"/>
      <c r="K75" s="911"/>
      <c r="L75" s="915"/>
      <c r="M75" s="885"/>
      <c r="N75" s="885"/>
      <c r="O75" s="885"/>
      <c r="P75" s="885"/>
      <c r="Q75" s="885"/>
      <c r="R75" s="885"/>
      <c r="S75" s="885"/>
      <c r="T75" s="1356" t="b">
        <v>0</v>
      </c>
      <c r="U75" s="885"/>
      <c r="V75" s="885"/>
      <c r="W75" s="885" t="s">
        <v>174</v>
      </c>
      <c r="X75" s="684"/>
      <c r="Y75" s="1524">
        <v>0</v>
      </c>
      <c r="Z75" s="885"/>
      <c r="AA75" s="1714" t="s">
        <v>175</v>
      </c>
      <c r="AB75" s="1700"/>
      <c r="AC75" s="1522"/>
      <c r="AD75" s="1715"/>
      <c r="AE75" s="1716">
        <f>OR(AND(AE77&lt;&gt;"",AE78=""),AND(AE77="",AE78&lt;&gt;""))</f>
        <v>0</v>
      </c>
      <c r="AF75" s="1716">
        <f>OR(AND(AF77&lt;&gt;"",AF78=""),AND(AF77="",AF78&lt;&gt;""))</f>
        <v>0</v>
      </c>
      <c r="AG75" s="1716">
        <f>OR(AND(AG77&lt;&gt;"",AG78=""),AND(AG77="",AG78&lt;&gt;""))</f>
        <v>0</v>
      </c>
      <c r="AH75" s="1716">
        <f>OR(AND(AH77&lt;&gt;"",AH78=""),AND(AH77="",AH78&lt;&gt;""))</f>
        <v>0</v>
      </c>
      <c r="AI75" s="1716">
        <f>OR(AND(AI77&lt;&gt;"",AI78=""),AND(AI77="",AI78&lt;&gt;""))</f>
        <v>0</v>
      </c>
      <c r="AJ75" s="1716">
        <f>OR(AND(AJ77&lt;&gt;"",AJ78=""),AND(AJ77="",AJ78&lt;&gt;""))</f>
        <v>0</v>
      </c>
      <c r="AK75" s="1716">
        <f>OR(AND(AK77&lt;&gt;"",AK78=""),AND(AK77="",AK78&lt;&gt;""))</f>
        <v>0</v>
      </c>
      <c r="AL75" s="1716">
        <f>OR(AND(AL77&lt;&gt;"",AL78=""),AND(AL77="",AL78&lt;&gt;""))</f>
        <v>0</v>
      </c>
      <c r="AM75" s="1716">
        <f>OR(AND(AM77&lt;&gt;"",AM78=""),AND(AM77="",AM78&lt;&gt;""))</f>
        <v>0</v>
      </c>
      <c r="AN75" s="1716">
        <f>OR(AND(AN77&lt;&gt;"",AN78=""),AND(AN77="",AN78&lt;&gt;""))</f>
        <v>0</v>
      </c>
      <c r="AO75" s="1716">
        <f>OR(AND(AO77&lt;&gt;"",AO78=""),AND(AO77="",AO78&lt;&gt;""))</f>
        <v>0</v>
      </c>
      <c r="AP75" s="1716">
        <f>OR(AND(AP77&lt;&gt;"",AP78=""),AND(AP77="",AP78&lt;&gt;""))</f>
        <v>0</v>
      </c>
      <c r="AQ75" s="1716">
        <f>OR(AND(AQ77&lt;&gt;"",AQ78=""),AND(AQ77="",AQ78&lt;&gt;""))</f>
        <v>0</v>
      </c>
      <c r="AR75" s="1716">
        <f>OR(AND(AR77&lt;&gt;"",AR78=""),AND(AR77="",AR78&lt;&gt;""))</f>
        <v>0</v>
      </c>
      <c r="AS75" s="1716">
        <f>OR(AND(AS77&lt;&gt;"",AS78=""),AND(AS77="",AS78&lt;&gt;""))</f>
        <v>0</v>
      </c>
      <c r="AT75" s="1716">
        <f>OR(AND(AT77&lt;&gt;"",AT78=""),AND(AT77="",AT78&lt;&gt;""))</f>
        <v>0</v>
      </c>
      <c r="AU75" s="1716">
        <f>OR(AND(AU77&lt;&gt;"",AU78=""),AND(AU77="",AU78&lt;&gt;""))</f>
        <v>0</v>
      </c>
      <c r="AV75" s="1716">
        <f>OR(AND(AV77&lt;&gt;"",AV78=""),AND(AV77="",AV78&lt;&gt;""))</f>
        <v>0</v>
      </c>
      <c r="AW75" s="1716">
        <f>OR(AND(AW77&lt;&gt;"",AW78=""),AND(AW77="",AW78&lt;&gt;""))</f>
        <v>0</v>
      </c>
      <c r="AX75" s="1716">
        <f>OR(AND(AX77&lt;&gt;"",AX78=""),AND(AX77="",AX78&lt;&gt;""))</f>
        <v>0</v>
      </c>
      <c r="AY75" s="1716">
        <f>OR(AND(AY77&lt;&gt;"",AY78=""),AND(AY77="",AY78&lt;&gt;""))</f>
        <v>0</v>
      </c>
      <c r="AZ75" s="1716">
        <f>OR(AND(AZ77&lt;&gt;"",AZ78=""),AND(AZ77="",AZ78&lt;&gt;""))</f>
        <v>0</v>
      </c>
      <c r="BA75" s="1716">
        <f>OR(AND(BA77&lt;&gt;"",BA78=""),AND(BA77="",BA78&lt;&gt;""))</f>
        <v>0</v>
      </c>
      <c r="BB75" s="1716">
        <f>OR(AND(BB77&lt;&gt;"",BB78=""),AND(BB77="",BB78&lt;&gt;""))</f>
        <v>0</v>
      </c>
      <c r="BC75" s="974"/>
      <c r="BD75" s="885"/>
      <c r="BE75" s="885"/>
      <c r="BF75" s="1044"/>
      <c r="BG75" s="1044"/>
      <c r="BH75" s="1044"/>
      <c r="BI75" s="679"/>
      <c r="BJ75" s="679"/>
    </row>
    <row customHeight="1" ht="14.625" hidden="1">
      <c r="A76" s="885"/>
      <c r="B76" s="441"/>
      <c r="C76" s="885"/>
      <c r="D76" s="885"/>
      <c r="E76" s="678">
        <v>15</v>
      </c>
      <c r="F76" s="1387" cm="1" t="str">
        <f t="array" ref="F76:F76">OFFSET(E76,-1,1)</f>
        <v>0</v>
      </c>
      <c r="G76" s="885"/>
      <c r="H76" s="885"/>
      <c r="I76" s="885"/>
      <c r="J76" s="885"/>
      <c r="K76" s="911"/>
      <c r="L76" s="915"/>
      <c r="M76" s="885"/>
      <c r="N76" s="885"/>
      <c r="O76" s="885"/>
      <c r="P76" s="885"/>
      <c r="Q76" s="885"/>
      <c r="R76" s="885"/>
      <c r="S76" s="885"/>
      <c r="T76" s="1356">
        <f>AND(F76&gt;0,Y75&gt;0)</f>
        <v>0</v>
      </c>
      <c r="U76" s="885"/>
      <c r="V76" s="885"/>
      <c r="W76" s="885"/>
      <c r="X76" s="684"/>
      <c r="Y76" s="1524"/>
      <c r="Z76" s="885"/>
      <c r="AA76" s="1714"/>
      <c r="AB76" s="1698" t="str">
        <f>"7."&amp;Y75</f>
        <v>7.0</v>
      </c>
      <c r="AC76" s="1717"/>
      <c r="AD76" s="1715"/>
      <c r="AE76" s="885"/>
      <c r="AF76" s="885"/>
      <c r="AG76" s="885"/>
      <c r="AH76" s="885"/>
      <c r="AI76" s="885"/>
      <c r="AJ76" s="885"/>
      <c r="AK76" s="885"/>
      <c r="AL76" s="885"/>
      <c r="AM76" s="885"/>
      <c r="AN76" s="885"/>
      <c r="AO76" s="885"/>
      <c r="AP76" s="885"/>
      <c r="AQ76" s="885"/>
      <c r="AR76" s="885"/>
      <c r="AS76" s="885"/>
      <c r="AT76" s="885"/>
      <c r="AU76" s="885"/>
      <c r="AV76" s="885"/>
      <c r="AW76" s="885"/>
      <c r="AX76" s="885"/>
      <c r="AY76" s="885"/>
      <c r="AZ76" s="885"/>
      <c r="BA76" s="885"/>
      <c r="BB76" s="885"/>
      <c r="BC76" s="885"/>
      <c r="BD76" s="885"/>
      <c r="BE76" s="885"/>
      <c r="BF76" s="1044"/>
      <c r="BG76" s="1044"/>
      <c r="BH76" s="1044"/>
      <c r="BI76" s="679"/>
      <c r="BJ76" s="679"/>
    </row>
    <row customHeight="1" ht="14.625" hidden="1">
      <c r="A77" s="885"/>
      <c r="B77" s="441"/>
      <c r="C77" s="885"/>
      <c r="D77" s="885"/>
      <c r="E77" s="678">
        <v>15</v>
      </c>
      <c r="F77" s="1387" cm="1" t="str">
        <f t="array" ref="F77:F77">OFFSET(E77,-1,1)</f>
        <v>0</v>
      </c>
      <c r="G77" s="885"/>
      <c r="H77" s="885"/>
      <c r="I77" s="885"/>
      <c r="J77" s="885"/>
      <c r="K77" s="911"/>
      <c r="L77" s="915"/>
      <c r="M77" s="885"/>
      <c r="N77" s="885"/>
      <c r="O77" s="885"/>
      <c r="P77" s="885"/>
      <c r="Q77" s="885"/>
      <c r="R77" s="885"/>
      <c r="S77" s="885"/>
      <c r="T77" s="1356" cm="1" t="str">
        <f t="array" ref="T77:T77">T76</f>
        <v>false</v>
      </c>
      <c r="U77" s="885"/>
      <c r="V77" s="885"/>
      <c r="W77" s="885"/>
      <c r="X77" s="684"/>
      <c r="Y77" s="1524"/>
      <c r="Z77" s="885"/>
      <c r="AA77" s="1714"/>
      <c r="AB77" s="1698" t="str">
        <f>AB76&amp;".1"</f>
        <v>7.0.1</v>
      </c>
      <c r="AC77" s="1728" t="s">
        <v>1783</v>
      </c>
      <c r="AD77" s="1700" t="s">
        <v>1514</v>
      </c>
      <c r="AE77" s="3679"/>
      <c r="AF77" s="3680"/>
      <c r="AG77" s="3679"/>
      <c r="AH77" s="3679"/>
      <c r="AI77" s="3680"/>
      <c r="AJ77" s="3680"/>
      <c r="AK77" s="3680"/>
      <c r="AL77" s="3680"/>
      <c r="AM77" s="3680"/>
      <c r="AN77" s="3680"/>
      <c r="AO77" s="3680"/>
      <c r="AP77" s="3680"/>
      <c r="AQ77" s="3680"/>
      <c r="AR77" s="3680"/>
      <c r="AS77" s="3679"/>
      <c r="AT77" s="3679"/>
      <c r="AU77" s="3679"/>
      <c r="AV77" s="3679"/>
      <c r="AW77" s="3679"/>
      <c r="AX77" s="3679"/>
      <c r="AY77" s="3679"/>
      <c r="AZ77" s="3679"/>
      <c r="BA77" s="3679"/>
      <c r="BB77" s="3679"/>
      <c r="BC77" s="2070"/>
      <c r="BD77" s="885"/>
      <c r="BE77" s="885"/>
      <c r="BF77" s="1041" t="s">
        <v>1784</v>
      </c>
      <c r="BG77" s="1044" t="s">
        <v>1843</v>
      </c>
      <c r="BH77" s="1720" cm="1" t="str">
        <f t="array" ref="BH77:BH77">AC76</f>
        <v>0</v>
      </c>
      <c r="BI77" s="679"/>
      <c r="BJ77" s="679" t="b">
        <v>1</v>
      </c>
    </row>
    <row customHeight="1" ht="14.625" hidden="1">
      <c r="A78" s="885"/>
      <c r="B78" s="441"/>
      <c r="C78" s="885"/>
      <c r="D78" s="885"/>
      <c r="E78" s="678">
        <v>15</v>
      </c>
      <c r="F78" s="1387" cm="1" t="str">
        <f t="array" ref="F78:F78">OFFSET(E78,-1,1)</f>
        <v>0</v>
      </c>
      <c r="G78" s="885"/>
      <c r="H78" s="885"/>
      <c r="I78" s="885"/>
      <c r="J78" s="885"/>
      <c r="K78" s="911"/>
      <c r="L78" s="915"/>
      <c r="M78" s="885"/>
      <c r="N78" s="885"/>
      <c r="O78" s="885"/>
      <c r="P78" s="885"/>
      <c r="Q78" s="885"/>
      <c r="R78" s="885"/>
      <c r="S78" s="885"/>
      <c r="T78" s="1356" cm="1" t="str">
        <f t="array" ref="T78:T78">T77</f>
        <v>false</v>
      </c>
      <c r="U78" s="885"/>
      <c r="V78" s="885"/>
      <c r="W78" s="885"/>
      <c r="X78" s="684"/>
      <c r="Y78" s="1524"/>
      <c r="Z78" s="885"/>
      <c r="AA78" s="1714"/>
      <c r="AB78" s="1698" t="str">
        <f>AB77&amp;".1"</f>
        <v>7.0.1.1</v>
      </c>
      <c r="AC78" s="1707" t="s">
        <v>1844</v>
      </c>
      <c r="AD78" s="1698" t="s">
        <v>1247</v>
      </c>
      <c r="AE78" s="3679"/>
      <c r="AF78" s="3680"/>
      <c r="AG78" s="3679"/>
      <c r="AH78" s="3679"/>
      <c r="AI78" s="3680"/>
      <c r="AJ78" s="3680"/>
      <c r="AK78" s="3680"/>
      <c r="AL78" s="3680"/>
      <c r="AM78" s="3680"/>
      <c r="AN78" s="3680"/>
      <c r="AO78" s="3680"/>
      <c r="AP78" s="3680"/>
      <c r="AQ78" s="3680"/>
      <c r="AR78" s="3680"/>
      <c r="AS78" s="3679"/>
      <c r="AT78" s="3679"/>
      <c r="AU78" s="3679"/>
      <c r="AV78" s="3679"/>
      <c r="AW78" s="3679"/>
      <c r="AX78" s="3679"/>
      <c r="AY78" s="3679"/>
      <c r="AZ78" s="3679"/>
      <c r="BA78" s="3679"/>
      <c r="BB78" s="3679"/>
      <c r="BC78" s="2070"/>
      <c r="BD78" s="885"/>
      <c r="BE78" s="885"/>
      <c r="BF78" s="1041" t="s">
        <v>1787</v>
      </c>
      <c r="BG78" s="1044" t="s">
        <v>1843</v>
      </c>
      <c r="BH78" s="1720" cm="1" t="str">
        <f t="array" ref="BH78:BH78">BH77</f>
        <v>0</v>
      </c>
      <c r="BI78" s="679"/>
      <c r="BJ78" s="679"/>
    </row>
    <row customHeight="1" ht="14.625" hidden="1">
      <c r="A79" s="885"/>
      <c r="B79" s="441"/>
      <c r="C79" s="885"/>
      <c r="D79" s="885"/>
      <c r="E79" s="678">
        <v>15</v>
      </c>
      <c r="F79" s="1387" cm="1" t="str">
        <f t="array" ref="F79:F79">OFFSET(E79,-1,1)</f>
        <v>0</v>
      </c>
      <c r="G79" s="885"/>
      <c r="H79" s="885"/>
      <c r="I79" s="885"/>
      <c r="J79" s="885"/>
      <c r="K79" s="911"/>
      <c r="L79" s="915"/>
      <c r="M79" s="885"/>
      <c r="N79" s="885"/>
      <c r="O79" s="885"/>
      <c r="P79" s="885"/>
      <c r="Q79" s="885"/>
      <c r="R79" s="885"/>
      <c r="S79" s="885"/>
      <c r="T79" s="1356" cm="1" t="str">
        <f t="array" ref="T79:T79">T78</f>
        <v>false</v>
      </c>
      <c r="U79" s="885"/>
      <c r="V79" s="885"/>
      <c r="W79" s="885"/>
      <c r="X79" s="684"/>
      <c r="Y79" s="1524"/>
      <c r="Z79" s="885"/>
      <c r="AA79" s="1714"/>
      <c r="AB79" s="1698" t="str">
        <f>AB77&amp;".2"</f>
        <v>7.0.1.2</v>
      </c>
      <c r="AC79" s="1707" t="s">
        <v>1845</v>
      </c>
      <c r="AD79" s="1698" t="s">
        <v>1789</v>
      </c>
      <c r="AE79" s="3679"/>
      <c r="AF79" s="3680"/>
      <c r="AG79" s="3680"/>
      <c r="AH79" s="3679"/>
      <c r="AI79" s="3680"/>
      <c r="AJ79" s="3680"/>
      <c r="AK79" s="3680"/>
      <c r="AL79" s="3680"/>
      <c r="AM79" s="3680"/>
      <c r="AN79" s="3680"/>
      <c r="AO79" s="3680"/>
      <c r="AP79" s="3680"/>
      <c r="AQ79" s="3680"/>
      <c r="AR79" s="3680"/>
      <c r="AS79" s="3680"/>
      <c r="AT79" s="3680"/>
      <c r="AU79" s="3680"/>
      <c r="AV79" s="3680"/>
      <c r="AW79" s="3680"/>
      <c r="AX79" s="3680"/>
      <c r="AY79" s="3680"/>
      <c r="AZ79" s="3680"/>
      <c r="BA79" s="3680"/>
      <c r="BB79" s="3680"/>
      <c r="BC79" s="2070"/>
      <c r="BD79" s="885"/>
      <c r="BE79" s="885"/>
      <c r="BF79" s="1041" t="s">
        <v>1790</v>
      </c>
      <c r="BG79" s="1044" t="s">
        <v>1843</v>
      </c>
      <c r="BH79" s="1720" cm="1" t="str">
        <f t="array" ref="BH79:BH79">BH78</f>
        <v>0</v>
      </c>
      <c r="BI79" s="679"/>
      <c r="BJ79" s="679"/>
    </row>
    <row customHeight="1" ht="14.625" hidden="1">
      <c r="A80" s="885"/>
      <c r="B80" s="441"/>
      <c r="C80" s="885"/>
      <c r="D80" s="885"/>
      <c r="E80" s="678">
        <v>15</v>
      </c>
      <c r="F80" s="1387" cm="1" t="str">
        <f t="array" ref="F80:F80">OFFSET(E80,-1,1)</f>
        <v>0</v>
      </c>
      <c r="G80" s="885"/>
      <c r="H80" s="885"/>
      <c r="I80" s="885"/>
      <c r="J80" s="885"/>
      <c r="K80" s="911"/>
      <c r="L80" s="915"/>
      <c r="M80" s="885"/>
      <c r="N80" s="885"/>
      <c r="O80" s="885"/>
      <c r="P80" s="885"/>
      <c r="Q80" s="885"/>
      <c r="R80" s="885"/>
      <c r="S80" s="885"/>
      <c r="T80" s="1356">
        <f>F80&gt;0</f>
        <v>0</v>
      </c>
      <c r="U80" s="885"/>
      <c r="V80" s="885"/>
      <c r="W80" s="685" t="s">
        <v>1846</v>
      </c>
      <c r="X80" s="684"/>
      <c r="Y80" s="885"/>
      <c r="Z80" s="885"/>
      <c r="AA80" s="1680"/>
      <c r="AB80" s="1724"/>
      <c r="AC80" s="1731" t="s">
        <v>1792</v>
      </c>
      <c r="AD80" s="1726"/>
      <c r="AE80" s="1726"/>
      <c r="AF80" s="1726"/>
      <c r="AG80" s="1726"/>
      <c r="AH80" s="1726"/>
      <c r="AI80" s="1726"/>
      <c r="AJ80" s="1726"/>
      <c r="AK80" s="1726"/>
      <c r="AL80" s="1726"/>
      <c r="AM80" s="1726"/>
      <c r="AN80" s="1726"/>
      <c r="AO80" s="1726"/>
      <c r="AP80" s="1726"/>
      <c r="AQ80" s="1726"/>
      <c r="AR80" s="1726"/>
      <c r="AS80" s="1726"/>
      <c r="AT80" s="1726"/>
      <c r="AU80" s="1726"/>
      <c r="AV80" s="1726"/>
      <c r="AW80" s="1726"/>
      <c r="AX80" s="1726"/>
      <c r="AY80" s="1726"/>
      <c r="AZ80" s="1726"/>
      <c r="BA80" s="1726"/>
      <c r="BB80" s="1726"/>
      <c r="BC80" s="1732"/>
      <c r="BD80" s="885"/>
      <c r="BE80" s="885"/>
      <c r="BF80" s="1044"/>
      <c r="BG80" s="1044"/>
      <c r="BH80" s="1044"/>
      <c r="BI80" s="679" t="s">
        <v>1843</v>
      </c>
      <c r="BJ80" s="679"/>
    </row>
    <row s="153" customFormat="1" customHeight="1" ht="14.625" hidden="1">
      <c r="A81" s="153"/>
      <c r="B81" s="441"/>
      <c r="C81" s="153"/>
      <c r="D81" s="153"/>
      <c r="E81" s="679">
        <v>15</v>
      </c>
      <c r="F81" s="50" cm="1" t="str">
        <f t="array" ref="F81:F81">OFFSET(E81,-1,1)</f>
        <v>0</v>
      </c>
      <c r="G81" s="152" t="s">
        <v>1275</v>
      </c>
      <c r="H81" s="153"/>
      <c r="I81" s="153"/>
      <c r="J81" s="153"/>
      <c r="K81" s="911" t="str">
        <f>F28&amp;"8komm"</f>
        <v>08komm</v>
      </c>
      <c r="L81" s="915" cm="1" t="str">
        <f t="array" ref="L81:L81">BC81</f>
        <v>0</v>
      </c>
      <c r="M81" s="153"/>
      <c r="N81" s="153"/>
      <c r="O81" s="153"/>
      <c r="P81" s="153"/>
      <c r="Q81" s="153"/>
      <c r="R81" s="153"/>
      <c r="S81" s="153"/>
      <c r="T81" s="465" cm="1" t="str">
        <f t="array" ref="T81:T81">T74</f>
        <v>false</v>
      </c>
      <c r="U81" s="153"/>
      <c r="V81" s="153"/>
      <c r="W81" s="153"/>
      <c r="X81" s="1524"/>
      <c r="Y81" s="153"/>
      <c r="Z81" s="1615"/>
      <c r="AA81" s="153"/>
      <c r="AB81" s="211">
        <v>8</v>
      </c>
      <c r="AC81" s="212" t="s">
        <v>1847</v>
      </c>
      <c r="AD81" s="211" t="s">
        <v>1514</v>
      </c>
      <c r="AE81" s="3657">
        <f>SUMIF($AD84:$AD87,$AD81,AE84:AE87)</f>
        <v>0</v>
      </c>
      <c r="AF81" s="3657">
        <f>SUMIF($AD84:$AD87,$AD81,AF84:AF87)</f>
        <v>0</v>
      </c>
      <c r="AG81" s="3657">
        <f>SUMIF($AD84:$AD87,$AD81,AG84:AG87)</f>
        <v>0</v>
      </c>
      <c r="AH81" s="3657">
        <f>SUMIF($AD84:$AD87,$AD81,AH84:AH87)</f>
        <v>0</v>
      </c>
      <c r="AI81" s="3657">
        <f>SUMIF($AD84:$AD87,$AD81,AI84:AI87)</f>
        <v>0</v>
      </c>
      <c r="AJ81" s="3658">
        <f>SUMIF($AD84:$AD87,$AD81,AJ84:AJ87)</f>
        <v>0</v>
      </c>
      <c r="AK81" s="3658">
        <f>SUMIF($AD84:$AD87,$AD81,AK84:AK87)</f>
        <v>0</v>
      </c>
      <c r="AL81" s="3658">
        <f>SUMIF($AD84:$AD87,$AD81,AL84:AL87)</f>
        <v>0</v>
      </c>
      <c r="AM81" s="3658">
        <f>SUMIF($AD84:$AD87,$AD81,AM84:AM87)</f>
        <v>0</v>
      </c>
      <c r="AN81" s="3658">
        <f>SUMIF($AD84:$AD87,$AD81,AN84:AN87)</f>
        <v>0</v>
      </c>
      <c r="AO81" s="3658">
        <f>SUMIF($AD84:$AD87,$AD81,AO84:AO87)</f>
        <v>0</v>
      </c>
      <c r="AP81" s="3658">
        <f>SUMIF($AD84:$AD87,$AD81,AP84:AP87)</f>
        <v>0</v>
      </c>
      <c r="AQ81" s="3658">
        <f>SUMIF($AD84:$AD87,$AD81,AQ84:AQ87)</f>
        <v>0</v>
      </c>
      <c r="AR81" s="3658">
        <f>SUMIF($AD84:$AD87,$AD81,AR84:AR87)</f>
        <v>0</v>
      </c>
      <c r="AS81" s="3657">
        <f>SUMIF($AD84:$AD87,$AD81,AS84:AS87)</f>
        <v>0</v>
      </c>
      <c r="AT81" s="3658">
        <f>SUMIF($AD84:$AD87,$AD81,AT84:AT87)</f>
        <v>0</v>
      </c>
      <c r="AU81" s="3658">
        <f>SUMIF($AD84:$AD87,$AD81,AU84:AU87)</f>
        <v>0</v>
      </c>
      <c r="AV81" s="3658">
        <f>SUMIF($AD84:$AD87,$AD81,AV84:AV87)</f>
        <v>0</v>
      </c>
      <c r="AW81" s="3658">
        <f>SUMIF($AD84:$AD87,$AD81,AW84:AW87)</f>
        <v>0</v>
      </c>
      <c r="AX81" s="3658">
        <f>SUMIF($AD84:$AD87,$AD81,AX84:AX87)</f>
        <v>0</v>
      </c>
      <c r="AY81" s="3658">
        <f>SUMIF($AD84:$AD87,$AD81,AY84:AY87)</f>
        <v>0</v>
      </c>
      <c r="AZ81" s="3658">
        <f>SUMIF($AD84:$AD87,$AD81,AZ84:AZ87)</f>
        <v>0</v>
      </c>
      <c r="BA81" s="3658">
        <f>SUMIF($AD84:$AD87,$AD81,BA84:BA87)</f>
        <v>0</v>
      </c>
      <c r="BB81" s="3658">
        <f>SUMIF($AD84:$AD87,$AD81,BB84:BB87)</f>
        <v>0</v>
      </c>
      <c r="BC81" s="2070"/>
      <c r="BD81" s="153"/>
      <c r="BE81" s="153"/>
      <c r="BF81" s="1044" t="s">
        <v>1848</v>
      </c>
      <c r="BG81" s="1044"/>
      <c r="BH81" s="1044"/>
      <c r="BI81" s="679"/>
      <c r="BJ81" s="679"/>
    </row>
    <row customHeight="1" ht="14.625" hidden="1">
      <c r="A82" s="885"/>
      <c r="B82" s="441"/>
      <c r="C82" s="885"/>
      <c r="D82" s="885"/>
      <c r="E82" s="678">
        <v>15</v>
      </c>
      <c r="F82" s="1387" cm="1" t="str">
        <f t="array" ref="F82:F82">OFFSET(E82,-1,1)</f>
        <v>0</v>
      </c>
      <c r="G82" s="885"/>
      <c r="H82" s="885"/>
      <c r="I82" s="885"/>
      <c r="J82" s="885"/>
      <c r="K82" s="911"/>
      <c r="L82" s="915"/>
      <c r="M82" s="885"/>
      <c r="N82" s="885"/>
      <c r="O82" s="885"/>
      <c r="P82" s="885"/>
      <c r="Q82" s="885"/>
      <c r="R82" s="885"/>
      <c r="S82" s="885"/>
      <c r="T82" s="1356" t="b">
        <v>0</v>
      </c>
      <c r="U82" s="885"/>
      <c r="V82" s="885"/>
      <c r="W82" s="885" t="s">
        <v>174</v>
      </c>
      <c r="X82" s="684"/>
      <c r="Y82" s="1524">
        <v>0</v>
      </c>
      <c r="Z82" s="885"/>
      <c r="AA82" s="1714" t="s">
        <v>175</v>
      </c>
      <c r="AB82" s="1700"/>
      <c r="AC82" s="1522"/>
      <c r="AD82" s="1715"/>
      <c r="AE82" s="1716">
        <f>OR(AND(AE84&lt;&gt;"",AE85=""),AND(AE84="",AE85&lt;&gt;""))</f>
        <v>0</v>
      </c>
      <c r="AF82" s="1716">
        <f>OR(AND(AF84&lt;&gt;"",AF85=""),AND(AF84="",AF85&lt;&gt;""))</f>
        <v>0</v>
      </c>
      <c r="AG82" s="1716">
        <f>OR(AND(AG84&lt;&gt;"",AG85=""),AND(AG84="",AG85&lt;&gt;""))</f>
        <v>0</v>
      </c>
      <c r="AH82" s="1716">
        <f>OR(AND(AH84&lt;&gt;"",AH85=""),AND(AH84="",AH85&lt;&gt;""))</f>
        <v>0</v>
      </c>
      <c r="AI82" s="1716">
        <f>OR(AND(AI84&lt;&gt;"",AI85=""),AND(AI84="",AI85&lt;&gt;""))</f>
        <v>0</v>
      </c>
      <c r="AJ82" s="1716">
        <f>OR(AND(AJ84&lt;&gt;"",AJ85=""),AND(AJ84="",AJ85&lt;&gt;""))</f>
        <v>0</v>
      </c>
      <c r="AK82" s="1716">
        <f>OR(AND(AK84&lt;&gt;"",AK85=""),AND(AK84="",AK85&lt;&gt;""))</f>
        <v>0</v>
      </c>
      <c r="AL82" s="1716">
        <f>OR(AND(AL84&lt;&gt;"",AL85=""),AND(AL84="",AL85&lt;&gt;""))</f>
        <v>0</v>
      </c>
      <c r="AM82" s="1716">
        <f>OR(AND(AM84&lt;&gt;"",AM85=""),AND(AM84="",AM85&lt;&gt;""))</f>
        <v>0</v>
      </c>
      <c r="AN82" s="1716">
        <f>OR(AND(AN84&lt;&gt;"",AN85=""),AND(AN84="",AN85&lt;&gt;""))</f>
        <v>0</v>
      </c>
      <c r="AO82" s="1716">
        <f>OR(AND(AO84&lt;&gt;"",AO85=""),AND(AO84="",AO85&lt;&gt;""))</f>
        <v>0</v>
      </c>
      <c r="AP82" s="1716">
        <f>OR(AND(AP84&lt;&gt;"",AP85=""),AND(AP84="",AP85&lt;&gt;""))</f>
        <v>0</v>
      </c>
      <c r="AQ82" s="1716">
        <f>OR(AND(AQ84&lt;&gt;"",AQ85=""),AND(AQ84="",AQ85&lt;&gt;""))</f>
        <v>0</v>
      </c>
      <c r="AR82" s="1716">
        <f>OR(AND(AR84&lt;&gt;"",AR85=""),AND(AR84="",AR85&lt;&gt;""))</f>
        <v>0</v>
      </c>
      <c r="AS82" s="1716">
        <f>OR(AND(AS84&lt;&gt;"",AS85=""),AND(AS84="",AS85&lt;&gt;""))</f>
        <v>0</v>
      </c>
      <c r="AT82" s="1716">
        <f>OR(AND(AT84&lt;&gt;"",AT85=""),AND(AT84="",AT85&lt;&gt;""))</f>
        <v>0</v>
      </c>
      <c r="AU82" s="1716">
        <f>OR(AND(AU84&lt;&gt;"",AU85=""),AND(AU84="",AU85&lt;&gt;""))</f>
        <v>0</v>
      </c>
      <c r="AV82" s="1716">
        <f>OR(AND(AV84&lt;&gt;"",AV85=""),AND(AV84="",AV85&lt;&gt;""))</f>
        <v>0</v>
      </c>
      <c r="AW82" s="1716">
        <f>OR(AND(AW84&lt;&gt;"",AW85=""),AND(AW84="",AW85&lt;&gt;""))</f>
        <v>0</v>
      </c>
      <c r="AX82" s="1716">
        <f>OR(AND(AX84&lt;&gt;"",AX85=""),AND(AX84="",AX85&lt;&gt;""))</f>
        <v>0</v>
      </c>
      <c r="AY82" s="1716">
        <f>OR(AND(AY84&lt;&gt;"",AY85=""),AND(AY84="",AY85&lt;&gt;""))</f>
        <v>0</v>
      </c>
      <c r="AZ82" s="1716">
        <f>OR(AND(AZ84&lt;&gt;"",AZ85=""),AND(AZ84="",AZ85&lt;&gt;""))</f>
        <v>0</v>
      </c>
      <c r="BA82" s="1716">
        <f>OR(AND(BA84&lt;&gt;"",BA85=""),AND(BA84="",BA85&lt;&gt;""))</f>
        <v>0</v>
      </c>
      <c r="BB82" s="1733">
        <f>OR(AND(BB84&lt;&gt;"",BB85=""),AND(BB84="",BB85&lt;&gt;""))</f>
        <v>0</v>
      </c>
      <c r="BC82" s="1734"/>
      <c r="BD82" s="885"/>
      <c r="BE82" s="885"/>
      <c r="BF82" s="1044"/>
      <c r="BG82" s="1044"/>
      <c r="BH82" s="1044"/>
      <c r="BI82" s="679"/>
      <c r="BJ82" s="679"/>
    </row>
    <row customHeight="1" ht="14.625" hidden="1">
      <c r="A83" s="885"/>
      <c r="B83" s="441"/>
      <c r="C83" s="885"/>
      <c r="D83" s="885"/>
      <c r="E83" s="678">
        <v>15</v>
      </c>
      <c r="F83" s="1387" cm="1" t="str">
        <f t="array" ref="F83:F83">OFFSET(E83,-1,1)</f>
        <v>0</v>
      </c>
      <c r="G83" s="885"/>
      <c r="H83" s="885"/>
      <c r="I83" s="885"/>
      <c r="J83" s="885"/>
      <c r="K83" s="911"/>
      <c r="L83" s="915"/>
      <c r="M83" s="885"/>
      <c r="N83" s="885"/>
      <c r="O83" s="885"/>
      <c r="P83" s="885"/>
      <c r="Q83" s="885"/>
      <c r="R83" s="885"/>
      <c r="S83" s="885"/>
      <c r="T83" s="1356">
        <f>AND(F83&gt;0,Y82&gt;0)</f>
        <v>0</v>
      </c>
      <c r="U83" s="885"/>
      <c r="V83" s="885"/>
      <c r="W83" s="885"/>
      <c r="X83" s="684"/>
      <c r="Y83" s="1524"/>
      <c r="Z83" s="885"/>
      <c r="AA83" s="1714"/>
      <c r="AB83" s="1698" t="str">
        <f>"8."&amp;Y82</f>
        <v>8.0</v>
      </c>
      <c r="AC83" s="1717"/>
      <c r="AD83" s="1715"/>
      <c r="AE83" s="885"/>
      <c r="AF83" s="885"/>
      <c r="AG83" s="885"/>
      <c r="AH83" s="885"/>
      <c r="AI83" s="885"/>
      <c r="AJ83" s="885"/>
      <c r="AK83" s="885"/>
      <c r="AL83" s="885"/>
      <c r="AM83" s="885"/>
      <c r="AN83" s="885"/>
      <c r="AO83" s="885"/>
      <c r="AP83" s="885"/>
      <c r="AQ83" s="885"/>
      <c r="AR83" s="885"/>
      <c r="AS83" s="885"/>
      <c r="AT83" s="885"/>
      <c r="AU83" s="885"/>
      <c r="AV83" s="885"/>
      <c r="AW83" s="885"/>
      <c r="AX83" s="885"/>
      <c r="AY83" s="885"/>
      <c r="AZ83" s="885"/>
      <c r="BA83" s="885"/>
      <c r="BB83" s="885"/>
      <c r="BC83" s="885"/>
      <c r="BD83" s="885"/>
      <c r="BE83" s="885"/>
      <c r="BF83" s="1044"/>
      <c r="BG83" s="1044"/>
      <c r="BH83" s="1044"/>
      <c r="BI83" s="679"/>
      <c r="BJ83" s="679"/>
    </row>
    <row customHeight="1" ht="14.625" hidden="1">
      <c r="A84" s="885"/>
      <c r="B84" s="441"/>
      <c r="C84" s="885"/>
      <c r="D84" s="885"/>
      <c r="E84" s="678">
        <v>15</v>
      </c>
      <c r="F84" s="1387" cm="1" t="str">
        <f t="array" ref="F84:F84">OFFSET(E84,-1,1)</f>
        <v>0</v>
      </c>
      <c r="G84" s="885"/>
      <c r="H84" s="885"/>
      <c r="I84" s="885"/>
      <c r="J84" s="885"/>
      <c r="K84" s="911"/>
      <c r="L84" s="915"/>
      <c r="M84" s="885"/>
      <c r="N84" s="885"/>
      <c r="O84" s="885"/>
      <c r="P84" s="885"/>
      <c r="Q84" s="885"/>
      <c r="R84" s="885"/>
      <c r="S84" s="885"/>
      <c r="T84" s="1356" cm="1" t="str">
        <f t="array" ref="T84:T84">T83</f>
        <v>false</v>
      </c>
      <c r="U84" s="885"/>
      <c r="V84" s="885"/>
      <c r="W84" s="885"/>
      <c r="X84" s="684"/>
      <c r="Y84" s="1524"/>
      <c r="Z84" s="885"/>
      <c r="AA84" s="1714"/>
      <c r="AB84" s="1698" t="str">
        <f>AB83&amp;".1"</f>
        <v>8.0.1</v>
      </c>
      <c r="AC84" s="1728" t="s">
        <v>1783</v>
      </c>
      <c r="AD84" s="1700" t="s">
        <v>1514</v>
      </c>
      <c r="AE84" s="3679"/>
      <c r="AF84" s="3680"/>
      <c r="AG84" s="3679"/>
      <c r="AH84" s="3679"/>
      <c r="AI84" s="3680"/>
      <c r="AJ84" s="3680"/>
      <c r="AK84" s="3680"/>
      <c r="AL84" s="3680"/>
      <c r="AM84" s="3680"/>
      <c r="AN84" s="3680"/>
      <c r="AO84" s="3680"/>
      <c r="AP84" s="3680"/>
      <c r="AQ84" s="3680"/>
      <c r="AR84" s="3680"/>
      <c r="AS84" s="3679"/>
      <c r="AT84" s="3679"/>
      <c r="AU84" s="3679"/>
      <c r="AV84" s="3679"/>
      <c r="AW84" s="3679"/>
      <c r="AX84" s="3679"/>
      <c r="AY84" s="3679"/>
      <c r="AZ84" s="3679"/>
      <c r="BA84" s="3679"/>
      <c r="BB84" s="3679"/>
      <c r="BC84" s="3685"/>
      <c r="BD84" s="885"/>
      <c r="BE84" s="885"/>
      <c r="BF84" s="1041" t="s">
        <v>1784</v>
      </c>
      <c r="BG84" s="1044" t="s">
        <v>1849</v>
      </c>
      <c r="BH84" s="1720" cm="1" t="str">
        <f t="array" ref="BH84:BH84">AC83</f>
        <v>0</v>
      </c>
      <c r="BI84" s="679"/>
      <c r="BJ84" s="679" t="b">
        <v>1</v>
      </c>
    </row>
    <row customHeight="1" ht="14.625" hidden="1">
      <c r="A85" s="885"/>
      <c r="B85" s="441"/>
      <c r="C85" s="885"/>
      <c r="D85" s="885"/>
      <c r="E85" s="678">
        <v>15</v>
      </c>
      <c r="F85" s="1387" cm="1" t="str">
        <f t="array" ref="F85:F85">OFFSET(E85,-1,1)</f>
        <v>0</v>
      </c>
      <c r="G85" s="885"/>
      <c r="H85" s="885"/>
      <c r="I85" s="885"/>
      <c r="J85" s="885"/>
      <c r="K85" s="911"/>
      <c r="L85" s="915"/>
      <c r="M85" s="885"/>
      <c r="N85" s="885"/>
      <c r="O85" s="885"/>
      <c r="P85" s="885"/>
      <c r="Q85" s="885"/>
      <c r="R85" s="885"/>
      <c r="S85" s="885"/>
      <c r="T85" s="1356" cm="1" t="str">
        <f t="array" ref="T85:T85">T84</f>
        <v>false</v>
      </c>
      <c r="U85" s="885"/>
      <c r="V85" s="885"/>
      <c r="W85" s="885"/>
      <c r="X85" s="684"/>
      <c r="Y85" s="1524"/>
      <c r="Z85" s="885"/>
      <c r="AA85" s="1714"/>
      <c r="AB85" s="1698" t="str">
        <f>AB84&amp;".1"</f>
        <v>8.0.1.1</v>
      </c>
      <c r="AC85" s="1707" t="s">
        <v>1850</v>
      </c>
      <c r="AD85" s="1698" t="s">
        <v>1247</v>
      </c>
      <c r="AE85" s="3679"/>
      <c r="AF85" s="3680"/>
      <c r="AG85" s="3679"/>
      <c r="AH85" s="3679"/>
      <c r="AI85" s="3680"/>
      <c r="AJ85" s="3680"/>
      <c r="AK85" s="3680"/>
      <c r="AL85" s="3680"/>
      <c r="AM85" s="3680"/>
      <c r="AN85" s="3680"/>
      <c r="AO85" s="3680"/>
      <c r="AP85" s="3680"/>
      <c r="AQ85" s="3680"/>
      <c r="AR85" s="3680"/>
      <c r="AS85" s="3679"/>
      <c r="AT85" s="3679"/>
      <c r="AU85" s="3679"/>
      <c r="AV85" s="3679"/>
      <c r="AW85" s="3679"/>
      <c r="AX85" s="3679"/>
      <c r="AY85" s="3679"/>
      <c r="AZ85" s="3679"/>
      <c r="BA85" s="3679"/>
      <c r="BB85" s="3679"/>
      <c r="BC85" s="3685"/>
      <c r="BD85" s="885"/>
      <c r="BE85" s="885"/>
      <c r="BF85" s="1041" t="s">
        <v>1787</v>
      </c>
      <c r="BG85" s="1044" t="s">
        <v>1849</v>
      </c>
      <c r="BH85" s="1720" cm="1" t="str">
        <f t="array" ref="BH85:BH85">BH84</f>
        <v>0</v>
      </c>
      <c r="BI85" s="679"/>
      <c r="BJ85" s="679"/>
    </row>
    <row customHeight="1" ht="14.625" hidden="1">
      <c r="A86" s="885"/>
      <c r="B86" s="441"/>
      <c r="C86" s="885"/>
      <c r="D86" s="885"/>
      <c r="E86" s="678">
        <v>15</v>
      </c>
      <c r="F86" s="1387" cm="1" t="str">
        <f t="array" ref="F86:F86">OFFSET(E86,-1,1)</f>
        <v>0</v>
      </c>
      <c r="G86" s="885"/>
      <c r="H86" s="885"/>
      <c r="I86" s="885"/>
      <c r="J86" s="885"/>
      <c r="K86" s="911"/>
      <c r="L86" s="915"/>
      <c r="M86" s="885"/>
      <c r="N86" s="885"/>
      <c r="O86" s="885"/>
      <c r="P86" s="885"/>
      <c r="Q86" s="885"/>
      <c r="R86" s="885"/>
      <c r="S86" s="885"/>
      <c r="T86" s="1356" cm="1" t="str">
        <f t="array" ref="T86:T86">T85</f>
        <v>false</v>
      </c>
      <c r="U86" s="885"/>
      <c r="V86" s="885"/>
      <c r="W86" s="885"/>
      <c r="X86" s="684"/>
      <c r="Y86" s="1524"/>
      <c r="Z86" s="885"/>
      <c r="AA86" s="1714"/>
      <c r="AB86" s="1698" t="str">
        <f>AB84&amp;".2"</f>
        <v>8.0.1.2</v>
      </c>
      <c r="AC86" s="1707" t="s">
        <v>1851</v>
      </c>
      <c r="AD86" s="1698" t="s">
        <v>1789</v>
      </c>
      <c r="AE86" s="3679"/>
      <c r="AF86" s="3680"/>
      <c r="AG86" s="3680"/>
      <c r="AH86" s="3679"/>
      <c r="AI86" s="3680"/>
      <c r="AJ86" s="3680"/>
      <c r="AK86" s="3680"/>
      <c r="AL86" s="3680"/>
      <c r="AM86" s="3680"/>
      <c r="AN86" s="3680"/>
      <c r="AO86" s="3680"/>
      <c r="AP86" s="3680"/>
      <c r="AQ86" s="3680"/>
      <c r="AR86" s="3680"/>
      <c r="AS86" s="3680"/>
      <c r="AT86" s="3680"/>
      <c r="AU86" s="3680"/>
      <c r="AV86" s="3680"/>
      <c r="AW86" s="3680"/>
      <c r="AX86" s="3680"/>
      <c r="AY86" s="3680"/>
      <c r="AZ86" s="3680"/>
      <c r="BA86" s="3680"/>
      <c r="BB86" s="3686"/>
      <c r="BC86" s="3685"/>
      <c r="BD86" s="885"/>
      <c r="BE86" s="885"/>
      <c r="BF86" s="1041" t="s">
        <v>1790</v>
      </c>
      <c r="BG86" s="1044" t="s">
        <v>1849</v>
      </c>
      <c r="BH86" s="1720" cm="1" t="str">
        <f t="array" ref="BH86:BH86">BH85</f>
        <v>0</v>
      </c>
      <c r="BI86" s="679"/>
      <c r="BJ86" s="679"/>
    </row>
    <row customHeight="1" ht="14.625" hidden="1">
      <c r="A87" s="885"/>
      <c r="B87" s="441"/>
      <c r="C87" s="885"/>
      <c r="D87" s="885"/>
      <c r="E87" s="678">
        <v>15</v>
      </c>
      <c r="F87" s="1387" cm="1" t="str">
        <f t="array" ref="F87:F87">OFFSET(E87,-1,1)</f>
        <v>0</v>
      </c>
      <c r="G87" s="885"/>
      <c r="H87" s="885"/>
      <c r="I87" s="885"/>
      <c r="J87" s="885"/>
      <c r="K87" s="911"/>
      <c r="L87" s="915"/>
      <c r="M87" s="885"/>
      <c r="N87" s="885"/>
      <c r="O87" s="885"/>
      <c r="P87" s="885"/>
      <c r="Q87" s="885"/>
      <c r="R87" s="885"/>
      <c r="S87" s="885"/>
      <c r="T87" s="1356">
        <f>F87&gt;0</f>
        <v>0</v>
      </c>
      <c r="U87" s="885"/>
      <c r="V87" s="885"/>
      <c r="W87" s="685" t="s">
        <v>1852</v>
      </c>
      <c r="X87" s="684"/>
      <c r="Y87" s="885"/>
      <c r="Z87" s="885"/>
      <c r="AA87" s="885"/>
      <c r="AB87" s="1724"/>
      <c r="AC87" s="1737" t="s">
        <v>1792</v>
      </c>
      <c r="AD87" s="1726"/>
      <c r="AE87" s="1726"/>
      <c r="AF87" s="1726"/>
      <c r="AG87" s="1726"/>
      <c r="AH87" s="1726"/>
      <c r="AI87" s="1726"/>
      <c r="AJ87" s="1726"/>
      <c r="AK87" s="1726"/>
      <c r="AL87" s="1726"/>
      <c r="AM87" s="1726"/>
      <c r="AN87" s="1726"/>
      <c r="AO87" s="1726"/>
      <c r="AP87" s="1726"/>
      <c r="AQ87" s="1726"/>
      <c r="AR87" s="1726"/>
      <c r="AS87" s="1726"/>
      <c r="AT87" s="1726"/>
      <c r="AU87" s="1726"/>
      <c r="AV87" s="1726"/>
      <c r="AW87" s="1726"/>
      <c r="AX87" s="1726"/>
      <c r="AY87" s="1726"/>
      <c r="AZ87" s="1726"/>
      <c r="BA87" s="1726"/>
      <c r="BB87" s="1726"/>
      <c r="BC87" s="1732"/>
      <c r="BD87" s="885"/>
      <c r="BE87" s="885"/>
      <c r="BF87" s="1044"/>
      <c r="BG87" s="1044"/>
      <c r="BH87" s="1044"/>
      <c r="BI87" s="679" t="s">
        <v>1849</v>
      </c>
      <c r="BJ87" s="679"/>
    </row>
    <row s="153" customFormat="1" customHeight="1" ht="14.625" hidden="1">
      <c r="A88" s="153"/>
      <c r="B88" s="441"/>
      <c r="C88" s="153"/>
      <c r="D88" s="153"/>
      <c r="E88" s="679">
        <v>15</v>
      </c>
      <c r="F88" s="50" cm="1" t="str">
        <f t="array" ref="F88:F88">OFFSET(E88,-1,1)</f>
        <v>0</v>
      </c>
      <c r="G88" s="152"/>
      <c r="H88" s="153"/>
      <c r="I88" s="153"/>
      <c r="J88" s="153"/>
      <c r="K88" s="911" t="str">
        <f>F28&amp;"9komm"</f>
        <v>09komm</v>
      </c>
      <c r="L88" s="915" cm="1" t="str">
        <f t="array" ref="L88:L88">BC88</f>
        <v>0</v>
      </c>
      <c r="M88" s="153"/>
      <c r="N88" s="153"/>
      <c r="O88" s="153"/>
      <c r="P88" s="153"/>
      <c r="Q88" s="153"/>
      <c r="R88" s="153"/>
      <c r="S88" s="153"/>
      <c r="T88" s="465" cm="1" t="str">
        <f t="array" ref="T88:T88">T81</f>
        <v>false</v>
      </c>
      <c r="U88" s="153"/>
      <c r="V88" s="153"/>
      <c r="W88" s="153"/>
      <c r="X88" s="1524"/>
      <c r="Y88" s="153"/>
      <c r="Z88" s="1615"/>
      <c r="AA88" s="153"/>
      <c r="AB88" s="211">
        <v>9</v>
      </c>
      <c r="AC88" s="212" t="s">
        <v>1853</v>
      </c>
      <c r="AD88" s="211" t="s">
        <v>1514</v>
      </c>
      <c r="AE88" s="3657">
        <f>SUMIF($AD91:$AD94,$AD88,AE91:AE94)</f>
        <v>0</v>
      </c>
      <c r="AF88" s="3657">
        <f>SUMIF($AD91:$AD94,$AD88,AF91:AF94)</f>
        <v>0</v>
      </c>
      <c r="AG88" s="3657">
        <f>SUMIF($AD91:$AD94,$AD88,AG91:AG94)</f>
        <v>0</v>
      </c>
      <c r="AH88" s="3657">
        <f>SUMIF($AD91:$AD94,$AD88,AH91:AH94)</f>
        <v>0</v>
      </c>
      <c r="AI88" s="3657">
        <f>SUMIF($AD91:$AD94,$AD88,AI91:AI94)</f>
        <v>0</v>
      </c>
      <c r="AJ88" s="3658">
        <f>SUMIF($AD91:$AD94,$AD88,AJ91:AJ94)</f>
        <v>0</v>
      </c>
      <c r="AK88" s="3658">
        <f>SUMIF($AD91:$AD94,$AD88,AK91:AK94)</f>
        <v>0</v>
      </c>
      <c r="AL88" s="3658">
        <f>SUMIF($AD91:$AD94,$AD88,AL91:AL94)</f>
        <v>0</v>
      </c>
      <c r="AM88" s="3658">
        <f>SUMIF($AD91:$AD94,$AD88,AM91:AM94)</f>
        <v>0</v>
      </c>
      <c r="AN88" s="3658">
        <f>SUMIF($AD91:$AD94,$AD88,AN91:AN94)</f>
        <v>0</v>
      </c>
      <c r="AO88" s="3658">
        <f>SUMIF($AD91:$AD94,$AD88,AO91:AO94)</f>
        <v>0</v>
      </c>
      <c r="AP88" s="3658">
        <f>SUMIF($AD91:$AD94,$AD88,AP91:AP94)</f>
        <v>0</v>
      </c>
      <c r="AQ88" s="3658">
        <f>SUMIF($AD91:$AD94,$AD88,AQ91:AQ94)</f>
        <v>0</v>
      </c>
      <c r="AR88" s="3658">
        <f>SUMIF($AD91:$AD94,$AD88,AR91:AR94)</f>
        <v>0</v>
      </c>
      <c r="AS88" s="3657">
        <f>SUMIF($AD91:$AD94,$AD88,AS91:AS94)</f>
        <v>0</v>
      </c>
      <c r="AT88" s="3658">
        <f>SUMIF($AD91:$AD94,$AD88,AT91:AT94)</f>
        <v>0</v>
      </c>
      <c r="AU88" s="3658">
        <f>SUMIF($AD91:$AD94,$AD88,AU91:AU94)</f>
        <v>0</v>
      </c>
      <c r="AV88" s="3658">
        <f>SUMIF($AD91:$AD94,$AD88,AV91:AV94)</f>
        <v>0</v>
      </c>
      <c r="AW88" s="3658">
        <f>SUMIF($AD91:$AD94,$AD88,AW91:AW94)</f>
        <v>0</v>
      </c>
      <c r="AX88" s="3658">
        <f>SUMIF($AD91:$AD94,$AD88,AX91:AX94)</f>
        <v>0</v>
      </c>
      <c r="AY88" s="3658">
        <f>SUMIF($AD91:$AD94,$AD88,AY91:AY94)</f>
        <v>0</v>
      </c>
      <c r="AZ88" s="3658">
        <f>SUMIF($AD91:$AD94,$AD88,AZ91:AZ94)</f>
        <v>0</v>
      </c>
      <c r="BA88" s="3658">
        <f>SUMIF($AD91:$AD94,$AD88,BA91:BA94)</f>
        <v>0</v>
      </c>
      <c r="BB88" s="3658">
        <f>SUMIF($AD91:$AD94,$AD88,BB91:BB94)</f>
        <v>0</v>
      </c>
      <c r="BC88" s="2070"/>
      <c r="BD88" s="153"/>
      <c r="BE88" s="153"/>
      <c r="BF88" s="1044" t="s">
        <v>1854</v>
      </c>
      <c r="BG88" s="1044"/>
      <c r="BH88" s="1044"/>
      <c r="BI88" s="679"/>
      <c r="BJ88" s="679"/>
    </row>
    <row customHeight="1" ht="14.625" hidden="1">
      <c r="A89" s="885"/>
      <c r="B89" s="441"/>
      <c r="C89" s="885"/>
      <c r="D89" s="885"/>
      <c r="E89" s="678">
        <v>15</v>
      </c>
      <c r="F89" s="1387" cm="1" t="str">
        <f t="array" ref="F89:F89">OFFSET(E89,-1,1)</f>
        <v>0</v>
      </c>
      <c r="G89" s="885"/>
      <c r="H89" s="885"/>
      <c r="I89" s="885"/>
      <c r="J89" s="885"/>
      <c r="K89" s="911"/>
      <c r="L89" s="915"/>
      <c r="M89" s="885"/>
      <c r="N89" s="885"/>
      <c r="O89" s="885"/>
      <c r="P89" s="885"/>
      <c r="Q89" s="885"/>
      <c r="R89" s="885"/>
      <c r="S89" s="885"/>
      <c r="T89" s="1356" t="b">
        <v>0</v>
      </c>
      <c r="U89" s="885"/>
      <c r="V89" s="885"/>
      <c r="W89" s="885" t="s">
        <v>174</v>
      </c>
      <c r="X89" s="684"/>
      <c r="Y89" s="1524">
        <v>0</v>
      </c>
      <c r="Z89" s="885"/>
      <c r="AA89" s="1714" t="s">
        <v>175</v>
      </c>
      <c r="AB89" s="1700"/>
      <c r="AC89" s="1738"/>
      <c r="AD89" s="1715"/>
      <c r="AE89" s="1716">
        <f>OR(AND(AE91&lt;&gt;"",AE92=""),AND(AE91="",AE92&lt;&gt;""))</f>
        <v>0</v>
      </c>
      <c r="AF89" s="1716">
        <f>OR(AND(AF91&lt;&gt;"",AF92=""),AND(AF91="",AF92&lt;&gt;""))</f>
        <v>0</v>
      </c>
      <c r="AG89" s="1716">
        <f>OR(AND(AG91&lt;&gt;"",AG92=""),AND(AG91="",AG92&lt;&gt;""))</f>
        <v>0</v>
      </c>
      <c r="AH89" s="1716">
        <f>OR(AND(AH91&lt;&gt;"",AH92=""),AND(AH91="",AH92&lt;&gt;""))</f>
        <v>0</v>
      </c>
      <c r="AI89" s="1716">
        <f>OR(AND(AI91&lt;&gt;"",AI92=""),AND(AI91="",AI92&lt;&gt;""))</f>
        <v>0</v>
      </c>
      <c r="AJ89" s="1716">
        <f>OR(AND(AJ91&lt;&gt;"",AJ92=""),AND(AJ91="",AJ92&lt;&gt;""))</f>
        <v>0</v>
      </c>
      <c r="AK89" s="1716">
        <f>OR(AND(AK91&lt;&gt;"",AK92=""),AND(AK91="",AK92&lt;&gt;""))</f>
        <v>0</v>
      </c>
      <c r="AL89" s="1716">
        <f>OR(AND(AL91&lt;&gt;"",AL92=""),AND(AL91="",AL92&lt;&gt;""))</f>
        <v>0</v>
      </c>
      <c r="AM89" s="1716">
        <f>OR(AND(AM91&lt;&gt;"",AM92=""),AND(AM91="",AM92&lt;&gt;""))</f>
        <v>0</v>
      </c>
      <c r="AN89" s="1716">
        <f>OR(AND(AN91&lt;&gt;"",AN92=""),AND(AN91="",AN92&lt;&gt;""))</f>
        <v>0</v>
      </c>
      <c r="AO89" s="1716">
        <f>OR(AND(AO91&lt;&gt;"",AO92=""),AND(AO91="",AO92&lt;&gt;""))</f>
        <v>0</v>
      </c>
      <c r="AP89" s="1716">
        <f>OR(AND(AP91&lt;&gt;"",AP92=""),AND(AP91="",AP92&lt;&gt;""))</f>
        <v>0</v>
      </c>
      <c r="AQ89" s="1716">
        <f>OR(AND(AQ91&lt;&gt;"",AQ92=""),AND(AQ91="",AQ92&lt;&gt;""))</f>
        <v>0</v>
      </c>
      <c r="AR89" s="1716">
        <f>OR(AND(AR91&lt;&gt;"",AR92=""),AND(AR91="",AR92&lt;&gt;""))</f>
        <v>0</v>
      </c>
      <c r="AS89" s="1716">
        <f>OR(AND(AS91&lt;&gt;"",AS92=""),AND(AS91="",AS92&lt;&gt;""))</f>
        <v>0</v>
      </c>
      <c r="AT89" s="1716">
        <f>OR(AND(AT91&lt;&gt;"",AT92=""),AND(AT91="",AT92&lt;&gt;""))</f>
        <v>0</v>
      </c>
      <c r="AU89" s="1716">
        <f>OR(AND(AU91&lt;&gt;"",AU92=""),AND(AU91="",AU92&lt;&gt;""))</f>
        <v>0</v>
      </c>
      <c r="AV89" s="1716">
        <f>OR(AND(AV91&lt;&gt;"",AV92=""),AND(AV91="",AV92&lt;&gt;""))</f>
        <v>0</v>
      </c>
      <c r="AW89" s="1716">
        <f>OR(AND(AW91&lt;&gt;"",AW92=""),AND(AW91="",AW92&lt;&gt;""))</f>
        <v>0</v>
      </c>
      <c r="AX89" s="1716">
        <f>OR(AND(AX91&lt;&gt;"",AX92=""),AND(AX91="",AX92&lt;&gt;""))</f>
        <v>0</v>
      </c>
      <c r="AY89" s="1716">
        <f>OR(AND(AY91&lt;&gt;"",AY92=""),AND(AY91="",AY92&lt;&gt;""))</f>
        <v>0</v>
      </c>
      <c r="AZ89" s="1716">
        <f>OR(AND(AZ91&lt;&gt;"",AZ92=""),AND(AZ91="",AZ92&lt;&gt;""))</f>
        <v>0</v>
      </c>
      <c r="BA89" s="1716">
        <f>OR(AND(BA91&lt;&gt;"",BA92=""),AND(BA91="",BA92&lt;&gt;""))</f>
        <v>0</v>
      </c>
      <c r="BB89" s="1733">
        <f>OR(AND(BB91&lt;&gt;"",BB92=""),AND(BB91="",BB92&lt;&gt;""))</f>
        <v>0</v>
      </c>
      <c r="BC89" s="1734"/>
      <c r="BD89" s="885"/>
      <c r="BE89" s="885"/>
      <c r="BF89" s="1044"/>
      <c r="BG89" s="1044"/>
      <c r="BH89" s="1044"/>
      <c r="BI89" s="679"/>
      <c r="BJ89" s="679"/>
    </row>
    <row customHeight="1" ht="14.625" hidden="1">
      <c r="A90" s="885"/>
      <c r="B90" s="441"/>
      <c r="C90" s="885"/>
      <c r="D90" s="885"/>
      <c r="E90" s="678">
        <v>15</v>
      </c>
      <c r="F90" s="1387" cm="1" t="str">
        <f t="array" ref="F90:F90">OFFSET(E90,-1,1)</f>
        <v>0</v>
      </c>
      <c r="G90" s="885"/>
      <c r="H90" s="885"/>
      <c r="I90" s="885"/>
      <c r="J90" s="885"/>
      <c r="K90" s="911"/>
      <c r="L90" s="915"/>
      <c r="M90" s="885"/>
      <c r="N90" s="885"/>
      <c r="O90" s="885"/>
      <c r="P90" s="885"/>
      <c r="Q90" s="885"/>
      <c r="R90" s="885"/>
      <c r="S90" s="885"/>
      <c r="T90" s="1356">
        <f>AND(F90&gt;0,Y89&gt;0)</f>
        <v>0</v>
      </c>
      <c r="U90" s="885"/>
      <c r="V90" s="885"/>
      <c r="W90" s="885"/>
      <c r="X90" s="684"/>
      <c r="Y90" s="1524"/>
      <c r="Z90" s="885"/>
      <c r="AA90" s="1714"/>
      <c r="AB90" s="1698" t="str">
        <f>"9."&amp;Y89</f>
        <v>9.0</v>
      </c>
      <c r="AC90" s="3689"/>
      <c r="AD90" s="1715"/>
      <c r="AE90" s="885"/>
      <c r="AF90" s="885"/>
      <c r="AG90" s="885"/>
      <c r="AH90" s="885"/>
      <c r="AI90" s="885"/>
      <c r="AJ90" s="885"/>
      <c r="AK90" s="885"/>
      <c r="AL90" s="885"/>
      <c r="AM90" s="885"/>
      <c r="AN90" s="885"/>
      <c r="AO90" s="885"/>
      <c r="AP90" s="885"/>
      <c r="AQ90" s="885"/>
      <c r="AR90" s="885"/>
      <c r="AS90" s="885"/>
      <c r="AT90" s="885"/>
      <c r="AU90" s="885"/>
      <c r="AV90" s="885"/>
      <c r="AW90" s="885"/>
      <c r="AX90" s="885"/>
      <c r="AY90" s="885"/>
      <c r="AZ90" s="885"/>
      <c r="BA90" s="885"/>
      <c r="BB90" s="885"/>
      <c r="BC90" s="885"/>
      <c r="BD90" s="885"/>
      <c r="BE90" s="885"/>
      <c r="BF90" s="1044"/>
      <c r="BG90" s="1044"/>
      <c r="BH90" s="1044"/>
      <c r="BI90" s="679"/>
      <c r="BJ90" s="679"/>
    </row>
    <row customHeight="1" ht="14.625" hidden="1">
      <c r="A91" s="885"/>
      <c r="B91" s="441"/>
      <c r="C91" s="885"/>
      <c r="D91" s="885"/>
      <c r="E91" s="678">
        <v>15</v>
      </c>
      <c r="F91" s="1387" cm="1" t="str">
        <f t="array" ref="F91:F91">OFFSET(E91,-1,1)</f>
        <v>0</v>
      </c>
      <c r="G91" s="885"/>
      <c r="H91" s="885"/>
      <c r="I91" s="885"/>
      <c r="J91" s="885"/>
      <c r="K91" s="911"/>
      <c r="L91" s="915"/>
      <c r="M91" s="885"/>
      <c r="N91" s="885"/>
      <c r="O91" s="885"/>
      <c r="P91" s="885"/>
      <c r="Q91" s="885"/>
      <c r="R91" s="885"/>
      <c r="S91" s="885"/>
      <c r="T91" s="1356" cm="1" t="str">
        <f t="array" ref="T91:T91">T90</f>
        <v>false</v>
      </c>
      <c r="U91" s="885"/>
      <c r="V91" s="885"/>
      <c r="W91" s="885"/>
      <c r="X91" s="684"/>
      <c r="Y91" s="1524"/>
      <c r="Z91" s="885"/>
      <c r="AA91" s="1714"/>
      <c r="AB91" s="1698" t="str">
        <f>AB90&amp;".1"</f>
        <v>9.0.1</v>
      </c>
      <c r="AC91" s="1728" t="s">
        <v>1783</v>
      </c>
      <c r="AD91" s="1700" t="s">
        <v>1514</v>
      </c>
      <c r="AE91" s="3679"/>
      <c r="AF91" s="3680"/>
      <c r="AG91" s="3679"/>
      <c r="AH91" s="3679"/>
      <c r="AI91" s="3680"/>
      <c r="AJ91" s="3680"/>
      <c r="AK91" s="3680"/>
      <c r="AL91" s="3680"/>
      <c r="AM91" s="3680"/>
      <c r="AN91" s="3680"/>
      <c r="AO91" s="3680"/>
      <c r="AP91" s="3680"/>
      <c r="AQ91" s="3680"/>
      <c r="AR91" s="3680"/>
      <c r="AS91" s="3679"/>
      <c r="AT91" s="3679"/>
      <c r="AU91" s="3679"/>
      <c r="AV91" s="3679"/>
      <c r="AW91" s="3679"/>
      <c r="AX91" s="3679"/>
      <c r="AY91" s="3679"/>
      <c r="AZ91" s="3679"/>
      <c r="BA91" s="3679"/>
      <c r="BB91" s="3679"/>
      <c r="BC91" s="3685"/>
      <c r="BD91" s="885"/>
      <c r="BE91" s="885"/>
      <c r="BF91" s="1041" t="s">
        <v>1784</v>
      </c>
      <c r="BG91" s="1044" t="s">
        <v>1855</v>
      </c>
      <c r="BH91" s="1720" cm="1" t="str">
        <f t="array" ref="BH91:BH91">AC90</f>
        <v>0</v>
      </c>
      <c r="BI91" s="679"/>
      <c r="BJ91" s="679" t="b">
        <v>1</v>
      </c>
    </row>
    <row customHeight="1" ht="14.625" hidden="1">
      <c r="A92" s="885"/>
      <c r="B92" s="441"/>
      <c r="C92" s="885"/>
      <c r="D92" s="885"/>
      <c r="E92" s="678">
        <v>15</v>
      </c>
      <c r="F92" s="1387" cm="1" t="str">
        <f t="array" ref="F92:F92">OFFSET(E92,-1,1)</f>
        <v>0</v>
      </c>
      <c r="G92" s="885"/>
      <c r="H92" s="885"/>
      <c r="I92" s="885"/>
      <c r="J92" s="885"/>
      <c r="K92" s="911"/>
      <c r="L92" s="915"/>
      <c r="M92" s="885"/>
      <c r="N92" s="885"/>
      <c r="O92" s="885"/>
      <c r="P92" s="885"/>
      <c r="Q92" s="885"/>
      <c r="R92" s="885"/>
      <c r="S92" s="885"/>
      <c r="T92" s="1356" cm="1" t="str">
        <f t="array" ref="T92:T92">T91</f>
        <v>false</v>
      </c>
      <c r="U92" s="885"/>
      <c r="V92" s="885"/>
      <c r="W92" s="885"/>
      <c r="X92" s="684"/>
      <c r="Y92" s="1524"/>
      <c r="Z92" s="885"/>
      <c r="AA92" s="1714"/>
      <c r="AB92" s="1698" t="str">
        <f>AB91&amp;".1"</f>
        <v>9.0.1.1</v>
      </c>
      <c r="AC92" s="1707" t="s">
        <v>1856</v>
      </c>
      <c r="AD92" s="1698"/>
      <c r="AE92" s="3679"/>
      <c r="AF92" s="3680"/>
      <c r="AG92" s="3679"/>
      <c r="AH92" s="3679"/>
      <c r="AI92" s="3680"/>
      <c r="AJ92" s="3680"/>
      <c r="AK92" s="3680"/>
      <c r="AL92" s="3680"/>
      <c r="AM92" s="3680"/>
      <c r="AN92" s="3680"/>
      <c r="AO92" s="3680"/>
      <c r="AP92" s="3680"/>
      <c r="AQ92" s="3680"/>
      <c r="AR92" s="3680"/>
      <c r="AS92" s="3679"/>
      <c r="AT92" s="3679"/>
      <c r="AU92" s="3679"/>
      <c r="AV92" s="3679"/>
      <c r="AW92" s="3679"/>
      <c r="AX92" s="3679"/>
      <c r="AY92" s="3679"/>
      <c r="AZ92" s="3679"/>
      <c r="BA92" s="3679"/>
      <c r="BB92" s="3679"/>
      <c r="BC92" s="3685"/>
      <c r="BD92" s="885"/>
      <c r="BE92" s="885"/>
      <c r="BF92" s="1041" t="s">
        <v>1787</v>
      </c>
      <c r="BG92" s="1044" t="s">
        <v>1855</v>
      </c>
      <c r="BH92" s="1720" cm="1" t="str">
        <f t="array" ref="BH92:BH92">BH91</f>
        <v>0</v>
      </c>
      <c r="BI92" s="679"/>
      <c r="BJ92" s="679"/>
    </row>
    <row customHeight="1" ht="14.625" hidden="1">
      <c r="A93" s="885"/>
      <c r="B93" s="441"/>
      <c r="C93" s="885"/>
      <c r="D93" s="885"/>
      <c r="E93" s="678">
        <v>15</v>
      </c>
      <c r="F93" s="1387" cm="1" t="str">
        <f t="array" ref="F93:F93">OFFSET(E93,-1,1)</f>
        <v>0</v>
      </c>
      <c r="G93" s="885"/>
      <c r="H93" s="885"/>
      <c r="I93" s="885"/>
      <c r="J93" s="885"/>
      <c r="K93" s="911"/>
      <c r="L93" s="915"/>
      <c r="M93" s="885"/>
      <c r="N93" s="885"/>
      <c r="O93" s="885"/>
      <c r="P93" s="885"/>
      <c r="Q93" s="885"/>
      <c r="R93" s="885"/>
      <c r="S93" s="885"/>
      <c r="T93" s="1356" cm="1" t="str">
        <f t="array" ref="T93:T93">T92</f>
        <v>false</v>
      </c>
      <c r="U93" s="885"/>
      <c r="V93" s="885"/>
      <c r="W93" s="885"/>
      <c r="X93" s="684"/>
      <c r="Y93" s="1524"/>
      <c r="Z93" s="885"/>
      <c r="AA93" s="1714"/>
      <c r="AB93" s="1698" t="str">
        <f>AB91&amp;".2"</f>
        <v>9.0.1.2</v>
      </c>
      <c r="AC93" s="1707" t="s">
        <v>1857</v>
      </c>
      <c r="AD93" s="1698"/>
      <c r="AE93" s="3679"/>
      <c r="AF93" s="3680"/>
      <c r="AG93" s="3680"/>
      <c r="AH93" s="3679"/>
      <c r="AI93" s="3680"/>
      <c r="AJ93" s="3680"/>
      <c r="AK93" s="3680"/>
      <c r="AL93" s="3680"/>
      <c r="AM93" s="3680"/>
      <c r="AN93" s="3680"/>
      <c r="AO93" s="3680"/>
      <c r="AP93" s="3680"/>
      <c r="AQ93" s="3680"/>
      <c r="AR93" s="3680"/>
      <c r="AS93" s="3680"/>
      <c r="AT93" s="3680"/>
      <c r="AU93" s="3680"/>
      <c r="AV93" s="3680"/>
      <c r="AW93" s="3680"/>
      <c r="AX93" s="3680"/>
      <c r="AY93" s="3680"/>
      <c r="AZ93" s="3680"/>
      <c r="BA93" s="3680"/>
      <c r="BB93" s="3686"/>
      <c r="BC93" s="3685"/>
      <c r="BD93" s="885"/>
      <c r="BE93" s="885"/>
      <c r="BF93" s="1041" t="s">
        <v>1790</v>
      </c>
      <c r="BG93" s="1044" t="s">
        <v>1855</v>
      </c>
      <c r="BH93" s="1720" cm="1" t="str">
        <f t="array" ref="BH93:BH93">BH92</f>
        <v>0</v>
      </c>
      <c r="BI93" s="679"/>
      <c r="BJ93" s="679"/>
    </row>
    <row customHeight="1" ht="14.625" hidden="1">
      <c r="A94" s="885"/>
      <c r="B94" s="441"/>
      <c r="C94" s="885"/>
      <c r="D94" s="885"/>
      <c r="E94" s="678">
        <v>15</v>
      </c>
      <c r="F94" s="1387" cm="1" t="str">
        <f t="array" ref="F94:F94">OFFSET(E94,-1,1)</f>
        <v>0</v>
      </c>
      <c r="G94" s="885"/>
      <c r="H94" s="885"/>
      <c r="I94" s="885"/>
      <c r="J94" s="885"/>
      <c r="K94" s="911"/>
      <c r="L94" s="915"/>
      <c r="M94" s="885"/>
      <c r="N94" s="885"/>
      <c r="O94" s="885"/>
      <c r="P94" s="885"/>
      <c r="Q94" s="885"/>
      <c r="R94" s="885"/>
      <c r="S94" s="885"/>
      <c r="T94" s="1356">
        <f>F94&gt;0</f>
        <v>0</v>
      </c>
      <c r="U94" s="885"/>
      <c r="V94" s="885"/>
      <c r="W94" s="685" t="s">
        <v>1858</v>
      </c>
      <c r="X94" s="684"/>
      <c r="Y94" s="885"/>
      <c r="Z94" s="885"/>
      <c r="AA94" s="885"/>
      <c r="AB94" s="1724"/>
      <c r="AC94" s="1740" t="s">
        <v>1792</v>
      </c>
      <c r="AD94" s="1726"/>
      <c r="AE94" s="1726"/>
      <c r="AF94" s="1726"/>
      <c r="AG94" s="1726"/>
      <c r="AH94" s="1726"/>
      <c r="AI94" s="1726"/>
      <c r="AJ94" s="1726"/>
      <c r="AK94" s="1726"/>
      <c r="AL94" s="1726"/>
      <c r="AM94" s="1726"/>
      <c r="AN94" s="1726"/>
      <c r="AO94" s="1726"/>
      <c r="AP94" s="1726"/>
      <c r="AQ94" s="1726"/>
      <c r="AR94" s="1726"/>
      <c r="AS94" s="1726"/>
      <c r="AT94" s="1726"/>
      <c r="AU94" s="1726"/>
      <c r="AV94" s="1726"/>
      <c r="AW94" s="1726"/>
      <c r="AX94" s="1726"/>
      <c r="AY94" s="1726"/>
      <c r="AZ94" s="1726"/>
      <c r="BA94" s="1726"/>
      <c r="BB94" s="1726"/>
      <c r="BC94" s="1732"/>
      <c r="BD94" s="885"/>
      <c r="BE94" s="885"/>
      <c r="BF94" s="1044"/>
      <c r="BG94" s="1044"/>
      <c r="BH94" s="1044"/>
      <c r="BI94" s="679" t="s">
        <v>1855</v>
      </c>
      <c r="BJ94" s="679"/>
    </row>
    <row s="1834" customFormat="1" customHeight="1" ht="14.25">
      <c r="A95" s="885"/>
      <c r="B95" s="440"/>
      <c r="C95" s="885"/>
      <c r="D95" s="885"/>
      <c r="E95" s="678">
        <v>15</v>
      </c>
      <c r="F95" s="98" cm="1" t="str">
        <f t="array" ref="F95:F95">X95</f>
        <v>1</v>
      </c>
      <c r="G95" s="885"/>
      <c r="H95" s="885"/>
      <c r="I95" s="885" t="s">
        <v>1779</v>
      </c>
      <c r="J95" s="885"/>
      <c r="K95" s="911"/>
      <c r="L95" s="885"/>
      <c r="M95" s="885"/>
      <c r="N95" s="885"/>
      <c r="O95" s="885"/>
      <c r="P95" s="885"/>
      <c r="Q95" s="885"/>
      <c r="R95" s="885"/>
      <c r="S95" s="885"/>
      <c r="T95" s="465">
        <f>X95&gt;0</f>
        <v>1</v>
      </c>
      <c r="U95" s="885"/>
      <c r="V95" s="152" cm="1" t="str">
        <f t="array" ref="V95:V95">Аренда!$AB$37</f>
        <v>Тариф 1 (Водоснабжение) - тариф на питьевую воду (Доп. признак не требуется)</v>
      </c>
      <c r="W95" s="885"/>
      <c r="X95" s="1524" t="s">
        <v>276</v>
      </c>
      <c r="Y95" s="680"/>
      <c r="Z95" s="1615"/>
      <c r="AA95" s="885"/>
      <c r="AB95" s="222" cm="1" t="str">
        <f t="array" ref="AB95:AB95">Аренда!$AB$37</f>
        <v>Тариф 1 (Водоснабжение) - тариф на питьевую воду (Доп. признак не требуется)</v>
      </c>
      <c r="AC95" s="180"/>
      <c r="AD95" s="180"/>
      <c r="AE95" s="306">
        <f>AE103+AE110+AE117+AE124+AE96+AE131+AE142+AE149+AE156</f>
        <v>0</v>
      </c>
      <c r="AF95" s="306">
        <f>AF103+AF110+AF117+AF124+AF96+AF131+AF142+AF149+AF156</f>
        <v>0</v>
      </c>
      <c r="AG95" s="306">
        <f>AG103+AG110+AG117+AG124+AG96+AG131+AG142+AG149+AG156</f>
        <v>0</v>
      </c>
      <c r="AH95" s="306">
        <f>AH103+AH110+AH117+AH124+AH96+AH131+AH142+AH149+AH156</f>
        <v>0</v>
      </c>
      <c r="AI95" s="306">
        <f>AI103+AI110+AI117+AI124+AI96+AI131+AI142+AI149+AI156</f>
        <v>0</v>
      </c>
      <c r="AJ95" s="306">
        <f>AJ103+AJ110+AJ117+AJ124+AJ96+AJ131+AJ142+AJ149+AJ156</f>
        <v>0</v>
      </c>
      <c r="AK95" s="306">
        <f>AK103+AK110+AK117+AK124+AK96+AK131+AK142+AK149+AK156</f>
        <v>0</v>
      </c>
      <c r="AL95" s="306">
        <f>AL103+AL110+AL117+AL124+AL96+AL131+AL142+AL149+AL156</f>
        <v>0</v>
      </c>
      <c r="AM95" s="306">
        <f>AM103+AM110+AM117+AM124+AM96+AM131+AM142+AM149+AM156</f>
        <v>0</v>
      </c>
      <c r="AN95" s="306">
        <f>AN103+AN110+AN117+AN124+AN96+AN131+AN142+AN149+AN156</f>
        <v>0</v>
      </c>
      <c r="AO95" s="306">
        <f>AO103+AO110+AO117+AO124+AO96+AO131+AO142+AO149+AO156</f>
        <v>0</v>
      </c>
      <c r="AP95" s="306">
        <f>AP103+AP110+AP117+AP124+AP96+AP131+AP142+AP149+AP156</f>
        <v>0</v>
      </c>
      <c r="AQ95" s="306">
        <f>AQ103+AQ110+AQ117+AQ124+AQ96+AQ131+AQ142+AQ149+AQ156</f>
        <v>0</v>
      </c>
      <c r="AR95" s="306">
        <f>AR103+AR110+AR117+AR124+AR96+AR131+AR142+AR149+AR156</f>
        <v>0</v>
      </c>
      <c r="AS95" s="306">
        <f>AS103+AS110+AS117+AS124+AS96+AS131+AS142+AS149+AS156</f>
        <v>0</v>
      </c>
      <c r="AT95" s="306">
        <f>AT103+AT110+AT117+AT124+AT96+AT131+AT142+AT149+AT156</f>
        <v>0</v>
      </c>
      <c r="AU95" s="306">
        <f>AU103+AU110+AU117+AU124+AU96+AU131+AU142+AU149+AU156</f>
        <v>0</v>
      </c>
      <c r="AV95" s="306">
        <f>AV103+AV110+AV117+AV124+AV96+AV131+AV142+AV149+AV156</f>
        <v>0</v>
      </c>
      <c r="AW95" s="306">
        <f>AW103+AW110+AW117+AW124+AW96+AW131+AW142+AW149+AW156</f>
        <v>0</v>
      </c>
      <c r="AX95" s="306">
        <f>AX103+AX110+AX117+AX124+AX96+AX131+AX142+AX149+AX156</f>
        <v>0</v>
      </c>
      <c r="AY95" s="306">
        <f>AY103+AY110+AY117+AY124+AY96+AY131+AY142+AY149+AY156</f>
        <v>0</v>
      </c>
      <c r="AZ95" s="306">
        <f>AZ103+AZ110+AZ117+AZ124+AZ96+AZ131+AZ142+AZ149+AZ156</f>
        <v>0</v>
      </c>
      <c r="BA95" s="306">
        <f>BA103+BA110+BA117+BA124+BA96+BA131+BA142+BA149+BA156</f>
        <v>0</v>
      </c>
      <c r="BB95" s="306">
        <f>BB103+BB110+BB117+BB124+BB96+BB131+BB142+BB149+BB156</f>
        <v>0</v>
      </c>
      <c r="BC95" s="224"/>
      <c r="BD95" s="885"/>
      <c r="BE95" s="885"/>
      <c r="BF95" s="1041"/>
      <c r="BG95" s="1041"/>
      <c r="BH95" s="1041"/>
      <c r="BI95" s="678"/>
      <c r="BJ95" s="678"/>
    </row>
    <row s="1834" customFormat="1" customHeight="1" ht="0">
      <c r="A96" s="885"/>
      <c r="B96" s="440"/>
      <c r="C96" s="885"/>
      <c r="D96" s="885"/>
      <c r="E96" s="678">
        <v>15</v>
      </c>
      <c r="F96" s="50" cm="1" t="str">
        <f t="array" ref="F96:F96">OFFSET(E96,-1,1)</f>
        <v>1</v>
      </c>
      <c r="G96" s="152" t="s">
        <v>332</v>
      </c>
      <c r="H96" s="885"/>
      <c r="I96" s="885"/>
      <c r="J96" s="885"/>
      <c r="K96" s="911" t="str">
        <f>F96&amp;"1komm"</f>
        <v>11komm</v>
      </c>
      <c r="L96" s="915" cm="1" t="str">
        <f t="array" ref="L96:L96">BC96</f>
        <v>0</v>
      </c>
      <c r="M96" s="885"/>
      <c r="N96" s="885"/>
      <c r="O96" s="885"/>
      <c r="P96" s="885"/>
      <c r="Q96" s="885"/>
      <c r="R96" s="885"/>
      <c r="S96" s="885"/>
      <c r="T96" s="465" cm="1" t="str">
        <f t="array" ref="T96:T96">T95</f>
        <v>true</v>
      </c>
      <c r="U96" s="885"/>
      <c r="V96" s="885"/>
      <c r="W96" s="885"/>
      <c r="X96" s="1524"/>
      <c r="Y96" s="885"/>
      <c r="Z96" s="1615"/>
      <c r="AA96" s="885"/>
      <c r="AB96" s="211">
        <v>1</v>
      </c>
      <c r="AC96" s="212" t="s">
        <v>1780</v>
      </c>
      <c r="AD96" s="211" t="s">
        <v>1514</v>
      </c>
      <c r="AE96" s="213">
        <f>SUMIF(AD99:AD102,AD96,AE99:AE102)</f>
        <v>0</v>
      </c>
      <c r="AF96" s="213">
        <f>SUMIF(AD99:AD102,AD96,AF99:AF102)</f>
        <v>0</v>
      </c>
      <c r="AG96" s="213">
        <f>SUMIF(AD99:AD102,AD96,AG99:AG102)</f>
        <v>0</v>
      </c>
      <c r="AH96" s="213">
        <f>SUMIF(AD99:AD102,AD96,AH99:AH102)</f>
        <v>0</v>
      </c>
      <c r="AI96" s="213">
        <f>SUMIF(AD99:AD102,AD96,AI99:AI102)</f>
        <v>0</v>
      </c>
      <c r="AJ96" s="1460">
        <f>SUMIF(AD99:AD102,AD96,AJ99:AJ102)</f>
        <v>0</v>
      </c>
      <c r="AK96" s="1460">
        <f>SUMIF(AD99:AD102,AD96,AK99:AK102)</f>
        <v>0</v>
      </c>
      <c r="AL96" s="1460">
        <f>SUMIF(AD99:AD102,AD96,AL99:AL102)</f>
        <v>0</v>
      </c>
      <c r="AM96" s="1460">
        <f>SUMIF(AD99:AD102,AD96,AM99:AM102)</f>
        <v>0</v>
      </c>
      <c r="AN96" s="3626">
        <f>SUMIF(AD99:AD102,AD96,AN99:AN102)</f>
        <v>0</v>
      </c>
      <c r="AO96" s="3626">
        <f>SUMIF(AD99:AD102,AD96,AO99:AO102)</f>
        <v>0</v>
      </c>
      <c r="AP96" s="3626">
        <f>SUMIF(AD99:AD102,AD96,AP99:AP102)</f>
        <v>0</v>
      </c>
      <c r="AQ96" s="3626">
        <f>SUMIF(AD99:AD102,AD96,AQ99:AQ102)</f>
        <v>0</v>
      </c>
      <c r="AR96" s="3626">
        <f>SUMIF(AD99:AD102,AD96,AR99:AR102)</f>
        <v>0</v>
      </c>
      <c r="AS96" s="213">
        <f>SUMIF(AD99:AD102,AD96,AS99:AS102)</f>
        <v>0</v>
      </c>
      <c r="AT96" s="1460">
        <f>SUMIF(AD99:AD102,AD96,AT99:AT102)</f>
        <v>0</v>
      </c>
      <c r="AU96" s="1460">
        <f>SUMIF(AD99:AD102,AD96,AU99:AU102)</f>
        <v>0</v>
      </c>
      <c r="AV96" s="1460">
        <f>SUMIF(AD99:AD102,AD96,AV99:AV102)</f>
        <v>0</v>
      </c>
      <c r="AW96" s="1460">
        <f>SUMIF(AD99:AD102,AD96,AW99:AW102)</f>
        <v>0</v>
      </c>
      <c r="AX96" s="3626">
        <f>SUMIF(AD99:AD102,AD96,AX99:AX102)</f>
        <v>0</v>
      </c>
      <c r="AY96" s="3626">
        <f>SUMIF(AD99:AD102,AD96,AY99:AY102)</f>
        <v>0</v>
      </c>
      <c r="AZ96" s="3626">
        <f>SUMIF(AD99:AD102,AD96,AZ99:AZ102)</f>
        <v>0</v>
      </c>
      <c r="BA96" s="3626">
        <f>SUMIF(AD99:AD102,AD96,BA99:BA102)</f>
        <v>0</v>
      </c>
      <c r="BB96" s="3626">
        <f>SUMIF(AD99:AD102,AD96,BB99:BB102)</f>
        <v>0</v>
      </c>
      <c r="BC96" s="200"/>
      <c r="BD96" s="885"/>
      <c r="BE96" s="885"/>
      <c r="BF96" s="1041" t="s">
        <v>1781</v>
      </c>
      <c r="BG96" s="1041"/>
      <c r="BH96" s="1041"/>
      <c r="BI96" s="678"/>
      <c r="BJ96" s="678"/>
    </row>
    <row s="1834" customFormat="1" customHeight="1" ht="0" hidden="1">
      <c r="A97" s="885"/>
      <c r="B97" s="440"/>
      <c r="C97" s="885"/>
      <c r="D97" s="885"/>
      <c r="E97" s="678">
        <v>0</v>
      </c>
      <c r="F97" s="50" cm="1" t="str">
        <f t="array" ref="F97:F97">OFFSET(E97,-1,1)</f>
        <v>1</v>
      </c>
      <c r="G97" s="885"/>
      <c r="H97" s="885"/>
      <c r="I97" s="885"/>
      <c r="J97" s="885"/>
      <c r="K97" s="911"/>
      <c r="L97" s="915"/>
      <c r="M97" s="885"/>
      <c r="N97" s="885"/>
      <c r="O97" s="885"/>
      <c r="P97" s="885"/>
      <c r="Q97" s="885"/>
      <c r="R97" s="885"/>
      <c r="S97" s="885"/>
      <c r="T97" s="465" t="b">
        <v>0</v>
      </c>
      <c r="U97" s="885"/>
      <c r="V97" s="885"/>
      <c r="W97" s="152" t="s">
        <v>174</v>
      </c>
      <c r="X97" s="1524"/>
      <c r="Y97" s="1524">
        <v>0</v>
      </c>
      <c r="Z97" s="1615"/>
      <c r="AA97" s="1616" t="s">
        <v>175</v>
      </c>
      <c r="AB97" s="211"/>
      <c r="AC97" s="212"/>
      <c r="AD97" s="211"/>
      <c r="AE97" s="216">
        <f>OR(AND(AE99&lt;&gt;"",AE100=""),AND(AE99="",AE100&lt;&gt;""))</f>
        <v>0</v>
      </c>
      <c r="AF97" s="216">
        <f>OR(AND(AF99&lt;&gt;"",AF100=""),AND(AF99="",AF100&lt;&gt;""))</f>
        <v>0</v>
      </c>
      <c r="AG97" s="216">
        <f>OR(AND(AG99&lt;&gt;"",AG100=""),AND(AG99="",AG100&lt;&gt;""))</f>
        <v>0</v>
      </c>
      <c r="AH97" s="216">
        <f>OR(AND(AH99&lt;&gt;"",AH100=""),AND(AH99="",AH100&lt;&gt;""))</f>
        <v>0</v>
      </c>
      <c r="AI97" s="216">
        <f>OR(AND(AI99&lt;&gt;"",AI100=""),AND(AI99="",AI100&lt;&gt;""))</f>
        <v>0</v>
      </c>
      <c r="AJ97" s="216">
        <f>OR(AND(AJ99&lt;&gt;"",AJ100=""),AND(AJ99="",AJ100&lt;&gt;""))</f>
        <v>0</v>
      </c>
      <c r="AK97" s="216">
        <f>OR(AND(AK99&lt;&gt;"",AK100=""),AND(AK99="",AK100&lt;&gt;""))</f>
        <v>0</v>
      </c>
      <c r="AL97" s="216">
        <f>OR(AND(AL99&lt;&gt;"",AL100=""),AND(AL99="",AL100&lt;&gt;""))</f>
        <v>0</v>
      </c>
      <c r="AM97" s="216">
        <f>OR(AND(AM99&lt;&gt;"",AM100=""),AND(AM99="",AM100&lt;&gt;""))</f>
        <v>0</v>
      </c>
      <c r="AN97" s="216">
        <f>OR(AND(AN99&lt;&gt;"",AN100=""),AND(AN99="",AN100&lt;&gt;""))</f>
        <v>0</v>
      </c>
      <c r="AO97" s="216">
        <f>OR(AND(AO99&lt;&gt;"",AO100=""),AND(AO99="",AO100&lt;&gt;""))</f>
        <v>0</v>
      </c>
      <c r="AP97" s="216">
        <f>OR(AND(AP99&lt;&gt;"",AP100=""),AND(AP99="",AP100&lt;&gt;""))</f>
        <v>0</v>
      </c>
      <c r="AQ97" s="216">
        <f>OR(AND(AQ99&lt;&gt;"",AQ100=""),AND(AQ99="",AQ100&lt;&gt;""))</f>
        <v>0</v>
      </c>
      <c r="AR97" s="216">
        <f>OR(AND(AR99&lt;&gt;"",AR100=""),AND(AR99="",AR100&lt;&gt;""))</f>
        <v>0</v>
      </c>
      <c r="AS97" s="216">
        <f>OR(AND(AS99&lt;&gt;"",AS100=""),AND(AS99="",AS100&lt;&gt;""))</f>
        <v>0</v>
      </c>
      <c r="AT97" s="216">
        <f>OR(AND(AT99&lt;&gt;"",AT100=""),AND(AT99="",AT100&lt;&gt;""))</f>
        <v>0</v>
      </c>
      <c r="AU97" s="216">
        <f>OR(AND(AU99&lt;&gt;"",AU100=""),AND(AU99="",AU100&lt;&gt;""))</f>
        <v>0</v>
      </c>
      <c r="AV97" s="216">
        <f>OR(AND(AV99&lt;&gt;"",AV100=""),AND(AV99="",AV100&lt;&gt;""))</f>
        <v>0</v>
      </c>
      <c r="AW97" s="216">
        <f>OR(AND(AW99&lt;&gt;"",AW100=""),AND(AW99="",AW100&lt;&gt;""))</f>
        <v>0</v>
      </c>
      <c r="AX97" s="216">
        <f>OR(AND(AX99&lt;&gt;"",AX100=""),AND(AX99="",AX100&lt;&gt;""))</f>
        <v>0</v>
      </c>
      <c r="AY97" s="216">
        <f>OR(AND(AY99&lt;&gt;"",AY100=""),AND(AY99="",AY100&lt;&gt;""))</f>
        <v>0</v>
      </c>
      <c r="AZ97" s="216">
        <f>OR(AND(AZ99&lt;&gt;"",AZ100=""),AND(AZ99="",AZ100&lt;&gt;""))</f>
        <v>0</v>
      </c>
      <c r="BA97" s="216">
        <f>OR(AND(BA99&lt;&gt;"",BA100=""),AND(BA99="",BA100&lt;&gt;""))</f>
        <v>0</v>
      </c>
      <c r="BB97" s="216">
        <f>OR(AND(BB99&lt;&gt;"",BB100=""),AND(BB99="",BB100&lt;&gt;""))</f>
        <v>0</v>
      </c>
      <c r="BC97" s="974"/>
      <c r="BD97" s="885"/>
      <c r="BE97" s="885"/>
      <c r="BF97" s="1041"/>
      <c r="BG97" s="1041"/>
      <c r="BH97" s="1041"/>
      <c r="BI97" s="678"/>
      <c r="BJ97" s="678"/>
    </row>
    <row s="1834" customFormat="1" customHeight="1" ht="0" hidden="1">
      <c r="A98" s="885"/>
      <c r="B98" s="440"/>
      <c r="C98" s="885"/>
      <c r="D98" s="885"/>
      <c r="E98" s="678">
        <v>15</v>
      </c>
      <c r="F98" s="1387" cm="1" t="str">
        <f t="array" ref="F98:F98">OFFSET(E98,-1,1)</f>
        <v>1</v>
      </c>
      <c r="G98" s="885"/>
      <c r="H98" s="885"/>
      <c r="I98" s="885"/>
      <c r="J98" s="885"/>
      <c r="K98" s="911"/>
      <c r="L98" s="915"/>
      <c r="M98" s="885"/>
      <c r="N98" s="885"/>
      <c r="O98" s="885"/>
      <c r="P98" s="885"/>
      <c r="Q98" s="885"/>
      <c r="R98" s="885"/>
      <c r="S98" s="885"/>
      <c r="T98" s="1356">
        <f>AND(Y97&gt;0,F98&gt;0)</f>
        <v>0</v>
      </c>
      <c r="U98" s="885"/>
      <c r="V98" s="885"/>
      <c r="W98" s="885"/>
      <c r="X98" s="684"/>
      <c r="Y98" s="1524"/>
      <c r="Z98" s="885"/>
      <c r="AA98" s="1697"/>
      <c r="AB98" s="1698" t="str">
        <f>"1."&amp;Y97</f>
        <v>1.0</v>
      </c>
      <c r="AC98" s="1699" t="s">
        <v>227</v>
      </c>
      <c r="AD98" s="1700"/>
      <c r="AE98" s="3635"/>
      <c r="AF98" s="1702"/>
      <c r="AG98" s="3635"/>
      <c r="AH98" s="3635"/>
      <c r="AI98" s="3635"/>
      <c r="AJ98" s="3635"/>
      <c r="AK98" s="3635"/>
      <c r="AL98" s="3635"/>
      <c r="AM98" s="3635"/>
      <c r="AN98" s="3635"/>
      <c r="AO98" s="3635"/>
      <c r="AP98" s="3635"/>
      <c r="AQ98" s="3635"/>
      <c r="AR98" s="3635"/>
      <c r="AS98" s="1702"/>
      <c r="AT98" s="1702"/>
      <c r="AU98" s="1702"/>
      <c r="AV98" s="1702"/>
      <c r="AW98" s="1702"/>
      <c r="AX98" s="1702"/>
      <c r="AY98" s="1702"/>
      <c r="AZ98" s="1702"/>
      <c r="BA98" s="1702"/>
      <c r="BB98" s="1703"/>
      <c r="BC98" s="1704"/>
      <c r="BD98" s="885"/>
      <c r="BE98" s="885"/>
      <c r="BF98" s="1041"/>
      <c r="BG98" s="1041"/>
      <c r="BH98" s="1041"/>
      <c r="BI98" s="678"/>
      <c r="BJ98" s="678"/>
    </row>
    <row s="1834" customFormat="1" customHeight="1" ht="0" hidden="1">
      <c r="A99" s="885"/>
      <c r="B99" s="440"/>
      <c r="C99" s="885"/>
      <c r="D99" s="885"/>
      <c r="E99" s="678">
        <v>15</v>
      </c>
      <c r="F99" s="50" cm="1" t="str">
        <f t="array" ref="F99:F99">OFFSET(E99,-1,1)</f>
        <v>1</v>
      </c>
      <c r="G99" s="152" t="s">
        <v>332</v>
      </c>
      <c r="H99" s="155" cm="1" t="str">
        <f t="array" ref="H99:H99">AC99</f>
        <v>Затраты</v>
      </c>
      <c r="I99" s="152" t="s">
        <v>1782</v>
      </c>
      <c r="J99" s="885"/>
      <c r="K99" s="911"/>
      <c r="L99" s="885"/>
      <c r="M99" s="885"/>
      <c r="N99" s="885"/>
      <c r="O99" s="885"/>
      <c r="P99" s="885"/>
      <c r="Q99" s="885"/>
      <c r="R99" s="885"/>
      <c r="S99" s="885"/>
      <c r="T99" s="465" cm="1" t="str">
        <f t="array" ref="T99:T99">T98</f>
        <v>false</v>
      </c>
      <c r="U99" s="885"/>
      <c r="V99" s="885"/>
      <c r="W99" s="885"/>
      <c r="X99" s="1524"/>
      <c r="Y99" s="1524"/>
      <c r="Z99" s="1615"/>
      <c r="AA99" s="1616"/>
      <c r="AB99" s="88" t="str">
        <f>AB98&amp;".1"</f>
        <v>1.0.1</v>
      </c>
      <c r="AC99" s="1705" t="s">
        <v>1783</v>
      </c>
      <c r="AD99" s="211" t="s">
        <v>1514</v>
      </c>
      <c r="AE99" s="3640"/>
      <c r="AF99" s="3640"/>
      <c r="AG99" s="3640"/>
      <c r="AH99" s="3640"/>
      <c r="AI99" s="3640"/>
      <c r="AJ99" s="3640"/>
      <c r="AK99" s="3640"/>
      <c r="AL99" s="3640"/>
      <c r="AM99" s="3640"/>
      <c r="AN99" s="3640"/>
      <c r="AO99" s="3640"/>
      <c r="AP99" s="3640"/>
      <c r="AQ99" s="3640"/>
      <c r="AR99" s="3640"/>
      <c r="AS99" s="3640"/>
      <c r="AT99" s="3640"/>
      <c r="AU99" s="3640"/>
      <c r="AV99" s="3640"/>
      <c r="AW99" s="3640"/>
      <c r="AX99" s="3640"/>
      <c r="AY99" s="3640"/>
      <c r="AZ99" s="3640"/>
      <c r="BA99" s="3640"/>
      <c r="BB99" s="3640"/>
      <c r="BC99" s="2070"/>
      <c r="BD99" s="885"/>
      <c r="BE99" s="885"/>
      <c r="BF99" s="1041" t="s">
        <v>1784</v>
      </c>
      <c r="BG99" s="1041" t="s">
        <v>1785</v>
      </c>
      <c r="BH99" s="1041" cm="1" t="str">
        <f t="array" ref="BH99:BH99">AC98</f>
        <v/>
      </c>
      <c r="BI99" s="678"/>
      <c r="BJ99" s="678" t="b">
        <v>1</v>
      </c>
    </row>
    <row s="1834" customFormat="1" customHeight="1" ht="0" hidden="1">
      <c r="A100" s="885"/>
      <c r="B100" s="440"/>
      <c r="C100" s="885"/>
      <c r="D100" s="885"/>
      <c r="E100" s="678">
        <v>15</v>
      </c>
      <c r="F100" s="50" cm="1" t="str">
        <f t="array" ref="F100:F100">OFFSET(E100,-1,1)</f>
        <v>1</v>
      </c>
      <c r="G100" s="152" t="s">
        <v>1175</v>
      </c>
      <c r="H100" s="155" cm="1" t="str">
        <f t="array" ref="H100:H100">H99</f>
        <v>Затраты</v>
      </c>
      <c r="I100" s="152" t="s">
        <v>1782</v>
      </c>
      <c r="J100" s="885"/>
      <c r="K100" s="911"/>
      <c r="L100" s="885"/>
      <c r="M100" s="885"/>
      <c r="N100" s="885"/>
      <c r="O100" s="885"/>
      <c r="P100" s="885"/>
      <c r="Q100" s="885"/>
      <c r="R100" s="885"/>
      <c r="S100" s="885"/>
      <c r="T100" s="465" cm="1" t="str">
        <f t="array" ref="T100:T100">T99</f>
        <v>false</v>
      </c>
      <c r="U100" s="885"/>
      <c r="V100" s="885"/>
      <c r="W100" s="885"/>
      <c r="X100" s="1524"/>
      <c r="Y100" s="1524"/>
      <c r="Z100" s="1615"/>
      <c r="AA100" s="1616"/>
      <c r="AB100" s="88" t="str">
        <f>AB99&amp;".1"</f>
        <v>1.0.1.1</v>
      </c>
      <c r="AC100" s="221" t="s">
        <v>1786</v>
      </c>
      <c r="AD100" s="88" t="s">
        <v>1247</v>
      </c>
      <c r="AE100" s="3536"/>
      <c r="AF100" s="3536"/>
      <c r="AG100" s="3536"/>
      <c r="AH100" s="3536"/>
      <c r="AI100" s="3536"/>
      <c r="AJ100" s="3536"/>
      <c r="AK100" s="3536"/>
      <c r="AL100" s="3536"/>
      <c r="AM100" s="3536"/>
      <c r="AN100" s="3536"/>
      <c r="AO100" s="3536"/>
      <c r="AP100" s="3536"/>
      <c r="AQ100" s="3536"/>
      <c r="AR100" s="3536"/>
      <c r="AS100" s="3536"/>
      <c r="AT100" s="3536"/>
      <c r="AU100" s="3536"/>
      <c r="AV100" s="3536"/>
      <c r="AW100" s="3536"/>
      <c r="AX100" s="3536"/>
      <c r="AY100" s="3536"/>
      <c r="AZ100" s="3536"/>
      <c r="BA100" s="3536"/>
      <c r="BB100" s="3536"/>
      <c r="BC100" s="2070"/>
      <c r="BD100" s="885"/>
      <c r="BE100" s="885"/>
      <c r="BF100" s="1041" t="s">
        <v>1787</v>
      </c>
      <c r="BG100" s="1041" t="s">
        <v>1785</v>
      </c>
      <c r="BH100" s="1041" cm="1" t="str">
        <f t="array" ref="BH100:BH100">BH99</f>
        <v/>
      </c>
      <c r="BI100" s="678"/>
      <c r="BJ100" s="678"/>
    </row>
    <row s="1834" customFormat="1" customHeight="1" ht="0" hidden="1">
      <c r="A101" s="885"/>
      <c r="B101" s="440"/>
      <c r="C101" s="885"/>
      <c r="D101" s="885"/>
      <c r="E101" s="678">
        <v>15</v>
      </c>
      <c r="F101" s="1387" cm="1" t="str">
        <f t="array" ref="F101:F101">OFFSET(E101,-1,1)</f>
        <v>1</v>
      </c>
      <c r="G101" s="885"/>
      <c r="H101" s="155"/>
      <c r="I101" s="885"/>
      <c r="J101" s="885"/>
      <c r="K101" s="911"/>
      <c r="L101" s="885"/>
      <c r="M101" s="885"/>
      <c r="N101" s="885"/>
      <c r="O101" s="885"/>
      <c r="P101" s="885"/>
      <c r="Q101" s="885"/>
      <c r="R101" s="885"/>
      <c r="S101" s="885"/>
      <c r="T101" s="1356" cm="1" t="str">
        <f t="array" ref="T101:T101">T100</f>
        <v>false</v>
      </c>
      <c r="U101" s="885"/>
      <c r="V101" s="885"/>
      <c r="W101" s="885"/>
      <c r="X101" s="684"/>
      <c r="Y101" s="1524"/>
      <c r="Z101" s="885"/>
      <c r="AA101" s="1697"/>
      <c r="AB101" s="1706" t="str">
        <f>AB99&amp;".2"</f>
        <v>1.0.1.2</v>
      </c>
      <c r="AC101" s="1707" t="s">
        <v>1788</v>
      </c>
      <c r="AD101" s="1706" t="s">
        <v>1789</v>
      </c>
      <c r="AE101" s="3644"/>
      <c r="AF101" s="3644"/>
      <c r="AG101" s="3644"/>
      <c r="AH101" s="3644"/>
      <c r="AI101" s="3644"/>
      <c r="AJ101" s="3644"/>
      <c r="AK101" s="3644"/>
      <c r="AL101" s="3644"/>
      <c r="AM101" s="3644"/>
      <c r="AN101" s="3644"/>
      <c r="AO101" s="3644"/>
      <c r="AP101" s="3644"/>
      <c r="AQ101" s="3644"/>
      <c r="AR101" s="3644"/>
      <c r="AS101" s="3644"/>
      <c r="AT101" s="3644"/>
      <c r="AU101" s="3644"/>
      <c r="AV101" s="3644"/>
      <c r="AW101" s="3644"/>
      <c r="AX101" s="3644"/>
      <c r="AY101" s="3644"/>
      <c r="AZ101" s="3644"/>
      <c r="BA101" s="3644"/>
      <c r="BB101" s="3644"/>
      <c r="BC101" s="3645"/>
      <c r="BD101" s="885"/>
      <c r="BE101" s="885"/>
      <c r="BF101" s="1041" t="s">
        <v>1790</v>
      </c>
      <c r="BG101" s="1041" t="s">
        <v>1785</v>
      </c>
      <c r="BH101" s="1710" cm="1" t="str">
        <f t="array" ref="BH101:BH101">BH100</f>
        <v/>
      </c>
      <c r="BI101" s="678"/>
      <c r="BJ101" s="678"/>
    </row>
    <row s="1834" customFormat="1" customHeight="1" ht="0">
      <c r="A102" s="885"/>
      <c r="B102" s="440"/>
      <c r="C102" s="885"/>
      <c r="D102" s="885"/>
      <c r="E102" s="678">
        <v>15</v>
      </c>
      <c r="F102" s="50" cm="1" t="str">
        <f t="array" ref="F102:F102">OFFSET(E102,-1,1)</f>
        <v>1</v>
      </c>
      <c r="G102" s="885"/>
      <c r="H102" s="152" t="str">
        <f>"!=='не определено' &amp;&amp; row.l1 !== null"</f>
        <v>!=='не определено' &amp;&amp; row.l1 !== null</v>
      </c>
      <c r="I102" s="885"/>
      <c r="J102" s="885"/>
      <c r="K102" s="911"/>
      <c r="L102" s="885"/>
      <c r="M102" s="885"/>
      <c r="N102" s="885"/>
      <c r="O102" s="885"/>
      <c r="P102" s="885"/>
      <c r="Q102" s="885"/>
      <c r="R102" s="885"/>
      <c r="S102" s="885"/>
      <c r="T102" s="465">
        <f>F102&gt;0</f>
        <v>1</v>
      </c>
      <c r="U102" s="885"/>
      <c r="V102" s="885"/>
      <c r="W102" s="685" t="s">
        <v>1791</v>
      </c>
      <c r="X102" s="1524"/>
      <c r="Y102" s="885"/>
      <c r="Z102" s="1615"/>
      <c r="AA102" s="885"/>
      <c r="AB102" s="681"/>
      <c r="AC102" s="232" t="s">
        <v>1792</v>
      </c>
      <c r="AD102" s="232"/>
      <c r="AE102" s="232"/>
      <c r="AF102" s="232"/>
      <c r="AG102" s="232"/>
      <c r="AH102" s="232"/>
      <c r="AI102" s="232"/>
      <c r="AJ102" s="232"/>
      <c r="AK102" s="232"/>
      <c r="AL102" s="232"/>
      <c r="AM102" s="232"/>
      <c r="AN102" s="232"/>
      <c r="AO102" s="232"/>
      <c r="AP102" s="232"/>
      <c r="AQ102" s="232"/>
      <c r="AR102" s="232"/>
      <c r="AS102" s="232"/>
      <c r="AT102" s="232"/>
      <c r="AU102" s="232"/>
      <c r="AV102" s="232"/>
      <c r="AW102" s="232"/>
      <c r="AX102" s="232"/>
      <c r="AY102" s="232"/>
      <c r="AZ102" s="232"/>
      <c r="BA102" s="232"/>
      <c r="BB102" s="232"/>
      <c r="BC102" s="233"/>
      <c r="BD102" s="885"/>
      <c r="BE102" s="885"/>
      <c r="BF102" s="1041"/>
      <c r="BG102" s="1041"/>
      <c r="BH102" s="1041"/>
      <c r="BI102" s="678" t="s">
        <v>1785</v>
      </c>
      <c r="BJ102" s="678"/>
    </row>
    <row s="1834" customFormat="1" customHeight="1" ht="0">
      <c r="A103" s="885"/>
      <c r="B103" s="440"/>
      <c r="C103" s="885"/>
      <c r="D103" s="885"/>
      <c r="E103" s="678">
        <v>22.5</v>
      </c>
      <c r="F103" s="50" cm="1" t="str">
        <f t="array" ref="F103:F103">OFFSET(E103,-1,1)</f>
        <v>1</v>
      </c>
      <c r="G103" s="885"/>
      <c r="H103" s="885"/>
      <c r="I103" s="885"/>
      <c r="J103" s="885"/>
      <c r="K103" s="911" t="str">
        <f>F96&amp;"2komm"</f>
        <v>12komm</v>
      </c>
      <c r="L103" s="915" cm="1" t="str">
        <f t="array" ref="L103:L103">BC103</f>
        <v>0</v>
      </c>
      <c r="M103" s="885"/>
      <c r="N103" s="885"/>
      <c r="O103" s="885"/>
      <c r="P103" s="885"/>
      <c r="Q103" s="885"/>
      <c r="R103" s="885"/>
      <c r="S103" s="885"/>
      <c r="T103" s="465" cm="1" t="str">
        <f t="array" ref="T103:T103">T102</f>
        <v>true</v>
      </c>
      <c r="U103" s="885"/>
      <c r="V103" s="885"/>
      <c r="W103" s="885"/>
      <c r="X103" s="1524"/>
      <c r="Y103" s="684"/>
      <c r="Z103" s="1615"/>
      <c r="AA103" s="885"/>
      <c r="AB103" s="211">
        <v>2</v>
      </c>
      <c r="AC103" s="212" t="s">
        <v>1793</v>
      </c>
      <c r="AD103" s="211" t="s">
        <v>1514</v>
      </c>
      <c r="AE103" s="213">
        <f>SUMIF(AD106:AD109,AD103,AE106:AE109)</f>
        <v>0</v>
      </c>
      <c r="AF103" s="213">
        <f>SUMIF(AD106:AD109,AD103,AF106:AF109)</f>
        <v>0</v>
      </c>
      <c r="AG103" s="213">
        <f>SUMIF(AD106:AD109,AD103,AG106:AG109)</f>
        <v>0</v>
      </c>
      <c r="AH103" s="213">
        <f>SUMIF(AD106:AD109,AD103,AH106:AH109)</f>
        <v>0</v>
      </c>
      <c r="AI103" s="213">
        <f>SUMIF(AD106:AD109,AD103,AI106:AI109)</f>
        <v>0</v>
      </c>
      <c r="AJ103" s="1460">
        <f>SUMIF(AD106:AD109,AD103,AJ106:AJ109)</f>
        <v>0</v>
      </c>
      <c r="AK103" s="1460">
        <f>SUMIF(AD106:AD109,AD103,AK106:AK109)</f>
        <v>0</v>
      </c>
      <c r="AL103" s="1460">
        <f>SUMIF(AD106:AD109,AD103,AL106:AL109)</f>
        <v>0</v>
      </c>
      <c r="AM103" s="1460">
        <f>SUMIF(AD106:AD109,AD103,AM106:AM109)</f>
        <v>0</v>
      </c>
      <c r="AN103" s="3626">
        <f>SUMIF(AD106:AD109,AD103,AN106:AN109)</f>
        <v>0</v>
      </c>
      <c r="AO103" s="3626">
        <f>SUMIF(AD106:AD109,AD103,AO106:AO109)</f>
        <v>0</v>
      </c>
      <c r="AP103" s="3626">
        <f>SUMIF(AD106:AD109,AD103,AP106:AP109)</f>
        <v>0</v>
      </c>
      <c r="AQ103" s="3626">
        <f>SUMIF(AD106:AD109,AD103,AQ106:AQ109)</f>
        <v>0</v>
      </c>
      <c r="AR103" s="3626">
        <f>SUMIF(AD106:AD109,AD103,AR106:AR109)</f>
        <v>0</v>
      </c>
      <c r="AS103" s="213">
        <f>SUMIF(AD106:AD109,AD103,AS106:AS109)</f>
        <v>0</v>
      </c>
      <c r="AT103" s="1460">
        <f>SUMIF(AD106:AD109,AD103,AT106:AT109)</f>
        <v>0</v>
      </c>
      <c r="AU103" s="1460">
        <f>SUMIF(AD106:AD109,AD103,AU106:AU109)</f>
        <v>0</v>
      </c>
      <c r="AV103" s="1460">
        <f>SUMIF(AD106:AD109,AD103,AV106:AV109)</f>
        <v>0</v>
      </c>
      <c r="AW103" s="1460">
        <f>SUMIF(AD106:AD109,AD103,AW106:AW109)</f>
        <v>0</v>
      </c>
      <c r="AX103" s="3626">
        <f>SUMIF(AD106:AD109,AD103,AX106:AX109)</f>
        <v>0</v>
      </c>
      <c r="AY103" s="3626">
        <f>SUMIF(AD106:AD109,AD103,AY106:AY109)</f>
        <v>0</v>
      </c>
      <c r="AZ103" s="3626">
        <f>SUMIF(AD106:AD109,AD103,AZ106:AZ109)</f>
        <v>0</v>
      </c>
      <c r="BA103" s="3626">
        <f>SUMIF(AD106:AD109,AD103,BA106:BA109)</f>
        <v>0</v>
      </c>
      <c r="BB103" s="3626">
        <f>SUMIF(AD106:AD109,AD103,BB106:BB109)</f>
        <v>0</v>
      </c>
      <c r="BC103" s="200"/>
      <c r="BD103" s="885"/>
      <c r="BE103" s="885"/>
      <c r="BF103" s="1041" t="s">
        <v>1794</v>
      </c>
      <c r="BG103" s="1041"/>
      <c r="BH103" s="1041"/>
      <c r="BI103" s="678"/>
      <c r="BJ103" s="678"/>
    </row>
    <row s="1834" customFormat="1" customHeight="1" ht="0" hidden="1">
      <c r="A104" s="885"/>
      <c r="B104" s="440"/>
      <c r="C104" s="885"/>
      <c r="D104" s="885"/>
      <c r="E104" s="678">
        <v>0</v>
      </c>
      <c r="F104" s="50" cm="1" t="str">
        <f t="array" ref="F104:F104">OFFSET(E104,-1,1)</f>
        <v>1</v>
      </c>
      <c r="G104" s="152" t="s">
        <v>333</v>
      </c>
      <c r="H104" s="885"/>
      <c r="I104" s="885"/>
      <c r="J104" s="885"/>
      <c r="K104" s="911"/>
      <c r="L104" s="915"/>
      <c r="M104" s="885"/>
      <c r="N104" s="885"/>
      <c r="O104" s="885"/>
      <c r="P104" s="885"/>
      <c r="Q104" s="885"/>
      <c r="R104" s="885"/>
      <c r="S104" s="885"/>
      <c r="T104" s="465" t="b">
        <v>0</v>
      </c>
      <c r="U104" s="885"/>
      <c r="V104" s="885"/>
      <c r="W104" s="152" t="s">
        <v>174</v>
      </c>
      <c r="X104" s="1524"/>
      <c r="Y104" s="1524">
        <v>0</v>
      </c>
      <c r="Z104" s="1615"/>
      <c r="AA104" s="1617" t="s">
        <v>175</v>
      </c>
      <c r="AB104" s="211"/>
      <c r="AC104" s="212"/>
      <c r="AD104" s="211"/>
      <c r="AE104" s="1368">
        <f>OR(AND(AE106&lt;&gt;"",AE107=""),AND(AE106="",AE107&lt;&gt;""))</f>
        <v>0</v>
      </c>
      <c r="AF104" s="1368">
        <f>OR(AND(AF106&lt;&gt;"",AF107=""),AND(AF106="",AF107&lt;&gt;""))</f>
        <v>0</v>
      </c>
      <c r="AG104" s="1368">
        <f>OR(AND(AG106&lt;&gt;"",AG107=""),AND(AG106="",AG107&lt;&gt;""))</f>
        <v>0</v>
      </c>
      <c r="AH104" s="1368">
        <f>OR(AND(AH106&lt;&gt;"",AH107=""),AND(AH106="",AH107&lt;&gt;""))</f>
        <v>0</v>
      </c>
      <c r="AI104" s="1368">
        <f>OR(AND(AI106&lt;&gt;"",AI107=""),AND(AI106="",AI107&lt;&gt;""))</f>
        <v>0</v>
      </c>
      <c r="AJ104" s="1368">
        <f>OR(AND(AJ106&lt;&gt;"",AJ107=""),AND(AJ106="",AJ107&lt;&gt;""))</f>
        <v>0</v>
      </c>
      <c r="AK104" s="1368">
        <f>OR(AND(AK106&lt;&gt;"",AK107=""),AND(AK106="",AK107&lt;&gt;""))</f>
        <v>0</v>
      </c>
      <c r="AL104" s="1368">
        <f>OR(AND(AL106&lt;&gt;"",AL107=""),AND(AL106="",AL107&lt;&gt;""))</f>
        <v>0</v>
      </c>
      <c r="AM104" s="1368">
        <f>OR(AND(AM106&lt;&gt;"",AM107=""),AND(AM106="",AM107&lt;&gt;""))</f>
        <v>0</v>
      </c>
      <c r="AN104" s="1368">
        <f>OR(AND(AN106&lt;&gt;"",AN107=""),AND(AN106="",AN107&lt;&gt;""))</f>
        <v>0</v>
      </c>
      <c r="AO104" s="1368">
        <f>OR(AND(AO106&lt;&gt;"",AO107=""),AND(AO106="",AO107&lt;&gt;""))</f>
        <v>0</v>
      </c>
      <c r="AP104" s="1368">
        <f>OR(AND(AP106&lt;&gt;"",AP107=""),AND(AP106="",AP107&lt;&gt;""))</f>
        <v>0</v>
      </c>
      <c r="AQ104" s="1368">
        <f>OR(AND(AQ106&lt;&gt;"",AQ107=""),AND(AQ106="",AQ107&lt;&gt;""))</f>
        <v>0</v>
      </c>
      <c r="AR104" s="1368">
        <f>OR(AND(AR106&lt;&gt;"",AR107=""),AND(AR106="",AR107&lt;&gt;""))</f>
        <v>0</v>
      </c>
      <c r="AS104" s="1368">
        <f>OR(AND(AS106&lt;&gt;"",AS107=""),AND(AS106="",AS107&lt;&gt;""))</f>
        <v>0</v>
      </c>
      <c r="AT104" s="1368">
        <f>OR(AND(AT106&lt;&gt;"",AT107=""),AND(AT106="",AT107&lt;&gt;""))</f>
        <v>0</v>
      </c>
      <c r="AU104" s="1368">
        <f>OR(AND(AU106&lt;&gt;"",AU107=""),AND(AU106="",AU107&lt;&gt;""))</f>
        <v>0</v>
      </c>
      <c r="AV104" s="1368">
        <f>OR(AND(AV106&lt;&gt;"",AV107=""),AND(AV106="",AV107&lt;&gt;""))</f>
        <v>0</v>
      </c>
      <c r="AW104" s="1368">
        <f>OR(AND(AW106&lt;&gt;"",AW107=""),AND(AW106="",AW107&lt;&gt;""))</f>
        <v>0</v>
      </c>
      <c r="AX104" s="1368">
        <f>OR(AND(AX106&lt;&gt;"",AX107=""),AND(AX106="",AX107&lt;&gt;""))</f>
        <v>0</v>
      </c>
      <c r="AY104" s="1368">
        <f>OR(AND(AY106&lt;&gt;"",AY107=""),AND(AY106="",AY107&lt;&gt;""))</f>
        <v>0</v>
      </c>
      <c r="AZ104" s="1368">
        <f>OR(AND(AZ106&lt;&gt;"",AZ107=""),AND(AZ106="",AZ107&lt;&gt;""))</f>
        <v>0</v>
      </c>
      <c r="BA104" s="1368">
        <f>OR(AND(BA106&lt;&gt;"",BA107=""),AND(BA106="",BA107&lt;&gt;""))</f>
        <v>0</v>
      </c>
      <c r="BB104" s="1368">
        <f>OR(AND(BB106&lt;&gt;"",BB107=""),AND(BB106="",BB107&lt;&gt;""))</f>
        <v>0</v>
      </c>
      <c r="BC104" s="974"/>
      <c r="BD104" s="885"/>
      <c r="BE104" s="885"/>
      <c r="BF104" s="1041"/>
      <c r="BG104" s="1041"/>
      <c r="BH104" s="1041"/>
      <c r="BI104" s="678"/>
      <c r="BJ104" s="678"/>
    </row>
    <row s="1834" customFormat="1" customHeight="1" ht="0" hidden="1">
      <c r="A105" s="885"/>
      <c r="B105" s="440"/>
      <c r="C105" s="885"/>
      <c r="D105" s="885"/>
      <c r="E105" s="678">
        <v>15</v>
      </c>
      <c r="F105" s="1387" cm="1" t="str">
        <f t="array" ref="F105:F105">OFFSET(E105,-1,1)</f>
        <v>1</v>
      </c>
      <c r="G105" s="885"/>
      <c r="H105" s="885"/>
      <c r="I105" s="885"/>
      <c r="J105" s="885"/>
      <c r="K105" s="911"/>
      <c r="L105" s="915"/>
      <c r="M105" s="885"/>
      <c r="N105" s="885"/>
      <c r="O105" s="885"/>
      <c r="P105" s="885"/>
      <c r="Q105" s="885"/>
      <c r="R105" s="885"/>
      <c r="S105" s="885"/>
      <c r="T105" s="1356">
        <f>AND(Y104&gt;0,F105&gt;0)</f>
        <v>0</v>
      </c>
      <c r="U105" s="885"/>
      <c r="V105" s="885"/>
      <c r="W105" s="885"/>
      <c r="X105" s="684"/>
      <c r="Y105" s="1524"/>
      <c r="Z105" s="885"/>
      <c r="AA105" s="1697"/>
      <c r="AB105" s="1698" t="str">
        <f>"2."&amp;Y104</f>
        <v>2.0</v>
      </c>
      <c r="AC105" s="1699" t="s">
        <v>227</v>
      </c>
      <c r="AD105" s="1700"/>
      <c r="AE105" s="3635"/>
      <c r="AF105" s="1702"/>
      <c r="AG105" s="3635"/>
      <c r="AH105" s="3635"/>
      <c r="AI105" s="3635"/>
      <c r="AJ105" s="3635"/>
      <c r="AK105" s="3635"/>
      <c r="AL105" s="3635"/>
      <c r="AM105" s="3635"/>
      <c r="AN105" s="3635"/>
      <c r="AO105" s="3635"/>
      <c r="AP105" s="3635"/>
      <c r="AQ105" s="3635"/>
      <c r="AR105" s="3635"/>
      <c r="AS105" s="1702"/>
      <c r="AT105" s="1702"/>
      <c r="AU105" s="1702"/>
      <c r="AV105" s="1702"/>
      <c r="AW105" s="1702"/>
      <c r="AX105" s="1702"/>
      <c r="AY105" s="1702"/>
      <c r="AZ105" s="1702"/>
      <c r="BA105" s="1702"/>
      <c r="BB105" s="1703"/>
      <c r="BC105" s="1704"/>
      <c r="BD105" s="885"/>
      <c r="BE105" s="885"/>
      <c r="BF105" s="1041"/>
      <c r="BG105" s="1041"/>
      <c r="BH105" s="1041"/>
      <c r="BI105" s="678"/>
      <c r="BJ105" s="678"/>
    </row>
    <row s="1834" customFormat="1" customHeight="1" ht="0" hidden="1">
      <c r="A106" s="885"/>
      <c r="B106" s="440"/>
      <c r="C106" s="885"/>
      <c r="D106" s="885"/>
      <c r="E106" s="678">
        <v>15</v>
      </c>
      <c r="F106" s="50" cm="1" t="str">
        <f t="array" ref="F106:F106">OFFSET(E106,-1,1)</f>
        <v>1</v>
      </c>
      <c r="G106" s="152" t="s">
        <v>333</v>
      </c>
      <c r="H106" s="155" cm="1" t="str">
        <f t="array" ref="H106:H106">AC106</f>
        <v>Затраты</v>
      </c>
      <c r="I106" s="152" t="s">
        <v>1795</v>
      </c>
      <c r="J106" s="885"/>
      <c r="K106" s="911"/>
      <c r="L106" s="885"/>
      <c r="M106" s="885"/>
      <c r="N106" s="885"/>
      <c r="O106" s="885"/>
      <c r="P106" s="885"/>
      <c r="Q106" s="885"/>
      <c r="R106" s="885"/>
      <c r="S106" s="885"/>
      <c r="T106" s="465" cm="1" t="str">
        <f t="array" ref="T106:T106">T105</f>
        <v>false</v>
      </c>
      <c r="U106" s="885"/>
      <c r="V106" s="885"/>
      <c r="W106" s="885"/>
      <c r="X106" s="1524"/>
      <c r="Y106" s="1524"/>
      <c r="Z106" s="1615"/>
      <c r="AA106" s="1617"/>
      <c r="AB106" s="88" t="str">
        <f>AB105&amp;".1"</f>
        <v>2.0.1</v>
      </c>
      <c r="AC106" s="1705" t="s">
        <v>1783</v>
      </c>
      <c r="AD106" s="211" t="s">
        <v>1514</v>
      </c>
      <c r="AE106" s="3536"/>
      <c r="AF106" s="3536"/>
      <c r="AG106" s="3536"/>
      <c r="AH106" s="3536"/>
      <c r="AI106" s="3536"/>
      <c r="AJ106" s="3536"/>
      <c r="AK106" s="3536"/>
      <c r="AL106" s="3536"/>
      <c r="AM106" s="3536"/>
      <c r="AN106" s="3536"/>
      <c r="AO106" s="3536"/>
      <c r="AP106" s="3536"/>
      <c r="AQ106" s="3536"/>
      <c r="AR106" s="3536"/>
      <c r="AS106" s="3536"/>
      <c r="AT106" s="3536"/>
      <c r="AU106" s="3536"/>
      <c r="AV106" s="3536"/>
      <c r="AW106" s="3536"/>
      <c r="AX106" s="3536"/>
      <c r="AY106" s="3536"/>
      <c r="AZ106" s="3536"/>
      <c r="BA106" s="3536"/>
      <c r="BB106" s="3536"/>
      <c r="BC106" s="2070"/>
      <c r="BD106" s="885"/>
      <c r="BE106" s="885"/>
      <c r="BF106" s="1041" t="s">
        <v>1784</v>
      </c>
      <c r="BG106" s="1041" t="s">
        <v>1796</v>
      </c>
      <c r="BH106" s="1041" cm="1" t="str">
        <f t="array" ref="BH106:BH106">AC105</f>
        <v/>
      </c>
      <c r="BI106" s="678"/>
      <c r="BJ106" s="678" t="b">
        <v>1</v>
      </c>
    </row>
    <row s="1834" customFormat="1" customHeight="1" ht="0" hidden="1">
      <c r="A107" s="885"/>
      <c r="B107" s="440"/>
      <c r="C107" s="885"/>
      <c r="D107" s="885"/>
      <c r="E107" s="678">
        <v>15</v>
      </c>
      <c r="F107" s="50" cm="1" t="str">
        <f t="array" ref="F107:F107">OFFSET(E107,-1,1)</f>
        <v>1</v>
      </c>
      <c r="G107" s="152" t="s">
        <v>1193</v>
      </c>
      <c r="H107" s="155" cm="1" t="str">
        <f t="array" ref="H107:H107">H106</f>
        <v>Затраты</v>
      </c>
      <c r="I107" s="152" t="s">
        <v>1795</v>
      </c>
      <c r="J107" s="885"/>
      <c r="K107" s="911"/>
      <c r="L107" s="885"/>
      <c r="M107" s="885"/>
      <c r="N107" s="885"/>
      <c r="O107" s="885"/>
      <c r="P107" s="885"/>
      <c r="Q107" s="885"/>
      <c r="R107" s="885"/>
      <c r="S107" s="885"/>
      <c r="T107" s="465" cm="1" t="str">
        <f t="array" ref="T107:T107">T106</f>
        <v>false</v>
      </c>
      <c r="U107" s="885"/>
      <c r="V107" s="885"/>
      <c r="W107" s="885"/>
      <c r="X107" s="1524"/>
      <c r="Y107" s="1524"/>
      <c r="Z107" s="1615"/>
      <c r="AA107" s="1617"/>
      <c r="AB107" s="88" t="str">
        <f>AB106&amp;".1"</f>
        <v>2.0.1.1</v>
      </c>
      <c r="AC107" s="221" t="s">
        <v>1797</v>
      </c>
      <c r="AD107" s="88" t="s">
        <v>1247</v>
      </c>
      <c r="AE107" s="3536"/>
      <c r="AF107" s="3536"/>
      <c r="AG107" s="3536"/>
      <c r="AH107" s="3536"/>
      <c r="AI107" s="3536"/>
      <c r="AJ107" s="3536"/>
      <c r="AK107" s="3536"/>
      <c r="AL107" s="3536"/>
      <c r="AM107" s="3536"/>
      <c r="AN107" s="3536"/>
      <c r="AO107" s="3536"/>
      <c r="AP107" s="3536"/>
      <c r="AQ107" s="3536"/>
      <c r="AR107" s="3536"/>
      <c r="AS107" s="3536"/>
      <c r="AT107" s="3536"/>
      <c r="AU107" s="3536"/>
      <c r="AV107" s="3536"/>
      <c r="AW107" s="3536"/>
      <c r="AX107" s="3536"/>
      <c r="AY107" s="3536"/>
      <c r="AZ107" s="3536"/>
      <c r="BA107" s="3536"/>
      <c r="BB107" s="3536"/>
      <c r="BC107" s="2070"/>
      <c r="BD107" s="885"/>
      <c r="BE107" s="885"/>
      <c r="BF107" s="1041" t="s">
        <v>1787</v>
      </c>
      <c r="BG107" s="1041" t="s">
        <v>1796</v>
      </c>
      <c r="BH107" s="1041" cm="1" t="str">
        <f t="array" ref="BH107:BH107">BH106</f>
        <v/>
      </c>
      <c r="BI107" s="678"/>
      <c r="BJ107" s="678"/>
    </row>
    <row s="1834" customFormat="1" customHeight="1" ht="0" hidden="1">
      <c r="A108" s="885"/>
      <c r="B108" s="440"/>
      <c r="C108" s="885"/>
      <c r="D108" s="885"/>
      <c r="E108" s="678">
        <v>15</v>
      </c>
      <c r="F108" s="1387" cm="1" t="str">
        <f t="array" ref="F108:F108">OFFSET(E108,-1,1)</f>
        <v>1</v>
      </c>
      <c r="G108" s="885"/>
      <c r="H108" s="155"/>
      <c r="I108" s="885"/>
      <c r="J108" s="885"/>
      <c r="K108" s="911"/>
      <c r="L108" s="885"/>
      <c r="M108" s="885"/>
      <c r="N108" s="885"/>
      <c r="O108" s="885"/>
      <c r="P108" s="885"/>
      <c r="Q108" s="885"/>
      <c r="R108" s="885"/>
      <c r="S108" s="885"/>
      <c r="T108" s="1356" cm="1" t="str">
        <f t="array" ref="T108:T108">T107</f>
        <v>false</v>
      </c>
      <c r="U108" s="885"/>
      <c r="V108" s="885"/>
      <c r="W108" s="885"/>
      <c r="X108" s="684"/>
      <c r="Y108" s="1524"/>
      <c r="Z108" s="885"/>
      <c r="AA108" s="1697"/>
      <c r="AB108" s="1706" t="str">
        <f>AB106&amp;".2"</f>
        <v>2.0.1.2</v>
      </c>
      <c r="AC108" s="1707" t="s">
        <v>1798</v>
      </c>
      <c r="AD108" s="1706" t="s">
        <v>1789</v>
      </c>
      <c r="AE108" s="3644"/>
      <c r="AF108" s="3644"/>
      <c r="AG108" s="3644"/>
      <c r="AH108" s="3644"/>
      <c r="AI108" s="3644"/>
      <c r="AJ108" s="3644"/>
      <c r="AK108" s="3644"/>
      <c r="AL108" s="3644"/>
      <c r="AM108" s="3644"/>
      <c r="AN108" s="3644"/>
      <c r="AO108" s="3644"/>
      <c r="AP108" s="3644"/>
      <c r="AQ108" s="3644"/>
      <c r="AR108" s="3644"/>
      <c r="AS108" s="3644"/>
      <c r="AT108" s="3644"/>
      <c r="AU108" s="3644"/>
      <c r="AV108" s="3644"/>
      <c r="AW108" s="3644"/>
      <c r="AX108" s="3644"/>
      <c r="AY108" s="3644"/>
      <c r="AZ108" s="3644"/>
      <c r="BA108" s="3644"/>
      <c r="BB108" s="3644"/>
      <c r="BC108" s="3645"/>
      <c r="BD108" s="885"/>
      <c r="BE108" s="885"/>
      <c r="BF108" s="1041" t="s">
        <v>1790</v>
      </c>
      <c r="BG108" s="1041" t="s">
        <v>1796</v>
      </c>
      <c r="BH108" s="1710" cm="1" t="str">
        <f t="array" ref="BH108:BH108">BH107</f>
        <v/>
      </c>
      <c r="BI108" s="678"/>
      <c r="BJ108" s="678"/>
    </row>
    <row s="1834" customFormat="1" customHeight="1" ht="0">
      <c r="A109" s="885"/>
      <c r="B109" s="440"/>
      <c r="C109" s="885"/>
      <c r="D109" s="885"/>
      <c r="E109" s="678">
        <v>15</v>
      </c>
      <c r="F109" s="50" cm="1" t="str">
        <f t="array" ref="F109:F109">OFFSET(E109,-1,1)</f>
        <v>1</v>
      </c>
      <c r="G109" s="885"/>
      <c r="H109" s="152" t="str">
        <f>"!=='не определено' &amp;&amp; row.l2 !== null"</f>
        <v>!=='не определено' &amp;&amp; row.l2 !== null</v>
      </c>
      <c r="I109" s="885"/>
      <c r="J109" s="885"/>
      <c r="K109" s="911"/>
      <c r="L109" s="885"/>
      <c r="M109" s="885"/>
      <c r="N109" s="885"/>
      <c r="O109" s="885"/>
      <c r="P109" s="885"/>
      <c r="Q109" s="885"/>
      <c r="R109" s="885"/>
      <c r="S109" s="885"/>
      <c r="T109" s="465">
        <f>F109&gt;0</f>
        <v>1</v>
      </c>
      <c r="U109" s="885"/>
      <c r="V109" s="885"/>
      <c r="W109" s="685" t="s">
        <v>1791</v>
      </c>
      <c r="X109" s="1524"/>
      <c r="Y109" s="683"/>
      <c r="Z109" s="1615"/>
      <c r="AA109" s="885"/>
      <c r="AB109" s="681"/>
      <c r="AC109" s="232" t="s">
        <v>1792</v>
      </c>
      <c r="AD109" s="232"/>
      <c r="AE109" s="232"/>
      <c r="AF109" s="232"/>
      <c r="AG109" s="232"/>
      <c r="AH109" s="232"/>
      <c r="AI109" s="232"/>
      <c r="AJ109" s="232"/>
      <c r="AK109" s="232"/>
      <c r="AL109" s="232"/>
      <c r="AM109" s="232"/>
      <c r="AN109" s="232"/>
      <c r="AO109" s="232"/>
      <c r="AP109" s="232"/>
      <c r="AQ109" s="232"/>
      <c r="AR109" s="232"/>
      <c r="AS109" s="232"/>
      <c r="AT109" s="232"/>
      <c r="AU109" s="232"/>
      <c r="AV109" s="232"/>
      <c r="AW109" s="232"/>
      <c r="AX109" s="232"/>
      <c r="AY109" s="232"/>
      <c r="AZ109" s="232"/>
      <c r="BA109" s="232"/>
      <c r="BB109" s="232"/>
      <c r="BC109" s="233"/>
      <c r="BD109" s="885"/>
      <c r="BE109" s="885"/>
      <c r="BF109" s="1041"/>
      <c r="BG109" s="1041"/>
      <c r="BH109" s="1041"/>
      <c r="BI109" s="678" t="s">
        <v>1796</v>
      </c>
      <c r="BJ109" s="678"/>
    </row>
    <row s="1834" customFormat="1" customHeight="1" ht="0">
      <c r="A110" s="885"/>
      <c r="B110" s="440"/>
      <c r="C110" s="885"/>
      <c r="D110" s="885"/>
      <c r="E110" s="678">
        <v>23</v>
      </c>
      <c r="F110" s="50" cm="1" t="str">
        <f t="array" ref="F110:F110">OFFSET(E110,-1,1)</f>
        <v>1</v>
      </c>
      <c r="G110" s="885"/>
      <c r="H110" s="885"/>
      <c r="I110" s="885"/>
      <c r="J110" s="885"/>
      <c r="K110" s="911" t="str">
        <f>F96&amp;"3komm"</f>
        <v>13komm</v>
      </c>
      <c r="L110" s="915" cm="1" t="str">
        <f t="array" ref="L110:L110">BC110</f>
        <v>0</v>
      </c>
      <c r="M110" s="885"/>
      <c r="N110" s="885"/>
      <c r="O110" s="885"/>
      <c r="P110" s="885"/>
      <c r="Q110" s="885"/>
      <c r="R110" s="885"/>
      <c r="S110" s="885"/>
      <c r="T110" s="465" cm="1" t="str">
        <f t="array" ref="T110:T110">T109</f>
        <v>true</v>
      </c>
      <c r="U110" s="885"/>
      <c r="V110" s="885"/>
      <c r="W110" s="885"/>
      <c r="X110" s="1524"/>
      <c r="Y110" s="684"/>
      <c r="Z110" s="1615"/>
      <c r="AA110" s="885"/>
      <c r="AB110" s="211">
        <v>3</v>
      </c>
      <c r="AC110" s="212" t="s">
        <v>1799</v>
      </c>
      <c r="AD110" s="211" t="s">
        <v>1514</v>
      </c>
      <c r="AE110" s="213">
        <f>SUMIF(AD113:AD116,AD110,AE113:AE116)</f>
        <v>0</v>
      </c>
      <c r="AF110" s="213">
        <f>SUMIF(AD113:AD116,AD110,AF113:AF116)</f>
        <v>0</v>
      </c>
      <c r="AG110" s="213">
        <f>SUMIF(AD113:AD116,AD110,AG113:AG116)</f>
        <v>0</v>
      </c>
      <c r="AH110" s="213">
        <f>SUMIF(AD113:AD116,AD110,AH113:AH116)</f>
        <v>0</v>
      </c>
      <c r="AI110" s="213">
        <f>SUMIF(AD113:AD116,AD110,AI113:AI116)</f>
        <v>0</v>
      </c>
      <c r="AJ110" s="1460">
        <f>SUMIF(AD113:AD116,AD110,AJ113:AJ116)</f>
        <v>0</v>
      </c>
      <c r="AK110" s="1460">
        <f>SUMIF(AD113:AD116,AD110,AK113:AK116)</f>
        <v>0</v>
      </c>
      <c r="AL110" s="1460">
        <f>SUMIF(AD113:AD116,AD110,AL113:AL116)</f>
        <v>0</v>
      </c>
      <c r="AM110" s="1460">
        <f>SUMIF(AD113:AD116,AD110,AM113:AM116)</f>
        <v>0</v>
      </c>
      <c r="AN110" s="3626">
        <f>SUMIF(AD113:AD116,AD110,AN113:AN116)</f>
        <v>0</v>
      </c>
      <c r="AO110" s="3626">
        <f>SUMIF(AD113:AD116,AD110,AO113:AO116)</f>
        <v>0</v>
      </c>
      <c r="AP110" s="3626">
        <f>SUMIF(AD113:AD116,AD110,AP113:AP116)</f>
        <v>0</v>
      </c>
      <c r="AQ110" s="3626">
        <f>SUMIF(AD113:AD116,AD110,AQ113:AQ116)</f>
        <v>0</v>
      </c>
      <c r="AR110" s="3626">
        <f>SUMIF(AD113:AD116,AD110,AR113:AR116)</f>
        <v>0</v>
      </c>
      <c r="AS110" s="213">
        <f>SUMIF(AD113:AD116,AD110,AS113:AS116)</f>
        <v>0</v>
      </c>
      <c r="AT110" s="1460">
        <f>SUMIF(AD113:AD116,AD110,AT113:AT116)</f>
        <v>0</v>
      </c>
      <c r="AU110" s="1460">
        <f>SUMIF(AD113:AD116,AD110,AU113:AU116)</f>
        <v>0</v>
      </c>
      <c r="AV110" s="1460">
        <f>SUMIF(AD113:AD116,AD110,AV113:AV116)</f>
        <v>0</v>
      </c>
      <c r="AW110" s="1460">
        <f>SUMIF(AD113:AD116,AD110,AW113:AW116)</f>
        <v>0</v>
      </c>
      <c r="AX110" s="3626">
        <f>SUMIF(AD113:AD116,AD110,AX113:AX116)</f>
        <v>0</v>
      </c>
      <c r="AY110" s="3626">
        <f>SUMIF(AD113:AD116,AD110,AY113:AY116)</f>
        <v>0</v>
      </c>
      <c r="AZ110" s="3626">
        <f>SUMIF(AD113:AD116,AD110,AZ113:AZ116)</f>
        <v>0</v>
      </c>
      <c r="BA110" s="3626">
        <f>SUMIF(AD113:AD116,AD110,BA113:BA116)</f>
        <v>0</v>
      </c>
      <c r="BB110" s="3626">
        <f>SUMIF(AD113:AD116,AD110,BB113:BB116)</f>
        <v>0</v>
      </c>
      <c r="BC110" s="200"/>
      <c r="BD110" s="885"/>
      <c r="BE110" s="885"/>
      <c r="BF110" s="1041" t="s">
        <v>1800</v>
      </c>
      <c r="BG110" s="1041"/>
      <c r="BH110" s="1041"/>
      <c r="BI110" s="678"/>
      <c r="BJ110" s="678"/>
    </row>
    <row s="1834" customFormat="1" customHeight="1" ht="0" hidden="1">
      <c r="A111" s="885"/>
      <c r="B111" s="440"/>
      <c r="C111" s="885"/>
      <c r="D111" s="885"/>
      <c r="E111" s="678">
        <v>0</v>
      </c>
      <c r="F111" s="50" cm="1" t="str">
        <f t="array" ref="F111:F111">OFFSET(E111,-1,1)</f>
        <v>1</v>
      </c>
      <c r="G111" s="152" t="s">
        <v>334</v>
      </c>
      <c r="H111" s="885"/>
      <c r="I111" s="885"/>
      <c r="J111" s="885"/>
      <c r="K111" s="911"/>
      <c r="L111" s="915"/>
      <c r="M111" s="885"/>
      <c r="N111" s="885"/>
      <c r="O111" s="885"/>
      <c r="P111" s="885"/>
      <c r="Q111" s="885"/>
      <c r="R111" s="885"/>
      <c r="S111" s="885"/>
      <c r="T111" s="465" t="b">
        <v>0</v>
      </c>
      <c r="U111" s="885"/>
      <c r="V111" s="885"/>
      <c r="W111" s="152" t="s">
        <v>174</v>
      </c>
      <c r="X111" s="1524"/>
      <c r="Y111" s="1524">
        <v>0</v>
      </c>
      <c r="Z111" s="1615"/>
      <c r="AA111" s="1617" t="s">
        <v>175</v>
      </c>
      <c r="AB111" s="211"/>
      <c r="AC111" s="212"/>
      <c r="AD111" s="211"/>
      <c r="AE111" s="1368">
        <f>OR(AND(AE113&lt;&gt;"",AE114=""),AND(AE113="",AE114&lt;&gt;""))</f>
        <v>0</v>
      </c>
      <c r="AF111" s="1368">
        <f>OR(AND(AF113&lt;&gt;"",AF114=""),AND(AF113="",AF114&lt;&gt;""))</f>
        <v>0</v>
      </c>
      <c r="AG111" s="1368">
        <f>OR(AND(AG113&lt;&gt;"",AG114=""),AND(AG113="",AG114&lt;&gt;""))</f>
        <v>0</v>
      </c>
      <c r="AH111" s="1368">
        <f>OR(AND(AH113&lt;&gt;"",AH114=""),AND(AH113="",AH114&lt;&gt;""))</f>
        <v>0</v>
      </c>
      <c r="AI111" s="1368">
        <f>OR(AND(AI113&lt;&gt;"",AI114=""),AND(AI113="",AI114&lt;&gt;""))</f>
        <v>0</v>
      </c>
      <c r="AJ111" s="1368">
        <f>OR(AND(AJ113&lt;&gt;"",AJ114=""),AND(AJ113="",AJ114&lt;&gt;""))</f>
        <v>0</v>
      </c>
      <c r="AK111" s="1368">
        <f>OR(AND(AK113&lt;&gt;"",AK114=""),AND(AK113="",AK114&lt;&gt;""))</f>
        <v>0</v>
      </c>
      <c r="AL111" s="1368">
        <f>OR(AND(AL113&lt;&gt;"",AL114=""),AND(AL113="",AL114&lt;&gt;""))</f>
        <v>0</v>
      </c>
      <c r="AM111" s="1368">
        <f>OR(AND(AM113&lt;&gt;"",AM114=""),AND(AM113="",AM114&lt;&gt;""))</f>
        <v>0</v>
      </c>
      <c r="AN111" s="1368">
        <f>OR(AND(AN113&lt;&gt;"",AN114=""),AND(AN113="",AN114&lt;&gt;""))</f>
        <v>0</v>
      </c>
      <c r="AO111" s="1368">
        <f>OR(AND(AO113&lt;&gt;"",AO114=""),AND(AO113="",AO114&lt;&gt;""))</f>
        <v>0</v>
      </c>
      <c r="AP111" s="1368">
        <f>OR(AND(AP113&lt;&gt;"",AP114=""),AND(AP113="",AP114&lt;&gt;""))</f>
        <v>0</v>
      </c>
      <c r="AQ111" s="1368">
        <f>OR(AND(AQ113&lt;&gt;"",AQ114=""),AND(AQ113="",AQ114&lt;&gt;""))</f>
        <v>0</v>
      </c>
      <c r="AR111" s="1368">
        <f>OR(AND(AR113&lt;&gt;"",AR114=""),AND(AR113="",AR114&lt;&gt;""))</f>
        <v>0</v>
      </c>
      <c r="AS111" s="1368">
        <f>OR(AND(AS113&lt;&gt;"",AS114=""),AND(AS113="",AS114&lt;&gt;""))</f>
        <v>0</v>
      </c>
      <c r="AT111" s="1368">
        <f>OR(AND(AT113&lt;&gt;"",AT114=""),AND(AT113="",AT114&lt;&gt;""))</f>
        <v>0</v>
      </c>
      <c r="AU111" s="1368">
        <f>OR(AND(AU113&lt;&gt;"",AU114=""),AND(AU113="",AU114&lt;&gt;""))</f>
        <v>0</v>
      </c>
      <c r="AV111" s="1368">
        <f>OR(AND(AV113&lt;&gt;"",AV114=""),AND(AV113="",AV114&lt;&gt;""))</f>
        <v>0</v>
      </c>
      <c r="AW111" s="1368">
        <f>OR(AND(AW113&lt;&gt;"",AW114=""),AND(AW113="",AW114&lt;&gt;""))</f>
        <v>0</v>
      </c>
      <c r="AX111" s="1368">
        <f>OR(AND(AX113&lt;&gt;"",AX114=""),AND(AX113="",AX114&lt;&gt;""))</f>
        <v>0</v>
      </c>
      <c r="AY111" s="1368">
        <f>OR(AND(AY113&lt;&gt;"",AY114=""),AND(AY113="",AY114&lt;&gt;""))</f>
        <v>0</v>
      </c>
      <c r="AZ111" s="1368">
        <f>OR(AND(AZ113&lt;&gt;"",AZ114=""),AND(AZ113="",AZ114&lt;&gt;""))</f>
        <v>0</v>
      </c>
      <c r="BA111" s="1368">
        <f>OR(AND(BA113&lt;&gt;"",BA114=""),AND(BA113="",BA114&lt;&gt;""))</f>
        <v>0</v>
      </c>
      <c r="BB111" s="1368">
        <f>OR(AND(BB113&lt;&gt;"",BB114=""),AND(BB113="",BB114&lt;&gt;""))</f>
        <v>0</v>
      </c>
      <c r="BC111" s="974"/>
      <c r="BD111" s="885"/>
      <c r="BE111" s="885"/>
      <c r="BF111" s="1041"/>
      <c r="BG111" s="1041"/>
      <c r="BH111" s="1041"/>
      <c r="BI111" s="678"/>
      <c r="BJ111" s="678"/>
    </row>
    <row s="1834" customFormat="1" customHeight="1" ht="0" hidden="1">
      <c r="A112" s="885"/>
      <c r="B112" s="440"/>
      <c r="C112" s="885"/>
      <c r="D112" s="885"/>
      <c r="E112" s="678">
        <v>15</v>
      </c>
      <c r="F112" s="1387" cm="1" t="str">
        <f t="array" ref="F112:F112">OFFSET(E112,-1,1)</f>
        <v>1</v>
      </c>
      <c r="G112" s="885"/>
      <c r="H112" s="885"/>
      <c r="I112" s="885"/>
      <c r="J112" s="885"/>
      <c r="K112" s="911"/>
      <c r="L112" s="915"/>
      <c r="M112" s="885"/>
      <c r="N112" s="885"/>
      <c r="O112" s="885"/>
      <c r="P112" s="885"/>
      <c r="Q112" s="885"/>
      <c r="R112" s="885"/>
      <c r="S112" s="885"/>
      <c r="T112" s="1356">
        <f>AND(Y111&gt;0,F112&gt;0)</f>
        <v>0</v>
      </c>
      <c r="U112" s="885"/>
      <c r="V112" s="885"/>
      <c r="W112" s="885"/>
      <c r="X112" s="684"/>
      <c r="Y112" s="1524"/>
      <c r="Z112" s="885"/>
      <c r="AA112" s="1697"/>
      <c r="AB112" s="1698" t="str">
        <f>"3."&amp;Y111</f>
        <v>3.0</v>
      </c>
      <c r="AC112" s="1699" t="s">
        <v>227</v>
      </c>
      <c r="AD112" s="1700"/>
      <c r="AE112" s="3635"/>
      <c r="AF112" s="1702"/>
      <c r="AG112" s="3635"/>
      <c r="AH112" s="3635"/>
      <c r="AI112" s="3635"/>
      <c r="AJ112" s="3635"/>
      <c r="AK112" s="3635"/>
      <c r="AL112" s="3635"/>
      <c r="AM112" s="3635"/>
      <c r="AN112" s="3635"/>
      <c r="AO112" s="3635"/>
      <c r="AP112" s="3635"/>
      <c r="AQ112" s="3635"/>
      <c r="AR112" s="3635"/>
      <c r="AS112" s="1702"/>
      <c r="AT112" s="1702"/>
      <c r="AU112" s="1702"/>
      <c r="AV112" s="1702"/>
      <c r="AW112" s="1702"/>
      <c r="AX112" s="1702"/>
      <c r="AY112" s="1702"/>
      <c r="AZ112" s="1702"/>
      <c r="BA112" s="1702"/>
      <c r="BB112" s="1703"/>
      <c r="BC112" s="1704"/>
      <c r="BD112" s="885"/>
      <c r="BE112" s="885"/>
      <c r="BF112" s="1041"/>
      <c r="BG112" s="1041"/>
      <c r="BH112" s="1041"/>
      <c r="BI112" s="678"/>
      <c r="BJ112" s="678"/>
    </row>
    <row s="1834" customFormat="1" customHeight="1" ht="0" hidden="1">
      <c r="A113" s="885"/>
      <c r="B113" s="440"/>
      <c r="C113" s="885"/>
      <c r="D113" s="885"/>
      <c r="E113" s="678">
        <v>15</v>
      </c>
      <c r="F113" s="50" cm="1" t="str">
        <f t="array" ref="F113:F113">OFFSET(E113,-1,1)</f>
        <v>1</v>
      </c>
      <c r="G113" s="152" t="s">
        <v>334</v>
      </c>
      <c r="H113" s="155" cm="1" t="str">
        <f t="array" ref="H113:H113">AC113</f>
        <v>Затраты</v>
      </c>
      <c r="I113" s="152" t="s">
        <v>1801</v>
      </c>
      <c r="J113" s="885"/>
      <c r="K113" s="911"/>
      <c r="L113" s="885"/>
      <c r="M113" s="885"/>
      <c r="N113" s="885"/>
      <c r="O113" s="885"/>
      <c r="P113" s="885"/>
      <c r="Q113" s="885"/>
      <c r="R113" s="885"/>
      <c r="S113" s="885"/>
      <c r="T113" s="465" cm="1" t="str">
        <f t="array" ref="T113:T113">T112</f>
        <v>false</v>
      </c>
      <c r="U113" s="885"/>
      <c r="V113" s="885"/>
      <c r="W113" s="885"/>
      <c r="X113" s="1524"/>
      <c r="Y113" s="1524"/>
      <c r="Z113" s="1615"/>
      <c r="AA113" s="1617"/>
      <c r="AB113" s="88" t="str">
        <f>AB112&amp;".1"</f>
        <v>3.0.1</v>
      </c>
      <c r="AC113" s="1705" t="s">
        <v>1783</v>
      </c>
      <c r="AD113" s="211" t="s">
        <v>1514</v>
      </c>
      <c r="AE113" s="3536"/>
      <c r="AF113" s="3536"/>
      <c r="AG113" s="3536"/>
      <c r="AH113" s="3536"/>
      <c r="AI113" s="3536"/>
      <c r="AJ113" s="3536"/>
      <c r="AK113" s="3536"/>
      <c r="AL113" s="3536"/>
      <c r="AM113" s="3536"/>
      <c r="AN113" s="3536"/>
      <c r="AO113" s="3536"/>
      <c r="AP113" s="3536"/>
      <c r="AQ113" s="3536"/>
      <c r="AR113" s="3536"/>
      <c r="AS113" s="3536"/>
      <c r="AT113" s="3536"/>
      <c r="AU113" s="3536"/>
      <c r="AV113" s="3536"/>
      <c r="AW113" s="3536"/>
      <c r="AX113" s="3536"/>
      <c r="AY113" s="3536"/>
      <c r="AZ113" s="3536"/>
      <c r="BA113" s="3536"/>
      <c r="BB113" s="3536"/>
      <c r="BC113" s="2070"/>
      <c r="BD113" s="885"/>
      <c r="BE113" s="885"/>
      <c r="BF113" s="1041" t="s">
        <v>1784</v>
      </c>
      <c r="BG113" s="1041" t="s">
        <v>1802</v>
      </c>
      <c r="BH113" s="1041" cm="1" t="str">
        <f t="array" ref="BH113:BH113">AC112</f>
        <v/>
      </c>
      <c r="BI113" s="678"/>
      <c r="BJ113" s="678" t="b">
        <v>1</v>
      </c>
    </row>
    <row s="1834" customFormat="1" customHeight="1" ht="0" hidden="1">
      <c r="A114" s="885"/>
      <c r="B114" s="440"/>
      <c r="C114" s="885"/>
      <c r="D114" s="885"/>
      <c r="E114" s="678">
        <v>15</v>
      </c>
      <c r="F114" s="50" cm="1" t="str">
        <f t="array" ref="F114:F114">OFFSET(E114,-1,1)</f>
        <v>1</v>
      </c>
      <c r="G114" s="152" t="s">
        <v>1658</v>
      </c>
      <c r="H114" s="155" cm="1" t="str">
        <f t="array" ref="H114:H114">H113</f>
        <v>Затраты</v>
      </c>
      <c r="I114" s="152" t="s">
        <v>1801</v>
      </c>
      <c r="J114" s="885"/>
      <c r="K114" s="911"/>
      <c r="L114" s="885"/>
      <c r="M114" s="885"/>
      <c r="N114" s="885"/>
      <c r="O114" s="885"/>
      <c r="P114" s="885"/>
      <c r="Q114" s="885"/>
      <c r="R114" s="885"/>
      <c r="S114" s="885"/>
      <c r="T114" s="465" cm="1" t="str">
        <f t="array" ref="T114:T114">T113</f>
        <v>false</v>
      </c>
      <c r="U114" s="885"/>
      <c r="V114" s="885"/>
      <c r="W114" s="885"/>
      <c r="X114" s="1524"/>
      <c r="Y114" s="1524"/>
      <c r="Z114" s="1615"/>
      <c r="AA114" s="1617"/>
      <c r="AB114" s="88" t="str">
        <f>AB113&amp;".1"</f>
        <v>3.0.1.1</v>
      </c>
      <c r="AC114" s="221" t="s">
        <v>1803</v>
      </c>
      <c r="AD114" s="88" t="s">
        <v>1247</v>
      </c>
      <c r="AE114" s="3536"/>
      <c r="AF114" s="3536"/>
      <c r="AG114" s="3536"/>
      <c r="AH114" s="3536"/>
      <c r="AI114" s="3536"/>
      <c r="AJ114" s="3536"/>
      <c r="AK114" s="3536"/>
      <c r="AL114" s="3536"/>
      <c r="AM114" s="3536"/>
      <c r="AN114" s="3536"/>
      <c r="AO114" s="3536"/>
      <c r="AP114" s="3536"/>
      <c r="AQ114" s="3536"/>
      <c r="AR114" s="3536"/>
      <c r="AS114" s="3536"/>
      <c r="AT114" s="3536"/>
      <c r="AU114" s="3536"/>
      <c r="AV114" s="3536"/>
      <c r="AW114" s="3536"/>
      <c r="AX114" s="3536"/>
      <c r="AY114" s="3536"/>
      <c r="AZ114" s="3536"/>
      <c r="BA114" s="3536"/>
      <c r="BB114" s="3536"/>
      <c r="BC114" s="2070"/>
      <c r="BD114" s="885"/>
      <c r="BE114" s="885"/>
      <c r="BF114" s="1041" t="s">
        <v>1787</v>
      </c>
      <c r="BG114" s="1041" t="s">
        <v>1802</v>
      </c>
      <c r="BH114" s="1041" cm="1" t="str">
        <f t="array" ref="BH114:BH114">BH113</f>
        <v/>
      </c>
      <c r="BI114" s="678"/>
      <c r="BJ114" s="678"/>
    </row>
    <row s="1834" customFormat="1" customHeight="1" ht="0" hidden="1">
      <c r="A115" s="885"/>
      <c r="B115" s="440"/>
      <c r="C115" s="885"/>
      <c r="D115" s="885"/>
      <c r="E115" s="678">
        <v>15</v>
      </c>
      <c r="F115" s="1387" cm="1" t="str">
        <f t="array" ref="F115:F115">OFFSET(E115,-1,1)</f>
        <v>1</v>
      </c>
      <c r="G115" s="885"/>
      <c r="H115" s="155"/>
      <c r="I115" s="885"/>
      <c r="J115" s="885"/>
      <c r="K115" s="911"/>
      <c r="L115" s="885"/>
      <c r="M115" s="885"/>
      <c r="N115" s="885"/>
      <c r="O115" s="885"/>
      <c r="P115" s="885"/>
      <c r="Q115" s="885"/>
      <c r="R115" s="885"/>
      <c r="S115" s="885"/>
      <c r="T115" s="1356" cm="1" t="str">
        <f t="array" ref="T115:T115">T114</f>
        <v>false</v>
      </c>
      <c r="U115" s="885"/>
      <c r="V115" s="885"/>
      <c r="W115" s="885"/>
      <c r="X115" s="684"/>
      <c r="Y115" s="1524"/>
      <c r="Z115" s="885"/>
      <c r="AA115" s="1697"/>
      <c r="AB115" s="1706" t="str">
        <f>AB113&amp;".2"</f>
        <v>3.0.1.2</v>
      </c>
      <c r="AC115" s="1707" t="s">
        <v>1798</v>
      </c>
      <c r="AD115" s="1706" t="s">
        <v>1789</v>
      </c>
      <c r="AE115" s="3644"/>
      <c r="AF115" s="3644"/>
      <c r="AG115" s="3644"/>
      <c r="AH115" s="3644"/>
      <c r="AI115" s="3644"/>
      <c r="AJ115" s="3644"/>
      <c r="AK115" s="3644"/>
      <c r="AL115" s="3644"/>
      <c r="AM115" s="3644"/>
      <c r="AN115" s="3644"/>
      <c r="AO115" s="3644"/>
      <c r="AP115" s="3644"/>
      <c r="AQ115" s="3644"/>
      <c r="AR115" s="3644"/>
      <c r="AS115" s="3644"/>
      <c r="AT115" s="3644"/>
      <c r="AU115" s="3644"/>
      <c r="AV115" s="3644"/>
      <c r="AW115" s="3644"/>
      <c r="AX115" s="3644"/>
      <c r="AY115" s="3644"/>
      <c r="AZ115" s="3644"/>
      <c r="BA115" s="3644"/>
      <c r="BB115" s="3644"/>
      <c r="BC115" s="3645"/>
      <c r="BD115" s="885"/>
      <c r="BE115" s="885"/>
      <c r="BF115" s="1041" t="s">
        <v>1790</v>
      </c>
      <c r="BG115" s="1041" t="s">
        <v>1802</v>
      </c>
      <c r="BH115" s="1710" cm="1" t="str">
        <f t="array" ref="BH115:BH115">BH114</f>
        <v/>
      </c>
      <c r="BI115" s="678"/>
      <c r="BJ115" s="678"/>
    </row>
    <row s="1834" customFormat="1" customHeight="1" ht="0">
      <c r="A116" s="885"/>
      <c r="B116" s="440"/>
      <c r="C116" s="885"/>
      <c r="D116" s="885"/>
      <c r="E116" s="678">
        <v>15</v>
      </c>
      <c r="F116" s="50" cm="1" t="str">
        <f t="array" ref="F116:F116">OFFSET(E116,-1,1)</f>
        <v>1</v>
      </c>
      <c r="G116" s="885"/>
      <c r="H116" s="152" t="str">
        <f>"!=='не определено' &amp;&amp; row.l3 !== null"</f>
        <v>!=='не определено' &amp;&amp; row.l3 !== null</v>
      </c>
      <c r="I116" s="885"/>
      <c r="J116" s="885"/>
      <c r="K116" s="911"/>
      <c r="L116" s="885"/>
      <c r="M116" s="885"/>
      <c r="N116" s="885"/>
      <c r="O116" s="885"/>
      <c r="P116" s="885"/>
      <c r="Q116" s="885"/>
      <c r="R116" s="885"/>
      <c r="S116" s="885"/>
      <c r="T116" s="465">
        <f>F116&gt;0</f>
        <v>1</v>
      </c>
      <c r="U116" s="885"/>
      <c r="V116" s="885"/>
      <c r="W116" s="685" t="s">
        <v>1804</v>
      </c>
      <c r="X116" s="1524"/>
      <c r="Y116" s="683"/>
      <c r="Z116" s="1615"/>
      <c r="AA116" s="885"/>
      <c r="AB116" s="681"/>
      <c r="AC116" s="232" t="s">
        <v>1792</v>
      </c>
      <c r="AD116" s="232"/>
      <c r="AE116" s="232"/>
      <c r="AF116" s="232"/>
      <c r="AG116" s="232"/>
      <c r="AH116" s="232"/>
      <c r="AI116" s="232"/>
      <c r="AJ116" s="232"/>
      <c r="AK116" s="232"/>
      <c r="AL116" s="232"/>
      <c r="AM116" s="232"/>
      <c r="AN116" s="232"/>
      <c r="AO116" s="232"/>
      <c r="AP116" s="232"/>
      <c r="AQ116" s="232"/>
      <c r="AR116" s="232"/>
      <c r="AS116" s="232"/>
      <c r="AT116" s="232"/>
      <c r="AU116" s="232"/>
      <c r="AV116" s="232"/>
      <c r="AW116" s="232"/>
      <c r="AX116" s="232"/>
      <c r="AY116" s="232"/>
      <c r="AZ116" s="232"/>
      <c r="BA116" s="232"/>
      <c r="BB116" s="232"/>
      <c r="BC116" s="233"/>
      <c r="BD116" s="885"/>
      <c r="BE116" s="885"/>
      <c r="BF116" s="1041"/>
      <c r="BG116" s="1041"/>
      <c r="BH116" s="1041"/>
      <c r="BI116" s="678" t="s">
        <v>1802</v>
      </c>
      <c r="BJ116" s="678"/>
    </row>
    <row s="1834" customFormat="1" customHeight="1" ht="0">
      <c r="A117" s="885"/>
      <c r="B117" s="440"/>
      <c r="C117" s="885"/>
      <c r="D117" s="885"/>
      <c r="E117" s="678">
        <v>23</v>
      </c>
      <c r="F117" s="50" cm="1" t="str">
        <f t="array" ref="F117:F117">OFFSET(E117,-1,1)</f>
        <v>1</v>
      </c>
      <c r="G117" s="885"/>
      <c r="H117" s="885"/>
      <c r="I117" s="885"/>
      <c r="J117" s="885"/>
      <c r="K117" s="911" t="str">
        <f>F96&amp;"4komm"</f>
        <v>14komm</v>
      </c>
      <c r="L117" s="915" cm="1" t="str">
        <f t="array" ref="L117:L117">BC117</f>
        <v>0</v>
      </c>
      <c r="M117" s="885"/>
      <c r="N117" s="885"/>
      <c r="O117" s="885"/>
      <c r="P117" s="885"/>
      <c r="Q117" s="885"/>
      <c r="R117" s="885"/>
      <c r="S117" s="885"/>
      <c r="T117" s="465" cm="1" t="str">
        <f t="array" ref="T117:T117">T116</f>
        <v>true</v>
      </c>
      <c r="U117" s="885"/>
      <c r="V117" s="885"/>
      <c r="W117" s="885"/>
      <c r="X117" s="1524"/>
      <c r="Y117" s="684"/>
      <c r="Z117" s="1615"/>
      <c r="AA117" s="885"/>
      <c r="AB117" s="211">
        <v>4</v>
      </c>
      <c r="AC117" s="212" t="s">
        <v>1805</v>
      </c>
      <c r="AD117" s="211" t="s">
        <v>1514</v>
      </c>
      <c r="AE117" s="213">
        <f>SUMIF(AD120:AD123,AD117,AE120:AE123)</f>
        <v>0</v>
      </c>
      <c r="AF117" s="213">
        <f>SUMIF(AD120:AD123,AD117,AF120:AF123)</f>
        <v>0</v>
      </c>
      <c r="AG117" s="213">
        <f>SUMIF(AD120:AD123,AD117,AG120:AG123)</f>
        <v>0</v>
      </c>
      <c r="AH117" s="213">
        <f>SUMIF(AD120:AD123,AD117,AH120:AH123)</f>
        <v>0</v>
      </c>
      <c r="AI117" s="213">
        <f>SUMIF(AD120:AD123,AD117,AI120:AI123)</f>
        <v>0</v>
      </c>
      <c r="AJ117" s="1460">
        <f>SUMIF(AD120:AD123,AD117,AJ120:AJ123)</f>
        <v>0</v>
      </c>
      <c r="AK117" s="1460">
        <f>SUMIF(AD120:AD123,AD117,AK120:AK123)</f>
        <v>0</v>
      </c>
      <c r="AL117" s="1460">
        <f>SUMIF(AD120:AD123,AD117,AL120:AL123)</f>
        <v>0</v>
      </c>
      <c r="AM117" s="1460">
        <f>SUMIF(AD120:AD123,AD117,AM120:AM123)</f>
        <v>0</v>
      </c>
      <c r="AN117" s="3626">
        <f>SUMIF(AD120:AD123,AD117,AN120:AN123)</f>
        <v>0</v>
      </c>
      <c r="AO117" s="3626">
        <f>SUMIF(AD120:AD123,AD117,AO120:AO123)</f>
        <v>0</v>
      </c>
      <c r="AP117" s="3626">
        <f>SUMIF(AD120:AD123,AD117,AP120:AP123)</f>
        <v>0</v>
      </c>
      <c r="AQ117" s="3626">
        <f>SUMIF(AD120:AD123,AD117,AQ120:AQ123)</f>
        <v>0</v>
      </c>
      <c r="AR117" s="3626">
        <f>SUMIF(AD120:AD123,AD117,AR120:AR123)</f>
        <v>0</v>
      </c>
      <c r="AS117" s="213">
        <f>SUMIF(AD120:AD123,AD117,AS120:AS123)</f>
        <v>0</v>
      </c>
      <c r="AT117" s="1460">
        <f>SUMIF(AD120:AD123,AD117,AT120:AT123)</f>
        <v>0</v>
      </c>
      <c r="AU117" s="1460">
        <f>SUMIF(AD120:AD123,AD117,AU120:AU123)</f>
        <v>0</v>
      </c>
      <c r="AV117" s="1460">
        <f>SUMIF(AD120:AD123,AD117,AV120:AV123)</f>
        <v>0</v>
      </c>
      <c r="AW117" s="1460">
        <f>SUMIF(AD120:AD123,AD117,AW120:AW123)</f>
        <v>0</v>
      </c>
      <c r="AX117" s="3626">
        <f>SUMIF(AD120:AD123,AD117,AX120:AX123)</f>
        <v>0</v>
      </c>
      <c r="AY117" s="3626">
        <f>SUMIF(AD120:AD123,AD117,AY120:AY123)</f>
        <v>0</v>
      </c>
      <c r="AZ117" s="3626">
        <f>SUMIF(AD120:AD123,AD117,AZ120:AZ123)</f>
        <v>0</v>
      </c>
      <c r="BA117" s="3626">
        <f>SUMIF(AD120:AD123,AD117,BA120:BA123)</f>
        <v>0</v>
      </c>
      <c r="BB117" s="3626">
        <f>SUMIF(AD120:AD123,AD117,BB120:BB123)</f>
        <v>0</v>
      </c>
      <c r="BC117" s="200"/>
      <c r="BD117" s="885"/>
      <c r="BE117" s="885"/>
      <c r="BF117" s="1041" t="s">
        <v>1806</v>
      </c>
      <c r="BG117" s="1041"/>
      <c r="BH117" s="1041"/>
      <c r="BI117" s="678"/>
      <c r="BJ117" s="678"/>
    </row>
    <row s="1834" customFormat="1" customHeight="1" ht="0" hidden="1">
      <c r="A118" s="885"/>
      <c r="B118" s="440"/>
      <c r="C118" s="885"/>
      <c r="D118" s="885"/>
      <c r="E118" s="678">
        <v>0</v>
      </c>
      <c r="F118" s="50" cm="1" t="str">
        <f t="array" ref="F118:F118">OFFSET(E118,-1,1)</f>
        <v>1</v>
      </c>
      <c r="G118" s="152" t="s">
        <v>336</v>
      </c>
      <c r="H118" s="885"/>
      <c r="I118" s="885"/>
      <c r="J118" s="885"/>
      <c r="K118" s="911"/>
      <c r="L118" s="915"/>
      <c r="M118" s="885"/>
      <c r="N118" s="885"/>
      <c r="O118" s="885"/>
      <c r="P118" s="885"/>
      <c r="Q118" s="885"/>
      <c r="R118" s="885"/>
      <c r="S118" s="885"/>
      <c r="T118" s="465" t="b">
        <v>0</v>
      </c>
      <c r="U118" s="885"/>
      <c r="V118" s="885"/>
      <c r="W118" s="152" t="s">
        <v>174</v>
      </c>
      <c r="X118" s="1524"/>
      <c r="Y118" s="1524">
        <v>0</v>
      </c>
      <c r="Z118" s="1615"/>
      <c r="AA118" s="1617" t="s">
        <v>175</v>
      </c>
      <c r="AB118" s="211"/>
      <c r="AC118" s="212"/>
      <c r="AD118" s="211"/>
      <c r="AE118" s="1368">
        <f>OR(AND(AE120&lt;&gt;"",AE121=""),AND(AE120="",AE121&lt;&gt;""))</f>
        <v>0</v>
      </c>
      <c r="AF118" s="1368">
        <f>OR(AND(AF120&lt;&gt;"",AF121=""),AND(AF120="",AF121&lt;&gt;""))</f>
        <v>0</v>
      </c>
      <c r="AG118" s="1368">
        <f>OR(AND(AG120&lt;&gt;"",AG121=""),AND(AG120="",AG121&lt;&gt;""))</f>
        <v>0</v>
      </c>
      <c r="AH118" s="1368">
        <f>OR(AND(AH120&lt;&gt;"",AH121=""),AND(AH120="",AH121&lt;&gt;""))</f>
        <v>0</v>
      </c>
      <c r="AI118" s="1368">
        <f>OR(AND(AI120&lt;&gt;"",AI121=""),AND(AI120="",AI121&lt;&gt;""))</f>
        <v>0</v>
      </c>
      <c r="AJ118" s="1368">
        <f>OR(AND(AJ120&lt;&gt;"",AJ121=""),AND(AJ120="",AJ121&lt;&gt;""))</f>
        <v>0</v>
      </c>
      <c r="AK118" s="1368">
        <f>OR(AND(AK120&lt;&gt;"",AK121=""),AND(AK120="",AK121&lt;&gt;""))</f>
        <v>0</v>
      </c>
      <c r="AL118" s="1368">
        <f>OR(AND(AL120&lt;&gt;"",AL121=""),AND(AL120="",AL121&lt;&gt;""))</f>
        <v>0</v>
      </c>
      <c r="AM118" s="1368">
        <f>OR(AND(AM120&lt;&gt;"",AM121=""),AND(AM120="",AM121&lt;&gt;""))</f>
        <v>0</v>
      </c>
      <c r="AN118" s="1368">
        <f>OR(AND(AN120&lt;&gt;"",AN121=""),AND(AN120="",AN121&lt;&gt;""))</f>
        <v>0</v>
      </c>
      <c r="AO118" s="1368">
        <f>OR(AND(AO120&lt;&gt;"",AO121=""),AND(AO120="",AO121&lt;&gt;""))</f>
        <v>0</v>
      </c>
      <c r="AP118" s="1368">
        <f>OR(AND(AP120&lt;&gt;"",AP121=""),AND(AP120="",AP121&lt;&gt;""))</f>
        <v>0</v>
      </c>
      <c r="AQ118" s="1368">
        <f>OR(AND(AQ120&lt;&gt;"",AQ121=""),AND(AQ120="",AQ121&lt;&gt;""))</f>
        <v>0</v>
      </c>
      <c r="AR118" s="1368">
        <f>OR(AND(AR120&lt;&gt;"",AR121=""),AND(AR120="",AR121&lt;&gt;""))</f>
        <v>0</v>
      </c>
      <c r="AS118" s="1368">
        <f>OR(AND(AS120&lt;&gt;"",AS121=""),AND(AS120="",AS121&lt;&gt;""))</f>
        <v>0</v>
      </c>
      <c r="AT118" s="1368">
        <f>OR(AND(AT120&lt;&gt;"",AT121=""),AND(AT120="",AT121&lt;&gt;""))</f>
        <v>0</v>
      </c>
      <c r="AU118" s="1368">
        <f>OR(AND(AU120&lt;&gt;"",AU121=""),AND(AU120="",AU121&lt;&gt;""))</f>
        <v>0</v>
      </c>
      <c r="AV118" s="1368">
        <f>OR(AND(AV120&lt;&gt;"",AV121=""),AND(AV120="",AV121&lt;&gt;""))</f>
        <v>0</v>
      </c>
      <c r="AW118" s="1368">
        <f>OR(AND(AW120&lt;&gt;"",AW121=""),AND(AW120="",AW121&lt;&gt;""))</f>
        <v>0</v>
      </c>
      <c r="AX118" s="1368">
        <f>OR(AND(AX120&lt;&gt;"",AX121=""),AND(AX120="",AX121&lt;&gt;""))</f>
        <v>0</v>
      </c>
      <c r="AY118" s="1368">
        <f>OR(AND(AY120&lt;&gt;"",AY121=""),AND(AY120="",AY121&lt;&gt;""))</f>
        <v>0</v>
      </c>
      <c r="AZ118" s="1368">
        <f>OR(AND(AZ120&lt;&gt;"",AZ121=""),AND(AZ120="",AZ121&lt;&gt;""))</f>
        <v>0</v>
      </c>
      <c r="BA118" s="1368">
        <f>OR(AND(BA120&lt;&gt;"",BA121=""),AND(BA120="",BA121&lt;&gt;""))</f>
        <v>0</v>
      </c>
      <c r="BB118" s="1368">
        <f>OR(AND(BB120&lt;&gt;"",BB121=""),AND(BB120="",BB121&lt;&gt;""))</f>
        <v>0</v>
      </c>
      <c r="BC118" s="974"/>
      <c r="BD118" s="885"/>
      <c r="BE118" s="885"/>
      <c r="BF118" s="1041"/>
      <c r="BG118" s="1041"/>
      <c r="BH118" s="1041"/>
      <c r="BI118" s="678"/>
      <c r="BJ118" s="678"/>
    </row>
    <row s="1834" customFormat="1" customHeight="1" ht="0" hidden="1">
      <c r="A119" s="885"/>
      <c r="B119" s="440"/>
      <c r="C119" s="885"/>
      <c r="D119" s="885"/>
      <c r="E119" s="678">
        <v>15</v>
      </c>
      <c r="F119" s="1387" cm="1" t="str">
        <f t="array" ref="F119:F119">OFFSET(E119,-1,1)</f>
        <v>1</v>
      </c>
      <c r="G119" s="885"/>
      <c r="H119" s="885"/>
      <c r="I119" s="885"/>
      <c r="J119" s="885"/>
      <c r="K119" s="911"/>
      <c r="L119" s="915"/>
      <c r="M119" s="885"/>
      <c r="N119" s="885"/>
      <c r="O119" s="885"/>
      <c r="P119" s="885"/>
      <c r="Q119" s="885"/>
      <c r="R119" s="885"/>
      <c r="S119" s="885"/>
      <c r="T119" s="1356">
        <f>AND(Y118&gt;0,F119&gt;0)</f>
        <v>0</v>
      </c>
      <c r="U119" s="885"/>
      <c r="V119" s="885"/>
      <c r="W119" s="885"/>
      <c r="X119" s="684"/>
      <c r="Y119" s="1524"/>
      <c r="Z119" s="885"/>
      <c r="AA119" s="1697"/>
      <c r="AB119" s="1698" t="str">
        <f>"4."&amp;Y118</f>
        <v>4.0</v>
      </c>
      <c r="AC119" s="1699" t="s">
        <v>227</v>
      </c>
      <c r="AD119" s="1700"/>
      <c r="AE119" s="3635"/>
      <c r="AF119" s="1702"/>
      <c r="AG119" s="3635"/>
      <c r="AH119" s="3635"/>
      <c r="AI119" s="3635"/>
      <c r="AJ119" s="3635"/>
      <c r="AK119" s="3635"/>
      <c r="AL119" s="3635"/>
      <c r="AM119" s="3635"/>
      <c r="AN119" s="3635"/>
      <c r="AO119" s="3635"/>
      <c r="AP119" s="3635"/>
      <c r="AQ119" s="3635"/>
      <c r="AR119" s="3635"/>
      <c r="AS119" s="1702"/>
      <c r="AT119" s="1702"/>
      <c r="AU119" s="1702"/>
      <c r="AV119" s="1702"/>
      <c r="AW119" s="1702"/>
      <c r="AX119" s="1702"/>
      <c r="AY119" s="1702"/>
      <c r="AZ119" s="1702"/>
      <c r="BA119" s="1702"/>
      <c r="BB119" s="1703"/>
      <c r="BC119" s="1704"/>
      <c r="BD119" s="885"/>
      <c r="BE119" s="885"/>
      <c r="BF119" s="1041"/>
      <c r="BG119" s="1041"/>
      <c r="BH119" s="1041"/>
      <c r="BI119" s="678"/>
      <c r="BJ119" s="678"/>
    </row>
    <row s="1834" customFormat="1" customHeight="1" ht="0" hidden="1">
      <c r="A120" s="885"/>
      <c r="B120" s="440"/>
      <c r="C120" s="885"/>
      <c r="D120" s="885"/>
      <c r="E120" s="678">
        <v>15</v>
      </c>
      <c r="F120" s="50" cm="1" t="str">
        <f t="array" ref="F120:F120">OFFSET(E120,-1,1)</f>
        <v>1</v>
      </c>
      <c r="G120" s="152" t="s">
        <v>336</v>
      </c>
      <c r="H120" s="155" cm="1" t="str">
        <f t="array" ref="H120:H120">AC120</f>
        <v>Затраты</v>
      </c>
      <c r="I120" s="152" t="s">
        <v>1807</v>
      </c>
      <c r="J120" s="885"/>
      <c r="K120" s="911"/>
      <c r="L120" s="885"/>
      <c r="M120" s="885"/>
      <c r="N120" s="885"/>
      <c r="O120" s="885"/>
      <c r="P120" s="885"/>
      <c r="Q120" s="885"/>
      <c r="R120" s="885"/>
      <c r="S120" s="885"/>
      <c r="T120" s="465" cm="1" t="str">
        <f t="array" ref="T120:T120">T119</f>
        <v>false</v>
      </c>
      <c r="U120" s="885"/>
      <c r="V120" s="885"/>
      <c r="W120" s="885"/>
      <c r="X120" s="1524"/>
      <c r="Y120" s="1524"/>
      <c r="Z120" s="1615"/>
      <c r="AA120" s="1617"/>
      <c r="AB120" s="88" t="str">
        <f>AB119&amp;".1"</f>
        <v>4.0.1</v>
      </c>
      <c r="AC120" s="1705" t="s">
        <v>1783</v>
      </c>
      <c r="AD120" s="211" t="s">
        <v>1514</v>
      </c>
      <c r="AE120" s="3536"/>
      <c r="AF120" s="3536"/>
      <c r="AG120" s="3536"/>
      <c r="AH120" s="3536"/>
      <c r="AI120" s="3536"/>
      <c r="AJ120" s="3536"/>
      <c r="AK120" s="3536"/>
      <c r="AL120" s="3536"/>
      <c r="AM120" s="3536"/>
      <c r="AN120" s="3536"/>
      <c r="AO120" s="3536"/>
      <c r="AP120" s="3536"/>
      <c r="AQ120" s="3536"/>
      <c r="AR120" s="3536"/>
      <c r="AS120" s="3536"/>
      <c r="AT120" s="3536"/>
      <c r="AU120" s="3536"/>
      <c r="AV120" s="3536"/>
      <c r="AW120" s="3536"/>
      <c r="AX120" s="3536"/>
      <c r="AY120" s="3536"/>
      <c r="AZ120" s="3536"/>
      <c r="BA120" s="3536"/>
      <c r="BB120" s="3536"/>
      <c r="BC120" s="2070"/>
      <c r="BD120" s="885"/>
      <c r="BE120" s="885"/>
      <c r="BF120" s="1041" t="s">
        <v>1784</v>
      </c>
      <c r="BG120" s="1041" t="s">
        <v>1808</v>
      </c>
      <c r="BH120" s="1041" cm="1" t="str">
        <f t="array" ref="BH120:BH120">AC119</f>
        <v/>
      </c>
      <c r="BI120" s="678"/>
      <c r="BJ120" s="678" t="b">
        <v>1</v>
      </c>
    </row>
    <row s="1834" customFormat="1" customHeight="1" ht="0" hidden="1">
      <c r="A121" s="885"/>
      <c r="B121" s="440"/>
      <c r="C121" s="885"/>
      <c r="D121" s="885"/>
      <c r="E121" s="678">
        <v>15</v>
      </c>
      <c r="F121" s="50" cm="1" t="str">
        <f t="array" ref="F121:F121">OFFSET(E121,-1,1)</f>
        <v>1</v>
      </c>
      <c r="G121" s="152" t="s">
        <v>1249</v>
      </c>
      <c r="H121" s="155" cm="1" t="str">
        <f t="array" ref="H121:H121">H120</f>
        <v>Затраты</v>
      </c>
      <c r="I121" s="152" t="s">
        <v>1807</v>
      </c>
      <c r="J121" s="885"/>
      <c r="K121" s="911"/>
      <c r="L121" s="885"/>
      <c r="M121" s="885"/>
      <c r="N121" s="885"/>
      <c r="O121" s="885"/>
      <c r="P121" s="885"/>
      <c r="Q121" s="885"/>
      <c r="R121" s="885"/>
      <c r="S121" s="885"/>
      <c r="T121" s="465" cm="1" t="str">
        <f t="array" ref="T121:T121">T120</f>
        <v>false</v>
      </c>
      <c r="U121" s="885"/>
      <c r="V121" s="885"/>
      <c r="W121" s="885"/>
      <c r="X121" s="1524"/>
      <c r="Y121" s="1524"/>
      <c r="Z121" s="1615"/>
      <c r="AA121" s="1617"/>
      <c r="AB121" s="88" t="str">
        <f>AB120&amp;".1"</f>
        <v>4.0.1.1</v>
      </c>
      <c r="AC121" s="221" t="s">
        <v>1809</v>
      </c>
      <c r="AD121" s="88" t="s">
        <v>1247</v>
      </c>
      <c r="AE121" s="3536"/>
      <c r="AF121" s="3536"/>
      <c r="AG121" s="3536"/>
      <c r="AH121" s="3536"/>
      <c r="AI121" s="3536"/>
      <c r="AJ121" s="3536"/>
      <c r="AK121" s="3536"/>
      <c r="AL121" s="3536"/>
      <c r="AM121" s="3536"/>
      <c r="AN121" s="3536"/>
      <c r="AO121" s="3536"/>
      <c r="AP121" s="3536"/>
      <c r="AQ121" s="3536"/>
      <c r="AR121" s="3536"/>
      <c r="AS121" s="3536"/>
      <c r="AT121" s="3536"/>
      <c r="AU121" s="3536"/>
      <c r="AV121" s="3536"/>
      <c r="AW121" s="3536"/>
      <c r="AX121" s="3536"/>
      <c r="AY121" s="3536"/>
      <c r="AZ121" s="3536"/>
      <c r="BA121" s="3536"/>
      <c r="BB121" s="3536"/>
      <c r="BC121" s="2070"/>
      <c r="BD121" s="885"/>
      <c r="BE121" s="885"/>
      <c r="BF121" s="1041" t="s">
        <v>1787</v>
      </c>
      <c r="BG121" s="1041" t="s">
        <v>1808</v>
      </c>
      <c r="BH121" s="1041" cm="1" t="str">
        <f t="array" ref="BH121:BH121">BH120</f>
        <v/>
      </c>
      <c r="BI121" s="678"/>
      <c r="BJ121" s="678"/>
    </row>
    <row s="1834" customFormat="1" customHeight="1" ht="0" hidden="1">
      <c r="A122" s="885"/>
      <c r="B122" s="440"/>
      <c r="C122" s="885"/>
      <c r="D122" s="885"/>
      <c r="E122" s="678">
        <v>15</v>
      </c>
      <c r="F122" s="1387" cm="1" t="str">
        <f t="array" ref="F122:F122">OFFSET(E122,-1,1)</f>
        <v>1</v>
      </c>
      <c r="G122" s="885"/>
      <c r="H122" s="155"/>
      <c r="I122" s="885"/>
      <c r="J122" s="885"/>
      <c r="K122" s="911"/>
      <c r="L122" s="885"/>
      <c r="M122" s="885"/>
      <c r="N122" s="885"/>
      <c r="O122" s="885"/>
      <c r="P122" s="885"/>
      <c r="Q122" s="885"/>
      <c r="R122" s="885"/>
      <c r="S122" s="885"/>
      <c r="T122" s="1356" cm="1" t="str">
        <f t="array" ref="T122:T122">T121</f>
        <v>false</v>
      </c>
      <c r="U122" s="885"/>
      <c r="V122" s="885"/>
      <c r="W122" s="885"/>
      <c r="X122" s="684"/>
      <c r="Y122" s="1524"/>
      <c r="Z122" s="885"/>
      <c r="AA122" s="1697"/>
      <c r="AB122" s="1706" t="str">
        <f>AB120&amp;".2"</f>
        <v>4.0.1.2</v>
      </c>
      <c r="AC122" s="1707" t="s">
        <v>1810</v>
      </c>
      <c r="AD122" s="1706" t="s">
        <v>1789</v>
      </c>
      <c r="AE122" s="3644"/>
      <c r="AF122" s="3644"/>
      <c r="AG122" s="3644"/>
      <c r="AH122" s="3644"/>
      <c r="AI122" s="3644"/>
      <c r="AJ122" s="3644"/>
      <c r="AK122" s="3644"/>
      <c r="AL122" s="3644"/>
      <c r="AM122" s="3644"/>
      <c r="AN122" s="3644"/>
      <c r="AO122" s="3644"/>
      <c r="AP122" s="3644"/>
      <c r="AQ122" s="3644"/>
      <c r="AR122" s="3644"/>
      <c r="AS122" s="3644"/>
      <c r="AT122" s="3644"/>
      <c r="AU122" s="3644"/>
      <c r="AV122" s="3644"/>
      <c r="AW122" s="3644"/>
      <c r="AX122" s="3644"/>
      <c r="AY122" s="3644"/>
      <c r="AZ122" s="3644"/>
      <c r="BA122" s="3644"/>
      <c r="BB122" s="3644"/>
      <c r="BC122" s="3645"/>
      <c r="BD122" s="885"/>
      <c r="BE122" s="885"/>
      <c r="BF122" s="1041" t="s">
        <v>1790</v>
      </c>
      <c r="BG122" s="1041" t="s">
        <v>1808</v>
      </c>
      <c r="BH122" s="1710" cm="1" t="str">
        <f t="array" ref="BH122:BH122">BH121</f>
        <v/>
      </c>
      <c r="BI122" s="678"/>
      <c r="BJ122" s="678"/>
    </row>
    <row s="1834" customFormat="1" customHeight="1" ht="0">
      <c r="A123" s="885"/>
      <c r="B123" s="440"/>
      <c r="C123" s="885"/>
      <c r="D123" s="885"/>
      <c r="E123" s="678">
        <v>15</v>
      </c>
      <c r="F123" s="50" cm="1" t="str">
        <f t="array" ref="F123:F123">OFFSET(E123,-1,1)</f>
        <v>1</v>
      </c>
      <c r="G123" s="885"/>
      <c r="H123" s="152" t="str">
        <f>"!=='не определено' &amp;&amp; row.l4 !== null"</f>
        <v>!=='не определено' &amp;&amp; row.l4 !== null</v>
      </c>
      <c r="I123" s="885"/>
      <c r="J123" s="885"/>
      <c r="K123" s="911"/>
      <c r="L123" s="885"/>
      <c r="M123" s="885"/>
      <c r="N123" s="885"/>
      <c r="O123" s="885"/>
      <c r="P123" s="885"/>
      <c r="Q123" s="885"/>
      <c r="R123" s="885"/>
      <c r="S123" s="885"/>
      <c r="T123" s="465">
        <f>F123&gt;0</f>
        <v>1</v>
      </c>
      <c r="U123" s="885"/>
      <c r="V123" s="885"/>
      <c r="W123" s="685" t="s">
        <v>1811</v>
      </c>
      <c r="X123" s="1524"/>
      <c r="Y123" s="683"/>
      <c r="Z123" s="1615"/>
      <c r="AA123" s="885"/>
      <c r="AB123" s="681"/>
      <c r="AC123" s="232" t="s">
        <v>1792</v>
      </c>
      <c r="AD123" s="232"/>
      <c r="AE123" s="232"/>
      <c r="AF123" s="232"/>
      <c r="AG123" s="232"/>
      <c r="AH123" s="232"/>
      <c r="AI123" s="232"/>
      <c r="AJ123" s="232"/>
      <c r="AK123" s="232"/>
      <c r="AL123" s="232"/>
      <c r="AM123" s="232"/>
      <c r="AN123" s="232"/>
      <c r="AO123" s="232"/>
      <c r="AP123" s="232"/>
      <c r="AQ123" s="232"/>
      <c r="AR123" s="232"/>
      <c r="AS123" s="232"/>
      <c r="AT123" s="232"/>
      <c r="AU123" s="232"/>
      <c r="AV123" s="232"/>
      <c r="AW123" s="232"/>
      <c r="AX123" s="232"/>
      <c r="AY123" s="232"/>
      <c r="AZ123" s="232"/>
      <c r="BA123" s="232"/>
      <c r="BB123" s="232"/>
      <c r="BC123" s="233"/>
      <c r="BD123" s="885"/>
      <c r="BE123" s="885"/>
      <c r="BF123" s="1041"/>
      <c r="BG123" s="1041"/>
      <c r="BH123" s="1041"/>
      <c r="BI123" s="678" t="s">
        <v>1808</v>
      </c>
      <c r="BJ123" s="678"/>
    </row>
    <row s="1834" customFormat="1" customHeight="1" ht="0">
      <c r="A124" s="885"/>
      <c r="B124" s="440"/>
      <c r="C124" s="885"/>
      <c r="D124" s="885"/>
      <c r="E124" s="678">
        <v>23</v>
      </c>
      <c r="F124" s="50" cm="1" t="str">
        <f t="array" ref="F124:F124">OFFSET(E124,-1,1)</f>
        <v>1</v>
      </c>
      <c r="G124" s="885"/>
      <c r="H124" s="885"/>
      <c r="I124" s="885"/>
      <c r="J124" s="885"/>
      <c r="K124" s="911" t="str">
        <f>F96&amp;"5komm"</f>
        <v>15komm</v>
      </c>
      <c r="L124" s="915" cm="1" t="str">
        <f t="array" ref="L124:L124">BC124</f>
        <v>0</v>
      </c>
      <c r="M124" s="885"/>
      <c r="N124" s="885"/>
      <c r="O124" s="885"/>
      <c r="P124" s="885"/>
      <c r="Q124" s="885"/>
      <c r="R124" s="885"/>
      <c r="S124" s="885"/>
      <c r="T124" s="465" cm="1" t="str">
        <f t="array" ref="T124:T124">T123</f>
        <v>true</v>
      </c>
      <c r="U124" s="885"/>
      <c r="V124" s="885"/>
      <c r="W124" s="885"/>
      <c r="X124" s="1524"/>
      <c r="Y124" s="684"/>
      <c r="Z124" s="1615"/>
      <c r="AA124" s="885"/>
      <c r="AB124" s="211">
        <v>5</v>
      </c>
      <c r="AC124" s="212" t="s">
        <v>1812</v>
      </c>
      <c r="AD124" s="211" t="s">
        <v>1514</v>
      </c>
      <c r="AE124" s="213">
        <f>SUMIF(AD127:AD130,AD124,AE127:AE130)</f>
        <v>0</v>
      </c>
      <c r="AF124" s="213">
        <f>SUMIF(AD127:AD130,AD124,AF127:AF130)</f>
        <v>0</v>
      </c>
      <c r="AG124" s="213">
        <f>SUMIF(AD127:AD130,AD124,AG127:AG130)</f>
        <v>0</v>
      </c>
      <c r="AH124" s="213">
        <f>SUMIF(AD127:AD130,AD124,AH127:AH130)</f>
        <v>0</v>
      </c>
      <c r="AI124" s="213">
        <f>SUMIF(AD127:AD130,AD124,AI127:AI130)</f>
        <v>0</v>
      </c>
      <c r="AJ124" s="1460">
        <f>SUMIF(AD127:AD130,AD124,AJ127:AJ130)</f>
        <v>0</v>
      </c>
      <c r="AK124" s="1460">
        <f>SUMIF(AD127:AD130,AD124,AK127:AK130)</f>
        <v>0</v>
      </c>
      <c r="AL124" s="1460">
        <f>SUMIF(AD127:AD130,AD124,AL127:AL130)</f>
        <v>0</v>
      </c>
      <c r="AM124" s="1460">
        <f>SUMIF(AD127:AD130,AD124,AM127:AM130)</f>
        <v>0</v>
      </c>
      <c r="AN124" s="3626">
        <f>SUMIF(AD127:AD130,AD124,AN127:AN130)</f>
        <v>0</v>
      </c>
      <c r="AO124" s="3626">
        <f>SUMIF(AD127:AD130,AD124,AO127:AO130)</f>
        <v>0</v>
      </c>
      <c r="AP124" s="3626">
        <f>SUMIF(AD127:AD130,AD124,AP127:AP130)</f>
        <v>0</v>
      </c>
      <c r="AQ124" s="3626">
        <f>SUMIF(AD127:AD130,AD124,AQ127:AQ130)</f>
        <v>0</v>
      </c>
      <c r="AR124" s="3626">
        <f>SUMIF(AD127:AD130,AD124,AR127:AR130)</f>
        <v>0</v>
      </c>
      <c r="AS124" s="213">
        <f>SUMIF(AD127:AD130,AD124,AS127:AS130)</f>
        <v>0</v>
      </c>
      <c r="AT124" s="1460">
        <f>SUMIF(AD127:AD130,AD124,AT127:AT130)</f>
        <v>0</v>
      </c>
      <c r="AU124" s="1460">
        <f>SUMIF(AD127:AD130,AD124,AU127:AU130)</f>
        <v>0</v>
      </c>
      <c r="AV124" s="1460">
        <f>SUMIF(AD127:AD130,AD124,AV127:AV130)</f>
        <v>0</v>
      </c>
      <c r="AW124" s="1460">
        <f>SUMIF(AD127:AD130,AD124,AW127:AW130)</f>
        <v>0</v>
      </c>
      <c r="AX124" s="3626">
        <f>SUMIF(AD127:AD130,AD124,AX127:AX130)</f>
        <v>0</v>
      </c>
      <c r="AY124" s="3626">
        <f>SUMIF(AD127:AD130,AD124,AY127:AY130)</f>
        <v>0</v>
      </c>
      <c r="AZ124" s="3626">
        <f>SUMIF(AD127:AD130,AD124,AZ127:AZ130)</f>
        <v>0</v>
      </c>
      <c r="BA124" s="3626">
        <f>SUMIF(AD127:AD130,AD124,BA127:BA130)</f>
        <v>0</v>
      </c>
      <c r="BB124" s="3626">
        <f>SUMIF(AD127:AD130,AD124,BB127:BB130)</f>
        <v>0</v>
      </c>
      <c r="BC124" s="200"/>
      <c r="BD124" s="885"/>
      <c r="BE124" s="885"/>
      <c r="BF124" s="1041" t="s">
        <v>1813</v>
      </c>
      <c r="BG124" s="1041"/>
      <c r="BH124" s="1041"/>
      <c r="BI124" s="678"/>
      <c r="BJ124" s="678"/>
    </row>
    <row s="1834" customFormat="1" customHeight="1" ht="0" hidden="1">
      <c r="A125" s="885"/>
      <c r="B125" s="440"/>
      <c r="C125" s="885"/>
      <c r="D125" s="885"/>
      <c r="E125" s="678">
        <v>0</v>
      </c>
      <c r="F125" s="50" cm="1" t="str">
        <f t="array" ref="F125:F125">OFFSET(E125,-1,1)</f>
        <v>1</v>
      </c>
      <c r="G125" s="152" t="s">
        <v>335</v>
      </c>
      <c r="H125" s="885"/>
      <c r="I125" s="885"/>
      <c r="J125" s="885"/>
      <c r="K125" s="911"/>
      <c r="L125" s="915"/>
      <c r="M125" s="885"/>
      <c r="N125" s="885"/>
      <c r="O125" s="885"/>
      <c r="P125" s="885"/>
      <c r="Q125" s="885"/>
      <c r="R125" s="885"/>
      <c r="S125" s="885"/>
      <c r="T125" s="465" t="b">
        <v>0</v>
      </c>
      <c r="U125" s="885"/>
      <c r="V125" s="885"/>
      <c r="W125" s="152" t="s">
        <v>174</v>
      </c>
      <c r="X125" s="1524"/>
      <c r="Y125" s="1524">
        <v>0</v>
      </c>
      <c r="Z125" s="1615"/>
      <c r="AA125" s="1617" t="s">
        <v>175</v>
      </c>
      <c r="AB125" s="211"/>
      <c r="AC125" s="212"/>
      <c r="AD125" s="211"/>
      <c r="AE125" s="1368">
        <f>OR(AND(AE127&lt;&gt;"",AE128=""),AND(AE127="",AE128&lt;&gt;""))</f>
        <v>0</v>
      </c>
      <c r="AF125" s="1368">
        <f>OR(AND(AF127&lt;&gt;"",AF128=""),AND(AF127="",AF128&lt;&gt;""))</f>
        <v>0</v>
      </c>
      <c r="AG125" s="1368">
        <f>OR(AND(AG127&lt;&gt;"",AG128=""),AND(AG127="",AG128&lt;&gt;""))</f>
        <v>0</v>
      </c>
      <c r="AH125" s="1368">
        <f>OR(AND(AH127&lt;&gt;"",AH128=""),AND(AH127="",AH128&lt;&gt;""))</f>
        <v>0</v>
      </c>
      <c r="AI125" s="1368">
        <f>OR(AND(AI127&lt;&gt;"",AI128=""),AND(AI127="",AI128&lt;&gt;""))</f>
        <v>0</v>
      </c>
      <c r="AJ125" s="1368">
        <f>OR(AND(AJ127&lt;&gt;"",AJ128=""),AND(AJ127="",AJ128&lt;&gt;""))</f>
        <v>0</v>
      </c>
      <c r="AK125" s="1368">
        <f>OR(AND(AK127&lt;&gt;"",AK128=""),AND(AK127="",AK128&lt;&gt;""))</f>
        <v>0</v>
      </c>
      <c r="AL125" s="1368">
        <f>OR(AND(AL127&lt;&gt;"",AL128=""),AND(AL127="",AL128&lt;&gt;""))</f>
        <v>0</v>
      </c>
      <c r="AM125" s="1368">
        <f>OR(AND(AM127&lt;&gt;"",AM128=""),AND(AM127="",AM128&lt;&gt;""))</f>
        <v>0</v>
      </c>
      <c r="AN125" s="1368">
        <f>OR(AND(AN127&lt;&gt;"",AN128=""),AND(AN127="",AN128&lt;&gt;""))</f>
        <v>0</v>
      </c>
      <c r="AO125" s="1368">
        <f>OR(AND(AO127&lt;&gt;"",AO128=""),AND(AO127="",AO128&lt;&gt;""))</f>
        <v>0</v>
      </c>
      <c r="AP125" s="1368">
        <f>OR(AND(AP127&lt;&gt;"",AP128=""),AND(AP127="",AP128&lt;&gt;""))</f>
        <v>0</v>
      </c>
      <c r="AQ125" s="1368">
        <f>OR(AND(AQ127&lt;&gt;"",AQ128=""),AND(AQ127="",AQ128&lt;&gt;""))</f>
        <v>0</v>
      </c>
      <c r="AR125" s="1368">
        <f>OR(AND(AR127&lt;&gt;"",AR128=""),AND(AR127="",AR128&lt;&gt;""))</f>
        <v>0</v>
      </c>
      <c r="AS125" s="1368">
        <f>OR(AND(AS127&lt;&gt;"",AS128=""),AND(AS127="",AS128&lt;&gt;""))</f>
        <v>0</v>
      </c>
      <c r="AT125" s="1368">
        <f>OR(AND(AT127&lt;&gt;"",AT128=""),AND(AT127="",AT128&lt;&gt;""))</f>
        <v>0</v>
      </c>
      <c r="AU125" s="1368">
        <f>OR(AND(AU127&lt;&gt;"",AU128=""),AND(AU127="",AU128&lt;&gt;""))</f>
        <v>0</v>
      </c>
      <c r="AV125" s="1368">
        <f>OR(AND(AV127&lt;&gt;"",AV128=""),AND(AV127="",AV128&lt;&gt;""))</f>
        <v>0</v>
      </c>
      <c r="AW125" s="1368">
        <f>OR(AND(AW127&lt;&gt;"",AW128=""),AND(AW127="",AW128&lt;&gt;""))</f>
        <v>0</v>
      </c>
      <c r="AX125" s="1368">
        <f>OR(AND(AX127&lt;&gt;"",AX128=""),AND(AX127="",AX128&lt;&gt;""))</f>
        <v>0</v>
      </c>
      <c r="AY125" s="1368">
        <f>OR(AND(AY127&lt;&gt;"",AY128=""),AND(AY127="",AY128&lt;&gt;""))</f>
        <v>0</v>
      </c>
      <c r="AZ125" s="1368">
        <f>OR(AND(AZ127&lt;&gt;"",AZ128=""),AND(AZ127="",AZ128&lt;&gt;""))</f>
        <v>0</v>
      </c>
      <c r="BA125" s="1368">
        <f>OR(AND(BA127&lt;&gt;"",BA128=""),AND(BA127="",BA128&lt;&gt;""))</f>
        <v>0</v>
      </c>
      <c r="BB125" s="1368">
        <f>OR(AND(BB127&lt;&gt;"",BB128=""),AND(BB127="",BB128&lt;&gt;""))</f>
        <v>0</v>
      </c>
      <c r="BC125" s="974"/>
      <c r="BD125" s="885"/>
      <c r="BE125" s="885"/>
      <c r="BF125" s="1041"/>
      <c r="BG125" s="1041"/>
      <c r="BH125" s="1041"/>
      <c r="BI125" s="678"/>
      <c r="BJ125" s="678"/>
    </row>
    <row s="1834" customFormat="1" customHeight="1" ht="0" hidden="1">
      <c r="A126" s="885"/>
      <c r="B126" s="440"/>
      <c r="C126" s="885"/>
      <c r="D126" s="885"/>
      <c r="E126" s="678">
        <v>15</v>
      </c>
      <c r="F126" s="1387" cm="1" t="str">
        <f t="array" ref="F126:F126">OFFSET(E126,-1,1)</f>
        <v>1</v>
      </c>
      <c r="G126" s="885"/>
      <c r="H126" s="885"/>
      <c r="I126" s="885"/>
      <c r="J126" s="885"/>
      <c r="K126" s="911"/>
      <c r="L126" s="915"/>
      <c r="M126" s="885"/>
      <c r="N126" s="885"/>
      <c r="O126" s="885"/>
      <c r="P126" s="885"/>
      <c r="Q126" s="885"/>
      <c r="R126" s="885"/>
      <c r="S126" s="885"/>
      <c r="T126" s="1356">
        <f>AND(Y125&gt;0,F126&gt;0)</f>
        <v>0</v>
      </c>
      <c r="U126" s="885"/>
      <c r="V126" s="885"/>
      <c r="W126" s="885"/>
      <c r="X126" s="684"/>
      <c r="Y126" s="1524"/>
      <c r="Z126" s="885"/>
      <c r="AA126" s="1697"/>
      <c r="AB126" s="1698" t="str">
        <f>"5."&amp;Y125</f>
        <v>5.0</v>
      </c>
      <c r="AC126" s="1699" t="s">
        <v>227</v>
      </c>
      <c r="AD126" s="1700"/>
      <c r="AE126" s="3635"/>
      <c r="AF126" s="1702"/>
      <c r="AG126" s="3635"/>
      <c r="AH126" s="3635"/>
      <c r="AI126" s="3635"/>
      <c r="AJ126" s="3635"/>
      <c r="AK126" s="3635"/>
      <c r="AL126" s="3635"/>
      <c r="AM126" s="3635"/>
      <c r="AN126" s="3635"/>
      <c r="AO126" s="3635"/>
      <c r="AP126" s="3635"/>
      <c r="AQ126" s="3635"/>
      <c r="AR126" s="3635"/>
      <c r="AS126" s="1702"/>
      <c r="AT126" s="1702"/>
      <c r="AU126" s="1702"/>
      <c r="AV126" s="1702"/>
      <c r="AW126" s="1702"/>
      <c r="AX126" s="1702"/>
      <c r="AY126" s="1702"/>
      <c r="AZ126" s="1702"/>
      <c r="BA126" s="1702"/>
      <c r="BB126" s="1703"/>
      <c r="BC126" s="1704"/>
      <c r="BD126" s="885"/>
      <c r="BE126" s="885"/>
      <c r="BF126" s="1041"/>
      <c r="BG126" s="1041"/>
      <c r="BH126" s="1041"/>
      <c r="BI126" s="678"/>
      <c r="BJ126" s="678"/>
    </row>
    <row s="1834" customFormat="1" customHeight="1" ht="0" hidden="1">
      <c r="A127" s="885"/>
      <c r="B127" s="440"/>
      <c r="C127" s="885"/>
      <c r="D127" s="885"/>
      <c r="E127" s="678">
        <v>15</v>
      </c>
      <c r="F127" s="50" cm="1" t="str">
        <f t="array" ref="F127:F127">OFFSET(E127,-1,1)</f>
        <v>1</v>
      </c>
      <c r="G127" s="152" t="s">
        <v>335</v>
      </c>
      <c r="H127" s="155" cm="1" t="str">
        <f t="array" ref="H127:H127">AC127</f>
        <v>Затраты</v>
      </c>
      <c r="I127" s="152" t="s">
        <v>1814</v>
      </c>
      <c r="J127" s="885"/>
      <c r="K127" s="911"/>
      <c r="L127" s="885"/>
      <c r="M127" s="885"/>
      <c r="N127" s="885"/>
      <c r="O127" s="885"/>
      <c r="P127" s="885"/>
      <c r="Q127" s="885"/>
      <c r="R127" s="885"/>
      <c r="S127" s="885"/>
      <c r="T127" s="465" cm="1" t="str">
        <f t="array" ref="T127:T127">T126</f>
        <v>false</v>
      </c>
      <c r="U127" s="885"/>
      <c r="V127" s="885"/>
      <c r="W127" s="885"/>
      <c r="X127" s="1524"/>
      <c r="Y127" s="1524"/>
      <c r="Z127" s="1615"/>
      <c r="AA127" s="1617"/>
      <c r="AB127" s="88" t="str">
        <f>AB126&amp;".1"</f>
        <v>5.0.1</v>
      </c>
      <c r="AC127" s="1705" t="s">
        <v>1783</v>
      </c>
      <c r="AD127" s="211" t="s">
        <v>1514</v>
      </c>
      <c r="AE127" s="3536"/>
      <c r="AF127" s="3536"/>
      <c r="AG127" s="3536"/>
      <c r="AH127" s="3536"/>
      <c r="AI127" s="3536"/>
      <c r="AJ127" s="3536"/>
      <c r="AK127" s="3536"/>
      <c r="AL127" s="3536"/>
      <c r="AM127" s="3536"/>
      <c r="AN127" s="3536"/>
      <c r="AO127" s="3536"/>
      <c r="AP127" s="3536"/>
      <c r="AQ127" s="3536"/>
      <c r="AR127" s="3536"/>
      <c r="AS127" s="3536"/>
      <c r="AT127" s="3536"/>
      <c r="AU127" s="3536"/>
      <c r="AV127" s="3536"/>
      <c r="AW127" s="3536"/>
      <c r="AX127" s="3536"/>
      <c r="AY127" s="3536"/>
      <c r="AZ127" s="3536"/>
      <c r="BA127" s="3536"/>
      <c r="BB127" s="3536"/>
      <c r="BC127" s="2070"/>
      <c r="BD127" s="885"/>
      <c r="BE127" s="885"/>
      <c r="BF127" s="1041" t="s">
        <v>1784</v>
      </c>
      <c r="BG127" s="1041" t="s">
        <v>1815</v>
      </c>
      <c r="BH127" s="1041" cm="1" t="str">
        <f t="array" ref="BH127:BH127">AC126</f>
        <v/>
      </c>
      <c r="BI127" s="678"/>
      <c r="BJ127" s="678" t="b">
        <v>1</v>
      </c>
    </row>
    <row s="1834" customFormat="1" customHeight="1" ht="0" hidden="1">
      <c r="A128" s="885"/>
      <c r="B128" s="440"/>
      <c r="C128" s="885"/>
      <c r="D128" s="885"/>
      <c r="E128" s="678">
        <v>15</v>
      </c>
      <c r="F128" s="50" cm="1" t="str">
        <f t="array" ref="F128:F128">OFFSET(E128,-1,1)</f>
        <v>1</v>
      </c>
      <c r="G128" s="152" t="s">
        <v>1263</v>
      </c>
      <c r="H128" s="155" cm="1" t="str">
        <f t="array" ref="H128:H128">H127</f>
        <v>Затраты</v>
      </c>
      <c r="I128" s="152" t="s">
        <v>1814</v>
      </c>
      <c r="J128" s="885"/>
      <c r="K128" s="911"/>
      <c r="L128" s="885"/>
      <c r="M128" s="885"/>
      <c r="N128" s="885"/>
      <c r="O128" s="885"/>
      <c r="P128" s="885"/>
      <c r="Q128" s="885"/>
      <c r="R128" s="885"/>
      <c r="S128" s="885"/>
      <c r="T128" s="465" cm="1" t="str">
        <f t="array" ref="T128:T128">T127</f>
        <v>false</v>
      </c>
      <c r="U128" s="885"/>
      <c r="V128" s="885"/>
      <c r="W128" s="885"/>
      <c r="X128" s="1524"/>
      <c r="Y128" s="1524"/>
      <c r="Z128" s="1615"/>
      <c r="AA128" s="1617"/>
      <c r="AB128" s="88" t="str">
        <f>AB127&amp;".1"</f>
        <v>5.0.1.1</v>
      </c>
      <c r="AC128" s="221" t="s">
        <v>1816</v>
      </c>
      <c r="AD128" s="88" t="s">
        <v>1247</v>
      </c>
      <c r="AE128" s="3536"/>
      <c r="AF128" s="3536"/>
      <c r="AG128" s="3536"/>
      <c r="AH128" s="3536"/>
      <c r="AI128" s="3536"/>
      <c r="AJ128" s="3536"/>
      <c r="AK128" s="3536"/>
      <c r="AL128" s="3536"/>
      <c r="AM128" s="3536"/>
      <c r="AN128" s="3536"/>
      <c r="AO128" s="3536"/>
      <c r="AP128" s="3536"/>
      <c r="AQ128" s="3536"/>
      <c r="AR128" s="3536"/>
      <c r="AS128" s="3536"/>
      <c r="AT128" s="3536"/>
      <c r="AU128" s="3536"/>
      <c r="AV128" s="3536"/>
      <c r="AW128" s="3536"/>
      <c r="AX128" s="3536"/>
      <c r="AY128" s="3536"/>
      <c r="AZ128" s="3536"/>
      <c r="BA128" s="3536"/>
      <c r="BB128" s="3536"/>
      <c r="BC128" s="2070"/>
      <c r="BD128" s="885"/>
      <c r="BE128" s="885"/>
      <c r="BF128" s="1041" t="s">
        <v>1787</v>
      </c>
      <c r="BG128" s="1041" t="s">
        <v>1815</v>
      </c>
      <c r="BH128" s="1041" cm="1" t="str">
        <f t="array" ref="BH128:BH128">BH127</f>
        <v/>
      </c>
      <c r="BI128" s="678"/>
      <c r="BJ128" s="678"/>
    </row>
    <row s="1834" customFormat="1" customHeight="1" ht="0" hidden="1">
      <c r="A129" s="885"/>
      <c r="B129" s="440"/>
      <c r="C129" s="885"/>
      <c r="D129" s="885"/>
      <c r="E129" s="678">
        <v>15</v>
      </c>
      <c r="F129" s="1387" cm="1" t="str">
        <f t="array" ref="F129:F129">OFFSET(E129,-1,1)</f>
        <v>1</v>
      </c>
      <c r="G129" s="885"/>
      <c r="H129" s="155"/>
      <c r="I129" s="885"/>
      <c r="J129" s="885"/>
      <c r="K129" s="911"/>
      <c r="L129" s="885"/>
      <c r="M129" s="885"/>
      <c r="N129" s="885"/>
      <c r="O129" s="885"/>
      <c r="P129" s="885"/>
      <c r="Q129" s="885"/>
      <c r="R129" s="885"/>
      <c r="S129" s="885"/>
      <c r="T129" s="1356" cm="1" t="str">
        <f t="array" ref="T129:T129">T128</f>
        <v>false</v>
      </c>
      <c r="U129" s="885"/>
      <c r="V129" s="885"/>
      <c r="W129" s="885"/>
      <c r="X129" s="684"/>
      <c r="Y129" s="1524"/>
      <c r="Z129" s="885"/>
      <c r="AA129" s="1697"/>
      <c r="AB129" s="1706" t="str">
        <f>AB127&amp;".2"</f>
        <v>5.0.1.2</v>
      </c>
      <c r="AC129" s="1707" t="s">
        <v>1817</v>
      </c>
      <c r="AD129" s="1706" t="s">
        <v>1789</v>
      </c>
      <c r="AE129" s="3644"/>
      <c r="AF129" s="3644"/>
      <c r="AG129" s="3644"/>
      <c r="AH129" s="3644"/>
      <c r="AI129" s="3644"/>
      <c r="AJ129" s="3644"/>
      <c r="AK129" s="3644"/>
      <c r="AL129" s="3644"/>
      <c r="AM129" s="3644"/>
      <c r="AN129" s="3644"/>
      <c r="AO129" s="3644"/>
      <c r="AP129" s="3644"/>
      <c r="AQ129" s="3644"/>
      <c r="AR129" s="3644"/>
      <c r="AS129" s="3644"/>
      <c r="AT129" s="3644"/>
      <c r="AU129" s="3644"/>
      <c r="AV129" s="3644"/>
      <c r="AW129" s="3644"/>
      <c r="AX129" s="3644"/>
      <c r="AY129" s="3644"/>
      <c r="AZ129" s="3644"/>
      <c r="BA129" s="3644"/>
      <c r="BB129" s="3644"/>
      <c r="BC129" s="3645"/>
      <c r="BD129" s="885"/>
      <c r="BE129" s="885"/>
      <c r="BF129" s="1041" t="s">
        <v>1790</v>
      </c>
      <c r="BG129" s="1041" t="s">
        <v>1815</v>
      </c>
      <c r="BH129" s="1710" cm="1" t="str">
        <f t="array" ref="BH129:BH129">BH128</f>
        <v/>
      </c>
      <c r="BI129" s="678"/>
      <c r="BJ129" s="678"/>
    </row>
    <row s="1834" customFormat="1" customHeight="1" ht="0">
      <c r="A130" s="885"/>
      <c r="B130" s="440"/>
      <c r="C130" s="885"/>
      <c r="D130" s="885"/>
      <c r="E130" s="678">
        <v>15</v>
      </c>
      <c r="F130" s="50" cm="1" t="str">
        <f t="array" ref="F130:F130">OFFSET(E130,-1,1)</f>
        <v>1</v>
      </c>
      <c r="G130" s="885"/>
      <c r="H130" s="152" t="str">
        <f>"!=='не определено' &amp;&amp; row.l5 !== null"</f>
        <v>!=='не определено' &amp;&amp; row.l5 !== null</v>
      </c>
      <c r="I130" s="885"/>
      <c r="J130" s="885"/>
      <c r="K130" s="911"/>
      <c r="L130" s="885"/>
      <c r="M130" s="885"/>
      <c r="N130" s="885"/>
      <c r="O130" s="885"/>
      <c r="P130" s="885"/>
      <c r="Q130" s="885"/>
      <c r="R130" s="885"/>
      <c r="S130" s="885"/>
      <c r="T130" s="465">
        <f>F130&gt;0</f>
        <v>1</v>
      </c>
      <c r="U130" s="885"/>
      <c r="V130" s="885"/>
      <c r="W130" s="685" t="s">
        <v>1818</v>
      </c>
      <c r="X130" s="1524"/>
      <c r="Y130" s="169"/>
      <c r="Z130" s="1615"/>
      <c r="AA130" s="885"/>
      <c r="AB130" s="681"/>
      <c r="AC130" s="232" t="s">
        <v>1792</v>
      </c>
      <c r="AD130" s="232"/>
      <c r="AE130" s="232"/>
      <c r="AF130" s="232"/>
      <c r="AG130" s="232"/>
      <c r="AH130" s="232"/>
      <c r="AI130" s="232"/>
      <c r="AJ130" s="232"/>
      <c r="AK130" s="232"/>
      <c r="AL130" s="232"/>
      <c r="AM130" s="232"/>
      <c r="AN130" s="232"/>
      <c r="AO130" s="232"/>
      <c r="AP130" s="232"/>
      <c r="AQ130" s="232"/>
      <c r="AR130" s="232"/>
      <c r="AS130" s="232"/>
      <c r="AT130" s="232"/>
      <c r="AU130" s="232"/>
      <c r="AV130" s="232"/>
      <c r="AW130" s="232"/>
      <c r="AX130" s="232"/>
      <c r="AY130" s="232"/>
      <c r="AZ130" s="232"/>
      <c r="BA130" s="232"/>
      <c r="BB130" s="232"/>
      <c r="BC130" s="233"/>
      <c r="BD130" s="885"/>
      <c r="BE130" s="885"/>
      <c r="BF130" s="1041"/>
      <c r="BG130" s="1041"/>
      <c r="BH130" s="1041"/>
      <c r="BI130" s="678" t="s">
        <v>1815</v>
      </c>
      <c r="BJ130" s="678"/>
    </row>
    <row s="153" customFormat="1" customHeight="1" ht="0">
      <c r="A131" s="153"/>
      <c r="B131" s="441"/>
      <c r="C131" s="153"/>
      <c r="D131" s="153"/>
      <c r="E131" s="679">
        <v>15</v>
      </c>
      <c r="F131" s="50" cm="1" t="str">
        <f t="array" ref="F131:F131">OFFSET(E131,-1,1)</f>
        <v>1</v>
      </c>
      <c r="G131" s="152" t="s">
        <v>1225</v>
      </c>
      <c r="H131" s="153"/>
      <c r="I131" s="153"/>
      <c r="J131" s="153"/>
      <c r="K131" s="911" t="str">
        <f>F96&amp;"6komm"</f>
        <v>16komm</v>
      </c>
      <c r="L131" s="915" cm="1" t="str">
        <f t="array" ref="L131:L131">BC131</f>
        <v>0</v>
      </c>
      <c r="M131" s="153"/>
      <c r="N131" s="153"/>
      <c r="O131" s="153"/>
      <c r="P131" s="153"/>
      <c r="Q131" s="153"/>
      <c r="R131" s="153"/>
      <c r="S131" s="153"/>
      <c r="T131" s="465" cm="1" t="str">
        <f t="array" ref="T131:T131">T130</f>
        <v>true</v>
      </c>
      <c r="U131" s="153"/>
      <c r="V131" s="153"/>
      <c r="W131" s="153"/>
      <c r="X131" s="1524"/>
      <c r="Y131" s="153"/>
      <c r="Z131" s="1615"/>
      <c r="AA131" s="153"/>
      <c r="AB131" s="211">
        <v>6</v>
      </c>
      <c r="AC131" s="212" t="s">
        <v>1819</v>
      </c>
      <c r="AD131" s="211" t="s">
        <v>1514</v>
      </c>
      <c r="AE131" s="3657">
        <f>SUMIF($AC134:$AC141,"Затраты на тепловую энергию, всего",AE134:AE141)</f>
        <v>0</v>
      </c>
      <c r="AF131" s="3657">
        <f>SUMIF($AC134:$AC141,"Затраты на тепловую энергию, всего",AF134:AF141)</f>
        <v>0</v>
      </c>
      <c r="AG131" s="3657">
        <f>SUMIF($AC134:$AC141,"Затраты на тепловую энергию, всего",AG134:AG141)</f>
        <v>0</v>
      </c>
      <c r="AH131" s="3657">
        <f>SUMIF($AC134:$AC141,"Затраты на тепловую энергию, всего",AH134:AH141)</f>
        <v>0</v>
      </c>
      <c r="AI131" s="3657">
        <f>SUMIF($AC134:$AC141,"Затраты на тепловую энергию, всего",AI134:AI141)</f>
        <v>0</v>
      </c>
      <c r="AJ131" s="225">
        <f>SUMIF($AC134:$AC141,"Затраты на тепловую энергию, всего",AJ134:AJ141)</f>
        <v>0</v>
      </c>
      <c r="AK131" s="225">
        <f>SUMIF($AC134:$AC141,"Затраты на тепловую энергию, всего",AK134:AK141)</f>
        <v>0</v>
      </c>
      <c r="AL131" s="225">
        <f>SUMIF($AC134:$AC141,"Затраты на тепловую энергию, всего",AL134:AL141)</f>
        <v>0</v>
      </c>
      <c r="AM131" s="225">
        <f>SUMIF($AC134:$AC141,"Затраты на тепловую энергию, всего",AM134:AM141)</f>
        <v>0</v>
      </c>
      <c r="AN131" s="3658">
        <f>SUMIF($AC134:$AC141,"Затраты на тепловую энергию, всего",AN134:AN141)</f>
        <v>0</v>
      </c>
      <c r="AO131" s="3658">
        <f>SUMIF($AC134:$AC141,"Затраты на тепловую энергию, всего",AO134:AO141)</f>
        <v>0</v>
      </c>
      <c r="AP131" s="3658">
        <f>SUMIF($AC134:$AC141,"Затраты на тепловую энергию, всего",AP134:AP141)</f>
        <v>0</v>
      </c>
      <c r="AQ131" s="3658">
        <f>SUMIF($AC134:$AC141,"Затраты на тепловую энергию, всего",AQ134:AQ141)</f>
        <v>0</v>
      </c>
      <c r="AR131" s="3658">
        <f>SUMIF($AC134:$AC141,"Затраты на тепловую энергию, всего",AR134:AR141)</f>
        <v>0</v>
      </c>
      <c r="AS131" s="3657">
        <f>SUMIF($AC134:$AC141,"Затраты на тепловую энергию, всего",AS134:AS141)</f>
        <v>0</v>
      </c>
      <c r="AT131" s="225">
        <f>SUMIF($AC134:$AC141,"Затраты на тепловую энергию, всего",AT134:AT141)</f>
        <v>0</v>
      </c>
      <c r="AU131" s="225">
        <f>SUMIF($AC134:$AC141,"Затраты на тепловую энергию, всего",AU134:AU141)</f>
        <v>0</v>
      </c>
      <c r="AV131" s="225">
        <f>SUMIF($AC134:$AC141,"Затраты на тепловую энергию, всего",AV134:AV141)</f>
        <v>0</v>
      </c>
      <c r="AW131" s="225">
        <f>SUMIF($AC134:$AC141,"Затраты на тепловую энергию, всего",AW134:AW141)</f>
        <v>0</v>
      </c>
      <c r="AX131" s="3658">
        <f>SUMIF($AC134:$AC141,"Затраты на тепловую энергию, всего",AX134:AX141)</f>
        <v>0</v>
      </c>
      <c r="AY131" s="3658">
        <f>SUMIF($AC134:$AC141,"Затраты на тепловую энергию, всего",AY134:AY141)</f>
        <v>0</v>
      </c>
      <c r="AZ131" s="3658">
        <f>SUMIF($AC134:$AC141,"Затраты на тепловую энергию, всего",AZ134:AZ141)</f>
        <v>0</v>
      </c>
      <c r="BA131" s="3658">
        <f>SUMIF($AC134:$AC141,"Затраты на тепловую энергию, всего",BA134:BA141)</f>
        <v>0</v>
      </c>
      <c r="BB131" s="3658">
        <f>SUMIF($AC134:$AC141,"Затраты на тепловую энергию, всего",BB134:BB141)</f>
        <v>0</v>
      </c>
      <c r="BC131" s="200"/>
      <c r="BD131" s="153"/>
      <c r="BE131" s="153"/>
      <c r="BF131" s="1044" t="s">
        <v>1820</v>
      </c>
      <c r="BG131" s="1044"/>
      <c r="BH131" s="1044"/>
      <c r="BI131" s="679"/>
      <c r="BJ131" s="679"/>
    </row>
    <row s="1834" customFormat="1" customHeight="1" ht="0" hidden="1">
      <c r="A132" s="885"/>
      <c r="B132" s="441"/>
      <c r="C132" s="885"/>
      <c r="D132" s="885"/>
      <c r="E132" s="678">
        <v>15</v>
      </c>
      <c r="F132" s="1387" cm="1" t="str">
        <f t="array" ref="F132:F132">OFFSET(E132,-1,1)</f>
        <v>1</v>
      </c>
      <c r="G132" s="885"/>
      <c r="H132" s="885"/>
      <c r="I132" s="885"/>
      <c r="J132" s="885"/>
      <c r="K132" s="911"/>
      <c r="L132" s="915"/>
      <c r="M132" s="885"/>
      <c r="N132" s="885"/>
      <c r="O132" s="885"/>
      <c r="P132" s="885"/>
      <c r="Q132" s="885"/>
      <c r="R132" s="885"/>
      <c r="S132" s="885"/>
      <c r="T132" s="1356" t="b">
        <v>0</v>
      </c>
      <c r="U132" s="885"/>
      <c r="V132" s="885"/>
      <c r="W132" s="885" t="s">
        <v>174</v>
      </c>
      <c r="X132" s="684"/>
      <c r="Y132" s="1524">
        <v>0</v>
      </c>
      <c r="Z132" s="885"/>
      <c r="AA132" s="1714" t="s">
        <v>175</v>
      </c>
      <c r="AB132" s="1700"/>
      <c r="AC132" s="1522"/>
      <c r="AD132" s="1715"/>
      <c r="AE132" s="1716">
        <f>OR(AND(AE135&lt;&gt;"",AE136=""),AND(AE135="",AE136&lt;&gt;""))</f>
        <v>0</v>
      </c>
      <c r="AF132" s="1716">
        <f>OR(AND(AF135&lt;&gt;"",AF136=""),AND(AF135="",AF136&lt;&gt;""))</f>
        <v>0</v>
      </c>
      <c r="AG132" s="1716">
        <f>OR(AND(AG135&lt;&gt;"",AG136=""),AND(AG135="",AG136&lt;&gt;""))</f>
        <v>0</v>
      </c>
      <c r="AH132" s="1716">
        <f>OR(AND(AH135&lt;&gt;"",AH136=""),AND(AH135="",AH136&lt;&gt;""))</f>
        <v>0</v>
      </c>
      <c r="AI132" s="1716">
        <f>OR(AND(AI135&lt;&gt;"",AI136=""),AND(AI135="",AI136&lt;&gt;""))</f>
        <v>0</v>
      </c>
      <c r="AJ132" s="1716">
        <f>OR(AND(AJ135&lt;&gt;"",AJ136=""),AND(AJ135="",AJ136&lt;&gt;""))</f>
        <v>0</v>
      </c>
      <c r="AK132" s="1716">
        <f>OR(AND(AK135&lt;&gt;"",AK136=""),AND(AK135="",AK136&lt;&gt;""))</f>
        <v>0</v>
      </c>
      <c r="AL132" s="1716">
        <f>OR(AND(AL135&lt;&gt;"",AL136=""),AND(AL135="",AL136&lt;&gt;""))</f>
        <v>0</v>
      </c>
      <c r="AM132" s="1716">
        <f>OR(AND(AM135&lt;&gt;"",AM136=""),AND(AM135="",AM136&lt;&gt;""))</f>
        <v>0</v>
      </c>
      <c r="AN132" s="1716">
        <f>OR(AND(AN135&lt;&gt;"",AN136=""),AND(AN135="",AN136&lt;&gt;""))</f>
        <v>0</v>
      </c>
      <c r="AO132" s="1716">
        <f>OR(AND(AO135&lt;&gt;"",AO136=""),AND(AO135="",AO136&lt;&gt;""))</f>
        <v>0</v>
      </c>
      <c r="AP132" s="1716">
        <f>OR(AND(AP135&lt;&gt;"",AP136=""),AND(AP135="",AP136&lt;&gt;""))</f>
        <v>0</v>
      </c>
      <c r="AQ132" s="1716">
        <f>OR(AND(AQ135&lt;&gt;"",AQ136=""),AND(AQ135="",AQ136&lt;&gt;""))</f>
        <v>0</v>
      </c>
      <c r="AR132" s="1716">
        <f>OR(AND(AR135&lt;&gt;"",AR136=""),AND(AR135="",AR136&lt;&gt;""))</f>
        <v>0</v>
      </c>
      <c r="AS132" s="1716">
        <f>OR(AND(AS135&lt;&gt;"",AS136=""),AND(AS135="",AS136&lt;&gt;""))</f>
        <v>0</v>
      </c>
      <c r="AT132" s="1716">
        <f>OR(AND(AT135&lt;&gt;"",AT136=""),AND(AT135="",AT136&lt;&gt;""))</f>
        <v>0</v>
      </c>
      <c r="AU132" s="1716">
        <f>OR(AND(AU135&lt;&gt;"",AU136=""),AND(AU135="",AU136&lt;&gt;""))</f>
        <v>0</v>
      </c>
      <c r="AV132" s="1716">
        <f>OR(AND(AV135&lt;&gt;"",AV136=""),AND(AV135="",AV136&lt;&gt;""))</f>
        <v>0</v>
      </c>
      <c r="AW132" s="1716">
        <f>OR(AND(AW135&lt;&gt;"",AW136=""),AND(AW135="",AW136&lt;&gt;""))</f>
        <v>0</v>
      </c>
      <c r="AX132" s="1716">
        <f>OR(AND(AX135&lt;&gt;"",AX136=""),AND(AX135="",AX136&lt;&gt;""))</f>
        <v>0</v>
      </c>
      <c r="AY132" s="1716">
        <f>OR(AND(AY135&lt;&gt;"",AY136=""),AND(AY135="",AY136&lt;&gt;""))</f>
        <v>0</v>
      </c>
      <c r="AZ132" s="1716">
        <f>OR(AND(AZ135&lt;&gt;"",AZ136=""),AND(AZ135="",AZ136&lt;&gt;""))</f>
        <v>0</v>
      </c>
      <c r="BA132" s="1716">
        <f>OR(AND(BA135&lt;&gt;"",BA136=""),AND(BA135="",BA136&lt;&gt;""))</f>
        <v>0</v>
      </c>
      <c r="BB132" s="1716">
        <f>OR(AND(BB135&lt;&gt;"",BB136=""),AND(BB135="",BB136&lt;&gt;""))</f>
        <v>0</v>
      </c>
      <c r="BC132" s="1716"/>
      <c r="BD132" s="885"/>
      <c r="BE132" s="885"/>
      <c r="BF132" s="1044"/>
      <c r="BG132" s="1044"/>
      <c r="BH132" s="1044"/>
      <c r="BI132" s="679"/>
      <c r="BJ132" s="679"/>
    </row>
    <row s="1834" customFormat="1" customHeight="1" ht="0" hidden="1">
      <c r="A133" s="885"/>
      <c r="B133" s="441"/>
      <c r="C133" s="885"/>
      <c r="D133" s="885"/>
      <c r="E133" s="678">
        <v>15</v>
      </c>
      <c r="F133" s="1387" cm="1" t="str">
        <f t="array" ref="F133:F133">OFFSET(E133,-1,1)</f>
        <v>1</v>
      </c>
      <c r="G133" s="885"/>
      <c r="H133" s="885"/>
      <c r="I133" s="885"/>
      <c r="J133" s="885"/>
      <c r="K133" s="911"/>
      <c r="L133" s="915"/>
      <c r="M133" s="885"/>
      <c r="N133" s="885"/>
      <c r="O133" s="885"/>
      <c r="P133" s="885"/>
      <c r="Q133" s="885"/>
      <c r="R133" s="885"/>
      <c r="S133" s="885"/>
      <c r="T133" s="1356">
        <f>AND(F133&gt;0,Y132&gt;0)</f>
        <v>0</v>
      </c>
      <c r="U133" s="885"/>
      <c r="V133" s="885"/>
      <c r="W133" s="885"/>
      <c r="X133" s="684"/>
      <c r="Y133" s="1524"/>
      <c r="Z133" s="885"/>
      <c r="AA133" s="1714"/>
      <c r="AB133" s="1698" t="str">
        <f>"6."&amp;Y132</f>
        <v>6.0</v>
      </c>
      <c r="AC133" s="1717"/>
      <c r="AD133" s="1715"/>
      <c r="AE133" s="1702"/>
      <c r="AF133" s="1702"/>
      <c r="AG133" s="1702"/>
      <c r="AH133" s="1702"/>
      <c r="AI133" s="1702"/>
      <c r="AJ133" s="1702"/>
      <c r="AK133" s="1702"/>
      <c r="AL133" s="1702"/>
      <c r="AM133" s="1702"/>
      <c r="AN133" s="1702"/>
      <c r="AO133" s="1702"/>
      <c r="AP133" s="1702"/>
      <c r="AQ133" s="1702"/>
      <c r="AR133" s="1702"/>
      <c r="AS133" s="1702"/>
      <c r="AT133" s="1702"/>
      <c r="AU133" s="1702"/>
      <c r="AV133" s="1702"/>
      <c r="AW133" s="1702"/>
      <c r="AX133" s="1702"/>
      <c r="AY133" s="1702"/>
      <c r="AZ133" s="1702"/>
      <c r="BA133" s="1702"/>
      <c r="BB133" s="1702"/>
      <c r="BC133" s="1702"/>
      <c r="BD133" s="885"/>
      <c r="BE133" s="885"/>
      <c r="BF133" s="1044"/>
      <c r="BG133" s="1044"/>
      <c r="BH133" s="1044"/>
      <c r="BI133" s="679"/>
      <c r="BJ133" s="679"/>
    </row>
    <row s="1834" customFormat="1" customHeight="1" ht="0" hidden="1">
      <c r="A134" s="885"/>
      <c r="B134" s="441"/>
      <c r="C134" s="885"/>
      <c r="D134" s="885"/>
      <c r="E134" s="678">
        <v>15</v>
      </c>
      <c r="F134" s="1387" cm="1" t="str">
        <f t="array" ref="F134:F134">OFFSET(E134,-1,1)</f>
        <v>1</v>
      </c>
      <c r="G134" s="885"/>
      <c r="H134" s="885"/>
      <c r="I134" s="885"/>
      <c r="J134" s="885"/>
      <c r="K134" s="911"/>
      <c r="L134" s="915"/>
      <c r="M134" s="885"/>
      <c r="N134" s="885"/>
      <c r="O134" s="885"/>
      <c r="P134" s="885"/>
      <c r="Q134" s="885"/>
      <c r="R134" s="885"/>
      <c r="S134" s="885"/>
      <c r="T134" s="1356" cm="1" t="str">
        <f t="array" ref="T134:T134">T133</f>
        <v>false</v>
      </c>
      <c r="U134" s="885"/>
      <c r="V134" s="885"/>
      <c r="W134" s="885"/>
      <c r="X134" s="684"/>
      <c r="Y134" s="1524"/>
      <c r="Z134" s="885"/>
      <c r="AA134" s="1714"/>
      <c r="AB134" s="1698" t="str">
        <f>AB133&amp;".1"</f>
        <v>6.0.1</v>
      </c>
      <c r="AC134" s="1718" t="s">
        <v>1821</v>
      </c>
      <c r="AD134" s="1706" t="s">
        <v>1514</v>
      </c>
      <c r="AE134" s="3666">
        <f>AE135+AE138</f>
        <v>0</v>
      </c>
      <c r="AF134" s="3667">
        <f>AF135+AF138</f>
        <v>0</v>
      </c>
      <c r="AG134" s="3666">
        <f>AG135+AG138</f>
        <v>0</v>
      </c>
      <c r="AH134" s="3666">
        <f>AH135+AH138</f>
        <v>0</v>
      </c>
      <c r="AI134" s="3667">
        <f>AI135+AI138</f>
        <v>0</v>
      </c>
      <c r="AJ134" s="3668">
        <f>AJ135+AJ138</f>
        <v>0</v>
      </c>
      <c r="AK134" s="3668">
        <f>AK135+AK138</f>
        <v>0</v>
      </c>
      <c r="AL134" s="3668">
        <f>AL135+AL138</f>
        <v>0</v>
      </c>
      <c r="AM134" s="3668">
        <f>AM135+AM138</f>
        <v>0</v>
      </c>
      <c r="AN134" s="3668">
        <f>AN135+AN138</f>
        <v>0</v>
      </c>
      <c r="AO134" s="3668">
        <f>AO135+AO138</f>
        <v>0</v>
      </c>
      <c r="AP134" s="3668">
        <f>AP135+AP138</f>
        <v>0</v>
      </c>
      <c r="AQ134" s="3668">
        <f>AQ135+AQ138</f>
        <v>0</v>
      </c>
      <c r="AR134" s="3668">
        <f>AR135+AR138</f>
        <v>0</v>
      </c>
      <c r="AS134" s="3667">
        <f>AS135+AS138</f>
        <v>0</v>
      </c>
      <c r="AT134" s="3668">
        <f>AT135+AT138</f>
        <v>0</v>
      </c>
      <c r="AU134" s="3668">
        <f>AU135+AU138</f>
        <v>0</v>
      </c>
      <c r="AV134" s="3668">
        <f>AV135+AV138</f>
        <v>0</v>
      </c>
      <c r="AW134" s="3668">
        <f>AW135+AW138</f>
        <v>0</v>
      </c>
      <c r="AX134" s="3668">
        <f>AX135+AX138</f>
        <v>0</v>
      </c>
      <c r="AY134" s="3668">
        <f>AY135+AY138</f>
        <v>0</v>
      </c>
      <c r="AZ134" s="3668">
        <f>AZ135+AZ138</f>
        <v>0</v>
      </c>
      <c r="BA134" s="3668">
        <f>BA135+BA138</f>
        <v>0</v>
      </c>
      <c r="BB134" s="3668">
        <f>BB135+BB138</f>
        <v>0</v>
      </c>
      <c r="BC134" s="3645"/>
      <c r="BD134" s="885"/>
      <c r="BE134" s="885"/>
      <c r="BF134" s="1044" t="s">
        <v>1822</v>
      </c>
      <c r="BG134" s="1044" t="s">
        <v>1823</v>
      </c>
      <c r="BH134" s="1720" cm="1" t="str">
        <f t="array" ref="BH134:BH134">AC133</f>
        <v>0</v>
      </c>
      <c r="BI134" s="679"/>
      <c r="BJ134" s="679" t="b">
        <v>1</v>
      </c>
    </row>
    <row s="1834" customFormat="1" customHeight="1" ht="0" hidden="1">
      <c r="A135" s="885"/>
      <c r="B135" s="441"/>
      <c r="C135" s="885"/>
      <c r="D135" s="885"/>
      <c r="E135" s="678">
        <v>15</v>
      </c>
      <c r="F135" s="1387" cm="1" t="str">
        <f t="array" ref="F135:F135">OFFSET(E135,-1,1)</f>
        <v>1</v>
      </c>
      <c r="G135" s="885"/>
      <c r="H135" s="885"/>
      <c r="I135" s="885"/>
      <c r="J135" s="885"/>
      <c r="K135" s="911"/>
      <c r="L135" s="915"/>
      <c r="M135" s="885"/>
      <c r="N135" s="885"/>
      <c r="O135" s="885"/>
      <c r="P135" s="885"/>
      <c r="Q135" s="885"/>
      <c r="R135" s="885"/>
      <c r="S135" s="885"/>
      <c r="T135" s="1356" cm="1" t="str">
        <f t="array" ref="T135:T135">T134</f>
        <v>false</v>
      </c>
      <c r="U135" s="885"/>
      <c r="V135" s="885"/>
      <c r="W135" s="885"/>
      <c r="X135" s="684"/>
      <c r="Y135" s="1524"/>
      <c r="Z135" s="885"/>
      <c r="AA135" s="1714"/>
      <c r="AB135" s="1698" t="str">
        <f>AB134&amp;".1"</f>
        <v>6.0.1.1</v>
      </c>
      <c r="AC135" s="1721" t="s">
        <v>1824</v>
      </c>
      <c r="AD135" s="1722" t="s">
        <v>1514</v>
      </c>
      <c r="AE135" s="3644"/>
      <c r="AF135" s="3644"/>
      <c r="AG135" s="3644"/>
      <c r="AH135" s="3644"/>
      <c r="AI135" s="3644"/>
      <c r="AJ135" s="3644"/>
      <c r="AK135" s="3644"/>
      <c r="AL135" s="3644"/>
      <c r="AM135" s="3644"/>
      <c r="AN135" s="3644"/>
      <c r="AO135" s="3644"/>
      <c r="AP135" s="3644"/>
      <c r="AQ135" s="3644"/>
      <c r="AR135" s="3644"/>
      <c r="AS135" s="3644"/>
      <c r="AT135" s="3644"/>
      <c r="AU135" s="3644"/>
      <c r="AV135" s="3644"/>
      <c r="AW135" s="3644"/>
      <c r="AX135" s="3644"/>
      <c r="AY135" s="3644"/>
      <c r="AZ135" s="3644"/>
      <c r="BA135" s="3644"/>
      <c r="BB135" s="3644"/>
      <c r="BC135" s="3645"/>
      <c r="BD135" s="885"/>
      <c r="BE135" s="885"/>
      <c r="BF135" s="1044" t="s">
        <v>1825</v>
      </c>
      <c r="BG135" s="1044" t="s">
        <v>1823</v>
      </c>
      <c r="BH135" s="1720" cm="1" t="str">
        <f t="array" ref="BH135:BH135">BH134</f>
        <v>0</v>
      </c>
      <c r="BI135" s="679"/>
      <c r="BJ135" s="679"/>
    </row>
    <row s="1834" customFormat="1" customHeight="1" ht="0" hidden="1">
      <c r="A136" s="885"/>
      <c r="B136" s="441"/>
      <c r="C136" s="885"/>
      <c r="D136" s="885"/>
      <c r="E136" s="678">
        <v>15</v>
      </c>
      <c r="F136" s="1387" cm="1" t="str">
        <f t="array" ref="F136:F136">OFFSET(E136,-1,1)</f>
        <v>1</v>
      </c>
      <c r="G136" s="885"/>
      <c r="H136" s="885"/>
      <c r="I136" s="885"/>
      <c r="J136" s="885"/>
      <c r="K136" s="911"/>
      <c r="L136" s="915"/>
      <c r="M136" s="885"/>
      <c r="N136" s="885"/>
      <c r="O136" s="885"/>
      <c r="P136" s="885"/>
      <c r="Q136" s="885"/>
      <c r="R136" s="885"/>
      <c r="S136" s="885"/>
      <c r="T136" s="1356" cm="1" t="str">
        <f t="array" ref="T136:T136">T135</f>
        <v>false</v>
      </c>
      <c r="U136" s="885"/>
      <c r="V136" s="885"/>
      <c r="W136" s="885"/>
      <c r="X136" s="684"/>
      <c r="Y136" s="1524"/>
      <c r="Z136" s="885"/>
      <c r="AA136" s="1714"/>
      <c r="AB136" s="1698" t="str">
        <f>AB135&amp;".1"</f>
        <v>6.0.1.1.1</v>
      </c>
      <c r="AC136" s="1723" t="s">
        <v>1826</v>
      </c>
      <c r="AD136" s="1706" t="s">
        <v>1827</v>
      </c>
      <c r="AE136" s="3644"/>
      <c r="AF136" s="3644"/>
      <c r="AG136" s="3644"/>
      <c r="AH136" s="3644"/>
      <c r="AI136" s="3644"/>
      <c r="AJ136" s="3644"/>
      <c r="AK136" s="3644"/>
      <c r="AL136" s="3644"/>
      <c r="AM136" s="3644"/>
      <c r="AN136" s="3644"/>
      <c r="AO136" s="3644"/>
      <c r="AP136" s="3644"/>
      <c r="AQ136" s="3644"/>
      <c r="AR136" s="3644"/>
      <c r="AS136" s="3644"/>
      <c r="AT136" s="3644"/>
      <c r="AU136" s="3644"/>
      <c r="AV136" s="3644"/>
      <c r="AW136" s="3644"/>
      <c r="AX136" s="3644"/>
      <c r="AY136" s="3644"/>
      <c r="AZ136" s="3644"/>
      <c r="BA136" s="3644"/>
      <c r="BB136" s="3644"/>
      <c r="BC136" s="3645"/>
      <c r="BD136" s="885"/>
      <c r="BE136" s="885"/>
      <c r="BF136" s="1044" t="s">
        <v>1828</v>
      </c>
      <c r="BG136" s="1044" t="s">
        <v>1823</v>
      </c>
      <c r="BH136" s="1720" cm="1" t="str">
        <f t="array" ref="BH136:BH136">BH135</f>
        <v>0</v>
      </c>
      <c r="BI136" s="679"/>
      <c r="BJ136" s="679"/>
    </row>
    <row s="1834" customFormat="1" customHeight="1" ht="0" hidden="1">
      <c r="A137" s="885"/>
      <c r="B137" s="441"/>
      <c r="C137" s="885"/>
      <c r="D137" s="885"/>
      <c r="E137" s="678">
        <v>15</v>
      </c>
      <c r="F137" s="1387" cm="1" t="str">
        <f t="array" ref="F137:F137">OFFSET(E137,-1,1)</f>
        <v>1</v>
      </c>
      <c r="G137" s="885"/>
      <c r="H137" s="885"/>
      <c r="I137" s="885"/>
      <c r="J137" s="885"/>
      <c r="K137" s="911"/>
      <c r="L137" s="915"/>
      <c r="M137" s="885"/>
      <c r="N137" s="885"/>
      <c r="O137" s="885"/>
      <c r="P137" s="885"/>
      <c r="Q137" s="885"/>
      <c r="R137" s="885"/>
      <c r="S137" s="885"/>
      <c r="T137" s="1356" cm="1" t="str">
        <f t="array" ref="T137:T137">T136</f>
        <v>false</v>
      </c>
      <c r="U137" s="885"/>
      <c r="V137" s="885"/>
      <c r="W137" s="885"/>
      <c r="X137" s="684"/>
      <c r="Y137" s="1524"/>
      <c r="Z137" s="885"/>
      <c r="AA137" s="1714"/>
      <c r="AB137" s="1698" t="str">
        <f>AB135&amp;".2"</f>
        <v>6.0.1.1.2</v>
      </c>
      <c r="AC137" s="1723" t="s">
        <v>1829</v>
      </c>
      <c r="AD137" s="1706" t="s">
        <v>1830</v>
      </c>
      <c r="AE137" s="3644"/>
      <c r="AF137" s="3644"/>
      <c r="AG137" s="3644"/>
      <c r="AH137" s="3644"/>
      <c r="AI137" s="3644"/>
      <c r="AJ137" s="3644"/>
      <c r="AK137" s="3644"/>
      <c r="AL137" s="3644"/>
      <c r="AM137" s="3644"/>
      <c r="AN137" s="3644"/>
      <c r="AO137" s="3644"/>
      <c r="AP137" s="3644"/>
      <c r="AQ137" s="3644"/>
      <c r="AR137" s="3644"/>
      <c r="AS137" s="3644"/>
      <c r="AT137" s="3644"/>
      <c r="AU137" s="3644"/>
      <c r="AV137" s="3644"/>
      <c r="AW137" s="3644"/>
      <c r="AX137" s="3644"/>
      <c r="AY137" s="3644"/>
      <c r="AZ137" s="3644"/>
      <c r="BA137" s="3644"/>
      <c r="BB137" s="3644"/>
      <c r="BC137" s="3645"/>
      <c r="BD137" s="885"/>
      <c r="BE137" s="885"/>
      <c r="BF137" s="1044" t="s">
        <v>1831</v>
      </c>
      <c r="BG137" s="1044" t="s">
        <v>1823</v>
      </c>
      <c r="BH137" s="1720" cm="1" t="str">
        <f t="array" ref="BH137:BH137">BH136</f>
        <v>0</v>
      </c>
      <c r="BI137" s="679"/>
      <c r="BJ137" s="679"/>
    </row>
    <row s="1834" customFormat="1" customHeight="1" ht="0" hidden="1">
      <c r="A138" s="885"/>
      <c r="B138" s="441"/>
      <c r="C138" s="885"/>
      <c r="D138" s="885"/>
      <c r="E138" s="678">
        <v>15</v>
      </c>
      <c r="F138" s="1387" cm="1" t="str">
        <f t="array" ref="F138:F138">OFFSET(E138,-1,1)</f>
        <v>1</v>
      </c>
      <c r="G138" s="885"/>
      <c r="H138" s="885"/>
      <c r="I138" s="885"/>
      <c r="J138" s="885"/>
      <c r="K138" s="911"/>
      <c r="L138" s="915"/>
      <c r="M138" s="885"/>
      <c r="N138" s="885"/>
      <c r="O138" s="885"/>
      <c r="P138" s="885"/>
      <c r="Q138" s="885"/>
      <c r="R138" s="885"/>
      <c r="S138" s="885"/>
      <c r="T138" s="1356" cm="1" t="str">
        <f t="array" ref="T138:T138">T137</f>
        <v>false</v>
      </c>
      <c r="U138" s="885"/>
      <c r="V138" s="885"/>
      <c r="W138" s="885"/>
      <c r="X138" s="684"/>
      <c r="Y138" s="1524"/>
      <c r="Z138" s="885"/>
      <c r="AA138" s="1714"/>
      <c r="AB138" s="1698" t="str">
        <f>AB134&amp;".2"</f>
        <v>6.0.1.2</v>
      </c>
      <c r="AC138" s="1707" t="s">
        <v>1832</v>
      </c>
      <c r="AD138" s="1706" t="s">
        <v>1514</v>
      </c>
      <c r="AE138" s="3644"/>
      <c r="AF138" s="3644"/>
      <c r="AG138" s="3644"/>
      <c r="AH138" s="3644"/>
      <c r="AI138" s="3644"/>
      <c r="AJ138" s="3644"/>
      <c r="AK138" s="3644"/>
      <c r="AL138" s="3644"/>
      <c r="AM138" s="3644"/>
      <c r="AN138" s="3644"/>
      <c r="AO138" s="3644"/>
      <c r="AP138" s="3644"/>
      <c r="AQ138" s="3644"/>
      <c r="AR138" s="3644"/>
      <c r="AS138" s="3644"/>
      <c r="AT138" s="3644"/>
      <c r="AU138" s="3644"/>
      <c r="AV138" s="3644"/>
      <c r="AW138" s="3644"/>
      <c r="AX138" s="3644"/>
      <c r="AY138" s="3644"/>
      <c r="AZ138" s="3644"/>
      <c r="BA138" s="3644"/>
      <c r="BB138" s="3644"/>
      <c r="BC138" s="3645"/>
      <c r="BD138" s="885"/>
      <c r="BE138" s="885"/>
      <c r="BF138" s="1044" t="s">
        <v>1833</v>
      </c>
      <c r="BG138" s="1044" t="s">
        <v>1823</v>
      </c>
      <c r="BH138" s="1720" cm="1" t="str">
        <f t="array" ref="BH138:BH138">BH137</f>
        <v>0</v>
      </c>
      <c r="BI138" s="679"/>
      <c r="BJ138" s="679"/>
    </row>
    <row s="1834" customFormat="1" customHeight="1" ht="0" hidden="1">
      <c r="A139" s="885"/>
      <c r="B139" s="441"/>
      <c r="C139" s="885"/>
      <c r="D139" s="885"/>
      <c r="E139" s="678">
        <v>15</v>
      </c>
      <c r="F139" s="1387" cm="1" t="str">
        <f t="array" ref="F139:F139">OFFSET(E139,-1,1)</f>
        <v>1</v>
      </c>
      <c r="G139" s="885"/>
      <c r="H139" s="885"/>
      <c r="I139" s="885"/>
      <c r="J139" s="885"/>
      <c r="K139" s="911"/>
      <c r="L139" s="915"/>
      <c r="M139" s="885"/>
      <c r="N139" s="885"/>
      <c r="O139" s="885"/>
      <c r="P139" s="885"/>
      <c r="Q139" s="885"/>
      <c r="R139" s="885"/>
      <c r="S139" s="885"/>
      <c r="T139" s="1356" cm="1" t="str">
        <f t="array" ref="T139:T139">T138</f>
        <v>false</v>
      </c>
      <c r="U139" s="885"/>
      <c r="V139" s="885"/>
      <c r="W139" s="885"/>
      <c r="X139" s="684"/>
      <c r="Y139" s="1524"/>
      <c r="Z139" s="885"/>
      <c r="AA139" s="1714"/>
      <c r="AB139" s="1698" t="str">
        <f>AB138&amp;".1"</f>
        <v>6.0.1.2.1</v>
      </c>
      <c r="AC139" s="1723" t="s">
        <v>1834</v>
      </c>
      <c r="AD139" s="1706" t="s">
        <v>1835</v>
      </c>
      <c r="AE139" s="3644"/>
      <c r="AF139" s="3644"/>
      <c r="AG139" s="3644"/>
      <c r="AH139" s="3644"/>
      <c r="AI139" s="3644"/>
      <c r="AJ139" s="3644"/>
      <c r="AK139" s="3644"/>
      <c r="AL139" s="3644"/>
      <c r="AM139" s="3644"/>
      <c r="AN139" s="3644"/>
      <c r="AO139" s="3644"/>
      <c r="AP139" s="3644"/>
      <c r="AQ139" s="3644"/>
      <c r="AR139" s="3644"/>
      <c r="AS139" s="3644"/>
      <c r="AT139" s="3644"/>
      <c r="AU139" s="3644"/>
      <c r="AV139" s="3644"/>
      <c r="AW139" s="3644"/>
      <c r="AX139" s="3644"/>
      <c r="AY139" s="3644"/>
      <c r="AZ139" s="3644"/>
      <c r="BA139" s="3644"/>
      <c r="BB139" s="3644"/>
      <c r="BC139" s="3645"/>
      <c r="BD139" s="885"/>
      <c r="BE139" s="885"/>
      <c r="BF139" s="1044" t="s">
        <v>1836</v>
      </c>
      <c r="BG139" s="1044" t="s">
        <v>1823</v>
      </c>
      <c r="BH139" s="1720" cm="1" t="str">
        <f t="array" ref="BH139:BH139">BH138</f>
        <v>0</v>
      </c>
      <c r="BI139" s="679"/>
      <c r="BJ139" s="679"/>
    </row>
    <row s="1834" customFormat="1" customHeight="1" ht="0" hidden="1">
      <c r="A140" s="885"/>
      <c r="B140" s="441"/>
      <c r="C140" s="885"/>
      <c r="D140" s="885"/>
      <c r="E140" s="678">
        <v>15</v>
      </c>
      <c r="F140" s="1387" cm="1" t="str">
        <f t="array" ref="F140:F140">OFFSET(E140,-1,1)</f>
        <v>1</v>
      </c>
      <c r="G140" s="885"/>
      <c r="H140" s="885"/>
      <c r="I140" s="885"/>
      <c r="J140" s="885"/>
      <c r="K140" s="911"/>
      <c r="L140" s="915"/>
      <c r="M140" s="885"/>
      <c r="N140" s="885"/>
      <c r="O140" s="885"/>
      <c r="P140" s="885"/>
      <c r="Q140" s="885"/>
      <c r="R140" s="885"/>
      <c r="S140" s="885"/>
      <c r="T140" s="1356" cm="1" t="str">
        <f t="array" ref="T140:T140">T139</f>
        <v>false</v>
      </c>
      <c r="U140" s="885"/>
      <c r="V140" s="885"/>
      <c r="W140" s="885"/>
      <c r="X140" s="684"/>
      <c r="Y140" s="1524"/>
      <c r="Z140" s="885"/>
      <c r="AA140" s="1714"/>
      <c r="AB140" s="1698" t="str">
        <f>AB138&amp;".2"</f>
        <v>6.0.1.2.2</v>
      </c>
      <c r="AC140" s="1723" t="s">
        <v>1837</v>
      </c>
      <c r="AD140" s="1706" t="s">
        <v>1838</v>
      </c>
      <c r="AE140" s="3644"/>
      <c r="AF140" s="3644"/>
      <c r="AG140" s="3644"/>
      <c r="AH140" s="3644"/>
      <c r="AI140" s="3644"/>
      <c r="AJ140" s="3644"/>
      <c r="AK140" s="3644"/>
      <c r="AL140" s="3644"/>
      <c r="AM140" s="3644"/>
      <c r="AN140" s="3644"/>
      <c r="AO140" s="3644"/>
      <c r="AP140" s="3644"/>
      <c r="AQ140" s="3644"/>
      <c r="AR140" s="3644"/>
      <c r="AS140" s="3644"/>
      <c r="AT140" s="3644"/>
      <c r="AU140" s="3644"/>
      <c r="AV140" s="3644"/>
      <c r="AW140" s="3644"/>
      <c r="AX140" s="3644"/>
      <c r="AY140" s="3644"/>
      <c r="AZ140" s="3644"/>
      <c r="BA140" s="3644"/>
      <c r="BB140" s="3644"/>
      <c r="BC140" s="3645"/>
      <c r="BD140" s="885"/>
      <c r="BE140" s="885"/>
      <c r="BF140" s="1044" t="s">
        <v>1839</v>
      </c>
      <c r="BG140" s="1044" t="s">
        <v>1823</v>
      </c>
      <c r="BH140" s="1720" cm="1" t="str">
        <f t="array" ref="BH140:BH140">BH139</f>
        <v>0</v>
      </c>
      <c r="BI140" s="679"/>
      <c r="BJ140" s="679"/>
    </row>
    <row s="1834" customFormat="1" customHeight="1" ht="0">
      <c r="A141" s="885"/>
      <c r="B141" s="441"/>
      <c r="C141" s="885"/>
      <c r="D141" s="885"/>
      <c r="E141" s="678">
        <v>15</v>
      </c>
      <c r="F141" s="1387" cm="1" t="str">
        <f t="array" ref="F141:F141">OFFSET(E141,-1,1)</f>
        <v>1</v>
      </c>
      <c r="G141" s="885"/>
      <c r="H141" s="885"/>
      <c r="I141" s="885"/>
      <c r="J141" s="885"/>
      <c r="K141" s="911"/>
      <c r="L141" s="915"/>
      <c r="M141" s="885"/>
      <c r="N141" s="885"/>
      <c r="O141" s="885"/>
      <c r="P141" s="885"/>
      <c r="Q141" s="885"/>
      <c r="R141" s="885"/>
      <c r="S141" s="885"/>
      <c r="T141" s="1356">
        <f>F141&gt;0</f>
        <v>1</v>
      </c>
      <c r="U141" s="885"/>
      <c r="V141" s="885"/>
      <c r="W141" s="685" t="s">
        <v>1840</v>
      </c>
      <c r="X141" s="684"/>
      <c r="Y141" s="1519"/>
      <c r="Z141" s="885"/>
      <c r="AA141" s="1680"/>
      <c r="AB141" s="1724"/>
      <c r="AC141" s="1725" t="s">
        <v>1792</v>
      </c>
      <c r="AD141" s="1726"/>
      <c r="AE141" s="1727"/>
      <c r="AF141" s="1727"/>
      <c r="AG141" s="1727"/>
      <c r="AH141" s="1727"/>
      <c r="AI141" s="1727"/>
      <c r="AJ141" s="1727"/>
      <c r="AK141" s="1727"/>
      <c r="AL141" s="1727"/>
      <c r="AM141" s="1727"/>
      <c r="AN141" s="1727"/>
      <c r="AO141" s="1727"/>
      <c r="AP141" s="1727"/>
      <c r="AQ141" s="1727"/>
      <c r="AR141" s="1727"/>
      <c r="AS141" s="1727"/>
      <c r="AT141" s="1727"/>
      <c r="AU141" s="1727"/>
      <c r="AV141" s="1727"/>
      <c r="AW141" s="1727"/>
      <c r="AX141" s="1727"/>
      <c r="AY141" s="1727"/>
      <c r="AZ141" s="1727"/>
      <c r="BA141" s="1727"/>
      <c r="BB141" s="1727"/>
      <c r="BC141" s="1727"/>
      <c r="BD141" s="885"/>
      <c r="BE141" s="885"/>
      <c r="BF141" s="1044"/>
      <c r="BG141" s="1044"/>
      <c r="BH141" s="1044"/>
      <c r="BI141" s="679" t="s">
        <v>1823</v>
      </c>
      <c r="BJ141" s="679"/>
    </row>
    <row s="153" customFormat="1" customHeight="1" ht="0">
      <c r="A142" s="153"/>
      <c r="B142" s="441"/>
      <c r="C142" s="153"/>
      <c r="D142" s="153"/>
      <c r="E142" s="679">
        <v>15</v>
      </c>
      <c r="F142" s="50" cm="1" t="str">
        <f t="array" ref="F142:F142">OFFSET(E142,-1,1)</f>
        <v>1</v>
      </c>
      <c r="G142" s="152" t="s">
        <v>1228</v>
      </c>
      <c r="H142" s="153"/>
      <c r="I142" s="153"/>
      <c r="J142" s="153"/>
      <c r="K142" s="911" t="str">
        <f>F96&amp;"7komm"</f>
        <v>17komm</v>
      </c>
      <c r="L142" s="915" cm="1" t="str">
        <f t="array" ref="L142:L142">BC142</f>
        <v>0</v>
      </c>
      <c r="M142" s="153"/>
      <c r="N142" s="153"/>
      <c r="O142" s="153"/>
      <c r="P142" s="153"/>
      <c r="Q142" s="153"/>
      <c r="R142" s="153"/>
      <c r="S142" s="153"/>
      <c r="T142" s="465" cm="1" t="str">
        <f t="array" ref="T142:T142">T131</f>
        <v>true</v>
      </c>
      <c r="U142" s="153"/>
      <c r="V142" s="153"/>
      <c r="W142" s="153"/>
      <c r="X142" s="1524"/>
      <c r="Y142" s="153"/>
      <c r="Z142" s="1615"/>
      <c r="AA142" s="153"/>
      <c r="AB142" s="211">
        <v>7</v>
      </c>
      <c r="AC142" s="212" t="s">
        <v>1841</v>
      </c>
      <c r="AD142" s="211" t="s">
        <v>1514</v>
      </c>
      <c r="AE142" s="3657">
        <f>SUMIF($AD145:$AD148,$AD142,AE145:AE148)</f>
        <v>0</v>
      </c>
      <c r="AF142" s="3657">
        <f>SUMIF($AD145:$AD148,$AD142,AF145:AF148)</f>
        <v>0</v>
      </c>
      <c r="AG142" s="3657">
        <f>SUMIF($AD145:$AD148,$AD142,AG145:AG148)</f>
        <v>0</v>
      </c>
      <c r="AH142" s="3657">
        <f>SUMIF($AD145:$AD148,$AD142,AH145:AH148)</f>
        <v>0</v>
      </c>
      <c r="AI142" s="3657">
        <f>SUMIF($AD145:$AD148,$AD142,AI145:AI148)</f>
        <v>0</v>
      </c>
      <c r="AJ142" s="225">
        <f>SUMIF($AD145:$AD148,$AD142,AJ145:AJ148)</f>
        <v>0</v>
      </c>
      <c r="AK142" s="225">
        <f>SUMIF($AD145:$AD148,$AD142,AK145:AK148)</f>
        <v>0</v>
      </c>
      <c r="AL142" s="225">
        <f>SUMIF($AD145:$AD148,$AD142,AL145:AL148)</f>
        <v>0</v>
      </c>
      <c r="AM142" s="225">
        <f>SUMIF($AD145:$AD148,$AD142,AM145:AM148)</f>
        <v>0</v>
      </c>
      <c r="AN142" s="3658">
        <f>SUMIF($AD145:$AD148,$AD142,AN145:AN148)</f>
        <v>0</v>
      </c>
      <c r="AO142" s="3658">
        <f>SUMIF($AD145:$AD148,$AD142,AO145:AO148)</f>
        <v>0</v>
      </c>
      <c r="AP142" s="3658">
        <f>SUMIF($AD145:$AD148,$AD142,AP145:AP148)</f>
        <v>0</v>
      </c>
      <c r="AQ142" s="3658">
        <f>SUMIF($AD145:$AD148,$AD142,AQ145:AQ148)</f>
        <v>0</v>
      </c>
      <c r="AR142" s="3658">
        <f>SUMIF($AD145:$AD148,$AD142,AR145:AR148)</f>
        <v>0</v>
      </c>
      <c r="AS142" s="3657">
        <f>SUMIF($AD145:$AD148,$AD142,AS145:AS148)</f>
        <v>0</v>
      </c>
      <c r="AT142" s="225">
        <f>SUMIF($AD145:$AD148,$AD142,AT145:AT148)</f>
        <v>0</v>
      </c>
      <c r="AU142" s="225">
        <f>SUMIF($AD145:$AD148,$AD142,AU145:AU148)</f>
        <v>0</v>
      </c>
      <c r="AV142" s="225">
        <f>SUMIF($AD145:$AD148,$AD142,AV145:AV148)</f>
        <v>0</v>
      </c>
      <c r="AW142" s="225">
        <f>SUMIF($AD145:$AD148,$AD142,AW145:AW148)</f>
        <v>0</v>
      </c>
      <c r="AX142" s="3658">
        <f>SUMIF($AD145:$AD148,$AD142,AX145:AX148)</f>
        <v>0</v>
      </c>
      <c r="AY142" s="3658">
        <f>SUMIF($AD145:$AD148,$AD142,AY145:AY148)</f>
        <v>0</v>
      </c>
      <c r="AZ142" s="3658">
        <f>SUMIF($AD145:$AD148,$AD142,AZ145:AZ148)</f>
        <v>0</v>
      </c>
      <c r="BA142" s="3658">
        <f>SUMIF($AD145:$AD148,$AD142,BA145:BA148)</f>
        <v>0</v>
      </c>
      <c r="BB142" s="3658">
        <f>SUMIF($AD145:$AD148,$AD142,BB145:BB148)</f>
        <v>0</v>
      </c>
      <c r="BC142" s="200"/>
      <c r="BD142" s="153"/>
      <c r="BE142" s="153"/>
      <c r="BF142" s="1044" t="s">
        <v>1842</v>
      </c>
      <c r="BG142" s="1044"/>
      <c r="BH142" s="1044"/>
      <c r="BI142" s="679"/>
      <c r="BJ142" s="679"/>
    </row>
    <row s="1834" customFormat="1" customHeight="1" ht="0" hidden="1">
      <c r="A143" s="885"/>
      <c r="B143" s="441"/>
      <c r="C143" s="885"/>
      <c r="D143" s="885"/>
      <c r="E143" s="678">
        <v>15</v>
      </c>
      <c r="F143" s="1387" cm="1" t="str">
        <f t="array" ref="F143:F143">OFFSET(E143,-1,1)</f>
        <v>1</v>
      </c>
      <c r="G143" s="885"/>
      <c r="H143" s="885"/>
      <c r="I143" s="885"/>
      <c r="J143" s="885"/>
      <c r="K143" s="911"/>
      <c r="L143" s="915"/>
      <c r="M143" s="885"/>
      <c r="N143" s="885"/>
      <c r="O143" s="885"/>
      <c r="P143" s="885"/>
      <c r="Q143" s="885"/>
      <c r="R143" s="885"/>
      <c r="S143" s="885"/>
      <c r="T143" s="1356" t="b">
        <v>0</v>
      </c>
      <c r="U143" s="885"/>
      <c r="V143" s="885"/>
      <c r="W143" s="885" t="s">
        <v>174</v>
      </c>
      <c r="X143" s="684"/>
      <c r="Y143" s="1524">
        <v>0</v>
      </c>
      <c r="Z143" s="885"/>
      <c r="AA143" s="1714" t="s">
        <v>175</v>
      </c>
      <c r="AB143" s="1700"/>
      <c r="AC143" s="1522"/>
      <c r="AD143" s="1715"/>
      <c r="AE143" s="1716">
        <f>OR(AND(AE145&lt;&gt;"",AE146=""),AND(AE145="",AE146&lt;&gt;""))</f>
        <v>0</v>
      </c>
      <c r="AF143" s="1716">
        <f>OR(AND(AF145&lt;&gt;"",AF146=""),AND(AF145="",AF146&lt;&gt;""))</f>
        <v>0</v>
      </c>
      <c r="AG143" s="1716">
        <f>OR(AND(AG145&lt;&gt;"",AG146=""),AND(AG145="",AG146&lt;&gt;""))</f>
        <v>0</v>
      </c>
      <c r="AH143" s="1716">
        <f>OR(AND(AH145&lt;&gt;"",AH146=""),AND(AH145="",AH146&lt;&gt;""))</f>
        <v>0</v>
      </c>
      <c r="AI143" s="1716">
        <f>OR(AND(AI145&lt;&gt;"",AI146=""),AND(AI145="",AI146&lt;&gt;""))</f>
        <v>0</v>
      </c>
      <c r="AJ143" s="1716">
        <f>OR(AND(AJ145&lt;&gt;"",AJ146=""),AND(AJ145="",AJ146&lt;&gt;""))</f>
        <v>0</v>
      </c>
      <c r="AK143" s="1716">
        <f>OR(AND(AK145&lt;&gt;"",AK146=""),AND(AK145="",AK146&lt;&gt;""))</f>
        <v>0</v>
      </c>
      <c r="AL143" s="1716">
        <f>OR(AND(AL145&lt;&gt;"",AL146=""),AND(AL145="",AL146&lt;&gt;""))</f>
        <v>0</v>
      </c>
      <c r="AM143" s="1716">
        <f>OR(AND(AM145&lt;&gt;"",AM146=""),AND(AM145="",AM146&lt;&gt;""))</f>
        <v>0</v>
      </c>
      <c r="AN143" s="1716">
        <f>OR(AND(AN145&lt;&gt;"",AN146=""),AND(AN145="",AN146&lt;&gt;""))</f>
        <v>0</v>
      </c>
      <c r="AO143" s="1716">
        <f>OR(AND(AO145&lt;&gt;"",AO146=""),AND(AO145="",AO146&lt;&gt;""))</f>
        <v>0</v>
      </c>
      <c r="AP143" s="1716">
        <f>OR(AND(AP145&lt;&gt;"",AP146=""),AND(AP145="",AP146&lt;&gt;""))</f>
        <v>0</v>
      </c>
      <c r="AQ143" s="1716">
        <f>OR(AND(AQ145&lt;&gt;"",AQ146=""),AND(AQ145="",AQ146&lt;&gt;""))</f>
        <v>0</v>
      </c>
      <c r="AR143" s="1716">
        <f>OR(AND(AR145&lt;&gt;"",AR146=""),AND(AR145="",AR146&lt;&gt;""))</f>
        <v>0</v>
      </c>
      <c r="AS143" s="1716">
        <f>OR(AND(AS145&lt;&gt;"",AS146=""),AND(AS145="",AS146&lt;&gt;""))</f>
        <v>0</v>
      </c>
      <c r="AT143" s="1716">
        <f>OR(AND(AT145&lt;&gt;"",AT146=""),AND(AT145="",AT146&lt;&gt;""))</f>
        <v>0</v>
      </c>
      <c r="AU143" s="1716">
        <f>OR(AND(AU145&lt;&gt;"",AU146=""),AND(AU145="",AU146&lt;&gt;""))</f>
        <v>0</v>
      </c>
      <c r="AV143" s="1716">
        <f>OR(AND(AV145&lt;&gt;"",AV146=""),AND(AV145="",AV146&lt;&gt;""))</f>
        <v>0</v>
      </c>
      <c r="AW143" s="1716">
        <f>OR(AND(AW145&lt;&gt;"",AW146=""),AND(AW145="",AW146&lt;&gt;""))</f>
        <v>0</v>
      </c>
      <c r="AX143" s="1716">
        <f>OR(AND(AX145&lt;&gt;"",AX146=""),AND(AX145="",AX146&lt;&gt;""))</f>
        <v>0</v>
      </c>
      <c r="AY143" s="1716">
        <f>OR(AND(AY145&lt;&gt;"",AY146=""),AND(AY145="",AY146&lt;&gt;""))</f>
        <v>0</v>
      </c>
      <c r="AZ143" s="1716">
        <f>OR(AND(AZ145&lt;&gt;"",AZ146=""),AND(AZ145="",AZ146&lt;&gt;""))</f>
        <v>0</v>
      </c>
      <c r="BA143" s="1716">
        <f>OR(AND(BA145&lt;&gt;"",BA146=""),AND(BA145="",BA146&lt;&gt;""))</f>
        <v>0</v>
      </c>
      <c r="BB143" s="1716">
        <f>OR(AND(BB145&lt;&gt;"",BB146=""),AND(BB145="",BB146&lt;&gt;""))</f>
        <v>0</v>
      </c>
      <c r="BC143" s="974"/>
      <c r="BD143" s="885"/>
      <c r="BE143" s="885"/>
      <c r="BF143" s="1044"/>
      <c r="BG143" s="1044"/>
      <c r="BH143" s="1044"/>
      <c r="BI143" s="679"/>
      <c r="BJ143" s="679"/>
    </row>
    <row s="1834" customFormat="1" customHeight="1" ht="0" hidden="1">
      <c r="A144" s="885"/>
      <c r="B144" s="441"/>
      <c r="C144" s="885"/>
      <c r="D144" s="885"/>
      <c r="E144" s="678">
        <v>15</v>
      </c>
      <c r="F144" s="1387" cm="1" t="str">
        <f t="array" ref="F144:F144">OFFSET(E144,-1,1)</f>
        <v>1</v>
      </c>
      <c r="G144" s="885"/>
      <c r="H144" s="885"/>
      <c r="I144" s="885"/>
      <c r="J144" s="885"/>
      <c r="K144" s="911"/>
      <c r="L144" s="915"/>
      <c r="M144" s="885"/>
      <c r="N144" s="885"/>
      <c r="O144" s="885"/>
      <c r="P144" s="885"/>
      <c r="Q144" s="885"/>
      <c r="R144" s="885"/>
      <c r="S144" s="885"/>
      <c r="T144" s="1356">
        <f>AND(F144&gt;0,Y143&gt;0)</f>
        <v>0</v>
      </c>
      <c r="U144" s="885"/>
      <c r="V144" s="885"/>
      <c r="W144" s="885"/>
      <c r="X144" s="684"/>
      <c r="Y144" s="1524"/>
      <c r="Z144" s="885"/>
      <c r="AA144" s="1714"/>
      <c r="AB144" s="1698" t="str">
        <f>"7."&amp;Y143</f>
        <v>7.0</v>
      </c>
      <c r="AC144" s="1717"/>
      <c r="AD144" s="1715"/>
      <c r="AE144" s="885"/>
      <c r="AF144" s="885"/>
      <c r="AG144" s="885"/>
      <c r="AH144" s="885"/>
      <c r="AI144" s="885"/>
      <c r="AJ144" s="885"/>
      <c r="AK144" s="885"/>
      <c r="AL144" s="885"/>
      <c r="AM144" s="885"/>
      <c r="AN144" s="885"/>
      <c r="AO144" s="885"/>
      <c r="AP144" s="885"/>
      <c r="AQ144" s="885"/>
      <c r="AR144" s="885"/>
      <c r="AS144" s="885"/>
      <c r="AT144" s="885"/>
      <c r="AU144" s="885"/>
      <c r="AV144" s="885"/>
      <c r="AW144" s="885"/>
      <c r="AX144" s="885"/>
      <c r="AY144" s="885"/>
      <c r="AZ144" s="885"/>
      <c r="BA144" s="885"/>
      <c r="BB144" s="885"/>
      <c r="BC144" s="885"/>
      <c r="BD144" s="885"/>
      <c r="BE144" s="885"/>
      <c r="BF144" s="1044"/>
      <c r="BG144" s="1044"/>
      <c r="BH144" s="1044"/>
      <c r="BI144" s="679"/>
      <c r="BJ144" s="679"/>
    </row>
    <row s="1834" customFormat="1" customHeight="1" ht="0" hidden="1">
      <c r="A145" s="885"/>
      <c r="B145" s="441"/>
      <c r="C145" s="885"/>
      <c r="D145" s="885"/>
      <c r="E145" s="678">
        <v>15</v>
      </c>
      <c r="F145" s="1387" cm="1" t="str">
        <f t="array" ref="F145:F145">OFFSET(E145,-1,1)</f>
        <v>1</v>
      </c>
      <c r="G145" s="885"/>
      <c r="H145" s="885"/>
      <c r="I145" s="885"/>
      <c r="J145" s="885"/>
      <c r="K145" s="911"/>
      <c r="L145" s="915"/>
      <c r="M145" s="885"/>
      <c r="N145" s="885"/>
      <c r="O145" s="885"/>
      <c r="P145" s="885"/>
      <c r="Q145" s="885"/>
      <c r="R145" s="885"/>
      <c r="S145" s="885"/>
      <c r="T145" s="1356" cm="1" t="str">
        <f t="array" ref="T145:T145">T144</f>
        <v>false</v>
      </c>
      <c r="U145" s="885"/>
      <c r="V145" s="885"/>
      <c r="W145" s="885"/>
      <c r="X145" s="684"/>
      <c r="Y145" s="1524"/>
      <c r="Z145" s="885"/>
      <c r="AA145" s="1714"/>
      <c r="AB145" s="1698" t="str">
        <f>AB144&amp;".1"</f>
        <v>7.0.1</v>
      </c>
      <c r="AC145" s="1728" t="s">
        <v>1783</v>
      </c>
      <c r="AD145" s="1700" t="s">
        <v>1514</v>
      </c>
      <c r="AE145" s="3679"/>
      <c r="AF145" s="3680"/>
      <c r="AG145" s="3679"/>
      <c r="AH145" s="3679"/>
      <c r="AI145" s="3680"/>
      <c r="AJ145" s="3680"/>
      <c r="AK145" s="3680"/>
      <c r="AL145" s="3680"/>
      <c r="AM145" s="3680"/>
      <c r="AN145" s="3680"/>
      <c r="AO145" s="3680"/>
      <c r="AP145" s="3680"/>
      <c r="AQ145" s="3680"/>
      <c r="AR145" s="3680"/>
      <c r="AS145" s="3679"/>
      <c r="AT145" s="3679"/>
      <c r="AU145" s="3679"/>
      <c r="AV145" s="3679"/>
      <c r="AW145" s="3679"/>
      <c r="AX145" s="3679"/>
      <c r="AY145" s="3679"/>
      <c r="AZ145" s="3679"/>
      <c r="BA145" s="3679"/>
      <c r="BB145" s="3679"/>
      <c r="BC145" s="2070"/>
      <c r="BD145" s="885"/>
      <c r="BE145" s="885"/>
      <c r="BF145" s="1041" t="s">
        <v>1784</v>
      </c>
      <c r="BG145" s="1044" t="s">
        <v>1843</v>
      </c>
      <c r="BH145" s="1720" cm="1" t="str">
        <f t="array" ref="BH145:BH145">AC144</f>
        <v>0</v>
      </c>
      <c r="BI145" s="679"/>
      <c r="BJ145" s="679" t="b">
        <v>1</v>
      </c>
    </row>
    <row s="1834" customFormat="1" customHeight="1" ht="0" hidden="1">
      <c r="A146" s="885"/>
      <c r="B146" s="441"/>
      <c r="C146" s="885"/>
      <c r="D146" s="885"/>
      <c r="E146" s="678">
        <v>15</v>
      </c>
      <c r="F146" s="1387" cm="1" t="str">
        <f t="array" ref="F146:F146">OFFSET(E146,-1,1)</f>
        <v>1</v>
      </c>
      <c r="G146" s="885"/>
      <c r="H146" s="885"/>
      <c r="I146" s="885"/>
      <c r="J146" s="885"/>
      <c r="K146" s="911"/>
      <c r="L146" s="915"/>
      <c r="M146" s="885"/>
      <c r="N146" s="885"/>
      <c r="O146" s="885"/>
      <c r="P146" s="885"/>
      <c r="Q146" s="885"/>
      <c r="R146" s="885"/>
      <c r="S146" s="885"/>
      <c r="T146" s="1356" cm="1" t="str">
        <f t="array" ref="T146:T146">T145</f>
        <v>false</v>
      </c>
      <c r="U146" s="885"/>
      <c r="V146" s="885"/>
      <c r="W146" s="885"/>
      <c r="X146" s="684"/>
      <c r="Y146" s="1524"/>
      <c r="Z146" s="885"/>
      <c r="AA146" s="1714"/>
      <c r="AB146" s="1698" t="str">
        <f>AB145&amp;".1"</f>
        <v>7.0.1.1</v>
      </c>
      <c r="AC146" s="1707" t="s">
        <v>1844</v>
      </c>
      <c r="AD146" s="1698" t="s">
        <v>1247</v>
      </c>
      <c r="AE146" s="3679"/>
      <c r="AF146" s="3680"/>
      <c r="AG146" s="3679"/>
      <c r="AH146" s="3679"/>
      <c r="AI146" s="3680"/>
      <c r="AJ146" s="3680"/>
      <c r="AK146" s="3680"/>
      <c r="AL146" s="3680"/>
      <c r="AM146" s="3680"/>
      <c r="AN146" s="3680"/>
      <c r="AO146" s="3680"/>
      <c r="AP146" s="3680"/>
      <c r="AQ146" s="3680"/>
      <c r="AR146" s="3680"/>
      <c r="AS146" s="3679"/>
      <c r="AT146" s="3679"/>
      <c r="AU146" s="3679"/>
      <c r="AV146" s="3679"/>
      <c r="AW146" s="3679"/>
      <c r="AX146" s="3679"/>
      <c r="AY146" s="3679"/>
      <c r="AZ146" s="3679"/>
      <c r="BA146" s="3679"/>
      <c r="BB146" s="3679"/>
      <c r="BC146" s="2070"/>
      <c r="BD146" s="885"/>
      <c r="BE146" s="885"/>
      <c r="BF146" s="1041" t="s">
        <v>1787</v>
      </c>
      <c r="BG146" s="1044" t="s">
        <v>1843</v>
      </c>
      <c r="BH146" s="1720" cm="1" t="str">
        <f t="array" ref="BH146:BH146">BH145</f>
        <v>0</v>
      </c>
      <c r="BI146" s="679"/>
      <c r="BJ146" s="679"/>
    </row>
    <row s="1834" customFormat="1" customHeight="1" ht="0" hidden="1">
      <c r="A147" s="885"/>
      <c r="B147" s="441"/>
      <c r="C147" s="885"/>
      <c r="D147" s="885"/>
      <c r="E147" s="678">
        <v>15</v>
      </c>
      <c r="F147" s="1387" cm="1" t="str">
        <f t="array" ref="F147:F147">OFFSET(E147,-1,1)</f>
        <v>1</v>
      </c>
      <c r="G147" s="885"/>
      <c r="H147" s="885"/>
      <c r="I147" s="885"/>
      <c r="J147" s="885"/>
      <c r="K147" s="911"/>
      <c r="L147" s="915"/>
      <c r="M147" s="885"/>
      <c r="N147" s="885"/>
      <c r="O147" s="885"/>
      <c r="P147" s="885"/>
      <c r="Q147" s="885"/>
      <c r="R147" s="885"/>
      <c r="S147" s="885"/>
      <c r="T147" s="1356" cm="1" t="str">
        <f t="array" ref="T147:T147">T146</f>
        <v>false</v>
      </c>
      <c r="U147" s="885"/>
      <c r="V147" s="885"/>
      <c r="W147" s="885"/>
      <c r="X147" s="684"/>
      <c r="Y147" s="1524"/>
      <c r="Z147" s="885"/>
      <c r="AA147" s="1714"/>
      <c r="AB147" s="1698" t="str">
        <f>AB145&amp;".2"</f>
        <v>7.0.1.2</v>
      </c>
      <c r="AC147" s="1707" t="s">
        <v>1845</v>
      </c>
      <c r="AD147" s="1698" t="s">
        <v>1789</v>
      </c>
      <c r="AE147" s="3679"/>
      <c r="AF147" s="3680"/>
      <c r="AG147" s="3680"/>
      <c r="AH147" s="3679"/>
      <c r="AI147" s="3680"/>
      <c r="AJ147" s="3680"/>
      <c r="AK147" s="3680"/>
      <c r="AL147" s="3680"/>
      <c r="AM147" s="3680"/>
      <c r="AN147" s="3680"/>
      <c r="AO147" s="3680"/>
      <c r="AP147" s="3680"/>
      <c r="AQ147" s="3680"/>
      <c r="AR147" s="3680"/>
      <c r="AS147" s="3680"/>
      <c r="AT147" s="3680"/>
      <c r="AU147" s="3680"/>
      <c r="AV147" s="3680"/>
      <c r="AW147" s="3680"/>
      <c r="AX147" s="3680"/>
      <c r="AY147" s="3680"/>
      <c r="AZ147" s="3680"/>
      <c r="BA147" s="3680"/>
      <c r="BB147" s="3680"/>
      <c r="BC147" s="2070"/>
      <c r="BD147" s="885"/>
      <c r="BE147" s="885"/>
      <c r="BF147" s="1041" t="s">
        <v>1790</v>
      </c>
      <c r="BG147" s="1044" t="s">
        <v>1843</v>
      </c>
      <c r="BH147" s="1720" cm="1" t="str">
        <f t="array" ref="BH147:BH147">BH146</f>
        <v>0</v>
      </c>
      <c r="BI147" s="679"/>
      <c r="BJ147" s="679"/>
    </row>
    <row s="1834" customFormat="1" customHeight="1" ht="0">
      <c r="A148" s="885"/>
      <c r="B148" s="441"/>
      <c r="C148" s="885"/>
      <c r="D148" s="885"/>
      <c r="E148" s="678">
        <v>15</v>
      </c>
      <c r="F148" s="1387" cm="1" t="str">
        <f t="array" ref="F148:F148">OFFSET(E148,-1,1)</f>
        <v>1</v>
      </c>
      <c r="G148" s="885"/>
      <c r="H148" s="885"/>
      <c r="I148" s="885"/>
      <c r="J148" s="885"/>
      <c r="K148" s="911"/>
      <c r="L148" s="915"/>
      <c r="M148" s="885"/>
      <c r="N148" s="885"/>
      <c r="O148" s="885"/>
      <c r="P148" s="885"/>
      <c r="Q148" s="885"/>
      <c r="R148" s="885"/>
      <c r="S148" s="885"/>
      <c r="T148" s="1356">
        <f>F148&gt;0</f>
        <v>1</v>
      </c>
      <c r="U148" s="885"/>
      <c r="V148" s="885"/>
      <c r="W148" s="685" t="s">
        <v>1846</v>
      </c>
      <c r="X148" s="684"/>
      <c r="Y148" s="885"/>
      <c r="Z148" s="885"/>
      <c r="AA148" s="1680"/>
      <c r="AB148" s="1724"/>
      <c r="AC148" s="1731" t="s">
        <v>1792</v>
      </c>
      <c r="AD148" s="1726"/>
      <c r="AE148" s="1726"/>
      <c r="AF148" s="1726"/>
      <c r="AG148" s="1726"/>
      <c r="AH148" s="1726"/>
      <c r="AI148" s="1726"/>
      <c r="AJ148" s="1726"/>
      <c r="AK148" s="1726"/>
      <c r="AL148" s="1726"/>
      <c r="AM148" s="1726"/>
      <c r="AN148" s="1726"/>
      <c r="AO148" s="1726"/>
      <c r="AP148" s="1726"/>
      <c r="AQ148" s="1726"/>
      <c r="AR148" s="1726"/>
      <c r="AS148" s="1726"/>
      <c r="AT148" s="1726"/>
      <c r="AU148" s="1726"/>
      <c r="AV148" s="1726"/>
      <c r="AW148" s="1726"/>
      <c r="AX148" s="1726"/>
      <c r="AY148" s="1726"/>
      <c r="AZ148" s="1726"/>
      <c r="BA148" s="1726"/>
      <c r="BB148" s="1726"/>
      <c r="BC148" s="1732"/>
      <c r="BD148" s="885"/>
      <c r="BE148" s="885"/>
      <c r="BF148" s="1044"/>
      <c r="BG148" s="1044"/>
      <c r="BH148" s="1044"/>
      <c r="BI148" s="679" t="s">
        <v>1843</v>
      </c>
      <c r="BJ148" s="679"/>
    </row>
    <row s="153" customFormat="1" customHeight="1" ht="0">
      <c r="A149" s="153"/>
      <c r="B149" s="441"/>
      <c r="C149" s="153"/>
      <c r="D149" s="153"/>
      <c r="E149" s="679">
        <v>15</v>
      </c>
      <c r="F149" s="50" cm="1" t="str">
        <f t="array" ref="F149:F149">OFFSET(E149,-1,1)</f>
        <v>1</v>
      </c>
      <c r="G149" s="152" t="s">
        <v>1275</v>
      </c>
      <c r="H149" s="153"/>
      <c r="I149" s="153"/>
      <c r="J149" s="153"/>
      <c r="K149" s="911" t="str">
        <f>F96&amp;"8komm"</f>
        <v>18komm</v>
      </c>
      <c r="L149" s="915" cm="1" t="str">
        <f t="array" ref="L149:L149">BC149</f>
        <v>0</v>
      </c>
      <c r="M149" s="153"/>
      <c r="N149" s="153"/>
      <c r="O149" s="153"/>
      <c r="P149" s="153"/>
      <c r="Q149" s="153"/>
      <c r="R149" s="153"/>
      <c r="S149" s="153"/>
      <c r="T149" s="465" cm="1" t="str">
        <f t="array" ref="T149:T149">T142</f>
        <v>true</v>
      </c>
      <c r="U149" s="153"/>
      <c r="V149" s="153"/>
      <c r="W149" s="153"/>
      <c r="X149" s="1524"/>
      <c r="Y149" s="153"/>
      <c r="Z149" s="1615"/>
      <c r="AA149" s="153"/>
      <c r="AB149" s="211">
        <v>8</v>
      </c>
      <c r="AC149" s="212" t="s">
        <v>1847</v>
      </c>
      <c r="AD149" s="211" t="s">
        <v>1514</v>
      </c>
      <c r="AE149" s="3657">
        <f>SUMIF($AD152:$AD155,$AD149,AE152:AE155)</f>
        <v>0</v>
      </c>
      <c r="AF149" s="3657">
        <f>SUMIF($AD152:$AD155,$AD149,AF152:AF155)</f>
        <v>0</v>
      </c>
      <c r="AG149" s="3657">
        <f>SUMIF($AD152:$AD155,$AD149,AG152:AG155)</f>
        <v>0</v>
      </c>
      <c r="AH149" s="3657">
        <f>SUMIF($AD152:$AD155,$AD149,AH152:AH155)</f>
        <v>0</v>
      </c>
      <c r="AI149" s="3657">
        <f>SUMIF($AD152:$AD155,$AD149,AI152:AI155)</f>
        <v>0</v>
      </c>
      <c r="AJ149" s="225">
        <f>SUMIF($AD152:$AD155,$AD149,AJ152:AJ155)</f>
        <v>0</v>
      </c>
      <c r="AK149" s="225">
        <f>SUMIF($AD152:$AD155,$AD149,AK152:AK155)</f>
        <v>0</v>
      </c>
      <c r="AL149" s="225">
        <f>SUMIF($AD152:$AD155,$AD149,AL152:AL155)</f>
        <v>0</v>
      </c>
      <c r="AM149" s="225">
        <f>SUMIF($AD152:$AD155,$AD149,AM152:AM155)</f>
        <v>0</v>
      </c>
      <c r="AN149" s="3658">
        <f>SUMIF($AD152:$AD155,$AD149,AN152:AN155)</f>
        <v>0</v>
      </c>
      <c r="AO149" s="3658">
        <f>SUMIF($AD152:$AD155,$AD149,AO152:AO155)</f>
        <v>0</v>
      </c>
      <c r="AP149" s="3658">
        <f>SUMIF($AD152:$AD155,$AD149,AP152:AP155)</f>
        <v>0</v>
      </c>
      <c r="AQ149" s="3658">
        <f>SUMIF($AD152:$AD155,$AD149,AQ152:AQ155)</f>
        <v>0</v>
      </c>
      <c r="AR149" s="3658">
        <f>SUMIF($AD152:$AD155,$AD149,AR152:AR155)</f>
        <v>0</v>
      </c>
      <c r="AS149" s="3657">
        <f>SUMIF($AD152:$AD155,$AD149,AS152:AS155)</f>
        <v>0</v>
      </c>
      <c r="AT149" s="225">
        <f>SUMIF($AD152:$AD155,$AD149,AT152:AT155)</f>
        <v>0</v>
      </c>
      <c r="AU149" s="225">
        <f>SUMIF($AD152:$AD155,$AD149,AU152:AU155)</f>
        <v>0</v>
      </c>
      <c r="AV149" s="225">
        <f>SUMIF($AD152:$AD155,$AD149,AV152:AV155)</f>
        <v>0</v>
      </c>
      <c r="AW149" s="225">
        <f>SUMIF($AD152:$AD155,$AD149,AW152:AW155)</f>
        <v>0</v>
      </c>
      <c r="AX149" s="3658">
        <f>SUMIF($AD152:$AD155,$AD149,AX152:AX155)</f>
        <v>0</v>
      </c>
      <c r="AY149" s="3658">
        <f>SUMIF($AD152:$AD155,$AD149,AY152:AY155)</f>
        <v>0</v>
      </c>
      <c r="AZ149" s="3658">
        <f>SUMIF($AD152:$AD155,$AD149,AZ152:AZ155)</f>
        <v>0</v>
      </c>
      <c r="BA149" s="3658">
        <f>SUMIF($AD152:$AD155,$AD149,BA152:BA155)</f>
        <v>0</v>
      </c>
      <c r="BB149" s="3658">
        <f>SUMIF($AD152:$AD155,$AD149,BB152:BB155)</f>
        <v>0</v>
      </c>
      <c r="BC149" s="200"/>
      <c r="BD149" s="153"/>
      <c r="BE149" s="153"/>
      <c r="BF149" s="1044" t="s">
        <v>1848</v>
      </c>
      <c r="BG149" s="1044"/>
      <c r="BH149" s="1044"/>
      <c r="BI149" s="679"/>
      <c r="BJ149" s="679"/>
    </row>
    <row s="1834" customFormat="1" customHeight="1" ht="0" hidden="1">
      <c r="A150" s="885"/>
      <c r="B150" s="441"/>
      <c r="C150" s="885"/>
      <c r="D150" s="885"/>
      <c r="E150" s="678">
        <v>15</v>
      </c>
      <c r="F150" s="1387" cm="1" t="str">
        <f t="array" ref="F150:F150">OFFSET(E150,-1,1)</f>
        <v>1</v>
      </c>
      <c r="G150" s="885"/>
      <c r="H150" s="885"/>
      <c r="I150" s="885"/>
      <c r="J150" s="885"/>
      <c r="K150" s="911"/>
      <c r="L150" s="915"/>
      <c r="M150" s="885"/>
      <c r="N150" s="885"/>
      <c r="O150" s="885"/>
      <c r="P150" s="885"/>
      <c r="Q150" s="885"/>
      <c r="R150" s="885"/>
      <c r="S150" s="885"/>
      <c r="T150" s="1356" t="b">
        <v>0</v>
      </c>
      <c r="U150" s="885"/>
      <c r="V150" s="885"/>
      <c r="W150" s="885" t="s">
        <v>174</v>
      </c>
      <c r="X150" s="684"/>
      <c r="Y150" s="1524">
        <v>0</v>
      </c>
      <c r="Z150" s="885"/>
      <c r="AA150" s="1714" t="s">
        <v>175</v>
      </c>
      <c r="AB150" s="1700"/>
      <c r="AC150" s="1522"/>
      <c r="AD150" s="1715"/>
      <c r="AE150" s="1716">
        <f>OR(AND(AE152&lt;&gt;"",AE153=""),AND(AE152="",AE153&lt;&gt;""))</f>
        <v>0</v>
      </c>
      <c r="AF150" s="1716">
        <f>OR(AND(AF152&lt;&gt;"",AF153=""),AND(AF152="",AF153&lt;&gt;""))</f>
        <v>0</v>
      </c>
      <c r="AG150" s="1716">
        <f>OR(AND(AG152&lt;&gt;"",AG153=""),AND(AG152="",AG153&lt;&gt;""))</f>
        <v>0</v>
      </c>
      <c r="AH150" s="1716">
        <f>OR(AND(AH152&lt;&gt;"",AH153=""),AND(AH152="",AH153&lt;&gt;""))</f>
        <v>0</v>
      </c>
      <c r="AI150" s="1716">
        <f>OR(AND(AI152&lt;&gt;"",AI153=""),AND(AI152="",AI153&lt;&gt;""))</f>
        <v>0</v>
      </c>
      <c r="AJ150" s="1716">
        <f>OR(AND(AJ152&lt;&gt;"",AJ153=""),AND(AJ152="",AJ153&lt;&gt;""))</f>
        <v>0</v>
      </c>
      <c r="AK150" s="1716">
        <f>OR(AND(AK152&lt;&gt;"",AK153=""),AND(AK152="",AK153&lt;&gt;""))</f>
        <v>0</v>
      </c>
      <c r="AL150" s="1716">
        <f>OR(AND(AL152&lt;&gt;"",AL153=""),AND(AL152="",AL153&lt;&gt;""))</f>
        <v>0</v>
      </c>
      <c r="AM150" s="1716">
        <f>OR(AND(AM152&lt;&gt;"",AM153=""),AND(AM152="",AM153&lt;&gt;""))</f>
        <v>0</v>
      </c>
      <c r="AN150" s="1716">
        <f>OR(AND(AN152&lt;&gt;"",AN153=""),AND(AN152="",AN153&lt;&gt;""))</f>
        <v>0</v>
      </c>
      <c r="AO150" s="1716">
        <f>OR(AND(AO152&lt;&gt;"",AO153=""),AND(AO152="",AO153&lt;&gt;""))</f>
        <v>0</v>
      </c>
      <c r="AP150" s="1716">
        <f>OR(AND(AP152&lt;&gt;"",AP153=""),AND(AP152="",AP153&lt;&gt;""))</f>
        <v>0</v>
      </c>
      <c r="AQ150" s="1716">
        <f>OR(AND(AQ152&lt;&gt;"",AQ153=""),AND(AQ152="",AQ153&lt;&gt;""))</f>
        <v>0</v>
      </c>
      <c r="AR150" s="1716">
        <f>OR(AND(AR152&lt;&gt;"",AR153=""),AND(AR152="",AR153&lt;&gt;""))</f>
        <v>0</v>
      </c>
      <c r="AS150" s="1716">
        <f>OR(AND(AS152&lt;&gt;"",AS153=""),AND(AS152="",AS153&lt;&gt;""))</f>
        <v>0</v>
      </c>
      <c r="AT150" s="1716">
        <f>OR(AND(AT152&lt;&gt;"",AT153=""),AND(AT152="",AT153&lt;&gt;""))</f>
        <v>0</v>
      </c>
      <c r="AU150" s="1716">
        <f>OR(AND(AU152&lt;&gt;"",AU153=""),AND(AU152="",AU153&lt;&gt;""))</f>
        <v>0</v>
      </c>
      <c r="AV150" s="1716">
        <f>OR(AND(AV152&lt;&gt;"",AV153=""),AND(AV152="",AV153&lt;&gt;""))</f>
        <v>0</v>
      </c>
      <c r="AW150" s="1716">
        <f>OR(AND(AW152&lt;&gt;"",AW153=""),AND(AW152="",AW153&lt;&gt;""))</f>
        <v>0</v>
      </c>
      <c r="AX150" s="1716">
        <f>OR(AND(AX152&lt;&gt;"",AX153=""),AND(AX152="",AX153&lt;&gt;""))</f>
        <v>0</v>
      </c>
      <c r="AY150" s="1716">
        <f>OR(AND(AY152&lt;&gt;"",AY153=""),AND(AY152="",AY153&lt;&gt;""))</f>
        <v>0</v>
      </c>
      <c r="AZ150" s="1716">
        <f>OR(AND(AZ152&lt;&gt;"",AZ153=""),AND(AZ152="",AZ153&lt;&gt;""))</f>
        <v>0</v>
      </c>
      <c r="BA150" s="1716">
        <f>OR(AND(BA152&lt;&gt;"",BA153=""),AND(BA152="",BA153&lt;&gt;""))</f>
        <v>0</v>
      </c>
      <c r="BB150" s="1733">
        <f>OR(AND(BB152&lt;&gt;"",BB153=""),AND(BB152="",BB153&lt;&gt;""))</f>
        <v>0</v>
      </c>
      <c r="BC150" s="1734"/>
      <c r="BD150" s="885"/>
      <c r="BE150" s="885"/>
      <c r="BF150" s="1044"/>
      <c r="BG150" s="1044"/>
      <c r="BH150" s="1044"/>
      <c r="BI150" s="679"/>
      <c r="BJ150" s="679"/>
    </row>
    <row s="1834" customFormat="1" customHeight="1" ht="0" hidden="1">
      <c r="A151" s="885"/>
      <c r="B151" s="441"/>
      <c r="C151" s="885"/>
      <c r="D151" s="885"/>
      <c r="E151" s="678">
        <v>15</v>
      </c>
      <c r="F151" s="1387" cm="1" t="str">
        <f t="array" ref="F151:F151">OFFSET(E151,-1,1)</f>
        <v>1</v>
      </c>
      <c r="G151" s="885"/>
      <c r="H151" s="885"/>
      <c r="I151" s="885"/>
      <c r="J151" s="885"/>
      <c r="K151" s="911"/>
      <c r="L151" s="915"/>
      <c r="M151" s="885"/>
      <c r="N151" s="885"/>
      <c r="O151" s="885"/>
      <c r="P151" s="885"/>
      <c r="Q151" s="885"/>
      <c r="R151" s="885"/>
      <c r="S151" s="885"/>
      <c r="T151" s="1356">
        <f>AND(F151&gt;0,Y150&gt;0)</f>
        <v>0</v>
      </c>
      <c r="U151" s="885"/>
      <c r="V151" s="885"/>
      <c r="W151" s="885"/>
      <c r="X151" s="684"/>
      <c r="Y151" s="1524"/>
      <c r="Z151" s="885"/>
      <c r="AA151" s="1714"/>
      <c r="AB151" s="1698" t="str">
        <f>"8."&amp;Y150</f>
        <v>8.0</v>
      </c>
      <c r="AC151" s="1717"/>
      <c r="AD151" s="1715"/>
      <c r="AE151" s="885"/>
      <c r="AF151" s="885"/>
      <c r="AG151" s="885"/>
      <c r="AH151" s="885"/>
      <c r="AI151" s="885"/>
      <c r="AJ151" s="885"/>
      <c r="AK151" s="885"/>
      <c r="AL151" s="885"/>
      <c r="AM151" s="885"/>
      <c r="AN151" s="885"/>
      <c r="AO151" s="885"/>
      <c r="AP151" s="885"/>
      <c r="AQ151" s="885"/>
      <c r="AR151" s="885"/>
      <c r="AS151" s="885"/>
      <c r="AT151" s="885"/>
      <c r="AU151" s="885"/>
      <c r="AV151" s="885"/>
      <c r="AW151" s="885"/>
      <c r="AX151" s="885"/>
      <c r="AY151" s="885"/>
      <c r="AZ151" s="885"/>
      <c r="BA151" s="885"/>
      <c r="BB151" s="885"/>
      <c r="BC151" s="885"/>
      <c r="BD151" s="885"/>
      <c r="BE151" s="885"/>
      <c r="BF151" s="1044"/>
      <c r="BG151" s="1044"/>
      <c r="BH151" s="1044"/>
      <c r="BI151" s="679"/>
      <c r="BJ151" s="679"/>
    </row>
    <row s="1834" customFormat="1" customHeight="1" ht="0" hidden="1">
      <c r="A152" s="885"/>
      <c r="B152" s="441"/>
      <c r="C152" s="885"/>
      <c r="D152" s="885"/>
      <c r="E152" s="678">
        <v>15</v>
      </c>
      <c r="F152" s="1387" cm="1" t="str">
        <f t="array" ref="F152:F152">OFFSET(E152,-1,1)</f>
        <v>1</v>
      </c>
      <c r="G152" s="885"/>
      <c r="H152" s="885"/>
      <c r="I152" s="885"/>
      <c r="J152" s="885"/>
      <c r="K152" s="911"/>
      <c r="L152" s="915"/>
      <c r="M152" s="885"/>
      <c r="N152" s="885"/>
      <c r="O152" s="885"/>
      <c r="P152" s="885"/>
      <c r="Q152" s="885"/>
      <c r="R152" s="885"/>
      <c r="S152" s="885"/>
      <c r="T152" s="1356" cm="1" t="str">
        <f t="array" ref="T152:T152">T151</f>
        <v>false</v>
      </c>
      <c r="U152" s="885"/>
      <c r="V152" s="885"/>
      <c r="W152" s="885"/>
      <c r="X152" s="684"/>
      <c r="Y152" s="1524"/>
      <c r="Z152" s="885"/>
      <c r="AA152" s="1714"/>
      <c r="AB152" s="1698" t="str">
        <f>AB151&amp;".1"</f>
        <v>8.0.1</v>
      </c>
      <c r="AC152" s="1728" t="s">
        <v>1783</v>
      </c>
      <c r="AD152" s="1700" t="s">
        <v>1514</v>
      </c>
      <c r="AE152" s="3679"/>
      <c r="AF152" s="3680"/>
      <c r="AG152" s="3679"/>
      <c r="AH152" s="3679"/>
      <c r="AI152" s="3680"/>
      <c r="AJ152" s="3680"/>
      <c r="AK152" s="3680"/>
      <c r="AL152" s="3680"/>
      <c r="AM152" s="3680"/>
      <c r="AN152" s="3680"/>
      <c r="AO152" s="3680"/>
      <c r="AP152" s="3680"/>
      <c r="AQ152" s="3680"/>
      <c r="AR152" s="3680"/>
      <c r="AS152" s="3679"/>
      <c r="AT152" s="3679"/>
      <c r="AU152" s="3679"/>
      <c r="AV152" s="3679"/>
      <c r="AW152" s="3679"/>
      <c r="AX152" s="3679"/>
      <c r="AY152" s="3679"/>
      <c r="AZ152" s="3679"/>
      <c r="BA152" s="3679"/>
      <c r="BB152" s="3679"/>
      <c r="BC152" s="3685"/>
      <c r="BD152" s="885"/>
      <c r="BE152" s="885"/>
      <c r="BF152" s="1041" t="s">
        <v>1784</v>
      </c>
      <c r="BG152" s="1044" t="s">
        <v>1849</v>
      </c>
      <c r="BH152" s="1720" cm="1" t="str">
        <f t="array" ref="BH152:BH152">AC151</f>
        <v>0</v>
      </c>
      <c r="BI152" s="679"/>
      <c r="BJ152" s="679" t="b">
        <v>1</v>
      </c>
    </row>
    <row s="1834" customFormat="1" customHeight="1" ht="0" hidden="1">
      <c r="A153" s="885"/>
      <c r="B153" s="441"/>
      <c r="C153" s="885"/>
      <c r="D153" s="885"/>
      <c r="E153" s="678">
        <v>15</v>
      </c>
      <c r="F153" s="1387" cm="1" t="str">
        <f t="array" ref="F153:F153">OFFSET(E153,-1,1)</f>
        <v>1</v>
      </c>
      <c r="G153" s="885"/>
      <c r="H153" s="885"/>
      <c r="I153" s="885"/>
      <c r="J153" s="885"/>
      <c r="K153" s="911"/>
      <c r="L153" s="915"/>
      <c r="M153" s="885"/>
      <c r="N153" s="885"/>
      <c r="O153" s="885"/>
      <c r="P153" s="885"/>
      <c r="Q153" s="885"/>
      <c r="R153" s="885"/>
      <c r="S153" s="885"/>
      <c r="T153" s="1356" cm="1" t="str">
        <f t="array" ref="T153:T153">T152</f>
        <v>false</v>
      </c>
      <c r="U153" s="885"/>
      <c r="V153" s="885"/>
      <c r="W153" s="885"/>
      <c r="X153" s="684"/>
      <c r="Y153" s="1524"/>
      <c r="Z153" s="885"/>
      <c r="AA153" s="1714"/>
      <c r="AB153" s="1698" t="str">
        <f>AB152&amp;".1"</f>
        <v>8.0.1.1</v>
      </c>
      <c r="AC153" s="1707" t="s">
        <v>1850</v>
      </c>
      <c r="AD153" s="1698" t="s">
        <v>1247</v>
      </c>
      <c r="AE153" s="3679"/>
      <c r="AF153" s="3680"/>
      <c r="AG153" s="3679"/>
      <c r="AH153" s="3679"/>
      <c r="AI153" s="3680"/>
      <c r="AJ153" s="3680"/>
      <c r="AK153" s="3680"/>
      <c r="AL153" s="3680"/>
      <c r="AM153" s="3680"/>
      <c r="AN153" s="3680"/>
      <c r="AO153" s="3680"/>
      <c r="AP153" s="3680"/>
      <c r="AQ153" s="3680"/>
      <c r="AR153" s="3680"/>
      <c r="AS153" s="3679"/>
      <c r="AT153" s="3679"/>
      <c r="AU153" s="3679"/>
      <c r="AV153" s="3679"/>
      <c r="AW153" s="3679"/>
      <c r="AX153" s="3679"/>
      <c r="AY153" s="3679"/>
      <c r="AZ153" s="3679"/>
      <c r="BA153" s="3679"/>
      <c r="BB153" s="3679"/>
      <c r="BC153" s="3685"/>
      <c r="BD153" s="885"/>
      <c r="BE153" s="885"/>
      <c r="BF153" s="1041" t="s">
        <v>1787</v>
      </c>
      <c r="BG153" s="1044" t="s">
        <v>1849</v>
      </c>
      <c r="BH153" s="1720" cm="1" t="str">
        <f t="array" ref="BH153:BH153">BH152</f>
        <v>0</v>
      </c>
      <c r="BI153" s="679"/>
      <c r="BJ153" s="679"/>
    </row>
    <row s="1834" customFormat="1" customHeight="1" ht="0" hidden="1">
      <c r="A154" s="885"/>
      <c r="B154" s="441"/>
      <c r="C154" s="885"/>
      <c r="D154" s="885"/>
      <c r="E154" s="678">
        <v>15</v>
      </c>
      <c r="F154" s="1387" cm="1" t="str">
        <f t="array" ref="F154:F154">OFFSET(E154,-1,1)</f>
        <v>1</v>
      </c>
      <c r="G154" s="885"/>
      <c r="H154" s="885"/>
      <c r="I154" s="885"/>
      <c r="J154" s="885"/>
      <c r="K154" s="911"/>
      <c r="L154" s="915"/>
      <c r="M154" s="885"/>
      <c r="N154" s="885"/>
      <c r="O154" s="885"/>
      <c r="P154" s="885"/>
      <c r="Q154" s="885"/>
      <c r="R154" s="885"/>
      <c r="S154" s="885"/>
      <c r="T154" s="1356" cm="1" t="str">
        <f t="array" ref="T154:T154">T153</f>
        <v>false</v>
      </c>
      <c r="U154" s="885"/>
      <c r="V154" s="885"/>
      <c r="W154" s="885"/>
      <c r="X154" s="684"/>
      <c r="Y154" s="1524"/>
      <c r="Z154" s="885"/>
      <c r="AA154" s="1714"/>
      <c r="AB154" s="1698" t="str">
        <f>AB152&amp;".2"</f>
        <v>8.0.1.2</v>
      </c>
      <c r="AC154" s="1707" t="s">
        <v>1851</v>
      </c>
      <c r="AD154" s="1698" t="s">
        <v>1789</v>
      </c>
      <c r="AE154" s="3679"/>
      <c r="AF154" s="3680"/>
      <c r="AG154" s="3680"/>
      <c r="AH154" s="3679"/>
      <c r="AI154" s="3680"/>
      <c r="AJ154" s="3680"/>
      <c r="AK154" s="3680"/>
      <c r="AL154" s="3680"/>
      <c r="AM154" s="3680"/>
      <c r="AN154" s="3680"/>
      <c r="AO154" s="3680"/>
      <c r="AP154" s="3680"/>
      <c r="AQ154" s="3680"/>
      <c r="AR154" s="3680"/>
      <c r="AS154" s="3680"/>
      <c r="AT154" s="3680"/>
      <c r="AU154" s="3680"/>
      <c r="AV154" s="3680"/>
      <c r="AW154" s="3680"/>
      <c r="AX154" s="3680"/>
      <c r="AY154" s="3680"/>
      <c r="AZ154" s="3680"/>
      <c r="BA154" s="3680"/>
      <c r="BB154" s="3686"/>
      <c r="BC154" s="3685"/>
      <c r="BD154" s="885"/>
      <c r="BE154" s="885"/>
      <c r="BF154" s="1041" t="s">
        <v>1790</v>
      </c>
      <c r="BG154" s="1044" t="s">
        <v>1849</v>
      </c>
      <c r="BH154" s="1720" cm="1" t="str">
        <f t="array" ref="BH154:BH154">BH153</f>
        <v>0</v>
      </c>
      <c r="BI154" s="679"/>
      <c r="BJ154" s="679"/>
    </row>
    <row s="1834" customFormat="1" customHeight="1" ht="0">
      <c r="A155" s="885"/>
      <c r="B155" s="441"/>
      <c r="C155" s="885"/>
      <c r="D155" s="885"/>
      <c r="E155" s="678">
        <v>15</v>
      </c>
      <c r="F155" s="1387" cm="1" t="str">
        <f t="array" ref="F155:F155">OFFSET(E155,-1,1)</f>
        <v>1</v>
      </c>
      <c r="G155" s="885"/>
      <c r="H155" s="885"/>
      <c r="I155" s="885"/>
      <c r="J155" s="885"/>
      <c r="K155" s="911"/>
      <c r="L155" s="915"/>
      <c r="M155" s="885"/>
      <c r="N155" s="885"/>
      <c r="O155" s="885"/>
      <c r="P155" s="885"/>
      <c r="Q155" s="885"/>
      <c r="R155" s="885"/>
      <c r="S155" s="885"/>
      <c r="T155" s="1356">
        <f>F155&gt;0</f>
        <v>1</v>
      </c>
      <c r="U155" s="885"/>
      <c r="V155" s="885"/>
      <c r="W155" s="685" t="s">
        <v>1852</v>
      </c>
      <c r="X155" s="684"/>
      <c r="Y155" s="885"/>
      <c r="Z155" s="885"/>
      <c r="AA155" s="885"/>
      <c r="AB155" s="1724"/>
      <c r="AC155" s="1737" t="s">
        <v>1792</v>
      </c>
      <c r="AD155" s="1726"/>
      <c r="AE155" s="1726"/>
      <c r="AF155" s="1726"/>
      <c r="AG155" s="1726"/>
      <c r="AH155" s="1726"/>
      <c r="AI155" s="1726"/>
      <c r="AJ155" s="1726"/>
      <c r="AK155" s="1726"/>
      <c r="AL155" s="1726"/>
      <c r="AM155" s="1726"/>
      <c r="AN155" s="1726"/>
      <c r="AO155" s="1726"/>
      <c r="AP155" s="1726"/>
      <c r="AQ155" s="1726"/>
      <c r="AR155" s="1726"/>
      <c r="AS155" s="1726"/>
      <c r="AT155" s="1726"/>
      <c r="AU155" s="1726"/>
      <c r="AV155" s="1726"/>
      <c r="AW155" s="1726"/>
      <c r="AX155" s="1726"/>
      <c r="AY155" s="1726"/>
      <c r="AZ155" s="1726"/>
      <c r="BA155" s="1726"/>
      <c r="BB155" s="1726"/>
      <c r="BC155" s="1732"/>
      <c r="BD155" s="885"/>
      <c r="BE155" s="885"/>
      <c r="BF155" s="1044"/>
      <c r="BG155" s="1044"/>
      <c r="BH155" s="1044"/>
      <c r="BI155" s="679" t="s">
        <v>1849</v>
      </c>
      <c r="BJ155" s="679"/>
    </row>
    <row s="153" customFormat="1" customHeight="1" ht="0">
      <c r="A156" s="153"/>
      <c r="B156" s="441"/>
      <c r="C156" s="153"/>
      <c r="D156" s="153"/>
      <c r="E156" s="679">
        <v>15</v>
      </c>
      <c r="F156" s="50" cm="1" t="str">
        <f t="array" ref="F156:F156">OFFSET(E156,-1,1)</f>
        <v>1</v>
      </c>
      <c r="G156" s="152"/>
      <c r="H156" s="153"/>
      <c r="I156" s="153"/>
      <c r="J156" s="153"/>
      <c r="K156" s="911" t="str">
        <f>F96&amp;"9komm"</f>
        <v>19komm</v>
      </c>
      <c r="L156" s="915" cm="1" t="str">
        <f t="array" ref="L156:L156">BC156</f>
        <v>0</v>
      </c>
      <c r="M156" s="153"/>
      <c r="N156" s="153"/>
      <c r="O156" s="153"/>
      <c r="P156" s="153"/>
      <c r="Q156" s="153"/>
      <c r="R156" s="153"/>
      <c r="S156" s="153"/>
      <c r="T156" s="465" cm="1" t="str">
        <f t="array" ref="T156:T156">T149</f>
        <v>true</v>
      </c>
      <c r="U156" s="153"/>
      <c r="V156" s="153"/>
      <c r="W156" s="153"/>
      <c r="X156" s="1524"/>
      <c r="Y156" s="153"/>
      <c r="Z156" s="1615"/>
      <c r="AA156" s="153"/>
      <c r="AB156" s="211">
        <v>9</v>
      </c>
      <c r="AC156" s="212" t="s">
        <v>1853</v>
      </c>
      <c r="AD156" s="211" t="s">
        <v>1514</v>
      </c>
      <c r="AE156" s="3657">
        <f>SUMIF($AD159:$AD162,$AD156,AE159:AE162)</f>
        <v>0</v>
      </c>
      <c r="AF156" s="3657">
        <f>SUMIF($AD159:$AD162,$AD156,AF159:AF162)</f>
        <v>0</v>
      </c>
      <c r="AG156" s="3657">
        <f>SUMIF($AD159:$AD162,$AD156,AG159:AG162)</f>
        <v>0</v>
      </c>
      <c r="AH156" s="3657">
        <f>SUMIF($AD159:$AD162,$AD156,AH159:AH162)</f>
        <v>0</v>
      </c>
      <c r="AI156" s="3657">
        <f>SUMIF($AD159:$AD162,$AD156,AI159:AI162)</f>
        <v>0</v>
      </c>
      <c r="AJ156" s="225">
        <f>SUMIF($AD159:$AD162,$AD156,AJ159:AJ162)</f>
        <v>0</v>
      </c>
      <c r="AK156" s="225">
        <f>SUMIF($AD159:$AD162,$AD156,AK159:AK162)</f>
        <v>0</v>
      </c>
      <c r="AL156" s="225">
        <f>SUMIF($AD159:$AD162,$AD156,AL159:AL162)</f>
        <v>0</v>
      </c>
      <c r="AM156" s="225">
        <f>SUMIF($AD159:$AD162,$AD156,AM159:AM162)</f>
        <v>0</v>
      </c>
      <c r="AN156" s="3658">
        <f>SUMIF($AD159:$AD162,$AD156,AN159:AN162)</f>
        <v>0</v>
      </c>
      <c r="AO156" s="3658">
        <f>SUMIF($AD159:$AD162,$AD156,AO159:AO162)</f>
        <v>0</v>
      </c>
      <c r="AP156" s="3658">
        <f>SUMIF($AD159:$AD162,$AD156,AP159:AP162)</f>
        <v>0</v>
      </c>
      <c r="AQ156" s="3658">
        <f>SUMIF($AD159:$AD162,$AD156,AQ159:AQ162)</f>
        <v>0</v>
      </c>
      <c r="AR156" s="3658">
        <f>SUMIF($AD159:$AD162,$AD156,AR159:AR162)</f>
        <v>0</v>
      </c>
      <c r="AS156" s="3657">
        <f>SUMIF($AD159:$AD162,$AD156,AS159:AS162)</f>
        <v>0</v>
      </c>
      <c r="AT156" s="225">
        <f>SUMIF($AD159:$AD162,$AD156,AT159:AT162)</f>
        <v>0</v>
      </c>
      <c r="AU156" s="225">
        <f>SUMIF($AD159:$AD162,$AD156,AU159:AU162)</f>
        <v>0</v>
      </c>
      <c r="AV156" s="225">
        <f>SUMIF($AD159:$AD162,$AD156,AV159:AV162)</f>
        <v>0</v>
      </c>
      <c r="AW156" s="225">
        <f>SUMIF($AD159:$AD162,$AD156,AW159:AW162)</f>
        <v>0</v>
      </c>
      <c r="AX156" s="3658">
        <f>SUMIF($AD159:$AD162,$AD156,AX159:AX162)</f>
        <v>0</v>
      </c>
      <c r="AY156" s="3658">
        <f>SUMIF($AD159:$AD162,$AD156,AY159:AY162)</f>
        <v>0</v>
      </c>
      <c r="AZ156" s="3658">
        <f>SUMIF($AD159:$AD162,$AD156,AZ159:AZ162)</f>
        <v>0</v>
      </c>
      <c r="BA156" s="3658">
        <f>SUMIF($AD159:$AD162,$AD156,BA159:BA162)</f>
        <v>0</v>
      </c>
      <c r="BB156" s="3658">
        <f>SUMIF($AD159:$AD162,$AD156,BB159:BB162)</f>
        <v>0</v>
      </c>
      <c r="BC156" s="200"/>
      <c r="BD156" s="153"/>
      <c r="BE156" s="153"/>
      <c r="BF156" s="1044" t="s">
        <v>1854</v>
      </c>
      <c r="BG156" s="1044"/>
      <c r="BH156" s="1044"/>
      <c r="BI156" s="679"/>
      <c r="BJ156" s="679"/>
    </row>
    <row s="1834" customFormat="1" customHeight="1" ht="0" hidden="1">
      <c r="A157" s="885"/>
      <c r="B157" s="441"/>
      <c r="C157" s="885"/>
      <c r="D157" s="885"/>
      <c r="E157" s="678">
        <v>15</v>
      </c>
      <c r="F157" s="1387" cm="1" t="str">
        <f t="array" ref="F157:F157">OFFSET(E157,-1,1)</f>
        <v>1</v>
      </c>
      <c r="G157" s="885"/>
      <c r="H157" s="885"/>
      <c r="I157" s="885"/>
      <c r="J157" s="885"/>
      <c r="K157" s="911"/>
      <c r="L157" s="915"/>
      <c r="M157" s="885"/>
      <c r="N157" s="885"/>
      <c r="O157" s="885"/>
      <c r="P157" s="885"/>
      <c r="Q157" s="885"/>
      <c r="R157" s="885"/>
      <c r="S157" s="885"/>
      <c r="T157" s="1356" t="b">
        <v>0</v>
      </c>
      <c r="U157" s="885"/>
      <c r="V157" s="885"/>
      <c r="W157" s="885" t="s">
        <v>174</v>
      </c>
      <c r="X157" s="684"/>
      <c r="Y157" s="1524">
        <v>0</v>
      </c>
      <c r="Z157" s="885"/>
      <c r="AA157" s="1714" t="s">
        <v>175</v>
      </c>
      <c r="AB157" s="1700"/>
      <c r="AC157" s="1738"/>
      <c r="AD157" s="1715"/>
      <c r="AE157" s="1716">
        <f>OR(AND(AE159&lt;&gt;"",AE160=""),AND(AE159="",AE160&lt;&gt;""))</f>
        <v>0</v>
      </c>
      <c r="AF157" s="1716">
        <f>OR(AND(AF159&lt;&gt;"",AF160=""),AND(AF159="",AF160&lt;&gt;""))</f>
        <v>0</v>
      </c>
      <c r="AG157" s="1716">
        <f>OR(AND(AG159&lt;&gt;"",AG160=""),AND(AG159="",AG160&lt;&gt;""))</f>
        <v>0</v>
      </c>
      <c r="AH157" s="1716">
        <f>OR(AND(AH159&lt;&gt;"",AH160=""),AND(AH159="",AH160&lt;&gt;""))</f>
        <v>0</v>
      </c>
      <c r="AI157" s="1716">
        <f>OR(AND(AI159&lt;&gt;"",AI160=""),AND(AI159="",AI160&lt;&gt;""))</f>
        <v>0</v>
      </c>
      <c r="AJ157" s="1716">
        <f>OR(AND(AJ159&lt;&gt;"",AJ160=""),AND(AJ159="",AJ160&lt;&gt;""))</f>
        <v>0</v>
      </c>
      <c r="AK157" s="1716">
        <f>OR(AND(AK159&lt;&gt;"",AK160=""),AND(AK159="",AK160&lt;&gt;""))</f>
        <v>0</v>
      </c>
      <c r="AL157" s="1716">
        <f>OR(AND(AL159&lt;&gt;"",AL160=""),AND(AL159="",AL160&lt;&gt;""))</f>
        <v>0</v>
      </c>
      <c r="AM157" s="1716">
        <f>OR(AND(AM159&lt;&gt;"",AM160=""),AND(AM159="",AM160&lt;&gt;""))</f>
        <v>0</v>
      </c>
      <c r="AN157" s="1716">
        <f>OR(AND(AN159&lt;&gt;"",AN160=""),AND(AN159="",AN160&lt;&gt;""))</f>
        <v>0</v>
      </c>
      <c r="AO157" s="1716">
        <f>OR(AND(AO159&lt;&gt;"",AO160=""),AND(AO159="",AO160&lt;&gt;""))</f>
        <v>0</v>
      </c>
      <c r="AP157" s="1716">
        <f>OR(AND(AP159&lt;&gt;"",AP160=""),AND(AP159="",AP160&lt;&gt;""))</f>
        <v>0</v>
      </c>
      <c r="AQ157" s="1716">
        <f>OR(AND(AQ159&lt;&gt;"",AQ160=""),AND(AQ159="",AQ160&lt;&gt;""))</f>
        <v>0</v>
      </c>
      <c r="AR157" s="1716">
        <f>OR(AND(AR159&lt;&gt;"",AR160=""),AND(AR159="",AR160&lt;&gt;""))</f>
        <v>0</v>
      </c>
      <c r="AS157" s="1716">
        <f>OR(AND(AS159&lt;&gt;"",AS160=""),AND(AS159="",AS160&lt;&gt;""))</f>
        <v>0</v>
      </c>
      <c r="AT157" s="1716">
        <f>OR(AND(AT159&lt;&gt;"",AT160=""),AND(AT159="",AT160&lt;&gt;""))</f>
        <v>0</v>
      </c>
      <c r="AU157" s="1716">
        <f>OR(AND(AU159&lt;&gt;"",AU160=""),AND(AU159="",AU160&lt;&gt;""))</f>
        <v>0</v>
      </c>
      <c r="AV157" s="1716">
        <f>OR(AND(AV159&lt;&gt;"",AV160=""),AND(AV159="",AV160&lt;&gt;""))</f>
        <v>0</v>
      </c>
      <c r="AW157" s="1716">
        <f>OR(AND(AW159&lt;&gt;"",AW160=""),AND(AW159="",AW160&lt;&gt;""))</f>
        <v>0</v>
      </c>
      <c r="AX157" s="1716">
        <f>OR(AND(AX159&lt;&gt;"",AX160=""),AND(AX159="",AX160&lt;&gt;""))</f>
        <v>0</v>
      </c>
      <c r="AY157" s="1716">
        <f>OR(AND(AY159&lt;&gt;"",AY160=""),AND(AY159="",AY160&lt;&gt;""))</f>
        <v>0</v>
      </c>
      <c r="AZ157" s="1716">
        <f>OR(AND(AZ159&lt;&gt;"",AZ160=""),AND(AZ159="",AZ160&lt;&gt;""))</f>
        <v>0</v>
      </c>
      <c r="BA157" s="1716">
        <f>OR(AND(BA159&lt;&gt;"",BA160=""),AND(BA159="",BA160&lt;&gt;""))</f>
        <v>0</v>
      </c>
      <c r="BB157" s="1733">
        <f>OR(AND(BB159&lt;&gt;"",BB160=""),AND(BB159="",BB160&lt;&gt;""))</f>
        <v>0</v>
      </c>
      <c r="BC157" s="1734"/>
      <c r="BD157" s="885"/>
      <c r="BE157" s="885"/>
      <c r="BF157" s="1044"/>
      <c r="BG157" s="1044"/>
      <c r="BH157" s="1044"/>
      <c r="BI157" s="679"/>
      <c r="BJ157" s="679"/>
    </row>
    <row s="1834" customFormat="1" customHeight="1" ht="0" hidden="1">
      <c r="A158" s="885"/>
      <c r="B158" s="441"/>
      <c r="C158" s="885"/>
      <c r="D158" s="885"/>
      <c r="E158" s="678">
        <v>15</v>
      </c>
      <c r="F158" s="1387" cm="1" t="str">
        <f t="array" ref="F158:F158">OFFSET(E158,-1,1)</f>
        <v>1</v>
      </c>
      <c r="G158" s="885"/>
      <c r="H158" s="885"/>
      <c r="I158" s="885"/>
      <c r="J158" s="885"/>
      <c r="K158" s="911"/>
      <c r="L158" s="915"/>
      <c r="M158" s="885"/>
      <c r="N158" s="885"/>
      <c r="O158" s="885"/>
      <c r="P158" s="885"/>
      <c r="Q158" s="885"/>
      <c r="R158" s="885"/>
      <c r="S158" s="885"/>
      <c r="T158" s="1356">
        <f>AND(F158&gt;0,Y157&gt;0)</f>
        <v>0</v>
      </c>
      <c r="U158" s="885"/>
      <c r="V158" s="885"/>
      <c r="W158" s="885"/>
      <c r="X158" s="684"/>
      <c r="Y158" s="1524"/>
      <c r="Z158" s="885"/>
      <c r="AA158" s="1714"/>
      <c r="AB158" s="1698" t="str">
        <f>"9."&amp;Y157</f>
        <v>9.0</v>
      </c>
      <c r="AC158" s="3689"/>
      <c r="AD158" s="1715"/>
      <c r="AE158" s="885"/>
      <c r="AF158" s="885"/>
      <c r="AG158" s="885"/>
      <c r="AH158" s="885"/>
      <c r="AI158" s="885"/>
      <c r="AJ158" s="885"/>
      <c r="AK158" s="885"/>
      <c r="AL158" s="885"/>
      <c r="AM158" s="885"/>
      <c r="AN158" s="885"/>
      <c r="AO158" s="885"/>
      <c r="AP158" s="885"/>
      <c r="AQ158" s="885"/>
      <c r="AR158" s="885"/>
      <c r="AS158" s="885"/>
      <c r="AT158" s="885"/>
      <c r="AU158" s="885"/>
      <c r="AV158" s="885"/>
      <c r="AW158" s="885"/>
      <c r="AX158" s="885"/>
      <c r="AY158" s="885"/>
      <c r="AZ158" s="885"/>
      <c r="BA158" s="885"/>
      <c r="BB158" s="885"/>
      <c r="BC158" s="885"/>
      <c r="BD158" s="885"/>
      <c r="BE158" s="885"/>
      <c r="BF158" s="1044"/>
      <c r="BG158" s="1044"/>
      <c r="BH158" s="1044"/>
      <c r="BI158" s="679"/>
      <c r="BJ158" s="679"/>
    </row>
    <row s="1834" customFormat="1" customHeight="1" ht="0" hidden="1">
      <c r="A159" s="885"/>
      <c r="B159" s="441"/>
      <c r="C159" s="885"/>
      <c r="D159" s="885"/>
      <c r="E159" s="678">
        <v>15</v>
      </c>
      <c r="F159" s="1387" cm="1" t="str">
        <f t="array" ref="F159:F159">OFFSET(E159,-1,1)</f>
        <v>1</v>
      </c>
      <c r="G159" s="885"/>
      <c r="H159" s="885"/>
      <c r="I159" s="885"/>
      <c r="J159" s="885"/>
      <c r="K159" s="911"/>
      <c r="L159" s="915"/>
      <c r="M159" s="885"/>
      <c r="N159" s="885"/>
      <c r="O159" s="885"/>
      <c r="P159" s="885"/>
      <c r="Q159" s="885"/>
      <c r="R159" s="885"/>
      <c r="S159" s="885"/>
      <c r="T159" s="1356" cm="1" t="str">
        <f t="array" ref="T159:T159">T158</f>
        <v>false</v>
      </c>
      <c r="U159" s="885"/>
      <c r="V159" s="885"/>
      <c r="W159" s="885"/>
      <c r="X159" s="684"/>
      <c r="Y159" s="1524"/>
      <c r="Z159" s="885"/>
      <c r="AA159" s="1714"/>
      <c r="AB159" s="1698" t="str">
        <f>AB158&amp;".1"</f>
        <v>9.0.1</v>
      </c>
      <c r="AC159" s="1728" t="s">
        <v>1783</v>
      </c>
      <c r="AD159" s="1700" t="s">
        <v>1514</v>
      </c>
      <c r="AE159" s="3679"/>
      <c r="AF159" s="3680"/>
      <c r="AG159" s="3679"/>
      <c r="AH159" s="3679"/>
      <c r="AI159" s="3680"/>
      <c r="AJ159" s="3680"/>
      <c r="AK159" s="3680"/>
      <c r="AL159" s="3680"/>
      <c r="AM159" s="3680"/>
      <c r="AN159" s="3680"/>
      <c r="AO159" s="3680"/>
      <c r="AP159" s="3680"/>
      <c r="AQ159" s="3680"/>
      <c r="AR159" s="3680"/>
      <c r="AS159" s="3679"/>
      <c r="AT159" s="3679"/>
      <c r="AU159" s="3679"/>
      <c r="AV159" s="3679"/>
      <c r="AW159" s="3679"/>
      <c r="AX159" s="3679"/>
      <c r="AY159" s="3679"/>
      <c r="AZ159" s="3679"/>
      <c r="BA159" s="3679"/>
      <c r="BB159" s="3679"/>
      <c r="BC159" s="3685"/>
      <c r="BD159" s="885"/>
      <c r="BE159" s="885"/>
      <c r="BF159" s="1041" t="s">
        <v>1784</v>
      </c>
      <c r="BG159" s="1044" t="s">
        <v>1855</v>
      </c>
      <c r="BH159" s="1720" cm="1" t="str">
        <f t="array" ref="BH159:BH159">AC158</f>
        <v>0</v>
      </c>
      <c r="BI159" s="679"/>
      <c r="BJ159" s="679" t="b">
        <v>1</v>
      </c>
    </row>
    <row s="1834" customFormat="1" customHeight="1" ht="0" hidden="1">
      <c r="A160" s="885"/>
      <c r="B160" s="441"/>
      <c r="C160" s="885"/>
      <c r="D160" s="885"/>
      <c r="E160" s="678">
        <v>15</v>
      </c>
      <c r="F160" s="1387" cm="1" t="str">
        <f t="array" ref="F160:F160">OFFSET(E160,-1,1)</f>
        <v>1</v>
      </c>
      <c r="G160" s="885"/>
      <c r="H160" s="885"/>
      <c r="I160" s="885"/>
      <c r="J160" s="885"/>
      <c r="K160" s="911"/>
      <c r="L160" s="915"/>
      <c r="M160" s="885"/>
      <c r="N160" s="885"/>
      <c r="O160" s="885"/>
      <c r="P160" s="885"/>
      <c r="Q160" s="885"/>
      <c r="R160" s="885"/>
      <c r="S160" s="885"/>
      <c r="T160" s="1356" cm="1" t="str">
        <f t="array" ref="T160:T160">T159</f>
        <v>false</v>
      </c>
      <c r="U160" s="885"/>
      <c r="V160" s="885"/>
      <c r="W160" s="885"/>
      <c r="X160" s="684"/>
      <c r="Y160" s="1524"/>
      <c r="Z160" s="885"/>
      <c r="AA160" s="1714"/>
      <c r="AB160" s="1698" t="str">
        <f>AB159&amp;".1"</f>
        <v>9.0.1.1</v>
      </c>
      <c r="AC160" s="1707" t="s">
        <v>1856</v>
      </c>
      <c r="AD160" s="1698"/>
      <c r="AE160" s="3679"/>
      <c r="AF160" s="3680"/>
      <c r="AG160" s="3679"/>
      <c r="AH160" s="3679"/>
      <c r="AI160" s="3680"/>
      <c r="AJ160" s="3680"/>
      <c r="AK160" s="3680"/>
      <c r="AL160" s="3680"/>
      <c r="AM160" s="3680"/>
      <c r="AN160" s="3680"/>
      <c r="AO160" s="3680"/>
      <c r="AP160" s="3680"/>
      <c r="AQ160" s="3680"/>
      <c r="AR160" s="3680"/>
      <c r="AS160" s="3679"/>
      <c r="AT160" s="3679"/>
      <c r="AU160" s="3679"/>
      <c r="AV160" s="3679"/>
      <c r="AW160" s="3679"/>
      <c r="AX160" s="3679"/>
      <c r="AY160" s="3679"/>
      <c r="AZ160" s="3679"/>
      <c r="BA160" s="3679"/>
      <c r="BB160" s="3679"/>
      <c r="BC160" s="3685"/>
      <c r="BD160" s="885"/>
      <c r="BE160" s="885"/>
      <c r="BF160" s="1041" t="s">
        <v>1787</v>
      </c>
      <c r="BG160" s="1044" t="s">
        <v>1855</v>
      </c>
      <c r="BH160" s="1720" cm="1" t="str">
        <f t="array" ref="BH160:BH160">BH159</f>
        <v>0</v>
      </c>
      <c r="BI160" s="679"/>
      <c r="BJ160" s="679"/>
    </row>
    <row s="1834" customFormat="1" customHeight="1" ht="0" hidden="1">
      <c r="A161" s="885"/>
      <c r="B161" s="441"/>
      <c r="C161" s="885"/>
      <c r="D161" s="885"/>
      <c r="E161" s="678">
        <v>15</v>
      </c>
      <c r="F161" s="1387" cm="1" t="str">
        <f t="array" ref="F161:F161">OFFSET(E161,-1,1)</f>
        <v>1</v>
      </c>
      <c r="G161" s="885"/>
      <c r="H161" s="885"/>
      <c r="I161" s="885"/>
      <c r="J161" s="885"/>
      <c r="K161" s="911"/>
      <c r="L161" s="915"/>
      <c r="M161" s="885"/>
      <c r="N161" s="885"/>
      <c r="O161" s="885"/>
      <c r="P161" s="885"/>
      <c r="Q161" s="885"/>
      <c r="R161" s="885"/>
      <c r="S161" s="885"/>
      <c r="T161" s="1356" cm="1" t="str">
        <f t="array" ref="T161:T161">T160</f>
        <v>false</v>
      </c>
      <c r="U161" s="885"/>
      <c r="V161" s="885"/>
      <c r="W161" s="885"/>
      <c r="X161" s="684"/>
      <c r="Y161" s="1524"/>
      <c r="Z161" s="885"/>
      <c r="AA161" s="1714"/>
      <c r="AB161" s="1698" t="str">
        <f>AB159&amp;".2"</f>
        <v>9.0.1.2</v>
      </c>
      <c r="AC161" s="1707" t="s">
        <v>1857</v>
      </c>
      <c r="AD161" s="1698"/>
      <c r="AE161" s="3679"/>
      <c r="AF161" s="3680"/>
      <c r="AG161" s="3680"/>
      <c r="AH161" s="3679"/>
      <c r="AI161" s="3680"/>
      <c r="AJ161" s="3680"/>
      <c r="AK161" s="3680"/>
      <c r="AL161" s="3680"/>
      <c r="AM161" s="3680"/>
      <c r="AN161" s="3680"/>
      <c r="AO161" s="3680"/>
      <c r="AP161" s="3680"/>
      <c r="AQ161" s="3680"/>
      <c r="AR161" s="3680"/>
      <c r="AS161" s="3680"/>
      <c r="AT161" s="3680"/>
      <c r="AU161" s="3680"/>
      <c r="AV161" s="3680"/>
      <c r="AW161" s="3680"/>
      <c r="AX161" s="3680"/>
      <c r="AY161" s="3680"/>
      <c r="AZ161" s="3680"/>
      <c r="BA161" s="3680"/>
      <c r="BB161" s="3686"/>
      <c r="BC161" s="3685"/>
      <c r="BD161" s="885"/>
      <c r="BE161" s="885"/>
      <c r="BF161" s="1041" t="s">
        <v>1790</v>
      </c>
      <c r="BG161" s="1044" t="s">
        <v>1855</v>
      </c>
      <c r="BH161" s="1720" cm="1" t="str">
        <f t="array" ref="BH161:BH161">BH160</f>
        <v>0</v>
      </c>
      <c r="BI161" s="679"/>
      <c r="BJ161" s="679"/>
    </row>
    <row s="1834" customFormat="1" customHeight="1" ht="0">
      <c r="A162" s="885"/>
      <c r="B162" s="441"/>
      <c r="C162" s="885"/>
      <c r="D162" s="885"/>
      <c r="E162" s="678">
        <v>15</v>
      </c>
      <c r="F162" s="1387" cm="1" t="str">
        <f t="array" ref="F162:F162">OFFSET(E162,-1,1)</f>
        <v>1</v>
      </c>
      <c r="G162" s="885"/>
      <c r="H162" s="885"/>
      <c r="I162" s="885"/>
      <c r="J162" s="885"/>
      <c r="K162" s="911"/>
      <c r="L162" s="915"/>
      <c r="M162" s="885"/>
      <c r="N162" s="885"/>
      <c r="O162" s="885"/>
      <c r="P162" s="885"/>
      <c r="Q162" s="885"/>
      <c r="R162" s="885"/>
      <c r="S162" s="885"/>
      <c r="T162" s="1356">
        <f>F162&gt;0</f>
        <v>1</v>
      </c>
      <c r="U162" s="885"/>
      <c r="V162" s="885"/>
      <c r="W162" s="685" t="s">
        <v>1858</v>
      </c>
      <c r="X162" s="684"/>
      <c r="Y162" s="885"/>
      <c r="Z162" s="885"/>
      <c r="AA162" s="885"/>
      <c r="AB162" s="1724"/>
      <c r="AC162" s="1740" t="s">
        <v>1792</v>
      </c>
      <c r="AD162" s="1726"/>
      <c r="AE162" s="1726"/>
      <c r="AF162" s="1726"/>
      <c r="AG162" s="1726"/>
      <c r="AH162" s="1726"/>
      <c r="AI162" s="1726"/>
      <c r="AJ162" s="1726"/>
      <c r="AK162" s="1726"/>
      <c r="AL162" s="1726"/>
      <c r="AM162" s="1726"/>
      <c r="AN162" s="1726"/>
      <c r="AO162" s="1726"/>
      <c r="AP162" s="1726"/>
      <c r="AQ162" s="1726"/>
      <c r="AR162" s="1726"/>
      <c r="AS162" s="1726"/>
      <c r="AT162" s="1726"/>
      <c r="AU162" s="1726"/>
      <c r="AV162" s="1726"/>
      <c r="AW162" s="1726"/>
      <c r="AX162" s="1726"/>
      <c r="AY162" s="1726"/>
      <c r="AZ162" s="1726"/>
      <c r="BA162" s="1726"/>
      <c r="BB162" s="1726"/>
      <c r="BC162" s="1732"/>
      <c r="BD162" s="885"/>
      <c r="BE162" s="885"/>
      <c r="BF162" s="1044"/>
      <c r="BG162" s="1044"/>
      <c r="BH162" s="1044"/>
      <c r="BI162" s="679" t="s">
        <v>1855</v>
      </c>
      <c r="BJ162" s="679"/>
    </row>
    <row s="1834" customFormat="1" customHeight="1" ht="14.25">
      <c r="A163" s="885"/>
      <c r="B163" s="440"/>
      <c r="C163" s="885"/>
      <c r="D163" s="885"/>
      <c r="E163" s="678">
        <v>15</v>
      </c>
      <c r="F163" s="98" cm="1" t="str">
        <f t="array" ref="F163:F163">X163</f>
        <v>2</v>
      </c>
      <c r="G163" s="885"/>
      <c r="H163" s="885"/>
      <c r="I163" s="885" t="s">
        <v>1779</v>
      </c>
      <c r="J163" s="885"/>
      <c r="K163" s="911"/>
      <c r="L163" s="885"/>
      <c r="M163" s="885"/>
      <c r="N163" s="885"/>
      <c r="O163" s="885"/>
      <c r="P163" s="885"/>
      <c r="Q163" s="885"/>
      <c r="R163" s="885"/>
      <c r="S163" s="885"/>
      <c r="T163" s="465">
        <f>X163&gt;0</f>
        <v>1</v>
      </c>
      <c r="U163" s="885"/>
      <c r="V163" s="152" cm="1" t="str">
        <f t="array" ref="V163:V163">Аренда!$AB$47</f>
        <v>Тариф 2 (Водоснабжение) - тариф на питьевую воду (Доп. признак не требуется)</v>
      </c>
      <c r="W163" s="885"/>
      <c r="X163" s="1524" t="s">
        <v>285</v>
      </c>
      <c r="Y163" s="680"/>
      <c r="Z163" s="1615"/>
      <c r="AA163" s="885"/>
      <c r="AB163" s="222" cm="1" t="str">
        <f t="array" ref="AB163:AB163">Аренда!$AB$47</f>
        <v>Тариф 2 (Водоснабжение) - тариф на питьевую воду (Доп. признак не требуется)</v>
      </c>
      <c r="AC163" s="180"/>
      <c r="AD163" s="180"/>
      <c r="AE163" s="306">
        <f>AE176+AE183+AE190+AE197+AE164+AE204+AE215+AE222+AE229</f>
        <v>0</v>
      </c>
      <c r="AF163" s="306">
        <f>AF176+AF183+AF190+AF197+AF164+AF204+AF215+AF222+AF229</f>
        <v>0</v>
      </c>
      <c r="AG163" s="306">
        <f>AG176+AG183+AG190+AG197+AG164+AG204+AG215+AG222+AG229</f>
        <v>0</v>
      </c>
      <c r="AH163" s="306">
        <f>AH176+AH183+AH190+AH197+AH164+AH204+AH215+AH222+AH229</f>
        <v>0</v>
      </c>
      <c r="AI163" s="306">
        <f>AI176+AI183+AI190+AI197+AI164+AI204+AI215+AI222+AI229</f>
        <v>73212.173294</v>
      </c>
      <c r="AJ163" s="306">
        <f>AJ176+AJ183+AJ190+AJ197+AJ164+AJ204+AJ215+AJ222+AJ229</f>
        <v>80360.30505</v>
      </c>
      <c r="AK163" s="306">
        <f>AK176+AK183+AK190+AK197+AK164+AK204+AK215+AK222+AK229</f>
        <v>83396.76</v>
      </c>
      <c r="AL163" s="306">
        <f>AL176+AL183+AL190+AL197+AL164+AL204+AL215+AL222+AL229</f>
        <v>85566.07</v>
      </c>
      <c r="AM163" s="306">
        <f>AM176+AM183+AM190+AM197+AM164+AM204+AM215+AM222+AM229</f>
        <v>88092.42</v>
      </c>
      <c r="AN163" s="306">
        <f>AN176+AN183+AN190+AN197+AN164+AN204+AN215+AN222+AN229</f>
        <v>0</v>
      </c>
      <c r="AO163" s="306">
        <f>AO176+AO183+AO190+AO197+AO164+AO204+AO215+AO222+AO229</f>
        <v>0</v>
      </c>
      <c r="AP163" s="306">
        <f>AP176+AP183+AP190+AP197+AP164+AP204+AP215+AP222+AP229</f>
        <v>0</v>
      </c>
      <c r="AQ163" s="306">
        <f>AQ176+AQ183+AQ190+AQ197+AQ164+AQ204+AQ215+AQ222+AQ229</f>
        <v>0</v>
      </c>
      <c r="AR163" s="306">
        <f>AR176+AR183+AR190+AR197+AR164+AR204+AR215+AR222+AR229</f>
        <v>0</v>
      </c>
      <c r="AS163" s="306">
        <f>AS176+AS183+AS190+AS197+AS164+AS204+AS215+AS222+AS229</f>
        <v>73212.173294</v>
      </c>
      <c r="AT163" s="306">
        <f>AT176+AT183+AT190+AT197+AT164+AT204+AT215+AT222+AT229</f>
        <v>80360.30505</v>
      </c>
      <c r="AU163" s="306">
        <f>AU176+AU183+AU190+AU197+AU164+AU204+AU215+AU222+AU229</f>
        <v>83396.89505</v>
      </c>
      <c r="AV163" s="306">
        <f>AV176+AV183+AV190+AV197+AV164+AV204+AV215+AV222+AV229</f>
        <v>85565.37871</v>
      </c>
      <c r="AW163" s="306">
        <f>AW176+AW183+AW190+AW197+AW164+AW204+AW215+AW222+AW229</f>
        <v>88183.54112</v>
      </c>
      <c r="AX163" s="306">
        <f>AX176+AX183+AX190+AX197+AX164+AX204+AX215+AX222+AX229</f>
        <v>0</v>
      </c>
      <c r="AY163" s="306">
        <f>AY176+AY183+AY190+AY197+AY164+AY204+AY215+AY222+AY229</f>
        <v>0</v>
      </c>
      <c r="AZ163" s="306">
        <f>AZ176+AZ183+AZ190+AZ197+AZ164+AZ204+AZ215+AZ222+AZ229</f>
        <v>0</v>
      </c>
      <c r="BA163" s="306">
        <f>BA176+BA183+BA190+BA197+BA164+BA204+BA215+BA222+BA229</f>
        <v>0</v>
      </c>
      <c r="BB163" s="306">
        <f>BB176+BB183+BB190+BB197+BB164+BB204+BB215+BB222+BB229</f>
        <v>0</v>
      </c>
      <c r="BC163" s="224"/>
      <c r="BD163" s="885"/>
      <c r="BE163" s="885"/>
      <c r="BF163" s="1041"/>
      <c r="BG163" s="1041"/>
      <c r="BH163" s="1041"/>
      <c r="BI163" s="678"/>
      <c r="BJ163" s="678"/>
    </row>
    <row s="1834" customFormat="1" customHeight="1" ht="14.25">
      <c r="A164" s="885"/>
      <c r="B164" s="440"/>
      <c r="C164" s="885"/>
      <c r="D164" s="885"/>
      <c r="E164" s="678">
        <v>15</v>
      </c>
      <c r="F164" s="50" cm="1" t="str">
        <f t="array" ref="F164:F164">OFFSET(E164,-1,1)</f>
        <v>2</v>
      </c>
      <c r="G164" s="152" t="s">
        <v>332</v>
      </c>
      <c r="H164" s="885"/>
      <c r="I164" s="885"/>
      <c r="J164" s="885"/>
      <c r="K164" s="911" t="str">
        <f>F164&amp;"1komm"</f>
        <v>21komm</v>
      </c>
      <c r="L164" s="915" cm="1" t="str">
        <f t="array" ref="L164:L164">BC164</f>
        <v>В соответствии с п.49 Методических указаний 1746-э. </v>
      </c>
      <c r="M164" s="885"/>
      <c r="N164" s="885"/>
      <c r="O164" s="885"/>
      <c r="P164" s="885"/>
      <c r="Q164" s="885"/>
      <c r="R164" s="885"/>
      <c r="S164" s="885"/>
      <c r="T164" s="465" cm="1" t="str">
        <f t="array" ref="T164:T164">T163</f>
        <v>true</v>
      </c>
      <c r="U164" s="885"/>
      <c r="V164" s="885"/>
      <c r="W164" s="885"/>
      <c r="X164" s="1524"/>
      <c r="Y164" s="885"/>
      <c r="Z164" s="1615"/>
      <c r="AA164" s="885"/>
      <c r="AB164" s="211">
        <v>1</v>
      </c>
      <c r="AC164" s="212" t="s">
        <v>1780</v>
      </c>
      <c r="AD164" s="211" t="s">
        <v>1514</v>
      </c>
      <c r="AE164" s="213">
        <f>SUMIF(AD167:AD175,AD164,AE167:AE175)</f>
        <v>0</v>
      </c>
      <c r="AF164" s="213">
        <f>SUMIF(AD167:AD175,AD164,AF167:AF175)</f>
        <v>0</v>
      </c>
      <c r="AG164" s="213">
        <f>SUMIF(AD167:AD175,AD164,AG167:AG175)</f>
        <v>0</v>
      </c>
      <c r="AH164" s="213">
        <f>SUMIF(AD167:AD175,AD164,AH167:AH175)</f>
        <v>0</v>
      </c>
      <c r="AI164" s="213">
        <f>SUMIF(AD167:AD175,AD164,AI167:AI175)</f>
        <v>73212.173294</v>
      </c>
      <c r="AJ164" s="1460">
        <f>SUMIF(AD167:AD175,AD164,AJ167:AJ175)</f>
        <v>80360.30505</v>
      </c>
      <c r="AK164" s="1460">
        <f>SUMIF(AD167:AD175,AD164,AK167:AK175)</f>
        <v>83396.76</v>
      </c>
      <c r="AL164" s="1460">
        <f>SUMIF(AD167:AD175,AD164,AL167:AL175)</f>
        <v>85566.07</v>
      </c>
      <c r="AM164" s="1460">
        <f>SUMIF(AD167:AD175,AD164,AM167:AM175)</f>
        <v>88092.42</v>
      </c>
      <c r="AN164" s="3626">
        <f>SUMIF(AD167:AD175,AD164,AN167:AN175)</f>
        <v>0</v>
      </c>
      <c r="AO164" s="3626">
        <f>SUMIF(AD167:AD175,AD164,AO167:AO175)</f>
        <v>0</v>
      </c>
      <c r="AP164" s="3626">
        <f>SUMIF(AD167:AD175,AD164,AP167:AP175)</f>
        <v>0</v>
      </c>
      <c r="AQ164" s="3626">
        <f>SUMIF(AD167:AD175,AD164,AQ167:AQ175)</f>
        <v>0</v>
      </c>
      <c r="AR164" s="3626">
        <f>SUMIF(AD167:AD175,AD164,AR167:AR175)</f>
        <v>0</v>
      </c>
      <c r="AS164" s="213">
        <f>SUMIF(AD167:AD175,AD164,AS167:AS175)</f>
        <v>73212.173294</v>
      </c>
      <c r="AT164" s="1460">
        <f>SUMIF(AD167:AD175,AD164,AT167:AT175)</f>
        <v>80360.30505</v>
      </c>
      <c r="AU164" s="1460">
        <f>SUMIF(AD167:AD175,AD164,AU167:AU175)</f>
        <v>83396.89505</v>
      </c>
      <c r="AV164" s="1460">
        <f>SUMIF(AD167:AD175,AD164,AV167:AV175)</f>
        <v>85565.37871</v>
      </c>
      <c r="AW164" s="1460">
        <f>SUMIF(AD167:AD175,AD164,AW167:AW175)</f>
        <v>88183.54112</v>
      </c>
      <c r="AX164" s="3626">
        <f>SUMIF(AD167:AD175,AD164,AX167:AX175)</f>
        <v>0</v>
      </c>
      <c r="AY164" s="3626">
        <f>SUMIF(AD167:AD175,AD164,AY167:AY175)</f>
        <v>0</v>
      </c>
      <c r="AZ164" s="3626">
        <f>SUMIF(AD167:AD175,AD164,AZ167:AZ175)</f>
        <v>0</v>
      </c>
      <c r="BA164" s="3626">
        <f>SUMIF(AD167:AD175,AD164,BA167:BA175)</f>
        <v>0</v>
      </c>
      <c r="BB164" s="3626">
        <f>SUMIF(AD167:AD175,AD164,BB167:BB175)</f>
        <v>0</v>
      </c>
      <c r="BC164" s="200" t="s">
        <v>1859</v>
      </c>
      <c r="BD164" s="885"/>
      <c r="BE164" s="885"/>
      <c r="BF164" s="1041" t="s">
        <v>1781</v>
      </c>
      <c r="BG164" s="1041"/>
      <c r="BH164" s="1041"/>
      <c r="BI164" s="678"/>
      <c r="BJ164" s="678"/>
    </row>
    <row s="1834" customFormat="1" customHeight="1" ht="15" hidden="1">
      <c r="E165" s="678">
        <v>0</v>
      </c>
      <c r="F165" s="1175" cm="1" t="str">
        <f t="array" ref="F165:F165">OFFSET(E165,-1,1)</f>
        <v>2</v>
      </c>
      <c r="T165" s="465" t="b">
        <v>0</v>
      </c>
      <c r="W165" s="152" t="s">
        <v>174</v>
      </c>
      <c r="Y165" s="683">
        <v>0</v>
      </c>
      <c r="AA165" s="1616" t="s">
        <v>175</v>
      </c>
      <c r="AB165" s="211"/>
      <c r="AC165" s="212"/>
      <c r="AD165" s="211"/>
      <c r="AE165" s="216">
        <f>OR(AND(AE167&lt;&gt;"",AE168=""),AND(AE167="",AE168&lt;&gt;""))</f>
        <v>0</v>
      </c>
      <c r="AF165" s="216">
        <f>OR(AND(AF167&lt;&gt;"",AF168=""),AND(AF167="",AF168&lt;&gt;""))</f>
        <v>0</v>
      </c>
      <c r="AG165" s="216">
        <f>OR(AND(AG167&lt;&gt;"",AG168=""),AND(AG167="",AG168&lt;&gt;""))</f>
        <v>0</v>
      </c>
      <c r="AH165" s="216">
        <f>OR(AND(AH167&lt;&gt;"",AH168=""),AND(AH167="",AH168&lt;&gt;""))</f>
        <v>0</v>
      </c>
      <c r="AI165" s="216">
        <f>OR(AND(AI167&lt;&gt;"",AI168=""),AND(AI167="",AI168&lt;&gt;""))</f>
        <v>0</v>
      </c>
      <c r="AJ165" s="216">
        <f>OR(AND(AJ167&lt;&gt;"",AJ168=""),AND(AJ167="",AJ168&lt;&gt;""))</f>
        <v>0</v>
      </c>
      <c r="AK165" s="216">
        <f>OR(AND(AK167&lt;&gt;"",AK168=""),AND(AK167="",AK168&lt;&gt;""))</f>
        <v>0</v>
      </c>
      <c r="AL165" s="216">
        <f>OR(AND(AL167&lt;&gt;"",AL168=""),AND(AL167="",AL168&lt;&gt;""))</f>
        <v>0</v>
      </c>
      <c r="AM165" s="216">
        <f>OR(AND(AM167&lt;&gt;"",AM168=""),AND(AM167="",AM168&lt;&gt;""))</f>
        <v>0</v>
      </c>
      <c r="AN165" s="216">
        <f>OR(AND(AN167&lt;&gt;"",AN168=""),AND(AN167="",AN168&lt;&gt;""))</f>
        <v>0</v>
      </c>
      <c r="AO165" s="216">
        <f>OR(AND(AO167&lt;&gt;"",AO168=""),AND(AO167="",AO168&lt;&gt;""))</f>
        <v>0</v>
      </c>
      <c r="AP165" s="216">
        <f>OR(AND(AP167&lt;&gt;"",AP168=""),AND(AP167="",AP168&lt;&gt;""))</f>
        <v>0</v>
      </c>
      <c r="AQ165" s="216">
        <f>OR(AND(AQ167&lt;&gt;"",AQ168=""),AND(AQ167="",AQ168&lt;&gt;""))</f>
        <v>0</v>
      </c>
      <c r="AR165" s="216">
        <f>OR(AND(AR167&lt;&gt;"",AR168=""),AND(AR167="",AR168&lt;&gt;""))</f>
        <v>0</v>
      </c>
      <c r="AS165" s="216">
        <f>OR(AND(AS167&lt;&gt;"",AS168=""),AND(AS167="",AS168&lt;&gt;""))</f>
        <v>0</v>
      </c>
      <c r="AT165" s="216">
        <f>OR(AND(AT167&lt;&gt;"",AT168=""),AND(AT167="",AT168&lt;&gt;""))</f>
        <v>0</v>
      </c>
      <c r="AU165" s="216">
        <f>OR(AND(AU167&lt;&gt;"",AU168=""),AND(AU167="",AU168&lt;&gt;""))</f>
        <v>0</v>
      </c>
      <c r="AV165" s="216">
        <f>OR(AND(AV167&lt;&gt;"",AV168=""),AND(AV167="",AV168&lt;&gt;""))</f>
        <v>0</v>
      </c>
      <c r="AW165" s="216">
        <f>OR(AND(AW167&lt;&gt;"",AW168=""),AND(AW167="",AW168&lt;&gt;""))</f>
        <v>0</v>
      </c>
      <c r="AX165" s="216">
        <f>OR(AND(AX167&lt;&gt;"",AX168=""),AND(AX167="",AX168&lt;&gt;""))</f>
        <v>0</v>
      </c>
      <c r="AY165" s="216">
        <f>OR(AND(AY167&lt;&gt;"",AY168=""),AND(AY167="",AY168&lt;&gt;""))</f>
        <v>0</v>
      </c>
      <c r="AZ165" s="216">
        <f>OR(AND(AZ167&lt;&gt;"",AZ168=""),AND(AZ167="",AZ168&lt;&gt;""))</f>
        <v>0</v>
      </c>
      <c r="BA165" s="216">
        <f>OR(AND(BA167&lt;&gt;"",BA168=""),AND(BA167="",BA168&lt;&gt;""))</f>
        <v>0</v>
      </c>
      <c r="BB165" s="216">
        <f>OR(AND(BB167&lt;&gt;"",BB168=""),AND(BB167="",BB168&lt;&gt;""))</f>
        <v>0</v>
      </c>
      <c r="BC165" s="974"/>
      <c r="BF165" s="1041"/>
      <c r="BG165" s="1041"/>
      <c r="BH165" s="1041"/>
      <c r="BI165" s="678"/>
      <c r="BJ165" s="678"/>
    </row>
    <row s="1834" customFormat="1" customHeight="1" ht="14.25" hidden="1">
      <c r="E166" s="678">
        <v>15</v>
      </c>
      <c r="F166" s="1175" cm="1" t="str">
        <f t="array" ref="F166:F166">OFFSET(E166,-1,1)</f>
        <v>2</v>
      </c>
      <c r="T166" s="465">
        <f>AND(Y165&gt;0,F166&gt;0)</f>
        <v>0</v>
      </c>
      <c r="AA166" s="1697"/>
      <c r="AB166" s="1698" t="str">
        <f>"1."&amp;Y165</f>
        <v>1.0</v>
      </c>
      <c r="AC166" s="1699" t="s">
        <v>227</v>
      </c>
      <c r="AD166" s="1700"/>
      <c r="AE166" s="57"/>
      <c r="AF166" s="1702"/>
      <c r="AG166" s="57"/>
      <c r="AH166" s="57"/>
      <c r="AI166" s="57"/>
      <c r="AJ166" s="57"/>
      <c r="AK166" s="57"/>
      <c r="AL166" s="57"/>
      <c r="AM166" s="57"/>
      <c r="AN166" s="57"/>
      <c r="AO166" s="57"/>
      <c r="AP166" s="57"/>
      <c r="AQ166" s="57"/>
      <c r="AR166" s="57"/>
      <c r="AS166" s="1702"/>
      <c r="AT166" s="1702"/>
      <c r="AU166" s="1702"/>
      <c r="AV166" s="1702"/>
      <c r="AW166" s="1702"/>
      <c r="AX166" s="1702"/>
      <c r="AY166" s="1702"/>
      <c r="AZ166" s="1702"/>
      <c r="BA166" s="1702"/>
      <c r="BB166" s="1703"/>
      <c r="BC166" s="1704"/>
      <c r="BF166" s="1041"/>
      <c r="BG166" s="1041"/>
      <c r="BH166" s="1041"/>
      <c r="BI166" s="678"/>
      <c r="BJ166" s="678"/>
    </row>
    <row s="1834" customFormat="1" customHeight="1" ht="14.25" hidden="1">
      <c r="E167" s="678">
        <v>15</v>
      </c>
      <c r="F167" s="1175" cm="1" t="str">
        <f t="array" ref="F167:F167">OFFSET(E167,-1,1)</f>
        <v>2</v>
      </c>
      <c r="G167" s="152" t="s">
        <v>332</v>
      </c>
      <c r="H167" s="155" cm="1" t="str">
        <f t="array" ref="H167:H167">AC167</f>
        <v>Затраты</v>
      </c>
      <c r="I167" s="152" t="s">
        <v>1782</v>
      </c>
      <c r="T167" s="465" cm="1" t="str">
        <f t="array" ref="T167:T167">T166</f>
        <v>false</v>
      </c>
      <c r="AA167" s="1616"/>
      <c r="AB167" s="88" t="str">
        <f>AB166&amp;".1"</f>
        <v>1.0.1</v>
      </c>
      <c r="AC167" s="1705" t="s">
        <v>1783</v>
      </c>
      <c r="AD167" s="211" t="s">
        <v>1514</v>
      </c>
      <c r="AE167" s="1241"/>
      <c r="AF167" s="1241"/>
      <c r="AG167" s="1241"/>
      <c r="AH167" s="1241"/>
      <c r="AI167" s="1241"/>
      <c r="AJ167" s="1241"/>
      <c r="AK167" s="1241"/>
      <c r="AL167" s="1241"/>
      <c r="AM167" s="1241"/>
      <c r="AN167" s="1241"/>
      <c r="AO167" s="1241"/>
      <c r="AP167" s="1241"/>
      <c r="AQ167" s="1241"/>
      <c r="AR167" s="1241"/>
      <c r="AS167" s="1241"/>
      <c r="AT167" s="1241"/>
      <c r="AU167" s="1241"/>
      <c r="AV167" s="1241"/>
      <c r="AW167" s="1241"/>
      <c r="AX167" s="1241"/>
      <c r="AY167" s="1241"/>
      <c r="AZ167" s="1241"/>
      <c r="BA167" s="1241"/>
      <c r="BB167" s="1241"/>
      <c r="BC167" s="3945"/>
      <c r="BF167" s="1041" t="s">
        <v>1784</v>
      </c>
      <c r="BG167" s="1041" t="s">
        <v>1785</v>
      </c>
      <c r="BH167" s="1041" cm="1" t="str">
        <f t="array" ref="BH167:BH167">AC166</f>
        <v/>
      </c>
      <c r="BI167" s="678"/>
      <c r="BJ167" s="678" t="b">
        <v>1</v>
      </c>
    </row>
    <row s="1834" customFormat="1" customHeight="1" ht="14.25" hidden="1">
      <c r="E168" s="678">
        <v>15</v>
      </c>
      <c r="F168" s="1175" cm="1" t="str">
        <f t="array" ref="F168:F168">OFFSET(E168,-1,1)</f>
        <v>2</v>
      </c>
      <c r="G168" s="152" t="s">
        <v>1175</v>
      </c>
      <c r="H168" s="155" cm="1" t="str">
        <f t="array" ref="H168:H168">H167</f>
        <v>Затраты</v>
      </c>
      <c r="I168" s="152" t="s">
        <v>1782</v>
      </c>
      <c r="T168" s="465" cm="1" t="str">
        <f t="array" ref="T168:T168">T167</f>
        <v>false</v>
      </c>
      <c r="AA168" s="1616"/>
      <c r="AB168" s="88" t="str">
        <f>AB167&amp;".1"</f>
        <v>1.0.1.1</v>
      </c>
      <c r="AC168" s="221" t="s">
        <v>1786</v>
      </c>
      <c r="AD168" s="88" t="s">
        <v>1247</v>
      </c>
      <c r="AE168" s="1241"/>
      <c r="AF168" s="1241"/>
      <c r="AG168" s="1241"/>
      <c r="AH168" s="1241"/>
      <c r="AI168" s="1241"/>
      <c r="AJ168" s="1241"/>
      <c r="AK168" s="1241"/>
      <c r="AL168" s="1241"/>
      <c r="AM168" s="1241"/>
      <c r="AN168" s="1241"/>
      <c r="AO168" s="1241"/>
      <c r="AP168" s="1241"/>
      <c r="AQ168" s="1241"/>
      <c r="AR168" s="1241"/>
      <c r="AS168" s="1241"/>
      <c r="AT168" s="1241"/>
      <c r="AU168" s="1241"/>
      <c r="AV168" s="1241"/>
      <c r="AW168" s="1241"/>
      <c r="AX168" s="1241"/>
      <c r="AY168" s="1241"/>
      <c r="AZ168" s="1241"/>
      <c r="BA168" s="1241"/>
      <c r="BB168" s="1241"/>
      <c r="BC168" s="3945"/>
      <c r="BF168" s="1041" t="s">
        <v>1787</v>
      </c>
      <c r="BG168" s="1041" t="s">
        <v>1785</v>
      </c>
      <c r="BH168" s="1041" cm="1" t="str">
        <f t="array" ref="BH168:BH168">BH167</f>
        <v/>
      </c>
      <c r="BI168" s="678"/>
      <c r="BJ168" s="678"/>
    </row>
    <row s="1834" customFormat="1" customHeight="1" ht="14.25" hidden="1">
      <c r="E169" s="678">
        <v>15</v>
      </c>
      <c r="F169" s="1175" cm="1" t="str">
        <f t="array" ref="F169:F169">OFFSET(E169,-1,1)</f>
        <v>2</v>
      </c>
      <c r="T169" s="465" cm="1" t="str">
        <f t="array" ref="T169:T169">T168</f>
        <v>false</v>
      </c>
      <c r="AA169" s="1697"/>
      <c r="AB169" s="1706" t="str">
        <f>AB167&amp;".2"</f>
        <v>1.0.1.2</v>
      </c>
      <c r="AC169" s="1707" t="s">
        <v>1788</v>
      </c>
      <c r="AD169" s="1706" t="s">
        <v>1789</v>
      </c>
      <c r="AE169" s="58"/>
      <c r="AF169" s="58"/>
      <c r="AG169" s="58"/>
      <c r="AH169" s="58"/>
      <c r="AI169" s="58"/>
      <c r="AJ169" s="58"/>
      <c r="AK169" s="58"/>
      <c r="AL169" s="58"/>
      <c r="AM169" s="58"/>
      <c r="AN169" s="58"/>
      <c r="AO169" s="58"/>
      <c r="AP169" s="58"/>
      <c r="AQ169" s="58"/>
      <c r="AR169" s="58"/>
      <c r="AS169" s="58"/>
      <c r="AT169" s="58"/>
      <c r="AU169" s="58"/>
      <c r="AV169" s="58"/>
      <c r="AW169" s="58"/>
      <c r="AX169" s="58"/>
      <c r="AY169" s="58"/>
      <c r="AZ169" s="58"/>
      <c r="BA169" s="58"/>
      <c r="BB169" s="58"/>
      <c r="BC169" s="59"/>
      <c r="BF169" s="1041" t="s">
        <v>1790</v>
      </c>
      <c r="BG169" s="1041" t="s">
        <v>1785</v>
      </c>
      <c r="BH169" s="1710" cm="1" t="str">
        <f t="array" ref="BH169:BH169">BH168</f>
        <v/>
      </c>
      <c r="BI169" s="678"/>
      <c r="BJ169" s="678"/>
    </row>
    <row s="1834" customFormat="1" customHeight="1" ht="15" hidden="1">
      <c r="A170" s="1834"/>
      <c r="B170" s="1834"/>
      <c r="C170" s="1834"/>
      <c r="D170" s="1834"/>
      <c r="E170" s="678">
        <v>0</v>
      </c>
      <c r="F170" s="1175" cm="1" t="str">
        <f t="array" ref="F170:F170">OFFSET(E170,-1,1)</f>
        <v>2</v>
      </c>
      <c r="G170" s="1834"/>
      <c r="H170" s="1834"/>
      <c r="I170" s="1834"/>
      <c r="J170" s="1834"/>
      <c r="K170" s="1834"/>
      <c r="L170" s="1834"/>
      <c r="M170" s="1834"/>
      <c r="N170" s="1834"/>
      <c r="O170" s="1834"/>
      <c r="P170" s="1834"/>
      <c r="Q170" s="1834"/>
      <c r="R170" s="1834"/>
      <c r="S170" s="1834"/>
      <c r="T170" s="465" t="b">
        <v>0</v>
      </c>
      <c r="U170" s="1834"/>
      <c r="V170" s="1834"/>
      <c r="W170" s="152"/>
      <c r="X170" s="1834"/>
      <c r="Y170" s="683" t="s">
        <v>276</v>
      </c>
      <c r="Z170" s="1834"/>
      <c r="AA170" s="1616" t="s">
        <v>175</v>
      </c>
      <c r="AB170" s="211"/>
      <c r="AC170" s="212"/>
      <c r="AD170" s="211"/>
      <c r="AE170" s="216">
        <f>OR(AND(AE172&lt;&gt;"",AE173=""),AND(AE172="",AE173&lt;&gt;""))</f>
        <v>0</v>
      </c>
      <c r="AF170" s="216">
        <f>OR(AND(AF172&lt;&gt;"",AF173=""),AND(AF172="",AF173&lt;&gt;""))</f>
        <v>0</v>
      </c>
      <c r="AG170" s="216">
        <f>OR(AND(AG172&lt;&gt;"",AG173=""),AND(AG172="",AG173&lt;&gt;""))</f>
        <v>0</v>
      </c>
      <c r="AH170" s="216">
        <f>OR(AND(AH172&lt;&gt;"",AH173=""),AND(AH172="",AH173&lt;&gt;""))</f>
        <v>0</v>
      </c>
      <c r="AI170" s="216">
        <f>OR(AND(AI172&lt;&gt;"",AI173=""),AND(AI172="",AI173&lt;&gt;""))</f>
        <v>0</v>
      </c>
      <c r="AJ170" s="216">
        <f>OR(AND(AJ172&lt;&gt;"",AJ173=""),AND(AJ172="",AJ173&lt;&gt;""))</f>
        <v>0</v>
      </c>
      <c r="AK170" s="216">
        <f>OR(AND(AK172&lt;&gt;"",AK173=""),AND(AK172="",AK173&lt;&gt;""))</f>
        <v>0</v>
      </c>
      <c r="AL170" s="216">
        <f>OR(AND(AL172&lt;&gt;"",AL173=""),AND(AL172="",AL173&lt;&gt;""))</f>
        <v>0</v>
      </c>
      <c r="AM170" s="216">
        <f>OR(AND(AM172&lt;&gt;"",AM173=""),AND(AM172="",AM173&lt;&gt;""))</f>
        <v>0</v>
      </c>
      <c r="AN170" s="216">
        <f>OR(AND(AN172&lt;&gt;"",AN173=""),AND(AN172="",AN173&lt;&gt;""))</f>
        <v>0</v>
      </c>
      <c r="AO170" s="216">
        <f>OR(AND(AO172&lt;&gt;"",AO173=""),AND(AO172="",AO173&lt;&gt;""))</f>
        <v>0</v>
      </c>
      <c r="AP170" s="216">
        <f>OR(AND(AP172&lt;&gt;"",AP173=""),AND(AP172="",AP173&lt;&gt;""))</f>
        <v>0</v>
      </c>
      <c r="AQ170" s="216">
        <f>OR(AND(AQ172&lt;&gt;"",AQ173=""),AND(AQ172="",AQ173&lt;&gt;""))</f>
        <v>0</v>
      </c>
      <c r="AR170" s="216">
        <f>OR(AND(AR172&lt;&gt;"",AR173=""),AND(AR172="",AR173&lt;&gt;""))</f>
        <v>0</v>
      </c>
      <c r="AS170" s="216">
        <f>OR(AND(AS172&lt;&gt;"",AS173=""),AND(AS172="",AS173&lt;&gt;""))</f>
        <v>0</v>
      </c>
      <c r="AT170" s="216">
        <f>OR(AND(AT172&lt;&gt;"",AT173=""),AND(AT172="",AT173&lt;&gt;""))</f>
        <v>0</v>
      </c>
      <c r="AU170" s="216">
        <f>OR(AND(AU172&lt;&gt;"",AU173=""),AND(AU172="",AU173&lt;&gt;""))</f>
        <v>0</v>
      </c>
      <c r="AV170" s="216">
        <f>OR(AND(AV172&lt;&gt;"",AV173=""),AND(AV172="",AV173&lt;&gt;""))</f>
        <v>0</v>
      </c>
      <c r="AW170" s="216">
        <f>OR(AND(AW172&lt;&gt;"",AW173=""),AND(AW172="",AW173&lt;&gt;""))</f>
        <v>0</v>
      </c>
      <c r="AX170" s="216">
        <f>OR(AND(AX172&lt;&gt;"",AX173=""),AND(AX172="",AX173&lt;&gt;""))</f>
        <v>0</v>
      </c>
      <c r="AY170" s="216">
        <f>OR(AND(AY172&lt;&gt;"",AY173=""),AND(AY172="",AY173&lt;&gt;""))</f>
        <v>0</v>
      </c>
      <c r="AZ170" s="216">
        <f>OR(AND(AZ172&lt;&gt;"",AZ173=""),AND(AZ172="",AZ173&lt;&gt;""))</f>
        <v>0</v>
      </c>
      <c r="BA170" s="216">
        <f>OR(AND(BA172&lt;&gt;"",BA173=""),AND(BA172="",BA173&lt;&gt;""))</f>
        <v>0</v>
      </c>
      <c r="BB170" s="216">
        <f>OR(AND(BB172&lt;&gt;"",BB173=""),AND(BB172="",BB173&lt;&gt;""))</f>
        <v>0</v>
      </c>
      <c r="BC170" s="974"/>
      <c r="BD170" s="1834"/>
      <c r="BE170" s="1834"/>
      <c r="BF170" s="1041"/>
      <c r="BG170" s="1041"/>
      <c r="BH170" s="1041"/>
      <c r="BI170" s="678"/>
      <c r="BJ170" s="678"/>
    </row>
    <row s="1834" customFormat="1" customHeight="1" ht="23.25">
      <c r="A171" s="1834"/>
      <c r="B171" s="1834"/>
      <c r="C171" s="1834"/>
      <c r="D171" s="1834"/>
      <c r="E171" s="678">
        <v>15</v>
      </c>
      <c r="F171" s="1175" cm="1" t="str">
        <f t="array" ref="F171:F171">OFFSET(E171,-1,1)</f>
        <v>2</v>
      </c>
      <c r="G171" s="1834"/>
      <c r="H171" s="1834"/>
      <c r="I171" s="1834"/>
      <c r="J171" s="1834"/>
      <c r="K171" s="1834"/>
      <c r="L171" s="1834"/>
      <c r="M171" s="1834"/>
      <c r="N171" s="1834"/>
      <c r="O171" s="1834"/>
      <c r="P171" s="1834"/>
      <c r="Q171" s="1834"/>
      <c r="R171" s="1834"/>
      <c r="S171" s="1834"/>
      <c r="T171" s="465">
        <f>AND(Y170&gt;0,F171&gt;0)</f>
        <v>1</v>
      </c>
      <c r="U171" s="1834"/>
      <c r="V171" s="1834"/>
      <c r="W171" s="1834"/>
      <c r="X171" s="1834"/>
      <c r="Y171" s="1834"/>
      <c r="Z171" s="1834"/>
      <c r="AA171" s="1697"/>
      <c r="AB171" s="1698" t="str">
        <f>"1."&amp;Y170</f>
        <v>1.1</v>
      </c>
      <c r="AC171" s="1699" t="s">
        <v>1860</v>
      </c>
      <c r="AD171" s="1700"/>
      <c r="AE171" s="57"/>
      <c r="AF171" s="1702"/>
      <c r="AG171" s="57"/>
      <c r="AH171" s="57"/>
      <c r="AI171" s="57"/>
      <c r="AJ171" s="57"/>
      <c r="AK171" s="57"/>
      <c r="AL171" s="57"/>
      <c r="AM171" s="57"/>
      <c r="AN171" s="57"/>
      <c r="AO171" s="57"/>
      <c r="AP171" s="57"/>
      <c r="AQ171" s="57"/>
      <c r="AR171" s="57"/>
      <c r="AS171" s="1702"/>
      <c r="AT171" s="1702"/>
      <c r="AU171" s="1702"/>
      <c r="AV171" s="1702"/>
      <c r="AW171" s="1702"/>
      <c r="AX171" s="1702"/>
      <c r="AY171" s="1702"/>
      <c r="AZ171" s="1702"/>
      <c r="BA171" s="1702"/>
      <c r="BB171" s="1703"/>
      <c r="BC171" s="1704"/>
      <c r="BD171" s="1834"/>
      <c r="BE171" s="1834"/>
      <c r="BF171" s="1041"/>
      <c r="BG171" s="1041"/>
      <c r="BH171" s="1041"/>
      <c r="BI171" s="678"/>
      <c r="BJ171" s="678"/>
    </row>
    <row s="1834" customFormat="1" customHeight="1" ht="65.25">
      <c r="A172" s="1834"/>
      <c r="B172" s="1834"/>
      <c r="C172" s="1834"/>
      <c r="D172" s="1834"/>
      <c r="E172" s="678">
        <v>15</v>
      </c>
      <c r="F172" s="1175" cm="1" t="str">
        <f t="array" ref="F172:F172">OFFSET(E172,-1,1)</f>
        <v>2</v>
      </c>
      <c r="G172" s="152" t="s">
        <v>332</v>
      </c>
      <c r="H172" s="155" cm="1" t="str">
        <f t="array" ref="H172:H172">AC172</f>
        <v>Затраты</v>
      </c>
      <c r="I172" s="152" t="s">
        <v>1782</v>
      </c>
      <c r="J172" s="1834"/>
      <c r="K172" s="1834"/>
      <c r="L172" s="1834"/>
      <c r="M172" s="1834"/>
      <c r="N172" s="1834"/>
      <c r="O172" s="1834"/>
      <c r="P172" s="1834"/>
      <c r="Q172" s="1834"/>
      <c r="R172" s="1834"/>
      <c r="S172" s="1834"/>
      <c r="T172" s="465" cm="1" t="str">
        <f t="array" ref="T172:T172">T171</f>
        <v>true</v>
      </c>
      <c r="U172" s="1834"/>
      <c r="V172" s="1834"/>
      <c r="W172" s="1834"/>
      <c r="X172" s="1834"/>
      <c r="Y172" s="1834"/>
      <c r="Z172" s="1834"/>
      <c r="AA172" s="1616"/>
      <c r="AB172" s="88" t="str">
        <f>AB171&amp;".1"</f>
        <v>1.1.1</v>
      </c>
      <c r="AC172" s="1705" t="s">
        <v>1783</v>
      </c>
      <c r="AD172" s="211" t="s">
        <v>1514</v>
      </c>
      <c r="AE172" s="3946"/>
      <c r="AF172" s="3946"/>
      <c r="AG172" s="3946"/>
      <c r="AH172" s="3946"/>
      <c r="AI172" s="3946">
        <v>73212.173294</v>
      </c>
      <c r="AJ172" s="3946">
        <v>80360.30505</v>
      </c>
      <c r="AK172" s="3946">
        <v>83396.76</v>
      </c>
      <c r="AL172" s="3946">
        <v>85566.07</v>
      </c>
      <c r="AM172" s="3946">
        <v>88092.42</v>
      </c>
      <c r="AN172" s="1241"/>
      <c r="AO172" s="1241"/>
      <c r="AP172" s="1241"/>
      <c r="AQ172" s="1241"/>
      <c r="AR172" s="1241"/>
      <c r="AS172" s="3946">
        <v>73212.173294</v>
      </c>
      <c r="AT172" s="3946">
        <v>80360.30505</v>
      </c>
      <c r="AU172" s="3946">
        <v>83396.89505</v>
      </c>
      <c r="AV172" s="3946">
        <v>85565.37871</v>
      </c>
      <c r="AW172" s="3946">
        <v>88183.54112</v>
      </c>
      <c r="AX172" s="1241"/>
      <c r="AY172" s="1241"/>
      <c r="AZ172" s="1241"/>
      <c r="BA172" s="1241"/>
      <c r="BB172" s="1241"/>
      <c r="BC172" s="3947" t="s">
        <v>1861</v>
      </c>
      <c r="BD172" s="1834"/>
      <c r="BE172" s="1834"/>
      <c r="BF172" s="1041" t="s">
        <v>1784</v>
      </c>
      <c r="BG172" s="1041" t="s">
        <v>1785</v>
      </c>
      <c r="BH172" s="1041" cm="1" t="str">
        <f t="array" ref="BH172:BH172">AC171</f>
        <v>ООО "Теплоэнерго" (ИНН: 4214046200, КПП: 421401001)</v>
      </c>
      <c r="BI172" s="678"/>
      <c r="BJ172" s="678" t="b">
        <v>1</v>
      </c>
    </row>
    <row s="1834" customFormat="1" customHeight="1" ht="23.25">
      <c r="A173" s="1834"/>
      <c r="B173" s="1834"/>
      <c r="C173" s="1834"/>
      <c r="D173" s="1834"/>
      <c r="E173" s="678">
        <v>15</v>
      </c>
      <c r="F173" s="1175" cm="1" t="str">
        <f t="array" ref="F173:F173">OFFSET(E173,-1,1)</f>
        <v>2</v>
      </c>
      <c r="G173" s="152" t="s">
        <v>1175</v>
      </c>
      <c r="H173" s="155" cm="1" t="str">
        <f t="array" ref="H173:H173">H172</f>
        <v>Затраты</v>
      </c>
      <c r="I173" s="152" t="s">
        <v>1782</v>
      </c>
      <c r="J173" s="1834"/>
      <c r="K173" s="1834"/>
      <c r="L173" s="1834"/>
      <c r="M173" s="1834"/>
      <c r="N173" s="1834"/>
      <c r="O173" s="1834"/>
      <c r="P173" s="1834"/>
      <c r="Q173" s="1834"/>
      <c r="R173" s="1834"/>
      <c r="S173" s="1834"/>
      <c r="T173" s="465" cm="1" t="str">
        <f t="array" ref="T173:T173">T172</f>
        <v>true</v>
      </c>
      <c r="U173" s="1834"/>
      <c r="V173" s="1834"/>
      <c r="W173" s="1834"/>
      <c r="X173" s="1834"/>
      <c r="Y173" s="1834"/>
      <c r="Z173" s="1834"/>
      <c r="AA173" s="1616"/>
      <c r="AB173" s="88" t="str">
        <f>AB172&amp;".1"</f>
        <v>1.1.1.1</v>
      </c>
      <c r="AC173" s="221" t="s">
        <v>1786</v>
      </c>
      <c r="AD173" s="88" t="s">
        <v>1247</v>
      </c>
      <c r="AE173" s="3946"/>
      <c r="AF173" s="3946"/>
      <c r="AG173" s="3946"/>
      <c r="AH173" s="3946"/>
      <c r="AI173" s="3946">
        <v>2429.271616207</v>
      </c>
      <c r="AJ173" s="3946">
        <v>2429.271616207</v>
      </c>
      <c r="AK173" s="3946">
        <v>2429.26762</v>
      </c>
      <c r="AL173" s="3946">
        <v>2429.129</v>
      </c>
      <c r="AM173" s="3946">
        <v>2426.2559</v>
      </c>
      <c r="AN173" s="1241"/>
      <c r="AO173" s="1241"/>
      <c r="AP173" s="1241"/>
      <c r="AQ173" s="1241"/>
      <c r="AR173" s="1241"/>
      <c r="AS173" s="3946">
        <v>2429.271616207</v>
      </c>
      <c r="AT173" s="3946" cm="1" t="str">
        <f t="array" ref="AT173:AT173">AS173</f>
        <v>2429.271616207</v>
      </c>
      <c r="AU173" s="3946" cm="1" t="str">
        <f t="array" ref="AU173:AU173">AT173</f>
        <v>2429.271616207</v>
      </c>
      <c r="AV173" s="3946">
        <v>2429.10938717</v>
      </c>
      <c r="AW173" s="3946">
        <v>2426.24690946</v>
      </c>
      <c r="AX173" s="1241"/>
      <c r="AY173" s="1241"/>
      <c r="AZ173" s="1241"/>
      <c r="BA173" s="1241"/>
      <c r="BB173" s="1241"/>
      <c r="BC173" s="3947" t="s">
        <v>1862</v>
      </c>
      <c r="BD173" s="1834"/>
      <c r="BE173" s="1834"/>
      <c r="BF173" s="1041" t="s">
        <v>1787</v>
      </c>
      <c r="BG173" s="1041" t="s">
        <v>1785</v>
      </c>
      <c r="BH173" s="1041" cm="1" t="str">
        <f t="array" ref="BH173:BH173">BH172</f>
        <v>ООО "Теплоэнерго" (ИНН: 4214046200, КПП: 421401001)</v>
      </c>
      <c r="BI173" s="678"/>
      <c r="BJ173" s="678"/>
    </row>
    <row s="1834" customFormat="1" customHeight="1" ht="54.75">
      <c r="A174" s="1834"/>
      <c r="B174" s="1834"/>
      <c r="C174" s="1834"/>
      <c r="D174" s="1834"/>
      <c r="E174" s="678">
        <v>15</v>
      </c>
      <c r="F174" s="1175" cm="1" t="str">
        <f t="array" ref="F174:F174">OFFSET(E174,-1,1)</f>
        <v>2</v>
      </c>
      <c r="G174" s="1834"/>
      <c r="H174" s="1834"/>
      <c r="I174" s="1834"/>
      <c r="J174" s="1834"/>
      <c r="K174" s="1834"/>
      <c r="L174" s="1834"/>
      <c r="M174" s="1834"/>
      <c r="N174" s="1834"/>
      <c r="O174" s="1834"/>
      <c r="P174" s="1834"/>
      <c r="Q174" s="1834"/>
      <c r="R174" s="1834"/>
      <c r="S174" s="1834"/>
      <c r="T174" s="465" cm="1" t="str">
        <f t="array" ref="T174:T174">T173</f>
        <v>true</v>
      </c>
      <c r="U174" s="1834"/>
      <c r="V174" s="1834"/>
      <c r="W174" s="1834"/>
      <c r="X174" s="1834"/>
      <c r="Y174" s="1834"/>
      <c r="Z174" s="1834"/>
      <c r="AA174" s="1697"/>
      <c r="AB174" s="1706" t="str">
        <f>AB172&amp;".2"</f>
        <v>1.1.1.2</v>
      </c>
      <c r="AC174" s="1707" t="s">
        <v>1788</v>
      </c>
      <c r="AD174" s="1706" t="s">
        <v>1789</v>
      </c>
      <c r="AE174" s="3948"/>
      <c r="AF174" s="3948"/>
      <c r="AG174" s="3948"/>
      <c r="AH174" s="3948"/>
      <c r="AI174" s="3948">
        <v>30.1374999837653</v>
      </c>
      <c r="AJ174" s="3948">
        <v>33.0799999941844</v>
      </c>
      <c r="AK174" s="3948">
        <f>AK172/AK173</f>
        <v>34.3300010725043</v>
      </c>
      <c r="AL174" s="3948">
        <f>AL172/AL173</f>
        <v>35.2250004013784</v>
      </c>
      <c r="AM174" s="3948">
        <f>AM172/AM173</f>
        <v>36.3079673500227</v>
      </c>
      <c r="AN174" s="58"/>
      <c r="AO174" s="58"/>
      <c r="AP174" s="58"/>
      <c r="AQ174" s="58"/>
      <c r="AR174" s="58"/>
      <c r="AS174" s="3948">
        <f>AS172/AS173</f>
        <v>30.1374999837653</v>
      </c>
      <c r="AT174" s="3948">
        <f>AT172/AT173</f>
        <v>33.0799999941844</v>
      </c>
      <c r="AU174" s="3948">
        <f>AU172/AU173</f>
        <v>34.330000191668</v>
      </c>
      <c r="AV174" s="3948">
        <f>AV172/AV173</f>
        <v>35.2250002251594</v>
      </c>
      <c r="AW174" s="3948">
        <f>AW172/AW173</f>
        <v>36.3456582989019</v>
      </c>
      <c r="AX174" s="58"/>
      <c r="AY174" s="58"/>
      <c r="AZ174" s="58"/>
      <c r="BA174" s="58"/>
      <c r="BB174" s="58"/>
      <c r="BC174" s="3949" t="s">
        <v>1863</v>
      </c>
      <c r="BD174" s="1834"/>
      <c r="BE174" s="1834"/>
      <c r="BF174" s="1041" t="s">
        <v>1790</v>
      </c>
      <c r="BG174" s="1041" t="s">
        <v>1785</v>
      </c>
      <c r="BH174" s="1710" cm="1" t="str">
        <f t="array" ref="BH174:BH174">BH173</f>
        <v>ООО "Теплоэнерго" (ИНН: 4214046200, КПП: 421401001)</v>
      </c>
      <c r="BI174" s="678"/>
      <c r="BJ174" s="678"/>
    </row>
    <row s="1834" customFormat="1" customHeight="1" ht="14.25">
      <c r="A175" s="885"/>
      <c r="B175" s="440"/>
      <c r="C175" s="885"/>
      <c r="D175" s="885"/>
      <c r="E175" s="678">
        <v>15</v>
      </c>
      <c r="F175" s="50" cm="1" t="str">
        <f t="array" ref="F175:F175">OFFSET(E175,-1,1)</f>
        <v>2</v>
      </c>
      <c r="G175" s="885"/>
      <c r="H175" s="152" t="str">
        <f>"!=='не определено' &amp;&amp; row.l1 !== null"</f>
        <v>!=='не определено' &amp;&amp; row.l1 !== null</v>
      </c>
      <c r="I175" s="885"/>
      <c r="J175" s="885"/>
      <c r="K175" s="911"/>
      <c r="L175" s="885"/>
      <c r="M175" s="885"/>
      <c r="N175" s="885"/>
      <c r="O175" s="885"/>
      <c r="P175" s="885"/>
      <c r="Q175" s="885"/>
      <c r="R175" s="885"/>
      <c r="S175" s="885"/>
      <c r="T175" s="465">
        <f>F175&gt;0</f>
        <v>1</v>
      </c>
      <c r="U175" s="885"/>
      <c r="V175" s="885"/>
      <c r="W175" s="685" t="s">
        <v>1791</v>
      </c>
      <c r="X175" s="1524"/>
      <c r="Y175" s="885"/>
      <c r="Z175" s="1615"/>
      <c r="AA175" s="885"/>
      <c r="AB175" s="681"/>
      <c r="AC175" s="232" t="s">
        <v>1792</v>
      </c>
      <c r="AD175" s="232"/>
      <c r="AE175" s="232"/>
      <c r="AF175" s="232"/>
      <c r="AG175" s="232"/>
      <c r="AH175" s="232"/>
      <c r="AI175" s="232"/>
      <c r="AJ175" s="232"/>
      <c r="AK175" s="232"/>
      <c r="AL175" s="232"/>
      <c r="AM175" s="232"/>
      <c r="AN175" s="232"/>
      <c r="AO175" s="232"/>
      <c r="AP175" s="232"/>
      <c r="AQ175" s="232"/>
      <c r="AR175" s="232"/>
      <c r="AS175" s="232"/>
      <c r="AT175" s="232"/>
      <c r="AU175" s="232"/>
      <c r="AV175" s="232"/>
      <c r="AW175" s="232"/>
      <c r="AX175" s="232"/>
      <c r="AY175" s="232"/>
      <c r="AZ175" s="232"/>
      <c r="BA175" s="232"/>
      <c r="BB175" s="232"/>
      <c r="BC175" s="233"/>
      <c r="BD175" s="885"/>
      <c r="BE175" s="885"/>
      <c r="BF175" s="1041"/>
      <c r="BG175" s="1041"/>
      <c r="BH175" s="1041"/>
      <c r="BI175" s="678" t="s">
        <v>1785</v>
      </c>
      <c r="BJ175" s="678"/>
    </row>
    <row s="1834" customFormat="1" customHeight="1" ht="0">
      <c r="A176" s="885"/>
      <c r="B176" s="440"/>
      <c r="C176" s="885"/>
      <c r="D176" s="885"/>
      <c r="E176" s="678">
        <v>22.5</v>
      </c>
      <c r="F176" s="50" cm="1" t="str">
        <f t="array" ref="F176:F176">OFFSET(E176,-1,1)</f>
        <v>2</v>
      </c>
      <c r="G176" s="885"/>
      <c r="H176" s="885"/>
      <c r="I176" s="885"/>
      <c r="J176" s="885"/>
      <c r="K176" s="911" t="str">
        <f>F164&amp;"2komm"</f>
        <v>22komm</v>
      </c>
      <c r="L176" s="915" cm="1" t="str">
        <f t="array" ref="L176:L176">BC176</f>
        <v>0</v>
      </c>
      <c r="M176" s="885"/>
      <c r="N176" s="885"/>
      <c r="O176" s="885"/>
      <c r="P176" s="885"/>
      <c r="Q176" s="885"/>
      <c r="R176" s="885"/>
      <c r="S176" s="885"/>
      <c r="T176" s="465" cm="1" t="str">
        <f t="array" ref="T176:T176">T175</f>
        <v>true</v>
      </c>
      <c r="U176" s="885"/>
      <c r="V176" s="885"/>
      <c r="W176" s="885"/>
      <c r="X176" s="1524"/>
      <c r="Y176" s="684"/>
      <c r="Z176" s="1615"/>
      <c r="AA176" s="885"/>
      <c r="AB176" s="211">
        <v>2</v>
      </c>
      <c r="AC176" s="212" t="s">
        <v>1793</v>
      </c>
      <c r="AD176" s="211" t="s">
        <v>1514</v>
      </c>
      <c r="AE176" s="213">
        <f>SUMIF(AD179:AD182,AD176,AE179:AE182)</f>
        <v>0</v>
      </c>
      <c r="AF176" s="213">
        <f>SUMIF(AD179:AD182,AD176,AF179:AF182)</f>
        <v>0</v>
      </c>
      <c r="AG176" s="213">
        <f>SUMIF(AD179:AD182,AD176,AG179:AG182)</f>
        <v>0</v>
      </c>
      <c r="AH176" s="213">
        <f>SUMIF(AD179:AD182,AD176,AH179:AH182)</f>
        <v>0</v>
      </c>
      <c r="AI176" s="213">
        <f>SUMIF(AD179:AD182,AD176,AI179:AI182)</f>
        <v>0</v>
      </c>
      <c r="AJ176" s="1460">
        <f>SUMIF(AD179:AD182,AD176,AJ179:AJ182)</f>
        <v>0</v>
      </c>
      <c r="AK176" s="1460">
        <f>SUMIF(AD179:AD182,AD176,AK179:AK182)</f>
        <v>0</v>
      </c>
      <c r="AL176" s="1460">
        <f>SUMIF(AD179:AD182,AD176,AL179:AL182)</f>
        <v>0</v>
      </c>
      <c r="AM176" s="1460">
        <f>SUMIF(AD179:AD182,AD176,AM179:AM182)</f>
        <v>0</v>
      </c>
      <c r="AN176" s="3626">
        <f>SUMIF(AD179:AD182,AD176,AN179:AN182)</f>
        <v>0</v>
      </c>
      <c r="AO176" s="3626">
        <f>SUMIF(AD179:AD182,AD176,AO179:AO182)</f>
        <v>0</v>
      </c>
      <c r="AP176" s="3626">
        <f>SUMIF(AD179:AD182,AD176,AP179:AP182)</f>
        <v>0</v>
      </c>
      <c r="AQ176" s="3626">
        <f>SUMIF(AD179:AD182,AD176,AQ179:AQ182)</f>
        <v>0</v>
      </c>
      <c r="AR176" s="3626">
        <f>SUMIF(AD179:AD182,AD176,AR179:AR182)</f>
        <v>0</v>
      </c>
      <c r="AS176" s="213">
        <f>SUMIF(AD179:AD182,AD176,AS179:AS182)</f>
        <v>0</v>
      </c>
      <c r="AT176" s="1460">
        <f>SUMIF(AD179:AD182,AD176,AT179:AT182)</f>
        <v>0</v>
      </c>
      <c r="AU176" s="1460">
        <f>SUMIF(AD179:AD182,AD176,AU179:AU182)</f>
        <v>0</v>
      </c>
      <c r="AV176" s="1460">
        <f>SUMIF(AD179:AD182,AD176,AV179:AV182)</f>
        <v>0</v>
      </c>
      <c r="AW176" s="1460">
        <f>SUMIF(AD179:AD182,AD176,AW179:AW182)</f>
        <v>0</v>
      </c>
      <c r="AX176" s="3626">
        <f>SUMIF(AD179:AD182,AD176,AX179:AX182)</f>
        <v>0</v>
      </c>
      <c r="AY176" s="3626">
        <f>SUMIF(AD179:AD182,AD176,AY179:AY182)</f>
        <v>0</v>
      </c>
      <c r="AZ176" s="3626">
        <f>SUMIF(AD179:AD182,AD176,AZ179:AZ182)</f>
        <v>0</v>
      </c>
      <c r="BA176" s="3626">
        <f>SUMIF(AD179:AD182,AD176,BA179:BA182)</f>
        <v>0</v>
      </c>
      <c r="BB176" s="3626">
        <f>SUMIF(AD179:AD182,AD176,BB179:BB182)</f>
        <v>0</v>
      </c>
      <c r="BC176" s="200"/>
      <c r="BD176" s="885"/>
      <c r="BE176" s="885"/>
      <c r="BF176" s="1041" t="s">
        <v>1794</v>
      </c>
      <c r="BG176" s="1041"/>
      <c r="BH176" s="1041"/>
      <c r="BI176" s="678"/>
      <c r="BJ176" s="678"/>
    </row>
    <row s="1834" customFormat="1" customHeight="1" ht="0" hidden="1">
      <c r="A177" s="885"/>
      <c r="B177" s="440"/>
      <c r="C177" s="885"/>
      <c r="D177" s="885"/>
      <c r="E177" s="678">
        <v>0</v>
      </c>
      <c r="F177" s="50" cm="1" t="str">
        <f t="array" ref="F177:F177">OFFSET(E177,-1,1)</f>
        <v>2</v>
      </c>
      <c r="G177" s="152" t="s">
        <v>333</v>
      </c>
      <c r="H177" s="885"/>
      <c r="I177" s="885"/>
      <c r="J177" s="885"/>
      <c r="K177" s="911"/>
      <c r="L177" s="915"/>
      <c r="M177" s="885"/>
      <c r="N177" s="885"/>
      <c r="O177" s="885"/>
      <c r="P177" s="885"/>
      <c r="Q177" s="885"/>
      <c r="R177" s="885"/>
      <c r="S177" s="885"/>
      <c r="T177" s="465" t="b">
        <v>0</v>
      </c>
      <c r="U177" s="885"/>
      <c r="V177" s="885"/>
      <c r="W177" s="152" t="s">
        <v>174</v>
      </c>
      <c r="X177" s="1524"/>
      <c r="Y177" s="1524">
        <v>0</v>
      </c>
      <c r="Z177" s="1615"/>
      <c r="AA177" s="1617" t="s">
        <v>175</v>
      </c>
      <c r="AB177" s="211"/>
      <c r="AC177" s="212"/>
      <c r="AD177" s="211"/>
      <c r="AE177" s="1368">
        <f>OR(AND(AE179&lt;&gt;"",AE180=""),AND(AE179="",AE180&lt;&gt;""))</f>
        <v>0</v>
      </c>
      <c r="AF177" s="1368">
        <f>OR(AND(AF179&lt;&gt;"",AF180=""),AND(AF179="",AF180&lt;&gt;""))</f>
        <v>0</v>
      </c>
      <c r="AG177" s="1368">
        <f>OR(AND(AG179&lt;&gt;"",AG180=""),AND(AG179="",AG180&lt;&gt;""))</f>
        <v>0</v>
      </c>
      <c r="AH177" s="1368">
        <f>OR(AND(AH179&lt;&gt;"",AH180=""),AND(AH179="",AH180&lt;&gt;""))</f>
        <v>0</v>
      </c>
      <c r="AI177" s="1368">
        <f>OR(AND(AI179&lt;&gt;"",AI180=""),AND(AI179="",AI180&lt;&gt;""))</f>
        <v>0</v>
      </c>
      <c r="AJ177" s="1368">
        <f>OR(AND(AJ179&lt;&gt;"",AJ180=""),AND(AJ179="",AJ180&lt;&gt;""))</f>
        <v>0</v>
      </c>
      <c r="AK177" s="1368">
        <f>OR(AND(AK179&lt;&gt;"",AK180=""),AND(AK179="",AK180&lt;&gt;""))</f>
        <v>0</v>
      </c>
      <c r="AL177" s="1368">
        <f>OR(AND(AL179&lt;&gt;"",AL180=""),AND(AL179="",AL180&lt;&gt;""))</f>
        <v>0</v>
      </c>
      <c r="AM177" s="1368">
        <f>OR(AND(AM179&lt;&gt;"",AM180=""),AND(AM179="",AM180&lt;&gt;""))</f>
        <v>0</v>
      </c>
      <c r="AN177" s="1368">
        <f>OR(AND(AN179&lt;&gt;"",AN180=""),AND(AN179="",AN180&lt;&gt;""))</f>
        <v>0</v>
      </c>
      <c r="AO177" s="1368">
        <f>OR(AND(AO179&lt;&gt;"",AO180=""),AND(AO179="",AO180&lt;&gt;""))</f>
        <v>0</v>
      </c>
      <c r="AP177" s="1368">
        <f>OR(AND(AP179&lt;&gt;"",AP180=""),AND(AP179="",AP180&lt;&gt;""))</f>
        <v>0</v>
      </c>
      <c r="AQ177" s="1368">
        <f>OR(AND(AQ179&lt;&gt;"",AQ180=""),AND(AQ179="",AQ180&lt;&gt;""))</f>
        <v>0</v>
      </c>
      <c r="AR177" s="1368">
        <f>OR(AND(AR179&lt;&gt;"",AR180=""),AND(AR179="",AR180&lt;&gt;""))</f>
        <v>0</v>
      </c>
      <c r="AS177" s="1368">
        <f>OR(AND(AS179&lt;&gt;"",AS180=""),AND(AS179="",AS180&lt;&gt;""))</f>
        <v>0</v>
      </c>
      <c r="AT177" s="1368">
        <f>OR(AND(AT179&lt;&gt;"",AT180=""),AND(AT179="",AT180&lt;&gt;""))</f>
        <v>0</v>
      </c>
      <c r="AU177" s="1368">
        <f>OR(AND(AU179&lt;&gt;"",AU180=""),AND(AU179="",AU180&lt;&gt;""))</f>
        <v>0</v>
      </c>
      <c r="AV177" s="1368">
        <f>OR(AND(AV179&lt;&gt;"",AV180=""),AND(AV179="",AV180&lt;&gt;""))</f>
        <v>0</v>
      </c>
      <c r="AW177" s="1368">
        <f>OR(AND(AW179&lt;&gt;"",AW180=""),AND(AW179="",AW180&lt;&gt;""))</f>
        <v>0</v>
      </c>
      <c r="AX177" s="1368">
        <f>OR(AND(AX179&lt;&gt;"",AX180=""),AND(AX179="",AX180&lt;&gt;""))</f>
        <v>0</v>
      </c>
      <c r="AY177" s="1368">
        <f>OR(AND(AY179&lt;&gt;"",AY180=""),AND(AY179="",AY180&lt;&gt;""))</f>
        <v>0</v>
      </c>
      <c r="AZ177" s="1368">
        <f>OR(AND(AZ179&lt;&gt;"",AZ180=""),AND(AZ179="",AZ180&lt;&gt;""))</f>
        <v>0</v>
      </c>
      <c r="BA177" s="1368">
        <f>OR(AND(BA179&lt;&gt;"",BA180=""),AND(BA179="",BA180&lt;&gt;""))</f>
        <v>0</v>
      </c>
      <c r="BB177" s="1368">
        <f>OR(AND(BB179&lt;&gt;"",BB180=""),AND(BB179="",BB180&lt;&gt;""))</f>
        <v>0</v>
      </c>
      <c r="BC177" s="974"/>
      <c r="BD177" s="885"/>
      <c r="BE177" s="885"/>
      <c r="BF177" s="1041"/>
      <c r="BG177" s="1041"/>
      <c r="BH177" s="1041"/>
      <c r="BI177" s="678"/>
      <c r="BJ177" s="678"/>
    </row>
    <row s="1834" customFormat="1" customHeight="1" ht="0" hidden="1">
      <c r="A178" s="885"/>
      <c r="B178" s="440"/>
      <c r="C178" s="885"/>
      <c r="D178" s="885"/>
      <c r="E178" s="678">
        <v>15</v>
      </c>
      <c r="F178" s="1387" cm="1" t="str">
        <f t="array" ref="F178:F178">OFFSET(E178,-1,1)</f>
        <v>2</v>
      </c>
      <c r="G178" s="885"/>
      <c r="H178" s="885"/>
      <c r="I178" s="885"/>
      <c r="J178" s="885"/>
      <c r="K178" s="911"/>
      <c r="L178" s="915"/>
      <c r="M178" s="885"/>
      <c r="N178" s="885"/>
      <c r="O178" s="885"/>
      <c r="P178" s="885"/>
      <c r="Q178" s="885"/>
      <c r="R178" s="885"/>
      <c r="S178" s="885"/>
      <c r="T178" s="1356">
        <f>AND(Y177&gt;0,F178&gt;0)</f>
        <v>0</v>
      </c>
      <c r="U178" s="885"/>
      <c r="V178" s="885"/>
      <c r="W178" s="885"/>
      <c r="X178" s="684"/>
      <c r="Y178" s="1524"/>
      <c r="Z178" s="885"/>
      <c r="AA178" s="1697"/>
      <c r="AB178" s="1698" t="str">
        <f>"2."&amp;Y177</f>
        <v>2.0</v>
      </c>
      <c r="AC178" s="1699" t="s">
        <v>227</v>
      </c>
      <c r="AD178" s="1700"/>
      <c r="AE178" s="3635"/>
      <c r="AF178" s="1702"/>
      <c r="AG178" s="3635"/>
      <c r="AH178" s="3635"/>
      <c r="AI178" s="3635"/>
      <c r="AJ178" s="3635"/>
      <c r="AK178" s="3635"/>
      <c r="AL178" s="3635"/>
      <c r="AM178" s="3635"/>
      <c r="AN178" s="3635"/>
      <c r="AO178" s="3635"/>
      <c r="AP178" s="3635"/>
      <c r="AQ178" s="3635"/>
      <c r="AR178" s="3635"/>
      <c r="AS178" s="1702"/>
      <c r="AT178" s="1702"/>
      <c r="AU178" s="1702"/>
      <c r="AV178" s="1702"/>
      <c r="AW178" s="1702"/>
      <c r="AX178" s="1702"/>
      <c r="AY178" s="1702"/>
      <c r="AZ178" s="1702"/>
      <c r="BA178" s="1702"/>
      <c r="BB178" s="1703"/>
      <c r="BC178" s="1704"/>
      <c r="BD178" s="885"/>
      <c r="BE178" s="885"/>
      <c r="BF178" s="1041"/>
      <c r="BG178" s="1041"/>
      <c r="BH178" s="1041"/>
      <c r="BI178" s="678"/>
      <c r="BJ178" s="678"/>
    </row>
    <row s="1834" customFormat="1" customHeight="1" ht="0" hidden="1">
      <c r="A179" s="885"/>
      <c r="B179" s="440"/>
      <c r="C179" s="885"/>
      <c r="D179" s="885"/>
      <c r="E179" s="678">
        <v>15</v>
      </c>
      <c r="F179" s="50" cm="1" t="str">
        <f t="array" ref="F179:F179">OFFSET(E179,-1,1)</f>
        <v>2</v>
      </c>
      <c r="G179" s="152" t="s">
        <v>333</v>
      </c>
      <c r="H179" s="155" cm="1" t="str">
        <f t="array" ref="H179:H179">AC179</f>
        <v>Затраты</v>
      </c>
      <c r="I179" s="152" t="s">
        <v>1795</v>
      </c>
      <c r="J179" s="885"/>
      <c r="K179" s="911"/>
      <c r="L179" s="885"/>
      <c r="M179" s="885"/>
      <c r="N179" s="885"/>
      <c r="O179" s="885"/>
      <c r="P179" s="885"/>
      <c r="Q179" s="885"/>
      <c r="R179" s="885"/>
      <c r="S179" s="885"/>
      <c r="T179" s="465" cm="1" t="str">
        <f t="array" ref="T179:T179">T178</f>
        <v>false</v>
      </c>
      <c r="U179" s="885"/>
      <c r="V179" s="885"/>
      <c r="W179" s="885"/>
      <c r="X179" s="1524"/>
      <c r="Y179" s="1524"/>
      <c r="Z179" s="1615"/>
      <c r="AA179" s="1617"/>
      <c r="AB179" s="88" t="str">
        <f>AB178&amp;".1"</f>
        <v>2.0.1</v>
      </c>
      <c r="AC179" s="1705" t="s">
        <v>1783</v>
      </c>
      <c r="AD179" s="211" t="s">
        <v>1514</v>
      </c>
      <c r="AE179" s="3536"/>
      <c r="AF179" s="3536"/>
      <c r="AG179" s="3536"/>
      <c r="AH179" s="3536"/>
      <c r="AI179" s="3536"/>
      <c r="AJ179" s="3536"/>
      <c r="AK179" s="3536"/>
      <c r="AL179" s="3536"/>
      <c r="AM179" s="3536"/>
      <c r="AN179" s="3536"/>
      <c r="AO179" s="3536"/>
      <c r="AP179" s="3536"/>
      <c r="AQ179" s="3536"/>
      <c r="AR179" s="3536"/>
      <c r="AS179" s="3536"/>
      <c r="AT179" s="3536"/>
      <c r="AU179" s="3536"/>
      <c r="AV179" s="3536"/>
      <c r="AW179" s="3536"/>
      <c r="AX179" s="3536"/>
      <c r="AY179" s="3536"/>
      <c r="AZ179" s="3536"/>
      <c r="BA179" s="3536"/>
      <c r="BB179" s="3536"/>
      <c r="BC179" s="2070"/>
      <c r="BD179" s="885"/>
      <c r="BE179" s="885"/>
      <c r="BF179" s="1041" t="s">
        <v>1784</v>
      </c>
      <c r="BG179" s="1041" t="s">
        <v>1796</v>
      </c>
      <c r="BH179" s="1041" cm="1" t="str">
        <f t="array" ref="BH179:BH179">AC178</f>
        <v/>
      </c>
      <c r="BI179" s="678"/>
      <c r="BJ179" s="678" t="b">
        <v>1</v>
      </c>
    </row>
    <row s="1834" customFormat="1" customHeight="1" ht="0" hidden="1">
      <c r="A180" s="885"/>
      <c r="B180" s="440"/>
      <c r="C180" s="885"/>
      <c r="D180" s="885"/>
      <c r="E180" s="678">
        <v>15</v>
      </c>
      <c r="F180" s="50" cm="1" t="str">
        <f t="array" ref="F180:F180">OFFSET(E180,-1,1)</f>
        <v>2</v>
      </c>
      <c r="G180" s="152" t="s">
        <v>1193</v>
      </c>
      <c r="H180" s="155" cm="1" t="str">
        <f t="array" ref="H180:H180">H179</f>
        <v>Затраты</v>
      </c>
      <c r="I180" s="152" t="s">
        <v>1795</v>
      </c>
      <c r="J180" s="885"/>
      <c r="K180" s="911"/>
      <c r="L180" s="885"/>
      <c r="M180" s="885"/>
      <c r="N180" s="885"/>
      <c r="O180" s="885"/>
      <c r="P180" s="885"/>
      <c r="Q180" s="885"/>
      <c r="R180" s="885"/>
      <c r="S180" s="885"/>
      <c r="T180" s="465" cm="1" t="str">
        <f t="array" ref="T180:T180">T179</f>
        <v>false</v>
      </c>
      <c r="U180" s="885"/>
      <c r="V180" s="885"/>
      <c r="W180" s="885"/>
      <c r="X180" s="1524"/>
      <c r="Y180" s="1524"/>
      <c r="Z180" s="1615"/>
      <c r="AA180" s="1617"/>
      <c r="AB180" s="88" t="str">
        <f>AB179&amp;".1"</f>
        <v>2.0.1.1</v>
      </c>
      <c r="AC180" s="221" t="s">
        <v>1797</v>
      </c>
      <c r="AD180" s="88" t="s">
        <v>1247</v>
      </c>
      <c r="AE180" s="3536"/>
      <c r="AF180" s="3536"/>
      <c r="AG180" s="3536"/>
      <c r="AH180" s="3536"/>
      <c r="AI180" s="3536"/>
      <c r="AJ180" s="3536"/>
      <c r="AK180" s="3536"/>
      <c r="AL180" s="3536"/>
      <c r="AM180" s="3536"/>
      <c r="AN180" s="3536"/>
      <c r="AO180" s="3536"/>
      <c r="AP180" s="3536"/>
      <c r="AQ180" s="3536"/>
      <c r="AR180" s="3536"/>
      <c r="AS180" s="3536"/>
      <c r="AT180" s="3536"/>
      <c r="AU180" s="3536"/>
      <c r="AV180" s="3536"/>
      <c r="AW180" s="3536"/>
      <c r="AX180" s="3536"/>
      <c r="AY180" s="3536"/>
      <c r="AZ180" s="3536"/>
      <c r="BA180" s="3536"/>
      <c r="BB180" s="3536"/>
      <c r="BC180" s="2070"/>
      <c r="BD180" s="885"/>
      <c r="BE180" s="885"/>
      <c r="BF180" s="1041" t="s">
        <v>1787</v>
      </c>
      <c r="BG180" s="1041" t="s">
        <v>1796</v>
      </c>
      <c r="BH180" s="1041" cm="1" t="str">
        <f t="array" ref="BH180:BH180">BH179</f>
        <v/>
      </c>
      <c r="BI180" s="678"/>
      <c r="BJ180" s="678"/>
    </row>
    <row s="1834" customFormat="1" customHeight="1" ht="0" hidden="1">
      <c r="A181" s="885"/>
      <c r="B181" s="440"/>
      <c r="C181" s="885"/>
      <c r="D181" s="885"/>
      <c r="E181" s="678">
        <v>15</v>
      </c>
      <c r="F181" s="1387" cm="1" t="str">
        <f t="array" ref="F181:F181">OFFSET(E181,-1,1)</f>
        <v>2</v>
      </c>
      <c r="G181" s="885"/>
      <c r="H181" s="155"/>
      <c r="I181" s="885"/>
      <c r="J181" s="885"/>
      <c r="K181" s="911"/>
      <c r="L181" s="885"/>
      <c r="M181" s="885"/>
      <c r="N181" s="885"/>
      <c r="O181" s="885"/>
      <c r="P181" s="885"/>
      <c r="Q181" s="885"/>
      <c r="R181" s="885"/>
      <c r="S181" s="885"/>
      <c r="T181" s="1356" cm="1" t="str">
        <f t="array" ref="T181:T181">T180</f>
        <v>false</v>
      </c>
      <c r="U181" s="885"/>
      <c r="V181" s="885"/>
      <c r="W181" s="885"/>
      <c r="X181" s="684"/>
      <c r="Y181" s="1524"/>
      <c r="Z181" s="885"/>
      <c r="AA181" s="1697"/>
      <c r="AB181" s="1706" t="str">
        <f>AB179&amp;".2"</f>
        <v>2.0.1.2</v>
      </c>
      <c r="AC181" s="1707" t="s">
        <v>1798</v>
      </c>
      <c r="AD181" s="1706" t="s">
        <v>1789</v>
      </c>
      <c r="AE181" s="3644"/>
      <c r="AF181" s="3644"/>
      <c r="AG181" s="3644"/>
      <c r="AH181" s="3644"/>
      <c r="AI181" s="3644"/>
      <c r="AJ181" s="3644"/>
      <c r="AK181" s="3644"/>
      <c r="AL181" s="3644"/>
      <c r="AM181" s="3644"/>
      <c r="AN181" s="3644"/>
      <c r="AO181" s="3644"/>
      <c r="AP181" s="3644"/>
      <c r="AQ181" s="3644"/>
      <c r="AR181" s="3644"/>
      <c r="AS181" s="3644"/>
      <c r="AT181" s="3644"/>
      <c r="AU181" s="3644"/>
      <c r="AV181" s="3644"/>
      <c r="AW181" s="3644"/>
      <c r="AX181" s="3644"/>
      <c r="AY181" s="3644"/>
      <c r="AZ181" s="3644"/>
      <c r="BA181" s="3644"/>
      <c r="BB181" s="3644"/>
      <c r="BC181" s="3645"/>
      <c r="BD181" s="885"/>
      <c r="BE181" s="885"/>
      <c r="BF181" s="1041" t="s">
        <v>1790</v>
      </c>
      <c r="BG181" s="1041" t="s">
        <v>1796</v>
      </c>
      <c r="BH181" s="1710" cm="1" t="str">
        <f t="array" ref="BH181:BH181">BH180</f>
        <v/>
      </c>
      <c r="BI181" s="678"/>
      <c r="BJ181" s="678"/>
    </row>
    <row s="1834" customFormat="1" customHeight="1" ht="0">
      <c r="A182" s="885"/>
      <c r="B182" s="440"/>
      <c r="C182" s="885"/>
      <c r="D182" s="885"/>
      <c r="E182" s="678">
        <v>15</v>
      </c>
      <c r="F182" s="50" cm="1" t="str">
        <f t="array" ref="F182:F182">OFFSET(E182,-1,1)</f>
        <v>2</v>
      </c>
      <c r="G182" s="885"/>
      <c r="H182" s="152" t="str">
        <f>"!=='не определено' &amp;&amp; row.l2 !== null"</f>
        <v>!=='не определено' &amp;&amp; row.l2 !== null</v>
      </c>
      <c r="I182" s="885"/>
      <c r="J182" s="885"/>
      <c r="K182" s="911"/>
      <c r="L182" s="885"/>
      <c r="M182" s="885"/>
      <c r="N182" s="885"/>
      <c r="O182" s="885"/>
      <c r="P182" s="885"/>
      <c r="Q182" s="885"/>
      <c r="R182" s="885"/>
      <c r="S182" s="885"/>
      <c r="T182" s="465">
        <f>F182&gt;0</f>
        <v>1</v>
      </c>
      <c r="U182" s="885"/>
      <c r="V182" s="885"/>
      <c r="W182" s="685" t="s">
        <v>1791</v>
      </c>
      <c r="X182" s="1524"/>
      <c r="Y182" s="683"/>
      <c r="Z182" s="1615"/>
      <c r="AA182" s="885"/>
      <c r="AB182" s="681"/>
      <c r="AC182" s="232" t="s">
        <v>1792</v>
      </c>
      <c r="AD182" s="232"/>
      <c r="AE182" s="232"/>
      <c r="AF182" s="232"/>
      <c r="AG182" s="232"/>
      <c r="AH182" s="232"/>
      <c r="AI182" s="232"/>
      <c r="AJ182" s="232"/>
      <c r="AK182" s="232"/>
      <c r="AL182" s="232"/>
      <c r="AM182" s="232"/>
      <c r="AN182" s="232"/>
      <c r="AO182" s="232"/>
      <c r="AP182" s="232"/>
      <c r="AQ182" s="232"/>
      <c r="AR182" s="232"/>
      <c r="AS182" s="232"/>
      <c r="AT182" s="232"/>
      <c r="AU182" s="232"/>
      <c r="AV182" s="232"/>
      <c r="AW182" s="232"/>
      <c r="AX182" s="232"/>
      <c r="AY182" s="232"/>
      <c r="AZ182" s="232"/>
      <c r="BA182" s="232"/>
      <c r="BB182" s="232"/>
      <c r="BC182" s="233"/>
      <c r="BD182" s="885"/>
      <c r="BE182" s="885"/>
      <c r="BF182" s="1041"/>
      <c r="BG182" s="1041"/>
      <c r="BH182" s="1041"/>
      <c r="BI182" s="678" t="s">
        <v>1796</v>
      </c>
      <c r="BJ182" s="678"/>
    </row>
    <row s="1834" customFormat="1" customHeight="1" ht="0">
      <c r="A183" s="885"/>
      <c r="B183" s="440"/>
      <c r="C183" s="885"/>
      <c r="D183" s="885"/>
      <c r="E183" s="678">
        <v>23</v>
      </c>
      <c r="F183" s="50" cm="1" t="str">
        <f t="array" ref="F183:F183">OFFSET(E183,-1,1)</f>
        <v>2</v>
      </c>
      <c r="G183" s="885"/>
      <c r="H183" s="885"/>
      <c r="I183" s="885"/>
      <c r="J183" s="885"/>
      <c r="K183" s="911" t="str">
        <f>F164&amp;"3komm"</f>
        <v>23komm</v>
      </c>
      <c r="L183" s="915" cm="1" t="str">
        <f t="array" ref="L183:L183">BC183</f>
        <v>0</v>
      </c>
      <c r="M183" s="885"/>
      <c r="N183" s="885"/>
      <c r="O183" s="885"/>
      <c r="P183" s="885"/>
      <c r="Q183" s="885"/>
      <c r="R183" s="885"/>
      <c r="S183" s="885"/>
      <c r="T183" s="465" cm="1" t="str">
        <f t="array" ref="T183:T183">T182</f>
        <v>true</v>
      </c>
      <c r="U183" s="885"/>
      <c r="V183" s="885"/>
      <c r="W183" s="885"/>
      <c r="X183" s="1524"/>
      <c r="Y183" s="684"/>
      <c r="Z183" s="1615"/>
      <c r="AA183" s="885"/>
      <c r="AB183" s="211">
        <v>3</v>
      </c>
      <c r="AC183" s="212" t="s">
        <v>1799</v>
      </c>
      <c r="AD183" s="211" t="s">
        <v>1514</v>
      </c>
      <c r="AE183" s="213">
        <f>SUMIF(AD186:AD189,AD183,AE186:AE189)</f>
        <v>0</v>
      </c>
      <c r="AF183" s="213">
        <f>SUMIF(AD186:AD189,AD183,AF186:AF189)</f>
        <v>0</v>
      </c>
      <c r="AG183" s="213">
        <f>SUMIF(AD186:AD189,AD183,AG186:AG189)</f>
        <v>0</v>
      </c>
      <c r="AH183" s="213">
        <f>SUMIF(AD186:AD189,AD183,AH186:AH189)</f>
        <v>0</v>
      </c>
      <c r="AI183" s="213">
        <f>SUMIF(AD186:AD189,AD183,AI186:AI189)</f>
        <v>0</v>
      </c>
      <c r="AJ183" s="1460">
        <f>SUMIF(AD186:AD189,AD183,AJ186:AJ189)</f>
        <v>0</v>
      </c>
      <c r="AK183" s="1460">
        <f>SUMIF(AD186:AD189,AD183,AK186:AK189)</f>
        <v>0</v>
      </c>
      <c r="AL183" s="1460">
        <f>SUMIF(AD186:AD189,AD183,AL186:AL189)</f>
        <v>0</v>
      </c>
      <c r="AM183" s="1460">
        <f>SUMIF(AD186:AD189,AD183,AM186:AM189)</f>
        <v>0</v>
      </c>
      <c r="AN183" s="3626">
        <f>SUMIF(AD186:AD189,AD183,AN186:AN189)</f>
        <v>0</v>
      </c>
      <c r="AO183" s="3626">
        <f>SUMIF(AD186:AD189,AD183,AO186:AO189)</f>
        <v>0</v>
      </c>
      <c r="AP183" s="3626">
        <f>SUMIF(AD186:AD189,AD183,AP186:AP189)</f>
        <v>0</v>
      </c>
      <c r="AQ183" s="3626">
        <f>SUMIF(AD186:AD189,AD183,AQ186:AQ189)</f>
        <v>0</v>
      </c>
      <c r="AR183" s="3626">
        <f>SUMIF(AD186:AD189,AD183,AR186:AR189)</f>
        <v>0</v>
      </c>
      <c r="AS183" s="213">
        <f>SUMIF(AD186:AD189,AD183,AS186:AS189)</f>
        <v>0</v>
      </c>
      <c r="AT183" s="1460">
        <f>SUMIF(AD186:AD189,AD183,AT186:AT189)</f>
        <v>0</v>
      </c>
      <c r="AU183" s="1460">
        <f>SUMIF(AD186:AD189,AD183,AU186:AU189)</f>
        <v>0</v>
      </c>
      <c r="AV183" s="1460">
        <f>SUMIF(AD186:AD189,AD183,AV186:AV189)</f>
        <v>0</v>
      </c>
      <c r="AW183" s="1460">
        <f>SUMIF(AD186:AD189,AD183,AW186:AW189)</f>
        <v>0</v>
      </c>
      <c r="AX183" s="3626">
        <f>SUMIF(AD186:AD189,AD183,AX186:AX189)</f>
        <v>0</v>
      </c>
      <c r="AY183" s="3626">
        <f>SUMIF(AD186:AD189,AD183,AY186:AY189)</f>
        <v>0</v>
      </c>
      <c r="AZ183" s="3626">
        <f>SUMIF(AD186:AD189,AD183,AZ186:AZ189)</f>
        <v>0</v>
      </c>
      <c r="BA183" s="3626">
        <f>SUMIF(AD186:AD189,AD183,BA186:BA189)</f>
        <v>0</v>
      </c>
      <c r="BB183" s="3626">
        <f>SUMIF(AD186:AD189,AD183,BB186:BB189)</f>
        <v>0</v>
      </c>
      <c r="BC183" s="200"/>
      <c r="BD183" s="885"/>
      <c r="BE183" s="885"/>
      <c r="BF183" s="1041" t="s">
        <v>1800</v>
      </c>
      <c r="BG183" s="1041"/>
      <c r="BH183" s="1041"/>
      <c r="BI183" s="678"/>
      <c r="BJ183" s="678"/>
    </row>
    <row s="1834" customFormat="1" customHeight="1" ht="0" hidden="1">
      <c r="A184" s="885"/>
      <c r="B184" s="440"/>
      <c r="C184" s="885"/>
      <c r="D184" s="885"/>
      <c r="E184" s="678">
        <v>0</v>
      </c>
      <c r="F184" s="50" cm="1" t="str">
        <f t="array" ref="F184:F184">OFFSET(E184,-1,1)</f>
        <v>2</v>
      </c>
      <c r="G184" s="152" t="s">
        <v>334</v>
      </c>
      <c r="H184" s="885"/>
      <c r="I184" s="885"/>
      <c r="J184" s="885"/>
      <c r="K184" s="911"/>
      <c r="L184" s="915"/>
      <c r="M184" s="885"/>
      <c r="N184" s="885"/>
      <c r="O184" s="885"/>
      <c r="P184" s="885"/>
      <c r="Q184" s="885"/>
      <c r="R184" s="885"/>
      <c r="S184" s="885"/>
      <c r="T184" s="465" t="b">
        <v>0</v>
      </c>
      <c r="U184" s="885"/>
      <c r="V184" s="885"/>
      <c r="W184" s="152" t="s">
        <v>174</v>
      </c>
      <c r="X184" s="1524"/>
      <c r="Y184" s="1524">
        <v>0</v>
      </c>
      <c r="Z184" s="1615"/>
      <c r="AA184" s="1617" t="s">
        <v>175</v>
      </c>
      <c r="AB184" s="211"/>
      <c r="AC184" s="212"/>
      <c r="AD184" s="211"/>
      <c r="AE184" s="1368">
        <f>OR(AND(AE186&lt;&gt;"",AE187=""),AND(AE186="",AE187&lt;&gt;""))</f>
        <v>0</v>
      </c>
      <c r="AF184" s="1368">
        <f>OR(AND(AF186&lt;&gt;"",AF187=""),AND(AF186="",AF187&lt;&gt;""))</f>
        <v>0</v>
      </c>
      <c r="AG184" s="1368">
        <f>OR(AND(AG186&lt;&gt;"",AG187=""),AND(AG186="",AG187&lt;&gt;""))</f>
        <v>0</v>
      </c>
      <c r="AH184" s="1368">
        <f>OR(AND(AH186&lt;&gt;"",AH187=""),AND(AH186="",AH187&lt;&gt;""))</f>
        <v>0</v>
      </c>
      <c r="AI184" s="1368">
        <f>OR(AND(AI186&lt;&gt;"",AI187=""),AND(AI186="",AI187&lt;&gt;""))</f>
        <v>0</v>
      </c>
      <c r="AJ184" s="1368">
        <f>OR(AND(AJ186&lt;&gt;"",AJ187=""),AND(AJ186="",AJ187&lt;&gt;""))</f>
        <v>0</v>
      </c>
      <c r="AK184" s="1368">
        <f>OR(AND(AK186&lt;&gt;"",AK187=""),AND(AK186="",AK187&lt;&gt;""))</f>
        <v>0</v>
      </c>
      <c r="AL184" s="1368">
        <f>OR(AND(AL186&lt;&gt;"",AL187=""),AND(AL186="",AL187&lt;&gt;""))</f>
        <v>0</v>
      </c>
      <c r="AM184" s="1368">
        <f>OR(AND(AM186&lt;&gt;"",AM187=""),AND(AM186="",AM187&lt;&gt;""))</f>
        <v>0</v>
      </c>
      <c r="AN184" s="1368">
        <f>OR(AND(AN186&lt;&gt;"",AN187=""),AND(AN186="",AN187&lt;&gt;""))</f>
        <v>0</v>
      </c>
      <c r="AO184" s="1368">
        <f>OR(AND(AO186&lt;&gt;"",AO187=""),AND(AO186="",AO187&lt;&gt;""))</f>
        <v>0</v>
      </c>
      <c r="AP184" s="1368">
        <f>OR(AND(AP186&lt;&gt;"",AP187=""),AND(AP186="",AP187&lt;&gt;""))</f>
        <v>0</v>
      </c>
      <c r="AQ184" s="1368">
        <f>OR(AND(AQ186&lt;&gt;"",AQ187=""),AND(AQ186="",AQ187&lt;&gt;""))</f>
        <v>0</v>
      </c>
      <c r="AR184" s="1368">
        <f>OR(AND(AR186&lt;&gt;"",AR187=""),AND(AR186="",AR187&lt;&gt;""))</f>
        <v>0</v>
      </c>
      <c r="AS184" s="1368">
        <f>OR(AND(AS186&lt;&gt;"",AS187=""),AND(AS186="",AS187&lt;&gt;""))</f>
        <v>0</v>
      </c>
      <c r="AT184" s="1368">
        <f>OR(AND(AT186&lt;&gt;"",AT187=""),AND(AT186="",AT187&lt;&gt;""))</f>
        <v>0</v>
      </c>
      <c r="AU184" s="1368">
        <f>OR(AND(AU186&lt;&gt;"",AU187=""),AND(AU186="",AU187&lt;&gt;""))</f>
        <v>0</v>
      </c>
      <c r="AV184" s="1368">
        <f>OR(AND(AV186&lt;&gt;"",AV187=""),AND(AV186="",AV187&lt;&gt;""))</f>
        <v>0</v>
      </c>
      <c r="AW184" s="1368">
        <f>OR(AND(AW186&lt;&gt;"",AW187=""),AND(AW186="",AW187&lt;&gt;""))</f>
        <v>0</v>
      </c>
      <c r="AX184" s="1368">
        <f>OR(AND(AX186&lt;&gt;"",AX187=""),AND(AX186="",AX187&lt;&gt;""))</f>
        <v>0</v>
      </c>
      <c r="AY184" s="1368">
        <f>OR(AND(AY186&lt;&gt;"",AY187=""),AND(AY186="",AY187&lt;&gt;""))</f>
        <v>0</v>
      </c>
      <c r="AZ184" s="1368">
        <f>OR(AND(AZ186&lt;&gt;"",AZ187=""),AND(AZ186="",AZ187&lt;&gt;""))</f>
        <v>0</v>
      </c>
      <c r="BA184" s="1368">
        <f>OR(AND(BA186&lt;&gt;"",BA187=""),AND(BA186="",BA187&lt;&gt;""))</f>
        <v>0</v>
      </c>
      <c r="BB184" s="1368">
        <f>OR(AND(BB186&lt;&gt;"",BB187=""),AND(BB186="",BB187&lt;&gt;""))</f>
        <v>0</v>
      </c>
      <c r="BC184" s="974"/>
      <c r="BD184" s="885"/>
      <c r="BE184" s="885"/>
      <c r="BF184" s="1041"/>
      <c r="BG184" s="1041"/>
      <c r="BH184" s="1041"/>
      <c r="BI184" s="678"/>
      <c r="BJ184" s="678"/>
    </row>
    <row s="1834" customFormat="1" customHeight="1" ht="0" hidden="1">
      <c r="A185" s="885"/>
      <c r="B185" s="440"/>
      <c r="C185" s="885"/>
      <c r="D185" s="885"/>
      <c r="E185" s="678">
        <v>15</v>
      </c>
      <c r="F185" s="1387" cm="1" t="str">
        <f t="array" ref="F185:F185">OFFSET(E185,-1,1)</f>
        <v>2</v>
      </c>
      <c r="G185" s="885"/>
      <c r="H185" s="885"/>
      <c r="I185" s="885"/>
      <c r="J185" s="885"/>
      <c r="K185" s="911"/>
      <c r="L185" s="915"/>
      <c r="M185" s="885"/>
      <c r="N185" s="885"/>
      <c r="O185" s="885"/>
      <c r="P185" s="885"/>
      <c r="Q185" s="885"/>
      <c r="R185" s="885"/>
      <c r="S185" s="885"/>
      <c r="T185" s="1356">
        <f>AND(Y184&gt;0,F185&gt;0)</f>
        <v>0</v>
      </c>
      <c r="U185" s="885"/>
      <c r="V185" s="885"/>
      <c r="W185" s="885"/>
      <c r="X185" s="684"/>
      <c r="Y185" s="1524"/>
      <c r="Z185" s="885"/>
      <c r="AA185" s="1697"/>
      <c r="AB185" s="1698" t="str">
        <f>"3."&amp;Y184</f>
        <v>3.0</v>
      </c>
      <c r="AC185" s="1699" t="s">
        <v>227</v>
      </c>
      <c r="AD185" s="1700"/>
      <c r="AE185" s="3635"/>
      <c r="AF185" s="1702"/>
      <c r="AG185" s="3635"/>
      <c r="AH185" s="3635"/>
      <c r="AI185" s="3635"/>
      <c r="AJ185" s="3635"/>
      <c r="AK185" s="3635"/>
      <c r="AL185" s="3635"/>
      <c r="AM185" s="3635"/>
      <c r="AN185" s="3635"/>
      <c r="AO185" s="3635"/>
      <c r="AP185" s="3635"/>
      <c r="AQ185" s="3635"/>
      <c r="AR185" s="3635"/>
      <c r="AS185" s="1702"/>
      <c r="AT185" s="1702"/>
      <c r="AU185" s="1702"/>
      <c r="AV185" s="1702"/>
      <c r="AW185" s="1702"/>
      <c r="AX185" s="1702"/>
      <c r="AY185" s="1702"/>
      <c r="AZ185" s="1702"/>
      <c r="BA185" s="1702"/>
      <c r="BB185" s="1703"/>
      <c r="BC185" s="1704"/>
      <c r="BD185" s="885"/>
      <c r="BE185" s="885"/>
      <c r="BF185" s="1041"/>
      <c r="BG185" s="1041"/>
      <c r="BH185" s="1041"/>
      <c r="BI185" s="678"/>
      <c r="BJ185" s="678"/>
    </row>
    <row s="1834" customFormat="1" customHeight="1" ht="0" hidden="1">
      <c r="A186" s="885"/>
      <c r="B186" s="440"/>
      <c r="C186" s="885"/>
      <c r="D186" s="885"/>
      <c r="E186" s="678">
        <v>15</v>
      </c>
      <c r="F186" s="50" cm="1" t="str">
        <f t="array" ref="F186:F186">OFFSET(E186,-1,1)</f>
        <v>2</v>
      </c>
      <c r="G186" s="152" t="s">
        <v>334</v>
      </c>
      <c r="H186" s="155" cm="1" t="str">
        <f t="array" ref="H186:H186">AC186</f>
        <v>Затраты</v>
      </c>
      <c r="I186" s="152" t="s">
        <v>1801</v>
      </c>
      <c r="J186" s="885"/>
      <c r="K186" s="911"/>
      <c r="L186" s="885"/>
      <c r="M186" s="885"/>
      <c r="N186" s="885"/>
      <c r="O186" s="885"/>
      <c r="P186" s="885"/>
      <c r="Q186" s="885"/>
      <c r="R186" s="885"/>
      <c r="S186" s="885"/>
      <c r="T186" s="465" cm="1" t="str">
        <f t="array" ref="T186:T186">T185</f>
        <v>false</v>
      </c>
      <c r="U186" s="885"/>
      <c r="V186" s="885"/>
      <c r="W186" s="885"/>
      <c r="X186" s="1524"/>
      <c r="Y186" s="1524"/>
      <c r="Z186" s="1615"/>
      <c r="AA186" s="1617"/>
      <c r="AB186" s="88" t="str">
        <f>AB185&amp;".1"</f>
        <v>3.0.1</v>
      </c>
      <c r="AC186" s="1705" t="s">
        <v>1783</v>
      </c>
      <c r="AD186" s="211" t="s">
        <v>1514</v>
      </c>
      <c r="AE186" s="3536"/>
      <c r="AF186" s="3536"/>
      <c r="AG186" s="3536"/>
      <c r="AH186" s="3536"/>
      <c r="AI186" s="3536"/>
      <c r="AJ186" s="3536"/>
      <c r="AK186" s="3536"/>
      <c r="AL186" s="3536"/>
      <c r="AM186" s="3536"/>
      <c r="AN186" s="3536"/>
      <c r="AO186" s="3536"/>
      <c r="AP186" s="3536"/>
      <c r="AQ186" s="3536"/>
      <c r="AR186" s="3536"/>
      <c r="AS186" s="3536"/>
      <c r="AT186" s="3536"/>
      <c r="AU186" s="3536"/>
      <c r="AV186" s="3536"/>
      <c r="AW186" s="3536"/>
      <c r="AX186" s="3536"/>
      <c r="AY186" s="3536"/>
      <c r="AZ186" s="3536"/>
      <c r="BA186" s="3536"/>
      <c r="BB186" s="3536"/>
      <c r="BC186" s="2070"/>
      <c r="BD186" s="885"/>
      <c r="BE186" s="885"/>
      <c r="BF186" s="1041" t="s">
        <v>1784</v>
      </c>
      <c r="BG186" s="1041" t="s">
        <v>1802</v>
      </c>
      <c r="BH186" s="1041" cm="1" t="str">
        <f t="array" ref="BH186:BH186">AC185</f>
        <v/>
      </c>
      <c r="BI186" s="678"/>
      <c r="BJ186" s="678" t="b">
        <v>1</v>
      </c>
    </row>
    <row s="1834" customFormat="1" customHeight="1" ht="0" hidden="1">
      <c r="A187" s="885"/>
      <c r="B187" s="440"/>
      <c r="C187" s="885"/>
      <c r="D187" s="885"/>
      <c r="E187" s="678">
        <v>15</v>
      </c>
      <c r="F187" s="50" cm="1" t="str">
        <f t="array" ref="F187:F187">OFFSET(E187,-1,1)</f>
        <v>2</v>
      </c>
      <c r="G187" s="152" t="s">
        <v>1658</v>
      </c>
      <c r="H187" s="155" cm="1" t="str">
        <f t="array" ref="H187:H187">H186</f>
        <v>Затраты</v>
      </c>
      <c r="I187" s="152" t="s">
        <v>1801</v>
      </c>
      <c r="J187" s="885"/>
      <c r="K187" s="911"/>
      <c r="L187" s="885"/>
      <c r="M187" s="885"/>
      <c r="N187" s="885"/>
      <c r="O187" s="885"/>
      <c r="P187" s="885"/>
      <c r="Q187" s="885"/>
      <c r="R187" s="885"/>
      <c r="S187" s="885"/>
      <c r="T187" s="465" cm="1" t="str">
        <f t="array" ref="T187:T187">T186</f>
        <v>false</v>
      </c>
      <c r="U187" s="885"/>
      <c r="V187" s="885"/>
      <c r="W187" s="885"/>
      <c r="X187" s="1524"/>
      <c r="Y187" s="1524"/>
      <c r="Z187" s="1615"/>
      <c r="AA187" s="1617"/>
      <c r="AB187" s="88" t="str">
        <f>AB186&amp;".1"</f>
        <v>3.0.1.1</v>
      </c>
      <c r="AC187" s="221" t="s">
        <v>1803</v>
      </c>
      <c r="AD187" s="88" t="s">
        <v>1247</v>
      </c>
      <c r="AE187" s="3536"/>
      <c r="AF187" s="3536"/>
      <c r="AG187" s="3536"/>
      <c r="AH187" s="3536"/>
      <c r="AI187" s="3536"/>
      <c r="AJ187" s="3536"/>
      <c r="AK187" s="3536"/>
      <c r="AL187" s="3536"/>
      <c r="AM187" s="3536"/>
      <c r="AN187" s="3536"/>
      <c r="AO187" s="3536"/>
      <c r="AP187" s="3536"/>
      <c r="AQ187" s="3536"/>
      <c r="AR187" s="3536"/>
      <c r="AS187" s="3536"/>
      <c r="AT187" s="3536"/>
      <c r="AU187" s="3536"/>
      <c r="AV187" s="3536"/>
      <c r="AW187" s="3536"/>
      <c r="AX187" s="3536"/>
      <c r="AY187" s="3536"/>
      <c r="AZ187" s="3536"/>
      <c r="BA187" s="3536"/>
      <c r="BB187" s="3536"/>
      <c r="BC187" s="2070"/>
      <c r="BD187" s="885"/>
      <c r="BE187" s="885"/>
      <c r="BF187" s="1041" t="s">
        <v>1787</v>
      </c>
      <c r="BG187" s="1041" t="s">
        <v>1802</v>
      </c>
      <c r="BH187" s="1041" cm="1" t="str">
        <f t="array" ref="BH187:BH187">BH186</f>
        <v/>
      </c>
      <c r="BI187" s="678"/>
      <c r="BJ187" s="678"/>
    </row>
    <row s="1834" customFormat="1" customHeight="1" ht="0" hidden="1">
      <c r="A188" s="885"/>
      <c r="B188" s="440"/>
      <c r="C188" s="885"/>
      <c r="D188" s="885"/>
      <c r="E188" s="678">
        <v>15</v>
      </c>
      <c r="F188" s="1387" cm="1" t="str">
        <f t="array" ref="F188:F188">OFFSET(E188,-1,1)</f>
        <v>2</v>
      </c>
      <c r="G188" s="885"/>
      <c r="H188" s="155"/>
      <c r="I188" s="885"/>
      <c r="J188" s="885"/>
      <c r="K188" s="911"/>
      <c r="L188" s="885"/>
      <c r="M188" s="885"/>
      <c r="N188" s="885"/>
      <c r="O188" s="885"/>
      <c r="P188" s="885"/>
      <c r="Q188" s="885"/>
      <c r="R188" s="885"/>
      <c r="S188" s="885"/>
      <c r="T188" s="1356" cm="1" t="str">
        <f t="array" ref="T188:T188">T187</f>
        <v>false</v>
      </c>
      <c r="U188" s="885"/>
      <c r="V188" s="885"/>
      <c r="W188" s="885"/>
      <c r="X188" s="684"/>
      <c r="Y188" s="1524"/>
      <c r="Z188" s="885"/>
      <c r="AA188" s="1697"/>
      <c r="AB188" s="1706" t="str">
        <f>AB186&amp;".2"</f>
        <v>3.0.1.2</v>
      </c>
      <c r="AC188" s="1707" t="s">
        <v>1798</v>
      </c>
      <c r="AD188" s="1706" t="s">
        <v>1789</v>
      </c>
      <c r="AE188" s="3644"/>
      <c r="AF188" s="3644"/>
      <c r="AG188" s="3644"/>
      <c r="AH188" s="3644"/>
      <c r="AI188" s="3644"/>
      <c r="AJ188" s="3644"/>
      <c r="AK188" s="3644"/>
      <c r="AL188" s="3644"/>
      <c r="AM188" s="3644"/>
      <c r="AN188" s="3644"/>
      <c r="AO188" s="3644"/>
      <c r="AP188" s="3644"/>
      <c r="AQ188" s="3644"/>
      <c r="AR188" s="3644"/>
      <c r="AS188" s="3644"/>
      <c r="AT188" s="3644"/>
      <c r="AU188" s="3644"/>
      <c r="AV188" s="3644"/>
      <c r="AW188" s="3644"/>
      <c r="AX188" s="3644"/>
      <c r="AY188" s="3644"/>
      <c r="AZ188" s="3644"/>
      <c r="BA188" s="3644"/>
      <c r="BB188" s="3644"/>
      <c r="BC188" s="3645"/>
      <c r="BD188" s="885"/>
      <c r="BE188" s="885"/>
      <c r="BF188" s="1041" t="s">
        <v>1790</v>
      </c>
      <c r="BG188" s="1041" t="s">
        <v>1802</v>
      </c>
      <c r="BH188" s="1710" cm="1" t="str">
        <f t="array" ref="BH188:BH188">BH187</f>
        <v/>
      </c>
      <c r="BI188" s="678"/>
      <c r="BJ188" s="678"/>
    </row>
    <row s="1834" customFormat="1" customHeight="1" ht="0">
      <c r="A189" s="885"/>
      <c r="B189" s="440"/>
      <c r="C189" s="885"/>
      <c r="D189" s="885"/>
      <c r="E189" s="678">
        <v>15</v>
      </c>
      <c r="F189" s="50" cm="1" t="str">
        <f t="array" ref="F189:F189">OFFSET(E189,-1,1)</f>
        <v>2</v>
      </c>
      <c r="G189" s="885"/>
      <c r="H189" s="152" t="str">
        <f>"!=='не определено' &amp;&amp; row.l3 !== null"</f>
        <v>!=='не определено' &amp;&amp; row.l3 !== null</v>
      </c>
      <c r="I189" s="885"/>
      <c r="J189" s="885"/>
      <c r="K189" s="911"/>
      <c r="L189" s="885"/>
      <c r="M189" s="885"/>
      <c r="N189" s="885"/>
      <c r="O189" s="885"/>
      <c r="P189" s="885"/>
      <c r="Q189" s="885"/>
      <c r="R189" s="885"/>
      <c r="S189" s="885"/>
      <c r="T189" s="465">
        <f>F189&gt;0</f>
        <v>1</v>
      </c>
      <c r="U189" s="885"/>
      <c r="V189" s="885"/>
      <c r="W189" s="685" t="s">
        <v>1804</v>
      </c>
      <c r="X189" s="1524"/>
      <c r="Y189" s="683"/>
      <c r="Z189" s="1615"/>
      <c r="AA189" s="885"/>
      <c r="AB189" s="681"/>
      <c r="AC189" s="232" t="s">
        <v>1792</v>
      </c>
      <c r="AD189" s="232"/>
      <c r="AE189" s="232"/>
      <c r="AF189" s="232"/>
      <c r="AG189" s="232"/>
      <c r="AH189" s="232"/>
      <c r="AI189" s="232"/>
      <c r="AJ189" s="232"/>
      <c r="AK189" s="232"/>
      <c r="AL189" s="232"/>
      <c r="AM189" s="232"/>
      <c r="AN189" s="232"/>
      <c r="AO189" s="232"/>
      <c r="AP189" s="232"/>
      <c r="AQ189" s="232"/>
      <c r="AR189" s="232"/>
      <c r="AS189" s="232"/>
      <c r="AT189" s="232"/>
      <c r="AU189" s="232"/>
      <c r="AV189" s="232"/>
      <c r="AW189" s="232"/>
      <c r="AX189" s="232"/>
      <c r="AY189" s="232"/>
      <c r="AZ189" s="232"/>
      <c r="BA189" s="232"/>
      <c r="BB189" s="232"/>
      <c r="BC189" s="233"/>
      <c r="BD189" s="885"/>
      <c r="BE189" s="885"/>
      <c r="BF189" s="1041"/>
      <c r="BG189" s="1041"/>
      <c r="BH189" s="1041"/>
      <c r="BI189" s="678" t="s">
        <v>1802</v>
      </c>
      <c r="BJ189" s="678"/>
    </row>
    <row s="1834" customFormat="1" customHeight="1" ht="0">
      <c r="A190" s="885"/>
      <c r="B190" s="440"/>
      <c r="C190" s="885"/>
      <c r="D190" s="885"/>
      <c r="E190" s="678">
        <v>23</v>
      </c>
      <c r="F190" s="50" cm="1" t="str">
        <f t="array" ref="F190:F190">OFFSET(E190,-1,1)</f>
        <v>2</v>
      </c>
      <c r="G190" s="885"/>
      <c r="H190" s="885"/>
      <c r="I190" s="885"/>
      <c r="J190" s="885"/>
      <c r="K190" s="911" t="str">
        <f>F164&amp;"4komm"</f>
        <v>24komm</v>
      </c>
      <c r="L190" s="915" cm="1" t="str">
        <f t="array" ref="L190:L190">BC190</f>
        <v>0</v>
      </c>
      <c r="M190" s="885"/>
      <c r="N190" s="885"/>
      <c r="O190" s="885"/>
      <c r="P190" s="885"/>
      <c r="Q190" s="885"/>
      <c r="R190" s="885"/>
      <c r="S190" s="885"/>
      <c r="T190" s="465" cm="1" t="str">
        <f t="array" ref="T190:T190">T189</f>
        <v>true</v>
      </c>
      <c r="U190" s="885"/>
      <c r="V190" s="885"/>
      <c r="W190" s="885"/>
      <c r="X190" s="1524"/>
      <c r="Y190" s="684"/>
      <c r="Z190" s="1615"/>
      <c r="AA190" s="885"/>
      <c r="AB190" s="211">
        <v>4</v>
      </c>
      <c r="AC190" s="212" t="s">
        <v>1805</v>
      </c>
      <c r="AD190" s="211" t="s">
        <v>1514</v>
      </c>
      <c r="AE190" s="213">
        <f>SUMIF(AD193:AD196,AD190,AE193:AE196)</f>
        <v>0</v>
      </c>
      <c r="AF190" s="213">
        <f>SUMIF(AD193:AD196,AD190,AF193:AF196)</f>
        <v>0</v>
      </c>
      <c r="AG190" s="213">
        <f>SUMIF(AD193:AD196,AD190,AG193:AG196)</f>
        <v>0</v>
      </c>
      <c r="AH190" s="213">
        <f>SUMIF(AD193:AD196,AD190,AH193:AH196)</f>
        <v>0</v>
      </c>
      <c r="AI190" s="213">
        <f>SUMIF(AD193:AD196,AD190,AI193:AI196)</f>
        <v>0</v>
      </c>
      <c r="AJ190" s="1460">
        <f>SUMIF(AD193:AD196,AD190,AJ193:AJ196)</f>
        <v>0</v>
      </c>
      <c r="AK190" s="1460">
        <f>SUMIF(AD193:AD196,AD190,AK193:AK196)</f>
        <v>0</v>
      </c>
      <c r="AL190" s="1460">
        <f>SUMIF(AD193:AD196,AD190,AL193:AL196)</f>
        <v>0</v>
      </c>
      <c r="AM190" s="1460">
        <f>SUMIF(AD193:AD196,AD190,AM193:AM196)</f>
        <v>0</v>
      </c>
      <c r="AN190" s="3626">
        <f>SUMIF(AD193:AD196,AD190,AN193:AN196)</f>
        <v>0</v>
      </c>
      <c r="AO190" s="3626">
        <f>SUMIF(AD193:AD196,AD190,AO193:AO196)</f>
        <v>0</v>
      </c>
      <c r="AP190" s="3626">
        <f>SUMIF(AD193:AD196,AD190,AP193:AP196)</f>
        <v>0</v>
      </c>
      <c r="AQ190" s="3626">
        <f>SUMIF(AD193:AD196,AD190,AQ193:AQ196)</f>
        <v>0</v>
      </c>
      <c r="AR190" s="3626">
        <f>SUMIF(AD193:AD196,AD190,AR193:AR196)</f>
        <v>0</v>
      </c>
      <c r="AS190" s="213">
        <f>SUMIF(AD193:AD196,AD190,AS193:AS196)</f>
        <v>0</v>
      </c>
      <c r="AT190" s="1460">
        <f>SUMIF(AD193:AD196,AD190,AT193:AT196)</f>
        <v>0</v>
      </c>
      <c r="AU190" s="1460">
        <f>SUMIF(AD193:AD196,AD190,AU193:AU196)</f>
        <v>0</v>
      </c>
      <c r="AV190" s="1460">
        <f>SUMIF(AD193:AD196,AD190,AV193:AV196)</f>
        <v>0</v>
      </c>
      <c r="AW190" s="1460">
        <f>SUMIF(AD193:AD196,AD190,AW193:AW196)</f>
        <v>0</v>
      </c>
      <c r="AX190" s="3626">
        <f>SUMIF(AD193:AD196,AD190,AX193:AX196)</f>
        <v>0</v>
      </c>
      <c r="AY190" s="3626">
        <f>SUMIF(AD193:AD196,AD190,AY193:AY196)</f>
        <v>0</v>
      </c>
      <c r="AZ190" s="3626">
        <f>SUMIF(AD193:AD196,AD190,AZ193:AZ196)</f>
        <v>0</v>
      </c>
      <c r="BA190" s="3626">
        <f>SUMIF(AD193:AD196,AD190,BA193:BA196)</f>
        <v>0</v>
      </c>
      <c r="BB190" s="3626">
        <f>SUMIF(AD193:AD196,AD190,BB193:BB196)</f>
        <v>0</v>
      </c>
      <c r="BC190" s="200"/>
      <c r="BD190" s="885"/>
      <c r="BE190" s="885"/>
      <c r="BF190" s="1041" t="s">
        <v>1806</v>
      </c>
      <c r="BG190" s="1041"/>
      <c r="BH190" s="1041"/>
      <c r="BI190" s="678"/>
      <c r="BJ190" s="678"/>
    </row>
    <row s="1834" customFormat="1" customHeight="1" ht="0" hidden="1">
      <c r="A191" s="885"/>
      <c r="B191" s="440"/>
      <c r="C191" s="885"/>
      <c r="D191" s="885"/>
      <c r="E191" s="678">
        <v>0</v>
      </c>
      <c r="F191" s="50" cm="1" t="str">
        <f t="array" ref="F191:F191">OFFSET(E191,-1,1)</f>
        <v>2</v>
      </c>
      <c r="G191" s="152" t="s">
        <v>336</v>
      </c>
      <c r="H191" s="885"/>
      <c r="I191" s="885"/>
      <c r="J191" s="885"/>
      <c r="K191" s="911"/>
      <c r="L191" s="915"/>
      <c r="M191" s="885"/>
      <c r="N191" s="885"/>
      <c r="O191" s="885"/>
      <c r="P191" s="885"/>
      <c r="Q191" s="885"/>
      <c r="R191" s="885"/>
      <c r="S191" s="885"/>
      <c r="T191" s="465" t="b">
        <v>0</v>
      </c>
      <c r="U191" s="885"/>
      <c r="V191" s="885"/>
      <c r="W191" s="152" t="s">
        <v>174</v>
      </c>
      <c r="X191" s="1524"/>
      <c r="Y191" s="1524">
        <v>0</v>
      </c>
      <c r="Z191" s="1615"/>
      <c r="AA191" s="1617" t="s">
        <v>175</v>
      </c>
      <c r="AB191" s="211"/>
      <c r="AC191" s="212"/>
      <c r="AD191" s="211"/>
      <c r="AE191" s="1368">
        <f>OR(AND(AE193&lt;&gt;"",AE194=""),AND(AE193="",AE194&lt;&gt;""))</f>
        <v>0</v>
      </c>
      <c r="AF191" s="1368">
        <f>OR(AND(AF193&lt;&gt;"",AF194=""),AND(AF193="",AF194&lt;&gt;""))</f>
        <v>0</v>
      </c>
      <c r="AG191" s="1368">
        <f>OR(AND(AG193&lt;&gt;"",AG194=""),AND(AG193="",AG194&lt;&gt;""))</f>
        <v>0</v>
      </c>
      <c r="AH191" s="1368">
        <f>OR(AND(AH193&lt;&gt;"",AH194=""),AND(AH193="",AH194&lt;&gt;""))</f>
        <v>0</v>
      </c>
      <c r="AI191" s="1368">
        <f>OR(AND(AI193&lt;&gt;"",AI194=""),AND(AI193="",AI194&lt;&gt;""))</f>
        <v>0</v>
      </c>
      <c r="AJ191" s="1368">
        <f>OR(AND(AJ193&lt;&gt;"",AJ194=""),AND(AJ193="",AJ194&lt;&gt;""))</f>
        <v>0</v>
      </c>
      <c r="AK191" s="1368">
        <f>OR(AND(AK193&lt;&gt;"",AK194=""),AND(AK193="",AK194&lt;&gt;""))</f>
        <v>0</v>
      </c>
      <c r="AL191" s="1368">
        <f>OR(AND(AL193&lt;&gt;"",AL194=""),AND(AL193="",AL194&lt;&gt;""))</f>
        <v>0</v>
      </c>
      <c r="AM191" s="1368">
        <f>OR(AND(AM193&lt;&gt;"",AM194=""),AND(AM193="",AM194&lt;&gt;""))</f>
        <v>0</v>
      </c>
      <c r="AN191" s="1368">
        <f>OR(AND(AN193&lt;&gt;"",AN194=""),AND(AN193="",AN194&lt;&gt;""))</f>
        <v>0</v>
      </c>
      <c r="AO191" s="1368">
        <f>OR(AND(AO193&lt;&gt;"",AO194=""),AND(AO193="",AO194&lt;&gt;""))</f>
        <v>0</v>
      </c>
      <c r="AP191" s="1368">
        <f>OR(AND(AP193&lt;&gt;"",AP194=""),AND(AP193="",AP194&lt;&gt;""))</f>
        <v>0</v>
      </c>
      <c r="AQ191" s="1368">
        <f>OR(AND(AQ193&lt;&gt;"",AQ194=""),AND(AQ193="",AQ194&lt;&gt;""))</f>
        <v>0</v>
      </c>
      <c r="AR191" s="1368">
        <f>OR(AND(AR193&lt;&gt;"",AR194=""),AND(AR193="",AR194&lt;&gt;""))</f>
        <v>0</v>
      </c>
      <c r="AS191" s="1368">
        <f>OR(AND(AS193&lt;&gt;"",AS194=""),AND(AS193="",AS194&lt;&gt;""))</f>
        <v>0</v>
      </c>
      <c r="AT191" s="1368">
        <f>OR(AND(AT193&lt;&gt;"",AT194=""),AND(AT193="",AT194&lt;&gt;""))</f>
        <v>0</v>
      </c>
      <c r="AU191" s="1368">
        <f>OR(AND(AU193&lt;&gt;"",AU194=""),AND(AU193="",AU194&lt;&gt;""))</f>
        <v>0</v>
      </c>
      <c r="AV191" s="1368">
        <f>OR(AND(AV193&lt;&gt;"",AV194=""),AND(AV193="",AV194&lt;&gt;""))</f>
        <v>0</v>
      </c>
      <c r="AW191" s="1368">
        <f>OR(AND(AW193&lt;&gt;"",AW194=""),AND(AW193="",AW194&lt;&gt;""))</f>
        <v>0</v>
      </c>
      <c r="AX191" s="1368">
        <f>OR(AND(AX193&lt;&gt;"",AX194=""),AND(AX193="",AX194&lt;&gt;""))</f>
        <v>0</v>
      </c>
      <c r="AY191" s="1368">
        <f>OR(AND(AY193&lt;&gt;"",AY194=""),AND(AY193="",AY194&lt;&gt;""))</f>
        <v>0</v>
      </c>
      <c r="AZ191" s="1368">
        <f>OR(AND(AZ193&lt;&gt;"",AZ194=""),AND(AZ193="",AZ194&lt;&gt;""))</f>
        <v>0</v>
      </c>
      <c r="BA191" s="1368">
        <f>OR(AND(BA193&lt;&gt;"",BA194=""),AND(BA193="",BA194&lt;&gt;""))</f>
        <v>0</v>
      </c>
      <c r="BB191" s="1368">
        <f>OR(AND(BB193&lt;&gt;"",BB194=""),AND(BB193="",BB194&lt;&gt;""))</f>
        <v>0</v>
      </c>
      <c r="BC191" s="974"/>
      <c r="BD191" s="885"/>
      <c r="BE191" s="885"/>
      <c r="BF191" s="1041"/>
      <c r="BG191" s="1041"/>
      <c r="BH191" s="1041"/>
      <c r="BI191" s="678"/>
      <c r="BJ191" s="678"/>
    </row>
    <row s="1834" customFormat="1" customHeight="1" ht="0" hidden="1">
      <c r="A192" s="885"/>
      <c r="B192" s="440"/>
      <c r="C192" s="885"/>
      <c r="D192" s="885"/>
      <c r="E192" s="678">
        <v>15</v>
      </c>
      <c r="F192" s="1387" cm="1" t="str">
        <f t="array" ref="F192:F192">OFFSET(E192,-1,1)</f>
        <v>2</v>
      </c>
      <c r="G192" s="885"/>
      <c r="H192" s="885"/>
      <c r="I192" s="885"/>
      <c r="J192" s="885"/>
      <c r="K192" s="911"/>
      <c r="L192" s="915"/>
      <c r="M192" s="885"/>
      <c r="N192" s="885"/>
      <c r="O192" s="885"/>
      <c r="P192" s="885"/>
      <c r="Q192" s="885"/>
      <c r="R192" s="885"/>
      <c r="S192" s="885"/>
      <c r="T192" s="1356">
        <f>AND(Y191&gt;0,F192&gt;0)</f>
        <v>0</v>
      </c>
      <c r="U192" s="885"/>
      <c r="V192" s="885"/>
      <c r="W192" s="885"/>
      <c r="X192" s="684"/>
      <c r="Y192" s="1524"/>
      <c r="Z192" s="885"/>
      <c r="AA192" s="1697"/>
      <c r="AB192" s="1698" t="str">
        <f>"4."&amp;Y191</f>
        <v>4.0</v>
      </c>
      <c r="AC192" s="1699" t="s">
        <v>227</v>
      </c>
      <c r="AD192" s="1700"/>
      <c r="AE192" s="3635"/>
      <c r="AF192" s="1702"/>
      <c r="AG192" s="3635"/>
      <c r="AH192" s="3635"/>
      <c r="AI192" s="3635"/>
      <c r="AJ192" s="3635"/>
      <c r="AK192" s="3635"/>
      <c r="AL192" s="3635"/>
      <c r="AM192" s="3635"/>
      <c r="AN192" s="3635"/>
      <c r="AO192" s="3635"/>
      <c r="AP192" s="3635"/>
      <c r="AQ192" s="3635"/>
      <c r="AR192" s="3635"/>
      <c r="AS192" s="1702"/>
      <c r="AT192" s="1702"/>
      <c r="AU192" s="1702"/>
      <c r="AV192" s="1702"/>
      <c r="AW192" s="1702"/>
      <c r="AX192" s="1702"/>
      <c r="AY192" s="1702"/>
      <c r="AZ192" s="1702"/>
      <c r="BA192" s="1702"/>
      <c r="BB192" s="1703"/>
      <c r="BC192" s="1704"/>
      <c r="BD192" s="885"/>
      <c r="BE192" s="885"/>
      <c r="BF192" s="1041"/>
      <c r="BG192" s="1041"/>
      <c r="BH192" s="1041"/>
      <c r="BI192" s="678"/>
      <c r="BJ192" s="678"/>
    </row>
    <row s="1834" customFormat="1" customHeight="1" ht="0" hidden="1">
      <c r="A193" s="885"/>
      <c r="B193" s="440"/>
      <c r="C193" s="885"/>
      <c r="D193" s="885"/>
      <c r="E193" s="678">
        <v>15</v>
      </c>
      <c r="F193" s="50" cm="1" t="str">
        <f t="array" ref="F193:F193">OFFSET(E193,-1,1)</f>
        <v>2</v>
      </c>
      <c r="G193" s="152" t="s">
        <v>336</v>
      </c>
      <c r="H193" s="155" cm="1" t="str">
        <f t="array" ref="H193:H193">AC193</f>
        <v>Затраты</v>
      </c>
      <c r="I193" s="152" t="s">
        <v>1807</v>
      </c>
      <c r="J193" s="885"/>
      <c r="K193" s="911"/>
      <c r="L193" s="885"/>
      <c r="M193" s="885"/>
      <c r="N193" s="885"/>
      <c r="O193" s="885"/>
      <c r="P193" s="885"/>
      <c r="Q193" s="885"/>
      <c r="R193" s="885"/>
      <c r="S193" s="885"/>
      <c r="T193" s="465" cm="1" t="str">
        <f t="array" ref="T193:T193">T192</f>
        <v>false</v>
      </c>
      <c r="U193" s="885"/>
      <c r="V193" s="885"/>
      <c r="W193" s="885"/>
      <c r="X193" s="1524"/>
      <c r="Y193" s="1524"/>
      <c r="Z193" s="1615"/>
      <c r="AA193" s="1617"/>
      <c r="AB193" s="88" t="str">
        <f>AB192&amp;".1"</f>
        <v>4.0.1</v>
      </c>
      <c r="AC193" s="1705" t="s">
        <v>1783</v>
      </c>
      <c r="AD193" s="211" t="s">
        <v>1514</v>
      </c>
      <c r="AE193" s="3536"/>
      <c r="AF193" s="3536"/>
      <c r="AG193" s="3536"/>
      <c r="AH193" s="3536"/>
      <c r="AI193" s="3536"/>
      <c r="AJ193" s="3536"/>
      <c r="AK193" s="3536"/>
      <c r="AL193" s="3536"/>
      <c r="AM193" s="3536"/>
      <c r="AN193" s="3536"/>
      <c r="AO193" s="3536"/>
      <c r="AP193" s="3536"/>
      <c r="AQ193" s="3536"/>
      <c r="AR193" s="3536"/>
      <c r="AS193" s="3536"/>
      <c r="AT193" s="3536"/>
      <c r="AU193" s="3536"/>
      <c r="AV193" s="3536"/>
      <c r="AW193" s="3536"/>
      <c r="AX193" s="3536"/>
      <c r="AY193" s="3536"/>
      <c r="AZ193" s="3536"/>
      <c r="BA193" s="3536"/>
      <c r="BB193" s="3536"/>
      <c r="BC193" s="2070"/>
      <c r="BD193" s="885"/>
      <c r="BE193" s="885"/>
      <c r="BF193" s="1041" t="s">
        <v>1784</v>
      </c>
      <c r="BG193" s="1041" t="s">
        <v>1808</v>
      </c>
      <c r="BH193" s="1041" cm="1" t="str">
        <f t="array" ref="BH193:BH193">AC192</f>
        <v/>
      </c>
      <c r="BI193" s="678"/>
      <c r="BJ193" s="678" t="b">
        <v>1</v>
      </c>
    </row>
    <row s="1834" customFormat="1" customHeight="1" ht="0" hidden="1">
      <c r="A194" s="885"/>
      <c r="B194" s="440"/>
      <c r="C194" s="885"/>
      <c r="D194" s="885"/>
      <c r="E194" s="678">
        <v>15</v>
      </c>
      <c r="F194" s="50" cm="1" t="str">
        <f t="array" ref="F194:F194">OFFSET(E194,-1,1)</f>
        <v>2</v>
      </c>
      <c r="G194" s="152" t="s">
        <v>1249</v>
      </c>
      <c r="H194" s="155" cm="1" t="str">
        <f t="array" ref="H194:H194">H193</f>
        <v>Затраты</v>
      </c>
      <c r="I194" s="152" t="s">
        <v>1807</v>
      </c>
      <c r="J194" s="885"/>
      <c r="K194" s="911"/>
      <c r="L194" s="885"/>
      <c r="M194" s="885"/>
      <c r="N194" s="885"/>
      <c r="O194" s="885"/>
      <c r="P194" s="885"/>
      <c r="Q194" s="885"/>
      <c r="R194" s="885"/>
      <c r="S194" s="885"/>
      <c r="T194" s="465" cm="1" t="str">
        <f t="array" ref="T194:T194">T193</f>
        <v>false</v>
      </c>
      <c r="U194" s="885"/>
      <c r="V194" s="885"/>
      <c r="W194" s="885"/>
      <c r="X194" s="1524"/>
      <c r="Y194" s="1524"/>
      <c r="Z194" s="1615"/>
      <c r="AA194" s="1617"/>
      <c r="AB194" s="88" t="str">
        <f>AB193&amp;".1"</f>
        <v>4.0.1.1</v>
      </c>
      <c r="AC194" s="221" t="s">
        <v>1809</v>
      </c>
      <c r="AD194" s="88" t="s">
        <v>1247</v>
      </c>
      <c r="AE194" s="3536"/>
      <c r="AF194" s="3536"/>
      <c r="AG194" s="3536"/>
      <c r="AH194" s="3536"/>
      <c r="AI194" s="3536"/>
      <c r="AJ194" s="3536"/>
      <c r="AK194" s="3536"/>
      <c r="AL194" s="3536"/>
      <c r="AM194" s="3536"/>
      <c r="AN194" s="3536"/>
      <c r="AO194" s="3536"/>
      <c r="AP194" s="3536"/>
      <c r="AQ194" s="3536"/>
      <c r="AR194" s="3536"/>
      <c r="AS194" s="3536"/>
      <c r="AT194" s="3536"/>
      <c r="AU194" s="3536"/>
      <c r="AV194" s="3536"/>
      <c r="AW194" s="3536"/>
      <c r="AX194" s="3536"/>
      <c r="AY194" s="3536"/>
      <c r="AZ194" s="3536"/>
      <c r="BA194" s="3536"/>
      <c r="BB194" s="3536"/>
      <c r="BC194" s="2070"/>
      <c r="BD194" s="885"/>
      <c r="BE194" s="885"/>
      <c r="BF194" s="1041" t="s">
        <v>1787</v>
      </c>
      <c r="BG194" s="1041" t="s">
        <v>1808</v>
      </c>
      <c r="BH194" s="1041" cm="1" t="str">
        <f t="array" ref="BH194:BH194">BH193</f>
        <v/>
      </c>
      <c r="BI194" s="678"/>
      <c r="BJ194" s="678"/>
    </row>
    <row s="1834" customFormat="1" customHeight="1" ht="0" hidden="1">
      <c r="A195" s="885"/>
      <c r="B195" s="440"/>
      <c r="C195" s="885"/>
      <c r="D195" s="885"/>
      <c r="E195" s="678">
        <v>15</v>
      </c>
      <c r="F195" s="1387" cm="1" t="str">
        <f t="array" ref="F195:F195">OFFSET(E195,-1,1)</f>
        <v>2</v>
      </c>
      <c r="G195" s="885"/>
      <c r="H195" s="155"/>
      <c r="I195" s="885"/>
      <c r="J195" s="885"/>
      <c r="K195" s="911"/>
      <c r="L195" s="885"/>
      <c r="M195" s="885"/>
      <c r="N195" s="885"/>
      <c r="O195" s="885"/>
      <c r="P195" s="885"/>
      <c r="Q195" s="885"/>
      <c r="R195" s="885"/>
      <c r="S195" s="885"/>
      <c r="T195" s="1356" cm="1" t="str">
        <f t="array" ref="T195:T195">T194</f>
        <v>false</v>
      </c>
      <c r="U195" s="885"/>
      <c r="V195" s="885"/>
      <c r="W195" s="885"/>
      <c r="X195" s="684"/>
      <c r="Y195" s="1524"/>
      <c r="Z195" s="885"/>
      <c r="AA195" s="1697"/>
      <c r="AB195" s="1706" t="str">
        <f>AB193&amp;".2"</f>
        <v>4.0.1.2</v>
      </c>
      <c r="AC195" s="1707" t="s">
        <v>1810</v>
      </c>
      <c r="AD195" s="1706" t="s">
        <v>1789</v>
      </c>
      <c r="AE195" s="3644"/>
      <c r="AF195" s="3644"/>
      <c r="AG195" s="3644"/>
      <c r="AH195" s="3644"/>
      <c r="AI195" s="3644"/>
      <c r="AJ195" s="3644"/>
      <c r="AK195" s="3644"/>
      <c r="AL195" s="3644"/>
      <c r="AM195" s="3644"/>
      <c r="AN195" s="3644"/>
      <c r="AO195" s="3644"/>
      <c r="AP195" s="3644"/>
      <c r="AQ195" s="3644"/>
      <c r="AR195" s="3644"/>
      <c r="AS195" s="3644"/>
      <c r="AT195" s="3644"/>
      <c r="AU195" s="3644"/>
      <c r="AV195" s="3644"/>
      <c r="AW195" s="3644"/>
      <c r="AX195" s="3644"/>
      <c r="AY195" s="3644"/>
      <c r="AZ195" s="3644"/>
      <c r="BA195" s="3644"/>
      <c r="BB195" s="3644"/>
      <c r="BC195" s="3645"/>
      <c r="BD195" s="885"/>
      <c r="BE195" s="885"/>
      <c r="BF195" s="1041" t="s">
        <v>1790</v>
      </c>
      <c r="BG195" s="1041" t="s">
        <v>1808</v>
      </c>
      <c r="BH195" s="1710" cm="1" t="str">
        <f t="array" ref="BH195:BH195">BH194</f>
        <v/>
      </c>
      <c r="BI195" s="678"/>
      <c r="BJ195" s="678"/>
    </row>
    <row s="1834" customFormat="1" customHeight="1" ht="0">
      <c r="A196" s="885"/>
      <c r="B196" s="440"/>
      <c r="C196" s="885"/>
      <c r="D196" s="885"/>
      <c r="E196" s="678">
        <v>15</v>
      </c>
      <c r="F196" s="50" cm="1" t="str">
        <f t="array" ref="F196:F196">OFFSET(E196,-1,1)</f>
        <v>2</v>
      </c>
      <c r="G196" s="885"/>
      <c r="H196" s="152" t="str">
        <f>"!=='не определено' &amp;&amp; row.l4 !== null"</f>
        <v>!=='не определено' &amp;&amp; row.l4 !== null</v>
      </c>
      <c r="I196" s="885"/>
      <c r="J196" s="885"/>
      <c r="K196" s="911"/>
      <c r="L196" s="885"/>
      <c r="M196" s="885"/>
      <c r="N196" s="885"/>
      <c r="O196" s="885"/>
      <c r="P196" s="885"/>
      <c r="Q196" s="885"/>
      <c r="R196" s="885"/>
      <c r="S196" s="885"/>
      <c r="T196" s="465">
        <f>F196&gt;0</f>
        <v>1</v>
      </c>
      <c r="U196" s="885"/>
      <c r="V196" s="885"/>
      <c r="W196" s="685" t="s">
        <v>1811</v>
      </c>
      <c r="X196" s="1524"/>
      <c r="Y196" s="683"/>
      <c r="Z196" s="1615"/>
      <c r="AA196" s="885"/>
      <c r="AB196" s="681"/>
      <c r="AC196" s="232" t="s">
        <v>1792</v>
      </c>
      <c r="AD196" s="232"/>
      <c r="AE196" s="232"/>
      <c r="AF196" s="232"/>
      <c r="AG196" s="232"/>
      <c r="AH196" s="232"/>
      <c r="AI196" s="232"/>
      <c r="AJ196" s="232"/>
      <c r="AK196" s="232"/>
      <c r="AL196" s="232"/>
      <c r="AM196" s="232"/>
      <c r="AN196" s="232"/>
      <c r="AO196" s="232"/>
      <c r="AP196" s="232"/>
      <c r="AQ196" s="232"/>
      <c r="AR196" s="232"/>
      <c r="AS196" s="232"/>
      <c r="AT196" s="232"/>
      <c r="AU196" s="232"/>
      <c r="AV196" s="232"/>
      <c r="AW196" s="232"/>
      <c r="AX196" s="232"/>
      <c r="AY196" s="232"/>
      <c r="AZ196" s="232"/>
      <c r="BA196" s="232"/>
      <c r="BB196" s="232"/>
      <c r="BC196" s="233"/>
      <c r="BD196" s="885"/>
      <c r="BE196" s="885"/>
      <c r="BF196" s="1041"/>
      <c r="BG196" s="1041"/>
      <c r="BH196" s="1041"/>
      <c r="BI196" s="678" t="s">
        <v>1808</v>
      </c>
      <c r="BJ196" s="678"/>
    </row>
    <row s="1834" customFormat="1" customHeight="1" ht="0">
      <c r="A197" s="885"/>
      <c r="B197" s="440"/>
      <c r="C197" s="885"/>
      <c r="D197" s="885"/>
      <c r="E197" s="678">
        <v>23</v>
      </c>
      <c r="F197" s="50" cm="1" t="str">
        <f t="array" ref="F197:F197">OFFSET(E197,-1,1)</f>
        <v>2</v>
      </c>
      <c r="G197" s="885"/>
      <c r="H197" s="885"/>
      <c r="I197" s="885"/>
      <c r="J197" s="885"/>
      <c r="K197" s="911" t="str">
        <f>F164&amp;"5komm"</f>
        <v>25komm</v>
      </c>
      <c r="L197" s="915" cm="1" t="str">
        <f t="array" ref="L197:L197">BC197</f>
        <v>0</v>
      </c>
      <c r="M197" s="885"/>
      <c r="N197" s="885"/>
      <c r="O197" s="885"/>
      <c r="P197" s="885"/>
      <c r="Q197" s="885"/>
      <c r="R197" s="885"/>
      <c r="S197" s="885"/>
      <c r="T197" s="465" cm="1" t="str">
        <f t="array" ref="T197:T197">T196</f>
        <v>true</v>
      </c>
      <c r="U197" s="885"/>
      <c r="V197" s="885"/>
      <c r="W197" s="885"/>
      <c r="X197" s="1524"/>
      <c r="Y197" s="684"/>
      <c r="Z197" s="1615"/>
      <c r="AA197" s="885"/>
      <c r="AB197" s="211">
        <v>5</v>
      </c>
      <c r="AC197" s="212" t="s">
        <v>1812</v>
      </c>
      <c r="AD197" s="211" t="s">
        <v>1514</v>
      </c>
      <c r="AE197" s="213">
        <f>SUMIF(AD200:AD203,AD197,AE200:AE203)</f>
        <v>0</v>
      </c>
      <c r="AF197" s="213">
        <f>SUMIF(AD200:AD203,AD197,AF200:AF203)</f>
        <v>0</v>
      </c>
      <c r="AG197" s="213">
        <f>SUMIF(AD200:AD203,AD197,AG200:AG203)</f>
        <v>0</v>
      </c>
      <c r="AH197" s="213">
        <f>SUMIF(AD200:AD203,AD197,AH200:AH203)</f>
        <v>0</v>
      </c>
      <c r="AI197" s="213">
        <f>SUMIF(AD200:AD203,AD197,AI200:AI203)</f>
        <v>0</v>
      </c>
      <c r="AJ197" s="1460">
        <f>SUMIF(AD200:AD203,AD197,AJ200:AJ203)</f>
        <v>0</v>
      </c>
      <c r="AK197" s="1460">
        <f>SUMIF(AD200:AD203,AD197,AK200:AK203)</f>
        <v>0</v>
      </c>
      <c r="AL197" s="1460">
        <f>SUMIF(AD200:AD203,AD197,AL200:AL203)</f>
        <v>0</v>
      </c>
      <c r="AM197" s="1460">
        <f>SUMIF(AD200:AD203,AD197,AM200:AM203)</f>
        <v>0</v>
      </c>
      <c r="AN197" s="3626">
        <f>SUMIF(AD200:AD203,AD197,AN200:AN203)</f>
        <v>0</v>
      </c>
      <c r="AO197" s="3626">
        <f>SUMIF(AD200:AD203,AD197,AO200:AO203)</f>
        <v>0</v>
      </c>
      <c r="AP197" s="3626">
        <f>SUMIF(AD200:AD203,AD197,AP200:AP203)</f>
        <v>0</v>
      </c>
      <c r="AQ197" s="3626">
        <f>SUMIF(AD200:AD203,AD197,AQ200:AQ203)</f>
        <v>0</v>
      </c>
      <c r="AR197" s="3626">
        <f>SUMIF(AD200:AD203,AD197,AR200:AR203)</f>
        <v>0</v>
      </c>
      <c r="AS197" s="213">
        <f>SUMIF(AD200:AD203,AD197,AS200:AS203)</f>
        <v>0</v>
      </c>
      <c r="AT197" s="1460">
        <f>SUMIF(AD200:AD203,AD197,AT200:AT203)</f>
        <v>0</v>
      </c>
      <c r="AU197" s="1460">
        <f>SUMIF(AD200:AD203,AD197,AU200:AU203)</f>
        <v>0</v>
      </c>
      <c r="AV197" s="1460">
        <f>SUMIF(AD200:AD203,AD197,AV200:AV203)</f>
        <v>0</v>
      </c>
      <c r="AW197" s="1460">
        <f>SUMIF(AD200:AD203,AD197,AW200:AW203)</f>
        <v>0</v>
      </c>
      <c r="AX197" s="3626">
        <f>SUMIF(AD200:AD203,AD197,AX200:AX203)</f>
        <v>0</v>
      </c>
      <c r="AY197" s="3626">
        <f>SUMIF(AD200:AD203,AD197,AY200:AY203)</f>
        <v>0</v>
      </c>
      <c r="AZ197" s="3626">
        <f>SUMIF(AD200:AD203,AD197,AZ200:AZ203)</f>
        <v>0</v>
      </c>
      <c r="BA197" s="3626">
        <f>SUMIF(AD200:AD203,AD197,BA200:BA203)</f>
        <v>0</v>
      </c>
      <c r="BB197" s="3626">
        <f>SUMIF(AD200:AD203,AD197,BB200:BB203)</f>
        <v>0</v>
      </c>
      <c r="BC197" s="200"/>
      <c r="BD197" s="885"/>
      <c r="BE197" s="885"/>
      <c r="BF197" s="1041" t="s">
        <v>1813</v>
      </c>
      <c r="BG197" s="1041"/>
      <c r="BH197" s="1041"/>
      <c r="BI197" s="678"/>
      <c r="BJ197" s="678"/>
    </row>
    <row s="1834" customFormat="1" customHeight="1" ht="0" hidden="1">
      <c r="A198" s="885"/>
      <c r="B198" s="440"/>
      <c r="C198" s="885"/>
      <c r="D198" s="885"/>
      <c r="E198" s="678">
        <v>0</v>
      </c>
      <c r="F198" s="50" cm="1" t="str">
        <f t="array" ref="F198:F198">OFFSET(E198,-1,1)</f>
        <v>2</v>
      </c>
      <c r="G198" s="152" t="s">
        <v>335</v>
      </c>
      <c r="H198" s="885"/>
      <c r="I198" s="885"/>
      <c r="J198" s="885"/>
      <c r="K198" s="911"/>
      <c r="L198" s="915"/>
      <c r="M198" s="885"/>
      <c r="N198" s="885"/>
      <c r="O198" s="885"/>
      <c r="P198" s="885"/>
      <c r="Q198" s="885"/>
      <c r="R198" s="885"/>
      <c r="S198" s="885"/>
      <c r="T198" s="465" t="b">
        <v>0</v>
      </c>
      <c r="U198" s="885"/>
      <c r="V198" s="885"/>
      <c r="W198" s="152" t="s">
        <v>174</v>
      </c>
      <c r="X198" s="1524"/>
      <c r="Y198" s="1524">
        <v>0</v>
      </c>
      <c r="Z198" s="1615"/>
      <c r="AA198" s="1617" t="s">
        <v>175</v>
      </c>
      <c r="AB198" s="211"/>
      <c r="AC198" s="212"/>
      <c r="AD198" s="211"/>
      <c r="AE198" s="1368">
        <f>OR(AND(AE200&lt;&gt;"",AE201=""),AND(AE200="",AE201&lt;&gt;""))</f>
        <v>0</v>
      </c>
      <c r="AF198" s="1368">
        <f>OR(AND(AF200&lt;&gt;"",AF201=""),AND(AF200="",AF201&lt;&gt;""))</f>
        <v>0</v>
      </c>
      <c r="AG198" s="1368">
        <f>OR(AND(AG200&lt;&gt;"",AG201=""),AND(AG200="",AG201&lt;&gt;""))</f>
        <v>0</v>
      </c>
      <c r="AH198" s="1368">
        <f>OR(AND(AH200&lt;&gt;"",AH201=""),AND(AH200="",AH201&lt;&gt;""))</f>
        <v>0</v>
      </c>
      <c r="AI198" s="1368">
        <f>OR(AND(AI200&lt;&gt;"",AI201=""),AND(AI200="",AI201&lt;&gt;""))</f>
        <v>0</v>
      </c>
      <c r="AJ198" s="1368">
        <f>OR(AND(AJ200&lt;&gt;"",AJ201=""),AND(AJ200="",AJ201&lt;&gt;""))</f>
        <v>0</v>
      </c>
      <c r="AK198" s="1368">
        <f>OR(AND(AK200&lt;&gt;"",AK201=""),AND(AK200="",AK201&lt;&gt;""))</f>
        <v>0</v>
      </c>
      <c r="AL198" s="1368">
        <f>OR(AND(AL200&lt;&gt;"",AL201=""),AND(AL200="",AL201&lt;&gt;""))</f>
        <v>0</v>
      </c>
      <c r="AM198" s="1368">
        <f>OR(AND(AM200&lt;&gt;"",AM201=""),AND(AM200="",AM201&lt;&gt;""))</f>
        <v>0</v>
      </c>
      <c r="AN198" s="1368">
        <f>OR(AND(AN200&lt;&gt;"",AN201=""),AND(AN200="",AN201&lt;&gt;""))</f>
        <v>0</v>
      </c>
      <c r="AO198" s="1368">
        <f>OR(AND(AO200&lt;&gt;"",AO201=""),AND(AO200="",AO201&lt;&gt;""))</f>
        <v>0</v>
      </c>
      <c r="AP198" s="1368">
        <f>OR(AND(AP200&lt;&gt;"",AP201=""),AND(AP200="",AP201&lt;&gt;""))</f>
        <v>0</v>
      </c>
      <c r="AQ198" s="1368">
        <f>OR(AND(AQ200&lt;&gt;"",AQ201=""),AND(AQ200="",AQ201&lt;&gt;""))</f>
        <v>0</v>
      </c>
      <c r="AR198" s="1368">
        <f>OR(AND(AR200&lt;&gt;"",AR201=""),AND(AR200="",AR201&lt;&gt;""))</f>
        <v>0</v>
      </c>
      <c r="AS198" s="1368">
        <f>OR(AND(AS200&lt;&gt;"",AS201=""),AND(AS200="",AS201&lt;&gt;""))</f>
        <v>0</v>
      </c>
      <c r="AT198" s="1368">
        <f>OR(AND(AT200&lt;&gt;"",AT201=""),AND(AT200="",AT201&lt;&gt;""))</f>
        <v>0</v>
      </c>
      <c r="AU198" s="1368">
        <f>OR(AND(AU200&lt;&gt;"",AU201=""),AND(AU200="",AU201&lt;&gt;""))</f>
        <v>0</v>
      </c>
      <c r="AV198" s="1368">
        <f>OR(AND(AV200&lt;&gt;"",AV201=""),AND(AV200="",AV201&lt;&gt;""))</f>
        <v>0</v>
      </c>
      <c r="AW198" s="1368">
        <f>OR(AND(AW200&lt;&gt;"",AW201=""),AND(AW200="",AW201&lt;&gt;""))</f>
        <v>0</v>
      </c>
      <c r="AX198" s="1368">
        <f>OR(AND(AX200&lt;&gt;"",AX201=""),AND(AX200="",AX201&lt;&gt;""))</f>
        <v>0</v>
      </c>
      <c r="AY198" s="1368">
        <f>OR(AND(AY200&lt;&gt;"",AY201=""),AND(AY200="",AY201&lt;&gt;""))</f>
        <v>0</v>
      </c>
      <c r="AZ198" s="1368">
        <f>OR(AND(AZ200&lt;&gt;"",AZ201=""),AND(AZ200="",AZ201&lt;&gt;""))</f>
        <v>0</v>
      </c>
      <c r="BA198" s="1368">
        <f>OR(AND(BA200&lt;&gt;"",BA201=""),AND(BA200="",BA201&lt;&gt;""))</f>
        <v>0</v>
      </c>
      <c r="BB198" s="1368">
        <f>OR(AND(BB200&lt;&gt;"",BB201=""),AND(BB200="",BB201&lt;&gt;""))</f>
        <v>0</v>
      </c>
      <c r="BC198" s="974"/>
      <c r="BD198" s="885"/>
      <c r="BE198" s="885"/>
      <c r="BF198" s="1041"/>
      <c r="BG198" s="1041"/>
      <c r="BH198" s="1041"/>
      <c r="BI198" s="678"/>
      <c r="BJ198" s="678"/>
    </row>
    <row s="1834" customFormat="1" customHeight="1" ht="0" hidden="1">
      <c r="A199" s="885"/>
      <c r="B199" s="440"/>
      <c r="C199" s="885"/>
      <c r="D199" s="885"/>
      <c r="E199" s="678">
        <v>15</v>
      </c>
      <c r="F199" s="1387" cm="1" t="str">
        <f t="array" ref="F199:F199">OFFSET(E199,-1,1)</f>
        <v>2</v>
      </c>
      <c r="G199" s="885"/>
      <c r="H199" s="885"/>
      <c r="I199" s="885"/>
      <c r="J199" s="885"/>
      <c r="K199" s="911"/>
      <c r="L199" s="915"/>
      <c r="M199" s="885"/>
      <c r="N199" s="885"/>
      <c r="O199" s="885"/>
      <c r="P199" s="885"/>
      <c r="Q199" s="885"/>
      <c r="R199" s="885"/>
      <c r="S199" s="885"/>
      <c r="T199" s="1356">
        <f>AND(Y198&gt;0,F199&gt;0)</f>
        <v>0</v>
      </c>
      <c r="U199" s="885"/>
      <c r="V199" s="885"/>
      <c r="W199" s="885"/>
      <c r="X199" s="684"/>
      <c r="Y199" s="1524"/>
      <c r="Z199" s="885"/>
      <c r="AA199" s="1697"/>
      <c r="AB199" s="1698" t="str">
        <f>"5."&amp;Y198</f>
        <v>5.0</v>
      </c>
      <c r="AC199" s="1699" t="s">
        <v>227</v>
      </c>
      <c r="AD199" s="1700"/>
      <c r="AE199" s="3635"/>
      <c r="AF199" s="1702"/>
      <c r="AG199" s="3635"/>
      <c r="AH199" s="3635"/>
      <c r="AI199" s="3635"/>
      <c r="AJ199" s="3635"/>
      <c r="AK199" s="3635"/>
      <c r="AL199" s="3635"/>
      <c r="AM199" s="3635"/>
      <c r="AN199" s="3635"/>
      <c r="AO199" s="3635"/>
      <c r="AP199" s="3635"/>
      <c r="AQ199" s="3635"/>
      <c r="AR199" s="3635"/>
      <c r="AS199" s="1702"/>
      <c r="AT199" s="1702"/>
      <c r="AU199" s="1702"/>
      <c r="AV199" s="1702"/>
      <c r="AW199" s="1702"/>
      <c r="AX199" s="1702"/>
      <c r="AY199" s="1702"/>
      <c r="AZ199" s="1702"/>
      <c r="BA199" s="1702"/>
      <c r="BB199" s="1703"/>
      <c r="BC199" s="1704"/>
      <c r="BD199" s="885"/>
      <c r="BE199" s="885"/>
      <c r="BF199" s="1041"/>
      <c r="BG199" s="1041"/>
      <c r="BH199" s="1041"/>
      <c r="BI199" s="678"/>
      <c r="BJ199" s="678"/>
    </row>
    <row s="1834" customFormat="1" customHeight="1" ht="0" hidden="1">
      <c r="A200" s="885"/>
      <c r="B200" s="440"/>
      <c r="C200" s="885"/>
      <c r="D200" s="885"/>
      <c r="E200" s="678">
        <v>15</v>
      </c>
      <c r="F200" s="50" cm="1" t="str">
        <f t="array" ref="F200:F200">OFFSET(E200,-1,1)</f>
        <v>2</v>
      </c>
      <c r="G200" s="152" t="s">
        <v>335</v>
      </c>
      <c r="H200" s="155" cm="1" t="str">
        <f t="array" ref="H200:H200">AC200</f>
        <v>Затраты</v>
      </c>
      <c r="I200" s="152" t="s">
        <v>1814</v>
      </c>
      <c r="J200" s="885"/>
      <c r="K200" s="911"/>
      <c r="L200" s="885"/>
      <c r="M200" s="885"/>
      <c r="N200" s="885"/>
      <c r="O200" s="885"/>
      <c r="P200" s="885"/>
      <c r="Q200" s="885"/>
      <c r="R200" s="885"/>
      <c r="S200" s="885"/>
      <c r="T200" s="465" cm="1" t="str">
        <f t="array" ref="T200:T200">T199</f>
        <v>false</v>
      </c>
      <c r="U200" s="885"/>
      <c r="V200" s="885"/>
      <c r="W200" s="885"/>
      <c r="X200" s="1524"/>
      <c r="Y200" s="1524"/>
      <c r="Z200" s="1615"/>
      <c r="AA200" s="1617"/>
      <c r="AB200" s="88" t="str">
        <f>AB199&amp;".1"</f>
        <v>5.0.1</v>
      </c>
      <c r="AC200" s="1705" t="s">
        <v>1783</v>
      </c>
      <c r="AD200" s="211" t="s">
        <v>1514</v>
      </c>
      <c r="AE200" s="3536"/>
      <c r="AF200" s="3536"/>
      <c r="AG200" s="3536"/>
      <c r="AH200" s="3536"/>
      <c r="AI200" s="3536"/>
      <c r="AJ200" s="3536"/>
      <c r="AK200" s="3536"/>
      <c r="AL200" s="3536"/>
      <c r="AM200" s="3536"/>
      <c r="AN200" s="3536"/>
      <c r="AO200" s="3536"/>
      <c r="AP200" s="3536"/>
      <c r="AQ200" s="3536"/>
      <c r="AR200" s="3536"/>
      <c r="AS200" s="3536"/>
      <c r="AT200" s="3536"/>
      <c r="AU200" s="3536"/>
      <c r="AV200" s="3536"/>
      <c r="AW200" s="3536"/>
      <c r="AX200" s="3536"/>
      <c r="AY200" s="3536"/>
      <c r="AZ200" s="3536"/>
      <c r="BA200" s="3536"/>
      <c r="BB200" s="3536"/>
      <c r="BC200" s="2070"/>
      <c r="BD200" s="885"/>
      <c r="BE200" s="885"/>
      <c r="BF200" s="1041" t="s">
        <v>1784</v>
      </c>
      <c r="BG200" s="1041" t="s">
        <v>1815</v>
      </c>
      <c r="BH200" s="1041" cm="1" t="str">
        <f t="array" ref="BH200:BH200">AC199</f>
        <v/>
      </c>
      <c r="BI200" s="678"/>
      <c r="BJ200" s="678" t="b">
        <v>1</v>
      </c>
    </row>
    <row s="1834" customFormat="1" customHeight="1" ht="0" hidden="1">
      <c r="A201" s="885"/>
      <c r="B201" s="440"/>
      <c r="C201" s="885"/>
      <c r="D201" s="885"/>
      <c r="E201" s="678">
        <v>15</v>
      </c>
      <c r="F201" s="50" cm="1" t="str">
        <f t="array" ref="F201:F201">OFFSET(E201,-1,1)</f>
        <v>2</v>
      </c>
      <c r="G201" s="152" t="s">
        <v>1263</v>
      </c>
      <c r="H201" s="155" cm="1" t="str">
        <f t="array" ref="H201:H201">H200</f>
        <v>Затраты</v>
      </c>
      <c r="I201" s="152" t="s">
        <v>1814</v>
      </c>
      <c r="J201" s="885"/>
      <c r="K201" s="911"/>
      <c r="L201" s="885"/>
      <c r="M201" s="885"/>
      <c r="N201" s="885"/>
      <c r="O201" s="885"/>
      <c r="P201" s="885"/>
      <c r="Q201" s="885"/>
      <c r="R201" s="885"/>
      <c r="S201" s="885"/>
      <c r="T201" s="465" cm="1" t="str">
        <f t="array" ref="T201:T201">T200</f>
        <v>false</v>
      </c>
      <c r="U201" s="885"/>
      <c r="V201" s="885"/>
      <c r="W201" s="885"/>
      <c r="X201" s="1524"/>
      <c r="Y201" s="1524"/>
      <c r="Z201" s="1615"/>
      <c r="AA201" s="1617"/>
      <c r="AB201" s="88" t="str">
        <f>AB200&amp;".1"</f>
        <v>5.0.1.1</v>
      </c>
      <c r="AC201" s="221" t="s">
        <v>1816</v>
      </c>
      <c r="AD201" s="88" t="s">
        <v>1247</v>
      </c>
      <c r="AE201" s="3536"/>
      <c r="AF201" s="3536"/>
      <c r="AG201" s="3536"/>
      <c r="AH201" s="3536"/>
      <c r="AI201" s="3536"/>
      <c r="AJ201" s="3536"/>
      <c r="AK201" s="3536"/>
      <c r="AL201" s="3536"/>
      <c r="AM201" s="3536"/>
      <c r="AN201" s="3536"/>
      <c r="AO201" s="3536"/>
      <c r="AP201" s="3536"/>
      <c r="AQ201" s="3536"/>
      <c r="AR201" s="3536"/>
      <c r="AS201" s="3536"/>
      <c r="AT201" s="3536"/>
      <c r="AU201" s="3536"/>
      <c r="AV201" s="3536"/>
      <c r="AW201" s="3536"/>
      <c r="AX201" s="3536"/>
      <c r="AY201" s="3536"/>
      <c r="AZ201" s="3536"/>
      <c r="BA201" s="3536"/>
      <c r="BB201" s="3536"/>
      <c r="BC201" s="2070"/>
      <c r="BD201" s="885"/>
      <c r="BE201" s="885"/>
      <c r="BF201" s="1041" t="s">
        <v>1787</v>
      </c>
      <c r="BG201" s="1041" t="s">
        <v>1815</v>
      </c>
      <c r="BH201" s="1041" cm="1" t="str">
        <f t="array" ref="BH201:BH201">BH200</f>
        <v/>
      </c>
      <c r="BI201" s="678"/>
      <c r="BJ201" s="678"/>
    </row>
    <row s="1834" customFormat="1" customHeight="1" ht="0" hidden="1">
      <c r="A202" s="885"/>
      <c r="B202" s="440"/>
      <c r="C202" s="885"/>
      <c r="D202" s="885"/>
      <c r="E202" s="678">
        <v>15</v>
      </c>
      <c r="F202" s="1387" cm="1" t="str">
        <f t="array" ref="F202:F202">OFFSET(E202,-1,1)</f>
        <v>2</v>
      </c>
      <c r="G202" s="885"/>
      <c r="H202" s="155"/>
      <c r="I202" s="885"/>
      <c r="J202" s="885"/>
      <c r="K202" s="911"/>
      <c r="L202" s="885"/>
      <c r="M202" s="885"/>
      <c r="N202" s="885"/>
      <c r="O202" s="885"/>
      <c r="P202" s="885"/>
      <c r="Q202" s="885"/>
      <c r="R202" s="885"/>
      <c r="S202" s="885"/>
      <c r="T202" s="1356" cm="1" t="str">
        <f t="array" ref="T202:T202">T201</f>
        <v>false</v>
      </c>
      <c r="U202" s="885"/>
      <c r="V202" s="885"/>
      <c r="W202" s="885"/>
      <c r="X202" s="684"/>
      <c r="Y202" s="1524"/>
      <c r="Z202" s="885"/>
      <c r="AA202" s="1697"/>
      <c r="AB202" s="1706" t="str">
        <f>AB200&amp;".2"</f>
        <v>5.0.1.2</v>
      </c>
      <c r="AC202" s="1707" t="s">
        <v>1817</v>
      </c>
      <c r="AD202" s="1706" t="s">
        <v>1789</v>
      </c>
      <c r="AE202" s="3644"/>
      <c r="AF202" s="3644"/>
      <c r="AG202" s="3644"/>
      <c r="AH202" s="3644"/>
      <c r="AI202" s="3644"/>
      <c r="AJ202" s="3644"/>
      <c r="AK202" s="3644"/>
      <c r="AL202" s="3644"/>
      <c r="AM202" s="3644"/>
      <c r="AN202" s="3644"/>
      <c r="AO202" s="3644"/>
      <c r="AP202" s="3644"/>
      <c r="AQ202" s="3644"/>
      <c r="AR202" s="3644"/>
      <c r="AS202" s="3644"/>
      <c r="AT202" s="3644"/>
      <c r="AU202" s="3644"/>
      <c r="AV202" s="3644"/>
      <c r="AW202" s="3644"/>
      <c r="AX202" s="3644"/>
      <c r="AY202" s="3644"/>
      <c r="AZ202" s="3644"/>
      <c r="BA202" s="3644"/>
      <c r="BB202" s="3644"/>
      <c r="BC202" s="3645"/>
      <c r="BD202" s="885"/>
      <c r="BE202" s="885"/>
      <c r="BF202" s="1041" t="s">
        <v>1790</v>
      </c>
      <c r="BG202" s="1041" t="s">
        <v>1815</v>
      </c>
      <c r="BH202" s="1710" cm="1" t="str">
        <f t="array" ref="BH202:BH202">BH201</f>
        <v/>
      </c>
      <c r="BI202" s="678"/>
      <c r="BJ202" s="678"/>
    </row>
    <row s="1834" customFormat="1" customHeight="1" ht="0">
      <c r="A203" s="885"/>
      <c r="B203" s="440"/>
      <c r="C203" s="885"/>
      <c r="D203" s="885"/>
      <c r="E203" s="678">
        <v>15</v>
      </c>
      <c r="F203" s="50" cm="1" t="str">
        <f t="array" ref="F203:F203">OFFSET(E203,-1,1)</f>
        <v>2</v>
      </c>
      <c r="G203" s="885"/>
      <c r="H203" s="152" t="str">
        <f>"!=='не определено' &amp;&amp; row.l5 !== null"</f>
        <v>!=='не определено' &amp;&amp; row.l5 !== null</v>
      </c>
      <c r="I203" s="885"/>
      <c r="J203" s="885"/>
      <c r="K203" s="911"/>
      <c r="L203" s="885"/>
      <c r="M203" s="885"/>
      <c r="N203" s="885"/>
      <c r="O203" s="885"/>
      <c r="P203" s="885"/>
      <c r="Q203" s="885"/>
      <c r="R203" s="885"/>
      <c r="S203" s="885"/>
      <c r="T203" s="465">
        <f>F203&gt;0</f>
        <v>1</v>
      </c>
      <c r="U203" s="885"/>
      <c r="V203" s="885"/>
      <c r="W203" s="685" t="s">
        <v>1818</v>
      </c>
      <c r="X203" s="1524"/>
      <c r="Y203" s="169"/>
      <c r="Z203" s="1615"/>
      <c r="AA203" s="885"/>
      <c r="AB203" s="681"/>
      <c r="AC203" s="232" t="s">
        <v>1792</v>
      </c>
      <c r="AD203" s="232"/>
      <c r="AE203" s="232"/>
      <c r="AF203" s="232"/>
      <c r="AG203" s="232"/>
      <c r="AH203" s="232"/>
      <c r="AI203" s="232"/>
      <c r="AJ203" s="232"/>
      <c r="AK203" s="232"/>
      <c r="AL203" s="232"/>
      <c r="AM203" s="232"/>
      <c r="AN203" s="232"/>
      <c r="AO203" s="232"/>
      <c r="AP203" s="232"/>
      <c r="AQ203" s="232"/>
      <c r="AR203" s="232"/>
      <c r="AS203" s="232"/>
      <c r="AT203" s="232"/>
      <c r="AU203" s="232"/>
      <c r="AV203" s="232"/>
      <c r="AW203" s="232"/>
      <c r="AX203" s="232"/>
      <c r="AY203" s="232"/>
      <c r="AZ203" s="232"/>
      <c r="BA203" s="232"/>
      <c r="BB203" s="232"/>
      <c r="BC203" s="233"/>
      <c r="BD203" s="885"/>
      <c r="BE203" s="885"/>
      <c r="BF203" s="1041"/>
      <c r="BG203" s="1041"/>
      <c r="BH203" s="1041"/>
      <c r="BI203" s="678" t="s">
        <v>1815</v>
      </c>
      <c r="BJ203" s="678"/>
    </row>
    <row s="153" customFormat="1" customHeight="1" ht="0">
      <c r="A204" s="153"/>
      <c r="B204" s="441"/>
      <c r="C204" s="153"/>
      <c r="D204" s="153"/>
      <c r="E204" s="679">
        <v>15</v>
      </c>
      <c r="F204" s="50" cm="1" t="str">
        <f t="array" ref="F204:F204">OFFSET(E204,-1,1)</f>
        <v>2</v>
      </c>
      <c r="G204" s="152" t="s">
        <v>1225</v>
      </c>
      <c r="H204" s="153"/>
      <c r="I204" s="153"/>
      <c r="J204" s="153"/>
      <c r="K204" s="911" t="str">
        <f>F164&amp;"6komm"</f>
        <v>26komm</v>
      </c>
      <c r="L204" s="915" cm="1" t="str">
        <f t="array" ref="L204:L204">BC204</f>
        <v>0</v>
      </c>
      <c r="M204" s="153"/>
      <c r="N204" s="153"/>
      <c r="O204" s="153"/>
      <c r="P204" s="153"/>
      <c r="Q204" s="153"/>
      <c r="R204" s="153"/>
      <c r="S204" s="153"/>
      <c r="T204" s="465" cm="1" t="str">
        <f t="array" ref="T204:T204">T203</f>
        <v>true</v>
      </c>
      <c r="U204" s="153"/>
      <c r="V204" s="153"/>
      <c r="W204" s="153"/>
      <c r="X204" s="1524"/>
      <c r="Y204" s="153"/>
      <c r="Z204" s="1615"/>
      <c r="AA204" s="153"/>
      <c r="AB204" s="211">
        <v>6</v>
      </c>
      <c r="AC204" s="212" t="s">
        <v>1819</v>
      </c>
      <c r="AD204" s="211" t="s">
        <v>1514</v>
      </c>
      <c r="AE204" s="3657">
        <f>SUMIF($AC207:$AC214,"Затраты на тепловую энергию, всего",AE207:AE214)</f>
        <v>0</v>
      </c>
      <c r="AF204" s="3657">
        <f>SUMIF($AC207:$AC214,"Затраты на тепловую энергию, всего",AF207:AF214)</f>
        <v>0</v>
      </c>
      <c r="AG204" s="3657">
        <f>SUMIF($AC207:$AC214,"Затраты на тепловую энергию, всего",AG207:AG214)</f>
        <v>0</v>
      </c>
      <c r="AH204" s="3657">
        <f>SUMIF($AC207:$AC214,"Затраты на тепловую энергию, всего",AH207:AH214)</f>
        <v>0</v>
      </c>
      <c r="AI204" s="3657">
        <f>SUMIF($AC207:$AC214,"Затраты на тепловую энергию, всего",AI207:AI214)</f>
        <v>0</v>
      </c>
      <c r="AJ204" s="225">
        <f>SUMIF($AC207:$AC214,"Затраты на тепловую энергию, всего",AJ207:AJ214)</f>
        <v>0</v>
      </c>
      <c r="AK204" s="225">
        <f>SUMIF($AC207:$AC214,"Затраты на тепловую энергию, всего",AK207:AK214)</f>
        <v>0</v>
      </c>
      <c r="AL204" s="225">
        <f>SUMIF($AC207:$AC214,"Затраты на тепловую энергию, всего",AL207:AL214)</f>
        <v>0</v>
      </c>
      <c r="AM204" s="225">
        <f>SUMIF($AC207:$AC214,"Затраты на тепловую энергию, всего",AM207:AM214)</f>
        <v>0</v>
      </c>
      <c r="AN204" s="3658">
        <f>SUMIF($AC207:$AC214,"Затраты на тепловую энергию, всего",AN207:AN214)</f>
        <v>0</v>
      </c>
      <c r="AO204" s="3658">
        <f>SUMIF($AC207:$AC214,"Затраты на тепловую энергию, всего",AO207:AO214)</f>
        <v>0</v>
      </c>
      <c r="AP204" s="3658">
        <f>SUMIF($AC207:$AC214,"Затраты на тепловую энергию, всего",AP207:AP214)</f>
        <v>0</v>
      </c>
      <c r="AQ204" s="3658">
        <f>SUMIF($AC207:$AC214,"Затраты на тепловую энергию, всего",AQ207:AQ214)</f>
        <v>0</v>
      </c>
      <c r="AR204" s="3658">
        <f>SUMIF($AC207:$AC214,"Затраты на тепловую энергию, всего",AR207:AR214)</f>
        <v>0</v>
      </c>
      <c r="AS204" s="3657">
        <f>SUMIF($AC207:$AC214,"Затраты на тепловую энергию, всего",AS207:AS214)</f>
        <v>0</v>
      </c>
      <c r="AT204" s="225">
        <f>SUMIF($AC207:$AC214,"Затраты на тепловую энергию, всего",AT207:AT214)</f>
        <v>0</v>
      </c>
      <c r="AU204" s="225">
        <f>SUMIF($AC207:$AC214,"Затраты на тепловую энергию, всего",AU207:AU214)</f>
        <v>0</v>
      </c>
      <c r="AV204" s="225">
        <f>SUMIF($AC207:$AC214,"Затраты на тепловую энергию, всего",AV207:AV214)</f>
        <v>0</v>
      </c>
      <c r="AW204" s="225">
        <f>SUMIF($AC207:$AC214,"Затраты на тепловую энергию, всего",AW207:AW214)</f>
        <v>0</v>
      </c>
      <c r="AX204" s="3658">
        <f>SUMIF($AC207:$AC214,"Затраты на тепловую энергию, всего",AX207:AX214)</f>
        <v>0</v>
      </c>
      <c r="AY204" s="3658">
        <f>SUMIF($AC207:$AC214,"Затраты на тепловую энергию, всего",AY207:AY214)</f>
        <v>0</v>
      </c>
      <c r="AZ204" s="3658">
        <f>SUMIF($AC207:$AC214,"Затраты на тепловую энергию, всего",AZ207:AZ214)</f>
        <v>0</v>
      </c>
      <c r="BA204" s="3658">
        <f>SUMIF($AC207:$AC214,"Затраты на тепловую энергию, всего",BA207:BA214)</f>
        <v>0</v>
      </c>
      <c r="BB204" s="3658">
        <f>SUMIF($AC207:$AC214,"Затраты на тепловую энергию, всего",BB207:BB214)</f>
        <v>0</v>
      </c>
      <c r="BC204" s="200"/>
      <c r="BD204" s="153"/>
      <c r="BE204" s="153"/>
      <c r="BF204" s="1044" t="s">
        <v>1820</v>
      </c>
      <c r="BG204" s="1044"/>
      <c r="BH204" s="1044"/>
      <c r="BI204" s="679"/>
      <c r="BJ204" s="679"/>
    </row>
    <row s="1834" customFormat="1" customHeight="1" ht="0" hidden="1">
      <c r="A205" s="885"/>
      <c r="B205" s="441"/>
      <c r="C205" s="885"/>
      <c r="D205" s="885"/>
      <c r="E205" s="678">
        <v>15</v>
      </c>
      <c r="F205" s="1387" cm="1" t="str">
        <f t="array" ref="F205:F205">OFFSET(E205,-1,1)</f>
        <v>2</v>
      </c>
      <c r="G205" s="885"/>
      <c r="H205" s="885"/>
      <c r="I205" s="885"/>
      <c r="J205" s="885"/>
      <c r="K205" s="911"/>
      <c r="L205" s="915"/>
      <c r="M205" s="885"/>
      <c r="N205" s="885"/>
      <c r="O205" s="885"/>
      <c r="P205" s="885"/>
      <c r="Q205" s="885"/>
      <c r="R205" s="885"/>
      <c r="S205" s="885"/>
      <c r="T205" s="1356" t="b">
        <v>0</v>
      </c>
      <c r="U205" s="885"/>
      <c r="V205" s="885"/>
      <c r="W205" s="885" t="s">
        <v>174</v>
      </c>
      <c r="X205" s="684"/>
      <c r="Y205" s="1524">
        <v>0</v>
      </c>
      <c r="Z205" s="885"/>
      <c r="AA205" s="1714" t="s">
        <v>175</v>
      </c>
      <c r="AB205" s="1700"/>
      <c r="AC205" s="1522"/>
      <c r="AD205" s="1715"/>
      <c r="AE205" s="1716">
        <f>OR(AND(AE208&lt;&gt;"",AE209=""),AND(AE208="",AE209&lt;&gt;""))</f>
        <v>0</v>
      </c>
      <c r="AF205" s="1716">
        <f>OR(AND(AF208&lt;&gt;"",AF209=""),AND(AF208="",AF209&lt;&gt;""))</f>
        <v>0</v>
      </c>
      <c r="AG205" s="1716">
        <f>OR(AND(AG208&lt;&gt;"",AG209=""),AND(AG208="",AG209&lt;&gt;""))</f>
        <v>0</v>
      </c>
      <c r="AH205" s="1716">
        <f>OR(AND(AH208&lt;&gt;"",AH209=""),AND(AH208="",AH209&lt;&gt;""))</f>
        <v>0</v>
      </c>
      <c r="AI205" s="1716">
        <f>OR(AND(AI208&lt;&gt;"",AI209=""),AND(AI208="",AI209&lt;&gt;""))</f>
        <v>0</v>
      </c>
      <c r="AJ205" s="1716">
        <f>OR(AND(AJ208&lt;&gt;"",AJ209=""),AND(AJ208="",AJ209&lt;&gt;""))</f>
        <v>0</v>
      </c>
      <c r="AK205" s="1716">
        <f>OR(AND(AK208&lt;&gt;"",AK209=""),AND(AK208="",AK209&lt;&gt;""))</f>
        <v>0</v>
      </c>
      <c r="AL205" s="1716">
        <f>OR(AND(AL208&lt;&gt;"",AL209=""),AND(AL208="",AL209&lt;&gt;""))</f>
        <v>0</v>
      </c>
      <c r="AM205" s="1716">
        <f>OR(AND(AM208&lt;&gt;"",AM209=""),AND(AM208="",AM209&lt;&gt;""))</f>
        <v>0</v>
      </c>
      <c r="AN205" s="1716">
        <f>OR(AND(AN208&lt;&gt;"",AN209=""),AND(AN208="",AN209&lt;&gt;""))</f>
        <v>0</v>
      </c>
      <c r="AO205" s="1716">
        <f>OR(AND(AO208&lt;&gt;"",AO209=""),AND(AO208="",AO209&lt;&gt;""))</f>
        <v>0</v>
      </c>
      <c r="AP205" s="1716">
        <f>OR(AND(AP208&lt;&gt;"",AP209=""),AND(AP208="",AP209&lt;&gt;""))</f>
        <v>0</v>
      </c>
      <c r="AQ205" s="1716">
        <f>OR(AND(AQ208&lt;&gt;"",AQ209=""),AND(AQ208="",AQ209&lt;&gt;""))</f>
        <v>0</v>
      </c>
      <c r="AR205" s="1716">
        <f>OR(AND(AR208&lt;&gt;"",AR209=""),AND(AR208="",AR209&lt;&gt;""))</f>
        <v>0</v>
      </c>
      <c r="AS205" s="1716">
        <f>OR(AND(AS208&lt;&gt;"",AS209=""),AND(AS208="",AS209&lt;&gt;""))</f>
        <v>0</v>
      </c>
      <c r="AT205" s="1716">
        <f>OR(AND(AT208&lt;&gt;"",AT209=""),AND(AT208="",AT209&lt;&gt;""))</f>
        <v>0</v>
      </c>
      <c r="AU205" s="1716">
        <f>OR(AND(AU208&lt;&gt;"",AU209=""),AND(AU208="",AU209&lt;&gt;""))</f>
        <v>0</v>
      </c>
      <c r="AV205" s="1716">
        <f>OR(AND(AV208&lt;&gt;"",AV209=""),AND(AV208="",AV209&lt;&gt;""))</f>
        <v>0</v>
      </c>
      <c r="AW205" s="1716">
        <f>OR(AND(AW208&lt;&gt;"",AW209=""),AND(AW208="",AW209&lt;&gt;""))</f>
        <v>0</v>
      </c>
      <c r="AX205" s="1716">
        <f>OR(AND(AX208&lt;&gt;"",AX209=""),AND(AX208="",AX209&lt;&gt;""))</f>
        <v>0</v>
      </c>
      <c r="AY205" s="1716">
        <f>OR(AND(AY208&lt;&gt;"",AY209=""),AND(AY208="",AY209&lt;&gt;""))</f>
        <v>0</v>
      </c>
      <c r="AZ205" s="1716">
        <f>OR(AND(AZ208&lt;&gt;"",AZ209=""),AND(AZ208="",AZ209&lt;&gt;""))</f>
        <v>0</v>
      </c>
      <c r="BA205" s="1716">
        <f>OR(AND(BA208&lt;&gt;"",BA209=""),AND(BA208="",BA209&lt;&gt;""))</f>
        <v>0</v>
      </c>
      <c r="BB205" s="1716">
        <f>OR(AND(BB208&lt;&gt;"",BB209=""),AND(BB208="",BB209&lt;&gt;""))</f>
        <v>0</v>
      </c>
      <c r="BC205" s="1716"/>
      <c r="BD205" s="885"/>
      <c r="BE205" s="885"/>
      <c r="BF205" s="1044"/>
      <c r="BG205" s="1044"/>
      <c r="BH205" s="1044"/>
      <c r="BI205" s="679"/>
      <c r="BJ205" s="679"/>
    </row>
    <row s="1834" customFormat="1" customHeight="1" ht="0" hidden="1">
      <c r="A206" s="885"/>
      <c r="B206" s="441"/>
      <c r="C206" s="885"/>
      <c r="D206" s="885"/>
      <c r="E206" s="678">
        <v>15</v>
      </c>
      <c r="F206" s="1387" cm="1" t="str">
        <f t="array" ref="F206:F206">OFFSET(E206,-1,1)</f>
        <v>2</v>
      </c>
      <c r="G206" s="885"/>
      <c r="H206" s="885"/>
      <c r="I206" s="885"/>
      <c r="J206" s="885"/>
      <c r="K206" s="911"/>
      <c r="L206" s="915"/>
      <c r="M206" s="885"/>
      <c r="N206" s="885"/>
      <c r="O206" s="885"/>
      <c r="P206" s="885"/>
      <c r="Q206" s="885"/>
      <c r="R206" s="885"/>
      <c r="S206" s="885"/>
      <c r="T206" s="1356">
        <f>AND(F206&gt;0,Y205&gt;0)</f>
        <v>0</v>
      </c>
      <c r="U206" s="885"/>
      <c r="V206" s="885"/>
      <c r="W206" s="885"/>
      <c r="X206" s="684"/>
      <c r="Y206" s="1524"/>
      <c r="Z206" s="885"/>
      <c r="AA206" s="1714"/>
      <c r="AB206" s="1698" t="str">
        <f>"6."&amp;Y205</f>
        <v>6.0</v>
      </c>
      <c r="AC206" s="1717"/>
      <c r="AD206" s="1715"/>
      <c r="AE206" s="1702"/>
      <c r="AF206" s="1702"/>
      <c r="AG206" s="1702"/>
      <c r="AH206" s="1702"/>
      <c r="AI206" s="1702"/>
      <c r="AJ206" s="1702"/>
      <c r="AK206" s="1702"/>
      <c r="AL206" s="1702"/>
      <c r="AM206" s="1702"/>
      <c r="AN206" s="1702"/>
      <c r="AO206" s="1702"/>
      <c r="AP206" s="1702"/>
      <c r="AQ206" s="1702"/>
      <c r="AR206" s="1702"/>
      <c r="AS206" s="1702"/>
      <c r="AT206" s="1702"/>
      <c r="AU206" s="1702"/>
      <c r="AV206" s="1702"/>
      <c r="AW206" s="1702"/>
      <c r="AX206" s="1702"/>
      <c r="AY206" s="1702"/>
      <c r="AZ206" s="1702"/>
      <c r="BA206" s="1702"/>
      <c r="BB206" s="1702"/>
      <c r="BC206" s="1702"/>
      <c r="BD206" s="885"/>
      <c r="BE206" s="885"/>
      <c r="BF206" s="1044"/>
      <c r="BG206" s="1044"/>
      <c r="BH206" s="1044"/>
      <c r="BI206" s="679"/>
      <c r="BJ206" s="679"/>
    </row>
    <row s="1834" customFormat="1" customHeight="1" ht="0" hidden="1">
      <c r="A207" s="885"/>
      <c r="B207" s="441"/>
      <c r="C207" s="885"/>
      <c r="D207" s="885"/>
      <c r="E207" s="678">
        <v>15</v>
      </c>
      <c r="F207" s="1387" cm="1" t="str">
        <f t="array" ref="F207:F207">OFFSET(E207,-1,1)</f>
        <v>2</v>
      </c>
      <c r="G207" s="885"/>
      <c r="H207" s="885"/>
      <c r="I207" s="885"/>
      <c r="J207" s="885"/>
      <c r="K207" s="911"/>
      <c r="L207" s="915"/>
      <c r="M207" s="885"/>
      <c r="N207" s="885"/>
      <c r="O207" s="885"/>
      <c r="P207" s="885"/>
      <c r="Q207" s="885"/>
      <c r="R207" s="885"/>
      <c r="S207" s="885"/>
      <c r="T207" s="1356" cm="1" t="str">
        <f t="array" ref="T207:T207">T206</f>
        <v>false</v>
      </c>
      <c r="U207" s="885"/>
      <c r="V207" s="885"/>
      <c r="W207" s="885"/>
      <c r="X207" s="684"/>
      <c r="Y207" s="1524"/>
      <c r="Z207" s="885"/>
      <c r="AA207" s="1714"/>
      <c r="AB207" s="1698" t="str">
        <f>AB206&amp;".1"</f>
        <v>6.0.1</v>
      </c>
      <c r="AC207" s="1718" t="s">
        <v>1821</v>
      </c>
      <c r="AD207" s="1706" t="s">
        <v>1514</v>
      </c>
      <c r="AE207" s="3666">
        <f>AE208+AE211</f>
        <v>0</v>
      </c>
      <c r="AF207" s="3667">
        <f>AF208+AF211</f>
        <v>0</v>
      </c>
      <c r="AG207" s="3666">
        <f>AG208+AG211</f>
        <v>0</v>
      </c>
      <c r="AH207" s="3666">
        <f>AH208+AH211</f>
        <v>0</v>
      </c>
      <c r="AI207" s="3667">
        <f>AI208+AI211</f>
        <v>0</v>
      </c>
      <c r="AJ207" s="3668">
        <f>AJ208+AJ211</f>
        <v>0</v>
      </c>
      <c r="AK207" s="3668">
        <f>AK208+AK211</f>
        <v>0</v>
      </c>
      <c r="AL207" s="3668">
        <f>AL208+AL211</f>
        <v>0</v>
      </c>
      <c r="AM207" s="3668">
        <f>AM208+AM211</f>
        <v>0</v>
      </c>
      <c r="AN207" s="3668">
        <f>AN208+AN211</f>
        <v>0</v>
      </c>
      <c r="AO207" s="3668">
        <f>AO208+AO211</f>
        <v>0</v>
      </c>
      <c r="AP207" s="3668">
        <f>AP208+AP211</f>
        <v>0</v>
      </c>
      <c r="AQ207" s="3668">
        <f>AQ208+AQ211</f>
        <v>0</v>
      </c>
      <c r="AR207" s="3668">
        <f>AR208+AR211</f>
        <v>0</v>
      </c>
      <c r="AS207" s="3667">
        <f>AS208+AS211</f>
        <v>0</v>
      </c>
      <c r="AT207" s="3668">
        <f>AT208+AT211</f>
        <v>0</v>
      </c>
      <c r="AU207" s="3668">
        <f>AU208+AU211</f>
        <v>0</v>
      </c>
      <c r="AV207" s="3668">
        <f>AV208+AV211</f>
        <v>0</v>
      </c>
      <c r="AW207" s="3668">
        <f>AW208+AW211</f>
        <v>0</v>
      </c>
      <c r="AX207" s="3668">
        <f>AX208+AX211</f>
        <v>0</v>
      </c>
      <c r="AY207" s="3668">
        <f>AY208+AY211</f>
        <v>0</v>
      </c>
      <c r="AZ207" s="3668">
        <f>AZ208+AZ211</f>
        <v>0</v>
      </c>
      <c r="BA207" s="3668">
        <f>BA208+BA211</f>
        <v>0</v>
      </c>
      <c r="BB207" s="3668">
        <f>BB208+BB211</f>
        <v>0</v>
      </c>
      <c r="BC207" s="3645"/>
      <c r="BD207" s="885"/>
      <c r="BE207" s="885"/>
      <c r="BF207" s="1044" t="s">
        <v>1822</v>
      </c>
      <c r="BG207" s="1044" t="s">
        <v>1823</v>
      </c>
      <c r="BH207" s="1720" cm="1" t="str">
        <f t="array" ref="BH207:BH207">AC206</f>
        <v>0</v>
      </c>
      <c r="BI207" s="679"/>
      <c r="BJ207" s="679" t="b">
        <v>1</v>
      </c>
    </row>
    <row s="1834" customFormat="1" customHeight="1" ht="0" hidden="1">
      <c r="A208" s="885"/>
      <c r="B208" s="441"/>
      <c r="C208" s="885"/>
      <c r="D208" s="885"/>
      <c r="E208" s="678">
        <v>15</v>
      </c>
      <c r="F208" s="1387" cm="1" t="str">
        <f t="array" ref="F208:F208">OFFSET(E208,-1,1)</f>
        <v>2</v>
      </c>
      <c r="G208" s="885"/>
      <c r="H208" s="885"/>
      <c r="I208" s="885"/>
      <c r="J208" s="885"/>
      <c r="K208" s="911"/>
      <c r="L208" s="915"/>
      <c r="M208" s="885"/>
      <c r="N208" s="885"/>
      <c r="O208" s="885"/>
      <c r="P208" s="885"/>
      <c r="Q208" s="885"/>
      <c r="R208" s="885"/>
      <c r="S208" s="885"/>
      <c r="T208" s="1356" cm="1" t="str">
        <f t="array" ref="T208:T208">T207</f>
        <v>false</v>
      </c>
      <c r="U208" s="885"/>
      <c r="V208" s="885"/>
      <c r="W208" s="885"/>
      <c r="X208" s="684"/>
      <c r="Y208" s="1524"/>
      <c r="Z208" s="885"/>
      <c r="AA208" s="1714"/>
      <c r="AB208" s="1698" t="str">
        <f>AB207&amp;".1"</f>
        <v>6.0.1.1</v>
      </c>
      <c r="AC208" s="1721" t="s">
        <v>1824</v>
      </c>
      <c r="AD208" s="1722" t="s">
        <v>1514</v>
      </c>
      <c r="AE208" s="3644"/>
      <c r="AF208" s="3644"/>
      <c r="AG208" s="3644"/>
      <c r="AH208" s="3644"/>
      <c r="AI208" s="3644"/>
      <c r="AJ208" s="3644"/>
      <c r="AK208" s="3644"/>
      <c r="AL208" s="3644"/>
      <c r="AM208" s="3644"/>
      <c r="AN208" s="3644"/>
      <c r="AO208" s="3644"/>
      <c r="AP208" s="3644"/>
      <c r="AQ208" s="3644"/>
      <c r="AR208" s="3644"/>
      <c r="AS208" s="3644"/>
      <c r="AT208" s="3644"/>
      <c r="AU208" s="3644"/>
      <c r="AV208" s="3644"/>
      <c r="AW208" s="3644"/>
      <c r="AX208" s="3644"/>
      <c r="AY208" s="3644"/>
      <c r="AZ208" s="3644"/>
      <c r="BA208" s="3644"/>
      <c r="BB208" s="3644"/>
      <c r="BC208" s="3645"/>
      <c r="BD208" s="885"/>
      <c r="BE208" s="885"/>
      <c r="BF208" s="1044" t="s">
        <v>1825</v>
      </c>
      <c r="BG208" s="1044" t="s">
        <v>1823</v>
      </c>
      <c r="BH208" s="1720" cm="1" t="str">
        <f t="array" ref="BH208:BH208">BH207</f>
        <v>0</v>
      </c>
      <c r="BI208" s="679"/>
      <c r="BJ208" s="679"/>
    </row>
    <row s="1834" customFormat="1" customHeight="1" ht="0" hidden="1">
      <c r="A209" s="885"/>
      <c r="B209" s="441"/>
      <c r="C209" s="885"/>
      <c r="D209" s="885"/>
      <c r="E209" s="678">
        <v>15</v>
      </c>
      <c r="F209" s="1387" cm="1" t="str">
        <f t="array" ref="F209:F209">OFFSET(E209,-1,1)</f>
        <v>2</v>
      </c>
      <c r="G209" s="885"/>
      <c r="H209" s="885"/>
      <c r="I209" s="885"/>
      <c r="J209" s="885"/>
      <c r="K209" s="911"/>
      <c r="L209" s="915"/>
      <c r="M209" s="885"/>
      <c r="N209" s="885"/>
      <c r="O209" s="885"/>
      <c r="P209" s="885"/>
      <c r="Q209" s="885"/>
      <c r="R209" s="885"/>
      <c r="S209" s="885"/>
      <c r="T209" s="1356" cm="1" t="str">
        <f t="array" ref="T209:T209">T208</f>
        <v>false</v>
      </c>
      <c r="U209" s="885"/>
      <c r="V209" s="885"/>
      <c r="W209" s="885"/>
      <c r="X209" s="684"/>
      <c r="Y209" s="1524"/>
      <c r="Z209" s="885"/>
      <c r="AA209" s="1714"/>
      <c r="AB209" s="1698" t="str">
        <f>AB208&amp;".1"</f>
        <v>6.0.1.1.1</v>
      </c>
      <c r="AC209" s="1723" t="s">
        <v>1826</v>
      </c>
      <c r="AD209" s="1706" t="s">
        <v>1827</v>
      </c>
      <c r="AE209" s="3644"/>
      <c r="AF209" s="3644"/>
      <c r="AG209" s="3644"/>
      <c r="AH209" s="3644"/>
      <c r="AI209" s="3644"/>
      <c r="AJ209" s="3644"/>
      <c r="AK209" s="3644"/>
      <c r="AL209" s="3644"/>
      <c r="AM209" s="3644"/>
      <c r="AN209" s="3644"/>
      <c r="AO209" s="3644"/>
      <c r="AP209" s="3644"/>
      <c r="AQ209" s="3644"/>
      <c r="AR209" s="3644"/>
      <c r="AS209" s="3644"/>
      <c r="AT209" s="3644"/>
      <c r="AU209" s="3644"/>
      <c r="AV209" s="3644"/>
      <c r="AW209" s="3644"/>
      <c r="AX209" s="3644"/>
      <c r="AY209" s="3644"/>
      <c r="AZ209" s="3644"/>
      <c r="BA209" s="3644"/>
      <c r="BB209" s="3644"/>
      <c r="BC209" s="3645"/>
      <c r="BD209" s="885"/>
      <c r="BE209" s="885"/>
      <c r="BF209" s="1044" t="s">
        <v>1828</v>
      </c>
      <c r="BG209" s="1044" t="s">
        <v>1823</v>
      </c>
      <c r="BH209" s="1720" cm="1" t="str">
        <f t="array" ref="BH209:BH209">BH208</f>
        <v>0</v>
      </c>
      <c r="BI209" s="679"/>
      <c r="BJ209" s="679"/>
    </row>
    <row s="1834" customFormat="1" customHeight="1" ht="0" hidden="1">
      <c r="A210" s="885"/>
      <c r="B210" s="441"/>
      <c r="C210" s="885"/>
      <c r="D210" s="885"/>
      <c r="E210" s="678">
        <v>15</v>
      </c>
      <c r="F210" s="1387" cm="1" t="str">
        <f t="array" ref="F210:F210">OFFSET(E210,-1,1)</f>
        <v>2</v>
      </c>
      <c r="G210" s="885"/>
      <c r="H210" s="885"/>
      <c r="I210" s="885"/>
      <c r="J210" s="885"/>
      <c r="K210" s="911"/>
      <c r="L210" s="915"/>
      <c r="M210" s="885"/>
      <c r="N210" s="885"/>
      <c r="O210" s="885"/>
      <c r="P210" s="885"/>
      <c r="Q210" s="885"/>
      <c r="R210" s="885"/>
      <c r="S210" s="885"/>
      <c r="T210" s="1356" cm="1" t="str">
        <f t="array" ref="T210:T210">T209</f>
        <v>false</v>
      </c>
      <c r="U210" s="885"/>
      <c r="V210" s="885"/>
      <c r="W210" s="885"/>
      <c r="X210" s="684"/>
      <c r="Y210" s="1524"/>
      <c r="Z210" s="885"/>
      <c r="AA210" s="1714"/>
      <c r="AB210" s="1698" t="str">
        <f>AB208&amp;".2"</f>
        <v>6.0.1.1.2</v>
      </c>
      <c r="AC210" s="1723" t="s">
        <v>1829</v>
      </c>
      <c r="AD210" s="1706" t="s">
        <v>1830</v>
      </c>
      <c r="AE210" s="3644"/>
      <c r="AF210" s="3644"/>
      <c r="AG210" s="3644"/>
      <c r="AH210" s="3644"/>
      <c r="AI210" s="3644"/>
      <c r="AJ210" s="3644"/>
      <c r="AK210" s="3644"/>
      <c r="AL210" s="3644"/>
      <c r="AM210" s="3644"/>
      <c r="AN210" s="3644"/>
      <c r="AO210" s="3644"/>
      <c r="AP210" s="3644"/>
      <c r="AQ210" s="3644"/>
      <c r="AR210" s="3644"/>
      <c r="AS210" s="3644"/>
      <c r="AT210" s="3644"/>
      <c r="AU210" s="3644"/>
      <c r="AV210" s="3644"/>
      <c r="AW210" s="3644"/>
      <c r="AX210" s="3644"/>
      <c r="AY210" s="3644"/>
      <c r="AZ210" s="3644"/>
      <c r="BA210" s="3644"/>
      <c r="BB210" s="3644"/>
      <c r="BC210" s="3645"/>
      <c r="BD210" s="885"/>
      <c r="BE210" s="885"/>
      <c r="BF210" s="1044" t="s">
        <v>1831</v>
      </c>
      <c r="BG210" s="1044" t="s">
        <v>1823</v>
      </c>
      <c r="BH210" s="1720" cm="1" t="str">
        <f t="array" ref="BH210:BH210">BH209</f>
        <v>0</v>
      </c>
      <c r="BI210" s="679"/>
      <c r="BJ210" s="679"/>
    </row>
    <row s="1834" customFormat="1" customHeight="1" ht="0" hidden="1">
      <c r="A211" s="885"/>
      <c r="B211" s="441"/>
      <c r="C211" s="885"/>
      <c r="D211" s="885"/>
      <c r="E211" s="678">
        <v>15</v>
      </c>
      <c r="F211" s="1387" cm="1" t="str">
        <f t="array" ref="F211:F211">OFFSET(E211,-1,1)</f>
        <v>2</v>
      </c>
      <c r="G211" s="885"/>
      <c r="H211" s="885"/>
      <c r="I211" s="885"/>
      <c r="J211" s="885"/>
      <c r="K211" s="911"/>
      <c r="L211" s="915"/>
      <c r="M211" s="885"/>
      <c r="N211" s="885"/>
      <c r="O211" s="885"/>
      <c r="P211" s="885"/>
      <c r="Q211" s="885"/>
      <c r="R211" s="885"/>
      <c r="S211" s="885"/>
      <c r="T211" s="1356" cm="1" t="str">
        <f t="array" ref="T211:T211">T210</f>
        <v>false</v>
      </c>
      <c r="U211" s="885"/>
      <c r="V211" s="885"/>
      <c r="W211" s="885"/>
      <c r="X211" s="684"/>
      <c r="Y211" s="1524"/>
      <c r="Z211" s="885"/>
      <c r="AA211" s="1714"/>
      <c r="AB211" s="1698" t="str">
        <f>AB207&amp;".2"</f>
        <v>6.0.1.2</v>
      </c>
      <c r="AC211" s="1707" t="s">
        <v>1832</v>
      </c>
      <c r="AD211" s="1706" t="s">
        <v>1514</v>
      </c>
      <c r="AE211" s="3644"/>
      <c r="AF211" s="3644"/>
      <c r="AG211" s="3644"/>
      <c r="AH211" s="3644"/>
      <c r="AI211" s="3644"/>
      <c r="AJ211" s="3644"/>
      <c r="AK211" s="3644"/>
      <c r="AL211" s="3644"/>
      <c r="AM211" s="3644"/>
      <c r="AN211" s="3644"/>
      <c r="AO211" s="3644"/>
      <c r="AP211" s="3644"/>
      <c r="AQ211" s="3644"/>
      <c r="AR211" s="3644"/>
      <c r="AS211" s="3644"/>
      <c r="AT211" s="3644"/>
      <c r="AU211" s="3644"/>
      <c r="AV211" s="3644"/>
      <c r="AW211" s="3644"/>
      <c r="AX211" s="3644"/>
      <c r="AY211" s="3644"/>
      <c r="AZ211" s="3644"/>
      <c r="BA211" s="3644"/>
      <c r="BB211" s="3644"/>
      <c r="BC211" s="3645"/>
      <c r="BD211" s="885"/>
      <c r="BE211" s="885"/>
      <c r="BF211" s="1044" t="s">
        <v>1833</v>
      </c>
      <c r="BG211" s="1044" t="s">
        <v>1823</v>
      </c>
      <c r="BH211" s="1720" cm="1" t="str">
        <f t="array" ref="BH211:BH211">BH210</f>
        <v>0</v>
      </c>
      <c r="BI211" s="679"/>
      <c r="BJ211" s="679"/>
    </row>
    <row s="1834" customFormat="1" customHeight="1" ht="0" hidden="1">
      <c r="A212" s="885"/>
      <c r="B212" s="441"/>
      <c r="C212" s="885"/>
      <c r="D212" s="885"/>
      <c r="E212" s="678">
        <v>15</v>
      </c>
      <c r="F212" s="1387" cm="1" t="str">
        <f t="array" ref="F212:F212">OFFSET(E212,-1,1)</f>
        <v>2</v>
      </c>
      <c r="G212" s="885"/>
      <c r="H212" s="885"/>
      <c r="I212" s="885"/>
      <c r="J212" s="885"/>
      <c r="K212" s="911"/>
      <c r="L212" s="915"/>
      <c r="M212" s="885"/>
      <c r="N212" s="885"/>
      <c r="O212" s="885"/>
      <c r="P212" s="885"/>
      <c r="Q212" s="885"/>
      <c r="R212" s="885"/>
      <c r="S212" s="885"/>
      <c r="T212" s="1356" cm="1" t="str">
        <f t="array" ref="T212:T212">T211</f>
        <v>false</v>
      </c>
      <c r="U212" s="885"/>
      <c r="V212" s="885"/>
      <c r="W212" s="885"/>
      <c r="X212" s="684"/>
      <c r="Y212" s="1524"/>
      <c r="Z212" s="885"/>
      <c r="AA212" s="1714"/>
      <c r="AB212" s="1698" t="str">
        <f>AB211&amp;".1"</f>
        <v>6.0.1.2.1</v>
      </c>
      <c r="AC212" s="1723" t="s">
        <v>1834</v>
      </c>
      <c r="AD212" s="1706" t="s">
        <v>1835</v>
      </c>
      <c r="AE212" s="3644"/>
      <c r="AF212" s="3644"/>
      <c r="AG212" s="3644"/>
      <c r="AH212" s="3644"/>
      <c r="AI212" s="3644"/>
      <c r="AJ212" s="3644"/>
      <c r="AK212" s="3644"/>
      <c r="AL212" s="3644"/>
      <c r="AM212" s="3644"/>
      <c r="AN212" s="3644"/>
      <c r="AO212" s="3644"/>
      <c r="AP212" s="3644"/>
      <c r="AQ212" s="3644"/>
      <c r="AR212" s="3644"/>
      <c r="AS212" s="3644"/>
      <c r="AT212" s="3644"/>
      <c r="AU212" s="3644"/>
      <c r="AV212" s="3644"/>
      <c r="AW212" s="3644"/>
      <c r="AX212" s="3644"/>
      <c r="AY212" s="3644"/>
      <c r="AZ212" s="3644"/>
      <c r="BA212" s="3644"/>
      <c r="BB212" s="3644"/>
      <c r="BC212" s="3645"/>
      <c r="BD212" s="885"/>
      <c r="BE212" s="885"/>
      <c r="BF212" s="1044" t="s">
        <v>1836</v>
      </c>
      <c r="BG212" s="1044" t="s">
        <v>1823</v>
      </c>
      <c r="BH212" s="1720" cm="1" t="str">
        <f t="array" ref="BH212:BH212">BH211</f>
        <v>0</v>
      </c>
      <c r="BI212" s="679"/>
      <c r="BJ212" s="679"/>
    </row>
    <row s="1834" customFormat="1" customHeight="1" ht="0" hidden="1">
      <c r="A213" s="885"/>
      <c r="B213" s="441"/>
      <c r="C213" s="885"/>
      <c r="D213" s="885"/>
      <c r="E213" s="678">
        <v>15</v>
      </c>
      <c r="F213" s="1387" cm="1" t="str">
        <f t="array" ref="F213:F213">OFFSET(E213,-1,1)</f>
        <v>2</v>
      </c>
      <c r="G213" s="885"/>
      <c r="H213" s="885"/>
      <c r="I213" s="885"/>
      <c r="J213" s="885"/>
      <c r="K213" s="911"/>
      <c r="L213" s="915"/>
      <c r="M213" s="885"/>
      <c r="N213" s="885"/>
      <c r="O213" s="885"/>
      <c r="P213" s="885"/>
      <c r="Q213" s="885"/>
      <c r="R213" s="885"/>
      <c r="S213" s="885"/>
      <c r="T213" s="1356" cm="1" t="str">
        <f t="array" ref="T213:T213">T212</f>
        <v>false</v>
      </c>
      <c r="U213" s="885"/>
      <c r="V213" s="885"/>
      <c r="W213" s="885"/>
      <c r="X213" s="684"/>
      <c r="Y213" s="1524"/>
      <c r="Z213" s="885"/>
      <c r="AA213" s="1714"/>
      <c r="AB213" s="1698" t="str">
        <f>AB211&amp;".2"</f>
        <v>6.0.1.2.2</v>
      </c>
      <c r="AC213" s="1723" t="s">
        <v>1837</v>
      </c>
      <c r="AD213" s="1706" t="s">
        <v>1838</v>
      </c>
      <c r="AE213" s="3644"/>
      <c r="AF213" s="3644"/>
      <c r="AG213" s="3644"/>
      <c r="AH213" s="3644"/>
      <c r="AI213" s="3644"/>
      <c r="AJ213" s="3644"/>
      <c r="AK213" s="3644"/>
      <c r="AL213" s="3644"/>
      <c r="AM213" s="3644"/>
      <c r="AN213" s="3644"/>
      <c r="AO213" s="3644"/>
      <c r="AP213" s="3644"/>
      <c r="AQ213" s="3644"/>
      <c r="AR213" s="3644"/>
      <c r="AS213" s="3644"/>
      <c r="AT213" s="3644"/>
      <c r="AU213" s="3644"/>
      <c r="AV213" s="3644"/>
      <c r="AW213" s="3644"/>
      <c r="AX213" s="3644"/>
      <c r="AY213" s="3644"/>
      <c r="AZ213" s="3644"/>
      <c r="BA213" s="3644"/>
      <c r="BB213" s="3644"/>
      <c r="BC213" s="3645"/>
      <c r="BD213" s="885"/>
      <c r="BE213" s="885"/>
      <c r="BF213" s="1044" t="s">
        <v>1839</v>
      </c>
      <c r="BG213" s="1044" t="s">
        <v>1823</v>
      </c>
      <c r="BH213" s="1720" cm="1" t="str">
        <f t="array" ref="BH213:BH213">BH212</f>
        <v>0</v>
      </c>
      <c r="BI213" s="679"/>
      <c r="BJ213" s="679"/>
    </row>
    <row s="1834" customFormat="1" customHeight="1" ht="0">
      <c r="A214" s="885"/>
      <c r="B214" s="441"/>
      <c r="C214" s="885"/>
      <c r="D214" s="885"/>
      <c r="E214" s="678">
        <v>15</v>
      </c>
      <c r="F214" s="1387" cm="1" t="str">
        <f t="array" ref="F214:F214">OFFSET(E214,-1,1)</f>
        <v>2</v>
      </c>
      <c r="G214" s="885"/>
      <c r="H214" s="885"/>
      <c r="I214" s="885"/>
      <c r="J214" s="885"/>
      <c r="K214" s="911"/>
      <c r="L214" s="915"/>
      <c r="M214" s="885"/>
      <c r="N214" s="885"/>
      <c r="O214" s="885"/>
      <c r="P214" s="885"/>
      <c r="Q214" s="885"/>
      <c r="R214" s="885"/>
      <c r="S214" s="885"/>
      <c r="T214" s="1356">
        <f>F214&gt;0</f>
        <v>1</v>
      </c>
      <c r="U214" s="885"/>
      <c r="V214" s="885"/>
      <c r="W214" s="685" t="s">
        <v>1840</v>
      </c>
      <c r="X214" s="684"/>
      <c r="Y214" s="1519"/>
      <c r="Z214" s="885"/>
      <c r="AA214" s="1680"/>
      <c r="AB214" s="1724"/>
      <c r="AC214" s="1725" t="s">
        <v>1792</v>
      </c>
      <c r="AD214" s="1726"/>
      <c r="AE214" s="1727"/>
      <c r="AF214" s="1727"/>
      <c r="AG214" s="1727"/>
      <c r="AH214" s="1727"/>
      <c r="AI214" s="1727"/>
      <c r="AJ214" s="1727"/>
      <c r="AK214" s="1727"/>
      <c r="AL214" s="1727"/>
      <c r="AM214" s="1727"/>
      <c r="AN214" s="1727"/>
      <c r="AO214" s="1727"/>
      <c r="AP214" s="1727"/>
      <c r="AQ214" s="1727"/>
      <c r="AR214" s="1727"/>
      <c r="AS214" s="1727"/>
      <c r="AT214" s="1727"/>
      <c r="AU214" s="1727"/>
      <c r="AV214" s="1727"/>
      <c r="AW214" s="1727"/>
      <c r="AX214" s="1727"/>
      <c r="AY214" s="1727"/>
      <c r="AZ214" s="1727"/>
      <c r="BA214" s="1727"/>
      <c r="BB214" s="1727"/>
      <c r="BC214" s="1727"/>
      <c r="BD214" s="885"/>
      <c r="BE214" s="885"/>
      <c r="BF214" s="1044"/>
      <c r="BG214" s="1044"/>
      <c r="BH214" s="1044"/>
      <c r="BI214" s="679" t="s">
        <v>1823</v>
      </c>
      <c r="BJ214" s="679"/>
    </row>
    <row s="153" customFormat="1" customHeight="1" ht="0">
      <c r="A215" s="153"/>
      <c r="B215" s="441"/>
      <c r="C215" s="153"/>
      <c r="D215" s="153"/>
      <c r="E215" s="679">
        <v>15</v>
      </c>
      <c r="F215" s="50" cm="1" t="str">
        <f t="array" ref="F215:F215">OFFSET(E215,-1,1)</f>
        <v>2</v>
      </c>
      <c r="G215" s="152" t="s">
        <v>1228</v>
      </c>
      <c r="H215" s="153"/>
      <c r="I215" s="153"/>
      <c r="J215" s="153"/>
      <c r="K215" s="911" t="str">
        <f>F164&amp;"7komm"</f>
        <v>27komm</v>
      </c>
      <c r="L215" s="915" cm="1" t="str">
        <f t="array" ref="L215:L215">BC215</f>
        <v>0</v>
      </c>
      <c r="M215" s="153"/>
      <c r="N215" s="153"/>
      <c r="O215" s="153"/>
      <c r="P215" s="153"/>
      <c r="Q215" s="153"/>
      <c r="R215" s="153"/>
      <c r="S215" s="153"/>
      <c r="T215" s="465" cm="1" t="str">
        <f t="array" ref="T215:T215">T204</f>
        <v>true</v>
      </c>
      <c r="U215" s="153"/>
      <c r="V215" s="153"/>
      <c r="W215" s="153"/>
      <c r="X215" s="1524"/>
      <c r="Y215" s="153"/>
      <c r="Z215" s="1615"/>
      <c r="AA215" s="153"/>
      <c r="AB215" s="211">
        <v>7</v>
      </c>
      <c r="AC215" s="212" t="s">
        <v>1841</v>
      </c>
      <c r="AD215" s="211" t="s">
        <v>1514</v>
      </c>
      <c r="AE215" s="3657">
        <f>SUMIF($AD218:$AD221,$AD215,AE218:AE221)</f>
        <v>0</v>
      </c>
      <c r="AF215" s="3657">
        <f>SUMIF($AD218:$AD221,$AD215,AF218:AF221)</f>
        <v>0</v>
      </c>
      <c r="AG215" s="3657">
        <f>SUMIF($AD218:$AD221,$AD215,AG218:AG221)</f>
        <v>0</v>
      </c>
      <c r="AH215" s="3657">
        <f>SUMIF($AD218:$AD221,$AD215,AH218:AH221)</f>
        <v>0</v>
      </c>
      <c r="AI215" s="3657">
        <f>SUMIF($AD218:$AD221,$AD215,AI218:AI221)</f>
        <v>0</v>
      </c>
      <c r="AJ215" s="225">
        <f>SUMIF($AD218:$AD221,$AD215,AJ218:AJ221)</f>
        <v>0</v>
      </c>
      <c r="AK215" s="225">
        <f>SUMIF($AD218:$AD221,$AD215,AK218:AK221)</f>
        <v>0</v>
      </c>
      <c r="AL215" s="225">
        <f>SUMIF($AD218:$AD221,$AD215,AL218:AL221)</f>
        <v>0</v>
      </c>
      <c r="AM215" s="225">
        <f>SUMIF($AD218:$AD221,$AD215,AM218:AM221)</f>
        <v>0</v>
      </c>
      <c r="AN215" s="3658">
        <f>SUMIF($AD218:$AD221,$AD215,AN218:AN221)</f>
        <v>0</v>
      </c>
      <c r="AO215" s="3658">
        <f>SUMIF($AD218:$AD221,$AD215,AO218:AO221)</f>
        <v>0</v>
      </c>
      <c r="AP215" s="3658">
        <f>SUMIF($AD218:$AD221,$AD215,AP218:AP221)</f>
        <v>0</v>
      </c>
      <c r="AQ215" s="3658">
        <f>SUMIF($AD218:$AD221,$AD215,AQ218:AQ221)</f>
        <v>0</v>
      </c>
      <c r="AR215" s="3658">
        <f>SUMIF($AD218:$AD221,$AD215,AR218:AR221)</f>
        <v>0</v>
      </c>
      <c r="AS215" s="3657">
        <f>SUMIF($AD218:$AD221,$AD215,AS218:AS221)</f>
        <v>0</v>
      </c>
      <c r="AT215" s="225">
        <f>SUMIF($AD218:$AD221,$AD215,AT218:AT221)</f>
        <v>0</v>
      </c>
      <c r="AU215" s="225">
        <f>SUMIF($AD218:$AD221,$AD215,AU218:AU221)</f>
        <v>0</v>
      </c>
      <c r="AV215" s="225">
        <f>SUMIF($AD218:$AD221,$AD215,AV218:AV221)</f>
        <v>0</v>
      </c>
      <c r="AW215" s="225">
        <f>SUMIF($AD218:$AD221,$AD215,AW218:AW221)</f>
        <v>0</v>
      </c>
      <c r="AX215" s="3658">
        <f>SUMIF($AD218:$AD221,$AD215,AX218:AX221)</f>
        <v>0</v>
      </c>
      <c r="AY215" s="3658">
        <f>SUMIF($AD218:$AD221,$AD215,AY218:AY221)</f>
        <v>0</v>
      </c>
      <c r="AZ215" s="3658">
        <f>SUMIF($AD218:$AD221,$AD215,AZ218:AZ221)</f>
        <v>0</v>
      </c>
      <c r="BA215" s="3658">
        <f>SUMIF($AD218:$AD221,$AD215,BA218:BA221)</f>
        <v>0</v>
      </c>
      <c r="BB215" s="3658">
        <f>SUMIF($AD218:$AD221,$AD215,BB218:BB221)</f>
        <v>0</v>
      </c>
      <c r="BC215" s="200"/>
      <c r="BD215" s="153"/>
      <c r="BE215" s="153"/>
      <c r="BF215" s="1044" t="s">
        <v>1842</v>
      </c>
      <c r="BG215" s="1044"/>
      <c r="BH215" s="1044"/>
      <c r="BI215" s="679"/>
      <c r="BJ215" s="679"/>
    </row>
    <row s="1834" customFormat="1" customHeight="1" ht="0" hidden="1">
      <c r="A216" s="885"/>
      <c r="B216" s="441"/>
      <c r="C216" s="885"/>
      <c r="D216" s="885"/>
      <c r="E216" s="678">
        <v>15</v>
      </c>
      <c r="F216" s="1387" cm="1" t="str">
        <f t="array" ref="F216:F216">OFFSET(E216,-1,1)</f>
        <v>2</v>
      </c>
      <c r="G216" s="885"/>
      <c r="H216" s="885"/>
      <c r="I216" s="885"/>
      <c r="J216" s="885"/>
      <c r="K216" s="911"/>
      <c r="L216" s="915"/>
      <c r="M216" s="885"/>
      <c r="N216" s="885"/>
      <c r="O216" s="885"/>
      <c r="P216" s="885"/>
      <c r="Q216" s="885"/>
      <c r="R216" s="885"/>
      <c r="S216" s="885"/>
      <c r="T216" s="1356" t="b">
        <v>0</v>
      </c>
      <c r="U216" s="885"/>
      <c r="V216" s="885"/>
      <c r="W216" s="885" t="s">
        <v>174</v>
      </c>
      <c r="X216" s="684"/>
      <c r="Y216" s="1524">
        <v>0</v>
      </c>
      <c r="Z216" s="885"/>
      <c r="AA216" s="1714" t="s">
        <v>175</v>
      </c>
      <c r="AB216" s="1700"/>
      <c r="AC216" s="1522"/>
      <c r="AD216" s="1715"/>
      <c r="AE216" s="1716">
        <f>OR(AND(AE218&lt;&gt;"",AE219=""),AND(AE218="",AE219&lt;&gt;""))</f>
        <v>0</v>
      </c>
      <c r="AF216" s="1716">
        <f>OR(AND(AF218&lt;&gt;"",AF219=""),AND(AF218="",AF219&lt;&gt;""))</f>
        <v>0</v>
      </c>
      <c r="AG216" s="1716">
        <f>OR(AND(AG218&lt;&gt;"",AG219=""),AND(AG218="",AG219&lt;&gt;""))</f>
        <v>0</v>
      </c>
      <c r="AH216" s="1716">
        <f>OR(AND(AH218&lt;&gt;"",AH219=""),AND(AH218="",AH219&lt;&gt;""))</f>
        <v>0</v>
      </c>
      <c r="AI216" s="1716">
        <f>OR(AND(AI218&lt;&gt;"",AI219=""),AND(AI218="",AI219&lt;&gt;""))</f>
        <v>0</v>
      </c>
      <c r="AJ216" s="1716">
        <f>OR(AND(AJ218&lt;&gt;"",AJ219=""),AND(AJ218="",AJ219&lt;&gt;""))</f>
        <v>0</v>
      </c>
      <c r="AK216" s="1716">
        <f>OR(AND(AK218&lt;&gt;"",AK219=""),AND(AK218="",AK219&lt;&gt;""))</f>
        <v>0</v>
      </c>
      <c r="AL216" s="1716">
        <f>OR(AND(AL218&lt;&gt;"",AL219=""),AND(AL218="",AL219&lt;&gt;""))</f>
        <v>0</v>
      </c>
      <c r="AM216" s="1716">
        <f>OR(AND(AM218&lt;&gt;"",AM219=""),AND(AM218="",AM219&lt;&gt;""))</f>
        <v>0</v>
      </c>
      <c r="AN216" s="1716">
        <f>OR(AND(AN218&lt;&gt;"",AN219=""),AND(AN218="",AN219&lt;&gt;""))</f>
        <v>0</v>
      </c>
      <c r="AO216" s="1716">
        <f>OR(AND(AO218&lt;&gt;"",AO219=""),AND(AO218="",AO219&lt;&gt;""))</f>
        <v>0</v>
      </c>
      <c r="AP216" s="1716">
        <f>OR(AND(AP218&lt;&gt;"",AP219=""),AND(AP218="",AP219&lt;&gt;""))</f>
        <v>0</v>
      </c>
      <c r="AQ216" s="1716">
        <f>OR(AND(AQ218&lt;&gt;"",AQ219=""),AND(AQ218="",AQ219&lt;&gt;""))</f>
        <v>0</v>
      </c>
      <c r="AR216" s="1716">
        <f>OR(AND(AR218&lt;&gt;"",AR219=""),AND(AR218="",AR219&lt;&gt;""))</f>
        <v>0</v>
      </c>
      <c r="AS216" s="1716">
        <f>OR(AND(AS218&lt;&gt;"",AS219=""),AND(AS218="",AS219&lt;&gt;""))</f>
        <v>0</v>
      </c>
      <c r="AT216" s="1716">
        <f>OR(AND(AT218&lt;&gt;"",AT219=""),AND(AT218="",AT219&lt;&gt;""))</f>
        <v>0</v>
      </c>
      <c r="AU216" s="1716">
        <f>OR(AND(AU218&lt;&gt;"",AU219=""),AND(AU218="",AU219&lt;&gt;""))</f>
        <v>0</v>
      </c>
      <c r="AV216" s="1716">
        <f>OR(AND(AV218&lt;&gt;"",AV219=""),AND(AV218="",AV219&lt;&gt;""))</f>
        <v>0</v>
      </c>
      <c r="AW216" s="1716">
        <f>OR(AND(AW218&lt;&gt;"",AW219=""),AND(AW218="",AW219&lt;&gt;""))</f>
        <v>0</v>
      </c>
      <c r="AX216" s="1716">
        <f>OR(AND(AX218&lt;&gt;"",AX219=""),AND(AX218="",AX219&lt;&gt;""))</f>
        <v>0</v>
      </c>
      <c r="AY216" s="1716">
        <f>OR(AND(AY218&lt;&gt;"",AY219=""),AND(AY218="",AY219&lt;&gt;""))</f>
        <v>0</v>
      </c>
      <c r="AZ216" s="1716">
        <f>OR(AND(AZ218&lt;&gt;"",AZ219=""),AND(AZ218="",AZ219&lt;&gt;""))</f>
        <v>0</v>
      </c>
      <c r="BA216" s="1716">
        <f>OR(AND(BA218&lt;&gt;"",BA219=""),AND(BA218="",BA219&lt;&gt;""))</f>
        <v>0</v>
      </c>
      <c r="BB216" s="1716">
        <f>OR(AND(BB218&lt;&gt;"",BB219=""),AND(BB218="",BB219&lt;&gt;""))</f>
        <v>0</v>
      </c>
      <c r="BC216" s="974"/>
      <c r="BD216" s="885"/>
      <c r="BE216" s="885"/>
      <c r="BF216" s="1044"/>
      <c r="BG216" s="1044"/>
      <c r="BH216" s="1044"/>
      <c r="BI216" s="679"/>
      <c r="BJ216" s="679"/>
    </row>
    <row s="1834" customFormat="1" customHeight="1" ht="0" hidden="1">
      <c r="A217" s="885"/>
      <c r="B217" s="441"/>
      <c r="C217" s="885"/>
      <c r="D217" s="885"/>
      <c r="E217" s="678">
        <v>15</v>
      </c>
      <c r="F217" s="1387" cm="1" t="str">
        <f t="array" ref="F217:F217">OFFSET(E217,-1,1)</f>
        <v>2</v>
      </c>
      <c r="G217" s="885"/>
      <c r="H217" s="885"/>
      <c r="I217" s="885"/>
      <c r="J217" s="885"/>
      <c r="K217" s="911"/>
      <c r="L217" s="915"/>
      <c r="M217" s="885"/>
      <c r="N217" s="885"/>
      <c r="O217" s="885"/>
      <c r="P217" s="885"/>
      <c r="Q217" s="885"/>
      <c r="R217" s="885"/>
      <c r="S217" s="885"/>
      <c r="T217" s="1356">
        <f>AND(F217&gt;0,Y216&gt;0)</f>
        <v>0</v>
      </c>
      <c r="U217" s="885"/>
      <c r="V217" s="885"/>
      <c r="W217" s="885"/>
      <c r="X217" s="684"/>
      <c r="Y217" s="1524"/>
      <c r="Z217" s="885"/>
      <c r="AA217" s="1714"/>
      <c r="AB217" s="1698" t="str">
        <f>"7."&amp;Y216</f>
        <v>7.0</v>
      </c>
      <c r="AC217" s="1717"/>
      <c r="AD217" s="1715"/>
      <c r="AE217" s="885"/>
      <c r="AF217" s="885"/>
      <c r="AG217" s="885"/>
      <c r="AH217" s="885"/>
      <c r="AI217" s="885"/>
      <c r="AJ217" s="885"/>
      <c r="AK217" s="885"/>
      <c r="AL217" s="885"/>
      <c r="AM217" s="885"/>
      <c r="AN217" s="885"/>
      <c r="AO217" s="885"/>
      <c r="AP217" s="885"/>
      <c r="AQ217" s="885"/>
      <c r="AR217" s="885"/>
      <c r="AS217" s="885"/>
      <c r="AT217" s="885"/>
      <c r="AU217" s="885"/>
      <c r="AV217" s="885"/>
      <c r="AW217" s="885"/>
      <c r="AX217" s="885"/>
      <c r="AY217" s="885"/>
      <c r="AZ217" s="885"/>
      <c r="BA217" s="885"/>
      <c r="BB217" s="885"/>
      <c r="BC217" s="885"/>
      <c r="BD217" s="885"/>
      <c r="BE217" s="885"/>
      <c r="BF217" s="1044"/>
      <c r="BG217" s="1044"/>
      <c r="BH217" s="1044"/>
      <c r="BI217" s="679"/>
      <c r="BJ217" s="679"/>
    </row>
    <row s="1834" customFormat="1" customHeight="1" ht="0" hidden="1">
      <c r="A218" s="885"/>
      <c r="B218" s="441"/>
      <c r="C218" s="885"/>
      <c r="D218" s="885"/>
      <c r="E218" s="678">
        <v>15</v>
      </c>
      <c r="F218" s="1387" cm="1" t="str">
        <f t="array" ref="F218:F218">OFFSET(E218,-1,1)</f>
        <v>2</v>
      </c>
      <c r="G218" s="885"/>
      <c r="H218" s="885"/>
      <c r="I218" s="885"/>
      <c r="J218" s="885"/>
      <c r="K218" s="911"/>
      <c r="L218" s="915"/>
      <c r="M218" s="885"/>
      <c r="N218" s="885"/>
      <c r="O218" s="885"/>
      <c r="P218" s="885"/>
      <c r="Q218" s="885"/>
      <c r="R218" s="885"/>
      <c r="S218" s="885"/>
      <c r="T218" s="1356" cm="1" t="str">
        <f t="array" ref="T218:T218">T217</f>
        <v>false</v>
      </c>
      <c r="U218" s="885"/>
      <c r="V218" s="885"/>
      <c r="W218" s="885"/>
      <c r="X218" s="684"/>
      <c r="Y218" s="1524"/>
      <c r="Z218" s="885"/>
      <c r="AA218" s="1714"/>
      <c r="AB218" s="1698" t="str">
        <f>AB217&amp;".1"</f>
        <v>7.0.1</v>
      </c>
      <c r="AC218" s="1728" t="s">
        <v>1783</v>
      </c>
      <c r="AD218" s="1700" t="s">
        <v>1514</v>
      </c>
      <c r="AE218" s="3679"/>
      <c r="AF218" s="3680"/>
      <c r="AG218" s="3679"/>
      <c r="AH218" s="3679"/>
      <c r="AI218" s="3680"/>
      <c r="AJ218" s="3680"/>
      <c r="AK218" s="3680"/>
      <c r="AL218" s="3680"/>
      <c r="AM218" s="3680"/>
      <c r="AN218" s="3680"/>
      <c r="AO218" s="3680"/>
      <c r="AP218" s="3680"/>
      <c r="AQ218" s="3680"/>
      <c r="AR218" s="3680"/>
      <c r="AS218" s="3679"/>
      <c r="AT218" s="3679"/>
      <c r="AU218" s="3679"/>
      <c r="AV218" s="3679"/>
      <c r="AW218" s="3679"/>
      <c r="AX218" s="3679"/>
      <c r="AY218" s="3679"/>
      <c r="AZ218" s="3679"/>
      <c r="BA218" s="3679"/>
      <c r="BB218" s="3679"/>
      <c r="BC218" s="2070"/>
      <c r="BD218" s="885"/>
      <c r="BE218" s="885"/>
      <c r="BF218" s="1041" t="s">
        <v>1784</v>
      </c>
      <c r="BG218" s="1044" t="s">
        <v>1843</v>
      </c>
      <c r="BH218" s="1720" cm="1" t="str">
        <f t="array" ref="BH218:BH218">AC217</f>
        <v>0</v>
      </c>
      <c r="BI218" s="679"/>
      <c r="BJ218" s="679" t="b">
        <v>1</v>
      </c>
    </row>
    <row s="1834" customFormat="1" customHeight="1" ht="0" hidden="1">
      <c r="A219" s="885"/>
      <c r="B219" s="441"/>
      <c r="C219" s="885"/>
      <c r="D219" s="885"/>
      <c r="E219" s="678">
        <v>15</v>
      </c>
      <c r="F219" s="1387" cm="1" t="str">
        <f t="array" ref="F219:F219">OFFSET(E219,-1,1)</f>
        <v>2</v>
      </c>
      <c r="G219" s="885"/>
      <c r="H219" s="885"/>
      <c r="I219" s="885"/>
      <c r="J219" s="885"/>
      <c r="K219" s="911"/>
      <c r="L219" s="915"/>
      <c r="M219" s="885"/>
      <c r="N219" s="885"/>
      <c r="O219" s="885"/>
      <c r="P219" s="885"/>
      <c r="Q219" s="885"/>
      <c r="R219" s="885"/>
      <c r="S219" s="885"/>
      <c r="T219" s="1356" cm="1" t="str">
        <f t="array" ref="T219:T219">T218</f>
        <v>false</v>
      </c>
      <c r="U219" s="885"/>
      <c r="V219" s="885"/>
      <c r="W219" s="885"/>
      <c r="X219" s="684"/>
      <c r="Y219" s="1524"/>
      <c r="Z219" s="885"/>
      <c r="AA219" s="1714"/>
      <c r="AB219" s="1698" t="str">
        <f>AB218&amp;".1"</f>
        <v>7.0.1.1</v>
      </c>
      <c r="AC219" s="1707" t="s">
        <v>1844</v>
      </c>
      <c r="AD219" s="1698" t="s">
        <v>1247</v>
      </c>
      <c r="AE219" s="3679"/>
      <c r="AF219" s="3680"/>
      <c r="AG219" s="3679"/>
      <c r="AH219" s="3679"/>
      <c r="AI219" s="3680"/>
      <c r="AJ219" s="3680"/>
      <c r="AK219" s="3680"/>
      <c r="AL219" s="3680"/>
      <c r="AM219" s="3680"/>
      <c r="AN219" s="3680"/>
      <c r="AO219" s="3680"/>
      <c r="AP219" s="3680"/>
      <c r="AQ219" s="3680"/>
      <c r="AR219" s="3680"/>
      <c r="AS219" s="3679"/>
      <c r="AT219" s="3679"/>
      <c r="AU219" s="3679"/>
      <c r="AV219" s="3679"/>
      <c r="AW219" s="3679"/>
      <c r="AX219" s="3679"/>
      <c r="AY219" s="3679"/>
      <c r="AZ219" s="3679"/>
      <c r="BA219" s="3679"/>
      <c r="BB219" s="3679"/>
      <c r="BC219" s="2070"/>
      <c r="BD219" s="885"/>
      <c r="BE219" s="885"/>
      <c r="BF219" s="1041" t="s">
        <v>1787</v>
      </c>
      <c r="BG219" s="1044" t="s">
        <v>1843</v>
      </c>
      <c r="BH219" s="1720" cm="1" t="str">
        <f t="array" ref="BH219:BH219">BH218</f>
        <v>0</v>
      </c>
      <c r="BI219" s="679"/>
      <c r="BJ219" s="679"/>
    </row>
    <row s="1834" customFormat="1" customHeight="1" ht="0" hidden="1">
      <c r="A220" s="885"/>
      <c r="B220" s="441"/>
      <c r="C220" s="885"/>
      <c r="D220" s="885"/>
      <c r="E220" s="678">
        <v>15</v>
      </c>
      <c r="F220" s="1387" cm="1" t="str">
        <f t="array" ref="F220:F220">OFFSET(E220,-1,1)</f>
        <v>2</v>
      </c>
      <c r="G220" s="885"/>
      <c r="H220" s="885"/>
      <c r="I220" s="885"/>
      <c r="J220" s="885"/>
      <c r="K220" s="911"/>
      <c r="L220" s="915"/>
      <c r="M220" s="885"/>
      <c r="N220" s="885"/>
      <c r="O220" s="885"/>
      <c r="P220" s="885"/>
      <c r="Q220" s="885"/>
      <c r="R220" s="885"/>
      <c r="S220" s="885"/>
      <c r="T220" s="1356" cm="1" t="str">
        <f t="array" ref="T220:T220">T219</f>
        <v>false</v>
      </c>
      <c r="U220" s="885"/>
      <c r="V220" s="885"/>
      <c r="W220" s="885"/>
      <c r="X220" s="684"/>
      <c r="Y220" s="1524"/>
      <c r="Z220" s="885"/>
      <c r="AA220" s="1714"/>
      <c r="AB220" s="1698" t="str">
        <f>AB218&amp;".2"</f>
        <v>7.0.1.2</v>
      </c>
      <c r="AC220" s="1707" t="s">
        <v>1845</v>
      </c>
      <c r="AD220" s="1698" t="s">
        <v>1789</v>
      </c>
      <c r="AE220" s="3679"/>
      <c r="AF220" s="3680"/>
      <c r="AG220" s="3680"/>
      <c r="AH220" s="3679"/>
      <c r="AI220" s="3680"/>
      <c r="AJ220" s="3680"/>
      <c r="AK220" s="3680"/>
      <c r="AL220" s="3680"/>
      <c r="AM220" s="3680"/>
      <c r="AN220" s="3680"/>
      <c r="AO220" s="3680"/>
      <c r="AP220" s="3680"/>
      <c r="AQ220" s="3680"/>
      <c r="AR220" s="3680"/>
      <c r="AS220" s="3680"/>
      <c r="AT220" s="3680"/>
      <c r="AU220" s="3680"/>
      <c r="AV220" s="3680"/>
      <c r="AW220" s="3680"/>
      <c r="AX220" s="3680"/>
      <c r="AY220" s="3680"/>
      <c r="AZ220" s="3680"/>
      <c r="BA220" s="3680"/>
      <c r="BB220" s="3680"/>
      <c r="BC220" s="2070"/>
      <c r="BD220" s="885"/>
      <c r="BE220" s="885"/>
      <c r="BF220" s="1041" t="s">
        <v>1790</v>
      </c>
      <c r="BG220" s="1044" t="s">
        <v>1843</v>
      </c>
      <c r="BH220" s="1720" cm="1" t="str">
        <f t="array" ref="BH220:BH220">BH219</f>
        <v>0</v>
      </c>
      <c r="BI220" s="679"/>
      <c r="BJ220" s="679"/>
    </row>
    <row s="1834" customFormat="1" customHeight="1" ht="0">
      <c r="A221" s="885"/>
      <c r="B221" s="441"/>
      <c r="C221" s="885"/>
      <c r="D221" s="885"/>
      <c r="E221" s="678">
        <v>15</v>
      </c>
      <c r="F221" s="1387" cm="1" t="str">
        <f t="array" ref="F221:F221">OFFSET(E221,-1,1)</f>
        <v>2</v>
      </c>
      <c r="G221" s="885"/>
      <c r="H221" s="885"/>
      <c r="I221" s="885"/>
      <c r="J221" s="885"/>
      <c r="K221" s="911"/>
      <c r="L221" s="915"/>
      <c r="M221" s="885"/>
      <c r="N221" s="885"/>
      <c r="O221" s="885"/>
      <c r="P221" s="885"/>
      <c r="Q221" s="885"/>
      <c r="R221" s="885"/>
      <c r="S221" s="885"/>
      <c r="T221" s="1356">
        <f>F221&gt;0</f>
        <v>1</v>
      </c>
      <c r="U221" s="885"/>
      <c r="V221" s="885"/>
      <c r="W221" s="685" t="s">
        <v>1846</v>
      </c>
      <c r="X221" s="684"/>
      <c r="Y221" s="885"/>
      <c r="Z221" s="885"/>
      <c r="AA221" s="1680"/>
      <c r="AB221" s="1724"/>
      <c r="AC221" s="1731" t="s">
        <v>1792</v>
      </c>
      <c r="AD221" s="1726"/>
      <c r="AE221" s="1726"/>
      <c r="AF221" s="1726"/>
      <c r="AG221" s="1726"/>
      <c r="AH221" s="1726"/>
      <c r="AI221" s="1726"/>
      <c r="AJ221" s="1726"/>
      <c r="AK221" s="1726"/>
      <c r="AL221" s="1726"/>
      <c r="AM221" s="1726"/>
      <c r="AN221" s="1726"/>
      <c r="AO221" s="1726"/>
      <c r="AP221" s="1726"/>
      <c r="AQ221" s="1726"/>
      <c r="AR221" s="1726"/>
      <c r="AS221" s="1726"/>
      <c r="AT221" s="1726"/>
      <c r="AU221" s="1726"/>
      <c r="AV221" s="1726"/>
      <c r="AW221" s="1726"/>
      <c r="AX221" s="1726"/>
      <c r="AY221" s="1726"/>
      <c r="AZ221" s="1726"/>
      <c r="BA221" s="1726"/>
      <c r="BB221" s="1726"/>
      <c r="BC221" s="1732"/>
      <c r="BD221" s="885"/>
      <c r="BE221" s="885"/>
      <c r="BF221" s="1044"/>
      <c r="BG221" s="1044"/>
      <c r="BH221" s="1044"/>
      <c r="BI221" s="679" t="s">
        <v>1843</v>
      </c>
      <c r="BJ221" s="679"/>
    </row>
    <row s="153" customFormat="1" customHeight="1" ht="0">
      <c r="A222" s="153"/>
      <c r="B222" s="441"/>
      <c r="C222" s="153"/>
      <c r="D222" s="153"/>
      <c r="E222" s="679">
        <v>15</v>
      </c>
      <c r="F222" s="50" cm="1" t="str">
        <f t="array" ref="F222:F222">OFFSET(E222,-1,1)</f>
        <v>2</v>
      </c>
      <c r="G222" s="152" t="s">
        <v>1275</v>
      </c>
      <c r="H222" s="153"/>
      <c r="I222" s="153"/>
      <c r="J222" s="153"/>
      <c r="K222" s="911" t="str">
        <f>F164&amp;"8komm"</f>
        <v>28komm</v>
      </c>
      <c r="L222" s="915" cm="1" t="str">
        <f t="array" ref="L222:L222">BC222</f>
        <v>0</v>
      </c>
      <c r="M222" s="153"/>
      <c r="N222" s="153"/>
      <c r="O222" s="153"/>
      <c r="P222" s="153"/>
      <c r="Q222" s="153"/>
      <c r="R222" s="153"/>
      <c r="S222" s="153"/>
      <c r="T222" s="465" cm="1" t="str">
        <f t="array" ref="T222:T222">T215</f>
        <v>true</v>
      </c>
      <c r="U222" s="153"/>
      <c r="V222" s="153"/>
      <c r="W222" s="153"/>
      <c r="X222" s="1524"/>
      <c r="Y222" s="153"/>
      <c r="Z222" s="1615"/>
      <c r="AA222" s="153"/>
      <c r="AB222" s="211">
        <v>8</v>
      </c>
      <c r="AC222" s="212" t="s">
        <v>1847</v>
      </c>
      <c r="AD222" s="211" t="s">
        <v>1514</v>
      </c>
      <c r="AE222" s="3657">
        <f>SUMIF($AD225:$AD228,$AD222,AE225:AE228)</f>
        <v>0</v>
      </c>
      <c r="AF222" s="3657">
        <f>SUMIF($AD225:$AD228,$AD222,AF225:AF228)</f>
        <v>0</v>
      </c>
      <c r="AG222" s="3657">
        <f>SUMIF($AD225:$AD228,$AD222,AG225:AG228)</f>
        <v>0</v>
      </c>
      <c r="AH222" s="3657">
        <f>SUMIF($AD225:$AD228,$AD222,AH225:AH228)</f>
        <v>0</v>
      </c>
      <c r="AI222" s="3657">
        <f>SUMIF($AD225:$AD228,$AD222,AI225:AI228)</f>
        <v>0</v>
      </c>
      <c r="AJ222" s="225">
        <f>SUMIF($AD225:$AD228,$AD222,AJ225:AJ228)</f>
        <v>0</v>
      </c>
      <c r="AK222" s="225">
        <f>SUMIF($AD225:$AD228,$AD222,AK225:AK228)</f>
        <v>0</v>
      </c>
      <c r="AL222" s="225">
        <f>SUMIF($AD225:$AD228,$AD222,AL225:AL228)</f>
        <v>0</v>
      </c>
      <c r="AM222" s="225">
        <f>SUMIF($AD225:$AD228,$AD222,AM225:AM228)</f>
        <v>0</v>
      </c>
      <c r="AN222" s="3658">
        <f>SUMIF($AD225:$AD228,$AD222,AN225:AN228)</f>
        <v>0</v>
      </c>
      <c r="AO222" s="3658">
        <f>SUMIF($AD225:$AD228,$AD222,AO225:AO228)</f>
        <v>0</v>
      </c>
      <c r="AP222" s="3658">
        <f>SUMIF($AD225:$AD228,$AD222,AP225:AP228)</f>
        <v>0</v>
      </c>
      <c r="AQ222" s="3658">
        <f>SUMIF($AD225:$AD228,$AD222,AQ225:AQ228)</f>
        <v>0</v>
      </c>
      <c r="AR222" s="3658">
        <f>SUMIF($AD225:$AD228,$AD222,AR225:AR228)</f>
        <v>0</v>
      </c>
      <c r="AS222" s="3657">
        <f>SUMIF($AD225:$AD228,$AD222,AS225:AS228)</f>
        <v>0</v>
      </c>
      <c r="AT222" s="225">
        <f>SUMIF($AD225:$AD228,$AD222,AT225:AT228)</f>
        <v>0</v>
      </c>
      <c r="AU222" s="225">
        <f>SUMIF($AD225:$AD228,$AD222,AU225:AU228)</f>
        <v>0</v>
      </c>
      <c r="AV222" s="225">
        <f>SUMIF($AD225:$AD228,$AD222,AV225:AV228)</f>
        <v>0</v>
      </c>
      <c r="AW222" s="225">
        <f>SUMIF($AD225:$AD228,$AD222,AW225:AW228)</f>
        <v>0</v>
      </c>
      <c r="AX222" s="3658">
        <f>SUMIF($AD225:$AD228,$AD222,AX225:AX228)</f>
        <v>0</v>
      </c>
      <c r="AY222" s="3658">
        <f>SUMIF($AD225:$AD228,$AD222,AY225:AY228)</f>
        <v>0</v>
      </c>
      <c r="AZ222" s="3658">
        <f>SUMIF($AD225:$AD228,$AD222,AZ225:AZ228)</f>
        <v>0</v>
      </c>
      <c r="BA222" s="3658">
        <f>SUMIF($AD225:$AD228,$AD222,BA225:BA228)</f>
        <v>0</v>
      </c>
      <c r="BB222" s="3658">
        <f>SUMIF($AD225:$AD228,$AD222,BB225:BB228)</f>
        <v>0</v>
      </c>
      <c r="BC222" s="200"/>
      <c r="BD222" s="153"/>
      <c r="BE222" s="153"/>
      <c r="BF222" s="1044" t="s">
        <v>1848</v>
      </c>
      <c r="BG222" s="1044"/>
      <c r="BH222" s="1044"/>
      <c r="BI222" s="679"/>
      <c r="BJ222" s="679"/>
    </row>
    <row s="1834" customFormat="1" customHeight="1" ht="0" hidden="1">
      <c r="A223" s="885"/>
      <c r="B223" s="441"/>
      <c r="C223" s="885"/>
      <c r="D223" s="885"/>
      <c r="E223" s="678">
        <v>15</v>
      </c>
      <c r="F223" s="1387" cm="1" t="str">
        <f t="array" ref="F223:F223">OFFSET(E223,-1,1)</f>
        <v>2</v>
      </c>
      <c r="G223" s="885"/>
      <c r="H223" s="885"/>
      <c r="I223" s="885"/>
      <c r="J223" s="885"/>
      <c r="K223" s="911"/>
      <c r="L223" s="915"/>
      <c r="M223" s="885"/>
      <c r="N223" s="885"/>
      <c r="O223" s="885"/>
      <c r="P223" s="885"/>
      <c r="Q223" s="885"/>
      <c r="R223" s="885"/>
      <c r="S223" s="885"/>
      <c r="T223" s="1356" t="b">
        <v>0</v>
      </c>
      <c r="U223" s="885"/>
      <c r="V223" s="885"/>
      <c r="W223" s="885" t="s">
        <v>174</v>
      </c>
      <c r="X223" s="684"/>
      <c r="Y223" s="1524">
        <v>0</v>
      </c>
      <c r="Z223" s="885"/>
      <c r="AA223" s="1714" t="s">
        <v>175</v>
      </c>
      <c r="AB223" s="1700"/>
      <c r="AC223" s="1522"/>
      <c r="AD223" s="1715"/>
      <c r="AE223" s="1716">
        <f>OR(AND(AE225&lt;&gt;"",AE226=""),AND(AE225="",AE226&lt;&gt;""))</f>
        <v>0</v>
      </c>
      <c r="AF223" s="1716">
        <f>OR(AND(AF225&lt;&gt;"",AF226=""),AND(AF225="",AF226&lt;&gt;""))</f>
        <v>0</v>
      </c>
      <c r="AG223" s="1716">
        <f>OR(AND(AG225&lt;&gt;"",AG226=""),AND(AG225="",AG226&lt;&gt;""))</f>
        <v>0</v>
      </c>
      <c r="AH223" s="1716">
        <f>OR(AND(AH225&lt;&gt;"",AH226=""),AND(AH225="",AH226&lt;&gt;""))</f>
        <v>0</v>
      </c>
      <c r="AI223" s="1716">
        <f>OR(AND(AI225&lt;&gt;"",AI226=""),AND(AI225="",AI226&lt;&gt;""))</f>
        <v>0</v>
      </c>
      <c r="AJ223" s="1716">
        <f>OR(AND(AJ225&lt;&gt;"",AJ226=""),AND(AJ225="",AJ226&lt;&gt;""))</f>
        <v>0</v>
      </c>
      <c r="AK223" s="1716">
        <f>OR(AND(AK225&lt;&gt;"",AK226=""),AND(AK225="",AK226&lt;&gt;""))</f>
        <v>0</v>
      </c>
      <c r="AL223" s="1716">
        <f>OR(AND(AL225&lt;&gt;"",AL226=""),AND(AL225="",AL226&lt;&gt;""))</f>
        <v>0</v>
      </c>
      <c r="AM223" s="1716">
        <f>OR(AND(AM225&lt;&gt;"",AM226=""),AND(AM225="",AM226&lt;&gt;""))</f>
        <v>0</v>
      </c>
      <c r="AN223" s="1716">
        <f>OR(AND(AN225&lt;&gt;"",AN226=""),AND(AN225="",AN226&lt;&gt;""))</f>
        <v>0</v>
      </c>
      <c r="AO223" s="1716">
        <f>OR(AND(AO225&lt;&gt;"",AO226=""),AND(AO225="",AO226&lt;&gt;""))</f>
        <v>0</v>
      </c>
      <c r="AP223" s="1716">
        <f>OR(AND(AP225&lt;&gt;"",AP226=""),AND(AP225="",AP226&lt;&gt;""))</f>
        <v>0</v>
      </c>
      <c r="AQ223" s="1716">
        <f>OR(AND(AQ225&lt;&gt;"",AQ226=""),AND(AQ225="",AQ226&lt;&gt;""))</f>
        <v>0</v>
      </c>
      <c r="AR223" s="1716">
        <f>OR(AND(AR225&lt;&gt;"",AR226=""),AND(AR225="",AR226&lt;&gt;""))</f>
        <v>0</v>
      </c>
      <c r="AS223" s="1716">
        <f>OR(AND(AS225&lt;&gt;"",AS226=""),AND(AS225="",AS226&lt;&gt;""))</f>
        <v>0</v>
      </c>
      <c r="AT223" s="1716">
        <f>OR(AND(AT225&lt;&gt;"",AT226=""),AND(AT225="",AT226&lt;&gt;""))</f>
        <v>0</v>
      </c>
      <c r="AU223" s="1716">
        <f>OR(AND(AU225&lt;&gt;"",AU226=""),AND(AU225="",AU226&lt;&gt;""))</f>
        <v>0</v>
      </c>
      <c r="AV223" s="1716">
        <f>OR(AND(AV225&lt;&gt;"",AV226=""),AND(AV225="",AV226&lt;&gt;""))</f>
        <v>0</v>
      </c>
      <c r="AW223" s="1716">
        <f>OR(AND(AW225&lt;&gt;"",AW226=""),AND(AW225="",AW226&lt;&gt;""))</f>
        <v>0</v>
      </c>
      <c r="AX223" s="1716">
        <f>OR(AND(AX225&lt;&gt;"",AX226=""),AND(AX225="",AX226&lt;&gt;""))</f>
        <v>0</v>
      </c>
      <c r="AY223" s="1716">
        <f>OR(AND(AY225&lt;&gt;"",AY226=""),AND(AY225="",AY226&lt;&gt;""))</f>
        <v>0</v>
      </c>
      <c r="AZ223" s="1716">
        <f>OR(AND(AZ225&lt;&gt;"",AZ226=""),AND(AZ225="",AZ226&lt;&gt;""))</f>
        <v>0</v>
      </c>
      <c r="BA223" s="1716">
        <f>OR(AND(BA225&lt;&gt;"",BA226=""),AND(BA225="",BA226&lt;&gt;""))</f>
        <v>0</v>
      </c>
      <c r="BB223" s="1733">
        <f>OR(AND(BB225&lt;&gt;"",BB226=""),AND(BB225="",BB226&lt;&gt;""))</f>
        <v>0</v>
      </c>
      <c r="BC223" s="1734"/>
      <c r="BD223" s="885"/>
      <c r="BE223" s="885"/>
      <c r="BF223" s="1044"/>
      <c r="BG223" s="1044"/>
      <c r="BH223" s="1044"/>
      <c r="BI223" s="679"/>
      <c r="BJ223" s="679"/>
    </row>
    <row s="1834" customFormat="1" customHeight="1" ht="0" hidden="1">
      <c r="A224" s="885"/>
      <c r="B224" s="441"/>
      <c r="C224" s="885"/>
      <c r="D224" s="885"/>
      <c r="E224" s="678">
        <v>15</v>
      </c>
      <c r="F224" s="1387" cm="1" t="str">
        <f t="array" ref="F224:F224">OFFSET(E224,-1,1)</f>
        <v>2</v>
      </c>
      <c r="G224" s="885"/>
      <c r="H224" s="885"/>
      <c r="I224" s="885"/>
      <c r="J224" s="885"/>
      <c r="K224" s="911"/>
      <c r="L224" s="915"/>
      <c r="M224" s="885"/>
      <c r="N224" s="885"/>
      <c r="O224" s="885"/>
      <c r="P224" s="885"/>
      <c r="Q224" s="885"/>
      <c r="R224" s="885"/>
      <c r="S224" s="885"/>
      <c r="T224" s="1356">
        <f>AND(F224&gt;0,Y223&gt;0)</f>
        <v>0</v>
      </c>
      <c r="U224" s="885"/>
      <c r="V224" s="885"/>
      <c r="W224" s="885"/>
      <c r="X224" s="684"/>
      <c r="Y224" s="1524"/>
      <c r="Z224" s="885"/>
      <c r="AA224" s="1714"/>
      <c r="AB224" s="1698" t="str">
        <f>"8."&amp;Y223</f>
        <v>8.0</v>
      </c>
      <c r="AC224" s="1717"/>
      <c r="AD224" s="1715"/>
      <c r="AE224" s="885"/>
      <c r="AF224" s="885"/>
      <c r="AG224" s="885"/>
      <c r="AH224" s="885"/>
      <c r="AI224" s="885"/>
      <c r="AJ224" s="885"/>
      <c r="AK224" s="885"/>
      <c r="AL224" s="885"/>
      <c r="AM224" s="885"/>
      <c r="AN224" s="885"/>
      <c r="AO224" s="885"/>
      <c r="AP224" s="885"/>
      <c r="AQ224" s="885"/>
      <c r="AR224" s="885"/>
      <c r="AS224" s="885"/>
      <c r="AT224" s="885"/>
      <c r="AU224" s="885"/>
      <c r="AV224" s="885"/>
      <c r="AW224" s="885"/>
      <c r="AX224" s="885"/>
      <c r="AY224" s="885"/>
      <c r="AZ224" s="885"/>
      <c r="BA224" s="885"/>
      <c r="BB224" s="885"/>
      <c r="BC224" s="885"/>
      <c r="BD224" s="885"/>
      <c r="BE224" s="885"/>
      <c r="BF224" s="1044"/>
      <c r="BG224" s="1044"/>
      <c r="BH224" s="1044"/>
      <c r="BI224" s="679"/>
      <c r="BJ224" s="679"/>
    </row>
    <row s="1834" customFormat="1" customHeight="1" ht="0" hidden="1">
      <c r="A225" s="885"/>
      <c r="B225" s="441"/>
      <c r="C225" s="885"/>
      <c r="D225" s="885"/>
      <c r="E225" s="678">
        <v>15</v>
      </c>
      <c r="F225" s="1387" cm="1" t="str">
        <f t="array" ref="F225:F225">OFFSET(E225,-1,1)</f>
        <v>2</v>
      </c>
      <c r="G225" s="885"/>
      <c r="H225" s="885"/>
      <c r="I225" s="885"/>
      <c r="J225" s="885"/>
      <c r="K225" s="911"/>
      <c r="L225" s="915"/>
      <c r="M225" s="885"/>
      <c r="N225" s="885"/>
      <c r="O225" s="885"/>
      <c r="P225" s="885"/>
      <c r="Q225" s="885"/>
      <c r="R225" s="885"/>
      <c r="S225" s="885"/>
      <c r="T225" s="1356" cm="1" t="str">
        <f t="array" ref="T225:T225">T224</f>
        <v>false</v>
      </c>
      <c r="U225" s="885"/>
      <c r="V225" s="885"/>
      <c r="W225" s="885"/>
      <c r="X225" s="684"/>
      <c r="Y225" s="1524"/>
      <c r="Z225" s="885"/>
      <c r="AA225" s="1714"/>
      <c r="AB225" s="1698" t="str">
        <f>AB224&amp;".1"</f>
        <v>8.0.1</v>
      </c>
      <c r="AC225" s="1728" t="s">
        <v>1783</v>
      </c>
      <c r="AD225" s="1700" t="s">
        <v>1514</v>
      </c>
      <c r="AE225" s="3679"/>
      <c r="AF225" s="3680"/>
      <c r="AG225" s="3679"/>
      <c r="AH225" s="3679"/>
      <c r="AI225" s="3680"/>
      <c r="AJ225" s="3680"/>
      <c r="AK225" s="3680"/>
      <c r="AL225" s="3680"/>
      <c r="AM225" s="3680"/>
      <c r="AN225" s="3680"/>
      <c r="AO225" s="3680"/>
      <c r="AP225" s="3680"/>
      <c r="AQ225" s="3680"/>
      <c r="AR225" s="3680"/>
      <c r="AS225" s="3679"/>
      <c r="AT225" s="3679"/>
      <c r="AU225" s="3679"/>
      <c r="AV225" s="3679"/>
      <c r="AW225" s="3679"/>
      <c r="AX225" s="3679"/>
      <c r="AY225" s="3679"/>
      <c r="AZ225" s="3679"/>
      <c r="BA225" s="3679"/>
      <c r="BB225" s="3679"/>
      <c r="BC225" s="3685"/>
      <c r="BD225" s="885"/>
      <c r="BE225" s="885"/>
      <c r="BF225" s="1041" t="s">
        <v>1784</v>
      </c>
      <c r="BG225" s="1044" t="s">
        <v>1849</v>
      </c>
      <c r="BH225" s="1720" cm="1" t="str">
        <f t="array" ref="BH225:BH225">AC224</f>
        <v>0</v>
      </c>
      <c r="BI225" s="679"/>
      <c r="BJ225" s="679" t="b">
        <v>1</v>
      </c>
    </row>
    <row s="1834" customFormat="1" customHeight="1" ht="0" hidden="1">
      <c r="A226" s="885"/>
      <c r="B226" s="441"/>
      <c r="C226" s="885"/>
      <c r="D226" s="885"/>
      <c r="E226" s="678">
        <v>15</v>
      </c>
      <c r="F226" s="1387" cm="1" t="str">
        <f t="array" ref="F226:F226">OFFSET(E226,-1,1)</f>
        <v>2</v>
      </c>
      <c r="G226" s="885"/>
      <c r="H226" s="885"/>
      <c r="I226" s="885"/>
      <c r="J226" s="885"/>
      <c r="K226" s="911"/>
      <c r="L226" s="915"/>
      <c r="M226" s="885"/>
      <c r="N226" s="885"/>
      <c r="O226" s="885"/>
      <c r="P226" s="885"/>
      <c r="Q226" s="885"/>
      <c r="R226" s="885"/>
      <c r="S226" s="885"/>
      <c r="T226" s="1356" cm="1" t="str">
        <f t="array" ref="T226:T226">T225</f>
        <v>false</v>
      </c>
      <c r="U226" s="885"/>
      <c r="V226" s="885"/>
      <c r="W226" s="885"/>
      <c r="X226" s="684"/>
      <c r="Y226" s="1524"/>
      <c r="Z226" s="885"/>
      <c r="AA226" s="1714"/>
      <c r="AB226" s="1698" t="str">
        <f>AB225&amp;".1"</f>
        <v>8.0.1.1</v>
      </c>
      <c r="AC226" s="1707" t="s">
        <v>1850</v>
      </c>
      <c r="AD226" s="1698" t="s">
        <v>1247</v>
      </c>
      <c r="AE226" s="3679"/>
      <c r="AF226" s="3680"/>
      <c r="AG226" s="3679"/>
      <c r="AH226" s="3679"/>
      <c r="AI226" s="3680"/>
      <c r="AJ226" s="3680"/>
      <c r="AK226" s="3680"/>
      <c r="AL226" s="3680"/>
      <c r="AM226" s="3680"/>
      <c r="AN226" s="3680"/>
      <c r="AO226" s="3680"/>
      <c r="AP226" s="3680"/>
      <c r="AQ226" s="3680"/>
      <c r="AR226" s="3680"/>
      <c r="AS226" s="3679"/>
      <c r="AT226" s="3679"/>
      <c r="AU226" s="3679"/>
      <c r="AV226" s="3679"/>
      <c r="AW226" s="3679"/>
      <c r="AX226" s="3679"/>
      <c r="AY226" s="3679"/>
      <c r="AZ226" s="3679"/>
      <c r="BA226" s="3679"/>
      <c r="BB226" s="3679"/>
      <c r="BC226" s="3685"/>
      <c r="BD226" s="885"/>
      <c r="BE226" s="885"/>
      <c r="BF226" s="1041" t="s">
        <v>1787</v>
      </c>
      <c r="BG226" s="1044" t="s">
        <v>1849</v>
      </c>
      <c r="BH226" s="1720" cm="1" t="str">
        <f t="array" ref="BH226:BH226">BH225</f>
        <v>0</v>
      </c>
      <c r="BI226" s="679"/>
      <c r="BJ226" s="679"/>
    </row>
    <row s="1834" customFormat="1" customHeight="1" ht="0" hidden="1">
      <c r="A227" s="885"/>
      <c r="B227" s="441"/>
      <c r="C227" s="885"/>
      <c r="D227" s="885"/>
      <c r="E227" s="678">
        <v>15</v>
      </c>
      <c r="F227" s="1387" cm="1" t="str">
        <f t="array" ref="F227:F227">OFFSET(E227,-1,1)</f>
        <v>2</v>
      </c>
      <c r="G227" s="885"/>
      <c r="H227" s="885"/>
      <c r="I227" s="885"/>
      <c r="J227" s="885"/>
      <c r="K227" s="911"/>
      <c r="L227" s="915"/>
      <c r="M227" s="885"/>
      <c r="N227" s="885"/>
      <c r="O227" s="885"/>
      <c r="P227" s="885"/>
      <c r="Q227" s="885"/>
      <c r="R227" s="885"/>
      <c r="S227" s="885"/>
      <c r="T227" s="1356" cm="1" t="str">
        <f t="array" ref="T227:T227">T226</f>
        <v>false</v>
      </c>
      <c r="U227" s="885"/>
      <c r="V227" s="885"/>
      <c r="W227" s="885"/>
      <c r="X227" s="684"/>
      <c r="Y227" s="1524"/>
      <c r="Z227" s="885"/>
      <c r="AA227" s="1714"/>
      <c r="AB227" s="1698" t="str">
        <f>AB225&amp;".2"</f>
        <v>8.0.1.2</v>
      </c>
      <c r="AC227" s="1707" t="s">
        <v>1851</v>
      </c>
      <c r="AD227" s="1698" t="s">
        <v>1789</v>
      </c>
      <c r="AE227" s="3679"/>
      <c r="AF227" s="3680"/>
      <c r="AG227" s="3680"/>
      <c r="AH227" s="3679"/>
      <c r="AI227" s="3680"/>
      <c r="AJ227" s="3680"/>
      <c r="AK227" s="3680"/>
      <c r="AL227" s="3680"/>
      <c r="AM227" s="3680"/>
      <c r="AN227" s="3680"/>
      <c r="AO227" s="3680"/>
      <c r="AP227" s="3680"/>
      <c r="AQ227" s="3680"/>
      <c r="AR227" s="3680"/>
      <c r="AS227" s="3680"/>
      <c r="AT227" s="3680"/>
      <c r="AU227" s="3680"/>
      <c r="AV227" s="3680"/>
      <c r="AW227" s="3680"/>
      <c r="AX227" s="3680"/>
      <c r="AY227" s="3680"/>
      <c r="AZ227" s="3680"/>
      <c r="BA227" s="3680"/>
      <c r="BB227" s="3686"/>
      <c r="BC227" s="3685"/>
      <c r="BD227" s="885"/>
      <c r="BE227" s="885"/>
      <c r="BF227" s="1041" t="s">
        <v>1790</v>
      </c>
      <c r="BG227" s="1044" t="s">
        <v>1849</v>
      </c>
      <c r="BH227" s="1720" cm="1" t="str">
        <f t="array" ref="BH227:BH227">BH226</f>
        <v>0</v>
      </c>
      <c r="BI227" s="679"/>
      <c r="BJ227" s="679"/>
    </row>
    <row s="1834" customFormat="1" customHeight="1" ht="0">
      <c r="A228" s="885"/>
      <c r="B228" s="441"/>
      <c r="C228" s="885"/>
      <c r="D228" s="885"/>
      <c r="E228" s="678">
        <v>15</v>
      </c>
      <c r="F228" s="1387" cm="1" t="str">
        <f t="array" ref="F228:F228">OFFSET(E228,-1,1)</f>
        <v>2</v>
      </c>
      <c r="G228" s="885"/>
      <c r="H228" s="885"/>
      <c r="I228" s="885"/>
      <c r="J228" s="885"/>
      <c r="K228" s="911"/>
      <c r="L228" s="915"/>
      <c r="M228" s="885"/>
      <c r="N228" s="885"/>
      <c r="O228" s="885"/>
      <c r="P228" s="885"/>
      <c r="Q228" s="885"/>
      <c r="R228" s="885"/>
      <c r="S228" s="885"/>
      <c r="T228" s="1356">
        <f>F228&gt;0</f>
        <v>1</v>
      </c>
      <c r="U228" s="885"/>
      <c r="V228" s="885"/>
      <c r="W228" s="685" t="s">
        <v>1852</v>
      </c>
      <c r="X228" s="684"/>
      <c r="Y228" s="885"/>
      <c r="Z228" s="885"/>
      <c r="AA228" s="885"/>
      <c r="AB228" s="1724"/>
      <c r="AC228" s="1737" t="s">
        <v>1792</v>
      </c>
      <c r="AD228" s="1726"/>
      <c r="AE228" s="1726"/>
      <c r="AF228" s="1726"/>
      <c r="AG228" s="1726"/>
      <c r="AH228" s="1726"/>
      <c r="AI228" s="1726"/>
      <c r="AJ228" s="1726"/>
      <c r="AK228" s="1726"/>
      <c r="AL228" s="1726"/>
      <c r="AM228" s="1726"/>
      <c r="AN228" s="1726"/>
      <c r="AO228" s="1726"/>
      <c r="AP228" s="1726"/>
      <c r="AQ228" s="1726"/>
      <c r="AR228" s="1726"/>
      <c r="AS228" s="1726"/>
      <c r="AT228" s="1726"/>
      <c r="AU228" s="1726"/>
      <c r="AV228" s="1726"/>
      <c r="AW228" s="1726"/>
      <c r="AX228" s="1726"/>
      <c r="AY228" s="1726"/>
      <c r="AZ228" s="1726"/>
      <c r="BA228" s="1726"/>
      <c r="BB228" s="1726"/>
      <c r="BC228" s="1732"/>
      <c r="BD228" s="885"/>
      <c r="BE228" s="885"/>
      <c r="BF228" s="1044"/>
      <c r="BG228" s="1044"/>
      <c r="BH228" s="1044"/>
      <c r="BI228" s="679" t="s">
        <v>1849</v>
      </c>
      <c r="BJ228" s="679"/>
    </row>
    <row s="153" customFormat="1" customHeight="1" ht="0">
      <c r="A229" s="153"/>
      <c r="B229" s="441"/>
      <c r="C229" s="153"/>
      <c r="D229" s="153"/>
      <c r="E229" s="679">
        <v>15</v>
      </c>
      <c r="F229" s="50" cm="1" t="str">
        <f t="array" ref="F229:F229">OFFSET(E229,-1,1)</f>
        <v>2</v>
      </c>
      <c r="G229" s="152"/>
      <c r="H229" s="153"/>
      <c r="I229" s="153"/>
      <c r="J229" s="153"/>
      <c r="K229" s="911" t="str">
        <f>F164&amp;"9komm"</f>
        <v>29komm</v>
      </c>
      <c r="L229" s="915" cm="1" t="str">
        <f t="array" ref="L229:L229">BC229</f>
        <v>0</v>
      </c>
      <c r="M229" s="153"/>
      <c r="N229" s="153"/>
      <c r="O229" s="153"/>
      <c r="P229" s="153"/>
      <c r="Q229" s="153"/>
      <c r="R229" s="153"/>
      <c r="S229" s="153"/>
      <c r="T229" s="465" cm="1" t="str">
        <f t="array" ref="T229:T229">T222</f>
        <v>true</v>
      </c>
      <c r="U229" s="153"/>
      <c r="V229" s="153"/>
      <c r="W229" s="153"/>
      <c r="X229" s="1524"/>
      <c r="Y229" s="153"/>
      <c r="Z229" s="1615"/>
      <c r="AA229" s="153"/>
      <c r="AB229" s="211">
        <v>9</v>
      </c>
      <c r="AC229" s="212" t="s">
        <v>1853</v>
      </c>
      <c r="AD229" s="211" t="s">
        <v>1514</v>
      </c>
      <c r="AE229" s="3657">
        <f>SUMIF($AD232:$AD235,$AD229,AE232:AE235)</f>
        <v>0</v>
      </c>
      <c r="AF229" s="3657">
        <f>SUMIF($AD232:$AD235,$AD229,AF232:AF235)</f>
        <v>0</v>
      </c>
      <c r="AG229" s="3657">
        <f>SUMIF($AD232:$AD235,$AD229,AG232:AG235)</f>
        <v>0</v>
      </c>
      <c r="AH229" s="3657">
        <f>SUMIF($AD232:$AD235,$AD229,AH232:AH235)</f>
        <v>0</v>
      </c>
      <c r="AI229" s="3657">
        <f>SUMIF($AD232:$AD235,$AD229,AI232:AI235)</f>
        <v>0</v>
      </c>
      <c r="AJ229" s="225">
        <f>SUMIF($AD232:$AD235,$AD229,AJ232:AJ235)</f>
        <v>0</v>
      </c>
      <c r="AK229" s="225">
        <f>SUMIF($AD232:$AD235,$AD229,AK232:AK235)</f>
        <v>0</v>
      </c>
      <c r="AL229" s="225">
        <f>SUMIF($AD232:$AD235,$AD229,AL232:AL235)</f>
        <v>0</v>
      </c>
      <c r="AM229" s="225">
        <f>SUMIF($AD232:$AD235,$AD229,AM232:AM235)</f>
        <v>0</v>
      </c>
      <c r="AN229" s="3658">
        <f>SUMIF($AD232:$AD235,$AD229,AN232:AN235)</f>
        <v>0</v>
      </c>
      <c r="AO229" s="3658">
        <f>SUMIF($AD232:$AD235,$AD229,AO232:AO235)</f>
        <v>0</v>
      </c>
      <c r="AP229" s="3658">
        <f>SUMIF($AD232:$AD235,$AD229,AP232:AP235)</f>
        <v>0</v>
      </c>
      <c r="AQ229" s="3658">
        <f>SUMIF($AD232:$AD235,$AD229,AQ232:AQ235)</f>
        <v>0</v>
      </c>
      <c r="AR229" s="3658">
        <f>SUMIF($AD232:$AD235,$AD229,AR232:AR235)</f>
        <v>0</v>
      </c>
      <c r="AS229" s="3657">
        <f>SUMIF($AD232:$AD235,$AD229,AS232:AS235)</f>
        <v>0</v>
      </c>
      <c r="AT229" s="225">
        <f>SUMIF($AD232:$AD235,$AD229,AT232:AT235)</f>
        <v>0</v>
      </c>
      <c r="AU229" s="225">
        <f>SUMIF($AD232:$AD235,$AD229,AU232:AU235)</f>
        <v>0</v>
      </c>
      <c r="AV229" s="225">
        <f>SUMIF($AD232:$AD235,$AD229,AV232:AV235)</f>
        <v>0</v>
      </c>
      <c r="AW229" s="225">
        <f>SUMIF($AD232:$AD235,$AD229,AW232:AW235)</f>
        <v>0</v>
      </c>
      <c r="AX229" s="3658">
        <f>SUMIF($AD232:$AD235,$AD229,AX232:AX235)</f>
        <v>0</v>
      </c>
      <c r="AY229" s="3658">
        <f>SUMIF($AD232:$AD235,$AD229,AY232:AY235)</f>
        <v>0</v>
      </c>
      <c r="AZ229" s="3658">
        <f>SUMIF($AD232:$AD235,$AD229,AZ232:AZ235)</f>
        <v>0</v>
      </c>
      <c r="BA229" s="3658">
        <f>SUMIF($AD232:$AD235,$AD229,BA232:BA235)</f>
        <v>0</v>
      </c>
      <c r="BB229" s="3658">
        <f>SUMIF($AD232:$AD235,$AD229,BB232:BB235)</f>
        <v>0</v>
      </c>
      <c r="BC229" s="200"/>
      <c r="BD229" s="153"/>
      <c r="BE229" s="153"/>
      <c r="BF229" s="1044" t="s">
        <v>1854</v>
      </c>
      <c r="BG229" s="1044"/>
      <c r="BH229" s="1044"/>
      <c r="BI229" s="679"/>
      <c r="BJ229" s="679"/>
    </row>
    <row s="1834" customFormat="1" customHeight="1" ht="0" hidden="1">
      <c r="A230" s="885"/>
      <c r="B230" s="441"/>
      <c r="C230" s="885"/>
      <c r="D230" s="885"/>
      <c r="E230" s="678">
        <v>15</v>
      </c>
      <c r="F230" s="1387" cm="1" t="str">
        <f t="array" ref="F230:F230">OFFSET(E230,-1,1)</f>
        <v>2</v>
      </c>
      <c r="G230" s="885"/>
      <c r="H230" s="885"/>
      <c r="I230" s="885"/>
      <c r="J230" s="885"/>
      <c r="K230" s="911"/>
      <c r="L230" s="915"/>
      <c r="M230" s="885"/>
      <c r="N230" s="885"/>
      <c r="O230" s="885"/>
      <c r="P230" s="885"/>
      <c r="Q230" s="885"/>
      <c r="R230" s="885"/>
      <c r="S230" s="885"/>
      <c r="T230" s="1356" t="b">
        <v>0</v>
      </c>
      <c r="U230" s="885"/>
      <c r="V230" s="885"/>
      <c r="W230" s="885" t="s">
        <v>174</v>
      </c>
      <c r="X230" s="684"/>
      <c r="Y230" s="1524">
        <v>0</v>
      </c>
      <c r="Z230" s="885"/>
      <c r="AA230" s="1714" t="s">
        <v>175</v>
      </c>
      <c r="AB230" s="1700"/>
      <c r="AC230" s="1738"/>
      <c r="AD230" s="1715"/>
      <c r="AE230" s="1716">
        <f>OR(AND(AE232&lt;&gt;"",AE233=""),AND(AE232="",AE233&lt;&gt;""))</f>
        <v>0</v>
      </c>
      <c r="AF230" s="1716">
        <f>OR(AND(AF232&lt;&gt;"",AF233=""),AND(AF232="",AF233&lt;&gt;""))</f>
        <v>0</v>
      </c>
      <c r="AG230" s="1716">
        <f>OR(AND(AG232&lt;&gt;"",AG233=""),AND(AG232="",AG233&lt;&gt;""))</f>
        <v>0</v>
      </c>
      <c r="AH230" s="1716">
        <f>OR(AND(AH232&lt;&gt;"",AH233=""),AND(AH232="",AH233&lt;&gt;""))</f>
        <v>0</v>
      </c>
      <c r="AI230" s="1716">
        <f>OR(AND(AI232&lt;&gt;"",AI233=""),AND(AI232="",AI233&lt;&gt;""))</f>
        <v>0</v>
      </c>
      <c r="AJ230" s="1716">
        <f>OR(AND(AJ232&lt;&gt;"",AJ233=""),AND(AJ232="",AJ233&lt;&gt;""))</f>
        <v>0</v>
      </c>
      <c r="AK230" s="1716">
        <f>OR(AND(AK232&lt;&gt;"",AK233=""),AND(AK232="",AK233&lt;&gt;""))</f>
        <v>0</v>
      </c>
      <c r="AL230" s="1716">
        <f>OR(AND(AL232&lt;&gt;"",AL233=""),AND(AL232="",AL233&lt;&gt;""))</f>
        <v>0</v>
      </c>
      <c r="AM230" s="1716">
        <f>OR(AND(AM232&lt;&gt;"",AM233=""),AND(AM232="",AM233&lt;&gt;""))</f>
        <v>0</v>
      </c>
      <c r="AN230" s="1716">
        <f>OR(AND(AN232&lt;&gt;"",AN233=""),AND(AN232="",AN233&lt;&gt;""))</f>
        <v>0</v>
      </c>
      <c r="AO230" s="1716">
        <f>OR(AND(AO232&lt;&gt;"",AO233=""),AND(AO232="",AO233&lt;&gt;""))</f>
        <v>0</v>
      </c>
      <c r="AP230" s="1716">
        <f>OR(AND(AP232&lt;&gt;"",AP233=""),AND(AP232="",AP233&lt;&gt;""))</f>
        <v>0</v>
      </c>
      <c r="AQ230" s="1716">
        <f>OR(AND(AQ232&lt;&gt;"",AQ233=""),AND(AQ232="",AQ233&lt;&gt;""))</f>
        <v>0</v>
      </c>
      <c r="AR230" s="1716">
        <f>OR(AND(AR232&lt;&gt;"",AR233=""),AND(AR232="",AR233&lt;&gt;""))</f>
        <v>0</v>
      </c>
      <c r="AS230" s="1716">
        <f>OR(AND(AS232&lt;&gt;"",AS233=""),AND(AS232="",AS233&lt;&gt;""))</f>
        <v>0</v>
      </c>
      <c r="AT230" s="1716">
        <f>OR(AND(AT232&lt;&gt;"",AT233=""),AND(AT232="",AT233&lt;&gt;""))</f>
        <v>0</v>
      </c>
      <c r="AU230" s="1716">
        <f>OR(AND(AU232&lt;&gt;"",AU233=""),AND(AU232="",AU233&lt;&gt;""))</f>
        <v>0</v>
      </c>
      <c r="AV230" s="1716">
        <f>OR(AND(AV232&lt;&gt;"",AV233=""),AND(AV232="",AV233&lt;&gt;""))</f>
        <v>0</v>
      </c>
      <c r="AW230" s="1716">
        <f>OR(AND(AW232&lt;&gt;"",AW233=""),AND(AW232="",AW233&lt;&gt;""))</f>
        <v>0</v>
      </c>
      <c r="AX230" s="1716">
        <f>OR(AND(AX232&lt;&gt;"",AX233=""),AND(AX232="",AX233&lt;&gt;""))</f>
        <v>0</v>
      </c>
      <c r="AY230" s="1716">
        <f>OR(AND(AY232&lt;&gt;"",AY233=""),AND(AY232="",AY233&lt;&gt;""))</f>
        <v>0</v>
      </c>
      <c r="AZ230" s="1716">
        <f>OR(AND(AZ232&lt;&gt;"",AZ233=""),AND(AZ232="",AZ233&lt;&gt;""))</f>
        <v>0</v>
      </c>
      <c r="BA230" s="1716">
        <f>OR(AND(BA232&lt;&gt;"",BA233=""),AND(BA232="",BA233&lt;&gt;""))</f>
        <v>0</v>
      </c>
      <c r="BB230" s="1733">
        <f>OR(AND(BB232&lt;&gt;"",BB233=""),AND(BB232="",BB233&lt;&gt;""))</f>
        <v>0</v>
      </c>
      <c r="BC230" s="1734"/>
      <c r="BD230" s="885"/>
      <c r="BE230" s="885"/>
      <c r="BF230" s="1044"/>
      <c r="BG230" s="1044"/>
      <c r="BH230" s="1044"/>
      <c r="BI230" s="679"/>
      <c r="BJ230" s="679"/>
    </row>
    <row s="1834" customFormat="1" customHeight="1" ht="0" hidden="1">
      <c r="A231" s="885"/>
      <c r="B231" s="441"/>
      <c r="C231" s="885"/>
      <c r="D231" s="885"/>
      <c r="E231" s="678">
        <v>15</v>
      </c>
      <c r="F231" s="1387" cm="1" t="str">
        <f t="array" ref="F231:F231">OFFSET(E231,-1,1)</f>
        <v>2</v>
      </c>
      <c r="G231" s="885"/>
      <c r="H231" s="885"/>
      <c r="I231" s="885"/>
      <c r="J231" s="885"/>
      <c r="K231" s="911"/>
      <c r="L231" s="915"/>
      <c r="M231" s="885"/>
      <c r="N231" s="885"/>
      <c r="O231" s="885"/>
      <c r="P231" s="885"/>
      <c r="Q231" s="885"/>
      <c r="R231" s="885"/>
      <c r="S231" s="885"/>
      <c r="T231" s="1356">
        <f>AND(F231&gt;0,Y230&gt;0)</f>
        <v>0</v>
      </c>
      <c r="U231" s="885"/>
      <c r="V231" s="885"/>
      <c r="W231" s="885"/>
      <c r="X231" s="684"/>
      <c r="Y231" s="1524"/>
      <c r="Z231" s="885"/>
      <c r="AA231" s="1714"/>
      <c r="AB231" s="1698" t="str">
        <f>"9."&amp;Y230</f>
        <v>9.0</v>
      </c>
      <c r="AC231" s="3689"/>
      <c r="AD231" s="1715"/>
      <c r="AE231" s="885"/>
      <c r="AF231" s="885"/>
      <c r="AG231" s="885"/>
      <c r="AH231" s="885"/>
      <c r="AI231" s="885"/>
      <c r="AJ231" s="885"/>
      <c r="AK231" s="885"/>
      <c r="AL231" s="885"/>
      <c r="AM231" s="885"/>
      <c r="AN231" s="885"/>
      <c r="AO231" s="885"/>
      <c r="AP231" s="885"/>
      <c r="AQ231" s="885"/>
      <c r="AR231" s="885"/>
      <c r="AS231" s="885"/>
      <c r="AT231" s="885"/>
      <c r="AU231" s="885"/>
      <c r="AV231" s="885"/>
      <c r="AW231" s="885"/>
      <c r="AX231" s="885"/>
      <c r="AY231" s="885"/>
      <c r="AZ231" s="885"/>
      <c r="BA231" s="885"/>
      <c r="BB231" s="885"/>
      <c r="BC231" s="885"/>
      <c r="BD231" s="885"/>
      <c r="BE231" s="885"/>
      <c r="BF231" s="1044"/>
      <c r="BG231" s="1044"/>
      <c r="BH231" s="1044"/>
      <c r="BI231" s="679"/>
      <c r="BJ231" s="679"/>
    </row>
    <row s="1834" customFormat="1" customHeight="1" ht="0" hidden="1">
      <c r="A232" s="885"/>
      <c r="B232" s="441"/>
      <c r="C232" s="885"/>
      <c r="D232" s="885"/>
      <c r="E232" s="678">
        <v>15</v>
      </c>
      <c r="F232" s="1387" cm="1" t="str">
        <f t="array" ref="F232:F232">OFFSET(E232,-1,1)</f>
        <v>2</v>
      </c>
      <c r="G232" s="885"/>
      <c r="H232" s="885"/>
      <c r="I232" s="885"/>
      <c r="J232" s="885"/>
      <c r="K232" s="911"/>
      <c r="L232" s="915"/>
      <c r="M232" s="885"/>
      <c r="N232" s="885"/>
      <c r="O232" s="885"/>
      <c r="P232" s="885"/>
      <c r="Q232" s="885"/>
      <c r="R232" s="885"/>
      <c r="S232" s="885"/>
      <c r="T232" s="1356" cm="1" t="str">
        <f t="array" ref="T232:T232">T231</f>
        <v>false</v>
      </c>
      <c r="U232" s="885"/>
      <c r="V232" s="885"/>
      <c r="W232" s="885"/>
      <c r="X232" s="684"/>
      <c r="Y232" s="1524"/>
      <c r="Z232" s="885"/>
      <c r="AA232" s="1714"/>
      <c r="AB232" s="1698" t="str">
        <f>AB231&amp;".1"</f>
        <v>9.0.1</v>
      </c>
      <c r="AC232" s="1728" t="s">
        <v>1783</v>
      </c>
      <c r="AD232" s="1700" t="s">
        <v>1514</v>
      </c>
      <c r="AE232" s="3679"/>
      <c r="AF232" s="3680"/>
      <c r="AG232" s="3679"/>
      <c r="AH232" s="3679"/>
      <c r="AI232" s="3680"/>
      <c r="AJ232" s="3680"/>
      <c r="AK232" s="3680"/>
      <c r="AL232" s="3680"/>
      <c r="AM232" s="3680"/>
      <c r="AN232" s="3680"/>
      <c r="AO232" s="3680"/>
      <c r="AP232" s="3680"/>
      <c r="AQ232" s="3680"/>
      <c r="AR232" s="3680"/>
      <c r="AS232" s="3679"/>
      <c r="AT232" s="3679"/>
      <c r="AU232" s="3679"/>
      <c r="AV232" s="3679"/>
      <c r="AW232" s="3679"/>
      <c r="AX232" s="3679"/>
      <c r="AY232" s="3679"/>
      <c r="AZ232" s="3679"/>
      <c r="BA232" s="3679"/>
      <c r="BB232" s="3679"/>
      <c r="BC232" s="3685"/>
      <c r="BD232" s="885"/>
      <c r="BE232" s="885"/>
      <c r="BF232" s="1041" t="s">
        <v>1784</v>
      </c>
      <c r="BG232" s="1044" t="s">
        <v>1855</v>
      </c>
      <c r="BH232" s="1720" cm="1" t="str">
        <f t="array" ref="BH232:BH232">AC231</f>
        <v>0</v>
      </c>
      <c r="BI232" s="679"/>
      <c r="BJ232" s="679" t="b">
        <v>1</v>
      </c>
    </row>
    <row s="1834" customFormat="1" customHeight="1" ht="0" hidden="1">
      <c r="A233" s="885"/>
      <c r="B233" s="441"/>
      <c r="C233" s="885"/>
      <c r="D233" s="885"/>
      <c r="E233" s="678">
        <v>15</v>
      </c>
      <c r="F233" s="1387" cm="1" t="str">
        <f t="array" ref="F233:F233">OFFSET(E233,-1,1)</f>
        <v>2</v>
      </c>
      <c r="G233" s="885"/>
      <c r="H233" s="885"/>
      <c r="I233" s="885"/>
      <c r="J233" s="885"/>
      <c r="K233" s="911"/>
      <c r="L233" s="915"/>
      <c r="M233" s="885"/>
      <c r="N233" s="885"/>
      <c r="O233" s="885"/>
      <c r="P233" s="885"/>
      <c r="Q233" s="885"/>
      <c r="R233" s="885"/>
      <c r="S233" s="885"/>
      <c r="T233" s="1356" cm="1" t="str">
        <f t="array" ref="T233:T233">T232</f>
        <v>false</v>
      </c>
      <c r="U233" s="885"/>
      <c r="V233" s="885"/>
      <c r="W233" s="885"/>
      <c r="X233" s="684"/>
      <c r="Y233" s="1524"/>
      <c r="Z233" s="885"/>
      <c r="AA233" s="1714"/>
      <c r="AB233" s="1698" t="str">
        <f>AB232&amp;".1"</f>
        <v>9.0.1.1</v>
      </c>
      <c r="AC233" s="1707" t="s">
        <v>1856</v>
      </c>
      <c r="AD233" s="1698"/>
      <c r="AE233" s="3679"/>
      <c r="AF233" s="3680"/>
      <c r="AG233" s="3679"/>
      <c r="AH233" s="3679"/>
      <c r="AI233" s="3680"/>
      <c r="AJ233" s="3680"/>
      <c r="AK233" s="3680"/>
      <c r="AL233" s="3680"/>
      <c r="AM233" s="3680"/>
      <c r="AN233" s="3680"/>
      <c r="AO233" s="3680"/>
      <c r="AP233" s="3680"/>
      <c r="AQ233" s="3680"/>
      <c r="AR233" s="3680"/>
      <c r="AS233" s="3679"/>
      <c r="AT233" s="3679"/>
      <c r="AU233" s="3679"/>
      <c r="AV233" s="3679"/>
      <c r="AW233" s="3679"/>
      <c r="AX233" s="3679"/>
      <c r="AY233" s="3679"/>
      <c r="AZ233" s="3679"/>
      <c r="BA233" s="3679"/>
      <c r="BB233" s="3679"/>
      <c r="BC233" s="3685"/>
      <c r="BD233" s="885"/>
      <c r="BE233" s="885"/>
      <c r="BF233" s="1041" t="s">
        <v>1787</v>
      </c>
      <c r="BG233" s="1044" t="s">
        <v>1855</v>
      </c>
      <c r="BH233" s="1720" cm="1" t="str">
        <f t="array" ref="BH233:BH233">BH232</f>
        <v>0</v>
      </c>
      <c r="BI233" s="679"/>
      <c r="BJ233" s="679"/>
    </row>
    <row s="1834" customFormat="1" customHeight="1" ht="0" hidden="1">
      <c r="A234" s="885"/>
      <c r="B234" s="441"/>
      <c r="C234" s="885"/>
      <c r="D234" s="885"/>
      <c r="E234" s="678">
        <v>15</v>
      </c>
      <c r="F234" s="1387" cm="1" t="str">
        <f t="array" ref="F234:F234">OFFSET(E234,-1,1)</f>
        <v>2</v>
      </c>
      <c r="G234" s="885"/>
      <c r="H234" s="885"/>
      <c r="I234" s="885"/>
      <c r="J234" s="885"/>
      <c r="K234" s="911"/>
      <c r="L234" s="915"/>
      <c r="M234" s="885"/>
      <c r="N234" s="885"/>
      <c r="O234" s="885"/>
      <c r="P234" s="885"/>
      <c r="Q234" s="885"/>
      <c r="R234" s="885"/>
      <c r="S234" s="885"/>
      <c r="T234" s="1356" cm="1" t="str">
        <f t="array" ref="T234:T234">T233</f>
        <v>false</v>
      </c>
      <c r="U234" s="885"/>
      <c r="V234" s="885"/>
      <c r="W234" s="885"/>
      <c r="X234" s="684"/>
      <c r="Y234" s="1524"/>
      <c r="Z234" s="885"/>
      <c r="AA234" s="1714"/>
      <c r="AB234" s="1698" t="str">
        <f>AB232&amp;".2"</f>
        <v>9.0.1.2</v>
      </c>
      <c r="AC234" s="1707" t="s">
        <v>1857</v>
      </c>
      <c r="AD234" s="1698"/>
      <c r="AE234" s="3679"/>
      <c r="AF234" s="3680"/>
      <c r="AG234" s="3680"/>
      <c r="AH234" s="3679"/>
      <c r="AI234" s="3680"/>
      <c r="AJ234" s="3680"/>
      <c r="AK234" s="3680"/>
      <c r="AL234" s="3680"/>
      <c r="AM234" s="3680"/>
      <c r="AN234" s="3680"/>
      <c r="AO234" s="3680"/>
      <c r="AP234" s="3680"/>
      <c r="AQ234" s="3680"/>
      <c r="AR234" s="3680"/>
      <c r="AS234" s="3680"/>
      <c r="AT234" s="3680"/>
      <c r="AU234" s="3680"/>
      <c r="AV234" s="3680"/>
      <c r="AW234" s="3680"/>
      <c r="AX234" s="3680"/>
      <c r="AY234" s="3680"/>
      <c r="AZ234" s="3680"/>
      <c r="BA234" s="3680"/>
      <c r="BB234" s="3686"/>
      <c r="BC234" s="3685"/>
      <c r="BD234" s="885"/>
      <c r="BE234" s="885"/>
      <c r="BF234" s="1041" t="s">
        <v>1790</v>
      </c>
      <c r="BG234" s="1044" t="s">
        <v>1855</v>
      </c>
      <c r="BH234" s="1720" cm="1" t="str">
        <f t="array" ref="BH234:BH234">BH233</f>
        <v>0</v>
      </c>
      <c r="BI234" s="679"/>
      <c r="BJ234" s="679"/>
    </row>
    <row s="1834" customFormat="1" customHeight="1" ht="0">
      <c r="A235" s="885"/>
      <c r="B235" s="441"/>
      <c r="C235" s="885"/>
      <c r="D235" s="885"/>
      <c r="E235" s="678">
        <v>15</v>
      </c>
      <c r="F235" s="1387" cm="1" t="str">
        <f t="array" ref="F235:F235">OFFSET(E235,-1,1)</f>
        <v>2</v>
      </c>
      <c r="G235" s="885"/>
      <c r="H235" s="885"/>
      <c r="I235" s="885"/>
      <c r="J235" s="885"/>
      <c r="K235" s="911"/>
      <c r="L235" s="915"/>
      <c r="M235" s="885"/>
      <c r="N235" s="885"/>
      <c r="O235" s="885"/>
      <c r="P235" s="885"/>
      <c r="Q235" s="885"/>
      <c r="R235" s="885"/>
      <c r="S235" s="885"/>
      <c r="T235" s="1356">
        <f>F235&gt;0</f>
        <v>1</v>
      </c>
      <c r="U235" s="885"/>
      <c r="V235" s="885"/>
      <c r="W235" s="685" t="s">
        <v>1858</v>
      </c>
      <c r="X235" s="684"/>
      <c r="Y235" s="885"/>
      <c r="Z235" s="885"/>
      <c r="AA235" s="885"/>
      <c r="AB235" s="1724"/>
      <c r="AC235" s="1740" t="s">
        <v>1792</v>
      </c>
      <c r="AD235" s="1726"/>
      <c r="AE235" s="1726"/>
      <c r="AF235" s="1726"/>
      <c r="AG235" s="1726"/>
      <c r="AH235" s="1726"/>
      <c r="AI235" s="1726"/>
      <c r="AJ235" s="1726"/>
      <c r="AK235" s="1726"/>
      <c r="AL235" s="1726"/>
      <c r="AM235" s="1726"/>
      <c r="AN235" s="1726"/>
      <c r="AO235" s="1726"/>
      <c r="AP235" s="1726"/>
      <c r="AQ235" s="1726"/>
      <c r="AR235" s="1726"/>
      <c r="AS235" s="1726"/>
      <c r="AT235" s="1726"/>
      <c r="AU235" s="1726"/>
      <c r="AV235" s="1726"/>
      <c r="AW235" s="1726"/>
      <c r="AX235" s="1726"/>
      <c r="AY235" s="1726"/>
      <c r="AZ235" s="1726"/>
      <c r="BA235" s="1726"/>
      <c r="BB235" s="1726"/>
      <c r="BC235" s="1732"/>
      <c r="BD235" s="885"/>
      <c r="BE235" s="885"/>
      <c r="BF235" s="1044"/>
      <c r="BG235" s="1044"/>
      <c r="BH235" s="1044"/>
      <c r="BI235" s="679" t="s">
        <v>1855</v>
      </c>
      <c r="BJ235" s="679"/>
    </row>
    <row s="1834" customFormat="1" customHeight="1" ht="14.25">
      <c r="A236" s="885"/>
      <c r="B236" s="440"/>
      <c r="C236" s="885"/>
      <c r="D236" s="885"/>
      <c r="E236" s="678">
        <v>15</v>
      </c>
      <c r="F236" s="98" cm="1" t="str">
        <f t="array" ref="F236:F236">X236</f>
        <v>3</v>
      </c>
      <c r="G236" s="885"/>
      <c r="H236" s="885"/>
      <c r="I236" s="885" t="s">
        <v>1779</v>
      </c>
      <c r="J236" s="885"/>
      <c r="K236" s="911"/>
      <c r="L236" s="885"/>
      <c r="M236" s="885"/>
      <c r="N236" s="885"/>
      <c r="O236" s="885"/>
      <c r="P236" s="885"/>
      <c r="Q236" s="885"/>
      <c r="R236" s="885"/>
      <c r="S236" s="885"/>
      <c r="T236" s="465">
        <f>X236&gt;0</f>
        <v>1</v>
      </c>
      <c r="U236" s="885"/>
      <c r="V236" s="152" cm="1" t="str">
        <f t="array" ref="V236:V236">Аренда!$AB$57</f>
        <v>Тариф 3 (Водоотведение) - тариф на водоотведение (Доп. признак не требуется)</v>
      </c>
      <c r="W236" s="885"/>
      <c r="X236" s="1524" t="s">
        <v>289</v>
      </c>
      <c r="Y236" s="680"/>
      <c r="Z236" s="1615"/>
      <c r="AA236" s="885"/>
      <c r="AB236" s="222" cm="1" t="str">
        <f t="array" ref="AB236:AB236">Аренда!$AB$57</f>
        <v>Тариф 3 (Водоотведение) - тариф на водоотведение (Доп. признак не требуется)</v>
      </c>
      <c r="AC236" s="180"/>
      <c r="AD236" s="180"/>
      <c r="AE236" s="306">
        <f>AE244+AE251+AE258+AE265+AE237+AE272+AE283+AE290+AE297</f>
        <v>0</v>
      </c>
      <c r="AF236" s="306">
        <f>AF244+AF251+AF258+AF265+AF237+AF272+AF283+AF290+AF297</f>
        <v>0</v>
      </c>
      <c r="AG236" s="306">
        <f>AG244+AG251+AG258+AG265+AG237+AG272+AG283+AG290+AG297</f>
        <v>0</v>
      </c>
      <c r="AH236" s="306">
        <f>AH244+AH251+AH258+AH265+AH237+AH272+AH283+AH290+AH297</f>
        <v>0</v>
      </c>
      <c r="AI236" s="306">
        <f>AI244+AI251+AI258+AI265+AI237+AI272+AI283+AI290+AI297</f>
        <v>0</v>
      </c>
      <c r="AJ236" s="306">
        <f>AJ244+AJ251+AJ258+AJ265+AJ237+AJ272+AJ283+AJ290+AJ297</f>
        <v>0</v>
      </c>
      <c r="AK236" s="306">
        <f>AK244+AK251+AK258+AK265+AK237+AK272+AK283+AK290+AK297</f>
        <v>0</v>
      </c>
      <c r="AL236" s="306">
        <f>AL244+AL251+AL258+AL265+AL237+AL272+AL283+AL290+AL297</f>
        <v>0</v>
      </c>
      <c r="AM236" s="306">
        <f>AM244+AM251+AM258+AM265+AM237+AM272+AM283+AM290+AM297</f>
        <v>0</v>
      </c>
      <c r="AN236" s="306">
        <f>AN244+AN251+AN258+AN265+AN237+AN272+AN283+AN290+AN297</f>
        <v>0</v>
      </c>
      <c r="AO236" s="306">
        <f>AO244+AO251+AO258+AO265+AO237+AO272+AO283+AO290+AO297</f>
        <v>0</v>
      </c>
      <c r="AP236" s="306">
        <f>AP244+AP251+AP258+AP265+AP237+AP272+AP283+AP290+AP297</f>
        <v>0</v>
      </c>
      <c r="AQ236" s="306">
        <f>AQ244+AQ251+AQ258+AQ265+AQ237+AQ272+AQ283+AQ290+AQ297</f>
        <v>0</v>
      </c>
      <c r="AR236" s="306">
        <f>AR244+AR251+AR258+AR265+AR237+AR272+AR283+AR290+AR297</f>
        <v>0</v>
      </c>
      <c r="AS236" s="306">
        <f>AS244+AS251+AS258+AS265+AS237+AS272+AS283+AS290+AS297</f>
        <v>0</v>
      </c>
      <c r="AT236" s="306">
        <f>AT244+AT251+AT258+AT265+AT237+AT272+AT283+AT290+AT297</f>
        <v>0</v>
      </c>
      <c r="AU236" s="306">
        <f>AU244+AU251+AU258+AU265+AU237+AU272+AU283+AU290+AU297</f>
        <v>0</v>
      </c>
      <c r="AV236" s="306">
        <f>AV244+AV251+AV258+AV265+AV237+AV272+AV283+AV290+AV297</f>
        <v>0</v>
      </c>
      <c r="AW236" s="306">
        <f>AW244+AW251+AW258+AW265+AW237+AW272+AW283+AW290+AW297</f>
        <v>0</v>
      </c>
      <c r="AX236" s="306">
        <f>AX244+AX251+AX258+AX265+AX237+AX272+AX283+AX290+AX297</f>
        <v>0</v>
      </c>
      <c r="AY236" s="306">
        <f>AY244+AY251+AY258+AY265+AY237+AY272+AY283+AY290+AY297</f>
        <v>0</v>
      </c>
      <c r="AZ236" s="306">
        <f>AZ244+AZ251+AZ258+AZ265+AZ237+AZ272+AZ283+AZ290+AZ297</f>
        <v>0</v>
      </c>
      <c r="BA236" s="306">
        <f>BA244+BA251+BA258+BA265+BA237+BA272+BA283+BA290+BA297</f>
        <v>0</v>
      </c>
      <c r="BB236" s="306">
        <f>BB244+BB251+BB258+BB265+BB237+BB272+BB283+BB290+BB297</f>
        <v>0</v>
      </c>
      <c r="BC236" s="224"/>
      <c r="BD236" s="885"/>
      <c r="BE236" s="885"/>
      <c r="BF236" s="1041"/>
      <c r="BG236" s="1041"/>
      <c r="BH236" s="1041"/>
      <c r="BI236" s="678"/>
      <c r="BJ236" s="678"/>
    </row>
    <row s="1834" customFormat="1" customHeight="1" ht="0">
      <c r="A237" s="885"/>
      <c r="B237" s="440"/>
      <c r="C237" s="885"/>
      <c r="D237" s="885"/>
      <c r="E237" s="678">
        <v>15</v>
      </c>
      <c r="F237" s="50" cm="1" t="str">
        <f t="array" ref="F237:F237">OFFSET(E237,-1,1)</f>
        <v>3</v>
      </c>
      <c r="G237" s="152" t="s">
        <v>332</v>
      </c>
      <c r="H237" s="885"/>
      <c r="I237" s="885"/>
      <c r="J237" s="885"/>
      <c r="K237" s="911" t="str">
        <f>F237&amp;"1komm"</f>
        <v>31komm</v>
      </c>
      <c r="L237" s="915" cm="1" t="str">
        <f t="array" ref="L237:L237">BC237</f>
        <v>0</v>
      </c>
      <c r="M237" s="885"/>
      <c r="N237" s="885"/>
      <c r="O237" s="885"/>
      <c r="P237" s="885"/>
      <c r="Q237" s="885"/>
      <c r="R237" s="885"/>
      <c r="S237" s="885"/>
      <c r="T237" s="465" cm="1" t="str">
        <f t="array" ref="T237:T237">T236</f>
        <v>true</v>
      </c>
      <c r="U237" s="885"/>
      <c r="V237" s="885"/>
      <c r="W237" s="885"/>
      <c r="X237" s="1524"/>
      <c r="Y237" s="885"/>
      <c r="Z237" s="1615"/>
      <c r="AA237" s="885"/>
      <c r="AB237" s="211">
        <v>1</v>
      </c>
      <c r="AC237" s="212" t="s">
        <v>1780</v>
      </c>
      <c r="AD237" s="211" t="s">
        <v>1514</v>
      </c>
      <c r="AE237" s="213">
        <f>SUMIF(AD240:AD243,AD237,AE240:AE243)</f>
        <v>0</v>
      </c>
      <c r="AF237" s="213">
        <f>SUMIF(AD240:AD243,AD237,AF240:AF243)</f>
        <v>0</v>
      </c>
      <c r="AG237" s="213">
        <f>SUMIF(AD240:AD243,AD237,AG240:AG243)</f>
        <v>0</v>
      </c>
      <c r="AH237" s="213">
        <f>SUMIF(AD240:AD243,AD237,AH240:AH243)</f>
        <v>0</v>
      </c>
      <c r="AI237" s="213">
        <f>SUMIF(AD240:AD243,AD237,AI240:AI243)</f>
        <v>0</v>
      </c>
      <c r="AJ237" s="1460">
        <f>SUMIF(AD240:AD243,AD237,AJ240:AJ243)</f>
        <v>0</v>
      </c>
      <c r="AK237" s="1460">
        <f>SUMIF(AD240:AD243,AD237,AK240:AK243)</f>
        <v>0</v>
      </c>
      <c r="AL237" s="1460">
        <f>SUMIF(AD240:AD243,AD237,AL240:AL243)</f>
        <v>0</v>
      </c>
      <c r="AM237" s="1460">
        <f>SUMIF(AD240:AD243,AD237,AM240:AM243)</f>
        <v>0</v>
      </c>
      <c r="AN237" s="3626">
        <f>SUMIF(AD240:AD243,AD237,AN240:AN243)</f>
        <v>0</v>
      </c>
      <c r="AO237" s="3626">
        <f>SUMIF(AD240:AD243,AD237,AO240:AO243)</f>
        <v>0</v>
      </c>
      <c r="AP237" s="3626">
        <f>SUMIF(AD240:AD243,AD237,AP240:AP243)</f>
        <v>0</v>
      </c>
      <c r="AQ237" s="3626">
        <f>SUMIF(AD240:AD243,AD237,AQ240:AQ243)</f>
        <v>0</v>
      </c>
      <c r="AR237" s="3626">
        <f>SUMIF(AD240:AD243,AD237,AR240:AR243)</f>
        <v>0</v>
      </c>
      <c r="AS237" s="213">
        <f>SUMIF(AD240:AD243,AD237,AS240:AS243)</f>
        <v>0</v>
      </c>
      <c r="AT237" s="1460">
        <f>SUMIF(AD240:AD243,AD237,AT240:AT243)</f>
        <v>0</v>
      </c>
      <c r="AU237" s="1460">
        <f>SUMIF(AD240:AD243,AD237,AU240:AU243)</f>
        <v>0</v>
      </c>
      <c r="AV237" s="1460">
        <f>SUMIF(AD240:AD243,AD237,AV240:AV243)</f>
        <v>0</v>
      </c>
      <c r="AW237" s="1460">
        <f>SUMIF(AD240:AD243,AD237,AW240:AW243)</f>
        <v>0</v>
      </c>
      <c r="AX237" s="3626">
        <f>SUMIF(AD240:AD243,AD237,AX240:AX243)</f>
        <v>0</v>
      </c>
      <c r="AY237" s="3626">
        <f>SUMIF(AD240:AD243,AD237,AY240:AY243)</f>
        <v>0</v>
      </c>
      <c r="AZ237" s="3626">
        <f>SUMIF(AD240:AD243,AD237,AZ240:AZ243)</f>
        <v>0</v>
      </c>
      <c r="BA237" s="3626">
        <f>SUMIF(AD240:AD243,AD237,BA240:BA243)</f>
        <v>0</v>
      </c>
      <c r="BB237" s="3626">
        <f>SUMIF(AD240:AD243,AD237,BB240:BB243)</f>
        <v>0</v>
      </c>
      <c r="BC237" s="200"/>
      <c r="BD237" s="885"/>
      <c r="BE237" s="885"/>
      <c r="BF237" s="1041" t="s">
        <v>1781</v>
      </c>
      <c r="BG237" s="1041"/>
      <c r="BH237" s="1041"/>
      <c r="BI237" s="678"/>
      <c r="BJ237" s="678"/>
    </row>
    <row s="1834" customFormat="1" customHeight="1" ht="0" hidden="1">
      <c r="A238" s="885"/>
      <c r="B238" s="440"/>
      <c r="C238" s="885"/>
      <c r="D238" s="885"/>
      <c r="E238" s="678">
        <v>0</v>
      </c>
      <c r="F238" s="50" cm="1" t="str">
        <f t="array" ref="F238:F238">OFFSET(E238,-1,1)</f>
        <v>3</v>
      </c>
      <c r="G238" s="885"/>
      <c r="H238" s="885"/>
      <c r="I238" s="885"/>
      <c r="J238" s="885"/>
      <c r="K238" s="911"/>
      <c r="L238" s="915"/>
      <c r="M238" s="885"/>
      <c r="N238" s="885"/>
      <c r="O238" s="885"/>
      <c r="P238" s="885"/>
      <c r="Q238" s="885"/>
      <c r="R238" s="885"/>
      <c r="S238" s="885"/>
      <c r="T238" s="465" t="b">
        <v>0</v>
      </c>
      <c r="U238" s="885"/>
      <c r="V238" s="885"/>
      <c r="W238" s="152" t="s">
        <v>174</v>
      </c>
      <c r="X238" s="1524"/>
      <c r="Y238" s="1524">
        <v>0</v>
      </c>
      <c r="Z238" s="1615"/>
      <c r="AA238" s="1616" t="s">
        <v>175</v>
      </c>
      <c r="AB238" s="211"/>
      <c r="AC238" s="212"/>
      <c r="AD238" s="211"/>
      <c r="AE238" s="216">
        <f>OR(AND(AE240&lt;&gt;"",AE241=""),AND(AE240="",AE241&lt;&gt;""))</f>
        <v>0</v>
      </c>
      <c r="AF238" s="216">
        <f>OR(AND(AF240&lt;&gt;"",AF241=""),AND(AF240="",AF241&lt;&gt;""))</f>
        <v>0</v>
      </c>
      <c r="AG238" s="216">
        <f>OR(AND(AG240&lt;&gt;"",AG241=""),AND(AG240="",AG241&lt;&gt;""))</f>
        <v>0</v>
      </c>
      <c r="AH238" s="216">
        <f>OR(AND(AH240&lt;&gt;"",AH241=""),AND(AH240="",AH241&lt;&gt;""))</f>
        <v>0</v>
      </c>
      <c r="AI238" s="216">
        <f>OR(AND(AI240&lt;&gt;"",AI241=""),AND(AI240="",AI241&lt;&gt;""))</f>
        <v>0</v>
      </c>
      <c r="AJ238" s="216">
        <f>OR(AND(AJ240&lt;&gt;"",AJ241=""),AND(AJ240="",AJ241&lt;&gt;""))</f>
        <v>0</v>
      </c>
      <c r="AK238" s="216">
        <f>OR(AND(AK240&lt;&gt;"",AK241=""),AND(AK240="",AK241&lt;&gt;""))</f>
        <v>0</v>
      </c>
      <c r="AL238" s="216">
        <f>OR(AND(AL240&lt;&gt;"",AL241=""),AND(AL240="",AL241&lt;&gt;""))</f>
        <v>0</v>
      </c>
      <c r="AM238" s="216">
        <f>OR(AND(AM240&lt;&gt;"",AM241=""),AND(AM240="",AM241&lt;&gt;""))</f>
        <v>0</v>
      </c>
      <c r="AN238" s="216">
        <f>OR(AND(AN240&lt;&gt;"",AN241=""),AND(AN240="",AN241&lt;&gt;""))</f>
        <v>0</v>
      </c>
      <c r="AO238" s="216">
        <f>OR(AND(AO240&lt;&gt;"",AO241=""),AND(AO240="",AO241&lt;&gt;""))</f>
        <v>0</v>
      </c>
      <c r="AP238" s="216">
        <f>OR(AND(AP240&lt;&gt;"",AP241=""),AND(AP240="",AP241&lt;&gt;""))</f>
        <v>0</v>
      </c>
      <c r="AQ238" s="216">
        <f>OR(AND(AQ240&lt;&gt;"",AQ241=""),AND(AQ240="",AQ241&lt;&gt;""))</f>
        <v>0</v>
      </c>
      <c r="AR238" s="216">
        <f>OR(AND(AR240&lt;&gt;"",AR241=""),AND(AR240="",AR241&lt;&gt;""))</f>
        <v>0</v>
      </c>
      <c r="AS238" s="216">
        <f>OR(AND(AS240&lt;&gt;"",AS241=""),AND(AS240="",AS241&lt;&gt;""))</f>
        <v>0</v>
      </c>
      <c r="AT238" s="216">
        <f>OR(AND(AT240&lt;&gt;"",AT241=""),AND(AT240="",AT241&lt;&gt;""))</f>
        <v>0</v>
      </c>
      <c r="AU238" s="216">
        <f>OR(AND(AU240&lt;&gt;"",AU241=""),AND(AU240="",AU241&lt;&gt;""))</f>
        <v>0</v>
      </c>
      <c r="AV238" s="216">
        <f>OR(AND(AV240&lt;&gt;"",AV241=""),AND(AV240="",AV241&lt;&gt;""))</f>
        <v>0</v>
      </c>
      <c r="AW238" s="216">
        <f>OR(AND(AW240&lt;&gt;"",AW241=""),AND(AW240="",AW241&lt;&gt;""))</f>
        <v>0</v>
      </c>
      <c r="AX238" s="216">
        <f>OR(AND(AX240&lt;&gt;"",AX241=""),AND(AX240="",AX241&lt;&gt;""))</f>
        <v>0</v>
      </c>
      <c r="AY238" s="216">
        <f>OR(AND(AY240&lt;&gt;"",AY241=""),AND(AY240="",AY241&lt;&gt;""))</f>
        <v>0</v>
      </c>
      <c r="AZ238" s="216">
        <f>OR(AND(AZ240&lt;&gt;"",AZ241=""),AND(AZ240="",AZ241&lt;&gt;""))</f>
        <v>0</v>
      </c>
      <c r="BA238" s="216">
        <f>OR(AND(BA240&lt;&gt;"",BA241=""),AND(BA240="",BA241&lt;&gt;""))</f>
        <v>0</v>
      </c>
      <c r="BB238" s="216">
        <f>OR(AND(BB240&lt;&gt;"",BB241=""),AND(BB240="",BB241&lt;&gt;""))</f>
        <v>0</v>
      </c>
      <c r="BC238" s="974"/>
      <c r="BD238" s="885"/>
      <c r="BE238" s="885"/>
      <c r="BF238" s="1041"/>
      <c r="BG238" s="1041"/>
      <c r="BH238" s="1041"/>
      <c r="BI238" s="678"/>
      <c r="BJ238" s="678"/>
    </row>
    <row s="1834" customFormat="1" customHeight="1" ht="0" hidden="1">
      <c r="A239" s="885"/>
      <c r="B239" s="440"/>
      <c r="C239" s="885"/>
      <c r="D239" s="885"/>
      <c r="E239" s="678">
        <v>15</v>
      </c>
      <c r="F239" s="1387" cm="1" t="str">
        <f t="array" ref="F239:F239">OFFSET(E239,-1,1)</f>
        <v>3</v>
      </c>
      <c r="G239" s="885"/>
      <c r="H239" s="885"/>
      <c r="I239" s="885"/>
      <c r="J239" s="885"/>
      <c r="K239" s="911"/>
      <c r="L239" s="915"/>
      <c r="M239" s="885"/>
      <c r="N239" s="885"/>
      <c r="O239" s="885"/>
      <c r="P239" s="885"/>
      <c r="Q239" s="885"/>
      <c r="R239" s="885"/>
      <c r="S239" s="885"/>
      <c r="T239" s="1356">
        <f>AND(Y238&gt;0,F239&gt;0)</f>
        <v>0</v>
      </c>
      <c r="U239" s="885"/>
      <c r="V239" s="885"/>
      <c r="W239" s="885"/>
      <c r="X239" s="684"/>
      <c r="Y239" s="1524"/>
      <c r="Z239" s="885"/>
      <c r="AA239" s="1697"/>
      <c r="AB239" s="1698" t="str">
        <f>"1."&amp;Y238</f>
        <v>1.0</v>
      </c>
      <c r="AC239" s="1699" t="s">
        <v>227</v>
      </c>
      <c r="AD239" s="1700"/>
      <c r="AE239" s="3635"/>
      <c r="AF239" s="1702"/>
      <c r="AG239" s="3635"/>
      <c r="AH239" s="3635"/>
      <c r="AI239" s="3635"/>
      <c r="AJ239" s="3635"/>
      <c r="AK239" s="3635"/>
      <c r="AL239" s="3635"/>
      <c r="AM239" s="3635"/>
      <c r="AN239" s="3635"/>
      <c r="AO239" s="3635"/>
      <c r="AP239" s="3635"/>
      <c r="AQ239" s="3635"/>
      <c r="AR239" s="3635"/>
      <c r="AS239" s="1702"/>
      <c r="AT239" s="1702"/>
      <c r="AU239" s="1702"/>
      <c r="AV239" s="1702"/>
      <c r="AW239" s="1702"/>
      <c r="AX239" s="1702"/>
      <c r="AY239" s="1702"/>
      <c r="AZ239" s="1702"/>
      <c r="BA239" s="1702"/>
      <c r="BB239" s="1703"/>
      <c r="BC239" s="1704"/>
      <c r="BD239" s="885"/>
      <c r="BE239" s="885"/>
      <c r="BF239" s="1041"/>
      <c r="BG239" s="1041"/>
      <c r="BH239" s="1041"/>
      <c r="BI239" s="678"/>
      <c r="BJ239" s="678"/>
    </row>
    <row s="1834" customFormat="1" customHeight="1" ht="0" hidden="1">
      <c r="A240" s="885"/>
      <c r="B240" s="440"/>
      <c r="C240" s="885"/>
      <c r="D240" s="885"/>
      <c r="E240" s="678">
        <v>15</v>
      </c>
      <c r="F240" s="50" cm="1" t="str">
        <f t="array" ref="F240:F240">OFFSET(E240,-1,1)</f>
        <v>3</v>
      </c>
      <c r="G240" s="152" t="s">
        <v>332</v>
      </c>
      <c r="H240" s="155" cm="1" t="str">
        <f t="array" ref="H240:H240">AC240</f>
        <v>Затраты</v>
      </c>
      <c r="I240" s="152" t="s">
        <v>1782</v>
      </c>
      <c r="J240" s="885"/>
      <c r="K240" s="911"/>
      <c r="L240" s="885"/>
      <c r="M240" s="885"/>
      <c r="N240" s="885"/>
      <c r="O240" s="885"/>
      <c r="P240" s="885"/>
      <c r="Q240" s="885"/>
      <c r="R240" s="885"/>
      <c r="S240" s="885"/>
      <c r="T240" s="465" cm="1" t="str">
        <f t="array" ref="T240:T240">T239</f>
        <v>false</v>
      </c>
      <c r="U240" s="885"/>
      <c r="V240" s="885"/>
      <c r="W240" s="885"/>
      <c r="X240" s="1524"/>
      <c r="Y240" s="1524"/>
      <c r="Z240" s="1615"/>
      <c r="AA240" s="1616"/>
      <c r="AB240" s="88" t="str">
        <f>AB239&amp;".1"</f>
        <v>1.0.1</v>
      </c>
      <c r="AC240" s="1705" t="s">
        <v>1783</v>
      </c>
      <c r="AD240" s="211" t="s">
        <v>1514</v>
      </c>
      <c r="AE240" s="3640"/>
      <c r="AF240" s="3640"/>
      <c r="AG240" s="3640"/>
      <c r="AH240" s="3640"/>
      <c r="AI240" s="3640"/>
      <c r="AJ240" s="3640"/>
      <c r="AK240" s="3640"/>
      <c r="AL240" s="3640"/>
      <c r="AM240" s="3640"/>
      <c r="AN240" s="3640"/>
      <c r="AO240" s="3640"/>
      <c r="AP240" s="3640"/>
      <c r="AQ240" s="3640"/>
      <c r="AR240" s="3640"/>
      <c r="AS240" s="3640"/>
      <c r="AT240" s="3640"/>
      <c r="AU240" s="3640"/>
      <c r="AV240" s="3640"/>
      <c r="AW240" s="3640"/>
      <c r="AX240" s="3640"/>
      <c r="AY240" s="3640"/>
      <c r="AZ240" s="3640"/>
      <c r="BA240" s="3640"/>
      <c r="BB240" s="3640"/>
      <c r="BC240" s="2070"/>
      <c r="BD240" s="885"/>
      <c r="BE240" s="885"/>
      <c r="BF240" s="1041" t="s">
        <v>1784</v>
      </c>
      <c r="BG240" s="1041" t="s">
        <v>1785</v>
      </c>
      <c r="BH240" s="1041" cm="1" t="str">
        <f t="array" ref="BH240:BH240">AC239</f>
        <v/>
      </c>
      <c r="BI240" s="678"/>
      <c r="BJ240" s="678" t="b">
        <v>1</v>
      </c>
    </row>
    <row s="1834" customFormat="1" customHeight="1" ht="0" hidden="1">
      <c r="A241" s="885"/>
      <c r="B241" s="440"/>
      <c r="C241" s="885"/>
      <c r="D241" s="885"/>
      <c r="E241" s="678">
        <v>15</v>
      </c>
      <c r="F241" s="50" cm="1" t="str">
        <f t="array" ref="F241:F241">OFFSET(E241,-1,1)</f>
        <v>3</v>
      </c>
      <c r="G241" s="152" t="s">
        <v>1175</v>
      </c>
      <c r="H241" s="155" cm="1" t="str">
        <f t="array" ref="H241:H241">H240</f>
        <v>Затраты</v>
      </c>
      <c r="I241" s="152" t="s">
        <v>1782</v>
      </c>
      <c r="J241" s="885"/>
      <c r="K241" s="911"/>
      <c r="L241" s="885"/>
      <c r="M241" s="885"/>
      <c r="N241" s="885"/>
      <c r="O241" s="885"/>
      <c r="P241" s="885"/>
      <c r="Q241" s="885"/>
      <c r="R241" s="885"/>
      <c r="S241" s="885"/>
      <c r="T241" s="465" cm="1" t="str">
        <f t="array" ref="T241:T241">T240</f>
        <v>false</v>
      </c>
      <c r="U241" s="885"/>
      <c r="V241" s="885"/>
      <c r="W241" s="885"/>
      <c r="X241" s="1524"/>
      <c r="Y241" s="1524"/>
      <c r="Z241" s="1615"/>
      <c r="AA241" s="1616"/>
      <c r="AB241" s="88" t="str">
        <f>AB240&amp;".1"</f>
        <v>1.0.1.1</v>
      </c>
      <c r="AC241" s="221" t="s">
        <v>1786</v>
      </c>
      <c r="AD241" s="88" t="s">
        <v>1247</v>
      </c>
      <c r="AE241" s="3536"/>
      <c r="AF241" s="3536"/>
      <c r="AG241" s="3536"/>
      <c r="AH241" s="3536"/>
      <c r="AI241" s="3536"/>
      <c r="AJ241" s="3536"/>
      <c r="AK241" s="3536"/>
      <c r="AL241" s="3536"/>
      <c r="AM241" s="3536"/>
      <c r="AN241" s="3536"/>
      <c r="AO241" s="3536"/>
      <c r="AP241" s="3536"/>
      <c r="AQ241" s="3536"/>
      <c r="AR241" s="3536"/>
      <c r="AS241" s="3536"/>
      <c r="AT241" s="3536"/>
      <c r="AU241" s="3536"/>
      <c r="AV241" s="3536"/>
      <c r="AW241" s="3536"/>
      <c r="AX241" s="3536"/>
      <c r="AY241" s="3536"/>
      <c r="AZ241" s="3536"/>
      <c r="BA241" s="3536"/>
      <c r="BB241" s="3536"/>
      <c r="BC241" s="2070"/>
      <c r="BD241" s="885"/>
      <c r="BE241" s="885"/>
      <c r="BF241" s="1041" t="s">
        <v>1787</v>
      </c>
      <c r="BG241" s="1041" t="s">
        <v>1785</v>
      </c>
      <c r="BH241" s="1041" cm="1" t="str">
        <f t="array" ref="BH241:BH241">BH240</f>
        <v/>
      </c>
      <c r="BI241" s="678"/>
      <c r="BJ241" s="678"/>
    </row>
    <row s="1834" customFormat="1" customHeight="1" ht="0" hidden="1">
      <c r="A242" s="885"/>
      <c r="B242" s="440"/>
      <c r="C242" s="885"/>
      <c r="D242" s="885"/>
      <c r="E242" s="678">
        <v>15</v>
      </c>
      <c r="F242" s="1387" cm="1" t="str">
        <f t="array" ref="F242:F242">OFFSET(E242,-1,1)</f>
        <v>3</v>
      </c>
      <c r="G242" s="885"/>
      <c r="H242" s="155"/>
      <c r="I242" s="885"/>
      <c r="J242" s="885"/>
      <c r="K242" s="911"/>
      <c r="L242" s="885"/>
      <c r="M242" s="885"/>
      <c r="N242" s="885"/>
      <c r="O242" s="885"/>
      <c r="P242" s="885"/>
      <c r="Q242" s="885"/>
      <c r="R242" s="885"/>
      <c r="S242" s="885"/>
      <c r="T242" s="1356" cm="1" t="str">
        <f t="array" ref="T242:T242">T241</f>
        <v>false</v>
      </c>
      <c r="U242" s="885"/>
      <c r="V242" s="885"/>
      <c r="W242" s="885"/>
      <c r="X242" s="684"/>
      <c r="Y242" s="1524"/>
      <c r="Z242" s="885"/>
      <c r="AA242" s="1697"/>
      <c r="AB242" s="1706" t="str">
        <f>AB240&amp;".2"</f>
        <v>1.0.1.2</v>
      </c>
      <c r="AC242" s="1707" t="s">
        <v>1788</v>
      </c>
      <c r="AD242" s="1706" t="s">
        <v>1789</v>
      </c>
      <c r="AE242" s="3644"/>
      <c r="AF242" s="3644"/>
      <c r="AG242" s="3644"/>
      <c r="AH242" s="3644"/>
      <c r="AI242" s="3644"/>
      <c r="AJ242" s="3644"/>
      <c r="AK242" s="3644"/>
      <c r="AL242" s="3644"/>
      <c r="AM242" s="3644"/>
      <c r="AN242" s="3644"/>
      <c r="AO242" s="3644"/>
      <c r="AP242" s="3644"/>
      <c r="AQ242" s="3644"/>
      <c r="AR242" s="3644"/>
      <c r="AS242" s="3644"/>
      <c r="AT242" s="3644"/>
      <c r="AU242" s="3644"/>
      <c r="AV242" s="3644"/>
      <c r="AW242" s="3644"/>
      <c r="AX242" s="3644"/>
      <c r="AY242" s="3644"/>
      <c r="AZ242" s="3644"/>
      <c r="BA242" s="3644"/>
      <c r="BB242" s="3644"/>
      <c r="BC242" s="3645"/>
      <c r="BD242" s="885"/>
      <c r="BE242" s="885"/>
      <c r="BF242" s="1041" t="s">
        <v>1790</v>
      </c>
      <c r="BG242" s="1041" t="s">
        <v>1785</v>
      </c>
      <c r="BH242" s="1710" cm="1" t="str">
        <f t="array" ref="BH242:BH242">BH241</f>
        <v/>
      </c>
      <c r="BI242" s="678"/>
      <c r="BJ242" s="678"/>
    </row>
    <row s="1834" customFormat="1" customHeight="1" ht="0">
      <c r="A243" s="885"/>
      <c r="B243" s="440"/>
      <c r="C243" s="885"/>
      <c r="D243" s="885"/>
      <c r="E243" s="678">
        <v>15</v>
      </c>
      <c r="F243" s="50" cm="1" t="str">
        <f t="array" ref="F243:F243">OFFSET(E243,-1,1)</f>
        <v>3</v>
      </c>
      <c r="G243" s="885"/>
      <c r="H243" s="152" t="str">
        <f>"!=='не определено' &amp;&amp; row.l1 !== null"</f>
        <v>!=='не определено' &amp;&amp; row.l1 !== null</v>
      </c>
      <c r="I243" s="885"/>
      <c r="J243" s="885"/>
      <c r="K243" s="911"/>
      <c r="L243" s="885"/>
      <c r="M243" s="885"/>
      <c r="N243" s="885"/>
      <c r="O243" s="885"/>
      <c r="P243" s="885"/>
      <c r="Q243" s="885"/>
      <c r="R243" s="885"/>
      <c r="S243" s="885"/>
      <c r="T243" s="465">
        <f>F243&gt;0</f>
        <v>1</v>
      </c>
      <c r="U243" s="885"/>
      <c r="V243" s="885"/>
      <c r="W243" s="685" t="s">
        <v>1791</v>
      </c>
      <c r="X243" s="1524"/>
      <c r="Y243" s="885"/>
      <c r="Z243" s="1615"/>
      <c r="AA243" s="885"/>
      <c r="AB243" s="681"/>
      <c r="AC243" s="232" t="s">
        <v>1792</v>
      </c>
      <c r="AD243" s="232"/>
      <c r="AE243" s="232"/>
      <c r="AF243" s="232"/>
      <c r="AG243" s="232"/>
      <c r="AH243" s="232"/>
      <c r="AI243" s="232"/>
      <c r="AJ243" s="232"/>
      <c r="AK243" s="232"/>
      <c r="AL243" s="232"/>
      <c r="AM243" s="232"/>
      <c r="AN243" s="232"/>
      <c r="AO243" s="232"/>
      <c r="AP243" s="232"/>
      <c r="AQ243" s="232"/>
      <c r="AR243" s="232"/>
      <c r="AS243" s="232"/>
      <c r="AT243" s="232"/>
      <c r="AU243" s="232"/>
      <c r="AV243" s="232"/>
      <c r="AW243" s="232"/>
      <c r="AX243" s="232"/>
      <c r="AY243" s="232"/>
      <c r="AZ243" s="232"/>
      <c r="BA243" s="232"/>
      <c r="BB243" s="232"/>
      <c r="BC243" s="233"/>
      <c r="BD243" s="885"/>
      <c r="BE243" s="885"/>
      <c r="BF243" s="1041"/>
      <c r="BG243" s="1041"/>
      <c r="BH243" s="1041"/>
      <c r="BI243" s="678" t="s">
        <v>1785</v>
      </c>
      <c r="BJ243" s="678"/>
    </row>
    <row s="1834" customFormat="1" customHeight="1" ht="0">
      <c r="A244" s="885"/>
      <c r="B244" s="440"/>
      <c r="C244" s="885"/>
      <c r="D244" s="885"/>
      <c r="E244" s="678">
        <v>22.5</v>
      </c>
      <c r="F244" s="50" cm="1" t="str">
        <f t="array" ref="F244:F244">OFFSET(E244,-1,1)</f>
        <v>3</v>
      </c>
      <c r="G244" s="885"/>
      <c r="H244" s="885"/>
      <c r="I244" s="885"/>
      <c r="J244" s="885"/>
      <c r="K244" s="911" t="str">
        <f>F237&amp;"2komm"</f>
        <v>32komm</v>
      </c>
      <c r="L244" s="915" cm="1" t="str">
        <f t="array" ref="L244:L244">BC244</f>
        <v>0</v>
      </c>
      <c r="M244" s="885"/>
      <c r="N244" s="885"/>
      <c r="O244" s="885"/>
      <c r="P244" s="885"/>
      <c r="Q244" s="885"/>
      <c r="R244" s="885"/>
      <c r="S244" s="885"/>
      <c r="T244" s="465" cm="1" t="str">
        <f t="array" ref="T244:T244">T243</f>
        <v>true</v>
      </c>
      <c r="U244" s="885"/>
      <c r="V244" s="885"/>
      <c r="W244" s="885"/>
      <c r="X244" s="1524"/>
      <c r="Y244" s="684"/>
      <c r="Z244" s="1615"/>
      <c r="AA244" s="885"/>
      <c r="AB244" s="211">
        <v>2</v>
      </c>
      <c r="AC244" s="212" t="s">
        <v>1793</v>
      </c>
      <c r="AD244" s="211" t="s">
        <v>1514</v>
      </c>
      <c r="AE244" s="213">
        <f>SUMIF(AD247:AD250,AD244,AE247:AE250)</f>
        <v>0</v>
      </c>
      <c r="AF244" s="213">
        <f>SUMIF(AD247:AD250,AD244,AF247:AF250)</f>
        <v>0</v>
      </c>
      <c r="AG244" s="213">
        <f>SUMIF(AD247:AD250,AD244,AG247:AG250)</f>
        <v>0</v>
      </c>
      <c r="AH244" s="213">
        <f>SUMIF(AD247:AD250,AD244,AH247:AH250)</f>
        <v>0</v>
      </c>
      <c r="AI244" s="213">
        <f>SUMIF(AD247:AD250,AD244,AI247:AI250)</f>
        <v>0</v>
      </c>
      <c r="AJ244" s="1460">
        <f>SUMIF(AD247:AD250,AD244,AJ247:AJ250)</f>
        <v>0</v>
      </c>
      <c r="AK244" s="1460">
        <f>SUMIF(AD247:AD250,AD244,AK247:AK250)</f>
        <v>0</v>
      </c>
      <c r="AL244" s="1460">
        <f>SUMIF(AD247:AD250,AD244,AL247:AL250)</f>
        <v>0</v>
      </c>
      <c r="AM244" s="1460">
        <f>SUMIF(AD247:AD250,AD244,AM247:AM250)</f>
        <v>0</v>
      </c>
      <c r="AN244" s="3626">
        <f>SUMIF(AD247:AD250,AD244,AN247:AN250)</f>
        <v>0</v>
      </c>
      <c r="AO244" s="3626">
        <f>SUMIF(AD247:AD250,AD244,AO247:AO250)</f>
        <v>0</v>
      </c>
      <c r="AP244" s="3626">
        <f>SUMIF(AD247:AD250,AD244,AP247:AP250)</f>
        <v>0</v>
      </c>
      <c r="AQ244" s="3626">
        <f>SUMIF(AD247:AD250,AD244,AQ247:AQ250)</f>
        <v>0</v>
      </c>
      <c r="AR244" s="3626">
        <f>SUMIF(AD247:AD250,AD244,AR247:AR250)</f>
        <v>0</v>
      </c>
      <c r="AS244" s="213">
        <f>SUMIF(AD247:AD250,AD244,AS247:AS250)</f>
        <v>0</v>
      </c>
      <c r="AT244" s="1460">
        <f>SUMIF(AD247:AD250,AD244,AT247:AT250)</f>
        <v>0</v>
      </c>
      <c r="AU244" s="1460">
        <f>SUMIF(AD247:AD250,AD244,AU247:AU250)</f>
        <v>0</v>
      </c>
      <c r="AV244" s="1460">
        <f>SUMIF(AD247:AD250,AD244,AV247:AV250)</f>
        <v>0</v>
      </c>
      <c r="AW244" s="1460">
        <f>SUMIF(AD247:AD250,AD244,AW247:AW250)</f>
        <v>0</v>
      </c>
      <c r="AX244" s="3626">
        <f>SUMIF(AD247:AD250,AD244,AX247:AX250)</f>
        <v>0</v>
      </c>
      <c r="AY244" s="3626">
        <f>SUMIF(AD247:AD250,AD244,AY247:AY250)</f>
        <v>0</v>
      </c>
      <c r="AZ244" s="3626">
        <f>SUMIF(AD247:AD250,AD244,AZ247:AZ250)</f>
        <v>0</v>
      </c>
      <c r="BA244" s="3626">
        <f>SUMIF(AD247:AD250,AD244,BA247:BA250)</f>
        <v>0</v>
      </c>
      <c r="BB244" s="3626">
        <f>SUMIF(AD247:AD250,AD244,BB247:BB250)</f>
        <v>0</v>
      </c>
      <c r="BC244" s="200"/>
      <c r="BD244" s="885"/>
      <c r="BE244" s="885"/>
      <c r="BF244" s="1041" t="s">
        <v>1794</v>
      </c>
      <c r="BG244" s="1041"/>
      <c r="BH244" s="1041"/>
      <c r="BI244" s="678"/>
      <c r="BJ244" s="678"/>
    </row>
    <row s="1834" customFormat="1" customHeight="1" ht="0" hidden="1">
      <c r="A245" s="885"/>
      <c r="B245" s="440"/>
      <c r="C245" s="885"/>
      <c r="D245" s="885"/>
      <c r="E245" s="678">
        <v>0</v>
      </c>
      <c r="F245" s="50" cm="1" t="str">
        <f t="array" ref="F245:F245">OFFSET(E245,-1,1)</f>
        <v>3</v>
      </c>
      <c r="G245" s="152" t="s">
        <v>333</v>
      </c>
      <c r="H245" s="885"/>
      <c r="I245" s="885"/>
      <c r="J245" s="885"/>
      <c r="K245" s="911"/>
      <c r="L245" s="915"/>
      <c r="M245" s="885"/>
      <c r="N245" s="885"/>
      <c r="O245" s="885"/>
      <c r="P245" s="885"/>
      <c r="Q245" s="885"/>
      <c r="R245" s="885"/>
      <c r="S245" s="885"/>
      <c r="T245" s="465" t="b">
        <v>0</v>
      </c>
      <c r="U245" s="885"/>
      <c r="V245" s="885"/>
      <c r="W245" s="152" t="s">
        <v>174</v>
      </c>
      <c r="X245" s="1524"/>
      <c r="Y245" s="1524">
        <v>0</v>
      </c>
      <c r="Z245" s="1615"/>
      <c r="AA245" s="1617" t="s">
        <v>175</v>
      </c>
      <c r="AB245" s="211"/>
      <c r="AC245" s="212"/>
      <c r="AD245" s="211"/>
      <c r="AE245" s="1368">
        <f>OR(AND(AE247&lt;&gt;"",AE248=""),AND(AE247="",AE248&lt;&gt;""))</f>
        <v>0</v>
      </c>
      <c r="AF245" s="1368">
        <f>OR(AND(AF247&lt;&gt;"",AF248=""),AND(AF247="",AF248&lt;&gt;""))</f>
        <v>0</v>
      </c>
      <c r="AG245" s="1368">
        <f>OR(AND(AG247&lt;&gt;"",AG248=""),AND(AG247="",AG248&lt;&gt;""))</f>
        <v>0</v>
      </c>
      <c r="AH245" s="1368">
        <f>OR(AND(AH247&lt;&gt;"",AH248=""),AND(AH247="",AH248&lt;&gt;""))</f>
        <v>0</v>
      </c>
      <c r="AI245" s="1368">
        <f>OR(AND(AI247&lt;&gt;"",AI248=""),AND(AI247="",AI248&lt;&gt;""))</f>
        <v>0</v>
      </c>
      <c r="AJ245" s="1368">
        <f>OR(AND(AJ247&lt;&gt;"",AJ248=""),AND(AJ247="",AJ248&lt;&gt;""))</f>
        <v>0</v>
      </c>
      <c r="AK245" s="1368">
        <f>OR(AND(AK247&lt;&gt;"",AK248=""),AND(AK247="",AK248&lt;&gt;""))</f>
        <v>0</v>
      </c>
      <c r="AL245" s="1368">
        <f>OR(AND(AL247&lt;&gt;"",AL248=""),AND(AL247="",AL248&lt;&gt;""))</f>
        <v>0</v>
      </c>
      <c r="AM245" s="1368">
        <f>OR(AND(AM247&lt;&gt;"",AM248=""),AND(AM247="",AM248&lt;&gt;""))</f>
        <v>0</v>
      </c>
      <c r="AN245" s="1368">
        <f>OR(AND(AN247&lt;&gt;"",AN248=""),AND(AN247="",AN248&lt;&gt;""))</f>
        <v>0</v>
      </c>
      <c r="AO245" s="1368">
        <f>OR(AND(AO247&lt;&gt;"",AO248=""),AND(AO247="",AO248&lt;&gt;""))</f>
        <v>0</v>
      </c>
      <c r="AP245" s="1368">
        <f>OR(AND(AP247&lt;&gt;"",AP248=""),AND(AP247="",AP248&lt;&gt;""))</f>
        <v>0</v>
      </c>
      <c r="AQ245" s="1368">
        <f>OR(AND(AQ247&lt;&gt;"",AQ248=""),AND(AQ247="",AQ248&lt;&gt;""))</f>
        <v>0</v>
      </c>
      <c r="AR245" s="1368">
        <f>OR(AND(AR247&lt;&gt;"",AR248=""),AND(AR247="",AR248&lt;&gt;""))</f>
        <v>0</v>
      </c>
      <c r="AS245" s="1368">
        <f>OR(AND(AS247&lt;&gt;"",AS248=""),AND(AS247="",AS248&lt;&gt;""))</f>
        <v>0</v>
      </c>
      <c r="AT245" s="1368">
        <f>OR(AND(AT247&lt;&gt;"",AT248=""),AND(AT247="",AT248&lt;&gt;""))</f>
        <v>0</v>
      </c>
      <c r="AU245" s="1368">
        <f>OR(AND(AU247&lt;&gt;"",AU248=""),AND(AU247="",AU248&lt;&gt;""))</f>
        <v>0</v>
      </c>
      <c r="AV245" s="1368">
        <f>OR(AND(AV247&lt;&gt;"",AV248=""),AND(AV247="",AV248&lt;&gt;""))</f>
        <v>0</v>
      </c>
      <c r="AW245" s="1368">
        <f>OR(AND(AW247&lt;&gt;"",AW248=""),AND(AW247="",AW248&lt;&gt;""))</f>
        <v>0</v>
      </c>
      <c r="AX245" s="1368">
        <f>OR(AND(AX247&lt;&gt;"",AX248=""),AND(AX247="",AX248&lt;&gt;""))</f>
        <v>0</v>
      </c>
      <c r="AY245" s="1368">
        <f>OR(AND(AY247&lt;&gt;"",AY248=""),AND(AY247="",AY248&lt;&gt;""))</f>
        <v>0</v>
      </c>
      <c r="AZ245" s="1368">
        <f>OR(AND(AZ247&lt;&gt;"",AZ248=""),AND(AZ247="",AZ248&lt;&gt;""))</f>
        <v>0</v>
      </c>
      <c r="BA245" s="1368">
        <f>OR(AND(BA247&lt;&gt;"",BA248=""),AND(BA247="",BA248&lt;&gt;""))</f>
        <v>0</v>
      </c>
      <c r="BB245" s="1368">
        <f>OR(AND(BB247&lt;&gt;"",BB248=""),AND(BB247="",BB248&lt;&gt;""))</f>
        <v>0</v>
      </c>
      <c r="BC245" s="974"/>
      <c r="BD245" s="885"/>
      <c r="BE245" s="885"/>
      <c r="BF245" s="1041"/>
      <c r="BG245" s="1041"/>
      <c r="BH245" s="1041"/>
      <c r="BI245" s="678"/>
      <c r="BJ245" s="678"/>
    </row>
    <row s="1834" customFormat="1" customHeight="1" ht="0" hidden="1">
      <c r="A246" s="885"/>
      <c r="B246" s="440"/>
      <c r="C246" s="885"/>
      <c r="D246" s="885"/>
      <c r="E246" s="678">
        <v>15</v>
      </c>
      <c r="F246" s="1387" cm="1" t="str">
        <f t="array" ref="F246:F246">OFFSET(E246,-1,1)</f>
        <v>3</v>
      </c>
      <c r="G246" s="885"/>
      <c r="H246" s="885"/>
      <c r="I246" s="885"/>
      <c r="J246" s="885"/>
      <c r="K246" s="911"/>
      <c r="L246" s="915"/>
      <c r="M246" s="885"/>
      <c r="N246" s="885"/>
      <c r="O246" s="885"/>
      <c r="P246" s="885"/>
      <c r="Q246" s="885"/>
      <c r="R246" s="885"/>
      <c r="S246" s="885"/>
      <c r="T246" s="1356">
        <f>AND(Y245&gt;0,F246&gt;0)</f>
        <v>0</v>
      </c>
      <c r="U246" s="885"/>
      <c r="V246" s="885"/>
      <c r="W246" s="885"/>
      <c r="X246" s="684"/>
      <c r="Y246" s="1524"/>
      <c r="Z246" s="885"/>
      <c r="AA246" s="1697"/>
      <c r="AB246" s="1698" t="str">
        <f>"2."&amp;Y245</f>
        <v>2.0</v>
      </c>
      <c r="AC246" s="1699" t="s">
        <v>227</v>
      </c>
      <c r="AD246" s="1700"/>
      <c r="AE246" s="3635"/>
      <c r="AF246" s="1702"/>
      <c r="AG246" s="3635"/>
      <c r="AH246" s="3635"/>
      <c r="AI246" s="3635"/>
      <c r="AJ246" s="3635"/>
      <c r="AK246" s="3635"/>
      <c r="AL246" s="3635"/>
      <c r="AM246" s="3635"/>
      <c r="AN246" s="3635"/>
      <c r="AO246" s="3635"/>
      <c r="AP246" s="3635"/>
      <c r="AQ246" s="3635"/>
      <c r="AR246" s="3635"/>
      <c r="AS246" s="1702"/>
      <c r="AT246" s="1702"/>
      <c r="AU246" s="1702"/>
      <c r="AV246" s="1702"/>
      <c r="AW246" s="1702"/>
      <c r="AX246" s="1702"/>
      <c r="AY246" s="1702"/>
      <c r="AZ246" s="1702"/>
      <c r="BA246" s="1702"/>
      <c r="BB246" s="1703"/>
      <c r="BC246" s="1704"/>
      <c r="BD246" s="885"/>
      <c r="BE246" s="885"/>
      <c r="BF246" s="1041"/>
      <c r="BG246" s="1041"/>
      <c r="BH246" s="1041"/>
      <c r="BI246" s="678"/>
      <c r="BJ246" s="678"/>
    </row>
    <row s="1834" customFormat="1" customHeight="1" ht="0" hidden="1">
      <c r="A247" s="885"/>
      <c r="B247" s="440"/>
      <c r="C247" s="885"/>
      <c r="D247" s="885"/>
      <c r="E247" s="678">
        <v>15</v>
      </c>
      <c r="F247" s="50" cm="1" t="str">
        <f t="array" ref="F247:F247">OFFSET(E247,-1,1)</f>
        <v>3</v>
      </c>
      <c r="G247" s="152" t="s">
        <v>333</v>
      </c>
      <c r="H247" s="155" cm="1" t="str">
        <f t="array" ref="H247:H247">AC247</f>
        <v>Затраты</v>
      </c>
      <c r="I247" s="152" t="s">
        <v>1795</v>
      </c>
      <c r="J247" s="885"/>
      <c r="K247" s="911"/>
      <c r="L247" s="885"/>
      <c r="M247" s="885"/>
      <c r="N247" s="885"/>
      <c r="O247" s="885"/>
      <c r="P247" s="885"/>
      <c r="Q247" s="885"/>
      <c r="R247" s="885"/>
      <c r="S247" s="885"/>
      <c r="T247" s="465" cm="1" t="str">
        <f t="array" ref="T247:T247">T246</f>
        <v>false</v>
      </c>
      <c r="U247" s="885"/>
      <c r="V247" s="885"/>
      <c r="W247" s="885"/>
      <c r="X247" s="1524"/>
      <c r="Y247" s="1524"/>
      <c r="Z247" s="1615"/>
      <c r="AA247" s="1617"/>
      <c r="AB247" s="88" t="str">
        <f>AB246&amp;".1"</f>
        <v>2.0.1</v>
      </c>
      <c r="AC247" s="1705" t="s">
        <v>1783</v>
      </c>
      <c r="AD247" s="211" t="s">
        <v>1514</v>
      </c>
      <c r="AE247" s="3536"/>
      <c r="AF247" s="3536"/>
      <c r="AG247" s="3536"/>
      <c r="AH247" s="3536"/>
      <c r="AI247" s="3536"/>
      <c r="AJ247" s="3536"/>
      <c r="AK247" s="3536"/>
      <c r="AL247" s="3536"/>
      <c r="AM247" s="3536"/>
      <c r="AN247" s="3536"/>
      <c r="AO247" s="3536"/>
      <c r="AP247" s="3536"/>
      <c r="AQ247" s="3536"/>
      <c r="AR247" s="3536"/>
      <c r="AS247" s="3536"/>
      <c r="AT247" s="3536"/>
      <c r="AU247" s="3536"/>
      <c r="AV247" s="3536"/>
      <c r="AW247" s="3536"/>
      <c r="AX247" s="3536"/>
      <c r="AY247" s="3536"/>
      <c r="AZ247" s="3536"/>
      <c r="BA247" s="3536"/>
      <c r="BB247" s="3536"/>
      <c r="BC247" s="2070"/>
      <c r="BD247" s="885"/>
      <c r="BE247" s="885"/>
      <c r="BF247" s="1041" t="s">
        <v>1784</v>
      </c>
      <c r="BG247" s="1041" t="s">
        <v>1796</v>
      </c>
      <c r="BH247" s="1041" cm="1" t="str">
        <f t="array" ref="BH247:BH247">AC246</f>
        <v/>
      </c>
      <c r="BI247" s="678"/>
      <c r="BJ247" s="678" t="b">
        <v>1</v>
      </c>
    </row>
    <row s="1834" customFormat="1" customHeight="1" ht="0" hidden="1">
      <c r="A248" s="885"/>
      <c r="B248" s="440"/>
      <c r="C248" s="885"/>
      <c r="D248" s="885"/>
      <c r="E248" s="678">
        <v>15</v>
      </c>
      <c r="F248" s="50" cm="1" t="str">
        <f t="array" ref="F248:F248">OFFSET(E248,-1,1)</f>
        <v>3</v>
      </c>
      <c r="G248" s="152" t="s">
        <v>1193</v>
      </c>
      <c r="H248" s="155" cm="1" t="str">
        <f t="array" ref="H248:H248">H247</f>
        <v>Затраты</v>
      </c>
      <c r="I248" s="152" t="s">
        <v>1795</v>
      </c>
      <c r="J248" s="885"/>
      <c r="K248" s="911"/>
      <c r="L248" s="885"/>
      <c r="M248" s="885"/>
      <c r="N248" s="885"/>
      <c r="O248" s="885"/>
      <c r="P248" s="885"/>
      <c r="Q248" s="885"/>
      <c r="R248" s="885"/>
      <c r="S248" s="885"/>
      <c r="T248" s="465" cm="1" t="str">
        <f t="array" ref="T248:T248">T247</f>
        <v>false</v>
      </c>
      <c r="U248" s="885"/>
      <c r="V248" s="885"/>
      <c r="W248" s="885"/>
      <c r="X248" s="1524"/>
      <c r="Y248" s="1524"/>
      <c r="Z248" s="1615"/>
      <c r="AA248" s="1617"/>
      <c r="AB248" s="88" t="str">
        <f>AB247&amp;".1"</f>
        <v>2.0.1.1</v>
      </c>
      <c r="AC248" s="221" t="s">
        <v>1797</v>
      </c>
      <c r="AD248" s="88" t="s">
        <v>1247</v>
      </c>
      <c r="AE248" s="3536"/>
      <c r="AF248" s="3536"/>
      <c r="AG248" s="3536"/>
      <c r="AH248" s="3536"/>
      <c r="AI248" s="3536"/>
      <c r="AJ248" s="3536"/>
      <c r="AK248" s="3536"/>
      <c r="AL248" s="3536"/>
      <c r="AM248" s="3536"/>
      <c r="AN248" s="3536"/>
      <c r="AO248" s="3536"/>
      <c r="AP248" s="3536"/>
      <c r="AQ248" s="3536"/>
      <c r="AR248" s="3536"/>
      <c r="AS248" s="3536"/>
      <c r="AT248" s="3536"/>
      <c r="AU248" s="3536"/>
      <c r="AV248" s="3536"/>
      <c r="AW248" s="3536"/>
      <c r="AX248" s="3536"/>
      <c r="AY248" s="3536"/>
      <c r="AZ248" s="3536"/>
      <c r="BA248" s="3536"/>
      <c r="BB248" s="3536"/>
      <c r="BC248" s="2070"/>
      <c r="BD248" s="885"/>
      <c r="BE248" s="885"/>
      <c r="BF248" s="1041" t="s">
        <v>1787</v>
      </c>
      <c r="BG248" s="1041" t="s">
        <v>1796</v>
      </c>
      <c r="BH248" s="1041" cm="1" t="str">
        <f t="array" ref="BH248:BH248">BH247</f>
        <v/>
      </c>
      <c r="BI248" s="678"/>
      <c r="BJ248" s="678"/>
    </row>
    <row s="1834" customFormat="1" customHeight="1" ht="0" hidden="1">
      <c r="A249" s="885"/>
      <c r="B249" s="440"/>
      <c r="C249" s="885"/>
      <c r="D249" s="885"/>
      <c r="E249" s="678">
        <v>15</v>
      </c>
      <c r="F249" s="1387" cm="1" t="str">
        <f t="array" ref="F249:F249">OFFSET(E249,-1,1)</f>
        <v>3</v>
      </c>
      <c r="G249" s="885"/>
      <c r="H249" s="155"/>
      <c r="I249" s="885"/>
      <c r="J249" s="885"/>
      <c r="K249" s="911"/>
      <c r="L249" s="885"/>
      <c r="M249" s="885"/>
      <c r="N249" s="885"/>
      <c r="O249" s="885"/>
      <c r="P249" s="885"/>
      <c r="Q249" s="885"/>
      <c r="R249" s="885"/>
      <c r="S249" s="885"/>
      <c r="T249" s="1356" cm="1" t="str">
        <f t="array" ref="T249:T249">T248</f>
        <v>false</v>
      </c>
      <c r="U249" s="885"/>
      <c r="V249" s="885"/>
      <c r="W249" s="885"/>
      <c r="X249" s="684"/>
      <c r="Y249" s="1524"/>
      <c r="Z249" s="885"/>
      <c r="AA249" s="1697"/>
      <c r="AB249" s="1706" t="str">
        <f>AB247&amp;".2"</f>
        <v>2.0.1.2</v>
      </c>
      <c r="AC249" s="1707" t="s">
        <v>1798</v>
      </c>
      <c r="AD249" s="1706" t="s">
        <v>1789</v>
      </c>
      <c r="AE249" s="3644"/>
      <c r="AF249" s="3644"/>
      <c r="AG249" s="3644"/>
      <c r="AH249" s="3644"/>
      <c r="AI249" s="3644"/>
      <c r="AJ249" s="3644"/>
      <c r="AK249" s="3644"/>
      <c r="AL249" s="3644"/>
      <c r="AM249" s="3644"/>
      <c r="AN249" s="3644"/>
      <c r="AO249" s="3644"/>
      <c r="AP249" s="3644"/>
      <c r="AQ249" s="3644"/>
      <c r="AR249" s="3644"/>
      <c r="AS249" s="3644"/>
      <c r="AT249" s="3644"/>
      <c r="AU249" s="3644"/>
      <c r="AV249" s="3644"/>
      <c r="AW249" s="3644"/>
      <c r="AX249" s="3644"/>
      <c r="AY249" s="3644"/>
      <c r="AZ249" s="3644"/>
      <c r="BA249" s="3644"/>
      <c r="BB249" s="3644"/>
      <c r="BC249" s="3645"/>
      <c r="BD249" s="885"/>
      <c r="BE249" s="885"/>
      <c r="BF249" s="1041" t="s">
        <v>1790</v>
      </c>
      <c r="BG249" s="1041" t="s">
        <v>1796</v>
      </c>
      <c r="BH249" s="1710" cm="1" t="str">
        <f t="array" ref="BH249:BH249">BH248</f>
        <v/>
      </c>
      <c r="BI249" s="678"/>
      <c r="BJ249" s="678"/>
    </row>
    <row s="1834" customFormat="1" customHeight="1" ht="0">
      <c r="A250" s="885"/>
      <c r="B250" s="440"/>
      <c r="C250" s="885"/>
      <c r="D250" s="885"/>
      <c r="E250" s="678">
        <v>15</v>
      </c>
      <c r="F250" s="50" cm="1" t="str">
        <f t="array" ref="F250:F250">OFFSET(E250,-1,1)</f>
        <v>3</v>
      </c>
      <c r="G250" s="885"/>
      <c r="H250" s="152" t="str">
        <f>"!=='не определено' &amp;&amp; row.l2 !== null"</f>
        <v>!=='не определено' &amp;&amp; row.l2 !== null</v>
      </c>
      <c r="I250" s="885"/>
      <c r="J250" s="885"/>
      <c r="K250" s="911"/>
      <c r="L250" s="885"/>
      <c r="M250" s="885"/>
      <c r="N250" s="885"/>
      <c r="O250" s="885"/>
      <c r="P250" s="885"/>
      <c r="Q250" s="885"/>
      <c r="R250" s="885"/>
      <c r="S250" s="885"/>
      <c r="T250" s="465">
        <f>F250&gt;0</f>
        <v>1</v>
      </c>
      <c r="U250" s="885"/>
      <c r="V250" s="885"/>
      <c r="W250" s="685" t="s">
        <v>1791</v>
      </c>
      <c r="X250" s="1524"/>
      <c r="Y250" s="683"/>
      <c r="Z250" s="1615"/>
      <c r="AA250" s="885"/>
      <c r="AB250" s="681"/>
      <c r="AC250" s="232" t="s">
        <v>1792</v>
      </c>
      <c r="AD250" s="232"/>
      <c r="AE250" s="232"/>
      <c r="AF250" s="232"/>
      <c r="AG250" s="232"/>
      <c r="AH250" s="232"/>
      <c r="AI250" s="232"/>
      <c r="AJ250" s="232"/>
      <c r="AK250" s="232"/>
      <c r="AL250" s="232"/>
      <c r="AM250" s="232"/>
      <c r="AN250" s="232"/>
      <c r="AO250" s="232"/>
      <c r="AP250" s="232"/>
      <c r="AQ250" s="232"/>
      <c r="AR250" s="232"/>
      <c r="AS250" s="232"/>
      <c r="AT250" s="232"/>
      <c r="AU250" s="232"/>
      <c r="AV250" s="232"/>
      <c r="AW250" s="232"/>
      <c r="AX250" s="232"/>
      <c r="AY250" s="232"/>
      <c r="AZ250" s="232"/>
      <c r="BA250" s="232"/>
      <c r="BB250" s="232"/>
      <c r="BC250" s="233"/>
      <c r="BD250" s="885"/>
      <c r="BE250" s="885"/>
      <c r="BF250" s="1041"/>
      <c r="BG250" s="1041"/>
      <c r="BH250" s="1041"/>
      <c r="BI250" s="678" t="s">
        <v>1796</v>
      </c>
      <c r="BJ250" s="678"/>
    </row>
    <row s="1834" customFormat="1" customHeight="1" ht="0">
      <c r="A251" s="885"/>
      <c r="B251" s="440"/>
      <c r="C251" s="885"/>
      <c r="D251" s="885"/>
      <c r="E251" s="678">
        <v>23</v>
      </c>
      <c r="F251" s="50" cm="1" t="str">
        <f t="array" ref="F251:F251">OFFSET(E251,-1,1)</f>
        <v>3</v>
      </c>
      <c r="G251" s="885"/>
      <c r="H251" s="885"/>
      <c r="I251" s="885"/>
      <c r="J251" s="885"/>
      <c r="K251" s="911" t="str">
        <f>F237&amp;"3komm"</f>
        <v>33komm</v>
      </c>
      <c r="L251" s="915" cm="1" t="str">
        <f t="array" ref="L251:L251">BC251</f>
        <v>0</v>
      </c>
      <c r="M251" s="885"/>
      <c r="N251" s="885"/>
      <c r="O251" s="885"/>
      <c r="P251" s="885"/>
      <c r="Q251" s="885"/>
      <c r="R251" s="885"/>
      <c r="S251" s="885"/>
      <c r="T251" s="465" cm="1" t="str">
        <f t="array" ref="T251:T251">T250</f>
        <v>true</v>
      </c>
      <c r="U251" s="885"/>
      <c r="V251" s="885"/>
      <c r="W251" s="885"/>
      <c r="X251" s="1524"/>
      <c r="Y251" s="684"/>
      <c r="Z251" s="1615"/>
      <c r="AA251" s="885"/>
      <c r="AB251" s="211">
        <v>3</v>
      </c>
      <c r="AC251" s="212" t="s">
        <v>1799</v>
      </c>
      <c r="AD251" s="211" t="s">
        <v>1514</v>
      </c>
      <c r="AE251" s="213">
        <f>SUMIF(AD254:AD257,AD251,AE254:AE257)</f>
        <v>0</v>
      </c>
      <c r="AF251" s="213">
        <f>SUMIF(AD254:AD257,AD251,AF254:AF257)</f>
        <v>0</v>
      </c>
      <c r="AG251" s="213">
        <f>SUMIF(AD254:AD257,AD251,AG254:AG257)</f>
        <v>0</v>
      </c>
      <c r="AH251" s="213">
        <f>SUMIF(AD254:AD257,AD251,AH254:AH257)</f>
        <v>0</v>
      </c>
      <c r="AI251" s="213">
        <f>SUMIF(AD254:AD257,AD251,AI254:AI257)</f>
        <v>0</v>
      </c>
      <c r="AJ251" s="1460">
        <f>SUMIF(AD254:AD257,AD251,AJ254:AJ257)</f>
        <v>0</v>
      </c>
      <c r="AK251" s="1460">
        <f>SUMIF(AD254:AD257,AD251,AK254:AK257)</f>
        <v>0</v>
      </c>
      <c r="AL251" s="1460">
        <f>SUMIF(AD254:AD257,AD251,AL254:AL257)</f>
        <v>0</v>
      </c>
      <c r="AM251" s="1460">
        <f>SUMIF(AD254:AD257,AD251,AM254:AM257)</f>
        <v>0</v>
      </c>
      <c r="AN251" s="3626">
        <f>SUMIF(AD254:AD257,AD251,AN254:AN257)</f>
        <v>0</v>
      </c>
      <c r="AO251" s="3626">
        <f>SUMIF(AD254:AD257,AD251,AO254:AO257)</f>
        <v>0</v>
      </c>
      <c r="AP251" s="3626">
        <f>SUMIF(AD254:AD257,AD251,AP254:AP257)</f>
        <v>0</v>
      </c>
      <c r="AQ251" s="3626">
        <f>SUMIF(AD254:AD257,AD251,AQ254:AQ257)</f>
        <v>0</v>
      </c>
      <c r="AR251" s="3626">
        <f>SUMIF(AD254:AD257,AD251,AR254:AR257)</f>
        <v>0</v>
      </c>
      <c r="AS251" s="213">
        <f>SUMIF(AD254:AD257,AD251,AS254:AS257)</f>
        <v>0</v>
      </c>
      <c r="AT251" s="1460">
        <f>SUMIF(AD254:AD257,AD251,AT254:AT257)</f>
        <v>0</v>
      </c>
      <c r="AU251" s="1460">
        <f>SUMIF(AD254:AD257,AD251,AU254:AU257)</f>
        <v>0</v>
      </c>
      <c r="AV251" s="1460">
        <f>SUMIF(AD254:AD257,AD251,AV254:AV257)</f>
        <v>0</v>
      </c>
      <c r="AW251" s="1460">
        <f>SUMIF(AD254:AD257,AD251,AW254:AW257)</f>
        <v>0</v>
      </c>
      <c r="AX251" s="3626">
        <f>SUMIF(AD254:AD257,AD251,AX254:AX257)</f>
        <v>0</v>
      </c>
      <c r="AY251" s="3626">
        <f>SUMIF(AD254:AD257,AD251,AY254:AY257)</f>
        <v>0</v>
      </c>
      <c r="AZ251" s="3626">
        <f>SUMIF(AD254:AD257,AD251,AZ254:AZ257)</f>
        <v>0</v>
      </c>
      <c r="BA251" s="3626">
        <f>SUMIF(AD254:AD257,AD251,BA254:BA257)</f>
        <v>0</v>
      </c>
      <c r="BB251" s="3626">
        <f>SUMIF(AD254:AD257,AD251,BB254:BB257)</f>
        <v>0</v>
      </c>
      <c r="BC251" s="200"/>
      <c r="BD251" s="885"/>
      <c r="BE251" s="885"/>
      <c r="BF251" s="1041" t="s">
        <v>1800</v>
      </c>
      <c r="BG251" s="1041"/>
      <c r="BH251" s="1041"/>
      <c r="BI251" s="678"/>
      <c r="BJ251" s="678"/>
    </row>
    <row s="1834" customFormat="1" customHeight="1" ht="0" hidden="1">
      <c r="A252" s="885"/>
      <c r="B252" s="440"/>
      <c r="C252" s="885"/>
      <c r="D252" s="885"/>
      <c r="E252" s="678">
        <v>0</v>
      </c>
      <c r="F252" s="50" cm="1" t="str">
        <f t="array" ref="F252:F252">OFFSET(E252,-1,1)</f>
        <v>3</v>
      </c>
      <c r="G252" s="152" t="s">
        <v>334</v>
      </c>
      <c r="H252" s="885"/>
      <c r="I252" s="885"/>
      <c r="J252" s="885"/>
      <c r="K252" s="911"/>
      <c r="L252" s="915"/>
      <c r="M252" s="885"/>
      <c r="N252" s="885"/>
      <c r="O252" s="885"/>
      <c r="P252" s="885"/>
      <c r="Q252" s="885"/>
      <c r="R252" s="885"/>
      <c r="S252" s="885"/>
      <c r="T252" s="465" t="b">
        <v>0</v>
      </c>
      <c r="U252" s="885"/>
      <c r="V252" s="885"/>
      <c r="W252" s="152" t="s">
        <v>174</v>
      </c>
      <c r="X252" s="1524"/>
      <c r="Y252" s="1524">
        <v>0</v>
      </c>
      <c r="Z252" s="1615"/>
      <c r="AA252" s="1617" t="s">
        <v>175</v>
      </c>
      <c r="AB252" s="211"/>
      <c r="AC252" s="212"/>
      <c r="AD252" s="211"/>
      <c r="AE252" s="1368">
        <f>OR(AND(AE254&lt;&gt;"",AE255=""),AND(AE254="",AE255&lt;&gt;""))</f>
        <v>0</v>
      </c>
      <c r="AF252" s="1368">
        <f>OR(AND(AF254&lt;&gt;"",AF255=""),AND(AF254="",AF255&lt;&gt;""))</f>
        <v>0</v>
      </c>
      <c r="AG252" s="1368">
        <f>OR(AND(AG254&lt;&gt;"",AG255=""),AND(AG254="",AG255&lt;&gt;""))</f>
        <v>0</v>
      </c>
      <c r="AH252" s="1368">
        <f>OR(AND(AH254&lt;&gt;"",AH255=""),AND(AH254="",AH255&lt;&gt;""))</f>
        <v>0</v>
      </c>
      <c r="AI252" s="1368">
        <f>OR(AND(AI254&lt;&gt;"",AI255=""),AND(AI254="",AI255&lt;&gt;""))</f>
        <v>0</v>
      </c>
      <c r="AJ252" s="1368">
        <f>OR(AND(AJ254&lt;&gt;"",AJ255=""),AND(AJ254="",AJ255&lt;&gt;""))</f>
        <v>0</v>
      </c>
      <c r="AK252" s="1368">
        <f>OR(AND(AK254&lt;&gt;"",AK255=""),AND(AK254="",AK255&lt;&gt;""))</f>
        <v>0</v>
      </c>
      <c r="AL252" s="1368">
        <f>OR(AND(AL254&lt;&gt;"",AL255=""),AND(AL254="",AL255&lt;&gt;""))</f>
        <v>0</v>
      </c>
      <c r="AM252" s="1368">
        <f>OR(AND(AM254&lt;&gt;"",AM255=""),AND(AM254="",AM255&lt;&gt;""))</f>
        <v>0</v>
      </c>
      <c r="AN252" s="1368">
        <f>OR(AND(AN254&lt;&gt;"",AN255=""),AND(AN254="",AN255&lt;&gt;""))</f>
        <v>0</v>
      </c>
      <c r="AO252" s="1368">
        <f>OR(AND(AO254&lt;&gt;"",AO255=""),AND(AO254="",AO255&lt;&gt;""))</f>
        <v>0</v>
      </c>
      <c r="AP252" s="1368">
        <f>OR(AND(AP254&lt;&gt;"",AP255=""),AND(AP254="",AP255&lt;&gt;""))</f>
        <v>0</v>
      </c>
      <c r="AQ252" s="1368">
        <f>OR(AND(AQ254&lt;&gt;"",AQ255=""),AND(AQ254="",AQ255&lt;&gt;""))</f>
        <v>0</v>
      </c>
      <c r="AR252" s="1368">
        <f>OR(AND(AR254&lt;&gt;"",AR255=""),AND(AR254="",AR255&lt;&gt;""))</f>
        <v>0</v>
      </c>
      <c r="AS252" s="1368">
        <f>OR(AND(AS254&lt;&gt;"",AS255=""),AND(AS254="",AS255&lt;&gt;""))</f>
        <v>0</v>
      </c>
      <c r="AT252" s="1368">
        <f>OR(AND(AT254&lt;&gt;"",AT255=""),AND(AT254="",AT255&lt;&gt;""))</f>
        <v>0</v>
      </c>
      <c r="AU252" s="1368">
        <f>OR(AND(AU254&lt;&gt;"",AU255=""),AND(AU254="",AU255&lt;&gt;""))</f>
        <v>0</v>
      </c>
      <c r="AV252" s="1368">
        <f>OR(AND(AV254&lt;&gt;"",AV255=""),AND(AV254="",AV255&lt;&gt;""))</f>
        <v>0</v>
      </c>
      <c r="AW252" s="1368">
        <f>OR(AND(AW254&lt;&gt;"",AW255=""),AND(AW254="",AW255&lt;&gt;""))</f>
        <v>0</v>
      </c>
      <c r="AX252" s="1368">
        <f>OR(AND(AX254&lt;&gt;"",AX255=""),AND(AX254="",AX255&lt;&gt;""))</f>
        <v>0</v>
      </c>
      <c r="AY252" s="1368">
        <f>OR(AND(AY254&lt;&gt;"",AY255=""),AND(AY254="",AY255&lt;&gt;""))</f>
        <v>0</v>
      </c>
      <c r="AZ252" s="1368">
        <f>OR(AND(AZ254&lt;&gt;"",AZ255=""),AND(AZ254="",AZ255&lt;&gt;""))</f>
        <v>0</v>
      </c>
      <c r="BA252" s="1368">
        <f>OR(AND(BA254&lt;&gt;"",BA255=""),AND(BA254="",BA255&lt;&gt;""))</f>
        <v>0</v>
      </c>
      <c r="BB252" s="1368">
        <f>OR(AND(BB254&lt;&gt;"",BB255=""),AND(BB254="",BB255&lt;&gt;""))</f>
        <v>0</v>
      </c>
      <c r="BC252" s="974"/>
      <c r="BD252" s="885"/>
      <c r="BE252" s="885"/>
      <c r="BF252" s="1041"/>
      <c r="BG252" s="1041"/>
      <c r="BH252" s="1041"/>
      <c r="BI252" s="678"/>
      <c r="BJ252" s="678"/>
    </row>
    <row s="1834" customFormat="1" customHeight="1" ht="0" hidden="1">
      <c r="A253" s="885"/>
      <c r="B253" s="440"/>
      <c r="C253" s="885"/>
      <c r="D253" s="885"/>
      <c r="E253" s="678">
        <v>15</v>
      </c>
      <c r="F253" s="1387" cm="1" t="str">
        <f t="array" ref="F253:F253">OFFSET(E253,-1,1)</f>
        <v>3</v>
      </c>
      <c r="G253" s="885"/>
      <c r="H253" s="885"/>
      <c r="I253" s="885"/>
      <c r="J253" s="885"/>
      <c r="K253" s="911"/>
      <c r="L253" s="915"/>
      <c r="M253" s="885"/>
      <c r="N253" s="885"/>
      <c r="O253" s="885"/>
      <c r="P253" s="885"/>
      <c r="Q253" s="885"/>
      <c r="R253" s="885"/>
      <c r="S253" s="885"/>
      <c r="T253" s="1356">
        <f>AND(Y252&gt;0,F253&gt;0)</f>
        <v>0</v>
      </c>
      <c r="U253" s="885"/>
      <c r="V253" s="885"/>
      <c r="W253" s="885"/>
      <c r="X253" s="684"/>
      <c r="Y253" s="1524"/>
      <c r="Z253" s="885"/>
      <c r="AA253" s="1697"/>
      <c r="AB253" s="1698" t="str">
        <f>"3."&amp;Y252</f>
        <v>3.0</v>
      </c>
      <c r="AC253" s="1699" t="s">
        <v>227</v>
      </c>
      <c r="AD253" s="1700"/>
      <c r="AE253" s="3635"/>
      <c r="AF253" s="1702"/>
      <c r="AG253" s="3635"/>
      <c r="AH253" s="3635"/>
      <c r="AI253" s="3635"/>
      <c r="AJ253" s="3635"/>
      <c r="AK253" s="3635"/>
      <c r="AL253" s="3635"/>
      <c r="AM253" s="3635"/>
      <c r="AN253" s="3635"/>
      <c r="AO253" s="3635"/>
      <c r="AP253" s="3635"/>
      <c r="AQ253" s="3635"/>
      <c r="AR253" s="3635"/>
      <c r="AS253" s="1702"/>
      <c r="AT253" s="1702"/>
      <c r="AU253" s="1702"/>
      <c r="AV253" s="1702"/>
      <c r="AW253" s="1702"/>
      <c r="AX253" s="1702"/>
      <c r="AY253" s="1702"/>
      <c r="AZ253" s="1702"/>
      <c r="BA253" s="1702"/>
      <c r="BB253" s="1703"/>
      <c r="BC253" s="1704"/>
      <c r="BD253" s="885"/>
      <c r="BE253" s="885"/>
      <c r="BF253" s="1041"/>
      <c r="BG253" s="1041"/>
      <c r="BH253" s="1041"/>
      <c r="BI253" s="678"/>
      <c r="BJ253" s="678"/>
    </row>
    <row s="1834" customFormat="1" customHeight="1" ht="0" hidden="1">
      <c r="A254" s="885"/>
      <c r="B254" s="440"/>
      <c r="C254" s="885"/>
      <c r="D254" s="885"/>
      <c r="E254" s="678">
        <v>15</v>
      </c>
      <c r="F254" s="50" cm="1" t="str">
        <f t="array" ref="F254:F254">OFFSET(E254,-1,1)</f>
        <v>3</v>
      </c>
      <c r="G254" s="152" t="s">
        <v>334</v>
      </c>
      <c r="H254" s="155" cm="1" t="str">
        <f t="array" ref="H254:H254">AC254</f>
        <v>Затраты</v>
      </c>
      <c r="I254" s="152" t="s">
        <v>1801</v>
      </c>
      <c r="J254" s="885"/>
      <c r="K254" s="911"/>
      <c r="L254" s="885"/>
      <c r="M254" s="885"/>
      <c r="N254" s="885"/>
      <c r="O254" s="885"/>
      <c r="P254" s="885"/>
      <c r="Q254" s="885"/>
      <c r="R254" s="885"/>
      <c r="S254" s="885"/>
      <c r="T254" s="465" cm="1" t="str">
        <f t="array" ref="T254:T254">T253</f>
        <v>false</v>
      </c>
      <c r="U254" s="885"/>
      <c r="V254" s="885"/>
      <c r="W254" s="885"/>
      <c r="X254" s="1524"/>
      <c r="Y254" s="1524"/>
      <c r="Z254" s="1615"/>
      <c r="AA254" s="1617"/>
      <c r="AB254" s="88" t="str">
        <f>AB253&amp;".1"</f>
        <v>3.0.1</v>
      </c>
      <c r="AC254" s="1705" t="s">
        <v>1783</v>
      </c>
      <c r="AD254" s="211" t="s">
        <v>1514</v>
      </c>
      <c r="AE254" s="3536"/>
      <c r="AF254" s="3536"/>
      <c r="AG254" s="3536"/>
      <c r="AH254" s="3536"/>
      <c r="AI254" s="3536"/>
      <c r="AJ254" s="3536"/>
      <c r="AK254" s="3536"/>
      <c r="AL254" s="3536"/>
      <c r="AM254" s="3536"/>
      <c r="AN254" s="3536"/>
      <c r="AO254" s="3536"/>
      <c r="AP254" s="3536"/>
      <c r="AQ254" s="3536"/>
      <c r="AR254" s="3536"/>
      <c r="AS254" s="3536"/>
      <c r="AT254" s="3536"/>
      <c r="AU254" s="3536"/>
      <c r="AV254" s="3536"/>
      <c r="AW254" s="3536"/>
      <c r="AX254" s="3536"/>
      <c r="AY254" s="3536"/>
      <c r="AZ254" s="3536"/>
      <c r="BA254" s="3536"/>
      <c r="BB254" s="3536"/>
      <c r="BC254" s="2070"/>
      <c r="BD254" s="885"/>
      <c r="BE254" s="885"/>
      <c r="BF254" s="1041" t="s">
        <v>1784</v>
      </c>
      <c r="BG254" s="1041" t="s">
        <v>1802</v>
      </c>
      <c r="BH254" s="1041" cm="1" t="str">
        <f t="array" ref="BH254:BH254">AC253</f>
        <v/>
      </c>
      <c r="BI254" s="678"/>
      <c r="BJ254" s="678" t="b">
        <v>1</v>
      </c>
    </row>
    <row s="1834" customFormat="1" customHeight="1" ht="0" hidden="1">
      <c r="A255" s="885"/>
      <c r="B255" s="440"/>
      <c r="C255" s="885"/>
      <c r="D255" s="885"/>
      <c r="E255" s="678">
        <v>15</v>
      </c>
      <c r="F255" s="50" cm="1" t="str">
        <f t="array" ref="F255:F255">OFFSET(E255,-1,1)</f>
        <v>3</v>
      </c>
      <c r="G255" s="152" t="s">
        <v>1658</v>
      </c>
      <c r="H255" s="155" cm="1" t="str">
        <f t="array" ref="H255:H255">H254</f>
        <v>Затраты</v>
      </c>
      <c r="I255" s="152" t="s">
        <v>1801</v>
      </c>
      <c r="J255" s="885"/>
      <c r="K255" s="911"/>
      <c r="L255" s="885"/>
      <c r="M255" s="885"/>
      <c r="N255" s="885"/>
      <c r="O255" s="885"/>
      <c r="P255" s="885"/>
      <c r="Q255" s="885"/>
      <c r="R255" s="885"/>
      <c r="S255" s="885"/>
      <c r="T255" s="465" cm="1" t="str">
        <f t="array" ref="T255:T255">T254</f>
        <v>false</v>
      </c>
      <c r="U255" s="885"/>
      <c r="V255" s="885"/>
      <c r="W255" s="885"/>
      <c r="X255" s="1524"/>
      <c r="Y255" s="1524"/>
      <c r="Z255" s="1615"/>
      <c r="AA255" s="1617"/>
      <c r="AB255" s="88" t="str">
        <f>AB254&amp;".1"</f>
        <v>3.0.1.1</v>
      </c>
      <c r="AC255" s="221" t="s">
        <v>1803</v>
      </c>
      <c r="AD255" s="88" t="s">
        <v>1247</v>
      </c>
      <c r="AE255" s="3536"/>
      <c r="AF255" s="3536"/>
      <c r="AG255" s="3536"/>
      <c r="AH255" s="3536"/>
      <c r="AI255" s="3536"/>
      <c r="AJ255" s="3536"/>
      <c r="AK255" s="3536"/>
      <c r="AL255" s="3536"/>
      <c r="AM255" s="3536"/>
      <c r="AN255" s="3536"/>
      <c r="AO255" s="3536"/>
      <c r="AP255" s="3536"/>
      <c r="AQ255" s="3536"/>
      <c r="AR255" s="3536"/>
      <c r="AS255" s="3536"/>
      <c r="AT255" s="3536"/>
      <c r="AU255" s="3536"/>
      <c r="AV255" s="3536"/>
      <c r="AW255" s="3536"/>
      <c r="AX255" s="3536"/>
      <c r="AY255" s="3536"/>
      <c r="AZ255" s="3536"/>
      <c r="BA255" s="3536"/>
      <c r="BB255" s="3536"/>
      <c r="BC255" s="2070"/>
      <c r="BD255" s="885"/>
      <c r="BE255" s="885"/>
      <c r="BF255" s="1041" t="s">
        <v>1787</v>
      </c>
      <c r="BG255" s="1041" t="s">
        <v>1802</v>
      </c>
      <c r="BH255" s="1041" cm="1" t="str">
        <f t="array" ref="BH255:BH255">BH254</f>
        <v/>
      </c>
      <c r="BI255" s="678"/>
      <c r="BJ255" s="678"/>
    </row>
    <row s="1834" customFormat="1" customHeight="1" ht="0" hidden="1">
      <c r="A256" s="885"/>
      <c r="B256" s="440"/>
      <c r="C256" s="885"/>
      <c r="D256" s="885"/>
      <c r="E256" s="678">
        <v>15</v>
      </c>
      <c r="F256" s="1387" cm="1" t="str">
        <f t="array" ref="F256:F256">OFFSET(E256,-1,1)</f>
        <v>3</v>
      </c>
      <c r="G256" s="885"/>
      <c r="H256" s="155"/>
      <c r="I256" s="885"/>
      <c r="J256" s="885"/>
      <c r="K256" s="911"/>
      <c r="L256" s="885"/>
      <c r="M256" s="885"/>
      <c r="N256" s="885"/>
      <c r="O256" s="885"/>
      <c r="P256" s="885"/>
      <c r="Q256" s="885"/>
      <c r="R256" s="885"/>
      <c r="S256" s="885"/>
      <c r="T256" s="1356" cm="1" t="str">
        <f t="array" ref="T256:T256">T255</f>
        <v>false</v>
      </c>
      <c r="U256" s="885"/>
      <c r="V256" s="885"/>
      <c r="W256" s="885"/>
      <c r="X256" s="684"/>
      <c r="Y256" s="1524"/>
      <c r="Z256" s="885"/>
      <c r="AA256" s="1697"/>
      <c r="AB256" s="1706" t="str">
        <f>AB254&amp;".2"</f>
        <v>3.0.1.2</v>
      </c>
      <c r="AC256" s="1707" t="s">
        <v>1798</v>
      </c>
      <c r="AD256" s="1706" t="s">
        <v>1789</v>
      </c>
      <c r="AE256" s="3644"/>
      <c r="AF256" s="3644"/>
      <c r="AG256" s="3644"/>
      <c r="AH256" s="3644"/>
      <c r="AI256" s="3644"/>
      <c r="AJ256" s="3644"/>
      <c r="AK256" s="3644"/>
      <c r="AL256" s="3644"/>
      <c r="AM256" s="3644"/>
      <c r="AN256" s="3644"/>
      <c r="AO256" s="3644"/>
      <c r="AP256" s="3644"/>
      <c r="AQ256" s="3644"/>
      <c r="AR256" s="3644"/>
      <c r="AS256" s="3644"/>
      <c r="AT256" s="3644"/>
      <c r="AU256" s="3644"/>
      <c r="AV256" s="3644"/>
      <c r="AW256" s="3644"/>
      <c r="AX256" s="3644"/>
      <c r="AY256" s="3644"/>
      <c r="AZ256" s="3644"/>
      <c r="BA256" s="3644"/>
      <c r="BB256" s="3644"/>
      <c r="BC256" s="3645"/>
      <c r="BD256" s="885"/>
      <c r="BE256" s="885"/>
      <c r="BF256" s="1041" t="s">
        <v>1790</v>
      </c>
      <c r="BG256" s="1041" t="s">
        <v>1802</v>
      </c>
      <c r="BH256" s="1710" cm="1" t="str">
        <f t="array" ref="BH256:BH256">BH255</f>
        <v/>
      </c>
      <c r="BI256" s="678"/>
      <c r="BJ256" s="678"/>
    </row>
    <row s="1834" customFormat="1" customHeight="1" ht="0">
      <c r="A257" s="885"/>
      <c r="B257" s="440"/>
      <c r="C257" s="885"/>
      <c r="D257" s="885"/>
      <c r="E257" s="678">
        <v>15</v>
      </c>
      <c r="F257" s="50" cm="1" t="str">
        <f t="array" ref="F257:F257">OFFSET(E257,-1,1)</f>
        <v>3</v>
      </c>
      <c r="G257" s="885"/>
      <c r="H257" s="152" t="str">
        <f>"!=='не определено' &amp;&amp; row.l3 !== null"</f>
        <v>!=='не определено' &amp;&amp; row.l3 !== null</v>
      </c>
      <c r="I257" s="885"/>
      <c r="J257" s="885"/>
      <c r="K257" s="911"/>
      <c r="L257" s="885"/>
      <c r="M257" s="885"/>
      <c r="N257" s="885"/>
      <c r="O257" s="885"/>
      <c r="P257" s="885"/>
      <c r="Q257" s="885"/>
      <c r="R257" s="885"/>
      <c r="S257" s="885"/>
      <c r="T257" s="465">
        <f>F257&gt;0</f>
        <v>1</v>
      </c>
      <c r="U257" s="885"/>
      <c r="V257" s="885"/>
      <c r="W257" s="685" t="s">
        <v>1804</v>
      </c>
      <c r="X257" s="1524"/>
      <c r="Y257" s="683"/>
      <c r="Z257" s="1615"/>
      <c r="AA257" s="885"/>
      <c r="AB257" s="681"/>
      <c r="AC257" s="232" t="s">
        <v>1792</v>
      </c>
      <c r="AD257" s="232"/>
      <c r="AE257" s="232"/>
      <c r="AF257" s="232"/>
      <c r="AG257" s="232"/>
      <c r="AH257" s="232"/>
      <c r="AI257" s="232"/>
      <c r="AJ257" s="232"/>
      <c r="AK257" s="232"/>
      <c r="AL257" s="232"/>
      <c r="AM257" s="232"/>
      <c r="AN257" s="232"/>
      <c r="AO257" s="232"/>
      <c r="AP257" s="232"/>
      <c r="AQ257" s="232"/>
      <c r="AR257" s="232"/>
      <c r="AS257" s="232"/>
      <c r="AT257" s="232"/>
      <c r="AU257" s="232"/>
      <c r="AV257" s="232"/>
      <c r="AW257" s="232"/>
      <c r="AX257" s="232"/>
      <c r="AY257" s="232"/>
      <c r="AZ257" s="232"/>
      <c r="BA257" s="232"/>
      <c r="BB257" s="232"/>
      <c r="BC257" s="233"/>
      <c r="BD257" s="885"/>
      <c r="BE257" s="885"/>
      <c r="BF257" s="1041"/>
      <c r="BG257" s="1041"/>
      <c r="BH257" s="1041"/>
      <c r="BI257" s="678" t="s">
        <v>1802</v>
      </c>
      <c r="BJ257" s="678"/>
    </row>
    <row s="1834" customFormat="1" customHeight="1" ht="0">
      <c r="A258" s="885"/>
      <c r="B258" s="440"/>
      <c r="C258" s="885"/>
      <c r="D258" s="885"/>
      <c r="E258" s="678">
        <v>23</v>
      </c>
      <c r="F258" s="50" cm="1" t="str">
        <f t="array" ref="F258:F258">OFFSET(E258,-1,1)</f>
        <v>3</v>
      </c>
      <c r="G258" s="885"/>
      <c r="H258" s="885"/>
      <c r="I258" s="885"/>
      <c r="J258" s="885"/>
      <c r="K258" s="911" t="str">
        <f>F237&amp;"4komm"</f>
        <v>34komm</v>
      </c>
      <c r="L258" s="915" cm="1" t="str">
        <f t="array" ref="L258:L258">BC258</f>
        <v>0</v>
      </c>
      <c r="M258" s="885"/>
      <c r="N258" s="885"/>
      <c r="O258" s="885"/>
      <c r="P258" s="885"/>
      <c r="Q258" s="885"/>
      <c r="R258" s="885"/>
      <c r="S258" s="885"/>
      <c r="T258" s="465" cm="1" t="str">
        <f t="array" ref="T258:T258">T257</f>
        <v>true</v>
      </c>
      <c r="U258" s="885"/>
      <c r="V258" s="885"/>
      <c r="W258" s="885"/>
      <c r="X258" s="1524"/>
      <c r="Y258" s="684"/>
      <c r="Z258" s="1615"/>
      <c r="AA258" s="885"/>
      <c r="AB258" s="211">
        <v>4</v>
      </c>
      <c r="AC258" s="212" t="s">
        <v>1805</v>
      </c>
      <c r="AD258" s="211" t="s">
        <v>1514</v>
      </c>
      <c r="AE258" s="213">
        <f>SUMIF(AD261:AD264,AD258,AE261:AE264)</f>
        <v>0</v>
      </c>
      <c r="AF258" s="213">
        <f>SUMIF(AD261:AD264,AD258,AF261:AF264)</f>
        <v>0</v>
      </c>
      <c r="AG258" s="213">
        <f>SUMIF(AD261:AD264,AD258,AG261:AG264)</f>
        <v>0</v>
      </c>
      <c r="AH258" s="213">
        <f>SUMIF(AD261:AD264,AD258,AH261:AH264)</f>
        <v>0</v>
      </c>
      <c r="AI258" s="213">
        <f>SUMIF(AD261:AD264,AD258,AI261:AI264)</f>
        <v>0</v>
      </c>
      <c r="AJ258" s="1460">
        <f>SUMIF(AD261:AD264,AD258,AJ261:AJ264)</f>
        <v>0</v>
      </c>
      <c r="AK258" s="1460">
        <f>SUMIF(AD261:AD264,AD258,AK261:AK264)</f>
        <v>0</v>
      </c>
      <c r="AL258" s="1460">
        <f>SUMIF(AD261:AD264,AD258,AL261:AL264)</f>
        <v>0</v>
      </c>
      <c r="AM258" s="1460">
        <f>SUMIF(AD261:AD264,AD258,AM261:AM264)</f>
        <v>0</v>
      </c>
      <c r="AN258" s="3626">
        <f>SUMIF(AD261:AD264,AD258,AN261:AN264)</f>
        <v>0</v>
      </c>
      <c r="AO258" s="3626">
        <f>SUMIF(AD261:AD264,AD258,AO261:AO264)</f>
        <v>0</v>
      </c>
      <c r="AP258" s="3626">
        <f>SUMIF(AD261:AD264,AD258,AP261:AP264)</f>
        <v>0</v>
      </c>
      <c r="AQ258" s="3626">
        <f>SUMIF(AD261:AD264,AD258,AQ261:AQ264)</f>
        <v>0</v>
      </c>
      <c r="AR258" s="3626">
        <f>SUMIF(AD261:AD264,AD258,AR261:AR264)</f>
        <v>0</v>
      </c>
      <c r="AS258" s="213">
        <f>SUMIF(AD261:AD264,AD258,AS261:AS264)</f>
        <v>0</v>
      </c>
      <c r="AT258" s="1460">
        <f>SUMIF(AD261:AD264,AD258,AT261:AT264)</f>
        <v>0</v>
      </c>
      <c r="AU258" s="1460">
        <f>SUMIF(AD261:AD264,AD258,AU261:AU264)</f>
        <v>0</v>
      </c>
      <c r="AV258" s="1460">
        <f>SUMIF(AD261:AD264,AD258,AV261:AV264)</f>
        <v>0</v>
      </c>
      <c r="AW258" s="1460">
        <f>SUMIF(AD261:AD264,AD258,AW261:AW264)</f>
        <v>0</v>
      </c>
      <c r="AX258" s="3626">
        <f>SUMIF(AD261:AD264,AD258,AX261:AX264)</f>
        <v>0</v>
      </c>
      <c r="AY258" s="3626">
        <f>SUMIF(AD261:AD264,AD258,AY261:AY264)</f>
        <v>0</v>
      </c>
      <c r="AZ258" s="3626">
        <f>SUMIF(AD261:AD264,AD258,AZ261:AZ264)</f>
        <v>0</v>
      </c>
      <c r="BA258" s="3626">
        <f>SUMIF(AD261:AD264,AD258,BA261:BA264)</f>
        <v>0</v>
      </c>
      <c r="BB258" s="3626">
        <f>SUMIF(AD261:AD264,AD258,BB261:BB264)</f>
        <v>0</v>
      </c>
      <c r="BC258" s="200"/>
      <c r="BD258" s="885"/>
      <c r="BE258" s="885"/>
      <c r="BF258" s="1041" t="s">
        <v>1806</v>
      </c>
      <c r="BG258" s="1041"/>
      <c r="BH258" s="1041"/>
      <c r="BI258" s="678"/>
      <c r="BJ258" s="678"/>
    </row>
    <row s="1834" customFormat="1" customHeight="1" ht="0" hidden="1">
      <c r="A259" s="885"/>
      <c r="B259" s="440"/>
      <c r="C259" s="885"/>
      <c r="D259" s="885"/>
      <c r="E259" s="678">
        <v>0</v>
      </c>
      <c r="F259" s="50" cm="1" t="str">
        <f t="array" ref="F259:F259">OFFSET(E259,-1,1)</f>
        <v>3</v>
      </c>
      <c r="G259" s="152" t="s">
        <v>336</v>
      </c>
      <c r="H259" s="885"/>
      <c r="I259" s="885"/>
      <c r="J259" s="885"/>
      <c r="K259" s="911"/>
      <c r="L259" s="915"/>
      <c r="M259" s="885"/>
      <c r="N259" s="885"/>
      <c r="O259" s="885"/>
      <c r="P259" s="885"/>
      <c r="Q259" s="885"/>
      <c r="R259" s="885"/>
      <c r="S259" s="885"/>
      <c r="T259" s="465" t="b">
        <v>0</v>
      </c>
      <c r="U259" s="885"/>
      <c r="V259" s="885"/>
      <c r="W259" s="152" t="s">
        <v>174</v>
      </c>
      <c r="X259" s="1524"/>
      <c r="Y259" s="1524">
        <v>0</v>
      </c>
      <c r="Z259" s="1615"/>
      <c r="AA259" s="1617" t="s">
        <v>175</v>
      </c>
      <c r="AB259" s="211"/>
      <c r="AC259" s="212"/>
      <c r="AD259" s="211"/>
      <c r="AE259" s="1368">
        <f>OR(AND(AE261&lt;&gt;"",AE262=""),AND(AE261="",AE262&lt;&gt;""))</f>
        <v>0</v>
      </c>
      <c r="AF259" s="1368">
        <f>OR(AND(AF261&lt;&gt;"",AF262=""),AND(AF261="",AF262&lt;&gt;""))</f>
        <v>0</v>
      </c>
      <c r="AG259" s="1368">
        <f>OR(AND(AG261&lt;&gt;"",AG262=""),AND(AG261="",AG262&lt;&gt;""))</f>
        <v>0</v>
      </c>
      <c r="AH259" s="1368">
        <f>OR(AND(AH261&lt;&gt;"",AH262=""),AND(AH261="",AH262&lt;&gt;""))</f>
        <v>0</v>
      </c>
      <c r="AI259" s="1368">
        <f>OR(AND(AI261&lt;&gt;"",AI262=""),AND(AI261="",AI262&lt;&gt;""))</f>
        <v>0</v>
      </c>
      <c r="AJ259" s="1368">
        <f>OR(AND(AJ261&lt;&gt;"",AJ262=""),AND(AJ261="",AJ262&lt;&gt;""))</f>
        <v>0</v>
      </c>
      <c r="AK259" s="1368">
        <f>OR(AND(AK261&lt;&gt;"",AK262=""),AND(AK261="",AK262&lt;&gt;""))</f>
        <v>0</v>
      </c>
      <c r="AL259" s="1368">
        <f>OR(AND(AL261&lt;&gt;"",AL262=""),AND(AL261="",AL262&lt;&gt;""))</f>
        <v>0</v>
      </c>
      <c r="AM259" s="1368">
        <f>OR(AND(AM261&lt;&gt;"",AM262=""),AND(AM261="",AM262&lt;&gt;""))</f>
        <v>0</v>
      </c>
      <c r="AN259" s="1368">
        <f>OR(AND(AN261&lt;&gt;"",AN262=""),AND(AN261="",AN262&lt;&gt;""))</f>
        <v>0</v>
      </c>
      <c r="AO259" s="1368">
        <f>OR(AND(AO261&lt;&gt;"",AO262=""),AND(AO261="",AO262&lt;&gt;""))</f>
        <v>0</v>
      </c>
      <c r="AP259" s="1368">
        <f>OR(AND(AP261&lt;&gt;"",AP262=""),AND(AP261="",AP262&lt;&gt;""))</f>
        <v>0</v>
      </c>
      <c r="AQ259" s="1368">
        <f>OR(AND(AQ261&lt;&gt;"",AQ262=""),AND(AQ261="",AQ262&lt;&gt;""))</f>
        <v>0</v>
      </c>
      <c r="AR259" s="1368">
        <f>OR(AND(AR261&lt;&gt;"",AR262=""),AND(AR261="",AR262&lt;&gt;""))</f>
        <v>0</v>
      </c>
      <c r="AS259" s="1368">
        <f>OR(AND(AS261&lt;&gt;"",AS262=""),AND(AS261="",AS262&lt;&gt;""))</f>
        <v>0</v>
      </c>
      <c r="AT259" s="1368">
        <f>OR(AND(AT261&lt;&gt;"",AT262=""),AND(AT261="",AT262&lt;&gt;""))</f>
        <v>0</v>
      </c>
      <c r="AU259" s="1368">
        <f>OR(AND(AU261&lt;&gt;"",AU262=""),AND(AU261="",AU262&lt;&gt;""))</f>
        <v>0</v>
      </c>
      <c r="AV259" s="1368">
        <f>OR(AND(AV261&lt;&gt;"",AV262=""),AND(AV261="",AV262&lt;&gt;""))</f>
        <v>0</v>
      </c>
      <c r="AW259" s="1368">
        <f>OR(AND(AW261&lt;&gt;"",AW262=""),AND(AW261="",AW262&lt;&gt;""))</f>
        <v>0</v>
      </c>
      <c r="AX259" s="1368">
        <f>OR(AND(AX261&lt;&gt;"",AX262=""),AND(AX261="",AX262&lt;&gt;""))</f>
        <v>0</v>
      </c>
      <c r="AY259" s="1368">
        <f>OR(AND(AY261&lt;&gt;"",AY262=""),AND(AY261="",AY262&lt;&gt;""))</f>
        <v>0</v>
      </c>
      <c r="AZ259" s="1368">
        <f>OR(AND(AZ261&lt;&gt;"",AZ262=""),AND(AZ261="",AZ262&lt;&gt;""))</f>
        <v>0</v>
      </c>
      <c r="BA259" s="1368">
        <f>OR(AND(BA261&lt;&gt;"",BA262=""),AND(BA261="",BA262&lt;&gt;""))</f>
        <v>0</v>
      </c>
      <c r="BB259" s="1368">
        <f>OR(AND(BB261&lt;&gt;"",BB262=""),AND(BB261="",BB262&lt;&gt;""))</f>
        <v>0</v>
      </c>
      <c r="BC259" s="974"/>
      <c r="BD259" s="885"/>
      <c r="BE259" s="885"/>
      <c r="BF259" s="1041"/>
      <c r="BG259" s="1041"/>
      <c r="BH259" s="1041"/>
      <c r="BI259" s="678"/>
      <c r="BJ259" s="678"/>
    </row>
    <row s="1834" customFormat="1" customHeight="1" ht="0" hidden="1">
      <c r="A260" s="885"/>
      <c r="B260" s="440"/>
      <c r="C260" s="885"/>
      <c r="D260" s="885"/>
      <c r="E260" s="678">
        <v>15</v>
      </c>
      <c r="F260" s="1387" cm="1" t="str">
        <f t="array" ref="F260:F260">OFFSET(E260,-1,1)</f>
        <v>3</v>
      </c>
      <c r="G260" s="885"/>
      <c r="H260" s="885"/>
      <c r="I260" s="885"/>
      <c r="J260" s="885"/>
      <c r="K260" s="911"/>
      <c r="L260" s="915"/>
      <c r="M260" s="885"/>
      <c r="N260" s="885"/>
      <c r="O260" s="885"/>
      <c r="P260" s="885"/>
      <c r="Q260" s="885"/>
      <c r="R260" s="885"/>
      <c r="S260" s="885"/>
      <c r="T260" s="1356">
        <f>AND(Y259&gt;0,F260&gt;0)</f>
        <v>0</v>
      </c>
      <c r="U260" s="885"/>
      <c r="V260" s="885"/>
      <c r="W260" s="885"/>
      <c r="X260" s="684"/>
      <c r="Y260" s="1524"/>
      <c r="Z260" s="885"/>
      <c r="AA260" s="1697"/>
      <c r="AB260" s="1698" t="str">
        <f>"4."&amp;Y259</f>
        <v>4.0</v>
      </c>
      <c r="AC260" s="1699" t="s">
        <v>227</v>
      </c>
      <c r="AD260" s="1700"/>
      <c r="AE260" s="3635"/>
      <c r="AF260" s="1702"/>
      <c r="AG260" s="3635"/>
      <c r="AH260" s="3635"/>
      <c r="AI260" s="3635"/>
      <c r="AJ260" s="3635"/>
      <c r="AK260" s="3635"/>
      <c r="AL260" s="3635"/>
      <c r="AM260" s="3635"/>
      <c r="AN260" s="3635"/>
      <c r="AO260" s="3635"/>
      <c r="AP260" s="3635"/>
      <c r="AQ260" s="3635"/>
      <c r="AR260" s="3635"/>
      <c r="AS260" s="1702"/>
      <c r="AT260" s="1702"/>
      <c r="AU260" s="1702"/>
      <c r="AV260" s="1702"/>
      <c r="AW260" s="1702"/>
      <c r="AX260" s="1702"/>
      <c r="AY260" s="1702"/>
      <c r="AZ260" s="1702"/>
      <c r="BA260" s="1702"/>
      <c r="BB260" s="1703"/>
      <c r="BC260" s="1704"/>
      <c r="BD260" s="885"/>
      <c r="BE260" s="885"/>
      <c r="BF260" s="1041"/>
      <c r="BG260" s="1041"/>
      <c r="BH260" s="1041"/>
      <c r="BI260" s="678"/>
      <c r="BJ260" s="678"/>
    </row>
    <row s="1834" customFormat="1" customHeight="1" ht="0" hidden="1">
      <c r="A261" s="885"/>
      <c r="B261" s="440"/>
      <c r="C261" s="885"/>
      <c r="D261" s="885"/>
      <c r="E261" s="678">
        <v>15</v>
      </c>
      <c r="F261" s="50" cm="1" t="str">
        <f t="array" ref="F261:F261">OFFSET(E261,-1,1)</f>
        <v>3</v>
      </c>
      <c r="G261" s="152" t="s">
        <v>336</v>
      </c>
      <c r="H261" s="155" cm="1" t="str">
        <f t="array" ref="H261:H261">AC261</f>
        <v>Затраты</v>
      </c>
      <c r="I261" s="152" t="s">
        <v>1807</v>
      </c>
      <c r="J261" s="885"/>
      <c r="K261" s="911"/>
      <c r="L261" s="885"/>
      <c r="M261" s="885"/>
      <c r="N261" s="885"/>
      <c r="O261" s="885"/>
      <c r="P261" s="885"/>
      <c r="Q261" s="885"/>
      <c r="R261" s="885"/>
      <c r="S261" s="885"/>
      <c r="T261" s="465" cm="1" t="str">
        <f t="array" ref="T261:T261">T260</f>
        <v>false</v>
      </c>
      <c r="U261" s="885"/>
      <c r="V261" s="885"/>
      <c r="W261" s="885"/>
      <c r="X261" s="1524"/>
      <c r="Y261" s="1524"/>
      <c r="Z261" s="1615"/>
      <c r="AA261" s="1617"/>
      <c r="AB261" s="88" t="str">
        <f>AB260&amp;".1"</f>
        <v>4.0.1</v>
      </c>
      <c r="AC261" s="1705" t="s">
        <v>1783</v>
      </c>
      <c r="AD261" s="211" t="s">
        <v>1514</v>
      </c>
      <c r="AE261" s="3536"/>
      <c r="AF261" s="3536"/>
      <c r="AG261" s="3536"/>
      <c r="AH261" s="3536"/>
      <c r="AI261" s="3536"/>
      <c r="AJ261" s="3536"/>
      <c r="AK261" s="3536"/>
      <c r="AL261" s="3536"/>
      <c r="AM261" s="3536"/>
      <c r="AN261" s="3536"/>
      <c r="AO261" s="3536"/>
      <c r="AP261" s="3536"/>
      <c r="AQ261" s="3536"/>
      <c r="AR261" s="3536"/>
      <c r="AS261" s="3536"/>
      <c r="AT261" s="3536"/>
      <c r="AU261" s="3536"/>
      <c r="AV261" s="3536"/>
      <c r="AW261" s="3536"/>
      <c r="AX261" s="3536"/>
      <c r="AY261" s="3536"/>
      <c r="AZ261" s="3536"/>
      <c r="BA261" s="3536"/>
      <c r="BB261" s="3536"/>
      <c r="BC261" s="2070"/>
      <c r="BD261" s="885"/>
      <c r="BE261" s="885"/>
      <c r="BF261" s="1041" t="s">
        <v>1784</v>
      </c>
      <c r="BG261" s="1041" t="s">
        <v>1808</v>
      </c>
      <c r="BH261" s="1041" cm="1" t="str">
        <f t="array" ref="BH261:BH261">AC260</f>
        <v/>
      </c>
      <c r="BI261" s="678"/>
      <c r="BJ261" s="678" t="b">
        <v>1</v>
      </c>
    </row>
    <row s="1834" customFormat="1" customHeight="1" ht="0" hidden="1">
      <c r="A262" s="885"/>
      <c r="B262" s="440"/>
      <c r="C262" s="885"/>
      <c r="D262" s="885"/>
      <c r="E262" s="678">
        <v>15</v>
      </c>
      <c r="F262" s="50" cm="1" t="str">
        <f t="array" ref="F262:F262">OFFSET(E262,-1,1)</f>
        <v>3</v>
      </c>
      <c r="G262" s="152" t="s">
        <v>1249</v>
      </c>
      <c r="H262" s="155" cm="1" t="str">
        <f t="array" ref="H262:H262">H261</f>
        <v>Затраты</v>
      </c>
      <c r="I262" s="152" t="s">
        <v>1807</v>
      </c>
      <c r="J262" s="885"/>
      <c r="K262" s="911"/>
      <c r="L262" s="885"/>
      <c r="M262" s="885"/>
      <c r="N262" s="885"/>
      <c r="O262" s="885"/>
      <c r="P262" s="885"/>
      <c r="Q262" s="885"/>
      <c r="R262" s="885"/>
      <c r="S262" s="885"/>
      <c r="T262" s="465" cm="1" t="str">
        <f t="array" ref="T262:T262">T261</f>
        <v>false</v>
      </c>
      <c r="U262" s="885"/>
      <c r="V262" s="885"/>
      <c r="W262" s="885"/>
      <c r="X262" s="1524"/>
      <c r="Y262" s="1524"/>
      <c r="Z262" s="1615"/>
      <c r="AA262" s="1617"/>
      <c r="AB262" s="88" t="str">
        <f>AB261&amp;".1"</f>
        <v>4.0.1.1</v>
      </c>
      <c r="AC262" s="221" t="s">
        <v>1809</v>
      </c>
      <c r="AD262" s="88" t="s">
        <v>1247</v>
      </c>
      <c r="AE262" s="3536"/>
      <c r="AF262" s="3536"/>
      <c r="AG262" s="3536"/>
      <c r="AH262" s="3536"/>
      <c r="AI262" s="3536"/>
      <c r="AJ262" s="3536"/>
      <c r="AK262" s="3536"/>
      <c r="AL262" s="3536"/>
      <c r="AM262" s="3536"/>
      <c r="AN262" s="3536"/>
      <c r="AO262" s="3536"/>
      <c r="AP262" s="3536"/>
      <c r="AQ262" s="3536"/>
      <c r="AR262" s="3536"/>
      <c r="AS262" s="3536"/>
      <c r="AT262" s="3536"/>
      <c r="AU262" s="3536"/>
      <c r="AV262" s="3536"/>
      <c r="AW262" s="3536"/>
      <c r="AX262" s="3536"/>
      <c r="AY262" s="3536"/>
      <c r="AZ262" s="3536"/>
      <c r="BA262" s="3536"/>
      <c r="BB262" s="3536"/>
      <c r="BC262" s="2070"/>
      <c r="BD262" s="885"/>
      <c r="BE262" s="885"/>
      <c r="BF262" s="1041" t="s">
        <v>1787</v>
      </c>
      <c r="BG262" s="1041" t="s">
        <v>1808</v>
      </c>
      <c r="BH262" s="1041" cm="1" t="str">
        <f t="array" ref="BH262:BH262">BH261</f>
        <v/>
      </c>
      <c r="BI262" s="678"/>
      <c r="BJ262" s="678"/>
    </row>
    <row s="1834" customFormat="1" customHeight="1" ht="0" hidden="1">
      <c r="A263" s="885"/>
      <c r="B263" s="440"/>
      <c r="C263" s="885"/>
      <c r="D263" s="885"/>
      <c r="E263" s="678">
        <v>15</v>
      </c>
      <c r="F263" s="1387" cm="1" t="str">
        <f t="array" ref="F263:F263">OFFSET(E263,-1,1)</f>
        <v>3</v>
      </c>
      <c r="G263" s="885"/>
      <c r="H263" s="155"/>
      <c r="I263" s="885"/>
      <c r="J263" s="885"/>
      <c r="K263" s="911"/>
      <c r="L263" s="885"/>
      <c r="M263" s="885"/>
      <c r="N263" s="885"/>
      <c r="O263" s="885"/>
      <c r="P263" s="885"/>
      <c r="Q263" s="885"/>
      <c r="R263" s="885"/>
      <c r="S263" s="885"/>
      <c r="T263" s="1356" cm="1" t="str">
        <f t="array" ref="T263:T263">T262</f>
        <v>false</v>
      </c>
      <c r="U263" s="885"/>
      <c r="V263" s="885"/>
      <c r="W263" s="885"/>
      <c r="X263" s="684"/>
      <c r="Y263" s="1524"/>
      <c r="Z263" s="885"/>
      <c r="AA263" s="1697"/>
      <c r="AB263" s="1706" t="str">
        <f>AB261&amp;".2"</f>
        <v>4.0.1.2</v>
      </c>
      <c r="AC263" s="1707" t="s">
        <v>1810</v>
      </c>
      <c r="AD263" s="1706" t="s">
        <v>1789</v>
      </c>
      <c r="AE263" s="3644"/>
      <c r="AF263" s="3644"/>
      <c r="AG263" s="3644"/>
      <c r="AH263" s="3644"/>
      <c r="AI263" s="3644"/>
      <c r="AJ263" s="3644"/>
      <c r="AK263" s="3644"/>
      <c r="AL263" s="3644"/>
      <c r="AM263" s="3644"/>
      <c r="AN263" s="3644"/>
      <c r="AO263" s="3644"/>
      <c r="AP263" s="3644"/>
      <c r="AQ263" s="3644"/>
      <c r="AR263" s="3644"/>
      <c r="AS263" s="3644"/>
      <c r="AT263" s="3644"/>
      <c r="AU263" s="3644"/>
      <c r="AV263" s="3644"/>
      <c r="AW263" s="3644"/>
      <c r="AX263" s="3644"/>
      <c r="AY263" s="3644"/>
      <c r="AZ263" s="3644"/>
      <c r="BA263" s="3644"/>
      <c r="BB263" s="3644"/>
      <c r="BC263" s="3645"/>
      <c r="BD263" s="885"/>
      <c r="BE263" s="885"/>
      <c r="BF263" s="1041" t="s">
        <v>1790</v>
      </c>
      <c r="BG263" s="1041" t="s">
        <v>1808</v>
      </c>
      <c r="BH263" s="1710" cm="1" t="str">
        <f t="array" ref="BH263:BH263">BH262</f>
        <v/>
      </c>
      <c r="BI263" s="678"/>
      <c r="BJ263" s="678"/>
    </row>
    <row s="1834" customFormat="1" customHeight="1" ht="0">
      <c r="A264" s="885"/>
      <c r="B264" s="440"/>
      <c r="C264" s="885"/>
      <c r="D264" s="885"/>
      <c r="E264" s="678">
        <v>15</v>
      </c>
      <c r="F264" s="50" cm="1" t="str">
        <f t="array" ref="F264:F264">OFFSET(E264,-1,1)</f>
        <v>3</v>
      </c>
      <c r="G264" s="885"/>
      <c r="H264" s="152" t="str">
        <f>"!=='не определено' &amp;&amp; row.l4 !== null"</f>
        <v>!=='не определено' &amp;&amp; row.l4 !== null</v>
      </c>
      <c r="I264" s="885"/>
      <c r="J264" s="885"/>
      <c r="K264" s="911"/>
      <c r="L264" s="885"/>
      <c r="M264" s="885"/>
      <c r="N264" s="885"/>
      <c r="O264" s="885"/>
      <c r="P264" s="885"/>
      <c r="Q264" s="885"/>
      <c r="R264" s="885"/>
      <c r="S264" s="885"/>
      <c r="T264" s="465">
        <f>F264&gt;0</f>
        <v>1</v>
      </c>
      <c r="U264" s="885"/>
      <c r="V264" s="885"/>
      <c r="W264" s="685" t="s">
        <v>1811</v>
      </c>
      <c r="X264" s="1524"/>
      <c r="Y264" s="683"/>
      <c r="Z264" s="1615"/>
      <c r="AA264" s="885"/>
      <c r="AB264" s="681"/>
      <c r="AC264" s="232" t="s">
        <v>1792</v>
      </c>
      <c r="AD264" s="232"/>
      <c r="AE264" s="232"/>
      <c r="AF264" s="232"/>
      <c r="AG264" s="232"/>
      <c r="AH264" s="232"/>
      <c r="AI264" s="232"/>
      <c r="AJ264" s="232"/>
      <c r="AK264" s="232"/>
      <c r="AL264" s="232"/>
      <c r="AM264" s="232"/>
      <c r="AN264" s="232"/>
      <c r="AO264" s="232"/>
      <c r="AP264" s="232"/>
      <c r="AQ264" s="232"/>
      <c r="AR264" s="232"/>
      <c r="AS264" s="232"/>
      <c r="AT264" s="232"/>
      <c r="AU264" s="232"/>
      <c r="AV264" s="232"/>
      <c r="AW264" s="232"/>
      <c r="AX264" s="232"/>
      <c r="AY264" s="232"/>
      <c r="AZ264" s="232"/>
      <c r="BA264" s="232"/>
      <c r="BB264" s="232"/>
      <c r="BC264" s="233"/>
      <c r="BD264" s="885"/>
      <c r="BE264" s="885"/>
      <c r="BF264" s="1041"/>
      <c r="BG264" s="1041"/>
      <c r="BH264" s="1041"/>
      <c r="BI264" s="678" t="s">
        <v>1808</v>
      </c>
      <c r="BJ264" s="678"/>
    </row>
    <row s="1834" customFormat="1" customHeight="1" ht="0">
      <c r="A265" s="885"/>
      <c r="B265" s="440"/>
      <c r="C265" s="885"/>
      <c r="D265" s="885"/>
      <c r="E265" s="678">
        <v>23</v>
      </c>
      <c r="F265" s="50" cm="1" t="str">
        <f t="array" ref="F265:F265">OFFSET(E265,-1,1)</f>
        <v>3</v>
      </c>
      <c r="G265" s="885"/>
      <c r="H265" s="885"/>
      <c r="I265" s="885"/>
      <c r="J265" s="885"/>
      <c r="K265" s="911" t="str">
        <f>F237&amp;"5komm"</f>
        <v>35komm</v>
      </c>
      <c r="L265" s="915" cm="1" t="str">
        <f t="array" ref="L265:L265">BC265</f>
        <v>0</v>
      </c>
      <c r="M265" s="885"/>
      <c r="N265" s="885"/>
      <c r="O265" s="885"/>
      <c r="P265" s="885"/>
      <c r="Q265" s="885"/>
      <c r="R265" s="885"/>
      <c r="S265" s="885"/>
      <c r="T265" s="465" cm="1" t="str">
        <f t="array" ref="T265:T265">T264</f>
        <v>true</v>
      </c>
      <c r="U265" s="885"/>
      <c r="V265" s="885"/>
      <c r="W265" s="885"/>
      <c r="X265" s="1524"/>
      <c r="Y265" s="684"/>
      <c r="Z265" s="1615"/>
      <c r="AA265" s="885"/>
      <c r="AB265" s="211">
        <v>5</v>
      </c>
      <c r="AC265" s="212" t="s">
        <v>1812</v>
      </c>
      <c r="AD265" s="211" t="s">
        <v>1514</v>
      </c>
      <c r="AE265" s="213">
        <f>SUMIF(AD268:AD271,AD265,AE268:AE271)</f>
        <v>0</v>
      </c>
      <c r="AF265" s="213">
        <f>SUMIF(AD268:AD271,AD265,AF268:AF271)</f>
        <v>0</v>
      </c>
      <c r="AG265" s="213">
        <f>SUMIF(AD268:AD271,AD265,AG268:AG271)</f>
        <v>0</v>
      </c>
      <c r="AH265" s="213">
        <f>SUMIF(AD268:AD271,AD265,AH268:AH271)</f>
        <v>0</v>
      </c>
      <c r="AI265" s="213">
        <f>SUMIF(AD268:AD271,AD265,AI268:AI271)</f>
        <v>0</v>
      </c>
      <c r="AJ265" s="1460">
        <f>SUMIF(AD268:AD271,AD265,AJ268:AJ271)</f>
        <v>0</v>
      </c>
      <c r="AK265" s="1460">
        <f>SUMIF(AD268:AD271,AD265,AK268:AK271)</f>
        <v>0</v>
      </c>
      <c r="AL265" s="1460">
        <f>SUMIF(AD268:AD271,AD265,AL268:AL271)</f>
        <v>0</v>
      </c>
      <c r="AM265" s="1460">
        <f>SUMIF(AD268:AD271,AD265,AM268:AM271)</f>
        <v>0</v>
      </c>
      <c r="AN265" s="3626">
        <f>SUMIF(AD268:AD271,AD265,AN268:AN271)</f>
        <v>0</v>
      </c>
      <c r="AO265" s="3626">
        <f>SUMIF(AD268:AD271,AD265,AO268:AO271)</f>
        <v>0</v>
      </c>
      <c r="AP265" s="3626">
        <f>SUMIF(AD268:AD271,AD265,AP268:AP271)</f>
        <v>0</v>
      </c>
      <c r="AQ265" s="3626">
        <f>SUMIF(AD268:AD271,AD265,AQ268:AQ271)</f>
        <v>0</v>
      </c>
      <c r="AR265" s="3626">
        <f>SUMIF(AD268:AD271,AD265,AR268:AR271)</f>
        <v>0</v>
      </c>
      <c r="AS265" s="213">
        <f>SUMIF(AD268:AD271,AD265,AS268:AS271)</f>
        <v>0</v>
      </c>
      <c r="AT265" s="1460">
        <f>SUMIF(AD268:AD271,AD265,AT268:AT271)</f>
        <v>0</v>
      </c>
      <c r="AU265" s="1460">
        <f>SUMIF(AD268:AD271,AD265,AU268:AU271)</f>
        <v>0</v>
      </c>
      <c r="AV265" s="1460">
        <f>SUMIF(AD268:AD271,AD265,AV268:AV271)</f>
        <v>0</v>
      </c>
      <c r="AW265" s="1460">
        <f>SUMIF(AD268:AD271,AD265,AW268:AW271)</f>
        <v>0</v>
      </c>
      <c r="AX265" s="3626">
        <f>SUMIF(AD268:AD271,AD265,AX268:AX271)</f>
        <v>0</v>
      </c>
      <c r="AY265" s="3626">
        <f>SUMIF(AD268:AD271,AD265,AY268:AY271)</f>
        <v>0</v>
      </c>
      <c r="AZ265" s="3626">
        <f>SUMIF(AD268:AD271,AD265,AZ268:AZ271)</f>
        <v>0</v>
      </c>
      <c r="BA265" s="3626">
        <f>SUMIF(AD268:AD271,AD265,BA268:BA271)</f>
        <v>0</v>
      </c>
      <c r="BB265" s="3626">
        <f>SUMIF(AD268:AD271,AD265,BB268:BB271)</f>
        <v>0</v>
      </c>
      <c r="BC265" s="200"/>
      <c r="BD265" s="885"/>
      <c r="BE265" s="885"/>
      <c r="BF265" s="1041" t="s">
        <v>1813</v>
      </c>
      <c r="BG265" s="1041"/>
      <c r="BH265" s="1041"/>
      <c r="BI265" s="678"/>
      <c r="BJ265" s="678"/>
    </row>
    <row s="1834" customFormat="1" customHeight="1" ht="0" hidden="1">
      <c r="A266" s="885"/>
      <c r="B266" s="440"/>
      <c r="C266" s="885"/>
      <c r="D266" s="885"/>
      <c r="E266" s="678">
        <v>0</v>
      </c>
      <c r="F266" s="50" cm="1" t="str">
        <f t="array" ref="F266:F266">OFFSET(E266,-1,1)</f>
        <v>3</v>
      </c>
      <c r="G266" s="152" t="s">
        <v>335</v>
      </c>
      <c r="H266" s="885"/>
      <c r="I266" s="885"/>
      <c r="J266" s="885"/>
      <c r="K266" s="911"/>
      <c r="L266" s="915"/>
      <c r="M266" s="885"/>
      <c r="N266" s="885"/>
      <c r="O266" s="885"/>
      <c r="P266" s="885"/>
      <c r="Q266" s="885"/>
      <c r="R266" s="885"/>
      <c r="S266" s="885"/>
      <c r="T266" s="465" t="b">
        <v>0</v>
      </c>
      <c r="U266" s="885"/>
      <c r="V266" s="885"/>
      <c r="W266" s="152" t="s">
        <v>174</v>
      </c>
      <c r="X266" s="1524"/>
      <c r="Y266" s="1524">
        <v>0</v>
      </c>
      <c r="Z266" s="1615"/>
      <c r="AA266" s="1617" t="s">
        <v>175</v>
      </c>
      <c r="AB266" s="211"/>
      <c r="AC266" s="212"/>
      <c r="AD266" s="211"/>
      <c r="AE266" s="1368">
        <f>OR(AND(AE268&lt;&gt;"",AE269=""),AND(AE268="",AE269&lt;&gt;""))</f>
        <v>0</v>
      </c>
      <c r="AF266" s="1368">
        <f>OR(AND(AF268&lt;&gt;"",AF269=""),AND(AF268="",AF269&lt;&gt;""))</f>
        <v>0</v>
      </c>
      <c r="AG266" s="1368">
        <f>OR(AND(AG268&lt;&gt;"",AG269=""),AND(AG268="",AG269&lt;&gt;""))</f>
        <v>0</v>
      </c>
      <c r="AH266" s="1368">
        <f>OR(AND(AH268&lt;&gt;"",AH269=""),AND(AH268="",AH269&lt;&gt;""))</f>
        <v>0</v>
      </c>
      <c r="AI266" s="1368">
        <f>OR(AND(AI268&lt;&gt;"",AI269=""),AND(AI268="",AI269&lt;&gt;""))</f>
        <v>0</v>
      </c>
      <c r="AJ266" s="1368">
        <f>OR(AND(AJ268&lt;&gt;"",AJ269=""),AND(AJ268="",AJ269&lt;&gt;""))</f>
        <v>0</v>
      </c>
      <c r="AK266" s="1368">
        <f>OR(AND(AK268&lt;&gt;"",AK269=""),AND(AK268="",AK269&lt;&gt;""))</f>
        <v>0</v>
      </c>
      <c r="AL266" s="1368">
        <f>OR(AND(AL268&lt;&gt;"",AL269=""),AND(AL268="",AL269&lt;&gt;""))</f>
        <v>0</v>
      </c>
      <c r="AM266" s="1368">
        <f>OR(AND(AM268&lt;&gt;"",AM269=""),AND(AM268="",AM269&lt;&gt;""))</f>
        <v>0</v>
      </c>
      <c r="AN266" s="1368">
        <f>OR(AND(AN268&lt;&gt;"",AN269=""),AND(AN268="",AN269&lt;&gt;""))</f>
        <v>0</v>
      </c>
      <c r="AO266" s="1368">
        <f>OR(AND(AO268&lt;&gt;"",AO269=""),AND(AO268="",AO269&lt;&gt;""))</f>
        <v>0</v>
      </c>
      <c r="AP266" s="1368">
        <f>OR(AND(AP268&lt;&gt;"",AP269=""),AND(AP268="",AP269&lt;&gt;""))</f>
        <v>0</v>
      </c>
      <c r="AQ266" s="1368">
        <f>OR(AND(AQ268&lt;&gt;"",AQ269=""),AND(AQ268="",AQ269&lt;&gt;""))</f>
        <v>0</v>
      </c>
      <c r="AR266" s="1368">
        <f>OR(AND(AR268&lt;&gt;"",AR269=""),AND(AR268="",AR269&lt;&gt;""))</f>
        <v>0</v>
      </c>
      <c r="AS266" s="1368">
        <f>OR(AND(AS268&lt;&gt;"",AS269=""),AND(AS268="",AS269&lt;&gt;""))</f>
        <v>0</v>
      </c>
      <c r="AT266" s="1368">
        <f>OR(AND(AT268&lt;&gt;"",AT269=""),AND(AT268="",AT269&lt;&gt;""))</f>
        <v>0</v>
      </c>
      <c r="AU266" s="1368">
        <f>OR(AND(AU268&lt;&gt;"",AU269=""),AND(AU268="",AU269&lt;&gt;""))</f>
        <v>0</v>
      </c>
      <c r="AV266" s="1368">
        <f>OR(AND(AV268&lt;&gt;"",AV269=""),AND(AV268="",AV269&lt;&gt;""))</f>
        <v>0</v>
      </c>
      <c r="AW266" s="1368">
        <f>OR(AND(AW268&lt;&gt;"",AW269=""),AND(AW268="",AW269&lt;&gt;""))</f>
        <v>0</v>
      </c>
      <c r="AX266" s="1368">
        <f>OR(AND(AX268&lt;&gt;"",AX269=""),AND(AX268="",AX269&lt;&gt;""))</f>
        <v>0</v>
      </c>
      <c r="AY266" s="1368">
        <f>OR(AND(AY268&lt;&gt;"",AY269=""),AND(AY268="",AY269&lt;&gt;""))</f>
        <v>0</v>
      </c>
      <c r="AZ266" s="1368">
        <f>OR(AND(AZ268&lt;&gt;"",AZ269=""),AND(AZ268="",AZ269&lt;&gt;""))</f>
        <v>0</v>
      </c>
      <c r="BA266" s="1368">
        <f>OR(AND(BA268&lt;&gt;"",BA269=""),AND(BA268="",BA269&lt;&gt;""))</f>
        <v>0</v>
      </c>
      <c r="BB266" s="1368">
        <f>OR(AND(BB268&lt;&gt;"",BB269=""),AND(BB268="",BB269&lt;&gt;""))</f>
        <v>0</v>
      </c>
      <c r="BC266" s="974"/>
      <c r="BD266" s="885"/>
      <c r="BE266" s="885"/>
      <c r="BF266" s="1041"/>
      <c r="BG266" s="1041"/>
      <c r="BH266" s="1041"/>
      <c r="BI266" s="678"/>
      <c r="BJ266" s="678"/>
    </row>
    <row s="1834" customFormat="1" customHeight="1" ht="0" hidden="1">
      <c r="A267" s="885"/>
      <c r="B267" s="440"/>
      <c r="C267" s="885"/>
      <c r="D267" s="885"/>
      <c r="E267" s="678">
        <v>15</v>
      </c>
      <c r="F267" s="1387" cm="1" t="str">
        <f t="array" ref="F267:F267">OFFSET(E267,-1,1)</f>
        <v>3</v>
      </c>
      <c r="G267" s="885"/>
      <c r="H267" s="885"/>
      <c r="I267" s="885"/>
      <c r="J267" s="885"/>
      <c r="K267" s="911"/>
      <c r="L267" s="915"/>
      <c r="M267" s="885"/>
      <c r="N267" s="885"/>
      <c r="O267" s="885"/>
      <c r="P267" s="885"/>
      <c r="Q267" s="885"/>
      <c r="R267" s="885"/>
      <c r="S267" s="885"/>
      <c r="T267" s="1356">
        <f>AND(Y266&gt;0,F267&gt;0)</f>
        <v>0</v>
      </c>
      <c r="U267" s="885"/>
      <c r="V267" s="885"/>
      <c r="W267" s="885"/>
      <c r="X267" s="684"/>
      <c r="Y267" s="1524"/>
      <c r="Z267" s="885"/>
      <c r="AA267" s="1697"/>
      <c r="AB267" s="1698" t="str">
        <f>"5."&amp;Y266</f>
        <v>5.0</v>
      </c>
      <c r="AC267" s="1699" t="s">
        <v>227</v>
      </c>
      <c r="AD267" s="1700"/>
      <c r="AE267" s="3635"/>
      <c r="AF267" s="1702"/>
      <c r="AG267" s="3635"/>
      <c r="AH267" s="3635"/>
      <c r="AI267" s="3635"/>
      <c r="AJ267" s="3635"/>
      <c r="AK267" s="3635"/>
      <c r="AL267" s="3635"/>
      <c r="AM267" s="3635"/>
      <c r="AN267" s="3635"/>
      <c r="AO267" s="3635"/>
      <c r="AP267" s="3635"/>
      <c r="AQ267" s="3635"/>
      <c r="AR267" s="3635"/>
      <c r="AS267" s="1702"/>
      <c r="AT267" s="1702"/>
      <c r="AU267" s="1702"/>
      <c r="AV267" s="1702"/>
      <c r="AW267" s="1702"/>
      <c r="AX267" s="1702"/>
      <c r="AY267" s="1702"/>
      <c r="AZ267" s="1702"/>
      <c r="BA267" s="1702"/>
      <c r="BB267" s="1703"/>
      <c r="BC267" s="1704"/>
      <c r="BD267" s="885"/>
      <c r="BE267" s="885"/>
      <c r="BF267" s="1041"/>
      <c r="BG267" s="1041"/>
      <c r="BH267" s="1041"/>
      <c r="BI267" s="678"/>
      <c r="BJ267" s="678"/>
    </row>
    <row s="1834" customFormat="1" customHeight="1" ht="0" hidden="1">
      <c r="A268" s="885"/>
      <c r="B268" s="440"/>
      <c r="C268" s="885"/>
      <c r="D268" s="885"/>
      <c r="E268" s="678">
        <v>15</v>
      </c>
      <c r="F268" s="50" cm="1" t="str">
        <f t="array" ref="F268:F268">OFFSET(E268,-1,1)</f>
        <v>3</v>
      </c>
      <c r="G268" s="152" t="s">
        <v>335</v>
      </c>
      <c r="H268" s="155" cm="1" t="str">
        <f t="array" ref="H268:H268">AC268</f>
        <v>Затраты</v>
      </c>
      <c r="I268" s="152" t="s">
        <v>1814</v>
      </c>
      <c r="J268" s="885"/>
      <c r="K268" s="911"/>
      <c r="L268" s="885"/>
      <c r="M268" s="885"/>
      <c r="N268" s="885"/>
      <c r="O268" s="885"/>
      <c r="P268" s="885"/>
      <c r="Q268" s="885"/>
      <c r="R268" s="885"/>
      <c r="S268" s="885"/>
      <c r="T268" s="465" cm="1" t="str">
        <f t="array" ref="T268:T268">T267</f>
        <v>false</v>
      </c>
      <c r="U268" s="885"/>
      <c r="V268" s="885"/>
      <c r="W268" s="885"/>
      <c r="X268" s="1524"/>
      <c r="Y268" s="1524"/>
      <c r="Z268" s="1615"/>
      <c r="AA268" s="1617"/>
      <c r="AB268" s="88" t="str">
        <f>AB267&amp;".1"</f>
        <v>5.0.1</v>
      </c>
      <c r="AC268" s="1705" t="s">
        <v>1783</v>
      </c>
      <c r="AD268" s="211" t="s">
        <v>1514</v>
      </c>
      <c r="AE268" s="3536"/>
      <c r="AF268" s="3536"/>
      <c r="AG268" s="3536"/>
      <c r="AH268" s="3536"/>
      <c r="AI268" s="3536"/>
      <c r="AJ268" s="3536"/>
      <c r="AK268" s="3536"/>
      <c r="AL268" s="3536"/>
      <c r="AM268" s="3536"/>
      <c r="AN268" s="3536"/>
      <c r="AO268" s="3536"/>
      <c r="AP268" s="3536"/>
      <c r="AQ268" s="3536"/>
      <c r="AR268" s="3536"/>
      <c r="AS268" s="3536"/>
      <c r="AT268" s="3536"/>
      <c r="AU268" s="3536"/>
      <c r="AV268" s="3536"/>
      <c r="AW268" s="3536"/>
      <c r="AX268" s="3536"/>
      <c r="AY268" s="3536"/>
      <c r="AZ268" s="3536"/>
      <c r="BA268" s="3536"/>
      <c r="BB268" s="3536"/>
      <c r="BC268" s="2070"/>
      <c r="BD268" s="885"/>
      <c r="BE268" s="885"/>
      <c r="BF268" s="1041" t="s">
        <v>1784</v>
      </c>
      <c r="BG268" s="1041" t="s">
        <v>1815</v>
      </c>
      <c r="BH268" s="1041" cm="1" t="str">
        <f t="array" ref="BH268:BH268">AC267</f>
        <v/>
      </c>
      <c r="BI268" s="678"/>
      <c r="BJ268" s="678" t="b">
        <v>1</v>
      </c>
    </row>
    <row s="1834" customFormat="1" customHeight="1" ht="0" hidden="1">
      <c r="A269" s="885"/>
      <c r="B269" s="440"/>
      <c r="C269" s="885"/>
      <c r="D269" s="885"/>
      <c r="E269" s="678">
        <v>15</v>
      </c>
      <c r="F269" s="50" cm="1" t="str">
        <f t="array" ref="F269:F269">OFFSET(E269,-1,1)</f>
        <v>3</v>
      </c>
      <c r="G269" s="152" t="s">
        <v>1263</v>
      </c>
      <c r="H269" s="155" cm="1" t="str">
        <f t="array" ref="H269:H269">H268</f>
        <v>Затраты</v>
      </c>
      <c r="I269" s="152" t="s">
        <v>1814</v>
      </c>
      <c r="J269" s="885"/>
      <c r="K269" s="911"/>
      <c r="L269" s="885"/>
      <c r="M269" s="885"/>
      <c r="N269" s="885"/>
      <c r="O269" s="885"/>
      <c r="P269" s="885"/>
      <c r="Q269" s="885"/>
      <c r="R269" s="885"/>
      <c r="S269" s="885"/>
      <c r="T269" s="465" cm="1" t="str">
        <f t="array" ref="T269:T269">T268</f>
        <v>false</v>
      </c>
      <c r="U269" s="885"/>
      <c r="V269" s="885"/>
      <c r="W269" s="885"/>
      <c r="X269" s="1524"/>
      <c r="Y269" s="1524"/>
      <c r="Z269" s="1615"/>
      <c r="AA269" s="1617"/>
      <c r="AB269" s="88" t="str">
        <f>AB268&amp;".1"</f>
        <v>5.0.1.1</v>
      </c>
      <c r="AC269" s="221" t="s">
        <v>1816</v>
      </c>
      <c r="AD269" s="88" t="s">
        <v>1247</v>
      </c>
      <c r="AE269" s="3536"/>
      <c r="AF269" s="3536"/>
      <c r="AG269" s="3536"/>
      <c r="AH269" s="3536"/>
      <c r="AI269" s="3536"/>
      <c r="AJ269" s="3536"/>
      <c r="AK269" s="3536"/>
      <c r="AL269" s="3536"/>
      <c r="AM269" s="3536"/>
      <c r="AN269" s="3536"/>
      <c r="AO269" s="3536"/>
      <c r="AP269" s="3536"/>
      <c r="AQ269" s="3536"/>
      <c r="AR269" s="3536"/>
      <c r="AS269" s="3536"/>
      <c r="AT269" s="3536"/>
      <c r="AU269" s="3536"/>
      <c r="AV269" s="3536"/>
      <c r="AW269" s="3536"/>
      <c r="AX269" s="3536"/>
      <c r="AY269" s="3536"/>
      <c r="AZ269" s="3536"/>
      <c r="BA269" s="3536"/>
      <c r="BB269" s="3536"/>
      <c r="BC269" s="2070"/>
      <c r="BD269" s="885"/>
      <c r="BE269" s="885"/>
      <c r="BF269" s="1041" t="s">
        <v>1787</v>
      </c>
      <c r="BG269" s="1041" t="s">
        <v>1815</v>
      </c>
      <c r="BH269" s="1041" cm="1" t="str">
        <f t="array" ref="BH269:BH269">BH268</f>
        <v/>
      </c>
      <c r="BI269" s="678"/>
      <c r="BJ269" s="678"/>
    </row>
    <row s="1834" customFormat="1" customHeight="1" ht="0" hidden="1">
      <c r="A270" s="885"/>
      <c r="B270" s="440"/>
      <c r="C270" s="885"/>
      <c r="D270" s="885"/>
      <c r="E270" s="678">
        <v>15</v>
      </c>
      <c r="F270" s="1387" cm="1" t="str">
        <f t="array" ref="F270:F270">OFFSET(E270,-1,1)</f>
        <v>3</v>
      </c>
      <c r="G270" s="885"/>
      <c r="H270" s="155"/>
      <c r="I270" s="885"/>
      <c r="J270" s="885"/>
      <c r="K270" s="911"/>
      <c r="L270" s="885"/>
      <c r="M270" s="885"/>
      <c r="N270" s="885"/>
      <c r="O270" s="885"/>
      <c r="P270" s="885"/>
      <c r="Q270" s="885"/>
      <c r="R270" s="885"/>
      <c r="S270" s="885"/>
      <c r="T270" s="1356" cm="1" t="str">
        <f t="array" ref="T270:T270">T269</f>
        <v>false</v>
      </c>
      <c r="U270" s="885"/>
      <c r="V270" s="885"/>
      <c r="W270" s="885"/>
      <c r="X270" s="684"/>
      <c r="Y270" s="1524"/>
      <c r="Z270" s="885"/>
      <c r="AA270" s="1697"/>
      <c r="AB270" s="1706" t="str">
        <f>AB268&amp;".2"</f>
        <v>5.0.1.2</v>
      </c>
      <c r="AC270" s="1707" t="s">
        <v>1817</v>
      </c>
      <c r="AD270" s="1706" t="s">
        <v>1789</v>
      </c>
      <c r="AE270" s="3644"/>
      <c r="AF270" s="3644"/>
      <c r="AG270" s="3644"/>
      <c r="AH270" s="3644"/>
      <c r="AI270" s="3644"/>
      <c r="AJ270" s="3644"/>
      <c r="AK270" s="3644"/>
      <c r="AL270" s="3644"/>
      <c r="AM270" s="3644"/>
      <c r="AN270" s="3644"/>
      <c r="AO270" s="3644"/>
      <c r="AP270" s="3644"/>
      <c r="AQ270" s="3644"/>
      <c r="AR270" s="3644"/>
      <c r="AS270" s="3644"/>
      <c r="AT270" s="3644"/>
      <c r="AU270" s="3644"/>
      <c r="AV270" s="3644"/>
      <c r="AW270" s="3644"/>
      <c r="AX270" s="3644"/>
      <c r="AY270" s="3644"/>
      <c r="AZ270" s="3644"/>
      <c r="BA270" s="3644"/>
      <c r="BB270" s="3644"/>
      <c r="BC270" s="3645"/>
      <c r="BD270" s="885"/>
      <c r="BE270" s="885"/>
      <c r="BF270" s="1041" t="s">
        <v>1790</v>
      </c>
      <c r="BG270" s="1041" t="s">
        <v>1815</v>
      </c>
      <c r="BH270" s="1710" cm="1" t="str">
        <f t="array" ref="BH270:BH270">BH269</f>
        <v/>
      </c>
      <c r="BI270" s="678"/>
      <c r="BJ270" s="678"/>
    </row>
    <row s="1834" customFormat="1" customHeight="1" ht="0">
      <c r="A271" s="885"/>
      <c r="B271" s="440"/>
      <c r="C271" s="885"/>
      <c r="D271" s="885"/>
      <c r="E271" s="678">
        <v>15</v>
      </c>
      <c r="F271" s="50" cm="1" t="str">
        <f t="array" ref="F271:F271">OFFSET(E271,-1,1)</f>
        <v>3</v>
      </c>
      <c r="G271" s="885"/>
      <c r="H271" s="152" t="str">
        <f>"!=='не определено' &amp;&amp; row.l5 !== null"</f>
        <v>!=='не определено' &amp;&amp; row.l5 !== null</v>
      </c>
      <c r="I271" s="885"/>
      <c r="J271" s="885"/>
      <c r="K271" s="911"/>
      <c r="L271" s="885"/>
      <c r="M271" s="885"/>
      <c r="N271" s="885"/>
      <c r="O271" s="885"/>
      <c r="P271" s="885"/>
      <c r="Q271" s="885"/>
      <c r="R271" s="885"/>
      <c r="S271" s="885"/>
      <c r="T271" s="465">
        <f>F271&gt;0</f>
        <v>1</v>
      </c>
      <c r="U271" s="885"/>
      <c r="V271" s="885"/>
      <c r="W271" s="685" t="s">
        <v>1818</v>
      </c>
      <c r="X271" s="1524"/>
      <c r="Y271" s="169"/>
      <c r="Z271" s="1615"/>
      <c r="AA271" s="885"/>
      <c r="AB271" s="681"/>
      <c r="AC271" s="232" t="s">
        <v>1792</v>
      </c>
      <c r="AD271" s="232"/>
      <c r="AE271" s="232"/>
      <c r="AF271" s="232"/>
      <c r="AG271" s="232"/>
      <c r="AH271" s="232"/>
      <c r="AI271" s="232"/>
      <c r="AJ271" s="232"/>
      <c r="AK271" s="232"/>
      <c r="AL271" s="232"/>
      <c r="AM271" s="232"/>
      <c r="AN271" s="232"/>
      <c r="AO271" s="232"/>
      <c r="AP271" s="232"/>
      <c r="AQ271" s="232"/>
      <c r="AR271" s="232"/>
      <c r="AS271" s="232"/>
      <c r="AT271" s="232"/>
      <c r="AU271" s="232"/>
      <c r="AV271" s="232"/>
      <c r="AW271" s="232"/>
      <c r="AX271" s="232"/>
      <c r="AY271" s="232"/>
      <c r="AZ271" s="232"/>
      <c r="BA271" s="232"/>
      <c r="BB271" s="232"/>
      <c r="BC271" s="233"/>
      <c r="BD271" s="885"/>
      <c r="BE271" s="885"/>
      <c r="BF271" s="1041"/>
      <c r="BG271" s="1041"/>
      <c r="BH271" s="1041"/>
      <c r="BI271" s="678" t="s">
        <v>1815</v>
      </c>
      <c r="BJ271" s="678"/>
    </row>
    <row s="153" customFormat="1" customHeight="1" ht="0">
      <c r="A272" s="153"/>
      <c r="B272" s="441"/>
      <c r="C272" s="153"/>
      <c r="D272" s="153"/>
      <c r="E272" s="679">
        <v>15</v>
      </c>
      <c r="F272" s="50" cm="1" t="str">
        <f t="array" ref="F272:F272">OFFSET(E272,-1,1)</f>
        <v>3</v>
      </c>
      <c r="G272" s="152" t="s">
        <v>1225</v>
      </c>
      <c r="H272" s="153"/>
      <c r="I272" s="153"/>
      <c r="J272" s="153"/>
      <c r="K272" s="911" t="str">
        <f>F237&amp;"6komm"</f>
        <v>36komm</v>
      </c>
      <c r="L272" s="915" cm="1" t="str">
        <f t="array" ref="L272:L272">BC272</f>
        <v>0</v>
      </c>
      <c r="M272" s="153"/>
      <c r="N272" s="153"/>
      <c r="O272" s="153"/>
      <c r="P272" s="153"/>
      <c r="Q272" s="153"/>
      <c r="R272" s="153"/>
      <c r="S272" s="153"/>
      <c r="T272" s="465" cm="1" t="str">
        <f t="array" ref="T272:T272">T271</f>
        <v>true</v>
      </c>
      <c r="U272" s="153"/>
      <c r="V272" s="153"/>
      <c r="W272" s="153"/>
      <c r="X272" s="1524"/>
      <c r="Y272" s="153"/>
      <c r="Z272" s="1615"/>
      <c r="AA272" s="153"/>
      <c r="AB272" s="211">
        <v>6</v>
      </c>
      <c r="AC272" s="212" t="s">
        <v>1819</v>
      </c>
      <c r="AD272" s="211" t="s">
        <v>1514</v>
      </c>
      <c r="AE272" s="3657">
        <f>SUMIF($AC275:$AC282,"Затраты на тепловую энергию, всего",AE275:AE282)</f>
        <v>0</v>
      </c>
      <c r="AF272" s="3657">
        <f>SUMIF($AC275:$AC282,"Затраты на тепловую энергию, всего",AF275:AF282)</f>
        <v>0</v>
      </c>
      <c r="AG272" s="3657">
        <f>SUMIF($AC275:$AC282,"Затраты на тепловую энергию, всего",AG275:AG282)</f>
        <v>0</v>
      </c>
      <c r="AH272" s="3657">
        <f>SUMIF($AC275:$AC282,"Затраты на тепловую энергию, всего",AH275:AH282)</f>
        <v>0</v>
      </c>
      <c r="AI272" s="3657">
        <f>SUMIF($AC275:$AC282,"Затраты на тепловую энергию, всего",AI275:AI282)</f>
        <v>0</v>
      </c>
      <c r="AJ272" s="225">
        <f>SUMIF($AC275:$AC282,"Затраты на тепловую энергию, всего",AJ275:AJ282)</f>
        <v>0</v>
      </c>
      <c r="AK272" s="225">
        <f>SUMIF($AC275:$AC282,"Затраты на тепловую энергию, всего",AK275:AK282)</f>
        <v>0</v>
      </c>
      <c r="AL272" s="225">
        <f>SUMIF($AC275:$AC282,"Затраты на тепловую энергию, всего",AL275:AL282)</f>
        <v>0</v>
      </c>
      <c r="AM272" s="225">
        <f>SUMIF($AC275:$AC282,"Затраты на тепловую энергию, всего",AM275:AM282)</f>
        <v>0</v>
      </c>
      <c r="AN272" s="3658">
        <f>SUMIF($AC275:$AC282,"Затраты на тепловую энергию, всего",AN275:AN282)</f>
        <v>0</v>
      </c>
      <c r="AO272" s="3658">
        <f>SUMIF($AC275:$AC282,"Затраты на тепловую энергию, всего",AO275:AO282)</f>
        <v>0</v>
      </c>
      <c r="AP272" s="3658">
        <f>SUMIF($AC275:$AC282,"Затраты на тепловую энергию, всего",AP275:AP282)</f>
        <v>0</v>
      </c>
      <c r="AQ272" s="3658">
        <f>SUMIF($AC275:$AC282,"Затраты на тепловую энергию, всего",AQ275:AQ282)</f>
        <v>0</v>
      </c>
      <c r="AR272" s="3658">
        <f>SUMIF($AC275:$AC282,"Затраты на тепловую энергию, всего",AR275:AR282)</f>
        <v>0</v>
      </c>
      <c r="AS272" s="3657">
        <f>SUMIF($AC275:$AC282,"Затраты на тепловую энергию, всего",AS275:AS282)</f>
        <v>0</v>
      </c>
      <c r="AT272" s="225">
        <f>SUMIF($AC275:$AC282,"Затраты на тепловую энергию, всего",AT275:AT282)</f>
        <v>0</v>
      </c>
      <c r="AU272" s="225">
        <f>SUMIF($AC275:$AC282,"Затраты на тепловую энергию, всего",AU275:AU282)</f>
        <v>0</v>
      </c>
      <c r="AV272" s="225">
        <f>SUMIF($AC275:$AC282,"Затраты на тепловую энергию, всего",AV275:AV282)</f>
        <v>0</v>
      </c>
      <c r="AW272" s="225">
        <f>SUMIF($AC275:$AC282,"Затраты на тепловую энергию, всего",AW275:AW282)</f>
        <v>0</v>
      </c>
      <c r="AX272" s="3658">
        <f>SUMIF($AC275:$AC282,"Затраты на тепловую энергию, всего",AX275:AX282)</f>
        <v>0</v>
      </c>
      <c r="AY272" s="3658">
        <f>SUMIF($AC275:$AC282,"Затраты на тепловую энергию, всего",AY275:AY282)</f>
        <v>0</v>
      </c>
      <c r="AZ272" s="3658">
        <f>SUMIF($AC275:$AC282,"Затраты на тепловую энергию, всего",AZ275:AZ282)</f>
        <v>0</v>
      </c>
      <c r="BA272" s="3658">
        <f>SUMIF($AC275:$AC282,"Затраты на тепловую энергию, всего",BA275:BA282)</f>
        <v>0</v>
      </c>
      <c r="BB272" s="3658">
        <f>SUMIF($AC275:$AC282,"Затраты на тепловую энергию, всего",BB275:BB282)</f>
        <v>0</v>
      </c>
      <c r="BC272" s="200"/>
      <c r="BD272" s="153"/>
      <c r="BE272" s="153"/>
      <c r="BF272" s="1044" t="s">
        <v>1820</v>
      </c>
      <c r="BG272" s="1044"/>
      <c r="BH272" s="1044"/>
      <c r="BI272" s="679"/>
      <c r="BJ272" s="679"/>
    </row>
    <row s="1834" customFormat="1" customHeight="1" ht="0" hidden="1">
      <c r="A273" s="885"/>
      <c r="B273" s="441"/>
      <c r="C273" s="885"/>
      <c r="D273" s="885"/>
      <c r="E273" s="678">
        <v>15</v>
      </c>
      <c r="F273" s="1387" cm="1" t="str">
        <f t="array" ref="F273:F273">OFFSET(E273,-1,1)</f>
        <v>3</v>
      </c>
      <c r="G273" s="885"/>
      <c r="H273" s="885"/>
      <c r="I273" s="885"/>
      <c r="J273" s="885"/>
      <c r="K273" s="911"/>
      <c r="L273" s="915"/>
      <c r="M273" s="885"/>
      <c r="N273" s="885"/>
      <c r="O273" s="885"/>
      <c r="P273" s="885"/>
      <c r="Q273" s="885"/>
      <c r="R273" s="885"/>
      <c r="S273" s="885"/>
      <c r="T273" s="1356" t="b">
        <v>0</v>
      </c>
      <c r="U273" s="885"/>
      <c r="V273" s="885"/>
      <c r="W273" s="885" t="s">
        <v>174</v>
      </c>
      <c r="X273" s="684"/>
      <c r="Y273" s="1524">
        <v>0</v>
      </c>
      <c r="Z273" s="885"/>
      <c r="AA273" s="1714" t="s">
        <v>175</v>
      </c>
      <c r="AB273" s="1700"/>
      <c r="AC273" s="1522"/>
      <c r="AD273" s="1715"/>
      <c r="AE273" s="1716">
        <f>OR(AND(AE276&lt;&gt;"",AE277=""),AND(AE276="",AE277&lt;&gt;""))</f>
        <v>0</v>
      </c>
      <c r="AF273" s="1716">
        <f>OR(AND(AF276&lt;&gt;"",AF277=""),AND(AF276="",AF277&lt;&gt;""))</f>
        <v>0</v>
      </c>
      <c r="AG273" s="1716">
        <f>OR(AND(AG276&lt;&gt;"",AG277=""),AND(AG276="",AG277&lt;&gt;""))</f>
        <v>0</v>
      </c>
      <c r="AH273" s="1716">
        <f>OR(AND(AH276&lt;&gt;"",AH277=""),AND(AH276="",AH277&lt;&gt;""))</f>
        <v>0</v>
      </c>
      <c r="AI273" s="1716">
        <f>OR(AND(AI276&lt;&gt;"",AI277=""),AND(AI276="",AI277&lt;&gt;""))</f>
        <v>0</v>
      </c>
      <c r="AJ273" s="1716">
        <f>OR(AND(AJ276&lt;&gt;"",AJ277=""),AND(AJ276="",AJ277&lt;&gt;""))</f>
        <v>0</v>
      </c>
      <c r="AK273" s="1716">
        <f>OR(AND(AK276&lt;&gt;"",AK277=""),AND(AK276="",AK277&lt;&gt;""))</f>
        <v>0</v>
      </c>
      <c r="AL273" s="1716">
        <f>OR(AND(AL276&lt;&gt;"",AL277=""),AND(AL276="",AL277&lt;&gt;""))</f>
        <v>0</v>
      </c>
      <c r="AM273" s="1716">
        <f>OR(AND(AM276&lt;&gt;"",AM277=""),AND(AM276="",AM277&lt;&gt;""))</f>
        <v>0</v>
      </c>
      <c r="AN273" s="1716">
        <f>OR(AND(AN276&lt;&gt;"",AN277=""),AND(AN276="",AN277&lt;&gt;""))</f>
        <v>0</v>
      </c>
      <c r="AO273" s="1716">
        <f>OR(AND(AO276&lt;&gt;"",AO277=""),AND(AO276="",AO277&lt;&gt;""))</f>
        <v>0</v>
      </c>
      <c r="AP273" s="1716">
        <f>OR(AND(AP276&lt;&gt;"",AP277=""),AND(AP276="",AP277&lt;&gt;""))</f>
        <v>0</v>
      </c>
      <c r="AQ273" s="1716">
        <f>OR(AND(AQ276&lt;&gt;"",AQ277=""),AND(AQ276="",AQ277&lt;&gt;""))</f>
        <v>0</v>
      </c>
      <c r="AR273" s="1716">
        <f>OR(AND(AR276&lt;&gt;"",AR277=""),AND(AR276="",AR277&lt;&gt;""))</f>
        <v>0</v>
      </c>
      <c r="AS273" s="1716">
        <f>OR(AND(AS276&lt;&gt;"",AS277=""),AND(AS276="",AS277&lt;&gt;""))</f>
        <v>0</v>
      </c>
      <c r="AT273" s="1716">
        <f>OR(AND(AT276&lt;&gt;"",AT277=""),AND(AT276="",AT277&lt;&gt;""))</f>
        <v>0</v>
      </c>
      <c r="AU273" s="1716">
        <f>OR(AND(AU276&lt;&gt;"",AU277=""),AND(AU276="",AU277&lt;&gt;""))</f>
        <v>0</v>
      </c>
      <c r="AV273" s="1716">
        <f>OR(AND(AV276&lt;&gt;"",AV277=""),AND(AV276="",AV277&lt;&gt;""))</f>
        <v>0</v>
      </c>
      <c r="AW273" s="1716">
        <f>OR(AND(AW276&lt;&gt;"",AW277=""),AND(AW276="",AW277&lt;&gt;""))</f>
        <v>0</v>
      </c>
      <c r="AX273" s="1716">
        <f>OR(AND(AX276&lt;&gt;"",AX277=""),AND(AX276="",AX277&lt;&gt;""))</f>
        <v>0</v>
      </c>
      <c r="AY273" s="1716">
        <f>OR(AND(AY276&lt;&gt;"",AY277=""),AND(AY276="",AY277&lt;&gt;""))</f>
        <v>0</v>
      </c>
      <c r="AZ273" s="1716">
        <f>OR(AND(AZ276&lt;&gt;"",AZ277=""),AND(AZ276="",AZ277&lt;&gt;""))</f>
        <v>0</v>
      </c>
      <c r="BA273" s="1716">
        <f>OR(AND(BA276&lt;&gt;"",BA277=""),AND(BA276="",BA277&lt;&gt;""))</f>
        <v>0</v>
      </c>
      <c r="BB273" s="1716">
        <f>OR(AND(BB276&lt;&gt;"",BB277=""),AND(BB276="",BB277&lt;&gt;""))</f>
        <v>0</v>
      </c>
      <c r="BC273" s="1716"/>
      <c r="BD273" s="885"/>
      <c r="BE273" s="885"/>
      <c r="BF273" s="1044"/>
      <c r="BG273" s="1044"/>
      <c r="BH273" s="1044"/>
      <c r="BI273" s="679"/>
      <c r="BJ273" s="679"/>
    </row>
    <row s="1834" customFormat="1" customHeight="1" ht="0" hidden="1">
      <c r="A274" s="885"/>
      <c r="B274" s="441"/>
      <c r="C274" s="885"/>
      <c r="D274" s="885"/>
      <c r="E274" s="678">
        <v>15</v>
      </c>
      <c r="F274" s="1387" cm="1" t="str">
        <f t="array" ref="F274:F274">OFFSET(E274,-1,1)</f>
        <v>3</v>
      </c>
      <c r="G274" s="885"/>
      <c r="H274" s="885"/>
      <c r="I274" s="885"/>
      <c r="J274" s="885"/>
      <c r="K274" s="911"/>
      <c r="L274" s="915"/>
      <c r="M274" s="885"/>
      <c r="N274" s="885"/>
      <c r="O274" s="885"/>
      <c r="P274" s="885"/>
      <c r="Q274" s="885"/>
      <c r="R274" s="885"/>
      <c r="S274" s="885"/>
      <c r="T274" s="1356">
        <f>AND(F274&gt;0,Y273&gt;0)</f>
        <v>0</v>
      </c>
      <c r="U274" s="885"/>
      <c r="V274" s="885"/>
      <c r="W274" s="885"/>
      <c r="X274" s="684"/>
      <c r="Y274" s="1524"/>
      <c r="Z274" s="885"/>
      <c r="AA274" s="1714"/>
      <c r="AB274" s="1698" t="str">
        <f>"6."&amp;Y273</f>
        <v>6.0</v>
      </c>
      <c r="AC274" s="1717"/>
      <c r="AD274" s="1715"/>
      <c r="AE274" s="1702"/>
      <c r="AF274" s="1702"/>
      <c r="AG274" s="1702"/>
      <c r="AH274" s="1702"/>
      <c r="AI274" s="1702"/>
      <c r="AJ274" s="1702"/>
      <c r="AK274" s="1702"/>
      <c r="AL274" s="1702"/>
      <c r="AM274" s="1702"/>
      <c r="AN274" s="1702"/>
      <c r="AO274" s="1702"/>
      <c r="AP274" s="1702"/>
      <c r="AQ274" s="1702"/>
      <c r="AR274" s="1702"/>
      <c r="AS274" s="1702"/>
      <c r="AT274" s="1702"/>
      <c r="AU274" s="1702"/>
      <c r="AV274" s="1702"/>
      <c r="AW274" s="1702"/>
      <c r="AX274" s="1702"/>
      <c r="AY274" s="1702"/>
      <c r="AZ274" s="1702"/>
      <c r="BA274" s="1702"/>
      <c r="BB274" s="1702"/>
      <c r="BC274" s="1702"/>
      <c r="BD274" s="885"/>
      <c r="BE274" s="885"/>
      <c r="BF274" s="1044"/>
      <c r="BG274" s="1044"/>
      <c r="BH274" s="1044"/>
      <c r="BI274" s="679"/>
      <c r="BJ274" s="679"/>
    </row>
    <row s="1834" customFormat="1" customHeight="1" ht="0" hidden="1">
      <c r="A275" s="885"/>
      <c r="B275" s="441"/>
      <c r="C275" s="885"/>
      <c r="D275" s="885"/>
      <c r="E275" s="678">
        <v>15</v>
      </c>
      <c r="F275" s="1387" cm="1" t="str">
        <f t="array" ref="F275:F275">OFFSET(E275,-1,1)</f>
        <v>3</v>
      </c>
      <c r="G275" s="885"/>
      <c r="H275" s="885"/>
      <c r="I275" s="885"/>
      <c r="J275" s="885"/>
      <c r="K275" s="911"/>
      <c r="L275" s="915"/>
      <c r="M275" s="885"/>
      <c r="N275" s="885"/>
      <c r="O275" s="885"/>
      <c r="P275" s="885"/>
      <c r="Q275" s="885"/>
      <c r="R275" s="885"/>
      <c r="S275" s="885"/>
      <c r="T275" s="1356" cm="1" t="str">
        <f t="array" ref="T275:T275">T274</f>
        <v>false</v>
      </c>
      <c r="U275" s="885"/>
      <c r="V275" s="885"/>
      <c r="W275" s="885"/>
      <c r="X275" s="684"/>
      <c r="Y275" s="1524"/>
      <c r="Z275" s="885"/>
      <c r="AA275" s="1714"/>
      <c r="AB275" s="1698" t="str">
        <f>AB274&amp;".1"</f>
        <v>6.0.1</v>
      </c>
      <c r="AC275" s="1718" t="s">
        <v>1821</v>
      </c>
      <c r="AD275" s="1706" t="s">
        <v>1514</v>
      </c>
      <c r="AE275" s="3666">
        <f>AE276+AE279</f>
        <v>0</v>
      </c>
      <c r="AF275" s="3667">
        <f>AF276+AF279</f>
        <v>0</v>
      </c>
      <c r="AG275" s="3666">
        <f>AG276+AG279</f>
        <v>0</v>
      </c>
      <c r="AH275" s="3666">
        <f>AH276+AH279</f>
        <v>0</v>
      </c>
      <c r="AI275" s="3667">
        <f>AI276+AI279</f>
        <v>0</v>
      </c>
      <c r="AJ275" s="3668">
        <f>AJ276+AJ279</f>
        <v>0</v>
      </c>
      <c r="AK275" s="3668">
        <f>AK276+AK279</f>
        <v>0</v>
      </c>
      <c r="AL275" s="3668">
        <f>AL276+AL279</f>
        <v>0</v>
      </c>
      <c r="AM275" s="3668">
        <f>AM276+AM279</f>
        <v>0</v>
      </c>
      <c r="AN275" s="3668">
        <f>AN276+AN279</f>
        <v>0</v>
      </c>
      <c r="AO275" s="3668">
        <f>AO276+AO279</f>
        <v>0</v>
      </c>
      <c r="AP275" s="3668">
        <f>AP276+AP279</f>
        <v>0</v>
      </c>
      <c r="AQ275" s="3668">
        <f>AQ276+AQ279</f>
        <v>0</v>
      </c>
      <c r="AR275" s="3668">
        <f>AR276+AR279</f>
        <v>0</v>
      </c>
      <c r="AS275" s="3667">
        <f>AS276+AS279</f>
        <v>0</v>
      </c>
      <c r="AT275" s="3668">
        <f>AT276+AT279</f>
        <v>0</v>
      </c>
      <c r="AU275" s="3668">
        <f>AU276+AU279</f>
        <v>0</v>
      </c>
      <c r="AV275" s="3668">
        <f>AV276+AV279</f>
        <v>0</v>
      </c>
      <c r="AW275" s="3668">
        <f>AW276+AW279</f>
        <v>0</v>
      </c>
      <c r="AX275" s="3668">
        <f>AX276+AX279</f>
        <v>0</v>
      </c>
      <c r="AY275" s="3668">
        <f>AY276+AY279</f>
        <v>0</v>
      </c>
      <c r="AZ275" s="3668">
        <f>AZ276+AZ279</f>
        <v>0</v>
      </c>
      <c r="BA275" s="3668">
        <f>BA276+BA279</f>
        <v>0</v>
      </c>
      <c r="BB275" s="3668">
        <f>BB276+BB279</f>
        <v>0</v>
      </c>
      <c r="BC275" s="3645"/>
      <c r="BD275" s="885"/>
      <c r="BE275" s="885"/>
      <c r="BF275" s="1044" t="s">
        <v>1822</v>
      </c>
      <c r="BG275" s="1044" t="s">
        <v>1823</v>
      </c>
      <c r="BH275" s="1720" cm="1" t="str">
        <f t="array" ref="BH275:BH275">AC274</f>
        <v>0</v>
      </c>
      <c r="BI275" s="679"/>
      <c r="BJ275" s="679" t="b">
        <v>1</v>
      </c>
    </row>
    <row s="1834" customFormat="1" customHeight="1" ht="0" hidden="1">
      <c r="A276" s="885"/>
      <c r="B276" s="441"/>
      <c r="C276" s="885"/>
      <c r="D276" s="885"/>
      <c r="E276" s="678">
        <v>15</v>
      </c>
      <c r="F276" s="1387" cm="1" t="str">
        <f t="array" ref="F276:F276">OFFSET(E276,-1,1)</f>
        <v>3</v>
      </c>
      <c r="G276" s="885"/>
      <c r="H276" s="885"/>
      <c r="I276" s="885"/>
      <c r="J276" s="885"/>
      <c r="K276" s="911"/>
      <c r="L276" s="915"/>
      <c r="M276" s="885"/>
      <c r="N276" s="885"/>
      <c r="O276" s="885"/>
      <c r="P276" s="885"/>
      <c r="Q276" s="885"/>
      <c r="R276" s="885"/>
      <c r="S276" s="885"/>
      <c r="T276" s="1356" cm="1" t="str">
        <f t="array" ref="T276:T276">T275</f>
        <v>false</v>
      </c>
      <c r="U276" s="885"/>
      <c r="V276" s="885"/>
      <c r="W276" s="885"/>
      <c r="X276" s="684"/>
      <c r="Y276" s="1524"/>
      <c r="Z276" s="885"/>
      <c r="AA276" s="1714"/>
      <c r="AB276" s="1698" t="str">
        <f>AB275&amp;".1"</f>
        <v>6.0.1.1</v>
      </c>
      <c r="AC276" s="1721" t="s">
        <v>1824</v>
      </c>
      <c r="AD276" s="1722" t="s">
        <v>1514</v>
      </c>
      <c r="AE276" s="3644"/>
      <c r="AF276" s="3644"/>
      <c r="AG276" s="3644"/>
      <c r="AH276" s="3644"/>
      <c r="AI276" s="3644"/>
      <c r="AJ276" s="3644"/>
      <c r="AK276" s="3644"/>
      <c r="AL276" s="3644"/>
      <c r="AM276" s="3644"/>
      <c r="AN276" s="3644"/>
      <c r="AO276" s="3644"/>
      <c r="AP276" s="3644"/>
      <c r="AQ276" s="3644"/>
      <c r="AR276" s="3644"/>
      <c r="AS276" s="3644"/>
      <c r="AT276" s="3644"/>
      <c r="AU276" s="3644"/>
      <c r="AV276" s="3644"/>
      <c r="AW276" s="3644"/>
      <c r="AX276" s="3644"/>
      <c r="AY276" s="3644"/>
      <c r="AZ276" s="3644"/>
      <c r="BA276" s="3644"/>
      <c r="BB276" s="3644"/>
      <c r="BC276" s="3645"/>
      <c r="BD276" s="885"/>
      <c r="BE276" s="885"/>
      <c r="BF276" s="1044" t="s">
        <v>1825</v>
      </c>
      <c r="BG276" s="1044" t="s">
        <v>1823</v>
      </c>
      <c r="BH276" s="1720" cm="1" t="str">
        <f t="array" ref="BH276:BH276">BH275</f>
        <v>0</v>
      </c>
      <c r="BI276" s="679"/>
      <c r="BJ276" s="679"/>
    </row>
    <row s="1834" customFormat="1" customHeight="1" ht="0" hidden="1">
      <c r="A277" s="885"/>
      <c r="B277" s="441"/>
      <c r="C277" s="885"/>
      <c r="D277" s="885"/>
      <c r="E277" s="678">
        <v>15</v>
      </c>
      <c r="F277" s="1387" cm="1" t="str">
        <f t="array" ref="F277:F277">OFFSET(E277,-1,1)</f>
        <v>3</v>
      </c>
      <c r="G277" s="885"/>
      <c r="H277" s="885"/>
      <c r="I277" s="885"/>
      <c r="J277" s="885"/>
      <c r="K277" s="911"/>
      <c r="L277" s="915"/>
      <c r="M277" s="885"/>
      <c r="N277" s="885"/>
      <c r="O277" s="885"/>
      <c r="P277" s="885"/>
      <c r="Q277" s="885"/>
      <c r="R277" s="885"/>
      <c r="S277" s="885"/>
      <c r="T277" s="1356" cm="1" t="str">
        <f t="array" ref="T277:T277">T276</f>
        <v>false</v>
      </c>
      <c r="U277" s="885"/>
      <c r="V277" s="885"/>
      <c r="W277" s="885"/>
      <c r="X277" s="684"/>
      <c r="Y277" s="1524"/>
      <c r="Z277" s="885"/>
      <c r="AA277" s="1714"/>
      <c r="AB277" s="1698" t="str">
        <f>AB276&amp;".1"</f>
        <v>6.0.1.1.1</v>
      </c>
      <c r="AC277" s="1723" t="s">
        <v>1826</v>
      </c>
      <c r="AD277" s="1706" t="s">
        <v>1827</v>
      </c>
      <c r="AE277" s="3644"/>
      <c r="AF277" s="3644"/>
      <c r="AG277" s="3644"/>
      <c r="AH277" s="3644"/>
      <c r="AI277" s="3644"/>
      <c r="AJ277" s="3644"/>
      <c r="AK277" s="3644"/>
      <c r="AL277" s="3644"/>
      <c r="AM277" s="3644"/>
      <c r="AN277" s="3644"/>
      <c r="AO277" s="3644"/>
      <c r="AP277" s="3644"/>
      <c r="AQ277" s="3644"/>
      <c r="AR277" s="3644"/>
      <c r="AS277" s="3644"/>
      <c r="AT277" s="3644"/>
      <c r="AU277" s="3644"/>
      <c r="AV277" s="3644"/>
      <c r="AW277" s="3644"/>
      <c r="AX277" s="3644"/>
      <c r="AY277" s="3644"/>
      <c r="AZ277" s="3644"/>
      <c r="BA277" s="3644"/>
      <c r="BB277" s="3644"/>
      <c r="BC277" s="3645"/>
      <c r="BD277" s="885"/>
      <c r="BE277" s="885"/>
      <c r="BF277" s="1044" t="s">
        <v>1828</v>
      </c>
      <c r="BG277" s="1044" t="s">
        <v>1823</v>
      </c>
      <c r="BH277" s="1720" cm="1" t="str">
        <f t="array" ref="BH277:BH277">BH276</f>
        <v>0</v>
      </c>
      <c r="BI277" s="679"/>
      <c r="BJ277" s="679"/>
    </row>
    <row s="1834" customFormat="1" customHeight="1" ht="0" hidden="1">
      <c r="A278" s="885"/>
      <c r="B278" s="441"/>
      <c r="C278" s="885"/>
      <c r="D278" s="885"/>
      <c r="E278" s="678">
        <v>15</v>
      </c>
      <c r="F278" s="1387" cm="1" t="str">
        <f t="array" ref="F278:F278">OFFSET(E278,-1,1)</f>
        <v>3</v>
      </c>
      <c r="G278" s="885"/>
      <c r="H278" s="885"/>
      <c r="I278" s="885"/>
      <c r="J278" s="885"/>
      <c r="K278" s="911"/>
      <c r="L278" s="915"/>
      <c r="M278" s="885"/>
      <c r="N278" s="885"/>
      <c r="O278" s="885"/>
      <c r="P278" s="885"/>
      <c r="Q278" s="885"/>
      <c r="R278" s="885"/>
      <c r="S278" s="885"/>
      <c r="T278" s="1356" cm="1" t="str">
        <f t="array" ref="T278:T278">T277</f>
        <v>false</v>
      </c>
      <c r="U278" s="885"/>
      <c r="V278" s="885"/>
      <c r="W278" s="885"/>
      <c r="X278" s="684"/>
      <c r="Y278" s="1524"/>
      <c r="Z278" s="885"/>
      <c r="AA278" s="1714"/>
      <c r="AB278" s="1698" t="str">
        <f>AB276&amp;".2"</f>
        <v>6.0.1.1.2</v>
      </c>
      <c r="AC278" s="1723" t="s">
        <v>1829</v>
      </c>
      <c r="AD278" s="1706" t="s">
        <v>1830</v>
      </c>
      <c r="AE278" s="3644"/>
      <c r="AF278" s="3644"/>
      <c r="AG278" s="3644"/>
      <c r="AH278" s="3644"/>
      <c r="AI278" s="3644"/>
      <c r="AJ278" s="3644"/>
      <c r="AK278" s="3644"/>
      <c r="AL278" s="3644"/>
      <c r="AM278" s="3644"/>
      <c r="AN278" s="3644"/>
      <c r="AO278" s="3644"/>
      <c r="AP278" s="3644"/>
      <c r="AQ278" s="3644"/>
      <c r="AR278" s="3644"/>
      <c r="AS278" s="3644"/>
      <c r="AT278" s="3644"/>
      <c r="AU278" s="3644"/>
      <c r="AV278" s="3644"/>
      <c r="AW278" s="3644"/>
      <c r="AX278" s="3644"/>
      <c r="AY278" s="3644"/>
      <c r="AZ278" s="3644"/>
      <c r="BA278" s="3644"/>
      <c r="BB278" s="3644"/>
      <c r="BC278" s="3645"/>
      <c r="BD278" s="885"/>
      <c r="BE278" s="885"/>
      <c r="BF278" s="1044" t="s">
        <v>1831</v>
      </c>
      <c r="BG278" s="1044" t="s">
        <v>1823</v>
      </c>
      <c r="BH278" s="1720" cm="1" t="str">
        <f t="array" ref="BH278:BH278">BH277</f>
        <v>0</v>
      </c>
      <c r="BI278" s="679"/>
      <c r="BJ278" s="679"/>
    </row>
    <row s="1834" customFormat="1" customHeight="1" ht="0" hidden="1">
      <c r="A279" s="885"/>
      <c r="B279" s="441"/>
      <c r="C279" s="885"/>
      <c r="D279" s="885"/>
      <c r="E279" s="678">
        <v>15</v>
      </c>
      <c r="F279" s="1387" cm="1" t="str">
        <f t="array" ref="F279:F279">OFFSET(E279,-1,1)</f>
        <v>3</v>
      </c>
      <c r="G279" s="885"/>
      <c r="H279" s="885"/>
      <c r="I279" s="885"/>
      <c r="J279" s="885"/>
      <c r="K279" s="911"/>
      <c r="L279" s="915"/>
      <c r="M279" s="885"/>
      <c r="N279" s="885"/>
      <c r="O279" s="885"/>
      <c r="P279" s="885"/>
      <c r="Q279" s="885"/>
      <c r="R279" s="885"/>
      <c r="S279" s="885"/>
      <c r="T279" s="1356" cm="1" t="str">
        <f t="array" ref="T279:T279">T278</f>
        <v>false</v>
      </c>
      <c r="U279" s="885"/>
      <c r="V279" s="885"/>
      <c r="W279" s="885"/>
      <c r="X279" s="684"/>
      <c r="Y279" s="1524"/>
      <c r="Z279" s="885"/>
      <c r="AA279" s="1714"/>
      <c r="AB279" s="1698" t="str">
        <f>AB275&amp;".2"</f>
        <v>6.0.1.2</v>
      </c>
      <c r="AC279" s="1707" t="s">
        <v>1832</v>
      </c>
      <c r="AD279" s="1706" t="s">
        <v>1514</v>
      </c>
      <c r="AE279" s="3644"/>
      <c r="AF279" s="3644"/>
      <c r="AG279" s="3644"/>
      <c r="AH279" s="3644"/>
      <c r="AI279" s="3644"/>
      <c r="AJ279" s="3644"/>
      <c r="AK279" s="3644"/>
      <c r="AL279" s="3644"/>
      <c r="AM279" s="3644"/>
      <c r="AN279" s="3644"/>
      <c r="AO279" s="3644"/>
      <c r="AP279" s="3644"/>
      <c r="AQ279" s="3644"/>
      <c r="AR279" s="3644"/>
      <c r="AS279" s="3644"/>
      <c r="AT279" s="3644"/>
      <c r="AU279" s="3644"/>
      <c r="AV279" s="3644"/>
      <c r="AW279" s="3644"/>
      <c r="AX279" s="3644"/>
      <c r="AY279" s="3644"/>
      <c r="AZ279" s="3644"/>
      <c r="BA279" s="3644"/>
      <c r="BB279" s="3644"/>
      <c r="BC279" s="3645"/>
      <c r="BD279" s="885"/>
      <c r="BE279" s="885"/>
      <c r="BF279" s="1044" t="s">
        <v>1833</v>
      </c>
      <c r="BG279" s="1044" t="s">
        <v>1823</v>
      </c>
      <c r="BH279" s="1720" cm="1" t="str">
        <f t="array" ref="BH279:BH279">BH278</f>
        <v>0</v>
      </c>
      <c r="BI279" s="679"/>
      <c r="BJ279" s="679"/>
    </row>
    <row s="1834" customFormat="1" customHeight="1" ht="0" hidden="1">
      <c r="A280" s="885"/>
      <c r="B280" s="441"/>
      <c r="C280" s="885"/>
      <c r="D280" s="885"/>
      <c r="E280" s="678">
        <v>15</v>
      </c>
      <c r="F280" s="1387" cm="1" t="str">
        <f t="array" ref="F280:F280">OFFSET(E280,-1,1)</f>
        <v>3</v>
      </c>
      <c r="G280" s="885"/>
      <c r="H280" s="885"/>
      <c r="I280" s="885"/>
      <c r="J280" s="885"/>
      <c r="K280" s="911"/>
      <c r="L280" s="915"/>
      <c r="M280" s="885"/>
      <c r="N280" s="885"/>
      <c r="O280" s="885"/>
      <c r="P280" s="885"/>
      <c r="Q280" s="885"/>
      <c r="R280" s="885"/>
      <c r="S280" s="885"/>
      <c r="T280" s="1356" cm="1" t="str">
        <f t="array" ref="T280:T280">T279</f>
        <v>false</v>
      </c>
      <c r="U280" s="885"/>
      <c r="V280" s="885"/>
      <c r="W280" s="885"/>
      <c r="X280" s="684"/>
      <c r="Y280" s="1524"/>
      <c r="Z280" s="885"/>
      <c r="AA280" s="1714"/>
      <c r="AB280" s="1698" t="str">
        <f>AB279&amp;".1"</f>
        <v>6.0.1.2.1</v>
      </c>
      <c r="AC280" s="1723" t="s">
        <v>1834</v>
      </c>
      <c r="AD280" s="1706" t="s">
        <v>1835</v>
      </c>
      <c r="AE280" s="3644"/>
      <c r="AF280" s="3644"/>
      <c r="AG280" s="3644"/>
      <c r="AH280" s="3644"/>
      <c r="AI280" s="3644"/>
      <c r="AJ280" s="3644"/>
      <c r="AK280" s="3644"/>
      <c r="AL280" s="3644"/>
      <c r="AM280" s="3644"/>
      <c r="AN280" s="3644"/>
      <c r="AO280" s="3644"/>
      <c r="AP280" s="3644"/>
      <c r="AQ280" s="3644"/>
      <c r="AR280" s="3644"/>
      <c r="AS280" s="3644"/>
      <c r="AT280" s="3644"/>
      <c r="AU280" s="3644"/>
      <c r="AV280" s="3644"/>
      <c r="AW280" s="3644"/>
      <c r="AX280" s="3644"/>
      <c r="AY280" s="3644"/>
      <c r="AZ280" s="3644"/>
      <c r="BA280" s="3644"/>
      <c r="BB280" s="3644"/>
      <c r="BC280" s="3645"/>
      <c r="BD280" s="885"/>
      <c r="BE280" s="885"/>
      <c r="BF280" s="1044" t="s">
        <v>1836</v>
      </c>
      <c r="BG280" s="1044" t="s">
        <v>1823</v>
      </c>
      <c r="BH280" s="1720" cm="1" t="str">
        <f t="array" ref="BH280:BH280">BH279</f>
        <v>0</v>
      </c>
      <c r="BI280" s="679"/>
      <c r="BJ280" s="679"/>
    </row>
    <row s="1834" customFormat="1" customHeight="1" ht="0" hidden="1">
      <c r="A281" s="885"/>
      <c r="B281" s="441"/>
      <c r="C281" s="885"/>
      <c r="D281" s="885"/>
      <c r="E281" s="678">
        <v>15</v>
      </c>
      <c r="F281" s="1387" cm="1" t="str">
        <f t="array" ref="F281:F281">OFFSET(E281,-1,1)</f>
        <v>3</v>
      </c>
      <c r="G281" s="885"/>
      <c r="H281" s="885"/>
      <c r="I281" s="885"/>
      <c r="J281" s="885"/>
      <c r="K281" s="911"/>
      <c r="L281" s="915"/>
      <c r="M281" s="885"/>
      <c r="N281" s="885"/>
      <c r="O281" s="885"/>
      <c r="P281" s="885"/>
      <c r="Q281" s="885"/>
      <c r="R281" s="885"/>
      <c r="S281" s="885"/>
      <c r="T281" s="1356" cm="1" t="str">
        <f t="array" ref="T281:T281">T280</f>
        <v>false</v>
      </c>
      <c r="U281" s="885"/>
      <c r="V281" s="885"/>
      <c r="W281" s="885"/>
      <c r="X281" s="684"/>
      <c r="Y281" s="1524"/>
      <c r="Z281" s="885"/>
      <c r="AA281" s="1714"/>
      <c r="AB281" s="1698" t="str">
        <f>AB279&amp;".2"</f>
        <v>6.0.1.2.2</v>
      </c>
      <c r="AC281" s="1723" t="s">
        <v>1837</v>
      </c>
      <c r="AD281" s="1706" t="s">
        <v>1838</v>
      </c>
      <c r="AE281" s="3644"/>
      <c r="AF281" s="3644"/>
      <c r="AG281" s="3644"/>
      <c r="AH281" s="3644"/>
      <c r="AI281" s="3644"/>
      <c r="AJ281" s="3644"/>
      <c r="AK281" s="3644"/>
      <c r="AL281" s="3644"/>
      <c r="AM281" s="3644"/>
      <c r="AN281" s="3644"/>
      <c r="AO281" s="3644"/>
      <c r="AP281" s="3644"/>
      <c r="AQ281" s="3644"/>
      <c r="AR281" s="3644"/>
      <c r="AS281" s="3644"/>
      <c r="AT281" s="3644"/>
      <c r="AU281" s="3644"/>
      <c r="AV281" s="3644"/>
      <c r="AW281" s="3644"/>
      <c r="AX281" s="3644"/>
      <c r="AY281" s="3644"/>
      <c r="AZ281" s="3644"/>
      <c r="BA281" s="3644"/>
      <c r="BB281" s="3644"/>
      <c r="BC281" s="3645"/>
      <c r="BD281" s="885"/>
      <c r="BE281" s="885"/>
      <c r="BF281" s="1044" t="s">
        <v>1839</v>
      </c>
      <c r="BG281" s="1044" t="s">
        <v>1823</v>
      </c>
      <c r="BH281" s="1720" cm="1" t="str">
        <f t="array" ref="BH281:BH281">BH280</f>
        <v>0</v>
      </c>
      <c r="BI281" s="679"/>
      <c r="BJ281" s="679"/>
    </row>
    <row s="1834" customFormat="1" customHeight="1" ht="0">
      <c r="A282" s="885"/>
      <c r="B282" s="441"/>
      <c r="C282" s="885"/>
      <c r="D282" s="885"/>
      <c r="E282" s="678">
        <v>15</v>
      </c>
      <c r="F282" s="1387" cm="1" t="str">
        <f t="array" ref="F282:F282">OFFSET(E282,-1,1)</f>
        <v>3</v>
      </c>
      <c r="G282" s="885"/>
      <c r="H282" s="885"/>
      <c r="I282" s="885"/>
      <c r="J282" s="885"/>
      <c r="K282" s="911"/>
      <c r="L282" s="915"/>
      <c r="M282" s="885"/>
      <c r="N282" s="885"/>
      <c r="O282" s="885"/>
      <c r="P282" s="885"/>
      <c r="Q282" s="885"/>
      <c r="R282" s="885"/>
      <c r="S282" s="885"/>
      <c r="T282" s="1356">
        <f>F282&gt;0</f>
        <v>1</v>
      </c>
      <c r="U282" s="885"/>
      <c r="V282" s="885"/>
      <c r="W282" s="685" t="s">
        <v>1840</v>
      </c>
      <c r="X282" s="684"/>
      <c r="Y282" s="1519"/>
      <c r="Z282" s="885"/>
      <c r="AA282" s="1680"/>
      <c r="AB282" s="1724"/>
      <c r="AC282" s="1725" t="s">
        <v>1792</v>
      </c>
      <c r="AD282" s="1726"/>
      <c r="AE282" s="1727"/>
      <c r="AF282" s="1727"/>
      <c r="AG282" s="1727"/>
      <c r="AH282" s="1727"/>
      <c r="AI282" s="1727"/>
      <c r="AJ282" s="1727"/>
      <c r="AK282" s="1727"/>
      <c r="AL282" s="1727"/>
      <c r="AM282" s="1727"/>
      <c r="AN282" s="1727"/>
      <c r="AO282" s="1727"/>
      <c r="AP282" s="1727"/>
      <c r="AQ282" s="1727"/>
      <c r="AR282" s="1727"/>
      <c r="AS282" s="1727"/>
      <c r="AT282" s="1727"/>
      <c r="AU282" s="1727"/>
      <c r="AV282" s="1727"/>
      <c r="AW282" s="1727"/>
      <c r="AX282" s="1727"/>
      <c r="AY282" s="1727"/>
      <c r="AZ282" s="1727"/>
      <c r="BA282" s="1727"/>
      <c r="BB282" s="1727"/>
      <c r="BC282" s="1727"/>
      <c r="BD282" s="885"/>
      <c r="BE282" s="885"/>
      <c r="BF282" s="1044"/>
      <c r="BG282" s="1044"/>
      <c r="BH282" s="1044"/>
      <c r="BI282" s="679" t="s">
        <v>1823</v>
      </c>
      <c r="BJ282" s="679"/>
    </row>
    <row s="153" customFormat="1" customHeight="1" ht="0">
      <c r="A283" s="153"/>
      <c r="B283" s="441"/>
      <c r="C283" s="153"/>
      <c r="D283" s="153"/>
      <c r="E283" s="679">
        <v>15</v>
      </c>
      <c r="F283" s="50" cm="1" t="str">
        <f t="array" ref="F283:F283">OFFSET(E283,-1,1)</f>
        <v>3</v>
      </c>
      <c r="G283" s="152" t="s">
        <v>1228</v>
      </c>
      <c r="H283" s="153"/>
      <c r="I283" s="153"/>
      <c r="J283" s="153"/>
      <c r="K283" s="911" t="str">
        <f>F237&amp;"7komm"</f>
        <v>37komm</v>
      </c>
      <c r="L283" s="915" cm="1" t="str">
        <f t="array" ref="L283:L283">BC283</f>
        <v>0</v>
      </c>
      <c r="M283" s="153"/>
      <c r="N283" s="153"/>
      <c r="O283" s="153"/>
      <c r="P283" s="153"/>
      <c r="Q283" s="153"/>
      <c r="R283" s="153"/>
      <c r="S283" s="153"/>
      <c r="T283" s="465" cm="1" t="str">
        <f t="array" ref="T283:T283">T272</f>
        <v>true</v>
      </c>
      <c r="U283" s="153"/>
      <c r="V283" s="153"/>
      <c r="W283" s="153"/>
      <c r="X283" s="1524"/>
      <c r="Y283" s="153"/>
      <c r="Z283" s="1615"/>
      <c r="AA283" s="153"/>
      <c r="AB283" s="211">
        <v>7</v>
      </c>
      <c r="AC283" s="212" t="s">
        <v>1841</v>
      </c>
      <c r="AD283" s="211" t="s">
        <v>1514</v>
      </c>
      <c r="AE283" s="3657">
        <f>SUMIF($AD286:$AD289,$AD283,AE286:AE289)</f>
        <v>0</v>
      </c>
      <c r="AF283" s="3657">
        <f>SUMIF($AD286:$AD289,$AD283,AF286:AF289)</f>
        <v>0</v>
      </c>
      <c r="AG283" s="3657">
        <f>SUMIF($AD286:$AD289,$AD283,AG286:AG289)</f>
        <v>0</v>
      </c>
      <c r="AH283" s="3657">
        <f>SUMIF($AD286:$AD289,$AD283,AH286:AH289)</f>
        <v>0</v>
      </c>
      <c r="AI283" s="3657">
        <f>SUMIF($AD286:$AD289,$AD283,AI286:AI289)</f>
        <v>0</v>
      </c>
      <c r="AJ283" s="225">
        <f>SUMIF($AD286:$AD289,$AD283,AJ286:AJ289)</f>
        <v>0</v>
      </c>
      <c r="AK283" s="225">
        <f>SUMIF($AD286:$AD289,$AD283,AK286:AK289)</f>
        <v>0</v>
      </c>
      <c r="AL283" s="225">
        <f>SUMIF($AD286:$AD289,$AD283,AL286:AL289)</f>
        <v>0</v>
      </c>
      <c r="AM283" s="225">
        <f>SUMIF($AD286:$AD289,$AD283,AM286:AM289)</f>
        <v>0</v>
      </c>
      <c r="AN283" s="3658">
        <f>SUMIF($AD286:$AD289,$AD283,AN286:AN289)</f>
        <v>0</v>
      </c>
      <c r="AO283" s="3658">
        <f>SUMIF($AD286:$AD289,$AD283,AO286:AO289)</f>
        <v>0</v>
      </c>
      <c r="AP283" s="3658">
        <f>SUMIF($AD286:$AD289,$AD283,AP286:AP289)</f>
        <v>0</v>
      </c>
      <c r="AQ283" s="3658">
        <f>SUMIF($AD286:$AD289,$AD283,AQ286:AQ289)</f>
        <v>0</v>
      </c>
      <c r="AR283" s="3658">
        <f>SUMIF($AD286:$AD289,$AD283,AR286:AR289)</f>
        <v>0</v>
      </c>
      <c r="AS283" s="3657">
        <f>SUMIF($AD286:$AD289,$AD283,AS286:AS289)</f>
        <v>0</v>
      </c>
      <c r="AT283" s="225">
        <f>SUMIF($AD286:$AD289,$AD283,AT286:AT289)</f>
        <v>0</v>
      </c>
      <c r="AU283" s="225">
        <f>SUMIF($AD286:$AD289,$AD283,AU286:AU289)</f>
        <v>0</v>
      </c>
      <c r="AV283" s="225">
        <f>SUMIF($AD286:$AD289,$AD283,AV286:AV289)</f>
        <v>0</v>
      </c>
      <c r="AW283" s="225">
        <f>SUMIF($AD286:$AD289,$AD283,AW286:AW289)</f>
        <v>0</v>
      </c>
      <c r="AX283" s="3658">
        <f>SUMIF($AD286:$AD289,$AD283,AX286:AX289)</f>
        <v>0</v>
      </c>
      <c r="AY283" s="3658">
        <f>SUMIF($AD286:$AD289,$AD283,AY286:AY289)</f>
        <v>0</v>
      </c>
      <c r="AZ283" s="3658">
        <f>SUMIF($AD286:$AD289,$AD283,AZ286:AZ289)</f>
        <v>0</v>
      </c>
      <c r="BA283" s="3658">
        <f>SUMIF($AD286:$AD289,$AD283,BA286:BA289)</f>
        <v>0</v>
      </c>
      <c r="BB283" s="3658">
        <f>SUMIF($AD286:$AD289,$AD283,BB286:BB289)</f>
        <v>0</v>
      </c>
      <c r="BC283" s="200"/>
      <c r="BD283" s="153"/>
      <c r="BE283" s="153"/>
      <c r="BF283" s="1044" t="s">
        <v>1842</v>
      </c>
      <c r="BG283" s="1044"/>
      <c r="BH283" s="1044"/>
      <c r="BI283" s="679"/>
      <c r="BJ283" s="679"/>
    </row>
    <row s="1834" customFormat="1" customHeight="1" ht="0" hidden="1">
      <c r="A284" s="885"/>
      <c r="B284" s="441"/>
      <c r="C284" s="885"/>
      <c r="D284" s="885"/>
      <c r="E284" s="678">
        <v>15</v>
      </c>
      <c r="F284" s="1387" cm="1" t="str">
        <f t="array" ref="F284:F284">OFFSET(E284,-1,1)</f>
        <v>3</v>
      </c>
      <c r="G284" s="885"/>
      <c r="H284" s="885"/>
      <c r="I284" s="885"/>
      <c r="J284" s="885"/>
      <c r="K284" s="911"/>
      <c r="L284" s="915"/>
      <c r="M284" s="885"/>
      <c r="N284" s="885"/>
      <c r="O284" s="885"/>
      <c r="P284" s="885"/>
      <c r="Q284" s="885"/>
      <c r="R284" s="885"/>
      <c r="S284" s="885"/>
      <c r="T284" s="1356" t="b">
        <v>0</v>
      </c>
      <c r="U284" s="885"/>
      <c r="V284" s="885"/>
      <c r="W284" s="885" t="s">
        <v>174</v>
      </c>
      <c r="X284" s="684"/>
      <c r="Y284" s="1524">
        <v>0</v>
      </c>
      <c r="Z284" s="885"/>
      <c r="AA284" s="1714" t="s">
        <v>175</v>
      </c>
      <c r="AB284" s="1700"/>
      <c r="AC284" s="1522"/>
      <c r="AD284" s="1715"/>
      <c r="AE284" s="1716">
        <f>OR(AND(AE286&lt;&gt;"",AE287=""),AND(AE286="",AE287&lt;&gt;""))</f>
        <v>0</v>
      </c>
      <c r="AF284" s="1716">
        <f>OR(AND(AF286&lt;&gt;"",AF287=""),AND(AF286="",AF287&lt;&gt;""))</f>
        <v>0</v>
      </c>
      <c r="AG284" s="1716">
        <f>OR(AND(AG286&lt;&gt;"",AG287=""),AND(AG286="",AG287&lt;&gt;""))</f>
        <v>0</v>
      </c>
      <c r="AH284" s="1716">
        <f>OR(AND(AH286&lt;&gt;"",AH287=""),AND(AH286="",AH287&lt;&gt;""))</f>
        <v>0</v>
      </c>
      <c r="AI284" s="1716">
        <f>OR(AND(AI286&lt;&gt;"",AI287=""),AND(AI286="",AI287&lt;&gt;""))</f>
        <v>0</v>
      </c>
      <c r="AJ284" s="1716">
        <f>OR(AND(AJ286&lt;&gt;"",AJ287=""),AND(AJ286="",AJ287&lt;&gt;""))</f>
        <v>0</v>
      </c>
      <c r="AK284" s="1716">
        <f>OR(AND(AK286&lt;&gt;"",AK287=""),AND(AK286="",AK287&lt;&gt;""))</f>
        <v>0</v>
      </c>
      <c r="AL284" s="1716">
        <f>OR(AND(AL286&lt;&gt;"",AL287=""),AND(AL286="",AL287&lt;&gt;""))</f>
        <v>0</v>
      </c>
      <c r="AM284" s="1716">
        <f>OR(AND(AM286&lt;&gt;"",AM287=""),AND(AM286="",AM287&lt;&gt;""))</f>
        <v>0</v>
      </c>
      <c r="AN284" s="1716">
        <f>OR(AND(AN286&lt;&gt;"",AN287=""),AND(AN286="",AN287&lt;&gt;""))</f>
        <v>0</v>
      </c>
      <c r="AO284" s="1716">
        <f>OR(AND(AO286&lt;&gt;"",AO287=""),AND(AO286="",AO287&lt;&gt;""))</f>
        <v>0</v>
      </c>
      <c r="AP284" s="1716">
        <f>OR(AND(AP286&lt;&gt;"",AP287=""),AND(AP286="",AP287&lt;&gt;""))</f>
        <v>0</v>
      </c>
      <c r="AQ284" s="1716">
        <f>OR(AND(AQ286&lt;&gt;"",AQ287=""),AND(AQ286="",AQ287&lt;&gt;""))</f>
        <v>0</v>
      </c>
      <c r="AR284" s="1716">
        <f>OR(AND(AR286&lt;&gt;"",AR287=""),AND(AR286="",AR287&lt;&gt;""))</f>
        <v>0</v>
      </c>
      <c r="AS284" s="1716">
        <f>OR(AND(AS286&lt;&gt;"",AS287=""),AND(AS286="",AS287&lt;&gt;""))</f>
        <v>0</v>
      </c>
      <c r="AT284" s="1716">
        <f>OR(AND(AT286&lt;&gt;"",AT287=""),AND(AT286="",AT287&lt;&gt;""))</f>
        <v>0</v>
      </c>
      <c r="AU284" s="1716">
        <f>OR(AND(AU286&lt;&gt;"",AU287=""),AND(AU286="",AU287&lt;&gt;""))</f>
        <v>0</v>
      </c>
      <c r="AV284" s="1716">
        <f>OR(AND(AV286&lt;&gt;"",AV287=""),AND(AV286="",AV287&lt;&gt;""))</f>
        <v>0</v>
      </c>
      <c r="AW284" s="1716">
        <f>OR(AND(AW286&lt;&gt;"",AW287=""),AND(AW286="",AW287&lt;&gt;""))</f>
        <v>0</v>
      </c>
      <c r="AX284" s="1716">
        <f>OR(AND(AX286&lt;&gt;"",AX287=""),AND(AX286="",AX287&lt;&gt;""))</f>
        <v>0</v>
      </c>
      <c r="AY284" s="1716">
        <f>OR(AND(AY286&lt;&gt;"",AY287=""),AND(AY286="",AY287&lt;&gt;""))</f>
        <v>0</v>
      </c>
      <c r="AZ284" s="1716">
        <f>OR(AND(AZ286&lt;&gt;"",AZ287=""),AND(AZ286="",AZ287&lt;&gt;""))</f>
        <v>0</v>
      </c>
      <c r="BA284" s="1716">
        <f>OR(AND(BA286&lt;&gt;"",BA287=""),AND(BA286="",BA287&lt;&gt;""))</f>
        <v>0</v>
      </c>
      <c r="BB284" s="1716">
        <f>OR(AND(BB286&lt;&gt;"",BB287=""),AND(BB286="",BB287&lt;&gt;""))</f>
        <v>0</v>
      </c>
      <c r="BC284" s="974"/>
      <c r="BD284" s="885"/>
      <c r="BE284" s="885"/>
      <c r="BF284" s="1044"/>
      <c r="BG284" s="1044"/>
      <c r="BH284" s="1044"/>
      <c r="BI284" s="679"/>
      <c r="BJ284" s="679"/>
    </row>
    <row s="1834" customFormat="1" customHeight="1" ht="0" hidden="1">
      <c r="A285" s="885"/>
      <c r="B285" s="441"/>
      <c r="C285" s="885"/>
      <c r="D285" s="885"/>
      <c r="E285" s="678">
        <v>15</v>
      </c>
      <c r="F285" s="1387" cm="1" t="str">
        <f t="array" ref="F285:F285">OFFSET(E285,-1,1)</f>
        <v>3</v>
      </c>
      <c r="G285" s="885"/>
      <c r="H285" s="885"/>
      <c r="I285" s="885"/>
      <c r="J285" s="885"/>
      <c r="K285" s="911"/>
      <c r="L285" s="915"/>
      <c r="M285" s="885"/>
      <c r="N285" s="885"/>
      <c r="O285" s="885"/>
      <c r="P285" s="885"/>
      <c r="Q285" s="885"/>
      <c r="R285" s="885"/>
      <c r="S285" s="885"/>
      <c r="T285" s="1356">
        <f>AND(F285&gt;0,Y284&gt;0)</f>
        <v>0</v>
      </c>
      <c r="U285" s="885"/>
      <c r="V285" s="885"/>
      <c r="W285" s="885"/>
      <c r="X285" s="684"/>
      <c r="Y285" s="1524"/>
      <c r="Z285" s="885"/>
      <c r="AA285" s="1714"/>
      <c r="AB285" s="1698" t="str">
        <f>"7."&amp;Y284</f>
        <v>7.0</v>
      </c>
      <c r="AC285" s="1717"/>
      <c r="AD285" s="1715"/>
      <c r="AE285" s="885"/>
      <c r="AF285" s="885"/>
      <c r="AG285" s="885"/>
      <c r="AH285" s="885"/>
      <c r="AI285" s="885"/>
      <c r="AJ285" s="885"/>
      <c r="AK285" s="885"/>
      <c r="AL285" s="885"/>
      <c r="AM285" s="885"/>
      <c r="AN285" s="885"/>
      <c r="AO285" s="885"/>
      <c r="AP285" s="885"/>
      <c r="AQ285" s="885"/>
      <c r="AR285" s="885"/>
      <c r="AS285" s="885"/>
      <c r="AT285" s="885"/>
      <c r="AU285" s="885"/>
      <c r="AV285" s="885"/>
      <c r="AW285" s="885"/>
      <c r="AX285" s="885"/>
      <c r="AY285" s="885"/>
      <c r="AZ285" s="885"/>
      <c r="BA285" s="885"/>
      <c r="BB285" s="885"/>
      <c r="BC285" s="885"/>
      <c r="BD285" s="885"/>
      <c r="BE285" s="885"/>
      <c r="BF285" s="1044"/>
      <c r="BG285" s="1044"/>
      <c r="BH285" s="1044"/>
      <c r="BI285" s="679"/>
      <c r="BJ285" s="679"/>
    </row>
    <row s="1834" customFormat="1" customHeight="1" ht="0" hidden="1">
      <c r="A286" s="885"/>
      <c r="B286" s="441"/>
      <c r="C286" s="885"/>
      <c r="D286" s="885"/>
      <c r="E286" s="678">
        <v>15</v>
      </c>
      <c r="F286" s="1387" cm="1" t="str">
        <f t="array" ref="F286:F286">OFFSET(E286,-1,1)</f>
        <v>3</v>
      </c>
      <c r="G286" s="885"/>
      <c r="H286" s="885"/>
      <c r="I286" s="885"/>
      <c r="J286" s="885"/>
      <c r="K286" s="911"/>
      <c r="L286" s="915"/>
      <c r="M286" s="885"/>
      <c r="N286" s="885"/>
      <c r="O286" s="885"/>
      <c r="P286" s="885"/>
      <c r="Q286" s="885"/>
      <c r="R286" s="885"/>
      <c r="S286" s="885"/>
      <c r="T286" s="1356" cm="1" t="str">
        <f t="array" ref="T286:T286">T285</f>
        <v>false</v>
      </c>
      <c r="U286" s="885"/>
      <c r="V286" s="885"/>
      <c r="W286" s="885"/>
      <c r="X286" s="684"/>
      <c r="Y286" s="1524"/>
      <c r="Z286" s="885"/>
      <c r="AA286" s="1714"/>
      <c r="AB286" s="1698" t="str">
        <f>AB285&amp;".1"</f>
        <v>7.0.1</v>
      </c>
      <c r="AC286" s="1728" t="s">
        <v>1783</v>
      </c>
      <c r="AD286" s="1700" t="s">
        <v>1514</v>
      </c>
      <c r="AE286" s="3679"/>
      <c r="AF286" s="3680"/>
      <c r="AG286" s="3679"/>
      <c r="AH286" s="3679"/>
      <c r="AI286" s="3680"/>
      <c r="AJ286" s="3680"/>
      <c r="AK286" s="3680"/>
      <c r="AL286" s="3680"/>
      <c r="AM286" s="3680"/>
      <c r="AN286" s="3680"/>
      <c r="AO286" s="3680"/>
      <c r="AP286" s="3680"/>
      <c r="AQ286" s="3680"/>
      <c r="AR286" s="3680"/>
      <c r="AS286" s="3679"/>
      <c r="AT286" s="3679"/>
      <c r="AU286" s="3679"/>
      <c r="AV286" s="3679"/>
      <c r="AW286" s="3679"/>
      <c r="AX286" s="3679"/>
      <c r="AY286" s="3679"/>
      <c r="AZ286" s="3679"/>
      <c r="BA286" s="3679"/>
      <c r="BB286" s="3679"/>
      <c r="BC286" s="2070"/>
      <c r="BD286" s="885"/>
      <c r="BE286" s="885"/>
      <c r="BF286" s="1041" t="s">
        <v>1784</v>
      </c>
      <c r="BG286" s="1044" t="s">
        <v>1843</v>
      </c>
      <c r="BH286" s="1720" cm="1" t="str">
        <f t="array" ref="BH286:BH286">AC285</f>
        <v>0</v>
      </c>
      <c r="BI286" s="679"/>
      <c r="BJ286" s="679" t="b">
        <v>1</v>
      </c>
    </row>
    <row s="1834" customFormat="1" customHeight="1" ht="0" hidden="1">
      <c r="A287" s="885"/>
      <c r="B287" s="441"/>
      <c r="C287" s="885"/>
      <c r="D287" s="885"/>
      <c r="E287" s="678">
        <v>15</v>
      </c>
      <c r="F287" s="1387" cm="1" t="str">
        <f t="array" ref="F287:F287">OFFSET(E287,-1,1)</f>
        <v>3</v>
      </c>
      <c r="G287" s="885"/>
      <c r="H287" s="885"/>
      <c r="I287" s="885"/>
      <c r="J287" s="885"/>
      <c r="K287" s="911"/>
      <c r="L287" s="915"/>
      <c r="M287" s="885"/>
      <c r="N287" s="885"/>
      <c r="O287" s="885"/>
      <c r="P287" s="885"/>
      <c r="Q287" s="885"/>
      <c r="R287" s="885"/>
      <c r="S287" s="885"/>
      <c r="T287" s="1356" cm="1" t="str">
        <f t="array" ref="T287:T287">T286</f>
        <v>false</v>
      </c>
      <c r="U287" s="885"/>
      <c r="V287" s="885"/>
      <c r="W287" s="885"/>
      <c r="X287" s="684"/>
      <c r="Y287" s="1524"/>
      <c r="Z287" s="885"/>
      <c r="AA287" s="1714"/>
      <c r="AB287" s="1698" t="str">
        <f>AB286&amp;".1"</f>
        <v>7.0.1.1</v>
      </c>
      <c r="AC287" s="1707" t="s">
        <v>1844</v>
      </c>
      <c r="AD287" s="1698" t="s">
        <v>1247</v>
      </c>
      <c r="AE287" s="3679"/>
      <c r="AF287" s="3680"/>
      <c r="AG287" s="3679"/>
      <c r="AH287" s="3679"/>
      <c r="AI287" s="3680"/>
      <c r="AJ287" s="3680"/>
      <c r="AK287" s="3680"/>
      <c r="AL287" s="3680"/>
      <c r="AM287" s="3680"/>
      <c r="AN287" s="3680"/>
      <c r="AO287" s="3680"/>
      <c r="AP287" s="3680"/>
      <c r="AQ287" s="3680"/>
      <c r="AR287" s="3680"/>
      <c r="AS287" s="3679"/>
      <c r="AT287" s="3679"/>
      <c r="AU287" s="3679"/>
      <c r="AV287" s="3679"/>
      <c r="AW287" s="3679"/>
      <c r="AX287" s="3679"/>
      <c r="AY287" s="3679"/>
      <c r="AZ287" s="3679"/>
      <c r="BA287" s="3679"/>
      <c r="BB287" s="3679"/>
      <c r="BC287" s="2070"/>
      <c r="BD287" s="885"/>
      <c r="BE287" s="885"/>
      <c r="BF287" s="1041" t="s">
        <v>1787</v>
      </c>
      <c r="BG287" s="1044" t="s">
        <v>1843</v>
      </c>
      <c r="BH287" s="1720" cm="1" t="str">
        <f t="array" ref="BH287:BH287">BH286</f>
        <v>0</v>
      </c>
      <c r="BI287" s="679"/>
      <c r="BJ287" s="679"/>
    </row>
    <row s="1834" customFormat="1" customHeight="1" ht="0" hidden="1">
      <c r="A288" s="885"/>
      <c r="B288" s="441"/>
      <c r="C288" s="885"/>
      <c r="D288" s="885"/>
      <c r="E288" s="678">
        <v>15</v>
      </c>
      <c r="F288" s="1387" cm="1" t="str">
        <f t="array" ref="F288:F288">OFFSET(E288,-1,1)</f>
        <v>3</v>
      </c>
      <c r="G288" s="885"/>
      <c r="H288" s="885"/>
      <c r="I288" s="885"/>
      <c r="J288" s="885"/>
      <c r="K288" s="911"/>
      <c r="L288" s="915"/>
      <c r="M288" s="885"/>
      <c r="N288" s="885"/>
      <c r="O288" s="885"/>
      <c r="P288" s="885"/>
      <c r="Q288" s="885"/>
      <c r="R288" s="885"/>
      <c r="S288" s="885"/>
      <c r="T288" s="1356" cm="1" t="str">
        <f t="array" ref="T288:T288">T287</f>
        <v>false</v>
      </c>
      <c r="U288" s="885"/>
      <c r="V288" s="885"/>
      <c r="W288" s="885"/>
      <c r="X288" s="684"/>
      <c r="Y288" s="1524"/>
      <c r="Z288" s="885"/>
      <c r="AA288" s="1714"/>
      <c r="AB288" s="1698" t="str">
        <f>AB286&amp;".2"</f>
        <v>7.0.1.2</v>
      </c>
      <c r="AC288" s="1707" t="s">
        <v>1845</v>
      </c>
      <c r="AD288" s="1698" t="s">
        <v>1789</v>
      </c>
      <c r="AE288" s="3679"/>
      <c r="AF288" s="3680"/>
      <c r="AG288" s="3680"/>
      <c r="AH288" s="3679"/>
      <c r="AI288" s="3680"/>
      <c r="AJ288" s="3680"/>
      <c r="AK288" s="3680"/>
      <c r="AL288" s="3680"/>
      <c r="AM288" s="3680"/>
      <c r="AN288" s="3680"/>
      <c r="AO288" s="3680"/>
      <c r="AP288" s="3680"/>
      <c r="AQ288" s="3680"/>
      <c r="AR288" s="3680"/>
      <c r="AS288" s="3680"/>
      <c r="AT288" s="3680"/>
      <c r="AU288" s="3680"/>
      <c r="AV288" s="3680"/>
      <c r="AW288" s="3680"/>
      <c r="AX288" s="3680"/>
      <c r="AY288" s="3680"/>
      <c r="AZ288" s="3680"/>
      <c r="BA288" s="3680"/>
      <c r="BB288" s="3680"/>
      <c r="BC288" s="2070"/>
      <c r="BD288" s="885"/>
      <c r="BE288" s="885"/>
      <c r="BF288" s="1041" t="s">
        <v>1790</v>
      </c>
      <c r="BG288" s="1044" t="s">
        <v>1843</v>
      </c>
      <c r="BH288" s="1720" cm="1" t="str">
        <f t="array" ref="BH288:BH288">BH287</f>
        <v>0</v>
      </c>
      <c r="BI288" s="679"/>
      <c r="BJ288" s="679"/>
    </row>
    <row s="1834" customFormat="1" customHeight="1" ht="0">
      <c r="A289" s="885"/>
      <c r="B289" s="441"/>
      <c r="C289" s="885"/>
      <c r="D289" s="885"/>
      <c r="E289" s="678">
        <v>15</v>
      </c>
      <c r="F289" s="1387" cm="1" t="str">
        <f t="array" ref="F289:F289">OFFSET(E289,-1,1)</f>
        <v>3</v>
      </c>
      <c r="G289" s="885"/>
      <c r="H289" s="885"/>
      <c r="I289" s="885"/>
      <c r="J289" s="885"/>
      <c r="K289" s="911"/>
      <c r="L289" s="915"/>
      <c r="M289" s="885"/>
      <c r="N289" s="885"/>
      <c r="O289" s="885"/>
      <c r="P289" s="885"/>
      <c r="Q289" s="885"/>
      <c r="R289" s="885"/>
      <c r="S289" s="885"/>
      <c r="T289" s="1356">
        <f>F289&gt;0</f>
        <v>1</v>
      </c>
      <c r="U289" s="885"/>
      <c r="V289" s="885"/>
      <c r="W289" s="685" t="s">
        <v>1846</v>
      </c>
      <c r="X289" s="684"/>
      <c r="Y289" s="885"/>
      <c r="Z289" s="885"/>
      <c r="AA289" s="1680"/>
      <c r="AB289" s="1724"/>
      <c r="AC289" s="1731" t="s">
        <v>1792</v>
      </c>
      <c r="AD289" s="1726"/>
      <c r="AE289" s="1726"/>
      <c r="AF289" s="1726"/>
      <c r="AG289" s="1726"/>
      <c r="AH289" s="1726"/>
      <c r="AI289" s="1726"/>
      <c r="AJ289" s="1726"/>
      <c r="AK289" s="1726"/>
      <c r="AL289" s="1726"/>
      <c r="AM289" s="1726"/>
      <c r="AN289" s="1726"/>
      <c r="AO289" s="1726"/>
      <c r="AP289" s="1726"/>
      <c r="AQ289" s="1726"/>
      <c r="AR289" s="1726"/>
      <c r="AS289" s="1726"/>
      <c r="AT289" s="1726"/>
      <c r="AU289" s="1726"/>
      <c r="AV289" s="1726"/>
      <c r="AW289" s="1726"/>
      <c r="AX289" s="1726"/>
      <c r="AY289" s="1726"/>
      <c r="AZ289" s="1726"/>
      <c r="BA289" s="1726"/>
      <c r="BB289" s="1726"/>
      <c r="BC289" s="1732"/>
      <c r="BD289" s="885"/>
      <c r="BE289" s="885"/>
      <c r="BF289" s="1044"/>
      <c r="BG289" s="1044"/>
      <c r="BH289" s="1044"/>
      <c r="BI289" s="679" t="s">
        <v>1843</v>
      </c>
      <c r="BJ289" s="679"/>
    </row>
    <row s="153" customFormat="1" customHeight="1" ht="0">
      <c r="A290" s="153"/>
      <c r="B290" s="441"/>
      <c r="C290" s="153"/>
      <c r="D290" s="153"/>
      <c r="E290" s="679">
        <v>15</v>
      </c>
      <c r="F290" s="50" cm="1" t="str">
        <f t="array" ref="F290:F290">OFFSET(E290,-1,1)</f>
        <v>3</v>
      </c>
      <c r="G290" s="152" t="s">
        <v>1275</v>
      </c>
      <c r="H290" s="153"/>
      <c r="I290" s="153"/>
      <c r="J290" s="153"/>
      <c r="K290" s="911" t="str">
        <f>F237&amp;"8komm"</f>
        <v>38komm</v>
      </c>
      <c r="L290" s="915" cm="1" t="str">
        <f t="array" ref="L290:L290">BC290</f>
        <v>0</v>
      </c>
      <c r="M290" s="153"/>
      <c r="N290" s="153"/>
      <c r="O290" s="153"/>
      <c r="P290" s="153"/>
      <c r="Q290" s="153"/>
      <c r="R290" s="153"/>
      <c r="S290" s="153"/>
      <c r="T290" s="465" cm="1" t="str">
        <f t="array" ref="T290:T290">T283</f>
        <v>true</v>
      </c>
      <c r="U290" s="153"/>
      <c r="V290" s="153"/>
      <c r="W290" s="153"/>
      <c r="X290" s="1524"/>
      <c r="Y290" s="153"/>
      <c r="Z290" s="1615"/>
      <c r="AA290" s="153"/>
      <c r="AB290" s="211">
        <v>8</v>
      </c>
      <c r="AC290" s="212" t="s">
        <v>1847</v>
      </c>
      <c r="AD290" s="211" t="s">
        <v>1514</v>
      </c>
      <c r="AE290" s="3657">
        <f>SUMIF($AD293:$AD296,$AD290,AE293:AE296)</f>
        <v>0</v>
      </c>
      <c r="AF290" s="3657">
        <f>SUMIF($AD293:$AD296,$AD290,AF293:AF296)</f>
        <v>0</v>
      </c>
      <c r="AG290" s="3657">
        <f>SUMIF($AD293:$AD296,$AD290,AG293:AG296)</f>
        <v>0</v>
      </c>
      <c r="AH290" s="3657">
        <f>SUMIF($AD293:$AD296,$AD290,AH293:AH296)</f>
        <v>0</v>
      </c>
      <c r="AI290" s="3657">
        <f>SUMIF($AD293:$AD296,$AD290,AI293:AI296)</f>
        <v>0</v>
      </c>
      <c r="AJ290" s="225">
        <f>SUMIF($AD293:$AD296,$AD290,AJ293:AJ296)</f>
        <v>0</v>
      </c>
      <c r="AK290" s="225">
        <f>SUMIF($AD293:$AD296,$AD290,AK293:AK296)</f>
        <v>0</v>
      </c>
      <c r="AL290" s="225">
        <f>SUMIF($AD293:$AD296,$AD290,AL293:AL296)</f>
        <v>0</v>
      </c>
      <c r="AM290" s="225">
        <f>SUMIF($AD293:$AD296,$AD290,AM293:AM296)</f>
        <v>0</v>
      </c>
      <c r="AN290" s="3658">
        <f>SUMIF($AD293:$AD296,$AD290,AN293:AN296)</f>
        <v>0</v>
      </c>
      <c r="AO290" s="3658">
        <f>SUMIF($AD293:$AD296,$AD290,AO293:AO296)</f>
        <v>0</v>
      </c>
      <c r="AP290" s="3658">
        <f>SUMIF($AD293:$AD296,$AD290,AP293:AP296)</f>
        <v>0</v>
      </c>
      <c r="AQ290" s="3658">
        <f>SUMIF($AD293:$AD296,$AD290,AQ293:AQ296)</f>
        <v>0</v>
      </c>
      <c r="AR290" s="3658">
        <f>SUMIF($AD293:$AD296,$AD290,AR293:AR296)</f>
        <v>0</v>
      </c>
      <c r="AS290" s="3657">
        <f>SUMIF($AD293:$AD296,$AD290,AS293:AS296)</f>
        <v>0</v>
      </c>
      <c r="AT290" s="225">
        <f>SUMIF($AD293:$AD296,$AD290,AT293:AT296)</f>
        <v>0</v>
      </c>
      <c r="AU290" s="225">
        <f>SUMIF($AD293:$AD296,$AD290,AU293:AU296)</f>
        <v>0</v>
      </c>
      <c r="AV290" s="225">
        <f>SUMIF($AD293:$AD296,$AD290,AV293:AV296)</f>
        <v>0</v>
      </c>
      <c r="AW290" s="225">
        <f>SUMIF($AD293:$AD296,$AD290,AW293:AW296)</f>
        <v>0</v>
      </c>
      <c r="AX290" s="3658">
        <f>SUMIF($AD293:$AD296,$AD290,AX293:AX296)</f>
        <v>0</v>
      </c>
      <c r="AY290" s="3658">
        <f>SUMIF($AD293:$AD296,$AD290,AY293:AY296)</f>
        <v>0</v>
      </c>
      <c r="AZ290" s="3658">
        <f>SUMIF($AD293:$AD296,$AD290,AZ293:AZ296)</f>
        <v>0</v>
      </c>
      <c r="BA290" s="3658">
        <f>SUMIF($AD293:$AD296,$AD290,BA293:BA296)</f>
        <v>0</v>
      </c>
      <c r="BB290" s="3658">
        <f>SUMIF($AD293:$AD296,$AD290,BB293:BB296)</f>
        <v>0</v>
      </c>
      <c r="BC290" s="200"/>
      <c r="BD290" s="153"/>
      <c r="BE290" s="153"/>
      <c r="BF290" s="1044" t="s">
        <v>1848</v>
      </c>
      <c r="BG290" s="1044"/>
      <c r="BH290" s="1044"/>
      <c r="BI290" s="679"/>
      <c r="BJ290" s="679"/>
    </row>
    <row s="1834" customFormat="1" customHeight="1" ht="0" hidden="1">
      <c r="A291" s="885"/>
      <c r="B291" s="441"/>
      <c r="C291" s="885"/>
      <c r="D291" s="885"/>
      <c r="E291" s="678">
        <v>15</v>
      </c>
      <c r="F291" s="1387" cm="1" t="str">
        <f t="array" ref="F291:F291">OFFSET(E291,-1,1)</f>
        <v>3</v>
      </c>
      <c r="G291" s="885"/>
      <c r="H291" s="885"/>
      <c r="I291" s="885"/>
      <c r="J291" s="885"/>
      <c r="K291" s="911"/>
      <c r="L291" s="915"/>
      <c r="M291" s="885"/>
      <c r="N291" s="885"/>
      <c r="O291" s="885"/>
      <c r="P291" s="885"/>
      <c r="Q291" s="885"/>
      <c r="R291" s="885"/>
      <c r="S291" s="885"/>
      <c r="T291" s="1356" t="b">
        <v>0</v>
      </c>
      <c r="U291" s="885"/>
      <c r="V291" s="885"/>
      <c r="W291" s="885" t="s">
        <v>174</v>
      </c>
      <c r="X291" s="684"/>
      <c r="Y291" s="1524">
        <v>0</v>
      </c>
      <c r="Z291" s="885"/>
      <c r="AA291" s="1714" t="s">
        <v>175</v>
      </c>
      <c r="AB291" s="1700"/>
      <c r="AC291" s="1522"/>
      <c r="AD291" s="1715"/>
      <c r="AE291" s="1716">
        <f>OR(AND(AE293&lt;&gt;"",AE294=""),AND(AE293="",AE294&lt;&gt;""))</f>
        <v>0</v>
      </c>
      <c r="AF291" s="1716">
        <f>OR(AND(AF293&lt;&gt;"",AF294=""),AND(AF293="",AF294&lt;&gt;""))</f>
        <v>0</v>
      </c>
      <c r="AG291" s="1716">
        <f>OR(AND(AG293&lt;&gt;"",AG294=""),AND(AG293="",AG294&lt;&gt;""))</f>
        <v>0</v>
      </c>
      <c r="AH291" s="1716">
        <f>OR(AND(AH293&lt;&gt;"",AH294=""),AND(AH293="",AH294&lt;&gt;""))</f>
        <v>0</v>
      </c>
      <c r="AI291" s="1716">
        <f>OR(AND(AI293&lt;&gt;"",AI294=""),AND(AI293="",AI294&lt;&gt;""))</f>
        <v>0</v>
      </c>
      <c r="AJ291" s="1716">
        <f>OR(AND(AJ293&lt;&gt;"",AJ294=""),AND(AJ293="",AJ294&lt;&gt;""))</f>
        <v>0</v>
      </c>
      <c r="AK291" s="1716">
        <f>OR(AND(AK293&lt;&gt;"",AK294=""),AND(AK293="",AK294&lt;&gt;""))</f>
        <v>0</v>
      </c>
      <c r="AL291" s="1716">
        <f>OR(AND(AL293&lt;&gt;"",AL294=""),AND(AL293="",AL294&lt;&gt;""))</f>
        <v>0</v>
      </c>
      <c r="AM291" s="1716">
        <f>OR(AND(AM293&lt;&gt;"",AM294=""),AND(AM293="",AM294&lt;&gt;""))</f>
        <v>0</v>
      </c>
      <c r="AN291" s="1716">
        <f>OR(AND(AN293&lt;&gt;"",AN294=""),AND(AN293="",AN294&lt;&gt;""))</f>
        <v>0</v>
      </c>
      <c r="AO291" s="1716">
        <f>OR(AND(AO293&lt;&gt;"",AO294=""),AND(AO293="",AO294&lt;&gt;""))</f>
        <v>0</v>
      </c>
      <c r="AP291" s="1716">
        <f>OR(AND(AP293&lt;&gt;"",AP294=""),AND(AP293="",AP294&lt;&gt;""))</f>
        <v>0</v>
      </c>
      <c r="AQ291" s="1716">
        <f>OR(AND(AQ293&lt;&gt;"",AQ294=""),AND(AQ293="",AQ294&lt;&gt;""))</f>
        <v>0</v>
      </c>
      <c r="AR291" s="1716">
        <f>OR(AND(AR293&lt;&gt;"",AR294=""),AND(AR293="",AR294&lt;&gt;""))</f>
        <v>0</v>
      </c>
      <c r="AS291" s="1716">
        <f>OR(AND(AS293&lt;&gt;"",AS294=""),AND(AS293="",AS294&lt;&gt;""))</f>
        <v>0</v>
      </c>
      <c r="AT291" s="1716">
        <f>OR(AND(AT293&lt;&gt;"",AT294=""),AND(AT293="",AT294&lt;&gt;""))</f>
        <v>0</v>
      </c>
      <c r="AU291" s="1716">
        <f>OR(AND(AU293&lt;&gt;"",AU294=""),AND(AU293="",AU294&lt;&gt;""))</f>
        <v>0</v>
      </c>
      <c r="AV291" s="1716">
        <f>OR(AND(AV293&lt;&gt;"",AV294=""),AND(AV293="",AV294&lt;&gt;""))</f>
        <v>0</v>
      </c>
      <c r="AW291" s="1716">
        <f>OR(AND(AW293&lt;&gt;"",AW294=""),AND(AW293="",AW294&lt;&gt;""))</f>
        <v>0</v>
      </c>
      <c r="AX291" s="1716">
        <f>OR(AND(AX293&lt;&gt;"",AX294=""),AND(AX293="",AX294&lt;&gt;""))</f>
        <v>0</v>
      </c>
      <c r="AY291" s="1716">
        <f>OR(AND(AY293&lt;&gt;"",AY294=""),AND(AY293="",AY294&lt;&gt;""))</f>
        <v>0</v>
      </c>
      <c r="AZ291" s="1716">
        <f>OR(AND(AZ293&lt;&gt;"",AZ294=""),AND(AZ293="",AZ294&lt;&gt;""))</f>
        <v>0</v>
      </c>
      <c r="BA291" s="1716">
        <f>OR(AND(BA293&lt;&gt;"",BA294=""),AND(BA293="",BA294&lt;&gt;""))</f>
        <v>0</v>
      </c>
      <c r="BB291" s="1733">
        <f>OR(AND(BB293&lt;&gt;"",BB294=""),AND(BB293="",BB294&lt;&gt;""))</f>
        <v>0</v>
      </c>
      <c r="BC291" s="1734"/>
      <c r="BD291" s="885"/>
      <c r="BE291" s="885"/>
      <c r="BF291" s="1044"/>
      <c r="BG291" s="1044"/>
      <c r="BH291" s="1044"/>
      <c r="BI291" s="679"/>
      <c r="BJ291" s="679"/>
    </row>
    <row s="1834" customFormat="1" customHeight="1" ht="0" hidden="1">
      <c r="A292" s="885"/>
      <c r="B292" s="441"/>
      <c r="C292" s="885"/>
      <c r="D292" s="885"/>
      <c r="E292" s="678">
        <v>15</v>
      </c>
      <c r="F292" s="1387" cm="1" t="str">
        <f t="array" ref="F292:F292">OFFSET(E292,-1,1)</f>
        <v>3</v>
      </c>
      <c r="G292" s="885"/>
      <c r="H292" s="885"/>
      <c r="I292" s="885"/>
      <c r="J292" s="885"/>
      <c r="K292" s="911"/>
      <c r="L292" s="915"/>
      <c r="M292" s="885"/>
      <c r="N292" s="885"/>
      <c r="O292" s="885"/>
      <c r="P292" s="885"/>
      <c r="Q292" s="885"/>
      <c r="R292" s="885"/>
      <c r="S292" s="885"/>
      <c r="T292" s="1356">
        <f>AND(F292&gt;0,Y291&gt;0)</f>
        <v>0</v>
      </c>
      <c r="U292" s="885"/>
      <c r="V292" s="885"/>
      <c r="W292" s="885"/>
      <c r="X292" s="684"/>
      <c r="Y292" s="1524"/>
      <c r="Z292" s="885"/>
      <c r="AA292" s="1714"/>
      <c r="AB292" s="1698" t="str">
        <f>"8."&amp;Y291</f>
        <v>8.0</v>
      </c>
      <c r="AC292" s="1717"/>
      <c r="AD292" s="1715"/>
      <c r="AE292" s="885"/>
      <c r="AF292" s="885"/>
      <c r="AG292" s="885"/>
      <c r="AH292" s="885"/>
      <c r="AI292" s="885"/>
      <c r="AJ292" s="885"/>
      <c r="AK292" s="885"/>
      <c r="AL292" s="885"/>
      <c r="AM292" s="885"/>
      <c r="AN292" s="885"/>
      <c r="AO292" s="885"/>
      <c r="AP292" s="885"/>
      <c r="AQ292" s="885"/>
      <c r="AR292" s="885"/>
      <c r="AS292" s="885"/>
      <c r="AT292" s="885"/>
      <c r="AU292" s="885"/>
      <c r="AV292" s="885"/>
      <c r="AW292" s="885"/>
      <c r="AX292" s="885"/>
      <c r="AY292" s="885"/>
      <c r="AZ292" s="885"/>
      <c r="BA292" s="885"/>
      <c r="BB292" s="885"/>
      <c r="BC292" s="885"/>
      <c r="BD292" s="885"/>
      <c r="BE292" s="885"/>
      <c r="BF292" s="1044"/>
      <c r="BG292" s="1044"/>
      <c r="BH292" s="1044"/>
      <c r="BI292" s="679"/>
      <c r="BJ292" s="679"/>
    </row>
    <row s="1834" customFormat="1" customHeight="1" ht="0" hidden="1">
      <c r="A293" s="885"/>
      <c r="B293" s="441"/>
      <c r="C293" s="885"/>
      <c r="D293" s="885"/>
      <c r="E293" s="678">
        <v>15</v>
      </c>
      <c r="F293" s="1387" cm="1" t="str">
        <f t="array" ref="F293:F293">OFFSET(E293,-1,1)</f>
        <v>3</v>
      </c>
      <c r="G293" s="885"/>
      <c r="H293" s="885"/>
      <c r="I293" s="885"/>
      <c r="J293" s="885"/>
      <c r="K293" s="911"/>
      <c r="L293" s="915"/>
      <c r="M293" s="885"/>
      <c r="N293" s="885"/>
      <c r="O293" s="885"/>
      <c r="P293" s="885"/>
      <c r="Q293" s="885"/>
      <c r="R293" s="885"/>
      <c r="S293" s="885"/>
      <c r="T293" s="1356" cm="1" t="str">
        <f t="array" ref="T293:T293">T292</f>
        <v>false</v>
      </c>
      <c r="U293" s="885"/>
      <c r="V293" s="885"/>
      <c r="W293" s="885"/>
      <c r="X293" s="684"/>
      <c r="Y293" s="1524"/>
      <c r="Z293" s="885"/>
      <c r="AA293" s="1714"/>
      <c r="AB293" s="1698" t="str">
        <f>AB292&amp;".1"</f>
        <v>8.0.1</v>
      </c>
      <c r="AC293" s="1728" t="s">
        <v>1783</v>
      </c>
      <c r="AD293" s="1700" t="s">
        <v>1514</v>
      </c>
      <c r="AE293" s="3679"/>
      <c r="AF293" s="3680"/>
      <c r="AG293" s="3679"/>
      <c r="AH293" s="3679"/>
      <c r="AI293" s="3680"/>
      <c r="AJ293" s="3680"/>
      <c r="AK293" s="3680"/>
      <c r="AL293" s="3680"/>
      <c r="AM293" s="3680"/>
      <c r="AN293" s="3680"/>
      <c r="AO293" s="3680"/>
      <c r="AP293" s="3680"/>
      <c r="AQ293" s="3680"/>
      <c r="AR293" s="3680"/>
      <c r="AS293" s="3679"/>
      <c r="AT293" s="3679"/>
      <c r="AU293" s="3679"/>
      <c r="AV293" s="3679"/>
      <c r="AW293" s="3679"/>
      <c r="AX293" s="3679"/>
      <c r="AY293" s="3679"/>
      <c r="AZ293" s="3679"/>
      <c r="BA293" s="3679"/>
      <c r="BB293" s="3679"/>
      <c r="BC293" s="3685"/>
      <c r="BD293" s="885"/>
      <c r="BE293" s="885"/>
      <c r="BF293" s="1041" t="s">
        <v>1784</v>
      </c>
      <c r="BG293" s="1044" t="s">
        <v>1849</v>
      </c>
      <c r="BH293" s="1720" cm="1" t="str">
        <f t="array" ref="BH293:BH293">AC292</f>
        <v>0</v>
      </c>
      <c r="BI293" s="679"/>
      <c r="BJ293" s="679" t="b">
        <v>1</v>
      </c>
    </row>
    <row s="1834" customFormat="1" customHeight="1" ht="0" hidden="1">
      <c r="A294" s="885"/>
      <c r="B294" s="441"/>
      <c r="C294" s="885"/>
      <c r="D294" s="885"/>
      <c r="E294" s="678">
        <v>15</v>
      </c>
      <c r="F294" s="1387" cm="1" t="str">
        <f t="array" ref="F294:F294">OFFSET(E294,-1,1)</f>
        <v>3</v>
      </c>
      <c r="G294" s="885"/>
      <c r="H294" s="885"/>
      <c r="I294" s="885"/>
      <c r="J294" s="885"/>
      <c r="K294" s="911"/>
      <c r="L294" s="915"/>
      <c r="M294" s="885"/>
      <c r="N294" s="885"/>
      <c r="O294" s="885"/>
      <c r="P294" s="885"/>
      <c r="Q294" s="885"/>
      <c r="R294" s="885"/>
      <c r="S294" s="885"/>
      <c r="T294" s="1356" cm="1" t="str">
        <f t="array" ref="T294:T294">T293</f>
        <v>false</v>
      </c>
      <c r="U294" s="885"/>
      <c r="V294" s="885"/>
      <c r="W294" s="885"/>
      <c r="X294" s="684"/>
      <c r="Y294" s="1524"/>
      <c r="Z294" s="885"/>
      <c r="AA294" s="1714"/>
      <c r="AB294" s="1698" t="str">
        <f>AB293&amp;".1"</f>
        <v>8.0.1.1</v>
      </c>
      <c r="AC294" s="1707" t="s">
        <v>1850</v>
      </c>
      <c r="AD294" s="1698" t="s">
        <v>1247</v>
      </c>
      <c r="AE294" s="3679"/>
      <c r="AF294" s="3680"/>
      <c r="AG294" s="3679"/>
      <c r="AH294" s="3679"/>
      <c r="AI294" s="3680"/>
      <c r="AJ294" s="3680"/>
      <c r="AK294" s="3680"/>
      <c r="AL294" s="3680"/>
      <c r="AM294" s="3680"/>
      <c r="AN294" s="3680"/>
      <c r="AO294" s="3680"/>
      <c r="AP294" s="3680"/>
      <c r="AQ294" s="3680"/>
      <c r="AR294" s="3680"/>
      <c r="AS294" s="3679"/>
      <c r="AT294" s="3679"/>
      <c r="AU294" s="3679"/>
      <c r="AV294" s="3679"/>
      <c r="AW294" s="3679"/>
      <c r="AX294" s="3679"/>
      <c r="AY294" s="3679"/>
      <c r="AZ294" s="3679"/>
      <c r="BA294" s="3679"/>
      <c r="BB294" s="3679"/>
      <c r="BC294" s="3685"/>
      <c r="BD294" s="885"/>
      <c r="BE294" s="885"/>
      <c r="BF294" s="1041" t="s">
        <v>1787</v>
      </c>
      <c r="BG294" s="1044" t="s">
        <v>1849</v>
      </c>
      <c r="BH294" s="1720" cm="1" t="str">
        <f t="array" ref="BH294:BH294">BH293</f>
        <v>0</v>
      </c>
      <c r="BI294" s="679"/>
      <c r="BJ294" s="679"/>
    </row>
    <row s="1834" customFormat="1" customHeight="1" ht="0" hidden="1">
      <c r="A295" s="885"/>
      <c r="B295" s="441"/>
      <c r="C295" s="885"/>
      <c r="D295" s="885"/>
      <c r="E295" s="678">
        <v>15</v>
      </c>
      <c r="F295" s="1387" cm="1" t="str">
        <f t="array" ref="F295:F295">OFFSET(E295,-1,1)</f>
        <v>3</v>
      </c>
      <c r="G295" s="885"/>
      <c r="H295" s="885"/>
      <c r="I295" s="885"/>
      <c r="J295" s="885"/>
      <c r="K295" s="911"/>
      <c r="L295" s="915"/>
      <c r="M295" s="885"/>
      <c r="N295" s="885"/>
      <c r="O295" s="885"/>
      <c r="P295" s="885"/>
      <c r="Q295" s="885"/>
      <c r="R295" s="885"/>
      <c r="S295" s="885"/>
      <c r="T295" s="1356" cm="1" t="str">
        <f t="array" ref="T295:T295">T294</f>
        <v>false</v>
      </c>
      <c r="U295" s="885"/>
      <c r="V295" s="885"/>
      <c r="W295" s="885"/>
      <c r="X295" s="684"/>
      <c r="Y295" s="1524"/>
      <c r="Z295" s="885"/>
      <c r="AA295" s="1714"/>
      <c r="AB295" s="1698" t="str">
        <f>AB293&amp;".2"</f>
        <v>8.0.1.2</v>
      </c>
      <c r="AC295" s="1707" t="s">
        <v>1851</v>
      </c>
      <c r="AD295" s="1698" t="s">
        <v>1789</v>
      </c>
      <c r="AE295" s="3679"/>
      <c r="AF295" s="3680"/>
      <c r="AG295" s="3680"/>
      <c r="AH295" s="3679"/>
      <c r="AI295" s="3680"/>
      <c r="AJ295" s="3680"/>
      <c r="AK295" s="3680"/>
      <c r="AL295" s="3680"/>
      <c r="AM295" s="3680"/>
      <c r="AN295" s="3680"/>
      <c r="AO295" s="3680"/>
      <c r="AP295" s="3680"/>
      <c r="AQ295" s="3680"/>
      <c r="AR295" s="3680"/>
      <c r="AS295" s="3680"/>
      <c r="AT295" s="3680"/>
      <c r="AU295" s="3680"/>
      <c r="AV295" s="3680"/>
      <c r="AW295" s="3680"/>
      <c r="AX295" s="3680"/>
      <c r="AY295" s="3680"/>
      <c r="AZ295" s="3680"/>
      <c r="BA295" s="3680"/>
      <c r="BB295" s="3686"/>
      <c r="BC295" s="3685"/>
      <c r="BD295" s="885"/>
      <c r="BE295" s="885"/>
      <c r="BF295" s="1041" t="s">
        <v>1790</v>
      </c>
      <c r="BG295" s="1044" t="s">
        <v>1849</v>
      </c>
      <c r="BH295" s="1720" cm="1" t="str">
        <f t="array" ref="BH295:BH295">BH294</f>
        <v>0</v>
      </c>
      <c r="BI295" s="679"/>
      <c r="BJ295" s="679"/>
    </row>
    <row s="1834" customFormat="1" customHeight="1" ht="0">
      <c r="A296" s="885"/>
      <c r="B296" s="441"/>
      <c r="C296" s="885"/>
      <c r="D296" s="885"/>
      <c r="E296" s="678">
        <v>15</v>
      </c>
      <c r="F296" s="1387" cm="1" t="str">
        <f t="array" ref="F296:F296">OFFSET(E296,-1,1)</f>
        <v>3</v>
      </c>
      <c r="G296" s="885"/>
      <c r="H296" s="885"/>
      <c r="I296" s="885"/>
      <c r="J296" s="885"/>
      <c r="K296" s="911"/>
      <c r="L296" s="915"/>
      <c r="M296" s="885"/>
      <c r="N296" s="885"/>
      <c r="O296" s="885"/>
      <c r="P296" s="885"/>
      <c r="Q296" s="885"/>
      <c r="R296" s="885"/>
      <c r="S296" s="885"/>
      <c r="T296" s="1356">
        <f>F296&gt;0</f>
        <v>1</v>
      </c>
      <c r="U296" s="885"/>
      <c r="V296" s="885"/>
      <c r="W296" s="685" t="s">
        <v>1852</v>
      </c>
      <c r="X296" s="684"/>
      <c r="Y296" s="885"/>
      <c r="Z296" s="885"/>
      <c r="AA296" s="885"/>
      <c r="AB296" s="1724"/>
      <c r="AC296" s="1737" t="s">
        <v>1792</v>
      </c>
      <c r="AD296" s="1726"/>
      <c r="AE296" s="1726"/>
      <c r="AF296" s="1726"/>
      <c r="AG296" s="1726"/>
      <c r="AH296" s="1726"/>
      <c r="AI296" s="1726"/>
      <c r="AJ296" s="1726"/>
      <c r="AK296" s="1726"/>
      <c r="AL296" s="1726"/>
      <c r="AM296" s="1726"/>
      <c r="AN296" s="1726"/>
      <c r="AO296" s="1726"/>
      <c r="AP296" s="1726"/>
      <c r="AQ296" s="1726"/>
      <c r="AR296" s="1726"/>
      <c r="AS296" s="1726"/>
      <c r="AT296" s="1726"/>
      <c r="AU296" s="1726"/>
      <c r="AV296" s="1726"/>
      <c r="AW296" s="1726"/>
      <c r="AX296" s="1726"/>
      <c r="AY296" s="1726"/>
      <c r="AZ296" s="1726"/>
      <c r="BA296" s="1726"/>
      <c r="BB296" s="1726"/>
      <c r="BC296" s="1732"/>
      <c r="BD296" s="885"/>
      <c r="BE296" s="885"/>
      <c r="BF296" s="1044"/>
      <c r="BG296" s="1044"/>
      <c r="BH296" s="1044"/>
      <c r="BI296" s="679" t="s">
        <v>1849</v>
      </c>
      <c r="BJ296" s="679"/>
    </row>
    <row s="153" customFormat="1" customHeight="1" ht="0">
      <c r="A297" s="153"/>
      <c r="B297" s="441"/>
      <c r="C297" s="153"/>
      <c r="D297" s="153"/>
      <c r="E297" s="679">
        <v>15</v>
      </c>
      <c r="F297" s="50" cm="1" t="str">
        <f t="array" ref="F297:F297">OFFSET(E297,-1,1)</f>
        <v>3</v>
      </c>
      <c r="G297" s="152"/>
      <c r="H297" s="153"/>
      <c r="I297" s="153"/>
      <c r="J297" s="153"/>
      <c r="K297" s="911" t="str">
        <f>F237&amp;"9komm"</f>
        <v>39komm</v>
      </c>
      <c r="L297" s="915" cm="1" t="str">
        <f t="array" ref="L297:L297">BC297</f>
        <v>0</v>
      </c>
      <c r="M297" s="153"/>
      <c r="N297" s="153"/>
      <c r="O297" s="153"/>
      <c r="P297" s="153"/>
      <c r="Q297" s="153"/>
      <c r="R297" s="153"/>
      <c r="S297" s="153"/>
      <c r="T297" s="465" cm="1" t="str">
        <f t="array" ref="T297:T297">T290</f>
        <v>true</v>
      </c>
      <c r="U297" s="153"/>
      <c r="V297" s="153"/>
      <c r="W297" s="153"/>
      <c r="X297" s="1524"/>
      <c r="Y297" s="153"/>
      <c r="Z297" s="1615"/>
      <c r="AA297" s="153"/>
      <c r="AB297" s="211">
        <v>9</v>
      </c>
      <c r="AC297" s="212" t="s">
        <v>1853</v>
      </c>
      <c r="AD297" s="211" t="s">
        <v>1514</v>
      </c>
      <c r="AE297" s="3657">
        <f>SUMIF($AD300:$AD303,$AD297,AE300:AE303)</f>
        <v>0</v>
      </c>
      <c r="AF297" s="3657">
        <f>SUMIF($AD300:$AD303,$AD297,AF300:AF303)</f>
        <v>0</v>
      </c>
      <c r="AG297" s="3657">
        <f>SUMIF($AD300:$AD303,$AD297,AG300:AG303)</f>
        <v>0</v>
      </c>
      <c r="AH297" s="3657">
        <f>SUMIF($AD300:$AD303,$AD297,AH300:AH303)</f>
        <v>0</v>
      </c>
      <c r="AI297" s="3657">
        <f>SUMIF($AD300:$AD303,$AD297,AI300:AI303)</f>
        <v>0</v>
      </c>
      <c r="AJ297" s="225">
        <f>SUMIF($AD300:$AD303,$AD297,AJ300:AJ303)</f>
        <v>0</v>
      </c>
      <c r="AK297" s="225">
        <f>SUMIF($AD300:$AD303,$AD297,AK300:AK303)</f>
        <v>0</v>
      </c>
      <c r="AL297" s="225">
        <f>SUMIF($AD300:$AD303,$AD297,AL300:AL303)</f>
        <v>0</v>
      </c>
      <c r="AM297" s="225">
        <f>SUMIF($AD300:$AD303,$AD297,AM300:AM303)</f>
        <v>0</v>
      </c>
      <c r="AN297" s="3658">
        <f>SUMIF($AD300:$AD303,$AD297,AN300:AN303)</f>
        <v>0</v>
      </c>
      <c r="AO297" s="3658">
        <f>SUMIF($AD300:$AD303,$AD297,AO300:AO303)</f>
        <v>0</v>
      </c>
      <c r="AP297" s="3658">
        <f>SUMIF($AD300:$AD303,$AD297,AP300:AP303)</f>
        <v>0</v>
      </c>
      <c r="AQ297" s="3658">
        <f>SUMIF($AD300:$AD303,$AD297,AQ300:AQ303)</f>
        <v>0</v>
      </c>
      <c r="AR297" s="3658">
        <f>SUMIF($AD300:$AD303,$AD297,AR300:AR303)</f>
        <v>0</v>
      </c>
      <c r="AS297" s="3657">
        <f>SUMIF($AD300:$AD303,$AD297,AS300:AS303)</f>
        <v>0</v>
      </c>
      <c r="AT297" s="225">
        <f>SUMIF($AD300:$AD303,$AD297,AT300:AT303)</f>
        <v>0</v>
      </c>
      <c r="AU297" s="225">
        <f>SUMIF($AD300:$AD303,$AD297,AU300:AU303)</f>
        <v>0</v>
      </c>
      <c r="AV297" s="225">
        <f>SUMIF($AD300:$AD303,$AD297,AV300:AV303)</f>
        <v>0</v>
      </c>
      <c r="AW297" s="225">
        <f>SUMIF($AD300:$AD303,$AD297,AW300:AW303)</f>
        <v>0</v>
      </c>
      <c r="AX297" s="3658">
        <f>SUMIF($AD300:$AD303,$AD297,AX300:AX303)</f>
        <v>0</v>
      </c>
      <c r="AY297" s="3658">
        <f>SUMIF($AD300:$AD303,$AD297,AY300:AY303)</f>
        <v>0</v>
      </c>
      <c r="AZ297" s="3658">
        <f>SUMIF($AD300:$AD303,$AD297,AZ300:AZ303)</f>
        <v>0</v>
      </c>
      <c r="BA297" s="3658">
        <f>SUMIF($AD300:$AD303,$AD297,BA300:BA303)</f>
        <v>0</v>
      </c>
      <c r="BB297" s="3658">
        <f>SUMIF($AD300:$AD303,$AD297,BB300:BB303)</f>
        <v>0</v>
      </c>
      <c r="BC297" s="200"/>
      <c r="BD297" s="153"/>
      <c r="BE297" s="153"/>
      <c r="BF297" s="1044" t="s">
        <v>1854</v>
      </c>
      <c r="BG297" s="1044"/>
      <c r="BH297" s="1044"/>
      <c r="BI297" s="679"/>
      <c r="BJ297" s="679"/>
    </row>
    <row s="1834" customFormat="1" customHeight="1" ht="0" hidden="1">
      <c r="A298" s="885"/>
      <c r="B298" s="441"/>
      <c r="C298" s="885"/>
      <c r="D298" s="885"/>
      <c r="E298" s="678">
        <v>15</v>
      </c>
      <c r="F298" s="1387" cm="1" t="str">
        <f t="array" ref="F298:F298">OFFSET(E298,-1,1)</f>
        <v>3</v>
      </c>
      <c r="G298" s="885"/>
      <c r="H298" s="885"/>
      <c r="I298" s="885"/>
      <c r="J298" s="885"/>
      <c r="K298" s="911"/>
      <c r="L298" s="915"/>
      <c r="M298" s="885"/>
      <c r="N298" s="885"/>
      <c r="O298" s="885"/>
      <c r="P298" s="885"/>
      <c r="Q298" s="885"/>
      <c r="R298" s="885"/>
      <c r="S298" s="885"/>
      <c r="T298" s="1356" t="b">
        <v>0</v>
      </c>
      <c r="U298" s="885"/>
      <c r="V298" s="885"/>
      <c r="W298" s="885" t="s">
        <v>174</v>
      </c>
      <c r="X298" s="684"/>
      <c r="Y298" s="1524">
        <v>0</v>
      </c>
      <c r="Z298" s="885"/>
      <c r="AA298" s="1714" t="s">
        <v>175</v>
      </c>
      <c r="AB298" s="1700"/>
      <c r="AC298" s="1738"/>
      <c r="AD298" s="1715"/>
      <c r="AE298" s="1716">
        <f>OR(AND(AE300&lt;&gt;"",AE301=""),AND(AE300="",AE301&lt;&gt;""))</f>
        <v>0</v>
      </c>
      <c r="AF298" s="1716">
        <f>OR(AND(AF300&lt;&gt;"",AF301=""),AND(AF300="",AF301&lt;&gt;""))</f>
        <v>0</v>
      </c>
      <c r="AG298" s="1716">
        <f>OR(AND(AG300&lt;&gt;"",AG301=""),AND(AG300="",AG301&lt;&gt;""))</f>
        <v>0</v>
      </c>
      <c r="AH298" s="1716">
        <f>OR(AND(AH300&lt;&gt;"",AH301=""),AND(AH300="",AH301&lt;&gt;""))</f>
        <v>0</v>
      </c>
      <c r="AI298" s="1716">
        <f>OR(AND(AI300&lt;&gt;"",AI301=""),AND(AI300="",AI301&lt;&gt;""))</f>
        <v>0</v>
      </c>
      <c r="AJ298" s="1716">
        <f>OR(AND(AJ300&lt;&gt;"",AJ301=""),AND(AJ300="",AJ301&lt;&gt;""))</f>
        <v>0</v>
      </c>
      <c r="AK298" s="1716">
        <f>OR(AND(AK300&lt;&gt;"",AK301=""),AND(AK300="",AK301&lt;&gt;""))</f>
        <v>0</v>
      </c>
      <c r="AL298" s="1716">
        <f>OR(AND(AL300&lt;&gt;"",AL301=""),AND(AL300="",AL301&lt;&gt;""))</f>
        <v>0</v>
      </c>
      <c r="AM298" s="1716">
        <f>OR(AND(AM300&lt;&gt;"",AM301=""),AND(AM300="",AM301&lt;&gt;""))</f>
        <v>0</v>
      </c>
      <c r="AN298" s="1716">
        <f>OR(AND(AN300&lt;&gt;"",AN301=""),AND(AN300="",AN301&lt;&gt;""))</f>
        <v>0</v>
      </c>
      <c r="AO298" s="1716">
        <f>OR(AND(AO300&lt;&gt;"",AO301=""),AND(AO300="",AO301&lt;&gt;""))</f>
        <v>0</v>
      </c>
      <c r="AP298" s="1716">
        <f>OR(AND(AP300&lt;&gt;"",AP301=""),AND(AP300="",AP301&lt;&gt;""))</f>
        <v>0</v>
      </c>
      <c r="AQ298" s="1716">
        <f>OR(AND(AQ300&lt;&gt;"",AQ301=""),AND(AQ300="",AQ301&lt;&gt;""))</f>
        <v>0</v>
      </c>
      <c r="AR298" s="1716">
        <f>OR(AND(AR300&lt;&gt;"",AR301=""),AND(AR300="",AR301&lt;&gt;""))</f>
        <v>0</v>
      </c>
      <c r="AS298" s="1716">
        <f>OR(AND(AS300&lt;&gt;"",AS301=""),AND(AS300="",AS301&lt;&gt;""))</f>
        <v>0</v>
      </c>
      <c r="AT298" s="1716">
        <f>OR(AND(AT300&lt;&gt;"",AT301=""),AND(AT300="",AT301&lt;&gt;""))</f>
        <v>0</v>
      </c>
      <c r="AU298" s="1716">
        <f>OR(AND(AU300&lt;&gt;"",AU301=""),AND(AU300="",AU301&lt;&gt;""))</f>
        <v>0</v>
      </c>
      <c r="AV298" s="1716">
        <f>OR(AND(AV300&lt;&gt;"",AV301=""),AND(AV300="",AV301&lt;&gt;""))</f>
        <v>0</v>
      </c>
      <c r="AW298" s="1716">
        <f>OR(AND(AW300&lt;&gt;"",AW301=""),AND(AW300="",AW301&lt;&gt;""))</f>
        <v>0</v>
      </c>
      <c r="AX298" s="1716">
        <f>OR(AND(AX300&lt;&gt;"",AX301=""),AND(AX300="",AX301&lt;&gt;""))</f>
        <v>0</v>
      </c>
      <c r="AY298" s="1716">
        <f>OR(AND(AY300&lt;&gt;"",AY301=""),AND(AY300="",AY301&lt;&gt;""))</f>
        <v>0</v>
      </c>
      <c r="AZ298" s="1716">
        <f>OR(AND(AZ300&lt;&gt;"",AZ301=""),AND(AZ300="",AZ301&lt;&gt;""))</f>
        <v>0</v>
      </c>
      <c r="BA298" s="1716">
        <f>OR(AND(BA300&lt;&gt;"",BA301=""),AND(BA300="",BA301&lt;&gt;""))</f>
        <v>0</v>
      </c>
      <c r="BB298" s="1733">
        <f>OR(AND(BB300&lt;&gt;"",BB301=""),AND(BB300="",BB301&lt;&gt;""))</f>
        <v>0</v>
      </c>
      <c r="BC298" s="1734"/>
      <c r="BD298" s="885"/>
      <c r="BE298" s="885"/>
      <c r="BF298" s="1044"/>
      <c r="BG298" s="1044"/>
      <c r="BH298" s="1044"/>
      <c r="BI298" s="679"/>
      <c r="BJ298" s="679"/>
    </row>
    <row s="1834" customFormat="1" customHeight="1" ht="0" hidden="1">
      <c r="A299" s="885"/>
      <c r="B299" s="441"/>
      <c r="C299" s="885"/>
      <c r="D299" s="885"/>
      <c r="E299" s="678">
        <v>15</v>
      </c>
      <c r="F299" s="1387" cm="1" t="str">
        <f t="array" ref="F299:F299">OFFSET(E299,-1,1)</f>
        <v>3</v>
      </c>
      <c r="G299" s="885"/>
      <c r="H299" s="885"/>
      <c r="I299" s="885"/>
      <c r="J299" s="885"/>
      <c r="K299" s="911"/>
      <c r="L299" s="915"/>
      <c r="M299" s="885"/>
      <c r="N299" s="885"/>
      <c r="O299" s="885"/>
      <c r="P299" s="885"/>
      <c r="Q299" s="885"/>
      <c r="R299" s="885"/>
      <c r="S299" s="885"/>
      <c r="T299" s="1356">
        <f>AND(F299&gt;0,Y298&gt;0)</f>
        <v>0</v>
      </c>
      <c r="U299" s="885"/>
      <c r="V299" s="885"/>
      <c r="W299" s="885"/>
      <c r="X299" s="684"/>
      <c r="Y299" s="1524"/>
      <c r="Z299" s="885"/>
      <c r="AA299" s="1714"/>
      <c r="AB299" s="1698" t="str">
        <f>"9."&amp;Y298</f>
        <v>9.0</v>
      </c>
      <c r="AC299" s="3689"/>
      <c r="AD299" s="1715"/>
      <c r="AE299" s="885"/>
      <c r="AF299" s="885"/>
      <c r="AG299" s="885"/>
      <c r="AH299" s="885"/>
      <c r="AI299" s="885"/>
      <c r="AJ299" s="885"/>
      <c r="AK299" s="885"/>
      <c r="AL299" s="885"/>
      <c r="AM299" s="885"/>
      <c r="AN299" s="885"/>
      <c r="AO299" s="885"/>
      <c r="AP299" s="885"/>
      <c r="AQ299" s="885"/>
      <c r="AR299" s="885"/>
      <c r="AS299" s="885"/>
      <c r="AT299" s="885"/>
      <c r="AU299" s="885"/>
      <c r="AV299" s="885"/>
      <c r="AW299" s="885"/>
      <c r="AX299" s="885"/>
      <c r="AY299" s="885"/>
      <c r="AZ299" s="885"/>
      <c r="BA299" s="885"/>
      <c r="BB299" s="885"/>
      <c r="BC299" s="885"/>
      <c r="BD299" s="885"/>
      <c r="BE299" s="885"/>
      <c r="BF299" s="1044"/>
      <c r="BG299" s="1044"/>
      <c r="BH299" s="1044"/>
      <c r="BI299" s="679"/>
      <c r="BJ299" s="679"/>
    </row>
    <row s="1834" customFormat="1" customHeight="1" ht="0" hidden="1">
      <c r="A300" s="885"/>
      <c r="B300" s="441"/>
      <c r="C300" s="885"/>
      <c r="D300" s="885"/>
      <c r="E300" s="678">
        <v>15</v>
      </c>
      <c r="F300" s="1387" cm="1" t="str">
        <f t="array" ref="F300:F300">OFFSET(E300,-1,1)</f>
        <v>3</v>
      </c>
      <c r="G300" s="885"/>
      <c r="H300" s="885"/>
      <c r="I300" s="885"/>
      <c r="J300" s="885"/>
      <c r="K300" s="911"/>
      <c r="L300" s="915"/>
      <c r="M300" s="885"/>
      <c r="N300" s="885"/>
      <c r="O300" s="885"/>
      <c r="P300" s="885"/>
      <c r="Q300" s="885"/>
      <c r="R300" s="885"/>
      <c r="S300" s="885"/>
      <c r="T300" s="1356" cm="1" t="str">
        <f t="array" ref="T300:T300">T299</f>
        <v>false</v>
      </c>
      <c r="U300" s="885"/>
      <c r="V300" s="885"/>
      <c r="W300" s="885"/>
      <c r="X300" s="684"/>
      <c r="Y300" s="1524"/>
      <c r="Z300" s="885"/>
      <c r="AA300" s="1714"/>
      <c r="AB300" s="1698" t="str">
        <f>AB299&amp;".1"</f>
        <v>9.0.1</v>
      </c>
      <c r="AC300" s="1728" t="s">
        <v>1783</v>
      </c>
      <c r="AD300" s="1700" t="s">
        <v>1514</v>
      </c>
      <c r="AE300" s="3679"/>
      <c r="AF300" s="3680"/>
      <c r="AG300" s="3679"/>
      <c r="AH300" s="3679"/>
      <c r="AI300" s="3680"/>
      <c r="AJ300" s="3680"/>
      <c r="AK300" s="3680"/>
      <c r="AL300" s="3680"/>
      <c r="AM300" s="3680"/>
      <c r="AN300" s="3680"/>
      <c r="AO300" s="3680"/>
      <c r="AP300" s="3680"/>
      <c r="AQ300" s="3680"/>
      <c r="AR300" s="3680"/>
      <c r="AS300" s="3679"/>
      <c r="AT300" s="3679"/>
      <c r="AU300" s="3679"/>
      <c r="AV300" s="3679"/>
      <c r="AW300" s="3679"/>
      <c r="AX300" s="3679"/>
      <c r="AY300" s="3679"/>
      <c r="AZ300" s="3679"/>
      <c r="BA300" s="3679"/>
      <c r="BB300" s="3679"/>
      <c r="BC300" s="3685"/>
      <c r="BD300" s="885"/>
      <c r="BE300" s="885"/>
      <c r="BF300" s="1041" t="s">
        <v>1784</v>
      </c>
      <c r="BG300" s="1044" t="s">
        <v>1855</v>
      </c>
      <c r="BH300" s="1720" cm="1" t="str">
        <f t="array" ref="BH300:BH300">AC299</f>
        <v>0</v>
      </c>
      <c r="BI300" s="679"/>
      <c r="BJ300" s="679" t="b">
        <v>1</v>
      </c>
    </row>
    <row s="1834" customFormat="1" customHeight="1" ht="0" hidden="1">
      <c r="A301" s="885"/>
      <c r="B301" s="441"/>
      <c r="C301" s="885"/>
      <c r="D301" s="885"/>
      <c r="E301" s="678">
        <v>15</v>
      </c>
      <c r="F301" s="1387" cm="1" t="str">
        <f t="array" ref="F301:F301">OFFSET(E301,-1,1)</f>
        <v>3</v>
      </c>
      <c r="G301" s="885"/>
      <c r="H301" s="885"/>
      <c r="I301" s="885"/>
      <c r="J301" s="885"/>
      <c r="K301" s="911"/>
      <c r="L301" s="915"/>
      <c r="M301" s="885"/>
      <c r="N301" s="885"/>
      <c r="O301" s="885"/>
      <c r="P301" s="885"/>
      <c r="Q301" s="885"/>
      <c r="R301" s="885"/>
      <c r="S301" s="885"/>
      <c r="T301" s="1356" cm="1" t="str">
        <f t="array" ref="T301:T301">T300</f>
        <v>false</v>
      </c>
      <c r="U301" s="885"/>
      <c r="V301" s="885"/>
      <c r="W301" s="885"/>
      <c r="X301" s="684"/>
      <c r="Y301" s="1524"/>
      <c r="Z301" s="885"/>
      <c r="AA301" s="1714"/>
      <c r="AB301" s="1698" t="str">
        <f>AB300&amp;".1"</f>
        <v>9.0.1.1</v>
      </c>
      <c r="AC301" s="1707" t="s">
        <v>1856</v>
      </c>
      <c r="AD301" s="1698"/>
      <c r="AE301" s="3679"/>
      <c r="AF301" s="3680"/>
      <c r="AG301" s="3679"/>
      <c r="AH301" s="3679"/>
      <c r="AI301" s="3680"/>
      <c r="AJ301" s="3680"/>
      <c r="AK301" s="3680"/>
      <c r="AL301" s="3680"/>
      <c r="AM301" s="3680"/>
      <c r="AN301" s="3680"/>
      <c r="AO301" s="3680"/>
      <c r="AP301" s="3680"/>
      <c r="AQ301" s="3680"/>
      <c r="AR301" s="3680"/>
      <c r="AS301" s="3679"/>
      <c r="AT301" s="3679"/>
      <c r="AU301" s="3679"/>
      <c r="AV301" s="3679"/>
      <c r="AW301" s="3679"/>
      <c r="AX301" s="3679"/>
      <c r="AY301" s="3679"/>
      <c r="AZ301" s="3679"/>
      <c r="BA301" s="3679"/>
      <c r="BB301" s="3679"/>
      <c r="BC301" s="3685"/>
      <c r="BD301" s="885"/>
      <c r="BE301" s="885"/>
      <c r="BF301" s="1041" t="s">
        <v>1787</v>
      </c>
      <c r="BG301" s="1044" t="s">
        <v>1855</v>
      </c>
      <c r="BH301" s="1720" cm="1" t="str">
        <f t="array" ref="BH301:BH301">BH300</f>
        <v>0</v>
      </c>
      <c r="BI301" s="679"/>
      <c r="BJ301" s="679"/>
    </row>
    <row s="1834" customFormat="1" customHeight="1" ht="0" hidden="1">
      <c r="A302" s="885"/>
      <c r="B302" s="441"/>
      <c r="C302" s="885"/>
      <c r="D302" s="885"/>
      <c r="E302" s="678">
        <v>15</v>
      </c>
      <c r="F302" s="1387" cm="1" t="str">
        <f t="array" ref="F302:F302">OFFSET(E302,-1,1)</f>
        <v>3</v>
      </c>
      <c r="G302" s="885"/>
      <c r="H302" s="885"/>
      <c r="I302" s="885"/>
      <c r="J302" s="885"/>
      <c r="K302" s="911"/>
      <c r="L302" s="915"/>
      <c r="M302" s="885"/>
      <c r="N302" s="885"/>
      <c r="O302" s="885"/>
      <c r="P302" s="885"/>
      <c r="Q302" s="885"/>
      <c r="R302" s="885"/>
      <c r="S302" s="885"/>
      <c r="T302" s="1356" cm="1" t="str">
        <f t="array" ref="T302:T302">T301</f>
        <v>false</v>
      </c>
      <c r="U302" s="885"/>
      <c r="V302" s="885"/>
      <c r="W302" s="885"/>
      <c r="X302" s="684"/>
      <c r="Y302" s="1524"/>
      <c r="Z302" s="885"/>
      <c r="AA302" s="1714"/>
      <c r="AB302" s="1698" t="str">
        <f>AB300&amp;".2"</f>
        <v>9.0.1.2</v>
      </c>
      <c r="AC302" s="1707" t="s">
        <v>1857</v>
      </c>
      <c r="AD302" s="1698"/>
      <c r="AE302" s="3679"/>
      <c r="AF302" s="3680"/>
      <c r="AG302" s="3680"/>
      <c r="AH302" s="3679"/>
      <c r="AI302" s="3680"/>
      <c r="AJ302" s="3680"/>
      <c r="AK302" s="3680"/>
      <c r="AL302" s="3680"/>
      <c r="AM302" s="3680"/>
      <c r="AN302" s="3680"/>
      <c r="AO302" s="3680"/>
      <c r="AP302" s="3680"/>
      <c r="AQ302" s="3680"/>
      <c r="AR302" s="3680"/>
      <c r="AS302" s="3680"/>
      <c r="AT302" s="3680"/>
      <c r="AU302" s="3680"/>
      <c r="AV302" s="3680"/>
      <c r="AW302" s="3680"/>
      <c r="AX302" s="3680"/>
      <c r="AY302" s="3680"/>
      <c r="AZ302" s="3680"/>
      <c r="BA302" s="3680"/>
      <c r="BB302" s="3686"/>
      <c r="BC302" s="3685"/>
      <c r="BD302" s="885"/>
      <c r="BE302" s="885"/>
      <c r="BF302" s="1041" t="s">
        <v>1790</v>
      </c>
      <c r="BG302" s="1044" t="s">
        <v>1855</v>
      </c>
      <c r="BH302" s="1720" cm="1" t="str">
        <f t="array" ref="BH302:BH302">BH301</f>
        <v>0</v>
      </c>
      <c r="BI302" s="679"/>
      <c r="BJ302" s="679"/>
    </row>
    <row s="1834" customFormat="1" customHeight="1" ht="0">
      <c r="A303" s="885"/>
      <c r="B303" s="441"/>
      <c r="C303" s="885"/>
      <c r="D303" s="885"/>
      <c r="E303" s="678">
        <v>15</v>
      </c>
      <c r="F303" s="1387" cm="1" t="str">
        <f t="array" ref="F303:F303">OFFSET(E303,-1,1)</f>
        <v>3</v>
      </c>
      <c r="G303" s="885"/>
      <c r="H303" s="885"/>
      <c r="I303" s="885"/>
      <c r="J303" s="885"/>
      <c r="K303" s="911"/>
      <c r="L303" s="915"/>
      <c r="M303" s="885"/>
      <c r="N303" s="885"/>
      <c r="O303" s="885"/>
      <c r="P303" s="885"/>
      <c r="Q303" s="885"/>
      <c r="R303" s="885"/>
      <c r="S303" s="885"/>
      <c r="T303" s="1356">
        <f>F303&gt;0</f>
        <v>1</v>
      </c>
      <c r="U303" s="885"/>
      <c r="V303" s="885"/>
      <c r="W303" s="685" t="s">
        <v>1858</v>
      </c>
      <c r="X303" s="684"/>
      <c r="Y303" s="885"/>
      <c r="Z303" s="885"/>
      <c r="AA303" s="885"/>
      <c r="AB303" s="1724"/>
      <c r="AC303" s="1740" t="s">
        <v>1792</v>
      </c>
      <c r="AD303" s="1726"/>
      <c r="AE303" s="1726"/>
      <c r="AF303" s="1726"/>
      <c r="AG303" s="1726"/>
      <c r="AH303" s="1726"/>
      <c r="AI303" s="1726"/>
      <c r="AJ303" s="1726"/>
      <c r="AK303" s="1726"/>
      <c r="AL303" s="1726"/>
      <c r="AM303" s="1726"/>
      <c r="AN303" s="1726"/>
      <c r="AO303" s="1726"/>
      <c r="AP303" s="1726"/>
      <c r="AQ303" s="1726"/>
      <c r="AR303" s="1726"/>
      <c r="AS303" s="1726"/>
      <c r="AT303" s="1726"/>
      <c r="AU303" s="1726"/>
      <c r="AV303" s="1726"/>
      <c r="AW303" s="1726"/>
      <c r="AX303" s="1726"/>
      <c r="AY303" s="1726"/>
      <c r="AZ303" s="1726"/>
      <c r="BA303" s="1726"/>
      <c r="BB303" s="1726"/>
      <c r="BC303" s="1732"/>
      <c r="BD303" s="885"/>
      <c r="BE303" s="885"/>
      <c r="BF303" s="1044"/>
      <c r="BG303" s="1044"/>
      <c r="BH303" s="1044"/>
      <c r="BI303" s="679" t="s">
        <v>1855</v>
      </c>
      <c r="BJ303" s="679"/>
    </row>
    <row s="1834" customFormat="1" customHeight="1" ht="14.25">
      <c r="A304" s="885"/>
      <c r="B304" s="440"/>
      <c r="C304" s="885"/>
      <c r="D304" s="885"/>
      <c r="E304" s="678">
        <v>15</v>
      </c>
      <c r="F304" s="98" cm="1" t="str">
        <f t="array" ref="F304:F304">X304</f>
        <v>4</v>
      </c>
      <c r="G304" s="885"/>
      <c r="H304" s="885"/>
      <c r="I304" s="885" t="s">
        <v>1779</v>
      </c>
      <c r="J304" s="885"/>
      <c r="K304" s="911"/>
      <c r="L304" s="885"/>
      <c r="M304" s="885"/>
      <c r="N304" s="885"/>
      <c r="O304" s="885"/>
      <c r="P304" s="885"/>
      <c r="Q304" s="885"/>
      <c r="R304" s="885"/>
      <c r="S304" s="885"/>
      <c r="T304" s="465">
        <f>X304&gt;0</f>
        <v>1</v>
      </c>
      <c r="U304" s="885"/>
      <c r="V304" s="152" cm="1" t="str">
        <f t="array" ref="V304:V304">Аренда!$AB$67</f>
        <v>Тариф 4 (Водоотведение) - тариф на водоотведение (Доп. признак не требуется)</v>
      </c>
      <c r="W304" s="885"/>
      <c r="X304" s="1524" t="s">
        <v>295</v>
      </c>
      <c r="Y304" s="680"/>
      <c r="Z304" s="1615"/>
      <c r="AA304" s="885"/>
      <c r="AB304" s="222" cm="1" t="str">
        <f t="array" ref="AB304:AB304">Аренда!$AB$67</f>
        <v>Тариф 4 (Водоотведение) - тариф на водоотведение (Доп. признак не требуется)</v>
      </c>
      <c r="AC304" s="180"/>
      <c r="AD304" s="180"/>
      <c r="AE304" s="306">
        <f>AE312+AE319+AE326+AE333+AE305+AE340+AE351+AE358+AE365</f>
        <v>0</v>
      </c>
      <c r="AF304" s="306">
        <f>AF312+AF319+AF326+AF333+AF305+AF340+AF351+AF358+AF365</f>
        <v>0</v>
      </c>
      <c r="AG304" s="306">
        <f>AG312+AG319+AG326+AG333+AG305+AG340+AG351+AG358+AG365</f>
        <v>0</v>
      </c>
      <c r="AH304" s="306">
        <f>AH312+AH319+AH326+AH333+AH305+AH340+AH351+AH358+AH365</f>
        <v>0</v>
      </c>
      <c r="AI304" s="306">
        <f>AI312+AI319+AI326+AI333+AI305+AI340+AI351+AI358+AI365</f>
        <v>0</v>
      </c>
      <c r="AJ304" s="306">
        <f>AJ312+AJ319+AJ326+AJ333+AJ305+AJ340+AJ351+AJ358+AJ365</f>
        <v>0</v>
      </c>
      <c r="AK304" s="306">
        <f>AK312+AK319+AK326+AK333+AK305+AK340+AK351+AK358+AK365</f>
        <v>0</v>
      </c>
      <c r="AL304" s="306">
        <f>AL312+AL319+AL326+AL333+AL305+AL340+AL351+AL358+AL365</f>
        <v>0</v>
      </c>
      <c r="AM304" s="306">
        <f>AM312+AM319+AM326+AM333+AM305+AM340+AM351+AM358+AM365</f>
        <v>0</v>
      </c>
      <c r="AN304" s="306">
        <f>AN312+AN319+AN326+AN333+AN305+AN340+AN351+AN358+AN365</f>
        <v>0</v>
      </c>
      <c r="AO304" s="306">
        <f>AO312+AO319+AO326+AO333+AO305+AO340+AO351+AO358+AO365</f>
        <v>0</v>
      </c>
      <c r="AP304" s="306">
        <f>AP312+AP319+AP326+AP333+AP305+AP340+AP351+AP358+AP365</f>
        <v>0</v>
      </c>
      <c r="AQ304" s="306">
        <f>AQ312+AQ319+AQ326+AQ333+AQ305+AQ340+AQ351+AQ358+AQ365</f>
        <v>0</v>
      </c>
      <c r="AR304" s="306">
        <f>AR312+AR319+AR326+AR333+AR305+AR340+AR351+AR358+AR365</f>
        <v>0</v>
      </c>
      <c r="AS304" s="306">
        <f>AS312+AS319+AS326+AS333+AS305+AS340+AS351+AS358+AS365</f>
        <v>0</v>
      </c>
      <c r="AT304" s="306">
        <f>AT312+AT319+AT326+AT333+AT305+AT340+AT351+AT358+AT365</f>
        <v>0</v>
      </c>
      <c r="AU304" s="306">
        <f>AU312+AU319+AU326+AU333+AU305+AU340+AU351+AU358+AU365</f>
        <v>0</v>
      </c>
      <c r="AV304" s="306">
        <f>AV312+AV319+AV326+AV333+AV305+AV340+AV351+AV358+AV365</f>
        <v>0</v>
      </c>
      <c r="AW304" s="306">
        <f>AW312+AW319+AW326+AW333+AW305+AW340+AW351+AW358+AW365</f>
        <v>0</v>
      </c>
      <c r="AX304" s="306">
        <f>AX312+AX319+AX326+AX333+AX305+AX340+AX351+AX358+AX365</f>
        <v>0</v>
      </c>
      <c r="AY304" s="306">
        <f>AY312+AY319+AY326+AY333+AY305+AY340+AY351+AY358+AY365</f>
        <v>0</v>
      </c>
      <c r="AZ304" s="306">
        <f>AZ312+AZ319+AZ326+AZ333+AZ305+AZ340+AZ351+AZ358+AZ365</f>
        <v>0</v>
      </c>
      <c r="BA304" s="306">
        <f>BA312+BA319+BA326+BA333+BA305+BA340+BA351+BA358+BA365</f>
        <v>0</v>
      </c>
      <c r="BB304" s="306">
        <f>BB312+BB319+BB326+BB333+BB305+BB340+BB351+BB358+BB365</f>
        <v>0</v>
      </c>
      <c r="BC304" s="224"/>
      <c r="BD304" s="885"/>
      <c r="BE304" s="885"/>
      <c r="BF304" s="1041"/>
      <c r="BG304" s="1041"/>
      <c r="BH304" s="1041"/>
      <c r="BI304" s="678"/>
      <c r="BJ304" s="678"/>
    </row>
    <row s="1834" customFormat="1" customHeight="1" ht="0">
      <c r="A305" s="885"/>
      <c r="B305" s="440"/>
      <c r="C305" s="885"/>
      <c r="D305" s="885"/>
      <c r="E305" s="678">
        <v>15</v>
      </c>
      <c r="F305" s="50" cm="1" t="str">
        <f t="array" ref="F305:F305">OFFSET(E305,-1,1)</f>
        <v>4</v>
      </c>
      <c r="G305" s="152" t="s">
        <v>332</v>
      </c>
      <c r="H305" s="885"/>
      <c r="I305" s="885"/>
      <c r="J305" s="885"/>
      <c r="K305" s="911" t="str">
        <f>F305&amp;"1komm"</f>
        <v>41komm</v>
      </c>
      <c r="L305" s="915" cm="1" t="str">
        <f t="array" ref="L305:L305">BC305</f>
        <v>0</v>
      </c>
      <c r="M305" s="885"/>
      <c r="N305" s="885"/>
      <c r="O305" s="885"/>
      <c r="P305" s="885"/>
      <c r="Q305" s="885"/>
      <c r="R305" s="885"/>
      <c r="S305" s="885"/>
      <c r="T305" s="465" cm="1" t="str">
        <f t="array" ref="T305:T305">T304</f>
        <v>true</v>
      </c>
      <c r="U305" s="885"/>
      <c r="V305" s="885"/>
      <c r="W305" s="885"/>
      <c r="X305" s="1524"/>
      <c r="Y305" s="885"/>
      <c r="Z305" s="1615"/>
      <c r="AA305" s="885"/>
      <c r="AB305" s="211">
        <v>1</v>
      </c>
      <c r="AC305" s="212" t="s">
        <v>1780</v>
      </c>
      <c r="AD305" s="211" t="s">
        <v>1514</v>
      </c>
      <c r="AE305" s="213">
        <f>SUMIF(AD308:AD311,AD305,AE308:AE311)</f>
        <v>0</v>
      </c>
      <c r="AF305" s="213">
        <f>SUMIF(AD308:AD311,AD305,AF308:AF311)</f>
        <v>0</v>
      </c>
      <c r="AG305" s="213">
        <f>SUMIF(AD308:AD311,AD305,AG308:AG311)</f>
        <v>0</v>
      </c>
      <c r="AH305" s="213">
        <f>SUMIF(AD308:AD311,AD305,AH308:AH311)</f>
        <v>0</v>
      </c>
      <c r="AI305" s="213">
        <f>SUMIF(AD308:AD311,AD305,AI308:AI311)</f>
        <v>0</v>
      </c>
      <c r="AJ305" s="1460">
        <f>SUMIF(AD308:AD311,AD305,AJ308:AJ311)</f>
        <v>0</v>
      </c>
      <c r="AK305" s="1460">
        <f>SUMIF(AD308:AD311,AD305,AK308:AK311)</f>
        <v>0</v>
      </c>
      <c r="AL305" s="1460">
        <f>SUMIF(AD308:AD311,AD305,AL308:AL311)</f>
        <v>0</v>
      </c>
      <c r="AM305" s="1460">
        <f>SUMIF(AD308:AD311,AD305,AM308:AM311)</f>
        <v>0</v>
      </c>
      <c r="AN305" s="3626">
        <f>SUMIF(AD308:AD311,AD305,AN308:AN311)</f>
        <v>0</v>
      </c>
      <c r="AO305" s="3626">
        <f>SUMIF(AD308:AD311,AD305,AO308:AO311)</f>
        <v>0</v>
      </c>
      <c r="AP305" s="3626">
        <f>SUMIF(AD308:AD311,AD305,AP308:AP311)</f>
        <v>0</v>
      </c>
      <c r="AQ305" s="3626">
        <f>SUMIF(AD308:AD311,AD305,AQ308:AQ311)</f>
        <v>0</v>
      </c>
      <c r="AR305" s="3626">
        <f>SUMIF(AD308:AD311,AD305,AR308:AR311)</f>
        <v>0</v>
      </c>
      <c r="AS305" s="213">
        <f>SUMIF(AD308:AD311,AD305,AS308:AS311)</f>
        <v>0</v>
      </c>
      <c r="AT305" s="1460">
        <f>SUMIF(AD308:AD311,AD305,AT308:AT311)</f>
        <v>0</v>
      </c>
      <c r="AU305" s="1460">
        <f>SUMIF(AD308:AD311,AD305,AU308:AU311)</f>
        <v>0</v>
      </c>
      <c r="AV305" s="1460">
        <f>SUMIF(AD308:AD311,AD305,AV308:AV311)</f>
        <v>0</v>
      </c>
      <c r="AW305" s="1460">
        <f>SUMIF(AD308:AD311,AD305,AW308:AW311)</f>
        <v>0</v>
      </c>
      <c r="AX305" s="3626">
        <f>SUMIF(AD308:AD311,AD305,AX308:AX311)</f>
        <v>0</v>
      </c>
      <c r="AY305" s="3626">
        <f>SUMIF(AD308:AD311,AD305,AY308:AY311)</f>
        <v>0</v>
      </c>
      <c r="AZ305" s="3626">
        <f>SUMIF(AD308:AD311,AD305,AZ308:AZ311)</f>
        <v>0</v>
      </c>
      <c r="BA305" s="3626">
        <f>SUMIF(AD308:AD311,AD305,BA308:BA311)</f>
        <v>0</v>
      </c>
      <c r="BB305" s="3626">
        <f>SUMIF(AD308:AD311,AD305,BB308:BB311)</f>
        <v>0</v>
      </c>
      <c r="BC305" s="200"/>
      <c r="BD305" s="885"/>
      <c r="BE305" s="885"/>
      <c r="BF305" s="1041" t="s">
        <v>1781</v>
      </c>
      <c r="BG305" s="1041"/>
      <c r="BH305" s="1041"/>
      <c r="BI305" s="678"/>
      <c r="BJ305" s="678"/>
    </row>
    <row s="1834" customFormat="1" customHeight="1" ht="15" hidden="1">
      <c r="A306" s="885"/>
      <c r="B306" s="440"/>
      <c r="C306" s="885"/>
      <c r="D306" s="885"/>
      <c r="E306" s="678">
        <v>0</v>
      </c>
      <c r="F306" s="50" cm="1" t="str">
        <f t="array" ref="F306:F306">OFFSET(E306,-1,1)</f>
        <v>4</v>
      </c>
      <c r="G306" s="885"/>
      <c r="H306" s="885"/>
      <c r="I306" s="885"/>
      <c r="J306" s="885"/>
      <c r="K306" s="911"/>
      <c r="L306" s="915"/>
      <c r="M306" s="885"/>
      <c r="N306" s="885"/>
      <c r="O306" s="885"/>
      <c r="P306" s="885"/>
      <c r="Q306" s="885"/>
      <c r="R306" s="885"/>
      <c r="S306" s="885"/>
      <c r="T306" s="465" t="b">
        <v>0</v>
      </c>
      <c r="U306" s="885"/>
      <c r="V306" s="885"/>
      <c r="W306" s="152" t="s">
        <v>174</v>
      </c>
      <c r="X306" s="1524"/>
      <c r="Y306" s="1524">
        <v>0</v>
      </c>
      <c r="Z306" s="1615"/>
      <c r="AA306" s="1616" t="s">
        <v>175</v>
      </c>
      <c r="AB306" s="211"/>
      <c r="AC306" s="212"/>
      <c r="AD306" s="211"/>
      <c r="AE306" s="216">
        <f>OR(AND(AE308&lt;&gt;"",AE309=""),AND(AE308="",AE309&lt;&gt;""))</f>
        <v>0</v>
      </c>
      <c r="AF306" s="216">
        <f>OR(AND(AF308&lt;&gt;"",AF309=""),AND(AF308="",AF309&lt;&gt;""))</f>
        <v>0</v>
      </c>
      <c r="AG306" s="216">
        <f>OR(AND(AG308&lt;&gt;"",AG309=""),AND(AG308="",AG309&lt;&gt;""))</f>
        <v>0</v>
      </c>
      <c r="AH306" s="216">
        <f>OR(AND(AH308&lt;&gt;"",AH309=""),AND(AH308="",AH309&lt;&gt;""))</f>
        <v>0</v>
      </c>
      <c r="AI306" s="216">
        <f>OR(AND(AI308&lt;&gt;"",AI309=""),AND(AI308="",AI309&lt;&gt;""))</f>
        <v>0</v>
      </c>
      <c r="AJ306" s="216">
        <f>OR(AND(AJ308&lt;&gt;"",AJ309=""),AND(AJ308="",AJ309&lt;&gt;""))</f>
        <v>0</v>
      </c>
      <c r="AK306" s="216">
        <f>OR(AND(AK308&lt;&gt;"",AK309=""),AND(AK308="",AK309&lt;&gt;""))</f>
        <v>0</v>
      </c>
      <c r="AL306" s="216">
        <f>OR(AND(AL308&lt;&gt;"",AL309=""),AND(AL308="",AL309&lt;&gt;""))</f>
        <v>0</v>
      </c>
      <c r="AM306" s="216">
        <f>OR(AND(AM308&lt;&gt;"",AM309=""),AND(AM308="",AM309&lt;&gt;""))</f>
        <v>0</v>
      </c>
      <c r="AN306" s="216">
        <f>OR(AND(AN308&lt;&gt;"",AN309=""),AND(AN308="",AN309&lt;&gt;""))</f>
        <v>0</v>
      </c>
      <c r="AO306" s="216">
        <f>OR(AND(AO308&lt;&gt;"",AO309=""),AND(AO308="",AO309&lt;&gt;""))</f>
        <v>0</v>
      </c>
      <c r="AP306" s="216">
        <f>OR(AND(AP308&lt;&gt;"",AP309=""),AND(AP308="",AP309&lt;&gt;""))</f>
        <v>0</v>
      </c>
      <c r="AQ306" s="216">
        <f>OR(AND(AQ308&lt;&gt;"",AQ309=""),AND(AQ308="",AQ309&lt;&gt;""))</f>
        <v>0</v>
      </c>
      <c r="AR306" s="216">
        <f>OR(AND(AR308&lt;&gt;"",AR309=""),AND(AR308="",AR309&lt;&gt;""))</f>
        <v>0</v>
      </c>
      <c r="AS306" s="216">
        <f>OR(AND(AS308&lt;&gt;"",AS309=""),AND(AS308="",AS309&lt;&gt;""))</f>
        <v>0</v>
      </c>
      <c r="AT306" s="216">
        <f>OR(AND(AT308&lt;&gt;"",AT309=""),AND(AT308="",AT309&lt;&gt;""))</f>
        <v>0</v>
      </c>
      <c r="AU306" s="216">
        <f>OR(AND(AU308&lt;&gt;"",AU309=""),AND(AU308="",AU309&lt;&gt;""))</f>
        <v>0</v>
      </c>
      <c r="AV306" s="216">
        <f>OR(AND(AV308&lt;&gt;"",AV309=""),AND(AV308="",AV309&lt;&gt;""))</f>
        <v>0</v>
      </c>
      <c r="AW306" s="216">
        <f>OR(AND(AW308&lt;&gt;"",AW309=""),AND(AW308="",AW309&lt;&gt;""))</f>
        <v>0</v>
      </c>
      <c r="AX306" s="216">
        <f>OR(AND(AX308&lt;&gt;"",AX309=""),AND(AX308="",AX309&lt;&gt;""))</f>
        <v>0</v>
      </c>
      <c r="AY306" s="216">
        <f>OR(AND(AY308&lt;&gt;"",AY309=""),AND(AY308="",AY309&lt;&gt;""))</f>
        <v>0</v>
      </c>
      <c r="AZ306" s="216">
        <f>OR(AND(AZ308&lt;&gt;"",AZ309=""),AND(AZ308="",AZ309&lt;&gt;""))</f>
        <v>0</v>
      </c>
      <c r="BA306" s="216">
        <f>OR(AND(BA308&lt;&gt;"",BA309=""),AND(BA308="",BA309&lt;&gt;""))</f>
        <v>0</v>
      </c>
      <c r="BB306" s="216">
        <f>OR(AND(BB308&lt;&gt;"",BB309=""),AND(BB308="",BB309&lt;&gt;""))</f>
        <v>0</v>
      </c>
      <c r="BC306" s="974"/>
      <c r="BD306" s="885"/>
      <c r="BE306" s="885"/>
      <c r="BF306" s="1041"/>
      <c r="BG306" s="1041"/>
      <c r="BH306" s="1041"/>
      <c r="BI306" s="678"/>
      <c r="BJ306" s="678"/>
    </row>
    <row s="1834" customFormat="1" customHeight="1" ht="14.25" hidden="1">
      <c r="A307" s="885"/>
      <c r="B307" s="440"/>
      <c r="C307" s="885"/>
      <c r="D307" s="885"/>
      <c r="E307" s="678">
        <v>15</v>
      </c>
      <c r="F307" s="1387" cm="1" t="str">
        <f t="array" ref="F307:F307">OFFSET(E307,-1,1)</f>
        <v>4</v>
      </c>
      <c r="G307" s="885"/>
      <c r="H307" s="885"/>
      <c r="I307" s="885"/>
      <c r="J307" s="885"/>
      <c r="K307" s="911"/>
      <c r="L307" s="915"/>
      <c r="M307" s="885"/>
      <c r="N307" s="885"/>
      <c r="O307" s="885"/>
      <c r="P307" s="885"/>
      <c r="Q307" s="885"/>
      <c r="R307" s="885"/>
      <c r="S307" s="885"/>
      <c r="T307" s="1356">
        <f>AND(Y306&gt;0,F307&gt;0)</f>
        <v>0</v>
      </c>
      <c r="U307" s="885"/>
      <c r="V307" s="885"/>
      <c r="W307" s="885"/>
      <c r="X307" s="684"/>
      <c r="Y307" s="1524"/>
      <c r="Z307" s="885"/>
      <c r="AA307" s="1697"/>
      <c r="AB307" s="1698" t="str">
        <f>"1."&amp;Y306</f>
        <v>1.0</v>
      </c>
      <c r="AC307" s="1699" t="s">
        <v>227</v>
      </c>
      <c r="AD307" s="1700"/>
      <c r="AE307" s="3635"/>
      <c r="AF307" s="1702"/>
      <c r="AG307" s="3635"/>
      <c r="AH307" s="3635"/>
      <c r="AI307" s="3635"/>
      <c r="AJ307" s="3635"/>
      <c r="AK307" s="3635"/>
      <c r="AL307" s="3635"/>
      <c r="AM307" s="3635"/>
      <c r="AN307" s="3635"/>
      <c r="AO307" s="3635"/>
      <c r="AP307" s="3635"/>
      <c r="AQ307" s="3635"/>
      <c r="AR307" s="3635"/>
      <c r="AS307" s="1702"/>
      <c r="AT307" s="1702"/>
      <c r="AU307" s="1702"/>
      <c r="AV307" s="1702"/>
      <c r="AW307" s="1702"/>
      <c r="AX307" s="1702"/>
      <c r="AY307" s="1702"/>
      <c r="AZ307" s="1702"/>
      <c r="BA307" s="1702"/>
      <c r="BB307" s="1703"/>
      <c r="BC307" s="1704"/>
      <c r="BD307" s="885"/>
      <c r="BE307" s="885"/>
      <c r="BF307" s="1041"/>
      <c r="BG307" s="1041"/>
      <c r="BH307" s="1041"/>
      <c r="BI307" s="678"/>
      <c r="BJ307" s="678"/>
    </row>
    <row s="1834" customFormat="1" customHeight="1" ht="14.25" hidden="1">
      <c r="A308" s="885"/>
      <c r="B308" s="440"/>
      <c r="C308" s="885"/>
      <c r="D308" s="885"/>
      <c r="E308" s="678">
        <v>15</v>
      </c>
      <c r="F308" s="50" cm="1" t="str">
        <f t="array" ref="F308:F308">OFFSET(E308,-1,1)</f>
        <v>4</v>
      </c>
      <c r="G308" s="152" t="s">
        <v>332</v>
      </c>
      <c r="H308" s="155" cm="1" t="str">
        <f t="array" ref="H308:H308">AC308</f>
        <v>Затраты</v>
      </c>
      <c r="I308" s="152" t="s">
        <v>1782</v>
      </c>
      <c r="J308" s="885"/>
      <c r="K308" s="911"/>
      <c r="L308" s="885"/>
      <c r="M308" s="885"/>
      <c r="N308" s="885"/>
      <c r="O308" s="885"/>
      <c r="P308" s="885"/>
      <c r="Q308" s="885"/>
      <c r="R308" s="885"/>
      <c r="S308" s="885"/>
      <c r="T308" s="465" cm="1" t="str">
        <f t="array" ref="T308:T308">T307</f>
        <v>false</v>
      </c>
      <c r="U308" s="885"/>
      <c r="V308" s="885"/>
      <c r="W308" s="885"/>
      <c r="X308" s="1524"/>
      <c r="Y308" s="1524"/>
      <c r="Z308" s="1615"/>
      <c r="AA308" s="1616"/>
      <c r="AB308" s="88" t="str">
        <f>AB307&amp;".1"</f>
        <v>1.0.1</v>
      </c>
      <c r="AC308" s="1705" t="s">
        <v>1783</v>
      </c>
      <c r="AD308" s="211" t="s">
        <v>1514</v>
      </c>
      <c r="AE308" s="3640"/>
      <c r="AF308" s="3640"/>
      <c r="AG308" s="3640"/>
      <c r="AH308" s="3640"/>
      <c r="AI308" s="3640"/>
      <c r="AJ308" s="3640"/>
      <c r="AK308" s="3640"/>
      <c r="AL308" s="3640"/>
      <c r="AM308" s="3640"/>
      <c r="AN308" s="3640"/>
      <c r="AO308" s="3640"/>
      <c r="AP308" s="3640"/>
      <c r="AQ308" s="3640"/>
      <c r="AR308" s="3640"/>
      <c r="AS308" s="3640"/>
      <c r="AT308" s="3640"/>
      <c r="AU308" s="3640"/>
      <c r="AV308" s="3640"/>
      <c r="AW308" s="3640"/>
      <c r="AX308" s="3640"/>
      <c r="AY308" s="3640"/>
      <c r="AZ308" s="3640"/>
      <c r="BA308" s="3640"/>
      <c r="BB308" s="3640"/>
      <c r="BC308" s="2070"/>
      <c r="BD308" s="885"/>
      <c r="BE308" s="885"/>
      <c r="BF308" s="1041" t="s">
        <v>1784</v>
      </c>
      <c r="BG308" s="1041" t="s">
        <v>1785</v>
      </c>
      <c r="BH308" s="1041" cm="1" t="str">
        <f t="array" ref="BH308:BH308">AC307</f>
        <v/>
      </c>
      <c r="BI308" s="678"/>
      <c r="BJ308" s="678" t="b">
        <v>1</v>
      </c>
    </row>
    <row s="1834" customFormat="1" customHeight="1" ht="14.25" hidden="1">
      <c r="A309" s="885"/>
      <c r="B309" s="440"/>
      <c r="C309" s="885"/>
      <c r="D309" s="885"/>
      <c r="E309" s="678">
        <v>15</v>
      </c>
      <c r="F309" s="50" cm="1" t="str">
        <f t="array" ref="F309:F309">OFFSET(E309,-1,1)</f>
        <v>4</v>
      </c>
      <c r="G309" s="152" t="s">
        <v>1175</v>
      </c>
      <c r="H309" s="155" cm="1" t="str">
        <f t="array" ref="H309:H309">H308</f>
        <v>Затраты</v>
      </c>
      <c r="I309" s="152" t="s">
        <v>1782</v>
      </c>
      <c r="J309" s="885"/>
      <c r="K309" s="911"/>
      <c r="L309" s="885"/>
      <c r="M309" s="885"/>
      <c r="N309" s="885"/>
      <c r="O309" s="885"/>
      <c r="P309" s="885"/>
      <c r="Q309" s="885"/>
      <c r="R309" s="885"/>
      <c r="S309" s="885"/>
      <c r="T309" s="465" cm="1" t="str">
        <f t="array" ref="T309:T309">T308</f>
        <v>false</v>
      </c>
      <c r="U309" s="885"/>
      <c r="V309" s="885"/>
      <c r="W309" s="885"/>
      <c r="X309" s="1524"/>
      <c r="Y309" s="1524"/>
      <c r="Z309" s="1615"/>
      <c r="AA309" s="1616"/>
      <c r="AB309" s="88" t="str">
        <f>AB308&amp;".1"</f>
        <v>1.0.1.1</v>
      </c>
      <c r="AC309" s="221" t="s">
        <v>1786</v>
      </c>
      <c r="AD309" s="88" t="s">
        <v>1247</v>
      </c>
      <c r="AE309" s="3536"/>
      <c r="AF309" s="3536"/>
      <c r="AG309" s="3536"/>
      <c r="AH309" s="3536"/>
      <c r="AI309" s="3536"/>
      <c r="AJ309" s="3536"/>
      <c r="AK309" s="3536"/>
      <c r="AL309" s="3536"/>
      <c r="AM309" s="3536"/>
      <c r="AN309" s="3536"/>
      <c r="AO309" s="3536"/>
      <c r="AP309" s="3536"/>
      <c r="AQ309" s="3536"/>
      <c r="AR309" s="3536"/>
      <c r="AS309" s="3536"/>
      <c r="AT309" s="3536"/>
      <c r="AU309" s="3536"/>
      <c r="AV309" s="3536"/>
      <c r="AW309" s="3536"/>
      <c r="AX309" s="3536"/>
      <c r="AY309" s="3536"/>
      <c r="AZ309" s="3536"/>
      <c r="BA309" s="3536"/>
      <c r="BB309" s="3536"/>
      <c r="BC309" s="2070"/>
      <c r="BD309" s="885"/>
      <c r="BE309" s="885"/>
      <c r="BF309" s="1041" t="s">
        <v>1787</v>
      </c>
      <c r="BG309" s="1041" t="s">
        <v>1785</v>
      </c>
      <c r="BH309" s="1041" cm="1" t="str">
        <f t="array" ref="BH309:BH309">BH308</f>
        <v/>
      </c>
      <c r="BI309" s="678"/>
      <c r="BJ309" s="678"/>
    </row>
    <row s="1834" customFormat="1" customHeight="1" ht="14.25" hidden="1">
      <c r="A310" s="885"/>
      <c r="B310" s="440"/>
      <c r="C310" s="885"/>
      <c r="D310" s="885"/>
      <c r="E310" s="678">
        <v>15</v>
      </c>
      <c r="F310" s="1387" cm="1" t="str">
        <f t="array" ref="F310:F310">OFFSET(E310,-1,1)</f>
        <v>4</v>
      </c>
      <c r="G310" s="885"/>
      <c r="H310" s="155"/>
      <c r="I310" s="885"/>
      <c r="J310" s="885"/>
      <c r="K310" s="911"/>
      <c r="L310" s="885"/>
      <c r="M310" s="885"/>
      <c r="N310" s="885"/>
      <c r="O310" s="885"/>
      <c r="P310" s="885"/>
      <c r="Q310" s="885"/>
      <c r="R310" s="885"/>
      <c r="S310" s="885"/>
      <c r="T310" s="1356" cm="1" t="str">
        <f t="array" ref="T310:T310">T309</f>
        <v>false</v>
      </c>
      <c r="U310" s="885"/>
      <c r="V310" s="885"/>
      <c r="W310" s="885"/>
      <c r="X310" s="684"/>
      <c r="Y310" s="1524"/>
      <c r="Z310" s="885"/>
      <c r="AA310" s="1697"/>
      <c r="AB310" s="1706" t="str">
        <f>AB308&amp;".2"</f>
        <v>1.0.1.2</v>
      </c>
      <c r="AC310" s="1707" t="s">
        <v>1788</v>
      </c>
      <c r="AD310" s="1706" t="s">
        <v>1789</v>
      </c>
      <c r="AE310" s="3644"/>
      <c r="AF310" s="3644"/>
      <c r="AG310" s="3644"/>
      <c r="AH310" s="3644"/>
      <c r="AI310" s="3644"/>
      <c r="AJ310" s="3644"/>
      <c r="AK310" s="3644"/>
      <c r="AL310" s="3644"/>
      <c r="AM310" s="3644"/>
      <c r="AN310" s="3644"/>
      <c r="AO310" s="3644"/>
      <c r="AP310" s="3644"/>
      <c r="AQ310" s="3644"/>
      <c r="AR310" s="3644"/>
      <c r="AS310" s="3644"/>
      <c r="AT310" s="3644"/>
      <c r="AU310" s="3644"/>
      <c r="AV310" s="3644"/>
      <c r="AW310" s="3644"/>
      <c r="AX310" s="3644"/>
      <c r="AY310" s="3644"/>
      <c r="AZ310" s="3644"/>
      <c r="BA310" s="3644"/>
      <c r="BB310" s="3644"/>
      <c r="BC310" s="3645"/>
      <c r="BD310" s="885"/>
      <c r="BE310" s="885"/>
      <c r="BF310" s="1041" t="s">
        <v>1790</v>
      </c>
      <c r="BG310" s="1041" t="s">
        <v>1785</v>
      </c>
      <c r="BH310" s="1710" cm="1" t="str">
        <f t="array" ref="BH310:BH310">BH309</f>
        <v/>
      </c>
      <c r="BI310" s="678"/>
      <c r="BJ310" s="678"/>
    </row>
    <row s="1834" customFormat="1" customHeight="1" ht="0">
      <c r="A311" s="885"/>
      <c r="B311" s="440"/>
      <c r="C311" s="885"/>
      <c r="D311" s="885"/>
      <c r="E311" s="678">
        <v>15</v>
      </c>
      <c r="F311" s="50" cm="1" t="str">
        <f t="array" ref="F311:F311">OFFSET(E311,-1,1)</f>
        <v>4</v>
      </c>
      <c r="G311" s="885"/>
      <c r="H311" s="152" t="str">
        <f>"!=='не определено' &amp;&amp; row.l1 !== null"</f>
        <v>!=='не определено' &amp;&amp; row.l1 !== null</v>
      </c>
      <c r="I311" s="885"/>
      <c r="J311" s="885"/>
      <c r="K311" s="911"/>
      <c r="L311" s="885"/>
      <c r="M311" s="885"/>
      <c r="N311" s="885"/>
      <c r="O311" s="885"/>
      <c r="P311" s="885"/>
      <c r="Q311" s="885"/>
      <c r="R311" s="885"/>
      <c r="S311" s="885"/>
      <c r="T311" s="465">
        <f>F311&gt;0</f>
        <v>1</v>
      </c>
      <c r="U311" s="885"/>
      <c r="V311" s="885"/>
      <c r="W311" s="685" t="s">
        <v>1791</v>
      </c>
      <c r="X311" s="1524"/>
      <c r="Y311" s="885"/>
      <c r="Z311" s="1615"/>
      <c r="AA311" s="885"/>
      <c r="AB311" s="681"/>
      <c r="AC311" s="232" t="s">
        <v>1792</v>
      </c>
      <c r="AD311" s="232"/>
      <c r="AE311" s="232"/>
      <c r="AF311" s="232"/>
      <c r="AG311" s="232"/>
      <c r="AH311" s="232"/>
      <c r="AI311" s="232"/>
      <c r="AJ311" s="232"/>
      <c r="AK311" s="232"/>
      <c r="AL311" s="232"/>
      <c r="AM311" s="232"/>
      <c r="AN311" s="232"/>
      <c r="AO311" s="232"/>
      <c r="AP311" s="232"/>
      <c r="AQ311" s="232"/>
      <c r="AR311" s="232"/>
      <c r="AS311" s="232"/>
      <c r="AT311" s="232"/>
      <c r="AU311" s="232"/>
      <c r="AV311" s="232"/>
      <c r="AW311" s="232"/>
      <c r="AX311" s="232"/>
      <c r="AY311" s="232"/>
      <c r="AZ311" s="232"/>
      <c r="BA311" s="232"/>
      <c r="BB311" s="232"/>
      <c r="BC311" s="233"/>
      <c r="BD311" s="885"/>
      <c r="BE311" s="885"/>
      <c r="BF311" s="1041"/>
      <c r="BG311" s="1041"/>
      <c r="BH311" s="1041"/>
      <c r="BI311" s="678" t="s">
        <v>1785</v>
      </c>
      <c r="BJ311" s="678"/>
    </row>
    <row s="1834" customFormat="1" customHeight="1" ht="0">
      <c r="A312" s="885"/>
      <c r="B312" s="440"/>
      <c r="C312" s="885"/>
      <c r="D312" s="885"/>
      <c r="E312" s="678">
        <v>22.5</v>
      </c>
      <c r="F312" s="50" cm="1" t="str">
        <f t="array" ref="F312:F312">OFFSET(E312,-1,1)</f>
        <v>4</v>
      </c>
      <c r="G312" s="885"/>
      <c r="H312" s="885"/>
      <c r="I312" s="885"/>
      <c r="J312" s="885"/>
      <c r="K312" s="911" t="str">
        <f>F305&amp;"2komm"</f>
        <v>42komm</v>
      </c>
      <c r="L312" s="915" cm="1" t="str">
        <f t="array" ref="L312:L312">BC312</f>
        <v>0</v>
      </c>
      <c r="M312" s="885"/>
      <c r="N312" s="885"/>
      <c r="O312" s="885"/>
      <c r="P312" s="885"/>
      <c r="Q312" s="885"/>
      <c r="R312" s="885"/>
      <c r="S312" s="885"/>
      <c r="T312" s="465" cm="1" t="str">
        <f t="array" ref="T312:T312">T311</f>
        <v>true</v>
      </c>
      <c r="U312" s="885"/>
      <c r="V312" s="885"/>
      <c r="W312" s="885"/>
      <c r="X312" s="1524"/>
      <c r="Y312" s="684"/>
      <c r="Z312" s="1615"/>
      <c r="AA312" s="885"/>
      <c r="AB312" s="211">
        <v>2</v>
      </c>
      <c r="AC312" s="212" t="s">
        <v>1793</v>
      </c>
      <c r="AD312" s="211" t="s">
        <v>1514</v>
      </c>
      <c r="AE312" s="213">
        <f>SUMIF(AD315:AD318,AD312,AE315:AE318)</f>
        <v>0</v>
      </c>
      <c r="AF312" s="213">
        <f>SUMIF(AD315:AD318,AD312,AF315:AF318)</f>
        <v>0</v>
      </c>
      <c r="AG312" s="213">
        <f>SUMIF(AD315:AD318,AD312,AG315:AG318)</f>
        <v>0</v>
      </c>
      <c r="AH312" s="213">
        <f>SUMIF(AD315:AD318,AD312,AH315:AH318)</f>
        <v>0</v>
      </c>
      <c r="AI312" s="213">
        <f>SUMIF(AD315:AD318,AD312,AI315:AI318)</f>
        <v>0</v>
      </c>
      <c r="AJ312" s="1460">
        <f>SUMIF(AD315:AD318,AD312,AJ315:AJ318)</f>
        <v>0</v>
      </c>
      <c r="AK312" s="1460">
        <f>SUMIF(AD315:AD318,AD312,AK315:AK318)</f>
        <v>0</v>
      </c>
      <c r="AL312" s="1460">
        <f>SUMIF(AD315:AD318,AD312,AL315:AL318)</f>
        <v>0</v>
      </c>
      <c r="AM312" s="1460">
        <f>SUMIF(AD315:AD318,AD312,AM315:AM318)</f>
        <v>0</v>
      </c>
      <c r="AN312" s="3626">
        <f>SUMIF(AD315:AD318,AD312,AN315:AN318)</f>
        <v>0</v>
      </c>
      <c r="AO312" s="3626">
        <f>SUMIF(AD315:AD318,AD312,AO315:AO318)</f>
        <v>0</v>
      </c>
      <c r="AP312" s="3626">
        <f>SUMIF(AD315:AD318,AD312,AP315:AP318)</f>
        <v>0</v>
      </c>
      <c r="AQ312" s="3626">
        <f>SUMIF(AD315:AD318,AD312,AQ315:AQ318)</f>
        <v>0</v>
      </c>
      <c r="AR312" s="3626">
        <f>SUMIF(AD315:AD318,AD312,AR315:AR318)</f>
        <v>0</v>
      </c>
      <c r="AS312" s="213">
        <f>SUMIF(AD315:AD318,AD312,AS315:AS318)</f>
        <v>0</v>
      </c>
      <c r="AT312" s="1460">
        <f>SUMIF(AD315:AD318,AD312,AT315:AT318)</f>
        <v>0</v>
      </c>
      <c r="AU312" s="1460">
        <f>SUMIF(AD315:AD318,AD312,AU315:AU318)</f>
        <v>0</v>
      </c>
      <c r="AV312" s="1460">
        <f>SUMIF(AD315:AD318,AD312,AV315:AV318)</f>
        <v>0</v>
      </c>
      <c r="AW312" s="1460">
        <f>SUMIF(AD315:AD318,AD312,AW315:AW318)</f>
        <v>0</v>
      </c>
      <c r="AX312" s="3626">
        <f>SUMIF(AD315:AD318,AD312,AX315:AX318)</f>
        <v>0</v>
      </c>
      <c r="AY312" s="3626">
        <f>SUMIF(AD315:AD318,AD312,AY315:AY318)</f>
        <v>0</v>
      </c>
      <c r="AZ312" s="3626">
        <f>SUMIF(AD315:AD318,AD312,AZ315:AZ318)</f>
        <v>0</v>
      </c>
      <c r="BA312" s="3626">
        <f>SUMIF(AD315:AD318,AD312,BA315:BA318)</f>
        <v>0</v>
      </c>
      <c r="BB312" s="3626">
        <f>SUMIF(AD315:AD318,AD312,BB315:BB318)</f>
        <v>0</v>
      </c>
      <c r="BC312" s="200"/>
      <c r="BD312" s="885"/>
      <c r="BE312" s="885"/>
      <c r="BF312" s="1041" t="s">
        <v>1794</v>
      </c>
      <c r="BG312" s="1041"/>
      <c r="BH312" s="1041"/>
      <c r="BI312" s="678"/>
      <c r="BJ312" s="678"/>
    </row>
    <row s="1834" customFormat="1" customHeight="1" ht="0" hidden="1">
      <c r="A313" s="885"/>
      <c r="B313" s="440"/>
      <c r="C313" s="885"/>
      <c r="D313" s="885"/>
      <c r="E313" s="678">
        <v>0</v>
      </c>
      <c r="F313" s="50" cm="1" t="str">
        <f t="array" ref="F313:F313">OFFSET(E313,-1,1)</f>
        <v>4</v>
      </c>
      <c r="G313" s="152" t="s">
        <v>333</v>
      </c>
      <c r="H313" s="885"/>
      <c r="I313" s="885"/>
      <c r="J313" s="885"/>
      <c r="K313" s="911"/>
      <c r="L313" s="915"/>
      <c r="M313" s="885"/>
      <c r="N313" s="885"/>
      <c r="O313" s="885"/>
      <c r="P313" s="885"/>
      <c r="Q313" s="885"/>
      <c r="R313" s="885"/>
      <c r="S313" s="885"/>
      <c r="T313" s="465" t="b">
        <v>0</v>
      </c>
      <c r="U313" s="885"/>
      <c r="V313" s="885"/>
      <c r="W313" s="152" t="s">
        <v>174</v>
      </c>
      <c r="X313" s="1524"/>
      <c r="Y313" s="1524">
        <v>0</v>
      </c>
      <c r="Z313" s="1615"/>
      <c r="AA313" s="1617" t="s">
        <v>175</v>
      </c>
      <c r="AB313" s="211"/>
      <c r="AC313" s="212"/>
      <c r="AD313" s="211"/>
      <c r="AE313" s="1368">
        <f>OR(AND(AE315&lt;&gt;"",AE316=""),AND(AE315="",AE316&lt;&gt;""))</f>
        <v>0</v>
      </c>
      <c r="AF313" s="1368">
        <f>OR(AND(AF315&lt;&gt;"",AF316=""),AND(AF315="",AF316&lt;&gt;""))</f>
        <v>0</v>
      </c>
      <c r="AG313" s="1368">
        <f>OR(AND(AG315&lt;&gt;"",AG316=""),AND(AG315="",AG316&lt;&gt;""))</f>
        <v>0</v>
      </c>
      <c r="AH313" s="1368">
        <f>OR(AND(AH315&lt;&gt;"",AH316=""),AND(AH315="",AH316&lt;&gt;""))</f>
        <v>0</v>
      </c>
      <c r="AI313" s="1368">
        <f>OR(AND(AI315&lt;&gt;"",AI316=""),AND(AI315="",AI316&lt;&gt;""))</f>
        <v>0</v>
      </c>
      <c r="AJ313" s="1368">
        <f>OR(AND(AJ315&lt;&gt;"",AJ316=""),AND(AJ315="",AJ316&lt;&gt;""))</f>
        <v>0</v>
      </c>
      <c r="AK313" s="1368">
        <f>OR(AND(AK315&lt;&gt;"",AK316=""),AND(AK315="",AK316&lt;&gt;""))</f>
        <v>0</v>
      </c>
      <c r="AL313" s="1368">
        <f>OR(AND(AL315&lt;&gt;"",AL316=""),AND(AL315="",AL316&lt;&gt;""))</f>
        <v>0</v>
      </c>
      <c r="AM313" s="1368">
        <f>OR(AND(AM315&lt;&gt;"",AM316=""),AND(AM315="",AM316&lt;&gt;""))</f>
        <v>0</v>
      </c>
      <c r="AN313" s="1368">
        <f>OR(AND(AN315&lt;&gt;"",AN316=""),AND(AN315="",AN316&lt;&gt;""))</f>
        <v>0</v>
      </c>
      <c r="AO313" s="1368">
        <f>OR(AND(AO315&lt;&gt;"",AO316=""),AND(AO315="",AO316&lt;&gt;""))</f>
        <v>0</v>
      </c>
      <c r="AP313" s="1368">
        <f>OR(AND(AP315&lt;&gt;"",AP316=""),AND(AP315="",AP316&lt;&gt;""))</f>
        <v>0</v>
      </c>
      <c r="AQ313" s="1368">
        <f>OR(AND(AQ315&lt;&gt;"",AQ316=""),AND(AQ315="",AQ316&lt;&gt;""))</f>
        <v>0</v>
      </c>
      <c r="AR313" s="1368">
        <f>OR(AND(AR315&lt;&gt;"",AR316=""),AND(AR315="",AR316&lt;&gt;""))</f>
        <v>0</v>
      </c>
      <c r="AS313" s="1368">
        <f>OR(AND(AS315&lt;&gt;"",AS316=""),AND(AS315="",AS316&lt;&gt;""))</f>
        <v>0</v>
      </c>
      <c r="AT313" s="1368">
        <f>OR(AND(AT315&lt;&gt;"",AT316=""),AND(AT315="",AT316&lt;&gt;""))</f>
        <v>0</v>
      </c>
      <c r="AU313" s="1368">
        <f>OR(AND(AU315&lt;&gt;"",AU316=""),AND(AU315="",AU316&lt;&gt;""))</f>
        <v>0</v>
      </c>
      <c r="AV313" s="1368">
        <f>OR(AND(AV315&lt;&gt;"",AV316=""),AND(AV315="",AV316&lt;&gt;""))</f>
        <v>0</v>
      </c>
      <c r="AW313" s="1368">
        <f>OR(AND(AW315&lt;&gt;"",AW316=""),AND(AW315="",AW316&lt;&gt;""))</f>
        <v>0</v>
      </c>
      <c r="AX313" s="1368">
        <f>OR(AND(AX315&lt;&gt;"",AX316=""),AND(AX315="",AX316&lt;&gt;""))</f>
        <v>0</v>
      </c>
      <c r="AY313" s="1368">
        <f>OR(AND(AY315&lt;&gt;"",AY316=""),AND(AY315="",AY316&lt;&gt;""))</f>
        <v>0</v>
      </c>
      <c r="AZ313" s="1368">
        <f>OR(AND(AZ315&lt;&gt;"",AZ316=""),AND(AZ315="",AZ316&lt;&gt;""))</f>
        <v>0</v>
      </c>
      <c r="BA313" s="1368">
        <f>OR(AND(BA315&lt;&gt;"",BA316=""),AND(BA315="",BA316&lt;&gt;""))</f>
        <v>0</v>
      </c>
      <c r="BB313" s="1368">
        <f>OR(AND(BB315&lt;&gt;"",BB316=""),AND(BB315="",BB316&lt;&gt;""))</f>
        <v>0</v>
      </c>
      <c r="BC313" s="974"/>
      <c r="BD313" s="885"/>
      <c r="BE313" s="885"/>
      <c r="BF313" s="1041"/>
      <c r="BG313" s="1041"/>
      <c r="BH313" s="1041"/>
      <c r="BI313" s="678"/>
      <c r="BJ313" s="678"/>
    </row>
    <row s="1834" customFormat="1" customHeight="1" ht="0" hidden="1">
      <c r="A314" s="885"/>
      <c r="B314" s="440"/>
      <c r="C314" s="885"/>
      <c r="D314" s="885"/>
      <c r="E314" s="678">
        <v>15</v>
      </c>
      <c r="F314" s="1387" cm="1" t="str">
        <f t="array" ref="F314:F314">OFFSET(E314,-1,1)</f>
        <v>4</v>
      </c>
      <c r="G314" s="885"/>
      <c r="H314" s="885"/>
      <c r="I314" s="885"/>
      <c r="J314" s="885"/>
      <c r="K314" s="911"/>
      <c r="L314" s="915"/>
      <c r="M314" s="885"/>
      <c r="N314" s="885"/>
      <c r="O314" s="885"/>
      <c r="P314" s="885"/>
      <c r="Q314" s="885"/>
      <c r="R314" s="885"/>
      <c r="S314" s="885"/>
      <c r="T314" s="1356">
        <f>AND(Y313&gt;0,F314&gt;0)</f>
        <v>0</v>
      </c>
      <c r="U314" s="885"/>
      <c r="V314" s="885"/>
      <c r="W314" s="885"/>
      <c r="X314" s="684"/>
      <c r="Y314" s="1524"/>
      <c r="Z314" s="885"/>
      <c r="AA314" s="1697"/>
      <c r="AB314" s="1698" t="str">
        <f>"2."&amp;Y313</f>
        <v>2.0</v>
      </c>
      <c r="AC314" s="1699" t="s">
        <v>227</v>
      </c>
      <c r="AD314" s="1700"/>
      <c r="AE314" s="3635"/>
      <c r="AF314" s="1702"/>
      <c r="AG314" s="3635"/>
      <c r="AH314" s="3635"/>
      <c r="AI314" s="3635"/>
      <c r="AJ314" s="3635"/>
      <c r="AK314" s="3635"/>
      <c r="AL314" s="3635"/>
      <c r="AM314" s="3635"/>
      <c r="AN314" s="3635"/>
      <c r="AO314" s="3635"/>
      <c r="AP314" s="3635"/>
      <c r="AQ314" s="3635"/>
      <c r="AR314" s="3635"/>
      <c r="AS314" s="1702"/>
      <c r="AT314" s="1702"/>
      <c r="AU314" s="1702"/>
      <c r="AV314" s="1702"/>
      <c r="AW314" s="1702"/>
      <c r="AX314" s="1702"/>
      <c r="AY314" s="1702"/>
      <c r="AZ314" s="1702"/>
      <c r="BA314" s="1702"/>
      <c r="BB314" s="1703"/>
      <c r="BC314" s="1704"/>
      <c r="BD314" s="885"/>
      <c r="BE314" s="885"/>
      <c r="BF314" s="1041"/>
      <c r="BG314" s="1041"/>
      <c r="BH314" s="1041"/>
      <c r="BI314" s="678"/>
      <c r="BJ314" s="678"/>
    </row>
    <row s="1834" customFormat="1" customHeight="1" ht="0" hidden="1">
      <c r="A315" s="885"/>
      <c r="B315" s="440"/>
      <c r="C315" s="885"/>
      <c r="D315" s="885"/>
      <c r="E315" s="678">
        <v>15</v>
      </c>
      <c r="F315" s="50" cm="1" t="str">
        <f t="array" ref="F315:F315">OFFSET(E315,-1,1)</f>
        <v>4</v>
      </c>
      <c r="G315" s="152" t="s">
        <v>333</v>
      </c>
      <c r="H315" s="155" cm="1" t="str">
        <f t="array" ref="H315:H315">AC315</f>
        <v>Затраты</v>
      </c>
      <c r="I315" s="152" t="s">
        <v>1795</v>
      </c>
      <c r="J315" s="885"/>
      <c r="K315" s="911"/>
      <c r="L315" s="885"/>
      <c r="M315" s="885"/>
      <c r="N315" s="885"/>
      <c r="O315" s="885"/>
      <c r="P315" s="885"/>
      <c r="Q315" s="885"/>
      <c r="R315" s="885"/>
      <c r="S315" s="885"/>
      <c r="T315" s="465" cm="1" t="str">
        <f t="array" ref="T315:T315">T314</f>
        <v>false</v>
      </c>
      <c r="U315" s="885"/>
      <c r="V315" s="885"/>
      <c r="W315" s="885"/>
      <c r="X315" s="1524"/>
      <c r="Y315" s="1524"/>
      <c r="Z315" s="1615"/>
      <c r="AA315" s="1617"/>
      <c r="AB315" s="88" t="str">
        <f>AB314&amp;".1"</f>
        <v>2.0.1</v>
      </c>
      <c r="AC315" s="1705" t="s">
        <v>1783</v>
      </c>
      <c r="AD315" s="211" t="s">
        <v>1514</v>
      </c>
      <c r="AE315" s="3536"/>
      <c r="AF315" s="3536"/>
      <c r="AG315" s="3536"/>
      <c r="AH315" s="3536"/>
      <c r="AI315" s="3536"/>
      <c r="AJ315" s="3536"/>
      <c r="AK315" s="3536"/>
      <c r="AL315" s="3536"/>
      <c r="AM315" s="3536"/>
      <c r="AN315" s="3536"/>
      <c r="AO315" s="3536"/>
      <c r="AP315" s="3536"/>
      <c r="AQ315" s="3536"/>
      <c r="AR315" s="3536"/>
      <c r="AS315" s="3536"/>
      <c r="AT315" s="3536"/>
      <c r="AU315" s="3536"/>
      <c r="AV315" s="3536"/>
      <c r="AW315" s="3536"/>
      <c r="AX315" s="3536"/>
      <c r="AY315" s="3536"/>
      <c r="AZ315" s="3536"/>
      <c r="BA315" s="3536"/>
      <c r="BB315" s="3536"/>
      <c r="BC315" s="2070"/>
      <c r="BD315" s="885"/>
      <c r="BE315" s="885"/>
      <c r="BF315" s="1041" t="s">
        <v>1784</v>
      </c>
      <c r="BG315" s="1041" t="s">
        <v>1796</v>
      </c>
      <c r="BH315" s="1041" cm="1" t="str">
        <f t="array" ref="BH315:BH315">AC314</f>
        <v/>
      </c>
      <c r="BI315" s="678"/>
      <c r="BJ315" s="678" t="b">
        <v>1</v>
      </c>
    </row>
    <row s="1834" customFormat="1" customHeight="1" ht="0" hidden="1">
      <c r="A316" s="885"/>
      <c r="B316" s="440"/>
      <c r="C316" s="885"/>
      <c r="D316" s="885"/>
      <c r="E316" s="678">
        <v>15</v>
      </c>
      <c r="F316" s="50" cm="1" t="str">
        <f t="array" ref="F316:F316">OFFSET(E316,-1,1)</f>
        <v>4</v>
      </c>
      <c r="G316" s="152" t="s">
        <v>1193</v>
      </c>
      <c r="H316" s="155" cm="1" t="str">
        <f t="array" ref="H316:H316">H315</f>
        <v>Затраты</v>
      </c>
      <c r="I316" s="152" t="s">
        <v>1795</v>
      </c>
      <c r="J316" s="885"/>
      <c r="K316" s="911"/>
      <c r="L316" s="885"/>
      <c r="M316" s="885"/>
      <c r="N316" s="885"/>
      <c r="O316" s="885"/>
      <c r="P316" s="885"/>
      <c r="Q316" s="885"/>
      <c r="R316" s="885"/>
      <c r="S316" s="885"/>
      <c r="T316" s="465" cm="1" t="str">
        <f t="array" ref="T316:T316">T315</f>
        <v>false</v>
      </c>
      <c r="U316" s="885"/>
      <c r="V316" s="885"/>
      <c r="W316" s="885"/>
      <c r="X316" s="1524"/>
      <c r="Y316" s="1524"/>
      <c r="Z316" s="1615"/>
      <c r="AA316" s="1617"/>
      <c r="AB316" s="88" t="str">
        <f>AB315&amp;".1"</f>
        <v>2.0.1.1</v>
      </c>
      <c r="AC316" s="221" t="s">
        <v>1797</v>
      </c>
      <c r="AD316" s="88" t="s">
        <v>1247</v>
      </c>
      <c r="AE316" s="3536"/>
      <c r="AF316" s="3536"/>
      <c r="AG316" s="3536"/>
      <c r="AH316" s="3536"/>
      <c r="AI316" s="3536"/>
      <c r="AJ316" s="3536"/>
      <c r="AK316" s="3536"/>
      <c r="AL316" s="3536"/>
      <c r="AM316" s="3536"/>
      <c r="AN316" s="3536"/>
      <c r="AO316" s="3536"/>
      <c r="AP316" s="3536"/>
      <c r="AQ316" s="3536"/>
      <c r="AR316" s="3536"/>
      <c r="AS316" s="3536"/>
      <c r="AT316" s="3536"/>
      <c r="AU316" s="3536"/>
      <c r="AV316" s="3536"/>
      <c r="AW316" s="3536"/>
      <c r="AX316" s="3536"/>
      <c r="AY316" s="3536"/>
      <c r="AZ316" s="3536"/>
      <c r="BA316" s="3536"/>
      <c r="BB316" s="3536"/>
      <c r="BC316" s="2070"/>
      <c r="BD316" s="885"/>
      <c r="BE316" s="885"/>
      <c r="BF316" s="1041" t="s">
        <v>1787</v>
      </c>
      <c r="BG316" s="1041" t="s">
        <v>1796</v>
      </c>
      <c r="BH316" s="1041" cm="1" t="str">
        <f t="array" ref="BH316:BH316">BH315</f>
        <v/>
      </c>
      <c r="BI316" s="678"/>
      <c r="BJ316" s="678"/>
    </row>
    <row s="1834" customFormat="1" customHeight="1" ht="0" hidden="1">
      <c r="A317" s="885"/>
      <c r="B317" s="440"/>
      <c r="C317" s="885"/>
      <c r="D317" s="885"/>
      <c r="E317" s="678">
        <v>15</v>
      </c>
      <c r="F317" s="1387" cm="1" t="str">
        <f t="array" ref="F317:F317">OFFSET(E317,-1,1)</f>
        <v>4</v>
      </c>
      <c r="G317" s="885"/>
      <c r="H317" s="155"/>
      <c r="I317" s="885"/>
      <c r="J317" s="885"/>
      <c r="K317" s="911"/>
      <c r="L317" s="885"/>
      <c r="M317" s="885"/>
      <c r="N317" s="885"/>
      <c r="O317" s="885"/>
      <c r="P317" s="885"/>
      <c r="Q317" s="885"/>
      <c r="R317" s="885"/>
      <c r="S317" s="885"/>
      <c r="T317" s="1356" cm="1" t="str">
        <f t="array" ref="T317:T317">T316</f>
        <v>false</v>
      </c>
      <c r="U317" s="885"/>
      <c r="V317" s="885"/>
      <c r="W317" s="885"/>
      <c r="X317" s="684"/>
      <c r="Y317" s="1524"/>
      <c r="Z317" s="885"/>
      <c r="AA317" s="1697"/>
      <c r="AB317" s="1706" t="str">
        <f>AB315&amp;".2"</f>
        <v>2.0.1.2</v>
      </c>
      <c r="AC317" s="1707" t="s">
        <v>1798</v>
      </c>
      <c r="AD317" s="1706" t="s">
        <v>1789</v>
      </c>
      <c r="AE317" s="3644"/>
      <c r="AF317" s="3644"/>
      <c r="AG317" s="3644"/>
      <c r="AH317" s="3644"/>
      <c r="AI317" s="3644"/>
      <c r="AJ317" s="3644"/>
      <c r="AK317" s="3644"/>
      <c r="AL317" s="3644"/>
      <c r="AM317" s="3644"/>
      <c r="AN317" s="3644"/>
      <c r="AO317" s="3644"/>
      <c r="AP317" s="3644"/>
      <c r="AQ317" s="3644"/>
      <c r="AR317" s="3644"/>
      <c r="AS317" s="3644"/>
      <c r="AT317" s="3644"/>
      <c r="AU317" s="3644"/>
      <c r="AV317" s="3644"/>
      <c r="AW317" s="3644"/>
      <c r="AX317" s="3644"/>
      <c r="AY317" s="3644"/>
      <c r="AZ317" s="3644"/>
      <c r="BA317" s="3644"/>
      <c r="BB317" s="3644"/>
      <c r="BC317" s="3645"/>
      <c r="BD317" s="885"/>
      <c r="BE317" s="885"/>
      <c r="BF317" s="1041" t="s">
        <v>1790</v>
      </c>
      <c r="BG317" s="1041" t="s">
        <v>1796</v>
      </c>
      <c r="BH317" s="1710" cm="1" t="str">
        <f t="array" ref="BH317:BH317">BH316</f>
        <v/>
      </c>
      <c r="BI317" s="678"/>
      <c r="BJ317" s="678"/>
    </row>
    <row s="1834" customFormat="1" customHeight="1" ht="0">
      <c r="A318" s="885"/>
      <c r="B318" s="440"/>
      <c r="C318" s="885"/>
      <c r="D318" s="885"/>
      <c r="E318" s="678">
        <v>15</v>
      </c>
      <c r="F318" s="50" cm="1" t="str">
        <f t="array" ref="F318:F318">OFFSET(E318,-1,1)</f>
        <v>4</v>
      </c>
      <c r="G318" s="885"/>
      <c r="H318" s="152" t="str">
        <f>"!=='не определено' &amp;&amp; row.l2 !== null"</f>
        <v>!=='не определено' &amp;&amp; row.l2 !== null</v>
      </c>
      <c r="I318" s="885"/>
      <c r="J318" s="885"/>
      <c r="K318" s="911"/>
      <c r="L318" s="885"/>
      <c r="M318" s="885"/>
      <c r="N318" s="885"/>
      <c r="O318" s="885"/>
      <c r="P318" s="885"/>
      <c r="Q318" s="885"/>
      <c r="R318" s="885"/>
      <c r="S318" s="885"/>
      <c r="T318" s="465">
        <f>F318&gt;0</f>
        <v>1</v>
      </c>
      <c r="U318" s="885"/>
      <c r="V318" s="885"/>
      <c r="W318" s="685" t="s">
        <v>1791</v>
      </c>
      <c r="X318" s="1524"/>
      <c r="Y318" s="683"/>
      <c r="Z318" s="1615"/>
      <c r="AA318" s="885"/>
      <c r="AB318" s="681"/>
      <c r="AC318" s="232" t="s">
        <v>1792</v>
      </c>
      <c r="AD318" s="232"/>
      <c r="AE318" s="232"/>
      <c r="AF318" s="232"/>
      <c r="AG318" s="232"/>
      <c r="AH318" s="232"/>
      <c r="AI318" s="232"/>
      <c r="AJ318" s="232"/>
      <c r="AK318" s="232"/>
      <c r="AL318" s="232"/>
      <c r="AM318" s="232"/>
      <c r="AN318" s="232"/>
      <c r="AO318" s="232"/>
      <c r="AP318" s="232"/>
      <c r="AQ318" s="232"/>
      <c r="AR318" s="232"/>
      <c r="AS318" s="232"/>
      <c r="AT318" s="232"/>
      <c r="AU318" s="232"/>
      <c r="AV318" s="232"/>
      <c r="AW318" s="232"/>
      <c r="AX318" s="232"/>
      <c r="AY318" s="232"/>
      <c r="AZ318" s="232"/>
      <c r="BA318" s="232"/>
      <c r="BB318" s="232"/>
      <c r="BC318" s="233"/>
      <c r="BD318" s="885"/>
      <c r="BE318" s="885"/>
      <c r="BF318" s="1041"/>
      <c r="BG318" s="1041"/>
      <c r="BH318" s="1041"/>
      <c r="BI318" s="678" t="s">
        <v>1796</v>
      </c>
      <c r="BJ318" s="678"/>
    </row>
    <row s="1834" customFormat="1" customHeight="1" ht="0">
      <c r="A319" s="885"/>
      <c r="B319" s="440"/>
      <c r="C319" s="885"/>
      <c r="D319" s="885"/>
      <c r="E319" s="678">
        <v>23</v>
      </c>
      <c r="F319" s="50" cm="1" t="str">
        <f t="array" ref="F319:F319">OFFSET(E319,-1,1)</f>
        <v>4</v>
      </c>
      <c r="G319" s="885"/>
      <c r="H319" s="885"/>
      <c r="I319" s="885"/>
      <c r="J319" s="885"/>
      <c r="K319" s="911" t="str">
        <f>F305&amp;"3komm"</f>
        <v>43komm</v>
      </c>
      <c r="L319" s="915" cm="1" t="str">
        <f t="array" ref="L319:L319">BC319</f>
        <v>0</v>
      </c>
      <c r="M319" s="885"/>
      <c r="N319" s="885"/>
      <c r="O319" s="885"/>
      <c r="P319" s="885"/>
      <c r="Q319" s="885"/>
      <c r="R319" s="885"/>
      <c r="S319" s="885"/>
      <c r="T319" s="465" cm="1" t="str">
        <f t="array" ref="T319:T319">T318</f>
        <v>true</v>
      </c>
      <c r="U319" s="885"/>
      <c r="V319" s="885"/>
      <c r="W319" s="885"/>
      <c r="X319" s="1524"/>
      <c r="Y319" s="684"/>
      <c r="Z319" s="1615"/>
      <c r="AA319" s="885"/>
      <c r="AB319" s="211">
        <v>3</v>
      </c>
      <c r="AC319" s="212" t="s">
        <v>1799</v>
      </c>
      <c r="AD319" s="211" t="s">
        <v>1514</v>
      </c>
      <c r="AE319" s="213">
        <f>SUMIF(AD322:AD325,AD319,AE322:AE325)</f>
        <v>0</v>
      </c>
      <c r="AF319" s="213">
        <f>SUMIF(AD322:AD325,AD319,AF322:AF325)</f>
        <v>0</v>
      </c>
      <c r="AG319" s="213">
        <f>SUMIF(AD322:AD325,AD319,AG322:AG325)</f>
        <v>0</v>
      </c>
      <c r="AH319" s="213">
        <f>SUMIF(AD322:AD325,AD319,AH322:AH325)</f>
        <v>0</v>
      </c>
      <c r="AI319" s="213">
        <f>SUMIF(AD322:AD325,AD319,AI322:AI325)</f>
        <v>0</v>
      </c>
      <c r="AJ319" s="1460">
        <f>SUMIF(AD322:AD325,AD319,AJ322:AJ325)</f>
        <v>0</v>
      </c>
      <c r="AK319" s="1460">
        <f>SUMIF(AD322:AD325,AD319,AK322:AK325)</f>
        <v>0</v>
      </c>
      <c r="AL319" s="1460">
        <f>SUMIF(AD322:AD325,AD319,AL322:AL325)</f>
        <v>0</v>
      </c>
      <c r="AM319" s="1460">
        <f>SUMIF(AD322:AD325,AD319,AM322:AM325)</f>
        <v>0</v>
      </c>
      <c r="AN319" s="3626">
        <f>SUMIF(AD322:AD325,AD319,AN322:AN325)</f>
        <v>0</v>
      </c>
      <c r="AO319" s="3626">
        <f>SUMIF(AD322:AD325,AD319,AO322:AO325)</f>
        <v>0</v>
      </c>
      <c r="AP319" s="3626">
        <f>SUMIF(AD322:AD325,AD319,AP322:AP325)</f>
        <v>0</v>
      </c>
      <c r="AQ319" s="3626">
        <f>SUMIF(AD322:AD325,AD319,AQ322:AQ325)</f>
        <v>0</v>
      </c>
      <c r="AR319" s="3626">
        <f>SUMIF(AD322:AD325,AD319,AR322:AR325)</f>
        <v>0</v>
      </c>
      <c r="AS319" s="213">
        <f>SUMIF(AD322:AD325,AD319,AS322:AS325)</f>
        <v>0</v>
      </c>
      <c r="AT319" s="1460">
        <f>SUMIF(AD322:AD325,AD319,AT322:AT325)</f>
        <v>0</v>
      </c>
      <c r="AU319" s="1460">
        <f>SUMIF(AD322:AD325,AD319,AU322:AU325)</f>
        <v>0</v>
      </c>
      <c r="AV319" s="1460">
        <f>SUMIF(AD322:AD325,AD319,AV322:AV325)</f>
        <v>0</v>
      </c>
      <c r="AW319" s="1460">
        <f>SUMIF(AD322:AD325,AD319,AW322:AW325)</f>
        <v>0</v>
      </c>
      <c r="AX319" s="3626">
        <f>SUMIF(AD322:AD325,AD319,AX322:AX325)</f>
        <v>0</v>
      </c>
      <c r="AY319" s="3626">
        <f>SUMIF(AD322:AD325,AD319,AY322:AY325)</f>
        <v>0</v>
      </c>
      <c r="AZ319" s="3626">
        <f>SUMIF(AD322:AD325,AD319,AZ322:AZ325)</f>
        <v>0</v>
      </c>
      <c r="BA319" s="3626">
        <f>SUMIF(AD322:AD325,AD319,BA322:BA325)</f>
        <v>0</v>
      </c>
      <c r="BB319" s="3626">
        <f>SUMIF(AD322:AD325,AD319,BB322:BB325)</f>
        <v>0</v>
      </c>
      <c r="BC319" s="200"/>
      <c r="BD319" s="885"/>
      <c r="BE319" s="885"/>
      <c r="BF319" s="1041" t="s">
        <v>1800</v>
      </c>
      <c r="BG319" s="1041"/>
      <c r="BH319" s="1041"/>
      <c r="BI319" s="678"/>
      <c r="BJ319" s="678"/>
    </row>
    <row s="1834" customFormat="1" customHeight="1" ht="0" hidden="1">
      <c r="A320" s="885"/>
      <c r="B320" s="440"/>
      <c r="C320" s="885"/>
      <c r="D320" s="885"/>
      <c r="E320" s="678">
        <v>0</v>
      </c>
      <c r="F320" s="50" cm="1" t="str">
        <f t="array" ref="F320:F320">OFFSET(E320,-1,1)</f>
        <v>4</v>
      </c>
      <c r="G320" s="152" t="s">
        <v>334</v>
      </c>
      <c r="H320" s="885"/>
      <c r="I320" s="885"/>
      <c r="J320" s="885"/>
      <c r="K320" s="911"/>
      <c r="L320" s="915"/>
      <c r="M320" s="885"/>
      <c r="N320" s="885"/>
      <c r="O320" s="885"/>
      <c r="P320" s="885"/>
      <c r="Q320" s="885"/>
      <c r="R320" s="885"/>
      <c r="S320" s="885"/>
      <c r="T320" s="465" t="b">
        <v>0</v>
      </c>
      <c r="U320" s="885"/>
      <c r="V320" s="885"/>
      <c r="W320" s="152" t="s">
        <v>174</v>
      </c>
      <c r="X320" s="1524"/>
      <c r="Y320" s="1524">
        <v>0</v>
      </c>
      <c r="Z320" s="1615"/>
      <c r="AA320" s="1617" t="s">
        <v>175</v>
      </c>
      <c r="AB320" s="211"/>
      <c r="AC320" s="212"/>
      <c r="AD320" s="211"/>
      <c r="AE320" s="1368">
        <f>OR(AND(AE322&lt;&gt;"",AE323=""),AND(AE322="",AE323&lt;&gt;""))</f>
        <v>0</v>
      </c>
      <c r="AF320" s="1368">
        <f>OR(AND(AF322&lt;&gt;"",AF323=""),AND(AF322="",AF323&lt;&gt;""))</f>
        <v>0</v>
      </c>
      <c r="AG320" s="1368">
        <f>OR(AND(AG322&lt;&gt;"",AG323=""),AND(AG322="",AG323&lt;&gt;""))</f>
        <v>0</v>
      </c>
      <c r="AH320" s="1368">
        <f>OR(AND(AH322&lt;&gt;"",AH323=""),AND(AH322="",AH323&lt;&gt;""))</f>
        <v>0</v>
      </c>
      <c r="AI320" s="1368">
        <f>OR(AND(AI322&lt;&gt;"",AI323=""),AND(AI322="",AI323&lt;&gt;""))</f>
        <v>0</v>
      </c>
      <c r="AJ320" s="1368">
        <f>OR(AND(AJ322&lt;&gt;"",AJ323=""),AND(AJ322="",AJ323&lt;&gt;""))</f>
        <v>0</v>
      </c>
      <c r="AK320" s="1368">
        <f>OR(AND(AK322&lt;&gt;"",AK323=""),AND(AK322="",AK323&lt;&gt;""))</f>
        <v>0</v>
      </c>
      <c r="AL320" s="1368">
        <f>OR(AND(AL322&lt;&gt;"",AL323=""),AND(AL322="",AL323&lt;&gt;""))</f>
        <v>0</v>
      </c>
      <c r="AM320" s="1368">
        <f>OR(AND(AM322&lt;&gt;"",AM323=""),AND(AM322="",AM323&lt;&gt;""))</f>
        <v>0</v>
      </c>
      <c r="AN320" s="1368">
        <f>OR(AND(AN322&lt;&gt;"",AN323=""),AND(AN322="",AN323&lt;&gt;""))</f>
        <v>0</v>
      </c>
      <c r="AO320" s="1368">
        <f>OR(AND(AO322&lt;&gt;"",AO323=""),AND(AO322="",AO323&lt;&gt;""))</f>
        <v>0</v>
      </c>
      <c r="AP320" s="1368">
        <f>OR(AND(AP322&lt;&gt;"",AP323=""),AND(AP322="",AP323&lt;&gt;""))</f>
        <v>0</v>
      </c>
      <c r="AQ320" s="1368">
        <f>OR(AND(AQ322&lt;&gt;"",AQ323=""),AND(AQ322="",AQ323&lt;&gt;""))</f>
        <v>0</v>
      </c>
      <c r="AR320" s="1368">
        <f>OR(AND(AR322&lt;&gt;"",AR323=""),AND(AR322="",AR323&lt;&gt;""))</f>
        <v>0</v>
      </c>
      <c r="AS320" s="1368">
        <f>OR(AND(AS322&lt;&gt;"",AS323=""),AND(AS322="",AS323&lt;&gt;""))</f>
        <v>0</v>
      </c>
      <c r="AT320" s="1368">
        <f>OR(AND(AT322&lt;&gt;"",AT323=""),AND(AT322="",AT323&lt;&gt;""))</f>
        <v>0</v>
      </c>
      <c r="AU320" s="1368">
        <f>OR(AND(AU322&lt;&gt;"",AU323=""),AND(AU322="",AU323&lt;&gt;""))</f>
        <v>0</v>
      </c>
      <c r="AV320" s="1368">
        <f>OR(AND(AV322&lt;&gt;"",AV323=""),AND(AV322="",AV323&lt;&gt;""))</f>
        <v>0</v>
      </c>
      <c r="AW320" s="1368">
        <f>OR(AND(AW322&lt;&gt;"",AW323=""),AND(AW322="",AW323&lt;&gt;""))</f>
        <v>0</v>
      </c>
      <c r="AX320" s="1368">
        <f>OR(AND(AX322&lt;&gt;"",AX323=""),AND(AX322="",AX323&lt;&gt;""))</f>
        <v>0</v>
      </c>
      <c r="AY320" s="1368">
        <f>OR(AND(AY322&lt;&gt;"",AY323=""),AND(AY322="",AY323&lt;&gt;""))</f>
        <v>0</v>
      </c>
      <c r="AZ320" s="1368">
        <f>OR(AND(AZ322&lt;&gt;"",AZ323=""),AND(AZ322="",AZ323&lt;&gt;""))</f>
        <v>0</v>
      </c>
      <c r="BA320" s="1368">
        <f>OR(AND(BA322&lt;&gt;"",BA323=""),AND(BA322="",BA323&lt;&gt;""))</f>
        <v>0</v>
      </c>
      <c r="BB320" s="1368">
        <f>OR(AND(BB322&lt;&gt;"",BB323=""),AND(BB322="",BB323&lt;&gt;""))</f>
        <v>0</v>
      </c>
      <c r="BC320" s="974"/>
      <c r="BD320" s="885"/>
      <c r="BE320" s="885"/>
      <c r="BF320" s="1041"/>
      <c r="BG320" s="1041"/>
      <c r="BH320" s="1041"/>
      <c r="BI320" s="678"/>
      <c r="BJ320" s="678"/>
    </row>
    <row s="1834" customFormat="1" customHeight="1" ht="0" hidden="1">
      <c r="A321" s="885"/>
      <c r="B321" s="440"/>
      <c r="C321" s="885"/>
      <c r="D321" s="885"/>
      <c r="E321" s="678">
        <v>15</v>
      </c>
      <c r="F321" s="1387" cm="1" t="str">
        <f t="array" ref="F321:F321">OFFSET(E321,-1,1)</f>
        <v>4</v>
      </c>
      <c r="G321" s="885"/>
      <c r="H321" s="885"/>
      <c r="I321" s="885"/>
      <c r="J321" s="885"/>
      <c r="K321" s="911"/>
      <c r="L321" s="915"/>
      <c r="M321" s="885"/>
      <c r="N321" s="885"/>
      <c r="O321" s="885"/>
      <c r="P321" s="885"/>
      <c r="Q321" s="885"/>
      <c r="R321" s="885"/>
      <c r="S321" s="885"/>
      <c r="T321" s="1356">
        <f>AND(Y320&gt;0,F321&gt;0)</f>
        <v>0</v>
      </c>
      <c r="U321" s="885"/>
      <c r="V321" s="885"/>
      <c r="W321" s="885"/>
      <c r="X321" s="684"/>
      <c r="Y321" s="1524"/>
      <c r="Z321" s="885"/>
      <c r="AA321" s="1697"/>
      <c r="AB321" s="1698" t="str">
        <f>"3."&amp;Y320</f>
        <v>3.0</v>
      </c>
      <c r="AC321" s="1699" t="s">
        <v>227</v>
      </c>
      <c r="AD321" s="1700"/>
      <c r="AE321" s="3635"/>
      <c r="AF321" s="1702"/>
      <c r="AG321" s="3635"/>
      <c r="AH321" s="3635"/>
      <c r="AI321" s="3635"/>
      <c r="AJ321" s="3635"/>
      <c r="AK321" s="3635"/>
      <c r="AL321" s="3635"/>
      <c r="AM321" s="3635"/>
      <c r="AN321" s="3635"/>
      <c r="AO321" s="3635"/>
      <c r="AP321" s="3635"/>
      <c r="AQ321" s="3635"/>
      <c r="AR321" s="3635"/>
      <c r="AS321" s="1702"/>
      <c r="AT321" s="1702"/>
      <c r="AU321" s="1702"/>
      <c r="AV321" s="1702"/>
      <c r="AW321" s="1702"/>
      <c r="AX321" s="1702"/>
      <c r="AY321" s="1702"/>
      <c r="AZ321" s="1702"/>
      <c r="BA321" s="1702"/>
      <c r="BB321" s="1703"/>
      <c r="BC321" s="1704"/>
      <c r="BD321" s="885"/>
      <c r="BE321" s="885"/>
      <c r="BF321" s="1041"/>
      <c r="BG321" s="1041"/>
      <c r="BH321" s="1041"/>
      <c r="BI321" s="678"/>
      <c r="BJ321" s="678"/>
    </row>
    <row s="1834" customFormat="1" customHeight="1" ht="0" hidden="1">
      <c r="A322" s="885"/>
      <c r="B322" s="440"/>
      <c r="C322" s="885"/>
      <c r="D322" s="885"/>
      <c r="E322" s="678">
        <v>15</v>
      </c>
      <c r="F322" s="50" cm="1" t="str">
        <f t="array" ref="F322:F322">OFFSET(E322,-1,1)</f>
        <v>4</v>
      </c>
      <c r="G322" s="152" t="s">
        <v>334</v>
      </c>
      <c r="H322" s="155" cm="1" t="str">
        <f t="array" ref="H322:H322">AC322</f>
        <v>Затраты</v>
      </c>
      <c r="I322" s="152" t="s">
        <v>1801</v>
      </c>
      <c r="J322" s="885"/>
      <c r="K322" s="911"/>
      <c r="L322" s="885"/>
      <c r="M322" s="885"/>
      <c r="N322" s="885"/>
      <c r="O322" s="885"/>
      <c r="P322" s="885"/>
      <c r="Q322" s="885"/>
      <c r="R322" s="885"/>
      <c r="S322" s="885"/>
      <c r="T322" s="465" cm="1" t="str">
        <f t="array" ref="T322:T322">T321</f>
        <v>false</v>
      </c>
      <c r="U322" s="885"/>
      <c r="V322" s="885"/>
      <c r="W322" s="885"/>
      <c r="X322" s="1524"/>
      <c r="Y322" s="1524"/>
      <c r="Z322" s="1615"/>
      <c r="AA322" s="1617"/>
      <c r="AB322" s="88" t="str">
        <f>AB321&amp;".1"</f>
        <v>3.0.1</v>
      </c>
      <c r="AC322" s="1705" t="s">
        <v>1783</v>
      </c>
      <c r="AD322" s="211" t="s">
        <v>1514</v>
      </c>
      <c r="AE322" s="3536"/>
      <c r="AF322" s="3536"/>
      <c r="AG322" s="3536"/>
      <c r="AH322" s="3536"/>
      <c r="AI322" s="3536"/>
      <c r="AJ322" s="3536"/>
      <c r="AK322" s="3536"/>
      <c r="AL322" s="3536"/>
      <c r="AM322" s="3536"/>
      <c r="AN322" s="3536"/>
      <c r="AO322" s="3536"/>
      <c r="AP322" s="3536"/>
      <c r="AQ322" s="3536"/>
      <c r="AR322" s="3536"/>
      <c r="AS322" s="3536"/>
      <c r="AT322" s="3536"/>
      <c r="AU322" s="3536"/>
      <c r="AV322" s="3536"/>
      <c r="AW322" s="3536"/>
      <c r="AX322" s="3536"/>
      <c r="AY322" s="3536"/>
      <c r="AZ322" s="3536"/>
      <c r="BA322" s="3536"/>
      <c r="BB322" s="3536"/>
      <c r="BC322" s="2070"/>
      <c r="BD322" s="885"/>
      <c r="BE322" s="885"/>
      <c r="BF322" s="1041" t="s">
        <v>1784</v>
      </c>
      <c r="BG322" s="1041" t="s">
        <v>1802</v>
      </c>
      <c r="BH322" s="1041" cm="1" t="str">
        <f t="array" ref="BH322:BH322">AC321</f>
        <v/>
      </c>
      <c r="BI322" s="678"/>
      <c r="BJ322" s="678" t="b">
        <v>1</v>
      </c>
    </row>
    <row s="1834" customFormat="1" customHeight="1" ht="0" hidden="1">
      <c r="A323" s="885"/>
      <c r="B323" s="440"/>
      <c r="C323" s="885"/>
      <c r="D323" s="885"/>
      <c r="E323" s="678">
        <v>15</v>
      </c>
      <c r="F323" s="50" cm="1" t="str">
        <f t="array" ref="F323:F323">OFFSET(E323,-1,1)</f>
        <v>4</v>
      </c>
      <c r="G323" s="152" t="s">
        <v>1658</v>
      </c>
      <c r="H323" s="155" cm="1" t="str">
        <f t="array" ref="H323:H323">H322</f>
        <v>Затраты</v>
      </c>
      <c r="I323" s="152" t="s">
        <v>1801</v>
      </c>
      <c r="J323" s="885"/>
      <c r="K323" s="911"/>
      <c r="L323" s="885"/>
      <c r="M323" s="885"/>
      <c r="N323" s="885"/>
      <c r="O323" s="885"/>
      <c r="P323" s="885"/>
      <c r="Q323" s="885"/>
      <c r="R323" s="885"/>
      <c r="S323" s="885"/>
      <c r="T323" s="465" cm="1" t="str">
        <f t="array" ref="T323:T323">T322</f>
        <v>false</v>
      </c>
      <c r="U323" s="885"/>
      <c r="V323" s="885"/>
      <c r="W323" s="885"/>
      <c r="X323" s="1524"/>
      <c r="Y323" s="1524"/>
      <c r="Z323" s="1615"/>
      <c r="AA323" s="1617"/>
      <c r="AB323" s="88" t="str">
        <f>AB322&amp;".1"</f>
        <v>3.0.1.1</v>
      </c>
      <c r="AC323" s="221" t="s">
        <v>1803</v>
      </c>
      <c r="AD323" s="88" t="s">
        <v>1247</v>
      </c>
      <c r="AE323" s="3536"/>
      <c r="AF323" s="3536"/>
      <c r="AG323" s="3536"/>
      <c r="AH323" s="3536"/>
      <c r="AI323" s="3536"/>
      <c r="AJ323" s="3536"/>
      <c r="AK323" s="3536"/>
      <c r="AL323" s="3536"/>
      <c r="AM323" s="3536"/>
      <c r="AN323" s="3536"/>
      <c r="AO323" s="3536"/>
      <c r="AP323" s="3536"/>
      <c r="AQ323" s="3536"/>
      <c r="AR323" s="3536"/>
      <c r="AS323" s="3536"/>
      <c r="AT323" s="3536"/>
      <c r="AU323" s="3536"/>
      <c r="AV323" s="3536"/>
      <c r="AW323" s="3536"/>
      <c r="AX323" s="3536"/>
      <c r="AY323" s="3536"/>
      <c r="AZ323" s="3536"/>
      <c r="BA323" s="3536"/>
      <c r="BB323" s="3536"/>
      <c r="BC323" s="2070"/>
      <c r="BD323" s="885"/>
      <c r="BE323" s="885"/>
      <c r="BF323" s="1041" t="s">
        <v>1787</v>
      </c>
      <c r="BG323" s="1041" t="s">
        <v>1802</v>
      </c>
      <c r="BH323" s="1041" cm="1" t="str">
        <f t="array" ref="BH323:BH323">BH322</f>
        <v/>
      </c>
      <c r="BI323" s="678"/>
      <c r="BJ323" s="678"/>
    </row>
    <row s="1834" customFormat="1" customHeight="1" ht="0" hidden="1">
      <c r="A324" s="885"/>
      <c r="B324" s="440"/>
      <c r="C324" s="885"/>
      <c r="D324" s="885"/>
      <c r="E324" s="678">
        <v>15</v>
      </c>
      <c r="F324" s="1387" cm="1" t="str">
        <f t="array" ref="F324:F324">OFFSET(E324,-1,1)</f>
        <v>4</v>
      </c>
      <c r="G324" s="885"/>
      <c r="H324" s="155"/>
      <c r="I324" s="885"/>
      <c r="J324" s="885"/>
      <c r="K324" s="911"/>
      <c r="L324" s="885"/>
      <c r="M324" s="885"/>
      <c r="N324" s="885"/>
      <c r="O324" s="885"/>
      <c r="P324" s="885"/>
      <c r="Q324" s="885"/>
      <c r="R324" s="885"/>
      <c r="S324" s="885"/>
      <c r="T324" s="1356" cm="1" t="str">
        <f t="array" ref="T324:T324">T323</f>
        <v>false</v>
      </c>
      <c r="U324" s="885"/>
      <c r="V324" s="885"/>
      <c r="W324" s="885"/>
      <c r="X324" s="684"/>
      <c r="Y324" s="1524"/>
      <c r="Z324" s="885"/>
      <c r="AA324" s="1697"/>
      <c r="AB324" s="1706" t="str">
        <f>AB322&amp;".2"</f>
        <v>3.0.1.2</v>
      </c>
      <c r="AC324" s="1707" t="s">
        <v>1798</v>
      </c>
      <c r="AD324" s="1706" t="s">
        <v>1789</v>
      </c>
      <c r="AE324" s="3644"/>
      <c r="AF324" s="3644"/>
      <c r="AG324" s="3644"/>
      <c r="AH324" s="3644"/>
      <c r="AI324" s="3644"/>
      <c r="AJ324" s="3644"/>
      <c r="AK324" s="3644"/>
      <c r="AL324" s="3644"/>
      <c r="AM324" s="3644"/>
      <c r="AN324" s="3644"/>
      <c r="AO324" s="3644"/>
      <c r="AP324" s="3644"/>
      <c r="AQ324" s="3644"/>
      <c r="AR324" s="3644"/>
      <c r="AS324" s="3644"/>
      <c r="AT324" s="3644"/>
      <c r="AU324" s="3644"/>
      <c r="AV324" s="3644"/>
      <c r="AW324" s="3644"/>
      <c r="AX324" s="3644"/>
      <c r="AY324" s="3644"/>
      <c r="AZ324" s="3644"/>
      <c r="BA324" s="3644"/>
      <c r="BB324" s="3644"/>
      <c r="BC324" s="3645"/>
      <c r="BD324" s="885"/>
      <c r="BE324" s="885"/>
      <c r="BF324" s="1041" t="s">
        <v>1790</v>
      </c>
      <c r="BG324" s="1041" t="s">
        <v>1802</v>
      </c>
      <c r="BH324" s="1710" cm="1" t="str">
        <f t="array" ref="BH324:BH324">BH323</f>
        <v/>
      </c>
      <c r="BI324" s="678"/>
      <c r="BJ324" s="678"/>
    </row>
    <row s="1834" customFormat="1" customHeight="1" ht="0">
      <c r="A325" s="885"/>
      <c r="B325" s="440"/>
      <c r="C325" s="885"/>
      <c r="D325" s="885"/>
      <c r="E325" s="678">
        <v>15</v>
      </c>
      <c r="F325" s="50" cm="1" t="str">
        <f t="array" ref="F325:F325">OFFSET(E325,-1,1)</f>
        <v>4</v>
      </c>
      <c r="G325" s="885"/>
      <c r="H325" s="152" t="str">
        <f>"!=='не определено' &amp;&amp; row.l3 !== null"</f>
        <v>!=='не определено' &amp;&amp; row.l3 !== null</v>
      </c>
      <c r="I325" s="885"/>
      <c r="J325" s="885"/>
      <c r="K325" s="911"/>
      <c r="L325" s="885"/>
      <c r="M325" s="885"/>
      <c r="N325" s="885"/>
      <c r="O325" s="885"/>
      <c r="P325" s="885"/>
      <c r="Q325" s="885"/>
      <c r="R325" s="885"/>
      <c r="S325" s="885"/>
      <c r="T325" s="465">
        <f>F325&gt;0</f>
        <v>1</v>
      </c>
      <c r="U325" s="885"/>
      <c r="V325" s="885"/>
      <c r="W325" s="685" t="s">
        <v>1804</v>
      </c>
      <c r="X325" s="1524"/>
      <c r="Y325" s="683"/>
      <c r="Z325" s="1615"/>
      <c r="AA325" s="885"/>
      <c r="AB325" s="681"/>
      <c r="AC325" s="232" t="s">
        <v>1792</v>
      </c>
      <c r="AD325" s="232"/>
      <c r="AE325" s="232"/>
      <c r="AF325" s="232"/>
      <c r="AG325" s="232"/>
      <c r="AH325" s="232"/>
      <c r="AI325" s="232"/>
      <c r="AJ325" s="232"/>
      <c r="AK325" s="232"/>
      <c r="AL325" s="232"/>
      <c r="AM325" s="232"/>
      <c r="AN325" s="232"/>
      <c r="AO325" s="232"/>
      <c r="AP325" s="232"/>
      <c r="AQ325" s="232"/>
      <c r="AR325" s="232"/>
      <c r="AS325" s="232"/>
      <c r="AT325" s="232"/>
      <c r="AU325" s="232"/>
      <c r="AV325" s="232"/>
      <c r="AW325" s="232"/>
      <c r="AX325" s="232"/>
      <c r="AY325" s="232"/>
      <c r="AZ325" s="232"/>
      <c r="BA325" s="232"/>
      <c r="BB325" s="232"/>
      <c r="BC325" s="233"/>
      <c r="BD325" s="885"/>
      <c r="BE325" s="885"/>
      <c r="BF325" s="1041"/>
      <c r="BG325" s="1041"/>
      <c r="BH325" s="1041"/>
      <c r="BI325" s="678" t="s">
        <v>1802</v>
      </c>
      <c r="BJ325" s="678"/>
    </row>
    <row s="1834" customFormat="1" customHeight="1" ht="0">
      <c r="A326" s="885"/>
      <c r="B326" s="440"/>
      <c r="C326" s="885"/>
      <c r="D326" s="885"/>
      <c r="E326" s="678">
        <v>23</v>
      </c>
      <c r="F326" s="50" cm="1" t="str">
        <f t="array" ref="F326:F326">OFFSET(E326,-1,1)</f>
        <v>4</v>
      </c>
      <c r="G326" s="885"/>
      <c r="H326" s="885"/>
      <c r="I326" s="885"/>
      <c r="J326" s="885"/>
      <c r="K326" s="911" t="str">
        <f>F305&amp;"4komm"</f>
        <v>44komm</v>
      </c>
      <c r="L326" s="915" cm="1" t="str">
        <f t="array" ref="L326:L326">BC326</f>
        <v>0</v>
      </c>
      <c r="M326" s="885"/>
      <c r="N326" s="885"/>
      <c r="O326" s="885"/>
      <c r="P326" s="885"/>
      <c r="Q326" s="885"/>
      <c r="R326" s="885"/>
      <c r="S326" s="885"/>
      <c r="T326" s="465" cm="1" t="str">
        <f t="array" ref="T326:T326">T325</f>
        <v>true</v>
      </c>
      <c r="U326" s="885"/>
      <c r="V326" s="885"/>
      <c r="W326" s="885"/>
      <c r="X326" s="1524"/>
      <c r="Y326" s="684"/>
      <c r="Z326" s="1615"/>
      <c r="AA326" s="885"/>
      <c r="AB326" s="211">
        <v>4</v>
      </c>
      <c r="AC326" s="212" t="s">
        <v>1805</v>
      </c>
      <c r="AD326" s="211" t="s">
        <v>1514</v>
      </c>
      <c r="AE326" s="213">
        <f>SUMIF(AD329:AD332,AD326,AE329:AE332)</f>
        <v>0</v>
      </c>
      <c r="AF326" s="213">
        <f>SUMIF(AD329:AD332,AD326,AF329:AF332)</f>
        <v>0</v>
      </c>
      <c r="AG326" s="213">
        <f>SUMIF(AD329:AD332,AD326,AG329:AG332)</f>
        <v>0</v>
      </c>
      <c r="AH326" s="213">
        <f>SUMIF(AD329:AD332,AD326,AH329:AH332)</f>
        <v>0</v>
      </c>
      <c r="AI326" s="213">
        <f>SUMIF(AD329:AD332,AD326,AI329:AI332)</f>
        <v>0</v>
      </c>
      <c r="AJ326" s="1460">
        <f>SUMIF(AD329:AD332,AD326,AJ329:AJ332)</f>
        <v>0</v>
      </c>
      <c r="AK326" s="1460">
        <f>SUMIF(AD329:AD332,AD326,AK329:AK332)</f>
        <v>0</v>
      </c>
      <c r="AL326" s="1460">
        <f>SUMIF(AD329:AD332,AD326,AL329:AL332)</f>
        <v>0</v>
      </c>
      <c r="AM326" s="1460">
        <f>SUMIF(AD329:AD332,AD326,AM329:AM332)</f>
        <v>0</v>
      </c>
      <c r="AN326" s="3626">
        <f>SUMIF(AD329:AD332,AD326,AN329:AN332)</f>
        <v>0</v>
      </c>
      <c r="AO326" s="3626">
        <f>SUMIF(AD329:AD332,AD326,AO329:AO332)</f>
        <v>0</v>
      </c>
      <c r="AP326" s="3626">
        <f>SUMIF(AD329:AD332,AD326,AP329:AP332)</f>
        <v>0</v>
      </c>
      <c r="AQ326" s="3626">
        <f>SUMIF(AD329:AD332,AD326,AQ329:AQ332)</f>
        <v>0</v>
      </c>
      <c r="AR326" s="3626">
        <f>SUMIF(AD329:AD332,AD326,AR329:AR332)</f>
        <v>0</v>
      </c>
      <c r="AS326" s="213">
        <f>SUMIF(AD329:AD332,AD326,AS329:AS332)</f>
        <v>0</v>
      </c>
      <c r="AT326" s="1460">
        <f>SUMIF(AD329:AD332,AD326,AT329:AT332)</f>
        <v>0</v>
      </c>
      <c r="AU326" s="1460">
        <f>SUMIF(AD329:AD332,AD326,AU329:AU332)</f>
        <v>0</v>
      </c>
      <c r="AV326" s="1460">
        <f>SUMIF(AD329:AD332,AD326,AV329:AV332)</f>
        <v>0</v>
      </c>
      <c r="AW326" s="1460">
        <f>SUMIF(AD329:AD332,AD326,AW329:AW332)</f>
        <v>0</v>
      </c>
      <c r="AX326" s="3626">
        <f>SUMIF(AD329:AD332,AD326,AX329:AX332)</f>
        <v>0</v>
      </c>
      <c r="AY326" s="3626">
        <f>SUMIF(AD329:AD332,AD326,AY329:AY332)</f>
        <v>0</v>
      </c>
      <c r="AZ326" s="3626">
        <f>SUMIF(AD329:AD332,AD326,AZ329:AZ332)</f>
        <v>0</v>
      </c>
      <c r="BA326" s="3626">
        <f>SUMIF(AD329:AD332,AD326,BA329:BA332)</f>
        <v>0</v>
      </c>
      <c r="BB326" s="3626">
        <f>SUMIF(AD329:AD332,AD326,BB329:BB332)</f>
        <v>0</v>
      </c>
      <c r="BC326" s="200"/>
      <c r="BD326" s="885"/>
      <c r="BE326" s="885"/>
      <c r="BF326" s="1041" t="s">
        <v>1806</v>
      </c>
      <c r="BG326" s="1041"/>
      <c r="BH326" s="1041"/>
      <c r="BI326" s="678"/>
      <c r="BJ326" s="678"/>
    </row>
    <row s="1834" customFormat="1" customHeight="1" ht="0" hidden="1">
      <c r="A327" s="885"/>
      <c r="B327" s="440"/>
      <c r="C327" s="885"/>
      <c r="D327" s="885"/>
      <c r="E327" s="678">
        <v>0</v>
      </c>
      <c r="F327" s="50" cm="1" t="str">
        <f t="array" ref="F327:F327">OFFSET(E327,-1,1)</f>
        <v>4</v>
      </c>
      <c r="G327" s="152" t="s">
        <v>336</v>
      </c>
      <c r="H327" s="885"/>
      <c r="I327" s="885"/>
      <c r="J327" s="885"/>
      <c r="K327" s="911"/>
      <c r="L327" s="915"/>
      <c r="M327" s="885"/>
      <c r="N327" s="885"/>
      <c r="O327" s="885"/>
      <c r="P327" s="885"/>
      <c r="Q327" s="885"/>
      <c r="R327" s="885"/>
      <c r="S327" s="885"/>
      <c r="T327" s="465" t="b">
        <v>0</v>
      </c>
      <c r="U327" s="885"/>
      <c r="V327" s="885"/>
      <c r="W327" s="152" t="s">
        <v>174</v>
      </c>
      <c r="X327" s="1524"/>
      <c r="Y327" s="1524">
        <v>0</v>
      </c>
      <c r="Z327" s="1615"/>
      <c r="AA327" s="1617" t="s">
        <v>175</v>
      </c>
      <c r="AB327" s="211"/>
      <c r="AC327" s="212"/>
      <c r="AD327" s="211"/>
      <c r="AE327" s="1368">
        <f>OR(AND(AE329&lt;&gt;"",AE330=""),AND(AE329="",AE330&lt;&gt;""))</f>
        <v>0</v>
      </c>
      <c r="AF327" s="1368">
        <f>OR(AND(AF329&lt;&gt;"",AF330=""),AND(AF329="",AF330&lt;&gt;""))</f>
        <v>0</v>
      </c>
      <c r="AG327" s="1368">
        <f>OR(AND(AG329&lt;&gt;"",AG330=""),AND(AG329="",AG330&lt;&gt;""))</f>
        <v>0</v>
      </c>
      <c r="AH327" s="1368">
        <f>OR(AND(AH329&lt;&gt;"",AH330=""),AND(AH329="",AH330&lt;&gt;""))</f>
        <v>0</v>
      </c>
      <c r="AI327" s="1368">
        <f>OR(AND(AI329&lt;&gt;"",AI330=""),AND(AI329="",AI330&lt;&gt;""))</f>
        <v>0</v>
      </c>
      <c r="AJ327" s="1368">
        <f>OR(AND(AJ329&lt;&gt;"",AJ330=""),AND(AJ329="",AJ330&lt;&gt;""))</f>
        <v>0</v>
      </c>
      <c r="AK327" s="1368">
        <f>OR(AND(AK329&lt;&gt;"",AK330=""),AND(AK329="",AK330&lt;&gt;""))</f>
        <v>0</v>
      </c>
      <c r="AL327" s="1368">
        <f>OR(AND(AL329&lt;&gt;"",AL330=""),AND(AL329="",AL330&lt;&gt;""))</f>
        <v>0</v>
      </c>
      <c r="AM327" s="1368">
        <f>OR(AND(AM329&lt;&gt;"",AM330=""),AND(AM329="",AM330&lt;&gt;""))</f>
        <v>0</v>
      </c>
      <c r="AN327" s="1368">
        <f>OR(AND(AN329&lt;&gt;"",AN330=""),AND(AN329="",AN330&lt;&gt;""))</f>
        <v>0</v>
      </c>
      <c r="AO327" s="1368">
        <f>OR(AND(AO329&lt;&gt;"",AO330=""),AND(AO329="",AO330&lt;&gt;""))</f>
        <v>0</v>
      </c>
      <c r="AP327" s="1368">
        <f>OR(AND(AP329&lt;&gt;"",AP330=""),AND(AP329="",AP330&lt;&gt;""))</f>
        <v>0</v>
      </c>
      <c r="AQ327" s="1368">
        <f>OR(AND(AQ329&lt;&gt;"",AQ330=""),AND(AQ329="",AQ330&lt;&gt;""))</f>
        <v>0</v>
      </c>
      <c r="AR327" s="1368">
        <f>OR(AND(AR329&lt;&gt;"",AR330=""),AND(AR329="",AR330&lt;&gt;""))</f>
        <v>0</v>
      </c>
      <c r="AS327" s="1368">
        <f>OR(AND(AS329&lt;&gt;"",AS330=""),AND(AS329="",AS330&lt;&gt;""))</f>
        <v>0</v>
      </c>
      <c r="AT327" s="1368">
        <f>OR(AND(AT329&lt;&gt;"",AT330=""),AND(AT329="",AT330&lt;&gt;""))</f>
        <v>0</v>
      </c>
      <c r="AU327" s="1368">
        <f>OR(AND(AU329&lt;&gt;"",AU330=""),AND(AU329="",AU330&lt;&gt;""))</f>
        <v>0</v>
      </c>
      <c r="AV327" s="1368">
        <f>OR(AND(AV329&lt;&gt;"",AV330=""),AND(AV329="",AV330&lt;&gt;""))</f>
        <v>0</v>
      </c>
      <c r="AW327" s="1368">
        <f>OR(AND(AW329&lt;&gt;"",AW330=""),AND(AW329="",AW330&lt;&gt;""))</f>
        <v>0</v>
      </c>
      <c r="AX327" s="1368">
        <f>OR(AND(AX329&lt;&gt;"",AX330=""),AND(AX329="",AX330&lt;&gt;""))</f>
        <v>0</v>
      </c>
      <c r="AY327" s="1368">
        <f>OR(AND(AY329&lt;&gt;"",AY330=""),AND(AY329="",AY330&lt;&gt;""))</f>
        <v>0</v>
      </c>
      <c r="AZ327" s="1368">
        <f>OR(AND(AZ329&lt;&gt;"",AZ330=""),AND(AZ329="",AZ330&lt;&gt;""))</f>
        <v>0</v>
      </c>
      <c r="BA327" s="1368">
        <f>OR(AND(BA329&lt;&gt;"",BA330=""),AND(BA329="",BA330&lt;&gt;""))</f>
        <v>0</v>
      </c>
      <c r="BB327" s="1368">
        <f>OR(AND(BB329&lt;&gt;"",BB330=""),AND(BB329="",BB330&lt;&gt;""))</f>
        <v>0</v>
      </c>
      <c r="BC327" s="974"/>
      <c r="BD327" s="885"/>
      <c r="BE327" s="885"/>
      <c r="BF327" s="1041"/>
      <c r="BG327" s="1041"/>
      <c r="BH327" s="1041"/>
      <c r="BI327" s="678"/>
      <c r="BJ327" s="678"/>
    </row>
    <row s="1834" customFormat="1" customHeight="1" ht="0" hidden="1">
      <c r="A328" s="885"/>
      <c r="B328" s="440"/>
      <c r="C328" s="885"/>
      <c r="D328" s="885"/>
      <c r="E328" s="678">
        <v>15</v>
      </c>
      <c r="F328" s="1387" cm="1" t="str">
        <f t="array" ref="F328:F328">OFFSET(E328,-1,1)</f>
        <v>4</v>
      </c>
      <c r="G328" s="885"/>
      <c r="H328" s="885"/>
      <c r="I328" s="885"/>
      <c r="J328" s="885"/>
      <c r="K328" s="911"/>
      <c r="L328" s="915"/>
      <c r="M328" s="885"/>
      <c r="N328" s="885"/>
      <c r="O328" s="885"/>
      <c r="P328" s="885"/>
      <c r="Q328" s="885"/>
      <c r="R328" s="885"/>
      <c r="S328" s="885"/>
      <c r="T328" s="1356">
        <f>AND(Y327&gt;0,F328&gt;0)</f>
        <v>0</v>
      </c>
      <c r="U328" s="885"/>
      <c r="V328" s="885"/>
      <c r="W328" s="885"/>
      <c r="X328" s="684"/>
      <c r="Y328" s="1524"/>
      <c r="Z328" s="885"/>
      <c r="AA328" s="1697"/>
      <c r="AB328" s="1698" t="str">
        <f>"4."&amp;Y327</f>
        <v>4.0</v>
      </c>
      <c r="AC328" s="1699" t="s">
        <v>227</v>
      </c>
      <c r="AD328" s="1700"/>
      <c r="AE328" s="3635"/>
      <c r="AF328" s="1702"/>
      <c r="AG328" s="3635"/>
      <c r="AH328" s="3635"/>
      <c r="AI328" s="3635"/>
      <c r="AJ328" s="3635"/>
      <c r="AK328" s="3635"/>
      <c r="AL328" s="3635"/>
      <c r="AM328" s="3635"/>
      <c r="AN328" s="3635"/>
      <c r="AO328" s="3635"/>
      <c r="AP328" s="3635"/>
      <c r="AQ328" s="3635"/>
      <c r="AR328" s="3635"/>
      <c r="AS328" s="1702"/>
      <c r="AT328" s="1702"/>
      <c r="AU328" s="1702"/>
      <c r="AV328" s="1702"/>
      <c r="AW328" s="1702"/>
      <c r="AX328" s="1702"/>
      <c r="AY328" s="1702"/>
      <c r="AZ328" s="1702"/>
      <c r="BA328" s="1702"/>
      <c r="BB328" s="1703"/>
      <c r="BC328" s="1704"/>
      <c r="BD328" s="885"/>
      <c r="BE328" s="885"/>
      <c r="BF328" s="1041"/>
      <c r="BG328" s="1041"/>
      <c r="BH328" s="1041"/>
      <c r="BI328" s="678"/>
      <c r="BJ328" s="678"/>
    </row>
    <row s="1834" customFormat="1" customHeight="1" ht="0" hidden="1">
      <c r="A329" s="885"/>
      <c r="B329" s="440"/>
      <c r="C329" s="885"/>
      <c r="D329" s="885"/>
      <c r="E329" s="678">
        <v>15</v>
      </c>
      <c r="F329" s="50" cm="1" t="str">
        <f t="array" ref="F329:F329">OFFSET(E329,-1,1)</f>
        <v>4</v>
      </c>
      <c r="G329" s="152" t="s">
        <v>336</v>
      </c>
      <c r="H329" s="155" cm="1" t="str">
        <f t="array" ref="H329:H329">AC329</f>
        <v>Затраты</v>
      </c>
      <c r="I329" s="152" t="s">
        <v>1807</v>
      </c>
      <c r="J329" s="885"/>
      <c r="K329" s="911"/>
      <c r="L329" s="885"/>
      <c r="M329" s="885"/>
      <c r="N329" s="885"/>
      <c r="O329" s="885"/>
      <c r="P329" s="885"/>
      <c r="Q329" s="885"/>
      <c r="R329" s="885"/>
      <c r="S329" s="885"/>
      <c r="T329" s="465" cm="1" t="str">
        <f t="array" ref="T329:T329">T328</f>
        <v>false</v>
      </c>
      <c r="U329" s="885"/>
      <c r="V329" s="885"/>
      <c r="W329" s="885"/>
      <c r="X329" s="1524"/>
      <c r="Y329" s="1524"/>
      <c r="Z329" s="1615"/>
      <c r="AA329" s="1617"/>
      <c r="AB329" s="88" t="str">
        <f>AB328&amp;".1"</f>
        <v>4.0.1</v>
      </c>
      <c r="AC329" s="1705" t="s">
        <v>1783</v>
      </c>
      <c r="AD329" s="211" t="s">
        <v>1514</v>
      </c>
      <c r="AE329" s="3536"/>
      <c r="AF329" s="3536"/>
      <c r="AG329" s="3536"/>
      <c r="AH329" s="3536"/>
      <c r="AI329" s="3536"/>
      <c r="AJ329" s="3536"/>
      <c r="AK329" s="3536"/>
      <c r="AL329" s="3536"/>
      <c r="AM329" s="3536"/>
      <c r="AN329" s="3536"/>
      <c r="AO329" s="3536"/>
      <c r="AP329" s="3536"/>
      <c r="AQ329" s="3536"/>
      <c r="AR329" s="3536"/>
      <c r="AS329" s="3536"/>
      <c r="AT329" s="3536"/>
      <c r="AU329" s="3536"/>
      <c r="AV329" s="3536"/>
      <c r="AW329" s="3536"/>
      <c r="AX329" s="3536"/>
      <c r="AY329" s="3536"/>
      <c r="AZ329" s="3536"/>
      <c r="BA329" s="3536"/>
      <c r="BB329" s="3536"/>
      <c r="BC329" s="2070"/>
      <c r="BD329" s="885"/>
      <c r="BE329" s="885"/>
      <c r="BF329" s="1041" t="s">
        <v>1784</v>
      </c>
      <c r="BG329" s="1041" t="s">
        <v>1808</v>
      </c>
      <c r="BH329" s="1041" cm="1" t="str">
        <f t="array" ref="BH329:BH329">AC328</f>
        <v/>
      </c>
      <c r="BI329" s="678"/>
      <c r="BJ329" s="678" t="b">
        <v>1</v>
      </c>
    </row>
    <row s="1834" customFormat="1" customHeight="1" ht="0" hidden="1">
      <c r="A330" s="885"/>
      <c r="B330" s="440"/>
      <c r="C330" s="885"/>
      <c r="D330" s="885"/>
      <c r="E330" s="678">
        <v>15</v>
      </c>
      <c r="F330" s="50" cm="1" t="str">
        <f t="array" ref="F330:F330">OFFSET(E330,-1,1)</f>
        <v>4</v>
      </c>
      <c r="G330" s="152" t="s">
        <v>1249</v>
      </c>
      <c r="H330" s="155" cm="1" t="str">
        <f t="array" ref="H330:H330">H329</f>
        <v>Затраты</v>
      </c>
      <c r="I330" s="152" t="s">
        <v>1807</v>
      </c>
      <c r="J330" s="885"/>
      <c r="K330" s="911"/>
      <c r="L330" s="885"/>
      <c r="M330" s="885"/>
      <c r="N330" s="885"/>
      <c r="O330" s="885"/>
      <c r="P330" s="885"/>
      <c r="Q330" s="885"/>
      <c r="R330" s="885"/>
      <c r="S330" s="885"/>
      <c r="T330" s="465" cm="1" t="str">
        <f t="array" ref="T330:T330">T329</f>
        <v>false</v>
      </c>
      <c r="U330" s="885"/>
      <c r="V330" s="885"/>
      <c r="W330" s="885"/>
      <c r="X330" s="1524"/>
      <c r="Y330" s="1524"/>
      <c r="Z330" s="1615"/>
      <c r="AA330" s="1617"/>
      <c r="AB330" s="88" t="str">
        <f>AB329&amp;".1"</f>
        <v>4.0.1.1</v>
      </c>
      <c r="AC330" s="221" t="s">
        <v>1809</v>
      </c>
      <c r="AD330" s="88" t="s">
        <v>1247</v>
      </c>
      <c r="AE330" s="3536"/>
      <c r="AF330" s="3536"/>
      <c r="AG330" s="3536"/>
      <c r="AH330" s="3536"/>
      <c r="AI330" s="3536"/>
      <c r="AJ330" s="3536"/>
      <c r="AK330" s="3536"/>
      <c r="AL330" s="3536"/>
      <c r="AM330" s="3536"/>
      <c r="AN330" s="3536"/>
      <c r="AO330" s="3536"/>
      <c r="AP330" s="3536"/>
      <c r="AQ330" s="3536"/>
      <c r="AR330" s="3536"/>
      <c r="AS330" s="3536"/>
      <c r="AT330" s="3536"/>
      <c r="AU330" s="3536"/>
      <c r="AV330" s="3536"/>
      <c r="AW330" s="3536"/>
      <c r="AX330" s="3536"/>
      <c r="AY330" s="3536"/>
      <c r="AZ330" s="3536"/>
      <c r="BA330" s="3536"/>
      <c r="BB330" s="3536"/>
      <c r="BC330" s="2070"/>
      <c r="BD330" s="885"/>
      <c r="BE330" s="885"/>
      <c r="BF330" s="1041" t="s">
        <v>1787</v>
      </c>
      <c r="BG330" s="1041" t="s">
        <v>1808</v>
      </c>
      <c r="BH330" s="1041" cm="1" t="str">
        <f t="array" ref="BH330:BH330">BH329</f>
        <v/>
      </c>
      <c r="BI330" s="678"/>
      <c r="BJ330" s="678"/>
    </row>
    <row s="1834" customFormat="1" customHeight="1" ht="0" hidden="1">
      <c r="A331" s="885"/>
      <c r="B331" s="440"/>
      <c r="C331" s="885"/>
      <c r="D331" s="885"/>
      <c r="E331" s="678">
        <v>15</v>
      </c>
      <c r="F331" s="1387" cm="1" t="str">
        <f t="array" ref="F331:F331">OFFSET(E331,-1,1)</f>
        <v>4</v>
      </c>
      <c r="G331" s="885"/>
      <c r="H331" s="155"/>
      <c r="I331" s="885"/>
      <c r="J331" s="885"/>
      <c r="K331" s="911"/>
      <c r="L331" s="885"/>
      <c r="M331" s="885"/>
      <c r="N331" s="885"/>
      <c r="O331" s="885"/>
      <c r="P331" s="885"/>
      <c r="Q331" s="885"/>
      <c r="R331" s="885"/>
      <c r="S331" s="885"/>
      <c r="T331" s="1356" cm="1" t="str">
        <f t="array" ref="T331:T331">T330</f>
        <v>false</v>
      </c>
      <c r="U331" s="885"/>
      <c r="V331" s="885"/>
      <c r="W331" s="885"/>
      <c r="X331" s="684"/>
      <c r="Y331" s="1524"/>
      <c r="Z331" s="885"/>
      <c r="AA331" s="1697"/>
      <c r="AB331" s="1706" t="str">
        <f>AB329&amp;".2"</f>
        <v>4.0.1.2</v>
      </c>
      <c r="AC331" s="1707" t="s">
        <v>1810</v>
      </c>
      <c r="AD331" s="1706" t="s">
        <v>1789</v>
      </c>
      <c r="AE331" s="3644"/>
      <c r="AF331" s="3644"/>
      <c r="AG331" s="3644"/>
      <c r="AH331" s="3644"/>
      <c r="AI331" s="3644"/>
      <c r="AJ331" s="3644"/>
      <c r="AK331" s="3644"/>
      <c r="AL331" s="3644"/>
      <c r="AM331" s="3644"/>
      <c r="AN331" s="3644"/>
      <c r="AO331" s="3644"/>
      <c r="AP331" s="3644"/>
      <c r="AQ331" s="3644"/>
      <c r="AR331" s="3644"/>
      <c r="AS331" s="3644"/>
      <c r="AT331" s="3644"/>
      <c r="AU331" s="3644"/>
      <c r="AV331" s="3644"/>
      <c r="AW331" s="3644"/>
      <c r="AX331" s="3644"/>
      <c r="AY331" s="3644"/>
      <c r="AZ331" s="3644"/>
      <c r="BA331" s="3644"/>
      <c r="BB331" s="3644"/>
      <c r="BC331" s="3645"/>
      <c r="BD331" s="885"/>
      <c r="BE331" s="885"/>
      <c r="BF331" s="1041" t="s">
        <v>1790</v>
      </c>
      <c r="BG331" s="1041" t="s">
        <v>1808</v>
      </c>
      <c r="BH331" s="1710" cm="1" t="str">
        <f t="array" ref="BH331:BH331">BH330</f>
        <v/>
      </c>
      <c r="BI331" s="678"/>
      <c r="BJ331" s="678"/>
    </row>
    <row s="1834" customFormat="1" customHeight="1" ht="0">
      <c r="A332" s="885"/>
      <c r="B332" s="440"/>
      <c r="C332" s="885"/>
      <c r="D332" s="885"/>
      <c r="E332" s="678">
        <v>15</v>
      </c>
      <c r="F332" s="50" cm="1" t="str">
        <f t="array" ref="F332:F332">OFFSET(E332,-1,1)</f>
        <v>4</v>
      </c>
      <c r="G332" s="885"/>
      <c r="H332" s="152" t="str">
        <f>"!=='не определено' &amp;&amp; row.l4 !== null"</f>
        <v>!=='не определено' &amp;&amp; row.l4 !== null</v>
      </c>
      <c r="I332" s="885"/>
      <c r="J332" s="885"/>
      <c r="K332" s="911"/>
      <c r="L332" s="885"/>
      <c r="M332" s="885"/>
      <c r="N332" s="885"/>
      <c r="O332" s="885"/>
      <c r="P332" s="885"/>
      <c r="Q332" s="885"/>
      <c r="R332" s="885"/>
      <c r="S332" s="885"/>
      <c r="T332" s="465">
        <f>F332&gt;0</f>
        <v>1</v>
      </c>
      <c r="U332" s="885"/>
      <c r="V332" s="885"/>
      <c r="W332" s="685" t="s">
        <v>1811</v>
      </c>
      <c r="X332" s="1524"/>
      <c r="Y332" s="683"/>
      <c r="Z332" s="1615"/>
      <c r="AA332" s="885"/>
      <c r="AB332" s="681"/>
      <c r="AC332" s="232" t="s">
        <v>1792</v>
      </c>
      <c r="AD332" s="232"/>
      <c r="AE332" s="232"/>
      <c r="AF332" s="232"/>
      <c r="AG332" s="232"/>
      <c r="AH332" s="232"/>
      <c r="AI332" s="232"/>
      <c r="AJ332" s="232"/>
      <c r="AK332" s="232"/>
      <c r="AL332" s="232"/>
      <c r="AM332" s="232"/>
      <c r="AN332" s="232"/>
      <c r="AO332" s="232"/>
      <c r="AP332" s="232"/>
      <c r="AQ332" s="232"/>
      <c r="AR332" s="232"/>
      <c r="AS332" s="232"/>
      <c r="AT332" s="232"/>
      <c r="AU332" s="232"/>
      <c r="AV332" s="232"/>
      <c r="AW332" s="232"/>
      <c r="AX332" s="232"/>
      <c r="AY332" s="232"/>
      <c r="AZ332" s="232"/>
      <c r="BA332" s="232"/>
      <c r="BB332" s="232"/>
      <c r="BC332" s="233"/>
      <c r="BD332" s="885"/>
      <c r="BE332" s="885"/>
      <c r="BF332" s="1041"/>
      <c r="BG332" s="1041"/>
      <c r="BH332" s="1041"/>
      <c r="BI332" s="678" t="s">
        <v>1808</v>
      </c>
      <c r="BJ332" s="678"/>
    </row>
    <row s="1834" customFormat="1" customHeight="1" ht="0">
      <c r="A333" s="885"/>
      <c r="B333" s="440"/>
      <c r="C333" s="885"/>
      <c r="D333" s="885"/>
      <c r="E333" s="678">
        <v>23</v>
      </c>
      <c r="F333" s="50" cm="1" t="str">
        <f t="array" ref="F333:F333">OFFSET(E333,-1,1)</f>
        <v>4</v>
      </c>
      <c r="G333" s="885"/>
      <c r="H333" s="885"/>
      <c r="I333" s="885"/>
      <c r="J333" s="885"/>
      <c r="K333" s="911" t="str">
        <f>F305&amp;"5komm"</f>
        <v>45komm</v>
      </c>
      <c r="L333" s="915" cm="1" t="str">
        <f t="array" ref="L333:L333">BC333</f>
        <v>0</v>
      </c>
      <c r="M333" s="885"/>
      <c r="N333" s="885"/>
      <c r="O333" s="885"/>
      <c r="P333" s="885"/>
      <c r="Q333" s="885"/>
      <c r="R333" s="885"/>
      <c r="S333" s="885"/>
      <c r="T333" s="465" cm="1" t="str">
        <f t="array" ref="T333:T333">T332</f>
        <v>true</v>
      </c>
      <c r="U333" s="885"/>
      <c r="V333" s="885"/>
      <c r="W333" s="885"/>
      <c r="X333" s="1524"/>
      <c r="Y333" s="684"/>
      <c r="Z333" s="1615"/>
      <c r="AA333" s="885"/>
      <c r="AB333" s="211">
        <v>5</v>
      </c>
      <c r="AC333" s="212" t="s">
        <v>1812</v>
      </c>
      <c r="AD333" s="211" t="s">
        <v>1514</v>
      </c>
      <c r="AE333" s="213">
        <f>SUMIF(AD336:AD339,AD333,AE336:AE339)</f>
        <v>0</v>
      </c>
      <c r="AF333" s="213">
        <f>SUMIF(AD336:AD339,AD333,AF336:AF339)</f>
        <v>0</v>
      </c>
      <c r="AG333" s="213">
        <f>SUMIF(AD336:AD339,AD333,AG336:AG339)</f>
        <v>0</v>
      </c>
      <c r="AH333" s="213">
        <f>SUMIF(AD336:AD339,AD333,AH336:AH339)</f>
        <v>0</v>
      </c>
      <c r="AI333" s="213">
        <f>SUMIF(AD336:AD339,AD333,AI336:AI339)</f>
        <v>0</v>
      </c>
      <c r="AJ333" s="1460">
        <f>SUMIF(AD336:AD339,AD333,AJ336:AJ339)</f>
        <v>0</v>
      </c>
      <c r="AK333" s="1460">
        <f>SUMIF(AD336:AD339,AD333,AK336:AK339)</f>
        <v>0</v>
      </c>
      <c r="AL333" s="1460">
        <f>SUMIF(AD336:AD339,AD333,AL336:AL339)</f>
        <v>0</v>
      </c>
      <c r="AM333" s="1460">
        <f>SUMIF(AD336:AD339,AD333,AM336:AM339)</f>
        <v>0</v>
      </c>
      <c r="AN333" s="3626">
        <f>SUMIF(AD336:AD339,AD333,AN336:AN339)</f>
        <v>0</v>
      </c>
      <c r="AO333" s="3626">
        <f>SUMIF(AD336:AD339,AD333,AO336:AO339)</f>
        <v>0</v>
      </c>
      <c r="AP333" s="3626">
        <f>SUMIF(AD336:AD339,AD333,AP336:AP339)</f>
        <v>0</v>
      </c>
      <c r="AQ333" s="3626">
        <f>SUMIF(AD336:AD339,AD333,AQ336:AQ339)</f>
        <v>0</v>
      </c>
      <c r="AR333" s="3626">
        <f>SUMIF(AD336:AD339,AD333,AR336:AR339)</f>
        <v>0</v>
      </c>
      <c r="AS333" s="213">
        <f>SUMIF(AD336:AD339,AD333,AS336:AS339)</f>
        <v>0</v>
      </c>
      <c r="AT333" s="1460">
        <f>SUMIF(AD336:AD339,AD333,AT336:AT339)</f>
        <v>0</v>
      </c>
      <c r="AU333" s="1460">
        <f>SUMIF(AD336:AD339,AD333,AU336:AU339)</f>
        <v>0</v>
      </c>
      <c r="AV333" s="1460">
        <f>SUMIF(AD336:AD339,AD333,AV336:AV339)</f>
        <v>0</v>
      </c>
      <c r="AW333" s="1460">
        <f>SUMIF(AD336:AD339,AD333,AW336:AW339)</f>
        <v>0</v>
      </c>
      <c r="AX333" s="3626">
        <f>SUMIF(AD336:AD339,AD333,AX336:AX339)</f>
        <v>0</v>
      </c>
      <c r="AY333" s="3626">
        <f>SUMIF(AD336:AD339,AD333,AY336:AY339)</f>
        <v>0</v>
      </c>
      <c r="AZ333" s="3626">
        <f>SUMIF(AD336:AD339,AD333,AZ336:AZ339)</f>
        <v>0</v>
      </c>
      <c r="BA333" s="3626">
        <f>SUMIF(AD336:AD339,AD333,BA336:BA339)</f>
        <v>0</v>
      </c>
      <c r="BB333" s="3626">
        <f>SUMIF(AD336:AD339,AD333,BB336:BB339)</f>
        <v>0</v>
      </c>
      <c r="BC333" s="200"/>
      <c r="BD333" s="885"/>
      <c r="BE333" s="885"/>
      <c r="BF333" s="1041" t="s">
        <v>1813</v>
      </c>
      <c r="BG333" s="1041"/>
      <c r="BH333" s="1041"/>
      <c r="BI333" s="678"/>
      <c r="BJ333" s="678"/>
    </row>
    <row s="1834" customFormat="1" customHeight="1" ht="0" hidden="1">
      <c r="A334" s="885"/>
      <c r="B334" s="440"/>
      <c r="C334" s="885"/>
      <c r="D334" s="885"/>
      <c r="E334" s="678">
        <v>0</v>
      </c>
      <c r="F334" s="50" cm="1" t="str">
        <f t="array" ref="F334:F334">OFFSET(E334,-1,1)</f>
        <v>4</v>
      </c>
      <c r="G334" s="152" t="s">
        <v>335</v>
      </c>
      <c r="H334" s="885"/>
      <c r="I334" s="885"/>
      <c r="J334" s="885"/>
      <c r="K334" s="911"/>
      <c r="L334" s="915"/>
      <c r="M334" s="885"/>
      <c r="N334" s="885"/>
      <c r="O334" s="885"/>
      <c r="P334" s="885"/>
      <c r="Q334" s="885"/>
      <c r="R334" s="885"/>
      <c r="S334" s="885"/>
      <c r="T334" s="465" t="b">
        <v>0</v>
      </c>
      <c r="U334" s="885"/>
      <c r="V334" s="885"/>
      <c r="W334" s="152" t="s">
        <v>174</v>
      </c>
      <c r="X334" s="1524"/>
      <c r="Y334" s="1524">
        <v>0</v>
      </c>
      <c r="Z334" s="1615"/>
      <c r="AA334" s="1617" t="s">
        <v>175</v>
      </c>
      <c r="AB334" s="211"/>
      <c r="AC334" s="212"/>
      <c r="AD334" s="211"/>
      <c r="AE334" s="1368">
        <f>OR(AND(AE336&lt;&gt;"",AE337=""),AND(AE336="",AE337&lt;&gt;""))</f>
        <v>0</v>
      </c>
      <c r="AF334" s="1368">
        <f>OR(AND(AF336&lt;&gt;"",AF337=""),AND(AF336="",AF337&lt;&gt;""))</f>
        <v>0</v>
      </c>
      <c r="AG334" s="1368">
        <f>OR(AND(AG336&lt;&gt;"",AG337=""),AND(AG336="",AG337&lt;&gt;""))</f>
        <v>0</v>
      </c>
      <c r="AH334" s="1368">
        <f>OR(AND(AH336&lt;&gt;"",AH337=""),AND(AH336="",AH337&lt;&gt;""))</f>
        <v>0</v>
      </c>
      <c r="AI334" s="1368">
        <f>OR(AND(AI336&lt;&gt;"",AI337=""),AND(AI336="",AI337&lt;&gt;""))</f>
        <v>0</v>
      </c>
      <c r="AJ334" s="1368">
        <f>OR(AND(AJ336&lt;&gt;"",AJ337=""),AND(AJ336="",AJ337&lt;&gt;""))</f>
        <v>0</v>
      </c>
      <c r="AK334" s="1368">
        <f>OR(AND(AK336&lt;&gt;"",AK337=""),AND(AK336="",AK337&lt;&gt;""))</f>
        <v>0</v>
      </c>
      <c r="AL334" s="1368">
        <f>OR(AND(AL336&lt;&gt;"",AL337=""),AND(AL336="",AL337&lt;&gt;""))</f>
        <v>0</v>
      </c>
      <c r="AM334" s="1368">
        <f>OR(AND(AM336&lt;&gt;"",AM337=""),AND(AM336="",AM337&lt;&gt;""))</f>
        <v>0</v>
      </c>
      <c r="AN334" s="1368">
        <f>OR(AND(AN336&lt;&gt;"",AN337=""),AND(AN336="",AN337&lt;&gt;""))</f>
        <v>0</v>
      </c>
      <c r="AO334" s="1368">
        <f>OR(AND(AO336&lt;&gt;"",AO337=""),AND(AO336="",AO337&lt;&gt;""))</f>
        <v>0</v>
      </c>
      <c r="AP334" s="1368">
        <f>OR(AND(AP336&lt;&gt;"",AP337=""),AND(AP336="",AP337&lt;&gt;""))</f>
        <v>0</v>
      </c>
      <c r="AQ334" s="1368">
        <f>OR(AND(AQ336&lt;&gt;"",AQ337=""),AND(AQ336="",AQ337&lt;&gt;""))</f>
        <v>0</v>
      </c>
      <c r="AR334" s="1368">
        <f>OR(AND(AR336&lt;&gt;"",AR337=""),AND(AR336="",AR337&lt;&gt;""))</f>
        <v>0</v>
      </c>
      <c r="AS334" s="1368">
        <f>OR(AND(AS336&lt;&gt;"",AS337=""),AND(AS336="",AS337&lt;&gt;""))</f>
        <v>0</v>
      </c>
      <c r="AT334" s="1368">
        <f>OR(AND(AT336&lt;&gt;"",AT337=""),AND(AT336="",AT337&lt;&gt;""))</f>
        <v>0</v>
      </c>
      <c r="AU334" s="1368">
        <f>OR(AND(AU336&lt;&gt;"",AU337=""),AND(AU336="",AU337&lt;&gt;""))</f>
        <v>0</v>
      </c>
      <c r="AV334" s="1368">
        <f>OR(AND(AV336&lt;&gt;"",AV337=""),AND(AV336="",AV337&lt;&gt;""))</f>
        <v>0</v>
      </c>
      <c r="AW334" s="1368">
        <f>OR(AND(AW336&lt;&gt;"",AW337=""),AND(AW336="",AW337&lt;&gt;""))</f>
        <v>0</v>
      </c>
      <c r="AX334" s="1368">
        <f>OR(AND(AX336&lt;&gt;"",AX337=""),AND(AX336="",AX337&lt;&gt;""))</f>
        <v>0</v>
      </c>
      <c r="AY334" s="1368">
        <f>OR(AND(AY336&lt;&gt;"",AY337=""),AND(AY336="",AY337&lt;&gt;""))</f>
        <v>0</v>
      </c>
      <c r="AZ334" s="1368">
        <f>OR(AND(AZ336&lt;&gt;"",AZ337=""),AND(AZ336="",AZ337&lt;&gt;""))</f>
        <v>0</v>
      </c>
      <c r="BA334" s="1368">
        <f>OR(AND(BA336&lt;&gt;"",BA337=""),AND(BA336="",BA337&lt;&gt;""))</f>
        <v>0</v>
      </c>
      <c r="BB334" s="1368">
        <f>OR(AND(BB336&lt;&gt;"",BB337=""),AND(BB336="",BB337&lt;&gt;""))</f>
        <v>0</v>
      </c>
      <c r="BC334" s="974"/>
      <c r="BD334" s="885"/>
      <c r="BE334" s="885"/>
      <c r="BF334" s="1041"/>
      <c r="BG334" s="1041"/>
      <c r="BH334" s="1041"/>
      <c r="BI334" s="678"/>
      <c r="BJ334" s="678"/>
    </row>
    <row s="1834" customFormat="1" customHeight="1" ht="0" hidden="1">
      <c r="A335" s="885"/>
      <c r="B335" s="440"/>
      <c r="C335" s="885"/>
      <c r="D335" s="885"/>
      <c r="E335" s="678">
        <v>15</v>
      </c>
      <c r="F335" s="1387" cm="1" t="str">
        <f t="array" ref="F335:F335">OFFSET(E335,-1,1)</f>
        <v>4</v>
      </c>
      <c r="G335" s="885"/>
      <c r="H335" s="885"/>
      <c r="I335" s="885"/>
      <c r="J335" s="885"/>
      <c r="K335" s="911"/>
      <c r="L335" s="915"/>
      <c r="M335" s="885"/>
      <c r="N335" s="885"/>
      <c r="O335" s="885"/>
      <c r="P335" s="885"/>
      <c r="Q335" s="885"/>
      <c r="R335" s="885"/>
      <c r="S335" s="885"/>
      <c r="T335" s="1356">
        <f>AND(Y334&gt;0,F335&gt;0)</f>
        <v>0</v>
      </c>
      <c r="U335" s="885"/>
      <c r="V335" s="885"/>
      <c r="W335" s="885"/>
      <c r="X335" s="684"/>
      <c r="Y335" s="1524"/>
      <c r="Z335" s="885"/>
      <c r="AA335" s="1697"/>
      <c r="AB335" s="1698" t="str">
        <f>"5."&amp;Y334</f>
        <v>5.0</v>
      </c>
      <c r="AC335" s="1699" t="s">
        <v>227</v>
      </c>
      <c r="AD335" s="1700"/>
      <c r="AE335" s="3635"/>
      <c r="AF335" s="1702"/>
      <c r="AG335" s="3635"/>
      <c r="AH335" s="3635"/>
      <c r="AI335" s="3635"/>
      <c r="AJ335" s="3635"/>
      <c r="AK335" s="3635"/>
      <c r="AL335" s="3635"/>
      <c r="AM335" s="3635"/>
      <c r="AN335" s="3635"/>
      <c r="AO335" s="3635"/>
      <c r="AP335" s="3635"/>
      <c r="AQ335" s="3635"/>
      <c r="AR335" s="3635"/>
      <c r="AS335" s="1702"/>
      <c r="AT335" s="1702"/>
      <c r="AU335" s="1702"/>
      <c r="AV335" s="1702"/>
      <c r="AW335" s="1702"/>
      <c r="AX335" s="1702"/>
      <c r="AY335" s="1702"/>
      <c r="AZ335" s="1702"/>
      <c r="BA335" s="1702"/>
      <c r="BB335" s="1703"/>
      <c r="BC335" s="1704"/>
      <c r="BD335" s="885"/>
      <c r="BE335" s="885"/>
      <c r="BF335" s="1041"/>
      <c r="BG335" s="1041"/>
      <c r="BH335" s="1041"/>
      <c r="BI335" s="678"/>
      <c r="BJ335" s="678"/>
    </row>
    <row s="1834" customFormat="1" customHeight="1" ht="0" hidden="1">
      <c r="A336" s="885"/>
      <c r="B336" s="440"/>
      <c r="C336" s="885"/>
      <c r="D336" s="885"/>
      <c r="E336" s="678">
        <v>15</v>
      </c>
      <c r="F336" s="50" cm="1" t="str">
        <f t="array" ref="F336:F336">OFFSET(E336,-1,1)</f>
        <v>4</v>
      </c>
      <c r="G336" s="152" t="s">
        <v>335</v>
      </c>
      <c r="H336" s="155" cm="1" t="str">
        <f t="array" ref="H336:H336">AC336</f>
        <v>Затраты</v>
      </c>
      <c r="I336" s="152" t="s">
        <v>1814</v>
      </c>
      <c r="J336" s="885"/>
      <c r="K336" s="911"/>
      <c r="L336" s="885"/>
      <c r="M336" s="885"/>
      <c r="N336" s="885"/>
      <c r="O336" s="885"/>
      <c r="P336" s="885"/>
      <c r="Q336" s="885"/>
      <c r="R336" s="885"/>
      <c r="S336" s="885"/>
      <c r="T336" s="465" cm="1" t="str">
        <f t="array" ref="T336:T336">T335</f>
        <v>false</v>
      </c>
      <c r="U336" s="885"/>
      <c r="V336" s="885"/>
      <c r="W336" s="885"/>
      <c r="X336" s="1524"/>
      <c r="Y336" s="1524"/>
      <c r="Z336" s="1615"/>
      <c r="AA336" s="1617"/>
      <c r="AB336" s="88" t="str">
        <f>AB335&amp;".1"</f>
        <v>5.0.1</v>
      </c>
      <c r="AC336" s="1705" t="s">
        <v>1783</v>
      </c>
      <c r="AD336" s="211" t="s">
        <v>1514</v>
      </c>
      <c r="AE336" s="3536"/>
      <c r="AF336" s="3536"/>
      <c r="AG336" s="3536"/>
      <c r="AH336" s="3536"/>
      <c r="AI336" s="3536"/>
      <c r="AJ336" s="3536"/>
      <c r="AK336" s="3536"/>
      <c r="AL336" s="3536"/>
      <c r="AM336" s="3536"/>
      <c r="AN336" s="3536"/>
      <c r="AO336" s="3536"/>
      <c r="AP336" s="3536"/>
      <c r="AQ336" s="3536"/>
      <c r="AR336" s="3536"/>
      <c r="AS336" s="3536"/>
      <c r="AT336" s="3536"/>
      <c r="AU336" s="3536"/>
      <c r="AV336" s="3536"/>
      <c r="AW336" s="3536"/>
      <c r="AX336" s="3536"/>
      <c r="AY336" s="3536"/>
      <c r="AZ336" s="3536"/>
      <c r="BA336" s="3536"/>
      <c r="BB336" s="3536"/>
      <c r="BC336" s="2070"/>
      <c r="BD336" s="885"/>
      <c r="BE336" s="885"/>
      <c r="BF336" s="1041" t="s">
        <v>1784</v>
      </c>
      <c r="BG336" s="1041" t="s">
        <v>1815</v>
      </c>
      <c r="BH336" s="1041" cm="1" t="str">
        <f t="array" ref="BH336:BH336">AC335</f>
        <v/>
      </c>
      <c r="BI336" s="678"/>
      <c r="BJ336" s="678" t="b">
        <v>1</v>
      </c>
    </row>
    <row s="1834" customFormat="1" customHeight="1" ht="0" hidden="1">
      <c r="A337" s="885"/>
      <c r="B337" s="440"/>
      <c r="C337" s="885"/>
      <c r="D337" s="885"/>
      <c r="E337" s="678">
        <v>15</v>
      </c>
      <c r="F337" s="50" cm="1" t="str">
        <f t="array" ref="F337:F337">OFFSET(E337,-1,1)</f>
        <v>4</v>
      </c>
      <c r="G337" s="152" t="s">
        <v>1263</v>
      </c>
      <c r="H337" s="155" cm="1" t="str">
        <f t="array" ref="H337:H337">H336</f>
        <v>Затраты</v>
      </c>
      <c r="I337" s="152" t="s">
        <v>1814</v>
      </c>
      <c r="J337" s="885"/>
      <c r="K337" s="911"/>
      <c r="L337" s="885"/>
      <c r="M337" s="885"/>
      <c r="N337" s="885"/>
      <c r="O337" s="885"/>
      <c r="P337" s="885"/>
      <c r="Q337" s="885"/>
      <c r="R337" s="885"/>
      <c r="S337" s="885"/>
      <c r="T337" s="465" cm="1" t="str">
        <f t="array" ref="T337:T337">T336</f>
        <v>false</v>
      </c>
      <c r="U337" s="885"/>
      <c r="V337" s="885"/>
      <c r="W337" s="885"/>
      <c r="X337" s="1524"/>
      <c r="Y337" s="1524"/>
      <c r="Z337" s="1615"/>
      <c r="AA337" s="1617"/>
      <c r="AB337" s="88" t="str">
        <f>AB336&amp;".1"</f>
        <v>5.0.1.1</v>
      </c>
      <c r="AC337" s="221" t="s">
        <v>1816</v>
      </c>
      <c r="AD337" s="88" t="s">
        <v>1247</v>
      </c>
      <c r="AE337" s="3536"/>
      <c r="AF337" s="3536"/>
      <c r="AG337" s="3536"/>
      <c r="AH337" s="3536"/>
      <c r="AI337" s="3536"/>
      <c r="AJ337" s="3536"/>
      <c r="AK337" s="3536"/>
      <c r="AL337" s="3536"/>
      <c r="AM337" s="3536"/>
      <c r="AN337" s="3536"/>
      <c r="AO337" s="3536"/>
      <c r="AP337" s="3536"/>
      <c r="AQ337" s="3536"/>
      <c r="AR337" s="3536"/>
      <c r="AS337" s="3536"/>
      <c r="AT337" s="3536"/>
      <c r="AU337" s="3536"/>
      <c r="AV337" s="3536"/>
      <c r="AW337" s="3536"/>
      <c r="AX337" s="3536"/>
      <c r="AY337" s="3536"/>
      <c r="AZ337" s="3536"/>
      <c r="BA337" s="3536"/>
      <c r="BB337" s="3536"/>
      <c r="BC337" s="2070"/>
      <c r="BD337" s="885"/>
      <c r="BE337" s="885"/>
      <c r="BF337" s="1041" t="s">
        <v>1787</v>
      </c>
      <c r="BG337" s="1041" t="s">
        <v>1815</v>
      </c>
      <c r="BH337" s="1041" cm="1" t="str">
        <f t="array" ref="BH337:BH337">BH336</f>
        <v/>
      </c>
      <c r="BI337" s="678"/>
      <c r="BJ337" s="678"/>
    </row>
    <row s="1834" customFormat="1" customHeight="1" ht="0" hidden="1">
      <c r="A338" s="885"/>
      <c r="B338" s="440"/>
      <c r="C338" s="885"/>
      <c r="D338" s="885"/>
      <c r="E338" s="678">
        <v>15</v>
      </c>
      <c r="F338" s="1387" cm="1" t="str">
        <f t="array" ref="F338:F338">OFFSET(E338,-1,1)</f>
        <v>4</v>
      </c>
      <c r="G338" s="885"/>
      <c r="H338" s="155"/>
      <c r="I338" s="885"/>
      <c r="J338" s="885"/>
      <c r="K338" s="911"/>
      <c r="L338" s="885"/>
      <c r="M338" s="885"/>
      <c r="N338" s="885"/>
      <c r="O338" s="885"/>
      <c r="P338" s="885"/>
      <c r="Q338" s="885"/>
      <c r="R338" s="885"/>
      <c r="S338" s="885"/>
      <c r="T338" s="1356" cm="1" t="str">
        <f t="array" ref="T338:T338">T337</f>
        <v>false</v>
      </c>
      <c r="U338" s="885"/>
      <c r="V338" s="885"/>
      <c r="W338" s="885"/>
      <c r="X338" s="684"/>
      <c r="Y338" s="1524"/>
      <c r="Z338" s="885"/>
      <c r="AA338" s="1697"/>
      <c r="AB338" s="1706" t="str">
        <f>AB336&amp;".2"</f>
        <v>5.0.1.2</v>
      </c>
      <c r="AC338" s="1707" t="s">
        <v>1817</v>
      </c>
      <c r="AD338" s="1706" t="s">
        <v>1789</v>
      </c>
      <c r="AE338" s="3644"/>
      <c r="AF338" s="3644"/>
      <c r="AG338" s="3644"/>
      <c r="AH338" s="3644"/>
      <c r="AI338" s="3644"/>
      <c r="AJ338" s="3644"/>
      <c r="AK338" s="3644"/>
      <c r="AL338" s="3644"/>
      <c r="AM338" s="3644"/>
      <c r="AN338" s="3644"/>
      <c r="AO338" s="3644"/>
      <c r="AP338" s="3644"/>
      <c r="AQ338" s="3644"/>
      <c r="AR338" s="3644"/>
      <c r="AS338" s="3644"/>
      <c r="AT338" s="3644"/>
      <c r="AU338" s="3644"/>
      <c r="AV338" s="3644"/>
      <c r="AW338" s="3644"/>
      <c r="AX338" s="3644"/>
      <c r="AY338" s="3644"/>
      <c r="AZ338" s="3644"/>
      <c r="BA338" s="3644"/>
      <c r="BB338" s="3644"/>
      <c r="BC338" s="3645"/>
      <c r="BD338" s="885"/>
      <c r="BE338" s="885"/>
      <c r="BF338" s="1041" t="s">
        <v>1790</v>
      </c>
      <c r="BG338" s="1041" t="s">
        <v>1815</v>
      </c>
      <c r="BH338" s="1710" cm="1" t="str">
        <f t="array" ref="BH338:BH338">BH337</f>
        <v/>
      </c>
      <c r="BI338" s="678"/>
      <c r="BJ338" s="678"/>
    </row>
    <row s="1834" customFormat="1" customHeight="1" ht="0">
      <c r="A339" s="885"/>
      <c r="B339" s="440"/>
      <c r="C339" s="885"/>
      <c r="D339" s="885"/>
      <c r="E339" s="678">
        <v>15</v>
      </c>
      <c r="F339" s="50" cm="1" t="str">
        <f t="array" ref="F339:F339">OFFSET(E339,-1,1)</f>
        <v>4</v>
      </c>
      <c r="G339" s="885"/>
      <c r="H339" s="152" t="str">
        <f>"!=='не определено' &amp;&amp; row.l5 !== null"</f>
        <v>!=='не определено' &amp;&amp; row.l5 !== null</v>
      </c>
      <c r="I339" s="885"/>
      <c r="J339" s="885"/>
      <c r="K339" s="911"/>
      <c r="L339" s="885"/>
      <c r="M339" s="885"/>
      <c r="N339" s="885"/>
      <c r="O339" s="885"/>
      <c r="P339" s="885"/>
      <c r="Q339" s="885"/>
      <c r="R339" s="885"/>
      <c r="S339" s="885"/>
      <c r="T339" s="465">
        <f>F339&gt;0</f>
        <v>1</v>
      </c>
      <c r="U339" s="885"/>
      <c r="V339" s="885"/>
      <c r="W339" s="685" t="s">
        <v>1818</v>
      </c>
      <c r="X339" s="1524"/>
      <c r="Y339" s="169"/>
      <c r="Z339" s="1615"/>
      <c r="AA339" s="885"/>
      <c r="AB339" s="681"/>
      <c r="AC339" s="232" t="s">
        <v>1792</v>
      </c>
      <c r="AD339" s="232"/>
      <c r="AE339" s="232"/>
      <c r="AF339" s="232"/>
      <c r="AG339" s="232"/>
      <c r="AH339" s="232"/>
      <c r="AI339" s="232"/>
      <c r="AJ339" s="232"/>
      <c r="AK339" s="232"/>
      <c r="AL339" s="232"/>
      <c r="AM339" s="232"/>
      <c r="AN339" s="232"/>
      <c r="AO339" s="232"/>
      <c r="AP339" s="232"/>
      <c r="AQ339" s="232"/>
      <c r="AR339" s="232"/>
      <c r="AS339" s="232"/>
      <c r="AT339" s="232"/>
      <c r="AU339" s="232"/>
      <c r="AV339" s="232"/>
      <c r="AW339" s="232"/>
      <c r="AX339" s="232"/>
      <c r="AY339" s="232"/>
      <c r="AZ339" s="232"/>
      <c r="BA339" s="232"/>
      <c r="BB339" s="232"/>
      <c r="BC339" s="233"/>
      <c r="BD339" s="885"/>
      <c r="BE339" s="885"/>
      <c r="BF339" s="1041"/>
      <c r="BG339" s="1041"/>
      <c r="BH339" s="1041"/>
      <c r="BI339" s="678" t="s">
        <v>1815</v>
      </c>
      <c r="BJ339" s="678"/>
    </row>
    <row s="153" customFormat="1" customHeight="1" ht="0">
      <c r="A340" s="153"/>
      <c r="B340" s="441"/>
      <c r="C340" s="153"/>
      <c r="D340" s="153"/>
      <c r="E340" s="679">
        <v>15</v>
      </c>
      <c r="F340" s="50" cm="1" t="str">
        <f t="array" ref="F340:F340">OFFSET(E340,-1,1)</f>
        <v>4</v>
      </c>
      <c r="G340" s="152" t="s">
        <v>1225</v>
      </c>
      <c r="H340" s="153"/>
      <c r="I340" s="153"/>
      <c r="J340" s="153"/>
      <c r="K340" s="911" t="str">
        <f>F305&amp;"6komm"</f>
        <v>46komm</v>
      </c>
      <c r="L340" s="915" cm="1" t="str">
        <f t="array" ref="L340:L340">BC340</f>
        <v>0</v>
      </c>
      <c r="M340" s="153"/>
      <c r="N340" s="153"/>
      <c r="O340" s="153"/>
      <c r="P340" s="153"/>
      <c r="Q340" s="153"/>
      <c r="R340" s="153"/>
      <c r="S340" s="153"/>
      <c r="T340" s="465" cm="1" t="str">
        <f t="array" ref="T340:T340">T339</f>
        <v>true</v>
      </c>
      <c r="U340" s="153"/>
      <c r="V340" s="153"/>
      <c r="W340" s="153"/>
      <c r="X340" s="1524"/>
      <c r="Y340" s="153"/>
      <c r="Z340" s="1615"/>
      <c r="AA340" s="153"/>
      <c r="AB340" s="211">
        <v>6</v>
      </c>
      <c r="AC340" s="212" t="s">
        <v>1819</v>
      </c>
      <c r="AD340" s="211" t="s">
        <v>1514</v>
      </c>
      <c r="AE340" s="3657">
        <f>SUMIF($AC343:$AC350,"Затраты на тепловую энергию, всего",AE343:AE350)</f>
        <v>0</v>
      </c>
      <c r="AF340" s="3657">
        <f>SUMIF($AC343:$AC350,"Затраты на тепловую энергию, всего",AF343:AF350)</f>
        <v>0</v>
      </c>
      <c r="AG340" s="3657">
        <f>SUMIF($AC343:$AC350,"Затраты на тепловую энергию, всего",AG343:AG350)</f>
        <v>0</v>
      </c>
      <c r="AH340" s="3657">
        <f>SUMIF($AC343:$AC350,"Затраты на тепловую энергию, всего",AH343:AH350)</f>
        <v>0</v>
      </c>
      <c r="AI340" s="3657">
        <f>SUMIF($AC343:$AC350,"Затраты на тепловую энергию, всего",AI343:AI350)</f>
        <v>0</v>
      </c>
      <c r="AJ340" s="225">
        <f>SUMIF($AC343:$AC350,"Затраты на тепловую энергию, всего",AJ343:AJ350)</f>
        <v>0</v>
      </c>
      <c r="AK340" s="225">
        <f>SUMIF($AC343:$AC350,"Затраты на тепловую энергию, всего",AK343:AK350)</f>
        <v>0</v>
      </c>
      <c r="AL340" s="225">
        <f>SUMIF($AC343:$AC350,"Затраты на тепловую энергию, всего",AL343:AL350)</f>
        <v>0</v>
      </c>
      <c r="AM340" s="225">
        <f>SUMIF($AC343:$AC350,"Затраты на тепловую энергию, всего",AM343:AM350)</f>
        <v>0</v>
      </c>
      <c r="AN340" s="3658">
        <f>SUMIF($AC343:$AC350,"Затраты на тепловую энергию, всего",AN343:AN350)</f>
        <v>0</v>
      </c>
      <c r="AO340" s="3658">
        <f>SUMIF($AC343:$AC350,"Затраты на тепловую энергию, всего",AO343:AO350)</f>
        <v>0</v>
      </c>
      <c r="AP340" s="3658">
        <f>SUMIF($AC343:$AC350,"Затраты на тепловую энергию, всего",AP343:AP350)</f>
        <v>0</v>
      </c>
      <c r="AQ340" s="3658">
        <f>SUMIF($AC343:$AC350,"Затраты на тепловую энергию, всего",AQ343:AQ350)</f>
        <v>0</v>
      </c>
      <c r="AR340" s="3658">
        <f>SUMIF($AC343:$AC350,"Затраты на тепловую энергию, всего",AR343:AR350)</f>
        <v>0</v>
      </c>
      <c r="AS340" s="3657">
        <f>SUMIF($AC343:$AC350,"Затраты на тепловую энергию, всего",AS343:AS350)</f>
        <v>0</v>
      </c>
      <c r="AT340" s="225">
        <f>SUMIF($AC343:$AC350,"Затраты на тепловую энергию, всего",AT343:AT350)</f>
        <v>0</v>
      </c>
      <c r="AU340" s="225">
        <f>SUMIF($AC343:$AC350,"Затраты на тепловую энергию, всего",AU343:AU350)</f>
        <v>0</v>
      </c>
      <c r="AV340" s="225">
        <f>SUMIF($AC343:$AC350,"Затраты на тепловую энергию, всего",AV343:AV350)</f>
        <v>0</v>
      </c>
      <c r="AW340" s="225">
        <f>SUMIF($AC343:$AC350,"Затраты на тепловую энергию, всего",AW343:AW350)</f>
        <v>0</v>
      </c>
      <c r="AX340" s="3658">
        <f>SUMIF($AC343:$AC350,"Затраты на тепловую энергию, всего",AX343:AX350)</f>
        <v>0</v>
      </c>
      <c r="AY340" s="3658">
        <f>SUMIF($AC343:$AC350,"Затраты на тепловую энергию, всего",AY343:AY350)</f>
        <v>0</v>
      </c>
      <c r="AZ340" s="3658">
        <f>SUMIF($AC343:$AC350,"Затраты на тепловую энергию, всего",AZ343:AZ350)</f>
        <v>0</v>
      </c>
      <c r="BA340" s="3658">
        <f>SUMIF($AC343:$AC350,"Затраты на тепловую энергию, всего",BA343:BA350)</f>
        <v>0</v>
      </c>
      <c r="BB340" s="3658">
        <f>SUMIF($AC343:$AC350,"Затраты на тепловую энергию, всего",BB343:BB350)</f>
        <v>0</v>
      </c>
      <c r="BC340" s="200"/>
      <c r="BD340" s="153"/>
      <c r="BE340" s="153"/>
      <c r="BF340" s="1044" t="s">
        <v>1820</v>
      </c>
      <c r="BG340" s="1044"/>
      <c r="BH340" s="1044"/>
      <c r="BI340" s="679"/>
      <c r="BJ340" s="679"/>
    </row>
    <row s="1834" customFormat="1" customHeight="1" ht="0" hidden="1">
      <c r="A341" s="885"/>
      <c r="B341" s="441"/>
      <c r="C341" s="885"/>
      <c r="D341" s="885"/>
      <c r="E341" s="678">
        <v>15</v>
      </c>
      <c r="F341" s="1387" cm="1" t="str">
        <f t="array" ref="F341:F341">OFFSET(E341,-1,1)</f>
        <v>4</v>
      </c>
      <c r="G341" s="885"/>
      <c r="H341" s="885"/>
      <c r="I341" s="885"/>
      <c r="J341" s="885"/>
      <c r="K341" s="911"/>
      <c r="L341" s="915"/>
      <c r="M341" s="885"/>
      <c r="N341" s="885"/>
      <c r="O341" s="885"/>
      <c r="P341" s="885"/>
      <c r="Q341" s="885"/>
      <c r="R341" s="885"/>
      <c r="S341" s="885"/>
      <c r="T341" s="1356" t="b">
        <v>0</v>
      </c>
      <c r="U341" s="885"/>
      <c r="V341" s="885"/>
      <c r="W341" s="885" t="s">
        <v>174</v>
      </c>
      <c r="X341" s="684"/>
      <c r="Y341" s="1524">
        <v>0</v>
      </c>
      <c r="Z341" s="885"/>
      <c r="AA341" s="1714" t="s">
        <v>175</v>
      </c>
      <c r="AB341" s="1700"/>
      <c r="AC341" s="1522"/>
      <c r="AD341" s="1715"/>
      <c r="AE341" s="1716">
        <f>OR(AND(AE344&lt;&gt;"",AE345=""),AND(AE344="",AE345&lt;&gt;""))</f>
        <v>0</v>
      </c>
      <c r="AF341" s="1716">
        <f>OR(AND(AF344&lt;&gt;"",AF345=""),AND(AF344="",AF345&lt;&gt;""))</f>
        <v>0</v>
      </c>
      <c r="AG341" s="1716">
        <f>OR(AND(AG344&lt;&gt;"",AG345=""),AND(AG344="",AG345&lt;&gt;""))</f>
        <v>0</v>
      </c>
      <c r="AH341" s="1716">
        <f>OR(AND(AH344&lt;&gt;"",AH345=""),AND(AH344="",AH345&lt;&gt;""))</f>
        <v>0</v>
      </c>
      <c r="AI341" s="1716">
        <f>OR(AND(AI344&lt;&gt;"",AI345=""),AND(AI344="",AI345&lt;&gt;""))</f>
        <v>0</v>
      </c>
      <c r="AJ341" s="1716">
        <f>OR(AND(AJ344&lt;&gt;"",AJ345=""),AND(AJ344="",AJ345&lt;&gt;""))</f>
        <v>0</v>
      </c>
      <c r="AK341" s="1716">
        <f>OR(AND(AK344&lt;&gt;"",AK345=""),AND(AK344="",AK345&lt;&gt;""))</f>
        <v>0</v>
      </c>
      <c r="AL341" s="1716">
        <f>OR(AND(AL344&lt;&gt;"",AL345=""),AND(AL344="",AL345&lt;&gt;""))</f>
        <v>0</v>
      </c>
      <c r="AM341" s="1716">
        <f>OR(AND(AM344&lt;&gt;"",AM345=""),AND(AM344="",AM345&lt;&gt;""))</f>
        <v>0</v>
      </c>
      <c r="AN341" s="1716">
        <f>OR(AND(AN344&lt;&gt;"",AN345=""),AND(AN344="",AN345&lt;&gt;""))</f>
        <v>0</v>
      </c>
      <c r="AO341" s="1716">
        <f>OR(AND(AO344&lt;&gt;"",AO345=""),AND(AO344="",AO345&lt;&gt;""))</f>
        <v>0</v>
      </c>
      <c r="AP341" s="1716">
        <f>OR(AND(AP344&lt;&gt;"",AP345=""),AND(AP344="",AP345&lt;&gt;""))</f>
        <v>0</v>
      </c>
      <c r="AQ341" s="1716">
        <f>OR(AND(AQ344&lt;&gt;"",AQ345=""),AND(AQ344="",AQ345&lt;&gt;""))</f>
        <v>0</v>
      </c>
      <c r="AR341" s="1716">
        <f>OR(AND(AR344&lt;&gt;"",AR345=""),AND(AR344="",AR345&lt;&gt;""))</f>
        <v>0</v>
      </c>
      <c r="AS341" s="1716">
        <f>OR(AND(AS344&lt;&gt;"",AS345=""),AND(AS344="",AS345&lt;&gt;""))</f>
        <v>0</v>
      </c>
      <c r="AT341" s="1716">
        <f>OR(AND(AT344&lt;&gt;"",AT345=""),AND(AT344="",AT345&lt;&gt;""))</f>
        <v>0</v>
      </c>
      <c r="AU341" s="1716">
        <f>OR(AND(AU344&lt;&gt;"",AU345=""),AND(AU344="",AU345&lt;&gt;""))</f>
        <v>0</v>
      </c>
      <c r="AV341" s="1716">
        <f>OR(AND(AV344&lt;&gt;"",AV345=""),AND(AV344="",AV345&lt;&gt;""))</f>
        <v>0</v>
      </c>
      <c r="AW341" s="1716">
        <f>OR(AND(AW344&lt;&gt;"",AW345=""),AND(AW344="",AW345&lt;&gt;""))</f>
        <v>0</v>
      </c>
      <c r="AX341" s="1716">
        <f>OR(AND(AX344&lt;&gt;"",AX345=""),AND(AX344="",AX345&lt;&gt;""))</f>
        <v>0</v>
      </c>
      <c r="AY341" s="1716">
        <f>OR(AND(AY344&lt;&gt;"",AY345=""),AND(AY344="",AY345&lt;&gt;""))</f>
        <v>0</v>
      </c>
      <c r="AZ341" s="1716">
        <f>OR(AND(AZ344&lt;&gt;"",AZ345=""),AND(AZ344="",AZ345&lt;&gt;""))</f>
        <v>0</v>
      </c>
      <c r="BA341" s="1716">
        <f>OR(AND(BA344&lt;&gt;"",BA345=""),AND(BA344="",BA345&lt;&gt;""))</f>
        <v>0</v>
      </c>
      <c r="BB341" s="1716">
        <f>OR(AND(BB344&lt;&gt;"",BB345=""),AND(BB344="",BB345&lt;&gt;""))</f>
        <v>0</v>
      </c>
      <c r="BC341" s="1716"/>
      <c r="BD341" s="885"/>
      <c r="BE341" s="885"/>
      <c r="BF341" s="1044"/>
      <c r="BG341" s="1044"/>
      <c r="BH341" s="1044"/>
      <c r="BI341" s="679"/>
      <c r="BJ341" s="679"/>
    </row>
    <row s="1834" customFormat="1" customHeight="1" ht="0" hidden="1">
      <c r="A342" s="885"/>
      <c r="B342" s="441"/>
      <c r="C342" s="885"/>
      <c r="D342" s="885"/>
      <c r="E342" s="678">
        <v>15</v>
      </c>
      <c r="F342" s="1387" cm="1" t="str">
        <f t="array" ref="F342:F342">OFFSET(E342,-1,1)</f>
        <v>4</v>
      </c>
      <c r="G342" s="885"/>
      <c r="H342" s="885"/>
      <c r="I342" s="885"/>
      <c r="J342" s="885"/>
      <c r="K342" s="911"/>
      <c r="L342" s="915"/>
      <c r="M342" s="885"/>
      <c r="N342" s="885"/>
      <c r="O342" s="885"/>
      <c r="P342" s="885"/>
      <c r="Q342" s="885"/>
      <c r="R342" s="885"/>
      <c r="S342" s="885"/>
      <c r="T342" s="1356">
        <f>AND(F342&gt;0,Y341&gt;0)</f>
        <v>0</v>
      </c>
      <c r="U342" s="885"/>
      <c r="V342" s="885"/>
      <c r="W342" s="885"/>
      <c r="X342" s="684"/>
      <c r="Y342" s="1524"/>
      <c r="Z342" s="885"/>
      <c r="AA342" s="1714"/>
      <c r="AB342" s="1698" t="str">
        <f>"6."&amp;Y341</f>
        <v>6.0</v>
      </c>
      <c r="AC342" s="1717"/>
      <c r="AD342" s="1715"/>
      <c r="AE342" s="1702"/>
      <c r="AF342" s="1702"/>
      <c r="AG342" s="1702"/>
      <c r="AH342" s="1702"/>
      <c r="AI342" s="1702"/>
      <c r="AJ342" s="1702"/>
      <c r="AK342" s="1702"/>
      <c r="AL342" s="1702"/>
      <c r="AM342" s="1702"/>
      <c r="AN342" s="1702"/>
      <c r="AO342" s="1702"/>
      <c r="AP342" s="1702"/>
      <c r="AQ342" s="1702"/>
      <c r="AR342" s="1702"/>
      <c r="AS342" s="1702"/>
      <c r="AT342" s="1702"/>
      <c r="AU342" s="1702"/>
      <c r="AV342" s="1702"/>
      <c r="AW342" s="1702"/>
      <c r="AX342" s="1702"/>
      <c r="AY342" s="1702"/>
      <c r="AZ342" s="1702"/>
      <c r="BA342" s="1702"/>
      <c r="BB342" s="1702"/>
      <c r="BC342" s="1702"/>
      <c r="BD342" s="885"/>
      <c r="BE342" s="885"/>
      <c r="BF342" s="1044"/>
      <c r="BG342" s="1044"/>
      <c r="BH342" s="1044"/>
      <c r="BI342" s="679"/>
      <c r="BJ342" s="679"/>
    </row>
    <row s="1834" customFormat="1" customHeight="1" ht="0" hidden="1">
      <c r="A343" s="885"/>
      <c r="B343" s="441"/>
      <c r="C343" s="885"/>
      <c r="D343" s="885"/>
      <c r="E343" s="678">
        <v>15</v>
      </c>
      <c r="F343" s="1387" cm="1" t="str">
        <f t="array" ref="F343:F343">OFFSET(E343,-1,1)</f>
        <v>4</v>
      </c>
      <c r="G343" s="885"/>
      <c r="H343" s="885"/>
      <c r="I343" s="885"/>
      <c r="J343" s="885"/>
      <c r="K343" s="911"/>
      <c r="L343" s="915"/>
      <c r="M343" s="885"/>
      <c r="N343" s="885"/>
      <c r="O343" s="885"/>
      <c r="P343" s="885"/>
      <c r="Q343" s="885"/>
      <c r="R343" s="885"/>
      <c r="S343" s="885"/>
      <c r="T343" s="1356" cm="1" t="str">
        <f t="array" ref="T343:T343">T342</f>
        <v>false</v>
      </c>
      <c r="U343" s="885"/>
      <c r="V343" s="885"/>
      <c r="W343" s="885"/>
      <c r="X343" s="684"/>
      <c r="Y343" s="1524"/>
      <c r="Z343" s="885"/>
      <c r="AA343" s="1714"/>
      <c r="AB343" s="1698" t="str">
        <f>AB342&amp;".1"</f>
        <v>6.0.1</v>
      </c>
      <c r="AC343" s="1718" t="s">
        <v>1821</v>
      </c>
      <c r="AD343" s="1706" t="s">
        <v>1514</v>
      </c>
      <c r="AE343" s="3666">
        <f>AE344+AE347</f>
        <v>0</v>
      </c>
      <c r="AF343" s="3667">
        <f>AF344+AF347</f>
        <v>0</v>
      </c>
      <c r="AG343" s="3666">
        <f>AG344+AG347</f>
        <v>0</v>
      </c>
      <c r="AH343" s="3666">
        <f>AH344+AH347</f>
        <v>0</v>
      </c>
      <c r="AI343" s="3667">
        <f>AI344+AI347</f>
        <v>0</v>
      </c>
      <c r="AJ343" s="3668">
        <f>AJ344+AJ347</f>
        <v>0</v>
      </c>
      <c r="AK343" s="3668">
        <f>AK344+AK347</f>
        <v>0</v>
      </c>
      <c r="AL343" s="3668">
        <f>AL344+AL347</f>
        <v>0</v>
      </c>
      <c r="AM343" s="3668">
        <f>AM344+AM347</f>
        <v>0</v>
      </c>
      <c r="AN343" s="3668">
        <f>AN344+AN347</f>
        <v>0</v>
      </c>
      <c r="AO343" s="3668">
        <f>AO344+AO347</f>
        <v>0</v>
      </c>
      <c r="AP343" s="3668">
        <f>AP344+AP347</f>
        <v>0</v>
      </c>
      <c r="AQ343" s="3668">
        <f>AQ344+AQ347</f>
        <v>0</v>
      </c>
      <c r="AR343" s="3668">
        <f>AR344+AR347</f>
        <v>0</v>
      </c>
      <c r="AS343" s="3667">
        <f>AS344+AS347</f>
        <v>0</v>
      </c>
      <c r="AT343" s="3668">
        <f>AT344+AT347</f>
        <v>0</v>
      </c>
      <c r="AU343" s="3668">
        <f>AU344+AU347</f>
        <v>0</v>
      </c>
      <c r="AV343" s="3668">
        <f>AV344+AV347</f>
        <v>0</v>
      </c>
      <c r="AW343" s="3668">
        <f>AW344+AW347</f>
        <v>0</v>
      </c>
      <c r="AX343" s="3668">
        <f>AX344+AX347</f>
        <v>0</v>
      </c>
      <c r="AY343" s="3668">
        <f>AY344+AY347</f>
        <v>0</v>
      </c>
      <c r="AZ343" s="3668">
        <f>AZ344+AZ347</f>
        <v>0</v>
      </c>
      <c r="BA343" s="3668">
        <f>BA344+BA347</f>
        <v>0</v>
      </c>
      <c r="BB343" s="3668">
        <f>BB344+BB347</f>
        <v>0</v>
      </c>
      <c r="BC343" s="3645"/>
      <c r="BD343" s="885"/>
      <c r="BE343" s="885"/>
      <c r="BF343" s="1044" t="s">
        <v>1822</v>
      </c>
      <c r="BG343" s="1044" t="s">
        <v>1823</v>
      </c>
      <c r="BH343" s="1720" cm="1" t="str">
        <f t="array" ref="BH343:BH343">AC342</f>
        <v>0</v>
      </c>
      <c r="BI343" s="679"/>
      <c r="BJ343" s="679" t="b">
        <v>1</v>
      </c>
    </row>
    <row s="1834" customFormat="1" customHeight="1" ht="0" hidden="1">
      <c r="A344" s="885"/>
      <c r="B344" s="441"/>
      <c r="C344" s="885"/>
      <c r="D344" s="885"/>
      <c r="E344" s="678">
        <v>15</v>
      </c>
      <c r="F344" s="1387" cm="1" t="str">
        <f t="array" ref="F344:F344">OFFSET(E344,-1,1)</f>
        <v>4</v>
      </c>
      <c r="G344" s="885"/>
      <c r="H344" s="885"/>
      <c r="I344" s="885"/>
      <c r="J344" s="885"/>
      <c r="K344" s="911"/>
      <c r="L344" s="915"/>
      <c r="M344" s="885"/>
      <c r="N344" s="885"/>
      <c r="O344" s="885"/>
      <c r="P344" s="885"/>
      <c r="Q344" s="885"/>
      <c r="R344" s="885"/>
      <c r="S344" s="885"/>
      <c r="T344" s="1356" cm="1" t="str">
        <f t="array" ref="T344:T344">T343</f>
        <v>false</v>
      </c>
      <c r="U344" s="885"/>
      <c r="V344" s="885"/>
      <c r="W344" s="885"/>
      <c r="X344" s="684"/>
      <c r="Y344" s="1524"/>
      <c r="Z344" s="885"/>
      <c r="AA344" s="1714"/>
      <c r="AB344" s="1698" t="str">
        <f>AB343&amp;".1"</f>
        <v>6.0.1.1</v>
      </c>
      <c r="AC344" s="1721" t="s">
        <v>1824</v>
      </c>
      <c r="AD344" s="1722" t="s">
        <v>1514</v>
      </c>
      <c r="AE344" s="3644"/>
      <c r="AF344" s="3644"/>
      <c r="AG344" s="3644"/>
      <c r="AH344" s="3644"/>
      <c r="AI344" s="3644"/>
      <c r="AJ344" s="3644"/>
      <c r="AK344" s="3644"/>
      <c r="AL344" s="3644"/>
      <c r="AM344" s="3644"/>
      <c r="AN344" s="3644"/>
      <c r="AO344" s="3644"/>
      <c r="AP344" s="3644"/>
      <c r="AQ344" s="3644"/>
      <c r="AR344" s="3644"/>
      <c r="AS344" s="3644"/>
      <c r="AT344" s="3644"/>
      <c r="AU344" s="3644"/>
      <c r="AV344" s="3644"/>
      <c r="AW344" s="3644"/>
      <c r="AX344" s="3644"/>
      <c r="AY344" s="3644"/>
      <c r="AZ344" s="3644"/>
      <c r="BA344" s="3644"/>
      <c r="BB344" s="3644"/>
      <c r="BC344" s="3645"/>
      <c r="BD344" s="885"/>
      <c r="BE344" s="885"/>
      <c r="BF344" s="1044" t="s">
        <v>1825</v>
      </c>
      <c r="BG344" s="1044" t="s">
        <v>1823</v>
      </c>
      <c r="BH344" s="1720" cm="1" t="str">
        <f t="array" ref="BH344:BH344">BH343</f>
        <v>0</v>
      </c>
      <c r="BI344" s="679"/>
      <c r="BJ344" s="679"/>
    </row>
    <row s="1834" customFormat="1" customHeight="1" ht="0" hidden="1">
      <c r="A345" s="885"/>
      <c r="B345" s="441"/>
      <c r="C345" s="885"/>
      <c r="D345" s="885"/>
      <c r="E345" s="678">
        <v>15</v>
      </c>
      <c r="F345" s="1387" cm="1" t="str">
        <f t="array" ref="F345:F345">OFFSET(E345,-1,1)</f>
        <v>4</v>
      </c>
      <c r="G345" s="885"/>
      <c r="H345" s="885"/>
      <c r="I345" s="885"/>
      <c r="J345" s="885"/>
      <c r="K345" s="911"/>
      <c r="L345" s="915"/>
      <c r="M345" s="885"/>
      <c r="N345" s="885"/>
      <c r="O345" s="885"/>
      <c r="P345" s="885"/>
      <c r="Q345" s="885"/>
      <c r="R345" s="885"/>
      <c r="S345" s="885"/>
      <c r="T345" s="1356" cm="1" t="str">
        <f t="array" ref="T345:T345">T344</f>
        <v>false</v>
      </c>
      <c r="U345" s="885"/>
      <c r="V345" s="885"/>
      <c r="W345" s="885"/>
      <c r="X345" s="684"/>
      <c r="Y345" s="1524"/>
      <c r="Z345" s="885"/>
      <c r="AA345" s="1714"/>
      <c r="AB345" s="1698" t="str">
        <f>AB344&amp;".1"</f>
        <v>6.0.1.1.1</v>
      </c>
      <c r="AC345" s="1723" t="s">
        <v>1826</v>
      </c>
      <c r="AD345" s="1706" t="s">
        <v>1827</v>
      </c>
      <c r="AE345" s="3644"/>
      <c r="AF345" s="3644"/>
      <c r="AG345" s="3644"/>
      <c r="AH345" s="3644"/>
      <c r="AI345" s="3644"/>
      <c r="AJ345" s="3644"/>
      <c r="AK345" s="3644"/>
      <c r="AL345" s="3644"/>
      <c r="AM345" s="3644"/>
      <c r="AN345" s="3644"/>
      <c r="AO345" s="3644"/>
      <c r="AP345" s="3644"/>
      <c r="AQ345" s="3644"/>
      <c r="AR345" s="3644"/>
      <c r="AS345" s="3644"/>
      <c r="AT345" s="3644"/>
      <c r="AU345" s="3644"/>
      <c r="AV345" s="3644"/>
      <c r="AW345" s="3644"/>
      <c r="AX345" s="3644"/>
      <c r="AY345" s="3644"/>
      <c r="AZ345" s="3644"/>
      <c r="BA345" s="3644"/>
      <c r="BB345" s="3644"/>
      <c r="BC345" s="3645"/>
      <c r="BD345" s="885"/>
      <c r="BE345" s="885"/>
      <c r="BF345" s="1044" t="s">
        <v>1828</v>
      </c>
      <c r="BG345" s="1044" t="s">
        <v>1823</v>
      </c>
      <c r="BH345" s="1720" cm="1" t="str">
        <f t="array" ref="BH345:BH345">BH344</f>
        <v>0</v>
      </c>
      <c r="BI345" s="679"/>
      <c r="BJ345" s="679"/>
    </row>
    <row s="1834" customFormat="1" customHeight="1" ht="0" hidden="1">
      <c r="A346" s="885"/>
      <c r="B346" s="441"/>
      <c r="C346" s="885"/>
      <c r="D346" s="885"/>
      <c r="E346" s="678">
        <v>15</v>
      </c>
      <c r="F346" s="1387" cm="1" t="str">
        <f t="array" ref="F346:F346">OFFSET(E346,-1,1)</f>
        <v>4</v>
      </c>
      <c r="G346" s="885"/>
      <c r="H346" s="885"/>
      <c r="I346" s="885"/>
      <c r="J346" s="885"/>
      <c r="K346" s="911"/>
      <c r="L346" s="915"/>
      <c r="M346" s="885"/>
      <c r="N346" s="885"/>
      <c r="O346" s="885"/>
      <c r="P346" s="885"/>
      <c r="Q346" s="885"/>
      <c r="R346" s="885"/>
      <c r="S346" s="885"/>
      <c r="T346" s="1356" cm="1" t="str">
        <f t="array" ref="T346:T346">T345</f>
        <v>false</v>
      </c>
      <c r="U346" s="885"/>
      <c r="V346" s="885"/>
      <c r="W346" s="885"/>
      <c r="X346" s="684"/>
      <c r="Y346" s="1524"/>
      <c r="Z346" s="885"/>
      <c r="AA346" s="1714"/>
      <c r="AB346" s="1698" t="str">
        <f>AB344&amp;".2"</f>
        <v>6.0.1.1.2</v>
      </c>
      <c r="AC346" s="1723" t="s">
        <v>1829</v>
      </c>
      <c r="AD346" s="1706" t="s">
        <v>1830</v>
      </c>
      <c r="AE346" s="3644"/>
      <c r="AF346" s="3644"/>
      <c r="AG346" s="3644"/>
      <c r="AH346" s="3644"/>
      <c r="AI346" s="3644"/>
      <c r="AJ346" s="3644"/>
      <c r="AK346" s="3644"/>
      <c r="AL346" s="3644"/>
      <c r="AM346" s="3644"/>
      <c r="AN346" s="3644"/>
      <c r="AO346" s="3644"/>
      <c r="AP346" s="3644"/>
      <c r="AQ346" s="3644"/>
      <c r="AR346" s="3644"/>
      <c r="AS346" s="3644"/>
      <c r="AT346" s="3644"/>
      <c r="AU346" s="3644"/>
      <c r="AV346" s="3644"/>
      <c r="AW346" s="3644"/>
      <c r="AX346" s="3644"/>
      <c r="AY346" s="3644"/>
      <c r="AZ346" s="3644"/>
      <c r="BA346" s="3644"/>
      <c r="BB346" s="3644"/>
      <c r="BC346" s="3645"/>
      <c r="BD346" s="885"/>
      <c r="BE346" s="885"/>
      <c r="BF346" s="1044" t="s">
        <v>1831</v>
      </c>
      <c r="BG346" s="1044" t="s">
        <v>1823</v>
      </c>
      <c r="BH346" s="1720" cm="1" t="str">
        <f t="array" ref="BH346:BH346">BH345</f>
        <v>0</v>
      </c>
      <c r="BI346" s="679"/>
      <c r="BJ346" s="679"/>
    </row>
    <row s="1834" customFormat="1" customHeight="1" ht="0" hidden="1">
      <c r="A347" s="885"/>
      <c r="B347" s="441"/>
      <c r="C347" s="885"/>
      <c r="D347" s="885"/>
      <c r="E347" s="678">
        <v>15</v>
      </c>
      <c r="F347" s="1387" cm="1" t="str">
        <f t="array" ref="F347:F347">OFFSET(E347,-1,1)</f>
        <v>4</v>
      </c>
      <c r="G347" s="885"/>
      <c r="H347" s="885"/>
      <c r="I347" s="885"/>
      <c r="J347" s="885"/>
      <c r="K347" s="911"/>
      <c r="L347" s="915"/>
      <c r="M347" s="885"/>
      <c r="N347" s="885"/>
      <c r="O347" s="885"/>
      <c r="P347" s="885"/>
      <c r="Q347" s="885"/>
      <c r="R347" s="885"/>
      <c r="S347" s="885"/>
      <c r="T347" s="1356" cm="1" t="str">
        <f t="array" ref="T347:T347">T346</f>
        <v>false</v>
      </c>
      <c r="U347" s="885"/>
      <c r="V347" s="885"/>
      <c r="W347" s="885"/>
      <c r="X347" s="684"/>
      <c r="Y347" s="1524"/>
      <c r="Z347" s="885"/>
      <c r="AA347" s="1714"/>
      <c r="AB347" s="1698" t="str">
        <f>AB343&amp;".2"</f>
        <v>6.0.1.2</v>
      </c>
      <c r="AC347" s="1707" t="s">
        <v>1832</v>
      </c>
      <c r="AD347" s="1706" t="s">
        <v>1514</v>
      </c>
      <c r="AE347" s="3644"/>
      <c r="AF347" s="3644"/>
      <c r="AG347" s="3644"/>
      <c r="AH347" s="3644"/>
      <c r="AI347" s="3644"/>
      <c r="AJ347" s="3644"/>
      <c r="AK347" s="3644"/>
      <c r="AL347" s="3644"/>
      <c r="AM347" s="3644"/>
      <c r="AN347" s="3644"/>
      <c r="AO347" s="3644"/>
      <c r="AP347" s="3644"/>
      <c r="AQ347" s="3644"/>
      <c r="AR347" s="3644"/>
      <c r="AS347" s="3644"/>
      <c r="AT347" s="3644"/>
      <c r="AU347" s="3644"/>
      <c r="AV347" s="3644"/>
      <c r="AW347" s="3644"/>
      <c r="AX347" s="3644"/>
      <c r="AY347" s="3644"/>
      <c r="AZ347" s="3644"/>
      <c r="BA347" s="3644"/>
      <c r="BB347" s="3644"/>
      <c r="BC347" s="3645"/>
      <c r="BD347" s="885"/>
      <c r="BE347" s="885"/>
      <c r="BF347" s="1044" t="s">
        <v>1833</v>
      </c>
      <c r="BG347" s="1044" t="s">
        <v>1823</v>
      </c>
      <c r="BH347" s="1720" cm="1" t="str">
        <f t="array" ref="BH347:BH347">BH346</f>
        <v>0</v>
      </c>
      <c r="BI347" s="679"/>
      <c r="BJ347" s="679"/>
    </row>
    <row s="1834" customFormat="1" customHeight="1" ht="0" hidden="1">
      <c r="A348" s="885"/>
      <c r="B348" s="441"/>
      <c r="C348" s="885"/>
      <c r="D348" s="885"/>
      <c r="E348" s="678">
        <v>15</v>
      </c>
      <c r="F348" s="1387" cm="1" t="str">
        <f t="array" ref="F348:F348">OFFSET(E348,-1,1)</f>
        <v>4</v>
      </c>
      <c r="G348" s="885"/>
      <c r="H348" s="885"/>
      <c r="I348" s="885"/>
      <c r="J348" s="885"/>
      <c r="K348" s="911"/>
      <c r="L348" s="915"/>
      <c r="M348" s="885"/>
      <c r="N348" s="885"/>
      <c r="O348" s="885"/>
      <c r="P348" s="885"/>
      <c r="Q348" s="885"/>
      <c r="R348" s="885"/>
      <c r="S348" s="885"/>
      <c r="T348" s="1356" cm="1" t="str">
        <f t="array" ref="T348:T348">T347</f>
        <v>false</v>
      </c>
      <c r="U348" s="885"/>
      <c r="V348" s="885"/>
      <c r="W348" s="885"/>
      <c r="X348" s="684"/>
      <c r="Y348" s="1524"/>
      <c r="Z348" s="885"/>
      <c r="AA348" s="1714"/>
      <c r="AB348" s="1698" t="str">
        <f>AB347&amp;".1"</f>
        <v>6.0.1.2.1</v>
      </c>
      <c r="AC348" s="1723" t="s">
        <v>1834</v>
      </c>
      <c r="AD348" s="1706" t="s">
        <v>1835</v>
      </c>
      <c r="AE348" s="3644"/>
      <c r="AF348" s="3644"/>
      <c r="AG348" s="3644"/>
      <c r="AH348" s="3644"/>
      <c r="AI348" s="3644"/>
      <c r="AJ348" s="3644"/>
      <c r="AK348" s="3644"/>
      <c r="AL348" s="3644"/>
      <c r="AM348" s="3644"/>
      <c r="AN348" s="3644"/>
      <c r="AO348" s="3644"/>
      <c r="AP348" s="3644"/>
      <c r="AQ348" s="3644"/>
      <c r="AR348" s="3644"/>
      <c r="AS348" s="3644"/>
      <c r="AT348" s="3644"/>
      <c r="AU348" s="3644"/>
      <c r="AV348" s="3644"/>
      <c r="AW348" s="3644"/>
      <c r="AX348" s="3644"/>
      <c r="AY348" s="3644"/>
      <c r="AZ348" s="3644"/>
      <c r="BA348" s="3644"/>
      <c r="BB348" s="3644"/>
      <c r="BC348" s="3645"/>
      <c r="BD348" s="885"/>
      <c r="BE348" s="885"/>
      <c r="BF348" s="1044" t="s">
        <v>1836</v>
      </c>
      <c r="BG348" s="1044" t="s">
        <v>1823</v>
      </c>
      <c r="BH348" s="1720" cm="1" t="str">
        <f t="array" ref="BH348:BH348">BH347</f>
        <v>0</v>
      </c>
      <c r="BI348" s="679"/>
      <c r="BJ348" s="679"/>
    </row>
    <row s="1834" customFormat="1" customHeight="1" ht="0" hidden="1">
      <c r="A349" s="885"/>
      <c r="B349" s="441"/>
      <c r="C349" s="885"/>
      <c r="D349" s="885"/>
      <c r="E349" s="678">
        <v>15</v>
      </c>
      <c r="F349" s="1387" cm="1" t="str">
        <f t="array" ref="F349:F349">OFFSET(E349,-1,1)</f>
        <v>4</v>
      </c>
      <c r="G349" s="885"/>
      <c r="H349" s="885"/>
      <c r="I349" s="885"/>
      <c r="J349" s="885"/>
      <c r="K349" s="911"/>
      <c r="L349" s="915"/>
      <c r="M349" s="885"/>
      <c r="N349" s="885"/>
      <c r="O349" s="885"/>
      <c r="P349" s="885"/>
      <c r="Q349" s="885"/>
      <c r="R349" s="885"/>
      <c r="S349" s="885"/>
      <c r="T349" s="1356" cm="1" t="str">
        <f t="array" ref="T349:T349">T348</f>
        <v>false</v>
      </c>
      <c r="U349" s="885"/>
      <c r="V349" s="885"/>
      <c r="W349" s="885"/>
      <c r="X349" s="684"/>
      <c r="Y349" s="1524"/>
      <c r="Z349" s="885"/>
      <c r="AA349" s="1714"/>
      <c r="AB349" s="1698" t="str">
        <f>AB347&amp;".2"</f>
        <v>6.0.1.2.2</v>
      </c>
      <c r="AC349" s="1723" t="s">
        <v>1837</v>
      </c>
      <c r="AD349" s="1706" t="s">
        <v>1838</v>
      </c>
      <c r="AE349" s="3644"/>
      <c r="AF349" s="3644"/>
      <c r="AG349" s="3644"/>
      <c r="AH349" s="3644"/>
      <c r="AI349" s="3644"/>
      <c r="AJ349" s="3644"/>
      <c r="AK349" s="3644"/>
      <c r="AL349" s="3644"/>
      <c r="AM349" s="3644"/>
      <c r="AN349" s="3644"/>
      <c r="AO349" s="3644"/>
      <c r="AP349" s="3644"/>
      <c r="AQ349" s="3644"/>
      <c r="AR349" s="3644"/>
      <c r="AS349" s="3644"/>
      <c r="AT349" s="3644"/>
      <c r="AU349" s="3644"/>
      <c r="AV349" s="3644"/>
      <c r="AW349" s="3644"/>
      <c r="AX349" s="3644"/>
      <c r="AY349" s="3644"/>
      <c r="AZ349" s="3644"/>
      <c r="BA349" s="3644"/>
      <c r="BB349" s="3644"/>
      <c r="BC349" s="3645"/>
      <c r="BD349" s="885"/>
      <c r="BE349" s="885"/>
      <c r="BF349" s="1044" t="s">
        <v>1839</v>
      </c>
      <c r="BG349" s="1044" t="s">
        <v>1823</v>
      </c>
      <c r="BH349" s="1720" cm="1" t="str">
        <f t="array" ref="BH349:BH349">BH348</f>
        <v>0</v>
      </c>
      <c r="BI349" s="679"/>
      <c r="BJ349" s="679"/>
    </row>
    <row s="1834" customFormat="1" customHeight="1" ht="0">
      <c r="A350" s="885"/>
      <c r="B350" s="441"/>
      <c r="C350" s="885"/>
      <c r="D350" s="885"/>
      <c r="E350" s="678">
        <v>15</v>
      </c>
      <c r="F350" s="1387" cm="1" t="str">
        <f t="array" ref="F350:F350">OFFSET(E350,-1,1)</f>
        <v>4</v>
      </c>
      <c r="G350" s="885"/>
      <c r="H350" s="885"/>
      <c r="I350" s="885"/>
      <c r="J350" s="885"/>
      <c r="K350" s="911"/>
      <c r="L350" s="915"/>
      <c r="M350" s="885"/>
      <c r="N350" s="885"/>
      <c r="O350" s="885"/>
      <c r="P350" s="885"/>
      <c r="Q350" s="885"/>
      <c r="R350" s="885"/>
      <c r="S350" s="885"/>
      <c r="T350" s="1356">
        <f>F350&gt;0</f>
        <v>1</v>
      </c>
      <c r="U350" s="885"/>
      <c r="V350" s="885"/>
      <c r="W350" s="685" t="s">
        <v>1840</v>
      </c>
      <c r="X350" s="684"/>
      <c r="Y350" s="1519"/>
      <c r="Z350" s="885"/>
      <c r="AA350" s="1680"/>
      <c r="AB350" s="1724"/>
      <c r="AC350" s="1725" t="s">
        <v>1792</v>
      </c>
      <c r="AD350" s="1726"/>
      <c r="AE350" s="1727"/>
      <c r="AF350" s="1727"/>
      <c r="AG350" s="1727"/>
      <c r="AH350" s="1727"/>
      <c r="AI350" s="1727"/>
      <c r="AJ350" s="1727"/>
      <c r="AK350" s="1727"/>
      <c r="AL350" s="1727"/>
      <c r="AM350" s="1727"/>
      <c r="AN350" s="1727"/>
      <c r="AO350" s="1727"/>
      <c r="AP350" s="1727"/>
      <c r="AQ350" s="1727"/>
      <c r="AR350" s="1727"/>
      <c r="AS350" s="1727"/>
      <c r="AT350" s="1727"/>
      <c r="AU350" s="1727"/>
      <c r="AV350" s="1727"/>
      <c r="AW350" s="1727"/>
      <c r="AX350" s="1727"/>
      <c r="AY350" s="1727"/>
      <c r="AZ350" s="1727"/>
      <c r="BA350" s="1727"/>
      <c r="BB350" s="1727"/>
      <c r="BC350" s="1727"/>
      <c r="BD350" s="885"/>
      <c r="BE350" s="885"/>
      <c r="BF350" s="1044"/>
      <c r="BG350" s="1044"/>
      <c r="BH350" s="1044"/>
      <c r="BI350" s="679" t="s">
        <v>1823</v>
      </c>
      <c r="BJ350" s="679"/>
    </row>
    <row s="153" customFormat="1" customHeight="1" ht="0">
      <c r="A351" s="153"/>
      <c r="B351" s="441"/>
      <c r="C351" s="153"/>
      <c r="D351" s="153"/>
      <c r="E351" s="679">
        <v>15</v>
      </c>
      <c r="F351" s="50" cm="1" t="str">
        <f t="array" ref="F351:F351">OFFSET(E351,-1,1)</f>
        <v>4</v>
      </c>
      <c r="G351" s="152" t="s">
        <v>1228</v>
      </c>
      <c r="H351" s="153"/>
      <c r="I351" s="153"/>
      <c r="J351" s="153"/>
      <c r="K351" s="911" t="str">
        <f>F305&amp;"7komm"</f>
        <v>47komm</v>
      </c>
      <c r="L351" s="915" cm="1" t="str">
        <f t="array" ref="L351:L351">BC351</f>
        <v>0</v>
      </c>
      <c r="M351" s="153"/>
      <c r="N351" s="153"/>
      <c r="O351" s="153"/>
      <c r="P351" s="153"/>
      <c r="Q351" s="153"/>
      <c r="R351" s="153"/>
      <c r="S351" s="153"/>
      <c r="T351" s="465" cm="1" t="str">
        <f t="array" ref="T351:T351">T340</f>
        <v>true</v>
      </c>
      <c r="U351" s="153"/>
      <c r="V351" s="153"/>
      <c r="W351" s="153"/>
      <c r="X351" s="1524"/>
      <c r="Y351" s="153"/>
      <c r="Z351" s="1615"/>
      <c r="AA351" s="153"/>
      <c r="AB351" s="211">
        <v>7</v>
      </c>
      <c r="AC351" s="212" t="s">
        <v>1841</v>
      </c>
      <c r="AD351" s="211" t="s">
        <v>1514</v>
      </c>
      <c r="AE351" s="3657">
        <f>SUMIF($AD354:$AD357,$AD351,AE354:AE357)</f>
        <v>0</v>
      </c>
      <c r="AF351" s="3657">
        <f>SUMIF($AD354:$AD357,$AD351,AF354:AF357)</f>
        <v>0</v>
      </c>
      <c r="AG351" s="3657">
        <f>SUMIF($AD354:$AD357,$AD351,AG354:AG357)</f>
        <v>0</v>
      </c>
      <c r="AH351" s="3657">
        <f>SUMIF($AD354:$AD357,$AD351,AH354:AH357)</f>
        <v>0</v>
      </c>
      <c r="AI351" s="3657">
        <f>SUMIF($AD354:$AD357,$AD351,AI354:AI357)</f>
        <v>0</v>
      </c>
      <c r="AJ351" s="225">
        <f>SUMIF($AD354:$AD357,$AD351,AJ354:AJ357)</f>
        <v>0</v>
      </c>
      <c r="AK351" s="225">
        <f>SUMIF($AD354:$AD357,$AD351,AK354:AK357)</f>
        <v>0</v>
      </c>
      <c r="AL351" s="225">
        <f>SUMIF($AD354:$AD357,$AD351,AL354:AL357)</f>
        <v>0</v>
      </c>
      <c r="AM351" s="225">
        <f>SUMIF($AD354:$AD357,$AD351,AM354:AM357)</f>
        <v>0</v>
      </c>
      <c r="AN351" s="3658">
        <f>SUMIF($AD354:$AD357,$AD351,AN354:AN357)</f>
        <v>0</v>
      </c>
      <c r="AO351" s="3658">
        <f>SUMIF($AD354:$AD357,$AD351,AO354:AO357)</f>
        <v>0</v>
      </c>
      <c r="AP351" s="3658">
        <f>SUMIF($AD354:$AD357,$AD351,AP354:AP357)</f>
        <v>0</v>
      </c>
      <c r="AQ351" s="3658">
        <f>SUMIF($AD354:$AD357,$AD351,AQ354:AQ357)</f>
        <v>0</v>
      </c>
      <c r="AR351" s="3658">
        <f>SUMIF($AD354:$AD357,$AD351,AR354:AR357)</f>
        <v>0</v>
      </c>
      <c r="AS351" s="3657">
        <f>SUMIF($AD354:$AD357,$AD351,AS354:AS357)</f>
        <v>0</v>
      </c>
      <c r="AT351" s="225">
        <f>SUMIF($AD354:$AD357,$AD351,AT354:AT357)</f>
        <v>0</v>
      </c>
      <c r="AU351" s="225">
        <f>SUMIF($AD354:$AD357,$AD351,AU354:AU357)</f>
        <v>0</v>
      </c>
      <c r="AV351" s="225">
        <f>SUMIF($AD354:$AD357,$AD351,AV354:AV357)</f>
        <v>0</v>
      </c>
      <c r="AW351" s="225">
        <f>SUMIF($AD354:$AD357,$AD351,AW354:AW357)</f>
        <v>0</v>
      </c>
      <c r="AX351" s="3658">
        <f>SUMIF($AD354:$AD357,$AD351,AX354:AX357)</f>
        <v>0</v>
      </c>
      <c r="AY351" s="3658">
        <f>SUMIF($AD354:$AD357,$AD351,AY354:AY357)</f>
        <v>0</v>
      </c>
      <c r="AZ351" s="3658">
        <f>SUMIF($AD354:$AD357,$AD351,AZ354:AZ357)</f>
        <v>0</v>
      </c>
      <c r="BA351" s="3658">
        <f>SUMIF($AD354:$AD357,$AD351,BA354:BA357)</f>
        <v>0</v>
      </c>
      <c r="BB351" s="3658">
        <f>SUMIF($AD354:$AD357,$AD351,BB354:BB357)</f>
        <v>0</v>
      </c>
      <c r="BC351" s="200"/>
      <c r="BD351" s="153"/>
      <c r="BE351" s="153"/>
      <c r="BF351" s="1044" t="s">
        <v>1842</v>
      </c>
      <c r="BG351" s="1044"/>
      <c r="BH351" s="1044"/>
      <c r="BI351" s="679"/>
      <c r="BJ351" s="679"/>
    </row>
    <row s="1834" customFormat="1" customHeight="1" ht="0" hidden="1">
      <c r="A352" s="885"/>
      <c r="B352" s="441"/>
      <c r="C352" s="885"/>
      <c r="D352" s="885"/>
      <c r="E352" s="678">
        <v>15</v>
      </c>
      <c r="F352" s="1387" cm="1" t="str">
        <f t="array" ref="F352:F352">OFFSET(E352,-1,1)</f>
        <v>4</v>
      </c>
      <c r="G352" s="885"/>
      <c r="H352" s="885"/>
      <c r="I352" s="885"/>
      <c r="J352" s="885"/>
      <c r="K352" s="911"/>
      <c r="L352" s="915"/>
      <c r="M352" s="885"/>
      <c r="N352" s="885"/>
      <c r="O352" s="885"/>
      <c r="P352" s="885"/>
      <c r="Q352" s="885"/>
      <c r="R352" s="885"/>
      <c r="S352" s="885"/>
      <c r="T352" s="1356" t="b">
        <v>0</v>
      </c>
      <c r="U352" s="885"/>
      <c r="V352" s="885"/>
      <c r="W352" s="885" t="s">
        <v>174</v>
      </c>
      <c r="X352" s="684"/>
      <c r="Y352" s="1524">
        <v>0</v>
      </c>
      <c r="Z352" s="885"/>
      <c r="AA352" s="1714" t="s">
        <v>175</v>
      </c>
      <c r="AB352" s="1700"/>
      <c r="AC352" s="1522"/>
      <c r="AD352" s="1715"/>
      <c r="AE352" s="1716">
        <f>OR(AND(AE354&lt;&gt;"",AE355=""),AND(AE354="",AE355&lt;&gt;""))</f>
        <v>0</v>
      </c>
      <c r="AF352" s="1716">
        <f>OR(AND(AF354&lt;&gt;"",AF355=""),AND(AF354="",AF355&lt;&gt;""))</f>
        <v>0</v>
      </c>
      <c r="AG352" s="1716">
        <f>OR(AND(AG354&lt;&gt;"",AG355=""),AND(AG354="",AG355&lt;&gt;""))</f>
        <v>0</v>
      </c>
      <c r="AH352" s="1716">
        <f>OR(AND(AH354&lt;&gt;"",AH355=""),AND(AH354="",AH355&lt;&gt;""))</f>
        <v>0</v>
      </c>
      <c r="AI352" s="1716">
        <f>OR(AND(AI354&lt;&gt;"",AI355=""),AND(AI354="",AI355&lt;&gt;""))</f>
        <v>0</v>
      </c>
      <c r="AJ352" s="1716">
        <f>OR(AND(AJ354&lt;&gt;"",AJ355=""),AND(AJ354="",AJ355&lt;&gt;""))</f>
        <v>0</v>
      </c>
      <c r="AK352" s="1716">
        <f>OR(AND(AK354&lt;&gt;"",AK355=""),AND(AK354="",AK355&lt;&gt;""))</f>
        <v>0</v>
      </c>
      <c r="AL352" s="1716">
        <f>OR(AND(AL354&lt;&gt;"",AL355=""),AND(AL354="",AL355&lt;&gt;""))</f>
        <v>0</v>
      </c>
      <c r="AM352" s="1716">
        <f>OR(AND(AM354&lt;&gt;"",AM355=""),AND(AM354="",AM355&lt;&gt;""))</f>
        <v>0</v>
      </c>
      <c r="AN352" s="1716">
        <f>OR(AND(AN354&lt;&gt;"",AN355=""),AND(AN354="",AN355&lt;&gt;""))</f>
        <v>0</v>
      </c>
      <c r="AO352" s="1716">
        <f>OR(AND(AO354&lt;&gt;"",AO355=""),AND(AO354="",AO355&lt;&gt;""))</f>
        <v>0</v>
      </c>
      <c r="AP352" s="1716">
        <f>OR(AND(AP354&lt;&gt;"",AP355=""),AND(AP354="",AP355&lt;&gt;""))</f>
        <v>0</v>
      </c>
      <c r="AQ352" s="1716">
        <f>OR(AND(AQ354&lt;&gt;"",AQ355=""),AND(AQ354="",AQ355&lt;&gt;""))</f>
        <v>0</v>
      </c>
      <c r="AR352" s="1716">
        <f>OR(AND(AR354&lt;&gt;"",AR355=""),AND(AR354="",AR355&lt;&gt;""))</f>
        <v>0</v>
      </c>
      <c r="AS352" s="1716">
        <f>OR(AND(AS354&lt;&gt;"",AS355=""),AND(AS354="",AS355&lt;&gt;""))</f>
        <v>0</v>
      </c>
      <c r="AT352" s="1716">
        <f>OR(AND(AT354&lt;&gt;"",AT355=""),AND(AT354="",AT355&lt;&gt;""))</f>
        <v>0</v>
      </c>
      <c r="AU352" s="1716">
        <f>OR(AND(AU354&lt;&gt;"",AU355=""),AND(AU354="",AU355&lt;&gt;""))</f>
        <v>0</v>
      </c>
      <c r="AV352" s="1716">
        <f>OR(AND(AV354&lt;&gt;"",AV355=""),AND(AV354="",AV355&lt;&gt;""))</f>
        <v>0</v>
      </c>
      <c r="AW352" s="1716">
        <f>OR(AND(AW354&lt;&gt;"",AW355=""),AND(AW354="",AW355&lt;&gt;""))</f>
        <v>0</v>
      </c>
      <c r="AX352" s="1716">
        <f>OR(AND(AX354&lt;&gt;"",AX355=""),AND(AX354="",AX355&lt;&gt;""))</f>
        <v>0</v>
      </c>
      <c r="AY352" s="1716">
        <f>OR(AND(AY354&lt;&gt;"",AY355=""),AND(AY354="",AY355&lt;&gt;""))</f>
        <v>0</v>
      </c>
      <c r="AZ352" s="1716">
        <f>OR(AND(AZ354&lt;&gt;"",AZ355=""),AND(AZ354="",AZ355&lt;&gt;""))</f>
        <v>0</v>
      </c>
      <c r="BA352" s="1716">
        <f>OR(AND(BA354&lt;&gt;"",BA355=""),AND(BA354="",BA355&lt;&gt;""))</f>
        <v>0</v>
      </c>
      <c r="BB352" s="1716">
        <f>OR(AND(BB354&lt;&gt;"",BB355=""),AND(BB354="",BB355&lt;&gt;""))</f>
        <v>0</v>
      </c>
      <c r="BC352" s="974"/>
      <c r="BD352" s="885"/>
      <c r="BE352" s="885"/>
      <c r="BF352" s="1044"/>
      <c r="BG352" s="1044"/>
      <c r="BH352" s="1044"/>
      <c r="BI352" s="679"/>
      <c r="BJ352" s="679"/>
    </row>
    <row s="1834" customFormat="1" customHeight="1" ht="0" hidden="1">
      <c r="A353" s="885"/>
      <c r="B353" s="441"/>
      <c r="C353" s="885"/>
      <c r="D353" s="885"/>
      <c r="E353" s="678">
        <v>15</v>
      </c>
      <c r="F353" s="1387" cm="1" t="str">
        <f t="array" ref="F353:F353">OFFSET(E353,-1,1)</f>
        <v>4</v>
      </c>
      <c r="G353" s="885"/>
      <c r="H353" s="885"/>
      <c r="I353" s="885"/>
      <c r="J353" s="885"/>
      <c r="K353" s="911"/>
      <c r="L353" s="915"/>
      <c r="M353" s="885"/>
      <c r="N353" s="885"/>
      <c r="O353" s="885"/>
      <c r="P353" s="885"/>
      <c r="Q353" s="885"/>
      <c r="R353" s="885"/>
      <c r="S353" s="885"/>
      <c r="T353" s="1356">
        <f>AND(F353&gt;0,Y352&gt;0)</f>
        <v>0</v>
      </c>
      <c r="U353" s="885"/>
      <c r="V353" s="885"/>
      <c r="W353" s="885"/>
      <c r="X353" s="684"/>
      <c r="Y353" s="1524"/>
      <c r="Z353" s="885"/>
      <c r="AA353" s="1714"/>
      <c r="AB353" s="1698" t="str">
        <f>"7."&amp;Y352</f>
        <v>7.0</v>
      </c>
      <c r="AC353" s="1717"/>
      <c r="AD353" s="1715"/>
      <c r="AE353" s="885"/>
      <c r="AF353" s="885"/>
      <c r="AG353" s="885"/>
      <c r="AH353" s="885"/>
      <c r="AI353" s="885"/>
      <c r="AJ353" s="885"/>
      <c r="AK353" s="885"/>
      <c r="AL353" s="885"/>
      <c r="AM353" s="885"/>
      <c r="AN353" s="885"/>
      <c r="AO353" s="885"/>
      <c r="AP353" s="885"/>
      <c r="AQ353" s="885"/>
      <c r="AR353" s="885"/>
      <c r="AS353" s="885"/>
      <c r="AT353" s="885"/>
      <c r="AU353" s="885"/>
      <c r="AV353" s="885"/>
      <c r="AW353" s="885"/>
      <c r="AX353" s="885"/>
      <c r="AY353" s="885"/>
      <c r="AZ353" s="885"/>
      <c r="BA353" s="885"/>
      <c r="BB353" s="885"/>
      <c r="BC353" s="885"/>
      <c r="BD353" s="885"/>
      <c r="BE353" s="885"/>
      <c r="BF353" s="1044"/>
      <c r="BG353" s="1044"/>
      <c r="BH353" s="1044"/>
      <c r="BI353" s="679"/>
      <c r="BJ353" s="679"/>
    </row>
    <row s="1834" customFormat="1" customHeight="1" ht="0" hidden="1">
      <c r="A354" s="885"/>
      <c r="B354" s="441"/>
      <c r="C354" s="885"/>
      <c r="D354" s="885"/>
      <c r="E354" s="678">
        <v>15</v>
      </c>
      <c r="F354" s="1387" cm="1" t="str">
        <f t="array" ref="F354:F354">OFFSET(E354,-1,1)</f>
        <v>4</v>
      </c>
      <c r="G354" s="885"/>
      <c r="H354" s="885"/>
      <c r="I354" s="885"/>
      <c r="J354" s="885"/>
      <c r="K354" s="911"/>
      <c r="L354" s="915"/>
      <c r="M354" s="885"/>
      <c r="N354" s="885"/>
      <c r="O354" s="885"/>
      <c r="P354" s="885"/>
      <c r="Q354" s="885"/>
      <c r="R354" s="885"/>
      <c r="S354" s="885"/>
      <c r="T354" s="1356" cm="1" t="str">
        <f t="array" ref="T354:T354">T353</f>
        <v>false</v>
      </c>
      <c r="U354" s="885"/>
      <c r="V354" s="885"/>
      <c r="W354" s="885"/>
      <c r="X354" s="684"/>
      <c r="Y354" s="1524"/>
      <c r="Z354" s="885"/>
      <c r="AA354" s="1714"/>
      <c r="AB354" s="1698" t="str">
        <f>AB353&amp;".1"</f>
        <v>7.0.1</v>
      </c>
      <c r="AC354" s="1728" t="s">
        <v>1783</v>
      </c>
      <c r="AD354" s="1700" t="s">
        <v>1514</v>
      </c>
      <c r="AE354" s="3679"/>
      <c r="AF354" s="3680"/>
      <c r="AG354" s="3679"/>
      <c r="AH354" s="3679"/>
      <c r="AI354" s="3680"/>
      <c r="AJ354" s="3680"/>
      <c r="AK354" s="3680"/>
      <c r="AL354" s="3680"/>
      <c r="AM354" s="3680"/>
      <c r="AN354" s="3680"/>
      <c r="AO354" s="3680"/>
      <c r="AP354" s="3680"/>
      <c r="AQ354" s="3680"/>
      <c r="AR354" s="3680"/>
      <c r="AS354" s="3679"/>
      <c r="AT354" s="3679"/>
      <c r="AU354" s="3679"/>
      <c r="AV354" s="3679"/>
      <c r="AW354" s="3679"/>
      <c r="AX354" s="3679"/>
      <c r="AY354" s="3679"/>
      <c r="AZ354" s="3679"/>
      <c r="BA354" s="3679"/>
      <c r="BB354" s="3679"/>
      <c r="BC354" s="2070"/>
      <c r="BD354" s="885"/>
      <c r="BE354" s="885"/>
      <c r="BF354" s="1041" t="s">
        <v>1784</v>
      </c>
      <c r="BG354" s="1044" t="s">
        <v>1843</v>
      </c>
      <c r="BH354" s="1720" cm="1" t="str">
        <f t="array" ref="BH354:BH354">AC353</f>
        <v>0</v>
      </c>
      <c r="BI354" s="679"/>
      <c r="BJ354" s="679" t="b">
        <v>1</v>
      </c>
    </row>
    <row s="1834" customFormat="1" customHeight="1" ht="0" hidden="1">
      <c r="A355" s="885"/>
      <c r="B355" s="441"/>
      <c r="C355" s="885"/>
      <c r="D355" s="885"/>
      <c r="E355" s="678">
        <v>15</v>
      </c>
      <c r="F355" s="1387" cm="1" t="str">
        <f t="array" ref="F355:F355">OFFSET(E355,-1,1)</f>
        <v>4</v>
      </c>
      <c r="G355" s="885"/>
      <c r="H355" s="885"/>
      <c r="I355" s="885"/>
      <c r="J355" s="885"/>
      <c r="K355" s="911"/>
      <c r="L355" s="915"/>
      <c r="M355" s="885"/>
      <c r="N355" s="885"/>
      <c r="O355" s="885"/>
      <c r="P355" s="885"/>
      <c r="Q355" s="885"/>
      <c r="R355" s="885"/>
      <c r="S355" s="885"/>
      <c r="T355" s="1356" cm="1" t="str">
        <f t="array" ref="T355:T355">T354</f>
        <v>false</v>
      </c>
      <c r="U355" s="885"/>
      <c r="V355" s="885"/>
      <c r="W355" s="885"/>
      <c r="X355" s="684"/>
      <c r="Y355" s="1524"/>
      <c r="Z355" s="885"/>
      <c r="AA355" s="1714"/>
      <c r="AB355" s="1698" t="str">
        <f>AB354&amp;".1"</f>
        <v>7.0.1.1</v>
      </c>
      <c r="AC355" s="1707" t="s">
        <v>1844</v>
      </c>
      <c r="AD355" s="1698" t="s">
        <v>1247</v>
      </c>
      <c r="AE355" s="3679"/>
      <c r="AF355" s="3680"/>
      <c r="AG355" s="3679"/>
      <c r="AH355" s="3679"/>
      <c r="AI355" s="3680"/>
      <c r="AJ355" s="3680"/>
      <c r="AK355" s="3680"/>
      <c r="AL355" s="3680"/>
      <c r="AM355" s="3680"/>
      <c r="AN355" s="3680"/>
      <c r="AO355" s="3680"/>
      <c r="AP355" s="3680"/>
      <c r="AQ355" s="3680"/>
      <c r="AR355" s="3680"/>
      <c r="AS355" s="3679"/>
      <c r="AT355" s="3679"/>
      <c r="AU355" s="3679"/>
      <c r="AV355" s="3679"/>
      <c r="AW355" s="3679"/>
      <c r="AX355" s="3679"/>
      <c r="AY355" s="3679"/>
      <c r="AZ355" s="3679"/>
      <c r="BA355" s="3679"/>
      <c r="BB355" s="3679"/>
      <c r="BC355" s="2070"/>
      <c r="BD355" s="885"/>
      <c r="BE355" s="885"/>
      <c r="BF355" s="1041" t="s">
        <v>1787</v>
      </c>
      <c r="BG355" s="1044" t="s">
        <v>1843</v>
      </c>
      <c r="BH355" s="1720" cm="1" t="str">
        <f t="array" ref="BH355:BH355">BH354</f>
        <v>0</v>
      </c>
      <c r="BI355" s="679"/>
      <c r="BJ355" s="679"/>
    </row>
    <row s="1834" customFormat="1" customHeight="1" ht="0" hidden="1">
      <c r="A356" s="885"/>
      <c r="B356" s="441"/>
      <c r="C356" s="885"/>
      <c r="D356" s="885"/>
      <c r="E356" s="678">
        <v>15</v>
      </c>
      <c r="F356" s="1387" cm="1" t="str">
        <f t="array" ref="F356:F356">OFFSET(E356,-1,1)</f>
        <v>4</v>
      </c>
      <c r="G356" s="885"/>
      <c r="H356" s="885"/>
      <c r="I356" s="885"/>
      <c r="J356" s="885"/>
      <c r="K356" s="911"/>
      <c r="L356" s="915"/>
      <c r="M356" s="885"/>
      <c r="N356" s="885"/>
      <c r="O356" s="885"/>
      <c r="P356" s="885"/>
      <c r="Q356" s="885"/>
      <c r="R356" s="885"/>
      <c r="S356" s="885"/>
      <c r="T356" s="1356" cm="1" t="str">
        <f t="array" ref="T356:T356">T355</f>
        <v>false</v>
      </c>
      <c r="U356" s="885"/>
      <c r="V356" s="885"/>
      <c r="W356" s="885"/>
      <c r="X356" s="684"/>
      <c r="Y356" s="1524"/>
      <c r="Z356" s="885"/>
      <c r="AA356" s="1714"/>
      <c r="AB356" s="1698" t="str">
        <f>AB354&amp;".2"</f>
        <v>7.0.1.2</v>
      </c>
      <c r="AC356" s="1707" t="s">
        <v>1845</v>
      </c>
      <c r="AD356" s="1698" t="s">
        <v>1789</v>
      </c>
      <c r="AE356" s="3679"/>
      <c r="AF356" s="3680"/>
      <c r="AG356" s="3680"/>
      <c r="AH356" s="3679"/>
      <c r="AI356" s="3680"/>
      <c r="AJ356" s="3680"/>
      <c r="AK356" s="3680"/>
      <c r="AL356" s="3680"/>
      <c r="AM356" s="3680"/>
      <c r="AN356" s="3680"/>
      <c r="AO356" s="3680"/>
      <c r="AP356" s="3680"/>
      <c r="AQ356" s="3680"/>
      <c r="AR356" s="3680"/>
      <c r="AS356" s="3680"/>
      <c r="AT356" s="3680"/>
      <c r="AU356" s="3680"/>
      <c r="AV356" s="3680"/>
      <c r="AW356" s="3680"/>
      <c r="AX356" s="3680"/>
      <c r="AY356" s="3680"/>
      <c r="AZ356" s="3680"/>
      <c r="BA356" s="3680"/>
      <c r="BB356" s="3680"/>
      <c r="BC356" s="2070"/>
      <c r="BD356" s="885"/>
      <c r="BE356" s="885"/>
      <c r="BF356" s="1041" t="s">
        <v>1790</v>
      </c>
      <c r="BG356" s="1044" t="s">
        <v>1843</v>
      </c>
      <c r="BH356" s="1720" cm="1" t="str">
        <f t="array" ref="BH356:BH356">BH355</f>
        <v>0</v>
      </c>
      <c r="BI356" s="679"/>
      <c r="BJ356" s="679"/>
    </row>
    <row s="1834" customFormat="1" customHeight="1" ht="0">
      <c r="A357" s="885"/>
      <c r="B357" s="441"/>
      <c r="C357" s="885"/>
      <c r="D357" s="885"/>
      <c r="E357" s="678">
        <v>15</v>
      </c>
      <c r="F357" s="1387" cm="1" t="str">
        <f t="array" ref="F357:F357">OFFSET(E357,-1,1)</f>
        <v>4</v>
      </c>
      <c r="G357" s="885"/>
      <c r="H357" s="885"/>
      <c r="I357" s="885"/>
      <c r="J357" s="885"/>
      <c r="K357" s="911"/>
      <c r="L357" s="915"/>
      <c r="M357" s="885"/>
      <c r="N357" s="885"/>
      <c r="O357" s="885"/>
      <c r="P357" s="885"/>
      <c r="Q357" s="885"/>
      <c r="R357" s="885"/>
      <c r="S357" s="885"/>
      <c r="T357" s="1356">
        <f>F357&gt;0</f>
        <v>1</v>
      </c>
      <c r="U357" s="885"/>
      <c r="V357" s="885"/>
      <c r="W357" s="685" t="s">
        <v>1846</v>
      </c>
      <c r="X357" s="684"/>
      <c r="Y357" s="885"/>
      <c r="Z357" s="885"/>
      <c r="AA357" s="1680"/>
      <c r="AB357" s="1724"/>
      <c r="AC357" s="1731" t="s">
        <v>1792</v>
      </c>
      <c r="AD357" s="1726"/>
      <c r="AE357" s="1726"/>
      <c r="AF357" s="1726"/>
      <c r="AG357" s="1726"/>
      <c r="AH357" s="1726"/>
      <c r="AI357" s="1726"/>
      <c r="AJ357" s="1726"/>
      <c r="AK357" s="1726"/>
      <c r="AL357" s="1726"/>
      <c r="AM357" s="1726"/>
      <c r="AN357" s="1726"/>
      <c r="AO357" s="1726"/>
      <c r="AP357" s="1726"/>
      <c r="AQ357" s="1726"/>
      <c r="AR357" s="1726"/>
      <c r="AS357" s="1726"/>
      <c r="AT357" s="1726"/>
      <c r="AU357" s="1726"/>
      <c r="AV357" s="1726"/>
      <c r="AW357" s="1726"/>
      <c r="AX357" s="1726"/>
      <c r="AY357" s="1726"/>
      <c r="AZ357" s="1726"/>
      <c r="BA357" s="1726"/>
      <c r="BB357" s="1726"/>
      <c r="BC357" s="1732"/>
      <c r="BD357" s="885"/>
      <c r="BE357" s="885"/>
      <c r="BF357" s="1044"/>
      <c r="BG357" s="1044"/>
      <c r="BH357" s="1044"/>
      <c r="BI357" s="679" t="s">
        <v>1843</v>
      </c>
      <c r="BJ357" s="679"/>
    </row>
    <row s="153" customFormat="1" customHeight="1" ht="0">
      <c r="A358" s="153"/>
      <c r="B358" s="441"/>
      <c r="C358" s="153"/>
      <c r="D358" s="153"/>
      <c r="E358" s="679">
        <v>15</v>
      </c>
      <c r="F358" s="50" cm="1" t="str">
        <f t="array" ref="F358:F358">OFFSET(E358,-1,1)</f>
        <v>4</v>
      </c>
      <c r="G358" s="152" t="s">
        <v>1275</v>
      </c>
      <c r="H358" s="153"/>
      <c r="I358" s="153"/>
      <c r="J358" s="153"/>
      <c r="K358" s="911" t="str">
        <f>F305&amp;"8komm"</f>
        <v>48komm</v>
      </c>
      <c r="L358" s="915" cm="1" t="str">
        <f t="array" ref="L358:L358">BC358</f>
        <v>0</v>
      </c>
      <c r="M358" s="153"/>
      <c r="N358" s="153"/>
      <c r="O358" s="153"/>
      <c r="P358" s="153"/>
      <c r="Q358" s="153"/>
      <c r="R358" s="153"/>
      <c r="S358" s="153"/>
      <c r="T358" s="465" cm="1" t="str">
        <f t="array" ref="T358:T358">T351</f>
        <v>true</v>
      </c>
      <c r="U358" s="153"/>
      <c r="V358" s="153"/>
      <c r="W358" s="153"/>
      <c r="X358" s="1524"/>
      <c r="Y358" s="153"/>
      <c r="Z358" s="1615"/>
      <c r="AA358" s="153"/>
      <c r="AB358" s="211">
        <v>8</v>
      </c>
      <c r="AC358" s="212" t="s">
        <v>1847</v>
      </c>
      <c r="AD358" s="211" t="s">
        <v>1514</v>
      </c>
      <c r="AE358" s="3657">
        <f>SUMIF($AD361:$AD364,$AD358,AE361:AE364)</f>
        <v>0</v>
      </c>
      <c r="AF358" s="3657">
        <f>SUMIF($AD361:$AD364,$AD358,AF361:AF364)</f>
        <v>0</v>
      </c>
      <c r="AG358" s="3657">
        <f>SUMIF($AD361:$AD364,$AD358,AG361:AG364)</f>
        <v>0</v>
      </c>
      <c r="AH358" s="3657">
        <f>SUMIF($AD361:$AD364,$AD358,AH361:AH364)</f>
        <v>0</v>
      </c>
      <c r="AI358" s="3657">
        <f>SUMIF($AD361:$AD364,$AD358,AI361:AI364)</f>
        <v>0</v>
      </c>
      <c r="AJ358" s="225">
        <f>SUMIF($AD361:$AD364,$AD358,AJ361:AJ364)</f>
        <v>0</v>
      </c>
      <c r="AK358" s="225">
        <f>SUMIF($AD361:$AD364,$AD358,AK361:AK364)</f>
        <v>0</v>
      </c>
      <c r="AL358" s="225">
        <f>SUMIF($AD361:$AD364,$AD358,AL361:AL364)</f>
        <v>0</v>
      </c>
      <c r="AM358" s="225">
        <f>SUMIF($AD361:$AD364,$AD358,AM361:AM364)</f>
        <v>0</v>
      </c>
      <c r="AN358" s="3658">
        <f>SUMIF($AD361:$AD364,$AD358,AN361:AN364)</f>
        <v>0</v>
      </c>
      <c r="AO358" s="3658">
        <f>SUMIF($AD361:$AD364,$AD358,AO361:AO364)</f>
        <v>0</v>
      </c>
      <c r="AP358" s="3658">
        <f>SUMIF($AD361:$AD364,$AD358,AP361:AP364)</f>
        <v>0</v>
      </c>
      <c r="AQ358" s="3658">
        <f>SUMIF($AD361:$AD364,$AD358,AQ361:AQ364)</f>
        <v>0</v>
      </c>
      <c r="AR358" s="3658">
        <f>SUMIF($AD361:$AD364,$AD358,AR361:AR364)</f>
        <v>0</v>
      </c>
      <c r="AS358" s="3657">
        <f>SUMIF($AD361:$AD364,$AD358,AS361:AS364)</f>
        <v>0</v>
      </c>
      <c r="AT358" s="225">
        <f>SUMIF($AD361:$AD364,$AD358,AT361:AT364)</f>
        <v>0</v>
      </c>
      <c r="AU358" s="225">
        <f>SUMIF($AD361:$AD364,$AD358,AU361:AU364)</f>
        <v>0</v>
      </c>
      <c r="AV358" s="225">
        <f>SUMIF($AD361:$AD364,$AD358,AV361:AV364)</f>
        <v>0</v>
      </c>
      <c r="AW358" s="225">
        <f>SUMIF($AD361:$AD364,$AD358,AW361:AW364)</f>
        <v>0</v>
      </c>
      <c r="AX358" s="3658">
        <f>SUMIF($AD361:$AD364,$AD358,AX361:AX364)</f>
        <v>0</v>
      </c>
      <c r="AY358" s="3658">
        <f>SUMIF($AD361:$AD364,$AD358,AY361:AY364)</f>
        <v>0</v>
      </c>
      <c r="AZ358" s="3658">
        <f>SUMIF($AD361:$AD364,$AD358,AZ361:AZ364)</f>
        <v>0</v>
      </c>
      <c r="BA358" s="3658">
        <f>SUMIF($AD361:$AD364,$AD358,BA361:BA364)</f>
        <v>0</v>
      </c>
      <c r="BB358" s="3658">
        <f>SUMIF($AD361:$AD364,$AD358,BB361:BB364)</f>
        <v>0</v>
      </c>
      <c r="BC358" s="200"/>
      <c r="BD358" s="153"/>
      <c r="BE358" s="153"/>
      <c r="BF358" s="1044" t="s">
        <v>1848</v>
      </c>
      <c r="BG358" s="1044"/>
      <c r="BH358" s="1044"/>
      <c r="BI358" s="679"/>
      <c r="BJ358" s="679"/>
    </row>
    <row s="1834" customFormat="1" customHeight="1" ht="0" hidden="1">
      <c r="A359" s="885"/>
      <c r="B359" s="441"/>
      <c r="C359" s="885"/>
      <c r="D359" s="885"/>
      <c r="E359" s="678">
        <v>15</v>
      </c>
      <c r="F359" s="1387" cm="1" t="str">
        <f t="array" ref="F359:F359">OFFSET(E359,-1,1)</f>
        <v>4</v>
      </c>
      <c r="G359" s="885"/>
      <c r="H359" s="885"/>
      <c r="I359" s="885"/>
      <c r="J359" s="885"/>
      <c r="K359" s="911"/>
      <c r="L359" s="915"/>
      <c r="M359" s="885"/>
      <c r="N359" s="885"/>
      <c r="O359" s="885"/>
      <c r="P359" s="885"/>
      <c r="Q359" s="885"/>
      <c r="R359" s="885"/>
      <c r="S359" s="885"/>
      <c r="T359" s="1356" t="b">
        <v>0</v>
      </c>
      <c r="U359" s="885"/>
      <c r="V359" s="885"/>
      <c r="W359" s="885" t="s">
        <v>174</v>
      </c>
      <c r="X359" s="684"/>
      <c r="Y359" s="1524">
        <v>0</v>
      </c>
      <c r="Z359" s="885"/>
      <c r="AA359" s="1714" t="s">
        <v>175</v>
      </c>
      <c r="AB359" s="1700"/>
      <c r="AC359" s="1522"/>
      <c r="AD359" s="1715"/>
      <c r="AE359" s="1716">
        <f>OR(AND(AE361&lt;&gt;"",AE362=""),AND(AE361="",AE362&lt;&gt;""))</f>
        <v>0</v>
      </c>
      <c r="AF359" s="1716">
        <f>OR(AND(AF361&lt;&gt;"",AF362=""),AND(AF361="",AF362&lt;&gt;""))</f>
        <v>0</v>
      </c>
      <c r="AG359" s="1716">
        <f>OR(AND(AG361&lt;&gt;"",AG362=""),AND(AG361="",AG362&lt;&gt;""))</f>
        <v>0</v>
      </c>
      <c r="AH359" s="1716">
        <f>OR(AND(AH361&lt;&gt;"",AH362=""),AND(AH361="",AH362&lt;&gt;""))</f>
        <v>0</v>
      </c>
      <c r="AI359" s="1716">
        <f>OR(AND(AI361&lt;&gt;"",AI362=""),AND(AI361="",AI362&lt;&gt;""))</f>
        <v>0</v>
      </c>
      <c r="AJ359" s="1716">
        <f>OR(AND(AJ361&lt;&gt;"",AJ362=""),AND(AJ361="",AJ362&lt;&gt;""))</f>
        <v>0</v>
      </c>
      <c r="AK359" s="1716">
        <f>OR(AND(AK361&lt;&gt;"",AK362=""),AND(AK361="",AK362&lt;&gt;""))</f>
        <v>0</v>
      </c>
      <c r="AL359" s="1716">
        <f>OR(AND(AL361&lt;&gt;"",AL362=""),AND(AL361="",AL362&lt;&gt;""))</f>
        <v>0</v>
      </c>
      <c r="AM359" s="1716">
        <f>OR(AND(AM361&lt;&gt;"",AM362=""),AND(AM361="",AM362&lt;&gt;""))</f>
        <v>0</v>
      </c>
      <c r="AN359" s="1716">
        <f>OR(AND(AN361&lt;&gt;"",AN362=""),AND(AN361="",AN362&lt;&gt;""))</f>
        <v>0</v>
      </c>
      <c r="AO359" s="1716">
        <f>OR(AND(AO361&lt;&gt;"",AO362=""),AND(AO361="",AO362&lt;&gt;""))</f>
        <v>0</v>
      </c>
      <c r="AP359" s="1716">
        <f>OR(AND(AP361&lt;&gt;"",AP362=""),AND(AP361="",AP362&lt;&gt;""))</f>
        <v>0</v>
      </c>
      <c r="AQ359" s="1716">
        <f>OR(AND(AQ361&lt;&gt;"",AQ362=""),AND(AQ361="",AQ362&lt;&gt;""))</f>
        <v>0</v>
      </c>
      <c r="AR359" s="1716">
        <f>OR(AND(AR361&lt;&gt;"",AR362=""),AND(AR361="",AR362&lt;&gt;""))</f>
        <v>0</v>
      </c>
      <c r="AS359" s="1716">
        <f>OR(AND(AS361&lt;&gt;"",AS362=""),AND(AS361="",AS362&lt;&gt;""))</f>
        <v>0</v>
      </c>
      <c r="AT359" s="1716">
        <f>OR(AND(AT361&lt;&gt;"",AT362=""),AND(AT361="",AT362&lt;&gt;""))</f>
        <v>0</v>
      </c>
      <c r="AU359" s="1716">
        <f>OR(AND(AU361&lt;&gt;"",AU362=""),AND(AU361="",AU362&lt;&gt;""))</f>
        <v>0</v>
      </c>
      <c r="AV359" s="1716">
        <f>OR(AND(AV361&lt;&gt;"",AV362=""),AND(AV361="",AV362&lt;&gt;""))</f>
        <v>0</v>
      </c>
      <c r="AW359" s="1716">
        <f>OR(AND(AW361&lt;&gt;"",AW362=""),AND(AW361="",AW362&lt;&gt;""))</f>
        <v>0</v>
      </c>
      <c r="AX359" s="1716">
        <f>OR(AND(AX361&lt;&gt;"",AX362=""),AND(AX361="",AX362&lt;&gt;""))</f>
        <v>0</v>
      </c>
      <c r="AY359" s="1716">
        <f>OR(AND(AY361&lt;&gt;"",AY362=""),AND(AY361="",AY362&lt;&gt;""))</f>
        <v>0</v>
      </c>
      <c r="AZ359" s="1716">
        <f>OR(AND(AZ361&lt;&gt;"",AZ362=""),AND(AZ361="",AZ362&lt;&gt;""))</f>
        <v>0</v>
      </c>
      <c r="BA359" s="1716">
        <f>OR(AND(BA361&lt;&gt;"",BA362=""),AND(BA361="",BA362&lt;&gt;""))</f>
        <v>0</v>
      </c>
      <c r="BB359" s="1733">
        <f>OR(AND(BB361&lt;&gt;"",BB362=""),AND(BB361="",BB362&lt;&gt;""))</f>
        <v>0</v>
      </c>
      <c r="BC359" s="1734"/>
      <c r="BD359" s="885"/>
      <c r="BE359" s="885"/>
      <c r="BF359" s="1044"/>
      <c r="BG359" s="1044"/>
      <c r="BH359" s="1044"/>
      <c r="BI359" s="679"/>
      <c r="BJ359" s="679"/>
    </row>
    <row s="1834" customFormat="1" customHeight="1" ht="0" hidden="1">
      <c r="A360" s="885"/>
      <c r="B360" s="441"/>
      <c r="C360" s="885"/>
      <c r="D360" s="885"/>
      <c r="E360" s="678">
        <v>15</v>
      </c>
      <c r="F360" s="1387" cm="1" t="str">
        <f t="array" ref="F360:F360">OFFSET(E360,-1,1)</f>
        <v>4</v>
      </c>
      <c r="G360" s="885"/>
      <c r="H360" s="885"/>
      <c r="I360" s="885"/>
      <c r="J360" s="885"/>
      <c r="K360" s="911"/>
      <c r="L360" s="915"/>
      <c r="M360" s="885"/>
      <c r="N360" s="885"/>
      <c r="O360" s="885"/>
      <c r="P360" s="885"/>
      <c r="Q360" s="885"/>
      <c r="R360" s="885"/>
      <c r="S360" s="885"/>
      <c r="T360" s="1356">
        <f>AND(F360&gt;0,Y359&gt;0)</f>
        <v>0</v>
      </c>
      <c r="U360" s="885"/>
      <c r="V360" s="885"/>
      <c r="W360" s="885"/>
      <c r="X360" s="684"/>
      <c r="Y360" s="1524"/>
      <c r="Z360" s="885"/>
      <c r="AA360" s="1714"/>
      <c r="AB360" s="1698" t="str">
        <f>"8."&amp;Y359</f>
        <v>8.0</v>
      </c>
      <c r="AC360" s="1717"/>
      <c r="AD360" s="1715"/>
      <c r="AE360" s="885"/>
      <c r="AF360" s="885"/>
      <c r="AG360" s="885"/>
      <c r="AH360" s="885"/>
      <c r="AI360" s="885"/>
      <c r="AJ360" s="885"/>
      <c r="AK360" s="885"/>
      <c r="AL360" s="885"/>
      <c r="AM360" s="885"/>
      <c r="AN360" s="885"/>
      <c r="AO360" s="885"/>
      <c r="AP360" s="885"/>
      <c r="AQ360" s="885"/>
      <c r="AR360" s="885"/>
      <c r="AS360" s="885"/>
      <c r="AT360" s="885"/>
      <c r="AU360" s="885"/>
      <c r="AV360" s="885"/>
      <c r="AW360" s="885"/>
      <c r="AX360" s="885"/>
      <c r="AY360" s="885"/>
      <c r="AZ360" s="885"/>
      <c r="BA360" s="885"/>
      <c r="BB360" s="885"/>
      <c r="BC360" s="885"/>
      <c r="BD360" s="885"/>
      <c r="BE360" s="885"/>
      <c r="BF360" s="1044"/>
      <c r="BG360" s="1044"/>
      <c r="BH360" s="1044"/>
      <c r="BI360" s="679"/>
      <c r="BJ360" s="679"/>
    </row>
    <row s="1834" customFormat="1" customHeight="1" ht="0" hidden="1">
      <c r="A361" s="885"/>
      <c r="B361" s="441"/>
      <c r="C361" s="885"/>
      <c r="D361" s="885"/>
      <c r="E361" s="678">
        <v>15</v>
      </c>
      <c r="F361" s="1387" cm="1" t="str">
        <f t="array" ref="F361:F361">OFFSET(E361,-1,1)</f>
        <v>4</v>
      </c>
      <c r="G361" s="885"/>
      <c r="H361" s="885"/>
      <c r="I361" s="885"/>
      <c r="J361" s="885"/>
      <c r="K361" s="911"/>
      <c r="L361" s="915"/>
      <c r="M361" s="885"/>
      <c r="N361" s="885"/>
      <c r="O361" s="885"/>
      <c r="P361" s="885"/>
      <c r="Q361" s="885"/>
      <c r="R361" s="885"/>
      <c r="S361" s="885"/>
      <c r="T361" s="1356" cm="1" t="str">
        <f t="array" ref="T361:T361">T360</f>
        <v>false</v>
      </c>
      <c r="U361" s="885"/>
      <c r="V361" s="885"/>
      <c r="W361" s="885"/>
      <c r="X361" s="684"/>
      <c r="Y361" s="1524"/>
      <c r="Z361" s="885"/>
      <c r="AA361" s="1714"/>
      <c r="AB361" s="1698" t="str">
        <f>AB360&amp;".1"</f>
        <v>8.0.1</v>
      </c>
      <c r="AC361" s="1728" t="s">
        <v>1783</v>
      </c>
      <c r="AD361" s="1700" t="s">
        <v>1514</v>
      </c>
      <c r="AE361" s="3679"/>
      <c r="AF361" s="3680"/>
      <c r="AG361" s="3679"/>
      <c r="AH361" s="3679"/>
      <c r="AI361" s="3680"/>
      <c r="AJ361" s="3680"/>
      <c r="AK361" s="3680"/>
      <c r="AL361" s="3680"/>
      <c r="AM361" s="3680"/>
      <c r="AN361" s="3680"/>
      <c r="AO361" s="3680"/>
      <c r="AP361" s="3680"/>
      <c r="AQ361" s="3680"/>
      <c r="AR361" s="3680"/>
      <c r="AS361" s="3679"/>
      <c r="AT361" s="3679"/>
      <c r="AU361" s="3679"/>
      <c r="AV361" s="3679"/>
      <c r="AW361" s="3679"/>
      <c r="AX361" s="3679"/>
      <c r="AY361" s="3679"/>
      <c r="AZ361" s="3679"/>
      <c r="BA361" s="3679"/>
      <c r="BB361" s="3679"/>
      <c r="BC361" s="3685"/>
      <c r="BD361" s="885"/>
      <c r="BE361" s="885"/>
      <c r="BF361" s="1041" t="s">
        <v>1784</v>
      </c>
      <c r="BG361" s="1044" t="s">
        <v>1849</v>
      </c>
      <c r="BH361" s="1720" cm="1" t="str">
        <f t="array" ref="BH361:BH361">AC360</f>
        <v>0</v>
      </c>
      <c r="BI361" s="679"/>
      <c r="BJ361" s="679" t="b">
        <v>1</v>
      </c>
    </row>
    <row s="1834" customFormat="1" customHeight="1" ht="0" hidden="1">
      <c r="A362" s="885"/>
      <c r="B362" s="441"/>
      <c r="C362" s="885"/>
      <c r="D362" s="885"/>
      <c r="E362" s="678">
        <v>15</v>
      </c>
      <c r="F362" s="1387" cm="1" t="str">
        <f t="array" ref="F362:F362">OFFSET(E362,-1,1)</f>
        <v>4</v>
      </c>
      <c r="G362" s="885"/>
      <c r="H362" s="885"/>
      <c r="I362" s="885"/>
      <c r="J362" s="885"/>
      <c r="K362" s="911"/>
      <c r="L362" s="915"/>
      <c r="M362" s="885"/>
      <c r="N362" s="885"/>
      <c r="O362" s="885"/>
      <c r="P362" s="885"/>
      <c r="Q362" s="885"/>
      <c r="R362" s="885"/>
      <c r="S362" s="885"/>
      <c r="T362" s="1356" cm="1" t="str">
        <f t="array" ref="T362:T362">T361</f>
        <v>false</v>
      </c>
      <c r="U362" s="885"/>
      <c r="V362" s="885"/>
      <c r="W362" s="885"/>
      <c r="X362" s="684"/>
      <c r="Y362" s="1524"/>
      <c r="Z362" s="885"/>
      <c r="AA362" s="1714"/>
      <c r="AB362" s="1698" t="str">
        <f>AB361&amp;".1"</f>
        <v>8.0.1.1</v>
      </c>
      <c r="AC362" s="1707" t="s">
        <v>1850</v>
      </c>
      <c r="AD362" s="1698" t="s">
        <v>1247</v>
      </c>
      <c r="AE362" s="3679"/>
      <c r="AF362" s="3680"/>
      <c r="AG362" s="3679"/>
      <c r="AH362" s="3679"/>
      <c r="AI362" s="3680"/>
      <c r="AJ362" s="3680"/>
      <c r="AK362" s="3680"/>
      <c r="AL362" s="3680"/>
      <c r="AM362" s="3680"/>
      <c r="AN362" s="3680"/>
      <c r="AO362" s="3680"/>
      <c r="AP362" s="3680"/>
      <c r="AQ362" s="3680"/>
      <c r="AR362" s="3680"/>
      <c r="AS362" s="3679"/>
      <c r="AT362" s="3679"/>
      <c r="AU362" s="3679"/>
      <c r="AV362" s="3679"/>
      <c r="AW362" s="3679"/>
      <c r="AX362" s="3679"/>
      <c r="AY362" s="3679"/>
      <c r="AZ362" s="3679"/>
      <c r="BA362" s="3679"/>
      <c r="BB362" s="3679"/>
      <c r="BC362" s="3685"/>
      <c r="BD362" s="885"/>
      <c r="BE362" s="885"/>
      <c r="BF362" s="1041" t="s">
        <v>1787</v>
      </c>
      <c r="BG362" s="1044" t="s">
        <v>1849</v>
      </c>
      <c r="BH362" s="1720" cm="1" t="str">
        <f t="array" ref="BH362:BH362">BH361</f>
        <v>0</v>
      </c>
      <c r="BI362" s="679"/>
      <c r="BJ362" s="679"/>
    </row>
    <row s="1834" customFormat="1" customHeight="1" ht="0" hidden="1">
      <c r="A363" s="885"/>
      <c r="B363" s="441"/>
      <c r="C363" s="885"/>
      <c r="D363" s="885"/>
      <c r="E363" s="678">
        <v>15</v>
      </c>
      <c r="F363" s="1387" cm="1" t="str">
        <f t="array" ref="F363:F363">OFFSET(E363,-1,1)</f>
        <v>4</v>
      </c>
      <c r="G363" s="885"/>
      <c r="H363" s="885"/>
      <c r="I363" s="885"/>
      <c r="J363" s="885"/>
      <c r="K363" s="911"/>
      <c r="L363" s="915"/>
      <c r="M363" s="885"/>
      <c r="N363" s="885"/>
      <c r="O363" s="885"/>
      <c r="P363" s="885"/>
      <c r="Q363" s="885"/>
      <c r="R363" s="885"/>
      <c r="S363" s="885"/>
      <c r="T363" s="1356" cm="1" t="str">
        <f t="array" ref="T363:T363">T362</f>
        <v>false</v>
      </c>
      <c r="U363" s="885"/>
      <c r="V363" s="885"/>
      <c r="W363" s="885"/>
      <c r="X363" s="684"/>
      <c r="Y363" s="1524"/>
      <c r="Z363" s="885"/>
      <c r="AA363" s="1714"/>
      <c r="AB363" s="1698" t="str">
        <f>AB361&amp;".2"</f>
        <v>8.0.1.2</v>
      </c>
      <c r="AC363" s="1707" t="s">
        <v>1851</v>
      </c>
      <c r="AD363" s="1698" t="s">
        <v>1789</v>
      </c>
      <c r="AE363" s="3679"/>
      <c r="AF363" s="3680"/>
      <c r="AG363" s="3680"/>
      <c r="AH363" s="3679"/>
      <c r="AI363" s="3680"/>
      <c r="AJ363" s="3680"/>
      <c r="AK363" s="3680"/>
      <c r="AL363" s="3680"/>
      <c r="AM363" s="3680"/>
      <c r="AN363" s="3680"/>
      <c r="AO363" s="3680"/>
      <c r="AP363" s="3680"/>
      <c r="AQ363" s="3680"/>
      <c r="AR363" s="3680"/>
      <c r="AS363" s="3680"/>
      <c r="AT363" s="3680"/>
      <c r="AU363" s="3680"/>
      <c r="AV363" s="3680"/>
      <c r="AW363" s="3680"/>
      <c r="AX363" s="3680"/>
      <c r="AY363" s="3680"/>
      <c r="AZ363" s="3680"/>
      <c r="BA363" s="3680"/>
      <c r="BB363" s="3686"/>
      <c r="BC363" s="3685"/>
      <c r="BD363" s="885"/>
      <c r="BE363" s="885"/>
      <c r="BF363" s="1041" t="s">
        <v>1790</v>
      </c>
      <c r="BG363" s="1044" t="s">
        <v>1849</v>
      </c>
      <c r="BH363" s="1720" cm="1" t="str">
        <f t="array" ref="BH363:BH363">BH362</f>
        <v>0</v>
      </c>
      <c r="BI363" s="679"/>
      <c r="BJ363" s="679"/>
    </row>
    <row s="1834" customFormat="1" customHeight="1" ht="0">
      <c r="A364" s="885"/>
      <c r="B364" s="441"/>
      <c r="C364" s="885"/>
      <c r="D364" s="885"/>
      <c r="E364" s="678">
        <v>15</v>
      </c>
      <c r="F364" s="1387" cm="1" t="str">
        <f t="array" ref="F364:F364">OFFSET(E364,-1,1)</f>
        <v>4</v>
      </c>
      <c r="G364" s="885"/>
      <c r="H364" s="885"/>
      <c r="I364" s="885"/>
      <c r="J364" s="885"/>
      <c r="K364" s="911"/>
      <c r="L364" s="915"/>
      <c r="M364" s="885"/>
      <c r="N364" s="885"/>
      <c r="O364" s="885"/>
      <c r="P364" s="885"/>
      <c r="Q364" s="885"/>
      <c r="R364" s="885"/>
      <c r="S364" s="885"/>
      <c r="T364" s="1356">
        <f>F364&gt;0</f>
        <v>1</v>
      </c>
      <c r="U364" s="885"/>
      <c r="V364" s="885"/>
      <c r="W364" s="685" t="s">
        <v>1852</v>
      </c>
      <c r="X364" s="684"/>
      <c r="Y364" s="885"/>
      <c r="Z364" s="885"/>
      <c r="AA364" s="885"/>
      <c r="AB364" s="1724"/>
      <c r="AC364" s="1737" t="s">
        <v>1792</v>
      </c>
      <c r="AD364" s="1726"/>
      <c r="AE364" s="1726"/>
      <c r="AF364" s="1726"/>
      <c r="AG364" s="1726"/>
      <c r="AH364" s="1726"/>
      <c r="AI364" s="1726"/>
      <c r="AJ364" s="1726"/>
      <c r="AK364" s="1726"/>
      <c r="AL364" s="1726"/>
      <c r="AM364" s="1726"/>
      <c r="AN364" s="1726"/>
      <c r="AO364" s="1726"/>
      <c r="AP364" s="1726"/>
      <c r="AQ364" s="1726"/>
      <c r="AR364" s="1726"/>
      <c r="AS364" s="1726"/>
      <c r="AT364" s="1726"/>
      <c r="AU364" s="1726"/>
      <c r="AV364" s="1726"/>
      <c r="AW364" s="1726"/>
      <c r="AX364" s="1726"/>
      <c r="AY364" s="1726"/>
      <c r="AZ364" s="1726"/>
      <c r="BA364" s="1726"/>
      <c r="BB364" s="1726"/>
      <c r="BC364" s="1732"/>
      <c r="BD364" s="885"/>
      <c r="BE364" s="885"/>
      <c r="BF364" s="1044"/>
      <c r="BG364" s="1044"/>
      <c r="BH364" s="1044"/>
      <c r="BI364" s="679" t="s">
        <v>1849</v>
      </c>
      <c r="BJ364" s="679"/>
    </row>
    <row s="153" customFormat="1" customHeight="1" ht="0">
      <c r="A365" s="153"/>
      <c r="B365" s="441"/>
      <c r="C365" s="153"/>
      <c r="D365" s="153"/>
      <c r="E365" s="679">
        <v>15</v>
      </c>
      <c r="F365" s="50" cm="1" t="str">
        <f t="array" ref="F365:F365">OFFSET(E365,-1,1)</f>
        <v>4</v>
      </c>
      <c r="G365" s="152"/>
      <c r="H365" s="153"/>
      <c r="I365" s="153"/>
      <c r="J365" s="153"/>
      <c r="K365" s="911" t="str">
        <f>F305&amp;"9komm"</f>
        <v>49komm</v>
      </c>
      <c r="L365" s="915" cm="1" t="str">
        <f t="array" ref="L365:L365">BC365</f>
        <v>0</v>
      </c>
      <c r="M365" s="153"/>
      <c r="N365" s="153"/>
      <c r="O365" s="153"/>
      <c r="P365" s="153"/>
      <c r="Q365" s="153"/>
      <c r="R365" s="153"/>
      <c r="S365" s="153"/>
      <c r="T365" s="465" cm="1" t="str">
        <f t="array" ref="T365:T365">T358</f>
        <v>true</v>
      </c>
      <c r="U365" s="153"/>
      <c r="V365" s="153"/>
      <c r="W365" s="153"/>
      <c r="X365" s="1524"/>
      <c r="Y365" s="153"/>
      <c r="Z365" s="1615"/>
      <c r="AA365" s="153"/>
      <c r="AB365" s="211">
        <v>9</v>
      </c>
      <c r="AC365" s="212" t="s">
        <v>1853</v>
      </c>
      <c r="AD365" s="211" t="s">
        <v>1514</v>
      </c>
      <c r="AE365" s="3657">
        <f>SUMIF($AD368:$AD371,$AD365,AE368:AE371)</f>
        <v>0</v>
      </c>
      <c r="AF365" s="3657">
        <f>SUMIF($AD368:$AD371,$AD365,AF368:AF371)</f>
        <v>0</v>
      </c>
      <c r="AG365" s="3657">
        <f>SUMIF($AD368:$AD371,$AD365,AG368:AG371)</f>
        <v>0</v>
      </c>
      <c r="AH365" s="3657">
        <f>SUMIF($AD368:$AD371,$AD365,AH368:AH371)</f>
        <v>0</v>
      </c>
      <c r="AI365" s="3657">
        <f>SUMIF($AD368:$AD371,$AD365,AI368:AI371)</f>
        <v>0</v>
      </c>
      <c r="AJ365" s="225">
        <f>SUMIF($AD368:$AD371,$AD365,AJ368:AJ371)</f>
        <v>0</v>
      </c>
      <c r="AK365" s="225">
        <f>SUMIF($AD368:$AD371,$AD365,AK368:AK371)</f>
        <v>0</v>
      </c>
      <c r="AL365" s="225">
        <f>SUMIF($AD368:$AD371,$AD365,AL368:AL371)</f>
        <v>0</v>
      </c>
      <c r="AM365" s="225">
        <f>SUMIF($AD368:$AD371,$AD365,AM368:AM371)</f>
        <v>0</v>
      </c>
      <c r="AN365" s="3658">
        <f>SUMIF($AD368:$AD371,$AD365,AN368:AN371)</f>
        <v>0</v>
      </c>
      <c r="AO365" s="3658">
        <f>SUMIF($AD368:$AD371,$AD365,AO368:AO371)</f>
        <v>0</v>
      </c>
      <c r="AP365" s="3658">
        <f>SUMIF($AD368:$AD371,$AD365,AP368:AP371)</f>
        <v>0</v>
      </c>
      <c r="AQ365" s="3658">
        <f>SUMIF($AD368:$AD371,$AD365,AQ368:AQ371)</f>
        <v>0</v>
      </c>
      <c r="AR365" s="3658">
        <f>SUMIF($AD368:$AD371,$AD365,AR368:AR371)</f>
        <v>0</v>
      </c>
      <c r="AS365" s="3657">
        <f>SUMIF($AD368:$AD371,$AD365,AS368:AS371)</f>
        <v>0</v>
      </c>
      <c r="AT365" s="225">
        <f>SUMIF($AD368:$AD371,$AD365,AT368:AT371)</f>
        <v>0</v>
      </c>
      <c r="AU365" s="225">
        <f>SUMIF($AD368:$AD371,$AD365,AU368:AU371)</f>
        <v>0</v>
      </c>
      <c r="AV365" s="225">
        <f>SUMIF($AD368:$AD371,$AD365,AV368:AV371)</f>
        <v>0</v>
      </c>
      <c r="AW365" s="225">
        <f>SUMIF($AD368:$AD371,$AD365,AW368:AW371)</f>
        <v>0</v>
      </c>
      <c r="AX365" s="3658">
        <f>SUMIF($AD368:$AD371,$AD365,AX368:AX371)</f>
        <v>0</v>
      </c>
      <c r="AY365" s="3658">
        <f>SUMIF($AD368:$AD371,$AD365,AY368:AY371)</f>
        <v>0</v>
      </c>
      <c r="AZ365" s="3658">
        <f>SUMIF($AD368:$AD371,$AD365,AZ368:AZ371)</f>
        <v>0</v>
      </c>
      <c r="BA365" s="3658">
        <f>SUMIF($AD368:$AD371,$AD365,BA368:BA371)</f>
        <v>0</v>
      </c>
      <c r="BB365" s="3658">
        <f>SUMIF($AD368:$AD371,$AD365,BB368:BB371)</f>
        <v>0</v>
      </c>
      <c r="BC365" s="200"/>
      <c r="BD365" s="153"/>
      <c r="BE365" s="153"/>
      <c r="BF365" s="1044" t="s">
        <v>1854</v>
      </c>
      <c r="BG365" s="1044"/>
      <c r="BH365" s="1044"/>
      <c r="BI365" s="679"/>
      <c r="BJ365" s="679"/>
    </row>
    <row s="1834" customFormat="1" customHeight="1" ht="0" hidden="1">
      <c r="A366" s="885"/>
      <c r="B366" s="441"/>
      <c r="C366" s="885"/>
      <c r="D366" s="885"/>
      <c r="E366" s="678">
        <v>15</v>
      </c>
      <c r="F366" s="1387" cm="1" t="str">
        <f t="array" ref="F366:F366">OFFSET(E366,-1,1)</f>
        <v>4</v>
      </c>
      <c r="G366" s="885"/>
      <c r="H366" s="885"/>
      <c r="I366" s="885"/>
      <c r="J366" s="885"/>
      <c r="K366" s="911"/>
      <c r="L366" s="915"/>
      <c r="M366" s="885"/>
      <c r="N366" s="885"/>
      <c r="O366" s="885"/>
      <c r="P366" s="885"/>
      <c r="Q366" s="885"/>
      <c r="R366" s="885"/>
      <c r="S366" s="885"/>
      <c r="T366" s="1356" t="b">
        <v>0</v>
      </c>
      <c r="U366" s="885"/>
      <c r="V366" s="885"/>
      <c r="W366" s="885" t="s">
        <v>174</v>
      </c>
      <c r="X366" s="684"/>
      <c r="Y366" s="1524">
        <v>0</v>
      </c>
      <c r="Z366" s="885"/>
      <c r="AA366" s="1714" t="s">
        <v>175</v>
      </c>
      <c r="AB366" s="1700"/>
      <c r="AC366" s="1738"/>
      <c r="AD366" s="1715"/>
      <c r="AE366" s="1716">
        <f>OR(AND(AE368&lt;&gt;"",AE369=""),AND(AE368="",AE369&lt;&gt;""))</f>
        <v>0</v>
      </c>
      <c r="AF366" s="1716">
        <f>OR(AND(AF368&lt;&gt;"",AF369=""),AND(AF368="",AF369&lt;&gt;""))</f>
        <v>0</v>
      </c>
      <c r="AG366" s="1716">
        <f>OR(AND(AG368&lt;&gt;"",AG369=""),AND(AG368="",AG369&lt;&gt;""))</f>
        <v>0</v>
      </c>
      <c r="AH366" s="1716">
        <f>OR(AND(AH368&lt;&gt;"",AH369=""),AND(AH368="",AH369&lt;&gt;""))</f>
        <v>0</v>
      </c>
      <c r="AI366" s="1716">
        <f>OR(AND(AI368&lt;&gt;"",AI369=""),AND(AI368="",AI369&lt;&gt;""))</f>
        <v>0</v>
      </c>
      <c r="AJ366" s="1716">
        <f>OR(AND(AJ368&lt;&gt;"",AJ369=""),AND(AJ368="",AJ369&lt;&gt;""))</f>
        <v>0</v>
      </c>
      <c r="AK366" s="1716">
        <f>OR(AND(AK368&lt;&gt;"",AK369=""),AND(AK368="",AK369&lt;&gt;""))</f>
        <v>0</v>
      </c>
      <c r="AL366" s="1716">
        <f>OR(AND(AL368&lt;&gt;"",AL369=""),AND(AL368="",AL369&lt;&gt;""))</f>
        <v>0</v>
      </c>
      <c r="AM366" s="1716">
        <f>OR(AND(AM368&lt;&gt;"",AM369=""),AND(AM368="",AM369&lt;&gt;""))</f>
        <v>0</v>
      </c>
      <c r="AN366" s="1716">
        <f>OR(AND(AN368&lt;&gt;"",AN369=""),AND(AN368="",AN369&lt;&gt;""))</f>
        <v>0</v>
      </c>
      <c r="AO366" s="1716">
        <f>OR(AND(AO368&lt;&gt;"",AO369=""),AND(AO368="",AO369&lt;&gt;""))</f>
        <v>0</v>
      </c>
      <c r="AP366" s="1716">
        <f>OR(AND(AP368&lt;&gt;"",AP369=""),AND(AP368="",AP369&lt;&gt;""))</f>
        <v>0</v>
      </c>
      <c r="AQ366" s="1716">
        <f>OR(AND(AQ368&lt;&gt;"",AQ369=""),AND(AQ368="",AQ369&lt;&gt;""))</f>
        <v>0</v>
      </c>
      <c r="AR366" s="1716">
        <f>OR(AND(AR368&lt;&gt;"",AR369=""),AND(AR368="",AR369&lt;&gt;""))</f>
        <v>0</v>
      </c>
      <c r="AS366" s="1716">
        <f>OR(AND(AS368&lt;&gt;"",AS369=""),AND(AS368="",AS369&lt;&gt;""))</f>
        <v>0</v>
      </c>
      <c r="AT366" s="1716">
        <f>OR(AND(AT368&lt;&gt;"",AT369=""),AND(AT368="",AT369&lt;&gt;""))</f>
        <v>0</v>
      </c>
      <c r="AU366" s="1716">
        <f>OR(AND(AU368&lt;&gt;"",AU369=""),AND(AU368="",AU369&lt;&gt;""))</f>
        <v>0</v>
      </c>
      <c r="AV366" s="1716">
        <f>OR(AND(AV368&lt;&gt;"",AV369=""),AND(AV368="",AV369&lt;&gt;""))</f>
        <v>0</v>
      </c>
      <c r="AW366" s="1716">
        <f>OR(AND(AW368&lt;&gt;"",AW369=""),AND(AW368="",AW369&lt;&gt;""))</f>
        <v>0</v>
      </c>
      <c r="AX366" s="1716">
        <f>OR(AND(AX368&lt;&gt;"",AX369=""),AND(AX368="",AX369&lt;&gt;""))</f>
        <v>0</v>
      </c>
      <c r="AY366" s="1716">
        <f>OR(AND(AY368&lt;&gt;"",AY369=""),AND(AY368="",AY369&lt;&gt;""))</f>
        <v>0</v>
      </c>
      <c r="AZ366" s="1716">
        <f>OR(AND(AZ368&lt;&gt;"",AZ369=""),AND(AZ368="",AZ369&lt;&gt;""))</f>
        <v>0</v>
      </c>
      <c r="BA366" s="1716">
        <f>OR(AND(BA368&lt;&gt;"",BA369=""),AND(BA368="",BA369&lt;&gt;""))</f>
        <v>0</v>
      </c>
      <c r="BB366" s="1733">
        <f>OR(AND(BB368&lt;&gt;"",BB369=""),AND(BB368="",BB369&lt;&gt;""))</f>
        <v>0</v>
      </c>
      <c r="BC366" s="1734"/>
      <c r="BD366" s="885"/>
      <c r="BE366" s="885"/>
      <c r="BF366" s="1044"/>
      <c r="BG366" s="1044"/>
      <c r="BH366" s="1044"/>
      <c r="BI366" s="679"/>
      <c r="BJ366" s="679"/>
    </row>
    <row s="1834" customFormat="1" customHeight="1" ht="0" hidden="1">
      <c r="A367" s="885"/>
      <c r="B367" s="441"/>
      <c r="C367" s="885"/>
      <c r="D367" s="885"/>
      <c r="E367" s="678">
        <v>15</v>
      </c>
      <c r="F367" s="1387" cm="1" t="str">
        <f t="array" ref="F367:F367">OFFSET(E367,-1,1)</f>
        <v>4</v>
      </c>
      <c r="G367" s="885"/>
      <c r="H367" s="885"/>
      <c r="I367" s="885"/>
      <c r="J367" s="885"/>
      <c r="K367" s="911"/>
      <c r="L367" s="915"/>
      <c r="M367" s="885"/>
      <c r="N367" s="885"/>
      <c r="O367" s="885"/>
      <c r="P367" s="885"/>
      <c r="Q367" s="885"/>
      <c r="R367" s="885"/>
      <c r="S367" s="885"/>
      <c r="T367" s="1356">
        <f>AND(F367&gt;0,Y366&gt;0)</f>
        <v>0</v>
      </c>
      <c r="U367" s="885"/>
      <c r="V367" s="885"/>
      <c r="W367" s="885"/>
      <c r="X367" s="684"/>
      <c r="Y367" s="1524"/>
      <c r="Z367" s="885"/>
      <c r="AA367" s="1714"/>
      <c r="AB367" s="1698" t="str">
        <f>"9."&amp;Y366</f>
        <v>9.0</v>
      </c>
      <c r="AC367" s="3689"/>
      <c r="AD367" s="1715"/>
      <c r="AE367" s="885"/>
      <c r="AF367" s="885"/>
      <c r="AG367" s="885"/>
      <c r="AH367" s="885"/>
      <c r="AI367" s="885"/>
      <c r="AJ367" s="885"/>
      <c r="AK367" s="885"/>
      <c r="AL367" s="885"/>
      <c r="AM367" s="885"/>
      <c r="AN367" s="885"/>
      <c r="AO367" s="885"/>
      <c r="AP367" s="885"/>
      <c r="AQ367" s="885"/>
      <c r="AR367" s="885"/>
      <c r="AS367" s="885"/>
      <c r="AT367" s="885"/>
      <c r="AU367" s="885"/>
      <c r="AV367" s="885"/>
      <c r="AW367" s="885"/>
      <c r="AX367" s="885"/>
      <c r="AY367" s="885"/>
      <c r="AZ367" s="885"/>
      <c r="BA367" s="885"/>
      <c r="BB367" s="885"/>
      <c r="BC367" s="885"/>
      <c r="BD367" s="885"/>
      <c r="BE367" s="885"/>
      <c r="BF367" s="1044"/>
      <c r="BG367" s="1044"/>
      <c r="BH367" s="1044"/>
      <c r="BI367" s="679"/>
      <c r="BJ367" s="679"/>
    </row>
    <row s="1834" customFormat="1" customHeight="1" ht="0" hidden="1">
      <c r="A368" s="885"/>
      <c r="B368" s="441"/>
      <c r="C368" s="885"/>
      <c r="D368" s="885"/>
      <c r="E368" s="678">
        <v>15</v>
      </c>
      <c r="F368" s="1387" cm="1" t="str">
        <f t="array" ref="F368:F368">OFFSET(E368,-1,1)</f>
        <v>4</v>
      </c>
      <c r="G368" s="885"/>
      <c r="H368" s="885"/>
      <c r="I368" s="885"/>
      <c r="J368" s="885"/>
      <c r="K368" s="911"/>
      <c r="L368" s="915"/>
      <c r="M368" s="885"/>
      <c r="N368" s="885"/>
      <c r="O368" s="885"/>
      <c r="P368" s="885"/>
      <c r="Q368" s="885"/>
      <c r="R368" s="885"/>
      <c r="S368" s="885"/>
      <c r="T368" s="1356" cm="1" t="str">
        <f t="array" ref="T368:T368">T367</f>
        <v>false</v>
      </c>
      <c r="U368" s="885"/>
      <c r="V368" s="885"/>
      <c r="W368" s="885"/>
      <c r="X368" s="684"/>
      <c r="Y368" s="1524"/>
      <c r="Z368" s="885"/>
      <c r="AA368" s="1714"/>
      <c r="AB368" s="1698" t="str">
        <f>AB367&amp;".1"</f>
        <v>9.0.1</v>
      </c>
      <c r="AC368" s="1728" t="s">
        <v>1783</v>
      </c>
      <c r="AD368" s="1700" t="s">
        <v>1514</v>
      </c>
      <c r="AE368" s="3679"/>
      <c r="AF368" s="3680"/>
      <c r="AG368" s="3679"/>
      <c r="AH368" s="3679"/>
      <c r="AI368" s="3680"/>
      <c r="AJ368" s="3680"/>
      <c r="AK368" s="3680"/>
      <c r="AL368" s="3680"/>
      <c r="AM368" s="3680"/>
      <c r="AN368" s="3680"/>
      <c r="AO368" s="3680"/>
      <c r="AP368" s="3680"/>
      <c r="AQ368" s="3680"/>
      <c r="AR368" s="3680"/>
      <c r="AS368" s="3679"/>
      <c r="AT368" s="3679"/>
      <c r="AU368" s="3679"/>
      <c r="AV368" s="3679"/>
      <c r="AW368" s="3679"/>
      <c r="AX368" s="3679"/>
      <c r="AY368" s="3679"/>
      <c r="AZ368" s="3679"/>
      <c r="BA368" s="3679"/>
      <c r="BB368" s="3679"/>
      <c r="BC368" s="3685"/>
      <c r="BD368" s="885"/>
      <c r="BE368" s="885"/>
      <c r="BF368" s="1041" t="s">
        <v>1784</v>
      </c>
      <c r="BG368" s="1044" t="s">
        <v>1855</v>
      </c>
      <c r="BH368" s="1720" cm="1" t="str">
        <f t="array" ref="BH368:BH368">AC367</f>
        <v>0</v>
      </c>
      <c r="BI368" s="679"/>
      <c r="BJ368" s="679" t="b">
        <v>1</v>
      </c>
    </row>
    <row s="1834" customFormat="1" customHeight="1" ht="0" hidden="1">
      <c r="A369" s="885"/>
      <c r="B369" s="441"/>
      <c r="C369" s="885"/>
      <c r="D369" s="885"/>
      <c r="E369" s="678">
        <v>15</v>
      </c>
      <c r="F369" s="1387" cm="1" t="str">
        <f t="array" ref="F369:F369">OFFSET(E369,-1,1)</f>
        <v>4</v>
      </c>
      <c r="G369" s="885"/>
      <c r="H369" s="885"/>
      <c r="I369" s="885"/>
      <c r="J369" s="885"/>
      <c r="K369" s="911"/>
      <c r="L369" s="915"/>
      <c r="M369" s="885"/>
      <c r="N369" s="885"/>
      <c r="O369" s="885"/>
      <c r="P369" s="885"/>
      <c r="Q369" s="885"/>
      <c r="R369" s="885"/>
      <c r="S369" s="885"/>
      <c r="T369" s="1356" cm="1" t="str">
        <f t="array" ref="T369:T369">T368</f>
        <v>false</v>
      </c>
      <c r="U369" s="885"/>
      <c r="V369" s="885"/>
      <c r="W369" s="885"/>
      <c r="X369" s="684"/>
      <c r="Y369" s="1524"/>
      <c r="Z369" s="885"/>
      <c r="AA369" s="1714"/>
      <c r="AB369" s="1698" t="str">
        <f>AB368&amp;".1"</f>
        <v>9.0.1.1</v>
      </c>
      <c r="AC369" s="1707" t="s">
        <v>1856</v>
      </c>
      <c r="AD369" s="1698"/>
      <c r="AE369" s="3679"/>
      <c r="AF369" s="3680"/>
      <c r="AG369" s="3679"/>
      <c r="AH369" s="3679"/>
      <c r="AI369" s="3680"/>
      <c r="AJ369" s="3680"/>
      <c r="AK369" s="3680"/>
      <c r="AL369" s="3680"/>
      <c r="AM369" s="3680"/>
      <c r="AN369" s="3680"/>
      <c r="AO369" s="3680"/>
      <c r="AP369" s="3680"/>
      <c r="AQ369" s="3680"/>
      <c r="AR369" s="3680"/>
      <c r="AS369" s="3679"/>
      <c r="AT369" s="3679"/>
      <c r="AU369" s="3679"/>
      <c r="AV369" s="3679"/>
      <c r="AW369" s="3679"/>
      <c r="AX369" s="3679"/>
      <c r="AY369" s="3679"/>
      <c r="AZ369" s="3679"/>
      <c r="BA369" s="3679"/>
      <c r="BB369" s="3679"/>
      <c r="BC369" s="3685"/>
      <c r="BD369" s="885"/>
      <c r="BE369" s="885"/>
      <c r="BF369" s="1041" t="s">
        <v>1787</v>
      </c>
      <c r="BG369" s="1044" t="s">
        <v>1855</v>
      </c>
      <c r="BH369" s="1720" cm="1" t="str">
        <f t="array" ref="BH369:BH369">BH368</f>
        <v>0</v>
      </c>
      <c r="BI369" s="679"/>
      <c r="BJ369" s="679"/>
    </row>
    <row s="1834" customFormat="1" customHeight="1" ht="0" hidden="1">
      <c r="A370" s="885"/>
      <c r="B370" s="441"/>
      <c r="C370" s="885"/>
      <c r="D370" s="885"/>
      <c r="E370" s="678">
        <v>15</v>
      </c>
      <c r="F370" s="1387" cm="1" t="str">
        <f t="array" ref="F370:F370">OFFSET(E370,-1,1)</f>
        <v>4</v>
      </c>
      <c r="G370" s="885"/>
      <c r="H370" s="885"/>
      <c r="I370" s="885"/>
      <c r="J370" s="885"/>
      <c r="K370" s="911"/>
      <c r="L370" s="915"/>
      <c r="M370" s="885"/>
      <c r="N370" s="885"/>
      <c r="O370" s="885"/>
      <c r="P370" s="885"/>
      <c r="Q370" s="885"/>
      <c r="R370" s="885"/>
      <c r="S370" s="885"/>
      <c r="T370" s="1356" cm="1" t="str">
        <f t="array" ref="T370:T370">T369</f>
        <v>false</v>
      </c>
      <c r="U370" s="885"/>
      <c r="V370" s="885"/>
      <c r="W370" s="885"/>
      <c r="X370" s="684"/>
      <c r="Y370" s="1524"/>
      <c r="Z370" s="885"/>
      <c r="AA370" s="1714"/>
      <c r="AB370" s="1698" t="str">
        <f>AB368&amp;".2"</f>
        <v>9.0.1.2</v>
      </c>
      <c r="AC370" s="1707" t="s">
        <v>1857</v>
      </c>
      <c r="AD370" s="1698"/>
      <c r="AE370" s="3679"/>
      <c r="AF370" s="3680"/>
      <c r="AG370" s="3680"/>
      <c r="AH370" s="3679"/>
      <c r="AI370" s="3680"/>
      <c r="AJ370" s="3680"/>
      <c r="AK370" s="3680"/>
      <c r="AL370" s="3680"/>
      <c r="AM370" s="3680"/>
      <c r="AN370" s="3680"/>
      <c r="AO370" s="3680"/>
      <c r="AP370" s="3680"/>
      <c r="AQ370" s="3680"/>
      <c r="AR370" s="3680"/>
      <c r="AS370" s="3680"/>
      <c r="AT370" s="3680"/>
      <c r="AU370" s="3680"/>
      <c r="AV370" s="3680"/>
      <c r="AW370" s="3680"/>
      <c r="AX370" s="3680"/>
      <c r="AY370" s="3680"/>
      <c r="AZ370" s="3680"/>
      <c r="BA370" s="3680"/>
      <c r="BB370" s="3686"/>
      <c r="BC370" s="3685"/>
      <c r="BD370" s="885"/>
      <c r="BE370" s="885"/>
      <c r="BF370" s="1041" t="s">
        <v>1790</v>
      </c>
      <c r="BG370" s="1044" t="s">
        <v>1855</v>
      </c>
      <c r="BH370" s="1720" cm="1" t="str">
        <f t="array" ref="BH370:BH370">BH369</f>
        <v>0</v>
      </c>
      <c r="BI370" s="679"/>
      <c r="BJ370" s="679"/>
    </row>
    <row s="1834" customFormat="1" customHeight="1" ht="0">
      <c r="A371" s="885"/>
      <c r="B371" s="441"/>
      <c r="C371" s="885"/>
      <c r="D371" s="885"/>
      <c r="E371" s="678">
        <v>15</v>
      </c>
      <c r="F371" s="1387" cm="1" t="str">
        <f t="array" ref="F371:F371">OFFSET(E371,-1,1)</f>
        <v>4</v>
      </c>
      <c r="G371" s="885"/>
      <c r="H371" s="885"/>
      <c r="I371" s="885"/>
      <c r="J371" s="885"/>
      <c r="K371" s="911"/>
      <c r="L371" s="915"/>
      <c r="M371" s="885"/>
      <c r="N371" s="885"/>
      <c r="O371" s="885"/>
      <c r="P371" s="885"/>
      <c r="Q371" s="885"/>
      <c r="R371" s="885"/>
      <c r="S371" s="885"/>
      <c r="T371" s="1356">
        <f>F371&gt;0</f>
        <v>1</v>
      </c>
      <c r="U371" s="885"/>
      <c r="V371" s="885"/>
      <c r="W371" s="685" t="s">
        <v>1858</v>
      </c>
      <c r="X371" s="684"/>
      <c r="Y371" s="885"/>
      <c r="Z371" s="885"/>
      <c r="AA371" s="885"/>
      <c r="AB371" s="1724"/>
      <c r="AC371" s="1740" t="s">
        <v>1792</v>
      </c>
      <c r="AD371" s="1726"/>
      <c r="AE371" s="1726"/>
      <c r="AF371" s="1726"/>
      <c r="AG371" s="1726"/>
      <c r="AH371" s="1726"/>
      <c r="AI371" s="1726"/>
      <c r="AJ371" s="1726"/>
      <c r="AK371" s="1726"/>
      <c r="AL371" s="1726"/>
      <c r="AM371" s="1726"/>
      <c r="AN371" s="1726"/>
      <c r="AO371" s="1726"/>
      <c r="AP371" s="1726"/>
      <c r="AQ371" s="1726"/>
      <c r="AR371" s="1726"/>
      <c r="AS371" s="1726"/>
      <c r="AT371" s="1726"/>
      <c r="AU371" s="1726"/>
      <c r="AV371" s="1726"/>
      <c r="AW371" s="1726"/>
      <c r="AX371" s="1726"/>
      <c r="AY371" s="1726"/>
      <c r="AZ371" s="1726"/>
      <c r="BA371" s="1726"/>
      <c r="BB371" s="1726"/>
      <c r="BC371" s="1732"/>
      <c r="BD371" s="885"/>
      <c r="BE371" s="885"/>
      <c r="BF371" s="1044"/>
      <c r="BG371" s="1044"/>
      <c r="BH371" s="1044"/>
      <c r="BI371" s="679" t="s">
        <v>1855</v>
      </c>
      <c r="BJ371" s="679"/>
    </row>
    <row customHeight="1" ht="10.2375">
      <c r="E372" s="678">
        <v>10.5</v>
      </c>
      <c r="U372" s="149" t="s">
        <v>178</v>
      </c>
      <c r="V372" s="140" t="s">
        <v>1864</v>
      </c>
      <c r="AI372" s="885"/>
      <c r="AJ372" s="885"/>
      <c r="AK372" s="885"/>
      <c r="AL372" s="885"/>
      <c r="AM372" s="885"/>
      <c r="AN372" s="885"/>
      <c r="AO372" s="885"/>
      <c r="AP372" s="885"/>
      <c r="AQ372" s="885"/>
      <c r="AR372" s="885"/>
      <c r="AS372" s="885"/>
      <c r="AT372" s="885"/>
      <c r="AU372" s="885"/>
      <c r="AV372" s="885"/>
      <c r="AW372" s="885"/>
      <c r="AX372" s="885"/>
      <c r="AY372" s="885"/>
      <c r="AZ372" s="885"/>
      <c r="BA372" s="885"/>
      <c r="BB372" s="885"/>
    </row>
    <row customHeight="1" ht="14.625">
      <c r="E373" s="678">
        <v>15</v>
      </c>
      <c r="AA373" s="98"/>
      <c r="AB373" s="1577" t="s">
        <v>407</v>
      </c>
      <c r="AC373" s="1577"/>
      <c r="AD373" s="1577"/>
      <c r="AE373" s="1577"/>
      <c r="AF373" s="1577"/>
      <c r="AG373" s="1577"/>
      <c r="AH373" s="1577"/>
      <c r="AI373" s="1598"/>
      <c r="AJ373" s="1598"/>
      <c r="AK373" s="1598"/>
      <c r="AL373" s="1598"/>
      <c r="AM373" s="1598"/>
      <c r="AN373" s="1598"/>
      <c r="AO373" s="1598"/>
      <c r="AP373" s="1598"/>
      <c r="AQ373" s="1598"/>
      <c r="AR373" s="1598"/>
      <c r="AS373" s="1598"/>
      <c r="AT373" s="1598"/>
      <c r="AU373" s="1598"/>
      <c r="AV373" s="1598"/>
      <c r="AW373" s="1598"/>
      <c r="AX373" s="1598"/>
      <c r="AY373" s="1598"/>
      <c r="AZ373" s="1598"/>
      <c r="BA373" s="1598"/>
      <c r="BB373" s="1598"/>
      <c r="BC373" s="1598"/>
      <c r="BD373" s="98"/>
    </row>
    <row customHeight="1" ht="14.625">
      <c r="E374" s="678">
        <v>15</v>
      </c>
      <c r="AA374" s="661"/>
      <c r="AB374" s="1599"/>
      <c r="AC374" s="1599"/>
      <c r="AD374" s="1599"/>
      <c r="AE374" s="1599"/>
      <c r="AF374" s="1599"/>
      <c r="AG374" s="1599"/>
      <c r="AH374" s="1599"/>
      <c r="AI374" s="3542"/>
      <c r="AJ374" s="3542"/>
      <c r="AK374" s="3542"/>
      <c r="AL374" s="3542"/>
      <c r="AM374" s="3542"/>
      <c r="AN374" s="3542"/>
      <c r="AO374" s="3542"/>
      <c r="AP374" s="3542"/>
      <c r="AQ374" s="3542"/>
      <c r="AR374" s="3542"/>
      <c r="AS374" s="3542"/>
      <c r="AT374" s="3542"/>
      <c r="AU374" s="3542"/>
      <c r="AV374" s="3542"/>
      <c r="AW374" s="3542"/>
      <c r="AX374" s="3542"/>
      <c r="AY374" s="3542"/>
      <c r="AZ374" s="3542"/>
      <c r="BA374" s="3542"/>
      <c r="BB374" s="3542"/>
      <c r="BC374" s="1600"/>
      <c r="BD374" s="98"/>
    </row>
    <row customHeight="1" ht="14.625" hidden="1">
      <c r="A375" s="885"/>
      <c r="B375" s="440"/>
      <c r="C375" s="885"/>
      <c r="D375" s="885"/>
      <c r="E375" s="678">
        <v>15</v>
      </c>
      <c r="F375" s="885"/>
      <c r="G375" s="885"/>
      <c r="H375" s="885"/>
      <c r="I375" s="885"/>
      <c r="J375" s="885"/>
      <c r="K375" s="911"/>
      <c r="L375" s="885"/>
      <c r="M375" s="885"/>
      <c r="N375" s="885"/>
      <c r="O375" s="885"/>
      <c r="P375" s="885"/>
      <c r="Q375" s="885"/>
      <c r="R375" s="885"/>
      <c r="S375" s="885"/>
      <c r="T375" s="465">
        <f>ROW(W375)&gt;ROW(W$375)</f>
        <v>0</v>
      </c>
      <c r="U375" s="885"/>
      <c r="V375" s="885"/>
      <c r="W375" s="757" t="s">
        <v>174</v>
      </c>
      <c r="X375" s="885"/>
      <c r="Y375" s="885"/>
      <c r="Z375" s="885"/>
      <c r="AA375" s="672" t="s">
        <v>175</v>
      </c>
      <c r="AB375" s="4706" t="s">
        <v>227</v>
      </c>
      <c r="AC375" s="4706"/>
      <c r="AD375" s="4706"/>
      <c r="AE375" s="4706"/>
      <c r="AF375" s="4706"/>
      <c r="AG375" s="4706"/>
      <c r="AH375" s="4706"/>
      <c r="AI375" s="3542"/>
      <c r="AJ375" s="3542"/>
      <c r="AK375" s="3542"/>
      <c r="AL375" s="3542"/>
      <c r="AM375" s="3542"/>
      <c r="AN375" s="3542"/>
      <c r="AO375" s="3542"/>
      <c r="AP375" s="3542"/>
      <c r="AQ375" s="3542"/>
      <c r="AR375" s="3542"/>
      <c r="AS375" s="3542"/>
      <c r="AT375" s="3542"/>
      <c r="AU375" s="3542"/>
      <c r="AV375" s="3542"/>
      <c r="AW375" s="3542"/>
      <c r="AX375" s="3542"/>
      <c r="AY375" s="3542"/>
      <c r="AZ375" s="3542"/>
      <c r="BA375" s="3542"/>
      <c r="BB375" s="3542"/>
      <c r="BC375" s="3542"/>
      <c r="BD375" s="98"/>
      <c r="BE375" s="885"/>
      <c r="BF375" s="1041"/>
      <c r="BG375" s="1041"/>
      <c r="BH375" s="1041"/>
      <c r="BI375" s="678"/>
      <c r="BJ375" s="678"/>
    </row>
    <row customHeight="1" ht="14.625">
      <c r="E376" s="678">
        <v>15</v>
      </c>
      <c r="W376" s="757" t="s">
        <v>408</v>
      </c>
      <c r="AA376" s="98"/>
      <c r="AB376" s="682"/>
      <c r="AC376" s="514" t="s">
        <v>409</v>
      </c>
      <c r="AD376" s="310"/>
      <c r="AE376" s="310"/>
      <c r="AF376" s="311"/>
      <c r="AG376" s="311"/>
      <c r="AH376" s="311"/>
      <c r="AI376" s="311"/>
      <c r="AJ376" s="311"/>
      <c r="AK376" s="311"/>
      <c r="AL376" s="311"/>
      <c r="AM376" s="311"/>
      <c r="AN376" s="311"/>
      <c r="AO376" s="311"/>
      <c r="AP376" s="311"/>
      <c r="AQ376" s="311"/>
      <c r="AR376" s="311"/>
      <c r="AS376" s="311"/>
      <c r="AT376" s="311"/>
      <c r="AU376" s="311"/>
      <c r="AV376" s="311"/>
      <c r="AW376" s="311"/>
      <c r="AX376" s="311"/>
      <c r="AY376" s="311"/>
      <c r="AZ376" s="311"/>
      <c r="BA376" s="311"/>
      <c r="BB376" s="311"/>
      <c r="BC376" s="312"/>
      <c r="BD376" s="98"/>
    </row>
    <row customHeight="1" ht="10.96875">
      <c r="E377" s="678">
        <v>11.25</v>
      </c>
      <c r="AI377" s="885"/>
      <c r="AJ377" s="885"/>
      <c r="AK377" s="885"/>
      <c r="AL377" s="885"/>
      <c r="AM377" s="885"/>
      <c r="AN377" s="885"/>
      <c r="AO377" s="885"/>
      <c r="AP377" s="885"/>
      <c r="AQ377" s="885"/>
      <c r="AR377" s="885"/>
      <c r="AS377" s="885"/>
      <c r="AT377" s="885"/>
      <c r="AU377" s="885"/>
      <c r="AV377" s="885"/>
      <c r="AW377" s="885"/>
      <c r="AX377" s="885"/>
      <c r="AY377" s="885"/>
      <c r="AZ377" s="885"/>
      <c r="BA377" s="885"/>
      <c r="BB377" s="885"/>
      <c r="BD377" s="426"/>
    </row>
  </sheetData>
  <sheetProtection formatColumns="0" formatRows="0" insertRows="0" deleteColumns="0" deleteRows="0" sort="0" autoFilter="0" insertColumns="1"/>
  <mergeCells count="109">
    <mergeCell ref="AB375:BC375"/>
    <mergeCell ref="AB373:BC373"/>
    <mergeCell ref="AB374:BC374"/>
    <mergeCell ref="AB24:AB25"/>
    <mergeCell ref="AC24:AC25"/>
    <mergeCell ref="AD24:AD25"/>
    <mergeCell ref="BC24:BC25"/>
    <mergeCell ref="Y57:Y61"/>
    <mergeCell ref="AA57:AA61"/>
    <mergeCell ref="Y50:Y54"/>
    <mergeCell ref="AA50:AA54"/>
    <mergeCell ref="Y43:Y47"/>
    <mergeCell ref="AA43:AA47"/>
    <mergeCell ref="Y36:Y40"/>
    <mergeCell ref="AA36:AA40"/>
    <mergeCell ref="Y29:Y33"/>
    <mergeCell ref="AA29:AA33"/>
    <mergeCell ref="Y64:Y72"/>
    <mergeCell ref="AA64:AA72"/>
    <mergeCell ref="Y75:Y79"/>
    <mergeCell ref="AA75:AA79"/>
    <mergeCell ref="Y82:Y86"/>
    <mergeCell ref="AA82:AA86"/>
    <mergeCell ref="Y89:Y93"/>
    <mergeCell ref="AA89:AA93"/>
    <mergeCell ref="X27:X94"/>
    <mergeCell ref="Z27:Z94"/>
    <mergeCell ref="Y125:Y129"/>
    <mergeCell ref="AA125:AA129"/>
    <mergeCell ref="Y118:Y122"/>
    <mergeCell ref="AA118:AA122"/>
    <mergeCell ref="Y111:Y115"/>
    <mergeCell ref="AA111:AA115"/>
    <mergeCell ref="Y104:Y108"/>
    <mergeCell ref="AA104:AA108"/>
    <mergeCell ref="Y97:Y101"/>
    <mergeCell ref="AA97:AA101"/>
    <mergeCell ref="Y132:Y140"/>
    <mergeCell ref="AA132:AA140"/>
    <mergeCell ref="Y143:Y147"/>
    <mergeCell ref="AA143:AA147"/>
    <mergeCell ref="Y150:Y154"/>
    <mergeCell ref="AA150:AA154"/>
    <mergeCell ref="Y157:Y161"/>
    <mergeCell ref="AA157:AA161"/>
    <mergeCell ref="X95:X162"/>
    <mergeCell ref="Z95:Z162"/>
    <mergeCell ref="Y198:Y202"/>
    <mergeCell ref="AA198:AA202"/>
    <mergeCell ref="Y191:Y195"/>
    <mergeCell ref="AA191:AA195"/>
    <mergeCell ref="Y184:Y188"/>
    <mergeCell ref="AA184:AA188"/>
    <mergeCell ref="Y177:Y181"/>
    <mergeCell ref="AA177:AA181"/>
    <mergeCell ref="Y165:Y169"/>
    <mergeCell ref="AA165:AA169"/>
    <mergeCell ref="Y205:Y213"/>
    <mergeCell ref="AA205:AA213"/>
    <mergeCell ref="Y216:Y220"/>
    <mergeCell ref="AA216:AA220"/>
    <mergeCell ref="Y223:Y227"/>
    <mergeCell ref="AA223:AA227"/>
    <mergeCell ref="Y230:Y234"/>
    <mergeCell ref="AA230:AA234"/>
    <mergeCell ref="X163:X235"/>
    <mergeCell ref="Z163:Z235"/>
    <mergeCell ref="Y266:Y270"/>
    <mergeCell ref="AA266:AA270"/>
    <mergeCell ref="Y259:Y263"/>
    <mergeCell ref="AA259:AA263"/>
    <mergeCell ref="Y252:Y256"/>
    <mergeCell ref="AA252:AA256"/>
    <mergeCell ref="Y245:Y249"/>
    <mergeCell ref="AA245:AA249"/>
    <mergeCell ref="Y238:Y242"/>
    <mergeCell ref="AA238:AA242"/>
    <mergeCell ref="Y273:Y281"/>
    <mergeCell ref="AA273:AA281"/>
    <mergeCell ref="Y284:Y288"/>
    <mergeCell ref="AA284:AA288"/>
    <mergeCell ref="Y291:Y295"/>
    <mergeCell ref="AA291:AA295"/>
    <mergeCell ref="Y298:Y302"/>
    <mergeCell ref="AA298:AA302"/>
    <mergeCell ref="X236:X303"/>
    <mergeCell ref="Z236:Z303"/>
    <mergeCell ref="Y334:Y338"/>
    <mergeCell ref="AA334:AA338"/>
    <mergeCell ref="Y327:Y331"/>
    <mergeCell ref="AA327:AA331"/>
    <mergeCell ref="Y320:Y324"/>
    <mergeCell ref="AA320:AA324"/>
    <mergeCell ref="Y313:Y317"/>
    <mergeCell ref="AA313:AA317"/>
    <mergeCell ref="Y306:Y310"/>
    <mergeCell ref="AA306:AA310"/>
    <mergeCell ref="Y341:Y349"/>
    <mergeCell ref="AA341:AA349"/>
    <mergeCell ref="Y352:Y356"/>
    <mergeCell ref="AA352:AA356"/>
    <mergeCell ref="Y359:Y363"/>
    <mergeCell ref="AA359:AA363"/>
    <mergeCell ref="Y366:Y370"/>
    <mergeCell ref="AA366:AA370"/>
    <mergeCell ref="X304:X371"/>
    <mergeCell ref="Z304:Z371"/>
    <mergeCell ref="Y170:Y174"/>
    <mergeCell ref="AA170:AA174"/>
  </mergeCells>
  <dataValidations count="1">
    <dataValidation type="decimal" allowBlank="1" showErrorMessage="1" errorTitle="Ошибка" error="Допускается ввод только неотрицательных чисел!" sqref="AE38:BB40 AE59:BB61 AE45:BB47 AE52:BB54 AE31:BB33 BB63:BB94 BB99:BB101 BB106:BB108 BB113:BB115 BB120:BB122 BB127:BB129 BB131:BB162 BB167:BB169 BB172:BB174 BB179:BB181 BB186:BB188 BB193:BB195 BB200:BB202 BB204:BB235 BB240:BB242 BB247:BB249 BB254:BB256 BB261:BB263 BB268:BB270 BB272:BB303 BB308:BB310 BB315:BB317 BB322:BB324 BB329:BB331 BB336:BB338 BB340:BB371 BA63:BA94 BA99:BA101 BA106:BA108 BA113:BA115 BA120:BA122 BA127:BA129 BA131:BA162 BA167:BA169 BA172:BA174 BA179:BA181 BA186:BA188 BA193:BA195 BA200:BA202 BA204:BA235 BA240:BA242 BA247:BA249 BA254:BA256 BA261:BA263 BA268:BA270 BA272:BA303 BA308:BA310 BA315:BA317 BA322:BA324 BA329:BA331 BA336:BA338 BA340:BA371 AZ63:AZ94 AZ99:AZ101 AZ106:AZ108 AZ113:AZ115 AZ120:AZ122 AZ127:AZ129 AZ131:AZ162 AZ167:AZ169 AZ172:AZ174 AZ179:AZ181 AZ186:AZ188 AZ193:AZ195 AZ200:AZ202 AZ204:AZ235 AZ240:AZ242 AZ247:AZ249 AZ254:AZ256 AZ261:AZ263 AZ268:AZ270 AZ272:AZ303 AZ308:AZ310 AZ315:AZ317 AZ322:AZ324 AZ329:AZ331 AZ336:AZ338 AZ340:AZ371 AY63:AY94 AY99:AY101 AY106:AY108 AY113:AY115 AY120:AY122 AY127:AY129 AY131:AY162 AY167:AY169 AY172:AY174 AY179:AY181 AY186:AY188 AY193:AY195 AY200:AY202 AY204:AY235 AY240:AY242 AY247:AY249 AY254:AY256 AY261:AY263 AY268:AY270 AY272:AY303 AY308:AY310 AY315:AY317 AY322:AY324 AY329:AY331 AY336:AY338 AY340:AY371 AX63:AX94 AX99:AX101 AX106:AX108 AX113:AX115 AX120:AX122 AX127:AX129 AX131:AX162 AX167:AX169 AX172:AX174 AX179:AX181 AX186:AX188 AX193:AX195 AX200:AX202 AX204:AX235 AX240:AX242 AX247:AX249 AX254:AX256 AX261:AX263 AX268:AX270 AX272:AX303 AX308:AX310 AX315:AX317 AX322:AX324 AX329:AX331 AX336:AX338 AX340:AX371 AW63:AW94 AW99:AW101 AW106:AW108 AW113:AW115 AW120:AW122 AW127:AW129 AW131:AW162 AW167:AW169 AW172:AW174 AW179:AW181 AW186:AW188 AW193:AW195 AW200:AW202 AW204:AW235 AW240:AW242 AW247:AW249 AW254:AW256 AW261:AW263 AW268:AW270 AW272:AW303 AW308:AW310 AW315:AW317 AW322:AW324 AW329:AW331 AW336:AW338 AW340:AW371 AV63:AV94 AV99:AV101 AV106:AV108 AV113:AV115 AV120:AV122 AV127:AV129 AV131:AV162 AV167:AV169 AV172:AV174 AV179:AV181 AV186:AV188 AV193:AV195 AV200:AV202 AV204:AV235 AV240:AV242 AV247:AV249 AV254:AV256 AV261:AV263 AV268:AV270 AV272:AV303 AV308:AV310 AV315:AV317 AV322:AV324 AV329:AV331 AV336:AV338 AV340:AV371 AU63:AU94 AU99:AU101 AU106:AU108 AU113:AU115 AU120:AU122 AU127:AU129 AU131:AU162 AU167:AU169 AU172:AU174 AU179:AU181 AU186:AU188 AU193:AU195 AU200:AU202 AU204:AU235 AU240:AU242 AU247:AU249 AU254:AU256 AU261:AU263 AU268:AU270 AU272:AU303 AU308:AU310 AU315:AU317 AU322:AU324 AU329:AU331 AU336:AU338 AU340:AU371 AT63:AT94 AT99:AT101 AT106:AT108 AT113:AT115 AT120:AT122 AT127:AT129 AT131:AT162 AT167:AT169 AT172:AT174 AT179:AT181 AT186:AT188 AT193:AT195 AT200:AT202 AT204:AT235 AT240:AT242 AT247:AT249 AT254:AT256 AT261:AT263 AT268:AT270 AT272:AT303 AT308:AT310 AT315:AT317 AT322:AT324 AT329:AT331 AT336:AT338 AT340:AT371 AS63:AS94 AS99:AS101 AS106:AS108 AS113:AS115 AS120:AS122 AS127:AS129 AS131:AS162 AS167:AS169 AS172:AS174 AS179:AS181 AS186:AS188 AS193:AS195 AS200:AS202 AS204:AS235 AS240:AS242 AS247:AS249 AS254:AS256 AS261:AS263 AS268:AS270 AS272:AS303 AS308:AS310 AS315:AS317 AS322:AS324 AS329:AS331 AS336:AS338 AS340:AS371 AR63:AR94 AR99:AR101 AR106:AR108 AR113:AR115 AR120:AR122 AR127:AR129 AR131:AR162 AR167:AR169 AR172:AR174 AR179:AR181 AR186:AR188 AR193:AR195 AR200:AR202 AR204:AR235 AR240:AR242 AR247:AR249 AR254:AR256 AR261:AR263 AR268:AR270 AR272:AR303 AR308:AR310 AR315:AR317 AR322:AR324 AR329:AR331 AR336:AR338 AR340:AR371 AQ63:AQ94 AQ99:AQ101 AQ106:AQ108 AQ113:AQ115 AQ120:AQ122 AQ127:AQ129 AQ131:AQ162 AQ167:AQ169 AQ172:AQ174 AQ179:AQ181 AQ186:AQ188 AQ193:AQ195 AQ200:AQ202 AQ204:AQ235 AQ240:AQ242 AQ247:AQ249 AQ254:AQ256 AQ261:AQ263 AQ268:AQ270 AQ272:AQ303 AQ308:AQ310 AQ315:AQ317 AQ322:AQ324 AQ329:AQ331 AQ336:AQ338 AQ340:AQ371 AP63:AP94 AP99:AP101 AP106:AP108 AP113:AP115 AP120:AP122 AP127:AP129 AP131:AP162 AP167:AP169 AP172:AP174 AP179:AP181 AP186:AP188 AP193:AP195 AP200:AP202 AP204:AP235 AP240:AP242 AP247:AP249 AP254:AP256 AP261:AP263 AP268:AP270 AP272:AP303 AP308:AP310 AP315:AP317 AP322:AP324 AP329:AP331 AP336:AP338 AP340:AP371 AO63:AO94 AO99:AO101 AO106:AO108 AO113:AO115 AO120:AO122 AO127:AO129 AO131:AO162 AO167:AO169 AO172:AO174 AO179:AO181 AO186:AO188 AO193:AO195 AO200:AO202 AO204:AO235 AO240:AO242 AO247:AO249 AO254:AO256 AO261:AO263 AO268:AO270 AO272:AO303 AO308:AO310 AO315:AO317 AO322:AO324 AO329:AO331 AO336:AO338 AO340:AO371 AN63:AN94 AN99:AN101 AN106:AN108 AN113:AN115 AN120:AN122 AN127:AN129 AN131:AN162 AN167:AN169 AN172:AN174 AN179:AN181 AN186:AN188 AN193:AN195 AN200:AN202 AN204:AN235 AN240:AN242 AN247:AN249 AN254:AN256 AN261:AN263 AN268:AN270 AN272:AN303 AN308:AN310 AN315:AN317 AN322:AN324 AN329:AN331 AN336:AN338 AN340:AN371 AM63:AM94 AM99:AM101 AM106:AM108 AM113:AM115 AM120:AM122 AM127:AM129 AM131:AM162 AM167:AM169 AM172:AM174 AM179:AM181 AM186:AM188 AM193:AM195 AM200:AM202 AM204:AM235 AM240:AM242 AM247:AM249 AM254:AM256 AM261:AM263 AM268:AM270 AM272:AM303 AM308:AM310 AM315:AM317 AM322:AM324 AM329:AM331 AM336:AM338 AM340:AM371 AL63:AL94 AL99:AL101 AL106:AL108 AL113:AL115 AL120:AL122 AL127:AL129 AL131:AL162 AL167:AL169 AL172:AL174 AL179:AL181 AL186:AL188 AL193:AL195 AL200:AL202 AL204:AL235 AL240:AL242 AL247:AL249 AL254:AL256 AL261:AL263 AL268:AL270 AL272:AL303 AL308:AL310 AL315:AL317 AL322:AL324 AL329:AL331 AL336:AL338 AL340:AL371 AK63:AK94 AK99:AK101 AK106:AK108 AK113:AK115 AK120:AK122 AK127:AK129 AK131:AK162 AK167:AK169 AK172:AK174 AK179:AK181 AK186:AK188 AK193:AK195 AK200:AK202 AK204:AK235 AK240:AK242 AK247:AK249 AK254:AK256 AK261:AK263 AK268:AK270 AK272:AK303 AK308:AK310 AK315:AK317 AK322:AK324 AK329:AK331 AK336:AK338 AK340:AK371 AJ63:AJ94 AJ99:AJ101 AJ106:AJ108 AJ113:AJ115 AJ120:AJ122 AJ127:AJ129 AJ131:AJ162 AJ167:AJ169 AJ172:AJ174 AJ179:AJ181 AJ186:AJ188 AJ193:AJ195 AJ200:AJ202 AJ204:AJ235 AJ240:AJ242 AJ247:AJ249 AJ254:AJ256 AJ261:AJ263 AJ268:AJ270 AJ272:AJ303 AJ308:AJ310 AJ315:AJ317 AJ322:AJ324 AJ329:AJ331 AJ336:AJ338 AJ340:AJ371 AI63:AI94 AI99:AI101 AI106:AI108 AI113:AI115 AI120:AI122 AI127:AI129 AI131:AI162 AI167:AI169 AI172:AI174 AI179:AI181 AI186:AI188 AI193:AI195 AI200:AI202 AI204:AI235 AI240:AI242 AI247:AI249 AI254:AI256 AI261:AI263 AI268:AI270 AI272:AI303 AI308:AI310 AI315:AI317 AI322:AI324 AI329:AI331 AI336:AI338 AI340:AI371 AH63:AH94 AH99:AH101 AH106:AH108 AH113:AH115 AH120:AH122 AH127:AH129 AH131:AH162 AH167:AH169 AH172:AH174 AH179:AH181 AH186:AH188 AH193:AH195 AH200:AH202 AH204:AH235 AH240:AH242 AH247:AH249 AH254:AH256 AH261:AH263 AH268:AH270 AH272:AH303 AH308:AH310 AH315:AH317 AH322:AH324 AH329:AH331 AH336:AH338 AH340:AH371 AG63:AG94 AG99:AG101 AG106:AG108 AG113:AG115 AG120:AG122 AG127:AG129 AG131:AG162 AG167:AG169 AG172:AG174 AG179:AG181 AG186:AG188 AG193:AG195 AG200:AG202 AG204:AG235 AG240:AG242 AG247:AG249 AG254:AG256 AG261:AG263 AG268:AG270 AG272:AG303 AG308:AG310 AG315:AG317 AG322:AG324 AG329:AG331 AG336:AG338 AG340:AG371 AF63:AF94 AF99:AF101 AF106:AF108 AF113:AF115 AF120:AF122 AF127:AF129 AF131:AF162 AF167:AF169 AF172:AF174 AF179:AF181 AF186:AF188 AF193:AF195 AF200:AF202 AF204:AF235 AF240:AF242 AF247:AF249 AF254:AF256 AF261:AF263 AF268:AF270 AF272:AF303 AF308:AF310 AF315:AF317 AF322:AF324 AF329:AF331 AF336:AF338 AF340:AF371 AE63:AE94 AE99:AE101 AE106:AE108 AE113:AE115 AE120:AE122 AE127:AE129 AE131:AE162 AE167:AE169 AE172:AE174 AE179:AE181 AE186:AE188 AE193:AE195 AE200:AE202 AE204:AE235 AE240:AE242 AE247:AE249 AE254:AE256 AE261:AE263 AE268:AE270 AE272:AE303 AE308:AE310 AE315:AE317 AE322:AE324 AE329:AE331 AE336:AE338 AE340:AE371">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3DA0D8-5474-C458-9DCB-B3922F1642D8}" mc:Ignorable="x14ac xr xr2 xr3">
  <sheetPr>
    <tabColor rgb="FF002060"/>
    <outlinePr summaryBelow="0"/>
    <pageSetUpPr fitToPage="1"/>
  </sheetPr>
  <dimension ref="A1:AR198"/>
  <sheetViews>
    <sheetView showGridLines="0" workbookViewId="0">
      <pane xSplit="30" ySplit="25" topLeftCell="AI163" activePane="bottomRight" state="frozen"/>
      <selection pane="bottomLeft" activeCell="A26" sqref="A26"/>
      <selection pane="topRight" activeCell="AE1" sqref="AE1"/>
      <selection pane="bottomRight" activeCell="AB193" sqref="AB193:AK193"/>
    </sheetView>
  </sheetViews>
  <sheetFormatPr defaultColWidth="9.140625" customHeight="1" defaultRowHeight="11.25"/>
  <cols>
    <col min="1" max="1" style="1304" width="3.57421875" hidden="1" customWidth="1"/>
    <col min="2" max="2" style="1436" width="8.57421875" hidden="1" customWidth="1"/>
    <col min="3" max="4" style="1304" width="3.57421875" hidden="1" customWidth="1"/>
    <col min="5" max="5" style="1305" width="3.57421875" hidden="1" customWidth="1"/>
    <col min="6" max="6" style="1304" width="3.57421875" hidden="1" customWidth="1"/>
    <col min="7" max="7" style="1312" width="9.8515625" hidden="1" customWidth="1"/>
    <col min="8" max="10" style="1304" width="3.57421875" hidden="1" customWidth="1"/>
    <col min="11" max="11" style="1312" width="6.421875" hidden="1" customWidth="1"/>
    <col min="12" max="12" style="1312" width="3.57421875" hidden="1" customWidth="1"/>
    <col min="13" max="17" style="1304" width="3.57421875" hidden="1" customWidth="1"/>
    <col min="18" max="18" style="1322" width="3.57421875" hidden="1" customWidth="1"/>
    <col min="19" max="19" style="1304" width="3.57421875" hidden="1" customWidth="1"/>
    <col min="20" max="20" style="1304" width="11.140625" hidden="1" customWidth="1"/>
    <col min="21" max="21" style="1304" width="5.8515625" hidden="1" customWidth="1"/>
    <col min="22" max="23" style="1304" width="6.140625" hidden="1" customWidth="1"/>
    <col min="24" max="25" style="1304" width="5.57421875" hidden="1" customWidth="1"/>
    <col min="26" max="26" style="1304" width="5.28125" hidden="1" customWidth="1"/>
    <col min="27" max="27" style="1304" width="3.00390625" customWidth="1"/>
    <col min="28" max="28" style="1304" width="11.00390625" customWidth="1"/>
    <col min="29" max="29" style="1304" width="56.7109375" customWidth="1"/>
    <col min="30" max="30" style="1304" width="12.00390625" customWidth="1"/>
    <col min="31" max="34" style="1304" width="0" customWidth="1"/>
    <col min="35" max="36" style="1304" width="13.00390625" customWidth="1"/>
    <col min="37" max="37" style="1304" width="62.140625" customWidth="1"/>
    <col min="38" max="38" style="1304" width="3.00390625" customWidth="1"/>
    <col min="39" max="39" style="1304" width="9.140625" hidden="1"/>
    <col min="40" max="42" style="1306" width="9.140625" hidden="1"/>
    <col min="43" max="44" style="1305" width="9.140625" hidden="1"/>
  </cols>
  <sheetData>
    <row customHeight="1" ht="11.25" hidden="1">
      <c r="E1" s="98"/>
      <c r="F1" s="98" t="s">
        <v>321</v>
      </c>
      <c r="H1" s="98" t="s">
        <v>331</v>
      </c>
      <c r="I1" s="98" t="s">
        <v>357</v>
      </c>
      <c r="T1" s="465" t="s">
        <v>93</v>
      </c>
      <c r="U1" s="465" t="s">
        <v>98</v>
      </c>
      <c r="V1" s="465" t="s">
        <v>94</v>
      </c>
      <c r="W1" s="465" t="s">
        <v>95</v>
      </c>
      <c r="X1" s="465" t="s">
        <v>96</v>
      </c>
      <c r="Y1" s="467" t="s">
        <v>323</v>
      </c>
      <c r="Z1" s="465" t="s">
        <v>100</v>
      </c>
      <c r="AA1" s="467" t="s">
        <v>97</v>
      </c>
      <c r="AB1" s="416"/>
      <c r="AC1" s="466" t="s">
        <v>99</v>
      </c>
      <c r="AI1" s="1304"/>
      <c r="AJ1" s="1304"/>
      <c r="AN1" s="1015" t="s">
        <v>324</v>
      </c>
      <c r="AO1" s="1015" t="s">
        <v>325</v>
      </c>
      <c r="AP1" s="1015" t="s">
        <v>326</v>
      </c>
      <c r="AQ1" s="632" t="s">
        <v>329</v>
      </c>
      <c r="AR1" s="632" t="s">
        <v>330</v>
      </c>
    </row>
    <row s="1436" customFormat="1" customHeight="1" ht="11.25" hidden="1">
      <c r="B2" s="445" t="s">
        <v>19</v>
      </c>
      <c r="G2" s="485"/>
      <c r="K2" s="485"/>
      <c r="L2" s="485"/>
      <c r="AF2" s="1378" cm="1" t="str">
        <f t="array" ref="AF2:AF2">isOrgDeclare</f>
        <v>true</v>
      </c>
      <c r="AI2" s="446">
        <f>AND(AI11&lt;=last_year_vis,isOrgDeclare)</f>
        <v>1</v>
      </c>
      <c r="AJ2" s="446">
        <f>AJ11&lt;=last_year_vis</f>
        <v>1</v>
      </c>
      <c r="AN2" s="1016"/>
      <c r="AO2" s="1016"/>
      <c r="AP2" s="1016"/>
      <c r="AQ2" s="1029"/>
      <c r="AR2" s="1029"/>
    </row>
    <row customHeight="1" ht="11.25" hidden="1">
      <c r="E3" s="98"/>
      <c r="AI3" s="1304"/>
      <c r="AJ3" s="1304"/>
    </row>
    <row customHeight="1" ht="11.25" hidden="1">
      <c r="E4" s="98"/>
      <c r="AI4" s="1304"/>
      <c r="AJ4" s="1304"/>
    </row>
    <row s="1305" customFormat="1" customHeight="1" ht="11.25" hidden="1">
      <c r="A5" s="98"/>
      <c r="B5" s="427"/>
      <c r="C5" s="98"/>
      <c r="D5" s="98"/>
      <c r="E5" s="632" t="s">
        <v>20</v>
      </c>
      <c r="G5" s="687"/>
      <c r="K5" s="687"/>
      <c r="L5" s="687"/>
      <c r="R5" s="617"/>
      <c r="AA5" s="632">
        <v>3</v>
      </c>
      <c r="AB5" s="632">
        <v>11</v>
      </c>
      <c r="AC5" s="632">
        <v>56.71</v>
      </c>
      <c r="AD5" s="632">
        <v>12</v>
      </c>
      <c r="AE5" s="632">
        <v>13</v>
      </c>
      <c r="AF5" s="632">
        <v>13</v>
      </c>
      <c r="AG5" s="632">
        <v>13</v>
      </c>
      <c r="AH5" s="632">
        <v>13</v>
      </c>
      <c r="AI5" s="632">
        <v>13</v>
      </c>
      <c r="AJ5" s="632">
        <v>13</v>
      </c>
      <c r="AK5" s="632">
        <v>20</v>
      </c>
      <c r="AL5" s="632">
        <v>3</v>
      </c>
      <c r="AN5" s="1015"/>
      <c r="AO5" s="1015"/>
      <c r="AP5" s="1015"/>
    </row>
    <row customHeight="1" ht="11.25" hidden="1">
      <c r="AI6" s="1304"/>
      <c r="AJ6" s="1304"/>
    </row>
    <row s="1306" customFormat="1" customHeight="1" ht="11.25" hidden="1">
      <c r="A7" s="1015" t="s">
        <v>365</v>
      </c>
      <c r="B7" s="1016"/>
      <c r="G7" s="1031"/>
      <c r="K7" s="1031"/>
      <c r="L7" s="1031"/>
      <c r="R7" s="1017"/>
      <c r="AE7" s="1015" cm="1" t="str">
        <f t="array" ref="AE7:AE7">AE11</f>
        <v>2024</v>
      </c>
      <c r="AF7" s="1015" cm="1" t="str">
        <f t="array" ref="AF7:AF7">AF11</f>
        <v>2024</v>
      </c>
      <c r="AG7" s="1015" cm="1" t="str">
        <f t="array" ref="AG7:AG7">AG11</f>
        <v>2024</v>
      </c>
      <c r="AH7" s="1015" cm="1" t="str">
        <f t="array" ref="AH7:AH7">AH11</f>
        <v>2025</v>
      </c>
      <c r="AI7" s="1015" cm="1" t="str">
        <f t="array" ref="AI7:AI7">AI11</f>
        <v>2026</v>
      </c>
      <c r="AJ7" s="1015" cm="1" t="str">
        <f t="array" ref="AJ7:AJ7">AJ11</f>
        <v>2026</v>
      </c>
      <c r="AQ7" s="632"/>
      <c r="AR7" s="632"/>
    </row>
    <row s="1306" customFormat="1" customHeight="1" ht="11.25" hidden="1">
      <c r="A8" s="1015" t="s">
        <v>366</v>
      </c>
      <c r="B8" s="1016"/>
      <c r="G8" s="1031"/>
      <c r="K8" s="1031"/>
      <c r="L8" s="1031"/>
      <c r="R8" s="1017"/>
      <c r="AE8" s="1015" cm="1" t="str">
        <f t="array" ref="AE8:AE8">AE25</f>
        <v>Принято органом регулирования</v>
      </c>
      <c r="AF8" s="1015" cm="1" t="str">
        <f t="array" ref="AF8:AF8">AF25</f>
        <v>Факт по данным организации</v>
      </c>
      <c r="AG8" s="1015" cm="1" t="str">
        <f t="array" ref="AG8:AG8">AG25</f>
        <v>Факт, принятый органом регулирования</v>
      </c>
      <c r="AH8" s="1015" cm="1" t="str">
        <f t="array" ref="AH8:AH8">AH25</f>
        <v>Принято органом регулирования</v>
      </c>
      <c r="AI8" s="1015" cm="1" t="str">
        <f t="array" ref="AI8:AI8">AI25</f>
        <v>Предложение организации</v>
      </c>
      <c r="AJ8" s="1015" cm="1" t="str">
        <f t="array" ref="AJ8:AJ8">AJ25</f>
        <v>Принято органом регулирования</v>
      </c>
      <c r="AQ8" s="632"/>
      <c r="AR8" s="632"/>
    </row>
    <row s="1306" customFormat="1" customHeight="1" ht="11.25" hidden="1">
      <c r="A9" s="1015" t="s">
        <v>367</v>
      </c>
      <c r="B9" s="1016"/>
      <c r="G9" s="1031"/>
      <c r="K9" s="1031"/>
      <c r="L9" s="1031"/>
      <c r="R9" s="1017"/>
      <c r="AI9" s="1306"/>
      <c r="AJ9" s="1306"/>
      <c r="AK9" s="1015" cm="1" t="str">
        <f t="array" ref="AK9:AK9">AK24</f>
        <v>Ссылка на правовую норму (основание для принятия показателя в расчет тарифа)</v>
      </c>
      <c r="AQ9" s="632"/>
      <c r="AR9" s="632"/>
    </row>
    <row s="1306" customFormat="1" customHeight="1" ht="11.25" hidden="1">
      <c r="A10" s="1015" t="s">
        <v>338</v>
      </c>
      <c r="B10" s="1016"/>
      <c r="G10" s="1031"/>
      <c r="K10" s="1031"/>
      <c r="L10" s="1031"/>
      <c r="R10" s="1017"/>
      <c r="AC10" s="1015" t="s">
        <v>326</v>
      </c>
      <c r="AI10" s="1306"/>
      <c r="AJ10" s="1306"/>
      <c r="AQ10" s="632"/>
      <c r="AR10" s="632"/>
    </row>
    <row customHeight="1" ht="11.25" hidden="1">
      <c r="A11" s="98" t="s">
        <v>360</v>
      </c>
      <c r="AE11" s="98">
        <f>god-2</f>
        <v>2024</v>
      </c>
      <c r="AF11" s="98">
        <f>god-2</f>
        <v>2024</v>
      </c>
      <c r="AG11" s="98">
        <f>god-2</f>
        <v>2024</v>
      </c>
      <c r="AH11" s="98">
        <f>god-1</f>
        <v>2025</v>
      </c>
      <c r="AI11" s="98" cm="1" t="str">
        <f t="array" ref="AI11:AI11">god</f>
        <v>2026</v>
      </c>
      <c r="AJ11" s="98" cm="1" t="str">
        <f t="array" ref="AJ11:AJ11">god</f>
        <v>2026</v>
      </c>
      <c r="AK11" s="152"/>
    </row>
    <row customHeight="1" ht="11.25" hidden="1">
      <c r="A12" s="98" t="s">
        <v>361</v>
      </c>
      <c r="AE12" s="122" cm="1" t="str">
        <f t="array" ref="AE12:AE12">AE25</f>
        <v>Принято органом регулирования</v>
      </c>
      <c r="AF12" s="122" cm="1" t="str">
        <f t="array" ref="AF12:AF12">AF25</f>
        <v>Факт по данным организации</v>
      </c>
      <c r="AG12" s="122" cm="1" t="str">
        <f t="array" ref="AG12:AG12">AG25</f>
        <v>Факт, принятый органом регулирования</v>
      </c>
      <c r="AH12" s="122" cm="1" t="str">
        <f t="array" ref="AH12:AH12">AH25</f>
        <v>Принято органом регулирования</v>
      </c>
      <c r="AI12" s="122" cm="1" t="str">
        <f t="array" ref="AI12:AI12">AI25</f>
        <v>Предложение организации</v>
      </c>
      <c r="AJ12" s="122" cm="1" t="str">
        <f t="array" ref="AJ12:AJ12">AJ25</f>
        <v>Принято органом регулирования</v>
      </c>
    </row>
    <row customHeight="1" ht="11.25" hidden="1">
      <c r="AE13" s="122" t="str">
        <f>AE11&amp;AE12</f>
        <v>2024Принято органом регулирования</v>
      </c>
      <c r="AF13" s="122" t="str">
        <f>AF11&amp;AF12</f>
        <v>2024Факт по данным организации</v>
      </c>
      <c r="AG13" s="122" t="str">
        <f>AG11&amp;AG12</f>
        <v>2024Факт, принятый органом регулирования</v>
      </c>
      <c r="AH13" s="122" t="str">
        <f>AH11&amp;AH12</f>
        <v>2025Принято органом регулирования</v>
      </c>
      <c r="AI13" s="122" t="str">
        <f>AI11&amp;AI12</f>
        <v>2026Предложение организации</v>
      </c>
      <c r="AJ13" s="122" t="str">
        <f>AJ11&amp;AJ12</f>
        <v>2026Принято органом регулирования</v>
      </c>
    </row>
    <row customHeight="1" ht="11.25" hidden="1">
      <c r="AI14" s="1304"/>
      <c r="AJ14" s="1304"/>
    </row>
    <row customHeight="1" ht="11.25" hidden="1">
      <c r="AI15" s="1304"/>
      <c r="AJ15" s="1304"/>
    </row>
    <row customHeight="1" ht="11.25" hidden="1">
      <c r="AI16" s="1304"/>
      <c r="AJ16" s="1304"/>
    </row>
    <row customHeight="1" ht="11.25" hidden="1">
      <c r="AI17" s="1304"/>
      <c r="AJ17" s="1304"/>
      <c r="AK17" s="152"/>
    </row>
    <row customHeight="1" ht="11.25" hidden="1">
      <c r="A18" s="98" t="s">
        <v>368</v>
      </c>
      <c r="AC18" s="98" t="s">
        <v>195</v>
      </c>
      <c r="AI18" s="1304"/>
      <c r="AJ18" s="1304"/>
    </row>
    <row customHeight="1" ht="11.25" hidden="1">
      <c r="AI19" s="1304"/>
      <c r="AJ19" s="1304"/>
    </row>
    <row customHeight="1" ht="11.25" hidden="1">
      <c r="AI20" s="1304"/>
      <c r="AJ20" s="1304"/>
    </row>
    <row customHeight="1" ht="14.625">
      <c r="E21" s="632">
        <v>15</v>
      </c>
      <c r="AA21" s="657"/>
      <c r="AC21" s="50" cm="1" t="str">
        <f t="array" ref="AC21:AC21">tpl_title</f>
        <v>Кемеровская область / 2026 / ООО "Теплоэнерго" (ИНН:4214046200, КПП:421401001) / ДПР: 2026-2030</v>
      </c>
      <c r="AI21" s="1304"/>
      <c r="AJ21" s="1304"/>
    </row>
    <row s="1426" customFormat="1" customHeight="1" ht="19.74375">
      <c r="B22" s="427"/>
      <c r="E22" s="633">
        <v>20.25</v>
      </c>
      <c r="G22" s="484"/>
      <c r="K22" s="484"/>
      <c r="L22" s="484"/>
      <c r="R22" s="50"/>
      <c r="AB22" s="319" t="s">
        <v>1865</v>
      </c>
      <c r="AC22" s="350"/>
      <c r="AD22" s="350"/>
      <c r="AE22" s="350"/>
      <c r="AF22" s="350"/>
      <c r="AG22" s="350"/>
      <c r="AH22" s="350"/>
      <c r="AI22" s="350"/>
      <c r="AJ22" s="350"/>
      <c r="AK22" s="350"/>
      <c r="AN22" s="1018"/>
      <c r="AO22" s="1018"/>
      <c r="AP22" s="1018"/>
      <c r="AQ22" s="633"/>
      <c r="AR22" s="633"/>
    </row>
    <row s="1426" customFormat="1" customHeight="1" ht="10.96875">
      <c r="B23" s="427"/>
      <c r="C23" s="493"/>
      <c r="D23" s="493"/>
      <c r="E23" s="840">
        <v>11.25</v>
      </c>
      <c r="F23" s="493"/>
      <c r="G23" s="493"/>
      <c r="H23" s="493"/>
      <c r="I23" s="493"/>
      <c r="J23" s="493"/>
      <c r="K23" s="484"/>
      <c r="L23" s="484"/>
      <c r="M23" s="493"/>
      <c r="N23" s="493"/>
      <c r="O23" s="493"/>
      <c r="P23" s="493"/>
      <c r="Q23" s="493"/>
      <c r="R23" s="374"/>
      <c r="S23" s="493"/>
      <c r="T23" s="493"/>
      <c r="U23" s="493"/>
      <c r="V23" s="493"/>
      <c r="W23" s="493"/>
      <c r="X23" s="493"/>
      <c r="Y23" s="493"/>
      <c r="Z23" s="493"/>
      <c r="AA23" s="493"/>
      <c r="AB23" s="861"/>
      <c r="AC23" s="862"/>
      <c r="AD23" s="862"/>
      <c r="AE23" s="862"/>
      <c r="AF23" s="862"/>
      <c r="AG23" s="862"/>
      <c r="AH23" s="862"/>
      <c r="AI23" s="862"/>
      <c r="AJ23" s="862"/>
      <c r="AK23" s="862"/>
      <c r="AN23" s="1018"/>
      <c r="AO23" s="1018"/>
      <c r="AP23" s="1018"/>
      <c r="AQ23" s="633"/>
      <c r="AR23" s="633"/>
    </row>
    <row s="1446" customFormat="1" customHeight="1" ht="14.625">
      <c r="B24" s="429"/>
      <c r="C24" s="569"/>
      <c r="D24" s="569"/>
      <c r="E24" s="863">
        <v>15</v>
      </c>
      <c r="F24" s="569"/>
      <c r="G24" s="569"/>
      <c r="H24" s="569"/>
      <c r="I24" s="569"/>
      <c r="J24" s="569"/>
      <c r="K24" s="486"/>
      <c r="L24" s="486"/>
      <c r="M24" s="569"/>
      <c r="N24" s="569"/>
      <c r="O24" s="569"/>
      <c r="P24" s="569"/>
      <c r="Q24" s="569"/>
      <c r="R24" s="374"/>
      <c r="S24" s="569"/>
      <c r="T24" s="569"/>
      <c r="U24" s="569"/>
      <c r="V24" s="569"/>
      <c r="W24" s="569"/>
      <c r="X24" s="569"/>
      <c r="Y24" s="569"/>
      <c r="Z24" s="569"/>
      <c r="AA24" s="569"/>
      <c r="AB24" s="1577" t="s">
        <v>1496</v>
      </c>
      <c r="AC24" s="1608" t="s">
        <v>195</v>
      </c>
      <c r="AD24" s="1577" t="s">
        <v>370</v>
      </c>
      <c r="AE24" s="766" t="str">
        <f>god-2&amp;" год"</f>
        <v>2024 год</v>
      </c>
      <c r="AF24" s="1123" t="str">
        <f>god-2&amp;" год"</f>
        <v>2024 год</v>
      </c>
      <c r="AG24" s="766" t="str">
        <f>god-2&amp;" год"</f>
        <v>2024 год</v>
      </c>
      <c r="AH24" s="766" t="str">
        <f>god-1&amp;" год"</f>
        <v>2025 год</v>
      </c>
      <c r="AI24" s="1124" t="str">
        <f>god&amp;" год"</f>
        <v>2026 год</v>
      </c>
      <c r="AJ24" s="864" t="str">
        <f>god&amp;" год"</f>
        <v>2026 год</v>
      </c>
      <c r="AK24" s="1577" t="s">
        <v>1242</v>
      </c>
      <c r="AN24" s="1013"/>
      <c r="AO24" s="1013"/>
      <c r="AP24" s="1013"/>
      <c r="AQ24" s="630"/>
      <c r="AR24" s="630"/>
    </row>
    <row s="1446" customFormat="1" customHeight="1" ht="44.118750000000006">
      <c r="B25" s="429"/>
      <c r="C25" s="569"/>
      <c r="D25" s="569"/>
      <c r="E25" s="863">
        <v>45.25</v>
      </c>
      <c r="F25" s="569"/>
      <c r="G25" s="569"/>
      <c r="H25" s="569"/>
      <c r="I25" s="569"/>
      <c r="J25" s="569"/>
      <c r="K25" s="486"/>
      <c r="L25" s="486"/>
      <c r="M25" s="569"/>
      <c r="N25" s="569"/>
      <c r="O25" s="569"/>
      <c r="P25" s="569"/>
      <c r="Q25" s="569"/>
      <c r="R25" s="374"/>
      <c r="S25" s="569"/>
      <c r="T25" s="569"/>
      <c r="U25" s="569"/>
      <c r="V25" s="569"/>
      <c r="W25" s="569"/>
      <c r="X25" s="569"/>
      <c r="Y25" s="569"/>
      <c r="Z25" s="569"/>
      <c r="AA25" s="569"/>
      <c r="AB25" s="1621"/>
      <c r="AC25" s="1621"/>
      <c r="AD25" s="1621"/>
      <c r="AE25" s="766" t="s">
        <v>362</v>
      </c>
      <c r="AF25" s="1123" t="s">
        <v>1164</v>
      </c>
      <c r="AG25" s="766" t="s">
        <v>1165</v>
      </c>
      <c r="AH25" s="766" t="s">
        <v>362</v>
      </c>
      <c r="AI25" s="1125" t="s">
        <v>363</v>
      </c>
      <c r="AJ25" s="865" t="s">
        <v>362</v>
      </c>
      <c r="AK25" s="1621"/>
      <c r="AN25" s="1013"/>
      <c r="AO25" s="1013"/>
      <c r="AP25" s="1013"/>
      <c r="AQ25" s="630"/>
      <c r="AR25" s="630"/>
    </row>
    <row s="1834" customFormat="1" customHeight="1" ht="11.25" hidden="1">
      <c r="A26" s="469"/>
      <c r="B26" s="658"/>
      <c r="C26" s="482"/>
      <c r="D26" s="482"/>
      <c r="E26" s="866">
        <v>0</v>
      </c>
      <c r="F26" s="482"/>
      <c r="G26" s="482"/>
      <c r="H26" s="482"/>
      <c r="I26" s="482"/>
      <c r="J26" s="482"/>
      <c r="K26" s="914"/>
      <c r="L26" s="914"/>
      <c r="M26" s="482"/>
      <c r="N26" s="482"/>
      <c r="O26" s="482"/>
      <c r="P26" s="482"/>
      <c r="Q26" s="482"/>
      <c r="R26" s="482"/>
      <c r="S26" s="482"/>
      <c r="T26" s="482"/>
      <c r="U26" s="482"/>
      <c r="V26" s="482"/>
      <c r="W26" s="482"/>
      <c r="X26" s="482"/>
      <c r="Y26" s="482"/>
      <c r="Z26" s="482"/>
      <c r="AA26" s="482"/>
      <c r="AB26" s="482"/>
      <c r="AC26" s="482"/>
      <c r="AD26" s="482"/>
      <c r="AE26" s="482"/>
      <c r="AF26" s="482"/>
      <c r="AG26" s="0"/>
      <c r="AH26" s="0"/>
      <c r="AI26" s="0"/>
      <c r="AJ26" s="0"/>
      <c r="AK26" s="0"/>
      <c r="AN26" s="1019"/>
      <c r="AO26" s="1019"/>
      <c r="AP26" s="1019"/>
      <c r="AQ26" s="1007"/>
      <c r="AR26" s="686"/>
    </row>
    <row s="1812" customFormat="1" customHeight="1" ht="14.625" hidden="1">
      <c r="A27" s="1812"/>
      <c r="B27" s="429"/>
      <c r="C27" s="867"/>
      <c r="D27" s="867"/>
      <c r="E27" s="868">
        <v>15</v>
      </c>
      <c r="F27" s="493" cm="1" t="str">
        <f t="array" ref="F27:F27">X27</f>
        <v>0</v>
      </c>
      <c r="G27" s="839" t="s">
        <v>61</v>
      </c>
      <c r="H27" s="839"/>
      <c r="I27" s="839"/>
      <c r="J27" s="867"/>
      <c r="K27" s="483"/>
      <c r="L27" s="483"/>
      <c r="M27" s="867"/>
      <c r="N27" s="867"/>
      <c r="O27" s="867"/>
      <c r="P27" s="867"/>
      <c r="Q27" s="867"/>
      <c r="R27" s="867"/>
      <c r="S27" s="867"/>
      <c r="T27" s="465">
        <f>X27&gt;0</f>
        <v>0</v>
      </c>
      <c r="U27" s="867"/>
      <c r="V27" s="867" t="s">
        <v>265</v>
      </c>
      <c r="W27" s="867"/>
      <c r="X27" s="1619">
        <v>0</v>
      </c>
      <c r="Y27" s="867"/>
      <c r="Z27" s="1620"/>
      <c r="AA27" s="867"/>
      <c r="AB27" s="242" cm="1" t="str">
        <f t="array" ref="AB27:AB27">INDEX('Общие сведения'!$AG$179:$AG$250,MATCH($X27,'Общие сведения'!$Z$179:$Z$250,0))</f>
        <v>Тариф 0 () - </v>
      </c>
      <c r="AC27" s="869"/>
      <c r="AD27" s="869"/>
      <c r="AE27" s="870">
        <f>AE28+AE33+AE34+AE39+AE40+AE45+AE46+AE51</f>
        <v>0</v>
      </c>
      <c r="AF27" s="870">
        <f>AF28+AF33+AF34+AF39+AF40+AF45+AF46+AF51</f>
        <v>0</v>
      </c>
      <c r="AG27" s="870">
        <f>AG28+AG33+AG34+AG39+AG40+AG45+AG46+AG51</f>
        <v>0</v>
      </c>
      <c r="AH27" s="870">
        <f>AH28+AH33+AH34+AH39+AH40+AH45+AH46+AH51</f>
        <v>0</v>
      </c>
      <c r="AI27" s="870">
        <f>AI28+AI33+AI34+AI39+AI40+AI45+AI46+AI51</f>
        <v>0</v>
      </c>
      <c r="AJ27" s="870">
        <f>AJ28+AJ33+AJ34+AJ39+AJ40+AJ45+AJ46+AJ51</f>
        <v>0</v>
      </c>
      <c r="AK27" s="870"/>
      <c r="AL27" s="1812"/>
      <c r="AM27" s="1812"/>
      <c r="AN27" s="1030"/>
      <c r="AO27" s="1030"/>
      <c r="AP27" s="1030"/>
      <c r="AQ27" s="267"/>
      <c r="AR27" s="267"/>
    </row>
    <row s="1812" customFormat="1" customHeight="1" ht="21.9375" hidden="1">
      <c r="A28" s="1812"/>
      <c r="B28" s="429"/>
      <c r="C28" s="867"/>
      <c r="D28" s="867"/>
      <c r="E28" s="868">
        <v>22.5</v>
      </c>
      <c r="F28" s="50" cm="1" t="str">
        <f t="array" ref="F28:F28">OFFSET(E28,-1,1)</f>
        <v>0</v>
      </c>
      <c r="G28" s="374" t="s">
        <v>1866</v>
      </c>
      <c r="H28" s="839" t="s">
        <v>332</v>
      </c>
      <c r="I28" s="839"/>
      <c r="J28" s="867"/>
      <c r="K28" s="483" t="str">
        <f>F28&amp;"1komm"</f>
        <v>01komm</v>
      </c>
      <c r="L28" s="917" cm="1" t="str">
        <f t="array" ref="L28:L28">AK28</f>
        <v>0</v>
      </c>
      <c r="M28" s="867"/>
      <c r="N28" s="867"/>
      <c r="O28" s="867"/>
      <c r="P28" s="867"/>
      <c r="Q28" s="867"/>
      <c r="R28" s="867"/>
      <c r="S28" s="867"/>
      <c r="T28" s="465" cm="1" t="str">
        <f t="array" ref="T28:T28">T27</f>
        <v>false</v>
      </c>
      <c r="U28" s="867"/>
      <c r="V28" s="867"/>
      <c r="W28" s="867"/>
      <c r="X28" s="1619"/>
      <c r="Y28" s="867"/>
      <c r="Z28" s="1620"/>
      <c r="AA28" s="867"/>
      <c r="AB28" s="690">
        <v>1</v>
      </c>
      <c r="AC28" s="847" t="s">
        <v>1867</v>
      </c>
      <c r="AD28" s="766" t="s">
        <v>1514</v>
      </c>
      <c r="AE28" s="4725"/>
      <c r="AF28" s="4725"/>
      <c r="AG28" s="4725"/>
      <c r="AH28" s="4725"/>
      <c r="AI28" s="213">
        <f>_xlfn.SUMIFS(AI29:AI32,$AD29:$AD32,$AD28)</f>
        <v>0</v>
      </c>
      <c r="AJ28" s="213">
        <f>_xlfn.SUMIFS(AJ29:AJ32,$AD29:$AD32,$AD28)</f>
        <v>0</v>
      </c>
      <c r="AK28" s="1947"/>
      <c r="AL28" s="1812"/>
      <c r="AM28" s="1812"/>
      <c r="AN28" s="1030" t="s">
        <v>1868</v>
      </c>
      <c r="AO28" s="1030"/>
      <c r="AP28" s="1030"/>
      <c r="AQ28" s="267"/>
      <c r="AR28" s="267"/>
    </row>
    <row s="1812" customFormat="1" customHeight="1" ht="18.28125" hidden="1">
      <c r="A29" s="1812"/>
      <c r="B29" s="429"/>
      <c r="C29" s="867"/>
      <c r="D29" s="867"/>
      <c r="E29" s="868">
        <v>18.75</v>
      </c>
      <c r="F29" s="50" cm="1" t="str">
        <f t="array" ref="F29:F29">OFFSET(E29,-1,1)</f>
        <v>0</v>
      </c>
      <c r="G29" s="839"/>
      <c r="H29" s="839" t="s">
        <v>332</v>
      </c>
      <c r="I29" s="839" cm="1" t="str">
        <f t="array" ref="I29:I29">AC29</f>
        <v>0</v>
      </c>
      <c r="J29" s="867"/>
      <c r="K29" s="483"/>
      <c r="L29" s="483"/>
      <c r="M29" s="867"/>
      <c r="N29" s="867"/>
      <c r="O29" s="867"/>
      <c r="P29" s="867"/>
      <c r="Q29" s="867"/>
      <c r="R29" s="867"/>
      <c r="S29" s="867"/>
      <c r="T29" s="465">
        <f>AND(F29&gt;0,Y29&gt;0)</f>
        <v>0</v>
      </c>
      <c r="U29" s="867"/>
      <c r="V29" s="867"/>
      <c r="W29" s="867" t="s">
        <v>174</v>
      </c>
      <c r="X29" s="1619"/>
      <c r="Y29" s="1619">
        <v>0</v>
      </c>
      <c r="Z29" s="1620"/>
      <c r="AA29" s="1617" t="s">
        <v>175</v>
      </c>
      <c r="AB29" s="300" t="str">
        <f>"1."&amp;Y29</f>
        <v>1.0</v>
      </c>
      <c r="AC29" s="4727"/>
      <c r="AD29" s="766" t="s">
        <v>1514</v>
      </c>
      <c r="AE29" s="4728"/>
      <c r="AF29" s="4728"/>
      <c r="AG29" s="4728"/>
      <c r="AH29" s="4728"/>
      <c r="AI29" s="3557">
        <f>AI30*AI31*12/1000</f>
        <v>0</v>
      </c>
      <c r="AJ29" s="3557">
        <f>AJ30*AJ31*12/1000</f>
        <v>0</v>
      </c>
      <c r="AK29" s="1947"/>
      <c r="AL29" s="1812"/>
      <c r="AM29" s="1812"/>
      <c r="AN29" s="1030" t="s">
        <v>1869</v>
      </c>
      <c r="AO29" s="1030" t="s">
        <v>1870</v>
      </c>
      <c r="AP29" s="1030" cm="1" t="str">
        <f t="array" ref="AP29:AP29">AC29</f>
        <v>0</v>
      </c>
      <c r="AQ29" s="267"/>
      <c r="AR29" s="267" t="b">
        <v>1</v>
      </c>
    </row>
    <row s="1812" customFormat="1" customHeight="1" ht="14.625" hidden="1">
      <c r="A30" s="1812"/>
      <c r="B30" s="429"/>
      <c r="C30" s="867"/>
      <c r="D30" s="867"/>
      <c r="E30" s="868">
        <v>15</v>
      </c>
      <c r="F30" s="50" cm="1" t="str">
        <f t="array" ref="F30:F30">OFFSET(E30,-1,1)</f>
        <v>0</v>
      </c>
      <c r="G30" s="872" t="s">
        <v>1871</v>
      </c>
      <c r="H30" s="839" t="str">
        <f>H29&amp;"_1"</f>
        <v>l1_1</v>
      </c>
      <c r="I30" s="839" cm="1" t="str">
        <f t="array" ref="I30:I30">I29</f>
        <v>0</v>
      </c>
      <c r="J30" s="867"/>
      <c r="K30" s="483"/>
      <c r="L30" s="483"/>
      <c r="M30" s="867"/>
      <c r="N30" s="867"/>
      <c r="O30" s="867"/>
      <c r="P30" s="867"/>
      <c r="Q30" s="867"/>
      <c r="R30" s="867"/>
      <c r="S30" s="867"/>
      <c r="T30" s="465" cm="1" t="str">
        <f t="array" ref="T30:T30">T29</f>
        <v>false</v>
      </c>
      <c r="U30" s="867"/>
      <c r="V30" s="867"/>
      <c r="W30" s="867"/>
      <c r="X30" s="1619"/>
      <c r="Y30" s="1619"/>
      <c r="Z30" s="1620"/>
      <c r="AA30" s="1617"/>
      <c r="AB30" s="690" t="str">
        <f>AB29&amp;".1"</f>
        <v>1.0.1</v>
      </c>
      <c r="AC30" s="765" t="s">
        <v>1872</v>
      </c>
      <c r="AD30" s="766" t="s">
        <v>1873</v>
      </c>
      <c r="AE30" s="4728"/>
      <c r="AF30" s="4728"/>
      <c r="AG30" s="4728"/>
      <c r="AH30" s="4728"/>
      <c r="AI30" s="4725"/>
      <c r="AJ30" s="4725"/>
      <c r="AK30" s="1947"/>
      <c r="AL30" s="1812"/>
      <c r="AM30" s="1812"/>
      <c r="AN30" s="1030" t="s">
        <v>1874</v>
      </c>
      <c r="AO30" s="1030" t="s">
        <v>1870</v>
      </c>
      <c r="AP30" s="1030" cm="1" t="str">
        <f t="array" ref="AP30:AP30">AP29</f>
        <v>0</v>
      </c>
      <c r="AQ30" s="267"/>
      <c r="AR30" s="267"/>
    </row>
    <row s="1812" customFormat="1" customHeight="1" ht="14.625" hidden="1">
      <c r="A31" s="1812"/>
      <c r="B31" s="429"/>
      <c r="C31" s="867"/>
      <c r="D31" s="867"/>
      <c r="E31" s="868">
        <v>15</v>
      </c>
      <c r="F31" s="50" cm="1" t="str">
        <f t="array" ref="F31:F31">OFFSET(E31,-1,1)</f>
        <v>0</v>
      </c>
      <c r="G31" s="839"/>
      <c r="H31" s="839" t="str">
        <f>H29&amp;"_2"</f>
        <v>l1_2</v>
      </c>
      <c r="I31" s="839" cm="1" t="str">
        <f t="array" ref="I31:I31">I30</f>
        <v>0</v>
      </c>
      <c r="J31" s="867"/>
      <c r="K31" s="483"/>
      <c r="L31" s="483"/>
      <c r="M31" s="867"/>
      <c r="N31" s="867"/>
      <c r="O31" s="867"/>
      <c r="P31" s="867"/>
      <c r="Q31" s="867"/>
      <c r="R31" s="867"/>
      <c r="S31" s="867"/>
      <c r="T31" s="465" cm="1" t="str">
        <f t="array" ref="T31:T31">T30</f>
        <v>false</v>
      </c>
      <c r="U31" s="867"/>
      <c r="V31" s="867"/>
      <c r="W31" s="867"/>
      <c r="X31" s="1619"/>
      <c r="Y31" s="1619"/>
      <c r="Z31" s="1620"/>
      <c r="AA31" s="1617"/>
      <c r="AB31" s="690" t="str">
        <f>AB29&amp;".2"</f>
        <v>1.0.2</v>
      </c>
      <c r="AC31" s="765" t="s">
        <v>1875</v>
      </c>
      <c r="AD31" s="766" t="s">
        <v>1876</v>
      </c>
      <c r="AE31" s="4728"/>
      <c r="AF31" s="4728"/>
      <c r="AG31" s="4728"/>
      <c r="AH31" s="4728"/>
      <c r="AI31" s="4725"/>
      <c r="AJ31" s="4725"/>
      <c r="AK31" s="1947"/>
      <c r="AL31" s="1812"/>
      <c r="AM31" s="1812"/>
      <c r="AN31" s="1030" t="s">
        <v>1877</v>
      </c>
      <c r="AO31" s="1030" t="s">
        <v>1870</v>
      </c>
      <c r="AP31" s="1030" cm="1" t="str">
        <f t="array" ref="AP31:AP31">AP30</f>
        <v>0</v>
      </c>
      <c r="AQ31" s="267"/>
      <c r="AR31" s="267"/>
    </row>
    <row s="1812" customFormat="1" customHeight="1" ht="14.625" hidden="1">
      <c r="A32" s="1812"/>
      <c r="B32" s="429"/>
      <c r="C32" s="867"/>
      <c r="D32" s="867"/>
      <c r="E32" s="868">
        <v>15</v>
      </c>
      <c r="F32" s="50" cm="1" t="str">
        <f t="array" ref="F32:F32">OFFSET(E32,-1,1)</f>
        <v>0</v>
      </c>
      <c r="G32" s="374"/>
      <c r="H32" s="839"/>
      <c r="I32" s="152" t="str">
        <f>"!=='не определено' &amp;&amp; row.l1 !== null"</f>
        <v>!=='не определено' &amp;&amp; row.l1 !== null</v>
      </c>
      <c r="J32" s="867"/>
      <c r="K32" s="483"/>
      <c r="L32" s="483"/>
      <c r="M32" s="867"/>
      <c r="N32" s="867"/>
      <c r="O32" s="867"/>
      <c r="P32" s="867"/>
      <c r="Q32" s="867"/>
      <c r="R32" s="867"/>
      <c r="S32" s="867"/>
      <c r="T32" s="465">
        <f>F32&gt;0</f>
        <v>0</v>
      </c>
      <c r="U32" s="867"/>
      <c r="V32" s="867"/>
      <c r="W32" s="757" t="s">
        <v>399</v>
      </c>
      <c r="X32" s="1619"/>
      <c r="Y32" s="873"/>
      <c r="Z32" s="1620"/>
      <c r="AA32" s="867"/>
      <c r="AB32" s="874"/>
      <c r="AC32" s="260" t="s">
        <v>178</v>
      </c>
      <c r="AD32" s="776"/>
      <c r="AE32" s="776"/>
      <c r="AF32" s="776"/>
      <c r="AG32" s="776"/>
      <c r="AH32" s="776"/>
      <c r="AI32" s="776"/>
      <c r="AJ32" s="776"/>
      <c r="AK32" s="777"/>
      <c r="AL32" s="1812"/>
      <c r="AM32" s="1812"/>
      <c r="AN32" s="1030"/>
      <c r="AO32" s="1030"/>
      <c r="AP32" s="1030"/>
      <c r="AQ32" s="267" t="s">
        <v>1870</v>
      </c>
      <c r="AR32" s="267"/>
    </row>
    <row s="1812" customFormat="1" customHeight="1" ht="21.9375" hidden="1">
      <c r="A33" s="1812"/>
      <c r="B33" s="429"/>
      <c r="C33" s="867"/>
      <c r="D33" s="867"/>
      <c r="E33" s="868">
        <v>22.5</v>
      </c>
      <c r="F33" s="50" cm="1" t="str">
        <f t="array" ref="F33:F33">OFFSET(E33,-1,1)</f>
        <v>0</v>
      </c>
      <c r="G33" s="374" t="s">
        <v>1878</v>
      </c>
      <c r="H33" s="839" t="s">
        <v>333</v>
      </c>
      <c r="I33" s="839"/>
      <c r="J33" s="867"/>
      <c r="K33" s="483" t="str">
        <f>F33&amp;"2komm"</f>
        <v>02komm</v>
      </c>
      <c r="L33" s="917" cm="1" t="str">
        <f t="array" ref="L33:L33">AK33</f>
        <v>0</v>
      </c>
      <c r="M33" s="867"/>
      <c r="N33" s="867"/>
      <c r="O33" s="867"/>
      <c r="P33" s="867"/>
      <c r="Q33" s="867"/>
      <c r="R33" s="867"/>
      <c r="S33" s="867"/>
      <c r="T33" s="465" cm="1" t="str">
        <f t="array" ref="T33:T33">T32</f>
        <v>false</v>
      </c>
      <c r="U33" s="867"/>
      <c r="V33" s="867"/>
      <c r="W33" s="867"/>
      <c r="X33" s="1619"/>
      <c r="Y33" s="873"/>
      <c r="Z33" s="1620"/>
      <c r="AA33" s="867"/>
      <c r="AB33" s="690" t="s">
        <v>285</v>
      </c>
      <c r="AC33" s="847" t="s">
        <v>1879</v>
      </c>
      <c r="AD33" s="766" t="s">
        <v>1514</v>
      </c>
      <c r="AE33" s="4725">
        <f>AE28*_xlfn.SUMIFS(INDEX(Сценарии!$AE$25:$BF$163,,MATCH(AE$13,Сценарии!$AE$8:$BF$8,0)),Сценарии!$F$25:$F$163,$F33,Сценарии!$G$25:$G$163,"СВФОТ")/100</f>
        <v>0</v>
      </c>
      <c r="AF33" s="4725">
        <f>AF28*_xlfn.SUMIFS(INDEX(Сценарии!$AE$25:$BF$163,,MATCH(AF$13,Сценарии!$AE$8:$BF$8,0)),Сценарии!$F$25:$F$163,$F33,Сценарии!$G$25:$G$163,"СВФОТ")/100</f>
        <v>0</v>
      </c>
      <c r="AG33" s="4725">
        <f>AG28*_xlfn.SUMIFS(INDEX(Сценарии!$AE$25:$BF$163,,MATCH(AG$13,Сценарии!$AE$8:$BF$8,0)),Сценарии!$F$25:$F$163,$F33,Сценарии!$G$25:$G$163,"СВФОТ")/100</f>
        <v>0</v>
      </c>
      <c r="AH33" s="4725">
        <f>AH28*_xlfn.SUMIFS(INDEX(Сценарии!$AE$25:$BF$163,,MATCH(AH$13,Сценарии!$AE$8:$BF$8,0)),Сценарии!$F$25:$F$163,$F33,Сценарии!$G$25:$G$163,"СВФОТ")/100</f>
        <v>0</v>
      </c>
      <c r="AI33" s="4725">
        <f>AI28*_xlfn.SUMIFS(INDEX(Сценарии!$AE$25:$BF$163,,MATCH(AI$13,Сценарии!$AE$8:$BF$8,0)),Сценарии!$F$25:$F$163,$F33,Сценарии!$G$25:$G$163,"СВФОТ")/100</f>
        <v>0</v>
      </c>
      <c r="AJ33" s="4725">
        <f>AJ28*_xlfn.SUMIFS(INDEX(Сценарии!$AE$25:$BF$163,,MATCH(AJ$13,Сценарии!$AE$8:$BF$8,0)),Сценарии!$F$25:$F$163,$F33,Сценарии!$G$25:$G$163,"СВФОТ")/100</f>
        <v>0</v>
      </c>
      <c r="AK33" s="1947"/>
      <c r="AL33" s="1812"/>
      <c r="AM33" s="1812"/>
      <c r="AN33" s="1030" t="s">
        <v>1880</v>
      </c>
      <c r="AO33" s="1030"/>
      <c r="AP33" s="1030"/>
      <c r="AQ33" s="267"/>
      <c r="AR33" s="267"/>
    </row>
    <row s="1812" customFormat="1" customHeight="1" ht="14.625" hidden="1">
      <c r="A34" s="1812"/>
      <c r="B34" s="429"/>
      <c r="C34" s="867"/>
      <c r="D34" s="867"/>
      <c r="E34" s="868">
        <v>15</v>
      </c>
      <c r="F34" s="50" cm="1" t="str">
        <f t="array" ref="F34:F34">OFFSET(E34,-1,1)</f>
        <v>0</v>
      </c>
      <c r="G34" s="374" t="s">
        <v>1881</v>
      </c>
      <c r="H34" s="839" t="s">
        <v>334</v>
      </c>
      <c r="I34" s="839"/>
      <c r="J34" s="867"/>
      <c r="K34" s="483" t="str">
        <f>F34&amp;"3komm"</f>
        <v>03komm</v>
      </c>
      <c r="L34" s="917" cm="1" t="str">
        <f t="array" ref="L34:L34">AK34</f>
        <v>0</v>
      </c>
      <c r="M34" s="867"/>
      <c r="N34" s="867"/>
      <c r="O34" s="867"/>
      <c r="P34" s="867"/>
      <c r="Q34" s="867"/>
      <c r="R34" s="867"/>
      <c r="S34" s="867"/>
      <c r="T34" s="465" cm="1" t="str">
        <f t="array" ref="T34:T34">T33</f>
        <v>false</v>
      </c>
      <c r="U34" s="867"/>
      <c r="V34" s="867"/>
      <c r="W34" s="867"/>
      <c r="X34" s="1619"/>
      <c r="Y34" s="873"/>
      <c r="Z34" s="1620"/>
      <c r="AA34" s="867"/>
      <c r="AB34" s="690" t="s">
        <v>289</v>
      </c>
      <c r="AC34" s="847" t="s">
        <v>1882</v>
      </c>
      <c r="AD34" s="766" t="s">
        <v>1514</v>
      </c>
      <c r="AE34" s="4725"/>
      <c r="AF34" s="4725"/>
      <c r="AG34" s="4725"/>
      <c r="AH34" s="4725"/>
      <c r="AI34" s="213">
        <f>_xlfn.SUMIFS(AI35:AI38,$AD35:$AD38,$AD34)</f>
        <v>0</v>
      </c>
      <c r="AJ34" s="213">
        <f>_xlfn.SUMIFS(AJ35:AJ38,$AD35:$AD38,$AD34)</f>
        <v>0</v>
      </c>
      <c r="AK34" s="1947"/>
      <c r="AL34" s="1812"/>
      <c r="AM34" s="1812"/>
      <c r="AN34" s="1030" t="s">
        <v>1883</v>
      </c>
      <c r="AO34" s="1030"/>
      <c r="AP34" s="1030"/>
      <c r="AQ34" s="267"/>
      <c r="AR34" s="267"/>
    </row>
    <row s="1812" customFormat="1" customHeight="1" ht="18.28125" hidden="1">
      <c r="A35" s="1812"/>
      <c r="B35" s="429"/>
      <c r="C35" s="867"/>
      <c r="D35" s="867"/>
      <c r="E35" s="868">
        <v>18.75</v>
      </c>
      <c r="F35" s="50" cm="1" t="str">
        <f t="array" ref="F35:F35">OFFSET(E35,-1,1)</f>
        <v>0</v>
      </c>
      <c r="G35" s="839"/>
      <c r="H35" s="839" t="s">
        <v>334</v>
      </c>
      <c r="I35" s="839" cm="1" t="str">
        <f t="array" ref="I35:I35">AC35</f>
        <v>0</v>
      </c>
      <c r="J35" s="867"/>
      <c r="K35" s="483"/>
      <c r="L35" s="483"/>
      <c r="M35" s="867"/>
      <c r="N35" s="867"/>
      <c r="O35" s="867"/>
      <c r="P35" s="867"/>
      <c r="Q35" s="867"/>
      <c r="R35" s="867"/>
      <c r="S35" s="867"/>
      <c r="T35" s="465">
        <f>AND(F35&gt;0,Y35&gt;0)</f>
        <v>0</v>
      </c>
      <c r="U35" s="867"/>
      <c r="V35" s="867"/>
      <c r="W35" s="867" t="s">
        <v>174</v>
      </c>
      <c r="X35" s="1619"/>
      <c r="Y35" s="1619">
        <v>0</v>
      </c>
      <c r="Z35" s="1620"/>
      <c r="AA35" s="1617" t="s">
        <v>175</v>
      </c>
      <c r="AB35" s="300" t="str">
        <f>"3."&amp;Y35</f>
        <v>3.0</v>
      </c>
      <c r="AC35" s="4727"/>
      <c r="AD35" s="766" t="s">
        <v>1514</v>
      </c>
      <c r="AE35" s="4728"/>
      <c r="AF35" s="4728"/>
      <c r="AG35" s="4728"/>
      <c r="AH35" s="4728"/>
      <c r="AI35" s="3557">
        <f>AI36*AI37*12/1000</f>
        <v>0</v>
      </c>
      <c r="AJ35" s="3557">
        <f>AJ36*AJ37*12/1000</f>
        <v>0</v>
      </c>
      <c r="AK35" s="1947"/>
      <c r="AL35" s="1812"/>
      <c r="AM35" s="1812"/>
      <c r="AN35" s="1030" t="s">
        <v>1869</v>
      </c>
      <c r="AO35" s="1030" t="s">
        <v>1884</v>
      </c>
      <c r="AP35" s="1030" cm="1" t="str">
        <f t="array" ref="AP35:AP35">AC35</f>
        <v>0</v>
      </c>
      <c r="AQ35" s="267"/>
      <c r="AR35" s="267" t="b">
        <v>1</v>
      </c>
    </row>
    <row s="1812" customFormat="1" customHeight="1" ht="14.625" hidden="1">
      <c r="A36" s="1812"/>
      <c r="B36" s="429"/>
      <c r="C36" s="867"/>
      <c r="D36" s="867"/>
      <c r="E36" s="868">
        <v>15</v>
      </c>
      <c r="F36" s="50" cm="1" t="str">
        <f t="array" ref="F36:F36">OFFSET(E36,-1,1)</f>
        <v>0</v>
      </c>
      <c r="G36" s="872" t="s">
        <v>1885</v>
      </c>
      <c r="H36" s="839" t="str">
        <f>H35&amp;"_1"</f>
        <v>l3_1</v>
      </c>
      <c r="I36" s="839" cm="1" t="str">
        <f t="array" ref="I36:I36">I35</f>
        <v>0</v>
      </c>
      <c r="J36" s="867"/>
      <c r="K36" s="483"/>
      <c r="L36" s="483"/>
      <c r="M36" s="867"/>
      <c r="N36" s="867"/>
      <c r="O36" s="867"/>
      <c r="P36" s="867"/>
      <c r="Q36" s="867"/>
      <c r="R36" s="867"/>
      <c r="S36" s="867"/>
      <c r="T36" s="465" cm="1" t="str">
        <f t="array" ref="T36:T36">T35</f>
        <v>false</v>
      </c>
      <c r="U36" s="867"/>
      <c r="V36" s="867"/>
      <c r="W36" s="867"/>
      <c r="X36" s="1619"/>
      <c r="Y36" s="1619"/>
      <c r="Z36" s="1620"/>
      <c r="AA36" s="1617"/>
      <c r="AB36" s="690" t="str">
        <f>AB35&amp;".1"</f>
        <v>3.0.1</v>
      </c>
      <c r="AC36" s="765" t="s">
        <v>1872</v>
      </c>
      <c r="AD36" s="766" t="s">
        <v>1873</v>
      </c>
      <c r="AE36" s="4728"/>
      <c r="AF36" s="4728"/>
      <c r="AG36" s="4728"/>
      <c r="AH36" s="4728"/>
      <c r="AI36" s="4725"/>
      <c r="AJ36" s="4725"/>
      <c r="AK36" s="1947"/>
      <c r="AL36" s="1812"/>
      <c r="AM36" s="1812"/>
      <c r="AN36" s="1030" t="s">
        <v>1874</v>
      </c>
      <c r="AO36" s="1030" t="s">
        <v>1884</v>
      </c>
      <c r="AP36" s="1030" cm="1" t="str">
        <f t="array" ref="AP36:AP36">AP35</f>
        <v>0</v>
      </c>
      <c r="AQ36" s="267"/>
      <c r="AR36" s="267"/>
    </row>
    <row s="1812" customFormat="1" customHeight="1" ht="14.625" hidden="1">
      <c r="A37" s="1812"/>
      <c r="B37" s="429"/>
      <c r="C37" s="867"/>
      <c r="D37" s="867"/>
      <c r="E37" s="868">
        <v>15</v>
      </c>
      <c r="F37" s="50" cm="1" t="str">
        <f t="array" ref="F37:F37">OFFSET(E37,-1,1)</f>
        <v>0</v>
      </c>
      <c r="G37" s="839"/>
      <c r="H37" s="839" t="str">
        <f>H35&amp;"_2"</f>
        <v>l3_2</v>
      </c>
      <c r="I37" s="839" cm="1" t="str">
        <f t="array" ref="I37:I37">I36</f>
        <v>0</v>
      </c>
      <c r="J37" s="867"/>
      <c r="K37" s="483"/>
      <c r="L37" s="483"/>
      <c r="M37" s="867"/>
      <c r="N37" s="867"/>
      <c r="O37" s="867"/>
      <c r="P37" s="867"/>
      <c r="Q37" s="867"/>
      <c r="R37" s="867"/>
      <c r="S37" s="867"/>
      <c r="T37" s="465" cm="1" t="str">
        <f t="array" ref="T37:T37">T36</f>
        <v>false</v>
      </c>
      <c r="U37" s="867"/>
      <c r="V37" s="867"/>
      <c r="W37" s="867"/>
      <c r="X37" s="1619"/>
      <c r="Y37" s="1619"/>
      <c r="Z37" s="1620"/>
      <c r="AA37" s="1617"/>
      <c r="AB37" s="690" t="str">
        <f>AB35&amp;".2"</f>
        <v>3.0.2</v>
      </c>
      <c r="AC37" s="765" t="s">
        <v>1875</v>
      </c>
      <c r="AD37" s="766" t="s">
        <v>1876</v>
      </c>
      <c r="AE37" s="4728"/>
      <c r="AF37" s="4728"/>
      <c r="AG37" s="4728"/>
      <c r="AH37" s="4728"/>
      <c r="AI37" s="4725"/>
      <c r="AJ37" s="4725"/>
      <c r="AK37" s="1947"/>
      <c r="AL37" s="1812"/>
      <c r="AM37" s="1812"/>
      <c r="AN37" s="1030" t="s">
        <v>1877</v>
      </c>
      <c r="AO37" s="1030" t="s">
        <v>1884</v>
      </c>
      <c r="AP37" s="1030" cm="1" t="str">
        <f t="array" ref="AP37:AP37">AP36</f>
        <v>0</v>
      </c>
      <c r="AQ37" s="267"/>
      <c r="AR37" s="267"/>
    </row>
    <row s="1812" customFormat="1" customHeight="1" ht="14.625" hidden="1">
      <c r="A38" s="1812"/>
      <c r="B38" s="429"/>
      <c r="C38" s="867"/>
      <c r="D38" s="867"/>
      <c r="E38" s="868">
        <v>15</v>
      </c>
      <c r="F38" s="50" cm="1" t="str">
        <f t="array" ref="F38:F38">OFFSET(E38,-1,1)</f>
        <v>0</v>
      </c>
      <c r="G38" s="374"/>
      <c r="H38" s="839"/>
      <c r="I38" s="152" t="str">
        <f>"!=='не определено' &amp;&amp; row.l3 !== null"</f>
        <v>!=='не определено' &amp;&amp; row.l3 !== null</v>
      </c>
      <c r="J38" s="867"/>
      <c r="K38" s="483"/>
      <c r="L38" s="483"/>
      <c r="M38" s="867"/>
      <c r="N38" s="867"/>
      <c r="O38" s="867"/>
      <c r="P38" s="867"/>
      <c r="Q38" s="867"/>
      <c r="R38" s="867"/>
      <c r="S38" s="867"/>
      <c r="T38" s="465">
        <f>F38&gt;0</f>
        <v>0</v>
      </c>
      <c r="U38" s="867"/>
      <c r="V38" s="867"/>
      <c r="W38" s="757" t="s">
        <v>1613</v>
      </c>
      <c r="X38" s="1619"/>
      <c r="Y38" s="873"/>
      <c r="Z38" s="1620"/>
      <c r="AA38" s="867"/>
      <c r="AB38" s="874"/>
      <c r="AC38" s="260" t="s">
        <v>178</v>
      </c>
      <c r="AD38" s="776"/>
      <c r="AE38" s="776"/>
      <c r="AF38" s="776"/>
      <c r="AG38" s="776"/>
      <c r="AH38" s="776"/>
      <c r="AI38" s="776"/>
      <c r="AJ38" s="776"/>
      <c r="AK38" s="777"/>
      <c r="AL38" s="1812"/>
      <c r="AM38" s="1812"/>
      <c r="AN38" s="1030"/>
      <c r="AO38" s="1030"/>
      <c r="AP38" s="1030"/>
      <c r="AQ38" s="267" t="s">
        <v>1884</v>
      </c>
      <c r="AR38" s="267"/>
    </row>
    <row s="1812" customFormat="1" customHeight="1" ht="21.9375" hidden="1">
      <c r="A39" s="1812"/>
      <c r="B39" s="429"/>
      <c r="C39" s="867"/>
      <c r="D39" s="867"/>
      <c r="E39" s="868">
        <v>22.5</v>
      </c>
      <c r="F39" s="50" cm="1" t="str">
        <f t="array" ref="F39:F39">OFFSET(E39,-1,1)</f>
        <v>0</v>
      </c>
      <c r="G39" s="374" t="s">
        <v>1886</v>
      </c>
      <c r="H39" s="839" t="s">
        <v>336</v>
      </c>
      <c r="I39" s="839"/>
      <c r="J39" s="867"/>
      <c r="K39" s="483" t="str">
        <f>F39&amp;"4komm"</f>
        <v>04komm</v>
      </c>
      <c r="L39" s="917" cm="1" t="str">
        <f t="array" ref="L39:L39">AK39</f>
        <v>0</v>
      </c>
      <c r="M39" s="867"/>
      <c r="N39" s="867"/>
      <c r="O39" s="867"/>
      <c r="P39" s="867"/>
      <c r="Q39" s="867"/>
      <c r="R39" s="867"/>
      <c r="S39" s="867"/>
      <c r="T39" s="465" cm="1" t="str">
        <f t="array" ref="T39:T39">T38</f>
        <v>false</v>
      </c>
      <c r="U39" s="867"/>
      <c r="V39" s="867"/>
      <c r="W39" s="867"/>
      <c r="X39" s="1619"/>
      <c r="Y39" s="873"/>
      <c r="Z39" s="1620"/>
      <c r="AA39" s="867"/>
      <c r="AB39" s="690" t="s">
        <v>295</v>
      </c>
      <c r="AC39" s="847" t="s">
        <v>1887</v>
      </c>
      <c r="AD39" s="766" t="s">
        <v>1514</v>
      </c>
      <c r="AE39" s="4725">
        <f>AE34*_xlfn.SUMIFS(INDEX(Сценарии!$AE$25:$BF$163,,MATCH(AE$13,Сценарии!$AE$8:$BF$8,0)),Сценарии!$F$25:$F$163,$F39,Сценарии!$G$25:$G$163,"СВФОТ")/100</f>
        <v>0</v>
      </c>
      <c r="AF39" s="4725">
        <f>AF34*_xlfn.SUMIFS(INDEX(Сценарии!$AE$25:$BF$163,,MATCH(AF$13,Сценарии!$AE$8:$BF$8,0)),Сценарии!$F$25:$F$163,$F39,Сценарии!$G$25:$G$163,"СВФОТ")/100</f>
        <v>0</v>
      </c>
      <c r="AG39" s="4725">
        <f>AG34*_xlfn.SUMIFS(INDEX(Сценарии!$AE$25:$BF$163,,MATCH(AG$13,Сценарии!$AE$8:$BF$8,0)),Сценарии!$F$25:$F$163,$F39,Сценарии!$G$25:$G$163,"СВФОТ")/100</f>
        <v>0</v>
      </c>
      <c r="AH39" s="4725">
        <f>AH34*_xlfn.SUMIFS(INDEX(Сценарии!$AE$25:$BF$163,,MATCH(AH$13,Сценарии!$AE$8:$BF$8,0)),Сценарии!$F$25:$F$163,$F39,Сценарии!$G$25:$G$163,"СВФОТ")/100</f>
        <v>0</v>
      </c>
      <c r="AI39" s="4725">
        <f>AI34*_xlfn.SUMIFS(INDEX(Сценарии!$AE$25:$BF$163,,MATCH(AI$13,Сценарии!$AE$8:$BF$8,0)),Сценарии!$F$25:$F$163,$F39,Сценарии!$G$25:$G$163,"СВФОТ")/100</f>
        <v>0</v>
      </c>
      <c r="AJ39" s="4725">
        <f>AJ34*_xlfn.SUMIFS(INDEX(Сценарии!$AE$25:$BF$163,,MATCH(AJ$13,Сценарии!$AE$8:$BF$8,0)),Сценарии!$F$25:$F$163,$F39,Сценарии!$G$25:$G$163,"СВФОТ")/100</f>
        <v>0</v>
      </c>
      <c r="AK39" s="1947"/>
      <c r="AL39" s="1812"/>
      <c r="AM39" s="1812"/>
      <c r="AN39" s="1030" t="s">
        <v>1888</v>
      </c>
      <c r="AO39" s="1030"/>
      <c r="AP39" s="1030"/>
      <c r="AQ39" s="267"/>
      <c r="AR39" s="267"/>
    </row>
    <row s="1812" customFormat="1" customHeight="1" ht="21.9375" hidden="1">
      <c r="A40" s="1812"/>
      <c r="B40" s="429"/>
      <c r="C40" s="867"/>
      <c r="D40" s="867"/>
      <c r="E40" s="868">
        <v>22.5</v>
      </c>
      <c r="F40" s="50" cm="1" t="str">
        <f t="array" ref="F40:F40">OFFSET(E40,-1,1)</f>
        <v>0</v>
      </c>
      <c r="G40" s="374" t="s">
        <v>1889</v>
      </c>
      <c r="H40" s="839" t="s">
        <v>335</v>
      </c>
      <c r="I40" s="839"/>
      <c r="J40" s="867"/>
      <c r="K40" s="483" t="str">
        <f>F40&amp;"5komm"</f>
        <v>05komm</v>
      </c>
      <c r="L40" s="917" cm="1" t="str">
        <f t="array" ref="L40:L40">AK40</f>
        <v>0</v>
      </c>
      <c r="M40" s="867"/>
      <c r="N40" s="867"/>
      <c r="O40" s="867"/>
      <c r="P40" s="867"/>
      <c r="Q40" s="867"/>
      <c r="R40" s="867"/>
      <c r="S40" s="867"/>
      <c r="T40" s="465" cm="1" t="str">
        <f t="array" ref="T40:T40">T39</f>
        <v>false</v>
      </c>
      <c r="U40" s="867"/>
      <c r="V40" s="867"/>
      <c r="W40" s="867"/>
      <c r="X40" s="1619"/>
      <c r="Y40" s="873"/>
      <c r="Z40" s="1620"/>
      <c r="AA40" s="867"/>
      <c r="AB40" s="690" t="s">
        <v>443</v>
      </c>
      <c r="AC40" s="847" t="s">
        <v>1890</v>
      </c>
      <c r="AD40" s="766" t="s">
        <v>1514</v>
      </c>
      <c r="AE40" s="4725"/>
      <c r="AF40" s="4725"/>
      <c r="AG40" s="4725"/>
      <c r="AH40" s="4725"/>
      <c r="AI40" s="213">
        <f>_xlfn.SUMIFS(AI41:AI44,$AD41:$AD44,$AD40)</f>
        <v>0</v>
      </c>
      <c r="AJ40" s="213">
        <f>_xlfn.SUMIFS(AJ41:AJ44,$AD41:$AD44,$AD40)</f>
        <v>0</v>
      </c>
      <c r="AK40" s="1947"/>
      <c r="AL40" s="1812"/>
      <c r="AM40" s="1812"/>
      <c r="AN40" s="1030" t="s">
        <v>1891</v>
      </c>
      <c r="AO40" s="1030"/>
      <c r="AP40" s="1030"/>
      <c r="AQ40" s="267"/>
      <c r="AR40" s="267"/>
    </row>
    <row s="1812" customFormat="1" customHeight="1" ht="18.28125" hidden="1">
      <c r="A41" s="1812"/>
      <c r="B41" s="429"/>
      <c r="C41" s="867"/>
      <c r="D41" s="867"/>
      <c r="E41" s="868">
        <v>18.75</v>
      </c>
      <c r="F41" s="50" cm="1" t="str">
        <f t="array" ref="F41:F41">OFFSET(E41,-1,1)</f>
        <v>0</v>
      </c>
      <c r="G41" s="839"/>
      <c r="H41" s="839" t="s">
        <v>335</v>
      </c>
      <c r="I41" s="839" cm="1" t="str">
        <f t="array" ref="I41:I41">AC41</f>
        <v>0</v>
      </c>
      <c r="J41" s="867"/>
      <c r="K41" s="483"/>
      <c r="L41" s="483"/>
      <c r="M41" s="867"/>
      <c r="N41" s="867"/>
      <c r="O41" s="867"/>
      <c r="P41" s="867"/>
      <c r="Q41" s="867"/>
      <c r="R41" s="867"/>
      <c r="S41" s="867"/>
      <c r="T41" s="465">
        <f>AND(F41&gt;0,Y41&gt;0)</f>
        <v>0</v>
      </c>
      <c r="U41" s="867"/>
      <c r="V41" s="867"/>
      <c r="W41" s="867" t="s">
        <v>174</v>
      </c>
      <c r="X41" s="1619"/>
      <c r="Y41" s="1619">
        <v>0</v>
      </c>
      <c r="Z41" s="1620"/>
      <c r="AA41" s="1617" t="s">
        <v>175</v>
      </c>
      <c r="AB41" s="300" t="str">
        <f>"5."&amp;Y41</f>
        <v>5.0</v>
      </c>
      <c r="AC41" s="4727"/>
      <c r="AD41" s="766" t="s">
        <v>1514</v>
      </c>
      <c r="AE41" s="4728"/>
      <c r="AF41" s="4728"/>
      <c r="AG41" s="4728"/>
      <c r="AH41" s="4728"/>
      <c r="AI41" s="3557">
        <f>AI42*AI43*12/1000</f>
        <v>0</v>
      </c>
      <c r="AJ41" s="3557">
        <f>AJ42*AJ43*12/1000</f>
        <v>0</v>
      </c>
      <c r="AK41" s="1947"/>
      <c r="AL41" s="1812"/>
      <c r="AM41" s="1812"/>
      <c r="AN41" s="1030" t="s">
        <v>1869</v>
      </c>
      <c r="AO41" s="1030" t="s">
        <v>1892</v>
      </c>
      <c r="AP41" s="1030" cm="1" t="str">
        <f t="array" ref="AP41:AP41">AC41</f>
        <v>0</v>
      </c>
      <c r="AQ41" s="267"/>
      <c r="AR41" s="267" t="b">
        <v>1</v>
      </c>
    </row>
    <row s="1812" customFormat="1" customHeight="1" ht="14.625" hidden="1">
      <c r="A42" s="1812"/>
      <c r="B42" s="429"/>
      <c r="C42" s="867"/>
      <c r="D42" s="867"/>
      <c r="E42" s="868">
        <v>15</v>
      </c>
      <c r="F42" s="50" cm="1" t="str">
        <f t="array" ref="F42:F42">OFFSET(E42,-1,1)</f>
        <v>0</v>
      </c>
      <c r="G42" s="839"/>
      <c r="H42" s="839" t="str">
        <f>H41&amp;"_1"</f>
        <v>l5_1</v>
      </c>
      <c r="I42" s="839" cm="1" t="str">
        <f t="array" ref="I42:I42">I41</f>
        <v>0</v>
      </c>
      <c r="J42" s="867"/>
      <c r="K42" s="483"/>
      <c r="L42" s="483"/>
      <c r="M42" s="867"/>
      <c r="N42" s="867"/>
      <c r="O42" s="867"/>
      <c r="P42" s="867"/>
      <c r="Q42" s="867"/>
      <c r="R42" s="867"/>
      <c r="S42" s="867"/>
      <c r="T42" s="465" cm="1" t="str">
        <f t="array" ref="T42:T42">T41</f>
        <v>false</v>
      </c>
      <c r="U42" s="867"/>
      <c r="V42" s="867"/>
      <c r="W42" s="867"/>
      <c r="X42" s="1619"/>
      <c r="Y42" s="1619"/>
      <c r="Z42" s="1620"/>
      <c r="AA42" s="1617"/>
      <c r="AB42" s="690" t="str">
        <f>AB41&amp;".1"</f>
        <v>5.0.1</v>
      </c>
      <c r="AC42" s="765" t="s">
        <v>1872</v>
      </c>
      <c r="AD42" s="766" t="s">
        <v>1873</v>
      </c>
      <c r="AE42" s="4728"/>
      <c r="AF42" s="4728"/>
      <c r="AG42" s="4728"/>
      <c r="AH42" s="4728"/>
      <c r="AI42" s="4725"/>
      <c r="AJ42" s="4725"/>
      <c r="AK42" s="1947"/>
      <c r="AL42" s="1812"/>
      <c r="AM42" s="1812"/>
      <c r="AN42" s="1030" t="s">
        <v>1874</v>
      </c>
      <c r="AO42" s="1030" t="s">
        <v>1892</v>
      </c>
      <c r="AP42" s="1030" cm="1" t="str">
        <f t="array" ref="AP42:AP42">AP41</f>
        <v>0</v>
      </c>
      <c r="AQ42" s="267"/>
      <c r="AR42" s="267"/>
    </row>
    <row s="1812" customFormat="1" customHeight="1" ht="14.625" hidden="1">
      <c r="A43" s="1812"/>
      <c r="B43" s="429"/>
      <c r="C43" s="867"/>
      <c r="D43" s="867"/>
      <c r="E43" s="868">
        <v>15</v>
      </c>
      <c r="F43" s="50" cm="1" t="str">
        <f t="array" ref="F43:F43">OFFSET(E43,-1,1)</f>
        <v>0</v>
      </c>
      <c r="G43" s="839"/>
      <c r="H43" s="839" t="str">
        <f>H41&amp;"_2"</f>
        <v>l5_2</v>
      </c>
      <c r="I43" s="839" cm="1" t="str">
        <f t="array" ref="I43:I43">I42</f>
        <v>0</v>
      </c>
      <c r="J43" s="867"/>
      <c r="K43" s="483"/>
      <c r="L43" s="483"/>
      <c r="M43" s="867"/>
      <c r="N43" s="867"/>
      <c r="O43" s="867"/>
      <c r="P43" s="867"/>
      <c r="Q43" s="867"/>
      <c r="R43" s="867"/>
      <c r="S43" s="867"/>
      <c r="T43" s="465" cm="1" t="str">
        <f t="array" ref="T43:T43">T42</f>
        <v>false</v>
      </c>
      <c r="U43" s="867"/>
      <c r="V43" s="867"/>
      <c r="W43" s="867"/>
      <c r="X43" s="1619"/>
      <c r="Y43" s="1619"/>
      <c r="Z43" s="1620"/>
      <c r="AA43" s="1617"/>
      <c r="AB43" s="690" t="str">
        <f>AB41&amp;".2"</f>
        <v>5.0.2</v>
      </c>
      <c r="AC43" s="765" t="s">
        <v>1875</v>
      </c>
      <c r="AD43" s="766" t="s">
        <v>1876</v>
      </c>
      <c r="AE43" s="4728"/>
      <c r="AF43" s="4728"/>
      <c r="AG43" s="4728"/>
      <c r="AH43" s="4728"/>
      <c r="AI43" s="4725"/>
      <c r="AJ43" s="4725"/>
      <c r="AK43" s="1947"/>
      <c r="AL43" s="1812"/>
      <c r="AM43" s="1812"/>
      <c r="AN43" s="1030" t="s">
        <v>1877</v>
      </c>
      <c r="AO43" s="1030" t="s">
        <v>1892</v>
      </c>
      <c r="AP43" s="1030" cm="1" t="str">
        <f t="array" ref="AP43:AP43">AP42</f>
        <v>0</v>
      </c>
      <c r="AQ43" s="267"/>
      <c r="AR43" s="267"/>
    </row>
    <row s="1812" customFormat="1" customHeight="1" ht="14.625" hidden="1">
      <c r="A44" s="1812"/>
      <c r="B44" s="429"/>
      <c r="C44" s="867"/>
      <c r="D44" s="867"/>
      <c r="E44" s="868">
        <v>15</v>
      </c>
      <c r="F44" s="50" cm="1" t="str">
        <f t="array" ref="F44:F44">OFFSET(E44,-1,1)</f>
        <v>0</v>
      </c>
      <c r="G44" s="374"/>
      <c r="H44" s="839"/>
      <c r="I44" s="152" t="str">
        <f>"!=='не определено' &amp;&amp; row.l5 !== null"</f>
        <v>!=='не определено' &amp;&amp; row.l5 !== null</v>
      </c>
      <c r="J44" s="867"/>
      <c r="K44" s="483"/>
      <c r="L44" s="483"/>
      <c r="M44" s="867"/>
      <c r="N44" s="867"/>
      <c r="O44" s="867"/>
      <c r="P44" s="867"/>
      <c r="Q44" s="867"/>
      <c r="R44" s="867"/>
      <c r="S44" s="867"/>
      <c r="T44" s="465">
        <f>F44&gt;0</f>
        <v>0</v>
      </c>
      <c r="U44" s="867"/>
      <c r="V44" s="867"/>
      <c r="W44" s="757" t="s">
        <v>1893</v>
      </c>
      <c r="X44" s="1619"/>
      <c r="Y44" s="873"/>
      <c r="Z44" s="1620"/>
      <c r="AA44" s="867"/>
      <c r="AB44" s="874"/>
      <c r="AC44" s="260" t="s">
        <v>178</v>
      </c>
      <c r="AD44" s="776"/>
      <c r="AE44" s="776"/>
      <c r="AF44" s="776"/>
      <c r="AG44" s="776"/>
      <c r="AH44" s="776"/>
      <c r="AI44" s="776"/>
      <c r="AJ44" s="776"/>
      <c r="AK44" s="777"/>
      <c r="AL44" s="1812"/>
      <c r="AM44" s="1812"/>
      <c r="AN44" s="1030"/>
      <c r="AO44" s="1030"/>
      <c r="AP44" s="1030"/>
      <c r="AQ44" s="267" t="s">
        <v>1892</v>
      </c>
      <c r="AR44" s="267"/>
    </row>
    <row s="1812" customFormat="1" customHeight="1" ht="21.9375" hidden="1">
      <c r="A45" s="1812"/>
      <c r="B45" s="429"/>
      <c r="C45" s="867"/>
      <c r="D45" s="867"/>
      <c r="E45" s="868">
        <v>22.5</v>
      </c>
      <c r="F45" s="50" cm="1" t="str">
        <f t="array" ref="F45:F45">OFFSET(E45,-1,1)</f>
        <v>0</v>
      </c>
      <c r="G45" s="374" t="s">
        <v>1894</v>
      </c>
      <c r="H45" s="839" t="s">
        <v>1225</v>
      </c>
      <c r="I45" s="839"/>
      <c r="J45" s="867"/>
      <c r="K45" s="483" t="str">
        <f>F45&amp;"6komm"</f>
        <v>06komm</v>
      </c>
      <c r="L45" s="483" cm="1" t="str">
        <f t="array" ref="L45:L45">AK45</f>
        <v>0</v>
      </c>
      <c r="M45" s="867"/>
      <c r="N45" s="867"/>
      <c r="O45" s="867"/>
      <c r="P45" s="867"/>
      <c r="Q45" s="867"/>
      <c r="R45" s="867"/>
      <c r="S45" s="867"/>
      <c r="T45" s="465" cm="1" t="str">
        <f t="array" ref="T45:T45">T44</f>
        <v>false</v>
      </c>
      <c r="U45" s="867"/>
      <c r="V45" s="867"/>
      <c r="W45" s="867"/>
      <c r="X45" s="1619"/>
      <c r="Y45" s="873"/>
      <c r="Z45" s="1620"/>
      <c r="AA45" s="867"/>
      <c r="AB45" s="690" t="s">
        <v>446</v>
      </c>
      <c r="AC45" s="847" t="s">
        <v>1895</v>
      </c>
      <c r="AD45" s="766" t="s">
        <v>1514</v>
      </c>
      <c r="AE45" s="4725">
        <f>AE40*_xlfn.SUMIFS(INDEX(Сценарии!$AE$25:$BF$163,,MATCH(AE$13,Сценарии!$AE$8:$BF$8,0)),Сценарии!$F$25:$F$163,$F45,Сценарии!$G$25:$G$163,"СВФОТ")/100</f>
        <v>0</v>
      </c>
      <c r="AF45" s="4725">
        <f>AF40*_xlfn.SUMIFS(INDEX(Сценарии!$AE$25:$BF$163,,MATCH(AF$13,Сценарии!$AE$8:$BF$8,0)),Сценарии!$F$25:$F$163,$F45,Сценарии!$G$25:$G$163,"СВФОТ")/100</f>
        <v>0</v>
      </c>
      <c r="AG45" s="4725">
        <f>AG40*_xlfn.SUMIFS(INDEX(Сценарии!$AE$25:$BF$163,,MATCH(AG$13,Сценарии!$AE$8:$BF$8,0)),Сценарии!$F$25:$F$163,$F45,Сценарии!$G$25:$G$163,"СВФОТ")/100</f>
        <v>0</v>
      </c>
      <c r="AH45" s="4725">
        <f>AH40*_xlfn.SUMIFS(INDEX(Сценарии!$AE$25:$BF$163,,MATCH(AH$13,Сценарии!$AE$8:$BF$8,0)),Сценарии!$F$25:$F$163,$F45,Сценарии!$G$25:$G$163,"СВФОТ")/100</f>
        <v>0</v>
      </c>
      <c r="AI45" s="4725">
        <f>AI40*_xlfn.SUMIFS(INDEX(Сценарии!$AE$25:$BF$163,,MATCH(AI$13,Сценарии!$AE$8:$BF$8,0)),Сценарии!$F$25:$F$163,$F45,Сценарии!$G$25:$G$163,"СВФОТ")/100</f>
        <v>0</v>
      </c>
      <c r="AJ45" s="4725">
        <f>AJ40*_xlfn.SUMIFS(INDEX(Сценарии!$AE$25:$BF$163,,MATCH(AJ$13,Сценарии!$AE$8:$BF$8,0)),Сценарии!$F$25:$F$163,$F45,Сценарии!$G$25:$G$163,"СВФОТ")/100</f>
        <v>0</v>
      </c>
      <c r="AK45" s="4734"/>
      <c r="AL45" s="1812"/>
      <c r="AM45" s="1812"/>
      <c r="AN45" s="1030" t="s">
        <v>1896</v>
      </c>
      <c r="AO45" s="1030"/>
      <c r="AP45" s="1030"/>
      <c r="AQ45" s="267"/>
      <c r="AR45" s="267"/>
    </row>
    <row s="1812" customFormat="1" customHeight="1" ht="14.625" hidden="1">
      <c r="A46" s="1812"/>
      <c r="B46" s="429"/>
      <c r="C46" s="867"/>
      <c r="D46" s="867"/>
      <c r="E46" s="868">
        <v>15</v>
      </c>
      <c r="F46" s="50" cm="1" t="str">
        <f t="array" ref="F46:F46">OFFSET(E46,-1,1)</f>
        <v>0</v>
      </c>
      <c r="G46" s="374" t="s">
        <v>1897</v>
      </c>
      <c r="H46" s="839" t="s">
        <v>1228</v>
      </c>
      <c r="I46" s="839"/>
      <c r="J46" s="867"/>
      <c r="K46" s="483" t="str">
        <f>F46&amp;"7komm"</f>
        <v>07komm</v>
      </c>
      <c r="L46" s="483" cm="1" t="str">
        <f t="array" ref="L46:L46">AK46</f>
        <v>0</v>
      </c>
      <c r="M46" s="867"/>
      <c r="N46" s="867"/>
      <c r="O46" s="867"/>
      <c r="P46" s="867"/>
      <c r="Q46" s="867"/>
      <c r="R46" s="867"/>
      <c r="S46" s="867"/>
      <c r="T46" s="465" cm="1" t="str">
        <f t="array" ref="T46:T46">T45</f>
        <v>false</v>
      </c>
      <c r="U46" s="867"/>
      <c r="V46" s="867"/>
      <c r="W46" s="867"/>
      <c r="X46" s="1619"/>
      <c r="Y46" s="873"/>
      <c r="Z46" s="1620"/>
      <c r="AA46" s="867"/>
      <c r="AB46" s="690" t="s">
        <v>449</v>
      </c>
      <c r="AC46" s="847" t="s">
        <v>1898</v>
      </c>
      <c r="AD46" s="766" t="s">
        <v>1514</v>
      </c>
      <c r="AE46" s="4725"/>
      <c r="AF46" s="4725"/>
      <c r="AG46" s="4725"/>
      <c r="AH46" s="4725"/>
      <c r="AI46" s="213">
        <f>_xlfn.SUMIFS(AI47:AI50,$AD47:$AD50,$AD46)</f>
        <v>0</v>
      </c>
      <c r="AJ46" s="213">
        <f>_xlfn.SUMIFS(AJ47:AJ50,$AD47:$AD50,$AD46)</f>
        <v>0</v>
      </c>
      <c r="AK46" s="4734"/>
      <c r="AL46" s="1812"/>
      <c r="AM46" s="1812"/>
      <c r="AN46" s="1030" t="s">
        <v>1899</v>
      </c>
      <c r="AO46" s="1030"/>
      <c r="AP46" s="1030"/>
      <c r="AQ46" s="267"/>
      <c r="AR46" s="267"/>
    </row>
    <row s="1812" customFormat="1" customHeight="1" ht="18.28125" hidden="1">
      <c r="A47" s="1812"/>
      <c r="B47" s="1812"/>
      <c r="C47" s="875"/>
      <c r="D47" s="875"/>
      <c r="E47" s="876">
        <v>18.75</v>
      </c>
      <c r="F47" s="50" cm="1" t="str">
        <f t="array" ref="F47:F47">OFFSET(E47,-1,1)</f>
        <v>0</v>
      </c>
      <c r="G47" s="872"/>
      <c r="H47" s="839" t="s">
        <v>1228</v>
      </c>
      <c r="I47" s="872" cm="1" t="str">
        <f t="array" ref="I47:I47">AC47</f>
        <v>0</v>
      </c>
      <c r="J47" s="875"/>
      <c r="K47" s="916"/>
      <c r="L47" s="916"/>
      <c r="M47" s="875"/>
      <c r="N47" s="875"/>
      <c r="O47" s="875"/>
      <c r="P47" s="875"/>
      <c r="Q47" s="875"/>
      <c r="R47" s="875"/>
      <c r="S47" s="875"/>
      <c r="T47" s="465">
        <f>AND(F47&gt;0,Y47&gt;0)</f>
        <v>0</v>
      </c>
      <c r="U47" s="875"/>
      <c r="V47" s="875"/>
      <c r="W47" s="867" t="s">
        <v>174</v>
      </c>
      <c r="X47" s="1619"/>
      <c r="Y47" s="1619">
        <v>0</v>
      </c>
      <c r="Z47" s="1620"/>
      <c r="AA47" s="1617" t="s">
        <v>175</v>
      </c>
      <c r="AB47" s="1222" t="str">
        <f>"7."&amp;Y47</f>
        <v>7.0</v>
      </c>
      <c r="AC47" s="4738"/>
      <c r="AD47" s="878" t="s">
        <v>1514</v>
      </c>
      <c r="AE47" s="4740"/>
      <c r="AF47" s="4740"/>
      <c r="AG47" s="4740"/>
      <c r="AH47" s="4740"/>
      <c r="AI47" s="4741">
        <f>AI48*AI49*12/1000</f>
        <v>0</v>
      </c>
      <c r="AJ47" s="4741">
        <f>AJ48*AJ49*12/1000</f>
        <v>0</v>
      </c>
      <c r="AK47" s="4742"/>
      <c r="AL47" s="1812"/>
      <c r="AM47" s="1812"/>
      <c r="AN47" s="1030" t="s">
        <v>1869</v>
      </c>
      <c r="AO47" s="1046" t="s">
        <v>1900</v>
      </c>
      <c r="AP47" s="1030" cm="1" t="str">
        <f t="array" ref="AP47:AP47">AC47</f>
        <v>0</v>
      </c>
      <c r="AQ47" s="1047"/>
      <c r="AR47" s="267" t="b">
        <v>1</v>
      </c>
    </row>
    <row s="1812" customFormat="1" customHeight="1" ht="14.625" hidden="1">
      <c r="A48" s="1812"/>
      <c r="B48" s="1812"/>
      <c r="C48" s="875"/>
      <c r="D48" s="875"/>
      <c r="E48" s="876">
        <v>15</v>
      </c>
      <c r="F48" s="50" cm="1" t="str">
        <f t="array" ref="F48:F48">OFFSET(E48,-1,1)</f>
        <v>0</v>
      </c>
      <c r="G48" s="872"/>
      <c r="H48" s="872" t="str">
        <f>H47&amp;"_1"</f>
        <v>l7_1</v>
      </c>
      <c r="I48" s="872" cm="1" t="str">
        <f t="array" ref="I48:I48">I47</f>
        <v>0</v>
      </c>
      <c r="J48" s="875"/>
      <c r="K48" s="916"/>
      <c r="L48" s="916"/>
      <c r="M48" s="875"/>
      <c r="N48" s="875"/>
      <c r="O48" s="875"/>
      <c r="P48" s="875"/>
      <c r="Q48" s="875"/>
      <c r="R48" s="875"/>
      <c r="S48" s="875"/>
      <c r="T48" s="465" cm="1" t="str">
        <f t="array" ref="T48:T48">T47</f>
        <v>false</v>
      </c>
      <c r="U48" s="875"/>
      <c r="V48" s="875"/>
      <c r="W48" s="875"/>
      <c r="X48" s="1619"/>
      <c r="Y48" s="1619"/>
      <c r="Z48" s="1620"/>
      <c r="AA48" s="1617"/>
      <c r="AB48" s="882" t="str">
        <f>AB47&amp;".1"</f>
        <v>7.0.1</v>
      </c>
      <c r="AC48" s="883" t="s">
        <v>1872</v>
      </c>
      <c r="AD48" s="878" t="s">
        <v>1873</v>
      </c>
      <c r="AE48" s="4740"/>
      <c r="AF48" s="4740"/>
      <c r="AG48" s="4740"/>
      <c r="AH48" s="4740"/>
      <c r="AI48" s="4745"/>
      <c r="AJ48" s="4745"/>
      <c r="AK48" s="4742"/>
      <c r="AL48" s="1812"/>
      <c r="AM48" s="1812"/>
      <c r="AN48" s="1030" t="s">
        <v>1874</v>
      </c>
      <c r="AO48" s="1046" t="s">
        <v>1900</v>
      </c>
      <c r="AP48" s="1030" cm="1" t="str">
        <f t="array" ref="AP48:AP48">AP47</f>
        <v>0</v>
      </c>
      <c r="AQ48" s="1047"/>
      <c r="AR48" s="1047"/>
    </row>
    <row s="1812" customFormat="1" customHeight="1" ht="14.625" hidden="1">
      <c r="A49" s="1812"/>
      <c r="B49" s="1812"/>
      <c r="C49" s="875"/>
      <c r="D49" s="875"/>
      <c r="E49" s="876">
        <v>15</v>
      </c>
      <c r="F49" s="50" cm="1" t="str">
        <f t="array" ref="F49:F49">OFFSET(E49,-1,1)</f>
        <v>0</v>
      </c>
      <c r="G49" s="872"/>
      <c r="H49" s="872" t="str">
        <f>H47&amp;"_2"</f>
        <v>l7_2</v>
      </c>
      <c r="I49" s="872" cm="1" t="str">
        <f t="array" ref="I49:I49">I48</f>
        <v>0</v>
      </c>
      <c r="J49" s="875"/>
      <c r="K49" s="916"/>
      <c r="L49" s="916"/>
      <c r="M49" s="875"/>
      <c r="N49" s="875"/>
      <c r="O49" s="875"/>
      <c r="P49" s="875"/>
      <c r="Q49" s="875"/>
      <c r="R49" s="875"/>
      <c r="S49" s="875"/>
      <c r="T49" s="465" cm="1" t="str">
        <f t="array" ref="T49:T49">T48</f>
        <v>false</v>
      </c>
      <c r="U49" s="875"/>
      <c r="V49" s="875"/>
      <c r="W49" s="875"/>
      <c r="X49" s="1619"/>
      <c r="Y49" s="1619"/>
      <c r="Z49" s="1620"/>
      <c r="AA49" s="1617"/>
      <c r="AB49" s="882" t="str">
        <f>AB47&amp;".2"</f>
        <v>7.0.2</v>
      </c>
      <c r="AC49" s="883" t="s">
        <v>1875</v>
      </c>
      <c r="AD49" s="878" t="s">
        <v>1876</v>
      </c>
      <c r="AE49" s="4740"/>
      <c r="AF49" s="4740"/>
      <c r="AG49" s="4740"/>
      <c r="AH49" s="4740"/>
      <c r="AI49" s="4745"/>
      <c r="AJ49" s="4745"/>
      <c r="AK49" s="4742"/>
      <c r="AL49" s="1812"/>
      <c r="AM49" s="1812"/>
      <c r="AN49" s="1030" t="s">
        <v>1877</v>
      </c>
      <c r="AO49" s="1046" t="s">
        <v>1900</v>
      </c>
      <c r="AP49" s="1030" cm="1" t="str">
        <f t="array" ref="AP49:AP49">AP48</f>
        <v>0</v>
      </c>
      <c r="AQ49" s="1047"/>
      <c r="AR49" s="1047"/>
    </row>
    <row s="1812" customFormat="1" customHeight="1" ht="14.625" hidden="1">
      <c r="A50" s="1812"/>
      <c r="B50" s="429"/>
      <c r="C50" s="867"/>
      <c r="D50" s="867"/>
      <c r="E50" s="868">
        <v>15</v>
      </c>
      <c r="F50" s="50" cm="1" t="str">
        <f t="array" ref="F50:F50">OFFSET(E50,-1,1)</f>
        <v>0</v>
      </c>
      <c r="G50" s="374"/>
      <c r="H50" s="839"/>
      <c r="I50" s="152" t="str">
        <f>"!=='не определено' &amp;&amp; row.l7 !== null"</f>
        <v>!=='не определено' &amp;&amp; row.l7 !== null</v>
      </c>
      <c r="J50" s="867"/>
      <c r="K50" s="483"/>
      <c r="L50" s="483"/>
      <c r="M50" s="867"/>
      <c r="N50" s="867"/>
      <c r="O50" s="867"/>
      <c r="P50" s="867"/>
      <c r="Q50" s="867"/>
      <c r="R50" s="867"/>
      <c r="S50" s="867"/>
      <c r="T50" s="465">
        <f>F50&gt;0</f>
        <v>0</v>
      </c>
      <c r="U50" s="867"/>
      <c r="V50" s="867"/>
      <c r="W50" s="757" t="s">
        <v>1901</v>
      </c>
      <c r="X50" s="1619"/>
      <c r="Y50" s="867"/>
      <c r="Z50" s="1620"/>
      <c r="AA50" s="867"/>
      <c r="AB50" s="874"/>
      <c r="AC50" s="260" t="s">
        <v>178</v>
      </c>
      <c r="AD50" s="776"/>
      <c r="AE50" s="776"/>
      <c r="AF50" s="776"/>
      <c r="AG50" s="776"/>
      <c r="AH50" s="776"/>
      <c r="AI50" s="776"/>
      <c r="AJ50" s="776"/>
      <c r="AK50" s="777"/>
      <c r="AL50" s="1812"/>
      <c r="AM50" s="1812"/>
      <c r="AN50" s="1030"/>
      <c r="AO50" s="1030"/>
      <c r="AP50" s="1030"/>
      <c r="AQ50" s="1047" t="s">
        <v>1900</v>
      </c>
      <c r="AR50" s="267"/>
    </row>
    <row s="1812" customFormat="1" customHeight="1" ht="21.9375" hidden="1">
      <c r="A51" s="1812"/>
      <c r="B51" s="429"/>
      <c r="C51" s="867"/>
      <c r="D51" s="867"/>
      <c r="E51" s="868">
        <v>22.5</v>
      </c>
      <c r="F51" s="50" cm="1" t="str">
        <f t="array" ref="F51:F51">OFFSET(E51,-1,1)</f>
        <v>0</v>
      </c>
      <c r="G51" s="374" t="s">
        <v>1902</v>
      </c>
      <c r="H51" s="839" t="s">
        <v>1275</v>
      </c>
      <c r="I51" s="839"/>
      <c r="J51" s="867"/>
      <c r="K51" s="483" t="str">
        <f>F51&amp;"8komm"</f>
        <v>08komm</v>
      </c>
      <c r="L51" s="917" cm="1" t="str">
        <f t="array" ref="L51:L51">AK51</f>
        <v>0</v>
      </c>
      <c r="M51" s="867"/>
      <c r="N51" s="867"/>
      <c r="O51" s="867"/>
      <c r="P51" s="867"/>
      <c r="Q51" s="867"/>
      <c r="R51" s="867"/>
      <c r="S51" s="867"/>
      <c r="T51" s="465" cm="1" t="str">
        <f t="array" ref="T51:T51">T50</f>
        <v>false</v>
      </c>
      <c r="U51" s="867"/>
      <c r="V51" s="867"/>
      <c r="W51" s="867"/>
      <c r="X51" s="1619"/>
      <c r="Y51" s="867"/>
      <c r="Z51" s="1620"/>
      <c r="AA51" s="867"/>
      <c r="AB51" s="690" t="s">
        <v>452</v>
      </c>
      <c r="AC51" s="847" t="s">
        <v>1903</v>
      </c>
      <c r="AD51" s="766" t="s">
        <v>1514</v>
      </c>
      <c r="AE51" s="4725">
        <f>AE46*_xlfn.SUMIFS(INDEX(Сценарии!$AE$25:$BF$163,,MATCH(AE$13,Сценарии!$AE$8:$BF$8,0)),Сценарии!$F$25:$F$163,$F51,Сценарии!$G$25:$G$163,"СВФОТ")/100</f>
        <v>0</v>
      </c>
      <c r="AF51" s="4725">
        <f>AF46*_xlfn.SUMIFS(INDEX(Сценарии!$AE$25:$BF$163,,MATCH(AF$13,Сценарии!$AE$8:$BF$8,0)),Сценарии!$F$25:$F$163,$F51,Сценарии!$G$25:$G$163,"СВФОТ")/100</f>
        <v>0</v>
      </c>
      <c r="AG51" s="4725">
        <f>AG46*_xlfn.SUMIFS(INDEX(Сценарии!$AE$25:$BF$163,,MATCH(AG$13,Сценарии!$AE$8:$BF$8,0)),Сценарии!$F$25:$F$163,$F51,Сценарии!$G$25:$G$163,"СВФОТ")/100</f>
        <v>0</v>
      </c>
      <c r="AH51" s="4725">
        <f>AH46*_xlfn.SUMIFS(INDEX(Сценарии!$AE$25:$BF$163,,MATCH(AH$13,Сценарии!$AE$8:$BF$8,0)),Сценарии!$F$25:$F$163,$F51,Сценарии!$G$25:$G$163,"СВФОТ")/100</f>
        <v>0</v>
      </c>
      <c r="AI51" s="4725">
        <f>AI46*_xlfn.SUMIFS(INDEX(Сценарии!$AE$25:$BF$163,,MATCH(AI$13,Сценарии!$AE$8:$BF$8,0)),Сценарии!$F$25:$F$163,$F51,Сценарии!$G$25:$G$163,"СВФОТ")/100</f>
        <v>0</v>
      </c>
      <c r="AJ51" s="4725">
        <f>AJ46*_xlfn.SUMIFS(INDEX(Сценарии!$AE$25:$BF$163,,MATCH(AJ$13,Сценарии!$AE$8:$BF$8,0)),Сценарии!$F$25:$F$163,$F51,Сценарии!$G$25:$G$163,"СВФОТ")/100</f>
        <v>0</v>
      </c>
      <c r="AK51" s="1947"/>
      <c r="AL51" s="1812"/>
      <c r="AM51" s="1812"/>
      <c r="AN51" s="1030" t="s">
        <v>1904</v>
      </c>
      <c r="AO51" s="1030"/>
      <c r="AP51" s="1030"/>
      <c r="AQ51" s="267"/>
      <c r="AR51" s="267"/>
    </row>
    <row s="1448" customFormat="1" customHeight="1" ht="14.25">
      <c r="A52" s="1812"/>
      <c r="B52" s="429"/>
      <c r="C52" s="867"/>
      <c r="D52" s="867"/>
      <c r="E52" s="868">
        <v>15</v>
      </c>
      <c r="F52" s="493" cm="1" t="str">
        <f t="array" ref="F52:F52">X52</f>
        <v>1</v>
      </c>
      <c r="G52" s="839" t="s">
        <v>61</v>
      </c>
      <c r="H52" s="839"/>
      <c r="I52" s="839"/>
      <c r="J52" s="867"/>
      <c r="K52" s="483"/>
      <c r="L52" s="483"/>
      <c r="M52" s="867"/>
      <c r="N52" s="867"/>
      <c r="O52" s="867"/>
      <c r="P52" s="867"/>
      <c r="Q52" s="867"/>
      <c r="R52" s="867"/>
      <c r="S52" s="867"/>
      <c r="T52" s="465">
        <f>X52&gt;0</f>
        <v>1</v>
      </c>
      <c r="U52" s="867"/>
      <c r="V52" s="867" cm="1" t="str">
        <f t="array" ref="V52:V52">Покупка!$AB$95</f>
        <v>Тариф 1 (Водоснабжение) - тариф на питьевую воду (Доп. признак не требуется)</v>
      </c>
      <c r="W52" s="867"/>
      <c r="X52" s="1619" t="s">
        <v>276</v>
      </c>
      <c r="Y52" s="867"/>
      <c r="Z52" s="1620"/>
      <c r="AA52" s="867"/>
      <c r="AB52" s="242" cm="1" t="str">
        <f t="array" ref="AB52:AB52">Покупка!$AB$95</f>
        <v>Тариф 1 (Водоснабжение) - тариф на питьевую воду (Доп. признак не требуется)</v>
      </c>
      <c r="AC52" s="869"/>
      <c r="AD52" s="869"/>
      <c r="AE52" s="870">
        <f>AE53+AE64+AE65+AE70+AE71+AE79+AE80+AE85</f>
        <v>0</v>
      </c>
      <c r="AF52" s="870">
        <f>AF53+AF64+AF65+AF70+AF71+AF79+AF80+AF85</f>
        <v>0</v>
      </c>
      <c r="AG52" s="870">
        <f>AG53+AG64+AG65+AG70+AG71+AG79+AG80+AG85</f>
        <v>0</v>
      </c>
      <c r="AH52" s="870">
        <f>AH53+AH64+AH65+AH70+AH71+AH79+AH80+AH85</f>
        <v>0</v>
      </c>
      <c r="AI52" s="870">
        <f>AI53+AI64+AI65+AI70+AI71+AI79+AI80+AI85</f>
        <v>123063.397859053</v>
      </c>
      <c r="AJ52" s="870">
        <f>AJ53+AJ64+AJ65+AJ70+AJ71+AJ79+AJ80+AJ85</f>
        <v>123063.397859053</v>
      </c>
      <c r="AK52" s="870"/>
      <c r="AL52" s="1812"/>
      <c r="AM52" s="1812"/>
      <c r="AN52" s="1030"/>
      <c r="AO52" s="1030"/>
      <c r="AP52" s="1030"/>
      <c r="AQ52" s="267"/>
      <c r="AR52" s="267"/>
    </row>
    <row s="1448" customFormat="1" customHeight="1" ht="21.75">
      <c r="A53" s="1812"/>
      <c r="B53" s="429"/>
      <c r="C53" s="867"/>
      <c r="D53" s="867"/>
      <c r="E53" s="868">
        <v>22.5</v>
      </c>
      <c r="F53" s="50" cm="1" t="str">
        <f t="array" ref="F53:F53">OFFSET(E53,-1,1)</f>
        <v>1</v>
      </c>
      <c r="G53" s="374" t="s">
        <v>1866</v>
      </c>
      <c r="H53" s="839" t="s">
        <v>332</v>
      </c>
      <c r="I53" s="839"/>
      <c r="J53" s="867"/>
      <c r="K53" s="483" t="str">
        <f>F53&amp;"1komm"</f>
        <v>11komm</v>
      </c>
      <c r="L53" s="917" cm="1" t="str">
        <f t="array" ref="L53:L53">AK53</f>
        <v>по предложению организации в соответствии со штатным расписанием.</v>
      </c>
      <c r="M53" s="867"/>
      <c r="N53" s="867"/>
      <c r="O53" s="867"/>
      <c r="P53" s="867"/>
      <c r="Q53" s="867"/>
      <c r="R53" s="867"/>
      <c r="S53" s="867"/>
      <c r="T53" s="465" cm="1" t="str">
        <f t="array" ref="T53:T53">T52</f>
        <v>true</v>
      </c>
      <c r="U53" s="867"/>
      <c r="V53" s="867"/>
      <c r="W53" s="867"/>
      <c r="X53" s="1619"/>
      <c r="Y53" s="867"/>
      <c r="Z53" s="1620"/>
      <c r="AA53" s="867"/>
      <c r="AB53" s="690">
        <v>1</v>
      </c>
      <c r="AC53" s="847" t="s">
        <v>1867</v>
      </c>
      <c r="AD53" s="766" t="s">
        <v>1514</v>
      </c>
      <c r="AE53" s="298"/>
      <c r="AF53" s="298"/>
      <c r="AG53" s="298"/>
      <c r="AH53" s="298"/>
      <c r="AI53" s="213">
        <f>_xlfn.SUMIFS(AI54:AI63,$AD54:$AD63,$AD53)</f>
        <v>79353.0108149184</v>
      </c>
      <c r="AJ53" s="213">
        <f>_xlfn.SUMIFS(AJ54:AJ63,$AD54:$AD63,$AD53)</f>
        <v>79353.0108149184</v>
      </c>
      <c r="AK53" s="846" t="s">
        <v>1905</v>
      </c>
      <c r="AL53" s="1812"/>
      <c r="AM53" s="1812"/>
      <c r="AN53" s="1030" t="s">
        <v>1868</v>
      </c>
      <c r="AO53" s="1030"/>
      <c r="AP53" s="1030"/>
      <c r="AQ53" s="267"/>
      <c r="AR53" s="267"/>
    </row>
    <row s="1448" customFormat="1" customHeight="1" ht="18" hidden="1">
      <c r="E54" s="868">
        <v>18.75</v>
      </c>
      <c r="F54" s="50" cm="1" t="str">
        <f t="array" ref="F54:F54">OFFSET(E54,-1,1)</f>
        <v>1</v>
      </c>
      <c r="H54" s="520" t="s">
        <v>332</v>
      </c>
      <c r="I54" s="520" cm="1" t="str">
        <f t="array" ref="I54:I54">AC54</f>
        <v>0</v>
      </c>
      <c r="T54" s="465">
        <f>AND(F54&gt;0,Y54&gt;0)</f>
        <v>0</v>
      </c>
      <c r="W54" s="297" t="s">
        <v>174</v>
      </c>
      <c r="Y54" s="873">
        <v>0</v>
      </c>
      <c r="AA54" s="1617" t="s">
        <v>175</v>
      </c>
      <c r="AB54" s="88" t="str">
        <f>"1."&amp;Y54</f>
        <v>1.0</v>
      </c>
      <c r="AC54" s="1243"/>
      <c r="AD54" s="90" t="s">
        <v>1514</v>
      </c>
      <c r="AE54" s="90"/>
      <c r="AF54" s="90"/>
      <c r="AG54" s="90"/>
      <c r="AH54" s="90"/>
      <c r="AI54" s="1241">
        <f>AI55*AI56*12/1000</f>
        <v>0</v>
      </c>
      <c r="AJ54" s="1241">
        <f>AJ55*AJ56*12/1000</f>
        <v>0</v>
      </c>
      <c r="AK54" s="55"/>
      <c r="AN54" s="1030" t="s">
        <v>1869</v>
      </c>
      <c r="AO54" s="1030" t="s">
        <v>1870</v>
      </c>
      <c r="AP54" s="1030" cm="1" t="str">
        <f t="array" ref="AP54:AP54">AC54</f>
        <v>0</v>
      </c>
      <c r="AQ54" s="267"/>
      <c r="AR54" s="267" t="b">
        <v>1</v>
      </c>
    </row>
    <row s="1448" customFormat="1" customHeight="1" ht="14.25" hidden="1">
      <c r="E55" s="868">
        <v>15</v>
      </c>
      <c r="F55" s="50" cm="1" t="str">
        <f t="array" ref="F55:F55">OFFSET(E55,-1,1)</f>
        <v>1</v>
      </c>
      <c r="G55" s="520" t="s">
        <v>1871</v>
      </c>
      <c r="H55" s="520" t="str">
        <f>H54&amp;"_1"</f>
        <v>l1_1</v>
      </c>
      <c r="I55" s="520" cm="1" t="str">
        <f t="array" ref="I55:I55">I54</f>
        <v>0</v>
      </c>
      <c r="T55" s="465" cm="1" t="str">
        <f t="array" ref="T55:T55">T54</f>
        <v>false</v>
      </c>
      <c r="AA55" s="1617"/>
      <c r="AB55" s="690" t="str">
        <f>AB54&amp;".1"</f>
        <v>1.0.1</v>
      </c>
      <c r="AC55" s="221" t="s">
        <v>1872</v>
      </c>
      <c r="AD55" s="90" t="s">
        <v>1873</v>
      </c>
      <c r="AE55" s="90"/>
      <c r="AF55" s="90"/>
      <c r="AG55" s="90"/>
      <c r="AH55" s="90"/>
      <c r="AI55" s="1244"/>
      <c r="AJ55" s="1244"/>
      <c r="AK55" s="55"/>
      <c r="AN55" s="1030" t="s">
        <v>1874</v>
      </c>
      <c r="AO55" s="1030" t="s">
        <v>1870</v>
      </c>
      <c r="AP55" s="1030" cm="1" t="str">
        <f t="array" ref="AP55:AP55">AP54</f>
        <v>0</v>
      </c>
      <c r="AQ55" s="267"/>
      <c r="AR55" s="267"/>
    </row>
    <row s="1448" customFormat="1" customHeight="1" ht="14.25" hidden="1">
      <c r="E56" s="868">
        <v>15</v>
      </c>
      <c r="F56" s="50" cm="1" t="str">
        <f t="array" ref="F56:F56">OFFSET(E56,-1,1)</f>
        <v>1</v>
      </c>
      <c r="H56" s="520" t="str">
        <f>H54&amp;"_2"</f>
        <v>l1_2</v>
      </c>
      <c r="I56" s="520" cm="1" t="str">
        <f t="array" ref="I56:I56">I55</f>
        <v>0</v>
      </c>
      <c r="T56" s="465" cm="1" t="str">
        <f t="array" ref="T56:T56">T55</f>
        <v>false</v>
      </c>
      <c r="AA56" s="1617"/>
      <c r="AB56" s="690" t="str">
        <f>AB54&amp;".2"</f>
        <v>1.0.2</v>
      </c>
      <c r="AC56" s="221" t="s">
        <v>1875</v>
      </c>
      <c r="AD56" s="90" t="s">
        <v>1876</v>
      </c>
      <c r="AE56" s="90"/>
      <c r="AF56" s="90"/>
      <c r="AG56" s="90"/>
      <c r="AH56" s="90"/>
      <c r="AI56" s="1244"/>
      <c r="AJ56" s="1244"/>
      <c r="AK56" s="55"/>
      <c r="AN56" s="1030" t="s">
        <v>1877</v>
      </c>
      <c r="AO56" s="1030" t="s">
        <v>1870</v>
      </c>
      <c r="AP56" s="1030" cm="1" t="str">
        <f t="array" ref="AP56:AP56">AP55</f>
        <v>0</v>
      </c>
      <c r="AQ56" s="267"/>
      <c r="AR56" s="267"/>
    </row>
    <row s="1448" customFormat="1" customHeight="1" ht="18">
      <c r="A57" s="1448"/>
      <c r="B57" s="1448"/>
      <c r="C57" s="1448"/>
      <c r="D57" s="1448"/>
      <c r="E57" s="868">
        <v>18.75</v>
      </c>
      <c r="F57" s="50" cm="1" t="str">
        <f t="array" ref="F57:F57">OFFSET(E57,-1,1)</f>
        <v>1</v>
      </c>
      <c r="G57" s="1448"/>
      <c r="H57" s="520" t="s">
        <v>332</v>
      </c>
      <c r="I57" s="520" cm="1" t="str">
        <f t="array" ref="I57:I57">AC57</f>
        <v>основной производственный персонал</v>
      </c>
      <c r="J57" s="1448"/>
      <c r="K57" s="1448"/>
      <c r="L57" s="1448"/>
      <c r="M57" s="1448"/>
      <c r="N57" s="1448"/>
      <c r="O57" s="1448"/>
      <c r="P57" s="1448"/>
      <c r="Q57" s="1448"/>
      <c r="R57" s="1448"/>
      <c r="S57" s="1448"/>
      <c r="T57" s="465">
        <f>AND(F57&gt;0,Y57&gt;0)</f>
        <v>1</v>
      </c>
      <c r="U57" s="1448"/>
      <c r="V57" s="1448"/>
      <c r="W57" s="297"/>
      <c r="X57" s="1448"/>
      <c r="Y57" s="873" t="s">
        <v>276</v>
      </c>
      <c r="Z57" s="1448"/>
      <c r="AA57" s="1617" t="s">
        <v>175</v>
      </c>
      <c r="AB57" s="88" t="str">
        <f>"1."&amp;Y57</f>
        <v>1.1</v>
      </c>
      <c r="AC57" s="4748" t="s">
        <v>1906</v>
      </c>
      <c r="AD57" s="90" t="s">
        <v>1514</v>
      </c>
      <c r="AE57" s="90"/>
      <c r="AF57" s="90"/>
      <c r="AG57" s="90"/>
      <c r="AH57" s="90"/>
      <c r="AI57" s="3946">
        <f>AI58*AI59*12/1000</f>
        <v>68810.7358661184</v>
      </c>
      <c r="AJ57" s="3946">
        <f>AJ58*AJ59*12/1000</f>
        <v>68810.7358661184</v>
      </c>
      <c r="AK57" s="4749"/>
      <c r="AL57" s="1448"/>
      <c r="AM57" s="1448"/>
      <c r="AN57" s="1030" t="s">
        <v>1869</v>
      </c>
      <c r="AO57" s="1030" t="s">
        <v>1870</v>
      </c>
      <c r="AP57" s="1030" cm="1" t="str">
        <f t="array" ref="AP57:AP57">AC57</f>
        <v>основной производственный персонал</v>
      </c>
      <c r="AQ57" s="267"/>
      <c r="AR57" s="267" t="b">
        <v>1</v>
      </c>
    </row>
    <row s="1448" customFormat="1" customHeight="1" ht="14.25">
      <c r="A58" s="1448"/>
      <c r="B58" s="1448"/>
      <c r="C58" s="1448"/>
      <c r="D58" s="1448"/>
      <c r="E58" s="868">
        <v>15</v>
      </c>
      <c r="F58" s="50" cm="1" t="str">
        <f t="array" ref="F58:F58">OFFSET(E58,-1,1)</f>
        <v>1</v>
      </c>
      <c r="G58" s="520" t="s">
        <v>1871</v>
      </c>
      <c r="H58" s="520" t="str">
        <f>H57&amp;"_1"</f>
        <v>l1_1</v>
      </c>
      <c r="I58" s="520" cm="1" t="str">
        <f t="array" ref="I58:I58">I57</f>
        <v>основной производственный персонал</v>
      </c>
      <c r="J58" s="1448"/>
      <c r="K58" s="1448"/>
      <c r="L58" s="1448"/>
      <c r="M58" s="1448"/>
      <c r="N58" s="1448"/>
      <c r="O58" s="1448"/>
      <c r="P58" s="1448"/>
      <c r="Q58" s="1448"/>
      <c r="R58" s="1448"/>
      <c r="S58" s="1448"/>
      <c r="T58" s="465" cm="1" t="str">
        <f t="array" ref="T58:T58">T57</f>
        <v>true</v>
      </c>
      <c r="U58" s="1448"/>
      <c r="V58" s="1448"/>
      <c r="W58" s="1448"/>
      <c r="X58" s="1448"/>
      <c r="Y58" s="1448"/>
      <c r="Z58" s="1448"/>
      <c r="AA58" s="1617"/>
      <c r="AB58" s="690" t="str">
        <f>AB57&amp;".1"</f>
        <v>1.1.1</v>
      </c>
      <c r="AC58" s="221" t="s">
        <v>1872</v>
      </c>
      <c r="AD58" s="90" t="s">
        <v>1873</v>
      </c>
      <c r="AE58" s="90"/>
      <c r="AF58" s="90"/>
      <c r="AG58" s="90"/>
      <c r="AH58" s="90"/>
      <c r="AI58" s="4750">
        <v>124.92</v>
      </c>
      <c r="AJ58" s="4750">
        <v>124.92</v>
      </c>
      <c r="AK58" s="4749"/>
      <c r="AL58" s="1448"/>
      <c r="AM58" s="1448"/>
      <c r="AN58" s="1030" t="s">
        <v>1874</v>
      </c>
      <c r="AO58" s="1030" t="s">
        <v>1870</v>
      </c>
      <c r="AP58" s="1030" cm="1" t="str">
        <f t="array" ref="AP58:AP58">AP57</f>
        <v>основной производственный персонал</v>
      </c>
      <c r="AQ58" s="267"/>
      <c r="AR58" s="267"/>
    </row>
    <row s="1448" customFormat="1" customHeight="1" ht="14.25">
      <c r="A59" s="1448"/>
      <c r="B59" s="1448"/>
      <c r="C59" s="1448"/>
      <c r="D59" s="1448"/>
      <c r="E59" s="868">
        <v>15</v>
      </c>
      <c r="F59" s="50" cm="1" t="str">
        <f t="array" ref="F59:F59">OFFSET(E59,-1,1)</f>
        <v>1</v>
      </c>
      <c r="G59" s="1448"/>
      <c r="H59" s="520" t="str">
        <f>H57&amp;"_2"</f>
        <v>l1_2</v>
      </c>
      <c r="I59" s="520" cm="1" t="str">
        <f t="array" ref="I59:I59">I58</f>
        <v>основной производственный персонал</v>
      </c>
      <c r="J59" s="1448"/>
      <c r="K59" s="1448"/>
      <c r="L59" s="1448"/>
      <c r="M59" s="1448"/>
      <c r="N59" s="1448"/>
      <c r="O59" s="1448"/>
      <c r="P59" s="1448"/>
      <c r="Q59" s="1448"/>
      <c r="R59" s="1448"/>
      <c r="S59" s="1448"/>
      <c r="T59" s="465" cm="1" t="str">
        <f t="array" ref="T59:T59">T58</f>
        <v>true</v>
      </c>
      <c r="U59" s="1448"/>
      <c r="V59" s="1448"/>
      <c r="W59" s="1448"/>
      <c r="X59" s="1448"/>
      <c r="Y59" s="1448"/>
      <c r="Z59" s="1448"/>
      <c r="AA59" s="1617"/>
      <c r="AB59" s="690" t="str">
        <f>AB57&amp;".2"</f>
        <v>1.1.2</v>
      </c>
      <c r="AC59" s="221" t="s">
        <v>1875</v>
      </c>
      <c r="AD59" s="90" t="s">
        <v>1876</v>
      </c>
      <c r="AE59" s="90"/>
      <c r="AF59" s="90"/>
      <c r="AG59" s="90"/>
      <c r="AH59" s="90"/>
      <c r="AI59" s="4750">
        <v>45903.20196</v>
      </c>
      <c r="AJ59" s="4750">
        <v>45903.20196</v>
      </c>
      <c r="AK59" s="4749"/>
      <c r="AL59" s="1448"/>
      <c r="AM59" s="1448"/>
      <c r="AN59" s="1030" t="s">
        <v>1877</v>
      </c>
      <c r="AO59" s="1030" t="s">
        <v>1870</v>
      </c>
      <c r="AP59" s="1030" cm="1" t="str">
        <f t="array" ref="AP59:AP59">AP58</f>
        <v>основной производственный персонал</v>
      </c>
      <c r="AQ59" s="267"/>
      <c r="AR59" s="267"/>
    </row>
    <row s="1448" customFormat="1" customHeight="1" ht="18">
      <c r="A60" s="1448"/>
      <c r="B60" s="1448"/>
      <c r="C60" s="1448"/>
      <c r="D60" s="1448"/>
      <c r="E60" s="868">
        <v>18.75</v>
      </c>
      <c r="F60" s="50" cm="1" t="str">
        <f t="array" ref="F60:F60">OFFSET(E60,-1,1)</f>
        <v>1</v>
      </c>
      <c r="G60" s="1448"/>
      <c r="H60" s="520" t="s">
        <v>332</v>
      </c>
      <c r="I60" s="520" cm="1" t="str">
        <f t="array" ref="I60:I60">AC60</f>
        <v>цеховый персонал</v>
      </c>
      <c r="J60" s="1448"/>
      <c r="K60" s="1448"/>
      <c r="L60" s="1448"/>
      <c r="M60" s="1448"/>
      <c r="N60" s="1448"/>
      <c r="O60" s="1448"/>
      <c r="P60" s="1448"/>
      <c r="Q60" s="1448"/>
      <c r="R60" s="1448"/>
      <c r="S60" s="1448"/>
      <c r="T60" s="465">
        <f>AND(F60&gt;0,Y60&gt;0)</f>
        <v>1</v>
      </c>
      <c r="U60" s="1448"/>
      <c r="V60" s="1448"/>
      <c r="W60" s="297"/>
      <c r="X60" s="1448"/>
      <c r="Y60" s="873" t="s">
        <v>285</v>
      </c>
      <c r="Z60" s="1448"/>
      <c r="AA60" s="1617" t="s">
        <v>175</v>
      </c>
      <c r="AB60" s="88" t="str">
        <f>"1."&amp;Y60</f>
        <v>1.2</v>
      </c>
      <c r="AC60" s="4748" t="s">
        <v>1907</v>
      </c>
      <c r="AD60" s="90" t="s">
        <v>1514</v>
      </c>
      <c r="AE60" s="90"/>
      <c r="AF60" s="90"/>
      <c r="AG60" s="90"/>
      <c r="AH60" s="90"/>
      <c r="AI60" s="3946">
        <f>AI61*AI62*12/1000</f>
        <v>10542.2749488</v>
      </c>
      <c r="AJ60" s="3946">
        <f>AJ61*AJ62*12/1000</f>
        <v>10542.2749488</v>
      </c>
      <c r="AK60" s="4749"/>
      <c r="AL60" s="1448"/>
      <c r="AM60" s="1448"/>
      <c r="AN60" s="1030" t="s">
        <v>1869</v>
      </c>
      <c r="AO60" s="1030" t="s">
        <v>1870</v>
      </c>
      <c r="AP60" s="1030" cm="1" t="str">
        <f t="array" ref="AP60:AP60">AC60</f>
        <v>цеховый персонал</v>
      </c>
      <c r="AQ60" s="267"/>
      <c r="AR60" s="267" t="b">
        <v>1</v>
      </c>
    </row>
    <row s="1448" customFormat="1" customHeight="1" ht="14.25">
      <c r="A61" s="1448"/>
      <c r="B61" s="1448"/>
      <c r="C61" s="1448"/>
      <c r="D61" s="1448"/>
      <c r="E61" s="868">
        <v>15</v>
      </c>
      <c r="F61" s="50" cm="1" t="str">
        <f t="array" ref="F61:F61">OFFSET(E61,-1,1)</f>
        <v>1</v>
      </c>
      <c r="G61" s="520" t="s">
        <v>1871</v>
      </c>
      <c r="H61" s="520" t="str">
        <f>H60&amp;"_1"</f>
        <v>l1_1</v>
      </c>
      <c r="I61" s="520" cm="1" t="str">
        <f t="array" ref="I61:I61">I60</f>
        <v>цеховый персонал</v>
      </c>
      <c r="J61" s="1448"/>
      <c r="K61" s="1448"/>
      <c r="L61" s="1448"/>
      <c r="M61" s="1448"/>
      <c r="N61" s="1448"/>
      <c r="O61" s="1448"/>
      <c r="P61" s="1448"/>
      <c r="Q61" s="1448"/>
      <c r="R61" s="1448"/>
      <c r="S61" s="1448"/>
      <c r="T61" s="465" cm="1" t="str">
        <f t="array" ref="T61:T61">T60</f>
        <v>true</v>
      </c>
      <c r="U61" s="1448"/>
      <c r="V61" s="1448"/>
      <c r="W61" s="1448"/>
      <c r="X61" s="1448"/>
      <c r="Y61" s="1448"/>
      <c r="Z61" s="1448"/>
      <c r="AA61" s="1617"/>
      <c r="AB61" s="690" t="str">
        <f>AB60&amp;".1"</f>
        <v>1.2.1</v>
      </c>
      <c r="AC61" s="221" t="s">
        <v>1872</v>
      </c>
      <c r="AD61" s="90" t="s">
        <v>1873</v>
      </c>
      <c r="AE61" s="90"/>
      <c r="AF61" s="90"/>
      <c r="AG61" s="90"/>
      <c r="AH61" s="90"/>
      <c r="AI61" s="4750">
        <v>19.1</v>
      </c>
      <c r="AJ61" s="4750">
        <v>19.1</v>
      </c>
      <c r="AK61" s="4749"/>
      <c r="AL61" s="1448"/>
      <c r="AM61" s="1448"/>
      <c r="AN61" s="1030" t="s">
        <v>1874</v>
      </c>
      <c r="AO61" s="1030" t="s">
        <v>1870</v>
      </c>
      <c r="AP61" s="1030" cm="1" t="str">
        <f t="array" ref="AP61:AP61">AP60</f>
        <v>цеховый персонал</v>
      </c>
      <c r="AQ61" s="267"/>
      <c r="AR61" s="267"/>
    </row>
    <row s="1448" customFormat="1" customHeight="1" ht="14.25">
      <c r="A62" s="1448"/>
      <c r="B62" s="1448"/>
      <c r="C62" s="1448"/>
      <c r="D62" s="1448"/>
      <c r="E62" s="868">
        <v>15</v>
      </c>
      <c r="F62" s="50" cm="1" t="str">
        <f t="array" ref="F62:F62">OFFSET(E62,-1,1)</f>
        <v>1</v>
      </c>
      <c r="G62" s="1448"/>
      <c r="H62" s="520" t="str">
        <f>H60&amp;"_2"</f>
        <v>l1_2</v>
      </c>
      <c r="I62" s="520" cm="1" t="str">
        <f t="array" ref="I62:I62">I61</f>
        <v>цеховый персонал</v>
      </c>
      <c r="J62" s="1448"/>
      <c r="K62" s="1448"/>
      <c r="L62" s="1448"/>
      <c r="M62" s="1448"/>
      <c r="N62" s="1448"/>
      <c r="O62" s="1448"/>
      <c r="P62" s="1448"/>
      <c r="Q62" s="1448"/>
      <c r="R62" s="1448"/>
      <c r="S62" s="1448"/>
      <c r="T62" s="465" cm="1" t="str">
        <f t="array" ref="T62:T62">T61</f>
        <v>true</v>
      </c>
      <c r="U62" s="1448"/>
      <c r="V62" s="1448"/>
      <c r="W62" s="1448"/>
      <c r="X62" s="1448"/>
      <c r="Y62" s="1448"/>
      <c r="Z62" s="1448"/>
      <c r="AA62" s="1617"/>
      <c r="AB62" s="690" t="str">
        <f>AB60&amp;".2"</f>
        <v>1.2.2</v>
      </c>
      <c r="AC62" s="221" t="s">
        <v>1875</v>
      </c>
      <c r="AD62" s="90" t="s">
        <v>1876</v>
      </c>
      <c r="AE62" s="90"/>
      <c r="AF62" s="90"/>
      <c r="AG62" s="90"/>
      <c r="AH62" s="90"/>
      <c r="AI62" s="4750">
        <v>45995.964</v>
      </c>
      <c r="AJ62" s="4750">
        <v>45995.964</v>
      </c>
      <c r="AK62" s="4749"/>
      <c r="AL62" s="1448"/>
      <c r="AM62" s="1448"/>
      <c r="AN62" s="1030" t="s">
        <v>1877</v>
      </c>
      <c r="AO62" s="1030" t="s">
        <v>1870</v>
      </c>
      <c r="AP62" s="1030" cm="1" t="str">
        <f t="array" ref="AP62:AP62">AP61</f>
        <v>цеховый персонал</v>
      </c>
      <c r="AQ62" s="267"/>
      <c r="AR62" s="267"/>
    </row>
    <row s="1448" customFormat="1" customHeight="1" ht="14.25">
      <c r="A63" s="1812"/>
      <c r="B63" s="429"/>
      <c r="C63" s="867"/>
      <c r="D63" s="867"/>
      <c r="E63" s="868">
        <v>15</v>
      </c>
      <c r="F63" s="50" cm="1" t="str">
        <f t="array" ref="F63:F63">OFFSET(E63,-1,1)</f>
        <v>1</v>
      </c>
      <c r="G63" s="374"/>
      <c r="H63" s="839"/>
      <c r="I63" s="152" t="str">
        <f>"!=='не определено' &amp;&amp; row.l1 !== null"</f>
        <v>!=='не определено' &amp;&amp; row.l1 !== null</v>
      </c>
      <c r="J63" s="867"/>
      <c r="K63" s="483"/>
      <c r="L63" s="483"/>
      <c r="M63" s="867"/>
      <c r="N63" s="867"/>
      <c r="O63" s="867"/>
      <c r="P63" s="867"/>
      <c r="Q63" s="867"/>
      <c r="R63" s="867"/>
      <c r="S63" s="867"/>
      <c r="T63" s="465">
        <f>F63&gt;0</f>
        <v>1</v>
      </c>
      <c r="U63" s="867"/>
      <c r="V63" s="867"/>
      <c r="W63" s="757" t="s">
        <v>399</v>
      </c>
      <c r="X63" s="1619"/>
      <c r="Y63" s="873"/>
      <c r="Z63" s="1620"/>
      <c r="AA63" s="867"/>
      <c r="AB63" s="874"/>
      <c r="AC63" s="260" t="s">
        <v>178</v>
      </c>
      <c r="AD63" s="776"/>
      <c r="AE63" s="776"/>
      <c r="AF63" s="776"/>
      <c r="AG63" s="776"/>
      <c r="AH63" s="776"/>
      <c r="AI63" s="776"/>
      <c r="AJ63" s="776"/>
      <c r="AK63" s="777"/>
      <c r="AL63" s="1812"/>
      <c r="AM63" s="1812"/>
      <c r="AN63" s="1030"/>
      <c r="AO63" s="1030"/>
      <c r="AP63" s="1030"/>
      <c r="AQ63" s="267" t="s">
        <v>1870</v>
      </c>
      <c r="AR63" s="267"/>
    </row>
    <row s="1448" customFormat="1" customHeight="1" ht="33.75">
      <c r="A64" s="1812"/>
      <c r="B64" s="429"/>
      <c r="C64" s="867"/>
      <c r="D64" s="867"/>
      <c r="E64" s="868">
        <v>22.5</v>
      </c>
      <c r="F64" s="50" cm="1" t="str">
        <f t="array" ref="F64:F64">OFFSET(E64,-1,1)</f>
        <v>1</v>
      </c>
      <c r="G64" s="374" t="s">
        <v>1878</v>
      </c>
      <c r="H64" s="839" t="s">
        <v>333</v>
      </c>
      <c r="I64" s="839"/>
      <c r="J64" s="867"/>
      <c r="K64" s="483" t="str">
        <f>F64&amp;"2komm"</f>
        <v>12komm</v>
      </c>
      <c r="L64" s="917" cm="1" t="str">
        <f t="array" ref="L64:L64">AK64</f>
        <v>на основании Налогового кодекса РФ (часть вторая) от 05.08.2000 № 117-ФЗ в размере 30%, а также в соответствии с Федеральным законом от 24.07.1998 № 125 – ФЗ (0,20%).</v>
      </c>
      <c r="M64" s="867"/>
      <c r="N64" s="867"/>
      <c r="O64" s="867"/>
      <c r="P64" s="867"/>
      <c r="Q64" s="867"/>
      <c r="R64" s="867"/>
      <c r="S64" s="867"/>
      <c r="T64" s="465" cm="1" t="str">
        <f t="array" ref="T64:T64">T63</f>
        <v>true</v>
      </c>
      <c r="U64" s="867"/>
      <c r="V64" s="867"/>
      <c r="W64" s="867"/>
      <c r="X64" s="1619"/>
      <c r="Y64" s="873"/>
      <c r="Z64" s="1620"/>
      <c r="AA64" s="867"/>
      <c r="AB64" s="690" t="s">
        <v>285</v>
      </c>
      <c r="AC64" s="847" t="s">
        <v>1879</v>
      </c>
      <c r="AD64" s="766" t="s">
        <v>1514</v>
      </c>
      <c r="AE64" s="298">
        <f>AE53*_xlfn.SUMIFS(INDEX(Сценарии!$AE$25:$BF$163,,MATCH(AE$13,Сценарии!$AE$8:$BF$8,0)),Сценарии!$F$25:$F$163,$F64,Сценарии!$G$25:$G$163,"СВФОТ")/100</f>
        <v>0</v>
      </c>
      <c r="AF64" s="298">
        <f>AF53*_xlfn.SUMIFS(INDEX(Сценарии!$AE$25:$BF$163,,MATCH(AF$13,Сценарии!$AE$8:$BF$8,0)),Сценарии!$F$25:$F$163,$F64,Сценарии!$G$25:$G$163,"СВФОТ")/100</f>
        <v>0</v>
      </c>
      <c r="AG64" s="298">
        <f>AG53*_xlfn.SUMIFS(INDEX(Сценарии!$AE$25:$BF$163,,MATCH(AG$13,Сценарии!$AE$8:$BF$8,0)),Сценарии!$F$25:$F$163,$F64,Сценарии!$G$25:$G$163,"СВФОТ")/100</f>
        <v>0</v>
      </c>
      <c r="AH64" s="298">
        <f>AH53*_xlfn.SUMIFS(INDEX(Сценарии!$AE$25:$BF$163,,MATCH(AH$13,Сценарии!$AE$8:$BF$8,0)),Сценарии!$F$25:$F$163,$F64,Сценарии!$G$25:$G$163,"СВФОТ")/100</f>
        <v>0</v>
      </c>
      <c r="AI64" s="298">
        <f>AI53*_xlfn.SUMIFS(INDEX(Сценарии!$AE$25:$BF$163,,MATCH(AI$13,Сценарии!$AE$8:$BF$8,0)),Сценарии!$F$25:$F$163,$F64,Сценарии!$G$25:$G$163,"СВФОТ")/100</f>
        <v>23964.6092661054</v>
      </c>
      <c r="AJ64" s="298">
        <f>AJ53*_xlfn.SUMIFS(INDEX(Сценарии!$AE$25:$BF$163,,MATCH(AJ$13,Сценарии!$AE$8:$BF$8,0)),Сценарии!$F$25:$F$163,$F64,Сценарии!$G$25:$G$163,"СВФОТ")/100</f>
        <v>23964.6092661054</v>
      </c>
      <c r="AK64" s="846" t="s">
        <v>1232</v>
      </c>
      <c r="AL64" s="1812"/>
      <c r="AM64" s="1812"/>
      <c r="AN64" s="1030" t="s">
        <v>1880</v>
      </c>
      <c r="AO64" s="1030"/>
      <c r="AP64" s="1030"/>
      <c r="AQ64" s="267"/>
      <c r="AR64" s="267"/>
    </row>
    <row s="1448" customFormat="1" customHeight="1" ht="0">
      <c r="A65" s="1812"/>
      <c r="B65" s="429"/>
      <c r="C65" s="867"/>
      <c r="D65" s="867"/>
      <c r="E65" s="868">
        <v>15</v>
      </c>
      <c r="F65" s="50" cm="1" t="str">
        <f t="array" ref="F65:F65">OFFSET(E65,-1,1)</f>
        <v>1</v>
      </c>
      <c r="G65" s="374" t="s">
        <v>1881</v>
      </c>
      <c r="H65" s="839" t="s">
        <v>334</v>
      </c>
      <c r="I65" s="839"/>
      <c r="J65" s="867"/>
      <c r="K65" s="483" t="str">
        <f>F65&amp;"3komm"</f>
        <v>13komm</v>
      </c>
      <c r="L65" s="917" cm="1" t="str">
        <f t="array" ref="L65:L65">AK65</f>
        <v>0</v>
      </c>
      <c r="M65" s="867"/>
      <c r="N65" s="867"/>
      <c r="O65" s="867"/>
      <c r="P65" s="867"/>
      <c r="Q65" s="867"/>
      <c r="R65" s="867"/>
      <c r="S65" s="867"/>
      <c r="T65" s="465" cm="1" t="str">
        <f t="array" ref="T65:T65">T64</f>
        <v>true</v>
      </c>
      <c r="U65" s="867"/>
      <c r="V65" s="867"/>
      <c r="W65" s="867"/>
      <c r="X65" s="1619"/>
      <c r="Y65" s="873"/>
      <c r="Z65" s="1620"/>
      <c r="AA65" s="867"/>
      <c r="AB65" s="690" t="s">
        <v>289</v>
      </c>
      <c r="AC65" s="847" t="s">
        <v>1882</v>
      </c>
      <c r="AD65" s="766" t="s">
        <v>1514</v>
      </c>
      <c r="AE65" s="298"/>
      <c r="AF65" s="298"/>
      <c r="AG65" s="298"/>
      <c r="AH65" s="298"/>
      <c r="AI65" s="213">
        <f>_xlfn.SUMIFS(AI66:AI69,$AD66:$AD69,$AD65)</f>
        <v>0</v>
      </c>
      <c r="AJ65" s="213">
        <f>_xlfn.SUMIFS(AJ66:AJ69,$AD66:$AD69,$AD65)</f>
        <v>0</v>
      </c>
      <c r="AK65" s="846"/>
      <c r="AL65" s="1812"/>
      <c r="AM65" s="1812"/>
      <c r="AN65" s="1030" t="s">
        <v>1883</v>
      </c>
      <c r="AO65" s="1030"/>
      <c r="AP65" s="1030"/>
      <c r="AQ65" s="267"/>
      <c r="AR65" s="267"/>
    </row>
    <row s="1448" customFormat="1" customHeight="1" ht="0" hidden="1">
      <c r="A66" s="1812"/>
      <c r="B66" s="429"/>
      <c r="C66" s="867"/>
      <c r="D66" s="867"/>
      <c r="E66" s="868">
        <v>18.75</v>
      </c>
      <c r="F66" s="50" cm="1" t="str">
        <f t="array" ref="F66:F66">OFFSET(E66,-1,1)</f>
        <v>1</v>
      </c>
      <c r="G66" s="839"/>
      <c r="H66" s="839" t="s">
        <v>334</v>
      </c>
      <c r="I66" s="839" cm="1" t="str">
        <f t="array" ref="I66:I66">AC66</f>
        <v>0</v>
      </c>
      <c r="J66" s="867"/>
      <c r="K66" s="483"/>
      <c r="L66" s="483"/>
      <c r="M66" s="867"/>
      <c r="N66" s="867"/>
      <c r="O66" s="867"/>
      <c r="P66" s="867"/>
      <c r="Q66" s="867"/>
      <c r="R66" s="867"/>
      <c r="S66" s="867"/>
      <c r="T66" s="465">
        <f>AND(F66&gt;0,Y66&gt;0)</f>
        <v>0</v>
      </c>
      <c r="U66" s="867"/>
      <c r="V66" s="867"/>
      <c r="W66" s="867" t="s">
        <v>174</v>
      </c>
      <c r="X66" s="1619"/>
      <c r="Y66" s="1619">
        <v>0</v>
      </c>
      <c r="Z66" s="1620"/>
      <c r="AA66" s="1617" t="s">
        <v>175</v>
      </c>
      <c r="AB66" s="300" t="str">
        <f>"3."&amp;Y66</f>
        <v>3.0</v>
      </c>
      <c r="AC66" s="4727"/>
      <c r="AD66" s="766" t="s">
        <v>1514</v>
      </c>
      <c r="AE66" s="4728"/>
      <c r="AF66" s="4728"/>
      <c r="AG66" s="4728"/>
      <c r="AH66" s="4728"/>
      <c r="AI66" s="3557">
        <f>AI67*AI68*12/1000</f>
        <v>0</v>
      </c>
      <c r="AJ66" s="3557">
        <f>AJ67*AJ68*12/1000</f>
        <v>0</v>
      </c>
      <c r="AK66" s="1947"/>
      <c r="AL66" s="1812"/>
      <c r="AM66" s="1812"/>
      <c r="AN66" s="1030" t="s">
        <v>1869</v>
      </c>
      <c r="AO66" s="1030" t="s">
        <v>1884</v>
      </c>
      <c r="AP66" s="1030" cm="1" t="str">
        <f t="array" ref="AP66:AP66">AC66</f>
        <v>0</v>
      </c>
      <c r="AQ66" s="267"/>
      <c r="AR66" s="267" t="b">
        <v>1</v>
      </c>
    </row>
    <row s="1448" customFormat="1" customHeight="1" ht="0" hidden="1">
      <c r="A67" s="1812"/>
      <c r="B67" s="429"/>
      <c r="C67" s="867"/>
      <c r="D67" s="867"/>
      <c r="E67" s="868">
        <v>15</v>
      </c>
      <c r="F67" s="50" cm="1" t="str">
        <f t="array" ref="F67:F67">OFFSET(E67,-1,1)</f>
        <v>1</v>
      </c>
      <c r="G67" s="872" t="s">
        <v>1885</v>
      </c>
      <c r="H67" s="839" t="str">
        <f>H66&amp;"_1"</f>
        <v>l3_1</v>
      </c>
      <c r="I67" s="839" cm="1" t="str">
        <f t="array" ref="I67:I67">I66</f>
        <v>0</v>
      </c>
      <c r="J67" s="867"/>
      <c r="K67" s="483"/>
      <c r="L67" s="483"/>
      <c r="M67" s="867"/>
      <c r="N67" s="867"/>
      <c r="O67" s="867"/>
      <c r="P67" s="867"/>
      <c r="Q67" s="867"/>
      <c r="R67" s="867"/>
      <c r="S67" s="867"/>
      <c r="T67" s="465" cm="1" t="str">
        <f t="array" ref="T67:T67">T66</f>
        <v>false</v>
      </c>
      <c r="U67" s="867"/>
      <c r="V67" s="867"/>
      <c r="W67" s="867"/>
      <c r="X67" s="1619"/>
      <c r="Y67" s="1619"/>
      <c r="Z67" s="1620"/>
      <c r="AA67" s="1617"/>
      <c r="AB67" s="690" t="str">
        <f>AB66&amp;".1"</f>
        <v>3.0.1</v>
      </c>
      <c r="AC67" s="765" t="s">
        <v>1872</v>
      </c>
      <c r="AD67" s="766" t="s">
        <v>1873</v>
      </c>
      <c r="AE67" s="4728"/>
      <c r="AF67" s="4728"/>
      <c r="AG67" s="4728"/>
      <c r="AH67" s="4728"/>
      <c r="AI67" s="4725"/>
      <c r="AJ67" s="4725"/>
      <c r="AK67" s="1947"/>
      <c r="AL67" s="1812"/>
      <c r="AM67" s="1812"/>
      <c r="AN67" s="1030" t="s">
        <v>1874</v>
      </c>
      <c r="AO67" s="1030" t="s">
        <v>1884</v>
      </c>
      <c r="AP67" s="1030" cm="1" t="str">
        <f t="array" ref="AP67:AP67">AP66</f>
        <v>0</v>
      </c>
      <c r="AQ67" s="267"/>
      <c r="AR67" s="267"/>
    </row>
    <row s="1448" customFormat="1" customHeight="1" ht="0" hidden="1">
      <c r="A68" s="1812"/>
      <c r="B68" s="429"/>
      <c r="C68" s="867"/>
      <c r="D68" s="867"/>
      <c r="E68" s="868">
        <v>15</v>
      </c>
      <c r="F68" s="50" cm="1" t="str">
        <f t="array" ref="F68:F68">OFFSET(E68,-1,1)</f>
        <v>1</v>
      </c>
      <c r="G68" s="839"/>
      <c r="H68" s="839" t="str">
        <f>H66&amp;"_2"</f>
        <v>l3_2</v>
      </c>
      <c r="I68" s="839" cm="1" t="str">
        <f t="array" ref="I68:I68">I67</f>
        <v>0</v>
      </c>
      <c r="J68" s="867"/>
      <c r="K68" s="483"/>
      <c r="L68" s="483"/>
      <c r="M68" s="867"/>
      <c r="N68" s="867"/>
      <c r="O68" s="867"/>
      <c r="P68" s="867"/>
      <c r="Q68" s="867"/>
      <c r="R68" s="867"/>
      <c r="S68" s="867"/>
      <c r="T68" s="465" cm="1" t="str">
        <f t="array" ref="T68:T68">T67</f>
        <v>false</v>
      </c>
      <c r="U68" s="867"/>
      <c r="V68" s="867"/>
      <c r="W68" s="867"/>
      <c r="X68" s="1619"/>
      <c r="Y68" s="1619"/>
      <c r="Z68" s="1620"/>
      <c r="AA68" s="1617"/>
      <c r="AB68" s="690" t="str">
        <f>AB66&amp;".2"</f>
        <v>3.0.2</v>
      </c>
      <c r="AC68" s="765" t="s">
        <v>1875</v>
      </c>
      <c r="AD68" s="766" t="s">
        <v>1876</v>
      </c>
      <c r="AE68" s="4728"/>
      <c r="AF68" s="4728"/>
      <c r="AG68" s="4728"/>
      <c r="AH68" s="4728"/>
      <c r="AI68" s="4725"/>
      <c r="AJ68" s="4725"/>
      <c r="AK68" s="1947"/>
      <c r="AL68" s="1812"/>
      <c r="AM68" s="1812"/>
      <c r="AN68" s="1030" t="s">
        <v>1877</v>
      </c>
      <c r="AO68" s="1030" t="s">
        <v>1884</v>
      </c>
      <c r="AP68" s="1030" cm="1" t="str">
        <f t="array" ref="AP68:AP68">AP67</f>
        <v>0</v>
      </c>
      <c r="AQ68" s="267"/>
      <c r="AR68" s="267"/>
    </row>
    <row s="1448" customFormat="1" customHeight="1" ht="0">
      <c r="A69" s="1812"/>
      <c r="B69" s="429"/>
      <c r="C69" s="867"/>
      <c r="D69" s="867"/>
      <c r="E69" s="868">
        <v>15</v>
      </c>
      <c r="F69" s="50" cm="1" t="str">
        <f t="array" ref="F69:F69">OFFSET(E69,-1,1)</f>
        <v>1</v>
      </c>
      <c r="G69" s="374"/>
      <c r="H69" s="839"/>
      <c r="I69" s="152" t="str">
        <f>"!=='не определено' &amp;&amp; row.l3 !== null"</f>
        <v>!=='не определено' &amp;&amp; row.l3 !== null</v>
      </c>
      <c r="J69" s="867"/>
      <c r="K69" s="483"/>
      <c r="L69" s="483"/>
      <c r="M69" s="867"/>
      <c r="N69" s="867"/>
      <c r="O69" s="867"/>
      <c r="P69" s="867"/>
      <c r="Q69" s="867"/>
      <c r="R69" s="867"/>
      <c r="S69" s="867"/>
      <c r="T69" s="465">
        <f>F69&gt;0</f>
        <v>1</v>
      </c>
      <c r="U69" s="867"/>
      <c r="V69" s="867"/>
      <c r="W69" s="757" t="s">
        <v>1613</v>
      </c>
      <c r="X69" s="1619"/>
      <c r="Y69" s="873"/>
      <c r="Z69" s="1620"/>
      <c r="AA69" s="867"/>
      <c r="AB69" s="874"/>
      <c r="AC69" s="260" t="s">
        <v>178</v>
      </c>
      <c r="AD69" s="776"/>
      <c r="AE69" s="776"/>
      <c r="AF69" s="776"/>
      <c r="AG69" s="776"/>
      <c r="AH69" s="776"/>
      <c r="AI69" s="776"/>
      <c r="AJ69" s="776"/>
      <c r="AK69" s="777"/>
      <c r="AL69" s="1812"/>
      <c r="AM69" s="1812"/>
      <c r="AN69" s="1030"/>
      <c r="AO69" s="1030"/>
      <c r="AP69" s="1030"/>
      <c r="AQ69" s="267" t="s">
        <v>1884</v>
      </c>
      <c r="AR69" s="267"/>
    </row>
    <row s="1448" customFormat="1" customHeight="1" ht="0">
      <c r="A70" s="1812"/>
      <c r="B70" s="429"/>
      <c r="C70" s="867"/>
      <c r="D70" s="867"/>
      <c r="E70" s="868">
        <v>22.5</v>
      </c>
      <c r="F70" s="50" cm="1" t="str">
        <f t="array" ref="F70:F70">OFFSET(E70,-1,1)</f>
        <v>1</v>
      </c>
      <c r="G70" s="374" t="s">
        <v>1886</v>
      </c>
      <c r="H70" s="839" t="s">
        <v>336</v>
      </c>
      <c r="I70" s="839"/>
      <c r="J70" s="867"/>
      <c r="K70" s="483" t="str">
        <f>F70&amp;"4komm"</f>
        <v>14komm</v>
      </c>
      <c r="L70" s="917" cm="1" t="str">
        <f t="array" ref="L70:L70">AK70</f>
        <v>0</v>
      </c>
      <c r="M70" s="867"/>
      <c r="N70" s="867"/>
      <c r="O70" s="867"/>
      <c r="P70" s="867"/>
      <c r="Q70" s="867"/>
      <c r="R70" s="867"/>
      <c r="S70" s="867"/>
      <c r="T70" s="465" cm="1" t="str">
        <f t="array" ref="T70:T70">T69</f>
        <v>true</v>
      </c>
      <c r="U70" s="867"/>
      <c r="V70" s="867"/>
      <c r="W70" s="867"/>
      <c r="X70" s="1619"/>
      <c r="Y70" s="873"/>
      <c r="Z70" s="1620"/>
      <c r="AA70" s="867"/>
      <c r="AB70" s="690" t="s">
        <v>295</v>
      </c>
      <c r="AC70" s="847" t="s">
        <v>1887</v>
      </c>
      <c r="AD70" s="766" t="s">
        <v>1514</v>
      </c>
      <c r="AE70" s="298">
        <f>AE65*_xlfn.SUMIFS(INDEX(Сценарии!$AE$25:$BF$163,,MATCH(AE$13,Сценарии!$AE$8:$BF$8,0)),Сценарии!$F$25:$F$163,$F70,Сценарии!$G$25:$G$163,"СВФОТ")/100</f>
        <v>0</v>
      </c>
      <c r="AF70" s="298">
        <f>AF65*_xlfn.SUMIFS(INDEX(Сценарии!$AE$25:$BF$163,,MATCH(AF$13,Сценарии!$AE$8:$BF$8,0)),Сценарии!$F$25:$F$163,$F70,Сценарии!$G$25:$G$163,"СВФОТ")/100</f>
        <v>0</v>
      </c>
      <c r="AG70" s="298">
        <f>AG65*_xlfn.SUMIFS(INDEX(Сценарии!$AE$25:$BF$163,,MATCH(AG$13,Сценарии!$AE$8:$BF$8,0)),Сценарии!$F$25:$F$163,$F70,Сценарии!$G$25:$G$163,"СВФОТ")/100</f>
        <v>0</v>
      </c>
      <c r="AH70" s="298">
        <f>AH65*_xlfn.SUMIFS(INDEX(Сценарии!$AE$25:$BF$163,,MATCH(AH$13,Сценарии!$AE$8:$BF$8,0)),Сценарии!$F$25:$F$163,$F70,Сценарии!$G$25:$G$163,"СВФОТ")/100</f>
        <v>0</v>
      </c>
      <c r="AI70" s="298">
        <f>AI65*_xlfn.SUMIFS(INDEX(Сценарии!$AE$25:$BF$163,,MATCH(AI$13,Сценарии!$AE$8:$BF$8,0)),Сценарии!$F$25:$F$163,$F70,Сценарии!$G$25:$G$163,"СВФОТ")/100</f>
        <v>0</v>
      </c>
      <c r="AJ70" s="298">
        <f>AJ65*_xlfn.SUMIFS(INDEX(Сценарии!$AE$25:$BF$163,,MATCH(AJ$13,Сценарии!$AE$8:$BF$8,0)),Сценарии!$F$25:$F$163,$F70,Сценарии!$G$25:$G$163,"СВФОТ")/100</f>
        <v>0</v>
      </c>
      <c r="AK70" s="846"/>
      <c r="AL70" s="1812"/>
      <c r="AM70" s="1812"/>
      <c r="AN70" s="1030" t="s">
        <v>1888</v>
      </c>
      <c r="AO70" s="1030"/>
      <c r="AP70" s="1030"/>
      <c r="AQ70" s="267"/>
      <c r="AR70" s="267"/>
    </row>
    <row s="1448" customFormat="1" customHeight="1" ht="21.75">
      <c r="A71" s="1812"/>
      <c r="B71" s="429"/>
      <c r="C71" s="867"/>
      <c r="D71" s="867"/>
      <c r="E71" s="868">
        <v>22.5</v>
      </c>
      <c r="F71" s="50" cm="1" t="str">
        <f t="array" ref="F71:F71">OFFSET(E71,-1,1)</f>
        <v>1</v>
      </c>
      <c r="G71" s="374" t="s">
        <v>1889</v>
      </c>
      <c r="H71" s="839" t="s">
        <v>335</v>
      </c>
      <c r="I71" s="839"/>
      <c r="J71" s="867"/>
      <c r="K71" s="483" t="str">
        <f>F71&amp;"5komm"</f>
        <v>15komm</v>
      </c>
      <c r="L71" s="917" cm="1" t="str">
        <f t="array" ref="L71:L71">AK71</f>
        <v>по предложению организации в соответствии со штатным расписанием.</v>
      </c>
      <c r="M71" s="867"/>
      <c r="N71" s="867"/>
      <c r="O71" s="867"/>
      <c r="P71" s="867"/>
      <c r="Q71" s="867"/>
      <c r="R71" s="867"/>
      <c r="S71" s="867"/>
      <c r="T71" s="465" cm="1" t="str">
        <f t="array" ref="T71:T71">T70</f>
        <v>true</v>
      </c>
      <c r="U71" s="867"/>
      <c r="V71" s="867"/>
      <c r="W71" s="867"/>
      <c r="X71" s="1619"/>
      <c r="Y71" s="873"/>
      <c r="Z71" s="1620"/>
      <c r="AA71" s="867"/>
      <c r="AB71" s="690" t="s">
        <v>443</v>
      </c>
      <c r="AC71" s="847" t="s">
        <v>1890</v>
      </c>
      <c r="AD71" s="766" t="s">
        <v>1514</v>
      </c>
      <c r="AE71" s="298"/>
      <c r="AF71" s="298"/>
      <c r="AG71" s="298"/>
      <c r="AH71" s="298"/>
      <c r="AI71" s="213">
        <f>_xlfn.SUMIFS(AI72:AI78,$AD72:$AD78,$AD71)</f>
        <v>15165.7279401146</v>
      </c>
      <c r="AJ71" s="213">
        <f>_xlfn.SUMIFS(AJ72:AJ78,$AD72:$AD78,$AD71)</f>
        <v>15165.7279401146</v>
      </c>
      <c r="AK71" s="846" t="s">
        <v>1905</v>
      </c>
      <c r="AL71" s="1812"/>
      <c r="AM71" s="1812"/>
      <c r="AN71" s="1030" t="s">
        <v>1891</v>
      </c>
      <c r="AO71" s="1030"/>
      <c r="AP71" s="1030"/>
      <c r="AQ71" s="267"/>
      <c r="AR71" s="267"/>
    </row>
    <row s="1448" customFormat="1" customHeight="1" ht="18" hidden="1">
      <c r="E72" s="868">
        <v>18.75</v>
      </c>
      <c r="F72" s="50" cm="1" t="str">
        <f t="array" ref="F72:F72">OFFSET(E72,-1,1)</f>
        <v>1</v>
      </c>
      <c r="H72" s="520" t="s">
        <v>335</v>
      </c>
      <c r="I72" s="520" cm="1" t="str">
        <f t="array" ref="I72:I72">AC72</f>
        <v>0</v>
      </c>
      <c r="T72" s="465">
        <f>AND(F72&gt;0,Y72&gt;0)</f>
        <v>0</v>
      </c>
      <c r="W72" s="297" t="s">
        <v>174</v>
      </c>
      <c r="Y72" s="873">
        <v>0</v>
      </c>
      <c r="AA72" s="1617" t="s">
        <v>175</v>
      </c>
      <c r="AB72" s="88" t="str">
        <f>"5."&amp;Y72</f>
        <v>5.0</v>
      </c>
      <c r="AC72" s="1243"/>
      <c r="AD72" s="90" t="s">
        <v>1514</v>
      </c>
      <c r="AE72" s="90"/>
      <c r="AF72" s="90"/>
      <c r="AG72" s="90"/>
      <c r="AH72" s="90"/>
      <c r="AI72" s="1241">
        <f>AI73*AI74*12/1000</f>
        <v>0</v>
      </c>
      <c r="AJ72" s="1241">
        <f>AJ73*AJ74*12/1000</f>
        <v>0</v>
      </c>
      <c r="AK72" s="4771"/>
      <c r="AN72" s="1030" t="s">
        <v>1869</v>
      </c>
      <c r="AO72" s="1030" t="s">
        <v>1892</v>
      </c>
      <c r="AP72" s="1030" cm="1" t="str">
        <f t="array" ref="AP72:AP72">AC72</f>
        <v>0</v>
      </c>
      <c r="AQ72" s="267"/>
      <c r="AR72" s="267" t="b">
        <v>1</v>
      </c>
    </row>
    <row s="1448" customFormat="1" customHeight="1" ht="14.25" hidden="1">
      <c r="E73" s="868">
        <v>15</v>
      </c>
      <c r="F73" s="50" cm="1" t="str">
        <f t="array" ref="F73:F73">OFFSET(E73,-1,1)</f>
        <v>1</v>
      </c>
      <c r="H73" s="520" t="str">
        <f>H72&amp;"_1"</f>
        <v>l5_1</v>
      </c>
      <c r="I73" s="520" cm="1" t="str">
        <f t="array" ref="I73:I73">I72</f>
        <v>0</v>
      </c>
      <c r="T73" s="465" cm="1" t="str">
        <f t="array" ref="T73:T73">T72</f>
        <v>false</v>
      </c>
      <c r="AA73" s="1617"/>
      <c r="AB73" s="690" t="str">
        <f>AB72&amp;".1"</f>
        <v>5.0.1</v>
      </c>
      <c r="AC73" s="221" t="s">
        <v>1872</v>
      </c>
      <c r="AD73" s="90" t="s">
        <v>1873</v>
      </c>
      <c r="AE73" s="90"/>
      <c r="AF73" s="90"/>
      <c r="AG73" s="90"/>
      <c r="AH73" s="90"/>
      <c r="AI73" s="1244"/>
      <c r="AJ73" s="1244"/>
      <c r="AK73" s="4771"/>
      <c r="AN73" s="1030" t="s">
        <v>1874</v>
      </c>
      <c r="AO73" s="1030" t="s">
        <v>1892</v>
      </c>
      <c r="AP73" s="1030" cm="1" t="str">
        <f t="array" ref="AP73:AP73">AP72</f>
        <v>0</v>
      </c>
      <c r="AQ73" s="267"/>
      <c r="AR73" s="267"/>
    </row>
    <row s="1448" customFormat="1" customHeight="1" ht="14.25" hidden="1">
      <c r="E74" s="868">
        <v>15</v>
      </c>
      <c r="F74" s="50" cm="1" t="str">
        <f t="array" ref="F74:F74">OFFSET(E74,-1,1)</f>
        <v>1</v>
      </c>
      <c r="H74" s="520" t="str">
        <f>H72&amp;"_2"</f>
        <v>l5_2</v>
      </c>
      <c r="I74" s="520" cm="1" t="str">
        <f t="array" ref="I74:I74">I73</f>
        <v>0</v>
      </c>
      <c r="T74" s="465" cm="1" t="str">
        <f t="array" ref="T74:T74">T73</f>
        <v>false</v>
      </c>
      <c r="AA74" s="1617"/>
      <c r="AB74" s="690" t="str">
        <f>AB72&amp;".2"</f>
        <v>5.0.2</v>
      </c>
      <c r="AC74" s="221" t="s">
        <v>1875</v>
      </c>
      <c r="AD74" s="90" t="s">
        <v>1876</v>
      </c>
      <c r="AE74" s="90"/>
      <c r="AF74" s="90"/>
      <c r="AG74" s="90"/>
      <c r="AH74" s="90"/>
      <c r="AI74" s="1244"/>
      <c r="AJ74" s="1244"/>
      <c r="AK74" s="4771"/>
      <c r="AN74" s="1030" t="s">
        <v>1877</v>
      </c>
      <c r="AO74" s="1030" t="s">
        <v>1892</v>
      </c>
      <c r="AP74" s="1030" cm="1" t="str">
        <f t="array" ref="AP74:AP74">AP73</f>
        <v>0</v>
      </c>
      <c r="AQ74" s="267"/>
      <c r="AR74" s="267"/>
    </row>
    <row s="1448" customFormat="1" customHeight="1" ht="18">
      <c r="A75" s="1448"/>
      <c r="B75" s="1448"/>
      <c r="C75" s="1448"/>
      <c r="D75" s="1448"/>
      <c r="E75" s="868">
        <v>18.75</v>
      </c>
      <c r="F75" s="50" cm="1" t="str">
        <f t="array" ref="F75:F75">OFFSET(E75,-1,1)</f>
        <v>1</v>
      </c>
      <c r="G75" s="1448"/>
      <c r="H75" s="520" t="s">
        <v>335</v>
      </c>
      <c r="I75" s="520" cm="1" t="str">
        <f t="array" ref="I75:I75">AC75</f>
        <v>персонал АУП</v>
      </c>
      <c r="J75" s="1448"/>
      <c r="K75" s="1448"/>
      <c r="L75" s="1448"/>
      <c r="M75" s="1448"/>
      <c r="N75" s="1448"/>
      <c r="O75" s="1448"/>
      <c r="P75" s="1448"/>
      <c r="Q75" s="1448"/>
      <c r="R75" s="1448"/>
      <c r="S75" s="1448"/>
      <c r="T75" s="465">
        <f>AND(F75&gt;0,Y75&gt;0)</f>
        <v>1</v>
      </c>
      <c r="U75" s="1448"/>
      <c r="V75" s="1448"/>
      <c r="W75" s="297"/>
      <c r="X75" s="1448"/>
      <c r="Y75" s="873" t="s">
        <v>276</v>
      </c>
      <c r="Z75" s="1448"/>
      <c r="AA75" s="1617" t="s">
        <v>175</v>
      </c>
      <c r="AB75" s="88" t="str">
        <f>"5."&amp;Y75</f>
        <v>5.1</v>
      </c>
      <c r="AC75" s="4748" t="s">
        <v>1908</v>
      </c>
      <c r="AD75" s="90" t="s">
        <v>1514</v>
      </c>
      <c r="AE75" s="90"/>
      <c r="AF75" s="90"/>
      <c r="AG75" s="90"/>
      <c r="AH75" s="90"/>
      <c r="AI75" s="3946">
        <f>AI76*AI77*12/1000</f>
        <v>15165.7279401146</v>
      </c>
      <c r="AJ75" s="3946">
        <f>AJ76*AJ77*12/1000</f>
        <v>15165.7279401146</v>
      </c>
      <c r="AK75" s="4772"/>
      <c r="AL75" s="1448"/>
      <c r="AM75" s="1448"/>
      <c r="AN75" s="1030" t="s">
        <v>1869</v>
      </c>
      <c r="AO75" s="1030" t="s">
        <v>1892</v>
      </c>
      <c r="AP75" s="1030" cm="1" t="str">
        <f t="array" ref="AP75:AP75">AC75</f>
        <v>персонал АУП</v>
      </c>
      <c r="AQ75" s="267"/>
      <c r="AR75" s="267" t="b">
        <v>1</v>
      </c>
    </row>
    <row s="1448" customFormat="1" customHeight="1" ht="14.25">
      <c r="A76" s="1448"/>
      <c r="B76" s="1448"/>
      <c r="C76" s="1448"/>
      <c r="D76" s="1448"/>
      <c r="E76" s="868">
        <v>15</v>
      </c>
      <c r="F76" s="50" cm="1" t="str">
        <f t="array" ref="F76:F76">OFFSET(E76,-1,1)</f>
        <v>1</v>
      </c>
      <c r="G76" s="1448"/>
      <c r="H76" s="520" t="str">
        <f>H75&amp;"_1"</f>
        <v>l5_1</v>
      </c>
      <c r="I76" s="520" cm="1" t="str">
        <f t="array" ref="I76:I76">I75</f>
        <v>персонал АУП</v>
      </c>
      <c r="J76" s="1448"/>
      <c r="K76" s="1448"/>
      <c r="L76" s="1448"/>
      <c r="M76" s="1448"/>
      <c r="N76" s="1448"/>
      <c r="O76" s="1448"/>
      <c r="P76" s="1448"/>
      <c r="Q76" s="1448"/>
      <c r="R76" s="1448"/>
      <c r="S76" s="1448"/>
      <c r="T76" s="465" cm="1" t="str">
        <f t="array" ref="T76:T76">T75</f>
        <v>true</v>
      </c>
      <c r="U76" s="1448"/>
      <c r="V76" s="1448"/>
      <c r="W76" s="1448"/>
      <c r="X76" s="1448"/>
      <c r="Y76" s="1448"/>
      <c r="Z76" s="1448"/>
      <c r="AA76" s="1617"/>
      <c r="AB76" s="690" t="str">
        <f>AB75&amp;".1"</f>
        <v>5.1.1</v>
      </c>
      <c r="AC76" s="221" t="s">
        <v>1872</v>
      </c>
      <c r="AD76" s="90" t="s">
        <v>1873</v>
      </c>
      <c r="AE76" s="90"/>
      <c r="AF76" s="90"/>
      <c r="AG76" s="90"/>
      <c r="AH76" s="90"/>
      <c r="AI76" s="4750">
        <v>18.76</v>
      </c>
      <c r="AJ76" s="4750">
        <v>18.76</v>
      </c>
      <c r="AK76" s="4772"/>
      <c r="AL76" s="1448"/>
      <c r="AM76" s="1448"/>
      <c r="AN76" s="1030" t="s">
        <v>1874</v>
      </c>
      <c r="AO76" s="1030" t="s">
        <v>1892</v>
      </c>
      <c r="AP76" s="1030" cm="1" t="str">
        <f t="array" ref="AP76:AP76">AP75</f>
        <v>персонал АУП</v>
      </c>
      <c r="AQ76" s="267"/>
      <c r="AR76" s="267"/>
    </row>
    <row s="1448" customFormat="1" customHeight="1" ht="14.25">
      <c r="A77" s="1448"/>
      <c r="B77" s="1448"/>
      <c r="C77" s="1448"/>
      <c r="D77" s="1448"/>
      <c r="E77" s="868">
        <v>15</v>
      </c>
      <c r="F77" s="50" cm="1" t="str">
        <f t="array" ref="F77:F77">OFFSET(E77,-1,1)</f>
        <v>1</v>
      </c>
      <c r="G77" s="1448"/>
      <c r="H77" s="520" t="str">
        <f>H75&amp;"_2"</f>
        <v>l5_2</v>
      </c>
      <c r="I77" s="520" cm="1" t="str">
        <f t="array" ref="I77:I77">I76</f>
        <v>персонал АУП</v>
      </c>
      <c r="J77" s="1448"/>
      <c r="K77" s="1448"/>
      <c r="L77" s="1448"/>
      <c r="M77" s="1448"/>
      <c r="N77" s="1448"/>
      <c r="O77" s="1448"/>
      <c r="P77" s="1448"/>
      <c r="Q77" s="1448"/>
      <c r="R77" s="1448"/>
      <c r="S77" s="1448"/>
      <c r="T77" s="465" cm="1" t="str">
        <f t="array" ref="T77:T77">T76</f>
        <v>true</v>
      </c>
      <c r="U77" s="1448"/>
      <c r="V77" s="1448"/>
      <c r="W77" s="1448"/>
      <c r="X77" s="1448"/>
      <c r="Y77" s="1448"/>
      <c r="Z77" s="1448"/>
      <c r="AA77" s="1617"/>
      <c r="AB77" s="690" t="str">
        <f>AB75&amp;".2"</f>
        <v>5.1.2</v>
      </c>
      <c r="AC77" s="221" t="s">
        <v>1875</v>
      </c>
      <c r="AD77" s="90" t="s">
        <v>1876</v>
      </c>
      <c r="AE77" s="90"/>
      <c r="AF77" s="90"/>
      <c r="AG77" s="90"/>
      <c r="AH77" s="90"/>
      <c r="AI77" s="4750">
        <v>67367.3060595</v>
      </c>
      <c r="AJ77" s="4750">
        <v>67367.3060595</v>
      </c>
      <c r="AK77" s="4772"/>
      <c r="AL77" s="1448"/>
      <c r="AM77" s="1448"/>
      <c r="AN77" s="1030" t="s">
        <v>1877</v>
      </c>
      <c r="AO77" s="1030" t="s">
        <v>1892</v>
      </c>
      <c r="AP77" s="1030" cm="1" t="str">
        <f t="array" ref="AP77:AP77">AP76</f>
        <v>персонал АУП</v>
      </c>
      <c r="AQ77" s="267"/>
      <c r="AR77" s="267"/>
    </row>
    <row s="1448" customFormat="1" customHeight="1" ht="14.25">
      <c r="A78" s="1812"/>
      <c r="B78" s="429"/>
      <c r="C78" s="867"/>
      <c r="D78" s="867"/>
      <c r="E78" s="868">
        <v>15</v>
      </c>
      <c r="F78" s="50" cm="1" t="str">
        <f t="array" ref="F78:F78">OFFSET(E78,-1,1)</f>
        <v>1</v>
      </c>
      <c r="G78" s="374"/>
      <c r="H78" s="839"/>
      <c r="I78" s="152" t="str">
        <f>"!=='не определено' &amp;&amp; row.l5 !== null"</f>
        <v>!=='не определено' &amp;&amp; row.l5 !== null</v>
      </c>
      <c r="J78" s="867"/>
      <c r="K78" s="483"/>
      <c r="L78" s="483"/>
      <c r="M78" s="867"/>
      <c r="N78" s="867"/>
      <c r="O78" s="867"/>
      <c r="P78" s="867"/>
      <c r="Q78" s="867"/>
      <c r="R78" s="867"/>
      <c r="S78" s="867"/>
      <c r="T78" s="465">
        <f>F78&gt;0</f>
        <v>1</v>
      </c>
      <c r="U78" s="867"/>
      <c r="V78" s="867"/>
      <c r="W78" s="757" t="s">
        <v>1893</v>
      </c>
      <c r="X78" s="1619"/>
      <c r="Y78" s="873"/>
      <c r="Z78" s="1620"/>
      <c r="AA78" s="867"/>
      <c r="AB78" s="874"/>
      <c r="AC78" s="260" t="s">
        <v>178</v>
      </c>
      <c r="AD78" s="776"/>
      <c r="AE78" s="776"/>
      <c r="AF78" s="776"/>
      <c r="AG78" s="776"/>
      <c r="AH78" s="776"/>
      <c r="AI78" s="776"/>
      <c r="AJ78" s="776"/>
      <c r="AK78" s="777"/>
      <c r="AL78" s="1812"/>
      <c r="AM78" s="1812"/>
      <c r="AN78" s="1030"/>
      <c r="AO78" s="1030"/>
      <c r="AP78" s="1030"/>
      <c r="AQ78" s="267" t="s">
        <v>1892</v>
      </c>
      <c r="AR78" s="267"/>
    </row>
    <row s="1448" customFormat="1" customHeight="1" ht="33.75">
      <c r="A79" s="1812"/>
      <c r="B79" s="429"/>
      <c r="C79" s="867"/>
      <c r="D79" s="867"/>
      <c r="E79" s="868">
        <v>22.5</v>
      </c>
      <c r="F79" s="50" cm="1" t="str">
        <f t="array" ref="F79:F79">OFFSET(E79,-1,1)</f>
        <v>1</v>
      </c>
      <c r="G79" s="374" t="s">
        <v>1894</v>
      </c>
      <c r="H79" s="839" t="s">
        <v>1225</v>
      </c>
      <c r="I79" s="839"/>
      <c r="J79" s="867"/>
      <c r="K79" s="483" t="str">
        <f>F79&amp;"6komm"</f>
        <v>16komm</v>
      </c>
      <c r="L79" s="483" cm="1" t="str">
        <f t="array" ref="L79:L79">AK79</f>
        <v>на основании Налогового кодекса РФ (часть вторая) от 05.08.2000 № 117-ФЗ в размере 30%, а также в соответствии с Федеральным законом от 24.07.1998 № 125 – ФЗ (0,20%).</v>
      </c>
      <c r="M79" s="867"/>
      <c r="N79" s="867"/>
      <c r="O79" s="867"/>
      <c r="P79" s="867"/>
      <c r="Q79" s="867"/>
      <c r="R79" s="867"/>
      <c r="S79" s="867"/>
      <c r="T79" s="465" cm="1" t="str">
        <f t="array" ref="T79:T79">T78</f>
        <v>true</v>
      </c>
      <c r="U79" s="867"/>
      <c r="V79" s="867"/>
      <c r="W79" s="867"/>
      <c r="X79" s="1619"/>
      <c r="Y79" s="873"/>
      <c r="Z79" s="1620"/>
      <c r="AA79" s="867"/>
      <c r="AB79" s="690" t="s">
        <v>446</v>
      </c>
      <c r="AC79" s="847" t="s">
        <v>1895</v>
      </c>
      <c r="AD79" s="766" t="s">
        <v>1514</v>
      </c>
      <c r="AE79" s="298">
        <f>AE71*_xlfn.SUMIFS(INDEX(Сценарии!$AE$25:$BF$163,,MATCH(AE$13,Сценарии!$AE$8:$BF$8,0)),Сценарии!$F$25:$F$163,$F79,Сценарии!$G$25:$G$163,"СВФОТ")/100</f>
        <v>0</v>
      </c>
      <c r="AF79" s="298">
        <f>AF71*_xlfn.SUMIFS(INDEX(Сценарии!$AE$25:$BF$163,,MATCH(AF$13,Сценарии!$AE$8:$BF$8,0)),Сценарии!$F$25:$F$163,$F79,Сценарии!$G$25:$G$163,"СВФОТ")/100</f>
        <v>0</v>
      </c>
      <c r="AG79" s="298">
        <f>AG71*_xlfn.SUMIFS(INDEX(Сценарии!$AE$25:$BF$163,,MATCH(AG$13,Сценарии!$AE$8:$BF$8,0)),Сценарии!$F$25:$F$163,$F79,Сценарии!$G$25:$G$163,"СВФОТ")/100</f>
        <v>0</v>
      </c>
      <c r="AH79" s="298">
        <f>AH71*_xlfn.SUMIFS(INDEX(Сценарии!$AE$25:$BF$163,,MATCH(AH$13,Сценарии!$AE$8:$BF$8,0)),Сценарии!$F$25:$F$163,$F79,Сценарии!$G$25:$G$163,"СВФОТ")/100</f>
        <v>0</v>
      </c>
      <c r="AI79" s="298">
        <f>AI71*_xlfn.SUMIFS(INDEX(Сценарии!$AE$25:$BF$163,,MATCH(AI$13,Сценарии!$AE$8:$BF$8,0)),Сценарии!$F$25:$F$163,$F79,Сценарии!$G$25:$G$163,"СВФОТ")/100</f>
        <v>4580.04983791461</v>
      </c>
      <c r="AJ79" s="298">
        <f>AJ71*_xlfn.SUMIFS(INDEX(Сценарии!$AE$25:$BF$163,,MATCH(AJ$13,Сценарии!$AE$8:$BF$8,0)),Сценарии!$F$25:$F$163,$F79,Сценарии!$G$25:$G$163,"СВФОТ")/100</f>
        <v>4580.04983791461</v>
      </c>
      <c r="AK79" s="918" t="s">
        <v>1232</v>
      </c>
      <c r="AL79" s="1812"/>
      <c r="AM79" s="1812"/>
      <c r="AN79" s="1030" t="s">
        <v>1896</v>
      </c>
      <c r="AO79" s="1030"/>
      <c r="AP79" s="1030"/>
      <c r="AQ79" s="267"/>
      <c r="AR79" s="267"/>
    </row>
    <row s="1448" customFormat="1" customHeight="1" ht="0">
      <c r="A80" s="1812"/>
      <c r="B80" s="429"/>
      <c r="C80" s="867"/>
      <c r="D80" s="867"/>
      <c r="E80" s="868">
        <v>15</v>
      </c>
      <c r="F80" s="50" cm="1" t="str">
        <f t="array" ref="F80:F80">OFFSET(E80,-1,1)</f>
        <v>1</v>
      </c>
      <c r="G80" s="374" t="s">
        <v>1897</v>
      </c>
      <c r="H80" s="839" t="s">
        <v>1228</v>
      </c>
      <c r="I80" s="839"/>
      <c r="J80" s="867"/>
      <c r="K80" s="483" t="str">
        <f>F80&amp;"7komm"</f>
        <v>17komm</v>
      </c>
      <c r="L80" s="483" cm="1" t="str">
        <f t="array" ref="L80:L80">AK80</f>
        <v>0</v>
      </c>
      <c r="M80" s="867"/>
      <c r="N80" s="867"/>
      <c r="O80" s="867"/>
      <c r="P80" s="867"/>
      <c r="Q80" s="867"/>
      <c r="R80" s="867"/>
      <c r="S80" s="867"/>
      <c r="T80" s="465" cm="1" t="str">
        <f t="array" ref="T80:T80">T79</f>
        <v>true</v>
      </c>
      <c r="U80" s="867"/>
      <c r="V80" s="867"/>
      <c r="W80" s="867"/>
      <c r="X80" s="1619"/>
      <c r="Y80" s="873"/>
      <c r="Z80" s="1620"/>
      <c r="AA80" s="867"/>
      <c r="AB80" s="690" t="s">
        <v>449</v>
      </c>
      <c r="AC80" s="847" t="s">
        <v>1898</v>
      </c>
      <c r="AD80" s="766" t="s">
        <v>1514</v>
      </c>
      <c r="AE80" s="298"/>
      <c r="AF80" s="298"/>
      <c r="AG80" s="298"/>
      <c r="AH80" s="298"/>
      <c r="AI80" s="213">
        <f>_xlfn.SUMIFS(AI81:AI84,$AD81:$AD84,$AD80)</f>
        <v>0</v>
      </c>
      <c r="AJ80" s="213">
        <f>_xlfn.SUMIFS(AJ81:AJ84,$AD81:$AD84,$AD80)</f>
        <v>0</v>
      </c>
      <c r="AK80" s="918"/>
      <c r="AL80" s="1812"/>
      <c r="AM80" s="1812"/>
      <c r="AN80" s="1030" t="s">
        <v>1899</v>
      </c>
      <c r="AO80" s="1030"/>
      <c r="AP80" s="1030"/>
      <c r="AQ80" s="267"/>
      <c r="AR80" s="267"/>
    </row>
    <row s="1448" customFormat="1" customHeight="1" ht="0" hidden="1">
      <c r="A81" s="1812"/>
      <c r="B81" s="1812"/>
      <c r="C81" s="875"/>
      <c r="D81" s="875"/>
      <c r="E81" s="876">
        <v>18.75</v>
      </c>
      <c r="F81" s="50" cm="1" t="str">
        <f t="array" ref="F81:F81">OFFSET(E81,-1,1)</f>
        <v>1</v>
      </c>
      <c r="G81" s="872"/>
      <c r="H81" s="839" t="s">
        <v>1228</v>
      </c>
      <c r="I81" s="872" cm="1" t="str">
        <f t="array" ref="I81:I81">AC81</f>
        <v>0</v>
      </c>
      <c r="J81" s="875"/>
      <c r="K81" s="916"/>
      <c r="L81" s="916"/>
      <c r="M81" s="875"/>
      <c r="N81" s="875"/>
      <c r="O81" s="875"/>
      <c r="P81" s="875"/>
      <c r="Q81" s="875"/>
      <c r="R81" s="875"/>
      <c r="S81" s="875"/>
      <c r="T81" s="465">
        <f>AND(F81&gt;0,Y81&gt;0)</f>
        <v>0</v>
      </c>
      <c r="U81" s="875"/>
      <c r="V81" s="875"/>
      <c r="W81" s="867" t="s">
        <v>174</v>
      </c>
      <c r="X81" s="1619"/>
      <c r="Y81" s="1619">
        <v>0</v>
      </c>
      <c r="Z81" s="1620"/>
      <c r="AA81" s="1617" t="s">
        <v>175</v>
      </c>
      <c r="AB81" s="1222" t="str">
        <f>"7."&amp;Y81</f>
        <v>7.0</v>
      </c>
      <c r="AC81" s="4738"/>
      <c r="AD81" s="878" t="s">
        <v>1514</v>
      </c>
      <c r="AE81" s="4740"/>
      <c r="AF81" s="4740"/>
      <c r="AG81" s="4740"/>
      <c r="AH81" s="4740"/>
      <c r="AI81" s="4741">
        <f>AI82*AI83*12/1000</f>
        <v>0</v>
      </c>
      <c r="AJ81" s="4741">
        <f>AJ82*AJ83*12/1000</f>
        <v>0</v>
      </c>
      <c r="AK81" s="4742"/>
      <c r="AL81" s="1812"/>
      <c r="AM81" s="1812"/>
      <c r="AN81" s="1030" t="s">
        <v>1869</v>
      </c>
      <c r="AO81" s="1046" t="s">
        <v>1900</v>
      </c>
      <c r="AP81" s="1030" cm="1" t="str">
        <f t="array" ref="AP81:AP81">AC81</f>
        <v>0</v>
      </c>
      <c r="AQ81" s="1047"/>
      <c r="AR81" s="267" t="b">
        <v>1</v>
      </c>
    </row>
    <row s="1448" customFormat="1" customHeight="1" ht="0" hidden="1">
      <c r="A82" s="1812"/>
      <c r="B82" s="1812"/>
      <c r="C82" s="875"/>
      <c r="D82" s="875"/>
      <c r="E82" s="876">
        <v>15</v>
      </c>
      <c r="F82" s="50" cm="1" t="str">
        <f t="array" ref="F82:F82">OFFSET(E82,-1,1)</f>
        <v>1</v>
      </c>
      <c r="G82" s="872"/>
      <c r="H82" s="872" t="str">
        <f>H81&amp;"_1"</f>
        <v>l7_1</v>
      </c>
      <c r="I82" s="872" cm="1" t="str">
        <f t="array" ref="I82:I82">I81</f>
        <v>0</v>
      </c>
      <c r="J82" s="875"/>
      <c r="K82" s="916"/>
      <c r="L82" s="916"/>
      <c r="M82" s="875"/>
      <c r="N82" s="875"/>
      <c r="O82" s="875"/>
      <c r="P82" s="875"/>
      <c r="Q82" s="875"/>
      <c r="R82" s="875"/>
      <c r="S82" s="875"/>
      <c r="T82" s="465" cm="1" t="str">
        <f t="array" ref="T82:T82">T81</f>
        <v>false</v>
      </c>
      <c r="U82" s="875"/>
      <c r="V82" s="875"/>
      <c r="W82" s="875"/>
      <c r="X82" s="1619"/>
      <c r="Y82" s="1619"/>
      <c r="Z82" s="1620"/>
      <c r="AA82" s="1617"/>
      <c r="AB82" s="882" t="str">
        <f>AB81&amp;".1"</f>
        <v>7.0.1</v>
      </c>
      <c r="AC82" s="883" t="s">
        <v>1872</v>
      </c>
      <c r="AD82" s="878" t="s">
        <v>1873</v>
      </c>
      <c r="AE82" s="4740"/>
      <c r="AF82" s="4740"/>
      <c r="AG82" s="4740"/>
      <c r="AH82" s="4740"/>
      <c r="AI82" s="4745"/>
      <c r="AJ82" s="4745"/>
      <c r="AK82" s="4742"/>
      <c r="AL82" s="1812"/>
      <c r="AM82" s="1812"/>
      <c r="AN82" s="1030" t="s">
        <v>1874</v>
      </c>
      <c r="AO82" s="1046" t="s">
        <v>1900</v>
      </c>
      <c r="AP82" s="1030" cm="1" t="str">
        <f t="array" ref="AP82:AP82">AP81</f>
        <v>0</v>
      </c>
      <c r="AQ82" s="1047"/>
      <c r="AR82" s="1047"/>
    </row>
    <row s="1448" customFormat="1" customHeight="1" ht="0" hidden="1">
      <c r="A83" s="1812"/>
      <c r="B83" s="1812"/>
      <c r="C83" s="875"/>
      <c r="D83" s="875"/>
      <c r="E83" s="876">
        <v>15</v>
      </c>
      <c r="F83" s="50" cm="1" t="str">
        <f t="array" ref="F83:F83">OFFSET(E83,-1,1)</f>
        <v>1</v>
      </c>
      <c r="G83" s="872"/>
      <c r="H83" s="872" t="str">
        <f>H81&amp;"_2"</f>
        <v>l7_2</v>
      </c>
      <c r="I83" s="872" cm="1" t="str">
        <f t="array" ref="I83:I83">I82</f>
        <v>0</v>
      </c>
      <c r="J83" s="875"/>
      <c r="K83" s="916"/>
      <c r="L83" s="916"/>
      <c r="M83" s="875"/>
      <c r="N83" s="875"/>
      <c r="O83" s="875"/>
      <c r="P83" s="875"/>
      <c r="Q83" s="875"/>
      <c r="R83" s="875"/>
      <c r="S83" s="875"/>
      <c r="T83" s="465" cm="1" t="str">
        <f t="array" ref="T83:T83">T82</f>
        <v>false</v>
      </c>
      <c r="U83" s="875"/>
      <c r="V83" s="875"/>
      <c r="W83" s="875"/>
      <c r="X83" s="1619"/>
      <c r="Y83" s="1619"/>
      <c r="Z83" s="1620"/>
      <c r="AA83" s="1617"/>
      <c r="AB83" s="882" t="str">
        <f>AB81&amp;".2"</f>
        <v>7.0.2</v>
      </c>
      <c r="AC83" s="883" t="s">
        <v>1875</v>
      </c>
      <c r="AD83" s="878" t="s">
        <v>1876</v>
      </c>
      <c r="AE83" s="4740"/>
      <c r="AF83" s="4740"/>
      <c r="AG83" s="4740"/>
      <c r="AH83" s="4740"/>
      <c r="AI83" s="4745"/>
      <c r="AJ83" s="4745"/>
      <c r="AK83" s="4742"/>
      <c r="AL83" s="1812"/>
      <c r="AM83" s="1812"/>
      <c r="AN83" s="1030" t="s">
        <v>1877</v>
      </c>
      <c r="AO83" s="1046" t="s">
        <v>1900</v>
      </c>
      <c r="AP83" s="1030" cm="1" t="str">
        <f t="array" ref="AP83:AP83">AP82</f>
        <v>0</v>
      </c>
      <c r="AQ83" s="1047"/>
      <c r="AR83" s="1047"/>
    </row>
    <row s="1448" customFormat="1" customHeight="1" ht="0">
      <c r="A84" s="1812"/>
      <c r="B84" s="429"/>
      <c r="C84" s="867"/>
      <c r="D84" s="867"/>
      <c r="E84" s="868">
        <v>15</v>
      </c>
      <c r="F84" s="50" cm="1" t="str">
        <f t="array" ref="F84:F84">OFFSET(E84,-1,1)</f>
        <v>1</v>
      </c>
      <c r="G84" s="374"/>
      <c r="H84" s="839"/>
      <c r="I84" s="152" t="str">
        <f>"!=='не определено' &amp;&amp; row.l7 !== null"</f>
        <v>!=='не определено' &amp;&amp; row.l7 !== null</v>
      </c>
      <c r="J84" s="867"/>
      <c r="K84" s="483"/>
      <c r="L84" s="483"/>
      <c r="M84" s="867"/>
      <c r="N84" s="867"/>
      <c r="O84" s="867"/>
      <c r="P84" s="867"/>
      <c r="Q84" s="867"/>
      <c r="R84" s="867"/>
      <c r="S84" s="867"/>
      <c r="T84" s="465">
        <f>F84&gt;0</f>
        <v>1</v>
      </c>
      <c r="U84" s="867"/>
      <c r="V84" s="867"/>
      <c r="W84" s="757" t="s">
        <v>1901</v>
      </c>
      <c r="X84" s="1619"/>
      <c r="Y84" s="867"/>
      <c r="Z84" s="1620"/>
      <c r="AA84" s="867"/>
      <c r="AB84" s="874"/>
      <c r="AC84" s="260" t="s">
        <v>178</v>
      </c>
      <c r="AD84" s="776"/>
      <c r="AE84" s="776"/>
      <c r="AF84" s="776"/>
      <c r="AG84" s="776"/>
      <c r="AH84" s="776"/>
      <c r="AI84" s="776"/>
      <c r="AJ84" s="776"/>
      <c r="AK84" s="777"/>
      <c r="AL84" s="1812"/>
      <c r="AM84" s="1812"/>
      <c r="AN84" s="1030"/>
      <c r="AO84" s="1030"/>
      <c r="AP84" s="1030"/>
      <c r="AQ84" s="1047" t="s">
        <v>1900</v>
      </c>
      <c r="AR84" s="267"/>
    </row>
    <row s="1448" customFormat="1" customHeight="1" ht="0">
      <c r="A85" s="1812"/>
      <c r="B85" s="429"/>
      <c r="C85" s="867"/>
      <c r="D85" s="867"/>
      <c r="E85" s="868">
        <v>22.5</v>
      </c>
      <c r="F85" s="50" cm="1" t="str">
        <f t="array" ref="F85:F85">OFFSET(E85,-1,1)</f>
        <v>1</v>
      </c>
      <c r="G85" s="374" t="s">
        <v>1902</v>
      </c>
      <c r="H85" s="839" t="s">
        <v>1275</v>
      </c>
      <c r="I85" s="839"/>
      <c r="J85" s="867"/>
      <c r="K85" s="483" t="str">
        <f>F85&amp;"8komm"</f>
        <v>18komm</v>
      </c>
      <c r="L85" s="917" cm="1" t="str">
        <f t="array" ref="L85:L85">AK85</f>
        <v>0</v>
      </c>
      <c r="M85" s="867"/>
      <c r="N85" s="867"/>
      <c r="O85" s="867"/>
      <c r="P85" s="867"/>
      <c r="Q85" s="867"/>
      <c r="R85" s="867"/>
      <c r="S85" s="867"/>
      <c r="T85" s="465" cm="1" t="str">
        <f t="array" ref="T85:T85">T84</f>
        <v>true</v>
      </c>
      <c r="U85" s="867"/>
      <c r="V85" s="867"/>
      <c r="W85" s="867"/>
      <c r="X85" s="1619"/>
      <c r="Y85" s="867"/>
      <c r="Z85" s="1620"/>
      <c r="AA85" s="867"/>
      <c r="AB85" s="690" t="s">
        <v>452</v>
      </c>
      <c r="AC85" s="847" t="s">
        <v>1903</v>
      </c>
      <c r="AD85" s="766" t="s">
        <v>1514</v>
      </c>
      <c r="AE85" s="298">
        <f>AE80*_xlfn.SUMIFS(INDEX(Сценарии!$AE$25:$BF$163,,MATCH(AE$13,Сценарии!$AE$8:$BF$8,0)),Сценарии!$F$25:$F$163,$F85,Сценарии!$G$25:$G$163,"СВФОТ")/100</f>
        <v>0</v>
      </c>
      <c r="AF85" s="298">
        <f>AF80*_xlfn.SUMIFS(INDEX(Сценарии!$AE$25:$BF$163,,MATCH(AF$13,Сценарии!$AE$8:$BF$8,0)),Сценарии!$F$25:$F$163,$F85,Сценарии!$G$25:$G$163,"СВФОТ")/100</f>
        <v>0</v>
      </c>
      <c r="AG85" s="298">
        <f>AG80*_xlfn.SUMIFS(INDEX(Сценарии!$AE$25:$BF$163,,MATCH(AG$13,Сценарии!$AE$8:$BF$8,0)),Сценарии!$F$25:$F$163,$F85,Сценарии!$G$25:$G$163,"СВФОТ")/100</f>
        <v>0</v>
      </c>
      <c r="AH85" s="298">
        <f>AH80*_xlfn.SUMIFS(INDEX(Сценарии!$AE$25:$BF$163,,MATCH(AH$13,Сценарии!$AE$8:$BF$8,0)),Сценарии!$F$25:$F$163,$F85,Сценарии!$G$25:$G$163,"СВФОТ")/100</f>
        <v>0</v>
      </c>
      <c r="AI85" s="298">
        <f>AI80*_xlfn.SUMIFS(INDEX(Сценарии!$AE$25:$BF$163,,MATCH(AI$13,Сценарии!$AE$8:$BF$8,0)),Сценарии!$F$25:$F$163,$F85,Сценарии!$G$25:$G$163,"СВФОТ")/100</f>
        <v>0</v>
      </c>
      <c r="AJ85" s="298">
        <f>AJ80*_xlfn.SUMIFS(INDEX(Сценарии!$AE$25:$BF$163,,MATCH(AJ$13,Сценарии!$AE$8:$BF$8,0)),Сценарии!$F$25:$F$163,$F85,Сценарии!$G$25:$G$163,"СВФОТ")/100</f>
        <v>0</v>
      </c>
      <c r="AK85" s="846"/>
      <c r="AL85" s="1812"/>
      <c r="AM85" s="1812"/>
      <c r="AN85" s="1030" t="s">
        <v>1904</v>
      </c>
      <c r="AO85" s="1030"/>
      <c r="AP85" s="1030"/>
      <c r="AQ85" s="267"/>
      <c r="AR85" s="267"/>
    </row>
    <row s="1448" customFormat="1" customHeight="1" ht="14.25">
      <c r="A86" s="1812"/>
      <c r="B86" s="429"/>
      <c r="C86" s="867"/>
      <c r="D86" s="867"/>
      <c r="E86" s="868">
        <v>15</v>
      </c>
      <c r="F86" s="493" cm="1" t="str">
        <f t="array" ref="F86:F86">X86</f>
        <v>2</v>
      </c>
      <c r="G86" s="839" t="s">
        <v>61</v>
      </c>
      <c r="H86" s="839"/>
      <c r="I86" s="839"/>
      <c r="J86" s="867"/>
      <c r="K86" s="483"/>
      <c r="L86" s="483"/>
      <c r="M86" s="867"/>
      <c r="N86" s="867"/>
      <c r="O86" s="867"/>
      <c r="P86" s="867"/>
      <c r="Q86" s="867"/>
      <c r="R86" s="867"/>
      <c r="S86" s="867"/>
      <c r="T86" s="465">
        <f>X86&gt;0</f>
        <v>1</v>
      </c>
      <c r="U86" s="867"/>
      <c r="V86" s="867" cm="1" t="str">
        <f t="array" ref="V86:V86">Покупка!$AB$163</f>
        <v>Тариф 2 (Водоснабжение) - тариф на питьевую воду (Доп. признак не требуется)</v>
      </c>
      <c r="W86" s="867"/>
      <c r="X86" s="1619" t="s">
        <v>285</v>
      </c>
      <c r="Y86" s="867"/>
      <c r="Z86" s="1620"/>
      <c r="AA86" s="867"/>
      <c r="AB86" s="242" cm="1" t="str">
        <f t="array" ref="AB86:AB86">Покупка!$AB$163</f>
        <v>Тариф 2 (Водоснабжение) - тариф на питьевую воду (Доп. признак не требуется)</v>
      </c>
      <c r="AC86" s="869"/>
      <c r="AD86" s="869"/>
      <c r="AE86" s="870">
        <f>AE87+AE98+AE99+AE104+AE105+AE113+AE114+AE119</f>
        <v>0</v>
      </c>
      <c r="AF86" s="870">
        <f>AF87+AF98+AF99+AF104+AF105+AF113+AF114+AF119</f>
        <v>0</v>
      </c>
      <c r="AG86" s="870">
        <f>AG87+AG98+AG99+AG104+AG105+AG113+AG114+AG119</f>
        <v>0</v>
      </c>
      <c r="AH86" s="870">
        <f>AH87+AH98+AH99+AH104+AH105+AH113+AH114+AH119</f>
        <v>0</v>
      </c>
      <c r="AI86" s="870">
        <f>AI87+AI98+AI99+AI104+AI105+AI113+AI114+AI119</f>
        <v>20778.9956325195</v>
      </c>
      <c r="AJ86" s="870">
        <f>AJ87+AJ98+AJ99+AJ104+AJ105+AJ113+AJ114+AJ119</f>
        <v>20778.9956325195</v>
      </c>
      <c r="AK86" s="870"/>
      <c r="AL86" s="1812"/>
      <c r="AM86" s="1812"/>
      <c r="AN86" s="1030"/>
      <c r="AO86" s="1030"/>
      <c r="AP86" s="1030"/>
      <c r="AQ86" s="267"/>
      <c r="AR86" s="267"/>
    </row>
    <row s="1448" customFormat="1" customHeight="1" ht="21.75">
      <c r="A87" s="1812"/>
      <c r="B87" s="429"/>
      <c r="C87" s="867"/>
      <c r="D87" s="867"/>
      <c r="E87" s="868">
        <v>22.5</v>
      </c>
      <c r="F87" s="50" cm="1" t="str">
        <f t="array" ref="F87:F87">OFFSET(E87,-1,1)</f>
        <v>2</v>
      </c>
      <c r="G87" s="374" t="s">
        <v>1866</v>
      </c>
      <c r="H87" s="839" t="s">
        <v>332</v>
      </c>
      <c r="I87" s="839"/>
      <c r="J87" s="867"/>
      <c r="K87" s="483" t="str">
        <f>F87&amp;"1komm"</f>
        <v>21komm</v>
      </c>
      <c r="L87" s="917" cm="1" t="str">
        <f t="array" ref="L87:L87">AK87</f>
        <v>по предложению организации в соответствии со штатным расписанием.</v>
      </c>
      <c r="M87" s="867"/>
      <c r="N87" s="867"/>
      <c r="O87" s="867"/>
      <c r="P87" s="867"/>
      <c r="Q87" s="867"/>
      <c r="R87" s="867"/>
      <c r="S87" s="867"/>
      <c r="T87" s="465" cm="1" t="str">
        <f t="array" ref="T87:T87">T86</f>
        <v>true</v>
      </c>
      <c r="U87" s="867"/>
      <c r="V87" s="867"/>
      <c r="W87" s="867"/>
      <c r="X87" s="1619"/>
      <c r="Y87" s="867"/>
      <c r="Z87" s="1620"/>
      <c r="AA87" s="867"/>
      <c r="AB87" s="690">
        <v>1</v>
      </c>
      <c r="AC87" s="847" t="s">
        <v>1867</v>
      </c>
      <c r="AD87" s="766" t="s">
        <v>1514</v>
      </c>
      <c r="AE87" s="298"/>
      <c r="AF87" s="298"/>
      <c r="AG87" s="298"/>
      <c r="AH87" s="298"/>
      <c r="AI87" s="213">
        <f>_xlfn.SUMIFS(AI88:AI97,$AD88:$AD97,$AD87)</f>
        <v>11077.1635727376</v>
      </c>
      <c r="AJ87" s="213">
        <f>_xlfn.SUMIFS(AJ88:AJ97,$AD88:$AD97,$AD87)</f>
        <v>11077.1635727376</v>
      </c>
      <c r="AK87" s="846" t="s">
        <v>1905</v>
      </c>
      <c r="AL87" s="1812"/>
      <c r="AM87" s="1812"/>
      <c r="AN87" s="1030" t="s">
        <v>1868</v>
      </c>
      <c r="AO87" s="1030"/>
      <c r="AP87" s="1030"/>
      <c r="AQ87" s="267"/>
      <c r="AR87" s="267"/>
    </row>
    <row s="1448" customFormat="1" customHeight="1" ht="18" hidden="1">
      <c r="E88" s="868">
        <v>18.75</v>
      </c>
      <c r="F88" s="50" cm="1" t="str">
        <f t="array" ref="F88:F88">OFFSET(E88,-1,1)</f>
        <v>2</v>
      </c>
      <c r="H88" s="520" t="s">
        <v>332</v>
      </c>
      <c r="I88" s="520" cm="1" t="str">
        <f t="array" ref="I88:I88">AC88</f>
        <v>0</v>
      </c>
      <c r="T88" s="465">
        <f>AND(F88&gt;0,Y88&gt;0)</f>
        <v>0</v>
      </c>
      <c r="W88" s="297" t="s">
        <v>174</v>
      </c>
      <c r="Y88" s="873">
        <v>0</v>
      </c>
      <c r="AA88" s="1617" t="s">
        <v>175</v>
      </c>
      <c r="AB88" s="88" t="str">
        <f>"1."&amp;Y88</f>
        <v>1.0</v>
      </c>
      <c r="AC88" s="1243"/>
      <c r="AD88" s="90" t="s">
        <v>1514</v>
      </c>
      <c r="AE88" s="90"/>
      <c r="AF88" s="90"/>
      <c r="AG88" s="90"/>
      <c r="AH88" s="90"/>
      <c r="AI88" s="1241">
        <f>AI89*AI90*12/1000</f>
        <v>0</v>
      </c>
      <c r="AJ88" s="1241">
        <f>AJ89*AJ90*12/1000</f>
        <v>0</v>
      </c>
      <c r="AK88" s="4794"/>
      <c r="AN88" s="1030" t="s">
        <v>1869</v>
      </c>
      <c r="AO88" s="1030" t="s">
        <v>1870</v>
      </c>
      <c r="AP88" s="1030" cm="1" t="str">
        <f t="array" ref="AP88:AP88">AC88</f>
        <v>0</v>
      </c>
      <c r="AQ88" s="267"/>
      <c r="AR88" s="267" t="b">
        <v>1</v>
      </c>
    </row>
    <row s="1448" customFormat="1" customHeight="1" ht="14.25" hidden="1">
      <c r="E89" s="868">
        <v>15</v>
      </c>
      <c r="F89" s="50" cm="1" t="str">
        <f t="array" ref="F89:F89">OFFSET(E89,-1,1)</f>
        <v>2</v>
      </c>
      <c r="G89" s="520" t="s">
        <v>1871</v>
      </c>
      <c r="H89" s="520" t="str">
        <f>H88&amp;"_1"</f>
        <v>l1_1</v>
      </c>
      <c r="I89" s="520" cm="1" t="str">
        <f t="array" ref="I89:I89">I88</f>
        <v>0</v>
      </c>
      <c r="T89" s="465" cm="1" t="str">
        <f t="array" ref="T89:T89">T88</f>
        <v>false</v>
      </c>
      <c r="AA89" s="1617"/>
      <c r="AB89" s="690" t="str">
        <f>AB88&amp;".1"</f>
        <v>1.0.1</v>
      </c>
      <c r="AC89" s="221" t="s">
        <v>1872</v>
      </c>
      <c r="AD89" s="90" t="s">
        <v>1873</v>
      </c>
      <c r="AE89" s="90"/>
      <c r="AF89" s="90"/>
      <c r="AG89" s="90"/>
      <c r="AH89" s="90"/>
      <c r="AI89" s="1244"/>
      <c r="AJ89" s="1244"/>
      <c r="AK89" s="4794"/>
      <c r="AN89" s="1030" t="s">
        <v>1874</v>
      </c>
      <c r="AO89" s="1030" t="s">
        <v>1870</v>
      </c>
      <c r="AP89" s="1030" cm="1" t="str">
        <f t="array" ref="AP89:AP89">AP88</f>
        <v>0</v>
      </c>
      <c r="AQ89" s="267"/>
      <c r="AR89" s="267"/>
    </row>
    <row s="1448" customFormat="1" customHeight="1" ht="14.25" hidden="1">
      <c r="E90" s="868">
        <v>15</v>
      </c>
      <c r="F90" s="50" cm="1" t="str">
        <f t="array" ref="F90:F90">OFFSET(E90,-1,1)</f>
        <v>2</v>
      </c>
      <c r="H90" s="520" t="str">
        <f>H88&amp;"_2"</f>
        <v>l1_2</v>
      </c>
      <c r="I90" s="520" cm="1" t="str">
        <f t="array" ref="I90:I90">I89</f>
        <v>0</v>
      </c>
      <c r="T90" s="465" cm="1" t="str">
        <f t="array" ref="T90:T90">T89</f>
        <v>false</v>
      </c>
      <c r="AA90" s="1617"/>
      <c r="AB90" s="690" t="str">
        <f>AB88&amp;".2"</f>
        <v>1.0.2</v>
      </c>
      <c r="AC90" s="221" t="s">
        <v>1875</v>
      </c>
      <c r="AD90" s="90" t="s">
        <v>1876</v>
      </c>
      <c r="AE90" s="90"/>
      <c r="AF90" s="90"/>
      <c r="AG90" s="90"/>
      <c r="AH90" s="90"/>
      <c r="AI90" s="1244"/>
      <c r="AJ90" s="1244"/>
      <c r="AK90" s="4794"/>
      <c r="AN90" s="1030" t="s">
        <v>1877</v>
      </c>
      <c r="AO90" s="1030" t="s">
        <v>1870</v>
      </c>
      <c r="AP90" s="1030" cm="1" t="str">
        <f t="array" ref="AP90:AP90">AP89</f>
        <v>0</v>
      </c>
      <c r="AQ90" s="267"/>
      <c r="AR90" s="267"/>
    </row>
    <row s="1448" customFormat="1" customHeight="1" ht="18">
      <c r="A91" s="1448"/>
      <c r="B91" s="1448"/>
      <c r="C91" s="1448"/>
      <c r="D91" s="1448"/>
      <c r="E91" s="868">
        <v>18.75</v>
      </c>
      <c r="F91" s="50" cm="1" t="str">
        <f t="array" ref="F91:F91">OFFSET(E91,-1,1)</f>
        <v>2</v>
      </c>
      <c r="G91" s="1448"/>
      <c r="H91" s="520" t="s">
        <v>332</v>
      </c>
      <c r="I91" s="520" cm="1" t="str">
        <f t="array" ref="I91:I91">AC91</f>
        <v>основной производственный персонал</v>
      </c>
      <c r="J91" s="1448"/>
      <c r="K91" s="1448"/>
      <c r="L91" s="1448"/>
      <c r="M91" s="1448"/>
      <c r="N91" s="1448"/>
      <c r="O91" s="1448"/>
      <c r="P91" s="1448"/>
      <c r="Q91" s="1448"/>
      <c r="R91" s="1448"/>
      <c r="S91" s="1448"/>
      <c r="T91" s="465">
        <f>AND(F91&gt;0,Y91&gt;0)</f>
        <v>1</v>
      </c>
      <c r="U91" s="1448"/>
      <c r="V91" s="1448"/>
      <c r="W91" s="297"/>
      <c r="X91" s="1448"/>
      <c r="Y91" s="873" t="s">
        <v>276</v>
      </c>
      <c r="Z91" s="1448"/>
      <c r="AA91" s="1617" t="s">
        <v>175</v>
      </c>
      <c r="AB91" s="88" t="str">
        <f>"1."&amp;Y91</f>
        <v>1.1</v>
      </c>
      <c r="AC91" s="4748" t="s">
        <v>1906</v>
      </c>
      <c r="AD91" s="90" t="s">
        <v>1514</v>
      </c>
      <c r="AE91" s="90"/>
      <c r="AF91" s="90"/>
      <c r="AG91" s="90"/>
      <c r="AH91" s="90"/>
      <c r="AI91" s="3946">
        <f>AI92*AI93*12/1000</f>
        <v>9092.31419412</v>
      </c>
      <c r="AJ91" s="3946">
        <f>AJ92*AJ93*12/1000</f>
        <v>9092.31419412</v>
      </c>
      <c r="AK91" s="4795"/>
      <c r="AL91" s="1448"/>
      <c r="AM91" s="1448"/>
      <c r="AN91" s="1030" t="s">
        <v>1869</v>
      </c>
      <c r="AO91" s="1030" t="s">
        <v>1870</v>
      </c>
      <c r="AP91" s="1030" cm="1" t="str">
        <f t="array" ref="AP91:AP91">AC91</f>
        <v>основной производственный персонал</v>
      </c>
      <c r="AQ91" s="267"/>
      <c r="AR91" s="267" t="b">
        <v>1</v>
      </c>
    </row>
    <row s="1448" customFormat="1" customHeight="1" ht="14.25">
      <c r="A92" s="1448"/>
      <c r="B92" s="1448"/>
      <c r="C92" s="1448"/>
      <c r="D92" s="1448"/>
      <c r="E92" s="868">
        <v>15</v>
      </c>
      <c r="F92" s="50" cm="1" t="str">
        <f t="array" ref="F92:F92">OFFSET(E92,-1,1)</f>
        <v>2</v>
      </c>
      <c r="G92" s="520" t="s">
        <v>1871</v>
      </c>
      <c r="H92" s="520" t="str">
        <f>H91&amp;"_1"</f>
        <v>l1_1</v>
      </c>
      <c r="I92" s="520" cm="1" t="str">
        <f t="array" ref="I92:I92">I91</f>
        <v>основной производственный персонал</v>
      </c>
      <c r="J92" s="1448"/>
      <c r="K92" s="1448"/>
      <c r="L92" s="1448"/>
      <c r="M92" s="1448"/>
      <c r="N92" s="1448"/>
      <c r="O92" s="1448"/>
      <c r="P92" s="1448"/>
      <c r="Q92" s="1448"/>
      <c r="R92" s="1448"/>
      <c r="S92" s="1448"/>
      <c r="T92" s="465" cm="1" t="str">
        <f t="array" ref="T92:T92">T91</f>
        <v>true</v>
      </c>
      <c r="U92" s="1448"/>
      <c r="V92" s="1448"/>
      <c r="W92" s="1448"/>
      <c r="X92" s="1448"/>
      <c r="Y92" s="1448"/>
      <c r="Z92" s="1448"/>
      <c r="AA92" s="1617"/>
      <c r="AB92" s="690" t="str">
        <f>AB91&amp;".1"</f>
        <v>1.1.1</v>
      </c>
      <c r="AC92" s="221" t="s">
        <v>1872</v>
      </c>
      <c r="AD92" s="90" t="s">
        <v>1873</v>
      </c>
      <c r="AE92" s="90"/>
      <c r="AF92" s="90"/>
      <c r="AG92" s="90"/>
      <c r="AH92" s="90"/>
      <c r="AI92" s="4750">
        <v>18</v>
      </c>
      <c r="AJ92" s="4750">
        <v>18</v>
      </c>
      <c r="AK92" s="4795"/>
      <c r="AL92" s="1448"/>
      <c r="AM92" s="1448"/>
      <c r="AN92" s="1030" t="s">
        <v>1874</v>
      </c>
      <c r="AO92" s="1030" t="s">
        <v>1870</v>
      </c>
      <c r="AP92" s="1030" cm="1" t="str">
        <f t="array" ref="AP92:AP92">AP91</f>
        <v>основной производственный персонал</v>
      </c>
      <c r="AQ92" s="267"/>
      <c r="AR92" s="267"/>
    </row>
    <row s="1448" customFormat="1" customHeight="1" ht="14.25">
      <c r="A93" s="1448"/>
      <c r="B93" s="1448"/>
      <c r="C93" s="1448"/>
      <c r="D93" s="1448"/>
      <c r="E93" s="868">
        <v>15</v>
      </c>
      <c r="F93" s="50" cm="1" t="str">
        <f t="array" ref="F93:F93">OFFSET(E93,-1,1)</f>
        <v>2</v>
      </c>
      <c r="G93" s="1448"/>
      <c r="H93" s="520" t="str">
        <f>H91&amp;"_2"</f>
        <v>l1_2</v>
      </c>
      <c r="I93" s="520" cm="1" t="str">
        <f t="array" ref="I93:I93">I92</f>
        <v>основной производственный персонал</v>
      </c>
      <c r="J93" s="1448"/>
      <c r="K93" s="1448"/>
      <c r="L93" s="1448"/>
      <c r="M93" s="1448"/>
      <c r="N93" s="1448"/>
      <c r="O93" s="1448"/>
      <c r="P93" s="1448"/>
      <c r="Q93" s="1448"/>
      <c r="R93" s="1448"/>
      <c r="S93" s="1448"/>
      <c r="T93" s="465" cm="1" t="str">
        <f t="array" ref="T93:T93">T92</f>
        <v>true</v>
      </c>
      <c r="U93" s="1448"/>
      <c r="V93" s="1448"/>
      <c r="W93" s="1448"/>
      <c r="X93" s="1448"/>
      <c r="Y93" s="1448"/>
      <c r="Z93" s="1448"/>
      <c r="AA93" s="1617"/>
      <c r="AB93" s="690" t="str">
        <f>AB91&amp;".2"</f>
        <v>1.1.2</v>
      </c>
      <c r="AC93" s="221" t="s">
        <v>1875</v>
      </c>
      <c r="AD93" s="90" t="s">
        <v>1876</v>
      </c>
      <c r="AE93" s="90"/>
      <c r="AF93" s="90"/>
      <c r="AG93" s="90"/>
      <c r="AH93" s="90"/>
      <c r="AI93" s="4750">
        <v>42094.047195</v>
      </c>
      <c r="AJ93" s="4750">
        <v>42094.047195</v>
      </c>
      <c r="AK93" s="4795"/>
      <c r="AL93" s="1448"/>
      <c r="AM93" s="1448"/>
      <c r="AN93" s="1030" t="s">
        <v>1877</v>
      </c>
      <c r="AO93" s="1030" t="s">
        <v>1870</v>
      </c>
      <c r="AP93" s="1030" cm="1" t="str">
        <f t="array" ref="AP93:AP93">AP92</f>
        <v>основной производственный персонал</v>
      </c>
      <c r="AQ93" s="267"/>
      <c r="AR93" s="267"/>
    </row>
    <row s="1448" customFormat="1" customHeight="1" ht="18">
      <c r="A94" s="1448"/>
      <c r="B94" s="1448"/>
      <c r="C94" s="1448"/>
      <c r="D94" s="1448"/>
      <c r="E94" s="868">
        <v>18.75</v>
      </c>
      <c r="F94" s="50" cm="1" t="str">
        <f t="array" ref="F94:F94">OFFSET(E94,-1,1)</f>
        <v>2</v>
      </c>
      <c r="G94" s="1448"/>
      <c r="H94" s="520" t="s">
        <v>332</v>
      </c>
      <c r="I94" s="520" cm="1" t="str">
        <f t="array" ref="I94:I94">AC94</f>
        <v>цеховый персонал</v>
      </c>
      <c r="J94" s="1448"/>
      <c r="K94" s="1448"/>
      <c r="L94" s="1448"/>
      <c r="M94" s="1448"/>
      <c r="N94" s="1448"/>
      <c r="O94" s="1448"/>
      <c r="P94" s="1448"/>
      <c r="Q94" s="1448"/>
      <c r="R94" s="1448"/>
      <c r="S94" s="1448"/>
      <c r="T94" s="465">
        <f>AND(F94&gt;0,Y94&gt;0)</f>
        <v>1</v>
      </c>
      <c r="U94" s="1448"/>
      <c r="V94" s="1448"/>
      <c r="W94" s="297"/>
      <c r="X94" s="1448"/>
      <c r="Y94" s="873" t="s">
        <v>285</v>
      </c>
      <c r="Z94" s="1448"/>
      <c r="AA94" s="1617" t="s">
        <v>175</v>
      </c>
      <c r="AB94" s="88" t="str">
        <f>"1."&amp;Y94</f>
        <v>1.2</v>
      </c>
      <c r="AC94" s="4748" t="s">
        <v>1907</v>
      </c>
      <c r="AD94" s="90" t="s">
        <v>1514</v>
      </c>
      <c r="AE94" s="90"/>
      <c r="AF94" s="90"/>
      <c r="AG94" s="90"/>
      <c r="AH94" s="90"/>
      <c r="AI94" s="3946">
        <f>AI95*AI96*12/1000</f>
        <v>1984.8493786176</v>
      </c>
      <c r="AJ94" s="3946">
        <f>AJ95*AJ96*12/1000</f>
        <v>1984.8493786176</v>
      </c>
      <c r="AK94" s="4795"/>
      <c r="AL94" s="1448"/>
      <c r="AM94" s="1448"/>
      <c r="AN94" s="1030" t="s">
        <v>1869</v>
      </c>
      <c r="AO94" s="1030" t="s">
        <v>1870</v>
      </c>
      <c r="AP94" s="1030" cm="1" t="str">
        <f t="array" ref="AP94:AP94">AC94</f>
        <v>цеховый персонал</v>
      </c>
      <c r="AQ94" s="267"/>
      <c r="AR94" s="267" t="b">
        <v>1</v>
      </c>
    </row>
    <row s="1448" customFormat="1" customHeight="1" ht="14.25">
      <c r="A95" s="1448"/>
      <c r="B95" s="1448"/>
      <c r="C95" s="1448"/>
      <c r="D95" s="1448"/>
      <c r="E95" s="868">
        <v>15</v>
      </c>
      <c r="F95" s="50" cm="1" t="str">
        <f t="array" ref="F95:F95">OFFSET(E95,-1,1)</f>
        <v>2</v>
      </c>
      <c r="G95" s="520" t="s">
        <v>1871</v>
      </c>
      <c r="H95" s="520" t="str">
        <f>H94&amp;"_1"</f>
        <v>l1_1</v>
      </c>
      <c r="I95" s="520" cm="1" t="str">
        <f t="array" ref="I95:I95">I94</f>
        <v>цеховый персонал</v>
      </c>
      <c r="J95" s="1448"/>
      <c r="K95" s="1448"/>
      <c r="L95" s="1448"/>
      <c r="M95" s="1448"/>
      <c r="N95" s="1448"/>
      <c r="O95" s="1448"/>
      <c r="P95" s="1448"/>
      <c r="Q95" s="1448"/>
      <c r="R95" s="1448"/>
      <c r="S95" s="1448"/>
      <c r="T95" s="465" cm="1" t="str">
        <f t="array" ref="T95:T95">T94</f>
        <v>true</v>
      </c>
      <c r="U95" s="1448"/>
      <c r="V95" s="1448"/>
      <c r="W95" s="1448"/>
      <c r="X95" s="1448"/>
      <c r="Y95" s="1448"/>
      <c r="Z95" s="1448"/>
      <c r="AA95" s="1617"/>
      <c r="AB95" s="690" t="str">
        <f>AB94&amp;".1"</f>
        <v>1.2.1</v>
      </c>
      <c r="AC95" s="221" t="s">
        <v>1872</v>
      </c>
      <c r="AD95" s="90" t="s">
        <v>1873</v>
      </c>
      <c r="AE95" s="90"/>
      <c r="AF95" s="90"/>
      <c r="AG95" s="90"/>
      <c r="AH95" s="90"/>
      <c r="AI95" s="4750">
        <v>3.6</v>
      </c>
      <c r="AJ95" s="4750">
        <v>3.6</v>
      </c>
      <c r="AK95" s="4795"/>
      <c r="AL95" s="1448"/>
      <c r="AM95" s="1448"/>
      <c r="AN95" s="1030" t="s">
        <v>1874</v>
      </c>
      <c r="AO95" s="1030" t="s">
        <v>1870</v>
      </c>
      <c r="AP95" s="1030" cm="1" t="str">
        <f t="array" ref="AP95:AP95">AP94</f>
        <v>цеховый персонал</v>
      </c>
      <c r="AQ95" s="267"/>
      <c r="AR95" s="267"/>
    </row>
    <row s="1448" customFormat="1" customHeight="1" ht="14.25">
      <c r="A96" s="1448"/>
      <c r="B96" s="1448"/>
      <c r="C96" s="1448"/>
      <c r="D96" s="1448"/>
      <c r="E96" s="868">
        <v>15</v>
      </c>
      <c r="F96" s="50" cm="1" t="str">
        <f t="array" ref="F96:F96">OFFSET(E96,-1,1)</f>
        <v>2</v>
      </c>
      <c r="G96" s="1448"/>
      <c r="H96" s="520" t="str">
        <f>H94&amp;"_2"</f>
        <v>l1_2</v>
      </c>
      <c r="I96" s="520" cm="1" t="str">
        <f t="array" ref="I96:I96">I95</f>
        <v>цеховый персонал</v>
      </c>
      <c r="J96" s="1448"/>
      <c r="K96" s="1448"/>
      <c r="L96" s="1448"/>
      <c r="M96" s="1448"/>
      <c r="N96" s="1448"/>
      <c r="O96" s="1448"/>
      <c r="P96" s="1448"/>
      <c r="Q96" s="1448"/>
      <c r="R96" s="1448"/>
      <c r="S96" s="1448"/>
      <c r="T96" s="465" cm="1" t="str">
        <f t="array" ref="T96:T96">T95</f>
        <v>true</v>
      </c>
      <c r="U96" s="1448"/>
      <c r="V96" s="1448"/>
      <c r="W96" s="1448"/>
      <c r="X96" s="1448"/>
      <c r="Y96" s="1448"/>
      <c r="Z96" s="1448"/>
      <c r="AA96" s="1617"/>
      <c r="AB96" s="690" t="str">
        <f>AB94&amp;".2"</f>
        <v>1.2.2</v>
      </c>
      <c r="AC96" s="221" t="s">
        <v>1875</v>
      </c>
      <c r="AD96" s="90" t="s">
        <v>1876</v>
      </c>
      <c r="AE96" s="90"/>
      <c r="AF96" s="90"/>
      <c r="AG96" s="90"/>
      <c r="AH96" s="90"/>
      <c r="AI96" s="4750">
        <v>45945.587468</v>
      </c>
      <c r="AJ96" s="4750">
        <v>45945.587468</v>
      </c>
      <c r="AK96" s="4795"/>
      <c r="AL96" s="1448"/>
      <c r="AM96" s="1448"/>
      <c r="AN96" s="1030" t="s">
        <v>1877</v>
      </c>
      <c r="AO96" s="1030" t="s">
        <v>1870</v>
      </c>
      <c r="AP96" s="1030" cm="1" t="str">
        <f t="array" ref="AP96:AP96">AP95</f>
        <v>цеховый персонал</v>
      </c>
      <c r="AQ96" s="267"/>
      <c r="AR96" s="267"/>
    </row>
    <row s="1448" customFormat="1" customHeight="1" ht="14.25">
      <c r="A97" s="1812"/>
      <c r="B97" s="429"/>
      <c r="C97" s="867"/>
      <c r="D97" s="867"/>
      <c r="E97" s="868">
        <v>15</v>
      </c>
      <c r="F97" s="50" cm="1" t="str">
        <f t="array" ref="F97:F97">OFFSET(E97,-1,1)</f>
        <v>2</v>
      </c>
      <c r="G97" s="374"/>
      <c r="H97" s="839"/>
      <c r="I97" s="152" t="str">
        <f>"!=='не определено' &amp;&amp; row.l1 !== null"</f>
        <v>!=='не определено' &amp;&amp; row.l1 !== null</v>
      </c>
      <c r="J97" s="867"/>
      <c r="K97" s="483"/>
      <c r="L97" s="483"/>
      <c r="M97" s="867"/>
      <c r="N97" s="867"/>
      <c r="O97" s="867"/>
      <c r="P97" s="867"/>
      <c r="Q97" s="867"/>
      <c r="R97" s="867"/>
      <c r="S97" s="867"/>
      <c r="T97" s="465">
        <f>F97&gt;0</f>
        <v>1</v>
      </c>
      <c r="U97" s="867"/>
      <c r="V97" s="867"/>
      <c r="W97" s="757" t="s">
        <v>399</v>
      </c>
      <c r="X97" s="1619"/>
      <c r="Y97" s="873"/>
      <c r="Z97" s="1620"/>
      <c r="AA97" s="867"/>
      <c r="AB97" s="874"/>
      <c r="AC97" s="260" t="s">
        <v>178</v>
      </c>
      <c r="AD97" s="776"/>
      <c r="AE97" s="776"/>
      <c r="AF97" s="776"/>
      <c r="AG97" s="776"/>
      <c r="AH97" s="776"/>
      <c r="AI97" s="776"/>
      <c r="AJ97" s="776"/>
      <c r="AK97" s="777"/>
      <c r="AL97" s="1812"/>
      <c r="AM97" s="1812"/>
      <c r="AN97" s="1030"/>
      <c r="AO97" s="1030"/>
      <c r="AP97" s="1030"/>
      <c r="AQ97" s="267" t="s">
        <v>1870</v>
      </c>
      <c r="AR97" s="267"/>
    </row>
    <row s="1448" customFormat="1" customHeight="1" ht="33.75">
      <c r="A98" s="1812"/>
      <c r="B98" s="429"/>
      <c r="C98" s="867"/>
      <c r="D98" s="867"/>
      <c r="E98" s="868">
        <v>22.5</v>
      </c>
      <c r="F98" s="50" cm="1" t="str">
        <f t="array" ref="F98:F98">OFFSET(E98,-1,1)</f>
        <v>2</v>
      </c>
      <c r="G98" s="374" t="s">
        <v>1878</v>
      </c>
      <c r="H98" s="839" t="s">
        <v>333</v>
      </c>
      <c r="I98" s="839"/>
      <c r="J98" s="867"/>
      <c r="K98" s="483" t="str">
        <f>F98&amp;"2komm"</f>
        <v>22komm</v>
      </c>
      <c r="L98" s="917" cm="1" t="str">
        <f t="array" ref="L98:L98">AK98</f>
        <v>на основании Налогового кодекса РФ (часть вторая) от 05.08.2000 № 117-ФЗ в размере 30%, а также в соответствии с Федеральным законом от 24.07.1998 № 125 – ФЗ (0,20%).</v>
      </c>
      <c r="M98" s="867"/>
      <c r="N98" s="867"/>
      <c r="O98" s="867"/>
      <c r="P98" s="867"/>
      <c r="Q98" s="867"/>
      <c r="R98" s="867"/>
      <c r="S98" s="867"/>
      <c r="T98" s="465" cm="1" t="str">
        <f t="array" ref="T98:T98">T97</f>
        <v>true</v>
      </c>
      <c r="U98" s="867"/>
      <c r="V98" s="867"/>
      <c r="W98" s="867"/>
      <c r="X98" s="1619"/>
      <c r="Y98" s="873"/>
      <c r="Z98" s="1620"/>
      <c r="AA98" s="867"/>
      <c r="AB98" s="690" t="s">
        <v>285</v>
      </c>
      <c r="AC98" s="847" t="s">
        <v>1879</v>
      </c>
      <c r="AD98" s="766" t="s">
        <v>1514</v>
      </c>
      <c r="AE98" s="298">
        <f>AE87*_xlfn.SUMIFS(INDEX(Сценарии!$AE$25:$BF$163,,MATCH(AE$13,Сценарии!$AE$8:$BF$8,0)),Сценарии!$F$25:$F$163,$F98,Сценарии!$G$25:$G$163,"СВФОТ")/100</f>
        <v>0</v>
      </c>
      <c r="AF98" s="298">
        <f>AF87*_xlfn.SUMIFS(INDEX(Сценарии!$AE$25:$BF$163,,MATCH(AF$13,Сценарии!$AE$8:$BF$8,0)),Сценарии!$F$25:$F$163,$F98,Сценарии!$G$25:$G$163,"СВФОТ")/100</f>
        <v>0</v>
      </c>
      <c r="AG98" s="298">
        <f>AG87*_xlfn.SUMIFS(INDEX(Сценарии!$AE$25:$BF$163,,MATCH(AG$13,Сценарии!$AE$8:$BF$8,0)),Сценарии!$F$25:$F$163,$F98,Сценарии!$G$25:$G$163,"СВФОТ")/100</f>
        <v>0</v>
      </c>
      <c r="AH98" s="298">
        <f>AH87*_xlfn.SUMIFS(INDEX(Сценарии!$AE$25:$BF$163,,MATCH(AH$13,Сценарии!$AE$8:$BF$8,0)),Сценарии!$F$25:$F$163,$F98,Сценарии!$G$25:$G$163,"СВФОТ")/100</f>
        <v>0</v>
      </c>
      <c r="AI98" s="298">
        <f>AI87*_xlfn.SUMIFS(INDEX(Сценарии!$AE$25:$BF$163,,MATCH(AI$13,Сценарии!$AE$8:$BF$8,0)),Сценарии!$F$25:$F$163,$F98,Сценарии!$G$25:$G$163,"СВФОТ")/100</f>
        <v>3345.30339896675</v>
      </c>
      <c r="AJ98" s="298">
        <f>AJ87*_xlfn.SUMIFS(INDEX(Сценарии!$AE$25:$BF$163,,MATCH(AJ$13,Сценарии!$AE$8:$BF$8,0)),Сценарии!$F$25:$F$163,$F98,Сценарии!$G$25:$G$163,"СВФОТ")/100</f>
        <v>3345.30339896675</v>
      </c>
      <c r="AK98" s="846" t="s">
        <v>1232</v>
      </c>
      <c r="AL98" s="1812"/>
      <c r="AM98" s="1812"/>
      <c r="AN98" s="1030" t="s">
        <v>1880</v>
      </c>
      <c r="AO98" s="1030"/>
      <c r="AP98" s="1030"/>
      <c r="AQ98" s="267"/>
      <c r="AR98" s="267"/>
    </row>
    <row s="1448" customFormat="1" customHeight="1" ht="0">
      <c r="A99" s="1812"/>
      <c r="B99" s="429"/>
      <c r="C99" s="867"/>
      <c r="D99" s="867"/>
      <c r="E99" s="868">
        <v>15</v>
      </c>
      <c r="F99" s="50" cm="1" t="str">
        <f t="array" ref="F99:F99">OFFSET(E99,-1,1)</f>
        <v>2</v>
      </c>
      <c r="G99" s="374" t="s">
        <v>1881</v>
      </c>
      <c r="H99" s="839" t="s">
        <v>334</v>
      </c>
      <c r="I99" s="839"/>
      <c r="J99" s="867"/>
      <c r="K99" s="483" t="str">
        <f>F99&amp;"3komm"</f>
        <v>23komm</v>
      </c>
      <c r="L99" s="917" cm="1" t="str">
        <f t="array" ref="L99:L99">AK99</f>
        <v>0</v>
      </c>
      <c r="M99" s="867"/>
      <c r="N99" s="867"/>
      <c r="O99" s="867"/>
      <c r="P99" s="867"/>
      <c r="Q99" s="867"/>
      <c r="R99" s="867"/>
      <c r="S99" s="867"/>
      <c r="T99" s="465" cm="1" t="str">
        <f t="array" ref="T99:T99">T98</f>
        <v>true</v>
      </c>
      <c r="U99" s="867"/>
      <c r="V99" s="867"/>
      <c r="W99" s="867"/>
      <c r="X99" s="1619"/>
      <c r="Y99" s="873"/>
      <c r="Z99" s="1620"/>
      <c r="AA99" s="867"/>
      <c r="AB99" s="690" t="s">
        <v>289</v>
      </c>
      <c r="AC99" s="847" t="s">
        <v>1882</v>
      </c>
      <c r="AD99" s="766" t="s">
        <v>1514</v>
      </c>
      <c r="AE99" s="298"/>
      <c r="AF99" s="298"/>
      <c r="AG99" s="298"/>
      <c r="AH99" s="298"/>
      <c r="AI99" s="213">
        <f>_xlfn.SUMIFS(AI100:AI103,$AD100:$AD103,$AD99)</f>
        <v>0</v>
      </c>
      <c r="AJ99" s="213">
        <f>_xlfn.SUMIFS(AJ100:AJ103,$AD100:$AD103,$AD99)</f>
        <v>0</v>
      </c>
      <c r="AK99" s="846"/>
      <c r="AL99" s="1812"/>
      <c r="AM99" s="1812"/>
      <c r="AN99" s="1030" t="s">
        <v>1883</v>
      </c>
      <c r="AO99" s="1030"/>
      <c r="AP99" s="1030"/>
      <c r="AQ99" s="267"/>
      <c r="AR99" s="267"/>
    </row>
    <row s="1448" customFormat="1" customHeight="1" ht="0" hidden="1">
      <c r="A100" s="1812"/>
      <c r="B100" s="429"/>
      <c r="C100" s="867"/>
      <c r="D100" s="867"/>
      <c r="E100" s="868">
        <v>18.75</v>
      </c>
      <c r="F100" s="50" cm="1" t="str">
        <f t="array" ref="F100:F100">OFFSET(E100,-1,1)</f>
        <v>2</v>
      </c>
      <c r="G100" s="839"/>
      <c r="H100" s="839" t="s">
        <v>334</v>
      </c>
      <c r="I100" s="839" cm="1" t="str">
        <f t="array" ref="I100:I100">AC100</f>
        <v>0</v>
      </c>
      <c r="J100" s="867"/>
      <c r="K100" s="483"/>
      <c r="L100" s="483"/>
      <c r="M100" s="867"/>
      <c r="N100" s="867"/>
      <c r="O100" s="867"/>
      <c r="P100" s="867"/>
      <c r="Q100" s="867"/>
      <c r="R100" s="867"/>
      <c r="S100" s="867"/>
      <c r="T100" s="465">
        <f>AND(F100&gt;0,Y100&gt;0)</f>
        <v>0</v>
      </c>
      <c r="U100" s="867"/>
      <c r="V100" s="867"/>
      <c r="W100" s="867" t="s">
        <v>174</v>
      </c>
      <c r="X100" s="1619"/>
      <c r="Y100" s="1619">
        <v>0</v>
      </c>
      <c r="Z100" s="1620"/>
      <c r="AA100" s="1617" t="s">
        <v>175</v>
      </c>
      <c r="AB100" s="300" t="str">
        <f>"3."&amp;Y100</f>
        <v>3.0</v>
      </c>
      <c r="AC100" s="4727"/>
      <c r="AD100" s="766" t="s">
        <v>1514</v>
      </c>
      <c r="AE100" s="4728"/>
      <c r="AF100" s="4728"/>
      <c r="AG100" s="4728"/>
      <c r="AH100" s="4728"/>
      <c r="AI100" s="3557">
        <f>AI101*AI102*12/1000</f>
        <v>0</v>
      </c>
      <c r="AJ100" s="3557">
        <f>AJ101*AJ102*12/1000</f>
        <v>0</v>
      </c>
      <c r="AK100" s="1947"/>
      <c r="AL100" s="1812"/>
      <c r="AM100" s="1812"/>
      <c r="AN100" s="1030" t="s">
        <v>1869</v>
      </c>
      <c r="AO100" s="1030" t="s">
        <v>1884</v>
      </c>
      <c r="AP100" s="1030" cm="1" t="str">
        <f t="array" ref="AP100:AP100">AC100</f>
        <v>0</v>
      </c>
      <c r="AQ100" s="267"/>
      <c r="AR100" s="267" t="b">
        <v>1</v>
      </c>
    </row>
    <row s="1448" customFormat="1" customHeight="1" ht="0" hidden="1">
      <c r="A101" s="1812"/>
      <c r="B101" s="429"/>
      <c r="C101" s="867"/>
      <c r="D101" s="867"/>
      <c r="E101" s="868">
        <v>15</v>
      </c>
      <c r="F101" s="50" cm="1" t="str">
        <f t="array" ref="F101:F101">OFFSET(E101,-1,1)</f>
        <v>2</v>
      </c>
      <c r="G101" s="872" t="s">
        <v>1885</v>
      </c>
      <c r="H101" s="839" t="str">
        <f>H100&amp;"_1"</f>
        <v>l3_1</v>
      </c>
      <c r="I101" s="839" cm="1" t="str">
        <f t="array" ref="I101:I101">I100</f>
        <v>0</v>
      </c>
      <c r="J101" s="867"/>
      <c r="K101" s="483"/>
      <c r="L101" s="483"/>
      <c r="M101" s="867"/>
      <c r="N101" s="867"/>
      <c r="O101" s="867"/>
      <c r="P101" s="867"/>
      <c r="Q101" s="867"/>
      <c r="R101" s="867"/>
      <c r="S101" s="867"/>
      <c r="T101" s="465" cm="1" t="str">
        <f t="array" ref="T101:T101">T100</f>
        <v>false</v>
      </c>
      <c r="U101" s="867"/>
      <c r="V101" s="867"/>
      <c r="W101" s="867"/>
      <c r="X101" s="1619"/>
      <c r="Y101" s="1619"/>
      <c r="Z101" s="1620"/>
      <c r="AA101" s="1617"/>
      <c r="AB101" s="690" t="str">
        <f>AB100&amp;".1"</f>
        <v>3.0.1</v>
      </c>
      <c r="AC101" s="765" t="s">
        <v>1872</v>
      </c>
      <c r="AD101" s="766" t="s">
        <v>1873</v>
      </c>
      <c r="AE101" s="4728"/>
      <c r="AF101" s="4728"/>
      <c r="AG101" s="4728"/>
      <c r="AH101" s="4728"/>
      <c r="AI101" s="4725"/>
      <c r="AJ101" s="4725"/>
      <c r="AK101" s="1947"/>
      <c r="AL101" s="1812"/>
      <c r="AM101" s="1812"/>
      <c r="AN101" s="1030" t="s">
        <v>1874</v>
      </c>
      <c r="AO101" s="1030" t="s">
        <v>1884</v>
      </c>
      <c r="AP101" s="1030" cm="1" t="str">
        <f t="array" ref="AP101:AP101">AP100</f>
        <v>0</v>
      </c>
      <c r="AQ101" s="267"/>
      <c r="AR101" s="267"/>
    </row>
    <row s="1448" customFormat="1" customHeight="1" ht="0" hidden="1">
      <c r="A102" s="1812"/>
      <c r="B102" s="429"/>
      <c r="C102" s="867"/>
      <c r="D102" s="867"/>
      <c r="E102" s="868">
        <v>15</v>
      </c>
      <c r="F102" s="50" cm="1" t="str">
        <f t="array" ref="F102:F102">OFFSET(E102,-1,1)</f>
        <v>2</v>
      </c>
      <c r="G102" s="839"/>
      <c r="H102" s="839" t="str">
        <f>H100&amp;"_2"</f>
        <v>l3_2</v>
      </c>
      <c r="I102" s="839" cm="1" t="str">
        <f t="array" ref="I102:I102">I101</f>
        <v>0</v>
      </c>
      <c r="J102" s="867"/>
      <c r="K102" s="483"/>
      <c r="L102" s="483"/>
      <c r="M102" s="867"/>
      <c r="N102" s="867"/>
      <c r="O102" s="867"/>
      <c r="P102" s="867"/>
      <c r="Q102" s="867"/>
      <c r="R102" s="867"/>
      <c r="S102" s="867"/>
      <c r="T102" s="465" cm="1" t="str">
        <f t="array" ref="T102:T102">T101</f>
        <v>false</v>
      </c>
      <c r="U102" s="867"/>
      <c r="V102" s="867"/>
      <c r="W102" s="867"/>
      <c r="X102" s="1619"/>
      <c r="Y102" s="1619"/>
      <c r="Z102" s="1620"/>
      <c r="AA102" s="1617"/>
      <c r="AB102" s="690" t="str">
        <f>AB100&amp;".2"</f>
        <v>3.0.2</v>
      </c>
      <c r="AC102" s="765" t="s">
        <v>1875</v>
      </c>
      <c r="AD102" s="766" t="s">
        <v>1876</v>
      </c>
      <c r="AE102" s="4728"/>
      <c r="AF102" s="4728"/>
      <c r="AG102" s="4728"/>
      <c r="AH102" s="4728"/>
      <c r="AI102" s="4725"/>
      <c r="AJ102" s="4725"/>
      <c r="AK102" s="1947"/>
      <c r="AL102" s="1812"/>
      <c r="AM102" s="1812"/>
      <c r="AN102" s="1030" t="s">
        <v>1877</v>
      </c>
      <c r="AO102" s="1030" t="s">
        <v>1884</v>
      </c>
      <c r="AP102" s="1030" cm="1" t="str">
        <f t="array" ref="AP102:AP102">AP101</f>
        <v>0</v>
      </c>
      <c r="AQ102" s="267"/>
      <c r="AR102" s="267"/>
    </row>
    <row s="1448" customFormat="1" customHeight="1" ht="0">
      <c r="A103" s="1812"/>
      <c r="B103" s="429"/>
      <c r="C103" s="867"/>
      <c r="D103" s="867"/>
      <c r="E103" s="868">
        <v>15</v>
      </c>
      <c r="F103" s="50" cm="1" t="str">
        <f t="array" ref="F103:F103">OFFSET(E103,-1,1)</f>
        <v>2</v>
      </c>
      <c r="G103" s="374"/>
      <c r="H103" s="839"/>
      <c r="I103" s="152" t="str">
        <f>"!=='не определено' &amp;&amp; row.l3 !== null"</f>
        <v>!=='не определено' &amp;&amp; row.l3 !== null</v>
      </c>
      <c r="J103" s="867"/>
      <c r="K103" s="483"/>
      <c r="L103" s="483"/>
      <c r="M103" s="867"/>
      <c r="N103" s="867"/>
      <c r="O103" s="867"/>
      <c r="P103" s="867"/>
      <c r="Q103" s="867"/>
      <c r="R103" s="867"/>
      <c r="S103" s="867"/>
      <c r="T103" s="465">
        <f>F103&gt;0</f>
        <v>1</v>
      </c>
      <c r="U103" s="867"/>
      <c r="V103" s="867"/>
      <c r="W103" s="757" t="s">
        <v>1613</v>
      </c>
      <c r="X103" s="1619"/>
      <c r="Y103" s="873"/>
      <c r="Z103" s="1620"/>
      <c r="AA103" s="867"/>
      <c r="AB103" s="874"/>
      <c r="AC103" s="260" t="s">
        <v>178</v>
      </c>
      <c r="AD103" s="776"/>
      <c r="AE103" s="776"/>
      <c r="AF103" s="776"/>
      <c r="AG103" s="776"/>
      <c r="AH103" s="776"/>
      <c r="AI103" s="776"/>
      <c r="AJ103" s="776"/>
      <c r="AK103" s="777"/>
      <c r="AL103" s="1812"/>
      <c r="AM103" s="1812"/>
      <c r="AN103" s="1030"/>
      <c r="AO103" s="1030"/>
      <c r="AP103" s="1030"/>
      <c r="AQ103" s="267" t="s">
        <v>1884</v>
      </c>
      <c r="AR103" s="267"/>
    </row>
    <row s="1448" customFormat="1" customHeight="1" ht="0">
      <c r="A104" s="1812"/>
      <c r="B104" s="429"/>
      <c r="C104" s="867"/>
      <c r="D104" s="867"/>
      <c r="E104" s="868">
        <v>22.5</v>
      </c>
      <c r="F104" s="50" cm="1" t="str">
        <f t="array" ref="F104:F104">OFFSET(E104,-1,1)</f>
        <v>2</v>
      </c>
      <c r="G104" s="374" t="s">
        <v>1886</v>
      </c>
      <c r="H104" s="839" t="s">
        <v>336</v>
      </c>
      <c r="I104" s="839"/>
      <c r="J104" s="867"/>
      <c r="K104" s="483" t="str">
        <f>F104&amp;"4komm"</f>
        <v>24komm</v>
      </c>
      <c r="L104" s="917" cm="1" t="str">
        <f t="array" ref="L104:L104">AK104</f>
        <v>0</v>
      </c>
      <c r="M104" s="867"/>
      <c r="N104" s="867"/>
      <c r="O104" s="867"/>
      <c r="P104" s="867"/>
      <c r="Q104" s="867"/>
      <c r="R104" s="867"/>
      <c r="S104" s="867"/>
      <c r="T104" s="465" cm="1" t="str">
        <f t="array" ref="T104:T104">T103</f>
        <v>true</v>
      </c>
      <c r="U104" s="867"/>
      <c r="V104" s="867"/>
      <c r="W104" s="867"/>
      <c r="X104" s="1619"/>
      <c r="Y104" s="873"/>
      <c r="Z104" s="1620"/>
      <c r="AA104" s="867"/>
      <c r="AB104" s="690" t="s">
        <v>295</v>
      </c>
      <c r="AC104" s="847" t="s">
        <v>1887</v>
      </c>
      <c r="AD104" s="766" t="s">
        <v>1514</v>
      </c>
      <c r="AE104" s="298">
        <f>AE99*_xlfn.SUMIFS(INDEX(Сценарии!$AE$25:$BF$163,,MATCH(AE$13,Сценарии!$AE$8:$BF$8,0)),Сценарии!$F$25:$F$163,$F104,Сценарии!$G$25:$G$163,"СВФОТ")/100</f>
        <v>0</v>
      </c>
      <c r="AF104" s="298">
        <f>AF99*_xlfn.SUMIFS(INDEX(Сценарии!$AE$25:$BF$163,,MATCH(AF$13,Сценарии!$AE$8:$BF$8,0)),Сценарии!$F$25:$F$163,$F104,Сценарии!$G$25:$G$163,"СВФОТ")/100</f>
        <v>0</v>
      </c>
      <c r="AG104" s="298">
        <f>AG99*_xlfn.SUMIFS(INDEX(Сценарии!$AE$25:$BF$163,,MATCH(AG$13,Сценарии!$AE$8:$BF$8,0)),Сценарии!$F$25:$F$163,$F104,Сценарии!$G$25:$G$163,"СВФОТ")/100</f>
        <v>0</v>
      </c>
      <c r="AH104" s="298">
        <f>AH99*_xlfn.SUMIFS(INDEX(Сценарии!$AE$25:$BF$163,,MATCH(AH$13,Сценарии!$AE$8:$BF$8,0)),Сценарии!$F$25:$F$163,$F104,Сценарии!$G$25:$G$163,"СВФОТ")/100</f>
        <v>0</v>
      </c>
      <c r="AI104" s="298">
        <f>AI99*_xlfn.SUMIFS(INDEX(Сценарии!$AE$25:$BF$163,,MATCH(AI$13,Сценарии!$AE$8:$BF$8,0)),Сценарии!$F$25:$F$163,$F104,Сценарии!$G$25:$G$163,"СВФОТ")/100</f>
        <v>0</v>
      </c>
      <c r="AJ104" s="298">
        <f>AJ99*_xlfn.SUMIFS(INDEX(Сценарии!$AE$25:$BF$163,,MATCH(AJ$13,Сценарии!$AE$8:$BF$8,0)),Сценарии!$F$25:$F$163,$F104,Сценарии!$G$25:$G$163,"СВФОТ")/100</f>
        <v>0</v>
      </c>
      <c r="AK104" s="846"/>
      <c r="AL104" s="1812"/>
      <c r="AM104" s="1812"/>
      <c r="AN104" s="1030" t="s">
        <v>1888</v>
      </c>
      <c r="AO104" s="1030"/>
      <c r="AP104" s="1030"/>
      <c r="AQ104" s="267"/>
      <c r="AR104" s="267"/>
    </row>
    <row s="1448" customFormat="1" customHeight="1" ht="21.75">
      <c r="A105" s="1812"/>
      <c r="B105" s="429"/>
      <c r="C105" s="867"/>
      <c r="D105" s="867"/>
      <c r="E105" s="868">
        <v>22.5</v>
      </c>
      <c r="F105" s="50" cm="1" t="str">
        <f t="array" ref="F105:F105">OFFSET(E105,-1,1)</f>
        <v>2</v>
      </c>
      <c r="G105" s="374" t="s">
        <v>1889</v>
      </c>
      <c r="H105" s="839" t="s">
        <v>335</v>
      </c>
      <c r="I105" s="839"/>
      <c r="J105" s="867"/>
      <c r="K105" s="483" t="str">
        <f>F105&amp;"5komm"</f>
        <v>25komm</v>
      </c>
      <c r="L105" s="917" cm="1" t="str">
        <f t="array" ref="L105:L105">AK105</f>
        <v>по предложению организации в соответствии со штатным расписанием.</v>
      </c>
      <c r="M105" s="867"/>
      <c r="N105" s="867"/>
      <c r="O105" s="867"/>
      <c r="P105" s="867"/>
      <c r="Q105" s="867"/>
      <c r="R105" s="867"/>
      <c r="S105" s="867"/>
      <c r="T105" s="465" cm="1" t="str">
        <f t="array" ref="T105:T105">T104</f>
        <v>true</v>
      </c>
      <c r="U105" s="867"/>
      <c r="V105" s="867"/>
      <c r="W105" s="867"/>
      <c r="X105" s="1619"/>
      <c r="Y105" s="873"/>
      <c r="Z105" s="1620"/>
      <c r="AA105" s="867"/>
      <c r="AB105" s="690" t="s">
        <v>443</v>
      </c>
      <c r="AC105" s="847" t="s">
        <v>1890</v>
      </c>
      <c r="AD105" s="766" t="s">
        <v>1514</v>
      </c>
      <c r="AE105" s="298"/>
      <c r="AF105" s="298"/>
      <c r="AG105" s="298"/>
      <c r="AH105" s="298"/>
      <c r="AI105" s="213">
        <f>_xlfn.SUMIFS(AI106:AI112,$AD106:$AD112,$AD105)</f>
        <v>4882.1264676</v>
      </c>
      <c r="AJ105" s="213">
        <f>_xlfn.SUMIFS(AJ106:AJ112,$AD106:$AD112,$AD105)</f>
        <v>4882.1264676</v>
      </c>
      <c r="AK105" s="846" t="s">
        <v>1905</v>
      </c>
      <c r="AL105" s="1812"/>
      <c r="AM105" s="1812"/>
      <c r="AN105" s="1030" t="s">
        <v>1891</v>
      </c>
      <c r="AO105" s="1030"/>
      <c r="AP105" s="1030"/>
      <c r="AQ105" s="267"/>
      <c r="AR105" s="267"/>
    </row>
    <row s="1448" customFormat="1" customHeight="1" ht="18" hidden="1">
      <c r="E106" s="868">
        <v>18.75</v>
      </c>
      <c r="F106" s="50" cm="1" t="str">
        <f t="array" ref="F106:F106">OFFSET(E106,-1,1)</f>
        <v>2</v>
      </c>
      <c r="H106" s="520" t="s">
        <v>335</v>
      </c>
      <c r="I106" s="520" cm="1" t="str">
        <f t="array" ref="I106:I106">AC106</f>
        <v>0</v>
      </c>
      <c r="T106" s="465">
        <f>AND(F106&gt;0,Y106&gt;0)</f>
        <v>0</v>
      </c>
      <c r="W106" s="297" t="s">
        <v>174</v>
      </c>
      <c r="Y106" s="873">
        <v>0</v>
      </c>
      <c r="AA106" s="1617" t="s">
        <v>175</v>
      </c>
      <c r="AB106" s="88" t="str">
        <f>"5."&amp;Y106</f>
        <v>5.0</v>
      </c>
      <c r="AC106" s="1243"/>
      <c r="AD106" s="90" t="s">
        <v>1514</v>
      </c>
      <c r="AE106" s="90"/>
      <c r="AF106" s="90"/>
      <c r="AG106" s="90"/>
      <c r="AH106" s="90"/>
      <c r="AI106" s="1241">
        <f>AI107*AI108*12/1000</f>
        <v>0</v>
      </c>
      <c r="AJ106" s="1241">
        <f>AJ107*AJ108*12/1000</f>
        <v>0</v>
      </c>
      <c r="AK106" s="4816"/>
      <c r="AN106" s="1030" t="s">
        <v>1869</v>
      </c>
      <c r="AO106" s="1030" t="s">
        <v>1892</v>
      </c>
      <c r="AP106" s="1030" cm="1" t="str">
        <f t="array" ref="AP106:AP106">AC106</f>
        <v>0</v>
      </c>
      <c r="AQ106" s="267"/>
      <c r="AR106" s="267" t="b">
        <v>1</v>
      </c>
    </row>
    <row s="1448" customFormat="1" customHeight="1" ht="14.25" hidden="1">
      <c r="E107" s="868">
        <v>15</v>
      </c>
      <c r="F107" s="50" cm="1" t="str">
        <f t="array" ref="F107:F107">OFFSET(E107,-1,1)</f>
        <v>2</v>
      </c>
      <c r="H107" s="520" t="str">
        <f>H106&amp;"_1"</f>
        <v>l5_1</v>
      </c>
      <c r="I107" s="520" cm="1" t="str">
        <f t="array" ref="I107:I107">I106</f>
        <v>0</v>
      </c>
      <c r="T107" s="465" cm="1" t="str">
        <f t="array" ref="T107:T107">T106</f>
        <v>false</v>
      </c>
      <c r="AA107" s="1617"/>
      <c r="AB107" s="690" t="str">
        <f>AB106&amp;".1"</f>
        <v>5.0.1</v>
      </c>
      <c r="AC107" s="221" t="s">
        <v>1872</v>
      </c>
      <c r="AD107" s="90" t="s">
        <v>1873</v>
      </c>
      <c r="AE107" s="90"/>
      <c r="AF107" s="90"/>
      <c r="AG107" s="90"/>
      <c r="AH107" s="90"/>
      <c r="AI107" s="1244"/>
      <c r="AJ107" s="1244"/>
      <c r="AK107" s="4816"/>
      <c r="AN107" s="1030" t="s">
        <v>1874</v>
      </c>
      <c r="AO107" s="1030" t="s">
        <v>1892</v>
      </c>
      <c r="AP107" s="1030" cm="1" t="str">
        <f t="array" ref="AP107:AP107">AP106</f>
        <v>0</v>
      </c>
      <c r="AQ107" s="267"/>
      <c r="AR107" s="267"/>
    </row>
    <row s="1448" customFormat="1" customHeight="1" ht="14.25" hidden="1">
      <c r="E108" s="868">
        <v>15</v>
      </c>
      <c r="F108" s="50" cm="1" t="str">
        <f t="array" ref="F108:F108">OFFSET(E108,-1,1)</f>
        <v>2</v>
      </c>
      <c r="H108" s="520" t="str">
        <f>H106&amp;"_2"</f>
        <v>l5_2</v>
      </c>
      <c r="I108" s="520" cm="1" t="str">
        <f t="array" ref="I108:I108">I107</f>
        <v>0</v>
      </c>
      <c r="T108" s="465" cm="1" t="str">
        <f t="array" ref="T108:T108">T107</f>
        <v>false</v>
      </c>
      <c r="AA108" s="1617"/>
      <c r="AB108" s="690" t="str">
        <f>AB106&amp;".2"</f>
        <v>5.0.2</v>
      </c>
      <c r="AC108" s="221" t="s">
        <v>1875</v>
      </c>
      <c r="AD108" s="90" t="s">
        <v>1876</v>
      </c>
      <c r="AE108" s="90"/>
      <c r="AF108" s="90"/>
      <c r="AG108" s="90"/>
      <c r="AH108" s="90"/>
      <c r="AI108" s="1244"/>
      <c r="AJ108" s="1244"/>
      <c r="AK108" s="4816"/>
      <c r="AN108" s="1030" t="s">
        <v>1877</v>
      </c>
      <c r="AO108" s="1030" t="s">
        <v>1892</v>
      </c>
      <c r="AP108" s="1030" cm="1" t="str">
        <f t="array" ref="AP108:AP108">AP107</f>
        <v>0</v>
      </c>
      <c r="AQ108" s="267"/>
      <c r="AR108" s="267"/>
    </row>
    <row s="1448" customFormat="1" customHeight="1" ht="18">
      <c r="A109" s="1448"/>
      <c r="B109" s="1448"/>
      <c r="C109" s="1448"/>
      <c r="D109" s="1448"/>
      <c r="E109" s="868">
        <v>18.75</v>
      </c>
      <c r="F109" s="50" cm="1" t="str">
        <f t="array" ref="F109:F109">OFFSET(E109,-1,1)</f>
        <v>2</v>
      </c>
      <c r="G109" s="1448"/>
      <c r="H109" s="520" t="s">
        <v>335</v>
      </c>
      <c r="I109" s="520" cm="1" t="str">
        <f t="array" ref="I109:I109">AC109</f>
        <v>персонал АУП</v>
      </c>
      <c r="J109" s="1448"/>
      <c r="K109" s="1448"/>
      <c r="L109" s="1448"/>
      <c r="M109" s="1448"/>
      <c r="N109" s="1448"/>
      <c r="O109" s="1448"/>
      <c r="P109" s="1448"/>
      <c r="Q109" s="1448"/>
      <c r="R109" s="1448"/>
      <c r="S109" s="1448"/>
      <c r="T109" s="465">
        <f>AND(F109&gt;0,Y109&gt;0)</f>
        <v>1</v>
      </c>
      <c r="U109" s="1448"/>
      <c r="V109" s="1448"/>
      <c r="W109" s="297"/>
      <c r="X109" s="1448"/>
      <c r="Y109" s="873" t="s">
        <v>276</v>
      </c>
      <c r="Z109" s="1448"/>
      <c r="AA109" s="1617" t="s">
        <v>175</v>
      </c>
      <c r="AB109" s="88" t="str">
        <f>"5."&amp;Y109</f>
        <v>5.1</v>
      </c>
      <c r="AC109" s="4748" t="s">
        <v>1908</v>
      </c>
      <c r="AD109" s="90" t="s">
        <v>1514</v>
      </c>
      <c r="AE109" s="90"/>
      <c r="AF109" s="90"/>
      <c r="AG109" s="90"/>
      <c r="AH109" s="90"/>
      <c r="AI109" s="3946">
        <f>AI110*AI111*12/1000</f>
        <v>4882.1264676</v>
      </c>
      <c r="AJ109" s="3946">
        <f>AJ110*AJ111*12/1000</f>
        <v>4882.1264676</v>
      </c>
      <c r="AK109" s="4817"/>
      <c r="AL109" s="1448"/>
      <c r="AM109" s="1448"/>
      <c r="AN109" s="1030" t="s">
        <v>1869</v>
      </c>
      <c r="AO109" s="1030" t="s">
        <v>1892</v>
      </c>
      <c r="AP109" s="1030" cm="1" t="str">
        <f t="array" ref="AP109:AP109">AC109</f>
        <v>персонал АУП</v>
      </c>
      <c r="AQ109" s="267"/>
      <c r="AR109" s="267" t="b">
        <v>1</v>
      </c>
    </row>
    <row s="1448" customFormat="1" customHeight="1" ht="14.25">
      <c r="A110" s="1448"/>
      <c r="B110" s="1448"/>
      <c r="C110" s="1448"/>
      <c r="D110" s="1448"/>
      <c r="E110" s="868">
        <v>15</v>
      </c>
      <c r="F110" s="50" cm="1" t="str">
        <f t="array" ref="F110:F110">OFFSET(E110,-1,1)</f>
        <v>2</v>
      </c>
      <c r="G110" s="1448"/>
      <c r="H110" s="520" t="str">
        <f>H109&amp;"_1"</f>
        <v>l5_1</v>
      </c>
      <c r="I110" s="520" cm="1" t="str">
        <f t="array" ref="I110:I110">I109</f>
        <v>персонал АУП</v>
      </c>
      <c r="J110" s="1448"/>
      <c r="K110" s="1448"/>
      <c r="L110" s="1448"/>
      <c r="M110" s="1448"/>
      <c r="N110" s="1448"/>
      <c r="O110" s="1448"/>
      <c r="P110" s="1448"/>
      <c r="Q110" s="1448"/>
      <c r="R110" s="1448"/>
      <c r="S110" s="1448"/>
      <c r="T110" s="465" cm="1" t="str">
        <f t="array" ref="T110:T110">T109</f>
        <v>true</v>
      </c>
      <c r="U110" s="1448"/>
      <c r="V110" s="1448"/>
      <c r="W110" s="1448"/>
      <c r="X110" s="1448"/>
      <c r="Y110" s="1448"/>
      <c r="Z110" s="1448"/>
      <c r="AA110" s="1617"/>
      <c r="AB110" s="690" t="str">
        <f>AB109&amp;".1"</f>
        <v>5.1.1</v>
      </c>
      <c r="AC110" s="221" t="s">
        <v>1872</v>
      </c>
      <c r="AD110" s="90" t="s">
        <v>1873</v>
      </c>
      <c r="AE110" s="90"/>
      <c r="AF110" s="90"/>
      <c r="AG110" s="90"/>
      <c r="AH110" s="90"/>
      <c r="AI110" s="4750">
        <v>6</v>
      </c>
      <c r="AJ110" s="4750">
        <v>6</v>
      </c>
      <c r="AK110" s="4817"/>
      <c r="AL110" s="1448"/>
      <c r="AM110" s="1448"/>
      <c r="AN110" s="1030" t="s">
        <v>1874</v>
      </c>
      <c r="AO110" s="1030" t="s">
        <v>1892</v>
      </c>
      <c r="AP110" s="1030" cm="1" t="str">
        <f t="array" ref="AP110:AP110">AP109</f>
        <v>персонал АУП</v>
      </c>
      <c r="AQ110" s="267"/>
      <c r="AR110" s="267"/>
    </row>
    <row s="1448" customFormat="1" customHeight="1" ht="14.25">
      <c r="A111" s="1448"/>
      <c r="B111" s="1448"/>
      <c r="C111" s="1448"/>
      <c r="D111" s="1448"/>
      <c r="E111" s="868">
        <v>15</v>
      </c>
      <c r="F111" s="50" cm="1" t="str">
        <f t="array" ref="F111:F111">OFFSET(E111,-1,1)</f>
        <v>2</v>
      </c>
      <c r="G111" s="1448"/>
      <c r="H111" s="520" t="str">
        <f>H109&amp;"_2"</f>
        <v>l5_2</v>
      </c>
      <c r="I111" s="520" cm="1" t="str">
        <f t="array" ref="I111:I111">I110</f>
        <v>персонал АУП</v>
      </c>
      <c r="J111" s="1448"/>
      <c r="K111" s="1448"/>
      <c r="L111" s="1448"/>
      <c r="M111" s="1448"/>
      <c r="N111" s="1448"/>
      <c r="O111" s="1448"/>
      <c r="P111" s="1448"/>
      <c r="Q111" s="1448"/>
      <c r="R111" s="1448"/>
      <c r="S111" s="1448"/>
      <c r="T111" s="465" cm="1" t="str">
        <f t="array" ref="T111:T111">T110</f>
        <v>true</v>
      </c>
      <c r="U111" s="1448"/>
      <c r="V111" s="1448"/>
      <c r="W111" s="1448"/>
      <c r="X111" s="1448"/>
      <c r="Y111" s="1448"/>
      <c r="Z111" s="1448"/>
      <c r="AA111" s="1617"/>
      <c r="AB111" s="690" t="str">
        <f>AB109&amp;".2"</f>
        <v>5.1.2</v>
      </c>
      <c r="AC111" s="221" t="s">
        <v>1875</v>
      </c>
      <c r="AD111" s="90" t="s">
        <v>1876</v>
      </c>
      <c r="AE111" s="90"/>
      <c r="AF111" s="90"/>
      <c r="AG111" s="90"/>
      <c r="AH111" s="90"/>
      <c r="AI111" s="4750">
        <v>67807.31205</v>
      </c>
      <c r="AJ111" s="4750">
        <v>67807.31205</v>
      </c>
      <c r="AK111" s="4817"/>
      <c r="AL111" s="1448"/>
      <c r="AM111" s="1448"/>
      <c r="AN111" s="1030" t="s">
        <v>1877</v>
      </c>
      <c r="AO111" s="1030" t="s">
        <v>1892</v>
      </c>
      <c r="AP111" s="1030" cm="1" t="str">
        <f t="array" ref="AP111:AP111">AP110</f>
        <v>персонал АУП</v>
      </c>
      <c r="AQ111" s="267"/>
      <c r="AR111" s="267"/>
    </row>
    <row s="1448" customFormat="1" customHeight="1" ht="14.25">
      <c r="A112" s="1812"/>
      <c r="B112" s="429"/>
      <c r="C112" s="867"/>
      <c r="D112" s="867"/>
      <c r="E112" s="868">
        <v>15</v>
      </c>
      <c r="F112" s="50" cm="1" t="str">
        <f t="array" ref="F112:F112">OFFSET(E112,-1,1)</f>
        <v>2</v>
      </c>
      <c r="G112" s="374"/>
      <c r="H112" s="839"/>
      <c r="I112" s="152" t="str">
        <f>"!=='не определено' &amp;&amp; row.l5 !== null"</f>
        <v>!=='не определено' &amp;&amp; row.l5 !== null</v>
      </c>
      <c r="J112" s="867"/>
      <c r="K112" s="483"/>
      <c r="L112" s="483"/>
      <c r="M112" s="867"/>
      <c r="N112" s="867"/>
      <c r="O112" s="867"/>
      <c r="P112" s="867"/>
      <c r="Q112" s="867"/>
      <c r="R112" s="867"/>
      <c r="S112" s="867"/>
      <c r="T112" s="465">
        <f>F112&gt;0</f>
        <v>1</v>
      </c>
      <c r="U112" s="867"/>
      <c r="V112" s="867"/>
      <c r="W112" s="757" t="s">
        <v>1893</v>
      </c>
      <c r="X112" s="1619"/>
      <c r="Y112" s="873"/>
      <c r="Z112" s="1620"/>
      <c r="AA112" s="867"/>
      <c r="AB112" s="874"/>
      <c r="AC112" s="260" t="s">
        <v>178</v>
      </c>
      <c r="AD112" s="776"/>
      <c r="AE112" s="776"/>
      <c r="AF112" s="776"/>
      <c r="AG112" s="776"/>
      <c r="AH112" s="776"/>
      <c r="AI112" s="776"/>
      <c r="AJ112" s="776"/>
      <c r="AK112" s="777"/>
      <c r="AL112" s="1812"/>
      <c r="AM112" s="1812"/>
      <c r="AN112" s="1030"/>
      <c r="AO112" s="1030"/>
      <c r="AP112" s="1030"/>
      <c r="AQ112" s="267" t="s">
        <v>1892</v>
      </c>
      <c r="AR112" s="267"/>
    </row>
    <row s="1448" customFormat="1" customHeight="1" ht="33.75">
      <c r="A113" s="1812"/>
      <c r="B113" s="429"/>
      <c r="C113" s="867"/>
      <c r="D113" s="867"/>
      <c r="E113" s="868">
        <v>22.5</v>
      </c>
      <c r="F113" s="50" cm="1" t="str">
        <f t="array" ref="F113:F113">OFFSET(E113,-1,1)</f>
        <v>2</v>
      </c>
      <c r="G113" s="374" t="s">
        <v>1894</v>
      </c>
      <c r="H113" s="839" t="s">
        <v>1225</v>
      </c>
      <c r="I113" s="839"/>
      <c r="J113" s="867"/>
      <c r="K113" s="483" t="str">
        <f>F113&amp;"6komm"</f>
        <v>26komm</v>
      </c>
      <c r="L113" s="483" cm="1" t="str">
        <f t="array" ref="L113:L113">AK113</f>
        <v>на основании Налогового кодекса РФ (часть вторая) от 05.08.2000 № 117-ФЗ в размере 30%, а также в соответствии с Федеральным законом от 24.07.1998 № 125 – ФЗ (0,20%).</v>
      </c>
      <c r="M113" s="867"/>
      <c r="N113" s="867"/>
      <c r="O113" s="867"/>
      <c r="P113" s="867"/>
      <c r="Q113" s="867"/>
      <c r="R113" s="867"/>
      <c r="S113" s="867"/>
      <c r="T113" s="465" cm="1" t="str">
        <f t="array" ref="T113:T113">T112</f>
        <v>true</v>
      </c>
      <c r="U113" s="867"/>
      <c r="V113" s="867"/>
      <c r="W113" s="867"/>
      <c r="X113" s="1619"/>
      <c r="Y113" s="873"/>
      <c r="Z113" s="1620"/>
      <c r="AA113" s="867"/>
      <c r="AB113" s="690" t="s">
        <v>446</v>
      </c>
      <c r="AC113" s="847" t="s">
        <v>1895</v>
      </c>
      <c r="AD113" s="766" t="s">
        <v>1514</v>
      </c>
      <c r="AE113" s="298">
        <f>AE105*_xlfn.SUMIFS(INDEX(Сценарии!$AE$25:$BF$163,,MATCH(AE$13,Сценарии!$AE$8:$BF$8,0)),Сценарии!$F$25:$F$163,$F113,Сценарии!$G$25:$G$163,"СВФОТ")/100</f>
        <v>0</v>
      </c>
      <c r="AF113" s="298">
        <f>AF105*_xlfn.SUMIFS(INDEX(Сценарии!$AE$25:$BF$163,,MATCH(AF$13,Сценарии!$AE$8:$BF$8,0)),Сценарии!$F$25:$F$163,$F113,Сценарии!$G$25:$G$163,"СВФОТ")/100</f>
        <v>0</v>
      </c>
      <c r="AG113" s="298">
        <f>AG105*_xlfn.SUMIFS(INDEX(Сценарии!$AE$25:$BF$163,,MATCH(AG$13,Сценарии!$AE$8:$BF$8,0)),Сценарии!$F$25:$F$163,$F113,Сценарии!$G$25:$G$163,"СВФОТ")/100</f>
        <v>0</v>
      </c>
      <c r="AH113" s="298">
        <f>AH105*_xlfn.SUMIFS(INDEX(Сценарии!$AE$25:$BF$163,,MATCH(AH$13,Сценарии!$AE$8:$BF$8,0)),Сценарии!$F$25:$F$163,$F113,Сценарии!$G$25:$G$163,"СВФОТ")/100</f>
        <v>0</v>
      </c>
      <c r="AI113" s="298">
        <f>AI105*_xlfn.SUMIFS(INDEX(Сценарии!$AE$25:$BF$163,,MATCH(AI$13,Сценарии!$AE$8:$BF$8,0)),Сценарии!$F$25:$F$163,$F113,Сценарии!$G$25:$G$163,"СВФОТ")/100</f>
        <v>1474.4021932152</v>
      </c>
      <c r="AJ113" s="298">
        <f>AJ105*_xlfn.SUMIFS(INDEX(Сценарии!$AE$25:$BF$163,,MATCH(AJ$13,Сценарии!$AE$8:$BF$8,0)),Сценарии!$F$25:$F$163,$F113,Сценарии!$G$25:$G$163,"СВФОТ")/100</f>
        <v>1474.4021932152</v>
      </c>
      <c r="AK113" s="918" t="s">
        <v>1232</v>
      </c>
      <c r="AL113" s="1812"/>
      <c r="AM113" s="1812"/>
      <c r="AN113" s="1030" t="s">
        <v>1896</v>
      </c>
      <c r="AO113" s="1030"/>
      <c r="AP113" s="1030"/>
      <c r="AQ113" s="267"/>
      <c r="AR113" s="267"/>
    </row>
    <row s="1448" customFormat="1" customHeight="1" ht="0">
      <c r="A114" s="1812"/>
      <c r="B114" s="429"/>
      <c r="C114" s="867"/>
      <c r="D114" s="867"/>
      <c r="E114" s="868">
        <v>15</v>
      </c>
      <c r="F114" s="50" cm="1" t="str">
        <f t="array" ref="F114:F114">OFFSET(E114,-1,1)</f>
        <v>2</v>
      </c>
      <c r="G114" s="374" t="s">
        <v>1897</v>
      </c>
      <c r="H114" s="839" t="s">
        <v>1228</v>
      </c>
      <c r="I114" s="839"/>
      <c r="J114" s="867"/>
      <c r="K114" s="483" t="str">
        <f>F114&amp;"7komm"</f>
        <v>27komm</v>
      </c>
      <c r="L114" s="483" cm="1" t="str">
        <f t="array" ref="L114:L114">AK114</f>
        <v>0</v>
      </c>
      <c r="M114" s="867"/>
      <c r="N114" s="867"/>
      <c r="O114" s="867"/>
      <c r="P114" s="867"/>
      <c r="Q114" s="867"/>
      <c r="R114" s="867"/>
      <c r="S114" s="867"/>
      <c r="T114" s="465" cm="1" t="str">
        <f t="array" ref="T114:T114">T113</f>
        <v>true</v>
      </c>
      <c r="U114" s="867"/>
      <c r="V114" s="867"/>
      <c r="W114" s="867"/>
      <c r="X114" s="1619"/>
      <c r="Y114" s="873"/>
      <c r="Z114" s="1620"/>
      <c r="AA114" s="867"/>
      <c r="AB114" s="690" t="s">
        <v>449</v>
      </c>
      <c r="AC114" s="847" t="s">
        <v>1898</v>
      </c>
      <c r="AD114" s="766" t="s">
        <v>1514</v>
      </c>
      <c r="AE114" s="298"/>
      <c r="AF114" s="298"/>
      <c r="AG114" s="298"/>
      <c r="AH114" s="298"/>
      <c r="AI114" s="213">
        <f>_xlfn.SUMIFS(AI115:AI118,$AD115:$AD118,$AD114)</f>
        <v>0</v>
      </c>
      <c r="AJ114" s="213">
        <f>_xlfn.SUMIFS(AJ115:AJ118,$AD115:$AD118,$AD114)</f>
        <v>0</v>
      </c>
      <c r="AK114" s="918"/>
      <c r="AL114" s="1812"/>
      <c r="AM114" s="1812"/>
      <c r="AN114" s="1030" t="s">
        <v>1899</v>
      </c>
      <c r="AO114" s="1030"/>
      <c r="AP114" s="1030"/>
      <c r="AQ114" s="267"/>
      <c r="AR114" s="267"/>
    </row>
    <row s="1448" customFormat="1" customHeight="1" ht="0" hidden="1">
      <c r="A115" s="1812"/>
      <c r="B115" s="1812"/>
      <c r="C115" s="875"/>
      <c r="D115" s="875"/>
      <c r="E115" s="876">
        <v>18.75</v>
      </c>
      <c r="F115" s="50" cm="1" t="str">
        <f t="array" ref="F115:F115">OFFSET(E115,-1,1)</f>
        <v>2</v>
      </c>
      <c r="G115" s="872"/>
      <c r="H115" s="839" t="s">
        <v>1228</v>
      </c>
      <c r="I115" s="872" cm="1" t="str">
        <f t="array" ref="I115:I115">AC115</f>
        <v>0</v>
      </c>
      <c r="J115" s="875"/>
      <c r="K115" s="916"/>
      <c r="L115" s="916"/>
      <c r="M115" s="875"/>
      <c r="N115" s="875"/>
      <c r="O115" s="875"/>
      <c r="P115" s="875"/>
      <c r="Q115" s="875"/>
      <c r="R115" s="875"/>
      <c r="S115" s="875"/>
      <c r="T115" s="465">
        <f>AND(F115&gt;0,Y115&gt;0)</f>
        <v>0</v>
      </c>
      <c r="U115" s="875"/>
      <c r="V115" s="875"/>
      <c r="W115" s="867" t="s">
        <v>174</v>
      </c>
      <c r="X115" s="1619"/>
      <c r="Y115" s="1619">
        <v>0</v>
      </c>
      <c r="Z115" s="1620"/>
      <c r="AA115" s="1617" t="s">
        <v>175</v>
      </c>
      <c r="AB115" s="1222" t="str">
        <f>"7."&amp;Y115</f>
        <v>7.0</v>
      </c>
      <c r="AC115" s="4738"/>
      <c r="AD115" s="878" t="s">
        <v>1514</v>
      </c>
      <c r="AE115" s="4740"/>
      <c r="AF115" s="4740"/>
      <c r="AG115" s="4740"/>
      <c r="AH115" s="4740"/>
      <c r="AI115" s="4741">
        <f>AI116*AI117*12/1000</f>
        <v>0</v>
      </c>
      <c r="AJ115" s="4741">
        <f>AJ116*AJ117*12/1000</f>
        <v>0</v>
      </c>
      <c r="AK115" s="4742"/>
      <c r="AL115" s="1812"/>
      <c r="AM115" s="1812"/>
      <c r="AN115" s="1030" t="s">
        <v>1869</v>
      </c>
      <c r="AO115" s="1046" t="s">
        <v>1900</v>
      </c>
      <c r="AP115" s="1030" cm="1" t="str">
        <f t="array" ref="AP115:AP115">AC115</f>
        <v>0</v>
      </c>
      <c r="AQ115" s="1047"/>
      <c r="AR115" s="267" t="b">
        <v>1</v>
      </c>
    </row>
    <row s="1448" customFormat="1" customHeight="1" ht="0" hidden="1">
      <c r="A116" s="1812"/>
      <c r="B116" s="1812"/>
      <c r="C116" s="875"/>
      <c r="D116" s="875"/>
      <c r="E116" s="876">
        <v>15</v>
      </c>
      <c r="F116" s="50" cm="1" t="str">
        <f t="array" ref="F116:F116">OFFSET(E116,-1,1)</f>
        <v>2</v>
      </c>
      <c r="G116" s="872"/>
      <c r="H116" s="872" t="str">
        <f>H115&amp;"_1"</f>
        <v>l7_1</v>
      </c>
      <c r="I116" s="872" cm="1" t="str">
        <f t="array" ref="I116:I116">I115</f>
        <v>0</v>
      </c>
      <c r="J116" s="875"/>
      <c r="K116" s="916"/>
      <c r="L116" s="916"/>
      <c r="M116" s="875"/>
      <c r="N116" s="875"/>
      <c r="O116" s="875"/>
      <c r="P116" s="875"/>
      <c r="Q116" s="875"/>
      <c r="R116" s="875"/>
      <c r="S116" s="875"/>
      <c r="T116" s="465" cm="1" t="str">
        <f t="array" ref="T116:T116">T115</f>
        <v>false</v>
      </c>
      <c r="U116" s="875"/>
      <c r="V116" s="875"/>
      <c r="W116" s="875"/>
      <c r="X116" s="1619"/>
      <c r="Y116" s="1619"/>
      <c r="Z116" s="1620"/>
      <c r="AA116" s="1617"/>
      <c r="AB116" s="882" t="str">
        <f>AB115&amp;".1"</f>
        <v>7.0.1</v>
      </c>
      <c r="AC116" s="883" t="s">
        <v>1872</v>
      </c>
      <c r="AD116" s="878" t="s">
        <v>1873</v>
      </c>
      <c r="AE116" s="4740"/>
      <c r="AF116" s="4740"/>
      <c r="AG116" s="4740"/>
      <c r="AH116" s="4740"/>
      <c r="AI116" s="4745"/>
      <c r="AJ116" s="4745"/>
      <c r="AK116" s="4742"/>
      <c r="AL116" s="1812"/>
      <c r="AM116" s="1812"/>
      <c r="AN116" s="1030" t="s">
        <v>1874</v>
      </c>
      <c r="AO116" s="1046" t="s">
        <v>1900</v>
      </c>
      <c r="AP116" s="1030" cm="1" t="str">
        <f t="array" ref="AP116:AP116">AP115</f>
        <v>0</v>
      </c>
      <c r="AQ116" s="1047"/>
      <c r="AR116" s="1047"/>
    </row>
    <row s="1448" customFormat="1" customHeight="1" ht="0" hidden="1">
      <c r="A117" s="1812"/>
      <c r="B117" s="1812"/>
      <c r="C117" s="875"/>
      <c r="D117" s="875"/>
      <c r="E117" s="876">
        <v>15</v>
      </c>
      <c r="F117" s="50" cm="1" t="str">
        <f t="array" ref="F117:F117">OFFSET(E117,-1,1)</f>
        <v>2</v>
      </c>
      <c r="G117" s="872"/>
      <c r="H117" s="872" t="str">
        <f>H115&amp;"_2"</f>
        <v>l7_2</v>
      </c>
      <c r="I117" s="872" cm="1" t="str">
        <f t="array" ref="I117:I117">I116</f>
        <v>0</v>
      </c>
      <c r="J117" s="875"/>
      <c r="K117" s="916"/>
      <c r="L117" s="916"/>
      <c r="M117" s="875"/>
      <c r="N117" s="875"/>
      <c r="O117" s="875"/>
      <c r="P117" s="875"/>
      <c r="Q117" s="875"/>
      <c r="R117" s="875"/>
      <c r="S117" s="875"/>
      <c r="T117" s="465" cm="1" t="str">
        <f t="array" ref="T117:T117">T116</f>
        <v>false</v>
      </c>
      <c r="U117" s="875"/>
      <c r="V117" s="875"/>
      <c r="W117" s="875"/>
      <c r="X117" s="1619"/>
      <c r="Y117" s="1619"/>
      <c r="Z117" s="1620"/>
      <c r="AA117" s="1617"/>
      <c r="AB117" s="882" t="str">
        <f>AB115&amp;".2"</f>
        <v>7.0.2</v>
      </c>
      <c r="AC117" s="883" t="s">
        <v>1875</v>
      </c>
      <c r="AD117" s="878" t="s">
        <v>1876</v>
      </c>
      <c r="AE117" s="4740"/>
      <c r="AF117" s="4740"/>
      <c r="AG117" s="4740"/>
      <c r="AH117" s="4740"/>
      <c r="AI117" s="4745"/>
      <c r="AJ117" s="4745"/>
      <c r="AK117" s="4742"/>
      <c r="AL117" s="1812"/>
      <c r="AM117" s="1812"/>
      <c r="AN117" s="1030" t="s">
        <v>1877</v>
      </c>
      <c r="AO117" s="1046" t="s">
        <v>1900</v>
      </c>
      <c r="AP117" s="1030" cm="1" t="str">
        <f t="array" ref="AP117:AP117">AP116</f>
        <v>0</v>
      </c>
      <c r="AQ117" s="1047"/>
      <c r="AR117" s="1047"/>
    </row>
    <row s="1448" customFormat="1" customHeight="1" ht="0">
      <c r="A118" s="1812"/>
      <c r="B118" s="429"/>
      <c r="C118" s="867"/>
      <c r="D118" s="867"/>
      <c r="E118" s="868">
        <v>15</v>
      </c>
      <c r="F118" s="50" cm="1" t="str">
        <f t="array" ref="F118:F118">OFFSET(E118,-1,1)</f>
        <v>2</v>
      </c>
      <c r="G118" s="374"/>
      <c r="H118" s="839"/>
      <c r="I118" s="152" t="str">
        <f>"!=='не определено' &amp;&amp; row.l7 !== null"</f>
        <v>!=='не определено' &amp;&amp; row.l7 !== null</v>
      </c>
      <c r="J118" s="867"/>
      <c r="K118" s="483"/>
      <c r="L118" s="483"/>
      <c r="M118" s="867"/>
      <c r="N118" s="867"/>
      <c r="O118" s="867"/>
      <c r="P118" s="867"/>
      <c r="Q118" s="867"/>
      <c r="R118" s="867"/>
      <c r="S118" s="867"/>
      <c r="T118" s="465">
        <f>F118&gt;0</f>
        <v>1</v>
      </c>
      <c r="U118" s="867"/>
      <c r="V118" s="867"/>
      <c r="W118" s="757" t="s">
        <v>1901</v>
      </c>
      <c r="X118" s="1619"/>
      <c r="Y118" s="867"/>
      <c r="Z118" s="1620"/>
      <c r="AA118" s="867"/>
      <c r="AB118" s="874"/>
      <c r="AC118" s="260" t="s">
        <v>178</v>
      </c>
      <c r="AD118" s="776"/>
      <c r="AE118" s="776"/>
      <c r="AF118" s="776"/>
      <c r="AG118" s="776"/>
      <c r="AH118" s="776"/>
      <c r="AI118" s="776"/>
      <c r="AJ118" s="776"/>
      <c r="AK118" s="777"/>
      <c r="AL118" s="1812"/>
      <c r="AM118" s="1812"/>
      <c r="AN118" s="1030"/>
      <c r="AO118" s="1030"/>
      <c r="AP118" s="1030"/>
      <c r="AQ118" s="1047" t="s">
        <v>1900</v>
      </c>
      <c r="AR118" s="267"/>
    </row>
    <row s="1448" customFormat="1" customHeight="1" ht="0">
      <c r="A119" s="1812"/>
      <c r="B119" s="429"/>
      <c r="C119" s="867"/>
      <c r="D119" s="867"/>
      <c r="E119" s="868">
        <v>22.5</v>
      </c>
      <c r="F119" s="50" cm="1" t="str">
        <f t="array" ref="F119:F119">OFFSET(E119,-1,1)</f>
        <v>2</v>
      </c>
      <c r="G119" s="374" t="s">
        <v>1902</v>
      </c>
      <c r="H119" s="839" t="s">
        <v>1275</v>
      </c>
      <c r="I119" s="839"/>
      <c r="J119" s="867"/>
      <c r="K119" s="483" t="str">
        <f>F119&amp;"8komm"</f>
        <v>28komm</v>
      </c>
      <c r="L119" s="917" cm="1" t="str">
        <f t="array" ref="L119:L119">AK119</f>
        <v>0</v>
      </c>
      <c r="M119" s="867"/>
      <c r="N119" s="867"/>
      <c r="O119" s="867"/>
      <c r="P119" s="867"/>
      <c r="Q119" s="867"/>
      <c r="R119" s="867"/>
      <c r="S119" s="867"/>
      <c r="T119" s="465" cm="1" t="str">
        <f t="array" ref="T119:T119">T118</f>
        <v>true</v>
      </c>
      <c r="U119" s="867"/>
      <c r="V119" s="867"/>
      <c r="W119" s="867"/>
      <c r="X119" s="1619"/>
      <c r="Y119" s="867"/>
      <c r="Z119" s="1620"/>
      <c r="AA119" s="867"/>
      <c r="AB119" s="690" t="s">
        <v>452</v>
      </c>
      <c r="AC119" s="847" t="s">
        <v>1903</v>
      </c>
      <c r="AD119" s="766" t="s">
        <v>1514</v>
      </c>
      <c r="AE119" s="298">
        <f>AE114*_xlfn.SUMIFS(INDEX(Сценарии!$AE$25:$BF$163,,MATCH(AE$13,Сценарии!$AE$8:$BF$8,0)),Сценарии!$F$25:$F$163,$F119,Сценарии!$G$25:$G$163,"СВФОТ")/100</f>
        <v>0</v>
      </c>
      <c r="AF119" s="298">
        <f>AF114*_xlfn.SUMIFS(INDEX(Сценарии!$AE$25:$BF$163,,MATCH(AF$13,Сценарии!$AE$8:$BF$8,0)),Сценарии!$F$25:$F$163,$F119,Сценарии!$G$25:$G$163,"СВФОТ")/100</f>
        <v>0</v>
      </c>
      <c r="AG119" s="298">
        <f>AG114*_xlfn.SUMIFS(INDEX(Сценарии!$AE$25:$BF$163,,MATCH(AG$13,Сценарии!$AE$8:$BF$8,0)),Сценарии!$F$25:$F$163,$F119,Сценарии!$G$25:$G$163,"СВФОТ")/100</f>
        <v>0</v>
      </c>
      <c r="AH119" s="298">
        <f>AH114*_xlfn.SUMIFS(INDEX(Сценарии!$AE$25:$BF$163,,MATCH(AH$13,Сценарии!$AE$8:$BF$8,0)),Сценарии!$F$25:$F$163,$F119,Сценарии!$G$25:$G$163,"СВФОТ")/100</f>
        <v>0</v>
      </c>
      <c r="AI119" s="298">
        <f>AI114*_xlfn.SUMIFS(INDEX(Сценарии!$AE$25:$BF$163,,MATCH(AI$13,Сценарии!$AE$8:$BF$8,0)),Сценарии!$F$25:$F$163,$F119,Сценарии!$G$25:$G$163,"СВФОТ")/100</f>
        <v>0</v>
      </c>
      <c r="AJ119" s="298">
        <f>AJ114*_xlfn.SUMIFS(INDEX(Сценарии!$AE$25:$BF$163,,MATCH(AJ$13,Сценарии!$AE$8:$BF$8,0)),Сценарии!$F$25:$F$163,$F119,Сценарии!$G$25:$G$163,"СВФОТ")/100</f>
        <v>0</v>
      </c>
      <c r="AK119" s="846"/>
      <c r="AL119" s="1812"/>
      <c r="AM119" s="1812"/>
      <c r="AN119" s="1030" t="s">
        <v>1904</v>
      </c>
      <c r="AO119" s="1030"/>
      <c r="AP119" s="1030"/>
      <c r="AQ119" s="267"/>
      <c r="AR119" s="267"/>
    </row>
    <row s="1448" customFormat="1" customHeight="1" ht="14.25">
      <c r="A120" s="1812"/>
      <c r="B120" s="429"/>
      <c r="C120" s="867"/>
      <c r="D120" s="867"/>
      <c r="E120" s="868">
        <v>15</v>
      </c>
      <c r="F120" s="493" cm="1" t="str">
        <f t="array" ref="F120:F120">X120</f>
        <v>3</v>
      </c>
      <c r="G120" s="839" t="s">
        <v>61</v>
      </c>
      <c r="H120" s="839"/>
      <c r="I120" s="839"/>
      <c r="J120" s="867"/>
      <c r="K120" s="483"/>
      <c r="L120" s="483"/>
      <c r="M120" s="867"/>
      <c r="N120" s="867"/>
      <c r="O120" s="867"/>
      <c r="P120" s="867"/>
      <c r="Q120" s="867"/>
      <c r="R120" s="867"/>
      <c r="S120" s="867"/>
      <c r="T120" s="465">
        <f>X120&gt;0</f>
        <v>1</v>
      </c>
      <c r="U120" s="867"/>
      <c r="V120" s="867" cm="1" t="str">
        <f t="array" ref="V120:V120">Покупка!$AB$236</f>
        <v>Тариф 3 (Водоотведение) - тариф на водоотведение (Доп. признак не требуется)</v>
      </c>
      <c r="W120" s="867"/>
      <c r="X120" s="1619" t="s">
        <v>289</v>
      </c>
      <c r="Y120" s="867"/>
      <c r="Z120" s="1620"/>
      <c r="AA120" s="867"/>
      <c r="AB120" s="242" cm="1" t="str">
        <f t="array" ref="AB120:AB120">Покупка!$AB$236</f>
        <v>Тариф 3 (Водоотведение) - тариф на водоотведение (Доп. признак не требуется)</v>
      </c>
      <c r="AC120" s="869"/>
      <c r="AD120" s="869"/>
      <c r="AE120" s="870">
        <f>AE121+AE132+AE133+AE138+AE139+AE147+AE148+AE153</f>
        <v>0</v>
      </c>
      <c r="AF120" s="870">
        <f>AF121+AF132+AF133+AF138+AF139+AF147+AF148+AF153</f>
        <v>0</v>
      </c>
      <c r="AG120" s="870">
        <f>AG121+AG132+AG133+AG138+AG139+AG147+AG148+AG153</f>
        <v>0</v>
      </c>
      <c r="AH120" s="870">
        <f>AH121+AH132+AH133+AH138+AH139+AH147+AH148+AH153</f>
        <v>0</v>
      </c>
      <c r="AI120" s="870">
        <f>AI121+AI132+AI133+AI138+AI139+AI147+AI148+AI153</f>
        <v>97906.4287206012</v>
      </c>
      <c r="AJ120" s="870">
        <f>AJ121+AJ132+AJ133+AJ138+AJ139+AJ147+AJ148+AJ153</f>
        <v>97906.4287206012</v>
      </c>
      <c r="AK120" s="870"/>
      <c r="AL120" s="1812"/>
      <c r="AM120" s="1812"/>
      <c r="AN120" s="1030"/>
      <c r="AO120" s="1030"/>
      <c r="AP120" s="1030"/>
      <c r="AQ120" s="267"/>
      <c r="AR120" s="267"/>
    </row>
    <row s="1448" customFormat="1" customHeight="1" ht="21.75">
      <c r="A121" s="1812"/>
      <c r="B121" s="429"/>
      <c r="C121" s="867"/>
      <c r="D121" s="867"/>
      <c r="E121" s="868">
        <v>22.5</v>
      </c>
      <c r="F121" s="50" cm="1" t="str">
        <f t="array" ref="F121:F121">OFFSET(E121,-1,1)</f>
        <v>3</v>
      </c>
      <c r="G121" s="374" t="s">
        <v>1866</v>
      </c>
      <c r="H121" s="839" t="s">
        <v>332</v>
      </c>
      <c r="I121" s="839"/>
      <c r="J121" s="867"/>
      <c r="K121" s="483" t="str">
        <f>F121&amp;"1komm"</f>
        <v>31komm</v>
      </c>
      <c r="L121" s="917" cm="1" t="str">
        <f t="array" ref="L121:L121">AK121</f>
        <v>по предложению организации в соответствии со штатным расписанием.</v>
      </c>
      <c r="M121" s="867"/>
      <c r="N121" s="867"/>
      <c r="O121" s="867"/>
      <c r="P121" s="867"/>
      <c r="Q121" s="867"/>
      <c r="R121" s="867"/>
      <c r="S121" s="867"/>
      <c r="T121" s="465" cm="1" t="str">
        <f t="array" ref="T121:T121">T120</f>
        <v>true</v>
      </c>
      <c r="U121" s="867"/>
      <c r="V121" s="867"/>
      <c r="W121" s="867"/>
      <c r="X121" s="1619"/>
      <c r="Y121" s="867"/>
      <c r="Z121" s="1620"/>
      <c r="AA121" s="867"/>
      <c r="AB121" s="690">
        <v>1</v>
      </c>
      <c r="AC121" s="847" t="s">
        <v>1867</v>
      </c>
      <c r="AD121" s="766" t="s">
        <v>1514</v>
      </c>
      <c r="AE121" s="298"/>
      <c r="AF121" s="298"/>
      <c r="AG121" s="298"/>
      <c r="AH121" s="298"/>
      <c r="AI121" s="213">
        <f>_xlfn.SUMIFS(AI122:AI131,$AD122:$AD131,$AD121)</f>
        <v>63875.4999240222</v>
      </c>
      <c r="AJ121" s="213">
        <f>_xlfn.SUMIFS(AJ122:AJ131,$AD122:$AD131,$AD121)</f>
        <v>63875.4999240222</v>
      </c>
      <c r="AK121" s="846" t="s">
        <v>1905</v>
      </c>
      <c r="AL121" s="1812"/>
      <c r="AM121" s="1812"/>
      <c r="AN121" s="1030" t="s">
        <v>1868</v>
      </c>
      <c r="AO121" s="1030"/>
      <c r="AP121" s="1030"/>
      <c r="AQ121" s="267"/>
      <c r="AR121" s="267"/>
    </row>
    <row s="1448" customFormat="1" customHeight="1" ht="18" hidden="1">
      <c r="E122" s="868">
        <v>18.75</v>
      </c>
      <c r="F122" s="50" cm="1" t="str">
        <f t="array" ref="F122:F122">OFFSET(E122,-1,1)</f>
        <v>3</v>
      </c>
      <c r="H122" s="520" t="s">
        <v>332</v>
      </c>
      <c r="I122" s="520" cm="1" t="str">
        <f t="array" ref="I122:I122">AC122</f>
        <v>0</v>
      </c>
      <c r="T122" s="465">
        <f>AND(F122&gt;0,Y122&gt;0)</f>
        <v>0</v>
      </c>
      <c r="W122" s="297" t="s">
        <v>174</v>
      </c>
      <c r="Y122" s="873">
        <v>0</v>
      </c>
      <c r="AA122" s="1617" t="s">
        <v>175</v>
      </c>
      <c r="AB122" s="88" t="str">
        <f>"1."&amp;Y122</f>
        <v>1.0</v>
      </c>
      <c r="AC122" s="1243"/>
      <c r="AD122" s="90" t="s">
        <v>1514</v>
      </c>
      <c r="AE122" s="90"/>
      <c r="AF122" s="90"/>
      <c r="AG122" s="90"/>
      <c r="AH122" s="90"/>
      <c r="AI122" s="1241">
        <f>AI123*AI124*12/1000</f>
        <v>0</v>
      </c>
      <c r="AJ122" s="1241">
        <f>AJ123*AJ124*12/1000</f>
        <v>0</v>
      </c>
      <c r="AK122" s="4838"/>
      <c r="AN122" s="1030" t="s">
        <v>1869</v>
      </c>
      <c r="AO122" s="1030" t="s">
        <v>1870</v>
      </c>
      <c r="AP122" s="1030" cm="1" t="str">
        <f t="array" ref="AP122:AP122">AC122</f>
        <v>0</v>
      </c>
      <c r="AQ122" s="267"/>
      <c r="AR122" s="267" t="b">
        <v>1</v>
      </c>
    </row>
    <row s="1448" customFormat="1" customHeight="1" ht="14.25" hidden="1">
      <c r="E123" s="868">
        <v>15</v>
      </c>
      <c r="F123" s="50" cm="1" t="str">
        <f t="array" ref="F123:F123">OFFSET(E123,-1,1)</f>
        <v>3</v>
      </c>
      <c r="G123" s="520" t="s">
        <v>1871</v>
      </c>
      <c r="H123" s="520" t="str">
        <f>H122&amp;"_1"</f>
        <v>l1_1</v>
      </c>
      <c r="I123" s="520" cm="1" t="str">
        <f t="array" ref="I123:I123">I122</f>
        <v>0</v>
      </c>
      <c r="T123" s="465" cm="1" t="str">
        <f t="array" ref="T123:T123">T122</f>
        <v>false</v>
      </c>
      <c r="AA123" s="1617"/>
      <c r="AB123" s="690" t="str">
        <f>AB122&amp;".1"</f>
        <v>1.0.1</v>
      </c>
      <c r="AC123" s="221" t="s">
        <v>1872</v>
      </c>
      <c r="AD123" s="90" t="s">
        <v>1873</v>
      </c>
      <c r="AE123" s="90"/>
      <c r="AF123" s="90"/>
      <c r="AG123" s="90"/>
      <c r="AH123" s="90"/>
      <c r="AI123" s="1244"/>
      <c r="AJ123" s="1244"/>
      <c r="AK123" s="4838"/>
      <c r="AN123" s="1030" t="s">
        <v>1874</v>
      </c>
      <c r="AO123" s="1030" t="s">
        <v>1870</v>
      </c>
      <c r="AP123" s="1030" cm="1" t="str">
        <f t="array" ref="AP123:AP123">AP122</f>
        <v>0</v>
      </c>
      <c r="AQ123" s="267"/>
      <c r="AR123" s="267"/>
    </row>
    <row s="1448" customFormat="1" customHeight="1" ht="14.25" hidden="1">
      <c r="E124" s="868">
        <v>15</v>
      </c>
      <c r="F124" s="50" cm="1" t="str">
        <f t="array" ref="F124:F124">OFFSET(E124,-1,1)</f>
        <v>3</v>
      </c>
      <c r="H124" s="520" t="str">
        <f>H122&amp;"_2"</f>
        <v>l1_2</v>
      </c>
      <c r="I124" s="520" cm="1" t="str">
        <f t="array" ref="I124:I124">I123</f>
        <v>0</v>
      </c>
      <c r="T124" s="465" cm="1" t="str">
        <f t="array" ref="T124:T124">T123</f>
        <v>false</v>
      </c>
      <c r="AA124" s="1617"/>
      <c r="AB124" s="690" t="str">
        <f>AB122&amp;".2"</f>
        <v>1.0.2</v>
      </c>
      <c r="AC124" s="221" t="s">
        <v>1875</v>
      </c>
      <c r="AD124" s="90" t="s">
        <v>1876</v>
      </c>
      <c r="AE124" s="90"/>
      <c r="AF124" s="90"/>
      <c r="AG124" s="90"/>
      <c r="AH124" s="90"/>
      <c r="AI124" s="1244"/>
      <c r="AJ124" s="1244"/>
      <c r="AK124" s="4838"/>
      <c r="AN124" s="1030" t="s">
        <v>1877</v>
      </c>
      <c r="AO124" s="1030" t="s">
        <v>1870</v>
      </c>
      <c r="AP124" s="1030" cm="1" t="str">
        <f t="array" ref="AP124:AP124">AP123</f>
        <v>0</v>
      </c>
      <c r="AQ124" s="267"/>
      <c r="AR124" s="267"/>
    </row>
    <row s="1448" customFormat="1" customHeight="1" ht="18">
      <c r="A125" s="1448"/>
      <c r="B125" s="1448"/>
      <c r="C125" s="1448"/>
      <c r="D125" s="1448"/>
      <c r="E125" s="868">
        <v>18.75</v>
      </c>
      <c r="F125" s="50" cm="1" t="str">
        <f t="array" ref="F125:F125">OFFSET(E125,-1,1)</f>
        <v>3</v>
      </c>
      <c r="G125" s="1448"/>
      <c r="H125" s="520" t="s">
        <v>332</v>
      </c>
      <c r="I125" s="520" cm="1" t="str">
        <f t="array" ref="I125:I125">AC125</f>
        <v>основной производственный персонал</v>
      </c>
      <c r="J125" s="1448"/>
      <c r="K125" s="1448"/>
      <c r="L125" s="1448"/>
      <c r="M125" s="1448"/>
      <c r="N125" s="1448"/>
      <c r="O125" s="1448"/>
      <c r="P125" s="1448"/>
      <c r="Q125" s="1448"/>
      <c r="R125" s="1448"/>
      <c r="S125" s="1448"/>
      <c r="T125" s="465">
        <f>AND(F125&gt;0,Y125&gt;0)</f>
        <v>1</v>
      </c>
      <c r="U125" s="1448"/>
      <c r="V125" s="1448"/>
      <c r="W125" s="297"/>
      <c r="X125" s="1448"/>
      <c r="Y125" s="873" t="s">
        <v>276</v>
      </c>
      <c r="Z125" s="1448"/>
      <c r="AA125" s="1617" t="s">
        <v>175</v>
      </c>
      <c r="AB125" s="88" t="str">
        <f>"1."&amp;Y125</f>
        <v>1.1</v>
      </c>
      <c r="AC125" s="4748" t="s">
        <v>1906</v>
      </c>
      <c r="AD125" s="90" t="s">
        <v>1514</v>
      </c>
      <c r="AE125" s="90"/>
      <c r="AF125" s="90"/>
      <c r="AG125" s="90"/>
      <c r="AH125" s="90"/>
      <c r="AI125" s="3946">
        <f>AI126*AI127*12/1000</f>
        <v>59667.324568344</v>
      </c>
      <c r="AJ125" s="3946">
        <f>AJ126*AJ127*12/1000</f>
        <v>59667.324568344</v>
      </c>
      <c r="AK125" s="4839"/>
      <c r="AL125" s="1448"/>
      <c r="AM125" s="1448"/>
      <c r="AN125" s="1030" t="s">
        <v>1869</v>
      </c>
      <c r="AO125" s="1030" t="s">
        <v>1870</v>
      </c>
      <c r="AP125" s="1030" cm="1" t="str">
        <f t="array" ref="AP125:AP125">AC125</f>
        <v>основной производственный персонал</v>
      </c>
      <c r="AQ125" s="267"/>
      <c r="AR125" s="267" t="b">
        <v>1</v>
      </c>
    </row>
    <row s="1448" customFormat="1" customHeight="1" ht="14.25">
      <c r="A126" s="1448"/>
      <c r="B126" s="1448"/>
      <c r="C126" s="1448"/>
      <c r="D126" s="1448"/>
      <c r="E126" s="868">
        <v>15</v>
      </c>
      <c r="F126" s="50" cm="1" t="str">
        <f t="array" ref="F126:F126">OFFSET(E126,-1,1)</f>
        <v>3</v>
      </c>
      <c r="G126" s="520" t="s">
        <v>1871</v>
      </c>
      <c r="H126" s="520" t="str">
        <f>H125&amp;"_1"</f>
        <v>l1_1</v>
      </c>
      <c r="I126" s="520" cm="1" t="str">
        <f t="array" ref="I126:I126">I125</f>
        <v>основной производственный персонал</v>
      </c>
      <c r="J126" s="1448"/>
      <c r="K126" s="1448"/>
      <c r="L126" s="1448"/>
      <c r="M126" s="1448"/>
      <c r="N126" s="1448"/>
      <c r="O126" s="1448"/>
      <c r="P126" s="1448"/>
      <c r="Q126" s="1448"/>
      <c r="R126" s="1448"/>
      <c r="S126" s="1448"/>
      <c r="T126" s="465" cm="1" t="str">
        <f t="array" ref="T126:T126">T125</f>
        <v>true</v>
      </c>
      <c r="U126" s="1448"/>
      <c r="V126" s="1448"/>
      <c r="W126" s="1448"/>
      <c r="X126" s="1448"/>
      <c r="Y126" s="1448"/>
      <c r="Z126" s="1448"/>
      <c r="AA126" s="1617"/>
      <c r="AB126" s="690" t="str">
        <f>AB125&amp;".1"</f>
        <v>1.1.1</v>
      </c>
      <c r="AC126" s="221" t="s">
        <v>1872</v>
      </c>
      <c r="AD126" s="90" t="s">
        <v>1873</v>
      </c>
      <c r="AE126" s="90"/>
      <c r="AF126" s="90"/>
      <c r="AG126" s="90"/>
      <c r="AH126" s="90"/>
      <c r="AI126" s="4750">
        <v>109</v>
      </c>
      <c r="AJ126" s="4750">
        <v>109</v>
      </c>
      <c r="AK126" s="4839"/>
      <c r="AL126" s="1448"/>
      <c r="AM126" s="1448"/>
      <c r="AN126" s="1030" t="s">
        <v>1874</v>
      </c>
      <c r="AO126" s="1030" t="s">
        <v>1870</v>
      </c>
      <c r="AP126" s="1030" cm="1" t="str">
        <f t="array" ref="AP126:AP126">AP125</f>
        <v>основной производственный персонал</v>
      </c>
      <c r="AQ126" s="267"/>
      <c r="AR126" s="267"/>
    </row>
    <row s="1448" customFormat="1" customHeight="1" ht="14.25">
      <c r="A127" s="1448"/>
      <c r="B127" s="1448"/>
      <c r="C127" s="1448"/>
      <c r="D127" s="1448"/>
      <c r="E127" s="868">
        <v>15</v>
      </c>
      <c r="F127" s="50" cm="1" t="str">
        <f t="array" ref="F127:F127">OFFSET(E127,-1,1)</f>
        <v>3</v>
      </c>
      <c r="G127" s="1448"/>
      <c r="H127" s="520" t="str">
        <f>H125&amp;"_2"</f>
        <v>l1_2</v>
      </c>
      <c r="I127" s="520" cm="1" t="str">
        <f t="array" ref="I127:I127">I126</f>
        <v>основной производственный персонал</v>
      </c>
      <c r="J127" s="1448"/>
      <c r="K127" s="1448"/>
      <c r="L127" s="1448"/>
      <c r="M127" s="1448"/>
      <c r="N127" s="1448"/>
      <c r="O127" s="1448"/>
      <c r="P127" s="1448"/>
      <c r="Q127" s="1448"/>
      <c r="R127" s="1448"/>
      <c r="S127" s="1448"/>
      <c r="T127" s="465" cm="1" t="str">
        <f t="array" ref="T127:T127">T126</f>
        <v>true</v>
      </c>
      <c r="U127" s="1448"/>
      <c r="V127" s="1448"/>
      <c r="W127" s="1448"/>
      <c r="X127" s="1448"/>
      <c r="Y127" s="1448"/>
      <c r="Z127" s="1448"/>
      <c r="AA127" s="1617"/>
      <c r="AB127" s="690" t="str">
        <f>AB125&amp;".2"</f>
        <v>1.1.2</v>
      </c>
      <c r="AC127" s="221" t="s">
        <v>1875</v>
      </c>
      <c r="AD127" s="90" t="s">
        <v>1876</v>
      </c>
      <c r="AE127" s="90"/>
      <c r="AF127" s="90"/>
      <c r="AG127" s="90"/>
      <c r="AH127" s="90"/>
      <c r="AI127" s="4750">
        <v>45617.220618</v>
      </c>
      <c r="AJ127" s="4750">
        <v>45617.220618</v>
      </c>
      <c r="AK127" s="4839"/>
      <c r="AL127" s="1448"/>
      <c r="AM127" s="1448"/>
      <c r="AN127" s="1030" t="s">
        <v>1877</v>
      </c>
      <c r="AO127" s="1030" t="s">
        <v>1870</v>
      </c>
      <c r="AP127" s="1030" cm="1" t="str">
        <f t="array" ref="AP127:AP127">AP126</f>
        <v>основной производственный персонал</v>
      </c>
      <c r="AQ127" s="267"/>
      <c r="AR127" s="267"/>
    </row>
    <row s="1448" customFormat="1" customHeight="1" ht="18">
      <c r="A128" s="1448"/>
      <c r="B128" s="1448"/>
      <c r="C128" s="1448"/>
      <c r="D128" s="1448"/>
      <c r="E128" s="868">
        <v>18.75</v>
      </c>
      <c r="F128" s="50" cm="1" t="str">
        <f t="array" ref="F128:F128">OFFSET(E128,-1,1)</f>
        <v>3</v>
      </c>
      <c r="G128" s="1448"/>
      <c r="H128" s="520" t="s">
        <v>332</v>
      </c>
      <c r="I128" s="520" cm="1" t="str">
        <f t="array" ref="I128:I128">AC128</f>
        <v>цеховый персонал</v>
      </c>
      <c r="J128" s="1448"/>
      <c r="K128" s="1448"/>
      <c r="L128" s="1448"/>
      <c r="M128" s="1448"/>
      <c r="N128" s="1448"/>
      <c r="O128" s="1448"/>
      <c r="P128" s="1448"/>
      <c r="Q128" s="1448"/>
      <c r="R128" s="1448"/>
      <c r="S128" s="1448"/>
      <c r="T128" s="465">
        <f>AND(F128&gt;0,Y128&gt;0)</f>
        <v>1</v>
      </c>
      <c r="U128" s="1448"/>
      <c r="V128" s="1448"/>
      <c r="W128" s="297"/>
      <c r="X128" s="1448"/>
      <c r="Y128" s="873" t="s">
        <v>285</v>
      </c>
      <c r="Z128" s="1448"/>
      <c r="AA128" s="1617" t="s">
        <v>175</v>
      </c>
      <c r="AB128" s="88" t="str">
        <f>"1."&amp;Y128</f>
        <v>1.2</v>
      </c>
      <c r="AC128" s="4748" t="s">
        <v>1907</v>
      </c>
      <c r="AD128" s="90" t="s">
        <v>1514</v>
      </c>
      <c r="AE128" s="90"/>
      <c r="AF128" s="90"/>
      <c r="AG128" s="90"/>
      <c r="AH128" s="90"/>
      <c r="AI128" s="3946">
        <f>AI129*AI130*12/1000</f>
        <v>4208.1753556782</v>
      </c>
      <c r="AJ128" s="3946">
        <f>AJ129*AJ130*12/1000</f>
        <v>4208.1753556782</v>
      </c>
      <c r="AK128" s="4839"/>
      <c r="AL128" s="1448"/>
      <c r="AM128" s="1448"/>
      <c r="AN128" s="1030" t="s">
        <v>1869</v>
      </c>
      <c r="AO128" s="1030" t="s">
        <v>1870</v>
      </c>
      <c r="AP128" s="1030" cm="1" t="str">
        <f t="array" ref="AP128:AP128">AC128</f>
        <v>цеховый персонал</v>
      </c>
      <c r="AQ128" s="267"/>
      <c r="AR128" s="267" t="b">
        <v>1</v>
      </c>
    </row>
    <row s="1448" customFormat="1" customHeight="1" ht="14.25">
      <c r="A129" s="1448"/>
      <c r="B129" s="1448"/>
      <c r="C129" s="1448"/>
      <c r="D129" s="1448"/>
      <c r="E129" s="868">
        <v>15</v>
      </c>
      <c r="F129" s="50" cm="1" t="str">
        <f t="array" ref="F129:F129">OFFSET(E129,-1,1)</f>
        <v>3</v>
      </c>
      <c r="G129" s="520" t="s">
        <v>1871</v>
      </c>
      <c r="H129" s="520" t="str">
        <f>H128&amp;"_1"</f>
        <v>l1_1</v>
      </c>
      <c r="I129" s="520" cm="1" t="str">
        <f t="array" ref="I129:I129">I128</f>
        <v>цеховый персонал</v>
      </c>
      <c r="J129" s="1448"/>
      <c r="K129" s="1448"/>
      <c r="L129" s="1448"/>
      <c r="M129" s="1448"/>
      <c r="N129" s="1448"/>
      <c r="O129" s="1448"/>
      <c r="P129" s="1448"/>
      <c r="Q129" s="1448"/>
      <c r="R129" s="1448"/>
      <c r="S129" s="1448"/>
      <c r="T129" s="465" cm="1" t="str">
        <f t="array" ref="T129:T129">T128</f>
        <v>true</v>
      </c>
      <c r="U129" s="1448"/>
      <c r="V129" s="1448"/>
      <c r="W129" s="1448"/>
      <c r="X129" s="1448"/>
      <c r="Y129" s="1448"/>
      <c r="Z129" s="1448"/>
      <c r="AA129" s="1617"/>
      <c r="AB129" s="690" t="str">
        <f>AB128&amp;".1"</f>
        <v>1.2.1</v>
      </c>
      <c r="AC129" s="221" t="s">
        <v>1872</v>
      </c>
      <c r="AD129" s="90" t="s">
        <v>1873</v>
      </c>
      <c r="AE129" s="90"/>
      <c r="AF129" s="90"/>
      <c r="AG129" s="90"/>
      <c r="AH129" s="90"/>
      <c r="AI129" s="4750">
        <v>7.65</v>
      </c>
      <c r="AJ129" s="4750">
        <v>7.65</v>
      </c>
      <c r="AK129" s="4839"/>
      <c r="AL129" s="1448"/>
      <c r="AM129" s="1448"/>
      <c r="AN129" s="1030" t="s">
        <v>1874</v>
      </c>
      <c r="AO129" s="1030" t="s">
        <v>1870</v>
      </c>
      <c r="AP129" s="1030" cm="1" t="str">
        <f t="array" ref="AP129:AP129">AP128</f>
        <v>цеховый персонал</v>
      </c>
      <c r="AQ129" s="267"/>
      <c r="AR129" s="267"/>
    </row>
    <row s="1448" customFormat="1" customHeight="1" ht="14.25">
      <c r="A130" s="1448"/>
      <c r="B130" s="1448"/>
      <c r="C130" s="1448"/>
      <c r="D130" s="1448"/>
      <c r="E130" s="868">
        <v>15</v>
      </c>
      <c r="F130" s="50" cm="1" t="str">
        <f t="array" ref="F130:F130">OFFSET(E130,-1,1)</f>
        <v>3</v>
      </c>
      <c r="G130" s="1448"/>
      <c r="H130" s="520" t="str">
        <f>H128&amp;"_2"</f>
        <v>l1_2</v>
      </c>
      <c r="I130" s="520" cm="1" t="str">
        <f t="array" ref="I130:I130">I129</f>
        <v>цеховый персонал</v>
      </c>
      <c r="J130" s="1448"/>
      <c r="K130" s="1448"/>
      <c r="L130" s="1448"/>
      <c r="M130" s="1448"/>
      <c r="N130" s="1448"/>
      <c r="O130" s="1448"/>
      <c r="P130" s="1448"/>
      <c r="Q130" s="1448"/>
      <c r="R130" s="1448"/>
      <c r="S130" s="1448"/>
      <c r="T130" s="465" cm="1" t="str">
        <f t="array" ref="T130:T130">T129</f>
        <v>true</v>
      </c>
      <c r="U130" s="1448"/>
      <c r="V130" s="1448"/>
      <c r="W130" s="1448"/>
      <c r="X130" s="1448"/>
      <c r="Y130" s="1448"/>
      <c r="Z130" s="1448"/>
      <c r="AA130" s="1617"/>
      <c r="AB130" s="690" t="str">
        <f>AB128&amp;".2"</f>
        <v>1.2.2</v>
      </c>
      <c r="AC130" s="221" t="s">
        <v>1875</v>
      </c>
      <c r="AD130" s="90" t="s">
        <v>1876</v>
      </c>
      <c r="AE130" s="90"/>
      <c r="AF130" s="90"/>
      <c r="AG130" s="90"/>
      <c r="AH130" s="90"/>
      <c r="AI130" s="4750">
        <v>45840.690149</v>
      </c>
      <c r="AJ130" s="4750">
        <v>45840.690149</v>
      </c>
      <c r="AK130" s="4839"/>
      <c r="AL130" s="1448"/>
      <c r="AM130" s="1448"/>
      <c r="AN130" s="1030" t="s">
        <v>1877</v>
      </c>
      <c r="AO130" s="1030" t="s">
        <v>1870</v>
      </c>
      <c r="AP130" s="1030" cm="1" t="str">
        <f t="array" ref="AP130:AP130">AP129</f>
        <v>цеховый персонал</v>
      </c>
      <c r="AQ130" s="267"/>
      <c r="AR130" s="267"/>
    </row>
    <row s="1448" customFormat="1" customHeight="1" ht="14.25">
      <c r="A131" s="1812"/>
      <c r="B131" s="429"/>
      <c r="C131" s="867"/>
      <c r="D131" s="867"/>
      <c r="E131" s="868">
        <v>15</v>
      </c>
      <c r="F131" s="50" cm="1" t="str">
        <f t="array" ref="F131:F131">OFFSET(E131,-1,1)</f>
        <v>3</v>
      </c>
      <c r="G131" s="374"/>
      <c r="H131" s="839"/>
      <c r="I131" s="152" t="str">
        <f>"!=='не определено' &amp;&amp; row.l1 !== null"</f>
        <v>!=='не определено' &amp;&amp; row.l1 !== null</v>
      </c>
      <c r="J131" s="867"/>
      <c r="K131" s="483"/>
      <c r="L131" s="483"/>
      <c r="M131" s="867"/>
      <c r="N131" s="867"/>
      <c r="O131" s="867"/>
      <c r="P131" s="867"/>
      <c r="Q131" s="867"/>
      <c r="R131" s="867"/>
      <c r="S131" s="867"/>
      <c r="T131" s="465">
        <f>F131&gt;0</f>
        <v>1</v>
      </c>
      <c r="U131" s="867"/>
      <c r="V131" s="867"/>
      <c r="W131" s="757" t="s">
        <v>399</v>
      </c>
      <c r="X131" s="1619"/>
      <c r="Y131" s="873"/>
      <c r="Z131" s="1620"/>
      <c r="AA131" s="867"/>
      <c r="AB131" s="874"/>
      <c r="AC131" s="260" t="s">
        <v>178</v>
      </c>
      <c r="AD131" s="776"/>
      <c r="AE131" s="776"/>
      <c r="AF131" s="776"/>
      <c r="AG131" s="776"/>
      <c r="AH131" s="776"/>
      <c r="AI131" s="776"/>
      <c r="AJ131" s="776"/>
      <c r="AK131" s="777"/>
      <c r="AL131" s="1812"/>
      <c r="AM131" s="1812"/>
      <c r="AN131" s="1030"/>
      <c r="AO131" s="1030"/>
      <c r="AP131" s="1030"/>
      <c r="AQ131" s="267" t="s">
        <v>1870</v>
      </c>
      <c r="AR131" s="267"/>
    </row>
    <row s="1448" customFormat="1" customHeight="1" ht="33.75">
      <c r="A132" s="1812"/>
      <c r="B132" s="429"/>
      <c r="C132" s="867"/>
      <c r="D132" s="867"/>
      <c r="E132" s="868">
        <v>22.5</v>
      </c>
      <c r="F132" s="50" cm="1" t="str">
        <f t="array" ref="F132:F132">OFFSET(E132,-1,1)</f>
        <v>3</v>
      </c>
      <c r="G132" s="374" t="s">
        <v>1878</v>
      </c>
      <c r="H132" s="839" t="s">
        <v>333</v>
      </c>
      <c r="I132" s="839"/>
      <c r="J132" s="867"/>
      <c r="K132" s="483" t="str">
        <f>F132&amp;"2komm"</f>
        <v>32komm</v>
      </c>
      <c r="L132" s="917" cm="1" t="str">
        <f t="array" ref="L132:L132">AK132</f>
        <v>на основании Налогового кодекса РФ (часть вторая) от 05.08.2000 № 117-ФЗ в размере 30%, а также в соответствии с Федеральным законом от 24.07.1998 № 125 – ФЗ (0,20%).</v>
      </c>
      <c r="M132" s="867"/>
      <c r="N132" s="867"/>
      <c r="O132" s="867"/>
      <c r="P132" s="867"/>
      <c r="Q132" s="867"/>
      <c r="R132" s="867"/>
      <c r="S132" s="867"/>
      <c r="T132" s="465" cm="1" t="str">
        <f t="array" ref="T132:T132">T131</f>
        <v>true</v>
      </c>
      <c r="U132" s="867"/>
      <c r="V132" s="867"/>
      <c r="W132" s="867"/>
      <c r="X132" s="1619"/>
      <c r="Y132" s="873"/>
      <c r="Z132" s="1620"/>
      <c r="AA132" s="867"/>
      <c r="AB132" s="690" t="s">
        <v>285</v>
      </c>
      <c r="AC132" s="847" t="s">
        <v>1879</v>
      </c>
      <c r="AD132" s="766" t="s">
        <v>1514</v>
      </c>
      <c r="AE132" s="298">
        <f>AE121*_xlfn.SUMIFS(INDEX(Сценарии!$AE$25:$BF$163,,MATCH(AE$13,Сценарии!$AE$8:$BF$8,0)),Сценарии!$F$25:$F$163,$F132,Сценарии!$G$25:$G$163,"СВФОТ")/100</f>
        <v>0</v>
      </c>
      <c r="AF132" s="298">
        <f>AF121*_xlfn.SUMIFS(INDEX(Сценарии!$AE$25:$BF$163,,MATCH(AF$13,Сценарии!$AE$8:$BF$8,0)),Сценарии!$F$25:$F$163,$F132,Сценарии!$G$25:$G$163,"СВФОТ")/100</f>
        <v>0</v>
      </c>
      <c r="AG132" s="298">
        <f>AG121*_xlfn.SUMIFS(INDEX(Сценарии!$AE$25:$BF$163,,MATCH(AG$13,Сценарии!$AE$8:$BF$8,0)),Сценарии!$F$25:$F$163,$F132,Сценарии!$G$25:$G$163,"СВФОТ")/100</f>
        <v>0</v>
      </c>
      <c r="AH132" s="298">
        <f>AH121*_xlfn.SUMIFS(INDEX(Сценарии!$AE$25:$BF$163,,MATCH(AH$13,Сценарии!$AE$8:$BF$8,0)),Сценарии!$F$25:$F$163,$F132,Сценарии!$G$25:$G$163,"СВФОТ")/100</f>
        <v>0</v>
      </c>
      <c r="AI132" s="298">
        <f>AI121*_xlfn.SUMIFS(INDEX(Сценарии!$AE$25:$BF$163,,MATCH(AI$13,Сценарии!$AE$8:$BF$8,0)),Сценарии!$F$25:$F$163,$F132,Сценарии!$G$25:$G$163,"СВФОТ")/100</f>
        <v>19290.4009770547</v>
      </c>
      <c r="AJ132" s="298">
        <f>AJ121*_xlfn.SUMIFS(INDEX(Сценарии!$AE$25:$BF$163,,MATCH(AJ$13,Сценарии!$AE$8:$BF$8,0)),Сценарии!$F$25:$F$163,$F132,Сценарии!$G$25:$G$163,"СВФОТ")/100</f>
        <v>19290.4009770547</v>
      </c>
      <c r="AK132" s="846" t="s">
        <v>1232</v>
      </c>
      <c r="AL132" s="1812"/>
      <c r="AM132" s="1812"/>
      <c r="AN132" s="1030" t="s">
        <v>1880</v>
      </c>
      <c r="AO132" s="1030"/>
      <c r="AP132" s="1030"/>
      <c r="AQ132" s="267"/>
      <c r="AR132" s="267"/>
    </row>
    <row s="1448" customFormat="1" customHeight="1" ht="0">
      <c r="A133" s="1812"/>
      <c r="B133" s="429"/>
      <c r="C133" s="867"/>
      <c r="D133" s="867"/>
      <c r="E133" s="868">
        <v>15</v>
      </c>
      <c r="F133" s="50" cm="1" t="str">
        <f t="array" ref="F133:F133">OFFSET(E133,-1,1)</f>
        <v>3</v>
      </c>
      <c r="G133" s="374" t="s">
        <v>1881</v>
      </c>
      <c r="H133" s="839" t="s">
        <v>334</v>
      </c>
      <c r="I133" s="839"/>
      <c r="J133" s="867"/>
      <c r="K133" s="483" t="str">
        <f>F133&amp;"3komm"</f>
        <v>33komm</v>
      </c>
      <c r="L133" s="917" cm="1" t="str">
        <f t="array" ref="L133:L133">AK133</f>
        <v>0</v>
      </c>
      <c r="M133" s="867"/>
      <c r="N133" s="867"/>
      <c r="O133" s="867"/>
      <c r="P133" s="867"/>
      <c r="Q133" s="867"/>
      <c r="R133" s="867"/>
      <c r="S133" s="867"/>
      <c r="T133" s="465" cm="1" t="str">
        <f t="array" ref="T133:T133">T132</f>
        <v>true</v>
      </c>
      <c r="U133" s="867"/>
      <c r="V133" s="867"/>
      <c r="W133" s="867"/>
      <c r="X133" s="1619"/>
      <c r="Y133" s="873"/>
      <c r="Z133" s="1620"/>
      <c r="AA133" s="867"/>
      <c r="AB133" s="690" t="s">
        <v>289</v>
      </c>
      <c r="AC133" s="847" t="s">
        <v>1882</v>
      </c>
      <c r="AD133" s="766" t="s">
        <v>1514</v>
      </c>
      <c r="AE133" s="298"/>
      <c r="AF133" s="298"/>
      <c r="AG133" s="298"/>
      <c r="AH133" s="298"/>
      <c r="AI133" s="213">
        <f>_xlfn.SUMIFS(AI134:AI137,$AD134:$AD137,$AD133)</f>
        <v>0</v>
      </c>
      <c r="AJ133" s="213">
        <f>_xlfn.SUMIFS(AJ134:AJ137,$AD134:$AD137,$AD133)</f>
        <v>0</v>
      </c>
      <c r="AK133" s="846"/>
      <c r="AL133" s="1812"/>
      <c r="AM133" s="1812"/>
      <c r="AN133" s="1030" t="s">
        <v>1883</v>
      </c>
      <c r="AO133" s="1030"/>
      <c r="AP133" s="1030"/>
      <c r="AQ133" s="267"/>
      <c r="AR133" s="267"/>
    </row>
    <row s="1448" customFormat="1" customHeight="1" ht="0" hidden="1">
      <c r="A134" s="1812"/>
      <c r="B134" s="429"/>
      <c r="C134" s="867"/>
      <c r="D134" s="867"/>
      <c r="E134" s="868">
        <v>18.75</v>
      </c>
      <c r="F134" s="50" cm="1" t="str">
        <f t="array" ref="F134:F134">OFFSET(E134,-1,1)</f>
        <v>3</v>
      </c>
      <c r="G134" s="839"/>
      <c r="H134" s="839" t="s">
        <v>334</v>
      </c>
      <c r="I134" s="839" cm="1" t="str">
        <f t="array" ref="I134:I134">AC134</f>
        <v>0</v>
      </c>
      <c r="J134" s="867"/>
      <c r="K134" s="483"/>
      <c r="L134" s="483"/>
      <c r="M134" s="867"/>
      <c r="N134" s="867"/>
      <c r="O134" s="867"/>
      <c r="P134" s="867"/>
      <c r="Q134" s="867"/>
      <c r="R134" s="867"/>
      <c r="S134" s="867"/>
      <c r="T134" s="465">
        <f>AND(F134&gt;0,Y134&gt;0)</f>
        <v>0</v>
      </c>
      <c r="U134" s="867"/>
      <c r="V134" s="867"/>
      <c r="W134" s="867" t="s">
        <v>174</v>
      </c>
      <c r="X134" s="1619"/>
      <c r="Y134" s="1619">
        <v>0</v>
      </c>
      <c r="Z134" s="1620"/>
      <c r="AA134" s="1617" t="s">
        <v>175</v>
      </c>
      <c r="AB134" s="300" t="str">
        <f>"3."&amp;Y134</f>
        <v>3.0</v>
      </c>
      <c r="AC134" s="4727"/>
      <c r="AD134" s="766" t="s">
        <v>1514</v>
      </c>
      <c r="AE134" s="4728"/>
      <c r="AF134" s="4728"/>
      <c r="AG134" s="4728"/>
      <c r="AH134" s="4728"/>
      <c r="AI134" s="3557">
        <f>AI135*AI136*12/1000</f>
        <v>0</v>
      </c>
      <c r="AJ134" s="3557">
        <f>AJ135*AJ136*12/1000</f>
        <v>0</v>
      </c>
      <c r="AK134" s="1947"/>
      <c r="AL134" s="1812"/>
      <c r="AM134" s="1812"/>
      <c r="AN134" s="1030" t="s">
        <v>1869</v>
      </c>
      <c r="AO134" s="1030" t="s">
        <v>1884</v>
      </c>
      <c r="AP134" s="1030" cm="1" t="str">
        <f t="array" ref="AP134:AP134">AC134</f>
        <v>0</v>
      </c>
      <c r="AQ134" s="267"/>
      <c r="AR134" s="267" t="b">
        <v>1</v>
      </c>
    </row>
    <row s="1448" customFormat="1" customHeight="1" ht="0" hidden="1">
      <c r="A135" s="1812"/>
      <c r="B135" s="429"/>
      <c r="C135" s="867"/>
      <c r="D135" s="867"/>
      <c r="E135" s="868">
        <v>15</v>
      </c>
      <c r="F135" s="50" cm="1" t="str">
        <f t="array" ref="F135:F135">OFFSET(E135,-1,1)</f>
        <v>3</v>
      </c>
      <c r="G135" s="872" t="s">
        <v>1885</v>
      </c>
      <c r="H135" s="839" t="str">
        <f>H134&amp;"_1"</f>
        <v>l3_1</v>
      </c>
      <c r="I135" s="839" cm="1" t="str">
        <f t="array" ref="I135:I135">I134</f>
        <v>0</v>
      </c>
      <c r="J135" s="867"/>
      <c r="K135" s="483"/>
      <c r="L135" s="483"/>
      <c r="M135" s="867"/>
      <c r="N135" s="867"/>
      <c r="O135" s="867"/>
      <c r="P135" s="867"/>
      <c r="Q135" s="867"/>
      <c r="R135" s="867"/>
      <c r="S135" s="867"/>
      <c r="T135" s="465" cm="1" t="str">
        <f t="array" ref="T135:T135">T134</f>
        <v>false</v>
      </c>
      <c r="U135" s="867"/>
      <c r="V135" s="867"/>
      <c r="W135" s="867"/>
      <c r="X135" s="1619"/>
      <c r="Y135" s="1619"/>
      <c r="Z135" s="1620"/>
      <c r="AA135" s="1617"/>
      <c r="AB135" s="690" t="str">
        <f>AB134&amp;".1"</f>
        <v>3.0.1</v>
      </c>
      <c r="AC135" s="765" t="s">
        <v>1872</v>
      </c>
      <c r="AD135" s="766" t="s">
        <v>1873</v>
      </c>
      <c r="AE135" s="4728"/>
      <c r="AF135" s="4728"/>
      <c r="AG135" s="4728"/>
      <c r="AH135" s="4728"/>
      <c r="AI135" s="4725"/>
      <c r="AJ135" s="4725"/>
      <c r="AK135" s="1947"/>
      <c r="AL135" s="1812"/>
      <c r="AM135" s="1812"/>
      <c r="AN135" s="1030" t="s">
        <v>1874</v>
      </c>
      <c r="AO135" s="1030" t="s">
        <v>1884</v>
      </c>
      <c r="AP135" s="1030" cm="1" t="str">
        <f t="array" ref="AP135:AP135">AP134</f>
        <v>0</v>
      </c>
      <c r="AQ135" s="267"/>
      <c r="AR135" s="267"/>
    </row>
    <row s="1448" customFormat="1" customHeight="1" ht="0" hidden="1">
      <c r="A136" s="1812"/>
      <c r="B136" s="429"/>
      <c r="C136" s="867"/>
      <c r="D136" s="867"/>
      <c r="E136" s="868">
        <v>15</v>
      </c>
      <c r="F136" s="50" cm="1" t="str">
        <f t="array" ref="F136:F136">OFFSET(E136,-1,1)</f>
        <v>3</v>
      </c>
      <c r="G136" s="839"/>
      <c r="H136" s="839" t="str">
        <f>H134&amp;"_2"</f>
        <v>l3_2</v>
      </c>
      <c r="I136" s="839" cm="1" t="str">
        <f t="array" ref="I136:I136">I135</f>
        <v>0</v>
      </c>
      <c r="J136" s="867"/>
      <c r="K136" s="483"/>
      <c r="L136" s="483"/>
      <c r="M136" s="867"/>
      <c r="N136" s="867"/>
      <c r="O136" s="867"/>
      <c r="P136" s="867"/>
      <c r="Q136" s="867"/>
      <c r="R136" s="867"/>
      <c r="S136" s="867"/>
      <c r="T136" s="465" cm="1" t="str">
        <f t="array" ref="T136:T136">T135</f>
        <v>false</v>
      </c>
      <c r="U136" s="867"/>
      <c r="V136" s="867"/>
      <c r="W136" s="867"/>
      <c r="X136" s="1619"/>
      <c r="Y136" s="1619"/>
      <c r="Z136" s="1620"/>
      <c r="AA136" s="1617"/>
      <c r="AB136" s="690" t="str">
        <f>AB134&amp;".2"</f>
        <v>3.0.2</v>
      </c>
      <c r="AC136" s="765" t="s">
        <v>1875</v>
      </c>
      <c r="AD136" s="766" t="s">
        <v>1876</v>
      </c>
      <c r="AE136" s="4728"/>
      <c r="AF136" s="4728"/>
      <c r="AG136" s="4728"/>
      <c r="AH136" s="4728"/>
      <c r="AI136" s="4725"/>
      <c r="AJ136" s="4725"/>
      <c r="AK136" s="1947"/>
      <c r="AL136" s="1812"/>
      <c r="AM136" s="1812"/>
      <c r="AN136" s="1030" t="s">
        <v>1877</v>
      </c>
      <c r="AO136" s="1030" t="s">
        <v>1884</v>
      </c>
      <c r="AP136" s="1030" cm="1" t="str">
        <f t="array" ref="AP136:AP136">AP135</f>
        <v>0</v>
      </c>
      <c r="AQ136" s="267"/>
      <c r="AR136" s="267"/>
    </row>
    <row s="1448" customFormat="1" customHeight="1" ht="0">
      <c r="A137" s="1812"/>
      <c r="B137" s="429"/>
      <c r="C137" s="867"/>
      <c r="D137" s="867"/>
      <c r="E137" s="868">
        <v>15</v>
      </c>
      <c r="F137" s="50" cm="1" t="str">
        <f t="array" ref="F137:F137">OFFSET(E137,-1,1)</f>
        <v>3</v>
      </c>
      <c r="G137" s="374"/>
      <c r="H137" s="839"/>
      <c r="I137" s="152" t="str">
        <f>"!=='не определено' &amp;&amp; row.l3 !== null"</f>
        <v>!=='не определено' &amp;&amp; row.l3 !== null</v>
      </c>
      <c r="J137" s="867"/>
      <c r="K137" s="483"/>
      <c r="L137" s="483"/>
      <c r="M137" s="867"/>
      <c r="N137" s="867"/>
      <c r="O137" s="867"/>
      <c r="P137" s="867"/>
      <c r="Q137" s="867"/>
      <c r="R137" s="867"/>
      <c r="S137" s="867"/>
      <c r="T137" s="465">
        <f>F137&gt;0</f>
        <v>1</v>
      </c>
      <c r="U137" s="867"/>
      <c r="V137" s="867"/>
      <c r="W137" s="757" t="s">
        <v>1613</v>
      </c>
      <c r="X137" s="1619"/>
      <c r="Y137" s="873"/>
      <c r="Z137" s="1620"/>
      <c r="AA137" s="867"/>
      <c r="AB137" s="874"/>
      <c r="AC137" s="260" t="s">
        <v>178</v>
      </c>
      <c r="AD137" s="776"/>
      <c r="AE137" s="776"/>
      <c r="AF137" s="776"/>
      <c r="AG137" s="776"/>
      <c r="AH137" s="776"/>
      <c r="AI137" s="776"/>
      <c r="AJ137" s="776"/>
      <c r="AK137" s="777"/>
      <c r="AL137" s="1812"/>
      <c r="AM137" s="1812"/>
      <c r="AN137" s="1030"/>
      <c r="AO137" s="1030"/>
      <c r="AP137" s="1030"/>
      <c r="AQ137" s="267" t="s">
        <v>1884</v>
      </c>
      <c r="AR137" s="267"/>
    </row>
    <row s="1448" customFormat="1" customHeight="1" ht="0">
      <c r="A138" s="1812"/>
      <c r="B138" s="429"/>
      <c r="C138" s="867"/>
      <c r="D138" s="867"/>
      <c r="E138" s="868">
        <v>22.5</v>
      </c>
      <c r="F138" s="50" cm="1" t="str">
        <f t="array" ref="F138:F138">OFFSET(E138,-1,1)</f>
        <v>3</v>
      </c>
      <c r="G138" s="374" t="s">
        <v>1886</v>
      </c>
      <c r="H138" s="839" t="s">
        <v>336</v>
      </c>
      <c r="I138" s="839"/>
      <c r="J138" s="867"/>
      <c r="K138" s="483" t="str">
        <f>F138&amp;"4komm"</f>
        <v>34komm</v>
      </c>
      <c r="L138" s="917" cm="1" t="str">
        <f t="array" ref="L138:L138">AK138</f>
        <v>0</v>
      </c>
      <c r="M138" s="867"/>
      <c r="N138" s="867"/>
      <c r="O138" s="867"/>
      <c r="P138" s="867"/>
      <c r="Q138" s="867"/>
      <c r="R138" s="867"/>
      <c r="S138" s="867"/>
      <c r="T138" s="465" cm="1" t="str">
        <f t="array" ref="T138:T138">T137</f>
        <v>true</v>
      </c>
      <c r="U138" s="867"/>
      <c r="V138" s="867"/>
      <c r="W138" s="867"/>
      <c r="X138" s="1619"/>
      <c r="Y138" s="873"/>
      <c r="Z138" s="1620"/>
      <c r="AA138" s="867"/>
      <c r="AB138" s="690" t="s">
        <v>295</v>
      </c>
      <c r="AC138" s="847" t="s">
        <v>1887</v>
      </c>
      <c r="AD138" s="766" t="s">
        <v>1514</v>
      </c>
      <c r="AE138" s="298">
        <f>AE133*_xlfn.SUMIFS(INDEX(Сценарии!$AE$25:$BF$163,,MATCH(AE$13,Сценарии!$AE$8:$BF$8,0)),Сценарии!$F$25:$F$163,$F138,Сценарии!$G$25:$G$163,"СВФОТ")/100</f>
        <v>0</v>
      </c>
      <c r="AF138" s="298">
        <f>AF133*_xlfn.SUMIFS(INDEX(Сценарии!$AE$25:$BF$163,,MATCH(AF$13,Сценарии!$AE$8:$BF$8,0)),Сценарии!$F$25:$F$163,$F138,Сценарии!$G$25:$G$163,"СВФОТ")/100</f>
        <v>0</v>
      </c>
      <c r="AG138" s="298">
        <f>AG133*_xlfn.SUMIFS(INDEX(Сценарии!$AE$25:$BF$163,,MATCH(AG$13,Сценарии!$AE$8:$BF$8,0)),Сценарии!$F$25:$F$163,$F138,Сценарии!$G$25:$G$163,"СВФОТ")/100</f>
        <v>0</v>
      </c>
      <c r="AH138" s="298">
        <f>AH133*_xlfn.SUMIFS(INDEX(Сценарии!$AE$25:$BF$163,,MATCH(AH$13,Сценарии!$AE$8:$BF$8,0)),Сценарии!$F$25:$F$163,$F138,Сценарии!$G$25:$G$163,"СВФОТ")/100</f>
        <v>0</v>
      </c>
      <c r="AI138" s="298">
        <f>AI133*_xlfn.SUMIFS(INDEX(Сценарии!$AE$25:$BF$163,,MATCH(AI$13,Сценарии!$AE$8:$BF$8,0)),Сценарии!$F$25:$F$163,$F138,Сценарии!$G$25:$G$163,"СВФОТ")/100</f>
        <v>0</v>
      </c>
      <c r="AJ138" s="298">
        <f>AJ133*_xlfn.SUMIFS(INDEX(Сценарии!$AE$25:$BF$163,,MATCH(AJ$13,Сценарии!$AE$8:$BF$8,0)),Сценарии!$F$25:$F$163,$F138,Сценарии!$G$25:$G$163,"СВФОТ")/100</f>
        <v>0</v>
      </c>
      <c r="AK138" s="846"/>
      <c r="AL138" s="1812"/>
      <c r="AM138" s="1812"/>
      <c r="AN138" s="1030" t="s">
        <v>1888</v>
      </c>
      <c r="AO138" s="1030"/>
      <c r="AP138" s="1030"/>
      <c r="AQ138" s="267"/>
      <c r="AR138" s="267"/>
    </row>
    <row s="1448" customFormat="1" customHeight="1" ht="21.75">
      <c r="A139" s="1812"/>
      <c r="B139" s="429"/>
      <c r="C139" s="867"/>
      <c r="D139" s="867"/>
      <c r="E139" s="868">
        <v>22.5</v>
      </c>
      <c r="F139" s="50" cm="1" t="str">
        <f t="array" ref="F139:F139">OFFSET(E139,-1,1)</f>
        <v>3</v>
      </c>
      <c r="G139" s="374" t="s">
        <v>1889</v>
      </c>
      <c r="H139" s="839" t="s">
        <v>335</v>
      </c>
      <c r="I139" s="839"/>
      <c r="J139" s="867"/>
      <c r="K139" s="483" t="str">
        <f>F139&amp;"5komm"</f>
        <v>35komm</v>
      </c>
      <c r="L139" s="917" cm="1" t="str">
        <f t="array" ref="L139:L139">AK139</f>
        <v>по предложению организации в соответствии со штатным расписанием.</v>
      </c>
      <c r="M139" s="867"/>
      <c r="N139" s="867"/>
      <c r="O139" s="867"/>
      <c r="P139" s="867"/>
      <c r="Q139" s="867"/>
      <c r="R139" s="867"/>
      <c r="S139" s="867"/>
      <c r="T139" s="465" cm="1" t="str">
        <f t="array" ref="T139:T139">T138</f>
        <v>true</v>
      </c>
      <c r="U139" s="867"/>
      <c r="V139" s="867"/>
      <c r="W139" s="867"/>
      <c r="X139" s="1619"/>
      <c r="Y139" s="873"/>
      <c r="Z139" s="1620"/>
      <c r="AA139" s="867"/>
      <c r="AB139" s="690" t="s">
        <v>443</v>
      </c>
      <c r="AC139" s="847" t="s">
        <v>1890</v>
      </c>
      <c r="AD139" s="766" t="s">
        <v>1514</v>
      </c>
      <c r="AE139" s="298"/>
      <c r="AF139" s="298"/>
      <c r="AG139" s="298"/>
      <c r="AH139" s="298"/>
      <c r="AI139" s="213">
        <f>_xlfn.SUMIFS(AI140:AI146,$AD140:$AD146,$AD139)</f>
        <v>11321.4499381907</v>
      </c>
      <c r="AJ139" s="213">
        <f>_xlfn.SUMIFS(AJ140:AJ146,$AD140:$AD146,$AD139)</f>
        <v>11321.4499381907</v>
      </c>
      <c r="AK139" s="846" t="s">
        <v>1905</v>
      </c>
      <c r="AL139" s="1812"/>
      <c r="AM139" s="1812"/>
      <c r="AN139" s="1030" t="s">
        <v>1891</v>
      </c>
      <c r="AO139" s="1030"/>
      <c r="AP139" s="1030"/>
      <c r="AQ139" s="267"/>
      <c r="AR139" s="267"/>
    </row>
    <row s="1448" customFormat="1" customHeight="1" ht="18" hidden="1">
      <c r="E140" s="868">
        <v>18.75</v>
      </c>
      <c r="F140" s="50" cm="1" t="str">
        <f t="array" ref="F140:F140">OFFSET(E140,-1,1)</f>
        <v>3</v>
      </c>
      <c r="H140" s="520" t="s">
        <v>335</v>
      </c>
      <c r="I140" s="520" cm="1" t="str">
        <f t="array" ref="I140:I140">AC140</f>
        <v>0</v>
      </c>
      <c r="T140" s="465">
        <f>AND(F140&gt;0,Y140&gt;0)</f>
        <v>0</v>
      </c>
      <c r="W140" s="297" t="s">
        <v>174</v>
      </c>
      <c r="Y140" s="873">
        <v>0</v>
      </c>
      <c r="AA140" s="1617" t="s">
        <v>175</v>
      </c>
      <c r="AB140" s="88" t="str">
        <f>"5."&amp;Y140</f>
        <v>5.0</v>
      </c>
      <c r="AC140" s="1243"/>
      <c r="AD140" s="90" t="s">
        <v>1514</v>
      </c>
      <c r="AE140" s="90"/>
      <c r="AF140" s="90"/>
      <c r="AG140" s="90"/>
      <c r="AH140" s="90"/>
      <c r="AI140" s="1241">
        <f>AI141*AI142*12/1000</f>
        <v>0</v>
      </c>
      <c r="AJ140" s="1241">
        <f>AJ141*AJ142*12/1000</f>
        <v>0</v>
      </c>
      <c r="AK140" s="4860"/>
      <c r="AN140" s="1030" t="s">
        <v>1869</v>
      </c>
      <c r="AO140" s="1030" t="s">
        <v>1892</v>
      </c>
      <c r="AP140" s="1030" cm="1" t="str">
        <f t="array" ref="AP140:AP140">AC140</f>
        <v>0</v>
      </c>
      <c r="AQ140" s="267"/>
      <c r="AR140" s="267" t="b">
        <v>1</v>
      </c>
    </row>
    <row s="1448" customFormat="1" customHeight="1" ht="14.25" hidden="1">
      <c r="E141" s="868">
        <v>15</v>
      </c>
      <c r="F141" s="50" cm="1" t="str">
        <f t="array" ref="F141:F141">OFFSET(E141,-1,1)</f>
        <v>3</v>
      </c>
      <c r="H141" s="520" t="str">
        <f>H140&amp;"_1"</f>
        <v>l5_1</v>
      </c>
      <c r="I141" s="520" cm="1" t="str">
        <f t="array" ref="I141:I141">I140</f>
        <v>0</v>
      </c>
      <c r="T141" s="465" cm="1" t="str">
        <f t="array" ref="T141:T141">T140</f>
        <v>false</v>
      </c>
      <c r="AA141" s="1617"/>
      <c r="AB141" s="690" t="str">
        <f>AB140&amp;".1"</f>
        <v>5.0.1</v>
      </c>
      <c r="AC141" s="221" t="s">
        <v>1872</v>
      </c>
      <c r="AD141" s="90" t="s">
        <v>1873</v>
      </c>
      <c r="AE141" s="90"/>
      <c r="AF141" s="90"/>
      <c r="AG141" s="90"/>
      <c r="AH141" s="90"/>
      <c r="AI141" s="1244"/>
      <c r="AJ141" s="1244"/>
      <c r="AK141" s="4860"/>
      <c r="AN141" s="1030" t="s">
        <v>1874</v>
      </c>
      <c r="AO141" s="1030" t="s">
        <v>1892</v>
      </c>
      <c r="AP141" s="1030" cm="1" t="str">
        <f t="array" ref="AP141:AP141">AP140</f>
        <v>0</v>
      </c>
      <c r="AQ141" s="267"/>
      <c r="AR141" s="267"/>
    </row>
    <row s="1448" customFormat="1" customHeight="1" ht="14.25" hidden="1">
      <c r="E142" s="868">
        <v>15</v>
      </c>
      <c r="F142" s="50" cm="1" t="str">
        <f t="array" ref="F142:F142">OFFSET(E142,-1,1)</f>
        <v>3</v>
      </c>
      <c r="H142" s="520" t="str">
        <f>H140&amp;"_2"</f>
        <v>l5_2</v>
      </c>
      <c r="I142" s="520" cm="1" t="str">
        <f t="array" ref="I142:I142">I141</f>
        <v>0</v>
      </c>
      <c r="T142" s="465" cm="1" t="str">
        <f t="array" ref="T142:T142">T141</f>
        <v>false</v>
      </c>
      <c r="AA142" s="1617"/>
      <c r="AB142" s="690" t="str">
        <f>AB140&amp;".2"</f>
        <v>5.0.2</v>
      </c>
      <c r="AC142" s="221" t="s">
        <v>1875</v>
      </c>
      <c r="AD142" s="90" t="s">
        <v>1876</v>
      </c>
      <c r="AE142" s="90"/>
      <c r="AF142" s="90"/>
      <c r="AG142" s="90"/>
      <c r="AH142" s="90"/>
      <c r="AI142" s="1244"/>
      <c r="AJ142" s="1244"/>
      <c r="AK142" s="4860"/>
      <c r="AN142" s="1030" t="s">
        <v>1877</v>
      </c>
      <c r="AO142" s="1030" t="s">
        <v>1892</v>
      </c>
      <c r="AP142" s="1030" cm="1" t="str">
        <f t="array" ref="AP142:AP142">AP141</f>
        <v>0</v>
      </c>
      <c r="AQ142" s="267"/>
      <c r="AR142" s="267"/>
    </row>
    <row s="1448" customFormat="1" customHeight="1" ht="18">
      <c r="A143" s="1448"/>
      <c r="B143" s="1448"/>
      <c r="C143" s="1448"/>
      <c r="D143" s="1448"/>
      <c r="E143" s="868">
        <v>18.75</v>
      </c>
      <c r="F143" s="50" cm="1" t="str">
        <f t="array" ref="F143:F143">OFFSET(E143,-1,1)</f>
        <v>3</v>
      </c>
      <c r="G143" s="1448"/>
      <c r="H143" s="520" t="s">
        <v>335</v>
      </c>
      <c r="I143" s="520" cm="1" t="str">
        <f t="array" ref="I143:I143">AC143</f>
        <v>персонал АУП</v>
      </c>
      <c r="J143" s="1448"/>
      <c r="K143" s="1448"/>
      <c r="L143" s="1448"/>
      <c r="M143" s="1448"/>
      <c r="N143" s="1448"/>
      <c r="O143" s="1448"/>
      <c r="P143" s="1448"/>
      <c r="Q143" s="1448"/>
      <c r="R143" s="1448"/>
      <c r="S143" s="1448"/>
      <c r="T143" s="465">
        <f>AND(F143&gt;0,Y143&gt;0)</f>
        <v>1</v>
      </c>
      <c r="U143" s="1448"/>
      <c r="V143" s="1448"/>
      <c r="W143" s="297"/>
      <c r="X143" s="1448"/>
      <c r="Y143" s="873" t="s">
        <v>276</v>
      </c>
      <c r="Z143" s="1448"/>
      <c r="AA143" s="1617" t="s">
        <v>175</v>
      </c>
      <c r="AB143" s="88" t="str">
        <f>"5."&amp;Y143</f>
        <v>5.1</v>
      </c>
      <c r="AC143" s="4748" t="s">
        <v>1908</v>
      </c>
      <c r="AD143" s="90" t="s">
        <v>1514</v>
      </c>
      <c r="AE143" s="90"/>
      <c r="AF143" s="90"/>
      <c r="AG143" s="90"/>
      <c r="AH143" s="90"/>
      <c r="AI143" s="3946">
        <f>AI144*AI145*12/1000</f>
        <v>11321.4499381907</v>
      </c>
      <c r="AJ143" s="3946">
        <f>AJ144*AJ145*12/1000</f>
        <v>11321.4499381907</v>
      </c>
      <c r="AK143" s="4861"/>
      <c r="AL143" s="1448"/>
      <c r="AM143" s="1448"/>
      <c r="AN143" s="1030" t="s">
        <v>1869</v>
      </c>
      <c r="AO143" s="1030" t="s">
        <v>1892</v>
      </c>
      <c r="AP143" s="1030" cm="1" t="str">
        <f t="array" ref="AP143:AP143">AC143</f>
        <v>персонал АУП</v>
      </c>
      <c r="AQ143" s="267"/>
      <c r="AR143" s="267" t="b">
        <v>1</v>
      </c>
    </row>
    <row s="1448" customFormat="1" customHeight="1" ht="14.25">
      <c r="A144" s="1448"/>
      <c r="B144" s="1448"/>
      <c r="C144" s="1448"/>
      <c r="D144" s="1448"/>
      <c r="E144" s="868">
        <v>15</v>
      </c>
      <c r="F144" s="50" cm="1" t="str">
        <f t="array" ref="F144:F144">OFFSET(E144,-1,1)</f>
        <v>3</v>
      </c>
      <c r="G144" s="1448"/>
      <c r="H144" s="520" t="str">
        <f>H143&amp;"_1"</f>
        <v>l5_1</v>
      </c>
      <c r="I144" s="520" cm="1" t="str">
        <f t="array" ref="I144:I144">I143</f>
        <v>персонал АУП</v>
      </c>
      <c r="J144" s="1448"/>
      <c r="K144" s="1448"/>
      <c r="L144" s="1448"/>
      <c r="M144" s="1448"/>
      <c r="N144" s="1448"/>
      <c r="O144" s="1448"/>
      <c r="P144" s="1448"/>
      <c r="Q144" s="1448"/>
      <c r="R144" s="1448"/>
      <c r="S144" s="1448"/>
      <c r="T144" s="465" cm="1" t="str">
        <f t="array" ref="T144:T144">T143</f>
        <v>true</v>
      </c>
      <c r="U144" s="1448"/>
      <c r="V144" s="1448"/>
      <c r="W144" s="1448"/>
      <c r="X144" s="1448"/>
      <c r="Y144" s="1448"/>
      <c r="Z144" s="1448"/>
      <c r="AA144" s="1617"/>
      <c r="AB144" s="690" t="str">
        <f>AB143&amp;".1"</f>
        <v>5.1.1</v>
      </c>
      <c r="AC144" s="221" t="s">
        <v>1872</v>
      </c>
      <c r="AD144" s="90" t="s">
        <v>1873</v>
      </c>
      <c r="AE144" s="90"/>
      <c r="AF144" s="90"/>
      <c r="AG144" s="90"/>
      <c r="AH144" s="90"/>
      <c r="AI144" s="4750">
        <v>14.03</v>
      </c>
      <c r="AJ144" s="4750">
        <v>14.03</v>
      </c>
      <c r="AK144" s="4861"/>
      <c r="AL144" s="1448"/>
      <c r="AM144" s="1448"/>
      <c r="AN144" s="1030" t="s">
        <v>1874</v>
      </c>
      <c r="AO144" s="1030" t="s">
        <v>1892</v>
      </c>
      <c r="AP144" s="1030" cm="1" t="str">
        <f t="array" ref="AP144:AP144">AP143</f>
        <v>персонал АУП</v>
      </c>
      <c r="AQ144" s="267"/>
      <c r="AR144" s="267"/>
    </row>
    <row s="1448" customFormat="1" customHeight="1" ht="14.25">
      <c r="A145" s="1448"/>
      <c r="B145" s="1448"/>
      <c r="C145" s="1448"/>
      <c r="D145" s="1448"/>
      <c r="E145" s="868">
        <v>15</v>
      </c>
      <c r="F145" s="50" cm="1" t="str">
        <f t="array" ref="F145:F145">OFFSET(E145,-1,1)</f>
        <v>3</v>
      </c>
      <c r="G145" s="1448"/>
      <c r="H145" s="520" t="str">
        <f>H143&amp;"_2"</f>
        <v>l5_2</v>
      </c>
      <c r="I145" s="520" cm="1" t="str">
        <f t="array" ref="I145:I145">I144</f>
        <v>персонал АУП</v>
      </c>
      <c r="J145" s="1448"/>
      <c r="K145" s="1448"/>
      <c r="L145" s="1448"/>
      <c r="M145" s="1448"/>
      <c r="N145" s="1448"/>
      <c r="O145" s="1448"/>
      <c r="P145" s="1448"/>
      <c r="Q145" s="1448"/>
      <c r="R145" s="1448"/>
      <c r="S145" s="1448"/>
      <c r="T145" s="465" cm="1" t="str">
        <f t="array" ref="T145:T145">T144</f>
        <v>true</v>
      </c>
      <c r="U145" s="1448"/>
      <c r="V145" s="1448"/>
      <c r="W145" s="1448"/>
      <c r="X145" s="1448"/>
      <c r="Y145" s="1448"/>
      <c r="Z145" s="1448"/>
      <c r="AA145" s="1617"/>
      <c r="AB145" s="690" t="str">
        <f>AB143&amp;".2"</f>
        <v>5.1.2</v>
      </c>
      <c r="AC145" s="221" t="s">
        <v>1875</v>
      </c>
      <c r="AD145" s="90" t="s">
        <v>1876</v>
      </c>
      <c r="AE145" s="90"/>
      <c r="AF145" s="90"/>
      <c r="AG145" s="90"/>
      <c r="AH145" s="90"/>
      <c r="AI145" s="4750">
        <v>67245.4854965</v>
      </c>
      <c r="AJ145" s="4750">
        <v>67245.4854965</v>
      </c>
      <c r="AK145" s="4861"/>
      <c r="AL145" s="1448"/>
      <c r="AM145" s="1448"/>
      <c r="AN145" s="1030" t="s">
        <v>1877</v>
      </c>
      <c r="AO145" s="1030" t="s">
        <v>1892</v>
      </c>
      <c r="AP145" s="1030" cm="1" t="str">
        <f t="array" ref="AP145:AP145">AP144</f>
        <v>персонал АУП</v>
      </c>
      <c r="AQ145" s="267"/>
      <c r="AR145" s="267"/>
    </row>
    <row s="1448" customFormat="1" customHeight="1" ht="14.25">
      <c r="A146" s="1812"/>
      <c r="B146" s="429"/>
      <c r="C146" s="867"/>
      <c r="D146" s="867"/>
      <c r="E146" s="868">
        <v>15</v>
      </c>
      <c r="F146" s="50" cm="1" t="str">
        <f t="array" ref="F146:F146">OFFSET(E146,-1,1)</f>
        <v>3</v>
      </c>
      <c r="G146" s="374"/>
      <c r="H146" s="839"/>
      <c r="I146" s="152" t="str">
        <f>"!=='не определено' &amp;&amp; row.l5 !== null"</f>
        <v>!=='не определено' &amp;&amp; row.l5 !== null</v>
      </c>
      <c r="J146" s="867"/>
      <c r="K146" s="483"/>
      <c r="L146" s="483"/>
      <c r="M146" s="867"/>
      <c r="N146" s="867"/>
      <c r="O146" s="867"/>
      <c r="P146" s="867"/>
      <c r="Q146" s="867"/>
      <c r="R146" s="867"/>
      <c r="S146" s="867"/>
      <c r="T146" s="465">
        <f>F146&gt;0</f>
        <v>1</v>
      </c>
      <c r="U146" s="867"/>
      <c r="V146" s="867"/>
      <c r="W146" s="757" t="s">
        <v>1893</v>
      </c>
      <c r="X146" s="1619"/>
      <c r="Y146" s="873"/>
      <c r="Z146" s="1620"/>
      <c r="AA146" s="867"/>
      <c r="AB146" s="874"/>
      <c r="AC146" s="260" t="s">
        <v>178</v>
      </c>
      <c r="AD146" s="776"/>
      <c r="AE146" s="776"/>
      <c r="AF146" s="776"/>
      <c r="AG146" s="776"/>
      <c r="AH146" s="776"/>
      <c r="AI146" s="776"/>
      <c r="AJ146" s="776"/>
      <c r="AK146" s="777"/>
      <c r="AL146" s="1812"/>
      <c r="AM146" s="1812"/>
      <c r="AN146" s="1030"/>
      <c r="AO146" s="1030"/>
      <c r="AP146" s="1030"/>
      <c r="AQ146" s="267" t="s">
        <v>1892</v>
      </c>
      <c r="AR146" s="267"/>
    </row>
    <row s="1448" customFormat="1" customHeight="1" ht="33.75">
      <c r="A147" s="1812"/>
      <c r="B147" s="429"/>
      <c r="C147" s="867"/>
      <c r="D147" s="867"/>
      <c r="E147" s="868">
        <v>22.5</v>
      </c>
      <c r="F147" s="50" cm="1" t="str">
        <f t="array" ref="F147:F147">OFFSET(E147,-1,1)</f>
        <v>3</v>
      </c>
      <c r="G147" s="374" t="s">
        <v>1894</v>
      </c>
      <c r="H147" s="839" t="s">
        <v>1225</v>
      </c>
      <c r="I147" s="839"/>
      <c r="J147" s="867"/>
      <c r="K147" s="483" t="str">
        <f>F147&amp;"6komm"</f>
        <v>36komm</v>
      </c>
      <c r="L147" s="483" cm="1" t="str">
        <f t="array" ref="L147:L147">AK147</f>
        <v>на основании Налогового кодекса РФ (часть вторая) от 05.08.2000 № 117-ФЗ в размере 30%, а также в соответствии с Федеральным законом от 24.07.1998 № 125 – ФЗ (0,20%).</v>
      </c>
      <c r="M147" s="867"/>
      <c r="N147" s="867"/>
      <c r="O147" s="867"/>
      <c r="P147" s="867"/>
      <c r="Q147" s="867"/>
      <c r="R147" s="867"/>
      <c r="S147" s="867"/>
      <c r="T147" s="465" cm="1" t="str">
        <f t="array" ref="T147:T147">T146</f>
        <v>true</v>
      </c>
      <c r="U147" s="867"/>
      <c r="V147" s="867"/>
      <c r="W147" s="867"/>
      <c r="X147" s="1619"/>
      <c r="Y147" s="873"/>
      <c r="Z147" s="1620"/>
      <c r="AA147" s="867"/>
      <c r="AB147" s="690" t="s">
        <v>446</v>
      </c>
      <c r="AC147" s="847" t="s">
        <v>1895</v>
      </c>
      <c r="AD147" s="766" t="s">
        <v>1514</v>
      </c>
      <c r="AE147" s="298">
        <f>AE139*_xlfn.SUMIFS(INDEX(Сценарии!$AE$25:$BF$163,,MATCH(AE$13,Сценарии!$AE$8:$BF$8,0)),Сценарии!$F$25:$F$163,$F147,Сценарии!$G$25:$G$163,"СВФОТ")/100</f>
        <v>0</v>
      </c>
      <c r="AF147" s="298">
        <f>AF139*_xlfn.SUMIFS(INDEX(Сценарии!$AE$25:$BF$163,,MATCH(AF$13,Сценарии!$AE$8:$BF$8,0)),Сценарии!$F$25:$F$163,$F147,Сценарии!$G$25:$G$163,"СВФОТ")/100</f>
        <v>0</v>
      </c>
      <c r="AG147" s="298">
        <f>AG139*_xlfn.SUMIFS(INDEX(Сценарии!$AE$25:$BF$163,,MATCH(AG$13,Сценарии!$AE$8:$BF$8,0)),Сценарии!$F$25:$F$163,$F147,Сценарии!$G$25:$G$163,"СВФОТ")/100</f>
        <v>0</v>
      </c>
      <c r="AH147" s="298">
        <f>AH139*_xlfn.SUMIFS(INDEX(Сценарии!$AE$25:$BF$163,,MATCH(AH$13,Сценарии!$AE$8:$BF$8,0)),Сценарии!$F$25:$F$163,$F147,Сценарии!$G$25:$G$163,"СВФОТ")/100</f>
        <v>0</v>
      </c>
      <c r="AI147" s="298">
        <f>AI139*_xlfn.SUMIFS(INDEX(Сценарии!$AE$25:$BF$163,,MATCH(AI$13,Сценарии!$AE$8:$BF$8,0)),Сценарии!$F$25:$F$163,$F147,Сценарии!$G$25:$G$163,"СВФОТ")/100</f>
        <v>3419.07788133359</v>
      </c>
      <c r="AJ147" s="298">
        <f>AJ139*_xlfn.SUMIFS(INDEX(Сценарии!$AE$25:$BF$163,,MATCH(AJ$13,Сценарии!$AE$8:$BF$8,0)),Сценарии!$F$25:$F$163,$F147,Сценарии!$G$25:$G$163,"СВФОТ")/100</f>
        <v>3419.07788133359</v>
      </c>
      <c r="AK147" s="918" t="s">
        <v>1232</v>
      </c>
      <c r="AL147" s="1812"/>
      <c r="AM147" s="1812"/>
      <c r="AN147" s="1030" t="s">
        <v>1896</v>
      </c>
      <c r="AO147" s="1030"/>
      <c r="AP147" s="1030"/>
      <c r="AQ147" s="267"/>
      <c r="AR147" s="267"/>
    </row>
    <row s="1448" customFormat="1" customHeight="1" ht="0">
      <c r="A148" s="1812"/>
      <c r="B148" s="429"/>
      <c r="C148" s="867"/>
      <c r="D148" s="867"/>
      <c r="E148" s="868">
        <v>15</v>
      </c>
      <c r="F148" s="50" cm="1" t="str">
        <f t="array" ref="F148:F148">OFFSET(E148,-1,1)</f>
        <v>3</v>
      </c>
      <c r="G148" s="374" t="s">
        <v>1897</v>
      </c>
      <c r="H148" s="839" t="s">
        <v>1228</v>
      </c>
      <c r="I148" s="839"/>
      <c r="J148" s="867"/>
      <c r="K148" s="483" t="str">
        <f>F148&amp;"7komm"</f>
        <v>37komm</v>
      </c>
      <c r="L148" s="483" cm="1" t="str">
        <f t="array" ref="L148:L148">AK148</f>
        <v>0</v>
      </c>
      <c r="M148" s="867"/>
      <c r="N148" s="867"/>
      <c r="O148" s="867"/>
      <c r="P148" s="867"/>
      <c r="Q148" s="867"/>
      <c r="R148" s="867"/>
      <c r="S148" s="867"/>
      <c r="T148" s="465" cm="1" t="str">
        <f t="array" ref="T148:T148">T147</f>
        <v>true</v>
      </c>
      <c r="U148" s="867"/>
      <c r="V148" s="867"/>
      <c r="W148" s="867"/>
      <c r="X148" s="1619"/>
      <c r="Y148" s="873"/>
      <c r="Z148" s="1620"/>
      <c r="AA148" s="867"/>
      <c r="AB148" s="690" t="s">
        <v>449</v>
      </c>
      <c r="AC148" s="847" t="s">
        <v>1898</v>
      </c>
      <c r="AD148" s="766" t="s">
        <v>1514</v>
      </c>
      <c r="AE148" s="298"/>
      <c r="AF148" s="298"/>
      <c r="AG148" s="298"/>
      <c r="AH148" s="298"/>
      <c r="AI148" s="213">
        <f>_xlfn.SUMIFS(AI149:AI152,$AD149:$AD152,$AD148)</f>
        <v>0</v>
      </c>
      <c r="AJ148" s="213">
        <f>_xlfn.SUMIFS(AJ149:AJ152,$AD149:$AD152,$AD148)</f>
        <v>0</v>
      </c>
      <c r="AK148" s="918"/>
      <c r="AL148" s="1812"/>
      <c r="AM148" s="1812"/>
      <c r="AN148" s="1030" t="s">
        <v>1899</v>
      </c>
      <c r="AO148" s="1030"/>
      <c r="AP148" s="1030"/>
      <c r="AQ148" s="267"/>
      <c r="AR148" s="267"/>
    </row>
    <row s="1448" customFormat="1" customHeight="1" ht="0" hidden="1">
      <c r="A149" s="1812"/>
      <c r="B149" s="1812"/>
      <c r="C149" s="875"/>
      <c r="D149" s="875"/>
      <c r="E149" s="876">
        <v>18.75</v>
      </c>
      <c r="F149" s="50" cm="1" t="str">
        <f t="array" ref="F149:F149">OFFSET(E149,-1,1)</f>
        <v>3</v>
      </c>
      <c r="G149" s="872"/>
      <c r="H149" s="839" t="s">
        <v>1228</v>
      </c>
      <c r="I149" s="872" cm="1" t="str">
        <f t="array" ref="I149:I149">AC149</f>
        <v>0</v>
      </c>
      <c r="J149" s="875"/>
      <c r="K149" s="916"/>
      <c r="L149" s="916"/>
      <c r="M149" s="875"/>
      <c r="N149" s="875"/>
      <c r="O149" s="875"/>
      <c r="P149" s="875"/>
      <c r="Q149" s="875"/>
      <c r="R149" s="875"/>
      <c r="S149" s="875"/>
      <c r="T149" s="465">
        <f>AND(F149&gt;0,Y149&gt;0)</f>
        <v>0</v>
      </c>
      <c r="U149" s="875"/>
      <c r="V149" s="875"/>
      <c r="W149" s="867" t="s">
        <v>174</v>
      </c>
      <c r="X149" s="1619"/>
      <c r="Y149" s="1619">
        <v>0</v>
      </c>
      <c r="Z149" s="1620"/>
      <c r="AA149" s="1617" t="s">
        <v>175</v>
      </c>
      <c r="AB149" s="1222" t="str">
        <f>"7."&amp;Y149</f>
        <v>7.0</v>
      </c>
      <c r="AC149" s="4738"/>
      <c r="AD149" s="878" t="s">
        <v>1514</v>
      </c>
      <c r="AE149" s="4740"/>
      <c r="AF149" s="4740"/>
      <c r="AG149" s="4740"/>
      <c r="AH149" s="4740"/>
      <c r="AI149" s="4741">
        <f>AI150*AI151*12/1000</f>
        <v>0</v>
      </c>
      <c r="AJ149" s="4741">
        <f>AJ150*AJ151*12/1000</f>
        <v>0</v>
      </c>
      <c r="AK149" s="4742"/>
      <c r="AL149" s="1812"/>
      <c r="AM149" s="1812"/>
      <c r="AN149" s="1030" t="s">
        <v>1869</v>
      </c>
      <c r="AO149" s="1046" t="s">
        <v>1900</v>
      </c>
      <c r="AP149" s="1030" cm="1" t="str">
        <f t="array" ref="AP149:AP149">AC149</f>
        <v>0</v>
      </c>
      <c r="AQ149" s="1047"/>
      <c r="AR149" s="267" t="b">
        <v>1</v>
      </c>
    </row>
    <row s="1448" customFormat="1" customHeight="1" ht="0" hidden="1">
      <c r="A150" s="1812"/>
      <c r="B150" s="1812"/>
      <c r="C150" s="875"/>
      <c r="D150" s="875"/>
      <c r="E150" s="876">
        <v>15</v>
      </c>
      <c r="F150" s="50" cm="1" t="str">
        <f t="array" ref="F150:F150">OFFSET(E150,-1,1)</f>
        <v>3</v>
      </c>
      <c r="G150" s="872"/>
      <c r="H150" s="872" t="str">
        <f>H149&amp;"_1"</f>
        <v>l7_1</v>
      </c>
      <c r="I150" s="872" cm="1" t="str">
        <f t="array" ref="I150:I150">I149</f>
        <v>0</v>
      </c>
      <c r="J150" s="875"/>
      <c r="K150" s="916"/>
      <c r="L150" s="916"/>
      <c r="M150" s="875"/>
      <c r="N150" s="875"/>
      <c r="O150" s="875"/>
      <c r="P150" s="875"/>
      <c r="Q150" s="875"/>
      <c r="R150" s="875"/>
      <c r="S150" s="875"/>
      <c r="T150" s="465" cm="1" t="str">
        <f t="array" ref="T150:T150">T149</f>
        <v>false</v>
      </c>
      <c r="U150" s="875"/>
      <c r="V150" s="875"/>
      <c r="W150" s="875"/>
      <c r="X150" s="1619"/>
      <c r="Y150" s="1619"/>
      <c r="Z150" s="1620"/>
      <c r="AA150" s="1617"/>
      <c r="AB150" s="882" t="str">
        <f>AB149&amp;".1"</f>
        <v>7.0.1</v>
      </c>
      <c r="AC150" s="883" t="s">
        <v>1872</v>
      </c>
      <c r="AD150" s="878" t="s">
        <v>1873</v>
      </c>
      <c r="AE150" s="4740"/>
      <c r="AF150" s="4740"/>
      <c r="AG150" s="4740"/>
      <c r="AH150" s="4740"/>
      <c r="AI150" s="4745"/>
      <c r="AJ150" s="4745"/>
      <c r="AK150" s="4742"/>
      <c r="AL150" s="1812"/>
      <c r="AM150" s="1812"/>
      <c r="AN150" s="1030" t="s">
        <v>1874</v>
      </c>
      <c r="AO150" s="1046" t="s">
        <v>1900</v>
      </c>
      <c r="AP150" s="1030" cm="1" t="str">
        <f t="array" ref="AP150:AP150">AP149</f>
        <v>0</v>
      </c>
      <c r="AQ150" s="1047"/>
      <c r="AR150" s="1047"/>
    </row>
    <row s="1448" customFormat="1" customHeight="1" ht="0" hidden="1">
      <c r="A151" s="1812"/>
      <c r="B151" s="1812"/>
      <c r="C151" s="875"/>
      <c r="D151" s="875"/>
      <c r="E151" s="876">
        <v>15</v>
      </c>
      <c r="F151" s="50" cm="1" t="str">
        <f t="array" ref="F151:F151">OFFSET(E151,-1,1)</f>
        <v>3</v>
      </c>
      <c r="G151" s="872"/>
      <c r="H151" s="872" t="str">
        <f>H149&amp;"_2"</f>
        <v>l7_2</v>
      </c>
      <c r="I151" s="872" cm="1" t="str">
        <f t="array" ref="I151:I151">I150</f>
        <v>0</v>
      </c>
      <c r="J151" s="875"/>
      <c r="K151" s="916"/>
      <c r="L151" s="916"/>
      <c r="M151" s="875"/>
      <c r="N151" s="875"/>
      <c r="O151" s="875"/>
      <c r="P151" s="875"/>
      <c r="Q151" s="875"/>
      <c r="R151" s="875"/>
      <c r="S151" s="875"/>
      <c r="T151" s="465" cm="1" t="str">
        <f t="array" ref="T151:T151">T150</f>
        <v>false</v>
      </c>
      <c r="U151" s="875"/>
      <c r="V151" s="875"/>
      <c r="W151" s="875"/>
      <c r="X151" s="1619"/>
      <c r="Y151" s="1619"/>
      <c r="Z151" s="1620"/>
      <c r="AA151" s="1617"/>
      <c r="AB151" s="882" t="str">
        <f>AB149&amp;".2"</f>
        <v>7.0.2</v>
      </c>
      <c r="AC151" s="883" t="s">
        <v>1875</v>
      </c>
      <c r="AD151" s="878" t="s">
        <v>1876</v>
      </c>
      <c r="AE151" s="4740"/>
      <c r="AF151" s="4740"/>
      <c r="AG151" s="4740"/>
      <c r="AH151" s="4740"/>
      <c r="AI151" s="4745"/>
      <c r="AJ151" s="4745"/>
      <c r="AK151" s="4742"/>
      <c r="AL151" s="1812"/>
      <c r="AM151" s="1812"/>
      <c r="AN151" s="1030" t="s">
        <v>1877</v>
      </c>
      <c r="AO151" s="1046" t="s">
        <v>1900</v>
      </c>
      <c r="AP151" s="1030" cm="1" t="str">
        <f t="array" ref="AP151:AP151">AP150</f>
        <v>0</v>
      </c>
      <c r="AQ151" s="1047"/>
      <c r="AR151" s="1047"/>
    </row>
    <row s="1448" customFormat="1" customHeight="1" ht="0">
      <c r="A152" s="1812"/>
      <c r="B152" s="429"/>
      <c r="C152" s="867"/>
      <c r="D152" s="867"/>
      <c r="E152" s="868">
        <v>15</v>
      </c>
      <c r="F152" s="50" cm="1" t="str">
        <f t="array" ref="F152:F152">OFFSET(E152,-1,1)</f>
        <v>3</v>
      </c>
      <c r="G152" s="374"/>
      <c r="H152" s="839"/>
      <c r="I152" s="152" t="str">
        <f>"!=='не определено' &amp;&amp; row.l7 !== null"</f>
        <v>!=='не определено' &amp;&amp; row.l7 !== null</v>
      </c>
      <c r="J152" s="867"/>
      <c r="K152" s="483"/>
      <c r="L152" s="483"/>
      <c r="M152" s="867"/>
      <c r="N152" s="867"/>
      <c r="O152" s="867"/>
      <c r="P152" s="867"/>
      <c r="Q152" s="867"/>
      <c r="R152" s="867"/>
      <c r="S152" s="867"/>
      <c r="T152" s="465">
        <f>F152&gt;0</f>
        <v>1</v>
      </c>
      <c r="U152" s="867"/>
      <c r="V152" s="867"/>
      <c r="W152" s="757" t="s">
        <v>1901</v>
      </c>
      <c r="X152" s="1619"/>
      <c r="Y152" s="867"/>
      <c r="Z152" s="1620"/>
      <c r="AA152" s="867"/>
      <c r="AB152" s="874"/>
      <c r="AC152" s="260" t="s">
        <v>178</v>
      </c>
      <c r="AD152" s="776"/>
      <c r="AE152" s="776"/>
      <c r="AF152" s="776"/>
      <c r="AG152" s="776"/>
      <c r="AH152" s="776"/>
      <c r="AI152" s="776"/>
      <c r="AJ152" s="776"/>
      <c r="AK152" s="777"/>
      <c r="AL152" s="1812"/>
      <c r="AM152" s="1812"/>
      <c r="AN152" s="1030"/>
      <c r="AO152" s="1030"/>
      <c r="AP152" s="1030"/>
      <c r="AQ152" s="1047" t="s">
        <v>1900</v>
      </c>
      <c r="AR152" s="267"/>
    </row>
    <row s="1448" customFormat="1" customHeight="1" ht="0">
      <c r="A153" s="1812"/>
      <c r="B153" s="429"/>
      <c r="C153" s="867"/>
      <c r="D153" s="867"/>
      <c r="E153" s="868">
        <v>22.5</v>
      </c>
      <c r="F153" s="50" cm="1" t="str">
        <f t="array" ref="F153:F153">OFFSET(E153,-1,1)</f>
        <v>3</v>
      </c>
      <c r="G153" s="374" t="s">
        <v>1902</v>
      </c>
      <c r="H153" s="839" t="s">
        <v>1275</v>
      </c>
      <c r="I153" s="839"/>
      <c r="J153" s="867"/>
      <c r="K153" s="483" t="str">
        <f>F153&amp;"8komm"</f>
        <v>38komm</v>
      </c>
      <c r="L153" s="917" cm="1" t="str">
        <f t="array" ref="L153:L153">AK153</f>
        <v>0</v>
      </c>
      <c r="M153" s="867"/>
      <c r="N153" s="867"/>
      <c r="O153" s="867"/>
      <c r="P153" s="867"/>
      <c r="Q153" s="867"/>
      <c r="R153" s="867"/>
      <c r="S153" s="867"/>
      <c r="T153" s="465" cm="1" t="str">
        <f t="array" ref="T153:T153">T152</f>
        <v>true</v>
      </c>
      <c r="U153" s="867"/>
      <c r="V153" s="867"/>
      <c r="W153" s="867"/>
      <c r="X153" s="1619"/>
      <c r="Y153" s="867"/>
      <c r="Z153" s="1620"/>
      <c r="AA153" s="867"/>
      <c r="AB153" s="690" t="s">
        <v>452</v>
      </c>
      <c r="AC153" s="847" t="s">
        <v>1903</v>
      </c>
      <c r="AD153" s="766" t="s">
        <v>1514</v>
      </c>
      <c r="AE153" s="298">
        <f>AE148*_xlfn.SUMIFS(INDEX(Сценарии!$AE$25:$BF$163,,MATCH(AE$13,Сценарии!$AE$8:$BF$8,0)),Сценарии!$F$25:$F$163,$F153,Сценарии!$G$25:$G$163,"СВФОТ")/100</f>
        <v>0</v>
      </c>
      <c r="AF153" s="298">
        <f>AF148*_xlfn.SUMIFS(INDEX(Сценарии!$AE$25:$BF$163,,MATCH(AF$13,Сценарии!$AE$8:$BF$8,0)),Сценарии!$F$25:$F$163,$F153,Сценарии!$G$25:$G$163,"СВФОТ")/100</f>
        <v>0</v>
      </c>
      <c r="AG153" s="298">
        <f>AG148*_xlfn.SUMIFS(INDEX(Сценарии!$AE$25:$BF$163,,MATCH(AG$13,Сценарии!$AE$8:$BF$8,0)),Сценарии!$F$25:$F$163,$F153,Сценарии!$G$25:$G$163,"СВФОТ")/100</f>
        <v>0</v>
      </c>
      <c r="AH153" s="298">
        <f>AH148*_xlfn.SUMIFS(INDEX(Сценарии!$AE$25:$BF$163,,MATCH(AH$13,Сценарии!$AE$8:$BF$8,0)),Сценарии!$F$25:$F$163,$F153,Сценарии!$G$25:$G$163,"СВФОТ")/100</f>
        <v>0</v>
      </c>
      <c r="AI153" s="298">
        <f>AI148*_xlfn.SUMIFS(INDEX(Сценарии!$AE$25:$BF$163,,MATCH(AI$13,Сценарии!$AE$8:$BF$8,0)),Сценарии!$F$25:$F$163,$F153,Сценарии!$G$25:$G$163,"СВФОТ")/100</f>
        <v>0</v>
      </c>
      <c r="AJ153" s="298">
        <f>AJ148*_xlfn.SUMIFS(INDEX(Сценарии!$AE$25:$BF$163,,MATCH(AJ$13,Сценарии!$AE$8:$BF$8,0)),Сценарии!$F$25:$F$163,$F153,Сценарии!$G$25:$G$163,"СВФОТ")/100</f>
        <v>0</v>
      </c>
      <c r="AK153" s="846"/>
      <c r="AL153" s="1812"/>
      <c r="AM153" s="1812"/>
      <c r="AN153" s="1030" t="s">
        <v>1904</v>
      </c>
      <c r="AO153" s="1030"/>
      <c r="AP153" s="1030"/>
      <c r="AQ153" s="267"/>
      <c r="AR153" s="267"/>
    </row>
    <row s="1448" customFormat="1" customHeight="1" ht="14.25">
      <c r="A154" s="1812"/>
      <c r="B154" s="429"/>
      <c r="C154" s="867"/>
      <c r="D154" s="867"/>
      <c r="E154" s="868">
        <v>15</v>
      </c>
      <c r="F154" s="493" cm="1" t="str">
        <f t="array" ref="F154:F154">X154</f>
        <v>4</v>
      </c>
      <c r="G154" s="839" t="s">
        <v>61</v>
      </c>
      <c r="H154" s="839"/>
      <c r="I154" s="839"/>
      <c r="J154" s="867"/>
      <c r="K154" s="483"/>
      <c r="L154" s="483"/>
      <c r="M154" s="867"/>
      <c r="N154" s="867"/>
      <c r="O154" s="867"/>
      <c r="P154" s="867"/>
      <c r="Q154" s="867"/>
      <c r="R154" s="867"/>
      <c r="S154" s="867"/>
      <c r="T154" s="465">
        <f>X154&gt;0</f>
        <v>1</v>
      </c>
      <c r="U154" s="867"/>
      <c r="V154" s="867" cm="1" t="str">
        <f t="array" ref="V154:V154">Покупка!$AB$304</f>
        <v>Тариф 4 (Водоотведение) - тариф на водоотведение (Доп. признак не требуется)</v>
      </c>
      <c r="W154" s="867"/>
      <c r="X154" s="1619" t="s">
        <v>295</v>
      </c>
      <c r="Y154" s="867"/>
      <c r="Z154" s="1620"/>
      <c r="AA154" s="867"/>
      <c r="AB154" s="242" cm="1" t="str">
        <f t="array" ref="AB154:AB154">Покупка!$AB$304</f>
        <v>Тариф 4 (Водоотведение) - тариф на водоотведение (Доп. признак не требуется)</v>
      </c>
      <c r="AC154" s="869"/>
      <c r="AD154" s="869"/>
      <c r="AE154" s="870">
        <f>AE155+AE166+AE167+AE172+AE173+AE181+AE182+AE187</f>
        <v>0</v>
      </c>
      <c r="AF154" s="870">
        <f>AF155+AF166+AF167+AF172+AF173+AF181+AF182+AF187</f>
        <v>0</v>
      </c>
      <c r="AG154" s="870">
        <f>AG155+AG166+AG167+AG172+AG173+AG181+AG182+AG187</f>
        <v>0</v>
      </c>
      <c r="AH154" s="870">
        <f>AH155+AH166+AH167+AH172+AH173+AH181+AH182+AH187</f>
        <v>0</v>
      </c>
      <c r="AI154" s="870">
        <f>AI155+AI166+AI167+AI172+AI173+AI181+AI182+AI187</f>
        <v>94187.9959308776</v>
      </c>
      <c r="AJ154" s="870">
        <f>AJ155+AJ166+AJ167+AJ172+AJ173+AJ181+AJ182+AJ187</f>
        <v>94187.9959308776</v>
      </c>
      <c r="AK154" s="870"/>
      <c r="AL154" s="1812"/>
      <c r="AM154" s="1812"/>
      <c r="AN154" s="1030"/>
      <c r="AO154" s="1030"/>
      <c r="AP154" s="1030"/>
      <c r="AQ154" s="267"/>
      <c r="AR154" s="267"/>
    </row>
    <row s="1448" customFormat="1" customHeight="1" ht="21.75">
      <c r="A155" s="1812"/>
      <c r="B155" s="429"/>
      <c r="C155" s="867"/>
      <c r="D155" s="867"/>
      <c r="E155" s="868">
        <v>22.5</v>
      </c>
      <c r="F155" s="50" cm="1" t="str">
        <f t="array" ref="F155:F155">OFFSET(E155,-1,1)</f>
        <v>4</v>
      </c>
      <c r="G155" s="374" t="s">
        <v>1866</v>
      </c>
      <c r="H155" s="839" t="s">
        <v>332</v>
      </c>
      <c r="I155" s="839"/>
      <c r="J155" s="867"/>
      <c r="K155" s="483" t="str">
        <f>F155&amp;"1komm"</f>
        <v>41komm</v>
      </c>
      <c r="L155" s="917" cm="1" t="str">
        <f t="array" ref="L155:L155">AK155</f>
        <v>по предложению организации в соответствии со штатным расписанием.</v>
      </c>
      <c r="M155" s="867"/>
      <c r="N155" s="867"/>
      <c r="O155" s="867"/>
      <c r="P155" s="867"/>
      <c r="Q155" s="867"/>
      <c r="R155" s="867"/>
      <c r="S155" s="867"/>
      <c r="T155" s="465" cm="1" t="str">
        <f t="array" ref="T155:T155">T154</f>
        <v>true</v>
      </c>
      <c r="U155" s="867"/>
      <c r="V155" s="867"/>
      <c r="W155" s="867"/>
      <c r="X155" s="1619"/>
      <c r="Y155" s="867"/>
      <c r="Z155" s="1620"/>
      <c r="AA155" s="867"/>
      <c r="AB155" s="690">
        <v>1</v>
      </c>
      <c r="AC155" s="847" t="s">
        <v>1867</v>
      </c>
      <c r="AD155" s="766" t="s">
        <v>1514</v>
      </c>
      <c r="AE155" s="298"/>
      <c r="AF155" s="298"/>
      <c r="AG155" s="298"/>
      <c r="AH155" s="298"/>
      <c r="AI155" s="213">
        <f>_xlfn.SUMIFS(AI156:AI165,$AD156:$AD165,$AD155)</f>
        <v>53544.823799616</v>
      </c>
      <c r="AJ155" s="213">
        <f>_xlfn.SUMIFS(AJ156:AJ165,$AD156:$AD165,$AD155)</f>
        <v>53544.823799616</v>
      </c>
      <c r="AK155" s="846" t="s">
        <v>1905</v>
      </c>
      <c r="AL155" s="1812"/>
      <c r="AM155" s="1812"/>
      <c r="AN155" s="1030" t="s">
        <v>1868</v>
      </c>
      <c r="AO155" s="1030"/>
      <c r="AP155" s="1030"/>
      <c r="AQ155" s="267"/>
      <c r="AR155" s="267"/>
    </row>
    <row s="1448" customFormat="1" customHeight="1" ht="18" hidden="1">
      <c r="E156" s="868">
        <v>18.75</v>
      </c>
      <c r="F156" s="50" cm="1" t="str">
        <f t="array" ref="F156:F156">OFFSET(E156,-1,1)</f>
        <v>4</v>
      </c>
      <c r="H156" s="520" t="s">
        <v>332</v>
      </c>
      <c r="I156" s="520" cm="1" t="str">
        <f t="array" ref="I156:I156">AC156</f>
        <v>0</v>
      </c>
      <c r="T156" s="465">
        <f>AND(F156&gt;0,Y156&gt;0)</f>
        <v>0</v>
      </c>
      <c r="W156" s="297" t="s">
        <v>174</v>
      </c>
      <c r="Y156" s="873">
        <v>0</v>
      </c>
      <c r="AA156" s="1617" t="s">
        <v>175</v>
      </c>
      <c r="AB156" s="88" t="str">
        <f>"1."&amp;Y156</f>
        <v>1.0</v>
      </c>
      <c r="AC156" s="1243"/>
      <c r="AD156" s="90" t="s">
        <v>1514</v>
      </c>
      <c r="AE156" s="90"/>
      <c r="AF156" s="90"/>
      <c r="AG156" s="90"/>
      <c r="AH156" s="90"/>
      <c r="AI156" s="1241">
        <f>AI157*AI158*12/1000</f>
        <v>0</v>
      </c>
      <c r="AJ156" s="1241">
        <f>AJ157*AJ158*12/1000</f>
        <v>0</v>
      </c>
      <c r="AK156" s="4882"/>
      <c r="AN156" s="1030" t="s">
        <v>1869</v>
      </c>
      <c r="AO156" s="1030" t="s">
        <v>1870</v>
      </c>
      <c r="AP156" s="1030" cm="1" t="str">
        <f t="array" ref="AP156:AP156">AC156</f>
        <v>0</v>
      </c>
      <c r="AQ156" s="267"/>
      <c r="AR156" s="267" t="b">
        <v>1</v>
      </c>
    </row>
    <row s="1448" customFormat="1" customHeight="1" ht="14.25" hidden="1">
      <c r="E157" s="868">
        <v>15</v>
      </c>
      <c r="F157" s="50" cm="1" t="str">
        <f t="array" ref="F157:F157">OFFSET(E157,-1,1)</f>
        <v>4</v>
      </c>
      <c r="G157" s="520" t="s">
        <v>1871</v>
      </c>
      <c r="H157" s="520" t="str">
        <f>H156&amp;"_1"</f>
        <v>l1_1</v>
      </c>
      <c r="I157" s="520" cm="1" t="str">
        <f t="array" ref="I157:I157">I156</f>
        <v>0</v>
      </c>
      <c r="T157" s="465" cm="1" t="str">
        <f t="array" ref="T157:T157">T156</f>
        <v>false</v>
      </c>
      <c r="AA157" s="1617"/>
      <c r="AB157" s="690" t="str">
        <f>AB156&amp;".1"</f>
        <v>1.0.1</v>
      </c>
      <c r="AC157" s="221" t="s">
        <v>1872</v>
      </c>
      <c r="AD157" s="90" t="s">
        <v>1873</v>
      </c>
      <c r="AE157" s="90"/>
      <c r="AF157" s="90"/>
      <c r="AG157" s="90"/>
      <c r="AH157" s="90"/>
      <c r="AI157" s="1244"/>
      <c r="AJ157" s="1244"/>
      <c r="AK157" s="4882"/>
      <c r="AN157" s="1030" t="s">
        <v>1874</v>
      </c>
      <c r="AO157" s="1030" t="s">
        <v>1870</v>
      </c>
      <c r="AP157" s="1030" cm="1" t="str">
        <f t="array" ref="AP157:AP157">AP156</f>
        <v>0</v>
      </c>
      <c r="AQ157" s="267"/>
      <c r="AR157" s="267"/>
    </row>
    <row s="1448" customFormat="1" customHeight="1" ht="14.25" hidden="1">
      <c r="E158" s="868">
        <v>15</v>
      </c>
      <c r="F158" s="50" cm="1" t="str">
        <f t="array" ref="F158:F158">OFFSET(E158,-1,1)</f>
        <v>4</v>
      </c>
      <c r="H158" s="520" t="str">
        <f>H156&amp;"_2"</f>
        <v>l1_2</v>
      </c>
      <c r="I158" s="520" cm="1" t="str">
        <f t="array" ref="I158:I158">I157</f>
        <v>0</v>
      </c>
      <c r="T158" s="465" cm="1" t="str">
        <f t="array" ref="T158:T158">T157</f>
        <v>false</v>
      </c>
      <c r="AA158" s="1617"/>
      <c r="AB158" s="690" t="str">
        <f>AB156&amp;".2"</f>
        <v>1.0.2</v>
      </c>
      <c r="AC158" s="221" t="s">
        <v>1875</v>
      </c>
      <c r="AD158" s="90" t="s">
        <v>1876</v>
      </c>
      <c r="AE158" s="90"/>
      <c r="AF158" s="90"/>
      <c r="AG158" s="90"/>
      <c r="AH158" s="90"/>
      <c r="AI158" s="1244"/>
      <c r="AJ158" s="1244"/>
      <c r="AK158" s="4882"/>
      <c r="AN158" s="1030" t="s">
        <v>1877</v>
      </c>
      <c r="AO158" s="1030" t="s">
        <v>1870</v>
      </c>
      <c r="AP158" s="1030" cm="1" t="str">
        <f t="array" ref="AP158:AP158">AP157</f>
        <v>0</v>
      </c>
      <c r="AQ158" s="267"/>
      <c r="AR158" s="267"/>
    </row>
    <row s="1448" customFormat="1" customHeight="1" ht="18">
      <c r="A159" s="1448"/>
      <c r="B159" s="1448"/>
      <c r="C159" s="1448"/>
      <c r="D159" s="1448"/>
      <c r="E159" s="868">
        <v>18.75</v>
      </c>
      <c r="F159" s="50" cm="1" t="str">
        <f t="array" ref="F159:F159">OFFSET(E159,-1,1)</f>
        <v>4</v>
      </c>
      <c r="G159" s="1448"/>
      <c r="H159" s="520" t="s">
        <v>332</v>
      </c>
      <c r="I159" s="520" cm="1" t="str">
        <f t="array" ref="I159:I159">AC159</f>
        <v>основной производственный персонал</v>
      </c>
      <c r="J159" s="1448"/>
      <c r="K159" s="1448"/>
      <c r="L159" s="1448"/>
      <c r="M159" s="1448"/>
      <c r="N159" s="1448"/>
      <c r="O159" s="1448"/>
      <c r="P159" s="1448"/>
      <c r="Q159" s="1448"/>
      <c r="R159" s="1448"/>
      <c r="S159" s="1448"/>
      <c r="T159" s="465">
        <f>AND(F159&gt;0,Y159&gt;0)</f>
        <v>1</v>
      </c>
      <c r="U159" s="1448"/>
      <c r="V159" s="1448"/>
      <c r="W159" s="297"/>
      <c r="X159" s="1448"/>
      <c r="Y159" s="873" t="s">
        <v>276</v>
      </c>
      <c r="Z159" s="1448"/>
      <c r="AA159" s="1617" t="s">
        <v>175</v>
      </c>
      <c r="AB159" s="88" t="str">
        <f>"1."&amp;Y159</f>
        <v>1.1</v>
      </c>
      <c r="AC159" s="4748" t="s">
        <v>1906</v>
      </c>
      <c r="AD159" s="90" t="s">
        <v>1514</v>
      </c>
      <c r="AE159" s="90"/>
      <c r="AF159" s="90"/>
      <c r="AG159" s="90"/>
      <c r="AH159" s="90"/>
      <c r="AI159" s="3946">
        <f>AI160*AI161*12/1000</f>
        <v>45825.965104992</v>
      </c>
      <c r="AJ159" s="3946">
        <f>AJ160*AJ161*12/1000</f>
        <v>45825.965104992</v>
      </c>
      <c r="AK159" s="4883"/>
      <c r="AL159" s="1448"/>
      <c r="AM159" s="1448"/>
      <c r="AN159" s="1030" t="s">
        <v>1869</v>
      </c>
      <c r="AO159" s="1030" t="s">
        <v>1870</v>
      </c>
      <c r="AP159" s="1030" cm="1" t="str">
        <f t="array" ref="AP159:AP159">AC159</f>
        <v>основной производственный персонал</v>
      </c>
      <c r="AQ159" s="267"/>
      <c r="AR159" s="267" t="b">
        <v>1</v>
      </c>
    </row>
    <row s="1448" customFormat="1" customHeight="1" ht="14.25">
      <c r="A160" s="1448"/>
      <c r="B160" s="1448"/>
      <c r="C160" s="1448"/>
      <c r="D160" s="1448"/>
      <c r="E160" s="868">
        <v>15</v>
      </c>
      <c r="F160" s="50" cm="1" t="str">
        <f t="array" ref="F160:F160">OFFSET(E160,-1,1)</f>
        <v>4</v>
      </c>
      <c r="G160" s="520" t="s">
        <v>1871</v>
      </c>
      <c r="H160" s="520" t="str">
        <f>H159&amp;"_1"</f>
        <v>l1_1</v>
      </c>
      <c r="I160" s="520" cm="1" t="str">
        <f t="array" ref="I160:I160">I159</f>
        <v>основной производственный персонал</v>
      </c>
      <c r="J160" s="1448"/>
      <c r="K160" s="1448"/>
      <c r="L160" s="1448"/>
      <c r="M160" s="1448"/>
      <c r="N160" s="1448"/>
      <c r="O160" s="1448"/>
      <c r="P160" s="1448"/>
      <c r="Q160" s="1448"/>
      <c r="R160" s="1448"/>
      <c r="S160" s="1448"/>
      <c r="T160" s="465" cm="1" t="str">
        <f t="array" ref="T160:T160">T159</f>
        <v>true</v>
      </c>
      <c r="U160" s="1448"/>
      <c r="V160" s="1448"/>
      <c r="W160" s="1448"/>
      <c r="X160" s="1448"/>
      <c r="Y160" s="1448"/>
      <c r="Z160" s="1448"/>
      <c r="AA160" s="1617"/>
      <c r="AB160" s="690" t="str">
        <f>AB159&amp;".1"</f>
        <v>1.1.1</v>
      </c>
      <c r="AC160" s="221" t="s">
        <v>1872</v>
      </c>
      <c r="AD160" s="90" t="s">
        <v>1873</v>
      </c>
      <c r="AE160" s="90"/>
      <c r="AF160" s="90"/>
      <c r="AG160" s="90"/>
      <c r="AH160" s="90"/>
      <c r="AI160" s="4750">
        <v>91.1</v>
      </c>
      <c r="AJ160" s="4750">
        <v>91.1</v>
      </c>
      <c r="AK160" s="4883"/>
      <c r="AL160" s="1448"/>
      <c r="AM160" s="1448"/>
      <c r="AN160" s="1030" t="s">
        <v>1874</v>
      </c>
      <c r="AO160" s="1030" t="s">
        <v>1870</v>
      </c>
      <c r="AP160" s="1030" cm="1" t="str">
        <f t="array" ref="AP160:AP160">AP159</f>
        <v>основной производственный персонал</v>
      </c>
      <c r="AQ160" s="267"/>
      <c r="AR160" s="267"/>
    </row>
    <row s="1448" customFormat="1" customHeight="1" ht="14.25">
      <c r="A161" s="1448"/>
      <c r="B161" s="1448"/>
      <c r="C161" s="1448"/>
      <c r="D161" s="1448"/>
      <c r="E161" s="868">
        <v>15</v>
      </c>
      <c r="F161" s="50" cm="1" t="str">
        <f t="array" ref="F161:F161">OFFSET(E161,-1,1)</f>
        <v>4</v>
      </c>
      <c r="G161" s="1448"/>
      <c r="H161" s="520" t="str">
        <f>H159&amp;"_2"</f>
        <v>l1_2</v>
      </c>
      <c r="I161" s="520" cm="1" t="str">
        <f t="array" ref="I161:I161">I160</f>
        <v>основной производственный персонал</v>
      </c>
      <c r="J161" s="1448"/>
      <c r="K161" s="1448"/>
      <c r="L161" s="1448"/>
      <c r="M161" s="1448"/>
      <c r="N161" s="1448"/>
      <c r="O161" s="1448"/>
      <c r="P161" s="1448"/>
      <c r="Q161" s="1448"/>
      <c r="R161" s="1448"/>
      <c r="S161" s="1448"/>
      <c r="T161" s="465" cm="1" t="str">
        <f t="array" ref="T161:T161">T160</f>
        <v>true</v>
      </c>
      <c r="U161" s="1448"/>
      <c r="V161" s="1448"/>
      <c r="W161" s="1448"/>
      <c r="X161" s="1448"/>
      <c r="Y161" s="1448"/>
      <c r="Z161" s="1448"/>
      <c r="AA161" s="1617"/>
      <c r="AB161" s="690" t="str">
        <f>AB159&amp;".2"</f>
        <v>1.1.2</v>
      </c>
      <c r="AC161" s="221" t="s">
        <v>1875</v>
      </c>
      <c r="AD161" s="90" t="s">
        <v>1876</v>
      </c>
      <c r="AE161" s="90"/>
      <c r="AF161" s="90"/>
      <c r="AG161" s="90"/>
      <c r="AH161" s="90"/>
      <c r="AI161" s="4750">
        <v>41919.10456</v>
      </c>
      <c r="AJ161" s="4750">
        <v>41919.10456</v>
      </c>
      <c r="AK161" s="4883"/>
      <c r="AL161" s="1448"/>
      <c r="AM161" s="1448"/>
      <c r="AN161" s="1030" t="s">
        <v>1877</v>
      </c>
      <c r="AO161" s="1030" t="s">
        <v>1870</v>
      </c>
      <c r="AP161" s="1030" cm="1" t="str">
        <f t="array" ref="AP161:AP161">AP160</f>
        <v>основной производственный персонал</v>
      </c>
      <c r="AQ161" s="267"/>
      <c r="AR161" s="267"/>
    </row>
    <row s="1448" customFormat="1" customHeight="1" ht="18">
      <c r="A162" s="1448"/>
      <c r="B162" s="1448"/>
      <c r="C162" s="1448"/>
      <c r="D162" s="1448"/>
      <c r="E162" s="868">
        <v>18.75</v>
      </c>
      <c r="F162" s="50" cm="1" t="str">
        <f t="array" ref="F162:F162">OFFSET(E162,-1,1)</f>
        <v>4</v>
      </c>
      <c r="G162" s="1448"/>
      <c r="H162" s="520" t="s">
        <v>332</v>
      </c>
      <c r="I162" s="520" cm="1" t="str">
        <f t="array" ref="I162:I162">AC162</f>
        <v>цеховый персонал</v>
      </c>
      <c r="J162" s="1448"/>
      <c r="K162" s="1448"/>
      <c r="L162" s="1448"/>
      <c r="M162" s="1448"/>
      <c r="N162" s="1448"/>
      <c r="O162" s="1448"/>
      <c r="P162" s="1448"/>
      <c r="Q162" s="1448"/>
      <c r="R162" s="1448"/>
      <c r="S162" s="1448"/>
      <c r="T162" s="465">
        <f>AND(F162&gt;0,Y162&gt;0)</f>
        <v>1</v>
      </c>
      <c r="U162" s="1448"/>
      <c r="V162" s="1448"/>
      <c r="W162" s="297"/>
      <c r="X162" s="1448"/>
      <c r="Y162" s="873" t="s">
        <v>285</v>
      </c>
      <c r="Z162" s="1448"/>
      <c r="AA162" s="1617" t="s">
        <v>175</v>
      </c>
      <c r="AB162" s="88" t="str">
        <f>"1."&amp;Y162</f>
        <v>1.2</v>
      </c>
      <c r="AC162" s="4748" t="s">
        <v>1907</v>
      </c>
      <c r="AD162" s="90" t="s">
        <v>1514</v>
      </c>
      <c r="AE162" s="90"/>
      <c r="AF162" s="90"/>
      <c r="AG162" s="90"/>
      <c r="AH162" s="90"/>
      <c r="AI162" s="3946">
        <f>AI163*AI164*12/1000</f>
        <v>7718.858694624</v>
      </c>
      <c r="AJ162" s="3946">
        <f>AJ163*AJ164*12/1000</f>
        <v>7718.858694624</v>
      </c>
      <c r="AK162" s="4883"/>
      <c r="AL162" s="1448"/>
      <c r="AM162" s="1448"/>
      <c r="AN162" s="1030" t="s">
        <v>1869</v>
      </c>
      <c r="AO162" s="1030" t="s">
        <v>1870</v>
      </c>
      <c r="AP162" s="1030" cm="1" t="str">
        <f t="array" ref="AP162:AP162">AC162</f>
        <v>цеховый персонал</v>
      </c>
      <c r="AQ162" s="267"/>
      <c r="AR162" s="267" t="b">
        <v>1</v>
      </c>
    </row>
    <row s="1448" customFormat="1" customHeight="1" ht="14.25">
      <c r="A163" s="1448"/>
      <c r="B163" s="1448"/>
      <c r="C163" s="1448"/>
      <c r="D163" s="1448"/>
      <c r="E163" s="868">
        <v>15</v>
      </c>
      <c r="F163" s="50" cm="1" t="str">
        <f t="array" ref="F163:F163">OFFSET(E163,-1,1)</f>
        <v>4</v>
      </c>
      <c r="G163" s="520" t="s">
        <v>1871</v>
      </c>
      <c r="H163" s="520" t="str">
        <f>H162&amp;"_1"</f>
        <v>l1_1</v>
      </c>
      <c r="I163" s="520" cm="1" t="str">
        <f t="array" ref="I163:I163">I162</f>
        <v>цеховый персонал</v>
      </c>
      <c r="J163" s="1448"/>
      <c r="K163" s="1448"/>
      <c r="L163" s="1448"/>
      <c r="M163" s="1448"/>
      <c r="N163" s="1448"/>
      <c r="O163" s="1448"/>
      <c r="P163" s="1448"/>
      <c r="Q163" s="1448"/>
      <c r="R163" s="1448"/>
      <c r="S163" s="1448"/>
      <c r="T163" s="465" cm="1" t="str">
        <f t="array" ref="T163:T163">T162</f>
        <v>true</v>
      </c>
      <c r="U163" s="1448"/>
      <c r="V163" s="1448"/>
      <c r="W163" s="1448"/>
      <c r="X163" s="1448"/>
      <c r="Y163" s="1448"/>
      <c r="Z163" s="1448"/>
      <c r="AA163" s="1617"/>
      <c r="AB163" s="690" t="str">
        <f>AB162&amp;".1"</f>
        <v>1.2.1</v>
      </c>
      <c r="AC163" s="221" t="s">
        <v>1872</v>
      </c>
      <c r="AD163" s="90" t="s">
        <v>1873</v>
      </c>
      <c r="AE163" s="90"/>
      <c r="AF163" s="90"/>
      <c r="AG163" s="90"/>
      <c r="AH163" s="90"/>
      <c r="AI163" s="4750">
        <v>14</v>
      </c>
      <c r="AJ163" s="4750">
        <v>14</v>
      </c>
      <c r="AK163" s="4883"/>
      <c r="AL163" s="1448"/>
      <c r="AM163" s="1448"/>
      <c r="AN163" s="1030" t="s">
        <v>1874</v>
      </c>
      <c r="AO163" s="1030" t="s">
        <v>1870</v>
      </c>
      <c r="AP163" s="1030" cm="1" t="str">
        <f t="array" ref="AP163:AP163">AP162</f>
        <v>цеховый персонал</v>
      </c>
      <c r="AQ163" s="267"/>
      <c r="AR163" s="267"/>
    </row>
    <row s="1448" customFormat="1" customHeight="1" ht="14.25">
      <c r="A164" s="1448"/>
      <c r="B164" s="1448"/>
      <c r="C164" s="1448"/>
      <c r="D164" s="1448"/>
      <c r="E164" s="868">
        <v>15</v>
      </c>
      <c r="F164" s="50" cm="1" t="str">
        <f t="array" ref="F164:F164">OFFSET(E164,-1,1)</f>
        <v>4</v>
      </c>
      <c r="G164" s="1448"/>
      <c r="H164" s="520" t="str">
        <f>H162&amp;"_2"</f>
        <v>l1_2</v>
      </c>
      <c r="I164" s="520" cm="1" t="str">
        <f t="array" ref="I164:I164">I163</f>
        <v>цеховый персонал</v>
      </c>
      <c r="J164" s="1448"/>
      <c r="K164" s="1448"/>
      <c r="L164" s="1448"/>
      <c r="M164" s="1448"/>
      <c r="N164" s="1448"/>
      <c r="O164" s="1448"/>
      <c r="P164" s="1448"/>
      <c r="Q164" s="1448"/>
      <c r="R164" s="1448"/>
      <c r="S164" s="1448"/>
      <c r="T164" s="465" cm="1" t="str">
        <f t="array" ref="T164:T164">T163</f>
        <v>true</v>
      </c>
      <c r="U164" s="1448"/>
      <c r="V164" s="1448"/>
      <c r="W164" s="1448"/>
      <c r="X164" s="1448"/>
      <c r="Y164" s="1448"/>
      <c r="Z164" s="1448"/>
      <c r="AA164" s="1617"/>
      <c r="AB164" s="690" t="str">
        <f>AB162&amp;".2"</f>
        <v>1.2.2</v>
      </c>
      <c r="AC164" s="221" t="s">
        <v>1875</v>
      </c>
      <c r="AD164" s="90" t="s">
        <v>1876</v>
      </c>
      <c r="AE164" s="90"/>
      <c r="AF164" s="90"/>
      <c r="AG164" s="90"/>
      <c r="AH164" s="90"/>
      <c r="AI164" s="4750">
        <v>45945.587468</v>
      </c>
      <c r="AJ164" s="4750">
        <v>45945.587468</v>
      </c>
      <c r="AK164" s="4883"/>
      <c r="AL164" s="1448"/>
      <c r="AM164" s="1448"/>
      <c r="AN164" s="1030" t="s">
        <v>1877</v>
      </c>
      <c r="AO164" s="1030" t="s">
        <v>1870</v>
      </c>
      <c r="AP164" s="1030" cm="1" t="str">
        <f t="array" ref="AP164:AP164">AP163</f>
        <v>цеховый персонал</v>
      </c>
      <c r="AQ164" s="267"/>
      <c r="AR164" s="267"/>
    </row>
    <row s="1448" customFormat="1" customHeight="1" ht="14.25">
      <c r="A165" s="1812"/>
      <c r="B165" s="429"/>
      <c r="C165" s="867"/>
      <c r="D165" s="867"/>
      <c r="E165" s="868">
        <v>15</v>
      </c>
      <c r="F165" s="50" cm="1" t="str">
        <f t="array" ref="F165:F165">OFFSET(E165,-1,1)</f>
        <v>4</v>
      </c>
      <c r="G165" s="374"/>
      <c r="H165" s="839"/>
      <c r="I165" s="152" t="str">
        <f>"!=='не определено' &amp;&amp; row.l1 !== null"</f>
        <v>!=='не определено' &amp;&amp; row.l1 !== null</v>
      </c>
      <c r="J165" s="867"/>
      <c r="K165" s="483"/>
      <c r="L165" s="483"/>
      <c r="M165" s="867"/>
      <c r="N165" s="867"/>
      <c r="O165" s="867"/>
      <c r="P165" s="867"/>
      <c r="Q165" s="867"/>
      <c r="R165" s="867"/>
      <c r="S165" s="867"/>
      <c r="T165" s="465">
        <f>F165&gt;0</f>
        <v>1</v>
      </c>
      <c r="U165" s="867"/>
      <c r="V165" s="867"/>
      <c r="W165" s="757" t="s">
        <v>399</v>
      </c>
      <c r="X165" s="1619"/>
      <c r="Y165" s="873"/>
      <c r="Z165" s="1620"/>
      <c r="AA165" s="867"/>
      <c r="AB165" s="874"/>
      <c r="AC165" s="260" t="s">
        <v>178</v>
      </c>
      <c r="AD165" s="776"/>
      <c r="AE165" s="776"/>
      <c r="AF165" s="776"/>
      <c r="AG165" s="776"/>
      <c r="AH165" s="776"/>
      <c r="AI165" s="776"/>
      <c r="AJ165" s="776"/>
      <c r="AK165" s="777"/>
      <c r="AL165" s="1812"/>
      <c r="AM165" s="1812"/>
      <c r="AN165" s="1030"/>
      <c r="AO165" s="1030"/>
      <c r="AP165" s="1030"/>
      <c r="AQ165" s="267" t="s">
        <v>1870</v>
      </c>
      <c r="AR165" s="267"/>
    </row>
    <row s="1448" customFormat="1" customHeight="1" ht="33.75">
      <c r="A166" s="1812"/>
      <c r="B166" s="429"/>
      <c r="C166" s="867"/>
      <c r="D166" s="867"/>
      <c r="E166" s="868">
        <v>22.5</v>
      </c>
      <c r="F166" s="50" cm="1" t="str">
        <f t="array" ref="F166:F166">OFFSET(E166,-1,1)</f>
        <v>4</v>
      </c>
      <c r="G166" s="374" t="s">
        <v>1878</v>
      </c>
      <c r="H166" s="839" t="s">
        <v>333</v>
      </c>
      <c r="I166" s="839"/>
      <c r="J166" s="867"/>
      <c r="K166" s="483" t="str">
        <f>F166&amp;"2komm"</f>
        <v>42komm</v>
      </c>
      <c r="L166" s="917" cm="1" t="str">
        <f t="array" ref="L166:L166">AK166</f>
        <v>на основании Налогового кодекса РФ (часть вторая) от 05.08.2000 № 117-ФЗ в размере 30%, а также в соответствии с Федеральным законом от 24.07.1998 № 125 – ФЗ (0,20%).</v>
      </c>
      <c r="M166" s="867"/>
      <c r="N166" s="867"/>
      <c r="O166" s="867"/>
      <c r="P166" s="867"/>
      <c r="Q166" s="867"/>
      <c r="R166" s="867"/>
      <c r="S166" s="867"/>
      <c r="T166" s="465" cm="1" t="str">
        <f t="array" ref="T166:T166">T165</f>
        <v>true</v>
      </c>
      <c r="U166" s="867"/>
      <c r="V166" s="867"/>
      <c r="W166" s="867"/>
      <c r="X166" s="1619"/>
      <c r="Y166" s="873"/>
      <c r="Z166" s="1620"/>
      <c r="AA166" s="867"/>
      <c r="AB166" s="690" t="s">
        <v>285</v>
      </c>
      <c r="AC166" s="847" t="s">
        <v>1879</v>
      </c>
      <c r="AD166" s="766" t="s">
        <v>1514</v>
      </c>
      <c r="AE166" s="298">
        <f>AE155*_xlfn.SUMIFS(INDEX(Сценарии!$AE$25:$BF$163,,MATCH(AE$13,Сценарии!$AE$8:$BF$8,0)),Сценарии!$F$25:$F$163,$F166,Сценарии!$G$25:$G$163,"СВФОТ")/100</f>
        <v>0</v>
      </c>
      <c r="AF166" s="298">
        <f>AF155*_xlfn.SUMIFS(INDEX(Сценарии!$AE$25:$BF$163,,MATCH(AF$13,Сценарии!$AE$8:$BF$8,0)),Сценарии!$F$25:$F$163,$F166,Сценарии!$G$25:$G$163,"СВФОТ")/100</f>
        <v>0</v>
      </c>
      <c r="AG166" s="298">
        <f>AG155*_xlfn.SUMIFS(INDEX(Сценарии!$AE$25:$BF$163,,MATCH(AG$13,Сценарии!$AE$8:$BF$8,0)),Сценарии!$F$25:$F$163,$F166,Сценарии!$G$25:$G$163,"СВФОТ")/100</f>
        <v>0</v>
      </c>
      <c r="AH166" s="298">
        <f>AH155*_xlfn.SUMIFS(INDEX(Сценарии!$AE$25:$BF$163,,MATCH(AH$13,Сценарии!$AE$8:$BF$8,0)),Сценарии!$F$25:$F$163,$F166,Сценарии!$G$25:$G$163,"СВФОТ")/100</f>
        <v>0</v>
      </c>
      <c r="AI166" s="298">
        <f>AI155*_xlfn.SUMIFS(INDEX(Сценарии!$AE$25:$BF$163,,MATCH(AI$13,Сценарии!$AE$8:$BF$8,0)),Сценарии!$F$25:$F$163,$F166,Сценарии!$G$25:$G$163,"СВФОТ")/100</f>
        <v>16170.536787484</v>
      </c>
      <c r="AJ166" s="298">
        <f>AJ155*_xlfn.SUMIFS(INDEX(Сценарии!$AE$25:$BF$163,,MATCH(AJ$13,Сценарии!$AE$8:$BF$8,0)),Сценарии!$F$25:$F$163,$F166,Сценарии!$G$25:$G$163,"СВФОТ")/100</f>
        <v>16170.536787484</v>
      </c>
      <c r="AK166" s="846" t="s">
        <v>1232</v>
      </c>
      <c r="AL166" s="1812"/>
      <c r="AM166" s="1812"/>
      <c r="AN166" s="1030" t="s">
        <v>1880</v>
      </c>
      <c r="AO166" s="1030"/>
      <c r="AP166" s="1030"/>
      <c r="AQ166" s="267"/>
      <c r="AR166" s="267"/>
    </row>
    <row s="1448" customFormat="1" customHeight="1" ht="0">
      <c r="A167" s="1812"/>
      <c r="B167" s="429"/>
      <c r="C167" s="867"/>
      <c r="D167" s="867"/>
      <c r="E167" s="868">
        <v>15</v>
      </c>
      <c r="F167" s="50" cm="1" t="str">
        <f t="array" ref="F167:F167">OFFSET(E167,-1,1)</f>
        <v>4</v>
      </c>
      <c r="G167" s="374" t="s">
        <v>1881</v>
      </c>
      <c r="H167" s="839" t="s">
        <v>334</v>
      </c>
      <c r="I167" s="839"/>
      <c r="J167" s="867"/>
      <c r="K167" s="483" t="str">
        <f>F167&amp;"3komm"</f>
        <v>43komm</v>
      </c>
      <c r="L167" s="917" cm="1" t="str">
        <f t="array" ref="L167:L167">AK167</f>
        <v>0</v>
      </c>
      <c r="M167" s="867"/>
      <c r="N167" s="867"/>
      <c r="O167" s="867"/>
      <c r="P167" s="867"/>
      <c r="Q167" s="867"/>
      <c r="R167" s="867"/>
      <c r="S167" s="867"/>
      <c r="T167" s="465" cm="1" t="str">
        <f t="array" ref="T167:T167">T166</f>
        <v>true</v>
      </c>
      <c r="U167" s="867"/>
      <c r="V167" s="867"/>
      <c r="W167" s="867"/>
      <c r="X167" s="1619"/>
      <c r="Y167" s="873"/>
      <c r="Z167" s="1620"/>
      <c r="AA167" s="867"/>
      <c r="AB167" s="690" t="s">
        <v>289</v>
      </c>
      <c r="AC167" s="847" t="s">
        <v>1882</v>
      </c>
      <c r="AD167" s="766" t="s">
        <v>1514</v>
      </c>
      <c r="AE167" s="298"/>
      <c r="AF167" s="298"/>
      <c r="AG167" s="298"/>
      <c r="AH167" s="298"/>
      <c r="AI167" s="213">
        <f>_xlfn.SUMIFS(AI168:AI171,$AD168:$AD171,$AD167)</f>
        <v>0</v>
      </c>
      <c r="AJ167" s="213">
        <f>_xlfn.SUMIFS(AJ168:AJ171,$AD168:$AD171,$AD167)</f>
        <v>0</v>
      </c>
      <c r="AK167" s="846"/>
      <c r="AL167" s="1812"/>
      <c r="AM167" s="1812"/>
      <c r="AN167" s="1030" t="s">
        <v>1883</v>
      </c>
      <c r="AO167" s="1030"/>
      <c r="AP167" s="1030"/>
      <c r="AQ167" s="267"/>
      <c r="AR167" s="267"/>
    </row>
    <row s="1448" customFormat="1" customHeight="1" ht="0" hidden="1">
      <c r="A168" s="1812"/>
      <c r="B168" s="429"/>
      <c r="C168" s="867"/>
      <c r="D168" s="867"/>
      <c r="E168" s="868">
        <v>18.75</v>
      </c>
      <c r="F168" s="50" cm="1" t="str">
        <f t="array" ref="F168:F168">OFFSET(E168,-1,1)</f>
        <v>4</v>
      </c>
      <c r="G168" s="839"/>
      <c r="H168" s="839" t="s">
        <v>334</v>
      </c>
      <c r="I168" s="839" cm="1" t="str">
        <f t="array" ref="I168:I168">AC168</f>
        <v>0</v>
      </c>
      <c r="J168" s="867"/>
      <c r="K168" s="483"/>
      <c r="L168" s="483"/>
      <c r="M168" s="867"/>
      <c r="N168" s="867"/>
      <c r="O168" s="867"/>
      <c r="P168" s="867"/>
      <c r="Q168" s="867"/>
      <c r="R168" s="867"/>
      <c r="S168" s="867"/>
      <c r="T168" s="465">
        <f>AND(F168&gt;0,Y168&gt;0)</f>
        <v>0</v>
      </c>
      <c r="U168" s="867"/>
      <c r="V168" s="867"/>
      <c r="W168" s="867" t="s">
        <v>174</v>
      </c>
      <c r="X168" s="1619"/>
      <c r="Y168" s="1619">
        <v>0</v>
      </c>
      <c r="Z168" s="1620"/>
      <c r="AA168" s="1617" t="s">
        <v>175</v>
      </c>
      <c r="AB168" s="300" t="str">
        <f>"3."&amp;Y168</f>
        <v>3.0</v>
      </c>
      <c r="AC168" s="4727"/>
      <c r="AD168" s="766" t="s">
        <v>1514</v>
      </c>
      <c r="AE168" s="4728"/>
      <c r="AF168" s="4728"/>
      <c r="AG168" s="4728"/>
      <c r="AH168" s="4728"/>
      <c r="AI168" s="3557">
        <f>AI169*AI170*12/1000</f>
        <v>0</v>
      </c>
      <c r="AJ168" s="3557">
        <f>AJ169*AJ170*12/1000</f>
        <v>0</v>
      </c>
      <c r="AK168" s="1947"/>
      <c r="AL168" s="1812"/>
      <c r="AM168" s="1812"/>
      <c r="AN168" s="1030" t="s">
        <v>1869</v>
      </c>
      <c r="AO168" s="1030" t="s">
        <v>1884</v>
      </c>
      <c r="AP168" s="1030" cm="1" t="str">
        <f t="array" ref="AP168:AP168">AC168</f>
        <v>0</v>
      </c>
      <c r="AQ168" s="267"/>
      <c r="AR168" s="267" t="b">
        <v>1</v>
      </c>
    </row>
    <row s="1448" customFormat="1" customHeight="1" ht="0" hidden="1">
      <c r="A169" s="1812"/>
      <c r="B169" s="429"/>
      <c r="C169" s="867"/>
      <c r="D169" s="867"/>
      <c r="E169" s="868">
        <v>15</v>
      </c>
      <c r="F169" s="50" cm="1" t="str">
        <f t="array" ref="F169:F169">OFFSET(E169,-1,1)</f>
        <v>4</v>
      </c>
      <c r="G169" s="872" t="s">
        <v>1885</v>
      </c>
      <c r="H169" s="839" t="str">
        <f>H168&amp;"_1"</f>
        <v>l3_1</v>
      </c>
      <c r="I169" s="839" cm="1" t="str">
        <f t="array" ref="I169:I169">I168</f>
        <v>0</v>
      </c>
      <c r="J169" s="867"/>
      <c r="K169" s="483"/>
      <c r="L169" s="483"/>
      <c r="M169" s="867"/>
      <c r="N169" s="867"/>
      <c r="O169" s="867"/>
      <c r="P169" s="867"/>
      <c r="Q169" s="867"/>
      <c r="R169" s="867"/>
      <c r="S169" s="867"/>
      <c r="T169" s="465" cm="1" t="str">
        <f t="array" ref="T169:T169">T168</f>
        <v>false</v>
      </c>
      <c r="U169" s="867"/>
      <c r="V169" s="867"/>
      <c r="W169" s="867"/>
      <c r="X169" s="1619"/>
      <c r="Y169" s="1619"/>
      <c r="Z169" s="1620"/>
      <c r="AA169" s="1617"/>
      <c r="AB169" s="690" t="str">
        <f>AB168&amp;".1"</f>
        <v>3.0.1</v>
      </c>
      <c r="AC169" s="765" t="s">
        <v>1872</v>
      </c>
      <c r="AD169" s="766" t="s">
        <v>1873</v>
      </c>
      <c r="AE169" s="4728"/>
      <c r="AF169" s="4728"/>
      <c r="AG169" s="4728"/>
      <c r="AH169" s="4728"/>
      <c r="AI169" s="4725"/>
      <c r="AJ169" s="4725"/>
      <c r="AK169" s="1947"/>
      <c r="AL169" s="1812"/>
      <c r="AM169" s="1812"/>
      <c r="AN169" s="1030" t="s">
        <v>1874</v>
      </c>
      <c r="AO169" s="1030" t="s">
        <v>1884</v>
      </c>
      <c r="AP169" s="1030" cm="1" t="str">
        <f t="array" ref="AP169:AP169">AP168</f>
        <v>0</v>
      </c>
      <c r="AQ169" s="267"/>
      <c r="AR169" s="267"/>
    </row>
    <row s="1448" customFormat="1" customHeight="1" ht="0" hidden="1">
      <c r="A170" s="1812"/>
      <c r="B170" s="429"/>
      <c r="C170" s="867"/>
      <c r="D170" s="867"/>
      <c r="E170" s="868">
        <v>15</v>
      </c>
      <c r="F170" s="50" cm="1" t="str">
        <f t="array" ref="F170:F170">OFFSET(E170,-1,1)</f>
        <v>4</v>
      </c>
      <c r="G170" s="839"/>
      <c r="H170" s="839" t="str">
        <f>H168&amp;"_2"</f>
        <v>l3_2</v>
      </c>
      <c r="I170" s="839" cm="1" t="str">
        <f t="array" ref="I170:I170">I169</f>
        <v>0</v>
      </c>
      <c r="J170" s="867"/>
      <c r="K170" s="483"/>
      <c r="L170" s="483"/>
      <c r="M170" s="867"/>
      <c r="N170" s="867"/>
      <c r="O170" s="867"/>
      <c r="P170" s="867"/>
      <c r="Q170" s="867"/>
      <c r="R170" s="867"/>
      <c r="S170" s="867"/>
      <c r="T170" s="465" cm="1" t="str">
        <f t="array" ref="T170:T170">T169</f>
        <v>false</v>
      </c>
      <c r="U170" s="867"/>
      <c r="V170" s="867"/>
      <c r="W170" s="867"/>
      <c r="X170" s="1619"/>
      <c r="Y170" s="1619"/>
      <c r="Z170" s="1620"/>
      <c r="AA170" s="1617"/>
      <c r="AB170" s="690" t="str">
        <f>AB168&amp;".2"</f>
        <v>3.0.2</v>
      </c>
      <c r="AC170" s="765" t="s">
        <v>1875</v>
      </c>
      <c r="AD170" s="766" t="s">
        <v>1876</v>
      </c>
      <c r="AE170" s="4728"/>
      <c r="AF170" s="4728"/>
      <c r="AG170" s="4728"/>
      <c r="AH170" s="4728"/>
      <c r="AI170" s="4725"/>
      <c r="AJ170" s="4725"/>
      <c r="AK170" s="1947"/>
      <c r="AL170" s="1812"/>
      <c r="AM170" s="1812"/>
      <c r="AN170" s="1030" t="s">
        <v>1877</v>
      </c>
      <c r="AO170" s="1030" t="s">
        <v>1884</v>
      </c>
      <c r="AP170" s="1030" cm="1" t="str">
        <f t="array" ref="AP170:AP170">AP169</f>
        <v>0</v>
      </c>
      <c r="AQ170" s="267"/>
      <c r="AR170" s="267"/>
    </row>
    <row s="1448" customFormat="1" customHeight="1" ht="0">
      <c r="A171" s="1812"/>
      <c r="B171" s="429"/>
      <c r="C171" s="867"/>
      <c r="D171" s="867"/>
      <c r="E171" s="868">
        <v>15</v>
      </c>
      <c r="F171" s="50" cm="1" t="str">
        <f t="array" ref="F171:F171">OFFSET(E171,-1,1)</f>
        <v>4</v>
      </c>
      <c r="G171" s="374"/>
      <c r="H171" s="839"/>
      <c r="I171" s="152" t="str">
        <f>"!=='не определено' &amp;&amp; row.l3 !== null"</f>
        <v>!=='не определено' &amp;&amp; row.l3 !== null</v>
      </c>
      <c r="J171" s="867"/>
      <c r="K171" s="483"/>
      <c r="L171" s="483"/>
      <c r="M171" s="867"/>
      <c r="N171" s="867"/>
      <c r="O171" s="867"/>
      <c r="P171" s="867"/>
      <c r="Q171" s="867"/>
      <c r="R171" s="867"/>
      <c r="S171" s="867"/>
      <c r="T171" s="465">
        <f>F171&gt;0</f>
        <v>1</v>
      </c>
      <c r="U171" s="867"/>
      <c r="V171" s="867"/>
      <c r="W171" s="757" t="s">
        <v>1613</v>
      </c>
      <c r="X171" s="1619"/>
      <c r="Y171" s="873"/>
      <c r="Z171" s="1620"/>
      <c r="AA171" s="867"/>
      <c r="AB171" s="874"/>
      <c r="AC171" s="260" t="s">
        <v>178</v>
      </c>
      <c r="AD171" s="776"/>
      <c r="AE171" s="776"/>
      <c r="AF171" s="776"/>
      <c r="AG171" s="776"/>
      <c r="AH171" s="776"/>
      <c r="AI171" s="776"/>
      <c r="AJ171" s="776"/>
      <c r="AK171" s="777"/>
      <c r="AL171" s="1812"/>
      <c r="AM171" s="1812"/>
      <c r="AN171" s="1030"/>
      <c r="AO171" s="1030"/>
      <c r="AP171" s="1030"/>
      <c r="AQ171" s="267" t="s">
        <v>1884</v>
      </c>
      <c r="AR171" s="267"/>
    </row>
    <row s="1448" customFormat="1" customHeight="1" ht="0">
      <c r="A172" s="1812"/>
      <c r="B172" s="429"/>
      <c r="C172" s="867"/>
      <c r="D172" s="867"/>
      <c r="E172" s="868">
        <v>22.5</v>
      </c>
      <c r="F172" s="50" cm="1" t="str">
        <f t="array" ref="F172:F172">OFFSET(E172,-1,1)</f>
        <v>4</v>
      </c>
      <c r="G172" s="374" t="s">
        <v>1886</v>
      </c>
      <c r="H172" s="839" t="s">
        <v>336</v>
      </c>
      <c r="I172" s="839"/>
      <c r="J172" s="867"/>
      <c r="K172" s="483" t="str">
        <f>F172&amp;"4komm"</f>
        <v>44komm</v>
      </c>
      <c r="L172" s="917" cm="1" t="str">
        <f t="array" ref="L172:L172">AK172</f>
        <v>0</v>
      </c>
      <c r="M172" s="867"/>
      <c r="N172" s="867"/>
      <c r="O172" s="867"/>
      <c r="P172" s="867"/>
      <c r="Q172" s="867"/>
      <c r="R172" s="867"/>
      <c r="S172" s="867"/>
      <c r="T172" s="465" cm="1" t="str">
        <f t="array" ref="T172:T172">T171</f>
        <v>true</v>
      </c>
      <c r="U172" s="867"/>
      <c r="V172" s="867"/>
      <c r="W172" s="867"/>
      <c r="X172" s="1619"/>
      <c r="Y172" s="873"/>
      <c r="Z172" s="1620"/>
      <c r="AA172" s="867"/>
      <c r="AB172" s="690" t="s">
        <v>295</v>
      </c>
      <c r="AC172" s="847" t="s">
        <v>1887</v>
      </c>
      <c r="AD172" s="766" t="s">
        <v>1514</v>
      </c>
      <c r="AE172" s="298">
        <f>AE167*_xlfn.SUMIFS(INDEX(Сценарии!$AE$25:$BF$163,,MATCH(AE$13,Сценарии!$AE$8:$BF$8,0)),Сценарии!$F$25:$F$163,$F172,Сценарии!$G$25:$G$163,"СВФОТ")/100</f>
        <v>0</v>
      </c>
      <c r="AF172" s="298">
        <f>AF167*_xlfn.SUMIFS(INDEX(Сценарии!$AE$25:$BF$163,,MATCH(AF$13,Сценарии!$AE$8:$BF$8,0)),Сценарии!$F$25:$F$163,$F172,Сценарии!$G$25:$G$163,"СВФОТ")/100</f>
        <v>0</v>
      </c>
      <c r="AG172" s="298">
        <f>AG167*_xlfn.SUMIFS(INDEX(Сценарии!$AE$25:$BF$163,,MATCH(AG$13,Сценарии!$AE$8:$BF$8,0)),Сценарии!$F$25:$F$163,$F172,Сценарии!$G$25:$G$163,"СВФОТ")/100</f>
        <v>0</v>
      </c>
      <c r="AH172" s="298">
        <f>AH167*_xlfn.SUMIFS(INDEX(Сценарии!$AE$25:$BF$163,,MATCH(AH$13,Сценарии!$AE$8:$BF$8,0)),Сценарии!$F$25:$F$163,$F172,Сценарии!$G$25:$G$163,"СВФОТ")/100</f>
        <v>0</v>
      </c>
      <c r="AI172" s="298">
        <f>AI167*_xlfn.SUMIFS(INDEX(Сценарии!$AE$25:$BF$163,,MATCH(AI$13,Сценарии!$AE$8:$BF$8,0)),Сценарии!$F$25:$F$163,$F172,Сценарии!$G$25:$G$163,"СВФОТ")/100</f>
        <v>0</v>
      </c>
      <c r="AJ172" s="298">
        <f>AJ167*_xlfn.SUMIFS(INDEX(Сценарии!$AE$25:$BF$163,,MATCH(AJ$13,Сценарии!$AE$8:$BF$8,0)),Сценарии!$F$25:$F$163,$F172,Сценарии!$G$25:$G$163,"СВФОТ")/100</f>
        <v>0</v>
      </c>
      <c r="AK172" s="846"/>
      <c r="AL172" s="1812"/>
      <c r="AM172" s="1812"/>
      <c r="AN172" s="1030" t="s">
        <v>1888</v>
      </c>
      <c r="AO172" s="1030"/>
      <c r="AP172" s="1030"/>
      <c r="AQ172" s="267"/>
      <c r="AR172" s="267"/>
    </row>
    <row s="1448" customFormat="1" customHeight="1" ht="21.75">
      <c r="A173" s="1812"/>
      <c r="B173" s="429"/>
      <c r="C173" s="867"/>
      <c r="D173" s="867"/>
      <c r="E173" s="868">
        <v>22.5</v>
      </c>
      <c r="F173" s="50" cm="1" t="str">
        <f t="array" ref="F173:F173">OFFSET(E173,-1,1)</f>
        <v>4</v>
      </c>
      <c r="G173" s="374" t="s">
        <v>1889</v>
      </c>
      <c r="H173" s="839" t="s">
        <v>335</v>
      </c>
      <c r="I173" s="839"/>
      <c r="J173" s="867"/>
      <c r="K173" s="483" t="str">
        <f>F173&amp;"5komm"</f>
        <v>45komm</v>
      </c>
      <c r="L173" s="917" cm="1" t="str">
        <f t="array" ref="L173:L173">AK173</f>
        <v>по предложению организации в соответствии со штатным расписанием.</v>
      </c>
      <c r="M173" s="867"/>
      <c r="N173" s="867"/>
      <c r="O173" s="867"/>
      <c r="P173" s="867"/>
      <c r="Q173" s="867"/>
      <c r="R173" s="867"/>
      <c r="S173" s="867"/>
      <c r="T173" s="465" cm="1" t="str">
        <f t="array" ref="T173:T173">T172</f>
        <v>true</v>
      </c>
      <c r="U173" s="867"/>
      <c r="V173" s="867"/>
      <c r="W173" s="867"/>
      <c r="X173" s="1619"/>
      <c r="Y173" s="873"/>
      <c r="Z173" s="1620"/>
      <c r="AA173" s="867"/>
      <c r="AB173" s="690" t="s">
        <v>443</v>
      </c>
      <c r="AC173" s="847" t="s">
        <v>1890</v>
      </c>
      <c r="AD173" s="766" t="s">
        <v>1514</v>
      </c>
      <c r="AE173" s="298"/>
      <c r="AF173" s="298"/>
      <c r="AG173" s="298"/>
      <c r="AH173" s="298"/>
      <c r="AI173" s="213">
        <f>_xlfn.SUMIFS(AI174:AI180,$AD174:$AD180,$AD173)</f>
        <v>18796.1868999828</v>
      </c>
      <c r="AJ173" s="213">
        <f>_xlfn.SUMIFS(AJ174:AJ180,$AD174:$AD180,$AD173)</f>
        <v>18796.1868999828</v>
      </c>
      <c r="AK173" s="846" t="s">
        <v>1905</v>
      </c>
      <c r="AL173" s="1812"/>
      <c r="AM173" s="1812"/>
      <c r="AN173" s="1030" t="s">
        <v>1891</v>
      </c>
      <c r="AO173" s="1030"/>
      <c r="AP173" s="1030"/>
      <c r="AQ173" s="267"/>
      <c r="AR173" s="267"/>
    </row>
    <row s="1448" customFormat="1" customHeight="1" ht="18" hidden="1">
      <c r="E174" s="868">
        <v>18.75</v>
      </c>
      <c r="F174" s="50" cm="1" t="str">
        <f t="array" ref="F174:F174">OFFSET(E174,-1,1)</f>
        <v>4</v>
      </c>
      <c r="H174" s="520" t="s">
        <v>335</v>
      </c>
      <c r="I174" s="520" cm="1" t="str">
        <f t="array" ref="I174:I174">AC174</f>
        <v>0</v>
      </c>
      <c r="T174" s="465">
        <f>AND(F174&gt;0,Y174&gt;0)</f>
        <v>0</v>
      </c>
      <c r="W174" s="297" t="s">
        <v>174</v>
      </c>
      <c r="Y174" s="873">
        <v>0</v>
      </c>
      <c r="AA174" s="1617" t="s">
        <v>175</v>
      </c>
      <c r="AB174" s="88" t="str">
        <f>"5."&amp;Y174</f>
        <v>5.0</v>
      </c>
      <c r="AC174" s="1243"/>
      <c r="AD174" s="90" t="s">
        <v>1514</v>
      </c>
      <c r="AE174" s="90"/>
      <c r="AF174" s="90"/>
      <c r="AG174" s="90"/>
      <c r="AH174" s="90"/>
      <c r="AI174" s="1241">
        <f>AI175*AI176*12/1000</f>
        <v>0</v>
      </c>
      <c r="AJ174" s="1241">
        <f>AJ175*AJ176*12/1000</f>
        <v>0</v>
      </c>
      <c r="AK174" s="4904"/>
      <c r="AN174" s="1030" t="s">
        <v>1869</v>
      </c>
      <c r="AO174" s="1030" t="s">
        <v>1892</v>
      </c>
      <c r="AP174" s="1030" cm="1" t="str">
        <f t="array" ref="AP174:AP174">AC174</f>
        <v>0</v>
      </c>
      <c r="AQ174" s="267"/>
      <c r="AR174" s="267" t="b">
        <v>1</v>
      </c>
    </row>
    <row s="1448" customFormat="1" customHeight="1" ht="14.25" hidden="1">
      <c r="E175" s="868">
        <v>15</v>
      </c>
      <c r="F175" s="50" cm="1" t="str">
        <f t="array" ref="F175:F175">OFFSET(E175,-1,1)</f>
        <v>4</v>
      </c>
      <c r="H175" s="520" t="str">
        <f>H174&amp;"_1"</f>
        <v>l5_1</v>
      </c>
      <c r="I175" s="520" cm="1" t="str">
        <f t="array" ref="I175:I175">I174</f>
        <v>0</v>
      </c>
      <c r="T175" s="465" cm="1" t="str">
        <f t="array" ref="T175:T175">T174</f>
        <v>false</v>
      </c>
      <c r="AA175" s="1617"/>
      <c r="AB175" s="690" t="str">
        <f>AB174&amp;".1"</f>
        <v>5.0.1</v>
      </c>
      <c r="AC175" s="221" t="s">
        <v>1872</v>
      </c>
      <c r="AD175" s="90" t="s">
        <v>1873</v>
      </c>
      <c r="AE175" s="90"/>
      <c r="AF175" s="90"/>
      <c r="AG175" s="90"/>
      <c r="AH175" s="90"/>
      <c r="AI175" s="1244"/>
      <c r="AJ175" s="1244"/>
      <c r="AK175" s="4904"/>
      <c r="AN175" s="1030" t="s">
        <v>1874</v>
      </c>
      <c r="AO175" s="1030" t="s">
        <v>1892</v>
      </c>
      <c r="AP175" s="1030" cm="1" t="str">
        <f t="array" ref="AP175:AP175">AP174</f>
        <v>0</v>
      </c>
      <c r="AQ175" s="267"/>
      <c r="AR175" s="267"/>
    </row>
    <row s="1448" customFormat="1" customHeight="1" ht="14.25" hidden="1">
      <c r="E176" s="868">
        <v>15</v>
      </c>
      <c r="F176" s="50" cm="1" t="str">
        <f t="array" ref="F176:F176">OFFSET(E176,-1,1)</f>
        <v>4</v>
      </c>
      <c r="H176" s="520" t="str">
        <f>H174&amp;"_2"</f>
        <v>l5_2</v>
      </c>
      <c r="I176" s="520" cm="1" t="str">
        <f t="array" ref="I176:I176">I175</f>
        <v>0</v>
      </c>
      <c r="T176" s="465" cm="1" t="str">
        <f t="array" ref="T176:T176">T175</f>
        <v>false</v>
      </c>
      <c r="AA176" s="1617"/>
      <c r="AB176" s="690" t="str">
        <f>AB174&amp;".2"</f>
        <v>5.0.2</v>
      </c>
      <c r="AC176" s="221" t="s">
        <v>1875</v>
      </c>
      <c r="AD176" s="90" t="s">
        <v>1876</v>
      </c>
      <c r="AE176" s="90"/>
      <c r="AF176" s="90"/>
      <c r="AG176" s="90"/>
      <c r="AH176" s="90"/>
      <c r="AI176" s="1244"/>
      <c r="AJ176" s="1244"/>
      <c r="AK176" s="4904"/>
      <c r="AN176" s="1030" t="s">
        <v>1877</v>
      </c>
      <c r="AO176" s="1030" t="s">
        <v>1892</v>
      </c>
      <c r="AP176" s="1030" cm="1" t="str">
        <f t="array" ref="AP176:AP176">AP175</f>
        <v>0</v>
      </c>
      <c r="AQ176" s="267"/>
      <c r="AR176" s="267"/>
    </row>
    <row s="1448" customFormat="1" customHeight="1" ht="18">
      <c r="A177" s="1448"/>
      <c r="B177" s="1448"/>
      <c r="C177" s="1448"/>
      <c r="D177" s="1448"/>
      <c r="E177" s="868">
        <v>18.75</v>
      </c>
      <c r="F177" s="50" cm="1" t="str">
        <f t="array" ref="F177:F177">OFFSET(E177,-1,1)</f>
        <v>4</v>
      </c>
      <c r="G177" s="1448"/>
      <c r="H177" s="520" t="s">
        <v>335</v>
      </c>
      <c r="I177" s="520" cm="1" t="str">
        <f t="array" ref="I177:I177">AC177</f>
        <v>персонал АУП</v>
      </c>
      <c r="J177" s="1448"/>
      <c r="K177" s="1448"/>
      <c r="L177" s="1448"/>
      <c r="M177" s="1448"/>
      <c r="N177" s="1448"/>
      <c r="O177" s="1448"/>
      <c r="P177" s="1448"/>
      <c r="Q177" s="1448"/>
      <c r="R177" s="1448"/>
      <c r="S177" s="1448"/>
      <c r="T177" s="465">
        <f>AND(F177&gt;0,Y177&gt;0)</f>
        <v>1</v>
      </c>
      <c r="U177" s="1448"/>
      <c r="V177" s="1448"/>
      <c r="W177" s="297"/>
      <c r="X177" s="1448"/>
      <c r="Y177" s="873" t="s">
        <v>276</v>
      </c>
      <c r="Z177" s="1448"/>
      <c r="AA177" s="1617" t="s">
        <v>175</v>
      </c>
      <c r="AB177" s="88" t="str">
        <f>"5."&amp;Y177</f>
        <v>5.1</v>
      </c>
      <c r="AC177" s="4748" t="s">
        <v>1908</v>
      </c>
      <c r="AD177" s="90" t="s">
        <v>1514</v>
      </c>
      <c r="AE177" s="90"/>
      <c r="AF177" s="90"/>
      <c r="AG177" s="90"/>
      <c r="AH177" s="90"/>
      <c r="AI177" s="3946">
        <f>AI178*AI179*12/1000</f>
        <v>18796.1868999828</v>
      </c>
      <c r="AJ177" s="3946">
        <f>AJ178*AJ179*12/1000</f>
        <v>18796.1868999828</v>
      </c>
      <c r="AK177" s="4905"/>
      <c r="AL177" s="1448"/>
      <c r="AM177" s="1448"/>
      <c r="AN177" s="1030" t="s">
        <v>1869</v>
      </c>
      <c r="AO177" s="1030" t="s">
        <v>1892</v>
      </c>
      <c r="AP177" s="1030" cm="1" t="str">
        <f t="array" ref="AP177:AP177">AC177</f>
        <v>персонал АУП</v>
      </c>
      <c r="AQ177" s="267"/>
      <c r="AR177" s="267" t="b">
        <v>1</v>
      </c>
    </row>
    <row s="1448" customFormat="1" customHeight="1" ht="14.25">
      <c r="A178" s="1448"/>
      <c r="B178" s="1448"/>
      <c r="C178" s="1448"/>
      <c r="D178" s="1448"/>
      <c r="E178" s="868">
        <v>15</v>
      </c>
      <c r="F178" s="50" cm="1" t="str">
        <f t="array" ref="F178:F178">OFFSET(E178,-1,1)</f>
        <v>4</v>
      </c>
      <c r="G178" s="1448"/>
      <c r="H178" s="520" t="str">
        <f>H177&amp;"_1"</f>
        <v>l5_1</v>
      </c>
      <c r="I178" s="520" cm="1" t="str">
        <f t="array" ref="I178:I178">I177</f>
        <v>персонал АУП</v>
      </c>
      <c r="J178" s="1448"/>
      <c r="K178" s="1448"/>
      <c r="L178" s="1448"/>
      <c r="M178" s="1448"/>
      <c r="N178" s="1448"/>
      <c r="O178" s="1448"/>
      <c r="P178" s="1448"/>
      <c r="Q178" s="1448"/>
      <c r="R178" s="1448"/>
      <c r="S178" s="1448"/>
      <c r="T178" s="465" cm="1" t="str">
        <f t="array" ref="T178:T178">T177</f>
        <v>true</v>
      </c>
      <c r="U178" s="1448"/>
      <c r="V178" s="1448"/>
      <c r="W178" s="1448"/>
      <c r="X178" s="1448"/>
      <c r="Y178" s="1448"/>
      <c r="Z178" s="1448"/>
      <c r="AA178" s="1617"/>
      <c r="AB178" s="690" t="str">
        <f>AB177&amp;".1"</f>
        <v>5.1.1</v>
      </c>
      <c r="AC178" s="221" t="s">
        <v>1872</v>
      </c>
      <c r="AD178" s="90" t="s">
        <v>1873</v>
      </c>
      <c r="AE178" s="90"/>
      <c r="AF178" s="90"/>
      <c r="AG178" s="90"/>
      <c r="AH178" s="90"/>
      <c r="AI178" s="4750">
        <v>23.1</v>
      </c>
      <c r="AJ178" s="4750">
        <v>23.1</v>
      </c>
      <c r="AK178" s="4905"/>
      <c r="AL178" s="1448"/>
      <c r="AM178" s="1448"/>
      <c r="AN178" s="1030" t="s">
        <v>1874</v>
      </c>
      <c r="AO178" s="1030" t="s">
        <v>1892</v>
      </c>
      <c r="AP178" s="1030" cm="1" t="str">
        <f t="array" ref="AP178:AP178">AP177</f>
        <v>персонал АУП</v>
      </c>
      <c r="AQ178" s="267"/>
      <c r="AR178" s="267"/>
    </row>
    <row s="1448" customFormat="1" customHeight="1" ht="14.25">
      <c r="A179" s="1448"/>
      <c r="B179" s="1448"/>
      <c r="C179" s="1448"/>
      <c r="D179" s="1448"/>
      <c r="E179" s="868">
        <v>15</v>
      </c>
      <c r="F179" s="50" cm="1" t="str">
        <f t="array" ref="F179:F179">OFFSET(E179,-1,1)</f>
        <v>4</v>
      </c>
      <c r="G179" s="1448"/>
      <c r="H179" s="520" t="str">
        <f>H177&amp;"_2"</f>
        <v>l5_2</v>
      </c>
      <c r="I179" s="520" cm="1" t="str">
        <f t="array" ref="I179:I179">I178</f>
        <v>персонал АУП</v>
      </c>
      <c r="J179" s="1448"/>
      <c r="K179" s="1448"/>
      <c r="L179" s="1448"/>
      <c r="M179" s="1448"/>
      <c r="N179" s="1448"/>
      <c r="O179" s="1448"/>
      <c r="P179" s="1448"/>
      <c r="Q179" s="1448"/>
      <c r="R179" s="1448"/>
      <c r="S179" s="1448"/>
      <c r="T179" s="465" cm="1" t="str">
        <f t="array" ref="T179:T179">T178</f>
        <v>true</v>
      </c>
      <c r="U179" s="1448"/>
      <c r="V179" s="1448"/>
      <c r="W179" s="1448"/>
      <c r="X179" s="1448"/>
      <c r="Y179" s="1448"/>
      <c r="Z179" s="1448"/>
      <c r="AA179" s="1617"/>
      <c r="AB179" s="690" t="str">
        <f>AB177&amp;".2"</f>
        <v>5.1.2</v>
      </c>
      <c r="AC179" s="221" t="s">
        <v>1875</v>
      </c>
      <c r="AD179" s="90" t="s">
        <v>1876</v>
      </c>
      <c r="AE179" s="90"/>
      <c r="AF179" s="90"/>
      <c r="AG179" s="90"/>
      <c r="AH179" s="90"/>
      <c r="AI179" s="4750">
        <v>67807.312049</v>
      </c>
      <c r="AJ179" s="4750">
        <v>67807.312049</v>
      </c>
      <c r="AK179" s="4905"/>
      <c r="AL179" s="1448"/>
      <c r="AM179" s="1448"/>
      <c r="AN179" s="1030" t="s">
        <v>1877</v>
      </c>
      <c r="AO179" s="1030" t="s">
        <v>1892</v>
      </c>
      <c r="AP179" s="1030" cm="1" t="str">
        <f t="array" ref="AP179:AP179">AP178</f>
        <v>персонал АУП</v>
      </c>
      <c r="AQ179" s="267"/>
      <c r="AR179" s="267"/>
    </row>
    <row s="1448" customFormat="1" customHeight="1" ht="14.25">
      <c r="A180" s="1812"/>
      <c r="B180" s="429"/>
      <c r="C180" s="867"/>
      <c r="D180" s="867"/>
      <c r="E180" s="868">
        <v>15</v>
      </c>
      <c r="F180" s="50" cm="1" t="str">
        <f t="array" ref="F180:F180">OFFSET(E180,-1,1)</f>
        <v>4</v>
      </c>
      <c r="G180" s="374"/>
      <c r="H180" s="839"/>
      <c r="I180" s="152" t="str">
        <f>"!=='не определено' &amp;&amp; row.l5 !== null"</f>
        <v>!=='не определено' &amp;&amp; row.l5 !== null</v>
      </c>
      <c r="J180" s="867"/>
      <c r="K180" s="483"/>
      <c r="L180" s="483"/>
      <c r="M180" s="867"/>
      <c r="N180" s="867"/>
      <c r="O180" s="867"/>
      <c r="P180" s="867"/>
      <c r="Q180" s="867"/>
      <c r="R180" s="867"/>
      <c r="S180" s="867"/>
      <c r="T180" s="465">
        <f>F180&gt;0</f>
        <v>1</v>
      </c>
      <c r="U180" s="867"/>
      <c r="V180" s="867"/>
      <c r="W180" s="757" t="s">
        <v>1893</v>
      </c>
      <c r="X180" s="1619"/>
      <c r="Y180" s="873"/>
      <c r="Z180" s="1620"/>
      <c r="AA180" s="867"/>
      <c r="AB180" s="874"/>
      <c r="AC180" s="260" t="s">
        <v>178</v>
      </c>
      <c r="AD180" s="776"/>
      <c r="AE180" s="776"/>
      <c r="AF180" s="776"/>
      <c r="AG180" s="776"/>
      <c r="AH180" s="776"/>
      <c r="AI180" s="776"/>
      <c r="AJ180" s="776"/>
      <c r="AK180" s="777"/>
      <c r="AL180" s="1812"/>
      <c r="AM180" s="1812"/>
      <c r="AN180" s="1030"/>
      <c r="AO180" s="1030"/>
      <c r="AP180" s="1030"/>
      <c r="AQ180" s="267" t="s">
        <v>1892</v>
      </c>
      <c r="AR180" s="267"/>
    </row>
    <row s="1448" customFormat="1" customHeight="1" ht="33.75">
      <c r="A181" s="1812"/>
      <c r="B181" s="429"/>
      <c r="C181" s="867"/>
      <c r="D181" s="867"/>
      <c r="E181" s="868">
        <v>22.5</v>
      </c>
      <c r="F181" s="50" cm="1" t="str">
        <f t="array" ref="F181:F181">OFFSET(E181,-1,1)</f>
        <v>4</v>
      </c>
      <c r="G181" s="374" t="s">
        <v>1894</v>
      </c>
      <c r="H181" s="839" t="s">
        <v>1225</v>
      </c>
      <c r="I181" s="839"/>
      <c r="J181" s="867"/>
      <c r="K181" s="483" t="str">
        <f>F181&amp;"6komm"</f>
        <v>46komm</v>
      </c>
      <c r="L181" s="483" cm="1" t="str">
        <f t="array" ref="L181:L181">AK181</f>
        <v>на основании Налогового кодекса РФ (часть вторая) от 05.08.2000 № 117-ФЗ в размере 30%, а также в соответствии с Федеральным законом от 24.07.1998 № 125 – ФЗ (0,20%).</v>
      </c>
      <c r="M181" s="867"/>
      <c r="N181" s="867"/>
      <c r="O181" s="867"/>
      <c r="P181" s="867"/>
      <c r="Q181" s="867"/>
      <c r="R181" s="867"/>
      <c r="S181" s="867"/>
      <c r="T181" s="465" cm="1" t="str">
        <f t="array" ref="T181:T181">T180</f>
        <v>true</v>
      </c>
      <c r="U181" s="867"/>
      <c r="V181" s="867"/>
      <c r="W181" s="867"/>
      <c r="X181" s="1619"/>
      <c r="Y181" s="873"/>
      <c r="Z181" s="1620"/>
      <c r="AA181" s="867"/>
      <c r="AB181" s="690" t="s">
        <v>446</v>
      </c>
      <c r="AC181" s="847" t="s">
        <v>1895</v>
      </c>
      <c r="AD181" s="766" t="s">
        <v>1514</v>
      </c>
      <c r="AE181" s="298">
        <f>AE173*_xlfn.SUMIFS(INDEX(Сценарии!$AE$25:$BF$163,,MATCH(AE$13,Сценарии!$AE$8:$BF$8,0)),Сценарии!$F$25:$F$163,$F181,Сценарии!$G$25:$G$163,"СВФОТ")/100</f>
        <v>0</v>
      </c>
      <c r="AF181" s="298">
        <f>AF173*_xlfn.SUMIFS(INDEX(Сценарии!$AE$25:$BF$163,,MATCH(AF$13,Сценарии!$AE$8:$BF$8,0)),Сценарии!$F$25:$F$163,$F181,Сценарии!$G$25:$G$163,"СВФОТ")/100</f>
        <v>0</v>
      </c>
      <c r="AG181" s="298">
        <f>AG173*_xlfn.SUMIFS(INDEX(Сценарии!$AE$25:$BF$163,,MATCH(AG$13,Сценарии!$AE$8:$BF$8,0)),Сценарии!$F$25:$F$163,$F181,Сценарии!$G$25:$G$163,"СВФОТ")/100</f>
        <v>0</v>
      </c>
      <c r="AH181" s="298">
        <f>AH173*_xlfn.SUMIFS(INDEX(Сценарии!$AE$25:$BF$163,,MATCH(AH$13,Сценарии!$AE$8:$BF$8,0)),Сценарии!$F$25:$F$163,$F181,Сценарии!$G$25:$G$163,"СВФОТ")/100</f>
        <v>0</v>
      </c>
      <c r="AI181" s="298">
        <f>AI173*_xlfn.SUMIFS(INDEX(Сценарии!$AE$25:$BF$163,,MATCH(AI$13,Сценарии!$AE$8:$BF$8,0)),Сценарии!$F$25:$F$163,$F181,Сценарии!$G$25:$G$163,"СВФОТ")/100</f>
        <v>5676.44844379481</v>
      </c>
      <c r="AJ181" s="298">
        <f>AJ173*_xlfn.SUMIFS(INDEX(Сценарии!$AE$25:$BF$163,,MATCH(AJ$13,Сценарии!$AE$8:$BF$8,0)),Сценарии!$F$25:$F$163,$F181,Сценарии!$G$25:$G$163,"СВФОТ")/100</f>
        <v>5676.44844379481</v>
      </c>
      <c r="AK181" s="918" t="s">
        <v>1232</v>
      </c>
      <c r="AL181" s="1812"/>
      <c r="AM181" s="1812"/>
      <c r="AN181" s="1030" t="s">
        <v>1896</v>
      </c>
      <c r="AO181" s="1030"/>
      <c r="AP181" s="1030"/>
      <c r="AQ181" s="267"/>
      <c r="AR181" s="267"/>
    </row>
    <row s="1448" customFormat="1" customHeight="1" ht="0">
      <c r="A182" s="1812"/>
      <c r="B182" s="429"/>
      <c r="C182" s="867"/>
      <c r="D182" s="867"/>
      <c r="E182" s="868">
        <v>15</v>
      </c>
      <c r="F182" s="50" cm="1" t="str">
        <f t="array" ref="F182:F182">OFFSET(E182,-1,1)</f>
        <v>4</v>
      </c>
      <c r="G182" s="374" t="s">
        <v>1897</v>
      </c>
      <c r="H182" s="839" t="s">
        <v>1228</v>
      </c>
      <c r="I182" s="839"/>
      <c r="J182" s="867"/>
      <c r="K182" s="483" t="str">
        <f>F182&amp;"7komm"</f>
        <v>47komm</v>
      </c>
      <c r="L182" s="483" cm="1" t="str">
        <f t="array" ref="L182:L182">AK182</f>
        <v>0</v>
      </c>
      <c r="M182" s="867"/>
      <c r="N182" s="867"/>
      <c r="O182" s="867"/>
      <c r="P182" s="867"/>
      <c r="Q182" s="867"/>
      <c r="R182" s="867"/>
      <c r="S182" s="867"/>
      <c r="T182" s="465" cm="1" t="str">
        <f t="array" ref="T182:T182">T181</f>
        <v>true</v>
      </c>
      <c r="U182" s="867"/>
      <c r="V182" s="867"/>
      <c r="W182" s="867"/>
      <c r="X182" s="1619"/>
      <c r="Y182" s="873"/>
      <c r="Z182" s="1620"/>
      <c r="AA182" s="867"/>
      <c r="AB182" s="690" t="s">
        <v>449</v>
      </c>
      <c r="AC182" s="847" t="s">
        <v>1898</v>
      </c>
      <c r="AD182" s="766" t="s">
        <v>1514</v>
      </c>
      <c r="AE182" s="298"/>
      <c r="AF182" s="298"/>
      <c r="AG182" s="298"/>
      <c r="AH182" s="298"/>
      <c r="AI182" s="213">
        <f>_xlfn.SUMIFS(AI183:AI186,$AD183:$AD186,$AD182)</f>
        <v>0</v>
      </c>
      <c r="AJ182" s="213">
        <f>_xlfn.SUMIFS(AJ183:AJ186,$AD183:$AD186,$AD182)</f>
        <v>0</v>
      </c>
      <c r="AK182" s="918"/>
      <c r="AL182" s="1812"/>
      <c r="AM182" s="1812"/>
      <c r="AN182" s="1030" t="s">
        <v>1899</v>
      </c>
      <c r="AO182" s="1030"/>
      <c r="AP182" s="1030"/>
      <c r="AQ182" s="267"/>
      <c r="AR182" s="267"/>
    </row>
    <row s="1448" customFormat="1" customHeight="1" ht="0" hidden="1">
      <c r="A183" s="1812"/>
      <c r="B183" s="1812"/>
      <c r="C183" s="875"/>
      <c r="D183" s="875"/>
      <c r="E183" s="876">
        <v>18.75</v>
      </c>
      <c r="F183" s="50" cm="1" t="str">
        <f t="array" ref="F183:F183">OFFSET(E183,-1,1)</f>
        <v>4</v>
      </c>
      <c r="G183" s="872"/>
      <c r="H183" s="839" t="s">
        <v>1228</v>
      </c>
      <c r="I183" s="872" cm="1" t="str">
        <f t="array" ref="I183:I183">AC183</f>
        <v>0</v>
      </c>
      <c r="J183" s="875"/>
      <c r="K183" s="916"/>
      <c r="L183" s="916"/>
      <c r="M183" s="875"/>
      <c r="N183" s="875"/>
      <c r="O183" s="875"/>
      <c r="P183" s="875"/>
      <c r="Q183" s="875"/>
      <c r="R183" s="875"/>
      <c r="S183" s="875"/>
      <c r="T183" s="465">
        <f>AND(F183&gt;0,Y183&gt;0)</f>
        <v>0</v>
      </c>
      <c r="U183" s="875"/>
      <c r="V183" s="875"/>
      <c r="W183" s="867" t="s">
        <v>174</v>
      </c>
      <c r="X183" s="1619"/>
      <c r="Y183" s="1619">
        <v>0</v>
      </c>
      <c r="Z183" s="1620"/>
      <c r="AA183" s="1617" t="s">
        <v>175</v>
      </c>
      <c r="AB183" s="1222" t="str">
        <f>"7."&amp;Y183</f>
        <v>7.0</v>
      </c>
      <c r="AC183" s="4738"/>
      <c r="AD183" s="878" t="s">
        <v>1514</v>
      </c>
      <c r="AE183" s="4740"/>
      <c r="AF183" s="4740"/>
      <c r="AG183" s="4740"/>
      <c r="AH183" s="4740"/>
      <c r="AI183" s="4741">
        <f>AI184*AI185*12/1000</f>
        <v>0</v>
      </c>
      <c r="AJ183" s="4741">
        <f>AJ184*AJ185*12/1000</f>
        <v>0</v>
      </c>
      <c r="AK183" s="4742"/>
      <c r="AL183" s="1812"/>
      <c r="AM183" s="1812"/>
      <c r="AN183" s="1030" t="s">
        <v>1869</v>
      </c>
      <c r="AO183" s="1046" t="s">
        <v>1900</v>
      </c>
      <c r="AP183" s="1030" cm="1" t="str">
        <f t="array" ref="AP183:AP183">AC183</f>
        <v>0</v>
      </c>
      <c r="AQ183" s="1047"/>
      <c r="AR183" s="267" t="b">
        <v>1</v>
      </c>
    </row>
    <row s="1448" customFormat="1" customHeight="1" ht="0" hidden="1">
      <c r="A184" s="1812"/>
      <c r="B184" s="1812"/>
      <c r="C184" s="875"/>
      <c r="D184" s="875"/>
      <c r="E184" s="876">
        <v>15</v>
      </c>
      <c r="F184" s="50" cm="1" t="str">
        <f t="array" ref="F184:F184">OFFSET(E184,-1,1)</f>
        <v>4</v>
      </c>
      <c r="G184" s="872"/>
      <c r="H184" s="872" t="str">
        <f>H183&amp;"_1"</f>
        <v>l7_1</v>
      </c>
      <c r="I184" s="872" cm="1" t="str">
        <f t="array" ref="I184:I184">I183</f>
        <v>0</v>
      </c>
      <c r="J184" s="875"/>
      <c r="K184" s="916"/>
      <c r="L184" s="916"/>
      <c r="M184" s="875"/>
      <c r="N184" s="875"/>
      <c r="O184" s="875"/>
      <c r="P184" s="875"/>
      <c r="Q184" s="875"/>
      <c r="R184" s="875"/>
      <c r="S184" s="875"/>
      <c r="T184" s="465" cm="1" t="str">
        <f t="array" ref="T184:T184">T183</f>
        <v>false</v>
      </c>
      <c r="U184" s="875"/>
      <c r="V184" s="875"/>
      <c r="W184" s="875"/>
      <c r="X184" s="1619"/>
      <c r="Y184" s="1619"/>
      <c r="Z184" s="1620"/>
      <c r="AA184" s="1617"/>
      <c r="AB184" s="882" t="str">
        <f>AB183&amp;".1"</f>
        <v>7.0.1</v>
      </c>
      <c r="AC184" s="883" t="s">
        <v>1872</v>
      </c>
      <c r="AD184" s="878" t="s">
        <v>1873</v>
      </c>
      <c r="AE184" s="4740"/>
      <c r="AF184" s="4740"/>
      <c r="AG184" s="4740"/>
      <c r="AH184" s="4740"/>
      <c r="AI184" s="4745"/>
      <c r="AJ184" s="4745"/>
      <c r="AK184" s="4742"/>
      <c r="AL184" s="1812"/>
      <c r="AM184" s="1812"/>
      <c r="AN184" s="1030" t="s">
        <v>1874</v>
      </c>
      <c r="AO184" s="1046" t="s">
        <v>1900</v>
      </c>
      <c r="AP184" s="1030" cm="1" t="str">
        <f t="array" ref="AP184:AP184">AP183</f>
        <v>0</v>
      </c>
      <c r="AQ184" s="1047"/>
      <c r="AR184" s="1047"/>
    </row>
    <row s="1448" customFormat="1" customHeight="1" ht="0" hidden="1">
      <c r="A185" s="1812"/>
      <c r="B185" s="1812"/>
      <c r="C185" s="875"/>
      <c r="D185" s="875"/>
      <c r="E185" s="876">
        <v>15</v>
      </c>
      <c r="F185" s="50" cm="1" t="str">
        <f t="array" ref="F185:F185">OFFSET(E185,-1,1)</f>
        <v>4</v>
      </c>
      <c r="G185" s="872"/>
      <c r="H185" s="872" t="str">
        <f>H183&amp;"_2"</f>
        <v>l7_2</v>
      </c>
      <c r="I185" s="872" cm="1" t="str">
        <f t="array" ref="I185:I185">I184</f>
        <v>0</v>
      </c>
      <c r="J185" s="875"/>
      <c r="K185" s="916"/>
      <c r="L185" s="916"/>
      <c r="M185" s="875"/>
      <c r="N185" s="875"/>
      <c r="O185" s="875"/>
      <c r="P185" s="875"/>
      <c r="Q185" s="875"/>
      <c r="R185" s="875"/>
      <c r="S185" s="875"/>
      <c r="T185" s="465" cm="1" t="str">
        <f t="array" ref="T185:T185">T184</f>
        <v>false</v>
      </c>
      <c r="U185" s="875"/>
      <c r="V185" s="875"/>
      <c r="W185" s="875"/>
      <c r="X185" s="1619"/>
      <c r="Y185" s="1619"/>
      <c r="Z185" s="1620"/>
      <c r="AA185" s="1617"/>
      <c r="AB185" s="882" t="str">
        <f>AB183&amp;".2"</f>
        <v>7.0.2</v>
      </c>
      <c r="AC185" s="883" t="s">
        <v>1875</v>
      </c>
      <c r="AD185" s="878" t="s">
        <v>1876</v>
      </c>
      <c r="AE185" s="4740"/>
      <c r="AF185" s="4740"/>
      <c r="AG185" s="4740"/>
      <c r="AH185" s="4740"/>
      <c r="AI185" s="4745"/>
      <c r="AJ185" s="4745"/>
      <c r="AK185" s="4742"/>
      <c r="AL185" s="1812"/>
      <c r="AM185" s="1812"/>
      <c r="AN185" s="1030" t="s">
        <v>1877</v>
      </c>
      <c r="AO185" s="1046" t="s">
        <v>1900</v>
      </c>
      <c r="AP185" s="1030" cm="1" t="str">
        <f t="array" ref="AP185:AP185">AP184</f>
        <v>0</v>
      </c>
      <c r="AQ185" s="1047"/>
      <c r="AR185" s="1047"/>
    </row>
    <row s="1448" customFormat="1" customHeight="1" ht="0">
      <c r="A186" s="1812"/>
      <c r="B186" s="429"/>
      <c r="C186" s="867"/>
      <c r="D186" s="867"/>
      <c r="E186" s="868">
        <v>15</v>
      </c>
      <c r="F186" s="50" cm="1" t="str">
        <f t="array" ref="F186:F186">OFFSET(E186,-1,1)</f>
        <v>4</v>
      </c>
      <c r="G186" s="374"/>
      <c r="H186" s="839"/>
      <c r="I186" s="152" t="str">
        <f>"!=='не определено' &amp;&amp; row.l7 !== null"</f>
        <v>!=='не определено' &amp;&amp; row.l7 !== null</v>
      </c>
      <c r="J186" s="867"/>
      <c r="K186" s="483"/>
      <c r="L186" s="483"/>
      <c r="M186" s="867"/>
      <c r="N186" s="867"/>
      <c r="O186" s="867"/>
      <c r="P186" s="867"/>
      <c r="Q186" s="867"/>
      <c r="R186" s="867"/>
      <c r="S186" s="867"/>
      <c r="T186" s="465">
        <f>F186&gt;0</f>
        <v>1</v>
      </c>
      <c r="U186" s="867"/>
      <c r="V186" s="867"/>
      <c r="W186" s="757" t="s">
        <v>1901</v>
      </c>
      <c r="X186" s="1619"/>
      <c r="Y186" s="867"/>
      <c r="Z186" s="1620"/>
      <c r="AA186" s="867"/>
      <c r="AB186" s="874"/>
      <c r="AC186" s="260" t="s">
        <v>178</v>
      </c>
      <c r="AD186" s="776"/>
      <c r="AE186" s="776"/>
      <c r="AF186" s="776"/>
      <c r="AG186" s="776"/>
      <c r="AH186" s="776"/>
      <c r="AI186" s="776"/>
      <c r="AJ186" s="776"/>
      <c r="AK186" s="777"/>
      <c r="AL186" s="1812"/>
      <c r="AM186" s="1812"/>
      <c r="AN186" s="1030"/>
      <c r="AO186" s="1030"/>
      <c r="AP186" s="1030"/>
      <c r="AQ186" s="1047" t="s">
        <v>1900</v>
      </c>
      <c r="AR186" s="267"/>
    </row>
    <row s="1448" customFormat="1" customHeight="1" ht="0">
      <c r="A187" s="1812"/>
      <c r="B187" s="429"/>
      <c r="C187" s="867"/>
      <c r="D187" s="867"/>
      <c r="E187" s="868">
        <v>22.5</v>
      </c>
      <c r="F187" s="50" cm="1" t="str">
        <f t="array" ref="F187:F187">OFFSET(E187,-1,1)</f>
        <v>4</v>
      </c>
      <c r="G187" s="374" t="s">
        <v>1902</v>
      </c>
      <c r="H187" s="839" t="s">
        <v>1275</v>
      </c>
      <c r="I187" s="839"/>
      <c r="J187" s="867"/>
      <c r="K187" s="483" t="str">
        <f>F187&amp;"8komm"</f>
        <v>48komm</v>
      </c>
      <c r="L187" s="917" cm="1" t="str">
        <f t="array" ref="L187:L187">AK187</f>
        <v>0</v>
      </c>
      <c r="M187" s="867"/>
      <c r="N187" s="867"/>
      <c r="O187" s="867"/>
      <c r="P187" s="867"/>
      <c r="Q187" s="867"/>
      <c r="R187" s="867"/>
      <c r="S187" s="867"/>
      <c r="T187" s="465" cm="1" t="str">
        <f t="array" ref="T187:T187">T186</f>
        <v>true</v>
      </c>
      <c r="U187" s="867"/>
      <c r="V187" s="867"/>
      <c r="W187" s="867"/>
      <c r="X187" s="1619"/>
      <c r="Y187" s="867"/>
      <c r="Z187" s="1620"/>
      <c r="AA187" s="867"/>
      <c r="AB187" s="690" t="s">
        <v>452</v>
      </c>
      <c r="AC187" s="847" t="s">
        <v>1903</v>
      </c>
      <c r="AD187" s="766" t="s">
        <v>1514</v>
      </c>
      <c r="AE187" s="298">
        <f>AE182*_xlfn.SUMIFS(INDEX(Сценарии!$AE$25:$BF$163,,MATCH(AE$13,Сценарии!$AE$8:$BF$8,0)),Сценарии!$F$25:$F$163,$F187,Сценарии!$G$25:$G$163,"СВФОТ")/100</f>
        <v>0</v>
      </c>
      <c r="AF187" s="298">
        <f>AF182*_xlfn.SUMIFS(INDEX(Сценарии!$AE$25:$BF$163,,MATCH(AF$13,Сценарии!$AE$8:$BF$8,0)),Сценарии!$F$25:$F$163,$F187,Сценарии!$G$25:$G$163,"СВФОТ")/100</f>
        <v>0</v>
      </c>
      <c r="AG187" s="298">
        <f>AG182*_xlfn.SUMIFS(INDEX(Сценарии!$AE$25:$BF$163,,MATCH(AG$13,Сценарии!$AE$8:$BF$8,0)),Сценарии!$F$25:$F$163,$F187,Сценарии!$G$25:$G$163,"СВФОТ")/100</f>
        <v>0</v>
      </c>
      <c r="AH187" s="298">
        <f>AH182*_xlfn.SUMIFS(INDEX(Сценарии!$AE$25:$BF$163,,MATCH(AH$13,Сценарии!$AE$8:$BF$8,0)),Сценарии!$F$25:$F$163,$F187,Сценарии!$G$25:$G$163,"СВФОТ")/100</f>
        <v>0</v>
      </c>
      <c r="AI187" s="298">
        <f>AI182*_xlfn.SUMIFS(INDEX(Сценарии!$AE$25:$BF$163,,MATCH(AI$13,Сценарии!$AE$8:$BF$8,0)),Сценарии!$F$25:$F$163,$F187,Сценарии!$G$25:$G$163,"СВФОТ")/100</f>
        <v>0</v>
      </c>
      <c r="AJ187" s="298">
        <f>AJ182*_xlfn.SUMIFS(INDEX(Сценарии!$AE$25:$BF$163,,MATCH(AJ$13,Сценарии!$AE$8:$BF$8,0)),Сценарии!$F$25:$F$163,$F187,Сценарии!$G$25:$G$163,"СВФОТ")/100</f>
        <v>0</v>
      </c>
      <c r="AK187" s="846"/>
      <c r="AL187" s="1812"/>
      <c r="AM187" s="1812"/>
      <c r="AN187" s="1030" t="s">
        <v>1904</v>
      </c>
      <c r="AO187" s="1030"/>
      <c r="AP187" s="1030"/>
      <c r="AQ187" s="267"/>
      <c r="AR187" s="267"/>
    </row>
    <row s="1834" customFormat="1" customHeight="1" ht="10.96875">
      <c r="A188" s="469"/>
      <c r="B188" s="658"/>
      <c r="C188" s="482"/>
      <c r="D188" s="482"/>
      <c r="E188" s="866">
        <v>11.25</v>
      </c>
      <c r="F188" s="482"/>
      <c r="G188" s="482"/>
      <c r="H188" s="482"/>
      <c r="I188" s="482"/>
      <c r="J188" s="482"/>
      <c r="K188" s="914"/>
      <c r="L188" s="914"/>
      <c r="M188" s="482"/>
      <c r="N188" s="482"/>
      <c r="O188" s="482"/>
      <c r="P188" s="482"/>
      <c r="Q188" s="482"/>
      <c r="R188" s="482"/>
      <c r="S188" s="482"/>
      <c r="T188" s="482"/>
      <c r="U188" s="482" t="s">
        <v>178</v>
      </c>
      <c r="V188" s="849" t="s">
        <v>1909</v>
      </c>
      <c r="W188" s="482"/>
      <c r="X188" s="482"/>
      <c r="Y188" s="482"/>
      <c r="Z188" s="482"/>
      <c r="AA188" s="482"/>
      <c r="AB188" s="482"/>
      <c r="AC188" s="482"/>
      <c r="AD188" s="482"/>
      <c r="AE188" s="482"/>
      <c r="AF188" s="482"/>
      <c r="AG188" s="0"/>
      <c r="AH188" s="0"/>
      <c r="AI188" s="0"/>
      <c r="AJ188" s="0"/>
      <c r="AK188" s="0"/>
      <c r="AN188" s="1019"/>
      <c r="AO188" s="1019"/>
      <c r="AP188" s="1019"/>
      <c r="AQ188" s="686"/>
      <c r="AR188" s="686"/>
    </row>
    <row customHeight="1" ht="14.625">
      <c r="C189" s="493"/>
      <c r="D189" s="493"/>
      <c r="E189" s="840">
        <v>15</v>
      </c>
      <c r="F189" s="493"/>
      <c r="G189" s="493"/>
      <c r="H189" s="493"/>
      <c r="I189" s="493"/>
      <c r="J189" s="493"/>
      <c r="M189" s="493"/>
      <c r="N189" s="493"/>
      <c r="O189" s="493"/>
      <c r="P189" s="493"/>
      <c r="Q189" s="493"/>
      <c r="R189" s="374"/>
      <c r="S189" s="493"/>
      <c r="T189" s="493"/>
      <c r="U189" s="493"/>
      <c r="V189" s="493"/>
      <c r="W189" s="493"/>
      <c r="X189" s="493"/>
      <c r="Y189" s="493"/>
      <c r="Z189" s="493"/>
      <c r="AA189" s="493"/>
      <c r="AB189" s="1577" t="s">
        <v>407</v>
      </c>
      <c r="AC189" s="1577"/>
      <c r="AD189" s="1577"/>
      <c r="AE189" s="1577"/>
      <c r="AF189" s="1577"/>
      <c r="AG189" s="1577"/>
      <c r="AH189" s="1577"/>
      <c r="AI189" s="1622"/>
      <c r="AJ189" s="1622"/>
      <c r="AK189" s="1622"/>
    </row>
    <row customHeight="1" ht="14.625">
      <c r="E190" s="632">
        <v>15</v>
      </c>
      <c r="AA190" s="661"/>
      <c r="AB190" s="1599" t="s">
        <v>1910</v>
      </c>
      <c r="AC190" s="1599"/>
      <c r="AD190" s="1599"/>
      <c r="AE190" s="1599"/>
      <c r="AF190" s="1599"/>
      <c r="AG190" s="1599"/>
      <c r="AH190" s="1599"/>
      <c r="AI190" s="3542"/>
      <c r="AJ190" s="3542"/>
      <c r="AK190" s="1600"/>
    </row>
    <row customHeight="1" ht="14.625" hidden="1">
      <c r="E191" s="632">
        <v>15</v>
      </c>
      <c r="T191" s="465">
        <f>ROW(W191)&gt;ROW(W$191)</f>
        <v>0</v>
      </c>
      <c r="W191" s="717" t="s">
        <v>174</v>
      </c>
      <c r="AA191" s="63" t="s">
        <v>175</v>
      </c>
      <c r="AB191" s="61" t="s">
        <v>227</v>
      </c>
      <c r="AC191" s="61"/>
      <c r="AD191" s="61"/>
      <c r="AE191" s="61"/>
      <c r="AF191" s="61"/>
      <c r="AG191" s="61"/>
      <c r="AH191" s="61"/>
      <c r="AI191" s="62"/>
      <c r="AJ191" s="62"/>
      <c r="AK191" s="62"/>
    </row>
    <row s="1834" customFormat="1" customHeight="1" ht="86.25">
      <c r="A192" s="1304"/>
      <c r="B192" s="1436"/>
      <c r="C192" s="1304"/>
      <c r="D192" s="1304"/>
      <c r="E192" s="632">
        <v>15</v>
      </c>
      <c r="F192" s="1304"/>
      <c r="G192" s="1312"/>
      <c r="H192" s="1304"/>
      <c r="I192" s="1304"/>
      <c r="J192" s="1304"/>
      <c r="K192" s="1312"/>
      <c r="L192" s="1312"/>
      <c r="M192" s="1304"/>
      <c r="N192" s="1304"/>
      <c r="O192" s="1304"/>
      <c r="P192" s="1304"/>
      <c r="Q192" s="1304"/>
      <c r="R192" s="1322"/>
      <c r="S192" s="1304"/>
      <c r="T192" s="465">
        <f>ROW(W192)&gt;ROW(W$191)</f>
        <v>1</v>
      </c>
      <c r="U192" s="1304"/>
      <c r="V192" s="1304"/>
      <c r="W192" s="717"/>
      <c r="X192" s="1304"/>
      <c r="Y192" s="1304" t="s">
        <v>227</v>
      </c>
      <c r="Z192" s="1304"/>
      <c r="AA192" s="63" t="s">
        <v>175</v>
      </c>
      <c r="AB192" s="3543" t="s">
        <v>1911</v>
      </c>
      <c r="AC192" s="61"/>
      <c r="AD192" s="61"/>
      <c r="AE192" s="61"/>
      <c r="AF192" s="61"/>
      <c r="AG192" s="61"/>
      <c r="AH192" s="61"/>
      <c r="AI192" s="62"/>
      <c r="AJ192" s="62"/>
      <c r="AK192" s="62"/>
      <c r="AL192" s="1304"/>
      <c r="AM192" s="1304"/>
      <c r="AN192" s="1306"/>
      <c r="AO192" s="1306"/>
      <c r="AP192" s="1306"/>
      <c r="AQ192" s="1305"/>
      <c r="AR192" s="1305"/>
    </row>
    <row s="1834" customFormat="1" customHeight="1" ht="23.25">
      <c r="A193" s="1304"/>
      <c r="B193" s="1436"/>
      <c r="C193" s="1304"/>
      <c r="D193" s="1304"/>
      <c r="E193" s="632">
        <v>15</v>
      </c>
      <c r="F193" s="1304"/>
      <c r="G193" s="1312"/>
      <c r="H193" s="1304"/>
      <c r="I193" s="1304"/>
      <c r="J193" s="1304"/>
      <c r="K193" s="1312"/>
      <c r="L193" s="1312"/>
      <c r="M193" s="1304"/>
      <c r="N193" s="1304"/>
      <c r="O193" s="1304"/>
      <c r="P193" s="1304"/>
      <c r="Q193" s="1304"/>
      <c r="R193" s="1322"/>
      <c r="S193" s="1304"/>
      <c r="T193" s="465">
        <f>ROW(W193)&gt;ROW(W$191)</f>
        <v>1</v>
      </c>
      <c r="U193" s="1304"/>
      <c r="V193" s="1304"/>
      <c r="W193" s="717"/>
      <c r="X193" s="1304"/>
      <c r="Y193" s="1304"/>
      <c r="Z193" s="1304"/>
      <c r="AA193" s="63" t="s">
        <v>175</v>
      </c>
      <c r="AB193" s="3543" t="s">
        <v>1569</v>
      </c>
      <c r="AC193" s="61"/>
      <c r="AD193" s="61"/>
      <c r="AE193" s="61"/>
      <c r="AF193" s="61"/>
      <c r="AG193" s="61"/>
      <c r="AH193" s="61"/>
      <c r="AI193" s="62"/>
      <c r="AJ193" s="62"/>
      <c r="AK193" s="62"/>
      <c r="AL193" s="1304"/>
      <c r="AM193" s="1304"/>
      <c r="AN193" s="1306"/>
      <c r="AO193" s="1306"/>
      <c r="AP193" s="1306"/>
      <c r="AQ193" s="1305"/>
      <c r="AR193" s="1305"/>
    </row>
    <row s="1834" customFormat="1" customHeight="1" ht="33.75">
      <c r="A194" s="1304"/>
      <c r="B194" s="1436"/>
      <c r="C194" s="1304"/>
      <c r="D194" s="1304"/>
      <c r="E194" s="632">
        <v>15</v>
      </c>
      <c r="F194" s="1304"/>
      <c r="G194" s="1312"/>
      <c r="H194" s="1304"/>
      <c r="I194" s="1304"/>
      <c r="J194" s="1304"/>
      <c r="K194" s="1312"/>
      <c r="L194" s="1312"/>
      <c r="M194" s="1304"/>
      <c r="N194" s="1304"/>
      <c r="O194" s="1304"/>
      <c r="P194" s="1304"/>
      <c r="Q194" s="1304"/>
      <c r="R194" s="1322"/>
      <c r="S194" s="1304"/>
      <c r="T194" s="465">
        <f>ROW(W194)&gt;ROW(W$191)</f>
        <v>1</v>
      </c>
      <c r="U194" s="1304"/>
      <c r="V194" s="1304"/>
      <c r="W194" s="717"/>
      <c r="X194" s="1304"/>
      <c r="Y194" s="1304"/>
      <c r="Z194" s="1304"/>
      <c r="AA194" s="63" t="s">
        <v>175</v>
      </c>
      <c r="AB194" s="3543" t="s">
        <v>1912</v>
      </c>
      <c r="AC194" s="61"/>
      <c r="AD194" s="61"/>
      <c r="AE194" s="61"/>
      <c r="AF194" s="61"/>
      <c r="AG194" s="61"/>
      <c r="AH194" s="61"/>
      <c r="AI194" s="62"/>
      <c r="AJ194" s="62"/>
      <c r="AK194" s="62"/>
      <c r="AL194" s="1304"/>
      <c r="AM194" s="1304"/>
      <c r="AN194" s="1306"/>
      <c r="AO194" s="1306"/>
      <c r="AP194" s="1306"/>
      <c r="AQ194" s="1305"/>
      <c r="AR194" s="1305"/>
    </row>
    <row s="1834" customFormat="1" customHeight="1" ht="23.25">
      <c r="A195" s="1304"/>
      <c r="B195" s="1436"/>
      <c r="C195" s="1304"/>
      <c r="D195" s="1304"/>
      <c r="E195" s="632">
        <v>15</v>
      </c>
      <c r="F195" s="1304"/>
      <c r="G195" s="1312"/>
      <c r="H195" s="1304"/>
      <c r="I195" s="1304"/>
      <c r="J195" s="1304"/>
      <c r="K195" s="1312"/>
      <c r="L195" s="1312"/>
      <c r="M195" s="1304"/>
      <c r="N195" s="1304"/>
      <c r="O195" s="1304"/>
      <c r="P195" s="1304"/>
      <c r="Q195" s="1304"/>
      <c r="R195" s="1322"/>
      <c r="S195" s="1304"/>
      <c r="T195" s="465">
        <f>ROW(W195)&gt;ROW(W$191)</f>
        <v>1</v>
      </c>
      <c r="U195" s="1304"/>
      <c r="V195" s="1304"/>
      <c r="W195" s="717"/>
      <c r="X195" s="1304"/>
      <c r="Y195" s="1304"/>
      <c r="Z195" s="1304"/>
      <c r="AA195" s="63" t="s">
        <v>175</v>
      </c>
      <c r="AB195" s="3543" t="s">
        <v>1913</v>
      </c>
      <c r="AC195" s="61"/>
      <c r="AD195" s="61"/>
      <c r="AE195" s="61"/>
      <c r="AF195" s="61"/>
      <c r="AG195" s="61"/>
      <c r="AH195" s="61"/>
      <c r="AI195" s="62"/>
      <c r="AJ195" s="62"/>
      <c r="AK195" s="62"/>
      <c r="AL195" s="1304"/>
      <c r="AM195" s="1304"/>
      <c r="AN195" s="1306"/>
      <c r="AO195" s="1306"/>
      <c r="AP195" s="1306"/>
      <c r="AQ195" s="1305"/>
      <c r="AR195" s="1305"/>
    </row>
    <row s="1834" customFormat="1" customHeight="1" ht="40.359375">
      <c r="A196" s="1304"/>
      <c r="B196" s="1436"/>
      <c r="C196" s="1304"/>
      <c r="D196" s="1304"/>
      <c r="E196" s="632">
        <v>15</v>
      </c>
      <c r="F196" s="1304"/>
      <c r="G196" s="1312"/>
      <c r="H196" s="1304"/>
      <c r="I196" s="1304"/>
      <c r="J196" s="1304"/>
      <c r="K196" s="1312"/>
      <c r="L196" s="1312"/>
      <c r="M196" s="1304"/>
      <c r="N196" s="1304"/>
      <c r="O196" s="1304"/>
      <c r="P196" s="1304"/>
      <c r="Q196" s="1304"/>
      <c r="R196" s="1322"/>
      <c r="S196" s="1304"/>
      <c r="T196" s="465">
        <f>ROW(W196)&gt;ROW(W$191)</f>
        <v>1</v>
      </c>
      <c r="U196" s="1304"/>
      <c r="V196" s="1304"/>
      <c r="W196" s="717"/>
      <c r="X196" s="1304"/>
      <c r="Y196" s="1304"/>
      <c r="Z196" s="1304"/>
      <c r="AA196" s="63" t="s">
        <v>175</v>
      </c>
      <c r="AB196" s="3543" t="s">
        <v>1914</v>
      </c>
      <c r="AC196" s="61"/>
      <c r="AD196" s="61"/>
      <c r="AE196" s="61"/>
      <c r="AF196" s="61"/>
      <c r="AG196" s="61"/>
      <c r="AH196" s="61"/>
      <c r="AI196" s="62"/>
      <c r="AJ196" s="62"/>
      <c r="AK196" s="62"/>
      <c r="AL196" s="1304"/>
      <c r="AM196" s="1304"/>
      <c r="AN196" s="1306"/>
      <c r="AO196" s="1306"/>
      <c r="AP196" s="1306"/>
      <c r="AQ196" s="1305"/>
      <c r="AR196" s="1305"/>
    </row>
    <row customHeight="1" ht="14.625">
      <c r="E197" s="632">
        <v>15</v>
      </c>
      <c r="W197" s="757" t="s">
        <v>408</v>
      </c>
      <c r="AB197" s="682"/>
      <c r="AC197" s="514" t="s">
        <v>409</v>
      </c>
      <c r="AD197" s="310"/>
      <c r="AE197" s="310"/>
      <c r="AF197" s="311"/>
      <c r="AG197" s="311"/>
      <c r="AH197" s="311"/>
      <c r="AI197" s="311"/>
      <c r="AJ197" s="311"/>
      <c r="AK197" s="312"/>
    </row>
    <row customHeight="1" ht="10.725000000000001">
      <c r="E198" s="632">
        <v>11</v>
      </c>
      <c r="AI198" s="1304"/>
      <c r="AJ198" s="1304"/>
      <c r="AL198" s="426"/>
    </row>
  </sheetData>
  <sheetProtection formatColumns="0" formatRows="0" insertRows="0" deleteColumns="0" deleteRows="0" sort="0" autoFilter="0" insertColumns="1"/>
  <mergeCells count="86">
    <mergeCell ref="AB24:AB25"/>
    <mergeCell ref="AC24:AC25"/>
    <mergeCell ref="AD24:AD25"/>
    <mergeCell ref="AK24:AK25"/>
    <mergeCell ref="AB191:AK191"/>
    <mergeCell ref="AB189:AK189"/>
    <mergeCell ref="AB190:AK190"/>
    <mergeCell ref="X27:X51"/>
    <mergeCell ref="Z27:Z51"/>
    <mergeCell ref="AA29:AA31"/>
    <mergeCell ref="AA35:AA37"/>
    <mergeCell ref="AA41:AA43"/>
    <mergeCell ref="AA47:AA49"/>
    <mergeCell ref="Y29:Y31"/>
    <mergeCell ref="Y35:Y37"/>
    <mergeCell ref="Y41:Y43"/>
    <mergeCell ref="Y47:Y49"/>
    <mergeCell ref="X52:X85"/>
    <mergeCell ref="Z52:Z85"/>
    <mergeCell ref="AA54:AA56"/>
    <mergeCell ref="AA66:AA68"/>
    <mergeCell ref="AA72:AA74"/>
    <mergeCell ref="AA81:AA83"/>
    <mergeCell ref="Y54:Y56"/>
    <mergeCell ref="Y66:Y68"/>
    <mergeCell ref="Y72:Y74"/>
    <mergeCell ref="Y81:Y83"/>
    <mergeCell ref="X86:X119"/>
    <mergeCell ref="Z86:Z119"/>
    <mergeCell ref="AA88:AA90"/>
    <mergeCell ref="AA100:AA102"/>
    <mergeCell ref="AA106:AA108"/>
    <mergeCell ref="AA115:AA117"/>
    <mergeCell ref="Y88:Y90"/>
    <mergeCell ref="Y100:Y102"/>
    <mergeCell ref="Y106:Y108"/>
    <mergeCell ref="Y115:Y117"/>
    <mergeCell ref="X120:X153"/>
    <mergeCell ref="Z120:Z153"/>
    <mergeCell ref="AA122:AA124"/>
    <mergeCell ref="AA134:AA136"/>
    <mergeCell ref="AA140:AA142"/>
    <mergeCell ref="AA149:AA151"/>
    <mergeCell ref="Y122:Y124"/>
    <mergeCell ref="Y134:Y136"/>
    <mergeCell ref="Y140:Y142"/>
    <mergeCell ref="Y149:Y151"/>
    <mergeCell ref="X154:X187"/>
    <mergeCell ref="Z154:Z187"/>
    <mergeCell ref="AA156:AA158"/>
    <mergeCell ref="AA168:AA170"/>
    <mergeCell ref="AA174:AA176"/>
    <mergeCell ref="AA183:AA185"/>
    <mergeCell ref="Y156:Y158"/>
    <mergeCell ref="Y168:Y170"/>
    <mergeCell ref="Y174:Y176"/>
    <mergeCell ref="Y183:Y185"/>
    <mergeCell ref="AA57:AA59"/>
    <mergeCell ref="Y57:Y59"/>
    <mergeCell ref="AA60:AA62"/>
    <mergeCell ref="Y60:Y62"/>
    <mergeCell ref="AA75:AA77"/>
    <mergeCell ref="Y75:Y77"/>
    <mergeCell ref="AA91:AA93"/>
    <mergeCell ref="Y91:Y93"/>
    <mergeCell ref="AA94:AA96"/>
    <mergeCell ref="Y94:Y96"/>
    <mergeCell ref="AA109:AA111"/>
    <mergeCell ref="Y109:Y111"/>
    <mergeCell ref="AA125:AA127"/>
    <mergeCell ref="Y125:Y127"/>
    <mergeCell ref="AA128:AA130"/>
    <mergeCell ref="Y128:Y130"/>
    <mergeCell ref="AA143:AA145"/>
    <mergeCell ref="Y143:Y145"/>
    <mergeCell ref="AA159:AA161"/>
    <mergeCell ref="Y159:Y161"/>
    <mergeCell ref="AA162:AA164"/>
    <mergeCell ref="Y162:Y164"/>
    <mergeCell ref="AA177:AA179"/>
    <mergeCell ref="Y177:Y179"/>
    <mergeCell ref="AB192:AK192"/>
    <mergeCell ref="AB193:AK193"/>
    <mergeCell ref="AB194:AK194"/>
    <mergeCell ref="AB195:AK195"/>
    <mergeCell ref="AB196:AK196"/>
  </mergeCells>
  <dataValidations count="1">
    <dataValidation type="decimal" allowBlank="1" showErrorMessage="1" errorTitle="Ошибка" error="Допускается ввод только неотрицательных чисел!" sqref="AJ51 AJ54:AJ62 AJ64 AJ66:AJ68 AJ70 AJ72:AJ77 AJ79 AJ81:AJ83 AJ85 AJ88:AJ96 AJ98 AJ100:AJ102 AJ104 AJ106:AJ111 AJ113 AJ115:AJ117 AJ119 AJ122:AJ130 AJ132 AJ134:AJ136 AJ138 AJ140:AJ145 AJ147 AJ149:AJ151 AJ153 AJ156:AJ164 AJ166 AJ168:AJ170 AJ172 AJ174:AJ179 AJ181 AJ183:AJ185 AJ187 AI51 AI54:AI62 AI64 AI66:AI68 AI70 AI72:AI77 AI79 AI81:AI83 AI85 AI88:AI96 AI98 AI100:AI102 AI104 AI106:AI111 AI113 AI115:AI117 AI119 AI122:AI130 AI132 AI134:AI136 AI138 AI140:AI145 AI147 AI149:AI151 AI153 AI156:AI164 AI166 AI168:AI170 AI172 AI174:AI179 AI181 AI183:AI185 AI187 AH51 AH53 AH64:AH65 AH70:AH71 AH79:AH80 AH85 AH87 AH98:AH99 AH104:AH105 AH113:AH114 AH119 AH121 AH132:AH133 AH138:AH139 AH147:AH148 AH153 AH155 AH166:AH167 AH172:AH173 AH181:AH182 AH187 AG51 AG53 AG64:AG65 AG70:AG71 AG79:AG80 AG85 AG87 AG98:AG99 AG104:AG105 AG113:AG114 AG119 AG121 AG132:AG133 AG138:AG139 AG147:AG148 AG153 AG155 AG166:AG167 AG172:AG173 AG181:AG182 AG187 AF51 AF53 AF64:AF65 AF70:AF71 AF79:AF80 AF85 AF87 AF98:AF99 AF104:AF105 AF113:AF114 AF119 AF121 AF132:AF133 AF138:AF139 AF147:AF148 AF153 AF155 AF166:AF167 AF172:AF173 AF181:AF182 AF187 AE51 AE53 AE64:AE65 AE70:AE71 AE79:AE80 AE85 AE87 AE98:AE99 AE104:AE105 AE113:AE114 AE119 AE121 AE132:AE133 AE138:AE139 AE147:AE148 AE153 AE155 AE166:AE167 AE172:AE173 AE181:AE182 AE187 AI47:AJ49 AE46:AH46 AE45:AJ45 AI41:AJ43 AE40:AH40 AE39:AJ39 AI35:AJ37 AE34:AH34 AE33:AJ33 AI29:AJ31 AE28:AH28">
      <formula1>0</formula1>
      <formula2>9.99999999999999E+23</formula2>
    </dataValidation>
  </dataValidation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EE0ED5-E5A6-7586-BF19-9064D15DF968}" mc:Ignorable="x14ac xr xr2 xr3">
  <dimension ref="A1:AA18"/>
  <sheetViews>
    <sheetView topLeftCell="A1" showGridLines="0" showRowColHeaders="0" workbookViewId="0">
      <selection activeCell="A1" sqref="A1"/>
    </sheetView>
  </sheetViews>
  <sheetFormatPr defaultColWidth="10.421875" customHeight="1" defaultRowHeight="12.600000000000001"/>
  <cols>
    <col min="1" max="1" style="1166" width="5.140625" customWidth="1"/>
    <col min="2" max="2" style="437" width="8.57421875" customWidth="1"/>
    <col min="3" max="3" style="1166" width="15.57421875" customWidth="1"/>
    <col min="4" max="25" style="1166" width="6.00390625" customWidth="1"/>
    <col min="26" max="27" style="1166" width="10.421875"/>
  </cols>
  <sheetData>
    <row customHeight="1" ht="15.75">
      <c r="A1" s="1134"/>
      <c r="B1" s="436"/>
      <c r="C1" s="1135"/>
      <c r="D1" s="1135"/>
      <c r="E1" s="1135"/>
      <c r="F1" s="1135"/>
      <c r="G1" s="1135"/>
      <c r="H1" s="1135"/>
      <c r="I1" s="1135"/>
      <c r="J1" s="1135"/>
      <c r="K1" s="1135"/>
      <c r="L1" s="1135"/>
      <c r="M1" s="1135"/>
      <c r="N1" s="1135"/>
      <c r="O1" s="1135"/>
      <c r="P1" s="1135"/>
      <c r="Q1" s="1135"/>
      <c r="R1" s="1135"/>
      <c r="S1" s="1135"/>
      <c r="T1" s="1135"/>
      <c r="U1" s="1135"/>
      <c r="V1" s="1135"/>
      <c r="W1" s="1135"/>
      <c r="X1" s="1135"/>
      <c r="Y1" s="1136"/>
      <c r="Z1" s="1135"/>
      <c r="AA1" s="1137" t="s">
        <v>3</v>
      </c>
    </row>
    <row s="437" customFormat="1" customHeight="1" ht="17.25">
      <c r="A2" s="1138"/>
      <c r="B2" s="1474" t="s">
        <v>4</v>
      </c>
      <c r="C2" s="1474"/>
      <c r="D2" s="1474"/>
      <c r="E2" s="1474"/>
      <c r="F2" s="1474"/>
      <c r="G2" s="1474"/>
      <c r="H2" s="1474"/>
      <c r="I2" s="1474"/>
      <c r="J2" s="1474"/>
      <c r="K2" s="1474"/>
      <c r="L2" s="1474"/>
      <c r="M2" s="1474"/>
      <c r="N2" s="1474"/>
      <c r="O2" s="1474"/>
      <c r="P2" s="1474"/>
      <c r="Q2" s="1139"/>
      <c r="R2" s="1139"/>
      <c r="S2" s="1139"/>
      <c r="T2" s="1139"/>
      <c r="U2" s="1139"/>
      <c r="V2" s="1140"/>
      <c r="W2" s="1139"/>
      <c r="X2" s="1139"/>
      <c r="Y2" s="1141"/>
      <c r="Z2" s="1138"/>
      <c r="AA2" s="1138"/>
    </row>
    <row customHeight="1" ht="15.75">
      <c r="A3" s="1135"/>
      <c r="B3" s="1475" t="s">
        <v>5</v>
      </c>
      <c r="C3" s="1475"/>
      <c r="D3" s="1475"/>
      <c r="E3" s="1475"/>
      <c r="F3" s="1475"/>
      <c r="G3" s="1475"/>
      <c r="H3" s="1475"/>
      <c r="I3" s="1475"/>
      <c r="J3" s="1475"/>
      <c r="K3" s="1475"/>
      <c r="L3" s="1475"/>
      <c r="M3" s="1475"/>
      <c r="N3" s="1475"/>
      <c r="O3" s="1475"/>
      <c r="P3" s="1475"/>
      <c r="Q3" s="1142"/>
      <c r="R3" s="1142"/>
      <c r="S3" s="1143"/>
      <c r="T3" s="1143"/>
      <c r="U3" s="1143"/>
      <c r="V3" s="1142"/>
      <c r="W3" s="1142"/>
      <c r="X3" s="1142"/>
      <c r="Y3" s="1142"/>
      <c r="Z3" s="1135"/>
      <c r="AA3" s="422"/>
    </row>
    <row customHeight="1" ht="16.5">
      <c r="A4" s="1135"/>
      <c r="B4" s="438"/>
      <c r="C4" s="1135"/>
      <c r="D4" s="1142"/>
      <c r="E4" s="1142"/>
      <c r="F4" s="1142"/>
      <c r="G4" s="1142"/>
      <c r="H4" s="1142"/>
      <c r="I4" s="1142"/>
      <c r="J4" s="1142"/>
      <c r="K4" s="1142"/>
      <c r="L4" s="1142"/>
      <c r="M4" s="1142"/>
      <c r="N4" s="1142"/>
      <c r="O4" s="1142"/>
      <c r="P4" s="1142"/>
      <c r="Q4" s="1142"/>
      <c r="R4" s="1142"/>
      <c r="S4" s="1142"/>
      <c r="T4" s="1142"/>
      <c r="U4" s="1142"/>
      <c r="V4" s="1142"/>
      <c r="W4" s="1142"/>
      <c r="X4" s="1142"/>
      <c r="Y4" s="1142"/>
      <c r="Z4" s="1135"/>
      <c r="AA4" s="422"/>
    </row>
    <row customHeight="1" ht="22.5">
      <c r="A5" s="1144"/>
      <c r="B5" s="1476"/>
      <c r="C5" s="1477"/>
      <c r="D5" s="1477"/>
      <c r="E5" s="1477"/>
      <c r="F5" s="1477"/>
      <c r="G5" s="1477"/>
      <c r="H5" s="1477"/>
      <c r="I5" s="1477"/>
      <c r="J5" s="1477"/>
      <c r="K5" s="1477"/>
      <c r="L5" s="1477"/>
      <c r="M5" s="1477"/>
      <c r="N5" s="1477"/>
      <c r="O5" s="1477"/>
      <c r="P5" s="1477"/>
      <c r="Q5" s="1477"/>
      <c r="R5" s="1477"/>
      <c r="S5" s="1477"/>
      <c r="T5" s="1477"/>
      <c r="U5" s="1477"/>
      <c r="V5" s="1477"/>
      <c r="W5" s="1477"/>
      <c r="X5" s="1477"/>
      <c r="Y5" s="1478"/>
      <c r="Z5" s="1144"/>
      <c r="AA5" s="422"/>
    </row>
    <row customHeight="1" ht="13.5">
      <c r="A6" s="1145"/>
      <c r="B6" s="1479" t="s">
        <v>6</v>
      </c>
      <c r="C6" s="1480"/>
      <c r="D6" s="1146"/>
      <c r="E6" s="1146"/>
      <c r="F6" s="1146"/>
      <c r="G6" s="1146"/>
      <c r="H6" s="1146"/>
      <c r="I6" s="1146"/>
      <c r="J6" s="1146"/>
      <c r="K6" s="1146"/>
      <c r="L6" s="1146"/>
      <c r="M6" s="1146"/>
      <c r="N6" s="1146"/>
      <c r="O6" s="1146"/>
      <c r="P6" s="1146"/>
      <c r="Q6" s="1146"/>
      <c r="R6" s="1146"/>
      <c r="S6" s="1146"/>
      <c r="T6" s="1146"/>
      <c r="U6" s="1146"/>
      <c r="V6" s="1146"/>
      <c r="W6" s="1146"/>
      <c r="X6" s="1146"/>
      <c r="Y6" s="1147"/>
      <c r="Z6" s="1148"/>
      <c r="AA6" s="1149"/>
    </row>
    <row customHeight="1" ht="13.5">
      <c r="A7" s="1145"/>
      <c r="B7" s="1479"/>
      <c r="C7" s="1480"/>
      <c r="D7" s="1146"/>
      <c r="E7" s="1146"/>
      <c r="F7" s="1150"/>
      <c r="G7" s="1150"/>
      <c r="H7" s="1150"/>
      <c r="I7" s="1150"/>
      <c r="J7" s="1150"/>
      <c r="K7" s="1150"/>
      <c r="L7" s="1150"/>
      <c r="M7" s="1150"/>
      <c r="N7" s="1150"/>
      <c r="O7" s="1146"/>
      <c r="P7" s="1150"/>
      <c r="Q7" s="1150"/>
      <c r="R7" s="1150"/>
      <c r="S7" s="1150"/>
      <c r="T7" s="1150"/>
      <c r="U7" s="1150"/>
      <c r="V7" s="1150"/>
      <c r="W7" s="1150"/>
      <c r="X7" s="1150"/>
      <c r="Y7" s="1147"/>
      <c r="Z7" s="1148"/>
      <c r="AA7" s="1149"/>
    </row>
    <row customHeight="1" ht="13.5">
      <c r="A8" s="1145"/>
      <c r="B8" s="1479"/>
      <c r="C8" s="1480"/>
      <c r="D8" s="1151"/>
      <c r="E8" s="1152" t="s">
        <v>7</v>
      </c>
      <c r="F8" s="1482" t="s">
        <v>8</v>
      </c>
      <c r="G8" s="1483"/>
      <c r="H8" s="1483"/>
      <c r="I8" s="1483"/>
      <c r="J8" s="1483"/>
      <c r="K8" s="1483"/>
      <c r="L8" s="1483"/>
      <c r="M8" s="1483"/>
      <c r="N8" s="1151"/>
      <c r="O8" s="1153" t="s">
        <v>7</v>
      </c>
      <c r="P8" s="1484" t="s">
        <v>9</v>
      </c>
      <c r="Q8" s="1485"/>
      <c r="R8" s="1485"/>
      <c r="S8" s="1485"/>
      <c r="T8" s="1485"/>
      <c r="U8" s="1485"/>
      <c r="V8" s="1485"/>
      <c r="W8" s="1485"/>
      <c r="X8" s="1485"/>
      <c r="Y8" s="1147"/>
      <c r="Z8" s="1148"/>
      <c r="AA8" s="1149"/>
    </row>
    <row customHeight="1" ht="13.5">
      <c r="A9" s="1145"/>
      <c r="B9" s="1479"/>
      <c r="C9" s="1480"/>
      <c r="D9" s="1151"/>
      <c r="E9" s="1154" t="s">
        <v>7</v>
      </c>
      <c r="F9" s="1482" t="s">
        <v>10</v>
      </c>
      <c r="G9" s="1483"/>
      <c r="H9" s="1483"/>
      <c r="I9" s="1483"/>
      <c r="J9" s="1483"/>
      <c r="K9" s="1483"/>
      <c r="L9" s="1483"/>
      <c r="M9" s="1483"/>
      <c r="N9" s="1151"/>
      <c r="O9" s="1155" t="s">
        <v>7</v>
      </c>
      <c r="P9" s="1484" t="s">
        <v>11</v>
      </c>
      <c r="Q9" s="1485"/>
      <c r="R9" s="1485"/>
      <c r="S9" s="1485"/>
      <c r="T9" s="1485"/>
      <c r="U9" s="1485"/>
      <c r="V9" s="1485"/>
      <c r="W9" s="1485"/>
      <c r="X9" s="1485"/>
      <c r="Y9" s="1147"/>
      <c r="Z9" s="1148"/>
      <c r="AA9" s="1149"/>
    </row>
    <row customHeight="1" ht="13.5">
      <c r="A10" s="1145"/>
      <c r="B10" s="1479"/>
      <c r="C10" s="1481"/>
      <c r="D10" s="1151"/>
      <c r="E10" s="1156" t="s">
        <v>7</v>
      </c>
      <c r="F10" s="1485" t="s">
        <v>12</v>
      </c>
      <c r="G10" s="1486"/>
      <c r="H10" s="1486"/>
      <c r="I10" s="1486"/>
      <c r="J10" s="1486"/>
      <c r="K10" s="1486"/>
      <c r="L10" s="1486"/>
      <c r="M10" s="1486"/>
      <c r="N10" s="1486"/>
      <c r="O10" s="1157" t="s">
        <v>7</v>
      </c>
      <c r="P10" s="1485" t="s">
        <v>13</v>
      </c>
      <c r="Q10" s="1486"/>
      <c r="R10" s="1486"/>
      <c r="S10" s="1486"/>
      <c r="T10" s="1486"/>
      <c r="U10" s="1486"/>
      <c r="V10" s="1486"/>
      <c r="W10" s="1486"/>
      <c r="X10" s="1486"/>
      <c r="Y10" s="1147"/>
      <c r="Z10" s="1148"/>
      <c r="AA10" s="1149"/>
    </row>
    <row customHeight="1" ht="30">
      <c r="A11" s="1145"/>
      <c r="B11" s="1479"/>
      <c r="C11" s="1481"/>
      <c r="D11" s="1158"/>
      <c r="E11" s="1159"/>
      <c r="F11" s="1150"/>
      <c r="G11" s="1150"/>
      <c r="H11" s="1150"/>
      <c r="I11" s="1150"/>
      <c r="J11" s="1150"/>
      <c r="K11" s="1150"/>
      <c r="L11" s="1150"/>
      <c r="M11" s="1150"/>
      <c r="N11" s="1150"/>
      <c r="O11" s="1159"/>
      <c r="P11" s="1150"/>
      <c r="Q11" s="1150"/>
      <c r="R11" s="1150"/>
      <c r="S11" s="1150"/>
      <c r="T11" s="1150"/>
      <c r="U11" s="1150"/>
      <c r="V11" s="1150"/>
      <c r="W11" s="1150"/>
      <c r="X11" s="1150"/>
      <c r="Y11" s="1147"/>
      <c r="Z11" s="1148"/>
      <c r="AA11" s="1149"/>
    </row>
    <row customHeight="1" ht="19.5">
      <c r="A12" s="1145"/>
      <c r="B12" s="1487" t="s">
        <v>14</v>
      </c>
      <c r="C12" s="1488"/>
      <c r="D12" s="1151"/>
      <c r="E12" s="1160"/>
      <c r="F12" s="1160"/>
      <c r="G12" s="1160"/>
      <c r="H12" s="1160"/>
      <c r="I12" s="1160"/>
      <c r="J12" s="1160"/>
      <c r="K12" s="1160"/>
      <c r="L12" s="1160"/>
      <c r="M12" s="1160"/>
      <c r="N12" s="1160"/>
      <c r="O12" s="1160"/>
      <c r="P12" s="1160"/>
      <c r="Q12" s="1160"/>
      <c r="R12" s="1160"/>
      <c r="S12" s="1160"/>
      <c r="T12" s="1160"/>
      <c r="U12" s="1160"/>
      <c r="V12" s="1160"/>
      <c r="W12" s="1160"/>
      <c r="X12" s="1160"/>
      <c r="Y12" s="1147"/>
      <c r="Z12" s="1148"/>
      <c r="AA12" s="1149"/>
    </row>
    <row customHeight="1" ht="37.5">
      <c r="B13" s="1479"/>
      <c r="C13" s="1481"/>
      <c r="D13" s="1161"/>
      <c r="E13" s="1483" t="s">
        <v>15</v>
      </c>
      <c r="F13" s="1483"/>
      <c r="G13" s="1483"/>
      <c r="H13" s="1483"/>
      <c r="I13" s="1483"/>
      <c r="J13" s="1483"/>
      <c r="K13" s="1483"/>
      <c r="L13" s="1483"/>
      <c r="M13" s="1483"/>
      <c r="N13" s="1483"/>
      <c r="O13" s="1483"/>
      <c r="P13" s="1483"/>
      <c r="Q13" s="1483"/>
      <c r="R13" s="1483"/>
      <c r="S13" s="1483"/>
      <c r="T13" s="1483"/>
      <c r="U13" s="1483"/>
      <c r="V13" s="1483"/>
      <c r="W13" s="1483"/>
      <c r="X13" s="1483"/>
      <c r="Y13" s="1147"/>
      <c r="Z13" s="1148"/>
    </row>
    <row customHeight="1" ht="37.5">
      <c r="A14" s="1145"/>
      <c r="B14" s="1479"/>
      <c r="C14" s="1481"/>
      <c r="D14" s="1161"/>
      <c r="E14" s="1814" t="s">
        <v>16</v>
      </c>
      <c r="F14" s="1483"/>
      <c r="G14" s="1483"/>
      <c r="H14" s="1483"/>
      <c r="I14" s="1483"/>
      <c r="J14" s="1483"/>
      <c r="K14" s="1483"/>
      <c r="L14" s="1483"/>
      <c r="M14" s="1483"/>
      <c r="N14" s="1483"/>
      <c r="O14" s="1483"/>
      <c r="P14" s="1483"/>
      <c r="Q14" s="1483"/>
      <c r="R14" s="1483"/>
      <c r="S14" s="1483"/>
      <c r="T14" s="1483"/>
      <c r="U14" s="1483"/>
      <c r="V14" s="1483"/>
      <c r="W14" s="1483"/>
      <c r="X14" s="1483"/>
      <c r="Y14" s="1147"/>
      <c r="Z14" s="1148"/>
      <c r="AA14" s="1149"/>
    </row>
    <row customHeight="1" ht="13.5">
      <c r="A15" s="1145"/>
      <c r="B15" s="1487" t="s">
        <v>17</v>
      </c>
      <c r="C15" s="1488"/>
      <c r="D15" s="1146"/>
      <c r="E15" s="1160"/>
      <c r="F15" s="1160"/>
      <c r="G15" s="1160"/>
      <c r="H15" s="1160"/>
      <c r="I15" s="1160"/>
      <c r="J15" s="1160"/>
      <c r="K15" s="1160"/>
      <c r="L15" s="1160"/>
      <c r="M15" s="1160"/>
      <c r="N15" s="1160"/>
      <c r="O15" s="1160"/>
      <c r="P15" s="1160"/>
      <c r="Q15" s="1160"/>
      <c r="R15" s="1160"/>
      <c r="S15" s="1160"/>
      <c r="T15" s="1160"/>
      <c r="U15" s="1160"/>
      <c r="V15" s="1160"/>
      <c r="W15" s="1160"/>
      <c r="X15" s="1160"/>
      <c r="Y15" s="1147"/>
      <c r="Z15" s="1148"/>
      <c r="AA15" s="1149"/>
    </row>
    <row customHeight="1" ht="65.25">
      <c r="A16" s="1145"/>
      <c r="B16" s="1479"/>
      <c r="C16" s="1480"/>
      <c r="D16" s="1151"/>
      <c r="E16" s="1491" t="s">
        <v>18</v>
      </c>
      <c r="F16" s="1491"/>
      <c r="G16" s="1491"/>
      <c r="H16" s="1491"/>
      <c r="I16" s="1491"/>
      <c r="J16" s="1491"/>
      <c r="K16" s="1491"/>
      <c r="L16" s="1491"/>
      <c r="M16" s="1491"/>
      <c r="N16" s="1491"/>
      <c r="O16" s="1491"/>
      <c r="P16" s="1491"/>
      <c r="Q16" s="1491"/>
      <c r="R16" s="1491"/>
      <c r="S16" s="1491"/>
      <c r="T16" s="1491"/>
      <c r="U16" s="1491"/>
      <c r="V16" s="1491"/>
      <c r="W16" s="1491"/>
      <c r="X16" s="1491"/>
      <c r="Y16" s="1147"/>
      <c r="Z16" s="1148"/>
      <c r="AA16" s="1149"/>
    </row>
    <row customHeight="1" ht="16.5">
      <c r="A17" s="1145"/>
      <c r="B17" s="1489"/>
      <c r="C17" s="1490"/>
      <c r="D17" s="1162"/>
      <c r="E17" s="1163"/>
      <c r="F17" s="1163"/>
      <c r="G17" s="1163"/>
      <c r="H17" s="1163"/>
      <c r="I17" s="1163"/>
      <c r="J17" s="1163"/>
      <c r="K17" s="1163"/>
      <c r="L17" s="1163"/>
      <c r="M17" s="1163"/>
      <c r="N17" s="1163"/>
      <c r="O17" s="1163"/>
      <c r="P17" s="1163"/>
      <c r="Q17" s="1163"/>
      <c r="R17" s="1163"/>
      <c r="S17" s="1163"/>
      <c r="T17" s="1163"/>
      <c r="U17" s="1163"/>
      <c r="V17" s="1163"/>
      <c r="W17" s="1163"/>
      <c r="X17" s="1163"/>
      <c r="Y17" s="1164"/>
      <c r="Z17" s="1148"/>
      <c r="AA17" s="1165"/>
    </row>
    <row customHeight="1" ht="95.25">
      <c r="A18" s="1135"/>
      <c r="B18" s="1491"/>
      <c r="C18" s="1492"/>
      <c r="D18" s="1492"/>
      <c r="E18" s="1492"/>
      <c r="F18" s="1492"/>
      <c r="G18" s="1492"/>
      <c r="H18" s="1492"/>
      <c r="I18" s="1492"/>
      <c r="J18" s="1492"/>
      <c r="K18" s="1492"/>
      <c r="L18" s="1492"/>
      <c r="M18" s="1492"/>
      <c r="N18" s="1492"/>
      <c r="O18" s="1492"/>
      <c r="P18" s="1492"/>
      <c r="Q18" s="1492"/>
      <c r="R18" s="1492"/>
      <c r="S18" s="1492"/>
      <c r="T18" s="1492"/>
      <c r="U18" s="1492"/>
      <c r="V18" s="1492"/>
      <c r="W18" s="1492"/>
      <c r="X18" s="1492"/>
      <c r="Y18" s="1492"/>
      <c r="Z18" s="1135"/>
      <c r="AA18" s="422"/>
    </row>
  </sheetData>
  <sheetProtection insertRows="0" deleteColumns="0" deleteRows="0" sort="0" autoFilter="0" insertColumns="1"/>
  <mergeCells count="16">
    <mergeCell ref="B12:C14"/>
    <mergeCell ref="E14:X14"/>
    <mergeCell ref="B15:C17"/>
    <mergeCell ref="E16:X16"/>
    <mergeCell ref="B18:Y18"/>
    <mergeCell ref="B2:P2"/>
    <mergeCell ref="B3:P3"/>
    <mergeCell ref="B5:Y5"/>
    <mergeCell ref="B6:C11"/>
    <mergeCell ref="F8:M8"/>
    <mergeCell ref="P8:X8"/>
    <mergeCell ref="F9:M9"/>
    <mergeCell ref="P9:X9"/>
    <mergeCell ref="F10:N10"/>
    <mergeCell ref="P10:X10"/>
    <mergeCell ref="E13:X13"/>
  </mergeCells>
  <hyperlinks>
    <hyperlink ref="E14:X14" r:id="rId1" tooltip="Перейти на портал поддержки" xr:uid="{2698B34C-BB88-FB88-30C9-0CB5E3752978}"/>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7C5249-D6A8-8538-5325-3DC295C95FA8}" mc:Ignorable="x14ac xr xr2 xr3">
  <sheetPr>
    <tabColor rgb="FF002060"/>
    <outlinePr summaryBelow="0"/>
    <pageSetUpPr fitToPage="1"/>
  </sheetPr>
  <dimension ref="A1:AN129"/>
  <sheetViews>
    <sheetView showGridLines="0" workbookViewId="0">
      <pane xSplit="30" ySplit="25" topLeftCell="AI49" activePane="bottomRight" state="frozen"/>
      <selection pane="bottomLeft" activeCell="A26" sqref="A26"/>
      <selection pane="topRight" activeCell="AE1" sqref="AE1"/>
      <selection pane="bottomRight" activeCell="AI94" sqref="AI94"/>
    </sheetView>
  </sheetViews>
  <sheetFormatPr defaultColWidth="9.140625" customHeight="1" defaultRowHeight="11.25"/>
  <cols>
    <col min="1" max="1" style="1304" width="3.57421875" hidden="1" customWidth="1"/>
    <col min="2" max="2" style="1436" width="8.57421875" hidden="1" customWidth="1"/>
    <col min="3" max="4" style="1304" width="3.57421875" hidden="1" customWidth="1"/>
    <col min="5" max="5" style="1305" width="3.57421875" hidden="1" customWidth="1"/>
    <col min="6" max="7" style="1304" width="3.57421875" hidden="1" customWidth="1"/>
    <col min="8" max="8" style="1304" width="2.28125" hidden="1" customWidth="1"/>
    <col min="9" max="10" style="1304" width="3.57421875" hidden="1" customWidth="1"/>
    <col min="11" max="11" style="1304" width="6.140625" hidden="1" customWidth="1"/>
    <col min="12" max="12" style="1304" width="8.57421875" hidden="1" customWidth="1"/>
    <col min="13" max="17" style="1304" width="3.57421875" hidden="1" customWidth="1"/>
    <col min="18" max="18" style="1322" width="3.57421875" hidden="1" customWidth="1"/>
    <col min="19" max="19" style="1304" width="3.57421875" hidden="1" customWidth="1"/>
    <col min="20" max="20" style="1304" width="9.57421875" hidden="1" customWidth="1"/>
    <col min="21" max="21" style="1304" width="5.8515625" hidden="1" customWidth="1"/>
    <col min="22" max="23" style="1304" width="6.140625" hidden="1" customWidth="1"/>
    <col min="24" max="25" style="1304" width="5.57421875" hidden="1" customWidth="1"/>
    <col min="26" max="26" style="1304" width="5.28125" hidden="1" customWidth="1"/>
    <col min="27" max="27" style="1304" width="3.00390625" customWidth="1"/>
    <col min="28" max="28" style="1304" width="11.00390625" customWidth="1"/>
    <col min="29" max="29" style="1304" width="55.00390625" customWidth="1"/>
    <col min="30" max="30" style="1304" width="12.00390625" customWidth="1"/>
    <col min="31" max="34" style="1304" width="0" customWidth="1"/>
    <col min="35" max="36" style="1304" width="13.00390625" customWidth="1"/>
    <col min="37" max="37" style="1304" width="73.28125" customWidth="1"/>
    <col min="38" max="38" style="1304" width="3.00390625" customWidth="1"/>
    <col min="39" max="39" style="1304" width="9.140625" hidden="1"/>
    <col min="40" max="40" style="1306" width="9.140625" hidden="1"/>
  </cols>
  <sheetData>
    <row customHeight="1" ht="11.25" hidden="1">
      <c r="E1" s="98"/>
      <c r="F1" s="98" t="s">
        <v>321</v>
      </c>
      <c r="H1" s="98" t="s">
        <v>331</v>
      </c>
      <c r="T1" s="465" t="s">
        <v>93</v>
      </c>
      <c r="U1" s="465" t="s">
        <v>98</v>
      </c>
      <c r="V1" s="465" t="s">
        <v>94</v>
      </c>
      <c r="W1" s="465" t="s">
        <v>95</v>
      </c>
      <c r="X1" s="465" t="s">
        <v>96</v>
      </c>
      <c r="Y1" s="467" t="s">
        <v>323</v>
      </c>
      <c r="Z1" s="465" t="s">
        <v>100</v>
      </c>
      <c r="AA1" s="466" t="s">
        <v>97</v>
      </c>
      <c r="AB1" s="85"/>
      <c r="AC1" s="466" t="s">
        <v>99</v>
      </c>
      <c r="AI1" s="1304"/>
      <c r="AJ1" s="1304"/>
      <c r="AN1" s="1015" t="s">
        <v>324</v>
      </c>
    </row>
    <row s="1436" customFormat="1" customHeight="1" ht="11.25" hidden="1">
      <c r="B2" s="445" t="s">
        <v>19</v>
      </c>
      <c r="AF2" s="1378" cm="1" t="str">
        <f t="array" ref="AF2:AF2">isOrgDeclare</f>
        <v>true</v>
      </c>
      <c r="AI2" s="446">
        <f>AND(AI6&lt;=last_year_vis,isOrgDeclare)</f>
        <v>1</v>
      </c>
      <c r="AJ2" s="446">
        <f>AJ6&lt;=last_year_vis</f>
        <v>1</v>
      </c>
      <c r="AN2" s="1016"/>
    </row>
    <row customHeight="1" ht="11.25" hidden="1">
      <c r="E3" s="98"/>
      <c r="AI3" s="1304"/>
      <c r="AJ3" s="1304"/>
    </row>
    <row customHeight="1" ht="11.25" hidden="1">
      <c r="E4" s="98"/>
      <c r="AI4" s="1304"/>
      <c r="AJ4" s="1304"/>
    </row>
    <row s="1305" customFormat="1" customHeight="1" ht="11.25" hidden="1">
      <c r="A5" s="98"/>
      <c r="B5" s="427"/>
      <c r="C5" s="98"/>
      <c r="D5" s="98"/>
      <c r="E5" s="632" t="s">
        <v>20</v>
      </c>
      <c r="R5" s="617"/>
      <c r="AA5" s="632">
        <v>3</v>
      </c>
      <c r="AB5" s="632">
        <v>11</v>
      </c>
      <c r="AC5" s="632">
        <v>55</v>
      </c>
      <c r="AD5" s="632">
        <v>12</v>
      </c>
      <c r="AE5" s="632">
        <v>13</v>
      </c>
      <c r="AF5" s="632">
        <v>13</v>
      </c>
      <c r="AG5" s="632">
        <v>13</v>
      </c>
      <c r="AH5" s="632">
        <v>13</v>
      </c>
      <c r="AI5" s="632">
        <v>13</v>
      </c>
      <c r="AJ5" s="632">
        <v>13</v>
      </c>
      <c r="AK5" s="632">
        <v>20</v>
      </c>
      <c r="AL5" s="632">
        <v>3</v>
      </c>
      <c r="AN5" s="1015"/>
    </row>
    <row customHeight="1" ht="11.25" hidden="1">
      <c r="A6" s="98" t="s">
        <v>360</v>
      </c>
      <c r="AE6" s="98">
        <f>god-2</f>
        <v>2024</v>
      </c>
      <c r="AF6" s="98">
        <f>god-2</f>
        <v>2024</v>
      </c>
      <c r="AG6" s="98">
        <f>god-2</f>
        <v>2024</v>
      </c>
      <c r="AH6" s="98">
        <f>god-1</f>
        <v>2025</v>
      </c>
      <c r="AI6" s="98" cm="1" t="str">
        <f t="array" ref="AI6:AI6">god</f>
        <v>2026</v>
      </c>
      <c r="AJ6" s="98" cm="1" t="str">
        <f t="array" ref="AJ6:AJ6">god</f>
        <v>2026</v>
      </c>
    </row>
    <row customHeight="1" ht="11.25" hidden="1">
      <c r="A7" s="98" t="s">
        <v>361</v>
      </c>
      <c r="AE7" s="98" cm="1" t="str">
        <f t="array" ref="AE7:AE7">AE25</f>
        <v>Принято органом регулирования</v>
      </c>
      <c r="AF7" s="98" cm="1" t="str">
        <f t="array" ref="AF7:AF7">AF25</f>
        <v>Факт по данным организации</v>
      </c>
      <c r="AG7" s="98" cm="1" t="str">
        <f t="array" ref="AG7:AG7">AG25</f>
        <v>Факт, принятый органом регулирования</v>
      </c>
      <c r="AH7" s="98" cm="1" t="str">
        <f t="array" ref="AH7:AH7">AH25</f>
        <v>Принято органом регулирования</v>
      </c>
      <c r="AI7" s="98" cm="1" t="str">
        <f t="array" ref="AI7:AI7">AI25</f>
        <v>Предложение организации</v>
      </c>
      <c r="AJ7" s="98" cm="1" t="str">
        <f t="array" ref="AJ7:AJ7">AJ25</f>
        <v>Принято органом регулирования</v>
      </c>
    </row>
    <row customHeight="1" ht="11.25" hidden="1">
      <c r="AI8" s="1304"/>
      <c r="AJ8" s="1304"/>
    </row>
    <row s="1306" customFormat="1" customHeight="1" ht="11.25" hidden="1">
      <c r="A9" s="1015" t="s">
        <v>365</v>
      </c>
      <c r="B9" s="1016"/>
      <c r="R9" s="1017"/>
      <c r="AE9" s="1015" cm="1" t="str">
        <f t="array" ref="AE9:AE9">AE6</f>
        <v>2024</v>
      </c>
      <c r="AF9" s="1015" cm="1" t="str">
        <f t="array" ref="AF9:AF9">AF6</f>
        <v>2024</v>
      </c>
      <c r="AG9" s="1015" cm="1" t="str">
        <f t="array" ref="AG9:AG9">AG6</f>
        <v>2024</v>
      </c>
      <c r="AH9" s="1015" cm="1" t="str">
        <f t="array" ref="AH9:AH9">AH6</f>
        <v>2025</v>
      </c>
      <c r="AI9" s="1015" cm="1" t="str">
        <f t="array" ref="AI9:AI9">AI6</f>
        <v>2026</v>
      </c>
      <c r="AJ9" s="1015" cm="1" t="str">
        <f t="array" ref="AJ9:AJ9">AJ6</f>
        <v>2026</v>
      </c>
    </row>
    <row s="1306" customFormat="1" customHeight="1" ht="11.25" hidden="1">
      <c r="A10" s="1015" t="s">
        <v>366</v>
      </c>
      <c r="B10" s="1016"/>
      <c r="R10" s="1017"/>
      <c r="AE10" s="1015" cm="1" t="str">
        <f t="array" ref="AE10:AE10">AE25</f>
        <v>Принято органом регулирования</v>
      </c>
      <c r="AF10" s="1015" cm="1" t="str">
        <f t="array" ref="AF10:AF10">AF25</f>
        <v>Факт по данным организации</v>
      </c>
      <c r="AG10" s="1015" cm="1" t="str">
        <f t="array" ref="AG10:AG10">AG25</f>
        <v>Факт, принятый органом регулирования</v>
      </c>
      <c r="AH10" s="1015" cm="1" t="str">
        <f t="array" ref="AH10:AH10">AH25</f>
        <v>Принято органом регулирования</v>
      </c>
      <c r="AI10" s="1015" cm="1" t="str">
        <f t="array" ref="AI10:AI10">AI25</f>
        <v>Предложение организации</v>
      </c>
      <c r="AJ10" s="1015" cm="1" t="str">
        <f t="array" ref="AJ10:AJ10">AJ25</f>
        <v>Принято органом регулирования</v>
      </c>
    </row>
    <row s="1306" customFormat="1" customHeight="1" ht="11.25" hidden="1">
      <c r="A11" s="1015" t="s">
        <v>367</v>
      </c>
      <c r="B11" s="1016"/>
      <c r="R11" s="1017"/>
      <c r="AI11" s="1306"/>
      <c r="AJ11" s="1306"/>
      <c r="AK11" s="1041" cm="1" t="str">
        <f t="array" ref="AK11:AK11">AK24</f>
        <v>Ссылка на правовую норму (основание для принятия показателя в расчет тарифа)</v>
      </c>
    </row>
    <row customHeight="1" ht="11.25" hidden="1">
      <c r="AI12" s="1304"/>
      <c r="AJ12" s="1304"/>
    </row>
    <row customHeight="1" ht="11.25" hidden="1">
      <c r="AI13" s="1304"/>
      <c r="AJ13" s="1304"/>
    </row>
    <row customHeight="1" ht="11.25" hidden="1">
      <c r="AI14" s="1304"/>
      <c r="AJ14" s="1304"/>
    </row>
    <row customHeight="1" ht="11.25" hidden="1">
      <c r="AI15" s="1304"/>
      <c r="AJ15" s="1304"/>
    </row>
    <row customHeight="1" ht="11.25" hidden="1">
      <c r="AI16" s="1304"/>
      <c r="AJ16" s="1304"/>
    </row>
    <row customHeight="1" ht="11.25" hidden="1">
      <c r="AI17" s="1304"/>
      <c r="AJ17" s="1304"/>
      <c r="AK17" s="152"/>
    </row>
    <row customHeight="1" ht="11.25" hidden="1">
      <c r="AI18" s="1304"/>
      <c r="AJ18" s="1304"/>
    </row>
    <row customHeight="1" ht="11.25" hidden="1">
      <c r="AI19" s="1304"/>
      <c r="AJ19" s="1304"/>
    </row>
    <row customHeight="1" ht="11.25" hidden="1">
      <c r="AI20" s="1304"/>
      <c r="AJ20" s="1304"/>
    </row>
    <row customHeight="1" ht="14.625">
      <c r="E21" s="632">
        <v>15</v>
      </c>
      <c r="AA21" s="425"/>
      <c r="AC21" s="50" cm="1" t="str">
        <f t="array" ref="AC21:AC21">tpl_title</f>
        <v>Кемеровская область / 2026 / ООО "Теплоэнерго" (ИНН:4214046200, КПП:421401001) / ДПР: 2026-2030</v>
      </c>
      <c r="AI21" s="1304"/>
      <c r="AJ21" s="1304"/>
    </row>
    <row s="1426" customFormat="1" customHeight="1" ht="19.74375">
      <c r="B22" s="427"/>
      <c r="E22" s="633">
        <v>20.25</v>
      </c>
      <c r="R22" s="50"/>
      <c r="AB22" s="320" t="s">
        <v>64</v>
      </c>
      <c r="AC22" s="350"/>
      <c r="AD22" s="350"/>
      <c r="AE22" s="350"/>
      <c r="AF22" s="350"/>
      <c r="AG22" s="350"/>
      <c r="AH22" s="350"/>
      <c r="AI22" s="350"/>
      <c r="AJ22" s="350"/>
      <c r="AK22" s="350"/>
      <c r="AN22" s="1018"/>
    </row>
    <row s="1426" customFormat="1" customHeight="1" ht="10.96875">
      <c r="B23" s="427"/>
      <c r="E23" s="633">
        <v>11.25</v>
      </c>
      <c r="R23" s="50"/>
      <c r="AB23" s="351"/>
      <c r="AC23" s="202"/>
      <c r="AD23" s="202"/>
      <c r="AE23" s="202"/>
      <c r="AF23" s="202"/>
      <c r="AG23" s="202"/>
      <c r="AH23" s="202"/>
      <c r="AI23" s="202"/>
      <c r="AJ23" s="202"/>
      <c r="AK23" s="202"/>
      <c r="AN23" s="1018"/>
    </row>
    <row s="1446" customFormat="1" customHeight="1" ht="14.625">
      <c r="B24" s="429"/>
      <c r="E24" s="630">
        <v>15</v>
      </c>
      <c r="R24" s="349"/>
      <c r="AB24" s="1577" t="s">
        <v>1496</v>
      </c>
      <c r="AC24" s="1608" t="s">
        <v>195</v>
      </c>
      <c r="AD24" s="1577" t="s">
        <v>370</v>
      </c>
      <c r="AE24" s="91" t="str">
        <f>god-2&amp;" год"</f>
        <v>2024 год</v>
      </c>
      <c r="AF24" s="1120" t="str">
        <f>god-2&amp;" год"</f>
        <v>2024 год</v>
      </c>
      <c r="AG24" s="91" t="str">
        <f>god-2&amp;" год"</f>
        <v>2024 год</v>
      </c>
      <c r="AH24" s="91" t="str">
        <f>god-1&amp;" год"</f>
        <v>2025 год</v>
      </c>
      <c r="AI24" s="1118" t="str">
        <f>god&amp;" год"</f>
        <v>2026 год</v>
      </c>
      <c r="AJ24" s="92" t="str">
        <f>god&amp;" год"</f>
        <v>2026 год</v>
      </c>
      <c r="AK24" s="1590" t="s">
        <v>1242</v>
      </c>
      <c r="AN24" s="1013"/>
    </row>
    <row s="1446" customFormat="1" customHeight="1" ht="44.118750000000006">
      <c r="B25" s="429"/>
      <c r="E25" s="630">
        <v>45.25</v>
      </c>
      <c r="R25" s="349"/>
      <c r="AB25" s="1618"/>
      <c r="AC25" s="1618"/>
      <c r="AD25" s="1618"/>
      <c r="AE25" s="91" t="s">
        <v>362</v>
      </c>
      <c r="AF25" s="1120" t="s">
        <v>1164</v>
      </c>
      <c r="AG25" s="91" t="s">
        <v>1165</v>
      </c>
      <c r="AH25" s="91" t="s">
        <v>362</v>
      </c>
      <c r="AI25" s="1122" t="s">
        <v>363</v>
      </c>
      <c r="AJ25" s="360" t="s">
        <v>362</v>
      </c>
      <c r="AK25" s="1618"/>
      <c r="AN25" s="1013"/>
    </row>
    <row customHeight="1" ht="15" hidden="1">
      <c r="C26" s="0"/>
      <c r="D26" s="0"/>
      <c r="E26" s="267">
        <v>0</v>
      </c>
      <c r="F26" s="85"/>
      <c r="G26" s="0"/>
      <c r="H26" s="0"/>
      <c r="I26" s="0"/>
      <c r="J26" s="0"/>
      <c r="K26" s="0"/>
      <c r="L26" s="0"/>
      <c r="M26" s="0"/>
      <c r="N26" s="0"/>
      <c r="O26" s="0"/>
      <c r="P26" s="0"/>
      <c r="Q26" s="0"/>
      <c r="R26" s="0"/>
      <c r="S26" s="0"/>
      <c r="T26" s="0"/>
      <c r="U26" s="0"/>
      <c r="V26" s="0"/>
      <c r="W26" s="0"/>
      <c r="X26" s="0"/>
      <c r="Y26" s="0"/>
      <c r="Z26" s="0"/>
      <c r="AA26" s="0"/>
      <c r="AB26" s="0"/>
      <c r="AC26" s="100"/>
      <c r="AD26" s="100"/>
      <c r="AE26" s="100"/>
      <c r="AF26" s="100"/>
      <c r="AG26" s="0"/>
      <c r="AH26" s="0"/>
      <c r="AI26" s="0"/>
      <c r="AJ26" s="0"/>
      <c r="AK26" s="0"/>
      <c r="AL26" s="0"/>
    </row>
    <row customHeight="1" ht="10.96875" hidden="1">
      <c r="A27" s="1304"/>
      <c r="B27" s="1436"/>
      <c r="C27" s="146"/>
      <c r="D27" s="146"/>
      <c r="E27" s="267">
        <v>11.25</v>
      </c>
      <c r="F27" s="98" cm="1" t="str">
        <f t="array" ref="F27:F27">X27</f>
        <v>0</v>
      </c>
      <c r="G27" s="146"/>
      <c r="H27" s="146"/>
      <c r="I27" s="146"/>
      <c r="J27" s="146"/>
      <c r="K27" s="146"/>
      <c r="L27" s="146"/>
      <c r="M27" s="146"/>
      <c r="N27" s="146"/>
      <c r="O27" s="146"/>
      <c r="P27" s="146"/>
      <c r="Q27" s="146"/>
      <c r="R27" s="146"/>
      <c r="S27" s="146"/>
      <c r="T27" s="465">
        <f>X27&gt;0</f>
        <v>0</v>
      </c>
      <c r="U27" s="146"/>
      <c r="V27" s="146" t="s">
        <v>265</v>
      </c>
      <c r="W27" s="146"/>
      <c r="X27" s="1543">
        <v>0</v>
      </c>
      <c r="Y27" s="146"/>
      <c r="Z27" s="1565"/>
      <c r="AA27" s="146"/>
      <c r="AB27" s="242" cm="1" t="str">
        <f t="array" ref="AB27:AB27">INDEX('Общие сведения'!$AG$179:$AG$250,MATCH($X27,'Общие сведения'!$Z$179:$Z$250,0))</f>
        <v>Тариф 0 () - </v>
      </c>
      <c r="AC27" s="180"/>
      <c r="AD27" s="180"/>
      <c r="AE27" s="306">
        <f>AE28+AE29+AE30+AE38+AE39+AE40+AE41+AE42</f>
        <v>0</v>
      </c>
      <c r="AF27" s="306">
        <f>AF28+AF29+AF30+AF38+AF39+AF40+AF41+AF42</f>
        <v>0</v>
      </c>
      <c r="AG27" s="306">
        <f>AG28+AG29+AG30+AG38+AG39+AG40+AG41+AG42</f>
        <v>0</v>
      </c>
      <c r="AH27" s="306">
        <f>AH28+AH29+AH30+AH38+AH39+AH40+AH41+AH42</f>
        <v>0</v>
      </c>
      <c r="AI27" s="306">
        <f>AI28+AI29+AI30+AI38+AI39+AI40+AI41+AI42</f>
        <v>0</v>
      </c>
      <c r="AJ27" s="306">
        <f>AJ28+AJ29+AJ30+AJ38+AJ39+AJ40+AJ41+AJ42</f>
        <v>0</v>
      </c>
      <c r="AK27" s="174"/>
      <c r="AL27" s="146"/>
      <c r="AM27" s="1304"/>
      <c r="AN27" s="1306"/>
    </row>
    <row customHeight="1" ht="21.9375" hidden="1">
      <c r="A28" s="1304"/>
      <c r="B28" s="1436"/>
      <c r="C28" s="146"/>
      <c r="D28" s="146"/>
      <c r="E28" s="267">
        <v>22.5</v>
      </c>
      <c r="F28" s="50" cm="1" t="str">
        <f t="array" ref="F28:F28">OFFSET(E28,-1,1)</f>
        <v>0</v>
      </c>
      <c r="G28" s="146"/>
      <c r="H28" s="126" t="s">
        <v>332</v>
      </c>
      <c r="I28" s="146"/>
      <c r="J28" s="146"/>
      <c r="K28" s="146"/>
      <c r="L28" s="146"/>
      <c r="M28" s="146"/>
      <c r="N28" s="146"/>
      <c r="O28" s="146"/>
      <c r="P28" s="146"/>
      <c r="Q28" s="146"/>
      <c r="R28" s="146"/>
      <c r="S28" s="146"/>
      <c r="T28" s="465" cm="1" t="str">
        <f t="array" ref="T28:T28">T27</f>
        <v>false</v>
      </c>
      <c r="U28" s="146"/>
      <c r="V28" s="146"/>
      <c r="W28" s="146"/>
      <c r="X28" s="1543"/>
      <c r="Y28" s="146"/>
      <c r="Z28" s="1565"/>
      <c r="AA28" s="146"/>
      <c r="AB28" s="352">
        <v>1</v>
      </c>
      <c r="AC28" s="341" t="s">
        <v>1890</v>
      </c>
      <c r="AD28" s="90" t="s">
        <v>1514</v>
      </c>
      <c r="AE28" s="892">
        <f>_xlfn.SUMIFS(ФОТ!AE$25:AE$188,ФОТ!$F$25:$F$188,$F28,ФОТ!$AC$25:$AC$188,$AC28)</f>
        <v>0</v>
      </c>
      <c r="AF28" s="892">
        <f>_xlfn.SUMIFS(ФОТ!AF$25:AF$188,ФОТ!$F$25:$F$188,$F28,ФОТ!$AC$25:$AC$188,$AC28)</f>
        <v>0</v>
      </c>
      <c r="AG28" s="892">
        <f>_xlfn.SUMIFS(ФОТ!AG$25:AG$188,ФОТ!$F$25:$F$188,$F28,ФОТ!$AC$25:$AC$188,$AC28)</f>
        <v>0</v>
      </c>
      <c r="AH28" s="892">
        <f>_xlfn.SUMIFS(ФОТ!AH$25:AH$188,ФОТ!$F$25:$F$188,$F28,ФОТ!$AC$25:$AC$188,$AC28)</f>
        <v>0</v>
      </c>
      <c r="AI28" s="892">
        <f>_xlfn.SUMIFS(ФОТ!AI$25:AI$188,ФОТ!$F$25:$F$188,$F28,ФОТ!$AC$25:$AC$188,$AC28)</f>
        <v>0</v>
      </c>
      <c r="AJ28" s="892">
        <f>_xlfn.SUMIFS(ФОТ!AJ$25:AJ$188,ФОТ!$F$25:$F$188,$F28,ФОТ!$AC$25:$AC$188,$AC28)</f>
        <v>0</v>
      </c>
      <c r="AK28" s="2097"/>
      <c r="AL28" s="146"/>
      <c r="AM28" s="1304"/>
      <c r="AN28" s="1015" t="s">
        <v>1915</v>
      </c>
    </row>
    <row customHeight="1" ht="21.9375" hidden="1">
      <c r="A29" s="1304"/>
      <c r="B29" s="1436"/>
      <c r="C29" s="146"/>
      <c r="D29" s="146"/>
      <c r="E29" s="267">
        <v>22.5</v>
      </c>
      <c r="F29" s="50" cm="1" t="str">
        <f t="array" ref="F29:F29">OFFSET(E29,-1,1)</f>
        <v>0</v>
      </c>
      <c r="G29" s="146"/>
      <c r="H29" s="126" t="s">
        <v>333</v>
      </c>
      <c r="I29" s="146"/>
      <c r="J29" s="483"/>
      <c r="K29" s="483"/>
      <c r="L29" s="483"/>
      <c r="M29" s="146"/>
      <c r="N29" s="146"/>
      <c r="O29" s="146"/>
      <c r="P29" s="146"/>
      <c r="Q29" s="146"/>
      <c r="R29" s="146"/>
      <c r="S29" s="146"/>
      <c r="T29" s="465" cm="1" t="str">
        <f t="array" ref="T29:T29">T28</f>
        <v>false</v>
      </c>
      <c r="U29" s="146"/>
      <c r="V29" s="146"/>
      <c r="W29" s="146"/>
      <c r="X29" s="1543"/>
      <c r="Y29" s="146"/>
      <c r="Z29" s="1565"/>
      <c r="AA29" s="146"/>
      <c r="AB29" s="352" t="s">
        <v>285</v>
      </c>
      <c r="AC29" s="341" t="s">
        <v>1895</v>
      </c>
      <c r="AD29" s="90" t="s">
        <v>1514</v>
      </c>
      <c r="AE29" s="892">
        <f>_xlfn.SUMIFS(ФОТ!AE$25:AE$188,ФОТ!$F$25:$F$188,$F29,ФОТ!$AC$25:$AC$188,$AC29)</f>
        <v>0</v>
      </c>
      <c r="AF29" s="892">
        <f>_xlfn.SUMIFS(ФОТ!AF$25:AF$188,ФОТ!$F$25:$F$188,$F29,ФОТ!$AC$25:$AC$188,$AC29)</f>
        <v>0</v>
      </c>
      <c r="AG29" s="892">
        <f>_xlfn.SUMIFS(ФОТ!AG$25:AG$188,ФОТ!$F$25:$F$188,$F29,ФОТ!$AC$25:$AC$188,$AC29)</f>
        <v>0</v>
      </c>
      <c r="AH29" s="892">
        <f>_xlfn.SUMIFS(ФОТ!AH$25:AH$188,ФОТ!$F$25:$F$188,$F29,ФОТ!$AC$25:$AC$188,$AC29)</f>
        <v>0</v>
      </c>
      <c r="AI29" s="892">
        <f>_xlfn.SUMIFS(ФОТ!AI$25:AI$188,ФОТ!$F$25:$F$188,$F29,ФОТ!$AC$25:$AC$188,$AC29)</f>
        <v>0</v>
      </c>
      <c r="AJ29" s="892">
        <f>_xlfn.SUMIFS(ФОТ!AJ$25:AJ$188,ФОТ!$F$25:$F$188,$F29,ФОТ!$AC$25:$AC$188,$AC29)</f>
        <v>0</v>
      </c>
      <c r="AK29" s="2097"/>
      <c r="AL29" s="146"/>
      <c r="AM29" s="1304"/>
      <c r="AN29" s="1015" t="s">
        <v>1896</v>
      </c>
    </row>
    <row customHeight="1" ht="32.90625" hidden="1">
      <c r="A30" s="1304"/>
      <c r="B30" s="1436"/>
      <c r="C30" s="146"/>
      <c r="D30" s="146"/>
      <c r="E30" s="267">
        <v>33.75</v>
      </c>
      <c r="F30" s="50" cm="1" t="str">
        <f t="array" ref="F30:F30">OFFSET(E30,-1,1)</f>
        <v>0</v>
      </c>
      <c r="G30" s="349" t="s">
        <v>1916</v>
      </c>
      <c r="H30" s="126" t="s">
        <v>334</v>
      </c>
      <c r="I30" s="146"/>
      <c r="J30" s="483"/>
      <c r="K30" s="483" t="str">
        <f>F30&amp;"17komm"</f>
        <v>017komm</v>
      </c>
      <c r="L30" s="917" cm="1" t="str">
        <f t="array" ref="L30:L30">AK30</f>
        <v>0</v>
      </c>
      <c r="M30" s="146"/>
      <c r="N30" s="146"/>
      <c r="O30" s="146"/>
      <c r="P30" s="146"/>
      <c r="Q30" s="146"/>
      <c r="R30" s="146"/>
      <c r="S30" s="146"/>
      <c r="T30" s="465" cm="1" t="str">
        <f t="array" ref="T30:T30">T29</f>
        <v>false</v>
      </c>
      <c r="U30" s="146"/>
      <c r="V30" s="146"/>
      <c r="W30" s="146"/>
      <c r="X30" s="1543"/>
      <c r="Y30" s="146"/>
      <c r="Z30" s="1565"/>
      <c r="AA30" s="146"/>
      <c r="AB30" s="352" t="s">
        <v>289</v>
      </c>
      <c r="AC30" s="341" t="s">
        <v>1917</v>
      </c>
      <c r="AD30" s="90" t="s">
        <v>1514</v>
      </c>
      <c r="AE30" s="238">
        <f>SUM(AE31:AE37)</f>
        <v>0</v>
      </c>
      <c r="AF30" s="238">
        <f>SUM(AF31:AF37)</f>
        <v>0</v>
      </c>
      <c r="AG30" s="238">
        <f>SUM(AG31:AG37)</f>
        <v>0</v>
      </c>
      <c r="AH30" s="238">
        <f>SUM(AH31:AH37)</f>
        <v>0</v>
      </c>
      <c r="AI30" s="238">
        <f>SUM(AI31:AI37)</f>
        <v>0</v>
      </c>
      <c r="AJ30" s="238">
        <f>SUM(AJ31:AJ37)</f>
        <v>0</v>
      </c>
      <c r="AK30" s="2097"/>
      <c r="AL30" s="146"/>
      <c r="AM30" s="1304"/>
      <c r="AN30" s="1015" t="s">
        <v>1918</v>
      </c>
    </row>
    <row s="1834" customFormat="1" customHeight="1" ht="14.625" hidden="1">
      <c r="A31" s="1834"/>
      <c r="B31" s="430"/>
      <c r="C31" s="146"/>
      <c r="D31" s="146"/>
      <c r="E31" s="267">
        <v>15</v>
      </c>
      <c r="F31" s="1175" cm="1" t="str">
        <f t="array" ref="F31:F31">OFFSET(E31,-1,1)</f>
        <v>0</v>
      </c>
      <c r="G31" s="158" t="s">
        <v>1919</v>
      </c>
      <c r="H31" s="126" t="s">
        <v>1658</v>
      </c>
      <c r="I31" s="146"/>
      <c r="J31" s="483"/>
      <c r="K31" s="483" t="str">
        <f>F31&amp;"18komm"</f>
        <v>018komm</v>
      </c>
      <c r="L31" s="917" cm="1" t="str">
        <f t="array" ref="L31:L31">AK31</f>
        <v>0</v>
      </c>
      <c r="M31" s="146"/>
      <c r="N31" s="146"/>
      <c r="O31" s="146"/>
      <c r="P31" s="146"/>
      <c r="Q31" s="146"/>
      <c r="R31" s="146"/>
      <c r="S31" s="146"/>
      <c r="T31" s="465" cm="1" t="str">
        <f t="array" ref="T31:T31">T30</f>
        <v>false</v>
      </c>
      <c r="U31" s="146"/>
      <c r="V31" s="146"/>
      <c r="W31" s="146"/>
      <c r="X31" s="1543"/>
      <c r="Y31" s="146"/>
      <c r="Z31" s="1565"/>
      <c r="AA31" s="146"/>
      <c r="AB31" s="352" t="s">
        <v>1264</v>
      </c>
      <c r="AC31" s="214" t="s">
        <v>1920</v>
      </c>
      <c r="AD31" s="90" t="s">
        <v>1514</v>
      </c>
      <c r="AE31" s="4934"/>
      <c r="AF31" s="4934"/>
      <c r="AG31" s="4934"/>
      <c r="AH31" s="4934"/>
      <c r="AI31" s="4934"/>
      <c r="AJ31" s="4934"/>
      <c r="AK31" s="2097"/>
      <c r="AL31" s="146"/>
      <c r="AM31" s="1834"/>
      <c r="AN31" s="1019" t="s">
        <v>1921</v>
      </c>
    </row>
    <row s="1812" customFormat="1" customHeight="1" ht="14.625" hidden="1">
      <c r="A32" s="1812"/>
      <c r="B32" s="429"/>
      <c r="C32" s="1812"/>
      <c r="D32" s="1812"/>
      <c r="E32" s="267">
        <v>15</v>
      </c>
      <c r="F32" s="50" cm="1" t="str">
        <f t="array" ref="F32:F32">OFFSET(E32,-1,1)</f>
        <v>0</v>
      </c>
      <c r="G32" s="158" t="s">
        <v>1922</v>
      </c>
      <c r="H32" s="126" t="s">
        <v>1660</v>
      </c>
      <c r="I32" s="1812"/>
      <c r="J32" s="483"/>
      <c r="K32" s="483" t="str">
        <f>F32&amp;"11komm"</f>
        <v>011komm</v>
      </c>
      <c r="L32" s="917" cm="1" t="str">
        <f t="array" ref="L32:L32">AK32</f>
        <v>0</v>
      </c>
      <c r="M32" s="1812"/>
      <c r="N32" s="1812"/>
      <c r="O32" s="1812"/>
      <c r="P32" s="1812"/>
      <c r="Q32" s="1812"/>
      <c r="R32" s="1812"/>
      <c r="S32" s="1812"/>
      <c r="T32" s="465" cm="1" t="str">
        <f t="array" ref="T32:T32">T31</f>
        <v>false</v>
      </c>
      <c r="U32" s="1812"/>
      <c r="V32" s="1812"/>
      <c r="W32" s="1812"/>
      <c r="X32" s="1543"/>
      <c r="Y32" s="1812"/>
      <c r="Z32" s="1565"/>
      <c r="AA32" s="1812"/>
      <c r="AB32" s="352" t="s">
        <v>1268</v>
      </c>
      <c r="AC32" s="214" t="s">
        <v>1923</v>
      </c>
      <c r="AD32" s="90" t="s">
        <v>1514</v>
      </c>
      <c r="AE32" s="4934"/>
      <c r="AF32" s="4934"/>
      <c r="AG32" s="4934"/>
      <c r="AH32" s="4934"/>
      <c r="AI32" s="4934"/>
      <c r="AJ32" s="4934"/>
      <c r="AK32" s="2097"/>
      <c r="AL32" s="1812"/>
      <c r="AM32" s="1812"/>
      <c r="AN32" s="1030" t="s">
        <v>1924</v>
      </c>
    </row>
    <row s="1812" customFormat="1" customHeight="1" ht="14.625" hidden="1">
      <c r="A33" s="1812"/>
      <c r="B33" s="429"/>
      <c r="C33" s="1812"/>
      <c r="D33" s="1812"/>
      <c r="E33" s="267">
        <v>15</v>
      </c>
      <c r="F33" s="50" cm="1" t="str">
        <f t="array" ref="F33:F33">OFFSET(E33,-1,1)</f>
        <v>0</v>
      </c>
      <c r="G33" s="158" t="s">
        <v>1925</v>
      </c>
      <c r="H33" s="126" t="s">
        <v>1662</v>
      </c>
      <c r="I33" s="1812"/>
      <c r="J33" s="483"/>
      <c r="K33" s="483" t="str">
        <f>F33&amp;"12komm"</f>
        <v>012komm</v>
      </c>
      <c r="L33" s="917" cm="1" t="str">
        <f t="array" ref="L33:L33">AK33</f>
        <v>0</v>
      </c>
      <c r="M33" s="1812"/>
      <c r="N33" s="1812"/>
      <c r="O33" s="1812"/>
      <c r="P33" s="1812"/>
      <c r="Q33" s="1812"/>
      <c r="R33" s="1812"/>
      <c r="S33" s="1812"/>
      <c r="T33" s="465" cm="1" t="str">
        <f t="array" ref="T33:T33">T32</f>
        <v>false</v>
      </c>
      <c r="U33" s="1812"/>
      <c r="V33" s="1812"/>
      <c r="W33" s="1812"/>
      <c r="X33" s="1543"/>
      <c r="Y33" s="1812"/>
      <c r="Z33" s="1565"/>
      <c r="AA33" s="1812"/>
      <c r="AB33" s="352" t="s">
        <v>1480</v>
      </c>
      <c r="AC33" s="214" t="s">
        <v>1926</v>
      </c>
      <c r="AD33" s="90" t="s">
        <v>1514</v>
      </c>
      <c r="AE33" s="4934"/>
      <c r="AF33" s="4934"/>
      <c r="AG33" s="4934"/>
      <c r="AH33" s="4934"/>
      <c r="AI33" s="4934"/>
      <c r="AJ33" s="4934"/>
      <c r="AK33" s="2097"/>
      <c r="AL33" s="1812"/>
      <c r="AM33" s="1812"/>
      <c r="AN33" s="1030" t="s">
        <v>1927</v>
      </c>
    </row>
    <row s="1812" customFormat="1" customHeight="1" ht="14.625" hidden="1">
      <c r="A34" s="1812"/>
      <c r="B34" s="429"/>
      <c r="C34" s="1812"/>
      <c r="D34" s="1812"/>
      <c r="E34" s="267">
        <v>15</v>
      </c>
      <c r="F34" s="50" cm="1" t="str">
        <f t="array" ref="F34:F34">OFFSET(E34,-1,1)</f>
        <v>0</v>
      </c>
      <c r="G34" s="158" t="s">
        <v>1928</v>
      </c>
      <c r="H34" s="126" t="s">
        <v>1664</v>
      </c>
      <c r="I34" s="1812"/>
      <c r="J34" s="483"/>
      <c r="K34" s="483" t="str">
        <f>F34&amp;"13komm"</f>
        <v>013komm</v>
      </c>
      <c r="L34" s="917" cm="1" t="str">
        <f t="array" ref="L34:L34">AK34</f>
        <v>0</v>
      </c>
      <c r="M34" s="1812"/>
      <c r="N34" s="1812"/>
      <c r="O34" s="1812"/>
      <c r="P34" s="1812"/>
      <c r="Q34" s="1812"/>
      <c r="R34" s="1812"/>
      <c r="S34" s="1812"/>
      <c r="T34" s="465" cm="1" t="str">
        <f t="array" ref="T34:T34">T33</f>
        <v>false</v>
      </c>
      <c r="U34" s="1812"/>
      <c r="V34" s="1812"/>
      <c r="W34" s="1812"/>
      <c r="X34" s="1543"/>
      <c r="Y34" s="1812"/>
      <c r="Z34" s="1565"/>
      <c r="AA34" s="1812"/>
      <c r="AB34" s="352" t="s">
        <v>1665</v>
      </c>
      <c r="AC34" s="214" t="s">
        <v>1929</v>
      </c>
      <c r="AD34" s="90" t="s">
        <v>1514</v>
      </c>
      <c r="AE34" s="4934"/>
      <c r="AF34" s="4934"/>
      <c r="AG34" s="4934"/>
      <c r="AH34" s="4934"/>
      <c r="AI34" s="4934"/>
      <c r="AJ34" s="4934"/>
      <c r="AK34" s="2097"/>
      <c r="AL34" s="1812"/>
      <c r="AM34" s="1812"/>
      <c r="AN34" s="1030" t="s">
        <v>1930</v>
      </c>
    </row>
    <row s="1812" customFormat="1" customHeight="1" ht="14.625" hidden="1">
      <c r="A35" s="1812"/>
      <c r="B35" s="429"/>
      <c r="C35" s="1812"/>
      <c r="D35" s="1812"/>
      <c r="E35" s="267">
        <v>15</v>
      </c>
      <c r="F35" s="50" cm="1" t="str">
        <f t="array" ref="F35:F35">OFFSET(E35,-1,1)</f>
        <v>0</v>
      </c>
      <c r="G35" s="158" t="s">
        <v>1931</v>
      </c>
      <c r="H35" s="126" t="s">
        <v>1667</v>
      </c>
      <c r="I35" s="1812"/>
      <c r="J35" s="483"/>
      <c r="K35" s="483" t="str">
        <f>F35&amp;"14komm"</f>
        <v>014komm</v>
      </c>
      <c r="L35" s="917" cm="1" t="str">
        <f t="array" ref="L35:L35">AK35</f>
        <v>0</v>
      </c>
      <c r="M35" s="1812"/>
      <c r="N35" s="1812"/>
      <c r="O35" s="1812"/>
      <c r="P35" s="1812"/>
      <c r="Q35" s="1812"/>
      <c r="R35" s="1812"/>
      <c r="S35" s="1812"/>
      <c r="T35" s="465" cm="1" t="str">
        <f t="array" ref="T35:T35">T34</f>
        <v>false</v>
      </c>
      <c r="U35" s="1812"/>
      <c r="V35" s="1812"/>
      <c r="W35" s="1812"/>
      <c r="X35" s="1543"/>
      <c r="Y35" s="1812"/>
      <c r="Z35" s="1565"/>
      <c r="AA35" s="1812"/>
      <c r="AB35" s="352" t="s">
        <v>1668</v>
      </c>
      <c r="AC35" s="214" t="s">
        <v>1932</v>
      </c>
      <c r="AD35" s="90" t="s">
        <v>1514</v>
      </c>
      <c r="AE35" s="4934"/>
      <c r="AF35" s="4934"/>
      <c r="AG35" s="4934"/>
      <c r="AH35" s="4934"/>
      <c r="AI35" s="4934"/>
      <c r="AJ35" s="4934"/>
      <c r="AK35" s="2097"/>
      <c r="AL35" s="1812"/>
      <c r="AM35" s="1812"/>
      <c r="AN35" s="1030" t="s">
        <v>1933</v>
      </c>
    </row>
    <row s="1812" customFormat="1" customHeight="1" ht="14.625" hidden="1">
      <c r="A36" s="1812"/>
      <c r="B36" s="429"/>
      <c r="C36" s="1812"/>
      <c r="D36" s="1812"/>
      <c r="E36" s="267">
        <v>15</v>
      </c>
      <c r="F36" s="50" cm="1" t="str">
        <f t="array" ref="F36:F36">OFFSET(E36,-1,1)</f>
        <v>0</v>
      </c>
      <c r="G36" s="158" t="s">
        <v>1934</v>
      </c>
      <c r="H36" s="126" t="s">
        <v>1935</v>
      </c>
      <c r="I36" s="1812"/>
      <c r="J36" s="483"/>
      <c r="K36" s="483" t="str">
        <f>F36&amp;"15komm"</f>
        <v>015komm</v>
      </c>
      <c r="L36" s="917" cm="1" t="str">
        <f t="array" ref="L36:L36">AK36</f>
        <v>0</v>
      </c>
      <c r="M36" s="1812"/>
      <c r="N36" s="1812"/>
      <c r="O36" s="1812"/>
      <c r="P36" s="1812"/>
      <c r="Q36" s="1812"/>
      <c r="R36" s="1812"/>
      <c r="S36" s="1812"/>
      <c r="T36" s="465" cm="1" t="str">
        <f t="array" ref="T36:T36">T35</f>
        <v>false</v>
      </c>
      <c r="U36" s="1812"/>
      <c r="V36" s="1812"/>
      <c r="W36" s="1812"/>
      <c r="X36" s="1543"/>
      <c r="Y36" s="1812"/>
      <c r="Z36" s="1565"/>
      <c r="AA36" s="1812"/>
      <c r="AB36" s="352" t="s">
        <v>1936</v>
      </c>
      <c r="AC36" s="214" t="s">
        <v>1937</v>
      </c>
      <c r="AD36" s="90" t="s">
        <v>1514</v>
      </c>
      <c r="AE36" s="4934"/>
      <c r="AF36" s="4934"/>
      <c r="AG36" s="4934"/>
      <c r="AH36" s="4934"/>
      <c r="AI36" s="4934"/>
      <c r="AJ36" s="4934"/>
      <c r="AK36" s="2097"/>
      <c r="AL36" s="1812"/>
      <c r="AM36" s="1812"/>
      <c r="AN36" s="1030" t="s">
        <v>1938</v>
      </c>
    </row>
    <row s="1812" customFormat="1" customHeight="1" ht="14.625" hidden="1">
      <c r="A37" s="1812"/>
      <c r="B37" s="429"/>
      <c r="C37" s="1812"/>
      <c r="D37" s="1812"/>
      <c r="E37" s="267">
        <v>15</v>
      </c>
      <c r="F37" s="50" cm="1" t="str">
        <f t="array" ref="F37:F37">OFFSET(E37,-1,1)</f>
        <v>0</v>
      </c>
      <c r="G37" s="158" t="s">
        <v>1939</v>
      </c>
      <c r="H37" s="126" t="s">
        <v>1940</v>
      </c>
      <c r="I37" s="1812"/>
      <c r="J37" s="483"/>
      <c r="K37" s="483" t="str">
        <f>F37&amp;"16komm"</f>
        <v>016komm</v>
      </c>
      <c r="L37" s="917" cm="1" t="str">
        <f t="array" ref="L37:L37">AK37</f>
        <v>0</v>
      </c>
      <c r="M37" s="1812"/>
      <c r="N37" s="1812"/>
      <c r="O37" s="1812"/>
      <c r="P37" s="1812"/>
      <c r="Q37" s="1812"/>
      <c r="R37" s="1812"/>
      <c r="S37" s="1812"/>
      <c r="T37" s="465" cm="1" t="str">
        <f t="array" ref="T37:T37">T36</f>
        <v>false</v>
      </c>
      <c r="U37" s="1812"/>
      <c r="V37" s="1812"/>
      <c r="W37" s="1812"/>
      <c r="X37" s="1543"/>
      <c r="Y37" s="1812"/>
      <c r="Z37" s="1565"/>
      <c r="AA37" s="1812"/>
      <c r="AB37" s="352" t="s">
        <v>1941</v>
      </c>
      <c r="AC37" s="214" t="s">
        <v>1942</v>
      </c>
      <c r="AD37" s="90" t="s">
        <v>1514</v>
      </c>
      <c r="AE37" s="4934"/>
      <c r="AF37" s="4934"/>
      <c r="AG37" s="4934"/>
      <c r="AH37" s="4934"/>
      <c r="AI37" s="4934"/>
      <c r="AJ37" s="4934"/>
      <c r="AK37" s="2097"/>
      <c r="AL37" s="1812"/>
      <c r="AM37" s="1812"/>
      <c r="AN37" s="1030" t="s">
        <v>1943</v>
      </c>
    </row>
    <row s="1812" customFormat="1" customHeight="1" ht="32.90625" hidden="1">
      <c r="A38" s="1812"/>
      <c r="B38" s="429"/>
      <c r="C38" s="1812"/>
      <c r="D38" s="1812"/>
      <c r="E38" s="267">
        <v>33.75</v>
      </c>
      <c r="F38" s="50" cm="1" t="str">
        <f t="array" ref="F38:F38">OFFSET(E38,-1,1)</f>
        <v>0</v>
      </c>
      <c r="G38" s="349" t="s">
        <v>1944</v>
      </c>
      <c r="H38" s="126" t="s">
        <v>336</v>
      </c>
      <c r="I38" s="1812"/>
      <c r="J38" s="483"/>
      <c r="K38" s="483" t="str">
        <f>F38&amp;"2komm"</f>
        <v>02komm</v>
      </c>
      <c r="L38" s="917" cm="1" t="str">
        <f t="array" ref="L38:L38">AK38</f>
        <v>0</v>
      </c>
      <c r="M38" s="1812"/>
      <c r="N38" s="1812"/>
      <c r="O38" s="1812"/>
      <c r="P38" s="1812"/>
      <c r="Q38" s="1812"/>
      <c r="R38" s="1812"/>
      <c r="S38" s="1812"/>
      <c r="T38" s="465" cm="1" t="str">
        <f t="array" ref="T38:T38">T37</f>
        <v>false</v>
      </c>
      <c r="U38" s="1812"/>
      <c r="V38" s="1812"/>
      <c r="W38" s="1812"/>
      <c r="X38" s="1543"/>
      <c r="Y38" s="1812"/>
      <c r="Z38" s="1565"/>
      <c r="AA38" s="1812"/>
      <c r="AB38" s="352" t="s">
        <v>295</v>
      </c>
      <c r="AC38" s="341" t="s">
        <v>1945</v>
      </c>
      <c r="AD38" s="90" t="s">
        <v>1514</v>
      </c>
      <c r="AE38" s="4934"/>
      <c r="AF38" s="4934"/>
      <c r="AG38" s="4934"/>
      <c r="AH38" s="4934"/>
      <c r="AI38" s="4934"/>
      <c r="AJ38" s="4934"/>
      <c r="AK38" s="2097"/>
      <c r="AL38" s="1812"/>
      <c r="AM38" s="1812"/>
      <c r="AN38" s="1030" t="s">
        <v>1946</v>
      </c>
    </row>
    <row s="1812" customFormat="1" customHeight="1" ht="14.625" hidden="1">
      <c r="A39" s="1812"/>
      <c r="B39" s="429"/>
      <c r="C39" s="1812"/>
      <c r="D39" s="1812"/>
      <c r="E39" s="267">
        <v>15</v>
      </c>
      <c r="F39" s="50" cm="1" t="str">
        <f t="array" ref="F39:F39">OFFSET(E39,-1,1)</f>
        <v>0</v>
      </c>
      <c r="G39" s="349" t="s">
        <v>1947</v>
      </c>
      <c r="H39" s="126" t="s">
        <v>335</v>
      </c>
      <c r="I39" s="1812"/>
      <c r="J39" s="483"/>
      <c r="K39" s="483" t="str">
        <f>F39&amp;"3komm"</f>
        <v>03komm</v>
      </c>
      <c r="L39" s="917" cm="1" t="str">
        <f t="array" ref="L39:L39">AK39</f>
        <v>0</v>
      </c>
      <c r="M39" s="1812"/>
      <c r="N39" s="1812"/>
      <c r="O39" s="1812"/>
      <c r="P39" s="1812"/>
      <c r="Q39" s="1812"/>
      <c r="R39" s="1812"/>
      <c r="S39" s="1812"/>
      <c r="T39" s="465" cm="1" t="str">
        <f t="array" ref="T39:T39">T38</f>
        <v>false</v>
      </c>
      <c r="U39" s="1812"/>
      <c r="V39" s="1812"/>
      <c r="W39" s="1812"/>
      <c r="X39" s="1543"/>
      <c r="Y39" s="1812"/>
      <c r="Z39" s="1565"/>
      <c r="AA39" s="1812"/>
      <c r="AB39" s="352" t="s">
        <v>443</v>
      </c>
      <c r="AC39" s="341" t="s">
        <v>1948</v>
      </c>
      <c r="AD39" s="90" t="s">
        <v>1514</v>
      </c>
      <c r="AE39" s="4934"/>
      <c r="AF39" s="4934"/>
      <c r="AG39" s="4934"/>
      <c r="AH39" s="4934"/>
      <c r="AI39" s="4934"/>
      <c r="AJ39" s="4934"/>
      <c r="AK39" s="2097"/>
      <c r="AL39" s="1812"/>
      <c r="AM39" s="1812"/>
      <c r="AN39" s="1030" t="s">
        <v>1949</v>
      </c>
    </row>
    <row s="1812" customFormat="1" customHeight="1" ht="14.625" hidden="1">
      <c r="A40" s="1812"/>
      <c r="B40" s="429"/>
      <c r="C40" s="1812"/>
      <c r="D40" s="1812"/>
      <c r="E40" s="267">
        <v>15</v>
      </c>
      <c r="F40" s="50" cm="1" t="str">
        <f t="array" ref="F40:F40">OFFSET(E40,-1,1)</f>
        <v>0</v>
      </c>
      <c r="G40" s="349" t="s">
        <v>1950</v>
      </c>
      <c r="H40" s="126" t="s">
        <v>1225</v>
      </c>
      <c r="I40" s="1812"/>
      <c r="J40" s="1812"/>
      <c r="K40" s="483" t="str">
        <f>F40&amp;"4komm"</f>
        <v>04komm</v>
      </c>
      <c r="L40" s="917" cm="1" t="str">
        <f t="array" ref="L40:L40">AK40</f>
        <v>0</v>
      </c>
      <c r="M40" s="1812"/>
      <c r="N40" s="1812"/>
      <c r="O40" s="1812"/>
      <c r="P40" s="1812"/>
      <c r="Q40" s="1812"/>
      <c r="R40" s="1812"/>
      <c r="S40" s="1812"/>
      <c r="T40" s="465" cm="1" t="str">
        <f t="array" ref="T40:T40">T39</f>
        <v>false</v>
      </c>
      <c r="U40" s="1812"/>
      <c r="V40" s="1812"/>
      <c r="W40" s="1812"/>
      <c r="X40" s="1543"/>
      <c r="Y40" s="1812"/>
      <c r="Z40" s="1565"/>
      <c r="AA40" s="1812"/>
      <c r="AB40" s="352" t="s">
        <v>446</v>
      </c>
      <c r="AC40" s="341" t="s">
        <v>1951</v>
      </c>
      <c r="AD40" s="90" t="s">
        <v>1514</v>
      </c>
      <c r="AE40" s="4934"/>
      <c r="AF40" s="4934"/>
      <c r="AG40" s="4934"/>
      <c r="AH40" s="4934"/>
      <c r="AI40" s="4934"/>
      <c r="AJ40" s="4934"/>
      <c r="AK40" s="2097"/>
      <c r="AL40" s="1812"/>
      <c r="AM40" s="1812"/>
      <c r="AN40" s="1030" t="s">
        <v>1952</v>
      </c>
    </row>
    <row s="1812" customFormat="1" customHeight="1" ht="14.625" hidden="1">
      <c r="A41" s="1812"/>
      <c r="B41" s="429"/>
      <c r="C41" s="1812"/>
      <c r="D41" s="1812"/>
      <c r="E41" s="267">
        <v>15</v>
      </c>
      <c r="F41" s="50" cm="1" t="str">
        <f t="array" ref="F41:F41">OFFSET(E41,-1,1)</f>
        <v>0</v>
      </c>
      <c r="G41" s="349" t="s">
        <v>1953</v>
      </c>
      <c r="H41" s="126" t="s">
        <v>1228</v>
      </c>
      <c r="I41" s="1812"/>
      <c r="J41" s="1812"/>
      <c r="K41" s="483" t="str">
        <f>F41&amp;"5komm"</f>
        <v>05komm</v>
      </c>
      <c r="L41" s="917" cm="1" t="str">
        <f t="array" ref="L41:L41">AK41</f>
        <v>0</v>
      </c>
      <c r="M41" s="1812"/>
      <c r="N41" s="1812"/>
      <c r="O41" s="1812"/>
      <c r="P41" s="1812"/>
      <c r="Q41" s="1812"/>
      <c r="R41" s="1812"/>
      <c r="S41" s="1812"/>
      <c r="T41" s="465" cm="1" t="str">
        <f t="array" ref="T41:T41">T40</f>
        <v>false</v>
      </c>
      <c r="U41" s="1812"/>
      <c r="V41" s="1812"/>
      <c r="W41" s="1812"/>
      <c r="X41" s="1543"/>
      <c r="Y41" s="1812"/>
      <c r="Z41" s="1565"/>
      <c r="AA41" s="1812"/>
      <c r="AB41" s="352" t="s">
        <v>449</v>
      </c>
      <c r="AC41" s="341" t="s">
        <v>1954</v>
      </c>
      <c r="AD41" s="90" t="s">
        <v>1514</v>
      </c>
      <c r="AE41" s="4934"/>
      <c r="AF41" s="4934"/>
      <c r="AG41" s="4934"/>
      <c r="AH41" s="4934"/>
      <c r="AI41" s="4934"/>
      <c r="AJ41" s="4934"/>
      <c r="AK41" s="2097"/>
      <c r="AL41" s="1812"/>
      <c r="AM41" s="1812"/>
      <c r="AN41" s="1030" t="s">
        <v>1955</v>
      </c>
    </row>
    <row s="1812" customFormat="1" customHeight="1" ht="14.625" hidden="1">
      <c r="A42" s="1812"/>
      <c r="B42" s="429"/>
      <c r="C42" s="1812"/>
      <c r="D42" s="1812"/>
      <c r="E42" s="267">
        <v>15</v>
      </c>
      <c r="F42" s="50" cm="1" t="str">
        <f t="array" ref="F42:F42">OFFSET(E42,-1,1)</f>
        <v>0</v>
      </c>
      <c r="G42" s="349" t="s">
        <v>1956</v>
      </c>
      <c r="H42" s="126" t="s">
        <v>1275</v>
      </c>
      <c r="I42" s="1812"/>
      <c r="J42" s="1812"/>
      <c r="K42" s="483" t="str">
        <f>F42&amp;"6komm"</f>
        <v>06komm</v>
      </c>
      <c r="L42" s="917" cm="1" t="str">
        <f t="array" ref="L42:L42">AK42</f>
        <v>0</v>
      </c>
      <c r="M42" s="1812"/>
      <c r="N42" s="1812"/>
      <c r="O42" s="1812"/>
      <c r="P42" s="1812"/>
      <c r="Q42" s="1812"/>
      <c r="R42" s="1812"/>
      <c r="S42" s="1812"/>
      <c r="T42" s="465" cm="1" t="str">
        <f t="array" ref="T42:T42">T41</f>
        <v>false</v>
      </c>
      <c r="U42" s="1812"/>
      <c r="V42" s="1812"/>
      <c r="W42" s="1812"/>
      <c r="X42" s="1543"/>
      <c r="Y42" s="1812"/>
      <c r="Z42" s="1565"/>
      <c r="AA42" s="1812"/>
      <c r="AB42" s="352" t="s">
        <v>452</v>
      </c>
      <c r="AC42" s="341" t="s">
        <v>1957</v>
      </c>
      <c r="AD42" s="90" t="s">
        <v>1514</v>
      </c>
      <c r="AE42" s="353">
        <f>SUM(AE43:AE45)</f>
        <v>0</v>
      </c>
      <c r="AF42" s="353">
        <f>SUM(AF43:AF45)</f>
        <v>0</v>
      </c>
      <c r="AG42" s="353">
        <f>SUM(AG43:AG45)</f>
        <v>0</v>
      </c>
      <c r="AH42" s="353">
        <f>SUM(AH43:AH45)</f>
        <v>0</v>
      </c>
      <c r="AI42" s="353">
        <f>SUM(AI43:AI45)</f>
        <v>0</v>
      </c>
      <c r="AJ42" s="353">
        <f>SUM(AJ43:AJ45)</f>
        <v>0</v>
      </c>
      <c r="AK42" s="2097"/>
      <c r="AL42" s="1812"/>
      <c r="AM42" s="1812"/>
      <c r="AN42" s="1030" t="s">
        <v>396</v>
      </c>
    </row>
    <row s="1812" customFormat="1" customHeight="1" ht="14.625" hidden="1">
      <c r="A43" s="1812"/>
      <c r="B43" s="429"/>
      <c r="C43" s="1812"/>
      <c r="D43" s="1812"/>
      <c r="E43" s="267">
        <v>15</v>
      </c>
      <c r="F43" s="50" cm="1" t="str">
        <f t="array" ref="F43:F43">OFFSET(E43,-1,1)</f>
        <v>0</v>
      </c>
      <c r="G43" s="349" t="s">
        <v>1958</v>
      </c>
      <c r="H43" s="126" t="s">
        <v>1278</v>
      </c>
      <c r="I43" s="1812"/>
      <c r="J43" s="1812"/>
      <c r="K43" s="483" t="str">
        <f>F43&amp;"7komm"</f>
        <v>07komm</v>
      </c>
      <c r="L43" s="917" cm="1" t="str">
        <f t="array" ref="L43:L43">AK43</f>
        <v>0</v>
      </c>
      <c r="M43" s="1812"/>
      <c r="N43" s="1812"/>
      <c r="O43" s="1812"/>
      <c r="P43" s="1812"/>
      <c r="Q43" s="1812"/>
      <c r="R43" s="1812"/>
      <c r="S43" s="1812"/>
      <c r="T43" s="465" cm="1" t="str">
        <f t="array" ref="T43:T43">T42</f>
        <v>false</v>
      </c>
      <c r="U43" s="1812"/>
      <c r="V43" s="1812"/>
      <c r="W43" s="1812"/>
      <c r="X43" s="1543"/>
      <c r="Y43" s="1812"/>
      <c r="Z43" s="1565"/>
      <c r="AA43" s="1812"/>
      <c r="AB43" s="352" t="s">
        <v>1301</v>
      </c>
      <c r="AC43" s="214" t="s">
        <v>1959</v>
      </c>
      <c r="AD43" s="90" t="s">
        <v>1514</v>
      </c>
      <c r="AE43" s="4934"/>
      <c r="AF43" s="4934"/>
      <c r="AG43" s="4934"/>
      <c r="AH43" s="4934"/>
      <c r="AI43" s="4934"/>
      <c r="AJ43" s="4934"/>
      <c r="AK43" s="2097"/>
      <c r="AL43" s="1812"/>
      <c r="AM43" s="1812"/>
      <c r="AN43" s="1030" t="s">
        <v>1960</v>
      </c>
    </row>
    <row s="1812" customFormat="1" customHeight="1" ht="43.875" hidden="1">
      <c r="A44" s="1812"/>
      <c r="B44" s="429"/>
      <c r="C44" s="1812"/>
      <c r="D44" s="1812"/>
      <c r="E44" s="267">
        <v>45</v>
      </c>
      <c r="F44" s="50" cm="1" t="str">
        <f t="array" ref="F44:F44">OFFSET(E44,-1,1)</f>
        <v>0</v>
      </c>
      <c r="G44" s="349" t="s">
        <v>1961</v>
      </c>
      <c r="H44" s="126" t="s">
        <v>1282</v>
      </c>
      <c r="I44" s="1812"/>
      <c r="J44" s="1812"/>
      <c r="K44" s="483" t="str">
        <f>F44&amp;"8komm"</f>
        <v>08komm</v>
      </c>
      <c r="L44" s="917" cm="1" t="str">
        <f t="array" ref="L44:L44">AK44</f>
        <v>0</v>
      </c>
      <c r="M44" s="1812"/>
      <c r="N44" s="1812"/>
      <c r="O44" s="1812"/>
      <c r="P44" s="1812"/>
      <c r="Q44" s="1812"/>
      <c r="R44" s="1812"/>
      <c r="S44" s="1812"/>
      <c r="T44" s="465" cm="1" t="str">
        <f t="array" ref="T44:T44">T43</f>
        <v>false</v>
      </c>
      <c r="U44" s="1812"/>
      <c r="V44" s="1812"/>
      <c r="W44" s="1812"/>
      <c r="X44" s="1543"/>
      <c r="Y44" s="1812"/>
      <c r="Z44" s="1565"/>
      <c r="AA44" s="1812"/>
      <c r="AB44" s="352" t="s">
        <v>1318</v>
      </c>
      <c r="AC44" s="762" t="s">
        <v>1962</v>
      </c>
      <c r="AD44" s="90" t="s">
        <v>1514</v>
      </c>
      <c r="AE44" s="4934"/>
      <c r="AF44" s="4934"/>
      <c r="AG44" s="4934"/>
      <c r="AH44" s="4934"/>
      <c r="AI44" s="4934"/>
      <c r="AJ44" s="4934"/>
      <c r="AK44" s="2097"/>
      <c r="AL44" s="1812"/>
      <c r="AM44" s="1812"/>
      <c r="AN44" s="1030" t="s">
        <v>1963</v>
      </c>
    </row>
    <row s="1812" customFormat="1" customHeight="1" ht="14.625" hidden="1">
      <c r="A45" s="1812"/>
      <c r="B45" s="429"/>
      <c r="C45" s="1812"/>
      <c r="D45" s="1812"/>
      <c r="E45" s="267">
        <v>15</v>
      </c>
      <c r="F45" s="50" cm="1" t="str">
        <f t="array" ref="F45:F45">OFFSET(E45,-1,1)</f>
        <v>0</v>
      </c>
      <c r="G45" s="158" t="s">
        <v>1964</v>
      </c>
      <c r="H45" s="126" t="s">
        <v>1286</v>
      </c>
      <c r="I45" s="1812"/>
      <c r="J45" s="1812"/>
      <c r="K45" s="483" t="str">
        <f>F45&amp;"9komm"</f>
        <v>09komm</v>
      </c>
      <c r="L45" s="917" cm="1" t="str">
        <f t="array" ref="L45:L45">AK45</f>
        <v>0</v>
      </c>
      <c r="M45" s="1812"/>
      <c r="N45" s="1812"/>
      <c r="O45" s="1812"/>
      <c r="P45" s="1812"/>
      <c r="Q45" s="1812"/>
      <c r="R45" s="1812"/>
      <c r="S45" s="1812"/>
      <c r="T45" s="465" cm="1" t="str">
        <f t="array" ref="T45:T45">T44</f>
        <v>false</v>
      </c>
      <c r="U45" s="1812"/>
      <c r="V45" s="1812"/>
      <c r="W45" s="1812"/>
      <c r="X45" s="1543"/>
      <c r="Y45" s="1812"/>
      <c r="Z45" s="1565"/>
      <c r="AA45" s="1812"/>
      <c r="AB45" s="352" t="s">
        <v>1330</v>
      </c>
      <c r="AC45" s="214" t="s">
        <v>1965</v>
      </c>
      <c r="AD45" s="90" t="s">
        <v>1514</v>
      </c>
      <c r="AE45" s="4934"/>
      <c r="AF45" s="4934"/>
      <c r="AG45" s="4934"/>
      <c r="AH45" s="4934"/>
      <c r="AI45" s="4936"/>
      <c r="AJ45" s="4936"/>
      <c r="AK45" s="2097"/>
      <c r="AL45" s="1812"/>
      <c r="AM45" s="1812"/>
      <c r="AN45" s="1030" t="s">
        <v>1966</v>
      </c>
    </row>
    <row s="1834" customFormat="1" customHeight="1" ht="10.5">
      <c r="A46" s="1304"/>
      <c r="B46" s="1436"/>
      <c r="C46" s="146"/>
      <c r="D46" s="146"/>
      <c r="E46" s="267">
        <v>11.25</v>
      </c>
      <c r="F46" s="98" cm="1" t="str">
        <f t="array" ref="F46:F46">X46</f>
        <v>1</v>
      </c>
      <c r="G46" s="146"/>
      <c r="H46" s="146"/>
      <c r="I46" s="146"/>
      <c r="J46" s="146"/>
      <c r="K46" s="146"/>
      <c r="L46" s="146"/>
      <c r="M46" s="146"/>
      <c r="N46" s="146"/>
      <c r="O46" s="146"/>
      <c r="P46" s="146"/>
      <c r="Q46" s="146"/>
      <c r="R46" s="146"/>
      <c r="S46" s="146"/>
      <c r="T46" s="465">
        <f>X46&gt;0</f>
        <v>1</v>
      </c>
      <c r="U46" s="146"/>
      <c r="V46" s="146" cm="1" t="str">
        <f t="array" ref="V46:V46">ФОТ!$AB$52</f>
        <v>Тариф 1 (Водоснабжение) - тариф на питьевую воду (Доп. признак не требуется)</v>
      </c>
      <c r="W46" s="146"/>
      <c r="X46" s="1543" t="s">
        <v>276</v>
      </c>
      <c r="Y46" s="146"/>
      <c r="Z46" s="1565"/>
      <c r="AA46" s="146"/>
      <c r="AB46" s="242" cm="1" t="str">
        <f t="array" ref="AB46:AB46">ФОТ!$AB$52</f>
        <v>Тариф 1 (Водоснабжение) - тариф на питьевую воду (Доп. признак не требуется)</v>
      </c>
      <c r="AC46" s="180"/>
      <c r="AD46" s="180"/>
      <c r="AE46" s="306">
        <f>AE47+AE48+AE49+AE57+AE58+AE59+AE60+AE61</f>
        <v>0</v>
      </c>
      <c r="AF46" s="306">
        <f>AF47+AF48+AF49+AF57+AF58+AF59+AF60+AF61</f>
        <v>0</v>
      </c>
      <c r="AG46" s="306">
        <f>AG47+AG48+AG49+AG57+AG58+AG59+AG60+AG61</f>
        <v>0</v>
      </c>
      <c r="AH46" s="306">
        <f>AH47+AH48+AH49+AH57+AH58+AH59+AH60+AH61</f>
        <v>0</v>
      </c>
      <c r="AI46" s="306">
        <f>AI47+AI48+AI49+AI57+AI58+AI59+AI60+AI61</f>
        <v>22950.5069349292</v>
      </c>
      <c r="AJ46" s="306">
        <f>AJ47+AJ48+AJ49+AJ57+AJ58+AJ59+AJ60+AJ61</f>
        <v>22950.5069349292</v>
      </c>
      <c r="AK46" s="174"/>
      <c r="AL46" s="146"/>
      <c r="AM46" s="1304"/>
      <c r="AN46" s="1306"/>
    </row>
    <row s="1834" customFormat="1" customHeight="1" ht="21.75">
      <c r="A47" s="1304"/>
      <c r="B47" s="1436"/>
      <c r="C47" s="146"/>
      <c r="D47" s="146"/>
      <c r="E47" s="267">
        <v>22.5</v>
      </c>
      <c r="F47" s="50" cm="1" t="str">
        <f t="array" ref="F47:F47">OFFSET(E47,-1,1)</f>
        <v>1</v>
      </c>
      <c r="G47" s="146"/>
      <c r="H47" s="126" t="s">
        <v>332</v>
      </c>
      <c r="I47" s="146"/>
      <c r="J47" s="146"/>
      <c r="K47" s="146"/>
      <c r="L47" s="146"/>
      <c r="M47" s="146"/>
      <c r="N47" s="146"/>
      <c r="O47" s="146"/>
      <c r="P47" s="146"/>
      <c r="Q47" s="146"/>
      <c r="R47" s="146"/>
      <c r="S47" s="146"/>
      <c r="T47" s="465" cm="1" t="str">
        <f t="array" ref="T47:T47">T46</f>
        <v>true</v>
      </c>
      <c r="U47" s="146"/>
      <c r="V47" s="146"/>
      <c r="W47" s="146"/>
      <c r="X47" s="1543"/>
      <c r="Y47" s="146"/>
      <c r="Z47" s="1565"/>
      <c r="AA47" s="146"/>
      <c r="AB47" s="352">
        <v>1</v>
      </c>
      <c r="AC47" s="341" t="s">
        <v>1890</v>
      </c>
      <c r="AD47" s="90" t="s">
        <v>1514</v>
      </c>
      <c r="AE47" s="892">
        <f>_xlfn.SUMIFS(ФОТ!AE$25:AE$188,ФОТ!$F$25:$F$188,$F47,ФОТ!$AC$25:$AC$188,$AC47)</f>
        <v>0</v>
      </c>
      <c r="AF47" s="892">
        <f>_xlfn.SUMIFS(ФОТ!AF$25:AF$188,ФОТ!$F$25:$F$188,$F47,ФОТ!$AC$25:$AC$188,$AC47)</f>
        <v>0</v>
      </c>
      <c r="AG47" s="892">
        <f>_xlfn.SUMIFS(ФОТ!AG$25:AG$188,ФОТ!$F$25:$F$188,$F47,ФОТ!$AC$25:$AC$188,$AC47)</f>
        <v>0</v>
      </c>
      <c r="AH47" s="892">
        <f>_xlfn.SUMIFS(ФОТ!AH$25:AH$188,ФОТ!$F$25:$F$188,$F47,ФОТ!$AC$25:$AC$188,$AC47)</f>
        <v>0</v>
      </c>
      <c r="AI47" s="892">
        <f>_xlfn.SUMIFS(ФОТ!AI$25:AI$188,ФОТ!$F$25:$F$188,$F47,ФОТ!$AC$25:$AC$188,$AC47)</f>
        <v>15165.7279401146</v>
      </c>
      <c r="AJ47" s="892">
        <f>_xlfn.SUMIFS(ФОТ!AJ$25:AJ$188,ФОТ!$F$25:$F$188,$F47,ФОТ!$AC$25:$AC$188,$AC47)</f>
        <v>15165.7279401146</v>
      </c>
      <c r="AK47" s="309"/>
      <c r="AL47" s="146"/>
      <c r="AM47" s="1304"/>
      <c r="AN47" s="1015" t="s">
        <v>1915</v>
      </c>
    </row>
    <row s="1834" customFormat="1" customHeight="1" ht="21.75">
      <c r="A48" s="1304"/>
      <c r="B48" s="1436"/>
      <c r="C48" s="146"/>
      <c r="D48" s="146"/>
      <c r="E48" s="267">
        <v>22.5</v>
      </c>
      <c r="F48" s="50" cm="1" t="str">
        <f t="array" ref="F48:F48">OFFSET(E48,-1,1)</f>
        <v>1</v>
      </c>
      <c r="G48" s="146"/>
      <c r="H48" s="126" t="s">
        <v>333</v>
      </c>
      <c r="I48" s="146"/>
      <c r="J48" s="483"/>
      <c r="K48" s="483"/>
      <c r="L48" s="483"/>
      <c r="M48" s="146"/>
      <c r="N48" s="146"/>
      <c r="O48" s="146"/>
      <c r="P48" s="146"/>
      <c r="Q48" s="146"/>
      <c r="R48" s="146"/>
      <c r="S48" s="146"/>
      <c r="T48" s="465" cm="1" t="str">
        <f t="array" ref="T48:T48">T47</f>
        <v>true</v>
      </c>
      <c r="U48" s="146"/>
      <c r="V48" s="146"/>
      <c r="W48" s="146"/>
      <c r="X48" s="1543"/>
      <c r="Y48" s="146"/>
      <c r="Z48" s="1565"/>
      <c r="AA48" s="146"/>
      <c r="AB48" s="352" t="s">
        <v>285</v>
      </c>
      <c r="AC48" s="341" t="s">
        <v>1895</v>
      </c>
      <c r="AD48" s="90" t="s">
        <v>1514</v>
      </c>
      <c r="AE48" s="892">
        <f>_xlfn.SUMIFS(ФОТ!AE$25:AE$188,ФОТ!$F$25:$F$188,$F48,ФОТ!$AC$25:$AC$188,$AC48)</f>
        <v>0</v>
      </c>
      <c r="AF48" s="892">
        <f>_xlfn.SUMIFS(ФОТ!AF$25:AF$188,ФОТ!$F$25:$F$188,$F48,ФОТ!$AC$25:$AC$188,$AC48)</f>
        <v>0</v>
      </c>
      <c r="AG48" s="892">
        <f>_xlfn.SUMIFS(ФОТ!AG$25:AG$188,ФОТ!$F$25:$F$188,$F48,ФОТ!$AC$25:$AC$188,$AC48)</f>
        <v>0</v>
      </c>
      <c r="AH48" s="892">
        <f>_xlfn.SUMIFS(ФОТ!AH$25:AH$188,ФОТ!$F$25:$F$188,$F48,ФОТ!$AC$25:$AC$188,$AC48)</f>
        <v>0</v>
      </c>
      <c r="AI48" s="892">
        <f>_xlfn.SUMIFS(ФОТ!AI$25:AI$188,ФОТ!$F$25:$F$188,$F48,ФОТ!$AC$25:$AC$188,$AC48)</f>
        <v>4580.04983791461</v>
      </c>
      <c r="AJ48" s="892">
        <f>_xlfn.SUMIFS(ФОТ!AJ$25:AJ$188,ФОТ!$F$25:$F$188,$F48,ФОТ!$AC$25:$AC$188,$AC48)</f>
        <v>4580.04983791461</v>
      </c>
      <c r="AK48" s="309"/>
      <c r="AL48" s="146"/>
      <c r="AM48" s="1304"/>
      <c r="AN48" s="1015" t="s">
        <v>1896</v>
      </c>
    </row>
    <row s="1834" customFormat="1" customHeight="1" ht="32.25">
      <c r="A49" s="1304"/>
      <c r="B49" s="1436"/>
      <c r="C49" s="146"/>
      <c r="D49" s="146"/>
      <c r="E49" s="267">
        <v>33.75</v>
      </c>
      <c r="F49" s="50" cm="1" t="str">
        <f t="array" ref="F49:F49">OFFSET(E49,-1,1)</f>
        <v>1</v>
      </c>
      <c r="G49" s="349" t="s">
        <v>1916</v>
      </c>
      <c r="H49" s="126" t="s">
        <v>334</v>
      </c>
      <c r="I49" s="146"/>
      <c r="J49" s="483"/>
      <c r="K49" s="483" t="str">
        <f>F49&amp;"17komm"</f>
        <v>117komm</v>
      </c>
      <c r="L49" s="917" cm="1" t="str">
        <f t="array" ref="L49:L49">AK49</f>
        <v>Учтены расходы по выданным долгосрочным параметрам и соответствуют предложению организации.</v>
      </c>
      <c r="M49" s="146"/>
      <c r="N49" s="146"/>
      <c r="O49" s="146"/>
      <c r="P49" s="146"/>
      <c r="Q49" s="146"/>
      <c r="R49" s="146"/>
      <c r="S49" s="146"/>
      <c r="T49" s="465" cm="1" t="str">
        <f t="array" ref="T49:T49">T48</f>
        <v>true</v>
      </c>
      <c r="U49" s="146"/>
      <c r="V49" s="146"/>
      <c r="W49" s="146"/>
      <c r="X49" s="1543"/>
      <c r="Y49" s="146"/>
      <c r="Z49" s="1565"/>
      <c r="AA49" s="146"/>
      <c r="AB49" s="352" t="s">
        <v>289</v>
      </c>
      <c r="AC49" s="341" t="s">
        <v>1917</v>
      </c>
      <c r="AD49" s="90" t="s">
        <v>1514</v>
      </c>
      <c r="AE49" s="238">
        <f>SUM(AE50:AE56)</f>
        <v>0</v>
      </c>
      <c r="AF49" s="238">
        <f>SUM(AF50:AF56)</f>
        <v>0</v>
      </c>
      <c r="AG49" s="238">
        <f>SUM(AG50:AG56)</f>
        <v>0</v>
      </c>
      <c r="AH49" s="238">
        <f>SUM(AH50:AH56)</f>
        <v>0</v>
      </c>
      <c r="AI49" s="238">
        <f>SUM(AI50:AI56)</f>
        <v>3201.9486069</v>
      </c>
      <c r="AJ49" s="238">
        <f>SUM(AJ50:AJ56)</f>
        <v>3201.9486069</v>
      </c>
      <c r="AK49" s="309" t="s">
        <v>1967</v>
      </c>
      <c r="AL49" s="146"/>
      <c r="AM49" s="1304"/>
      <c r="AN49" s="1015" t="s">
        <v>1918</v>
      </c>
    </row>
    <row s="1834" customFormat="1" customHeight="1" ht="14.25">
      <c r="A50" s="1834"/>
      <c r="B50" s="430"/>
      <c r="C50" s="146"/>
      <c r="D50" s="146"/>
      <c r="E50" s="267">
        <v>15</v>
      </c>
      <c r="F50" s="1175" cm="1" t="str">
        <f t="array" ref="F50:F50">OFFSET(E50,-1,1)</f>
        <v>1</v>
      </c>
      <c r="G50" s="158" t="s">
        <v>1919</v>
      </c>
      <c r="H50" s="126" t="s">
        <v>1658</v>
      </c>
      <c r="I50" s="146"/>
      <c r="J50" s="483"/>
      <c r="K50" s="483" t="str">
        <f>F50&amp;"18komm"</f>
        <v>118komm</v>
      </c>
      <c r="L50" s="917" cm="1" t="str">
        <f t="array" ref="L50:L50">AK50</f>
        <v>по расчету организации, не превышает факт 2025 года предыдущей организации.</v>
      </c>
      <c r="M50" s="146"/>
      <c r="N50" s="146"/>
      <c r="O50" s="146"/>
      <c r="P50" s="146"/>
      <c r="Q50" s="146"/>
      <c r="R50" s="146"/>
      <c r="S50" s="146"/>
      <c r="T50" s="465" cm="1" t="str">
        <f t="array" ref="T50:T50">T49</f>
        <v>true</v>
      </c>
      <c r="U50" s="146"/>
      <c r="V50" s="146"/>
      <c r="W50" s="146"/>
      <c r="X50" s="1543"/>
      <c r="Y50" s="146"/>
      <c r="Z50" s="1565"/>
      <c r="AA50" s="146"/>
      <c r="AB50" s="352" t="s">
        <v>1264</v>
      </c>
      <c r="AC50" s="214" t="s">
        <v>1920</v>
      </c>
      <c r="AD50" s="90" t="s">
        <v>1514</v>
      </c>
      <c r="AE50" s="229"/>
      <c r="AF50" s="229"/>
      <c r="AG50" s="229"/>
      <c r="AH50" s="229"/>
      <c r="AI50" s="229">
        <v>101.96227921</v>
      </c>
      <c r="AJ50" s="229">
        <v>101.96227921</v>
      </c>
      <c r="AK50" s="309" t="s">
        <v>1968</v>
      </c>
      <c r="AL50" s="146"/>
      <c r="AM50" s="1834"/>
      <c r="AN50" s="1019" t="s">
        <v>1921</v>
      </c>
    </row>
    <row s="1448" customFormat="1" customHeight="1" ht="0">
      <c r="A51" s="1812"/>
      <c r="B51" s="429"/>
      <c r="C51" s="1812"/>
      <c r="D51" s="1812"/>
      <c r="E51" s="267">
        <v>15</v>
      </c>
      <c r="F51" s="50" cm="1" t="str">
        <f t="array" ref="F51:F51">OFFSET(E51,-1,1)</f>
        <v>1</v>
      </c>
      <c r="G51" s="158" t="s">
        <v>1922</v>
      </c>
      <c r="H51" s="126" t="s">
        <v>1660</v>
      </c>
      <c r="I51" s="1812"/>
      <c r="J51" s="483"/>
      <c r="K51" s="483" t="str">
        <f>F51&amp;"11komm"</f>
        <v>111komm</v>
      </c>
      <c r="L51" s="917" cm="1" t="str">
        <f t="array" ref="L51:L51">AK51</f>
        <v>0</v>
      </c>
      <c r="M51" s="1812"/>
      <c r="N51" s="1812"/>
      <c r="O51" s="1812"/>
      <c r="P51" s="1812"/>
      <c r="Q51" s="1812"/>
      <c r="R51" s="1812"/>
      <c r="S51" s="1812"/>
      <c r="T51" s="465" cm="1" t="str">
        <f t="array" ref="T51:T51">T50</f>
        <v>true</v>
      </c>
      <c r="U51" s="1812"/>
      <c r="V51" s="1812"/>
      <c r="W51" s="1812"/>
      <c r="X51" s="1543"/>
      <c r="Y51" s="1812"/>
      <c r="Z51" s="1565"/>
      <c r="AA51" s="1812"/>
      <c r="AB51" s="352" t="s">
        <v>1268</v>
      </c>
      <c r="AC51" s="214" t="s">
        <v>1923</v>
      </c>
      <c r="AD51" s="90" t="s">
        <v>1514</v>
      </c>
      <c r="AE51" s="229"/>
      <c r="AF51" s="229"/>
      <c r="AG51" s="229"/>
      <c r="AH51" s="229"/>
      <c r="AI51" s="229"/>
      <c r="AJ51" s="229"/>
      <c r="AK51" s="309"/>
      <c r="AL51" s="1812"/>
      <c r="AM51" s="1812"/>
      <c r="AN51" s="1030" t="s">
        <v>1924</v>
      </c>
    </row>
    <row s="1448" customFormat="1" customHeight="1" ht="0">
      <c r="A52" s="1812"/>
      <c r="B52" s="429"/>
      <c r="C52" s="1812"/>
      <c r="D52" s="1812"/>
      <c r="E52" s="267">
        <v>15</v>
      </c>
      <c r="F52" s="50" cm="1" t="str">
        <f t="array" ref="F52:F52">OFFSET(E52,-1,1)</f>
        <v>1</v>
      </c>
      <c r="G52" s="158" t="s">
        <v>1925</v>
      </c>
      <c r="H52" s="126" t="s">
        <v>1662</v>
      </c>
      <c r="I52" s="1812"/>
      <c r="J52" s="483"/>
      <c r="K52" s="483" t="str">
        <f>F52&amp;"12komm"</f>
        <v>112komm</v>
      </c>
      <c r="L52" s="917" cm="1" t="str">
        <f t="array" ref="L52:L52">AK52</f>
        <v>0</v>
      </c>
      <c r="M52" s="1812"/>
      <c r="N52" s="1812"/>
      <c r="O52" s="1812"/>
      <c r="P52" s="1812"/>
      <c r="Q52" s="1812"/>
      <c r="R52" s="1812"/>
      <c r="S52" s="1812"/>
      <c r="T52" s="465" cm="1" t="str">
        <f t="array" ref="T52:T52">T51</f>
        <v>true</v>
      </c>
      <c r="U52" s="1812"/>
      <c r="V52" s="1812"/>
      <c r="W52" s="1812"/>
      <c r="X52" s="1543"/>
      <c r="Y52" s="1812"/>
      <c r="Z52" s="1565"/>
      <c r="AA52" s="1812"/>
      <c r="AB52" s="352" t="s">
        <v>1480</v>
      </c>
      <c r="AC52" s="214" t="s">
        <v>1926</v>
      </c>
      <c r="AD52" s="90" t="s">
        <v>1514</v>
      </c>
      <c r="AE52" s="229"/>
      <c r="AF52" s="229"/>
      <c r="AG52" s="229"/>
      <c r="AH52" s="229"/>
      <c r="AI52" s="229"/>
      <c r="AJ52" s="229"/>
      <c r="AK52" s="309"/>
      <c r="AL52" s="1812"/>
      <c r="AM52" s="1812"/>
      <c r="AN52" s="1030" t="s">
        <v>1927</v>
      </c>
    </row>
    <row s="1448" customFormat="1" customHeight="1" ht="0">
      <c r="A53" s="1812"/>
      <c r="B53" s="429"/>
      <c r="C53" s="1812"/>
      <c r="D53" s="1812"/>
      <c r="E53" s="267">
        <v>15</v>
      </c>
      <c r="F53" s="50" cm="1" t="str">
        <f t="array" ref="F53:F53">OFFSET(E53,-1,1)</f>
        <v>1</v>
      </c>
      <c r="G53" s="158" t="s">
        <v>1928</v>
      </c>
      <c r="H53" s="126" t="s">
        <v>1664</v>
      </c>
      <c r="I53" s="1812"/>
      <c r="J53" s="483"/>
      <c r="K53" s="483" t="str">
        <f>F53&amp;"13komm"</f>
        <v>113komm</v>
      </c>
      <c r="L53" s="917" cm="1" t="str">
        <f t="array" ref="L53:L53">AK53</f>
        <v>0</v>
      </c>
      <c r="M53" s="1812"/>
      <c r="N53" s="1812"/>
      <c r="O53" s="1812"/>
      <c r="P53" s="1812"/>
      <c r="Q53" s="1812"/>
      <c r="R53" s="1812"/>
      <c r="S53" s="1812"/>
      <c r="T53" s="465" cm="1" t="str">
        <f t="array" ref="T53:T53">T52</f>
        <v>true</v>
      </c>
      <c r="U53" s="1812"/>
      <c r="V53" s="1812"/>
      <c r="W53" s="1812"/>
      <c r="X53" s="1543"/>
      <c r="Y53" s="1812"/>
      <c r="Z53" s="1565"/>
      <c r="AA53" s="1812"/>
      <c r="AB53" s="352" t="s">
        <v>1665</v>
      </c>
      <c r="AC53" s="214" t="s">
        <v>1929</v>
      </c>
      <c r="AD53" s="90" t="s">
        <v>1514</v>
      </c>
      <c r="AE53" s="229"/>
      <c r="AF53" s="229"/>
      <c r="AG53" s="229"/>
      <c r="AH53" s="229"/>
      <c r="AI53" s="229"/>
      <c r="AJ53" s="229"/>
      <c r="AK53" s="309"/>
      <c r="AL53" s="1812"/>
      <c r="AM53" s="1812"/>
      <c r="AN53" s="1030" t="s">
        <v>1930</v>
      </c>
    </row>
    <row s="1448" customFormat="1" customHeight="1" ht="0">
      <c r="A54" s="1812"/>
      <c r="B54" s="429"/>
      <c r="C54" s="1812"/>
      <c r="D54" s="1812"/>
      <c r="E54" s="267">
        <v>15</v>
      </c>
      <c r="F54" s="50" cm="1" t="str">
        <f t="array" ref="F54:F54">OFFSET(E54,-1,1)</f>
        <v>1</v>
      </c>
      <c r="G54" s="158" t="s">
        <v>1931</v>
      </c>
      <c r="H54" s="126" t="s">
        <v>1667</v>
      </c>
      <c r="I54" s="1812"/>
      <c r="J54" s="483"/>
      <c r="K54" s="483" t="str">
        <f>F54&amp;"14komm"</f>
        <v>114komm</v>
      </c>
      <c r="L54" s="917" cm="1" t="str">
        <f t="array" ref="L54:L54">AK54</f>
        <v>0</v>
      </c>
      <c r="M54" s="1812"/>
      <c r="N54" s="1812"/>
      <c r="O54" s="1812"/>
      <c r="P54" s="1812"/>
      <c r="Q54" s="1812"/>
      <c r="R54" s="1812"/>
      <c r="S54" s="1812"/>
      <c r="T54" s="465" cm="1" t="str">
        <f t="array" ref="T54:T54">T53</f>
        <v>true</v>
      </c>
      <c r="U54" s="1812"/>
      <c r="V54" s="1812"/>
      <c r="W54" s="1812"/>
      <c r="X54" s="1543"/>
      <c r="Y54" s="1812"/>
      <c r="Z54" s="1565"/>
      <c r="AA54" s="1812"/>
      <c r="AB54" s="352" t="s">
        <v>1668</v>
      </c>
      <c r="AC54" s="214" t="s">
        <v>1932</v>
      </c>
      <c r="AD54" s="90" t="s">
        <v>1514</v>
      </c>
      <c r="AE54" s="229"/>
      <c r="AF54" s="229"/>
      <c r="AG54" s="229"/>
      <c r="AH54" s="229"/>
      <c r="AI54" s="229"/>
      <c r="AJ54" s="229"/>
      <c r="AK54" s="309"/>
      <c r="AL54" s="1812"/>
      <c r="AM54" s="1812"/>
      <c r="AN54" s="1030" t="s">
        <v>1933</v>
      </c>
    </row>
    <row s="1448" customFormat="1" customHeight="1" ht="14.25">
      <c r="A55" s="1812"/>
      <c r="B55" s="429"/>
      <c r="C55" s="1812"/>
      <c r="D55" s="1812"/>
      <c r="E55" s="267">
        <v>15</v>
      </c>
      <c r="F55" s="50" cm="1" t="str">
        <f t="array" ref="F55:F55">OFFSET(E55,-1,1)</f>
        <v>1</v>
      </c>
      <c r="G55" s="158" t="s">
        <v>1934</v>
      </c>
      <c r="H55" s="126" t="s">
        <v>1935</v>
      </c>
      <c r="I55" s="1812"/>
      <c r="J55" s="483"/>
      <c r="K55" s="483" t="str">
        <f>F55&amp;"15komm"</f>
        <v>115komm</v>
      </c>
      <c r="L55" s="917" cm="1" t="str">
        <f t="array" ref="L55:L55">AK55</f>
        <v>по расчету организации, не превышает факт 2025 года предыдущей организации.</v>
      </c>
      <c r="M55" s="1812"/>
      <c r="N55" s="1812"/>
      <c r="O55" s="1812"/>
      <c r="P55" s="1812"/>
      <c r="Q55" s="1812"/>
      <c r="R55" s="1812"/>
      <c r="S55" s="1812"/>
      <c r="T55" s="465" cm="1" t="str">
        <f t="array" ref="T55:T55">T54</f>
        <v>true</v>
      </c>
      <c r="U55" s="1812"/>
      <c r="V55" s="1812"/>
      <c r="W55" s="1812"/>
      <c r="X55" s="1543"/>
      <c r="Y55" s="1812"/>
      <c r="Z55" s="1565"/>
      <c r="AA55" s="1812"/>
      <c r="AB55" s="352" t="s">
        <v>1936</v>
      </c>
      <c r="AC55" s="214" t="s">
        <v>1937</v>
      </c>
      <c r="AD55" s="90" t="s">
        <v>1514</v>
      </c>
      <c r="AE55" s="229"/>
      <c r="AF55" s="229"/>
      <c r="AG55" s="229"/>
      <c r="AH55" s="229"/>
      <c r="AI55" s="229">
        <v>29.92753029</v>
      </c>
      <c r="AJ55" s="229">
        <v>29.92753029</v>
      </c>
      <c r="AK55" s="309" t="s">
        <v>1968</v>
      </c>
      <c r="AL55" s="1812"/>
      <c r="AM55" s="1812"/>
      <c r="AN55" s="1030" t="s">
        <v>1938</v>
      </c>
    </row>
    <row s="1448" customFormat="1" customHeight="1" ht="201.75">
      <c r="A56" s="1812"/>
      <c r="B56" s="429"/>
      <c r="C56" s="1812"/>
      <c r="D56" s="1812"/>
      <c r="E56" s="267">
        <v>15</v>
      </c>
      <c r="F56" s="50" cm="1" t="str">
        <f t="array" ref="F56:F56">OFFSET(E56,-1,1)</f>
        <v>1</v>
      </c>
      <c r="G56" s="158" t="s">
        <v>1939</v>
      </c>
      <c r="H56" s="126" t="s">
        <v>1940</v>
      </c>
      <c r="I56" s="1812"/>
      <c r="J56" s="483"/>
      <c r="K56" s="483" t="str">
        <f>F56&amp;"16komm"</f>
        <v>116komm</v>
      </c>
      <c r="L56" s="917" cm="1" t="str">
        <f t="array" ref="L56:L56">AK56</f>
        <v>Учтены расходы:
1. По факту с января по май 2025 года в пересчете на годовые показатели, с применением ИПЦ Минэкономразвития России на 2026 год 105,1%:
- услуги сторонних организаций (автоуслуги) 20,83 т.р.;
- расходы на канцелярию 70,04 т.р.;
- прочие услуги 162,77 т.р.
- почтовые расходы, типография, обсл.оргтех. 108,56 т.р.;
2. Услуги по начисл. и сбору ВС и ВО 1590,89 т.р. по факту с июня 2024 года по май 2025 года, с применением ИЦП Минэкономразвития на 2025 год 109,0%, на 2026 год 105,1%.
3. Электроэнергия 679,52 т.р. по факту с июня 2024 года по май 2025 года, с применением ИЦП Минэкономразвития на 2025 год 114,4%, на 2026 год 113,2%;
4. Прочие расходы (спец.одежда, инструм., хозинвент., матер.на общехоз.и произв.нужды) 397,03 т.р. по факту с июня по декабрь 2024 года предыдущей организации в пересчете на годовые показатели, с применением ИПЦ Минэкономразвития на 2025 год 109,0%, на 2026 год 105,1%;
 5. По расчету организации не превышает факт 2025 предыдущей организации:
- ТБО 30,42 т.р.;
- объявления 10,00 т.р.</v>
      </c>
      <c r="M56" s="1812"/>
      <c r="N56" s="1812"/>
      <c r="O56" s="1812"/>
      <c r="P56" s="1812"/>
      <c r="Q56" s="1812"/>
      <c r="R56" s="1812"/>
      <c r="S56" s="1812"/>
      <c r="T56" s="465" cm="1" t="str">
        <f t="array" ref="T56:T56">T55</f>
        <v>true</v>
      </c>
      <c r="U56" s="1812"/>
      <c r="V56" s="1812"/>
      <c r="W56" s="1812"/>
      <c r="X56" s="1543"/>
      <c r="Y56" s="1812"/>
      <c r="Z56" s="1565"/>
      <c r="AA56" s="1812"/>
      <c r="AB56" s="352" t="s">
        <v>1941</v>
      </c>
      <c r="AC56" s="214" t="s">
        <v>1942</v>
      </c>
      <c r="AD56" s="90" t="s">
        <v>1514</v>
      </c>
      <c r="AE56" s="229"/>
      <c r="AF56" s="229"/>
      <c r="AG56" s="229"/>
      <c r="AH56" s="229"/>
      <c r="AI56" s="229">
        <v>3070.0587974</v>
      </c>
      <c r="AJ56" s="229">
        <f>3201.9486069-AJ50-AJ55</f>
        <v>3070.0587974</v>
      </c>
      <c r="AK56" s="309" t="s">
        <v>1969</v>
      </c>
      <c r="AL56" s="1812"/>
      <c r="AM56" s="1812"/>
      <c r="AN56" s="1030" t="s">
        <v>1943</v>
      </c>
    </row>
    <row s="1448" customFormat="1" customHeight="1" ht="0">
      <c r="A57" s="1812"/>
      <c r="B57" s="429"/>
      <c r="C57" s="1812"/>
      <c r="D57" s="1812"/>
      <c r="E57" s="267">
        <v>33.75</v>
      </c>
      <c r="F57" s="50" cm="1" t="str">
        <f t="array" ref="F57:F57">OFFSET(E57,-1,1)</f>
        <v>1</v>
      </c>
      <c r="G57" s="349" t="s">
        <v>1944</v>
      </c>
      <c r="H57" s="126" t="s">
        <v>336</v>
      </c>
      <c r="I57" s="1812"/>
      <c r="J57" s="483"/>
      <c r="K57" s="483" t="str">
        <f>F57&amp;"2komm"</f>
        <v>12komm</v>
      </c>
      <c r="L57" s="917" cm="1" t="str">
        <f t="array" ref="L57:L57">AK57</f>
        <v>0</v>
      </c>
      <c r="M57" s="1812"/>
      <c r="N57" s="1812"/>
      <c r="O57" s="1812"/>
      <c r="P57" s="1812"/>
      <c r="Q57" s="1812"/>
      <c r="R57" s="1812"/>
      <c r="S57" s="1812"/>
      <c r="T57" s="465" cm="1" t="str">
        <f t="array" ref="T57:T57">T56</f>
        <v>true</v>
      </c>
      <c r="U57" s="1812"/>
      <c r="V57" s="1812"/>
      <c r="W57" s="1812"/>
      <c r="X57" s="1543"/>
      <c r="Y57" s="1812"/>
      <c r="Z57" s="1565"/>
      <c r="AA57" s="1812"/>
      <c r="AB57" s="352" t="s">
        <v>295</v>
      </c>
      <c r="AC57" s="341" t="s">
        <v>1945</v>
      </c>
      <c r="AD57" s="90" t="s">
        <v>1514</v>
      </c>
      <c r="AE57" s="229"/>
      <c r="AF57" s="229"/>
      <c r="AG57" s="229"/>
      <c r="AH57" s="229"/>
      <c r="AI57" s="229"/>
      <c r="AJ57" s="229"/>
      <c r="AK57" s="309"/>
      <c r="AL57" s="1812"/>
      <c r="AM57" s="1812"/>
      <c r="AN57" s="1030" t="s">
        <v>1946</v>
      </c>
    </row>
    <row s="1448" customFormat="1" customHeight="1" ht="14.25">
      <c r="A58" s="1812"/>
      <c r="B58" s="429"/>
      <c r="C58" s="1812"/>
      <c r="D58" s="1812"/>
      <c r="E58" s="267">
        <v>15</v>
      </c>
      <c r="F58" s="50" cm="1" t="str">
        <f t="array" ref="F58:F58">OFFSET(E58,-1,1)</f>
        <v>1</v>
      </c>
      <c r="G58" s="349" t="s">
        <v>1947</v>
      </c>
      <c r="H58" s="126" t="s">
        <v>335</v>
      </c>
      <c r="I58" s="1812"/>
      <c r="J58" s="483"/>
      <c r="K58" s="483" t="str">
        <f>F58&amp;"3komm"</f>
        <v>13komm</v>
      </c>
      <c r="L58" s="917" cm="1" t="str">
        <f t="array" ref="L58:L58">AK58</f>
        <v>0</v>
      </c>
      <c r="M58" s="1812"/>
      <c r="N58" s="1812"/>
      <c r="O58" s="1812"/>
      <c r="P58" s="1812"/>
      <c r="Q58" s="1812"/>
      <c r="R58" s="1812"/>
      <c r="S58" s="1812"/>
      <c r="T58" s="465" cm="1" t="str">
        <f t="array" ref="T58:T58">T57</f>
        <v>true</v>
      </c>
      <c r="U58" s="1812"/>
      <c r="V58" s="1812"/>
      <c r="W58" s="1812"/>
      <c r="X58" s="1543"/>
      <c r="Y58" s="1812"/>
      <c r="Z58" s="1565"/>
      <c r="AA58" s="1812"/>
      <c r="AB58" s="352" t="s">
        <v>443</v>
      </c>
      <c r="AC58" s="341" t="s">
        <v>1948</v>
      </c>
      <c r="AD58" s="90" t="s">
        <v>1514</v>
      </c>
      <c r="AE58" s="229"/>
      <c r="AF58" s="229"/>
      <c r="AG58" s="229"/>
      <c r="AH58" s="229"/>
      <c r="AI58" s="229"/>
      <c r="AJ58" s="229"/>
      <c r="AK58" s="309"/>
      <c r="AL58" s="1812"/>
      <c r="AM58" s="1812"/>
      <c r="AN58" s="1030" t="s">
        <v>1949</v>
      </c>
    </row>
    <row s="1448" customFormat="1" customHeight="1" ht="33.75">
      <c r="A59" s="1812"/>
      <c r="B59" s="429"/>
      <c r="C59" s="1812"/>
      <c r="D59" s="1812"/>
      <c r="E59" s="267">
        <v>15</v>
      </c>
      <c r="F59" s="50" cm="1" t="str">
        <f t="array" ref="F59:F59">OFFSET(E59,-1,1)</f>
        <v>1</v>
      </c>
      <c r="G59" s="349" t="s">
        <v>1950</v>
      </c>
      <c r="H59" s="126" t="s">
        <v>1225</v>
      </c>
      <c r="I59" s="1812"/>
      <c r="J59" s="1812"/>
      <c r="K59" s="483" t="str">
        <f>F59&amp;"4komm"</f>
        <v>14komm</v>
      </c>
      <c r="L59" s="917" cm="1" t="str">
        <f t="array" ref="L59:L59">AK59</f>
        <v>по расчету организации, с периодичностью в соответствии с законодательством, стоимость принята по договорам предыдущей организации, с применением ИПЦ Минэкономразвития России на 2026 год 105,1%.</v>
      </c>
      <c r="M59" s="1812"/>
      <c r="N59" s="1812"/>
      <c r="O59" s="1812"/>
      <c r="P59" s="1812"/>
      <c r="Q59" s="1812"/>
      <c r="R59" s="1812"/>
      <c r="S59" s="1812"/>
      <c r="T59" s="465" cm="1" t="str">
        <f t="array" ref="T59:T59">T58</f>
        <v>true</v>
      </c>
      <c r="U59" s="1812"/>
      <c r="V59" s="1812"/>
      <c r="W59" s="1812"/>
      <c r="X59" s="1543"/>
      <c r="Y59" s="1812"/>
      <c r="Z59" s="1565"/>
      <c r="AA59" s="1812"/>
      <c r="AB59" s="352" t="s">
        <v>446</v>
      </c>
      <c r="AC59" s="341" t="s">
        <v>1951</v>
      </c>
      <c r="AD59" s="90" t="s">
        <v>1514</v>
      </c>
      <c r="AE59" s="229"/>
      <c r="AF59" s="229"/>
      <c r="AG59" s="229"/>
      <c r="AH59" s="229"/>
      <c r="AI59" s="229">
        <v>2.78055</v>
      </c>
      <c r="AJ59" s="229">
        <v>2.78055</v>
      </c>
      <c r="AK59" s="309" t="s">
        <v>1970</v>
      </c>
      <c r="AL59" s="1812"/>
      <c r="AM59" s="1812"/>
      <c r="AN59" s="1030" t="s">
        <v>1952</v>
      </c>
    </row>
    <row s="1448" customFormat="1" customHeight="1" ht="0">
      <c r="A60" s="1812"/>
      <c r="B60" s="429"/>
      <c r="C60" s="1812"/>
      <c r="D60" s="1812"/>
      <c r="E60" s="267">
        <v>15</v>
      </c>
      <c r="F60" s="50" cm="1" t="str">
        <f t="array" ref="F60:F60">OFFSET(E60,-1,1)</f>
        <v>1</v>
      </c>
      <c r="G60" s="349" t="s">
        <v>1953</v>
      </c>
      <c r="H60" s="126" t="s">
        <v>1228</v>
      </c>
      <c r="I60" s="1812"/>
      <c r="J60" s="1812"/>
      <c r="K60" s="483" t="str">
        <f>F60&amp;"5komm"</f>
        <v>15komm</v>
      </c>
      <c r="L60" s="917" cm="1" t="str">
        <f t="array" ref="L60:L60">AK60</f>
        <v>0</v>
      </c>
      <c r="M60" s="1812"/>
      <c r="N60" s="1812"/>
      <c r="O60" s="1812"/>
      <c r="P60" s="1812"/>
      <c r="Q60" s="1812"/>
      <c r="R60" s="1812"/>
      <c r="S60" s="1812"/>
      <c r="T60" s="465" cm="1" t="str">
        <f t="array" ref="T60:T60">T59</f>
        <v>true</v>
      </c>
      <c r="U60" s="1812"/>
      <c r="V60" s="1812"/>
      <c r="W60" s="1812"/>
      <c r="X60" s="1543"/>
      <c r="Y60" s="1812"/>
      <c r="Z60" s="1565"/>
      <c r="AA60" s="1812"/>
      <c r="AB60" s="352" t="s">
        <v>449</v>
      </c>
      <c r="AC60" s="341" t="s">
        <v>1954</v>
      </c>
      <c r="AD60" s="90" t="s">
        <v>1514</v>
      </c>
      <c r="AE60" s="229"/>
      <c r="AF60" s="229"/>
      <c r="AG60" s="229"/>
      <c r="AH60" s="229"/>
      <c r="AI60" s="229"/>
      <c r="AJ60" s="229"/>
      <c r="AK60" s="309"/>
      <c r="AL60" s="1812"/>
      <c r="AM60" s="1812"/>
      <c r="AN60" s="1030" t="s">
        <v>1955</v>
      </c>
    </row>
    <row s="1448" customFormat="1" customHeight="1" ht="0">
      <c r="A61" s="1812"/>
      <c r="B61" s="429"/>
      <c r="C61" s="1812"/>
      <c r="D61" s="1812"/>
      <c r="E61" s="267">
        <v>15</v>
      </c>
      <c r="F61" s="50" cm="1" t="str">
        <f t="array" ref="F61:F61">OFFSET(E61,-1,1)</f>
        <v>1</v>
      </c>
      <c r="G61" s="349" t="s">
        <v>1956</v>
      </c>
      <c r="H61" s="126" t="s">
        <v>1275</v>
      </c>
      <c r="I61" s="1812"/>
      <c r="J61" s="1812"/>
      <c r="K61" s="483" t="str">
        <f>F61&amp;"6komm"</f>
        <v>16komm</v>
      </c>
      <c r="L61" s="917" cm="1" t="str">
        <f t="array" ref="L61:L61">AK61</f>
        <v>0</v>
      </c>
      <c r="M61" s="1812"/>
      <c r="N61" s="1812"/>
      <c r="O61" s="1812"/>
      <c r="P61" s="1812"/>
      <c r="Q61" s="1812"/>
      <c r="R61" s="1812"/>
      <c r="S61" s="1812"/>
      <c r="T61" s="465" cm="1" t="str">
        <f t="array" ref="T61:T61">T60</f>
        <v>true</v>
      </c>
      <c r="U61" s="1812"/>
      <c r="V61" s="1812"/>
      <c r="W61" s="1812"/>
      <c r="X61" s="1543"/>
      <c r="Y61" s="1812"/>
      <c r="Z61" s="1565"/>
      <c r="AA61" s="1812"/>
      <c r="AB61" s="352" t="s">
        <v>452</v>
      </c>
      <c r="AC61" s="341" t="s">
        <v>1957</v>
      </c>
      <c r="AD61" s="90" t="s">
        <v>1514</v>
      </c>
      <c r="AE61" s="353">
        <f>SUM(AE62:AE64)</f>
        <v>0</v>
      </c>
      <c r="AF61" s="353">
        <f>SUM(AF62:AF64)</f>
        <v>0</v>
      </c>
      <c r="AG61" s="353">
        <f>SUM(AG62:AG64)</f>
        <v>0</v>
      </c>
      <c r="AH61" s="353">
        <f>SUM(AH62:AH64)</f>
        <v>0</v>
      </c>
      <c r="AI61" s="353">
        <f>SUM(AI62:AI64)</f>
        <v>0</v>
      </c>
      <c r="AJ61" s="353">
        <f>SUM(AJ62:AJ64)</f>
        <v>0</v>
      </c>
      <c r="AK61" s="309"/>
      <c r="AL61" s="1812"/>
      <c r="AM61" s="1812"/>
      <c r="AN61" s="1030" t="s">
        <v>396</v>
      </c>
    </row>
    <row s="1448" customFormat="1" customHeight="1" ht="0">
      <c r="A62" s="1812"/>
      <c r="B62" s="429"/>
      <c r="C62" s="1812"/>
      <c r="D62" s="1812"/>
      <c r="E62" s="267">
        <v>15</v>
      </c>
      <c r="F62" s="50" cm="1" t="str">
        <f t="array" ref="F62:F62">OFFSET(E62,-1,1)</f>
        <v>1</v>
      </c>
      <c r="G62" s="349" t="s">
        <v>1958</v>
      </c>
      <c r="H62" s="126" t="s">
        <v>1278</v>
      </c>
      <c r="I62" s="1812"/>
      <c r="J62" s="1812"/>
      <c r="K62" s="483" t="str">
        <f>F62&amp;"7komm"</f>
        <v>17komm</v>
      </c>
      <c r="L62" s="917" cm="1" t="str">
        <f t="array" ref="L62:L62">AK62</f>
        <v>0</v>
      </c>
      <c r="M62" s="1812"/>
      <c r="N62" s="1812"/>
      <c r="O62" s="1812"/>
      <c r="P62" s="1812"/>
      <c r="Q62" s="1812"/>
      <c r="R62" s="1812"/>
      <c r="S62" s="1812"/>
      <c r="T62" s="465" cm="1" t="str">
        <f t="array" ref="T62:T62">T61</f>
        <v>true</v>
      </c>
      <c r="U62" s="1812"/>
      <c r="V62" s="1812"/>
      <c r="W62" s="1812"/>
      <c r="X62" s="1543"/>
      <c r="Y62" s="1812"/>
      <c r="Z62" s="1565"/>
      <c r="AA62" s="1812"/>
      <c r="AB62" s="352" t="s">
        <v>1301</v>
      </c>
      <c r="AC62" s="214" t="s">
        <v>1959</v>
      </c>
      <c r="AD62" s="90" t="s">
        <v>1514</v>
      </c>
      <c r="AE62" s="229"/>
      <c r="AF62" s="229"/>
      <c r="AG62" s="229"/>
      <c r="AH62" s="229"/>
      <c r="AI62" s="229"/>
      <c r="AJ62" s="229"/>
      <c r="AK62" s="309"/>
      <c r="AL62" s="1812"/>
      <c r="AM62" s="1812"/>
      <c r="AN62" s="1030" t="s">
        <v>1960</v>
      </c>
    </row>
    <row s="1448" customFormat="1" customHeight="1" ht="0">
      <c r="A63" s="1812"/>
      <c r="B63" s="429"/>
      <c r="C63" s="1812"/>
      <c r="D63" s="1812"/>
      <c r="E63" s="267">
        <v>45</v>
      </c>
      <c r="F63" s="50" cm="1" t="str">
        <f t="array" ref="F63:F63">OFFSET(E63,-1,1)</f>
        <v>1</v>
      </c>
      <c r="G63" s="349" t="s">
        <v>1961</v>
      </c>
      <c r="H63" s="126" t="s">
        <v>1282</v>
      </c>
      <c r="I63" s="1812"/>
      <c r="J63" s="1812"/>
      <c r="K63" s="483" t="str">
        <f>F63&amp;"8komm"</f>
        <v>18komm</v>
      </c>
      <c r="L63" s="917" cm="1" t="str">
        <f t="array" ref="L63:L63">AK63</f>
        <v>0</v>
      </c>
      <c r="M63" s="1812"/>
      <c r="N63" s="1812"/>
      <c r="O63" s="1812"/>
      <c r="P63" s="1812"/>
      <c r="Q63" s="1812"/>
      <c r="R63" s="1812"/>
      <c r="S63" s="1812"/>
      <c r="T63" s="465" cm="1" t="str">
        <f t="array" ref="T63:T63">T62</f>
        <v>true</v>
      </c>
      <c r="U63" s="1812"/>
      <c r="V63" s="1812"/>
      <c r="W63" s="1812"/>
      <c r="X63" s="1543"/>
      <c r="Y63" s="1812"/>
      <c r="Z63" s="1565"/>
      <c r="AA63" s="1812"/>
      <c r="AB63" s="352" t="s">
        <v>1318</v>
      </c>
      <c r="AC63" s="762" t="s">
        <v>1962</v>
      </c>
      <c r="AD63" s="90" t="s">
        <v>1514</v>
      </c>
      <c r="AE63" s="229"/>
      <c r="AF63" s="229"/>
      <c r="AG63" s="229"/>
      <c r="AH63" s="229"/>
      <c r="AI63" s="229"/>
      <c r="AJ63" s="229"/>
      <c r="AK63" s="309"/>
      <c r="AL63" s="1812"/>
      <c r="AM63" s="1812"/>
      <c r="AN63" s="1030" t="s">
        <v>1963</v>
      </c>
    </row>
    <row s="1448" customFormat="1" customHeight="1" ht="0">
      <c r="A64" s="1812"/>
      <c r="B64" s="429"/>
      <c r="C64" s="1812"/>
      <c r="D64" s="1812"/>
      <c r="E64" s="267">
        <v>15</v>
      </c>
      <c r="F64" s="50" cm="1" t="str">
        <f t="array" ref="F64:F64">OFFSET(E64,-1,1)</f>
        <v>1</v>
      </c>
      <c r="G64" s="158" t="s">
        <v>1964</v>
      </c>
      <c r="H64" s="126" t="s">
        <v>1286</v>
      </c>
      <c r="I64" s="1812"/>
      <c r="J64" s="1812"/>
      <c r="K64" s="483" t="str">
        <f>F64&amp;"9komm"</f>
        <v>19komm</v>
      </c>
      <c r="L64" s="917" cm="1" t="str">
        <f t="array" ref="L64:L64">AK64</f>
        <v>0</v>
      </c>
      <c r="M64" s="1812"/>
      <c r="N64" s="1812"/>
      <c r="O64" s="1812"/>
      <c r="P64" s="1812"/>
      <c r="Q64" s="1812"/>
      <c r="R64" s="1812"/>
      <c r="S64" s="1812"/>
      <c r="T64" s="465" cm="1" t="str">
        <f t="array" ref="T64:T64">T63</f>
        <v>true</v>
      </c>
      <c r="U64" s="1812"/>
      <c r="V64" s="1812"/>
      <c r="W64" s="1812"/>
      <c r="X64" s="1543"/>
      <c r="Y64" s="1812"/>
      <c r="Z64" s="1565"/>
      <c r="AA64" s="1812"/>
      <c r="AB64" s="352" t="s">
        <v>1330</v>
      </c>
      <c r="AC64" s="214" t="s">
        <v>1965</v>
      </c>
      <c r="AD64" s="90" t="s">
        <v>1514</v>
      </c>
      <c r="AE64" s="229"/>
      <c r="AF64" s="229"/>
      <c r="AG64" s="229"/>
      <c r="AH64" s="229"/>
      <c r="AI64" s="1352"/>
      <c r="AJ64" s="1352"/>
      <c r="AK64" s="309"/>
      <c r="AL64" s="1812"/>
      <c r="AM64" s="1812"/>
      <c r="AN64" s="1030" t="s">
        <v>1966</v>
      </c>
    </row>
    <row s="1834" customFormat="1" customHeight="1" ht="10.5">
      <c r="A65" s="1304"/>
      <c r="B65" s="1436"/>
      <c r="C65" s="146"/>
      <c r="D65" s="146"/>
      <c r="E65" s="267">
        <v>11.25</v>
      </c>
      <c r="F65" s="98" cm="1" t="str">
        <f t="array" ref="F65:F65">X65</f>
        <v>2</v>
      </c>
      <c r="G65" s="146"/>
      <c r="H65" s="146"/>
      <c r="I65" s="146"/>
      <c r="J65" s="146"/>
      <c r="K65" s="146"/>
      <c r="L65" s="146"/>
      <c r="M65" s="146"/>
      <c r="N65" s="146"/>
      <c r="O65" s="146"/>
      <c r="P65" s="146"/>
      <c r="Q65" s="146"/>
      <c r="R65" s="146"/>
      <c r="S65" s="146"/>
      <c r="T65" s="465">
        <f>X65&gt;0</f>
        <v>1</v>
      </c>
      <c r="U65" s="146"/>
      <c r="V65" s="146" cm="1" t="str">
        <f t="array" ref="V65:V65">ФОТ!$AB$86</f>
        <v>Тариф 2 (Водоснабжение) - тариф на питьевую воду (Доп. признак не требуется)</v>
      </c>
      <c r="W65" s="146"/>
      <c r="X65" s="1543" t="s">
        <v>285</v>
      </c>
      <c r="Y65" s="146"/>
      <c r="Z65" s="1565"/>
      <c r="AA65" s="146"/>
      <c r="AB65" s="242" cm="1" t="str">
        <f t="array" ref="AB65:AB65">ФОТ!$AB$86</f>
        <v>Тариф 2 (Водоснабжение) - тариф на питьевую воду (Доп. признак не требуется)</v>
      </c>
      <c r="AC65" s="180"/>
      <c r="AD65" s="180"/>
      <c r="AE65" s="306">
        <f>AE66+AE67+AE68+AE76+AE77+AE78+AE79+AE80</f>
        <v>0</v>
      </c>
      <c r="AF65" s="306">
        <f>AF66+AF67+AF68+AF76+AF77+AF78+AF79+AF80</f>
        <v>0</v>
      </c>
      <c r="AG65" s="306">
        <f>AG66+AG67+AG68+AG76+AG77+AG78+AG79+AG80</f>
        <v>0</v>
      </c>
      <c r="AH65" s="306">
        <f>AH66+AH67+AH68+AH76+AH77+AH78+AH79+AH80</f>
        <v>0</v>
      </c>
      <c r="AI65" s="306">
        <f>AI66+AI67+AI68+AI76+AI77+AI78+AI79+AI80</f>
        <v>7744.9963238152</v>
      </c>
      <c r="AJ65" s="306">
        <f>AJ66+AJ67+AJ68+AJ76+AJ77+AJ78+AJ79+AJ80</f>
        <v>7744.9963238152</v>
      </c>
      <c r="AK65" s="174"/>
      <c r="AL65" s="146"/>
      <c r="AM65" s="1304"/>
      <c r="AN65" s="1306"/>
    </row>
    <row s="1834" customFormat="1" customHeight="1" ht="21.75">
      <c r="A66" s="1304"/>
      <c r="B66" s="1436"/>
      <c r="C66" s="146"/>
      <c r="D66" s="146"/>
      <c r="E66" s="267">
        <v>22.5</v>
      </c>
      <c r="F66" s="50" cm="1" t="str">
        <f t="array" ref="F66:F66">OFFSET(E66,-1,1)</f>
        <v>2</v>
      </c>
      <c r="G66" s="146"/>
      <c r="H66" s="126" t="s">
        <v>332</v>
      </c>
      <c r="I66" s="146"/>
      <c r="J66" s="146"/>
      <c r="K66" s="146"/>
      <c r="L66" s="146"/>
      <c r="M66" s="146"/>
      <c r="N66" s="146"/>
      <c r="O66" s="146"/>
      <c r="P66" s="146"/>
      <c r="Q66" s="146"/>
      <c r="R66" s="146"/>
      <c r="S66" s="146"/>
      <c r="T66" s="465" cm="1" t="str">
        <f t="array" ref="T66:T66">T65</f>
        <v>true</v>
      </c>
      <c r="U66" s="146"/>
      <c r="V66" s="146"/>
      <c r="W66" s="146"/>
      <c r="X66" s="1543"/>
      <c r="Y66" s="146"/>
      <c r="Z66" s="1565"/>
      <c r="AA66" s="146"/>
      <c r="AB66" s="352">
        <v>1</v>
      </c>
      <c r="AC66" s="341" t="s">
        <v>1890</v>
      </c>
      <c r="AD66" s="90" t="s">
        <v>1514</v>
      </c>
      <c r="AE66" s="892">
        <f>_xlfn.SUMIFS(ФОТ!AE$25:AE$188,ФОТ!$F$25:$F$188,$F66,ФОТ!$AC$25:$AC$188,$AC66)</f>
        <v>0</v>
      </c>
      <c r="AF66" s="892">
        <f>_xlfn.SUMIFS(ФОТ!AF$25:AF$188,ФОТ!$F$25:$F$188,$F66,ФОТ!$AC$25:$AC$188,$AC66)</f>
        <v>0</v>
      </c>
      <c r="AG66" s="892">
        <f>_xlfn.SUMIFS(ФОТ!AG$25:AG$188,ФОТ!$F$25:$F$188,$F66,ФОТ!$AC$25:$AC$188,$AC66)</f>
        <v>0</v>
      </c>
      <c r="AH66" s="892">
        <f>_xlfn.SUMIFS(ФОТ!AH$25:AH$188,ФОТ!$F$25:$F$188,$F66,ФОТ!$AC$25:$AC$188,$AC66)</f>
        <v>0</v>
      </c>
      <c r="AI66" s="892">
        <f>_xlfn.SUMIFS(ФОТ!AI$25:AI$188,ФОТ!$F$25:$F$188,$F66,ФОТ!$AC$25:$AC$188,$AC66)</f>
        <v>4882.1264676</v>
      </c>
      <c r="AJ66" s="892">
        <f>_xlfn.SUMIFS(ФОТ!AJ$25:AJ$188,ФОТ!$F$25:$F$188,$F66,ФОТ!$AC$25:$AC$188,$AC66)</f>
        <v>4882.1264676</v>
      </c>
      <c r="AK66" s="309"/>
      <c r="AL66" s="146"/>
      <c r="AM66" s="1304"/>
      <c r="AN66" s="1015" t="s">
        <v>1915</v>
      </c>
    </row>
    <row s="1834" customFormat="1" customHeight="1" ht="21.75">
      <c r="A67" s="1304"/>
      <c r="B67" s="1436"/>
      <c r="C67" s="146"/>
      <c r="D67" s="146"/>
      <c r="E67" s="267">
        <v>22.5</v>
      </c>
      <c r="F67" s="50" cm="1" t="str">
        <f t="array" ref="F67:F67">OFFSET(E67,-1,1)</f>
        <v>2</v>
      </c>
      <c r="G67" s="146"/>
      <c r="H67" s="126" t="s">
        <v>333</v>
      </c>
      <c r="I67" s="146"/>
      <c r="J67" s="483"/>
      <c r="K67" s="483"/>
      <c r="L67" s="483"/>
      <c r="M67" s="146"/>
      <c r="N67" s="146"/>
      <c r="O67" s="146"/>
      <c r="P67" s="146"/>
      <c r="Q67" s="146"/>
      <c r="R67" s="146"/>
      <c r="S67" s="146"/>
      <c r="T67" s="465" cm="1" t="str">
        <f t="array" ref="T67:T67">T66</f>
        <v>true</v>
      </c>
      <c r="U67" s="146"/>
      <c r="V67" s="146"/>
      <c r="W67" s="146"/>
      <c r="X67" s="1543"/>
      <c r="Y67" s="146"/>
      <c r="Z67" s="1565"/>
      <c r="AA67" s="146"/>
      <c r="AB67" s="352" t="s">
        <v>285</v>
      </c>
      <c r="AC67" s="341" t="s">
        <v>1895</v>
      </c>
      <c r="AD67" s="90" t="s">
        <v>1514</v>
      </c>
      <c r="AE67" s="892">
        <f>_xlfn.SUMIFS(ФОТ!AE$25:AE$188,ФОТ!$F$25:$F$188,$F67,ФОТ!$AC$25:$AC$188,$AC67)</f>
        <v>0</v>
      </c>
      <c r="AF67" s="892">
        <f>_xlfn.SUMIFS(ФОТ!AF$25:AF$188,ФОТ!$F$25:$F$188,$F67,ФОТ!$AC$25:$AC$188,$AC67)</f>
        <v>0</v>
      </c>
      <c r="AG67" s="892">
        <f>_xlfn.SUMIFS(ФОТ!AG$25:AG$188,ФОТ!$F$25:$F$188,$F67,ФОТ!$AC$25:$AC$188,$AC67)</f>
        <v>0</v>
      </c>
      <c r="AH67" s="892">
        <f>_xlfn.SUMIFS(ФОТ!AH$25:AH$188,ФОТ!$F$25:$F$188,$F67,ФОТ!$AC$25:$AC$188,$AC67)</f>
        <v>0</v>
      </c>
      <c r="AI67" s="892">
        <f>_xlfn.SUMIFS(ФОТ!AI$25:AI$188,ФОТ!$F$25:$F$188,$F67,ФОТ!$AC$25:$AC$188,$AC67)</f>
        <v>1474.4021932152</v>
      </c>
      <c r="AJ67" s="892">
        <f>_xlfn.SUMIFS(ФОТ!AJ$25:AJ$188,ФОТ!$F$25:$F$188,$F67,ФОТ!$AC$25:$AC$188,$AC67)</f>
        <v>1474.4021932152</v>
      </c>
      <c r="AK67" s="309"/>
      <c r="AL67" s="146"/>
      <c r="AM67" s="1304"/>
      <c r="AN67" s="1015" t="s">
        <v>1896</v>
      </c>
    </row>
    <row s="1834" customFormat="1" customHeight="1" ht="32.25">
      <c r="A68" s="1304"/>
      <c r="B68" s="1436"/>
      <c r="C68" s="146"/>
      <c r="D68" s="146"/>
      <c r="E68" s="267">
        <v>33.75</v>
      </c>
      <c r="F68" s="50" cm="1" t="str">
        <f t="array" ref="F68:F68">OFFSET(E68,-1,1)</f>
        <v>2</v>
      </c>
      <c r="G68" s="349" t="s">
        <v>1916</v>
      </c>
      <c r="H68" s="126" t="s">
        <v>334</v>
      </c>
      <c r="I68" s="146"/>
      <c r="J68" s="483"/>
      <c r="K68" s="483" t="str">
        <f>F68&amp;"17komm"</f>
        <v>217komm</v>
      </c>
      <c r="L68" s="917" cm="1" t="str">
        <f t="array" ref="L68:L68">AK68</f>
        <v>Учтены расходы по выданным долгосрочным параметрам и соответствуют предложению организации.</v>
      </c>
      <c r="M68" s="146"/>
      <c r="N68" s="146"/>
      <c r="O68" s="146"/>
      <c r="P68" s="146"/>
      <c r="Q68" s="146"/>
      <c r="R68" s="146"/>
      <c r="S68" s="146"/>
      <c r="T68" s="465" cm="1" t="str">
        <f t="array" ref="T68:T68">T67</f>
        <v>true</v>
      </c>
      <c r="U68" s="146"/>
      <c r="V68" s="146"/>
      <c r="W68" s="146"/>
      <c r="X68" s="1543"/>
      <c r="Y68" s="146"/>
      <c r="Z68" s="1565"/>
      <c r="AA68" s="146"/>
      <c r="AB68" s="352" t="s">
        <v>289</v>
      </c>
      <c r="AC68" s="341" t="s">
        <v>1917</v>
      </c>
      <c r="AD68" s="90" t="s">
        <v>1514</v>
      </c>
      <c r="AE68" s="238">
        <f>SUM(AE69:AE75)</f>
        <v>0</v>
      </c>
      <c r="AF68" s="238">
        <f>SUM(AF69:AF75)</f>
        <v>0</v>
      </c>
      <c r="AG68" s="238">
        <f>SUM(AG69:AG75)</f>
        <v>0</v>
      </c>
      <c r="AH68" s="238">
        <f>SUM(AH69:AH75)</f>
        <v>0</v>
      </c>
      <c r="AI68" s="238">
        <f>SUM(AI69:AI75)</f>
        <v>1383.777938</v>
      </c>
      <c r="AJ68" s="238">
        <f>SUM(AJ69:AJ75)</f>
        <v>1383.777938</v>
      </c>
      <c r="AK68" s="309" t="s">
        <v>1967</v>
      </c>
      <c r="AL68" s="146"/>
      <c r="AM68" s="1304"/>
      <c r="AN68" s="1015" t="s">
        <v>1918</v>
      </c>
    </row>
    <row s="1834" customFormat="1" customHeight="1" ht="23.25">
      <c r="A69" s="1834"/>
      <c r="B69" s="430"/>
      <c r="C69" s="146"/>
      <c r="D69" s="146"/>
      <c r="E69" s="267">
        <v>15</v>
      </c>
      <c r="F69" s="1175" cm="1" t="str">
        <f t="array" ref="F69:F69">OFFSET(E69,-1,1)</f>
        <v>2</v>
      </c>
      <c r="G69" s="158" t="s">
        <v>1919</v>
      </c>
      <c r="H69" s="126" t="s">
        <v>1658</v>
      </c>
      <c r="I69" s="146"/>
      <c r="J69" s="483"/>
      <c r="K69" s="483" t="str">
        <f>F69&amp;"18komm"</f>
        <v>218komm</v>
      </c>
      <c r="L69" s="917" cm="1" t="str">
        <f t="array" ref="L69:L69">AK69</f>
        <v>рассчитано по факту с января по май 2025 года предыдущей организации в пересчете на годовые показатели, с применением ИПЦ Минэкономразвития России на 2026 год 105,1%.</v>
      </c>
      <c r="M69" s="146"/>
      <c r="N69" s="146"/>
      <c r="O69" s="146"/>
      <c r="P69" s="146"/>
      <c r="Q69" s="146"/>
      <c r="R69" s="146"/>
      <c r="S69" s="146"/>
      <c r="T69" s="465" cm="1" t="str">
        <f t="array" ref="T69:T69">T68</f>
        <v>true</v>
      </c>
      <c r="U69" s="146"/>
      <c r="V69" s="146"/>
      <c r="W69" s="146"/>
      <c r="X69" s="1543"/>
      <c r="Y69" s="146"/>
      <c r="Z69" s="1565"/>
      <c r="AA69" s="146"/>
      <c r="AB69" s="352" t="s">
        <v>1264</v>
      </c>
      <c r="AC69" s="214" t="s">
        <v>1920</v>
      </c>
      <c r="AD69" s="90" t="s">
        <v>1514</v>
      </c>
      <c r="AE69" s="229"/>
      <c r="AF69" s="229"/>
      <c r="AG69" s="229"/>
      <c r="AH69" s="229"/>
      <c r="AI69" s="229">
        <v>17.622268</v>
      </c>
      <c r="AJ69" s="229">
        <v>17.622268</v>
      </c>
      <c r="AK69" s="309" t="s">
        <v>1971</v>
      </c>
      <c r="AL69" s="146"/>
      <c r="AM69" s="1834"/>
      <c r="AN69" s="1019" t="s">
        <v>1921</v>
      </c>
    </row>
    <row s="1448" customFormat="1" customHeight="1" ht="0">
      <c r="A70" s="1812"/>
      <c r="B70" s="429"/>
      <c r="C70" s="1812"/>
      <c r="D70" s="1812"/>
      <c r="E70" s="267">
        <v>15</v>
      </c>
      <c r="F70" s="50" cm="1" t="str">
        <f t="array" ref="F70:F70">OFFSET(E70,-1,1)</f>
        <v>2</v>
      </c>
      <c r="G70" s="158" t="s">
        <v>1922</v>
      </c>
      <c r="H70" s="126" t="s">
        <v>1660</v>
      </c>
      <c r="I70" s="1812"/>
      <c r="J70" s="483"/>
      <c r="K70" s="483" t="str">
        <f>F70&amp;"11komm"</f>
        <v>211komm</v>
      </c>
      <c r="L70" s="917" cm="1" t="str">
        <f t="array" ref="L70:L70">AK70</f>
        <v>0</v>
      </c>
      <c r="M70" s="1812"/>
      <c r="N70" s="1812"/>
      <c r="O70" s="1812"/>
      <c r="P70" s="1812"/>
      <c r="Q70" s="1812"/>
      <c r="R70" s="1812"/>
      <c r="S70" s="1812"/>
      <c r="T70" s="465" cm="1" t="str">
        <f t="array" ref="T70:T70">T69</f>
        <v>true</v>
      </c>
      <c r="U70" s="1812"/>
      <c r="V70" s="1812"/>
      <c r="W70" s="1812"/>
      <c r="X70" s="1543"/>
      <c r="Y70" s="1812"/>
      <c r="Z70" s="1565"/>
      <c r="AA70" s="1812"/>
      <c r="AB70" s="352" t="s">
        <v>1268</v>
      </c>
      <c r="AC70" s="214" t="s">
        <v>1923</v>
      </c>
      <c r="AD70" s="90" t="s">
        <v>1514</v>
      </c>
      <c r="AE70" s="229"/>
      <c r="AF70" s="229"/>
      <c r="AG70" s="229"/>
      <c r="AH70" s="229"/>
      <c r="AI70" s="229"/>
      <c r="AJ70" s="229"/>
      <c r="AK70" s="309"/>
      <c r="AL70" s="1812"/>
      <c r="AM70" s="1812"/>
      <c r="AN70" s="1030" t="s">
        <v>1924</v>
      </c>
    </row>
    <row s="1448" customFormat="1" customHeight="1" ht="0">
      <c r="A71" s="1812"/>
      <c r="B71" s="429"/>
      <c r="C71" s="1812"/>
      <c r="D71" s="1812"/>
      <c r="E71" s="267">
        <v>15</v>
      </c>
      <c r="F71" s="50" cm="1" t="str">
        <f t="array" ref="F71:F71">OFFSET(E71,-1,1)</f>
        <v>2</v>
      </c>
      <c r="G71" s="158" t="s">
        <v>1925</v>
      </c>
      <c r="H71" s="126" t="s">
        <v>1662</v>
      </c>
      <c r="I71" s="1812"/>
      <c r="J71" s="483"/>
      <c r="K71" s="483" t="str">
        <f>F71&amp;"12komm"</f>
        <v>212komm</v>
      </c>
      <c r="L71" s="917" cm="1" t="str">
        <f t="array" ref="L71:L71">AK71</f>
        <v>0</v>
      </c>
      <c r="M71" s="1812"/>
      <c r="N71" s="1812"/>
      <c r="O71" s="1812"/>
      <c r="P71" s="1812"/>
      <c r="Q71" s="1812"/>
      <c r="R71" s="1812"/>
      <c r="S71" s="1812"/>
      <c r="T71" s="465" cm="1" t="str">
        <f t="array" ref="T71:T71">T70</f>
        <v>true</v>
      </c>
      <c r="U71" s="1812"/>
      <c r="V71" s="1812"/>
      <c r="W71" s="1812"/>
      <c r="X71" s="1543"/>
      <c r="Y71" s="1812"/>
      <c r="Z71" s="1565"/>
      <c r="AA71" s="1812"/>
      <c r="AB71" s="352" t="s">
        <v>1480</v>
      </c>
      <c r="AC71" s="214" t="s">
        <v>1926</v>
      </c>
      <c r="AD71" s="90" t="s">
        <v>1514</v>
      </c>
      <c r="AE71" s="229"/>
      <c r="AF71" s="229"/>
      <c r="AG71" s="229"/>
      <c r="AH71" s="229"/>
      <c r="AI71" s="229"/>
      <c r="AJ71" s="229"/>
      <c r="AK71" s="309"/>
      <c r="AL71" s="1812"/>
      <c r="AM71" s="1812"/>
      <c r="AN71" s="1030" t="s">
        <v>1927</v>
      </c>
    </row>
    <row s="1448" customFormat="1" customHeight="1" ht="0">
      <c r="A72" s="1812"/>
      <c r="B72" s="429"/>
      <c r="C72" s="1812"/>
      <c r="D72" s="1812"/>
      <c r="E72" s="267">
        <v>15</v>
      </c>
      <c r="F72" s="50" cm="1" t="str">
        <f t="array" ref="F72:F72">OFFSET(E72,-1,1)</f>
        <v>2</v>
      </c>
      <c r="G72" s="158" t="s">
        <v>1928</v>
      </c>
      <c r="H72" s="126" t="s">
        <v>1664</v>
      </c>
      <c r="I72" s="1812"/>
      <c r="J72" s="483"/>
      <c r="K72" s="483" t="str">
        <f>F72&amp;"13komm"</f>
        <v>213komm</v>
      </c>
      <c r="L72" s="917" cm="1" t="str">
        <f t="array" ref="L72:L72">AK72</f>
        <v>0</v>
      </c>
      <c r="M72" s="1812"/>
      <c r="N72" s="1812"/>
      <c r="O72" s="1812"/>
      <c r="P72" s="1812"/>
      <c r="Q72" s="1812"/>
      <c r="R72" s="1812"/>
      <c r="S72" s="1812"/>
      <c r="T72" s="465" cm="1" t="str">
        <f t="array" ref="T72:T72">T71</f>
        <v>true</v>
      </c>
      <c r="U72" s="1812"/>
      <c r="V72" s="1812"/>
      <c r="W72" s="1812"/>
      <c r="X72" s="1543"/>
      <c r="Y72" s="1812"/>
      <c r="Z72" s="1565"/>
      <c r="AA72" s="1812"/>
      <c r="AB72" s="352" t="s">
        <v>1665</v>
      </c>
      <c r="AC72" s="214" t="s">
        <v>1929</v>
      </c>
      <c r="AD72" s="90" t="s">
        <v>1514</v>
      </c>
      <c r="AE72" s="229"/>
      <c r="AF72" s="229"/>
      <c r="AG72" s="229"/>
      <c r="AH72" s="229"/>
      <c r="AI72" s="229"/>
      <c r="AJ72" s="229"/>
      <c r="AK72" s="309"/>
      <c r="AL72" s="1812"/>
      <c r="AM72" s="1812"/>
      <c r="AN72" s="1030" t="s">
        <v>1930</v>
      </c>
    </row>
    <row s="1448" customFormat="1" customHeight="1" ht="0">
      <c r="A73" s="1812"/>
      <c r="B73" s="429"/>
      <c r="C73" s="1812"/>
      <c r="D73" s="1812"/>
      <c r="E73" s="267">
        <v>15</v>
      </c>
      <c r="F73" s="50" cm="1" t="str">
        <f t="array" ref="F73:F73">OFFSET(E73,-1,1)</f>
        <v>2</v>
      </c>
      <c r="G73" s="158" t="s">
        <v>1931</v>
      </c>
      <c r="H73" s="126" t="s">
        <v>1667</v>
      </c>
      <c r="I73" s="1812"/>
      <c r="J73" s="483"/>
      <c r="K73" s="483" t="str">
        <f>F73&amp;"14komm"</f>
        <v>214komm</v>
      </c>
      <c r="L73" s="917" cm="1" t="str">
        <f t="array" ref="L73:L73">AK73</f>
        <v>0</v>
      </c>
      <c r="M73" s="1812"/>
      <c r="N73" s="1812"/>
      <c r="O73" s="1812"/>
      <c r="P73" s="1812"/>
      <c r="Q73" s="1812"/>
      <c r="R73" s="1812"/>
      <c r="S73" s="1812"/>
      <c r="T73" s="465" cm="1" t="str">
        <f t="array" ref="T73:T73">T72</f>
        <v>true</v>
      </c>
      <c r="U73" s="1812"/>
      <c r="V73" s="1812"/>
      <c r="W73" s="1812"/>
      <c r="X73" s="1543"/>
      <c r="Y73" s="1812"/>
      <c r="Z73" s="1565"/>
      <c r="AA73" s="1812"/>
      <c r="AB73" s="352" t="s">
        <v>1668</v>
      </c>
      <c r="AC73" s="214" t="s">
        <v>1932</v>
      </c>
      <c r="AD73" s="90" t="s">
        <v>1514</v>
      </c>
      <c r="AE73" s="229"/>
      <c r="AF73" s="229"/>
      <c r="AG73" s="229"/>
      <c r="AH73" s="229"/>
      <c r="AI73" s="229"/>
      <c r="AJ73" s="229"/>
      <c r="AK73" s="309"/>
      <c r="AL73" s="1812"/>
      <c r="AM73" s="1812"/>
      <c r="AN73" s="1030" t="s">
        <v>1933</v>
      </c>
    </row>
    <row s="1448" customFormat="1" customHeight="1" ht="14.25">
      <c r="A74" s="1812"/>
      <c r="B74" s="429"/>
      <c r="C74" s="1812"/>
      <c r="D74" s="1812"/>
      <c r="E74" s="267">
        <v>15</v>
      </c>
      <c r="F74" s="50" cm="1" t="str">
        <f t="array" ref="F74:F74">OFFSET(E74,-1,1)</f>
        <v>2</v>
      </c>
      <c r="G74" s="158" t="s">
        <v>1934</v>
      </c>
      <c r="H74" s="126" t="s">
        <v>1935</v>
      </c>
      <c r="I74" s="1812"/>
      <c r="J74" s="483"/>
      <c r="K74" s="483" t="str">
        <f>F74&amp;"15komm"</f>
        <v>215komm</v>
      </c>
      <c r="L74" s="917" cm="1" t="str">
        <f t="array" ref="L74:L74">AK74</f>
        <v>по расчету организации, не превышает факт 2025 года предыдущей организации.</v>
      </c>
      <c r="M74" s="1812"/>
      <c r="N74" s="1812"/>
      <c r="O74" s="1812"/>
      <c r="P74" s="1812"/>
      <c r="Q74" s="1812"/>
      <c r="R74" s="1812"/>
      <c r="S74" s="1812"/>
      <c r="T74" s="465" cm="1" t="str">
        <f t="array" ref="T74:T74">T73</f>
        <v>true</v>
      </c>
      <c r="U74" s="1812"/>
      <c r="V74" s="1812"/>
      <c r="W74" s="1812"/>
      <c r="X74" s="1543"/>
      <c r="Y74" s="1812"/>
      <c r="Z74" s="1565"/>
      <c r="AA74" s="1812"/>
      <c r="AB74" s="352" t="s">
        <v>1936</v>
      </c>
      <c r="AC74" s="214" t="s">
        <v>1937</v>
      </c>
      <c r="AD74" s="90" t="s">
        <v>1514</v>
      </c>
      <c r="AE74" s="229"/>
      <c r="AF74" s="229"/>
      <c r="AG74" s="229"/>
      <c r="AH74" s="229"/>
      <c r="AI74" s="229">
        <v>4.236081</v>
      </c>
      <c r="AJ74" s="229">
        <v>4.236081</v>
      </c>
      <c r="AK74" s="309" t="s">
        <v>1968</v>
      </c>
      <c r="AL74" s="1812"/>
      <c r="AM74" s="1812"/>
      <c r="AN74" s="1030" t="s">
        <v>1938</v>
      </c>
    </row>
    <row s="1448" customFormat="1" customHeight="1" ht="170.25">
      <c r="A75" s="1812"/>
      <c r="B75" s="429"/>
      <c r="C75" s="1812"/>
      <c r="D75" s="1812"/>
      <c r="E75" s="267">
        <v>15</v>
      </c>
      <c r="F75" s="50" cm="1" t="str">
        <f t="array" ref="F75:F75">OFFSET(E75,-1,1)</f>
        <v>2</v>
      </c>
      <c r="G75" s="158" t="s">
        <v>1939</v>
      </c>
      <c r="H75" s="126" t="s">
        <v>1940</v>
      </c>
      <c r="I75" s="1812"/>
      <c r="J75" s="483"/>
      <c r="K75" s="483" t="str">
        <f>F75&amp;"16komm"</f>
        <v>216komm</v>
      </c>
      <c r="L75" s="917" cm="1" t="str">
        <f t="array" ref="L75:L75">AK75</f>
        <v>Учтены расходы:
1. По факту с января по май 2025 года в пересчете на годовые показатели, с применением ИПЦ Минэкономразвития России на 2026 год 105,1%:
- прочие расходы (спец.одежда, инструм., хозинвент., матер.на общехоз.и произв.нужды) 94,44 т.р.;
- расходы на канцелярию 65,44 т.р.;
- прочие услуги (изгот. печатей, постановка ККТ на учет, разм.рекламы по трудоустройству, доступ к серверу, изгот. сервис.карты) 41,57 т.р.
- почтовые расходы, типография, обсл.оргтех. 15,70 т.р.;
- расходы на покупку бут.воды. 3,51 т.р.;
2. Услуги по начисл. и сбору ВС и ВО 1139,44 т.р. приняты по факту с июня 2024 года по май 2025 года, с применением ИПЦ Минэкономразвития на 2025 год 109,0%, на 2026 год 105,1%.
3. По расчету организации ТБО 1,83 т.р. не превышает факт 2025 предыдущей организации.
</v>
      </c>
      <c r="M75" s="1812"/>
      <c r="N75" s="1812"/>
      <c r="O75" s="1812"/>
      <c r="P75" s="1812"/>
      <c r="Q75" s="1812"/>
      <c r="R75" s="1812"/>
      <c r="S75" s="1812"/>
      <c r="T75" s="465" cm="1" t="str">
        <f t="array" ref="T75:T75">T74</f>
        <v>true</v>
      </c>
      <c r="U75" s="1812"/>
      <c r="V75" s="1812"/>
      <c r="W75" s="1812"/>
      <c r="X75" s="1543"/>
      <c r="Y75" s="1812"/>
      <c r="Z75" s="1565"/>
      <c r="AA75" s="1812"/>
      <c r="AB75" s="352" t="s">
        <v>1941</v>
      </c>
      <c r="AC75" s="214" t="s">
        <v>1942</v>
      </c>
      <c r="AD75" s="90" t="s">
        <v>1514</v>
      </c>
      <c r="AE75" s="229"/>
      <c r="AF75" s="229"/>
      <c r="AG75" s="229"/>
      <c r="AH75" s="229"/>
      <c r="AI75" s="229">
        <v>1361.919589</v>
      </c>
      <c r="AJ75" s="229">
        <f>1383.777938-AJ69-AJ74</f>
        <v>1361.919589</v>
      </c>
      <c r="AK75" s="309" t="s">
        <v>1972</v>
      </c>
      <c r="AL75" s="1812"/>
      <c r="AM75" s="1812"/>
      <c r="AN75" s="1030" t="s">
        <v>1943</v>
      </c>
    </row>
    <row s="1448" customFormat="1" customHeight="1" ht="0">
      <c r="A76" s="1812"/>
      <c r="B76" s="429"/>
      <c r="C76" s="1812"/>
      <c r="D76" s="1812"/>
      <c r="E76" s="267">
        <v>33.75</v>
      </c>
      <c r="F76" s="50" cm="1" t="str">
        <f t="array" ref="F76:F76">OFFSET(E76,-1,1)</f>
        <v>2</v>
      </c>
      <c r="G76" s="349" t="s">
        <v>1944</v>
      </c>
      <c r="H76" s="126" t="s">
        <v>336</v>
      </c>
      <c r="I76" s="1812"/>
      <c r="J76" s="483"/>
      <c r="K76" s="483" t="str">
        <f>F76&amp;"2komm"</f>
        <v>22komm</v>
      </c>
      <c r="L76" s="917" cm="1" t="str">
        <f t="array" ref="L76:L76">AK76</f>
        <v>0</v>
      </c>
      <c r="M76" s="1812"/>
      <c r="N76" s="1812"/>
      <c r="O76" s="1812"/>
      <c r="P76" s="1812"/>
      <c r="Q76" s="1812"/>
      <c r="R76" s="1812"/>
      <c r="S76" s="1812"/>
      <c r="T76" s="465" cm="1" t="str">
        <f t="array" ref="T76:T76">T75</f>
        <v>true</v>
      </c>
      <c r="U76" s="1812"/>
      <c r="V76" s="1812"/>
      <c r="W76" s="1812"/>
      <c r="X76" s="1543"/>
      <c r="Y76" s="1812"/>
      <c r="Z76" s="1565"/>
      <c r="AA76" s="1812"/>
      <c r="AB76" s="352" t="s">
        <v>295</v>
      </c>
      <c r="AC76" s="341" t="s">
        <v>1945</v>
      </c>
      <c r="AD76" s="90" t="s">
        <v>1514</v>
      </c>
      <c r="AE76" s="229"/>
      <c r="AF76" s="229"/>
      <c r="AG76" s="229"/>
      <c r="AH76" s="229"/>
      <c r="AI76" s="229"/>
      <c r="AJ76" s="229"/>
      <c r="AK76" s="309"/>
      <c r="AL76" s="1812"/>
      <c r="AM76" s="1812"/>
      <c r="AN76" s="1030" t="s">
        <v>1946</v>
      </c>
    </row>
    <row s="1448" customFormat="1" customHeight="1" ht="23.25">
      <c r="A77" s="1812"/>
      <c r="B77" s="429"/>
      <c r="C77" s="1812"/>
      <c r="D77" s="1812"/>
      <c r="E77" s="267">
        <v>15</v>
      </c>
      <c r="F77" s="50" cm="1" t="str">
        <f t="array" ref="F77:F77">OFFSET(E77,-1,1)</f>
        <v>2</v>
      </c>
      <c r="G77" s="349" t="s">
        <v>1947</v>
      </c>
      <c r="H77" s="126" t="s">
        <v>335</v>
      </c>
      <c r="I77" s="1812"/>
      <c r="J77" s="483"/>
      <c r="K77" s="483" t="str">
        <f>F77&amp;"3komm"</f>
        <v>23komm</v>
      </c>
      <c r="L77" s="917" cm="1" t="str">
        <f t="array" ref="L77:L77">AK77</f>
        <v>рассчитано по факту 2024 года предыдущей организации, с применением ИПЦ Минэкономразвития России на 2025 год 109,0%, на 2026 год 105,1%.</v>
      </c>
      <c r="M77" s="1812"/>
      <c r="N77" s="1812"/>
      <c r="O77" s="1812"/>
      <c r="P77" s="1812"/>
      <c r="Q77" s="1812"/>
      <c r="R77" s="1812"/>
      <c r="S77" s="1812"/>
      <c r="T77" s="465" cm="1" t="str">
        <f t="array" ref="T77:T77">T76</f>
        <v>true</v>
      </c>
      <c r="U77" s="1812"/>
      <c r="V77" s="1812"/>
      <c r="W77" s="1812"/>
      <c r="X77" s="1543"/>
      <c r="Y77" s="1812"/>
      <c r="Z77" s="1565"/>
      <c r="AA77" s="1812"/>
      <c r="AB77" s="352" t="s">
        <v>443</v>
      </c>
      <c r="AC77" s="341" t="s">
        <v>1948</v>
      </c>
      <c r="AD77" s="90" t="s">
        <v>1514</v>
      </c>
      <c r="AE77" s="229"/>
      <c r="AF77" s="229"/>
      <c r="AG77" s="229"/>
      <c r="AH77" s="229"/>
      <c r="AI77" s="229">
        <v>4.689725</v>
      </c>
      <c r="AJ77" s="229">
        <v>4.689725</v>
      </c>
      <c r="AK77" s="309" t="s">
        <v>1973</v>
      </c>
      <c r="AL77" s="1812"/>
      <c r="AM77" s="1812"/>
      <c r="AN77" s="1030" t="s">
        <v>1949</v>
      </c>
    </row>
    <row s="1448" customFormat="1" customHeight="1" ht="14.25">
      <c r="A78" s="1812"/>
      <c r="B78" s="429"/>
      <c r="C78" s="1812"/>
      <c r="D78" s="1812"/>
      <c r="E78" s="267">
        <v>15</v>
      </c>
      <c r="F78" s="50" cm="1" t="str">
        <f t="array" ref="F78:F78">OFFSET(E78,-1,1)</f>
        <v>2</v>
      </c>
      <c r="G78" s="349" t="s">
        <v>1950</v>
      </c>
      <c r="H78" s="126" t="s">
        <v>1225</v>
      </c>
      <c r="I78" s="1812"/>
      <c r="J78" s="1812"/>
      <c r="K78" s="483" t="str">
        <f>F78&amp;"4komm"</f>
        <v>24komm</v>
      </c>
      <c r="L78" s="917" cm="1" t="str">
        <f t="array" ref="L78:L78">AK78</f>
        <v>0</v>
      </c>
      <c r="M78" s="1812"/>
      <c r="N78" s="1812"/>
      <c r="O78" s="1812"/>
      <c r="P78" s="1812"/>
      <c r="Q78" s="1812"/>
      <c r="R78" s="1812"/>
      <c r="S78" s="1812"/>
      <c r="T78" s="465" cm="1" t="str">
        <f t="array" ref="T78:T78">T77</f>
        <v>true</v>
      </c>
      <c r="U78" s="1812"/>
      <c r="V78" s="1812"/>
      <c r="W78" s="1812"/>
      <c r="X78" s="1543"/>
      <c r="Y78" s="1812"/>
      <c r="Z78" s="1565"/>
      <c r="AA78" s="1812"/>
      <c r="AB78" s="352" t="s">
        <v>446</v>
      </c>
      <c r="AC78" s="341" t="s">
        <v>1951</v>
      </c>
      <c r="AD78" s="90" t="s">
        <v>1514</v>
      </c>
      <c r="AE78" s="229"/>
      <c r="AF78" s="229"/>
      <c r="AG78" s="229"/>
      <c r="AH78" s="229"/>
      <c r="AI78" s="229"/>
      <c r="AJ78" s="229"/>
      <c r="AK78" s="309"/>
      <c r="AL78" s="1812"/>
      <c r="AM78" s="1812"/>
      <c r="AN78" s="1030" t="s">
        <v>1952</v>
      </c>
    </row>
    <row s="1448" customFormat="1" customHeight="1" ht="0">
      <c r="A79" s="1812"/>
      <c r="B79" s="429"/>
      <c r="C79" s="1812"/>
      <c r="D79" s="1812"/>
      <c r="E79" s="267">
        <v>15</v>
      </c>
      <c r="F79" s="50" cm="1" t="str">
        <f t="array" ref="F79:F79">OFFSET(E79,-1,1)</f>
        <v>2</v>
      </c>
      <c r="G79" s="349" t="s">
        <v>1953</v>
      </c>
      <c r="H79" s="126" t="s">
        <v>1228</v>
      </c>
      <c r="I79" s="1812"/>
      <c r="J79" s="1812"/>
      <c r="K79" s="483" t="str">
        <f>F79&amp;"5komm"</f>
        <v>25komm</v>
      </c>
      <c r="L79" s="917" cm="1" t="str">
        <f t="array" ref="L79:L79">AK79</f>
        <v>0</v>
      </c>
      <c r="M79" s="1812"/>
      <c r="N79" s="1812"/>
      <c r="O79" s="1812"/>
      <c r="P79" s="1812"/>
      <c r="Q79" s="1812"/>
      <c r="R79" s="1812"/>
      <c r="S79" s="1812"/>
      <c r="T79" s="465" cm="1" t="str">
        <f t="array" ref="T79:T79">T78</f>
        <v>true</v>
      </c>
      <c r="U79" s="1812"/>
      <c r="V79" s="1812"/>
      <c r="W79" s="1812"/>
      <c r="X79" s="1543"/>
      <c r="Y79" s="1812"/>
      <c r="Z79" s="1565"/>
      <c r="AA79" s="1812"/>
      <c r="AB79" s="352" t="s">
        <v>449</v>
      </c>
      <c r="AC79" s="341" t="s">
        <v>1954</v>
      </c>
      <c r="AD79" s="90" t="s">
        <v>1514</v>
      </c>
      <c r="AE79" s="229"/>
      <c r="AF79" s="229"/>
      <c r="AG79" s="229"/>
      <c r="AH79" s="229"/>
      <c r="AI79" s="229"/>
      <c r="AJ79" s="229"/>
      <c r="AK79" s="309"/>
      <c r="AL79" s="1812"/>
      <c r="AM79" s="1812"/>
      <c r="AN79" s="1030" t="s">
        <v>1955</v>
      </c>
    </row>
    <row s="1448" customFormat="1" customHeight="1" ht="0">
      <c r="A80" s="1812"/>
      <c r="B80" s="429"/>
      <c r="C80" s="1812"/>
      <c r="D80" s="1812"/>
      <c r="E80" s="267">
        <v>15</v>
      </c>
      <c r="F80" s="50" cm="1" t="str">
        <f t="array" ref="F80:F80">OFFSET(E80,-1,1)</f>
        <v>2</v>
      </c>
      <c r="G80" s="349" t="s">
        <v>1956</v>
      </c>
      <c r="H80" s="126" t="s">
        <v>1275</v>
      </c>
      <c r="I80" s="1812"/>
      <c r="J80" s="1812"/>
      <c r="K80" s="483" t="str">
        <f>F80&amp;"6komm"</f>
        <v>26komm</v>
      </c>
      <c r="L80" s="917" cm="1" t="str">
        <f t="array" ref="L80:L80">AK80</f>
        <v>0</v>
      </c>
      <c r="M80" s="1812"/>
      <c r="N80" s="1812"/>
      <c r="O80" s="1812"/>
      <c r="P80" s="1812"/>
      <c r="Q80" s="1812"/>
      <c r="R80" s="1812"/>
      <c r="S80" s="1812"/>
      <c r="T80" s="465" cm="1" t="str">
        <f t="array" ref="T80:T80">T79</f>
        <v>true</v>
      </c>
      <c r="U80" s="1812"/>
      <c r="V80" s="1812"/>
      <c r="W80" s="1812"/>
      <c r="X80" s="1543"/>
      <c r="Y80" s="1812"/>
      <c r="Z80" s="1565"/>
      <c r="AA80" s="1812"/>
      <c r="AB80" s="352" t="s">
        <v>452</v>
      </c>
      <c r="AC80" s="341" t="s">
        <v>1957</v>
      </c>
      <c r="AD80" s="90" t="s">
        <v>1514</v>
      </c>
      <c r="AE80" s="353">
        <f>SUM(AE81:AE83)</f>
        <v>0</v>
      </c>
      <c r="AF80" s="353">
        <f>SUM(AF81:AF83)</f>
        <v>0</v>
      </c>
      <c r="AG80" s="353">
        <f>SUM(AG81:AG83)</f>
        <v>0</v>
      </c>
      <c r="AH80" s="353">
        <f>SUM(AH81:AH83)</f>
        <v>0</v>
      </c>
      <c r="AI80" s="353">
        <f>SUM(AI81:AI83)</f>
        <v>0</v>
      </c>
      <c r="AJ80" s="353">
        <f>SUM(AJ81:AJ83)</f>
        <v>0</v>
      </c>
      <c r="AK80" s="309"/>
      <c r="AL80" s="1812"/>
      <c r="AM80" s="1812"/>
      <c r="AN80" s="1030" t="s">
        <v>396</v>
      </c>
    </row>
    <row s="1448" customFormat="1" customHeight="1" ht="0">
      <c r="A81" s="1812"/>
      <c r="B81" s="429"/>
      <c r="C81" s="1812"/>
      <c r="D81" s="1812"/>
      <c r="E81" s="267">
        <v>15</v>
      </c>
      <c r="F81" s="50" cm="1" t="str">
        <f t="array" ref="F81:F81">OFFSET(E81,-1,1)</f>
        <v>2</v>
      </c>
      <c r="G81" s="349" t="s">
        <v>1958</v>
      </c>
      <c r="H81" s="126" t="s">
        <v>1278</v>
      </c>
      <c r="I81" s="1812"/>
      <c r="J81" s="1812"/>
      <c r="K81" s="483" t="str">
        <f>F81&amp;"7komm"</f>
        <v>27komm</v>
      </c>
      <c r="L81" s="917" cm="1" t="str">
        <f t="array" ref="L81:L81">AK81</f>
        <v>0</v>
      </c>
      <c r="M81" s="1812"/>
      <c r="N81" s="1812"/>
      <c r="O81" s="1812"/>
      <c r="P81" s="1812"/>
      <c r="Q81" s="1812"/>
      <c r="R81" s="1812"/>
      <c r="S81" s="1812"/>
      <c r="T81" s="465" cm="1" t="str">
        <f t="array" ref="T81:T81">T80</f>
        <v>true</v>
      </c>
      <c r="U81" s="1812"/>
      <c r="V81" s="1812"/>
      <c r="W81" s="1812"/>
      <c r="X81" s="1543"/>
      <c r="Y81" s="1812"/>
      <c r="Z81" s="1565"/>
      <c r="AA81" s="1812"/>
      <c r="AB81" s="352" t="s">
        <v>1301</v>
      </c>
      <c r="AC81" s="214" t="s">
        <v>1959</v>
      </c>
      <c r="AD81" s="90" t="s">
        <v>1514</v>
      </c>
      <c r="AE81" s="229"/>
      <c r="AF81" s="229"/>
      <c r="AG81" s="229"/>
      <c r="AH81" s="229"/>
      <c r="AI81" s="229"/>
      <c r="AJ81" s="229"/>
      <c r="AK81" s="309"/>
      <c r="AL81" s="1812"/>
      <c r="AM81" s="1812"/>
      <c r="AN81" s="1030" t="s">
        <v>1960</v>
      </c>
    </row>
    <row s="1448" customFormat="1" customHeight="1" ht="0">
      <c r="A82" s="1812"/>
      <c r="B82" s="429"/>
      <c r="C82" s="1812"/>
      <c r="D82" s="1812"/>
      <c r="E82" s="267">
        <v>45</v>
      </c>
      <c r="F82" s="50" cm="1" t="str">
        <f t="array" ref="F82:F82">OFFSET(E82,-1,1)</f>
        <v>2</v>
      </c>
      <c r="G82" s="349" t="s">
        <v>1961</v>
      </c>
      <c r="H82" s="126" t="s">
        <v>1282</v>
      </c>
      <c r="I82" s="1812"/>
      <c r="J82" s="1812"/>
      <c r="K82" s="483" t="str">
        <f>F82&amp;"8komm"</f>
        <v>28komm</v>
      </c>
      <c r="L82" s="917" cm="1" t="str">
        <f t="array" ref="L82:L82">AK82</f>
        <v>0</v>
      </c>
      <c r="M82" s="1812"/>
      <c r="N82" s="1812"/>
      <c r="O82" s="1812"/>
      <c r="P82" s="1812"/>
      <c r="Q82" s="1812"/>
      <c r="R82" s="1812"/>
      <c r="S82" s="1812"/>
      <c r="T82" s="465" cm="1" t="str">
        <f t="array" ref="T82:T82">T81</f>
        <v>true</v>
      </c>
      <c r="U82" s="1812"/>
      <c r="V82" s="1812"/>
      <c r="W82" s="1812"/>
      <c r="X82" s="1543"/>
      <c r="Y82" s="1812"/>
      <c r="Z82" s="1565"/>
      <c r="AA82" s="1812"/>
      <c r="AB82" s="352" t="s">
        <v>1318</v>
      </c>
      <c r="AC82" s="762" t="s">
        <v>1962</v>
      </c>
      <c r="AD82" s="90" t="s">
        <v>1514</v>
      </c>
      <c r="AE82" s="229"/>
      <c r="AF82" s="229"/>
      <c r="AG82" s="229"/>
      <c r="AH82" s="229"/>
      <c r="AI82" s="229"/>
      <c r="AJ82" s="229"/>
      <c r="AK82" s="309"/>
      <c r="AL82" s="1812"/>
      <c r="AM82" s="1812"/>
      <c r="AN82" s="1030" t="s">
        <v>1963</v>
      </c>
    </row>
    <row s="1448" customFormat="1" customHeight="1" ht="0">
      <c r="A83" s="1812"/>
      <c r="B83" s="429"/>
      <c r="C83" s="1812"/>
      <c r="D83" s="1812"/>
      <c r="E83" s="267">
        <v>15</v>
      </c>
      <c r="F83" s="50" cm="1" t="str">
        <f t="array" ref="F83:F83">OFFSET(E83,-1,1)</f>
        <v>2</v>
      </c>
      <c r="G83" s="158" t="s">
        <v>1964</v>
      </c>
      <c r="H83" s="126" t="s">
        <v>1286</v>
      </c>
      <c r="I83" s="1812"/>
      <c r="J83" s="1812"/>
      <c r="K83" s="483" t="str">
        <f>F83&amp;"9komm"</f>
        <v>29komm</v>
      </c>
      <c r="L83" s="917" cm="1" t="str">
        <f t="array" ref="L83:L83">AK83</f>
        <v>0</v>
      </c>
      <c r="M83" s="1812"/>
      <c r="N83" s="1812"/>
      <c r="O83" s="1812"/>
      <c r="P83" s="1812"/>
      <c r="Q83" s="1812"/>
      <c r="R83" s="1812"/>
      <c r="S83" s="1812"/>
      <c r="T83" s="465" cm="1" t="str">
        <f t="array" ref="T83:T83">T82</f>
        <v>true</v>
      </c>
      <c r="U83" s="1812"/>
      <c r="V83" s="1812"/>
      <c r="W83" s="1812"/>
      <c r="X83" s="1543"/>
      <c r="Y83" s="1812"/>
      <c r="Z83" s="1565"/>
      <c r="AA83" s="1812"/>
      <c r="AB83" s="352" t="s">
        <v>1330</v>
      </c>
      <c r="AC83" s="214" t="s">
        <v>1965</v>
      </c>
      <c r="AD83" s="90" t="s">
        <v>1514</v>
      </c>
      <c r="AE83" s="229"/>
      <c r="AF83" s="229"/>
      <c r="AG83" s="229"/>
      <c r="AH83" s="229"/>
      <c r="AI83" s="1352"/>
      <c r="AJ83" s="1352"/>
      <c r="AK83" s="309"/>
      <c r="AL83" s="1812"/>
      <c r="AM83" s="1812"/>
      <c r="AN83" s="1030" t="s">
        <v>1966</v>
      </c>
    </row>
    <row s="1834" customFormat="1" customHeight="1" ht="10.5">
      <c r="A84" s="1304"/>
      <c r="B84" s="1436"/>
      <c r="C84" s="146"/>
      <c r="D84" s="146"/>
      <c r="E84" s="267">
        <v>11.25</v>
      </c>
      <c r="F84" s="98" cm="1" t="str">
        <f t="array" ref="F84:F84">X84</f>
        <v>3</v>
      </c>
      <c r="G84" s="146"/>
      <c r="H84" s="146"/>
      <c r="I84" s="146"/>
      <c r="J84" s="146"/>
      <c r="K84" s="146"/>
      <c r="L84" s="146"/>
      <c r="M84" s="146"/>
      <c r="N84" s="146"/>
      <c r="O84" s="146"/>
      <c r="P84" s="146"/>
      <c r="Q84" s="146"/>
      <c r="R84" s="146"/>
      <c r="S84" s="146"/>
      <c r="T84" s="465">
        <f>X84&gt;0</f>
        <v>1</v>
      </c>
      <c r="U84" s="146"/>
      <c r="V84" s="146" cm="1" t="str">
        <f t="array" ref="V84:V84">ФОТ!$AB$120</f>
        <v>Тариф 3 (Водоотведение) - тариф на водоотведение (Доп. признак не требуется)</v>
      </c>
      <c r="W84" s="146"/>
      <c r="X84" s="1543" t="s">
        <v>289</v>
      </c>
      <c r="Y84" s="146"/>
      <c r="Z84" s="1565"/>
      <c r="AA84" s="146"/>
      <c r="AB84" s="242" cm="1" t="str">
        <f t="array" ref="AB84:AB84">ФОТ!$AB$120</f>
        <v>Тариф 3 (Водоотведение) - тариф на водоотведение (Доп. признак не требуется)</v>
      </c>
      <c r="AC84" s="180"/>
      <c r="AD84" s="180"/>
      <c r="AE84" s="306">
        <f>AE85+AE86+AE87+AE95+AE96+AE97+AE98+AE99</f>
        <v>0</v>
      </c>
      <c r="AF84" s="306">
        <f>AF85+AF86+AF87+AF95+AF96+AF97+AF98+AF99</f>
        <v>0</v>
      </c>
      <c r="AG84" s="306">
        <f>AG85+AG86+AG87+AG95+AG96+AG97+AG98+AG99</f>
        <v>0</v>
      </c>
      <c r="AH84" s="306">
        <f>AH85+AH86+AH87+AH95+AH96+AH97+AH98+AH99</f>
        <v>0</v>
      </c>
      <c r="AI84" s="306">
        <f>AI85+AI86+AI87+AI95+AI96+AI97+AI98+AI99</f>
        <v>17038.7811695243</v>
      </c>
      <c r="AJ84" s="306">
        <f>AJ85+AJ86+AJ87+AJ95+AJ96+AJ97+AJ98+AJ99</f>
        <v>17038.8811695243</v>
      </c>
      <c r="AK84" s="174"/>
      <c r="AL84" s="146"/>
      <c r="AM84" s="1304"/>
      <c r="AN84" s="1306"/>
    </row>
    <row s="1834" customFormat="1" customHeight="1" ht="21.75">
      <c r="A85" s="1304"/>
      <c r="B85" s="1436"/>
      <c r="C85" s="146"/>
      <c r="D85" s="146"/>
      <c r="E85" s="267">
        <v>22.5</v>
      </c>
      <c r="F85" s="50" cm="1" t="str">
        <f t="array" ref="F85:F85">OFFSET(E85,-1,1)</f>
        <v>3</v>
      </c>
      <c r="G85" s="146"/>
      <c r="H85" s="126" t="s">
        <v>332</v>
      </c>
      <c r="I85" s="146"/>
      <c r="J85" s="146"/>
      <c r="K85" s="146"/>
      <c r="L85" s="146"/>
      <c r="M85" s="146"/>
      <c r="N85" s="146"/>
      <c r="O85" s="146"/>
      <c r="P85" s="146"/>
      <c r="Q85" s="146"/>
      <c r="R85" s="146"/>
      <c r="S85" s="146"/>
      <c r="T85" s="465" cm="1" t="str">
        <f t="array" ref="T85:T85">T84</f>
        <v>true</v>
      </c>
      <c r="U85" s="146"/>
      <c r="V85" s="146"/>
      <c r="W85" s="146"/>
      <c r="X85" s="1543"/>
      <c r="Y85" s="146"/>
      <c r="Z85" s="1565"/>
      <c r="AA85" s="146"/>
      <c r="AB85" s="352">
        <v>1</v>
      </c>
      <c r="AC85" s="341" t="s">
        <v>1890</v>
      </c>
      <c r="AD85" s="90" t="s">
        <v>1514</v>
      </c>
      <c r="AE85" s="892">
        <f>_xlfn.SUMIFS(ФОТ!AE$25:AE$188,ФОТ!$F$25:$F$188,$F85,ФОТ!$AC$25:$AC$188,$AC85)</f>
        <v>0</v>
      </c>
      <c r="AF85" s="892">
        <f>_xlfn.SUMIFS(ФОТ!AF$25:AF$188,ФОТ!$F$25:$F$188,$F85,ФОТ!$AC$25:$AC$188,$AC85)</f>
        <v>0</v>
      </c>
      <c r="AG85" s="892">
        <f>_xlfn.SUMIFS(ФОТ!AG$25:AG$188,ФОТ!$F$25:$F$188,$F85,ФОТ!$AC$25:$AC$188,$AC85)</f>
        <v>0</v>
      </c>
      <c r="AH85" s="892">
        <f>_xlfn.SUMIFS(ФОТ!AH$25:AH$188,ФОТ!$F$25:$F$188,$F85,ФОТ!$AC$25:$AC$188,$AC85)</f>
        <v>0</v>
      </c>
      <c r="AI85" s="892">
        <f>_xlfn.SUMIFS(ФОТ!AI$25:AI$188,ФОТ!$F$25:$F$188,$F85,ФОТ!$AC$25:$AC$188,$AC85)</f>
        <v>11321.4499381907</v>
      </c>
      <c r="AJ85" s="892">
        <f>_xlfn.SUMIFS(ФОТ!AJ$25:AJ$188,ФОТ!$F$25:$F$188,$F85,ФОТ!$AC$25:$AC$188,$AC85)</f>
        <v>11321.4499381907</v>
      </c>
      <c r="AK85" s="309"/>
      <c r="AL85" s="146"/>
      <c r="AM85" s="1304"/>
      <c r="AN85" s="1015" t="s">
        <v>1915</v>
      </c>
    </row>
    <row s="1834" customFormat="1" customHeight="1" ht="21.75">
      <c r="A86" s="1304"/>
      <c r="B86" s="1436"/>
      <c r="C86" s="146"/>
      <c r="D86" s="146"/>
      <c r="E86" s="267">
        <v>22.5</v>
      </c>
      <c r="F86" s="50" cm="1" t="str">
        <f t="array" ref="F86:F86">OFFSET(E86,-1,1)</f>
        <v>3</v>
      </c>
      <c r="G86" s="146"/>
      <c r="H86" s="126" t="s">
        <v>333</v>
      </c>
      <c r="I86" s="146"/>
      <c r="J86" s="483"/>
      <c r="K86" s="483"/>
      <c r="L86" s="483"/>
      <c r="M86" s="146"/>
      <c r="N86" s="146"/>
      <c r="O86" s="146"/>
      <c r="P86" s="146"/>
      <c r="Q86" s="146"/>
      <c r="R86" s="146"/>
      <c r="S86" s="146"/>
      <c r="T86" s="465" cm="1" t="str">
        <f t="array" ref="T86:T86">T85</f>
        <v>true</v>
      </c>
      <c r="U86" s="146"/>
      <c r="V86" s="146"/>
      <c r="W86" s="146"/>
      <c r="X86" s="1543"/>
      <c r="Y86" s="146"/>
      <c r="Z86" s="1565"/>
      <c r="AA86" s="146"/>
      <c r="AB86" s="352" t="s">
        <v>285</v>
      </c>
      <c r="AC86" s="341" t="s">
        <v>1895</v>
      </c>
      <c r="AD86" s="90" t="s">
        <v>1514</v>
      </c>
      <c r="AE86" s="892">
        <f>_xlfn.SUMIFS(ФОТ!AE$25:AE$188,ФОТ!$F$25:$F$188,$F86,ФОТ!$AC$25:$AC$188,$AC86)</f>
        <v>0</v>
      </c>
      <c r="AF86" s="892">
        <f>_xlfn.SUMIFS(ФОТ!AF$25:AF$188,ФОТ!$F$25:$F$188,$F86,ФОТ!$AC$25:$AC$188,$AC86)</f>
        <v>0</v>
      </c>
      <c r="AG86" s="892">
        <f>_xlfn.SUMIFS(ФОТ!AG$25:AG$188,ФОТ!$F$25:$F$188,$F86,ФОТ!$AC$25:$AC$188,$AC86)</f>
        <v>0</v>
      </c>
      <c r="AH86" s="892">
        <f>_xlfn.SUMIFS(ФОТ!AH$25:AH$188,ФОТ!$F$25:$F$188,$F86,ФОТ!$AC$25:$AC$188,$AC86)</f>
        <v>0</v>
      </c>
      <c r="AI86" s="892">
        <f>_xlfn.SUMIFS(ФОТ!AI$25:AI$188,ФОТ!$F$25:$F$188,$F86,ФОТ!$AC$25:$AC$188,$AC86)</f>
        <v>3419.07788133359</v>
      </c>
      <c r="AJ86" s="892">
        <f>_xlfn.SUMIFS(ФОТ!AJ$25:AJ$188,ФОТ!$F$25:$F$188,$F86,ФОТ!$AC$25:$AC$188,$AC86)</f>
        <v>3419.07788133359</v>
      </c>
      <c r="AK86" s="309"/>
      <c r="AL86" s="146"/>
      <c r="AM86" s="1304"/>
      <c r="AN86" s="1015" t="s">
        <v>1896</v>
      </c>
    </row>
    <row s="1834" customFormat="1" customHeight="1" ht="32.25">
      <c r="A87" s="1304"/>
      <c r="B87" s="1436"/>
      <c r="C87" s="146"/>
      <c r="D87" s="146"/>
      <c r="E87" s="267">
        <v>33.75</v>
      </c>
      <c r="F87" s="50" cm="1" t="str">
        <f t="array" ref="F87:F87">OFFSET(E87,-1,1)</f>
        <v>3</v>
      </c>
      <c r="G87" s="349" t="s">
        <v>1916</v>
      </c>
      <c r="H87" s="126" t="s">
        <v>334</v>
      </c>
      <c r="I87" s="146"/>
      <c r="J87" s="483"/>
      <c r="K87" s="483" t="str">
        <f>F87&amp;"17komm"</f>
        <v>317komm</v>
      </c>
      <c r="L87" s="917" cm="1" t="str">
        <f t="array" ref="L87:L87">AK87</f>
        <v>Учтены расходы по выданным долгосрочным параметрам и соответствуют предложению организации.</v>
      </c>
      <c r="M87" s="146"/>
      <c r="N87" s="146"/>
      <c r="O87" s="146"/>
      <c r="P87" s="146"/>
      <c r="Q87" s="146"/>
      <c r="R87" s="146"/>
      <c r="S87" s="146"/>
      <c r="T87" s="465" cm="1" t="str">
        <f t="array" ref="T87:T87">T86</f>
        <v>true</v>
      </c>
      <c r="U87" s="146"/>
      <c r="V87" s="146"/>
      <c r="W87" s="146"/>
      <c r="X87" s="1543"/>
      <c r="Y87" s="146"/>
      <c r="Z87" s="1565"/>
      <c r="AA87" s="146"/>
      <c r="AB87" s="352" t="s">
        <v>289</v>
      </c>
      <c r="AC87" s="341" t="s">
        <v>1917</v>
      </c>
      <c r="AD87" s="90" t="s">
        <v>1514</v>
      </c>
      <c r="AE87" s="238">
        <f>SUM(AE88:AE94)</f>
        <v>0</v>
      </c>
      <c r="AF87" s="238">
        <f>SUM(AF88:AF94)</f>
        <v>0</v>
      </c>
      <c r="AG87" s="238">
        <f>SUM(AG88:AG94)</f>
        <v>0</v>
      </c>
      <c r="AH87" s="238">
        <f>SUM(AH88:AH94)</f>
        <v>0</v>
      </c>
      <c r="AI87" s="238">
        <f>SUM(AI88:AI94)</f>
        <v>2298.25335</v>
      </c>
      <c r="AJ87" s="238">
        <f>SUM(AJ88:AJ94)</f>
        <v>2298.35335</v>
      </c>
      <c r="AK87" s="309" t="s">
        <v>1967</v>
      </c>
      <c r="AL87" s="146"/>
      <c r="AM87" s="1304"/>
      <c r="AN87" s="1015" t="s">
        <v>1918</v>
      </c>
    </row>
    <row s="1834" customFormat="1" customHeight="1" ht="14.25">
      <c r="A88" s="1834"/>
      <c r="B88" s="430"/>
      <c r="C88" s="146"/>
      <c r="D88" s="146"/>
      <c r="E88" s="267">
        <v>15</v>
      </c>
      <c r="F88" s="1175" cm="1" t="str">
        <f t="array" ref="F88:F88">OFFSET(E88,-1,1)</f>
        <v>3</v>
      </c>
      <c r="G88" s="158" t="s">
        <v>1919</v>
      </c>
      <c r="H88" s="126" t="s">
        <v>1658</v>
      </c>
      <c r="I88" s="146"/>
      <c r="J88" s="483"/>
      <c r="K88" s="483" t="str">
        <f>F88&amp;"18komm"</f>
        <v>318komm</v>
      </c>
      <c r="L88" s="917" cm="1" t="str">
        <f t="array" ref="L88:L88">AK88</f>
        <v>по расчету организации, не превышает факт 2025 года предыдущей организации.</v>
      </c>
      <c r="M88" s="146"/>
      <c r="N88" s="146"/>
      <c r="O88" s="146"/>
      <c r="P88" s="146"/>
      <c r="Q88" s="146"/>
      <c r="R88" s="146"/>
      <c r="S88" s="146"/>
      <c r="T88" s="465" cm="1" t="str">
        <f t="array" ref="T88:T88">T87</f>
        <v>true</v>
      </c>
      <c r="U88" s="146"/>
      <c r="V88" s="146"/>
      <c r="W88" s="146"/>
      <c r="X88" s="1543"/>
      <c r="Y88" s="146"/>
      <c r="Z88" s="1565"/>
      <c r="AA88" s="146"/>
      <c r="AB88" s="352" t="s">
        <v>1264</v>
      </c>
      <c r="AC88" s="214" t="s">
        <v>1920</v>
      </c>
      <c r="AD88" s="90" t="s">
        <v>1514</v>
      </c>
      <c r="AE88" s="229"/>
      <c r="AF88" s="229"/>
      <c r="AG88" s="229"/>
      <c r="AH88" s="229"/>
      <c r="AI88" s="229">
        <v>67.48</v>
      </c>
      <c r="AJ88" s="229">
        <v>67.48</v>
      </c>
      <c r="AK88" s="309" t="s">
        <v>1968</v>
      </c>
      <c r="AL88" s="146"/>
      <c r="AM88" s="1834"/>
      <c r="AN88" s="1019" t="s">
        <v>1921</v>
      </c>
    </row>
    <row s="1448" customFormat="1" customHeight="1" ht="0">
      <c r="A89" s="1812"/>
      <c r="B89" s="429"/>
      <c r="C89" s="1812"/>
      <c r="D89" s="1812"/>
      <c r="E89" s="267">
        <v>15</v>
      </c>
      <c r="F89" s="50" cm="1" t="str">
        <f t="array" ref="F89:F89">OFFSET(E89,-1,1)</f>
        <v>3</v>
      </c>
      <c r="G89" s="158" t="s">
        <v>1922</v>
      </c>
      <c r="H89" s="126" t="s">
        <v>1660</v>
      </c>
      <c r="I89" s="1812"/>
      <c r="J89" s="483"/>
      <c r="K89" s="483" t="str">
        <f>F89&amp;"11komm"</f>
        <v>311komm</v>
      </c>
      <c r="L89" s="917" cm="1" t="str">
        <f t="array" ref="L89:L89">AK89</f>
        <v>0</v>
      </c>
      <c r="M89" s="1812"/>
      <c r="N89" s="1812"/>
      <c r="O89" s="1812"/>
      <c r="P89" s="1812"/>
      <c r="Q89" s="1812"/>
      <c r="R89" s="1812"/>
      <c r="S89" s="1812"/>
      <c r="T89" s="465" cm="1" t="str">
        <f t="array" ref="T89:T89">T88</f>
        <v>true</v>
      </c>
      <c r="U89" s="1812"/>
      <c r="V89" s="1812"/>
      <c r="W89" s="1812"/>
      <c r="X89" s="1543"/>
      <c r="Y89" s="1812"/>
      <c r="Z89" s="1565"/>
      <c r="AA89" s="1812"/>
      <c r="AB89" s="352" t="s">
        <v>1268</v>
      </c>
      <c r="AC89" s="214" t="s">
        <v>1923</v>
      </c>
      <c r="AD89" s="90" t="s">
        <v>1514</v>
      </c>
      <c r="AE89" s="229"/>
      <c r="AF89" s="229"/>
      <c r="AG89" s="229"/>
      <c r="AH89" s="229"/>
      <c r="AI89" s="229"/>
      <c r="AJ89" s="229"/>
      <c r="AK89" s="309"/>
      <c r="AL89" s="1812"/>
      <c r="AM89" s="1812"/>
      <c r="AN89" s="1030" t="s">
        <v>1924</v>
      </c>
    </row>
    <row s="1448" customFormat="1" customHeight="1" ht="0">
      <c r="A90" s="1812"/>
      <c r="B90" s="429"/>
      <c r="C90" s="1812"/>
      <c r="D90" s="1812"/>
      <c r="E90" s="267">
        <v>15</v>
      </c>
      <c r="F90" s="50" cm="1" t="str">
        <f t="array" ref="F90:F90">OFFSET(E90,-1,1)</f>
        <v>3</v>
      </c>
      <c r="G90" s="158" t="s">
        <v>1925</v>
      </c>
      <c r="H90" s="126" t="s">
        <v>1662</v>
      </c>
      <c r="I90" s="1812"/>
      <c r="J90" s="483"/>
      <c r="K90" s="483" t="str">
        <f>F90&amp;"12komm"</f>
        <v>312komm</v>
      </c>
      <c r="L90" s="917" cm="1" t="str">
        <f t="array" ref="L90:L90">AK90</f>
        <v>0</v>
      </c>
      <c r="M90" s="1812"/>
      <c r="N90" s="1812"/>
      <c r="O90" s="1812"/>
      <c r="P90" s="1812"/>
      <c r="Q90" s="1812"/>
      <c r="R90" s="1812"/>
      <c r="S90" s="1812"/>
      <c r="T90" s="465" cm="1" t="str">
        <f t="array" ref="T90:T90">T89</f>
        <v>true</v>
      </c>
      <c r="U90" s="1812"/>
      <c r="V90" s="1812"/>
      <c r="W90" s="1812"/>
      <c r="X90" s="1543"/>
      <c r="Y90" s="1812"/>
      <c r="Z90" s="1565"/>
      <c r="AA90" s="1812"/>
      <c r="AB90" s="352" t="s">
        <v>1480</v>
      </c>
      <c r="AC90" s="214" t="s">
        <v>1926</v>
      </c>
      <c r="AD90" s="90" t="s">
        <v>1514</v>
      </c>
      <c r="AE90" s="229"/>
      <c r="AF90" s="229"/>
      <c r="AG90" s="229"/>
      <c r="AH90" s="229"/>
      <c r="AI90" s="229"/>
      <c r="AJ90" s="229"/>
      <c r="AK90" s="309"/>
      <c r="AL90" s="1812"/>
      <c r="AM90" s="1812"/>
      <c r="AN90" s="1030" t="s">
        <v>1927</v>
      </c>
    </row>
    <row s="1448" customFormat="1" customHeight="1" ht="0">
      <c r="A91" s="1812"/>
      <c r="B91" s="429"/>
      <c r="C91" s="1812"/>
      <c r="D91" s="1812"/>
      <c r="E91" s="267">
        <v>15</v>
      </c>
      <c r="F91" s="50" cm="1" t="str">
        <f t="array" ref="F91:F91">OFFSET(E91,-1,1)</f>
        <v>3</v>
      </c>
      <c r="G91" s="158" t="s">
        <v>1928</v>
      </c>
      <c r="H91" s="126" t="s">
        <v>1664</v>
      </c>
      <c r="I91" s="1812"/>
      <c r="J91" s="483"/>
      <c r="K91" s="483" t="str">
        <f>F91&amp;"13komm"</f>
        <v>313komm</v>
      </c>
      <c r="L91" s="917" cm="1" t="str">
        <f t="array" ref="L91:L91">AK91</f>
        <v>0</v>
      </c>
      <c r="M91" s="1812"/>
      <c r="N91" s="1812"/>
      <c r="O91" s="1812"/>
      <c r="P91" s="1812"/>
      <c r="Q91" s="1812"/>
      <c r="R91" s="1812"/>
      <c r="S91" s="1812"/>
      <c r="T91" s="465" cm="1" t="str">
        <f t="array" ref="T91:T91">T90</f>
        <v>true</v>
      </c>
      <c r="U91" s="1812"/>
      <c r="V91" s="1812"/>
      <c r="W91" s="1812"/>
      <c r="X91" s="1543"/>
      <c r="Y91" s="1812"/>
      <c r="Z91" s="1565"/>
      <c r="AA91" s="1812"/>
      <c r="AB91" s="352" t="s">
        <v>1665</v>
      </c>
      <c r="AC91" s="214" t="s">
        <v>1929</v>
      </c>
      <c r="AD91" s="90" t="s">
        <v>1514</v>
      </c>
      <c r="AE91" s="229"/>
      <c r="AF91" s="229"/>
      <c r="AG91" s="229"/>
      <c r="AH91" s="229"/>
      <c r="AI91" s="229"/>
      <c r="AJ91" s="229"/>
      <c r="AK91" s="309"/>
      <c r="AL91" s="1812"/>
      <c r="AM91" s="1812"/>
      <c r="AN91" s="1030" t="s">
        <v>1930</v>
      </c>
    </row>
    <row s="1448" customFormat="1" customHeight="1" ht="0">
      <c r="A92" s="1812"/>
      <c r="B92" s="429"/>
      <c r="C92" s="1812"/>
      <c r="D92" s="1812"/>
      <c r="E92" s="267">
        <v>15</v>
      </c>
      <c r="F92" s="50" cm="1" t="str">
        <f t="array" ref="F92:F92">OFFSET(E92,-1,1)</f>
        <v>3</v>
      </c>
      <c r="G92" s="158" t="s">
        <v>1931</v>
      </c>
      <c r="H92" s="126" t="s">
        <v>1667</v>
      </c>
      <c r="I92" s="1812"/>
      <c r="J92" s="483"/>
      <c r="K92" s="483" t="str">
        <f>F92&amp;"14komm"</f>
        <v>314komm</v>
      </c>
      <c r="L92" s="917" cm="1" t="str">
        <f t="array" ref="L92:L92">AK92</f>
        <v>0</v>
      </c>
      <c r="M92" s="1812"/>
      <c r="N92" s="1812"/>
      <c r="O92" s="1812"/>
      <c r="P92" s="1812"/>
      <c r="Q92" s="1812"/>
      <c r="R92" s="1812"/>
      <c r="S92" s="1812"/>
      <c r="T92" s="465" cm="1" t="str">
        <f t="array" ref="T92:T92">T91</f>
        <v>true</v>
      </c>
      <c r="U92" s="1812"/>
      <c r="V92" s="1812"/>
      <c r="W92" s="1812"/>
      <c r="X92" s="1543"/>
      <c r="Y92" s="1812"/>
      <c r="Z92" s="1565"/>
      <c r="AA92" s="1812"/>
      <c r="AB92" s="352" t="s">
        <v>1668</v>
      </c>
      <c r="AC92" s="214" t="s">
        <v>1932</v>
      </c>
      <c r="AD92" s="90" t="s">
        <v>1514</v>
      </c>
      <c r="AE92" s="229"/>
      <c r="AF92" s="229"/>
      <c r="AG92" s="229"/>
      <c r="AH92" s="229"/>
      <c r="AI92" s="229"/>
      <c r="AJ92" s="229"/>
      <c r="AK92" s="309"/>
      <c r="AL92" s="1812"/>
      <c r="AM92" s="1812"/>
      <c r="AN92" s="1030" t="s">
        <v>1933</v>
      </c>
    </row>
    <row s="1448" customFormat="1" customHeight="1" ht="14.25">
      <c r="A93" s="1812"/>
      <c r="B93" s="429"/>
      <c r="C93" s="1812"/>
      <c r="D93" s="1812"/>
      <c r="E93" s="267">
        <v>15</v>
      </c>
      <c r="F93" s="50" cm="1" t="str">
        <f t="array" ref="F93:F93">OFFSET(E93,-1,1)</f>
        <v>3</v>
      </c>
      <c r="G93" s="158" t="s">
        <v>1934</v>
      </c>
      <c r="H93" s="126" t="s">
        <v>1935</v>
      </c>
      <c r="I93" s="1812"/>
      <c r="J93" s="483"/>
      <c r="K93" s="483" t="str">
        <f>F93&amp;"15komm"</f>
        <v>315komm</v>
      </c>
      <c r="L93" s="917" cm="1" t="str">
        <f t="array" ref="L93:L93">AK93</f>
        <v>по расчету организации, не превышает факт 2025 года предыдущей организации.</v>
      </c>
      <c r="M93" s="1812"/>
      <c r="N93" s="1812"/>
      <c r="O93" s="1812"/>
      <c r="P93" s="1812"/>
      <c r="Q93" s="1812"/>
      <c r="R93" s="1812"/>
      <c r="S93" s="1812"/>
      <c r="T93" s="465" cm="1" t="str">
        <f t="array" ref="T93:T93">T92</f>
        <v>true</v>
      </c>
      <c r="U93" s="1812"/>
      <c r="V93" s="1812"/>
      <c r="W93" s="1812"/>
      <c r="X93" s="1543"/>
      <c r="Y93" s="1812"/>
      <c r="Z93" s="1565"/>
      <c r="AA93" s="1812"/>
      <c r="AB93" s="352" t="s">
        <v>1936</v>
      </c>
      <c r="AC93" s="214" t="s">
        <v>1937</v>
      </c>
      <c r="AD93" s="90" t="s">
        <v>1514</v>
      </c>
      <c r="AE93" s="229"/>
      <c r="AF93" s="229"/>
      <c r="AG93" s="229"/>
      <c r="AH93" s="229"/>
      <c r="AI93" s="229">
        <v>20.75</v>
      </c>
      <c r="AJ93" s="229">
        <v>20.75</v>
      </c>
      <c r="AK93" s="309" t="s">
        <v>1968</v>
      </c>
      <c r="AL93" s="1812"/>
      <c r="AM93" s="1812"/>
      <c r="AN93" s="1030" t="s">
        <v>1938</v>
      </c>
    </row>
    <row s="1448" customFormat="1" customHeight="1" ht="170.25">
      <c r="A94" s="1812"/>
      <c r="B94" s="429"/>
      <c r="C94" s="1812"/>
      <c r="D94" s="1812"/>
      <c r="E94" s="267">
        <v>15</v>
      </c>
      <c r="F94" s="50" cm="1" t="str">
        <f t="array" ref="F94:F94">OFFSET(E94,-1,1)</f>
        <v>3</v>
      </c>
      <c r="G94" s="158" t="s">
        <v>1939</v>
      </c>
      <c r="H94" s="126" t="s">
        <v>1940</v>
      </c>
      <c r="I94" s="1812"/>
      <c r="J94" s="483"/>
      <c r="K94" s="483" t="str">
        <f>F94&amp;"16komm"</f>
        <v>316komm</v>
      </c>
      <c r="L94" s="917" cm="1" t="str">
        <f t="array" ref="L94:L94">AK94</f>
        <v>Учтены расходы:
1.	По факту с января по май 2025 года в пересчете на годовые показатели, с применением ИПЦ Минэкономразвития России на 2026 год 105,1%:
- расходы на канцелярию 47,92 т.р.;
- прочие услуги 52,09 т.р.
- почтовые расходы, типография, обсл.оргтех. 22,06 т.р.;
2. Услуги по начисл. и сбору ВС и ВО 1350,47 т.р. по факту с июня 2024 года по май 2025 года, с применением ИЦП Минэкономразвития на 2025 год 109,0%, на 2026 год 105,1%.
3. Электроэнергия 443,70 т.р. по факту с июня 2024 года по май 2025 года, с применением ИЦП Минэкономразвития на 2025 год 114,4%, на 2026 год 113,2%;
4. Прочие расходы (спец.одежда, инструм., хозинвент., матер.на общехоз.и произв.нужды) 273,84 т.р. по факту с июня по декабрь 2024 года предыдущей организации в пересчете на годовые показатели, с применением ИПЦ Минэкономразвития на 2025 год 109,0%, на 2026 год 105,1%;
 5. ТБО 20,04 т.р. по расчету организации не превышает факт 2025 предыдущей организации.</v>
      </c>
      <c r="M94" s="1812"/>
      <c r="N94" s="1812"/>
      <c r="O94" s="1812"/>
      <c r="P94" s="1812"/>
      <c r="Q94" s="1812"/>
      <c r="R94" s="1812"/>
      <c r="S94" s="1812"/>
      <c r="T94" s="465" cm="1" t="str">
        <f t="array" ref="T94:T94">T93</f>
        <v>true</v>
      </c>
      <c r="U94" s="1812"/>
      <c r="V94" s="1812"/>
      <c r="W94" s="1812"/>
      <c r="X94" s="1543"/>
      <c r="Y94" s="1812"/>
      <c r="Z94" s="1565"/>
      <c r="AA94" s="1812"/>
      <c r="AB94" s="352" t="s">
        <v>1941</v>
      </c>
      <c r="AC94" s="214" t="s">
        <v>1942</v>
      </c>
      <c r="AD94" s="90" t="s">
        <v>1514</v>
      </c>
      <c r="AE94" s="229"/>
      <c r="AF94" s="229"/>
      <c r="AG94" s="229"/>
      <c r="AH94" s="229"/>
      <c r="AI94" s="229">
        <f>2298.253350-AI88-AI93</f>
        <v>2210.02335</v>
      </c>
      <c r="AJ94" s="229">
        <f>2298.353350-AJ88-AJ93</f>
        <v>2210.12335</v>
      </c>
      <c r="AK94" s="309" t="s">
        <v>1974</v>
      </c>
      <c r="AL94" s="1812"/>
      <c r="AM94" s="1812"/>
      <c r="AN94" s="1030" t="s">
        <v>1943</v>
      </c>
    </row>
    <row s="1448" customFormat="1" customHeight="1" ht="0">
      <c r="A95" s="1812"/>
      <c r="B95" s="429"/>
      <c r="C95" s="1812"/>
      <c r="D95" s="1812"/>
      <c r="E95" s="267">
        <v>33.75</v>
      </c>
      <c r="F95" s="50" cm="1" t="str">
        <f t="array" ref="F95:F95">OFFSET(E95,-1,1)</f>
        <v>3</v>
      </c>
      <c r="G95" s="349" t="s">
        <v>1944</v>
      </c>
      <c r="H95" s="126" t="s">
        <v>336</v>
      </c>
      <c r="I95" s="1812"/>
      <c r="J95" s="483"/>
      <c r="K95" s="483" t="str">
        <f>F95&amp;"2komm"</f>
        <v>32komm</v>
      </c>
      <c r="L95" s="917" cm="1" t="str">
        <f t="array" ref="L95:L95">AK95</f>
        <v>0</v>
      </c>
      <c r="M95" s="1812"/>
      <c r="N95" s="1812"/>
      <c r="O95" s="1812"/>
      <c r="P95" s="1812"/>
      <c r="Q95" s="1812"/>
      <c r="R95" s="1812"/>
      <c r="S95" s="1812"/>
      <c r="T95" s="465" cm="1" t="str">
        <f t="array" ref="T95:T95">T94</f>
        <v>true</v>
      </c>
      <c r="U95" s="1812"/>
      <c r="V95" s="1812"/>
      <c r="W95" s="1812"/>
      <c r="X95" s="1543"/>
      <c r="Y95" s="1812"/>
      <c r="Z95" s="1565"/>
      <c r="AA95" s="1812"/>
      <c r="AB95" s="352" t="s">
        <v>295</v>
      </c>
      <c r="AC95" s="341" t="s">
        <v>1945</v>
      </c>
      <c r="AD95" s="90" t="s">
        <v>1514</v>
      </c>
      <c r="AE95" s="229"/>
      <c r="AF95" s="229"/>
      <c r="AG95" s="229"/>
      <c r="AH95" s="229"/>
      <c r="AI95" s="229"/>
      <c r="AJ95" s="229"/>
      <c r="AK95" s="309"/>
      <c r="AL95" s="1812"/>
      <c r="AM95" s="1812"/>
      <c r="AN95" s="1030" t="s">
        <v>1946</v>
      </c>
    </row>
    <row s="1448" customFormat="1" customHeight="1" ht="14.25">
      <c r="A96" s="1812"/>
      <c r="B96" s="429"/>
      <c r="C96" s="1812"/>
      <c r="D96" s="1812"/>
      <c r="E96" s="267">
        <v>15</v>
      </c>
      <c r="F96" s="50" cm="1" t="str">
        <f t="array" ref="F96:F96">OFFSET(E96,-1,1)</f>
        <v>3</v>
      </c>
      <c r="G96" s="349" t="s">
        <v>1947</v>
      </c>
      <c r="H96" s="126" t="s">
        <v>335</v>
      </c>
      <c r="I96" s="1812"/>
      <c r="J96" s="483"/>
      <c r="K96" s="483" t="str">
        <f>F96&amp;"3komm"</f>
        <v>33komm</v>
      </c>
      <c r="L96" s="917" cm="1" t="str">
        <f t="array" ref="L96:L96">AK96</f>
        <v>0</v>
      </c>
      <c r="M96" s="1812"/>
      <c r="N96" s="1812"/>
      <c r="O96" s="1812"/>
      <c r="P96" s="1812"/>
      <c r="Q96" s="1812"/>
      <c r="R96" s="1812"/>
      <c r="S96" s="1812"/>
      <c r="T96" s="465" cm="1" t="str">
        <f t="array" ref="T96:T96">T95</f>
        <v>true</v>
      </c>
      <c r="U96" s="1812"/>
      <c r="V96" s="1812"/>
      <c r="W96" s="1812"/>
      <c r="X96" s="1543"/>
      <c r="Y96" s="1812"/>
      <c r="Z96" s="1565"/>
      <c r="AA96" s="1812"/>
      <c r="AB96" s="352" t="s">
        <v>443</v>
      </c>
      <c r="AC96" s="341" t="s">
        <v>1948</v>
      </c>
      <c r="AD96" s="90" t="s">
        <v>1514</v>
      </c>
      <c r="AE96" s="229"/>
      <c r="AF96" s="229"/>
      <c r="AG96" s="229"/>
      <c r="AH96" s="229"/>
      <c r="AI96" s="229"/>
      <c r="AJ96" s="229"/>
      <c r="AK96" s="309"/>
      <c r="AL96" s="1812"/>
      <c r="AM96" s="1812"/>
      <c r="AN96" s="1030" t="s">
        <v>1949</v>
      </c>
    </row>
    <row s="1448" customFormat="1" customHeight="1" ht="14.25">
      <c r="A97" s="1812"/>
      <c r="B97" s="429"/>
      <c r="C97" s="1812"/>
      <c r="D97" s="1812"/>
      <c r="E97" s="267">
        <v>15</v>
      </c>
      <c r="F97" s="50" cm="1" t="str">
        <f t="array" ref="F97:F97">OFFSET(E97,-1,1)</f>
        <v>3</v>
      </c>
      <c r="G97" s="349" t="s">
        <v>1950</v>
      </c>
      <c r="H97" s="126" t="s">
        <v>1225</v>
      </c>
      <c r="I97" s="1812"/>
      <c r="J97" s="1812"/>
      <c r="K97" s="483" t="str">
        <f>F97&amp;"4komm"</f>
        <v>34komm</v>
      </c>
      <c r="L97" s="917" cm="1" t="str">
        <f t="array" ref="L97:L97">AK97</f>
        <v>0</v>
      </c>
      <c r="M97" s="1812"/>
      <c r="N97" s="1812"/>
      <c r="O97" s="1812"/>
      <c r="P97" s="1812"/>
      <c r="Q97" s="1812"/>
      <c r="R97" s="1812"/>
      <c r="S97" s="1812"/>
      <c r="T97" s="465" cm="1" t="str">
        <f t="array" ref="T97:T97">T96</f>
        <v>true</v>
      </c>
      <c r="U97" s="1812"/>
      <c r="V97" s="1812"/>
      <c r="W97" s="1812"/>
      <c r="X97" s="1543"/>
      <c r="Y97" s="1812"/>
      <c r="Z97" s="1565"/>
      <c r="AA97" s="1812"/>
      <c r="AB97" s="352" t="s">
        <v>446</v>
      </c>
      <c r="AC97" s="341" t="s">
        <v>1951</v>
      </c>
      <c r="AD97" s="90" t="s">
        <v>1514</v>
      </c>
      <c r="AE97" s="229"/>
      <c r="AF97" s="229"/>
      <c r="AG97" s="229"/>
      <c r="AH97" s="229"/>
      <c r="AI97" s="229"/>
      <c r="AJ97" s="229"/>
      <c r="AK97" s="309"/>
      <c r="AL97" s="1812"/>
      <c r="AM97" s="1812"/>
      <c r="AN97" s="1030" t="s">
        <v>1952</v>
      </c>
    </row>
    <row s="1448" customFormat="1" customHeight="1" ht="0">
      <c r="A98" s="1812"/>
      <c r="B98" s="429"/>
      <c r="C98" s="1812"/>
      <c r="D98" s="1812"/>
      <c r="E98" s="267">
        <v>15</v>
      </c>
      <c r="F98" s="50" cm="1" t="str">
        <f t="array" ref="F98:F98">OFFSET(E98,-1,1)</f>
        <v>3</v>
      </c>
      <c r="G98" s="349" t="s">
        <v>1953</v>
      </c>
      <c r="H98" s="126" t="s">
        <v>1228</v>
      </c>
      <c r="I98" s="1812"/>
      <c r="J98" s="1812"/>
      <c r="K98" s="483" t="str">
        <f>F98&amp;"5komm"</f>
        <v>35komm</v>
      </c>
      <c r="L98" s="917" cm="1" t="str">
        <f t="array" ref="L98:L98">AK98</f>
        <v>0</v>
      </c>
      <c r="M98" s="1812"/>
      <c r="N98" s="1812"/>
      <c r="O98" s="1812"/>
      <c r="P98" s="1812"/>
      <c r="Q98" s="1812"/>
      <c r="R98" s="1812"/>
      <c r="S98" s="1812"/>
      <c r="T98" s="465" cm="1" t="str">
        <f t="array" ref="T98:T98">T97</f>
        <v>true</v>
      </c>
      <c r="U98" s="1812"/>
      <c r="V98" s="1812"/>
      <c r="W98" s="1812"/>
      <c r="X98" s="1543"/>
      <c r="Y98" s="1812"/>
      <c r="Z98" s="1565"/>
      <c r="AA98" s="1812"/>
      <c r="AB98" s="352" t="s">
        <v>449</v>
      </c>
      <c r="AC98" s="341" t="s">
        <v>1954</v>
      </c>
      <c r="AD98" s="90" t="s">
        <v>1514</v>
      </c>
      <c r="AE98" s="229"/>
      <c r="AF98" s="229"/>
      <c r="AG98" s="229"/>
      <c r="AH98" s="229"/>
      <c r="AI98" s="229"/>
      <c r="AJ98" s="229"/>
      <c r="AK98" s="309"/>
      <c r="AL98" s="1812"/>
      <c r="AM98" s="1812"/>
      <c r="AN98" s="1030" t="s">
        <v>1955</v>
      </c>
    </row>
    <row s="1448" customFormat="1" customHeight="1" ht="0">
      <c r="A99" s="1812"/>
      <c r="B99" s="429"/>
      <c r="C99" s="1812"/>
      <c r="D99" s="1812"/>
      <c r="E99" s="267">
        <v>15</v>
      </c>
      <c r="F99" s="50" cm="1" t="str">
        <f t="array" ref="F99:F99">OFFSET(E99,-1,1)</f>
        <v>3</v>
      </c>
      <c r="G99" s="349" t="s">
        <v>1956</v>
      </c>
      <c r="H99" s="126" t="s">
        <v>1275</v>
      </c>
      <c r="I99" s="1812"/>
      <c r="J99" s="1812"/>
      <c r="K99" s="483" t="str">
        <f>F99&amp;"6komm"</f>
        <v>36komm</v>
      </c>
      <c r="L99" s="917" cm="1" t="str">
        <f t="array" ref="L99:L99">AK99</f>
        <v>0</v>
      </c>
      <c r="M99" s="1812"/>
      <c r="N99" s="1812"/>
      <c r="O99" s="1812"/>
      <c r="P99" s="1812"/>
      <c r="Q99" s="1812"/>
      <c r="R99" s="1812"/>
      <c r="S99" s="1812"/>
      <c r="T99" s="465" cm="1" t="str">
        <f t="array" ref="T99:T99">T98</f>
        <v>true</v>
      </c>
      <c r="U99" s="1812"/>
      <c r="V99" s="1812"/>
      <c r="W99" s="1812"/>
      <c r="X99" s="1543"/>
      <c r="Y99" s="1812"/>
      <c r="Z99" s="1565"/>
      <c r="AA99" s="1812"/>
      <c r="AB99" s="352" t="s">
        <v>452</v>
      </c>
      <c r="AC99" s="341" t="s">
        <v>1957</v>
      </c>
      <c r="AD99" s="90" t="s">
        <v>1514</v>
      </c>
      <c r="AE99" s="353">
        <f>SUM(AE100:AE102)</f>
        <v>0</v>
      </c>
      <c r="AF99" s="353">
        <f>SUM(AF100:AF102)</f>
        <v>0</v>
      </c>
      <c r="AG99" s="353">
        <f>SUM(AG100:AG102)</f>
        <v>0</v>
      </c>
      <c r="AH99" s="353">
        <f>SUM(AH100:AH102)</f>
        <v>0</v>
      </c>
      <c r="AI99" s="353">
        <f>SUM(AI100:AI102)</f>
        <v>0</v>
      </c>
      <c r="AJ99" s="353">
        <f>SUM(AJ100:AJ102)</f>
        <v>0</v>
      </c>
      <c r="AK99" s="309"/>
      <c r="AL99" s="1812"/>
      <c r="AM99" s="1812"/>
      <c r="AN99" s="1030" t="s">
        <v>396</v>
      </c>
    </row>
    <row s="1448" customFormat="1" customHeight="1" ht="0">
      <c r="A100" s="1812"/>
      <c r="B100" s="429"/>
      <c r="C100" s="1812"/>
      <c r="D100" s="1812"/>
      <c r="E100" s="267">
        <v>15</v>
      </c>
      <c r="F100" s="50" cm="1" t="str">
        <f t="array" ref="F100:F100">OFFSET(E100,-1,1)</f>
        <v>3</v>
      </c>
      <c r="G100" s="349" t="s">
        <v>1958</v>
      </c>
      <c r="H100" s="126" t="s">
        <v>1278</v>
      </c>
      <c r="I100" s="1812"/>
      <c r="J100" s="1812"/>
      <c r="K100" s="483" t="str">
        <f>F100&amp;"7komm"</f>
        <v>37komm</v>
      </c>
      <c r="L100" s="917" cm="1" t="str">
        <f t="array" ref="L100:L100">AK100</f>
        <v>0</v>
      </c>
      <c r="M100" s="1812"/>
      <c r="N100" s="1812"/>
      <c r="O100" s="1812"/>
      <c r="P100" s="1812"/>
      <c r="Q100" s="1812"/>
      <c r="R100" s="1812"/>
      <c r="S100" s="1812"/>
      <c r="T100" s="465" cm="1" t="str">
        <f t="array" ref="T100:T100">T99</f>
        <v>true</v>
      </c>
      <c r="U100" s="1812"/>
      <c r="V100" s="1812"/>
      <c r="W100" s="1812"/>
      <c r="X100" s="1543"/>
      <c r="Y100" s="1812"/>
      <c r="Z100" s="1565"/>
      <c r="AA100" s="1812"/>
      <c r="AB100" s="352" t="s">
        <v>1301</v>
      </c>
      <c r="AC100" s="214" t="s">
        <v>1959</v>
      </c>
      <c r="AD100" s="90" t="s">
        <v>1514</v>
      </c>
      <c r="AE100" s="229"/>
      <c r="AF100" s="229"/>
      <c r="AG100" s="229"/>
      <c r="AH100" s="229"/>
      <c r="AI100" s="229"/>
      <c r="AJ100" s="229"/>
      <c r="AK100" s="309"/>
      <c r="AL100" s="1812"/>
      <c r="AM100" s="1812"/>
      <c r="AN100" s="1030" t="s">
        <v>1960</v>
      </c>
    </row>
    <row s="1448" customFormat="1" customHeight="1" ht="0">
      <c r="A101" s="1812"/>
      <c r="B101" s="429"/>
      <c r="C101" s="1812"/>
      <c r="D101" s="1812"/>
      <c r="E101" s="267">
        <v>45</v>
      </c>
      <c r="F101" s="50" cm="1" t="str">
        <f t="array" ref="F101:F101">OFFSET(E101,-1,1)</f>
        <v>3</v>
      </c>
      <c r="G101" s="349" t="s">
        <v>1961</v>
      </c>
      <c r="H101" s="126" t="s">
        <v>1282</v>
      </c>
      <c r="I101" s="1812"/>
      <c r="J101" s="1812"/>
      <c r="K101" s="483" t="str">
        <f>F101&amp;"8komm"</f>
        <v>38komm</v>
      </c>
      <c r="L101" s="917" cm="1" t="str">
        <f t="array" ref="L101:L101">AK101</f>
        <v>0</v>
      </c>
      <c r="M101" s="1812"/>
      <c r="N101" s="1812"/>
      <c r="O101" s="1812"/>
      <c r="P101" s="1812"/>
      <c r="Q101" s="1812"/>
      <c r="R101" s="1812"/>
      <c r="S101" s="1812"/>
      <c r="T101" s="465" cm="1" t="str">
        <f t="array" ref="T101:T101">T100</f>
        <v>true</v>
      </c>
      <c r="U101" s="1812"/>
      <c r="V101" s="1812"/>
      <c r="W101" s="1812"/>
      <c r="X101" s="1543"/>
      <c r="Y101" s="1812"/>
      <c r="Z101" s="1565"/>
      <c r="AA101" s="1812"/>
      <c r="AB101" s="352" t="s">
        <v>1318</v>
      </c>
      <c r="AC101" s="762" t="s">
        <v>1962</v>
      </c>
      <c r="AD101" s="90" t="s">
        <v>1514</v>
      </c>
      <c r="AE101" s="229"/>
      <c r="AF101" s="229"/>
      <c r="AG101" s="229"/>
      <c r="AH101" s="229"/>
      <c r="AI101" s="229"/>
      <c r="AJ101" s="229"/>
      <c r="AK101" s="309"/>
      <c r="AL101" s="1812"/>
      <c r="AM101" s="1812"/>
      <c r="AN101" s="1030" t="s">
        <v>1963</v>
      </c>
    </row>
    <row s="1448" customFormat="1" customHeight="1" ht="0">
      <c r="A102" s="1812"/>
      <c r="B102" s="429"/>
      <c r="C102" s="1812"/>
      <c r="D102" s="1812"/>
      <c r="E102" s="267">
        <v>15</v>
      </c>
      <c r="F102" s="50" cm="1" t="str">
        <f t="array" ref="F102:F102">OFFSET(E102,-1,1)</f>
        <v>3</v>
      </c>
      <c r="G102" s="158" t="s">
        <v>1964</v>
      </c>
      <c r="H102" s="126" t="s">
        <v>1286</v>
      </c>
      <c r="I102" s="1812"/>
      <c r="J102" s="1812"/>
      <c r="K102" s="483" t="str">
        <f>F102&amp;"9komm"</f>
        <v>39komm</v>
      </c>
      <c r="L102" s="917" cm="1" t="str">
        <f t="array" ref="L102:L102">AK102</f>
        <v>0</v>
      </c>
      <c r="M102" s="1812"/>
      <c r="N102" s="1812"/>
      <c r="O102" s="1812"/>
      <c r="P102" s="1812"/>
      <c r="Q102" s="1812"/>
      <c r="R102" s="1812"/>
      <c r="S102" s="1812"/>
      <c r="T102" s="465" cm="1" t="str">
        <f t="array" ref="T102:T102">T101</f>
        <v>true</v>
      </c>
      <c r="U102" s="1812"/>
      <c r="V102" s="1812"/>
      <c r="W102" s="1812"/>
      <c r="X102" s="1543"/>
      <c r="Y102" s="1812"/>
      <c r="Z102" s="1565"/>
      <c r="AA102" s="1812"/>
      <c r="AB102" s="352" t="s">
        <v>1330</v>
      </c>
      <c r="AC102" s="214" t="s">
        <v>1965</v>
      </c>
      <c r="AD102" s="90" t="s">
        <v>1514</v>
      </c>
      <c r="AE102" s="229"/>
      <c r="AF102" s="229"/>
      <c r="AG102" s="229"/>
      <c r="AH102" s="229"/>
      <c r="AI102" s="1352"/>
      <c r="AJ102" s="1352"/>
      <c r="AK102" s="309"/>
      <c r="AL102" s="1812"/>
      <c r="AM102" s="1812"/>
      <c r="AN102" s="1030" t="s">
        <v>1966</v>
      </c>
    </row>
    <row s="1834" customFormat="1" customHeight="1" ht="10.5">
      <c r="A103" s="1304"/>
      <c r="B103" s="1436"/>
      <c r="C103" s="146"/>
      <c r="D103" s="146"/>
      <c r="E103" s="267">
        <v>11.25</v>
      </c>
      <c r="F103" s="98" cm="1" t="str">
        <f t="array" ref="F103:F103">X103</f>
        <v>4</v>
      </c>
      <c r="G103" s="146"/>
      <c r="H103" s="146"/>
      <c r="I103" s="146"/>
      <c r="J103" s="146"/>
      <c r="K103" s="146"/>
      <c r="L103" s="146"/>
      <c r="M103" s="146"/>
      <c r="N103" s="146"/>
      <c r="O103" s="146"/>
      <c r="P103" s="146"/>
      <c r="Q103" s="146"/>
      <c r="R103" s="146"/>
      <c r="S103" s="146"/>
      <c r="T103" s="465">
        <f>X103&gt;0</f>
        <v>1</v>
      </c>
      <c r="U103" s="146"/>
      <c r="V103" s="146" cm="1" t="str">
        <f t="array" ref="V103:V103">ФОТ!$AB$154</f>
        <v>Тариф 4 (Водоотведение) - тариф на водоотведение (Доп. признак не требуется)</v>
      </c>
      <c r="W103" s="146"/>
      <c r="X103" s="1543" t="s">
        <v>295</v>
      </c>
      <c r="Y103" s="146"/>
      <c r="Z103" s="1565"/>
      <c r="AA103" s="146"/>
      <c r="AB103" s="242" cm="1" t="str">
        <f t="array" ref="AB103:AB103">ФОТ!$AB$154</f>
        <v>Тариф 4 (Водоотведение) - тариф на водоотведение (Доп. признак не требуется)</v>
      </c>
      <c r="AC103" s="180"/>
      <c r="AD103" s="180"/>
      <c r="AE103" s="306">
        <f>AE104+AE105+AE106+AE114+AE115+AE116+AE117+AE118</f>
        <v>0</v>
      </c>
      <c r="AF103" s="306">
        <f>AF104+AF105+AF106+AF114+AF115+AF116+AF117+AF118</f>
        <v>0</v>
      </c>
      <c r="AG103" s="306">
        <f>AG104+AG105+AG106+AG114+AG115+AG116+AG117+AG118</f>
        <v>0</v>
      </c>
      <c r="AH103" s="306">
        <f>AH104+AH105+AH106+AH114+AH115+AH116+AH117+AH118</f>
        <v>0</v>
      </c>
      <c r="AI103" s="306">
        <f>AI104+AI105+AI106+AI114+AI115+AI116+AI117+AI118</f>
        <v>25732.3259537776</v>
      </c>
      <c r="AJ103" s="306">
        <f>AJ104+AJ105+AJ106+AJ114+AJ115+AJ116+AJ117+AJ118</f>
        <v>25732.3259537776</v>
      </c>
      <c r="AK103" s="174"/>
      <c r="AL103" s="146"/>
      <c r="AM103" s="1304"/>
      <c r="AN103" s="1306"/>
    </row>
    <row s="1834" customFormat="1" customHeight="1" ht="21.75">
      <c r="A104" s="1304"/>
      <c r="B104" s="1436"/>
      <c r="C104" s="146"/>
      <c r="D104" s="146"/>
      <c r="E104" s="267">
        <v>22.5</v>
      </c>
      <c r="F104" s="50" cm="1" t="str">
        <f t="array" ref="F104:F104">OFFSET(E104,-1,1)</f>
        <v>4</v>
      </c>
      <c r="G104" s="146"/>
      <c r="H104" s="126" t="s">
        <v>332</v>
      </c>
      <c r="I104" s="146"/>
      <c r="J104" s="146"/>
      <c r="K104" s="146"/>
      <c r="L104" s="146"/>
      <c r="M104" s="146"/>
      <c r="N104" s="146"/>
      <c r="O104" s="146"/>
      <c r="P104" s="146"/>
      <c r="Q104" s="146"/>
      <c r="R104" s="146"/>
      <c r="S104" s="146"/>
      <c r="T104" s="465" cm="1" t="str">
        <f t="array" ref="T104:T104">T103</f>
        <v>true</v>
      </c>
      <c r="U104" s="146"/>
      <c r="V104" s="146"/>
      <c r="W104" s="146"/>
      <c r="X104" s="1543"/>
      <c r="Y104" s="146"/>
      <c r="Z104" s="1565"/>
      <c r="AA104" s="146"/>
      <c r="AB104" s="352">
        <v>1</v>
      </c>
      <c r="AC104" s="341" t="s">
        <v>1890</v>
      </c>
      <c r="AD104" s="90" t="s">
        <v>1514</v>
      </c>
      <c r="AE104" s="892">
        <f>_xlfn.SUMIFS(ФОТ!AE$25:AE$188,ФОТ!$F$25:$F$188,$F104,ФОТ!$AC$25:$AC$188,$AC104)</f>
        <v>0</v>
      </c>
      <c r="AF104" s="892">
        <f>_xlfn.SUMIFS(ФОТ!AF$25:AF$188,ФОТ!$F$25:$F$188,$F104,ФОТ!$AC$25:$AC$188,$AC104)</f>
        <v>0</v>
      </c>
      <c r="AG104" s="892">
        <f>_xlfn.SUMIFS(ФОТ!AG$25:AG$188,ФОТ!$F$25:$F$188,$F104,ФОТ!$AC$25:$AC$188,$AC104)</f>
        <v>0</v>
      </c>
      <c r="AH104" s="892">
        <f>_xlfn.SUMIFS(ФОТ!AH$25:AH$188,ФОТ!$F$25:$F$188,$F104,ФОТ!$AC$25:$AC$188,$AC104)</f>
        <v>0</v>
      </c>
      <c r="AI104" s="892">
        <f>_xlfn.SUMIFS(ФОТ!AI$25:AI$188,ФОТ!$F$25:$F$188,$F104,ФОТ!$AC$25:$AC$188,$AC104)</f>
        <v>18796.1868999828</v>
      </c>
      <c r="AJ104" s="892">
        <f>_xlfn.SUMIFS(ФОТ!AJ$25:AJ$188,ФОТ!$F$25:$F$188,$F104,ФОТ!$AC$25:$AC$188,$AC104)</f>
        <v>18796.1868999828</v>
      </c>
      <c r="AK104" s="309"/>
      <c r="AL104" s="146"/>
      <c r="AM104" s="1304"/>
      <c r="AN104" s="1015" t="s">
        <v>1915</v>
      </c>
    </row>
    <row s="1834" customFormat="1" customHeight="1" ht="21.75">
      <c r="A105" s="1304"/>
      <c r="B105" s="1436"/>
      <c r="C105" s="146"/>
      <c r="D105" s="146"/>
      <c r="E105" s="267">
        <v>22.5</v>
      </c>
      <c r="F105" s="50" cm="1" t="str">
        <f t="array" ref="F105:F105">OFFSET(E105,-1,1)</f>
        <v>4</v>
      </c>
      <c r="G105" s="146"/>
      <c r="H105" s="126" t="s">
        <v>333</v>
      </c>
      <c r="I105" s="146"/>
      <c r="J105" s="483"/>
      <c r="K105" s="483"/>
      <c r="L105" s="483"/>
      <c r="M105" s="146"/>
      <c r="N105" s="146"/>
      <c r="O105" s="146"/>
      <c r="P105" s="146"/>
      <c r="Q105" s="146"/>
      <c r="R105" s="146"/>
      <c r="S105" s="146"/>
      <c r="T105" s="465" cm="1" t="str">
        <f t="array" ref="T105:T105">T104</f>
        <v>true</v>
      </c>
      <c r="U105" s="146"/>
      <c r="V105" s="146"/>
      <c r="W105" s="146"/>
      <c r="X105" s="1543"/>
      <c r="Y105" s="146"/>
      <c r="Z105" s="1565"/>
      <c r="AA105" s="146"/>
      <c r="AB105" s="352" t="s">
        <v>285</v>
      </c>
      <c r="AC105" s="341" t="s">
        <v>1895</v>
      </c>
      <c r="AD105" s="90" t="s">
        <v>1514</v>
      </c>
      <c r="AE105" s="892">
        <f>_xlfn.SUMIFS(ФОТ!AE$25:AE$188,ФОТ!$F$25:$F$188,$F105,ФОТ!$AC$25:$AC$188,$AC105)</f>
        <v>0</v>
      </c>
      <c r="AF105" s="892">
        <f>_xlfn.SUMIFS(ФОТ!AF$25:AF$188,ФОТ!$F$25:$F$188,$F105,ФОТ!$AC$25:$AC$188,$AC105)</f>
        <v>0</v>
      </c>
      <c r="AG105" s="892">
        <f>_xlfn.SUMIFS(ФОТ!AG$25:AG$188,ФОТ!$F$25:$F$188,$F105,ФОТ!$AC$25:$AC$188,$AC105)</f>
        <v>0</v>
      </c>
      <c r="AH105" s="892">
        <f>_xlfn.SUMIFS(ФОТ!AH$25:AH$188,ФОТ!$F$25:$F$188,$F105,ФОТ!$AC$25:$AC$188,$AC105)</f>
        <v>0</v>
      </c>
      <c r="AI105" s="892">
        <f>_xlfn.SUMIFS(ФОТ!AI$25:AI$188,ФОТ!$F$25:$F$188,$F105,ФОТ!$AC$25:$AC$188,$AC105)</f>
        <v>5676.44844379481</v>
      </c>
      <c r="AJ105" s="892">
        <f>_xlfn.SUMIFS(ФОТ!AJ$25:AJ$188,ФОТ!$F$25:$F$188,$F105,ФОТ!$AC$25:$AC$188,$AC105)</f>
        <v>5676.44844379481</v>
      </c>
      <c r="AK105" s="309"/>
      <c r="AL105" s="146"/>
      <c r="AM105" s="1304"/>
      <c r="AN105" s="1015" t="s">
        <v>1896</v>
      </c>
    </row>
    <row s="1834" customFormat="1" customHeight="1" ht="32.25">
      <c r="A106" s="1304"/>
      <c r="B106" s="1436"/>
      <c r="C106" s="146"/>
      <c r="D106" s="146"/>
      <c r="E106" s="267">
        <v>33.75</v>
      </c>
      <c r="F106" s="50" cm="1" t="str">
        <f t="array" ref="F106:F106">OFFSET(E106,-1,1)</f>
        <v>4</v>
      </c>
      <c r="G106" s="349" t="s">
        <v>1916</v>
      </c>
      <c r="H106" s="126" t="s">
        <v>334</v>
      </c>
      <c r="I106" s="146"/>
      <c r="J106" s="483"/>
      <c r="K106" s="483" t="str">
        <f>F106&amp;"17komm"</f>
        <v>417komm</v>
      </c>
      <c r="L106" s="917" cm="1" t="str">
        <f t="array" ref="L106:L106">AK106</f>
        <v>Учтены расходы по выданным долгосрочным параметрам и соответствуют предложению организации.</v>
      </c>
      <c r="M106" s="146"/>
      <c r="N106" s="146"/>
      <c r="O106" s="146"/>
      <c r="P106" s="146"/>
      <c r="Q106" s="146"/>
      <c r="R106" s="146"/>
      <c r="S106" s="146"/>
      <c r="T106" s="465" cm="1" t="str">
        <f t="array" ref="T106:T106">T105</f>
        <v>true</v>
      </c>
      <c r="U106" s="146"/>
      <c r="V106" s="146"/>
      <c r="W106" s="146"/>
      <c r="X106" s="1543"/>
      <c r="Y106" s="146"/>
      <c r="Z106" s="1565"/>
      <c r="AA106" s="146"/>
      <c r="AB106" s="352" t="s">
        <v>289</v>
      </c>
      <c r="AC106" s="341" t="s">
        <v>1917</v>
      </c>
      <c r="AD106" s="90" t="s">
        <v>1514</v>
      </c>
      <c r="AE106" s="238">
        <f>SUM(AE107:AE113)</f>
        <v>0</v>
      </c>
      <c r="AF106" s="238">
        <f>SUM(AF107:AF113)</f>
        <v>0</v>
      </c>
      <c r="AG106" s="238">
        <f>SUM(AG107:AG113)</f>
        <v>0</v>
      </c>
      <c r="AH106" s="238">
        <f>SUM(AH107:AH113)</f>
        <v>0</v>
      </c>
      <c r="AI106" s="238">
        <f>SUM(AI107:AI113)</f>
        <v>1237.342555</v>
      </c>
      <c r="AJ106" s="238">
        <f>SUM(AJ107:AJ113)</f>
        <v>1237.342555</v>
      </c>
      <c r="AK106" s="309" t="s">
        <v>1967</v>
      </c>
      <c r="AL106" s="146"/>
      <c r="AM106" s="1304"/>
      <c r="AN106" s="1015" t="s">
        <v>1918</v>
      </c>
    </row>
    <row s="1834" customFormat="1" customHeight="1" ht="23.25">
      <c r="A107" s="1834"/>
      <c r="B107" s="430"/>
      <c r="C107" s="146"/>
      <c r="D107" s="146"/>
      <c r="E107" s="267">
        <v>15</v>
      </c>
      <c r="F107" s="1175" cm="1" t="str">
        <f t="array" ref="F107:F107">OFFSET(E107,-1,1)</f>
        <v>4</v>
      </c>
      <c r="G107" s="158" t="s">
        <v>1919</v>
      </c>
      <c r="H107" s="126" t="s">
        <v>1658</v>
      </c>
      <c r="I107" s="146"/>
      <c r="J107" s="483"/>
      <c r="K107" s="483" t="str">
        <f>F107&amp;"18komm"</f>
        <v>418komm</v>
      </c>
      <c r="L107" s="917" cm="1" t="str">
        <f t="array" ref="L107:L107">AK107</f>
        <v>рассчитано по факту с января по май 2025 года предыдущей организации в пересчете на годовые показатели, с применением ИПЦ Минэкономразвития России на 2026 год 105,1%.</v>
      </c>
      <c r="M107" s="146"/>
      <c r="N107" s="146"/>
      <c r="O107" s="146"/>
      <c r="P107" s="146"/>
      <c r="Q107" s="146"/>
      <c r="R107" s="146"/>
      <c r="S107" s="146"/>
      <c r="T107" s="465" cm="1" t="str">
        <f t="array" ref="T107:T107">T106</f>
        <v>true</v>
      </c>
      <c r="U107" s="146"/>
      <c r="V107" s="146"/>
      <c r="W107" s="146"/>
      <c r="X107" s="1543"/>
      <c r="Y107" s="146"/>
      <c r="Z107" s="1565"/>
      <c r="AA107" s="146"/>
      <c r="AB107" s="352" t="s">
        <v>1264</v>
      </c>
      <c r="AC107" s="214" t="s">
        <v>1920</v>
      </c>
      <c r="AD107" s="90" t="s">
        <v>1514</v>
      </c>
      <c r="AE107" s="229"/>
      <c r="AF107" s="229"/>
      <c r="AG107" s="229"/>
      <c r="AH107" s="229"/>
      <c r="AI107" s="229">
        <v>68.197877</v>
      </c>
      <c r="AJ107" s="229">
        <v>68.197877</v>
      </c>
      <c r="AK107" s="309" t="s">
        <v>1971</v>
      </c>
      <c r="AL107" s="146"/>
      <c r="AM107" s="1834"/>
      <c r="AN107" s="1019" t="s">
        <v>1921</v>
      </c>
    </row>
    <row s="1448" customFormat="1" customHeight="1" ht="0">
      <c r="A108" s="1812"/>
      <c r="B108" s="429"/>
      <c r="C108" s="1812"/>
      <c r="D108" s="1812"/>
      <c r="E108" s="267">
        <v>15</v>
      </c>
      <c r="F108" s="50" cm="1" t="str">
        <f t="array" ref="F108:F108">OFFSET(E108,-1,1)</f>
        <v>4</v>
      </c>
      <c r="G108" s="158" t="s">
        <v>1922</v>
      </c>
      <c r="H108" s="126" t="s">
        <v>1660</v>
      </c>
      <c r="I108" s="1812"/>
      <c r="J108" s="483"/>
      <c r="K108" s="483" t="str">
        <f>F108&amp;"11komm"</f>
        <v>411komm</v>
      </c>
      <c r="L108" s="917" cm="1" t="str">
        <f t="array" ref="L108:L108">AK108</f>
        <v>0</v>
      </c>
      <c r="M108" s="1812"/>
      <c r="N108" s="1812"/>
      <c r="O108" s="1812"/>
      <c r="P108" s="1812"/>
      <c r="Q108" s="1812"/>
      <c r="R108" s="1812"/>
      <c r="S108" s="1812"/>
      <c r="T108" s="465" cm="1" t="str">
        <f t="array" ref="T108:T108">T107</f>
        <v>true</v>
      </c>
      <c r="U108" s="1812"/>
      <c r="V108" s="1812"/>
      <c r="W108" s="1812"/>
      <c r="X108" s="1543"/>
      <c r="Y108" s="1812"/>
      <c r="Z108" s="1565"/>
      <c r="AA108" s="1812"/>
      <c r="AB108" s="352" t="s">
        <v>1268</v>
      </c>
      <c r="AC108" s="214" t="s">
        <v>1923</v>
      </c>
      <c r="AD108" s="90" t="s">
        <v>1514</v>
      </c>
      <c r="AE108" s="229"/>
      <c r="AF108" s="229"/>
      <c r="AG108" s="229"/>
      <c r="AH108" s="229"/>
      <c r="AI108" s="229"/>
      <c r="AJ108" s="229"/>
      <c r="AK108" s="309"/>
      <c r="AL108" s="1812"/>
      <c r="AM108" s="1812"/>
      <c r="AN108" s="1030" t="s">
        <v>1924</v>
      </c>
    </row>
    <row s="1448" customFormat="1" customHeight="1" ht="0">
      <c r="A109" s="1812"/>
      <c r="B109" s="429"/>
      <c r="C109" s="1812"/>
      <c r="D109" s="1812"/>
      <c r="E109" s="267">
        <v>15</v>
      </c>
      <c r="F109" s="50" cm="1" t="str">
        <f t="array" ref="F109:F109">OFFSET(E109,-1,1)</f>
        <v>4</v>
      </c>
      <c r="G109" s="158" t="s">
        <v>1925</v>
      </c>
      <c r="H109" s="126" t="s">
        <v>1662</v>
      </c>
      <c r="I109" s="1812"/>
      <c r="J109" s="483"/>
      <c r="K109" s="483" t="str">
        <f>F109&amp;"12komm"</f>
        <v>412komm</v>
      </c>
      <c r="L109" s="917" cm="1" t="str">
        <f t="array" ref="L109:L109">AK109</f>
        <v>0</v>
      </c>
      <c r="M109" s="1812"/>
      <c r="N109" s="1812"/>
      <c r="O109" s="1812"/>
      <c r="P109" s="1812"/>
      <c r="Q109" s="1812"/>
      <c r="R109" s="1812"/>
      <c r="S109" s="1812"/>
      <c r="T109" s="465" cm="1" t="str">
        <f t="array" ref="T109:T109">T108</f>
        <v>true</v>
      </c>
      <c r="U109" s="1812"/>
      <c r="V109" s="1812"/>
      <c r="W109" s="1812"/>
      <c r="X109" s="1543"/>
      <c r="Y109" s="1812"/>
      <c r="Z109" s="1565"/>
      <c r="AA109" s="1812"/>
      <c r="AB109" s="352" t="s">
        <v>1480</v>
      </c>
      <c r="AC109" s="214" t="s">
        <v>1926</v>
      </c>
      <c r="AD109" s="90" t="s">
        <v>1514</v>
      </c>
      <c r="AE109" s="229"/>
      <c r="AF109" s="229"/>
      <c r="AG109" s="229"/>
      <c r="AH109" s="229"/>
      <c r="AI109" s="229"/>
      <c r="AJ109" s="229"/>
      <c r="AK109" s="309"/>
      <c r="AL109" s="1812"/>
      <c r="AM109" s="1812"/>
      <c r="AN109" s="1030" t="s">
        <v>1927</v>
      </c>
    </row>
    <row s="1448" customFormat="1" customHeight="1" ht="0">
      <c r="A110" s="1812"/>
      <c r="B110" s="429"/>
      <c r="C110" s="1812"/>
      <c r="D110" s="1812"/>
      <c r="E110" s="267">
        <v>15</v>
      </c>
      <c r="F110" s="50" cm="1" t="str">
        <f t="array" ref="F110:F110">OFFSET(E110,-1,1)</f>
        <v>4</v>
      </c>
      <c r="G110" s="158" t="s">
        <v>1928</v>
      </c>
      <c r="H110" s="126" t="s">
        <v>1664</v>
      </c>
      <c r="I110" s="1812"/>
      <c r="J110" s="483"/>
      <c r="K110" s="483" t="str">
        <f>F110&amp;"13komm"</f>
        <v>413komm</v>
      </c>
      <c r="L110" s="917" cm="1" t="str">
        <f t="array" ref="L110:L110">AK110</f>
        <v>0</v>
      </c>
      <c r="M110" s="1812"/>
      <c r="N110" s="1812"/>
      <c r="O110" s="1812"/>
      <c r="P110" s="1812"/>
      <c r="Q110" s="1812"/>
      <c r="R110" s="1812"/>
      <c r="S110" s="1812"/>
      <c r="T110" s="465" cm="1" t="str">
        <f t="array" ref="T110:T110">T109</f>
        <v>true</v>
      </c>
      <c r="U110" s="1812"/>
      <c r="V110" s="1812"/>
      <c r="W110" s="1812"/>
      <c r="X110" s="1543"/>
      <c r="Y110" s="1812"/>
      <c r="Z110" s="1565"/>
      <c r="AA110" s="1812"/>
      <c r="AB110" s="352" t="s">
        <v>1665</v>
      </c>
      <c r="AC110" s="214" t="s">
        <v>1929</v>
      </c>
      <c r="AD110" s="90" t="s">
        <v>1514</v>
      </c>
      <c r="AE110" s="229"/>
      <c r="AF110" s="229"/>
      <c r="AG110" s="229"/>
      <c r="AH110" s="229"/>
      <c r="AI110" s="229"/>
      <c r="AJ110" s="229"/>
      <c r="AK110" s="309"/>
      <c r="AL110" s="1812"/>
      <c r="AM110" s="1812"/>
      <c r="AN110" s="1030" t="s">
        <v>1930</v>
      </c>
    </row>
    <row s="1448" customFormat="1" customHeight="1" ht="0">
      <c r="A111" s="1812"/>
      <c r="B111" s="429"/>
      <c r="C111" s="1812"/>
      <c r="D111" s="1812"/>
      <c r="E111" s="267">
        <v>15</v>
      </c>
      <c r="F111" s="50" cm="1" t="str">
        <f t="array" ref="F111:F111">OFFSET(E111,-1,1)</f>
        <v>4</v>
      </c>
      <c r="G111" s="158" t="s">
        <v>1931</v>
      </c>
      <c r="H111" s="126" t="s">
        <v>1667</v>
      </c>
      <c r="I111" s="1812"/>
      <c r="J111" s="483"/>
      <c r="K111" s="483" t="str">
        <f>F111&amp;"14komm"</f>
        <v>414komm</v>
      </c>
      <c r="L111" s="917" cm="1" t="str">
        <f t="array" ref="L111:L111">AK111</f>
        <v>0</v>
      </c>
      <c r="M111" s="1812"/>
      <c r="N111" s="1812"/>
      <c r="O111" s="1812"/>
      <c r="P111" s="1812"/>
      <c r="Q111" s="1812"/>
      <c r="R111" s="1812"/>
      <c r="S111" s="1812"/>
      <c r="T111" s="465" cm="1" t="str">
        <f t="array" ref="T111:T111">T110</f>
        <v>true</v>
      </c>
      <c r="U111" s="1812"/>
      <c r="V111" s="1812"/>
      <c r="W111" s="1812"/>
      <c r="X111" s="1543"/>
      <c r="Y111" s="1812"/>
      <c r="Z111" s="1565"/>
      <c r="AA111" s="1812"/>
      <c r="AB111" s="352" t="s">
        <v>1668</v>
      </c>
      <c r="AC111" s="214" t="s">
        <v>1932</v>
      </c>
      <c r="AD111" s="90" t="s">
        <v>1514</v>
      </c>
      <c r="AE111" s="229"/>
      <c r="AF111" s="229"/>
      <c r="AG111" s="229"/>
      <c r="AH111" s="229"/>
      <c r="AI111" s="229"/>
      <c r="AJ111" s="229"/>
      <c r="AK111" s="309"/>
      <c r="AL111" s="1812"/>
      <c r="AM111" s="1812"/>
      <c r="AN111" s="1030" t="s">
        <v>1933</v>
      </c>
    </row>
    <row s="1448" customFormat="1" customHeight="1" ht="14.25">
      <c r="A112" s="1812"/>
      <c r="B112" s="429"/>
      <c r="C112" s="1812"/>
      <c r="D112" s="1812"/>
      <c r="E112" s="267">
        <v>15</v>
      </c>
      <c r="F112" s="50" cm="1" t="str">
        <f t="array" ref="F112:F112">OFFSET(E112,-1,1)</f>
        <v>4</v>
      </c>
      <c r="G112" s="158" t="s">
        <v>1934</v>
      </c>
      <c r="H112" s="126" t="s">
        <v>1935</v>
      </c>
      <c r="I112" s="1812"/>
      <c r="J112" s="483"/>
      <c r="K112" s="483" t="str">
        <f>F112&amp;"15komm"</f>
        <v>415komm</v>
      </c>
      <c r="L112" s="917" cm="1" t="str">
        <f t="array" ref="L112:L112">AK112</f>
        <v>по расчету организации, не превышает факт 2025 года предыдущей организации.</v>
      </c>
      <c r="M112" s="1812"/>
      <c r="N112" s="1812"/>
      <c r="O112" s="1812"/>
      <c r="P112" s="1812"/>
      <c r="Q112" s="1812"/>
      <c r="R112" s="1812"/>
      <c r="S112" s="1812"/>
      <c r="T112" s="465" cm="1" t="str">
        <f t="array" ref="T112:T112">T111</f>
        <v>true</v>
      </c>
      <c r="U112" s="1812"/>
      <c r="V112" s="1812"/>
      <c r="W112" s="1812"/>
      <c r="X112" s="1543"/>
      <c r="Y112" s="1812"/>
      <c r="Z112" s="1565"/>
      <c r="AA112" s="1812"/>
      <c r="AB112" s="352" t="s">
        <v>1936</v>
      </c>
      <c r="AC112" s="214" t="s">
        <v>1937</v>
      </c>
      <c r="AD112" s="90" t="s">
        <v>1514</v>
      </c>
      <c r="AE112" s="229"/>
      <c r="AF112" s="229"/>
      <c r="AG112" s="229"/>
      <c r="AH112" s="229"/>
      <c r="AI112" s="229">
        <v>20.976834</v>
      </c>
      <c r="AJ112" s="229">
        <v>20.976834</v>
      </c>
      <c r="AK112" s="309" t="s">
        <v>1968</v>
      </c>
      <c r="AL112" s="1812"/>
      <c r="AM112" s="1812"/>
      <c r="AN112" s="1030" t="s">
        <v>1938</v>
      </c>
    </row>
    <row s="1448" customFormat="1" customHeight="1" ht="159.75">
      <c r="A113" s="1812"/>
      <c r="B113" s="429"/>
      <c r="C113" s="1812"/>
      <c r="D113" s="1812"/>
      <c r="E113" s="267">
        <v>15</v>
      </c>
      <c r="F113" s="50" cm="1" t="str">
        <f t="array" ref="F113:F113">OFFSET(E113,-1,1)</f>
        <v>4</v>
      </c>
      <c r="G113" s="158" t="s">
        <v>1939</v>
      </c>
      <c r="H113" s="126" t="s">
        <v>1940</v>
      </c>
      <c r="I113" s="1812"/>
      <c r="J113" s="483"/>
      <c r="K113" s="483" t="str">
        <f>F113&amp;"16komm"</f>
        <v>416komm</v>
      </c>
      <c r="L113" s="917" cm="1" t="str">
        <f t="array" ref="L113:L113">AK113</f>
        <v>Учтены расходы:
1. По факту с января по май 2025 года в пересчете на годовые показатели, с применением ИПЦ Минэкономразвития России на 2026 год 105,1%:
- прочие расходы (спец.одежда, инструм., хозинвент., матер.на общехоз.и произв.нужды) 363,93 т.р.;
- расходы на канцелярию 245,43 т.р.;
- прочие услуги (изгот. печатей, постановка ККТ на учет, разм.рекламы по трудоустройству, доступ к серверу, изгот. сервис.карты) 97,52 т.р.
- почтовые расходы, типография, обсл.оргтех. 62,04 т.р.;
2. Услуги по начисл. и сбору ВС и ВО 367,49 т.р. приняты по факту с июня 2024 года по май 2025 года, с применением ИПЦ Минэкономразвития на 2025 год 109,0%, на 2026 год 105,1%.
3. По расчету организации ТБО 11,76 т.р. не превышает факт 2025 предыдущей организации.
</v>
      </c>
      <c r="M113" s="1812"/>
      <c r="N113" s="1812"/>
      <c r="O113" s="1812"/>
      <c r="P113" s="1812"/>
      <c r="Q113" s="1812"/>
      <c r="R113" s="1812"/>
      <c r="S113" s="1812"/>
      <c r="T113" s="465" cm="1" t="str">
        <f t="array" ref="T113:T113">T112</f>
        <v>true</v>
      </c>
      <c r="U113" s="1812"/>
      <c r="V113" s="1812"/>
      <c r="W113" s="1812"/>
      <c r="X113" s="1543"/>
      <c r="Y113" s="1812"/>
      <c r="Z113" s="1565"/>
      <c r="AA113" s="1812"/>
      <c r="AB113" s="352" t="s">
        <v>1941</v>
      </c>
      <c r="AC113" s="214" t="s">
        <v>1942</v>
      </c>
      <c r="AD113" s="90" t="s">
        <v>1514</v>
      </c>
      <c r="AE113" s="229"/>
      <c r="AF113" s="229"/>
      <c r="AG113" s="229"/>
      <c r="AH113" s="229"/>
      <c r="AI113" s="229">
        <v>1148.167844</v>
      </c>
      <c r="AJ113" s="229">
        <f>1237.342555-AJ107-AJ112</f>
        <v>1148.167844</v>
      </c>
      <c r="AK113" s="309" t="s">
        <v>1975</v>
      </c>
      <c r="AL113" s="1812"/>
      <c r="AM113" s="1812"/>
      <c r="AN113" s="1030" t="s">
        <v>1943</v>
      </c>
    </row>
    <row s="1448" customFormat="1" customHeight="1" ht="0">
      <c r="A114" s="1812"/>
      <c r="B114" s="429"/>
      <c r="C114" s="1812"/>
      <c r="D114" s="1812"/>
      <c r="E114" s="267">
        <v>33.75</v>
      </c>
      <c r="F114" s="50" cm="1" t="str">
        <f t="array" ref="F114:F114">OFFSET(E114,-1,1)</f>
        <v>4</v>
      </c>
      <c r="G114" s="349" t="s">
        <v>1944</v>
      </c>
      <c r="H114" s="126" t="s">
        <v>336</v>
      </c>
      <c r="I114" s="1812"/>
      <c r="J114" s="483"/>
      <c r="K114" s="483" t="str">
        <f>F114&amp;"2komm"</f>
        <v>42komm</v>
      </c>
      <c r="L114" s="917" cm="1" t="str">
        <f t="array" ref="L114:L114">AK114</f>
        <v>0</v>
      </c>
      <c r="M114" s="1812"/>
      <c r="N114" s="1812"/>
      <c r="O114" s="1812"/>
      <c r="P114" s="1812"/>
      <c r="Q114" s="1812"/>
      <c r="R114" s="1812"/>
      <c r="S114" s="1812"/>
      <c r="T114" s="465" cm="1" t="str">
        <f t="array" ref="T114:T114">T113</f>
        <v>true</v>
      </c>
      <c r="U114" s="1812"/>
      <c r="V114" s="1812"/>
      <c r="W114" s="1812"/>
      <c r="X114" s="1543"/>
      <c r="Y114" s="1812"/>
      <c r="Z114" s="1565"/>
      <c r="AA114" s="1812"/>
      <c r="AB114" s="352" t="s">
        <v>295</v>
      </c>
      <c r="AC114" s="341" t="s">
        <v>1945</v>
      </c>
      <c r="AD114" s="90" t="s">
        <v>1514</v>
      </c>
      <c r="AE114" s="229"/>
      <c r="AF114" s="229"/>
      <c r="AG114" s="229"/>
      <c r="AH114" s="229"/>
      <c r="AI114" s="229"/>
      <c r="AJ114" s="229"/>
      <c r="AK114" s="309"/>
      <c r="AL114" s="1812"/>
      <c r="AM114" s="1812"/>
      <c r="AN114" s="1030" t="s">
        <v>1946</v>
      </c>
    </row>
    <row s="1448" customFormat="1" customHeight="1" ht="23.25">
      <c r="A115" s="1812"/>
      <c r="B115" s="429"/>
      <c r="C115" s="1812"/>
      <c r="D115" s="1812"/>
      <c r="E115" s="267">
        <v>15</v>
      </c>
      <c r="F115" s="50" cm="1" t="str">
        <f t="array" ref="F115:F115">OFFSET(E115,-1,1)</f>
        <v>4</v>
      </c>
      <c r="G115" s="349" t="s">
        <v>1947</v>
      </c>
      <c r="H115" s="126" t="s">
        <v>335</v>
      </c>
      <c r="I115" s="1812"/>
      <c r="J115" s="483"/>
      <c r="K115" s="483" t="str">
        <f>F115&amp;"3komm"</f>
        <v>43komm</v>
      </c>
      <c r="L115" s="917" cm="1" t="str">
        <f t="array" ref="L115:L115">AK115</f>
        <v>рассчитано по факту 2024 года предыдущей организации, с применением ИПЦ Минэкономразвития России на 2025 год 109,0%, на 2026 год 105,1%.</v>
      </c>
      <c r="M115" s="1812"/>
      <c r="N115" s="1812"/>
      <c r="O115" s="1812"/>
      <c r="P115" s="1812"/>
      <c r="Q115" s="1812"/>
      <c r="R115" s="1812"/>
      <c r="S115" s="1812"/>
      <c r="T115" s="465" cm="1" t="str">
        <f t="array" ref="T115:T115">T114</f>
        <v>true</v>
      </c>
      <c r="U115" s="1812"/>
      <c r="V115" s="1812"/>
      <c r="W115" s="1812"/>
      <c r="X115" s="1543"/>
      <c r="Y115" s="1812"/>
      <c r="Z115" s="1565"/>
      <c r="AA115" s="1812"/>
      <c r="AB115" s="352" t="s">
        <v>443</v>
      </c>
      <c r="AC115" s="341" t="s">
        <v>1948</v>
      </c>
      <c r="AD115" s="90" t="s">
        <v>1514</v>
      </c>
      <c r="AE115" s="229"/>
      <c r="AF115" s="229"/>
      <c r="AG115" s="229"/>
      <c r="AH115" s="229"/>
      <c r="AI115" s="229">
        <v>22.348055</v>
      </c>
      <c r="AJ115" s="229">
        <v>22.348055</v>
      </c>
      <c r="AK115" s="309" t="s">
        <v>1973</v>
      </c>
      <c r="AL115" s="1812"/>
      <c r="AM115" s="1812"/>
      <c r="AN115" s="1030" t="s">
        <v>1949</v>
      </c>
    </row>
    <row s="1448" customFormat="1" customHeight="1" ht="0">
      <c r="A116" s="1812"/>
      <c r="B116" s="429"/>
      <c r="C116" s="1812"/>
      <c r="D116" s="1812"/>
      <c r="E116" s="267">
        <v>15</v>
      </c>
      <c r="F116" s="50" cm="1" t="str">
        <f t="array" ref="F116:F116">OFFSET(E116,-1,1)</f>
        <v>4</v>
      </c>
      <c r="G116" s="349" t="s">
        <v>1950</v>
      </c>
      <c r="H116" s="126" t="s">
        <v>1225</v>
      </c>
      <c r="I116" s="1812"/>
      <c r="J116" s="1812"/>
      <c r="K116" s="483" t="str">
        <f>F116&amp;"4komm"</f>
        <v>44komm</v>
      </c>
      <c r="L116" s="917" cm="1" t="str">
        <f t="array" ref="L116:L116">AK116</f>
        <v>0</v>
      </c>
      <c r="M116" s="1812"/>
      <c r="N116" s="1812"/>
      <c r="O116" s="1812"/>
      <c r="P116" s="1812"/>
      <c r="Q116" s="1812"/>
      <c r="R116" s="1812"/>
      <c r="S116" s="1812"/>
      <c r="T116" s="465" cm="1" t="str">
        <f t="array" ref="T116:T116">T115</f>
        <v>true</v>
      </c>
      <c r="U116" s="1812"/>
      <c r="V116" s="1812"/>
      <c r="W116" s="1812"/>
      <c r="X116" s="1543"/>
      <c r="Y116" s="1812"/>
      <c r="Z116" s="1565"/>
      <c r="AA116" s="1812"/>
      <c r="AB116" s="352" t="s">
        <v>446</v>
      </c>
      <c r="AC116" s="341" t="s">
        <v>1951</v>
      </c>
      <c r="AD116" s="90" t="s">
        <v>1514</v>
      </c>
      <c r="AE116" s="229"/>
      <c r="AF116" s="229"/>
      <c r="AG116" s="229"/>
      <c r="AH116" s="229"/>
      <c r="AI116" s="229"/>
      <c r="AJ116" s="229"/>
      <c r="AK116" s="309"/>
      <c r="AL116" s="1812"/>
      <c r="AM116" s="1812"/>
      <c r="AN116" s="1030" t="s">
        <v>1952</v>
      </c>
    </row>
    <row s="1448" customFormat="1" customHeight="1" ht="0">
      <c r="A117" s="1812"/>
      <c r="B117" s="429"/>
      <c r="C117" s="1812"/>
      <c r="D117" s="1812"/>
      <c r="E117" s="267">
        <v>15</v>
      </c>
      <c r="F117" s="50" cm="1" t="str">
        <f t="array" ref="F117:F117">OFFSET(E117,-1,1)</f>
        <v>4</v>
      </c>
      <c r="G117" s="349" t="s">
        <v>1953</v>
      </c>
      <c r="H117" s="126" t="s">
        <v>1228</v>
      </c>
      <c r="I117" s="1812"/>
      <c r="J117" s="1812"/>
      <c r="K117" s="483" t="str">
        <f>F117&amp;"5komm"</f>
        <v>45komm</v>
      </c>
      <c r="L117" s="917" cm="1" t="str">
        <f t="array" ref="L117:L117">AK117</f>
        <v>0</v>
      </c>
      <c r="M117" s="1812"/>
      <c r="N117" s="1812"/>
      <c r="O117" s="1812"/>
      <c r="P117" s="1812"/>
      <c r="Q117" s="1812"/>
      <c r="R117" s="1812"/>
      <c r="S117" s="1812"/>
      <c r="T117" s="465" cm="1" t="str">
        <f t="array" ref="T117:T117">T116</f>
        <v>true</v>
      </c>
      <c r="U117" s="1812"/>
      <c r="V117" s="1812"/>
      <c r="W117" s="1812"/>
      <c r="X117" s="1543"/>
      <c r="Y117" s="1812"/>
      <c r="Z117" s="1565"/>
      <c r="AA117" s="1812"/>
      <c r="AB117" s="352" t="s">
        <v>449</v>
      </c>
      <c r="AC117" s="341" t="s">
        <v>1954</v>
      </c>
      <c r="AD117" s="90" t="s">
        <v>1514</v>
      </c>
      <c r="AE117" s="229"/>
      <c r="AF117" s="229"/>
      <c r="AG117" s="229"/>
      <c r="AH117" s="229"/>
      <c r="AI117" s="229"/>
      <c r="AJ117" s="229"/>
      <c r="AK117" s="309"/>
      <c r="AL117" s="1812"/>
      <c r="AM117" s="1812"/>
      <c r="AN117" s="1030" t="s">
        <v>1955</v>
      </c>
    </row>
    <row s="1448" customFormat="1" customHeight="1" ht="0">
      <c r="A118" s="1812"/>
      <c r="B118" s="429"/>
      <c r="C118" s="1812"/>
      <c r="D118" s="1812"/>
      <c r="E118" s="267">
        <v>15</v>
      </c>
      <c r="F118" s="50" cm="1" t="str">
        <f t="array" ref="F118:F118">OFFSET(E118,-1,1)</f>
        <v>4</v>
      </c>
      <c r="G118" s="349" t="s">
        <v>1956</v>
      </c>
      <c r="H118" s="126" t="s">
        <v>1275</v>
      </c>
      <c r="I118" s="1812"/>
      <c r="J118" s="1812"/>
      <c r="K118" s="483" t="str">
        <f>F118&amp;"6komm"</f>
        <v>46komm</v>
      </c>
      <c r="L118" s="917" cm="1" t="str">
        <f t="array" ref="L118:L118">AK118</f>
        <v>0</v>
      </c>
      <c r="M118" s="1812"/>
      <c r="N118" s="1812"/>
      <c r="O118" s="1812"/>
      <c r="P118" s="1812"/>
      <c r="Q118" s="1812"/>
      <c r="R118" s="1812"/>
      <c r="S118" s="1812"/>
      <c r="T118" s="465" cm="1" t="str">
        <f t="array" ref="T118:T118">T117</f>
        <v>true</v>
      </c>
      <c r="U118" s="1812"/>
      <c r="V118" s="1812"/>
      <c r="W118" s="1812"/>
      <c r="X118" s="1543"/>
      <c r="Y118" s="1812"/>
      <c r="Z118" s="1565"/>
      <c r="AA118" s="1812"/>
      <c r="AB118" s="352" t="s">
        <v>452</v>
      </c>
      <c r="AC118" s="341" t="s">
        <v>1957</v>
      </c>
      <c r="AD118" s="90" t="s">
        <v>1514</v>
      </c>
      <c r="AE118" s="353">
        <f>SUM(AE119:AE121)</f>
        <v>0</v>
      </c>
      <c r="AF118" s="353">
        <f>SUM(AF119:AF121)</f>
        <v>0</v>
      </c>
      <c r="AG118" s="353">
        <f>SUM(AG119:AG121)</f>
        <v>0</v>
      </c>
      <c r="AH118" s="353">
        <f>SUM(AH119:AH121)</f>
        <v>0</v>
      </c>
      <c r="AI118" s="353">
        <f>SUM(AI119:AI121)</f>
        <v>0</v>
      </c>
      <c r="AJ118" s="353">
        <f>SUM(AJ119:AJ121)</f>
        <v>0</v>
      </c>
      <c r="AK118" s="309"/>
      <c r="AL118" s="1812"/>
      <c r="AM118" s="1812"/>
      <c r="AN118" s="1030" t="s">
        <v>396</v>
      </c>
    </row>
    <row s="1448" customFormat="1" customHeight="1" ht="0">
      <c r="A119" s="1812"/>
      <c r="B119" s="429"/>
      <c r="C119" s="1812"/>
      <c r="D119" s="1812"/>
      <c r="E119" s="267">
        <v>15</v>
      </c>
      <c r="F119" s="50" cm="1" t="str">
        <f t="array" ref="F119:F119">OFFSET(E119,-1,1)</f>
        <v>4</v>
      </c>
      <c r="G119" s="349" t="s">
        <v>1958</v>
      </c>
      <c r="H119" s="126" t="s">
        <v>1278</v>
      </c>
      <c r="I119" s="1812"/>
      <c r="J119" s="1812"/>
      <c r="K119" s="483" t="str">
        <f>F119&amp;"7komm"</f>
        <v>47komm</v>
      </c>
      <c r="L119" s="917" cm="1" t="str">
        <f t="array" ref="L119:L119">AK119</f>
        <v>0</v>
      </c>
      <c r="M119" s="1812"/>
      <c r="N119" s="1812"/>
      <c r="O119" s="1812"/>
      <c r="P119" s="1812"/>
      <c r="Q119" s="1812"/>
      <c r="R119" s="1812"/>
      <c r="S119" s="1812"/>
      <c r="T119" s="465" cm="1" t="str">
        <f t="array" ref="T119:T119">T118</f>
        <v>true</v>
      </c>
      <c r="U119" s="1812"/>
      <c r="V119" s="1812"/>
      <c r="W119" s="1812"/>
      <c r="X119" s="1543"/>
      <c r="Y119" s="1812"/>
      <c r="Z119" s="1565"/>
      <c r="AA119" s="1812"/>
      <c r="AB119" s="352" t="s">
        <v>1301</v>
      </c>
      <c r="AC119" s="214" t="s">
        <v>1959</v>
      </c>
      <c r="AD119" s="90" t="s">
        <v>1514</v>
      </c>
      <c r="AE119" s="229"/>
      <c r="AF119" s="229"/>
      <c r="AG119" s="229"/>
      <c r="AH119" s="229"/>
      <c r="AI119" s="229"/>
      <c r="AJ119" s="229"/>
      <c r="AK119" s="309"/>
      <c r="AL119" s="1812"/>
      <c r="AM119" s="1812"/>
      <c r="AN119" s="1030" t="s">
        <v>1960</v>
      </c>
    </row>
    <row s="1448" customFormat="1" customHeight="1" ht="0">
      <c r="A120" s="1812"/>
      <c r="B120" s="429"/>
      <c r="C120" s="1812"/>
      <c r="D120" s="1812"/>
      <c r="E120" s="267">
        <v>45</v>
      </c>
      <c r="F120" s="50" cm="1" t="str">
        <f t="array" ref="F120:F120">OFFSET(E120,-1,1)</f>
        <v>4</v>
      </c>
      <c r="G120" s="349" t="s">
        <v>1961</v>
      </c>
      <c r="H120" s="126" t="s">
        <v>1282</v>
      </c>
      <c r="I120" s="1812"/>
      <c r="J120" s="1812"/>
      <c r="K120" s="483" t="str">
        <f>F120&amp;"8komm"</f>
        <v>48komm</v>
      </c>
      <c r="L120" s="917" cm="1" t="str">
        <f t="array" ref="L120:L120">AK120</f>
        <v>0</v>
      </c>
      <c r="M120" s="1812"/>
      <c r="N120" s="1812"/>
      <c r="O120" s="1812"/>
      <c r="P120" s="1812"/>
      <c r="Q120" s="1812"/>
      <c r="R120" s="1812"/>
      <c r="S120" s="1812"/>
      <c r="T120" s="465" cm="1" t="str">
        <f t="array" ref="T120:T120">T119</f>
        <v>true</v>
      </c>
      <c r="U120" s="1812"/>
      <c r="V120" s="1812"/>
      <c r="W120" s="1812"/>
      <c r="X120" s="1543"/>
      <c r="Y120" s="1812"/>
      <c r="Z120" s="1565"/>
      <c r="AA120" s="1812"/>
      <c r="AB120" s="352" t="s">
        <v>1318</v>
      </c>
      <c r="AC120" s="762" t="s">
        <v>1962</v>
      </c>
      <c r="AD120" s="90" t="s">
        <v>1514</v>
      </c>
      <c r="AE120" s="229"/>
      <c r="AF120" s="229"/>
      <c r="AG120" s="229"/>
      <c r="AH120" s="229"/>
      <c r="AI120" s="229"/>
      <c r="AJ120" s="229"/>
      <c r="AK120" s="309"/>
      <c r="AL120" s="1812"/>
      <c r="AM120" s="1812"/>
      <c r="AN120" s="1030" t="s">
        <v>1963</v>
      </c>
    </row>
    <row s="1448" customFormat="1" customHeight="1" ht="0">
      <c r="A121" s="1812"/>
      <c r="B121" s="429"/>
      <c r="C121" s="1812"/>
      <c r="D121" s="1812"/>
      <c r="E121" s="267">
        <v>15</v>
      </c>
      <c r="F121" s="50" cm="1" t="str">
        <f t="array" ref="F121:F121">OFFSET(E121,-1,1)</f>
        <v>4</v>
      </c>
      <c r="G121" s="158" t="s">
        <v>1964</v>
      </c>
      <c r="H121" s="126" t="s">
        <v>1286</v>
      </c>
      <c r="I121" s="1812"/>
      <c r="J121" s="1812"/>
      <c r="K121" s="483" t="str">
        <f>F121&amp;"9komm"</f>
        <v>49komm</v>
      </c>
      <c r="L121" s="917" cm="1" t="str">
        <f t="array" ref="L121:L121">AK121</f>
        <v>0</v>
      </c>
      <c r="M121" s="1812"/>
      <c r="N121" s="1812"/>
      <c r="O121" s="1812"/>
      <c r="P121" s="1812"/>
      <c r="Q121" s="1812"/>
      <c r="R121" s="1812"/>
      <c r="S121" s="1812"/>
      <c r="T121" s="465" cm="1" t="str">
        <f t="array" ref="T121:T121">T120</f>
        <v>true</v>
      </c>
      <c r="U121" s="1812"/>
      <c r="V121" s="1812"/>
      <c r="W121" s="1812"/>
      <c r="X121" s="1543"/>
      <c r="Y121" s="1812"/>
      <c r="Z121" s="1565"/>
      <c r="AA121" s="1812"/>
      <c r="AB121" s="352" t="s">
        <v>1330</v>
      </c>
      <c r="AC121" s="214" t="s">
        <v>1965</v>
      </c>
      <c r="AD121" s="90" t="s">
        <v>1514</v>
      </c>
      <c r="AE121" s="229"/>
      <c r="AF121" s="229"/>
      <c r="AG121" s="229"/>
      <c r="AH121" s="229"/>
      <c r="AI121" s="1352"/>
      <c r="AJ121" s="1352"/>
      <c r="AK121" s="309"/>
      <c r="AL121" s="1812"/>
      <c r="AM121" s="1812"/>
      <c r="AN121" s="1030" t="s">
        <v>1966</v>
      </c>
    </row>
    <row s="1812" customFormat="1" customHeight="1" ht="10.96875">
      <c r="B122" s="429"/>
      <c r="C122" s="0"/>
      <c r="D122" s="0"/>
      <c r="E122" s="267">
        <v>11.25</v>
      </c>
      <c r="F122" s="85"/>
      <c r="G122" s="0"/>
      <c r="H122" s="0"/>
      <c r="I122" s="0"/>
      <c r="J122" s="0"/>
      <c r="K122" s="0"/>
      <c r="L122" s="0"/>
      <c r="M122" s="0"/>
      <c r="N122" s="0"/>
      <c r="O122" s="0"/>
      <c r="P122" s="0"/>
      <c r="Q122" s="0"/>
      <c r="R122" s="0"/>
      <c r="S122" s="0"/>
      <c r="T122" s="0"/>
      <c r="U122" s="0" t="s">
        <v>178</v>
      </c>
      <c r="V122" s="140" t="s">
        <v>1976</v>
      </c>
      <c r="W122" s="0"/>
      <c r="X122" s="0"/>
      <c r="Y122" s="0"/>
      <c r="Z122" s="0"/>
      <c r="AA122" s="0"/>
      <c r="AB122" s="0"/>
      <c r="AC122" s="100"/>
      <c r="AD122" s="100"/>
      <c r="AE122" s="354"/>
      <c r="AF122" s="354"/>
      <c r="AG122" s="355"/>
      <c r="AH122" s="355"/>
      <c r="AI122" s="355"/>
      <c r="AJ122" s="0"/>
      <c r="AK122" s="0"/>
      <c r="AL122" s="0"/>
      <c r="AN122" s="1030"/>
    </row>
    <row s="1812" customFormat="1" customHeight="1" ht="14.625">
      <c r="B123" s="429"/>
      <c r="C123" s="98"/>
      <c r="D123" s="98"/>
      <c r="E123" s="632">
        <v>15</v>
      </c>
      <c r="F123" s="98"/>
      <c r="G123" s="98"/>
      <c r="H123" s="98"/>
      <c r="I123" s="98"/>
      <c r="J123" s="98"/>
      <c r="K123" s="98"/>
      <c r="L123" s="98"/>
      <c r="M123" s="98"/>
      <c r="N123" s="98"/>
      <c r="O123" s="98"/>
      <c r="P123" s="98"/>
      <c r="Q123" s="98"/>
      <c r="R123" s="349"/>
      <c r="S123" s="98"/>
      <c r="T123" s="98"/>
      <c r="U123" s="98"/>
      <c r="V123" s="98"/>
      <c r="W123" s="98"/>
      <c r="X123" s="98"/>
      <c r="Y123" s="98"/>
      <c r="Z123" s="98"/>
      <c r="AA123" s="98"/>
      <c r="AB123" s="1577" t="s">
        <v>407</v>
      </c>
      <c r="AC123" s="1577"/>
      <c r="AD123" s="1577"/>
      <c r="AE123" s="1577"/>
      <c r="AF123" s="1577"/>
      <c r="AG123" s="1577"/>
      <c r="AH123" s="1577"/>
      <c r="AI123" s="1598"/>
      <c r="AJ123" s="1598"/>
      <c r="AK123" s="1598"/>
      <c r="AL123" s="98"/>
      <c r="AN123" s="1030"/>
    </row>
    <row s="1812" customFormat="1" customHeight="1" ht="14.625">
      <c r="B124" s="429"/>
      <c r="C124" s="98"/>
      <c r="D124" s="98"/>
      <c r="E124" s="632">
        <v>15</v>
      </c>
      <c r="F124" s="98"/>
      <c r="G124" s="98"/>
      <c r="H124" s="98"/>
      <c r="I124" s="98"/>
      <c r="J124" s="98"/>
      <c r="K124" s="98"/>
      <c r="L124" s="98"/>
      <c r="M124" s="98"/>
      <c r="N124" s="98"/>
      <c r="O124" s="98"/>
      <c r="P124" s="98"/>
      <c r="Q124" s="98"/>
      <c r="R124" s="349"/>
      <c r="S124" s="98"/>
      <c r="U124" s="98"/>
      <c r="V124" s="98"/>
      <c r="W124" s="98"/>
      <c r="X124" s="98"/>
      <c r="Y124" s="98"/>
      <c r="Z124" s="98"/>
      <c r="AA124" s="173"/>
      <c r="AB124" s="1599" t="s">
        <v>1977</v>
      </c>
      <c r="AC124" s="1599"/>
      <c r="AD124" s="1599"/>
      <c r="AE124" s="1599"/>
      <c r="AF124" s="1599"/>
      <c r="AG124" s="1599"/>
      <c r="AH124" s="1599"/>
      <c r="AI124" s="3542"/>
      <c r="AJ124" s="3542"/>
      <c r="AK124" s="1600"/>
      <c r="AL124" s="98"/>
      <c r="AN124" s="1030"/>
    </row>
    <row s="1812" customFormat="1" customHeight="1" ht="14.625" hidden="1">
      <c r="E125" s="632">
        <v>15</v>
      </c>
      <c r="T125" s="465">
        <f>ROW(W125)&gt;ROW(W$125)</f>
        <v>0</v>
      </c>
      <c r="W125" s="717" t="s">
        <v>174</v>
      </c>
      <c r="AA125" s="64" t="s">
        <v>175</v>
      </c>
      <c r="AB125" s="61" t="s">
        <v>227</v>
      </c>
      <c r="AC125" s="61"/>
      <c r="AD125" s="61"/>
      <c r="AE125" s="61"/>
      <c r="AF125" s="61"/>
      <c r="AG125" s="61"/>
      <c r="AH125" s="61"/>
      <c r="AI125" s="62"/>
      <c r="AJ125" s="62"/>
      <c r="AK125" s="62"/>
      <c r="AN125" s="1030"/>
    </row>
    <row s="1448" customFormat="1" customHeight="1" ht="23.25">
      <c r="A126" s="1812"/>
      <c r="B126" s="1812"/>
      <c r="C126" s="1812"/>
      <c r="D126" s="1812"/>
      <c r="E126" s="632">
        <v>15</v>
      </c>
      <c r="F126" s="1812"/>
      <c r="G126" s="1812"/>
      <c r="H126" s="1812"/>
      <c r="I126" s="1812"/>
      <c r="J126" s="1812"/>
      <c r="K126" s="1812"/>
      <c r="L126" s="1812"/>
      <c r="M126" s="1812"/>
      <c r="N126" s="1812"/>
      <c r="O126" s="1812"/>
      <c r="P126" s="1812"/>
      <c r="Q126" s="1812"/>
      <c r="R126" s="1812"/>
      <c r="S126" s="1812"/>
      <c r="T126" s="465">
        <f>ROW(W126)&gt;ROW(W$125)</f>
        <v>1</v>
      </c>
      <c r="U126" s="1812"/>
      <c r="V126" s="1812"/>
      <c r="W126" s="717"/>
      <c r="X126" s="1812"/>
      <c r="Y126" s="1812" t="s">
        <v>227</v>
      </c>
      <c r="Z126" s="1812"/>
      <c r="AA126" s="64" t="s">
        <v>175</v>
      </c>
      <c r="AB126" s="3543" t="s">
        <v>1569</v>
      </c>
      <c r="AC126" s="61"/>
      <c r="AD126" s="61"/>
      <c r="AE126" s="61"/>
      <c r="AF126" s="61"/>
      <c r="AG126" s="61"/>
      <c r="AH126" s="61"/>
      <c r="AI126" s="62"/>
      <c r="AJ126" s="62"/>
      <c r="AK126" s="62"/>
      <c r="AL126" s="1812"/>
      <c r="AM126" s="1812"/>
      <c r="AN126" s="1030"/>
    </row>
    <row s="1448" customFormat="1" customHeight="1" ht="33.75">
      <c r="A127" s="1812"/>
      <c r="B127" s="1812"/>
      <c r="C127" s="1812"/>
      <c r="D127" s="1812"/>
      <c r="E127" s="632">
        <v>15</v>
      </c>
      <c r="F127" s="1812"/>
      <c r="G127" s="1812"/>
      <c r="H127" s="1812"/>
      <c r="I127" s="1812"/>
      <c r="J127" s="1812"/>
      <c r="K127" s="1812"/>
      <c r="L127" s="1812"/>
      <c r="M127" s="1812"/>
      <c r="N127" s="1812"/>
      <c r="O127" s="1812"/>
      <c r="P127" s="1812"/>
      <c r="Q127" s="1812"/>
      <c r="R127" s="1812"/>
      <c r="S127" s="1812"/>
      <c r="T127" s="465">
        <f>ROW(W127)&gt;ROW(W$125)</f>
        <v>1</v>
      </c>
      <c r="U127" s="1812"/>
      <c r="V127" s="1812"/>
      <c r="W127" s="717"/>
      <c r="X127" s="1812"/>
      <c r="Y127" s="1812"/>
      <c r="Z127" s="1812"/>
      <c r="AA127" s="64" t="s">
        <v>175</v>
      </c>
      <c r="AB127" s="3543" t="s">
        <v>1912</v>
      </c>
      <c r="AC127" s="61"/>
      <c r="AD127" s="61"/>
      <c r="AE127" s="61"/>
      <c r="AF127" s="61"/>
      <c r="AG127" s="61"/>
      <c r="AH127" s="61"/>
      <c r="AI127" s="62"/>
      <c r="AJ127" s="62"/>
      <c r="AK127" s="62"/>
      <c r="AL127" s="1812"/>
      <c r="AM127" s="1812"/>
      <c r="AN127" s="1030"/>
    </row>
    <row s="1812" customFormat="1" customHeight="1" ht="14.625">
      <c r="B128" s="429"/>
      <c r="C128" s="98"/>
      <c r="D128" s="98"/>
      <c r="E128" s="632">
        <v>15</v>
      </c>
      <c r="F128" s="98"/>
      <c r="G128" s="98"/>
      <c r="H128" s="98"/>
      <c r="I128" s="98"/>
      <c r="J128" s="98"/>
      <c r="K128" s="98"/>
      <c r="L128" s="98"/>
      <c r="M128" s="98"/>
      <c r="N128" s="98"/>
      <c r="O128" s="98"/>
      <c r="P128" s="98"/>
      <c r="Q128" s="98"/>
      <c r="R128" s="349"/>
      <c r="S128" s="98"/>
      <c r="T128" s="98"/>
      <c r="U128" s="98"/>
      <c r="V128" s="98"/>
      <c r="W128" s="757" t="s">
        <v>408</v>
      </c>
      <c r="X128" s="98"/>
      <c r="Y128" s="98"/>
      <c r="Z128" s="98"/>
      <c r="AA128" s="98"/>
      <c r="AB128" s="647"/>
      <c r="AC128" s="514" t="s">
        <v>1978</v>
      </c>
      <c r="AD128" s="310"/>
      <c r="AE128" s="310"/>
      <c r="AF128" s="311"/>
      <c r="AG128" s="311"/>
      <c r="AH128" s="311"/>
      <c r="AI128" s="311"/>
      <c r="AJ128" s="311"/>
      <c r="AK128" s="312"/>
      <c r="AL128" s="98"/>
      <c r="AN128" s="1030"/>
    </row>
    <row s="1834" customFormat="1" customHeight="1" ht="11.25">
      <c r="B129" s="430"/>
      <c r="E129" s="686" t="s">
        <v>461</v>
      </c>
      <c r="F129" s="85"/>
      <c r="AC129" s="100"/>
      <c r="AD129" s="100"/>
      <c r="AE129" s="354"/>
      <c r="AF129" s="354"/>
      <c r="AG129" s="355"/>
      <c r="AH129" s="355"/>
      <c r="AI129" s="355"/>
      <c r="AJ129" s="1834"/>
      <c r="AL129" s="0"/>
      <c r="AN129" s="1019"/>
    </row>
  </sheetData>
  <sheetProtection formatColumns="0" formatRows="0" insertRows="0" deleteColumns="0" deleteRows="0" sort="0" autoFilter="0" insertColumns="1"/>
  <mergeCells count="19">
    <mergeCell ref="AB125:AK125"/>
    <mergeCell ref="X27:X45"/>
    <mergeCell ref="Z27:Z45"/>
    <mergeCell ref="AB123:AK123"/>
    <mergeCell ref="AB124:AK124"/>
    <mergeCell ref="AB24:AB25"/>
    <mergeCell ref="AC24:AC25"/>
    <mergeCell ref="AD24:AD25"/>
    <mergeCell ref="AK24:AK25"/>
    <mergeCell ref="X46:X64"/>
    <mergeCell ref="Z46:Z64"/>
    <mergeCell ref="X65:X83"/>
    <mergeCell ref="Z65:Z83"/>
    <mergeCell ref="X84:X102"/>
    <mergeCell ref="Z84:Z102"/>
    <mergeCell ref="X103:X121"/>
    <mergeCell ref="Z103:Z121"/>
    <mergeCell ref="AB126:AK126"/>
    <mergeCell ref="AB127:AK127"/>
  </mergeCells>
  <dataValidations count="1">
    <dataValidation type="decimal" allowBlank="1" showErrorMessage="1" errorTitle="Ошибка" error="Допускается ввод только неотрицательных чисел!" sqref="AH45 AH50:AH60 AH62:AH64 AH69:AH79 AH81:AH83 AH88:AH98 AH100:AH102 AH107:AH117 AH119:AH121 AG45 AG50:AG60 AG62:AG64 AG69:AG79 AG81:AG83 AG88:AG98 AG100:AG102 AG107:AG117 AG119:AG121 AF45 AF50:AF60 AF62:AF64 AF69:AF79 AF81:AF83 AF88:AF98 AF100:AF102 AF107:AF117 AF119:AF121 AE45 AE50:AE60 AE62:AE64 AE69:AE79 AE81:AE83 AE88:AE98 AE100:AE102 AE107:AE117 AE119:AE121 AE43:AJ44 AE31:AJ41 AI50 AJ50 AI51 AJ51 AI52 AJ52 AI53 AJ53 AI54 AJ54 AI55 AJ55 AI56 AJ56 AI57 AJ57 AI58 AJ58 AI59 AJ59 AI60 AJ60 AI62 AJ62 AI63 AJ63 AI69 AJ69 AI70 AJ70 AI71 AJ71 AI72 AJ72 AI73 AJ73 AI74 AJ74 AI75 AJ75 AI76 AJ76 AI77 AJ77 AI78 AJ78 AI79 AJ79 AI81 AJ81 AI82 AJ82 AI88 AJ88 AI89 AJ89 AI90 AJ90 AI91 AJ91 AI92 AJ92 AI93 AJ93 AI94 AJ94 AI95 AJ95 AI96 AJ96 AI97 AJ97 AI98 AJ98 AI100 AJ100 AI101 AJ101 AI107 AJ107 AI108 AJ108 AI109 AJ109 AI110 AJ110 AI111 AJ111 AI112 AJ112 AI113 AJ113 AI114 AJ114 AI115 AJ115 AI116 AJ116 AI117 AJ117 AI119 AJ119 AI120 AJ120">
      <formula1>0</formula1>
      <formula2>9.99999999999999E+23</formula2>
    </dataValidation>
  </dataValidation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48C048-6388-763A-F7D8-840150121948}" mc:Ignorable="x14ac xr xr2 xr3">
  <sheetPr>
    <tabColor rgb="FF002060"/>
    <outlinePr summaryBelow="0"/>
  </sheetPr>
  <dimension ref="A1:AR93"/>
  <sheetViews>
    <sheetView showGridLines="0" workbookViewId="0">
      <pane xSplit="30" ySplit="25" topLeftCell="AE39" activePane="bottomRight" state="frozen"/>
      <selection pane="bottomLeft" activeCell="A26" sqref="A26"/>
      <selection pane="topRight" activeCell="AE1" sqref="AE1"/>
      <selection pane="bottomRight" activeCell="AA21" sqref="AA21"/>
    </sheetView>
  </sheetViews>
  <sheetFormatPr defaultColWidth="9.140625" customHeight="1" defaultRowHeight="14.25"/>
  <cols>
    <col min="1" max="1" style="1758" width="3.57421875" hidden="1" customWidth="1"/>
    <col min="2" max="2" style="1416" width="8.57421875" hidden="1" customWidth="1"/>
    <col min="3" max="4" style="1758" width="3.57421875" hidden="1" customWidth="1"/>
    <col min="5" max="5" style="1757" width="3.57421875" hidden="1" customWidth="1"/>
    <col min="6" max="6" style="1758" width="3.57421875" hidden="1" customWidth="1"/>
    <col min="7" max="7" style="1758" width="9.28125" hidden="1" customWidth="1"/>
    <col min="8" max="19" style="1758" width="3.57421875" hidden="1" customWidth="1"/>
    <col min="20" max="20" style="1758" width="10.421875" hidden="1" customWidth="1"/>
    <col min="21" max="21" style="1758" width="5.8515625" hidden="1" customWidth="1"/>
    <col min="22" max="23" style="1758" width="6.140625" hidden="1" customWidth="1"/>
    <col min="24" max="25" style="1758" width="5.57421875" hidden="1" customWidth="1"/>
    <col min="26" max="26" style="1758" width="5.28125" hidden="1" customWidth="1"/>
    <col min="27" max="27" style="448" width="3.00390625" customWidth="1"/>
    <col min="28" max="28" style="448" width="11.00390625" customWidth="1"/>
    <col min="29" max="29" style="448" width="50.140625" customWidth="1"/>
    <col min="30" max="30" style="448" width="10.29296875" customWidth="1"/>
    <col min="31" max="36" style="448" width="13.00390625" customWidth="1"/>
    <col min="37" max="37" style="448" width="20.00390625" customWidth="1"/>
    <col min="38" max="38" style="448" width="3.00390625" customWidth="1"/>
    <col min="39" max="39" style="448" width="9.140625" hidden="1"/>
    <col min="40" max="42" style="1764" width="9.140625" hidden="1"/>
    <col min="43" max="44" style="1757" width="9.140625" hidden="1"/>
  </cols>
  <sheetData>
    <row s="1758" customFormat="1" customHeight="1" ht="11.25" hidden="1">
      <c r="B1" s="428"/>
      <c r="F1" s="122" t="s">
        <v>321</v>
      </c>
      <c r="G1" s="122" t="s">
        <v>331</v>
      </c>
      <c r="H1" s="122" t="s">
        <v>357</v>
      </c>
      <c r="T1" s="465" t="s">
        <v>93</v>
      </c>
      <c r="U1" s="465" t="s">
        <v>98</v>
      </c>
      <c r="V1" s="465" t="s">
        <v>94</v>
      </c>
      <c r="W1" s="465" t="s">
        <v>95</v>
      </c>
      <c r="X1" s="465" t="s">
        <v>96</v>
      </c>
      <c r="Y1" s="467" t="s">
        <v>323</v>
      </c>
      <c r="Z1" s="465" t="s">
        <v>100</v>
      </c>
      <c r="AA1" s="466" t="s">
        <v>97</v>
      </c>
      <c r="AB1" s="85"/>
      <c r="AC1" s="466" t="s">
        <v>99</v>
      </c>
      <c r="AI1" s="1758"/>
      <c r="AJ1" s="1758"/>
      <c r="AN1" s="997" t="s">
        <v>324</v>
      </c>
      <c r="AO1" s="997" t="s">
        <v>325</v>
      </c>
      <c r="AP1" s="997" t="s">
        <v>326</v>
      </c>
      <c r="AQ1" s="618" t="s">
        <v>329</v>
      </c>
      <c r="AR1" s="618" t="s">
        <v>330</v>
      </c>
    </row>
    <row s="1416" customFormat="1" customHeight="1" ht="11.25" hidden="1">
      <c r="B2" s="446" t="s">
        <v>19</v>
      </c>
      <c r="AF2" s="1372" cm="1" t="str">
        <f t="array" ref="AF2:AF2">isOrgDeclare</f>
        <v>true</v>
      </c>
      <c r="AI2" s="446">
        <f>AND(AI6&lt;=last_year_vis,isOrgDeclare)</f>
        <v>1</v>
      </c>
      <c r="AJ2" s="446">
        <f>AJ6&lt;=last_year_vis</f>
        <v>1</v>
      </c>
      <c r="AN2" s="1009"/>
      <c r="AO2" s="1009"/>
      <c r="AP2" s="1009"/>
      <c r="AQ2" s="1014"/>
      <c r="AR2" s="1014"/>
    </row>
    <row s="1758" customFormat="1" customHeight="1" ht="11.25" hidden="1">
      <c r="B3" s="428"/>
      <c r="AI3" s="1758"/>
      <c r="AJ3" s="1758"/>
      <c r="AN3" s="997"/>
      <c r="AO3" s="997"/>
      <c r="AP3" s="997"/>
      <c r="AQ3" s="618"/>
      <c r="AR3" s="618"/>
    </row>
    <row s="1758" customFormat="1" customHeight="1" ht="11.25" hidden="1">
      <c r="B4" s="428"/>
      <c r="AI4" s="1758"/>
      <c r="AJ4" s="1758"/>
      <c r="AN4" s="997"/>
      <c r="AO4" s="997"/>
      <c r="AP4" s="997"/>
      <c r="AQ4" s="618"/>
      <c r="AR4" s="618"/>
    </row>
    <row s="1757" customFormat="1" customHeight="1" ht="11.25" hidden="1">
      <c r="A5" s="122"/>
      <c r="B5" s="428"/>
      <c r="C5" s="122"/>
      <c r="D5" s="122"/>
      <c r="E5" s="618" t="s">
        <v>20</v>
      </c>
      <c r="AA5" s="618">
        <v>3</v>
      </c>
      <c r="AB5" s="618">
        <v>11</v>
      </c>
      <c r="AC5" s="618">
        <v>50.14</v>
      </c>
      <c r="AD5" s="618">
        <v>10.29</v>
      </c>
      <c r="AE5" s="618">
        <v>13</v>
      </c>
      <c r="AF5" s="618">
        <v>13</v>
      </c>
      <c r="AG5" s="618">
        <v>13</v>
      </c>
      <c r="AH5" s="618">
        <v>13</v>
      </c>
      <c r="AI5" s="618">
        <v>13</v>
      </c>
      <c r="AJ5" s="618">
        <v>13</v>
      </c>
      <c r="AK5" s="618">
        <v>20</v>
      </c>
      <c r="AL5" s="618">
        <v>3</v>
      </c>
      <c r="AN5" s="997"/>
      <c r="AO5" s="997"/>
      <c r="AP5" s="997"/>
    </row>
    <row s="1758" customFormat="1" customHeight="1" ht="11.25" hidden="1">
      <c r="A6" s="122" t="s">
        <v>360</v>
      </c>
      <c r="B6" s="428"/>
      <c r="E6" s="618"/>
      <c r="AE6" s="122">
        <f>god-2</f>
        <v>2024</v>
      </c>
      <c r="AF6" s="122">
        <f>god-2</f>
        <v>2024</v>
      </c>
      <c r="AG6" s="122">
        <f>god-2</f>
        <v>2024</v>
      </c>
      <c r="AH6" s="122">
        <f>god-1</f>
        <v>2025</v>
      </c>
      <c r="AI6" s="98" cm="1" t="str">
        <f t="array" ref="AI6:AI6">god</f>
        <v>2026</v>
      </c>
      <c r="AJ6" s="98" cm="1" t="str">
        <f t="array" ref="AJ6:AJ6">god</f>
        <v>2026</v>
      </c>
      <c r="AN6" s="997"/>
      <c r="AO6" s="997"/>
      <c r="AP6" s="997"/>
      <c r="AQ6" s="618"/>
      <c r="AR6" s="618"/>
    </row>
    <row s="1758" customFormat="1" customHeight="1" ht="11.25" hidden="1">
      <c r="A7" s="122" t="s">
        <v>361</v>
      </c>
      <c r="B7" s="428"/>
      <c r="E7" s="618"/>
      <c r="AE7" s="122" cm="1" t="str">
        <f t="array" ref="AE7:AE7">AE25</f>
        <v>Принято органом регулирования</v>
      </c>
      <c r="AF7" s="122" cm="1" t="str">
        <f t="array" ref="AF7:AF7">AF25</f>
        <v>Факт по данным организации</v>
      </c>
      <c r="AG7" s="122" cm="1" t="str">
        <f t="array" ref="AG7:AG7">AG25</f>
        <v>Факт, принятый органом регулирования</v>
      </c>
      <c r="AH7" s="122" cm="1" t="str">
        <f t="array" ref="AH7:AH7">AH25</f>
        <v>Принято органом регулирования</v>
      </c>
      <c r="AI7" s="122" cm="1" t="str">
        <f t="array" ref="AI7:AI7">AI25</f>
        <v>Предложение организации</v>
      </c>
      <c r="AJ7" s="122" cm="1" t="str">
        <f t="array" ref="AJ7:AJ7">AJ25</f>
        <v>Принято органом регулирования</v>
      </c>
      <c r="AN7" s="997"/>
      <c r="AO7" s="997"/>
      <c r="AP7" s="997"/>
      <c r="AQ7" s="618"/>
      <c r="AR7" s="618"/>
    </row>
    <row s="1758" customFormat="1" customHeight="1" ht="11.25" hidden="1">
      <c r="B8" s="428"/>
      <c r="E8" s="618"/>
      <c r="AI8" s="1758"/>
      <c r="AJ8" s="1758"/>
      <c r="AN8" s="997"/>
      <c r="AO8" s="997"/>
      <c r="AP8" s="997"/>
      <c r="AQ8" s="618"/>
      <c r="AR8" s="618"/>
    </row>
    <row s="1764" customFormat="1" customHeight="1" ht="11.25" hidden="1">
      <c r="A9" s="997" t="s">
        <v>365</v>
      </c>
      <c r="B9" s="1009"/>
      <c r="AE9" s="997" cm="1" t="str">
        <f t="array" ref="AE9:AE9">AE6</f>
        <v>2024</v>
      </c>
      <c r="AF9" s="997" cm="1" t="str">
        <f t="array" ref="AF9:AF9">AF6</f>
        <v>2024</v>
      </c>
      <c r="AG9" s="997" cm="1" t="str">
        <f t="array" ref="AG9:AG9">AG6</f>
        <v>2024</v>
      </c>
      <c r="AH9" s="997" cm="1" t="str">
        <f t="array" ref="AH9:AH9">AH6</f>
        <v>2025</v>
      </c>
      <c r="AI9" s="997" cm="1" t="str">
        <f t="array" ref="AI9:AI9">AI6</f>
        <v>2026</v>
      </c>
      <c r="AJ9" s="997" cm="1" t="str">
        <f t="array" ref="AJ9:AJ9">AJ6</f>
        <v>2026</v>
      </c>
      <c r="AQ9" s="618"/>
      <c r="AR9" s="618"/>
    </row>
    <row s="1764" customFormat="1" customHeight="1" ht="11.25" hidden="1">
      <c r="A10" s="997" t="s">
        <v>366</v>
      </c>
      <c r="B10" s="1009"/>
      <c r="AE10" s="997" cm="1" t="str">
        <f t="array" ref="AE10:AE10">AE25</f>
        <v>Принято органом регулирования</v>
      </c>
      <c r="AF10" s="997" cm="1" t="str">
        <f t="array" ref="AF10:AF10">AF25</f>
        <v>Факт по данным организации</v>
      </c>
      <c r="AG10" s="997" cm="1" t="str">
        <f t="array" ref="AG10:AG10">AG25</f>
        <v>Факт, принятый органом регулирования</v>
      </c>
      <c r="AH10" s="997" cm="1" t="str">
        <f t="array" ref="AH10:AH10">AH25</f>
        <v>Принято органом регулирования</v>
      </c>
      <c r="AI10" s="997" cm="1" t="str">
        <f t="array" ref="AI10:AI10">AI25</f>
        <v>Предложение организации</v>
      </c>
      <c r="AJ10" s="997" cm="1" t="str">
        <f t="array" ref="AJ10:AJ10">AJ25</f>
        <v>Принято органом регулирования</v>
      </c>
      <c r="AQ10" s="618"/>
      <c r="AR10" s="618"/>
    </row>
    <row s="1764" customFormat="1" customHeight="1" ht="11.25" hidden="1">
      <c r="A11" s="997" t="s">
        <v>367</v>
      </c>
      <c r="B11" s="1009"/>
      <c r="AI11" s="1764"/>
      <c r="AJ11" s="1764"/>
      <c r="AK11" s="1032" cm="1" t="str">
        <f t="array" ref="AK11:AK11">AK24</f>
        <v>Ссылка на правовую норму (основание для принятия показателя в расчет тарифа)</v>
      </c>
      <c r="AQ11" s="618"/>
      <c r="AR11" s="618"/>
    </row>
    <row s="1764" customFormat="1" customHeight="1" ht="11.25" hidden="1">
      <c r="A12" s="997" t="s">
        <v>338</v>
      </c>
      <c r="B12" s="1009"/>
      <c r="AC12" s="997" t="s">
        <v>326</v>
      </c>
      <c r="AI12" s="1764"/>
      <c r="AJ12" s="1764"/>
      <c r="AQ12" s="618"/>
      <c r="AR12" s="618"/>
    </row>
    <row s="1758" customFormat="1" customHeight="1" ht="11.25" hidden="1">
      <c r="B13" s="428"/>
      <c r="E13" s="618"/>
      <c r="AI13" s="1758"/>
      <c r="AJ13" s="1758"/>
      <c r="AN13" s="997"/>
      <c r="AO13" s="997"/>
      <c r="AP13" s="997"/>
      <c r="AQ13" s="618"/>
      <c r="AR13" s="618"/>
    </row>
    <row s="1758" customFormat="1" customHeight="1" ht="11.25" hidden="1">
      <c r="B14" s="428"/>
      <c r="E14" s="618"/>
      <c r="AI14" s="1758"/>
      <c r="AJ14" s="1758"/>
      <c r="AN14" s="997"/>
      <c r="AO14" s="997"/>
      <c r="AP14" s="997"/>
      <c r="AQ14" s="618"/>
      <c r="AR14" s="618"/>
    </row>
    <row s="1758" customFormat="1" customHeight="1" ht="11.25" hidden="1">
      <c r="B15" s="428"/>
      <c r="E15" s="618"/>
      <c r="AI15" s="1758"/>
      <c r="AJ15" s="1758"/>
      <c r="AN15" s="997"/>
      <c r="AO15" s="997"/>
      <c r="AP15" s="997"/>
      <c r="AQ15" s="618"/>
      <c r="AR15" s="618"/>
    </row>
    <row s="1758" customFormat="1" customHeight="1" ht="11.25" hidden="1">
      <c r="B16" s="428"/>
      <c r="E16" s="618"/>
      <c r="AI16" s="1758"/>
      <c r="AJ16" s="1758"/>
      <c r="AN16" s="997"/>
      <c r="AO16" s="997"/>
      <c r="AP16" s="997"/>
      <c r="AQ16" s="618"/>
      <c r="AR16" s="618"/>
    </row>
    <row s="1758" customFormat="1" customHeight="1" ht="11.25" hidden="1">
      <c r="B17" s="428"/>
      <c r="E17" s="618"/>
      <c r="AE17" s="98"/>
      <c r="AF17" s="98"/>
      <c r="AG17" s="98"/>
      <c r="AH17" s="98"/>
      <c r="AI17" s="1758"/>
      <c r="AJ17" s="1758"/>
      <c r="AK17" s="426"/>
      <c r="AN17" s="997"/>
      <c r="AO17" s="997"/>
      <c r="AP17" s="997"/>
      <c r="AQ17" s="618"/>
      <c r="AR17" s="618"/>
    </row>
    <row s="1758" customFormat="1" customHeight="1" ht="11.25" hidden="1">
      <c r="A18" s="122" t="s">
        <v>368</v>
      </c>
      <c r="B18" s="428"/>
      <c r="E18" s="618"/>
      <c r="AC18" s="122" t="s">
        <v>369</v>
      </c>
      <c r="AI18" s="1758"/>
      <c r="AJ18" s="1758"/>
      <c r="AN18" s="997"/>
      <c r="AO18" s="997"/>
      <c r="AP18" s="997"/>
      <c r="AQ18" s="618"/>
      <c r="AR18" s="618"/>
    </row>
    <row s="1758" customFormat="1" customHeight="1" ht="11.25" hidden="1">
      <c r="B19" s="428"/>
      <c r="E19" s="618"/>
      <c r="AI19" s="1758"/>
      <c r="AJ19" s="1758"/>
      <c r="AN19" s="997"/>
      <c r="AO19" s="997"/>
      <c r="AP19" s="997"/>
      <c r="AQ19" s="618"/>
      <c r="AR19" s="618"/>
    </row>
    <row s="1758" customFormat="1" customHeight="1" ht="11.25" hidden="1">
      <c r="B20" s="428"/>
      <c r="E20" s="618"/>
      <c r="AI20" s="1758"/>
      <c r="AJ20" s="1758"/>
      <c r="AN20" s="997"/>
      <c r="AO20" s="997"/>
      <c r="AP20" s="997"/>
      <c r="AQ20" s="618"/>
      <c r="AR20" s="618"/>
    </row>
    <row customHeight="1" ht="14.625">
      <c r="E21" s="618">
        <v>15</v>
      </c>
      <c r="AA21" s="449"/>
      <c r="AC21" s="374" cm="1" t="str">
        <f t="array" ref="AC21:AC21">tpl_title</f>
        <v>Кемеровская область / 2026 / ООО "Теплоэнерго" (ИНН:4214046200, КПП:421401001) / ДПР: 2026-2030</v>
      </c>
      <c r="AI21" s="448"/>
      <c r="AJ21" s="448"/>
    </row>
    <row customHeight="1" ht="19.5">
      <c r="E22" s="618">
        <v>20</v>
      </c>
      <c r="AB22" s="320" t="s">
        <v>66</v>
      </c>
      <c r="AC22" s="226"/>
      <c r="AD22" s="226"/>
      <c r="AE22" s="226"/>
      <c r="AF22" s="226"/>
      <c r="AG22" s="226"/>
      <c r="AH22" s="226"/>
      <c r="AI22" s="226"/>
      <c r="AJ22" s="226"/>
      <c r="AK22" s="450"/>
    </row>
    <row customHeight="1" ht="13.893750000000002">
      <c r="E23" s="618">
        <v>14.25</v>
      </c>
      <c r="AB23" s="149"/>
      <c r="AC23" s="149"/>
      <c r="AD23" s="149"/>
      <c r="AE23" s="149"/>
      <c r="AF23" s="149"/>
      <c r="AG23" s="149"/>
      <c r="AH23" s="149"/>
      <c r="AI23" s="149"/>
      <c r="AJ23" s="149"/>
      <c r="AK23" s="149"/>
    </row>
    <row customHeight="1" ht="14.625">
      <c r="E24" s="618">
        <v>15</v>
      </c>
      <c r="AB24" s="1577" t="s">
        <v>22</v>
      </c>
      <c r="AC24" s="1577" t="s">
        <v>369</v>
      </c>
      <c r="AD24" s="1577" t="s">
        <v>1728</v>
      </c>
      <c r="AE24" s="91" t="str">
        <f>god-2&amp;" год"</f>
        <v>2024 год</v>
      </c>
      <c r="AF24" s="1120" t="str">
        <f>god-2&amp;" год"</f>
        <v>2024 год</v>
      </c>
      <c r="AG24" s="91" t="str">
        <f>god-2&amp;" год"</f>
        <v>2024 год</v>
      </c>
      <c r="AH24" s="91" t="str">
        <f>god-1&amp;" год"</f>
        <v>2025 год</v>
      </c>
      <c r="AI24" s="1118" t="str">
        <f>god&amp;" год"</f>
        <v>2026 год</v>
      </c>
      <c r="AJ24" s="92" t="str">
        <f>god&amp;" год"</f>
        <v>2026 год</v>
      </c>
      <c r="AK24" s="1625" t="s">
        <v>1242</v>
      </c>
    </row>
    <row customHeight="1" ht="44.118750000000006">
      <c r="E25" s="618">
        <v>45.25</v>
      </c>
      <c r="AB25" s="1577"/>
      <c r="AC25" s="1577"/>
      <c r="AD25" s="1577"/>
      <c r="AE25" s="91" t="s">
        <v>362</v>
      </c>
      <c r="AF25" s="1120" t="s">
        <v>1164</v>
      </c>
      <c r="AG25" s="91" t="s">
        <v>1165</v>
      </c>
      <c r="AH25" s="91" t="s">
        <v>362</v>
      </c>
      <c r="AI25" s="1122" t="s">
        <v>363</v>
      </c>
      <c r="AJ25" s="360" t="s">
        <v>362</v>
      </c>
      <c r="AK25" s="1625"/>
    </row>
    <row customHeight="1" ht="12" hidden="1">
      <c r="E26" s="618">
        <v>0</v>
      </c>
      <c r="AB26" s="735"/>
      <c r="AC26" s="735"/>
      <c r="AD26" s="735"/>
      <c r="AE26" s="736"/>
      <c r="AF26" s="736"/>
      <c r="AG26" s="736"/>
      <c r="AH26" s="736"/>
      <c r="AI26" s="720"/>
      <c r="AJ26" s="720"/>
      <c r="AK26" s="737"/>
    </row>
    <row customHeight="1" ht="14.625" hidden="1">
      <c r="A27" s="1758"/>
      <c r="B27" s="1416"/>
      <c r="C27" s="1758"/>
      <c r="D27" s="1758"/>
      <c r="E27" s="618">
        <v>15</v>
      </c>
      <c r="F27" s="98" cm="1" t="str">
        <f t="array" ref="F27:F27">X27</f>
        <v>0</v>
      </c>
      <c r="G27" s="122" t="s">
        <v>1979</v>
      </c>
      <c r="H27" s="1758"/>
      <c r="I27" s="1758"/>
      <c r="J27" s="1758"/>
      <c r="K27" s="1758"/>
      <c r="L27" s="1758"/>
      <c r="M27" s="1758"/>
      <c r="N27" s="1758"/>
      <c r="O27" s="1758"/>
      <c r="P27" s="1758"/>
      <c r="Q27" s="1758"/>
      <c r="R27" s="1758"/>
      <c r="S27" s="1758"/>
      <c r="T27" s="465">
        <f>X27&gt;0</f>
        <v>0</v>
      </c>
      <c r="U27" s="1758"/>
      <c r="V27" s="122" t="s">
        <v>265</v>
      </c>
      <c r="W27" s="1758"/>
      <c r="X27" s="1563">
        <v>0</v>
      </c>
      <c r="Y27" s="1758"/>
      <c r="Z27" s="1546"/>
      <c r="AA27" s="448"/>
      <c r="AB27" s="222" cm="1" t="str">
        <f t="array" ref="AB27:AB27">INDEX('Общие сведения'!$AG$179:$AG$250,MATCH($X27,'Общие сведения'!$Z$179:$Z$250,0))</f>
        <v>Тариф 0 () - </v>
      </c>
      <c r="AC27" s="180"/>
      <c r="AD27" s="180"/>
      <c r="AE27" s="306">
        <f>SUM(AE28:AE36)</f>
        <v>0</v>
      </c>
      <c r="AF27" s="306">
        <f>SUM(AF28:AF36)</f>
        <v>0</v>
      </c>
      <c r="AG27" s="306">
        <f>SUM(AG28:AG36)</f>
        <v>0</v>
      </c>
      <c r="AH27" s="306">
        <f>SUM(AH28:AH36)</f>
        <v>0</v>
      </c>
      <c r="AI27" s="306">
        <f>SUM(AI28:AI36)</f>
        <v>0</v>
      </c>
      <c r="AJ27" s="306">
        <f>SUM(AJ28:AJ36)</f>
        <v>0</v>
      </c>
      <c r="AK27" s="224"/>
      <c r="AL27" s="448"/>
      <c r="AM27" s="448"/>
      <c r="AN27" s="1764"/>
      <c r="AO27" s="1764"/>
      <c r="AP27" s="1764"/>
      <c r="AQ27" s="1757"/>
      <c r="AR27" s="1757"/>
    </row>
    <row customHeight="1" ht="21.9375" hidden="1">
      <c r="A28" s="1758"/>
      <c r="B28" s="1416"/>
      <c r="C28" s="1758"/>
      <c r="D28" s="1758"/>
      <c r="E28" s="618">
        <v>22.5</v>
      </c>
      <c r="F28" s="50" cm="1" t="str">
        <f t="array" ref="F28:F28">OFFSET(E28,-1,1)</f>
        <v>0</v>
      </c>
      <c r="G28" s="122" t="s">
        <v>332</v>
      </c>
      <c r="H28" s="1758"/>
      <c r="I28" s="1758"/>
      <c r="J28" s="1758"/>
      <c r="K28" s="124" t="str">
        <f>F28&amp;"komm"</f>
        <v>0komm</v>
      </c>
      <c r="L28" s="919" cm="1" t="str">
        <f t="array" ref="L28:L28">AK28</f>
        <v>0</v>
      </c>
      <c r="M28" s="1758"/>
      <c r="N28" s="1758"/>
      <c r="O28" s="1758"/>
      <c r="P28" s="1758"/>
      <c r="Q28" s="1758"/>
      <c r="R28" s="1758"/>
      <c r="S28" s="1758"/>
      <c r="T28" s="465" cm="1" t="str">
        <f t="array" ref="T28:T28">T27</f>
        <v>false</v>
      </c>
      <c r="U28" s="1758"/>
      <c r="V28" s="1758"/>
      <c r="W28" s="1758"/>
      <c r="X28" s="1563"/>
      <c r="Y28" s="1758"/>
      <c r="Z28" s="1546"/>
      <c r="AA28" s="448"/>
      <c r="AB28" s="299" t="s">
        <v>276</v>
      </c>
      <c r="AC28" s="452" t="s">
        <v>1980</v>
      </c>
      <c r="AD28" s="300" t="s">
        <v>1514</v>
      </c>
      <c r="AE28" s="4725"/>
      <c r="AF28" s="4934"/>
      <c r="AG28" s="4934"/>
      <c r="AH28" s="4934"/>
      <c r="AI28" s="4934"/>
      <c r="AJ28" s="4934"/>
      <c r="AK28" s="2070"/>
      <c r="AL28" s="448"/>
      <c r="AM28" s="448"/>
      <c r="AN28" s="997" t="s">
        <v>1981</v>
      </c>
      <c r="AO28" s="1764"/>
      <c r="AP28" s="1764"/>
      <c r="AQ28" s="1757"/>
      <c r="AR28" s="1757"/>
    </row>
    <row customHeight="1" ht="21.9375" hidden="1">
      <c r="A29" s="1758"/>
      <c r="B29" s="1416"/>
      <c r="C29" s="1758"/>
      <c r="D29" s="1758"/>
      <c r="E29" s="618">
        <v>22.5</v>
      </c>
      <c r="F29" s="50" cm="1" t="str">
        <f t="array" ref="F29:F29">OFFSET(E29,-1,1)</f>
        <v>0</v>
      </c>
      <c r="G29" s="122" t="s">
        <v>333</v>
      </c>
      <c r="H29" s="1758"/>
      <c r="I29" s="1758"/>
      <c r="J29" s="1758"/>
      <c r="K29" s="1758"/>
      <c r="L29" s="1758"/>
      <c r="M29" s="1758"/>
      <c r="N29" s="1758"/>
      <c r="O29" s="1758"/>
      <c r="P29" s="1758"/>
      <c r="Q29" s="1758"/>
      <c r="R29" s="1758"/>
      <c r="S29" s="1758"/>
      <c r="T29" s="465" cm="1" t="str">
        <f t="array" ref="T29:T29">T28</f>
        <v>false</v>
      </c>
      <c r="U29" s="1758"/>
      <c r="V29" s="1758"/>
      <c r="W29" s="1758"/>
      <c r="X29" s="1563"/>
      <c r="Y29" s="1758"/>
      <c r="Z29" s="1546"/>
      <c r="AA29" s="448"/>
      <c r="AB29" s="299" t="s">
        <v>285</v>
      </c>
      <c r="AC29" s="452" t="s">
        <v>1982</v>
      </c>
      <c r="AD29" s="300" t="s">
        <v>1514</v>
      </c>
      <c r="AE29" s="4725"/>
      <c r="AF29" s="4934"/>
      <c r="AG29" s="4934"/>
      <c r="AH29" s="4934"/>
      <c r="AI29" s="4934"/>
      <c r="AJ29" s="4934"/>
      <c r="AK29" s="2070"/>
      <c r="AL29" s="448"/>
      <c r="AM29" s="448"/>
      <c r="AN29" s="997" t="s">
        <v>1983</v>
      </c>
      <c r="AO29" s="1764"/>
      <c r="AP29" s="1764"/>
      <c r="AQ29" s="1757"/>
      <c r="AR29" s="1757"/>
    </row>
    <row customHeight="1" ht="21.9375" hidden="1">
      <c r="A30" s="1758"/>
      <c r="B30" s="1416"/>
      <c r="C30" s="1758"/>
      <c r="D30" s="1758"/>
      <c r="E30" s="618">
        <v>22.5</v>
      </c>
      <c r="F30" s="50" cm="1" t="str">
        <f t="array" ref="F30:F30">OFFSET(E30,-1,1)</f>
        <v>0</v>
      </c>
      <c r="G30" s="122" t="s">
        <v>334</v>
      </c>
      <c r="H30" s="1758"/>
      <c r="I30" s="1758"/>
      <c r="J30" s="1758"/>
      <c r="K30" s="1758"/>
      <c r="L30" s="1758"/>
      <c r="M30" s="1758"/>
      <c r="N30" s="1758"/>
      <c r="O30" s="1758"/>
      <c r="P30" s="1758"/>
      <c r="Q30" s="1758"/>
      <c r="R30" s="1758"/>
      <c r="S30" s="1758"/>
      <c r="T30" s="465" cm="1" t="str">
        <f t="array" ref="T30:T30">T29</f>
        <v>false</v>
      </c>
      <c r="U30" s="1758"/>
      <c r="V30" s="1758"/>
      <c r="W30" s="1758"/>
      <c r="X30" s="1563"/>
      <c r="Y30" s="1758"/>
      <c r="Z30" s="1546"/>
      <c r="AA30" s="448"/>
      <c r="AB30" s="299" t="s">
        <v>289</v>
      </c>
      <c r="AC30" s="452" t="s">
        <v>1984</v>
      </c>
      <c r="AD30" s="300" t="s">
        <v>1514</v>
      </c>
      <c r="AE30" s="4725"/>
      <c r="AF30" s="4934"/>
      <c r="AG30" s="4934"/>
      <c r="AH30" s="4934"/>
      <c r="AI30" s="4934"/>
      <c r="AJ30" s="4934"/>
      <c r="AK30" s="2070"/>
      <c r="AL30" s="448"/>
      <c r="AM30" s="448"/>
      <c r="AN30" s="997" t="s">
        <v>1985</v>
      </c>
      <c r="AO30" s="1764"/>
      <c r="AP30" s="1764"/>
      <c r="AQ30" s="1757"/>
      <c r="AR30" s="1757"/>
    </row>
    <row s="1834" customFormat="1" customHeight="1" ht="32.90625" hidden="1">
      <c r="A31" s="122"/>
      <c r="B31" s="428"/>
      <c r="C31" s="122"/>
      <c r="D31" s="122"/>
      <c r="E31" s="618">
        <v>33.75</v>
      </c>
      <c r="F31" s="1175" cm="1" t="str">
        <f t="array" ref="F31:F31">OFFSET(E31,-1,1)</f>
        <v>0</v>
      </c>
      <c r="G31" s="122" t="s">
        <v>336</v>
      </c>
      <c r="H31" s="122"/>
      <c r="I31" s="122"/>
      <c r="J31" s="122"/>
      <c r="K31" s="122"/>
      <c r="L31" s="122"/>
      <c r="M31" s="122"/>
      <c r="N31" s="122"/>
      <c r="O31" s="122"/>
      <c r="P31" s="122"/>
      <c r="Q31" s="122"/>
      <c r="R31" s="122"/>
      <c r="S31" s="122"/>
      <c r="T31" s="465" cm="1" t="str">
        <f t="array" ref="T31:T31">T30</f>
        <v>false</v>
      </c>
      <c r="U31" s="122"/>
      <c r="V31" s="122"/>
      <c r="W31" s="122"/>
      <c r="X31" s="1563"/>
      <c r="Y31" s="122"/>
      <c r="Z31" s="1546"/>
      <c r="AA31" s="448"/>
      <c r="AB31" s="886">
        <v>4</v>
      </c>
      <c r="AC31" s="452" t="s">
        <v>1986</v>
      </c>
      <c r="AD31" s="300" t="s">
        <v>1514</v>
      </c>
      <c r="AE31" s="773">
        <f>_xlfn.SUMIFS(ФОТ!AE$25:AE$188,ФОТ!$F$25:$F$188,$F31,ФОТ!$G$25:$G$188,"СП")+_xlfn.SUMIFS(ФОТ!AE$25:AE$188,ФОТ!$F$25:$F$188,$F31,ФОТ!$G$25:$G$188,"СОЦ_СП")</f>
        <v>0</v>
      </c>
      <c r="AF31" s="773">
        <f>_xlfn.SUMIFS(ФОТ!AF$25:AF$188,ФОТ!$F$25:$F$188,$F31,ФОТ!$G$25:$G$188,"СП")+_xlfn.SUMIFS(ФОТ!AF$25:AF$188,ФОТ!$F$25:$F$188,$F31,ФОТ!$G$25:$G$188,"СОЦ_СП")</f>
        <v>0</v>
      </c>
      <c r="AG31" s="773">
        <f>_xlfn.SUMIFS(ФОТ!AG$25:AG$188,ФОТ!$F$25:$F$188,$F31,ФОТ!$G$25:$G$188,"СП")+_xlfn.SUMIFS(ФОТ!AG$25:AG$188,ФОТ!$F$25:$F$188,$F31,ФОТ!$G$25:$G$188,"СОЦ_СП")</f>
        <v>0</v>
      </c>
      <c r="AH31" s="773">
        <f>_xlfn.SUMIFS(ФОТ!AH$25:AH$188,ФОТ!$F$25:$F$188,$F31,ФОТ!$G$25:$G$188,"СП")+_xlfn.SUMIFS(ФОТ!AH$25:AH$188,ФОТ!$F$25:$F$188,$F31,ФОТ!$G$25:$G$188,"СОЦ_СП")</f>
        <v>0</v>
      </c>
      <c r="AI31" s="773">
        <f>_xlfn.SUMIFS(ФОТ!AI$25:AI$188,ФОТ!$F$25:$F$188,$F31,ФОТ!$G$25:$G$188,"СП")+_xlfn.SUMIFS(ФОТ!AI$25:AI$188,ФОТ!$F$25:$F$188,$F31,ФОТ!$G$25:$G$188,"СОЦ_СП")</f>
        <v>0</v>
      </c>
      <c r="AJ31" s="773">
        <f>_xlfn.SUMIFS(ФОТ!AJ$25:AJ$188,ФОТ!$F$25:$F$188,$F31,ФОТ!$G$25:$G$188,"СП")+_xlfn.SUMIFS(ФОТ!AJ$25:AJ$188,ФОТ!$F$25:$F$188,$F31,ФОТ!$G$25:$G$188,"СОЦ_СП")</f>
        <v>0</v>
      </c>
      <c r="AK31" s="2070"/>
      <c r="AL31" s="448"/>
      <c r="AM31" s="1834"/>
      <c r="AN31" s="1048" t="s">
        <v>1987</v>
      </c>
      <c r="AO31" s="1048"/>
      <c r="AP31" s="1048"/>
      <c r="AQ31" s="671"/>
      <c r="AR31" s="671"/>
    </row>
    <row customHeight="1" ht="32.90625" hidden="1">
      <c r="A32" s="1758"/>
      <c r="B32" s="1416"/>
      <c r="C32" s="1758"/>
      <c r="D32" s="1758"/>
      <c r="E32" s="618">
        <v>33.75</v>
      </c>
      <c r="F32" s="50" cm="1" t="str">
        <f t="array" ref="F32:F32">OFFSET(E32,-1,1)</f>
        <v>0</v>
      </c>
      <c r="G32" s="122" t="s">
        <v>335</v>
      </c>
      <c r="H32" s="1758"/>
      <c r="I32" s="1758"/>
      <c r="J32" s="1758"/>
      <c r="K32" s="1758"/>
      <c r="L32" s="1758"/>
      <c r="M32" s="1758"/>
      <c r="N32" s="1758"/>
      <c r="O32" s="1758"/>
      <c r="P32" s="1758"/>
      <c r="Q32" s="1758"/>
      <c r="R32" s="1758"/>
      <c r="S32" s="1758"/>
      <c r="T32" s="465" cm="1" t="str">
        <f t="array" ref="T32:T32">T31</f>
        <v>false</v>
      </c>
      <c r="U32" s="1758"/>
      <c r="V32" s="1758"/>
      <c r="W32" s="1758"/>
      <c r="X32" s="1563"/>
      <c r="Y32" s="1758"/>
      <c r="Z32" s="1546"/>
      <c r="AA32" s="448"/>
      <c r="AB32" s="299" t="s">
        <v>443</v>
      </c>
      <c r="AC32" s="452" t="s">
        <v>1988</v>
      </c>
      <c r="AD32" s="300" t="s">
        <v>1514</v>
      </c>
      <c r="AE32" s="4725"/>
      <c r="AF32" s="4725"/>
      <c r="AG32" s="4725"/>
      <c r="AH32" s="4725"/>
      <c r="AI32" s="4725"/>
      <c r="AJ32" s="4725"/>
      <c r="AK32" s="2070"/>
      <c r="AL32" s="448"/>
      <c r="AM32" s="448"/>
      <c r="AN32" s="997" t="s">
        <v>1960</v>
      </c>
      <c r="AO32" s="1764"/>
      <c r="AP32" s="1764"/>
      <c r="AQ32" s="1757"/>
      <c r="AR32" s="1757"/>
    </row>
    <row customHeight="1" ht="21.9375" hidden="1">
      <c r="A33" s="1758"/>
      <c r="B33" s="1416"/>
      <c r="C33" s="1758"/>
      <c r="D33" s="1758"/>
      <c r="E33" s="618">
        <v>22.5</v>
      </c>
      <c r="F33" s="50" cm="1" t="str">
        <f t="array" ref="F33:F33">OFFSET(E33,-1,1)</f>
        <v>0</v>
      </c>
      <c r="G33" s="122" t="s">
        <v>1225</v>
      </c>
      <c r="H33" s="1758"/>
      <c r="I33" s="1758"/>
      <c r="J33" s="1758"/>
      <c r="K33" s="1758"/>
      <c r="L33" s="1758"/>
      <c r="M33" s="1758"/>
      <c r="N33" s="1758"/>
      <c r="O33" s="1758"/>
      <c r="P33" s="1758"/>
      <c r="Q33" s="1758"/>
      <c r="R33" s="1758"/>
      <c r="S33" s="1758"/>
      <c r="T33" s="465" cm="1" t="str">
        <f t="array" ref="T33:T33">T32</f>
        <v>false</v>
      </c>
      <c r="U33" s="1758"/>
      <c r="V33" s="1758"/>
      <c r="W33" s="1758"/>
      <c r="X33" s="1563"/>
      <c r="Y33" s="1758"/>
      <c r="Z33" s="1546"/>
      <c r="AA33" s="448"/>
      <c r="AB33" s="299" t="s">
        <v>446</v>
      </c>
      <c r="AC33" s="452" t="s">
        <v>1989</v>
      </c>
      <c r="AD33" s="300" t="s">
        <v>1514</v>
      </c>
      <c r="AE33" s="4725"/>
      <c r="AF33" s="4725"/>
      <c r="AG33" s="4725"/>
      <c r="AH33" s="4725"/>
      <c r="AI33" s="4725"/>
      <c r="AJ33" s="4725"/>
      <c r="AK33" s="2070"/>
      <c r="AL33" s="448"/>
      <c r="AM33" s="448"/>
      <c r="AN33" s="997" t="s">
        <v>1946</v>
      </c>
      <c r="AO33" s="1764"/>
      <c r="AP33" s="1764"/>
      <c r="AQ33" s="1757"/>
      <c r="AR33" s="1757"/>
    </row>
    <row customHeight="1" ht="43.875" hidden="1">
      <c r="A34" s="1758"/>
      <c r="B34" s="1416"/>
      <c r="C34" s="1758"/>
      <c r="D34" s="1758"/>
      <c r="E34" s="618">
        <v>45</v>
      </c>
      <c r="F34" s="50" cm="1" t="str">
        <f t="array" ref="F34:F34">OFFSET(E34,-1,1)</f>
        <v>0</v>
      </c>
      <c r="G34" s="122" t="s">
        <v>1228</v>
      </c>
      <c r="H34" s="1758"/>
      <c r="I34" s="1758"/>
      <c r="J34" s="1758"/>
      <c r="K34" s="1758"/>
      <c r="L34" s="1758"/>
      <c r="M34" s="1758"/>
      <c r="N34" s="1758"/>
      <c r="O34" s="1758"/>
      <c r="P34" s="1758"/>
      <c r="Q34" s="1758"/>
      <c r="R34" s="1758"/>
      <c r="S34" s="1758"/>
      <c r="T34" s="465" cm="1" t="str">
        <f t="array" ref="T34:T34">T33</f>
        <v>false</v>
      </c>
      <c r="U34" s="1758"/>
      <c r="V34" s="1758"/>
      <c r="W34" s="1758"/>
      <c r="X34" s="1563"/>
      <c r="Y34" s="1758"/>
      <c r="Z34" s="1546"/>
      <c r="AA34" s="448"/>
      <c r="AB34" s="299" t="s">
        <v>449</v>
      </c>
      <c r="AC34" s="452" t="s">
        <v>1990</v>
      </c>
      <c r="AD34" s="300" t="s">
        <v>1514</v>
      </c>
      <c r="AE34" s="4725"/>
      <c r="AF34" s="4725"/>
      <c r="AG34" s="4725"/>
      <c r="AH34" s="4725"/>
      <c r="AI34" s="4725"/>
      <c r="AJ34" s="4725"/>
      <c r="AK34" s="2070"/>
      <c r="AL34" s="448"/>
      <c r="AM34" s="448"/>
      <c r="AN34" s="997" t="s">
        <v>1991</v>
      </c>
      <c r="AO34" s="1764"/>
      <c r="AP34" s="1764"/>
      <c r="AQ34" s="1757"/>
      <c r="AR34" s="1757"/>
    </row>
    <row customHeight="1" ht="43.875" hidden="1">
      <c r="A35" s="1758"/>
      <c r="B35" s="1416"/>
      <c r="C35" s="1758"/>
      <c r="D35" s="1758"/>
      <c r="E35" s="618">
        <v>45</v>
      </c>
      <c r="F35" s="50" cm="1" t="str">
        <f t="array" ref="F35:F35">OFFSET(E35,-1,1)</f>
        <v>0</v>
      </c>
      <c r="G35" s="122" t="s">
        <v>1275</v>
      </c>
      <c r="H35" s="1758"/>
      <c r="I35" s="1758"/>
      <c r="J35" s="1758"/>
      <c r="K35" s="1758"/>
      <c r="L35" s="1758"/>
      <c r="M35" s="1758"/>
      <c r="N35" s="1758"/>
      <c r="O35" s="1758"/>
      <c r="P35" s="1758"/>
      <c r="Q35" s="1758"/>
      <c r="R35" s="1758"/>
      <c r="S35" s="1758"/>
      <c r="T35" s="465" cm="1" t="str">
        <f t="array" ref="T35:T35">T34</f>
        <v>false</v>
      </c>
      <c r="U35" s="1758"/>
      <c r="V35" s="1758"/>
      <c r="W35" s="1758"/>
      <c r="X35" s="1563"/>
      <c r="Y35" s="1758"/>
      <c r="Z35" s="1546"/>
      <c r="AA35" s="448"/>
      <c r="AB35" s="299" t="s">
        <v>452</v>
      </c>
      <c r="AC35" s="452" t="s">
        <v>1992</v>
      </c>
      <c r="AD35" s="300" t="s">
        <v>1514</v>
      </c>
      <c r="AE35" s="4725"/>
      <c r="AF35" s="4725"/>
      <c r="AG35" s="4725"/>
      <c r="AH35" s="4725"/>
      <c r="AI35" s="4725"/>
      <c r="AJ35" s="4725"/>
      <c r="AK35" s="2070"/>
      <c r="AL35" s="448"/>
      <c r="AM35" s="448"/>
      <c r="AN35" s="997" t="s">
        <v>1993</v>
      </c>
      <c r="AO35" s="1764"/>
      <c r="AP35" s="1764"/>
      <c r="AQ35" s="1757"/>
      <c r="AR35" s="1757"/>
    </row>
    <row customHeight="1" ht="14.625" hidden="1">
      <c r="A36" s="1758"/>
      <c r="B36" s="1416"/>
      <c r="C36" s="1758"/>
      <c r="D36" s="1758"/>
      <c r="E36" s="618">
        <v>15</v>
      </c>
      <c r="F36" s="50" cm="1" t="str">
        <f t="array" ref="F36:F36">OFFSET(E36,-1,1)</f>
        <v>0</v>
      </c>
      <c r="G36" s="122" t="s">
        <v>1290</v>
      </c>
      <c r="H36" s="1758"/>
      <c r="I36" s="1758"/>
      <c r="J36" s="1758"/>
      <c r="K36" s="1758"/>
      <c r="L36" s="1758"/>
      <c r="M36" s="1758"/>
      <c r="N36" s="1758"/>
      <c r="O36" s="1758"/>
      <c r="P36" s="1758"/>
      <c r="Q36" s="1758"/>
      <c r="R36" s="1758"/>
      <c r="S36" s="1758"/>
      <c r="T36" s="465" cm="1" t="str">
        <f t="array" ref="T36:T36">T35</f>
        <v>false</v>
      </c>
      <c r="U36" s="1758"/>
      <c r="V36" s="1758"/>
      <c r="W36" s="1758"/>
      <c r="X36" s="1563"/>
      <c r="Y36" s="1758"/>
      <c r="Z36" s="1546"/>
      <c r="AA36" s="448"/>
      <c r="AB36" s="356">
        <v>9</v>
      </c>
      <c r="AC36" s="452" t="s">
        <v>1994</v>
      </c>
      <c r="AD36" s="300" t="s">
        <v>1514</v>
      </c>
      <c r="AE36" s="235">
        <f>SUM(AE37:AE38)</f>
        <v>0</v>
      </c>
      <c r="AF36" s="235">
        <f>SUM(AF37:AF38)</f>
        <v>0</v>
      </c>
      <c r="AG36" s="235">
        <f>SUM(AG37:AG38)</f>
        <v>0</v>
      </c>
      <c r="AH36" s="235">
        <f>SUM(AH37:AH38)</f>
        <v>0</v>
      </c>
      <c r="AI36" s="235">
        <f>SUM(AI37:AI38)</f>
        <v>0</v>
      </c>
      <c r="AJ36" s="235">
        <f>SUM(AJ37:AJ38)</f>
        <v>0</v>
      </c>
      <c r="AK36" s="2070"/>
      <c r="AL36" s="448"/>
      <c r="AM36" s="448"/>
      <c r="AN36" s="997" t="s">
        <v>396</v>
      </c>
      <c r="AO36" s="1764"/>
      <c r="AP36" s="1764"/>
      <c r="AQ36" s="1757"/>
      <c r="AR36" s="1757"/>
    </row>
    <row customHeight="1" ht="14.625" hidden="1">
      <c r="A37" s="1758"/>
      <c r="B37" s="1416"/>
      <c r="C37" s="1758"/>
      <c r="D37" s="1758"/>
      <c r="E37" s="618">
        <v>15</v>
      </c>
      <c r="F37" s="50" cm="1" t="str">
        <f t="array" ref="F37:F37">OFFSET(E37,-1,1)</f>
        <v>0</v>
      </c>
      <c r="G37" s="122" t="s">
        <v>1290</v>
      </c>
      <c r="H37" s="122" cm="1" t="str">
        <f t="array" ref="H37:H37">AC37</f>
        <v>0</v>
      </c>
      <c r="I37" s="1758"/>
      <c r="J37" s="1758"/>
      <c r="K37" s="1758"/>
      <c r="L37" s="1758"/>
      <c r="M37" s="1758"/>
      <c r="N37" s="1758"/>
      <c r="O37" s="1758"/>
      <c r="P37" s="1758"/>
      <c r="Q37" s="1758"/>
      <c r="R37" s="1758"/>
      <c r="S37" s="1758"/>
      <c r="T37" s="465">
        <f>AND(F37&gt;0,Y37&gt;0)</f>
        <v>0</v>
      </c>
      <c r="U37" s="1758"/>
      <c r="V37" s="1758"/>
      <c r="W37" s="757" t="s">
        <v>174</v>
      </c>
      <c r="X37" s="1563"/>
      <c r="Y37" s="122">
        <v>0</v>
      </c>
      <c r="Z37" s="1546"/>
      <c r="AA37" s="420" t="s">
        <v>175</v>
      </c>
      <c r="AB37" s="690" t="str">
        <f>"9."&amp;Y37</f>
        <v>9.0</v>
      </c>
      <c r="AC37" s="4727"/>
      <c r="AD37" s="300" t="s">
        <v>1514</v>
      </c>
      <c r="AE37" s="4725"/>
      <c r="AF37" s="4725"/>
      <c r="AG37" s="4725"/>
      <c r="AH37" s="4725"/>
      <c r="AI37" s="4725"/>
      <c r="AJ37" s="4725"/>
      <c r="AK37" s="2070"/>
      <c r="AL37" s="448"/>
      <c r="AM37" s="448"/>
      <c r="AN37" s="997" t="s">
        <v>396</v>
      </c>
      <c r="AO37" s="997" t="s">
        <v>1995</v>
      </c>
      <c r="AP37" s="997" cm="1" t="str">
        <f t="array" ref="AP37:AP37">AC37</f>
        <v>0</v>
      </c>
      <c r="AQ37" s="1757"/>
      <c r="AR37" s="618" t="b">
        <v>1</v>
      </c>
    </row>
    <row customHeight="1" ht="14.625" hidden="1">
      <c r="A38" s="146"/>
      <c r="B38" s="429"/>
      <c r="C38" s="146"/>
      <c r="D38" s="146"/>
      <c r="E38" s="267">
        <v>15</v>
      </c>
      <c r="F38" s="50" cm="1" t="str">
        <f t="array" ref="F38:F38">OFFSET(E38,-1,1)</f>
        <v>0</v>
      </c>
      <c r="G38" s="146"/>
      <c r="H38" s="152" t="str">
        <f>"!=='не определено'"</f>
        <v>!=='не определено'</v>
      </c>
      <c r="I38" s="146"/>
      <c r="J38" s="146"/>
      <c r="K38" s="146"/>
      <c r="L38" s="146"/>
      <c r="M38" s="146"/>
      <c r="N38" s="146"/>
      <c r="O38" s="146"/>
      <c r="P38" s="146"/>
      <c r="Q38" s="146"/>
      <c r="R38" s="146"/>
      <c r="S38" s="146"/>
      <c r="T38" s="465">
        <f>F38&gt;0</f>
        <v>0</v>
      </c>
      <c r="U38" s="146"/>
      <c r="V38" s="146"/>
      <c r="W38" s="757" t="s">
        <v>1996</v>
      </c>
      <c r="X38" s="1563"/>
      <c r="Y38" s="146"/>
      <c r="Z38" s="1546"/>
      <c r="AA38" s="146"/>
      <c r="AB38" s="231"/>
      <c r="AC38" s="232" t="s">
        <v>178</v>
      </c>
      <c r="AD38" s="232"/>
      <c r="AE38" s="232"/>
      <c r="AF38" s="232"/>
      <c r="AG38" s="232"/>
      <c r="AH38" s="232"/>
      <c r="AI38" s="232"/>
      <c r="AJ38" s="232"/>
      <c r="AK38" s="233"/>
      <c r="AL38" s="146"/>
      <c r="AM38" s="448"/>
      <c r="AN38" s="1764"/>
      <c r="AO38" s="1764"/>
      <c r="AP38" s="1764"/>
      <c r="AQ38" s="618" t="s">
        <v>1995</v>
      </c>
      <c r="AR38" s="1757"/>
    </row>
    <row s="1834" customFormat="1" customHeight="1" ht="14.25">
      <c r="A39" s="1758"/>
      <c r="B39" s="1416"/>
      <c r="C39" s="1758"/>
      <c r="D39" s="1758"/>
      <c r="E39" s="618">
        <v>15</v>
      </c>
      <c r="F39" s="98" cm="1" t="str">
        <f t="array" ref="F39:F39">X39</f>
        <v>1</v>
      </c>
      <c r="G39" s="122" t="s">
        <v>1979</v>
      </c>
      <c r="H39" s="1758"/>
      <c r="I39" s="1758"/>
      <c r="J39" s="1758"/>
      <c r="K39" s="1758"/>
      <c r="L39" s="1758"/>
      <c r="M39" s="1758"/>
      <c r="N39" s="1758"/>
      <c r="O39" s="1758"/>
      <c r="P39" s="1758"/>
      <c r="Q39" s="1758"/>
      <c r="R39" s="1758"/>
      <c r="S39" s="1758"/>
      <c r="T39" s="465">
        <f>X39&gt;0</f>
        <v>1</v>
      </c>
      <c r="U39" s="1758"/>
      <c r="V39" s="122" cm="1" t="str">
        <f t="array" ref="V39:V39">Административные!$AB$46</f>
        <v>Тариф 1 (Водоснабжение) - тариф на питьевую воду (Доп. признак не требуется)</v>
      </c>
      <c r="W39" s="1758"/>
      <c r="X39" s="1563" t="s">
        <v>276</v>
      </c>
      <c r="Y39" s="1758"/>
      <c r="Z39" s="1546"/>
      <c r="AA39" s="448"/>
      <c r="AB39" s="222" cm="1" t="str">
        <f t="array" ref="AB39:AB39">Административные!$AB$46</f>
        <v>Тариф 1 (Водоснабжение) - тариф на питьевую воду (Доп. признак не требуется)</v>
      </c>
      <c r="AC39" s="180"/>
      <c r="AD39" s="180"/>
      <c r="AE39" s="306">
        <f>SUM(AE40:AE48)</f>
        <v>0</v>
      </c>
      <c r="AF39" s="306">
        <f>SUM(AF40:AF48)</f>
        <v>0</v>
      </c>
      <c r="AG39" s="306">
        <f>SUM(AG40:AG48)</f>
        <v>0</v>
      </c>
      <c r="AH39" s="306">
        <f>SUM(AH40:AH48)</f>
        <v>0</v>
      </c>
      <c r="AI39" s="306">
        <f>SUM(AI40:AI48)</f>
        <v>0</v>
      </c>
      <c r="AJ39" s="306">
        <f>SUM(AJ40:AJ48)</f>
        <v>0</v>
      </c>
      <c r="AK39" s="224"/>
      <c r="AL39" s="448"/>
      <c r="AM39" s="448"/>
      <c r="AN39" s="1764"/>
      <c r="AO39" s="1764"/>
      <c r="AP39" s="1764"/>
      <c r="AQ39" s="1757"/>
      <c r="AR39" s="1757"/>
    </row>
    <row s="1834" customFormat="1" customHeight="1" ht="21.75">
      <c r="A40" s="1758"/>
      <c r="B40" s="1416"/>
      <c r="C40" s="1758"/>
      <c r="D40" s="1758"/>
      <c r="E40" s="618">
        <v>22.5</v>
      </c>
      <c r="F40" s="50" cm="1" t="str">
        <f t="array" ref="F40:F40">OFFSET(E40,-1,1)</f>
        <v>1</v>
      </c>
      <c r="G40" s="122" t="s">
        <v>332</v>
      </c>
      <c r="H40" s="1758"/>
      <c r="I40" s="1758"/>
      <c r="J40" s="1758"/>
      <c r="K40" s="124" t="str">
        <f>F40&amp;"komm"</f>
        <v>1komm</v>
      </c>
      <c r="L40" s="919" cm="1" t="str">
        <f t="array" ref="L40:L40">AK40</f>
        <v>0</v>
      </c>
      <c r="M40" s="1758"/>
      <c r="N40" s="1758"/>
      <c r="O40" s="1758"/>
      <c r="P40" s="1758"/>
      <c r="Q40" s="1758"/>
      <c r="R40" s="1758"/>
      <c r="S40" s="1758"/>
      <c r="T40" s="465" cm="1" t="str">
        <f t="array" ref="T40:T40">T39</f>
        <v>true</v>
      </c>
      <c r="U40" s="1758"/>
      <c r="V40" s="1758"/>
      <c r="W40" s="1758"/>
      <c r="X40" s="1563"/>
      <c r="Y40" s="1758"/>
      <c r="Z40" s="1546"/>
      <c r="AA40" s="448"/>
      <c r="AB40" s="299" t="s">
        <v>276</v>
      </c>
      <c r="AC40" s="452" t="s">
        <v>1980</v>
      </c>
      <c r="AD40" s="300" t="s">
        <v>1514</v>
      </c>
      <c r="AE40" s="298"/>
      <c r="AF40" s="229"/>
      <c r="AG40" s="229"/>
      <c r="AH40" s="229"/>
      <c r="AI40" s="229"/>
      <c r="AJ40" s="229"/>
      <c r="AK40" s="200"/>
      <c r="AL40" s="448"/>
      <c r="AM40" s="448"/>
      <c r="AN40" s="997" t="s">
        <v>1981</v>
      </c>
      <c r="AO40" s="1764"/>
      <c r="AP40" s="1764"/>
      <c r="AQ40" s="1757"/>
      <c r="AR40" s="1757"/>
    </row>
    <row s="1834" customFormat="1" customHeight="1" ht="21.75">
      <c r="A41" s="1758"/>
      <c r="B41" s="1416"/>
      <c r="C41" s="1758"/>
      <c r="D41" s="1758"/>
      <c r="E41" s="618">
        <v>22.5</v>
      </c>
      <c r="F41" s="50" cm="1" t="str">
        <f t="array" ref="F41:F41">OFFSET(E41,-1,1)</f>
        <v>1</v>
      </c>
      <c r="G41" s="122" t="s">
        <v>333</v>
      </c>
      <c r="H41" s="1758"/>
      <c r="I41" s="1758"/>
      <c r="J41" s="1758"/>
      <c r="K41" s="1758"/>
      <c r="L41" s="1758"/>
      <c r="M41" s="1758"/>
      <c r="N41" s="1758"/>
      <c r="O41" s="1758"/>
      <c r="P41" s="1758"/>
      <c r="Q41" s="1758"/>
      <c r="R41" s="1758"/>
      <c r="S41" s="1758"/>
      <c r="T41" s="465" cm="1" t="str">
        <f t="array" ref="T41:T41">T40</f>
        <v>true</v>
      </c>
      <c r="U41" s="1758"/>
      <c r="V41" s="1758"/>
      <c r="W41" s="1758"/>
      <c r="X41" s="1563"/>
      <c r="Y41" s="1758"/>
      <c r="Z41" s="1546"/>
      <c r="AA41" s="448"/>
      <c r="AB41" s="299" t="s">
        <v>285</v>
      </c>
      <c r="AC41" s="452" t="s">
        <v>1982</v>
      </c>
      <c r="AD41" s="300" t="s">
        <v>1514</v>
      </c>
      <c r="AE41" s="298"/>
      <c r="AF41" s="229"/>
      <c r="AG41" s="229"/>
      <c r="AH41" s="229"/>
      <c r="AI41" s="229"/>
      <c r="AJ41" s="229"/>
      <c r="AK41" s="200"/>
      <c r="AL41" s="448"/>
      <c r="AM41" s="448"/>
      <c r="AN41" s="997" t="s">
        <v>1983</v>
      </c>
      <c r="AO41" s="1764"/>
      <c r="AP41" s="1764"/>
      <c r="AQ41" s="1757"/>
      <c r="AR41" s="1757"/>
    </row>
    <row s="1834" customFormat="1" customHeight="1" ht="21.75">
      <c r="A42" s="1758"/>
      <c r="B42" s="1416"/>
      <c r="C42" s="1758"/>
      <c r="D42" s="1758"/>
      <c r="E42" s="618">
        <v>22.5</v>
      </c>
      <c r="F42" s="50" cm="1" t="str">
        <f t="array" ref="F42:F42">OFFSET(E42,-1,1)</f>
        <v>1</v>
      </c>
      <c r="G42" s="122" t="s">
        <v>334</v>
      </c>
      <c r="H42" s="1758"/>
      <c r="I42" s="1758"/>
      <c r="J42" s="1758"/>
      <c r="K42" s="1758"/>
      <c r="L42" s="1758"/>
      <c r="M42" s="1758"/>
      <c r="N42" s="1758"/>
      <c r="O42" s="1758"/>
      <c r="P42" s="1758"/>
      <c r="Q42" s="1758"/>
      <c r="R42" s="1758"/>
      <c r="S42" s="1758"/>
      <c r="T42" s="465" cm="1" t="str">
        <f t="array" ref="T42:T42">T41</f>
        <v>true</v>
      </c>
      <c r="U42" s="1758"/>
      <c r="V42" s="1758"/>
      <c r="W42" s="1758"/>
      <c r="X42" s="1563"/>
      <c r="Y42" s="1758"/>
      <c r="Z42" s="1546"/>
      <c r="AA42" s="448"/>
      <c r="AB42" s="299" t="s">
        <v>289</v>
      </c>
      <c r="AC42" s="452" t="s">
        <v>1984</v>
      </c>
      <c r="AD42" s="300" t="s">
        <v>1514</v>
      </c>
      <c r="AE42" s="298"/>
      <c r="AF42" s="229"/>
      <c r="AG42" s="229"/>
      <c r="AH42" s="229"/>
      <c r="AI42" s="229"/>
      <c r="AJ42" s="229"/>
      <c r="AK42" s="200"/>
      <c r="AL42" s="448"/>
      <c r="AM42" s="448"/>
      <c r="AN42" s="997" t="s">
        <v>1985</v>
      </c>
      <c r="AO42" s="1764"/>
      <c r="AP42" s="1764"/>
      <c r="AQ42" s="1757"/>
      <c r="AR42" s="1757"/>
    </row>
    <row s="1834" customFormat="1" customHeight="1" ht="32.25">
      <c r="A43" s="122"/>
      <c r="B43" s="428"/>
      <c r="C43" s="122"/>
      <c r="D43" s="122"/>
      <c r="E43" s="618">
        <v>33.75</v>
      </c>
      <c r="F43" s="1175" cm="1" t="str">
        <f t="array" ref="F43:F43">OFFSET(E43,-1,1)</f>
        <v>1</v>
      </c>
      <c r="G43" s="122" t="s">
        <v>336</v>
      </c>
      <c r="H43" s="122"/>
      <c r="I43" s="122"/>
      <c r="J43" s="122"/>
      <c r="K43" s="122"/>
      <c r="L43" s="122"/>
      <c r="M43" s="122"/>
      <c r="N43" s="122"/>
      <c r="O43" s="122"/>
      <c r="P43" s="122"/>
      <c r="Q43" s="122"/>
      <c r="R43" s="122"/>
      <c r="S43" s="122"/>
      <c r="T43" s="465" cm="1" t="str">
        <f t="array" ref="T43:T43">T42</f>
        <v>true</v>
      </c>
      <c r="U43" s="122"/>
      <c r="V43" s="122"/>
      <c r="W43" s="122"/>
      <c r="X43" s="1563"/>
      <c r="Y43" s="122"/>
      <c r="Z43" s="1546"/>
      <c r="AA43" s="448"/>
      <c r="AB43" s="886">
        <v>4</v>
      </c>
      <c r="AC43" s="452" t="s">
        <v>1986</v>
      </c>
      <c r="AD43" s="300" t="s">
        <v>1514</v>
      </c>
      <c r="AE43" s="773">
        <f>_xlfn.SUMIFS(ФОТ!AE$25:AE$188,ФОТ!$F$25:$F$188,$F43,ФОТ!$G$25:$G$188,"СП")+_xlfn.SUMIFS(ФОТ!AE$25:AE$188,ФОТ!$F$25:$F$188,$F43,ФОТ!$G$25:$G$188,"СОЦ_СП")</f>
        <v>0</v>
      </c>
      <c r="AF43" s="773">
        <f>_xlfn.SUMIFS(ФОТ!AF$25:AF$188,ФОТ!$F$25:$F$188,$F43,ФОТ!$G$25:$G$188,"СП")+_xlfn.SUMIFS(ФОТ!AF$25:AF$188,ФОТ!$F$25:$F$188,$F43,ФОТ!$G$25:$G$188,"СОЦ_СП")</f>
        <v>0</v>
      </c>
      <c r="AG43" s="773">
        <f>_xlfn.SUMIFS(ФОТ!AG$25:AG$188,ФОТ!$F$25:$F$188,$F43,ФОТ!$G$25:$G$188,"СП")+_xlfn.SUMIFS(ФОТ!AG$25:AG$188,ФОТ!$F$25:$F$188,$F43,ФОТ!$G$25:$G$188,"СОЦ_СП")</f>
        <v>0</v>
      </c>
      <c r="AH43" s="773">
        <f>_xlfn.SUMIFS(ФОТ!AH$25:AH$188,ФОТ!$F$25:$F$188,$F43,ФОТ!$G$25:$G$188,"СП")+_xlfn.SUMIFS(ФОТ!AH$25:AH$188,ФОТ!$F$25:$F$188,$F43,ФОТ!$G$25:$G$188,"СОЦ_СП")</f>
        <v>0</v>
      </c>
      <c r="AI43" s="773">
        <f>_xlfn.SUMIFS(ФОТ!AI$25:AI$188,ФОТ!$F$25:$F$188,$F43,ФОТ!$G$25:$G$188,"СП")+_xlfn.SUMIFS(ФОТ!AI$25:AI$188,ФОТ!$F$25:$F$188,$F43,ФОТ!$G$25:$G$188,"СОЦ_СП")</f>
        <v>0</v>
      </c>
      <c r="AJ43" s="773">
        <f>_xlfn.SUMIFS(ФОТ!AJ$25:AJ$188,ФОТ!$F$25:$F$188,$F43,ФОТ!$G$25:$G$188,"СП")+_xlfn.SUMIFS(ФОТ!AJ$25:AJ$188,ФОТ!$F$25:$F$188,$F43,ФОТ!$G$25:$G$188,"СОЦ_СП")</f>
        <v>0</v>
      </c>
      <c r="AK43" s="200"/>
      <c r="AL43" s="448"/>
      <c r="AM43" s="1834"/>
      <c r="AN43" s="1048" t="s">
        <v>1987</v>
      </c>
      <c r="AO43" s="1048"/>
      <c r="AP43" s="1048"/>
      <c r="AQ43" s="671"/>
      <c r="AR43" s="671"/>
    </row>
    <row s="1834" customFormat="1" customHeight="1" ht="32.25">
      <c r="A44" s="1758"/>
      <c r="B44" s="1416"/>
      <c r="C44" s="1758"/>
      <c r="D44" s="1758"/>
      <c r="E44" s="618">
        <v>33.75</v>
      </c>
      <c r="F44" s="50" cm="1" t="str">
        <f t="array" ref="F44:F44">OFFSET(E44,-1,1)</f>
        <v>1</v>
      </c>
      <c r="G44" s="122" t="s">
        <v>335</v>
      </c>
      <c r="H44" s="1758"/>
      <c r="I44" s="1758"/>
      <c r="J44" s="1758"/>
      <c r="K44" s="1758"/>
      <c r="L44" s="1758"/>
      <c r="M44" s="1758"/>
      <c r="N44" s="1758"/>
      <c r="O44" s="1758"/>
      <c r="P44" s="1758"/>
      <c r="Q44" s="1758"/>
      <c r="R44" s="1758"/>
      <c r="S44" s="1758"/>
      <c r="T44" s="465" cm="1" t="str">
        <f t="array" ref="T44:T44">T43</f>
        <v>true</v>
      </c>
      <c r="U44" s="1758"/>
      <c r="V44" s="1758"/>
      <c r="W44" s="1758"/>
      <c r="X44" s="1563"/>
      <c r="Y44" s="1758"/>
      <c r="Z44" s="1546"/>
      <c r="AA44" s="448"/>
      <c r="AB44" s="299" t="s">
        <v>443</v>
      </c>
      <c r="AC44" s="452" t="s">
        <v>1988</v>
      </c>
      <c r="AD44" s="300" t="s">
        <v>1514</v>
      </c>
      <c r="AE44" s="298"/>
      <c r="AF44" s="298"/>
      <c r="AG44" s="298"/>
      <c r="AH44" s="298"/>
      <c r="AI44" s="298"/>
      <c r="AJ44" s="298"/>
      <c r="AK44" s="200"/>
      <c r="AL44" s="448"/>
      <c r="AM44" s="448"/>
      <c r="AN44" s="997" t="s">
        <v>1960</v>
      </c>
      <c r="AO44" s="1764"/>
      <c r="AP44" s="1764"/>
      <c r="AQ44" s="1757"/>
      <c r="AR44" s="1757"/>
    </row>
    <row s="1834" customFormat="1" customHeight="1" ht="21.75">
      <c r="A45" s="1758"/>
      <c r="B45" s="1416"/>
      <c r="C45" s="1758"/>
      <c r="D45" s="1758"/>
      <c r="E45" s="618">
        <v>22.5</v>
      </c>
      <c r="F45" s="50" cm="1" t="str">
        <f t="array" ref="F45:F45">OFFSET(E45,-1,1)</f>
        <v>1</v>
      </c>
      <c r="G45" s="122" t="s">
        <v>1225</v>
      </c>
      <c r="H45" s="1758"/>
      <c r="I45" s="1758"/>
      <c r="J45" s="1758"/>
      <c r="K45" s="1758"/>
      <c r="L45" s="1758"/>
      <c r="M45" s="1758"/>
      <c r="N45" s="1758"/>
      <c r="O45" s="1758"/>
      <c r="P45" s="1758"/>
      <c r="Q45" s="1758"/>
      <c r="R45" s="1758"/>
      <c r="S45" s="1758"/>
      <c r="T45" s="465" cm="1" t="str">
        <f t="array" ref="T45:T45">T44</f>
        <v>true</v>
      </c>
      <c r="U45" s="1758"/>
      <c r="V45" s="1758"/>
      <c r="W45" s="1758"/>
      <c r="X45" s="1563"/>
      <c r="Y45" s="1758"/>
      <c r="Z45" s="1546"/>
      <c r="AA45" s="448"/>
      <c r="AB45" s="299" t="s">
        <v>446</v>
      </c>
      <c r="AC45" s="452" t="s">
        <v>1989</v>
      </c>
      <c r="AD45" s="300" t="s">
        <v>1514</v>
      </c>
      <c r="AE45" s="298"/>
      <c r="AF45" s="298"/>
      <c r="AG45" s="298"/>
      <c r="AH45" s="298"/>
      <c r="AI45" s="298"/>
      <c r="AJ45" s="298"/>
      <c r="AK45" s="200"/>
      <c r="AL45" s="448"/>
      <c r="AM45" s="448"/>
      <c r="AN45" s="997" t="s">
        <v>1946</v>
      </c>
      <c r="AO45" s="1764"/>
      <c r="AP45" s="1764"/>
      <c r="AQ45" s="1757"/>
      <c r="AR45" s="1757"/>
    </row>
    <row s="1834" customFormat="1" customHeight="1" ht="43.5">
      <c r="A46" s="1758"/>
      <c r="B46" s="1416"/>
      <c r="C46" s="1758"/>
      <c r="D46" s="1758"/>
      <c r="E46" s="618">
        <v>45</v>
      </c>
      <c r="F46" s="50" cm="1" t="str">
        <f t="array" ref="F46:F46">OFFSET(E46,-1,1)</f>
        <v>1</v>
      </c>
      <c r="G46" s="122" t="s">
        <v>1228</v>
      </c>
      <c r="H46" s="1758"/>
      <c r="I46" s="1758"/>
      <c r="J46" s="1758"/>
      <c r="K46" s="1758"/>
      <c r="L46" s="1758"/>
      <c r="M46" s="1758"/>
      <c r="N46" s="1758"/>
      <c r="O46" s="1758"/>
      <c r="P46" s="1758"/>
      <c r="Q46" s="1758"/>
      <c r="R46" s="1758"/>
      <c r="S46" s="1758"/>
      <c r="T46" s="465" cm="1" t="str">
        <f t="array" ref="T46:T46">T45</f>
        <v>true</v>
      </c>
      <c r="U46" s="1758"/>
      <c r="V46" s="1758"/>
      <c r="W46" s="1758"/>
      <c r="X46" s="1563"/>
      <c r="Y46" s="1758"/>
      <c r="Z46" s="1546"/>
      <c r="AA46" s="448"/>
      <c r="AB46" s="299" t="s">
        <v>449</v>
      </c>
      <c r="AC46" s="452" t="s">
        <v>1990</v>
      </c>
      <c r="AD46" s="300" t="s">
        <v>1514</v>
      </c>
      <c r="AE46" s="298"/>
      <c r="AF46" s="298"/>
      <c r="AG46" s="298"/>
      <c r="AH46" s="298"/>
      <c r="AI46" s="298"/>
      <c r="AJ46" s="298"/>
      <c r="AK46" s="200"/>
      <c r="AL46" s="448"/>
      <c r="AM46" s="448"/>
      <c r="AN46" s="997" t="s">
        <v>1991</v>
      </c>
      <c r="AO46" s="1764"/>
      <c r="AP46" s="1764"/>
      <c r="AQ46" s="1757"/>
      <c r="AR46" s="1757"/>
    </row>
    <row s="1834" customFormat="1" customHeight="1" ht="43.5">
      <c r="A47" s="1758"/>
      <c r="B47" s="1416"/>
      <c r="C47" s="1758"/>
      <c r="D47" s="1758"/>
      <c r="E47" s="618">
        <v>45</v>
      </c>
      <c r="F47" s="50" cm="1" t="str">
        <f t="array" ref="F47:F47">OFFSET(E47,-1,1)</f>
        <v>1</v>
      </c>
      <c r="G47" s="122" t="s">
        <v>1275</v>
      </c>
      <c r="H47" s="1758"/>
      <c r="I47" s="1758"/>
      <c r="J47" s="1758"/>
      <c r="K47" s="1758"/>
      <c r="L47" s="1758"/>
      <c r="M47" s="1758"/>
      <c r="N47" s="1758"/>
      <c r="O47" s="1758"/>
      <c r="P47" s="1758"/>
      <c r="Q47" s="1758"/>
      <c r="R47" s="1758"/>
      <c r="S47" s="1758"/>
      <c r="T47" s="465" cm="1" t="str">
        <f t="array" ref="T47:T47">T46</f>
        <v>true</v>
      </c>
      <c r="U47" s="1758"/>
      <c r="V47" s="1758"/>
      <c r="W47" s="1758"/>
      <c r="X47" s="1563"/>
      <c r="Y47" s="1758"/>
      <c r="Z47" s="1546"/>
      <c r="AA47" s="448"/>
      <c r="AB47" s="299" t="s">
        <v>452</v>
      </c>
      <c r="AC47" s="452" t="s">
        <v>1992</v>
      </c>
      <c r="AD47" s="300" t="s">
        <v>1514</v>
      </c>
      <c r="AE47" s="298"/>
      <c r="AF47" s="298"/>
      <c r="AG47" s="298"/>
      <c r="AH47" s="298"/>
      <c r="AI47" s="298"/>
      <c r="AJ47" s="298"/>
      <c r="AK47" s="200"/>
      <c r="AL47" s="448"/>
      <c r="AM47" s="448"/>
      <c r="AN47" s="997" t="s">
        <v>1993</v>
      </c>
      <c r="AO47" s="1764"/>
      <c r="AP47" s="1764"/>
      <c r="AQ47" s="1757"/>
      <c r="AR47" s="1757"/>
    </row>
    <row s="1834" customFormat="1" customHeight="1" ht="14.25">
      <c r="A48" s="1758"/>
      <c r="B48" s="1416"/>
      <c r="C48" s="1758"/>
      <c r="D48" s="1758"/>
      <c r="E48" s="618">
        <v>15</v>
      </c>
      <c r="F48" s="50" cm="1" t="str">
        <f t="array" ref="F48:F48">OFFSET(E48,-1,1)</f>
        <v>1</v>
      </c>
      <c r="G48" s="122" t="s">
        <v>1290</v>
      </c>
      <c r="H48" s="1758"/>
      <c r="I48" s="1758"/>
      <c r="J48" s="1758"/>
      <c r="K48" s="1758"/>
      <c r="L48" s="1758"/>
      <c r="M48" s="1758"/>
      <c r="N48" s="1758"/>
      <c r="O48" s="1758"/>
      <c r="P48" s="1758"/>
      <c r="Q48" s="1758"/>
      <c r="R48" s="1758"/>
      <c r="S48" s="1758"/>
      <c r="T48" s="465" cm="1" t="str">
        <f t="array" ref="T48:T48">T47</f>
        <v>true</v>
      </c>
      <c r="U48" s="1758"/>
      <c r="V48" s="1758"/>
      <c r="W48" s="1758"/>
      <c r="X48" s="1563"/>
      <c r="Y48" s="1758"/>
      <c r="Z48" s="1546"/>
      <c r="AA48" s="448"/>
      <c r="AB48" s="356">
        <v>9</v>
      </c>
      <c r="AC48" s="452" t="s">
        <v>1994</v>
      </c>
      <c r="AD48" s="300" t="s">
        <v>1514</v>
      </c>
      <c r="AE48" s="235">
        <f>SUM(AE49:AE50)</f>
        <v>0</v>
      </c>
      <c r="AF48" s="235">
        <f>SUM(AF49:AF50)</f>
        <v>0</v>
      </c>
      <c r="AG48" s="235">
        <f>SUM(AG49:AG50)</f>
        <v>0</v>
      </c>
      <c r="AH48" s="235">
        <f>SUM(AH49:AH50)</f>
        <v>0</v>
      </c>
      <c r="AI48" s="235">
        <f>SUM(AI49:AI50)</f>
        <v>0</v>
      </c>
      <c r="AJ48" s="235">
        <f>SUM(AJ49:AJ50)</f>
        <v>0</v>
      </c>
      <c r="AK48" s="200"/>
      <c r="AL48" s="448"/>
      <c r="AM48" s="448"/>
      <c r="AN48" s="997" t="s">
        <v>396</v>
      </c>
      <c r="AO48" s="1764"/>
      <c r="AP48" s="1764"/>
      <c r="AQ48" s="1757"/>
      <c r="AR48" s="1757"/>
    </row>
    <row s="1834" customFormat="1" customHeight="1" ht="14.25" hidden="1">
      <c r="A49" s="1758"/>
      <c r="B49" s="1416"/>
      <c r="C49" s="1758"/>
      <c r="D49" s="1758"/>
      <c r="E49" s="618">
        <v>15</v>
      </c>
      <c r="F49" s="50" cm="1" t="str">
        <f t="array" ref="F49:F49">OFFSET(E49,-1,1)</f>
        <v>1</v>
      </c>
      <c r="G49" s="122" t="s">
        <v>1290</v>
      </c>
      <c r="H49" s="122" cm="1" t="str">
        <f t="array" ref="H49:H49">AC49</f>
        <v>0</v>
      </c>
      <c r="I49" s="1758"/>
      <c r="J49" s="1758"/>
      <c r="K49" s="1758"/>
      <c r="L49" s="1758"/>
      <c r="M49" s="1758"/>
      <c r="N49" s="1758"/>
      <c r="O49" s="1758"/>
      <c r="P49" s="1758"/>
      <c r="Q49" s="1758"/>
      <c r="R49" s="1758"/>
      <c r="S49" s="1758"/>
      <c r="T49" s="465">
        <f>AND(F49&gt;0,Y49&gt;0)</f>
        <v>0</v>
      </c>
      <c r="U49" s="1758"/>
      <c r="V49" s="1758"/>
      <c r="W49" s="757" t="s">
        <v>174</v>
      </c>
      <c r="X49" s="1563"/>
      <c r="Y49" s="122">
        <v>0</v>
      </c>
      <c r="Z49" s="1546"/>
      <c r="AA49" s="420" t="s">
        <v>175</v>
      </c>
      <c r="AB49" s="690" t="str">
        <f>"9."&amp;Y49</f>
        <v>9.0</v>
      </c>
      <c r="AC49" s="4727"/>
      <c r="AD49" s="300" t="s">
        <v>1514</v>
      </c>
      <c r="AE49" s="4725"/>
      <c r="AF49" s="4725"/>
      <c r="AG49" s="4725"/>
      <c r="AH49" s="4725"/>
      <c r="AI49" s="4725"/>
      <c r="AJ49" s="4725"/>
      <c r="AK49" s="2070"/>
      <c r="AL49" s="448"/>
      <c r="AM49" s="448"/>
      <c r="AN49" s="997" t="s">
        <v>396</v>
      </c>
      <c r="AO49" s="997" t="s">
        <v>1995</v>
      </c>
      <c r="AP49" s="997" cm="1" t="str">
        <f t="array" ref="AP49:AP49">AC49</f>
        <v>0</v>
      </c>
      <c r="AQ49" s="1757"/>
      <c r="AR49" s="618" t="b">
        <v>1</v>
      </c>
    </row>
    <row s="1834" customFormat="1" customHeight="1" ht="14.25">
      <c r="A50" s="146"/>
      <c r="B50" s="429"/>
      <c r="C50" s="146"/>
      <c r="D50" s="146"/>
      <c r="E50" s="267">
        <v>15</v>
      </c>
      <c r="F50" s="50" cm="1" t="str">
        <f t="array" ref="F50:F50">OFFSET(E50,-1,1)</f>
        <v>1</v>
      </c>
      <c r="G50" s="146"/>
      <c r="H50" s="152" t="str">
        <f>"!=='не определено'"</f>
        <v>!=='не определено'</v>
      </c>
      <c r="I50" s="146"/>
      <c r="J50" s="146"/>
      <c r="K50" s="146"/>
      <c r="L50" s="146"/>
      <c r="M50" s="146"/>
      <c r="N50" s="146"/>
      <c r="O50" s="146"/>
      <c r="P50" s="146"/>
      <c r="Q50" s="146"/>
      <c r="R50" s="146"/>
      <c r="S50" s="146"/>
      <c r="T50" s="465">
        <f>F50&gt;0</f>
        <v>1</v>
      </c>
      <c r="U50" s="146"/>
      <c r="V50" s="146"/>
      <c r="W50" s="757" t="s">
        <v>1996</v>
      </c>
      <c r="X50" s="1563"/>
      <c r="Y50" s="146"/>
      <c r="Z50" s="1546"/>
      <c r="AA50" s="146"/>
      <c r="AB50" s="231"/>
      <c r="AC50" s="232" t="s">
        <v>178</v>
      </c>
      <c r="AD50" s="232"/>
      <c r="AE50" s="232"/>
      <c r="AF50" s="232"/>
      <c r="AG50" s="232"/>
      <c r="AH50" s="232"/>
      <c r="AI50" s="232"/>
      <c r="AJ50" s="232"/>
      <c r="AK50" s="233"/>
      <c r="AL50" s="146"/>
      <c r="AM50" s="448"/>
      <c r="AN50" s="1764"/>
      <c r="AO50" s="1764"/>
      <c r="AP50" s="1764"/>
      <c r="AQ50" s="618" t="s">
        <v>1995</v>
      </c>
      <c r="AR50" s="1757"/>
    </row>
    <row s="1834" customFormat="1" customHeight="1" ht="14.25">
      <c r="A51" s="1758"/>
      <c r="B51" s="1416"/>
      <c r="C51" s="1758"/>
      <c r="D51" s="1758"/>
      <c r="E51" s="618">
        <v>15</v>
      </c>
      <c r="F51" s="98" cm="1" t="str">
        <f t="array" ref="F51:F51">X51</f>
        <v>2</v>
      </c>
      <c r="G51" s="122" t="s">
        <v>1979</v>
      </c>
      <c r="H51" s="1758"/>
      <c r="I51" s="1758"/>
      <c r="J51" s="1758"/>
      <c r="K51" s="1758"/>
      <c r="L51" s="1758"/>
      <c r="M51" s="1758"/>
      <c r="N51" s="1758"/>
      <c r="O51" s="1758"/>
      <c r="P51" s="1758"/>
      <c r="Q51" s="1758"/>
      <c r="R51" s="1758"/>
      <c r="S51" s="1758"/>
      <c r="T51" s="465">
        <f>X51&gt;0</f>
        <v>1</v>
      </c>
      <c r="U51" s="1758"/>
      <c r="V51" s="122" cm="1" t="str">
        <f t="array" ref="V51:V51">Административные!$AB$65</f>
        <v>Тариф 2 (Водоснабжение) - тариф на питьевую воду (Доп. признак не требуется)</v>
      </c>
      <c r="W51" s="1758"/>
      <c r="X51" s="1563" t="s">
        <v>285</v>
      </c>
      <c r="Y51" s="1758"/>
      <c r="Z51" s="1546"/>
      <c r="AA51" s="448"/>
      <c r="AB51" s="222" cm="1" t="str">
        <f t="array" ref="AB51:AB51">Административные!$AB$65</f>
        <v>Тариф 2 (Водоснабжение) - тариф на питьевую воду (Доп. признак не требуется)</v>
      </c>
      <c r="AC51" s="180"/>
      <c r="AD51" s="180"/>
      <c r="AE51" s="306">
        <f>SUM(AE52:AE60)</f>
        <v>0</v>
      </c>
      <c r="AF51" s="306">
        <f>SUM(AF52:AF60)</f>
        <v>0</v>
      </c>
      <c r="AG51" s="306">
        <f>SUM(AG52:AG60)</f>
        <v>0</v>
      </c>
      <c r="AH51" s="306">
        <f>SUM(AH52:AH60)</f>
        <v>0</v>
      </c>
      <c r="AI51" s="306">
        <f>SUM(AI52:AI60)</f>
        <v>0</v>
      </c>
      <c r="AJ51" s="306">
        <f>SUM(AJ52:AJ60)</f>
        <v>0</v>
      </c>
      <c r="AK51" s="224"/>
      <c r="AL51" s="448"/>
      <c r="AM51" s="448"/>
      <c r="AN51" s="1764"/>
      <c r="AO51" s="1764"/>
      <c r="AP51" s="1764"/>
      <c r="AQ51" s="1757"/>
      <c r="AR51" s="1757"/>
    </row>
    <row s="1834" customFormat="1" customHeight="1" ht="21.75">
      <c r="A52" s="1758"/>
      <c r="B52" s="1416"/>
      <c r="C52" s="1758"/>
      <c r="D52" s="1758"/>
      <c r="E52" s="618">
        <v>22.5</v>
      </c>
      <c r="F52" s="50" cm="1" t="str">
        <f t="array" ref="F52:F52">OFFSET(E52,-1,1)</f>
        <v>2</v>
      </c>
      <c r="G52" s="122" t="s">
        <v>332</v>
      </c>
      <c r="H52" s="1758"/>
      <c r="I52" s="1758"/>
      <c r="J52" s="1758"/>
      <c r="K52" s="124" t="str">
        <f>F52&amp;"komm"</f>
        <v>2komm</v>
      </c>
      <c r="L52" s="919" cm="1" t="str">
        <f t="array" ref="L52:L52">AK52</f>
        <v>0</v>
      </c>
      <c r="M52" s="1758"/>
      <c r="N52" s="1758"/>
      <c r="O52" s="1758"/>
      <c r="P52" s="1758"/>
      <c r="Q52" s="1758"/>
      <c r="R52" s="1758"/>
      <c r="S52" s="1758"/>
      <c r="T52" s="465" cm="1" t="str">
        <f t="array" ref="T52:T52">T51</f>
        <v>true</v>
      </c>
      <c r="U52" s="1758"/>
      <c r="V52" s="1758"/>
      <c r="W52" s="1758"/>
      <c r="X52" s="1563"/>
      <c r="Y52" s="1758"/>
      <c r="Z52" s="1546"/>
      <c r="AA52" s="448"/>
      <c r="AB52" s="299" t="s">
        <v>276</v>
      </c>
      <c r="AC52" s="452" t="s">
        <v>1980</v>
      </c>
      <c r="AD52" s="300" t="s">
        <v>1514</v>
      </c>
      <c r="AE52" s="298"/>
      <c r="AF52" s="229"/>
      <c r="AG52" s="229"/>
      <c r="AH52" s="229"/>
      <c r="AI52" s="229"/>
      <c r="AJ52" s="229"/>
      <c r="AK52" s="200"/>
      <c r="AL52" s="448"/>
      <c r="AM52" s="448"/>
      <c r="AN52" s="997" t="s">
        <v>1981</v>
      </c>
      <c r="AO52" s="1764"/>
      <c r="AP52" s="1764"/>
      <c r="AQ52" s="1757"/>
      <c r="AR52" s="1757"/>
    </row>
    <row s="1834" customFormat="1" customHeight="1" ht="21.75">
      <c r="A53" s="1758"/>
      <c r="B53" s="1416"/>
      <c r="C53" s="1758"/>
      <c r="D53" s="1758"/>
      <c r="E53" s="618">
        <v>22.5</v>
      </c>
      <c r="F53" s="50" cm="1" t="str">
        <f t="array" ref="F53:F53">OFFSET(E53,-1,1)</f>
        <v>2</v>
      </c>
      <c r="G53" s="122" t="s">
        <v>333</v>
      </c>
      <c r="H53" s="1758"/>
      <c r="I53" s="1758"/>
      <c r="J53" s="1758"/>
      <c r="K53" s="1758"/>
      <c r="L53" s="1758"/>
      <c r="M53" s="1758"/>
      <c r="N53" s="1758"/>
      <c r="O53" s="1758"/>
      <c r="P53" s="1758"/>
      <c r="Q53" s="1758"/>
      <c r="R53" s="1758"/>
      <c r="S53" s="1758"/>
      <c r="T53" s="465" cm="1" t="str">
        <f t="array" ref="T53:T53">T52</f>
        <v>true</v>
      </c>
      <c r="U53" s="1758"/>
      <c r="V53" s="1758"/>
      <c r="W53" s="1758"/>
      <c r="X53" s="1563"/>
      <c r="Y53" s="1758"/>
      <c r="Z53" s="1546"/>
      <c r="AA53" s="448"/>
      <c r="AB53" s="299" t="s">
        <v>285</v>
      </c>
      <c r="AC53" s="452" t="s">
        <v>1982</v>
      </c>
      <c r="AD53" s="300" t="s">
        <v>1514</v>
      </c>
      <c r="AE53" s="298"/>
      <c r="AF53" s="229"/>
      <c r="AG53" s="229"/>
      <c r="AH53" s="229"/>
      <c r="AI53" s="229"/>
      <c r="AJ53" s="229"/>
      <c r="AK53" s="200"/>
      <c r="AL53" s="448"/>
      <c r="AM53" s="448"/>
      <c r="AN53" s="997" t="s">
        <v>1983</v>
      </c>
      <c r="AO53" s="1764"/>
      <c r="AP53" s="1764"/>
      <c r="AQ53" s="1757"/>
      <c r="AR53" s="1757"/>
    </row>
    <row s="1834" customFormat="1" customHeight="1" ht="21.75">
      <c r="A54" s="1758"/>
      <c r="B54" s="1416"/>
      <c r="C54" s="1758"/>
      <c r="D54" s="1758"/>
      <c r="E54" s="618">
        <v>22.5</v>
      </c>
      <c r="F54" s="50" cm="1" t="str">
        <f t="array" ref="F54:F54">OFFSET(E54,-1,1)</f>
        <v>2</v>
      </c>
      <c r="G54" s="122" t="s">
        <v>334</v>
      </c>
      <c r="H54" s="1758"/>
      <c r="I54" s="1758"/>
      <c r="J54" s="1758"/>
      <c r="K54" s="1758"/>
      <c r="L54" s="1758"/>
      <c r="M54" s="1758"/>
      <c r="N54" s="1758"/>
      <c r="O54" s="1758"/>
      <c r="P54" s="1758"/>
      <c r="Q54" s="1758"/>
      <c r="R54" s="1758"/>
      <c r="S54" s="1758"/>
      <c r="T54" s="465" cm="1" t="str">
        <f t="array" ref="T54:T54">T53</f>
        <v>true</v>
      </c>
      <c r="U54" s="1758"/>
      <c r="V54" s="1758"/>
      <c r="W54" s="1758"/>
      <c r="X54" s="1563"/>
      <c r="Y54" s="1758"/>
      <c r="Z54" s="1546"/>
      <c r="AA54" s="448"/>
      <c r="AB54" s="299" t="s">
        <v>289</v>
      </c>
      <c r="AC54" s="452" t="s">
        <v>1984</v>
      </c>
      <c r="AD54" s="300" t="s">
        <v>1514</v>
      </c>
      <c r="AE54" s="298"/>
      <c r="AF54" s="229"/>
      <c r="AG54" s="229"/>
      <c r="AH54" s="229"/>
      <c r="AI54" s="229"/>
      <c r="AJ54" s="229"/>
      <c r="AK54" s="200"/>
      <c r="AL54" s="448"/>
      <c r="AM54" s="448"/>
      <c r="AN54" s="997" t="s">
        <v>1985</v>
      </c>
      <c r="AO54" s="1764"/>
      <c r="AP54" s="1764"/>
      <c r="AQ54" s="1757"/>
      <c r="AR54" s="1757"/>
    </row>
    <row s="1834" customFormat="1" customHeight="1" ht="32.25">
      <c r="A55" s="122"/>
      <c r="B55" s="428"/>
      <c r="C55" s="122"/>
      <c r="D55" s="122"/>
      <c r="E55" s="618">
        <v>33.75</v>
      </c>
      <c r="F55" s="1175" cm="1" t="str">
        <f t="array" ref="F55:F55">OFFSET(E55,-1,1)</f>
        <v>2</v>
      </c>
      <c r="G55" s="122" t="s">
        <v>336</v>
      </c>
      <c r="H55" s="122"/>
      <c r="I55" s="122"/>
      <c r="J55" s="122"/>
      <c r="K55" s="122"/>
      <c r="L55" s="122"/>
      <c r="M55" s="122"/>
      <c r="N55" s="122"/>
      <c r="O55" s="122"/>
      <c r="P55" s="122"/>
      <c r="Q55" s="122"/>
      <c r="R55" s="122"/>
      <c r="S55" s="122"/>
      <c r="T55" s="465" cm="1" t="str">
        <f t="array" ref="T55:T55">T54</f>
        <v>true</v>
      </c>
      <c r="U55" s="122"/>
      <c r="V55" s="122"/>
      <c r="W55" s="122"/>
      <c r="X55" s="1563"/>
      <c r="Y55" s="122"/>
      <c r="Z55" s="1546"/>
      <c r="AA55" s="448"/>
      <c r="AB55" s="886">
        <v>4</v>
      </c>
      <c r="AC55" s="452" t="s">
        <v>1986</v>
      </c>
      <c r="AD55" s="300" t="s">
        <v>1514</v>
      </c>
      <c r="AE55" s="773">
        <f>_xlfn.SUMIFS(ФОТ!AE$25:AE$188,ФОТ!$F$25:$F$188,$F55,ФОТ!$G$25:$G$188,"СП")+_xlfn.SUMIFS(ФОТ!AE$25:AE$188,ФОТ!$F$25:$F$188,$F55,ФОТ!$G$25:$G$188,"СОЦ_СП")</f>
        <v>0</v>
      </c>
      <c r="AF55" s="773">
        <f>_xlfn.SUMIFS(ФОТ!AF$25:AF$188,ФОТ!$F$25:$F$188,$F55,ФОТ!$G$25:$G$188,"СП")+_xlfn.SUMIFS(ФОТ!AF$25:AF$188,ФОТ!$F$25:$F$188,$F55,ФОТ!$G$25:$G$188,"СОЦ_СП")</f>
        <v>0</v>
      </c>
      <c r="AG55" s="773">
        <f>_xlfn.SUMIFS(ФОТ!AG$25:AG$188,ФОТ!$F$25:$F$188,$F55,ФОТ!$G$25:$G$188,"СП")+_xlfn.SUMIFS(ФОТ!AG$25:AG$188,ФОТ!$F$25:$F$188,$F55,ФОТ!$G$25:$G$188,"СОЦ_СП")</f>
        <v>0</v>
      </c>
      <c r="AH55" s="773">
        <f>_xlfn.SUMIFS(ФОТ!AH$25:AH$188,ФОТ!$F$25:$F$188,$F55,ФОТ!$G$25:$G$188,"СП")+_xlfn.SUMIFS(ФОТ!AH$25:AH$188,ФОТ!$F$25:$F$188,$F55,ФОТ!$G$25:$G$188,"СОЦ_СП")</f>
        <v>0</v>
      </c>
      <c r="AI55" s="773">
        <f>_xlfn.SUMIFS(ФОТ!AI$25:AI$188,ФОТ!$F$25:$F$188,$F55,ФОТ!$G$25:$G$188,"СП")+_xlfn.SUMIFS(ФОТ!AI$25:AI$188,ФОТ!$F$25:$F$188,$F55,ФОТ!$G$25:$G$188,"СОЦ_СП")</f>
        <v>0</v>
      </c>
      <c r="AJ55" s="773">
        <f>_xlfn.SUMIFS(ФОТ!AJ$25:AJ$188,ФОТ!$F$25:$F$188,$F55,ФОТ!$G$25:$G$188,"СП")+_xlfn.SUMIFS(ФОТ!AJ$25:AJ$188,ФОТ!$F$25:$F$188,$F55,ФОТ!$G$25:$G$188,"СОЦ_СП")</f>
        <v>0</v>
      </c>
      <c r="AK55" s="200"/>
      <c r="AL55" s="448"/>
      <c r="AM55" s="1834"/>
      <c r="AN55" s="1048" t="s">
        <v>1987</v>
      </c>
      <c r="AO55" s="1048"/>
      <c r="AP55" s="1048"/>
      <c r="AQ55" s="671"/>
      <c r="AR55" s="671"/>
    </row>
    <row s="1834" customFormat="1" customHeight="1" ht="32.25">
      <c r="A56" s="1758"/>
      <c r="B56" s="1416"/>
      <c r="C56" s="1758"/>
      <c r="D56" s="1758"/>
      <c r="E56" s="618">
        <v>33.75</v>
      </c>
      <c r="F56" s="50" cm="1" t="str">
        <f t="array" ref="F56:F56">OFFSET(E56,-1,1)</f>
        <v>2</v>
      </c>
      <c r="G56" s="122" t="s">
        <v>335</v>
      </c>
      <c r="H56" s="1758"/>
      <c r="I56" s="1758"/>
      <c r="J56" s="1758"/>
      <c r="K56" s="1758"/>
      <c r="L56" s="1758"/>
      <c r="M56" s="1758"/>
      <c r="N56" s="1758"/>
      <c r="O56" s="1758"/>
      <c r="P56" s="1758"/>
      <c r="Q56" s="1758"/>
      <c r="R56" s="1758"/>
      <c r="S56" s="1758"/>
      <c r="T56" s="465" cm="1" t="str">
        <f t="array" ref="T56:T56">T55</f>
        <v>true</v>
      </c>
      <c r="U56" s="1758"/>
      <c r="V56" s="1758"/>
      <c r="W56" s="1758"/>
      <c r="X56" s="1563"/>
      <c r="Y56" s="1758"/>
      <c r="Z56" s="1546"/>
      <c r="AA56" s="448"/>
      <c r="AB56" s="299" t="s">
        <v>443</v>
      </c>
      <c r="AC56" s="452" t="s">
        <v>1988</v>
      </c>
      <c r="AD56" s="300" t="s">
        <v>1514</v>
      </c>
      <c r="AE56" s="298"/>
      <c r="AF56" s="298"/>
      <c r="AG56" s="298"/>
      <c r="AH56" s="298"/>
      <c r="AI56" s="298"/>
      <c r="AJ56" s="298"/>
      <c r="AK56" s="200"/>
      <c r="AL56" s="448"/>
      <c r="AM56" s="448"/>
      <c r="AN56" s="997" t="s">
        <v>1960</v>
      </c>
      <c r="AO56" s="1764"/>
      <c r="AP56" s="1764"/>
      <c r="AQ56" s="1757"/>
      <c r="AR56" s="1757"/>
    </row>
    <row s="1834" customFormat="1" customHeight="1" ht="21.75">
      <c r="A57" s="1758"/>
      <c r="B57" s="1416"/>
      <c r="C57" s="1758"/>
      <c r="D57" s="1758"/>
      <c r="E57" s="618">
        <v>22.5</v>
      </c>
      <c r="F57" s="50" cm="1" t="str">
        <f t="array" ref="F57:F57">OFFSET(E57,-1,1)</f>
        <v>2</v>
      </c>
      <c r="G57" s="122" t="s">
        <v>1225</v>
      </c>
      <c r="H57" s="1758"/>
      <c r="I57" s="1758"/>
      <c r="J57" s="1758"/>
      <c r="K57" s="1758"/>
      <c r="L57" s="1758"/>
      <c r="M57" s="1758"/>
      <c r="N57" s="1758"/>
      <c r="O57" s="1758"/>
      <c r="P57" s="1758"/>
      <c r="Q57" s="1758"/>
      <c r="R57" s="1758"/>
      <c r="S57" s="1758"/>
      <c r="T57" s="465" cm="1" t="str">
        <f t="array" ref="T57:T57">T56</f>
        <v>true</v>
      </c>
      <c r="U57" s="1758"/>
      <c r="V57" s="1758"/>
      <c r="W57" s="1758"/>
      <c r="X57" s="1563"/>
      <c r="Y57" s="1758"/>
      <c r="Z57" s="1546"/>
      <c r="AA57" s="448"/>
      <c r="AB57" s="299" t="s">
        <v>446</v>
      </c>
      <c r="AC57" s="452" t="s">
        <v>1989</v>
      </c>
      <c r="AD57" s="300" t="s">
        <v>1514</v>
      </c>
      <c r="AE57" s="298"/>
      <c r="AF57" s="298"/>
      <c r="AG57" s="298"/>
      <c r="AH57" s="298"/>
      <c r="AI57" s="298"/>
      <c r="AJ57" s="298"/>
      <c r="AK57" s="200"/>
      <c r="AL57" s="448"/>
      <c r="AM57" s="448"/>
      <c r="AN57" s="997" t="s">
        <v>1946</v>
      </c>
      <c r="AO57" s="1764"/>
      <c r="AP57" s="1764"/>
      <c r="AQ57" s="1757"/>
      <c r="AR57" s="1757"/>
    </row>
    <row s="1834" customFormat="1" customHeight="1" ht="43.5">
      <c r="A58" s="1758"/>
      <c r="B58" s="1416"/>
      <c r="C58" s="1758"/>
      <c r="D58" s="1758"/>
      <c r="E58" s="618">
        <v>45</v>
      </c>
      <c r="F58" s="50" cm="1" t="str">
        <f t="array" ref="F58:F58">OFFSET(E58,-1,1)</f>
        <v>2</v>
      </c>
      <c r="G58" s="122" t="s">
        <v>1228</v>
      </c>
      <c r="H58" s="1758"/>
      <c r="I58" s="1758"/>
      <c r="J58" s="1758"/>
      <c r="K58" s="1758"/>
      <c r="L58" s="1758"/>
      <c r="M58" s="1758"/>
      <c r="N58" s="1758"/>
      <c r="O58" s="1758"/>
      <c r="P58" s="1758"/>
      <c r="Q58" s="1758"/>
      <c r="R58" s="1758"/>
      <c r="S58" s="1758"/>
      <c r="T58" s="465" cm="1" t="str">
        <f t="array" ref="T58:T58">T57</f>
        <v>true</v>
      </c>
      <c r="U58" s="1758"/>
      <c r="V58" s="1758"/>
      <c r="W58" s="1758"/>
      <c r="X58" s="1563"/>
      <c r="Y58" s="1758"/>
      <c r="Z58" s="1546"/>
      <c r="AA58" s="448"/>
      <c r="AB58" s="299" t="s">
        <v>449</v>
      </c>
      <c r="AC58" s="452" t="s">
        <v>1990</v>
      </c>
      <c r="AD58" s="300" t="s">
        <v>1514</v>
      </c>
      <c r="AE58" s="298"/>
      <c r="AF58" s="298"/>
      <c r="AG58" s="298"/>
      <c r="AH58" s="298"/>
      <c r="AI58" s="298"/>
      <c r="AJ58" s="298"/>
      <c r="AK58" s="200"/>
      <c r="AL58" s="448"/>
      <c r="AM58" s="448"/>
      <c r="AN58" s="997" t="s">
        <v>1991</v>
      </c>
      <c r="AO58" s="1764"/>
      <c r="AP58" s="1764"/>
      <c r="AQ58" s="1757"/>
      <c r="AR58" s="1757"/>
    </row>
    <row s="1834" customFormat="1" customHeight="1" ht="43.5">
      <c r="A59" s="1758"/>
      <c r="B59" s="1416"/>
      <c r="C59" s="1758"/>
      <c r="D59" s="1758"/>
      <c r="E59" s="618">
        <v>45</v>
      </c>
      <c r="F59" s="50" cm="1" t="str">
        <f t="array" ref="F59:F59">OFFSET(E59,-1,1)</f>
        <v>2</v>
      </c>
      <c r="G59" s="122" t="s">
        <v>1275</v>
      </c>
      <c r="H59" s="1758"/>
      <c r="I59" s="1758"/>
      <c r="J59" s="1758"/>
      <c r="K59" s="1758"/>
      <c r="L59" s="1758"/>
      <c r="M59" s="1758"/>
      <c r="N59" s="1758"/>
      <c r="O59" s="1758"/>
      <c r="P59" s="1758"/>
      <c r="Q59" s="1758"/>
      <c r="R59" s="1758"/>
      <c r="S59" s="1758"/>
      <c r="T59" s="465" cm="1" t="str">
        <f t="array" ref="T59:T59">T58</f>
        <v>true</v>
      </c>
      <c r="U59" s="1758"/>
      <c r="V59" s="1758"/>
      <c r="W59" s="1758"/>
      <c r="X59" s="1563"/>
      <c r="Y59" s="1758"/>
      <c r="Z59" s="1546"/>
      <c r="AA59" s="448"/>
      <c r="AB59" s="299" t="s">
        <v>452</v>
      </c>
      <c r="AC59" s="452" t="s">
        <v>1992</v>
      </c>
      <c r="AD59" s="300" t="s">
        <v>1514</v>
      </c>
      <c r="AE59" s="298"/>
      <c r="AF59" s="298"/>
      <c r="AG59" s="298"/>
      <c r="AH59" s="298"/>
      <c r="AI59" s="298"/>
      <c r="AJ59" s="298"/>
      <c r="AK59" s="200"/>
      <c r="AL59" s="448"/>
      <c r="AM59" s="448"/>
      <c r="AN59" s="997" t="s">
        <v>1993</v>
      </c>
      <c r="AO59" s="1764"/>
      <c r="AP59" s="1764"/>
      <c r="AQ59" s="1757"/>
      <c r="AR59" s="1757"/>
    </row>
    <row s="1834" customFormat="1" customHeight="1" ht="14.25">
      <c r="A60" s="1758"/>
      <c r="B60" s="1416"/>
      <c r="C60" s="1758"/>
      <c r="D60" s="1758"/>
      <c r="E60" s="618">
        <v>15</v>
      </c>
      <c r="F60" s="50" cm="1" t="str">
        <f t="array" ref="F60:F60">OFFSET(E60,-1,1)</f>
        <v>2</v>
      </c>
      <c r="G60" s="122" t="s">
        <v>1290</v>
      </c>
      <c r="H60" s="1758"/>
      <c r="I60" s="1758"/>
      <c r="J60" s="1758"/>
      <c r="K60" s="1758"/>
      <c r="L60" s="1758"/>
      <c r="M60" s="1758"/>
      <c r="N60" s="1758"/>
      <c r="O60" s="1758"/>
      <c r="P60" s="1758"/>
      <c r="Q60" s="1758"/>
      <c r="R60" s="1758"/>
      <c r="S60" s="1758"/>
      <c r="T60" s="465" cm="1" t="str">
        <f t="array" ref="T60:T60">T59</f>
        <v>true</v>
      </c>
      <c r="U60" s="1758"/>
      <c r="V60" s="1758"/>
      <c r="W60" s="1758"/>
      <c r="X60" s="1563"/>
      <c r="Y60" s="1758"/>
      <c r="Z60" s="1546"/>
      <c r="AA60" s="448"/>
      <c r="AB60" s="356">
        <v>9</v>
      </c>
      <c r="AC60" s="452" t="s">
        <v>1994</v>
      </c>
      <c r="AD60" s="300" t="s">
        <v>1514</v>
      </c>
      <c r="AE60" s="235">
        <f>SUM(AE61:AE62)</f>
        <v>0</v>
      </c>
      <c r="AF60" s="235">
        <f>SUM(AF61:AF62)</f>
        <v>0</v>
      </c>
      <c r="AG60" s="235">
        <f>SUM(AG61:AG62)</f>
        <v>0</v>
      </c>
      <c r="AH60" s="235">
        <f>SUM(AH61:AH62)</f>
        <v>0</v>
      </c>
      <c r="AI60" s="235">
        <f>SUM(AI61:AI62)</f>
        <v>0</v>
      </c>
      <c r="AJ60" s="235">
        <f>SUM(AJ61:AJ62)</f>
        <v>0</v>
      </c>
      <c r="AK60" s="200"/>
      <c r="AL60" s="448"/>
      <c r="AM60" s="448"/>
      <c r="AN60" s="997" t="s">
        <v>396</v>
      </c>
      <c r="AO60" s="1764"/>
      <c r="AP60" s="1764"/>
      <c r="AQ60" s="1757"/>
      <c r="AR60" s="1757"/>
    </row>
    <row s="1834" customFormat="1" customHeight="1" ht="14.25" hidden="1">
      <c r="A61" s="1758"/>
      <c r="B61" s="1416"/>
      <c r="C61" s="1758"/>
      <c r="D61" s="1758"/>
      <c r="E61" s="618">
        <v>15</v>
      </c>
      <c r="F61" s="50" cm="1" t="str">
        <f t="array" ref="F61:F61">OFFSET(E61,-1,1)</f>
        <v>2</v>
      </c>
      <c r="G61" s="122" t="s">
        <v>1290</v>
      </c>
      <c r="H61" s="122" cm="1" t="str">
        <f t="array" ref="H61:H61">AC61</f>
        <v>0</v>
      </c>
      <c r="I61" s="1758"/>
      <c r="J61" s="1758"/>
      <c r="K61" s="1758"/>
      <c r="L61" s="1758"/>
      <c r="M61" s="1758"/>
      <c r="N61" s="1758"/>
      <c r="O61" s="1758"/>
      <c r="P61" s="1758"/>
      <c r="Q61" s="1758"/>
      <c r="R61" s="1758"/>
      <c r="S61" s="1758"/>
      <c r="T61" s="465">
        <f>AND(F61&gt;0,Y61&gt;0)</f>
        <v>0</v>
      </c>
      <c r="U61" s="1758"/>
      <c r="V61" s="1758"/>
      <c r="W61" s="757" t="s">
        <v>174</v>
      </c>
      <c r="X61" s="1563"/>
      <c r="Y61" s="122">
        <v>0</v>
      </c>
      <c r="Z61" s="1546"/>
      <c r="AA61" s="420" t="s">
        <v>175</v>
      </c>
      <c r="AB61" s="690" t="str">
        <f>"9."&amp;Y61</f>
        <v>9.0</v>
      </c>
      <c r="AC61" s="4727"/>
      <c r="AD61" s="300" t="s">
        <v>1514</v>
      </c>
      <c r="AE61" s="4725"/>
      <c r="AF61" s="4725"/>
      <c r="AG61" s="4725"/>
      <c r="AH61" s="4725"/>
      <c r="AI61" s="4725"/>
      <c r="AJ61" s="4725"/>
      <c r="AK61" s="2070"/>
      <c r="AL61" s="448"/>
      <c r="AM61" s="448"/>
      <c r="AN61" s="997" t="s">
        <v>396</v>
      </c>
      <c r="AO61" s="997" t="s">
        <v>1995</v>
      </c>
      <c r="AP61" s="997" cm="1" t="str">
        <f t="array" ref="AP61:AP61">AC61</f>
        <v>0</v>
      </c>
      <c r="AQ61" s="1757"/>
      <c r="AR61" s="618" t="b">
        <v>1</v>
      </c>
    </row>
    <row s="1834" customFormat="1" customHeight="1" ht="14.25">
      <c r="A62" s="146"/>
      <c r="B62" s="429"/>
      <c r="C62" s="146"/>
      <c r="D62" s="146"/>
      <c r="E62" s="267">
        <v>15</v>
      </c>
      <c r="F62" s="50" cm="1" t="str">
        <f t="array" ref="F62:F62">OFFSET(E62,-1,1)</f>
        <v>2</v>
      </c>
      <c r="G62" s="146"/>
      <c r="H62" s="152" t="str">
        <f>"!=='не определено'"</f>
        <v>!=='не определено'</v>
      </c>
      <c r="I62" s="146"/>
      <c r="J62" s="146"/>
      <c r="K62" s="146"/>
      <c r="L62" s="146"/>
      <c r="M62" s="146"/>
      <c r="N62" s="146"/>
      <c r="O62" s="146"/>
      <c r="P62" s="146"/>
      <c r="Q62" s="146"/>
      <c r="R62" s="146"/>
      <c r="S62" s="146"/>
      <c r="T62" s="465">
        <f>F62&gt;0</f>
        <v>1</v>
      </c>
      <c r="U62" s="146"/>
      <c r="V62" s="146"/>
      <c r="W62" s="757" t="s">
        <v>1996</v>
      </c>
      <c r="X62" s="1563"/>
      <c r="Y62" s="146"/>
      <c r="Z62" s="1546"/>
      <c r="AA62" s="146"/>
      <c r="AB62" s="231"/>
      <c r="AC62" s="232" t="s">
        <v>178</v>
      </c>
      <c r="AD62" s="232"/>
      <c r="AE62" s="232"/>
      <c r="AF62" s="232"/>
      <c r="AG62" s="232"/>
      <c r="AH62" s="232"/>
      <c r="AI62" s="232"/>
      <c r="AJ62" s="232"/>
      <c r="AK62" s="233"/>
      <c r="AL62" s="146"/>
      <c r="AM62" s="448"/>
      <c r="AN62" s="1764"/>
      <c r="AO62" s="1764"/>
      <c r="AP62" s="1764"/>
      <c r="AQ62" s="618" t="s">
        <v>1995</v>
      </c>
      <c r="AR62" s="1757"/>
    </row>
    <row s="1834" customFormat="1" customHeight="1" ht="14.25">
      <c r="A63" s="1758"/>
      <c r="B63" s="1416"/>
      <c r="C63" s="1758"/>
      <c r="D63" s="1758"/>
      <c r="E63" s="618">
        <v>15</v>
      </c>
      <c r="F63" s="98" cm="1" t="str">
        <f t="array" ref="F63:F63">X63</f>
        <v>3</v>
      </c>
      <c r="G63" s="122" t="s">
        <v>1979</v>
      </c>
      <c r="H63" s="1758"/>
      <c r="I63" s="1758"/>
      <c r="J63" s="1758"/>
      <c r="K63" s="1758"/>
      <c r="L63" s="1758"/>
      <c r="M63" s="1758"/>
      <c r="N63" s="1758"/>
      <c r="O63" s="1758"/>
      <c r="P63" s="1758"/>
      <c r="Q63" s="1758"/>
      <c r="R63" s="1758"/>
      <c r="S63" s="1758"/>
      <c r="T63" s="465">
        <f>X63&gt;0</f>
        <v>1</v>
      </c>
      <c r="U63" s="1758"/>
      <c r="V63" s="122" cm="1" t="str">
        <f t="array" ref="V63:V63">Административные!$AB$84</f>
        <v>Тариф 3 (Водоотведение) - тариф на водоотведение (Доп. признак не требуется)</v>
      </c>
      <c r="W63" s="1758"/>
      <c r="X63" s="1563" t="s">
        <v>289</v>
      </c>
      <c r="Y63" s="1758"/>
      <c r="Z63" s="1546"/>
      <c r="AA63" s="448"/>
      <c r="AB63" s="222" cm="1" t="str">
        <f t="array" ref="AB63:AB63">Административные!$AB$84</f>
        <v>Тариф 3 (Водоотведение) - тариф на водоотведение (Доп. признак не требуется)</v>
      </c>
      <c r="AC63" s="180"/>
      <c r="AD63" s="180"/>
      <c r="AE63" s="306">
        <f>SUM(AE64:AE72)</f>
        <v>0</v>
      </c>
      <c r="AF63" s="306">
        <f>SUM(AF64:AF72)</f>
        <v>0</v>
      </c>
      <c r="AG63" s="306">
        <f>SUM(AG64:AG72)</f>
        <v>0</v>
      </c>
      <c r="AH63" s="306">
        <f>SUM(AH64:AH72)</f>
        <v>0</v>
      </c>
      <c r="AI63" s="306">
        <f>SUM(AI64:AI72)</f>
        <v>0</v>
      </c>
      <c r="AJ63" s="306">
        <f>SUM(AJ64:AJ72)</f>
        <v>0</v>
      </c>
      <c r="AK63" s="224"/>
      <c r="AL63" s="448"/>
      <c r="AM63" s="448"/>
      <c r="AN63" s="1764"/>
      <c r="AO63" s="1764"/>
      <c r="AP63" s="1764"/>
      <c r="AQ63" s="1757"/>
      <c r="AR63" s="1757"/>
    </row>
    <row s="1834" customFormat="1" customHeight="1" ht="21.75">
      <c r="A64" s="1758"/>
      <c r="B64" s="1416"/>
      <c r="C64" s="1758"/>
      <c r="D64" s="1758"/>
      <c r="E64" s="618">
        <v>22.5</v>
      </c>
      <c r="F64" s="50" cm="1" t="str">
        <f t="array" ref="F64:F64">OFFSET(E64,-1,1)</f>
        <v>3</v>
      </c>
      <c r="G64" s="122" t="s">
        <v>332</v>
      </c>
      <c r="H64" s="1758"/>
      <c r="I64" s="1758"/>
      <c r="J64" s="1758"/>
      <c r="K64" s="124" t="str">
        <f>F64&amp;"komm"</f>
        <v>3komm</v>
      </c>
      <c r="L64" s="919" cm="1" t="str">
        <f t="array" ref="L64:L64">AK64</f>
        <v>0</v>
      </c>
      <c r="M64" s="1758"/>
      <c r="N64" s="1758"/>
      <c r="O64" s="1758"/>
      <c r="P64" s="1758"/>
      <c r="Q64" s="1758"/>
      <c r="R64" s="1758"/>
      <c r="S64" s="1758"/>
      <c r="T64" s="465" cm="1" t="str">
        <f t="array" ref="T64:T64">T63</f>
        <v>true</v>
      </c>
      <c r="U64" s="1758"/>
      <c r="V64" s="1758"/>
      <c r="W64" s="1758"/>
      <c r="X64" s="1563"/>
      <c r="Y64" s="1758"/>
      <c r="Z64" s="1546"/>
      <c r="AA64" s="448"/>
      <c r="AB64" s="299" t="s">
        <v>276</v>
      </c>
      <c r="AC64" s="452" t="s">
        <v>1980</v>
      </c>
      <c r="AD64" s="300" t="s">
        <v>1514</v>
      </c>
      <c r="AE64" s="298"/>
      <c r="AF64" s="229"/>
      <c r="AG64" s="229"/>
      <c r="AH64" s="229"/>
      <c r="AI64" s="229"/>
      <c r="AJ64" s="229"/>
      <c r="AK64" s="200"/>
      <c r="AL64" s="448"/>
      <c r="AM64" s="448"/>
      <c r="AN64" s="997" t="s">
        <v>1981</v>
      </c>
      <c r="AO64" s="1764"/>
      <c r="AP64" s="1764"/>
      <c r="AQ64" s="1757"/>
      <c r="AR64" s="1757"/>
    </row>
    <row s="1834" customFormat="1" customHeight="1" ht="21.75">
      <c r="A65" s="1758"/>
      <c r="B65" s="1416"/>
      <c r="C65" s="1758"/>
      <c r="D65" s="1758"/>
      <c r="E65" s="618">
        <v>22.5</v>
      </c>
      <c r="F65" s="50" cm="1" t="str">
        <f t="array" ref="F65:F65">OFFSET(E65,-1,1)</f>
        <v>3</v>
      </c>
      <c r="G65" s="122" t="s">
        <v>333</v>
      </c>
      <c r="H65" s="1758"/>
      <c r="I65" s="1758"/>
      <c r="J65" s="1758"/>
      <c r="K65" s="1758"/>
      <c r="L65" s="1758"/>
      <c r="M65" s="1758"/>
      <c r="N65" s="1758"/>
      <c r="O65" s="1758"/>
      <c r="P65" s="1758"/>
      <c r="Q65" s="1758"/>
      <c r="R65" s="1758"/>
      <c r="S65" s="1758"/>
      <c r="T65" s="465" cm="1" t="str">
        <f t="array" ref="T65:T65">T64</f>
        <v>true</v>
      </c>
      <c r="U65" s="1758"/>
      <c r="V65" s="1758"/>
      <c r="W65" s="1758"/>
      <c r="X65" s="1563"/>
      <c r="Y65" s="1758"/>
      <c r="Z65" s="1546"/>
      <c r="AA65" s="448"/>
      <c r="AB65" s="299" t="s">
        <v>285</v>
      </c>
      <c r="AC65" s="452" t="s">
        <v>1982</v>
      </c>
      <c r="AD65" s="300" t="s">
        <v>1514</v>
      </c>
      <c r="AE65" s="298"/>
      <c r="AF65" s="229"/>
      <c r="AG65" s="229"/>
      <c r="AH65" s="229"/>
      <c r="AI65" s="229"/>
      <c r="AJ65" s="229"/>
      <c r="AK65" s="200"/>
      <c r="AL65" s="448"/>
      <c r="AM65" s="448"/>
      <c r="AN65" s="997" t="s">
        <v>1983</v>
      </c>
      <c r="AO65" s="1764"/>
      <c r="AP65" s="1764"/>
      <c r="AQ65" s="1757"/>
      <c r="AR65" s="1757"/>
    </row>
    <row s="1834" customFormat="1" customHeight="1" ht="21.75">
      <c r="A66" s="1758"/>
      <c r="B66" s="1416"/>
      <c r="C66" s="1758"/>
      <c r="D66" s="1758"/>
      <c r="E66" s="618">
        <v>22.5</v>
      </c>
      <c r="F66" s="50" cm="1" t="str">
        <f t="array" ref="F66:F66">OFFSET(E66,-1,1)</f>
        <v>3</v>
      </c>
      <c r="G66" s="122" t="s">
        <v>334</v>
      </c>
      <c r="H66" s="1758"/>
      <c r="I66" s="1758"/>
      <c r="J66" s="1758"/>
      <c r="K66" s="1758"/>
      <c r="L66" s="1758"/>
      <c r="M66" s="1758"/>
      <c r="N66" s="1758"/>
      <c r="O66" s="1758"/>
      <c r="P66" s="1758"/>
      <c r="Q66" s="1758"/>
      <c r="R66" s="1758"/>
      <c r="S66" s="1758"/>
      <c r="T66" s="465" cm="1" t="str">
        <f t="array" ref="T66:T66">T65</f>
        <v>true</v>
      </c>
      <c r="U66" s="1758"/>
      <c r="V66" s="1758"/>
      <c r="W66" s="1758"/>
      <c r="X66" s="1563"/>
      <c r="Y66" s="1758"/>
      <c r="Z66" s="1546"/>
      <c r="AA66" s="448"/>
      <c r="AB66" s="299" t="s">
        <v>289</v>
      </c>
      <c r="AC66" s="452" t="s">
        <v>1984</v>
      </c>
      <c r="AD66" s="300" t="s">
        <v>1514</v>
      </c>
      <c r="AE66" s="298"/>
      <c r="AF66" s="229"/>
      <c r="AG66" s="229"/>
      <c r="AH66" s="229"/>
      <c r="AI66" s="229"/>
      <c r="AJ66" s="229"/>
      <c r="AK66" s="200"/>
      <c r="AL66" s="448"/>
      <c r="AM66" s="448"/>
      <c r="AN66" s="997" t="s">
        <v>1985</v>
      </c>
      <c r="AO66" s="1764"/>
      <c r="AP66" s="1764"/>
      <c r="AQ66" s="1757"/>
      <c r="AR66" s="1757"/>
    </row>
    <row s="1834" customFormat="1" customHeight="1" ht="32.25">
      <c r="A67" s="122"/>
      <c r="B67" s="428"/>
      <c r="C67" s="122"/>
      <c r="D67" s="122"/>
      <c r="E67" s="618">
        <v>33.75</v>
      </c>
      <c r="F67" s="1175" cm="1" t="str">
        <f t="array" ref="F67:F67">OFFSET(E67,-1,1)</f>
        <v>3</v>
      </c>
      <c r="G67" s="122" t="s">
        <v>336</v>
      </c>
      <c r="H67" s="122"/>
      <c r="I67" s="122"/>
      <c r="J67" s="122"/>
      <c r="K67" s="122"/>
      <c r="L67" s="122"/>
      <c r="M67" s="122"/>
      <c r="N67" s="122"/>
      <c r="O67" s="122"/>
      <c r="P67" s="122"/>
      <c r="Q67" s="122"/>
      <c r="R67" s="122"/>
      <c r="S67" s="122"/>
      <c r="T67" s="465" cm="1" t="str">
        <f t="array" ref="T67:T67">T66</f>
        <v>true</v>
      </c>
      <c r="U67" s="122"/>
      <c r="V67" s="122"/>
      <c r="W67" s="122"/>
      <c r="X67" s="1563"/>
      <c r="Y67" s="122"/>
      <c r="Z67" s="1546"/>
      <c r="AA67" s="448"/>
      <c r="AB67" s="886">
        <v>4</v>
      </c>
      <c r="AC67" s="452" t="s">
        <v>1986</v>
      </c>
      <c r="AD67" s="300" t="s">
        <v>1514</v>
      </c>
      <c r="AE67" s="773">
        <f>_xlfn.SUMIFS(ФОТ!AE$25:AE$188,ФОТ!$F$25:$F$188,$F67,ФОТ!$G$25:$G$188,"СП")+_xlfn.SUMIFS(ФОТ!AE$25:AE$188,ФОТ!$F$25:$F$188,$F67,ФОТ!$G$25:$G$188,"СОЦ_СП")</f>
        <v>0</v>
      </c>
      <c r="AF67" s="773">
        <f>_xlfn.SUMIFS(ФОТ!AF$25:AF$188,ФОТ!$F$25:$F$188,$F67,ФОТ!$G$25:$G$188,"СП")+_xlfn.SUMIFS(ФОТ!AF$25:AF$188,ФОТ!$F$25:$F$188,$F67,ФОТ!$G$25:$G$188,"СОЦ_СП")</f>
        <v>0</v>
      </c>
      <c r="AG67" s="773">
        <f>_xlfn.SUMIFS(ФОТ!AG$25:AG$188,ФОТ!$F$25:$F$188,$F67,ФОТ!$G$25:$G$188,"СП")+_xlfn.SUMIFS(ФОТ!AG$25:AG$188,ФОТ!$F$25:$F$188,$F67,ФОТ!$G$25:$G$188,"СОЦ_СП")</f>
        <v>0</v>
      </c>
      <c r="AH67" s="773">
        <f>_xlfn.SUMIFS(ФОТ!AH$25:AH$188,ФОТ!$F$25:$F$188,$F67,ФОТ!$G$25:$G$188,"СП")+_xlfn.SUMIFS(ФОТ!AH$25:AH$188,ФОТ!$F$25:$F$188,$F67,ФОТ!$G$25:$G$188,"СОЦ_СП")</f>
        <v>0</v>
      </c>
      <c r="AI67" s="773">
        <f>_xlfn.SUMIFS(ФОТ!AI$25:AI$188,ФОТ!$F$25:$F$188,$F67,ФОТ!$G$25:$G$188,"СП")+_xlfn.SUMIFS(ФОТ!AI$25:AI$188,ФОТ!$F$25:$F$188,$F67,ФОТ!$G$25:$G$188,"СОЦ_СП")</f>
        <v>0</v>
      </c>
      <c r="AJ67" s="773">
        <f>_xlfn.SUMIFS(ФОТ!AJ$25:AJ$188,ФОТ!$F$25:$F$188,$F67,ФОТ!$G$25:$G$188,"СП")+_xlfn.SUMIFS(ФОТ!AJ$25:AJ$188,ФОТ!$F$25:$F$188,$F67,ФОТ!$G$25:$G$188,"СОЦ_СП")</f>
        <v>0</v>
      </c>
      <c r="AK67" s="200"/>
      <c r="AL67" s="448"/>
      <c r="AM67" s="1834"/>
      <c r="AN67" s="1048" t="s">
        <v>1987</v>
      </c>
      <c r="AO67" s="1048"/>
      <c r="AP67" s="1048"/>
      <c r="AQ67" s="671"/>
      <c r="AR67" s="671"/>
    </row>
    <row s="1834" customFormat="1" customHeight="1" ht="32.25">
      <c r="A68" s="1758"/>
      <c r="B68" s="1416"/>
      <c r="C68" s="1758"/>
      <c r="D68" s="1758"/>
      <c r="E68" s="618">
        <v>33.75</v>
      </c>
      <c r="F68" s="50" cm="1" t="str">
        <f t="array" ref="F68:F68">OFFSET(E68,-1,1)</f>
        <v>3</v>
      </c>
      <c r="G68" s="122" t="s">
        <v>335</v>
      </c>
      <c r="H68" s="1758"/>
      <c r="I68" s="1758"/>
      <c r="J68" s="1758"/>
      <c r="K68" s="1758"/>
      <c r="L68" s="1758"/>
      <c r="M68" s="1758"/>
      <c r="N68" s="1758"/>
      <c r="O68" s="1758"/>
      <c r="P68" s="1758"/>
      <c r="Q68" s="1758"/>
      <c r="R68" s="1758"/>
      <c r="S68" s="1758"/>
      <c r="T68" s="465" cm="1" t="str">
        <f t="array" ref="T68:T68">T67</f>
        <v>true</v>
      </c>
      <c r="U68" s="1758"/>
      <c r="V68" s="1758"/>
      <c r="W68" s="1758"/>
      <c r="X68" s="1563"/>
      <c r="Y68" s="1758"/>
      <c r="Z68" s="1546"/>
      <c r="AA68" s="448"/>
      <c r="AB68" s="299" t="s">
        <v>443</v>
      </c>
      <c r="AC68" s="452" t="s">
        <v>1988</v>
      </c>
      <c r="AD68" s="300" t="s">
        <v>1514</v>
      </c>
      <c r="AE68" s="298"/>
      <c r="AF68" s="298"/>
      <c r="AG68" s="298"/>
      <c r="AH68" s="298"/>
      <c r="AI68" s="298"/>
      <c r="AJ68" s="298"/>
      <c r="AK68" s="200"/>
      <c r="AL68" s="448"/>
      <c r="AM68" s="448"/>
      <c r="AN68" s="997" t="s">
        <v>1960</v>
      </c>
      <c r="AO68" s="1764"/>
      <c r="AP68" s="1764"/>
      <c r="AQ68" s="1757"/>
      <c r="AR68" s="1757"/>
    </row>
    <row s="1834" customFormat="1" customHeight="1" ht="21.75">
      <c r="A69" s="1758"/>
      <c r="B69" s="1416"/>
      <c r="C69" s="1758"/>
      <c r="D69" s="1758"/>
      <c r="E69" s="618">
        <v>22.5</v>
      </c>
      <c r="F69" s="50" cm="1" t="str">
        <f t="array" ref="F69:F69">OFFSET(E69,-1,1)</f>
        <v>3</v>
      </c>
      <c r="G69" s="122" t="s">
        <v>1225</v>
      </c>
      <c r="H69" s="1758"/>
      <c r="I69" s="1758"/>
      <c r="J69" s="1758"/>
      <c r="K69" s="1758"/>
      <c r="L69" s="1758"/>
      <c r="M69" s="1758"/>
      <c r="N69" s="1758"/>
      <c r="O69" s="1758"/>
      <c r="P69" s="1758"/>
      <c r="Q69" s="1758"/>
      <c r="R69" s="1758"/>
      <c r="S69" s="1758"/>
      <c r="T69" s="465" cm="1" t="str">
        <f t="array" ref="T69:T69">T68</f>
        <v>true</v>
      </c>
      <c r="U69" s="1758"/>
      <c r="V69" s="1758"/>
      <c r="W69" s="1758"/>
      <c r="X69" s="1563"/>
      <c r="Y69" s="1758"/>
      <c r="Z69" s="1546"/>
      <c r="AA69" s="448"/>
      <c r="AB69" s="299" t="s">
        <v>446</v>
      </c>
      <c r="AC69" s="452" t="s">
        <v>1989</v>
      </c>
      <c r="AD69" s="300" t="s">
        <v>1514</v>
      </c>
      <c r="AE69" s="298"/>
      <c r="AF69" s="298"/>
      <c r="AG69" s="298"/>
      <c r="AH69" s="298"/>
      <c r="AI69" s="298"/>
      <c r="AJ69" s="298"/>
      <c r="AK69" s="200"/>
      <c r="AL69" s="448"/>
      <c r="AM69" s="448"/>
      <c r="AN69" s="997" t="s">
        <v>1946</v>
      </c>
      <c r="AO69" s="1764"/>
      <c r="AP69" s="1764"/>
      <c r="AQ69" s="1757"/>
      <c r="AR69" s="1757"/>
    </row>
    <row s="1834" customFormat="1" customHeight="1" ht="43.5">
      <c r="A70" s="1758"/>
      <c r="B70" s="1416"/>
      <c r="C70" s="1758"/>
      <c r="D70" s="1758"/>
      <c r="E70" s="618">
        <v>45</v>
      </c>
      <c r="F70" s="50" cm="1" t="str">
        <f t="array" ref="F70:F70">OFFSET(E70,-1,1)</f>
        <v>3</v>
      </c>
      <c r="G70" s="122" t="s">
        <v>1228</v>
      </c>
      <c r="H70" s="1758"/>
      <c r="I70" s="1758"/>
      <c r="J70" s="1758"/>
      <c r="K70" s="1758"/>
      <c r="L70" s="1758"/>
      <c r="M70" s="1758"/>
      <c r="N70" s="1758"/>
      <c r="O70" s="1758"/>
      <c r="P70" s="1758"/>
      <c r="Q70" s="1758"/>
      <c r="R70" s="1758"/>
      <c r="S70" s="1758"/>
      <c r="T70" s="465" cm="1" t="str">
        <f t="array" ref="T70:T70">T69</f>
        <v>true</v>
      </c>
      <c r="U70" s="1758"/>
      <c r="V70" s="1758"/>
      <c r="W70" s="1758"/>
      <c r="X70" s="1563"/>
      <c r="Y70" s="1758"/>
      <c r="Z70" s="1546"/>
      <c r="AA70" s="448"/>
      <c r="AB70" s="299" t="s">
        <v>449</v>
      </c>
      <c r="AC70" s="452" t="s">
        <v>1990</v>
      </c>
      <c r="AD70" s="300" t="s">
        <v>1514</v>
      </c>
      <c r="AE70" s="298"/>
      <c r="AF70" s="298"/>
      <c r="AG70" s="298"/>
      <c r="AH70" s="298"/>
      <c r="AI70" s="298"/>
      <c r="AJ70" s="298"/>
      <c r="AK70" s="200"/>
      <c r="AL70" s="448"/>
      <c r="AM70" s="448"/>
      <c r="AN70" s="997" t="s">
        <v>1991</v>
      </c>
      <c r="AO70" s="1764"/>
      <c r="AP70" s="1764"/>
      <c r="AQ70" s="1757"/>
      <c r="AR70" s="1757"/>
    </row>
    <row s="1834" customFormat="1" customHeight="1" ht="43.5">
      <c r="A71" s="1758"/>
      <c r="B71" s="1416"/>
      <c r="C71" s="1758"/>
      <c r="D71" s="1758"/>
      <c r="E71" s="618">
        <v>45</v>
      </c>
      <c r="F71" s="50" cm="1" t="str">
        <f t="array" ref="F71:F71">OFFSET(E71,-1,1)</f>
        <v>3</v>
      </c>
      <c r="G71" s="122" t="s">
        <v>1275</v>
      </c>
      <c r="H71" s="1758"/>
      <c r="I71" s="1758"/>
      <c r="J71" s="1758"/>
      <c r="K71" s="1758"/>
      <c r="L71" s="1758"/>
      <c r="M71" s="1758"/>
      <c r="N71" s="1758"/>
      <c r="O71" s="1758"/>
      <c r="P71" s="1758"/>
      <c r="Q71" s="1758"/>
      <c r="R71" s="1758"/>
      <c r="S71" s="1758"/>
      <c r="T71" s="465" cm="1" t="str">
        <f t="array" ref="T71:T71">T70</f>
        <v>true</v>
      </c>
      <c r="U71" s="1758"/>
      <c r="V71" s="1758"/>
      <c r="W71" s="1758"/>
      <c r="X71" s="1563"/>
      <c r="Y71" s="1758"/>
      <c r="Z71" s="1546"/>
      <c r="AA71" s="448"/>
      <c r="AB71" s="299" t="s">
        <v>452</v>
      </c>
      <c r="AC71" s="452" t="s">
        <v>1992</v>
      </c>
      <c r="AD71" s="300" t="s">
        <v>1514</v>
      </c>
      <c r="AE71" s="298"/>
      <c r="AF71" s="298"/>
      <c r="AG71" s="298"/>
      <c r="AH71" s="298"/>
      <c r="AI71" s="298"/>
      <c r="AJ71" s="298"/>
      <c r="AK71" s="200"/>
      <c r="AL71" s="448"/>
      <c r="AM71" s="448"/>
      <c r="AN71" s="997" t="s">
        <v>1993</v>
      </c>
      <c r="AO71" s="1764"/>
      <c r="AP71" s="1764"/>
      <c r="AQ71" s="1757"/>
      <c r="AR71" s="1757"/>
    </row>
    <row s="1834" customFormat="1" customHeight="1" ht="14.25">
      <c r="A72" s="1758"/>
      <c r="B72" s="1416"/>
      <c r="C72" s="1758"/>
      <c r="D72" s="1758"/>
      <c r="E72" s="618">
        <v>15</v>
      </c>
      <c r="F72" s="50" cm="1" t="str">
        <f t="array" ref="F72:F72">OFFSET(E72,-1,1)</f>
        <v>3</v>
      </c>
      <c r="G72" s="122" t="s">
        <v>1290</v>
      </c>
      <c r="H72" s="1758"/>
      <c r="I72" s="1758"/>
      <c r="J72" s="1758"/>
      <c r="K72" s="1758"/>
      <c r="L72" s="1758"/>
      <c r="M72" s="1758"/>
      <c r="N72" s="1758"/>
      <c r="O72" s="1758"/>
      <c r="P72" s="1758"/>
      <c r="Q72" s="1758"/>
      <c r="R72" s="1758"/>
      <c r="S72" s="1758"/>
      <c r="T72" s="465" cm="1" t="str">
        <f t="array" ref="T72:T72">T71</f>
        <v>true</v>
      </c>
      <c r="U72" s="1758"/>
      <c r="V72" s="1758"/>
      <c r="W72" s="1758"/>
      <c r="X72" s="1563"/>
      <c r="Y72" s="1758"/>
      <c r="Z72" s="1546"/>
      <c r="AA72" s="448"/>
      <c r="AB72" s="356">
        <v>9</v>
      </c>
      <c r="AC72" s="452" t="s">
        <v>1994</v>
      </c>
      <c r="AD72" s="300" t="s">
        <v>1514</v>
      </c>
      <c r="AE72" s="235">
        <f>SUM(AE73:AE74)</f>
        <v>0</v>
      </c>
      <c r="AF72" s="235">
        <f>SUM(AF73:AF74)</f>
        <v>0</v>
      </c>
      <c r="AG72" s="235">
        <f>SUM(AG73:AG74)</f>
        <v>0</v>
      </c>
      <c r="AH72" s="235">
        <f>SUM(AH73:AH74)</f>
        <v>0</v>
      </c>
      <c r="AI72" s="235">
        <f>SUM(AI73:AI74)</f>
        <v>0</v>
      </c>
      <c r="AJ72" s="235">
        <f>SUM(AJ73:AJ74)</f>
        <v>0</v>
      </c>
      <c r="AK72" s="200"/>
      <c r="AL72" s="448"/>
      <c r="AM72" s="448"/>
      <c r="AN72" s="997" t="s">
        <v>396</v>
      </c>
      <c r="AO72" s="1764"/>
      <c r="AP72" s="1764"/>
      <c r="AQ72" s="1757"/>
      <c r="AR72" s="1757"/>
    </row>
    <row s="1834" customFormat="1" customHeight="1" ht="14.25" hidden="1">
      <c r="A73" s="1758"/>
      <c r="B73" s="1416"/>
      <c r="C73" s="1758"/>
      <c r="D73" s="1758"/>
      <c r="E73" s="618">
        <v>15</v>
      </c>
      <c r="F73" s="50" cm="1" t="str">
        <f t="array" ref="F73:F73">OFFSET(E73,-1,1)</f>
        <v>3</v>
      </c>
      <c r="G73" s="122" t="s">
        <v>1290</v>
      </c>
      <c r="H73" s="122" cm="1" t="str">
        <f t="array" ref="H73:H73">AC73</f>
        <v>0</v>
      </c>
      <c r="I73" s="1758"/>
      <c r="J73" s="1758"/>
      <c r="K73" s="1758"/>
      <c r="L73" s="1758"/>
      <c r="M73" s="1758"/>
      <c r="N73" s="1758"/>
      <c r="O73" s="1758"/>
      <c r="P73" s="1758"/>
      <c r="Q73" s="1758"/>
      <c r="R73" s="1758"/>
      <c r="S73" s="1758"/>
      <c r="T73" s="465">
        <f>AND(F73&gt;0,Y73&gt;0)</f>
        <v>0</v>
      </c>
      <c r="U73" s="1758"/>
      <c r="V73" s="1758"/>
      <c r="W73" s="757" t="s">
        <v>174</v>
      </c>
      <c r="X73" s="1563"/>
      <c r="Y73" s="122">
        <v>0</v>
      </c>
      <c r="Z73" s="1546"/>
      <c r="AA73" s="420" t="s">
        <v>175</v>
      </c>
      <c r="AB73" s="690" t="str">
        <f>"9."&amp;Y73</f>
        <v>9.0</v>
      </c>
      <c r="AC73" s="4727"/>
      <c r="AD73" s="300" t="s">
        <v>1514</v>
      </c>
      <c r="AE73" s="4725"/>
      <c r="AF73" s="4725"/>
      <c r="AG73" s="4725"/>
      <c r="AH73" s="4725"/>
      <c r="AI73" s="4725"/>
      <c r="AJ73" s="4725"/>
      <c r="AK73" s="2070"/>
      <c r="AL73" s="448"/>
      <c r="AM73" s="448"/>
      <c r="AN73" s="997" t="s">
        <v>396</v>
      </c>
      <c r="AO73" s="997" t="s">
        <v>1995</v>
      </c>
      <c r="AP73" s="997" cm="1" t="str">
        <f t="array" ref="AP73:AP73">AC73</f>
        <v>0</v>
      </c>
      <c r="AQ73" s="1757"/>
      <c r="AR73" s="618" t="b">
        <v>1</v>
      </c>
    </row>
    <row s="1834" customFormat="1" customHeight="1" ht="14.25">
      <c r="A74" s="146"/>
      <c r="B74" s="429"/>
      <c r="C74" s="146"/>
      <c r="D74" s="146"/>
      <c r="E74" s="267">
        <v>15</v>
      </c>
      <c r="F74" s="50" cm="1" t="str">
        <f t="array" ref="F74:F74">OFFSET(E74,-1,1)</f>
        <v>3</v>
      </c>
      <c r="G74" s="146"/>
      <c r="H74" s="152" t="str">
        <f>"!=='не определено'"</f>
        <v>!=='не определено'</v>
      </c>
      <c r="I74" s="146"/>
      <c r="J74" s="146"/>
      <c r="K74" s="146"/>
      <c r="L74" s="146"/>
      <c r="M74" s="146"/>
      <c r="N74" s="146"/>
      <c r="O74" s="146"/>
      <c r="P74" s="146"/>
      <c r="Q74" s="146"/>
      <c r="R74" s="146"/>
      <c r="S74" s="146"/>
      <c r="T74" s="465">
        <f>F74&gt;0</f>
        <v>1</v>
      </c>
      <c r="U74" s="146"/>
      <c r="V74" s="146"/>
      <c r="W74" s="757" t="s">
        <v>1996</v>
      </c>
      <c r="X74" s="1563"/>
      <c r="Y74" s="146"/>
      <c r="Z74" s="1546"/>
      <c r="AA74" s="146"/>
      <c r="AB74" s="231"/>
      <c r="AC74" s="232" t="s">
        <v>178</v>
      </c>
      <c r="AD74" s="232"/>
      <c r="AE74" s="232"/>
      <c r="AF74" s="232"/>
      <c r="AG74" s="232"/>
      <c r="AH74" s="232"/>
      <c r="AI74" s="232"/>
      <c r="AJ74" s="232"/>
      <c r="AK74" s="233"/>
      <c r="AL74" s="146"/>
      <c r="AM74" s="448"/>
      <c r="AN74" s="1764"/>
      <c r="AO74" s="1764"/>
      <c r="AP74" s="1764"/>
      <c r="AQ74" s="618" t="s">
        <v>1995</v>
      </c>
      <c r="AR74" s="1757"/>
    </row>
    <row s="1834" customFormat="1" customHeight="1" ht="14.25">
      <c r="A75" s="1758"/>
      <c r="B75" s="1416"/>
      <c r="C75" s="1758"/>
      <c r="D75" s="1758"/>
      <c r="E75" s="618">
        <v>15</v>
      </c>
      <c r="F75" s="98" cm="1" t="str">
        <f t="array" ref="F75:F75">X75</f>
        <v>4</v>
      </c>
      <c r="G75" s="122" t="s">
        <v>1979</v>
      </c>
      <c r="H75" s="1758"/>
      <c r="I75" s="1758"/>
      <c r="J75" s="1758"/>
      <c r="K75" s="1758"/>
      <c r="L75" s="1758"/>
      <c r="M75" s="1758"/>
      <c r="N75" s="1758"/>
      <c r="O75" s="1758"/>
      <c r="P75" s="1758"/>
      <c r="Q75" s="1758"/>
      <c r="R75" s="1758"/>
      <c r="S75" s="1758"/>
      <c r="T75" s="465">
        <f>X75&gt;0</f>
        <v>1</v>
      </c>
      <c r="U75" s="1758"/>
      <c r="V75" s="122" cm="1" t="str">
        <f t="array" ref="V75:V75">Административные!$AB$103</f>
        <v>Тариф 4 (Водоотведение) - тариф на водоотведение (Доп. признак не требуется)</v>
      </c>
      <c r="W75" s="1758"/>
      <c r="X75" s="1563" t="s">
        <v>295</v>
      </c>
      <c r="Y75" s="1758"/>
      <c r="Z75" s="1546"/>
      <c r="AA75" s="448"/>
      <c r="AB75" s="222" cm="1" t="str">
        <f t="array" ref="AB75:AB75">Административные!$AB$103</f>
        <v>Тариф 4 (Водоотведение) - тариф на водоотведение (Доп. признак не требуется)</v>
      </c>
      <c r="AC75" s="180"/>
      <c r="AD75" s="180"/>
      <c r="AE75" s="306">
        <f>SUM(AE76:AE84)</f>
        <v>0</v>
      </c>
      <c r="AF75" s="306">
        <f>SUM(AF76:AF84)</f>
        <v>0</v>
      </c>
      <c r="AG75" s="306">
        <f>SUM(AG76:AG84)</f>
        <v>0</v>
      </c>
      <c r="AH75" s="306">
        <f>SUM(AH76:AH84)</f>
        <v>0</v>
      </c>
      <c r="AI75" s="306">
        <f>SUM(AI76:AI84)</f>
        <v>0</v>
      </c>
      <c r="AJ75" s="306">
        <f>SUM(AJ76:AJ84)</f>
        <v>0</v>
      </c>
      <c r="AK75" s="224"/>
      <c r="AL75" s="448"/>
      <c r="AM75" s="448"/>
      <c r="AN75" s="1764"/>
      <c r="AO75" s="1764"/>
      <c r="AP75" s="1764"/>
      <c r="AQ75" s="1757"/>
      <c r="AR75" s="1757"/>
    </row>
    <row s="1834" customFormat="1" customHeight="1" ht="21.75">
      <c r="A76" s="1758"/>
      <c r="B76" s="1416"/>
      <c r="C76" s="1758"/>
      <c r="D76" s="1758"/>
      <c r="E76" s="618">
        <v>22.5</v>
      </c>
      <c r="F76" s="50" cm="1" t="str">
        <f t="array" ref="F76:F76">OFFSET(E76,-1,1)</f>
        <v>4</v>
      </c>
      <c r="G76" s="122" t="s">
        <v>332</v>
      </c>
      <c r="H76" s="1758"/>
      <c r="I76" s="1758"/>
      <c r="J76" s="1758"/>
      <c r="K76" s="124" t="str">
        <f>F76&amp;"komm"</f>
        <v>4komm</v>
      </c>
      <c r="L76" s="919" cm="1" t="str">
        <f t="array" ref="L76:L76">AK76</f>
        <v>0</v>
      </c>
      <c r="M76" s="1758"/>
      <c r="N76" s="1758"/>
      <c r="O76" s="1758"/>
      <c r="P76" s="1758"/>
      <c r="Q76" s="1758"/>
      <c r="R76" s="1758"/>
      <c r="S76" s="1758"/>
      <c r="T76" s="465" cm="1" t="str">
        <f t="array" ref="T76:T76">T75</f>
        <v>true</v>
      </c>
      <c r="U76" s="1758"/>
      <c r="V76" s="1758"/>
      <c r="W76" s="1758"/>
      <c r="X76" s="1563"/>
      <c r="Y76" s="1758"/>
      <c r="Z76" s="1546"/>
      <c r="AA76" s="448"/>
      <c r="AB76" s="299" t="s">
        <v>276</v>
      </c>
      <c r="AC76" s="452" t="s">
        <v>1980</v>
      </c>
      <c r="AD76" s="300" t="s">
        <v>1514</v>
      </c>
      <c r="AE76" s="298"/>
      <c r="AF76" s="229"/>
      <c r="AG76" s="229"/>
      <c r="AH76" s="229"/>
      <c r="AI76" s="229"/>
      <c r="AJ76" s="229"/>
      <c r="AK76" s="200"/>
      <c r="AL76" s="448"/>
      <c r="AM76" s="448"/>
      <c r="AN76" s="997" t="s">
        <v>1981</v>
      </c>
      <c r="AO76" s="1764"/>
      <c r="AP76" s="1764"/>
      <c r="AQ76" s="1757"/>
      <c r="AR76" s="1757"/>
    </row>
    <row s="1834" customFormat="1" customHeight="1" ht="21.75">
      <c r="A77" s="1758"/>
      <c r="B77" s="1416"/>
      <c r="C77" s="1758"/>
      <c r="D77" s="1758"/>
      <c r="E77" s="618">
        <v>22.5</v>
      </c>
      <c r="F77" s="50" cm="1" t="str">
        <f t="array" ref="F77:F77">OFFSET(E77,-1,1)</f>
        <v>4</v>
      </c>
      <c r="G77" s="122" t="s">
        <v>333</v>
      </c>
      <c r="H77" s="1758"/>
      <c r="I77" s="1758"/>
      <c r="J77" s="1758"/>
      <c r="K77" s="1758"/>
      <c r="L77" s="1758"/>
      <c r="M77" s="1758"/>
      <c r="N77" s="1758"/>
      <c r="O77" s="1758"/>
      <c r="P77" s="1758"/>
      <c r="Q77" s="1758"/>
      <c r="R77" s="1758"/>
      <c r="S77" s="1758"/>
      <c r="T77" s="465" cm="1" t="str">
        <f t="array" ref="T77:T77">T76</f>
        <v>true</v>
      </c>
      <c r="U77" s="1758"/>
      <c r="V77" s="1758"/>
      <c r="W77" s="1758"/>
      <c r="X77" s="1563"/>
      <c r="Y77" s="1758"/>
      <c r="Z77" s="1546"/>
      <c r="AA77" s="448"/>
      <c r="AB77" s="299" t="s">
        <v>285</v>
      </c>
      <c r="AC77" s="452" t="s">
        <v>1982</v>
      </c>
      <c r="AD77" s="300" t="s">
        <v>1514</v>
      </c>
      <c r="AE77" s="298"/>
      <c r="AF77" s="229"/>
      <c r="AG77" s="229"/>
      <c r="AH77" s="229"/>
      <c r="AI77" s="229"/>
      <c r="AJ77" s="229"/>
      <c r="AK77" s="200"/>
      <c r="AL77" s="448"/>
      <c r="AM77" s="448"/>
      <c r="AN77" s="997" t="s">
        <v>1983</v>
      </c>
      <c r="AO77" s="1764"/>
      <c r="AP77" s="1764"/>
      <c r="AQ77" s="1757"/>
      <c r="AR77" s="1757"/>
    </row>
    <row s="1834" customFormat="1" customHeight="1" ht="21.75">
      <c r="A78" s="1758"/>
      <c r="B78" s="1416"/>
      <c r="C78" s="1758"/>
      <c r="D78" s="1758"/>
      <c r="E78" s="618">
        <v>22.5</v>
      </c>
      <c r="F78" s="50" cm="1" t="str">
        <f t="array" ref="F78:F78">OFFSET(E78,-1,1)</f>
        <v>4</v>
      </c>
      <c r="G78" s="122" t="s">
        <v>334</v>
      </c>
      <c r="H78" s="1758"/>
      <c r="I78" s="1758"/>
      <c r="J78" s="1758"/>
      <c r="K78" s="1758"/>
      <c r="L78" s="1758"/>
      <c r="M78" s="1758"/>
      <c r="N78" s="1758"/>
      <c r="O78" s="1758"/>
      <c r="P78" s="1758"/>
      <c r="Q78" s="1758"/>
      <c r="R78" s="1758"/>
      <c r="S78" s="1758"/>
      <c r="T78" s="465" cm="1" t="str">
        <f t="array" ref="T78:T78">T77</f>
        <v>true</v>
      </c>
      <c r="U78" s="1758"/>
      <c r="V78" s="1758"/>
      <c r="W78" s="1758"/>
      <c r="X78" s="1563"/>
      <c r="Y78" s="1758"/>
      <c r="Z78" s="1546"/>
      <c r="AA78" s="448"/>
      <c r="AB78" s="299" t="s">
        <v>289</v>
      </c>
      <c r="AC78" s="452" t="s">
        <v>1984</v>
      </c>
      <c r="AD78" s="300" t="s">
        <v>1514</v>
      </c>
      <c r="AE78" s="298"/>
      <c r="AF78" s="229"/>
      <c r="AG78" s="229"/>
      <c r="AH78" s="229"/>
      <c r="AI78" s="229"/>
      <c r="AJ78" s="229"/>
      <c r="AK78" s="200"/>
      <c r="AL78" s="448"/>
      <c r="AM78" s="448"/>
      <c r="AN78" s="997" t="s">
        <v>1985</v>
      </c>
      <c r="AO78" s="1764"/>
      <c r="AP78" s="1764"/>
      <c r="AQ78" s="1757"/>
      <c r="AR78" s="1757"/>
    </row>
    <row s="1834" customFormat="1" customHeight="1" ht="32.25">
      <c r="A79" s="122"/>
      <c r="B79" s="428"/>
      <c r="C79" s="122"/>
      <c r="D79" s="122"/>
      <c r="E79" s="618">
        <v>33.75</v>
      </c>
      <c r="F79" s="1175" cm="1" t="str">
        <f t="array" ref="F79:F79">OFFSET(E79,-1,1)</f>
        <v>4</v>
      </c>
      <c r="G79" s="122" t="s">
        <v>336</v>
      </c>
      <c r="H79" s="122"/>
      <c r="I79" s="122"/>
      <c r="J79" s="122"/>
      <c r="K79" s="122"/>
      <c r="L79" s="122"/>
      <c r="M79" s="122"/>
      <c r="N79" s="122"/>
      <c r="O79" s="122"/>
      <c r="P79" s="122"/>
      <c r="Q79" s="122"/>
      <c r="R79" s="122"/>
      <c r="S79" s="122"/>
      <c r="T79" s="465" cm="1" t="str">
        <f t="array" ref="T79:T79">T78</f>
        <v>true</v>
      </c>
      <c r="U79" s="122"/>
      <c r="V79" s="122"/>
      <c r="W79" s="122"/>
      <c r="X79" s="1563"/>
      <c r="Y79" s="122"/>
      <c r="Z79" s="1546"/>
      <c r="AA79" s="448"/>
      <c r="AB79" s="886">
        <v>4</v>
      </c>
      <c r="AC79" s="452" t="s">
        <v>1986</v>
      </c>
      <c r="AD79" s="300" t="s">
        <v>1514</v>
      </c>
      <c r="AE79" s="773">
        <f>_xlfn.SUMIFS(ФОТ!AE$25:AE$188,ФОТ!$F$25:$F$188,$F79,ФОТ!$G$25:$G$188,"СП")+_xlfn.SUMIFS(ФОТ!AE$25:AE$188,ФОТ!$F$25:$F$188,$F79,ФОТ!$G$25:$G$188,"СОЦ_СП")</f>
        <v>0</v>
      </c>
      <c r="AF79" s="773">
        <f>_xlfn.SUMIFS(ФОТ!AF$25:AF$188,ФОТ!$F$25:$F$188,$F79,ФОТ!$G$25:$G$188,"СП")+_xlfn.SUMIFS(ФОТ!AF$25:AF$188,ФОТ!$F$25:$F$188,$F79,ФОТ!$G$25:$G$188,"СОЦ_СП")</f>
        <v>0</v>
      </c>
      <c r="AG79" s="773">
        <f>_xlfn.SUMIFS(ФОТ!AG$25:AG$188,ФОТ!$F$25:$F$188,$F79,ФОТ!$G$25:$G$188,"СП")+_xlfn.SUMIFS(ФОТ!AG$25:AG$188,ФОТ!$F$25:$F$188,$F79,ФОТ!$G$25:$G$188,"СОЦ_СП")</f>
        <v>0</v>
      </c>
      <c r="AH79" s="773">
        <f>_xlfn.SUMIFS(ФОТ!AH$25:AH$188,ФОТ!$F$25:$F$188,$F79,ФОТ!$G$25:$G$188,"СП")+_xlfn.SUMIFS(ФОТ!AH$25:AH$188,ФОТ!$F$25:$F$188,$F79,ФОТ!$G$25:$G$188,"СОЦ_СП")</f>
        <v>0</v>
      </c>
      <c r="AI79" s="773">
        <f>_xlfn.SUMIFS(ФОТ!AI$25:AI$188,ФОТ!$F$25:$F$188,$F79,ФОТ!$G$25:$G$188,"СП")+_xlfn.SUMIFS(ФОТ!AI$25:AI$188,ФОТ!$F$25:$F$188,$F79,ФОТ!$G$25:$G$188,"СОЦ_СП")</f>
        <v>0</v>
      </c>
      <c r="AJ79" s="773">
        <f>_xlfn.SUMIFS(ФОТ!AJ$25:AJ$188,ФОТ!$F$25:$F$188,$F79,ФОТ!$G$25:$G$188,"СП")+_xlfn.SUMIFS(ФОТ!AJ$25:AJ$188,ФОТ!$F$25:$F$188,$F79,ФОТ!$G$25:$G$188,"СОЦ_СП")</f>
        <v>0</v>
      </c>
      <c r="AK79" s="200"/>
      <c r="AL79" s="448"/>
      <c r="AM79" s="1834"/>
      <c r="AN79" s="1048" t="s">
        <v>1987</v>
      </c>
      <c r="AO79" s="1048"/>
      <c r="AP79" s="1048"/>
      <c r="AQ79" s="671"/>
      <c r="AR79" s="671"/>
    </row>
    <row s="1834" customFormat="1" customHeight="1" ht="32.25">
      <c r="A80" s="1758"/>
      <c r="B80" s="1416"/>
      <c r="C80" s="1758"/>
      <c r="D80" s="1758"/>
      <c r="E80" s="618">
        <v>33.75</v>
      </c>
      <c r="F80" s="50" cm="1" t="str">
        <f t="array" ref="F80:F80">OFFSET(E80,-1,1)</f>
        <v>4</v>
      </c>
      <c r="G80" s="122" t="s">
        <v>335</v>
      </c>
      <c r="H80" s="1758"/>
      <c r="I80" s="1758"/>
      <c r="J80" s="1758"/>
      <c r="K80" s="1758"/>
      <c r="L80" s="1758"/>
      <c r="M80" s="1758"/>
      <c r="N80" s="1758"/>
      <c r="O80" s="1758"/>
      <c r="P80" s="1758"/>
      <c r="Q80" s="1758"/>
      <c r="R80" s="1758"/>
      <c r="S80" s="1758"/>
      <c r="T80" s="465" cm="1" t="str">
        <f t="array" ref="T80:T80">T79</f>
        <v>true</v>
      </c>
      <c r="U80" s="1758"/>
      <c r="V80" s="1758"/>
      <c r="W80" s="1758"/>
      <c r="X80" s="1563"/>
      <c r="Y80" s="1758"/>
      <c r="Z80" s="1546"/>
      <c r="AA80" s="448"/>
      <c r="AB80" s="299" t="s">
        <v>443</v>
      </c>
      <c r="AC80" s="452" t="s">
        <v>1988</v>
      </c>
      <c r="AD80" s="300" t="s">
        <v>1514</v>
      </c>
      <c r="AE80" s="298"/>
      <c r="AF80" s="298"/>
      <c r="AG80" s="298"/>
      <c r="AH80" s="298"/>
      <c r="AI80" s="298"/>
      <c r="AJ80" s="298"/>
      <c r="AK80" s="200"/>
      <c r="AL80" s="448"/>
      <c r="AM80" s="448"/>
      <c r="AN80" s="997" t="s">
        <v>1960</v>
      </c>
      <c r="AO80" s="1764"/>
      <c r="AP80" s="1764"/>
      <c r="AQ80" s="1757"/>
      <c r="AR80" s="1757"/>
    </row>
    <row s="1834" customFormat="1" customHeight="1" ht="21.75">
      <c r="A81" s="1758"/>
      <c r="B81" s="1416"/>
      <c r="C81" s="1758"/>
      <c r="D81" s="1758"/>
      <c r="E81" s="618">
        <v>22.5</v>
      </c>
      <c r="F81" s="50" cm="1" t="str">
        <f t="array" ref="F81:F81">OFFSET(E81,-1,1)</f>
        <v>4</v>
      </c>
      <c r="G81" s="122" t="s">
        <v>1225</v>
      </c>
      <c r="H81" s="1758"/>
      <c r="I81" s="1758"/>
      <c r="J81" s="1758"/>
      <c r="K81" s="1758"/>
      <c r="L81" s="1758"/>
      <c r="M81" s="1758"/>
      <c r="N81" s="1758"/>
      <c r="O81" s="1758"/>
      <c r="P81" s="1758"/>
      <c r="Q81" s="1758"/>
      <c r="R81" s="1758"/>
      <c r="S81" s="1758"/>
      <c r="T81" s="465" cm="1" t="str">
        <f t="array" ref="T81:T81">T80</f>
        <v>true</v>
      </c>
      <c r="U81" s="1758"/>
      <c r="V81" s="1758"/>
      <c r="W81" s="1758"/>
      <c r="X81" s="1563"/>
      <c r="Y81" s="1758"/>
      <c r="Z81" s="1546"/>
      <c r="AA81" s="448"/>
      <c r="AB81" s="299" t="s">
        <v>446</v>
      </c>
      <c r="AC81" s="452" t="s">
        <v>1989</v>
      </c>
      <c r="AD81" s="300" t="s">
        <v>1514</v>
      </c>
      <c r="AE81" s="298"/>
      <c r="AF81" s="298"/>
      <c r="AG81" s="298"/>
      <c r="AH81" s="298"/>
      <c r="AI81" s="298"/>
      <c r="AJ81" s="298"/>
      <c r="AK81" s="200"/>
      <c r="AL81" s="448"/>
      <c r="AM81" s="448"/>
      <c r="AN81" s="997" t="s">
        <v>1946</v>
      </c>
      <c r="AO81" s="1764"/>
      <c r="AP81" s="1764"/>
      <c r="AQ81" s="1757"/>
      <c r="AR81" s="1757"/>
    </row>
    <row s="1834" customFormat="1" customHeight="1" ht="43.5">
      <c r="A82" s="1758"/>
      <c r="B82" s="1416"/>
      <c r="C82" s="1758"/>
      <c r="D82" s="1758"/>
      <c r="E82" s="618">
        <v>45</v>
      </c>
      <c r="F82" s="50" cm="1" t="str">
        <f t="array" ref="F82:F82">OFFSET(E82,-1,1)</f>
        <v>4</v>
      </c>
      <c r="G82" s="122" t="s">
        <v>1228</v>
      </c>
      <c r="H82" s="1758"/>
      <c r="I82" s="1758"/>
      <c r="J82" s="1758"/>
      <c r="K82" s="1758"/>
      <c r="L82" s="1758"/>
      <c r="M82" s="1758"/>
      <c r="N82" s="1758"/>
      <c r="O82" s="1758"/>
      <c r="P82" s="1758"/>
      <c r="Q82" s="1758"/>
      <c r="R82" s="1758"/>
      <c r="S82" s="1758"/>
      <c r="T82" s="465" cm="1" t="str">
        <f t="array" ref="T82:T82">T81</f>
        <v>true</v>
      </c>
      <c r="U82" s="1758"/>
      <c r="V82" s="1758"/>
      <c r="W82" s="1758"/>
      <c r="X82" s="1563"/>
      <c r="Y82" s="1758"/>
      <c r="Z82" s="1546"/>
      <c r="AA82" s="448"/>
      <c r="AB82" s="299" t="s">
        <v>449</v>
      </c>
      <c r="AC82" s="452" t="s">
        <v>1990</v>
      </c>
      <c r="AD82" s="300" t="s">
        <v>1514</v>
      </c>
      <c r="AE82" s="298"/>
      <c r="AF82" s="298"/>
      <c r="AG82" s="298"/>
      <c r="AH82" s="298"/>
      <c r="AI82" s="298"/>
      <c r="AJ82" s="298"/>
      <c r="AK82" s="200"/>
      <c r="AL82" s="448"/>
      <c r="AM82" s="448"/>
      <c r="AN82" s="997" t="s">
        <v>1991</v>
      </c>
      <c r="AO82" s="1764"/>
      <c r="AP82" s="1764"/>
      <c r="AQ82" s="1757"/>
      <c r="AR82" s="1757"/>
    </row>
    <row s="1834" customFormat="1" customHeight="1" ht="43.5">
      <c r="A83" s="1758"/>
      <c r="B83" s="1416"/>
      <c r="C83" s="1758"/>
      <c r="D83" s="1758"/>
      <c r="E83" s="618">
        <v>45</v>
      </c>
      <c r="F83" s="50" cm="1" t="str">
        <f t="array" ref="F83:F83">OFFSET(E83,-1,1)</f>
        <v>4</v>
      </c>
      <c r="G83" s="122" t="s">
        <v>1275</v>
      </c>
      <c r="H83" s="1758"/>
      <c r="I83" s="1758"/>
      <c r="J83" s="1758"/>
      <c r="K83" s="1758"/>
      <c r="L83" s="1758"/>
      <c r="M83" s="1758"/>
      <c r="N83" s="1758"/>
      <c r="O83" s="1758"/>
      <c r="P83" s="1758"/>
      <c r="Q83" s="1758"/>
      <c r="R83" s="1758"/>
      <c r="S83" s="1758"/>
      <c r="T83" s="465" cm="1" t="str">
        <f t="array" ref="T83:T83">T82</f>
        <v>true</v>
      </c>
      <c r="U83" s="1758"/>
      <c r="V83" s="1758"/>
      <c r="W83" s="1758"/>
      <c r="X83" s="1563"/>
      <c r="Y83" s="1758"/>
      <c r="Z83" s="1546"/>
      <c r="AA83" s="448"/>
      <c r="AB83" s="299" t="s">
        <v>452</v>
      </c>
      <c r="AC83" s="452" t="s">
        <v>1992</v>
      </c>
      <c r="AD83" s="300" t="s">
        <v>1514</v>
      </c>
      <c r="AE83" s="298"/>
      <c r="AF83" s="298"/>
      <c r="AG83" s="298"/>
      <c r="AH83" s="298"/>
      <c r="AI83" s="298"/>
      <c r="AJ83" s="298"/>
      <c r="AK83" s="200"/>
      <c r="AL83" s="448"/>
      <c r="AM83" s="448"/>
      <c r="AN83" s="997" t="s">
        <v>1993</v>
      </c>
      <c r="AO83" s="1764"/>
      <c r="AP83" s="1764"/>
      <c r="AQ83" s="1757"/>
      <c r="AR83" s="1757"/>
    </row>
    <row s="1834" customFormat="1" customHeight="1" ht="14.25">
      <c r="A84" s="1758"/>
      <c r="B84" s="1416"/>
      <c r="C84" s="1758"/>
      <c r="D84" s="1758"/>
      <c r="E84" s="618">
        <v>15</v>
      </c>
      <c r="F84" s="50" cm="1" t="str">
        <f t="array" ref="F84:F84">OFFSET(E84,-1,1)</f>
        <v>4</v>
      </c>
      <c r="G84" s="122" t="s">
        <v>1290</v>
      </c>
      <c r="H84" s="1758"/>
      <c r="I84" s="1758"/>
      <c r="J84" s="1758"/>
      <c r="K84" s="1758"/>
      <c r="L84" s="1758"/>
      <c r="M84" s="1758"/>
      <c r="N84" s="1758"/>
      <c r="O84" s="1758"/>
      <c r="P84" s="1758"/>
      <c r="Q84" s="1758"/>
      <c r="R84" s="1758"/>
      <c r="S84" s="1758"/>
      <c r="T84" s="465" cm="1" t="str">
        <f t="array" ref="T84:T84">T83</f>
        <v>true</v>
      </c>
      <c r="U84" s="1758"/>
      <c r="V84" s="1758"/>
      <c r="W84" s="1758"/>
      <c r="X84" s="1563"/>
      <c r="Y84" s="1758"/>
      <c r="Z84" s="1546"/>
      <c r="AA84" s="448"/>
      <c r="AB84" s="356">
        <v>9</v>
      </c>
      <c r="AC84" s="452" t="s">
        <v>1994</v>
      </c>
      <c r="AD84" s="300" t="s">
        <v>1514</v>
      </c>
      <c r="AE84" s="235">
        <f>SUM(AE85:AE86)</f>
        <v>0</v>
      </c>
      <c r="AF84" s="235">
        <f>SUM(AF85:AF86)</f>
        <v>0</v>
      </c>
      <c r="AG84" s="235">
        <f>SUM(AG85:AG86)</f>
        <v>0</v>
      </c>
      <c r="AH84" s="235">
        <f>SUM(AH85:AH86)</f>
        <v>0</v>
      </c>
      <c r="AI84" s="235">
        <f>SUM(AI85:AI86)</f>
        <v>0</v>
      </c>
      <c r="AJ84" s="235">
        <f>SUM(AJ85:AJ86)</f>
        <v>0</v>
      </c>
      <c r="AK84" s="200"/>
      <c r="AL84" s="448"/>
      <c r="AM84" s="448"/>
      <c r="AN84" s="997" t="s">
        <v>396</v>
      </c>
      <c r="AO84" s="1764"/>
      <c r="AP84" s="1764"/>
      <c r="AQ84" s="1757"/>
      <c r="AR84" s="1757"/>
    </row>
    <row s="1834" customFormat="1" customHeight="1" ht="14.25" hidden="1">
      <c r="A85" s="1758"/>
      <c r="B85" s="1416"/>
      <c r="C85" s="1758"/>
      <c r="D85" s="1758"/>
      <c r="E85" s="618">
        <v>15</v>
      </c>
      <c r="F85" s="50" cm="1" t="str">
        <f t="array" ref="F85:F85">OFFSET(E85,-1,1)</f>
        <v>4</v>
      </c>
      <c r="G85" s="122" t="s">
        <v>1290</v>
      </c>
      <c r="H85" s="122" cm="1" t="str">
        <f t="array" ref="H85:H85">AC85</f>
        <v>0</v>
      </c>
      <c r="I85" s="1758"/>
      <c r="J85" s="1758"/>
      <c r="K85" s="1758"/>
      <c r="L85" s="1758"/>
      <c r="M85" s="1758"/>
      <c r="N85" s="1758"/>
      <c r="O85" s="1758"/>
      <c r="P85" s="1758"/>
      <c r="Q85" s="1758"/>
      <c r="R85" s="1758"/>
      <c r="S85" s="1758"/>
      <c r="T85" s="465">
        <f>AND(F85&gt;0,Y85&gt;0)</f>
        <v>0</v>
      </c>
      <c r="U85" s="1758"/>
      <c r="V85" s="1758"/>
      <c r="W85" s="757" t="s">
        <v>174</v>
      </c>
      <c r="X85" s="1563"/>
      <c r="Y85" s="122">
        <v>0</v>
      </c>
      <c r="Z85" s="1546"/>
      <c r="AA85" s="420" t="s">
        <v>175</v>
      </c>
      <c r="AB85" s="690" t="str">
        <f>"9."&amp;Y85</f>
        <v>9.0</v>
      </c>
      <c r="AC85" s="4727"/>
      <c r="AD85" s="300" t="s">
        <v>1514</v>
      </c>
      <c r="AE85" s="4725"/>
      <c r="AF85" s="4725"/>
      <c r="AG85" s="4725"/>
      <c r="AH85" s="4725"/>
      <c r="AI85" s="4725"/>
      <c r="AJ85" s="4725"/>
      <c r="AK85" s="2070"/>
      <c r="AL85" s="448"/>
      <c r="AM85" s="448"/>
      <c r="AN85" s="997" t="s">
        <v>396</v>
      </c>
      <c r="AO85" s="997" t="s">
        <v>1995</v>
      </c>
      <c r="AP85" s="997" cm="1" t="str">
        <f t="array" ref="AP85:AP85">AC85</f>
        <v>0</v>
      </c>
      <c r="AQ85" s="1757"/>
      <c r="AR85" s="618" t="b">
        <v>1</v>
      </c>
    </row>
    <row s="1834" customFormat="1" customHeight="1" ht="14.25">
      <c r="A86" s="146"/>
      <c r="B86" s="429"/>
      <c r="C86" s="146"/>
      <c r="D86" s="146"/>
      <c r="E86" s="267">
        <v>15</v>
      </c>
      <c r="F86" s="50" cm="1" t="str">
        <f t="array" ref="F86:F86">OFFSET(E86,-1,1)</f>
        <v>4</v>
      </c>
      <c r="G86" s="146"/>
      <c r="H86" s="152" t="str">
        <f>"!=='не определено'"</f>
        <v>!=='не определено'</v>
      </c>
      <c r="I86" s="146"/>
      <c r="J86" s="146"/>
      <c r="K86" s="146"/>
      <c r="L86" s="146"/>
      <c r="M86" s="146"/>
      <c r="N86" s="146"/>
      <c r="O86" s="146"/>
      <c r="P86" s="146"/>
      <c r="Q86" s="146"/>
      <c r="R86" s="146"/>
      <c r="S86" s="146"/>
      <c r="T86" s="465">
        <f>F86&gt;0</f>
        <v>1</v>
      </c>
      <c r="U86" s="146"/>
      <c r="V86" s="146"/>
      <c r="W86" s="757" t="s">
        <v>1996</v>
      </c>
      <c r="X86" s="1563"/>
      <c r="Y86" s="146"/>
      <c r="Z86" s="1546"/>
      <c r="AA86" s="146"/>
      <c r="AB86" s="231"/>
      <c r="AC86" s="232" t="s">
        <v>178</v>
      </c>
      <c r="AD86" s="232"/>
      <c r="AE86" s="232"/>
      <c r="AF86" s="232"/>
      <c r="AG86" s="232"/>
      <c r="AH86" s="232"/>
      <c r="AI86" s="232"/>
      <c r="AJ86" s="232"/>
      <c r="AK86" s="233"/>
      <c r="AL86" s="146"/>
      <c r="AM86" s="448"/>
      <c r="AN86" s="1764"/>
      <c r="AO86" s="1764"/>
      <c r="AP86" s="1764"/>
      <c r="AQ86" s="618" t="s">
        <v>1995</v>
      </c>
      <c r="AR86" s="1757"/>
    </row>
    <row customHeight="1" ht="10.725000000000001">
      <c r="A87" s="0"/>
      <c r="B87" s="430"/>
      <c r="C87" s="0"/>
      <c r="D87" s="0"/>
      <c r="E87" s="618">
        <v>11</v>
      </c>
      <c r="F87" s="85"/>
      <c r="G87" s="0"/>
      <c r="H87" s="0"/>
      <c r="I87" s="0"/>
      <c r="J87" s="0"/>
      <c r="K87" s="0"/>
      <c r="L87" s="0"/>
      <c r="M87" s="0"/>
      <c r="N87" s="0"/>
      <c r="O87" s="0"/>
      <c r="P87" s="0"/>
      <c r="Q87" s="0"/>
      <c r="R87" s="0"/>
      <c r="S87" s="0"/>
      <c r="T87" s="0"/>
      <c r="U87" s="0" t="s">
        <v>178</v>
      </c>
      <c r="V87" s="140" t="s">
        <v>1997</v>
      </c>
      <c r="W87" s="0"/>
      <c r="X87" s="0"/>
      <c r="Y87" s="0"/>
      <c r="Z87" s="0"/>
      <c r="AA87" s="0"/>
      <c r="AB87" s="0"/>
      <c r="AC87" s="100"/>
      <c r="AD87" s="100"/>
      <c r="AE87" s="100"/>
      <c r="AF87" s="100"/>
      <c r="AG87" s="0"/>
      <c r="AH87" s="0"/>
      <c r="AI87" s="0"/>
      <c r="AJ87" s="0"/>
      <c r="AK87" s="0"/>
      <c r="AL87" s="0"/>
    </row>
    <row customHeight="1" ht="14.625">
      <c r="A88" s="98"/>
      <c r="B88" s="427"/>
      <c r="C88" s="98"/>
      <c r="D88" s="98"/>
      <c r="E88" s="632">
        <v>15</v>
      </c>
      <c r="F88" s="98"/>
      <c r="G88" s="98"/>
      <c r="H88" s="98"/>
      <c r="I88" s="98"/>
      <c r="J88" s="98"/>
      <c r="K88" s="98"/>
      <c r="L88" s="98"/>
      <c r="M88" s="98"/>
      <c r="N88" s="98"/>
      <c r="O88" s="98"/>
      <c r="P88" s="98"/>
      <c r="Q88" s="98"/>
      <c r="R88" s="98"/>
      <c r="S88" s="98"/>
      <c r="T88" s="98"/>
      <c r="U88" s="98"/>
      <c r="V88" s="98"/>
      <c r="W88" s="98"/>
      <c r="X88" s="98"/>
      <c r="Y88" s="98"/>
      <c r="Z88" s="98"/>
      <c r="AA88" s="98"/>
      <c r="AB88" s="1577" t="s">
        <v>407</v>
      </c>
      <c r="AC88" s="1577"/>
      <c r="AD88" s="1577"/>
      <c r="AE88" s="1577"/>
      <c r="AF88" s="1577"/>
      <c r="AG88" s="1577"/>
      <c r="AH88" s="1577"/>
      <c r="AI88" s="1623"/>
      <c r="AJ88" s="1623"/>
      <c r="AK88" s="1623"/>
      <c r="AL88" s="98"/>
    </row>
    <row customHeight="1" ht="14.625">
      <c r="A89" s="98"/>
      <c r="B89" s="427"/>
      <c r="C89" s="98"/>
      <c r="D89" s="98"/>
      <c r="E89" s="632">
        <v>15</v>
      </c>
      <c r="F89" s="98"/>
      <c r="G89" s="98"/>
      <c r="H89" s="98"/>
      <c r="I89" s="98"/>
      <c r="J89" s="98"/>
      <c r="K89" s="98"/>
      <c r="L89" s="98"/>
      <c r="M89" s="98"/>
      <c r="N89" s="98"/>
      <c r="O89" s="98"/>
      <c r="P89" s="98"/>
      <c r="Q89" s="98"/>
      <c r="R89" s="98"/>
      <c r="S89" s="98"/>
      <c r="U89" s="98"/>
      <c r="V89" s="98"/>
      <c r="W89" s="98"/>
      <c r="X89" s="98"/>
      <c r="Y89" s="98"/>
      <c r="Z89" s="98"/>
      <c r="AA89" s="451"/>
      <c r="AB89" s="1599"/>
      <c r="AC89" s="1599"/>
      <c r="AD89" s="1599"/>
      <c r="AE89" s="1599"/>
      <c r="AF89" s="1599"/>
      <c r="AG89" s="1599"/>
      <c r="AH89" s="1599"/>
      <c r="AI89" s="4990"/>
      <c r="AJ89" s="4990"/>
      <c r="AK89" s="1624"/>
      <c r="AL89" s="98"/>
    </row>
    <row customHeight="1" ht="14.625" hidden="1">
      <c r="A90" s="98"/>
      <c r="B90" s="427"/>
      <c r="C90" s="98"/>
      <c r="D90" s="98"/>
      <c r="E90" s="632">
        <v>15</v>
      </c>
      <c r="F90" s="98"/>
      <c r="G90" s="98"/>
      <c r="H90" s="98"/>
      <c r="I90" s="98"/>
      <c r="J90" s="98"/>
      <c r="K90" s="98"/>
      <c r="L90" s="98"/>
      <c r="M90" s="98"/>
      <c r="N90" s="98"/>
      <c r="O90" s="98"/>
      <c r="P90" s="98"/>
      <c r="Q90" s="98"/>
      <c r="R90" s="98"/>
      <c r="S90" s="98"/>
      <c r="T90" s="465">
        <f>ROW(W90)&gt;ROW(W$90)</f>
        <v>0</v>
      </c>
      <c r="U90" s="98"/>
      <c r="V90" s="98"/>
      <c r="W90" s="757" t="s">
        <v>174</v>
      </c>
      <c r="X90" s="98"/>
      <c r="Y90" s="98"/>
      <c r="Z90" s="98"/>
      <c r="AA90" s="420" t="s">
        <v>175</v>
      </c>
      <c r="AB90" s="4706" t="s">
        <v>227</v>
      </c>
      <c r="AC90" s="4706"/>
      <c r="AD90" s="4706"/>
      <c r="AE90" s="4706"/>
      <c r="AF90" s="4706"/>
      <c r="AG90" s="4706"/>
      <c r="AH90" s="4706"/>
      <c r="AI90" s="4990"/>
      <c r="AJ90" s="4990"/>
      <c r="AK90" s="4990"/>
      <c r="AL90" s="98"/>
      <c r="AM90" s="448"/>
      <c r="AN90" s="1764"/>
      <c r="AO90" s="1764"/>
      <c r="AP90" s="1764"/>
      <c r="AQ90" s="1757"/>
      <c r="AR90" s="1757"/>
    </row>
    <row s="1812" customFormat="1" customHeight="1" ht="14.625">
      <c r="A91" s="98"/>
      <c r="B91" s="427"/>
      <c r="C91" s="98"/>
      <c r="D91" s="98"/>
      <c r="E91" s="632">
        <v>15</v>
      </c>
      <c r="F91" s="98"/>
      <c r="G91" s="98"/>
      <c r="H91" s="98"/>
      <c r="I91" s="98"/>
      <c r="J91" s="98"/>
      <c r="K91" s="98"/>
      <c r="L91" s="98"/>
      <c r="M91" s="98"/>
      <c r="N91" s="98"/>
      <c r="O91" s="98"/>
      <c r="P91" s="98"/>
      <c r="Q91" s="98"/>
      <c r="R91" s="98"/>
      <c r="S91" s="98"/>
      <c r="T91" s="98"/>
      <c r="U91" s="98"/>
      <c r="V91" s="98"/>
      <c r="W91" s="757" t="s">
        <v>408</v>
      </c>
      <c r="X91" s="98"/>
      <c r="Y91" s="98"/>
      <c r="Z91" s="98"/>
      <c r="AA91" s="98"/>
      <c r="AB91" s="647"/>
      <c r="AC91" s="514" t="s">
        <v>409</v>
      </c>
      <c r="AD91" s="310"/>
      <c r="AE91" s="310"/>
      <c r="AF91" s="311"/>
      <c r="AG91" s="311"/>
      <c r="AH91" s="311"/>
      <c r="AI91" s="311"/>
      <c r="AJ91" s="311"/>
      <c r="AK91" s="312"/>
      <c r="AL91" s="98"/>
      <c r="AN91" s="1030"/>
      <c r="AO91" s="1030"/>
      <c r="AP91" s="1030"/>
      <c r="AQ91" s="267"/>
      <c r="AR91" s="267"/>
    </row>
    <row s="1834" customFormat="1" customHeight="1" ht="10.725000000000001">
      <c r="A92" s="122"/>
      <c r="B92" s="428"/>
      <c r="C92" s="122"/>
      <c r="D92" s="122"/>
      <c r="E92" s="618">
        <v>11</v>
      </c>
      <c r="F92" s="122"/>
      <c r="G92" s="122"/>
      <c r="H92" s="122"/>
      <c r="I92" s="122"/>
      <c r="J92" s="122"/>
      <c r="K92" s="122"/>
      <c r="L92" s="122"/>
      <c r="M92" s="122"/>
      <c r="N92" s="122"/>
      <c r="O92" s="122"/>
      <c r="P92" s="122"/>
      <c r="Q92" s="122"/>
      <c r="R92" s="122"/>
      <c r="S92" s="122"/>
      <c r="T92" s="122"/>
      <c r="U92" s="122"/>
      <c r="V92" s="122"/>
      <c r="W92" s="122"/>
      <c r="X92" s="122"/>
      <c r="Y92" s="122"/>
      <c r="Z92" s="122"/>
      <c r="AA92" s="448"/>
      <c r="AB92" s="448"/>
      <c r="AC92" s="448"/>
      <c r="AD92" s="448"/>
      <c r="AE92" s="448"/>
      <c r="AF92" s="448"/>
      <c r="AG92" s="448"/>
      <c r="AH92" s="448"/>
      <c r="AI92" s="448"/>
      <c r="AJ92" s="448"/>
      <c r="AK92" s="448"/>
      <c r="AL92" s="426"/>
      <c r="AN92" s="1048"/>
      <c r="AO92" s="1048"/>
      <c r="AP92" s="1048"/>
      <c r="AQ92" s="671"/>
      <c r="AR92" s="671"/>
    </row>
    <row customHeight="1" ht="14.25" hidden="1">
      <c r="A93" s="448"/>
      <c r="B93" s="448"/>
      <c r="C93" s="448"/>
      <c r="D93" s="448"/>
      <c r="E93" s="689"/>
      <c r="F93" s="448"/>
      <c r="G93" s="448"/>
      <c r="H93" s="448"/>
      <c r="I93" s="448"/>
      <c r="J93" s="448"/>
      <c r="K93" s="448"/>
      <c r="L93" s="448"/>
      <c r="M93" s="448"/>
      <c r="N93" s="448"/>
      <c r="O93" s="448"/>
      <c r="P93" s="448"/>
      <c r="Q93" s="448"/>
      <c r="R93" s="448"/>
      <c r="S93" s="448"/>
      <c r="T93" s="448"/>
      <c r="U93" s="448"/>
      <c r="V93" s="448"/>
      <c r="W93" s="448"/>
      <c r="X93" s="448"/>
      <c r="Y93" s="448"/>
      <c r="Z93" s="448"/>
      <c r="AI93" s="448"/>
      <c r="AJ93" s="448"/>
    </row>
  </sheetData>
  <sheetProtection formatColumns="0" formatRows="0" insertRows="0" deleteColumns="0" deleteRows="0" sort="0" autoFilter="0" insertColumns="1"/>
  <mergeCells count="17">
    <mergeCell ref="AB90:AK90"/>
    <mergeCell ref="X27:X38"/>
    <mergeCell ref="Z27:Z38"/>
    <mergeCell ref="AB88:AK88"/>
    <mergeCell ref="AB89:AK89"/>
    <mergeCell ref="AB24:AB25"/>
    <mergeCell ref="AC24:AC25"/>
    <mergeCell ref="AD24:AD25"/>
    <mergeCell ref="AK24:AK25"/>
    <mergeCell ref="X39:X50"/>
    <mergeCell ref="Z39:Z50"/>
    <mergeCell ref="X51:X62"/>
    <mergeCell ref="Z51:Z62"/>
    <mergeCell ref="X63:X74"/>
    <mergeCell ref="Z63:Z74"/>
    <mergeCell ref="X75:X86"/>
    <mergeCell ref="Z75:Z86"/>
  </mergeCells>
  <dataValidations count="2">
    <dataValidation allowBlank="1" showInputMessage="1" showErrorMessage="1" sqref="AI88:AK91 AI37:AJ37 AI49 AJ49 AI61 AJ61 AI73 AJ73 AI85 AJ85"/>
    <dataValidation type="decimal" allowBlank="1" showErrorMessage="1" errorTitle="Ошибка" error="Допускается ввод только неотрицательных чисел!" sqref="AE37:AH37 AE28:AJ35 AE40 AF40 AG40 AH40 AI40 AJ40 AE41 AF41 AG41 AH41 AI41 AJ41 AE42 AF42 AG42 AH42 AI42 AJ42 AE43 AF43 AG43 AH43 AI43 AJ43 AE44 AF44 AG44 AH44 AI44 AJ44 AE45 AF45 AG45 AH45 AI45 AJ45 AE46 AF46 AG46 AH46 AI46 AJ46 AE47 AF47 AG47 AH47 AI47 AJ47 AE49 AF49 AG49 AH49 AE52 AF52 AG52 AH52 AI52 AJ52 AE53 AF53 AG53 AH53 AI53 AJ53 AE54 AF54 AG54 AH54 AI54 AJ54 AE55 AF55 AG55 AH55 AI55 AJ55 AE56 AF56 AG56 AH56 AI56 AJ56 AE57 AF57 AG57 AH57 AI57 AJ57 AE58 AF58 AG58 AH58 AI58 AJ58 AE59 AF59 AG59 AH59 AI59 AJ59 AE61 AF61 AG61 AH61 AE64 AF64 AG64 AH64 AI64 AJ64 AE65 AF65 AG65 AH65 AI65 AJ65 AE66 AF66 AG66 AH66 AI66 AJ66 AE67 AF67 AG67 AH67 AI67 AJ67 AE68 AF68 AG68 AH68 AI68 AJ68 AE69 AF69 AG69 AH69 AI69 AJ69 AE70 AF70 AG70 AH70 AI70 AJ70 AE71 AF71 AG71 AH71 AI71 AJ71 AE73 AF73 AG73 AH73 AE76 AF76 AG76 AH76 AI76 AJ76 AE77 AF77 AG77 AH77 AI77 AJ77 AE78 AF78 AG78 AH78 AI78 AJ78 AE79 AF79 AG79 AH79 AI79 AJ79 AE80 AF80 AG80 AH80 AI80 AJ80 AE81 AF81 AG81 AH81 AI81 AJ81 AE82 AF82 AG82 AH82 AI82 AJ82 AE83 AF83 AG83 AH83 AI83 AJ83 AE85 AF85 AG85 AH85">
      <formula1>0</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DFB3C4-4268-FA38-BEB3-6C5FC7A1517E}" mc:Ignorable="x14ac xr xr2 xr3">
  <sheetPr>
    <tabColor rgb="FF002060"/>
    <outlinePr summaryRight="0" summaryBelow="0"/>
    <pageSetUpPr fitToPage="1"/>
  </sheetPr>
  <dimension ref="A1:BJ107"/>
  <sheetViews>
    <sheetView showGridLines="0" workbookViewId="0">
      <pane xSplit="30" ySplit="25" topLeftCell="AI26" activePane="bottomRight" state="frozen"/>
      <selection pane="bottomLeft" activeCell="A26" sqref="A26"/>
      <selection pane="topRight" activeCell="AE1" sqref="AE1"/>
      <selection pane="bottomRight" activeCell="AV46" sqref="AV46"/>
    </sheetView>
  </sheetViews>
  <sheetFormatPr defaultColWidth="9.140625" customHeight="1" defaultRowHeight="11.25"/>
  <cols>
    <col min="1" max="1" style="1758" width="3.57421875" hidden="1" customWidth="1"/>
    <col min="2" max="2" style="1416" width="8.57421875" hidden="1" customWidth="1"/>
    <col min="3" max="4" style="1758" width="3.57421875" hidden="1" customWidth="1"/>
    <col min="5" max="5" style="1757" width="3.57421875" hidden="1" customWidth="1"/>
    <col min="6" max="7" style="1758" width="3.57421875" hidden="1" customWidth="1"/>
    <col min="8" max="8" style="1758" width="6.00390625" hidden="1" customWidth="1"/>
    <col min="9" max="19" style="1758" width="3.57421875" hidden="1" customWidth="1"/>
    <col min="20" max="20" style="1758" width="10.00390625" hidden="1" customWidth="1"/>
    <col min="21" max="21" style="1758" width="5.8515625" hidden="1" customWidth="1"/>
    <col min="22" max="23" style="1758" width="6.140625" hidden="1" customWidth="1"/>
    <col min="24" max="25" style="1758" width="5.57421875" hidden="1" customWidth="1"/>
    <col min="26" max="26" style="1758" width="5.28125" hidden="1" customWidth="1"/>
    <col min="27" max="27" style="1758" width="3.00390625" customWidth="1"/>
    <col min="28" max="28" style="1758" width="6.00390625" customWidth="1"/>
    <col min="29" max="29" style="1758" width="35.00390625" customWidth="1"/>
    <col min="30" max="30" style="1758" width="12.00390625" customWidth="1"/>
    <col min="31" max="34" style="1758" width="0" customWidth="1"/>
    <col min="35" max="39" style="1758" width="11.00390625" customWidth="1"/>
    <col min="40" max="44" style="1758" width="11.00390625" hidden="1" customWidth="1"/>
    <col min="45" max="49" style="1758" width="11.00390625" customWidth="1"/>
    <col min="50" max="54" style="1758" width="12.57421875" hidden="1" customWidth="1"/>
    <col min="55" max="55" style="1758" width="46.421875" customWidth="1"/>
    <col min="56" max="56" style="1758" width="3.00390625" customWidth="1"/>
    <col min="57" max="57" style="1758" width="9.140625" hidden="1"/>
    <col min="58" max="60" style="1764" width="9.140625" hidden="1"/>
    <col min="61" max="62" style="1757" width="9.140625" hidden="1"/>
  </cols>
  <sheetData>
    <row customHeight="1" ht="11.25" hidden="1">
      <c r="E1" s="149"/>
      <c r="F1" s="149" t="s">
        <v>321</v>
      </c>
      <c r="G1" s="149" t="s">
        <v>331</v>
      </c>
      <c r="I1" s="149" t="s">
        <v>357</v>
      </c>
      <c r="T1" s="465" t="s">
        <v>93</v>
      </c>
      <c r="U1" s="465" t="s">
        <v>98</v>
      </c>
      <c r="V1" s="465" t="s">
        <v>94</v>
      </c>
      <c r="W1" s="465" t="s">
        <v>95</v>
      </c>
      <c r="X1" s="465" t="s">
        <v>96</v>
      </c>
      <c r="Y1" s="467" t="s">
        <v>323</v>
      </c>
      <c r="Z1" s="465" t="s">
        <v>100</v>
      </c>
      <c r="AA1" s="466" t="s">
        <v>97</v>
      </c>
      <c r="AB1" s="85"/>
      <c r="AC1" s="466" t="s">
        <v>99</v>
      </c>
      <c r="AI1" s="1758"/>
      <c r="AJ1" s="1758"/>
      <c r="AK1" s="1758"/>
      <c r="AL1" s="1758"/>
      <c r="AM1" s="1758"/>
      <c r="AN1" s="1758"/>
      <c r="AO1" s="1758"/>
      <c r="AP1" s="1758"/>
      <c r="AQ1" s="1758"/>
      <c r="AR1" s="1758"/>
      <c r="AS1" s="1758"/>
      <c r="AT1" s="1758"/>
      <c r="AU1" s="1758"/>
      <c r="AV1" s="1758"/>
      <c r="AW1" s="1758"/>
      <c r="AX1" s="1758"/>
      <c r="AY1" s="1758"/>
      <c r="AZ1" s="1758"/>
      <c r="BA1" s="1758"/>
      <c r="BB1" s="1758"/>
      <c r="BF1" s="1038" t="s">
        <v>324</v>
      </c>
      <c r="BG1" s="1038" t="s">
        <v>325</v>
      </c>
      <c r="BH1" s="1038" t="s">
        <v>326</v>
      </c>
      <c r="BI1" s="676" t="s">
        <v>329</v>
      </c>
      <c r="BJ1" s="676" t="s">
        <v>330</v>
      </c>
    </row>
    <row s="1416" customFormat="1" customHeight="1" ht="11.25" hidden="1">
      <c r="B2" s="447" t="s">
        <v>19</v>
      </c>
      <c r="AF2" s="1372" cm="1" t="str">
        <f t="array" ref="AF2:AF2">isOrgDeclare</f>
        <v>true</v>
      </c>
      <c r="AI2" s="446">
        <f>AND(AI6&lt;=last_year_vis,isOrgDeclare)</f>
        <v>1</v>
      </c>
      <c r="AJ2" s="446">
        <f>AND(AJ6&lt;=last_year_vis,isOrgDeclare)</f>
        <v>1</v>
      </c>
      <c r="AK2" s="446">
        <f>AND(AK6&lt;=last_year_vis,isOrgDeclare)</f>
        <v>1</v>
      </c>
      <c r="AL2" s="446">
        <f>AND(AL6&lt;=last_year_vis,isOrgDeclare)</f>
        <v>1</v>
      </c>
      <c r="AM2" s="446">
        <f>AND(AM6&lt;=last_year_vis,isOrgDeclare)</f>
        <v>1</v>
      </c>
      <c r="AN2" s="446">
        <f>AND(AN6&lt;=last_year_vis,isOrgDeclare)</f>
        <v>0</v>
      </c>
      <c r="AO2" s="446">
        <f>AND(AO6&lt;=last_year_vis,isOrgDeclare)</f>
        <v>0</v>
      </c>
      <c r="AP2" s="446">
        <f>AND(AP6&lt;=last_year_vis,isOrgDeclare)</f>
        <v>0</v>
      </c>
      <c r="AQ2" s="446">
        <f>AND(AQ6&lt;=last_year_vis,isOrgDeclare)</f>
        <v>0</v>
      </c>
      <c r="AR2" s="446">
        <f>AND(AR6&lt;=last_year_vis,isOrgDeclare)</f>
        <v>0</v>
      </c>
      <c r="AS2" s="446">
        <f>AS6&lt;=last_year_vis</f>
        <v>1</v>
      </c>
      <c r="AT2" s="446">
        <f>AT6&lt;=last_year_vis</f>
        <v>1</v>
      </c>
      <c r="AU2" s="446">
        <f>AU6&lt;=last_year_vis</f>
        <v>1</v>
      </c>
      <c r="AV2" s="446">
        <f>AV6&lt;=last_year_vis</f>
        <v>1</v>
      </c>
      <c r="AW2" s="446">
        <f>AW6&lt;=last_year_vis</f>
        <v>1</v>
      </c>
      <c r="AX2" s="446">
        <f>AX6&lt;=last_year_vis</f>
        <v>0</v>
      </c>
      <c r="AY2" s="446">
        <f>AY6&lt;=last_year_vis</f>
        <v>0</v>
      </c>
      <c r="AZ2" s="446">
        <f>AZ6&lt;=last_year_vis</f>
        <v>0</v>
      </c>
      <c r="BA2" s="446">
        <f>BA6&lt;=last_year_vis</f>
        <v>0</v>
      </c>
      <c r="BB2" s="446">
        <f>BB6&lt;=last_year_vis</f>
        <v>0</v>
      </c>
      <c r="BF2" s="1037"/>
      <c r="BG2" s="1037"/>
      <c r="BH2" s="1037"/>
      <c r="BI2" s="1049"/>
      <c r="BJ2" s="1049"/>
    </row>
    <row customHeight="1" ht="11.25" hidden="1">
      <c r="E3" s="149"/>
      <c r="AI3" s="1758"/>
      <c r="AJ3" s="1758"/>
      <c r="AK3" s="1758"/>
      <c r="AL3" s="1758"/>
      <c r="AM3" s="1758"/>
      <c r="AN3" s="1758"/>
      <c r="AO3" s="1758"/>
      <c r="AP3" s="1758"/>
      <c r="AQ3" s="1758"/>
      <c r="AR3" s="1758"/>
      <c r="AS3" s="1758"/>
      <c r="AT3" s="1758"/>
      <c r="AU3" s="1758"/>
      <c r="AV3" s="1758"/>
      <c r="AW3" s="1758"/>
      <c r="AX3" s="1758"/>
      <c r="AY3" s="1758"/>
      <c r="AZ3" s="1758"/>
      <c r="BA3" s="1758"/>
      <c r="BB3" s="1758"/>
    </row>
    <row customHeight="1" ht="11.25" hidden="1">
      <c r="E4" s="149"/>
      <c r="AI4" s="1758"/>
      <c r="AJ4" s="1758"/>
      <c r="AK4" s="1758"/>
      <c r="AL4" s="1758"/>
      <c r="AM4" s="1758"/>
      <c r="AN4" s="1758"/>
      <c r="AO4" s="1758"/>
      <c r="AP4" s="1758"/>
      <c r="AQ4" s="1758"/>
      <c r="AR4" s="1758"/>
      <c r="AS4" s="1758"/>
      <c r="AT4" s="1758"/>
      <c r="AU4" s="1758"/>
      <c r="AV4" s="1758"/>
      <c r="AW4" s="1758"/>
      <c r="AX4" s="1758"/>
      <c r="AY4" s="1758"/>
      <c r="AZ4" s="1758"/>
      <c r="BA4" s="1758"/>
      <c r="BB4" s="1758"/>
    </row>
    <row s="1757" customFormat="1" customHeight="1" ht="11.25" hidden="1">
      <c r="A5" s="149"/>
      <c r="B5" s="442"/>
      <c r="C5" s="149"/>
      <c r="D5" s="149"/>
      <c r="E5" s="676" t="s">
        <v>20</v>
      </c>
      <c r="AA5" s="676">
        <v>3</v>
      </c>
      <c r="AB5" s="676">
        <v>6</v>
      </c>
      <c r="AC5" s="676">
        <v>35</v>
      </c>
      <c r="AD5" s="676">
        <v>12</v>
      </c>
      <c r="AE5" s="676">
        <v>12.57</v>
      </c>
      <c r="AF5" s="676">
        <v>12.57</v>
      </c>
      <c r="AG5" s="676">
        <v>12.57</v>
      </c>
      <c r="AH5" s="676">
        <v>12.57</v>
      </c>
      <c r="AI5" s="676">
        <v>12.57</v>
      </c>
      <c r="AJ5" s="676">
        <v>12.57</v>
      </c>
      <c r="AK5" s="676">
        <v>12.57</v>
      </c>
      <c r="AL5" s="676">
        <v>12.57</v>
      </c>
      <c r="AM5" s="676">
        <v>12.57</v>
      </c>
      <c r="AN5" s="676">
        <v>12.57</v>
      </c>
      <c r="AO5" s="676">
        <v>12.57</v>
      </c>
      <c r="AP5" s="676">
        <v>12.57</v>
      </c>
      <c r="AQ5" s="676">
        <v>12.57</v>
      </c>
      <c r="AR5" s="676">
        <v>12.57</v>
      </c>
      <c r="AS5" s="676">
        <v>12.57</v>
      </c>
      <c r="AT5" s="676">
        <v>12.57</v>
      </c>
      <c r="AU5" s="676">
        <v>12.57</v>
      </c>
      <c r="AV5" s="676">
        <v>12.57</v>
      </c>
      <c r="AW5" s="676">
        <v>12.57</v>
      </c>
      <c r="AX5" s="676">
        <v>12.57</v>
      </c>
      <c r="AY5" s="676">
        <v>12.57</v>
      </c>
      <c r="AZ5" s="676">
        <v>12.57</v>
      </c>
      <c r="BA5" s="676">
        <v>12.57</v>
      </c>
      <c r="BB5" s="676">
        <v>12.57</v>
      </c>
      <c r="BC5" s="676">
        <v>20</v>
      </c>
      <c r="BD5" s="676">
        <v>3</v>
      </c>
      <c r="BF5" s="1038"/>
      <c r="BG5" s="1038"/>
      <c r="BH5" s="1038"/>
    </row>
    <row customHeight="1" ht="11.25" hidden="1">
      <c r="A6" s="149" t="s">
        <v>360</v>
      </c>
      <c r="AE6" s="149">
        <f>god-2</f>
        <v>2024</v>
      </c>
      <c r="AF6" s="149">
        <f>god-2</f>
        <v>2024</v>
      </c>
      <c r="AG6" s="149">
        <f>god-2</f>
        <v>2024</v>
      </c>
      <c r="AH6" s="149">
        <f>god-1</f>
        <v>2025</v>
      </c>
      <c r="AI6" s="98" cm="1" t="str">
        <f t="array" ref="AI6:AI6">god</f>
        <v>2026</v>
      </c>
      <c r="AJ6" s="98">
        <f>god+1</f>
        <v>2027</v>
      </c>
      <c r="AK6" s="98">
        <f>god+2</f>
        <v>2028</v>
      </c>
      <c r="AL6" s="98">
        <f>god+3</f>
        <v>2029</v>
      </c>
      <c r="AM6" s="98">
        <f>god+4</f>
        <v>2030</v>
      </c>
      <c r="AN6" s="98">
        <f>god+5</f>
        <v>2031</v>
      </c>
      <c r="AO6" s="98">
        <f>god+6</f>
        <v>2032</v>
      </c>
      <c r="AP6" s="98">
        <f>god+7</f>
        <v>2033</v>
      </c>
      <c r="AQ6" s="98">
        <f>god+8</f>
        <v>2034</v>
      </c>
      <c r="AR6" s="98">
        <f>god+9</f>
        <v>2035</v>
      </c>
      <c r="AS6" s="98" cm="1" t="str">
        <f t="array" ref="AS6:AS6">god</f>
        <v>2026</v>
      </c>
      <c r="AT6" s="98">
        <f>god+1</f>
        <v>2027</v>
      </c>
      <c r="AU6" s="98">
        <f>god+2</f>
        <v>2028</v>
      </c>
      <c r="AV6" s="98">
        <f>god+3</f>
        <v>2029</v>
      </c>
      <c r="AW6" s="98">
        <f>god+4</f>
        <v>2030</v>
      </c>
      <c r="AX6" s="98">
        <f>god+5</f>
        <v>2031</v>
      </c>
      <c r="AY6" s="98">
        <f>god+6</f>
        <v>2032</v>
      </c>
      <c r="AZ6" s="98">
        <f>god+7</f>
        <v>2033</v>
      </c>
      <c r="BA6" s="98">
        <f>god+8</f>
        <v>2034</v>
      </c>
      <c r="BB6" s="98">
        <f>god+9</f>
        <v>2035</v>
      </c>
    </row>
    <row customHeight="1" ht="11.25" hidden="1">
      <c r="A7" s="149" t="s">
        <v>361</v>
      </c>
      <c r="AE7" s="149" cm="1" t="str">
        <f t="array" ref="AE7:AE7">AE25</f>
        <v>Принято органом регулирования</v>
      </c>
      <c r="AF7" s="149" cm="1" t="str">
        <f t="array" ref="AF7:AF7">AF25</f>
        <v>Факт по данным организации</v>
      </c>
      <c r="AG7" s="149" cm="1" t="str">
        <f t="array" ref="AG7:AG7">AG25</f>
        <v>Факт, принятый органом регулирования</v>
      </c>
      <c r="AH7" s="149" cm="1" t="str">
        <f t="array" ref="AH7:AH7">AH25</f>
        <v>Принято органом регулирования</v>
      </c>
      <c r="AI7" s="149" cm="1" t="str">
        <f t="array" ref="AI7:AI7">AI25</f>
        <v>Предложение организации</v>
      </c>
      <c r="AJ7" s="149" cm="1" t="str">
        <f t="array" ref="AJ7:AJ7">AJ25</f>
        <v>Предложение организации</v>
      </c>
      <c r="AK7" s="149" cm="1" t="str">
        <f t="array" ref="AK7:AK7">AK25</f>
        <v>Предложение организации</v>
      </c>
      <c r="AL7" s="149" cm="1" t="str">
        <f t="array" ref="AL7:AL7">AL25</f>
        <v>Предложение организации</v>
      </c>
      <c r="AM7" s="149" cm="1" t="str">
        <f t="array" ref="AM7:AM7">AM25</f>
        <v>Предложение организации</v>
      </c>
      <c r="AN7" s="149" cm="1" t="str">
        <f t="array" ref="AN7:AN7">AN25</f>
        <v>Предложение организации</v>
      </c>
      <c r="AO7" s="149" cm="1" t="str">
        <f t="array" ref="AO7:AO7">AO25</f>
        <v>Предложение организации</v>
      </c>
      <c r="AP7" s="149" cm="1" t="str">
        <f t="array" ref="AP7:AP7">AP25</f>
        <v>Предложение организации</v>
      </c>
      <c r="AQ7" s="149" cm="1" t="str">
        <f t="array" ref="AQ7:AQ7">AQ25</f>
        <v>Предложение организации</v>
      </c>
      <c r="AR7" s="149" cm="1" t="str">
        <f t="array" ref="AR7:AR7">AR25</f>
        <v>Предложение организации</v>
      </c>
      <c r="AS7" s="149" cm="1" t="str">
        <f t="array" ref="AS7:AS7">AS25</f>
        <v>Принято органом регулирования</v>
      </c>
      <c r="AT7" s="149" cm="1" t="str">
        <f t="array" ref="AT7:AT7">AT25</f>
        <v>Принято органом регулирования</v>
      </c>
      <c r="AU7" s="149" cm="1" t="str">
        <f t="array" ref="AU7:AU7">AU25</f>
        <v>Принято органом регулирования</v>
      </c>
      <c r="AV7" s="149" cm="1" t="str">
        <f t="array" ref="AV7:AV7">AV25</f>
        <v>Принято органом регулирования</v>
      </c>
      <c r="AW7" s="149" cm="1" t="str">
        <f t="array" ref="AW7:AW7">AW25</f>
        <v>Принято органом регулирования</v>
      </c>
      <c r="AX7" s="149" cm="1" t="str">
        <f t="array" ref="AX7:AX7">AX25</f>
        <v>Принято органом регулирования</v>
      </c>
      <c r="AY7" s="149" cm="1" t="str">
        <f t="array" ref="AY7:AY7">AY25</f>
        <v>Принято органом регулирования</v>
      </c>
      <c r="AZ7" s="149" cm="1" t="str">
        <f t="array" ref="AZ7:AZ7">AZ25</f>
        <v>Принято органом регулирования</v>
      </c>
      <c r="BA7" s="149" cm="1" t="str">
        <f t="array" ref="BA7:BA7">BA25</f>
        <v>Принято органом регулирования</v>
      </c>
      <c r="BB7" s="149" cm="1" t="str">
        <f t="array" ref="BB7:BB7">BB25</f>
        <v>Принято органом регулирования</v>
      </c>
    </row>
    <row customHeight="1" ht="11.25" hidden="1">
      <c r="AI8" s="1758"/>
      <c r="AJ8" s="1758"/>
      <c r="AK8" s="1758"/>
      <c r="AL8" s="1758"/>
      <c r="AM8" s="1758"/>
      <c r="AN8" s="1758"/>
      <c r="AO8" s="1758"/>
      <c r="AP8" s="1758"/>
      <c r="AQ8" s="1758"/>
      <c r="AR8" s="1758"/>
      <c r="AS8" s="1758"/>
      <c r="AT8" s="1758"/>
      <c r="AU8" s="1758"/>
      <c r="AV8" s="1758"/>
      <c r="AW8" s="1758"/>
      <c r="AX8" s="1758"/>
      <c r="AY8" s="1758"/>
      <c r="AZ8" s="1758"/>
      <c r="BA8" s="1758"/>
      <c r="BB8" s="1758"/>
    </row>
    <row s="1764" customFormat="1" customHeight="1" ht="11.25" hidden="1">
      <c r="A9" s="1038" t="s">
        <v>365</v>
      </c>
      <c r="B9" s="1037"/>
      <c r="AE9" s="1038" cm="1" t="str">
        <f t="array" ref="AE9:AE9">AE6</f>
        <v>2024</v>
      </c>
      <c r="AF9" s="1038" cm="1" t="str">
        <f t="array" ref="AF9:AF9">AF6</f>
        <v>2024</v>
      </c>
      <c r="AG9" s="1038" cm="1" t="str">
        <f t="array" ref="AG9:AG9">AG6</f>
        <v>2024</v>
      </c>
      <c r="AH9" s="1038" cm="1" t="str">
        <f t="array" ref="AH9:AH9">AH6</f>
        <v>2025</v>
      </c>
      <c r="AI9" s="1038" cm="1" t="str">
        <f t="array" ref="AI9:AI9">AI6</f>
        <v>2026</v>
      </c>
      <c r="AJ9" s="1038" cm="1" t="str">
        <f t="array" ref="AJ9:AJ9">AJ6</f>
        <v>2027</v>
      </c>
      <c r="AK9" s="1038" cm="1" t="str">
        <f t="array" ref="AK9:AK9">AK6</f>
        <v>2028</v>
      </c>
      <c r="AL9" s="1038" cm="1" t="str">
        <f t="array" ref="AL9:AL9">AL6</f>
        <v>2029</v>
      </c>
      <c r="AM9" s="1038" cm="1" t="str">
        <f t="array" ref="AM9:AM9">AM6</f>
        <v>2030</v>
      </c>
      <c r="AN9" s="1038" cm="1" t="str">
        <f t="array" ref="AN9:AN9">AN6</f>
        <v>2031</v>
      </c>
      <c r="AO9" s="1038" cm="1" t="str">
        <f t="array" ref="AO9:AO9">AO6</f>
        <v>2032</v>
      </c>
      <c r="AP9" s="1038" cm="1" t="str">
        <f t="array" ref="AP9:AP9">AP6</f>
        <v>2033</v>
      </c>
      <c r="AQ9" s="1038" cm="1" t="str">
        <f t="array" ref="AQ9:AQ9">AQ6</f>
        <v>2034</v>
      </c>
      <c r="AR9" s="1038" cm="1" t="str">
        <f t="array" ref="AR9:AR9">AR6</f>
        <v>2035</v>
      </c>
      <c r="AS9" s="1038" cm="1" t="str">
        <f t="array" ref="AS9:AS9">AS6</f>
        <v>2026</v>
      </c>
      <c r="AT9" s="1038" cm="1" t="str">
        <f t="array" ref="AT9:AT9">AT6</f>
        <v>2027</v>
      </c>
      <c r="AU9" s="1038" cm="1" t="str">
        <f t="array" ref="AU9:AU9">AU6</f>
        <v>2028</v>
      </c>
      <c r="AV9" s="1038" cm="1" t="str">
        <f t="array" ref="AV9:AV9">AV6</f>
        <v>2029</v>
      </c>
      <c r="AW9" s="1038" cm="1" t="str">
        <f t="array" ref="AW9:AW9">AW6</f>
        <v>2030</v>
      </c>
      <c r="AX9" s="1038" cm="1" t="str">
        <f t="array" ref="AX9:AX9">AX6</f>
        <v>2031</v>
      </c>
      <c r="AY9" s="1038" cm="1" t="str">
        <f t="array" ref="AY9:AY9">AY6</f>
        <v>2032</v>
      </c>
      <c r="AZ9" s="1038" cm="1" t="str">
        <f t="array" ref="AZ9:AZ9">AZ6</f>
        <v>2033</v>
      </c>
      <c r="BA9" s="1038" cm="1" t="str">
        <f t="array" ref="BA9:BA9">BA6</f>
        <v>2034</v>
      </c>
      <c r="BB9" s="1038" cm="1" t="str">
        <f t="array" ref="BB9:BB9">BB6</f>
        <v>2035</v>
      </c>
      <c r="BI9" s="676"/>
      <c r="BJ9" s="676"/>
    </row>
    <row s="1764" customFormat="1" customHeight="1" ht="11.25" hidden="1">
      <c r="A10" s="1038" t="s">
        <v>366</v>
      </c>
      <c r="B10" s="1037"/>
      <c r="AE10" s="1038" cm="1" t="str">
        <f t="array" ref="AE10:AE10">AE25</f>
        <v>Принято органом регулирования</v>
      </c>
      <c r="AF10" s="1038" cm="1" t="str">
        <f t="array" ref="AF10:AF10">AF25</f>
        <v>Факт по данным организации</v>
      </c>
      <c r="AG10" s="1038" cm="1" t="str">
        <f t="array" ref="AG10:AG10">AG25</f>
        <v>Факт, принятый органом регулирования</v>
      </c>
      <c r="AH10" s="1038" cm="1" t="str">
        <f t="array" ref="AH10:AH10">AH25</f>
        <v>Принято органом регулирования</v>
      </c>
      <c r="AI10" s="1038" cm="1" t="str">
        <f t="array" ref="AI10:AI10">AI25</f>
        <v>Предложение организации</v>
      </c>
      <c r="AJ10" s="1038" cm="1" t="str">
        <f t="array" ref="AJ10:AJ10">AJ25</f>
        <v>Предложение организации</v>
      </c>
      <c r="AK10" s="1038" cm="1" t="str">
        <f t="array" ref="AK10:AK10">AK25</f>
        <v>Предложение организации</v>
      </c>
      <c r="AL10" s="1038" cm="1" t="str">
        <f t="array" ref="AL10:AL10">AL25</f>
        <v>Предложение организации</v>
      </c>
      <c r="AM10" s="1038" cm="1" t="str">
        <f t="array" ref="AM10:AM10">AM25</f>
        <v>Предложение организации</v>
      </c>
      <c r="AN10" s="1038" cm="1" t="str">
        <f t="array" ref="AN10:AN10">AN25</f>
        <v>Предложение организации</v>
      </c>
      <c r="AO10" s="1038" cm="1" t="str">
        <f t="array" ref="AO10:AO10">AO25</f>
        <v>Предложение организации</v>
      </c>
      <c r="AP10" s="1038" cm="1" t="str">
        <f t="array" ref="AP10:AP10">AP25</f>
        <v>Предложение организации</v>
      </c>
      <c r="AQ10" s="1038" cm="1" t="str">
        <f t="array" ref="AQ10:AQ10">AQ25</f>
        <v>Предложение организации</v>
      </c>
      <c r="AR10" s="1038" cm="1" t="str">
        <f t="array" ref="AR10:AR10">AR25</f>
        <v>Предложение организации</v>
      </c>
      <c r="AS10" s="1038" cm="1" t="str">
        <f t="array" ref="AS10:AS10">AS25</f>
        <v>Принято органом регулирования</v>
      </c>
      <c r="AT10" s="1038" cm="1" t="str">
        <f t="array" ref="AT10:AT10">AT25</f>
        <v>Принято органом регулирования</v>
      </c>
      <c r="AU10" s="1038" cm="1" t="str">
        <f t="array" ref="AU10:AU10">AU25</f>
        <v>Принято органом регулирования</v>
      </c>
      <c r="AV10" s="1038" cm="1" t="str">
        <f t="array" ref="AV10:AV10">AV25</f>
        <v>Принято органом регулирования</v>
      </c>
      <c r="AW10" s="1038" cm="1" t="str">
        <f t="array" ref="AW10:AW10">AW25</f>
        <v>Принято органом регулирования</v>
      </c>
      <c r="AX10" s="1038" cm="1" t="str">
        <f t="array" ref="AX10:AX10">AX25</f>
        <v>Принято органом регулирования</v>
      </c>
      <c r="AY10" s="1038" cm="1" t="str">
        <f t="array" ref="AY10:AY10">AY25</f>
        <v>Принято органом регулирования</v>
      </c>
      <c r="AZ10" s="1038" cm="1" t="str">
        <f t="array" ref="AZ10:AZ10">AZ25</f>
        <v>Принято органом регулирования</v>
      </c>
      <c r="BA10" s="1038" cm="1" t="str">
        <f t="array" ref="BA10:BA10">BA25</f>
        <v>Принято органом регулирования</v>
      </c>
      <c r="BB10" s="1038" cm="1" t="str">
        <f t="array" ref="BB10:BB10">BB25</f>
        <v>Принято органом регулирования</v>
      </c>
      <c r="BI10" s="676"/>
      <c r="BJ10" s="676"/>
    </row>
    <row s="1764" customFormat="1" customHeight="1" ht="11.25" hidden="1">
      <c r="A11" s="1038" t="s">
        <v>367</v>
      </c>
      <c r="B11" s="1037"/>
      <c r="AI11" s="1764"/>
      <c r="AJ11" s="1764"/>
      <c r="AK11" s="1764"/>
      <c r="AL11" s="1764"/>
      <c r="AM11" s="1764"/>
      <c r="AN11" s="1764"/>
      <c r="AO11" s="1764"/>
      <c r="AP11" s="1764"/>
      <c r="AQ11" s="1764"/>
      <c r="AR11" s="1764"/>
      <c r="AS11" s="1764"/>
      <c r="AT11" s="1764"/>
      <c r="AU11" s="1764"/>
      <c r="AV11" s="1764"/>
      <c r="AW11" s="1764"/>
      <c r="AX11" s="1764"/>
      <c r="AY11" s="1764"/>
      <c r="AZ11" s="1764"/>
      <c r="BA11" s="1764"/>
      <c r="BB11" s="1764"/>
      <c r="BC11" s="1038" cm="1" t="str">
        <f t="array" ref="BC11:BC11">BC24</f>
        <v>Ссылка на правовую норму (основание для принятия показателя в расчет тарифа)</v>
      </c>
      <c r="BI11" s="676"/>
      <c r="BJ11" s="676"/>
    </row>
    <row s="1764" customFormat="1" customHeight="1" ht="11.25" hidden="1">
      <c r="A12" s="1038" t="s">
        <v>338</v>
      </c>
      <c r="B12" s="1037"/>
      <c r="AC12" s="1038" t="s">
        <v>326</v>
      </c>
      <c r="AI12" s="1764"/>
      <c r="AJ12" s="1764"/>
      <c r="AK12" s="1764"/>
      <c r="AL12" s="1764"/>
      <c r="AM12" s="1764"/>
      <c r="AN12" s="1764"/>
      <c r="AO12" s="1764"/>
      <c r="AP12" s="1764"/>
      <c r="AQ12" s="1764"/>
      <c r="AR12" s="1764"/>
      <c r="AS12" s="1764"/>
      <c r="AT12" s="1764"/>
      <c r="AU12" s="1764"/>
      <c r="AV12" s="1764"/>
      <c r="AW12" s="1764"/>
      <c r="AX12" s="1764"/>
      <c r="AY12" s="1764"/>
      <c r="AZ12" s="1764"/>
      <c r="BA12" s="1764"/>
      <c r="BB12" s="1764"/>
      <c r="BI12" s="676"/>
      <c r="BJ12" s="676"/>
    </row>
    <row customHeight="1" ht="11.25" hidden="1">
      <c r="AI13" s="98"/>
      <c r="AJ13" s="98"/>
      <c r="AK13" s="98"/>
      <c r="AL13" s="98"/>
      <c r="AM13" s="98"/>
      <c r="AN13" s="98"/>
      <c r="AO13" s="98"/>
      <c r="AP13" s="98"/>
      <c r="AQ13" s="98"/>
      <c r="AR13" s="98"/>
      <c r="AS13" s="98"/>
      <c r="AT13" s="98"/>
      <c r="AU13" s="98"/>
      <c r="AV13" s="98"/>
      <c r="AW13" s="98"/>
      <c r="AX13" s="98"/>
      <c r="AY13" s="98"/>
      <c r="AZ13" s="98"/>
      <c r="BA13" s="98"/>
      <c r="BB13" s="98"/>
    </row>
    <row customHeight="1" ht="11.25" hidden="1">
      <c r="AI14" s="98"/>
      <c r="AJ14" s="98"/>
      <c r="AK14" s="98"/>
      <c r="AL14" s="98"/>
      <c r="AM14" s="98"/>
      <c r="AN14" s="98"/>
      <c r="AO14" s="98"/>
      <c r="AP14" s="98"/>
      <c r="AQ14" s="98"/>
      <c r="AR14" s="98"/>
      <c r="AS14" s="98"/>
      <c r="AT14" s="98"/>
      <c r="AU14" s="98"/>
      <c r="AV14" s="98"/>
      <c r="AW14" s="98"/>
      <c r="AX14" s="98"/>
      <c r="AY14" s="98"/>
      <c r="AZ14" s="98"/>
      <c r="BA14" s="98"/>
      <c r="BB14" s="98"/>
    </row>
    <row customHeight="1" ht="11.25" hidden="1">
      <c r="AI15" s="98"/>
      <c r="AJ15" s="98"/>
      <c r="AK15" s="98"/>
      <c r="AL15" s="98"/>
      <c r="AM15" s="98"/>
      <c r="AN15" s="98"/>
      <c r="AO15" s="98"/>
      <c r="AP15" s="98"/>
      <c r="AQ15" s="98"/>
      <c r="AR15" s="98"/>
      <c r="AS15" s="98"/>
      <c r="AT15" s="98"/>
      <c r="AU15" s="98"/>
      <c r="AV15" s="98"/>
      <c r="AW15" s="98"/>
      <c r="AX15" s="98"/>
      <c r="AY15" s="98"/>
      <c r="AZ15" s="98"/>
      <c r="BA15" s="98"/>
      <c r="BB15" s="98"/>
    </row>
    <row customHeight="1" ht="11.25" hidden="1">
      <c r="AI16" s="98"/>
      <c r="AJ16" s="98"/>
      <c r="AK16" s="98"/>
      <c r="AL16" s="98"/>
      <c r="AM16" s="98"/>
      <c r="AN16" s="98"/>
      <c r="AO16" s="98"/>
      <c r="AP16" s="98"/>
      <c r="AQ16" s="98"/>
      <c r="AR16" s="98"/>
      <c r="AS16" s="98"/>
      <c r="AT16" s="98"/>
      <c r="AU16" s="98"/>
      <c r="AV16" s="98"/>
      <c r="AW16" s="98"/>
      <c r="AX16" s="98"/>
      <c r="AY16" s="98"/>
      <c r="AZ16" s="98"/>
      <c r="BA16" s="98"/>
      <c r="BB16" s="98"/>
    </row>
    <row customHeight="1" ht="11.25" hidden="1">
      <c r="AI17" s="1758"/>
      <c r="AJ17" s="1758"/>
      <c r="AK17" s="1758"/>
      <c r="AL17" s="1758"/>
      <c r="AM17" s="1758"/>
      <c r="AN17" s="1758"/>
      <c r="AO17" s="1758"/>
      <c r="AP17" s="1758"/>
      <c r="AQ17" s="1758"/>
      <c r="AR17" s="1758"/>
      <c r="AS17" s="1758"/>
      <c r="AT17" s="1758"/>
      <c r="AU17" s="1758"/>
      <c r="AV17" s="1758"/>
      <c r="AW17" s="1758"/>
      <c r="AX17" s="1758"/>
      <c r="AY17" s="1758"/>
      <c r="AZ17" s="1758"/>
      <c r="BA17" s="1758"/>
      <c r="BB17" s="1758"/>
    </row>
    <row customHeight="1" ht="11.25" hidden="1">
      <c r="A18" s="149" t="s">
        <v>368</v>
      </c>
      <c r="AC18" s="149" t="s">
        <v>369</v>
      </c>
      <c r="AI18" s="1758"/>
      <c r="AJ18" s="1758"/>
      <c r="AK18" s="1758"/>
      <c r="AL18" s="1758"/>
      <c r="AM18" s="1758"/>
      <c r="AN18" s="1758"/>
      <c r="AO18" s="1758"/>
      <c r="AP18" s="1758"/>
      <c r="AQ18" s="1758"/>
      <c r="AR18" s="1758"/>
      <c r="AS18" s="1758"/>
      <c r="AT18" s="1758"/>
      <c r="AU18" s="1758"/>
      <c r="AV18" s="1758"/>
      <c r="AW18" s="1758"/>
      <c r="AX18" s="1758"/>
      <c r="AY18" s="1758"/>
      <c r="AZ18" s="1758"/>
      <c r="BA18" s="1758"/>
      <c r="BB18" s="1758"/>
    </row>
    <row customHeight="1" ht="11.25" hidden="1">
      <c r="AI19" s="1758"/>
      <c r="AJ19" s="1758"/>
      <c r="AK19" s="1758"/>
      <c r="AL19" s="1758"/>
      <c r="AM19" s="1758"/>
      <c r="AN19" s="1758"/>
      <c r="AO19" s="1758"/>
      <c r="AP19" s="1758"/>
      <c r="AQ19" s="1758"/>
      <c r="AR19" s="1758"/>
      <c r="AS19" s="1758"/>
      <c r="AT19" s="1758"/>
      <c r="AU19" s="1758"/>
      <c r="AV19" s="1758"/>
      <c r="AW19" s="1758"/>
      <c r="AX19" s="1758"/>
      <c r="AY19" s="1758"/>
      <c r="AZ19" s="1758"/>
      <c r="BA19" s="1758"/>
      <c r="BB19" s="1758"/>
    </row>
    <row customHeight="1" ht="11.25" hidden="1">
      <c r="AI20" s="1758"/>
      <c r="AJ20" s="1758"/>
      <c r="AK20" s="1758"/>
      <c r="AL20" s="1758"/>
      <c r="AM20" s="1758"/>
      <c r="AN20" s="1758"/>
      <c r="AO20" s="1758"/>
      <c r="AP20" s="1758"/>
      <c r="AQ20" s="1758"/>
      <c r="AR20" s="1758"/>
      <c r="AS20" s="1758"/>
      <c r="AT20" s="1758"/>
      <c r="AU20" s="1758"/>
      <c r="AV20" s="1758"/>
      <c r="AW20" s="1758"/>
      <c r="AX20" s="1758"/>
      <c r="AY20" s="1758"/>
      <c r="AZ20" s="1758"/>
      <c r="BA20" s="1758"/>
      <c r="BB20" s="1758"/>
    </row>
    <row customHeight="1" ht="14.625">
      <c r="E21" s="676">
        <v>15</v>
      </c>
      <c r="AA21" s="425"/>
      <c r="AC21" s="366" cm="1" t="str">
        <f t="array" ref="AC21:AC21">tpl_title</f>
        <v>Кемеровская область / 2026 / ООО "Теплоэнерго" (ИНН:4214046200, КПП:421401001) / ДПР: 2026-2030</v>
      </c>
      <c r="AI21" s="1758"/>
      <c r="AJ21" s="1758"/>
      <c r="AK21" s="1758"/>
      <c r="AL21" s="1758"/>
      <c r="AM21" s="1758"/>
      <c r="AN21" s="1758"/>
      <c r="AO21" s="1758"/>
      <c r="AP21" s="1758"/>
      <c r="AQ21" s="1758"/>
      <c r="AR21" s="1758"/>
      <c r="AS21" s="1758"/>
      <c r="AT21" s="1758"/>
      <c r="AU21" s="1758"/>
      <c r="AV21" s="1758"/>
      <c r="AW21" s="1758"/>
      <c r="AX21" s="1758"/>
      <c r="AY21" s="1758"/>
      <c r="AZ21" s="1758"/>
      <c r="BA21" s="1758"/>
      <c r="BB21" s="1758"/>
    </row>
    <row customHeight="1" ht="19.5">
      <c r="E22" s="676">
        <v>20</v>
      </c>
      <c r="AB22" s="320" t="s">
        <v>68</v>
      </c>
      <c r="AC22" s="226"/>
      <c r="AD22" s="226"/>
      <c r="AE22" s="226"/>
      <c r="AF22" s="226"/>
      <c r="AG22" s="226"/>
      <c r="AH22" s="226"/>
      <c r="AI22" s="226"/>
      <c r="AJ22" s="226"/>
      <c r="AK22" s="226"/>
      <c r="AL22" s="226"/>
      <c r="AM22" s="226"/>
      <c r="AN22" s="226"/>
      <c r="AO22" s="226"/>
      <c r="AP22" s="226"/>
      <c r="AQ22" s="226"/>
      <c r="AR22" s="226"/>
      <c r="AS22" s="226"/>
      <c r="AT22" s="226"/>
      <c r="AU22" s="226"/>
      <c r="AV22" s="226"/>
      <c r="AW22" s="226"/>
      <c r="AX22" s="226"/>
      <c r="AY22" s="226"/>
      <c r="AZ22" s="226"/>
      <c r="BA22" s="226"/>
      <c r="BB22" s="226"/>
      <c r="BC22" s="223"/>
    </row>
    <row customHeight="1" ht="10.96875">
      <c r="E23" s="676">
        <v>11.25</v>
      </c>
      <c r="AI23" s="1758"/>
      <c r="AJ23" s="1758"/>
      <c r="AK23" s="1758"/>
      <c r="AL23" s="1758"/>
      <c r="AM23" s="1758"/>
      <c r="AN23" s="1758"/>
      <c r="AO23" s="1758"/>
      <c r="AP23" s="1758"/>
      <c r="AQ23" s="1758"/>
      <c r="AR23" s="1758"/>
      <c r="AS23" s="1758"/>
      <c r="AT23" s="1758"/>
      <c r="AU23" s="1758"/>
      <c r="AV23" s="1758"/>
      <c r="AW23" s="1758"/>
      <c r="AX23" s="1758"/>
      <c r="AY23" s="1758"/>
      <c r="AZ23" s="1758"/>
      <c r="BA23" s="1758"/>
      <c r="BB23" s="1758"/>
    </row>
    <row s="1758" customFormat="1" customHeight="1" ht="14.625">
      <c r="B24" s="428"/>
      <c r="E24" s="618">
        <v>15</v>
      </c>
      <c r="AB24" s="1577" t="s">
        <v>22</v>
      </c>
      <c r="AC24" s="1577" t="s">
        <v>369</v>
      </c>
      <c r="AD24" s="1577" t="s">
        <v>1728</v>
      </c>
      <c r="AE24" s="359" t="str">
        <f>god-2&amp;" год"</f>
        <v>2024 год</v>
      </c>
      <c r="AF24" s="1121" t="str">
        <f>god-2&amp;" год"</f>
        <v>2024 год</v>
      </c>
      <c r="AG24" s="359" t="str">
        <f>god-2&amp;" год"</f>
        <v>2024 год</v>
      </c>
      <c r="AH24" s="94" t="str">
        <f>god-1&amp;" год"</f>
        <v>2025 год</v>
      </c>
      <c r="AI24" s="1118" t="str">
        <f>god&amp;" год"</f>
        <v>2026 год</v>
      </c>
      <c r="AJ24" s="1118" t="str">
        <f>god+1&amp;" год"</f>
        <v>2027 год</v>
      </c>
      <c r="AK24" s="1118" t="str">
        <f>god+2&amp;" год"</f>
        <v>2028 год</v>
      </c>
      <c r="AL24" s="1118" t="str">
        <f>god+3&amp;" год"</f>
        <v>2029 год</v>
      </c>
      <c r="AM24" s="1118" t="str">
        <f>god+4&amp;" год"</f>
        <v>2030 год</v>
      </c>
      <c r="AN24" s="1118" t="str">
        <f>god+5&amp;" год"</f>
        <v>2031 год</v>
      </c>
      <c r="AO24" s="1118" t="str">
        <f>god+6&amp;" год"</f>
        <v>2032 год</v>
      </c>
      <c r="AP24" s="1118" t="str">
        <f>god+7&amp;" год"</f>
        <v>2033 год</v>
      </c>
      <c r="AQ24" s="1118" t="str">
        <f>god+8&amp;" год"</f>
        <v>2034 год</v>
      </c>
      <c r="AR24" s="1118" t="str">
        <f>god+9&amp;" год"</f>
        <v>2035 год</v>
      </c>
      <c r="AS24" s="92" t="str">
        <f>god&amp;" год"</f>
        <v>2026 год</v>
      </c>
      <c r="AT24" s="92" t="str">
        <f>god+1&amp;" год"</f>
        <v>2027 год</v>
      </c>
      <c r="AU24" s="92" t="str">
        <f>god+2&amp;" год"</f>
        <v>2028 год</v>
      </c>
      <c r="AV24" s="92" t="str">
        <f>god+3&amp;" год"</f>
        <v>2029 год</v>
      </c>
      <c r="AW24" s="92" t="str">
        <f>god+4&amp;" год"</f>
        <v>2030 год</v>
      </c>
      <c r="AX24" s="92" t="str">
        <f>god+5&amp;" год"</f>
        <v>2031 год</v>
      </c>
      <c r="AY24" s="92" t="str">
        <f>god+6&amp;" год"</f>
        <v>2032 год</v>
      </c>
      <c r="AZ24" s="92" t="str">
        <f>god+7&amp;" год"</f>
        <v>2033 год</v>
      </c>
      <c r="BA24" s="92" t="str">
        <f>god+8&amp;" год"</f>
        <v>2034 год</v>
      </c>
      <c r="BB24" s="92" t="str">
        <f>god+9&amp;" год"</f>
        <v>2035 год</v>
      </c>
      <c r="BC24" s="1625" t="s">
        <v>1242</v>
      </c>
      <c r="BF24" s="997"/>
      <c r="BG24" s="997"/>
      <c r="BH24" s="997"/>
      <c r="BI24" s="618"/>
      <c r="BJ24" s="618"/>
    </row>
    <row s="1758" customFormat="1" customHeight="1" ht="48.75">
      <c r="B25" s="428"/>
      <c r="E25" s="618">
        <v>50</v>
      </c>
      <c r="AB25" s="1577"/>
      <c r="AC25" s="1577"/>
      <c r="AD25" s="1577"/>
      <c r="AE25" s="92" t="s">
        <v>362</v>
      </c>
      <c r="AF25" s="1118" t="s">
        <v>1164</v>
      </c>
      <c r="AG25" s="92" t="s">
        <v>1165</v>
      </c>
      <c r="AH25" s="92" t="s">
        <v>362</v>
      </c>
      <c r="AI25" s="1122" t="s">
        <v>363</v>
      </c>
      <c r="AJ25" s="1122" t="s">
        <v>363</v>
      </c>
      <c r="AK25" s="1122" t="s">
        <v>363</v>
      </c>
      <c r="AL25" s="1122" t="s">
        <v>363</v>
      </c>
      <c r="AM25" s="1122" t="s">
        <v>363</v>
      </c>
      <c r="AN25" s="1122" t="s">
        <v>363</v>
      </c>
      <c r="AO25" s="1122" t="s">
        <v>363</v>
      </c>
      <c r="AP25" s="1122" t="s">
        <v>363</v>
      </c>
      <c r="AQ25" s="1122" t="s">
        <v>363</v>
      </c>
      <c r="AR25" s="1122" t="s">
        <v>363</v>
      </c>
      <c r="AS25" s="360" t="s">
        <v>362</v>
      </c>
      <c r="AT25" s="360" t="s">
        <v>362</v>
      </c>
      <c r="AU25" s="360" t="s">
        <v>362</v>
      </c>
      <c r="AV25" s="360" t="s">
        <v>362</v>
      </c>
      <c r="AW25" s="360" t="s">
        <v>362</v>
      </c>
      <c r="AX25" s="360" t="s">
        <v>362</v>
      </c>
      <c r="AY25" s="360" t="s">
        <v>362</v>
      </c>
      <c r="AZ25" s="360" t="s">
        <v>362</v>
      </c>
      <c r="BA25" s="360" t="s">
        <v>362</v>
      </c>
      <c r="BB25" s="360" t="s">
        <v>362</v>
      </c>
      <c r="BC25" s="1625"/>
      <c r="BF25" s="997"/>
      <c r="BG25" s="997"/>
      <c r="BH25" s="997"/>
      <c r="BI25" s="618"/>
      <c r="BJ25" s="618"/>
    </row>
    <row s="1834" customFormat="1" customHeight="1" ht="11.25">
      <c r="B26" s="430"/>
      <c r="E26" s="671" t="s">
        <v>373</v>
      </c>
      <c r="F26" s="85"/>
      <c r="AC26" s="100"/>
      <c r="AD26" s="100"/>
      <c r="AE26" s="100"/>
      <c r="AF26" s="100"/>
      <c r="AI26" s="1834"/>
      <c r="AJ26" s="1834"/>
      <c r="AK26" s="1834"/>
      <c r="AL26" s="1834"/>
      <c r="AM26" s="1834"/>
      <c r="AN26" s="1834"/>
      <c r="AO26" s="1834"/>
      <c r="AP26" s="1834"/>
      <c r="AQ26" s="101"/>
      <c r="AR26" s="1834"/>
      <c r="AS26" s="1834"/>
      <c r="AT26" s="1834"/>
      <c r="AU26" s="1834"/>
      <c r="AV26" s="1834"/>
      <c r="AW26" s="1834"/>
      <c r="AX26" s="1834"/>
      <c r="AY26" s="1834"/>
      <c r="AZ26" s="1834"/>
      <c r="BA26" s="1834"/>
      <c r="BB26" s="1834"/>
      <c r="BF26" s="1004"/>
      <c r="BG26" s="1004"/>
      <c r="BH26" s="1004"/>
      <c r="BI26" s="624"/>
      <c r="BJ26" s="624"/>
    </row>
    <row s="1758" customFormat="1" customHeight="1" ht="14.625" hidden="1">
      <c r="A27" s="1758"/>
      <c r="B27" s="428"/>
      <c r="C27" s="1758"/>
      <c r="D27" s="1758"/>
      <c r="E27" s="618">
        <v>15</v>
      </c>
      <c r="F27" s="98" cm="1" t="str">
        <f t="array" ref="F27:F27">X27</f>
        <v>0</v>
      </c>
      <c r="G27" s="1758"/>
      <c r="H27" s="1758"/>
      <c r="I27" s="1758"/>
      <c r="J27" s="1758"/>
      <c r="K27" s="1758"/>
      <c r="L27" s="1758"/>
      <c r="M27" s="1758"/>
      <c r="N27" s="1758"/>
      <c r="O27" s="1758"/>
      <c r="P27" s="1758"/>
      <c r="Q27" s="1758"/>
      <c r="R27" s="1758"/>
      <c r="S27" s="1758"/>
      <c r="T27" s="465">
        <f>X27&gt;0</f>
        <v>0</v>
      </c>
      <c r="U27" s="1758"/>
      <c r="V27" s="122" t="s">
        <v>265</v>
      </c>
      <c r="W27" s="1758"/>
      <c r="X27" s="1563">
        <v>0</v>
      </c>
      <c r="Y27" s="1758"/>
      <c r="Z27" s="1546"/>
      <c r="AA27" s="1758"/>
      <c r="AB27" s="222" cm="1" t="str">
        <f t="array" ref="AB27:AB27">INDEX('Общие сведения'!$AG$179:$AG$250,MATCH($X27,'Общие сведения'!$Z$179:$Z$250,0))</f>
        <v>Тариф 0 () - </v>
      </c>
      <c r="AC27" s="180"/>
      <c r="AD27" s="180"/>
      <c r="AE27" s="180"/>
      <c r="AF27" s="180"/>
      <c r="AG27" s="180"/>
      <c r="AH27" s="180"/>
      <c r="AI27" s="180"/>
      <c r="AJ27" s="180"/>
      <c r="AK27" s="180"/>
      <c r="AL27" s="180"/>
      <c r="AM27" s="180"/>
      <c r="AN27" s="180"/>
      <c r="AO27" s="180"/>
      <c r="AP27" s="180"/>
      <c r="AQ27" s="180"/>
      <c r="AR27" s="180"/>
      <c r="AS27" s="180"/>
      <c r="AT27" s="180"/>
      <c r="AU27" s="180"/>
      <c r="AV27" s="180"/>
      <c r="AW27" s="180"/>
      <c r="AX27" s="180"/>
      <c r="AY27" s="180"/>
      <c r="AZ27" s="180"/>
      <c r="BA27" s="180"/>
      <c r="BB27" s="180"/>
      <c r="BC27" s="180"/>
      <c r="BD27" s="1758"/>
      <c r="BE27" s="1758"/>
      <c r="BF27" s="997"/>
      <c r="BG27" s="997"/>
      <c r="BH27" s="997"/>
      <c r="BI27" s="618"/>
      <c r="BJ27" s="618"/>
    </row>
    <row s="1758" customFormat="1" customHeight="1" ht="21.9375" hidden="1">
      <c r="A28" s="1758"/>
      <c r="B28" s="428"/>
      <c r="C28" s="1758"/>
      <c r="D28" s="1758"/>
      <c r="E28" s="618">
        <v>22.5</v>
      </c>
      <c r="F28" s="50" cm="1" t="str">
        <f t="array" ref="F28:F28">OFFSET(E28,-1,1)</f>
        <v>0</v>
      </c>
      <c r="G28" s="122" t="s">
        <v>1979</v>
      </c>
      <c r="H28" s="1758"/>
      <c r="I28" s="1758"/>
      <c r="J28" s="1758"/>
      <c r="K28" s="124" t="str">
        <f>F28&amp;"komm"</f>
        <v>0komm</v>
      </c>
      <c r="L28" s="919" cm="1" t="str">
        <f t="array" ref="L28:L28">BC28</f>
        <v>0</v>
      </c>
      <c r="M28" s="1758"/>
      <c r="N28" s="1758"/>
      <c r="O28" s="1758"/>
      <c r="P28" s="1758"/>
      <c r="Q28" s="1758"/>
      <c r="R28" s="1758"/>
      <c r="S28" s="1758"/>
      <c r="T28" s="465" cm="1" t="str">
        <f t="array" ref="T28:T28">T27</f>
        <v>false</v>
      </c>
      <c r="U28" s="1758"/>
      <c r="V28" s="1758"/>
      <c r="W28" s="1758"/>
      <c r="X28" s="1563"/>
      <c r="Y28" s="1758"/>
      <c r="Z28" s="1546"/>
      <c r="AA28" s="1758"/>
      <c r="AB28" s="234">
        <v>0</v>
      </c>
      <c r="AC28" s="219" t="s">
        <v>1998</v>
      </c>
      <c r="AD28" s="211" t="s">
        <v>1514</v>
      </c>
      <c r="AE28" s="227">
        <f>SUM(AE29:AE38)</f>
        <v>0</v>
      </c>
      <c r="AF28" s="227">
        <f>SUM(AF29:AF38)</f>
        <v>0</v>
      </c>
      <c r="AG28" s="227">
        <f>SUM(AG29:AG38)</f>
        <v>0</v>
      </c>
      <c r="AH28" s="227">
        <f>SUM(AH29:AH38)</f>
        <v>0</v>
      </c>
      <c r="AI28" s="227">
        <f>SUM(AI29:AI38)</f>
        <v>0</v>
      </c>
      <c r="AJ28" s="227">
        <f>SUM(AJ29:AJ38)</f>
        <v>0</v>
      </c>
      <c r="AK28" s="227">
        <f>SUM(AK29:AK38)</f>
        <v>0</v>
      </c>
      <c r="AL28" s="227">
        <f>SUM(AL29:AL38)</f>
        <v>0</v>
      </c>
      <c r="AM28" s="227">
        <f>SUM(AM29:AM38)</f>
        <v>0</v>
      </c>
      <c r="AN28" s="227">
        <f>SUM(AN29:AN38)</f>
        <v>0</v>
      </c>
      <c r="AO28" s="227">
        <f>SUM(AO29:AO38)</f>
        <v>0</v>
      </c>
      <c r="AP28" s="227">
        <f>SUM(AP29:AP38)</f>
        <v>0</v>
      </c>
      <c r="AQ28" s="227">
        <f>SUM(AQ29:AQ38)</f>
        <v>0</v>
      </c>
      <c r="AR28" s="227">
        <f>SUM(AR29:AR38)</f>
        <v>0</v>
      </c>
      <c r="AS28" s="227">
        <f>SUM(AS29:AS38)</f>
        <v>0</v>
      </c>
      <c r="AT28" s="227">
        <f>SUM(AT29:AT38)</f>
        <v>0</v>
      </c>
      <c r="AU28" s="227">
        <f>SUM(AU29:AU38)</f>
        <v>0</v>
      </c>
      <c r="AV28" s="227">
        <f>SUM(AV29:AV38)</f>
        <v>0</v>
      </c>
      <c r="AW28" s="227">
        <f>SUM(AW29:AW38)</f>
        <v>0</v>
      </c>
      <c r="AX28" s="227">
        <f>SUM(AX29:AX38)</f>
        <v>0</v>
      </c>
      <c r="AY28" s="227">
        <f>SUM(AY29:AY38)</f>
        <v>0</v>
      </c>
      <c r="AZ28" s="227">
        <f>SUM(AZ29:AZ38)</f>
        <v>0</v>
      </c>
      <c r="BA28" s="227">
        <f>SUM(BA29:BA38)</f>
        <v>0</v>
      </c>
      <c r="BB28" s="227">
        <f>SUM(BB29:BB38)</f>
        <v>0</v>
      </c>
      <c r="BC28" s="2070"/>
      <c r="BD28" s="1758"/>
      <c r="BE28" s="1758"/>
      <c r="BF28" s="997" t="s">
        <v>1999</v>
      </c>
      <c r="BG28" s="997"/>
      <c r="BH28" s="997"/>
      <c r="BI28" s="618"/>
      <c r="BJ28" s="618"/>
    </row>
    <row s="1758" customFormat="1" customHeight="1" ht="14.625" hidden="1">
      <c r="A29" s="1758"/>
      <c r="B29" s="428"/>
      <c r="C29" s="1758"/>
      <c r="D29" s="1758"/>
      <c r="E29" s="618">
        <v>15</v>
      </c>
      <c r="F29" s="50" cm="1" t="str">
        <f t="array" ref="F29:F29">OFFSET(E29,-1,1)</f>
        <v>0</v>
      </c>
      <c r="G29" s="122" t="s">
        <v>332</v>
      </c>
      <c r="H29" s="1758"/>
      <c r="I29" s="1758"/>
      <c r="J29" s="1758"/>
      <c r="K29" s="124" t="str">
        <f>F29&amp;"1komm"</f>
        <v>01komm</v>
      </c>
      <c r="L29" s="919" cm="1" t="str">
        <f t="array" ref="L29:L29">BC29</f>
        <v>0</v>
      </c>
      <c r="M29" s="1758"/>
      <c r="N29" s="1758"/>
      <c r="O29" s="1758"/>
      <c r="P29" s="1758"/>
      <c r="Q29" s="1758"/>
      <c r="R29" s="1758"/>
      <c r="S29" s="1758"/>
      <c r="T29" s="465" cm="1" t="str">
        <f t="array" ref="T29:T29">T28</f>
        <v>false</v>
      </c>
      <c r="U29" s="1758"/>
      <c r="V29" s="1758"/>
      <c r="W29" s="1758"/>
      <c r="X29" s="1563"/>
      <c r="Y29" s="1758"/>
      <c r="Z29" s="1546"/>
      <c r="AA29" s="1758"/>
      <c r="AB29" s="299" t="s">
        <v>276</v>
      </c>
      <c r="AC29" s="452" t="s">
        <v>2000</v>
      </c>
      <c r="AD29" s="300" t="s">
        <v>1514</v>
      </c>
      <c r="AE29" s="4993"/>
      <c r="AF29" s="4934"/>
      <c r="AG29" s="4934"/>
      <c r="AH29" s="4934"/>
      <c r="AI29" s="4934"/>
      <c r="AJ29" s="4934"/>
      <c r="AK29" s="4934"/>
      <c r="AL29" s="4934"/>
      <c r="AM29" s="4934"/>
      <c r="AN29" s="4934"/>
      <c r="AO29" s="4934"/>
      <c r="AP29" s="4934"/>
      <c r="AQ29" s="4934"/>
      <c r="AR29" s="4934"/>
      <c r="AS29" s="4934"/>
      <c r="AT29" s="4934"/>
      <c r="AU29" s="4934"/>
      <c r="AV29" s="4934"/>
      <c r="AW29" s="4934"/>
      <c r="AX29" s="4934"/>
      <c r="AY29" s="4934"/>
      <c r="AZ29" s="4934"/>
      <c r="BA29" s="4934"/>
      <c r="BB29" s="4934"/>
      <c r="BC29" s="2070"/>
      <c r="BD29" s="1758"/>
      <c r="BE29" s="1758"/>
      <c r="BF29" s="997" t="s">
        <v>2001</v>
      </c>
      <c r="BG29" s="997"/>
      <c r="BH29" s="997"/>
      <c r="BI29" s="618"/>
      <c r="BJ29" s="618"/>
    </row>
    <row s="1758" customFormat="1" customHeight="1" ht="21.9375" hidden="1">
      <c r="A30" s="1758"/>
      <c r="B30" s="838"/>
      <c r="C30" s="426"/>
      <c r="D30" s="426"/>
      <c r="E30" s="619">
        <v>22.5</v>
      </c>
      <c r="F30" s="50" cm="1" t="str">
        <f t="array" ref="F30:F30">OFFSET(E30,-1,1)</f>
        <v>0</v>
      </c>
      <c r="G30" s="426" t="s">
        <v>333</v>
      </c>
      <c r="H30" s="426"/>
      <c r="I30" s="426"/>
      <c r="J30" s="426"/>
      <c r="K30" s="124" t="str">
        <f>F30&amp;"2komm"</f>
        <v>02komm</v>
      </c>
      <c r="L30" s="919" cm="1" t="str">
        <f t="array" ref="L30:L30">BC30</f>
        <v>0</v>
      </c>
      <c r="M30" s="426"/>
      <c r="N30" s="426"/>
      <c r="O30" s="426"/>
      <c r="P30" s="426"/>
      <c r="Q30" s="426"/>
      <c r="R30" s="426"/>
      <c r="S30" s="426"/>
      <c r="T30" s="465" cm="1" t="str">
        <f t="array" ref="T30:T30">T29</f>
        <v>false</v>
      </c>
      <c r="U30" s="426"/>
      <c r="V30" s="426"/>
      <c r="W30" s="1758"/>
      <c r="X30" s="1563"/>
      <c r="Y30" s="1758"/>
      <c r="Z30" s="1546"/>
      <c r="AA30" s="1758"/>
      <c r="AB30" s="299" t="s">
        <v>285</v>
      </c>
      <c r="AC30" s="452" t="s">
        <v>2002</v>
      </c>
      <c r="AD30" s="300" t="s">
        <v>1514</v>
      </c>
      <c r="AE30" s="4993"/>
      <c r="AF30" s="4934"/>
      <c r="AG30" s="4934"/>
      <c r="AH30" s="4934"/>
      <c r="AI30" s="4934"/>
      <c r="AJ30" s="4934"/>
      <c r="AK30" s="4934"/>
      <c r="AL30" s="4934"/>
      <c r="AM30" s="4934"/>
      <c r="AN30" s="4934"/>
      <c r="AO30" s="4934"/>
      <c r="AP30" s="4934"/>
      <c r="AQ30" s="4934"/>
      <c r="AR30" s="4934"/>
      <c r="AS30" s="4934"/>
      <c r="AT30" s="4934"/>
      <c r="AU30" s="4934"/>
      <c r="AV30" s="4934"/>
      <c r="AW30" s="4934"/>
      <c r="AX30" s="4934"/>
      <c r="AY30" s="4934"/>
      <c r="AZ30" s="4934"/>
      <c r="BA30" s="4934"/>
      <c r="BB30" s="4934"/>
      <c r="BC30" s="2070"/>
      <c r="BD30" s="1758"/>
      <c r="BE30" s="1758"/>
      <c r="BF30" s="997" t="s">
        <v>2003</v>
      </c>
      <c r="BG30" s="997"/>
      <c r="BH30" s="997"/>
      <c r="BI30" s="618"/>
      <c r="BJ30" s="618"/>
    </row>
    <row s="1758" customFormat="1" customHeight="1" ht="21.9375" hidden="1">
      <c r="A31" s="1758"/>
      <c r="B31" s="838"/>
      <c r="C31" s="426"/>
      <c r="D31" s="426"/>
      <c r="E31" s="619">
        <v>22.5</v>
      </c>
      <c r="F31" s="50" cm="1" t="str">
        <f t="array" ref="F31:F31">OFFSET(E31,-1,1)</f>
        <v>0</v>
      </c>
      <c r="G31" s="426" t="s">
        <v>334</v>
      </c>
      <c r="H31" s="426" t="s">
        <v>2004</v>
      </c>
      <c r="I31" s="426"/>
      <c r="J31" s="426"/>
      <c r="K31" s="124" t="str">
        <f>F31&amp;"3komm"</f>
        <v>03komm</v>
      </c>
      <c r="L31" s="919" cm="1" t="str">
        <f t="array" ref="L31:L31">BC31</f>
        <v>0</v>
      </c>
      <c r="M31" s="426"/>
      <c r="N31" s="426"/>
      <c r="O31" s="426"/>
      <c r="P31" s="426"/>
      <c r="Q31" s="426"/>
      <c r="R31" s="426"/>
      <c r="S31" s="426"/>
      <c r="T31" s="465" cm="1" t="str">
        <f t="array" ref="T31:T31">T30</f>
        <v>false</v>
      </c>
      <c r="U31" s="426"/>
      <c r="V31" s="426"/>
      <c r="W31" s="1758"/>
      <c r="X31" s="1563"/>
      <c r="Y31" s="1758"/>
      <c r="Z31" s="1546"/>
      <c r="AA31" s="1758"/>
      <c r="AB31" s="299" t="s">
        <v>289</v>
      </c>
      <c r="AC31" s="452" t="s">
        <v>2005</v>
      </c>
      <c r="AD31" s="300" t="s">
        <v>1514</v>
      </c>
      <c r="AE31" s="4993"/>
      <c r="AF31" s="4934"/>
      <c r="AG31" s="4934"/>
      <c r="AH31" s="4934"/>
      <c r="AI31" s="4934"/>
      <c r="AJ31" s="4934"/>
      <c r="AK31" s="4934"/>
      <c r="AL31" s="4934"/>
      <c r="AM31" s="4934"/>
      <c r="AN31" s="4934"/>
      <c r="AO31" s="4934"/>
      <c r="AP31" s="4934"/>
      <c r="AQ31" s="4934"/>
      <c r="AR31" s="4934"/>
      <c r="AS31" s="4934"/>
      <c r="AT31" s="4934"/>
      <c r="AU31" s="4934"/>
      <c r="AV31" s="4934"/>
      <c r="AW31" s="4934"/>
      <c r="AX31" s="4934"/>
      <c r="AY31" s="4934"/>
      <c r="AZ31" s="4934"/>
      <c r="BA31" s="4934"/>
      <c r="BB31" s="4934"/>
      <c r="BC31" s="2070"/>
      <c r="BD31" s="1758"/>
      <c r="BE31" s="1758"/>
      <c r="BF31" s="997" t="s">
        <v>2006</v>
      </c>
      <c r="BG31" s="997"/>
      <c r="BH31" s="997"/>
      <c r="BI31" s="618"/>
      <c r="BJ31" s="618"/>
    </row>
    <row customHeight="1" ht="14.625" hidden="1">
      <c r="A32" s="1758"/>
      <c r="B32" s="891"/>
      <c r="C32" s="887"/>
      <c r="D32" s="887"/>
      <c r="E32" s="888">
        <v>15</v>
      </c>
      <c r="F32" s="50" cm="1" t="str">
        <f t="array" ref="F32:F32">OFFSET(E32,-1,1)</f>
        <v>0</v>
      </c>
      <c r="G32" s="887" t="s">
        <v>336</v>
      </c>
      <c r="H32" s="887"/>
      <c r="I32" s="887"/>
      <c r="J32" s="887"/>
      <c r="K32" s="124" t="str">
        <f>F32&amp;"4komm"</f>
        <v>04komm</v>
      </c>
      <c r="L32" s="919" cm="1" t="str">
        <f t="array" ref="L32:L32">BC32</f>
        <v>0</v>
      </c>
      <c r="M32" s="887"/>
      <c r="N32" s="887"/>
      <c r="O32" s="887"/>
      <c r="P32" s="887"/>
      <c r="Q32" s="887"/>
      <c r="R32" s="887"/>
      <c r="S32" s="887"/>
      <c r="T32" s="465" cm="1" t="str">
        <f t="array" ref="T32:T32">T31</f>
        <v>false</v>
      </c>
      <c r="U32" s="887"/>
      <c r="V32" s="887"/>
      <c r="W32" s="1758"/>
      <c r="X32" s="1563"/>
      <c r="Y32" s="1758"/>
      <c r="Z32" s="1546"/>
      <c r="AA32" s="1758"/>
      <c r="AB32" s="889">
        <v>4</v>
      </c>
      <c r="AC32" s="452" t="s">
        <v>2007</v>
      </c>
      <c r="AD32" s="300" t="s">
        <v>1514</v>
      </c>
      <c r="AE32" s="5000"/>
      <c r="AF32" s="5000"/>
      <c r="AG32" s="5000"/>
      <c r="AH32" s="5000"/>
      <c r="AI32" s="5000"/>
      <c r="AJ32" s="5000"/>
      <c r="AK32" s="5000"/>
      <c r="AL32" s="5000"/>
      <c r="AM32" s="5000"/>
      <c r="AN32" s="5000"/>
      <c r="AO32" s="5000"/>
      <c r="AP32" s="5000"/>
      <c r="AQ32" s="5000"/>
      <c r="AR32" s="5000"/>
      <c r="AS32" s="5000"/>
      <c r="AT32" s="5000"/>
      <c r="AU32" s="5000"/>
      <c r="AV32" s="5000"/>
      <c r="AW32" s="5000"/>
      <c r="AX32" s="5000"/>
      <c r="AY32" s="5000"/>
      <c r="AZ32" s="5000"/>
      <c r="BA32" s="5000"/>
      <c r="BB32" s="5000"/>
      <c r="BC32" s="2070"/>
      <c r="BD32" s="1758"/>
      <c r="BE32" s="1758"/>
      <c r="BF32" s="1038" t="s">
        <v>2008</v>
      </c>
      <c r="BG32" s="1764"/>
      <c r="BH32" s="1764"/>
      <c r="BI32" s="1757"/>
      <c r="BJ32" s="1757"/>
    </row>
    <row s="1758" customFormat="1" customHeight="1" ht="14.625" hidden="1">
      <c r="A33" s="1758"/>
      <c r="B33" s="838"/>
      <c r="C33" s="426"/>
      <c r="D33" s="426"/>
      <c r="E33" s="619">
        <v>15</v>
      </c>
      <c r="F33" s="50" cm="1" t="str">
        <f t="array" ref="F33:F33">OFFSET(E33,-1,1)</f>
        <v>0</v>
      </c>
      <c r="G33" s="426" t="s">
        <v>335</v>
      </c>
      <c r="H33" s="426"/>
      <c r="I33" s="426"/>
      <c r="J33" s="426"/>
      <c r="K33" s="124" t="str">
        <f>F33&amp;"5komm"</f>
        <v>05komm</v>
      </c>
      <c r="L33" s="919" cm="1" t="str">
        <f t="array" ref="L33:L33">BC33</f>
        <v>0</v>
      </c>
      <c r="M33" s="426"/>
      <c r="N33" s="426"/>
      <c r="O33" s="426"/>
      <c r="P33" s="426"/>
      <c r="Q33" s="426"/>
      <c r="R33" s="426"/>
      <c r="S33" s="426"/>
      <c r="T33" s="465" cm="1" t="str">
        <f t="array" ref="T33:T33">T32</f>
        <v>false</v>
      </c>
      <c r="U33" s="426"/>
      <c r="V33" s="426"/>
      <c r="W33" s="1758"/>
      <c r="X33" s="1563"/>
      <c r="Y33" s="1758"/>
      <c r="Z33" s="1546"/>
      <c r="AA33" s="1758"/>
      <c r="AB33" s="299" t="s">
        <v>443</v>
      </c>
      <c r="AC33" s="452" t="s">
        <v>2009</v>
      </c>
      <c r="AD33" s="300" t="s">
        <v>1514</v>
      </c>
      <c r="AE33" s="4993"/>
      <c r="AF33" s="4993"/>
      <c r="AG33" s="4993"/>
      <c r="AH33" s="4993"/>
      <c r="AI33" s="4993"/>
      <c r="AJ33" s="4993"/>
      <c r="AK33" s="4993"/>
      <c r="AL33" s="4993"/>
      <c r="AM33" s="4993"/>
      <c r="AN33" s="4993"/>
      <c r="AO33" s="4993"/>
      <c r="AP33" s="4993"/>
      <c r="AQ33" s="4993"/>
      <c r="AR33" s="4993"/>
      <c r="AS33" s="4993"/>
      <c r="AT33" s="4993"/>
      <c r="AU33" s="4993"/>
      <c r="AV33" s="4993"/>
      <c r="AW33" s="4993"/>
      <c r="AX33" s="4993"/>
      <c r="AY33" s="4993"/>
      <c r="AZ33" s="4993"/>
      <c r="BA33" s="4993"/>
      <c r="BB33" s="4993"/>
      <c r="BC33" s="2070"/>
      <c r="BD33" s="1758"/>
      <c r="BE33" s="1758"/>
      <c r="BF33" s="997" t="s">
        <v>2010</v>
      </c>
      <c r="BG33" s="997"/>
      <c r="BH33" s="997"/>
      <c r="BI33" s="618"/>
      <c r="BJ33" s="618"/>
    </row>
    <row s="1758" customFormat="1" customHeight="1" ht="14.625" hidden="1">
      <c r="A34" s="1758"/>
      <c r="B34" s="838"/>
      <c r="C34" s="426"/>
      <c r="D34" s="426"/>
      <c r="E34" s="619">
        <v>15</v>
      </c>
      <c r="F34" s="50" cm="1" t="str">
        <f t="array" ref="F34:F34">OFFSET(E34,-1,1)</f>
        <v>0</v>
      </c>
      <c r="G34" s="426" t="s">
        <v>1225</v>
      </c>
      <c r="H34" s="426"/>
      <c r="I34" s="426"/>
      <c r="J34" s="426"/>
      <c r="K34" s="124" t="str">
        <f>F34&amp;"6komm"</f>
        <v>06komm</v>
      </c>
      <c r="L34" s="919" cm="1" t="str">
        <f t="array" ref="L34:L34">BC34</f>
        <v>0</v>
      </c>
      <c r="M34" s="426"/>
      <c r="N34" s="426"/>
      <c r="O34" s="426"/>
      <c r="P34" s="426"/>
      <c r="Q34" s="426"/>
      <c r="R34" s="426"/>
      <c r="S34" s="426"/>
      <c r="T34" s="465" cm="1" t="str">
        <f t="array" ref="T34:T34">T33</f>
        <v>false</v>
      </c>
      <c r="U34" s="426"/>
      <c r="V34" s="426"/>
      <c r="W34" s="1758"/>
      <c r="X34" s="1563"/>
      <c r="Y34" s="1758"/>
      <c r="Z34" s="1546"/>
      <c r="AA34" s="1758"/>
      <c r="AB34" s="299" t="s">
        <v>446</v>
      </c>
      <c r="AC34" s="452" t="s">
        <v>2011</v>
      </c>
      <c r="AD34" s="300" t="s">
        <v>1514</v>
      </c>
      <c r="AE34" s="4993"/>
      <c r="AF34" s="4993"/>
      <c r="AG34" s="4993"/>
      <c r="AH34" s="4993"/>
      <c r="AI34" s="4993"/>
      <c r="AJ34" s="4993"/>
      <c r="AK34" s="4993"/>
      <c r="AL34" s="4993"/>
      <c r="AM34" s="4993"/>
      <c r="AN34" s="4993"/>
      <c r="AO34" s="4993"/>
      <c r="AP34" s="4993"/>
      <c r="AQ34" s="4993"/>
      <c r="AR34" s="4993"/>
      <c r="AS34" s="4993"/>
      <c r="AT34" s="4993"/>
      <c r="AU34" s="4993"/>
      <c r="AV34" s="4993"/>
      <c r="AW34" s="4993"/>
      <c r="AX34" s="4993"/>
      <c r="AY34" s="4993"/>
      <c r="AZ34" s="4993"/>
      <c r="BA34" s="4993"/>
      <c r="BB34" s="4993"/>
      <c r="BC34" s="2070"/>
      <c r="BD34" s="1758"/>
      <c r="BE34" s="1758"/>
      <c r="BF34" s="997" t="s">
        <v>2012</v>
      </c>
      <c r="BG34" s="997"/>
      <c r="BH34" s="997"/>
      <c r="BI34" s="618"/>
      <c r="BJ34" s="618"/>
    </row>
    <row s="1758" customFormat="1" customHeight="1" ht="14.625" hidden="1">
      <c r="A35" s="1758"/>
      <c r="B35" s="838"/>
      <c r="C35" s="426"/>
      <c r="D35" s="426"/>
      <c r="E35" s="619">
        <v>15</v>
      </c>
      <c r="F35" s="50" cm="1" t="str">
        <f t="array" ref="F35:F35">OFFSET(E35,-1,1)</f>
        <v>0</v>
      </c>
      <c r="G35" s="426" t="s">
        <v>1228</v>
      </c>
      <c r="H35" s="426" t="s">
        <v>2013</v>
      </c>
      <c r="I35" s="426"/>
      <c r="J35" s="426"/>
      <c r="K35" s="124" t="str">
        <f>F35&amp;"7komm"</f>
        <v>07komm</v>
      </c>
      <c r="L35" s="919" cm="1" t="str">
        <f t="array" ref="L35:L35">BC35</f>
        <v>0</v>
      </c>
      <c r="M35" s="426"/>
      <c r="N35" s="426"/>
      <c r="O35" s="426"/>
      <c r="P35" s="426"/>
      <c r="Q35" s="426"/>
      <c r="R35" s="426"/>
      <c r="S35" s="426"/>
      <c r="T35" s="465" cm="1" t="str">
        <f t="array" ref="T35:T35">T34</f>
        <v>false</v>
      </c>
      <c r="U35" s="426"/>
      <c r="V35" s="426"/>
      <c r="W35" s="1758"/>
      <c r="X35" s="1563"/>
      <c r="Y35" s="1758"/>
      <c r="Z35" s="1546"/>
      <c r="AA35" s="1758"/>
      <c r="AB35" s="299" t="s">
        <v>449</v>
      </c>
      <c r="AC35" s="452" t="s">
        <v>2014</v>
      </c>
      <c r="AD35" s="300" t="s">
        <v>1514</v>
      </c>
      <c r="AE35" s="4993"/>
      <c r="AF35" s="4993"/>
      <c r="AG35" s="4993"/>
      <c r="AH35" s="4993"/>
      <c r="AI35" s="4993"/>
      <c r="AJ35" s="4993"/>
      <c r="AK35" s="4993"/>
      <c r="AL35" s="4993"/>
      <c r="AM35" s="4993"/>
      <c r="AN35" s="4993"/>
      <c r="AO35" s="4993"/>
      <c r="AP35" s="4993"/>
      <c r="AQ35" s="4993"/>
      <c r="AR35" s="4993"/>
      <c r="AS35" s="4993"/>
      <c r="AT35" s="4993"/>
      <c r="AU35" s="4993"/>
      <c r="AV35" s="4993"/>
      <c r="AW35" s="4993"/>
      <c r="AX35" s="4993"/>
      <c r="AY35" s="4993"/>
      <c r="AZ35" s="4993"/>
      <c r="BA35" s="4993"/>
      <c r="BB35" s="4993"/>
      <c r="BC35" s="2070"/>
      <c r="BD35" s="1758"/>
      <c r="BE35" s="1758"/>
      <c r="BF35" s="997" t="s">
        <v>2015</v>
      </c>
      <c r="BG35" s="997"/>
      <c r="BH35" s="997"/>
      <c r="BI35" s="618"/>
      <c r="BJ35" s="618"/>
    </row>
    <row s="1758" customFormat="1" customHeight="1" ht="21.9375" hidden="1">
      <c r="A36" s="1758"/>
      <c r="B36" s="838"/>
      <c r="C36" s="426"/>
      <c r="D36" s="426"/>
      <c r="E36" s="619">
        <v>22.5</v>
      </c>
      <c r="F36" s="50" cm="1" t="str">
        <f t="array" ref="F36:F36">OFFSET(E36,-1,1)</f>
        <v>0</v>
      </c>
      <c r="G36" s="426" t="s">
        <v>1275</v>
      </c>
      <c r="H36" s="426"/>
      <c r="I36" s="426"/>
      <c r="J36" s="426"/>
      <c r="K36" s="124" t="str">
        <f>F36&amp;"8komm"</f>
        <v>08komm</v>
      </c>
      <c r="L36" s="919" cm="1" t="str">
        <f t="array" ref="L36:L36">BC36</f>
        <v>0</v>
      </c>
      <c r="M36" s="426"/>
      <c r="N36" s="426"/>
      <c r="O36" s="426"/>
      <c r="P36" s="426"/>
      <c r="Q36" s="426"/>
      <c r="R36" s="426"/>
      <c r="S36" s="426"/>
      <c r="T36" s="465" cm="1" t="str">
        <f t="array" ref="T36:T36">T35</f>
        <v>false</v>
      </c>
      <c r="U36" s="426"/>
      <c r="V36" s="426"/>
      <c r="W36" s="1758"/>
      <c r="X36" s="1563"/>
      <c r="Y36" s="1758"/>
      <c r="Z36" s="1546"/>
      <c r="AA36" s="1758"/>
      <c r="AB36" s="299" t="s">
        <v>452</v>
      </c>
      <c r="AC36" s="452" t="s">
        <v>2016</v>
      </c>
      <c r="AD36" s="300" t="s">
        <v>1514</v>
      </c>
      <c r="AE36" s="4993"/>
      <c r="AF36" s="4993"/>
      <c r="AG36" s="4993"/>
      <c r="AH36" s="4993"/>
      <c r="AI36" s="4993"/>
      <c r="AJ36" s="4993"/>
      <c r="AK36" s="4993"/>
      <c r="AL36" s="4993"/>
      <c r="AM36" s="4993"/>
      <c r="AN36" s="4993"/>
      <c r="AO36" s="4993"/>
      <c r="AP36" s="4993"/>
      <c r="AQ36" s="4993"/>
      <c r="AR36" s="4993"/>
      <c r="AS36" s="4993"/>
      <c r="AT36" s="4993"/>
      <c r="AU36" s="4993"/>
      <c r="AV36" s="4993"/>
      <c r="AW36" s="4993"/>
      <c r="AX36" s="4993"/>
      <c r="AY36" s="4993"/>
      <c r="AZ36" s="4993"/>
      <c r="BA36" s="4993"/>
      <c r="BB36" s="4993"/>
      <c r="BC36" s="2070"/>
      <c r="BD36" s="1758"/>
      <c r="BE36" s="1758"/>
      <c r="BF36" s="997" t="s">
        <v>2017</v>
      </c>
      <c r="BG36" s="997"/>
      <c r="BH36" s="997"/>
      <c r="BI36" s="618"/>
      <c r="BJ36" s="618"/>
    </row>
    <row s="1021" customFormat="1" customHeight="1" ht="21.9375" hidden="1">
      <c r="A37" s="1021"/>
      <c r="B37" s="838"/>
      <c r="C37" s="426"/>
      <c r="D37" s="426"/>
      <c r="E37" s="619">
        <v>22.5</v>
      </c>
      <c r="F37" s="50" cm="1" t="str">
        <f t="array" ref="F37:F37">OFFSET(E37,-1,1)</f>
        <v>0</v>
      </c>
      <c r="G37" s="426"/>
      <c r="H37" s="426"/>
      <c r="I37" s="426"/>
      <c r="J37" s="426"/>
      <c r="K37" s="124" t="str">
        <f>F37&amp;"9komm"</f>
        <v>09komm</v>
      </c>
      <c r="L37" s="919" cm="1" t="str">
        <f t="array" ref="L37:L37">BC37</f>
        <v>0</v>
      </c>
      <c r="M37" s="426"/>
      <c r="N37" s="426"/>
      <c r="O37" s="426"/>
      <c r="P37" s="426"/>
      <c r="Q37" s="426"/>
      <c r="R37" s="426"/>
      <c r="S37" s="426"/>
      <c r="T37" s="465" cm="1" t="str">
        <f t="array" ref="T37:T37">T36</f>
        <v>false</v>
      </c>
      <c r="U37" s="426"/>
      <c r="V37" s="426"/>
      <c r="W37" s="1021"/>
      <c r="X37" s="1563"/>
      <c r="Y37" s="1021"/>
      <c r="Z37" s="1546"/>
      <c r="AA37" s="1021"/>
      <c r="AB37" s="299" t="s">
        <v>455</v>
      </c>
      <c r="AC37" s="452" t="s">
        <v>2018</v>
      </c>
      <c r="AD37" s="300" t="s">
        <v>1514</v>
      </c>
      <c r="AE37" s="4725"/>
      <c r="AF37" s="4725"/>
      <c r="AG37" s="4725"/>
      <c r="AH37" s="4725"/>
      <c r="AI37" s="4725"/>
      <c r="AJ37" s="4725"/>
      <c r="AK37" s="4725"/>
      <c r="AL37" s="4725"/>
      <c r="AM37" s="4725"/>
      <c r="AN37" s="4725"/>
      <c r="AO37" s="4725"/>
      <c r="AP37" s="4725"/>
      <c r="AQ37" s="4725"/>
      <c r="AR37" s="4725"/>
      <c r="AS37" s="4725"/>
      <c r="AT37" s="4725"/>
      <c r="AU37" s="4725"/>
      <c r="AV37" s="4725"/>
      <c r="AW37" s="4725"/>
      <c r="AX37" s="4725"/>
      <c r="AY37" s="4725"/>
      <c r="AZ37" s="4725"/>
      <c r="BA37" s="4725"/>
      <c r="BB37" s="4725"/>
      <c r="BC37" s="5001"/>
      <c r="BD37" s="1021"/>
      <c r="BE37" s="1021"/>
      <c r="BF37" s="1005" t="s">
        <v>2019</v>
      </c>
      <c r="BG37" s="1005"/>
      <c r="BH37" s="1005"/>
      <c r="BI37" s="692"/>
      <c r="BJ37" s="692"/>
    </row>
    <row customHeight="1" ht="14.625" hidden="1">
      <c r="A38" s="1758"/>
      <c r="B38" s="891"/>
      <c r="C38" s="887"/>
      <c r="D38" s="887"/>
      <c r="E38" s="888">
        <v>15</v>
      </c>
      <c r="F38" s="50" cm="1" t="str">
        <f t="array" ref="F38:F38">OFFSET(E38,-1,1)</f>
        <v>0</v>
      </c>
      <c r="G38" s="887" t="s">
        <v>1290</v>
      </c>
      <c r="H38" s="923"/>
      <c r="I38" s="887"/>
      <c r="J38" s="887"/>
      <c r="K38" s="124" t="str">
        <f>F38&amp;"10komm"</f>
        <v>010komm</v>
      </c>
      <c r="L38" s="919" cm="1" t="str">
        <f t="array" ref="L38:L38">BC38</f>
        <v>0</v>
      </c>
      <c r="M38" s="887"/>
      <c r="N38" s="887"/>
      <c r="O38" s="887"/>
      <c r="P38" s="887"/>
      <c r="Q38" s="887"/>
      <c r="R38" s="887"/>
      <c r="S38" s="887"/>
      <c r="T38" s="465" cm="1" t="str">
        <f t="array" ref="T38:T38">T37</f>
        <v>false</v>
      </c>
      <c r="U38" s="887"/>
      <c r="V38" s="887"/>
      <c r="W38" s="1758"/>
      <c r="X38" s="1563"/>
      <c r="Y38" s="1758"/>
      <c r="Z38" s="1546"/>
      <c r="AA38" s="1758"/>
      <c r="AB38" s="889">
        <v>10</v>
      </c>
      <c r="AC38" s="452" t="s">
        <v>2020</v>
      </c>
      <c r="AD38" s="300" t="s">
        <v>1514</v>
      </c>
      <c r="AE38" s="235">
        <f>SUM(AE39:AE40)</f>
        <v>0</v>
      </c>
      <c r="AF38" s="235">
        <f>SUM(AF39:AF40)</f>
        <v>0</v>
      </c>
      <c r="AG38" s="235">
        <f>SUM(AG39:AG40)</f>
        <v>0</v>
      </c>
      <c r="AH38" s="235">
        <f>SUM(AH39:AH40)</f>
        <v>0</v>
      </c>
      <c r="AI38" s="235">
        <f>SUM(AI39:AI40)</f>
        <v>0</v>
      </c>
      <c r="AJ38" s="235">
        <f>SUM(AJ39:AJ40)</f>
        <v>0</v>
      </c>
      <c r="AK38" s="235">
        <f>SUM(AK39:AK40)</f>
        <v>0</v>
      </c>
      <c r="AL38" s="235">
        <f>SUM(AL39:AL40)</f>
        <v>0</v>
      </c>
      <c r="AM38" s="235">
        <f>SUM(AM39:AM40)</f>
        <v>0</v>
      </c>
      <c r="AN38" s="235">
        <f>SUM(AN39:AN40)</f>
        <v>0</v>
      </c>
      <c r="AO38" s="235">
        <f>SUM(AO39:AO40)</f>
        <v>0</v>
      </c>
      <c r="AP38" s="235">
        <f>SUM(AP39:AP40)</f>
        <v>0</v>
      </c>
      <c r="AQ38" s="235">
        <f>SUM(AQ39:AQ40)</f>
        <v>0</v>
      </c>
      <c r="AR38" s="235">
        <f>SUM(AR39:AR40)</f>
        <v>0</v>
      </c>
      <c r="AS38" s="235">
        <f>SUM(AS39:AS40)</f>
        <v>0</v>
      </c>
      <c r="AT38" s="235">
        <f>SUM(AT39:AT40)</f>
        <v>0</v>
      </c>
      <c r="AU38" s="235">
        <f>SUM(AU39:AU40)</f>
        <v>0</v>
      </c>
      <c r="AV38" s="235">
        <f>SUM(AV39:AV40)</f>
        <v>0</v>
      </c>
      <c r="AW38" s="235">
        <f>SUM(AW39:AW40)</f>
        <v>0</v>
      </c>
      <c r="AX38" s="235">
        <f>SUM(AX39:AX40)</f>
        <v>0</v>
      </c>
      <c r="AY38" s="235">
        <f>SUM(AY39:AY40)</f>
        <v>0</v>
      </c>
      <c r="AZ38" s="235">
        <f>SUM(AZ39:AZ40)</f>
        <v>0</v>
      </c>
      <c r="BA38" s="235">
        <f>SUM(BA39:BA40)</f>
        <v>0</v>
      </c>
      <c r="BB38" s="235">
        <f>SUM(BB39:BB40)</f>
        <v>0</v>
      </c>
      <c r="BC38" s="2070"/>
      <c r="BD38" s="1758"/>
      <c r="BE38" s="1758"/>
      <c r="BF38" s="1038" t="s">
        <v>2021</v>
      </c>
      <c r="BG38" s="1764"/>
      <c r="BH38" s="1764"/>
      <c r="BI38" s="1757"/>
      <c r="BJ38" s="1757"/>
    </row>
    <row customHeight="1" ht="14.625" hidden="1">
      <c r="A39" s="122"/>
      <c r="B39" s="838"/>
      <c r="C39" s="426"/>
      <c r="D39" s="426"/>
      <c r="E39" s="619">
        <v>15</v>
      </c>
      <c r="F39" s="50" cm="1" t="str">
        <f t="array" ref="F39:F39">OFFSET(E39,-1,1)</f>
        <v>0</v>
      </c>
      <c r="G39" s="426" t="s">
        <v>1290</v>
      </c>
      <c r="H39" s="923"/>
      <c r="I39" s="1079" cm="1" t="str">
        <f t="array" ref="I39:I39">AC39</f>
        <v>0</v>
      </c>
      <c r="J39" s="426"/>
      <c r="K39" s="426"/>
      <c r="L39" s="426"/>
      <c r="M39" s="426"/>
      <c r="N39" s="426"/>
      <c r="O39" s="426"/>
      <c r="P39" s="426"/>
      <c r="Q39" s="426"/>
      <c r="R39" s="426"/>
      <c r="S39" s="426"/>
      <c r="T39" s="465">
        <f>AND(F39&gt;0,Y39&gt;0)</f>
        <v>0</v>
      </c>
      <c r="U39" s="426"/>
      <c r="V39" s="426"/>
      <c r="W39" s="757" t="s">
        <v>174</v>
      </c>
      <c r="X39" s="1563"/>
      <c r="Y39" s="122">
        <v>0</v>
      </c>
      <c r="Z39" s="1546"/>
      <c r="AA39" s="420" t="s">
        <v>175</v>
      </c>
      <c r="AB39" s="690" t="str">
        <f>"10."&amp;Y39</f>
        <v>10.0</v>
      </c>
      <c r="AC39" s="5004"/>
      <c r="AD39" s="300" t="s">
        <v>1514</v>
      </c>
      <c r="AE39" s="4993"/>
      <c r="AF39" s="4993"/>
      <c r="AG39" s="4993"/>
      <c r="AH39" s="4993"/>
      <c r="AI39" s="4993"/>
      <c r="AJ39" s="4993"/>
      <c r="AK39" s="4993"/>
      <c r="AL39" s="4993"/>
      <c r="AM39" s="4993"/>
      <c r="AN39" s="4993"/>
      <c r="AO39" s="4993"/>
      <c r="AP39" s="4993"/>
      <c r="AQ39" s="4993"/>
      <c r="AR39" s="4993"/>
      <c r="AS39" s="4993"/>
      <c r="AT39" s="4993"/>
      <c r="AU39" s="4993"/>
      <c r="AV39" s="4993"/>
      <c r="AW39" s="4993"/>
      <c r="AX39" s="4993"/>
      <c r="AY39" s="4993"/>
      <c r="AZ39" s="4993"/>
      <c r="BA39" s="4993"/>
      <c r="BB39" s="4993"/>
      <c r="BC39" s="2070"/>
      <c r="BD39" s="122"/>
      <c r="BE39" s="1758"/>
      <c r="BF39" s="1038" t="s">
        <v>2021</v>
      </c>
      <c r="BG39" s="1038" t="s">
        <v>2022</v>
      </c>
      <c r="BH39" s="1050" cm="1" t="str">
        <f t="array" ref="BH39:BH39">AC39</f>
        <v>0</v>
      </c>
      <c r="BI39" s="1757"/>
      <c r="BJ39" s="676" t="b">
        <v>1</v>
      </c>
    </row>
    <row s="1758" customFormat="1" customHeight="1" ht="14.625" hidden="1">
      <c r="A40" s="1758"/>
      <c r="B40" s="838"/>
      <c r="C40" s="426"/>
      <c r="D40" s="426"/>
      <c r="E40" s="619">
        <v>15</v>
      </c>
      <c r="F40" s="50" cm="1" t="str">
        <f t="array" ref="F40:F40">OFFSET(E40,-1,1)</f>
        <v>0</v>
      </c>
      <c r="G40" s="426"/>
      <c r="H40" s="1758"/>
      <c r="I40" s="426" t="str">
        <f>"!=='не определено'"</f>
        <v>!=='не определено'</v>
      </c>
      <c r="J40" s="426"/>
      <c r="K40" s="426"/>
      <c r="L40" s="426"/>
      <c r="M40" s="426"/>
      <c r="N40" s="426"/>
      <c r="O40" s="426"/>
      <c r="P40" s="426"/>
      <c r="Q40" s="426"/>
      <c r="R40" s="426"/>
      <c r="S40" s="426"/>
      <c r="T40" s="465">
        <f>F40&gt;0</f>
        <v>0</v>
      </c>
      <c r="U40" s="426"/>
      <c r="V40" s="426"/>
      <c r="W40" s="757" t="s">
        <v>399</v>
      </c>
      <c r="X40" s="1563"/>
      <c r="Y40" s="1758"/>
      <c r="Z40" s="1546"/>
      <c r="AA40" s="1758"/>
      <c r="AB40" s="775"/>
      <c r="AC40" s="260" t="s">
        <v>178</v>
      </c>
      <c r="AD40" s="776"/>
      <c r="AE40" s="232"/>
      <c r="AF40" s="232"/>
      <c r="AG40" s="232"/>
      <c r="AH40" s="232"/>
      <c r="AI40" s="232"/>
      <c r="AJ40" s="232"/>
      <c r="AK40" s="232"/>
      <c r="AL40" s="232"/>
      <c r="AM40" s="232"/>
      <c r="AN40" s="232"/>
      <c r="AO40" s="232"/>
      <c r="AP40" s="232"/>
      <c r="AQ40" s="232"/>
      <c r="AR40" s="232"/>
      <c r="AS40" s="232"/>
      <c r="AT40" s="232"/>
      <c r="AU40" s="232"/>
      <c r="AV40" s="232"/>
      <c r="AW40" s="232"/>
      <c r="AX40" s="232"/>
      <c r="AY40" s="232"/>
      <c r="AZ40" s="232"/>
      <c r="BA40" s="232"/>
      <c r="BB40" s="232"/>
      <c r="BC40" s="233"/>
      <c r="BD40" s="1758"/>
      <c r="BE40" s="1758"/>
      <c r="BF40" s="997"/>
      <c r="BG40" s="997"/>
      <c r="BH40" s="997"/>
      <c r="BI40" s="618" t="s">
        <v>2022</v>
      </c>
      <c r="BJ40" s="618"/>
    </row>
    <row s="538" customFormat="1" customHeight="1" ht="14.25">
      <c r="A41" s="1758"/>
      <c r="B41" s="428"/>
      <c r="C41" s="1758"/>
      <c r="D41" s="1758"/>
      <c r="E41" s="618">
        <v>15</v>
      </c>
      <c r="F41" s="98" cm="1" t="str">
        <f t="array" ref="F41:F41">X41</f>
        <v>1</v>
      </c>
      <c r="G41" s="1758"/>
      <c r="H41" s="1758"/>
      <c r="I41" s="1758"/>
      <c r="J41" s="1758"/>
      <c r="K41" s="1758"/>
      <c r="L41" s="1758"/>
      <c r="M41" s="1758"/>
      <c r="N41" s="1758"/>
      <c r="O41" s="1758"/>
      <c r="P41" s="1758"/>
      <c r="Q41" s="1758"/>
      <c r="R41" s="1758"/>
      <c r="S41" s="1758"/>
      <c r="T41" s="465">
        <f>X41&gt;0</f>
        <v>1</v>
      </c>
      <c r="U41" s="1758"/>
      <c r="V41" s="122" cm="1" t="str">
        <f t="array" ref="V41:V41">'Сбытовые расходы ГО'!$AB$39</f>
        <v>Тариф 1 (Водоснабжение) - тариф на питьевую воду (Доп. признак не требуется)</v>
      </c>
      <c r="W41" s="1758"/>
      <c r="X41" s="1563" t="s">
        <v>276</v>
      </c>
      <c r="Y41" s="1758"/>
      <c r="Z41" s="1546"/>
      <c r="AA41" s="1758"/>
      <c r="AB41" s="222" cm="1" t="str">
        <f t="array" ref="AB41:AB41">'Сбытовые расходы ГО'!$AB$39</f>
        <v>Тариф 1 (Водоснабжение) - тариф на питьевую воду (Доп. признак не требуется)</v>
      </c>
      <c r="AC41" s="180"/>
      <c r="AD41" s="180"/>
      <c r="AE41" s="180"/>
      <c r="AF41" s="180"/>
      <c r="AG41" s="180"/>
      <c r="AH41" s="180"/>
      <c r="AI41" s="180"/>
      <c r="AJ41" s="180"/>
      <c r="AK41" s="180"/>
      <c r="AL41" s="180"/>
      <c r="AM41" s="180"/>
      <c r="AN41" s="180"/>
      <c r="AO41" s="180"/>
      <c r="AP41" s="180"/>
      <c r="AQ41" s="180"/>
      <c r="AR41" s="180"/>
      <c r="AS41" s="180"/>
      <c r="AT41" s="180"/>
      <c r="AU41" s="180"/>
      <c r="AV41" s="180"/>
      <c r="AW41" s="180"/>
      <c r="AX41" s="180"/>
      <c r="AY41" s="180"/>
      <c r="AZ41" s="180"/>
      <c r="BA41" s="180"/>
      <c r="BB41" s="180"/>
      <c r="BC41" s="180"/>
      <c r="BD41" s="1758"/>
      <c r="BE41" s="1758"/>
      <c r="BF41" s="997"/>
      <c r="BG41" s="997"/>
      <c r="BH41" s="997"/>
      <c r="BI41" s="618"/>
      <c r="BJ41" s="618"/>
    </row>
    <row s="538" customFormat="1" customHeight="1" ht="21.75">
      <c r="A42" s="1758"/>
      <c r="B42" s="428"/>
      <c r="C42" s="1758"/>
      <c r="D42" s="1758"/>
      <c r="E42" s="618">
        <v>22.5</v>
      </c>
      <c r="F42" s="50" cm="1" t="str">
        <f t="array" ref="F42:F42">OFFSET(E42,-1,1)</f>
        <v>1</v>
      </c>
      <c r="G42" s="122" t="s">
        <v>1979</v>
      </c>
      <c r="H42" s="1758"/>
      <c r="I42" s="1758"/>
      <c r="J42" s="1758"/>
      <c r="K42" s="124" t="str">
        <f>F42&amp;"komm"</f>
        <v>1komm</v>
      </c>
      <c r="L42" s="919" cm="1" t="str">
        <f t="array" ref="L42:L42">BC42</f>
        <v>В соответствии с п.п. 2 п. 49 Методических указаний 1746-э.</v>
      </c>
      <c r="M42" s="1758"/>
      <c r="N42" s="1758"/>
      <c r="O42" s="1758"/>
      <c r="P42" s="1758"/>
      <c r="Q42" s="1758"/>
      <c r="R42" s="1758"/>
      <c r="S42" s="1758"/>
      <c r="T42" s="465" cm="1" t="str">
        <f t="array" ref="T42:T42">T41</f>
        <v>true</v>
      </c>
      <c r="U42" s="1758"/>
      <c r="V42" s="1758"/>
      <c r="W42" s="1758"/>
      <c r="X42" s="1563"/>
      <c r="Y42" s="1758"/>
      <c r="Z42" s="1546"/>
      <c r="AA42" s="1758"/>
      <c r="AB42" s="234">
        <v>0</v>
      </c>
      <c r="AC42" s="219" t="s">
        <v>1998</v>
      </c>
      <c r="AD42" s="211" t="s">
        <v>1514</v>
      </c>
      <c r="AE42" s="227">
        <f>SUM(AE43:AE52)</f>
        <v>0</v>
      </c>
      <c r="AF42" s="227">
        <f>SUM(AF43:AF52)</f>
        <v>0</v>
      </c>
      <c r="AG42" s="227">
        <f>SUM(AG43:AG52)</f>
        <v>0</v>
      </c>
      <c r="AH42" s="227">
        <f>SUM(AH43:AH52)</f>
        <v>0</v>
      </c>
      <c r="AI42" s="227">
        <f>SUM(AI43:AI52)</f>
        <v>7188.48157904</v>
      </c>
      <c r="AJ42" s="227">
        <f>SUM(AJ43:AJ52)</f>
        <v>7417.9322422016</v>
      </c>
      <c r="AK42" s="227">
        <f>SUM(AK43:AK52)</f>
        <v>7677.34445188966</v>
      </c>
      <c r="AL42" s="227">
        <f>SUM(AL43:AL52)</f>
        <v>8418.53306996525</v>
      </c>
      <c r="AM42" s="227">
        <f>SUM(AM43:AM52)</f>
        <v>8616.66555276385</v>
      </c>
      <c r="AN42" s="227">
        <f>SUM(AN43:AN52)</f>
        <v>0</v>
      </c>
      <c r="AO42" s="227">
        <f>SUM(AO43:AO52)</f>
        <v>0</v>
      </c>
      <c r="AP42" s="227">
        <f>SUM(AP43:AP52)</f>
        <v>0</v>
      </c>
      <c r="AQ42" s="227">
        <f>SUM(AQ43:AQ52)</f>
        <v>0</v>
      </c>
      <c r="AR42" s="227">
        <f>SUM(AR43:AR52)</f>
        <v>0</v>
      </c>
      <c r="AS42" s="227">
        <f>SUM(AS43:AS52)</f>
        <v>7188.48157904</v>
      </c>
      <c r="AT42" s="227">
        <f>SUM(AT43:AT52)</f>
        <v>7417.9322422016</v>
      </c>
      <c r="AU42" s="227">
        <f>SUM(AU43:AU52)</f>
        <v>7677.34445188966</v>
      </c>
      <c r="AV42" s="227">
        <f>SUM(AV43:AV52)</f>
        <v>8418.53306996525</v>
      </c>
      <c r="AW42" s="227">
        <f>SUM(AW43:AW52)</f>
        <v>8616.66555276385</v>
      </c>
      <c r="AX42" s="227">
        <f>SUM(AX43:AX52)</f>
        <v>0</v>
      </c>
      <c r="AY42" s="227">
        <f>SUM(AY43:AY52)</f>
        <v>0</v>
      </c>
      <c r="AZ42" s="227">
        <f>SUM(AZ43:AZ52)</f>
        <v>0</v>
      </c>
      <c r="BA42" s="227">
        <f>SUM(BA43:BA52)</f>
        <v>0</v>
      </c>
      <c r="BB42" s="227">
        <f>SUM(BB43:BB52)</f>
        <v>0</v>
      </c>
      <c r="BC42" s="200" t="s">
        <v>2023</v>
      </c>
      <c r="BD42" s="1758"/>
      <c r="BE42" s="1758"/>
      <c r="BF42" s="997" t="s">
        <v>1999</v>
      </c>
      <c r="BG42" s="997"/>
      <c r="BH42" s="997"/>
      <c r="BI42" s="618"/>
      <c r="BJ42" s="618"/>
    </row>
    <row s="538" customFormat="1" customHeight="1" ht="14.25">
      <c r="A43" s="1758"/>
      <c r="B43" s="428"/>
      <c r="C43" s="1758"/>
      <c r="D43" s="1758"/>
      <c r="E43" s="618">
        <v>15</v>
      </c>
      <c r="F43" s="50" cm="1" t="str">
        <f t="array" ref="F43:F43">OFFSET(E43,-1,1)</f>
        <v>1</v>
      </c>
      <c r="G43" s="122" t="s">
        <v>332</v>
      </c>
      <c r="H43" s="1758"/>
      <c r="I43" s="1758"/>
      <c r="J43" s="1758"/>
      <c r="K43" s="124" t="str">
        <f>F43&amp;"1komm"</f>
        <v>11komm</v>
      </c>
      <c r="L43" s="919" cm="1" t="str">
        <f t="array" ref="L43:L43">BC43</f>
        <v>по предложению организации.</v>
      </c>
      <c r="M43" s="1758"/>
      <c r="N43" s="1758"/>
      <c r="O43" s="1758"/>
      <c r="P43" s="1758"/>
      <c r="Q43" s="1758"/>
      <c r="R43" s="1758"/>
      <c r="S43" s="1758"/>
      <c r="T43" s="465" cm="1" t="str">
        <f t="array" ref="T43:T43">T42</f>
        <v>true</v>
      </c>
      <c r="U43" s="1758"/>
      <c r="V43" s="1758"/>
      <c r="W43" s="1758"/>
      <c r="X43" s="1563"/>
      <c r="Y43" s="1758"/>
      <c r="Z43" s="1546"/>
      <c r="AA43" s="1758"/>
      <c r="AB43" s="299" t="s">
        <v>276</v>
      </c>
      <c r="AC43" s="452" t="s">
        <v>2000</v>
      </c>
      <c r="AD43" s="300" t="s">
        <v>1514</v>
      </c>
      <c r="AE43" s="228"/>
      <c r="AF43" s="229"/>
      <c r="AG43" s="229"/>
      <c r="AH43" s="229"/>
      <c r="AI43" s="229">
        <v>6.866</v>
      </c>
      <c r="AJ43" s="229">
        <v>6.866</v>
      </c>
      <c r="AK43" s="229">
        <v>6.866</v>
      </c>
      <c r="AL43" s="229">
        <v>6.866</v>
      </c>
      <c r="AM43" s="229">
        <v>6.866</v>
      </c>
      <c r="AN43" s="4934"/>
      <c r="AO43" s="4934"/>
      <c r="AP43" s="4934"/>
      <c r="AQ43" s="4934"/>
      <c r="AR43" s="4934"/>
      <c r="AS43" s="229">
        <v>6.866</v>
      </c>
      <c r="AT43" s="229" cm="1" t="str">
        <f t="array" ref="AT43:AT43">AS43</f>
        <v>6.866</v>
      </c>
      <c r="AU43" s="229" cm="1" t="str">
        <f t="array" ref="AU43:AU43">AT43</f>
        <v>6.866</v>
      </c>
      <c r="AV43" s="229" cm="1" t="str">
        <f t="array" ref="AV43:AV43">AU43</f>
        <v>6.866</v>
      </c>
      <c r="AW43" s="229" cm="1" t="str">
        <f t="array" ref="AW43:AW43">AV43</f>
        <v>6.866</v>
      </c>
      <c r="AX43" s="4934"/>
      <c r="AY43" s="4934"/>
      <c r="AZ43" s="4934"/>
      <c r="BA43" s="4934"/>
      <c r="BB43" s="4934"/>
      <c r="BC43" s="200" t="s">
        <v>1564</v>
      </c>
      <c r="BD43" s="1758"/>
      <c r="BE43" s="1758"/>
      <c r="BF43" s="997" t="s">
        <v>2001</v>
      </c>
      <c r="BG43" s="997"/>
      <c r="BH43" s="997"/>
      <c r="BI43" s="618"/>
      <c r="BJ43" s="618"/>
    </row>
    <row s="538" customFormat="1" customHeight="1" ht="0">
      <c r="A44" s="1758"/>
      <c r="B44" s="838"/>
      <c r="C44" s="426"/>
      <c r="D44" s="426"/>
      <c r="E44" s="619">
        <v>22.5</v>
      </c>
      <c r="F44" s="50" cm="1" t="str">
        <f t="array" ref="F44:F44">OFFSET(E44,-1,1)</f>
        <v>1</v>
      </c>
      <c r="G44" s="426" t="s">
        <v>333</v>
      </c>
      <c r="H44" s="426"/>
      <c r="I44" s="426"/>
      <c r="J44" s="426"/>
      <c r="K44" s="124" t="str">
        <f>F44&amp;"2komm"</f>
        <v>12komm</v>
      </c>
      <c r="L44" s="919" cm="1" t="str">
        <f t="array" ref="L44:L44">BC44</f>
        <v>0</v>
      </c>
      <c r="M44" s="426"/>
      <c r="N44" s="426"/>
      <c r="O44" s="426"/>
      <c r="P44" s="426"/>
      <c r="Q44" s="426"/>
      <c r="R44" s="426"/>
      <c r="S44" s="426"/>
      <c r="T44" s="465" cm="1" t="str">
        <f t="array" ref="T44:T44">T43</f>
        <v>true</v>
      </c>
      <c r="U44" s="426"/>
      <c r="V44" s="426"/>
      <c r="W44" s="1758"/>
      <c r="X44" s="1563"/>
      <c r="Y44" s="1758"/>
      <c r="Z44" s="1546"/>
      <c r="AA44" s="1758"/>
      <c r="AB44" s="299" t="s">
        <v>285</v>
      </c>
      <c r="AC44" s="452" t="s">
        <v>2002</v>
      </c>
      <c r="AD44" s="300" t="s">
        <v>1514</v>
      </c>
      <c r="AE44" s="228"/>
      <c r="AF44" s="229"/>
      <c r="AG44" s="229"/>
      <c r="AH44" s="229"/>
      <c r="AI44" s="229"/>
      <c r="AJ44" s="229"/>
      <c r="AK44" s="229"/>
      <c r="AL44" s="229"/>
      <c r="AM44" s="229"/>
      <c r="AN44" s="4934"/>
      <c r="AO44" s="4934"/>
      <c r="AP44" s="4934"/>
      <c r="AQ44" s="4934"/>
      <c r="AR44" s="4934"/>
      <c r="AS44" s="229"/>
      <c r="AT44" s="229"/>
      <c r="AU44" s="229"/>
      <c r="AV44" s="229"/>
      <c r="AW44" s="229"/>
      <c r="AX44" s="4934"/>
      <c r="AY44" s="4934"/>
      <c r="AZ44" s="4934"/>
      <c r="BA44" s="4934"/>
      <c r="BB44" s="4934"/>
      <c r="BC44" s="200"/>
      <c r="BD44" s="1758"/>
      <c r="BE44" s="1758"/>
      <c r="BF44" s="997" t="s">
        <v>2003</v>
      </c>
      <c r="BG44" s="997"/>
      <c r="BH44" s="997"/>
      <c r="BI44" s="618"/>
      <c r="BJ44" s="618"/>
    </row>
    <row s="538" customFormat="1" customHeight="1" ht="54.75">
      <c r="A45" s="1758"/>
      <c r="B45" s="838"/>
      <c r="C45" s="426"/>
      <c r="D45" s="426"/>
      <c r="E45" s="619">
        <v>22.5</v>
      </c>
      <c r="F45" s="50" cm="1" t="str">
        <f t="array" ref="F45:F45">OFFSET(E45,-1,1)</f>
        <v>1</v>
      </c>
      <c r="G45" s="426" t="s">
        <v>334</v>
      </c>
      <c r="H45" s="426" t="s">
        <v>2004</v>
      </c>
      <c r="I45" s="426"/>
      <c r="J45" s="426"/>
      <c r="K45" s="124" t="str">
        <f>F45&amp;"3komm"</f>
        <v>13komm</v>
      </c>
      <c r="L45" s="919" cm="1" t="str">
        <f t="array" ref="L45:L45">BC45</f>
        <v>рассчитано от факта с июня по декабрь 2024 года предыдущей организации, в пересчете на годовые показатели, с применением ИПЦ Минэкономразвития России на 2025 год 109,0%, на 2026 год 105,1%., на 2027-2030 гг. 104,0%.</v>
      </c>
      <c r="M45" s="426"/>
      <c r="N45" s="426"/>
      <c r="O45" s="426"/>
      <c r="P45" s="426"/>
      <c r="Q45" s="426"/>
      <c r="R45" s="426"/>
      <c r="S45" s="426"/>
      <c r="T45" s="465" cm="1" t="str">
        <f t="array" ref="T45:T45">T44</f>
        <v>true</v>
      </c>
      <c r="U45" s="426"/>
      <c r="V45" s="426"/>
      <c r="W45" s="1758"/>
      <c r="X45" s="1563"/>
      <c r="Y45" s="1758"/>
      <c r="Z45" s="1546"/>
      <c r="AA45" s="1758"/>
      <c r="AB45" s="299" t="s">
        <v>289</v>
      </c>
      <c r="AC45" s="452" t="s">
        <v>2005</v>
      </c>
      <c r="AD45" s="300" t="s">
        <v>1514</v>
      </c>
      <c r="AE45" s="228"/>
      <c r="AF45" s="229"/>
      <c r="AG45" s="229"/>
      <c r="AH45" s="229"/>
      <c r="AI45" s="229">
        <v>16.67520804</v>
      </c>
      <c r="AJ45" s="229">
        <v>17.3422163616</v>
      </c>
      <c r="AK45" s="229">
        <v>18.035905016064</v>
      </c>
      <c r="AL45" s="229">
        <v>18.7573412167066</v>
      </c>
      <c r="AM45" s="229">
        <v>19.5076348653749</v>
      </c>
      <c r="AN45" s="4934"/>
      <c r="AO45" s="4934"/>
      <c r="AP45" s="4934"/>
      <c r="AQ45" s="4934"/>
      <c r="AR45" s="4934"/>
      <c r="AS45" s="229">
        <v>16.67520804</v>
      </c>
      <c r="AT45" s="229">
        <f>AS45*1.04</f>
        <v>17.3422163616</v>
      </c>
      <c r="AU45" s="229">
        <f>AT45*1.04</f>
        <v>18.035905016064</v>
      </c>
      <c r="AV45" s="229">
        <f>AU45*1.04</f>
        <v>18.7573412167066</v>
      </c>
      <c r="AW45" s="229">
        <f>AV45*1.04</f>
        <v>19.5076348653749</v>
      </c>
      <c r="AX45" s="4934"/>
      <c r="AY45" s="4934"/>
      <c r="AZ45" s="4934"/>
      <c r="BA45" s="4934"/>
      <c r="BB45" s="4934"/>
      <c r="BC45" s="200" t="s">
        <v>2024</v>
      </c>
      <c r="BD45" s="1758"/>
      <c r="BE45" s="1758"/>
      <c r="BF45" s="997" t="s">
        <v>2006</v>
      </c>
      <c r="BG45" s="997"/>
      <c r="BH45" s="997"/>
      <c r="BI45" s="618"/>
      <c r="BJ45" s="618"/>
    </row>
    <row s="1834" customFormat="1" customHeight="1" ht="33.75">
      <c r="A46" s="1758"/>
      <c r="B46" s="891"/>
      <c r="C46" s="887"/>
      <c r="D46" s="887"/>
      <c r="E46" s="888">
        <v>15</v>
      </c>
      <c r="F46" s="50" cm="1" t="str">
        <f t="array" ref="F46:F46">OFFSET(E46,-1,1)</f>
        <v>1</v>
      </c>
      <c r="G46" s="887" t="s">
        <v>336</v>
      </c>
      <c r="H46" s="887"/>
      <c r="I46" s="887"/>
      <c r="J46" s="887"/>
      <c r="K46" s="124" t="str">
        <f>F46&amp;"4komm"</f>
        <v>14komm</v>
      </c>
      <c r="L46" s="919" cm="1" t="str">
        <f t="array" ref="L46:L46">BC46</f>
        <v>рассчитано исходя из плановых объемов, с учетом ставок в соответствии со ст. 333.12 Налогового кодекса РФ от 05.08.2000 № 117-ФЗ.</v>
      </c>
      <c r="M46" s="887"/>
      <c r="N46" s="887"/>
      <c r="O46" s="887"/>
      <c r="P46" s="887"/>
      <c r="Q46" s="887"/>
      <c r="R46" s="887"/>
      <c r="S46" s="887"/>
      <c r="T46" s="465" cm="1" t="str">
        <f t="array" ref="T46:T46">T45</f>
        <v>true</v>
      </c>
      <c r="U46" s="887"/>
      <c r="V46" s="887"/>
      <c r="W46" s="1758"/>
      <c r="X46" s="1563"/>
      <c r="Y46" s="1758"/>
      <c r="Z46" s="1546"/>
      <c r="AA46" s="1758"/>
      <c r="AB46" s="889">
        <v>4</v>
      </c>
      <c r="AC46" s="452" t="s">
        <v>2007</v>
      </c>
      <c r="AD46" s="300" t="s">
        <v>1514</v>
      </c>
      <c r="AE46" s="230"/>
      <c r="AF46" s="230"/>
      <c r="AG46" s="230"/>
      <c r="AH46" s="230"/>
      <c r="AI46" s="230">
        <v>725.01</v>
      </c>
      <c r="AJ46" s="230">
        <v>754.0104</v>
      </c>
      <c r="AK46" s="230">
        <v>784.170816</v>
      </c>
      <c r="AL46" s="230">
        <v>815.53764864</v>
      </c>
      <c r="AM46" s="230">
        <v>848.1591545856</v>
      </c>
      <c r="AN46" s="5000"/>
      <c r="AO46" s="5000"/>
      <c r="AP46" s="5000"/>
      <c r="AQ46" s="5000"/>
      <c r="AR46" s="5000"/>
      <c r="AS46" s="230">
        <v>725.01</v>
      </c>
      <c r="AT46" s="230">
        <f>AS46*1.04</f>
        <v>754.0104</v>
      </c>
      <c r="AU46" s="230">
        <f>AT46*1.04</f>
        <v>784.170816</v>
      </c>
      <c r="AV46" s="230">
        <f>AU46*1.04</f>
        <v>815.53764864</v>
      </c>
      <c r="AW46" s="230">
        <f>AV46*1.04</f>
        <v>848.1591545856</v>
      </c>
      <c r="AX46" s="5000"/>
      <c r="AY46" s="5000"/>
      <c r="AZ46" s="5000"/>
      <c r="BA46" s="5000"/>
      <c r="BB46" s="5000"/>
      <c r="BC46" s="200" t="s">
        <v>2025</v>
      </c>
      <c r="BD46" s="1758"/>
      <c r="BE46" s="1758"/>
      <c r="BF46" s="1038" t="s">
        <v>2008</v>
      </c>
      <c r="BG46" s="1764"/>
      <c r="BH46" s="1764"/>
      <c r="BI46" s="1757"/>
      <c r="BJ46" s="1757"/>
    </row>
    <row s="538" customFormat="1" customHeight="1" ht="33.75">
      <c r="A47" s="1758"/>
      <c r="B47" s="838"/>
      <c r="C47" s="426"/>
      <c r="D47" s="426"/>
      <c r="E47" s="619">
        <v>15</v>
      </c>
      <c r="F47" s="50" cm="1" t="str">
        <f t="array" ref="F47:F47">OFFSET(E47,-1,1)</f>
        <v>1</v>
      </c>
      <c r="G47" s="426" t="s">
        <v>335</v>
      </c>
      <c r="H47" s="426"/>
      <c r="I47" s="426"/>
      <c r="J47" s="426"/>
      <c r="K47" s="124" t="str">
        <f>F47&amp;"5komm"</f>
        <v>15komm</v>
      </c>
      <c r="L47" s="919" cm="1" t="str">
        <f t="array" ref="L47:L47">BC47</f>
        <v>рассчитано исходя из плановых объемов, с учетом ставок договора водопользования.</v>
      </c>
      <c r="M47" s="426"/>
      <c r="N47" s="426"/>
      <c r="O47" s="426"/>
      <c r="P47" s="426"/>
      <c r="Q47" s="426"/>
      <c r="R47" s="426"/>
      <c r="S47" s="426"/>
      <c r="T47" s="465" cm="1" t="str">
        <f t="array" ref="T47:T47">T46</f>
        <v>true</v>
      </c>
      <c r="U47" s="426"/>
      <c r="V47" s="426"/>
      <c r="W47" s="1758"/>
      <c r="X47" s="1563"/>
      <c r="Y47" s="1758"/>
      <c r="Z47" s="1546"/>
      <c r="AA47" s="1758"/>
      <c r="AB47" s="299" t="s">
        <v>443</v>
      </c>
      <c r="AC47" s="452" t="s">
        <v>2009</v>
      </c>
      <c r="AD47" s="300" t="s">
        <v>1514</v>
      </c>
      <c r="AE47" s="228"/>
      <c r="AF47" s="228"/>
      <c r="AG47" s="228"/>
      <c r="AH47" s="228"/>
      <c r="AI47" s="228">
        <v>5935.843871</v>
      </c>
      <c r="AJ47" s="228">
        <v>6173.27762584</v>
      </c>
      <c r="AK47" s="228">
        <v>6420.2087308736</v>
      </c>
      <c r="AL47" s="228">
        <v>6677.01708010854</v>
      </c>
      <c r="AM47" s="228">
        <v>6944.09776331288</v>
      </c>
      <c r="AN47" s="4993"/>
      <c r="AO47" s="4993"/>
      <c r="AP47" s="4993"/>
      <c r="AQ47" s="4993"/>
      <c r="AR47" s="4993"/>
      <c r="AS47" s="228">
        <v>5935.843871</v>
      </c>
      <c r="AT47" s="228">
        <f>AS47*1.04</f>
        <v>6173.27762584</v>
      </c>
      <c r="AU47" s="228">
        <f>AT47*1.04</f>
        <v>6420.2087308736</v>
      </c>
      <c r="AV47" s="228">
        <f>AU47*1.04</f>
        <v>6677.01708010854</v>
      </c>
      <c r="AW47" s="228">
        <f>AV47*1.04</f>
        <v>6944.09776331288</v>
      </c>
      <c r="AX47" s="4993"/>
      <c r="AY47" s="4993"/>
      <c r="AZ47" s="4993"/>
      <c r="BA47" s="4993"/>
      <c r="BB47" s="4993"/>
      <c r="BC47" s="200" t="s">
        <v>2026</v>
      </c>
      <c r="BD47" s="1758"/>
      <c r="BE47" s="1758"/>
      <c r="BF47" s="997" t="s">
        <v>2010</v>
      </c>
      <c r="BG47" s="997"/>
      <c r="BH47" s="997"/>
      <c r="BI47" s="618"/>
      <c r="BJ47" s="618"/>
    </row>
    <row s="538" customFormat="1" customHeight="1" ht="96.75">
      <c r="A48" s="1758"/>
      <c r="B48" s="838"/>
      <c r="C48" s="426"/>
      <c r="D48" s="426"/>
      <c r="E48" s="619">
        <v>15</v>
      </c>
      <c r="F48" s="50" cm="1" t="str">
        <f t="array" ref="F48:F48">OFFSET(E48,-1,1)</f>
        <v>1</v>
      </c>
      <c r="G48" s="426" t="s">
        <v>1225</v>
      </c>
      <c r="H48" s="426"/>
      <c r="I48" s="426"/>
      <c r="J48" s="426"/>
      <c r="K48" s="124" t="str">
        <f>F48&amp;"6komm"</f>
        <v>16komm</v>
      </c>
      <c r="L48" s="919" cm="1" t="str">
        <f t="array" ref="L48:L48">BC48</f>
        <v>в соответствии с п.1 ст.308 Налогового кодекса РФ от 05.08.2000 № 117-ФЗ, с учетом уменьшения суммы налога на 50% на 2024-2028 годы в соответствии с Законом от 24.11.2033 № 107-ОЗ "О внесении изменения в статью 4 Закона Кемеровской области-кузбасса "О налоге на имущество организаций". Налог рассчитан по остаточной стоимости, данные получены из материалов, представленных организацией при получении долгосрочных параметров регулирования.</v>
      </c>
      <c r="M48" s="426"/>
      <c r="N48" s="426"/>
      <c r="O48" s="426"/>
      <c r="P48" s="426"/>
      <c r="Q48" s="426"/>
      <c r="R48" s="426"/>
      <c r="S48" s="426"/>
      <c r="T48" s="465" cm="1" t="str">
        <f t="array" ref="T48:T48">T47</f>
        <v>true</v>
      </c>
      <c r="U48" s="426"/>
      <c r="V48" s="426"/>
      <c r="W48" s="1758"/>
      <c r="X48" s="1563"/>
      <c r="Y48" s="1758"/>
      <c r="Z48" s="1546"/>
      <c r="AA48" s="1758"/>
      <c r="AB48" s="299" t="s">
        <v>446</v>
      </c>
      <c r="AC48" s="452" t="s">
        <v>2011</v>
      </c>
      <c r="AD48" s="300" t="s">
        <v>1514</v>
      </c>
      <c r="AE48" s="228"/>
      <c r="AF48" s="228"/>
      <c r="AG48" s="228"/>
      <c r="AH48" s="228"/>
      <c r="AI48" s="228">
        <v>504.0865</v>
      </c>
      <c r="AJ48" s="228">
        <v>466.436</v>
      </c>
      <c r="AK48" s="228">
        <v>429.733</v>
      </c>
      <c r="AL48" s="228">
        <v>786.205</v>
      </c>
      <c r="AM48" s="228">
        <v>720.555</v>
      </c>
      <c r="AN48" s="4993"/>
      <c r="AO48" s="4993"/>
      <c r="AP48" s="4993"/>
      <c r="AQ48" s="4993"/>
      <c r="AR48" s="4993"/>
      <c r="AS48" s="228">
        <v>504.0865</v>
      </c>
      <c r="AT48" s="228">
        <f>932.872/2</f>
        <v>466.436</v>
      </c>
      <c r="AU48" s="228">
        <f>859.466/2</f>
        <v>429.733</v>
      </c>
      <c r="AV48" s="228">
        <v>786.205</v>
      </c>
      <c r="AW48" s="228">
        <v>720.555</v>
      </c>
      <c r="AX48" s="4993"/>
      <c r="AY48" s="4993"/>
      <c r="AZ48" s="4993"/>
      <c r="BA48" s="4993"/>
      <c r="BB48" s="4993"/>
      <c r="BC48" s="200" t="s">
        <v>2027</v>
      </c>
      <c r="BD48" s="1758"/>
      <c r="BE48" s="1758"/>
      <c r="BF48" s="997" t="s">
        <v>2012</v>
      </c>
      <c r="BG48" s="997"/>
      <c r="BH48" s="997"/>
      <c r="BI48" s="618"/>
      <c r="BJ48" s="618"/>
    </row>
    <row s="538" customFormat="1" customHeight="1" ht="0">
      <c r="A49" s="1758"/>
      <c r="B49" s="838"/>
      <c r="C49" s="426"/>
      <c r="D49" s="426"/>
      <c r="E49" s="619">
        <v>15</v>
      </c>
      <c r="F49" s="50" cm="1" t="str">
        <f t="array" ref="F49:F49">OFFSET(E49,-1,1)</f>
        <v>1</v>
      </c>
      <c r="G49" s="426" t="s">
        <v>1228</v>
      </c>
      <c r="H49" s="426" t="s">
        <v>2013</v>
      </c>
      <c r="I49" s="426"/>
      <c r="J49" s="426"/>
      <c r="K49" s="124" t="str">
        <f>F49&amp;"7komm"</f>
        <v>17komm</v>
      </c>
      <c r="L49" s="919" cm="1" t="str">
        <f t="array" ref="L49:L49">BC49</f>
        <v>0</v>
      </c>
      <c r="M49" s="426"/>
      <c r="N49" s="426"/>
      <c r="O49" s="426"/>
      <c r="P49" s="426"/>
      <c r="Q49" s="426"/>
      <c r="R49" s="426"/>
      <c r="S49" s="426"/>
      <c r="T49" s="465" cm="1" t="str">
        <f t="array" ref="T49:T49">T48</f>
        <v>true</v>
      </c>
      <c r="U49" s="426"/>
      <c r="V49" s="426"/>
      <c r="W49" s="1758"/>
      <c r="X49" s="1563"/>
      <c r="Y49" s="1758"/>
      <c r="Z49" s="1546"/>
      <c r="AA49" s="1758"/>
      <c r="AB49" s="299" t="s">
        <v>449</v>
      </c>
      <c r="AC49" s="452" t="s">
        <v>2014</v>
      </c>
      <c r="AD49" s="300" t="s">
        <v>1514</v>
      </c>
      <c r="AE49" s="228"/>
      <c r="AF49" s="228"/>
      <c r="AG49" s="228"/>
      <c r="AH49" s="228"/>
      <c r="AI49" s="228"/>
      <c r="AJ49" s="228"/>
      <c r="AK49" s="228"/>
      <c r="AL49" s="228"/>
      <c r="AM49" s="228"/>
      <c r="AN49" s="4993"/>
      <c r="AO49" s="4993"/>
      <c r="AP49" s="4993"/>
      <c r="AQ49" s="4993"/>
      <c r="AR49" s="4993"/>
      <c r="AS49" s="228"/>
      <c r="AT49" s="228"/>
      <c r="AU49" s="228"/>
      <c r="AV49" s="228"/>
      <c r="AW49" s="228"/>
      <c r="AX49" s="4993"/>
      <c r="AY49" s="4993"/>
      <c r="AZ49" s="4993"/>
      <c r="BA49" s="4993"/>
      <c r="BB49" s="4993"/>
      <c r="BC49" s="200"/>
      <c r="BD49" s="1758"/>
      <c r="BE49" s="1758"/>
      <c r="BF49" s="997" t="s">
        <v>2015</v>
      </c>
      <c r="BG49" s="997"/>
      <c r="BH49" s="997"/>
      <c r="BI49" s="618"/>
      <c r="BJ49" s="618"/>
    </row>
    <row s="538" customFormat="1" customHeight="1" ht="0">
      <c r="A50" s="1758"/>
      <c r="B50" s="838"/>
      <c r="C50" s="426"/>
      <c r="D50" s="426"/>
      <c r="E50" s="619">
        <v>22.5</v>
      </c>
      <c r="F50" s="50" cm="1" t="str">
        <f t="array" ref="F50:F50">OFFSET(E50,-1,1)</f>
        <v>1</v>
      </c>
      <c r="G50" s="426" t="s">
        <v>1275</v>
      </c>
      <c r="H50" s="426"/>
      <c r="I50" s="426"/>
      <c r="J50" s="426"/>
      <c r="K50" s="124" t="str">
        <f>F50&amp;"8komm"</f>
        <v>18komm</v>
      </c>
      <c r="L50" s="919" cm="1" t="str">
        <f t="array" ref="L50:L50">BC50</f>
        <v>0</v>
      </c>
      <c r="M50" s="426"/>
      <c r="N50" s="426"/>
      <c r="O50" s="426"/>
      <c r="P50" s="426"/>
      <c r="Q50" s="426"/>
      <c r="R50" s="426"/>
      <c r="S50" s="426"/>
      <c r="T50" s="465" cm="1" t="str">
        <f t="array" ref="T50:T50">T49</f>
        <v>true</v>
      </c>
      <c r="U50" s="426"/>
      <c r="V50" s="426"/>
      <c r="W50" s="1758"/>
      <c r="X50" s="1563"/>
      <c r="Y50" s="1758"/>
      <c r="Z50" s="1546"/>
      <c r="AA50" s="1758"/>
      <c r="AB50" s="299" t="s">
        <v>452</v>
      </c>
      <c r="AC50" s="452" t="s">
        <v>2016</v>
      </c>
      <c r="AD50" s="300" t="s">
        <v>1514</v>
      </c>
      <c r="AE50" s="228"/>
      <c r="AF50" s="228"/>
      <c r="AG50" s="228"/>
      <c r="AH50" s="228"/>
      <c r="AI50" s="228"/>
      <c r="AJ50" s="228"/>
      <c r="AK50" s="228"/>
      <c r="AL50" s="228"/>
      <c r="AM50" s="228"/>
      <c r="AN50" s="4993"/>
      <c r="AO50" s="4993"/>
      <c r="AP50" s="4993"/>
      <c r="AQ50" s="4993"/>
      <c r="AR50" s="4993"/>
      <c r="AS50" s="228"/>
      <c r="AT50" s="228"/>
      <c r="AU50" s="228"/>
      <c r="AV50" s="228"/>
      <c r="AW50" s="228"/>
      <c r="AX50" s="4993"/>
      <c r="AY50" s="4993"/>
      <c r="AZ50" s="4993"/>
      <c r="BA50" s="4993"/>
      <c r="BB50" s="4993"/>
      <c r="BC50" s="200"/>
      <c r="BD50" s="1758"/>
      <c r="BE50" s="1758"/>
      <c r="BF50" s="997" t="s">
        <v>2017</v>
      </c>
      <c r="BG50" s="997"/>
      <c r="BH50" s="997"/>
      <c r="BI50" s="618"/>
      <c r="BJ50" s="618"/>
    </row>
    <row s="1021" customFormat="1" customHeight="1" ht="0">
      <c r="A51" s="1021"/>
      <c r="B51" s="838"/>
      <c r="C51" s="426"/>
      <c r="D51" s="426"/>
      <c r="E51" s="619">
        <v>22.5</v>
      </c>
      <c r="F51" s="50" cm="1" t="str">
        <f t="array" ref="F51:F51">OFFSET(E51,-1,1)</f>
        <v>1</v>
      </c>
      <c r="G51" s="426"/>
      <c r="H51" s="426"/>
      <c r="I51" s="426"/>
      <c r="J51" s="426"/>
      <c r="K51" s="124" t="str">
        <f>F51&amp;"9komm"</f>
        <v>19komm</v>
      </c>
      <c r="L51" s="919" cm="1" t="str">
        <f t="array" ref="L51:L51">BC51</f>
        <v>0</v>
      </c>
      <c r="M51" s="426"/>
      <c r="N51" s="426"/>
      <c r="O51" s="426"/>
      <c r="P51" s="426"/>
      <c r="Q51" s="426"/>
      <c r="R51" s="426"/>
      <c r="S51" s="426"/>
      <c r="T51" s="465" cm="1" t="str">
        <f t="array" ref="T51:T51">T50</f>
        <v>true</v>
      </c>
      <c r="U51" s="426"/>
      <c r="V51" s="426"/>
      <c r="W51" s="1021"/>
      <c r="X51" s="1563"/>
      <c r="Y51" s="1021"/>
      <c r="Z51" s="1546"/>
      <c r="AA51" s="1021"/>
      <c r="AB51" s="299" t="s">
        <v>455</v>
      </c>
      <c r="AC51" s="452" t="s">
        <v>2018</v>
      </c>
      <c r="AD51" s="300" t="s">
        <v>1514</v>
      </c>
      <c r="AE51" s="298"/>
      <c r="AF51" s="298"/>
      <c r="AG51" s="298"/>
      <c r="AH51" s="298"/>
      <c r="AI51" s="298"/>
      <c r="AJ51" s="298"/>
      <c r="AK51" s="298"/>
      <c r="AL51" s="298"/>
      <c r="AM51" s="298"/>
      <c r="AN51" s="4725"/>
      <c r="AO51" s="4725"/>
      <c r="AP51" s="4725"/>
      <c r="AQ51" s="4725"/>
      <c r="AR51" s="4725"/>
      <c r="AS51" s="298"/>
      <c r="AT51" s="298"/>
      <c r="AU51" s="298"/>
      <c r="AV51" s="298"/>
      <c r="AW51" s="298"/>
      <c r="AX51" s="4725"/>
      <c r="AY51" s="4725"/>
      <c r="AZ51" s="4725"/>
      <c r="BA51" s="4725"/>
      <c r="BB51" s="4725"/>
      <c r="BC51" s="774"/>
      <c r="BD51" s="1021"/>
      <c r="BE51" s="1021"/>
      <c r="BF51" s="1005" t="s">
        <v>2019</v>
      </c>
      <c r="BG51" s="1005"/>
      <c r="BH51" s="1005"/>
      <c r="BI51" s="692"/>
      <c r="BJ51" s="692"/>
    </row>
    <row s="1834" customFormat="1" customHeight="1" ht="14.25">
      <c r="A52" s="1758"/>
      <c r="B52" s="891"/>
      <c r="C52" s="887"/>
      <c r="D52" s="887"/>
      <c r="E52" s="888">
        <v>15</v>
      </c>
      <c r="F52" s="50" cm="1" t="str">
        <f t="array" ref="F52:F52">OFFSET(E52,-1,1)</f>
        <v>1</v>
      </c>
      <c r="G52" s="887" t="s">
        <v>1290</v>
      </c>
      <c r="H52" s="923"/>
      <c r="I52" s="887"/>
      <c r="J52" s="887"/>
      <c r="K52" s="124" t="str">
        <f>F52&amp;"10komm"</f>
        <v>110komm</v>
      </c>
      <c r="L52" s="919" cm="1" t="str">
        <f t="array" ref="L52:L52">BC52</f>
        <v>0</v>
      </c>
      <c r="M52" s="887"/>
      <c r="N52" s="887"/>
      <c r="O52" s="887"/>
      <c r="P52" s="887"/>
      <c r="Q52" s="887"/>
      <c r="R52" s="887"/>
      <c r="S52" s="887"/>
      <c r="T52" s="465" cm="1" t="str">
        <f t="array" ref="T52:T52">T51</f>
        <v>true</v>
      </c>
      <c r="U52" s="887"/>
      <c r="V52" s="887"/>
      <c r="W52" s="1758"/>
      <c r="X52" s="1563"/>
      <c r="Y52" s="1758"/>
      <c r="Z52" s="1546"/>
      <c r="AA52" s="1758"/>
      <c r="AB52" s="889">
        <v>10</v>
      </c>
      <c r="AC52" s="452" t="s">
        <v>2020</v>
      </c>
      <c r="AD52" s="300" t="s">
        <v>1514</v>
      </c>
      <c r="AE52" s="235">
        <f>SUM(AE53:AE55)</f>
        <v>0</v>
      </c>
      <c r="AF52" s="235">
        <f>SUM(AF53:AF55)</f>
        <v>0</v>
      </c>
      <c r="AG52" s="235">
        <f>SUM(AG53:AG55)</f>
        <v>0</v>
      </c>
      <c r="AH52" s="235">
        <f>SUM(AH53:AH55)</f>
        <v>0</v>
      </c>
      <c r="AI52" s="235">
        <f>SUM(AI53:AI55)</f>
        <v>0</v>
      </c>
      <c r="AJ52" s="235">
        <f>SUM(AJ53:AJ55)</f>
        <v>0</v>
      </c>
      <c r="AK52" s="235">
        <f>SUM(AK53:AK55)</f>
        <v>18.33</v>
      </c>
      <c r="AL52" s="235">
        <f>SUM(AL53:AL55)</f>
        <v>114.15</v>
      </c>
      <c r="AM52" s="235">
        <f>SUM(AM53:AM55)</f>
        <v>77.48</v>
      </c>
      <c r="AN52" s="235">
        <f>SUM(AN53:AN55)</f>
        <v>0</v>
      </c>
      <c r="AO52" s="235">
        <f>SUM(AO53:AO55)</f>
        <v>0</v>
      </c>
      <c r="AP52" s="235">
        <f>SUM(AP53:AP55)</f>
        <v>0</v>
      </c>
      <c r="AQ52" s="235">
        <f>SUM(AQ53:AQ55)</f>
        <v>0</v>
      </c>
      <c r="AR52" s="235">
        <f>SUM(AR53:AR55)</f>
        <v>0</v>
      </c>
      <c r="AS52" s="235">
        <f>SUM(AS53:AS55)</f>
        <v>0</v>
      </c>
      <c r="AT52" s="235">
        <f>SUM(AT53:AT55)</f>
        <v>0</v>
      </c>
      <c r="AU52" s="235">
        <f>SUM(AU53:AU55)</f>
        <v>18.33</v>
      </c>
      <c r="AV52" s="235">
        <f>SUM(AV53:AV55)</f>
        <v>114.15</v>
      </c>
      <c r="AW52" s="235">
        <f>SUM(AW53:AW55)</f>
        <v>77.48</v>
      </c>
      <c r="AX52" s="235">
        <f>SUM(AX53:AX55)</f>
        <v>0</v>
      </c>
      <c r="AY52" s="235">
        <f>SUM(AY53:AY55)</f>
        <v>0</v>
      </c>
      <c r="AZ52" s="235">
        <f>SUM(AZ53:AZ55)</f>
        <v>0</v>
      </c>
      <c r="BA52" s="235">
        <f>SUM(BA53:BA55)</f>
        <v>0</v>
      </c>
      <c r="BB52" s="235">
        <f>SUM(BB53:BB55)</f>
        <v>0</v>
      </c>
      <c r="BC52" s="200"/>
      <c r="BD52" s="1758"/>
      <c r="BE52" s="1758"/>
      <c r="BF52" s="1038" t="s">
        <v>2021</v>
      </c>
      <c r="BG52" s="1764"/>
      <c r="BH52" s="1764"/>
      <c r="BI52" s="1757"/>
      <c r="BJ52" s="1757"/>
    </row>
    <row s="1834" customFormat="1" customHeight="1" ht="14.25" hidden="1">
      <c r="E53" s="619">
        <v>15</v>
      </c>
      <c r="F53" s="1175" cm="1" t="str">
        <f t="array" ref="F53:F53">OFFSET(E53,-1,1)</f>
        <v>1</v>
      </c>
      <c r="G53" s="104" t="s">
        <v>1290</v>
      </c>
      <c r="I53" s="563" cm="1" t="str">
        <f t="array" ref="I53:I53">AC53</f>
        <v>0</v>
      </c>
      <c r="T53" s="465">
        <f>AND(F53&gt;0,Y53&gt;0)</f>
        <v>0</v>
      </c>
      <c r="W53" s="717" t="s">
        <v>174</v>
      </c>
      <c r="Y53" s="122">
        <v>0</v>
      </c>
      <c r="AA53" s="420" t="s">
        <v>175</v>
      </c>
      <c r="AB53" s="690" t="str">
        <f>"10."&amp;Y53</f>
        <v>10.0</v>
      </c>
      <c r="AC53" s="56"/>
      <c r="AD53" s="88" t="s">
        <v>1514</v>
      </c>
      <c r="AE53" s="1244"/>
      <c r="AF53" s="1244"/>
      <c r="AG53" s="1244"/>
      <c r="AH53" s="1244"/>
      <c r="AI53" s="1244"/>
      <c r="AJ53" s="1244"/>
      <c r="AK53" s="1244"/>
      <c r="AL53" s="1244"/>
      <c r="AM53" s="1244"/>
      <c r="AN53" s="1244"/>
      <c r="AO53" s="1244"/>
      <c r="AP53" s="1244"/>
      <c r="AQ53" s="1244"/>
      <c r="AR53" s="1244"/>
      <c r="AS53" s="1244"/>
      <c r="AT53" s="1244"/>
      <c r="AU53" s="1244"/>
      <c r="AV53" s="1244"/>
      <c r="AW53" s="1244"/>
      <c r="AX53" s="1244"/>
      <c r="AY53" s="1244"/>
      <c r="AZ53" s="1244"/>
      <c r="BA53" s="1244"/>
      <c r="BB53" s="1244"/>
      <c r="BC53" s="5010"/>
      <c r="BF53" s="997" t="s">
        <v>2021</v>
      </c>
      <c r="BG53" s="997" t="s">
        <v>2022</v>
      </c>
      <c r="BH53" s="1050" cm="1" t="str">
        <f t="array" ref="BH53:BH53">AC53</f>
        <v>0</v>
      </c>
      <c r="BI53" s="618"/>
      <c r="BJ53" s="618" t="b">
        <v>1</v>
      </c>
    </row>
    <row s="1834" customFormat="1" customHeight="1" ht="65.25">
      <c r="A54" s="1834"/>
      <c r="B54" s="1834"/>
      <c r="C54" s="1834"/>
      <c r="D54" s="1834"/>
      <c r="E54" s="619">
        <v>15</v>
      </c>
      <c r="F54" s="1175" cm="1" t="str">
        <f t="array" ref="F54:F54">OFFSET(E54,-1,1)</f>
        <v>1</v>
      </c>
      <c r="G54" s="104" t="s">
        <v>1290</v>
      </c>
      <c r="H54" s="1834"/>
      <c r="I54" s="563" cm="1" t="str">
        <f t="array" ref="I54:I54">AC54</f>
        <v>налог на имущество по ИП</v>
      </c>
      <c r="J54" s="1834"/>
      <c r="K54" s="1834"/>
      <c r="L54" s="1834"/>
      <c r="M54" s="1834"/>
      <c r="N54" s="1834"/>
      <c r="O54" s="1834"/>
      <c r="P54" s="1834"/>
      <c r="Q54" s="1834"/>
      <c r="R54" s="1834"/>
      <c r="S54" s="1834"/>
      <c r="T54" s="465">
        <f>AND(F54&gt;0,Y54&gt;0)</f>
        <v>1</v>
      </c>
      <c r="U54" s="1834"/>
      <c r="V54" s="1834"/>
      <c r="W54" s="717"/>
      <c r="X54" s="1834"/>
      <c r="Y54" s="122" t="s">
        <v>276</v>
      </c>
      <c r="Z54" s="1834"/>
      <c r="AA54" s="420" t="s">
        <v>175</v>
      </c>
      <c r="AB54" s="690" t="str">
        <f>"10."&amp;Y54</f>
        <v>10.1</v>
      </c>
      <c r="AC54" s="5011" t="s">
        <v>2028</v>
      </c>
      <c r="AD54" s="88" t="s">
        <v>1514</v>
      </c>
      <c r="AE54" s="4750"/>
      <c r="AF54" s="4750"/>
      <c r="AG54" s="4750"/>
      <c r="AH54" s="4750"/>
      <c r="AI54" s="4750"/>
      <c r="AJ54" s="4750"/>
      <c r="AK54" s="4750">
        <v>18.33</v>
      </c>
      <c r="AL54" s="4750">
        <v>114.15</v>
      </c>
      <c r="AM54" s="4750">
        <v>77.48</v>
      </c>
      <c r="AN54" s="1244"/>
      <c r="AO54" s="1244"/>
      <c r="AP54" s="1244"/>
      <c r="AQ54" s="1244"/>
      <c r="AR54" s="1244"/>
      <c r="AS54" s="4750"/>
      <c r="AT54" s="4750"/>
      <c r="AU54" s="4750">
        <v>18.33</v>
      </c>
      <c r="AV54" s="4750">
        <v>114.15</v>
      </c>
      <c r="AW54" s="4750">
        <v>77.48</v>
      </c>
      <c r="AX54" s="1244"/>
      <c r="AY54" s="1244"/>
      <c r="AZ54" s="1244"/>
      <c r="BA54" s="1244"/>
      <c r="BB54" s="1244"/>
      <c r="BC54" s="5012" t="s">
        <v>2029</v>
      </c>
      <c r="BD54" s="1834"/>
      <c r="BE54" s="1834"/>
      <c r="BF54" s="997" t="s">
        <v>2021</v>
      </c>
      <c r="BG54" s="997" t="s">
        <v>2022</v>
      </c>
      <c r="BH54" s="1050" cm="1" t="str">
        <f t="array" ref="BH54:BH54">AC54</f>
        <v>налог на имущество по ИП</v>
      </c>
      <c r="BI54" s="618"/>
      <c r="BJ54" s="618" t="b">
        <v>1</v>
      </c>
    </row>
    <row s="538" customFormat="1" customHeight="1" ht="14.25">
      <c r="A55" s="1758"/>
      <c r="B55" s="838"/>
      <c r="C55" s="426"/>
      <c r="D55" s="426"/>
      <c r="E55" s="619">
        <v>15</v>
      </c>
      <c r="F55" s="50" cm="1" t="str">
        <f t="array" ref="F55:F55">OFFSET(E55,-1,1)</f>
        <v>1</v>
      </c>
      <c r="G55" s="426"/>
      <c r="H55" s="1758"/>
      <c r="I55" s="426" t="str">
        <f>"!=='не определено'"</f>
        <v>!=='не определено'</v>
      </c>
      <c r="J55" s="426"/>
      <c r="K55" s="426"/>
      <c r="L55" s="426"/>
      <c r="M55" s="426"/>
      <c r="N55" s="426"/>
      <c r="O55" s="426"/>
      <c r="P55" s="426"/>
      <c r="Q55" s="426"/>
      <c r="R55" s="426"/>
      <c r="S55" s="426"/>
      <c r="T55" s="465">
        <f>F55&gt;0</f>
        <v>1</v>
      </c>
      <c r="U55" s="426"/>
      <c r="V55" s="426"/>
      <c r="W55" s="757" t="s">
        <v>399</v>
      </c>
      <c r="X55" s="1563"/>
      <c r="Y55" s="1758"/>
      <c r="Z55" s="1546"/>
      <c r="AA55" s="1758"/>
      <c r="AB55" s="775"/>
      <c r="AC55" s="260" t="s">
        <v>178</v>
      </c>
      <c r="AD55" s="776"/>
      <c r="AE55" s="232"/>
      <c r="AF55" s="232"/>
      <c r="AG55" s="232"/>
      <c r="AH55" s="232"/>
      <c r="AI55" s="232"/>
      <c r="AJ55" s="232"/>
      <c r="AK55" s="232"/>
      <c r="AL55" s="232"/>
      <c r="AM55" s="232"/>
      <c r="AN55" s="232"/>
      <c r="AO55" s="232"/>
      <c r="AP55" s="232"/>
      <c r="AQ55" s="232"/>
      <c r="AR55" s="232"/>
      <c r="AS55" s="232"/>
      <c r="AT55" s="232"/>
      <c r="AU55" s="232"/>
      <c r="AV55" s="232"/>
      <c r="AW55" s="232"/>
      <c r="AX55" s="232"/>
      <c r="AY55" s="232"/>
      <c r="AZ55" s="232"/>
      <c r="BA55" s="232"/>
      <c r="BB55" s="232"/>
      <c r="BC55" s="233"/>
      <c r="BD55" s="1758"/>
      <c r="BE55" s="1758"/>
      <c r="BF55" s="997"/>
      <c r="BG55" s="997"/>
      <c r="BH55" s="997"/>
      <c r="BI55" s="618" t="s">
        <v>2022</v>
      </c>
      <c r="BJ55" s="618"/>
    </row>
    <row s="538" customFormat="1" customHeight="1" ht="14.25">
      <c r="A56" s="1758"/>
      <c r="B56" s="428"/>
      <c r="C56" s="1758"/>
      <c r="D56" s="1758"/>
      <c r="E56" s="618">
        <v>15</v>
      </c>
      <c r="F56" s="98" cm="1" t="str">
        <f t="array" ref="F56:F56">X56</f>
        <v>2</v>
      </c>
      <c r="G56" s="1758"/>
      <c r="H56" s="1758"/>
      <c r="I56" s="1758"/>
      <c r="J56" s="1758"/>
      <c r="K56" s="1758"/>
      <c r="L56" s="1758"/>
      <c r="M56" s="1758"/>
      <c r="N56" s="1758"/>
      <c r="O56" s="1758"/>
      <c r="P56" s="1758"/>
      <c r="Q56" s="1758"/>
      <c r="R56" s="1758"/>
      <c r="S56" s="1758"/>
      <c r="T56" s="465">
        <f>X56&gt;0</f>
        <v>1</v>
      </c>
      <c r="U56" s="1758"/>
      <c r="V56" s="122" cm="1" t="str">
        <f t="array" ref="V56:V56">'Сбытовые расходы ГО'!$AB$51</f>
        <v>Тариф 2 (Водоснабжение) - тариф на питьевую воду (Доп. признак не требуется)</v>
      </c>
      <c r="W56" s="1758"/>
      <c r="X56" s="1563" t="s">
        <v>285</v>
      </c>
      <c r="Y56" s="1758"/>
      <c r="Z56" s="1546"/>
      <c r="AA56" s="1758"/>
      <c r="AB56" s="222" cm="1" t="str">
        <f t="array" ref="AB56:AB56">'Сбытовые расходы ГО'!$AB$51</f>
        <v>Тариф 2 (Водоснабжение) - тариф на питьевую воду (Доп. признак не требуется)</v>
      </c>
      <c r="AC56" s="180"/>
      <c r="AD56" s="180"/>
      <c r="AE56" s="180"/>
      <c r="AF56" s="180"/>
      <c r="AG56" s="180"/>
      <c r="AH56" s="180"/>
      <c r="AI56" s="180"/>
      <c r="AJ56" s="180"/>
      <c r="AK56" s="180"/>
      <c r="AL56" s="180"/>
      <c r="AM56" s="180"/>
      <c r="AN56" s="180"/>
      <c r="AO56" s="180"/>
      <c r="AP56" s="180"/>
      <c r="AQ56" s="180"/>
      <c r="AR56" s="180"/>
      <c r="AS56" s="180"/>
      <c r="AT56" s="180"/>
      <c r="AU56" s="180"/>
      <c r="AV56" s="180"/>
      <c r="AW56" s="180"/>
      <c r="AX56" s="180"/>
      <c r="AY56" s="180"/>
      <c r="AZ56" s="180"/>
      <c r="BA56" s="180"/>
      <c r="BB56" s="180"/>
      <c r="BC56" s="180"/>
      <c r="BD56" s="1758"/>
      <c r="BE56" s="1758"/>
      <c r="BF56" s="997"/>
      <c r="BG56" s="997"/>
      <c r="BH56" s="997"/>
      <c r="BI56" s="618"/>
      <c r="BJ56" s="618"/>
    </row>
    <row s="538" customFormat="1" customHeight="1" ht="21.75">
      <c r="A57" s="1758"/>
      <c r="B57" s="428"/>
      <c r="C57" s="1758"/>
      <c r="D57" s="1758"/>
      <c r="E57" s="618">
        <v>22.5</v>
      </c>
      <c r="F57" s="50" cm="1" t="str">
        <f t="array" ref="F57:F57">OFFSET(E57,-1,1)</f>
        <v>2</v>
      </c>
      <c r="G57" s="122" t="s">
        <v>1979</v>
      </c>
      <c r="H57" s="1758"/>
      <c r="I57" s="1758"/>
      <c r="J57" s="1758"/>
      <c r="K57" s="124" t="str">
        <f>F57&amp;"komm"</f>
        <v>2komm</v>
      </c>
      <c r="L57" s="919" cm="1" t="str">
        <f t="array" ref="L57:L57">BC57</f>
        <v>В соответствии с п.п. 2 п. 49 Методических указаний 1746-э.</v>
      </c>
      <c r="M57" s="1758"/>
      <c r="N57" s="1758"/>
      <c r="O57" s="1758"/>
      <c r="P57" s="1758"/>
      <c r="Q57" s="1758"/>
      <c r="R57" s="1758"/>
      <c r="S57" s="1758"/>
      <c r="T57" s="465" cm="1" t="str">
        <f t="array" ref="T57:T57">T56</f>
        <v>true</v>
      </c>
      <c r="U57" s="1758"/>
      <c r="V57" s="1758"/>
      <c r="W57" s="1758"/>
      <c r="X57" s="1563"/>
      <c r="Y57" s="1758"/>
      <c r="Z57" s="1546"/>
      <c r="AA57" s="1758"/>
      <c r="AB57" s="234">
        <v>0</v>
      </c>
      <c r="AC57" s="219" t="s">
        <v>1998</v>
      </c>
      <c r="AD57" s="211" t="s">
        <v>1514</v>
      </c>
      <c r="AE57" s="227">
        <f>SUM(AE58:AE67)</f>
        <v>0</v>
      </c>
      <c r="AF57" s="227">
        <f>SUM(AF58:AF67)</f>
        <v>0</v>
      </c>
      <c r="AG57" s="227">
        <f>SUM(AG58:AG67)</f>
        <v>0</v>
      </c>
      <c r="AH57" s="227">
        <f>SUM(AH58:AH67)</f>
        <v>0</v>
      </c>
      <c r="AI57" s="227">
        <f>SUM(AI58:AI67)</f>
        <v>179.0635</v>
      </c>
      <c r="AJ57" s="227">
        <f>SUM(AJ58:AJ67)</f>
        <v>167.668</v>
      </c>
      <c r="AK57" s="227">
        <f>SUM(AK58:AK67)</f>
        <v>171.136</v>
      </c>
      <c r="AL57" s="227">
        <f>SUM(AL58:AL67)</f>
        <v>372.259</v>
      </c>
      <c r="AM57" s="227">
        <f>SUM(AM58:AM67)</f>
        <v>321.369</v>
      </c>
      <c r="AN57" s="227">
        <f>SUM(AN58:AN67)</f>
        <v>0</v>
      </c>
      <c r="AO57" s="227">
        <f>SUM(AO58:AO67)</f>
        <v>0</v>
      </c>
      <c r="AP57" s="227">
        <f>SUM(AP58:AP67)</f>
        <v>0</v>
      </c>
      <c r="AQ57" s="227">
        <f>SUM(AQ58:AQ67)</f>
        <v>0</v>
      </c>
      <c r="AR57" s="227">
        <f>SUM(AR58:AR67)</f>
        <v>0</v>
      </c>
      <c r="AS57" s="227">
        <f>SUM(AS58:AS67)</f>
        <v>179.0635</v>
      </c>
      <c r="AT57" s="227">
        <f>SUM(AT58:AT67)</f>
        <v>167.668</v>
      </c>
      <c r="AU57" s="227">
        <f>SUM(AU58:AU67)</f>
        <v>171.136</v>
      </c>
      <c r="AV57" s="227">
        <f>SUM(AV58:AV67)</f>
        <v>372.259</v>
      </c>
      <c r="AW57" s="227">
        <f>SUM(AW58:AW67)</f>
        <v>321.369</v>
      </c>
      <c r="AX57" s="227">
        <f>SUM(AX58:AX67)</f>
        <v>0</v>
      </c>
      <c r="AY57" s="227">
        <f>SUM(AY58:AY67)</f>
        <v>0</v>
      </c>
      <c r="AZ57" s="227">
        <f>SUM(AZ58:AZ67)</f>
        <v>0</v>
      </c>
      <c r="BA57" s="227">
        <f>SUM(BA58:BA67)</f>
        <v>0</v>
      </c>
      <c r="BB57" s="227">
        <f>SUM(BB58:BB67)</f>
        <v>0</v>
      </c>
      <c r="BC57" s="200" t="s">
        <v>2023</v>
      </c>
      <c r="BD57" s="1758"/>
      <c r="BE57" s="1758"/>
      <c r="BF57" s="997" t="s">
        <v>1999</v>
      </c>
      <c r="BG57" s="997"/>
      <c r="BH57" s="997"/>
      <c r="BI57" s="618"/>
      <c r="BJ57" s="618"/>
    </row>
    <row s="538" customFormat="1" customHeight="1" ht="0">
      <c r="A58" s="1758"/>
      <c r="B58" s="428"/>
      <c r="C58" s="1758"/>
      <c r="D58" s="1758"/>
      <c r="E58" s="618">
        <v>15</v>
      </c>
      <c r="F58" s="50" cm="1" t="str">
        <f t="array" ref="F58:F58">OFFSET(E58,-1,1)</f>
        <v>2</v>
      </c>
      <c r="G58" s="122" t="s">
        <v>332</v>
      </c>
      <c r="H58" s="1758"/>
      <c r="I58" s="1758"/>
      <c r="J58" s="1758"/>
      <c r="K58" s="124" t="str">
        <f>F58&amp;"1komm"</f>
        <v>21komm</v>
      </c>
      <c r="L58" s="919" cm="1" t="str">
        <f t="array" ref="L58:L58">BC58</f>
        <v>0</v>
      </c>
      <c r="M58" s="1758"/>
      <c r="N58" s="1758"/>
      <c r="O58" s="1758"/>
      <c r="P58" s="1758"/>
      <c r="Q58" s="1758"/>
      <c r="R58" s="1758"/>
      <c r="S58" s="1758"/>
      <c r="T58" s="465" cm="1" t="str">
        <f t="array" ref="T58:T58">T57</f>
        <v>true</v>
      </c>
      <c r="U58" s="1758"/>
      <c r="V58" s="1758"/>
      <c r="W58" s="1758"/>
      <c r="X58" s="1563"/>
      <c r="Y58" s="1758"/>
      <c r="Z58" s="1546"/>
      <c r="AA58" s="1758"/>
      <c r="AB58" s="299" t="s">
        <v>276</v>
      </c>
      <c r="AC58" s="452" t="s">
        <v>2000</v>
      </c>
      <c r="AD58" s="300" t="s">
        <v>1514</v>
      </c>
      <c r="AE58" s="228"/>
      <c r="AF58" s="229"/>
      <c r="AG58" s="229"/>
      <c r="AH58" s="229"/>
      <c r="AI58" s="229"/>
      <c r="AJ58" s="229"/>
      <c r="AK58" s="229"/>
      <c r="AL58" s="229"/>
      <c r="AM58" s="229"/>
      <c r="AN58" s="4934"/>
      <c r="AO58" s="4934"/>
      <c r="AP58" s="4934"/>
      <c r="AQ58" s="4934"/>
      <c r="AR58" s="4934"/>
      <c r="AS58" s="229"/>
      <c r="AT58" s="229"/>
      <c r="AU58" s="229"/>
      <c r="AV58" s="229"/>
      <c r="AW58" s="229"/>
      <c r="AX58" s="4934"/>
      <c r="AY58" s="4934"/>
      <c r="AZ58" s="4934"/>
      <c r="BA58" s="4934"/>
      <c r="BB58" s="4934"/>
      <c r="BC58" s="200"/>
      <c r="BD58" s="1758"/>
      <c r="BE58" s="1758"/>
      <c r="BF58" s="997" t="s">
        <v>2001</v>
      </c>
      <c r="BG58" s="997"/>
      <c r="BH58" s="997"/>
      <c r="BI58" s="618"/>
      <c r="BJ58" s="618"/>
    </row>
    <row s="538" customFormat="1" customHeight="1" ht="0">
      <c r="A59" s="1758"/>
      <c r="B59" s="838"/>
      <c r="C59" s="426"/>
      <c r="D59" s="426"/>
      <c r="E59" s="619">
        <v>22.5</v>
      </c>
      <c r="F59" s="50" cm="1" t="str">
        <f t="array" ref="F59:F59">OFFSET(E59,-1,1)</f>
        <v>2</v>
      </c>
      <c r="G59" s="426" t="s">
        <v>333</v>
      </c>
      <c r="H59" s="426"/>
      <c r="I59" s="426"/>
      <c r="J59" s="426"/>
      <c r="K59" s="124" t="str">
        <f>F59&amp;"2komm"</f>
        <v>22komm</v>
      </c>
      <c r="L59" s="919" cm="1" t="str">
        <f t="array" ref="L59:L59">BC59</f>
        <v>0</v>
      </c>
      <c r="M59" s="426"/>
      <c r="N59" s="426"/>
      <c r="O59" s="426"/>
      <c r="P59" s="426"/>
      <c r="Q59" s="426"/>
      <c r="R59" s="426"/>
      <c r="S59" s="426"/>
      <c r="T59" s="465" cm="1" t="str">
        <f t="array" ref="T59:T59">T58</f>
        <v>true</v>
      </c>
      <c r="U59" s="426"/>
      <c r="V59" s="426"/>
      <c r="W59" s="1758"/>
      <c r="X59" s="1563"/>
      <c r="Y59" s="1758"/>
      <c r="Z59" s="1546"/>
      <c r="AA59" s="1758"/>
      <c r="AB59" s="299" t="s">
        <v>285</v>
      </c>
      <c r="AC59" s="452" t="s">
        <v>2002</v>
      </c>
      <c r="AD59" s="300" t="s">
        <v>1514</v>
      </c>
      <c r="AE59" s="228"/>
      <c r="AF59" s="229"/>
      <c r="AG59" s="229"/>
      <c r="AH59" s="229"/>
      <c r="AI59" s="229"/>
      <c r="AJ59" s="229"/>
      <c r="AK59" s="229"/>
      <c r="AL59" s="229"/>
      <c r="AM59" s="229"/>
      <c r="AN59" s="4934"/>
      <c r="AO59" s="4934"/>
      <c r="AP59" s="4934"/>
      <c r="AQ59" s="4934"/>
      <c r="AR59" s="4934"/>
      <c r="AS59" s="229"/>
      <c r="AT59" s="229"/>
      <c r="AU59" s="229"/>
      <c r="AV59" s="229"/>
      <c r="AW59" s="229"/>
      <c r="AX59" s="4934"/>
      <c r="AY59" s="4934"/>
      <c r="AZ59" s="4934"/>
      <c r="BA59" s="4934"/>
      <c r="BB59" s="4934"/>
      <c r="BC59" s="200"/>
      <c r="BD59" s="1758"/>
      <c r="BE59" s="1758"/>
      <c r="BF59" s="997" t="s">
        <v>2003</v>
      </c>
      <c r="BG59" s="997"/>
      <c r="BH59" s="997"/>
      <c r="BI59" s="618"/>
      <c r="BJ59" s="618"/>
    </row>
    <row s="538" customFormat="1" customHeight="1" ht="0">
      <c r="A60" s="1758"/>
      <c r="B60" s="838"/>
      <c r="C60" s="426"/>
      <c r="D60" s="426"/>
      <c r="E60" s="619">
        <v>22.5</v>
      </c>
      <c r="F60" s="50" cm="1" t="str">
        <f t="array" ref="F60:F60">OFFSET(E60,-1,1)</f>
        <v>2</v>
      </c>
      <c r="G60" s="426" t="s">
        <v>334</v>
      </c>
      <c r="H60" s="426" t="s">
        <v>2004</v>
      </c>
      <c r="I60" s="426"/>
      <c r="J60" s="426"/>
      <c r="K60" s="124" t="str">
        <f>F60&amp;"3komm"</f>
        <v>23komm</v>
      </c>
      <c r="L60" s="919" cm="1" t="str">
        <f t="array" ref="L60:L60">BC60</f>
        <v>0</v>
      </c>
      <c r="M60" s="426"/>
      <c r="N60" s="426"/>
      <c r="O60" s="426"/>
      <c r="P60" s="426"/>
      <c r="Q60" s="426"/>
      <c r="R60" s="426"/>
      <c r="S60" s="426"/>
      <c r="T60" s="465" cm="1" t="str">
        <f t="array" ref="T60:T60">T59</f>
        <v>true</v>
      </c>
      <c r="U60" s="426"/>
      <c r="V60" s="426"/>
      <c r="W60" s="1758"/>
      <c r="X60" s="1563"/>
      <c r="Y60" s="1758"/>
      <c r="Z60" s="1546"/>
      <c r="AA60" s="1758"/>
      <c r="AB60" s="299" t="s">
        <v>289</v>
      </c>
      <c r="AC60" s="452" t="s">
        <v>2005</v>
      </c>
      <c r="AD60" s="300" t="s">
        <v>1514</v>
      </c>
      <c r="AE60" s="228"/>
      <c r="AF60" s="229"/>
      <c r="AG60" s="229"/>
      <c r="AH60" s="229"/>
      <c r="AI60" s="229"/>
      <c r="AJ60" s="229"/>
      <c r="AK60" s="229"/>
      <c r="AL60" s="229"/>
      <c r="AM60" s="229"/>
      <c r="AN60" s="4934"/>
      <c r="AO60" s="4934"/>
      <c r="AP60" s="4934"/>
      <c r="AQ60" s="4934"/>
      <c r="AR60" s="4934"/>
      <c r="AS60" s="229"/>
      <c r="AT60" s="229"/>
      <c r="AU60" s="229"/>
      <c r="AV60" s="229"/>
      <c r="AW60" s="229"/>
      <c r="AX60" s="4934"/>
      <c r="AY60" s="4934"/>
      <c r="AZ60" s="4934"/>
      <c r="BA60" s="4934"/>
      <c r="BB60" s="4934"/>
      <c r="BC60" s="200"/>
      <c r="BD60" s="1758"/>
      <c r="BE60" s="1758"/>
      <c r="BF60" s="997" t="s">
        <v>2006</v>
      </c>
      <c r="BG60" s="997"/>
      <c r="BH60" s="997"/>
      <c r="BI60" s="618"/>
      <c r="BJ60" s="618"/>
    </row>
    <row s="1834" customFormat="1" customHeight="1" ht="0">
      <c r="A61" s="1758"/>
      <c r="B61" s="891"/>
      <c r="C61" s="887"/>
      <c r="D61" s="887"/>
      <c r="E61" s="888">
        <v>15</v>
      </c>
      <c r="F61" s="50" cm="1" t="str">
        <f t="array" ref="F61:F61">OFFSET(E61,-1,1)</f>
        <v>2</v>
      </c>
      <c r="G61" s="887" t="s">
        <v>336</v>
      </c>
      <c r="H61" s="887"/>
      <c r="I61" s="887"/>
      <c r="J61" s="887"/>
      <c r="K61" s="124" t="str">
        <f>F61&amp;"4komm"</f>
        <v>24komm</v>
      </c>
      <c r="L61" s="919" cm="1" t="str">
        <f t="array" ref="L61:L61">BC61</f>
        <v>0</v>
      </c>
      <c r="M61" s="887"/>
      <c r="N61" s="887"/>
      <c r="O61" s="887"/>
      <c r="P61" s="887"/>
      <c r="Q61" s="887"/>
      <c r="R61" s="887"/>
      <c r="S61" s="887"/>
      <c r="T61" s="465" cm="1" t="str">
        <f t="array" ref="T61:T61">T60</f>
        <v>true</v>
      </c>
      <c r="U61" s="887"/>
      <c r="V61" s="887"/>
      <c r="W61" s="1758"/>
      <c r="X61" s="1563"/>
      <c r="Y61" s="1758"/>
      <c r="Z61" s="1546"/>
      <c r="AA61" s="1758"/>
      <c r="AB61" s="889">
        <v>4</v>
      </c>
      <c r="AC61" s="452" t="s">
        <v>2007</v>
      </c>
      <c r="AD61" s="300" t="s">
        <v>1514</v>
      </c>
      <c r="AE61" s="230"/>
      <c r="AF61" s="230"/>
      <c r="AG61" s="230"/>
      <c r="AH61" s="230"/>
      <c r="AI61" s="230"/>
      <c r="AJ61" s="230"/>
      <c r="AK61" s="230"/>
      <c r="AL61" s="230"/>
      <c r="AM61" s="230"/>
      <c r="AN61" s="5000"/>
      <c r="AO61" s="5000"/>
      <c r="AP61" s="5000"/>
      <c r="AQ61" s="5000"/>
      <c r="AR61" s="5000"/>
      <c r="AS61" s="230"/>
      <c r="AT61" s="230"/>
      <c r="AU61" s="230"/>
      <c r="AV61" s="230"/>
      <c r="AW61" s="230"/>
      <c r="AX61" s="5000"/>
      <c r="AY61" s="5000"/>
      <c r="AZ61" s="5000"/>
      <c r="BA61" s="5000"/>
      <c r="BB61" s="5000"/>
      <c r="BC61" s="200"/>
      <c r="BD61" s="1758"/>
      <c r="BE61" s="1758"/>
      <c r="BF61" s="1038" t="s">
        <v>2008</v>
      </c>
      <c r="BG61" s="1764"/>
      <c r="BH61" s="1764"/>
      <c r="BI61" s="1757"/>
      <c r="BJ61" s="1757"/>
    </row>
    <row s="538" customFormat="1" customHeight="1" ht="0">
      <c r="A62" s="1758"/>
      <c r="B62" s="838"/>
      <c r="C62" s="426"/>
      <c r="D62" s="426"/>
      <c r="E62" s="619">
        <v>15</v>
      </c>
      <c r="F62" s="50" cm="1" t="str">
        <f t="array" ref="F62:F62">OFFSET(E62,-1,1)</f>
        <v>2</v>
      </c>
      <c r="G62" s="426" t="s">
        <v>335</v>
      </c>
      <c r="H62" s="426"/>
      <c r="I62" s="426"/>
      <c r="J62" s="426"/>
      <c r="K62" s="124" t="str">
        <f>F62&amp;"5komm"</f>
        <v>25komm</v>
      </c>
      <c r="L62" s="919" cm="1" t="str">
        <f t="array" ref="L62:L62">BC62</f>
        <v>0</v>
      </c>
      <c r="M62" s="426"/>
      <c r="N62" s="426"/>
      <c r="O62" s="426"/>
      <c r="P62" s="426"/>
      <c r="Q62" s="426"/>
      <c r="R62" s="426"/>
      <c r="S62" s="426"/>
      <c r="T62" s="465" cm="1" t="str">
        <f t="array" ref="T62:T62">T61</f>
        <v>true</v>
      </c>
      <c r="U62" s="426"/>
      <c r="V62" s="426"/>
      <c r="W62" s="1758"/>
      <c r="X62" s="1563"/>
      <c r="Y62" s="1758"/>
      <c r="Z62" s="1546"/>
      <c r="AA62" s="1758"/>
      <c r="AB62" s="299" t="s">
        <v>443</v>
      </c>
      <c r="AC62" s="452" t="s">
        <v>2009</v>
      </c>
      <c r="AD62" s="300" t="s">
        <v>1514</v>
      </c>
      <c r="AE62" s="228"/>
      <c r="AF62" s="228"/>
      <c r="AG62" s="228"/>
      <c r="AH62" s="228"/>
      <c r="AI62" s="228"/>
      <c r="AJ62" s="228"/>
      <c r="AK62" s="228"/>
      <c r="AL62" s="228"/>
      <c r="AM62" s="228"/>
      <c r="AN62" s="4993"/>
      <c r="AO62" s="4993"/>
      <c r="AP62" s="4993"/>
      <c r="AQ62" s="4993"/>
      <c r="AR62" s="4993"/>
      <c r="AS62" s="228"/>
      <c r="AT62" s="228"/>
      <c r="AU62" s="228"/>
      <c r="AV62" s="228"/>
      <c r="AW62" s="228"/>
      <c r="AX62" s="4993"/>
      <c r="AY62" s="4993"/>
      <c r="AZ62" s="4993"/>
      <c r="BA62" s="4993"/>
      <c r="BB62" s="4993"/>
      <c r="BC62" s="200"/>
      <c r="BD62" s="1758"/>
      <c r="BE62" s="1758"/>
      <c r="BF62" s="997" t="s">
        <v>2010</v>
      </c>
      <c r="BG62" s="997"/>
      <c r="BH62" s="997"/>
      <c r="BI62" s="618"/>
      <c r="BJ62" s="618"/>
    </row>
    <row s="538" customFormat="1" customHeight="1" ht="96.75">
      <c r="A63" s="1758"/>
      <c r="B63" s="838"/>
      <c r="C63" s="426"/>
      <c r="D63" s="426"/>
      <c r="E63" s="619">
        <v>15</v>
      </c>
      <c r="F63" s="50" cm="1" t="str">
        <f t="array" ref="F63:F63">OFFSET(E63,-1,1)</f>
        <v>2</v>
      </c>
      <c r="G63" s="426" t="s">
        <v>1225</v>
      </c>
      <c r="H63" s="426"/>
      <c r="I63" s="426"/>
      <c r="J63" s="426"/>
      <c r="K63" s="124" t="str">
        <f>F63&amp;"6komm"</f>
        <v>26komm</v>
      </c>
      <c r="L63" s="919" cm="1" t="str">
        <f t="array" ref="L63:L63">BC63</f>
        <v>в соответствии с п.1 ст.308 Налогового кодекса РФ от 05.08.2000 № 117-ФЗ, с учетом уменьшения суммы налога на 50% на 2024-2028 годы в соответствии с Законом от 24.11.2033 № 107-ОЗ "О внесении изменения в статью 4 Закона Кемеровской области-кузбасса "О налоге на имущество организаций". Налог рассчитан по остаточной стоимости, данные получены из материалов, представленных организацией при получении долгосрочных параметров регулирования.</v>
      </c>
      <c r="M63" s="426"/>
      <c r="N63" s="426"/>
      <c r="O63" s="426"/>
      <c r="P63" s="426"/>
      <c r="Q63" s="426"/>
      <c r="R63" s="426"/>
      <c r="S63" s="426"/>
      <c r="T63" s="465" cm="1" t="str">
        <f t="array" ref="T63:T63">T62</f>
        <v>true</v>
      </c>
      <c r="U63" s="426"/>
      <c r="V63" s="426"/>
      <c r="W63" s="1758"/>
      <c r="X63" s="1563"/>
      <c r="Y63" s="1758"/>
      <c r="Z63" s="1546"/>
      <c r="AA63" s="1758"/>
      <c r="AB63" s="299" t="s">
        <v>446</v>
      </c>
      <c r="AC63" s="452" t="s">
        <v>2011</v>
      </c>
      <c r="AD63" s="300" t="s">
        <v>1514</v>
      </c>
      <c r="AE63" s="228"/>
      <c r="AF63" s="228"/>
      <c r="AG63" s="228"/>
      <c r="AH63" s="228"/>
      <c r="AI63" s="228">
        <v>179.0635</v>
      </c>
      <c r="AJ63" s="228">
        <v>167.668</v>
      </c>
      <c r="AK63" s="228">
        <v>156.476</v>
      </c>
      <c r="AL63" s="228">
        <v>291.179</v>
      </c>
      <c r="AM63" s="228">
        <v>269.609</v>
      </c>
      <c r="AN63" s="4993"/>
      <c r="AO63" s="4993"/>
      <c r="AP63" s="4993"/>
      <c r="AQ63" s="4993"/>
      <c r="AR63" s="4993"/>
      <c r="AS63" s="228">
        <f>358.127/2</f>
        <v>179.0635</v>
      </c>
      <c r="AT63" s="228">
        <f>335.336/2</f>
        <v>167.668</v>
      </c>
      <c r="AU63" s="228">
        <f>312.952/2</f>
        <v>156.476</v>
      </c>
      <c r="AV63" s="228">
        <v>291.179</v>
      </c>
      <c r="AW63" s="228">
        <v>269.609</v>
      </c>
      <c r="AX63" s="4993"/>
      <c r="AY63" s="4993"/>
      <c r="AZ63" s="4993"/>
      <c r="BA63" s="4993"/>
      <c r="BB63" s="4993"/>
      <c r="BC63" s="200" t="s">
        <v>2027</v>
      </c>
      <c r="BD63" s="1758"/>
      <c r="BE63" s="1758"/>
      <c r="BF63" s="997" t="s">
        <v>2012</v>
      </c>
      <c r="BG63" s="997"/>
      <c r="BH63" s="997"/>
      <c r="BI63" s="618"/>
      <c r="BJ63" s="618"/>
    </row>
    <row s="538" customFormat="1" customHeight="1" ht="0">
      <c r="A64" s="1758"/>
      <c r="B64" s="838"/>
      <c r="C64" s="426"/>
      <c r="D64" s="426"/>
      <c r="E64" s="619">
        <v>15</v>
      </c>
      <c r="F64" s="50" cm="1" t="str">
        <f t="array" ref="F64:F64">OFFSET(E64,-1,1)</f>
        <v>2</v>
      </c>
      <c r="G64" s="426" t="s">
        <v>1228</v>
      </c>
      <c r="H64" s="426" t="s">
        <v>2013</v>
      </c>
      <c r="I64" s="426"/>
      <c r="J64" s="426"/>
      <c r="K64" s="124" t="str">
        <f>F64&amp;"7komm"</f>
        <v>27komm</v>
      </c>
      <c r="L64" s="919" cm="1" t="str">
        <f t="array" ref="L64:L64">BC64</f>
        <v>0</v>
      </c>
      <c r="M64" s="426"/>
      <c r="N64" s="426"/>
      <c r="O64" s="426"/>
      <c r="P64" s="426"/>
      <c r="Q64" s="426"/>
      <c r="R64" s="426"/>
      <c r="S64" s="426"/>
      <c r="T64" s="465" cm="1" t="str">
        <f t="array" ref="T64:T64">T63</f>
        <v>true</v>
      </c>
      <c r="U64" s="426"/>
      <c r="V64" s="426"/>
      <c r="W64" s="1758"/>
      <c r="X64" s="1563"/>
      <c r="Y64" s="1758"/>
      <c r="Z64" s="1546"/>
      <c r="AA64" s="1758"/>
      <c r="AB64" s="299" t="s">
        <v>449</v>
      </c>
      <c r="AC64" s="452" t="s">
        <v>2014</v>
      </c>
      <c r="AD64" s="300" t="s">
        <v>1514</v>
      </c>
      <c r="AE64" s="228"/>
      <c r="AF64" s="228"/>
      <c r="AG64" s="228"/>
      <c r="AH64" s="228"/>
      <c r="AI64" s="228"/>
      <c r="AJ64" s="228"/>
      <c r="AK64" s="228"/>
      <c r="AL64" s="228"/>
      <c r="AM64" s="228"/>
      <c r="AN64" s="4993"/>
      <c r="AO64" s="4993"/>
      <c r="AP64" s="4993"/>
      <c r="AQ64" s="4993"/>
      <c r="AR64" s="4993"/>
      <c r="AS64" s="228"/>
      <c r="AT64" s="228"/>
      <c r="AU64" s="228"/>
      <c r="AV64" s="228"/>
      <c r="AW64" s="228"/>
      <c r="AX64" s="4993"/>
      <c r="AY64" s="4993"/>
      <c r="AZ64" s="4993"/>
      <c r="BA64" s="4993"/>
      <c r="BB64" s="4993"/>
      <c r="BC64" s="200"/>
      <c r="BD64" s="1758"/>
      <c r="BE64" s="1758"/>
      <c r="BF64" s="997" t="s">
        <v>2015</v>
      </c>
      <c r="BG64" s="997"/>
      <c r="BH64" s="997"/>
      <c r="BI64" s="618"/>
      <c r="BJ64" s="618"/>
    </row>
    <row s="538" customFormat="1" customHeight="1" ht="0">
      <c r="A65" s="1758"/>
      <c r="B65" s="838"/>
      <c r="C65" s="426"/>
      <c r="D65" s="426"/>
      <c r="E65" s="619">
        <v>22.5</v>
      </c>
      <c r="F65" s="50" cm="1" t="str">
        <f t="array" ref="F65:F65">OFFSET(E65,-1,1)</f>
        <v>2</v>
      </c>
      <c r="G65" s="426" t="s">
        <v>1275</v>
      </c>
      <c r="H65" s="426"/>
      <c r="I65" s="426"/>
      <c r="J65" s="426"/>
      <c r="K65" s="124" t="str">
        <f>F65&amp;"8komm"</f>
        <v>28komm</v>
      </c>
      <c r="L65" s="919" cm="1" t="str">
        <f t="array" ref="L65:L65">BC65</f>
        <v>0</v>
      </c>
      <c r="M65" s="426"/>
      <c r="N65" s="426"/>
      <c r="O65" s="426"/>
      <c r="P65" s="426"/>
      <c r="Q65" s="426"/>
      <c r="R65" s="426"/>
      <c r="S65" s="426"/>
      <c r="T65" s="465" cm="1" t="str">
        <f t="array" ref="T65:T65">T64</f>
        <v>true</v>
      </c>
      <c r="U65" s="426"/>
      <c r="V65" s="426"/>
      <c r="W65" s="1758"/>
      <c r="X65" s="1563"/>
      <c r="Y65" s="1758"/>
      <c r="Z65" s="1546"/>
      <c r="AA65" s="1758"/>
      <c r="AB65" s="299" t="s">
        <v>452</v>
      </c>
      <c r="AC65" s="452" t="s">
        <v>2016</v>
      </c>
      <c r="AD65" s="300" t="s">
        <v>1514</v>
      </c>
      <c r="AE65" s="228"/>
      <c r="AF65" s="228"/>
      <c r="AG65" s="228"/>
      <c r="AH65" s="228"/>
      <c r="AI65" s="228"/>
      <c r="AJ65" s="228"/>
      <c r="AK65" s="228"/>
      <c r="AL65" s="228"/>
      <c r="AM65" s="228"/>
      <c r="AN65" s="4993"/>
      <c r="AO65" s="4993"/>
      <c r="AP65" s="4993"/>
      <c r="AQ65" s="4993"/>
      <c r="AR65" s="4993"/>
      <c r="AS65" s="228"/>
      <c r="AT65" s="228"/>
      <c r="AU65" s="228"/>
      <c r="AV65" s="228"/>
      <c r="AW65" s="228"/>
      <c r="AX65" s="4993"/>
      <c r="AY65" s="4993"/>
      <c r="AZ65" s="4993"/>
      <c r="BA65" s="4993"/>
      <c r="BB65" s="4993"/>
      <c r="BC65" s="200"/>
      <c r="BD65" s="1758"/>
      <c r="BE65" s="1758"/>
      <c r="BF65" s="997" t="s">
        <v>2017</v>
      </c>
      <c r="BG65" s="997"/>
      <c r="BH65" s="997"/>
      <c r="BI65" s="618"/>
      <c r="BJ65" s="618"/>
    </row>
    <row s="1021" customFormat="1" customHeight="1" ht="0">
      <c r="A66" s="1021"/>
      <c r="B66" s="838"/>
      <c r="C66" s="426"/>
      <c r="D66" s="426"/>
      <c r="E66" s="619">
        <v>22.5</v>
      </c>
      <c r="F66" s="50" cm="1" t="str">
        <f t="array" ref="F66:F66">OFFSET(E66,-1,1)</f>
        <v>2</v>
      </c>
      <c r="G66" s="426"/>
      <c r="H66" s="426"/>
      <c r="I66" s="426"/>
      <c r="J66" s="426"/>
      <c r="K66" s="124" t="str">
        <f>F66&amp;"9komm"</f>
        <v>29komm</v>
      </c>
      <c r="L66" s="919" cm="1" t="str">
        <f t="array" ref="L66:L66">BC66</f>
        <v>0</v>
      </c>
      <c r="M66" s="426"/>
      <c r="N66" s="426"/>
      <c r="O66" s="426"/>
      <c r="P66" s="426"/>
      <c r="Q66" s="426"/>
      <c r="R66" s="426"/>
      <c r="S66" s="426"/>
      <c r="T66" s="465" cm="1" t="str">
        <f t="array" ref="T66:T66">T65</f>
        <v>true</v>
      </c>
      <c r="U66" s="426"/>
      <c r="V66" s="426"/>
      <c r="W66" s="1021"/>
      <c r="X66" s="1563"/>
      <c r="Y66" s="1021"/>
      <c r="Z66" s="1546"/>
      <c r="AA66" s="1021"/>
      <c r="AB66" s="299" t="s">
        <v>455</v>
      </c>
      <c r="AC66" s="452" t="s">
        <v>2018</v>
      </c>
      <c r="AD66" s="300" t="s">
        <v>1514</v>
      </c>
      <c r="AE66" s="298"/>
      <c r="AF66" s="298"/>
      <c r="AG66" s="298"/>
      <c r="AH66" s="298"/>
      <c r="AI66" s="298"/>
      <c r="AJ66" s="298"/>
      <c r="AK66" s="298"/>
      <c r="AL66" s="298"/>
      <c r="AM66" s="298"/>
      <c r="AN66" s="4725"/>
      <c r="AO66" s="4725"/>
      <c r="AP66" s="4725"/>
      <c r="AQ66" s="4725"/>
      <c r="AR66" s="4725"/>
      <c r="AS66" s="298"/>
      <c r="AT66" s="298"/>
      <c r="AU66" s="298"/>
      <c r="AV66" s="298"/>
      <c r="AW66" s="298"/>
      <c r="AX66" s="4725"/>
      <c r="AY66" s="4725"/>
      <c r="AZ66" s="4725"/>
      <c r="BA66" s="4725"/>
      <c r="BB66" s="4725"/>
      <c r="BC66" s="774"/>
      <c r="BD66" s="1021"/>
      <c r="BE66" s="1021"/>
      <c r="BF66" s="1005" t="s">
        <v>2019</v>
      </c>
      <c r="BG66" s="1005"/>
      <c r="BH66" s="1005"/>
      <c r="BI66" s="692"/>
      <c r="BJ66" s="692"/>
    </row>
    <row s="1834" customFormat="1" customHeight="1" ht="14.25">
      <c r="A67" s="1758"/>
      <c r="B67" s="891"/>
      <c r="C67" s="887"/>
      <c r="D67" s="887"/>
      <c r="E67" s="888">
        <v>15</v>
      </c>
      <c r="F67" s="50" cm="1" t="str">
        <f t="array" ref="F67:F67">OFFSET(E67,-1,1)</f>
        <v>2</v>
      </c>
      <c r="G67" s="887" t="s">
        <v>1290</v>
      </c>
      <c r="H67" s="923"/>
      <c r="I67" s="887"/>
      <c r="J67" s="887"/>
      <c r="K67" s="124" t="str">
        <f>F67&amp;"10komm"</f>
        <v>210komm</v>
      </c>
      <c r="L67" s="919" cm="1" t="str">
        <f t="array" ref="L67:L67">BC67</f>
        <v>0</v>
      </c>
      <c r="M67" s="887"/>
      <c r="N67" s="887"/>
      <c r="O67" s="887"/>
      <c r="P67" s="887"/>
      <c r="Q67" s="887"/>
      <c r="R67" s="887"/>
      <c r="S67" s="887"/>
      <c r="T67" s="465" cm="1" t="str">
        <f t="array" ref="T67:T67">T66</f>
        <v>true</v>
      </c>
      <c r="U67" s="887"/>
      <c r="V67" s="887"/>
      <c r="W67" s="1758"/>
      <c r="X67" s="1563"/>
      <c r="Y67" s="1758"/>
      <c r="Z67" s="1546"/>
      <c r="AA67" s="1758"/>
      <c r="AB67" s="889">
        <v>10</v>
      </c>
      <c r="AC67" s="452" t="s">
        <v>2020</v>
      </c>
      <c r="AD67" s="300" t="s">
        <v>1514</v>
      </c>
      <c r="AE67" s="235">
        <f>SUM(AE68:AE70)</f>
        <v>0</v>
      </c>
      <c r="AF67" s="235">
        <f>SUM(AF68:AF70)</f>
        <v>0</v>
      </c>
      <c r="AG67" s="235">
        <f>SUM(AG68:AG70)</f>
        <v>0</v>
      </c>
      <c r="AH67" s="235">
        <f>SUM(AH68:AH70)</f>
        <v>0</v>
      </c>
      <c r="AI67" s="235">
        <f>SUM(AI68:AI70)</f>
        <v>0</v>
      </c>
      <c r="AJ67" s="235">
        <f>SUM(AJ68:AJ70)</f>
        <v>0</v>
      </c>
      <c r="AK67" s="235">
        <f>SUM(AK68:AK70)</f>
        <v>14.66</v>
      </c>
      <c r="AL67" s="235">
        <f>SUM(AL68:AL70)</f>
        <v>81.08</v>
      </c>
      <c r="AM67" s="235">
        <f>SUM(AM68:AM70)</f>
        <v>51.76</v>
      </c>
      <c r="AN67" s="235">
        <f>SUM(AN68:AN70)</f>
        <v>0</v>
      </c>
      <c r="AO67" s="235">
        <f>SUM(AO68:AO70)</f>
        <v>0</v>
      </c>
      <c r="AP67" s="235">
        <f>SUM(AP68:AP70)</f>
        <v>0</v>
      </c>
      <c r="AQ67" s="235">
        <f>SUM(AQ68:AQ70)</f>
        <v>0</v>
      </c>
      <c r="AR67" s="235">
        <f>SUM(AR68:AR70)</f>
        <v>0</v>
      </c>
      <c r="AS67" s="235">
        <f>SUM(AS68:AS70)</f>
        <v>0</v>
      </c>
      <c r="AT67" s="235">
        <f>SUM(AT68:AT70)</f>
        <v>0</v>
      </c>
      <c r="AU67" s="235">
        <f>SUM(AU68:AU70)</f>
        <v>14.66</v>
      </c>
      <c r="AV67" s="235">
        <f>SUM(AV68:AV70)</f>
        <v>81.08</v>
      </c>
      <c r="AW67" s="235">
        <f>SUM(AW68:AW70)</f>
        <v>51.76</v>
      </c>
      <c r="AX67" s="235">
        <f>SUM(AX68:AX70)</f>
        <v>0</v>
      </c>
      <c r="AY67" s="235">
        <f>SUM(AY68:AY70)</f>
        <v>0</v>
      </c>
      <c r="AZ67" s="235">
        <f>SUM(AZ68:AZ70)</f>
        <v>0</v>
      </c>
      <c r="BA67" s="235">
        <f>SUM(BA68:BA70)</f>
        <v>0</v>
      </c>
      <c r="BB67" s="235">
        <f>SUM(BB68:BB70)</f>
        <v>0</v>
      </c>
      <c r="BC67" s="200"/>
      <c r="BD67" s="1758"/>
      <c r="BE67" s="1758"/>
      <c r="BF67" s="1038" t="s">
        <v>2021</v>
      </c>
      <c r="BG67" s="1764"/>
      <c r="BH67" s="1764"/>
      <c r="BI67" s="1757"/>
      <c r="BJ67" s="1757"/>
    </row>
    <row s="1834" customFormat="1" customHeight="1" ht="14.25" hidden="1">
      <c r="E68" s="619">
        <v>15</v>
      </c>
      <c r="F68" s="1175" cm="1" t="str">
        <f t="array" ref="F68:F68">OFFSET(E68,-1,1)</f>
        <v>2</v>
      </c>
      <c r="G68" s="104" t="s">
        <v>1290</v>
      </c>
      <c r="I68" s="563" cm="1" t="str">
        <f t="array" ref="I68:I68">AC68</f>
        <v>0</v>
      </c>
      <c r="T68" s="465">
        <f>AND(F68&gt;0,Y68&gt;0)</f>
        <v>0</v>
      </c>
      <c r="W68" s="717" t="s">
        <v>174</v>
      </c>
      <c r="Y68" s="122">
        <v>0</v>
      </c>
      <c r="AA68" s="420" t="s">
        <v>175</v>
      </c>
      <c r="AB68" s="690" t="str">
        <f>"10."&amp;Y68</f>
        <v>10.0</v>
      </c>
      <c r="AC68" s="5041"/>
      <c r="AD68" s="88" t="s">
        <v>1514</v>
      </c>
      <c r="AE68" s="1244"/>
      <c r="AF68" s="1244"/>
      <c r="AG68" s="1244"/>
      <c r="AH68" s="1244"/>
      <c r="AI68" s="1244"/>
      <c r="AJ68" s="1244"/>
      <c r="AK68" s="1244"/>
      <c r="AL68" s="1244"/>
      <c r="AM68" s="1244"/>
      <c r="AN68" s="1244"/>
      <c r="AO68" s="1244"/>
      <c r="AP68" s="1244"/>
      <c r="AQ68" s="1244"/>
      <c r="AR68" s="1244"/>
      <c r="AS68" s="1244"/>
      <c r="AT68" s="1244"/>
      <c r="AU68" s="1244"/>
      <c r="AV68" s="1244"/>
      <c r="AW68" s="1244"/>
      <c r="AX68" s="1244"/>
      <c r="AY68" s="1244"/>
      <c r="AZ68" s="1244"/>
      <c r="BA68" s="1244"/>
      <c r="BB68" s="1244"/>
      <c r="BC68" s="5042"/>
      <c r="BF68" s="997" t="s">
        <v>2021</v>
      </c>
      <c r="BG68" s="997" t="s">
        <v>2022</v>
      </c>
      <c r="BH68" s="1050" cm="1" t="str">
        <f t="array" ref="BH68:BH68">AC68</f>
        <v>0</v>
      </c>
      <c r="BI68" s="618"/>
      <c r="BJ68" s="618" t="b">
        <v>1</v>
      </c>
    </row>
    <row s="1834" customFormat="1" customHeight="1" ht="65.25">
      <c r="A69" s="1834"/>
      <c r="B69" s="1834"/>
      <c r="C69" s="1834"/>
      <c r="D69" s="1834"/>
      <c r="E69" s="619">
        <v>15</v>
      </c>
      <c r="F69" s="1175" cm="1" t="str">
        <f t="array" ref="F69:F69">OFFSET(E69,-1,1)</f>
        <v>2</v>
      </c>
      <c r="G69" s="104" t="s">
        <v>1290</v>
      </c>
      <c r="H69" s="1834"/>
      <c r="I69" s="563" cm="1" t="str">
        <f t="array" ref="I69:I69">AC69</f>
        <v>налог на имущество по ИП</v>
      </c>
      <c r="J69" s="1834"/>
      <c r="K69" s="1834"/>
      <c r="L69" s="1834"/>
      <c r="M69" s="1834"/>
      <c r="N69" s="1834"/>
      <c r="O69" s="1834"/>
      <c r="P69" s="1834"/>
      <c r="Q69" s="1834"/>
      <c r="R69" s="1834"/>
      <c r="S69" s="1834"/>
      <c r="T69" s="465">
        <f>AND(F69&gt;0,Y69&gt;0)</f>
        <v>1</v>
      </c>
      <c r="U69" s="1834"/>
      <c r="V69" s="1834"/>
      <c r="W69" s="717"/>
      <c r="X69" s="1834"/>
      <c r="Y69" s="122" t="s">
        <v>276</v>
      </c>
      <c r="Z69" s="1834"/>
      <c r="AA69" s="420" t="s">
        <v>175</v>
      </c>
      <c r="AB69" s="690" t="str">
        <f>"10."&amp;Y69</f>
        <v>10.1</v>
      </c>
      <c r="AC69" s="5043" t="s">
        <v>2028</v>
      </c>
      <c r="AD69" s="88" t="s">
        <v>1514</v>
      </c>
      <c r="AE69" s="4750"/>
      <c r="AF69" s="4750"/>
      <c r="AG69" s="4750"/>
      <c r="AH69" s="4750"/>
      <c r="AI69" s="4750"/>
      <c r="AJ69" s="4750"/>
      <c r="AK69" s="4750">
        <v>14.66</v>
      </c>
      <c r="AL69" s="4750">
        <v>81.08</v>
      </c>
      <c r="AM69" s="4750">
        <v>51.76</v>
      </c>
      <c r="AN69" s="1244"/>
      <c r="AO69" s="1244"/>
      <c r="AP69" s="1244"/>
      <c r="AQ69" s="1244"/>
      <c r="AR69" s="1244"/>
      <c r="AS69" s="4750"/>
      <c r="AT69" s="4750"/>
      <c r="AU69" s="4750">
        <v>14.66</v>
      </c>
      <c r="AV69" s="4750">
        <v>81.08</v>
      </c>
      <c r="AW69" s="4750">
        <v>51.76</v>
      </c>
      <c r="AX69" s="1244"/>
      <c r="AY69" s="1244"/>
      <c r="AZ69" s="1244"/>
      <c r="BA69" s="1244"/>
      <c r="BB69" s="1244"/>
      <c r="BC69" s="5044" t="s">
        <v>2029</v>
      </c>
      <c r="BD69" s="1834"/>
      <c r="BE69" s="1834"/>
      <c r="BF69" s="997" t="s">
        <v>2021</v>
      </c>
      <c r="BG69" s="997" t="s">
        <v>2022</v>
      </c>
      <c r="BH69" s="1050" cm="1" t="str">
        <f t="array" ref="BH69:BH69">AC69</f>
        <v>налог на имущество по ИП</v>
      </c>
      <c r="BI69" s="618"/>
      <c r="BJ69" s="618" t="b">
        <v>1</v>
      </c>
    </row>
    <row s="538" customFormat="1" customHeight="1" ht="14.25">
      <c r="A70" s="1758"/>
      <c r="B70" s="838"/>
      <c r="C70" s="426"/>
      <c r="D70" s="426"/>
      <c r="E70" s="619">
        <v>15</v>
      </c>
      <c r="F70" s="50" cm="1" t="str">
        <f t="array" ref="F70:F70">OFFSET(E70,-1,1)</f>
        <v>2</v>
      </c>
      <c r="G70" s="426"/>
      <c r="H70" s="1758"/>
      <c r="I70" s="426" t="str">
        <f>"!=='не определено'"</f>
        <v>!=='не определено'</v>
      </c>
      <c r="J70" s="426"/>
      <c r="K70" s="426"/>
      <c r="L70" s="426"/>
      <c r="M70" s="426"/>
      <c r="N70" s="426"/>
      <c r="O70" s="426"/>
      <c r="P70" s="426"/>
      <c r="Q70" s="426"/>
      <c r="R70" s="426"/>
      <c r="S70" s="426"/>
      <c r="T70" s="465">
        <f>F70&gt;0</f>
        <v>1</v>
      </c>
      <c r="U70" s="426"/>
      <c r="V70" s="426"/>
      <c r="W70" s="757" t="s">
        <v>399</v>
      </c>
      <c r="X70" s="1563"/>
      <c r="Y70" s="1758"/>
      <c r="Z70" s="1546"/>
      <c r="AA70" s="1758"/>
      <c r="AB70" s="775"/>
      <c r="AC70" s="260" t="s">
        <v>178</v>
      </c>
      <c r="AD70" s="776"/>
      <c r="AE70" s="232"/>
      <c r="AF70" s="232"/>
      <c r="AG70" s="232"/>
      <c r="AH70" s="232"/>
      <c r="AI70" s="232"/>
      <c r="AJ70" s="232"/>
      <c r="AK70" s="232"/>
      <c r="AL70" s="232"/>
      <c r="AM70" s="232"/>
      <c r="AN70" s="232"/>
      <c r="AO70" s="232"/>
      <c r="AP70" s="232"/>
      <c r="AQ70" s="232"/>
      <c r="AR70" s="232"/>
      <c r="AS70" s="232"/>
      <c r="AT70" s="232"/>
      <c r="AU70" s="232"/>
      <c r="AV70" s="232"/>
      <c r="AW70" s="232"/>
      <c r="AX70" s="232"/>
      <c r="AY70" s="232"/>
      <c r="AZ70" s="232"/>
      <c r="BA70" s="232"/>
      <c r="BB70" s="232"/>
      <c r="BC70" s="233"/>
      <c r="BD70" s="1758"/>
      <c r="BE70" s="1758"/>
      <c r="BF70" s="997"/>
      <c r="BG70" s="997"/>
      <c r="BH70" s="997"/>
      <c r="BI70" s="618" t="s">
        <v>2022</v>
      </c>
      <c r="BJ70" s="618"/>
    </row>
    <row s="538" customFormat="1" customHeight="1" ht="14.25">
      <c r="A71" s="1758"/>
      <c r="B71" s="428"/>
      <c r="C71" s="1758"/>
      <c r="D71" s="1758"/>
      <c r="E71" s="618">
        <v>15</v>
      </c>
      <c r="F71" s="98" cm="1" t="str">
        <f t="array" ref="F71:F71">X71</f>
        <v>3</v>
      </c>
      <c r="G71" s="1758"/>
      <c r="H71" s="1758"/>
      <c r="I71" s="1758"/>
      <c r="J71" s="1758"/>
      <c r="K71" s="1758"/>
      <c r="L71" s="1758"/>
      <c r="M71" s="1758"/>
      <c r="N71" s="1758"/>
      <c r="O71" s="1758"/>
      <c r="P71" s="1758"/>
      <c r="Q71" s="1758"/>
      <c r="R71" s="1758"/>
      <c r="S71" s="1758"/>
      <c r="T71" s="465">
        <f>X71&gt;0</f>
        <v>1</v>
      </c>
      <c r="U71" s="1758"/>
      <c r="V71" s="122" cm="1" t="str">
        <f t="array" ref="V71:V71">'Сбытовые расходы ГО'!$AB$63</f>
        <v>Тариф 3 (Водоотведение) - тариф на водоотведение (Доп. признак не требуется)</v>
      </c>
      <c r="W71" s="1758"/>
      <c r="X71" s="1563" t="s">
        <v>289</v>
      </c>
      <c r="Y71" s="1758"/>
      <c r="Z71" s="1546"/>
      <c r="AA71" s="1758"/>
      <c r="AB71" s="222" cm="1" t="str">
        <f t="array" ref="AB71:AB71">'Сбытовые расходы ГО'!$AB$63</f>
        <v>Тариф 3 (Водоотведение) - тариф на водоотведение (Доп. признак не требуется)</v>
      </c>
      <c r="AC71" s="180"/>
      <c r="AD71" s="180"/>
      <c r="AE71" s="180"/>
      <c r="AF71" s="180"/>
      <c r="AG71" s="180"/>
      <c r="AH71" s="180"/>
      <c r="AI71" s="180"/>
      <c r="AJ71" s="180"/>
      <c r="AK71" s="180"/>
      <c r="AL71" s="180"/>
      <c r="AM71" s="180"/>
      <c r="AN71" s="180"/>
      <c r="AO71" s="180"/>
      <c r="AP71" s="180"/>
      <c r="AQ71" s="180"/>
      <c r="AR71" s="180"/>
      <c r="AS71" s="180"/>
      <c r="AT71" s="180"/>
      <c r="AU71" s="180"/>
      <c r="AV71" s="180"/>
      <c r="AW71" s="180"/>
      <c r="AX71" s="180"/>
      <c r="AY71" s="180"/>
      <c r="AZ71" s="180"/>
      <c r="BA71" s="180"/>
      <c r="BB71" s="180"/>
      <c r="BC71" s="180"/>
      <c r="BD71" s="1758"/>
      <c r="BE71" s="1758"/>
      <c r="BF71" s="997"/>
      <c r="BG71" s="997"/>
      <c r="BH71" s="997"/>
      <c r="BI71" s="618"/>
      <c r="BJ71" s="618"/>
    </row>
    <row s="538" customFormat="1" customHeight="1" ht="21.75">
      <c r="A72" s="1758"/>
      <c r="B72" s="428"/>
      <c r="C72" s="1758"/>
      <c r="D72" s="1758"/>
      <c r="E72" s="618">
        <v>22.5</v>
      </c>
      <c r="F72" s="50" cm="1" t="str">
        <f t="array" ref="F72:F72">OFFSET(E72,-1,1)</f>
        <v>3</v>
      </c>
      <c r="G72" s="122" t="s">
        <v>1979</v>
      </c>
      <c r="H72" s="1758"/>
      <c r="I72" s="1758"/>
      <c r="J72" s="1758"/>
      <c r="K72" s="124" t="str">
        <f>F72&amp;"komm"</f>
        <v>3komm</v>
      </c>
      <c r="L72" s="919" cm="1" t="str">
        <f t="array" ref="L72:L72">BC72</f>
        <v>В соответствии с п.п. 2 п. 49 Методических указаний 1746-э.</v>
      </c>
      <c r="M72" s="1758"/>
      <c r="N72" s="1758"/>
      <c r="O72" s="1758"/>
      <c r="P72" s="1758"/>
      <c r="Q72" s="1758"/>
      <c r="R72" s="1758"/>
      <c r="S72" s="1758"/>
      <c r="T72" s="465" cm="1" t="str">
        <f t="array" ref="T72:T72">T71</f>
        <v>true</v>
      </c>
      <c r="U72" s="1758"/>
      <c r="V72" s="1758"/>
      <c r="W72" s="1758"/>
      <c r="X72" s="1563"/>
      <c r="Y72" s="1758"/>
      <c r="Z72" s="1546"/>
      <c r="AA72" s="1758"/>
      <c r="AB72" s="234">
        <v>0</v>
      </c>
      <c r="AC72" s="219" t="s">
        <v>1998</v>
      </c>
      <c r="AD72" s="211" t="s">
        <v>1514</v>
      </c>
      <c r="AE72" s="227">
        <f>SUM(AE73:AE82)</f>
        <v>0</v>
      </c>
      <c r="AF72" s="227">
        <f>SUM(AF73:AF82)</f>
        <v>0</v>
      </c>
      <c r="AG72" s="227">
        <f>SUM(AG73:AG82)</f>
        <v>0</v>
      </c>
      <c r="AH72" s="227">
        <f>SUM(AH73:AH82)</f>
        <v>0</v>
      </c>
      <c r="AI72" s="227">
        <f>SUM(AI73:AI82)</f>
        <v>184.694</v>
      </c>
      <c r="AJ72" s="227">
        <f>SUM(AJ73:AJ82)</f>
        <v>170.543</v>
      </c>
      <c r="AK72" s="227">
        <f>SUM(AK73:AK82)</f>
        <v>175.07407070976</v>
      </c>
      <c r="AL72" s="227">
        <f>SUM(AL73:AL82)</f>
        <v>312.96015353815</v>
      </c>
      <c r="AM72" s="227">
        <f>SUM(AM73:AM82)</f>
        <v>264.080999679676</v>
      </c>
      <c r="AN72" s="227">
        <f>SUM(AN73:AN82)</f>
        <v>0</v>
      </c>
      <c r="AO72" s="227">
        <f>SUM(AO73:AO82)</f>
        <v>0</v>
      </c>
      <c r="AP72" s="227">
        <f>SUM(AP73:AP82)</f>
        <v>0</v>
      </c>
      <c r="AQ72" s="227">
        <f>SUM(AQ73:AQ82)</f>
        <v>0</v>
      </c>
      <c r="AR72" s="227">
        <f>SUM(AR73:AR82)</f>
        <v>0</v>
      </c>
      <c r="AS72" s="227">
        <f>SUM(AS73:AS82)</f>
        <v>184.6980136</v>
      </c>
      <c r="AT72" s="227">
        <f>SUM(AT73:AT82)</f>
        <v>170.546914144</v>
      </c>
      <c r="AU72" s="227">
        <f>SUM(AU73:AU82)</f>
        <v>175.07707070976</v>
      </c>
      <c r="AV72" s="227">
        <f>SUM(AV73:AV82)</f>
        <v>312.96015353815</v>
      </c>
      <c r="AW72" s="227">
        <f>SUM(AW73:AW82)</f>
        <v>264.080999679676</v>
      </c>
      <c r="AX72" s="227">
        <f>SUM(AX73:AX82)</f>
        <v>0</v>
      </c>
      <c r="AY72" s="227">
        <f>SUM(AY73:AY82)</f>
        <v>0</v>
      </c>
      <c r="AZ72" s="227">
        <f>SUM(AZ73:AZ82)</f>
        <v>0</v>
      </c>
      <c r="BA72" s="227">
        <f>SUM(BA73:BA82)</f>
        <v>0</v>
      </c>
      <c r="BB72" s="227">
        <f>SUM(BB73:BB82)</f>
        <v>0</v>
      </c>
      <c r="BC72" s="200" t="s">
        <v>2023</v>
      </c>
      <c r="BD72" s="1758"/>
      <c r="BE72" s="1758"/>
      <c r="BF72" s="997" t="s">
        <v>1999</v>
      </c>
      <c r="BG72" s="997"/>
      <c r="BH72" s="997"/>
      <c r="BI72" s="618"/>
      <c r="BJ72" s="618"/>
    </row>
    <row s="538" customFormat="1" customHeight="1" ht="14.25">
      <c r="A73" s="1758"/>
      <c r="B73" s="428"/>
      <c r="C73" s="1758"/>
      <c r="D73" s="1758"/>
      <c r="E73" s="618">
        <v>15</v>
      </c>
      <c r="F73" s="50" cm="1" t="str">
        <f t="array" ref="F73:F73">OFFSET(E73,-1,1)</f>
        <v>3</v>
      </c>
      <c r="G73" s="122" t="s">
        <v>332</v>
      </c>
      <c r="H73" s="1758"/>
      <c r="I73" s="1758"/>
      <c r="J73" s="1758"/>
      <c r="K73" s="124" t="str">
        <f>F73&amp;"1komm"</f>
        <v>31komm</v>
      </c>
      <c r="L73" s="919" cm="1" t="str">
        <f t="array" ref="L73:L73">BC73</f>
        <v>по предложению организации.</v>
      </c>
      <c r="M73" s="1758"/>
      <c r="N73" s="1758"/>
      <c r="O73" s="1758"/>
      <c r="P73" s="1758"/>
      <c r="Q73" s="1758"/>
      <c r="R73" s="1758"/>
      <c r="S73" s="1758"/>
      <c r="T73" s="465" cm="1" t="str">
        <f t="array" ref="T73:T73">T72</f>
        <v>true</v>
      </c>
      <c r="U73" s="1758"/>
      <c r="V73" s="1758"/>
      <c r="W73" s="1758"/>
      <c r="X73" s="1563"/>
      <c r="Y73" s="1758"/>
      <c r="Z73" s="1546"/>
      <c r="AA73" s="1758"/>
      <c r="AB73" s="299" t="s">
        <v>276</v>
      </c>
      <c r="AC73" s="452" t="s">
        <v>2000</v>
      </c>
      <c r="AD73" s="300" t="s">
        <v>1514</v>
      </c>
      <c r="AE73" s="228"/>
      <c r="AF73" s="229"/>
      <c r="AG73" s="229"/>
      <c r="AH73" s="229"/>
      <c r="AI73" s="229">
        <v>4.73</v>
      </c>
      <c r="AJ73" s="229">
        <v>4.73</v>
      </c>
      <c r="AK73" s="229">
        <v>4.73</v>
      </c>
      <c r="AL73" s="229">
        <v>4.73</v>
      </c>
      <c r="AM73" s="229">
        <v>4.73</v>
      </c>
      <c r="AN73" s="4934"/>
      <c r="AO73" s="4934"/>
      <c r="AP73" s="4934"/>
      <c r="AQ73" s="4934"/>
      <c r="AR73" s="4934"/>
      <c r="AS73" s="229">
        <v>4.73</v>
      </c>
      <c r="AT73" s="229" cm="1" t="str">
        <f t="array" ref="AT73:AT73">AS73</f>
        <v>4.73</v>
      </c>
      <c r="AU73" s="229" cm="1" t="str">
        <f t="array" ref="AU73:AU73">AT73</f>
        <v>4.73</v>
      </c>
      <c r="AV73" s="229" cm="1" t="str">
        <f t="array" ref="AV73:AV73">AU73</f>
        <v>4.73</v>
      </c>
      <c r="AW73" s="229" cm="1" t="str">
        <f t="array" ref="AW73:AW73">AV73</f>
        <v>4.73</v>
      </c>
      <c r="AX73" s="4934"/>
      <c r="AY73" s="4934"/>
      <c r="AZ73" s="4934"/>
      <c r="BA73" s="4934"/>
      <c r="BB73" s="4934"/>
      <c r="BC73" s="200" t="s">
        <v>1564</v>
      </c>
      <c r="BD73" s="1758"/>
      <c r="BE73" s="1758"/>
      <c r="BF73" s="997" t="s">
        <v>2001</v>
      </c>
      <c r="BG73" s="997"/>
      <c r="BH73" s="997"/>
      <c r="BI73" s="618"/>
      <c r="BJ73" s="618"/>
    </row>
    <row s="538" customFormat="1" customHeight="1" ht="0">
      <c r="A74" s="1758"/>
      <c r="B74" s="838"/>
      <c r="C74" s="426"/>
      <c r="D74" s="426"/>
      <c r="E74" s="619">
        <v>22.5</v>
      </c>
      <c r="F74" s="50" cm="1" t="str">
        <f t="array" ref="F74:F74">OFFSET(E74,-1,1)</f>
        <v>3</v>
      </c>
      <c r="G74" s="426" t="s">
        <v>333</v>
      </c>
      <c r="H74" s="426"/>
      <c r="I74" s="426"/>
      <c r="J74" s="426"/>
      <c r="K74" s="124" t="str">
        <f>F74&amp;"2komm"</f>
        <v>32komm</v>
      </c>
      <c r="L74" s="919" cm="1" t="str">
        <f t="array" ref="L74:L74">BC74</f>
        <v>0</v>
      </c>
      <c r="M74" s="426"/>
      <c r="N74" s="426"/>
      <c r="O74" s="426"/>
      <c r="P74" s="426"/>
      <c r="Q74" s="426"/>
      <c r="R74" s="426"/>
      <c r="S74" s="426"/>
      <c r="T74" s="465" cm="1" t="str">
        <f t="array" ref="T74:T74">T73</f>
        <v>true</v>
      </c>
      <c r="U74" s="426"/>
      <c r="V74" s="426"/>
      <c r="W74" s="1758"/>
      <c r="X74" s="1563"/>
      <c r="Y74" s="1758"/>
      <c r="Z74" s="1546"/>
      <c r="AA74" s="1758"/>
      <c r="AB74" s="299" t="s">
        <v>285</v>
      </c>
      <c r="AC74" s="452" t="s">
        <v>2002</v>
      </c>
      <c r="AD74" s="300" t="s">
        <v>1514</v>
      </c>
      <c r="AE74" s="228"/>
      <c r="AF74" s="229"/>
      <c r="AG74" s="229"/>
      <c r="AH74" s="229"/>
      <c r="AI74" s="229"/>
      <c r="AJ74" s="229"/>
      <c r="AK74" s="229"/>
      <c r="AL74" s="229"/>
      <c r="AM74" s="229"/>
      <c r="AN74" s="4934"/>
      <c r="AO74" s="4934"/>
      <c r="AP74" s="4934"/>
      <c r="AQ74" s="4934"/>
      <c r="AR74" s="4934"/>
      <c r="AS74" s="229"/>
      <c r="AT74" s="229"/>
      <c r="AU74" s="229"/>
      <c r="AV74" s="229"/>
      <c r="AW74" s="229"/>
      <c r="AX74" s="4934"/>
      <c r="AY74" s="4934"/>
      <c r="AZ74" s="4934"/>
      <c r="BA74" s="4934"/>
      <c r="BB74" s="4934"/>
      <c r="BC74" s="200"/>
      <c r="BD74" s="1758"/>
      <c r="BE74" s="1758"/>
      <c r="BF74" s="997" t="s">
        <v>2003</v>
      </c>
      <c r="BG74" s="997"/>
      <c r="BH74" s="997"/>
      <c r="BI74" s="618"/>
      <c r="BJ74" s="618"/>
    </row>
    <row s="538" customFormat="1" customHeight="1" ht="54.75">
      <c r="A75" s="1758"/>
      <c r="B75" s="838"/>
      <c r="C75" s="426"/>
      <c r="D75" s="426"/>
      <c r="E75" s="619">
        <v>22.5</v>
      </c>
      <c r="F75" s="50" cm="1" t="str">
        <f t="array" ref="F75:F75">OFFSET(E75,-1,1)</f>
        <v>3</v>
      </c>
      <c r="G75" s="426" t="s">
        <v>334</v>
      </c>
      <c r="H75" s="426" t="s">
        <v>2004</v>
      </c>
      <c r="I75" s="426"/>
      <c r="J75" s="426"/>
      <c r="K75" s="124" t="str">
        <f>F75&amp;"3komm"</f>
        <v>33komm</v>
      </c>
      <c r="L75" s="919" cm="1" t="str">
        <f t="array" ref="L75:L75">BC75</f>
        <v>рассчитано от факта с июня по декабрь 2024 года предыдущей организации, в пересчете на годовые показатели, с применением ИПЦ Минэкономразвития России на 2025 год 109,0%, на 2026 год 105,1%., на 2027-2030 гг. 104,0%.</v>
      </c>
      <c r="M75" s="426"/>
      <c r="N75" s="426"/>
      <c r="O75" s="426"/>
      <c r="P75" s="426"/>
      <c r="Q75" s="426"/>
      <c r="R75" s="426"/>
      <c r="S75" s="426"/>
      <c r="T75" s="465" cm="1" t="str">
        <f t="array" ref="T75:T75">T74</f>
        <v>true</v>
      </c>
      <c r="U75" s="426"/>
      <c r="V75" s="426"/>
      <c r="W75" s="1758"/>
      <c r="X75" s="1563"/>
      <c r="Y75" s="1758"/>
      <c r="Z75" s="1546"/>
      <c r="AA75" s="1758"/>
      <c r="AB75" s="299" t="s">
        <v>289</v>
      </c>
      <c r="AC75" s="452" t="s">
        <v>2005</v>
      </c>
      <c r="AD75" s="300" t="s">
        <v>1514</v>
      </c>
      <c r="AE75" s="228"/>
      <c r="AF75" s="229"/>
      <c r="AG75" s="229"/>
      <c r="AH75" s="229"/>
      <c r="AI75" s="229">
        <v>65.157</v>
      </c>
      <c r="AJ75" s="229">
        <v>67.766</v>
      </c>
      <c r="AK75" s="229">
        <v>70.47707070976</v>
      </c>
      <c r="AL75" s="229">
        <v>73.2961535381504</v>
      </c>
      <c r="AM75" s="229">
        <v>76.2279996796764</v>
      </c>
      <c r="AN75" s="4934"/>
      <c r="AO75" s="4934"/>
      <c r="AP75" s="4934"/>
      <c r="AQ75" s="4934"/>
      <c r="AR75" s="4934"/>
      <c r="AS75" s="229">
        <v>65.1600136</v>
      </c>
      <c r="AT75" s="229">
        <f>AS75*1.04</f>
        <v>67.766414144</v>
      </c>
      <c r="AU75" s="229">
        <f>AT75*1.04</f>
        <v>70.47707070976</v>
      </c>
      <c r="AV75" s="229">
        <f>AU75*1.04</f>
        <v>73.2961535381504</v>
      </c>
      <c r="AW75" s="229">
        <f>AV75*1.04</f>
        <v>76.2279996796764</v>
      </c>
      <c r="AX75" s="4934"/>
      <c r="AY75" s="4934"/>
      <c r="AZ75" s="4934"/>
      <c r="BA75" s="4934"/>
      <c r="BB75" s="4934"/>
      <c r="BC75" s="200" t="s">
        <v>2024</v>
      </c>
      <c r="BD75" s="1758"/>
      <c r="BE75" s="1758"/>
      <c r="BF75" s="997" t="s">
        <v>2006</v>
      </c>
      <c r="BG75" s="997"/>
      <c r="BH75" s="997"/>
      <c r="BI75" s="618"/>
      <c r="BJ75" s="618"/>
    </row>
    <row s="1834" customFormat="1" customHeight="1" ht="0">
      <c r="A76" s="1758"/>
      <c r="B76" s="891"/>
      <c r="C76" s="887"/>
      <c r="D76" s="887"/>
      <c r="E76" s="888">
        <v>15</v>
      </c>
      <c r="F76" s="50" cm="1" t="str">
        <f t="array" ref="F76:F76">OFFSET(E76,-1,1)</f>
        <v>3</v>
      </c>
      <c r="G76" s="887" t="s">
        <v>336</v>
      </c>
      <c r="H76" s="887"/>
      <c r="I76" s="887"/>
      <c r="J76" s="887"/>
      <c r="K76" s="124" t="str">
        <f>F76&amp;"4komm"</f>
        <v>34komm</v>
      </c>
      <c r="L76" s="919" cm="1" t="str">
        <f t="array" ref="L76:L76">BC76</f>
        <v>0</v>
      </c>
      <c r="M76" s="887"/>
      <c r="N76" s="887"/>
      <c r="O76" s="887"/>
      <c r="P76" s="887"/>
      <c r="Q76" s="887"/>
      <c r="R76" s="887"/>
      <c r="S76" s="887"/>
      <c r="T76" s="465" cm="1" t="str">
        <f t="array" ref="T76:T76">T75</f>
        <v>true</v>
      </c>
      <c r="U76" s="887"/>
      <c r="V76" s="887"/>
      <c r="W76" s="1758"/>
      <c r="X76" s="1563"/>
      <c r="Y76" s="1758"/>
      <c r="Z76" s="1546"/>
      <c r="AA76" s="1758"/>
      <c r="AB76" s="889">
        <v>4</v>
      </c>
      <c r="AC76" s="452" t="s">
        <v>2007</v>
      </c>
      <c r="AD76" s="300" t="s">
        <v>1514</v>
      </c>
      <c r="AE76" s="230"/>
      <c r="AF76" s="230"/>
      <c r="AG76" s="230"/>
      <c r="AH76" s="230"/>
      <c r="AI76" s="230"/>
      <c r="AJ76" s="230"/>
      <c r="AK76" s="230"/>
      <c r="AL76" s="230"/>
      <c r="AM76" s="230"/>
      <c r="AN76" s="5000"/>
      <c r="AO76" s="5000"/>
      <c r="AP76" s="5000"/>
      <c r="AQ76" s="5000"/>
      <c r="AR76" s="5000"/>
      <c r="AS76" s="230"/>
      <c r="AT76" s="230"/>
      <c r="AU76" s="230"/>
      <c r="AV76" s="230"/>
      <c r="AW76" s="230"/>
      <c r="AX76" s="5000"/>
      <c r="AY76" s="5000"/>
      <c r="AZ76" s="5000"/>
      <c r="BA76" s="5000"/>
      <c r="BB76" s="5000"/>
      <c r="BC76" s="200"/>
      <c r="BD76" s="1758"/>
      <c r="BE76" s="1758"/>
      <c r="BF76" s="1038" t="s">
        <v>2008</v>
      </c>
      <c r="BG76" s="1764"/>
      <c r="BH76" s="1764"/>
      <c r="BI76" s="1757"/>
      <c r="BJ76" s="1757"/>
    </row>
    <row s="538" customFormat="1" customHeight="1" ht="0">
      <c r="A77" s="1758"/>
      <c r="B77" s="838"/>
      <c r="C77" s="426"/>
      <c r="D77" s="426"/>
      <c r="E77" s="619">
        <v>15</v>
      </c>
      <c r="F77" s="50" cm="1" t="str">
        <f t="array" ref="F77:F77">OFFSET(E77,-1,1)</f>
        <v>3</v>
      </c>
      <c r="G77" s="426" t="s">
        <v>335</v>
      </c>
      <c r="H77" s="426"/>
      <c r="I77" s="426"/>
      <c r="J77" s="426"/>
      <c r="K77" s="124" t="str">
        <f>F77&amp;"5komm"</f>
        <v>35komm</v>
      </c>
      <c r="L77" s="919" cm="1" t="str">
        <f t="array" ref="L77:L77">BC77</f>
        <v>0</v>
      </c>
      <c r="M77" s="426"/>
      <c r="N77" s="426"/>
      <c r="O77" s="426"/>
      <c r="P77" s="426"/>
      <c r="Q77" s="426"/>
      <c r="R77" s="426"/>
      <c r="S77" s="426"/>
      <c r="T77" s="465" cm="1" t="str">
        <f t="array" ref="T77:T77">T76</f>
        <v>true</v>
      </c>
      <c r="U77" s="426"/>
      <c r="V77" s="426"/>
      <c r="W77" s="1758"/>
      <c r="X77" s="1563"/>
      <c r="Y77" s="1758"/>
      <c r="Z77" s="1546"/>
      <c r="AA77" s="1758"/>
      <c r="AB77" s="299" t="s">
        <v>443</v>
      </c>
      <c r="AC77" s="452" t="s">
        <v>2009</v>
      </c>
      <c r="AD77" s="300" t="s">
        <v>1514</v>
      </c>
      <c r="AE77" s="228"/>
      <c r="AF77" s="228"/>
      <c r="AG77" s="228"/>
      <c r="AH77" s="228"/>
      <c r="AI77" s="228"/>
      <c r="AJ77" s="228"/>
      <c r="AK77" s="228"/>
      <c r="AL77" s="228"/>
      <c r="AM77" s="228"/>
      <c r="AN77" s="4993"/>
      <c r="AO77" s="4993"/>
      <c r="AP77" s="4993"/>
      <c r="AQ77" s="4993"/>
      <c r="AR77" s="4993"/>
      <c r="AS77" s="228"/>
      <c r="AT77" s="228"/>
      <c r="AU77" s="228"/>
      <c r="AV77" s="228"/>
      <c r="AW77" s="228"/>
      <c r="AX77" s="4993"/>
      <c r="AY77" s="4993"/>
      <c r="AZ77" s="4993"/>
      <c r="BA77" s="4993"/>
      <c r="BB77" s="4993"/>
      <c r="BC77" s="200"/>
      <c r="BD77" s="1758"/>
      <c r="BE77" s="1758"/>
      <c r="BF77" s="997" t="s">
        <v>2010</v>
      </c>
      <c r="BG77" s="997"/>
      <c r="BH77" s="997"/>
      <c r="BI77" s="618"/>
      <c r="BJ77" s="618"/>
    </row>
    <row s="538" customFormat="1" customHeight="1" ht="96.75">
      <c r="A78" s="1758"/>
      <c r="B78" s="838"/>
      <c r="C78" s="426"/>
      <c r="D78" s="426"/>
      <c r="E78" s="619">
        <v>15</v>
      </c>
      <c r="F78" s="50" cm="1" t="str">
        <f t="array" ref="F78:F78">OFFSET(E78,-1,1)</f>
        <v>3</v>
      </c>
      <c r="G78" s="426" t="s">
        <v>1225</v>
      </c>
      <c r="H78" s="426"/>
      <c r="I78" s="426"/>
      <c r="J78" s="426"/>
      <c r="K78" s="124" t="str">
        <f>F78&amp;"6komm"</f>
        <v>36komm</v>
      </c>
      <c r="L78" s="919" cm="1" t="str">
        <f t="array" ref="L78:L78">BC78</f>
        <v>в соответствии с п.1 ст.308 Налогового кодекса РФ от 05.08.2000 № 117-ФЗ, с учетом уменьшения суммы налога на 50% на 2024-2028 годы в соответствии с Законом от 24.11.2033 № 107-ОЗ "О внесении изменения в статью 4 Закона Кемеровской области-кузбасса "О налоге на имущество организаций". Налог рассчитан по остаточной стоимости, данные получены из материалов, представленных организацией при получении долгосрочных параметров регулирования.</v>
      </c>
      <c r="M78" s="426"/>
      <c r="N78" s="426"/>
      <c r="O78" s="426"/>
      <c r="P78" s="426"/>
      <c r="Q78" s="426"/>
      <c r="R78" s="426"/>
      <c r="S78" s="426"/>
      <c r="T78" s="465" cm="1" t="str">
        <f t="array" ref="T78:T78">T77</f>
        <v>true</v>
      </c>
      <c r="U78" s="426"/>
      <c r="V78" s="426"/>
      <c r="W78" s="1758"/>
      <c r="X78" s="1563"/>
      <c r="Y78" s="1758"/>
      <c r="Z78" s="1546"/>
      <c r="AA78" s="1758"/>
      <c r="AB78" s="299" t="s">
        <v>446</v>
      </c>
      <c r="AC78" s="452" t="s">
        <v>2011</v>
      </c>
      <c r="AD78" s="300" t="s">
        <v>1514</v>
      </c>
      <c r="AE78" s="228"/>
      <c r="AF78" s="228"/>
      <c r="AG78" s="228"/>
      <c r="AH78" s="228"/>
      <c r="AI78" s="228">
        <v>114.807</v>
      </c>
      <c r="AJ78" s="228">
        <v>98.047</v>
      </c>
      <c r="AK78" s="228">
        <v>83.737</v>
      </c>
      <c r="AL78" s="228">
        <v>145.154</v>
      </c>
      <c r="AM78" s="228">
        <v>125.613</v>
      </c>
      <c r="AN78" s="4993"/>
      <c r="AO78" s="4993"/>
      <c r="AP78" s="4993"/>
      <c r="AQ78" s="4993"/>
      <c r="AR78" s="4993"/>
      <c r="AS78" s="228">
        <f>229.616/2</f>
        <v>114.808</v>
      </c>
      <c r="AT78" s="228">
        <f>196.101/2</f>
        <v>98.0505</v>
      </c>
      <c r="AU78" s="228">
        <f>167.48/2</f>
        <v>83.74</v>
      </c>
      <c r="AV78" s="228">
        <v>145.154</v>
      </c>
      <c r="AW78" s="228">
        <v>125.613</v>
      </c>
      <c r="AX78" s="4993"/>
      <c r="AY78" s="4993"/>
      <c r="AZ78" s="4993"/>
      <c r="BA78" s="4993"/>
      <c r="BB78" s="4993"/>
      <c r="BC78" s="200" t="s">
        <v>2027</v>
      </c>
      <c r="BD78" s="1758"/>
      <c r="BE78" s="1758"/>
      <c r="BF78" s="997" t="s">
        <v>2012</v>
      </c>
      <c r="BG78" s="997"/>
      <c r="BH78" s="997"/>
      <c r="BI78" s="618"/>
      <c r="BJ78" s="618"/>
    </row>
    <row s="538" customFormat="1" customHeight="1" ht="0">
      <c r="A79" s="1758"/>
      <c r="B79" s="838"/>
      <c r="C79" s="426"/>
      <c r="D79" s="426"/>
      <c r="E79" s="619">
        <v>15</v>
      </c>
      <c r="F79" s="50" cm="1" t="str">
        <f t="array" ref="F79:F79">OFFSET(E79,-1,1)</f>
        <v>3</v>
      </c>
      <c r="G79" s="426" t="s">
        <v>1228</v>
      </c>
      <c r="H79" s="426" t="s">
        <v>2013</v>
      </c>
      <c r="I79" s="426"/>
      <c r="J79" s="426"/>
      <c r="K79" s="124" t="str">
        <f>F79&amp;"7komm"</f>
        <v>37komm</v>
      </c>
      <c r="L79" s="919" cm="1" t="str">
        <f t="array" ref="L79:L79">BC79</f>
        <v>0</v>
      </c>
      <c r="M79" s="426"/>
      <c r="N79" s="426"/>
      <c r="O79" s="426"/>
      <c r="P79" s="426"/>
      <c r="Q79" s="426"/>
      <c r="R79" s="426"/>
      <c r="S79" s="426"/>
      <c r="T79" s="465" cm="1" t="str">
        <f t="array" ref="T79:T79">T78</f>
        <v>true</v>
      </c>
      <c r="U79" s="426"/>
      <c r="V79" s="426"/>
      <c r="W79" s="1758"/>
      <c r="X79" s="1563"/>
      <c r="Y79" s="1758"/>
      <c r="Z79" s="1546"/>
      <c r="AA79" s="1758"/>
      <c r="AB79" s="299" t="s">
        <v>449</v>
      </c>
      <c r="AC79" s="452" t="s">
        <v>2014</v>
      </c>
      <c r="AD79" s="300" t="s">
        <v>1514</v>
      </c>
      <c r="AE79" s="228"/>
      <c r="AF79" s="228"/>
      <c r="AG79" s="228"/>
      <c r="AH79" s="228"/>
      <c r="AI79" s="228"/>
      <c r="AJ79" s="228"/>
      <c r="AK79" s="228"/>
      <c r="AL79" s="228"/>
      <c r="AM79" s="228"/>
      <c r="AN79" s="4993"/>
      <c r="AO79" s="4993"/>
      <c r="AP79" s="4993"/>
      <c r="AQ79" s="4993"/>
      <c r="AR79" s="4993"/>
      <c r="AS79" s="228"/>
      <c r="AT79" s="228"/>
      <c r="AU79" s="228"/>
      <c r="AV79" s="228"/>
      <c r="AW79" s="228"/>
      <c r="AX79" s="4993"/>
      <c r="AY79" s="4993"/>
      <c r="AZ79" s="4993"/>
      <c r="BA79" s="4993"/>
      <c r="BB79" s="4993"/>
      <c r="BC79" s="200"/>
      <c r="BD79" s="1758"/>
      <c r="BE79" s="1758"/>
      <c r="BF79" s="997" t="s">
        <v>2015</v>
      </c>
      <c r="BG79" s="997"/>
      <c r="BH79" s="997"/>
      <c r="BI79" s="618"/>
      <c r="BJ79" s="618"/>
    </row>
    <row s="538" customFormat="1" customHeight="1" ht="0">
      <c r="A80" s="1758"/>
      <c r="B80" s="838"/>
      <c r="C80" s="426"/>
      <c r="D80" s="426"/>
      <c r="E80" s="619">
        <v>22.5</v>
      </c>
      <c r="F80" s="50" cm="1" t="str">
        <f t="array" ref="F80:F80">OFFSET(E80,-1,1)</f>
        <v>3</v>
      </c>
      <c r="G80" s="426" t="s">
        <v>1275</v>
      </c>
      <c r="H80" s="426"/>
      <c r="I80" s="426"/>
      <c r="J80" s="426"/>
      <c r="K80" s="124" t="str">
        <f>F80&amp;"8komm"</f>
        <v>38komm</v>
      </c>
      <c r="L80" s="919" cm="1" t="str">
        <f t="array" ref="L80:L80">BC80</f>
        <v>0</v>
      </c>
      <c r="M80" s="426"/>
      <c r="N80" s="426"/>
      <c r="O80" s="426"/>
      <c r="P80" s="426"/>
      <c r="Q80" s="426"/>
      <c r="R80" s="426"/>
      <c r="S80" s="426"/>
      <c r="T80" s="465" cm="1" t="str">
        <f t="array" ref="T80:T80">T79</f>
        <v>true</v>
      </c>
      <c r="U80" s="426"/>
      <c r="V80" s="426"/>
      <c r="W80" s="1758"/>
      <c r="X80" s="1563"/>
      <c r="Y80" s="1758"/>
      <c r="Z80" s="1546"/>
      <c r="AA80" s="1758"/>
      <c r="AB80" s="299" t="s">
        <v>452</v>
      </c>
      <c r="AC80" s="452" t="s">
        <v>2016</v>
      </c>
      <c r="AD80" s="300" t="s">
        <v>1514</v>
      </c>
      <c r="AE80" s="228"/>
      <c r="AF80" s="228"/>
      <c r="AG80" s="228"/>
      <c r="AH80" s="228"/>
      <c r="AI80" s="228"/>
      <c r="AJ80" s="228"/>
      <c r="AK80" s="228"/>
      <c r="AL80" s="228"/>
      <c r="AM80" s="228"/>
      <c r="AN80" s="4993"/>
      <c r="AO80" s="4993"/>
      <c r="AP80" s="4993"/>
      <c r="AQ80" s="4993"/>
      <c r="AR80" s="4993"/>
      <c r="AS80" s="228"/>
      <c r="AT80" s="228"/>
      <c r="AU80" s="228"/>
      <c r="AV80" s="228"/>
      <c r="AW80" s="228"/>
      <c r="AX80" s="4993"/>
      <c r="AY80" s="4993"/>
      <c r="AZ80" s="4993"/>
      <c r="BA80" s="4993"/>
      <c r="BB80" s="4993"/>
      <c r="BC80" s="200"/>
      <c r="BD80" s="1758"/>
      <c r="BE80" s="1758"/>
      <c r="BF80" s="997" t="s">
        <v>2017</v>
      </c>
      <c r="BG80" s="997"/>
      <c r="BH80" s="997"/>
      <c r="BI80" s="618"/>
      <c r="BJ80" s="618"/>
    </row>
    <row s="1021" customFormat="1" customHeight="1" ht="0">
      <c r="A81" s="1021"/>
      <c r="B81" s="838"/>
      <c r="C81" s="426"/>
      <c r="D81" s="426"/>
      <c r="E81" s="619">
        <v>22.5</v>
      </c>
      <c r="F81" s="50" cm="1" t="str">
        <f t="array" ref="F81:F81">OFFSET(E81,-1,1)</f>
        <v>3</v>
      </c>
      <c r="G81" s="426"/>
      <c r="H81" s="426"/>
      <c r="I81" s="426"/>
      <c r="J81" s="426"/>
      <c r="K81" s="124" t="str">
        <f>F81&amp;"9komm"</f>
        <v>39komm</v>
      </c>
      <c r="L81" s="919" cm="1" t="str">
        <f t="array" ref="L81:L81">BC81</f>
        <v>0</v>
      </c>
      <c r="M81" s="426"/>
      <c r="N81" s="426"/>
      <c r="O81" s="426"/>
      <c r="P81" s="426"/>
      <c r="Q81" s="426"/>
      <c r="R81" s="426"/>
      <c r="S81" s="426"/>
      <c r="T81" s="465" cm="1" t="str">
        <f t="array" ref="T81:T81">T80</f>
        <v>true</v>
      </c>
      <c r="U81" s="426"/>
      <c r="V81" s="426"/>
      <c r="W81" s="1021"/>
      <c r="X81" s="1563"/>
      <c r="Y81" s="1021"/>
      <c r="Z81" s="1546"/>
      <c r="AA81" s="1021"/>
      <c r="AB81" s="299" t="s">
        <v>455</v>
      </c>
      <c r="AC81" s="452" t="s">
        <v>2018</v>
      </c>
      <c r="AD81" s="300" t="s">
        <v>1514</v>
      </c>
      <c r="AE81" s="298"/>
      <c r="AF81" s="298"/>
      <c r="AG81" s="298"/>
      <c r="AH81" s="298"/>
      <c r="AI81" s="298"/>
      <c r="AJ81" s="298"/>
      <c r="AK81" s="298"/>
      <c r="AL81" s="298"/>
      <c r="AM81" s="298"/>
      <c r="AN81" s="4725"/>
      <c r="AO81" s="4725"/>
      <c r="AP81" s="4725"/>
      <c r="AQ81" s="4725"/>
      <c r="AR81" s="4725"/>
      <c r="AS81" s="298"/>
      <c r="AT81" s="298"/>
      <c r="AU81" s="298"/>
      <c r="AV81" s="298"/>
      <c r="AW81" s="298"/>
      <c r="AX81" s="4725"/>
      <c r="AY81" s="4725"/>
      <c r="AZ81" s="4725"/>
      <c r="BA81" s="4725"/>
      <c r="BB81" s="4725"/>
      <c r="BC81" s="774"/>
      <c r="BD81" s="1021"/>
      <c r="BE81" s="1021"/>
      <c r="BF81" s="1005" t="s">
        <v>2019</v>
      </c>
      <c r="BG81" s="1005"/>
      <c r="BH81" s="1005"/>
      <c r="BI81" s="692"/>
      <c r="BJ81" s="692"/>
    </row>
    <row s="1834" customFormat="1" customHeight="1" ht="14.25">
      <c r="A82" s="1758"/>
      <c r="B82" s="891"/>
      <c r="C82" s="887"/>
      <c r="D82" s="887"/>
      <c r="E82" s="888">
        <v>15</v>
      </c>
      <c r="F82" s="50" cm="1" t="str">
        <f t="array" ref="F82:F82">OFFSET(E82,-1,1)</f>
        <v>3</v>
      </c>
      <c r="G82" s="887" t="s">
        <v>1290</v>
      </c>
      <c r="H82" s="923"/>
      <c r="I82" s="887"/>
      <c r="J82" s="887"/>
      <c r="K82" s="124" t="str">
        <f>F82&amp;"10komm"</f>
        <v>310komm</v>
      </c>
      <c r="L82" s="919" cm="1" t="str">
        <f t="array" ref="L82:L82">BC82</f>
        <v>0</v>
      </c>
      <c r="M82" s="887"/>
      <c r="N82" s="887"/>
      <c r="O82" s="887"/>
      <c r="P82" s="887"/>
      <c r="Q82" s="887"/>
      <c r="R82" s="887"/>
      <c r="S82" s="887"/>
      <c r="T82" s="465" cm="1" t="str">
        <f t="array" ref="T82:T82">T81</f>
        <v>true</v>
      </c>
      <c r="U82" s="887"/>
      <c r="V82" s="887"/>
      <c r="W82" s="1758"/>
      <c r="X82" s="1563"/>
      <c r="Y82" s="1758"/>
      <c r="Z82" s="1546"/>
      <c r="AA82" s="1758"/>
      <c r="AB82" s="889">
        <v>10</v>
      </c>
      <c r="AC82" s="452" t="s">
        <v>2020</v>
      </c>
      <c r="AD82" s="300" t="s">
        <v>1514</v>
      </c>
      <c r="AE82" s="235">
        <f>SUM(AE83:AE85)</f>
        <v>0</v>
      </c>
      <c r="AF82" s="235">
        <f>SUM(AF83:AF85)</f>
        <v>0</v>
      </c>
      <c r="AG82" s="235">
        <f>SUM(AG83:AG85)</f>
        <v>0</v>
      </c>
      <c r="AH82" s="235">
        <f>SUM(AH83:AH85)</f>
        <v>0</v>
      </c>
      <c r="AI82" s="235">
        <f>SUM(AI83:AI85)</f>
        <v>0</v>
      </c>
      <c r="AJ82" s="235">
        <f>SUM(AJ83:AJ85)</f>
        <v>0</v>
      </c>
      <c r="AK82" s="235">
        <f>SUM(AK83:AK85)</f>
        <v>16.13</v>
      </c>
      <c r="AL82" s="235">
        <f>SUM(AL83:AL85)</f>
        <v>89.78</v>
      </c>
      <c r="AM82" s="235">
        <f>SUM(AM83:AM85)</f>
        <v>57.51</v>
      </c>
      <c r="AN82" s="235">
        <f>SUM(AN83:AN85)</f>
        <v>0</v>
      </c>
      <c r="AO82" s="235">
        <f>SUM(AO83:AO85)</f>
        <v>0</v>
      </c>
      <c r="AP82" s="235">
        <f>SUM(AP83:AP85)</f>
        <v>0</v>
      </c>
      <c r="AQ82" s="235">
        <f>SUM(AQ83:AQ85)</f>
        <v>0</v>
      </c>
      <c r="AR82" s="235">
        <f>SUM(AR83:AR85)</f>
        <v>0</v>
      </c>
      <c r="AS82" s="235">
        <f>SUM(AS83:AS85)</f>
        <v>0</v>
      </c>
      <c r="AT82" s="235">
        <f>SUM(AT83:AT85)</f>
        <v>0</v>
      </c>
      <c r="AU82" s="235">
        <f>SUM(AU83:AU85)</f>
        <v>16.13</v>
      </c>
      <c r="AV82" s="235">
        <f>SUM(AV83:AV85)</f>
        <v>89.78</v>
      </c>
      <c r="AW82" s="235">
        <f>SUM(AW83:AW85)</f>
        <v>57.51</v>
      </c>
      <c r="AX82" s="235">
        <f>SUM(AX83:AX85)</f>
        <v>0</v>
      </c>
      <c r="AY82" s="235">
        <f>SUM(AY83:AY85)</f>
        <v>0</v>
      </c>
      <c r="AZ82" s="235">
        <f>SUM(AZ83:AZ85)</f>
        <v>0</v>
      </c>
      <c r="BA82" s="235">
        <f>SUM(BA83:BA85)</f>
        <v>0</v>
      </c>
      <c r="BB82" s="235">
        <f>SUM(BB83:BB85)</f>
        <v>0</v>
      </c>
      <c r="BC82" s="200"/>
      <c r="BD82" s="1758"/>
      <c r="BE82" s="1758"/>
      <c r="BF82" s="1038" t="s">
        <v>2021</v>
      </c>
      <c r="BG82" s="1764"/>
      <c r="BH82" s="1764"/>
      <c r="BI82" s="1757"/>
      <c r="BJ82" s="1757"/>
    </row>
    <row s="1834" customFormat="1" customHeight="1" ht="14.25" hidden="1">
      <c r="E83" s="619">
        <v>15</v>
      </c>
      <c r="F83" s="1175" cm="1" t="str">
        <f t="array" ref="F83:F83">OFFSET(E83,-1,1)</f>
        <v>3</v>
      </c>
      <c r="G83" s="104" t="s">
        <v>1290</v>
      </c>
      <c r="I83" s="563" cm="1" t="str">
        <f t="array" ref="I83:I83">AC83</f>
        <v>0</v>
      </c>
      <c r="T83" s="465">
        <f>AND(F83&gt;0,Y83&gt;0)</f>
        <v>0</v>
      </c>
      <c r="W83" s="717" t="s">
        <v>174</v>
      </c>
      <c r="Y83" s="122">
        <v>0</v>
      </c>
      <c r="AA83" s="420" t="s">
        <v>175</v>
      </c>
      <c r="AB83" s="690" t="str">
        <f>"10."&amp;Y83</f>
        <v>10.0</v>
      </c>
      <c r="AC83" s="5073"/>
      <c r="AD83" s="88" t="s">
        <v>1514</v>
      </c>
      <c r="AE83" s="1244"/>
      <c r="AF83" s="1244"/>
      <c r="AG83" s="1244"/>
      <c r="AH83" s="1244"/>
      <c r="AI83" s="1244"/>
      <c r="AJ83" s="1244"/>
      <c r="AK83" s="1244"/>
      <c r="AL83" s="1244"/>
      <c r="AM83" s="1244"/>
      <c r="AN83" s="1244"/>
      <c r="AO83" s="1244"/>
      <c r="AP83" s="1244"/>
      <c r="AQ83" s="1244"/>
      <c r="AR83" s="1244"/>
      <c r="AS83" s="1244"/>
      <c r="AT83" s="1244"/>
      <c r="AU83" s="1244"/>
      <c r="AV83" s="1244"/>
      <c r="AW83" s="1244"/>
      <c r="AX83" s="1244"/>
      <c r="AY83" s="1244"/>
      <c r="AZ83" s="1244"/>
      <c r="BA83" s="1244"/>
      <c r="BB83" s="1244"/>
      <c r="BC83" s="5074"/>
      <c r="BF83" s="997" t="s">
        <v>2021</v>
      </c>
      <c r="BG83" s="997" t="s">
        <v>2022</v>
      </c>
      <c r="BH83" s="1050" cm="1" t="str">
        <f t="array" ref="BH83:BH83">AC83</f>
        <v>0</v>
      </c>
      <c r="BI83" s="618"/>
      <c r="BJ83" s="618" t="b">
        <v>1</v>
      </c>
    </row>
    <row s="1834" customFormat="1" customHeight="1" ht="65.25">
      <c r="A84" s="1834"/>
      <c r="B84" s="1834"/>
      <c r="C84" s="1834"/>
      <c r="D84" s="1834"/>
      <c r="E84" s="619">
        <v>15</v>
      </c>
      <c r="F84" s="1175" cm="1" t="str">
        <f t="array" ref="F84:F84">OFFSET(E84,-1,1)</f>
        <v>3</v>
      </c>
      <c r="G84" s="104" t="s">
        <v>1290</v>
      </c>
      <c r="H84" s="1834"/>
      <c r="I84" s="563" cm="1" t="str">
        <f t="array" ref="I84:I84">AC84</f>
        <v>налог на имущество по ИП</v>
      </c>
      <c r="J84" s="1834"/>
      <c r="K84" s="1834"/>
      <c r="L84" s="1834"/>
      <c r="M84" s="1834"/>
      <c r="N84" s="1834"/>
      <c r="O84" s="1834"/>
      <c r="P84" s="1834"/>
      <c r="Q84" s="1834"/>
      <c r="R84" s="1834"/>
      <c r="S84" s="1834"/>
      <c r="T84" s="465">
        <f>AND(F84&gt;0,Y84&gt;0)</f>
        <v>1</v>
      </c>
      <c r="U84" s="1834"/>
      <c r="V84" s="1834"/>
      <c r="W84" s="717"/>
      <c r="X84" s="1834"/>
      <c r="Y84" s="122" t="s">
        <v>276</v>
      </c>
      <c r="Z84" s="1834"/>
      <c r="AA84" s="420" t="s">
        <v>175</v>
      </c>
      <c r="AB84" s="690" t="str">
        <f>"10."&amp;Y84</f>
        <v>10.1</v>
      </c>
      <c r="AC84" s="5075" t="s">
        <v>2028</v>
      </c>
      <c r="AD84" s="88" t="s">
        <v>1514</v>
      </c>
      <c r="AE84" s="4750"/>
      <c r="AF84" s="4750"/>
      <c r="AG84" s="4750"/>
      <c r="AH84" s="4750"/>
      <c r="AI84" s="4750"/>
      <c r="AJ84" s="4750"/>
      <c r="AK84" s="4750">
        <v>16.13</v>
      </c>
      <c r="AL84" s="4750">
        <v>89.78</v>
      </c>
      <c r="AM84" s="4750">
        <v>57.51</v>
      </c>
      <c r="AN84" s="1244"/>
      <c r="AO84" s="1244"/>
      <c r="AP84" s="1244"/>
      <c r="AQ84" s="1244"/>
      <c r="AR84" s="1244"/>
      <c r="AS84" s="4750"/>
      <c r="AT84" s="4750"/>
      <c r="AU84" s="4750">
        <v>16.13</v>
      </c>
      <c r="AV84" s="4750">
        <v>89.78</v>
      </c>
      <c r="AW84" s="4750">
        <v>57.51</v>
      </c>
      <c r="AX84" s="1244"/>
      <c r="AY84" s="1244"/>
      <c r="AZ84" s="1244"/>
      <c r="BA84" s="1244"/>
      <c r="BB84" s="1244"/>
      <c r="BC84" s="5076" t="s">
        <v>2029</v>
      </c>
      <c r="BD84" s="1834"/>
      <c r="BE84" s="1834"/>
      <c r="BF84" s="997" t="s">
        <v>2021</v>
      </c>
      <c r="BG84" s="997" t="s">
        <v>2022</v>
      </c>
      <c r="BH84" s="1050" cm="1" t="str">
        <f t="array" ref="BH84:BH84">AC84</f>
        <v>налог на имущество по ИП</v>
      </c>
      <c r="BI84" s="618"/>
      <c r="BJ84" s="618" t="b">
        <v>1</v>
      </c>
    </row>
    <row s="538" customFormat="1" customHeight="1" ht="14.25">
      <c r="A85" s="1758"/>
      <c r="B85" s="838"/>
      <c r="C85" s="426"/>
      <c r="D85" s="426"/>
      <c r="E85" s="619">
        <v>15</v>
      </c>
      <c r="F85" s="50" cm="1" t="str">
        <f t="array" ref="F85:F85">OFFSET(E85,-1,1)</f>
        <v>3</v>
      </c>
      <c r="G85" s="426"/>
      <c r="H85" s="1758"/>
      <c r="I85" s="426" t="str">
        <f>"!=='не определено'"</f>
        <v>!=='не определено'</v>
      </c>
      <c r="J85" s="426"/>
      <c r="K85" s="426"/>
      <c r="L85" s="426"/>
      <c r="M85" s="426"/>
      <c r="N85" s="426"/>
      <c r="O85" s="426"/>
      <c r="P85" s="426"/>
      <c r="Q85" s="426"/>
      <c r="R85" s="426"/>
      <c r="S85" s="426"/>
      <c r="T85" s="465">
        <f>F85&gt;0</f>
        <v>1</v>
      </c>
      <c r="U85" s="426"/>
      <c r="V85" s="426"/>
      <c r="W85" s="757" t="s">
        <v>399</v>
      </c>
      <c r="X85" s="1563"/>
      <c r="Y85" s="1758"/>
      <c r="Z85" s="1546"/>
      <c r="AA85" s="1758"/>
      <c r="AB85" s="775"/>
      <c r="AC85" s="260" t="s">
        <v>178</v>
      </c>
      <c r="AD85" s="776"/>
      <c r="AE85" s="232"/>
      <c r="AF85" s="232"/>
      <c r="AG85" s="232"/>
      <c r="AH85" s="232"/>
      <c r="AI85" s="232"/>
      <c r="AJ85" s="232"/>
      <c r="AK85" s="232"/>
      <c r="AL85" s="232"/>
      <c r="AM85" s="232"/>
      <c r="AN85" s="232"/>
      <c r="AO85" s="232"/>
      <c r="AP85" s="232"/>
      <c r="AQ85" s="232"/>
      <c r="AR85" s="232"/>
      <c r="AS85" s="232"/>
      <c r="AT85" s="232"/>
      <c r="AU85" s="232"/>
      <c r="AV85" s="232"/>
      <c r="AW85" s="232"/>
      <c r="AX85" s="232"/>
      <c r="AY85" s="232"/>
      <c r="AZ85" s="232"/>
      <c r="BA85" s="232"/>
      <c r="BB85" s="232"/>
      <c r="BC85" s="233"/>
      <c r="BD85" s="1758"/>
      <c r="BE85" s="1758"/>
      <c r="BF85" s="997"/>
      <c r="BG85" s="997"/>
      <c r="BH85" s="997"/>
      <c r="BI85" s="618" t="s">
        <v>2022</v>
      </c>
      <c r="BJ85" s="618"/>
    </row>
    <row s="538" customFormat="1" customHeight="1" ht="14.25">
      <c r="A86" s="1758"/>
      <c r="B86" s="428"/>
      <c r="C86" s="1758"/>
      <c r="D86" s="1758"/>
      <c r="E86" s="618">
        <v>15</v>
      </c>
      <c r="F86" s="98" cm="1" t="str">
        <f t="array" ref="F86:F86">X86</f>
        <v>4</v>
      </c>
      <c r="G86" s="1758"/>
      <c r="H86" s="1758"/>
      <c r="I86" s="1758"/>
      <c r="J86" s="1758"/>
      <c r="K86" s="1758"/>
      <c r="L86" s="1758"/>
      <c r="M86" s="1758"/>
      <c r="N86" s="1758"/>
      <c r="O86" s="1758"/>
      <c r="P86" s="1758"/>
      <c r="Q86" s="1758"/>
      <c r="R86" s="1758"/>
      <c r="S86" s="1758"/>
      <c r="T86" s="465">
        <f>X86&gt;0</f>
        <v>1</v>
      </c>
      <c r="U86" s="1758"/>
      <c r="V86" s="122" cm="1" t="str">
        <f t="array" ref="V86:V86">'Сбытовые расходы ГО'!$AB$75</f>
        <v>Тариф 4 (Водоотведение) - тариф на водоотведение (Доп. признак не требуется)</v>
      </c>
      <c r="W86" s="1758"/>
      <c r="X86" s="1563" t="s">
        <v>295</v>
      </c>
      <c r="Y86" s="1758"/>
      <c r="Z86" s="1546"/>
      <c r="AA86" s="1758"/>
      <c r="AB86" s="222" cm="1" t="str">
        <f t="array" ref="AB86:AB86">'Сбытовые расходы ГО'!$AB$75</f>
        <v>Тариф 4 (Водоотведение) - тариф на водоотведение (Доп. признак не требуется)</v>
      </c>
      <c r="AC86" s="180"/>
      <c r="AD86" s="180"/>
      <c r="AE86" s="180"/>
      <c r="AF86" s="180"/>
      <c r="AG86" s="180"/>
      <c r="AH86" s="180"/>
      <c r="AI86" s="180"/>
      <c r="AJ86" s="180"/>
      <c r="AK86" s="180"/>
      <c r="AL86" s="180"/>
      <c r="AM86" s="180"/>
      <c r="AN86" s="180"/>
      <c r="AO86" s="180"/>
      <c r="AP86" s="180"/>
      <c r="AQ86" s="180"/>
      <c r="AR86" s="180"/>
      <c r="AS86" s="180"/>
      <c r="AT86" s="180"/>
      <c r="AU86" s="180"/>
      <c r="AV86" s="180"/>
      <c r="AW86" s="180"/>
      <c r="AX86" s="180"/>
      <c r="AY86" s="180"/>
      <c r="AZ86" s="180"/>
      <c r="BA86" s="180"/>
      <c r="BB86" s="180"/>
      <c r="BC86" s="180"/>
      <c r="BD86" s="1758"/>
      <c r="BE86" s="1758"/>
      <c r="BF86" s="997"/>
      <c r="BG86" s="997"/>
      <c r="BH86" s="997"/>
      <c r="BI86" s="618"/>
      <c r="BJ86" s="618"/>
    </row>
    <row s="538" customFormat="1" customHeight="1" ht="21.75">
      <c r="A87" s="1758"/>
      <c r="B87" s="428"/>
      <c r="C87" s="1758"/>
      <c r="D87" s="1758"/>
      <c r="E87" s="618">
        <v>22.5</v>
      </c>
      <c r="F87" s="50" cm="1" t="str">
        <f t="array" ref="F87:F87">OFFSET(E87,-1,1)</f>
        <v>4</v>
      </c>
      <c r="G87" s="122" t="s">
        <v>1979</v>
      </c>
      <c r="H87" s="1758"/>
      <c r="I87" s="1758"/>
      <c r="J87" s="1758"/>
      <c r="K87" s="124" t="str">
        <f>F87&amp;"komm"</f>
        <v>4komm</v>
      </c>
      <c r="L87" s="919" cm="1" t="str">
        <f t="array" ref="L87:L87">BC87</f>
        <v>В соответствии с п.п. 2 п. 49 Методических указаний 1746-э.</v>
      </c>
      <c r="M87" s="1758"/>
      <c r="N87" s="1758"/>
      <c r="O87" s="1758"/>
      <c r="P87" s="1758"/>
      <c r="Q87" s="1758"/>
      <c r="R87" s="1758"/>
      <c r="S87" s="1758"/>
      <c r="T87" s="465" cm="1" t="str">
        <f t="array" ref="T87:T87">T86</f>
        <v>true</v>
      </c>
      <c r="U87" s="1758"/>
      <c r="V87" s="1758"/>
      <c r="W87" s="1758"/>
      <c r="X87" s="1563"/>
      <c r="Y87" s="1758"/>
      <c r="Z87" s="1546"/>
      <c r="AA87" s="1758"/>
      <c r="AB87" s="234">
        <v>0</v>
      </c>
      <c r="AC87" s="219" t="s">
        <v>1998</v>
      </c>
      <c r="AD87" s="211" t="s">
        <v>1514</v>
      </c>
      <c r="AE87" s="227">
        <f>SUM(AE88:AE97)</f>
        <v>0</v>
      </c>
      <c r="AF87" s="227">
        <f>SUM(AF88:AF97)</f>
        <v>0</v>
      </c>
      <c r="AG87" s="227">
        <f>SUM(AG88:AG97)</f>
        <v>0</v>
      </c>
      <c r="AH87" s="227">
        <f>SUM(AH88:AH97)</f>
        <v>0</v>
      </c>
      <c r="AI87" s="227">
        <f>SUM(AI88:AI97)</f>
        <v>375.984184342857</v>
      </c>
      <c r="AJ87" s="227">
        <f>SUM(AJ88:AJ97)</f>
        <v>360.441611716571</v>
      </c>
      <c r="AK87" s="227">
        <f>SUM(AK88:AK97)</f>
        <v>368.294276185234</v>
      </c>
      <c r="AL87" s="227">
        <f>SUM(AL88:AL97)</f>
        <v>695.557567232644</v>
      </c>
      <c r="AM87" s="227">
        <f>SUM(AM88:AM97)</f>
        <v>615.00558992195</v>
      </c>
      <c r="AN87" s="227">
        <f>SUM(AN88:AN97)</f>
        <v>0</v>
      </c>
      <c r="AO87" s="227">
        <f>SUM(AO88:AO97)</f>
        <v>0</v>
      </c>
      <c r="AP87" s="227">
        <f>SUM(AP88:AP97)</f>
        <v>0</v>
      </c>
      <c r="AQ87" s="227">
        <f>SUM(AQ88:AQ97)</f>
        <v>0</v>
      </c>
      <c r="AR87" s="227">
        <f>SUM(AR88:AR97)</f>
        <v>0</v>
      </c>
      <c r="AS87" s="227">
        <f>SUM(AS88:AS97)</f>
        <v>375.984184342857</v>
      </c>
      <c r="AT87" s="227">
        <f>SUM(AT88:AT97)</f>
        <v>360.441611716571</v>
      </c>
      <c r="AU87" s="227">
        <f>SUM(AU88:AU97)</f>
        <v>368.294276185234</v>
      </c>
      <c r="AV87" s="227">
        <f>SUM(AV88:AV97)</f>
        <v>695.557567232644</v>
      </c>
      <c r="AW87" s="227">
        <f>SUM(AW88:AW97)</f>
        <v>615.00558992195</v>
      </c>
      <c r="AX87" s="227">
        <f>SUM(AX88:AX97)</f>
        <v>0</v>
      </c>
      <c r="AY87" s="227">
        <f>SUM(AY88:AY97)</f>
        <v>0</v>
      </c>
      <c r="AZ87" s="227">
        <f>SUM(AZ88:AZ97)</f>
        <v>0</v>
      </c>
      <c r="BA87" s="227">
        <f>SUM(BA88:BA97)</f>
        <v>0</v>
      </c>
      <c r="BB87" s="227">
        <f>SUM(BB88:BB97)</f>
        <v>0</v>
      </c>
      <c r="BC87" s="200" t="s">
        <v>2023</v>
      </c>
      <c r="BD87" s="1758"/>
      <c r="BE87" s="1758"/>
      <c r="BF87" s="997" t="s">
        <v>1999</v>
      </c>
      <c r="BG87" s="997"/>
      <c r="BH87" s="997"/>
      <c r="BI87" s="618"/>
      <c r="BJ87" s="618"/>
    </row>
    <row s="538" customFormat="1" customHeight="1" ht="0">
      <c r="A88" s="1758"/>
      <c r="B88" s="428"/>
      <c r="C88" s="1758"/>
      <c r="D88" s="1758"/>
      <c r="E88" s="618">
        <v>15</v>
      </c>
      <c r="F88" s="50" cm="1" t="str">
        <f t="array" ref="F88:F88">OFFSET(E88,-1,1)</f>
        <v>4</v>
      </c>
      <c r="G88" s="122" t="s">
        <v>332</v>
      </c>
      <c r="H88" s="1758"/>
      <c r="I88" s="1758"/>
      <c r="J88" s="1758"/>
      <c r="K88" s="124" t="str">
        <f>F88&amp;"1komm"</f>
        <v>41komm</v>
      </c>
      <c r="L88" s="919" cm="1" t="str">
        <f t="array" ref="L88:L88">BC88</f>
        <v>0</v>
      </c>
      <c r="M88" s="1758"/>
      <c r="N88" s="1758"/>
      <c r="O88" s="1758"/>
      <c r="P88" s="1758"/>
      <c r="Q88" s="1758"/>
      <c r="R88" s="1758"/>
      <c r="S88" s="1758"/>
      <c r="T88" s="465" cm="1" t="str">
        <f t="array" ref="T88:T88">T87</f>
        <v>true</v>
      </c>
      <c r="U88" s="1758"/>
      <c r="V88" s="1758"/>
      <c r="W88" s="1758"/>
      <c r="X88" s="1563"/>
      <c r="Y88" s="1758"/>
      <c r="Z88" s="1546"/>
      <c r="AA88" s="1758"/>
      <c r="AB88" s="299" t="s">
        <v>276</v>
      </c>
      <c r="AC88" s="452" t="s">
        <v>2000</v>
      </c>
      <c r="AD88" s="300" t="s">
        <v>1514</v>
      </c>
      <c r="AE88" s="228"/>
      <c r="AF88" s="229"/>
      <c r="AG88" s="229"/>
      <c r="AH88" s="229"/>
      <c r="AI88" s="229"/>
      <c r="AJ88" s="229"/>
      <c r="AK88" s="229"/>
      <c r="AL88" s="229"/>
      <c r="AM88" s="229"/>
      <c r="AN88" s="4934"/>
      <c r="AO88" s="4934"/>
      <c r="AP88" s="4934"/>
      <c r="AQ88" s="4934"/>
      <c r="AR88" s="4934"/>
      <c r="AS88" s="229"/>
      <c r="AT88" s="229"/>
      <c r="AU88" s="229"/>
      <c r="AV88" s="229"/>
      <c r="AW88" s="229"/>
      <c r="AX88" s="4934"/>
      <c r="AY88" s="4934"/>
      <c r="AZ88" s="4934"/>
      <c r="BA88" s="4934"/>
      <c r="BB88" s="4934"/>
      <c r="BC88" s="200"/>
      <c r="BD88" s="1758"/>
      <c r="BE88" s="1758"/>
      <c r="BF88" s="997" t="s">
        <v>2001</v>
      </c>
      <c r="BG88" s="997"/>
      <c r="BH88" s="997"/>
      <c r="BI88" s="618"/>
      <c r="BJ88" s="618"/>
    </row>
    <row s="538" customFormat="1" customHeight="1" ht="0">
      <c r="A89" s="1758"/>
      <c r="B89" s="838"/>
      <c r="C89" s="426"/>
      <c r="D89" s="426"/>
      <c r="E89" s="619">
        <v>22.5</v>
      </c>
      <c r="F89" s="50" cm="1" t="str">
        <f t="array" ref="F89:F89">OFFSET(E89,-1,1)</f>
        <v>4</v>
      </c>
      <c r="G89" s="426" t="s">
        <v>333</v>
      </c>
      <c r="H89" s="426"/>
      <c r="I89" s="426"/>
      <c r="J89" s="426"/>
      <c r="K89" s="124" t="str">
        <f>F89&amp;"2komm"</f>
        <v>42komm</v>
      </c>
      <c r="L89" s="919" cm="1" t="str">
        <f t="array" ref="L89:L89">BC89</f>
        <v>0</v>
      </c>
      <c r="M89" s="426"/>
      <c r="N89" s="426"/>
      <c r="O89" s="426"/>
      <c r="P89" s="426"/>
      <c r="Q89" s="426"/>
      <c r="R89" s="426"/>
      <c r="S89" s="426"/>
      <c r="T89" s="465" cm="1" t="str">
        <f t="array" ref="T89:T89">T88</f>
        <v>true</v>
      </c>
      <c r="U89" s="426"/>
      <c r="V89" s="426"/>
      <c r="W89" s="1758"/>
      <c r="X89" s="1563"/>
      <c r="Y89" s="1758"/>
      <c r="Z89" s="1546"/>
      <c r="AA89" s="1758"/>
      <c r="AB89" s="299" t="s">
        <v>285</v>
      </c>
      <c r="AC89" s="452" t="s">
        <v>2002</v>
      </c>
      <c r="AD89" s="300" t="s">
        <v>1514</v>
      </c>
      <c r="AE89" s="228"/>
      <c r="AF89" s="229"/>
      <c r="AG89" s="229"/>
      <c r="AH89" s="229"/>
      <c r="AI89" s="229"/>
      <c r="AJ89" s="229"/>
      <c r="AK89" s="229"/>
      <c r="AL89" s="229"/>
      <c r="AM89" s="229"/>
      <c r="AN89" s="4934"/>
      <c r="AO89" s="4934"/>
      <c r="AP89" s="4934"/>
      <c r="AQ89" s="4934"/>
      <c r="AR89" s="4934"/>
      <c r="AS89" s="229"/>
      <c r="AT89" s="229"/>
      <c r="AU89" s="229"/>
      <c r="AV89" s="229"/>
      <c r="AW89" s="229"/>
      <c r="AX89" s="4934"/>
      <c r="AY89" s="4934"/>
      <c r="AZ89" s="4934"/>
      <c r="BA89" s="4934"/>
      <c r="BB89" s="4934"/>
      <c r="BC89" s="200"/>
      <c r="BD89" s="1758"/>
      <c r="BE89" s="1758"/>
      <c r="BF89" s="997" t="s">
        <v>2003</v>
      </c>
      <c r="BG89" s="997"/>
      <c r="BH89" s="997"/>
      <c r="BI89" s="618"/>
      <c r="BJ89" s="618"/>
    </row>
    <row s="538" customFormat="1" customHeight="1" ht="54.75">
      <c r="A90" s="1758"/>
      <c r="B90" s="838"/>
      <c r="C90" s="426"/>
      <c r="D90" s="426"/>
      <c r="E90" s="619">
        <v>22.5</v>
      </c>
      <c r="F90" s="50" cm="1" t="str">
        <f t="array" ref="F90:F90">OFFSET(E90,-1,1)</f>
        <v>4</v>
      </c>
      <c r="G90" s="426" t="s">
        <v>334</v>
      </c>
      <c r="H90" s="426" t="s">
        <v>2004</v>
      </c>
      <c r="I90" s="426"/>
      <c r="J90" s="426"/>
      <c r="K90" s="124" t="str">
        <f>F90&amp;"3komm"</f>
        <v>43komm</v>
      </c>
      <c r="L90" s="919" cm="1" t="str">
        <f t="array" ref="L90:L90">BC90</f>
        <v>рассчитано от факта с июня по декабрь 2024 года предыдущей организации, в пересчете на годовые показатели, с применением ИПЦ Минэкономразвития России на 2025 год 109,0%, на 2026 год 105,1%., на 2027-2030 гг. 104,0%.</v>
      </c>
      <c r="M90" s="426"/>
      <c r="N90" s="426"/>
      <c r="O90" s="426"/>
      <c r="P90" s="426"/>
      <c r="Q90" s="426"/>
      <c r="R90" s="426"/>
      <c r="S90" s="426"/>
      <c r="T90" s="465" cm="1" t="str">
        <f t="array" ref="T90:T90">T89</f>
        <v>true</v>
      </c>
      <c r="U90" s="426"/>
      <c r="V90" s="426"/>
      <c r="W90" s="1758"/>
      <c r="X90" s="1563"/>
      <c r="Y90" s="1758"/>
      <c r="Z90" s="1546"/>
      <c r="AA90" s="1758"/>
      <c r="AB90" s="299" t="s">
        <v>289</v>
      </c>
      <c r="AC90" s="452" t="s">
        <v>2005</v>
      </c>
      <c r="AD90" s="300" t="s">
        <v>1514</v>
      </c>
      <c r="AE90" s="228"/>
      <c r="AF90" s="229"/>
      <c r="AG90" s="229"/>
      <c r="AH90" s="229"/>
      <c r="AI90" s="229">
        <v>84.2106843428571</v>
      </c>
      <c r="AJ90" s="229">
        <v>87.5791117165714</v>
      </c>
      <c r="AK90" s="229">
        <v>91.0822761852343</v>
      </c>
      <c r="AL90" s="229">
        <v>94.7255672326437</v>
      </c>
      <c r="AM90" s="229">
        <v>98.5145899219495</v>
      </c>
      <c r="AN90" s="4934"/>
      <c r="AO90" s="4934"/>
      <c r="AP90" s="4934"/>
      <c r="AQ90" s="4934"/>
      <c r="AR90" s="4934"/>
      <c r="AS90" s="229">
        <f>42.88/7*12*1.09*1.051</f>
        <v>84.2106843428571</v>
      </c>
      <c r="AT90" s="229">
        <f>AS90*1.04</f>
        <v>87.5791117165714</v>
      </c>
      <c r="AU90" s="229">
        <f>AT90*1.04</f>
        <v>91.0822761852343</v>
      </c>
      <c r="AV90" s="229">
        <f>AU90*1.04</f>
        <v>94.7255672326437</v>
      </c>
      <c r="AW90" s="229">
        <f>AV90*1.04</f>
        <v>98.5145899219495</v>
      </c>
      <c r="AX90" s="4934"/>
      <c r="AY90" s="4934"/>
      <c r="AZ90" s="4934"/>
      <c r="BA90" s="4934"/>
      <c r="BB90" s="4934"/>
      <c r="BC90" s="200" t="s">
        <v>2024</v>
      </c>
      <c r="BD90" s="1758"/>
      <c r="BE90" s="1758"/>
      <c r="BF90" s="997" t="s">
        <v>2006</v>
      </c>
      <c r="BG90" s="997"/>
      <c r="BH90" s="997"/>
      <c r="BI90" s="618"/>
      <c r="BJ90" s="618"/>
    </row>
    <row s="1834" customFormat="1" customHeight="1" ht="0">
      <c r="A91" s="1758"/>
      <c r="B91" s="891"/>
      <c r="C91" s="887"/>
      <c r="D91" s="887"/>
      <c r="E91" s="888">
        <v>15</v>
      </c>
      <c r="F91" s="50" cm="1" t="str">
        <f t="array" ref="F91:F91">OFFSET(E91,-1,1)</f>
        <v>4</v>
      </c>
      <c r="G91" s="887" t="s">
        <v>336</v>
      </c>
      <c r="H91" s="887"/>
      <c r="I91" s="887"/>
      <c r="J91" s="887"/>
      <c r="K91" s="124" t="str">
        <f>F91&amp;"4komm"</f>
        <v>44komm</v>
      </c>
      <c r="L91" s="919" cm="1" t="str">
        <f t="array" ref="L91:L91">BC91</f>
        <v>0</v>
      </c>
      <c r="M91" s="887"/>
      <c r="N91" s="887"/>
      <c r="O91" s="887"/>
      <c r="P91" s="887"/>
      <c r="Q91" s="887"/>
      <c r="R91" s="887"/>
      <c r="S91" s="887"/>
      <c r="T91" s="465" cm="1" t="str">
        <f t="array" ref="T91:T91">T90</f>
        <v>true</v>
      </c>
      <c r="U91" s="887"/>
      <c r="V91" s="887"/>
      <c r="W91" s="1758"/>
      <c r="X91" s="1563"/>
      <c r="Y91" s="1758"/>
      <c r="Z91" s="1546"/>
      <c r="AA91" s="1758"/>
      <c r="AB91" s="889">
        <v>4</v>
      </c>
      <c r="AC91" s="452" t="s">
        <v>2007</v>
      </c>
      <c r="AD91" s="300" t="s">
        <v>1514</v>
      </c>
      <c r="AE91" s="230"/>
      <c r="AF91" s="230"/>
      <c r="AG91" s="230"/>
      <c r="AH91" s="230"/>
      <c r="AI91" s="230"/>
      <c r="AJ91" s="230"/>
      <c r="AK91" s="230"/>
      <c r="AL91" s="230"/>
      <c r="AM91" s="230"/>
      <c r="AN91" s="5000"/>
      <c r="AO91" s="5000"/>
      <c r="AP91" s="5000"/>
      <c r="AQ91" s="5000"/>
      <c r="AR91" s="5000"/>
      <c r="AS91" s="230"/>
      <c r="AT91" s="230"/>
      <c r="AU91" s="230"/>
      <c r="AV91" s="230"/>
      <c r="AW91" s="230"/>
      <c r="AX91" s="5000"/>
      <c r="AY91" s="5000"/>
      <c r="AZ91" s="5000"/>
      <c r="BA91" s="5000"/>
      <c r="BB91" s="5000"/>
      <c r="BC91" s="200"/>
      <c r="BD91" s="1758"/>
      <c r="BE91" s="1758"/>
      <c r="BF91" s="1038" t="s">
        <v>2008</v>
      </c>
      <c r="BG91" s="1764"/>
      <c r="BH91" s="1764"/>
      <c r="BI91" s="1757"/>
      <c r="BJ91" s="1757"/>
    </row>
    <row s="538" customFormat="1" customHeight="1" ht="0">
      <c r="A92" s="1758"/>
      <c r="B92" s="838"/>
      <c r="C92" s="426"/>
      <c r="D92" s="426"/>
      <c r="E92" s="619">
        <v>15</v>
      </c>
      <c r="F92" s="50" cm="1" t="str">
        <f t="array" ref="F92:F92">OFFSET(E92,-1,1)</f>
        <v>4</v>
      </c>
      <c r="G92" s="426" t="s">
        <v>335</v>
      </c>
      <c r="H92" s="426"/>
      <c r="I92" s="426"/>
      <c r="J92" s="426"/>
      <c r="K92" s="124" t="str">
        <f>F92&amp;"5komm"</f>
        <v>45komm</v>
      </c>
      <c r="L92" s="919" cm="1" t="str">
        <f t="array" ref="L92:L92">BC92</f>
        <v>0</v>
      </c>
      <c r="M92" s="426"/>
      <c r="N92" s="426"/>
      <c r="O92" s="426"/>
      <c r="P92" s="426"/>
      <c r="Q92" s="426"/>
      <c r="R92" s="426"/>
      <c r="S92" s="426"/>
      <c r="T92" s="465" cm="1" t="str">
        <f t="array" ref="T92:T92">T91</f>
        <v>true</v>
      </c>
      <c r="U92" s="426"/>
      <c r="V92" s="426"/>
      <c r="W92" s="1758"/>
      <c r="X92" s="1563"/>
      <c r="Y92" s="1758"/>
      <c r="Z92" s="1546"/>
      <c r="AA92" s="1758"/>
      <c r="AB92" s="299" t="s">
        <v>443</v>
      </c>
      <c r="AC92" s="452" t="s">
        <v>2009</v>
      </c>
      <c r="AD92" s="300" t="s">
        <v>1514</v>
      </c>
      <c r="AE92" s="228"/>
      <c r="AF92" s="228"/>
      <c r="AG92" s="228"/>
      <c r="AH92" s="228"/>
      <c r="AI92" s="228"/>
      <c r="AJ92" s="228"/>
      <c r="AK92" s="228"/>
      <c r="AL92" s="228"/>
      <c r="AM92" s="228"/>
      <c r="AN92" s="4993"/>
      <c r="AO92" s="4993"/>
      <c r="AP92" s="4993"/>
      <c r="AQ92" s="4993"/>
      <c r="AR92" s="4993"/>
      <c r="AS92" s="228"/>
      <c r="AT92" s="228"/>
      <c r="AU92" s="228"/>
      <c r="AV92" s="228"/>
      <c r="AW92" s="228"/>
      <c r="AX92" s="4993"/>
      <c r="AY92" s="4993"/>
      <c r="AZ92" s="4993"/>
      <c r="BA92" s="4993"/>
      <c r="BB92" s="4993"/>
      <c r="BC92" s="200"/>
      <c r="BD92" s="1758"/>
      <c r="BE92" s="1758"/>
      <c r="BF92" s="997" t="s">
        <v>2010</v>
      </c>
      <c r="BG92" s="997"/>
      <c r="BH92" s="997"/>
      <c r="BI92" s="618"/>
      <c r="BJ92" s="618"/>
    </row>
    <row s="538" customFormat="1" customHeight="1" ht="96.75">
      <c r="A93" s="1758"/>
      <c r="B93" s="838"/>
      <c r="C93" s="426"/>
      <c r="D93" s="426"/>
      <c r="E93" s="619">
        <v>15</v>
      </c>
      <c r="F93" s="50" cm="1" t="str">
        <f t="array" ref="F93:F93">OFFSET(E93,-1,1)</f>
        <v>4</v>
      </c>
      <c r="G93" s="426" t="s">
        <v>1225</v>
      </c>
      <c r="H93" s="426"/>
      <c r="I93" s="426"/>
      <c r="J93" s="426"/>
      <c r="K93" s="124" t="str">
        <f>F93&amp;"6komm"</f>
        <v>46komm</v>
      </c>
      <c r="L93" s="919" cm="1" t="str">
        <f t="array" ref="L93:L93">BC93</f>
        <v>в соответствии с п.1 ст.308 Налогового кодекса РФ от 05.08.2000 № 117-ФЗ, с учетом уменьшения суммы налога на 50% на 2024-2028 годы в соответствии с Законом от 24.11.2033 № 107-ОЗ "О внесении изменения в статью 4 Закона Кемеровской области-кузбасса "О налоге на имущество организаций". Налог рассчитан по остаточной стоимости, данные получены из материалов, представленных организацией при получении долгосрочных параметров регулирования.</v>
      </c>
      <c r="M93" s="426"/>
      <c r="N93" s="426"/>
      <c r="O93" s="426"/>
      <c r="P93" s="426"/>
      <c r="Q93" s="426"/>
      <c r="R93" s="426"/>
      <c r="S93" s="426"/>
      <c r="T93" s="465" cm="1" t="str">
        <f t="array" ref="T93:T93">T92</f>
        <v>true</v>
      </c>
      <c r="U93" s="426"/>
      <c r="V93" s="426"/>
      <c r="W93" s="1758"/>
      <c r="X93" s="1563"/>
      <c r="Y93" s="1758"/>
      <c r="Z93" s="1546"/>
      <c r="AA93" s="1758"/>
      <c r="AB93" s="299" t="s">
        <v>446</v>
      </c>
      <c r="AC93" s="452" t="s">
        <v>2011</v>
      </c>
      <c r="AD93" s="300" t="s">
        <v>1514</v>
      </c>
      <c r="AE93" s="228"/>
      <c r="AF93" s="228"/>
      <c r="AG93" s="228"/>
      <c r="AH93" s="228"/>
      <c r="AI93" s="228">
        <v>291.7735</v>
      </c>
      <c r="AJ93" s="228">
        <v>272.8625</v>
      </c>
      <c r="AK93" s="228">
        <v>253.952</v>
      </c>
      <c r="AL93" s="228">
        <v>470.082</v>
      </c>
      <c r="AM93" s="228">
        <v>432.261</v>
      </c>
      <c r="AN93" s="4993"/>
      <c r="AO93" s="4993"/>
      <c r="AP93" s="4993"/>
      <c r="AQ93" s="4993"/>
      <c r="AR93" s="4993"/>
      <c r="AS93" s="228">
        <f>583.547/2</f>
        <v>291.7735</v>
      </c>
      <c r="AT93" s="228">
        <f>545.725/2</f>
        <v>272.8625</v>
      </c>
      <c r="AU93" s="228">
        <f>507.904/2</f>
        <v>253.952</v>
      </c>
      <c r="AV93" s="228">
        <v>470.082</v>
      </c>
      <c r="AW93" s="228">
        <v>432.261</v>
      </c>
      <c r="AX93" s="4993"/>
      <c r="AY93" s="4993"/>
      <c r="AZ93" s="4993"/>
      <c r="BA93" s="4993"/>
      <c r="BB93" s="4993"/>
      <c r="BC93" s="200" t="s">
        <v>2027</v>
      </c>
      <c r="BD93" s="1758"/>
      <c r="BE93" s="1758"/>
      <c r="BF93" s="997" t="s">
        <v>2012</v>
      </c>
      <c r="BG93" s="997"/>
      <c r="BH93" s="997"/>
      <c r="BI93" s="618"/>
      <c r="BJ93" s="618"/>
    </row>
    <row s="538" customFormat="1" customHeight="1" ht="0">
      <c r="A94" s="1758"/>
      <c r="B94" s="838"/>
      <c r="C94" s="426"/>
      <c r="D94" s="426"/>
      <c r="E94" s="619">
        <v>15</v>
      </c>
      <c r="F94" s="50" cm="1" t="str">
        <f t="array" ref="F94:F94">OFFSET(E94,-1,1)</f>
        <v>4</v>
      </c>
      <c r="G94" s="426" t="s">
        <v>1228</v>
      </c>
      <c r="H94" s="426" t="s">
        <v>2013</v>
      </c>
      <c r="I94" s="426"/>
      <c r="J94" s="426"/>
      <c r="K94" s="124" t="str">
        <f>F94&amp;"7komm"</f>
        <v>47komm</v>
      </c>
      <c r="L94" s="919" cm="1" t="str">
        <f t="array" ref="L94:L94">BC94</f>
        <v>0</v>
      </c>
      <c r="M94" s="426"/>
      <c r="N94" s="426"/>
      <c r="O94" s="426"/>
      <c r="P94" s="426"/>
      <c r="Q94" s="426"/>
      <c r="R94" s="426"/>
      <c r="S94" s="426"/>
      <c r="T94" s="465" cm="1" t="str">
        <f t="array" ref="T94:T94">T93</f>
        <v>true</v>
      </c>
      <c r="U94" s="426"/>
      <c r="V94" s="426"/>
      <c r="W94" s="1758"/>
      <c r="X94" s="1563"/>
      <c r="Y94" s="1758"/>
      <c r="Z94" s="1546"/>
      <c r="AA94" s="1758"/>
      <c r="AB94" s="299" t="s">
        <v>449</v>
      </c>
      <c r="AC94" s="452" t="s">
        <v>2014</v>
      </c>
      <c r="AD94" s="300" t="s">
        <v>1514</v>
      </c>
      <c r="AE94" s="228"/>
      <c r="AF94" s="228"/>
      <c r="AG94" s="228"/>
      <c r="AH94" s="228"/>
      <c r="AI94" s="228"/>
      <c r="AJ94" s="228"/>
      <c r="AK94" s="228"/>
      <c r="AL94" s="228"/>
      <c r="AM94" s="228"/>
      <c r="AN94" s="4993"/>
      <c r="AO94" s="4993"/>
      <c r="AP94" s="4993"/>
      <c r="AQ94" s="4993"/>
      <c r="AR94" s="4993"/>
      <c r="AS94" s="228"/>
      <c r="AT94" s="228"/>
      <c r="AU94" s="228"/>
      <c r="AV94" s="228"/>
      <c r="AW94" s="228"/>
      <c r="AX94" s="4993"/>
      <c r="AY94" s="4993"/>
      <c r="AZ94" s="4993"/>
      <c r="BA94" s="4993"/>
      <c r="BB94" s="4993"/>
      <c r="BC94" s="200"/>
      <c r="BD94" s="1758"/>
      <c r="BE94" s="1758"/>
      <c r="BF94" s="997" t="s">
        <v>2015</v>
      </c>
      <c r="BG94" s="997"/>
      <c r="BH94" s="997"/>
      <c r="BI94" s="618"/>
      <c r="BJ94" s="618"/>
    </row>
    <row s="538" customFormat="1" customHeight="1" ht="0">
      <c r="A95" s="1758"/>
      <c r="B95" s="838"/>
      <c r="C95" s="426"/>
      <c r="D95" s="426"/>
      <c r="E95" s="619">
        <v>22.5</v>
      </c>
      <c r="F95" s="50" cm="1" t="str">
        <f t="array" ref="F95:F95">OFFSET(E95,-1,1)</f>
        <v>4</v>
      </c>
      <c r="G95" s="426" t="s">
        <v>1275</v>
      </c>
      <c r="H95" s="426"/>
      <c r="I95" s="426"/>
      <c r="J95" s="426"/>
      <c r="K95" s="124" t="str">
        <f>F95&amp;"8komm"</f>
        <v>48komm</v>
      </c>
      <c r="L95" s="919" cm="1" t="str">
        <f t="array" ref="L95:L95">BC95</f>
        <v>0</v>
      </c>
      <c r="M95" s="426"/>
      <c r="N95" s="426"/>
      <c r="O95" s="426"/>
      <c r="P95" s="426"/>
      <c r="Q95" s="426"/>
      <c r="R95" s="426"/>
      <c r="S95" s="426"/>
      <c r="T95" s="465" cm="1" t="str">
        <f t="array" ref="T95:T95">T94</f>
        <v>true</v>
      </c>
      <c r="U95" s="426"/>
      <c r="V95" s="426"/>
      <c r="W95" s="1758"/>
      <c r="X95" s="1563"/>
      <c r="Y95" s="1758"/>
      <c r="Z95" s="1546"/>
      <c r="AA95" s="1758"/>
      <c r="AB95" s="299" t="s">
        <v>452</v>
      </c>
      <c r="AC95" s="452" t="s">
        <v>2016</v>
      </c>
      <c r="AD95" s="300" t="s">
        <v>1514</v>
      </c>
      <c r="AE95" s="228"/>
      <c r="AF95" s="228"/>
      <c r="AG95" s="228"/>
      <c r="AH95" s="228"/>
      <c r="AI95" s="228"/>
      <c r="AJ95" s="228"/>
      <c r="AK95" s="228"/>
      <c r="AL95" s="228"/>
      <c r="AM95" s="228"/>
      <c r="AN95" s="4993"/>
      <c r="AO95" s="4993"/>
      <c r="AP95" s="4993"/>
      <c r="AQ95" s="4993"/>
      <c r="AR95" s="4993"/>
      <c r="AS95" s="228"/>
      <c r="AT95" s="228"/>
      <c r="AU95" s="228"/>
      <c r="AV95" s="228"/>
      <c r="AW95" s="228"/>
      <c r="AX95" s="4993"/>
      <c r="AY95" s="4993"/>
      <c r="AZ95" s="4993"/>
      <c r="BA95" s="4993"/>
      <c r="BB95" s="4993"/>
      <c r="BC95" s="200"/>
      <c r="BD95" s="1758"/>
      <c r="BE95" s="1758"/>
      <c r="BF95" s="997" t="s">
        <v>2017</v>
      </c>
      <c r="BG95" s="997"/>
      <c r="BH95" s="997"/>
      <c r="BI95" s="618"/>
      <c r="BJ95" s="618"/>
    </row>
    <row s="1021" customFormat="1" customHeight="1" ht="0">
      <c r="A96" s="1021"/>
      <c r="B96" s="838"/>
      <c r="C96" s="426"/>
      <c r="D96" s="426"/>
      <c r="E96" s="619">
        <v>22.5</v>
      </c>
      <c r="F96" s="50" cm="1" t="str">
        <f t="array" ref="F96:F96">OFFSET(E96,-1,1)</f>
        <v>4</v>
      </c>
      <c r="G96" s="426"/>
      <c r="H96" s="426"/>
      <c r="I96" s="426"/>
      <c r="J96" s="426"/>
      <c r="K96" s="124" t="str">
        <f>F96&amp;"9komm"</f>
        <v>49komm</v>
      </c>
      <c r="L96" s="919" cm="1" t="str">
        <f t="array" ref="L96:L96">BC96</f>
        <v>0</v>
      </c>
      <c r="M96" s="426"/>
      <c r="N96" s="426"/>
      <c r="O96" s="426"/>
      <c r="P96" s="426"/>
      <c r="Q96" s="426"/>
      <c r="R96" s="426"/>
      <c r="S96" s="426"/>
      <c r="T96" s="465" cm="1" t="str">
        <f t="array" ref="T96:T96">T95</f>
        <v>true</v>
      </c>
      <c r="U96" s="426"/>
      <c r="V96" s="426"/>
      <c r="W96" s="1021"/>
      <c r="X96" s="1563"/>
      <c r="Y96" s="1021"/>
      <c r="Z96" s="1546"/>
      <c r="AA96" s="1021"/>
      <c r="AB96" s="299" t="s">
        <v>455</v>
      </c>
      <c r="AC96" s="452" t="s">
        <v>2018</v>
      </c>
      <c r="AD96" s="300" t="s">
        <v>1514</v>
      </c>
      <c r="AE96" s="298"/>
      <c r="AF96" s="298"/>
      <c r="AG96" s="298"/>
      <c r="AH96" s="298"/>
      <c r="AI96" s="298"/>
      <c r="AJ96" s="298"/>
      <c r="AK96" s="298"/>
      <c r="AL96" s="298"/>
      <c r="AM96" s="298"/>
      <c r="AN96" s="4725"/>
      <c r="AO96" s="4725"/>
      <c r="AP96" s="4725"/>
      <c r="AQ96" s="4725"/>
      <c r="AR96" s="4725"/>
      <c r="AS96" s="298"/>
      <c r="AT96" s="298"/>
      <c r="AU96" s="298"/>
      <c r="AV96" s="298"/>
      <c r="AW96" s="298"/>
      <c r="AX96" s="4725"/>
      <c r="AY96" s="4725"/>
      <c r="AZ96" s="4725"/>
      <c r="BA96" s="4725"/>
      <c r="BB96" s="4725"/>
      <c r="BC96" s="774"/>
      <c r="BD96" s="1021"/>
      <c r="BE96" s="1021"/>
      <c r="BF96" s="1005" t="s">
        <v>2019</v>
      </c>
      <c r="BG96" s="1005"/>
      <c r="BH96" s="1005"/>
      <c r="BI96" s="692"/>
      <c r="BJ96" s="692"/>
    </row>
    <row s="1834" customFormat="1" customHeight="1" ht="14.25">
      <c r="A97" s="1758"/>
      <c r="B97" s="891"/>
      <c r="C97" s="887"/>
      <c r="D97" s="887"/>
      <c r="E97" s="888">
        <v>15</v>
      </c>
      <c r="F97" s="50" cm="1" t="str">
        <f t="array" ref="F97:F97">OFFSET(E97,-1,1)</f>
        <v>4</v>
      </c>
      <c r="G97" s="887" t="s">
        <v>1290</v>
      </c>
      <c r="H97" s="923"/>
      <c r="I97" s="887"/>
      <c r="J97" s="887"/>
      <c r="K97" s="124" t="str">
        <f>F97&amp;"10komm"</f>
        <v>410komm</v>
      </c>
      <c r="L97" s="919" cm="1" t="str">
        <f t="array" ref="L97:L97">BC97</f>
        <v>0</v>
      </c>
      <c r="M97" s="887"/>
      <c r="N97" s="887"/>
      <c r="O97" s="887"/>
      <c r="P97" s="887"/>
      <c r="Q97" s="887"/>
      <c r="R97" s="887"/>
      <c r="S97" s="887"/>
      <c r="T97" s="465" cm="1" t="str">
        <f t="array" ref="T97:T97">T96</f>
        <v>true</v>
      </c>
      <c r="U97" s="887"/>
      <c r="V97" s="887"/>
      <c r="W97" s="1758"/>
      <c r="X97" s="1563"/>
      <c r="Y97" s="1758"/>
      <c r="Z97" s="1546"/>
      <c r="AA97" s="1758"/>
      <c r="AB97" s="889">
        <v>10</v>
      </c>
      <c r="AC97" s="452" t="s">
        <v>2020</v>
      </c>
      <c r="AD97" s="300" t="s">
        <v>1514</v>
      </c>
      <c r="AE97" s="235">
        <f>SUM(AE98:AE100)</f>
        <v>0</v>
      </c>
      <c r="AF97" s="235">
        <f>SUM(AF98:AF100)</f>
        <v>0</v>
      </c>
      <c r="AG97" s="235">
        <f>SUM(AG98:AG100)</f>
        <v>0</v>
      </c>
      <c r="AH97" s="235">
        <f>SUM(AH98:AH100)</f>
        <v>0</v>
      </c>
      <c r="AI97" s="235">
        <f>SUM(AI98:AI100)</f>
        <v>0</v>
      </c>
      <c r="AJ97" s="235">
        <f>SUM(AJ98:AJ100)</f>
        <v>0</v>
      </c>
      <c r="AK97" s="235">
        <f>SUM(AK98:AK100)</f>
        <v>23.26</v>
      </c>
      <c r="AL97" s="235">
        <f>SUM(AL98:AL100)</f>
        <v>130.75</v>
      </c>
      <c r="AM97" s="235">
        <f>SUM(AM98:AM100)</f>
        <v>84.23</v>
      </c>
      <c r="AN97" s="235">
        <f>SUM(AN98:AN100)</f>
        <v>0</v>
      </c>
      <c r="AO97" s="235">
        <f>SUM(AO98:AO100)</f>
        <v>0</v>
      </c>
      <c r="AP97" s="235">
        <f>SUM(AP98:AP100)</f>
        <v>0</v>
      </c>
      <c r="AQ97" s="235">
        <f>SUM(AQ98:AQ100)</f>
        <v>0</v>
      </c>
      <c r="AR97" s="235">
        <f>SUM(AR98:AR100)</f>
        <v>0</v>
      </c>
      <c r="AS97" s="235">
        <f>SUM(AS98:AS100)</f>
        <v>0</v>
      </c>
      <c r="AT97" s="235">
        <f>SUM(AT98:AT100)</f>
        <v>0</v>
      </c>
      <c r="AU97" s="235">
        <f>SUM(AU98:AU100)</f>
        <v>23.26</v>
      </c>
      <c r="AV97" s="235">
        <f>SUM(AV98:AV100)</f>
        <v>130.75</v>
      </c>
      <c r="AW97" s="235">
        <f>SUM(AW98:AW100)</f>
        <v>84.23</v>
      </c>
      <c r="AX97" s="235">
        <f>SUM(AX98:AX100)</f>
        <v>0</v>
      </c>
      <c r="AY97" s="235">
        <f>SUM(AY98:AY100)</f>
        <v>0</v>
      </c>
      <c r="AZ97" s="235">
        <f>SUM(AZ98:AZ100)</f>
        <v>0</v>
      </c>
      <c r="BA97" s="235">
        <f>SUM(BA98:BA100)</f>
        <v>0</v>
      </c>
      <c r="BB97" s="235">
        <f>SUM(BB98:BB100)</f>
        <v>0</v>
      </c>
      <c r="BC97" s="200"/>
      <c r="BD97" s="1758"/>
      <c r="BE97" s="1758"/>
      <c r="BF97" s="1038" t="s">
        <v>2021</v>
      </c>
      <c r="BG97" s="1764"/>
      <c r="BH97" s="1764"/>
      <c r="BI97" s="1757"/>
      <c r="BJ97" s="1757"/>
    </row>
    <row s="1834" customFormat="1" customHeight="1" ht="14.25" hidden="1">
      <c r="E98" s="619">
        <v>15</v>
      </c>
      <c r="F98" s="1175" cm="1" t="str">
        <f t="array" ref="F98:F98">OFFSET(E98,-1,1)</f>
        <v>4</v>
      </c>
      <c r="G98" s="104" t="s">
        <v>1290</v>
      </c>
      <c r="I98" s="563" cm="1" t="str">
        <f t="array" ref="I98:I98">AC98</f>
        <v>0</v>
      </c>
      <c r="T98" s="465">
        <f>AND(F98&gt;0,Y98&gt;0)</f>
        <v>0</v>
      </c>
      <c r="W98" s="717" t="s">
        <v>174</v>
      </c>
      <c r="Y98" s="122">
        <v>0</v>
      </c>
      <c r="AA98" s="420" t="s">
        <v>175</v>
      </c>
      <c r="AB98" s="690" t="str">
        <f>"10."&amp;Y98</f>
        <v>10.0</v>
      </c>
      <c r="AC98" s="5105"/>
      <c r="AD98" s="88" t="s">
        <v>1514</v>
      </c>
      <c r="AE98" s="1244"/>
      <c r="AF98" s="1244"/>
      <c r="AG98" s="1244"/>
      <c r="AH98" s="1244"/>
      <c r="AI98" s="1244"/>
      <c r="AJ98" s="1244"/>
      <c r="AK98" s="1244"/>
      <c r="AL98" s="1244"/>
      <c r="AM98" s="1244"/>
      <c r="AN98" s="1244"/>
      <c r="AO98" s="1244"/>
      <c r="AP98" s="1244"/>
      <c r="AQ98" s="1244"/>
      <c r="AR98" s="1244"/>
      <c r="AS98" s="1244"/>
      <c r="AT98" s="1244"/>
      <c r="AU98" s="1244"/>
      <c r="AV98" s="1244"/>
      <c r="AW98" s="1244"/>
      <c r="AX98" s="1244"/>
      <c r="AY98" s="1244"/>
      <c r="AZ98" s="1244"/>
      <c r="BA98" s="1244"/>
      <c r="BB98" s="1244"/>
      <c r="BC98" s="5106"/>
      <c r="BF98" s="997" t="s">
        <v>2021</v>
      </c>
      <c r="BG98" s="997" t="s">
        <v>2022</v>
      </c>
      <c r="BH98" s="1050" cm="1" t="str">
        <f t="array" ref="BH98:BH98">AC98</f>
        <v>0</v>
      </c>
      <c r="BI98" s="618"/>
      <c r="BJ98" s="618" t="b">
        <v>1</v>
      </c>
    </row>
    <row s="1834" customFormat="1" customHeight="1" ht="65.25">
      <c r="A99" s="1834"/>
      <c r="B99" s="1834"/>
      <c r="C99" s="1834"/>
      <c r="D99" s="1834"/>
      <c r="E99" s="619">
        <v>15</v>
      </c>
      <c r="F99" s="1175" cm="1" t="str">
        <f t="array" ref="F99:F99">OFFSET(E99,-1,1)</f>
        <v>4</v>
      </c>
      <c r="G99" s="104" t="s">
        <v>1290</v>
      </c>
      <c r="H99" s="1834"/>
      <c r="I99" s="563" cm="1" t="str">
        <f t="array" ref="I99:I99">AC99</f>
        <v>налог на имущество по ИП</v>
      </c>
      <c r="J99" s="1834"/>
      <c r="K99" s="1834"/>
      <c r="L99" s="1834"/>
      <c r="M99" s="1834"/>
      <c r="N99" s="1834"/>
      <c r="O99" s="1834"/>
      <c r="P99" s="1834"/>
      <c r="Q99" s="1834"/>
      <c r="R99" s="1834"/>
      <c r="S99" s="1834"/>
      <c r="T99" s="465">
        <f>AND(F99&gt;0,Y99&gt;0)</f>
        <v>1</v>
      </c>
      <c r="U99" s="1834"/>
      <c r="V99" s="1834"/>
      <c r="W99" s="717"/>
      <c r="X99" s="1834"/>
      <c r="Y99" s="122" t="s">
        <v>276</v>
      </c>
      <c r="Z99" s="1834"/>
      <c r="AA99" s="420" t="s">
        <v>175</v>
      </c>
      <c r="AB99" s="690" t="str">
        <f>"10."&amp;Y99</f>
        <v>10.1</v>
      </c>
      <c r="AC99" s="5107" t="s">
        <v>2028</v>
      </c>
      <c r="AD99" s="88" t="s">
        <v>1514</v>
      </c>
      <c r="AE99" s="4750"/>
      <c r="AF99" s="4750"/>
      <c r="AG99" s="4750"/>
      <c r="AH99" s="4750"/>
      <c r="AI99" s="4750"/>
      <c r="AJ99" s="4750"/>
      <c r="AK99" s="4750">
        <v>23.26</v>
      </c>
      <c r="AL99" s="4750">
        <v>130.75</v>
      </c>
      <c r="AM99" s="4750">
        <v>84.23</v>
      </c>
      <c r="AN99" s="1244"/>
      <c r="AO99" s="1244"/>
      <c r="AP99" s="1244"/>
      <c r="AQ99" s="1244"/>
      <c r="AR99" s="1244"/>
      <c r="AS99" s="4750"/>
      <c r="AT99" s="4750"/>
      <c r="AU99" s="4750">
        <v>23.26</v>
      </c>
      <c r="AV99" s="4750">
        <v>130.75</v>
      </c>
      <c r="AW99" s="4750">
        <v>84.23</v>
      </c>
      <c r="AX99" s="1244"/>
      <c r="AY99" s="1244"/>
      <c r="AZ99" s="1244"/>
      <c r="BA99" s="1244"/>
      <c r="BB99" s="1244"/>
      <c r="BC99" s="5108" t="s">
        <v>2029</v>
      </c>
      <c r="BD99" s="1834"/>
      <c r="BE99" s="1834"/>
      <c r="BF99" s="997" t="s">
        <v>2021</v>
      </c>
      <c r="BG99" s="997" t="s">
        <v>2022</v>
      </c>
      <c r="BH99" s="1050" cm="1" t="str">
        <f t="array" ref="BH99:BH99">AC99</f>
        <v>налог на имущество по ИП</v>
      </c>
      <c r="BI99" s="618"/>
      <c r="BJ99" s="618" t="b">
        <v>1</v>
      </c>
    </row>
    <row s="538" customFormat="1" customHeight="1" ht="14.25">
      <c r="A100" s="1758"/>
      <c r="B100" s="838"/>
      <c r="C100" s="426"/>
      <c r="D100" s="426"/>
      <c r="E100" s="619">
        <v>15</v>
      </c>
      <c r="F100" s="50" cm="1" t="str">
        <f t="array" ref="F100:F100">OFFSET(E100,-1,1)</f>
        <v>4</v>
      </c>
      <c r="G100" s="426"/>
      <c r="H100" s="1758"/>
      <c r="I100" s="426" t="str">
        <f>"!=='не определено'"</f>
        <v>!=='не определено'</v>
      </c>
      <c r="J100" s="426"/>
      <c r="K100" s="426"/>
      <c r="L100" s="426"/>
      <c r="M100" s="426"/>
      <c r="N100" s="426"/>
      <c r="O100" s="426"/>
      <c r="P100" s="426"/>
      <c r="Q100" s="426"/>
      <c r="R100" s="426"/>
      <c r="S100" s="426"/>
      <c r="T100" s="465">
        <f>F100&gt;0</f>
        <v>1</v>
      </c>
      <c r="U100" s="426"/>
      <c r="V100" s="426"/>
      <c r="W100" s="757" t="s">
        <v>399</v>
      </c>
      <c r="X100" s="1563"/>
      <c r="Y100" s="1758"/>
      <c r="Z100" s="1546"/>
      <c r="AA100" s="1758"/>
      <c r="AB100" s="775"/>
      <c r="AC100" s="260" t="s">
        <v>178</v>
      </c>
      <c r="AD100" s="776"/>
      <c r="AE100" s="232"/>
      <c r="AF100" s="232"/>
      <c r="AG100" s="232"/>
      <c r="AH100" s="232"/>
      <c r="AI100" s="232"/>
      <c r="AJ100" s="232"/>
      <c r="AK100" s="232"/>
      <c r="AL100" s="232"/>
      <c r="AM100" s="232"/>
      <c r="AN100" s="232"/>
      <c r="AO100" s="232"/>
      <c r="AP100" s="232"/>
      <c r="AQ100" s="232"/>
      <c r="AR100" s="232"/>
      <c r="AS100" s="232"/>
      <c r="AT100" s="232"/>
      <c r="AU100" s="232"/>
      <c r="AV100" s="232"/>
      <c r="AW100" s="232"/>
      <c r="AX100" s="232"/>
      <c r="AY100" s="232"/>
      <c r="AZ100" s="232"/>
      <c r="BA100" s="232"/>
      <c r="BB100" s="232"/>
      <c r="BC100" s="233"/>
      <c r="BD100" s="1758"/>
      <c r="BE100" s="1758"/>
      <c r="BF100" s="997"/>
      <c r="BG100" s="997"/>
      <c r="BH100" s="997"/>
      <c r="BI100" s="618" t="s">
        <v>2022</v>
      </c>
      <c r="BJ100" s="618"/>
    </row>
    <row s="1834" customFormat="1" customHeight="1" ht="10.96875">
      <c r="B101" s="827"/>
      <c r="C101" s="0"/>
      <c r="D101" s="0"/>
      <c r="E101" s="671">
        <v>11.25</v>
      </c>
      <c r="F101" s="85"/>
      <c r="G101" s="0"/>
      <c r="H101" s="0"/>
      <c r="I101" s="0"/>
      <c r="J101" s="0"/>
      <c r="K101" s="0"/>
      <c r="L101" s="0"/>
      <c r="M101" s="0"/>
      <c r="N101" s="0"/>
      <c r="O101" s="0"/>
      <c r="P101" s="0"/>
      <c r="Q101" s="0"/>
      <c r="R101" s="0"/>
      <c r="S101" s="0"/>
      <c r="T101" s="0"/>
      <c r="U101" s="0" t="s">
        <v>178</v>
      </c>
      <c r="V101" s="849" t="s">
        <v>2030</v>
      </c>
      <c r="AC101" s="100"/>
      <c r="AD101" s="100"/>
      <c r="AE101" s="100"/>
      <c r="AF101" s="100"/>
      <c r="AI101" s="1834"/>
      <c r="AJ101" s="1834"/>
      <c r="AK101" s="1834"/>
      <c r="AL101" s="1834"/>
      <c r="AM101" s="1834"/>
      <c r="AN101" s="1834"/>
      <c r="AO101" s="1834"/>
      <c r="AP101" s="1834"/>
      <c r="AQ101" s="101"/>
      <c r="AR101" s="1834"/>
      <c r="AS101" s="1834"/>
      <c r="AT101" s="1834"/>
      <c r="AU101" s="1834"/>
      <c r="AV101" s="1834"/>
      <c r="AW101" s="1834"/>
      <c r="AX101" s="1834"/>
      <c r="AY101" s="1834"/>
      <c r="AZ101" s="1834"/>
      <c r="BA101" s="1834"/>
      <c r="BB101" s="1834"/>
      <c r="BF101" s="1004"/>
      <c r="BG101" s="1004"/>
      <c r="BH101" s="1004"/>
      <c r="BI101" s="624"/>
      <c r="BJ101" s="624"/>
    </row>
    <row s="1834" customFormat="1" customHeight="1" ht="14.625">
      <c r="A102" s="98"/>
      <c r="B102" s="839"/>
      <c r="C102" s="493"/>
      <c r="D102" s="493"/>
      <c r="E102" s="840">
        <v>15</v>
      </c>
      <c r="F102" s="493"/>
      <c r="G102" s="493"/>
      <c r="H102" s="493"/>
      <c r="I102" s="493"/>
      <c r="J102" s="493"/>
      <c r="K102" s="493"/>
      <c r="L102" s="493"/>
      <c r="M102" s="493"/>
      <c r="N102" s="493"/>
      <c r="O102" s="493"/>
      <c r="P102" s="493"/>
      <c r="Q102" s="493"/>
      <c r="R102" s="493"/>
      <c r="S102" s="493"/>
      <c r="T102" s="493"/>
      <c r="U102" s="493"/>
      <c r="V102" s="493"/>
      <c r="W102" s="98"/>
      <c r="X102" s="98"/>
      <c r="Y102" s="98"/>
      <c r="Z102" s="98"/>
      <c r="AA102" s="98"/>
      <c r="AB102" s="1577" t="s">
        <v>407</v>
      </c>
      <c r="AC102" s="1577"/>
      <c r="AD102" s="1577"/>
      <c r="AE102" s="1577"/>
      <c r="AF102" s="1577"/>
      <c r="AG102" s="1577"/>
      <c r="AH102" s="1577"/>
      <c r="AI102" s="1598"/>
      <c r="AJ102" s="1598"/>
      <c r="AK102" s="1598"/>
      <c r="AL102" s="1598"/>
      <c r="AM102" s="1598"/>
      <c r="AN102" s="1598"/>
      <c r="AO102" s="1598"/>
      <c r="AP102" s="1598"/>
      <c r="AQ102" s="1598"/>
      <c r="AR102" s="1598"/>
      <c r="AS102" s="1598"/>
      <c r="AT102" s="1598"/>
      <c r="AU102" s="1598"/>
      <c r="AV102" s="1598"/>
      <c r="AW102" s="1598"/>
      <c r="AX102" s="1598"/>
      <c r="AY102" s="1598"/>
      <c r="AZ102" s="1598"/>
      <c r="BA102" s="1598"/>
      <c r="BB102" s="1598"/>
      <c r="BC102" s="1598"/>
      <c r="BD102" s="98"/>
      <c r="BF102" s="1004"/>
      <c r="BG102" s="1004"/>
      <c r="BH102" s="1004"/>
      <c r="BI102" s="624"/>
      <c r="BJ102" s="624"/>
    </row>
    <row s="1834" customFormat="1" customHeight="1" ht="23.25">
      <c r="A103" s="98"/>
      <c r="B103" s="839"/>
      <c r="C103" s="493"/>
      <c r="D103" s="493"/>
      <c r="E103" s="840">
        <v>15</v>
      </c>
      <c r="F103" s="493"/>
      <c r="G103" s="493"/>
      <c r="H103" s="493"/>
      <c r="I103" s="493"/>
      <c r="J103" s="493"/>
      <c r="K103" s="493"/>
      <c r="L103" s="493"/>
      <c r="M103" s="493"/>
      <c r="N103" s="493"/>
      <c r="O103" s="493"/>
      <c r="P103" s="493"/>
      <c r="Q103" s="493"/>
      <c r="R103" s="493"/>
      <c r="S103" s="493"/>
      <c r="T103" s="493"/>
      <c r="U103" s="493"/>
      <c r="V103" s="493"/>
      <c r="W103" s="98"/>
      <c r="X103" s="98"/>
      <c r="Y103" s="98"/>
      <c r="Z103" s="98"/>
      <c r="AA103" s="173"/>
      <c r="AB103" s="1599" t="s">
        <v>1569</v>
      </c>
      <c r="AC103" s="1599"/>
      <c r="AD103" s="1599"/>
      <c r="AE103" s="1599"/>
      <c r="AF103" s="1599"/>
      <c r="AG103" s="1599"/>
      <c r="AH103" s="1599"/>
      <c r="AI103" s="3542"/>
      <c r="AJ103" s="3542"/>
      <c r="AK103" s="3542"/>
      <c r="AL103" s="3542"/>
      <c r="AM103" s="3542"/>
      <c r="AN103" s="3542"/>
      <c r="AO103" s="3542"/>
      <c r="AP103" s="3542"/>
      <c r="AQ103" s="3542"/>
      <c r="AR103" s="3542"/>
      <c r="AS103" s="3542"/>
      <c r="AT103" s="3542"/>
      <c r="AU103" s="3542"/>
      <c r="AV103" s="3542"/>
      <c r="AW103" s="3542"/>
      <c r="AX103" s="3542"/>
      <c r="AY103" s="3542"/>
      <c r="AZ103" s="3542"/>
      <c r="BA103" s="3542"/>
      <c r="BB103" s="3542"/>
      <c r="BC103" s="1600"/>
      <c r="BD103" s="98"/>
      <c r="BF103" s="1004"/>
      <c r="BG103" s="1004"/>
      <c r="BH103" s="1004"/>
      <c r="BI103" s="624"/>
      <c r="BJ103" s="624"/>
    </row>
    <row s="1834" customFormat="1" customHeight="1" ht="14.625" hidden="1">
      <c r="E104" s="632">
        <v>15</v>
      </c>
      <c r="T104" s="465">
        <f>ROW(W104)&gt;ROW(W$104)</f>
        <v>0</v>
      </c>
      <c r="W104" s="717" t="s">
        <v>174</v>
      </c>
      <c r="AA104" s="64" t="s">
        <v>175</v>
      </c>
      <c r="AB104" s="61" t="s">
        <v>227</v>
      </c>
      <c r="AC104" s="61"/>
      <c r="AD104" s="61"/>
      <c r="AE104" s="61"/>
      <c r="AF104" s="61"/>
      <c r="AG104" s="61"/>
      <c r="AH104" s="61"/>
      <c r="AI104" s="62"/>
      <c r="AJ104" s="62"/>
      <c r="AK104" s="62"/>
      <c r="AL104" s="62"/>
      <c r="AM104" s="62"/>
      <c r="AN104" s="62"/>
      <c r="AO104" s="62"/>
      <c r="AP104" s="62"/>
      <c r="AQ104" s="62"/>
      <c r="AR104" s="62"/>
      <c r="AS104" s="62"/>
      <c r="AT104" s="62"/>
      <c r="AU104" s="62"/>
      <c r="AV104" s="62"/>
      <c r="AW104" s="62"/>
      <c r="AX104" s="62"/>
      <c r="AY104" s="62"/>
      <c r="AZ104" s="62"/>
      <c r="BA104" s="62"/>
      <c r="BB104" s="62"/>
      <c r="BC104" s="62"/>
      <c r="BF104" s="1004"/>
      <c r="BG104" s="1004"/>
      <c r="BH104" s="1004"/>
      <c r="BI104" s="624"/>
      <c r="BJ104" s="624"/>
    </row>
    <row s="1834" customFormat="1" customHeight="1" ht="23.25">
      <c r="A105" s="1834"/>
      <c r="B105" s="1834"/>
      <c r="C105" s="1834"/>
      <c r="D105" s="1834"/>
      <c r="E105" s="632">
        <v>15</v>
      </c>
      <c r="F105" s="1834"/>
      <c r="G105" s="1834"/>
      <c r="H105" s="1834"/>
      <c r="I105" s="1834"/>
      <c r="J105" s="1834"/>
      <c r="K105" s="1834"/>
      <c r="L105" s="1834"/>
      <c r="M105" s="1834"/>
      <c r="N105" s="1834"/>
      <c r="O105" s="1834"/>
      <c r="P105" s="1834"/>
      <c r="Q105" s="1834"/>
      <c r="R105" s="1834"/>
      <c r="S105" s="1834"/>
      <c r="T105" s="465">
        <f>ROW(W105)&gt;ROW(W$104)</f>
        <v>1</v>
      </c>
      <c r="U105" s="1834"/>
      <c r="V105" s="1834"/>
      <c r="W105" s="717"/>
      <c r="X105" s="1834"/>
      <c r="Y105" s="1834" t="s">
        <v>227</v>
      </c>
      <c r="Z105" s="1834"/>
      <c r="AA105" s="64" t="s">
        <v>175</v>
      </c>
      <c r="AB105" s="3543" t="s">
        <v>1231</v>
      </c>
      <c r="AC105" s="61"/>
      <c r="AD105" s="61"/>
      <c r="AE105" s="61"/>
      <c r="AF105" s="61"/>
      <c r="AG105" s="61"/>
      <c r="AH105" s="61"/>
      <c r="AI105" s="62"/>
      <c r="AJ105" s="62"/>
      <c r="AK105" s="62"/>
      <c r="AL105" s="62"/>
      <c r="AM105" s="62"/>
      <c r="AN105" s="62"/>
      <c r="AO105" s="62"/>
      <c r="AP105" s="62"/>
      <c r="AQ105" s="62"/>
      <c r="AR105" s="62"/>
      <c r="AS105" s="62"/>
      <c r="AT105" s="62"/>
      <c r="AU105" s="62"/>
      <c r="AV105" s="62"/>
      <c r="AW105" s="62"/>
      <c r="AX105" s="62"/>
      <c r="AY105" s="62"/>
      <c r="AZ105" s="62"/>
      <c r="BA105" s="62"/>
      <c r="BB105" s="62"/>
      <c r="BC105" s="62"/>
      <c r="BD105" s="1834"/>
      <c r="BE105" s="1834"/>
      <c r="BF105" s="1004"/>
      <c r="BG105" s="1004"/>
      <c r="BH105" s="1004"/>
      <c r="BI105" s="624"/>
      <c r="BJ105" s="624"/>
    </row>
    <row s="1834" customFormat="1" customHeight="1" ht="14.625">
      <c r="A106" s="98"/>
      <c r="B106" s="427"/>
      <c r="C106" s="98"/>
      <c r="D106" s="98"/>
      <c r="E106" s="632">
        <v>15</v>
      </c>
      <c r="F106" s="98"/>
      <c r="G106" s="98"/>
      <c r="H106" s="98"/>
      <c r="I106" s="98"/>
      <c r="J106" s="98"/>
      <c r="K106" s="98"/>
      <c r="L106" s="98"/>
      <c r="M106" s="98"/>
      <c r="N106" s="98"/>
      <c r="O106" s="98"/>
      <c r="P106" s="98"/>
      <c r="Q106" s="98"/>
      <c r="R106" s="98"/>
      <c r="S106" s="98"/>
      <c r="T106" s="98"/>
      <c r="U106" s="98"/>
      <c r="V106" s="98"/>
      <c r="W106" s="757" t="s">
        <v>408</v>
      </c>
      <c r="X106" s="98"/>
      <c r="Y106" s="98"/>
      <c r="Z106" s="98"/>
      <c r="AA106" s="98"/>
      <c r="AB106" s="647"/>
      <c r="AC106" s="514" t="s">
        <v>1978</v>
      </c>
      <c r="AD106" s="310"/>
      <c r="AE106" s="310"/>
      <c r="AF106" s="311"/>
      <c r="AG106" s="311"/>
      <c r="AH106" s="311"/>
      <c r="AI106" s="311"/>
      <c r="AJ106" s="311"/>
      <c r="AK106" s="311"/>
      <c r="AL106" s="311"/>
      <c r="AM106" s="311"/>
      <c r="AN106" s="311"/>
      <c r="AO106" s="311"/>
      <c r="AP106" s="311"/>
      <c r="AQ106" s="311"/>
      <c r="AR106" s="311"/>
      <c r="AS106" s="311"/>
      <c r="AT106" s="311"/>
      <c r="AU106" s="311"/>
      <c r="AV106" s="311"/>
      <c r="AW106" s="311"/>
      <c r="AX106" s="311"/>
      <c r="AY106" s="311"/>
      <c r="AZ106" s="311"/>
      <c r="BA106" s="311"/>
      <c r="BB106" s="311"/>
      <c r="BC106" s="312"/>
      <c r="BD106" s="98"/>
      <c r="BF106" s="1004"/>
      <c r="BG106" s="1004"/>
      <c r="BH106" s="1004"/>
      <c r="BI106" s="624"/>
      <c r="BJ106" s="624"/>
    </row>
    <row s="1834" customFormat="1" customHeight="1" ht="10.96875">
      <c r="A107" s="149"/>
      <c r="B107" s="442"/>
      <c r="C107" s="149"/>
      <c r="D107" s="149"/>
      <c r="E107" s="676">
        <v>11.25</v>
      </c>
      <c r="F107" s="149"/>
      <c r="G107" s="149"/>
      <c r="H107" s="149"/>
      <c r="I107" s="149"/>
      <c r="J107" s="149"/>
      <c r="K107" s="149"/>
      <c r="L107" s="149"/>
      <c r="M107" s="149"/>
      <c r="N107" s="149"/>
      <c r="O107" s="149"/>
      <c r="P107" s="149"/>
      <c r="Q107" s="149"/>
      <c r="R107" s="149"/>
      <c r="S107" s="149"/>
      <c r="T107" s="149"/>
      <c r="U107" s="149"/>
      <c r="V107" s="149"/>
      <c r="W107" s="149"/>
      <c r="X107" s="149"/>
      <c r="Y107" s="149"/>
      <c r="Z107" s="149"/>
      <c r="AA107" s="149"/>
      <c r="AB107" s="149"/>
      <c r="AC107" s="149"/>
      <c r="AD107" s="149"/>
      <c r="AE107" s="149"/>
      <c r="AF107" s="149"/>
      <c r="AG107" s="149"/>
      <c r="AH107" s="149"/>
      <c r="AI107" s="149"/>
      <c r="AJ107" s="149"/>
      <c r="AK107" s="149"/>
      <c r="AL107" s="149"/>
      <c r="AM107" s="149"/>
      <c r="AN107" s="149"/>
      <c r="AO107" s="149"/>
      <c r="AP107" s="149"/>
      <c r="AQ107" s="149"/>
      <c r="AR107" s="149"/>
      <c r="AS107" s="149"/>
      <c r="AT107" s="149"/>
      <c r="AU107" s="149"/>
      <c r="AV107" s="149"/>
      <c r="AW107" s="149"/>
      <c r="AX107" s="149"/>
      <c r="AY107" s="149"/>
      <c r="AZ107" s="149"/>
      <c r="BA107" s="149"/>
      <c r="BB107" s="149"/>
      <c r="BC107" s="149"/>
      <c r="BD107" s="426"/>
      <c r="BF107" s="1004"/>
      <c r="BG107" s="1004"/>
      <c r="BH107" s="1004"/>
      <c r="BI107" s="624"/>
      <c r="BJ107" s="624"/>
    </row>
  </sheetData>
  <sheetProtection formatColumns="0" formatRows="0" insertRows="0" deleteColumns="0" deleteRows="0" sort="0" autoFilter="0" insertColumns="1"/>
  <mergeCells count="18">
    <mergeCell ref="AB104:BC104"/>
    <mergeCell ref="X27:X40"/>
    <mergeCell ref="Z27:Z40"/>
    <mergeCell ref="AB102:BC102"/>
    <mergeCell ref="AB103:BC103"/>
    <mergeCell ref="AB24:AB25"/>
    <mergeCell ref="AC24:AC25"/>
    <mergeCell ref="AD24:AD25"/>
    <mergeCell ref="BC24:BC25"/>
    <mergeCell ref="X41:X55"/>
    <mergeCell ref="Z41:Z55"/>
    <mergeCell ref="X56:X70"/>
    <mergeCell ref="Z56:Z70"/>
    <mergeCell ref="X71:X85"/>
    <mergeCell ref="Z71:Z85"/>
    <mergeCell ref="X86:X100"/>
    <mergeCell ref="Z86:Z100"/>
    <mergeCell ref="AB105:BC105"/>
  </mergeCells>
  <dataValidations count="2">
    <dataValidation allowBlank="1" showInputMessage="1" showErrorMessage="1" sqref="AI102:BC65558"/>
    <dataValidation type="decimal" allowBlank="1" showErrorMessage="1" errorTitle="Ошибка" error="Допускается ввод только неотрицательных чисел!" sqref="AE29:BB37 AE39:AW39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3:AE54 AF53:AF54 AG53:AG54 AH53:AH54 AI53:AI54 AJ53:AJ54 AK53:AK54 AL53:AL54 AM53:AM54 AN53:AN54 AO53:AO54 AP53:AP54 AQ53:AQ54 AR53:AR54 AS53:AS54 AT53:AT54 AU53:AU54 AV53:AV54 AW53:AW54 AE58 AF58 AG58 AH58 AI58 AJ58 AK58 AL58 AM58 AN58 AO58 AP58 AQ58 AR58 AS58 AT58 AU58 AV58 AW58 AX58 AY58 AZ58 BA58 BB58 AE59 AF59 AG59 AH59 AI59 AJ59 AK59 AL59 AM59 AN59 AO59 AP59 AQ59 AR59 AS59 AT59 AU59 AV59 AW59 AX59 AY59 AZ59 BA59 BB59 AE60 AF60 AG60 AH60 AI60 AJ60 AK60 AL60 AM60 AN60 AO60 AP60 AQ60 AR60 AS60 AT60 AU60 AV60 AW60 AX60 AY60 AZ60 BA60 BB60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AE64 AF64 AG64 AH64 AI64 AJ64 AK64 AL64 AM64 AN64 AO64 AP64 AQ64 AR64 AS64 AT64 AU64 AV64 AW64 AX64 AY64 AZ64 BA64 BB64 AE65 AF65 AG65 AH65 AI65 AJ65 AK65 AL65 AM65 AN65 AO65 AP65 AQ65 AR65 AS65 AT65 AU65 AV65 AW65 AX65 AY65 AZ65 BA65 BB65 AE66 AF66 AG66 AH66 AI66 AJ66 AK66 AL66 AM66 AN66 AO66 AP66 AQ66 AR66 AS66 AT66 AU66 AV66 AW66 AX66 AY66 AZ66 BA66 BB66 AE68:AE69 AF68:AF69 AG68:AG69 AH68:AH69 AI68:AI69 AJ68:AJ69 AK68:AK69 AL68:AL69 AM68:AM69 AN68:AN69 AO68:AO69 AP68:AP69 AQ68:AQ69 AR68:AR69 AS68:AS69 AT68:AT69 AU68:AU69 AV68:AV69 AW68:AW69 AE73 AF73 AG73 AH73 AI73 AJ73 AK73 AL73 AM73 AN73 AO73 AP73 AQ73 AR73 AS73 AT73 AU73 AV73 AW73 AX73 AY73 AZ73 BA73 BB73 AE74 AF74 AG74 AH74 AI74 AJ74 AK74 AL74 AM74 AN74 AO74 AP74 AQ74 AR74 AS74 AT74 AU74 AV74 AW74 AX74 AY74 AZ74 BA74 BB74 AE75 AF75 AG75 AH75 AI75 AJ75 AK75 AL75 AM75 AN75 AO75 AP75 AQ75 AR75 AS75 AT75 AU75 AV75 AW75 AX75 AY75 AZ75 BA75 BB75 AE76 AF76 AG76 AH76 AI76 AJ76 AK76 AL76 AM76 AN76 AO76 AP76 AQ76 AR76 AS76 AT76 AU76 AV76 AW76 AX76 AY76 AZ76 BA76 BB76 AE77 AF77 AG77 AH77 AI77 AJ77 AK77 AL77 AM77 AN77 AO77 AP77 AQ77 AR77 AS77 AT77 AU77 AV77 AW77 AX77 AY77 AZ77 BA77 BB77 AE78 AF78 AG78 AH78 AI78 AJ78 AK78 AL78 AM78 AN78 AO78 AP78 AQ78 AR78 AS78 AT78 AU78 AV78 AW78 AX78 AY78 AZ78 BA78 BB78 AE79 AF79 AG79 AH79 AI79 AJ79 AK79 AL79 AM79 AN79 AO79 AP79 AQ79 AR79 AS79 AT79 AU79 AV79 AW79 AX79 AY79 AZ79 BA79 BB79 AE80 AF80 AG80 AH80 AI80 AJ80 AK80 AL80 AM80 AN80 AO80 AP80 AQ80 AR80 AS80 AT80 AU80 AV80 AW80 AX80 AY80 AZ80 BA80 BB80 AE81 AF81 AG81 AH81 AI81 AJ81 AK81 AL81 AM81 AN81 AO81 AP81 AQ81 AR81 AS81 AT81 AU81 AV81 AW81 AX81 AY81 AZ81 BA81 BB81 AE83:AE84 AF83:AF84 AG83:AG84 AH83:AH84 AI83:AI84 AJ83:AJ84 AK83:AK84 AL83:AL84 AM83:AM84 AN83:AN84 AO83:AO84 AP83:AP84 AQ83:AQ84 AR83:AR84 AS83:AS84 AT83:AT84 AU83:AU84 AV83:AV84 AW83:AW84 AE88 AF88 AG88 AH88 AI88 AJ88 AK88 AL88 AM88 AN88 AO88 AP88 AQ88 AR88 AS88 AT88 AU88 AV88 AW88 AX88 AY88 AZ88 BA88 BB88 AE89 AF89 AG89 AH89 AI89 AJ89 AK89 AL89 AM89 AN89 AO89 AP89 AQ89 AR89 AS89 AT89 AU89 AV89 AW89 AX89 AY89 AZ89 BA89 BB89 AE90 AF90 AG90 AH90 AI90 AJ90 AK90 AL90 AM90 AN90 AO90 AP90 AQ90 AR90 AS90 AT90 AU90 AV90 AW90 AX90 AY90 AZ90 BA90 BB90 AE91 AF91 AG91 AH91 AI91 AJ91 AK91 AL91 AM91 AN91 AO91 AP91 AQ91 AR91 AS91 AT91 AU91 AV91 AW91 AX91 AY91 AZ91 BA91 BB91 AE92 AF92 AG92 AH92 AI92 AJ92 AK92 AL92 AM92 AN92 AO92 AP92 AQ92 AR92 AS92 AT92 AU92 AV92 AW92 AX92 AY92 AZ92 BA92 BB92 AE93 AF93 AG93 AH93 AI93 AJ93 AK93 AL93 AM93 AN93 AO93 AP93 AQ93 AR93 AS93 AT93 AU93 AV93 AW93 AX93 AY93 AZ93 BA93 BB93 AE94 AF94 AG94 AH94 AI94 AJ94 AK94 AL94 AM94 AN94 AO94 AP94 AQ94 AR94 AS94 AT94 AU94 AV94 AW94 AX94 AY94 AZ94 BA94 BB94 AE95 AF95 AG95 AH95 AI95 AJ95 AK95 AL95 AM95 AN95 AO95 AP95 AQ95 AR95 AS95 AT95 AU95 AV95 AW95 AX95 AY95 AZ95 BA95 BB95 AE96 AF96 AG96 AH96 AI96 AJ96 AK96 AL96 AM96 AN96 AO96 AP96 AQ96 AR96 AS96 AT96 AU96 AV96 AW96 AX96 AY96 AZ96 BA96 BB96 AE98:AE99 AF98:AF99 AG98:AG99 AH98:AH99 AI98:AI99 AJ98:AJ99 AK98:AK99 AL98:AL99 AM98:AM99 AN98:AN99 AO98:AO99 AP98:AP99 AQ98:AQ99 AR98:AR99 AS98:AS99 AT98:AT99 AU98:AU99 AV98:AV99 AW98:AW99">
      <formula1>0</formula1>
      <formula2>9.99999999999999E+23</formula2>
    </dataValidation>
  </dataValidations>
  <pageMargins left="0.35" right="0.35" top="0.40" bottom="0.40" header="0.31" footer="0.31"/>
  <pageSetup paperSize="9" scale="30" fitToHeight="0" pageOrder="downThenOver" orientation="landscape"/>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B8F222-0216-C1BA-9F2E-EBB568F2F549}" mc:Ignorable="x14ac xr xr2 xr3">
  <sheetPr>
    <tabColor rgb="FF002060"/>
    <outlinePr summaryRight="0" summaryBelow="0"/>
    <pageSetUpPr fitToPage="1"/>
  </sheetPr>
  <dimension ref="A1:BH208"/>
  <sheetViews>
    <sheetView showGridLines="0" workbookViewId="0">
      <pane xSplit="30" ySplit="27" topLeftCell="AE28" activePane="bottomRight" state="frozen"/>
      <selection pane="bottomLeft" activeCell="A28" sqref="A28"/>
      <selection pane="topRight" activeCell="AE1" sqref="AE1"/>
      <selection pane="bottomRight" activeCell="AA21" sqref="AA21"/>
    </sheetView>
  </sheetViews>
  <sheetFormatPr defaultColWidth="8.8515625" customHeight="1" defaultRowHeight="11.25"/>
  <cols>
    <col min="1" max="1" style="1758" width="3.57421875" hidden="1" customWidth="1"/>
    <col min="2" max="2" style="1416" width="8.57421875" hidden="1" customWidth="1"/>
    <col min="3" max="4" style="1758" width="3.57421875" hidden="1" customWidth="1"/>
    <col min="5" max="5" style="1757" width="3.57421875" hidden="1" customWidth="1"/>
    <col min="6" max="6" style="1758" width="3.57421875" hidden="1" customWidth="1"/>
    <col min="7" max="7" style="1758" width="7.7109375" hidden="1" customWidth="1"/>
    <col min="8" max="10" style="1758" width="3.57421875" hidden="1" customWidth="1"/>
    <col min="11" max="11" style="1758" width="7.140625" hidden="1" customWidth="1"/>
    <col min="12" max="18" style="1758" width="3.57421875" hidden="1" customWidth="1"/>
    <col min="19" max="19" style="1758" width="9.28125" hidden="1" customWidth="1"/>
    <col min="20" max="20" style="1758" width="12.140625" hidden="1" customWidth="1"/>
    <col min="21" max="21" style="1758" width="5.8515625" hidden="1" customWidth="1"/>
    <col min="22" max="23" style="1758" width="6.140625" hidden="1" customWidth="1"/>
    <col min="24" max="25" style="1758" width="5.57421875" hidden="1" customWidth="1"/>
    <col min="26" max="26" style="1758" width="5.28125" hidden="1" customWidth="1"/>
    <col min="27" max="27" style="1758" width="3.00390625" customWidth="1"/>
    <col min="28" max="28" style="1758" width="11.00390625" customWidth="1"/>
    <col min="29" max="29" style="1758" width="54.00390625" customWidth="1"/>
    <col min="30" max="30" style="1758" width="11.140625" customWidth="1"/>
    <col min="31" max="31" style="1758" width="14.140625" customWidth="1"/>
    <col min="32" max="32" style="1758" width="12.57421875" customWidth="1"/>
    <col min="33" max="33" style="1758" width="14.29296875" customWidth="1"/>
    <col min="34" max="34" style="1758" width="14.43359375" customWidth="1"/>
    <col min="35" max="35" style="1758" width="14.29296875" customWidth="1"/>
    <col min="36" max="41" style="1758" width="12.57421875" customWidth="1"/>
    <col min="42" max="46" style="1758" width="12.57421875" hidden="1" customWidth="1"/>
    <col min="47" max="51" style="1758" width="12.57421875" customWidth="1"/>
    <col min="52" max="56" style="1758" width="12.57421875" hidden="1" customWidth="1"/>
    <col min="57" max="57" style="1758" width="20.00390625" customWidth="1"/>
    <col min="58" max="58" style="1758" width="3.00390625" customWidth="1"/>
    <col min="59" max="59" style="1758" width="8.8515625" hidden="1"/>
    <col min="60" max="60" style="1764" width="8.8515625" hidden="1"/>
  </cols>
  <sheetData>
    <row customHeight="1" ht="11.25" hidden="1">
      <c r="E1" s="122"/>
      <c r="F1" s="122" t="s">
        <v>321</v>
      </c>
      <c r="H1" s="122" t="s">
        <v>331</v>
      </c>
      <c r="T1" s="465" t="s">
        <v>93</v>
      </c>
      <c r="U1" s="465" t="s">
        <v>98</v>
      </c>
      <c r="V1" s="465" t="s">
        <v>94</v>
      </c>
      <c r="W1" s="465" t="s">
        <v>95</v>
      </c>
      <c r="X1" s="465" t="s">
        <v>96</v>
      </c>
      <c r="Y1" s="467" t="s">
        <v>323</v>
      </c>
      <c r="Z1" s="465" t="s">
        <v>100</v>
      </c>
      <c r="AA1" s="466" t="s">
        <v>97</v>
      </c>
      <c r="AB1" s="466" t="s">
        <v>99</v>
      </c>
      <c r="AC1" s="466" t="s">
        <v>99</v>
      </c>
      <c r="AK1" s="1758"/>
      <c r="AL1" s="1758"/>
      <c r="AM1" s="1758"/>
      <c r="AN1" s="1758"/>
      <c r="AO1" s="1758"/>
      <c r="AP1" s="1758"/>
      <c r="AQ1" s="1758"/>
      <c r="AR1" s="1758"/>
      <c r="AS1" s="1758"/>
      <c r="AT1" s="1758"/>
      <c r="AU1" s="1758"/>
      <c r="AV1" s="1758"/>
      <c r="AW1" s="1758"/>
      <c r="AX1" s="1758"/>
      <c r="AY1" s="1758"/>
      <c r="AZ1" s="1758"/>
      <c r="BA1" s="1758"/>
      <c r="BB1" s="1758"/>
      <c r="BC1" s="1758"/>
      <c r="BD1" s="1758"/>
      <c r="BH1" s="997" t="s">
        <v>324</v>
      </c>
    </row>
    <row s="1416" customFormat="1" customHeight="1" ht="11.25" hidden="1">
      <c r="B2" s="446" t="s">
        <v>19</v>
      </c>
      <c r="AK2" s="446">
        <f>AND(AK6&lt;=last_year_vis,isOrgDeclare)</f>
        <v>1</v>
      </c>
      <c r="AL2" s="446">
        <f>AND(AL6&lt;=last_year_vis,isOrgDeclare)</f>
        <v>1</v>
      </c>
      <c r="AM2" s="446">
        <f>AND(AM6&lt;=last_year_vis,isOrgDeclare)</f>
        <v>1</v>
      </c>
      <c r="AN2" s="446">
        <f>AND(AN6&lt;=last_year_vis,isOrgDeclare)</f>
        <v>1</v>
      </c>
      <c r="AO2" s="446">
        <f>AND(AO6&lt;=last_year_vis,isOrgDeclare)</f>
        <v>1</v>
      </c>
      <c r="AP2" s="446">
        <f>AND(AP6&lt;=last_year_vis,isOrgDeclare)</f>
        <v>0</v>
      </c>
      <c r="AQ2" s="446">
        <f>AND(AQ6&lt;=last_year_vis,isOrgDeclare)</f>
        <v>0</v>
      </c>
      <c r="AR2" s="446">
        <f>AND(AR6&lt;=last_year_vis,isOrgDeclare)</f>
        <v>0</v>
      </c>
      <c r="AS2" s="446">
        <f>AND(AS6&lt;=last_year_vis,isOrgDeclare)</f>
        <v>0</v>
      </c>
      <c r="AT2" s="446">
        <f>AND(AT6&lt;=last_year_vis,isOrgDeclare)</f>
        <v>0</v>
      </c>
      <c r="AU2" s="446">
        <f>AU6&lt;=last_year_vis</f>
        <v>1</v>
      </c>
      <c r="AV2" s="446">
        <f>AV6&lt;=last_year_vis</f>
        <v>1</v>
      </c>
      <c r="AW2" s="446">
        <f>AW6&lt;=last_year_vis</f>
        <v>1</v>
      </c>
      <c r="AX2" s="446">
        <f>AX6&lt;=last_year_vis</f>
        <v>1</v>
      </c>
      <c r="AY2" s="446">
        <f>AY6&lt;=last_year_vis</f>
        <v>1</v>
      </c>
      <c r="AZ2" s="446">
        <f>AZ6&lt;=last_year_vis</f>
        <v>0</v>
      </c>
      <c r="BA2" s="446">
        <f>BA6&lt;=last_year_vis</f>
        <v>0</v>
      </c>
      <c r="BB2" s="446">
        <f>BB6&lt;=last_year_vis</f>
        <v>0</v>
      </c>
      <c r="BC2" s="446">
        <f>BC6&lt;=last_year_vis</f>
        <v>0</v>
      </c>
      <c r="BD2" s="446">
        <f>BD6&lt;=last_year_vis</f>
        <v>0</v>
      </c>
      <c r="BH2" s="1009"/>
    </row>
    <row customHeight="1" ht="11.25" hidden="1">
      <c r="E3" s="122"/>
      <c r="AK3" s="1758"/>
      <c r="AL3" s="1758"/>
      <c r="AM3" s="1758"/>
      <c r="AN3" s="1758"/>
      <c r="AO3" s="1758"/>
      <c r="AP3" s="1758"/>
      <c r="AQ3" s="1758"/>
      <c r="AR3" s="1758"/>
      <c r="AS3" s="1758"/>
      <c r="AT3" s="1758"/>
      <c r="AU3" s="1758"/>
      <c r="AV3" s="1758"/>
      <c r="AW3" s="1758"/>
      <c r="AX3" s="1758"/>
      <c r="AY3" s="1758"/>
      <c r="AZ3" s="1758"/>
      <c r="BA3" s="1758"/>
      <c r="BB3" s="1758"/>
      <c r="BC3" s="1758"/>
      <c r="BD3" s="1758"/>
    </row>
    <row customHeight="1" ht="11.25" hidden="1">
      <c r="E4" s="122"/>
      <c r="AK4" s="1758"/>
      <c r="AL4" s="1758"/>
      <c r="AM4" s="1758"/>
      <c r="AN4" s="1758"/>
      <c r="AO4" s="1758"/>
      <c r="AP4" s="1758"/>
      <c r="AQ4" s="1758"/>
      <c r="AR4" s="1758"/>
      <c r="AS4" s="1758"/>
      <c r="AT4" s="1758"/>
      <c r="AU4" s="1758"/>
      <c r="AV4" s="1758"/>
      <c r="AW4" s="1758"/>
      <c r="AX4" s="1758"/>
      <c r="AY4" s="1758"/>
      <c r="AZ4" s="1758"/>
      <c r="BA4" s="1758"/>
      <c r="BB4" s="1758"/>
      <c r="BC4" s="1758"/>
      <c r="BD4" s="1758"/>
    </row>
    <row s="1757" customFormat="1" customHeight="1" ht="11.25" hidden="1">
      <c r="A5" s="122"/>
      <c r="B5" s="428"/>
      <c r="C5" s="122"/>
      <c r="D5" s="122"/>
      <c r="E5" s="618" t="s">
        <v>20</v>
      </c>
      <c r="AA5" s="618">
        <v>3</v>
      </c>
      <c r="AB5" s="618">
        <v>11</v>
      </c>
      <c r="AC5" s="618">
        <v>54</v>
      </c>
      <c r="AD5" s="618">
        <v>11.14</v>
      </c>
      <c r="AE5" s="618">
        <v>14.14</v>
      </c>
      <c r="AF5" s="618">
        <v>12.57</v>
      </c>
      <c r="AG5" s="618">
        <v>14.29</v>
      </c>
      <c r="AH5" s="618">
        <v>14.43</v>
      </c>
      <c r="AI5" s="618">
        <v>14.29</v>
      </c>
      <c r="AJ5" s="618">
        <v>12.57</v>
      </c>
      <c r="AK5" s="618">
        <v>12.57</v>
      </c>
      <c r="AL5" s="618">
        <v>12.57</v>
      </c>
      <c r="AM5" s="618">
        <v>12.57</v>
      </c>
      <c r="AN5" s="618">
        <v>12.57</v>
      </c>
      <c r="AO5" s="618">
        <v>12.57</v>
      </c>
      <c r="AP5" s="618">
        <v>12.57</v>
      </c>
      <c r="AQ5" s="618">
        <v>12.57</v>
      </c>
      <c r="AR5" s="618">
        <v>12.57</v>
      </c>
      <c r="AS5" s="618">
        <v>12.57</v>
      </c>
      <c r="AT5" s="618">
        <v>12.57</v>
      </c>
      <c r="AU5" s="618">
        <v>12.57</v>
      </c>
      <c r="AV5" s="618">
        <v>12.57</v>
      </c>
      <c r="AW5" s="618">
        <v>12.57</v>
      </c>
      <c r="AX5" s="618">
        <v>12.57</v>
      </c>
      <c r="AY5" s="618">
        <v>12.57</v>
      </c>
      <c r="AZ5" s="618">
        <v>12.57</v>
      </c>
      <c r="BA5" s="618">
        <v>12.57</v>
      </c>
      <c r="BB5" s="618">
        <v>12.57</v>
      </c>
      <c r="BC5" s="618">
        <v>12.57</v>
      </c>
      <c r="BD5" s="618">
        <v>12.57</v>
      </c>
      <c r="BE5" s="618">
        <v>20</v>
      </c>
      <c r="BF5" s="618">
        <v>3</v>
      </c>
      <c r="BH5" s="997"/>
    </row>
    <row customHeight="1" ht="11.25" hidden="1">
      <c r="A6" s="122" t="s">
        <v>360</v>
      </c>
      <c r="AE6" s="122">
        <f>god-2</f>
        <v>2024</v>
      </c>
      <c r="AF6" s="122">
        <f>god-2</f>
        <v>2024</v>
      </c>
      <c r="AG6" s="122">
        <f>god-2</f>
        <v>2024</v>
      </c>
      <c r="AH6" s="122">
        <f>god-2</f>
        <v>2024</v>
      </c>
      <c r="AI6" s="122">
        <f>god-1</f>
        <v>2025</v>
      </c>
      <c r="AJ6" s="122">
        <f>god-1</f>
        <v>2025</v>
      </c>
      <c r="AK6" s="98" cm="1" t="str">
        <f t="array" ref="AK6:AK6">god</f>
        <v>2026</v>
      </c>
      <c r="AL6" s="98">
        <f>god+1</f>
        <v>2027</v>
      </c>
      <c r="AM6" s="98">
        <f>god+2</f>
        <v>2028</v>
      </c>
      <c r="AN6" s="98">
        <f>god+3</f>
        <v>2029</v>
      </c>
      <c r="AO6" s="98">
        <f>god+4</f>
        <v>2030</v>
      </c>
      <c r="AP6" s="98">
        <f>god+5</f>
        <v>2031</v>
      </c>
      <c r="AQ6" s="98">
        <f>god+6</f>
        <v>2032</v>
      </c>
      <c r="AR6" s="98">
        <f>god+7</f>
        <v>2033</v>
      </c>
      <c r="AS6" s="98">
        <f>god+8</f>
        <v>2034</v>
      </c>
      <c r="AT6" s="98">
        <f>god+9</f>
        <v>2035</v>
      </c>
      <c r="AU6" s="98" cm="1" t="str">
        <f t="array" ref="AU6:AU6">god</f>
        <v>2026</v>
      </c>
      <c r="AV6" s="98">
        <f>god+1</f>
        <v>2027</v>
      </c>
      <c r="AW6" s="98">
        <f>god+2</f>
        <v>2028</v>
      </c>
      <c r="AX6" s="98">
        <f>god+3</f>
        <v>2029</v>
      </c>
      <c r="AY6" s="98">
        <f>god+4</f>
        <v>2030</v>
      </c>
      <c r="AZ6" s="98">
        <f>god+5</f>
        <v>2031</v>
      </c>
      <c r="BA6" s="98">
        <f>god+6</f>
        <v>2032</v>
      </c>
      <c r="BB6" s="98">
        <f>god+7</f>
        <v>2033</v>
      </c>
      <c r="BC6" s="98">
        <f>god+8</f>
        <v>2034</v>
      </c>
      <c r="BD6" s="98">
        <f>god+9</f>
        <v>2035</v>
      </c>
    </row>
    <row customHeight="1" ht="11.25" hidden="1">
      <c r="A7" s="122" t="s">
        <v>361</v>
      </c>
      <c r="AE7" s="122" cm="1" t="str">
        <f t="array" ref="AE7:AE7">AE27</f>
        <v>Плановый размер финансирования утвержденной инвестиционной программы</v>
      </c>
      <c r="AF7" s="122" cm="1" t="str">
        <f t="array" ref="AF7:AF7">AF27</f>
        <v>Принято органом регулирования</v>
      </c>
      <c r="AG7" s="122" cm="1" t="str">
        <f t="array" ref="AG7:AG7">AG27</f>
        <v>Объем фактического ввода объектов системы водоснабжения и водоотведения в эксплуатацию по данным организации</v>
      </c>
      <c r="AH7" s="122" cm="1" t="str">
        <f t="array" ref="AH7:AH7">AH27</f>
        <v>Объем фактического ввода объектов системы водоснабжения и водоотведения в эксплуатацию, принятый органом регулирования</v>
      </c>
      <c r="AI7" s="122" cm="1" t="str">
        <f t="array" ref="AI7:AI7">AI27</f>
        <v>Плановый размер финансирования утвержденной инвестиционной программы</v>
      </c>
      <c r="AJ7" s="122" cm="1" t="str">
        <f t="array" ref="AJ7:AJ7">AJ27</f>
        <v>Принято органом регулирования</v>
      </c>
      <c r="AK7" s="122" cm="1" t="str">
        <f t="array" ref="AK7:AK7">AK27</f>
        <v>Предложение организации</v>
      </c>
      <c r="AL7" s="122" cm="1" t="str">
        <f t="array" ref="AL7:AL7">AL27</f>
        <v>Предложение организации</v>
      </c>
      <c r="AM7" s="122" cm="1" t="str">
        <f t="array" ref="AM7:AM7">AM27</f>
        <v>Предложение организации</v>
      </c>
      <c r="AN7" s="122" cm="1" t="str">
        <f t="array" ref="AN7:AN7">AN27</f>
        <v>Предложение организации</v>
      </c>
      <c r="AO7" s="122" cm="1" t="str">
        <f t="array" ref="AO7:AO7">AO27</f>
        <v>Предложение организации</v>
      </c>
      <c r="AP7" s="122" cm="1" t="str">
        <f t="array" ref="AP7:AP7">AP27</f>
        <v>Предложение организации</v>
      </c>
      <c r="AQ7" s="122" cm="1" t="str">
        <f t="array" ref="AQ7:AQ7">AQ27</f>
        <v>Предложение организации</v>
      </c>
      <c r="AR7" s="122" cm="1" t="str">
        <f t="array" ref="AR7:AR7">AR27</f>
        <v>Предложение организации</v>
      </c>
      <c r="AS7" s="122" cm="1" t="str">
        <f t="array" ref="AS7:AS7">AS27</f>
        <v>Предложение организации</v>
      </c>
      <c r="AT7" s="122" cm="1" t="str">
        <f t="array" ref="AT7:AT7">AT27</f>
        <v>Предложение организации</v>
      </c>
      <c r="AU7" s="122" cm="1" t="str">
        <f t="array" ref="AU7:AU7">AU27</f>
        <v>Принято органом регулирования</v>
      </c>
      <c r="AV7" s="122" cm="1" t="str">
        <f t="array" ref="AV7:AV7">AV27</f>
        <v>Принято органом регулирования</v>
      </c>
      <c r="AW7" s="122" cm="1" t="str">
        <f t="array" ref="AW7:AW7">AW27</f>
        <v>Принято органом регулирования</v>
      </c>
      <c r="AX7" s="122" cm="1" t="str">
        <f t="array" ref="AX7:AX7">AX27</f>
        <v>Принято органом регулирования</v>
      </c>
      <c r="AY7" s="122" cm="1" t="str">
        <f t="array" ref="AY7:AY7">AY27</f>
        <v>Принято органом регулирования</v>
      </c>
      <c r="AZ7" s="122" cm="1" t="str">
        <f t="array" ref="AZ7:AZ7">AZ27</f>
        <v>Принято органом регулирования</v>
      </c>
      <c r="BA7" s="122" cm="1" t="str">
        <f t="array" ref="BA7:BA7">BA27</f>
        <v>Принято органом регулирования</v>
      </c>
      <c r="BB7" s="122" cm="1" t="str">
        <f t="array" ref="BB7:BB7">BB27</f>
        <v>Принято органом регулирования</v>
      </c>
      <c r="BC7" s="122" cm="1" t="str">
        <f t="array" ref="BC7:BC7">BC27</f>
        <v>Принято органом регулирования</v>
      </c>
      <c r="BD7" s="122" cm="1" t="str">
        <f t="array" ref="BD7:BD7">BD27</f>
        <v>Принято органом регулирования</v>
      </c>
    </row>
    <row customHeight="1" ht="11.25" hidden="1">
      <c r="AK8" s="1758"/>
      <c r="AL8" s="1758"/>
      <c r="AM8" s="1758"/>
      <c r="AN8" s="1758"/>
      <c r="AO8" s="1758"/>
      <c r="AP8" s="1758"/>
      <c r="AQ8" s="1758"/>
      <c r="AR8" s="1758"/>
      <c r="AS8" s="1758"/>
      <c r="AT8" s="1758"/>
      <c r="AU8" s="1758"/>
      <c r="AV8" s="1758"/>
      <c r="AW8" s="1758"/>
      <c r="AX8" s="1758"/>
      <c r="AY8" s="1758"/>
      <c r="AZ8" s="1758"/>
      <c r="BA8" s="1758"/>
      <c r="BB8" s="1758"/>
      <c r="BC8" s="1758"/>
      <c r="BD8" s="1758"/>
    </row>
    <row s="1764" customFormat="1" customHeight="1" ht="11.25" hidden="1">
      <c r="A9" s="1038" t="s">
        <v>365</v>
      </c>
      <c r="B9" s="1037"/>
      <c r="AE9" s="1038" cm="1" t="str">
        <f t="array" ref="AE9:AE9">AE6</f>
        <v>2024</v>
      </c>
      <c r="AF9" s="1038" cm="1" t="str">
        <f t="array" ref="AF9:AF9">AF6</f>
        <v>2024</v>
      </c>
      <c r="AG9" s="1038" cm="1" t="str">
        <f t="array" ref="AG9:AG9">AG6</f>
        <v>2024</v>
      </c>
      <c r="AH9" s="1038" cm="1" t="str">
        <f t="array" ref="AH9:AH9">AH6</f>
        <v>2024</v>
      </c>
      <c r="AI9" s="1038" cm="1" t="str">
        <f t="array" ref="AI9:AI9">AI6</f>
        <v>2025</v>
      </c>
      <c r="AJ9" s="1038" cm="1" t="str">
        <f t="array" ref="AJ9:AJ9">AJ6</f>
        <v>2025</v>
      </c>
      <c r="AK9" s="1038" cm="1" t="str">
        <f t="array" ref="AK9:AK9">AK6</f>
        <v>2026</v>
      </c>
      <c r="AL9" s="1038" cm="1" t="str">
        <f t="array" ref="AL9:AL9">AL6</f>
        <v>2027</v>
      </c>
      <c r="AM9" s="1038" cm="1" t="str">
        <f t="array" ref="AM9:AM9">AM6</f>
        <v>2028</v>
      </c>
      <c r="AN9" s="1038" cm="1" t="str">
        <f t="array" ref="AN9:AN9">AN6</f>
        <v>2029</v>
      </c>
      <c r="AO9" s="1038" cm="1" t="str">
        <f t="array" ref="AO9:AO9">AO6</f>
        <v>2030</v>
      </c>
      <c r="AP9" s="1038" cm="1" t="str">
        <f t="array" ref="AP9:AP9">AP6</f>
        <v>2031</v>
      </c>
      <c r="AQ9" s="1038" cm="1" t="str">
        <f t="array" ref="AQ9:AQ9">AQ6</f>
        <v>2032</v>
      </c>
      <c r="AR9" s="1038" cm="1" t="str">
        <f t="array" ref="AR9:AR9">AR6</f>
        <v>2033</v>
      </c>
      <c r="AS9" s="1038" cm="1" t="str">
        <f t="array" ref="AS9:AS9">AS6</f>
        <v>2034</v>
      </c>
      <c r="AT9" s="1038" cm="1" t="str">
        <f t="array" ref="AT9:AT9">AT6</f>
        <v>2035</v>
      </c>
      <c r="AU9" s="1038" cm="1" t="str">
        <f t="array" ref="AU9:AU9">AU6</f>
        <v>2026</v>
      </c>
      <c r="AV9" s="1038" cm="1" t="str">
        <f t="array" ref="AV9:AV9">AV6</f>
        <v>2027</v>
      </c>
      <c r="AW9" s="1038" cm="1" t="str">
        <f t="array" ref="AW9:AW9">AW6</f>
        <v>2028</v>
      </c>
      <c r="AX9" s="1038" cm="1" t="str">
        <f t="array" ref="AX9:AX9">AX6</f>
        <v>2029</v>
      </c>
      <c r="AY9" s="1038" cm="1" t="str">
        <f t="array" ref="AY9:AY9">AY6</f>
        <v>2030</v>
      </c>
      <c r="AZ9" s="1038" cm="1" t="str">
        <f t="array" ref="AZ9:AZ9">AZ6</f>
        <v>2031</v>
      </c>
      <c r="BA9" s="1038" cm="1" t="str">
        <f t="array" ref="BA9:BA9">BA6</f>
        <v>2032</v>
      </c>
      <c r="BB9" s="1038" cm="1" t="str">
        <f t="array" ref="BB9:BB9">BB6</f>
        <v>2033</v>
      </c>
      <c r="BC9" s="1038" cm="1" t="str">
        <f t="array" ref="BC9:BC9">BC6</f>
        <v>2034</v>
      </c>
      <c r="BD9" s="1038" cm="1" t="str">
        <f t="array" ref="BD9:BD9">BD6</f>
        <v>2035</v>
      </c>
    </row>
    <row s="1764" customFormat="1" customHeight="1" ht="11.25" hidden="1">
      <c r="A10" s="1038" t="s">
        <v>366</v>
      </c>
      <c r="B10" s="1037"/>
      <c r="AE10" s="1038" cm="1" t="str">
        <f t="array" ref="AE10:AE10">AE27</f>
        <v>Плановый размер финансирования утвержденной инвестиционной программы</v>
      </c>
      <c r="AF10" s="1038" cm="1" t="str">
        <f t="array" ref="AF10:AF10">AF27</f>
        <v>Принято органом регулирования</v>
      </c>
      <c r="AG10" s="1038" cm="1" t="str">
        <f t="array" ref="AG10:AG10">AG27</f>
        <v>Объем фактического ввода объектов системы водоснабжения и водоотведения в эксплуатацию по данным организации</v>
      </c>
      <c r="AH10" s="1038" cm="1" t="str">
        <f t="array" ref="AH10:AH10">AH27</f>
        <v>Объем фактического ввода объектов системы водоснабжения и водоотведения в эксплуатацию, принятый органом регулирования</v>
      </c>
      <c r="AI10" s="1038" cm="1" t="str">
        <f t="array" ref="AI10:AI10">AI27</f>
        <v>Плановый размер финансирования утвержденной инвестиционной программы</v>
      </c>
      <c r="AJ10" s="1038" cm="1" t="str">
        <f t="array" ref="AJ10:AJ10">AJ27</f>
        <v>Принято органом регулирования</v>
      </c>
      <c r="AK10" s="1038" cm="1" t="str">
        <f t="array" ref="AK10:AK10">AK27</f>
        <v>Предложение организации</v>
      </c>
      <c r="AL10" s="1038" cm="1" t="str">
        <f t="array" ref="AL10:AL10">AL27</f>
        <v>Предложение организации</v>
      </c>
      <c r="AM10" s="1038" cm="1" t="str">
        <f t="array" ref="AM10:AM10">AM27</f>
        <v>Предложение организации</v>
      </c>
      <c r="AN10" s="1038" cm="1" t="str">
        <f t="array" ref="AN10:AN10">AN27</f>
        <v>Предложение организации</v>
      </c>
      <c r="AO10" s="1038" cm="1" t="str">
        <f t="array" ref="AO10:AO10">AO27</f>
        <v>Предложение организации</v>
      </c>
      <c r="AP10" s="1038" cm="1" t="str">
        <f t="array" ref="AP10:AP10">AP27</f>
        <v>Предложение организации</v>
      </c>
      <c r="AQ10" s="1038" cm="1" t="str">
        <f t="array" ref="AQ10:AQ10">AQ27</f>
        <v>Предложение организации</v>
      </c>
      <c r="AR10" s="1038" cm="1" t="str">
        <f t="array" ref="AR10:AR10">AR27</f>
        <v>Предложение организации</v>
      </c>
      <c r="AS10" s="1038" cm="1" t="str">
        <f t="array" ref="AS10:AS10">AS27</f>
        <v>Предложение организации</v>
      </c>
      <c r="AT10" s="1038" cm="1" t="str">
        <f t="array" ref="AT10:AT10">AT27</f>
        <v>Предложение организации</v>
      </c>
      <c r="AU10" s="1038" cm="1" t="str">
        <f t="array" ref="AU10:AU10">AU27</f>
        <v>Принято органом регулирования</v>
      </c>
      <c r="AV10" s="1038" cm="1" t="str">
        <f t="array" ref="AV10:AV10">AV27</f>
        <v>Принято органом регулирования</v>
      </c>
      <c r="AW10" s="1038" cm="1" t="str">
        <f t="array" ref="AW10:AW10">AW27</f>
        <v>Принято органом регулирования</v>
      </c>
      <c r="AX10" s="1038" cm="1" t="str">
        <f t="array" ref="AX10:AX10">AX27</f>
        <v>Принято органом регулирования</v>
      </c>
      <c r="AY10" s="1038" cm="1" t="str">
        <f t="array" ref="AY10:AY10">AY27</f>
        <v>Принято органом регулирования</v>
      </c>
      <c r="AZ10" s="1038" cm="1" t="str">
        <f t="array" ref="AZ10:AZ10">AZ27</f>
        <v>Принято органом регулирования</v>
      </c>
      <c r="BA10" s="1038" cm="1" t="str">
        <f t="array" ref="BA10:BA10">BA27</f>
        <v>Принято органом регулирования</v>
      </c>
      <c r="BB10" s="1038" cm="1" t="str">
        <f t="array" ref="BB10:BB10">BB27</f>
        <v>Принято органом регулирования</v>
      </c>
      <c r="BC10" s="1038" cm="1" t="str">
        <f t="array" ref="BC10:BC10">BC27</f>
        <v>Принято органом регулирования</v>
      </c>
      <c r="BD10" s="1038" cm="1" t="str">
        <f t="array" ref="BD10:BD10">BD27</f>
        <v>Принято органом регулирования</v>
      </c>
    </row>
    <row s="1764" customFormat="1" customHeight="1" ht="11.25" hidden="1">
      <c r="A11" s="1038" t="s">
        <v>367</v>
      </c>
      <c r="B11" s="1037"/>
      <c r="AK11" s="1764"/>
      <c r="AL11" s="1764"/>
      <c r="AM11" s="1764"/>
      <c r="AN11" s="1764"/>
      <c r="AO11" s="1764"/>
      <c r="AP11" s="1764"/>
      <c r="AQ11" s="1764"/>
      <c r="AR11" s="1764"/>
      <c r="AS11" s="1764"/>
      <c r="AT11" s="1764"/>
      <c r="AU11" s="1764"/>
      <c r="AV11" s="1764"/>
      <c r="AW11" s="1764"/>
      <c r="AX11" s="1764"/>
      <c r="AY11" s="1764"/>
      <c r="AZ11" s="1764"/>
      <c r="BA11" s="1764"/>
      <c r="BB11" s="1764"/>
      <c r="BC11" s="1764"/>
      <c r="BD11" s="1764"/>
      <c r="BE11" s="997" cm="1" t="str">
        <f t="array" ref="BE11:BE11">BE26</f>
        <v>Ссылка на правовую норму (основание для принятия показателя в расчет тарифа)</v>
      </c>
    </row>
    <row customHeight="1" ht="11.25" hidden="1">
      <c r="AK12" s="1758"/>
      <c r="AL12" s="1758"/>
      <c r="AM12" s="1758"/>
      <c r="AN12" s="1758"/>
      <c r="AO12" s="1758"/>
      <c r="AP12" s="1758"/>
      <c r="AQ12" s="1758"/>
      <c r="AR12" s="1758"/>
      <c r="AS12" s="1758"/>
      <c r="AT12" s="1758"/>
      <c r="AU12" s="1758"/>
      <c r="AV12" s="1758"/>
      <c r="AW12" s="1758"/>
      <c r="AX12" s="1758"/>
      <c r="AY12" s="1758"/>
      <c r="AZ12" s="1758"/>
      <c r="BA12" s="1758"/>
      <c r="BB12" s="1758"/>
      <c r="BC12" s="1758"/>
      <c r="BD12" s="1758"/>
    </row>
    <row customHeight="1" ht="11.25" hidden="1">
      <c r="AK13" s="98"/>
      <c r="AL13" s="98"/>
      <c r="AM13" s="98"/>
      <c r="AN13" s="98"/>
      <c r="AO13" s="98"/>
      <c r="AP13" s="98"/>
      <c r="AQ13" s="98"/>
      <c r="AR13" s="98"/>
      <c r="AS13" s="98"/>
      <c r="AT13" s="98"/>
      <c r="AU13" s="98"/>
      <c r="AV13" s="98"/>
      <c r="AW13" s="98"/>
      <c r="AX13" s="98"/>
      <c r="AY13" s="98"/>
      <c r="AZ13" s="98"/>
      <c r="BA13" s="98"/>
      <c r="BB13" s="98"/>
      <c r="BC13" s="98"/>
      <c r="BD13" s="98"/>
    </row>
    <row customHeight="1" ht="11.25" hidden="1">
      <c r="AK14" s="98"/>
      <c r="AL14" s="98"/>
      <c r="AM14" s="98"/>
      <c r="AN14" s="98"/>
      <c r="AO14" s="98"/>
      <c r="AP14" s="98"/>
      <c r="AQ14" s="98"/>
      <c r="AR14" s="98"/>
      <c r="AS14" s="98"/>
      <c r="AT14" s="98"/>
      <c r="AU14" s="98"/>
      <c r="AV14" s="98"/>
      <c r="AW14" s="98"/>
      <c r="AX14" s="98"/>
      <c r="AY14" s="98"/>
      <c r="AZ14" s="98"/>
      <c r="BA14" s="98"/>
      <c r="BB14" s="98"/>
      <c r="BC14" s="98"/>
      <c r="BD14" s="98"/>
    </row>
    <row customHeight="1" ht="11.25" hidden="1">
      <c r="AK15" s="98"/>
      <c r="AL15" s="98"/>
      <c r="AM15" s="98"/>
      <c r="AN15" s="98"/>
      <c r="AO15" s="98"/>
      <c r="AP15" s="98"/>
      <c r="AQ15" s="98"/>
      <c r="AR15" s="98"/>
      <c r="AS15" s="98"/>
      <c r="AT15" s="98"/>
      <c r="AU15" s="98"/>
      <c r="AV15" s="98"/>
      <c r="AW15" s="98"/>
      <c r="AX15" s="98"/>
      <c r="AY15" s="98"/>
      <c r="AZ15" s="98"/>
      <c r="BA15" s="98"/>
      <c r="BB15" s="98"/>
      <c r="BC15" s="98"/>
      <c r="BD15" s="98"/>
    </row>
    <row customHeight="1" ht="11.25" hidden="1">
      <c r="AK16" s="98"/>
      <c r="AL16" s="98"/>
      <c r="AM16" s="98"/>
      <c r="AN16" s="98"/>
      <c r="AO16" s="98"/>
      <c r="AP16" s="98"/>
      <c r="AQ16" s="98"/>
      <c r="AR16" s="98"/>
      <c r="AS16" s="98"/>
      <c r="AT16" s="98"/>
      <c r="AU16" s="98"/>
      <c r="AV16" s="98"/>
      <c r="AW16" s="98"/>
      <c r="AX16" s="98"/>
      <c r="AY16" s="98"/>
      <c r="AZ16" s="98"/>
      <c r="BA16" s="98"/>
      <c r="BB16" s="98"/>
      <c r="BC16" s="98"/>
      <c r="BD16" s="98"/>
    </row>
    <row customHeight="1" ht="11.25" hidden="1">
      <c r="AK17" s="1758"/>
      <c r="AL17" s="1758"/>
      <c r="AM17" s="1758"/>
      <c r="AN17" s="1758"/>
      <c r="AO17" s="1758"/>
      <c r="AP17" s="1758"/>
      <c r="AQ17" s="1758"/>
      <c r="AR17" s="1758"/>
      <c r="AS17" s="1758"/>
      <c r="AT17" s="1758"/>
      <c r="AU17" s="1758"/>
      <c r="AV17" s="1758"/>
      <c r="AW17" s="1758"/>
      <c r="AX17" s="1758"/>
      <c r="AY17" s="1758"/>
      <c r="AZ17" s="1758"/>
      <c r="BA17" s="1758"/>
      <c r="BB17" s="1758"/>
      <c r="BC17" s="1758"/>
      <c r="BD17" s="1758"/>
    </row>
    <row customHeight="1" ht="11.25" hidden="1">
      <c r="AK18" s="1758"/>
      <c r="AL18" s="1758"/>
      <c r="AM18" s="1758"/>
      <c r="AN18" s="1758"/>
      <c r="AO18" s="1758"/>
      <c r="AP18" s="1758"/>
      <c r="AQ18" s="1758"/>
      <c r="AR18" s="1758"/>
      <c r="AS18" s="1758"/>
      <c r="AT18" s="1758"/>
      <c r="AU18" s="1758"/>
      <c r="AV18" s="1758"/>
      <c r="AW18" s="1758"/>
      <c r="AX18" s="1758"/>
      <c r="AY18" s="1758"/>
      <c r="AZ18" s="1758"/>
      <c r="BA18" s="1758"/>
      <c r="BB18" s="1758"/>
      <c r="BC18" s="1758"/>
      <c r="BD18" s="1758"/>
    </row>
    <row customHeight="1" ht="11.25" hidden="1">
      <c r="AK19" s="1758"/>
      <c r="AL19" s="1758"/>
      <c r="AM19" s="1758"/>
      <c r="AN19" s="1758"/>
      <c r="AO19" s="1758"/>
      <c r="AP19" s="1758"/>
      <c r="AQ19" s="1758"/>
      <c r="AR19" s="1758"/>
      <c r="AS19" s="1758"/>
      <c r="AT19" s="1758"/>
      <c r="AU19" s="1758"/>
      <c r="AV19" s="1758"/>
      <c r="AW19" s="1758"/>
      <c r="AX19" s="1758"/>
      <c r="AY19" s="1758"/>
      <c r="AZ19" s="1758"/>
      <c r="BA19" s="1758"/>
      <c r="BB19" s="1758"/>
      <c r="BC19" s="1758"/>
      <c r="BD19" s="1758"/>
    </row>
    <row customHeight="1" ht="11.25" hidden="1">
      <c r="AK20" s="1758"/>
      <c r="AL20" s="1758"/>
      <c r="AM20" s="1758"/>
      <c r="AN20" s="1758"/>
      <c r="AO20" s="1758"/>
      <c r="AP20" s="1758"/>
      <c r="AQ20" s="1758"/>
      <c r="AR20" s="1758"/>
      <c r="AS20" s="1758"/>
      <c r="AT20" s="1758"/>
      <c r="AU20" s="1758"/>
      <c r="AV20" s="1758"/>
      <c r="AW20" s="1758"/>
      <c r="AX20" s="1758"/>
      <c r="AY20" s="1758"/>
      <c r="AZ20" s="1758"/>
      <c r="BA20" s="1758"/>
      <c r="BB20" s="1758"/>
      <c r="BC20" s="1758"/>
      <c r="BD20" s="1758"/>
    </row>
    <row customHeight="1" ht="14.625">
      <c r="E21" s="618">
        <v>15</v>
      </c>
      <c r="AA21" s="425"/>
      <c r="AC21" s="50" cm="1" t="str">
        <f t="array" ref="AC21:AC21">tpl_title</f>
        <v>Кемеровская область / 2026 / ООО "Теплоэнерго" (ИНН:4214046200, КПП:421401001) / ДПР: 2026-2030</v>
      </c>
      <c r="AK21" s="1758"/>
      <c r="AL21" s="1758"/>
      <c r="AM21" s="1758"/>
      <c r="AN21" s="1758"/>
      <c r="AO21" s="1758"/>
      <c r="AP21" s="1758"/>
      <c r="AQ21" s="1758"/>
      <c r="AR21" s="1758"/>
      <c r="AS21" s="1758"/>
      <c r="AT21" s="1758"/>
      <c r="AU21" s="1758"/>
      <c r="AV21" s="1758"/>
      <c r="AW21" s="1758"/>
      <c r="AX21" s="1758"/>
      <c r="AY21" s="1758"/>
      <c r="AZ21" s="1758"/>
      <c r="BA21" s="1758"/>
      <c r="BB21" s="1758"/>
      <c r="BC21" s="1758"/>
      <c r="BD21" s="1758"/>
    </row>
    <row customHeight="1" ht="19.5">
      <c r="E22" s="618">
        <v>20</v>
      </c>
      <c r="AB22" s="320" t="s">
        <v>70</v>
      </c>
      <c r="AC22" s="236"/>
      <c r="AD22" s="236"/>
      <c r="AE22" s="236"/>
      <c r="AF22" s="236"/>
      <c r="AG22" s="236"/>
      <c r="AH22" s="236"/>
      <c r="AI22" s="236"/>
      <c r="AJ22" s="236"/>
      <c r="AK22" s="236"/>
      <c r="AL22" s="236"/>
      <c r="AM22" s="236"/>
      <c r="AN22" s="236"/>
      <c r="AO22" s="236"/>
      <c r="AP22" s="236"/>
      <c r="AQ22" s="236"/>
      <c r="AR22" s="236"/>
      <c r="AS22" s="236"/>
      <c r="AT22" s="236"/>
      <c r="AU22" s="236"/>
      <c r="AV22" s="237"/>
      <c r="AW22" s="237"/>
      <c r="AX22" s="237"/>
      <c r="AY22" s="237"/>
      <c r="AZ22" s="237"/>
      <c r="BA22" s="237"/>
      <c r="BB22" s="237"/>
      <c r="BC22" s="237"/>
      <c r="BD22" s="237"/>
      <c r="BE22" s="237"/>
    </row>
    <row customHeight="1" ht="10.96875">
      <c r="E23" s="618">
        <v>11.25</v>
      </c>
      <c r="AK23" s="1758"/>
      <c r="AL23" s="1758"/>
      <c r="AM23" s="1758"/>
      <c r="AN23" s="1758"/>
      <c r="AO23" s="1758"/>
      <c r="AP23" s="1758"/>
      <c r="AQ23" s="1758"/>
      <c r="AR23" s="1758"/>
      <c r="AS23" s="1758"/>
      <c r="AT23" s="1758"/>
      <c r="AU23" s="1758"/>
      <c r="AV23" s="1758"/>
      <c r="AW23" s="1758"/>
      <c r="AX23" s="1758"/>
      <c r="AY23" s="1758"/>
      <c r="AZ23" s="1758"/>
      <c r="BA23" s="1758"/>
      <c r="BB23" s="1758"/>
      <c r="BC23" s="1758"/>
      <c r="BD23" s="1758"/>
    </row>
    <row customHeight="1" ht="21.9375">
      <c r="E24" s="618">
        <v>22.5</v>
      </c>
      <c r="AB24" s="1626" t="s">
        <v>2031</v>
      </c>
      <c r="AC24" s="1626"/>
      <c r="AD24" s="348" t="str">
        <f>"нет"</f>
        <v>нет</v>
      </c>
      <c r="AK24" s="1758"/>
      <c r="AL24" s="1758"/>
      <c r="AM24" s="1758"/>
      <c r="AN24" s="1758"/>
      <c r="AO24" s="1758"/>
      <c r="AP24" s="1758"/>
      <c r="AQ24" s="1758"/>
      <c r="AR24" s="1758"/>
      <c r="AS24" s="1758"/>
      <c r="AT24" s="1758"/>
      <c r="AU24" s="1758"/>
      <c r="AV24" s="1758"/>
      <c r="AW24" s="1758"/>
      <c r="AX24" s="1758"/>
      <c r="AY24" s="1758"/>
      <c r="AZ24" s="1758"/>
      <c r="BA24" s="1758"/>
      <c r="BB24" s="1758"/>
      <c r="BC24" s="1758"/>
      <c r="BD24" s="1758"/>
    </row>
    <row customHeight="1" ht="10.96875">
      <c r="E25" s="618">
        <v>11.25</v>
      </c>
      <c r="AK25" s="1758"/>
      <c r="AL25" s="1758"/>
      <c r="AM25" s="1758"/>
      <c r="AN25" s="1758"/>
      <c r="AO25" s="1758"/>
      <c r="AP25" s="1758"/>
      <c r="AQ25" s="1758"/>
      <c r="AR25" s="1758"/>
      <c r="AS25" s="1758"/>
      <c r="AT25" s="1758"/>
      <c r="AU25" s="1758"/>
      <c r="AV25" s="1758"/>
      <c r="AW25" s="1758"/>
      <c r="AX25" s="1758"/>
      <c r="AY25" s="1758"/>
      <c r="AZ25" s="1758"/>
      <c r="BA25" s="1758"/>
      <c r="BB25" s="1758"/>
      <c r="BC25" s="1758"/>
      <c r="BD25" s="1758"/>
    </row>
    <row customHeight="1" ht="14.625">
      <c r="E26" s="618">
        <v>15</v>
      </c>
      <c r="AB26" s="1564" t="s">
        <v>22</v>
      </c>
      <c r="AC26" s="1577" t="s">
        <v>2032</v>
      </c>
      <c r="AD26" s="1577" t="s">
        <v>370</v>
      </c>
      <c r="AE26" s="766" t="str">
        <f>god-2&amp;" год"</f>
        <v>2024 год</v>
      </c>
      <c r="AF26" s="766" t="str">
        <f>god-2&amp;" год"</f>
        <v>2024 год</v>
      </c>
      <c r="AG26" s="1123" t="str">
        <f>god-2&amp;" год"</f>
        <v>2024 год</v>
      </c>
      <c r="AH26" s="766" t="str">
        <f>god-2&amp;" год"</f>
        <v>2024 год</v>
      </c>
      <c r="AI26" s="932" t="str">
        <f>god-1&amp;" год"</f>
        <v>2025 год</v>
      </c>
      <c r="AJ26" s="932" t="str">
        <f>god-1&amp;" год"</f>
        <v>2025 год</v>
      </c>
      <c r="AK26" s="1124" t="str">
        <f>god&amp;" год"</f>
        <v>2026 год</v>
      </c>
      <c r="AL26" s="1124" t="str">
        <f>god+1&amp;" год"</f>
        <v>2027 год</v>
      </c>
      <c r="AM26" s="1124" t="str">
        <f>god+2&amp;" год"</f>
        <v>2028 год</v>
      </c>
      <c r="AN26" s="1124" t="str">
        <f>god+3&amp;" год"</f>
        <v>2029 год</v>
      </c>
      <c r="AO26" s="1124" t="str">
        <f>god+4&amp;" год"</f>
        <v>2030 год</v>
      </c>
      <c r="AP26" s="1124" t="str">
        <f>god+5&amp;" год"</f>
        <v>2031 год</v>
      </c>
      <c r="AQ26" s="1124" t="str">
        <f>god+6&amp;" год"</f>
        <v>2032 год</v>
      </c>
      <c r="AR26" s="1124" t="str">
        <f>god+7&amp;" год"</f>
        <v>2033 год</v>
      </c>
      <c r="AS26" s="1124" t="str">
        <f>god+8&amp;" год"</f>
        <v>2034 год</v>
      </c>
      <c r="AT26" s="1124" t="str">
        <f>god+9&amp;" год"</f>
        <v>2035 год</v>
      </c>
      <c r="AU26" s="864" t="str">
        <f>god&amp;" год"</f>
        <v>2026 год</v>
      </c>
      <c r="AV26" s="864" t="str">
        <f>god+1&amp;" год"</f>
        <v>2027 год</v>
      </c>
      <c r="AW26" s="864" t="str">
        <f>god+2&amp;" год"</f>
        <v>2028 год</v>
      </c>
      <c r="AX26" s="864" t="str">
        <f>god+3&amp;" год"</f>
        <v>2029 год</v>
      </c>
      <c r="AY26" s="864" t="str">
        <f>god+4&amp;" год"</f>
        <v>2030 год</v>
      </c>
      <c r="AZ26" s="864" t="str">
        <f>god+5&amp;" год"</f>
        <v>2031 год</v>
      </c>
      <c r="BA26" s="864" t="str">
        <f>god+6&amp;" год"</f>
        <v>2032 год</v>
      </c>
      <c r="BB26" s="864" t="str">
        <f>god+7&amp;" год"</f>
        <v>2033 год</v>
      </c>
      <c r="BC26" s="864" t="str">
        <f>god+8&amp;" год"</f>
        <v>2034 год</v>
      </c>
      <c r="BD26" s="864" t="str">
        <f>god+9&amp;" год"</f>
        <v>2035 год</v>
      </c>
      <c r="BE26" s="1577" t="s">
        <v>1242</v>
      </c>
    </row>
    <row s="1812" customFormat="1" customHeight="1" ht="122.85000000000001">
      <c r="B27" s="429"/>
      <c r="E27" s="267">
        <v>126</v>
      </c>
      <c r="AB27" s="1564"/>
      <c r="AC27" s="1577"/>
      <c r="AD27" s="1577"/>
      <c r="AE27" s="766" t="s">
        <v>2033</v>
      </c>
      <c r="AF27" s="766" t="s">
        <v>362</v>
      </c>
      <c r="AG27" s="1123" t="s">
        <v>2034</v>
      </c>
      <c r="AH27" s="766" t="s">
        <v>2035</v>
      </c>
      <c r="AI27" s="766" t="s">
        <v>2033</v>
      </c>
      <c r="AJ27" s="933" t="s">
        <v>362</v>
      </c>
      <c r="AK27" s="1125" t="s">
        <v>363</v>
      </c>
      <c r="AL27" s="1125" t="s">
        <v>363</v>
      </c>
      <c r="AM27" s="1125" t="s">
        <v>363</v>
      </c>
      <c r="AN27" s="1125" t="s">
        <v>363</v>
      </c>
      <c r="AO27" s="1125" t="s">
        <v>363</v>
      </c>
      <c r="AP27" s="1125" t="s">
        <v>363</v>
      </c>
      <c r="AQ27" s="1125" t="s">
        <v>363</v>
      </c>
      <c r="AR27" s="1125" t="s">
        <v>363</v>
      </c>
      <c r="AS27" s="1125" t="s">
        <v>363</v>
      </c>
      <c r="AT27" s="1125" t="s">
        <v>363</v>
      </c>
      <c r="AU27" s="865" t="s">
        <v>362</v>
      </c>
      <c r="AV27" s="865" t="s">
        <v>362</v>
      </c>
      <c r="AW27" s="865" t="s">
        <v>362</v>
      </c>
      <c r="AX27" s="865" t="s">
        <v>362</v>
      </c>
      <c r="AY27" s="865" t="s">
        <v>362</v>
      </c>
      <c r="AZ27" s="865" t="s">
        <v>362</v>
      </c>
      <c r="BA27" s="865" t="s">
        <v>362</v>
      </c>
      <c r="BB27" s="865" t="s">
        <v>362</v>
      </c>
      <c r="BC27" s="865" t="s">
        <v>362</v>
      </c>
      <c r="BD27" s="865" t="s">
        <v>362</v>
      </c>
      <c r="BE27" s="1577"/>
      <c r="BH27" s="1030"/>
    </row>
    <row s="1834" customFormat="1" customHeight="1" ht="14.625" hidden="1">
      <c r="A28" s="1370"/>
      <c r="B28" s="1370">
        <f>InvestmentSources_is_one_block="да"</f>
        <v>0</v>
      </c>
      <c r="C28" s="1370"/>
      <c r="D28" s="1370"/>
      <c r="E28" s="1373">
        <v>15</v>
      </c>
      <c r="F28" s="1304"/>
      <c r="G28" s="1370"/>
      <c r="H28" s="1370"/>
      <c r="I28" s="1461"/>
      <c r="J28" s="1461"/>
      <c r="K28" s="1461"/>
      <c r="L28" s="1461"/>
      <c r="M28" s="1461"/>
      <c r="N28" s="1461"/>
      <c r="O28" s="1461"/>
      <c r="P28" s="1461"/>
      <c r="Q28" s="1461"/>
      <c r="R28" s="1461"/>
      <c r="S28" s="1461"/>
      <c r="T28" s="1462"/>
      <c r="U28" s="1461"/>
      <c r="V28" s="1461"/>
      <c r="W28" s="1461"/>
      <c r="X28" s="1463"/>
      <c r="Y28" s="1461"/>
      <c r="Z28" s="1464"/>
      <c r="AA28" s="1461"/>
      <c r="AB28" s="242"/>
      <c r="AC28" s="832"/>
      <c r="AD28" s="832"/>
      <c r="AE28" s="832"/>
      <c r="AF28" s="832"/>
      <c r="AG28" s="832"/>
      <c r="AH28" s="832"/>
      <c r="AI28" s="832"/>
      <c r="AJ28" s="832"/>
      <c r="AK28" s="832"/>
      <c r="AL28" s="832"/>
      <c r="AM28" s="832"/>
      <c r="AN28" s="832"/>
      <c r="AO28" s="832"/>
      <c r="AP28" s="832"/>
      <c r="AQ28" s="832"/>
      <c r="AR28" s="832"/>
      <c r="AS28" s="832"/>
      <c r="AT28" s="832"/>
      <c r="AU28" s="832"/>
      <c r="AV28" s="832"/>
      <c r="AW28" s="832"/>
      <c r="AX28" s="832"/>
      <c r="AY28" s="832"/>
      <c r="AZ28" s="832"/>
      <c r="BA28" s="832"/>
      <c r="BB28" s="832"/>
      <c r="BC28" s="832"/>
      <c r="BD28" s="832"/>
      <c r="BE28" s="832"/>
      <c r="BF28" s="1370"/>
      <c r="BG28" s="1370"/>
      <c r="BH28" s="1375"/>
    </row>
    <row s="1469" customFormat="1" customHeight="1" ht="21.9375" hidden="1">
      <c r="A29" s="698"/>
      <c r="B29" s="1370">
        <f>InvestmentSources_is_one_block="да"</f>
        <v>0</v>
      </c>
      <c r="C29" s="698"/>
      <c r="D29" s="698"/>
      <c r="E29" s="691">
        <v>22.5</v>
      </c>
      <c r="F29" s="50"/>
      <c r="G29" s="1370"/>
      <c r="H29" s="1370" t="s">
        <v>332</v>
      </c>
      <c r="I29" s="1466"/>
      <c r="J29" s="1466"/>
      <c r="K29" s="1466"/>
      <c r="L29" s="1466"/>
      <c r="M29" s="1466"/>
      <c r="N29" s="1466"/>
      <c r="O29" s="1466"/>
      <c r="P29" s="1466"/>
      <c r="Q29" s="1466"/>
      <c r="R29" s="1466"/>
      <c r="S29" s="1466"/>
      <c r="T29" s="1462"/>
      <c r="U29" s="1466"/>
      <c r="V29" s="1466"/>
      <c r="W29" s="1466"/>
      <c r="X29" s="1463"/>
      <c r="Y29" s="1466"/>
      <c r="Z29" s="1464"/>
      <c r="AA29" s="1466"/>
      <c r="AB29" s="804">
        <v>1</v>
      </c>
      <c r="AC29" s="589" t="s">
        <v>2036</v>
      </c>
      <c r="AD29" s="812" t="s">
        <v>1514</v>
      </c>
      <c r="AE29" s="1365">
        <f>AE30+AE40+AE44+AE48</f>
        <v>0</v>
      </c>
      <c r="AF29" s="1365">
        <f>AF30+AF40+AF44+AF48</f>
        <v>0</v>
      </c>
      <c r="AG29" s="1365">
        <f>AG30+AG40+AG44+AG48</f>
        <v>0</v>
      </c>
      <c r="AH29" s="1365">
        <f>AH30+AH40+AH44+AH48</f>
        <v>0</v>
      </c>
      <c r="AI29" s="1365">
        <f>AI30+AI40+AI44+AI48</f>
        <v>0</v>
      </c>
      <c r="AJ29" s="1365">
        <f>AJ30+AJ40+AJ44+AJ48</f>
        <v>0</v>
      </c>
      <c r="AK29" s="1365">
        <f>AK30+AK40+AK44+AK48</f>
        <v>0</v>
      </c>
      <c r="AL29" s="1365">
        <f>AL30+AL40+AL44+AL48</f>
        <v>0</v>
      </c>
      <c r="AM29" s="1365">
        <f>AM30+AM40+AM44+AM48</f>
        <v>0</v>
      </c>
      <c r="AN29" s="1365">
        <f>AN30+AN40+AN44+AN48</f>
        <v>0</v>
      </c>
      <c r="AO29" s="1365">
        <f>AO30+AO40+AO44+AO48</f>
        <v>0</v>
      </c>
      <c r="AP29" s="1365">
        <f>AP30+AP40+AP44+AP48</f>
        <v>0</v>
      </c>
      <c r="AQ29" s="1365">
        <f>AQ30+AQ40+AQ44+AQ48</f>
        <v>0</v>
      </c>
      <c r="AR29" s="1365">
        <f>AR30+AR40+AR44+AR48</f>
        <v>0</v>
      </c>
      <c r="AS29" s="1365">
        <f>AS30+AS40+AS44+AS48</f>
        <v>0</v>
      </c>
      <c r="AT29" s="1365">
        <f>AT30+AT40+AT44+AT48</f>
        <v>0</v>
      </c>
      <c r="AU29" s="1365">
        <f>AU30+AU40+AU44+AU48</f>
        <v>0</v>
      </c>
      <c r="AV29" s="1365">
        <f>AV30+AV40+AV44+AV48</f>
        <v>0</v>
      </c>
      <c r="AW29" s="1365">
        <f>AW30+AW40+AW44+AW48</f>
        <v>0</v>
      </c>
      <c r="AX29" s="1365">
        <f>AX30+AX40+AX44+AX48</f>
        <v>0</v>
      </c>
      <c r="AY29" s="1365">
        <f>AY30+AY40+AY44+AY48</f>
        <v>0</v>
      </c>
      <c r="AZ29" s="1365">
        <f>AZ30+AZ40+AZ44+AZ48</f>
        <v>0</v>
      </c>
      <c r="BA29" s="1365">
        <f>BA30+BA40+BA44+BA48</f>
        <v>0</v>
      </c>
      <c r="BB29" s="1365">
        <f>BB30+BB40+BB44+BB48</f>
        <v>0</v>
      </c>
      <c r="BC29" s="1365">
        <f>BC30+BC40+BC44+BC48</f>
        <v>0</v>
      </c>
      <c r="BD29" s="1365">
        <f>BD30+BD40+BD44+BD48</f>
        <v>0</v>
      </c>
      <c r="BE29" s="5154"/>
      <c r="BF29" s="698"/>
      <c r="BG29" s="698"/>
      <c r="BH29" s="1051" t="s">
        <v>2037</v>
      </c>
    </row>
    <row s="1834" customFormat="1" customHeight="1" ht="14.625" hidden="1">
      <c r="A30" s="1370"/>
      <c r="B30" s="1370">
        <f>InvestmentSources_is_one_block="да"</f>
        <v>0</v>
      </c>
      <c r="C30" s="1370"/>
      <c r="D30" s="1370"/>
      <c r="E30" s="1373">
        <v>15</v>
      </c>
      <c r="F30" s="1175"/>
      <c r="G30" s="1370"/>
      <c r="H30" s="1370" t="s">
        <v>1175</v>
      </c>
      <c r="I30" s="1461"/>
      <c r="J30" s="1461"/>
      <c r="K30" s="1461"/>
      <c r="L30" s="1461"/>
      <c r="M30" s="1461"/>
      <c r="N30" s="1461"/>
      <c r="O30" s="1461"/>
      <c r="P30" s="1461"/>
      <c r="Q30" s="1461"/>
      <c r="R30" s="1461"/>
      <c r="S30" s="1461"/>
      <c r="T30" s="1462"/>
      <c r="U30" s="1461"/>
      <c r="V30" s="1461"/>
      <c r="W30" s="1461"/>
      <c r="X30" s="1463"/>
      <c r="Y30" s="1461"/>
      <c r="Z30" s="1464"/>
      <c r="AA30" s="1461"/>
      <c r="AB30" s="807" t="s">
        <v>1628</v>
      </c>
      <c r="AC30" s="1111" t="s">
        <v>2038</v>
      </c>
      <c r="AD30" s="1394" t="s">
        <v>1514</v>
      </c>
      <c r="AE30" s="1116">
        <f>AE31+AE32+AE33+AE34+AE35</f>
        <v>0</v>
      </c>
      <c r="AF30" s="1116">
        <f>AF31+AF32+AF33+AF34+AF35</f>
        <v>0</v>
      </c>
      <c r="AG30" s="1116">
        <f>AG31+AG32+AG33+AG34+AG35</f>
        <v>0</v>
      </c>
      <c r="AH30" s="1116">
        <f>AH31+AH32+AH33+AH34+AH35</f>
        <v>0</v>
      </c>
      <c r="AI30" s="1116">
        <f>AI31+AI32+AI33+AI34+AI35</f>
        <v>0</v>
      </c>
      <c r="AJ30" s="1116">
        <f>AJ31+AJ32+AJ33+AJ34+AJ35</f>
        <v>0</v>
      </c>
      <c r="AK30" s="1116">
        <f>AK31+AK32+AK33+AK34+AK35</f>
        <v>0</v>
      </c>
      <c r="AL30" s="1116">
        <f>AL31+AL32+AL33+AL34+AL35</f>
        <v>0</v>
      </c>
      <c r="AM30" s="1116">
        <f>AM31+AM32+AM33+AM34+AM35</f>
        <v>0</v>
      </c>
      <c r="AN30" s="1116">
        <f>AN31+AN32+AN33+AN34+AN35</f>
        <v>0</v>
      </c>
      <c r="AO30" s="1116">
        <f>AO31+AO32+AO33+AO34+AO35</f>
        <v>0</v>
      </c>
      <c r="AP30" s="1116">
        <f>AP31+AP32+AP33+AP34+AP35</f>
        <v>0</v>
      </c>
      <c r="AQ30" s="1116">
        <f>AQ31+AQ32+AQ33+AQ34+AQ35</f>
        <v>0</v>
      </c>
      <c r="AR30" s="1116">
        <f>AR31+AR32+AR33+AR34+AR35</f>
        <v>0</v>
      </c>
      <c r="AS30" s="1116">
        <f>AS31+AS32+AS33+AS34+AS35</f>
        <v>0</v>
      </c>
      <c r="AT30" s="1116">
        <f>AT31+AT32+AT33+AT34+AT35</f>
        <v>0</v>
      </c>
      <c r="AU30" s="1116">
        <f>AU31+AU32+AU33+AU34+AU35</f>
        <v>0</v>
      </c>
      <c r="AV30" s="1116">
        <f>AV31+AV32+AV33+AV34+AV35</f>
        <v>0</v>
      </c>
      <c r="AW30" s="1116">
        <f>AW31+AW32+AW33+AW34+AW35</f>
        <v>0</v>
      </c>
      <c r="AX30" s="1116">
        <f>AX31+AX32+AX33+AX34+AX35</f>
        <v>0</v>
      </c>
      <c r="AY30" s="1116">
        <f>AY31+AY32+AY33+AY34+AY35</f>
        <v>0</v>
      </c>
      <c r="AZ30" s="1116">
        <f>AZ31+AZ32+AZ33+AZ34+AZ35</f>
        <v>0</v>
      </c>
      <c r="BA30" s="1116">
        <f>BA31+BA32+BA33+BA34+BA35</f>
        <v>0</v>
      </c>
      <c r="BB30" s="1116">
        <f>BB31+BB32+BB33+BB34+BB35</f>
        <v>0</v>
      </c>
      <c r="BC30" s="1116">
        <f>BC31+BC32+BC33+BC34+BC35</f>
        <v>0</v>
      </c>
      <c r="BD30" s="1116">
        <f>BD31+BD32+BD33+BD34+BD35</f>
        <v>0</v>
      </c>
      <c r="BE30" s="5154"/>
      <c r="BF30" s="1370"/>
      <c r="BG30" s="1370"/>
      <c r="BH30" s="1375" t="s">
        <v>2039</v>
      </c>
    </row>
    <row s="1834" customFormat="1" customHeight="1" ht="14.625" hidden="1">
      <c r="A31" s="1370"/>
      <c r="B31" s="1370">
        <f>InvestmentSources_is_one_block="да"</f>
        <v>0</v>
      </c>
      <c r="C31" s="1370"/>
      <c r="D31" s="1370"/>
      <c r="E31" s="1373">
        <v>15</v>
      </c>
      <c r="F31" s="1175"/>
      <c r="G31" s="1370"/>
      <c r="H31" s="1370" t="s">
        <v>1735</v>
      </c>
      <c r="I31" s="1461"/>
      <c r="J31" s="1461"/>
      <c r="K31" s="1461"/>
      <c r="L31" s="1461"/>
      <c r="M31" s="1461"/>
      <c r="N31" s="1461"/>
      <c r="O31" s="1461"/>
      <c r="P31" s="1461"/>
      <c r="Q31" s="1461"/>
      <c r="R31" s="1461"/>
      <c r="S31" s="1461"/>
      <c r="T31" s="1462"/>
      <c r="U31" s="1461"/>
      <c r="V31" s="1461"/>
      <c r="W31" s="1461"/>
      <c r="X31" s="1463"/>
      <c r="Y31" s="1461"/>
      <c r="Z31" s="1464"/>
      <c r="AA31" s="1461"/>
      <c r="AB31" s="807" t="s">
        <v>1736</v>
      </c>
      <c r="AC31" s="883" t="s">
        <v>2040</v>
      </c>
      <c r="AD31" s="1394" t="s">
        <v>1514</v>
      </c>
      <c r="AE31" s="3640"/>
      <c r="AF31" s="3640"/>
      <c r="AG31" s="3640"/>
      <c r="AH31" s="3640"/>
      <c r="AI31" s="3640"/>
      <c r="AJ31" s="3640"/>
      <c r="AK31" s="3640"/>
      <c r="AL31" s="3640"/>
      <c r="AM31" s="3640"/>
      <c r="AN31" s="3640"/>
      <c r="AO31" s="3640"/>
      <c r="AP31" s="3640"/>
      <c r="AQ31" s="3640"/>
      <c r="AR31" s="3640"/>
      <c r="AS31" s="3640"/>
      <c r="AT31" s="3640"/>
      <c r="AU31" s="3640"/>
      <c r="AV31" s="3640"/>
      <c r="AW31" s="3640"/>
      <c r="AX31" s="3640"/>
      <c r="AY31" s="3640"/>
      <c r="AZ31" s="3640"/>
      <c r="BA31" s="3640"/>
      <c r="BB31" s="3640"/>
      <c r="BC31" s="3640"/>
      <c r="BD31" s="3640"/>
      <c r="BE31" s="5154"/>
      <c r="BF31" s="1370"/>
      <c r="BG31" s="1370"/>
      <c r="BH31" s="1375" t="s">
        <v>1960</v>
      </c>
    </row>
    <row s="1834" customFormat="1" customHeight="1" ht="14.625" hidden="1">
      <c r="A32" s="1370"/>
      <c r="B32" s="1370">
        <f>InvestmentSources_is_one_block="да"</f>
        <v>0</v>
      </c>
      <c r="C32" s="1370"/>
      <c r="D32" s="1370"/>
      <c r="E32" s="1373">
        <v>15</v>
      </c>
      <c r="F32" s="1175"/>
      <c r="G32" s="1370"/>
      <c r="H32" s="1370" t="s">
        <v>1739</v>
      </c>
      <c r="I32" s="1461"/>
      <c r="J32" s="1461"/>
      <c r="K32" s="1467"/>
      <c r="L32" s="1468"/>
      <c r="M32" s="1461"/>
      <c r="N32" s="1461"/>
      <c r="O32" s="1461"/>
      <c r="P32" s="1461"/>
      <c r="Q32" s="1461"/>
      <c r="R32" s="1461"/>
      <c r="S32" s="1461"/>
      <c r="T32" s="1462"/>
      <c r="U32" s="1461"/>
      <c r="V32" s="1461"/>
      <c r="W32" s="1461"/>
      <c r="X32" s="1463"/>
      <c r="Y32" s="1461"/>
      <c r="Z32" s="1464"/>
      <c r="AA32" s="1461"/>
      <c r="AB32" s="807" t="s">
        <v>1740</v>
      </c>
      <c r="AC32" s="883" t="s">
        <v>2041</v>
      </c>
      <c r="AD32" s="1394" t="s">
        <v>1514</v>
      </c>
      <c r="AE32" s="3640"/>
      <c r="AF32" s="3640"/>
      <c r="AG32" s="3640"/>
      <c r="AH32" s="3640"/>
      <c r="AI32" s="3640"/>
      <c r="AJ32" s="3640"/>
      <c r="AK32" s="3640"/>
      <c r="AL32" s="3640"/>
      <c r="AM32" s="3640"/>
      <c r="AN32" s="3640"/>
      <c r="AO32" s="3640"/>
      <c r="AP32" s="3640"/>
      <c r="AQ32" s="3640"/>
      <c r="AR32" s="3640"/>
      <c r="AS32" s="3640"/>
      <c r="AT32" s="3640"/>
      <c r="AU32" s="3640"/>
      <c r="AV32" s="3640"/>
      <c r="AW32" s="3640"/>
      <c r="AX32" s="3640"/>
      <c r="AY32" s="3640"/>
      <c r="AZ32" s="3640"/>
      <c r="BA32" s="3640"/>
      <c r="BB32" s="3640"/>
      <c r="BC32" s="3640"/>
      <c r="BD32" s="3640"/>
      <c r="BE32" s="5154"/>
      <c r="BF32" s="1370"/>
      <c r="BG32" s="1370"/>
      <c r="BH32" s="1375" t="s">
        <v>2042</v>
      </c>
    </row>
    <row s="1834" customFormat="1" customHeight="1" ht="14.625" hidden="1">
      <c r="A33" s="1370"/>
      <c r="B33" s="1370">
        <f>InvestmentSources_is_one_block="да"</f>
        <v>0</v>
      </c>
      <c r="C33" s="1370"/>
      <c r="D33" s="1370"/>
      <c r="E33" s="1373">
        <v>15</v>
      </c>
      <c r="F33" s="1175"/>
      <c r="G33" s="1370"/>
      <c r="H33" s="1370" t="s">
        <v>2043</v>
      </c>
      <c r="I33" s="1461"/>
      <c r="J33" s="1461"/>
      <c r="K33" s="1461"/>
      <c r="L33" s="1461"/>
      <c r="M33" s="1461"/>
      <c r="N33" s="1461"/>
      <c r="O33" s="1461"/>
      <c r="P33" s="1461"/>
      <c r="Q33" s="1461"/>
      <c r="R33" s="1461"/>
      <c r="S33" s="1461"/>
      <c r="T33" s="1462"/>
      <c r="U33" s="1461"/>
      <c r="V33" s="1461"/>
      <c r="W33" s="1461"/>
      <c r="X33" s="1463"/>
      <c r="Y33" s="1461"/>
      <c r="Z33" s="1464"/>
      <c r="AA33" s="1461"/>
      <c r="AB33" s="807" t="s">
        <v>2044</v>
      </c>
      <c r="AC33" s="883" t="s">
        <v>2045</v>
      </c>
      <c r="AD33" s="1394" t="s">
        <v>1514</v>
      </c>
      <c r="AE33" s="3640"/>
      <c r="AF33" s="3640"/>
      <c r="AG33" s="3640"/>
      <c r="AH33" s="3640"/>
      <c r="AI33" s="3640"/>
      <c r="AJ33" s="3640"/>
      <c r="AK33" s="3640"/>
      <c r="AL33" s="3640"/>
      <c r="AM33" s="3640"/>
      <c r="AN33" s="3640"/>
      <c r="AO33" s="3640"/>
      <c r="AP33" s="3640"/>
      <c r="AQ33" s="3640"/>
      <c r="AR33" s="3640"/>
      <c r="AS33" s="3640"/>
      <c r="AT33" s="3640"/>
      <c r="AU33" s="3640"/>
      <c r="AV33" s="3640"/>
      <c r="AW33" s="3640"/>
      <c r="AX33" s="3640"/>
      <c r="AY33" s="3640"/>
      <c r="AZ33" s="3640"/>
      <c r="BA33" s="3640"/>
      <c r="BB33" s="3640"/>
      <c r="BC33" s="3640"/>
      <c r="BD33" s="3640"/>
      <c r="BE33" s="5154"/>
      <c r="BF33" s="1370"/>
      <c r="BG33" s="1370"/>
      <c r="BH33" s="1375" t="s">
        <v>2046</v>
      </c>
    </row>
    <row s="1834" customFormat="1" customHeight="1" ht="14.625" hidden="1">
      <c r="A34" s="1370"/>
      <c r="B34" s="1370">
        <f>InvestmentSources_is_one_block="да"</f>
        <v>0</v>
      </c>
      <c r="C34" s="1370"/>
      <c r="D34" s="1370"/>
      <c r="E34" s="1373">
        <v>15</v>
      </c>
      <c r="F34" s="1175"/>
      <c r="G34" s="1370"/>
      <c r="H34" s="1370" t="s">
        <v>2047</v>
      </c>
      <c r="I34" s="1461"/>
      <c r="J34" s="1461"/>
      <c r="K34" s="1461"/>
      <c r="L34" s="1461"/>
      <c r="M34" s="1461"/>
      <c r="N34" s="1461"/>
      <c r="O34" s="1461"/>
      <c r="P34" s="1461"/>
      <c r="Q34" s="1461"/>
      <c r="R34" s="1461"/>
      <c r="S34" s="1461"/>
      <c r="T34" s="1462"/>
      <c r="U34" s="1461"/>
      <c r="V34" s="1461"/>
      <c r="W34" s="1461"/>
      <c r="X34" s="1463"/>
      <c r="Y34" s="1461"/>
      <c r="Z34" s="1464"/>
      <c r="AA34" s="1461"/>
      <c r="AB34" s="807" t="s">
        <v>2048</v>
      </c>
      <c r="AC34" s="883" t="s">
        <v>2049</v>
      </c>
      <c r="AD34" s="1394" t="s">
        <v>1514</v>
      </c>
      <c r="AE34" s="3640"/>
      <c r="AF34" s="3640"/>
      <c r="AG34" s="3640"/>
      <c r="AH34" s="3640"/>
      <c r="AI34" s="3640"/>
      <c r="AJ34" s="3640"/>
      <c r="AK34" s="3640"/>
      <c r="AL34" s="3640"/>
      <c r="AM34" s="3640"/>
      <c r="AN34" s="3640"/>
      <c r="AO34" s="3640"/>
      <c r="AP34" s="3640"/>
      <c r="AQ34" s="3640"/>
      <c r="AR34" s="3640"/>
      <c r="AS34" s="3640"/>
      <c r="AT34" s="3640"/>
      <c r="AU34" s="3640"/>
      <c r="AV34" s="3640"/>
      <c r="AW34" s="3640"/>
      <c r="AX34" s="3640"/>
      <c r="AY34" s="3640"/>
      <c r="AZ34" s="3640"/>
      <c r="BA34" s="3640"/>
      <c r="BB34" s="3640"/>
      <c r="BC34" s="3640"/>
      <c r="BD34" s="3640"/>
      <c r="BE34" s="5154"/>
      <c r="BF34" s="1370"/>
      <c r="BG34" s="1370"/>
      <c r="BH34" s="1375" t="s">
        <v>2050</v>
      </c>
    </row>
    <row s="1834" customFormat="1" customHeight="1" ht="21.9375" hidden="1">
      <c r="A35" s="1370"/>
      <c r="B35" s="1370">
        <f>InvestmentSources_is_one_block="да"</f>
        <v>0</v>
      </c>
      <c r="C35" s="1370"/>
      <c r="D35" s="1370"/>
      <c r="E35" s="1373">
        <v>22.5</v>
      </c>
      <c r="F35" s="1175"/>
      <c r="G35" s="1370"/>
      <c r="H35" s="1370"/>
      <c r="I35" s="1461"/>
      <c r="J35" s="1461"/>
      <c r="K35" s="1461"/>
      <c r="L35" s="1461"/>
      <c r="M35" s="1461"/>
      <c r="N35" s="1461"/>
      <c r="O35" s="1461"/>
      <c r="P35" s="1461"/>
      <c r="Q35" s="1461"/>
      <c r="R35" s="1461"/>
      <c r="S35" s="1461"/>
      <c r="T35" s="1462"/>
      <c r="U35" s="1461"/>
      <c r="V35" s="1461"/>
      <c r="W35" s="1461"/>
      <c r="X35" s="1463"/>
      <c r="Y35" s="1461"/>
      <c r="Z35" s="1464"/>
      <c r="AA35" s="1461"/>
      <c r="AB35" s="807" t="s">
        <v>2051</v>
      </c>
      <c r="AC35" s="883" t="s">
        <v>2052</v>
      </c>
      <c r="AD35" s="1394" t="s">
        <v>1514</v>
      </c>
      <c r="AE35" s="3640">
        <f>AE36+AE37+AE38+AE39</f>
        <v>0</v>
      </c>
      <c r="AF35" s="3640">
        <f>AF36+AF37+AF38+AF39</f>
        <v>0</v>
      </c>
      <c r="AG35" s="3640">
        <f>AG36+AG37+AG38+AG39</f>
        <v>0</v>
      </c>
      <c r="AH35" s="3640">
        <f>AH36+AH37+AH38+AH39</f>
        <v>0</v>
      </c>
      <c r="AI35" s="3640">
        <f>AI36+AI37+AI38+AI39</f>
        <v>0</v>
      </c>
      <c r="AJ35" s="3640">
        <f>AJ36+AJ37+AJ38+AJ39</f>
        <v>0</v>
      </c>
      <c r="AK35" s="3640">
        <f>AK36+AK37+AK38+AK39</f>
        <v>0</v>
      </c>
      <c r="AL35" s="3640">
        <f>AL36+AL37+AL38+AL39</f>
        <v>0</v>
      </c>
      <c r="AM35" s="3640">
        <f>AM36+AM37+AM38+AM39</f>
        <v>0</v>
      </c>
      <c r="AN35" s="3640">
        <f>AN36+AN37+AN38+AN39</f>
        <v>0</v>
      </c>
      <c r="AO35" s="3640">
        <f>AO36+AO37+AO38+AO39</f>
        <v>0</v>
      </c>
      <c r="AP35" s="3640">
        <f>AP36+AP37+AP38+AP39</f>
        <v>0</v>
      </c>
      <c r="AQ35" s="3640">
        <f>AQ36+AQ37+AQ38+AQ39</f>
        <v>0</v>
      </c>
      <c r="AR35" s="3640">
        <f>AR36+AR37+AR38+AR39</f>
        <v>0</v>
      </c>
      <c r="AS35" s="3640">
        <f>AS36+AS37+AS38+AS39</f>
        <v>0</v>
      </c>
      <c r="AT35" s="3640">
        <f>AT36+AT37+AT38+AT39</f>
        <v>0</v>
      </c>
      <c r="AU35" s="3640">
        <f>AU36+AU37+AU38+AU39</f>
        <v>0</v>
      </c>
      <c r="AV35" s="3640">
        <f>AV36+AV37+AV38+AV39</f>
        <v>0</v>
      </c>
      <c r="AW35" s="3640">
        <f>AW36+AW37+AW38+AW39</f>
        <v>0</v>
      </c>
      <c r="AX35" s="3640">
        <f>AX36+AX37+AX38+AX39</f>
        <v>0</v>
      </c>
      <c r="AY35" s="3640">
        <f>AY36+AY37+AY38+AY39</f>
        <v>0</v>
      </c>
      <c r="AZ35" s="3640">
        <f>AZ36+AZ37+AZ38+AZ39</f>
        <v>0</v>
      </c>
      <c r="BA35" s="3640">
        <f>BA36+BA37+BA38+BA39</f>
        <v>0</v>
      </c>
      <c r="BB35" s="3640">
        <f>BB36+BB37+BB38+BB39</f>
        <v>0</v>
      </c>
      <c r="BC35" s="3640">
        <f>BC36+BC37+BC38+BC39</f>
        <v>0</v>
      </c>
      <c r="BD35" s="3640">
        <f>BD36+BD37+BD38+BD39</f>
        <v>0</v>
      </c>
      <c r="BE35" s="5154"/>
      <c r="BF35" s="1370"/>
      <c r="BG35" s="1370"/>
      <c r="BH35" s="1375" t="s">
        <v>2053</v>
      </c>
    </row>
    <row s="1834" customFormat="1" customHeight="1" ht="44.606249999999996" hidden="1">
      <c r="A36" s="1370"/>
      <c r="B36" s="1370">
        <f>InvestmentSources_is_one_block="да"</f>
        <v>0</v>
      </c>
      <c r="C36" s="1370"/>
      <c r="D36" s="1370"/>
      <c r="E36" s="1373">
        <v>45.75</v>
      </c>
      <c r="F36" s="1175"/>
      <c r="G36" s="1370"/>
      <c r="H36" s="1370"/>
      <c r="I36" s="1461"/>
      <c r="J36" s="1461"/>
      <c r="K36" s="1461"/>
      <c r="L36" s="1461"/>
      <c r="M36" s="1461"/>
      <c r="N36" s="1461"/>
      <c r="O36" s="1461"/>
      <c r="P36" s="1461"/>
      <c r="Q36" s="1461"/>
      <c r="R36" s="1461"/>
      <c r="S36" s="1461"/>
      <c r="T36" s="1462"/>
      <c r="U36" s="1461"/>
      <c r="V36" s="1461"/>
      <c r="W36" s="1461"/>
      <c r="X36" s="1463"/>
      <c r="Y36" s="1461"/>
      <c r="Z36" s="1464"/>
      <c r="AA36" s="1461"/>
      <c r="AB36" s="807" t="s">
        <v>2054</v>
      </c>
      <c r="AC36" s="768" t="s">
        <v>2055</v>
      </c>
      <c r="AD36" s="1394" t="s">
        <v>1514</v>
      </c>
      <c r="AE36" s="3640"/>
      <c r="AF36" s="3640"/>
      <c r="AG36" s="3640"/>
      <c r="AH36" s="3640"/>
      <c r="AI36" s="3640"/>
      <c r="AJ36" s="3640"/>
      <c r="AK36" s="3640"/>
      <c r="AL36" s="3640"/>
      <c r="AM36" s="3640"/>
      <c r="AN36" s="3640"/>
      <c r="AO36" s="3640"/>
      <c r="AP36" s="3640"/>
      <c r="AQ36" s="3640"/>
      <c r="AR36" s="3640"/>
      <c r="AS36" s="3640"/>
      <c r="AT36" s="3640"/>
      <c r="AU36" s="3640"/>
      <c r="AV36" s="3640"/>
      <c r="AW36" s="3640"/>
      <c r="AX36" s="3640"/>
      <c r="AY36" s="3640"/>
      <c r="AZ36" s="3640"/>
      <c r="BA36" s="3640"/>
      <c r="BB36" s="3640"/>
      <c r="BC36" s="3640"/>
      <c r="BD36" s="3640"/>
      <c r="BE36" s="5154"/>
      <c r="BF36" s="1370"/>
      <c r="BG36" s="1370"/>
      <c r="BH36" s="1375" t="s">
        <v>2056</v>
      </c>
    </row>
    <row s="1834" customFormat="1" customHeight="1" ht="44.606249999999996" hidden="1">
      <c r="A37" s="1370"/>
      <c r="B37" s="1370">
        <f>InvestmentSources_is_one_block="да"</f>
        <v>0</v>
      </c>
      <c r="C37" s="1370"/>
      <c r="D37" s="1370"/>
      <c r="E37" s="1373">
        <v>45.75</v>
      </c>
      <c r="F37" s="1175"/>
      <c r="G37" s="1370"/>
      <c r="H37" s="1370"/>
      <c r="I37" s="1461"/>
      <c r="J37" s="1461"/>
      <c r="K37" s="1461"/>
      <c r="L37" s="1461"/>
      <c r="M37" s="1461"/>
      <c r="N37" s="1461"/>
      <c r="O37" s="1461"/>
      <c r="P37" s="1461"/>
      <c r="Q37" s="1461"/>
      <c r="R37" s="1461"/>
      <c r="S37" s="1461"/>
      <c r="T37" s="1462"/>
      <c r="U37" s="1461"/>
      <c r="V37" s="1461"/>
      <c r="W37" s="1461"/>
      <c r="X37" s="1463"/>
      <c r="Y37" s="1461"/>
      <c r="Z37" s="1464"/>
      <c r="AA37" s="1461"/>
      <c r="AB37" s="807" t="s">
        <v>2057</v>
      </c>
      <c r="AC37" s="768" t="s">
        <v>2058</v>
      </c>
      <c r="AD37" s="1394" t="s">
        <v>1514</v>
      </c>
      <c r="AE37" s="3640"/>
      <c r="AF37" s="3640"/>
      <c r="AG37" s="3640"/>
      <c r="AH37" s="3640"/>
      <c r="AI37" s="3640"/>
      <c r="AJ37" s="3640"/>
      <c r="AK37" s="3640"/>
      <c r="AL37" s="3640"/>
      <c r="AM37" s="3640"/>
      <c r="AN37" s="3640"/>
      <c r="AO37" s="3640"/>
      <c r="AP37" s="3640"/>
      <c r="AQ37" s="3640"/>
      <c r="AR37" s="3640"/>
      <c r="AS37" s="3640"/>
      <c r="AT37" s="3640"/>
      <c r="AU37" s="3640"/>
      <c r="AV37" s="3640"/>
      <c r="AW37" s="3640"/>
      <c r="AX37" s="3640"/>
      <c r="AY37" s="3640"/>
      <c r="AZ37" s="3640"/>
      <c r="BA37" s="3640"/>
      <c r="BB37" s="3640"/>
      <c r="BC37" s="3640"/>
      <c r="BD37" s="3640"/>
      <c r="BE37" s="5154"/>
      <c r="BF37" s="1370"/>
      <c r="BG37" s="1370"/>
      <c r="BH37" s="1375" t="s">
        <v>2059</v>
      </c>
    </row>
    <row s="1834" customFormat="1" customHeight="1" ht="44.606249999999996" hidden="1">
      <c r="A38" s="1370"/>
      <c r="B38" s="1370">
        <f>InvestmentSources_is_one_block="да"</f>
        <v>0</v>
      </c>
      <c r="C38" s="1370"/>
      <c r="D38" s="1370"/>
      <c r="E38" s="1373">
        <v>45.75</v>
      </c>
      <c r="F38" s="1175"/>
      <c r="G38" s="1370"/>
      <c r="H38" s="1370"/>
      <c r="I38" s="1461"/>
      <c r="J38" s="1461"/>
      <c r="K38" s="1461"/>
      <c r="L38" s="1461"/>
      <c r="M38" s="1461"/>
      <c r="N38" s="1461"/>
      <c r="O38" s="1461"/>
      <c r="P38" s="1461"/>
      <c r="Q38" s="1461"/>
      <c r="R38" s="1461"/>
      <c r="S38" s="1461"/>
      <c r="T38" s="1462"/>
      <c r="U38" s="1461"/>
      <c r="V38" s="1461"/>
      <c r="W38" s="1461"/>
      <c r="X38" s="1463"/>
      <c r="Y38" s="1461"/>
      <c r="Z38" s="1464"/>
      <c r="AA38" s="1461"/>
      <c r="AB38" s="807" t="s">
        <v>2060</v>
      </c>
      <c r="AC38" s="768" t="s">
        <v>2061</v>
      </c>
      <c r="AD38" s="1394" t="s">
        <v>1514</v>
      </c>
      <c r="AE38" s="3640"/>
      <c r="AF38" s="3640"/>
      <c r="AG38" s="3640"/>
      <c r="AH38" s="3640"/>
      <c r="AI38" s="3640"/>
      <c r="AJ38" s="3640"/>
      <c r="AK38" s="3640"/>
      <c r="AL38" s="3640"/>
      <c r="AM38" s="3640"/>
      <c r="AN38" s="3640"/>
      <c r="AO38" s="3640"/>
      <c r="AP38" s="3640"/>
      <c r="AQ38" s="3640"/>
      <c r="AR38" s="3640"/>
      <c r="AS38" s="3640"/>
      <c r="AT38" s="3640"/>
      <c r="AU38" s="3640"/>
      <c r="AV38" s="3640"/>
      <c r="AW38" s="3640"/>
      <c r="AX38" s="3640"/>
      <c r="AY38" s="3640"/>
      <c r="AZ38" s="3640"/>
      <c r="BA38" s="3640"/>
      <c r="BB38" s="3640"/>
      <c r="BC38" s="3640"/>
      <c r="BD38" s="3640"/>
      <c r="BE38" s="5154"/>
      <c r="BF38" s="1370"/>
      <c r="BG38" s="1370"/>
      <c r="BH38" s="1375" t="s">
        <v>2062</v>
      </c>
    </row>
    <row s="1834" customFormat="1" customHeight="1" ht="21.9375" hidden="1">
      <c r="A39" s="1370"/>
      <c r="B39" s="1370">
        <f>InvestmentSources_is_one_block="да"</f>
        <v>0</v>
      </c>
      <c r="C39" s="1370"/>
      <c r="D39" s="1370"/>
      <c r="E39" s="1373">
        <v>22.5</v>
      </c>
      <c r="F39" s="1175"/>
      <c r="G39" s="1370"/>
      <c r="H39" s="1370"/>
      <c r="I39" s="1461"/>
      <c r="J39" s="1461"/>
      <c r="K39" s="1461"/>
      <c r="L39" s="1461"/>
      <c r="M39" s="1461"/>
      <c r="N39" s="1461"/>
      <c r="O39" s="1461"/>
      <c r="P39" s="1461"/>
      <c r="Q39" s="1461"/>
      <c r="R39" s="1461"/>
      <c r="S39" s="1461"/>
      <c r="T39" s="1462"/>
      <c r="U39" s="1461"/>
      <c r="V39" s="1461"/>
      <c r="W39" s="1461"/>
      <c r="X39" s="1463"/>
      <c r="Y39" s="1461"/>
      <c r="Z39" s="1464"/>
      <c r="AA39" s="1461"/>
      <c r="AB39" s="807" t="s">
        <v>2063</v>
      </c>
      <c r="AC39" s="768" t="s">
        <v>2064</v>
      </c>
      <c r="AD39" s="1394" t="s">
        <v>1514</v>
      </c>
      <c r="AE39" s="3640"/>
      <c r="AF39" s="3640"/>
      <c r="AG39" s="3640"/>
      <c r="AH39" s="3640"/>
      <c r="AI39" s="3640"/>
      <c r="AJ39" s="3640"/>
      <c r="AK39" s="3640"/>
      <c r="AL39" s="3640"/>
      <c r="AM39" s="3640"/>
      <c r="AN39" s="3640"/>
      <c r="AO39" s="3640"/>
      <c r="AP39" s="3640"/>
      <c r="AQ39" s="3640"/>
      <c r="AR39" s="3640"/>
      <c r="AS39" s="3640"/>
      <c r="AT39" s="3640"/>
      <c r="AU39" s="3640"/>
      <c r="AV39" s="3640"/>
      <c r="AW39" s="3640"/>
      <c r="AX39" s="3640"/>
      <c r="AY39" s="3640"/>
      <c r="AZ39" s="3640"/>
      <c r="BA39" s="3640"/>
      <c r="BB39" s="3640"/>
      <c r="BC39" s="3640"/>
      <c r="BD39" s="3640"/>
      <c r="BE39" s="5154"/>
      <c r="BF39" s="1370"/>
      <c r="BG39" s="1370"/>
      <c r="BH39" s="1375" t="s">
        <v>2065</v>
      </c>
    </row>
    <row s="1834" customFormat="1" customHeight="1" ht="14.625" hidden="1">
      <c r="A40" s="1370"/>
      <c r="B40" s="1370">
        <f>InvestmentSources_is_one_block="да"</f>
        <v>0</v>
      </c>
      <c r="C40" s="1370"/>
      <c r="D40" s="1370"/>
      <c r="E40" s="1373">
        <v>15</v>
      </c>
      <c r="F40" s="1175"/>
      <c r="G40" s="1370"/>
      <c r="H40" s="1370" t="s">
        <v>1179</v>
      </c>
      <c r="I40" s="1461"/>
      <c r="J40" s="1461"/>
      <c r="K40" s="1461"/>
      <c r="L40" s="1461"/>
      <c r="M40" s="1461"/>
      <c r="N40" s="1461"/>
      <c r="O40" s="1461"/>
      <c r="P40" s="1461"/>
      <c r="Q40" s="1461"/>
      <c r="R40" s="1461"/>
      <c r="S40" s="1461"/>
      <c r="T40" s="1462"/>
      <c r="U40" s="1461"/>
      <c r="V40" s="1461"/>
      <c r="W40" s="1461"/>
      <c r="X40" s="1463"/>
      <c r="Y40" s="1461"/>
      <c r="Z40" s="1464"/>
      <c r="AA40" s="1461"/>
      <c r="AB40" s="807" t="s">
        <v>1631</v>
      </c>
      <c r="AC40" s="1111" t="s">
        <v>2066</v>
      </c>
      <c r="AD40" s="1394" t="s">
        <v>1514</v>
      </c>
      <c r="AE40" s="1116">
        <f>AE41+AE42+AE43</f>
        <v>0</v>
      </c>
      <c r="AF40" s="1116">
        <f>AF41+AF42+AF43</f>
        <v>0</v>
      </c>
      <c r="AG40" s="1116">
        <f>AG41+AG42+AG43</f>
        <v>0</v>
      </c>
      <c r="AH40" s="1116">
        <f>AH41+AH42+AH43</f>
        <v>0</v>
      </c>
      <c r="AI40" s="1116">
        <f>AI41+AI42+AI43</f>
        <v>0</v>
      </c>
      <c r="AJ40" s="1116">
        <f>AJ41+AJ42+AJ43</f>
        <v>0</v>
      </c>
      <c r="AK40" s="1116">
        <f>AK41+AK42+AK43</f>
        <v>0</v>
      </c>
      <c r="AL40" s="1116">
        <f>AL41+AL42+AL43</f>
        <v>0</v>
      </c>
      <c r="AM40" s="1116">
        <f>AM41+AM42+AM43</f>
        <v>0</v>
      </c>
      <c r="AN40" s="1116">
        <f>AN41+AN42+AN43</f>
        <v>0</v>
      </c>
      <c r="AO40" s="1116">
        <f>AO41+AO42+AO43</f>
        <v>0</v>
      </c>
      <c r="AP40" s="1116">
        <f>AP41+AP42+AP43</f>
        <v>0</v>
      </c>
      <c r="AQ40" s="1116">
        <f>AQ41+AQ42+AQ43</f>
        <v>0</v>
      </c>
      <c r="AR40" s="1116">
        <f>AR41+AR42+AR43</f>
        <v>0</v>
      </c>
      <c r="AS40" s="1116">
        <f>AS41+AS42+AS43</f>
        <v>0</v>
      </c>
      <c r="AT40" s="1116">
        <f>AT41+AT42+AT43</f>
        <v>0</v>
      </c>
      <c r="AU40" s="1116">
        <f>AU41+AU42+AU43</f>
        <v>0</v>
      </c>
      <c r="AV40" s="1116">
        <f>AV41+AV42+AV43</f>
        <v>0</v>
      </c>
      <c r="AW40" s="1116">
        <f>AW41+AW42+AW43</f>
        <v>0</v>
      </c>
      <c r="AX40" s="1116">
        <f>AX41+AX42+AX43</f>
        <v>0</v>
      </c>
      <c r="AY40" s="1116">
        <f>AY41+AY42+AY43</f>
        <v>0</v>
      </c>
      <c r="AZ40" s="1116">
        <f>AZ41+AZ42+AZ43</f>
        <v>0</v>
      </c>
      <c r="BA40" s="1116">
        <f>BA41+BA42+BA43</f>
        <v>0</v>
      </c>
      <c r="BB40" s="1116">
        <f>BB41+BB42+BB43</f>
        <v>0</v>
      </c>
      <c r="BC40" s="1116">
        <f>BC41+BC42+BC43</f>
        <v>0</v>
      </c>
      <c r="BD40" s="1116">
        <f>BD41+BD42+BD43</f>
        <v>0</v>
      </c>
      <c r="BE40" s="5154"/>
      <c r="BF40" s="1370"/>
      <c r="BG40" s="1370"/>
      <c r="BH40" s="1375" t="s">
        <v>2067</v>
      </c>
    </row>
    <row s="1834" customFormat="1" customHeight="1" ht="14.625" hidden="1">
      <c r="A41" s="1370"/>
      <c r="B41" s="1370">
        <f>InvestmentSources_is_one_block="да"</f>
        <v>0</v>
      </c>
      <c r="C41" s="1370"/>
      <c r="D41" s="1370"/>
      <c r="E41" s="1373">
        <v>15</v>
      </c>
      <c r="F41" s="1175"/>
      <c r="G41" s="1370"/>
      <c r="H41" s="1370" t="s">
        <v>2068</v>
      </c>
      <c r="I41" s="1461"/>
      <c r="J41" s="1461"/>
      <c r="K41" s="1461"/>
      <c r="L41" s="1461"/>
      <c r="M41" s="1461"/>
      <c r="N41" s="1461"/>
      <c r="O41" s="1461"/>
      <c r="P41" s="1461"/>
      <c r="Q41" s="1461"/>
      <c r="R41" s="1461"/>
      <c r="S41" s="1461"/>
      <c r="T41" s="1462"/>
      <c r="U41" s="1461"/>
      <c r="V41" s="1461"/>
      <c r="W41" s="1461"/>
      <c r="X41" s="1463"/>
      <c r="Y41" s="1461"/>
      <c r="Z41" s="1464"/>
      <c r="AA41" s="1461"/>
      <c r="AB41" s="807" t="s">
        <v>2069</v>
      </c>
      <c r="AC41" s="883" t="s">
        <v>2070</v>
      </c>
      <c r="AD41" s="1394" t="s">
        <v>1514</v>
      </c>
      <c r="AE41" s="3640"/>
      <c r="AF41" s="3640"/>
      <c r="AG41" s="3640"/>
      <c r="AH41" s="3640"/>
      <c r="AI41" s="3640"/>
      <c r="AJ41" s="3640"/>
      <c r="AK41" s="3640"/>
      <c r="AL41" s="3640"/>
      <c r="AM41" s="3640"/>
      <c r="AN41" s="3640"/>
      <c r="AO41" s="3640"/>
      <c r="AP41" s="3640"/>
      <c r="AQ41" s="3640"/>
      <c r="AR41" s="3640"/>
      <c r="AS41" s="3640"/>
      <c r="AT41" s="3640"/>
      <c r="AU41" s="3640"/>
      <c r="AV41" s="3640"/>
      <c r="AW41" s="3640"/>
      <c r="AX41" s="3640"/>
      <c r="AY41" s="3640"/>
      <c r="AZ41" s="3640"/>
      <c r="BA41" s="3640"/>
      <c r="BB41" s="3640"/>
      <c r="BC41" s="3640"/>
      <c r="BD41" s="3640"/>
      <c r="BE41" s="5154"/>
      <c r="BF41" s="1370"/>
      <c r="BG41" s="1370"/>
      <c r="BH41" s="1375" t="s">
        <v>1991</v>
      </c>
    </row>
    <row s="1834" customFormat="1" customHeight="1" ht="14.625" hidden="1">
      <c r="A42" s="1370"/>
      <c r="B42" s="1370">
        <f>InvestmentSources_is_one_block="да"</f>
        <v>0</v>
      </c>
      <c r="C42" s="1370"/>
      <c r="D42" s="1370"/>
      <c r="E42" s="1373">
        <v>15</v>
      </c>
      <c r="F42" s="1175"/>
      <c r="G42" s="1370"/>
      <c r="H42" s="1370" t="s">
        <v>2071</v>
      </c>
      <c r="I42" s="1461"/>
      <c r="J42" s="1461"/>
      <c r="K42" s="1461"/>
      <c r="L42" s="1461"/>
      <c r="M42" s="1461"/>
      <c r="N42" s="1461"/>
      <c r="O42" s="1461"/>
      <c r="P42" s="1461"/>
      <c r="Q42" s="1461"/>
      <c r="R42" s="1461"/>
      <c r="S42" s="1461"/>
      <c r="T42" s="1462"/>
      <c r="U42" s="1461"/>
      <c r="V42" s="1461"/>
      <c r="W42" s="1461"/>
      <c r="X42" s="1463"/>
      <c r="Y42" s="1461"/>
      <c r="Z42" s="1464"/>
      <c r="AA42" s="1461"/>
      <c r="AB42" s="807" t="s">
        <v>2072</v>
      </c>
      <c r="AC42" s="883" t="s">
        <v>2073</v>
      </c>
      <c r="AD42" s="1394" t="s">
        <v>1514</v>
      </c>
      <c r="AE42" s="3640"/>
      <c r="AF42" s="3640"/>
      <c r="AG42" s="3640"/>
      <c r="AH42" s="3640"/>
      <c r="AI42" s="3640"/>
      <c r="AJ42" s="3640"/>
      <c r="AK42" s="3640"/>
      <c r="AL42" s="3640"/>
      <c r="AM42" s="3640"/>
      <c r="AN42" s="3640"/>
      <c r="AO42" s="3640"/>
      <c r="AP42" s="3640"/>
      <c r="AQ42" s="3640"/>
      <c r="AR42" s="3640"/>
      <c r="AS42" s="3640"/>
      <c r="AT42" s="3640"/>
      <c r="AU42" s="3640"/>
      <c r="AV42" s="3640"/>
      <c r="AW42" s="3640"/>
      <c r="AX42" s="3640"/>
      <c r="AY42" s="3640"/>
      <c r="AZ42" s="3640"/>
      <c r="BA42" s="3640"/>
      <c r="BB42" s="3640"/>
      <c r="BC42" s="3640"/>
      <c r="BD42" s="3640"/>
      <c r="BE42" s="5154"/>
      <c r="BF42" s="1370"/>
      <c r="BG42" s="1370"/>
      <c r="BH42" s="1375" t="s">
        <v>2074</v>
      </c>
    </row>
    <row s="1834" customFormat="1" customHeight="1" ht="14.625" hidden="1">
      <c r="A43" s="1370"/>
      <c r="B43" s="1370">
        <f>InvestmentSources_is_one_block="да"</f>
        <v>0</v>
      </c>
      <c r="C43" s="1370"/>
      <c r="D43" s="1370"/>
      <c r="E43" s="1373">
        <v>15</v>
      </c>
      <c r="F43" s="1175"/>
      <c r="G43" s="1370"/>
      <c r="H43" s="1370" t="s">
        <v>2075</v>
      </c>
      <c r="I43" s="1461"/>
      <c r="J43" s="1461"/>
      <c r="K43" s="1461"/>
      <c r="L43" s="1461"/>
      <c r="M43" s="1461"/>
      <c r="N43" s="1461"/>
      <c r="O43" s="1461"/>
      <c r="P43" s="1461"/>
      <c r="Q43" s="1461"/>
      <c r="R43" s="1461"/>
      <c r="S43" s="1461"/>
      <c r="T43" s="1462"/>
      <c r="U43" s="1461"/>
      <c r="V43" s="1461"/>
      <c r="W43" s="1461"/>
      <c r="X43" s="1463"/>
      <c r="Y43" s="1461"/>
      <c r="Z43" s="1464"/>
      <c r="AA43" s="1461"/>
      <c r="AB43" s="807" t="s">
        <v>2076</v>
      </c>
      <c r="AC43" s="883" t="s">
        <v>2077</v>
      </c>
      <c r="AD43" s="1394" t="s">
        <v>1514</v>
      </c>
      <c r="AE43" s="3640"/>
      <c r="AF43" s="3640"/>
      <c r="AG43" s="3640"/>
      <c r="AH43" s="3640"/>
      <c r="AI43" s="3640"/>
      <c r="AJ43" s="3640"/>
      <c r="AK43" s="3640"/>
      <c r="AL43" s="3640"/>
      <c r="AM43" s="3640"/>
      <c r="AN43" s="3640"/>
      <c r="AO43" s="3640"/>
      <c r="AP43" s="3640"/>
      <c r="AQ43" s="3640"/>
      <c r="AR43" s="3640"/>
      <c r="AS43" s="3640"/>
      <c r="AT43" s="3640"/>
      <c r="AU43" s="3640"/>
      <c r="AV43" s="3640"/>
      <c r="AW43" s="3640"/>
      <c r="AX43" s="3640"/>
      <c r="AY43" s="3640"/>
      <c r="AZ43" s="3640"/>
      <c r="BA43" s="3640"/>
      <c r="BB43" s="3640"/>
      <c r="BC43" s="3640"/>
      <c r="BD43" s="3640"/>
      <c r="BE43" s="5154"/>
      <c r="BF43" s="1370"/>
      <c r="BG43" s="1370"/>
      <c r="BH43" s="1375" t="s">
        <v>2078</v>
      </c>
    </row>
    <row s="1834" customFormat="1" customHeight="1" ht="14.625" hidden="1">
      <c r="A44" s="1370"/>
      <c r="B44" s="1370">
        <f>InvestmentSources_is_one_block="да"</f>
        <v>0</v>
      </c>
      <c r="C44" s="1370"/>
      <c r="D44" s="1370"/>
      <c r="E44" s="1373">
        <v>15</v>
      </c>
      <c r="F44" s="1175"/>
      <c r="G44" s="1370"/>
      <c r="H44" s="1370" t="s">
        <v>1182</v>
      </c>
      <c r="I44" s="1461"/>
      <c r="J44" s="1461"/>
      <c r="K44" s="1461"/>
      <c r="L44" s="1461"/>
      <c r="M44" s="1461"/>
      <c r="N44" s="1461"/>
      <c r="O44" s="1461"/>
      <c r="P44" s="1461"/>
      <c r="Q44" s="1461"/>
      <c r="R44" s="1461"/>
      <c r="S44" s="1461"/>
      <c r="T44" s="1462"/>
      <c r="U44" s="1461"/>
      <c r="V44" s="1461"/>
      <c r="W44" s="1461"/>
      <c r="X44" s="1463"/>
      <c r="Y44" s="1461"/>
      <c r="Z44" s="1464"/>
      <c r="AA44" s="1461"/>
      <c r="AB44" s="807" t="s">
        <v>1634</v>
      </c>
      <c r="AC44" s="1111" t="s">
        <v>2079</v>
      </c>
      <c r="AD44" s="1394" t="s">
        <v>1514</v>
      </c>
      <c r="AE44" s="1116">
        <f>AE45+AE46+AE47</f>
        <v>0</v>
      </c>
      <c r="AF44" s="1116">
        <f>AF45+AF46+AF47</f>
        <v>0</v>
      </c>
      <c r="AG44" s="1116">
        <f>AG45+AG46+AG47</f>
        <v>0</v>
      </c>
      <c r="AH44" s="1116">
        <f>AH45+AH46+AH47</f>
        <v>0</v>
      </c>
      <c r="AI44" s="1116">
        <f>AI45+AI46+AI47</f>
        <v>0</v>
      </c>
      <c r="AJ44" s="1116">
        <f>AJ45+AJ46+AJ47</f>
        <v>0</v>
      </c>
      <c r="AK44" s="1116">
        <f>AK45+AK46+AK47</f>
        <v>0</v>
      </c>
      <c r="AL44" s="1116">
        <f>AL45+AL46+AL47</f>
        <v>0</v>
      </c>
      <c r="AM44" s="1116">
        <f>AM45+AM46+AM47</f>
        <v>0</v>
      </c>
      <c r="AN44" s="1116">
        <f>AN45+AN46+AN47</f>
        <v>0</v>
      </c>
      <c r="AO44" s="1116">
        <f>AO45+AO46+AO47</f>
        <v>0</v>
      </c>
      <c r="AP44" s="1116">
        <f>AP45+AP46+AP47</f>
        <v>0</v>
      </c>
      <c r="AQ44" s="1116">
        <f>AQ45+AQ46+AQ47</f>
        <v>0</v>
      </c>
      <c r="AR44" s="1116">
        <f>AR45+AR46+AR47</f>
        <v>0</v>
      </c>
      <c r="AS44" s="1116">
        <f>AS45+AS46+AS47</f>
        <v>0</v>
      </c>
      <c r="AT44" s="1116">
        <f>AT45+AT46+AT47</f>
        <v>0</v>
      </c>
      <c r="AU44" s="1116">
        <f>AU45+AU46+AU47</f>
        <v>0</v>
      </c>
      <c r="AV44" s="1116">
        <f>AV45+AV46+AV47</f>
        <v>0</v>
      </c>
      <c r="AW44" s="1116">
        <f>AW45+AW46+AW47</f>
        <v>0</v>
      </c>
      <c r="AX44" s="1116">
        <f>AX45+AX46+AX47</f>
        <v>0</v>
      </c>
      <c r="AY44" s="1116">
        <f>AY45+AY46+AY47</f>
        <v>0</v>
      </c>
      <c r="AZ44" s="1116">
        <f>AZ45+AZ46+AZ47</f>
        <v>0</v>
      </c>
      <c r="BA44" s="1116">
        <f>BA45+BA46+BA47</f>
        <v>0</v>
      </c>
      <c r="BB44" s="1116">
        <f>BB45+BB46+BB47</f>
        <v>0</v>
      </c>
      <c r="BC44" s="1116">
        <f>BC45+BC46+BC47</f>
        <v>0</v>
      </c>
      <c r="BD44" s="1116">
        <f>BD45+BD46+BD47</f>
        <v>0</v>
      </c>
      <c r="BE44" s="5154"/>
      <c r="BF44" s="1370"/>
      <c r="BG44" s="1370"/>
      <c r="BH44" s="1375" t="s">
        <v>2080</v>
      </c>
    </row>
    <row s="1834" customFormat="1" customHeight="1" ht="14.625" hidden="1">
      <c r="A45" s="1370"/>
      <c r="B45" s="1370">
        <f>InvestmentSources_is_one_block="да"</f>
        <v>0</v>
      </c>
      <c r="C45" s="1370"/>
      <c r="D45" s="1370"/>
      <c r="E45" s="1373">
        <v>15</v>
      </c>
      <c r="F45" s="1175"/>
      <c r="G45" s="1370"/>
      <c r="H45" s="1370" t="s">
        <v>2081</v>
      </c>
      <c r="I45" s="1461"/>
      <c r="J45" s="1461"/>
      <c r="K45" s="1461"/>
      <c r="L45" s="1461"/>
      <c r="M45" s="1461"/>
      <c r="N45" s="1461"/>
      <c r="O45" s="1461"/>
      <c r="P45" s="1461"/>
      <c r="Q45" s="1461"/>
      <c r="R45" s="1461"/>
      <c r="S45" s="1461"/>
      <c r="T45" s="1462"/>
      <c r="U45" s="1461"/>
      <c r="V45" s="1461"/>
      <c r="W45" s="1461"/>
      <c r="X45" s="1463"/>
      <c r="Y45" s="1461"/>
      <c r="Z45" s="1464"/>
      <c r="AA45" s="1461"/>
      <c r="AB45" s="807" t="s">
        <v>2082</v>
      </c>
      <c r="AC45" s="883" t="s">
        <v>2083</v>
      </c>
      <c r="AD45" s="1394" t="s">
        <v>1514</v>
      </c>
      <c r="AE45" s="3640"/>
      <c r="AF45" s="3640"/>
      <c r="AG45" s="3640"/>
      <c r="AH45" s="3640"/>
      <c r="AI45" s="3640"/>
      <c r="AJ45" s="3640"/>
      <c r="AK45" s="3640"/>
      <c r="AL45" s="3640"/>
      <c r="AM45" s="3640"/>
      <c r="AN45" s="3640"/>
      <c r="AO45" s="3640"/>
      <c r="AP45" s="3640"/>
      <c r="AQ45" s="3640"/>
      <c r="AR45" s="3640"/>
      <c r="AS45" s="3640"/>
      <c r="AT45" s="3640"/>
      <c r="AU45" s="3640"/>
      <c r="AV45" s="3640"/>
      <c r="AW45" s="3640"/>
      <c r="AX45" s="3640"/>
      <c r="AY45" s="3640"/>
      <c r="AZ45" s="3640"/>
      <c r="BA45" s="3640"/>
      <c r="BB45" s="3640"/>
      <c r="BC45" s="3640"/>
      <c r="BD45" s="3640"/>
      <c r="BE45" s="5154"/>
      <c r="BF45" s="1370"/>
      <c r="BG45" s="1370"/>
      <c r="BH45" s="1375" t="s">
        <v>2084</v>
      </c>
    </row>
    <row s="1834" customFormat="1" customHeight="1" ht="14.625" hidden="1">
      <c r="A46" s="1370"/>
      <c r="B46" s="1370">
        <f>InvestmentSources_is_one_block="да"</f>
        <v>0</v>
      </c>
      <c r="C46" s="1370"/>
      <c r="D46" s="1370"/>
      <c r="E46" s="1373">
        <v>15</v>
      </c>
      <c r="F46" s="1175"/>
      <c r="G46" s="1370"/>
      <c r="H46" s="1370" t="s">
        <v>2085</v>
      </c>
      <c r="I46" s="1461"/>
      <c r="J46" s="1461"/>
      <c r="K46" s="1461"/>
      <c r="L46" s="1461"/>
      <c r="M46" s="1461"/>
      <c r="N46" s="1461"/>
      <c r="O46" s="1461"/>
      <c r="P46" s="1461"/>
      <c r="Q46" s="1461"/>
      <c r="R46" s="1461"/>
      <c r="S46" s="1461"/>
      <c r="T46" s="1462"/>
      <c r="U46" s="1461"/>
      <c r="V46" s="1461"/>
      <c r="W46" s="1461"/>
      <c r="X46" s="1463"/>
      <c r="Y46" s="1461"/>
      <c r="Z46" s="1464"/>
      <c r="AA46" s="1461"/>
      <c r="AB46" s="807" t="s">
        <v>2086</v>
      </c>
      <c r="AC46" s="883" t="s">
        <v>2087</v>
      </c>
      <c r="AD46" s="1394" t="s">
        <v>1514</v>
      </c>
      <c r="AE46" s="3640"/>
      <c r="AF46" s="3640"/>
      <c r="AG46" s="3640"/>
      <c r="AH46" s="3640"/>
      <c r="AI46" s="3640"/>
      <c r="AJ46" s="3640"/>
      <c r="AK46" s="3640"/>
      <c r="AL46" s="3640"/>
      <c r="AM46" s="3640"/>
      <c r="AN46" s="3640"/>
      <c r="AO46" s="3640"/>
      <c r="AP46" s="3640"/>
      <c r="AQ46" s="3640"/>
      <c r="AR46" s="3640"/>
      <c r="AS46" s="3640"/>
      <c r="AT46" s="3640"/>
      <c r="AU46" s="3640"/>
      <c r="AV46" s="3640"/>
      <c r="AW46" s="3640"/>
      <c r="AX46" s="3640"/>
      <c r="AY46" s="3640"/>
      <c r="AZ46" s="3640"/>
      <c r="BA46" s="3640"/>
      <c r="BB46" s="3640"/>
      <c r="BC46" s="3640"/>
      <c r="BD46" s="3640"/>
      <c r="BE46" s="5154"/>
      <c r="BF46" s="1370"/>
      <c r="BG46" s="1370"/>
      <c r="BH46" s="1375" t="s">
        <v>2088</v>
      </c>
    </row>
    <row s="1834" customFormat="1" customHeight="1" ht="14.625" hidden="1">
      <c r="A47" s="1370"/>
      <c r="B47" s="1370">
        <f>InvestmentSources_is_one_block="да"</f>
        <v>0</v>
      </c>
      <c r="C47" s="1370"/>
      <c r="D47" s="1370"/>
      <c r="E47" s="1373">
        <v>15</v>
      </c>
      <c r="F47" s="1175"/>
      <c r="G47" s="1370"/>
      <c r="H47" s="1370" t="s">
        <v>2089</v>
      </c>
      <c r="I47" s="1461"/>
      <c r="J47" s="1461"/>
      <c r="K47" s="1461"/>
      <c r="L47" s="1461"/>
      <c r="M47" s="1461"/>
      <c r="N47" s="1461"/>
      <c r="O47" s="1461"/>
      <c r="P47" s="1461"/>
      <c r="Q47" s="1461"/>
      <c r="R47" s="1461"/>
      <c r="S47" s="1461"/>
      <c r="T47" s="1462"/>
      <c r="U47" s="1461"/>
      <c r="V47" s="1461"/>
      <c r="W47" s="1461"/>
      <c r="X47" s="1463"/>
      <c r="Y47" s="1461"/>
      <c r="Z47" s="1464"/>
      <c r="AA47" s="1461"/>
      <c r="AB47" s="807" t="s">
        <v>2090</v>
      </c>
      <c r="AC47" s="883" t="s">
        <v>2091</v>
      </c>
      <c r="AD47" s="1394" t="s">
        <v>1514</v>
      </c>
      <c r="AE47" s="3640"/>
      <c r="AF47" s="3640"/>
      <c r="AG47" s="3640"/>
      <c r="AH47" s="3640"/>
      <c r="AI47" s="3640"/>
      <c r="AJ47" s="3640"/>
      <c r="AK47" s="3640"/>
      <c r="AL47" s="3640"/>
      <c r="AM47" s="3640"/>
      <c r="AN47" s="3640"/>
      <c r="AO47" s="3640"/>
      <c r="AP47" s="3640"/>
      <c r="AQ47" s="3640"/>
      <c r="AR47" s="3640"/>
      <c r="AS47" s="3640"/>
      <c r="AT47" s="3640"/>
      <c r="AU47" s="3640"/>
      <c r="AV47" s="3640"/>
      <c r="AW47" s="3640"/>
      <c r="AX47" s="3640"/>
      <c r="AY47" s="3640"/>
      <c r="AZ47" s="3640"/>
      <c r="BA47" s="3640"/>
      <c r="BB47" s="3640"/>
      <c r="BC47" s="3640"/>
      <c r="BD47" s="3640"/>
      <c r="BE47" s="5154"/>
      <c r="BF47" s="1370"/>
      <c r="BG47" s="1370"/>
      <c r="BH47" s="1375" t="s">
        <v>2092</v>
      </c>
    </row>
    <row s="1834" customFormat="1" customHeight="1" ht="14.625" hidden="1">
      <c r="A48" s="1370"/>
      <c r="B48" s="1370">
        <f>InvestmentSources_is_one_block="да"</f>
        <v>0</v>
      </c>
      <c r="C48" s="1370"/>
      <c r="D48" s="1370"/>
      <c r="E48" s="1373">
        <v>15</v>
      </c>
      <c r="F48" s="1175"/>
      <c r="G48" s="1370"/>
      <c r="H48" s="1370" t="s">
        <v>1186</v>
      </c>
      <c r="I48" s="1461"/>
      <c r="J48" s="1461"/>
      <c r="K48" s="1461"/>
      <c r="L48" s="1461"/>
      <c r="M48" s="1461"/>
      <c r="N48" s="1461"/>
      <c r="O48" s="1461"/>
      <c r="P48" s="1461"/>
      <c r="Q48" s="1461"/>
      <c r="R48" s="1461"/>
      <c r="S48" s="1461"/>
      <c r="T48" s="1462"/>
      <c r="U48" s="1461"/>
      <c r="V48" s="1461"/>
      <c r="W48" s="1461"/>
      <c r="X48" s="1463"/>
      <c r="Y48" s="1461"/>
      <c r="Z48" s="1464"/>
      <c r="AA48" s="1461"/>
      <c r="AB48" s="807" t="s">
        <v>1637</v>
      </c>
      <c r="AC48" s="1111" t="s">
        <v>2093</v>
      </c>
      <c r="AD48" s="1394" t="s">
        <v>1514</v>
      </c>
      <c r="AE48" s="1116">
        <f>AE49+AE50+AE51+AE52</f>
        <v>0</v>
      </c>
      <c r="AF48" s="1116">
        <f>AF49+AF50+AF51+AF52</f>
        <v>0</v>
      </c>
      <c r="AG48" s="1116">
        <f>AG49+AG50+AG51+AG52</f>
        <v>0</v>
      </c>
      <c r="AH48" s="1116">
        <f>AH49+AH50+AH51+AH52</f>
        <v>0</v>
      </c>
      <c r="AI48" s="1116">
        <f>AI49+AI50+AI51+AI52</f>
        <v>0</v>
      </c>
      <c r="AJ48" s="1116">
        <f>AJ49+AJ50+AJ51+AJ52</f>
        <v>0</v>
      </c>
      <c r="AK48" s="1116">
        <f>AK49+AK50+AK51+AK52</f>
        <v>0</v>
      </c>
      <c r="AL48" s="1116">
        <f>AL49+AL50+AL51+AL52</f>
        <v>0</v>
      </c>
      <c r="AM48" s="1116">
        <f>AM49+AM50+AM51+AM52</f>
        <v>0</v>
      </c>
      <c r="AN48" s="1116">
        <f>AN49+AN50+AN51+AN52</f>
        <v>0</v>
      </c>
      <c r="AO48" s="1116">
        <f>AO49+AO50+AO51+AO52</f>
        <v>0</v>
      </c>
      <c r="AP48" s="1116">
        <f>AP49+AP50+AP51+AP52</f>
        <v>0</v>
      </c>
      <c r="AQ48" s="1116">
        <f>AQ49+AQ50+AQ51+AQ52</f>
        <v>0</v>
      </c>
      <c r="AR48" s="1116">
        <f>AR49+AR50+AR51+AR52</f>
        <v>0</v>
      </c>
      <c r="AS48" s="1116">
        <f>AS49+AS50+AS51+AS52</f>
        <v>0</v>
      </c>
      <c r="AT48" s="1116">
        <f>AT49+AT50+AT51+AT52</f>
        <v>0</v>
      </c>
      <c r="AU48" s="1116">
        <f>AU49+AU50+AU51+AU52</f>
        <v>0</v>
      </c>
      <c r="AV48" s="1116">
        <f>AV49+AV50+AV51+AV52</f>
        <v>0</v>
      </c>
      <c r="AW48" s="1116">
        <f>AW49+AW50+AW51+AW52</f>
        <v>0</v>
      </c>
      <c r="AX48" s="1116">
        <f>AX49+AX50+AX51+AX52</f>
        <v>0</v>
      </c>
      <c r="AY48" s="1116">
        <f>AY49+AY50+AY51+AY52</f>
        <v>0</v>
      </c>
      <c r="AZ48" s="1116">
        <f>AZ49+AZ50+AZ51+AZ52</f>
        <v>0</v>
      </c>
      <c r="BA48" s="1116">
        <f>BA49+BA50+BA51+BA52</f>
        <v>0</v>
      </c>
      <c r="BB48" s="1116">
        <f>BB49+BB50+BB51+BB52</f>
        <v>0</v>
      </c>
      <c r="BC48" s="1116">
        <f>BC49+BC50+BC51+BC52</f>
        <v>0</v>
      </c>
      <c r="BD48" s="1116">
        <f>BD49+BD50+BD51+BD52</f>
        <v>0</v>
      </c>
      <c r="BE48" s="5154"/>
      <c r="BF48" s="1370"/>
      <c r="BG48" s="1370"/>
      <c r="BH48" s="1375" t="s">
        <v>2094</v>
      </c>
    </row>
    <row s="1834" customFormat="1" customHeight="1" ht="14.625" hidden="1">
      <c r="A49" s="1370"/>
      <c r="B49" s="1370">
        <f>InvestmentSources_is_one_block="да"</f>
        <v>0</v>
      </c>
      <c r="C49" s="1370"/>
      <c r="D49" s="1370"/>
      <c r="E49" s="1373">
        <v>15</v>
      </c>
      <c r="F49" s="1175"/>
      <c r="G49" s="1370"/>
      <c r="H49" s="1370" t="s">
        <v>2095</v>
      </c>
      <c r="I49" s="1461"/>
      <c r="J49" s="1461"/>
      <c r="K49" s="1461"/>
      <c r="L49" s="1461"/>
      <c r="M49" s="1461"/>
      <c r="N49" s="1461"/>
      <c r="O49" s="1461"/>
      <c r="P49" s="1461"/>
      <c r="Q49" s="1461"/>
      <c r="R49" s="1461"/>
      <c r="S49" s="1461"/>
      <c r="T49" s="1462"/>
      <c r="U49" s="1461"/>
      <c r="V49" s="1461"/>
      <c r="W49" s="1461"/>
      <c r="X49" s="1463"/>
      <c r="Y49" s="1461"/>
      <c r="Z49" s="1464"/>
      <c r="AA49" s="1461"/>
      <c r="AB49" s="807" t="s">
        <v>1752</v>
      </c>
      <c r="AC49" s="883" t="s">
        <v>1746</v>
      </c>
      <c r="AD49" s="1394" t="s">
        <v>1514</v>
      </c>
      <c r="AE49" s="3640"/>
      <c r="AF49" s="3640"/>
      <c r="AG49" s="3640"/>
      <c r="AH49" s="3640"/>
      <c r="AI49" s="3640"/>
      <c r="AJ49" s="3640"/>
      <c r="AK49" s="3640"/>
      <c r="AL49" s="3640"/>
      <c r="AM49" s="3640"/>
      <c r="AN49" s="3640"/>
      <c r="AO49" s="3640"/>
      <c r="AP49" s="3640"/>
      <c r="AQ49" s="3640"/>
      <c r="AR49" s="3640"/>
      <c r="AS49" s="3640"/>
      <c r="AT49" s="3640"/>
      <c r="AU49" s="3640"/>
      <c r="AV49" s="3640"/>
      <c r="AW49" s="3640"/>
      <c r="AX49" s="3640"/>
      <c r="AY49" s="3640"/>
      <c r="AZ49" s="3640"/>
      <c r="BA49" s="3640"/>
      <c r="BB49" s="3640"/>
      <c r="BC49" s="3640"/>
      <c r="BD49" s="3640"/>
      <c r="BE49" s="5154"/>
      <c r="BF49" s="1370"/>
      <c r="BG49" s="1370"/>
      <c r="BH49" s="1375" t="s">
        <v>1748</v>
      </c>
    </row>
    <row s="1834" customFormat="1" customHeight="1" ht="21.9375" hidden="1">
      <c r="A50" s="1370"/>
      <c r="B50" s="1370">
        <f>InvestmentSources_is_one_block="да"</f>
        <v>0</v>
      </c>
      <c r="C50" s="1370"/>
      <c r="D50" s="1370"/>
      <c r="E50" s="1373">
        <v>22.5</v>
      </c>
      <c r="F50" s="1175"/>
      <c r="G50" s="1370"/>
      <c r="H50" s="1370" t="s">
        <v>2096</v>
      </c>
      <c r="I50" s="1461"/>
      <c r="J50" s="1461"/>
      <c r="K50" s="1461"/>
      <c r="L50" s="1461"/>
      <c r="M50" s="1461"/>
      <c r="N50" s="1461"/>
      <c r="O50" s="1461"/>
      <c r="P50" s="1461"/>
      <c r="Q50" s="1461"/>
      <c r="R50" s="1461"/>
      <c r="S50" s="1461"/>
      <c r="T50" s="1462"/>
      <c r="U50" s="1461"/>
      <c r="V50" s="1461"/>
      <c r="W50" s="1461"/>
      <c r="X50" s="1463"/>
      <c r="Y50" s="1461"/>
      <c r="Z50" s="1464"/>
      <c r="AA50" s="1461"/>
      <c r="AB50" s="807" t="s">
        <v>1755</v>
      </c>
      <c r="AC50" s="883" t="s">
        <v>2097</v>
      </c>
      <c r="AD50" s="1394" t="s">
        <v>1514</v>
      </c>
      <c r="AE50" s="3640"/>
      <c r="AF50" s="3640"/>
      <c r="AG50" s="3640"/>
      <c r="AH50" s="3640"/>
      <c r="AI50" s="3640"/>
      <c r="AJ50" s="3640"/>
      <c r="AK50" s="3640"/>
      <c r="AL50" s="3640"/>
      <c r="AM50" s="3640"/>
      <c r="AN50" s="3640"/>
      <c r="AO50" s="3640"/>
      <c r="AP50" s="3640"/>
      <c r="AQ50" s="3640"/>
      <c r="AR50" s="3640"/>
      <c r="AS50" s="3640"/>
      <c r="AT50" s="3640"/>
      <c r="AU50" s="3640"/>
      <c r="AV50" s="3640"/>
      <c r="AW50" s="3640"/>
      <c r="AX50" s="3640"/>
      <c r="AY50" s="3640"/>
      <c r="AZ50" s="3640"/>
      <c r="BA50" s="3640"/>
      <c r="BB50" s="3640"/>
      <c r="BC50" s="3640"/>
      <c r="BD50" s="3640"/>
      <c r="BE50" s="5154"/>
      <c r="BF50" s="1370"/>
      <c r="BG50" s="1370"/>
      <c r="BH50" s="1375" t="s">
        <v>2098</v>
      </c>
    </row>
    <row s="1834" customFormat="1" customHeight="1" ht="21.9375" hidden="1">
      <c r="A51" s="1370"/>
      <c r="B51" s="1370">
        <f>InvestmentSources_is_one_block="да"</f>
        <v>0</v>
      </c>
      <c r="C51" s="1370"/>
      <c r="D51" s="1370"/>
      <c r="E51" s="1373">
        <v>22.5</v>
      </c>
      <c r="F51" s="1175"/>
      <c r="G51" s="1370"/>
      <c r="H51" s="1370" t="s">
        <v>2099</v>
      </c>
      <c r="I51" s="1461"/>
      <c r="J51" s="1461"/>
      <c r="K51" s="1461"/>
      <c r="L51" s="1461"/>
      <c r="M51" s="1461"/>
      <c r="N51" s="1461"/>
      <c r="O51" s="1461"/>
      <c r="P51" s="1461"/>
      <c r="Q51" s="1461"/>
      <c r="R51" s="1461"/>
      <c r="S51" s="1461"/>
      <c r="T51" s="1462"/>
      <c r="U51" s="1461"/>
      <c r="V51" s="1461"/>
      <c r="W51" s="1461"/>
      <c r="X51" s="1463"/>
      <c r="Y51" s="1461"/>
      <c r="Z51" s="1464"/>
      <c r="AA51" s="1461"/>
      <c r="AB51" s="807" t="s">
        <v>2100</v>
      </c>
      <c r="AC51" s="883" t="s">
        <v>2101</v>
      </c>
      <c r="AD51" s="1394" t="s">
        <v>1514</v>
      </c>
      <c r="AE51" s="3640"/>
      <c r="AF51" s="3640"/>
      <c r="AG51" s="3640"/>
      <c r="AH51" s="3640"/>
      <c r="AI51" s="3640"/>
      <c r="AJ51" s="3640"/>
      <c r="AK51" s="3640"/>
      <c r="AL51" s="3640"/>
      <c r="AM51" s="3640"/>
      <c r="AN51" s="3640"/>
      <c r="AO51" s="3640"/>
      <c r="AP51" s="3640"/>
      <c r="AQ51" s="3640"/>
      <c r="AR51" s="3640"/>
      <c r="AS51" s="3640"/>
      <c r="AT51" s="3640"/>
      <c r="AU51" s="3640"/>
      <c r="AV51" s="3640"/>
      <c r="AW51" s="3640"/>
      <c r="AX51" s="3640"/>
      <c r="AY51" s="3640"/>
      <c r="AZ51" s="3640"/>
      <c r="BA51" s="3640"/>
      <c r="BB51" s="3640"/>
      <c r="BC51" s="3640"/>
      <c r="BD51" s="3640"/>
      <c r="BE51" s="5154"/>
      <c r="BF51" s="1370"/>
      <c r="BG51" s="1370"/>
      <c r="BH51" s="1375" t="s">
        <v>2102</v>
      </c>
    </row>
    <row s="1834" customFormat="1" customHeight="1" ht="14.625" hidden="1">
      <c r="A52" s="1370"/>
      <c r="B52" s="1370">
        <f>InvestmentSources_is_one_block="да"</f>
        <v>0</v>
      </c>
      <c r="C52" s="1370"/>
      <c r="D52" s="1370"/>
      <c r="E52" s="1373">
        <v>15</v>
      </c>
      <c r="F52" s="1175"/>
      <c r="G52" s="1370"/>
      <c r="H52" s="1370" t="s">
        <v>2103</v>
      </c>
      <c r="I52" s="1461"/>
      <c r="J52" s="1461"/>
      <c r="K52" s="1461"/>
      <c r="L52" s="1461"/>
      <c r="M52" s="1461"/>
      <c r="N52" s="1461"/>
      <c r="O52" s="1461"/>
      <c r="P52" s="1461"/>
      <c r="Q52" s="1461"/>
      <c r="R52" s="1461"/>
      <c r="S52" s="1461"/>
      <c r="T52" s="1462"/>
      <c r="U52" s="1461"/>
      <c r="V52" s="1461"/>
      <c r="W52" s="1461"/>
      <c r="X52" s="1463"/>
      <c r="Y52" s="1461"/>
      <c r="Z52" s="1464"/>
      <c r="AA52" s="1461"/>
      <c r="AB52" s="807" t="s">
        <v>2104</v>
      </c>
      <c r="AC52" s="883" t="s">
        <v>2105</v>
      </c>
      <c r="AD52" s="1394" t="s">
        <v>1514</v>
      </c>
      <c r="AE52" s="3640"/>
      <c r="AF52" s="3640"/>
      <c r="AG52" s="3640"/>
      <c r="AH52" s="3640"/>
      <c r="AI52" s="3640"/>
      <c r="AJ52" s="3640"/>
      <c r="AK52" s="3640"/>
      <c r="AL52" s="3640"/>
      <c r="AM52" s="3640"/>
      <c r="AN52" s="3640"/>
      <c r="AO52" s="3640"/>
      <c r="AP52" s="3640"/>
      <c r="AQ52" s="3640"/>
      <c r="AR52" s="3640"/>
      <c r="AS52" s="3640"/>
      <c r="AT52" s="3640"/>
      <c r="AU52" s="3640"/>
      <c r="AV52" s="3640"/>
      <c r="AW52" s="3640"/>
      <c r="AX52" s="3640"/>
      <c r="AY52" s="3640"/>
      <c r="AZ52" s="3640"/>
      <c r="BA52" s="3640"/>
      <c r="BB52" s="3640"/>
      <c r="BC52" s="3640"/>
      <c r="BD52" s="3640"/>
      <c r="BE52" s="5154"/>
      <c r="BF52" s="1370"/>
      <c r="BG52" s="1370"/>
      <c r="BH52" s="1375" t="s">
        <v>2106</v>
      </c>
    </row>
    <row s="1469" customFormat="1" customHeight="1" ht="21.9375" hidden="1">
      <c r="A53" s="698"/>
      <c r="B53" s="1370">
        <f>InvestmentSources_is_one_block="да"</f>
        <v>0</v>
      </c>
      <c r="C53" s="698"/>
      <c r="D53" s="698"/>
      <c r="E53" s="691">
        <v>22.5</v>
      </c>
      <c r="F53" s="50"/>
      <c r="G53" s="1370"/>
      <c r="H53" s="1370" t="s">
        <v>333</v>
      </c>
      <c r="I53" s="1466"/>
      <c r="J53" s="1466"/>
      <c r="K53" s="1466"/>
      <c r="L53" s="1466"/>
      <c r="M53" s="1466"/>
      <c r="N53" s="1466"/>
      <c r="O53" s="1466"/>
      <c r="P53" s="1466"/>
      <c r="Q53" s="1466"/>
      <c r="R53" s="1466"/>
      <c r="S53" s="1466"/>
      <c r="T53" s="1462"/>
      <c r="U53" s="1466"/>
      <c r="V53" s="1466"/>
      <c r="W53" s="1466"/>
      <c r="X53" s="1463"/>
      <c r="Y53" s="1466"/>
      <c r="Z53" s="1464"/>
      <c r="AA53" s="1466"/>
      <c r="AB53" s="804" t="s">
        <v>285</v>
      </c>
      <c r="AC53" s="800" t="s">
        <v>2107</v>
      </c>
      <c r="AD53" s="812" t="s">
        <v>1514</v>
      </c>
      <c r="AE53" s="1365">
        <f>AE54+AE55+AE56</f>
        <v>0</v>
      </c>
      <c r="AF53" s="1365">
        <f>AF54+AF55+AF56</f>
        <v>0</v>
      </c>
      <c r="AG53" s="1365">
        <f>AG54+AG55+AG56</f>
        <v>0</v>
      </c>
      <c r="AH53" s="1365">
        <f>AH54+AH55+AH56</f>
        <v>0</v>
      </c>
      <c r="AI53" s="1365">
        <f>AI54+AI55+AI56</f>
        <v>0</v>
      </c>
      <c r="AJ53" s="1365">
        <f>AJ54+AJ55+AJ56</f>
        <v>0</v>
      </c>
      <c r="AK53" s="1365">
        <f>AK54+AK55+AK56</f>
        <v>0</v>
      </c>
      <c r="AL53" s="1365">
        <f>AL54+AL55+AL56</f>
        <v>0</v>
      </c>
      <c r="AM53" s="1365">
        <f>AM54+AM55+AM56</f>
        <v>0</v>
      </c>
      <c r="AN53" s="1365">
        <f>AN54+AN55+AN56</f>
        <v>0</v>
      </c>
      <c r="AO53" s="1365">
        <f>AO54+AO55+AO56</f>
        <v>0</v>
      </c>
      <c r="AP53" s="1365">
        <f>AP54+AP55+AP56</f>
        <v>0</v>
      </c>
      <c r="AQ53" s="1365">
        <f>AQ54+AQ55+AQ56</f>
        <v>0</v>
      </c>
      <c r="AR53" s="1365">
        <f>AR54+AR55+AR56</f>
        <v>0</v>
      </c>
      <c r="AS53" s="1365">
        <f>AS54+AS55+AS56</f>
        <v>0</v>
      </c>
      <c r="AT53" s="1365">
        <f>AT54+AT55+AT56</f>
        <v>0</v>
      </c>
      <c r="AU53" s="1365">
        <f>AU54+AU55+AU56</f>
        <v>0</v>
      </c>
      <c r="AV53" s="1365">
        <f>AV54+AV55+AV56</f>
        <v>0</v>
      </c>
      <c r="AW53" s="1365">
        <f>AW54+AW55+AW56</f>
        <v>0</v>
      </c>
      <c r="AX53" s="1365">
        <f>AX54+AX55+AX56</f>
        <v>0</v>
      </c>
      <c r="AY53" s="1365">
        <f>AY54+AY55+AY56</f>
        <v>0</v>
      </c>
      <c r="AZ53" s="1365">
        <f>AZ54+AZ55+AZ56</f>
        <v>0</v>
      </c>
      <c r="BA53" s="1365">
        <f>BA54+BA55+BA56</f>
        <v>0</v>
      </c>
      <c r="BB53" s="1365">
        <f>BB54+BB55+BB56</f>
        <v>0</v>
      </c>
      <c r="BC53" s="1365">
        <f>BC54+BC55+BC56</f>
        <v>0</v>
      </c>
      <c r="BD53" s="1365">
        <f>BD54+BD55+BD56</f>
        <v>0</v>
      </c>
      <c r="BE53" s="5154"/>
      <c r="BF53" s="698"/>
      <c r="BG53" s="698"/>
      <c r="BH53" s="1051" t="s">
        <v>2108</v>
      </c>
    </row>
    <row s="1834" customFormat="1" customHeight="1" ht="14.625" hidden="1">
      <c r="A54" s="1370"/>
      <c r="B54" s="1370">
        <f>InvestmentSources_is_one_block="да"</f>
        <v>0</v>
      </c>
      <c r="C54" s="1370"/>
      <c r="D54" s="1370"/>
      <c r="E54" s="1373">
        <v>15</v>
      </c>
      <c r="F54" s="1175"/>
      <c r="G54" s="1370"/>
      <c r="H54" s="1370" t="s">
        <v>1193</v>
      </c>
      <c r="I54" s="1461"/>
      <c r="J54" s="1461"/>
      <c r="K54" s="1467"/>
      <c r="L54" s="1467"/>
      <c r="M54" s="1461"/>
      <c r="N54" s="1461"/>
      <c r="O54" s="1461"/>
      <c r="P54" s="1461"/>
      <c r="Q54" s="1461"/>
      <c r="R54" s="1461"/>
      <c r="S54" s="1461"/>
      <c r="T54" s="1462"/>
      <c r="U54" s="1461"/>
      <c r="V54" s="1461"/>
      <c r="W54" s="1461"/>
      <c r="X54" s="1463"/>
      <c r="Y54" s="1461"/>
      <c r="Z54" s="1464"/>
      <c r="AA54" s="1461"/>
      <c r="AB54" s="807" t="s">
        <v>1250</v>
      </c>
      <c r="AC54" s="1111" t="s">
        <v>2109</v>
      </c>
      <c r="AD54" s="1394" t="s">
        <v>1514</v>
      </c>
      <c r="AE54" s="3640"/>
      <c r="AF54" s="3640"/>
      <c r="AG54" s="3640"/>
      <c r="AH54" s="3640"/>
      <c r="AI54" s="3640"/>
      <c r="AJ54" s="3640"/>
      <c r="AK54" s="3640"/>
      <c r="AL54" s="3640"/>
      <c r="AM54" s="3640"/>
      <c r="AN54" s="3640"/>
      <c r="AO54" s="3640"/>
      <c r="AP54" s="3640"/>
      <c r="AQ54" s="3640"/>
      <c r="AR54" s="3640"/>
      <c r="AS54" s="3640"/>
      <c r="AT54" s="3640"/>
      <c r="AU54" s="3640"/>
      <c r="AV54" s="3640"/>
      <c r="AW54" s="3640"/>
      <c r="AX54" s="3640"/>
      <c r="AY54" s="3640"/>
      <c r="AZ54" s="3640"/>
      <c r="BA54" s="3640"/>
      <c r="BB54" s="3640"/>
      <c r="BC54" s="3640"/>
      <c r="BD54" s="3640"/>
      <c r="BE54" s="5154"/>
      <c r="BF54" s="1370"/>
      <c r="BG54" s="1370"/>
      <c r="BH54" s="1375" t="s">
        <v>2110</v>
      </c>
    </row>
    <row s="1834" customFormat="1" customHeight="1" ht="14.625" hidden="1">
      <c r="A55" s="1370"/>
      <c r="B55" s="1370">
        <f>InvestmentSources_is_one_block="да"</f>
        <v>0</v>
      </c>
      <c r="C55" s="1370"/>
      <c r="D55" s="1370"/>
      <c r="E55" s="1373">
        <v>15</v>
      </c>
      <c r="F55" s="1175"/>
      <c r="G55" s="1370"/>
      <c r="H55" s="1370" t="s">
        <v>1196</v>
      </c>
      <c r="I55" s="1461"/>
      <c r="J55" s="1461"/>
      <c r="K55" s="1467"/>
      <c r="L55" s="1467"/>
      <c r="M55" s="1461"/>
      <c r="N55" s="1461"/>
      <c r="O55" s="1461"/>
      <c r="P55" s="1461"/>
      <c r="Q55" s="1461"/>
      <c r="R55" s="1461"/>
      <c r="S55" s="1461"/>
      <c r="T55" s="1462"/>
      <c r="U55" s="1461"/>
      <c r="V55" s="1461"/>
      <c r="W55" s="1461"/>
      <c r="X55" s="1463"/>
      <c r="Y55" s="1461"/>
      <c r="Z55" s="1464"/>
      <c r="AA55" s="1461"/>
      <c r="AB55" s="807" t="s">
        <v>1254</v>
      </c>
      <c r="AC55" s="1111" t="s">
        <v>2111</v>
      </c>
      <c r="AD55" s="1394" t="s">
        <v>1514</v>
      </c>
      <c r="AE55" s="3640"/>
      <c r="AF55" s="3640"/>
      <c r="AG55" s="3640"/>
      <c r="AH55" s="3640"/>
      <c r="AI55" s="3640"/>
      <c r="AJ55" s="3640"/>
      <c r="AK55" s="3640"/>
      <c r="AL55" s="3640"/>
      <c r="AM55" s="3640"/>
      <c r="AN55" s="3640"/>
      <c r="AO55" s="3640"/>
      <c r="AP55" s="3640"/>
      <c r="AQ55" s="3640"/>
      <c r="AR55" s="3640"/>
      <c r="AS55" s="3640"/>
      <c r="AT55" s="3640"/>
      <c r="AU55" s="3640"/>
      <c r="AV55" s="3640"/>
      <c r="AW55" s="3640"/>
      <c r="AX55" s="3640"/>
      <c r="AY55" s="3640"/>
      <c r="AZ55" s="3640"/>
      <c r="BA55" s="3640"/>
      <c r="BB55" s="3640"/>
      <c r="BC55" s="3640"/>
      <c r="BD55" s="3640"/>
      <c r="BE55" s="5154"/>
      <c r="BF55" s="1370"/>
      <c r="BG55" s="1370"/>
      <c r="BH55" s="1375" t="s">
        <v>2112</v>
      </c>
    </row>
    <row s="1834" customFormat="1" customHeight="1" ht="14.625" hidden="1">
      <c r="A56" s="1370"/>
      <c r="B56" s="1370">
        <f>InvestmentSources_is_one_block="да"</f>
        <v>0</v>
      </c>
      <c r="C56" s="1370"/>
      <c r="D56" s="1370"/>
      <c r="E56" s="1373">
        <v>15</v>
      </c>
      <c r="F56" s="1175"/>
      <c r="G56" s="1370"/>
      <c r="H56" s="1370" t="s">
        <v>1648</v>
      </c>
      <c r="I56" s="1461"/>
      <c r="J56" s="1461"/>
      <c r="K56" s="1461"/>
      <c r="L56" s="1461"/>
      <c r="M56" s="1461"/>
      <c r="N56" s="1461"/>
      <c r="O56" s="1461"/>
      <c r="P56" s="1461"/>
      <c r="Q56" s="1461"/>
      <c r="R56" s="1461"/>
      <c r="S56" s="1461"/>
      <c r="T56" s="1462"/>
      <c r="U56" s="1461"/>
      <c r="V56" s="1461"/>
      <c r="W56" s="1461"/>
      <c r="X56" s="1463"/>
      <c r="Y56" s="1461"/>
      <c r="Z56" s="1464"/>
      <c r="AA56" s="1461"/>
      <c r="AB56" s="807" t="s">
        <v>1258</v>
      </c>
      <c r="AC56" s="1111" t="s">
        <v>2113</v>
      </c>
      <c r="AD56" s="1394" t="s">
        <v>1514</v>
      </c>
      <c r="AE56" s="3640"/>
      <c r="AF56" s="3640"/>
      <c r="AG56" s="3640"/>
      <c r="AH56" s="3640"/>
      <c r="AI56" s="3640"/>
      <c r="AJ56" s="3640"/>
      <c r="AK56" s="3640"/>
      <c r="AL56" s="3640"/>
      <c r="AM56" s="3640"/>
      <c r="AN56" s="3640"/>
      <c r="AO56" s="3640"/>
      <c r="AP56" s="3640"/>
      <c r="AQ56" s="3640"/>
      <c r="AR56" s="3640"/>
      <c r="AS56" s="3640"/>
      <c r="AT56" s="3640"/>
      <c r="AU56" s="3640"/>
      <c r="AV56" s="3640"/>
      <c r="AW56" s="3640"/>
      <c r="AX56" s="3640"/>
      <c r="AY56" s="3640"/>
      <c r="AZ56" s="3640"/>
      <c r="BA56" s="3640"/>
      <c r="BB56" s="3640"/>
      <c r="BC56" s="3640"/>
      <c r="BD56" s="3640"/>
      <c r="BE56" s="5154"/>
      <c r="BF56" s="1370"/>
      <c r="BG56" s="1370"/>
      <c r="BH56" s="1375" t="s">
        <v>2114</v>
      </c>
    </row>
    <row s="1834" customFormat="1" customHeight="1" ht="11.25" hidden="1">
      <c r="A57" s="499"/>
      <c r="B57" s="658"/>
      <c r="C57" s="499"/>
      <c r="D57" s="499"/>
      <c r="E57" s="659">
        <v>0</v>
      </c>
      <c r="F57" s="416"/>
      <c r="G57" s="499"/>
      <c r="H57" s="499"/>
      <c r="I57" s="499"/>
      <c r="J57" s="499"/>
      <c r="K57" s="499"/>
      <c r="L57" s="499"/>
      <c r="M57" s="499"/>
      <c r="N57" s="499"/>
      <c r="O57" s="499"/>
      <c r="P57" s="499"/>
      <c r="Q57" s="499"/>
      <c r="R57" s="499"/>
      <c r="S57" s="499"/>
      <c r="T57" s="499"/>
      <c r="U57" s="499"/>
      <c r="V57" s="499"/>
      <c r="W57" s="499"/>
      <c r="X57" s="499"/>
      <c r="Y57" s="499"/>
      <c r="Z57" s="499"/>
      <c r="AB57" s="0"/>
      <c r="AC57" s="482"/>
      <c r="AD57" s="482"/>
      <c r="AE57" s="482"/>
      <c r="AF57" s="482"/>
      <c r="AG57" s="0"/>
      <c r="AH57" s="0"/>
      <c r="AI57" s="0"/>
      <c r="AJ57" s="0"/>
      <c r="AK57" s="0"/>
      <c r="AL57" s="0"/>
      <c r="AM57" s="0"/>
      <c r="AN57" s="0"/>
      <c r="AO57" s="0"/>
      <c r="AP57" s="0"/>
      <c r="AQ57" s="0"/>
      <c r="AR57" s="0"/>
      <c r="AS57" s="0"/>
      <c r="AT57" s="0"/>
      <c r="AU57" s="0"/>
      <c r="AV57" s="0"/>
      <c r="AW57" s="0"/>
      <c r="AX57" s="0"/>
      <c r="AY57" s="0"/>
      <c r="AZ57" s="0"/>
      <c r="BA57" s="0"/>
      <c r="BB57" s="0"/>
      <c r="BC57" s="0"/>
      <c r="BD57" s="0"/>
      <c r="BE57" s="0"/>
      <c r="BH57" s="1004"/>
    </row>
    <row customHeight="1" ht="14.625" hidden="1">
      <c r="A58" s="1758"/>
      <c r="B58" s="122">
        <f>InvestmentSources_is_one_block="нет"</f>
        <v>1</v>
      </c>
      <c r="C58" s="1758"/>
      <c r="D58" s="1758"/>
      <c r="E58" s="618">
        <v>15</v>
      </c>
      <c r="F58" s="98" cm="1" t="str">
        <f t="array" ref="F58:F58">X58</f>
        <v>0</v>
      </c>
      <c r="G58" s="1758"/>
      <c r="H58" s="1758"/>
      <c r="I58" s="1758"/>
      <c r="J58" s="1758"/>
      <c r="K58" s="1758"/>
      <c r="L58" s="1758"/>
      <c r="M58" s="1758"/>
      <c r="N58" s="1758"/>
      <c r="O58" s="1758"/>
      <c r="P58" s="1758"/>
      <c r="Q58" s="1758"/>
      <c r="R58" s="1758"/>
      <c r="S58" s="1758"/>
      <c r="T58" s="465">
        <f>X58&gt;0</f>
        <v>0</v>
      </c>
      <c r="U58" s="1758"/>
      <c r="V58" s="122" t="s">
        <v>265</v>
      </c>
      <c r="W58" s="1758"/>
      <c r="X58" s="1563">
        <v>0</v>
      </c>
      <c r="Y58" s="1758"/>
      <c r="Z58" s="1546"/>
      <c r="AA58" s="1758"/>
      <c r="AB58" s="242" cm="1" t="str">
        <f t="array" ref="AB58:AB58">INDEX('Общие сведения'!$AG$179:$AG$250,MATCH($X58,'Общие сведения'!$Z$179:$Z$250,0))</f>
        <v>Тариф 0 () - </v>
      </c>
      <c r="AC58" s="832"/>
      <c r="AD58" s="832"/>
      <c r="AE58" s="832"/>
      <c r="AF58" s="832"/>
      <c r="AG58" s="832"/>
      <c r="AH58" s="832"/>
      <c r="AI58" s="832"/>
      <c r="AJ58" s="832"/>
      <c r="AK58" s="832"/>
      <c r="AL58" s="832"/>
      <c r="AM58" s="832"/>
      <c r="AN58" s="832"/>
      <c r="AO58" s="832"/>
      <c r="AP58" s="832"/>
      <c r="AQ58" s="832"/>
      <c r="AR58" s="832"/>
      <c r="AS58" s="832"/>
      <c r="AT58" s="832"/>
      <c r="AU58" s="832"/>
      <c r="AV58" s="832"/>
      <c r="AW58" s="832"/>
      <c r="AX58" s="832"/>
      <c r="AY58" s="832"/>
      <c r="AZ58" s="832"/>
      <c r="BA58" s="832"/>
      <c r="BB58" s="832"/>
      <c r="BC58" s="832"/>
      <c r="BD58" s="832"/>
      <c r="BE58" s="832"/>
      <c r="BF58" s="1758"/>
      <c r="BG58" s="1758"/>
      <c r="BH58" s="1764"/>
    </row>
    <row s="698" customFormat="1" customHeight="1" ht="21.9375" hidden="1">
      <c r="A59" s="698"/>
      <c r="B59" s="122">
        <f>InvestmentSources_is_one_block="нет"</f>
        <v>1</v>
      </c>
      <c r="C59" s="698"/>
      <c r="D59" s="698"/>
      <c r="E59" s="691">
        <v>22.5</v>
      </c>
      <c r="F59" s="50" cm="1" t="str">
        <f t="array" ref="F59:F59">OFFSET(E59,-1,1)</f>
        <v>0</v>
      </c>
      <c r="G59" s="122"/>
      <c r="H59" s="122" t="s">
        <v>332</v>
      </c>
      <c r="I59" s="698"/>
      <c r="J59" s="698"/>
      <c r="K59" s="698"/>
      <c r="L59" s="698"/>
      <c r="M59" s="698"/>
      <c r="N59" s="698"/>
      <c r="O59" s="698"/>
      <c r="P59" s="698"/>
      <c r="Q59" s="698"/>
      <c r="R59" s="698"/>
      <c r="S59" s="698"/>
      <c r="T59" s="465" cm="1" t="str">
        <f t="array" ref="T59:T59">T58</f>
        <v>false</v>
      </c>
      <c r="U59" s="698"/>
      <c r="V59" s="698"/>
      <c r="W59" s="698"/>
      <c r="X59" s="1563"/>
      <c r="Y59" s="698"/>
      <c r="Z59" s="1546"/>
      <c r="AA59" s="698"/>
      <c r="AB59" s="218">
        <v>1</v>
      </c>
      <c r="AC59" s="212" t="s">
        <v>2036</v>
      </c>
      <c r="AD59" s="211" t="s">
        <v>1514</v>
      </c>
      <c r="AE59" s="213">
        <f>AE60+AE70+AE74+AE78</f>
        <v>0</v>
      </c>
      <c r="AF59" s="213">
        <f>AF60+AF70+AF74+AF78</f>
        <v>0</v>
      </c>
      <c r="AG59" s="213">
        <f>AG60+AG70+AG74+AG78</f>
        <v>0</v>
      </c>
      <c r="AH59" s="213">
        <f>AH60+AH70+AH74+AH78</f>
        <v>0</v>
      </c>
      <c r="AI59" s="213">
        <f>AI60+AI70+AI74+AI78</f>
        <v>0</v>
      </c>
      <c r="AJ59" s="213">
        <f>AJ60+AJ70+AJ74+AJ78</f>
        <v>0</v>
      </c>
      <c r="AK59" s="213">
        <f>AK60+AK70+AK74+AK78</f>
        <v>0</v>
      </c>
      <c r="AL59" s="213">
        <f>AL60+AL70+AL74+AL78</f>
        <v>0</v>
      </c>
      <c r="AM59" s="213">
        <f>AM60+AM70+AM74+AM78</f>
        <v>0</v>
      </c>
      <c r="AN59" s="213">
        <f>AN60+AN70+AN74+AN78</f>
        <v>0</v>
      </c>
      <c r="AO59" s="213">
        <f>AO60+AO70+AO74+AO78</f>
        <v>0</v>
      </c>
      <c r="AP59" s="213">
        <f>AP60+AP70+AP74+AP78</f>
        <v>0</v>
      </c>
      <c r="AQ59" s="213">
        <f>AQ60+AQ70+AQ74+AQ78</f>
        <v>0</v>
      </c>
      <c r="AR59" s="213">
        <f>AR60+AR70+AR74+AR78</f>
        <v>0</v>
      </c>
      <c r="AS59" s="213">
        <f>AS60+AS70+AS74+AS78</f>
        <v>0</v>
      </c>
      <c r="AT59" s="213">
        <f>AT60+AT70+AT74+AT78</f>
        <v>0</v>
      </c>
      <c r="AU59" s="213">
        <f>AU60+AU70+AU74+AU78</f>
        <v>0</v>
      </c>
      <c r="AV59" s="213">
        <f>AV60+AV70+AV74+AV78</f>
        <v>0</v>
      </c>
      <c r="AW59" s="213">
        <f>AW60+AW70+AW74+AW78</f>
        <v>0</v>
      </c>
      <c r="AX59" s="213">
        <f>AX60+AX70+AX74+AX78</f>
        <v>0</v>
      </c>
      <c r="AY59" s="213">
        <f>AY60+AY70+AY74+AY78</f>
        <v>0</v>
      </c>
      <c r="AZ59" s="213">
        <f>AZ60+AZ70+AZ74+AZ78</f>
        <v>0</v>
      </c>
      <c r="BA59" s="213">
        <f>BA60+BA70+BA74+BA78</f>
        <v>0</v>
      </c>
      <c r="BB59" s="213">
        <f>BB60+BB70+BB74+BB78</f>
        <v>0</v>
      </c>
      <c r="BC59" s="213">
        <f>BC60+BC70+BC74+BC78</f>
        <v>0</v>
      </c>
      <c r="BD59" s="213">
        <f>BD60+BD70+BD74+BD78</f>
        <v>0</v>
      </c>
      <c r="BE59" s="5001"/>
      <c r="BF59" s="698"/>
      <c r="BG59" s="698"/>
      <c r="BH59" s="1051" t="s">
        <v>2037</v>
      </c>
    </row>
    <row customHeight="1" ht="14.625" hidden="1">
      <c r="A60" s="1758"/>
      <c r="B60" s="122">
        <f>InvestmentSources_is_one_block="нет"</f>
        <v>1</v>
      </c>
      <c r="C60" s="1758"/>
      <c r="D60" s="1758"/>
      <c r="E60" s="618">
        <v>15</v>
      </c>
      <c r="F60" s="50" cm="1" t="str">
        <f t="array" ref="F60:F60">OFFSET(E60,-1,1)</f>
        <v>0</v>
      </c>
      <c r="G60" s="1758"/>
      <c r="H60" s="122" t="s">
        <v>1175</v>
      </c>
      <c r="I60" s="1758"/>
      <c r="J60" s="1758"/>
      <c r="K60" s="1758"/>
      <c r="L60" s="1758"/>
      <c r="M60" s="1758"/>
      <c r="N60" s="1758"/>
      <c r="O60" s="1758"/>
      <c r="P60" s="1758"/>
      <c r="Q60" s="1758"/>
      <c r="R60" s="1758"/>
      <c r="S60" s="1758"/>
      <c r="T60" s="465" cm="1" t="str">
        <f t="array" ref="T60:T60">T59</f>
        <v>false</v>
      </c>
      <c r="U60" s="1758"/>
      <c r="V60" s="1758"/>
      <c r="W60" s="1758"/>
      <c r="X60" s="1563"/>
      <c r="Y60" s="1758"/>
      <c r="Z60" s="1546"/>
      <c r="AA60" s="1758"/>
      <c r="AB60" s="299" t="s">
        <v>1628</v>
      </c>
      <c r="AC60" s="762" t="s">
        <v>2038</v>
      </c>
      <c r="AD60" s="300" t="s">
        <v>1514</v>
      </c>
      <c r="AE60" s="783">
        <f>AE61+AE62+AE63+AE64+AE65</f>
        <v>0</v>
      </c>
      <c r="AF60" s="783">
        <f>AF61+AF62+AF63+AF64+AF65</f>
        <v>0</v>
      </c>
      <c r="AG60" s="783">
        <f>AG61+AG62+AG63+AG64+AG65</f>
        <v>0</v>
      </c>
      <c r="AH60" s="783">
        <f>AH61+AH62+AH63+AH64+AH65</f>
        <v>0</v>
      </c>
      <c r="AI60" s="783">
        <f>AI61+AI62+AI63+AI64+AI65</f>
        <v>0</v>
      </c>
      <c r="AJ60" s="783">
        <f>AJ61+AJ62+AJ63+AJ64+AJ65</f>
        <v>0</v>
      </c>
      <c r="AK60" s="783">
        <f>AK61+AK62+AK63+AK64+AK65</f>
        <v>0</v>
      </c>
      <c r="AL60" s="783">
        <f>AL61+AL62+AL63+AL64+AL65</f>
        <v>0</v>
      </c>
      <c r="AM60" s="783">
        <f>AM61+AM62+AM63+AM64+AM65</f>
        <v>0</v>
      </c>
      <c r="AN60" s="783">
        <f>AN61+AN62+AN63+AN64+AN65</f>
        <v>0</v>
      </c>
      <c r="AO60" s="783">
        <f>AO61+AO62+AO63+AO64+AO65</f>
        <v>0</v>
      </c>
      <c r="AP60" s="783">
        <f>AP61+AP62+AP63+AP64+AP65</f>
        <v>0</v>
      </c>
      <c r="AQ60" s="783">
        <f>AQ61+AQ62+AQ63+AQ64+AQ65</f>
        <v>0</v>
      </c>
      <c r="AR60" s="783">
        <f>AR61+AR62+AR63+AR64+AR65</f>
        <v>0</v>
      </c>
      <c r="AS60" s="783">
        <f>AS61+AS62+AS63+AS64+AS65</f>
        <v>0</v>
      </c>
      <c r="AT60" s="783">
        <f>AT61+AT62+AT63+AT64+AT65</f>
        <v>0</v>
      </c>
      <c r="AU60" s="783">
        <f>AU61+AU62+AU63+AU64+AU65</f>
        <v>0</v>
      </c>
      <c r="AV60" s="783">
        <f>AV61+AV62+AV63+AV64+AV65</f>
        <v>0</v>
      </c>
      <c r="AW60" s="783">
        <f>AW61+AW62+AW63+AW64+AW65</f>
        <v>0</v>
      </c>
      <c r="AX60" s="783">
        <f>AX61+AX62+AX63+AX64+AX65</f>
        <v>0</v>
      </c>
      <c r="AY60" s="783">
        <f>AY61+AY62+AY63+AY64+AY65</f>
        <v>0</v>
      </c>
      <c r="AZ60" s="783">
        <f>AZ61+AZ62+AZ63+AZ64+AZ65</f>
        <v>0</v>
      </c>
      <c r="BA60" s="783">
        <f>BA61+BA62+BA63+BA64+BA65</f>
        <v>0</v>
      </c>
      <c r="BB60" s="783">
        <f>BB61+BB62+BB63+BB64+BB65</f>
        <v>0</v>
      </c>
      <c r="BC60" s="783">
        <f>BC61+BC62+BC63+BC64+BC65</f>
        <v>0</v>
      </c>
      <c r="BD60" s="783">
        <f>BD61+BD62+BD63+BD64+BD65</f>
        <v>0</v>
      </c>
      <c r="BE60" s="5001"/>
      <c r="BF60" s="1758"/>
      <c r="BG60" s="1758"/>
      <c r="BH60" s="997" t="s">
        <v>2039</v>
      </c>
    </row>
    <row customHeight="1" ht="14.625" hidden="1">
      <c r="A61" s="1758"/>
      <c r="B61" s="122">
        <f>InvestmentSources_is_one_block="нет"</f>
        <v>1</v>
      </c>
      <c r="C61" s="1758"/>
      <c r="D61" s="1758"/>
      <c r="E61" s="618">
        <v>15</v>
      </c>
      <c r="F61" s="50" cm="1" t="str">
        <f t="array" ref="F61:F61">OFFSET(E61,-1,1)</f>
        <v>0</v>
      </c>
      <c r="G61" s="1758"/>
      <c r="H61" s="122" t="s">
        <v>1735</v>
      </c>
      <c r="I61" s="1758"/>
      <c r="J61" s="1758"/>
      <c r="K61" s="1758"/>
      <c r="L61" s="1758"/>
      <c r="M61" s="1758"/>
      <c r="N61" s="1758"/>
      <c r="O61" s="1758"/>
      <c r="P61" s="1758"/>
      <c r="Q61" s="1758"/>
      <c r="R61" s="1758"/>
      <c r="S61" s="1758"/>
      <c r="T61" s="465" cm="1" t="str">
        <f t="array" ref="T61:T61">T60</f>
        <v>false</v>
      </c>
      <c r="U61" s="1758"/>
      <c r="V61" s="1758"/>
      <c r="W61" s="1758"/>
      <c r="X61" s="1563"/>
      <c r="Y61" s="1758"/>
      <c r="Z61" s="1546"/>
      <c r="AA61" s="1758"/>
      <c r="AB61" s="299" t="s">
        <v>1736</v>
      </c>
      <c r="AC61" s="765" t="s">
        <v>2040</v>
      </c>
      <c r="AD61" s="300" t="s">
        <v>1514</v>
      </c>
      <c r="AE61" s="3557"/>
      <c r="AF61" s="3557"/>
      <c r="AG61" s="3557"/>
      <c r="AH61" s="3557"/>
      <c r="AI61" s="3557"/>
      <c r="AJ61" s="3557"/>
      <c r="AK61" s="3557"/>
      <c r="AL61" s="3557"/>
      <c r="AM61" s="3557"/>
      <c r="AN61" s="3557"/>
      <c r="AO61" s="3557"/>
      <c r="AP61" s="3557"/>
      <c r="AQ61" s="3557"/>
      <c r="AR61" s="3557"/>
      <c r="AS61" s="3557"/>
      <c r="AT61" s="3557"/>
      <c r="AU61" s="3557"/>
      <c r="AV61" s="3557"/>
      <c r="AW61" s="3557"/>
      <c r="AX61" s="3557"/>
      <c r="AY61" s="3557"/>
      <c r="AZ61" s="3557"/>
      <c r="BA61" s="3557"/>
      <c r="BB61" s="3557"/>
      <c r="BC61" s="3557"/>
      <c r="BD61" s="3557"/>
      <c r="BE61" s="5001"/>
      <c r="BF61" s="1758"/>
      <c r="BG61" s="1758"/>
      <c r="BH61" s="997" t="s">
        <v>1960</v>
      </c>
    </row>
    <row customHeight="1" ht="14.625" hidden="1">
      <c r="A62" s="1758"/>
      <c r="B62" s="122">
        <f>InvestmentSources_is_one_block="нет"</f>
        <v>1</v>
      </c>
      <c r="C62" s="1758"/>
      <c r="D62" s="1758"/>
      <c r="E62" s="618">
        <v>15</v>
      </c>
      <c r="F62" s="50" cm="1" t="str">
        <f t="array" ref="F62:F62">OFFSET(E62,-1,1)</f>
        <v>0</v>
      </c>
      <c r="G62" s="1758"/>
      <c r="H62" s="122" t="s">
        <v>1739</v>
      </c>
      <c r="I62" s="1758"/>
      <c r="J62" s="1758"/>
      <c r="K62" s="124" t="str">
        <f>F62&amp;"1komm"</f>
        <v>01komm</v>
      </c>
      <c r="L62" s="919" cm="1" t="str">
        <f t="array" ref="L62:L62">BE62</f>
        <v>0</v>
      </c>
      <c r="M62" s="1758"/>
      <c r="N62" s="1758"/>
      <c r="O62" s="1758"/>
      <c r="P62" s="1758"/>
      <c r="Q62" s="1758"/>
      <c r="R62" s="1758"/>
      <c r="S62" s="1758"/>
      <c r="T62" s="465" cm="1" t="str">
        <f t="array" ref="T62:T62">T61</f>
        <v>false</v>
      </c>
      <c r="U62" s="1758"/>
      <c r="V62" s="1758"/>
      <c r="W62" s="1758"/>
      <c r="X62" s="1563"/>
      <c r="Y62" s="1758"/>
      <c r="Z62" s="1546"/>
      <c r="AA62" s="1758"/>
      <c r="AB62" s="299" t="s">
        <v>1740</v>
      </c>
      <c r="AC62" s="765" t="s">
        <v>2041</v>
      </c>
      <c r="AD62" s="300" t="s">
        <v>1514</v>
      </c>
      <c r="AE62" s="3557"/>
      <c r="AF62" s="3557"/>
      <c r="AG62" s="3557"/>
      <c r="AH62" s="3557"/>
      <c r="AI62" s="3557"/>
      <c r="AJ62" s="3557"/>
      <c r="AK62" s="3557"/>
      <c r="AL62" s="3557"/>
      <c r="AM62" s="3557"/>
      <c r="AN62" s="3557"/>
      <c r="AO62" s="3557"/>
      <c r="AP62" s="3557"/>
      <c r="AQ62" s="3557"/>
      <c r="AR62" s="3557"/>
      <c r="AS62" s="3557"/>
      <c r="AT62" s="3557"/>
      <c r="AU62" s="3557"/>
      <c r="AV62" s="3557"/>
      <c r="AW62" s="3557"/>
      <c r="AX62" s="3557"/>
      <c r="AY62" s="3557"/>
      <c r="AZ62" s="3557"/>
      <c r="BA62" s="3557"/>
      <c r="BB62" s="3557"/>
      <c r="BC62" s="3557"/>
      <c r="BD62" s="3557"/>
      <c r="BE62" s="5001"/>
      <c r="BF62" s="1758"/>
      <c r="BG62" s="1758"/>
      <c r="BH62" s="997" t="s">
        <v>2042</v>
      </c>
    </row>
    <row customHeight="1" ht="14.625" hidden="1">
      <c r="A63" s="1758"/>
      <c r="B63" s="122">
        <f>InvestmentSources_is_one_block="нет"</f>
        <v>1</v>
      </c>
      <c r="C63" s="1758"/>
      <c r="D63" s="1758"/>
      <c r="E63" s="618">
        <v>15</v>
      </c>
      <c r="F63" s="50" cm="1" t="str">
        <f t="array" ref="F63:F63">OFFSET(E63,-1,1)</f>
        <v>0</v>
      </c>
      <c r="G63" s="1758"/>
      <c r="H63" s="122" t="s">
        <v>2043</v>
      </c>
      <c r="I63" s="1758"/>
      <c r="J63" s="1758"/>
      <c r="K63" s="1758"/>
      <c r="L63" s="1758"/>
      <c r="M63" s="1758"/>
      <c r="N63" s="1758"/>
      <c r="O63" s="1758"/>
      <c r="P63" s="1758"/>
      <c r="Q63" s="1758"/>
      <c r="R63" s="1758"/>
      <c r="S63" s="1758"/>
      <c r="T63" s="465" cm="1" t="str">
        <f t="array" ref="T63:T63">T62</f>
        <v>false</v>
      </c>
      <c r="U63" s="1758"/>
      <c r="V63" s="1758"/>
      <c r="W63" s="1758"/>
      <c r="X63" s="1563"/>
      <c r="Y63" s="1758"/>
      <c r="Z63" s="1546"/>
      <c r="AA63" s="1758"/>
      <c r="AB63" s="299" t="s">
        <v>2044</v>
      </c>
      <c r="AC63" s="765" t="s">
        <v>2045</v>
      </c>
      <c r="AD63" s="300" t="s">
        <v>1514</v>
      </c>
      <c r="AE63" s="3557"/>
      <c r="AF63" s="3557"/>
      <c r="AG63" s="3557"/>
      <c r="AH63" s="3557"/>
      <c r="AI63" s="3557"/>
      <c r="AJ63" s="3557"/>
      <c r="AK63" s="3557"/>
      <c r="AL63" s="3557"/>
      <c r="AM63" s="3557"/>
      <c r="AN63" s="3557"/>
      <c r="AO63" s="3557"/>
      <c r="AP63" s="3557"/>
      <c r="AQ63" s="3557"/>
      <c r="AR63" s="3557"/>
      <c r="AS63" s="3557"/>
      <c r="AT63" s="3557"/>
      <c r="AU63" s="3557"/>
      <c r="AV63" s="3557"/>
      <c r="AW63" s="3557"/>
      <c r="AX63" s="3557"/>
      <c r="AY63" s="3557"/>
      <c r="AZ63" s="3557"/>
      <c r="BA63" s="3557"/>
      <c r="BB63" s="3557"/>
      <c r="BC63" s="3557"/>
      <c r="BD63" s="3557"/>
      <c r="BE63" s="5001"/>
      <c r="BF63" s="1758"/>
      <c r="BG63" s="1758"/>
      <c r="BH63" s="997" t="s">
        <v>2046</v>
      </c>
    </row>
    <row customHeight="1" ht="14.625" hidden="1">
      <c r="A64" s="1758"/>
      <c r="B64" s="122">
        <f>InvestmentSources_is_one_block="нет"</f>
        <v>1</v>
      </c>
      <c r="C64" s="1758"/>
      <c r="D64" s="1758"/>
      <c r="E64" s="618">
        <v>15</v>
      </c>
      <c r="F64" s="50" cm="1" t="str">
        <f t="array" ref="F64:F64">OFFSET(E64,-1,1)</f>
        <v>0</v>
      </c>
      <c r="G64" s="1758"/>
      <c r="H64" s="122" t="s">
        <v>2047</v>
      </c>
      <c r="I64" s="1758"/>
      <c r="J64" s="1758"/>
      <c r="K64" s="1758"/>
      <c r="L64" s="1758"/>
      <c r="M64" s="1758"/>
      <c r="N64" s="1758"/>
      <c r="O64" s="1758"/>
      <c r="P64" s="1758"/>
      <c r="Q64" s="1758"/>
      <c r="R64" s="1758"/>
      <c r="S64" s="1758"/>
      <c r="T64" s="465" cm="1" t="str">
        <f t="array" ref="T64:T64">T63</f>
        <v>false</v>
      </c>
      <c r="U64" s="1758"/>
      <c r="V64" s="1758"/>
      <c r="W64" s="1758"/>
      <c r="X64" s="1563"/>
      <c r="Y64" s="1758"/>
      <c r="Z64" s="1546"/>
      <c r="AA64" s="1758"/>
      <c r="AB64" s="299" t="s">
        <v>2048</v>
      </c>
      <c r="AC64" s="765" t="s">
        <v>2049</v>
      </c>
      <c r="AD64" s="300" t="s">
        <v>1514</v>
      </c>
      <c r="AE64" s="3557"/>
      <c r="AF64" s="3557"/>
      <c r="AG64" s="3557"/>
      <c r="AH64" s="3557"/>
      <c r="AI64" s="3557"/>
      <c r="AJ64" s="3557"/>
      <c r="AK64" s="3557"/>
      <c r="AL64" s="3557"/>
      <c r="AM64" s="3557"/>
      <c r="AN64" s="3557"/>
      <c r="AO64" s="3557"/>
      <c r="AP64" s="3557"/>
      <c r="AQ64" s="3557"/>
      <c r="AR64" s="3557"/>
      <c r="AS64" s="3557"/>
      <c r="AT64" s="3557"/>
      <c r="AU64" s="3557"/>
      <c r="AV64" s="3557"/>
      <c r="AW64" s="3557"/>
      <c r="AX64" s="3557"/>
      <c r="AY64" s="3557"/>
      <c r="AZ64" s="3557"/>
      <c r="BA64" s="3557"/>
      <c r="BB64" s="3557"/>
      <c r="BC64" s="3557"/>
      <c r="BD64" s="3557"/>
      <c r="BE64" s="5001"/>
      <c r="BF64" s="1758"/>
      <c r="BG64" s="1758"/>
      <c r="BH64" s="997" t="s">
        <v>2050</v>
      </c>
    </row>
    <row customHeight="1" ht="21.9375" hidden="1">
      <c r="A65" s="1758"/>
      <c r="B65" s="122">
        <f>InvestmentSources_is_one_block="нет"</f>
        <v>1</v>
      </c>
      <c r="C65" s="1758"/>
      <c r="D65" s="1758"/>
      <c r="E65" s="618">
        <v>22.5</v>
      </c>
      <c r="F65" s="50" cm="1" t="str">
        <f t="array" ref="F65:F65">OFFSET(E65,-1,1)</f>
        <v>0</v>
      </c>
      <c r="G65" s="1758"/>
      <c r="H65" s="1758"/>
      <c r="I65" s="1758"/>
      <c r="J65" s="1758"/>
      <c r="K65" s="1758"/>
      <c r="L65" s="1758"/>
      <c r="M65" s="1758"/>
      <c r="N65" s="1758"/>
      <c r="O65" s="1758"/>
      <c r="P65" s="1758"/>
      <c r="Q65" s="1758"/>
      <c r="R65" s="1758"/>
      <c r="S65" s="1758"/>
      <c r="T65" s="465" cm="1" t="str">
        <f t="array" ref="T65:T65">T64</f>
        <v>false</v>
      </c>
      <c r="U65" s="1758"/>
      <c r="V65" s="1758"/>
      <c r="W65" s="1758"/>
      <c r="X65" s="1563"/>
      <c r="Y65" s="1758"/>
      <c r="Z65" s="1546"/>
      <c r="AA65" s="1758"/>
      <c r="AB65" s="299" t="s">
        <v>2051</v>
      </c>
      <c r="AC65" s="765" t="s">
        <v>2052</v>
      </c>
      <c r="AD65" s="300" t="s">
        <v>1514</v>
      </c>
      <c r="AE65" s="3557">
        <f>AE66+AE67+AE68+AE69</f>
        <v>0</v>
      </c>
      <c r="AF65" s="3557">
        <f>AF66+AF67+AF68+AF69</f>
        <v>0</v>
      </c>
      <c r="AG65" s="3557">
        <f>AG66+AG67+AG68+AG69</f>
        <v>0</v>
      </c>
      <c r="AH65" s="3557">
        <f>AH66+AH67+AH68+AH69</f>
        <v>0</v>
      </c>
      <c r="AI65" s="3557">
        <f>AI66+AI67+AI68+AI69</f>
        <v>0</v>
      </c>
      <c r="AJ65" s="3557">
        <f>AJ66+AJ67+AJ68+AJ69</f>
        <v>0</v>
      </c>
      <c r="AK65" s="3557">
        <f>AK66+AK67+AK68+AK69</f>
        <v>0</v>
      </c>
      <c r="AL65" s="3557">
        <f>AL66+AL67+AL68+AL69</f>
        <v>0</v>
      </c>
      <c r="AM65" s="3557">
        <f>AM66+AM67+AM68+AM69</f>
        <v>0</v>
      </c>
      <c r="AN65" s="3557">
        <f>AN66+AN67+AN68+AN69</f>
        <v>0</v>
      </c>
      <c r="AO65" s="3557">
        <f>AO66+AO67+AO68+AO69</f>
        <v>0</v>
      </c>
      <c r="AP65" s="3557">
        <f>AP66+AP67+AP68+AP69</f>
        <v>0</v>
      </c>
      <c r="AQ65" s="3557">
        <f>AQ66+AQ67+AQ68+AQ69</f>
        <v>0</v>
      </c>
      <c r="AR65" s="3557">
        <f>AR66+AR67+AR68+AR69</f>
        <v>0</v>
      </c>
      <c r="AS65" s="3557">
        <f>AS66+AS67+AS68+AS69</f>
        <v>0</v>
      </c>
      <c r="AT65" s="3557">
        <f>AT66+AT67+AT68+AT69</f>
        <v>0</v>
      </c>
      <c r="AU65" s="3557">
        <f>AU66+AU67+AU68+AU69</f>
        <v>0</v>
      </c>
      <c r="AV65" s="3557">
        <f>AV66+AV67+AV68+AV69</f>
        <v>0</v>
      </c>
      <c r="AW65" s="3557">
        <f>AW66+AW67+AW68+AW69</f>
        <v>0</v>
      </c>
      <c r="AX65" s="3557">
        <f>AX66+AX67+AX68+AX69</f>
        <v>0</v>
      </c>
      <c r="AY65" s="3557">
        <f>AY66+AY67+AY68+AY69</f>
        <v>0</v>
      </c>
      <c r="AZ65" s="3557">
        <f>AZ66+AZ67+AZ68+AZ69</f>
        <v>0</v>
      </c>
      <c r="BA65" s="3557">
        <f>BA66+BA67+BA68+BA69</f>
        <v>0</v>
      </c>
      <c r="BB65" s="3557">
        <f>BB66+BB67+BB68+BB69</f>
        <v>0</v>
      </c>
      <c r="BC65" s="3557">
        <f>BC66+BC67+BC68+BC69</f>
        <v>0</v>
      </c>
      <c r="BD65" s="3557">
        <f>BD66+BD67+BD68+BD69</f>
        <v>0</v>
      </c>
      <c r="BE65" s="5001"/>
      <c r="BF65" s="1758"/>
      <c r="BG65" s="1758"/>
      <c r="BH65" s="997" t="s">
        <v>2053</v>
      </c>
    </row>
    <row customHeight="1" ht="44.606249999999996" hidden="1">
      <c r="A66" s="1758"/>
      <c r="B66" s="122">
        <f>InvestmentSources_is_one_block="нет"</f>
        <v>1</v>
      </c>
      <c r="C66" s="1758"/>
      <c r="D66" s="1758"/>
      <c r="E66" s="618">
        <v>45.75</v>
      </c>
      <c r="F66" s="50" cm="1" t="str">
        <f t="array" ref="F66:F66">OFFSET(E66,-1,1)</f>
        <v>0</v>
      </c>
      <c r="G66" s="1758"/>
      <c r="H66" s="1758"/>
      <c r="I66" s="1758"/>
      <c r="J66" s="1758"/>
      <c r="K66" s="1758"/>
      <c r="L66" s="1758"/>
      <c r="M66" s="1758"/>
      <c r="N66" s="1758"/>
      <c r="O66" s="1758"/>
      <c r="P66" s="1758"/>
      <c r="Q66" s="1758"/>
      <c r="R66" s="1758"/>
      <c r="S66" s="1758"/>
      <c r="T66" s="465" cm="1" t="str">
        <f t="array" ref="T66:T66">T65</f>
        <v>false</v>
      </c>
      <c r="U66" s="1758"/>
      <c r="V66" s="1758"/>
      <c r="W66" s="1758"/>
      <c r="X66" s="1563"/>
      <c r="Y66" s="1758"/>
      <c r="Z66" s="1546"/>
      <c r="AA66" s="1758"/>
      <c r="AB66" s="299" t="s">
        <v>2054</v>
      </c>
      <c r="AC66" s="768" t="s">
        <v>2055</v>
      </c>
      <c r="AD66" s="300" t="s">
        <v>1514</v>
      </c>
      <c r="AE66" s="3557"/>
      <c r="AF66" s="3557"/>
      <c r="AG66" s="3557"/>
      <c r="AH66" s="3557"/>
      <c r="AI66" s="3557"/>
      <c r="AJ66" s="3557"/>
      <c r="AK66" s="3557"/>
      <c r="AL66" s="3557"/>
      <c r="AM66" s="3557"/>
      <c r="AN66" s="3557"/>
      <c r="AO66" s="3557"/>
      <c r="AP66" s="3557"/>
      <c r="AQ66" s="3557"/>
      <c r="AR66" s="3557"/>
      <c r="AS66" s="3557"/>
      <c r="AT66" s="3557"/>
      <c r="AU66" s="3557"/>
      <c r="AV66" s="3557"/>
      <c r="AW66" s="3557"/>
      <c r="AX66" s="3557"/>
      <c r="AY66" s="3557"/>
      <c r="AZ66" s="3557"/>
      <c r="BA66" s="3557"/>
      <c r="BB66" s="3557"/>
      <c r="BC66" s="3557"/>
      <c r="BD66" s="3557"/>
      <c r="BE66" s="5001"/>
      <c r="BF66" s="1758"/>
      <c r="BG66" s="1758"/>
      <c r="BH66" s="997" t="s">
        <v>2056</v>
      </c>
    </row>
    <row customHeight="1" ht="44.606249999999996" hidden="1">
      <c r="A67" s="1758"/>
      <c r="B67" s="122">
        <f>InvestmentSources_is_one_block="нет"</f>
        <v>1</v>
      </c>
      <c r="C67" s="1758"/>
      <c r="D67" s="1758"/>
      <c r="E67" s="618">
        <v>45.75</v>
      </c>
      <c r="F67" s="50" cm="1" t="str">
        <f t="array" ref="F67:F67">OFFSET(E67,-1,1)</f>
        <v>0</v>
      </c>
      <c r="G67" s="1758"/>
      <c r="H67" s="1758"/>
      <c r="I67" s="1758"/>
      <c r="J67" s="1758"/>
      <c r="K67" s="1758"/>
      <c r="L67" s="1758"/>
      <c r="M67" s="1758"/>
      <c r="N67" s="1758"/>
      <c r="O67" s="1758"/>
      <c r="P67" s="1758"/>
      <c r="Q67" s="1758"/>
      <c r="R67" s="1758"/>
      <c r="S67" s="1758"/>
      <c r="T67" s="465" cm="1" t="str">
        <f t="array" ref="T67:T67">T66</f>
        <v>false</v>
      </c>
      <c r="U67" s="1758"/>
      <c r="V67" s="1758"/>
      <c r="W67" s="1758"/>
      <c r="X67" s="1563"/>
      <c r="Y67" s="1758"/>
      <c r="Z67" s="1546"/>
      <c r="AA67" s="1758"/>
      <c r="AB67" s="299" t="s">
        <v>2057</v>
      </c>
      <c r="AC67" s="768" t="s">
        <v>2058</v>
      </c>
      <c r="AD67" s="300" t="s">
        <v>1514</v>
      </c>
      <c r="AE67" s="3557"/>
      <c r="AF67" s="3557"/>
      <c r="AG67" s="3557"/>
      <c r="AH67" s="3557"/>
      <c r="AI67" s="3557"/>
      <c r="AJ67" s="3557"/>
      <c r="AK67" s="3557"/>
      <c r="AL67" s="3557"/>
      <c r="AM67" s="3557"/>
      <c r="AN67" s="3557"/>
      <c r="AO67" s="3557"/>
      <c r="AP67" s="3557"/>
      <c r="AQ67" s="3557"/>
      <c r="AR67" s="3557"/>
      <c r="AS67" s="3557"/>
      <c r="AT67" s="3557"/>
      <c r="AU67" s="3557"/>
      <c r="AV67" s="3557"/>
      <c r="AW67" s="3557"/>
      <c r="AX67" s="3557"/>
      <c r="AY67" s="3557"/>
      <c r="AZ67" s="3557"/>
      <c r="BA67" s="3557"/>
      <c r="BB67" s="3557"/>
      <c r="BC67" s="3557"/>
      <c r="BD67" s="3557"/>
      <c r="BE67" s="5001"/>
      <c r="BF67" s="1758"/>
      <c r="BG67" s="1758"/>
      <c r="BH67" s="997" t="s">
        <v>2059</v>
      </c>
    </row>
    <row customHeight="1" ht="44.606249999999996" hidden="1">
      <c r="A68" s="1758"/>
      <c r="B68" s="122">
        <f>InvestmentSources_is_one_block="нет"</f>
        <v>1</v>
      </c>
      <c r="C68" s="1758"/>
      <c r="D68" s="1758"/>
      <c r="E68" s="618">
        <v>45.75</v>
      </c>
      <c r="F68" s="50" cm="1" t="str">
        <f t="array" ref="F68:F68">OFFSET(E68,-1,1)</f>
        <v>0</v>
      </c>
      <c r="G68" s="1758"/>
      <c r="H68" s="1758"/>
      <c r="I68" s="1758"/>
      <c r="J68" s="1758"/>
      <c r="K68" s="1758"/>
      <c r="L68" s="1758"/>
      <c r="M68" s="1758"/>
      <c r="N68" s="1758"/>
      <c r="O68" s="1758"/>
      <c r="P68" s="1758"/>
      <c r="Q68" s="1758"/>
      <c r="R68" s="1758"/>
      <c r="S68" s="1758"/>
      <c r="T68" s="465" cm="1" t="str">
        <f t="array" ref="T68:T68">T67</f>
        <v>false</v>
      </c>
      <c r="U68" s="1758"/>
      <c r="V68" s="1758"/>
      <c r="W68" s="1758"/>
      <c r="X68" s="1563"/>
      <c r="Y68" s="1758"/>
      <c r="Z68" s="1546"/>
      <c r="AA68" s="1758"/>
      <c r="AB68" s="299" t="s">
        <v>2060</v>
      </c>
      <c r="AC68" s="768" t="s">
        <v>2061</v>
      </c>
      <c r="AD68" s="300" t="s">
        <v>1514</v>
      </c>
      <c r="AE68" s="3557"/>
      <c r="AF68" s="3557"/>
      <c r="AG68" s="3557"/>
      <c r="AH68" s="3557"/>
      <c r="AI68" s="3557"/>
      <c r="AJ68" s="3557"/>
      <c r="AK68" s="3557"/>
      <c r="AL68" s="3557"/>
      <c r="AM68" s="3557"/>
      <c r="AN68" s="3557"/>
      <c r="AO68" s="3557"/>
      <c r="AP68" s="3557"/>
      <c r="AQ68" s="3557"/>
      <c r="AR68" s="3557"/>
      <c r="AS68" s="3557"/>
      <c r="AT68" s="3557"/>
      <c r="AU68" s="3557"/>
      <c r="AV68" s="3557"/>
      <c r="AW68" s="3557"/>
      <c r="AX68" s="3557"/>
      <c r="AY68" s="3557"/>
      <c r="AZ68" s="3557"/>
      <c r="BA68" s="3557"/>
      <c r="BB68" s="3557"/>
      <c r="BC68" s="3557"/>
      <c r="BD68" s="3557"/>
      <c r="BE68" s="5001"/>
      <c r="BF68" s="1758"/>
      <c r="BG68" s="1758"/>
      <c r="BH68" s="997" t="s">
        <v>2062</v>
      </c>
    </row>
    <row customHeight="1" ht="21.9375" hidden="1">
      <c r="A69" s="1758"/>
      <c r="B69" s="122">
        <f>InvestmentSources_is_one_block="нет"</f>
        <v>1</v>
      </c>
      <c r="C69" s="1758"/>
      <c r="D69" s="1758"/>
      <c r="E69" s="618">
        <v>22.5</v>
      </c>
      <c r="F69" s="50" cm="1" t="str">
        <f t="array" ref="F69:F69">OFFSET(E69,-1,1)</f>
        <v>0</v>
      </c>
      <c r="G69" s="1758"/>
      <c r="H69" s="1758"/>
      <c r="I69" s="1758"/>
      <c r="J69" s="1758"/>
      <c r="K69" s="1758"/>
      <c r="L69" s="1758"/>
      <c r="M69" s="1758"/>
      <c r="N69" s="1758"/>
      <c r="O69" s="1758"/>
      <c r="P69" s="1758"/>
      <c r="Q69" s="1758"/>
      <c r="R69" s="1758"/>
      <c r="S69" s="1758"/>
      <c r="T69" s="465" cm="1" t="str">
        <f t="array" ref="T69:T69">T68</f>
        <v>false</v>
      </c>
      <c r="U69" s="1758"/>
      <c r="V69" s="1758"/>
      <c r="W69" s="1758"/>
      <c r="X69" s="1563"/>
      <c r="Y69" s="1758"/>
      <c r="Z69" s="1546"/>
      <c r="AA69" s="1758"/>
      <c r="AB69" s="299" t="s">
        <v>2063</v>
      </c>
      <c r="AC69" s="768" t="s">
        <v>2064</v>
      </c>
      <c r="AD69" s="300" t="s">
        <v>1514</v>
      </c>
      <c r="AE69" s="3557"/>
      <c r="AF69" s="3557"/>
      <c r="AG69" s="3557"/>
      <c r="AH69" s="3557"/>
      <c r="AI69" s="3557"/>
      <c r="AJ69" s="3557"/>
      <c r="AK69" s="3557"/>
      <c r="AL69" s="3557"/>
      <c r="AM69" s="3557"/>
      <c r="AN69" s="3557"/>
      <c r="AO69" s="3557"/>
      <c r="AP69" s="3557"/>
      <c r="AQ69" s="3557"/>
      <c r="AR69" s="3557"/>
      <c r="AS69" s="3557"/>
      <c r="AT69" s="3557"/>
      <c r="AU69" s="3557"/>
      <c r="AV69" s="3557"/>
      <c r="AW69" s="3557"/>
      <c r="AX69" s="3557"/>
      <c r="AY69" s="3557"/>
      <c r="AZ69" s="3557"/>
      <c r="BA69" s="3557"/>
      <c r="BB69" s="3557"/>
      <c r="BC69" s="3557"/>
      <c r="BD69" s="3557"/>
      <c r="BE69" s="5001"/>
      <c r="BF69" s="1758"/>
      <c r="BG69" s="1758"/>
      <c r="BH69" s="997" t="s">
        <v>2065</v>
      </c>
    </row>
    <row customHeight="1" ht="14.625" hidden="1">
      <c r="A70" s="1758"/>
      <c r="B70" s="122">
        <f>InvestmentSources_is_one_block="нет"</f>
        <v>1</v>
      </c>
      <c r="C70" s="1758"/>
      <c r="D70" s="1758"/>
      <c r="E70" s="618">
        <v>15</v>
      </c>
      <c r="F70" s="50" cm="1" t="str">
        <f t="array" ref="F70:F70">OFFSET(E70,-1,1)</f>
        <v>0</v>
      </c>
      <c r="G70" s="1758"/>
      <c r="H70" s="122" t="s">
        <v>1179</v>
      </c>
      <c r="I70" s="1758"/>
      <c r="J70" s="1758"/>
      <c r="K70" s="1758"/>
      <c r="L70" s="1758"/>
      <c r="M70" s="1758"/>
      <c r="N70" s="1758"/>
      <c r="O70" s="1758"/>
      <c r="P70" s="1758"/>
      <c r="Q70" s="1758"/>
      <c r="R70" s="1758"/>
      <c r="S70" s="1758"/>
      <c r="T70" s="465" cm="1" t="str">
        <f t="array" ref="T70:T70">T69</f>
        <v>false</v>
      </c>
      <c r="U70" s="1758"/>
      <c r="V70" s="1758"/>
      <c r="W70" s="1758"/>
      <c r="X70" s="1563"/>
      <c r="Y70" s="1758"/>
      <c r="Z70" s="1546"/>
      <c r="AA70" s="1758"/>
      <c r="AB70" s="299" t="s">
        <v>1631</v>
      </c>
      <c r="AC70" s="762" t="s">
        <v>2066</v>
      </c>
      <c r="AD70" s="300" t="s">
        <v>1514</v>
      </c>
      <c r="AE70" s="783">
        <f>AE71+AE72+AE73</f>
        <v>0</v>
      </c>
      <c r="AF70" s="783">
        <f>AF71+AF72+AF73</f>
        <v>0</v>
      </c>
      <c r="AG70" s="783">
        <f>AG71+AG72+AG73</f>
        <v>0</v>
      </c>
      <c r="AH70" s="783">
        <f>AH71+AH72+AH73</f>
        <v>0</v>
      </c>
      <c r="AI70" s="783">
        <f>AI71+AI72+AI73</f>
        <v>0</v>
      </c>
      <c r="AJ70" s="783">
        <f>AJ71+AJ72+AJ73</f>
        <v>0</v>
      </c>
      <c r="AK70" s="783">
        <f>AK71+AK72+AK73</f>
        <v>0</v>
      </c>
      <c r="AL70" s="783">
        <f>AL71+AL72+AL73</f>
        <v>0</v>
      </c>
      <c r="AM70" s="783">
        <f>AM71+AM72+AM73</f>
        <v>0</v>
      </c>
      <c r="AN70" s="783">
        <f>AN71+AN72+AN73</f>
        <v>0</v>
      </c>
      <c r="AO70" s="783">
        <f>AO71+AO72+AO73</f>
        <v>0</v>
      </c>
      <c r="AP70" s="783">
        <f>AP71+AP72+AP73</f>
        <v>0</v>
      </c>
      <c r="AQ70" s="783">
        <f>AQ71+AQ72+AQ73</f>
        <v>0</v>
      </c>
      <c r="AR70" s="783">
        <f>AR71+AR72+AR73</f>
        <v>0</v>
      </c>
      <c r="AS70" s="783">
        <f>AS71+AS72+AS73</f>
        <v>0</v>
      </c>
      <c r="AT70" s="783">
        <f>AT71+AT72+AT73</f>
        <v>0</v>
      </c>
      <c r="AU70" s="783">
        <f>AU71+AU72+AU73</f>
        <v>0</v>
      </c>
      <c r="AV70" s="783">
        <f>AV71+AV72+AV73</f>
        <v>0</v>
      </c>
      <c r="AW70" s="783">
        <f>AW71+AW72+AW73</f>
        <v>0</v>
      </c>
      <c r="AX70" s="783">
        <f>AX71+AX72+AX73</f>
        <v>0</v>
      </c>
      <c r="AY70" s="783">
        <f>AY71+AY72+AY73</f>
        <v>0</v>
      </c>
      <c r="AZ70" s="783">
        <f>AZ71+AZ72+AZ73</f>
        <v>0</v>
      </c>
      <c r="BA70" s="783">
        <f>BA71+BA72+BA73</f>
        <v>0</v>
      </c>
      <c r="BB70" s="783">
        <f>BB71+BB72+BB73</f>
        <v>0</v>
      </c>
      <c r="BC70" s="783">
        <f>BC71+BC72+BC73</f>
        <v>0</v>
      </c>
      <c r="BD70" s="783">
        <f>BD71+BD72+BD73</f>
        <v>0</v>
      </c>
      <c r="BE70" s="5001"/>
      <c r="BF70" s="1758"/>
      <c r="BG70" s="1758"/>
      <c r="BH70" s="997" t="s">
        <v>2067</v>
      </c>
    </row>
    <row customHeight="1" ht="14.625" hidden="1">
      <c r="A71" s="1758"/>
      <c r="B71" s="122">
        <f>InvestmentSources_is_one_block="нет"</f>
        <v>1</v>
      </c>
      <c r="C71" s="1758"/>
      <c r="D71" s="1758"/>
      <c r="E71" s="618">
        <v>15</v>
      </c>
      <c r="F71" s="50" cm="1" t="str">
        <f t="array" ref="F71:F71">OFFSET(E71,-1,1)</f>
        <v>0</v>
      </c>
      <c r="G71" s="1758"/>
      <c r="H71" s="122" t="s">
        <v>2068</v>
      </c>
      <c r="I71" s="1758"/>
      <c r="J71" s="1758"/>
      <c r="K71" s="1758"/>
      <c r="L71" s="1758"/>
      <c r="M71" s="1758"/>
      <c r="N71" s="1758"/>
      <c r="O71" s="1758"/>
      <c r="P71" s="1758"/>
      <c r="Q71" s="1758"/>
      <c r="R71" s="1758"/>
      <c r="S71" s="1758"/>
      <c r="T71" s="465" cm="1" t="str">
        <f t="array" ref="T71:T71">T70</f>
        <v>false</v>
      </c>
      <c r="U71" s="1758"/>
      <c r="V71" s="1758"/>
      <c r="W71" s="1758"/>
      <c r="X71" s="1563"/>
      <c r="Y71" s="1758"/>
      <c r="Z71" s="1546"/>
      <c r="AA71" s="1758"/>
      <c r="AB71" s="299" t="s">
        <v>2069</v>
      </c>
      <c r="AC71" s="765" t="s">
        <v>2070</v>
      </c>
      <c r="AD71" s="300" t="s">
        <v>1514</v>
      </c>
      <c r="AE71" s="3557"/>
      <c r="AF71" s="3557"/>
      <c r="AG71" s="3557"/>
      <c r="AH71" s="3557"/>
      <c r="AI71" s="3557"/>
      <c r="AJ71" s="3557"/>
      <c r="AK71" s="3557"/>
      <c r="AL71" s="3557"/>
      <c r="AM71" s="3557"/>
      <c r="AN71" s="3557"/>
      <c r="AO71" s="3557"/>
      <c r="AP71" s="3557"/>
      <c r="AQ71" s="3557"/>
      <c r="AR71" s="3557"/>
      <c r="AS71" s="3557"/>
      <c r="AT71" s="3557"/>
      <c r="AU71" s="3557"/>
      <c r="AV71" s="3557"/>
      <c r="AW71" s="3557"/>
      <c r="AX71" s="3557"/>
      <c r="AY71" s="3557"/>
      <c r="AZ71" s="3557"/>
      <c r="BA71" s="3557"/>
      <c r="BB71" s="3557"/>
      <c r="BC71" s="3557"/>
      <c r="BD71" s="3557"/>
      <c r="BE71" s="5001"/>
      <c r="BF71" s="1758"/>
      <c r="BG71" s="1758"/>
      <c r="BH71" s="997" t="s">
        <v>1991</v>
      </c>
    </row>
    <row customHeight="1" ht="14.625" hidden="1">
      <c r="A72" s="1758"/>
      <c r="B72" s="122">
        <f>InvestmentSources_is_one_block="нет"</f>
        <v>1</v>
      </c>
      <c r="C72" s="1758"/>
      <c r="D72" s="1758"/>
      <c r="E72" s="618">
        <v>15</v>
      </c>
      <c r="F72" s="50" cm="1" t="str">
        <f t="array" ref="F72:F72">OFFSET(E72,-1,1)</f>
        <v>0</v>
      </c>
      <c r="G72" s="1758"/>
      <c r="H72" s="122" t="s">
        <v>2071</v>
      </c>
      <c r="I72" s="1758"/>
      <c r="J72" s="1758"/>
      <c r="K72" s="1758"/>
      <c r="L72" s="1758"/>
      <c r="M72" s="1758"/>
      <c r="N72" s="1758"/>
      <c r="O72" s="1758"/>
      <c r="P72" s="1758"/>
      <c r="Q72" s="1758"/>
      <c r="R72" s="1758"/>
      <c r="S72" s="1758"/>
      <c r="T72" s="465" cm="1" t="str">
        <f t="array" ref="T72:T72">T71</f>
        <v>false</v>
      </c>
      <c r="U72" s="1758"/>
      <c r="V72" s="1758"/>
      <c r="W72" s="1758"/>
      <c r="X72" s="1563"/>
      <c r="Y72" s="1758"/>
      <c r="Z72" s="1546"/>
      <c r="AA72" s="1758"/>
      <c r="AB72" s="299" t="s">
        <v>2072</v>
      </c>
      <c r="AC72" s="765" t="s">
        <v>2073</v>
      </c>
      <c r="AD72" s="300" t="s">
        <v>1514</v>
      </c>
      <c r="AE72" s="3557"/>
      <c r="AF72" s="3557"/>
      <c r="AG72" s="3557"/>
      <c r="AH72" s="3557"/>
      <c r="AI72" s="3557"/>
      <c r="AJ72" s="3557"/>
      <c r="AK72" s="3557"/>
      <c r="AL72" s="3557"/>
      <c r="AM72" s="3557"/>
      <c r="AN72" s="3557"/>
      <c r="AO72" s="3557"/>
      <c r="AP72" s="3557"/>
      <c r="AQ72" s="3557"/>
      <c r="AR72" s="3557"/>
      <c r="AS72" s="3557"/>
      <c r="AT72" s="3557"/>
      <c r="AU72" s="3557"/>
      <c r="AV72" s="3557"/>
      <c r="AW72" s="3557"/>
      <c r="AX72" s="3557"/>
      <c r="AY72" s="3557"/>
      <c r="AZ72" s="3557"/>
      <c r="BA72" s="3557"/>
      <c r="BB72" s="3557"/>
      <c r="BC72" s="3557"/>
      <c r="BD72" s="3557"/>
      <c r="BE72" s="5001"/>
      <c r="BF72" s="1758"/>
      <c r="BG72" s="1758"/>
      <c r="BH72" s="997" t="s">
        <v>2074</v>
      </c>
    </row>
    <row customHeight="1" ht="14.625" hidden="1">
      <c r="A73" s="1758"/>
      <c r="B73" s="122">
        <f>InvestmentSources_is_one_block="нет"</f>
        <v>1</v>
      </c>
      <c r="C73" s="1758"/>
      <c r="D73" s="1758"/>
      <c r="E73" s="618">
        <v>15</v>
      </c>
      <c r="F73" s="50" cm="1" t="str">
        <f t="array" ref="F73:F73">OFFSET(E73,-1,1)</f>
        <v>0</v>
      </c>
      <c r="G73" s="1758"/>
      <c r="H73" s="122" t="s">
        <v>2075</v>
      </c>
      <c r="I73" s="1758"/>
      <c r="J73" s="1758"/>
      <c r="K73" s="1758"/>
      <c r="L73" s="1758"/>
      <c r="M73" s="1758"/>
      <c r="N73" s="1758"/>
      <c r="O73" s="1758"/>
      <c r="P73" s="1758"/>
      <c r="Q73" s="1758"/>
      <c r="R73" s="1758"/>
      <c r="S73" s="1758"/>
      <c r="T73" s="465" cm="1" t="str">
        <f t="array" ref="T73:T73">T72</f>
        <v>false</v>
      </c>
      <c r="U73" s="1758"/>
      <c r="V73" s="1758"/>
      <c r="W73" s="1758"/>
      <c r="X73" s="1563"/>
      <c r="Y73" s="1758"/>
      <c r="Z73" s="1546"/>
      <c r="AA73" s="1758"/>
      <c r="AB73" s="299" t="s">
        <v>2076</v>
      </c>
      <c r="AC73" s="765" t="s">
        <v>2077</v>
      </c>
      <c r="AD73" s="300" t="s">
        <v>1514</v>
      </c>
      <c r="AE73" s="3557"/>
      <c r="AF73" s="3557"/>
      <c r="AG73" s="3557"/>
      <c r="AH73" s="3557"/>
      <c r="AI73" s="3557"/>
      <c r="AJ73" s="3557"/>
      <c r="AK73" s="3557"/>
      <c r="AL73" s="3557"/>
      <c r="AM73" s="3557"/>
      <c r="AN73" s="3557"/>
      <c r="AO73" s="3557"/>
      <c r="AP73" s="3557"/>
      <c r="AQ73" s="3557"/>
      <c r="AR73" s="3557"/>
      <c r="AS73" s="3557"/>
      <c r="AT73" s="3557"/>
      <c r="AU73" s="3557"/>
      <c r="AV73" s="3557"/>
      <c r="AW73" s="3557"/>
      <c r="AX73" s="3557"/>
      <c r="AY73" s="3557"/>
      <c r="AZ73" s="3557"/>
      <c r="BA73" s="3557"/>
      <c r="BB73" s="3557"/>
      <c r="BC73" s="3557"/>
      <c r="BD73" s="3557"/>
      <c r="BE73" s="5001"/>
      <c r="BF73" s="1758"/>
      <c r="BG73" s="1758"/>
      <c r="BH73" s="997" t="s">
        <v>2078</v>
      </c>
    </row>
    <row customHeight="1" ht="14.625" hidden="1">
      <c r="A74" s="1758"/>
      <c r="B74" s="122">
        <f>InvestmentSources_is_one_block="нет"</f>
        <v>1</v>
      </c>
      <c r="C74" s="1758"/>
      <c r="D74" s="1758"/>
      <c r="E74" s="618">
        <v>15</v>
      </c>
      <c r="F74" s="50" cm="1" t="str">
        <f t="array" ref="F74:F74">OFFSET(E74,-1,1)</f>
        <v>0</v>
      </c>
      <c r="G74" s="1758"/>
      <c r="H74" s="122" t="s">
        <v>1182</v>
      </c>
      <c r="I74" s="1758"/>
      <c r="J74" s="1758"/>
      <c r="K74" s="1758"/>
      <c r="L74" s="1758"/>
      <c r="M74" s="1758"/>
      <c r="N74" s="1758"/>
      <c r="O74" s="1758"/>
      <c r="P74" s="1758"/>
      <c r="Q74" s="1758"/>
      <c r="R74" s="1758"/>
      <c r="S74" s="1758"/>
      <c r="T74" s="465" cm="1" t="str">
        <f t="array" ref="T74:T74">T73</f>
        <v>false</v>
      </c>
      <c r="U74" s="1758"/>
      <c r="V74" s="1758"/>
      <c r="W74" s="1758"/>
      <c r="X74" s="1563"/>
      <c r="Y74" s="1758"/>
      <c r="Z74" s="1546"/>
      <c r="AA74" s="1758"/>
      <c r="AB74" s="299" t="s">
        <v>1634</v>
      </c>
      <c r="AC74" s="762" t="s">
        <v>2079</v>
      </c>
      <c r="AD74" s="300" t="s">
        <v>1514</v>
      </c>
      <c r="AE74" s="783">
        <f>AE75+AE76+AE77</f>
        <v>0</v>
      </c>
      <c r="AF74" s="783">
        <f>AF75+AF76+AF77</f>
        <v>0</v>
      </c>
      <c r="AG74" s="783">
        <f>AG75+AG76+AG77</f>
        <v>0</v>
      </c>
      <c r="AH74" s="783">
        <f>AH75+AH76+AH77</f>
        <v>0</v>
      </c>
      <c r="AI74" s="783">
        <f>AI75+AI76+AI77</f>
        <v>0</v>
      </c>
      <c r="AJ74" s="783">
        <f>AJ75+AJ76+AJ77</f>
        <v>0</v>
      </c>
      <c r="AK74" s="783">
        <f>AK75+AK76+AK77</f>
        <v>0</v>
      </c>
      <c r="AL74" s="783">
        <f>AL75+AL76+AL77</f>
        <v>0</v>
      </c>
      <c r="AM74" s="783">
        <f>AM75+AM76+AM77</f>
        <v>0</v>
      </c>
      <c r="AN74" s="783">
        <f>AN75+AN76+AN77</f>
        <v>0</v>
      </c>
      <c r="AO74" s="783">
        <f>AO75+AO76+AO77</f>
        <v>0</v>
      </c>
      <c r="AP74" s="783">
        <f>AP75+AP76+AP77</f>
        <v>0</v>
      </c>
      <c r="AQ74" s="783">
        <f>AQ75+AQ76+AQ77</f>
        <v>0</v>
      </c>
      <c r="AR74" s="783">
        <f>AR75+AR76+AR77</f>
        <v>0</v>
      </c>
      <c r="AS74" s="783">
        <f>AS75+AS76+AS77</f>
        <v>0</v>
      </c>
      <c r="AT74" s="783">
        <f>AT75+AT76+AT77</f>
        <v>0</v>
      </c>
      <c r="AU74" s="783">
        <f>AU75+AU76+AU77</f>
        <v>0</v>
      </c>
      <c r="AV74" s="783">
        <f>AV75+AV76+AV77</f>
        <v>0</v>
      </c>
      <c r="AW74" s="783">
        <f>AW75+AW76+AW77</f>
        <v>0</v>
      </c>
      <c r="AX74" s="783">
        <f>AX75+AX76+AX77</f>
        <v>0</v>
      </c>
      <c r="AY74" s="783">
        <f>AY75+AY76+AY77</f>
        <v>0</v>
      </c>
      <c r="AZ74" s="783">
        <f>AZ75+AZ76+AZ77</f>
        <v>0</v>
      </c>
      <c r="BA74" s="783">
        <f>BA75+BA76+BA77</f>
        <v>0</v>
      </c>
      <c r="BB74" s="783">
        <f>BB75+BB76+BB77</f>
        <v>0</v>
      </c>
      <c r="BC74" s="783">
        <f>BC75+BC76+BC77</f>
        <v>0</v>
      </c>
      <c r="BD74" s="783">
        <f>BD75+BD76+BD77</f>
        <v>0</v>
      </c>
      <c r="BE74" s="5001"/>
      <c r="BF74" s="1758"/>
      <c r="BG74" s="1758"/>
      <c r="BH74" s="997" t="s">
        <v>2080</v>
      </c>
    </row>
    <row customHeight="1" ht="14.625" hidden="1">
      <c r="A75" s="1758"/>
      <c r="B75" s="122">
        <f>InvestmentSources_is_one_block="нет"</f>
        <v>1</v>
      </c>
      <c r="C75" s="1758"/>
      <c r="D75" s="1758"/>
      <c r="E75" s="618">
        <v>15</v>
      </c>
      <c r="F75" s="50" cm="1" t="str">
        <f t="array" ref="F75:F75">OFFSET(E75,-1,1)</f>
        <v>0</v>
      </c>
      <c r="G75" s="1758"/>
      <c r="H75" s="122" t="s">
        <v>2081</v>
      </c>
      <c r="I75" s="1758"/>
      <c r="J75" s="1758"/>
      <c r="K75" s="1758"/>
      <c r="L75" s="1758"/>
      <c r="M75" s="1758"/>
      <c r="N75" s="1758"/>
      <c r="O75" s="1758"/>
      <c r="P75" s="1758"/>
      <c r="Q75" s="1758"/>
      <c r="R75" s="1758"/>
      <c r="S75" s="1758"/>
      <c r="T75" s="465" cm="1" t="str">
        <f t="array" ref="T75:T75">T74</f>
        <v>false</v>
      </c>
      <c r="U75" s="1758"/>
      <c r="V75" s="1758"/>
      <c r="W75" s="1758"/>
      <c r="X75" s="1563"/>
      <c r="Y75" s="1758"/>
      <c r="Z75" s="1546"/>
      <c r="AA75" s="1758"/>
      <c r="AB75" s="299" t="s">
        <v>2082</v>
      </c>
      <c r="AC75" s="765" t="s">
        <v>2083</v>
      </c>
      <c r="AD75" s="300" t="s">
        <v>1514</v>
      </c>
      <c r="AE75" s="3557"/>
      <c r="AF75" s="3557"/>
      <c r="AG75" s="3557"/>
      <c r="AH75" s="3557"/>
      <c r="AI75" s="3557"/>
      <c r="AJ75" s="3557"/>
      <c r="AK75" s="3557"/>
      <c r="AL75" s="3557"/>
      <c r="AM75" s="3557"/>
      <c r="AN75" s="3557"/>
      <c r="AO75" s="3557"/>
      <c r="AP75" s="3557"/>
      <c r="AQ75" s="3557"/>
      <c r="AR75" s="3557"/>
      <c r="AS75" s="3557"/>
      <c r="AT75" s="3557"/>
      <c r="AU75" s="3557"/>
      <c r="AV75" s="3557"/>
      <c r="AW75" s="3557"/>
      <c r="AX75" s="3557"/>
      <c r="AY75" s="3557"/>
      <c r="AZ75" s="3557"/>
      <c r="BA75" s="3557"/>
      <c r="BB75" s="3557"/>
      <c r="BC75" s="3557"/>
      <c r="BD75" s="3557"/>
      <c r="BE75" s="5001"/>
      <c r="BF75" s="1758"/>
      <c r="BG75" s="1758"/>
      <c r="BH75" s="997" t="s">
        <v>2084</v>
      </c>
    </row>
    <row customHeight="1" ht="14.625" hidden="1">
      <c r="A76" s="1758"/>
      <c r="B76" s="122">
        <f>InvestmentSources_is_one_block="нет"</f>
        <v>1</v>
      </c>
      <c r="C76" s="1758"/>
      <c r="D76" s="1758"/>
      <c r="E76" s="618">
        <v>15</v>
      </c>
      <c r="F76" s="50" cm="1" t="str">
        <f t="array" ref="F76:F76">OFFSET(E76,-1,1)</f>
        <v>0</v>
      </c>
      <c r="G76" s="1758"/>
      <c r="H76" s="122" t="s">
        <v>2085</v>
      </c>
      <c r="I76" s="1758"/>
      <c r="J76" s="1758"/>
      <c r="K76" s="1758"/>
      <c r="L76" s="1758"/>
      <c r="M76" s="1758"/>
      <c r="N76" s="1758"/>
      <c r="O76" s="1758"/>
      <c r="P76" s="1758"/>
      <c r="Q76" s="1758"/>
      <c r="R76" s="1758"/>
      <c r="S76" s="1758"/>
      <c r="T76" s="465" cm="1" t="str">
        <f t="array" ref="T76:T76">T75</f>
        <v>false</v>
      </c>
      <c r="U76" s="1758"/>
      <c r="V76" s="1758"/>
      <c r="W76" s="1758"/>
      <c r="X76" s="1563"/>
      <c r="Y76" s="1758"/>
      <c r="Z76" s="1546"/>
      <c r="AA76" s="1758"/>
      <c r="AB76" s="299" t="s">
        <v>2086</v>
      </c>
      <c r="AC76" s="765" t="s">
        <v>2087</v>
      </c>
      <c r="AD76" s="300" t="s">
        <v>1514</v>
      </c>
      <c r="AE76" s="3557"/>
      <c r="AF76" s="3557"/>
      <c r="AG76" s="3557"/>
      <c r="AH76" s="3557"/>
      <c r="AI76" s="3557"/>
      <c r="AJ76" s="3557"/>
      <c r="AK76" s="3557"/>
      <c r="AL76" s="3557"/>
      <c r="AM76" s="3557"/>
      <c r="AN76" s="3557"/>
      <c r="AO76" s="3557"/>
      <c r="AP76" s="3557"/>
      <c r="AQ76" s="3557"/>
      <c r="AR76" s="3557"/>
      <c r="AS76" s="3557"/>
      <c r="AT76" s="3557"/>
      <c r="AU76" s="3557"/>
      <c r="AV76" s="3557"/>
      <c r="AW76" s="3557"/>
      <c r="AX76" s="3557"/>
      <c r="AY76" s="3557"/>
      <c r="AZ76" s="3557"/>
      <c r="BA76" s="3557"/>
      <c r="BB76" s="3557"/>
      <c r="BC76" s="3557"/>
      <c r="BD76" s="3557"/>
      <c r="BE76" s="5001"/>
      <c r="BF76" s="1758"/>
      <c r="BG76" s="1758"/>
      <c r="BH76" s="997" t="s">
        <v>2088</v>
      </c>
    </row>
    <row customHeight="1" ht="14.625" hidden="1">
      <c r="A77" s="1758"/>
      <c r="B77" s="122">
        <f>InvestmentSources_is_one_block="нет"</f>
        <v>1</v>
      </c>
      <c r="C77" s="1758"/>
      <c r="D77" s="1758"/>
      <c r="E77" s="618">
        <v>15</v>
      </c>
      <c r="F77" s="50" cm="1" t="str">
        <f t="array" ref="F77:F77">OFFSET(E77,-1,1)</f>
        <v>0</v>
      </c>
      <c r="G77" s="1758"/>
      <c r="H77" s="122" t="s">
        <v>2089</v>
      </c>
      <c r="I77" s="1758"/>
      <c r="J77" s="1758"/>
      <c r="K77" s="1758"/>
      <c r="L77" s="1758"/>
      <c r="M77" s="1758"/>
      <c r="N77" s="1758"/>
      <c r="O77" s="1758"/>
      <c r="P77" s="1758"/>
      <c r="Q77" s="1758"/>
      <c r="R77" s="1758"/>
      <c r="S77" s="1758"/>
      <c r="T77" s="465" cm="1" t="str">
        <f t="array" ref="T77:T77">T76</f>
        <v>false</v>
      </c>
      <c r="U77" s="1758"/>
      <c r="V77" s="1758"/>
      <c r="W77" s="1758"/>
      <c r="X77" s="1563"/>
      <c r="Y77" s="1758"/>
      <c r="Z77" s="1546"/>
      <c r="AA77" s="1758"/>
      <c r="AB77" s="299" t="s">
        <v>2090</v>
      </c>
      <c r="AC77" s="765" t="s">
        <v>2091</v>
      </c>
      <c r="AD77" s="300" t="s">
        <v>1514</v>
      </c>
      <c r="AE77" s="3557"/>
      <c r="AF77" s="3557"/>
      <c r="AG77" s="3557"/>
      <c r="AH77" s="3557"/>
      <c r="AI77" s="3557"/>
      <c r="AJ77" s="3557"/>
      <c r="AK77" s="3557"/>
      <c r="AL77" s="3557"/>
      <c r="AM77" s="3557"/>
      <c r="AN77" s="3557"/>
      <c r="AO77" s="3557"/>
      <c r="AP77" s="3557"/>
      <c r="AQ77" s="3557"/>
      <c r="AR77" s="3557"/>
      <c r="AS77" s="3557"/>
      <c r="AT77" s="3557"/>
      <c r="AU77" s="3557"/>
      <c r="AV77" s="3557"/>
      <c r="AW77" s="3557"/>
      <c r="AX77" s="3557"/>
      <c r="AY77" s="3557"/>
      <c r="AZ77" s="3557"/>
      <c r="BA77" s="3557"/>
      <c r="BB77" s="3557"/>
      <c r="BC77" s="3557"/>
      <c r="BD77" s="3557"/>
      <c r="BE77" s="5001"/>
      <c r="BF77" s="1758"/>
      <c r="BG77" s="1758"/>
      <c r="BH77" s="997" t="s">
        <v>2092</v>
      </c>
    </row>
    <row customHeight="1" ht="14.625" hidden="1">
      <c r="A78" s="1758"/>
      <c r="B78" s="122">
        <f>InvestmentSources_is_one_block="нет"</f>
        <v>1</v>
      </c>
      <c r="C78" s="1758"/>
      <c r="D78" s="1758"/>
      <c r="E78" s="618">
        <v>15</v>
      </c>
      <c r="F78" s="50" cm="1" t="str">
        <f t="array" ref="F78:F78">OFFSET(E78,-1,1)</f>
        <v>0</v>
      </c>
      <c r="G78" s="1758"/>
      <c r="H78" s="122" t="s">
        <v>1186</v>
      </c>
      <c r="I78" s="1758"/>
      <c r="J78" s="1758"/>
      <c r="K78" s="1758"/>
      <c r="L78" s="1758"/>
      <c r="M78" s="1758"/>
      <c r="N78" s="1758"/>
      <c r="O78" s="1758"/>
      <c r="P78" s="1758"/>
      <c r="Q78" s="1758"/>
      <c r="R78" s="1758"/>
      <c r="S78" s="1758"/>
      <c r="T78" s="465" cm="1" t="str">
        <f t="array" ref="T78:T78">T77</f>
        <v>false</v>
      </c>
      <c r="U78" s="1758"/>
      <c r="V78" s="1758"/>
      <c r="W78" s="1758"/>
      <c r="X78" s="1563"/>
      <c r="Y78" s="1758"/>
      <c r="Z78" s="1546"/>
      <c r="AA78" s="1758"/>
      <c r="AB78" s="299" t="s">
        <v>1637</v>
      </c>
      <c r="AC78" s="762" t="s">
        <v>2093</v>
      </c>
      <c r="AD78" s="300" t="s">
        <v>1514</v>
      </c>
      <c r="AE78" s="783">
        <f>AE79+AE80+AE81+AE82</f>
        <v>0</v>
      </c>
      <c r="AF78" s="783">
        <f>AF79+AF80+AF81+AF82</f>
        <v>0</v>
      </c>
      <c r="AG78" s="783">
        <f>AG79+AG80+AG81+AG82</f>
        <v>0</v>
      </c>
      <c r="AH78" s="783">
        <f>AH79+AH80+AH81+AH82</f>
        <v>0</v>
      </c>
      <c r="AI78" s="783">
        <f>AI79+AI80+AI81+AI82</f>
        <v>0</v>
      </c>
      <c r="AJ78" s="783">
        <f>AJ79+AJ80+AJ81+AJ82</f>
        <v>0</v>
      </c>
      <c r="AK78" s="783">
        <f>AK79+AK80+AK81+AK82</f>
        <v>0</v>
      </c>
      <c r="AL78" s="783">
        <f>AL79+AL80+AL81+AL82</f>
        <v>0</v>
      </c>
      <c r="AM78" s="783">
        <f>AM79+AM80+AM81+AM82</f>
        <v>0</v>
      </c>
      <c r="AN78" s="783">
        <f>AN79+AN80+AN81+AN82</f>
        <v>0</v>
      </c>
      <c r="AO78" s="783">
        <f>AO79+AO80+AO81+AO82</f>
        <v>0</v>
      </c>
      <c r="AP78" s="783">
        <f>AP79+AP80+AP81+AP82</f>
        <v>0</v>
      </c>
      <c r="AQ78" s="783">
        <f>AQ79+AQ80+AQ81+AQ82</f>
        <v>0</v>
      </c>
      <c r="AR78" s="783">
        <f>AR79+AR80+AR81+AR82</f>
        <v>0</v>
      </c>
      <c r="AS78" s="783">
        <f>AS79+AS80+AS81+AS82</f>
        <v>0</v>
      </c>
      <c r="AT78" s="783">
        <f>AT79+AT80+AT81+AT82</f>
        <v>0</v>
      </c>
      <c r="AU78" s="783">
        <f>AU79+AU80+AU81+AU82</f>
        <v>0</v>
      </c>
      <c r="AV78" s="783">
        <f>AV79+AV80+AV81+AV82</f>
        <v>0</v>
      </c>
      <c r="AW78" s="783">
        <f>AW79+AW80+AW81+AW82</f>
        <v>0</v>
      </c>
      <c r="AX78" s="783">
        <f>AX79+AX80+AX81+AX82</f>
        <v>0</v>
      </c>
      <c r="AY78" s="783">
        <f>AY79+AY80+AY81+AY82</f>
        <v>0</v>
      </c>
      <c r="AZ78" s="783">
        <f>AZ79+AZ80+AZ81+AZ82</f>
        <v>0</v>
      </c>
      <c r="BA78" s="783">
        <f>BA79+BA80+BA81+BA82</f>
        <v>0</v>
      </c>
      <c r="BB78" s="783">
        <f>BB79+BB80+BB81+BB82</f>
        <v>0</v>
      </c>
      <c r="BC78" s="783">
        <f>BC79+BC80+BC81+BC82</f>
        <v>0</v>
      </c>
      <c r="BD78" s="783">
        <f>BD79+BD80+BD81+BD82</f>
        <v>0</v>
      </c>
      <c r="BE78" s="5001"/>
      <c r="BF78" s="1758"/>
      <c r="BG78" s="1758"/>
      <c r="BH78" s="997" t="s">
        <v>2094</v>
      </c>
    </row>
    <row customHeight="1" ht="14.625" hidden="1">
      <c r="A79" s="1758"/>
      <c r="B79" s="122">
        <f>InvestmentSources_is_one_block="нет"</f>
        <v>1</v>
      </c>
      <c r="C79" s="1758"/>
      <c r="D79" s="1758"/>
      <c r="E79" s="618">
        <v>15</v>
      </c>
      <c r="F79" s="50" cm="1" t="str">
        <f t="array" ref="F79:F79">OFFSET(E79,-1,1)</f>
        <v>0</v>
      </c>
      <c r="G79" s="1758"/>
      <c r="H79" s="122" t="s">
        <v>2095</v>
      </c>
      <c r="I79" s="1758"/>
      <c r="J79" s="1758"/>
      <c r="K79" s="1758"/>
      <c r="L79" s="1758"/>
      <c r="M79" s="1758"/>
      <c r="N79" s="1758"/>
      <c r="O79" s="1758"/>
      <c r="P79" s="1758"/>
      <c r="Q79" s="1758"/>
      <c r="R79" s="1758"/>
      <c r="S79" s="1758"/>
      <c r="T79" s="465" cm="1" t="str">
        <f t="array" ref="T79:T79">T78</f>
        <v>false</v>
      </c>
      <c r="U79" s="1758"/>
      <c r="V79" s="1758"/>
      <c r="W79" s="1758"/>
      <c r="X79" s="1563"/>
      <c r="Y79" s="1758"/>
      <c r="Z79" s="1546"/>
      <c r="AA79" s="1758"/>
      <c r="AB79" s="299" t="s">
        <v>1752</v>
      </c>
      <c r="AC79" s="765" t="s">
        <v>1746</v>
      </c>
      <c r="AD79" s="300" t="s">
        <v>1514</v>
      </c>
      <c r="AE79" s="3557"/>
      <c r="AF79" s="3557"/>
      <c r="AG79" s="3557"/>
      <c r="AH79" s="3557"/>
      <c r="AI79" s="3557"/>
      <c r="AJ79" s="3557"/>
      <c r="AK79" s="3557"/>
      <c r="AL79" s="3557"/>
      <c r="AM79" s="3557"/>
      <c r="AN79" s="3557"/>
      <c r="AO79" s="3557"/>
      <c r="AP79" s="3557"/>
      <c r="AQ79" s="3557"/>
      <c r="AR79" s="3557"/>
      <c r="AS79" s="3557"/>
      <c r="AT79" s="3557"/>
      <c r="AU79" s="3557"/>
      <c r="AV79" s="3557"/>
      <c r="AW79" s="3557"/>
      <c r="AX79" s="3557"/>
      <c r="AY79" s="3557"/>
      <c r="AZ79" s="3557"/>
      <c r="BA79" s="3557"/>
      <c r="BB79" s="3557"/>
      <c r="BC79" s="3557"/>
      <c r="BD79" s="3557"/>
      <c r="BE79" s="5001"/>
      <c r="BF79" s="1758"/>
      <c r="BG79" s="1758"/>
      <c r="BH79" s="997" t="s">
        <v>1748</v>
      </c>
    </row>
    <row customHeight="1" ht="21.9375" hidden="1">
      <c r="A80" s="1758"/>
      <c r="B80" s="122">
        <f>InvestmentSources_is_one_block="нет"</f>
        <v>1</v>
      </c>
      <c r="C80" s="1758"/>
      <c r="D80" s="1758"/>
      <c r="E80" s="618">
        <v>22.5</v>
      </c>
      <c r="F80" s="50" cm="1" t="str">
        <f t="array" ref="F80:F80">OFFSET(E80,-1,1)</f>
        <v>0</v>
      </c>
      <c r="G80" s="1758"/>
      <c r="H80" s="122" t="s">
        <v>2096</v>
      </c>
      <c r="I80" s="1758"/>
      <c r="J80" s="1758"/>
      <c r="K80" s="1758"/>
      <c r="L80" s="1758"/>
      <c r="M80" s="1758"/>
      <c r="N80" s="1758"/>
      <c r="O80" s="1758"/>
      <c r="P80" s="1758"/>
      <c r="Q80" s="1758"/>
      <c r="R80" s="1758"/>
      <c r="S80" s="1758"/>
      <c r="T80" s="465" cm="1" t="str">
        <f t="array" ref="T80:T80">T79</f>
        <v>false</v>
      </c>
      <c r="U80" s="1758"/>
      <c r="V80" s="1758"/>
      <c r="W80" s="1758"/>
      <c r="X80" s="1563"/>
      <c r="Y80" s="1758"/>
      <c r="Z80" s="1546"/>
      <c r="AA80" s="1758"/>
      <c r="AB80" s="299" t="s">
        <v>1755</v>
      </c>
      <c r="AC80" s="765" t="s">
        <v>2097</v>
      </c>
      <c r="AD80" s="300" t="s">
        <v>1514</v>
      </c>
      <c r="AE80" s="3557"/>
      <c r="AF80" s="3557"/>
      <c r="AG80" s="3557"/>
      <c r="AH80" s="3557"/>
      <c r="AI80" s="3557"/>
      <c r="AJ80" s="3557"/>
      <c r="AK80" s="3557"/>
      <c r="AL80" s="3557"/>
      <c r="AM80" s="3557"/>
      <c r="AN80" s="3557"/>
      <c r="AO80" s="3557"/>
      <c r="AP80" s="3557"/>
      <c r="AQ80" s="3557"/>
      <c r="AR80" s="3557"/>
      <c r="AS80" s="3557"/>
      <c r="AT80" s="3557"/>
      <c r="AU80" s="3557"/>
      <c r="AV80" s="3557"/>
      <c r="AW80" s="3557"/>
      <c r="AX80" s="3557"/>
      <c r="AY80" s="3557"/>
      <c r="AZ80" s="3557"/>
      <c r="BA80" s="3557"/>
      <c r="BB80" s="3557"/>
      <c r="BC80" s="3557"/>
      <c r="BD80" s="3557"/>
      <c r="BE80" s="5001"/>
      <c r="BF80" s="1758"/>
      <c r="BG80" s="1758"/>
      <c r="BH80" s="997" t="s">
        <v>2098</v>
      </c>
    </row>
    <row customHeight="1" ht="21.9375" hidden="1">
      <c r="A81" s="1758"/>
      <c r="B81" s="122">
        <f>InvestmentSources_is_one_block="нет"</f>
        <v>1</v>
      </c>
      <c r="C81" s="1758"/>
      <c r="D81" s="1758"/>
      <c r="E81" s="618">
        <v>22.5</v>
      </c>
      <c r="F81" s="50" cm="1" t="str">
        <f t="array" ref="F81:F81">OFFSET(E81,-1,1)</f>
        <v>0</v>
      </c>
      <c r="G81" s="1758"/>
      <c r="H81" s="122" t="s">
        <v>2099</v>
      </c>
      <c r="I81" s="1758"/>
      <c r="J81" s="1758"/>
      <c r="K81" s="1758"/>
      <c r="L81" s="1758"/>
      <c r="M81" s="1758"/>
      <c r="N81" s="1758"/>
      <c r="O81" s="1758"/>
      <c r="P81" s="1758"/>
      <c r="Q81" s="1758"/>
      <c r="R81" s="1758"/>
      <c r="S81" s="1758"/>
      <c r="T81" s="465" cm="1" t="str">
        <f t="array" ref="T81:T81">T80</f>
        <v>false</v>
      </c>
      <c r="U81" s="1758"/>
      <c r="V81" s="1758"/>
      <c r="W81" s="1758"/>
      <c r="X81" s="1563"/>
      <c r="Y81" s="1758"/>
      <c r="Z81" s="1546"/>
      <c r="AA81" s="1758"/>
      <c r="AB81" s="299" t="s">
        <v>2100</v>
      </c>
      <c r="AC81" s="765" t="s">
        <v>2101</v>
      </c>
      <c r="AD81" s="300" t="s">
        <v>1514</v>
      </c>
      <c r="AE81" s="3557"/>
      <c r="AF81" s="3557"/>
      <c r="AG81" s="3557"/>
      <c r="AH81" s="3557"/>
      <c r="AI81" s="3557"/>
      <c r="AJ81" s="3557"/>
      <c r="AK81" s="3557"/>
      <c r="AL81" s="3557"/>
      <c r="AM81" s="3557"/>
      <c r="AN81" s="3557"/>
      <c r="AO81" s="3557"/>
      <c r="AP81" s="3557"/>
      <c r="AQ81" s="3557"/>
      <c r="AR81" s="3557"/>
      <c r="AS81" s="3557"/>
      <c r="AT81" s="3557"/>
      <c r="AU81" s="3557"/>
      <c r="AV81" s="3557"/>
      <c r="AW81" s="3557"/>
      <c r="AX81" s="3557"/>
      <c r="AY81" s="3557"/>
      <c r="AZ81" s="3557"/>
      <c r="BA81" s="3557"/>
      <c r="BB81" s="3557"/>
      <c r="BC81" s="3557"/>
      <c r="BD81" s="3557"/>
      <c r="BE81" s="5001"/>
      <c r="BF81" s="1758"/>
      <c r="BG81" s="1758"/>
      <c r="BH81" s="997" t="s">
        <v>2102</v>
      </c>
    </row>
    <row customHeight="1" ht="14.625" hidden="1">
      <c r="A82" s="1758"/>
      <c r="B82" s="122">
        <f>InvestmentSources_is_one_block="нет"</f>
        <v>1</v>
      </c>
      <c r="C82" s="1758"/>
      <c r="D82" s="1758"/>
      <c r="E82" s="618">
        <v>15</v>
      </c>
      <c r="F82" s="50" cm="1" t="str">
        <f t="array" ref="F82:F82">OFFSET(E82,-1,1)</f>
        <v>0</v>
      </c>
      <c r="G82" s="1758"/>
      <c r="H82" s="122" t="s">
        <v>2103</v>
      </c>
      <c r="I82" s="1758"/>
      <c r="J82" s="1758"/>
      <c r="K82" s="1758"/>
      <c r="L82" s="1758"/>
      <c r="M82" s="1758"/>
      <c r="N82" s="1758"/>
      <c r="O82" s="1758"/>
      <c r="P82" s="1758"/>
      <c r="Q82" s="1758"/>
      <c r="R82" s="1758"/>
      <c r="S82" s="1758"/>
      <c r="T82" s="465" cm="1" t="str">
        <f t="array" ref="T82:T82">T81</f>
        <v>false</v>
      </c>
      <c r="U82" s="1758"/>
      <c r="V82" s="1758"/>
      <c r="W82" s="1758"/>
      <c r="X82" s="1563"/>
      <c r="Y82" s="1758"/>
      <c r="Z82" s="1546"/>
      <c r="AA82" s="1758"/>
      <c r="AB82" s="299" t="s">
        <v>2104</v>
      </c>
      <c r="AC82" s="765" t="s">
        <v>2105</v>
      </c>
      <c r="AD82" s="300" t="s">
        <v>1514</v>
      </c>
      <c r="AE82" s="3557"/>
      <c r="AF82" s="3557"/>
      <c r="AG82" s="3557"/>
      <c r="AH82" s="3557"/>
      <c r="AI82" s="3557"/>
      <c r="AJ82" s="3557"/>
      <c r="AK82" s="3557"/>
      <c r="AL82" s="3557"/>
      <c r="AM82" s="3557"/>
      <c r="AN82" s="3557"/>
      <c r="AO82" s="3557"/>
      <c r="AP82" s="3557"/>
      <c r="AQ82" s="3557"/>
      <c r="AR82" s="3557"/>
      <c r="AS82" s="3557"/>
      <c r="AT82" s="3557"/>
      <c r="AU82" s="3557"/>
      <c r="AV82" s="3557"/>
      <c r="AW82" s="3557"/>
      <c r="AX82" s="3557"/>
      <c r="AY82" s="3557"/>
      <c r="AZ82" s="3557"/>
      <c r="BA82" s="3557"/>
      <c r="BB82" s="3557"/>
      <c r="BC82" s="3557"/>
      <c r="BD82" s="3557"/>
      <c r="BE82" s="5001"/>
      <c r="BF82" s="1758"/>
      <c r="BG82" s="1758"/>
      <c r="BH82" s="997" t="s">
        <v>2106</v>
      </c>
    </row>
    <row s="698" customFormat="1" customHeight="1" ht="21.9375" hidden="1">
      <c r="A83" s="698"/>
      <c r="B83" s="122">
        <f>InvestmentSources_is_one_block="нет"</f>
        <v>1</v>
      </c>
      <c r="C83" s="698"/>
      <c r="D83" s="698"/>
      <c r="E83" s="691">
        <v>22.5</v>
      </c>
      <c r="F83" s="50" cm="1" t="str">
        <f t="array" ref="F83:F83">OFFSET(E83,-1,1)</f>
        <v>0</v>
      </c>
      <c r="G83" s="122"/>
      <c r="H83" s="122" t="s">
        <v>333</v>
      </c>
      <c r="I83" s="698"/>
      <c r="J83" s="698"/>
      <c r="K83" s="698"/>
      <c r="L83" s="698"/>
      <c r="M83" s="698"/>
      <c r="N83" s="698"/>
      <c r="O83" s="698"/>
      <c r="P83" s="698"/>
      <c r="Q83" s="698"/>
      <c r="R83" s="698"/>
      <c r="S83" s="698"/>
      <c r="T83" s="465" cm="1" t="str">
        <f t="array" ref="T83:T83">T82</f>
        <v>false</v>
      </c>
      <c r="U83" s="698"/>
      <c r="V83" s="698"/>
      <c r="W83" s="698"/>
      <c r="X83" s="1563"/>
      <c r="Y83" s="698"/>
      <c r="Z83" s="1546"/>
      <c r="AA83" s="698"/>
      <c r="AB83" s="218" t="s">
        <v>285</v>
      </c>
      <c r="AC83" s="219" t="s">
        <v>2107</v>
      </c>
      <c r="AD83" s="211" t="s">
        <v>1514</v>
      </c>
      <c r="AE83" s="213">
        <f>AE84+AE85+AE86</f>
        <v>0</v>
      </c>
      <c r="AF83" s="213">
        <f>AF84+AF85+AF86</f>
        <v>0</v>
      </c>
      <c r="AG83" s="213">
        <f>AG84+AG85+AG86</f>
        <v>0</v>
      </c>
      <c r="AH83" s="213">
        <f>AH84+AH85+AH86</f>
        <v>0</v>
      </c>
      <c r="AI83" s="213">
        <f>AI84+AI85+AI86</f>
        <v>0</v>
      </c>
      <c r="AJ83" s="213">
        <f>AJ84+AJ85+AJ86</f>
        <v>0</v>
      </c>
      <c r="AK83" s="213">
        <f>AK84+AK85+AK86</f>
        <v>0</v>
      </c>
      <c r="AL83" s="213">
        <f>AL84+AL85+AL86</f>
        <v>0</v>
      </c>
      <c r="AM83" s="213">
        <f>AM84+AM85+AM86</f>
        <v>0</v>
      </c>
      <c r="AN83" s="213">
        <f>AN84+AN85+AN86</f>
        <v>0</v>
      </c>
      <c r="AO83" s="213">
        <f>AO84+AO85+AO86</f>
        <v>0</v>
      </c>
      <c r="AP83" s="213">
        <f>AP84+AP85+AP86</f>
        <v>0</v>
      </c>
      <c r="AQ83" s="213">
        <f>AQ84+AQ85+AQ86</f>
        <v>0</v>
      </c>
      <c r="AR83" s="213">
        <f>AR84+AR85+AR86</f>
        <v>0</v>
      </c>
      <c r="AS83" s="213">
        <f>AS84+AS85+AS86</f>
        <v>0</v>
      </c>
      <c r="AT83" s="213">
        <f>AT84+AT85+AT86</f>
        <v>0</v>
      </c>
      <c r="AU83" s="213">
        <f>AU84+AU85+AU86</f>
        <v>0</v>
      </c>
      <c r="AV83" s="213">
        <f>AV84+AV85+AV86</f>
        <v>0</v>
      </c>
      <c r="AW83" s="213">
        <f>AW84+AW85+AW86</f>
        <v>0</v>
      </c>
      <c r="AX83" s="213">
        <f>AX84+AX85+AX86</f>
        <v>0</v>
      </c>
      <c r="AY83" s="213">
        <f>AY84+AY85+AY86</f>
        <v>0</v>
      </c>
      <c r="AZ83" s="213">
        <f>AZ84+AZ85+AZ86</f>
        <v>0</v>
      </c>
      <c r="BA83" s="213">
        <f>BA84+BA85+BA86</f>
        <v>0</v>
      </c>
      <c r="BB83" s="213">
        <f>BB84+BB85+BB86</f>
        <v>0</v>
      </c>
      <c r="BC83" s="213">
        <f>BC84+BC85+BC86</f>
        <v>0</v>
      </c>
      <c r="BD83" s="213">
        <f>BD84+BD85+BD86</f>
        <v>0</v>
      </c>
      <c r="BE83" s="5001"/>
      <c r="BF83" s="698"/>
      <c r="BG83" s="698"/>
      <c r="BH83" s="1051" t="s">
        <v>2108</v>
      </c>
    </row>
    <row customHeight="1" ht="14.625" hidden="1">
      <c r="A84" s="1758"/>
      <c r="B84" s="122">
        <f>InvestmentSources_is_one_block="нет"</f>
        <v>1</v>
      </c>
      <c r="C84" s="1758"/>
      <c r="D84" s="1758"/>
      <c r="E84" s="618">
        <v>15</v>
      </c>
      <c r="F84" s="50" cm="1" t="str">
        <f t="array" ref="F84:F84">OFFSET(E84,-1,1)</f>
        <v>0</v>
      </c>
      <c r="G84" s="1758"/>
      <c r="H84" s="122" t="s">
        <v>1193</v>
      </c>
      <c r="I84" s="1758"/>
      <c r="J84" s="1758"/>
      <c r="K84" s="124" t="str">
        <f>F84&amp;"2komm"</f>
        <v>02komm</v>
      </c>
      <c r="L84" s="124" cm="1" t="str">
        <f t="array" ref="L84:L84">BE84</f>
        <v>0</v>
      </c>
      <c r="M84" s="1758"/>
      <c r="N84" s="1758"/>
      <c r="O84" s="1758"/>
      <c r="P84" s="1758"/>
      <c r="Q84" s="1758"/>
      <c r="R84" s="1758"/>
      <c r="S84" s="1758"/>
      <c r="T84" s="465" cm="1" t="str">
        <f t="array" ref="T84:T84">T83</f>
        <v>false</v>
      </c>
      <c r="U84" s="1758"/>
      <c r="V84" s="1758"/>
      <c r="W84" s="1758"/>
      <c r="X84" s="1563"/>
      <c r="Y84" s="1758"/>
      <c r="Z84" s="1546"/>
      <c r="AA84" s="1758"/>
      <c r="AB84" s="299" t="s">
        <v>1250</v>
      </c>
      <c r="AC84" s="762" t="s">
        <v>2109</v>
      </c>
      <c r="AD84" s="300" t="s">
        <v>1514</v>
      </c>
      <c r="AE84" s="3557"/>
      <c r="AF84" s="3557"/>
      <c r="AG84" s="3557"/>
      <c r="AH84" s="3557"/>
      <c r="AI84" s="3557"/>
      <c r="AJ84" s="3557"/>
      <c r="AK84" s="3557"/>
      <c r="AL84" s="3557"/>
      <c r="AM84" s="3557"/>
      <c r="AN84" s="3557"/>
      <c r="AO84" s="3557"/>
      <c r="AP84" s="3557"/>
      <c r="AQ84" s="3557"/>
      <c r="AR84" s="3557"/>
      <c r="AS84" s="3557"/>
      <c r="AT84" s="3557"/>
      <c r="AU84" s="3557"/>
      <c r="AV84" s="3557"/>
      <c r="AW84" s="3557"/>
      <c r="AX84" s="3557"/>
      <c r="AY84" s="3557"/>
      <c r="AZ84" s="3557"/>
      <c r="BA84" s="3557"/>
      <c r="BB84" s="3557"/>
      <c r="BC84" s="3557"/>
      <c r="BD84" s="3557"/>
      <c r="BE84" s="5001"/>
      <c r="BF84" s="1758"/>
      <c r="BG84" s="1758"/>
      <c r="BH84" s="997" t="s">
        <v>2110</v>
      </c>
    </row>
    <row customHeight="1" ht="14.625" hidden="1">
      <c r="A85" s="1758"/>
      <c r="B85" s="122">
        <f>InvestmentSources_is_one_block="нет"</f>
        <v>1</v>
      </c>
      <c r="C85" s="1758"/>
      <c r="D85" s="1758"/>
      <c r="E85" s="618">
        <v>15</v>
      </c>
      <c r="F85" s="50" cm="1" t="str">
        <f t="array" ref="F85:F85">OFFSET(E85,-1,1)</f>
        <v>0</v>
      </c>
      <c r="G85" s="1758"/>
      <c r="H85" s="122" t="s">
        <v>1196</v>
      </c>
      <c r="I85" s="1758"/>
      <c r="J85" s="1758"/>
      <c r="K85" s="124" t="str">
        <f>F85&amp;"3komm"</f>
        <v>03komm</v>
      </c>
      <c r="L85" s="124" cm="1" t="str">
        <f t="array" ref="L85:L85">BE85</f>
        <v>0</v>
      </c>
      <c r="M85" s="1758"/>
      <c r="N85" s="1758"/>
      <c r="O85" s="1758"/>
      <c r="P85" s="1758"/>
      <c r="Q85" s="1758"/>
      <c r="R85" s="1758"/>
      <c r="S85" s="1758"/>
      <c r="T85" s="465" cm="1" t="str">
        <f t="array" ref="T85:T85">T84</f>
        <v>false</v>
      </c>
      <c r="U85" s="1758"/>
      <c r="V85" s="1758"/>
      <c r="W85" s="1758"/>
      <c r="X85" s="1563"/>
      <c r="Y85" s="1758"/>
      <c r="Z85" s="1546"/>
      <c r="AA85" s="1758"/>
      <c r="AB85" s="299" t="s">
        <v>1254</v>
      </c>
      <c r="AC85" s="762" t="s">
        <v>2111</v>
      </c>
      <c r="AD85" s="300" t="s">
        <v>1514</v>
      </c>
      <c r="AE85" s="3557"/>
      <c r="AF85" s="3557"/>
      <c r="AG85" s="3557"/>
      <c r="AH85" s="3557"/>
      <c r="AI85" s="3557"/>
      <c r="AJ85" s="3557"/>
      <c r="AK85" s="3557"/>
      <c r="AL85" s="3557"/>
      <c r="AM85" s="3557"/>
      <c r="AN85" s="3557"/>
      <c r="AO85" s="3557"/>
      <c r="AP85" s="3557"/>
      <c r="AQ85" s="3557"/>
      <c r="AR85" s="3557"/>
      <c r="AS85" s="3557"/>
      <c r="AT85" s="3557"/>
      <c r="AU85" s="3557"/>
      <c r="AV85" s="3557"/>
      <c r="AW85" s="3557"/>
      <c r="AX85" s="3557"/>
      <c r="AY85" s="3557"/>
      <c r="AZ85" s="3557"/>
      <c r="BA85" s="3557"/>
      <c r="BB85" s="3557"/>
      <c r="BC85" s="3557"/>
      <c r="BD85" s="3557"/>
      <c r="BE85" s="5001"/>
      <c r="BF85" s="1758"/>
      <c r="BG85" s="1758"/>
      <c r="BH85" s="997" t="s">
        <v>2112</v>
      </c>
    </row>
    <row customHeight="1" ht="14.625" hidden="1">
      <c r="A86" s="1758"/>
      <c r="B86" s="122">
        <f>InvestmentSources_is_one_block="нет"</f>
        <v>1</v>
      </c>
      <c r="C86" s="1758"/>
      <c r="D86" s="1758"/>
      <c r="E86" s="618">
        <v>15</v>
      </c>
      <c r="F86" s="50" cm="1" t="str">
        <f t="array" ref="F86:F86">OFFSET(E86,-1,1)</f>
        <v>0</v>
      </c>
      <c r="G86" s="1758"/>
      <c r="H86" s="122" t="s">
        <v>1648</v>
      </c>
      <c r="I86" s="1758"/>
      <c r="J86" s="1758"/>
      <c r="K86" s="1758"/>
      <c r="L86" s="1758"/>
      <c r="M86" s="1758"/>
      <c r="N86" s="1758"/>
      <c r="O86" s="1758"/>
      <c r="P86" s="1758"/>
      <c r="Q86" s="1758"/>
      <c r="R86" s="1758"/>
      <c r="S86" s="1758"/>
      <c r="T86" s="465" cm="1" t="str">
        <f t="array" ref="T86:T86">T85</f>
        <v>false</v>
      </c>
      <c r="U86" s="1758"/>
      <c r="V86" s="1758"/>
      <c r="W86" s="1758"/>
      <c r="X86" s="1563"/>
      <c r="Y86" s="1758"/>
      <c r="Z86" s="1546"/>
      <c r="AA86" s="1758"/>
      <c r="AB86" s="299" t="s">
        <v>1258</v>
      </c>
      <c r="AC86" s="762" t="s">
        <v>2113</v>
      </c>
      <c r="AD86" s="300" t="s">
        <v>1514</v>
      </c>
      <c r="AE86" s="3557"/>
      <c r="AF86" s="3557"/>
      <c r="AG86" s="3557"/>
      <c r="AH86" s="3557"/>
      <c r="AI86" s="3557"/>
      <c r="AJ86" s="3557"/>
      <c r="AK86" s="3557"/>
      <c r="AL86" s="3557"/>
      <c r="AM86" s="3557"/>
      <c r="AN86" s="3557"/>
      <c r="AO86" s="3557"/>
      <c r="AP86" s="3557"/>
      <c r="AQ86" s="3557"/>
      <c r="AR86" s="3557"/>
      <c r="AS86" s="3557"/>
      <c r="AT86" s="3557"/>
      <c r="AU86" s="3557"/>
      <c r="AV86" s="3557"/>
      <c r="AW86" s="3557"/>
      <c r="AX86" s="3557"/>
      <c r="AY86" s="3557"/>
      <c r="AZ86" s="3557"/>
      <c r="BA86" s="3557"/>
      <c r="BB86" s="3557"/>
      <c r="BC86" s="3557"/>
      <c r="BD86" s="3557"/>
      <c r="BE86" s="5001"/>
      <c r="BF86" s="1758"/>
      <c r="BG86" s="1758"/>
      <c r="BH86" s="997" t="s">
        <v>2114</v>
      </c>
    </row>
    <row s="1834" customFormat="1" customHeight="1" ht="14.25">
      <c r="A87" s="1758"/>
      <c r="B87" s="122">
        <f>InvestmentSources_is_one_block="нет"</f>
        <v>1</v>
      </c>
      <c r="C87" s="1758"/>
      <c r="D87" s="1758"/>
      <c r="E87" s="618">
        <v>15</v>
      </c>
      <c r="F87" s="98" cm="1" t="str">
        <f t="array" ref="F87:F87">X87</f>
        <v>1</v>
      </c>
      <c r="G87" s="1758"/>
      <c r="H87" s="1758"/>
      <c r="I87" s="1758"/>
      <c r="J87" s="1758"/>
      <c r="K87" s="1758"/>
      <c r="L87" s="1758"/>
      <c r="M87" s="1758"/>
      <c r="N87" s="1758"/>
      <c r="O87" s="1758"/>
      <c r="P87" s="1758"/>
      <c r="Q87" s="1758"/>
      <c r="R87" s="1758"/>
      <c r="S87" s="1758"/>
      <c r="T87" s="465">
        <f>X87&gt;0</f>
        <v>1</v>
      </c>
      <c r="U87" s="1758"/>
      <c r="V87" s="122" cm="1" t="str">
        <f t="array" ref="V87:V87">Налоги!$AB$41</f>
        <v>Тариф 1 (Водоснабжение) - тариф на питьевую воду (Доп. признак не требуется)</v>
      </c>
      <c r="W87" s="1758"/>
      <c r="X87" s="1563" t="s">
        <v>276</v>
      </c>
      <c r="Y87" s="1758"/>
      <c r="Z87" s="1546"/>
      <c r="AA87" s="1758"/>
      <c r="AB87" s="242" cm="1" t="str">
        <f t="array" ref="AB87:AB87">Налоги!$AB$41</f>
        <v>Тариф 1 (Водоснабжение) - тариф на питьевую воду (Доп. признак не требуется)</v>
      </c>
      <c r="AC87" s="832"/>
      <c r="AD87" s="832"/>
      <c r="AE87" s="832"/>
      <c r="AF87" s="832"/>
      <c r="AG87" s="832"/>
      <c r="AH87" s="832"/>
      <c r="AI87" s="832"/>
      <c r="AJ87" s="832"/>
      <c r="AK87" s="832"/>
      <c r="AL87" s="832"/>
      <c r="AM87" s="832"/>
      <c r="AN87" s="832"/>
      <c r="AO87" s="832"/>
      <c r="AP87" s="832"/>
      <c r="AQ87" s="832"/>
      <c r="AR87" s="832"/>
      <c r="AS87" s="832"/>
      <c r="AT87" s="832"/>
      <c r="AU87" s="832"/>
      <c r="AV87" s="832"/>
      <c r="AW87" s="832"/>
      <c r="AX87" s="832"/>
      <c r="AY87" s="832"/>
      <c r="AZ87" s="832"/>
      <c r="BA87" s="832"/>
      <c r="BB87" s="832"/>
      <c r="BC87" s="832"/>
      <c r="BD87" s="832"/>
      <c r="BE87" s="832"/>
      <c r="BF87" s="1758"/>
      <c r="BG87" s="1758"/>
      <c r="BH87" s="1764"/>
    </row>
    <row s="1469" customFormat="1" customHeight="1" ht="21.75">
      <c r="A88" s="698"/>
      <c r="B88" s="122">
        <f>InvestmentSources_is_one_block="нет"</f>
        <v>1</v>
      </c>
      <c r="C88" s="698"/>
      <c r="D88" s="698"/>
      <c r="E88" s="691">
        <v>22.5</v>
      </c>
      <c r="F88" s="50" cm="1" t="str">
        <f t="array" ref="F88:F88">OFFSET(E88,-1,1)</f>
        <v>1</v>
      </c>
      <c r="G88" s="122"/>
      <c r="H88" s="122" t="s">
        <v>332</v>
      </c>
      <c r="I88" s="698"/>
      <c r="J88" s="698"/>
      <c r="K88" s="698"/>
      <c r="L88" s="698"/>
      <c r="M88" s="698"/>
      <c r="N88" s="698"/>
      <c r="O88" s="698"/>
      <c r="P88" s="698"/>
      <c r="Q88" s="698"/>
      <c r="R88" s="698"/>
      <c r="S88" s="698"/>
      <c r="T88" s="465" cm="1" t="str">
        <f t="array" ref="T88:T88">T87</f>
        <v>true</v>
      </c>
      <c r="U88" s="698"/>
      <c r="V88" s="698"/>
      <c r="W88" s="698"/>
      <c r="X88" s="1563"/>
      <c r="Y88" s="698"/>
      <c r="Z88" s="1546"/>
      <c r="AA88" s="698"/>
      <c r="AB88" s="218">
        <v>1</v>
      </c>
      <c r="AC88" s="212" t="s">
        <v>2036</v>
      </c>
      <c r="AD88" s="211" t="s">
        <v>1514</v>
      </c>
      <c r="AE88" s="213">
        <f>AE89+AE99+AE103+AE107</f>
        <v>0</v>
      </c>
      <c r="AF88" s="213">
        <f>AF89+AF99+AF103+AF107</f>
        <v>0</v>
      </c>
      <c r="AG88" s="213">
        <f>AG89+AG99+AG103+AG107</f>
        <v>0</v>
      </c>
      <c r="AH88" s="213">
        <f>AH89+AH99+AH103+AH107</f>
        <v>0</v>
      </c>
      <c r="AI88" s="213">
        <f>AI89+AI99+AI103+AI107</f>
        <v>0</v>
      </c>
      <c r="AJ88" s="213">
        <f>AJ89+AJ99+AJ103+AJ107</f>
        <v>0</v>
      </c>
      <c r="AK88" s="213">
        <f>AK89+AK99+AK103+AK107</f>
        <v>0</v>
      </c>
      <c r="AL88" s="213">
        <f>AL89+AL99+AL103+AL107</f>
        <v>0</v>
      </c>
      <c r="AM88" s="213">
        <f>AM89+AM99+AM103+AM107</f>
        <v>0</v>
      </c>
      <c r="AN88" s="213">
        <f>AN89+AN99+AN103+AN107</f>
        <v>0</v>
      </c>
      <c r="AO88" s="213">
        <f>AO89+AO99+AO103+AO107</f>
        <v>0</v>
      </c>
      <c r="AP88" s="213">
        <f>AP89+AP99+AP103+AP107</f>
        <v>0</v>
      </c>
      <c r="AQ88" s="213">
        <f>AQ89+AQ99+AQ103+AQ107</f>
        <v>0</v>
      </c>
      <c r="AR88" s="213">
        <f>AR89+AR99+AR103+AR107</f>
        <v>0</v>
      </c>
      <c r="AS88" s="213">
        <f>AS89+AS99+AS103+AS107</f>
        <v>0</v>
      </c>
      <c r="AT88" s="213">
        <f>AT89+AT99+AT103+AT107</f>
        <v>0</v>
      </c>
      <c r="AU88" s="213">
        <f>AU89+AU99+AU103+AU107</f>
        <v>0</v>
      </c>
      <c r="AV88" s="213">
        <f>AV89+AV99+AV103+AV107</f>
        <v>0</v>
      </c>
      <c r="AW88" s="213">
        <f>AW89+AW99+AW103+AW107</f>
        <v>0</v>
      </c>
      <c r="AX88" s="213">
        <f>AX89+AX99+AX103+AX107</f>
        <v>0</v>
      </c>
      <c r="AY88" s="213">
        <f>AY89+AY99+AY103+AY107</f>
        <v>0</v>
      </c>
      <c r="AZ88" s="213">
        <f>AZ89+AZ99+AZ103+AZ107</f>
        <v>0</v>
      </c>
      <c r="BA88" s="213">
        <f>BA89+BA99+BA103+BA107</f>
        <v>0</v>
      </c>
      <c r="BB88" s="213">
        <f>BB89+BB99+BB103+BB107</f>
        <v>0</v>
      </c>
      <c r="BC88" s="213">
        <f>BC89+BC99+BC103+BC107</f>
        <v>0</v>
      </c>
      <c r="BD88" s="213">
        <f>BD89+BD99+BD103+BD107</f>
        <v>0</v>
      </c>
      <c r="BE88" s="774"/>
      <c r="BF88" s="698"/>
      <c r="BG88" s="698"/>
      <c r="BH88" s="1051" t="s">
        <v>2037</v>
      </c>
    </row>
    <row s="1834" customFormat="1" customHeight="1" ht="14.25">
      <c r="A89" s="1758"/>
      <c r="B89" s="122">
        <f>InvestmentSources_is_one_block="нет"</f>
        <v>1</v>
      </c>
      <c r="C89" s="1758"/>
      <c r="D89" s="1758"/>
      <c r="E89" s="618">
        <v>15</v>
      </c>
      <c r="F89" s="50" cm="1" t="str">
        <f t="array" ref="F89:F89">OFFSET(E89,-1,1)</f>
        <v>1</v>
      </c>
      <c r="G89" s="1758"/>
      <c r="H89" s="122" t="s">
        <v>1175</v>
      </c>
      <c r="I89" s="1758"/>
      <c r="J89" s="1758"/>
      <c r="K89" s="1758"/>
      <c r="L89" s="1758"/>
      <c r="M89" s="1758"/>
      <c r="N89" s="1758"/>
      <c r="O89" s="1758"/>
      <c r="P89" s="1758"/>
      <c r="Q89" s="1758"/>
      <c r="R89" s="1758"/>
      <c r="S89" s="1758"/>
      <c r="T89" s="465" cm="1" t="str">
        <f t="array" ref="T89:T89">T88</f>
        <v>true</v>
      </c>
      <c r="U89" s="1758"/>
      <c r="V89" s="1758"/>
      <c r="W89" s="1758"/>
      <c r="X89" s="1563"/>
      <c r="Y89" s="1758"/>
      <c r="Z89" s="1546"/>
      <c r="AA89" s="1758"/>
      <c r="AB89" s="299" t="s">
        <v>1628</v>
      </c>
      <c r="AC89" s="762" t="s">
        <v>2038</v>
      </c>
      <c r="AD89" s="300" t="s">
        <v>1514</v>
      </c>
      <c r="AE89" s="783">
        <f>AE90+AE91+AE92+AE93+AE94</f>
        <v>0</v>
      </c>
      <c r="AF89" s="783">
        <f>AF90+AF91+AF92+AF93+AF94</f>
        <v>0</v>
      </c>
      <c r="AG89" s="783">
        <f>AG90+AG91+AG92+AG93+AG94</f>
        <v>0</v>
      </c>
      <c r="AH89" s="783">
        <f>AH90+AH91+AH92+AH93+AH94</f>
        <v>0</v>
      </c>
      <c r="AI89" s="783">
        <f>AI90+AI91+AI92+AI93+AI94</f>
        <v>0</v>
      </c>
      <c r="AJ89" s="783">
        <f>AJ90+AJ91+AJ92+AJ93+AJ94</f>
        <v>0</v>
      </c>
      <c r="AK89" s="783">
        <f>AK90+AK91+AK92+AK93+AK94</f>
        <v>0</v>
      </c>
      <c r="AL89" s="783">
        <f>AL90+AL91+AL92+AL93+AL94</f>
        <v>0</v>
      </c>
      <c r="AM89" s="783">
        <f>AM90+AM91+AM92+AM93+AM94</f>
        <v>0</v>
      </c>
      <c r="AN89" s="783">
        <f>AN90+AN91+AN92+AN93+AN94</f>
        <v>0</v>
      </c>
      <c r="AO89" s="783">
        <f>AO90+AO91+AO92+AO93+AO94</f>
        <v>0</v>
      </c>
      <c r="AP89" s="783">
        <f>AP90+AP91+AP92+AP93+AP94</f>
        <v>0</v>
      </c>
      <c r="AQ89" s="783">
        <f>AQ90+AQ91+AQ92+AQ93+AQ94</f>
        <v>0</v>
      </c>
      <c r="AR89" s="783">
        <f>AR90+AR91+AR92+AR93+AR94</f>
        <v>0</v>
      </c>
      <c r="AS89" s="783">
        <f>AS90+AS91+AS92+AS93+AS94</f>
        <v>0</v>
      </c>
      <c r="AT89" s="783">
        <f>AT90+AT91+AT92+AT93+AT94</f>
        <v>0</v>
      </c>
      <c r="AU89" s="783">
        <f>AU90+AU91+AU92+AU93+AU94</f>
        <v>0</v>
      </c>
      <c r="AV89" s="783">
        <f>AV90+AV91+AV92+AV93+AV94</f>
        <v>0</v>
      </c>
      <c r="AW89" s="783">
        <f>AW90+AW91+AW92+AW93+AW94</f>
        <v>0</v>
      </c>
      <c r="AX89" s="783">
        <f>AX90+AX91+AX92+AX93+AX94</f>
        <v>0</v>
      </c>
      <c r="AY89" s="783">
        <f>AY90+AY91+AY92+AY93+AY94</f>
        <v>0</v>
      </c>
      <c r="AZ89" s="783">
        <f>AZ90+AZ91+AZ92+AZ93+AZ94</f>
        <v>0</v>
      </c>
      <c r="BA89" s="783">
        <f>BA90+BA91+BA92+BA93+BA94</f>
        <v>0</v>
      </c>
      <c r="BB89" s="783">
        <f>BB90+BB91+BB92+BB93+BB94</f>
        <v>0</v>
      </c>
      <c r="BC89" s="783">
        <f>BC90+BC91+BC92+BC93+BC94</f>
        <v>0</v>
      </c>
      <c r="BD89" s="783">
        <f>BD90+BD91+BD92+BD93+BD94</f>
        <v>0</v>
      </c>
      <c r="BE89" s="774"/>
      <c r="BF89" s="1758"/>
      <c r="BG89" s="1758"/>
      <c r="BH89" s="997" t="s">
        <v>2039</v>
      </c>
    </row>
    <row s="1834" customFormat="1" customHeight="1" ht="14.25">
      <c r="A90" s="1758"/>
      <c r="B90" s="122">
        <f>InvestmentSources_is_one_block="нет"</f>
        <v>1</v>
      </c>
      <c r="C90" s="1758"/>
      <c r="D90" s="1758"/>
      <c r="E90" s="618">
        <v>15</v>
      </c>
      <c r="F90" s="50" cm="1" t="str">
        <f t="array" ref="F90:F90">OFFSET(E90,-1,1)</f>
        <v>1</v>
      </c>
      <c r="G90" s="1758"/>
      <c r="H90" s="122" t="s">
        <v>1735</v>
      </c>
      <c r="I90" s="1758"/>
      <c r="J90" s="1758"/>
      <c r="K90" s="1758"/>
      <c r="L90" s="1758"/>
      <c r="M90" s="1758"/>
      <c r="N90" s="1758"/>
      <c r="O90" s="1758"/>
      <c r="P90" s="1758"/>
      <c r="Q90" s="1758"/>
      <c r="R90" s="1758"/>
      <c r="S90" s="1758"/>
      <c r="T90" s="465" cm="1" t="str">
        <f t="array" ref="T90:T90">T89</f>
        <v>true</v>
      </c>
      <c r="U90" s="1758"/>
      <c r="V90" s="1758"/>
      <c r="W90" s="1758"/>
      <c r="X90" s="1563"/>
      <c r="Y90" s="1758"/>
      <c r="Z90" s="1546"/>
      <c r="AA90" s="1758"/>
      <c r="AB90" s="299" t="s">
        <v>1736</v>
      </c>
      <c r="AC90" s="765" t="s">
        <v>2040</v>
      </c>
      <c r="AD90" s="300" t="s">
        <v>1514</v>
      </c>
      <c r="AE90" s="772"/>
      <c r="AF90" s="772"/>
      <c r="AG90" s="772"/>
      <c r="AH90" s="772"/>
      <c r="AI90" s="772"/>
      <c r="AJ90" s="772"/>
      <c r="AK90" s="772"/>
      <c r="AL90" s="772"/>
      <c r="AM90" s="772"/>
      <c r="AN90" s="772"/>
      <c r="AO90" s="772"/>
      <c r="AP90" s="3557"/>
      <c r="AQ90" s="3557"/>
      <c r="AR90" s="3557"/>
      <c r="AS90" s="3557"/>
      <c r="AT90" s="3557"/>
      <c r="AU90" s="772"/>
      <c r="AV90" s="772"/>
      <c r="AW90" s="772"/>
      <c r="AX90" s="772"/>
      <c r="AY90" s="772"/>
      <c r="AZ90" s="3557"/>
      <c r="BA90" s="3557"/>
      <c r="BB90" s="3557"/>
      <c r="BC90" s="3557"/>
      <c r="BD90" s="3557"/>
      <c r="BE90" s="774"/>
      <c r="BF90" s="1758"/>
      <c r="BG90" s="1758"/>
      <c r="BH90" s="997" t="s">
        <v>1960</v>
      </c>
    </row>
    <row s="1834" customFormat="1" customHeight="1" ht="14.25">
      <c r="A91" s="1758"/>
      <c r="B91" s="122">
        <f>InvestmentSources_is_one_block="нет"</f>
        <v>1</v>
      </c>
      <c r="C91" s="1758"/>
      <c r="D91" s="1758"/>
      <c r="E91" s="618">
        <v>15</v>
      </c>
      <c r="F91" s="50" cm="1" t="str">
        <f t="array" ref="F91:F91">OFFSET(E91,-1,1)</f>
        <v>1</v>
      </c>
      <c r="G91" s="1758"/>
      <c r="H91" s="122" t="s">
        <v>1739</v>
      </c>
      <c r="I91" s="1758"/>
      <c r="J91" s="1758"/>
      <c r="K91" s="124" t="str">
        <f>F91&amp;"1komm"</f>
        <v>11komm</v>
      </c>
      <c r="L91" s="919" cm="1" t="str">
        <f t="array" ref="L91:L91">BE91</f>
        <v>0</v>
      </c>
      <c r="M91" s="1758"/>
      <c r="N91" s="1758"/>
      <c r="O91" s="1758"/>
      <c r="P91" s="1758"/>
      <c r="Q91" s="1758"/>
      <c r="R91" s="1758"/>
      <c r="S91" s="1758"/>
      <c r="T91" s="465" cm="1" t="str">
        <f t="array" ref="T91:T91">T90</f>
        <v>true</v>
      </c>
      <c r="U91" s="1758"/>
      <c r="V91" s="1758"/>
      <c r="W91" s="1758"/>
      <c r="X91" s="1563"/>
      <c r="Y91" s="1758"/>
      <c r="Z91" s="1546"/>
      <c r="AA91" s="1758"/>
      <c r="AB91" s="299" t="s">
        <v>1740</v>
      </c>
      <c r="AC91" s="765" t="s">
        <v>2041</v>
      </c>
      <c r="AD91" s="300" t="s">
        <v>1514</v>
      </c>
      <c r="AE91" s="772"/>
      <c r="AF91" s="772"/>
      <c r="AG91" s="772"/>
      <c r="AH91" s="772"/>
      <c r="AI91" s="772"/>
      <c r="AJ91" s="772"/>
      <c r="AK91" s="772"/>
      <c r="AL91" s="772"/>
      <c r="AM91" s="772"/>
      <c r="AN91" s="772"/>
      <c r="AO91" s="772"/>
      <c r="AP91" s="3557"/>
      <c r="AQ91" s="3557"/>
      <c r="AR91" s="3557"/>
      <c r="AS91" s="3557"/>
      <c r="AT91" s="3557"/>
      <c r="AU91" s="772"/>
      <c r="AV91" s="772"/>
      <c r="AW91" s="772"/>
      <c r="AX91" s="772"/>
      <c r="AY91" s="772"/>
      <c r="AZ91" s="3557"/>
      <c r="BA91" s="3557"/>
      <c r="BB91" s="3557"/>
      <c r="BC91" s="3557"/>
      <c r="BD91" s="3557"/>
      <c r="BE91" s="774"/>
      <c r="BF91" s="1758"/>
      <c r="BG91" s="1758"/>
      <c r="BH91" s="997" t="s">
        <v>2042</v>
      </c>
    </row>
    <row s="1834" customFormat="1" customHeight="1" ht="14.25">
      <c r="A92" s="1758"/>
      <c r="B92" s="122">
        <f>InvestmentSources_is_one_block="нет"</f>
        <v>1</v>
      </c>
      <c r="C92" s="1758"/>
      <c r="D92" s="1758"/>
      <c r="E92" s="618">
        <v>15</v>
      </c>
      <c r="F92" s="50" cm="1" t="str">
        <f t="array" ref="F92:F92">OFFSET(E92,-1,1)</f>
        <v>1</v>
      </c>
      <c r="G92" s="1758"/>
      <c r="H92" s="122" t="s">
        <v>2043</v>
      </c>
      <c r="I92" s="1758"/>
      <c r="J92" s="1758"/>
      <c r="K92" s="1758"/>
      <c r="L92" s="1758"/>
      <c r="M92" s="1758"/>
      <c r="N92" s="1758"/>
      <c r="O92" s="1758"/>
      <c r="P92" s="1758"/>
      <c r="Q92" s="1758"/>
      <c r="R92" s="1758"/>
      <c r="S92" s="1758"/>
      <c r="T92" s="465" cm="1" t="str">
        <f t="array" ref="T92:T92">T91</f>
        <v>true</v>
      </c>
      <c r="U92" s="1758"/>
      <c r="V92" s="1758"/>
      <c r="W92" s="1758"/>
      <c r="X92" s="1563"/>
      <c r="Y92" s="1758"/>
      <c r="Z92" s="1546"/>
      <c r="AA92" s="1758"/>
      <c r="AB92" s="299" t="s">
        <v>2044</v>
      </c>
      <c r="AC92" s="765" t="s">
        <v>2045</v>
      </c>
      <c r="AD92" s="300" t="s">
        <v>1514</v>
      </c>
      <c r="AE92" s="772"/>
      <c r="AF92" s="772"/>
      <c r="AG92" s="772"/>
      <c r="AH92" s="772"/>
      <c r="AI92" s="772"/>
      <c r="AJ92" s="772"/>
      <c r="AK92" s="772"/>
      <c r="AL92" s="772"/>
      <c r="AM92" s="772"/>
      <c r="AN92" s="772"/>
      <c r="AO92" s="772"/>
      <c r="AP92" s="3557"/>
      <c r="AQ92" s="3557"/>
      <c r="AR92" s="3557"/>
      <c r="AS92" s="3557"/>
      <c r="AT92" s="3557"/>
      <c r="AU92" s="772"/>
      <c r="AV92" s="772"/>
      <c r="AW92" s="772"/>
      <c r="AX92" s="772"/>
      <c r="AY92" s="772"/>
      <c r="AZ92" s="3557"/>
      <c r="BA92" s="3557"/>
      <c r="BB92" s="3557"/>
      <c r="BC92" s="3557"/>
      <c r="BD92" s="3557"/>
      <c r="BE92" s="774"/>
      <c r="BF92" s="1758"/>
      <c r="BG92" s="1758"/>
      <c r="BH92" s="997" t="s">
        <v>2046</v>
      </c>
    </row>
    <row s="1834" customFormat="1" customHeight="1" ht="14.25">
      <c r="A93" s="1758"/>
      <c r="B93" s="122">
        <f>InvestmentSources_is_one_block="нет"</f>
        <v>1</v>
      </c>
      <c r="C93" s="1758"/>
      <c r="D93" s="1758"/>
      <c r="E93" s="618">
        <v>15</v>
      </c>
      <c r="F93" s="50" cm="1" t="str">
        <f t="array" ref="F93:F93">OFFSET(E93,-1,1)</f>
        <v>1</v>
      </c>
      <c r="G93" s="1758"/>
      <c r="H93" s="122" t="s">
        <v>2047</v>
      </c>
      <c r="I93" s="1758"/>
      <c r="J93" s="1758"/>
      <c r="K93" s="1758"/>
      <c r="L93" s="1758"/>
      <c r="M93" s="1758"/>
      <c r="N93" s="1758"/>
      <c r="O93" s="1758"/>
      <c r="P93" s="1758"/>
      <c r="Q93" s="1758"/>
      <c r="R93" s="1758"/>
      <c r="S93" s="1758"/>
      <c r="T93" s="465" cm="1" t="str">
        <f t="array" ref="T93:T93">T92</f>
        <v>true</v>
      </c>
      <c r="U93" s="1758"/>
      <c r="V93" s="1758"/>
      <c r="W93" s="1758"/>
      <c r="X93" s="1563"/>
      <c r="Y93" s="1758"/>
      <c r="Z93" s="1546"/>
      <c r="AA93" s="1758"/>
      <c r="AB93" s="299" t="s">
        <v>2048</v>
      </c>
      <c r="AC93" s="765" t="s">
        <v>2049</v>
      </c>
      <c r="AD93" s="300" t="s">
        <v>1514</v>
      </c>
      <c r="AE93" s="772"/>
      <c r="AF93" s="772"/>
      <c r="AG93" s="772"/>
      <c r="AH93" s="772"/>
      <c r="AI93" s="772"/>
      <c r="AJ93" s="772"/>
      <c r="AK93" s="772"/>
      <c r="AL93" s="772"/>
      <c r="AM93" s="772"/>
      <c r="AN93" s="772"/>
      <c r="AO93" s="772"/>
      <c r="AP93" s="3557"/>
      <c r="AQ93" s="3557"/>
      <c r="AR93" s="3557"/>
      <c r="AS93" s="3557"/>
      <c r="AT93" s="3557"/>
      <c r="AU93" s="772"/>
      <c r="AV93" s="772"/>
      <c r="AW93" s="772"/>
      <c r="AX93" s="772"/>
      <c r="AY93" s="772"/>
      <c r="AZ93" s="3557"/>
      <c r="BA93" s="3557"/>
      <c r="BB93" s="3557"/>
      <c r="BC93" s="3557"/>
      <c r="BD93" s="3557"/>
      <c r="BE93" s="774"/>
      <c r="BF93" s="1758"/>
      <c r="BG93" s="1758"/>
      <c r="BH93" s="997" t="s">
        <v>2050</v>
      </c>
    </row>
    <row s="1834" customFormat="1" customHeight="1" ht="21.75">
      <c r="A94" s="1758"/>
      <c r="B94" s="122">
        <f>InvestmentSources_is_one_block="нет"</f>
        <v>1</v>
      </c>
      <c r="C94" s="1758"/>
      <c r="D94" s="1758"/>
      <c r="E94" s="618">
        <v>22.5</v>
      </c>
      <c r="F94" s="50" cm="1" t="str">
        <f t="array" ref="F94:F94">OFFSET(E94,-1,1)</f>
        <v>1</v>
      </c>
      <c r="G94" s="1758"/>
      <c r="H94" s="1758"/>
      <c r="I94" s="1758"/>
      <c r="J94" s="1758"/>
      <c r="K94" s="1758"/>
      <c r="L94" s="1758"/>
      <c r="M94" s="1758"/>
      <c r="N94" s="1758"/>
      <c r="O94" s="1758"/>
      <c r="P94" s="1758"/>
      <c r="Q94" s="1758"/>
      <c r="R94" s="1758"/>
      <c r="S94" s="1758"/>
      <c r="T94" s="465" cm="1" t="str">
        <f t="array" ref="T94:T94">T93</f>
        <v>true</v>
      </c>
      <c r="U94" s="1758"/>
      <c r="V94" s="1758"/>
      <c r="W94" s="1758"/>
      <c r="X94" s="1563"/>
      <c r="Y94" s="1758"/>
      <c r="Z94" s="1546"/>
      <c r="AA94" s="1758"/>
      <c r="AB94" s="299" t="s">
        <v>2051</v>
      </c>
      <c r="AC94" s="765" t="s">
        <v>2052</v>
      </c>
      <c r="AD94" s="300" t="s">
        <v>1514</v>
      </c>
      <c r="AE94" s="772">
        <f>AE95+AE96+AE97+AE98</f>
        <v>0</v>
      </c>
      <c r="AF94" s="772">
        <f>AF95+AF96+AF97+AF98</f>
        <v>0</v>
      </c>
      <c r="AG94" s="772">
        <f>AG95+AG96+AG97+AG98</f>
        <v>0</v>
      </c>
      <c r="AH94" s="772">
        <f>AH95+AH96+AH97+AH98</f>
        <v>0</v>
      </c>
      <c r="AI94" s="772">
        <f>AI95+AI96+AI97+AI98</f>
        <v>0</v>
      </c>
      <c r="AJ94" s="772">
        <f>AJ95+AJ96+AJ97+AJ98</f>
        <v>0</v>
      </c>
      <c r="AK94" s="772">
        <f>AK95+AK96+AK97+AK98</f>
        <v>0</v>
      </c>
      <c r="AL94" s="772">
        <f>AL95+AL96+AL97+AL98</f>
        <v>0</v>
      </c>
      <c r="AM94" s="772">
        <f>AM95+AM96+AM97+AM98</f>
        <v>0</v>
      </c>
      <c r="AN94" s="772">
        <f>AN95+AN96+AN97+AN98</f>
        <v>0</v>
      </c>
      <c r="AO94" s="772">
        <f>AO95+AO96+AO97+AO98</f>
        <v>0</v>
      </c>
      <c r="AP94" s="3557">
        <f>AP95+AP96+AP97+AP98</f>
        <v>0</v>
      </c>
      <c r="AQ94" s="3557">
        <f>AQ95+AQ96+AQ97+AQ98</f>
        <v>0</v>
      </c>
      <c r="AR94" s="3557">
        <f>AR95+AR96+AR97+AR98</f>
        <v>0</v>
      </c>
      <c r="AS94" s="3557">
        <f>AS95+AS96+AS97+AS98</f>
        <v>0</v>
      </c>
      <c r="AT94" s="3557">
        <f>AT95+AT96+AT97+AT98</f>
        <v>0</v>
      </c>
      <c r="AU94" s="772">
        <f>AU95+AU96+AU97+AU98</f>
        <v>0</v>
      </c>
      <c r="AV94" s="772">
        <f>AV95+AV96+AV97+AV98</f>
        <v>0</v>
      </c>
      <c r="AW94" s="772">
        <f>AW95+AW96+AW97+AW98</f>
        <v>0</v>
      </c>
      <c r="AX94" s="772">
        <f>AX95+AX96+AX97+AX98</f>
        <v>0</v>
      </c>
      <c r="AY94" s="772">
        <f>AY95+AY96+AY97+AY98</f>
        <v>0</v>
      </c>
      <c r="AZ94" s="3557">
        <f>AZ95+AZ96+AZ97+AZ98</f>
        <v>0</v>
      </c>
      <c r="BA94" s="3557">
        <f>BA95+BA96+BA97+BA98</f>
        <v>0</v>
      </c>
      <c r="BB94" s="3557">
        <f>BB95+BB96+BB97+BB98</f>
        <v>0</v>
      </c>
      <c r="BC94" s="3557">
        <f>BC95+BC96+BC97+BC98</f>
        <v>0</v>
      </c>
      <c r="BD94" s="3557">
        <f>BD95+BD96+BD97+BD98</f>
        <v>0</v>
      </c>
      <c r="BE94" s="774"/>
      <c r="BF94" s="1758"/>
      <c r="BG94" s="1758"/>
      <c r="BH94" s="997" t="s">
        <v>2053</v>
      </c>
    </row>
    <row s="1834" customFormat="1" customHeight="1" ht="44.25">
      <c r="A95" s="1758"/>
      <c r="B95" s="122">
        <f>InvestmentSources_is_one_block="нет"</f>
        <v>1</v>
      </c>
      <c r="C95" s="1758"/>
      <c r="D95" s="1758"/>
      <c r="E95" s="618">
        <v>45.75</v>
      </c>
      <c r="F95" s="50" cm="1" t="str">
        <f t="array" ref="F95:F95">OFFSET(E95,-1,1)</f>
        <v>1</v>
      </c>
      <c r="G95" s="1758"/>
      <c r="H95" s="1758"/>
      <c r="I95" s="1758"/>
      <c r="J95" s="1758"/>
      <c r="K95" s="1758"/>
      <c r="L95" s="1758"/>
      <c r="M95" s="1758"/>
      <c r="N95" s="1758"/>
      <c r="O95" s="1758"/>
      <c r="P95" s="1758"/>
      <c r="Q95" s="1758"/>
      <c r="R95" s="1758"/>
      <c r="S95" s="1758"/>
      <c r="T95" s="465" cm="1" t="str">
        <f t="array" ref="T95:T95">T94</f>
        <v>true</v>
      </c>
      <c r="U95" s="1758"/>
      <c r="V95" s="1758"/>
      <c r="W95" s="1758"/>
      <c r="X95" s="1563"/>
      <c r="Y95" s="1758"/>
      <c r="Z95" s="1546"/>
      <c r="AA95" s="1758"/>
      <c r="AB95" s="299" t="s">
        <v>2054</v>
      </c>
      <c r="AC95" s="768" t="s">
        <v>2055</v>
      </c>
      <c r="AD95" s="300" t="s">
        <v>1514</v>
      </c>
      <c r="AE95" s="772"/>
      <c r="AF95" s="772"/>
      <c r="AG95" s="772"/>
      <c r="AH95" s="772"/>
      <c r="AI95" s="772"/>
      <c r="AJ95" s="772"/>
      <c r="AK95" s="772"/>
      <c r="AL95" s="772"/>
      <c r="AM95" s="772"/>
      <c r="AN95" s="772"/>
      <c r="AO95" s="772"/>
      <c r="AP95" s="3557"/>
      <c r="AQ95" s="3557"/>
      <c r="AR95" s="3557"/>
      <c r="AS95" s="3557"/>
      <c r="AT95" s="3557"/>
      <c r="AU95" s="772"/>
      <c r="AV95" s="772"/>
      <c r="AW95" s="772"/>
      <c r="AX95" s="772"/>
      <c r="AY95" s="772"/>
      <c r="AZ95" s="3557"/>
      <c r="BA95" s="3557"/>
      <c r="BB95" s="3557"/>
      <c r="BC95" s="3557"/>
      <c r="BD95" s="3557"/>
      <c r="BE95" s="774"/>
      <c r="BF95" s="1758"/>
      <c r="BG95" s="1758"/>
      <c r="BH95" s="997" t="s">
        <v>2056</v>
      </c>
    </row>
    <row s="1834" customFormat="1" customHeight="1" ht="44.25">
      <c r="A96" s="1758"/>
      <c r="B96" s="122">
        <f>InvestmentSources_is_one_block="нет"</f>
        <v>1</v>
      </c>
      <c r="C96" s="1758"/>
      <c r="D96" s="1758"/>
      <c r="E96" s="618">
        <v>45.75</v>
      </c>
      <c r="F96" s="50" cm="1" t="str">
        <f t="array" ref="F96:F96">OFFSET(E96,-1,1)</f>
        <v>1</v>
      </c>
      <c r="G96" s="1758"/>
      <c r="H96" s="1758"/>
      <c r="I96" s="1758"/>
      <c r="J96" s="1758"/>
      <c r="K96" s="1758"/>
      <c r="L96" s="1758"/>
      <c r="M96" s="1758"/>
      <c r="N96" s="1758"/>
      <c r="O96" s="1758"/>
      <c r="P96" s="1758"/>
      <c r="Q96" s="1758"/>
      <c r="R96" s="1758"/>
      <c r="S96" s="1758"/>
      <c r="T96" s="465" cm="1" t="str">
        <f t="array" ref="T96:T96">T95</f>
        <v>true</v>
      </c>
      <c r="U96" s="1758"/>
      <c r="V96" s="1758"/>
      <c r="W96" s="1758"/>
      <c r="X96" s="1563"/>
      <c r="Y96" s="1758"/>
      <c r="Z96" s="1546"/>
      <c r="AA96" s="1758"/>
      <c r="AB96" s="299" t="s">
        <v>2057</v>
      </c>
      <c r="AC96" s="768" t="s">
        <v>2058</v>
      </c>
      <c r="AD96" s="300" t="s">
        <v>1514</v>
      </c>
      <c r="AE96" s="772"/>
      <c r="AF96" s="772"/>
      <c r="AG96" s="772"/>
      <c r="AH96" s="772"/>
      <c r="AI96" s="772"/>
      <c r="AJ96" s="772"/>
      <c r="AK96" s="772"/>
      <c r="AL96" s="772"/>
      <c r="AM96" s="772"/>
      <c r="AN96" s="772"/>
      <c r="AO96" s="772"/>
      <c r="AP96" s="3557"/>
      <c r="AQ96" s="3557"/>
      <c r="AR96" s="3557"/>
      <c r="AS96" s="3557"/>
      <c r="AT96" s="3557"/>
      <c r="AU96" s="772"/>
      <c r="AV96" s="772"/>
      <c r="AW96" s="772"/>
      <c r="AX96" s="772"/>
      <c r="AY96" s="772"/>
      <c r="AZ96" s="3557"/>
      <c r="BA96" s="3557"/>
      <c r="BB96" s="3557"/>
      <c r="BC96" s="3557"/>
      <c r="BD96" s="3557"/>
      <c r="BE96" s="774"/>
      <c r="BF96" s="1758"/>
      <c r="BG96" s="1758"/>
      <c r="BH96" s="997" t="s">
        <v>2059</v>
      </c>
    </row>
    <row s="1834" customFormat="1" customHeight="1" ht="44.25">
      <c r="A97" s="1758"/>
      <c r="B97" s="122">
        <f>InvestmentSources_is_one_block="нет"</f>
        <v>1</v>
      </c>
      <c r="C97" s="1758"/>
      <c r="D97" s="1758"/>
      <c r="E97" s="618">
        <v>45.75</v>
      </c>
      <c r="F97" s="50" cm="1" t="str">
        <f t="array" ref="F97:F97">OFFSET(E97,-1,1)</f>
        <v>1</v>
      </c>
      <c r="G97" s="1758"/>
      <c r="H97" s="1758"/>
      <c r="I97" s="1758"/>
      <c r="J97" s="1758"/>
      <c r="K97" s="1758"/>
      <c r="L97" s="1758"/>
      <c r="M97" s="1758"/>
      <c r="N97" s="1758"/>
      <c r="O97" s="1758"/>
      <c r="P97" s="1758"/>
      <c r="Q97" s="1758"/>
      <c r="R97" s="1758"/>
      <c r="S97" s="1758"/>
      <c r="T97" s="465" cm="1" t="str">
        <f t="array" ref="T97:T97">T96</f>
        <v>true</v>
      </c>
      <c r="U97" s="1758"/>
      <c r="V97" s="1758"/>
      <c r="W97" s="1758"/>
      <c r="X97" s="1563"/>
      <c r="Y97" s="1758"/>
      <c r="Z97" s="1546"/>
      <c r="AA97" s="1758"/>
      <c r="AB97" s="299" t="s">
        <v>2060</v>
      </c>
      <c r="AC97" s="768" t="s">
        <v>2061</v>
      </c>
      <c r="AD97" s="300" t="s">
        <v>1514</v>
      </c>
      <c r="AE97" s="772"/>
      <c r="AF97" s="772"/>
      <c r="AG97" s="772"/>
      <c r="AH97" s="772"/>
      <c r="AI97" s="772"/>
      <c r="AJ97" s="772"/>
      <c r="AK97" s="772"/>
      <c r="AL97" s="772"/>
      <c r="AM97" s="772"/>
      <c r="AN97" s="772"/>
      <c r="AO97" s="772"/>
      <c r="AP97" s="3557"/>
      <c r="AQ97" s="3557"/>
      <c r="AR97" s="3557"/>
      <c r="AS97" s="3557"/>
      <c r="AT97" s="3557"/>
      <c r="AU97" s="772"/>
      <c r="AV97" s="772"/>
      <c r="AW97" s="772"/>
      <c r="AX97" s="772"/>
      <c r="AY97" s="772"/>
      <c r="AZ97" s="3557"/>
      <c r="BA97" s="3557"/>
      <c r="BB97" s="3557"/>
      <c r="BC97" s="3557"/>
      <c r="BD97" s="3557"/>
      <c r="BE97" s="774"/>
      <c r="BF97" s="1758"/>
      <c r="BG97" s="1758"/>
      <c r="BH97" s="997" t="s">
        <v>2062</v>
      </c>
    </row>
    <row s="1834" customFormat="1" customHeight="1" ht="21.75">
      <c r="A98" s="1758"/>
      <c r="B98" s="122">
        <f>InvestmentSources_is_one_block="нет"</f>
        <v>1</v>
      </c>
      <c r="C98" s="1758"/>
      <c r="D98" s="1758"/>
      <c r="E98" s="618">
        <v>22.5</v>
      </c>
      <c r="F98" s="50" cm="1" t="str">
        <f t="array" ref="F98:F98">OFFSET(E98,-1,1)</f>
        <v>1</v>
      </c>
      <c r="G98" s="1758"/>
      <c r="H98" s="1758"/>
      <c r="I98" s="1758"/>
      <c r="J98" s="1758"/>
      <c r="K98" s="1758"/>
      <c r="L98" s="1758"/>
      <c r="M98" s="1758"/>
      <c r="N98" s="1758"/>
      <c r="O98" s="1758"/>
      <c r="P98" s="1758"/>
      <c r="Q98" s="1758"/>
      <c r="R98" s="1758"/>
      <c r="S98" s="1758"/>
      <c r="T98" s="465" cm="1" t="str">
        <f t="array" ref="T98:T98">T97</f>
        <v>true</v>
      </c>
      <c r="U98" s="1758"/>
      <c r="V98" s="1758"/>
      <c r="W98" s="1758"/>
      <c r="X98" s="1563"/>
      <c r="Y98" s="1758"/>
      <c r="Z98" s="1546"/>
      <c r="AA98" s="1758"/>
      <c r="AB98" s="299" t="s">
        <v>2063</v>
      </c>
      <c r="AC98" s="768" t="s">
        <v>2064</v>
      </c>
      <c r="AD98" s="300" t="s">
        <v>1514</v>
      </c>
      <c r="AE98" s="772"/>
      <c r="AF98" s="772"/>
      <c r="AG98" s="772"/>
      <c r="AH98" s="772"/>
      <c r="AI98" s="772"/>
      <c r="AJ98" s="772"/>
      <c r="AK98" s="772"/>
      <c r="AL98" s="772"/>
      <c r="AM98" s="772"/>
      <c r="AN98" s="772"/>
      <c r="AO98" s="772"/>
      <c r="AP98" s="3557"/>
      <c r="AQ98" s="3557"/>
      <c r="AR98" s="3557"/>
      <c r="AS98" s="3557"/>
      <c r="AT98" s="3557"/>
      <c r="AU98" s="772"/>
      <c r="AV98" s="772"/>
      <c r="AW98" s="772"/>
      <c r="AX98" s="772"/>
      <c r="AY98" s="772"/>
      <c r="AZ98" s="3557"/>
      <c r="BA98" s="3557"/>
      <c r="BB98" s="3557"/>
      <c r="BC98" s="3557"/>
      <c r="BD98" s="3557"/>
      <c r="BE98" s="774"/>
      <c r="BF98" s="1758"/>
      <c r="BG98" s="1758"/>
      <c r="BH98" s="997" t="s">
        <v>2065</v>
      </c>
    </row>
    <row s="1834" customFormat="1" customHeight="1" ht="14.25">
      <c r="A99" s="1758"/>
      <c r="B99" s="122">
        <f>InvestmentSources_is_one_block="нет"</f>
        <v>1</v>
      </c>
      <c r="C99" s="1758"/>
      <c r="D99" s="1758"/>
      <c r="E99" s="618">
        <v>15</v>
      </c>
      <c r="F99" s="50" cm="1" t="str">
        <f t="array" ref="F99:F99">OFFSET(E99,-1,1)</f>
        <v>1</v>
      </c>
      <c r="G99" s="1758"/>
      <c r="H99" s="122" t="s">
        <v>1179</v>
      </c>
      <c r="I99" s="1758"/>
      <c r="J99" s="1758"/>
      <c r="K99" s="1758"/>
      <c r="L99" s="1758"/>
      <c r="M99" s="1758"/>
      <c r="N99" s="1758"/>
      <c r="O99" s="1758"/>
      <c r="P99" s="1758"/>
      <c r="Q99" s="1758"/>
      <c r="R99" s="1758"/>
      <c r="S99" s="1758"/>
      <c r="T99" s="465" cm="1" t="str">
        <f t="array" ref="T99:T99">T98</f>
        <v>true</v>
      </c>
      <c r="U99" s="1758"/>
      <c r="V99" s="1758"/>
      <c r="W99" s="1758"/>
      <c r="X99" s="1563"/>
      <c r="Y99" s="1758"/>
      <c r="Z99" s="1546"/>
      <c r="AA99" s="1758"/>
      <c r="AB99" s="299" t="s">
        <v>1631</v>
      </c>
      <c r="AC99" s="762" t="s">
        <v>2066</v>
      </c>
      <c r="AD99" s="300" t="s">
        <v>1514</v>
      </c>
      <c r="AE99" s="783">
        <f>AE100+AE101+AE102</f>
        <v>0</v>
      </c>
      <c r="AF99" s="783">
        <f>AF100+AF101+AF102</f>
        <v>0</v>
      </c>
      <c r="AG99" s="783">
        <f>AG100+AG101+AG102</f>
        <v>0</v>
      </c>
      <c r="AH99" s="783">
        <f>AH100+AH101+AH102</f>
        <v>0</v>
      </c>
      <c r="AI99" s="783">
        <f>AI100+AI101+AI102</f>
        <v>0</v>
      </c>
      <c r="AJ99" s="783">
        <f>AJ100+AJ101+AJ102</f>
        <v>0</v>
      </c>
      <c r="AK99" s="783">
        <f>AK100+AK101+AK102</f>
        <v>0</v>
      </c>
      <c r="AL99" s="783">
        <f>AL100+AL101+AL102</f>
        <v>0</v>
      </c>
      <c r="AM99" s="783">
        <f>AM100+AM101+AM102</f>
        <v>0</v>
      </c>
      <c r="AN99" s="783">
        <f>AN100+AN101+AN102</f>
        <v>0</v>
      </c>
      <c r="AO99" s="783">
        <f>AO100+AO101+AO102</f>
        <v>0</v>
      </c>
      <c r="AP99" s="783">
        <f>AP100+AP101+AP102</f>
        <v>0</v>
      </c>
      <c r="AQ99" s="783">
        <f>AQ100+AQ101+AQ102</f>
        <v>0</v>
      </c>
      <c r="AR99" s="783">
        <f>AR100+AR101+AR102</f>
        <v>0</v>
      </c>
      <c r="AS99" s="783">
        <f>AS100+AS101+AS102</f>
        <v>0</v>
      </c>
      <c r="AT99" s="783">
        <f>AT100+AT101+AT102</f>
        <v>0</v>
      </c>
      <c r="AU99" s="783">
        <f>AU100+AU101+AU102</f>
        <v>0</v>
      </c>
      <c r="AV99" s="783">
        <f>AV100+AV101+AV102</f>
        <v>0</v>
      </c>
      <c r="AW99" s="783">
        <f>AW100+AW101+AW102</f>
        <v>0</v>
      </c>
      <c r="AX99" s="783">
        <f>AX100+AX101+AX102</f>
        <v>0</v>
      </c>
      <c r="AY99" s="783">
        <f>AY100+AY101+AY102</f>
        <v>0</v>
      </c>
      <c r="AZ99" s="783">
        <f>AZ100+AZ101+AZ102</f>
        <v>0</v>
      </c>
      <c r="BA99" s="783">
        <f>BA100+BA101+BA102</f>
        <v>0</v>
      </c>
      <c r="BB99" s="783">
        <f>BB100+BB101+BB102</f>
        <v>0</v>
      </c>
      <c r="BC99" s="783">
        <f>BC100+BC101+BC102</f>
        <v>0</v>
      </c>
      <c r="BD99" s="783">
        <f>BD100+BD101+BD102</f>
        <v>0</v>
      </c>
      <c r="BE99" s="774"/>
      <c r="BF99" s="1758"/>
      <c r="BG99" s="1758"/>
      <c r="BH99" s="997" t="s">
        <v>2067</v>
      </c>
    </row>
    <row s="1834" customFormat="1" customHeight="1" ht="14.25">
      <c r="A100" s="1758"/>
      <c r="B100" s="122">
        <f>InvestmentSources_is_one_block="нет"</f>
        <v>1</v>
      </c>
      <c r="C100" s="1758"/>
      <c r="D100" s="1758"/>
      <c r="E100" s="618">
        <v>15</v>
      </c>
      <c r="F100" s="50" cm="1" t="str">
        <f t="array" ref="F100:F100">OFFSET(E100,-1,1)</f>
        <v>1</v>
      </c>
      <c r="G100" s="1758"/>
      <c r="H100" s="122" t="s">
        <v>2068</v>
      </c>
      <c r="I100" s="1758"/>
      <c r="J100" s="1758"/>
      <c r="K100" s="1758"/>
      <c r="L100" s="1758"/>
      <c r="M100" s="1758"/>
      <c r="N100" s="1758"/>
      <c r="O100" s="1758"/>
      <c r="P100" s="1758"/>
      <c r="Q100" s="1758"/>
      <c r="R100" s="1758"/>
      <c r="S100" s="1758"/>
      <c r="T100" s="465" cm="1" t="str">
        <f t="array" ref="T100:T100">T99</f>
        <v>true</v>
      </c>
      <c r="U100" s="1758"/>
      <c r="V100" s="1758"/>
      <c r="W100" s="1758"/>
      <c r="X100" s="1563"/>
      <c r="Y100" s="1758"/>
      <c r="Z100" s="1546"/>
      <c r="AA100" s="1758"/>
      <c r="AB100" s="299" t="s">
        <v>2069</v>
      </c>
      <c r="AC100" s="765" t="s">
        <v>2070</v>
      </c>
      <c r="AD100" s="300" t="s">
        <v>1514</v>
      </c>
      <c r="AE100" s="772"/>
      <c r="AF100" s="772"/>
      <c r="AG100" s="772"/>
      <c r="AH100" s="772"/>
      <c r="AI100" s="772"/>
      <c r="AJ100" s="772"/>
      <c r="AK100" s="772"/>
      <c r="AL100" s="772"/>
      <c r="AM100" s="772"/>
      <c r="AN100" s="772"/>
      <c r="AO100" s="772"/>
      <c r="AP100" s="3557"/>
      <c r="AQ100" s="3557"/>
      <c r="AR100" s="3557"/>
      <c r="AS100" s="3557"/>
      <c r="AT100" s="3557"/>
      <c r="AU100" s="772"/>
      <c r="AV100" s="772"/>
      <c r="AW100" s="772"/>
      <c r="AX100" s="772"/>
      <c r="AY100" s="772"/>
      <c r="AZ100" s="3557"/>
      <c r="BA100" s="3557"/>
      <c r="BB100" s="3557"/>
      <c r="BC100" s="3557"/>
      <c r="BD100" s="3557"/>
      <c r="BE100" s="774"/>
      <c r="BF100" s="1758"/>
      <c r="BG100" s="1758"/>
      <c r="BH100" s="997" t="s">
        <v>1991</v>
      </c>
    </row>
    <row s="1834" customFormat="1" customHeight="1" ht="14.25">
      <c r="A101" s="1758"/>
      <c r="B101" s="122">
        <f>InvestmentSources_is_one_block="нет"</f>
        <v>1</v>
      </c>
      <c r="C101" s="1758"/>
      <c r="D101" s="1758"/>
      <c r="E101" s="618">
        <v>15</v>
      </c>
      <c r="F101" s="50" cm="1" t="str">
        <f t="array" ref="F101:F101">OFFSET(E101,-1,1)</f>
        <v>1</v>
      </c>
      <c r="G101" s="1758"/>
      <c r="H101" s="122" t="s">
        <v>2071</v>
      </c>
      <c r="I101" s="1758"/>
      <c r="J101" s="1758"/>
      <c r="K101" s="1758"/>
      <c r="L101" s="1758"/>
      <c r="M101" s="1758"/>
      <c r="N101" s="1758"/>
      <c r="O101" s="1758"/>
      <c r="P101" s="1758"/>
      <c r="Q101" s="1758"/>
      <c r="R101" s="1758"/>
      <c r="S101" s="1758"/>
      <c r="T101" s="465" cm="1" t="str">
        <f t="array" ref="T101:T101">T100</f>
        <v>true</v>
      </c>
      <c r="U101" s="1758"/>
      <c r="V101" s="1758"/>
      <c r="W101" s="1758"/>
      <c r="X101" s="1563"/>
      <c r="Y101" s="1758"/>
      <c r="Z101" s="1546"/>
      <c r="AA101" s="1758"/>
      <c r="AB101" s="299" t="s">
        <v>2072</v>
      </c>
      <c r="AC101" s="765" t="s">
        <v>2073</v>
      </c>
      <c r="AD101" s="300" t="s">
        <v>1514</v>
      </c>
      <c r="AE101" s="772"/>
      <c r="AF101" s="772"/>
      <c r="AG101" s="772"/>
      <c r="AH101" s="772"/>
      <c r="AI101" s="772"/>
      <c r="AJ101" s="772"/>
      <c r="AK101" s="772"/>
      <c r="AL101" s="772"/>
      <c r="AM101" s="772"/>
      <c r="AN101" s="772"/>
      <c r="AO101" s="772"/>
      <c r="AP101" s="3557"/>
      <c r="AQ101" s="3557"/>
      <c r="AR101" s="3557"/>
      <c r="AS101" s="3557"/>
      <c r="AT101" s="3557"/>
      <c r="AU101" s="772"/>
      <c r="AV101" s="772"/>
      <c r="AW101" s="772"/>
      <c r="AX101" s="772"/>
      <c r="AY101" s="772"/>
      <c r="AZ101" s="3557"/>
      <c r="BA101" s="3557"/>
      <c r="BB101" s="3557"/>
      <c r="BC101" s="3557"/>
      <c r="BD101" s="3557"/>
      <c r="BE101" s="774"/>
      <c r="BF101" s="1758"/>
      <c r="BG101" s="1758"/>
      <c r="BH101" s="997" t="s">
        <v>2074</v>
      </c>
    </row>
    <row s="1834" customFormat="1" customHeight="1" ht="14.25">
      <c r="A102" s="1758"/>
      <c r="B102" s="122">
        <f>InvestmentSources_is_one_block="нет"</f>
        <v>1</v>
      </c>
      <c r="C102" s="1758"/>
      <c r="D102" s="1758"/>
      <c r="E102" s="618">
        <v>15</v>
      </c>
      <c r="F102" s="50" cm="1" t="str">
        <f t="array" ref="F102:F102">OFFSET(E102,-1,1)</f>
        <v>1</v>
      </c>
      <c r="G102" s="1758"/>
      <c r="H102" s="122" t="s">
        <v>2075</v>
      </c>
      <c r="I102" s="1758"/>
      <c r="J102" s="1758"/>
      <c r="K102" s="1758"/>
      <c r="L102" s="1758"/>
      <c r="M102" s="1758"/>
      <c r="N102" s="1758"/>
      <c r="O102" s="1758"/>
      <c r="P102" s="1758"/>
      <c r="Q102" s="1758"/>
      <c r="R102" s="1758"/>
      <c r="S102" s="1758"/>
      <c r="T102" s="465" cm="1" t="str">
        <f t="array" ref="T102:T102">T101</f>
        <v>true</v>
      </c>
      <c r="U102" s="1758"/>
      <c r="V102" s="1758"/>
      <c r="W102" s="1758"/>
      <c r="X102" s="1563"/>
      <c r="Y102" s="1758"/>
      <c r="Z102" s="1546"/>
      <c r="AA102" s="1758"/>
      <c r="AB102" s="299" t="s">
        <v>2076</v>
      </c>
      <c r="AC102" s="765" t="s">
        <v>2077</v>
      </c>
      <c r="AD102" s="300" t="s">
        <v>1514</v>
      </c>
      <c r="AE102" s="772"/>
      <c r="AF102" s="772"/>
      <c r="AG102" s="772"/>
      <c r="AH102" s="772"/>
      <c r="AI102" s="772"/>
      <c r="AJ102" s="772"/>
      <c r="AK102" s="772"/>
      <c r="AL102" s="772"/>
      <c r="AM102" s="772"/>
      <c r="AN102" s="772"/>
      <c r="AO102" s="772"/>
      <c r="AP102" s="3557"/>
      <c r="AQ102" s="3557"/>
      <c r="AR102" s="3557"/>
      <c r="AS102" s="3557"/>
      <c r="AT102" s="3557"/>
      <c r="AU102" s="772"/>
      <c r="AV102" s="772"/>
      <c r="AW102" s="772"/>
      <c r="AX102" s="772"/>
      <c r="AY102" s="772"/>
      <c r="AZ102" s="3557"/>
      <c r="BA102" s="3557"/>
      <c r="BB102" s="3557"/>
      <c r="BC102" s="3557"/>
      <c r="BD102" s="3557"/>
      <c r="BE102" s="774"/>
      <c r="BF102" s="1758"/>
      <c r="BG102" s="1758"/>
      <c r="BH102" s="997" t="s">
        <v>2078</v>
      </c>
    </row>
    <row s="1834" customFormat="1" customHeight="1" ht="14.25">
      <c r="A103" s="1758"/>
      <c r="B103" s="122">
        <f>InvestmentSources_is_one_block="нет"</f>
        <v>1</v>
      </c>
      <c r="C103" s="1758"/>
      <c r="D103" s="1758"/>
      <c r="E103" s="618">
        <v>15</v>
      </c>
      <c r="F103" s="50" cm="1" t="str">
        <f t="array" ref="F103:F103">OFFSET(E103,-1,1)</f>
        <v>1</v>
      </c>
      <c r="G103" s="1758"/>
      <c r="H103" s="122" t="s">
        <v>1182</v>
      </c>
      <c r="I103" s="1758"/>
      <c r="J103" s="1758"/>
      <c r="K103" s="1758"/>
      <c r="L103" s="1758"/>
      <c r="M103" s="1758"/>
      <c r="N103" s="1758"/>
      <c r="O103" s="1758"/>
      <c r="P103" s="1758"/>
      <c r="Q103" s="1758"/>
      <c r="R103" s="1758"/>
      <c r="S103" s="1758"/>
      <c r="T103" s="465" cm="1" t="str">
        <f t="array" ref="T103:T103">T102</f>
        <v>true</v>
      </c>
      <c r="U103" s="1758"/>
      <c r="V103" s="1758"/>
      <c r="W103" s="1758"/>
      <c r="X103" s="1563"/>
      <c r="Y103" s="1758"/>
      <c r="Z103" s="1546"/>
      <c r="AA103" s="1758"/>
      <c r="AB103" s="299" t="s">
        <v>1634</v>
      </c>
      <c r="AC103" s="762" t="s">
        <v>2079</v>
      </c>
      <c r="AD103" s="300" t="s">
        <v>1514</v>
      </c>
      <c r="AE103" s="783">
        <f>AE104+AE105+AE106</f>
        <v>0</v>
      </c>
      <c r="AF103" s="783">
        <f>AF104+AF105+AF106</f>
        <v>0</v>
      </c>
      <c r="AG103" s="783">
        <f>AG104+AG105+AG106</f>
        <v>0</v>
      </c>
      <c r="AH103" s="783">
        <f>AH104+AH105+AH106</f>
        <v>0</v>
      </c>
      <c r="AI103" s="783">
        <f>AI104+AI105+AI106</f>
        <v>0</v>
      </c>
      <c r="AJ103" s="783">
        <f>AJ104+AJ105+AJ106</f>
        <v>0</v>
      </c>
      <c r="AK103" s="783">
        <f>AK104+AK105+AK106</f>
        <v>0</v>
      </c>
      <c r="AL103" s="783">
        <f>AL104+AL105+AL106</f>
        <v>0</v>
      </c>
      <c r="AM103" s="783">
        <f>AM104+AM105+AM106</f>
        <v>0</v>
      </c>
      <c r="AN103" s="783">
        <f>AN104+AN105+AN106</f>
        <v>0</v>
      </c>
      <c r="AO103" s="783">
        <f>AO104+AO105+AO106</f>
        <v>0</v>
      </c>
      <c r="AP103" s="783">
        <f>AP104+AP105+AP106</f>
        <v>0</v>
      </c>
      <c r="AQ103" s="783">
        <f>AQ104+AQ105+AQ106</f>
        <v>0</v>
      </c>
      <c r="AR103" s="783">
        <f>AR104+AR105+AR106</f>
        <v>0</v>
      </c>
      <c r="AS103" s="783">
        <f>AS104+AS105+AS106</f>
        <v>0</v>
      </c>
      <c r="AT103" s="783">
        <f>AT104+AT105+AT106</f>
        <v>0</v>
      </c>
      <c r="AU103" s="783">
        <f>AU104+AU105+AU106</f>
        <v>0</v>
      </c>
      <c r="AV103" s="783">
        <f>AV104+AV105+AV106</f>
        <v>0</v>
      </c>
      <c r="AW103" s="783">
        <f>AW104+AW105+AW106</f>
        <v>0</v>
      </c>
      <c r="AX103" s="783">
        <f>AX104+AX105+AX106</f>
        <v>0</v>
      </c>
      <c r="AY103" s="783">
        <f>AY104+AY105+AY106</f>
        <v>0</v>
      </c>
      <c r="AZ103" s="783">
        <f>AZ104+AZ105+AZ106</f>
        <v>0</v>
      </c>
      <c r="BA103" s="783">
        <f>BA104+BA105+BA106</f>
        <v>0</v>
      </c>
      <c r="BB103" s="783">
        <f>BB104+BB105+BB106</f>
        <v>0</v>
      </c>
      <c r="BC103" s="783">
        <f>BC104+BC105+BC106</f>
        <v>0</v>
      </c>
      <c r="BD103" s="783">
        <f>BD104+BD105+BD106</f>
        <v>0</v>
      </c>
      <c r="BE103" s="774"/>
      <c r="BF103" s="1758"/>
      <c r="BG103" s="1758"/>
      <c r="BH103" s="997" t="s">
        <v>2080</v>
      </c>
    </row>
    <row s="1834" customFormat="1" customHeight="1" ht="14.25">
      <c r="A104" s="1758"/>
      <c r="B104" s="122">
        <f>InvestmentSources_is_one_block="нет"</f>
        <v>1</v>
      </c>
      <c r="C104" s="1758"/>
      <c r="D104" s="1758"/>
      <c r="E104" s="618">
        <v>15</v>
      </c>
      <c r="F104" s="50" cm="1" t="str">
        <f t="array" ref="F104:F104">OFFSET(E104,-1,1)</f>
        <v>1</v>
      </c>
      <c r="G104" s="1758"/>
      <c r="H104" s="122" t="s">
        <v>2081</v>
      </c>
      <c r="I104" s="1758"/>
      <c r="J104" s="1758"/>
      <c r="K104" s="1758"/>
      <c r="L104" s="1758"/>
      <c r="M104" s="1758"/>
      <c r="N104" s="1758"/>
      <c r="O104" s="1758"/>
      <c r="P104" s="1758"/>
      <c r="Q104" s="1758"/>
      <c r="R104" s="1758"/>
      <c r="S104" s="1758"/>
      <c r="T104" s="465" cm="1" t="str">
        <f t="array" ref="T104:T104">T103</f>
        <v>true</v>
      </c>
      <c r="U104" s="1758"/>
      <c r="V104" s="1758"/>
      <c r="W104" s="1758"/>
      <c r="X104" s="1563"/>
      <c r="Y104" s="1758"/>
      <c r="Z104" s="1546"/>
      <c r="AA104" s="1758"/>
      <c r="AB104" s="299" t="s">
        <v>2082</v>
      </c>
      <c r="AC104" s="765" t="s">
        <v>2083</v>
      </c>
      <c r="AD104" s="300" t="s">
        <v>1514</v>
      </c>
      <c r="AE104" s="772"/>
      <c r="AF104" s="772"/>
      <c r="AG104" s="772"/>
      <c r="AH104" s="772"/>
      <c r="AI104" s="772"/>
      <c r="AJ104" s="772"/>
      <c r="AK104" s="772"/>
      <c r="AL104" s="772"/>
      <c r="AM104" s="772"/>
      <c r="AN104" s="772"/>
      <c r="AO104" s="772"/>
      <c r="AP104" s="3557"/>
      <c r="AQ104" s="3557"/>
      <c r="AR104" s="3557"/>
      <c r="AS104" s="3557"/>
      <c r="AT104" s="3557"/>
      <c r="AU104" s="772"/>
      <c r="AV104" s="772"/>
      <c r="AW104" s="772"/>
      <c r="AX104" s="772"/>
      <c r="AY104" s="772"/>
      <c r="AZ104" s="3557"/>
      <c r="BA104" s="3557"/>
      <c r="BB104" s="3557"/>
      <c r="BC104" s="3557"/>
      <c r="BD104" s="3557"/>
      <c r="BE104" s="774"/>
      <c r="BF104" s="1758"/>
      <c r="BG104" s="1758"/>
      <c r="BH104" s="997" t="s">
        <v>2084</v>
      </c>
    </row>
    <row s="1834" customFormat="1" customHeight="1" ht="14.25">
      <c r="A105" s="1758"/>
      <c r="B105" s="122">
        <f>InvestmentSources_is_one_block="нет"</f>
        <v>1</v>
      </c>
      <c r="C105" s="1758"/>
      <c r="D105" s="1758"/>
      <c r="E105" s="618">
        <v>15</v>
      </c>
      <c r="F105" s="50" cm="1" t="str">
        <f t="array" ref="F105:F105">OFFSET(E105,-1,1)</f>
        <v>1</v>
      </c>
      <c r="G105" s="1758"/>
      <c r="H105" s="122" t="s">
        <v>2085</v>
      </c>
      <c r="I105" s="1758"/>
      <c r="J105" s="1758"/>
      <c r="K105" s="1758"/>
      <c r="L105" s="1758"/>
      <c r="M105" s="1758"/>
      <c r="N105" s="1758"/>
      <c r="O105" s="1758"/>
      <c r="P105" s="1758"/>
      <c r="Q105" s="1758"/>
      <c r="R105" s="1758"/>
      <c r="S105" s="1758"/>
      <c r="T105" s="465" cm="1" t="str">
        <f t="array" ref="T105:T105">T104</f>
        <v>true</v>
      </c>
      <c r="U105" s="1758"/>
      <c r="V105" s="1758"/>
      <c r="W105" s="1758"/>
      <c r="X105" s="1563"/>
      <c r="Y105" s="1758"/>
      <c r="Z105" s="1546"/>
      <c r="AA105" s="1758"/>
      <c r="AB105" s="299" t="s">
        <v>2086</v>
      </c>
      <c r="AC105" s="765" t="s">
        <v>2087</v>
      </c>
      <c r="AD105" s="300" t="s">
        <v>1514</v>
      </c>
      <c r="AE105" s="772"/>
      <c r="AF105" s="772"/>
      <c r="AG105" s="772"/>
      <c r="AH105" s="772"/>
      <c r="AI105" s="772"/>
      <c r="AJ105" s="772"/>
      <c r="AK105" s="772"/>
      <c r="AL105" s="772"/>
      <c r="AM105" s="772"/>
      <c r="AN105" s="772"/>
      <c r="AO105" s="772"/>
      <c r="AP105" s="3557"/>
      <c r="AQ105" s="3557"/>
      <c r="AR105" s="3557"/>
      <c r="AS105" s="3557"/>
      <c r="AT105" s="3557"/>
      <c r="AU105" s="772"/>
      <c r="AV105" s="772"/>
      <c r="AW105" s="772"/>
      <c r="AX105" s="772"/>
      <c r="AY105" s="772"/>
      <c r="AZ105" s="3557"/>
      <c r="BA105" s="3557"/>
      <c r="BB105" s="3557"/>
      <c r="BC105" s="3557"/>
      <c r="BD105" s="3557"/>
      <c r="BE105" s="774"/>
      <c r="BF105" s="1758"/>
      <c r="BG105" s="1758"/>
      <c r="BH105" s="997" t="s">
        <v>2088</v>
      </c>
    </row>
    <row s="1834" customFormat="1" customHeight="1" ht="14.25">
      <c r="A106" s="1758"/>
      <c r="B106" s="122">
        <f>InvestmentSources_is_one_block="нет"</f>
        <v>1</v>
      </c>
      <c r="C106" s="1758"/>
      <c r="D106" s="1758"/>
      <c r="E106" s="618">
        <v>15</v>
      </c>
      <c r="F106" s="50" cm="1" t="str">
        <f t="array" ref="F106:F106">OFFSET(E106,-1,1)</f>
        <v>1</v>
      </c>
      <c r="G106" s="1758"/>
      <c r="H106" s="122" t="s">
        <v>2089</v>
      </c>
      <c r="I106" s="1758"/>
      <c r="J106" s="1758"/>
      <c r="K106" s="1758"/>
      <c r="L106" s="1758"/>
      <c r="M106" s="1758"/>
      <c r="N106" s="1758"/>
      <c r="O106" s="1758"/>
      <c r="P106" s="1758"/>
      <c r="Q106" s="1758"/>
      <c r="R106" s="1758"/>
      <c r="S106" s="1758"/>
      <c r="T106" s="465" cm="1" t="str">
        <f t="array" ref="T106:T106">T105</f>
        <v>true</v>
      </c>
      <c r="U106" s="1758"/>
      <c r="V106" s="1758"/>
      <c r="W106" s="1758"/>
      <c r="X106" s="1563"/>
      <c r="Y106" s="1758"/>
      <c r="Z106" s="1546"/>
      <c r="AA106" s="1758"/>
      <c r="AB106" s="299" t="s">
        <v>2090</v>
      </c>
      <c r="AC106" s="765" t="s">
        <v>2091</v>
      </c>
      <c r="AD106" s="300" t="s">
        <v>1514</v>
      </c>
      <c r="AE106" s="772"/>
      <c r="AF106" s="772"/>
      <c r="AG106" s="772"/>
      <c r="AH106" s="772"/>
      <c r="AI106" s="772"/>
      <c r="AJ106" s="772"/>
      <c r="AK106" s="772"/>
      <c r="AL106" s="772"/>
      <c r="AM106" s="772"/>
      <c r="AN106" s="772"/>
      <c r="AO106" s="772"/>
      <c r="AP106" s="3557"/>
      <c r="AQ106" s="3557"/>
      <c r="AR106" s="3557"/>
      <c r="AS106" s="3557"/>
      <c r="AT106" s="3557"/>
      <c r="AU106" s="772"/>
      <c r="AV106" s="772"/>
      <c r="AW106" s="772"/>
      <c r="AX106" s="772"/>
      <c r="AY106" s="772"/>
      <c r="AZ106" s="3557"/>
      <c r="BA106" s="3557"/>
      <c r="BB106" s="3557"/>
      <c r="BC106" s="3557"/>
      <c r="BD106" s="3557"/>
      <c r="BE106" s="774"/>
      <c r="BF106" s="1758"/>
      <c r="BG106" s="1758"/>
      <c r="BH106" s="997" t="s">
        <v>2092</v>
      </c>
    </row>
    <row s="1834" customFormat="1" customHeight="1" ht="14.25">
      <c r="A107" s="1758"/>
      <c r="B107" s="122">
        <f>InvestmentSources_is_one_block="нет"</f>
        <v>1</v>
      </c>
      <c r="C107" s="1758"/>
      <c r="D107" s="1758"/>
      <c r="E107" s="618">
        <v>15</v>
      </c>
      <c r="F107" s="50" cm="1" t="str">
        <f t="array" ref="F107:F107">OFFSET(E107,-1,1)</f>
        <v>1</v>
      </c>
      <c r="G107" s="1758"/>
      <c r="H107" s="122" t="s">
        <v>1186</v>
      </c>
      <c r="I107" s="1758"/>
      <c r="J107" s="1758"/>
      <c r="K107" s="1758"/>
      <c r="L107" s="1758"/>
      <c r="M107" s="1758"/>
      <c r="N107" s="1758"/>
      <c r="O107" s="1758"/>
      <c r="P107" s="1758"/>
      <c r="Q107" s="1758"/>
      <c r="R107" s="1758"/>
      <c r="S107" s="1758"/>
      <c r="T107" s="465" cm="1" t="str">
        <f t="array" ref="T107:T107">T106</f>
        <v>true</v>
      </c>
      <c r="U107" s="1758"/>
      <c r="V107" s="1758"/>
      <c r="W107" s="1758"/>
      <c r="X107" s="1563"/>
      <c r="Y107" s="1758"/>
      <c r="Z107" s="1546"/>
      <c r="AA107" s="1758"/>
      <c r="AB107" s="299" t="s">
        <v>1637</v>
      </c>
      <c r="AC107" s="762" t="s">
        <v>2093</v>
      </c>
      <c r="AD107" s="300" t="s">
        <v>1514</v>
      </c>
      <c r="AE107" s="783">
        <f>AE108+AE109+AE110+AE111</f>
        <v>0</v>
      </c>
      <c r="AF107" s="783">
        <f>AF108+AF109+AF110+AF111</f>
        <v>0</v>
      </c>
      <c r="AG107" s="783">
        <f>AG108+AG109+AG110+AG111</f>
        <v>0</v>
      </c>
      <c r="AH107" s="783">
        <f>AH108+AH109+AH110+AH111</f>
        <v>0</v>
      </c>
      <c r="AI107" s="783">
        <f>AI108+AI109+AI110+AI111</f>
        <v>0</v>
      </c>
      <c r="AJ107" s="783">
        <f>AJ108+AJ109+AJ110+AJ111</f>
        <v>0</v>
      </c>
      <c r="AK107" s="783">
        <f>AK108+AK109+AK110+AK111</f>
        <v>0</v>
      </c>
      <c r="AL107" s="783">
        <f>AL108+AL109+AL110+AL111</f>
        <v>0</v>
      </c>
      <c r="AM107" s="783">
        <f>AM108+AM109+AM110+AM111</f>
        <v>0</v>
      </c>
      <c r="AN107" s="783">
        <f>AN108+AN109+AN110+AN111</f>
        <v>0</v>
      </c>
      <c r="AO107" s="783">
        <f>AO108+AO109+AO110+AO111</f>
        <v>0</v>
      </c>
      <c r="AP107" s="783">
        <f>AP108+AP109+AP110+AP111</f>
        <v>0</v>
      </c>
      <c r="AQ107" s="783">
        <f>AQ108+AQ109+AQ110+AQ111</f>
        <v>0</v>
      </c>
      <c r="AR107" s="783">
        <f>AR108+AR109+AR110+AR111</f>
        <v>0</v>
      </c>
      <c r="AS107" s="783">
        <f>AS108+AS109+AS110+AS111</f>
        <v>0</v>
      </c>
      <c r="AT107" s="783">
        <f>AT108+AT109+AT110+AT111</f>
        <v>0</v>
      </c>
      <c r="AU107" s="783">
        <f>AU108+AU109+AU110+AU111</f>
        <v>0</v>
      </c>
      <c r="AV107" s="783">
        <f>AV108+AV109+AV110+AV111</f>
        <v>0</v>
      </c>
      <c r="AW107" s="783">
        <f>AW108+AW109+AW110+AW111</f>
        <v>0</v>
      </c>
      <c r="AX107" s="783">
        <f>AX108+AX109+AX110+AX111</f>
        <v>0</v>
      </c>
      <c r="AY107" s="783">
        <f>AY108+AY109+AY110+AY111</f>
        <v>0</v>
      </c>
      <c r="AZ107" s="783">
        <f>AZ108+AZ109+AZ110+AZ111</f>
        <v>0</v>
      </c>
      <c r="BA107" s="783">
        <f>BA108+BA109+BA110+BA111</f>
        <v>0</v>
      </c>
      <c r="BB107" s="783">
        <f>BB108+BB109+BB110+BB111</f>
        <v>0</v>
      </c>
      <c r="BC107" s="783">
        <f>BC108+BC109+BC110+BC111</f>
        <v>0</v>
      </c>
      <c r="BD107" s="783">
        <f>BD108+BD109+BD110+BD111</f>
        <v>0</v>
      </c>
      <c r="BE107" s="774"/>
      <c r="BF107" s="1758"/>
      <c r="BG107" s="1758"/>
      <c r="BH107" s="997" t="s">
        <v>2094</v>
      </c>
    </row>
    <row s="1834" customFormat="1" customHeight="1" ht="14.25">
      <c r="A108" s="1758"/>
      <c r="B108" s="122">
        <f>InvestmentSources_is_one_block="нет"</f>
        <v>1</v>
      </c>
      <c r="C108" s="1758"/>
      <c r="D108" s="1758"/>
      <c r="E108" s="618">
        <v>15</v>
      </c>
      <c r="F108" s="50" cm="1" t="str">
        <f t="array" ref="F108:F108">OFFSET(E108,-1,1)</f>
        <v>1</v>
      </c>
      <c r="G108" s="1758"/>
      <c r="H108" s="122" t="s">
        <v>2095</v>
      </c>
      <c r="I108" s="1758"/>
      <c r="J108" s="1758"/>
      <c r="K108" s="1758"/>
      <c r="L108" s="1758"/>
      <c r="M108" s="1758"/>
      <c r="N108" s="1758"/>
      <c r="O108" s="1758"/>
      <c r="P108" s="1758"/>
      <c r="Q108" s="1758"/>
      <c r="R108" s="1758"/>
      <c r="S108" s="1758"/>
      <c r="T108" s="465" cm="1" t="str">
        <f t="array" ref="T108:T108">T107</f>
        <v>true</v>
      </c>
      <c r="U108" s="1758"/>
      <c r="V108" s="1758"/>
      <c r="W108" s="1758"/>
      <c r="X108" s="1563"/>
      <c r="Y108" s="1758"/>
      <c r="Z108" s="1546"/>
      <c r="AA108" s="1758"/>
      <c r="AB108" s="299" t="s">
        <v>1752</v>
      </c>
      <c r="AC108" s="765" t="s">
        <v>1746</v>
      </c>
      <c r="AD108" s="300" t="s">
        <v>1514</v>
      </c>
      <c r="AE108" s="772"/>
      <c r="AF108" s="772"/>
      <c r="AG108" s="772"/>
      <c r="AH108" s="772"/>
      <c r="AI108" s="772"/>
      <c r="AJ108" s="772"/>
      <c r="AK108" s="772"/>
      <c r="AL108" s="772"/>
      <c r="AM108" s="772"/>
      <c r="AN108" s="772"/>
      <c r="AO108" s="772"/>
      <c r="AP108" s="3557"/>
      <c r="AQ108" s="3557"/>
      <c r="AR108" s="3557"/>
      <c r="AS108" s="3557"/>
      <c r="AT108" s="3557"/>
      <c r="AU108" s="772"/>
      <c r="AV108" s="772"/>
      <c r="AW108" s="772"/>
      <c r="AX108" s="772"/>
      <c r="AY108" s="772"/>
      <c r="AZ108" s="3557"/>
      <c r="BA108" s="3557"/>
      <c r="BB108" s="3557"/>
      <c r="BC108" s="3557"/>
      <c r="BD108" s="3557"/>
      <c r="BE108" s="774"/>
      <c r="BF108" s="1758"/>
      <c r="BG108" s="1758"/>
      <c r="BH108" s="997" t="s">
        <v>1748</v>
      </c>
    </row>
    <row s="1834" customFormat="1" customHeight="1" ht="21.75">
      <c r="A109" s="1758"/>
      <c r="B109" s="122">
        <f>InvestmentSources_is_one_block="нет"</f>
        <v>1</v>
      </c>
      <c r="C109" s="1758"/>
      <c r="D109" s="1758"/>
      <c r="E109" s="618">
        <v>22.5</v>
      </c>
      <c r="F109" s="50" cm="1" t="str">
        <f t="array" ref="F109:F109">OFFSET(E109,-1,1)</f>
        <v>1</v>
      </c>
      <c r="G109" s="1758"/>
      <c r="H109" s="122" t="s">
        <v>2096</v>
      </c>
      <c r="I109" s="1758"/>
      <c r="J109" s="1758"/>
      <c r="K109" s="1758"/>
      <c r="L109" s="1758"/>
      <c r="M109" s="1758"/>
      <c r="N109" s="1758"/>
      <c r="O109" s="1758"/>
      <c r="P109" s="1758"/>
      <c r="Q109" s="1758"/>
      <c r="R109" s="1758"/>
      <c r="S109" s="1758"/>
      <c r="T109" s="465" cm="1" t="str">
        <f t="array" ref="T109:T109">T108</f>
        <v>true</v>
      </c>
      <c r="U109" s="1758"/>
      <c r="V109" s="1758"/>
      <c r="W109" s="1758"/>
      <c r="X109" s="1563"/>
      <c r="Y109" s="1758"/>
      <c r="Z109" s="1546"/>
      <c r="AA109" s="1758"/>
      <c r="AB109" s="299" t="s">
        <v>1755</v>
      </c>
      <c r="AC109" s="765" t="s">
        <v>2097</v>
      </c>
      <c r="AD109" s="300" t="s">
        <v>1514</v>
      </c>
      <c r="AE109" s="772"/>
      <c r="AF109" s="772"/>
      <c r="AG109" s="772"/>
      <c r="AH109" s="772"/>
      <c r="AI109" s="772"/>
      <c r="AJ109" s="772"/>
      <c r="AK109" s="772"/>
      <c r="AL109" s="772"/>
      <c r="AM109" s="772"/>
      <c r="AN109" s="772"/>
      <c r="AO109" s="772"/>
      <c r="AP109" s="3557"/>
      <c r="AQ109" s="3557"/>
      <c r="AR109" s="3557"/>
      <c r="AS109" s="3557"/>
      <c r="AT109" s="3557"/>
      <c r="AU109" s="772"/>
      <c r="AV109" s="772"/>
      <c r="AW109" s="772"/>
      <c r="AX109" s="772"/>
      <c r="AY109" s="772"/>
      <c r="AZ109" s="3557"/>
      <c r="BA109" s="3557"/>
      <c r="BB109" s="3557"/>
      <c r="BC109" s="3557"/>
      <c r="BD109" s="3557"/>
      <c r="BE109" s="774"/>
      <c r="BF109" s="1758"/>
      <c r="BG109" s="1758"/>
      <c r="BH109" s="997" t="s">
        <v>2098</v>
      </c>
    </row>
    <row s="1834" customFormat="1" customHeight="1" ht="21.75">
      <c r="A110" s="1758"/>
      <c r="B110" s="122">
        <f>InvestmentSources_is_one_block="нет"</f>
        <v>1</v>
      </c>
      <c r="C110" s="1758"/>
      <c r="D110" s="1758"/>
      <c r="E110" s="618">
        <v>22.5</v>
      </c>
      <c r="F110" s="50" cm="1" t="str">
        <f t="array" ref="F110:F110">OFFSET(E110,-1,1)</f>
        <v>1</v>
      </c>
      <c r="G110" s="1758"/>
      <c r="H110" s="122" t="s">
        <v>2099</v>
      </c>
      <c r="I110" s="1758"/>
      <c r="J110" s="1758"/>
      <c r="K110" s="1758"/>
      <c r="L110" s="1758"/>
      <c r="M110" s="1758"/>
      <c r="N110" s="1758"/>
      <c r="O110" s="1758"/>
      <c r="P110" s="1758"/>
      <c r="Q110" s="1758"/>
      <c r="R110" s="1758"/>
      <c r="S110" s="1758"/>
      <c r="T110" s="465" cm="1" t="str">
        <f t="array" ref="T110:T110">T109</f>
        <v>true</v>
      </c>
      <c r="U110" s="1758"/>
      <c r="V110" s="1758"/>
      <c r="W110" s="1758"/>
      <c r="X110" s="1563"/>
      <c r="Y110" s="1758"/>
      <c r="Z110" s="1546"/>
      <c r="AA110" s="1758"/>
      <c r="AB110" s="299" t="s">
        <v>2100</v>
      </c>
      <c r="AC110" s="765" t="s">
        <v>2101</v>
      </c>
      <c r="AD110" s="300" t="s">
        <v>1514</v>
      </c>
      <c r="AE110" s="772"/>
      <c r="AF110" s="772"/>
      <c r="AG110" s="772"/>
      <c r="AH110" s="772"/>
      <c r="AI110" s="772"/>
      <c r="AJ110" s="772"/>
      <c r="AK110" s="772"/>
      <c r="AL110" s="772"/>
      <c r="AM110" s="772"/>
      <c r="AN110" s="772"/>
      <c r="AO110" s="772"/>
      <c r="AP110" s="3557"/>
      <c r="AQ110" s="3557"/>
      <c r="AR110" s="3557"/>
      <c r="AS110" s="3557"/>
      <c r="AT110" s="3557"/>
      <c r="AU110" s="772"/>
      <c r="AV110" s="772"/>
      <c r="AW110" s="772"/>
      <c r="AX110" s="772"/>
      <c r="AY110" s="772"/>
      <c r="AZ110" s="3557"/>
      <c r="BA110" s="3557"/>
      <c r="BB110" s="3557"/>
      <c r="BC110" s="3557"/>
      <c r="BD110" s="3557"/>
      <c r="BE110" s="774"/>
      <c r="BF110" s="1758"/>
      <c r="BG110" s="1758"/>
      <c r="BH110" s="997" t="s">
        <v>2102</v>
      </c>
    </row>
    <row s="1834" customFormat="1" customHeight="1" ht="14.25">
      <c r="A111" s="1758"/>
      <c r="B111" s="122">
        <f>InvestmentSources_is_one_block="нет"</f>
        <v>1</v>
      </c>
      <c r="C111" s="1758"/>
      <c r="D111" s="1758"/>
      <c r="E111" s="618">
        <v>15</v>
      </c>
      <c r="F111" s="50" cm="1" t="str">
        <f t="array" ref="F111:F111">OFFSET(E111,-1,1)</f>
        <v>1</v>
      </c>
      <c r="G111" s="1758"/>
      <c r="H111" s="122" t="s">
        <v>2103</v>
      </c>
      <c r="I111" s="1758"/>
      <c r="J111" s="1758"/>
      <c r="K111" s="1758"/>
      <c r="L111" s="1758"/>
      <c r="M111" s="1758"/>
      <c r="N111" s="1758"/>
      <c r="O111" s="1758"/>
      <c r="P111" s="1758"/>
      <c r="Q111" s="1758"/>
      <c r="R111" s="1758"/>
      <c r="S111" s="1758"/>
      <c r="T111" s="465" cm="1" t="str">
        <f t="array" ref="T111:T111">T110</f>
        <v>true</v>
      </c>
      <c r="U111" s="1758"/>
      <c r="V111" s="1758"/>
      <c r="W111" s="1758"/>
      <c r="X111" s="1563"/>
      <c r="Y111" s="1758"/>
      <c r="Z111" s="1546"/>
      <c r="AA111" s="1758"/>
      <c r="AB111" s="299" t="s">
        <v>2104</v>
      </c>
      <c r="AC111" s="765" t="s">
        <v>2105</v>
      </c>
      <c r="AD111" s="300" t="s">
        <v>1514</v>
      </c>
      <c r="AE111" s="772"/>
      <c r="AF111" s="772"/>
      <c r="AG111" s="772"/>
      <c r="AH111" s="772"/>
      <c r="AI111" s="772"/>
      <c r="AJ111" s="772"/>
      <c r="AK111" s="772"/>
      <c r="AL111" s="772"/>
      <c r="AM111" s="772"/>
      <c r="AN111" s="772"/>
      <c r="AO111" s="772"/>
      <c r="AP111" s="3557"/>
      <c r="AQ111" s="3557"/>
      <c r="AR111" s="3557"/>
      <c r="AS111" s="3557"/>
      <c r="AT111" s="3557"/>
      <c r="AU111" s="772"/>
      <c r="AV111" s="772"/>
      <c r="AW111" s="772"/>
      <c r="AX111" s="772"/>
      <c r="AY111" s="772"/>
      <c r="AZ111" s="3557"/>
      <c r="BA111" s="3557"/>
      <c r="BB111" s="3557"/>
      <c r="BC111" s="3557"/>
      <c r="BD111" s="3557"/>
      <c r="BE111" s="774"/>
      <c r="BF111" s="1758"/>
      <c r="BG111" s="1758"/>
      <c r="BH111" s="997" t="s">
        <v>2106</v>
      </c>
    </row>
    <row s="1469" customFormat="1" customHeight="1" ht="21.75">
      <c r="A112" s="698"/>
      <c r="B112" s="122">
        <f>InvestmentSources_is_one_block="нет"</f>
        <v>1</v>
      </c>
      <c r="C112" s="698"/>
      <c r="D112" s="698"/>
      <c r="E112" s="691">
        <v>22.5</v>
      </c>
      <c r="F112" s="50" cm="1" t="str">
        <f t="array" ref="F112:F112">OFFSET(E112,-1,1)</f>
        <v>1</v>
      </c>
      <c r="G112" s="122"/>
      <c r="H112" s="122" t="s">
        <v>333</v>
      </c>
      <c r="I112" s="698"/>
      <c r="J112" s="698"/>
      <c r="K112" s="698"/>
      <c r="L112" s="698"/>
      <c r="M112" s="698"/>
      <c r="N112" s="698"/>
      <c r="O112" s="698"/>
      <c r="P112" s="698"/>
      <c r="Q112" s="698"/>
      <c r="R112" s="698"/>
      <c r="S112" s="698"/>
      <c r="T112" s="465" cm="1" t="str">
        <f t="array" ref="T112:T112">T111</f>
        <v>true</v>
      </c>
      <c r="U112" s="698"/>
      <c r="V112" s="698"/>
      <c r="W112" s="698"/>
      <c r="X112" s="1563"/>
      <c r="Y112" s="698"/>
      <c r="Z112" s="1546"/>
      <c r="AA112" s="698"/>
      <c r="AB112" s="218" t="s">
        <v>285</v>
      </c>
      <c r="AC112" s="219" t="s">
        <v>2107</v>
      </c>
      <c r="AD112" s="211" t="s">
        <v>1514</v>
      </c>
      <c r="AE112" s="213">
        <f>AE113+AE114+AE115</f>
        <v>0</v>
      </c>
      <c r="AF112" s="213">
        <f>AF113+AF114+AF115</f>
        <v>0</v>
      </c>
      <c r="AG112" s="213">
        <f>AG113+AG114+AG115</f>
        <v>0</v>
      </c>
      <c r="AH112" s="213">
        <f>AH113+AH114+AH115</f>
        <v>0</v>
      </c>
      <c r="AI112" s="213">
        <f>AI113+AI114+AI115</f>
        <v>0</v>
      </c>
      <c r="AJ112" s="213">
        <f>AJ113+AJ114+AJ115</f>
        <v>0</v>
      </c>
      <c r="AK112" s="213">
        <f>AK113+AK114+AK115</f>
        <v>0</v>
      </c>
      <c r="AL112" s="213">
        <f>AL113+AL114+AL115</f>
        <v>0</v>
      </c>
      <c r="AM112" s="213">
        <f>AM113+AM114+AM115</f>
        <v>0</v>
      </c>
      <c r="AN112" s="213">
        <f>AN113+AN114+AN115</f>
        <v>0</v>
      </c>
      <c r="AO112" s="213">
        <f>AO113+AO114+AO115</f>
        <v>0</v>
      </c>
      <c r="AP112" s="213">
        <f>AP113+AP114+AP115</f>
        <v>0</v>
      </c>
      <c r="AQ112" s="213">
        <f>AQ113+AQ114+AQ115</f>
        <v>0</v>
      </c>
      <c r="AR112" s="213">
        <f>AR113+AR114+AR115</f>
        <v>0</v>
      </c>
      <c r="AS112" s="213">
        <f>AS113+AS114+AS115</f>
        <v>0</v>
      </c>
      <c r="AT112" s="213">
        <f>AT113+AT114+AT115</f>
        <v>0</v>
      </c>
      <c r="AU112" s="213">
        <f>AU113+AU114+AU115</f>
        <v>0</v>
      </c>
      <c r="AV112" s="213">
        <f>AV113+AV114+AV115</f>
        <v>0</v>
      </c>
      <c r="AW112" s="213">
        <f>AW113+AW114+AW115</f>
        <v>0</v>
      </c>
      <c r="AX112" s="213">
        <f>AX113+AX114+AX115</f>
        <v>0</v>
      </c>
      <c r="AY112" s="213">
        <f>AY113+AY114+AY115</f>
        <v>0</v>
      </c>
      <c r="AZ112" s="213">
        <f>AZ113+AZ114+AZ115</f>
        <v>0</v>
      </c>
      <c r="BA112" s="213">
        <f>BA113+BA114+BA115</f>
        <v>0</v>
      </c>
      <c r="BB112" s="213">
        <f>BB113+BB114+BB115</f>
        <v>0</v>
      </c>
      <c r="BC112" s="213">
        <f>BC113+BC114+BC115</f>
        <v>0</v>
      </c>
      <c r="BD112" s="213">
        <f>BD113+BD114+BD115</f>
        <v>0</v>
      </c>
      <c r="BE112" s="774"/>
      <c r="BF112" s="698"/>
      <c r="BG112" s="698"/>
      <c r="BH112" s="1051" t="s">
        <v>2108</v>
      </c>
    </row>
    <row s="1834" customFormat="1" customHeight="1" ht="14.25">
      <c r="A113" s="1758"/>
      <c r="B113" s="122">
        <f>InvestmentSources_is_one_block="нет"</f>
        <v>1</v>
      </c>
      <c r="C113" s="1758"/>
      <c r="D113" s="1758"/>
      <c r="E113" s="618">
        <v>15</v>
      </c>
      <c r="F113" s="50" cm="1" t="str">
        <f t="array" ref="F113:F113">OFFSET(E113,-1,1)</f>
        <v>1</v>
      </c>
      <c r="G113" s="1758"/>
      <c r="H113" s="122" t="s">
        <v>1193</v>
      </c>
      <c r="I113" s="1758"/>
      <c r="J113" s="1758"/>
      <c r="K113" s="124" t="str">
        <f>F113&amp;"2komm"</f>
        <v>12komm</v>
      </c>
      <c r="L113" s="124" cm="1" t="str">
        <f t="array" ref="L113:L113">BE113</f>
        <v>0</v>
      </c>
      <c r="M113" s="1758"/>
      <c r="N113" s="1758"/>
      <c r="O113" s="1758"/>
      <c r="P113" s="1758"/>
      <c r="Q113" s="1758"/>
      <c r="R113" s="1758"/>
      <c r="S113" s="1758"/>
      <c r="T113" s="465" cm="1" t="str">
        <f t="array" ref="T113:T113">T112</f>
        <v>true</v>
      </c>
      <c r="U113" s="1758"/>
      <c r="V113" s="1758"/>
      <c r="W113" s="1758"/>
      <c r="X113" s="1563"/>
      <c r="Y113" s="1758"/>
      <c r="Z113" s="1546"/>
      <c r="AA113" s="1758"/>
      <c r="AB113" s="299" t="s">
        <v>1250</v>
      </c>
      <c r="AC113" s="762" t="s">
        <v>2109</v>
      </c>
      <c r="AD113" s="300" t="s">
        <v>1514</v>
      </c>
      <c r="AE113" s="772"/>
      <c r="AF113" s="772"/>
      <c r="AG113" s="772"/>
      <c r="AH113" s="772"/>
      <c r="AI113" s="772"/>
      <c r="AJ113" s="772"/>
      <c r="AK113" s="772"/>
      <c r="AL113" s="772"/>
      <c r="AM113" s="772"/>
      <c r="AN113" s="772"/>
      <c r="AO113" s="772"/>
      <c r="AP113" s="3557"/>
      <c r="AQ113" s="3557"/>
      <c r="AR113" s="3557"/>
      <c r="AS113" s="3557"/>
      <c r="AT113" s="3557"/>
      <c r="AU113" s="772"/>
      <c r="AV113" s="772"/>
      <c r="AW113" s="772"/>
      <c r="AX113" s="772"/>
      <c r="AY113" s="772"/>
      <c r="AZ113" s="3557"/>
      <c r="BA113" s="3557"/>
      <c r="BB113" s="3557"/>
      <c r="BC113" s="3557"/>
      <c r="BD113" s="3557"/>
      <c r="BE113" s="774"/>
      <c r="BF113" s="1758"/>
      <c r="BG113" s="1758"/>
      <c r="BH113" s="997" t="s">
        <v>2110</v>
      </c>
    </row>
    <row s="1834" customFormat="1" customHeight="1" ht="14.25">
      <c r="A114" s="1758"/>
      <c r="B114" s="122">
        <f>InvestmentSources_is_one_block="нет"</f>
        <v>1</v>
      </c>
      <c r="C114" s="1758"/>
      <c r="D114" s="1758"/>
      <c r="E114" s="618">
        <v>15</v>
      </c>
      <c r="F114" s="50" cm="1" t="str">
        <f t="array" ref="F114:F114">OFFSET(E114,-1,1)</f>
        <v>1</v>
      </c>
      <c r="G114" s="1758"/>
      <c r="H114" s="122" t="s">
        <v>1196</v>
      </c>
      <c r="I114" s="1758"/>
      <c r="J114" s="1758"/>
      <c r="K114" s="124" t="str">
        <f>F114&amp;"3komm"</f>
        <v>13komm</v>
      </c>
      <c r="L114" s="124" cm="1" t="str">
        <f t="array" ref="L114:L114">BE114</f>
        <v>0</v>
      </c>
      <c r="M114" s="1758"/>
      <c r="N114" s="1758"/>
      <c r="O114" s="1758"/>
      <c r="P114" s="1758"/>
      <c r="Q114" s="1758"/>
      <c r="R114" s="1758"/>
      <c r="S114" s="1758"/>
      <c r="T114" s="465" cm="1" t="str">
        <f t="array" ref="T114:T114">T113</f>
        <v>true</v>
      </c>
      <c r="U114" s="1758"/>
      <c r="V114" s="1758"/>
      <c r="W114" s="1758"/>
      <c r="X114" s="1563"/>
      <c r="Y114" s="1758"/>
      <c r="Z114" s="1546"/>
      <c r="AA114" s="1758"/>
      <c r="AB114" s="299" t="s">
        <v>1254</v>
      </c>
      <c r="AC114" s="762" t="s">
        <v>2111</v>
      </c>
      <c r="AD114" s="300" t="s">
        <v>1514</v>
      </c>
      <c r="AE114" s="772"/>
      <c r="AF114" s="772"/>
      <c r="AG114" s="772"/>
      <c r="AH114" s="772"/>
      <c r="AI114" s="772"/>
      <c r="AJ114" s="772"/>
      <c r="AK114" s="772"/>
      <c r="AL114" s="772"/>
      <c r="AM114" s="772"/>
      <c r="AN114" s="772"/>
      <c r="AO114" s="772"/>
      <c r="AP114" s="3557"/>
      <c r="AQ114" s="3557"/>
      <c r="AR114" s="3557"/>
      <c r="AS114" s="3557"/>
      <c r="AT114" s="3557"/>
      <c r="AU114" s="772"/>
      <c r="AV114" s="772"/>
      <c r="AW114" s="772"/>
      <c r="AX114" s="772"/>
      <c r="AY114" s="772"/>
      <c r="AZ114" s="3557"/>
      <c r="BA114" s="3557"/>
      <c r="BB114" s="3557"/>
      <c r="BC114" s="3557"/>
      <c r="BD114" s="3557"/>
      <c r="BE114" s="774"/>
      <c r="BF114" s="1758"/>
      <c r="BG114" s="1758"/>
      <c r="BH114" s="997" t="s">
        <v>2112</v>
      </c>
    </row>
    <row s="1834" customFormat="1" customHeight="1" ht="14.25">
      <c r="A115" s="1758"/>
      <c r="B115" s="122">
        <f>InvestmentSources_is_one_block="нет"</f>
        <v>1</v>
      </c>
      <c r="C115" s="1758"/>
      <c r="D115" s="1758"/>
      <c r="E115" s="618">
        <v>15</v>
      </c>
      <c r="F115" s="50" cm="1" t="str">
        <f t="array" ref="F115:F115">OFFSET(E115,-1,1)</f>
        <v>1</v>
      </c>
      <c r="G115" s="1758"/>
      <c r="H115" s="122" t="s">
        <v>1648</v>
      </c>
      <c r="I115" s="1758"/>
      <c r="J115" s="1758"/>
      <c r="K115" s="1758"/>
      <c r="L115" s="1758"/>
      <c r="M115" s="1758"/>
      <c r="N115" s="1758"/>
      <c r="O115" s="1758"/>
      <c r="P115" s="1758"/>
      <c r="Q115" s="1758"/>
      <c r="R115" s="1758"/>
      <c r="S115" s="1758"/>
      <c r="T115" s="465" cm="1" t="str">
        <f t="array" ref="T115:T115">T114</f>
        <v>true</v>
      </c>
      <c r="U115" s="1758"/>
      <c r="V115" s="1758"/>
      <c r="W115" s="1758"/>
      <c r="X115" s="1563"/>
      <c r="Y115" s="1758"/>
      <c r="Z115" s="1546"/>
      <c r="AA115" s="1758"/>
      <c r="AB115" s="299" t="s">
        <v>1258</v>
      </c>
      <c r="AC115" s="762" t="s">
        <v>2113</v>
      </c>
      <c r="AD115" s="300" t="s">
        <v>1514</v>
      </c>
      <c r="AE115" s="772"/>
      <c r="AF115" s="772"/>
      <c r="AG115" s="772"/>
      <c r="AH115" s="772"/>
      <c r="AI115" s="772"/>
      <c r="AJ115" s="772"/>
      <c r="AK115" s="772"/>
      <c r="AL115" s="772"/>
      <c r="AM115" s="772"/>
      <c r="AN115" s="772"/>
      <c r="AO115" s="772"/>
      <c r="AP115" s="3557"/>
      <c r="AQ115" s="3557"/>
      <c r="AR115" s="3557"/>
      <c r="AS115" s="3557"/>
      <c r="AT115" s="3557"/>
      <c r="AU115" s="772"/>
      <c r="AV115" s="772"/>
      <c r="AW115" s="772"/>
      <c r="AX115" s="772"/>
      <c r="AY115" s="772"/>
      <c r="AZ115" s="3557"/>
      <c r="BA115" s="3557"/>
      <c r="BB115" s="3557"/>
      <c r="BC115" s="3557"/>
      <c r="BD115" s="3557"/>
      <c r="BE115" s="774"/>
      <c r="BF115" s="1758"/>
      <c r="BG115" s="1758"/>
      <c r="BH115" s="997" t="s">
        <v>2114</v>
      </c>
    </row>
    <row s="1834" customFormat="1" customHeight="1" ht="14.25">
      <c r="A116" s="1758"/>
      <c r="B116" s="122">
        <f>InvestmentSources_is_one_block="нет"</f>
        <v>1</v>
      </c>
      <c r="C116" s="1758"/>
      <c r="D116" s="1758"/>
      <c r="E116" s="618">
        <v>15</v>
      </c>
      <c r="F116" s="98" cm="1" t="str">
        <f t="array" ref="F116:F116">X116</f>
        <v>2</v>
      </c>
      <c r="G116" s="1758"/>
      <c r="H116" s="1758"/>
      <c r="I116" s="1758"/>
      <c r="J116" s="1758"/>
      <c r="K116" s="1758"/>
      <c r="L116" s="1758"/>
      <c r="M116" s="1758"/>
      <c r="N116" s="1758"/>
      <c r="O116" s="1758"/>
      <c r="P116" s="1758"/>
      <c r="Q116" s="1758"/>
      <c r="R116" s="1758"/>
      <c r="S116" s="1758"/>
      <c r="T116" s="465">
        <f>X116&gt;0</f>
        <v>1</v>
      </c>
      <c r="U116" s="1758"/>
      <c r="V116" s="122" cm="1" t="str">
        <f t="array" ref="V116:V116">Налоги!$AB$56</f>
        <v>Тариф 2 (Водоснабжение) - тариф на питьевую воду (Доп. признак не требуется)</v>
      </c>
      <c r="W116" s="1758"/>
      <c r="X116" s="1563" t="s">
        <v>285</v>
      </c>
      <c r="Y116" s="1758"/>
      <c r="Z116" s="1546"/>
      <c r="AA116" s="1758"/>
      <c r="AB116" s="242" cm="1" t="str">
        <f t="array" ref="AB116:AB116">Налоги!$AB$56</f>
        <v>Тариф 2 (Водоснабжение) - тариф на питьевую воду (Доп. признак не требуется)</v>
      </c>
      <c r="AC116" s="832"/>
      <c r="AD116" s="832"/>
      <c r="AE116" s="832"/>
      <c r="AF116" s="832"/>
      <c r="AG116" s="832"/>
      <c r="AH116" s="832"/>
      <c r="AI116" s="832"/>
      <c r="AJ116" s="832"/>
      <c r="AK116" s="832"/>
      <c r="AL116" s="832"/>
      <c r="AM116" s="832"/>
      <c r="AN116" s="832"/>
      <c r="AO116" s="832"/>
      <c r="AP116" s="832"/>
      <c r="AQ116" s="832"/>
      <c r="AR116" s="832"/>
      <c r="AS116" s="832"/>
      <c r="AT116" s="832"/>
      <c r="AU116" s="832"/>
      <c r="AV116" s="832"/>
      <c r="AW116" s="832"/>
      <c r="AX116" s="832"/>
      <c r="AY116" s="832"/>
      <c r="AZ116" s="832"/>
      <c r="BA116" s="832"/>
      <c r="BB116" s="832"/>
      <c r="BC116" s="832"/>
      <c r="BD116" s="832"/>
      <c r="BE116" s="832"/>
      <c r="BF116" s="1758"/>
      <c r="BG116" s="1758"/>
      <c r="BH116" s="1764"/>
    </row>
    <row s="1469" customFormat="1" customHeight="1" ht="21.75">
      <c r="A117" s="698"/>
      <c r="B117" s="122">
        <f>InvestmentSources_is_one_block="нет"</f>
        <v>1</v>
      </c>
      <c r="C117" s="698"/>
      <c r="D117" s="698"/>
      <c r="E117" s="691">
        <v>22.5</v>
      </c>
      <c r="F117" s="50" cm="1" t="str">
        <f t="array" ref="F117:F117">OFFSET(E117,-1,1)</f>
        <v>2</v>
      </c>
      <c r="G117" s="122"/>
      <c r="H117" s="122" t="s">
        <v>332</v>
      </c>
      <c r="I117" s="698"/>
      <c r="J117" s="698"/>
      <c r="K117" s="698"/>
      <c r="L117" s="698"/>
      <c r="M117" s="698"/>
      <c r="N117" s="698"/>
      <c r="O117" s="698"/>
      <c r="P117" s="698"/>
      <c r="Q117" s="698"/>
      <c r="R117" s="698"/>
      <c r="S117" s="698"/>
      <c r="T117" s="465" cm="1" t="str">
        <f t="array" ref="T117:T117">T116</f>
        <v>true</v>
      </c>
      <c r="U117" s="698"/>
      <c r="V117" s="698"/>
      <c r="W117" s="698"/>
      <c r="X117" s="1563"/>
      <c r="Y117" s="698"/>
      <c r="Z117" s="1546"/>
      <c r="AA117" s="698"/>
      <c r="AB117" s="218">
        <v>1</v>
      </c>
      <c r="AC117" s="212" t="s">
        <v>2036</v>
      </c>
      <c r="AD117" s="211" t="s">
        <v>1514</v>
      </c>
      <c r="AE117" s="213">
        <f>AE118+AE128+AE132+AE136</f>
        <v>0</v>
      </c>
      <c r="AF117" s="213">
        <f>AF118+AF128+AF132+AF136</f>
        <v>0</v>
      </c>
      <c r="AG117" s="213">
        <f>AG118+AG128+AG132+AG136</f>
        <v>0</v>
      </c>
      <c r="AH117" s="213">
        <f>AH118+AH128+AH132+AH136</f>
        <v>0</v>
      </c>
      <c r="AI117" s="213">
        <f>AI118+AI128+AI132+AI136</f>
        <v>0</v>
      </c>
      <c r="AJ117" s="213">
        <f>AJ118+AJ128+AJ132+AJ136</f>
        <v>0</v>
      </c>
      <c r="AK117" s="213">
        <f>AK118+AK128+AK132+AK136</f>
        <v>0</v>
      </c>
      <c r="AL117" s="213">
        <f>AL118+AL128+AL132+AL136</f>
        <v>0</v>
      </c>
      <c r="AM117" s="213">
        <f>AM118+AM128+AM132+AM136</f>
        <v>0</v>
      </c>
      <c r="AN117" s="213">
        <f>AN118+AN128+AN132+AN136</f>
        <v>0</v>
      </c>
      <c r="AO117" s="213">
        <f>AO118+AO128+AO132+AO136</f>
        <v>0</v>
      </c>
      <c r="AP117" s="213">
        <f>AP118+AP128+AP132+AP136</f>
        <v>0</v>
      </c>
      <c r="AQ117" s="213">
        <f>AQ118+AQ128+AQ132+AQ136</f>
        <v>0</v>
      </c>
      <c r="AR117" s="213">
        <f>AR118+AR128+AR132+AR136</f>
        <v>0</v>
      </c>
      <c r="AS117" s="213">
        <f>AS118+AS128+AS132+AS136</f>
        <v>0</v>
      </c>
      <c r="AT117" s="213">
        <f>AT118+AT128+AT132+AT136</f>
        <v>0</v>
      </c>
      <c r="AU117" s="213">
        <f>AU118+AU128+AU132+AU136</f>
        <v>0</v>
      </c>
      <c r="AV117" s="213">
        <f>AV118+AV128+AV132+AV136</f>
        <v>0</v>
      </c>
      <c r="AW117" s="213">
        <f>AW118+AW128+AW132+AW136</f>
        <v>0</v>
      </c>
      <c r="AX117" s="213">
        <f>AX118+AX128+AX132+AX136</f>
        <v>0</v>
      </c>
      <c r="AY117" s="213">
        <f>AY118+AY128+AY132+AY136</f>
        <v>0</v>
      </c>
      <c r="AZ117" s="213">
        <f>AZ118+AZ128+AZ132+AZ136</f>
        <v>0</v>
      </c>
      <c r="BA117" s="213">
        <f>BA118+BA128+BA132+BA136</f>
        <v>0</v>
      </c>
      <c r="BB117" s="213">
        <f>BB118+BB128+BB132+BB136</f>
        <v>0</v>
      </c>
      <c r="BC117" s="213">
        <f>BC118+BC128+BC132+BC136</f>
        <v>0</v>
      </c>
      <c r="BD117" s="213">
        <f>BD118+BD128+BD132+BD136</f>
        <v>0</v>
      </c>
      <c r="BE117" s="774"/>
      <c r="BF117" s="698"/>
      <c r="BG117" s="698"/>
      <c r="BH117" s="1051" t="s">
        <v>2037</v>
      </c>
    </row>
    <row s="1834" customFormat="1" customHeight="1" ht="14.25">
      <c r="A118" s="1758"/>
      <c r="B118" s="122">
        <f>InvestmentSources_is_one_block="нет"</f>
        <v>1</v>
      </c>
      <c r="C118" s="1758"/>
      <c r="D118" s="1758"/>
      <c r="E118" s="618">
        <v>15</v>
      </c>
      <c r="F118" s="50" cm="1" t="str">
        <f t="array" ref="F118:F118">OFFSET(E118,-1,1)</f>
        <v>2</v>
      </c>
      <c r="G118" s="1758"/>
      <c r="H118" s="122" t="s">
        <v>1175</v>
      </c>
      <c r="I118" s="1758"/>
      <c r="J118" s="1758"/>
      <c r="K118" s="1758"/>
      <c r="L118" s="1758"/>
      <c r="M118" s="1758"/>
      <c r="N118" s="1758"/>
      <c r="O118" s="1758"/>
      <c r="P118" s="1758"/>
      <c r="Q118" s="1758"/>
      <c r="R118" s="1758"/>
      <c r="S118" s="1758"/>
      <c r="T118" s="465" cm="1" t="str">
        <f t="array" ref="T118:T118">T117</f>
        <v>true</v>
      </c>
      <c r="U118" s="1758"/>
      <c r="V118" s="1758"/>
      <c r="W118" s="1758"/>
      <c r="X118" s="1563"/>
      <c r="Y118" s="1758"/>
      <c r="Z118" s="1546"/>
      <c r="AA118" s="1758"/>
      <c r="AB118" s="299" t="s">
        <v>1628</v>
      </c>
      <c r="AC118" s="762" t="s">
        <v>2038</v>
      </c>
      <c r="AD118" s="300" t="s">
        <v>1514</v>
      </c>
      <c r="AE118" s="783">
        <f>AE119+AE120+AE121+AE122+AE123</f>
        <v>0</v>
      </c>
      <c r="AF118" s="783">
        <f>AF119+AF120+AF121+AF122+AF123</f>
        <v>0</v>
      </c>
      <c r="AG118" s="783">
        <f>AG119+AG120+AG121+AG122+AG123</f>
        <v>0</v>
      </c>
      <c r="AH118" s="783">
        <f>AH119+AH120+AH121+AH122+AH123</f>
        <v>0</v>
      </c>
      <c r="AI118" s="783">
        <f>AI119+AI120+AI121+AI122+AI123</f>
        <v>0</v>
      </c>
      <c r="AJ118" s="783">
        <f>AJ119+AJ120+AJ121+AJ122+AJ123</f>
        <v>0</v>
      </c>
      <c r="AK118" s="783">
        <f>AK119+AK120+AK121+AK122+AK123</f>
        <v>0</v>
      </c>
      <c r="AL118" s="783">
        <f>AL119+AL120+AL121+AL122+AL123</f>
        <v>0</v>
      </c>
      <c r="AM118" s="783">
        <f>AM119+AM120+AM121+AM122+AM123</f>
        <v>0</v>
      </c>
      <c r="AN118" s="783">
        <f>AN119+AN120+AN121+AN122+AN123</f>
        <v>0</v>
      </c>
      <c r="AO118" s="783">
        <f>AO119+AO120+AO121+AO122+AO123</f>
        <v>0</v>
      </c>
      <c r="AP118" s="783">
        <f>AP119+AP120+AP121+AP122+AP123</f>
        <v>0</v>
      </c>
      <c r="AQ118" s="783">
        <f>AQ119+AQ120+AQ121+AQ122+AQ123</f>
        <v>0</v>
      </c>
      <c r="AR118" s="783">
        <f>AR119+AR120+AR121+AR122+AR123</f>
        <v>0</v>
      </c>
      <c r="AS118" s="783">
        <f>AS119+AS120+AS121+AS122+AS123</f>
        <v>0</v>
      </c>
      <c r="AT118" s="783">
        <f>AT119+AT120+AT121+AT122+AT123</f>
        <v>0</v>
      </c>
      <c r="AU118" s="783">
        <f>AU119+AU120+AU121+AU122+AU123</f>
        <v>0</v>
      </c>
      <c r="AV118" s="783">
        <f>AV119+AV120+AV121+AV122+AV123</f>
        <v>0</v>
      </c>
      <c r="AW118" s="783">
        <f>AW119+AW120+AW121+AW122+AW123</f>
        <v>0</v>
      </c>
      <c r="AX118" s="783">
        <f>AX119+AX120+AX121+AX122+AX123</f>
        <v>0</v>
      </c>
      <c r="AY118" s="783">
        <f>AY119+AY120+AY121+AY122+AY123</f>
        <v>0</v>
      </c>
      <c r="AZ118" s="783">
        <f>AZ119+AZ120+AZ121+AZ122+AZ123</f>
        <v>0</v>
      </c>
      <c r="BA118" s="783">
        <f>BA119+BA120+BA121+BA122+BA123</f>
        <v>0</v>
      </c>
      <c r="BB118" s="783">
        <f>BB119+BB120+BB121+BB122+BB123</f>
        <v>0</v>
      </c>
      <c r="BC118" s="783">
        <f>BC119+BC120+BC121+BC122+BC123</f>
        <v>0</v>
      </c>
      <c r="BD118" s="783">
        <f>BD119+BD120+BD121+BD122+BD123</f>
        <v>0</v>
      </c>
      <c r="BE118" s="774"/>
      <c r="BF118" s="1758"/>
      <c r="BG118" s="1758"/>
      <c r="BH118" s="997" t="s">
        <v>2039</v>
      </c>
    </row>
    <row s="1834" customFormat="1" customHeight="1" ht="14.25">
      <c r="A119" s="1758"/>
      <c r="B119" s="122">
        <f>InvestmentSources_is_one_block="нет"</f>
        <v>1</v>
      </c>
      <c r="C119" s="1758"/>
      <c r="D119" s="1758"/>
      <c r="E119" s="618">
        <v>15</v>
      </c>
      <c r="F119" s="50" cm="1" t="str">
        <f t="array" ref="F119:F119">OFFSET(E119,-1,1)</f>
        <v>2</v>
      </c>
      <c r="G119" s="1758"/>
      <c r="H119" s="122" t="s">
        <v>1735</v>
      </c>
      <c r="I119" s="1758"/>
      <c r="J119" s="1758"/>
      <c r="K119" s="1758"/>
      <c r="L119" s="1758"/>
      <c r="M119" s="1758"/>
      <c r="N119" s="1758"/>
      <c r="O119" s="1758"/>
      <c r="P119" s="1758"/>
      <c r="Q119" s="1758"/>
      <c r="R119" s="1758"/>
      <c r="S119" s="1758"/>
      <c r="T119" s="465" cm="1" t="str">
        <f t="array" ref="T119:T119">T118</f>
        <v>true</v>
      </c>
      <c r="U119" s="1758"/>
      <c r="V119" s="1758"/>
      <c r="W119" s="1758"/>
      <c r="X119" s="1563"/>
      <c r="Y119" s="1758"/>
      <c r="Z119" s="1546"/>
      <c r="AA119" s="1758"/>
      <c r="AB119" s="299" t="s">
        <v>1736</v>
      </c>
      <c r="AC119" s="765" t="s">
        <v>2040</v>
      </c>
      <c r="AD119" s="300" t="s">
        <v>1514</v>
      </c>
      <c r="AE119" s="772"/>
      <c r="AF119" s="772"/>
      <c r="AG119" s="772"/>
      <c r="AH119" s="772"/>
      <c r="AI119" s="772"/>
      <c r="AJ119" s="772"/>
      <c r="AK119" s="772"/>
      <c r="AL119" s="772"/>
      <c r="AM119" s="772"/>
      <c r="AN119" s="772"/>
      <c r="AO119" s="772"/>
      <c r="AP119" s="3557"/>
      <c r="AQ119" s="3557"/>
      <c r="AR119" s="3557"/>
      <c r="AS119" s="3557"/>
      <c r="AT119" s="3557"/>
      <c r="AU119" s="772"/>
      <c r="AV119" s="772"/>
      <c r="AW119" s="772"/>
      <c r="AX119" s="772"/>
      <c r="AY119" s="772"/>
      <c r="AZ119" s="3557"/>
      <c r="BA119" s="3557"/>
      <c r="BB119" s="3557"/>
      <c r="BC119" s="3557"/>
      <c r="BD119" s="3557"/>
      <c r="BE119" s="774"/>
      <c r="BF119" s="1758"/>
      <c r="BG119" s="1758"/>
      <c r="BH119" s="997" t="s">
        <v>1960</v>
      </c>
    </row>
    <row s="1834" customFormat="1" customHeight="1" ht="14.25">
      <c r="A120" s="1758"/>
      <c r="B120" s="122">
        <f>InvestmentSources_is_one_block="нет"</f>
        <v>1</v>
      </c>
      <c r="C120" s="1758"/>
      <c r="D120" s="1758"/>
      <c r="E120" s="618">
        <v>15</v>
      </c>
      <c r="F120" s="50" cm="1" t="str">
        <f t="array" ref="F120:F120">OFFSET(E120,-1,1)</f>
        <v>2</v>
      </c>
      <c r="G120" s="1758"/>
      <c r="H120" s="122" t="s">
        <v>1739</v>
      </c>
      <c r="I120" s="1758"/>
      <c r="J120" s="1758"/>
      <c r="K120" s="124" t="str">
        <f>F120&amp;"1komm"</f>
        <v>21komm</v>
      </c>
      <c r="L120" s="919" cm="1" t="str">
        <f t="array" ref="L120:L120">BE120</f>
        <v>0</v>
      </c>
      <c r="M120" s="1758"/>
      <c r="N120" s="1758"/>
      <c r="O120" s="1758"/>
      <c r="P120" s="1758"/>
      <c r="Q120" s="1758"/>
      <c r="R120" s="1758"/>
      <c r="S120" s="1758"/>
      <c r="T120" s="465" cm="1" t="str">
        <f t="array" ref="T120:T120">T119</f>
        <v>true</v>
      </c>
      <c r="U120" s="1758"/>
      <c r="V120" s="1758"/>
      <c r="W120" s="1758"/>
      <c r="X120" s="1563"/>
      <c r="Y120" s="1758"/>
      <c r="Z120" s="1546"/>
      <c r="AA120" s="1758"/>
      <c r="AB120" s="299" t="s">
        <v>1740</v>
      </c>
      <c r="AC120" s="765" t="s">
        <v>2041</v>
      </c>
      <c r="AD120" s="300" t="s">
        <v>1514</v>
      </c>
      <c r="AE120" s="772"/>
      <c r="AF120" s="772"/>
      <c r="AG120" s="772"/>
      <c r="AH120" s="772"/>
      <c r="AI120" s="772"/>
      <c r="AJ120" s="772"/>
      <c r="AK120" s="772"/>
      <c r="AL120" s="772"/>
      <c r="AM120" s="772"/>
      <c r="AN120" s="772"/>
      <c r="AO120" s="772"/>
      <c r="AP120" s="3557"/>
      <c r="AQ120" s="3557"/>
      <c r="AR120" s="3557"/>
      <c r="AS120" s="3557"/>
      <c r="AT120" s="3557"/>
      <c r="AU120" s="772"/>
      <c r="AV120" s="772"/>
      <c r="AW120" s="772"/>
      <c r="AX120" s="772"/>
      <c r="AY120" s="772"/>
      <c r="AZ120" s="3557"/>
      <c r="BA120" s="3557"/>
      <c r="BB120" s="3557"/>
      <c r="BC120" s="3557"/>
      <c r="BD120" s="3557"/>
      <c r="BE120" s="774"/>
      <c r="BF120" s="1758"/>
      <c r="BG120" s="1758"/>
      <c r="BH120" s="997" t="s">
        <v>2042</v>
      </c>
    </row>
    <row s="1834" customFormat="1" customHeight="1" ht="14.25">
      <c r="A121" s="1758"/>
      <c r="B121" s="122">
        <f>InvestmentSources_is_one_block="нет"</f>
        <v>1</v>
      </c>
      <c r="C121" s="1758"/>
      <c r="D121" s="1758"/>
      <c r="E121" s="618">
        <v>15</v>
      </c>
      <c r="F121" s="50" cm="1" t="str">
        <f t="array" ref="F121:F121">OFFSET(E121,-1,1)</f>
        <v>2</v>
      </c>
      <c r="G121" s="1758"/>
      <c r="H121" s="122" t="s">
        <v>2043</v>
      </c>
      <c r="I121" s="1758"/>
      <c r="J121" s="1758"/>
      <c r="K121" s="1758"/>
      <c r="L121" s="1758"/>
      <c r="M121" s="1758"/>
      <c r="N121" s="1758"/>
      <c r="O121" s="1758"/>
      <c r="P121" s="1758"/>
      <c r="Q121" s="1758"/>
      <c r="R121" s="1758"/>
      <c r="S121" s="1758"/>
      <c r="T121" s="465" cm="1" t="str">
        <f t="array" ref="T121:T121">T120</f>
        <v>true</v>
      </c>
      <c r="U121" s="1758"/>
      <c r="V121" s="1758"/>
      <c r="W121" s="1758"/>
      <c r="X121" s="1563"/>
      <c r="Y121" s="1758"/>
      <c r="Z121" s="1546"/>
      <c r="AA121" s="1758"/>
      <c r="AB121" s="299" t="s">
        <v>2044</v>
      </c>
      <c r="AC121" s="765" t="s">
        <v>2045</v>
      </c>
      <c r="AD121" s="300" t="s">
        <v>1514</v>
      </c>
      <c r="AE121" s="772"/>
      <c r="AF121" s="772"/>
      <c r="AG121" s="772"/>
      <c r="AH121" s="772"/>
      <c r="AI121" s="772"/>
      <c r="AJ121" s="772"/>
      <c r="AK121" s="772"/>
      <c r="AL121" s="772"/>
      <c r="AM121" s="772"/>
      <c r="AN121" s="772"/>
      <c r="AO121" s="772"/>
      <c r="AP121" s="3557"/>
      <c r="AQ121" s="3557"/>
      <c r="AR121" s="3557"/>
      <c r="AS121" s="3557"/>
      <c r="AT121" s="3557"/>
      <c r="AU121" s="772"/>
      <c r="AV121" s="772"/>
      <c r="AW121" s="772"/>
      <c r="AX121" s="772"/>
      <c r="AY121" s="772"/>
      <c r="AZ121" s="3557"/>
      <c r="BA121" s="3557"/>
      <c r="BB121" s="3557"/>
      <c r="BC121" s="3557"/>
      <c r="BD121" s="3557"/>
      <c r="BE121" s="774"/>
      <c r="BF121" s="1758"/>
      <c r="BG121" s="1758"/>
      <c r="BH121" s="997" t="s">
        <v>2046</v>
      </c>
    </row>
    <row s="1834" customFormat="1" customHeight="1" ht="14.25">
      <c r="A122" s="1758"/>
      <c r="B122" s="122">
        <f>InvestmentSources_is_one_block="нет"</f>
        <v>1</v>
      </c>
      <c r="C122" s="1758"/>
      <c r="D122" s="1758"/>
      <c r="E122" s="618">
        <v>15</v>
      </c>
      <c r="F122" s="50" cm="1" t="str">
        <f t="array" ref="F122:F122">OFFSET(E122,-1,1)</f>
        <v>2</v>
      </c>
      <c r="G122" s="1758"/>
      <c r="H122" s="122" t="s">
        <v>2047</v>
      </c>
      <c r="I122" s="1758"/>
      <c r="J122" s="1758"/>
      <c r="K122" s="1758"/>
      <c r="L122" s="1758"/>
      <c r="M122" s="1758"/>
      <c r="N122" s="1758"/>
      <c r="O122" s="1758"/>
      <c r="P122" s="1758"/>
      <c r="Q122" s="1758"/>
      <c r="R122" s="1758"/>
      <c r="S122" s="1758"/>
      <c r="T122" s="465" cm="1" t="str">
        <f t="array" ref="T122:T122">T121</f>
        <v>true</v>
      </c>
      <c r="U122" s="1758"/>
      <c r="V122" s="1758"/>
      <c r="W122" s="1758"/>
      <c r="X122" s="1563"/>
      <c r="Y122" s="1758"/>
      <c r="Z122" s="1546"/>
      <c r="AA122" s="1758"/>
      <c r="AB122" s="299" t="s">
        <v>2048</v>
      </c>
      <c r="AC122" s="765" t="s">
        <v>2049</v>
      </c>
      <c r="AD122" s="300" t="s">
        <v>1514</v>
      </c>
      <c r="AE122" s="772"/>
      <c r="AF122" s="772"/>
      <c r="AG122" s="772"/>
      <c r="AH122" s="772"/>
      <c r="AI122" s="772"/>
      <c r="AJ122" s="772"/>
      <c r="AK122" s="772"/>
      <c r="AL122" s="772"/>
      <c r="AM122" s="772"/>
      <c r="AN122" s="772"/>
      <c r="AO122" s="772"/>
      <c r="AP122" s="3557"/>
      <c r="AQ122" s="3557"/>
      <c r="AR122" s="3557"/>
      <c r="AS122" s="3557"/>
      <c r="AT122" s="3557"/>
      <c r="AU122" s="772"/>
      <c r="AV122" s="772"/>
      <c r="AW122" s="772"/>
      <c r="AX122" s="772"/>
      <c r="AY122" s="772"/>
      <c r="AZ122" s="3557"/>
      <c r="BA122" s="3557"/>
      <c r="BB122" s="3557"/>
      <c r="BC122" s="3557"/>
      <c r="BD122" s="3557"/>
      <c r="BE122" s="774"/>
      <c r="BF122" s="1758"/>
      <c r="BG122" s="1758"/>
      <c r="BH122" s="997" t="s">
        <v>2050</v>
      </c>
    </row>
    <row s="1834" customFormat="1" customHeight="1" ht="21.75">
      <c r="A123" s="1758"/>
      <c r="B123" s="122">
        <f>InvestmentSources_is_one_block="нет"</f>
        <v>1</v>
      </c>
      <c r="C123" s="1758"/>
      <c r="D123" s="1758"/>
      <c r="E123" s="618">
        <v>22.5</v>
      </c>
      <c r="F123" s="50" cm="1" t="str">
        <f t="array" ref="F123:F123">OFFSET(E123,-1,1)</f>
        <v>2</v>
      </c>
      <c r="G123" s="1758"/>
      <c r="H123" s="1758"/>
      <c r="I123" s="1758"/>
      <c r="J123" s="1758"/>
      <c r="K123" s="1758"/>
      <c r="L123" s="1758"/>
      <c r="M123" s="1758"/>
      <c r="N123" s="1758"/>
      <c r="O123" s="1758"/>
      <c r="P123" s="1758"/>
      <c r="Q123" s="1758"/>
      <c r="R123" s="1758"/>
      <c r="S123" s="1758"/>
      <c r="T123" s="465" cm="1" t="str">
        <f t="array" ref="T123:T123">T122</f>
        <v>true</v>
      </c>
      <c r="U123" s="1758"/>
      <c r="V123" s="1758"/>
      <c r="W123" s="1758"/>
      <c r="X123" s="1563"/>
      <c r="Y123" s="1758"/>
      <c r="Z123" s="1546"/>
      <c r="AA123" s="1758"/>
      <c r="AB123" s="299" t="s">
        <v>2051</v>
      </c>
      <c r="AC123" s="765" t="s">
        <v>2052</v>
      </c>
      <c r="AD123" s="300" t="s">
        <v>1514</v>
      </c>
      <c r="AE123" s="772">
        <f>AE124+AE125+AE126+AE127</f>
        <v>0</v>
      </c>
      <c r="AF123" s="772">
        <f>AF124+AF125+AF126+AF127</f>
        <v>0</v>
      </c>
      <c r="AG123" s="772">
        <f>AG124+AG125+AG126+AG127</f>
        <v>0</v>
      </c>
      <c r="AH123" s="772">
        <f>AH124+AH125+AH126+AH127</f>
        <v>0</v>
      </c>
      <c r="AI123" s="772">
        <f>AI124+AI125+AI126+AI127</f>
        <v>0</v>
      </c>
      <c r="AJ123" s="772">
        <f>AJ124+AJ125+AJ126+AJ127</f>
        <v>0</v>
      </c>
      <c r="AK123" s="772">
        <f>AK124+AK125+AK126+AK127</f>
        <v>0</v>
      </c>
      <c r="AL123" s="772">
        <f>AL124+AL125+AL126+AL127</f>
        <v>0</v>
      </c>
      <c r="AM123" s="772">
        <f>AM124+AM125+AM126+AM127</f>
        <v>0</v>
      </c>
      <c r="AN123" s="772">
        <f>AN124+AN125+AN126+AN127</f>
        <v>0</v>
      </c>
      <c r="AO123" s="772">
        <f>AO124+AO125+AO126+AO127</f>
        <v>0</v>
      </c>
      <c r="AP123" s="3557">
        <f>AP124+AP125+AP126+AP127</f>
        <v>0</v>
      </c>
      <c r="AQ123" s="3557">
        <f>AQ124+AQ125+AQ126+AQ127</f>
        <v>0</v>
      </c>
      <c r="AR123" s="3557">
        <f>AR124+AR125+AR126+AR127</f>
        <v>0</v>
      </c>
      <c r="AS123" s="3557">
        <f>AS124+AS125+AS126+AS127</f>
        <v>0</v>
      </c>
      <c r="AT123" s="3557">
        <f>AT124+AT125+AT126+AT127</f>
        <v>0</v>
      </c>
      <c r="AU123" s="772">
        <f>AU124+AU125+AU126+AU127</f>
        <v>0</v>
      </c>
      <c r="AV123" s="772">
        <f>AV124+AV125+AV126+AV127</f>
        <v>0</v>
      </c>
      <c r="AW123" s="772">
        <f>AW124+AW125+AW126+AW127</f>
        <v>0</v>
      </c>
      <c r="AX123" s="772">
        <f>AX124+AX125+AX126+AX127</f>
        <v>0</v>
      </c>
      <c r="AY123" s="772">
        <f>AY124+AY125+AY126+AY127</f>
        <v>0</v>
      </c>
      <c r="AZ123" s="3557">
        <f>AZ124+AZ125+AZ126+AZ127</f>
        <v>0</v>
      </c>
      <c r="BA123" s="3557">
        <f>BA124+BA125+BA126+BA127</f>
        <v>0</v>
      </c>
      <c r="BB123" s="3557">
        <f>BB124+BB125+BB126+BB127</f>
        <v>0</v>
      </c>
      <c r="BC123" s="3557">
        <f>BC124+BC125+BC126+BC127</f>
        <v>0</v>
      </c>
      <c r="BD123" s="3557">
        <f>BD124+BD125+BD126+BD127</f>
        <v>0</v>
      </c>
      <c r="BE123" s="774"/>
      <c r="BF123" s="1758"/>
      <c r="BG123" s="1758"/>
      <c r="BH123" s="997" t="s">
        <v>2053</v>
      </c>
    </row>
    <row s="1834" customFormat="1" customHeight="1" ht="44.25">
      <c r="A124" s="1758"/>
      <c r="B124" s="122">
        <f>InvestmentSources_is_one_block="нет"</f>
        <v>1</v>
      </c>
      <c r="C124" s="1758"/>
      <c r="D124" s="1758"/>
      <c r="E124" s="618">
        <v>45.75</v>
      </c>
      <c r="F124" s="50" cm="1" t="str">
        <f t="array" ref="F124:F124">OFFSET(E124,-1,1)</f>
        <v>2</v>
      </c>
      <c r="G124" s="1758"/>
      <c r="H124" s="1758"/>
      <c r="I124" s="1758"/>
      <c r="J124" s="1758"/>
      <c r="K124" s="1758"/>
      <c r="L124" s="1758"/>
      <c r="M124" s="1758"/>
      <c r="N124" s="1758"/>
      <c r="O124" s="1758"/>
      <c r="P124" s="1758"/>
      <c r="Q124" s="1758"/>
      <c r="R124" s="1758"/>
      <c r="S124" s="1758"/>
      <c r="T124" s="465" cm="1" t="str">
        <f t="array" ref="T124:T124">T123</f>
        <v>true</v>
      </c>
      <c r="U124" s="1758"/>
      <c r="V124" s="1758"/>
      <c r="W124" s="1758"/>
      <c r="X124" s="1563"/>
      <c r="Y124" s="1758"/>
      <c r="Z124" s="1546"/>
      <c r="AA124" s="1758"/>
      <c r="AB124" s="299" t="s">
        <v>2054</v>
      </c>
      <c r="AC124" s="768" t="s">
        <v>2055</v>
      </c>
      <c r="AD124" s="300" t="s">
        <v>1514</v>
      </c>
      <c r="AE124" s="772"/>
      <c r="AF124" s="772"/>
      <c r="AG124" s="772"/>
      <c r="AH124" s="772"/>
      <c r="AI124" s="772"/>
      <c r="AJ124" s="772"/>
      <c r="AK124" s="772"/>
      <c r="AL124" s="772"/>
      <c r="AM124" s="772"/>
      <c r="AN124" s="772"/>
      <c r="AO124" s="772"/>
      <c r="AP124" s="3557"/>
      <c r="AQ124" s="3557"/>
      <c r="AR124" s="3557"/>
      <c r="AS124" s="3557"/>
      <c r="AT124" s="3557"/>
      <c r="AU124" s="772"/>
      <c r="AV124" s="772"/>
      <c r="AW124" s="772"/>
      <c r="AX124" s="772"/>
      <c r="AY124" s="772"/>
      <c r="AZ124" s="3557"/>
      <c r="BA124" s="3557"/>
      <c r="BB124" s="3557"/>
      <c r="BC124" s="3557"/>
      <c r="BD124" s="3557"/>
      <c r="BE124" s="774"/>
      <c r="BF124" s="1758"/>
      <c r="BG124" s="1758"/>
      <c r="BH124" s="997" t="s">
        <v>2056</v>
      </c>
    </row>
    <row s="1834" customFormat="1" customHeight="1" ht="44.25">
      <c r="A125" s="1758"/>
      <c r="B125" s="122">
        <f>InvestmentSources_is_one_block="нет"</f>
        <v>1</v>
      </c>
      <c r="C125" s="1758"/>
      <c r="D125" s="1758"/>
      <c r="E125" s="618">
        <v>45.75</v>
      </c>
      <c r="F125" s="50" cm="1" t="str">
        <f t="array" ref="F125:F125">OFFSET(E125,-1,1)</f>
        <v>2</v>
      </c>
      <c r="G125" s="1758"/>
      <c r="H125" s="1758"/>
      <c r="I125" s="1758"/>
      <c r="J125" s="1758"/>
      <c r="K125" s="1758"/>
      <c r="L125" s="1758"/>
      <c r="M125" s="1758"/>
      <c r="N125" s="1758"/>
      <c r="O125" s="1758"/>
      <c r="P125" s="1758"/>
      <c r="Q125" s="1758"/>
      <c r="R125" s="1758"/>
      <c r="S125" s="1758"/>
      <c r="T125" s="465" cm="1" t="str">
        <f t="array" ref="T125:T125">T124</f>
        <v>true</v>
      </c>
      <c r="U125" s="1758"/>
      <c r="V125" s="1758"/>
      <c r="W125" s="1758"/>
      <c r="X125" s="1563"/>
      <c r="Y125" s="1758"/>
      <c r="Z125" s="1546"/>
      <c r="AA125" s="1758"/>
      <c r="AB125" s="299" t="s">
        <v>2057</v>
      </c>
      <c r="AC125" s="768" t="s">
        <v>2058</v>
      </c>
      <c r="AD125" s="300" t="s">
        <v>1514</v>
      </c>
      <c r="AE125" s="772"/>
      <c r="AF125" s="772"/>
      <c r="AG125" s="772"/>
      <c r="AH125" s="772"/>
      <c r="AI125" s="772"/>
      <c r="AJ125" s="772"/>
      <c r="AK125" s="772"/>
      <c r="AL125" s="772"/>
      <c r="AM125" s="772"/>
      <c r="AN125" s="772"/>
      <c r="AO125" s="772"/>
      <c r="AP125" s="3557"/>
      <c r="AQ125" s="3557"/>
      <c r="AR125" s="3557"/>
      <c r="AS125" s="3557"/>
      <c r="AT125" s="3557"/>
      <c r="AU125" s="772"/>
      <c r="AV125" s="772"/>
      <c r="AW125" s="772"/>
      <c r="AX125" s="772"/>
      <c r="AY125" s="772"/>
      <c r="AZ125" s="3557"/>
      <c r="BA125" s="3557"/>
      <c r="BB125" s="3557"/>
      <c r="BC125" s="3557"/>
      <c r="BD125" s="3557"/>
      <c r="BE125" s="774"/>
      <c r="BF125" s="1758"/>
      <c r="BG125" s="1758"/>
      <c r="BH125" s="997" t="s">
        <v>2059</v>
      </c>
    </row>
    <row s="1834" customFormat="1" customHeight="1" ht="44.25">
      <c r="A126" s="1758"/>
      <c r="B126" s="122">
        <f>InvestmentSources_is_one_block="нет"</f>
        <v>1</v>
      </c>
      <c r="C126" s="1758"/>
      <c r="D126" s="1758"/>
      <c r="E126" s="618">
        <v>45.75</v>
      </c>
      <c r="F126" s="50" cm="1" t="str">
        <f t="array" ref="F126:F126">OFFSET(E126,-1,1)</f>
        <v>2</v>
      </c>
      <c r="G126" s="1758"/>
      <c r="H126" s="1758"/>
      <c r="I126" s="1758"/>
      <c r="J126" s="1758"/>
      <c r="K126" s="1758"/>
      <c r="L126" s="1758"/>
      <c r="M126" s="1758"/>
      <c r="N126" s="1758"/>
      <c r="O126" s="1758"/>
      <c r="P126" s="1758"/>
      <c r="Q126" s="1758"/>
      <c r="R126" s="1758"/>
      <c r="S126" s="1758"/>
      <c r="T126" s="465" cm="1" t="str">
        <f t="array" ref="T126:T126">T125</f>
        <v>true</v>
      </c>
      <c r="U126" s="1758"/>
      <c r="V126" s="1758"/>
      <c r="W126" s="1758"/>
      <c r="X126" s="1563"/>
      <c r="Y126" s="1758"/>
      <c r="Z126" s="1546"/>
      <c r="AA126" s="1758"/>
      <c r="AB126" s="299" t="s">
        <v>2060</v>
      </c>
      <c r="AC126" s="768" t="s">
        <v>2061</v>
      </c>
      <c r="AD126" s="300" t="s">
        <v>1514</v>
      </c>
      <c r="AE126" s="772"/>
      <c r="AF126" s="772"/>
      <c r="AG126" s="772"/>
      <c r="AH126" s="772"/>
      <c r="AI126" s="772"/>
      <c r="AJ126" s="772"/>
      <c r="AK126" s="772"/>
      <c r="AL126" s="772"/>
      <c r="AM126" s="772"/>
      <c r="AN126" s="772"/>
      <c r="AO126" s="772"/>
      <c r="AP126" s="3557"/>
      <c r="AQ126" s="3557"/>
      <c r="AR126" s="3557"/>
      <c r="AS126" s="3557"/>
      <c r="AT126" s="3557"/>
      <c r="AU126" s="772"/>
      <c r="AV126" s="772"/>
      <c r="AW126" s="772"/>
      <c r="AX126" s="772"/>
      <c r="AY126" s="772"/>
      <c r="AZ126" s="3557"/>
      <c r="BA126" s="3557"/>
      <c r="BB126" s="3557"/>
      <c r="BC126" s="3557"/>
      <c r="BD126" s="3557"/>
      <c r="BE126" s="774"/>
      <c r="BF126" s="1758"/>
      <c r="BG126" s="1758"/>
      <c r="BH126" s="997" t="s">
        <v>2062</v>
      </c>
    </row>
    <row s="1834" customFormat="1" customHeight="1" ht="21.75">
      <c r="A127" s="1758"/>
      <c r="B127" s="122">
        <f>InvestmentSources_is_one_block="нет"</f>
        <v>1</v>
      </c>
      <c r="C127" s="1758"/>
      <c r="D127" s="1758"/>
      <c r="E127" s="618">
        <v>22.5</v>
      </c>
      <c r="F127" s="50" cm="1" t="str">
        <f t="array" ref="F127:F127">OFFSET(E127,-1,1)</f>
        <v>2</v>
      </c>
      <c r="G127" s="1758"/>
      <c r="H127" s="1758"/>
      <c r="I127" s="1758"/>
      <c r="J127" s="1758"/>
      <c r="K127" s="1758"/>
      <c r="L127" s="1758"/>
      <c r="M127" s="1758"/>
      <c r="N127" s="1758"/>
      <c r="O127" s="1758"/>
      <c r="P127" s="1758"/>
      <c r="Q127" s="1758"/>
      <c r="R127" s="1758"/>
      <c r="S127" s="1758"/>
      <c r="T127" s="465" cm="1" t="str">
        <f t="array" ref="T127:T127">T126</f>
        <v>true</v>
      </c>
      <c r="U127" s="1758"/>
      <c r="V127" s="1758"/>
      <c r="W127" s="1758"/>
      <c r="X127" s="1563"/>
      <c r="Y127" s="1758"/>
      <c r="Z127" s="1546"/>
      <c r="AA127" s="1758"/>
      <c r="AB127" s="299" t="s">
        <v>2063</v>
      </c>
      <c r="AC127" s="768" t="s">
        <v>2064</v>
      </c>
      <c r="AD127" s="300" t="s">
        <v>1514</v>
      </c>
      <c r="AE127" s="772"/>
      <c r="AF127" s="772"/>
      <c r="AG127" s="772"/>
      <c r="AH127" s="772"/>
      <c r="AI127" s="772"/>
      <c r="AJ127" s="772"/>
      <c r="AK127" s="772"/>
      <c r="AL127" s="772"/>
      <c r="AM127" s="772"/>
      <c r="AN127" s="772"/>
      <c r="AO127" s="772"/>
      <c r="AP127" s="3557"/>
      <c r="AQ127" s="3557"/>
      <c r="AR127" s="3557"/>
      <c r="AS127" s="3557"/>
      <c r="AT127" s="3557"/>
      <c r="AU127" s="772"/>
      <c r="AV127" s="772"/>
      <c r="AW127" s="772"/>
      <c r="AX127" s="772"/>
      <c r="AY127" s="772"/>
      <c r="AZ127" s="3557"/>
      <c r="BA127" s="3557"/>
      <c r="BB127" s="3557"/>
      <c r="BC127" s="3557"/>
      <c r="BD127" s="3557"/>
      <c r="BE127" s="774"/>
      <c r="BF127" s="1758"/>
      <c r="BG127" s="1758"/>
      <c r="BH127" s="997" t="s">
        <v>2065</v>
      </c>
    </row>
    <row s="1834" customFormat="1" customHeight="1" ht="14.25">
      <c r="A128" s="1758"/>
      <c r="B128" s="122">
        <f>InvestmentSources_is_one_block="нет"</f>
        <v>1</v>
      </c>
      <c r="C128" s="1758"/>
      <c r="D128" s="1758"/>
      <c r="E128" s="618">
        <v>15</v>
      </c>
      <c r="F128" s="50" cm="1" t="str">
        <f t="array" ref="F128:F128">OFFSET(E128,-1,1)</f>
        <v>2</v>
      </c>
      <c r="G128" s="1758"/>
      <c r="H128" s="122" t="s">
        <v>1179</v>
      </c>
      <c r="I128" s="1758"/>
      <c r="J128" s="1758"/>
      <c r="K128" s="1758"/>
      <c r="L128" s="1758"/>
      <c r="M128" s="1758"/>
      <c r="N128" s="1758"/>
      <c r="O128" s="1758"/>
      <c r="P128" s="1758"/>
      <c r="Q128" s="1758"/>
      <c r="R128" s="1758"/>
      <c r="S128" s="1758"/>
      <c r="T128" s="465" cm="1" t="str">
        <f t="array" ref="T128:T128">T127</f>
        <v>true</v>
      </c>
      <c r="U128" s="1758"/>
      <c r="V128" s="1758"/>
      <c r="W128" s="1758"/>
      <c r="X128" s="1563"/>
      <c r="Y128" s="1758"/>
      <c r="Z128" s="1546"/>
      <c r="AA128" s="1758"/>
      <c r="AB128" s="299" t="s">
        <v>1631</v>
      </c>
      <c r="AC128" s="762" t="s">
        <v>2066</v>
      </c>
      <c r="AD128" s="300" t="s">
        <v>1514</v>
      </c>
      <c r="AE128" s="783">
        <f>AE129+AE130+AE131</f>
        <v>0</v>
      </c>
      <c r="AF128" s="783">
        <f>AF129+AF130+AF131</f>
        <v>0</v>
      </c>
      <c r="AG128" s="783">
        <f>AG129+AG130+AG131</f>
        <v>0</v>
      </c>
      <c r="AH128" s="783">
        <f>AH129+AH130+AH131</f>
        <v>0</v>
      </c>
      <c r="AI128" s="783">
        <f>AI129+AI130+AI131</f>
        <v>0</v>
      </c>
      <c r="AJ128" s="783">
        <f>AJ129+AJ130+AJ131</f>
        <v>0</v>
      </c>
      <c r="AK128" s="783">
        <f>AK129+AK130+AK131</f>
        <v>0</v>
      </c>
      <c r="AL128" s="783">
        <f>AL129+AL130+AL131</f>
        <v>0</v>
      </c>
      <c r="AM128" s="783">
        <f>AM129+AM130+AM131</f>
        <v>0</v>
      </c>
      <c r="AN128" s="783">
        <f>AN129+AN130+AN131</f>
        <v>0</v>
      </c>
      <c r="AO128" s="783">
        <f>AO129+AO130+AO131</f>
        <v>0</v>
      </c>
      <c r="AP128" s="783">
        <f>AP129+AP130+AP131</f>
        <v>0</v>
      </c>
      <c r="AQ128" s="783">
        <f>AQ129+AQ130+AQ131</f>
        <v>0</v>
      </c>
      <c r="AR128" s="783">
        <f>AR129+AR130+AR131</f>
        <v>0</v>
      </c>
      <c r="AS128" s="783">
        <f>AS129+AS130+AS131</f>
        <v>0</v>
      </c>
      <c r="AT128" s="783">
        <f>AT129+AT130+AT131</f>
        <v>0</v>
      </c>
      <c r="AU128" s="783">
        <f>AU129+AU130+AU131</f>
        <v>0</v>
      </c>
      <c r="AV128" s="783">
        <f>AV129+AV130+AV131</f>
        <v>0</v>
      </c>
      <c r="AW128" s="783">
        <f>AW129+AW130+AW131</f>
        <v>0</v>
      </c>
      <c r="AX128" s="783">
        <f>AX129+AX130+AX131</f>
        <v>0</v>
      </c>
      <c r="AY128" s="783">
        <f>AY129+AY130+AY131</f>
        <v>0</v>
      </c>
      <c r="AZ128" s="783">
        <f>AZ129+AZ130+AZ131</f>
        <v>0</v>
      </c>
      <c r="BA128" s="783">
        <f>BA129+BA130+BA131</f>
        <v>0</v>
      </c>
      <c r="BB128" s="783">
        <f>BB129+BB130+BB131</f>
        <v>0</v>
      </c>
      <c r="BC128" s="783">
        <f>BC129+BC130+BC131</f>
        <v>0</v>
      </c>
      <c r="BD128" s="783">
        <f>BD129+BD130+BD131</f>
        <v>0</v>
      </c>
      <c r="BE128" s="774"/>
      <c r="BF128" s="1758"/>
      <c r="BG128" s="1758"/>
      <c r="BH128" s="997" t="s">
        <v>2067</v>
      </c>
    </row>
    <row s="1834" customFormat="1" customHeight="1" ht="14.25">
      <c r="A129" s="1758"/>
      <c r="B129" s="122">
        <f>InvestmentSources_is_one_block="нет"</f>
        <v>1</v>
      </c>
      <c r="C129" s="1758"/>
      <c r="D129" s="1758"/>
      <c r="E129" s="618">
        <v>15</v>
      </c>
      <c r="F129" s="50" cm="1" t="str">
        <f t="array" ref="F129:F129">OFFSET(E129,-1,1)</f>
        <v>2</v>
      </c>
      <c r="G129" s="1758"/>
      <c r="H129" s="122" t="s">
        <v>2068</v>
      </c>
      <c r="I129" s="1758"/>
      <c r="J129" s="1758"/>
      <c r="K129" s="1758"/>
      <c r="L129" s="1758"/>
      <c r="M129" s="1758"/>
      <c r="N129" s="1758"/>
      <c r="O129" s="1758"/>
      <c r="P129" s="1758"/>
      <c r="Q129" s="1758"/>
      <c r="R129" s="1758"/>
      <c r="S129" s="1758"/>
      <c r="T129" s="465" cm="1" t="str">
        <f t="array" ref="T129:T129">T128</f>
        <v>true</v>
      </c>
      <c r="U129" s="1758"/>
      <c r="V129" s="1758"/>
      <c r="W129" s="1758"/>
      <c r="X129" s="1563"/>
      <c r="Y129" s="1758"/>
      <c r="Z129" s="1546"/>
      <c r="AA129" s="1758"/>
      <c r="AB129" s="299" t="s">
        <v>2069</v>
      </c>
      <c r="AC129" s="765" t="s">
        <v>2070</v>
      </c>
      <c r="AD129" s="300" t="s">
        <v>1514</v>
      </c>
      <c r="AE129" s="772"/>
      <c r="AF129" s="772"/>
      <c r="AG129" s="772"/>
      <c r="AH129" s="772"/>
      <c r="AI129" s="772"/>
      <c r="AJ129" s="772"/>
      <c r="AK129" s="772"/>
      <c r="AL129" s="772"/>
      <c r="AM129" s="772"/>
      <c r="AN129" s="772"/>
      <c r="AO129" s="772"/>
      <c r="AP129" s="3557"/>
      <c r="AQ129" s="3557"/>
      <c r="AR129" s="3557"/>
      <c r="AS129" s="3557"/>
      <c r="AT129" s="3557"/>
      <c r="AU129" s="772"/>
      <c r="AV129" s="772"/>
      <c r="AW129" s="772"/>
      <c r="AX129" s="772"/>
      <c r="AY129" s="772"/>
      <c r="AZ129" s="3557"/>
      <c r="BA129" s="3557"/>
      <c r="BB129" s="3557"/>
      <c r="BC129" s="3557"/>
      <c r="BD129" s="3557"/>
      <c r="BE129" s="774"/>
      <c r="BF129" s="1758"/>
      <c r="BG129" s="1758"/>
      <c r="BH129" s="997" t="s">
        <v>1991</v>
      </c>
    </row>
    <row s="1834" customFormat="1" customHeight="1" ht="14.25">
      <c r="A130" s="1758"/>
      <c r="B130" s="122">
        <f>InvestmentSources_is_one_block="нет"</f>
        <v>1</v>
      </c>
      <c r="C130" s="1758"/>
      <c r="D130" s="1758"/>
      <c r="E130" s="618">
        <v>15</v>
      </c>
      <c r="F130" s="50" cm="1" t="str">
        <f t="array" ref="F130:F130">OFFSET(E130,-1,1)</f>
        <v>2</v>
      </c>
      <c r="G130" s="1758"/>
      <c r="H130" s="122" t="s">
        <v>2071</v>
      </c>
      <c r="I130" s="1758"/>
      <c r="J130" s="1758"/>
      <c r="K130" s="1758"/>
      <c r="L130" s="1758"/>
      <c r="M130" s="1758"/>
      <c r="N130" s="1758"/>
      <c r="O130" s="1758"/>
      <c r="P130" s="1758"/>
      <c r="Q130" s="1758"/>
      <c r="R130" s="1758"/>
      <c r="S130" s="1758"/>
      <c r="T130" s="465" cm="1" t="str">
        <f t="array" ref="T130:T130">T129</f>
        <v>true</v>
      </c>
      <c r="U130" s="1758"/>
      <c r="V130" s="1758"/>
      <c r="W130" s="1758"/>
      <c r="X130" s="1563"/>
      <c r="Y130" s="1758"/>
      <c r="Z130" s="1546"/>
      <c r="AA130" s="1758"/>
      <c r="AB130" s="299" t="s">
        <v>2072</v>
      </c>
      <c r="AC130" s="765" t="s">
        <v>2073</v>
      </c>
      <c r="AD130" s="300" t="s">
        <v>1514</v>
      </c>
      <c r="AE130" s="772"/>
      <c r="AF130" s="772"/>
      <c r="AG130" s="772"/>
      <c r="AH130" s="772"/>
      <c r="AI130" s="772"/>
      <c r="AJ130" s="772"/>
      <c r="AK130" s="772"/>
      <c r="AL130" s="772"/>
      <c r="AM130" s="772"/>
      <c r="AN130" s="772"/>
      <c r="AO130" s="772"/>
      <c r="AP130" s="3557"/>
      <c r="AQ130" s="3557"/>
      <c r="AR130" s="3557"/>
      <c r="AS130" s="3557"/>
      <c r="AT130" s="3557"/>
      <c r="AU130" s="772"/>
      <c r="AV130" s="772"/>
      <c r="AW130" s="772"/>
      <c r="AX130" s="772"/>
      <c r="AY130" s="772"/>
      <c r="AZ130" s="3557"/>
      <c r="BA130" s="3557"/>
      <c r="BB130" s="3557"/>
      <c r="BC130" s="3557"/>
      <c r="BD130" s="3557"/>
      <c r="BE130" s="774"/>
      <c r="BF130" s="1758"/>
      <c r="BG130" s="1758"/>
      <c r="BH130" s="997" t="s">
        <v>2074</v>
      </c>
    </row>
    <row s="1834" customFormat="1" customHeight="1" ht="14.25">
      <c r="A131" s="1758"/>
      <c r="B131" s="122">
        <f>InvestmentSources_is_one_block="нет"</f>
        <v>1</v>
      </c>
      <c r="C131" s="1758"/>
      <c r="D131" s="1758"/>
      <c r="E131" s="618">
        <v>15</v>
      </c>
      <c r="F131" s="50" cm="1" t="str">
        <f t="array" ref="F131:F131">OFFSET(E131,-1,1)</f>
        <v>2</v>
      </c>
      <c r="G131" s="1758"/>
      <c r="H131" s="122" t="s">
        <v>2075</v>
      </c>
      <c r="I131" s="1758"/>
      <c r="J131" s="1758"/>
      <c r="K131" s="1758"/>
      <c r="L131" s="1758"/>
      <c r="M131" s="1758"/>
      <c r="N131" s="1758"/>
      <c r="O131" s="1758"/>
      <c r="P131" s="1758"/>
      <c r="Q131" s="1758"/>
      <c r="R131" s="1758"/>
      <c r="S131" s="1758"/>
      <c r="T131" s="465" cm="1" t="str">
        <f t="array" ref="T131:T131">T130</f>
        <v>true</v>
      </c>
      <c r="U131" s="1758"/>
      <c r="V131" s="1758"/>
      <c r="W131" s="1758"/>
      <c r="X131" s="1563"/>
      <c r="Y131" s="1758"/>
      <c r="Z131" s="1546"/>
      <c r="AA131" s="1758"/>
      <c r="AB131" s="299" t="s">
        <v>2076</v>
      </c>
      <c r="AC131" s="765" t="s">
        <v>2077</v>
      </c>
      <c r="AD131" s="300" t="s">
        <v>1514</v>
      </c>
      <c r="AE131" s="772"/>
      <c r="AF131" s="772"/>
      <c r="AG131" s="772"/>
      <c r="AH131" s="772"/>
      <c r="AI131" s="772"/>
      <c r="AJ131" s="772"/>
      <c r="AK131" s="772"/>
      <c r="AL131" s="772"/>
      <c r="AM131" s="772"/>
      <c r="AN131" s="772"/>
      <c r="AO131" s="772"/>
      <c r="AP131" s="3557"/>
      <c r="AQ131" s="3557"/>
      <c r="AR131" s="3557"/>
      <c r="AS131" s="3557"/>
      <c r="AT131" s="3557"/>
      <c r="AU131" s="772"/>
      <c r="AV131" s="772"/>
      <c r="AW131" s="772"/>
      <c r="AX131" s="772"/>
      <c r="AY131" s="772"/>
      <c r="AZ131" s="3557"/>
      <c r="BA131" s="3557"/>
      <c r="BB131" s="3557"/>
      <c r="BC131" s="3557"/>
      <c r="BD131" s="3557"/>
      <c r="BE131" s="774"/>
      <c r="BF131" s="1758"/>
      <c r="BG131" s="1758"/>
      <c r="BH131" s="997" t="s">
        <v>2078</v>
      </c>
    </row>
    <row s="1834" customFormat="1" customHeight="1" ht="14.25">
      <c r="A132" s="1758"/>
      <c r="B132" s="122">
        <f>InvestmentSources_is_one_block="нет"</f>
        <v>1</v>
      </c>
      <c r="C132" s="1758"/>
      <c r="D132" s="1758"/>
      <c r="E132" s="618">
        <v>15</v>
      </c>
      <c r="F132" s="50" cm="1" t="str">
        <f t="array" ref="F132:F132">OFFSET(E132,-1,1)</f>
        <v>2</v>
      </c>
      <c r="G132" s="1758"/>
      <c r="H132" s="122" t="s">
        <v>1182</v>
      </c>
      <c r="I132" s="1758"/>
      <c r="J132" s="1758"/>
      <c r="K132" s="1758"/>
      <c r="L132" s="1758"/>
      <c r="M132" s="1758"/>
      <c r="N132" s="1758"/>
      <c r="O132" s="1758"/>
      <c r="P132" s="1758"/>
      <c r="Q132" s="1758"/>
      <c r="R132" s="1758"/>
      <c r="S132" s="1758"/>
      <c r="T132" s="465" cm="1" t="str">
        <f t="array" ref="T132:T132">T131</f>
        <v>true</v>
      </c>
      <c r="U132" s="1758"/>
      <c r="V132" s="1758"/>
      <c r="W132" s="1758"/>
      <c r="X132" s="1563"/>
      <c r="Y132" s="1758"/>
      <c r="Z132" s="1546"/>
      <c r="AA132" s="1758"/>
      <c r="AB132" s="299" t="s">
        <v>1634</v>
      </c>
      <c r="AC132" s="762" t="s">
        <v>2079</v>
      </c>
      <c r="AD132" s="300" t="s">
        <v>1514</v>
      </c>
      <c r="AE132" s="783">
        <f>AE133+AE134+AE135</f>
        <v>0</v>
      </c>
      <c r="AF132" s="783">
        <f>AF133+AF134+AF135</f>
        <v>0</v>
      </c>
      <c r="AG132" s="783">
        <f>AG133+AG134+AG135</f>
        <v>0</v>
      </c>
      <c r="AH132" s="783">
        <f>AH133+AH134+AH135</f>
        <v>0</v>
      </c>
      <c r="AI132" s="783">
        <f>AI133+AI134+AI135</f>
        <v>0</v>
      </c>
      <c r="AJ132" s="783">
        <f>AJ133+AJ134+AJ135</f>
        <v>0</v>
      </c>
      <c r="AK132" s="783">
        <f>AK133+AK134+AK135</f>
        <v>0</v>
      </c>
      <c r="AL132" s="783">
        <f>AL133+AL134+AL135</f>
        <v>0</v>
      </c>
      <c r="AM132" s="783">
        <f>AM133+AM134+AM135</f>
        <v>0</v>
      </c>
      <c r="AN132" s="783">
        <f>AN133+AN134+AN135</f>
        <v>0</v>
      </c>
      <c r="AO132" s="783">
        <f>AO133+AO134+AO135</f>
        <v>0</v>
      </c>
      <c r="AP132" s="783">
        <f>AP133+AP134+AP135</f>
        <v>0</v>
      </c>
      <c r="AQ132" s="783">
        <f>AQ133+AQ134+AQ135</f>
        <v>0</v>
      </c>
      <c r="AR132" s="783">
        <f>AR133+AR134+AR135</f>
        <v>0</v>
      </c>
      <c r="AS132" s="783">
        <f>AS133+AS134+AS135</f>
        <v>0</v>
      </c>
      <c r="AT132" s="783">
        <f>AT133+AT134+AT135</f>
        <v>0</v>
      </c>
      <c r="AU132" s="783">
        <f>AU133+AU134+AU135</f>
        <v>0</v>
      </c>
      <c r="AV132" s="783">
        <f>AV133+AV134+AV135</f>
        <v>0</v>
      </c>
      <c r="AW132" s="783">
        <f>AW133+AW134+AW135</f>
        <v>0</v>
      </c>
      <c r="AX132" s="783">
        <f>AX133+AX134+AX135</f>
        <v>0</v>
      </c>
      <c r="AY132" s="783">
        <f>AY133+AY134+AY135</f>
        <v>0</v>
      </c>
      <c r="AZ132" s="783">
        <f>AZ133+AZ134+AZ135</f>
        <v>0</v>
      </c>
      <c r="BA132" s="783">
        <f>BA133+BA134+BA135</f>
        <v>0</v>
      </c>
      <c r="BB132" s="783">
        <f>BB133+BB134+BB135</f>
        <v>0</v>
      </c>
      <c r="BC132" s="783">
        <f>BC133+BC134+BC135</f>
        <v>0</v>
      </c>
      <c r="BD132" s="783">
        <f>BD133+BD134+BD135</f>
        <v>0</v>
      </c>
      <c r="BE132" s="774"/>
      <c r="BF132" s="1758"/>
      <c r="BG132" s="1758"/>
      <c r="BH132" s="997" t="s">
        <v>2080</v>
      </c>
    </row>
    <row s="1834" customFormat="1" customHeight="1" ht="14.25">
      <c r="A133" s="1758"/>
      <c r="B133" s="122">
        <f>InvestmentSources_is_one_block="нет"</f>
        <v>1</v>
      </c>
      <c r="C133" s="1758"/>
      <c r="D133" s="1758"/>
      <c r="E133" s="618">
        <v>15</v>
      </c>
      <c r="F133" s="50" cm="1" t="str">
        <f t="array" ref="F133:F133">OFFSET(E133,-1,1)</f>
        <v>2</v>
      </c>
      <c r="G133" s="1758"/>
      <c r="H133" s="122" t="s">
        <v>2081</v>
      </c>
      <c r="I133" s="1758"/>
      <c r="J133" s="1758"/>
      <c r="K133" s="1758"/>
      <c r="L133" s="1758"/>
      <c r="M133" s="1758"/>
      <c r="N133" s="1758"/>
      <c r="O133" s="1758"/>
      <c r="P133" s="1758"/>
      <c r="Q133" s="1758"/>
      <c r="R133" s="1758"/>
      <c r="S133" s="1758"/>
      <c r="T133" s="465" cm="1" t="str">
        <f t="array" ref="T133:T133">T132</f>
        <v>true</v>
      </c>
      <c r="U133" s="1758"/>
      <c r="V133" s="1758"/>
      <c r="W133" s="1758"/>
      <c r="X133" s="1563"/>
      <c r="Y133" s="1758"/>
      <c r="Z133" s="1546"/>
      <c r="AA133" s="1758"/>
      <c r="AB133" s="299" t="s">
        <v>2082</v>
      </c>
      <c r="AC133" s="765" t="s">
        <v>2083</v>
      </c>
      <c r="AD133" s="300" t="s">
        <v>1514</v>
      </c>
      <c r="AE133" s="772"/>
      <c r="AF133" s="772"/>
      <c r="AG133" s="772"/>
      <c r="AH133" s="772"/>
      <c r="AI133" s="772"/>
      <c r="AJ133" s="772"/>
      <c r="AK133" s="772"/>
      <c r="AL133" s="772"/>
      <c r="AM133" s="772"/>
      <c r="AN133" s="772"/>
      <c r="AO133" s="772"/>
      <c r="AP133" s="3557"/>
      <c r="AQ133" s="3557"/>
      <c r="AR133" s="3557"/>
      <c r="AS133" s="3557"/>
      <c r="AT133" s="3557"/>
      <c r="AU133" s="772"/>
      <c r="AV133" s="772"/>
      <c r="AW133" s="772"/>
      <c r="AX133" s="772"/>
      <c r="AY133" s="772"/>
      <c r="AZ133" s="3557"/>
      <c r="BA133" s="3557"/>
      <c r="BB133" s="3557"/>
      <c r="BC133" s="3557"/>
      <c r="BD133" s="3557"/>
      <c r="BE133" s="774"/>
      <c r="BF133" s="1758"/>
      <c r="BG133" s="1758"/>
      <c r="BH133" s="997" t="s">
        <v>2084</v>
      </c>
    </row>
    <row s="1834" customFormat="1" customHeight="1" ht="14.25">
      <c r="A134" s="1758"/>
      <c r="B134" s="122">
        <f>InvestmentSources_is_one_block="нет"</f>
        <v>1</v>
      </c>
      <c r="C134" s="1758"/>
      <c r="D134" s="1758"/>
      <c r="E134" s="618">
        <v>15</v>
      </c>
      <c r="F134" s="50" cm="1" t="str">
        <f t="array" ref="F134:F134">OFFSET(E134,-1,1)</f>
        <v>2</v>
      </c>
      <c r="G134" s="1758"/>
      <c r="H134" s="122" t="s">
        <v>2085</v>
      </c>
      <c r="I134" s="1758"/>
      <c r="J134" s="1758"/>
      <c r="K134" s="1758"/>
      <c r="L134" s="1758"/>
      <c r="M134" s="1758"/>
      <c r="N134" s="1758"/>
      <c r="O134" s="1758"/>
      <c r="P134" s="1758"/>
      <c r="Q134" s="1758"/>
      <c r="R134" s="1758"/>
      <c r="S134" s="1758"/>
      <c r="T134" s="465" cm="1" t="str">
        <f t="array" ref="T134:T134">T133</f>
        <v>true</v>
      </c>
      <c r="U134" s="1758"/>
      <c r="V134" s="1758"/>
      <c r="W134" s="1758"/>
      <c r="X134" s="1563"/>
      <c r="Y134" s="1758"/>
      <c r="Z134" s="1546"/>
      <c r="AA134" s="1758"/>
      <c r="AB134" s="299" t="s">
        <v>2086</v>
      </c>
      <c r="AC134" s="765" t="s">
        <v>2087</v>
      </c>
      <c r="AD134" s="300" t="s">
        <v>1514</v>
      </c>
      <c r="AE134" s="772"/>
      <c r="AF134" s="772"/>
      <c r="AG134" s="772"/>
      <c r="AH134" s="772"/>
      <c r="AI134" s="772"/>
      <c r="AJ134" s="772"/>
      <c r="AK134" s="772"/>
      <c r="AL134" s="772"/>
      <c r="AM134" s="772"/>
      <c r="AN134" s="772"/>
      <c r="AO134" s="772"/>
      <c r="AP134" s="3557"/>
      <c r="AQ134" s="3557"/>
      <c r="AR134" s="3557"/>
      <c r="AS134" s="3557"/>
      <c r="AT134" s="3557"/>
      <c r="AU134" s="772"/>
      <c r="AV134" s="772"/>
      <c r="AW134" s="772"/>
      <c r="AX134" s="772"/>
      <c r="AY134" s="772"/>
      <c r="AZ134" s="3557"/>
      <c r="BA134" s="3557"/>
      <c r="BB134" s="3557"/>
      <c r="BC134" s="3557"/>
      <c r="BD134" s="3557"/>
      <c r="BE134" s="774"/>
      <c r="BF134" s="1758"/>
      <c r="BG134" s="1758"/>
      <c r="BH134" s="997" t="s">
        <v>2088</v>
      </c>
    </row>
    <row s="1834" customFormat="1" customHeight="1" ht="14.25">
      <c r="A135" s="1758"/>
      <c r="B135" s="122">
        <f>InvestmentSources_is_one_block="нет"</f>
        <v>1</v>
      </c>
      <c r="C135" s="1758"/>
      <c r="D135" s="1758"/>
      <c r="E135" s="618">
        <v>15</v>
      </c>
      <c r="F135" s="50" cm="1" t="str">
        <f t="array" ref="F135:F135">OFFSET(E135,-1,1)</f>
        <v>2</v>
      </c>
      <c r="G135" s="1758"/>
      <c r="H135" s="122" t="s">
        <v>2089</v>
      </c>
      <c r="I135" s="1758"/>
      <c r="J135" s="1758"/>
      <c r="K135" s="1758"/>
      <c r="L135" s="1758"/>
      <c r="M135" s="1758"/>
      <c r="N135" s="1758"/>
      <c r="O135" s="1758"/>
      <c r="P135" s="1758"/>
      <c r="Q135" s="1758"/>
      <c r="R135" s="1758"/>
      <c r="S135" s="1758"/>
      <c r="T135" s="465" cm="1" t="str">
        <f t="array" ref="T135:T135">T134</f>
        <v>true</v>
      </c>
      <c r="U135" s="1758"/>
      <c r="V135" s="1758"/>
      <c r="W135" s="1758"/>
      <c r="X135" s="1563"/>
      <c r="Y135" s="1758"/>
      <c r="Z135" s="1546"/>
      <c r="AA135" s="1758"/>
      <c r="AB135" s="299" t="s">
        <v>2090</v>
      </c>
      <c r="AC135" s="765" t="s">
        <v>2091</v>
      </c>
      <c r="AD135" s="300" t="s">
        <v>1514</v>
      </c>
      <c r="AE135" s="772"/>
      <c r="AF135" s="772"/>
      <c r="AG135" s="772"/>
      <c r="AH135" s="772"/>
      <c r="AI135" s="772"/>
      <c r="AJ135" s="772"/>
      <c r="AK135" s="772"/>
      <c r="AL135" s="772"/>
      <c r="AM135" s="772"/>
      <c r="AN135" s="772"/>
      <c r="AO135" s="772"/>
      <c r="AP135" s="3557"/>
      <c r="AQ135" s="3557"/>
      <c r="AR135" s="3557"/>
      <c r="AS135" s="3557"/>
      <c r="AT135" s="3557"/>
      <c r="AU135" s="772"/>
      <c r="AV135" s="772"/>
      <c r="AW135" s="772"/>
      <c r="AX135" s="772"/>
      <c r="AY135" s="772"/>
      <c r="AZ135" s="3557"/>
      <c r="BA135" s="3557"/>
      <c r="BB135" s="3557"/>
      <c r="BC135" s="3557"/>
      <c r="BD135" s="3557"/>
      <c r="BE135" s="774"/>
      <c r="BF135" s="1758"/>
      <c r="BG135" s="1758"/>
      <c r="BH135" s="997" t="s">
        <v>2092</v>
      </c>
    </row>
    <row s="1834" customFormat="1" customHeight="1" ht="14.25">
      <c r="A136" s="1758"/>
      <c r="B136" s="122">
        <f>InvestmentSources_is_one_block="нет"</f>
        <v>1</v>
      </c>
      <c r="C136" s="1758"/>
      <c r="D136" s="1758"/>
      <c r="E136" s="618">
        <v>15</v>
      </c>
      <c r="F136" s="50" cm="1" t="str">
        <f t="array" ref="F136:F136">OFFSET(E136,-1,1)</f>
        <v>2</v>
      </c>
      <c r="G136" s="1758"/>
      <c r="H136" s="122" t="s">
        <v>1186</v>
      </c>
      <c r="I136" s="1758"/>
      <c r="J136" s="1758"/>
      <c r="K136" s="1758"/>
      <c r="L136" s="1758"/>
      <c r="M136" s="1758"/>
      <c r="N136" s="1758"/>
      <c r="O136" s="1758"/>
      <c r="P136" s="1758"/>
      <c r="Q136" s="1758"/>
      <c r="R136" s="1758"/>
      <c r="S136" s="1758"/>
      <c r="T136" s="465" cm="1" t="str">
        <f t="array" ref="T136:T136">T135</f>
        <v>true</v>
      </c>
      <c r="U136" s="1758"/>
      <c r="V136" s="1758"/>
      <c r="W136" s="1758"/>
      <c r="X136" s="1563"/>
      <c r="Y136" s="1758"/>
      <c r="Z136" s="1546"/>
      <c r="AA136" s="1758"/>
      <c r="AB136" s="299" t="s">
        <v>1637</v>
      </c>
      <c r="AC136" s="762" t="s">
        <v>2093</v>
      </c>
      <c r="AD136" s="300" t="s">
        <v>1514</v>
      </c>
      <c r="AE136" s="783">
        <f>AE137+AE138+AE139+AE140</f>
        <v>0</v>
      </c>
      <c r="AF136" s="783">
        <f>AF137+AF138+AF139+AF140</f>
        <v>0</v>
      </c>
      <c r="AG136" s="783">
        <f>AG137+AG138+AG139+AG140</f>
        <v>0</v>
      </c>
      <c r="AH136" s="783">
        <f>AH137+AH138+AH139+AH140</f>
        <v>0</v>
      </c>
      <c r="AI136" s="783">
        <f>AI137+AI138+AI139+AI140</f>
        <v>0</v>
      </c>
      <c r="AJ136" s="783">
        <f>AJ137+AJ138+AJ139+AJ140</f>
        <v>0</v>
      </c>
      <c r="AK136" s="783">
        <f>AK137+AK138+AK139+AK140</f>
        <v>0</v>
      </c>
      <c r="AL136" s="783">
        <f>AL137+AL138+AL139+AL140</f>
        <v>0</v>
      </c>
      <c r="AM136" s="783">
        <f>AM137+AM138+AM139+AM140</f>
        <v>0</v>
      </c>
      <c r="AN136" s="783">
        <f>AN137+AN138+AN139+AN140</f>
        <v>0</v>
      </c>
      <c r="AO136" s="783">
        <f>AO137+AO138+AO139+AO140</f>
        <v>0</v>
      </c>
      <c r="AP136" s="783">
        <f>AP137+AP138+AP139+AP140</f>
        <v>0</v>
      </c>
      <c r="AQ136" s="783">
        <f>AQ137+AQ138+AQ139+AQ140</f>
        <v>0</v>
      </c>
      <c r="AR136" s="783">
        <f>AR137+AR138+AR139+AR140</f>
        <v>0</v>
      </c>
      <c r="AS136" s="783">
        <f>AS137+AS138+AS139+AS140</f>
        <v>0</v>
      </c>
      <c r="AT136" s="783">
        <f>AT137+AT138+AT139+AT140</f>
        <v>0</v>
      </c>
      <c r="AU136" s="783">
        <f>AU137+AU138+AU139+AU140</f>
        <v>0</v>
      </c>
      <c r="AV136" s="783">
        <f>AV137+AV138+AV139+AV140</f>
        <v>0</v>
      </c>
      <c r="AW136" s="783">
        <f>AW137+AW138+AW139+AW140</f>
        <v>0</v>
      </c>
      <c r="AX136" s="783">
        <f>AX137+AX138+AX139+AX140</f>
        <v>0</v>
      </c>
      <c r="AY136" s="783">
        <f>AY137+AY138+AY139+AY140</f>
        <v>0</v>
      </c>
      <c r="AZ136" s="783">
        <f>AZ137+AZ138+AZ139+AZ140</f>
        <v>0</v>
      </c>
      <c r="BA136" s="783">
        <f>BA137+BA138+BA139+BA140</f>
        <v>0</v>
      </c>
      <c r="BB136" s="783">
        <f>BB137+BB138+BB139+BB140</f>
        <v>0</v>
      </c>
      <c r="BC136" s="783">
        <f>BC137+BC138+BC139+BC140</f>
        <v>0</v>
      </c>
      <c r="BD136" s="783">
        <f>BD137+BD138+BD139+BD140</f>
        <v>0</v>
      </c>
      <c r="BE136" s="774"/>
      <c r="BF136" s="1758"/>
      <c r="BG136" s="1758"/>
      <c r="BH136" s="997" t="s">
        <v>2094</v>
      </c>
    </row>
    <row s="1834" customFormat="1" customHeight="1" ht="14.25">
      <c r="A137" s="1758"/>
      <c r="B137" s="122">
        <f>InvestmentSources_is_one_block="нет"</f>
        <v>1</v>
      </c>
      <c r="C137" s="1758"/>
      <c r="D137" s="1758"/>
      <c r="E137" s="618">
        <v>15</v>
      </c>
      <c r="F137" s="50" cm="1" t="str">
        <f t="array" ref="F137:F137">OFFSET(E137,-1,1)</f>
        <v>2</v>
      </c>
      <c r="G137" s="1758"/>
      <c r="H137" s="122" t="s">
        <v>2095</v>
      </c>
      <c r="I137" s="1758"/>
      <c r="J137" s="1758"/>
      <c r="K137" s="1758"/>
      <c r="L137" s="1758"/>
      <c r="M137" s="1758"/>
      <c r="N137" s="1758"/>
      <c r="O137" s="1758"/>
      <c r="P137" s="1758"/>
      <c r="Q137" s="1758"/>
      <c r="R137" s="1758"/>
      <c r="S137" s="1758"/>
      <c r="T137" s="465" cm="1" t="str">
        <f t="array" ref="T137:T137">T136</f>
        <v>true</v>
      </c>
      <c r="U137" s="1758"/>
      <c r="V137" s="1758"/>
      <c r="W137" s="1758"/>
      <c r="X137" s="1563"/>
      <c r="Y137" s="1758"/>
      <c r="Z137" s="1546"/>
      <c r="AA137" s="1758"/>
      <c r="AB137" s="299" t="s">
        <v>1752</v>
      </c>
      <c r="AC137" s="765" t="s">
        <v>1746</v>
      </c>
      <c r="AD137" s="300" t="s">
        <v>1514</v>
      </c>
      <c r="AE137" s="772"/>
      <c r="AF137" s="772"/>
      <c r="AG137" s="772"/>
      <c r="AH137" s="772"/>
      <c r="AI137" s="772"/>
      <c r="AJ137" s="772"/>
      <c r="AK137" s="772"/>
      <c r="AL137" s="772"/>
      <c r="AM137" s="772"/>
      <c r="AN137" s="772"/>
      <c r="AO137" s="772"/>
      <c r="AP137" s="3557"/>
      <c r="AQ137" s="3557"/>
      <c r="AR137" s="3557"/>
      <c r="AS137" s="3557"/>
      <c r="AT137" s="3557"/>
      <c r="AU137" s="772"/>
      <c r="AV137" s="772"/>
      <c r="AW137" s="772"/>
      <c r="AX137" s="772"/>
      <c r="AY137" s="772"/>
      <c r="AZ137" s="3557"/>
      <c r="BA137" s="3557"/>
      <c r="BB137" s="3557"/>
      <c r="BC137" s="3557"/>
      <c r="BD137" s="3557"/>
      <c r="BE137" s="774"/>
      <c r="BF137" s="1758"/>
      <c r="BG137" s="1758"/>
      <c r="BH137" s="997" t="s">
        <v>1748</v>
      </c>
    </row>
    <row s="1834" customFormat="1" customHeight="1" ht="21.75">
      <c r="A138" s="1758"/>
      <c r="B138" s="122">
        <f>InvestmentSources_is_one_block="нет"</f>
        <v>1</v>
      </c>
      <c r="C138" s="1758"/>
      <c r="D138" s="1758"/>
      <c r="E138" s="618">
        <v>22.5</v>
      </c>
      <c r="F138" s="50" cm="1" t="str">
        <f t="array" ref="F138:F138">OFFSET(E138,-1,1)</f>
        <v>2</v>
      </c>
      <c r="G138" s="1758"/>
      <c r="H138" s="122" t="s">
        <v>2096</v>
      </c>
      <c r="I138" s="1758"/>
      <c r="J138" s="1758"/>
      <c r="K138" s="1758"/>
      <c r="L138" s="1758"/>
      <c r="M138" s="1758"/>
      <c r="N138" s="1758"/>
      <c r="O138" s="1758"/>
      <c r="P138" s="1758"/>
      <c r="Q138" s="1758"/>
      <c r="R138" s="1758"/>
      <c r="S138" s="1758"/>
      <c r="T138" s="465" cm="1" t="str">
        <f t="array" ref="T138:T138">T137</f>
        <v>true</v>
      </c>
      <c r="U138" s="1758"/>
      <c r="V138" s="1758"/>
      <c r="W138" s="1758"/>
      <c r="X138" s="1563"/>
      <c r="Y138" s="1758"/>
      <c r="Z138" s="1546"/>
      <c r="AA138" s="1758"/>
      <c r="AB138" s="299" t="s">
        <v>1755</v>
      </c>
      <c r="AC138" s="765" t="s">
        <v>2097</v>
      </c>
      <c r="AD138" s="300" t="s">
        <v>1514</v>
      </c>
      <c r="AE138" s="772"/>
      <c r="AF138" s="772"/>
      <c r="AG138" s="772"/>
      <c r="AH138" s="772"/>
      <c r="AI138" s="772"/>
      <c r="AJ138" s="772"/>
      <c r="AK138" s="772"/>
      <c r="AL138" s="772"/>
      <c r="AM138" s="772"/>
      <c r="AN138" s="772"/>
      <c r="AO138" s="772"/>
      <c r="AP138" s="3557"/>
      <c r="AQ138" s="3557"/>
      <c r="AR138" s="3557"/>
      <c r="AS138" s="3557"/>
      <c r="AT138" s="3557"/>
      <c r="AU138" s="772"/>
      <c r="AV138" s="772"/>
      <c r="AW138" s="772"/>
      <c r="AX138" s="772"/>
      <c r="AY138" s="772"/>
      <c r="AZ138" s="3557"/>
      <c r="BA138" s="3557"/>
      <c r="BB138" s="3557"/>
      <c r="BC138" s="3557"/>
      <c r="BD138" s="3557"/>
      <c r="BE138" s="774"/>
      <c r="BF138" s="1758"/>
      <c r="BG138" s="1758"/>
      <c r="BH138" s="997" t="s">
        <v>2098</v>
      </c>
    </row>
    <row s="1834" customFormat="1" customHeight="1" ht="21.75">
      <c r="A139" s="1758"/>
      <c r="B139" s="122">
        <f>InvestmentSources_is_one_block="нет"</f>
        <v>1</v>
      </c>
      <c r="C139" s="1758"/>
      <c r="D139" s="1758"/>
      <c r="E139" s="618">
        <v>22.5</v>
      </c>
      <c r="F139" s="50" cm="1" t="str">
        <f t="array" ref="F139:F139">OFFSET(E139,-1,1)</f>
        <v>2</v>
      </c>
      <c r="G139" s="1758"/>
      <c r="H139" s="122" t="s">
        <v>2099</v>
      </c>
      <c r="I139" s="1758"/>
      <c r="J139" s="1758"/>
      <c r="K139" s="1758"/>
      <c r="L139" s="1758"/>
      <c r="M139" s="1758"/>
      <c r="N139" s="1758"/>
      <c r="O139" s="1758"/>
      <c r="P139" s="1758"/>
      <c r="Q139" s="1758"/>
      <c r="R139" s="1758"/>
      <c r="S139" s="1758"/>
      <c r="T139" s="465" cm="1" t="str">
        <f t="array" ref="T139:T139">T138</f>
        <v>true</v>
      </c>
      <c r="U139" s="1758"/>
      <c r="V139" s="1758"/>
      <c r="W139" s="1758"/>
      <c r="X139" s="1563"/>
      <c r="Y139" s="1758"/>
      <c r="Z139" s="1546"/>
      <c r="AA139" s="1758"/>
      <c r="AB139" s="299" t="s">
        <v>2100</v>
      </c>
      <c r="AC139" s="765" t="s">
        <v>2101</v>
      </c>
      <c r="AD139" s="300" t="s">
        <v>1514</v>
      </c>
      <c r="AE139" s="772"/>
      <c r="AF139" s="772"/>
      <c r="AG139" s="772"/>
      <c r="AH139" s="772"/>
      <c r="AI139" s="772"/>
      <c r="AJ139" s="772"/>
      <c r="AK139" s="772"/>
      <c r="AL139" s="772"/>
      <c r="AM139" s="772"/>
      <c r="AN139" s="772"/>
      <c r="AO139" s="772"/>
      <c r="AP139" s="3557"/>
      <c r="AQ139" s="3557"/>
      <c r="AR139" s="3557"/>
      <c r="AS139" s="3557"/>
      <c r="AT139" s="3557"/>
      <c r="AU139" s="772"/>
      <c r="AV139" s="772"/>
      <c r="AW139" s="772"/>
      <c r="AX139" s="772"/>
      <c r="AY139" s="772"/>
      <c r="AZ139" s="3557"/>
      <c r="BA139" s="3557"/>
      <c r="BB139" s="3557"/>
      <c r="BC139" s="3557"/>
      <c r="BD139" s="3557"/>
      <c r="BE139" s="774"/>
      <c r="BF139" s="1758"/>
      <c r="BG139" s="1758"/>
      <c r="BH139" s="997" t="s">
        <v>2102</v>
      </c>
    </row>
    <row s="1834" customFormat="1" customHeight="1" ht="14.25">
      <c r="A140" s="1758"/>
      <c r="B140" s="122">
        <f>InvestmentSources_is_one_block="нет"</f>
        <v>1</v>
      </c>
      <c r="C140" s="1758"/>
      <c r="D140" s="1758"/>
      <c r="E140" s="618">
        <v>15</v>
      </c>
      <c r="F140" s="50" cm="1" t="str">
        <f t="array" ref="F140:F140">OFFSET(E140,-1,1)</f>
        <v>2</v>
      </c>
      <c r="G140" s="1758"/>
      <c r="H140" s="122" t="s">
        <v>2103</v>
      </c>
      <c r="I140" s="1758"/>
      <c r="J140" s="1758"/>
      <c r="K140" s="1758"/>
      <c r="L140" s="1758"/>
      <c r="M140" s="1758"/>
      <c r="N140" s="1758"/>
      <c r="O140" s="1758"/>
      <c r="P140" s="1758"/>
      <c r="Q140" s="1758"/>
      <c r="R140" s="1758"/>
      <c r="S140" s="1758"/>
      <c r="T140" s="465" cm="1" t="str">
        <f t="array" ref="T140:T140">T139</f>
        <v>true</v>
      </c>
      <c r="U140" s="1758"/>
      <c r="V140" s="1758"/>
      <c r="W140" s="1758"/>
      <c r="X140" s="1563"/>
      <c r="Y140" s="1758"/>
      <c r="Z140" s="1546"/>
      <c r="AA140" s="1758"/>
      <c r="AB140" s="299" t="s">
        <v>2104</v>
      </c>
      <c r="AC140" s="765" t="s">
        <v>2105</v>
      </c>
      <c r="AD140" s="300" t="s">
        <v>1514</v>
      </c>
      <c r="AE140" s="772"/>
      <c r="AF140" s="772"/>
      <c r="AG140" s="772"/>
      <c r="AH140" s="772"/>
      <c r="AI140" s="772"/>
      <c r="AJ140" s="772"/>
      <c r="AK140" s="772"/>
      <c r="AL140" s="772"/>
      <c r="AM140" s="772"/>
      <c r="AN140" s="772"/>
      <c r="AO140" s="772"/>
      <c r="AP140" s="3557"/>
      <c r="AQ140" s="3557"/>
      <c r="AR140" s="3557"/>
      <c r="AS140" s="3557"/>
      <c r="AT140" s="3557"/>
      <c r="AU140" s="772"/>
      <c r="AV140" s="772"/>
      <c r="AW140" s="772"/>
      <c r="AX140" s="772"/>
      <c r="AY140" s="772"/>
      <c r="AZ140" s="3557"/>
      <c r="BA140" s="3557"/>
      <c r="BB140" s="3557"/>
      <c r="BC140" s="3557"/>
      <c r="BD140" s="3557"/>
      <c r="BE140" s="774"/>
      <c r="BF140" s="1758"/>
      <c r="BG140" s="1758"/>
      <c r="BH140" s="997" t="s">
        <v>2106</v>
      </c>
    </row>
    <row s="1469" customFormat="1" customHeight="1" ht="21.75">
      <c r="A141" s="698"/>
      <c r="B141" s="122">
        <f>InvestmentSources_is_one_block="нет"</f>
        <v>1</v>
      </c>
      <c r="C141" s="698"/>
      <c r="D141" s="698"/>
      <c r="E141" s="691">
        <v>22.5</v>
      </c>
      <c r="F141" s="50" cm="1" t="str">
        <f t="array" ref="F141:F141">OFFSET(E141,-1,1)</f>
        <v>2</v>
      </c>
      <c r="G141" s="122"/>
      <c r="H141" s="122" t="s">
        <v>333</v>
      </c>
      <c r="I141" s="698"/>
      <c r="J141" s="698"/>
      <c r="K141" s="698"/>
      <c r="L141" s="698"/>
      <c r="M141" s="698"/>
      <c r="N141" s="698"/>
      <c r="O141" s="698"/>
      <c r="P141" s="698"/>
      <c r="Q141" s="698"/>
      <c r="R141" s="698"/>
      <c r="S141" s="698"/>
      <c r="T141" s="465" cm="1" t="str">
        <f t="array" ref="T141:T141">T140</f>
        <v>true</v>
      </c>
      <c r="U141" s="698"/>
      <c r="V141" s="698"/>
      <c r="W141" s="698"/>
      <c r="X141" s="1563"/>
      <c r="Y141" s="698"/>
      <c r="Z141" s="1546"/>
      <c r="AA141" s="698"/>
      <c r="AB141" s="218" t="s">
        <v>285</v>
      </c>
      <c r="AC141" s="219" t="s">
        <v>2107</v>
      </c>
      <c r="AD141" s="211" t="s">
        <v>1514</v>
      </c>
      <c r="AE141" s="213">
        <f>AE142+AE143+AE144</f>
        <v>0</v>
      </c>
      <c r="AF141" s="213">
        <f>AF142+AF143+AF144</f>
        <v>0</v>
      </c>
      <c r="AG141" s="213">
        <f>AG142+AG143+AG144</f>
        <v>0</v>
      </c>
      <c r="AH141" s="213">
        <f>AH142+AH143+AH144</f>
        <v>0</v>
      </c>
      <c r="AI141" s="213">
        <f>AI142+AI143+AI144</f>
        <v>0</v>
      </c>
      <c r="AJ141" s="213">
        <f>AJ142+AJ143+AJ144</f>
        <v>0</v>
      </c>
      <c r="AK141" s="213">
        <f>AK142+AK143+AK144</f>
        <v>0</v>
      </c>
      <c r="AL141" s="213">
        <f>AL142+AL143+AL144</f>
        <v>0</v>
      </c>
      <c r="AM141" s="213">
        <f>AM142+AM143+AM144</f>
        <v>0</v>
      </c>
      <c r="AN141" s="213">
        <f>AN142+AN143+AN144</f>
        <v>0</v>
      </c>
      <c r="AO141" s="213">
        <f>AO142+AO143+AO144</f>
        <v>0</v>
      </c>
      <c r="AP141" s="213">
        <f>AP142+AP143+AP144</f>
        <v>0</v>
      </c>
      <c r="AQ141" s="213">
        <f>AQ142+AQ143+AQ144</f>
        <v>0</v>
      </c>
      <c r="AR141" s="213">
        <f>AR142+AR143+AR144</f>
        <v>0</v>
      </c>
      <c r="AS141" s="213">
        <f>AS142+AS143+AS144</f>
        <v>0</v>
      </c>
      <c r="AT141" s="213">
        <f>AT142+AT143+AT144</f>
        <v>0</v>
      </c>
      <c r="AU141" s="213">
        <f>AU142+AU143+AU144</f>
        <v>0</v>
      </c>
      <c r="AV141" s="213">
        <f>AV142+AV143+AV144</f>
        <v>0</v>
      </c>
      <c r="AW141" s="213">
        <f>AW142+AW143+AW144</f>
        <v>0</v>
      </c>
      <c r="AX141" s="213">
        <f>AX142+AX143+AX144</f>
        <v>0</v>
      </c>
      <c r="AY141" s="213">
        <f>AY142+AY143+AY144</f>
        <v>0</v>
      </c>
      <c r="AZ141" s="213">
        <f>AZ142+AZ143+AZ144</f>
        <v>0</v>
      </c>
      <c r="BA141" s="213">
        <f>BA142+BA143+BA144</f>
        <v>0</v>
      </c>
      <c r="BB141" s="213">
        <f>BB142+BB143+BB144</f>
        <v>0</v>
      </c>
      <c r="BC141" s="213">
        <f>BC142+BC143+BC144</f>
        <v>0</v>
      </c>
      <c r="BD141" s="213">
        <f>BD142+BD143+BD144</f>
        <v>0</v>
      </c>
      <c r="BE141" s="774"/>
      <c r="BF141" s="698"/>
      <c r="BG141" s="698"/>
      <c r="BH141" s="1051" t="s">
        <v>2108</v>
      </c>
    </row>
    <row s="1834" customFormat="1" customHeight="1" ht="14.25">
      <c r="A142" s="1758"/>
      <c r="B142" s="122">
        <f>InvestmentSources_is_one_block="нет"</f>
        <v>1</v>
      </c>
      <c r="C142" s="1758"/>
      <c r="D142" s="1758"/>
      <c r="E142" s="618">
        <v>15</v>
      </c>
      <c r="F142" s="50" cm="1" t="str">
        <f t="array" ref="F142:F142">OFFSET(E142,-1,1)</f>
        <v>2</v>
      </c>
      <c r="G142" s="1758"/>
      <c r="H142" s="122" t="s">
        <v>1193</v>
      </c>
      <c r="I142" s="1758"/>
      <c r="J142" s="1758"/>
      <c r="K142" s="124" t="str">
        <f>F142&amp;"2komm"</f>
        <v>22komm</v>
      </c>
      <c r="L142" s="124" cm="1" t="str">
        <f t="array" ref="L142:L142">BE142</f>
        <v>0</v>
      </c>
      <c r="M142" s="1758"/>
      <c r="N142" s="1758"/>
      <c r="O142" s="1758"/>
      <c r="P142" s="1758"/>
      <c r="Q142" s="1758"/>
      <c r="R142" s="1758"/>
      <c r="S142" s="1758"/>
      <c r="T142" s="465" cm="1" t="str">
        <f t="array" ref="T142:T142">T141</f>
        <v>true</v>
      </c>
      <c r="U142" s="1758"/>
      <c r="V142" s="1758"/>
      <c r="W142" s="1758"/>
      <c r="X142" s="1563"/>
      <c r="Y142" s="1758"/>
      <c r="Z142" s="1546"/>
      <c r="AA142" s="1758"/>
      <c r="AB142" s="299" t="s">
        <v>1250</v>
      </c>
      <c r="AC142" s="762" t="s">
        <v>2109</v>
      </c>
      <c r="AD142" s="300" t="s">
        <v>1514</v>
      </c>
      <c r="AE142" s="772"/>
      <c r="AF142" s="772"/>
      <c r="AG142" s="772"/>
      <c r="AH142" s="772"/>
      <c r="AI142" s="772"/>
      <c r="AJ142" s="772"/>
      <c r="AK142" s="772"/>
      <c r="AL142" s="772"/>
      <c r="AM142" s="772"/>
      <c r="AN142" s="772"/>
      <c r="AO142" s="772"/>
      <c r="AP142" s="3557"/>
      <c r="AQ142" s="3557"/>
      <c r="AR142" s="3557"/>
      <c r="AS142" s="3557"/>
      <c r="AT142" s="3557"/>
      <c r="AU142" s="772"/>
      <c r="AV142" s="772"/>
      <c r="AW142" s="772"/>
      <c r="AX142" s="772"/>
      <c r="AY142" s="772"/>
      <c r="AZ142" s="3557"/>
      <c r="BA142" s="3557"/>
      <c r="BB142" s="3557"/>
      <c r="BC142" s="3557"/>
      <c r="BD142" s="3557"/>
      <c r="BE142" s="774"/>
      <c r="BF142" s="1758"/>
      <c r="BG142" s="1758"/>
      <c r="BH142" s="997" t="s">
        <v>2110</v>
      </c>
    </row>
    <row s="1834" customFormat="1" customHeight="1" ht="14.25">
      <c r="A143" s="1758"/>
      <c r="B143" s="122">
        <f>InvestmentSources_is_one_block="нет"</f>
        <v>1</v>
      </c>
      <c r="C143" s="1758"/>
      <c r="D143" s="1758"/>
      <c r="E143" s="618">
        <v>15</v>
      </c>
      <c r="F143" s="50" cm="1" t="str">
        <f t="array" ref="F143:F143">OFFSET(E143,-1,1)</f>
        <v>2</v>
      </c>
      <c r="G143" s="1758"/>
      <c r="H143" s="122" t="s">
        <v>1196</v>
      </c>
      <c r="I143" s="1758"/>
      <c r="J143" s="1758"/>
      <c r="K143" s="124" t="str">
        <f>F143&amp;"3komm"</f>
        <v>23komm</v>
      </c>
      <c r="L143" s="124" cm="1" t="str">
        <f t="array" ref="L143:L143">BE143</f>
        <v>0</v>
      </c>
      <c r="M143" s="1758"/>
      <c r="N143" s="1758"/>
      <c r="O143" s="1758"/>
      <c r="P143" s="1758"/>
      <c r="Q143" s="1758"/>
      <c r="R143" s="1758"/>
      <c r="S143" s="1758"/>
      <c r="T143" s="465" cm="1" t="str">
        <f t="array" ref="T143:T143">T142</f>
        <v>true</v>
      </c>
      <c r="U143" s="1758"/>
      <c r="V143" s="1758"/>
      <c r="W143" s="1758"/>
      <c r="X143" s="1563"/>
      <c r="Y143" s="1758"/>
      <c r="Z143" s="1546"/>
      <c r="AA143" s="1758"/>
      <c r="AB143" s="299" t="s">
        <v>1254</v>
      </c>
      <c r="AC143" s="762" t="s">
        <v>2111</v>
      </c>
      <c r="AD143" s="300" t="s">
        <v>1514</v>
      </c>
      <c r="AE143" s="772"/>
      <c r="AF143" s="772"/>
      <c r="AG143" s="772"/>
      <c r="AH143" s="772"/>
      <c r="AI143" s="772"/>
      <c r="AJ143" s="772"/>
      <c r="AK143" s="772"/>
      <c r="AL143" s="772"/>
      <c r="AM143" s="772"/>
      <c r="AN143" s="772"/>
      <c r="AO143" s="772"/>
      <c r="AP143" s="3557"/>
      <c r="AQ143" s="3557"/>
      <c r="AR143" s="3557"/>
      <c r="AS143" s="3557"/>
      <c r="AT143" s="3557"/>
      <c r="AU143" s="772"/>
      <c r="AV143" s="772"/>
      <c r="AW143" s="772"/>
      <c r="AX143" s="772"/>
      <c r="AY143" s="772"/>
      <c r="AZ143" s="3557"/>
      <c r="BA143" s="3557"/>
      <c r="BB143" s="3557"/>
      <c r="BC143" s="3557"/>
      <c r="BD143" s="3557"/>
      <c r="BE143" s="774"/>
      <c r="BF143" s="1758"/>
      <c r="BG143" s="1758"/>
      <c r="BH143" s="997" t="s">
        <v>2112</v>
      </c>
    </row>
    <row s="1834" customFormat="1" customHeight="1" ht="14.25">
      <c r="A144" s="1758"/>
      <c r="B144" s="122">
        <f>InvestmentSources_is_one_block="нет"</f>
        <v>1</v>
      </c>
      <c r="C144" s="1758"/>
      <c r="D144" s="1758"/>
      <c r="E144" s="618">
        <v>15</v>
      </c>
      <c r="F144" s="50" cm="1" t="str">
        <f t="array" ref="F144:F144">OFFSET(E144,-1,1)</f>
        <v>2</v>
      </c>
      <c r="G144" s="1758"/>
      <c r="H144" s="122" t="s">
        <v>1648</v>
      </c>
      <c r="I144" s="1758"/>
      <c r="J144" s="1758"/>
      <c r="K144" s="1758"/>
      <c r="L144" s="1758"/>
      <c r="M144" s="1758"/>
      <c r="N144" s="1758"/>
      <c r="O144" s="1758"/>
      <c r="P144" s="1758"/>
      <c r="Q144" s="1758"/>
      <c r="R144" s="1758"/>
      <c r="S144" s="1758"/>
      <c r="T144" s="465" cm="1" t="str">
        <f t="array" ref="T144:T144">T143</f>
        <v>true</v>
      </c>
      <c r="U144" s="1758"/>
      <c r="V144" s="1758"/>
      <c r="W144" s="1758"/>
      <c r="X144" s="1563"/>
      <c r="Y144" s="1758"/>
      <c r="Z144" s="1546"/>
      <c r="AA144" s="1758"/>
      <c r="AB144" s="299" t="s">
        <v>1258</v>
      </c>
      <c r="AC144" s="762" t="s">
        <v>2113</v>
      </c>
      <c r="AD144" s="300" t="s">
        <v>1514</v>
      </c>
      <c r="AE144" s="772"/>
      <c r="AF144" s="772"/>
      <c r="AG144" s="772"/>
      <c r="AH144" s="772"/>
      <c r="AI144" s="772"/>
      <c r="AJ144" s="772"/>
      <c r="AK144" s="772"/>
      <c r="AL144" s="772"/>
      <c r="AM144" s="772"/>
      <c r="AN144" s="772"/>
      <c r="AO144" s="772"/>
      <c r="AP144" s="3557"/>
      <c r="AQ144" s="3557"/>
      <c r="AR144" s="3557"/>
      <c r="AS144" s="3557"/>
      <c r="AT144" s="3557"/>
      <c r="AU144" s="772"/>
      <c r="AV144" s="772"/>
      <c r="AW144" s="772"/>
      <c r="AX144" s="772"/>
      <c r="AY144" s="772"/>
      <c r="AZ144" s="3557"/>
      <c r="BA144" s="3557"/>
      <c r="BB144" s="3557"/>
      <c r="BC144" s="3557"/>
      <c r="BD144" s="3557"/>
      <c r="BE144" s="774"/>
      <c r="BF144" s="1758"/>
      <c r="BG144" s="1758"/>
      <c r="BH144" s="997" t="s">
        <v>2114</v>
      </c>
    </row>
    <row s="1834" customFormat="1" customHeight="1" ht="14.25">
      <c r="A145" s="1758"/>
      <c r="B145" s="122">
        <f>InvestmentSources_is_one_block="нет"</f>
        <v>1</v>
      </c>
      <c r="C145" s="1758"/>
      <c r="D145" s="1758"/>
      <c r="E145" s="618">
        <v>15</v>
      </c>
      <c r="F145" s="98" cm="1" t="str">
        <f t="array" ref="F145:F145">X145</f>
        <v>3</v>
      </c>
      <c r="G145" s="1758"/>
      <c r="H145" s="1758"/>
      <c r="I145" s="1758"/>
      <c r="J145" s="1758"/>
      <c r="K145" s="1758"/>
      <c r="L145" s="1758"/>
      <c r="M145" s="1758"/>
      <c r="N145" s="1758"/>
      <c r="O145" s="1758"/>
      <c r="P145" s="1758"/>
      <c r="Q145" s="1758"/>
      <c r="R145" s="1758"/>
      <c r="S145" s="1758"/>
      <c r="T145" s="465">
        <f>X145&gt;0</f>
        <v>1</v>
      </c>
      <c r="U145" s="1758"/>
      <c r="V145" s="122" cm="1" t="str">
        <f t="array" ref="V145:V145">Налоги!$AB$71</f>
        <v>Тариф 3 (Водоотведение) - тариф на водоотведение (Доп. признак не требуется)</v>
      </c>
      <c r="W145" s="1758"/>
      <c r="X145" s="1563" t="s">
        <v>289</v>
      </c>
      <c r="Y145" s="1758"/>
      <c r="Z145" s="1546"/>
      <c r="AA145" s="1758"/>
      <c r="AB145" s="242" cm="1" t="str">
        <f t="array" ref="AB145:AB145">Налоги!$AB$71</f>
        <v>Тариф 3 (Водоотведение) - тариф на водоотведение (Доп. признак не требуется)</v>
      </c>
      <c r="AC145" s="832"/>
      <c r="AD145" s="832"/>
      <c r="AE145" s="832"/>
      <c r="AF145" s="832"/>
      <c r="AG145" s="832"/>
      <c r="AH145" s="832"/>
      <c r="AI145" s="832"/>
      <c r="AJ145" s="832"/>
      <c r="AK145" s="832"/>
      <c r="AL145" s="832"/>
      <c r="AM145" s="832"/>
      <c r="AN145" s="832"/>
      <c r="AO145" s="832"/>
      <c r="AP145" s="832"/>
      <c r="AQ145" s="832"/>
      <c r="AR145" s="832"/>
      <c r="AS145" s="832"/>
      <c r="AT145" s="832"/>
      <c r="AU145" s="832"/>
      <c r="AV145" s="832"/>
      <c r="AW145" s="832"/>
      <c r="AX145" s="832"/>
      <c r="AY145" s="832"/>
      <c r="AZ145" s="832"/>
      <c r="BA145" s="832"/>
      <c r="BB145" s="832"/>
      <c r="BC145" s="832"/>
      <c r="BD145" s="832"/>
      <c r="BE145" s="832"/>
      <c r="BF145" s="1758"/>
      <c r="BG145" s="1758"/>
      <c r="BH145" s="1764"/>
    </row>
    <row s="1469" customFormat="1" customHeight="1" ht="21.75">
      <c r="A146" s="698"/>
      <c r="B146" s="122">
        <f>InvestmentSources_is_one_block="нет"</f>
        <v>1</v>
      </c>
      <c r="C146" s="698"/>
      <c r="D146" s="698"/>
      <c r="E146" s="691">
        <v>22.5</v>
      </c>
      <c r="F146" s="50" cm="1" t="str">
        <f t="array" ref="F146:F146">OFFSET(E146,-1,1)</f>
        <v>3</v>
      </c>
      <c r="G146" s="122"/>
      <c r="H146" s="122" t="s">
        <v>332</v>
      </c>
      <c r="I146" s="698"/>
      <c r="J146" s="698"/>
      <c r="K146" s="698"/>
      <c r="L146" s="698"/>
      <c r="M146" s="698"/>
      <c r="N146" s="698"/>
      <c r="O146" s="698"/>
      <c r="P146" s="698"/>
      <c r="Q146" s="698"/>
      <c r="R146" s="698"/>
      <c r="S146" s="698"/>
      <c r="T146" s="465" cm="1" t="str">
        <f t="array" ref="T146:T146">T145</f>
        <v>true</v>
      </c>
      <c r="U146" s="698"/>
      <c r="V146" s="698"/>
      <c r="W146" s="698"/>
      <c r="X146" s="1563"/>
      <c r="Y146" s="698"/>
      <c r="Z146" s="1546"/>
      <c r="AA146" s="698"/>
      <c r="AB146" s="218">
        <v>1</v>
      </c>
      <c r="AC146" s="212" t="s">
        <v>2036</v>
      </c>
      <c r="AD146" s="211" t="s">
        <v>1514</v>
      </c>
      <c r="AE146" s="213">
        <f>AE147+AE157+AE161+AE165</f>
        <v>0</v>
      </c>
      <c r="AF146" s="213">
        <f>AF147+AF157+AF161+AF165</f>
        <v>0</v>
      </c>
      <c r="AG146" s="213">
        <f>AG147+AG157+AG161+AG165</f>
        <v>0</v>
      </c>
      <c r="AH146" s="213">
        <f>AH147+AH157+AH161+AH165</f>
        <v>0</v>
      </c>
      <c r="AI146" s="213">
        <f>AI147+AI157+AI161+AI165</f>
        <v>0</v>
      </c>
      <c r="AJ146" s="213">
        <f>AJ147+AJ157+AJ161+AJ165</f>
        <v>0</v>
      </c>
      <c r="AK146" s="213">
        <f>AK147+AK157+AK161+AK165</f>
        <v>0</v>
      </c>
      <c r="AL146" s="213">
        <f>AL147+AL157+AL161+AL165</f>
        <v>0</v>
      </c>
      <c r="AM146" s="213">
        <f>AM147+AM157+AM161+AM165</f>
        <v>0</v>
      </c>
      <c r="AN146" s="213">
        <f>AN147+AN157+AN161+AN165</f>
        <v>0</v>
      </c>
      <c r="AO146" s="213">
        <f>AO147+AO157+AO161+AO165</f>
        <v>0</v>
      </c>
      <c r="AP146" s="213">
        <f>AP147+AP157+AP161+AP165</f>
        <v>0</v>
      </c>
      <c r="AQ146" s="213">
        <f>AQ147+AQ157+AQ161+AQ165</f>
        <v>0</v>
      </c>
      <c r="AR146" s="213">
        <f>AR147+AR157+AR161+AR165</f>
        <v>0</v>
      </c>
      <c r="AS146" s="213">
        <f>AS147+AS157+AS161+AS165</f>
        <v>0</v>
      </c>
      <c r="AT146" s="213">
        <f>AT147+AT157+AT161+AT165</f>
        <v>0</v>
      </c>
      <c r="AU146" s="213">
        <f>AU147+AU157+AU161+AU165</f>
        <v>0</v>
      </c>
      <c r="AV146" s="213">
        <f>AV147+AV157+AV161+AV165</f>
        <v>0</v>
      </c>
      <c r="AW146" s="213">
        <f>AW147+AW157+AW161+AW165</f>
        <v>0</v>
      </c>
      <c r="AX146" s="213">
        <f>AX147+AX157+AX161+AX165</f>
        <v>0</v>
      </c>
      <c r="AY146" s="213">
        <f>AY147+AY157+AY161+AY165</f>
        <v>0</v>
      </c>
      <c r="AZ146" s="213">
        <f>AZ147+AZ157+AZ161+AZ165</f>
        <v>0</v>
      </c>
      <c r="BA146" s="213">
        <f>BA147+BA157+BA161+BA165</f>
        <v>0</v>
      </c>
      <c r="BB146" s="213">
        <f>BB147+BB157+BB161+BB165</f>
        <v>0</v>
      </c>
      <c r="BC146" s="213">
        <f>BC147+BC157+BC161+BC165</f>
        <v>0</v>
      </c>
      <c r="BD146" s="213">
        <f>BD147+BD157+BD161+BD165</f>
        <v>0</v>
      </c>
      <c r="BE146" s="774"/>
      <c r="BF146" s="698"/>
      <c r="BG146" s="698"/>
      <c r="BH146" s="1051" t="s">
        <v>2037</v>
      </c>
    </row>
    <row s="1834" customFormat="1" customHeight="1" ht="14.25">
      <c r="A147" s="1758"/>
      <c r="B147" s="122">
        <f>InvestmentSources_is_one_block="нет"</f>
        <v>1</v>
      </c>
      <c r="C147" s="1758"/>
      <c r="D147" s="1758"/>
      <c r="E147" s="618">
        <v>15</v>
      </c>
      <c r="F147" s="50" cm="1" t="str">
        <f t="array" ref="F147:F147">OFFSET(E147,-1,1)</f>
        <v>3</v>
      </c>
      <c r="G147" s="1758"/>
      <c r="H147" s="122" t="s">
        <v>1175</v>
      </c>
      <c r="I147" s="1758"/>
      <c r="J147" s="1758"/>
      <c r="K147" s="1758"/>
      <c r="L147" s="1758"/>
      <c r="M147" s="1758"/>
      <c r="N147" s="1758"/>
      <c r="O147" s="1758"/>
      <c r="P147" s="1758"/>
      <c r="Q147" s="1758"/>
      <c r="R147" s="1758"/>
      <c r="S147" s="1758"/>
      <c r="T147" s="465" cm="1" t="str">
        <f t="array" ref="T147:T147">T146</f>
        <v>true</v>
      </c>
      <c r="U147" s="1758"/>
      <c r="V147" s="1758"/>
      <c r="W147" s="1758"/>
      <c r="X147" s="1563"/>
      <c r="Y147" s="1758"/>
      <c r="Z147" s="1546"/>
      <c r="AA147" s="1758"/>
      <c r="AB147" s="299" t="s">
        <v>1628</v>
      </c>
      <c r="AC147" s="762" t="s">
        <v>2038</v>
      </c>
      <c r="AD147" s="300" t="s">
        <v>1514</v>
      </c>
      <c r="AE147" s="783">
        <f>AE148+AE149+AE150+AE151+AE152</f>
        <v>0</v>
      </c>
      <c r="AF147" s="783">
        <f>AF148+AF149+AF150+AF151+AF152</f>
        <v>0</v>
      </c>
      <c r="AG147" s="783">
        <f>AG148+AG149+AG150+AG151+AG152</f>
        <v>0</v>
      </c>
      <c r="AH147" s="783">
        <f>AH148+AH149+AH150+AH151+AH152</f>
        <v>0</v>
      </c>
      <c r="AI147" s="783">
        <f>AI148+AI149+AI150+AI151+AI152</f>
        <v>0</v>
      </c>
      <c r="AJ147" s="783">
        <f>AJ148+AJ149+AJ150+AJ151+AJ152</f>
        <v>0</v>
      </c>
      <c r="AK147" s="783">
        <f>AK148+AK149+AK150+AK151+AK152</f>
        <v>0</v>
      </c>
      <c r="AL147" s="783">
        <f>AL148+AL149+AL150+AL151+AL152</f>
        <v>0</v>
      </c>
      <c r="AM147" s="783">
        <f>AM148+AM149+AM150+AM151+AM152</f>
        <v>0</v>
      </c>
      <c r="AN147" s="783">
        <f>AN148+AN149+AN150+AN151+AN152</f>
        <v>0</v>
      </c>
      <c r="AO147" s="783">
        <f>AO148+AO149+AO150+AO151+AO152</f>
        <v>0</v>
      </c>
      <c r="AP147" s="783">
        <f>AP148+AP149+AP150+AP151+AP152</f>
        <v>0</v>
      </c>
      <c r="AQ147" s="783">
        <f>AQ148+AQ149+AQ150+AQ151+AQ152</f>
        <v>0</v>
      </c>
      <c r="AR147" s="783">
        <f>AR148+AR149+AR150+AR151+AR152</f>
        <v>0</v>
      </c>
      <c r="AS147" s="783">
        <f>AS148+AS149+AS150+AS151+AS152</f>
        <v>0</v>
      </c>
      <c r="AT147" s="783">
        <f>AT148+AT149+AT150+AT151+AT152</f>
        <v>0</v>
      </c>
      <c r="AU147" s="783">
        <f>AU148+AU149+AU150+AU151+AU152</f>
        <v>0</v>
      </c>
      <c r="AV147" s="783">
        <f>AV148+AV149+AV150+AV151+AV152</f>
        <v>0</v>
      </c>
      <c r="AW147" s="783">
        <f>AW148+AW149+AW150+AW151+AW152</f>
        <v>0</v>
      </c>
      <c r="AX147" s="783">
        <f>AX148+AX149+AX150+AX151+AX152</f>
        <v>0</v>
      </c>
      <c r="AY147" s="783">
        <f>AY148+AY149+AY150+AY151+AY152</f>
        <v>0</v>
      </c>
      <c r="AZ147" s="783">
        <f>AZ148+AZ149+AZ150+AZ151+AZ152</f>
        <v>0</v>
      </c>
      <c r="BA147" s="783">
        <f>BA148+BA149+BA150+BA151+BA152</f>
        <v>0</v>
      </c>
      <c r="BB147" s="783">
        <f>BB148+BB149+BB150+BB151+BB152</f>
        <v>0</v>
      </c>
      <c r="BC147" s="783">
        <f>BC148+BC149+BC150+BC151+BC152</f>
        <v>0</v>
      </c>
      <c r="BD147" s="783">
        <f>BD148+BD149+BD150+BD151+BD152</f>
        <v>0</v>
      </c>
      <c r="BE147" s="774"/>
      <c r="BF147" s="1758"/>
      <c r="BG147" s="1758"/>
      <c r="BH147" s="997" t="s">
        <v>2039</v>
      </c>
    </row>
    <row s="1834" customFormat="1" customHeight="1" ht="14.25">
      <c r="A148" s="1758"/>
      <c r="B148" s="122">
        <f>InvestmentSources_is_one_block="нет"</f>
        <v>1</v>
      </c>
      <c r="C148" s="1758"/>
      <c r="D148" s="1758"/>
      <c r="E148" s="618">
        <v>15</v>
      </c>
      <c r="F148" s="50" cm="1" t="str">
        <f t="array" ref="F148:F148">OFFSET(E148,-1,1)</f>
        <v>3</v>
      </c>
      <c r="G148" s="1758"/>
      <c r="H148" s="122" t="s">
        <v>1735</v>
      </c>
      <c r="I148" s="1758"/>
      <c r="J148" s="1758"/>
      <c r="K148" s="1758"/>
      <c r="L148" s="1758"/>
      <c r="M148" s="1758"/>
      <c r="N148" s="1758"/>
      <c r="O148" s="1758"/>
      <c r="P148" s="1758"/>
      <c r="Q148" s="1758"/>
      <c r="R148" s="1758"/>
      <c r="S148" s="1758"/>
      <c r="T148" s="465" cm="1" t="str">
        <f t="array" ref="T148:T148">T147</f>
        <v>true</v>
      </c>
      <c r="U148" s="1758"/>
      <c r="V148" s="1758"/>
      <c r="W148" s="1758"/>
      <c r="X148" s="1563"/>
      <c r="Y148" s="1758"/>
      <c r="Z148" s="1546"/>
      <c r="AA148" s="1758"/>
      <c r="AB148" s="299" t="s">
        <v>1736</v>
      </c>
      <c r="AC148" s="765" t="s">
        <v>2040</v>
      </c>
      <c r="AD148" s="300" t="s">
        <v>1514</v>
      </c>
      <c r="AE148" s="772"/>
      <c r="AF148" s="772"/>
      <c r="AG148" s="772"/>
      <c r="AH148" s="772"/>
      <c r="AI148" s="772"/>
      <c r="AJ148" s="772"/>
      <c r="AK148" s="772"/>
      <c r="AL148" s="772"/>
      <c r="AM148" s="772"/>
      <c r="AN148" s="772"/>
      <c r="AO148" s="772"/>
      <c r="AP148" s="3557"/>
      <c r="AQ148" s="3557"/>
      <c r="AR148" s="3557"/>
      <c r="AS148" s="3557"/>
      <c r="AT148" s="3557"/>
      <c r="AU148" s="772"/>
      <c r="AV148" s="772"/>
      <c r="AW148" s="772"/>
      <c r="AX148" s="772"/>
      <c r="AY148" s="772"/>
      <c r="AZ148" s="3557"/>
      <c r="BA148" s="3557"/>
      <c r="BB148" s="3557"/>
      <c r="BC148" s="3557"/>
      <c r="BD148" s="3557"/>
      <c r="BE148" s="774"/>
      <c r="BF148" s="1758"/>
      <c r="BG148" s="1758"/>
      <c r="BH148" s="997" t="s">
        <v>1960</v>
      </c>
    </row>
    <row s="1834" customFormat="1" customHeight="1" ht="14.25">
      <c r="A149" s="1758"/>
      <c r="B149" s="122">
        <f>InvestmentSources_is_one_block="нет"</f>
        <v>1</v>
      </c>
      <c r="C149" s="1758"/>
      <c r="D149" s="1758"/>
      <c r="E149" s="618">
        <v>15</v>
      </c>
      <c r="F149" s="50" cm="1" t="str">
        <f t="array" ref="F149:F149">OFFSET(E149,-1,1)</f>
        <v>3</v>
      </c>
      <c r="G149" s="1758"/>
      <c r="H149" s="122" t="s">
        <v>1739</v>
      </c>
      <c r="I149" s="1758"/>
      <c r="J149" s="1758"/>
      <c r="K149" s="124" t="str">
        <f>F149&amp;"1komm"</f>
        <v>31komm</v>
      </c>
      <c r="L149" s="919" cm="1" t="str">
        <f t="array" ref="L149:L149">BE149</f>
        <v>0</v>
      </c>
      <c r="M149" s="1758"/>
      <c r="N149" s="1758"/>
      <c r="O149" s="1758"/>
      <c r="P149" s="1758"/>
      <c r="Q149" s="1758"/>
      <c r="R149" s="1758"/>
      <c r="S149" s="1758"/>
      <c r="T149" s="465" cm="1" t="str">
        <f t="array" ref="T149:T149">T148</f>
        <v>true</v>
      </c>
      <c r="U149" s="1758"/>
      <c r="V149" s="1758"/>
      <c r="W149" s="1758"/>
      <c r="X149" s="1563"/>
      <c r="Y149" s="1758"/>
      <c r="Z149" s="1546"/>
      <c r="AA149" s="1758"/>
      <c r="AB149" s="299" t="s">
        <v>1740</v>
      </c>
      <c r="AC149" s="765" t="s">
        <v>2041</v>
      </c>
      <c r="AD149" s="300" t="s">
        <v>1514</v>
      </c>
      <c r="AE149" s="772"/>
      <c r="AF149" s="772"/>
      <c r="AG149" s="772"/>
      <c r="AH149" s="772"/>
      <c r="AI149" s="772"/>
      <c r="AJ149" s="772"/>
      <c r="AK149" s="772"/>
      <c r="AL149" s="772"/>
      <c r="AM149" s="772"/>
      <c r="AN149" s="772"/>
      <c r="AO149" s="772"/>
      <c r="AP149" s="3557"/>
      <c r="AQ149" s="3557"/>
      <c r="AR149" s="3557"/>
      <c r="AS149" s="3557"/>
      <c r="AT149" s="3557"/>
      <c r="AU149" s="772"/>
      <c r="AV149" s="772"/>
      <c r="AW149" s="772"/>
      <c r="AX149" s="772"/>
      <c r="AY149" s="772"/>
      <c r="AZ149" s="3557"/>
      <c r="BA149" s="3557"/>
      <c r="BB149" s="3557"/>
      <c r="BC149" s="3557"/>
      <c r="BD149" s="3557"/>
      <c r="BE149" s="774"/>
      <c r="BF149" s="1758"/>
      <c r="BG149" s="1758"/>
      <c r="BH149" s="997" t="s">
        <v>2042</v>
      </c>
    </row>
    <row s="1834" customFormat="1" customHeight="1" ht="14.25">
      <c r="A150" s="1758"/>
      <c r="B150" s="122">
        <f>InvestmentSources_is_one_block="нет"</f>
        <v>1</v>
      </c>
      <c r="C150" s="1758"/>
      <c r="D150" s="1758"/>
      <c r="E150" s="618">
        <v>15</v>
      </c>
      <c r="F150" s="50" cm="1" t="str">
        <f t="array" ref="F150:F150">OFFSET(E150,-1,1)</f>
        <v>3</v>
      </c>
      <c r="G150" s="1758"/>
      <c r="H150" s="122" t="s">
        <v>2043</v>
      </c>
      <c r="I150" s="1758"/>
      <c r="J150" s="1758"/>
      <c r="K150" s="1758"/>
      <c r="L150" s="1758"/>
      <c r="M150" s="1758"/>
      <c r="N150" s="1758"/>
      <c r="O150" s="1758"/>
      <c r="P150" s="1758"/>
      <c r="Q150" s="1758"/>
      <c r="R150" s="1758"/>
      <c r="S150" s="1758"/>
      <c r="T150" s="465" cm="1" t="str">
        <f t="array" ref="T150:T150">T149</f>
        <v>true</v>
      </c>
      <c r="U150" s="1758"/>
      <c r="V150" s="1758"/>
      <c r="W150" s="1758"/>
      <c r="X150" s="1563"/>
      <c r="Y150" s="1758"/>
      <c r="Z150" s="1546"/>
      <c r="AA150" s="1758"/>
      <c r="AB150" s="299" t="s">
        <v>2044</v>
      </c>
      <c r="AC150" s="765" t="s">
        <v>2045</v>
      </c>
      <c r="AD150" s="300" t="s">
        <v>1514</v>
      </c>
      <c r="AE150" s="772"/>
      <c r="AF150" s="772"/>
      <c r="AG150" s="772"/>
      <c r="AH150" s="772"/>
      <c r="AI150" s="772"/>
      <c r="AJ150" s="772"/>
      <c r="AK150" s="772"/>
      <c r="AL150" s="772"/>
      <c r="AM150" s="772"/>
      <c r="AN150" s="772"/>
      <c r="AO150" s="772"/>
      <c r="AP150" s="3557"/>
      <c r="AQ150" s="3557"/>
      <c r="AR150" s="3557"/>
      <c r="AS150" s="3557"/>
      <c r="AT150" s="3557"/>
      <c r="AU150" s="772"/>
      <c r="AV150" s="772"/>
      <c r="AW150" s="772"/>
      <c r="AX150" s="772"/>
      <c r="AY150" s="772"/>
      <c r="AZ150" s="3557"/>
      <c r="BA150" s="3557"/>
      <c r="BB150" s="3557"/>
      <c r="BC150" s="3557"/>
      <c r="BD150" s="3557"/>
      <c r="BE150" s="774"/>
      <c r="BF150" s="1758"/>
      <c r="BG150" s="1758"/>
      <c r="BH150" s="997" t="s">
        <v>2046</v>
      </c>
    </row>
    <row s="1834" customFormat="1" customHeight="1" ht="14.25">
      <c r="A151" s="1758"/>
      <c r="B151" s="122">
        <f>InvestmentSources_is_one_block="нет"</f>
        <v>1</v>
      </c>
      <c r="C151" s="1758"/>
      <c r="D151" s="1758"/>
      <c r="E151" s="618">
        <v>15</v>
      </c>
      <c r="F151" s="50" cm="1" t="str">
        <f t="array" ref="F151:F151">OFFSET(E151,-1,1)</f>
        <v>3</v>
      </c>
      <c r="G151" s="1758"/>
      <c r="H151" s="122" t="s">
        <v>2047</v>
      </c>
      <c r="I151" s="1758"/>
      <c r="J151" s="1758"/>
      <c r="K151" s="1758"/>
      <c r="L151" s="1758"/>
      <c r="M151" s="1758"/>
      <c r="N151" s="1758"/>
      <c r="O151" s="1758"/>
      <c r="P151" s="1758"/>
      <c r="Q151" s="1758"/>
      <c r="R151" s="1758"/>
      <c r="S151" s="1758"/>
      <c r="T151" s="465" cm="1" t="str">
        <f t="array" ref="T151:T151">T150</f>
        <v>true</v>
      </c>
      <c r="U151" s="1758"/>
      <c r="V151" s="1758"/>
      <c r="W151" s="1758"/>
      <c r="X151" s="1563"/>
      <c r="Y151" s="1758"/>
      <c r="Z151" s="1546"/>
      <c r="AA151" s="1758"/>
      <c r="AB151" s="299" t="s">
        <v>2048</v>
      </c>
      <c r="AC151" s="765" t="s">
        <v>2049</v>
      </c>
      <c r="AD151" s="300" t="s">
        <v>1514</v>
      </c>
      <c r="AE151" s="772"/>
      <c r="AF151" s="772"/>
      <c r="AG151" s="772"/>
      <c r="AH151" s="772"/>
      <c r="AI151" s="772"/>
      <c r="AJ151" s="772"/>
      <c r="AK151" s="772"/>
      <c r="AL151" s="772"/>
      <c r="AM151" s="772"/>
      <c r="AN151" s="772"/>
      <c r="AO151" s="772"/>
      <c r="AP151" s="3557"/>
      <c r="AQ151" s="3557"/>
      <c r="AR151" s="3557"/>
      <c r="AS151" s="3557"/>
      <c r="AT151" s="3557"/>
      <c r="AU151" s="772"/>
      <c r="AV151" s="772"/>
      <c r="AW151" s="772"/>
      <c r="AX151" s="772"/>
      <c r="AY151" s="772"/>
      <c r="AZ151" s="3557"/>
      <c r="BA151" s="3557"/>
      <c r="BB151" s="3557"/>
      <c r="BC151" s="3557"/>
      <c r="BD151" s="3557"/>
      <c r="BE151" s="774"/>
      <c r="BF151" s="1758"/>
      <c r="BG151" s="1758"/>
      <c r="BH151" s="997" t="s">
        <v>2050</v>
      </c>
    </row>
    <row s="1834" customFormat="1" customHeight="1" ht="21.75">
      <c r="A152" s="1758"/>
      <c r="B152" s="122">
        <f>InvestmentSources_is_one_block="нет"</f>
        <v>1</v>
      </c>
      <c r="C152" s="1758"/>
      <c r="D152" s="1758"/>
      <c r="E152" s="618">
        <v>22.5</v>
      </c>
      <c r="F152" s="50" cm="1" t="str">
        <f t="array" ref="F152:F152">OFFSET(E152,-1,1)</f>
        <v>3</v>
      </c>
      <c r="G152" s="1758"/>
      <c r="H152" s="1758"/>
      <c r="I152" s="1758"/>
      <c r="J152" s="1758"/>
      <c r="K152" s="1758"/>
      <c r="L152" s="1758"/>
      <c r="M152" s="1758"/>
      <c r="N152" s="1758"/>
      <c r="O152" s="1758"/>
      <c r="P152" s="1758"/>
      <c r="Q152" s="1758"/>
      <c r="R152" s="1758"/>
      <c r="S152" s="1758"/>
      <c r="T152" s="465" cm="1" t="str">
        <f t="array" ref="T152:T152">T151</f>
        <v>true</v>
      </c>
      <c r="U152" s="1758"/>
      <c r="V152" s="1758"/>
      <c r="W152" s="1758"/>
      <c r="X152" s="1563"/>
      <c r="Y152" s="1758"/>
      <c r="Z152" s="1546"/>
      <c r="AA152" s="1758"/>
      <c r="AB152" s="299" t="s">
        <v>2051</v>
      </c>
      <c r="AC152" s="765" t="s">
        <v>2052</v>
      </c>
      <c r="AD152" s="300" t="s">
        <v>1514</v>
      </c>
      <c r="AE152" s="772">
        <f>AE153+AE154+AE155+AE156</f>
        <v>0</v>
      </c>
      <c r="AF152" s="772">
        <f>AF153+AF154+AF155+AF156</f>
        <v>0</v>
      </c>
      <c r="AG152" s="772">
        <f>AG153+AG154+AG155+AG156</f>
        <v>0</v>
      </c>
      <c r="AH152" s="772">
        <f>AH153+AH154+AH155+AH156</f>
        <v>0</v>
      </c>
      <c r="AI152" s="772">
        <f>AI153+AI154+AI155+AI156</f>
        <v>0</v>
      </c>
      <c r="AJ152" s="772">
        <f>AJ153+AJ154+AJ155+AJ156</f>
        <v>0</v>
      </c>
      <c r="AK152" s="772">
        <f>AK153+AK154+AK155+AK156</f>
        <v>0</v>
      </c>
      <c r="AL152" s="772">
        <f>AL153+AL154+AL155+AL156</f>
        <v>0</v>
      </c>
      <c r="AM152" s="772">
        <f>AM153+AM154+AM155+AM156</f>
        <v>0</v>
      </c>
      <c r="AN152" s="772">
        <f>AN153+AN154+AN155+AN156</f>
        <v>0</v>
      </c>
      <c r="AO152" s="772">
        <f>AO153+AO154+AO155+AO156</f>
        <v>0</v>
      </c>
      <c r="AP152" s="3557">
        <f>AP153+AP154+AP155+AP156</f>
        <v>0</v>
      </c>
      <c r="AQ152" s="3557">
        <f>AQ153+AQ154+AQ155+AQ156</f>
        <v>0</v>
      </c>
      <c r="AR152" s="3557">
        <f>AR153+AR154+AR155+AR156</f>
        <v>0</v>
      </c>
      <c r="AS152" s="3557">
        <f>AS153+AS154+AS155+AS156</f>
        <v>0</v>
      </c>
      <c r="AT152" s="3557">
        <f>AT153+AT154+AT155+AT156</f>
        <v>0</v>
      </c>
      <c r="AU152" s="772">
        <f>AU153+AU154+AU155+AU156</f>
        <v>0</v>
      </c>
      <c r="AV152" s="772">
        <f>AV153+AV154+AV155+AV156</f>
        <v>0</v>
      </c>
      <c r="AW152" s="772">
        <f>AW153+AW154+AW155+AW156</f>
        <v>0</v>
      </c>
      <c r="AX152" s="772">
        <f>AX153+AX154+AX155+AX156</f>
        <v>0</v>
      </c>
      <c r="AY152" s="772">
        <f>AY153+AY154+AY155+AY156</f>
        <v>0</v>
      </c>
      <c r="AZ152" s="3557">
        <f>AZ153+AZ154+AZ155+AZ156</f>
        <v>0</v>
      </c>
      <c r="BA152" s="3557">
        <f>BA153+BA154+BA155+BA156</f>
        <v>0</v>
      </c>
      <c r="BB152" s="3557">
        <f>BB153+BB154+BB155+BB156</f>
        <v>0</v>
      </c>
      <c r="BC152" s="3557">
        <f>BC153+BC154+BC155+BC156</f>
        <v>0</v>
      </c>
      <c r="BD152" s="3557">
        <f>BD153+BD154+BD155+BD156</f>
        <v>0</v>
      </c>
      <c r="BE152" s="774"/>
      <c r="BF152" s="1758"/>
      <c r="BG152" s="1758"/>
      <c r="BH152" s="997" t="s">
        <v>2053</v>
      </c>
    </row>
    <row s="1834" customFormat="1" customHeight="1" ht="44.25">
      <c r="A153" s="1758"/>
      <c r="B153" s="122">
        <f>InvestmentSources_is_one_block="нет"</f>
        <v>1</v>
      </c>
      <c r="C153" s="1758"/>
      <c r="D153" s="1758"/>
      <c r="E153" s="618">
        <v>45.75</v>
      </c>
      <c r="F153" s="50" cm="1" t="str">
        <f t="array" ref="F153:F153">OFFSET(E153,-1,1)</f>
        <v>3</v>
      </c>
      <c r="G153" s="1758"/>
      <c r="H153" s="1758"/>
      <c r="I153" s="1758"/>
      <c r="J153" s="1758"/>
      <c r="K153" s="1758"/>
      <c r="L153" s="1758"/>
      <c r="M153" s="1758"/>
      <c r="N153" s="1758"/>
      <c r="O153" s="1758"/>
      <c r="P153" s="1758"/>
      <c r="Q153" s="1758"/>
      <c r="R153" s="1758"/>
      <c r="S153" s="1758"/>
      <c r="T153" s="465" cm="1" t="str">
        <f t="array" ref="T153:T153">T152</f>
        <v>true</v>
      </c>
      <c r="U153" s="1758"/>
      <c r="V153" s="1758"/>
      <c r="W153" s="1758"/>
      <c r="X153" s="1563"/>
      <c r="Y153" s="1758"/>
      <c r="Z153" s="1546"/>
      <c r="AA153" s="1758"/>
      <c r="AB153" s="299" t="s">
        <v>2054</v>
      </c>
      <c r="AC153" s="768" t="s">
        <v>2055</v>
      </c>
      <c r="AD153" s="300" t="s">
        <v>1514</v>
      </c>
      <c r="AE153" s="772"/>
      <c r="AF153" s="772"/>
      <c r="AG153" s="772"/>
      <c r="AH153" s="772"/>
      <c r="AI153" s="772"/>
      <c r="AJ153" s="772"/>
      <c r="AK153" s="772"/>
      <c r="AL153" s="772"/>
      <c r="AM153" s="772"/>
      <c r="AN153" s="772"/>
      <c r="AO153" s="772"/>
      <c r="AP153" s="3557"/>
      <c r="AQ153" s="3557"/>
      <c r="AR153" s="3557"/>
      <c r="AS153" s="3557"/>
      <c r="AT153" s="3557"/>
      <c r="AU153" s="772"/>
      <c r="AV153" s="772"/>
      <c r="AW153" s="772"/>
      <c r="AX153" s="772"/>
      <c r="AY153" s="772"/>
      <c r="AZ153" s="3557"/>
      <c r="BA153" s="3557"/>
      <c r="BB153" s="3557"/>
      <c r="BC153" s="3557"/>
      <c r="BD153" s="3557"/>
      <c r="BE153" s="774"/>
      <c r="BF153" s="1758"/>
      <c r="BG153" s="1758"/>
      <c r="BH153" s="997" t="s">
        <v>2056</v>
      </c>
    </row>
    <row s="1834" customFormat="1" customHeight="1" ht="44.25">
      <c r="A154" s="1758"/>
      <c r="B154" s="122">
        <f>InvestmentSources_is_one_block="нет"</f>
        <v>1</v>
      </c>
      <c r="C154" s="1758"/>
      <c r="D154" s="1758"/>
      <c r="E154" s="618">
        <v>45.75</v>
      </c>
      <c r="F154" s="50" cm="1" t="str">
        <f t="array" ref="F154:F154">OFFSET(E154,-1,1)</f>
        <v>3</v>
      </c>
      <c r="G154" s="1758"/>
      <c r="H154" s="1758"/>
      <c r="I154" s="1758"/>
      <c r="J154" s="1758"/>
      <c r="K154" s="1758"/>
      <c r="L154" s="1758"/>
      <c r="M154" s="1758"/>
      <c r="N154" s="1758"/>
      <c r="O154" s="1758"/>
      <c r="P154" s="1758"/>
      <c r="Q154" s="1758"/>
      <c r="R154" s="1758"/>
      <c r="S154" s="1758"/>
      <c r="T154" s="465" cm="1" t="str">
        <f t="array" ref="T154:T154">T153</f>
        <v>true</v>
      </c>
      <c r="U154" s="1758"/>
      <c r="V154" s="1758"/>
      <c r="W154" s="1758"/>
      <c r="X154" s="1563"/>
      <c r="Y154" s="1758"/>
      <c r="Z154" s="1546"/>
      <c r="AA154" s="1758"/>
      <c r="AB154" s="299" t="s">
        <v>2057</v>
      </c>
      <c r="AC154" s="768" t="s">
        <v>2058</v>
      </c>
      <c r="AD154" s="300" t="s">
        <v>1514</v>
      </c>
      <c r="AE154" s="772"/>
      <c r="AF154" s="772"/>
      <c r="AG154" s="772"/>
      <c r="AH154" s="772"/>
      <c r="AI154" s="772"/>
      <c r="AJ154" s="772"/>
      <c r="AK154" s="772"/>
      <c r="AL154" s="772"/>
      <c r="AM154" s="772"/>
      <c r="AN154" s="772"/>
      <c r="AO154" s="772"/>
      <c r="AP154" s="3557"/>
      <c r="AQ154" s="3557"/>
      <c r="AR154" s="3557"/>
      <c r="AS154" s="3557"/>
      <c r="AT154" s="3557"/>
      <c r="AU154" s="772"/>
      <c r="AV154" s="772"/>
      <c r="AW154" s="772"/>
      <c r="AX154" s="772"/>
      <c r="AY154" s="772"/>
      <c r="AZ154" s="3557"/>
      <c r="BA154" s="3557"/>
      <c r="BB154" s="3557"/>
      <c r="BC154" s="3557"/>
      <c r="BD154" s="3557"/>
      <c r="BE154" s="774"/>
      <c r="BF154" s="1758"/>
      <c r="BG154" s="1758"/>
      <c r="BH154" s="997" t="s">
        <v>2059</v>
      </c>
    </row>
    <row s="1834" customFormat="1" customHeight="1" ht="44.25">
      <c r="A155" s="1758"/>
      <c r="B155" s="122">
        <f>InvestmentSources_is_one_block="нет"</f>
        <v>1</v>
      </c>
      <c r="C155" s="1758"/>
      <c r="D155" s="1758"/>
      <c r="E155" s="618">
        <v>45.75</v>
      </c>
      <c r="F155" s="50" cm="1" t="str">
        <f t="array" ref="F155:F155">OFFSET(E155,-1,1)</f>
        <v>3</v>
      </c>
      <c r="G155" s="1758"/>
      <c r="H155" s="1758"/>
      <c r="I155" s="1758"/>
      <c r="J155" s="1758"/>
      <c r="K155" s="1758"/>
      <c r="L155" s="1758"/>
      <c r="M155" s="1758"/>
      <c r="N155" s="1758"/>
      <c r="O155" s="1758"/>
      <c r="P155" s="1758"/>
      <c r="Q155" s="1758"/>
      <c r="R155" s="1758"/>
      <c r="S155" s="1758"/>
      <c r="T155" s="465" cm="1" t="str">
        <f t="array" ref="T155:T155">T154</f>
        <v>true</v>
      </c>
      <c r="U155" s="1758"/>
      <c r="V155" s="1758"/>
      <c r="W155" s="1758"/>
      <c r="X155" s="1563"/>
      <c r="Y155" s="1758"/>
      <c r="Z155" s="1546"/>
      <c r="AA155" s="1758"/>
      <c r="AB155" s="299" t="s">
        <v>2060</v>
      </c>
      <c r="AC155" s="768" t="s">
        <v>2061</v>
      </c>
      <c r="AD155" s="300" t="s">
        <v>1514</v>
      </c>
      <c r="AE155" s="772"/>
      <c r="AF155" s="772"/>
      <c r="AG155" s="772"/>
      <c r="AH155" s="772"/>
      <c r="AI155" s="772"/>
      <c r="AJ155" s="772"/>
      <c r="AK155" s="772"/>
      <c r="AL155" s="772"/>
      <c r="AM155" s="772"/>
      <c r="AN155" s="772"/>
      <c r="AO155" s="772"/>
      <c r="AP155" s="3557"/>
      <c r="AQ155" s="3557"/>
      <c r="AR155" s="3557"/>
      <c r="AS155" s="3557"/>
      <c r="AT155" s="3557"/>
      <c r="AU155" s="772"/>
      <c r="AV155" s="772"/>
      <c r="AW155" s="772"/>
      <c r="AX155" s="772"/>
      <c r="AY155" s="772"/>
      <c r="AZ155" s="3557"/>
      <c r="BA155" s="3557"/>
      <c r="BB155" s="3557"/>
      <c r="BC155" s="3557"/>
      <c r="BD155" s="3557"/>
      <c r="BE155" s="774"/>
      <c r="BF155" s="1758"/>
      <c r="BG155" s="1758"/>
      <c r="BH155" s="997" t="s">
        <v>2062</v>
      </c>
    </row>
    <row s="1834" customFormat="1" customHeight="1" ht="21.75">
      <c r="A156" s="1758"/>
      <c r="B156" s="122">
        <f>InvestmentSources_is_one_block="нет"</f>
        <v>1</v>
      </c>
      <c r="C156" s="1758"/>
      <c r="D156" s="1758"/>
      <c r="E156" s="618">
        <v>22.5</v>
      </c>
      <c r="F156" s="50" cm="1" t="str">
        <f t="array" ref="F156:F156">OFFSET(E156,-1,1)</f>
        <v>3</v>
      </c>
      <c r="G156" s="1758"/>
      <c r="H156" s="1758"/>
      <c r="I156" s="1758"/>
      <c r="J156" s="1758"/>
      <c r="K156" s="1758"/>
      <c r="L156" s="1758"/>
      <c r="M156" s="1758"/>
      <c r="N156" s="1758"/>
      <c r="O156" s="1758"/>
      <c r="P156" s="1758"/>
      <c r="Q156" s="1758"/>
      <c r="R156" s="1758"/>
      <c r="S156" s="1758"/>
      <c r="T156" s="465" cm="1" t="str">
        <f t="array" ref="T156:T156">T155</f>
        <v>true</v>
      </c>
      <c r="U156" s="1758"/>
      <c r="V156" s="1758"/>
      <c r="W156" s="1758"/>
      <c r="X156" s="1563"/>
      <c r="Y156" s="1758"/>
      <c r="Z156" s="1546"/>
      <c r="AA156" s="1758"/>
      <c r="AB156" s="299" t="s">
        <v>2063</v>
      </c>
      <c r="AC156" s="768" t="s">
        <v>2064</v>
      </c>
      <c r="AD156" s="300" t="s">
        <v>1514</v>
      </c>
      <c r="AE156" s="772"/>
      <c r="AF156" s="772"/>
      <c r="AG156" s="772"/>
      <c r="AH156" s="772"/>
      <c r="AI156" s="772"/>
      <c r="AJ156" s="772"/>
      <c r="AK156" s="772"/>
      <c r="AL156" s="772"/>
      <c r="AM156" s="772"/>
      <c r="AN156" s="772"/>
      <c r="AO156" s="772"/>
      <c r="AP156" s="3557"/>
      <c r="AQ156" s="3557"/>
      <c r="AR156" s="3557"/>
      <c r="AS156" s="3557"/>
      <c r="AT156" s="3557"/>
      <c r="AU156" s="772"/>
      <c r="AV156" s="772"/>
      <c r="AW156" s="772"/>
      <c r="AX156" s="772"/>
      <c r="AY156" s="772"/>
      <c r="AZ156" s="3557"/>
      <c r="BA156" s="3557"/>
      <c r="BB156" s="3557"/>
      <c r="BC156" s="3557"/>
      <c r="BD156" s="3557"/>
      <c r="BE156" s="774"/>
      <c r="BF156" s="1758"/>
      <c r="BG156" s="1758"/>
      <c r="BH156" s="997" t="s">
        <v>2065</v>
      </c>
    </row>
    <row s="1834" customFormat="1" customHeight="1" ht="14.25">
      <c r="A157" s="1758"/>
      <c r="B157" s="122">
        <f>InvestmentSources_is_one_block="нет"</f>
        <v>1</v>
      </c>
      <c r="C157" s="1758"/>
      <c r="D157" s="1758"/>
      <c r="E157" s="618">
        <v>15</v>
      </c>
      <c r="F157" s="50" cm="1" t="str">
        <f t="array" ref="F157:F157">OFFSET(E157,-1,1)</f>
        <v>3</v>
      </c>
      <c r="G157" s="1758"/>
      <c r="H157" s="122" t="s">
        <v>1179</v>
      </c>
      <c r="I157" s="1758"/>
      <c r="J157" s="1758"/>
      <c r="K157" s="1758"/>
      <c r="L157" s="1758"/>
      <c r="M157" s="1758"/>
      <c r="N157" s="1758"/>
      <c r="O157" s="1758"/>
      <c r="P157" s="1758"/>
      <c r="Q157" s="1758"/>
      <c r="R157" s="1758"/>
      <c r="S157" s="1758"/>
      <c r="T157" s="465" cm="1" t="str">
        <f t="array" ref="T157:T157">T156</f>
        <v>true</v>
      </c>
      <c r="U157" s="1758"/>
      <c r="V157" s="1758"/>
      <c r="W157" s="1758"/>
      <c r="X157" s="1563"/>
      <c r="Y157" s="1758"/>
      <c r="Z157" s="1546"/>
      <c r="AA157" s="1758"/>
      <c r="AB157" s="299" t="s">
        <v>1631</v>
      </c>
      <c r="AC157" s="762" t="s">
        <v>2066</v>
      </c>
      <c r="AD157" s="300" t="s">
        <v>1514</v>
      </c>
      <c r="AE157" s="783">
        <f>AE158+AE159+AE160</f>
        <v>0</v>
      </c>
      <c r="AF157" s="783">
        <f>AF158+AF159+AF160</f>
        <v>0</v>
      </c>
      <c r="AG157" s="783">
        <f>AG158+AG159+AG160</f>
        <v>0</v>
      </c>
      <c r="AH157" s="783">
        <f>AH158+AH159+AH160</f>
        <v>0</v>
      </c>
      <c r="AI157" s="783">
        <f>AI158+AI159+AI160</f>
        <v>0</v>
      </c>
      <c r="AJ157" s="783">
        <f>AJ158+AJ159+AJ160</f>
        <v>0</v>
      </c>
      <c r="AK157" s="783">
        <f>AK158+AK159+AK160</f>
        <v>0</v>
      </c>
      <c r="AL157" s="783">
        <f>AL158+AL159+AL160</f>
        <v>0</v>
      </c>
      <c r="AM157" s="783">
        <f>AM158+AM159+AM160</f>
        <v>0</v>
      </c>
      <c r="AN157" s="783">
        <f>AN158+AN159+AN160</f>
        <v>0</v>
      </c>
      <c r="AO157" s="783">
        <f>AO158+AO159+AO160</f>
        <v>0</v>
      </c>
      <c r="AP157" s="783">
        <f>AP158+AP159+AP160</f>
        <v>0</v>
      </c>
      <c r="AQ157" s="783">
        <f>AQ158+AQ159+AQ160</f>
        <v>0</v>
      </c>
      <c r="AR157" s="783">
        <f>AR158+AR159+AR160</f>
        <v>0</v>
      </c>
      <c r="AS157" s="783">
        <f>AS158+AS159+AS160</f>
        <v>0</v>
      </c>
      <c r="AT157" s="783">
        <f>AT158+AT159+AT160</f>
        <v>0</v>
      </c>
      <c r="AU157" s="783">
        <f>AU158+AU159+AU160</f>
        <v>0</v>
      </c>
      <c r="AV157" s="783">
        <f>AV158+AV159+AV160</f>
        <v>0</v>
      </c>
      <c r="AW157" s="783">
        <f>AW158+AW159+AW160</f>
        <v>0</v>
      </c>
      <c r="AX157" s="783">
        <f>AX158+AX159+AX160</f>
        <v>0</v>
      </c>
      <c r="AY157" s="783">
        <f>AY158+AY159+AY160</f>
        <v>0</v>
      </c>
      <c r="AZ157" s="783">
        <f>AZ158+AZ159+AZ160</f>
        <v>0</v>
      </c>
      <c r="BA157" s="783">
        <f>BA158+BA159+BA160</f>
        <v>0</v>
      </c>
      <c r="BB157" s="783">
        <f>BB158+BB159+BB160</f>
        <v>0</v>
      </c>
      <c r="BC157" s="783">
        <f>BC158+BC159+BC160</f>
        <v>0</v>
      </c>
      <c r="BD157" s="783">
        <f>BD158+BD159+BD160</f>
        <v>0</v>
      </c>
      <c r="BE157" s="774"/>
      <c r="BF157" s="1758"/>
      <c r="BG157" s="1758"/>
      <c r="BH157" s="997" t="s">
        <v>2067</v>
      </c>
    </row>
    <row s="1834" customFormat="1" customHeight="1" ht="14.25">
      <c r="A158" s="1758"/>
      <c r="B158" s="122">
        <f>InvestmentSources_is_one_block="нет"</f>
        <v>1</v>
      </c>
      <c r="C158" s="1758"/>
      <c r="D158" s="1758"/>
      <c r="E158" s="618">
        <v>15</v>
      </c>
      <c r="F158" s="50" cm="1" t="str">
        <f t="array" ref="F158:F158">OFFSET(E158,-1,1)</f>
        <v>3</v>
      </c>
      <c r="G158" s="1758"/>
      <c r="H158" s="122" t="s">
        <v>2068</v>
      </c>
      <c r="I158" s="1758"/>
      <c r="J158" s="1758"/>
      <c r="K158" s="1758"/>
      <c r="L158" s="1758"/>
      <c r="M158" s="1758"/>
      <c r="N158" s="1758"/>
      <c r="O158" s="1758"/>
      <c r="P158" s="1758"/>
      <c r="Q158" s="1758"/>
      <c r="R158" s="1758"/>
      <c r="S158" s="1758"/>
      <c r="T158" s="465" cm="1" t="str">
        <f t="array" ref="T158:T158">T157</f>
        <v>true</v>
      </c>
      <c r="U158" s="1758"/>
      <c r="V158" s="1758"/>
      <c r="W158" s="1758"/>
      <c r="X158" s="1563"/>
      <c r="Y158" s="1758"/>
      <c r="Z158" s="1546"/>
      <c r="AA158" s="1758"/>
      <c r="AB158" s="299" t="s">
        <v>2069</v>
      </c>
      <c r="AC158" s="765" t="s">
        <v>2070</v>
      </c>
      <c r="AD158" s="300" t="s">
        <v>1514</v>
      </c>
      <c r="AE158" s="772"/>
      <c r="AF158" s="772"/>
      <c r="AG158" s="772"/>
      <c r="AH158" s="772"/>
      <c r="AI158" s="772"/>
      <c r="AJ158" s="772"/>
      <c r="AK158" s="772"/>
      <c r="AL158" s="772"/>
      <c r="AM158" s="772"/>
      <c r="AN158" s="772"/>
      <c r="AO158" s="772"/>
      <c r="AP158" s="3557"/>
      <c r="AQ158" s="3557"/>
      <c r="AR158" s="3557"/>
      <c r="AS158" s="3557"/>
      <c r="AT158" s="3557"/>
      <c r="AU158" s="772"/>
      <c r="AV158" s="772"/>
      <c r="AW158" s="772"/>
      <c r="AX158" s="772"/>
      <c r="AY158" s="772"/>
      <c r="AZ158" s="3557"/>
      <c r="BA158" s="3557"/>
      <c r="BB158" s="3557"/>
      <c r="BC158" s="3557"/>
      <c r="BD158" s="3557"/>
      <c r="BE158" s="774"/>
      <c r="BF158" s="1758"/>
      <c r="BG158" s="1758"/>
      <c r="BH158" s="997" t="s">
        <v>1991</v>
      </c>
    </row>
    <row s="1834" customFormat="1" customHeight="1" ht="14.25">
      <c r="A159" s="1758"/>
      <c r="B159" s="122">
        <f>InvestmentSources_is_one_block="нет"</f>
        <v>1</v>
      </c>
      <c r="C159" s="1758"/>
      <c r="D159" s="1758"/>
      <c r="E159" s="618">
        <v>15</v>
      </c>
      <c r="F159" s="50" cm="1" t="str">
        <f t="array" ref="F159:F159">OFFSET(E159,-1,1)</f>
        <v>3</v>
      </c>
      <c r="G159" s="1758"/>
      <c r="H159" s="122" t="s">
        <v>2071</v>
      </c>
      <c r="I159" s="1758"/>
      <c r="J159" s="1758"/>
      <c r="K159" s="1758"/>
      <c r="L159" s="1758"/>
      <c r="M159" s="1758"/>
      <c r="N159" s="1758"/>
      <c r="O159" s="1758"/>
      <c r="P159" s="1758"/>
      <c r="Q159" s="1758"/>
      <c r="R159" s="1758"/>
      <c r="S159" s="1758"/>
      <c r="T159" s="465" cm="1" t="str">
        <f t="array" ref="T159:T159">T158</f>
        <v>true</v>
      </c>
      <c r="U159" s="1758"/>
      <c r="V159" s="1758"/>
      <c r="W159" s="1758"/>
      <c r="X159" s="1563"/>
      <c r="Y159" s="1758"/>
      <c r="Z159" s="1546"/>
      <c r="AA159" s="1758"/>
      <c r="AB159" s="299" t="s">
        <v>2072</v>
      </c>
      <c r="AC159" s="765" t="s">
        <v>2073</v>
      </c>
      <c r="AD159" s="300" t="s">
        <v>1514</v>
      </c>
      <c r="AE159" s="772"/>
      <c r="AF159" s="772"/>
      <c r="AG159" s="772"/>
      <c r="AH159" s="772"/>
      <c r="AI159" s="772"/>
      <c r="AJ159" s="772"/>
      <c r="AK159" s="772"/>
      <c r="AL159" s="772"/>
      <c r="AM159" s="772"/>
      <c r="AN159" s="772"/>
      <c r="AO159" s="772"/>
      <c r="AP159" s="3557"/>
      <c r="AQ159" s="3557"/>
      <c r="AR159" s="3557"/>
      <c r="AS159" s="3557"/>
      <c r="AT159" s="3557"/>
      <c r="AU159" s="772"/>
      <c r="AV159" s="772"/>
      <c r="AW159" s="772"/>
      <c r="AX159" s="772"/>
      <c r="AY159" s="772"/>
      <c r="AZ159" s="3557"/>
      <c r="BA159" s="3557"/>
      <c r="BB159" s="3557"/>
      <c r="BC159" s="3557"/>
      <c r="BD159" s="3557"/>
      <c r="BE159" s="774"/>
      <c r="BF159" s="1758"/>
      <c r="BG159" s="1758"/>
      <c r="BH159" s="997" t="s">
        <v>2074</v>
      </c>
    </row>
    <row s="1834" customFormat="1" customHeight="1" ht="14.25">
      <c r="A160" s="1758"/>
      <c r="B160" s="122">
        <f>InvestmentSources_is_one_block="нет"</f>
        <v>1</v>
      </c>
      <c r="C160" s="1758"/>
      <c r="D160" s="1758"/>
      <c r="E160" s="618">
        <v>15</v>
      </c>
      <c r="F160" s="50" cm="1" t="str">
        <f t="array" ref="F160:F160">OFFSET(E160,-1,1)</f>
        <v>3</v>
      </c>
      <c r="G160" s="1758"/>
      <c r="H160" s="122" t="s">
        <v>2075</v>
      </c>
      <c r="I160" s="1758"/>
      <c r="J160" s="1758"/>
      <c r="K160" s="1758"/>
      <c r="L160" s="1758"/>
      <c r="M160" s="1758"/>
      <c r="N160" s="1758"/>
      <c r="O160" s="1758"/>
      <c r="P160" s="1758"/>
      <c r="Q160" s="1758"/>
      <c r="R160" s="1758"/>
      <c r="S160" s="1758"/>
      <c r="T160" s="465" cm="1" t="str">
        <f t="array" ref="T160:T160">T159</f>
        <v>true</v>
      </c>
      <c r="U160" s="1758"/>
      <c r="V160" s="1758"/>
      <c r="W160" s="1758"/>
      <c r="X160" s="1563"/>
      <c r="Y160" s="1758"/>
      <c r="Z160" s="1546"/>
      <c r="AA160" s="1758"/>
      <c r="AB160" s="299" t="s">
        <v>2076</v>
      </c>
      <c r="AC160" s="765" t="s">
        <v>2077</v>
      </c>
      <c r="AD160" s="300" t="s">
        <v>1514</v>
      </c>
      <c r="AE160" s="772"/>
      <c r="AF160" s="772"/>
      <c r="AG160" s="772"/>
      <c r="AH160" s="772"/>
      <c r="AI160" s="772"/>
      <c r="AJ160" s="772"/>
      <c r="AK160" s="772"/>
      <c r="AL160" s="772"/>
      <c r="AM160" s="772"/>
      <c r="AN160" s="772"/>
      <c r="AO160" s="772"/>
      <c r="AP160" s="3557"/>
      <c r="AQ160" s="3557"/>
      <c r="AR160" s="3557"/>
      <c r="AS160" s="3557"/>
      <c r="AT160" s="3557"/>
      <c r="AU160" s="772"/>
      <c r="AV160" s="772"/>
      <c r="AW160" s="772"/>
      <c r="AX160" s="772"/>
      <c r="AY160" s="772"/>
      <c r="AZ160" s="3557"/>
      <c r="BA160" s="3557"/>
      <c r="BB160" s="3557"/>
      <c r="BC160" s="3557"/>
      <c r="BD160" s="3557"/>
      <c r="BE160" s="774"/>
      <c r="BF160" s="1758"/>
      <c r="BG160" s="1758"/>
      <c r="BH160" s="997" t="s">
        <v>2078</v>
      </c>
    </row>
    <row s="1834" customFormat="1" customHeight="1" ht="14.25">
      <c r="A161" s="1758"/>
      <c r="B161" s="122">
        <f>InvestmentSources_is_one_block="нет"</f>
        <v>1</v>
      </c>
      <c r="C161" s="1758"/>
      <c r="D161" s="1758"/>
      <c r="E161" s="618">
        <v>15</v>
      </c>
      <c r="F161" s="50" cm="1" t="str">
        <f t="array" ref="F161:F161">OFFSET(E161,-1,1)</f>
        <v>3</v>
      </c>
      <c r="G161" s="1758"/>
      <c r="H161" s="122" t="s">
        <v>1182</v>
      </c>
      <c r="I161" s="1758"/>
      <c r="J161" s="1758"/>
      <c r="K161" s="1758"/>
      <c r="L161" s="1758"/>
      <c r="M161" s="1758"/>
      <c r="N161" s="1758"/>
      <c r="O161" s="1758"/>
      <c r="P161" s="1758"/>
      <c r="Q161" s="1758"/>
      <c r="R161" s="1758"/>
      <c r="S161" s="1758"/>
      <c r="T161" s="465" cm="1" t="str">
        <f t="array" ref="T161:T161">T160</f>
        <v>true</v>
      </c>
      <c r="U161" s="1758"/>
      <c r="V161" s="1758"/>
      <c r="W161" s="1758"/>
      <c r="X161" s="1563"/>
      <c r="Y161" s="1758"/>
      <c r="Z161" s="1546"/>
      <c r="AA161" s="1758"/>
      <c r="AB161" s="299" t="s">
        <v>1634</v>
      </c>
      <c r="AC161" s="762" t="s">
        <v>2079</v>
      </c>
      <c r="AD161" s="300" t="s">
        <v>1514</v>
      </c>
      <c r="AE161" s="783">
        <f>AE162+AE163+AE164</f>
        <v>0</v>
      </c>
      <c r="AF161" s="783">
        <f>AF162+AF163+AF164</f>
        <v>0</v>
      </c>
      <c r="AG161" s="783">
        <f>AG162+AG163+AG164</f>
        <v>0</v>
      </c>
      <c r="AH161" s="783">
        <f>AH162+AH163+AH164</f>
        <v>0</v>
      </c>
      <c r="AI161" s="783">
        <f>AI162+AI163+AI164</f>
        <v>0</v>
      </c>
      <c r="AJ161" s="783">
        <f>AJ162+AJ163+AJ164</f>
        <v>0</v>
      </c>
      <c r="AK161" s="783">
        <f>AK162+AK163+AK164</f>
        <v>0</v>
      </c>
      <c r="AL161" s="783">
        <f>AL162+AL163+AL164</f>
        <v>0</v>
      </c>
      <c r="AM161" s="783">
        <f>AM162+AM163+AM164</f>
        <v>0</v>
      </c>
      <c r="AN161" s="783">
        <f>AN162+AN163+AN164</f>
        <v>0</v>
      </c>
      <c r="AO161" s="783">
        <f>AO162+AO163+AO164</f>
        <v>0</v>
      </c>
      <c r="AP161" s="783">
        <f>AP162+AP163+AP164</f>
        <v>0</v>
      </c>
      <c r="AQ161" s="783">
        <f>AQ162+AQ163+AQ164</f>
        <v>0</v>
      </c>
      <c r="AR161" s="783">
        <f>AR162+AR163+AR164</f>
        <v>0</v>
      </c>
      <c r="AS161" s="783">
        <f>AS162+AS163+AS164</f>
        <v>0</v>
      </c>
      <c r="AT161" s="783">
        <f>AT162+AT163+AT164</f>
        <v>0</v>
      </c>
      <c r="AU161" s="783">
        <f>AU162+AU163+AU164</f>
        <v>0</v>
      </c>
      <c r="AV161" s="783">
        <f>AV162+AV163+AV164</f>
        <v>0</v>
      </c>
      <c r="AW161" s="783">
        <f>AW162+AW163+AW164</f>
        <v>0</v>
      </c>
      <c r="AX161" s="783">
        <f>AX162+AX163+AX164</f>
        <v>0</v>
      </c>
      <c r="AY161" s="783">
        <f>AY162+AY163+AY164</f>
        <v>0</v>
      </c>
      <c r="AZ161" s="783">
        <f>AZ162+AZ163+AZ164</f>
        <v>0</v>
      </c>
      <c r="BA161" s="783">
        <f>BA162+BA163+BA164</f>
        <v>0</v>
      </c>
      <c r="BB161" s="783">
        <f>BB162+BB163+BB164</f>
        <v>0</v>
      </c>
      <c r="BC161" s="783">
        <f>BC162+BC163+BC164</f>
        <v>0</v>
      </c>
      <c r="BD161" s="783">
        <f>BD162+BD163+BD164</f>
        <v>0</v>
      </c>
      <c r="BE161" s="774"/>
      <c r="BF161" s="1758"/>
      <c r="BG161" s="1758"/>
      <c r="BH161" s="997" t="s">
        <v>2080</v>
      </c>
    </row>
    <row s="1834" customFormat="1" customHeight="1" ht="14.25">
      <c r="A162" s="1758"/>
      <c r="B162" s="122">
        <f>InvestmentSources_is_one_block="нет"</f>
        <v>1</v>
      </c>
      <c r="C162" s="1758"/>
      <c r="D162" s="1758"/>
      <c r="E162" s="618">
        <v>15</v>
      </c>
      <c r="F162" s="50" cm="1" t="str">
        <f t="array" ref="F162:F162">OFFSET(E162,-1,1)</f>
        <v>3</v>
      </c>
      <c r="G162" s="1758"/>
      <c r="H162" s="122" t="s">
        <v>2081</v>
      </c>
      <c r="I162" s="1758"/>
      <c r="J162" s="1758"/>
      <c r="K162" s="1758"/>
      <c r="L162" s="1758"/>
      <c r="M162" s="1758"/>
      <c r="N162" s="1758"/>
      <c r="O162" s="1758"/>
      <c r="P162" s="1758"/>
      <c r="Q162" s="1758"/>
      <c r="R162" s="1758"/>
      <c r="S162" s="1758"/>
      <c r="T162" s="465" cm="1" t="str">
        <f t="array" ref="T162:T162">T161</f>
        <v>true</v>
      </c>
      <c r="U162" s="1758"/>
      <c r="V162" s="1758"/>
      <c r="W162" s="1758"/>
      <c r="X162" s="1563"/>
      <c r="Y162" s="1758"/>
      <c r="Z162" s="1546"/>
      <c r="AA162" s="1758"/>
      <c r="AB162" s="299" t="s">
        <v>2082</v>
      </c>
      <c r="AC162" s="765" t="s">
        <v>2083</v>
      </c>
      <c r="AD162" s="300" t="s">
        <v>1514</v>
      </c>
      <c r="AE162" s="772"/>
      <c r="AF162" s="772"/>
      <c r="AG162" s="772"/>
      <c r="AH162" s="772"/>
      <c r="AI162" s="772"/>
      <c r="AJ162" s="772"/>
      <c r="AK162" s="772"/>
      <c r="AL162" s="772"/>
      <c r="AM162" s="772"/>
      <c r="AN162" s="772"/>
      <c r="AO162" s="772"/>
      <c r="AP162" s="3557"/>
      <c r="AQ162" s="3557"/>
      <c r="AR162" s="3557"/>
      <c r="AS162" s="3557"/>
      <c r="AT162" s="3557"/>
      <c r="AU162" s="772"/>
      <c r="AV162" s="772"/>
      <c r="AW162" s="772"/>
      <c r="AX162" s="772"/>
      <c r="AY162" s="772"/>
      <c r="AZ162" s="3557"/>
      <c r="BA162" s="3557"/>
      <c r="BB162" s="3557"/>
      <c r="BC162" s="3557"/>
      <c r="BD162" s="3557"/>
      <c r="BE162" s="774"/>
      <c r="BF162" s="1758"/>
      <c r="BG162" s="1758"/>
      <c r="BH162" s="997" t="s">
        <v>2084</v>
      </c>
    </row>
    <row s="1834" customFormat="1" customHeight="1" ht="14.25">
      <c r="A163" s="1758"/>
      <c r="B163" s="122">
        <f>InvestmentSources_is_one_block="нет"</f>
        <v>1</v>
      </c>
      <c r="C163" s="1758"/>
      <c r="D163" s="1758"/>
      <c r="E163" s="618">
        <v>15</v>
      </c>
      <c r="F163" s="50" cm="1" t="str">
        <f t="array" ref="F163:F163">OFFSET(E163,-1,1)</f>
        <v>3</v>
      </c>
      <c r="G163" s="1758"/>
      <c r="H163" s="122" t="s">
        <v>2085</v>
      </c>
      <c r="I163" s="1758"/>
      <c r="J163" s="1758"/>
      <c r="K163" s="1758"/>
      <c r="L163" s="1758"/>
      <c r="M163" s="1758"/>
      <c r="N163" s="1758"/>
      <c r="O163" s="1758"/>
      <c r="P163" s="1758"/>
      <c r="Q163" s="1758"/>
      <c r="R163" s="1758"/>
      <c r="S163" s="1758"/>
      <c r="T163" s="465" cm="1" t="str">
        <f t="array" ref="T163:T163">T162</f>
        <v>true</v>
      </c>
      <c r="U163" s="1758"/>
      <c r="V163" s="1758"/>
      <c r="W163" s="1758"/>
      <c r="X163" s="1563"/>
      <c r="Y163" s="1758"/>
      <c r="Z163" s="1546"/>
      <c r="AA163" s="1758"/>
      <c r="AB163" s="299" t="s">
        <v>2086</v>
      </c>
      <c r="AC163" s="765" t="s">
        <v>2087</v>
      </c>
      <c r="AD163" s="300" t="s">
        <v>1514</v>
      </c>
      <c r="AE163" s="772"/>
      <c r="AF163" s="772"/>
      <c r="AG163" s="772"/>
      <c r="AH163" s="772"/>
      <c r="AI163" s="772"/>
      <c r="AJ163" s="772"/>
      <c r="AK163" s="772"/>
      <c r="AL163" s="772"/>
      <c r="AM163" s="772"/>
      <c r="AN163" s="772"/>
      <c r="AO163" s="772"/>
      <c r="AP163" s="3557"/>
      <c r="AQ163" s="3557"/>
      <c r="AR163" s="3557"/>
      <c r="AS163" s="3557"/>
      <c r="AT163" s="3557"/>
      <c r="AU163" s="772"/>
      <c r="AV163" s="772"/>
      <c r="AW163" s="772"/>
      <c r="AX163" s="772"/>
      <c r="AY163" s="772"/>
      <c r="AZ163" s="3557"/>
      <c r="BA163" s="3557"/>
      <c r="BB163" s="3557"/>
      <c r="BC163" s="3557"/>
      <c r="BD163" s="3557"/>
      <c r="BE163" s="774"/>
      <c r="BF163" s="1758"/>
      <c r="BG163" s="1758"/>
      <c r="BH163" s="997" t="s">
        <v>2088</v>
      </c>
    </row>
    <row s="1834" customFormat="1" customHeight="1" ht="14.25">
      <c r="A164" s="1758"/>
      <c r="B164" s="122">
        <f>InvestmentSources_is_one_block="нет"</f>
        <v>1</v>
      </c>
      <c r="C164" s="1758"/>
      <c r="D164" s="1758"/>
      <c r="E164" s="618">
        <v>15</v>
      </c>
      <c r="F164" s="50" cm="1" t="str">
        <f t="array" ref="F164:F164">OFFSET(E164,-1,1)</f>
        <v>3</v>
      </c>
      <c r="G164" s="1758"/>
      <c r="H164" s="122" t="s">
        <v>2089</v>
      </c>
      <c r="I164" s="1758"/>
      <c r="J164" s="1758"/>
      <c r="K164" s="1758"/>
      <c r="L164" s="1758"/>
      <c r="M164" s="1758"/>
      <c r="N164" s="1758"/>
      <c r="O164" s="1758"/>
      <c r="P164" s="1758"/>
      <c r="Q164" s="1758"/>
      <c r="R164" s="1758"/>
      <c r="S164" s="1758"/>
      <c r="T164" s="465" cm="1" t="str">
        <f t="array" ref="T164:T164">T163</f>
        <v>true</v>
      </c>
      <c r="U164" s="1758"/>
      <c r="V164" s="1758"/>
      <c r="W164" s="1758"/>
      <c r="X164" s="1563"/>
      <c r="Y164" s="1758"/>
      <c r="Z164" s="1546"/>
      <c r="AA164" s="1758"/>
      <c r="AB164" s="299" t="s">
        <v>2090</v>
      </c>
      <c r="AC164" s="765" t="s">
        <v>2091</v>
      </c>
      <c r="AD164" s="300" t="s">
        <v>1514</v>
      </c>
      <c r="AE164" s="772"/>
      <c r="AF164" s="772"/>
      <c r="AG164" s="772"/>
      <c r="AH164" s="772"/>
      <c r="AI164" s="772"/>
      <c r="AJ164" s="772"/>
      <c r="AK164" s="772"/>
      <c r="AL164" s="772"/>
      <c r="AM164" s="772"/>
      <c r="AN164" s="772"/>
      <c r="AO164" s="772"/>
      <c r="AP164" s="3557"/>
      <c r="AQ164" s="3557"/>
      <c r="AR164" s="3557"/>
      <c r="AS164" s="3557"/>
      <c r="AT164" s="3557"/>
      <c r="AU164" s="772"/>
      <c r="AV164" s="772"/>
      <c r="AW164" s="772"/>
      <c r="AX164" s="772"/>
      <c r="AY164" s="772"/>
      <c r="AZ164" s="3557"/>
      <c r="BA164" s="3557"/>
      <c r="BB164" s="3557"/>
      <c r="BC164" s="3557"/>
      <c r="BD164" s="3557"/>
      <c r="BE164" s="774"/>
      <c r="BF164" s="1758"/>
      <c r="BG164" s="1758"/>
      <c r="BH164" s="997" t="s">
        <v>2092</v>
      </c>
    </row>
    <row s="1834" customFormat="1" customHeight="1" ht="14.25">
      <c r="A165" s="1758"/>
      <c r="B165" s="122">
        <f>InvestmentSources_is_one_block="нет"</f>
        <v>1</v>
      </c>
      <c r="C165" s="1758"/>
      <c r="D165" s="1758"/>
      <c r="E165" s="618">
        <v>15</v>
      </c>
      <c r="F165" s="50" cm="1" t="str">
        <f t="array" ref="F165:F165">OFFSET(E165,-1,1)</f>
        <v>3</v>
      </c>
      <c r="G165" s="1758"/>
      <c r="H165" s="122" t="s">
        <v>1186</v>
      </c>
      <c r="I165" s="1758"/>
      <c r="J165" s="1758"/>
      <c r="K165" s="1758"/>
      <c r="L165" s="1758"/>
      <c r="M165" s="1758"/>
      <c r="N165" s="1758"/>
      <c r="O165" s="1758"/>
      <c r="P165" s="1758"/>
      <c r="Q165" s="1758"/>
      <c r="R165" s="1758"/>
      <c r="S165" s="1758"/>
      <c r="T165" s="465" cm="1" t="str">
        <f t="array" ref="T165:T165">T164</f>
        <v>true</v>
      </c>
      <c r="U165" s="1758"/>
      <c r="V165" s="1758"/>
      <c r="W165" s="1758"/>
      <c r="X165" s="1563"/>
      <c r="Y165" s="1758"/>
      <c r="Z165" s="1546"/>
      <c r="AA165" s="1758"/>
      <c r="AB165" s="299" t="s">
        <v>1637</v>
      </c>
      <c r="AC165" s="762" t="s">
        <v>2093</v>
      </c>
      <c r="AD165" s="300" t="s">
        <v>1514</v>
      </c>
      <c r="AE165" s="783">
        <f>AE166+AE167+AE168+AE169</f>
        <v>0</v>
      </c>
      <c r="AF165" s="783">
        <f>AF166+AF167+AF168+AF169</f>
        <v>0</v>
      </c>
      <c r="AG165" s="783">
        <f>AG166+AG167+AG168+AG169</f>
        <v>0</v>
      </c>
      <c r="AH165" s="783">
        <f>AH166+AH167+AH168+AH169</f>
        <v>0</v>
      </c>
      <c r="AI165" s="783">
        <f>AI166+AI167+AI168+AI169</f>
        <v>0</v>
      </c>
      <c r="AJ165" s="783">
        <f>AJ166+AJ167+AJ168+AJ169</f>
        <v>0</v>
      </c>
      <c r="AK165" s="783">
        <f>AK166+AK167+AK168+AK169</f>
        <v>0</v>
      </c>
      <c r="AL165" s="783">
        <f>AL166+AL167+AL168+AL169</f>
        <v>0</v>
      </c>
      <c r="AM165" s="783">
        <f>AM166+AM167+AM168+AM169</f>
        <v>0</v>
      </c>
      <c r="AN165" s="783">
        <f>AN166+AN167+AN168+AN169</f>
        <v>0</v>
      </c>
      <c r="AO165" s="783">
        <f>AO166+AO167+AO168+AO169</f>
        <v>0</v>
      </c>
      <c r="AP165" s="783">
        <f>AP166+AP167+AP168+AP169</f>
        <v>0</v>
      </c>
      <c r="AQ165" s="783">
        <f>AQ166+AQ167+AQ168+AQ169</f>
        <v>0</v>
      </c>
      <c r="AR165" s="783">
        <f>AR166+AR167+AR168+AR169</f>
        <v>0</v>
      </c>
      <c r="AS165" s="783">
        <f>AS166+AS167+AS168+AS169</f>
        <v>0</v>
      </c>
      <c r="AT165" s="783">
        <f>AT166+AT167+AT168+AT169</f>
        <v>0</v>
      </c>
      <c r="AU165" s="783">
        <f>AU166+AU167+AU168+AU169</f>
        <v>0</v>
      </c>
      <c r="AV165" s="783">
        <f>AV166+AV167+AV168+AV169</f>
        <v>0</v>
      </c>
      <c r="AW165" s="783">
        <f>AW166+AW167+AW168+AW169</f>
        <v>0</v>
      </c>
      <c r="AX165" s="783">
        <f>AX166+AX167+AX168+AX169</f>
        <v>0</v>
      </c>
      <c r="AY165" s="783">
        <f>AY166+AY167+AY168+AY169</f>
        <v>0</v>
      </c>
      <c r="AZ165" s="783">
        <f>AZ166+AZ167+AZ168+AZ169</f>
        <v>0</v>
      </c>
      <c r="BA165" s="783">
        <f>BA166+BA167+BA168+BA169</f>
        <v>0</v>
      </c>
      <c r="BB165" s="783">
        <f>BB166+BB167+BB168+BB169</f>
        <v>0</v>
      </c>
      <c r="BC165" s="783">
        <f>BC166+BC167+BC168+BC169</f>
        <v>0</v>
      </c>
      <c r="BD165" s="783">
        <f>BD166+BD167+BD168+BD169</f>
        <v>0</v>
      </c>
      <c r="BE165" s="774"/>
      <c r="BF165" s="1758"/>
      <c r="BG165" s="1758"/>
      <c r="BH165" s="997" t="s">
        <v>2094</v>
      </c>
    </row>
    <row s="1834" customFormat="1" customHeight="1" ht="14.25">
      <c r="A166" s="1758"/>
      <c r="B166" s="122">
        <f>InvestmentSources_is_one_block="нет"</f>
        <v>1</v>
      </c>
      <c r="C166" s="1758"/>
      <c r="D166" s="1758"/>
      <c r="E166" s="618">
        <v>15</v>
      </c>
      <c r="F166" s="50" cm="1" t="str">
        <f t="array" ref="F166:F166">OFFSET(E166,-1,1)</f>
        <v>3</v>
      </c>
      <c r="G166" s="1758"/>
      <c r="H166" s="122" t="s">
        <v>2095</v>
      </c>
      <c r="I166" s="1758"/>
      <c r="J166" s="1758"/>
      <c r="K166" s="1758"/>
      <c r="L166" s="1758"/>
      <c r="M166" s="1758"/>
      <c r="N166" s="1758"/>
      <c r="O166" s="1758"/>
      <c r="P166" s="1758"/>
      <c r="Q166" s="1758"/>
      <c r="R166" s="1758"/>
      <c r="S166" s="1758"/>
      <c r="T166" s="465" cm="1" t="str">
        <f t="array" ref="T166:T166">T165</f>
        <v>true</v>
      </c>
      <c r="U166" s="1758"/>
      <c r="V166" s="1758"/>
      <c r="W166" s="1758"/>
      <c r="X166" s="1563"/>
      <c r="Y166" s="1758"/>
      <c r="Z166" s="1546"/>
      <c r="AA166" s="1758"/>
      <c r="AB166" s="299" t="s">
        <v>1752</v>
      </c>
      <c r="AC166" s="765" t="s">
        <v>1746</v>
      </c>
      <c r="AD166" s="300" t="s">
        <v>1514</v>
      </c>
      <c r="AE166" s="772"/>
      <c r="AF166" s="772"/>
      <c r="AG166" s="772"/>
      <c r="AH166" s="772"/>
      <c r="AI166" s="772"/>
      <c r="AJ166" s="772"/>
      <c r="AK166" s="772"/>
      <c r="AL166" s="772"/>
      <c r="AM166" s="772"/>
      <c r="AN166" s="772"/>
      <c r="AO166" s="772"/>
      <c r="AP166" s="3557"/>
      <c r="AQ166" s="3557"/>
      <c r="AR166" s="3557"/>
      <c r="AS166" s="3557"/>
      <c r="AT166" s="3557"/>
      <c r="AU166" s="772"/>
      <c r="AV166" s="772"/>
      <c r="AW166" s="772"/>
      <c r="AX166" s="772"/>
      <c r="AY166" s="772"/>
      <c r="AZ166" s="3557"/>
      <c r="BA166" s="3557"/>
      <c r="BB166" s="3557"/>
      <c r="BC166" s="3557"/>
      <c r="BD166" s="3557"/>
      <c r="BE166" s="774"/>
      <c r="BF166" s="1758"/>
      <c r="BG166" s="1758"/>
      <c r="BH166" s="997" t="s">
        <v>1748</v>
      </c>
    </row>
    <row s="1834" customFormat="1" customHeight="1" ht="21.75">
      <c r="A167" s="1758"/>
      <c r="B167" s="122">
        <f>InvestmentSources_is_one_block="нет"</f>
        <v>1</v>
      </c>
      <c r="C167" s="1758"/>
      <c r="D167" s="1758"/>
      <c r="E167" s="618">
        <v>22.5</v>
      </c>
      <c r="F167" s="50" cm="1" t="str">
        <f t="array" ref="F167:F167">OFFSET(E167,-1,1)</f>
        <v>3</v>
      </c>
      <c r="G167" s="1758"/>
      <c r="H167" s="122" t="s">
        <v>2096</v>
      </c>
      <c r="I167" s="1758"/>
      <c r="J167" s="1758"/>
      <c r="K167" s="1758"/>
      <c r="L167" s="1758"/>
      <c r="M167" s="1758"/>
      <c r="N167" s="1758"/>
      <c r="O167" s="1758"/>
      <c r="P167" s="1758"/>
      <c r="Q167" s="1758"/>
      <c r="R167" s="1758"/>
      <c r="S167" s="1758"/>
      <c r="T167" s="465" cm="1" t="str">
        <f t="array" ref="T167:T167">T166</f>
        <v>true</v>
      </c>
      <c r="U167" s="1758"/>
      <c r="V167" s="1758"/>
      <c r="W167" s="1758"/>
      <c r="X167" s="1563"/>
      <c r="Y167" s="1758"/>
      <c r="Z167" s="1546"/>
      <c r="AA167" s="1758"/>
      <c r="AB167" s="299" t="s">
        <v>1755</v>
      </c>
      <c r="AC167" s="765" t="s">
        <v>2097</v>
      </c>
      <c r="AD167" s="300" t="s">
        <v>1514</v>
      </c>
      <c r="AE167" s="772"/>
      <c r="AF167" s="772"/>
      <c r="AG167" s="772"/>
      <c r="AH167" s="772"/>
      <c r="AI167" s="772"/>
      <c r="AJ167" s="772"/>
      <c r="AK167" s="772"/>
      <c r="AL167" s="772"/>
      <c r="AM167" s="772"/>
      <c r="AN167" s="772"/>
      <c r="AO167" s="772"/>
      <c r="AP167" s="3557"/>
      <c r="AQ167" s="3557"/>
      <c r="AR167" s="3557"/>
      <c r="AS167" s="3557"/>
      <c r="AT167" s="3557"/>
      <c r="AU167" s="772"/>
      <c r="AV167" s="772"/>
      <c r="AW167" s="772"/>
      <c r="AX167" s="772"/>
      <c r="AY167" s="772"/>
      <c r="AZ167" s="3557"/>
      <c r="BA167" s="3557"/>
      <c r="BB167" s="3557"/>
      <c r="BC167" s="3557"/>
      <c r="BD167" s="3557"/>
      <c r="BE167" s="774"/>
      <c r="BF167" s="1758"/>
      <c r="BG167" s="1758"/>
      <c r="BH167" s="997" t="s">
        <v>2098</v>
      </c>
    </row>
    <row s="1834" customFormat="1" customHeight="1" ht="21.75">
      <c r="A168" s="1758"/>
      <c r="B168" s="122">
        <f>InvestmentSources_is_one_block="нет"</f>
        <v>1</v>
      </c>
      <c r="C168" s="1758"/>
      <c r="D168" s="1758"/>
      <c r="E168" s="618">
        <v>22.5</v>
      </c>
      <c r="F168" s="50" cm="1" t="str">
        <f t="array" ref="F168:F168">OFFSET(E168,-1,1)</f>
        <v>3</v>
      </c>
      <c r="G168" s="1758"/>
      <c r="H168" s="122" t="s">
        <v>2099</v>
      </c>
      <c r="I168" s="1758"/>
      <c r="J168" s="1758"/>
      <c r="K168" s="1758"/>
      <c r="L168" s="1758"/>
      <c r="M168" s="1758"/>
      <c r="N168" s="1758"/>
      <c r="O168" s="1758"/>
      <c r="P168" s="1758"/>
      <c r="Q168" s="1758"/>
      <c r="R168" s="1758"/>
      <c r="S168" s="1758"/>
      <c r="T168" s="465" cm="1" t="str">
        <f t="array" ref="T168:T168">T167</f>
        <v>true</v>
      </c>
      <c r="U168" s="1758"/>
      <c r="V168" s="1758"/>
      <c r="W168" s="1758"/>
      <c r="X168" s="1563"/>
      <c r="Y168" s="1758"/>
      <c r="Z168" s="1546"/>
      <c r="AA168" s="1758"/>
      <c r="AB168" s="299" t="s">
        <v>2100</v>
      </c>
      <c r="AC168" s="765" t="s">
        <v>2101</v>
      </c>
      <c r="AD168" s="300" t="s">
        <v>1514</v>
      </c>
      <c r="AE168" s="772"/>
      <c r="AF168" s="772"/>
      <c r="AG168" s="772"/>
      <c r="AH168" s="772"/>
      <c r="AI168" s="772"/>
      <c r="AJ168" s="772"/>
      <c r="AK168" s="772"/>
      <c r="AL168" s="772"/>
      <c r="AM168" s="772"/>
      <c r="AN168" s="772"/>
      <c r="AO168" s="772"/>
      <c r="AP168" s="3557"/>
      <c r="AQ168" s="3557"/>
      <c r="AR168" s="3557"/>
      <c r="AS168" s="3557"/>
      <c r="AT168" s="3557"/>
      <c r="AU168" s="772"/>
      <c r="AV168" s="772"/>
      <c r="AW168" s="772"/>
      <c r="AX168" s="772"/>
      <c r="AY168" s="772"/>
      <c r="AZ168" s="3557"/>
      <c r="BA168" s="3557"/>
      <c r="BB168" s="3557"/>
      <c r="BC168" s="3557"/>
      <c r="BD168" s="3557"/>
      <c r="BE168" s="774"/>
      <c r="BF168" s="1758"/>
      <c r="BG168" s="1758"/>
      <c r="BH168" s="997" t="s">
        <v>2102</v>
      </c>
    </row>
    <row s="1834" customFormat="1" customHeight="1" ht="14.25">
      <c r="A169" s="1758"/>
      <c r="B169" s="122">
        <f>InvestmentSources_is_one_block="нет"</f>
        <v>1</v>
      </c>
      <c r="C169" s="1758"/>
      <c r="D169" s="1758"/>
      <c r="E169" s="618">
        <v>15</v>
      </c>
      <c r="F169" s="50" cm="1" t="str">
        <f t="array" ref="F169:F169">OFFSET(E169,-1,1)</f>
        <v>3</v>
      </c>
      <c r="G169" s="1758"/>
      <c r="H169" s="122" t="s">
        <v>2103</v>
      </c>
      <c r="I169" s="1758"/>
      <c r="J169" s="1758"/>
      <c r="K169" s="1758"/>
      <c r="L169" s="1758"/>
      <c r="M169" s="1758"/>
      <c r="N169" s="1758"/>
      <c r="O169" s="1758"/>
      <c r="P169" s="1758"/>
      <c r="Q169" s="1758"/>
      <c r="R169" s="1758"/>
      <c r="S169" s="1758"/>
      <c r="T169" s="465" cm="1" t="str">
        <f t="array" ref="T169:T169">T168</f>
        <v>true</v>
      </c>
      <c r="U169" s="1758"/>
      <c r="V169" s="1758"/>
      <c r="W169" s="1758"/>
      <c r="X169" s="1563"/>
      <c r="Y169" s="1758"/>
      <c r="Z169" s="1546"/>
      <c r="AA169" s="1758"/>
      <c r="AB169" s="299" t="s">
        <v>2104</v>
      </c>
      <c r="AC169" s="765" t="s">
        <v>2105</v>
      </c>
      <c r="AD169" s="300" t="s">
        <v>1514</v>
      </c>
      <c r="AE169" s="772"/>
      <c r="AF169" s="772"/>
      <c r="AG169" s="772"/>
      <c r="AH169" s="772"/>
      <c r="AI169" s="772"/>
      <c r="AJ169" s="772"/>
      <c r="AK169" s="772"/>
      <c r="AL169" s="772"/>
      <c r="AM169" s="772"/>
      <c r="AN169" s="772"/>
      <c r="AO169" s="772"/>
      <c r="AP169" s="3557"/>
      <c r="AQ169" s="3557"/>
      <c r="AR169" s="3557"/>
      <c r="AS169" s="3557"/>
      <c r="AT169" s="3557"/>
      <c r="AU169" s="772"/>
      <c r="AV169" s="772"/>
      <c r="AW169" s="772"/>
      <c r="AX169" s="772"/>
      <c r="AY169" s="772"/>
      <c r="AZ169" s="3557"/>
      <c r="BA169" s="3557"/>
      <c r="BB169" s="3557"/>
      <c r="BC169" s="3557"/>
      <c r="BD169" s="3557"/>
      <c r="BE169" s="774"/>
      <c r="BF169" s="1758"/>
      <c r="BG169" s="1758"/>
      <c r="BH169" s="997" t="s">
        <v>2106</v>
      </c>
    </row>
    <row s="1469" customFormat="1" customHeight="1" ht="21.75">
      <c r="A170" s="698"/>
      <c r="B170" s="122">
        <f>InvestmentSources_is_one_block="нет"</f>
        <v>1</v>
      </c>
      <c r="C170" s="698"/>
      <c r="D170" s="698"/>
      <c r="E170" s="691">
        <v>22.5</v>
      </c>
      <c r="F170" s="50" cm="1" t="str">
        <f t="array" ref="F170:F170">OFFSET(E170,-1,1)</f>
        <v>3</v>
      </c>
      <c r="G170" s="122"/>
      <c r="H170" s="122" t="s">
        <v>333</v>
      </c>
      <c r="I170" s="698"/>
      <c r="J170" s="698"/>
      <c r="K170" s="698"/>
      <c r="L170" s="698"/>
      <c r="M170" s="698"/>
      <c r="N170" s="698"/>
      <c r="O170" s="698"/>
      <c r="P170" s="698"/>
      <c r="Q170" s="698"/>
      <c r="R170" s="698"/>
      <c r="S170" s="698"/>
      <c r="T170" s="465" cm="1" t="str">
        <f t="array" ref="T170:T170">T169</f>
        <v>true</v>
      </c>
      <c r="U170" s="698"/>
      <c r="V170" s="698"/>
      <c r="W170" s="698"/>
      <c r="X170" s="1563"/>
      <c r="Y170" s="698"/>
      <c r="Z170" s="1546"/>
      <c r="AA170" s="698"/>
      <c r="AB170" s="218" t="s">
        <v>285</v>
      </c>
      <c r="AC170" s="219" t="s">
        <v>2107</v>
      </c>
      <c r="AD170" s="211" t="s">
        <v>1514</v>
      </c>
      <c r="AE170" s="213">
        <f>AE171+AE172+AE173</f>
        <v>0</v>
      </c>
      <c r="AF170" s="213">
        <f>AF171+AF172+AF173</f>
        <v>0</v>
      </c>
      <c r="AG170" s="213">
        <f>AG171+AG172+AG173</f>
        <v>0</v>
      </c>
      <c r="AH170" s="213">
        <f>AH171+AH172+AH173</f>
        <v>0</v>
      </c>
      <c r="AI170" s="213">
        <f>AI171+AI172+AI173</f>
        <v>0</v>
      </c>
      <c r="AJ170" s="213">
        <f>AJ171+AJ172+AJ173</f>
        <v>0</v>
      </c>
      <c r="AK170" s="213">
        <f>AK171+AK172+AK173</f>
        <v>0</v>
      </c>
      <c r="AL170" s="213">
        <f>AL171+AL172+AL173</f>
        <v>0</v>
      </c>
      <c r="AM170" s="213">
        <f>AM171+AM172+AM173</f>
        <v>0</v>
      </c>
      <c r="AN170" s="213">
        <f>AN171+AN172+AN173</f>
        <v>0</v>
      </c>
      <c r="AO170" s="213">
        <f>AO171+AO172+AO173</f>
        <v>0</v>
      </c>
      <c r="AP170" s="213">
        <f>AP171+AP172+AP173</f>
        <v>0</v>
      </c>
      <c r="AQ170" s="213">
        <f>AQ171+AQ172+AQ173</f>
        <v>0</v>
      </c>
      <c r="AR170" s="213">
        <f>AR171+AR172+AR173</f>
        <v>0</v>
      </c>
      <c r="AS170" s="213">
        <f>AS171+AS172+AS173</f>
        <v>0</v>
      </c>
      <c r="AT170" s="213">
        <f>AT171+AT172+AT173</f>
        <v>0</v>
      </c>
      <c r="AU170" s="213">
        <f>AU171+AU172+AU173</f>
        <v>0</v>
      </c>
      <c r="AV170" s="213">
        <f>AV171+AV172+AV173</f>
        <v>0</v>
      </c>
      <c r="AW170" s="213">
        <f>AW171+AW172+AW173</f>
        <v>0</v>
      </c>
      <c r="AX170" s="213">
        <f>AX171+AX172+AX173</f>
        <v>0</v>
      </c>
      <c r="AY170" s="213">
        <f>AY171+AY172+AY173</f>
        <v>0</v>
      </c>
      <c r="AZ170" s="213">
        <f>AZ171+AZ172+AZ173</f>
        <v>0</v>
      </c>
      <c r="BA170" s="213">
        <f>BA171+BA172+BA173</f>
        <v>0</v>
      </c>
      <c r="BB170" s="213">
        <f>BB171+BB172+BB173</f>
        <v>0</v>
      </c>
      <c r="BC170" s="213">
        <f>BC171+BC172+BC173</f>
        <v>0</v>
      </c>
      <c r="BD170" s="213">
        <f>BD171+BD172+BD173</f>
        <v>0</v>
      </c>
      <c r="BE170" s="774"/>
      <c r="BF170" s="698"/>
      <c r="BG170" s="698"/>
      <c r="BH170" s="1051" t="s">
        <v>2108</v>
      </c>
    </row>
    <row s="1834" customFormat="1" customHeight="1" ht="14.25">
      <c r="A171" s="1758"/>
      <c r="B171" s="122">
        <f>InvestmentSources_is_one_block="нет"</f>
        <v>1</v>
      </c>
      <c r="C171" s="1758"/>
      <c r="D171" s="1758"/>
      <c r="E171" s="618">
        <v>15</v>
      </c>
      <c r="F171" s="50" cm="1" t="str">
        <f t="array" ref="F171:F171">OFFSET(E171,-1,1)</f>
        <v>3</v>
      </c>
      <c r="G171" s="1758"/>
      <c r="H171" s="122" t="s">
        <v>1193</v>
      </c>
      <c r="I171" s="1758"/>
      <c r="J171" s="1758"/>
      <c r="K171" s="124" t="str">
        <f>F171&amp;"2komm"</f>
        <v>32komm</v>
      </c>
      <c r="L171" s="124" cm="1" t="str">
        <f t="array" ref="L171:L171">BE171</f>
        <v>0</v>
      </c>
      <c r="M171" s="1758"/>
      <c r="N171" s="1758"/>
      <c r="O171" s="1758"/>
      <c r="P171" s="1758"/>
      <c r="Q171" s="1758"/>
      <c r="R171" s="1758"/>
      <c r="S171" s="1758"/>
      <c r="T171" s="465" cm="1" t="str">
        <f t="array" ref="T171:T171">T170</f>
        <v>true</v>
      </c>
      <c r="U171" s="1758"/>
      <c r="V171" s="1758"/>
      <c r="W171" s="1758"/>
      <c r="X171" s="1563"/>
      <c r="Y171" s="1758"/>
      <c r="Z171" s="1546"/>
      <c r="AA171" s="1758"/>
      <c r="AB171" s="299" t="s">
        <v>1250</v>
      </c>
      <c r="AC171" s="762" t="s">
        <v>2109</v>
      </c>
      <c r="AD171" s="300" t="s">
        <v>1514</v>
      </c>
      <c r="AE171" s="772"/>
      <c r="AF171" s="772"/>
      <c r="AG171" s="772"/>
      <c r="AH171" s="772"/>
      <c r="AI171" s="772"/>
      <c r="AJ171" s="772"/>
      <c r="AK171" s="772"/>
      <c r="AL171" s="772"/>
      <c r="AM171" s="772"/>
      <c r="AN171" s="772"/>
      <c r="AO171" s="772"/>
      <c r="AP171" s="3557"/>
      <c r="AQ171" s="3557"/>
      <c r="AR171" s="3557"/>
      <c r="AS171" s="3557"/>
      <c r="AT171" s="3557"/>
      <c r="AU171" s="772"/>
      <c r="AV171" s="772"/>
      <c r="AW171" s="772"/>
      <c r="AX171" s="772"/>
      <c r="AY171" s="772"/>
      <c r="AZ171" s="3557"/>
      <c r="BA171" s="3557"/>
      <c r="BB171" s="3557"/>
      <c r="BC171" s="3557"/>
      <c r="BD171" s="3557"/>
      <c r="BE171" s="774"/>
      <c r="BF171" s="1758"/>
      <c r="BG171" s="1758"/>
      <c r="BH171" s="997" t="s">
        <v>2110</v>
      </c>
    </row>
    <row s="1834" customFormat="1" customHeight="1" ht="14.25">
      <c r="A172" s="1758"/>
      <c r="B172" s="122">
        <f>InvestmentSources_is_one_block="нет"</f>
        <v>1</v>
      </c>
      <c r="C172" s="1758"/>
      <c r="D172" s="1758"/>
      <c r="E172" s="618">
        <v>15</v>
      </c>
      <c r="F172" s="50" cm="1" t="str">
        <f t="array" ref="F172:F172">OFFSET(E172,-1,1)</f>
        <v>3</v>
      </c>
      <c r="G172" s="1758"/>
      <c r="H172" s="122" t="s">
        <v>1196</v>
      </c>
      <c r="I172" s="1758"/>
      <c r="J172" s="1758"/>
      <c r="K172" s="124" t="str">
        <f>F172&amp;"3komm"</f>
        <v>33komm</v>
      </c>
      <c r="L172" s="124" cm="1" t="str">
        <f t="array" ref="L172:L172">BE172</f>
        <v>0</v>
      </c>
      <c r="M172" s="1758"/>
      <c r="N172" s="1758"/>
      <c r="O172" s="1758"/>
      <c r="P172" s="1758"/>
      <c r="Q172" s="1758"/>
      <c r="R172" s="1758"/>
      <c r="S172" s="1758"/>
      <c r="T172" s="465" cm="1" t="str">
        <f t="array" ref="T172:T172">T171</f>
        <v>true</v>
      </c>
      <c r="U172" s="1758"/>
      <c r="V172" s="1758"/>
      <c r="W172" s="1758"/>
      <c r="X172" s="1563"/>
      <c r="Y172" s="1758"/>
      <c r="Z172" s="1546"/>
      <c r="AA172" s="1758"/>
      <c r="AB172" s="299" t="s">
        <v>1254</v>
      </c>
      <c r="AC172" s="762" t="s">
        <v>2111</v>
      </c>
      <c r="AD172" s="300" t="s">
        <v>1514</v>
      </c>
      <c r="AE172" s="772"/>
      <c r="AF172" s="772"/>
      <c r="AG172" s="772"/>
      <c r="AH172" s="772"/>
      <c r="AI172" s="772"/>
      <c r="AJ172" s="772"/>
      <c r="AK172" s="772"/>
      <c r="AL172" s="772"/>
      <c r="AM172" s="772"/>
      <c r="AN172" s="772"/>
      <c r="AO172" s="772"/>
      <c r="AP172" s="3557"/>
      <c r="AQ172" s="3557"/>
      <c r="AR172" s="3557"/>
      <c r="AS172" s="3557"/>
      <c r="AT172" s="3557"/>
      <c r="AU172" s="772"/>
      <c r="AV172" s="772"/>
      <c r="AW172" s="772"/>
      <c r="AX172" s="772"/>
      <c r="AY172" s="772"/>
      <c r="AZ172" s="3557"/>
      <c r="BA172" s="3557"/>
      <c r="BB172" s="3557"/>
      <c r="BC172" s="3557"/>
      <c r="BD172" s="3557"/>
      <c r="BE172" s="774"/>
      <c r="BF172" s="1758"/>
      <c r="BG172" s="1758"/>
      <c r="BH172" s="997" t="s">
        <v>2112</v>
      </c>
    </row>
    <row s="1834" customFormat="1" customHeight="1" ht="14.25">
      <c r="A173" s="1758"/>
      <c r="B173" s="122">
        <f>InvestmentSources_is_one_block="нет"</f>
        <v>1</v>
      </c>
      <c r="C173" s="1758"/>
      <c r="D173" s="1758"/>
      <c r="E173" s="618">
        <v>15</v>
      </c>
      <c r="F173" s="50" cm="1" t="str">
        <f t="array" ref="F173:F173">OFFSET(E173,-1,1)</f>
        <v>3</v>
      </c>
      <c r="G173" s="1758"/>
      <c r="H173" s="122" t="s">
        <v>1648</v>
      </c>
      <c r="I173" s="1758"/>
      <c r="J173" s="1758"/>
      <c r="K173" s="1758"/>
      <c r="L173" s="1758"/>
      <c r="M173" s="1758"/>
      <c r="N173" s="1758"/>
      <c r="O173" s="1758"/>
      <c r="P173" s="1758"/>
      <c r="Q173" s="1758"/>
      <c r="R173" s="1758"/>
      <c r="S173" s="1758"/>
      <c r="T173" s="465" cm="1" t="str">
        <f t="array" ref="T173:T173">T172</f>
        <v>true</v>
      </c>
      <c r="U173" s="1758"/>
      <c r="V173" s="1758"/>
      <c r="W173" s="1758"/>
      <c r="X173" s="1563"/>
      <c r="Y173" s="1758"/>
      <c r="Z173" s="1546"/>
      <c r="AA173" s="1758"/>
      <c r="AB173" s="299" t="s">
        <v>1258</v>
      </c>
      <c r="AC173" s="762" t="s">
        <v>2113</v>
      </c>
      <c r="AD173" s="300" t="s">
        <v>1514</v>
      </c>
      <c r="AE173" s="772"/>
      <c r="AF173" s="772"/>
      <c r="AG173" s="772"/>
      <c r="AH173" s="772"/>
      <c r="AI173" s="772"/>
      <c r="AJ173" s="772"/>
      <c r="AK173" s="772"/>
      <c r="AL173" s="772"/>
      <c r="AM173" s="772"/>
      <c r="AN173" s="772"/>
      <c r="AO173" s="772"/>
      <c r="AP173" s="3557"/>
      <c r="AQ173" s="3557"/>
      <c r="AR173" s="3557"/>
      <c r="AS173" s="3557"/>
      <c r="AT173" s="3557"/>
      <c r="AU173" s="772"/>
      <c r="AV173" s="772"/>
      <c r="AW173" s="772"/>
      <c r="AX173" s="772"/>
      <c r="AY173" s="772"/>
      <c r="AZ173" s="3557"/>
      <c r="BA173" s="3557"/>
      <c r="BB173" s="3557"/>
      <c r="BC173" s="3557"/>
      <c r="BD173" s="3557"/>
      <c r="BE173" s="774"/>
      <c r="BF173" s="1758"/>
      <c r="BG173" s="1758"/>
      <c r="BH173" s="997" t="s">
        <v>2114</v>
      </c>
    </row>
    <row s="1834" customFormat="1" customHeight="1" ht="14.25">
      <c r="A174" s="1758"/>
      <c r="B174" s="122">
        <f>InvestmentSources_is_one_block="нет"</f>
        <v>1</v>
      </c>
      <c r="C174" s="1758"/>
      <c r="D174" s="1758"/>
      <c r="E174" s="618">
        <v>15</v>
      </c>
      <c r="F174" s="98" cm="1" t="str">
        <f t="array" ref="F174:F174">X174</f>
        <v>4</v>
      </c>
      <c r="G174" s="1758"/>
      <c r="H174" s="1758"/>
      <c r="I174" s="1758"/>
      <c r="J174" s="1758"/>
      <c r="K174" s="1758"/>
      <c r="L174" s="1758"/>
      <c r="M174" s="1758"/>
      <c r="N174" s="1758"/>
      <c r="O174" s="1758"/>
      <c r="P174" s="1758"/>
      <c r="Q174" s="1758"/>
      <c r="R174" s="1758"/>
      <c r="S174" s="1758"/>
      <c r="T174" s="465">
        <f>X174&gt;0</f>
        <v>1</v>
      </c>
      <c r="U174" s="1758"/>
      <c r="V174" s="122" cm="1" t="str">
        <f t="array" ref="V174:V174">Налоги!$AB$86</f>
        <v>Тариф 4 (Водоотведение) - тариф на водоотведение (Доп. признак не требуется)</v>
      </c>
      <c r="W174" s="1758"/>
      <c r="X174" s="1563" t="s">
        <v>295</v>
      </c>
      <c r="Y174" s="1758"/>
      <c r="Z174" s="1546"/>
      <c r="AA174" s="1758"/>
      <c r="AB174" s="242" cm="1" t="str">
        <f t="array" ref="AB174:AB174">Налоги!$AB$86</f>
        <v>Тариф 4 (Водоотведение) - тариф на водоотведение (Доп. признак не требуется)</v>
      </c>
      <c r="AC174" s="832"/>
      <c r="AD174" s="832"/>
      <c r="AE174" s="832"/>
      <c r="AF174" s="832"/>
      <c r="AG174" s="832"/>
      <c r="AH174" s="832"/>
      <c r="AI174" s="832"/>
      <c r="AJ174" s="832"/>
      <c r="AK174" s="832"/>
      <c r="AL174" s="832"/>
      <c r="AM174" s="832"/>
      <c r="AN174" s="832"/>
      <c r="AO174" s="832"/>
      <c r="AP174" s="832"/>
      <c r="AQ174" s="832"/>
      <c r="AR174" s="832"/>
      <c r="AS174" s="832"/>
      <c r="AT174" s="832"/>
      <c r="AU174" s="832"/>
      <c r="AV174" s="832"/>
      <c r="AW174" s="832"/>
      <c r="AX174" s="832"/>
      <c r="AY174" s="832"/>
      <c r="AZ174" s="832"/>
      <c r="BA174" s="832"/>
      <c r="BB174" s="832"/>
      <c r="BC174" s="832"/>
      <c r="BD174" s="832"/>
      <c r="BE174" s="832"/>
      <c r="BF174" s="1758"/>
      <c r="BG174" s="1758"/>
      <c r="BH174" s="1764"/>
    </row>
    <row s="1469" customFormat="1" customHeight="1" ht="21.75">
      <c r="A175" s="698"/>
      <c r="B175" s="122">
        <f>InvestmentSources_is_one_block="нет"</f>
        <v>1</v>
      </c>
      <c r="C175" s="698"/>
      <c r="D175" s="698"/>
      <c r="E175" s="691">
        <v>22.5</v>
      </c>
      <c r="F175" s="50" cm="1" t="str">
        <f t="array" ref="F175:F175">OFFSET(E175,-1,1)</f>
        <v>4</v>
      </c>
      <c r="G175" s="122"/>
      <c r="H175" s="122" t="s">
        <v>332</v>
      </c>
      <c r="I175" s="698"/>
      <c r="J175" s="698"/>
      <c r="K175" s="698"/>
      <c r="L175" s="698"/>
      <c r="M175" s="698"/>
      <c r="N175" s="698"/>
      <c r="O175" s="698"/>
      <c r="P175" s="698"/>
      <c r="Q175" s="698"/>
      <c r="R175" s="698"/>
      <c r="S175" s="698"/>
      <c r="T175" s="465" cm="1" t="str">
        <f t="array" ref="T175:T175">T174</f>
        <v>true</v>
      </c>
      <c r="U175" s="698"/>
      <c r="V175" s="698"/>
      <c r="W175" s="698"/>
      <c r="X175" s="1563"/>
      <c r="Y175" s="698"/>
      <c r="Z175" s="1546"/>
      <c r="AA175" s="698"/>
      <c r="AB175" s="218">
        <v>1</v>
      </c>
      <c r="AC175" s="212" t="s">
        <v>2036</v>
      </c>
      <c r="AD175" s="211" t="s">
        <v>1514</v>
      </c>
      <c r="AE175" s="213">
        <f>AE176+AE186+AE190+AE194</f>
        <v>0</v>
      </c>
      <c r="AF175" s="213">
        <f>AF176+AF186+AF190+AF194</f>
        <v>0</v>
      </c>
      <c r="AG175" s="213">
        <f>AG176+AG186+AG190+AG194</f>
        <v>0</v>
      </c>
      <c r="AH175" s="213">
        <f>AH176+AH186+AH190+AH194</f>
        <v>0</v>
      </c>
      <c r="AI175" s="213">
        <f>AI176+AI186+AI190+AI194</f>
        <v>0</v>
      </c>
      <c r="AJ175" s="213">
        <f>AJ176+AJ186+AJ190+AJ194</f>
        <v>0</v>
      </c>
      <c r="AK175" s="213">
        <f>AK176+AK186+AK190+AK194</f>
        <v>0</v>
      </c>
      <c r="AL175" s="213">
        <f>AL176+AL186+AL190+AL194</f>
        <v>0</v>
      </c>
      <c r="AM175" s="213">
        <f>AM176+AM186+AM190+AM194</f>
        <v>0</v>
      </c>
      <c r="AN175" s="213">
        <f>AN176+AN186+AN190+AN194</f>
        <v>0</v>
      </c>
      <c r="AO175" s="213">
        <f>AO176+AO186+AO190+AO194</f>
        <v>0</v>
      </c>
      <c r="AP175" s="213">
        <f>AP176+AP186+AP190+AP194</f>
        <v>0</v>
      </c>
      <c r="AQ175" s="213">
        <f>AQ176+AQ186+AQ190+AQ194</f>
        <v>0</v>
      </c>
      <c r="AR175" s="213">
        <f>AR176+AR186+AR190+AR194</f>
        <v>0</v>
      </c>
      <c r="AS175" s="213">
        <f>AS176+AS186+AS190+AS194</f>
        <v>0</v>
      </c>
      <c r="AT175" s="213">
        <f>AT176+AT186+AT190+AT194</f>
        <v>0</v>
      </c>
      <c r="AU175" s="213">
        <f>AU176+AU186+AU190+AU194</f>
        <v>0</v>
      </c>
      <c r="AV175" s="213">
        <f>AV176+AV186+AV190+AV194</f>
        <v>0</v>
      </c>
      <c r="AW175" s="213">
        <f>AW176+AW186+AW190+AW194</f>
        <v>0</v>
      </c>
      <c r="AX175" s="213">
        <f>AX176+AX186+AX190+AX194</f>
        <v>0</v>
      </c>
      <c r="AY175" s="213">
        <f>AY176+AY186+AY190+AY194</f>
        <v>0</v>
      </c>
      <c r="AZ175" s="213">
        <f>AZ176+AZ186+AZ190+AZ194</f>
        <v>0</v>
      </c>
      <c r="BA175" s="213">
        <f>BA176+BA186+BA190+BA194</f>
        <v>0</v>
      </c>
      <c r="BB175" s="213">
        <f>BB176+BB186+BB190+BB194</f>
        <v>0</v>
      </c>
      <c r="BC175" s="213">
        <f>BC176+BC186+BC190+BC194</f>
        <v>0</v>
      </c>
      <c r="BD175" s="213">
        <f>BD176+BD186+BD190+BD194</f>
        <v>0</v>
      </c>
      <c r="BE175" s="774"/>
      <c r="BF175" s="698"/>
      <c r="BG175" s="698"/>
      <c r="BH175" s="1051" t="s">
        <v>2037</v>
      </c>
    </row>
    <row s="1834" customFormat="1" customHeight="1" ht="14.25">
      <c r="A176" s="1758"/>
      <c r="B176" s="122">
        <f>InvestmentSources_is_one_block="нет"</f>
        <v>1</v>
      </c>
      <c r="C176" s="1758"/>
      <c r="D176" s="1758"/>
      <c r="E176" s="618">
        <v>15</v>
      </c>
      <c r="F176" s="50" cm="1" t="str">
        <f t="array" ref="F176:F176">OFFSET(E176,-1,1)</f>
        <v>4</v>
      </c>
      <c r="G176" s="1758"/>
      <c r="H176" s="122" t="s">
        <v>1175</v>
      </c>
      <c r="I176" s="1758"/>
      <c r="J176" s="1758"/>
      <c r="K176" s="1758"/>
      <c r="L176" s="1758"/>
      <c r="M176" s="1758"/>
      <c r="N176" s="1758"/>
      <c r="O176" s="1758"/>
      <c r="P176" s="1758"/>
      <c r="Q176" s="1758"/>
      <c r="R176" s="1758"/>
      <c r="S176" s="1758"/>
      <c r="T176" s="465" cm="1" t="str">
        <f t="array" ref="T176:T176">T175</f>
        <v>true</v>
      </c>
      <c r="U176" s="1758"/>
      <c r="V176" s="1758"/>
      <c r="W176" s="1758"/>
      <c r="X176" s="1563"/>
      <c r="Y176" s="1758"/>
      <c r="Z176" s="1546"/>
      <c r="AA176" s="1758"/>
      <c r="AB176" s="299" t="s">
        <v>1628</v>
      </c>
      <c r="AC176" s="762" t="s">
        <v>2038</v>
      </c>
      <c r="AD176" s="300" t="s">
        <v>1514</v>
      </c>
      <c r="AE176" s="783">
        <f>AE177+AE178+AE179+AE180+AE181</f>
        <v>0</v>
      </c>
      <c r="AF176" s="783">
        <f>AF177+AF178+AF179+AF180+AF181</f>
        <v>0</v>
      </c>
      <c r="AG176" s="783">
        <f>AG177+AG178+AG179+AG180+AG181</f>
        <v>0</v>
      </c>
      <c r="AH176" s="783">
        <f>AH177+AH178+AH179+AH180+AH181</f>
        <v>0</v>
      </c>
      <c r="AI176" s="783">
        <f>AI177+AI178+AI179+AI180+AI181</f>
        <v>0</v>
      </c>
      <c r="AJ176" s="783">
        <f>AJ177+AJ178+AJ179+AJ180+AJ181</f>
        <v>0</v>
      </c>
      <c r="AK176" s="783">
        <f>AK177+AK178+AK179+AK180+AK181</f>
        <v>0</v>
      </c>
      <c r="AL176" s="783">
        <f>AL177+AL178+AL179+AL180+AL181</f>
        <v>0</v>
      </c>
      <c r="AM176" s="783">
        <f>AM177+AM178+AM179+AM180+AM181</f>
        <v>0</v>
      </c>
      <c r="AN176" s="783">
        <f>AN177+AN178+AN179+AN180+AN181</f>
        <v>0</v>
      </c>
      <c r="AO176" s="783">
        <f>AO177+AO178+AO179+AO180+AO181</f>
        <v>0</v>
      </c>
      <c r="AP176" s="783">
        <f>AP177+AP178+AP179+AP180+AP181</f>
        <v>0</v>
      </c>
      <c r="AQ176" s="783">
        <f>AQ177+AQ178+AQ179+AQ180+AQ181</f>
        <v>0</v>
      </c>
      <c r="AR176" s="783">
        <f>AR177+AR178+AR179+AR180+AR181</f>
        <v>0</v>
      </c>
      <c r="AS176" s="783">
        <f>AS177+AS178+AS179+AS180+AS181</f>
        <v>0</v>
      </c>
      <c r="AT176" s="783">
        <f>AT177+AT178+AT179+AT180+AT181</f>
        <v>0</v>
      </c>
      <c r="AU176" s="783">
        <f>AU177+AU178+AU179+AU180+AU181</f>
        <v>0</v>
      </c>
      <c r="AV176" s="783">
        <f>AV177+AV178+AV179+AV180+AV181</f>
        <v>0</v>
      </c>
      <c r="AW176" s="783">
        <f>AW177+AW178+AW179+AW180+AW181</f>
        <v>0</v>
      </c>
      <c r="AX176" s="783">
        <f>AX177+AX178+AX179+AX180+AX181</f>
        <v>0</v>
      </c>
      <c r="AY176" s="783">
        <f>AY177+AY178+AY179+AY180+AY181</f>
        <v>0</v>
      </c>
      <c r="AZ176" s="783">
        <f>AZ177+AZ178+AZ179+AZ180+AZ181</f>
        <v>0</v>
      </c>
      <c r="BA176" s="783">
        <f>BA177+BA178+BA179+BA180+BA181</f>
        <v>0</v>
      </c>
      <c r="BB176" s="783">
        <f>BB177+BB178+BB179+BB180+BB181</f>
        <v>0</v>
      </c>
      <c r="BC176" s="783">
        <f>BC177+BC178+BC179+BC180+BC181</f>
        <v>0</v>
      </c>
      <c r="BD176" s="783">
        <f>BD177+BD178+BD179+BD180+BD181</f>
        <v>0</v>
      </c>
      <c r="BE176" s="774"/>
      <c r="BF176" s="1758"/>
      <c r="BG176" s="1758"/>
      <c r="BH176" s="997" t="s">
        <v>2039</v>
      </c>
    </row>
    <row s="1834" customFormat="1" customHeight="1" ht="14.25">
      <c r="A177" s="1758"/>
      <c r="B177" s="122">
        <f>InvestmentSources_is_one_block="нет"</f>
        <v>1</v>
      </c>
      <c r="C177" s="1758"/>
      <c r="D177" s="1758"/>
      <c r="E177" s="618">
        <v>15</v>
      </c>
      <c r="F177" s="50" cm="1" t="str">
        <f t="array" ref="F177:F177">OFFSET(E177,-1,1)</f>
        <v>4</v>
      </c>
      <c r="G177" s="1758"/>
      <c r="H177" s="122" t="s">
        <v>1735</v>
      </c>
      <c r="I177" s="1758"/>
      <c r="J177" s="1758"/>
      <c r="K177" s="1758"/>
      <c r="L177" s="1758"/>
      <c r="M177" s="1758"/>
      <c r="N177" s="1758"/>
      <c r="O177" s="1758"/>
      <c r="P177" s="1758"/>
      <c r="Q177" s="1758"/>
      <c r="R177" s="1758"/>
      <c r="S177" s="1758"/>
      <c r="T177" s="465" cm="1" t="str">
        <f t="array" ref="T177:T177">T176</f>
        <v>true</v>
      </c>
      <c r="U177" s="1758"/>
      <c r="V177" s="1758"/>
      <c r="W177" s="1758"/>
      <c r="X177" s="1563"/>
      <c r="Y177" s="1758"/>
      <c r="Z177" s="1546"/>
      <c r="AA177" s="1758"/>
      <c r="AB177" s="299" t="s">
        <v>1736</v>
      </c>
      <c r="AC177" s="765" t="s">
        <v>2040</v>
      </c>
      <c r="AD177" s="300" t="s">
        <v>1514</v>
      </c>
      <c r="AE177" s="772"/>
      <c r="AF177" s="772"/>
      <c r="AG177" s="772"/>
      <c r="AH177" s="772"/>
      <c r="AI177" s="772"/>
      <c r="AJ177" s="772"/>
      <c r="AK177" s="772"/>
      <c r="AL177" s="772"/>
      <c r="AM177" s="772"/>
      <c r="AN177" s="772"/>
      <c r="AO177" s="772"/>
      <c r="AP177" s="3557"/>
      <c r="AQ177" s="3557"/>
      <c r="AR177" s="3557"/>
      <c r="AS177" s="3557"/>
      <c r="AT177" s="3557"/>
      <c r="AU177" s="772"/>
      <c r="AV177" s="772"/>
      <c r="AW177" s="772"/>
      <c r="AX177" s="772"/>
      <c r="AY177" s="772"/>
      <c r="AZ177" s="3557"/>
      <c r="BA177" s="3557"/>
      <c r="BB177" s="3557"/>
      <c r="BC177" s="3557"/>
      <c r="BD177" s="3557"/>
      <c r="BE177" s="774"/>
      <c r="BF177" s="1758"/>
      <c r="BG177" s="1758"/>
      <c r="BH177" s="997" t="s">
        <v>1960</v>
      </c>
    </row>
    <row s="1834" customFormat="1" customHeight="1" ht="14.25">
      <c r="A178" s="1758"/>
      <c r="B178" s="122">
        <f>InvestmentSources_is_one_block="нет"</f>
        <v>1</v>
      </c>
      <c r="C178" s="1758"/>
      <c r="D178" s="1758"/>
      <c r="E178" s="618">
        <v>15</v>
      </c>
      <c r="F178" s="50" cm="1" t="str">
        <f t="array" ref="F178:F178">OFFSET(E178,-1,1)</f>
        <v>4</v>
      </c>
      <c r="G178" s="1758"/>
      <c r="H178" s="122" t="s">
        <v>1739</v>
      </c>
      <c r="I178" s="1758"/>
      <c r="J178" s="1758"/>
      <c r="K178" s="124" t="str">
        <f>F178&amp;"1komm"</f>
        <v>41komm</v>
      </c>
      <c r="L178" s="919" cm="1" t="str">
        <f t="array" ref="L178:L178">BE178</f>
        <v>0</v>
      </c>
      <c r="M178" s="1758"/>
      <c r="N178" s="1758"/>
      <c r="O178" s="1758"/>
      <c r="P178" s="1758"/>
      <c r="Q178" s="1758"/>
      <c r="R178" s="1758"/>
      <c r="S178" s="1758"/>
      <c r="T178" s="465" cm="1" t="str">
        <f t="array" ref="T178:T178">T177</f>
        <v>true</v>
      </c>
      <c r="U178" s="1758"/>
      <c r="V178" s="1758"/>
      <c r="W178" s="1758"/>
      <c r="X178" s="1563"/>
      <c r="Y178" s="1758"/>
      <c r="Z178" s="1546"/>
      <c r="AA178" s="1758"/>
      <c r="AB178" s="299" t="s">
        <v>1740</v>
      </c>
      <c r="AC178" s="765" t="s">
        <v>2041</v>
      </c>
      <c r="AD178" s="300" t="s">
        <v>1514</v>
      </c>
      <c r="AE178" s="772"/>
      <c r="AF178" s="772"/>
      <c r="AG178" s="772"/>
      <c r="AH178" s="772"/>
      <c r="AI178" s="772"/>
      <c r="AJ178" s="772"/>
      <c r="AK178" s="772"/>
      <c r="AL178" s="772"/>
      <c r="AM178" s="772"/>
      <c r="AN178" s="772"/>
      <c r="AO178" s="772"/>
      <c r="AP178" s="3557"/>
      <c r="AQ178" s="3557"/>
      <c r="AR178" s="3557"/>
      <c r="AS178" s="3557"/>
      <c r="AT178" s="3557"/>
      <c r="AU178" s="772"/>
      <c r="AV178" s="772"/>
      <c r="AW178" s="772"/>
      <c r="AX178" s="772"/>
      <c r="AY178" s="772"/>
      <c r="AZ178" s="3557"/>
      <c r="BA178" s="3557"/>
      <c r="BB178" s="3557"/>
      <c r="BC178" s="3557"/>
      <c r="BD178" s="3557"/>
      <c r="BE178" s="774"/>
      <c r="BF178" s="1758"/>
      <c r="BG178" s="1758"/>
      <c r="BH178" s="997" t="s">
        <v>2042</v>
      </c>
    </row>
    <row s="1834" customFormat="1" customHeight="1" ht="14.25">
      <c r="A179" s="1758"/>
      <c r="B179" s="122">
        <f>InvestmentSources_is_one_block="нет"</f>
        <v>1</v>
      </c>
      <c r="C179" s="1758"/>
      <c r="D179" s="1758"/>
      <c r="E179" s="618">
        <v>15</v>
      </c>
      <c r="F179" s="50" cm="1" t="str">
        <f t="array" ref="F179:F179">OFFSET(E179,-1,1)</f>
        <v>4</v>
      </c>
      <c r="G179" s="1758"/>
      <c r="H179" s="122" t="s">
        <v>2043</v>
      </c>
      <c r="I179" s="1758"/>
      <c r="J179" s="1758"/>
      <c r="K179" s="1758"/>
      <c r="L179" s="1758"/>
      <c r="M179" s="1758"/>
      <c r="N179" s="1758"/>
      <c r="O179" s="1758"/>
      <c r="P179" s="1758"/>
      <c r="Q179" s="1758"/>
      <c r="R179" s="1758"/>
      <c r="S179" s="1758"/>
      <c r="T179" s="465" cm="1" t="str">
        <f t="array" ref="T179:T179">T178</f>
        <v>true</v>
      </c>
      <c r="U179" s="1758"/>
      <c r="V179" s="1758"/>
      <c r="W179" s="1758"/>
      <c r="X179" s="1563"/>
      <c r="Y179" s="1758"/>
      <c r="Z179" s="1546"/>
      <c r="AA179" s="1758"/>
      <c r="AB179" s="299" t="s">
        <v>2044</v>
      </c>
      <c r="AC179" s="765" t="s">
        <v>2045</v>
      </c>
      <c r="AD179" s="300" t="s">
        <v>1514</v>
      </c>
      <c r="AE179" s="772"/>
      <c r="AF179" s="772"/>
      <c r="AG179" s="772"/>
      <c r="AH179" s="772"/>
      <c r="AI179" s="772"/>
      <c r="AJ179" s="772"/>
      <c r="AK179" s="772"/>
      <c r="AL179" s="772"/>
      <c r="AM179" s="772"/>
      <c r="AN179" s="772"/>
      <c r="AO179" s="772"/>
      <c r="AP179" s="3557"/>
      <c r="AQ179" s="3557"/>
      <c r="AR179" s="3557"/>
      <c r="AS179" s="3557"/>
      <c r="AT179" s="3557"/>
      <c r="AU179" s="772"/>
      <c r="AV179" s="772"/>
      <c r="AW179" s="772"/>
      <c r="AX179" s="772"/>
      <c r="AY179" s="772"/>
      <c r="AZ179" s="3557"/>
      <c r="BA179" s="3557"/>
      <c r="BB179" s="3557"/>
      <c r="BC179" s="3557"/>
      <c r="BD179" s="3557"/>
      <c r="BE179" s="774"/>
      <c r="BF179" s="1758"/>
      <c r="BG179" s="1758"/>
      <c r="BH179" s="997" t="s">
        <v>2046</v>
      </c>
    </row>
    <row s="1834" customFormat="1" customHeight="1" ht="14.25">
      <c r="A180" s="1758"/>
      <c r="B180" s="122">
        <f>InvestmentSources_is_one_block="нет"</f>
        <v>1</v>
      </c>
      <c r="C180" s="1758"/>
      <c r="D180" s="1758"/>
      <c r="E180" s="618">
        <v>15</v>
      </c>
      <c r="F180" s="50" cm="1" t="str">
        <f t="array" ref="F180:F180">OFFSET(E180,-1,1)</f>
        <v>4</v>
      </c>
      <c r="G180" s="1758"/>
      <c r="H180" s="122" t="s">
        <v>2047</v>
      </c>
      <c r="I180" s="1758"/>
      <c r="J180" s="1758"/>
      <c r="K180" s="1758"/>
      <c r="L180" s="1758"/>
      <c r="M180" s="1758"/>
      <c r="N180" s="1758"/>
      <c r="O180" s="1758"/>
      <c r="P180" s="1758"/>
      <c r="Q180" s="1758"/>
      <c r="R180" s="1758"/>
      <c r="S180" s="1758"/>
      <c r="T180" s="465" cm="1" t="str">
        <f t="array" ref="T180:T180">T179</f>
        <v>true</v>
      </c>
      <c r="U180" s="1758"/>
      <c r="V180" s="1758"/>
      <c r="W180" s="1758"/>
      <c r="X180" s="1563"/>
      <c r="Y180" s="1758"/>
      <c r="Z180" s="1546"/>
      <c r="AA180" s="1758"/>
      <c r="AB180" s="299" t="s">
        <v>2048</v>
      </c>
      <c r="AC180" s="765" t="s">
        <v>2049</v>
      </c>
      <c r="AD180" s="300" t="s">
        <v>1514</v>
      </c>
      <c r="AE180" s="772"/>
      <c r="AF180" s="772"/>
      <c r="AG180" s="772"/>
      <c r="AH180" s="772"/>
      <c r="AI180" s="772"/>
      <c r="AJ180" s="772"/>
      <c r="AK180" s="772"/>
      <c r="AL180" s="772"/>
      <c r="AM180" s="772"/>
      <c r="AN180" s="772"/>
      <c r="AO180" s="772"/>
      <c r="AP180" s="3557"/>
      <c r="AQ180" s="3557"/>
      <c r="AR180" s="3557"/>
      <c r="AS180" s="3557"/>
      <c r="AT180" s="3557"/>
      <c r="AU180" s="772"/>
      <c r="AV180" s="772"/>
      <c r="AW180" s="772"/>
      <c r="AX180" s="772"/>
      <c r="AY180" s="772"/>
      <c r="AZ180" s="3557"/>
      <c r="BA180" s="3557"/>
      <c r="BB180" s="3557"/>
      <c r="BC180" s="3557"/>
      <c r="BD180" s="3557"/>
      <c r="BE180" s="774"/>
      <c r="BF180" s="1758"/>
      <c r="BG180" s="1758"/>
      <c r="BH180" s="997" t="s">
        <v>2050</v>
      </c>
    </row>
    <row s="1834" customFormat="1" customHeight="1" ht="21.75">
      <c r="A181" s="1758"/>
      <c r="B181" s="122">
        <f>InvestmentSources_is_one_block="нет"</f>
        <v>1</v>
      </c>
      <c r="C181" s="1758"/>
      <c r="D181" s="1758"/>
      <c r="E181" s="618">
        <v>22.5</v>
      </c>
      <c r="F181" s="50" cm="1" t="str">
        <f t="array" ref="F181:F181">OFFSET(E181,-1,1)</f>
        <v>4</v>
      </c>
      <c r="G181" s="1758"/>
      <c r="H181" s="1758"/>
      <c r="I181" s="1758"/>
      <c r="J181" s="1758"/>
      <c r="K181" s="1758"/>
      <c r="L181" s="1758"/>
      <c r="M181" s="1758"/>
      <c r="N181" s="1758"/>
      <c r="O181" s="1758"/>
      <c r="P181" s="1758"/>
      <c r="Q181" s="1758"/>
      <c r="R181" s="1758"/>
      <c r="S181" s="1758"/>
      <c r="T181" s="465" cm="1" t="str">
        <f t="array" ref="T181:T181">T180</f>
        <v>true</v>
      </c>
      <c r="U181" s="1758"/>
      <c r="V181" s="1758"/>
      <c r="W181" s="1758"/>
      <c r="X181" s="1563"/>
      <c r="Y181" s="1758"/>
      <c r="Z181" s="1546"/>
      <c r="AA181" s="1758"/>
      <c r="AB181" s="299" t="s">
        <v>2051</v>
      </c>
      <c r="AC181" s="765" t="s">
        <v>2052</v>
      </c>
      <c r="AD181" s="300" t="s">
        <v>1514</v>
      </c>
      <c r="AE181" s="772">
        <f>AE182+AE183+AE184+AE185</f>
        <v>0</v>
      </c>
      <c r="AF181" s="772">
        <f>AF182+AF183+AF184+AF185</f>
        <v>0</v>
      </c>
      <c r="AG181" s="772">
        <f>AG182+AG183+AG184+AG185</f>
        <v>0</v>
      </c>
      <c r="AH181" s="772">
        <f>AH182+AH183+AH184+AH185</f>
        <v>0</v>
      </c>
      <c r="AI181" s="772">
        <f>AI182+AI183+AI184+AI185</f>
        <v>0</v>
      </c>
      <c r="AJ181" s="772">
        <f>AJ182+AJ183+AJ184+AJ185</f>
        <v>0</v>
      </c>
      <c r="AK181" s="772">
        <f>AK182+AK183+AK184+AK185</f>
        <v>0</v>
      </c>
      <c r="AL181" s="772">
        <f>AL182+AL183+AL184+AL185</f>
        <v>0</v>
      </c>
      <c r="AM181" s="772">
        <f>AM182+AM183+AM184+AM185</f>
        <v>0</v>
      </c>
      <c r="AN181" s="772">
        <f>AN182+AN183+AN184+AN185</f>
        <v>0</v>
      </c>
      <c r="AO181" s="772">
        <f>AO182+AO183+AO184+AO185</f>
        <v>0</v>
      </c>
      <c r="AP181" s="3557">
        <f>AP182+AP183+AP184+AP185</f>
        <v>0</v>
      </c>
      <c r="AQ181" s="3557">
        <f>AQ182+AQ183+AQ184+AQ185</f>
        <v>0</v>
      </c>
      <c r="AR181" s="3557">
        <f>AR182+AR183+AR184+AR185</f>
        <v>0</v>
      </c>
      <c r="AS181" s="3557">
        <f>AS182+AS183+AS184+AS185</f>
        <v>0</v>
      </c>
      <c r="AT181" s="3557">
        <f>AT182+AT183+AT184+AT185</f>
        <v>0</v>
      </c>
      <c r="AU181" s="772">
        <f>AU182+AU183+AU184+AU185</f>
        <v>0</v>
      </c>
      <c r="AV181" s="772">
        <f>AV182+AV183+AV184+AV185</f>
        <v>0</v>
      </c>
      <c r="AW181" s="772">
        <f>AW182+AW183+AW184+AW185</f>
        <v>0</v>
      </c>
      <c r="AX181" s="772">
        <f>AX182+AX183+AX184+AX185</f>
        <v>0</v>
      </c>
      <c r="AY181" s="772">
        <f>AY182+AY183+AY184+AY185</f>
        <v>0</v>
      </c>
      <c r="AZ181" s="3557">
        <f>AZ182+AZ183+AZ184+AZ185</f>
        <v>0</v>
      </c>
      <c r="BA181" s="3557">
        <f>BA182+BA183+BA184+BA185</f>
        <v>0</v>
      </c>
      <c r="BB181" s="3557">
        <f>BB182+BB183+BB184+BB185</f>
        <v>0</v>
      </c>
      <c r="BC181" s="3557">
        <f>BC182+BC183+BC184+BC185</f>
        <v>0</v>
      </c>
      <c r="BD181" s="3557">
        <f>BD182+BD183+BD184+BD185</f>
        <v>0</v>
      </c>
      <c r="BE181" s="774"/>
      <c r="BF181" s="1758"/>
      <c r="BG181" s="1758"/>
      <c r="BH181" s="997" t="s">
        <v>2053</v>
      </c>
    </row>
    <row s="1834" customFormat="1" customHeight="1" ht="44.25">
      <c r="A182" s="1758"/>
      <c r="B182" s="122">
        <f>InvestmentSources_is_one_block="нет"</f>
        <v>1</v>
      </c>
      <c r="C182" s="1758"/>
      <c r="D182" s="1758"/>
      <c r="E182" s="618">
        <v>45.75</v>
      </c>
      <c r="F182" s="50" cm="1" t="str">
        <f t="array" ref="F182:F182">OFFSET(E182,-1,1)</f>
        <v>4</v>
      </c>
      <c r="G182" s="1758"/>
      <c r="H182" s="1758"/>
      <c r="I182" s="1758"/>
      <c r="J182" s="1758"/>
      <c r="K182" s="1758"/>
      <c r="L182" s="1758"/>
      <c r="M182" s="1758"/>
      <c r="N182" s="1758"/>
      <c r="O182" s="1758"/>
      <c r="P182" s="1758"/>
      <c r="Q182" s="1758"/>
      <c r="R182" s="1758"/>
      <c r="S182" s="1758"/>
      <c r="T182" s="465" cm="1" t="str">
        <f t="array" ref="T182:T182">T181</f>
        <v>true</v>
      </c>
      <c r="U182" s="1758"/>
      <c r="V182" s="1758"/>
      <c r="W182" s="1758"/>
      <c r="X182" s="1563"/>
      <c r="Y182" s="1758"/>
      <c r="Z182" s="1546"/>
      <c r="AA182" s="1758"/>
      <c r="AB182" s="299" t="s">
        <v>2054</v>
      </c>
      <c r="AC182" s="768" t="s">
        <v>2055</v>
      </c>
      <c r="AD182" s="300" t="s">
        <v>1514</v>
      </c>
      <c r="AE182" s="772"/>
      <c r="AF182" s="772"/>
      <c r="AG182" s="772"/>
      <c r="AH182" s="772"/>
      <c r="AI182" s="772"/>
      <c r="AJ182" s="772"/>
      <c r="AK182" s="772"/>
      <c r="AL182" s="772"/>
      <c r="AM182" s="772"/>
      <c r="AN182" s="772"/>
      <c r="AO182" s="772"/>
      <c r="AP182" s="3557"/>
      <c r="AQ182" s="3557"/>
      <c r="AR182" s="3557"/>
      <c r="AS182" s="3557"/>
      <c r="AT182" s="3557"/>
      <c r="AU182" s="772"/>
      <c r="AV182" s="772"/>
      <c r="AW182" s="772"/>
      <c r="AX182" s="772"/>
      <c r="AY182" s="772"/>
      <c r="AZ182" s="3557"/>
      <c r="BA182" s="3557"/>
      <c r="BB182" s="3557"/>
      <c r="BC182" s="3557"/>
      <c r="BD182" s="3557"/>
      <c r="BE182" s="774"/>
      <c r="BF182" s="1758"/>
      <c r="BG182" s="1758"/>
      <c r="BH182" s="997" t="s">
        <v>2056</v>
      </c>
    </row>
    <row s="1834" customFormat="1" customHeight="1" ht="44.25">
      <c r="A183" s="1758"/>
      <c r="B183" s="122">
        <f>InvestmentSources_is_one_block="нет"</f>
        <v>1</v>
      </c>
      <c r="C183" s="1758"/>
      <c r="D183" s="1758"/>
      <c r="E183" s="618">
        <v>45.75</v>
      </c>
      <c r="F183" s="50" cm="1" t="str">
        <f t="array" ref="F183:F183">OFFSET(E183,-1,1)</f>
        <v>4</v>
      </c>
      <c r="G183" s="1758"/>
      <c r="H183" s="1758"/>
      <c r="I183" s="1758"/>
      <c r="J183" s="1758"/>
      <c r="K183" s="1758"/>
      <c r="L183" s="1758"/>
      <c r="M183" s="1758"/>
      <c r="N183" s="1758"/>
      <c r="O183" s="1758"/>
      <c r="P183" s="1758"/>
      <c r="Q183" s="1758"/>
      <c r="R183" s="1758"/>
      <c r="S183" s="1758"/>
      <c r="T183" s="465" cm="1" t="str">
        <f t="array" ref="T183:T183">T182</f>
        <v>true</v>
      </c>
      <c r="U183" s="1758"/>
      <c r="V183" s="1758"/>
      <c r="W183" s="1758"/>
      <c r="X183" s="1563"/>
      <c r="Y183" s="1758"/>
      <c r="Z183" s="1546"/>
      <c r="AA183" s="1758"/>
      <c r="AB183" s="299" t="s">
        <v>2057</v>
      </c>
      <c r="AC183" s="768" t="s">
        <v>2058</v>
      </c>
      <c r="AD183" s="300" t="s">
        <v>1514</v>
      </c>
      <c r="AE183" s="772"/>
      <c r="AF183" s="772"/>
      <c r="AG183" s="772"/>
      <c r="AH183" s="772"/>
      <c r="AI183" s="772"/>
      <c r="AJ183" s="772"/>
      <c r="AK183" s="772"/>
      <c r="AL183" s="772"/>
      <c r="AM183" s="772"/>
      <c r="AN183" s="772"/>
      <c r="AO183" s="772"/>
      <c r="AP183" s="3557"/>
      <c r="AQ183" s="3557"/>
      <c r="AR183" s="3557"/>
      <c r="AS183" s="3557"/>
      <c r="AT183" s="3557"/>
      <c r="AU183" s="772"/>
      <c r="AV183" s="772"/>
      <c r="AW183" s="772"/>
      <c r="AX183" s="772"/>
      <c r="AY183" s="772"/>
      <c r="AZ183" s="3557"/>
      <c r="BA183" s="3557"/>
      <c r="BB183" s="3557"/>
      <c r="BC183" s="3557"/>
      <c r="BD183" s="3557"/>
      <c r="BE183" s="774"/>
      <c r="BF183" s="1758"/>
      <c r="BG183" s="1758"/>
      <c r="BH183" s="997" t="s">
        <v>2059</v>
      </c>
    </row>
    <row s="1834" customFormat="1" customHeight="1" ht="44.25">
      <c r="A184" s="1758"/>
      <c r="B184" s="122">
        <f>InvestmentSources_is_one_block="нет"</f>
        <v>1</v>
      </c>
      <c r="C184" s="1758"/>
      <c r="D184" s="1758"/>
      <c r="E184" s="618">
        <v>45.75</v>
      </c>
      <c r="F184" s="50" cm="1" t="str">
        <f t="array" ref="F184:F184">OFFSET(E184,-1,1)</f>
        <v>4</v>
      </c>
      <c r="G184" s="1758"/>
      <c r="H184" s="1758"/>
      <c r="I184" s="1758"/>
      <c r="J184" s="1758"/>
      <c r="K184" s="1758"/>
      <c r="L184" s="1758"/>
      <c r="M184" s="1758"/>
      <c r="N184" s="1758"/>
      <c r="O184" s="1758"/>
      <c r="P184" s="1758"/>
      <c r="Q184" s="1758"/>
      <c r="R184" s="1758"/>
      <c r="S184" s="1758"/>
      <c r="T184" s="465" cm="1" t="str">
        <f t="array" ref="T184:T184">T183</f>
        <v>true</v>
      </c>
      <c r="U184" s="1758"/>
      <c r="V184" s="1758"/>
      <c r="W184" s="1758"/>
      <c r="X184" s="1563"/>
      <c r="Y184" s="1758"/>
      <c r="Z184" s="1546"/>
      <c r="AA184" s="1758"/>
      <c r="AB184" s="299" t="s">
        <v>2060</v>
      </c>
      <c r="AC184" s="768" t="s">
        <v>2061</v>
      </c>
      <c r="AD184" s="300" t="s">
        <v>1514</v>
      </c>
      <c r="AE184" s="772"/>
      <c r="AF184" s="772"/>
      <c r="AG184" s="772"/>
      <c r="AH184" s="772"/>
      <c r="AI184" s="772"/>
      <c r="AJ184" s="772"/>
      <c r="AK184" s="772"/>
      <c r="AL184" s="772"/>
      <c r="AM184" s="772"/>
      <c r="AN184" s="772"/>
      <c r="AO184" s="772"/>
      <c r="AP184" s="3557"/>
      <c r="AQ184" s="3557"/>
      <c r="AR184" s="3557"/>
      <c r="AS184" s="3557"/>
      <c r="AT184" s="3557"/>
      <c r="AU184" s="772"/>
      <c r="AV184" s="772"/>
      <c r="AW184" s="772"/>
      <c r="AX184" s="772"/>
      <c r="AY184" s="772"/>
      <c r="AZ184" s="3557"/>
      <c r="BA184" s="3557"/>
      <c r="BB184" s="3557"/>
      <c r="BC184" s="3557"/>
      <c r="BD184" s="3557"/>
      <c r="BE184" s="774"/>
      <c r="BF184" s="1758"/>
      <c r="BG184" s="1758"/>
      <c r="BH184" s="997" t="s">
        <v>2062</v>
      </c>
    </row>
    <row s="1834" customFormat="1" customHeight="1" ht="21.75">
      <c r="A185" s="1758"/>
      <c r="B185" s="122">
        <f>InvestmentSources_is_one_block="нет"</f>
        <v>1</v>
      </c>
      <c r="C185" s="1758"/>
      <c r="D185" s="1758"/>
      <c r="E185" s="618">
        <v>22.5</v>
      </c>
      <c r="F185" s="50" cm="1" t="str">
        <f t="array" ref="F185:F185">OFFSET(E185,-1,1)</f>
        <v>4</v>
      </c>
      <c r="G185" s="1758"/>
      <c r="H185" s="1758"/>
      <c r="I185" s="1758"/>
      <c r="J185" s="1758"/>
      <c r="K185" s="1758"/>
      <c r="L185" s="1758"/>
      <c r="M185" s="1758"/>
      <c r="N185" s="1758"/>
      <c r="O185" s="1758"/>
      <c r="P185" s="1758"/>
      <c r="Q185" s="1758"/>
      <c r="R185" s="1758"/>
      <c r="S185" s="1758"/>
      <c r="T185" s="465" cm="1" t="str">
        <f t="array" ref="T185:T185">T184</f>
        <v>true</v>
      </c>
      <c r="U185" s="1758"/>
      <c r="V185" s="1758"/>
      <c r="W185" s="1758"/>
      <c r="X185" s="1563"/>
      <c r="Y185" s="1758"/>
      <c r="Z185" s="1546"/>
      <c r="AA185" s="1758"/>
      <c r="AB185" s="299" t="s">
        <v>2063</v>
      </c>
      <c r="AC185" s="768" t="s">
        <v>2064</v>
      </c>
      <c r="AD185" s="300" t="s">
        <v>1514</v>
      </c>
      <c r="AE185" s="772"/>
      <c r="AF185" s="772"/>
      <c r="AG185" s="772"/>
      <c r="AH185" s="772"/>
      <c r="AI185" s="772"/>
      <c r="AJ185" s="772"/>
      <c r="AK185" s="772"/>
      <c r="AL185" s="772"/>
      <c r="AM185" s="772"/>
      <c r="AN185" s="772"/>
      <c r="AO185" s="772"/>
      <c r="AP185" s="3557"/>
      <c r="AQ185" s="3557"/>
      <c r="AR185" s="3557"/>
      <c r="AS185" s="3557"/>
      <c r="AT185" s="3557"/>
      <c r="AU185" s="772"/>
      <c r="AV185" s="772"/>
      <c r="AW185" s="772"/>
      <c r="AX185" s="772"/>
      <c r="AY185" s="772"/>
      <c r="AZ185" s="3557"/>
      <c r="BA185" s="3557"/>
      <c r="BB185" s="3557"/>
      <c r="BC185" s="3557"/>
      <c r="BD185" s="3557"/>
      <c r="BE185" s="774"/>
      <c r="BF185" s="1758"/>
      <c r="BG185" s="1758"/>
      <c r="BH185" s="997" t="s">
        <v>2065</v>
      </c>
    </row>
    <row s="1834" customFormat="1" customHeight="1" ht="14.25">
      <c r="A186" s="1758"/>
      <c r="B186" s="122">
        <f>InvestmentSources_is_one_block="нет"</f>
        <v>1</v>
      </c>
      <c r="C186" s="1758"/>
      <c r="D186" s="1758"/>
      <c r="E186" s="618">
        <v>15</v>
      </c>
      <c r="F186" s="50" cm="1" t="str">
        <f t="array" ref="F186:F186">OFFSET(E186,-1,1)</f>
        <v>4</v>
      </c>
      <c r="G186" s="1758"/>
      <c r="H186" s="122" t="s">
        <v>1179</v>
      </c>
      <c r="I186" s="1758"/>
      <c r="J186" s="1758"/>
      <c r="K186" s="1758"/>
      <c r="L186" s="1758"/>
      <c r="M186" s="1758"/>
      <c r="N186" s="1758"/>
      <c r="O186" s="1758"/>
      <c r="P186" s="1758"/>
      <c r="Q186" s="1758"/>
      <c r="R186" s="1758"/>
      <c r="S186" s="1758"/>
      <c r="T186" s="465" cm="1" t="str">
        <f t="array" ref="T186:T186">T185</f>
        <v>true</v>
      </c>
      <c r="U186" s="1758"/>
      <c r="V186" s="1758"/>
      <c r="W186" s="1758"/>
      <c r="X186" s="1563"/>
      <c r="Y186" s="1758"/>
      <c r="Z186" s="1546"/>
      <c r="AA186" s="1758"/>
      <c r="AB186" s="299" t="s">
        <v>1631</v>
      </c>
      <c r="AC186" s="762" t="s">
        <v>2066</v>
      </c>
      <c r="AD186" s="300" t="s">
        <v>1514</v>
      </c>
      <c r="AE186" s="783">
        <f>AE187+AE188+AE189</f>
        <v>0</v>
      </c>
      <c r="AF186" s="783">
        <f>AF187+AF188+AF189</f>
        <v>0</v>
      </c>
      <c r="AG186" s="783">
        <f>AG187+AG188+AG189</f>
        <v>0</v>
      </c>
      <c r="AH186" s="783">
        <f>AH187+AH188+AH189</f>
        <v>0</v>
      </c>
      <c r="AI186" s="783">
        <f>AI187+AI188+AI189</f>
        <v>0</v>
      </c>
      <c r="AJ186" s="783">
        <f>AJ187+AJ188+AJ189</f>
        <v>0</v>
      </c>
      <c r="AK186" s="783">
        <f>AK187+AK188+AK189</f>
        <v>0</v>
      </c>
      <c r="AL186" s="783">
        <f>AL187+AL188+AL189</f>
        <v>0</v>
      </c>
      <c r="AM186" s="783">
        <f>AM187+AM188+AM189</f>
        <v>0</v>
      </c>
      <c r="AN186" s="783">
        <f>AN187+AN188+AN189</f>
        <v>0</v>
      </c>
      <c r="AO186" s="783">
        <f>AO187+AO188+AO189</f>
        <v>0</v>
      </c>
      <c r="AP186" s="783">
        <f>AP187+AP188+AP189</f>
        <v>0</v>
      </c>
      <c r="AQ186" s="783">
        <f>AQ187+AQ188+AQ189</f>
        <v>0</v>
      </c>
      <c r="AR186" s="783">
        <f>AR187+AR188+AR189</f>
        <v>0</v>
      </c>
      <c r="AS186" s="783">
        <f>AS187+AS188+AS189</f>
        <v>0</v>
      </c>
      <c r="AT186" s="783">
        <f>AT187+AT188+AT189</f>
        <v>0</v>
      </c>
      <c r="AU186" s="783">
        <f>AU187+AU188+AU189</f>
        <v>0</v>
      </c>
      <c r="AV186" s="783">
        <f>AV187+AV188+AV189</f>
        <v>0</v>
      </c>
      <c r="AW186" s="783">
        <f>AW187+AW188+AW189</f>
        <v>0</v>
      </c>
      <c r="AX186" s="783">
        <f>AX187+AX188+AX189</f>
        <v>0</v>
      </c>
      <c r="AY186" s="783">
        <f>AY187+AY188+AY189</f>
        <v>0</v>
      </c>
      <c r="AZ186" s="783">
        <f>AZ187+AZ188+AZ189</f>
        <v>0</v>
      </c>
      <c r="BA186" s="783">
        <f>BA187+BA188+BA189</f>
        <v>0</v>
      </c>
      <c r="BB186" s="783">
        <f>BB187+BB188+BB189</f>
        <v>0</v>
      </c>
      <c r="BC186" s="783">
        <f>BC187+BC188+BC189</f>
        <v>0</v>
      </c>
      <c r="BD186" s="783">
        <f>BD187+BD188+BD189</f>
        <v>0</v>
      </c>
      <c r="BE186" s="774"/>
      <c r="BF186" s="1758"/>
      <c r="BG186" s="1758"/>
      <c r="BH186" s="997" t="s">
        <v>2067</v>
      </c>
    </row>
    <row s="1834" customFormat="1" customHeight="1" ht="14.25">
      <c r="A187" s="1758"/>
      <c r="B187" s="122">
        <f>InvestmentSources_is_one_block="нет"</f>
        <v>1</v>
      </c>
      <c r="C187" s="1758"/>
      <c r="D187" s="1758"/>
      <c r="E187" s="618">
        <v>15</v>
      </c>
      <c r="F187" s="50" cm="1" t="str">
        <f t="array" ref="F187:F187">OFFSET(E187,-1,1)</f>
        <v>4</v>
      </c>
      <c r="G187" s="1758"/>
      <c r="H187" s="122" t="s">
        <v>2068</v>
      </c>
      <c r="I187" s="1758"/>
      <c r="J187" s="1758"/>
      <c r="K187" s="1758"/>
      <c r="L187" s="1758"/>
      <c r="M187" s="1758"/>
      <c r="N187" s="1758"/>
      <c r="O187" s="1758"/>
      <c r="P187" s="1758"/>
      <c r="Q187" s="1758"/>
      <c r="R187" s="1758"/>
      <c r="S187" s="1758"/>
      <c r="T187" s="465" cm="1" t="str">
        <f t="array" ref="T187:T187">T186</f>
        <v>true</v>
      </c>
      <c r="U187" s="1758"/>
      <c r="V187" s="1758"/>
      <c r="W187" s="1758"/>
      <c r="X187" s="1563"/>
      <c r="Y187" s="1758"/>
      <c r="Z187" s="1546"/>
      <c r="AA187" s="1758"/>
      <c r="AB187" s="299" t="s">
        <v>2069</v>
      </c>
      <c r="AC187" s="765" t="s">
        <v>2070</v>
      </c>
      <c r="AD187" s="300" t="s">
        <v>1514</v>
      </c>
      <c r="AE187" s="772"/>
      <c r="AF187" s="772"/>
      <c r="AG187" s="772"/>
      <c r="AH187" s="772"/>
      <c r="AI187" s="772"/>
      <c r="AJ187" s="772"/>
      <c r="AK187" s="772"/>
      <c r="AL187" s="772"/>
      <c r="AM187" s="772"/>
      <c r="AN187" s="772"/>
      <c r="AO187" s="772"/>
      <c r="AP187" s="3557"/>
      <c r="AQ187" s="3557"/>
      <c r="AR187" s="3557"/>
      <c r="AS187" s="3557"/>
      <c r="AT187" s="3557"/>
      <c r="AU187" s="772"/>
      <c r="AV187" s="772"/>
      <c r="AW187" s="772"/>
      <c r="AX187" s="772"/>
      <c r="AY187" s="772"/>
      <c r="AZ187" s="3557"/>
      <c r="BA187" s="3557"/>
      <c r="BB187" s="3557"/>
      <c r="BC187" s="3557"/>
      <c r="BD187" s="3557"/>
      <c r="BE187" s="774"/>
      <c r="BF187" s="1758"/>
      <c r="BG187" s="1758"/>
      <c r="BH187" s="997" t="s">
        <v>1991</v>
      </c>
    </row>
    <row s="1834" customFormat="1" customHeight="1" ht="14.25">
      <c r="A188" s="1758"/>
      <c r="B188" s="122">
        <f>InvestmentSources_is_one_block="нет"</f>
        <v>1</v>
      </c>
      <c r="C188" s="1758"/>
      <c r="D188" s="1758"/>
      <c r="E188" s="618">
        <v>15</v>
      </c>
      <c r="F188" s="50" cm="1" t="str">
        <f t="array" ref="F188:F188">OFFSET(E188,-1,1)</f>
        <v>4</v>
      </c>
      <c r="G188" s="1758"/>
      <c r="H188" s="122" t="s">
        <v>2071</v>
      </c>
      <c r="I188" s="1758"/>
      <c r="J188" s="1758"/>
      <c r="K188" s="1758"/>
      <c r="L188" s="1758"/>
      <c r="M188" s="1758"/>
      <c r="N188" s="1758"/>
      <c r="O188" s="1758"/>
      <c r="P188" s="1758"/>
      <c r="Q188" s="1758"/>
      <c r="R188" s="1758"/>
      <c r="S188" s="1758"/>
      <c r="T188" s="465" cm="1" t="str">
        <f t="array" ref="T188:T188">T187</f>
        <v>true</v>
      </c>
      <c r="U188" s="1758"/>
      <c r="V188" s="1758"/>
      <c r="W188" s="1758"/>
      <c r="X188" s="1563"/>
      <c r="Y188" s="1758"/>
      <c r="Z188" s="1546"/>
      <c r="AA188" s="1758"/>
      <c r="AB188" s="299" t="s">
        <v>2072</v>
      </c>
      <c r="AC188" s="765" t="s">
        <v>2073</v>
      </c>
      <c r="AD188" s="300" t="s">
        <v>1514</v>
      </c>
      <c r="AE188" s="772"/>
      <c r="AF188" s="772"/>
      <c r="AG188" s="772"/>
      <c r="AH188" s="772"/>
      <c r="AI188" s="772"/>
      <c r="AJ188" s="772"/>
      <c r="AK188" s="772"/>
      <c r="AL188" s="772"/>
      <c r="AM188" s="772"/>
      <c r="AN188" s="772"/>
      <c r="AO188" s="772"/>
      <c r="AP188" s="3557"/>
      <c r="AQ188" s="3557"/>
      <c r="AR188" s="3557"/>
      <c r="AS188" s="3557"/>
      <c r="AT188" s="3557"/>
      <c r="AU188" s="772"/>
      <c r="AV188" s="772"/>
      <c r="AW188" s="772"/>
      <c r="AX188" s="772"/>
      <c r="AY188" s="772"/>
      <c r="AZ188" s="3557"/>
      <c r="BA188" s="3557"/>
      <c r="BB188" s="3557"/>
      <c r="BC188" s="3557"/>
      <c r="BD188" s="3557"/>
      <c r="BE188" s="774"/>
      <c r="BF188" s="1758"/>
      <c r="BG188" s="1758"/>
      <c r="BH188" s="997" t="s">
        <v>2074</v>
      </c>
    </row>
    <row s="1834" customFormat="1" customHeight="1" ht="14.25">
      <c r="A189" s="1758"/>
      <c r="B189" s="122">
        <f>InvestmentSources_is_one_block="нет"</f>
        <v>1</v>
      </c>
      <c r="C189" s="1758"/>
      <c r="D189" s="1758"/>
      <c r="E189" s="618">
        <v>15</v>
      </c>
      <c r="F189" s="50" cm="1" t="str">
        <f t="array" ref="F189:F189">OFFSET(E189,-1,1)</f>
        <v>4</v>
      </c>
      <c r="G189" s="1758"/>
      <c r="H189" s="122" t="s">
        <v>2075</v>
      </c>
      <c r="I189" s="1758"/>
      <c r="J189" s="1758"/>
      <c r="K189" s="1758"/>
      <c r="L189" s="1758"/>
      <c r="M189" s="1758"/>
      <c r="N189" s="1758"/>
      <c r="O189" s="1758"/>
      <c r="P189" s="1758"/>
      <c r="Q189" s="1758"/>
      <c r="R189" s="1758"/>
      <c r="S189" s="1758"/>
      <c r="T189" s="465" cm="1" t="str">
        <f t="array" ref="T189:T189">T188</f>
        <v>true</v>
      </c>
      <c r="U189" s="1758"/>
      <c r="V189" s="1758"/>
      <c r="W189" s="1758"/>
      <c r="X189" s="1563"/>
      <c r="Y189" s="1758"/>
      <c r="Z189" s="1546"/>
      <c r="AA189" s="1758"/>
      <c r="AB189" s="299" t="s">
        <v>2076</v>
      </c>
      <c r="AC189" s="765" t="s">
        <v>2077</v>
      </c>
      <c r="AD189" s="300" t="s">
        <v>1514</v>
      </c>
      <c r="AE189" s="772"/>
      <c r="AF189" s="772"/>
      <c r="AG189" s="772"/>
      <c r="AH189" s="772"/>
      <c r="AI189" s="772"/>
      <c r="AJ189" s="772"/>
      <c r="AK189" s="772"/>
      <c r="AL189" s="772"/>
      <c r="AM189" s="772"/>
      <c r="AN189" s="772"/>
      <c r="AO189" s="772"/>
      <c r="AP189" s="3557"/>
      <c r="AQ189" s="3557"/>
      <c r="AR189" s="3557"/>
      <c r="AS189" s="3557"/>
      <c r="AT189" s="3557"/>
      <c r="AU189" s="772"/>
      <c r="AV189" s="772"/>
      <c r="AW189" s="772"/>
      <c r="AX189" s="772"/>
      <c r="AY189" s="772"/>
      <c r="AZ189" s="3557"/>
      <c r="BA189" s="3557"/>
      <c r="BB189" s="3557"/>
      <c r="BC189" s="3557"/>
      <c r="BD189" s="3557"/>
      <c r="BE189" s="774"/>
      <c r="BF189" s="1758"/>
      <c r="BG189" s="1758"/>
      <c r="BH189" s="997" t="s">
        <v>2078</v>
      </c>
    </row>
    <row s="1834" customFormat="1" customHeight="1" ht="14.25">
      <c r="A190" s="1758"/>
      <c r="B190" s="122">
        <f>InvestmentSources_is_one_block="нет"</f>
        <v>1</v>
      </c>
      <c r="C190" s="1758"/>
      <c r="D190" s="1758"/>
      <c r="E190" s="618">
        <v>15</v>
      </c>
      <c r="F190" s="50" cm="1" t="str">
        <f t="array" ref="F190:F190">OFFSET(E190,-1,1)</f>
        <v>4</v>
      </c>
      <c r="G190" s="1758"/>
      <c r="H190" s="122" t="s">
        <v>1182</v>
      </c>
      <c r="I190" s="1758"/>
      <c r="J190" s="1758"/>
      <c r="K190" s="1758"/>
      <c r="L190" s="1758"/>
      <c r="M190" s="1758"/>
      <c r="N190" s="1758"/>
      <c r="O190" s="1758"/>
      <c r="P190" s="1758"/>
      <c r="Q190" s="1758"/>
      <c r="R190" s="1758"/>
      <c r="S190" s="1758"/>
      <c r="T190" s="465" cm="1" t="str">
        <f t="array" ref="T190:T190">T189</f>
        <v>true</v>
      </c>
      <c r="U190" s="1758"/>
      <c r="V190" s="1758"/>
      <c r="W190" s="1758"/>
      <c r="X190" s="1563"/>
      <c r="Y190" s="1758"/>
      <c r="Z190" s="1546"/>
      <c r="AA190" s="1758"/>
      <c r="AB190" s="299" t="s">
        <v>1634</v>
      </c>
      <c r="AC190" s="762" t="s">
        <v>2079</v>
      </c>
      <c r="AD190" s="300" t="s">
        <v>1514</v>
      </c>
      <c r="AE190" s="783">
        <f>AE191+AE192+AE193</f>
        <v>0</v>
      </c>
      <c r="AF190" s="783">
        <f>AF191+AF192+AF193</f>
        <v>0</v>
      </c>
      <c r="AG190" s="783">
        <f>AG191+AG192+AG193</f>
        <v>0</v>
      </c>
      <c r="AH190" s="783">
        <f>AH191+AH192+AH193</f>
        <v>0</v>
      </c>
      <c r="AI190" s="783">
        <f>AI191+AI192+AI193</f>
        <v>0</v>
      </c>
      <c r="AJ190" s="783">
        <f>AJ191+AJ192+AJ193</f>
        <v>0</v>
      </c>
      <c r="AK190" s="783">
        <f>AK191+AK192+AK193</f>
        <v>0</v>
      </c>
      <c r="AL190" s="783">
        <f>AL191+AL192+AL193</f>
        <v>0</v>
      </c>
      <c r="AM190" s="783">
        <f>AM191+AM192+AM193</f>
        <v>0</v>
      </c>
      <c r="AN190" s="783">
        <f>AN191+AN192+AN193</f>
        <v>0</v>
      </c>
      <c r="AO190" s="783">
        <f>AO191+AO192+AO193</f>
        <v>0</v>
      </c>
      <c r="AP190" s="783">
        <f>AP191+AP192+AP193</f>
        <v>0</v>
      </c>
      <c r="AQ190" s="783">
        <f>AQ191+AQ192+AQ193</f>
        <v>0</v>
      </c>
      <c r="AR190" s="783">
        <f>AR191+AR192+AR193</f>
        <v>0</v>
      </c>
      <c r="AS190" s="783">
        <f>AS191+AS192+AS193</f>
        <v>0</v>
      </c>
      <c r="AT190" s="783">
        <f>AT191+AT192+AT193</f>
        <v>0</v>
      </c>
      <c r="AU190" s="783">
        <f>AU191+AU192+AU193</f>
        <v>0</v>
      </c>
      <c r="AV190" s="783">
        <f>AV191+AV192+AV193</f>
        <v>0</v>
      </c>
      <c r="AW190" s="783">
        <f>AW191+AW192+AW193</f>
        <v>0</v>
      </c>
      <c r="AX190" s="783">
        <f>AX191+AX192+AX193</f>
        <v>0</v>
      </c>
      <c r="AY190" s="783">
        <f>AY191+AY192+AY193</f>
        <v>0</v>
      </c>
      <c r="AZ190" s="783">
        <f>AZ191+AZ192+AZ193</f>
        <v>0</v>
      </c>
      <c r="BA190" s="783">
        <f>BA191+BA192+BA193</f>
        <v>0</v>
      </c>
      <c r="BB190" s="783">
        <f>BB191+BB192+BB193</f>
        <v>0</v>
      </c>
      <c r="BC190" s="783">
        <f>BC191+BC192+BC193</f>
        <v>0</v>
      </c>
      <c r="BD190" s="783">
        <f>BD191+BD192+BD193</f>
        <v>0</v>
      </c>
      <c r="BE190" s="774"/>
      <c r="BF190" s="1758"/>
      <c r="BG190" s="1758"/>
      <c r="BH190" s="997" t="s">
        <v>2080</v>
      </c>
    </row>
    <row s="1834" customFormat="1" customHeight="1" ht="14.25">
      <c r="A191" s="1758"/>
      <c r="B191" s="122">
        <f>InvestmentSources_is_one_block="нет"</f>
        <v>1</v>
      </c>
      <c r="C191" s="1758"/>
      <c r="D191" s="1758"/>
      <c r="E191" s="618">
        <v>15</v>
      </c>
      <c r="F191" s="50" cm="1" t="str">
        <f t="array" ref="F191:F191">OFFSET(E191,-1,1)</f>
        <v>4</v>
      </c>
      <c r="G191" s="1758"/>
      <c r="H191" s="122" t="s">
        <v>2081</v>
      </c>
      <c r="I191" s="1758"/>
      <c r="J191" s="1758"/>
      <c r="K191" s="1758"/>
      <c r="L191" s="1758"/>
      <c r="M191" s="1758"/>
      <c r="N191" s="1758"/>
      <c r="O191" s="1758"/>
      <c r="P191" s="1758"/>
      <c r="Q191" s="1758"/>
      <c r="R191" s="1758"/>
      <c r="S191" s="1758"/>
      <c r="T191" s="465" cm="1" t="str">
        <f t="array" ref="T191:T191">T190</f>
        <v>true</v>
      </c>
      <c r="U191" s="1758"/>
      <c r="V191" s="1758"/>
      <c r="W191" s="1758"/>
      <c r="X191" s="1563"/>
      <c r="Y191" s="1758"/>
      <c r="Z191" s="1546"/>
      <c r="AA191" s="1758"/>
      <c r="AB191" s="299" t="s">
        <v>2082</v>
      </c>
      <c r="AC191" s="765" t="s">
        <v>2083</v>
      </c>
      <c r="AD191" s="300" t="s">
        <v>1514</v>
      </c>
      <c r="AE191" s="772"/>
      <c r="AF191" s="772"/>
      <c r="AG191" s="772"/>
      <c r="AH191" s="772"/>
      <c r="AI191" s="772"/>
      <c r="AJ191" s="772"/>
      <c r="AK191" s="772"/>
      <c r="AL191" s="772"/>
      <c r="AM191" s="772"/>
      <c r="AN191" s="772"/>
      <c r="AO191" s="772"/>
      <c r="AP191" s="3557"/>
      <c r="AQ191" s="3557"/>
      <c r="AR191" s="3557"/>
      <c r="AS191" s="3557"/>
      <c r="AT191" s="3557"/>
      <c r="AU191" s="772"/>
      <c r="AV191" s="772"/>
      <c r="AW191" s="772"/>
      <c r="AX191" s="772"/>
      <c r="AY191" s="772"/>
      <c r="AZ191" s="3557"/>
      <c r="BA191" s="3557"/>
      <c r="BB191" s="3557"/>
      <c r="BC191" s="3557"/>
      <c r="BD191" s="3557"/>
      <c r="BE191" s="774"/>
      <c r="BF191" s="1758"/>
      <c r="BG191" s="1758"/>
      <c r="BH191" s="997" t="s">
        <v>2084</v>
      </c>
    </row>
    <row s="1834" customFormat="1" customHeight="1" ht="14.25">
      <c r="A192" s="1758"/>
      <c r="B192" s="122">
        <f>InvestmentSources_is_one_block="нет"</f>
        <v>1</v>
      </c>
      <c r="C192" s="1758"/>
      <c r="D192" s="1758"/>
      <c r="E192" s="618">
        <v>15</v>
      </c>
      <c r="F192" s="50" cm="1" t="str">
        <f t="array" ref="F192:F192">OFFSET(E192,-1,1)</f>
        <v>4</v>
      </c>
      <c r="G192" s="1758"/>
      <c r="H192" s="122" t="s">
        <v>2085</v>
      </c>
      <c r="I192" s="1758"/>
      <c r="J192" s="1758"/>
      <c r="K192" s="1758"/>
      <c r="L192" s="1758"/>
      <c r="M192" s="1758"/>
      <c r="N192" s="1758"/>
      <c r="O192" s="1758"/>
      <c r="P192" s="1758"/>
      <c r="Q192" s="1758"/>
      <c r="R192" s="1758"/>
      <c r="S192" s="1758"/>
      <c r="T192" s="465" cm="1" t="str">
        <f t="array" ref="T192:T192">T191</f>
        <v>true</v>
      </c>
      <c r="U192" s="1758"/>
      <c r="V192" s="1758"/>
      <c r="W192" s="1758"/>
      <c r="X192" s="1563"/>
      <c r="Y192" s="1758"/>
      <c r="Z192" s="1546"/>
      <c r="AA192" s="1758"/>
      <c r="AB192" s="299" t="s">
        <v>2086</v>
      </c>
      <c r="AC192" s="765" t="s">
        <v>2087</v>
      </c>
      <c r="AD192" s="300" t="s">
        <v>1514</v>
      </c>
      <c r="AE192" s="772"/>
      <c r="AF192" s="772"/>
      <c r="AG192" s="772"/>
      <c r="AH192" s="772"/>
      <c r="AI192" s="772"/>
      <c r="AJ192" s="772"/>
      <c r="AK192" s="772"/>
      <c r="AL192" s="772"/>
      <c r="AM192" s="772"/>
      <c r="AN192" s="772"/>
      <c r="AO192" s="772"/>
      <c r="AP192" s="3557"/>
      <c r="AQ192" s="3557"/>
      <c r="AR192" s="3557"/>
      <c r="AS192" s="3557"/>
      <c r="AT192" s="3557"/>
      <c r="AU192" s="772"/>
      <c r="AV192" s="772"/>
      <c r="AW192" s="772"/>
      <c r="AX192" s="772"/>
      <c r="AY192" s="772"/>
      <c r="AZ192" s="3557"/>
      <c r="BA192" s="3557"/>
      <c r="BB192" s="3557"/>
      <c r="BC192" s="3557"/>
      <c r="BD192" s="3557"/>
      <c r="BE192" s="774"/>
      <c r="BF192" s="1758"/>
      <c r="BG192" s="1758"/>
      <c r="BH192" s="997" t="s">
        <v>2088</v>
      </c>
    </row>
    <row s="1834" customFormat="1" customHeight="1" ht="14.25">
      <c r="A193" s="1758"/>
      <c r="B193" s="122">
        <f>InvestmentSources_is_one_block="нет"</f>
        <v>1</v>
      </c>
      <c r="C193" s="1758"/>
      <c r="D193" s="1758"/>
      <c r="E193" s="618">
        <v>15</v>
      </c>
      <c r="F193" s="50" cm="1" t="str">
        <f t="array" ref="F193:F193">OFFSET(E193,-1,1)</f>
        <v>4</v>
      </c>
      <c r="G193" s="1758"/>
      <c r="H193" s="122" t="s">
        <v>2089</v>
      </c>
      <c r="I193" s="1758"/>
      <c r="J193" s="1758"/>
      <c r="K193" s="1758"/>
      <c r="L193" s="1758"/>
      <c r="M193" s="1758"/>
      <c r="N193" s="1758"/>
      <c r="O193" s="1758"/>
      <c r="P193" s="1758"/>
      <c r="Q193" s="1758"/>
      <c r="R193" s="1758"/>
      <c r="S193" s="1758"/>
      <c r="T193" s="465" cm="1" t="str">
        <f t="array" ref="T193:T193">T192</f>
        <v>true</v>
      </c>
      <c r="U193" s="1758"/>
      <c r="V193" s="1758"/>
      <c r="W193" s="1758"/>
      <c r="X193" s="1563"/>
      <c r="Y193" s="1758"/>
      <c r="Z193" s="1546"/>
      <c r="AA193" s="1758"/>
      <c r="AB193" s="299" t="s">
        <v>2090</v>
      </c>
      <c r="AC193" s="765" t="s">
        <v>2091</v>
      </c>
      <c r="AD193" s="300" t="s">
        <v>1514</v>
      </c>
      <c r="AE193" s="772"/>
      <c r="AF193" s="772"/>
      <c r="AG193" s="772"/>
      <c r="AH193" s="772"/>
      <c r="AI193" s="772"/>
      <c r="AJ193" s="772"/>
      <c r="AK193" s="772"/>
      <c r="AL193" s="772"/>
      <c r="AM193" s="772"/>
      <c r="AN193" s="772"/>
      <c r="AO193" s="772"/>
      <c r="AP193" s="3557"/>
      <c r="AQ193" s="3557"/>
      <c r="AR193" s="3557"/>
      <c r="AS193" s="3557"/>
      <c r="AT193" s="3557"/>
      <c r="AU193" s="772"/>
      <c r="AV193" s="772"/>
      <c r="AW193" s="772"/>
      <c r="AX193" s="772"/>
      <c r="AY193" s="772"/>
      <c r="AZ193" s="3557"/>
      <c r="BA193" s="3557"/>
      <c r="BB193" s="3557"/>
      <c r="BC193" s="3557"/>
      <c r="BD193" s="3557"/>
      <c r="BE193" s="774"/>
      <c r="BF193" s="1758"/>
      <c r="BG193" s="1758"/>
      <c r="BH193" s="997" t="s">
        <v>2092</v>
      </c>
    </row>
    <row s="1834" customFormat="1" customHeight="1" ht="14.25">
      <c r="A194" s="1758"/>
      <c r="B194" s="122">
        <f>InvestmentSources_is_one_block="нет"</f>
        <v>1</v>
      </c>
      <c r="C194" s="1758"/>
      <c r="D194" s="1758"/>
      <c r="E194" s="618">
        <v>15</v>
      </c>
      <c r="F194" s="50" cm="1" t="str">
        <f t="array" ref="F194:F194">OFFSET(E194,-1,1)</f>
        <v>4</v>
      </c>
      <c r="G194" s="1758"/>
      <c r="H194" s="122" t="s">
        <v>1186</v>
      </c>
      <c r="I194" s="1758"/>
      <c r="J194" s="1758"/>
      <c r="K194" s="1758"/>
      <c r="L194" s="1758"/>
      <c r="M194" s="1758"/>
      <c r="N194" s="1758"/>
      <c r="O194" s="1758"/>
      <c r="P194" s="1758"/>
      <c r="Q194" s="1758"/>
      <c r="R194" s="1758"/>
      <c r="S194" s="1758"/>
      <c r="T194" s="465" cm="1" t="str">
        <f t="array" ref="T194:T194">T193</f>
        <v>true</v>
      </c>
      <c r="U194" s="1758"/>
      <c r="V194" s="1758"/>
      <c r="W194" s="1758"/>
      <c r="X194" s="1563"/>
      <c r="Y194" s="1758"/>
      <c r="Z194" s="1546"/>
      <c r="AA194" s="1758"/>
      <c r="AB194" s="299" t="s">
        <v>1637</v>
      </c>
      <c r="AC194" s="762" t="s">
        <v>2093</v>
      </c>
      <c r="AD194" s="300" t="s">
        <v>1514</v>
      </c>
      <c r="AE194" s="783">
        <f>AE195+AE196+AE197+AE198</f>
        <v>0</v>
      </c>
      <c r="AF194" s="783">
        <f>AF195+AF196+AF197+AF198</f>
        <v>0</v>
      </c>
      <c r="AG194" s="783">
        <f>AG195+AG196+AG197+AG198</f>
        <v>0</v>
      </c>
      <c r="AH194" s="783">
        <f>AH195+AH196+AH197+AH198</f>
        <v>0</v>
      </c>
      <c r="AI194" s="783">
        <f>AI195+AI196+AI197+AI198</f>
        <v>0</v>
      </c>
      <c r="AJ194" s="783">
        <f>AJ195+AJ196+AJ197+AJ198</f>
        <v>0</v>
      </c>
      <c r="AK194" s="783">
        <f>AK195+AK196+AK197+AK198</f>
        <v>0</v>
      </c>
      <c r="AL194" s="783">
        <f>AL195+AL196+AL197+AL198</f>
        <v>0</v>
      </c>
      <c r="AM194" s="783">
        <f>AM195+AM196+AM197+AM198</f>
        <v>0</v>
      </c>
      <c r="AN194" s="783">
        <f>AN195+AN196+AN197+AN198</f>
        <v>0</v>
      </c>
      <c r="AO194" s="783">
        <f>AO195+AO196+AO197+AO198</f>
        <v>0</v>
      </c>
      <c r="AP194" s="783">
        <f>AP195+AP196+AP197+AP198</f>
        <v>0</v>
      </c>
      <c r="AQ194" s="783">
        <f>AQ195+AQ196+AQ197+AQ198</f>
        <v>0</v>
      </c>
      <c r="AR194" s="783">
        <f>AR195+AR196+AR197+AR198</f>
        <v>0</v>
      </c>
      <c r="AS194" s="783">
        <f>AS195+AS196+AS197+AS198</f>
        <v>0</v>
      </c>
      <c r="AT194" s="783">
        <f>AT195+AT196+AT197+AT198</f>
        <v>0</v>
      </c>
      <c r="AU194" s="783">
        <f>AU195+AU196+AU197+AU198</f>
        <v>0</v>
      </c>
      <c r="AV194" s="783">
        <f>AV195+AV196+AV197+AV198</f>
        <v>0</v>
      </c>
      <c r="AW194" s="783">
        <f>AW195+AW196+AW197+AW198</f>
        <v>0</v>
      </c>
      <c r="AX194" s="783">
        <f>AX195+AX196+AX197+AX198</f>
        <v>0</v>
      </c>
      <c r="AY194" s="783">
        <f>AY195+AY196+AY197+AY198</f>
        <v>0</v>
      </c>
      <c r="AZ194" s="783">
        <f>AZ195+AZ196+AZ197+AZ198</f>
        <v>0</v>
      </c>
      <c r="BA194" s="783">
        <f>BA195+BA196+BA197+BA198</f>
        <v>0</v>
      </c>
      <c r="BB194" s="783">
        <f>BB195+BB196+BB197+BB198</f>
        <v>0</v>
      </c>
      <c r="BC194" s="783">
        <f>BC195+BC196+BC197+BC198</f>
        <v>0</v>
      </c>
      <c r="BD194" s="783">
        <f>BD195+BD196+BD197+BD198</f>
        <v>0</v>
      </c>
      <c r="BE194" s="774"/>
      <c r="BF194" s="1758"/>
      <c r="BG194" s="1758"/>
      <c r="BH194" s="997" t="s">
        <v>2094</v>
      </c>
    </row>
    <row s="1834" customFormat="1" customHeight="1" ht="14.25">
      <c r="A195" s="1758"/>
      <c r="B195" s="122">
        <f>InvestmentSources_is_one_block="нет"</f>
        <v>1</v>
      </c>
      <c r="C195" s="1758"/>
      <c r="D195" s="1758"/>
      <c r="E195" s="618">
        <v>15</v>
      </c>
      <c r="F195" s="50" cm="1" t="str">
        <f t="array" ref="F195:F195">OFFSET(E195,-1,1)</f>
        <v>4</v>
      </c>
      <c r="G195" s="1758"/>
      <c r="H195" s="122" t="s">
        <v>2095</v>
      </c>
      <c r="I195" s="1758"/>
      <c r="J195" s="1758"/>
      <c r="K195" s="1758"/>
      <c r="L195" s="1758"/>
      <c r="M195" s="1758"/>
      <c r="N195" s="1758"/>
      <c r="O195" s="1758"/>
      <c r="P195" s="1758"/>
      <c r="Q195" s="1758"/>
      <c r="R195" s="1758"/>
      <c r="S195" s="1758"/>
      <c r="T195" s="465" cm="1" t="str">
        <f t="array" ref="T195:T195">T194</f>
        <v>true</v>
      </c>
      <c r="U195" s="1758"/>
      <c r="V195" s="1758"/>
      <c r="W195" s="1758"/>
      <c r="X195" s="1563"/>
      <c r="Y195" s="1758"/>
      <c r="Z195" s="1546"/>
      <c r="AA195" s="1758"/>
      <c r="AB195" s="299" t="s">
        <v>1752</v>
      </c>
      <c r="AC195" s="765" t="s">
        <v>1746</v>
      </c>
      <c r="AD195" s="300" t="s">
        <v>1514</v>
      </c>
      <c r="AE195" s="772"/>
      <c r="AF195" s="772"/>
      <c r="AG195" s="772"/>
      <c r="AH195" s="772"/>
      <c r="AI195" s="772"/>
      <c r="AJ195" s="772"/>
      <c r="AK195" s="772"/>
      <c r="AL195" s="772"/>
      <c r="AM195" s="772"/>
      <c r="AN195" s="772"/>
      <c r="AO195" s="772"/>
      <c r="AP195" s="3557"/>
      <c r="AQ195" s="3557"/>
      <c r="AR195" s="3557"/>
      <c r="AS195" s="3557"/>
      <c r="AT195" s="3557"/>
      <c r="AU195" s="772"/>
      <c r="AV195" s="772"/>
      <c r="AW195" s="772"/>
      <c r="AX195" s="772"/>
      <c r="AY195" s="772"/>
      <c r="AZ195" s="3557"/>
      <c r="BA195" s="3557"/>
      <c r="BB195" s="3557"/>
      <c r="BC195" s="3557"/>
      <c r="BD195" s="3557"/>
      <c r="BE195" s="774"/>
      <c r="BF195" s="1758"/>
      <c r="BG195" s="1758"/>
      <c r="BH195" s="997" t="s">
        <v>1748</v>
      </c>
    </row>
    <row s="1834" customFormat="1" customHeight="1" ht="21.75">
      <c r="A196" s="1758"/>
      <c r="B196" s="122">
        <f>InvestmentSources_is_one_block="нет"</f>
        <v>1</v>
      </c>
      <c r="C196" s="1758"/>
      <c r="D196" s="1758"/>
      <c r="E196" s="618">
        <v>22.5</v>
      </c>
      <c r="F196" s="50" cm="1" t="str">
        <f t="array" ref="F196:F196">OFFSET(E196,-1,1)</f>
        <v>4</v>
      </c>
      <c r="G196" s="1758"/>
      <c r="H196" s="122" t="s">
        <v>2096</v>
      </c>
      <c r="I196" s="1758"/>
      <c r="J196" s="1758"/>
      <c r="K196" s="1758"/>
      <c r="L196" s="1758"/>
      <c r="M196" s="1758"/>
      <c r="N196" s="1758"/>
      <c r="O196" s="1758"/>
      <c r="P196" s="1758"/>
      <c r="Q196" s="1758"/>
      <c r="R196" s="1758"/>
      <c r="S196" s="1758"/>
      <c r="T196" s="465" cm="1" t="str">
        <f t="array" ref="T196:T196">T195</f>
        <v>true</v>
      </c>
      <c r="U196" s="1758"/>
      <c r="V196" s="1758"/>
      <c r="W196" s="1758"/>
      <c r="X196" s="1563"/>
      <c r="Y196" s="1758"/>
      <c r="Z196" s="1546"/>
      <c r="AA196" s="1758"/>
      <c r="AB196" s="299" t="s">
        <v>1755</v>
      </c>
      <c r="AC196" s="765" t="s">
        <v>2097</v>
      </c>
      <c r="AD196" s="300" t="s">
        <v>1514</v>
      </c>
      <c r="AE196" s="772"/>
      <c r="AF196" s="772"/>
      <c r="AG196" s="772"/>
      <c r="AH196" s="772"/>
      <c r="AI196" s="772"/>
      <c r="AJ196" s="772"/>
      <c r="AK196" s="772"/>
      <c r="AL196" s="772"/>
      <c r="AM196" s="772"/>
      <c r="AN196" s="772"/>
      <c r="AO196" s="772"/>
      <c r="AP196" s="3557"/>
      <c r="AQ196" s="3557"/>
      <c r="AR196" s="3557"/>
      <c r="AS196" s="3557"/>
      <c r="AT196" s="3557"/>
      <c r="AU196" s="772"/>
      <c r="AV196" s="772"/>
      <c r="AW196" s="772"/>
      <c r="AX196" s="772"/>
      <c r="AY196" s="772"/>
      <c r="AZ196" s="3557"/>
      <c r="BA196" s="3557"/>
      <c r="BB196" s="3557"/>
      <c r="BC196" s="3557"/>
      <c r="BD196" s="3557"/>
      <c r="BE196" s="774"/>
      <c r="BF196" s="1758"/>
      <c r="BG196" s="1758"/>
      <c r="BH196" s="997" t="s">
        <v>2098</v>
      </c>
    </row>
    <row s="1834" customFormat="1" customHeight="1" ht="21.75">
      <c r="A197" s="1758"/>
      <c r="B197" s="122">
        <f>InvestmentSources_is_one_block="нет"</f>
        <v>1</v>
      </c>
      <c r="C197" s="1758"/>
      <c r="D197" s="1758"/>
      <c r="E197" s="618">
        <v>22.5</v>
      </c>
      <c r="F197" s="50" cm="1" t="str">
        <f t="array" ref="F197:F197">OFFSET(E197,-1,1)</f>
        <v>4</v>
      </c>
      <c r="G197" s="1758"/>
      <c r="H197" s="122" t="s">
        <v>2099</v>
      </c>
      <c r="I197" s="1758"/>
      <c r="J197" s="1758"/>
      <c r="K197" s="1758"/>
      <c r="L197" s="1758"/>
      <c r="M197" s="1758"/>
      <c r="N197" s="1758"/>
      <c r="O197" s="1758"/>
      <c r="P197" s="1758"/>
      <c r="Q197" s="1758"/>
      <c r="R197" s="1758"/>
      <c r="S197" s="1758"/>
      <c r="T197" s="465" cm="1" t="str">
        <f t="array" ref="T197:T197">T196</f>
        <v>true</v>
      </c>
      <c r="U197" s="1758"/>
      <c r="V197" s="1758"/>
      <c r="W197" s="1758"/>
      <c r="X197" s="1563"/>
      <c r="Y197" s="1758"/>
      <c r="Z197" s="1546"/>
      <c r="AA197" s="1758"/>
      <c r="AB197" s="299" t="s">
        <v>2100</v>
      </c>
      <c r="AC197" s="765" t="s">
        <v>2101</v>
      </c>
      <c r="AD197" s="300" t="s">
        <v>1514</v>
      </c>
      <c r="AE197" s="772"/>
      <c r="AF197" s="772"/>
      <c r="AG197" s="772"/>
      <c r="AH197" s="772"/>
      <c r="AI197" s="772"/>
      <c r="AJ197" s="772"/>
      <c r="AK197" s="772"/>
      <c r="AL197" s="772"/>
      <c r="AM197" s="772"/>
      <c r="AN197" s="772"/>
      <c r="AO197" s="772"/>
      <c r="AP197" s="3557"/>
      <c r="AQ197" s="3557"/>
      <c r="AR197" s="3557"/>
      <c r="AS197" s="3557"/>
      <c r="AT197" s="3557"/>
      <c r="AU197" s="772"/>
      <c r="AV197" s="772"/>
      <c r="AW197" s="772"/>
      <c r="AX197" s="772"/>
      <c r="AY197" s="772"/>
      <c r="AZ197" s="3557"/>
      <c r="BA197" s="3557"/>
      <c r="BB197" s="3557"/>
      <c r="BC197" s="3557"/>
      <c r="BD197" s="3557"/>
      <c r="BE197" s="774"/>
      <c r="BF197" s="1758"/>
      <c r="BG197" s="1758"/>
      <c r="BH197" s="997" t="s">
        <v>2102</v>
      </c>
    </row>
    <row s="1834" customFormat="1" customHeight="1" ht="14.25">
      <c r="A198" s="1758"/>
      <c r="B198" s="122">
        <f>InvestmentSources_is_one_block="нет"</f>
        <v>1</v>
      </c>
      <c r="C198" s="1758"/>
      <c r="D198" s="1758"/>
      <c r="E198" s="618">
        <v>15</v>
      </c>
      <c r="F198" s="50" cm="1" t="str">
        <f t="array" ref="F198:F198">OFFSET(E198,-1,1)</f>
        <v>4</v>
      </c>
      <c r="G198" s="1758"/>
      <c r="H198" s="122" t="s">
        <v>2103</v>
      </c>
      <c r="I198" s="1758"/>
      <c r="J198" s="1758"/>
      <c r="K198" s="1758"/>
      <c r="L198" s="1758"/>
      <c r="M198" s="1758"/>
      <c r="N198" s="1758"/>
      <c r="O198" s="1758"/>
      <c r="P198" s="1758"/>
      <c r="Q198" s="1758"/>
      <c r="R198" s="1758"/>
      <c r="S198" s="1758"/>
      <c r="T198" s="465" cm="1" t="str">
        <f t="array" ref="T198:T198">T197</f>
        <v>true</v>
      </c>
      <c r="U198" s="1758"/>
      <c r="V198" s="1758"/>
      <c r="W198" s="1758"/>
      <c r="X198" s="1563"/>
      <c r="Y198" s="1758"/>
      <c r="Z198" s="1546"/>
      <c r="AA198" s="1758"/>
      <c r="AB198" s="299" t="s">
        <v>2104</v>
      </c>
      <c r="AC198" s="765" t="s">
        <v>2105</v>
      </c>
      <c r="AD198" s="300" t="s">
        <v>1514</v>
      </c>
      <c r="AE198" s="772"/>
      <c r="AF198" s="772"/>
      <c r="AG198" s="772"/>
      <c r="AH198" s="772"/>
      <c r="AI198" s="772"/>
      <c r="AJ198" s="772"/>
      <c r="AK198" s="772"/>
      <c r="AL198" s="772"/>
      <c r="AM198" s="772"/>
      <c r="AN198" s="772"/>
      <c r="AO198" s="772"/>
      <c r="AP198" s="3557"/>
      <c r="AQ198" s="3557"/>
      <c r="AR198" s="3557"/>
      <c r="AS198" s="3557"/>
      <c r="AT198" s="3557"/>
      <c r="AU198" s="772"/>
      <c r="AV198" s="772"/>
      <c r="AW198" s="772"/>
      <c r="AX198" s="772"/>
      <c r="AY198" s="772"/>
      <c r="AZ198" s="3557"/>
      <c r="BA198" s="3557"/>
      <c r="BB198" s="3557"/>
      <c r="BC198" s="3557"/>
      <c r="BD198" s="3557"/>
      <c r="BE198" s="774"/>
      <c r="BF198" s="1758"/>
      <c r="BG198" s="1758"/>
      <c r="BH198" s="997" t="s">
        <v>2106</v>
      </c>
    </row>
    <row s="1469" customFormat="1" customHeight="1" ht="21.75">
      <c r="A199" s="698"/>
      <c r="B199" s="122">
        <f>InvestmentSources_is_one_block="нет"</f>
        <v>1</v>
      </c>
      <c r="C199" s="698"/>
      <c r="D199" s="698"/>
      <c r="E199" s="691">
        <v>22.5</v>
      </c>
      <c r="F199" s="50" cm="1" t="str">
        <f t="array" ref="F199:F199">OFFSET(E199,-1,1)</f>
        <v>4</v>
      </c>
      <c r="G199" s="122"/>
      <c r="H199" s="122" t="s">
        <v>333</v>
      </c>
      <c r="I199" s="698"/>
      <c r="J199" s="698"/>
      <c r="K199" s="698"/>
      <c r="L199" s="698"/>
      <c r="M199" s="698"/>
      <c r="N199" s="698"/>
      <c r="O199" s="698"/>
      <c r="P199" s="698"/>
      <c r="Q199" s="698"/>
      <c r="R199" s="698"/>
      <c r="S199" s="698"/>
      <c r="T199" s="465" cm="1" t="str">
        <f t="array" ref="T199:T199">T198</f>
        <v>true</v>
      </c>
      <c r="U199" s="698"/>
      <c r="V199" s="698"/>
      <c r="W199" s="698"/>
      <c r="X199" s="1563"/>
      <c r="Y199" s="698"/>
      <c r="Z199" s="1546"/>
      <c r="AA199" s="698"/>
      <c r="AB199" s="218" t="s">
        <v>285</v>
      </c>
      <c r="AC199" s="219" t="s">
        <v>2107</v>
      </c>
      <c r="AD199" s="211" t="s">
        <v>1514</v>
      </c>
      <c r="AE199" s="213">
        <f>AE200+AE201+AE202</f>
        <v>0</v>
      </c>
      <c r="AF199" s="213">
        <f>AF200+AF201+AF202</f>
        <v>0</v>
      </c>
      <c r="AG199" s="213">
        <f>AG200+AG201+AG202</f>
        <v>0</v>
      </c>
      <c r="AH199" s="213">
        <f>AH200+AH201+AH202</f>
        <v>0</v>
      </c>
      <c r="AI199" s="213">
        <f>AI200+AI201+AI202</f>
        <v>0</v>
      </c>
      <c r="AJ199" s="213">
        <f>AJ200+AJ201+AJ202</f>
        <v>0</v>
      </c>
      <c r="AK199" s="213">
        <f>AK200+AK201+AK202</f>
        <v>0</v>
      </c>
      <c r="AL199" s="213">
        <f>AL200+AL201+AL202</f>
        <v>0</v>
      </c>
      <c r="AM199" s="213">
        <f>AM200+AM201+AM202</f>
        <v>0</v>
      </c>
      <c r="AN199" s="213">
        <f>AN200+AN201+AN202</f>
        <v>0</v>
      </c>
      <c r="AO199" s="213">
        <f>AO200+AO201+AO202</f>
        <v>0</v>
      </c>
      <c r="AP199" s="213">
        <f>AP200+AP201+AP202</f>
        <v>0</v>
      </c>
      <c r="AQ199" s="213">
        <f>AQ200+AQ201+AQ202</f>
        <v>0</v>
      </c>
      <c r="AR199" s="213">
        <f>AR200+AR201+AR202</f>
        <v>0</v>
      </c>
      <c r="AS199" s="213">
        <f>AS200+AS201+AS202</f>
        <v>0</v>
      </c>
      <c r="AT199" s="213">
        <f>AT200+AT201+AT202</f>
        <v>0</v>
      </c>
      <c r="AU199" s="213">
        <f>AU200+AU201+AU202</f>
        <v>0</v>
      </c>
      <c r="AV199" s="213">
        <f>AV200+AV201+AV202</f>
        <v>0</v>
      </c>
      <c r="AW199" s="213">
        <f>AW200+AW201+AW202</f>
        <v>0</v>
      </c>
      <c r="AX199" s="213">
        <f>AX200+AX201+AX202</f>
        <v>0</v>
      </c>
      <c r="AY199" s="213">
        <f>AY200+AY201+AY202</f>
        <v>0</v>
      </c>
      <c r="AZ199" s="213">
        <f>AZ200+AZ201+AZ202</f>
        <v>0</v>
      </c>
      <c r="BA199" s="213">
        <f>BA200+BA201+BA202</f>
        <v>0</v>
      </c>
      <c r="BB199" s="213">
        <f>BB200+BB201+BB202</f>
        <v>0</v>
      </c>
      <c r="BC199" s="213">
        <f>BC200+BC201+BC202</f>
        <v>0</v>
      </c>
      <c r="BD199" s="213">
        <f>BD200+BD201+BD202</f>
        <v>0</v>
      </c>
      <c r="BE199" s="774"/>
      <c r="BF199" s="698"/>
      <c r="BG199" s="698"/>
      <c r="BH199" s="1051" t="s">
        <v>2108</v>
      </c>
    </row>
    <row s="1834" customFormat="1" customHeight="1" ht="14.25">
      <c r="A200" s="1758"/>
      <c r="B200" s="122">
        <f>InvestmentSources_is_one_block="нет"</f>
        <v>1</v>
      </c>
      <c r="C200" s="1758"/>
      <c r="D200" s="1758"/>
      <c r="E200" s="618">
        <v>15</v>
      </c>
      <c r="F200" s="50" cm="1" t="str">
        <f t="array" ref="F200:F200">OFFSET(E200,-1,1)</f>
        <v>4</v>
      </c>
      <c r="G200" s="1758"/>
      <c r="H200" s="122" t="s">
        <v>1193</v>
      </c>
      <c r="I200" s="1758"/>
      <c r="J200" s="1758"/>
      <c r="K200" s="124" t="str">
        <f>F200&amp;"2komm"</f>
        <v>42komm</v>
      </c>
      <c r="L200" s="124" cm="1" t="str">
        <f t="array" ref="L200:L200">BE200</f>
        <v>0</v>
      </c>
      <c r="M200" s="1758"/>
      <c r="N200" s="1758"/>
      <c r="O200" s="1758"/>
      <c r="P200" s="1758"/>
      <c r="Q200" s="1758"/>
      <c r="R200" s="1758"/>
      <c r="S200" s="1758"/>
      <c r="T200" s="465" cm="1" t="str">
        <f t="array" ref="T200:T200">T199</f>
        <v>true</v>
      </c>
      <c r="U200" s="1758"/>
      <c r="V200" s="1758"/>
      <c r="W200" s="1758"/>
      <c r="X200" s="1563"/>
      <c r="Y200" s="1758"/>
      <c r="Z200" s="1546"/>
      <c r="AA200" s="1758"/>
      <c r="AB200" s="299" t="s">
        <v>1250</v>
      </c>
      <c r="AC200" s="762" t="s">
        <v>2109</v>
      </c>
      <c r="AD200" s="300" t="s">
        <v>1514</v>
      </c>
      <c r="AE200" s="772"/>
      <c r="AF200" s="772"/>
      <c r="AG200" s="772"/>
      <c r="AH200" s="772"/>
      <c r="AI200" s="772"/>
      <c r="AJ200" s="772"/>
      <c r="AK200" s="772"/>
      <c r="AL200" s="772"/>
      <c r="AM200" s="772"/>
      <c r="AN200" s="772"/>
      <c r="AO200" s="772"/>
      <c r="AP200" s="3557"/>
      <c r="AQ200" s="3557"/>
      <c r="AR200" s="3557"/>
      <c r="AS200" s="3557"/>
      <c r="AT200" s="3557"/>
      <c r="AU200" s="772"/>
      <c r="AV200" s="772"/>
      <c r="AW200" s="772"/>
      <c r="AX200" s="772"/>
      <c r="AY200" s="772"/>
      <c r="AZ200" s="3557"/>
      <c r="BA200" s="3557"/>
      <c r="BB200" s="3557"/>
      <c r="BC200" s="3557"/>
      <c r="BD200" s="3557"/>
      <c r="BE200" s="774"/>
      <c r="BF200" s="1758"/>
      <c r="BG200" s="1758"/>
      <c r="BH200" s="997" t="s">
        <v>2110</v>
      </c>
    </row>
    <row s="1834" customFormat="1" customHeight="1" ht="14.25">
      <c r="A201" s="1758"/>
      <c r="B201" s="122">
        <f>InvestmentSources_is_one_block="нет"</f>
        <v>1</v>
      </c>
      <c r="C201" s="1758"/>
      <c r="D201" s="1758"/>
      <c r="E201" s="618">
        <v>15</v>
      </c>
      <c r="F201" s="50" cm="1" t="str">
        <f t="array" ref="F201:F201">OFFSET(E201,-1,1)</f>
        <v>4</v>
      </c>
      <c r="G201" s="1758"/>
      <c r="H201" s="122" t="s">
        <v>1196</v>
      </c>
      <c r="I201" s="1758"/>
      <c r="J201" s="1758"/>
      <c r="K201" s="124" t="str">
        <f>F201&amp;"3komm"</f>
        <v>43komm</v>
      </c>
      <c r="L201" s="124" cm="1" t="str">
        <f t="array" ref="L201:L201">BE201</f>
        <v>0</v>
      </c>
      <c r="M201" s="1758"/>
      <c r="N201" s="1758"/>
      <c r="O201" s="1758"/>
      <c r="P201" s="1758"/>
      <c r="Q201" s="1758"/>
      <c r="R201" s="1758"/>
      <c r="S201" s="1758"/>
      <c r="T201" s="465" cm="1" t="str">
        <f t="array" ref="T201:T201">T200</f>
        <v>true</v>
      </c>
      <c r="U201" s="1758"/>
      <c r="V201" s="1758"/>
      <c r="W201" s="1758"/>
      <c r="X201" s="1563"/>
      <c r="Y201" s="1758"/>
      <c r="Z201" s="1546"/>
      <c r="AA201" s="1758"/>
      <c r="AB201" s="299" t="s">
        <v>1254</v>
      </c>
      <c r="AC201" s="762" t="s">
        <v>2111</v>
      </c>
      <c r="AD201" s="300" t="s">
        <v>1514</v>
      </c>
      <c r="AE201" s="772"/>
      <c r="AF201" s="772"/>
      <c r="AG201" s="772"/>
      <c r="AH201" s="772"/>
      <c r="AI201" s="772"/>
      <c r="AJ201" s="772"/>
      <c r="AK201" s="772"/>
      <c r="AL201" s="772"/>
      <c r="AM201" s="772"/>
      <c r="AN201" s="772"/>
      <c r="AO201" s="772"/>
      <c r="AP201" s="3557"/>
      <c r="AQ201" s="3557"/>
      <c r="AR201" s="3557"/>
      <c r="AS201" s="3557"/>
      <c r="AT201" s="3557"/>
      <c r="AU201" s="772"/>
      <c r="AV201" s="772"/>
      <c r="AW201" s="772"/>
      <c r="AX201" s="772"/>
      <c r="AY201" s="772"/>
      <c r="AZ201" s="3557"/>
      <c r="BA201" s="3557"/>
      <c r="BB201" s="3557"/>
      <c r="BC201" s="3557"/>
      <c r="BD201" s="3557"/>
      <c r="BE201" s="774"/>
      <c r="BF201" s="1758"/>
      <c r="BG201" s="1758"/>
      <c r="BH201" s="997" t="s">
        <v>2112</v>
      </c>
    </row>
    <row s="1834" customFormat="1" customHeight="1" ht="14.25">
      <c r="A202" s="1758"/>
      <c r="B202" s="122">
        <f>InvestmentSources_is_one_block="нет"</f>
        <v>1</v>
      </c>
      <c r="C202" s="1758"/>
      <c r="D202" s="1758"/>
      <c r="E202" s="618">
        <v>15</v>
      </c>
      <c r="F202" s="50" cm="1" t="str">
        <f t="array" ref="F202:F202">OFFSET(E202,-1,1)</f>
        <v>4</v>
      </c>
      <c r="G202" s="1758"/>
      <c r="H202" s="122" t="s">
        <v>1648</v>
      </c>
      <c r="I202" s="1758"/>
      <c r="J202" s="1758"/>
      <c r="K202" s="1758"/>
      <c r="L202" s="1758"/>
      <c r="M202" s="1758"/>
      <c r="N202" s="1758"/>
      <c r="O202" s="1758"/>
      <c r="P202" s="1758"/>
      <c r="Q202" s="1758"/>
      <c r="R202" s="1758"/>
      <c r="S202" s="1758"/>
      <c r="T202" s="465" cm="1" t="str">
        <f t="array" ref="T202:T202">T201</f>
        <v>true</v>
      </c>
      <c r="U202" s="1758"/>
      <c r="V202" s="1758"/>
      <c r="W202" s="1758"/>
      <c r="X202" s="1563"/>
      <c r="Y202" s="1758"/>
      <c r="Z202" s="1546"/>
      <c r="AA202" s="1758"/>
      <c r="AB202" s="299" t="s">
        <v>1258</v>
      </c>
      <c r="AC202" s="762" t="s">
        <v>2113</v>
      </c>
      <c r="AD202" s="300" t="s">
        <v>1514</v>
      </c>
      <c r="AE202" s="772"/>
      <c r="AF202" s="772"/>
      <c r="AG202" s="772"/>
      <c r="AH202" s="772"/>
      <c r="AI202" s="772"/>
      <c r="AJ202" s="772"/>
      <c r="AK202" s="772"/>
      <c r="AL202" s="772"/>
      <c r="AM202" s="772"/>
      <c r="AN202" s="772"/>
      <c r="AO202" s="772"/>
      <c r="AP202" s="3557"/>
      <c r="AQ202" s="3557"/>
      <c r="AR202" s="3557"/>
      <c r="AS202" s="3557"/>
      <c r="AT202" s="3557"/>
      <c r="AU202" s="772"/>
      <c r="AV202" s="772"/>
      <c r="AW202" s="772"/>
      <c r="AX202" s="772"/>
      <c r="AY202" s="772"/>
      <c r="AZ202" s="3557"/>
      <c r="BA202" s="3557"/>
      <c r="BB202" s="3557"/>
      <c r="BC202" s="3557"/>
      <c r="BD202" s="3557"/>
      <c r="BE202" s="774"/>
      <c r="BF202" s="1758"/>
      <c r="BG202" s="1758"/>
      <c r="BH202" s="997" t="s">
        <v>2114</v>
      </c>
    </row>
    <row s="1834" customFormat="1" customHeight="1" ht="25.350000000000005">
      <c r="A203" s="499"/>
      <c r="B203" s="658"/>
      <c r="C203" s="499"/>
      <c r="D203" s="499"/>
      <c r="E203" s="659">
        <v>26</v>
      </c>
      <c r="F203" s="499"/>
      <c r="G203" s="499"/>
      <c r="H203" s="499"/>
      <c r="I203" s="499"/>
      <c r="J203" s="499"/>
      <c r="K203" s="499"/>
      <c r="L203" s="499"/>
      <c r="M203" s="499"/>
      <c r="N203" s="499"/>
      <c r="O203" s="499"/>
      <c r="P203" s="499"/>
      <c r="Q203" s="349"/>
      <c r="R203" s="499"/>
      <c r="S203" s="499"/>
      <c r="T203" s="499"/>
      <c r="U203" s="482" t="s">
        <v>178</v>
      </c>
      <c r="V203" s="140" t="s">
        <v>2115</v>
      </c>
      <c r="W203" s="499"/>
      <c r="X203" s="499"/>
      <c r="Y203" s="499"/>
      <c r="Z203" s="499"/>
      <c r="AA203" s="122"/>
      <c r="AB203" s="122"/>
      <c r="AC203" s="98" t="s">
        <v>2116</v>
      </c>
      <c r="AD203" s="122"/>
      <c r="AE203" s="122"/>
      <c r="AF203" s="122"/>
      <c r="AG203" s="122"/>
      <c r="AH203" s="122"/>
      <c r="AI203" s="122"/>
      <c r="AJ203" s="122"/>
      <c r="AK203" s="122"/>
      <c r="AL203" s="122"/>
      <c r="AM203" s="122"/>
      <c r="AN203" s="122"/>
      <c r="AO203" s="122"/>
      <c r="AP203" s="122"/>
      <c r="AQ203" s="122"/>
      <c r="AR203" s="122"/>
      <c r="AS203" s="122"/>
      <c r="AT203" s="122"/>
      <c r="AU203" s="122"/>
      <c r="AV203" s="122"/>
      <c r="AW203" s="122"/>
      <c r="AX203" s="122"/>
      <c r="AY203" s="122"/>
      <c r="AZ203" s="122"/>
      <c r="BA203" s="122"/>
      <c r="BB203" s="122"/>
      <c r="BC203" s="122"/>
      <c r="BD203" s="122"/>
      <c r="BE203" s="122"/>
      <c r="BF203" s="122"/>
      <c r="BH203" s="1004"/>
    </row>
    <row customHeight="1" ht="14.625">
      <c r="E204" s="618">
        <v>15</v>
      </c>
      <c r="AB204" s="1577" t="s">
        <v>407</v>
      </c>
      <c r="AC204" s="1627"/>
      <c r="AD204" s="1627"/>
      <c r="AE204" s="1627"/>
      <c r="AF204" s="1627"/>
      <c r="AG204" s="1627"/>
      <c r="AH204" s="1627"/>
      <c r="AI204" s="1627"/>
      <c r="AJ204" s="1627"/>
      <c r="AK204" s="1627"/>
      <c r="AL204" s="1627"/>
      <c r="AM204" s="1627"/>
      <c r="AN204" s="1627"/>
      <c r="AO204" s="1627"/>
      <c r="AP204" s="1627"/>
      <c r="AQ204" s="1627"/>
      <c r="AR204" s="1627"/>
      <c r="AS204" s="1627"/>
      <c r="AT204" s="1627"/>
      <c r="AU204" s="1627"/>
      <c r="AV204" s="1627"/>
      <c r="AW204" s="1627"/>
      <c r="AX204" s="1627"/>
      <c r="AY204" s="1627"/>
      <c r="AZ204" s="1627"/>
      <c r="BA204" s="1627"/>
      <c r="BB204" s="1627"/>
      <c r="BC204" s="1627"/>
      <c r="BD204" s="1627"/>
      <c r="BE204" s="1627"/>
    </row>
    <row customHeight="1" ht="14.625">
      <c r="E205" s="618">
        <v>15</v>
      </c>
      <c r="AA205" s="173"/>
      <c r="AB205" s="1628"/>
      <c r="AC205" s="1628"/>
      <c r="AD205" s="1628"/>
      <c r="AE205" s="1628"/>
      <c r="AF205" s="1628"/>
      <c r="AG205" s="1628"/>
      <c r="AH205" s="1628"/>
      <c r="AI205" s="1628"/>
      <c r="AJ205" s="1628"/>
      <c r="AK205" s="5166"/>
      <c r="AL205" s="5166"/>
      <c r="AM205" s="5166"/>
      <c r="AN205" s="5166"/>
      <c r="AO205" s="5166"/>
      <c r="AP205" s="5166"/>
      <c r="AQ205" s="5166"/>
      <c r="AR205" s="5166"/>
      <c r="AS205" s="5166"/>
      <c r="AT205" s="5166"/>
      <c r="AU205" s="5166"/>
      <c r="AV205" s="5166"/>
      <c r="AW205" s="5166"/>
      <c r="AX205" s="5166"/>
      <c r="AY205" s="5166"/>
      <c r="AZ205" s="5166"/>
      <c r="BA205" s="5166"/>
      <c r="BB205" s="5166"/>
      <c r="BC205" s="5166"/>
      <c r="BD205" s="5166"/>
      <c r="BE205" s="1628"/>
    </row>
    <row customHeight="1" ht="14.625" hidden="1">
      <c r="A206" s="1758"/>
      <c r="B206" s="1416"/>
      <c r="C206" s="1758"/>
      <c r="D206" s="1758"/>
      <c r="E206" s="618">
        <v>15</v>
      </c>
      <c r="F206" s="1758"/>
      <c r="G206" s="1758"/>
      <c r="H206" s="1758"/>
      <c r="I206" s="1758"/>
      <c r="J206" s="1758"/>
      <c r="K206" s="1758"/>
      <c r="L206" s="1758"/>
      <c r="M206" s="1758"/>
      <c r="N206" s="1758"/>
      <c r="O206" s="1758"/>
      <c r="P206" s="1758"/>
      <c r="Q206" s="1758"/>
      <c r="R206" s="1758"/>
      <c r="S206" s="1758"/>
      <c r="T206" s="465">
        <f>ROW(W206)&gt;ROW(W$206)</f>
        <v>0</v>
      </c>
      <c r="U206" s="1758"/>
      <c r="V206" s="1758"/>
      <c r="W206" s="757" t="s">
        <v>174</v>
      </c>
      <c r="X206" s="1758"/>
      <c r="Y206" s="1758"/>
      <c r="Z206" s="1758"/>
      <c r="AA206" s="420" t="s">
        <v>175</v>
      </c>
      <c r="AB206" s="5166" t="s">
        <v>227</v>
      </c>
      <c r="AC206" s="5166"/>
      <c r="AD206" s="5166"/>
      <c r="AE206" s="5166"/>
      <c r="AF206" s="5166"/>
      <c r="AG206" s="5166"/>
      <c r="AH206" s="5166"/>
      <c r="AI206" s="5166"/>
      <c r="AJ206" s="5166"/>
      <c r="AK206" s="5166"/>
      <c r="AL206" s="5166"/>
      <c r="AM206" s="5166"/>
      <c r="AN206" s="5166"/>
      <c r="AO206" s="5166"/>
      <c r="AP206" s="5166"/>
      <c r="AQ206" s="5166"/>
      <c r="AR206" s="5166"/>
      <c r="AS206" s="5166"/>
      <c r="AT206" s="5166"/>
      <c r="AU206" s="5166"/>
      <c r="AV206" s="5166"/>
      <c r="AW206" s="5166"/>
      <c r="AX206" s="5166"/>
      <c r="AY206" s="5166"/>
      <c r="AZ206" s="5166"/>
      <c r="BA206" s="5166"/>
      <c r="BB206" s="5166"/>
      <c r="BC206" s="5166"/>
      <c r="BD206" s="5166"/>
      <c r="BE206" s="5166"/>
      <c r="BF206" s="1758"/>
      <c r="BG206" s="1758"/>
      <c r="BH206" s="1764"/>
    </row>
    <row customHeight="1" ht="14.625">
      <c r="E207" s="618">
        <v>15</v>
      </c>
      <c r="W207" s="757" t="s">
        <v>408</v>
      </c>
      <c r="AB207" s="647"/>
      <c r="AC207" s="514" t="s">
        <v>409</v>
      </c>
      <c r="AD207" s="310"/>
      <c r="AE207" s="310"/>
      <c r="AF207" s="310"/>
      <c r="AG207" s="310"/>
      <c r="AH207" s="310"/>
      <c r="AI207" s="310"/>
      <c r="AJ207" s="310"/>
      <c r="AK207" s="310"/>
      <c r="AL207" s="310"/>
      <c r="AM207" s="310"/>
      <c r="AN207" s="310"/>
      <c r="AO207" s="310"/>
      <c r="AP207" s="310"/>
      <c r="AQ207" s="310"/>
      <c r="AR207" s="310"/>
      <c r="AS207" s="310"/>
      <c r="AT207" s="310"/>
      <c r="AU207" s="310"/>
      <c r="AV207" s="310"/>
      <c r="AW207" s="310"/>
      <c r="AX207" s="310"/>
      <c r="AY207" s="310"/>
      <c r="AZ207" s="310"/>
      <c r="BA207" s="310"/>
      <c r="BB207" s="310"/>
      <c r="BC207" s="310"/>
      <c r="BD207" s="310"/>
      <c r="BE207" s="275"/>
    </row>
    <row customHeight="1" ht="10.725000000000001">
      <c r="E208" s="618">
        <v>11</v>
      </c>
      <c r="AK208" s="1758"/>
      <c r="AL208" s="1758"/>
      <c r="AM208" s="1758"/>
      <c r="AN208" s="1758"/>
      <c r="AO208" s="1758"/>
      <c r="AP208" s="1758"/>
      <c r="AQ208" s="1758"/>
      <c r="AR208" s="1758"/>
      <c r="AS208" s="1758"/>
      <c r="AT208" s="1758"/>
      <c r="AU208" s="1758"/>
      <c r="AV208" s="1758"/>
      <c r="AW208" s="1758"/>
      <c r="AX208" s="1758"/>
      <c r="AY208" s="1758"/>
      <c r="AZ208" s="1758"/>
      <c r="BA208" s="1758"/>
      <c r="BB208" s="1758"/>
      <c r="BC208" s="1758"/>
      <c r="BD208" s="1758"/>
      <c r="BF208" s="426"/>
    </row>
  </sheetData>
  <sheetProtection formatColumns="0" formatRows="0" insertRows="0" deleteColumns="0" deleteRows="0" sort="0" autoFilter="0" insertColumns="1"/>
  <mergeCells count="18">
    <mergeCell ref="AB205:BE205"/>
    <mergeCell ref="AB26:AB27"/>
    <mergeCell ref="AC26:AC27"/>
    <mergeCell ref="AD26:AD27"/>
    <mergeCell ref="AB206:BE206"/>
    <mergeCell ref="X58:X86"/>
    <mergeCell ref="Z58:Z86"/>
    <mergeCell ref="AB24:AC24"/>
    <mergeCell ref="BE26:BE27"/>
    <mergeCell ref="AB204:BE204"/>
    <mergeCell ref="X87:X115"/>
    <mergeCell ref="Z87:Z115"/>
    <mergeCell ref="X116:X144"/>
    <mergeCell ref="Z116:Z144"/>
    <mergeCell ref="X145:X173"/>
    <mergeCell ref="Z145:Z173"/>
    <mergeCell ref="X174:X202"/>
    <mergeCell ref="Z174:Z202"/>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35" right="0.35" top="0.40" bottom="0.40" header="0.31" footer="0.31"/>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76B76A-8188-379C-D3C8-E8071B5D0958}" mc:Ignorable="x14ac xr xr2 xr3">
  <sheetPr>
    <tabColor rgb="FF002060"/>
    <outlinePr summaryRight="0" summaryBelow="0"/>
  </sheetPr>
  <dimension ref="A1:BB72"/>
  <sheetViews>
    <sheetView showGridLines="0" workbookViewId="0">
      <pane xSplit="30" ySplit="25" topLeftCell="AE59" activePane="bottomRight" state="frozen"/>
      <selection pane="bottomLeft" activeCell="A26" sqref="A26"/>
      <selection pane="topRight" activeCell="AE1" sqref="AE1"/>
      <selection pane="bottomRight" activeCell="AB69" sqref="AB69:AY69"/>
    </sheetView>
  </sheetViews>
  <sheetFormatPr defaultColWidth="9.140625" customHeight="1" defaultRowHeight="11.25"/>
  <cols>
    <col min="1" max="1" style="1758" width="3.57421875" hidden="1" customWidth="1"/>
    <col min="2" max="2" style="1416" width="8.57421875" hidden="1" customWidth="1"/>
    <col min="3" max="4" style="1758" width="3.57421875" hidden="1" customWidth="1"/>
    <col min="5" max="5" style="1757" width="3.57421875" hidden="1" customWidth="1"/>
    <col min="6" max="19" style="1758" width="3.57421875" hidden="1" customWidth="1"/>
    <col min="20" max="20" style="1758" width="8.421875" hidden="1" customWidth="1"/>
    <col min="21" max="21" style="1758" width="5.8515625" hidden="1" customWidth="1"/>
    <col min="22" max="23" style="1758" width="6.140625" hidden="1" customWidth="1"/>
    <col min="24" max="25" style="1758" width="5.57421875" hidden="1" customWidth="1"/>
    <col min="26" max="26" style="1758" width="5.28125" hidden="1" customWidth="1"/>
    <col min="27" max="27" style="1758" width="3.00390625" customWidth="1"/>
    <col min="28" max="28" style="1758" width="11.00390625" customWidth="1"/>
    <col min="29" max="29" style="1758" width="50.00390625" customWidth="1"/>
    <col min="30" max="30" style="1758" width="10.00390625" customWidth="1"/>
    <col min="31" max="35" style="1758" width="12.57421875" customWidth="1"/>
    <col min="36" max="40" style="1758" width="12.57421875" hidden="1" customWidth="1"/>
    <col min="41" max="45" style="1758" width="12.57421875" customWidth="1"/>
    <col min="46" max="50" style="1758" width="12.57421875" hidden="1" customWidth="1"/>
    <col min="51" max="51" style="1758" width="20.00390625" customWidth="1"/>
    <col min="52" max="52" style="1758" width="3.00390625" customWidth="1"/>
    <col min="53" max="53" style="1758" width="9.140625" hidden="1"/>
    <col min="54" max="54" style="1764" width="9.140625" hidden="1"/>
  </cols>
  <sheetData>
    <row customHeight="1" ht="11.25" hidden="1">
      <c r="E1" s="122"/>
      <c r="F1" s="122" t="s">
        <v>321</v>
      </c>
      <c r="G1" s="122" t="s">
        <v>331</v>
      </c>
      <c r="T1" s="465" t="s">
        <v>93</v>
      </c>
      <c r="U1" s="465" t="s">
        <v>98</v>
      </c>
      <c r="V1" s="465" t="s">
        <v>94</v>
      </c>
      <c r="W1" s="465" t="s">
        <v>95</v>
      </c>
      <c r="X1" s="465" t="s">
        <v>96</v>
      </c>
      <c r="Y1" s="467" t="s">
        <v>323</v>
      </c>
      <c r="Z1" s="465" t="s">
        <v>100</v>
      </c>
      <c r="AA1" s="466" t="s">
        <v>97</v>
      </c>
      <c r="AB1" s="85"/>
      <c r="AC1" s="466" t="s">
        <v>99</v>
      </c>
      <c r="AE1" s="1758"/>
      <c r="AF1" s="1758"/>
      <c r="AG1" s="1758"/>
      <c r="AH1" s="1758"/>
      <c r="AI1" s="1758"/>
      <c r="AJ1" s="1758"/>
      <c r="AK1" s="1758"/>
      <c r="AL1" s="1758"/>
      <c r="AM1" s="1758"/>
      <c r="AN1" s="1758"/>
      <c r="AO1" s="1758"/>
      <c r="AP1" s="1758"/>
      <c r="AQ1" s="1758"/>
      <c r="AR1" s="1758"/>
      <c r="AS1" s="1758"/>
      <c r="AT1" s="1758"/>
      <c r="AU1" s="1758"/>
      <c r="AV1" s="1758"/>
      <c r="AW1" s="1758"/>
      <c r="AX1" s="1758"/>
      <c r="BB1" s="997" t="s">
        <v>324</v>
      </c>
    </row>
    <row s="1416" customFormat="1" customHeight="1" ht="11.25" hidden="1">
      <c r="B2" s="446" t="s">
        <v>19</v>
      </c>
      <c r="AE2" s="446">
        <f>AE6&lt;=last_year_vis</f>
        <v>1</v>
      </c>
      <c r="AF2" s="446">
        <f>AF6&lt;=last_year_vis</f>
        <v>1</v>
      </c>
      <c r="AG2" s="446">
        <f>AG6&lt;=last_year_vis</f>
        <v>1</v>
      </c>
      <c r="AH2" s="446">
        <f>AH6&lt;=last_year_vis</f>
        <v>1</v>
      </c>
      <c r="AI2" s="446">
        <f>AI6&lt;=last_year_vis</f>
        <v>1</v>
      </c>
      <c r="AJ2" s="446">
        <f>AJ6&lt;=last_year_vis</f>
        <v>0</v>
      </c>
      <c r="AK2" s="446">
        <f>AK6&lt;=last_year_vis</f>
        <v>0</v>
      </c>
      <c r="AL2" s="446">
        <f>AL6&lt;=last_year_vis</f>
        <v>0</v>
      </c>
      <c r="AM2" s="446">
        <f>AM6&lt;=last_year_vis</f>
        <v>0</v>
      </c>
      <c r="AN2" s="446">
        <f>AN6&lt;=last_year_vis</f>
        <v>0</v>
      </c>
      <c r="AO2" s="446">
        <f>AO6&lt;=last_year_vis</f>
        <v>1</v>
      </c>
      <c r="AP2" s="446">
        <f>AP6&lt;=last_year_vis</f>
        <v>1</v>
      </c>
      <c r="AQ2" s="446">
        <f>AQ6&lt;=last_year_vis</f>
        <v>1</v>
      </c>
      <c r="AR2" s="446">
        <f>AR6&lt;=last_year_vis</f>
        <v>1</v>
      </c>
      <c r="AS2" s="446">
        <f>AS6&lt;=last_year_vis</f>
        <v>1</v>
      </c>
      <c r="AT2" s="446">
        <f>AT6&lt;=last_year_vis</f>
        <v>0</v>
      </c>
      <c r="AU2" s="446">
        <f>AU6&lt;=last_year_vis</f>
        <v>0</v>
      </c>
      <c r="AV2" s="446">
        <f>AV6&lt;=last_year_vis</f>
        <v>0</v>
      </c>
      <c r="AW2" s="446">
        <f>AW6&lt;=last_year_vis</f>
        <v>0</v>
      </c>
      <c r="AX2" s="446">
        <f>AX6&lt;=last_year_vis</f>
        <v>0</v>
      </c>
      <c r="BB2" s="1009"/>
    </row>
    <row customHeight="1" ht="11.25" hidden="1">
      <c r="E3" s="122"/>
      <c r="AE3" s="1758"/>
      <c r="AF3" s="1758"/>
      <c r="AG3" s="1758"/>
      <c r="AH3" s="1758"/>
      <c r="AI3" s="1758"/>
      <c r="AJ3" s="1758"/>
      <c r="AK3" s="1758"/>
      <c r="AL3" s="1758"/>
      <c r="AM3" s="1758"/>
      <c r="AN3" s="1758"/>
      <c r="AO3" s="1758"/>
      <c r="AP3" s="1758"/>
      <c r="AQ3" s="1758"/>
      <c r="AR3" s="1758"/>
      <c r="AS3" s="1758"/>
      <c r="AT3" s="1758"/>
      <c r="AU3" s="1758"/>
      <c r="AV3" s="1758"/>
      <c r="AW3" s="1758"/>
      <c r="AX3" s="1758"/>
    </row>
    <row customHeight="1" ht="11.25" hidden="1">
      <c r="E4" s="122"/>
      <c r="AE4" s="1758"/>
      <c r="AF4" s="1758"/>
      <c r="AG4" s="1758"/>
      <c r="AH4" s="1758"/>
      <c r="AI4" s="1758"/>
      <c r="AJ4" s="1758"/>
      <c r="AK4" s="1758"/>
      <c r="AL4" s="1758"/>
      <c r="AM4" s="1758"/>
      <c r="AN4" s="1758"/>
      <c r="AO4" s="1758"/>
      <c r="AP4" s="1758"/>
      <c r="AQ4" s="1758"/>
      <c r="AR4" s="1758"/>
      <c r="AS4" s="1758"/>
      <c r="AT4" s="1758"/>
      <c r="AU4" s="1758"/>
      <c r="AV4" s="1758"/>
      <c r="AW4" s="1758"/>
      <c r="AX4" s="1758"/>
    </row>
    <row s="1757" customFormat="1" customHeight="1" ht="11.25" hidden="1">
      <c r="A5" s="122"/>
      <c r="B5" s="428"/>
      <c r="C5" s="122"/>
      <c r="D5" s="122"/>
      <c r="E5" s="618" t="s">
        <v>20</v>
      </c>
      <c r="AA5" s="618">
        <v>3</v>
      </c>
      <c r="AB5" s="618">
        <v>11</v>
      </c>
      <c r="AC5" s="618">
        <v>50</v>
      </c>
      <c r="AD5" s="618">
        <v>10</v>
      </c>
      <c r="AE5" s="618">
        <v>12.57</v>
      </c>
      <c r="AF5" s="618">
        <v>12.57</v>
      </c>
      <c r="AG5" s="618">
        <v>12.57</v>
      </c>
      <c r="AH5" s="618">
        <v>12.57</v>
      </c>
      <c r="AI5" s="618">
        <v>12.57</v>
      </c>
      <c r="AJ5" s="618">
        <v>12.57</v>
      </c>
      <c r="AK5" s="618">
        <v>12.57</v>
      </c>
      <c r="AL5" s="618">
        <v>12.57</v>
      </c>
      <c r="AM5" s="618">
        <v>12.57</v>
      </c>
      <c r="AN5" s="618">
        <v>12.57</v>
      </c>
      <c r="AO5" s="618">
        <v>12.57</v>
      </c>
      <c r="AP5" s="618">
        <v>12.57</v>
      </c>
      <c r="AQ5" s="618">
        <v>12.57</v>
      </c>
      <c r="AR5" s="618">
        <v>12.57</v>
      </c>
      <c r="AS5" s="618">
        <v>12.57</v>
      </c>
      <c r="AT5" s="618">
        <v>12.57</v>
      </c>
      <c r="AU5" s="618">
        <v>12.57</v>
      </c>
      <c r="AV5" s="618">
        <v>12.57</v>
      </c>
      <c r="AW5" s="618">
        <v>12.57</v>
      </c>
      <c r="AX5" s="618">
        <v>12.57</v>
      </c>
      <c r="AY5" s="618">
        <v>20</v>
      </c>
      <c r="AZ5" s="618">
        <v>3</v>
      </c>
      <c r="BB5" s="997"/>
    </row>
    <row customHeight="1" ht="11.25" hidden="1">
      <c r="A6" s="122" t="s">
        <v>360</v>
      </c>
      <c r="AE6" s="98" cm="1" t="str">
        <f t="array" ref="AE6:AE6">god</f>
        <v>2026</v>
      </c>
      <c r="AF6" s="98">
        <f>god+1</f>
        <v>2027</v>
      </c>
      <c r="AG6" s="98">
        <f>god+2</f>
        <v>2028</v>
      </c>
      <c r="AH6" s="98">
        <f>god+3</f>
        <v>2029</v>
      </c>
      <c r="AI6" s="98">
        <f>god+4</f>
        <v>2030</v>
      </c>
      <c r="AJ6" s="98">
        <f>god+5</f>
        <v>2031</v>
      </c>
      <c r="AK6" s="98">
        <f>god+6</f>
        <v>2032</v>
      </c>
      <c r="AL6" s="98">
        <f>god+7</f>
        <v>2033</v>
      </c>
      <c r="AM6" s="98">
        <f>god+8</f>
        <v>2034</v>
      </c>
      <c r="AN6" s="98">
        <f>god+9</f>
        <v>2035</v>
      </c>
      <c r="AO6" s="98" cm="1" t="str">
        <f t="array" ref="AO6:AO6">god</f>
        <v>2026</v>
      </c>
      <c r="AP6" s="98">
        <f>god+1</f>
        <v>2027</v>
      </c>
      <c r="AQ6" s="98">
        <f>god+2</f>
        <v>2028</v>
      </c>
      <c r="AR6" s="98">
        <f>god+3</f>
        <v>2029</v>
      </c>
      <c r="AS6" s="98">
        <f>god+4</f>
        <v>2030</v>
      </c>
      <c r="AT6" s="98">
        <f>god+5</f>
        <v>2031</v>
      </c>
      <c r="AU6" s="98">
        <f>god+6</f>
        <v>2032</v>
      </c>
      <c r="AV6" s="98">
        <f>god+7</f>
        <v>2033</v>
      </c>
      <c r="AW6" s="98">
        <f>god+8</f>
        <v>2034</v>
      </c>
      <c r="AX6" s="98">
        <f>god+9</f>
        <v>2035</v>
      </c>
    </row>
    <row customHeight="1" ht="11.25" hidden="1">
      <c r="A7" s="122" t="s">
        <v>361</v>
      </c>
      <c r="AE7" s="98" cm="1" t="str">
        <f t="array" ref="AE7:AE7">AE25</f>
        <v>Предложения организации</v>
      </c>
      <c r="AF7" s="98" cm="1" t="str">
        <f t="array" ref="AF7:AF7">AF25</f>
        <v>Предложения организации</v>
      </c>
      <c r="AG7" s="98" cm="1" t="str">
        <f t="array" ref="AG7:AG7">AG25</f>
        <v>Предложения организации</v>
      </c>
      <c r="AH7" s="98" cm="1" t="str">
        <f t="array" ref="AH7:AH7">AH25</f>
        <v>Предложения организации</v>
      </c>
      <c r="AI7" s="98" cm="1" t="str">
        <f t="array" ref="AI7:AI7">AI25</f>
        <v>Предложения организации</v>
      </c>
      <c r="AJ7" s="98" cm="1" t="str">
        <f t="array" ref="AJ7:AJ7">AJ25</f>
        <v>Предложения организации</v>
      </c>
      <c r="AK7" s="98" cm="1" t="str">
        <f t="array" ref="AK7:AK7">AK25</f>
        <v>Предложения организации</v>
      </c>
      <c r="AL7" s="98" cm="1" t="str">
        <f t="array" ref="AL7:AL7">AL25</f>
        <v>Предложения организации</v>
      </c>
      <c r="AM7" s="98" cm="1" t="str">
        <f t="array" ref="AM7:AM7">AM25</f>
        <v>Предложения организации</v>
      </c>
      <c r="AN7" s="98" cm="1" t="str">
        <f t="array" ref="AN7:AN7">AN25</f>
        <v>Предложения организации</v>
      </c>
      <c r="AO7" s="98" cm="1" t="str">
        <f t="array" ref="AO7:AO7">AO25</f>
        <v>Принято органом регулирования</v>
      </c>
      <c r="AP7" s="98" cm="1" t="str">
        <f t="array" ref="AP7:AP7">AP25</f>
        <v>Принято органом регулирования</v>
      </c>
      <c r="AQ7" s="98" cm="1" t="str">
        <f t="array" ref="AQ7:AQ7">AQ25</f>
        <v>Принято органом регулирования</v>
      </c>
      <c r="AR7" s="98" cm="1" t="str">
        <f t="array" ref="AR7:AR7">AR25</f>
        <v>Принято органом регулирования</v>
      </c>
      <c r="AS7" s="98" cm="1" t="str">
        <f t="array" ref="AS7:AS7">AS25</f>
        <v>Принято органом регулирования</v>
      </c>
      <c r="AT7" s="98" cm="1" t="str">
        <f t="array" ref="AT7:AT7">AT25</f>
        <v>Принято органом регулирования</v>
      </c>
      <c r="AU7" s="98" cm="1" t="str">
        <f t="array" ref="AU7:AU7">AU25</f>
        <v>Принято органом регулирования</v>
      </c>
      <c r="AV7" s="98" cm="1" t="str">
        <f t="array" ref="AV7:AV7">AV25</f>
        <v>Принято органом регулирования</v>
      </c>
      <c r="AW7" s="98" cm="1" t="str">
        <f t="array" ref="AW7:AW7">AW25</f>
        <v>Принято органом регулирования</v>
      </c>
      <c r="AX7" s="98" cm="1" t="str">
        <f t="array" ref="AX7:AX7">AX25</f>
        <v>Принято органом регулирования</v>
      </c>
    </row>
    <row customHeight="1" ht="11.25" hidden="1">
      <c r="AE8" s="1758"/>
      <c r="AF8" s="1758"/>
      <c r="AG8" s="1758"/>
      <c r="AH8" s="1758"/>
      <c r="AI8" s="1758"/>
      <c r="AJ8" s="1758"/>
      <c r="AK8" s="1758"/>
      <c r="AL8" s="1758"/>
      <c r="AM8" s="1758"/>
      <c r="AN8" s="1758"/>
      <c r="AO8" s="1758"/>
      <c r="AP8" s="1758"/>
      <c r="AQ8" s="1758"/>
      <c r="AR8" s="1758"/>
      <c r="AS8" s="1758"/>
      <c r="AT8" s="1758"/>
      <c r="AU8" s="1758"/>
      <c r="AV8" s="1758"/>
      <c r="AW8" s="1758"/>
      <c r="AX8" s="1758"/>
    </row>
    <row s="1764" customFormat="1" customHeight="1" ht="11.25" hidden="1">
      <c r="A9" s="997" t="s">
        <v>365</v>
      </c>
      <c r="B9" s="1009"/>
      <c r="AE9" s="997" cm="1" t="str">
        <f t="array" ref="AE9:AE9">AE6</f>
        <v>2026</v>
      </c>
      <c r="AF9" s="997" cm="1" t="str">
        <f t="array" ref="AF9:AF9">AF6</f>
        <v>2027</v>
      </c>
      <c r="AG9" s="997" cm="1" t="str">
        <f t="array" ref="AG9:AG9">AG6</f>
        <v>2028</v>
      </c>
      <c r="AH9" s="997" cm="1" t="str">
        <f t="array" ref="AH9:AH9">AH6</f>
        <v>2029</v>
      </c>
      <c r="AI9" s="997" cm="1" t="str">
        <f t="array" ref="AI9:AI9">AI6</f>
        <v>2030</v>
      </c>
      <c r="AJ9" s="997" cm="1" t="str">
        <f t="array" ref="AJ9:AJ9">AJ6</f>
        <v>2031</v>
      </c>
      <c r="AK9" s="997" cm="1" t="str">
        <f t="array" ref="AK9:AK9">AK6</f>
        <v>2032</v>
      </c>
      <c r="AL9" s="997" cm="1" t="str">
        <f t="array" ref="AL9:AL9">AL6</f>
        <v>2033</v>
      </c>
      <c r="AM9" s="997" cm="1" t="str">
        <f t="array" ref="AM9:AM9">AM6</f>
        <v>2034</v>
      </c>
      <c r="AN9" s="997" cm="1" t="str">
        <f t="array" ref="AN9:AN9">AN6</f>
        <v>2035</v>
      </c>
      <c r="AO9" s="997" cm="1" t="str">
        <f t="array" ref="AO9:AO9">AO6</f>
        <v>2026</v>
      </c>
      <c r="AP9" s="997" cm="1" t="str">
        <f t="array" ref="AP9:AP9">AP6</f>
        <v>2027</v>
      </c>
      <c r="AQ9" s="997" cm="1" t="str">
        <f t="array" ref="AQ9:AQ9">AQ6</f>
        <v>2028</v>
      </c>
      <c r="AR9" s="997" cm="1" t="str">
        <f t="array" ref="AR9:AR9">AR6</f>
        <v>2029</v>
      </c>
      <c r="AS9" s="997" cm="1" t="str">
        <f t="array" ref="AS9:AS9">AS6</f>
        <v>2030</v>
      </c>
      <c r="AT9" s="997" cm="1" t="str">
        <f t="array" ref="AT9:AT9">AT6</f>
        <v>2031</v>
      </c>
      <c r="AU9" s="997" cm="1" t="str">
        <f t="array" ref="AU9:AU9">AU6</f>
        <v>2032</v>
      </c>
      <c r="AV9" s="997" cm="1" t="str">
        <f t="array" ref="AV9:AV9">AV6</f>
        <v>2033</v>
      </c>
      <c r="AW9" s="997" cm="1" t="str">
        <f t="array" ref="AW9:AW9">AW6</f>
        <v>2034</v>
      </c>
      <c r="AX9" s="997" cm="1" t="str">
        <f t="array" ref="AX9:AX9">AX6</f>
        <v>2035</v>
      </c>
    </row>
    <row s="1764" customFormat="1" customHeight="1" ht="11.25" hidden="1">
      <c r="A10" s="997" t="s">
        <v>366</v>
      </c>
      <c r="B10" s="1009"/>
      <c r="AE10" s="997" cm="1" t="str">
        <f t="array" ref="AE10:AE10">AE25</f>
        <v>Предложения организации</v>
      </c>
      <c r="AF10" s="997" cm="1" t="str">
        <f t="array" ref="AF10:AF10">AF25</f>
        <v>Предложения организации</v>
      </c>
      <c r="AG10" s="997" cm="1" t="str">
        <f t="array" ref="AG10:AG10">AG25</f>
        <v>Предложения организации</v>
      </c>
      <c r="AH10" s="997" cm="1" t="str">
        <f t="array" ref="AH10:AH10">AH25</f>
        <v>Предложения организации</v>
      </c>
      <c r="AI10" s="997" cm="1" t="str">
        <f t="array" ref="AI10:AI10">AI25</f>
        <v>Предложения организации</v>
      </c>
      <c r="AJ10" s="997" cm="1" t="str">
        <f t="array" ref="AJ10:AJ10">AJ25</f>
        <v>Предложения организации</v>
      </c>
      <c r="AK10" s="997" cm="1" t="str">
        <f t="array" ref="AK10:AK10">AK25</f>
        <v>Предложения организации</v>
      </c>
      <c r="AL10" s="997" cm="1" t="str">
        <f t="array" ref="AL10:AL10">AL25</f>
        <v>Предложения организации</v>
      </c>
      <c r="AM10" s="997" cm="1" t="str">
        <f t="array" ref="AM10:AM10">AM25</f>
        <v>Предложения организации</v>
      </c>
      <c r="AN10" s="997" cm="1" t="str">
        <f t="array" ref="AN10:AN10">AN25</f>
        <v>Предложения организации</v>
      </c>
      <c r="AO10" s="997" cm="1" t="str">
        <f t="array" ref="AO10:AO10">AO25</f>
        <v>Принято органом регулирования</v>
      </c>
      <c r="AP10" s="997" cm="1" t="str">
        <f t="array" ref="AP10:AP10">AP25</f>
        <v>Принято органом регулирования</v>
      </c>
      <c r="AQ10" s="997" cm="1" t="str">
        <f t="array" ref="AQ10:AQ10">AQ25</f>
        <v>Принято органом регулирования</v>
      </c>
      <c r="AR10" s="997" cm="1" t="str">
        <f t="array" ref="AR10:AR10">AR25</f>
        <v>Принято органом регулирования</v>
      </c>
      <c r="AS10" s="997" cm="1" t="str">
        <f t="array" ref="AS10:AS10">AS25</f>
        <v>Принято органом регулирования</v>
      </c>
      <c r="AT10" s="997" cm="1" t="str">
        <f t="array" ref="AT10:AT10">AT25</f>
        <v>Принято органом регулирования</v>
      </c>
      <c r="AU10" s="997" cm="1" t="str">
        <f t="array" ref="AU10:AU10">AU25</f>
        <v>Принято органом регулирования</v>
      </c>
      <c r="AV10" s="997" cm="1" t="str">
        <f t="array" ref="AV10:AV10">AV25</f>
        <v>Принято органом регулирования</v>
      </c>
      <c r="AW10" s="997" cm="1" t="str">
        <f t="array" ref="AW10:AW10">AW25</f>
        <v>Принято органом регулирования</v>
      </c>
      <c r="AX10" s="997" cm="1" t="str">
        <f t="array" ref="AX10:AX10">AX25</f>
        <v>Принято органом регулирования</v>
      </c>
    </row>
    <row s="1764" customFormat="1" customHeight="1" ht="11.25" hidden="1">
      <c r="A11" s="997" t="s">
        <v>367</v>
      </c>
      <c r="B11" s="1009"/>
      <c r="AE11" s="1764"/>
      <c r="AF11" s="1764"/>
      <c r="AG11" s="1764"/>
      <c r="AH11" s="1764"/>
      <c r="AI11" s="1764"/>
      <c r="AJ11" s="1764"/>
      <c r="AK11" s="1764"/>
      <c r="AL11" s="1764"/>
      <c r="AM11" s="1764"/>
      <c r="AN11" s="1764"/>
      <c r="AO11" s="1764"/>
      <c r="AP11" s="1764"/>
      <c r="AQ11" s="1764"/>
      <c r="AR11" s="1764"/>
      <c r="AS11" s="1764"/>
      <c r="AT11" s="1764"/>
      <c r="AU11" s="1764"/>
      <c r="AV11" s="1764"/>
      <c r="AW11" s="1764"/>
      <c r="AX11" s="1764"/>
      <c r="AY11" s="997" cm="1" t="str">
        <f t="array" ref="AY11:AY11">AY24</f>
        <v>Ссылка на правовую норму (основание для принятия показателя в расчет тарифа)</v>
      </c>
    </row>
    <row customHeight="1" ht="11.25" hidden="1">
      <c r="AE12" s="1758"/>
      <c r="AF12" s="1758"/>
      <c r="AG12" s="1758"/>
      <c r="AH12" s="1758"/>
      <c r="AI12" s="1758"/>
      <c r="AJ12" s="1758"/>
      <c r="AK12" s="1758"/>
      <c r="AL12" s="1758"/>
      <c r="AM12" s="1758"/>
      <c r="AN12" s="1758"/>
      <c r="AO12" s="1758"/>
      <c r="AP12" s="1758"/>
      <c r="AQ12" s="1758"/>
      <c r="AR12" s="1758"/>
      <c r="AS12" s="1758"/>
      <c r="AT12" s="1758"/>
      <c r="AU12" s="1758"/>
      <c r="AV12" s="1758"/>
      <c r="AW12" s="1758"/>
      <c r="AX12" s="1758"/>
    </row>
    <row customHeight="1" ht="11.25" hidden="1">
      <c r="AE13" s="98"/>
      <c r="AF13" s="98"/>
      <c r="AG13" s="98"/>
      <c r="AH13" s="98"/>
      <c r="AI13" s="98"/>
      <c r="AJ13" s="98"/>
      <c r="AK13" s="98"/>
      <c r="AL13" s="98"/>
      <c r="AM13" s="98"/>
      <c r="AN13" s="98"/>
      <c r="AO13" s="98"/>
      <c r="AP13" s="98"/>
      <c r="AQ13" s="98"/>
      <c r="AR13" s="98"/>
      <c r="AS13" s="98"/>
      <c r="AT13" s="98"/>
      <c r="AU13" s="98"/>
      <c r="AV13" s="98"/>
      <c r="AW13" s="98"/>
      <c r="AX13" s="98"/>
    </row>
    <row customHeight="1" ht="11.25" hidden="1">
      <c r="AE14" s="98"/>
      <c r="AF14" s="98"/>
      <c r="AG14" s="98"/>
      <c r="AH14" s="98"/>
      <c r="AI14" s="98"/>
      <c r="AJ14" s="98"/>
      <c r="AK14" s="98"/>
      <c r="AL14" s="98"/>
      <c r="AM14" s="98"/>
      <c r="AN14" s="98"/>
      <c r="AO14" s="98"/>
      <c r="AP14" s="98"/>
      <c r="AQ14" s="98"/>
      <c r="AR14" s="98"/>
      <c r="AS14" s="98"/>
      <c r="AT14" s="98"/>
      <c r="AU14" s="98"/>
      <c r="AV14" s="98"/>
      <c r="AW14" s="98"/>
      <c r="AX14" s="98"/>
    </row>
    <row customHeight="1" ht="11.25" hidden="1">
      <c r="AE15" s="98"/>
      <c r="AF15" s="98"/>
      <c r="AG15" s="98"/>
      <c r="AH15" s="98"/>
      <c r="AI15" s="98"/>
      <c r="AJ15" s="98"/>
      <c r="AK15" s="98"/>
      <c r="AL15" s="98"/>
      <c r="AM15" s="98"/>
      <c r="AN15" s="98"/>
      <c r="AO15" s="98"/>
      <c r="AP15" s="98"/>
      <c r="AQ15" s="98"/>
      <c r="AR15" s="98"/>
      <c r="AS15" s="98"/>
      <c r="AT15" s="98"/>
      <c r="AU15" s="98"/>
      <c r="AV15" s="98"/>
      <c r="AW15" s="98"/>
      <c r="AX15" s="98"/>
    </row>
    <row customHeight="1" ht="11.25" hidden="1">
      <c r="AE16" s="98"/>
      <c r="AF16" s="98"/>
      <c r="AG16" s="98"/>
      <c r="AH16" s="98"/>
      <c r="AI16" s="98"/>
      <c r="AJ16" s="98"/>
      <c r="AK16" s="98"/>
      <c r="AL16" s="98"/>
      <c r="AM16" s="98"/>
      <c r="AN16" s="98"/>
      <c r="AO16" s="98"/>
      <c r="AP16" s="98"/>
      <c r="AQ16" s="98"/>
      <c r="AR16" s="98"/>
      <c r="AS16" s="98"/>
      <c r="AT16" s="98"/>
      <c r="AU16" s="98"/>
      <c r="AV16" s="98"/>
      <c r="AW16" s="98"/>
      <c r="AX16" s="98"/>
    </row>
    <row customHeight="1" ht="11.25" hidden="1">
      <c r="AE17" s="1758"/>
      <c r="AF17" s="1758"/>
      <c r="AG17" s="1758"/>
      <c r="AH17" s="1758"/>
      <c r="AI17" s="1758"/>
      <c r="AJ17" s="1758"/>
      <c r="AK17" s="1758"/>
      <c r="AL17" s="1758"/>
      <c r="AM17" s="1758"/>
      <c r="AN17" s="1758"/>
      <c r="AO17" s="1758"/>
      <c r="AP17" s="1758"/>
      <c r="AQ17" s="1758"/>
      <c r="AR17" s="1758"/>
      <c r="AS17" s="1758"/>
      <c r="AT17" s="1758"/>
      <c r="AU17" s="1758"/>
      <c r="AV17" s="1758"/>
      <c r="AW17" s="1758"/>
      <c r="AX17" s="1758"/>
    </row>
    <row customHeight="1" ht="11.25" hidden="1">
      <c r="AE18" s="1758"/>
      <c r="AF18" s="1758"/>
      <c r="AG18" s="1758"/>
      <c r="AH18" s="1758"/>
      <c r="AI18" s="1758"/>
      <c r="AJ18" s="1758"/>
      <c r="AK18" s="1758"/>
      <c r="AL18" s="1758"/>
      <c r="AM18" s="1758"/>
      <c r="AN18" s="1758"/>
      <c r="AO18" s="1758"/>
      <c r="AP18" s="1758"/>
      <c r="AQ18" s="1758"/>
      <c r="AR18" s="1758"/>
      <c r="AS18" s="1758"/>
      <c r="AT18" s="1758"/>
      <c r="AU18" s="1758"/>
      <c r="AV18" s="1758"/>
      <c r="AW18" s="1758"/>
      <c r="AX18" s="1758"/>
    </row>
    <row customHeight="1" ht="11.25" hidden="1">
      <c r="AE19" s="1758"/>
      <c r="AF19" s="1758"/>
      <c r="AG19" s="1758"/>
      <c r="AH19" s="1758"/>
      <c r="AI19" s="1758"/>
      <c r="AJ19" s="1758"/>
      <c r="AK19" s="1758"/>
      <c r="AL19" s="1758"/>
      <c r="AM19" s="1758"/>
      <c r="AN19" s="1758"/>
      <c r="AO19" s="1758"/>
      <c r="AP19" s="1758"/>
      <c r="AQ19" s="1758"/>
      <c r="AR19" s="1758"/>
      <c r="AS19" s="1758"/>
      <c r="AT19" s="1758"/>
      <c r="AU19" s="1758"/>
      <c r="AV19" s="1758"/>
      <c r="AW19" s="1758"/>
      <c r="AX19" s="1758"/>
    </row>
    <row customHeight="1" ht="11.25" hidden="1">
      <c r="AE20" s="1758"/>
      <c r="AF20" s="1758"/>
      <c r="AG20" s="1758"/>
      <c r="AH20" s="1758"/>
      <c r="AI20" s="1758"/>
      <c r="AJ20" s="1758"/>
      <c r="AK20" s="1758"/>
      <c r="AL20" s="1758"/>
      <c r="AM20" s="1758"/>
      <c r="AN20" s="1758"/>
      <c r="AO20" s="1758"/>
      <c r="AP20" s="1758"/>
      <c r="AQ20" s="1758"/>
      <c r="AR20" s="1758"/>
      <c r="AS20" s="1758"/>
      <c r="AT20" s="1758"/>
      <c r="AU20" s="1758"/>
      <c r="AV20" s="1758"/>
      <c r="AW20" s="1758"/>
      <c r="AX20" s="1758"/>
    </row>
    <row customHeight="1" ht="14.625">
      <c r="E21" s="618">
        <v>15</v>
      </c>
      <c r="AA21" s="425"/>
      <c r="AB21" s="156"/>
      <c r="AC21" s="50" cm="1" t="str">
        <f t="array" ref="AC21:AC21">tpl_title</f>
        <v>Кемеровская область / 2026 / ООО "Теплоэнерго" (ИНН:4214046200, КПП:421401001) / ДПР: 2026-2030</v>
      </c>
      <c r="AD21" s="156"/>
      <c r="AE21" s="156"/>
      <c r="AF21" s="156"/>
      <c r="AG21" s="156"/>
      <c r="AH21" s="156"/>
      <c r="AI21" s="156"/>
      <c r="AJ21" s="156"/>
      <c r="AK21" s="156"/>
      <c r="AL21" s="156"/>
      <c r="AM21" s="156"/>
      <c r="AN21" s="156"/>
      <c r="AO21" s="156"/>
      <c r="AP21" s="156"/>
      <c r="AQ21" s="156"/>
      <c r="AR21" s="156"/>
      <c r="AS21" s="156"/>
      <c r="AT21" s="156"/>
      <c r="AU21" s="156"/>
      <c r="AV21" s="156"/>
      <c r="AW21" s="156"/>
      <c r="AX21" s="156"/>
    </row>
    <row customHeight="1" ht="19.5">
      <c r="E22" s="618">
        <v>20</v>
      </c>
      <c r="AB22" s="320" t="s">
        <v>72</v>
      </c>
      <c r="AC22" s="206"/>
      <c r="AD22" s="206"/>
      <c r="AE22" s="206"/>
      <c r="AF22" s="206"/>
      <c r="AG22" s="206"/>
      <c r="AH22" s="206"/>
      <c r="AI22" s="206"/>
      <c r="AJ22" s="206"/>
      <c r="AK22" s="206"/>
      <c r="AL22" s="206"/>
      <c r="AM22" s="206"/>
      <c r="AN22" s="206"/>
      <c r="AO22" s="206"/>
      <c r="AP22" s="206"/>
      <c r="AQ22" s="206"/>
      <c r="AR22" s="206"/>
      <c r="AS22" s="206"/>
      <c r="AT22" s="206"/>
      <c r="AU22" s="206"/>
      <c r="AV22" s="206"/>
      <c r="AW22" s="206"/>
      <c r="AX22" s="206"/>
      <c r="AY22" s="206"/>
    </row>
    <row customHeight="1" ht="10.96875">
      <c r="E23" s="618">
        <v>11.25</v>
      </c>
      <c r="AB23" s="156"/>
      <c r="AC23" s="156"/>
      <c r="AD23" s="156"/>
      <c r="AE23" s="156"/>
      <c r="AF23" s="156"/>
      <c r="AG23" s="156"/>
      <c r="AH23" s="156"/>
      <c r="AI23" s="156"/>
      <c r="AJ23" s="156"/>
      <c r="AK23" s="156"/>
      <c r="AL23" s="156"/>
      <c r="AM23" s="156"/>
      <c r="AN23" s="156"/>
      <c r="AO23" s="156"/>
      <c r="AP23" s="156"/>
      <c r="AQ23" s="156"/>
      <c r="AR23" s="156"/>
      <c r="AS23" s="156"/>
      <c r="AT23" s="156"/>
      <c r="AU23" s="156"/>
      <c r="AV23" s="156"/>
      <c r="AW23" s="156"/>
      <c r="AX23" s="156"/>
    </row>
    <row customHeight="1" ht="20.9625">
      <c r="E24" s="618">
        <v>21.5</v>
      </c>
      <c r="AB24" s="1564" t="s">
        <v>22</v>
      </c>
      <c r="AC24" s="1631" t="s">
        <v>2117</v>
      </c>
      <c r="AD24" s="1631" t="s">
        <v>370</v>
      </c>
      <c r="AE24" s="1118" t="str">
        <f>god&amp;" год"</f>
        <v>2026 год</v>
      </c>
      <c r="AF24" s="1118" t="str">
        <f>god+1&amp;" год"</f>
        <v>2027 год</v>
      </c>
      <c r="AG24" s="1118" t="str">
        <f>god+2&amp;" год"</f>
        <v>2028 год</v>
      </c>
      <c r="AH24" s="1118" t="str">
        <f>god+3&amp;" год"</f>
        <v>2029 год</v>
      </c>
      <c r="AI24" s="1118" t="str">
        <f>god+4&amp;" год"</f>
        <v>2030 год</v>
      </c>
      <c r="AJ24" s="1118" t="str">
        <f>god+5&amp;" год"</f>
        <v>2031 год</v>
      </c>
      <c r="AK24" s="1118" t="str">
        <f>god+6&amp;" год"</f>
        <v>2032 год</v>
      </c>
      <c r="AL24" s="1118" t="str">
        <f>god+7&amp;" год"</f>
        <v>2033 год</v>
      </c>
      <c r="AM24" s="1118" t="str">
        <f>god+8&amp;" год"</f>
        <v>2034 год</v>
      </c>
      <c r="AN24" s="1118" t="str">
        <f>god+9&amp;" год"</f>
        <v>2035 год</v>
      </c>
      <c r="AO24" s="92" t="str">
        <f>god&amp;" год"</f>
        <v>2026 год</v>
      </c>
      <c r="AP24" s="92" t="str">
        <f>god+1&amp;" год"</f>
        <v>2027 год</v>
      </c>
      <c r="AQ24" s="92" t="str">
        <f>god+2&amp;" год"</f>
        <v>2028 год</v>
      </c>
      <c r="AR24" s="92" t="str">
        <f>god+3&amp;" год"</f>
        <v>2029 год</v>
      </c>
      <c r="AS24" s="92" t="str">
        <f>god+4&amp;" год"</f>
        <v>2030 год</v>
      </c>
      <c r="AT24" s="92" t="str">
        <f>god+5&amp;" год"</f>
        <v>2031 год</v>
      </c>
      <c r="AU24" s="92" t="str">
        <f>god+6&amp;" год"</f>
        <v>2032 год</v>
      </c>
      <c r="AV24" s="92" t="str">
        <f>god+7&amp;" год"</f>
        <v>2033 год</v>
      </c>
      <c r="AW24" s="92" t="str">
        <f>god+8&amp;" год"</f>
        <v>2034 год</v>
      </c>
      <c r="AX24" s="92" t="str">
        <f>god+9&amp;" год"</f>
        <v>2035 год</v>
      </c>
      <c r="AY24" s="1625" t="s">
        <v>1242</v>
      </c>
    </row>
    <row customHeight="1" ht="56.306250000000006">
      <c r="E25" s="618">
        <v>57.75</v>
      </c>
      <c r="F25" s="426"/>
      <c r="G25" s="426"/>
      <c r="H25" s="426"/>
      <c r="I25" s="426"/>
      <c r="J25" s="426"/>
      <c r="AB25" s="1564"/>
      <c r="AC25" s="1631"/>
      <c r="AD25" s="1631"/>
      <c r="AE25" s="1120" t="s">
        <v>2118</v>
      </c>
      <c r="AF25" s="1120" t="s">
        <v>2118</v>
      </c>
      <c r="AG25" s="1120" t="s">
        <v>2118</v>
      </c>
      <c r="AH25" s="1120" t="s">
        <v>2118</v>
      </c>
      <c r="AI25" s="1120" t="s">
        <v>2118</v>
      </c>
      <c r="AJ25" s="1120" t="s">
        <v>2118</v>
      </c>
      <c r="AK25" s="1120" t="s">
        <v>2118</v>
      </c>
      <c r="AL25" s="1120" t="s">
        <v>2118</v>
      </c>
      <c r="AM25" s="1120" t="s">
        <v>2118</v>
      </c>
      <c r="AN25" s="1120" t="s">
        <v>2118</v>
      </c>
      <c r="AO25" s="91" t="s">
        <v>362</v>
      </c>
      <c r="AP25" s="91" t="s">
        <v>362</v>
      </c>
      <c r="AQ25" s="91" t="s">
        <v>362</v>
      </c>
      <c r="AR25" s="91" t="s">
        <v>362</v>
      </c>
      <c r="AS25" s="91" t="s">
        <v>362</v>
      </c>
      <c r="AT25" s="91" t="s">
        <v>362</v>
      </c>
      <c r="AU25" s="91" t="s">
        <v>362</v>
      </c>
      <c r="AV25" s="91" t="s">
        <v>362</v>
      </c>
      <c r="AW25" s="91" t="s">
        <v>362</v>
      </c>
      <c r="AX25" s="91" t="s">
        <v>362</v>
      </c>
      <c r="AY25" s="1625"/>
    </row>
    <row customHeight="1" ht="11.25" hidden="1">
      <c r="A26" s="0"/>
      <c r="B26" s="430"/>
      <c r="C26" s="0"/>
      <c r="D26" s="0"/>
      <c r="E26" s="618">
        <v>0</v>
      </c>
      <c r="F26" s="85"/>
      <c r="G26" s="0"/>
      <c r="H26" s="0"/>
      <c r="I26" s="0"/>
      <c r="J26" s="0"/>
      <c r="K26" s="0"/>
      <c r="L26" s="0"/>
      <c r="M26" s="0"/>
      <c r="N26" s="0"/>
      <c r="O26" s="0"/>
      <c r="P26" s="0"/>
      <c r="Q26" s="0"/>
      <c r="R26" s="0"/>
      <c r="S26" s="0"/>
      <c r="T26" s="0"/>
      <c r="U26" s="0"/>
      <c r="V26" s="0"/>
      <c r="W26" s="0"/>
      <c r="X26" s="0"/>
      <c r="Y26" s="0"/>
      <c r="Z26" s="0"/>
      <c r="AA26" s="0"/>
      <c r="AB26" s="0"/>
      <c r="AC26" s="100"/>
      <c r="AD26" s="100"/>
      <c r="AE26" s="100"/>
      <c r="AF26" s="100"/>
      <c r="AG26" s="0"/>
      <c r="AH26" s="0"/>
      <c r="AI26" s="0"/>
      <c r="AJ26" s="0"/>
      <c r="AK26" s="0"/>
      <c r="AL26" s="0"/>
      <c r="AM26" s="0"/>
      <c r="AN26" s="0"/>
      <c r="AO26" s="0"/>
      <c r="AP26" s="0"/>
      <c r="AQ26" s="101"/>
      <c r="AR26" s="0"/>
      <c r="AS26" s="0"/>
      <c r="AT26" s="0"/>
      <c r="AU26" s="0"/>
      <c r="AV26" s="0"/>
      <c r="AW26" s="0"/>
      <c r="AX26" s="0"/>
      <c r="AY26" s="0"/>
      <c r="AZ26" s="0"/>
    </row>
    <row customHeight="1" ht="14.625" hidden="1">
      <c r="A27" s="1758"/>
      <c r="B27" s="1416"/>
      <c r="C27" s="1758"/>
      <c r="D27" s="1758"/>
      <c r="E27" s="618">
        <v>15</v>
      </c>
      <c r="F27" s="493" cm="1" t="str">
        <f t="array" ref="F27:F27">X27</f>
        <v>0</v>
      </c>
      <c r="G27" s="426"/>
      <c r="H27" s="426"/>
      <c r="I27" s="426"/>
      <c r="J27" s="426"/>
      <c r="K27" s="1758"/>
      <c r="L27" s="1758"/>
      <c r="M27" s="1758"/>
      <c r="N27" s="1758"/>
      <c r="O27" s="1758"/>
      <c r="P27" s="1758"/>
      <c r="Q27" s="1758"/>
      <c r="R27" s="1758"/>
      <c r="S27" s="1758"/>
      <c r="T27" s="465">
        <f>X27&gt;0</f>
        <v>0</v>
      </c>
      <c r="U27" s="1758"/>
      <c r="V27" s="122" t="s">
        <v>265</v>
      </c>
      <c r="W27" s="1758"/>
      <c r="X27" s="1563">
        <v>0</v>
      </c>
      <c r="Y27" s="426"/>
      <c r="Z27" s="1597"/>
      <c r="AA27" s="426"/>
      <c r="AB27" s="242" cm="1" t="str">
        <f t="array" ref="AB27:AB27">INDEX('Общие сведения'!$AG$179:$AG$250,MATCH($X27,'Общие сведения'!$Z$179:$Z$250,0))</f>
        <v>Тариф 0 () - </v>
      </c>
      <c r="AC27" s="832"/>
      <c r="AD27" s="832"/>
      <c r="AE27" s="832"/>
      <c r="AF27" s="832"/>
      <c r="AG27" s="832"/>
      <c r="AH27" s="832"/>
      <c r="AI27" s="832"/>
      <c r="AJ27" s="832"/>
      <c r="AK27" s="832"/>
      <c r="AL27" s="832"/>
      <c r="AM27" s="832"/>
      <c r="AN27" s="832"/>
      <c r="AO27" s="832"/>
      <c r="AP27" s="832"/>
      <c r="AQ27" s="832"/>
      <c r="AR27" s="832"/>
      <c r="AS27" s="832"/>
      <c r="AT27" s="832"/>
      <c r="AU27" s="832"/>
      <c r="AV27" s="832"/>
      <c r="AW27" s="832"/>
      <c r="AX27" s="832"/>
      <c r="AY27" s="832"/>
      <c r="AZ27" s="426"/>
      <c r="BA27" s="1758"/>
      <c r="BB27" s="1764"/>
    </row>
    <row customHeight="1" ht="14.625" hidden="1">
      <c r="A28" s="241"/>
      <c r="B28" s="431"/>
      <c r="C28" s="241"/>
      <c r="D28" s="241"/>
      <c r="E28" s="691">
        <v>15</v>
      </c>
      <c r="F28" s="50" cm="1" t="str">
        <f t="array" ref="F28:F28">OFFSET(E28,-1,1)</f>
        <v>0</v>
      </c>
      <c r="G28" s="426" t="s">
        <v>332</v>
      </c>
      <c r="H28" s="147"/>
      <c r="I28" s="147"/>
      <c r="J28" s="147"/>
      <c r="K28" s="241"/>
      <c r="L28" s="241"/>
      <c r="M28" s="241"/>
      <c r="N28" s="241"/>
      <c r="O28" s="241"/>
      <c r="P28" s="241"/>
      <c r="Q28" s="241"/>
      <c r="R28" s="241"/>
      <c r="S28" s="241"/>
      <c r="T28" s="465" cm="1" t="str">
        <f t="array" ref="T28:T28">T27</f>
        <v>false</v>
      </c>
      <c r="U28" s="241"/>
      <c r="V28" s="241"/>
      <c r="W28" s="241"/>
      <c r="X28" s="1563"/>
      <c r="Y28" s="147"/>
      <c r="Z28" s="1597"/>
      <c r="AA28" s="147"/>
      <c r="AB28" s="247" t="s">
        <v>276</v>
      </c>
      <c r="AC28" s="246" t="s">
        <v>2119</v>
      </c>
      <c r="AD28" s="247" t="s">
        <v>1514</v>
      </c>
      <c r="AE28" s="844">
        <f>AE29+AE30+AE31</f>
        <v>0</v>
      </c>
      <c r="AF28" s="844">
        <f>AF29+AF30+AF31</f>
        <v>0</v>
      </c>
      <c r="AG28" s="844">
        <f>AG29+AG30+AG31</f>
        <v>0</v>
      </c>
      <c r="AH28" s="844">
        <f>AH29+AH30+AH31</f>
        <v>0</v>
      </c>
      <c r="AI28" s="844">
        <f>AI29+AI30+AI31</f>
        <v>0</v>
      </c>
      <c r="AJ28" s="844">
        <f>AJ29+AJ30+AJ31</f>
        <v>0</v>
      </c>
      <c r="AK28" s="844">
        <f>AK29+AK30+AK31</f>
        <v>0</v>
      </c>
      <c r="AL28" s="844">
        <f>AL29+AL30+AL31</f>
        <v>0</v>
      </c>
      <c r="AM28" s="844">
        <f>AM29+AM30+AM31</f>
        <v>0</v>
      </c>
      <c r="AN28" s="844">
        <f>AN29+AN30+AN31</f>
        <v>0</v>
      </c>
      <c r="AO28" s="844">
        <f>AO29+AO30+AO31</f>
        <v>0</v>
      </c>
      <c r="AP28" s="844">
        <f>AP29+AP30+AP31</f>
        <v>0</v>
      </c>
      <c r="AQ28" s="844">
        <f>AQ29+AQ30+AQ31</f>
        <v>0</v>
      </c>
      <c r="AR28" s="844">
        <f>AR29+AR30+AR31</f>
        <v>0</v>
      </c>
      <c r="AS28" s="844">
        <f>AS29+AS30+AS31</f>
        <v>0</v>
      </c>
      <c r="AT28" s="844">
        <f>AT29+AT30+AT31</f>
        <v>0</v>
      </c>
      <c r="AU28" s="844">
        <f>AU29+AU30+AU31</f>
        <v>0</v>
      </c>
      <c r="AV28" s="844">
        <f>AV29+AV30+AV31</f>
        <v>0</v>
      </c>
      <c r="AW28" s="844">
        <f>AW29+AW30+AW31</f>
        <v>0</v>
      </c>
      <c r="AX28" s="844">
        <f>AX29+AX30+AX31</f>
        <v>0</v>
      </c>
      <c r="AY28" s="5001"/>
      <c r="AZ28" s="147"/>
      <c r="BA28" s="1758"/>
      <c r="BB28" s="997" t="s">
        <v>2053</v>
      </c>
    </row>
    <row customHeight="1" ht="14.625" hidden="1">
      <c r="A29" s="1758"/>
      <c r="B29" s="1416"/>
      <c r="C29" s="1758"/>
      <c r="D29" s="1758"/>
      <c r="E29" s="618">
        <v>15</v>
      </c>
      <c r="F29" s="50" cm="1" t="str">
        <f t="array" ref="F29:F29">OFFSET(E29,-1,1)</f>
        <v>0</v>
      </c>
      <c r="G29" s="426" t="s">
        <v>1175</v>
      </c>
      <c r="H29" s="426"/>
      <c r="I29" s="426"/>
      <c r="J29" s="426"/>
      <c r="K29" s="1758"/>
      <c r="L29" s="1758"/>
      <c r="M29" s="1758"/>
      <c r="N29" s="1758"/>
      <c r="O29" s="1758"/>
      <c r="P29" s="1758"/>
      <c r="Q29" s="1758"/>
      <c r="R29" s="1758"/>
      <c r="S29" s="1758"/>
      <c r="T29" s="465" cm="1" t="str">
        <f t="array" ref="T29:T29">T28</f>
        <v>false</v>
      </c>
      <c r="U29" s="1758"/>
      <c r="V29" s="1758"/>
      <c r="W29" s="1758"/>
      <c r="X29" s="1563"/>
      <c r="Y29" s="426"/>
      <c r="Z29" s="1597"/>
      <c r="AA29" s="426"/>
      <c r="AB29" s="850" t="s">
        <v>1628</v>
      </c>
      <c r="AC29" s="851" t="s">
        <v>2120</v>
      </c>
      <c r="AD29" s="850" t="s">
        <v>1514</v>
      </c>
      <c r="AE29" s="4725"/>
      <c r="AF29" s="4725"/>
      <c r="AG29" s="4725"/>
      <c r="AH29" s="4725"/>
      <c r="AI29" s="4725"/>
      <c r="AJ29" s="4725"/>
      <c r="AK29" s="4725"/>
      <c r="AL29" s="4725"/>
      <c r="AM29" s="4725"/>
      <c r="AN29" s="4725"/>
      <c r="AO29" s="4725"/>
      <c r="AP29" s="4725"/>
      <c r="AQ29" s="4725"/>
      <c r="AR29" s="4725"/>
      <c r="AS29" s="4725"/>
      <c r="AT29" s="4725"/>
      <c r="AU29" s="4725"/>
      <c r="AV29" s="4725"/>
      <c r="AW29" s="4725"/>
      <c r="AX29" s="4725"/>
      <c r="AY29" s="5001"/>
      <c r="AZ29" s="426"/>
      <c r="BA29" s="1758"/>
      <c r="BB29" s="997" t="s">
        <v>2121</v>
      </c>
    </row>
    <row customHeight="1" ht="23.400000000000002" hidden="1">
      <c r="A30" s="1758"/>
      <c r="B30" s="1416"/>
      <c r="C30" s="1758"/>
      <c r="D30" s="1758"/>
      <c r="E30" s="618">
        <v>24</v>
      </c>
      <c r="F30" s="50" cm="1" t="str">
        <f t="array" ref="F30:F30">OFFSET(E30,-1,1)</f>
        <v>0</v>
      </c>
      <c r="G30" s="426" t="s">
        <v>1179</v>
      </c>
      <c r="H30" s="426"/>
      <c r="I30" s="426"/>
      <c r="J30" s="426"/>
      <c r="K30" s="1758"/>
      <c r="L30" s="1758"/>
      <c r="M30" s="1758"/>
      <c r="N30" s="1758"/>
      <c r="O30" s="1758"/>
      <c r="P30" s="1758"/>
      <c r="Q30" s="1758"/>
      <c r="R30" s="1758"/>
      <c r="S30" s="1758"/>
      <c r="T30" s="465" cm="1" t="str">
        <f t="array" ref="T30:T30">T29</f>
        <v>false</v>
      </c>
      <c r="U30" s="1758"/>
      <c r="V30" s="1758"/>
      <c r="W30" s="1758"/>
      <c r="X30" s="1563"/>
      <c r="Y30" s="426"/>
      <c r="Z30" s="1597"/>
      <c r="AA30" s="426"/>
      <c r="AB30" s="850" t="s">
        <v>1631</v>
      </c>
      <c r="AC30" s="851" t="s">
        <v>2122</v>
      </c>
      <c r="AD30" s="850" t="s">
        <v>1514</v>
      </c>
      <c r="AE30" s="4725"/>
      <c r="AF30" s="4725"/>
      <c r="AG30" s="4725"/>
      <c r="AH30" s="4725"/>
      <c r="AI30" s="4725"/>
      <c r="AJ30" s="4725"/>
      <c r="AK30" s="4725"/>
      <c r="AL30" s="4725"/>
      <c r="AM30" s="4725"/>
      <c r="AN30" s="4725"/>
      <c r="AO30" s="4725"/>
      <c r="AP30" s="4725"/>
      <c r="AQ30" s="4725"/>
      <c r="AR30" s="4725"/>
      <c r="AS30" s="4725"/>
      <c r="AT30" s="4725"/>
      <c r="AU30" s="4725"/>
      <c r="AV30" s="4725"/>
      <c r="AW30" s="4725"/>
      <c r="AX30" s="4725"/>
      <c r="AY30" s="5001"/>
      <c r="AZ30" s="426"/>
      <c r="BA30" s="1758"/>
      <c r="BB30" s="997" t="s">
        <v>2123</v>
      </c>
    </row>
    <row s="1834" customFormat="1" customHeight="1" ht="33.345000000000006" hidden="1">
      <c r="A31" s="122"/>
      <c r="B31" s="428"/>
      <c r="C31" s="122"/>
      <c r="D31" s="122"/>
      <c r="E31" s="618">
        <v>34.2</v>
      </c>
      <c r="F31" s="1175" cm="1" t="str">
        <f t="array" ref="F31:F31">OFFSET(E31,-1,1)</f>
        <v>0</v>
      </c>
      <c r="G31" s="426" t="s">
        <v>1182</v>
      </c>
      <c r="H31" s="426"/>
      <c r="I31" s="426"/>
      <c r="J31" s="426"/>
      <c r="K31" s="122"/>
      <c r="L31" s="122"/>
      <c r="M31" s="122"/>
      <c r="N31" s="122"/>
      <c r="O31" s="122"/>
      <c r="P31" s="122"/>
      <c r="Q31" s="122"/>
      <c r="R31" s="122"/>
      <c r="S31" s="122"/>
      <c r="T31" s="465" cm="1" t="str">
        <f t="array" ref="T31:T31">T30</f>
        <v>false</v>
      </c>
      <c r="U31" s="122"/>
      <c r="V31" s="122"/>
      <c r="W31" s="122"/>
      <c r="X31" s="1563"/>
      <c r="Y31" s="426"/>
      <c r="Z31" s="1597"/>
      <c r="AA31" s="426"/>
      <c r="AB31" s="850" t="s">
        <v>1634</v>
      </c>
      <c r="AC31" s="851" t="s">
        <v>2124</v>
      </c>
      <c r="AD31" s="850" t="s">
        <v>1514</v>
      </c>
      <c r="AE31" s="4725"/>
      <c r="AF31" s="4725"/>
      <c r="AG31" s="4725"/>
      <c r="AH31" s="4725"/>
      <c r="AI31" s="4725"/>
      <c r="AJ31" s="4725"/>
      <c r="AK31" s="4725"/>
      <c r="AL31" s="4725"/>
      <c r="AM31" s="4725"/>
      <c r="AN31" s="4725"/>
      <c r="AO31" s="4725"/>
      <c r="AP31" s="4725"/>
      <c r="AQ31" s="4725"/>
      <c r="AR31" s="4725"/>
      <c r="AS31" s="4725"/>
      <c r="AT31" s="4725"/>
      <c r="AU31" s="4725"/>
      <c r="AV31" s="4725"/>
      <c r="AW31" s="4725"/>
      <c r="AX31" s="4725"/>
      <c r="AY31" s="5001"/>
      <c r="AZ31" s="426"/>
      <c r="BA31" s="1834"/>
      <c r="BB31" s="1048" t="s">
        <v>2125</v>
      </c>
    </row>
    <row customHeight="1" ht="14.625" hidden="1">
      <c r="A32" s="1758"/>
      <c r="B32" s="1416"/>
      <c r="C32" s="1758"/>
      <c r="D32" s="1758"/>
      <c r="E32" s="618">
        <v>15</v>
      </c>
      <c r="F32" s="50" cm="1" t="str">
        <f t="array" ref="F32:F32">OFFSET(E32,-1,1)</f>
        <v>0</v>
      </c>
      <c r="G32" s="426" t="s">
        <v>333</v>
      </c>
      <c r="H32" s="426"/>
      <c r="I32" s="426"/>
      <c r="J32" s="426"/>
      <c r="K32" s="1758"/>
      <c r="L32" s="1758"/>
      <c r="M32" s="1758"/>
      <c r="N32" s="1758"/>
      <c r="O32" s="1758"/>
      <c r="P32" s="1758"/>
      <c r="Q32" s="1758"/>
      <c r="R32" s="1758"/>
      <c r="S32" s="1758"/>
      <c r="T32" s="465" cm="1" t="str">
        <f t="array" ref="T32:T32">T31</f>
        <v>false</v>
      </c>
      <c r="U32" s="1758"/>
      <c r="V32" s="1758"/>
      <c r="W32" s="1758"/>
      <c r="X32" s="1563"/>
      <c r="Y32" s="426"/>
      <c r="Z32" s="1597"/>
      <c r="AA32" s="426"/>
      <c r="AB32" s="850" t="s">
        <v>285</v>
      </c>
      <c r="AC32" s="852" t="s">
        <v>2126</v>
      </c>
      <c r="AD32" s="850" t="s">
        <v>1170</v>
      </c>
      <c r="AE32" s="853">
        <f>_xlfn.SUMIFS(Сценарии!AJ$25:AJ$163,Сценарии!$F$25:$F$163,$F32,Сценарии!$AC$25:$AC$163,"Индекс потребительских цен")</f>
        <v>0</v>
      </c>
      <c r="AF32" s="853">
        <f>_xlfn.SUMIFS(Сценарии!AO$25:AO$163,Сценарии!$F$25:$F$163,$F32,Сценарии!$AC$25:$AC$163,"Индекс потребительских цен")</f>
        <v>0</v>
      </c>
      <c r="AG32" s="853">
        <f>_xlfn.SUMIFS(Сценарии!AP$25:AP$163,Сценарии!$F$25:$F$163,$F32,Сценарии!$AC$25:$AC$163,"Индекс потребительских цен")</f>
        <v>0</v>
      </c>
      <c r="AH32" s="853">
        <f>_xlfn.SUMIFS(Сценарии!AQ$25:AQ$163,Сценарии!$F$25:$F$163,$F32,Сценарии!$AC$25:$AC$163,"Индекс потребительских цен")</f>
        <v>0</v>
      </c>
      <c r="AI32" s="853">
        <f>_xlfn.SUMIFS(Сценарии!AR$25:AR$163,Сценарии!$F$25:$F$163,$F32,Сценарии!$AC$25:$AC$163,"Индекс потребительских цен")</f>
        <v>0</v>
      </c>
      <c r="AJ32" s="853">
        <f>_xlfn.SUMIFS(Сценарии!AS$25:AS$163,Сценарии!$F$25:$F$163,$F32,Сценарии!$AC$25:$AC$163,"Индекс потребительских цен")</f>
        <v>0</v>
      </c>
      <c r="AK32" s="853">
        <f>_xlfn.SUMIFS(Сценарии!AT$25:AT$163,Сценарии!$F$25:$F$163,$F32,Сценарии!$AC$25:$AC$163,"Индекс потребительских цен")</f>
        <v>0</v>
      </c>
      <c r="AL32" s="853">
        <f>_xlfn.SUMIFS(Сценарии!AU$25:AU$163,Сценарии!$F$25:$F$163,$F32,Сценарии!$AC$25:$AC$163,"Индекс потребительских цен")</f>
        <v>0</v>
      </c>
      <c r="AM32" s="853">
        <f>_xlfn.SUMIFS(Сценарии!AV$25:AV$163,Сценарии!$F$25:$F$163,$F32,Сценарии!$AC$25:$AC$163,"Индекс потребительских цен")</f>
        <v>0</v>
      </c>
      <c r="AN32" s="853">
        <f>_xlfn.SUMIFS(Сценарии!AW$25:AW$163,Сценарии!$F$25:$F$163,$F32,Сценарии!$AC$25:$AC$163,"Индекс потребительских цен")</f>
        <v>0</v>
      </c>
      <c r="AO32" s="853">
        <f>_xlfn.SUMIFS(Сценарии!AK$25:AK$163,Сценарии!$F$25:$F$163,$F32,Сценарии!$AC$25:$AC$163,"Индекс потребительских цен")</f>
        <v>0</v>
      </c>
      <c r="AP32" s="853">
        <f>_xlfn.SUMIFS(Сценарии!AX$25:AX$163,Сценарии!$F$25:$F$163,$F32,Сценарии!$AC$25:$AC$163,"Индекс потребительских цен")</f>
        <v>0</v>
      </c>
      <c r="AQ32" s="853">
        <f>_xlfn.SUMIFS(Сценарии!AY$25:AY$163,Сценарии!$F$25:$F$163,$F32,Сценарии!$AC$25:$AC$163,"Индекс потребительских цен")</f>
        <v>0</v>
      </c>
      <c r="AR32" s="853">
        <f>_xlfn.SUMIFS(Сценарии!AZ$25:AZ$163,Сценарии!$F$25:$F$163,$F32,Сценарии!$AC$25:$AC$163,"Индекс потребительских цен")</f>
        <v>0</v>
      </c>
      <c r="AS32" s="853">
        <f>_xlfn.SUMIFS(Сценарии!BA$25:BA$163,Сценарии!$F$25:$F$163,$F32,Сценарии!$AC$25:$AC$163,"Индекс потребительских цен")</f>
        <v>0</v>
      </c>
      <c r="AT32" s="853">
        <f>_xlfn.SUMIFS(Сценарии!BB$25:BB$163,Сценарии!$F$25:$F$163,$F32,Сценарии!$AC$25:$AC$163,"Индекс потребительских цен")</f>
        <v>0</v>
      </c>
      <c r="AU32" s="853">
        <f>_xlfn.SUMIFS(Сценарии!BC$25:BC$163,Сценарии!$F$25:$F$163,$F32,Сценарии!$AC$25:$AC$163,"Индекс потребительских цен")</f>
        <v>0</v>
      </c>
      <c r="AV32" s="853">
        <f>_xlfn.SUMIFS(Сценарии!BD$25:BD$163,Сценарии!$F$25:$F$163,$F32,Сценарии!$AC$25:$AC$163,"Индекс потребительских цен")</f>
        <v>0</v>
      </c>
      <c r="AW32" s="853">
        <f>_xlfn.SUMIFS(Сценарии!BE$25:BE$163,Сценарии!$F$25:$F$163,$F32,Сценарии!$AC$25:$AC$163,"Индекс потребительских цен")</f>
        <v>0</v>
      </c>
      <c r="AX32" s="853">
        <f>_xlfn.SUMIFS(Сценарии!BF$25:BF$163,Сценарии!$F$25:$F$163,$F32,Сценарии!$AC$25:$AC$163,"Индекс потребительских цен")</f>
        <v>0</v>
      </c>
      <c r="AY32" s="5001"/>
      <c r="AZ32" s="426"/>
      <c r="BA32" s="1758"/>
      <c r="BB32" s="997" t="s">
        <v>2127</v>
      </c>
    </row>
    <row s="698" customFormat="1" customHeight="1" ht="14.625" hidden="1">
      <c r="A33" s="122"/>
      <c r="B33" s="428"/>
      <c r="C33" s="122"/>
      <c r="D33" s="122"/>
      <c r="E33" s="618">
        <v>15</v>
      </c>
      <c r="F33" s="50" cm="1" t="str">
        <f t="array" ref="F33:F33">OFFSET(E33,-1,1)</f>
        <v>0</v>
      </c>
      <c r="G33" s="426" t="s">
        <v>334</v>
      </c>
      <c r="H33" s="426"/>
      <c r="I33" s="426"/>
      <c r="J33" s="426"/>
      <c r="K33" s="122"/>
      <c r="L33" s="122"/>
      <c r="M33" s="122"/>
      <c r="N33" s="122"/>
      <c r="O33" s="122"/>
      <c r="P33" s="122"/>
      <c r="Q33" s="122"/>
      <c r="R33" s="122"/>
      <c r="S33" s="122"/>
      <c r="T33" s="465" cm="1" t="str">
        <f t="array" ref="T33:T33">T32</f>
        <v>false</v>
      </c>
      <c r="U33" s="122"/>
      <c r="V33" s="122"/>
      <c r="W33" s="122"/>
      <c r="X33" s="1563"/>
      <c r="Y33" s="426"/>
      <c r="Z33" s="1597"/>
      <c r="AA33" s="426"/>
      <c r="AB33" s="766">
        <v>3</v>
      </c>
      <c r="AC33" s="852" t="s">
        <v>2128</v>
      </c>
      <c r="AD33" s="850" t="s">
        <v>1170</v>
      </c>
      <c r="AE33" s="5179" cm="1" t="str">
        <f t="array" ref="AE33:AE33">AE32</f>
        <v>0</v>
      </c>
      <c r="AF33" s="5179">
        <f>AE33*AF32/100</f>
        <v>0</v>
      </c>
      <c r="AG33" s="5179">
        <f>AF33*AG32/100</f>
        <v>0</v>
      </c>
      <c r="AH33" s="5179">
        <f>AG33*AH32/100</f>
        <v>0</v>
      </c>
      <c r="AI33" s="5179">
        <f>AH33*AI32/100</f>
        <v>0</v>
      </c>
      <c r="AJ33" s="5179">
        <f>AI33*AJ32/100</f>
        <v>0</v>
      </c>
      <c r="AK33" s="5179">
        <f>AJ33*AK32/100</f>
        <v>0</v>
      </c>
      <c r="AL33" s="5179">
        <f>AK33*AL32/100</f>
        <v>0</v>
      </c>
      <c r="AM33" s="5179">
        <f>AL33*AM32/100</f>
        <v>0</v>
      </c>
      <c r="AN33" s="5179">
        <f>AM33*AN32/100</f>
        <v>0</v>
      </c>
      <c r="AO33" s="5179">
        <f>AN33*AO32/100</f>
        <v>0</v>
      </c>
      <c r="AP33" s="5179">
        <f>AO33*AP32/100</f>
        <v>0</v>
      </c>
      <c r="AQ33" s="5179">
        <f>AP33*AQ32/100</f>
        <v>0</v>
      </c>
      <c r="AR33" s="5179">
        <f>AQ33*AR32/100</f>
        <v>0</v>
      </c>
      <c r="AS33" s="5179">
        <f>AR33*AS32/100</f>
        <v>0</v>
      </c>
      <c r="AT33" s="5179">
        <f>AS33*AT32/100</f>
        <v>0</v>
      </c>
      <c r="AU33" s="5179">
        <f>AT33*AU32/100</f>
        <v>0</v>
      </c>
      <c r="AV33" s="5179">
        <f>AU33*AV32/100</f>
        <v>0</v>
      </c>
      <c r="AW33" s="5179">
        <f>AV33*AW32/100</f>
        <v>0</v>
      </c>
      <c r="AX33" s="5179">
        <f>AW33*AX32/100</f>
        <v>0</v>
      </c>
      <c r="AY33" s="5001"/>
      <c r="AZ33" s="426"/>
      <c r="BA33" s="698"/>
      <c r="BB33" s="1051" t="s">
        <v>2129</v>
      </c>
    </row>
    <row customHeight="1" ht="14.625" hidden="1">
      <c r="A34" s="241"/>
      <c r="B34" s="431"/>
      <c r="C34" s="241"/>
      <c r="D34" s="241"/>
      <c r="E34" s="691">
        <v>15</v>
      </c>
      <c r="F34" s="50" cm="1" t="str">
        <f t="array" ref="F34:F34">OFFSET(E34,-1,1)</f>
        <v>0</v>
      </c>
      <c r="G34" s="426" t="s">
        <v>336</v>
      </c>
      <c r="H34" s="426" t="s">
        <v>2130</v>
      </c>
      <c r="I34" s="147"/>
      <c r="J34" s="147"/>
      <c r="K34" s="241"/>
      <c r="L34" s="241"/>
      <c r="M34" s="241"/>
      <c r="N34" s="241"/>
      <c r="O34" s="241"/>
      <c r="P34" s="241"/>
      <c r="Q34" s="241"/>
      <c r="R34" s="241"/>
      <c r="S34" s="241"/>
      <c r="T34" s="465" cm="1" t="str">
        <f t="array" ref="T34:T34">T33</f>
        <v>false</v>
      </c>
      <c r="U34" s="241"/>
      <c r="V34" s="241"/>
      <c r="W34" s="241"/>
      <c r="X34" s="1563"/>
      <c r="Y34" s="147"/>
      <c r="Z34" s="1597"/>
      <c r="AA34" s="147"/>
      <c r="AB34" s="247" t="s">
        <v>295</v>
      </c>
      <c r="AC34" s="246" t="s">
        <v>2131</v>
      </c>
      <c r="AD34" s="247" t="s">
        <v>1514</v>
      </c>
      <c r="AE34" s="844">
        <f>AE28*AE33/100</f>
        <v>0</v>
      </c>
      <c r="AF34" s="844">
        <f>AF28*AF33/100</f>
        <v>0</v>
      </c>
      <c r="AG34" s="844">
        <f>AG28*AG33/100</f>
        <v>0</v>
      </c>
      <c r="AH34" s="844">
        <f>AH28*AH33/100</f>
        <v>0</v>
      </c>
      <c r="AI34" s="844">
        <f>AI28*AI33/100</f>
        <v>0</v>
      </c>
      <c r="AJ34" s="844">
        <f>AJ28*AJ33/100</f>
        <v>0</v>
      </c>
      <c r="AK34" s="844">
        <f>AK28*AK33/100</f>
        <v>0</v>
      </c>
      <c r="AL34" s="844">
        <f>AL28*AL33/100</f>
        <v>0</v>
      </c>
      <c r="AM34" s="844">
        <f>AM28*AM33/100</f>
        <v>0</v>
      </c>
      <c r="AN34" s="844">
        <f>AN28*AN33/100</f>
        <v>0</v>
      </c>
      <c r="AO34" s="844">
        <f>AO28*AO33/100</f>
        <v>0</v>
      </c>
      <c r="AP34" s="844">
        <f>AP28*AP33/100</f>
        <v>0</v>
      </c>
      <c r="AQ34" s="844">
        <f>AQ28*AQ33/100</f>
        <v>0</v>
      </c>
      <c r="AR34" s="844">
        <f>AR28*AR33/100</f>
        <v>0</v>
      </c>
      <c r="AS34" s="844">
        <f>AS28*AS33/100</f>
        <v>0</v>
      </c>
      <c r="AT34" s="844">
        <f>AT28*AT33/100</f>
        <v>0</v>
      </c>
      <c r="AU34" s="844">
        <f>AU28*AU33/100</f>
        <v>0</v>
      </c>
      <c r="AV34" s="844">
        <f>AV28*AV33/100</f>
        <v>0</v>
      </c>
      <c r="AW34" s="844">
        <f>AW28*AW33/100</f>
        <v>0</v>
      </c>
      <c r="AX34" s="844">
        <f>AX28*AX33/100</f>
        <v>0</v>
      </c>
      <c r="AY34" s="5001"/>
      <c r="AZ34" s="147"/>
      <c r="BA34" s="1758"/>
      <c r="BB34" s="997" t="s">
        <v>2132</v>
      </c>
    </row>
    <row s="1834" customFormat="1" customHeight="1" ht="14.25">
      <c r="A35" s="1758"/>
      <c r="B35" s="1416"/>
      <c r="C35" s="1758"/>
      <c r="D35" s="1758"/>
      <c r="E35" s="618">
        <v>15</v>
      </c>
      <c r="F35" s="493" cm="1" t="str">
        <f t="array" ref="F35:F35">X35</f>
        <v>1</v>
      </c>
      <c r="G35" s="426"/>
      <c r="H35" s="426"/>
      <c r="I35" s="426"/>
      <c r="J35" s="426"/>
      <c r="K35" s="1758"/>
      <c r="L35" s="1758"/>
      <c r="M35" s="1758"/>
      <c r="N35" s="1758"/>
      <c r="O35" s="1758"/>
      <c r="P35" s="1758"/>
      <c r="Q35" s="1758"/>
      <c r="R35" s="1758"/>
      <c r="S35" s="1758"/>
      <c r="T35" s="465">
        <f>X35&gt;0</f>
        <v>1</v>
      </c>
      <c r="U35" s="1758"/>
      <c r="V35" s="122" cm="1" t="str">
        <f t="array" ref="V35:V35">'ИП + источники'!$AB$87</f>
        <v>Тариф 1 (Водоснабжение) - тариф на питьевую воду (Доп. признак не требуется)</v>
      </c>
      <c r="W35" s="1758"/>
      <c r="X35" s="1563" t="s">
        <v>276</v>
      </c>
      <c r="Y35" s="426"/>
      <c r="Z35" s="1597"/>
      <c r="AA35" s="426"/>
      <c r="AB35" s="242" cm="1" t="str">
        <f t="array" ref="AB35:AB35">'ИП + источники'!$AB$87</f>
        <v>Тариф 1 (Водоснабжение) - тариф на питьевую воду (Доп. признак не требуется)</v>
      </c>
      <c r="AC35" s="832"/>
      <c r="AD35" s="832"/>
      <c r="AE35" s="832"/>
      <c r="AF35" s="832"/>
      <c r="AG35" s="832"/>
      <c r="AH35" s="832"/>
      <c r="AI35" s="832"/>
      <c r="AJ35" s="832"/>
      <c r="AK35" s="832"/>
      <c r="AL35" s="832"/>
      <c r="AM35" s="832"/>
      <c r="AN35" s="832"/>
      <c r="AO35" s="832"/>
      <c r="AP35" s="832"/>
      <c r="AQ35" s="832"/>
      <c r="AR35" s="832"/>
      <c r="AS35" s="832"/>
      <c r="AT35" s="832"/>
      <c r="AU35" s="832"/>
      <c r="AV35" s="832"/>
      <c r="AW35" s="832"/>
      <c r="AX35" s="832"/>
      <c r="AY35" s="832"/>
      <c r="AZ35" s="426"/>
      <c r="BA35" s="1758"/>
      <c r="BB35" s="1764"/>
    </row>
    <row s="1834" customFormat="1" customHeight="1" ht="14.25">
      <c r="A36" s="241"/>
      <c r="B36" s="431"/>
      <c r="C36" s="241"/>
      <c r="D36" s="241"/>
      <c r="E36" s="691">
        <v>15</v>
      </c>
      <c r="F36" s="50" cm="1" t="str">
        <f t="array" ref="F36:F36">OFFSET(E36,-1,1)</f>
        <v>1</v>
      </c>
      <c r="G36" s="426" t="s">
        <v>332</v>
      </c>
      <c r="H36" s="147"/>
      <c r="I36" s="147"/>
      <c r="J36" s="147"/>
      <c r="K36" s="241"/>
      <c r="L36" s="241"/>
      <c r="M36" s="241"/>
      <c r="N36" s="241"/>
      <c r="O36" s="241"/>
      <c r="P36" s="241"/>
      <c r="Q36" s="241"/>
      <c r="R36" s="241"/>
      <c r="S36" s="241"/>
      <c r="T36" s="465" cm="1" t="str">
        <f t="array" ref="T36:T36">T35</f>
        <v>true</v>
      </c>
      <c r="U36" s="241"/>
      <c r="V36" s="241"/>
      <c r="W36" s="241"/>
      <c r="X36" s="1563"/>
      <c r="Y36" s="147"/>
      <c r="Z36" s="1597"/>
      <c r="AA36" s="147"/>
      <c r="AB36" s="247" t="s">
        <v>276</v>
      </c>
      <c r="AC36" s="246" t="s">
        <v>2119</v>
      </c>
      <c r="AD36" s="247" t="s">
        <v>1514</v>
      </c>
      <c r="AE36" s="844">
        <f>AE37+AE38+AE39</f>
        <v>0</v>
      </c>
      <c r="AF36" s="844">
        <f>AF37+AF38+AF39</f>
        <v>0</v>
      </c>
      <c r="AG36" s="844">
        <f>AG37+AG38+AG39</f>
        <v>0</v>
      </c>
      <c r="AH36" s="844">
        <f>AH37+AH38+AH39</f>
        <v>0</v>
      </c>
      <c r="AI36" s="844">
        <f>AI37+AI38+AI39</f>
        <v>0</v>
      </c>
      <c r="AJ36" s="844">
        <f>AJ37+AJ38+AJ39</f>
        <v>0</v>
      </c>
      <c r="AK36" s="844">
        <f>AK37+AK38+AK39</f>
        <v>0</v>
      </c>
      <c r="AL36" s="844">
        <f>AL37+AL38+AL39</f>
        <v>0</v>
      </c>
      <c r="AM36" s="844">
        <f>AM37+AM38+AM39</f>
        <v>0</v>
      </c>
      <c r="AN36" s="844">
        <f>AN37+AN38+AN39</f>
        <v>0</v>
      </c>
      <c r="AO36" s="844">
        <f>AO37+AO38+AO39</f>
        <v>0</v>
      </c>
      <c r="AP36" s="844">
        <f>AP37+AP38+AP39</f>
        <v>0</v>
      </c>
      <c r="AQ36" s="844">
        <f>AQ37+AQ38+AQ39</f>
        <v>0</v>
      </c>
      <c r="AR36" s="844">
        <f>AR37+AR38+AR39</f>
        <v>0</v>
      </c>
      <c r="AS36" s="844">
        <f>AS37+AS38+AS39</f>
        <v>0</v>
      </c>
      <c r="AT36" s="844">
        <f>AT37+AT38+AT39</f>
        <v>0</v>
      </c>
      <c r="AU36" s="844">
        <f>AU37+AU38+AU39</f>
        <v>0</v>
      </c>
      <c r="AV36" s="844">
        <f>AV37+AV38+AV39</f>
        <v>0</v>
      </c>
      <c r="AW36" s="844">
        <f>AW37+AW38+AW39</f>
        <v>0</v>
      </c>
      <c r="AX36" s="844">
        <f>AX37+AX38+AX39</f>
        <v>0</v>
      </c>
      <c r="AY36" s="774"/>
      <c r="AZ36" s="147"/>
      <c r="BA36" s="1758"/>
      <c r="BB36" s="997" t="s">
        <v>2053</v>
      </c>
    </row>
    <row s="1834" customFormat="1" customHeight="1" ht="14.25">
      <c r="A37" s="1758"/>
      <c r="B37" s="1416"/>
      <c r="C37" s="1758"/>
      <c r="D37" s="1758"/>
      <c r="E37" s="618">
        <v>15</v>
      </c>
      <c r="F37" s="50" cm="1" t="str">
        <f t="array" ref="F37:F37">OFFSET(E37,-1,1)</f>
        <v>1</v>
      </c>
      <c r="G37" s="426" t="s">
        <v>1175</v>
      </c>
      <c r="H37" s="426"/>
      <c r="I37" s="426"/>
      <c r="J37" s="426"/>
      <c r="K37" s="1758"/>
      <c r="L37" s="1758"/>
      <c r="M37" s="1758"/>
      <c r="N37" s="1758"/>
      <c r="O37" s="1758"/>
      <c r="P37" s="1758"/>
      <c r="Q37" s="1758"/>
      <c r="R37" s="1758"/>
      <c r="S37" s="1758"/>
      <c r="T37" s="465" cm="1" t="str">
        <f t="array" ref="T37:T37">T36</f>
        <v>true</v>
      </c>
      <c r="U37" s="1758"/>
      <c r="V37" s="1758"/>
      <c r="W37" s="1758"/>
      <c r="X37" s="1563"/>
      <c r="Y37" s="426"/>
      <c r="Z37" s="1597"/>
      <c r="AA37" s="426"/>
      <c r="AB37" s="850" t="s">
        <v>1628</v>
      </c>
      <c r="AC37" s="851" t="s">
        <v>2120</v>
      </c>
      <c r="AD37" s="850" t="s">
        <v>1514</v>
      </c>
      <c r="AE37" s="298"/>
      <c r="AF37" s="298"/>
      <c r="AG37" s="298"/>
      <c r="AH37" s="298"/>
      <c r="AI37" s="298"/>
      <c r="AJ37" s="4725"/>
      <c r="AK37" s="4725"/>
      <c r="AL37" s="4725"/>
      <c r="AM37" s="4725"/>
      <c r="AN37" s="4725"/>
      <c r="AO37" s="298"/>
      <c r="AP37" s="298"/>
      <c r="AQ37" s="298"/>
      <c r="AR37" s="298"/>
      <c r="AS37" s="298"/>
      <c r="AT37" s="4725"/>
      <c r="AU37" s="4725"/>
      <c r="AV37" s="4725"/>
      <c r="AW37" s="4725"/>
      <c r="AX37" s="4725"/>
      <c r="AY37" s="774"/>
      <c r="AZ37" s="426"/>
      <c r="BA37" s="1758"/>
      <c r="BB37" s="997" t="s">
        <v>2121</v>
      </c>
    </row>
    <row s="1834" customFormat="1" customHeight="1" ht="23.25">
      <c r="A38" s="1758"/>
      <c r="B38" s="1416"/>
      <c r="C38" s="1758"/>
      <c r="D38" s="1758"/>
      <c r="E38" s="618">
        <v>24</v>
      </c>
      <c r="F38" s="50" cm="1" t="str">
        <f t="array" ref="F38:F38">OFFSET(E38,-1,1)</f>
        <v>1</v>
      </c>
      <c r="G38" s="426" t="s">
        <v>1179</v>
      </c>
      <c r="H38" s="426"/>
      <c r="I38" s="426"/>
      <c r="J38" s="426"/>
      <c r="K38" s="1758"/>
      <c r="L38" s="1758"/>
      <c r="M38" s="1758"/>
      <c r="N38" s="1758"/>
      <c r="O38" s="1758"/>
      <c r="P38" s="1758"/>
      <c r="Q38" s="1758"/>
      <c r="R38" s="1758"/>
      <c r="S38" s="1758"/>
      <c r="T38" s="465" cm="1" t="str">
        <f t="array" ref="T38:T38">T37</f>
        <v>true</v>
      </c>
      <c r="U38" s="1758"/>
      <c r="V38" s="1758"/>
      <c r="W38" s="1758"/>
      <c r="X38" s="1563"/>
      <c r="Y38" s="426"/>
      <c r="Z38" s="1597"/>
      <c r="AA38" s="426"/>
      <c r="AB38" s="850" t="s">
        <v>1631</v>
      </c>
      <c r="AC38" s="851" t="s">
        <v>2122</v>
      </c>
      <c r="AD38" s="850" t="s">
        <v>1514</v>
      </c>
      <c r="AE38" s="298"/>
      <c r="AF38" s="298"/>
      <c r="AG38" s="298"/>
      <c r="AH38" s="298"/>
      <c r="AI38" s="298"/>
      <c r="AJ38" s="4725"/>
      <c r="AK38" s="4725"/>
      <c r="AL38" s="4725"/>
      <c r="AM38" s="4725"/>
      <c r="AN38" s="4725"/>
      <c r="AO38" s="298"/>
      <c r="AP38" s="298"/>
      <c r="AQ38" s="298"/>
      <c r="AR38" s="298"/>
      <c r="AS38" s="298"/>
      <c r="AT38" s="4725"/>
      <c r="AU38" s="4725"/>
      <c r="AV38" s="4725"/>
      <c r="AW38" s="4725"/>
      <c r="AX38" s="4725"/>
      <c r="AY38" s="774"/>
      <c r="AZ38" s="426"/>
      <c r="BA38" s="1758"/>
      <c r="BB38" s="997" t="s">
        <v>2123</v>
      </c>
    </row>
    <row s="1834" customFormat="1" customHeight="1" ht="33">
      <c r="A39" s="122"/>
      <c r="B39" s="428"/>
      <c r="C39" s="122"/>
      <c r="D39" s="122"/>
      <c r="E39" s="618">
        <v>34.2</v>
      </c>
      <c r="F39" s="1175" cm="1" t="str">
        <f t="array" ref="F39:F39">OFFSET(E39,-1,1)</f>
        <v>1</v>
      </c>
      <c r="G39" s="426" t="s">
        <v>1182</v>
      </c>
      <c r="H39" s="426"/>
      <c r="I39" s="426"/>
      <c r="J39" s="426"/>
      <c r="K39" s="122"/>
      <c r="L39" s="122"/>
      <c r="M39" s="122"/>
      <c r="N39" s="122"/>
      <c r="O39" s="122"/>
      <c r="P39" s="122"/>
      <c r="Q39" s="122"/>
      <c r="R39" s="122"/>
      <c r="S39" s="122"/>
      <c r="T39" s="465" cm="1" t="str">
        <f t="array" ref="T39:T39">T38</f>
        <v>true</v>
      </c>
      <c r="U39" s="122"/>
      <c r="V39" s="122"/>
      <c r="W39" s="122"/>
      <c r="X39" s="1563"/>
      <c r="Y39" s="426"/>
      <c r="Z39" s="1597"/>
      <c r="AA39" s="426"/>
      <c r="AB39" s="850" t="s">
        <v>1634</v>
      </c>
      <c r="AC39" s="851" t="s">
        <v>2124</v>
      </c>
      <c r="AD39" s="850" t="s">
        <v>1514</v>
      </c>
      <c r="AE39" s="298"/>
      <c r="AF39" s="298"/>
      <c r="AG39" s="298"/>
      <c r="AH39" s="298"/>
      <c r="AI39" s="298"/>
      <c r="AJ39" s="4725"/>
      <c r="AK39" s="4725"/>
      <c r="AL39" s="4725"/>
      <c r="AM39" s="4725"/>
      <c r="AN39" s="4725"/>
      <c r="AO39" s="298"/>
      <c r="AP39" s="298"/>
      <c r="AQ39" s="298"/>
      <c r="AR39" s="298"/>
      <c r="AS39" s="298"/>
      <c r="AT39" s="4725"/>
      <c r="AU39" s="4725"/>
      <c r="AV39" s="4725"/>
      <c r="AW39" s="4725"/>
      <c r="AX39" s="4725"/>
      <c r="AY39" s="774"/>
      <c r="AZ39" s="426"/>
      <c r="BA39" s="1834"/>
      <c r="BB39" s="1048" t="s">
        <v>2125</v>
      </c>
    </row>
    <row s="1834" customFormat="1" customHeight="1" ht="14.25">
      <c r="A40" s="1758"/>
      <c r="B40" s="1416"/>
      <c r="C40" s="1758"/>
      <c r="D40" s="1758"/>
      <c r="E40" s="618">
        <v>15</v>
      </c>
      <c r="F40" s="50" cm="1" t="str">
        <f t="array" ref="F40:F40">OFFSET(E40,-1,1)</f>
        <v>1</v>
      </c>
      <c r="G40" s="426" t="s">
        <v>333</v>
      </c>
      <c r="H40" s="426"/>
      <c r="I40" s="426"/>
      <c r="J40" s="426"/>
      <c r="K40" s="1758"/>
      <c r="L40" s="1758"/>
      <c r="M40" s="1758"/>
      <c r="N40" s="1758"/>
      <c r="O40" s="1758"/>
      <c r="P40" s="1758"/>
      <c r="Q40" s="1758"/>
      <c r="R40" s="1758"/>
      <c r="S40" s="1758"/>
      <c r="T40" s="465" cm="1" t="str">
        <f t="array" ref="T40:T40">T39</f>
        <v>true</v>
      </c>
      <c r="U40" s="1758"/>
      <c r="V40" s="1758"/>
      <c r="W40" s="1758"/>
      <c r="X40" s="1563"/>
      <c r="Y40" s="426"/>
      <c r="Z40" s="1597"/>
      <c r="AA40" s="426"/>
      <c r="AB40" s="850" t="s">
        <v>285</v>
      </c>
      <c r="AC40" s="852" t="s">
        <v>2126</v>
      </c>
      <c r="AD40" s="850" t="s">
        <v>1170</v>
      </c>
      <c r="AE40" s="853">
        <f>_xlfn.SUMIFS(Сценарии!AJ$25:AJ$163,Сценарии!$F$25:$F$163,$F40,Сценарии!$AC$25:$AC$163,"Индекс потребительских цен")</f>
        <v>5.1</v>
      </c>
      <c r="AF40" s="853">
        <f>_xlfn.SUMIFS(Сценарии!AO$25:AO$163,Сценарии!$F$25:$F$163,$F40,Сценарии!$AC$25:$AC$163,"Индекс потребительских цен")</f>
        <v>4</v>
      </c>
      <c r="AG40" s="853">
        <f>_xlfn.SUMIFS(Сценарии!AP$25:AP$163,Сценарии!$F$25:$F$163,$F40,Сценарии!$AC$25:$AC$163,"Индекс потребительских цен")</f>
        <v>4</v>
      </c>
      <c r="AH40" s="853">
        <f>_xlfn.SUMIFS(Сценарии!AQ$25:AQ$163,Сценарии!$F$25:$F$163,$F40,Сценарии!$AC$25:$AC$163,"Индекс потребительских цен")</f>
        <v>4</v>
      </c>
      <c r="AI40" s="853">
        <f>_xlfn.SUMIFS(Сценарии!AR$25:AR$163,Сценарии!$F$25:$F$163,$F40,Сценарии!$AC$25:$AC$163,"Индекс потребительских цен")</f>
        <v>4</v>
      </c>
      <c r="AJ40" s="853">
        <f>_xlfn.SUMIFS(Сценарии!AS$25:AS$163,Сценарии!$F$25:$F$163,$F40,Сценарии!$AC$25:$AC$163,"Индекс потребительских цен")</f>
        <v>0</v>
      </c>
      <c r="AK40" s="853">
        <f>_xlfn.SUMIFS(Сценарии!AT$25:AT$163,Сценарии!$F$25:$F$163,$F40,Сценарии!$AC$25:$AC$163,"Индекс потребительских цен")</f>
        <v>0</v>
      </c>
      <c r="AL40" s="853">
        <f>_xlfn.SUMIFS(Сценарии!AU$25:AU$163,Сценарии!$F$25:$F$163,$F40,Сценарии!$AC$25:$AC$163,"Индекс потребительских цен")</f>
        <v>0</v>
      </c>
      <c r="AM40" s="853">
        <f>_xlfn.SUMIFS(Сценарии!AV$25:AV$163,Сценарии!$F$25:$F$163,$F40,Сценарии!$AC$25:$AC$163,"Индекс потребительских цен")</f>
        <v>0</v>
      </c>
      <c r="AN40" s="853">
        <f>_xlfn.SUMIFS(Сценарии!AW$25:AW$163,Сценарии!$F$25:$F$163,$F40,Сценарии!$AC$25:$AC$163,"Индекс потребительских цен")</f>
        <v>0</v>
      </c>
      <c r="AO40" s="853">
        <f>_xlfn.SUMIFS(Сценарии!AK$25:AK$163,Сценарии!$F$25:$F$163,$F40,Сценарии!$AC$25:$AC$163,"Индекс потребительских цен")</f>
        <v>5.1</v>
      </c>
      <c r="AP40" s="853">
        <f>_xlfn.SUMIFS(Сценарии!AX$25:AX$163,Сценарии!$F$25:$F$163,$F40,Сценарии!$AC$25:$AC$163,"Индекс потребительских цен")</f>
        <v>4</v>
      </c>
      <c r="AQ40" s="853">
        <f>_xlfn.SUMIFS(Сценарии!AY$25:AY$163,Сценарии!$F$25:$F$163,$F40,Сценарии!$AC$25:$AC$163,"Индекс потребительских цен")</f>
        <v>4</v>
      </c>
      <c r="AR40" s="853">
        <f>_xlfn.SUMIFS(Сценарии!AZ$25:AZ$163,Сценарии!$F$25:$F$163,$F40,Сценарии!$AC$25:$AC$163,"Индекс потребительских цен")</f>
        <v>4</v>
      </c>
      <c r="AS40" s="853">
        <f>_xlfn.SUMIFS(Сценарии!BA$25:BA$163,Сценарии!$F$25:$F$163,$F40,Сценарии!$AC$25:$AC$163,"Индекс потребительских цен")</f>
        <v>4</v>
      </c>
      <c r="AT40" s="853">
        <f>_xlfn.SUMIFS(Сценарии!BB$25:BB$163,Сценарии!$F$25:$F$163,$F40,Сценарии!$AC$25:$AC$163,"Индекс потребительских цен")</f>
        <v>0</v>
      </c>
      <c r="AU40" s="853">
        <f>_xlfn.SUMIFS(Сценарии!BC$25:BC$163,Сценарии!$F$25:$F$163,$F40,Сценарии!$AC$25:$AC$163,"Индекс потребительских цен")</f>
        <v>0</v>
      </c>
      <c r="AV40" s="853">
        <f>_xlfn.SUMIFS(Сценарии!BD$25:BD$163,Сценарии!$F$25:$F$163,$F40,Сценарии!$AC$25:$AC$163,"Индекс потребительских цен")</f>
        <v>0</v>
      </c>
      <c r="AW40" s="853">
        <f>_xlfn.SUMIFS(Сценарии!BE$25:BE$163,Сценарии!$F$25:$F$163,$F40,Сценарии!$AC$25:$AC$163,"Индекс потребительских цен")</f>
        <v>0</v>
      </c>
      <c r="AX40" s="853">
        <f>_xlfn.SUMIFS(Сценарии!BF$25:BF$163,Сценарии!$F$25:$F$163,$F40,Сценарии!$AC$25:$AC$163,"Индекс потребительских цен")</f>
        <v>0</v>
      </c>
      <c r="AY40" s="774"/>
      <c r="AZ40" s="426"/>
      <c r="BA40" s="1758"/>
      <c r="BB40" s="997" t="s">
        <v>2127</v>
      </c>
    </row>
    <row s="1469" customFormat="1" customHeight="1" ht="14.25">
      <c r="A41" s="122"/>
      <c r="B41" s="428"/>
      <c r="C41" s="122"/>
      <c r="D41" s="122"/>
      <c r="E41" s="618">
        <v>15</v>
      </c>
      <c r="F41" s="50" cm="1" t="str">
        <f t="array" ref="F41:F41">OFFSET(E41,-1,1)</f>
        <v>1</v>
      </c>
      <c r="G41" s="426" t="s">
        <v>334</v>
      </c>
      <c r="H41" s="426"/>
      <c r="I41" s="426"/>
      <c r="J41" s="426"/>
      <c r="K41" s="122"/>
      <c r="L41" s="122"/>
      <c r="M41" s="122"/>
      <c r="N41" s="122"/>
      <c r="O41" s="122"/>
      <c r="P41" s="122"/>
      <c r="Q41" s="122"/>
      <c r="R41" s="122"/>
      <c r="S41" s="122"/>
      <c r="T41" s="465" cm="1" t="str">
        <f t="array" ref="T41:T41">T40</f>
        <v>true</v>
      </c>
      <c r="U41" s="122"/>
      <c r="V41" s="122"/>
      <c r="W41" s="122"/>
      <c r="X41" s="1563"/>
      <c r="Y41" s="426"/>
      <c r="Z41" s="1597"/>
      <c r="AA41" s="426"/>
      <c r="AB41" s="766">
        <v>3</v>
      </c>
      <c r="AC41" s="852" t="s">
        <v>2128</v>
      </c>
      <c r="AD41" s="850" t="s">
        <v>1170</v>
      </c>
      <c r="AE41" s="854" cm="1" t="str">
        <f t="array" ref="AE41:AE41">AE40</f>
        <v>5.1</v>
      </c>
      <c r="AF41" s="854">
        <f>AE41*AF40/100</f>
        <v>0.204</v>
      </c>
      <c r="AG41" s="854">
        <f>AF41*AG40/100</f>
        <v>0.00816</v>
      </c>
      <c r="AH41" s="854">
        <f>AG41*AH40/100</f>
        <v>0.0003264</v>
      </c>
      <c r="AI41" s="854">
        <f>AH41*AI40/100</f>
        <v>0.000013056</v>
      </c>
      <c r="AJ41" s="5179">
        <f>AI41*AJ40/100</f>
        <v>0</v>
      </c>
      <c r="AK41" s="5179">
        <f>AJ41*AK40/100</f>
        <v>0</v>
      </c>
      <c r="AL41" s="5179">
        <f>AK41*AL40/100</f>
        <v>0</v>
      </c>
      <c r="AM41" s="5179">
        <f>AL41*AM40/100</f>
        <v>0</v>
      </c>
      <c r="AN41" s="5179">
        <f>AM41*AN40/100</f>
        <v>0</v>
      </c>
      <c r="AO41" s="854">
        <f>AN41*AO40/100</f>
        <v>0</v>
      </c>
      <c r="AP41" s="854">
        <f>AO41*AP40/100</f>
        <v>0</v>
      </c>
      <c r="AQ41" s="854">
        <f>AP41*AQ40/100</f>
        <v>0</v>
      </c>
      <c r="AR41" s="854">
        <f>AQ41*AR40/100</f>
        <v>0</v>
      </c>
      <c r="AS41" s="854">
        <f>AR41*AS40/100</f>
        <v>0</v>
      </c>
      <c r="AT41" s="5179">
        <f>AS41*AT40/100</f>
        <v>0</v>
      </c>
      <c r="AU41" s="5179">
        <f>AT41*AU40/100</f>
        <v>0</v>
      </c>
      <c r="AV41" s="5179">
        <f>AU41*AV40/100</f>
        <v>0</v>
      </c>
      <c r="AW41" s="5179">
        <f>AV41*AW40/100</f>
        <v>0</v>
      </c>
      <c r="AX41" s="5179">
        <f>AW41*AX40/100</f>
        <v>0</v>
      </c>
      <c r="AY41" s="774"/>
      <c r="AZ41" s="426"/>
      <c r="BA41" s="698"/>
      <c r="BB41" s="1051" t="s">
        <v>2129</v>
      </c>
    </row>
    <row s="1834" customFormat="1" customHeight="1" ht="14.25">
      <c r="A42" s="241"/>
      <c r="B42" s="431"/>
      <c r="C42" s="241"/>
      <c r="D42" s="241"/>
      <c r="E42" s="691">
        <v>15</v>
      </c>
      <c r="F42" s="50" cm="1" t="str">
        <f t="array" ref="F42:F42">OFFSET(E42,-1,1)</f>
        <v>1</v>
      </c>
      <c r="G42" s="426" t="s">
        <v>336</v>
      </c>
      <c r="H42" s="426" t="s">
        <v>2130</v>
      </c>
      <c r="I42" s="147"/>
      <c r="J42" s="147"/>
      <c r="K42" s="241"/>
      <c r="L42" s="241"/>
      <c r="M42" s="241"/>
      <c r="N42" s="241"/>
      <c r="O42" s="241"/>
      <c r="P42" s="241"/>
      <c r="Q42" s="241"/>
      <c r="R42" s="241"/>
      <c r="S42" s="241"/>
      <c r="T42" s="465" cm="1" t="str">
        <f t="array" ref="T42:T42">T41</f>
        <v>true</v>
      </c>
      <c r="U42" s="241"/>
      <c r="V42" s="241"/>
      <c r="W42" s="241"/>
      <c r="X42" s="1563"/>
      <c r="Y42" s="147"/>
      <c r="Z42" s="1597"/>
      <c r="AA42" s="147"/>
      <c r="AB42" s="247" t="s">
        <v>295</v>
      </c>
      <c r="AC42" s="246" t="s">
        <v>2131</v>
      </c>
      <c r="AD42" s="247" t="s">
        <v>1514</v>
      </c>
      <c r="AE42" s="844">
        <f>AE36*AE41/100</f>
        <v>0</v>
      </c>
      <c r="AF42" s="844">
        <f>AF36*AF41/100</f>
        <v>0</v>
      </c>
      <c r="AG42" s="844">
        <f>AG36*AG41/100</f>
        <v>0</v>
      </c>
      <c r="AH42" s="844">
        <f>AH36*AH41/100</f>
        <v>0</v>
      </c>
      <c r="AI42" s="844">
        <f>AI36*AI41/100</f>
        <v>0</v>
      </c>
      <c r="AJ42" s="844">
        <f>AJ36*AJ41/100</f>
        <v>0</v>
      </c>
      <c r="AK42" s="844">
        <f>AK36*AK41/100</f>
        <v>0</v>
      </c>
      <c r="AL42" s="844">
        <f>AL36*AL41/100</f>
        <v>0</v>
      </c>
      <c r="AM42" s="844">
        <f>AM36*AM41/100</f>
        <v>0</v>
      </c>
      <c r="AN42" s="844">
        <f>AN36*AN41/100</f>
        <v>0</v>
      </c>
      <c r="AO42" s="844">
        <f>AO36*AO41/100</f>
        <v>0</v>
      </c>
      <c r="AP42" s="844">
        <f>AP36*AP41/100</f>
        <v>0</v>
      </c>
      <c r="AQ42" s="844">
        <f>AQ36*AQ41/100</f>
        <v>0</v>
      </c>
      <c r="AR42" s="844">
        <f>AR36*AR41/100</f>
        <v>0</v>
      </c>
      <c r="AS42" s="844">
        <f>AS36*AS41/100</f>
        <v>0</v>
      </c>
      <c r="AT42" s="844">
        <f>AT36*AT41/100</f>
        <v>0</v>
      </c>
      <c r="AU42" s="844">
        <f>AU36*AU41/100</f>
        <v>0</v>
      </c>
      <c r="AV42" s="844">
        <f>AV36*AV41/100</f>
        <v>0</v>
      </c>
      <c r="AW42" s="844">
        <f>AW36*AW41/100</f>
        <v>0</v>
      </c>
      <c r="AX42" s="844">
        <f>AX36*AX41/100</f>
        <v>0</v>
      </c>
      <c r="AY42" s="774"/>
      <c r="AZ42" s="147"/>
      <c r="BA42" s="1758"/>
      <c r="BB42" s="997" t="s">
        <v>2132</v>
      </c>
    </row>
    <row s="1834" customFormat="1" customHeight="1" ht="14.25">
      <c r="A43" s="1758"/>
      <c r="B43" s="1416"/>
      <c r="C43" s="1758"/>
      <c r="D43" s="1758"/>
      <c r="E43" s="618">
        <v>15</v>
      </c>
      <c r="F43" s="493" cm="1" t="str">
        <f t="array" ref="F43:F43">X43</f>
        <v>2</v>
      </c>
      <c r="G43" s="426"/>
      <c r="H43" s="426"/>
      <c r="I43" s="426"/>
      <c r="J43" s="426"/>
      <c r="K43" s="1758"/>
      <c r="L43" s="1758"/>
      <c r="M43" s="1758"/>
      <c r="N43" s="1758"/>
      <c r="O43" s="1758"/>
      <c r="P43" s="1758"/>
      <c r="Q43" s="1758"/>
      <c r="R43" s="1758"/>
      <c r="S43" s="1758"/>
      <c r="T43" s="465">
        <f>X43&gt;0</f>
        <v>1</v>
      </c>
      <c r="U43" s="1758"/>
      <c r="V43" s="122" cm="1" t="str">
        <f t="array" ref="V43:V43">'ИП + источники'!$AB$116</f>
        <v>Тариф 2 (Водоснабжение) - тариф на питьевую воду (Доп. признак не требуется)</v>
      </c>
      <c r="W43" s="1758"/>
      <c r="X43" s="1563" t="s">
        <v>285</v>
      </c>
      <c r="Y43" s="426"/>
      <c r="Z43" s="1597"/>
      <c r="AA43" s="426"/>
      <c r="AB43" s="242" cm="1" t="str">
        <f t="array" ref="AB43:AB43">'ИП + источники'!$AB$116</f>
        <v>Тариф 2 (Водоснабжение) - тариф на питьевую воду (Доп. признак не требуется)</v>
      </c>
      <c r="AC43" s="832"/>
      <c r="AD43" s="832"/>
      <c r="AE43" s="832"/>
      <c r="AF43" s="832"/>
      <c r="AG43" s="832"/>
      <c r="AH43" s="832"/>
      <c r="AI43" s="832"/>
      <c r="AJ43" s="832"/>
      <c r="AK43" s="832"/>
      <c r="AL43" s="832"/>
      <c r="AM43" s="832"/>
      <c r="AN43" s="832"/>
      <c r="AO43" s="832"/>
      <c r="AP43" s="832"/>
      <c r="AQ43" s="832"/>
      <c r="AR43" s="832"/>
      <c r="AS43" s="832"/>
      <c r="AT43" s="832"/>
      <c r="AU43" s="832"/>
      <c r="AV43" s="832"/>
      <c r="AW43" s="832"/>
      <c r="AX43" s="832"/>
      <c r="AY43" s="832"/>
      <c r="AZ43" s="426"/>
      <c r="BA43" s="1758"/>
      <c r="BB43" s="1764"/>
    </row>
    <row s="1834" customFormat="1" customHeight="1" ht="14.25">
      <c r="A44" s="241"/>
      <c r="B44" s="431"/>
      <c r="C44" s="241"/>
      <c r="D44" s="241"/>
      <c r="E44" s="691">
        <v>15</v>
      </c>
      <c r="F44" s="50" cm="1" t="str">
        <f t="array" ref="F44:F44">OFFSET(E44,-1,1)</f>
        <v>2</v>
      </c>
      <c r="G44" s="426" t="s">
        <v>332</v>
      </c>
      <c r="H44" s="147"/>
      <c r="I44" s="147"/>
      <c r="J44" s="147"/>
      <c r="K44" s="241"/>
      <c r="L44" s="241"/>
      <c r="M44" s="241"/>
      <c r="N44" s="241"/>
      <c r="O44" s="241"/>
      <c r="P44" s="241"/>
      <c r="Q44" s="241"/>
      <c r="R44" s="241"/>
      <c r="S44" s="241"/>
      <c r="T44" s="465" cm="1" t="str">
        <f t="array" ref="T44:T44">T43</f>
        <v>true</v>
      </c>
      <c r="U44" s="241"/>
      <c r="V44" s="241"/>
      <c r="W44" s="241"/>
      <c r="X44" s="1563"/>
      <c r="Y44" s="147"/>
      <c r="Z44" s="1597"/>
      <c r="AA44" s="147"/>
      <c r="AB44" s="247" t="s">
        <v>276</v>
      </c>
      <c r="AC44" s="246" t="s">
        <v>2119</v>
      </c>
      <c r="AD44" s="247" t="s">
        <v>1514</v>
      </c>
      <c r="AE44" s="844">
        <f>AE45+AE46+AE47</f>
        <v>0</v>
      </c>
      <c r="AF44" s="844">
        <f>AF45+AF46+AF47</f>
        <v>0</v>
      </c>
      <c r="AG44" s="844">
        <f>AG45+AG46+AG47</f>
        <v>0</v>
      </c>
      <c r="AH44" s="844">
        <f>AH45+AH46+AH47</f>
        <v>0</v>
      </c>
      <c r="AI44" s="844">
        <f>AI45+AI46+AI47</f>
        <v>0</v>
      </c>
      <c r="AJ44" s="844">
        <f>AJ45+AJ46+AJ47</f>
        <v>0</v>
      </c>
      <c r="AK44" s="844">
        <f>AK45+AK46+AK47</f>
        <v>0</v>
      </c>
      <c r="AL44" s="844">
        <f>AL45+AL46+AL47</f>
        <v>0</v>
      </c>
      <c r="AM44" s="844">
        <f>AM45+AM46+AM47</f>
        <v>0</v>
      </c>
      <c r="AN44" s="844">
        <f>AN45+AN46+AN47</f>
        <v>0</v>
      </c>
      <c r="AO44" s="844">
        <f>AO45+AO46+AO47</f>
        <v>0</v>
      </c>
      <c r="AP44" s="844">
        <f>AP45+AP46+AP47</f>
        <v>0</v>
      </c>
      <c r="AQ44" s="844">
        <f>AQ45+AQ46+AQ47</f>
        <v>0</v>
      </c>
      <c r="AR44" s="844">
        <f>AR45+AR46+AR47</f>
        <v>0</v>
      </c>
      <c r="AS44" s="844">
        <f>AS45+AS46+AS47</f>
        <v>0</v>
      </c>
      <c r="AT44" s="844">
        <f>AT45+AT46+AT47</f>
        <v>0</v>
      </c>
      <c r="AU44" s="844">
        <f>AU45+AU46+AU47</f>
        <v>0</v>
      </c>
      <c r="AV44" s="844">
        <f>AV45+AV46+AV47</f>
        <v>0</v>
      </c>
      <c r="AW44" s="844">
        <f>AW45+AW46+AW47</f>
        <v>0</v>
      </c>
      <c r="AX44" s="844">
        <f>AX45+AX46+AX47</f>
        <v>0</v>
      </c>
      <c r="AY44" s="774"/>
      <c r="AZ44" s="147"/>
      <c r="BA44" s="1758"/>
      <c r="BB44" s="997" t="s">
        <v>2053</v>
      </c>
    </row>
    <row s="1834" customFormat="1" customHeight="1" ht="14.25">
      <c r="A45" s="1758"/>
      <c r="B45" s="1416"/>
      <c r="C45" s="1758"/>
      <c r="D45" s="1758"/>
      <c r="E45" s="618">
        <v>15</v>
      </c>
      <c r="F45" s="50" cm="1" t="str">
        <f t="array" ref="F45:F45">OFFSET(E45,-1,1)</f>
        <v>2</v>
      </c>
      <c r="G45" s="426" t="s">
        <v>1175</v>
      </c>
      <c r="H45" s="426"/>
      <c r="I45" s="426"/>
      <c r="J45" s="426"/>
      <c r="K45" s="1758"/>
      <c r="L45" s="1758"/>
      <c r="M45" s="1758"/>
      <c r="N45" s="1758"/>
      <c r="O45" s="1758"/>
      <c r="P45" s="1758"/>
      <c r="Q45" s="1758"/>
      <c r="R45" s="1758"/>
      <c r="S45" s="1758"/>
      <c r="T45" s="465" cm="1" t="str">
        <f t="array" ref="T45:T45">T44</f>
        <v>true</v>
      </c>
      <c r="U45" s="1758"/>
      <c r="V45" s="1758"/>
      <c r="W45" s="1758"/>
      <c r="X45" s="1563"/>
      <c r="Y45" s="426"/>
      <c r="Z45" s="1597"/>
      <c r="AA45" s="426"/>
      <c r="AB45" s="850" t="s">
        <v>1628</v>
      </c>
      <c r="AC45" s="851" t="s">
        <v>2120</v>
      </c>
      <c r="AD45" s="850" t="s">
        <v>1514</v>
      </c>
      <c r="AE45" s="298"/>
      <c r="AF45" s="298"/>
      <c r="AG45" s="298"/>
      <c r="AH45" s="298"/>
      <c r="AI45" s="298"/>
      <c r="AJ45" s="4725"/>
      <c r="AK45" s="4725"/>
      <c r="AL45" s="4725"/>
      <c r="AM45" s="4725"/>
      <c r="AN45" s="4725"/>
      <c r="AO45" s="298"/>
      <c r="AP45" s="298"/>
      <c r="AQ45" s="298"/>
      <c r="AR45" s="298"/>
      <c r="AS45" s="298"/>
      <c r="AT45" s="4725"/>
      <c r="AU45" s="4725"/>
      <c r="AV45" s="4725"/>
      <c r="AW45" s="4725"/>
      <c r="AX45" s="4725"/>
      <c r="AY45" s="774"/>
      <c r="AZ45" s="426"/>
      <c r="BA45" s="1758"/>
      <c r="BB45" s="997" t="s">
        <v>2121</v>
      </c>
    </row>
    <row s="1834" customFormat="1" customHeight="1" ht="23.25">
      <c r="A46" s="1758"/>
      <c r="B46" s="1416"/>
      <c r="C46" s="1758"/>
      <c r="D46" s="1758"/>
      <c r="E46" s="618">
        <v>24</v>
      </c>
      <c r="F46" s="50" cm="1" t="str">
        <f t="array" ref="F46:F46">OFFSET(E46,-1,1)</f>
        <v>2</v>
      </c>
      <c r="G46" s="426" t="s">
        <v>1179</v>
      </c>
      <c r="H46" s="426"/>
      <c r="I46" s="426"/>
      <c r="J46" s="426"/>
      <c r="K46" s="1758"/>
      <c r="L46" s="1758"/>
      <c r="M46" s="1758"/>
      <c r="N46" s="1758"/>
      <c r="O46" s="1758"/>
      <c r="P46" s="1758"/>
      <c r="Q46" s="1758"/>
      <c r="R46" s="1758"/>
      <c r="S46" s="1758"/>
      <c r="T46" s="465" cm="1" t="str">
        <f t="array" ref="T46:T46">T45</f>
        <v>true</v>
      </c>
      <c r="U46" s="1758"/>
      <c r="V46" s="1758"/>
      <c r="W46" s="1758"/>
      <c r="X46" s="1563"/>
      <c r="Y46" s="426"/>
      <c r="Z46" s="1597"/>
      <c r="AA46" s="426"/>
      <c r="AB46" s="850" t="s">
        <v>1631</v>
      </c>
      <c r="AC46" s="851" t="s">
        <v>2122</v>
      </c>
      <c r="AD46" s="850" t="s">
        <v>1514</v>
      </c>
      <c r="AE46" s="298"/>
      <c r="AF46" s="298"/>
      <c r="AG46" s="298"/>
      <c r="AH46" s="298"/>
      <c r="AI46" s="298"/>
      <c r="AJ46" s="4725"/>
      <c r="AK46" s="4725"/>
      <c r="AL46" s="4725"/>
      <c r="AM46" s="4725"/>
      <c r="AN46" s="4725"/>
      <c r="AO46" s="298"/>
      <c r="AP46" s="298"/>
      <c r="AQ46" s="298"/>
      <c r="AR46" s="298"/>
      <c r="AS46" s="298"/>
      <c r="AT46" s="4725"/>
      <c r="AU46" s="4725"/>
      <c r="AV46" s="4725"/>
      <c r="AW46" s="4725"/>
      <c r="AX46" s="4725"/>
      <c r="AY46" s="774"/>
      <c r="AZ46" s="426"/>
      <c r="BA46" s="1758"/>
      <c r="BB46" s="997" t="s">
        <v>2123</v>
      </c>
    </row>
    <row s="1834" customFormat="1" customHeight="1" ht="33">
      <c r="A47" s="122"/>
      <c r="B47" s="428"/>
      <c r="C47" s="122"/>
      <c r="D47" s="122"/>
      <c r="E47" s="618">
        <v>34.2</v>
      </c>
      <c r="F47" s="1175" cm="1" t="str">
        <f t="array" ref="F47:F47">OFFSET(E47,-1,1)</f>
        <v>2</v>
      </c>
      <c r="G47" s="426" t="s">
        <v>1182</v>
      </c>
      <c r="H47" s="426"/>
      <c r="I47" s="426"/>
      <c r="J47" s="426"/>
      <c r="K47" s="122"/>
      <c r="L47" s="122"/>
      <c r="M47" s="122"/>
      <c r="N47" s="122"/>
      <c r="O47" s="122"/>
      <c r="P47" s="122"/>
      <c r="Q47" s="122"/>
      <c r="R47" s="122"/>
      <c r="S47" s="122"/>
      <c r="T47" s="465" cm="1" t="str">
        <f t="array" ref="T47:T47">T46</f>
        <v>true</v>
      </c>
      <c r="U47" s="122"/>
      <c r="V47" s="122"/>
      <c r="W47" s="122"/>
      <c r="X47" s="1563"/>
      <c r="Y47" s="426"/>
      <c r="Z47" s="1597"/>
      <c r="AA47" s="426"/>
      <c r="AB47" s="850" t="s">
        <v>1634</v>
      </c>
      <c r="AC47" s="851" t="s">
        <v>2124</v>
      </c>
      <c r="AD47" s="850" t="s">
        <v>1514</v>
      </c>
      <c r="AE47" s="298"/>
      <c r="AF47" s="298"/>
      <c r="AG47" s="298"/>
      <c r="AH47" s="298"/>
      <c r="AI47" s="298"/>
      <c r="AJ47" s="4725"/>
      <c r="AK47" s="4725"/>
      <c r="AL47" s="4725"/>
      <c r="AM47" s="4725"/>
      <c r="AN47" s="4725"/>
      <c r="AO47" s="298"/>
      <c r="AP47" s="298"/>
      <c r="AQ47" s="298"/>
      <c r="AR47" s="298"/>
      <c r="AS47" s="298"/>
      <c r="AT47" s="4725"/>
      <c r="AU47" s="4725"/>
      <c r="AV47" s="4725"/>
      <c r="AW47" s="4725"/>
      <c r="AX47" s="4725"/>
      <c r="AY47" s="774"/>
      <c r="AZ47" s="426"/>
      <c r="BA47" s="1834"/>
      <c r="BB47" s="1048" t="s">
        <v>2125</v>
      </c>
    </row>
    <row s="1834" customFormat="1" customHeight="1" ht="14.25">
      <c r="A48" s="1758"/>
      <c r="B48" s="1416"/>
      <c r="C48" s="1758"/>
      <c r="D48" s="1758"/>
      <c r="E48" s="618">
        <v>15</v>
      </c>
      <c r="F48" s="50" cm="1" t="str">
        <f t="array" ref="F48:F48">OFFSET(E48,-1,1)</f>
        <v>2</v>
      </c>
      <c r="G48" s="426" t="s">
        <v>333</v>
      </c>
      <c r="H48" s="426"/>
      <c r="I48" s="426"/>
      <c r="J48" s="426"/>
      <c r="K48" s="1758"/>
      <c r="L48" s="1758"/>
      <c r="M48" s="1758"/>
      <c r="N48" s="1758"/>
      <c r="O48" s="1758"/>
      <c r="P48" s="1758"/>
      <c r="Q48" s="1758"/>
      <c r="R48" s="1758"/>
      <c r="S48" s="1758"/>
      <c r="T48" s="465" cm="1" t="str">
        <f t="array" ref="T48:T48">T47</f>
        <v>true</v>
      </c>
      <c r="U48" s="1758"/>
      <c r="V48" s="1758"/>
      <c r="W48" s="1758"/>
      <c r="X48" s="1563"/>
      <c r="Y48" s="426"/>
      <c r="Z48" s="1597"/>
      <c r="AA48" s="426"/>
      <c r="AB48" s="850" t="s">
        <v>285</v>
      </c>
      <c r="AC48" s="852" t="s">
        <v>2126</v>
      </c>
      <c r="AD48" s="850" t="s">
        <v>1170</v>
      </c>
      <c r="AE48" s="853">
        <f>_xlfn.SUMIFS(Сценарии!AJ$25:AJ$163,Сценарии!$F$25:$F$163,$F48,Сценарии!$AC$25:$AC$163,"Индекс потребительских цен")</f>
        <v>5.1</v>
      </c>
      <c r="AF48" s="853">
        <f>_xlfn.SUMIFS(Сценарии!AO$25:AO$163,Сценарии!$F$25:$F$163,$F48,Сценарии!$AC$25:$AC$163,"Индекс потребительских цен")</f>
        <v>4</v>
      </c>
      <c r="AG48" s="853">
        <f>_xlfn.SUMIFS(Сценарии!AP$25:AP$163,Сценарии!$F$25:$F$163,$F48,Сценарии!$AC$25:$AC$163,"Индекс потребительских цен")</f>
        <v>4</v>
      </c>
      <c r="AH48" s="853">
        <f>_xlfn.SUMIFS(Сценарии!AQ$25:AQ$163,Сценарии!$F$25:$F$163,$F48,Сценарии!$AC$25:$AC$163,"Индекс потребительских цен")</f>
        <v>4</v>
      </c>
      <c r="AI48" s="853">
        <f>_xlfn.SUMIFS(Сценарии!AR$25:AR$163,Сценарии!$F$25:$F$163,$F48,Сценарии!$AC$25:$AC$163,"Индекс потребительских цен")</f>
        <v>4</v>
      </c>
      <c r="AJ48" s="853">
        <f>_xlfn.SUMIFS(Сценарии!AS$25:AS$163,Сценарии!$F$25:$F$163,$F48,Сценарии!$AC$25:$AC$163,"Индекс потребительских цен")</f>
        <v>0</v>
      </c>
      <c r="AK48" s="853">
        <f>_xlfn.SUMIFS(Сценарии!AT$25:AT$163,Сценарии!$F$25:$F$163,$F48,Сценарии!$AC$25:$AC$163,"Индекс потребительских цен")</f>
        <v>0</v>
      </c>
      <c r="AL48" s="853">
        <f>_xlfn.SUMIFS(Сценарии!AU$25:AU$163,Сценарии!$F$25:$F$163,$F48,Сценарии!$AC$25:$AC$163,"Индекс потребительских цен")</f>
        <v>0</v>
      </c>
      <c r="AM48" s="853">
        <f>_xlfn.SUMIFS(Сценарии!AV$25:AV$163,Сценарии!$F$25:$F$163,$F48,Сценарии!$AC$25:$AC$163,"Индекс потребительских цен")</f>
        <v>0</v>
      </c>
      <c r="AN48" s="853">
        <f>_xlfn.SUMIFS(Сценарии!AW$25:AW$163,Сценарии!$F$25:$F$163,$F48,Сценарии!$AC$25:$AC$163,"Индекс потребительских цен")</f>
        <v>0</v>
      </c>
      <c r="AO48" s="853">
        <f>_xlfn.SUMIFS(Сценарии!AK$25:AK$163,Сценарии!$F$25:$F$163,$F48,Сценарии!$AC$25:$AC$163,"Индекс потребительских цен")</f>
        <v>5.1</v>
      </c>
      <c r="AP48" s="853">
        <f>_xlfn.SUMIFS(Сценарии!AX$25:AX$163,Сценарии!$F$25:$F$163,$F48,Сценарии!$AC$25:$AC$163,"Индекс потребительских цен")</f>
        <v>4</v>
      </c>
      <c r="AQ48" s="853">
        <f>_xlfn.SUMIFS(Сценарии!AY$25:AY$163,Сценарии!$F$25:$F$163,$F48,Сценарии!$AC$25:$AC$163,"Индекс потребительских цен")</f>
        <v>4</v>
      </c>
      <c r="AR48" s="853">
        <f>_xlfn.SUMIFS(Сценарии!AZ$25:AZ$163,Сценарии!$F$25:$F$163,$F48,Сценарии!$AC$25:$AC$163,"Индекс потребительских цен")</f>
        <v>4</v>
      </c>
      <c r="AS48" s="853">
        <f>_xlfn.SUMIFS(Сценарии!BA$25:BA$163,Сценарии!$F$25:$F$163,$F48,Сценарии!$AC$25:$AC$163,"Индекс потребительских цен")</f>
        <v>4</v>
      </c>
      <c r="AT48" s="853">
        <f>_xlfn.SUMIFS(Сценарии!BB$25:BB$163,Сценарии!$F$25:$F$163,$F48,Сценарии!$AC$25:$AC$163,"Индекс потребительских цен")</f>
        <v>0</v>
      </c>
      <c r="AU48" s="853">
        <f>_xlfn.SUMIFS(Сценарии!BC$25:BC$163,Сценарии!$F$25:$F$163,$F48,Сценарии!$AC$25:$AC$163,"Индекс потребительских цен")</f>
        <v>0</v>
      </c>
      <c r="AV48" s="853">
        <f>_xlfn.SUMIFS(Сценарии!BD$25:BD$163,Сценарии!$F$25:$F$163,$F48,Сценарии!$AC$25:$AC$163,"Индекс потребительских цен")</f>
        <v>0</v>
      </c>
      <c r="AW48" s="853">
        <f>_xlfn.SUMIFS(Сценарии!BE$25:BE$163,Сценарии!$F$25:$F$163,$F48,Сценарии!$AC$25:$AC$163,"Индекс потребительских цен")</f>
        <v>0</v>
      </c>
      <c r="AX48" s="853">
        <f>_xlfn.SUMIFS(Сценарии!BF$25:BF$163,Сценарии!$F$25:$F$163,$F48,Сценарии!$AC$25:$AC$163,"Индекс потребительских цен")</f>
        <v>0</v>
      </c>
      <c r="AY48" s="774"/>
      <c r="AZ48" s="426"/>
      <c r="BA48" s="1758"/>
      <c r="BB48" s="997" t="s">
        <v>2127</v>
      </c>
    </row>
    <row s="1469" customFormat="1" customHeight="1" ht="14.25">
      <c r="A49" s="122"/>
      <c r="B49" s="428"/>
      <c r="C49" s="122"/>
      <c r="D49" s="122"/>
      <c r="E49" s="618">
        <v>15</v>
      </c>
      <c r="F49" s="50" cm="1" t="str">
        <f t="array" ref="F49:F49">OFFSET(E49,-1,1)</f>
        <v>2</v>
      </c>
      <c r="G49" s="426" t="s">
        <v>334</v>
      </c>
      <c r="H49" s="426"/>
      <c r="I49" s="426"/>
      <c r="J49" s="426"/>
      <c r="K49" s="122"/>
      <c r="L49" s="122"/>
      <c r="M49" s="122"/>
      <c r="N49" s="122"/>
      <c r="O49" s="122"/>
      <c r="P49" s="122"/>
      <c r="Q49" s="122"/>
      <c r="R49" s="122"/>
      <c r="S49" s="122"/>
      <c r="T49" s="465" cm="1" t="str">
        <f t="array" ref="T49:T49">T48</f>
        <v>true</v>
      </c>
      <c r="U49" s="122"/>
      <c r="V49" s="122"/>
      <c r="W49" s="122"/>
      <c r="X49" s="1563"/>
      <c r="Y49" s="426"/>
      <c r="Z49" s="1597"/>
      <c r="AA49" s="426"/>
      <c r="AB49" s="766">
        <v>3</v>
      </c>
      <c r="AC49" s="852" t="s">
        <v>2128</v>
      </c>
      <c r="AD49" s="850" t="s">
        <v>1170</v>
      </c>
      <c r="AE49" s="854" cm="1" t="str">
        <f t="array" ref="AE49:AE49">AE48</f>
        <v>5.1</v>
      </c>
      <c r="AF49" s="854">
        <f>AE49*AF48/100</f>
        <v>0.204</v>
      </c>
      <c r="AG49" s="854">
        <f>AF49*AG48/100</f>
        <v>0.00816</v>
      </c>
      <c r="AH49" s="854">
        <f>AG49*AH48/100</f>
        <v>0.0003264</v>
      </c>
      <c r="AI49" s="854">
        <f>AH49*AI48/100</f>
        <v>0.000013056</v>
      </c>
      <c r="AJ49" s="5179">
        <f>AI49*AJ48/100</f>
        <v>0</v>
      </c>
      <c r="AK49" s="5179">
        <f>AJ49*AK48/100</f>
        <v>0</v>
      </c>
      <c r="AL49" s="5179">
        <f>AK49*AL48/100</f>
        <v>0</v>
      </c>
      <c r="AM49" s="5179">
        <f>AL49*AM48/100</f>
        <v>0</v>
      </c>
      <c r="AN49" s="5179">
        <f>AM49*AN48/100</f>
        <v>0</v>
      </c>
      <c r="AO49" s="854">
        <f>AN49*AO48/100</f>
        <v>0</v>
      </c>
      <c r="AP49" s="854">
        <f>AO49*AP48/100</f>
        <v>0</v>
      </c>
      <c r="AQ49" s="854">
        <f>AP49*AQ48/100</f>
        <v>0</v>
      </c>
      <c r="AR49" s="854">
        <f>AQ49*AR48/100</f>
        <v>0</v>
      </c>
      <c r="AS49" s="854">
        <f>AR49*AS48/100</f>
        <v>0</v>
      </c>
      <c r="AT49" s="5179">
        <f>AS49*AT48/100</f>
        <v>0</v>
      </c>
      <c r="AU49" s="5179">
        <f>AT49*AU48/100</f>
        <v>0</v>
      </c>
      <c r="AV49" s="5179">
        <f>AU49*AV48/100</f>
        <v>0</v>
      </c>
      <c r="AW49" s="5179">
        <f>AV49*AW48/100</f>
        <v>0</v>
      </c>
      <c r="AX49" s="5179">
        <f>AW49*AX48/100</f>
        <v>0</v>
      </c>
      <c r="AY49" s="774"/>
      <c r="AZ49" s="426"/>
      <c r="BA49" s="698"/>
      <c r="BB49" s="1051" t="s">
        <v>2129</v>
      </c>
    </row>
    <row s="1834" customFormat="1" customHeight="1" ht="14.25">
      <c r="A50" s="241"/>
      <c r="B50" s="431"/>
      <c r="C50" s="241"/>
      <c r="D50" s="241"/>
      <c r="E50" s="691">
        <v>15</v>
      </c>
      <c r="F50" s="50" cm="1" t="str">
        <f t="array" ref="F50:F50">OFFSET(E50,-1,1)</f>
        <v>2</v>
      </c>
      <c r="G50" s="426" t="s">
        <v>336</v>
      </c>
      <c r="H50" s="426" t="s">
        <v>2130</v>
      </c>
      <c r="I50" s="147"/>
      <c r="J50" s="147"/>
      <c r="K50" s="241"/>
      <c r="L50" s="241"/>
      <c r="M50" s="241"/>
      <c r="N50" s="241"/>
      <c r="O50" s="241"/>
      <c r="P50" s="241"/>
      <c r="Q50" s="241"/>
      <c r="R50" s="241"/>
      <c r="S50" s="241"/>
      <c r="T50" s="465" cm="1" t="str">
        <f t="array" ref="T50:T50">T49</f>
        <v>true</v>
      </c>
      <c r="U50" s="241"/>
      <c r="V50" s="241"/>
      <c r="W50" s="241"/>
      <c r="X50" s="1563"/>
      <c r="Y50" s="147"/>
      <c r="Z50" s="1597"/>
      <c r="AA50" s="147"/>
      <c r="AB50" s="247" t="s">
        <v>295</v>
      </c>
      <c r="AC50" s="246" t="s">
        <v>2131</v>
      </c>
      <c r="AD50" s="247" t="s">
        <v>1514</v>
      </c>
      <c r="AE50" s="844">
        <f>AE44*AE49/100</f>
        <v>0</v>
      </c>
      <c r="AF50" s="844">
        <f>AF44*AF49/100</f>
        <v>0</v>
      </c>
      <c r="AG50" s="844">
        <f>AG44*AG49/100</f>
        <v>0</v>
      </c>
      <c r="AH50" s="844">
        <f>AH44*AH49/100</f>
        <v>0</v>
      </c>
      <c r="AI50" s="844">
        <f>AI44*AI49/100</f>
        <v>0</v>
      </c>
      <c r="AJ50" s="844">
        <f>AJ44*AJ49/100</f>
        <v>0</v>
      </c>
      <c r="AK50" s="844">
        <f>AK44*AK49/100</f>
        <v>0</v>
      </c>
      <c r="AL50" s="844">
        <f>AL44*AL49/100</f>
        <v>0</v>
      </c>
      <c r="AM50" s="844">
        <f>AM44*AM49/100</f>
        <v>0</v>
      </c>
      <c r="AN50" s="844">
        <f>AN44*AN49/100</f>
        <v>0</v>
      </c>
      <c r="AO50" s="844">
        <f>AO44*AO49/100</f>
        <v>0</v>
      </c>
      <c r="AP50" s="844">
        <f>AP44*AP49/100</f>
        <v>0</v>
      </c>
      <c r="AQ50" s="844">
        <f>AQ44*AQ49/100</f>
        <v>0</v>
      </c>
      <c r="AR50" s="844">
        <f>AR44*AR49/100</f>
        <v>0</v>
      </c>
      <c r="AS50" s="844">
        <f>AS44*AS49/100</f>
        <v>0</v>
      </c>
      <c r="AT50" s="844">
        <f>AT44*AT49/100</f>
        <v>0</v>
      </c>
      <c r="AU50" s="844">
        <f>AU44*AU49/100</f>
        <v>0</v>
      </c>
      <c r="AV50" s="844">
        <f>AV44*AV49/100</f>
        <v>0</v>
      </c>
      <c r="AW50" s="844">
        <f>AW44*AW49/100</f>
        <v>0</v>
      </c>
      <c r="AX50" s="844">
        <f>AX44*AX49/100</f>
        <v>0</v>
      </c>
      <c r="AY50" s="774"/>
      <c r="AZ50" s="147"/>
      <c r="BA50" s="1758"/>
      <c r="BB50" s="997" t="s">
        <v>2132</v>
      </c>
    </row>
    <row s="1834" customFormat="1" customHeight="1" ht="14.25">
      <c r="A51" s="1758"/>
      <c r="B51" s="1416"/>
      <c r="C51" s="1758"/>
      <c r="D51" s="1758"/>
      <c r="E51" s="618">
        <v>15</v>
      </c>
      <c r="F51" s="493" cm="1" t="str">
        <f t="array" ref="F51:F51">X51</f>
        <v>3</v>
      </c>
      <c r="G51" s="426"/>
      <c r="H51" s="426"/>
      <c r="I51" s="426"/>
      <c r="J51" s="426"/>
      <c r="K51" s="1758"/>
      <c r="L51" s="1758"/>
      <c r="M51" s="1758"/>
      <c r="N51" s="1758"/>
      <c r="O51" s="1758"/>
      <c r="P51" s="1758"/>
      <c r="Q51" s="1758"/>
      <c r="R51" s="1758"/>
      <c r="S51" s="1758"/>
      <c r="T51" s="465">
        <f>X51&gt;0</f>
        <v>1</v>
      </c>
      <c r="U51" s="1758"/>
      <c r="V51" s="122" cm="1" t="str">
        <f t="array" ref="V51:V51">'ИП + источники'!$AB$145</f>
        <v>Тариф 3 (Водоотведение) - тариф на водоотведение (Доп. признак не требуется)</v>
      </c>
      <c r="W51" s="1758"/>
      <c r="X51" s="1563" t="s">
        <v>289</v>
      </c>
      <c r="Y51" s="426"/>
      <c r="Z51" s="1597"/>
      <c r="AA51" s="426"/>
      <c r="AB51" s="242" cm="1" t="str">
        <f t="array" ref="AB51:AB51">'ИП + источники'!$AB$145</f>
        <v>Тариф 3 (Водоотведение) - тариф на водоотведение (Доп. признак не требуется)</v>
      </c>
      <c r="AC51" s="832"/>
      <c r="AD51" s="832"/>
      <c r="AE51" s="832"/>
      <c r="AF51" s="832"/>
      <c r="AG51" s="832"/>
      <c r="AH51" s="832"/>
      <c r="AI51" s="832"/>
      <c r="AJ51" s="832"/>
      <c r="AK51" s="832"/>
      <c r="AL51" s="832"/>
      <c r="AM51" s="832"/>
      <c r="AN51" s="832"/>
      <c r="AO51" s="832"/>
      <c r="AP51" s="832"/>
      <c r="AQ51" s="832"/>
      <c r="AR51" s="832"/>
      <c r="AS51" s="832"/>
      <c r="AT51" s="832"/>
      <c r="AU51" s="832"/>
      <c r="AV51" s="832"/>
      <c r="AW51" s="832"/>
      <c r="AX51" s="832"/>
      <c r="AY51" s="832"/>
      <c r="AZ51" s="426"/>
      <c r="BA51" s="1758"/>
      <c r="BB51" s="1764"/>
    </row>
    <row s="1834" customFormat="1" customHeight="1" ht="14.25">
      <c r="A52" s="241"/>
      <c r="B52" s="431"/>
      <c r="C52" s="241"/>
      <c r="D52" s="241"/>
      <c r="E52" s="691">
        <v>15</v>
      </c>
      <c r="F52" s="50" cm="1" t="str">
        <f t="array" ref="F52:F52">OFFSET(E52,-1,1)</f>
        <v>3</v>
      </c>
      <c r="G52" s="426" t="s">
        <v>332</v>
      </c>
      <c r="H52" s="147"/>
      <c r="I52" s="147"/>
      <c r="J52" s="147"/>
      <c r="K52" s="241"/>
      <c r="L52" s="241"/>
      <c r="M52" s="241"/>
      <c r="N52" s="241"/>
      <c r="O52" s="241"/>
      <c r="P52" s="241"/>
      <c r="Q52" s="241"/>
      <c r="R52" s="241"/>
      <c r="S52" s="241"/>
      <c r="T52" s="465" cm="1" t="str">
        <f t="array" ref="T52:T52">T51</f>
        <v>true</v>
      </c>
      <c r="U52" s="241"/>
      <c r="V52" s="241"/>
      <c r="W52" s="241"/>
      <c r="X52" s="1563"/>
      <c r="Y52" s="147"/>
      <c r="Z52" s="1597"/>
      <c r="AA52" s="147"/>
      <c r="AB52" s="247" t="s">
        <v>276</v>
      </c>
      <c r="AC52" s="246" t="s">
        <v>2119</v>
      </c>
      <c r="AD52" s="247" t="s">
        <v>1514</v>
      </c>
      <c r="AE52" s="844">
        <f>AE53+AE54+AE55</f>
        <v>0</v>
      </c>
      <c r="AF52" s="844">
        <f>AF53+AF54+AF55</f>
        <v>0</v>
      </c>
      <c r="AG52" s="844">
        <f>AG53+AG54+AG55</f>
        <v>0</v>
      </c>
      <c r="AH52" s="844">
        <f>AH53+AH54+AH55</f>
        <v>0</v>
      </c>
      <c r="AI52" s="844">
        <f>AI53+AI54+AI55</f>
        <v>0</v>
      </c>
      <c r="AJ52" s="844">
        <f>AJ53+AJ54+AJ55</f>
        <v>0</v>
      </c>
      <c r="AK52" s="844">
        <f>AK53+AK54+AK55</f>
        <v>0</v>
      </c>
      <c r="AL52" s="844">
        <f>AL53+AL54+AL55</f>
        <v>0</v>
      </c>
      <c r="AM52" s="844">
        <f>AM53+AM54+AM55</f>
        <v>0</v>
      </c>
      <c r="AN52" s="844">
        <f>AN53+AN54+AN55</f>
        <v>0</v>
      </c>
      <c r="AO52" s="844">
        <f>AO53+AO54+AO55</f>
        <v>0</v>
      </c>
      <c r="AP52" s="844">
        <f>AP53+AP54+AP55</f>
        <v>0</v>
      </c>
      <c r="AQ52" s="844">
        <f>AQ53+AQ54+AQ55</f>
        <v>0</v>
      </c>
      <c r="AR52" s="844">
        <f>AR53+AR54+AR55</f>
        <v>0</v>
      </c>
      <c r="AS52" s="844">
        <f>AS53+AS54+AS55</f>
        <v>0</v>
      </c>
      <c r="AT52" s="844">
        <f>AT53+AT54+AT55</f>
        <v>0</v>
      </c>
      <c r="AU52" s="844">
        <f>AU53+AU54+AU55</f>
        <v>0</v>
      </c>
      <c r="AV52" s="844">
        <f>AV53+AV54+AV55</f>
        <v>0</v>
      </c>
      <c r="AW52" s="844">
        <f>AW53+AW54+AW55</f>
        <v>0</v>
      </c>
      <c r="AX52" s="844">
        <f>AX53+AX54+AX55</f>
        <v>0</v>
      </c>
      <c r="AY52" s="774"/>
      <c r="AZ52" s="147"/>
      <c r="BA52" s="1758"/>
      <c r="BB52" s="997" t="s">
        <v>2053</v>
      </c>
    </row>
    <row s="1834" customFormat="1" customHeight="1" ht="14.25">
      <c r="A53" s="1758"/>
      <c r="B53" s="1416"/>
      <c r="C53" s="1758"/>
      <c r="D53" s="1758"/>
      <c r="E53" s="618">
        <v>15</v>
      </c>
      <c r="F53" s="50" cm="1" t="str">
        <f t="array" ref="F53:F53">OFFSET(E53,-1,1)</f>
        <v>3</v>
      </c>
      <c r="G53" s="426" t="s">
        <v>1175</v>
      </c>
      <c r="H53" s="426"/>
      <c r="I53" s="426"/>
      <c r="J53" s="426"/>
      <c r="K53" s="1758"/>
      <c r="L53" s="1758"/>
      <c r="M53" s="1758"/>
      <c r="N53" s="1758"/>
      <c r="O53" s="1758"/>
      <c r="P53" s="1758"/>
      <c r="Q53" s="1758"/>
      <c r="R53" s="1758"/>
      <c r="S53" s="1758"/>
      <c r="T53" s="465" cm="1" t="str">
        <f t="array" ref="T53:T53">T52</f>
        <v>true</v>
      </c>
      <c r="U53" s="1758"/>
      <c r="V53" s="1758"/>
      <c r="W53" s="1758"/>
      <c r="X53" s="1563"/>
      <c r="Y53" s="426"/>
      <c r="Z53" s="1597"/>
      <c r="AA53" s="426"/>
      <c r="AB53" s="850" t="s">
        <v>1628</v>
      </c>
      <c r="AC53" s="851" t="s">
        <v>2120</v>
      </c>
      <c r="AD53" s="850" t="s">
        <v>1514</v>
      </c>
      <c r="AE53" s="298"/>
      <c r="AF53" s="298"/>
      <c r="AG53" s="298"/>
      <c r="AH53" s="298"/>
      <c r="AI53" s="298"/>
      <c r="AJ53" s="4725"/>
      <c r="AK53" s="4725"/>
      <c r="AL53" s="4725"/>
      <c r="AM53" s="4725"/>
      <c r="AN53" s="4725"/>
      <c r="AO53" s="298"/>
      <c r="AP53" s="298"/>
      <c r="AQ53" s="298"/>
      <c r="AR53" s="298"/>
      <c r="AS53" s="298"/>
      <c r="AT53" s="4725"/>
      <c r="AU53" s="4725"/>
      <c r="AV53" s="4725"/>
      <c r="AW53" s="4725"/>
      <c r="AX53" s="4725"/>
      <c r="AY53" s="774"/>
      <c r="AZ53" s="426"/>
      <c r="BA53" s="1758"/>
      <c r="BB53" s="997" t="s">
        <v>2121</v>
      </c>
    </row>
    <row s="1834" customFormat="1" customHeight="1" ht="23.25">
      <c r="A54" s="1758"/>
      <c r="B54" s="1416"/>
      <c r="C54" s="1758"/>
      <c r="D54" s="1758"/>
      <c r="E54" s="618">
        <v>24</v>
      </c>
      <c r="F54" s="50" cm="1" t="str">
        <f t="array" ref="F54:F54">OFFSET(E54,-1,1)</f>
        <v>3</v>
      </c>
      <c r="G54" s="426" t="s">
        <v>1179</v>
      </c>
      <c r="H54" s="426"/>
      <c r="I54" s="426"/>
      <c r="J54" s="426"/>
      <c r="K54" s="1758"/>
      <c r="L54" s="1758"/>
      <c r="M54" s="1758"/>
      <c r="N54" s="1758"/>
      <c r="O54" s="1758"/>
      <c r="P54" s="1758"/>
      <c r="Q54" s="1758"/>
      <c r="R54" s="1758"/>
      <c r="S54" s="1758"/>
      <c r="T54" s="465" cm="1" t="str">
        <f t="array" ref="T54:T54">T53</f>
        <v>true</v>
      </c>
      <c r="U54" s="1758"/>
      <c r="V54" s="1758"/>
      <c r="W54" s="1758"/>
      <c r="X54" s="1563"/>
      <c r="Y54" s="426"/>
      <c r="Z54" s="1597"/>
      <c r="AA54" s="426"/>
      <c r="AB54" s="850" t="s">
        <v>1631</v>
      </c>
      <c r="AC54" s="851" t="s">
        <v>2122</v>
      </c>
      <c r="AD54" s="850" t="s">
        <v>1514</v>
      </c>
      <c r="AE54" s="298"/>
      <c r="AF54" s="298"/>
      <c r="AG54" s="298"/>
      <c r="AH54" s="298"/>
      <c r="AI54" s="298"/>
      <c r="AJ54" s="4725"/>
      <c r="AK54" s="4725"/>
      <c r="AL54" s="4725"/>
      <c r="AM54" s="4725"/>
      <c r="AN54" s="4725"/>
      <c r="AO54" s="298"/>
      <c r="AP54" s="298"/>
      <c r="AQ54" s="298"/>
      <c r="AR54" s="298"/>
      <c r="AS54" s="298"/>
      <c r="AT54" s="4725"/>
      <c r="AU54" s="4725"/>
      <c r="AV54" s="4725"/>
      <c r="AW54" s="4725"/>
      <c r="AX54" s="4725"/>
      <c r="AY54" s="774"/>
      <c r="AZ54" s="426"/>
      <c r="BA54" s="1758"/>
      <c r="BB54" s="997" t="s">
        <v>2123</v>
      </c>
    </row>
    <row s="1834" customFormat="1" customHeight="1" ht="33">
      <c r="A55" s="122"/>
      <c r="B55" s="428"/>
      <c r="C55" s="122"/>
      <c r="D55" s="122"/>
      <c r="E55" s="618">
        <v>34.2</v>
      </c>
      <c r="F55" s="1175" cm="1" t="str">
        <f t="array" ref="F55:F55">OFFSET(E55,-1,1)</f>
        <v>3</v>
      </c>
      <c r="G55" s="426" t="s">
        <v>1182</v>
      </c>
      <c r="H55" s="426"/>
      <c r="I55" s="426"/>
      <c r="J55" s="426"/>
      <c r="K55" s="122"/>
      <c r="L55" s="122"/>
      <c r="M55" s="122"/>
      <c r="N55" s="122"/>
      <c r="O55" s="122"/>
      <c r="P55" s="122"/>
      <c r="Q55" s="122"/>
      <c r="R55" s="122"/>
      <c r="S55" s="122"/>
      <c r="T55" s="465" cm="1" t="str">
        <f t="array" ref="T55:T55">T54</f>
        <v>true</v>
      </c>
      <c r="U55" s="122"/>
      <c r="V55" s="122"/>
      <c r="W55" s="122"/>
      <c r="X55" s="1563"/>
      <c r="Y55" s="426"/>
      <c r="Z55" s="1597"/>
      <c r="AA55" s="426"/>
      <c r="AB55" s="850" t="s">
        <v>1634</v>
      </c>
      <c r="AC55" s="851" t="s">
        <v>2124</v>
      </c>
      <c r="AD55" s="850" t="s">
        <v>1514</v>
      </c>
      <c r="AE55" s="298"/>
      <c r="AF55" s="298"/>
      <c r="AG55" s="298"/>
      <c r="AH55" s="298"/>
      <c r="AI55" s="298"/>
      <c r="AJ55" s="4725"/>
      <c r="AK55" s="4725"/>
      <c r="AL55" s="4725"/>
      <c r="AM55" s="4725"/>
      <c r="AN55" s="4725"/>
      <c r="AO55" s="298"/>
      <c r="AP55" s="298"/>
      <c r="AQ55" s="298"/>
      <c r="AR55" s="298"/>
      <c r="AS55" s="298"/>
      <c r="AT55" s="4725"/>
      <c r="AU55" s="4725"/>
      <c r="AV55" s="4725"/>
      <c r="AW55" s="4725"/>
      <c r="AX55" s="4725"/>
      <c r="AY55" s="774"/>
      <c r="AZ55" s="426"/>
      <c r="BA55" s="1834"/>
      <c r="BB55" s="1048" t="s">
        <v>2125</v>
      </c>
    </row>
    <row s="1834" customFormat="1" customHeight="1" ht="14.25">
      <c r="A56" s="1758"/>
      <c r="B56" s="1416"/>
      <c r="C56" s="1758"/>
      <c r="D56" s="1758"/>
      <c r="E56" s="618">
        <v>15</v>
      </c>
      <c r="F56" s="50" cm="1" t="str">
        <f t="array" ref="F56:F56">OFFSET(E56,-1,1)</f>
        <v>3</v>
      </c>
      <c r="G56" s="426" t="s">
        <v>333</v>
      </c>
      <c r="H56" s="426"/>
      <c r="I56" s="426"/>
      <c r="J56" s="426"/>
      <c r="K56" s="1758"/>
      <c r="L56" s="1758"/>
      <c r="M56" s="1758"/>
      <c r="N56" s="1758"/>
      <c r="O56" s="1758"/>
      <c r="P56" s="1758"/>
      <c r="Q56" s="1758"/>
      <c r="R56" s="1758"/>
      <c r="S56" s="1758"/>
      <c r="T56" s="465" cm="1" t="str">
        <f t="array" ref="T56:T56">T55</f>
        <v>true</v>
      </c>
      <c r="U56" s="1758"/>
      <c r="V56" s="1758"/>
      <c r="W56" s="1758"/>
      <c r="X56" s="1563"/>
      <c r="Y56" s="426"/>
      <c r="Z56" s="1597"/>
      <c r="AA56" s="426"/>
      <c r="AB56" s="850" t="s">
        <v>285</v>
      </c>
      <c r="AC56" s="852" t="s">
        <v>2126</v>
      </c>
      <c r="AD56" s="850" t="s">
        <v>1170</v>
      </c>
      <c r="AE56" s="853">
        <f>_xlfn.SUMIFS(Сценарии!AJ$25:AJ$163,Сценарии!$F$25:$F$163,$F56,Сценарии!$AC$25:$AC$163,"Индекс потребительских цен")</f>
        <v>5.1</v>
      </c>
      <c r="AF56" s="853">
        <f>_xlfn.SUMIFS(Сценарии!AO$25:AO$163,Сценарии!$F$25:$F$163,$F56,Сценарии!$AC$25:$AC$163,"Индекс потребительских цен")</f>
        <v>4</v>
      </c>
      <c r="AG56" s="853">
        <f>_xlfn.SUMIFS(Сценарии!AP$25:AP$163,Сценарии!$F$25:$F$163,$F56,Сценарии!$AC$25:$AC$163,"Индекс потребительских цен")</f>
        <v>4</v>
      </c>
      <c r="AH56" s="853">
        <f>_xlfn.SUMIFS(Сценарии!AQ$25:AQ$163,Сценарии!$F$25:$F$163,$F56,Сценарии!$AC$25:$AC$163,"Индекс потребительских цен")</f>
        <v>4</v>
      </c>
      <c r="AI56" s="853">
        <f>_xlfn.SUMIFS(Сценарии!AR$25:AR$163,Сценарии!$F$25:$F$163,$F56,Сценарии!$AC$25:$AC$163,"Индекс потребительских цен")</f>
        <v>4</v>
      </c>
      <c r="AJ56" s="853">
        <f>_xlfn.SUMIFS(Сценарии!AS$25:AS$163,Сценарии!$F$25:$F$163,$F56,Сценарии!$AC$25:$AC$163,"Индекс потребительских цен")</f>
        <v>0</v>
      </c>
      <c r="AK56" s="853">
        <f>_xlfn.SUMIFS(Сценарии!AT$25:AT$163,Сценарии!$F$25:$F$163,$F56,Сценарии!$AC$25:$AC$163,"Индекс потребительских цен")</f>
        <v>0</v>
      </c>
      <c r="AL56" s="853">
        <f>_xlfn.SUMIFS(Сценарии!AU$25:AU$163,Сценарии!$F$25:$F$163,$F56,Сценарии!$AC$25:$AC$163,"Индекс потребительских цен")</f>
        <v>0</v>
      </c>
      <c r="AM56" s="853">
        <f>_xlfn.SUMIFS(Сценарии!AV$25:AV$163,Сценарии!$F$25:$F$163,$F56,Сценарии!$AC$25:$AC$163,"Индекс потребительских цен")</f>
        <v>0</v>
      </c>
      <c r="AN56" s="853">
        <f>_xlfn.SUMIFS(Сценарии!AW$25:AW$163,Сценарии!$F$25:$F$163,$F56,Сценарии!$AC$25:$AC$163,"Индекс потребительских цен")</f>
        <v>0</v>
      </c>
      <c r="AO56" s="853">
        <f>_xlfn.SUMIFS(Сценарии!AK$25:AK$163,Сценарии!$F$25:$F$163,$F56,Сценарии!$AC$25:$AC$163,"Индекс потребительских цен")</f>
        <v>5.1</v>
      </c>
      <c r="AP56" s="853">
        <f>_xlfn.SUMIFS(Сценарии!AX$25:AX$163,Сценарии!$F$25:$F$163,$F56,Сценарии!$AC$25:$AC$163,"Индекс потребительских цен")</f>
        <v>4</v>
      </c>
      <c r="AQ56" s="853">
        <f>_xlfn.SUMIFS(Сценарии!AY$25:AY$163,Сценарии!$F$25:$F$163,$F56,Сценарии!$AC$25:$AC$163,"Индекс потребительских цен")</f>
        <v>4</v>
      </c>
      <c r="AR56" s="853">
        <f>_xlfn.SUMIFS(Сценарии!AZ$25:AZ$163,Сценарии!$F$25:$F$163,$F56,Сценарии!$AC$25:$AC$163,"Индекс потребительских цен")</f>
        <v>4</v>
      </c>
      <c r="AS56" s="853">
        <f>_xlfn.SUMIFS(Сценарии!BA$25:BA$163,Сценарии!$F$25:$F$163,$F56,Сценарии!$AC$25:$AC$163,"Индекс потребительских цен")</f>
        <v>4</v>
      </c>
      <c r="AT56" s="853">
        <f>_xlfn.SUMIFS(Сценарии!BB$25:BB$163,Сценарии!$F$25:$F$163,$F56,Сценарии!$AC$25:$AC$163,"Индекс потребительских цен")</f>
        <v>0</v>
      </c>
      <c r="AU56" s="853">
        <f>_xlfn.SUMIFS(Сценарии!BC$25:BC$163,Сценарии!$F$25:$F$163,$F56,Сценарии!$AC$25:$AC$163,"Индекс потребительских цен")</f>
        <v>0</v>
      </c>
      <c r="AV56" s="853">
        <f>_xlfn.SUMIFS(Сценарии!BD$25:BD$163,Сценарии!$F$25:$F$163,$F56,Сценарии!$AC$25:$AC$163,"Индекс потребительских цен")</f>
        <v>0</v>
      </c>
      <c r="AW56" s="853">
        <f>_xlfn.SUMIFS(Сценарии!BE$25:BE$163,Сценарии!$F$25:$F$163,$F56,Сценарии!$AC$25:$AC$163,"Индекс потребительских цен")</f>
        <v>0</v>
      </c>
      <c r="AX56" s="853">
        <f>_xlfn.SUMIFS(Сценарии!BF$25:BF$163,Сценарии!$F$25:$F$163,$F56,Сценарии!$AC$25:$AC$163,"Индекс потребительских цен")</f>
        <v>0</v>
      </c>
      <c r="AY56" s="774"/>
      <c r="AZ56" s="426"/>
      <c r="BA56" s="1758"/>
      <c r="BB56" s="997" t="s">
        <v>2127</v>
      </c>
    </row>
    <row s="1469" customFormat="1" customHeight="1" ht="14.25">
      <c r="A57" s="122"/>
      <c r="B57" s="428"/>
      <c r="C57" s="122"/>
      <c r="D57" s="122"/>
      <c r="E57" s="618">
        <v>15</v>
      </c>
      <c r="F57" s="50" cm="1" t="str">
        <f t="array" ref="F57:F57">OFFSET(E57,-1,1)</f>
        <v>3</v>
      </c>
      <c r="G57" s="426" t="s">
        <v>334</v>
      </c>
      <c r="H57" s="426"/>
      <c r="I57" s="426"/>
      <c r="J57" s="426"/>
      <c r="K57" s="122"/>
      <c r="L57" s="122"/>
      <c r="M57" s="122"/>
      <c r="N57" s="122"/>
      <c r="O57" s="122"/>
      <c r="P57" s="122"/>
      <c r="Q57" s="122"/>
      <c r="R57" s="122"/>
      <c r="S57" s="122"/>
      <c r="T57" s="465" cm="1" t="str">
        <f t="array" ref="T57:T57">T56</f>
        <v>true</v>
      </c>
      <c r="U57" s="122"/>
      <c r="V57" s="122"/>
      <c r="W57" s="122"/>
      <c r="X57" s="1563"/>
      <c r="Y57" s="426"/>
      <c r="Z57" s="1597"/>
      <c r="AA57" s="426"/>
      <c r="AB57" s="766">
        <v>3</v>
      </c>
      <c r="AC57" s="852" t="s">
        <v>2128</v>
      </c>
      <c r="AD57" s="850" t="s">
        <v>1170</v>
      </c>
      <c r="AE57" s="854" cm="1" t="str">
        <f t="array" ref="AE57:AE57">AE56</f>
        <v>5.1</v>
      </c>
      <c r="AF57" s="854">
        <f>AE57*AF56/100</f>
        <v>0.204</v>
      </c>
      <c r="AG57" s="854">
        <f>AF57*AG56/100</f>
        <v>0.00816</v>
      </c>
      <c r="AH57" s="854">
        <f>AG57*AH56/100</f>
        <v>0.0003264</v>
      </c>
      <c r="AI57" s="854">
        <f>AH57*AI56/100</f>
        <v>0.000013056</v>
      </c>
      <c r="AJ57" s="5179">
        <f>AI57*AJ56/100</f>
        <v>0</v>
      </c>
      <c r="AK57" s="5179">
        <f>AJ57*AK56/100</f>
        <v>0</v>
      </c>
      <c r="AL57" s="5179">
        <f>AK57*AL56/100</f>
        <v>0</v>
      </c>
      <c r="AM57" s="5179">
        <f>AL57*AM56/100</f>
        <v>0</v>
      </c>
      <c r="AN57" s="5179">
        <f>AM57*AN56/100</f>
        <v>0</v>
      </c>
      <c r="AO57" s="854">
        <f>AN57*AO56/100</f>
        <v>0</v>
      </c>
      <c r="AP57" s="854">
        <f>AO57*AP56/100</f>
        <v>0</v>
      </c>
      <c r="AQ57" s="854">
        <f>AP57*AQ56/100</f>
        <v>0</v>
      </c>
      <c r="AR57" s="854">
        <f>AQ57*AR56/100</f>
        <v>0</v>
      </c>
      <c r="AS57" s="854">
        <f>AR57*AS56/100</f>
        <v>0</v>
      </c>
      <c r="AT57" s="5179">
        <f>AS57*AT56/100</f>
        <v>0</v>
      </c>
      <c r="AU57" s="5179">
        <f>AT57*AU56/100</f>
        <v>0</v>
      </c>
      <c r="AV57" s="5179">
        <f>AU57*AV56/100</f>
        <v>0</v>
      </c>
      <c r="AW57" s="5179">
        <f>AV57*AW56/100</f>
        <v>0</v>
      </c>
      <c r="AX57" s="5179">
        <f>AW57*AX56/100</f>
        <v>0</v>
      </c>
      <c r="AY57" s="774"/>
      <c r="AZ57" s="426"/>
      <c r="BA57" s="698"/>
      <c r="BB57" s="1051" t="s">
        <v>2129</v>
      </c>
    </row>
    <row s="1834" customFormat="1" customHeight="1" ht="14.25">
      <c r="A58" s="241"/>
      <c r="B58" s="431"/>
      <c r="C58" s="241"/>
      <c r="D58" s="241"/>
      <c r="E58" s="691">
        <v>15</v>
      </c>
      <c r="F58" s="50" cm="1" t="str">
        <f t="array" ref="F58:F58">OFFSET(E58,-1,1)</f>
        <v>3</v>
      </c>
      <c r="G58" s="426" t="s">
        <v>336</v>
      </c>
      <c r="H58" s="426" t="s">
        <v>2130</v>
      </c>
      <c r="I58" s="147"/>
      <c r="J58" s="147"/>
      <c r="K58" s="241"/>
      <c r="L58" s="241"/>
      <c r="M58" s="241"/>
      <c r="N58" s="241"/>
      <c r="O58" s="241"/>
      <c r="P58" s="241"/>
      <c r="Q58" s="241"/>
      <c r="R58" s="241"/>
      <c r="S58" s="241"/>
      <c r="T58" s="465" cm="1" t="str">
        <f t="array" ref="T58:T58">T57</f>
        <v>true</v>
      </c>
      <c r="U58" s="241"/>
      <c r="V58" s="241"/>
      <c r="W58" s="241"/>
      <c r="X58" s="1563"/>
      <c r="Y58" s="147"/>
      <c r="Z58" s="1597"/>
      <c r="AA58" s="147"/>
      <c r="AB58" s="247" t="s">
        <v>295</v>
      </c>
      <c r="AC58" s="246" t="s">
        <v>2131</v>
      </c>
      <c r="AD58" s="247" t="s">
        <v>1514</v>
      </c>
      <c r="AE58" s="844">
        <f>AE52*AE57/100</f>
        <v>0</v>
      </c>
      <c r="AF58" s="844">
        <f>AF52*AF57/100</f>
        <v>0</v>
      </c>
      <c r="AG58" s="844">
        <f>AG52*AG57/100</f>
        <v>0</v>
      </c>
      <c r="AH58" s="844">
        <f>AH52*AH57/100</f>
        <v>0</v>
      </c>
      <c r="AI58" s="844">
        <f>AI52*AI57/100</f>
        <v>0</v>
      </c>
      <c r="AJ58" s="844">
        <f>AJ52*AJ57/100</f>
        <v>0</v>
      </c>
      <c r="AK58" s="844">
        <f>AK52*AK57/100</f>
        <v>0</v>
      </c>
      <c r="AL58" s="844">
        <f>AL52*AL57/100</f>
        <v>0</v>
      </c>
      <c r="AM58" s="844">
        <f>AM52*AM57/100</f>
        <v>0</v>
      </c>
      <c r="AN58" s="844">
        <f>AN52*AN57/100</f>
        <v>0</v>
      </c>
      <c r="AO58" s="844">
        <f>AO52*AO57/100</f>
        <v>0</v>
      </c>
      <c r="AP58" s="844">
        <f>AP52*AP57/100</f>
        <v>0</v>
      </c>
      <c r="AQ58" s="844">
        <f>AQ52*AQ57/100</f>
        <v>0</v>
      </c>
      <c r="AR58" s="844">
        <f>AR52*AR57/100</f>
        <v>0</v>
      </c>
      <c r="AS58" s="844">
        <f>AS52*AS57/100</f>
        <v>0</v>
      </c>
      <c r="AT58" s="844">
        <f>AT52*AT57/100</f>
        <v>0</v>
      </c>
      <c r="AU58" s="844">
        <f>AU52*AU57/100</f>
        <v>0</v>
      </c>
      <c r="AV58" s="844">
        <f>AV52*AV57/100</f>
        <v>0</v>
      </c>
      <c r="AW58" s="844">
        <f>AW52*AW57/100</f>
        <v>0</v>
      </c>
      <c r="AX58" s="844">
        <f>AX52*AX57/100</f>
        <v>0</v>
      </c>
      <c r="AY58" s="774"/>
      <c r="AZ58" s="147"/>
      <c r="BA58" s="1758"/>
      <c r="BB58" s="997" t="s">
        <v>2132</v>
      </c>
    </row>
    <row s="1834" customFormat="1" customHeight="1" ht="14.25">
      <c r="A59" s="1758"/>
      <c r="B59" s="1416"/>
      <c r="C59" s="1758"/>
      <c r="D59" s="1758"/>
      <c r="E59" s="618">
        <v>15</v>
      </c>
      <c r="F59" s="493" cm="1" t="str">
        <f t="array" ref="F59:F59">X59</f>
        <v>4</v>
      </c>
      <c r="G59" s="426"/>
      <c r="H59" s="426"/>
      <c r="I59" s="426"/>
      <c r="J59" s="426"/>
      <c r="K59" s="1758"/>
      <c r="L59" s="1758"/>
      <c r="M59" s="1758"/>
      <c r="N59" s="1758"/>
      <c r="O59" s="1758"/>
      <c r="P59" s="1758"/>
      <c r="Q59" s="1758"/>
      <c r="R59" s="1758"/>
      <c r="S59" s="1758"/>
      <c r="T59" s="465">
        <f>X59&gt;0</f>
        <v>1</v>
      </c>
      <c r="U59" s="1758"/>
      <c r="V59" s="122" cm="1" t="str">
        <f t="array" ref="V59:V59">'ИП + источники'!$AB$174</f>
        <v>Тариф 4 (Водоотведение) - тариф на водоотведение (Доп. признак не требуется)</v>
      </c>
      <c r="W59" s="1758"/>
      <c r="X59" s="1563" t="s">
        <v>295</v>
      </c>
      <c r="Y59" s="426"/>
      <c r="Z59" s="1597"/>
      <c r="AA59" s="426"/>
      <c r="AB59" s="242" cm="1" t="str">
        <f t="array" ref="AB59:AB59">'ИП + источники'!$AB$174</f>
        <v>Тариф 4 (Водоотведение) - тариф на водоотведение (Доп. признак не требуется)</v>
      </c>
      <c r="AC59" s="832"/>
      <c r="AD59" s="832"/>
      <c r="AE59" s="832"/>
      <c r="AF59" s="832"/>
      <c r="AG59" s="832"/>
      <c r="AH59" s="832"/>
      <c r="AI59" s="832"/>
      <c r="AJ59" s="832"/>
      <c r="AK59" s="832"/>
      <c r="AL59" s="832"/>
      <c r="AM59" s="832"/>
      <c r="AN59" s="832"/>
      <c r="AO59" s="832"/>
      <c r="AP59" s="832"/>
      <c r="AQ59" s="832"/>
      <c r="AR59" s="832"/>
      <c r="AS59" s="832"/>
      <c r="AT59" s="832"/>
      <c r="AU59" s="832"/>
      <c r="AV59" s="832"/>
      <c r="AW59" s="832"/>
      <c r="AX59" s="832"/>
      <c r="AY59" s="832"/>
      <c r="AZ59" s="426"/>
      <c r="BA59" s="1758"/>
      <c r="BB59" s="1764"/>
    </row>
    <row s="1834" customFormat="1" customHeight="1" ht="14.25">
      <c r="A60" s="241"/>
      <c r="B60" s="431"/>
      <c r="C60" s="241"/>
      <c r="D60" s="241"/>
      <c r="E60" s="691">
        <v>15</v>
      </c>
      <c r="F60" s="50" cm="1" t="str">
        <f t="array" ref="F60:F60">OFFSET(E60,-1,1)</f>
        <v>4</v>
      </c>
      <c r="G60" s="426" t="s">
        <v>332</v>
      </c>
      <c r="H60" s="147"/>
      <c r="I60" s="147"/>
      <c r="J60" s="147"/>
      <c r="K60" s="241"/>
      <c r="L60" s="241"/>
      <c r="M60" s="241"/>
      <c r="N60" s="241"/>
      <c r="O60" s="241"/>
      <c r="P60" s="241"/>
      <c r="Q60" s="241"/>
      <c r="R60" s="241"/>
      <c r="S60" s="241"/>
      <c r="T60" s="465" cm="1" t="str">
        <f t="array" ref="T60:T60">T59</f>
        <v>true</v>
      </c>
      <c r="U60" s="241"/>
      <c r="V60" s="241"/>
      <c r="W60" s="241"/>
      <c r="X60" s="1563"/>
      <c r="Y60" s="147"/>
      <c r="Z60" s="1597"/>
      <c r="AA60" s="147"/>
      <c r="AB60" s="247" t="s">
        <v>276</v>
      </c>
      <c r="AC60" s="246" t="s">
        <v>2119</v>
      </c>
      <c r="AD60" s="247" t="s">
        <v>1514</v>
      </c>
      <c r="AE60" s="844">
        <f>AE61+AE62+AE63</f>
        <v>0</v>
      </c>
      <c r="AF60" s="844">
        <f>AF61+AF62+AF63</f>
        <v>0</v>
      </c>
      <c r="AG60" s="844">
        <f>AG61+AG62+AG63</f>
        <v>0</v>
      </c>
      <c r="AH60" s="844">
        <f>AH61+AH62+AH63</f>
        <v>0</v>
      </c>
      <c r="AI60" s="844">
        <f>AI61+AI62+AI63</f>
        <v>0</v>
      </c>
      <c r="AJ60" s="844">
        <f>AJ61+AJ62+AJ63</f>
        <v>0</v>
      </c>
      <c r="AK60" s="844">
        <f>AK61+AK62+AK63</f>
        <v>0</v>
      </c>
      <c r="AL60" s="844">
        <f>AL61+AL62+AL63</f>
        <v>0</v>
      </c>
      <c r="AM60" s="844">
        <f>AM61+AM62+AM63</f>
        <v>0</v>
      </c>
      <c r="AN60" s="844">
        <f>AN61+AN62+AN63</f>
        <v>0</v>
      </c>
      <c r="AO60" s="844">
        <f>AO61+AO62+AO63</f>
        <v>0</v>
      </c>
      <c r="AP60" s="844">
        <f>AP61+AP62+AP63</f>
        <v>0</v>
      </c>
      <c r="AQ60" s="844">
        <f>AQ61+AQ62+AQ63</f>
        <v>0</v>
      </c>
      <c r="AR60" s="844">
        <f>AR61+AR62+AR63</f>
        <v>0</v>
      </c>
      <c r="AS60" s="844">
        <f>AS61+AS62+AS63</f>
        <v>0</v>
      </c>
      <c r="AT60" s="844">
        <f>AT61+AT62+AT63</f>
        <v>0</v>
      </c>
      <c r="AU60" s="844">
        <f>AU61+AU62+AU63</f>
        <v>0</v>
      </c>
      <c r="AV60" s="844">
        <f>AV61+AV62+AV63</f>
        <v>0</v>
      </c>
      <c r="AW60" s="844">
        <f>AW61+AW62+AW63</f>
        <v>0</v>
      </c>
      <c r="AX60" s="844">
        <f>AX61+AX62+AX63</f>
        <v>0</v>
      </c>
      <c r="AY60" s="774"/>
      <c r="AZ60" s="147"/>
      <c r="BA60" s="1758"/>
      <c r="BB60" s="997" t="s">
        <v>2053</v>
      </c>
    </row>
    <row s="1834" customFormat="1" customHeight="1" ht="14.25">
      <c r="A61" s="1758"/>
      <c r="B61" s="1416"/>
      <c r="C61" s="1758"/>
      <c r="D61" s="1758"/>
      <c r="E61" s="618">
        <v>15</v>
      </c>
      <c r="F61" s="50" cm="1" t="str">
        <f t="array" ref="F61:F61">OFFSET(E61,-1,1)</f>
        <v>4</v>
      </c>
      <c r="G61" s="426" t="s">
        <v>1175</v>
      </c>
      <c r="H61" s="426"/>
      <c r="I61" s="426"/>
      <c r="J61" s="426"/>
      <c r="K61" s="1758"/>
      <c r="L61" s="1758"/>
      <c r="M61" s="1758"/>
      <c r="N61" s="1758"/>
      <c r="O61" s="1758"/>
      <c r="P61" s="1758"/>
      <c r="Q61" s="1758"/>
      <c r="R61" s="1758"/>
      <c r="S61" s="1758"/>
      <c r="T61" s="465" cm="1" t="str">
        <f t="array" ref="T61:T61">T60</f>
        <v>true</v>
      </c>
      <c r="U61" s="1758"/>
      <c r="V61" s="1758"/>
      <c r="W61" s="1758"/>
      <c r="X61" s="1563"/>
      <c r="Y61" s="426"/>
      <c r="Z61" s="1597"/>
      <c r="AA61" s="426"/>
      <c r="AB61" s="850" t="s">
        <v>1628</v>
      </c>
      <c r="AC61" s="851" t="s">
        <v>2120</v>
      </c>
      <c r="AD61" s="850" t="s">
        <v>1514</v>
      </c>
      <c r="AE61" s="298"/>
      <c r="AF61" s="298"/>
      <c r="AG61" s="298"/>
      <c r="AH61" s="298"/>
      <c r="AI61" s="298"/>
      <c r="AJ61" s="4725"/>
      <c r="AK61" s="4725"/>
      <c r="AL61" s="4725"/>
      <c r="AM61" s="4725"/>
      <c r="AN61" s="4725"/>
      <c r="AO61" s="298"/>
      <c r="AP61" s="298"/>
      <c r="AQ61" s="298"/>
      <c r="AR61" s="298"/>
      <c r="AS61" s="298"/>
      <c r="AT61" s="4725"/>
      <c r="AU61" s="4725"/>
      <c r="AV61" s="4725"/>
      <c r="AW61" s="4725"/>
      <c r="AX61" s="4725"/>
      <c r="AY61" s="774"/>
      <c r="AZ61" s="426"/>
      <c r="BA61" s="1758"/>
      <c r="BB61" s="997" t="s">
        <v>2121</v>
      </c>
    </row>
    <row s="1834" customFormat="1" customHeight="1" ht="23.25">
      <c r="A62" s="1758"/>
      <c r="B62" s="1416"/>
      <c r="C62" s="1758"/>
      <c r="D62" s="1758"/>
      <c r="E62" s="618">
        <v>24</v>
      </c>
      <c r="F62" s="50" cm="1" t="str">
        <f t="array" ref="F62:F62">OFFSET(E62,-1,1)</f>
        <v>4</v>
      </c>
      <c r="G62" s="426" t="s">
        <v>1179</v>
      </c>
      <c r="H62" s="426"/>
      <c r="I62" s="426"/>
      <c r="J62" s="426"/>
      <c r="K62" s="1758"/>
      <c r="L62" s="1758"/>
      <c r="M62" s="1758"/>
      <c r="N62" s="1758"/>
      <c r="O62" s="1758"/>
      <c r="P62" s="1758"/>
      <c r="Q62" s="1758"/>
      <c r="R62" s="1758"/>
      <c r="S62" s="1758"/>
      <c r="T62" s="465" cm="1" t="str">
        <f t="array" ref="T62:T62">T61</f>
        <v>true</v>
      </c>
      <c r="U62" s="1758"/>
      <c r="V62" s="1758"/>
      <c r="W62" s="1758"/>
      <c r="X62" s="1563"/>
      <c r="Y62" s="426"/>
      <c r="Z62" s="1597"/>
      <c r="AA62" s="426"/>
      <c r="AB62" s="850" t="s">
        <v>1631</v>
      </c>
      <c r="AC62" s="851" t="s">
        <v>2122</v>
      </c>
      <c r="AD62" s="850" t="s">
        <v>1514</v>
      </c>
      <c r="AE62" s="298"/>
      <c r="AF62" s="298"/>
      <c r="AG62" s="298"/>
      <c r="AH62" s="298"/>
      <c r="AI62" s="298"/>
      <c r="AJ62" s="4725"/>
      <c r="AK62" s="4725"/>
      <c r="AL62" s="4725"/>
      <c r="AM62" s="4725"/>
      <c r="AN62" s="4725"/>
      <c r="AO62" s="298"/>
      <c r="AP62" s="298"/>
      <c r="AQ62" s="298"/>
      <c r="AR62" s="298"/>
      <c r="AS62" s="298"/>
      <c r="AT62" s="4725"/>
      <c r="AU62" s="4725"/>
      <c r="AV62" s="4725"/>
      <c r="AW62" s="4725"/>
      <c r="AX62" s="4725"/>
      <c r="AY62" s="774"/>
      <c r="AZ62" s="426"/>
      <c r="BA62" s="1758"/>
      <c r="BB62" s="997" t="s">
        <v>2123</v>
      </c>
    </row>
    <row s="1834" customFormat="1" customHeight="1" ht="33">
      <c r="A63" s="122"/>
      <c r="B63" s="428"/>
      <c r="C63" s="122"/>
      <c r="D63" s="122"/>
      <c r="E63" s="618">
        <v>34.2</v>
      </c>
      <c r="F63" s="1175" cm="1" t="str">
        <f t="array" ref="F63:F63">OFFSET(E63,-1,1)</f>
        <v>4</v>
      </c>
      <c r="G63" s="426" t="s">
        <v>1182</v>
      </c>
      <c r="H63" s="426"/>
      <c r="I63" s="426"/>
      <c r="J63" s="426"/>
      <c r="K63" s="122"/>
      <c r="L63" s="122"/>
      <c r="M63" s="122"/>
      <c r="N63" s="122"/>
      <c r="O63" s="122"/>
      <c r="P63" s="122"/>
      <c r="Q63" s="122"/>
      <c r="R63" s="122"/>
      <c r="S63" s="122"/>
      <c r="T63" s="465" cm="1" t="str">
        <f t="array" ref="T63:T63">T62</f>
        <v>true</v>
      </c>
      <c r="U63" s="122"/>
      <c r="V63" s="122"/>
      <c r="W63" s="122"/>
      <c r="X63" s="1563"/>
      <c r="Y63" s="426"/>
      <c r="Z63" s="1597"/>
      <c r="AA63" s="426"/>
      <c r="AB63" s="850" t="s">
        <v>1634</v>
      </c>
      <c r="AC63" s="851" t="s">
        <v>2124</v>
      </c>
      <c r="AD63" s="850" t="s">
        <v>1514</v>
      </c>
      <c r="AE63" s="298"/>
      <c r="AF63" s="298"/>
      <c r="AG63" s="298"/>
      <c r="AH63" s="298"/>
      <c r="AI63" s="298"/>
      <c r="AJ63" s="4725"/>
      <c r="AK63" s="4725"/>
      <c r="AL63" s="4725"/>
      <c r="AM63" s="4725"/>
      <c r="AN63" s="4725"/>
      <c r="AO63" s="298"/>
      <c r="AP63" s="298"/>
      <c r="AQ63" s="298"/>
      <c r="AR63" s="298"/>
      <c r="AS63" s="298"/>
      <c r="AT63" s="4725"/>
      <c r="AU63" s="4725"/>
      <c r="AV63" s="4725"/>
      <c r="AW63" s="4725"/>
      <c r="AX63" s="4725"/>
      <c r="AY63" s="774"/>
      <c r="AZ63" s="426"/>
      <c r="BA63" s="1834"/>
      <c r="BB63" s="1048" t="s">
        <v>2125</v>
      </c>
    </row>
    <row s="1834" customFormat="1" customHeight="1" ht="14.25">
      <c r="A64" s="1758"/>
      <c r="B64" s="1416"/>
      <c r="C64" s="1758"/>
      <c r="D64" s="1758"/>
      <c r="E64" s="618">
        <v>15</v>
      </c>
      <c r="F64" s="50" cm="1" t="str">
        <f t="array" ref="F64:F64">OFFSET(E64,-1,1)</f>
        <v>4</v>
      </c>
      <c r="G64" s="426" t="s">
        <v>333</v>
      </c>
      <c r="H64" s="426"/>
      <c r="I64" s="426"/>
      <c r="J64" s="426"/>
      <c r="K64" s="1758"/>
      <c r="L64" s="1758"/>
      <c r="M64" s="1758"/>
      <c r="N64" s="1758"/>
      <c r="O64" s="1758"/>
      <c r="P64" s="1758"/>
      <c r="Q64" s="1758"/>
      <c r="R64" s="1758"/>
      <c r="S64" s="1758"/>
      <c r="T64" s="465" cm="1" t="str">
        <f t="array" ref="T64:T64">T63</f>
        <v>true</v>
      </c>
      <c r="U64" s="1758"/>
      <c r="V64" s="1758"/>
      <c r="W64" s="1758"/>
      <c r="X64" s="1563"/>
      <c r="Y64" s="426"/>
      <c r="Z64" s="1597"/>
      <c r="AA64" s="426"/>
      <c r="AB64" s="850" t="s">
        <v>285</v>
      </c>
      <c r="AC64" s="852" t="s">
        <v>2126</v>
      </c>
      <c r="AD64" s="850" t="s">
        <v>1170</v>
      </c>
      <c r="AE64" s="853">
        <f>_xlfn.SUMIFS(Сценарии!AJ$25:AJ$163,Сценарии!$F$25:$F$163,$F64,Сценарии!$AC$25:$AC$163,"Индекс потребительских цен")</f>
        <v>5.1</v>
      </c>
      <c r="AF64" s="853">
        <f>_xlfn.SUMIFS(Сценарии!AO$25:AO$163,Сценарии!$F$25:$F$163,$F64,Сценарии!$AC$25:$AC$163,"Индекс потребительских цен")</f>
        <v>4</v>
      </c>
      <c r="AG64" s="853">
        <f>_xlfn.SUMIFS(Сценарии!AP$25:AP$163,Сценарии!$F$25:$F$163,$F64,Сценарии!$AC$25:$AC$163,"Индекс потребительских цен")</f>
        <v>4</v>
      </c>
      <c r="AH64" s="853">
        <f>_xlfn.SUMIFS(Сценарии!AQ$25:AQ$163,Сценарии!$F$25:$F$163,$F64,Сценарии!$AC$25:$AC$163,"Индекс потребительских цен")</f>
        <v>4</v>
      </c>
      <c r="AI64" s="853">
        <f>_xlfn.SUMIFS(Сценарии!AR$25:AR$163,Сценарии!$F$25:$F$163,$F64,Сценарии!$AC$25:$AC$163,"Индекс потребительских цен")</f>
        <v>4</v>
      </c>
      <c r="AJ64" s="853">
        <f>_xlfn.SUMIFS(Сценарии!AS$25:AS$163,Сценарии!$F$25:$F$163,$F64,Сценарии!$AC$25:$AC$163,"Индекс потребительских цен")</f>
        <v>0</v>
      </c>
      <c r="AK64" s="853">
        <f>_xlfn.SUMIFS(Сценарии!AT$25:AT$163,Сценарии!$F$25:$F$163,$F64,Сценарии!$AC$25:$AC$163,"Индекс потребительских цен")</f>
        <v>0</v>
      </c>
      <c r="AL64" s="853">
        <f>_xlfn.SUMIFS(Сценарии!AU$25:AU$163,Сценарии!$F$25:$F$163,$F64,Сценарии!$AC$25:$AC$163,"Индекс потребительских цен")</f>
        <v>0</v>
      </c>
      <c r="AM64" s="853">
        <f>_xlfn.SUMIFS(Сценарии!AV$25:AV$163,Сценарии!$F$25:$F$163,$F64,Сценарии!$AC$25:$AC$163,"Индекс потребительских цен")</f>
        <v>0</v>
      </c>
      <c r="AN64" s="853">
        <f>_xlfn.SUMIFS(Сценарии!AW$25:AW$163,Сценарии!$F$25:$F$163,$F64,Сценарии!$AC$25:$AC$163,"Индекс потребительских цен")</f>
        <v>0</v>
      </c>
      <c r="AO64" s="853">
        <f>_xlfn.SUMIFS(Сценарии!AK$25:AK$163,Сценарии!$F$25:$F$163,$F64,Сценарии!$AC$25:$AC$163,"Индекс потребительских цен")</f>
        <v>5.1</v>
      </c>
      <c r="AP64" s="853">
        <f>_xlfn.SUMIFS(Сценарии!AX$25:AX$163,Сценарии!$F$25:$F$163,$F64,Сценарии!$AC$25:$AC$163,"Индекс потребительских цен")</f>
        <v>4</v>
      </c>
      <c r="AQ64" s="853">
        <f>_xlfn.SUMIFS(Сценарии!AY$25:AY$163,Сценарии!$F$25:$F$163,$F64,Сценарии!$AC$25:$AC$163,"Индекс потребительских цен")</f>
        <v>4</v>
      </c>
      <c r="AR64" s="853">
        <f>_xlfn.SUMIFS(Сценарии!AZ$25:AZ$163,Сценарии!$F$25:$F$163,$F64,Сценарии!$AC$25:$AC$163,"Индекс потребительских цен")</f>
        <v>4</v>
      </c>
      <c r="AS64" s="853">
        <f>_xlfn.SUMIFS(Сценарии!BA$25:BA$163,Сценарии!$F$25:$F$163,$F64,Сценарии!$AC$25:$AC$163,"Индекс потребительских цен")</f>
        <v>4</v>
      </c>
      <c r="AT64" s="853">
        <f>_xlfn.SUMIFS(Сценарии!BB$25:BB$163,Сценарии!$F$25:$F$163,$F64,Сценарии!$AC$25:$AC$163,"Индекс потребительских цен")</f>
        <v>0</v>
      </c>
      <c r="AU64" s="853">
        <f>_xlfn.SUMIFS(Сценарии!BC$25:BC$163,Сценарии!$F$25:$F$163,$F64,Сценарии!$AC$25:$AC$163,"Индекс потребительских цен")</f>
        <v>0</v>
      </c>
      <c r="AV64" s="853">
        <f>_xlfn.SUMIFS(Сценарии!BD$25:BD$163,Сценарии!$F$25:$F$163,$F64,Сценарии!$AC$25:$AC$163,"Индекс потребительских цен")</f>
        <v>0</v>
      </c>
      <c r="AW64" s="853">
        <f>_xlfn.SUMIFS(Сценарии!BE$25:BE$163,Сценарии!$F$25:$F$163,$F64,Сценарии!$AC$25:$AC$163,"Индекс потребительских цен")</f>
        <v>0</v>
      </c>
      <c r="AX64" s="853">
        <f>_xlfn.SUMIFS(Сценарии!BF$25:BF$163,Сценарии!$F$25:$F$163,$F64,Сценарии!$AC$25:$AC$163,"Индекс потребительских цен")</f>
        <v>0</v>
      </c>
      <c r="AY64" s="774"/>
      <c r="AZ64" s="426"/>
      <c r="BA64" s="1758"/>
      <c r="BB64" s="997" t="s">
        <v>2127</v>
      </c>
    </row>
    <row s="1469" customFormat="1" customHeight="1" ht="14.25">
      <c r="A65" s="122"/>
      <c r="B65" s="428"/>
      <c r="C65" s="122"/>
      <c r="D65" s="122"/>
      <c r="E65" s="618">
        <v>15</v>
      </c>
      <c r="F65" s="50" cm="1" t="str">
        <f t="array" ref="F65:F65">OFFSET(E65,-1,1)</f>
        <v>4</v>
      </c>
      <c r="G65" s="426" t="s">
        <v>334</v>
      </c>
      <c r="H65" s="426"/>
      <c r="I65" s="426"/>
      <c r="J65" s="426"/>
      <c r="K65" s="122"/>
      <c r="L65" s="122"/>
      <c r="M65" s="122"/>
      <c r="N65" s="122"/>
      <c r="O65" s="122"/>
      <c r="P65" s="122"/>
      <c r="Q65" s="122"/>
      <c r="R65" s="122"/>
      <c r="S65" s="122"/>
      <c r="T65" s="465" cm="1" t="str">
        <f t="array" ref="T65:T65">T64</f>
        <v>true</v>
      </c>
      <c r="U65" s="122"/>
      <c r="V65" s="122"/>
      <c r="W65" s="122"/>
      <c r="X65" s="1563"/>
      <c r="Y65" s="426"/>
      <c r="Z65" s="1597"/>
      <c r="AA65" s="426"/>
      <c r="AB65" s="766">
        <v>3</v>
      </c>
      <c r="AC65" s="852" t="s">
        <v>2128</v>
      </c>
      <c r="AD65" s="850" t="s">
        <v>1170</v>
      </c>
      <c r="AE65" s="854" cm="1" t="str">
        <f t="array" ref="AE65:AE65">AE64</f>
        <v>5.1</v>
      </c>
      <c r="AF65" s="854">
        <f>AE65*AF64/100</f>
        <v>0.204</v>
      </c>
      <c r="AG65" s="854">
        <f>AF65*AG64/100</f>
        <v>0.00816</v>
      </c>
      <c r="AH65" s="854">
        <f>AG65*AH64/100</f>
        <v>0.0003264</v>
      </c>
      <c r="AI65" s="854">
        <f>AH65*AI64/100</f>
        <v>0.000013056</v>
      </c>
      <c r="AJ65" s="5179">
        <f>AI65*AJ64/100</f>
        <v>0</v>
      </c>
      <c r="AK65" s="5179">
        <f>AJ65*AK64/100</f>
        <v>0</v>
      </c>
      <c r="AL65" s="5179">
        <f>AK65*AL64/100</f>
        <v>0</v>
      </c>
      <c r="AM65" s="5179">
        <f>AL65*AM64/100</f>
        <v>0</v>
      </c>
      <c r="AN65" s="5179">
        <f>AM65*AN64/100</f>
        <v>0</v>
      </c>
      <c r="AO65" s="854">
        <f>AN65*AO64/100</f>
        <v>0</v>
      </c>
      <c r="AP65" s="854">
        <f>AO65*AP64/100</f>
        <v>0</v>
      </c>
      <c r="AQ65" s="854">
        <f>AP65*AQ64/100</f>
        <v>0</v>
      </c>
      <c r="AR65" s="854">
        <f>AQ65*AR64/100</f>
        <v>0</v>
      </c>
      <c r="AS65" s="854">
        <f>AR65*AS64/100</f>
        <v>0</v>
      </c>
      <c r="AT65" s="5179">
        <f>AS65*AT64/100</f>
        <v>0</v>
      </c>
      <c r="AU65" s="5179">
        <f>AT65*AU64/100</f>
        <v>0</v>
      </c>
      <c r="AV65" s="5179">
        <f>AU65*AV64/100</f>
        <v>0</v>
      </c>
      <c r="AW65" s="5179">
        <f>AV65*AW64/100</f>
        <v>0</v>
      </c>
      <c r="AX65" s="5179">
        <f>AW65*AX64/100</f>
        <v>0</v>
      </c>
      <c r="AY65" s="774"/>
      <c r="AZ65" s="426"/>
      <c r="BA65" s="698"/>
      <c r="BB65" s="1051" t="s">
        <v>2129</v>
      </c>
    </row>
    <row s="1834" customFormat="1" customHeight="1" ht="14.25">
      <c r="A66" s="241"/>
      <c r="B66" s="431"/>
      <c r="C66" s="241"/>
      <c r="D66" s="241"/>
      <c r="E66" s="691">
        <v>15</v>
      </c>
      <c r="F66" s="50" cm="1" t="str">
        <f t="array" ref="F66:F66">OFFSET(E66,-1,1)</f>
        <v>4</v>
      </c>
      <c r="G66" s="426" t="s">
        <v>336</v>
      </c>
      <c r="H66" s="426" t="s">
        <v>2130</v>
      </c>
      <c r="I66" s="147"/>
      <c r="J66" s="147"/>
      <c r="K66" s="241"/>
      <c r="L66" s="241"/>
      <c r="M66" s="241"/>
      <c r="N66" s="241"/>
      <c r="O66" s="241"/>
      <c r="P66" s="241"/>
      <c r="Q66" s="241"/>
      <c r="R66" s="241"/>
      <c r="S66" s="241"/>
      <c r="T66" s="465" cm="1" t="str">
        <f t="array" ref="T66:T66">T65</f>
        <v>true</v>
      </c>
      <c r="U66" s="241"/>
      <c r="V66" s="241"/>
      <c r="W66" s="241"/>
      <c r="X66" s="1563"/>
      <c r="Y66" s="147"/>
      <c r="Z66" s="1597"/>
      <c r="AA66" s="147"/>
      <c r="AB66" s="247" t="s">
        <v>295</v>
      </c>
      <c r="AC66" s="246" t="s">
        <v>2131</v>
      </c>
      <c r="AD66" s="247" t="s">
        <v>1514</v>
      </c>
      <c r="AE66" s="844">
        <f>AE60*AE65/100</f>
        <v>0</v>
      </c>
      <c r="AF66" s="844">
        <f>AF60*AF65/100</f>
        <v>0</v>
      </c>
      <c r="AG66" s="844">
        <f>AG60*AG65/100</f>
        <v>0</v>
      </c>
      <c r="AH66" s="844">
        <f>AH60*AH65/100</f>
        <v>0</v>
      </c>
      <c r="AI66" s="844">
        <f>AI60*AI65/100</f>
        <v>0</v>
      </c>
      <c r="AJ66" s="844">
        <f>AJ60*AJ65/100</f>
        <v>0</v>
      </c>
      <c r="AK66" s="844">
        <f>AK60*AK65/100</f>
        <v>0</v>
      </c>
      <c r="AL66" s="844">
        <f>AL60*AL65/100</f>
        <v>0</v>
      </c>
      <c r="AM66" s="844">
        <f>AM60*AM65/100</f>
        <v>0</v>
      </c>
      <c r="AN66" s="844">
        <f>AN60*AN65/100</f>
        <v>0</v>
      </c>
      <c r="AO66" s="844">
        <f>AO60*AO65/100</f>
        <v>0</v>
      </c>
      <c r="AP66" s="844">
        <f>AP60*AP65/100</f>
        <v>0</v>
      </c>
      <c r="AQ66" s="844">
        <f>AQ60*AQ65/100</f>
        <v>0</v>
      </c>
      <c r="AR66" s="844">
        <f>AR60*AR65/100</f>
        <v>0</v>
      </c>
      <c r="AS66" s="844">
        <f>AS60*AS65/100</f>
        <v>0</v>
      </c>
      <c r="AT66" s="844">
        <f>AT60*AT65/100</f>
        <v>0</v>
      </c>
      <c r="AU66" s="844">
        <f>AU60*AU65/100</f>
        <v>0</v>
      </c>
      <c r="AV66" s="844">
        <f>AV60*AV65/100</f>
        <v>0</v>
      </c>
      <c r="AW66" s="844">
        <f>AW60*AW65/100</f>
        <v>0</v>
      </c>
      <c r="AX66" s="844">
        <f>AX60*AX65/100</f>
        <v>0</v>
      </c>
      <c r="AY66" s="774"/>
      <c r="AZ66" s="147"/>
      <c r="BA66" s="1758"/>
      <c r="BB66" s="997" t="s">
        <v>2132</v>
      </c>
    </row>
    <row customHeight="1" ht="10.96875">
      <c r="A67" s="0"/>
      <c r="B67" s="430"/>
      <c r="C67" s="0"/>
      <c r="D67" s="0"/>
      <c r="E67" s="624">
        <v>11.25</v>
      </c>
      <c r="F67" s="0"/>
      <c r="G67" s="0"/>
      <c r="H67" s="0"/>
      <c r="I67" s="0"/>
      <c r="J67" s="0"/>
      <c r="K67" s="0"/>
      <c r="L67" s="0"/>
      <c r="M67" s="0"/>
      <c r="N67" s="0"/>
      <c r="O67" s="0"/>
      <c r="P67" s="0"/>
      <c r="Q67" s="0"/>
      <c r="R67" s="0"/>
      <c r="S67" s="0"/>
      <c r="T67" s="0"/>
      <c r="U67" s="482" t="s">
        <v>178</v>
      </c>
      <c r="V67" s="140" t="s">
        <v>2133</v>
      </c>
      <c r="W67" s="0"/>
      <c r="X67" s="0"/>
      <c r="Y67" s="0"/>
      <c r="Z67" s="0"/>
      <c r="AA67" s="0"/>
      <c r="AB67" s="0"/>
      <c r="AC67" s="100"/>
      <c r="AD67" s="100"/>
      <c r="AE67" s="100"/>
      <c r="AF67" s="100"/>
      <c r="AG67" s="0"/>
      <c r="AH67" s="0"/>
      <c r="AI67" s="0"/>
      <c r="AJ67" s="0"/>
      <c r="AK67" s="0"/>
      <c r="AL67" s="0"/>
      <c r="AM67" s="0"/>
      <c r="AN67" s="0"/>
      <c r="AO67" s="0"/>
      <c r="AP67" s="0"/>
      <c r="AQ67" s="101"/>
      <c r="AR67" s="0"/>
      <c r="AS67" s="0"/>
      <c r="AT67" s="0"/>
      <c r="AU67" s="0"/>
      <c r="AV67" s="0"/>
      <c r="AW67" s="0"/>
      <c r="AX67" s="0"/>
      <c r="AY67" s="0"/>
      <c r="AZ67" s="0"/>
    </row>
    <row customHeight="1" ht="14.625">
      <c r="E68" s="618">
        <v>15</v>
      </c>
      <c r="F68" s="426"/>
      <c r="G68" s="426"/>
      <c r="H68" s="426"/>
      <c r="I68" s="426"/>
      <c r="J68" s="426"/>
      <c r="AB68" s="1577" t="s">
        <v>407</v>
      </c>
      <c r="AC68" s="1577"/>
      <c r="AD68" s="1577"/>
      <c r="AE68" s="1577"/>
      <c r="AF68" s="1577"/>
      <c r="AG68" s="1577"/>
      <c r="AH68" s="1577"/>
      <c r="AI68" s="1577"/>
      <c r="AJ68" s="1577"/>
      <c r="AK68" s="1577"/>
      <c r="AL68" s="1577"/>
      <c r="AM68" s="1577"/>
      <c r="AN68" s="1577"/>
      <c r="AO68" s="1577"/>
      <c r="AP68" s="1577"/>
      <c r="AQ68" s="1577"/>
      <c r="AR68" s="1577"/>
      <c r="AS68" s="1577"/>
      <c r="AT68" s="1577"/>
      <c r="AU68" s="1577"/>
      <c r="AV68" s="1577"/>
      <c r="AW68" s="1577"/>
      <c r="AX68" s="1598"/>
      <c r="AY68" s="1598"/>
    </row>
    <row customHeight="1" ht="14.625">
      <c r="E69" s="618">
        <v>15</v>
      </c>
      <c r="F69" s="426"/>
      <c r="G69" s="426"/>
      <c r="H69" s="426"/>
      <c r="I69" s="426"/>
      <c r="J69" s="426"/>
      <c r="AA69" s="173"/>
      <c r="AB69" s="1628" t="s">
        <v>2134</v>
      </c>
      <c r="AC69" s="1629"/>
      <c r="AD69" s="1629"/>
      <c r="AE69" s="1629"/>
      <c r="AF69" s="1629"/>
      <c r="AG69" s="1629"/>
      <c r="AH69" s="1629"/>
      <c r="AI69" s="1629"/>
      <c r="AJ69" s="1629"/>
      <c r="AK69" s="1629"/>
      <c r="AL69" s="1629"/>
      <c r="AM69" s="1629"/>
      <c r="AN69" s="1629"/>
      <c r="AO69" s="1629"/>
      <c r="AP69" s="1629"/>
      <c r="AQ69" s="1629"/>
      <c r="AR69" s="1629"/>
      <c r="AS69" s="1629"/>
      <c r="AT69" s="1629"/>
      <c r="AU69" s="1629"/>
      <c r="AV69" s="1629"/>
      <c r="AW69" s="1629"/>
      <c r="AX69" s="1630"/>
      <c r="AY69" s="1630"/>
    </row>
    <row customHeight="1" ht="14.625" hidden="1">
      <c r="A70" s="1758"/>
      <c r="B70" s="1416"/>
      <c r="C70" s="1758"/>
      <c r="D70" s="1758"/>
      <c r="E70" s="618">
        <v>15</v>
      </c>
      <c r="F70" s="1758"/>
      <c r="G70" s="1758"/>
      <c r="H70" s="1758"/>
      <c r="I70" s="1758"/>
      <c r="J70" s="1758"/>
      <c r="K70" s="1758"/>
      <c r="L70" s="1758"/>
      <c r="M70" s="1758"/>
      <c r="N70" s="1758"/>
      <c r="O70" s="1758"/>
      <c r="P70" s="1758"/>
      <c r="Q70" s="1758"/>
      <c r="R70" s="1758"/>
      <c r="S70" s="1758"/>
      <c r="T70" s="465">
        <f>ROW(W70)&gt;ROW(W$70)</f>
        <v>0</v>
      </c>
      <c r="U70" s="1758"/>
      <c r="V70" s="1758"/>
      <c r="W70" s="757" t="s">
        <v>174</v>
      </c>
      <c r="X70" s="1758"/>
      <c r="Y70" s="1758"/>
      <c r="Z70" s="1758"/>
      <c r="AA70" s="420" t="s">
        <v>175</v>
      </c>
      <c r="AB70" s="5166" t="s">
        <v>227</v>
      </c>
      <c r="AC70" s="1629"/>
      <c r="AD70" s="1629"/>
      <c r="AE70" s="1629"/>
      <c r="AF70" s="1629"/>
      <c r="AG70" s="1629"/>
      <c r="AH70" s="1629"/>
      <c r="AI70" s="1629"/>
      <c r="AJ70" s="1629"/>
      <c r="AK70" s="1629"/>
      <c r="AL70" s="1629"/>
      <c r="AM70" s="1629"/>
      <c r="AN70" s="1629"/>
      <c r="AO70" s="1629"/>
      <c r="AP70" s="1629"/>
      <c r="AQ70" s="1629"/>
      <c r="AR70" s="1629"/>
      <c r="AS70" s="1629"/>
      <c r="AT70" s="1629"/>
      <c r="AU70" s="1629"/>
      <c r="AV70" s="1629"/>
      <c r="AW70" s="1629"/>
      <c r="AX70" s="1630"/>
      <c r="AY70" s="1630"/>
      <c r="AZ70" s="1758"/>
      <c r="BA70" s="1758"/>
      <c r="BB70" s="1764"/>
    </row>
    <row s="698" customFormat="1" customHeight="1" ht="14.625">
      <c r="A71" s="122"/>
      <c r="B71" s="428"/>
      <c r="C71" s="122"/>
      <c r="D71" s="122"/>
      <c r="E71" s="618">
        <v>15</v>
      </c>
      <c r="F71" s="122"/>
      <c r="G71" s="122"/>
      <c r="H71" s="122"/>
      <c r="I71" s="122"/>
      <c r="J71" s="122"/>
      <c r="K71" s="122"/>
      <c r="L71" s="122"/>
      <c r="M71" s="122"/>
      <c r="N71" s="122"/>
      <c r="O71" s="122"/>
      <c r="P71" s="122"/>
      <c r="Q71" s="122"/>
      <c r="R71" s="122"/>
      <c r="S71" s="122"/>
      <c r="T71" s="122"/>
      <c r="U71" s="122"/>
      <c r="V71" s="122"/>
      <c r="W71" s="757" t="s">
        <v>408</v>
      </c>
      <c r="X71" s="122"/>
      <c r="Y71" s="122"/>
      <c r="Z71" s="122"/>
      <c r="AA71" s="122"/>
      <c r="AB71" s="647"/>
      <c r="AC71" s="514" t="s">
        <v>409</v>
      </c>
      <c r="AD71" s="310"/>
      <c r="AE71" s="310"/>
      <c r="AF71" s="310"/>
      <c r="AG71" s="310"/>
      <c r="AH71" s="310"/>
      <c r="AI71" s="310"/>
      <c r="AJ71" s="310"/>
      <c r="AK71" s="310"/>
      <c r="AL71" s="310"/>
      <c r="AM71" s="310"/>
      <c r="AN71" s="310"/>
      <c r="AO71" s="310"/>
      <c r="AP71" s="310"/>
      <c r="AQ71" s="310"/>
      <c r="AR71" s="310"/>
      <c r="AS71" s="310"/>
      <c r="AT71" s="310"/>
      <c r="AU71" s="310"/>
      <c r="AV71" s="310"/>
      <c r="AW71" s="310"/>
      <c r="AX71" s="310"/>
      <c r="AY71" s="275"/>
      <c r="AZ71" s="122"/>
      <c r="BB71" s="1051"/>
    </row>
    <row s="1834" customFormat="1" customHeight="1" ht="10.725000000000001">
      <c r="A72" s="122"/>
      <c r="B72" s="428"/>
      <c r="C72" s="122"/>
      <c r="D72" s="122"/>
      <c r="E72" s="618">
        <v>11</v>
      </c>
      <c r="F72" s="122"/>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c r="AI72" s="122"/>
      <c r="AJ72" s="122"/>
      <c r="AK72" s="122"/>
      <c r="AL72" s="122"/>
      <c r="AM72" s="122"/>
      <c r="AN72" s="122"/>
      <c r="AO72" s="122"/>
      <c r="AP72" s="122"/>
      <c r="AQ72" s="122"/>
      <c r="AR72" s="122"/>
      <c r="AS72" s="122"/>
      <c r="AT72" s="122"/>
      <c r="AU72" s="122"/>
      <c r="AV72" s="122"/>
      <c r="AW72" s="122"/>
      <c r="AX72" s="122"/>
      <c r="AY72" s="122"/>
      <c r="AZ72" s="426"/>
      <c r="BB72" s="1004"/>
    </row>
  </sheetData>
  <sheetProtection formatColumns="0" formatRows="0" insertRows="0" deleteColumns="0" deleteRows="0" sort="0" autoFilter="0" insertColumns="1"/>
  <mergeCells count="17">
    <mergeCell ref="AB70:AY70"/>
    <mergeCell ref="X27:X34"/>
    <mergeCell ref="Z27:Z34"/>
    <mergeCell ref="AB68:AY68"/>
    <mergeCell ref="AB69:AY69"/>
    <mergeCell ref="AB24:AB25"/>
    <mergeCell ref="AC24:AC25"/>
    <mergeCell ref="AD24:AD25"/>
    <mergeCell ref="AY24:AY25"/>
    <mergeCell ref="X35:X42"/>
    <mergeCell ref="Z35:Z42"/>
    <mergeCell ref="X43:X50"/>
    <mergeCell ref="Z43:Z50"/>
    <mergeCell ref="X51:X58"/>
    <mergeCell ref="Z51:Z58"/>
    <mergeCell ref="X59:X66"/>
    <mergeCell ref="Z59:Z66"/>
  </mergeCells>
  <dataValidations count="1">
    <dataValidation allowBlank="1" showInputMessage="1" showErrorMessage="1" sqref="AY68:AY70"/>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D71E82-7F55-1A18-E1B9-93C355BBF128}" mc:Ignorable="x14ac xr xr2 xr3">
  <sheetPr>
    <tabColor rgb="FF002060"/>
  </sheetPr>
  <dimension ref="A1:AQ46"/>
  <sheetViews>
    <sheetView showGridLines="0" workbookViewId="0">
      <pane xSplit="30" ySplit="24" topLeftCell="AE25" activePane="bottomRight" state="frozen"/>
      <selection pane="bottomLeft" activeCell="A25" sqref="A25"/>
      <selection pane="topRight" activeCell="AE1" sqref="AE1"/>
      <selection pane="bottomRight" activeCell="AB45" sqref="AB45"/>
    </sheetView>
  </sheetViews>
  <sheetFormatPr defaultColWidth="9.140625" customHeight="1" defaultRowHeight="11.25"/>
  <cols>
    <col min="1" max="1" style="1758" width="3.57421875" hidden="1" customWidth="1"/>
    <col min="2" max="2" style="1416" width="8.57421875" hidden="1" customWidth="1"/>
    <col min="3" max="4" style="1758" width="3.57421875" hidden="1" customWidth="1"/>
    <col min="5" max="5" style="1757" width="3.57421875" hidden="1" customWidth="1"/>
    <col min="6" max="6" style="1411" width="3.57421875" hidden="1" customWidth="1"/>
    <col min="7" max="19" style="1758" width="3.57421875" hidden="1" customWidth="1"/>
    <col min="20" max="20" style="1758" width="10.421875" hidden="1" customWidth="1"/>
    <col min="21" max="21" style="1758" width="5.8515625" hidden="1" customWidth="1"/>
    <col min="22" max="23" style="1758" width="6.140625" hidden="1" customWidth="1"/>
    <col min="24" max="25" style="1758" width="5.57421875" hidden="1" customWidth="1"/>
    <col min="26" max="26" style="1758" width="5.28125" hidden="1" customWidth="1"/>
    <col min="27" max="27" style="1758" width="3.00390625" customWidth="1"/>
    <col min="28" max="28" style="1758" width="11.00390625" customWidth="1"/>
    <col min="29" max="29" style="1758" width="50.00390625" customWidth="1"/>
    <col min="30" max="30" style="1758" width="10.00390625" customWidth="1"/>
    <col min="31" max="31" style="1758" width="15.00390625" customWidth="1"/>
    <col min="32" max="32" style="1758" width="16.57421875" customWidth="1"/>
    <col min="33" max="33" style="1758" width="18.7109375" customWidth="1"/>
    <col min="34" max="34" style="1758" width="25.86328125" customWidth="1"/>
    <col min="35" max="35" style="1758" width="18.43359375" customWidth="1"/>
    <col min="36" max="36" style="1758" width="29.140625" customWidth="1"/>
    <col min="37" max="37" style="1758" width="18.43359375" customWidth="1"/>
    <col min="38" max="38" style="1758" width="15.00390625" customWidth="1"/>
    <col min="39" max="39" style="1758" width="3.00390625" customWidth="1"/>
    <col min="40" max="40" style="1758" width="9.140625" hidden="1"/>
    <col min="41" max="41" style="1764" width="9.140625" hidden="1"/>
    <col min="42" max="43" style="1758" width="9.140625" hidden="1"/>
  </cols>
  <sheetData>
    <row customHeight="1" ht="11.25" hidden="1">
      <c r="E1" s="122"/>
      <c r="F1" s="749" t="s">
        <v>321</v>
      </c>
      <c r="G1" s="122" t="s">
        <v>331</v>
      </c>
      <c r="T1" s="465" t="s">
        <v>93</v>
      </c>
      <c r="U1" s="465" t="s">
        <v>98</v>
      </c>
      <c r="V1" s="465" t="s">
        <v>94</v>
      </c>
      <c r="W1" s="465" t="s">
        <v>95</v>
      </c>
      <c r="X1" s="465" t="s">
        <v>96</v>
      </c>
      <c r="Y1" s="467" t="s">
        <v>323</v>
      </c>
      <c r="Z1" s="465" t="s">
        <v>100</v>
      </c>
      <c r="AA1" s="466" t="s">
        <v>97</v>
      </c>
      <c r="AB1" s="85"/>
      <c r="AC1" s="466" t="s">
        <v>99</v>
      </c>
      <c r="AO1" s="997" t="s">
        <v>324</v>
      </c>
    </row>
    <row s="1416" customFormat="1" customHeight="1" ht="11.25" hidden="1">
      <c r="B2" s="446" t="s">
        <v>19</v>
      </c>
      <c r="F2" s="750"/>
      <c r="AO2" s="1009"/>
    </row>
    <row customHeight="1" ht="11.25" hidden="1">
      <c r="E3" s="122"/>
    </row>
    <row customHeight="1" ht="11.25" hidden="1">
      <c r="E4" s="122"/>
    </row>
    <row s="1757" customFormat="1" customHeight="1" ht="11.25" hidden="1">
      <c r="A5" s="122"/>
      <c r="B5" s="428"/>
      <c r="C5" s="122"/>
      <c r="D5" s="122"/>
      <c r="E5" s="618" t="s">
        <v>20</v>
      </c>
      <c r="F5" s="751"/>
      <c r="AA5" s="618">
        <v>3</v>
      </c>
      <c r="AB5" s="618">
        <v>11</v>
      </c>
      <c r="AC5" s="618">
        <v>50</v>
      </c>
      <c r="AD5" s="618">
        <v>10</v>
      </c>
      <c r="AE5" s="618">
        <v>15</v>
      </c>
      <c r="AF5" s="618">
        <v>16.57</v>
      </c>
      <c r="AG5" s="618">
        <v>18.71</v>
      </c>
      <c r="AH5" s="618">
        <v>25.86</v>
      </c>
      <c r="AI5" s="618">
        <v>18.43</v>
      </c>
      <c r="AJ5" s="618">
        <v>29.14</v>
      </c>
      <c r="AK5" s="618">
        <v>18.43</v>
      </c>
      <c r="AL5" s="618">
        <v>15</v>
      </c>
      <c r="AM5" s="618">
        <v>3</v>
      </c>
      <c r="AO5" s="997"/>
    </row>
    <row customHeight="1" ht="11.25" hidden="1">
      <c r="A6" s="122" t="s">
        <v>357</v>
      </c>
      <c r="AE6" s="122" cm="1" t="str">
        <f t="array" ref="AE6:AE6">AE24</f>
        <v>Начислено в соответствии с пунктом 26(1) Основ ценообразования в сфере водоснабжения и водоотведения</v>
      </c>
      <c r="AF6" s="122" cm="1" t="str">
        <f t="array" ref="AF6:AF6">AF24</f>
        <v>Направлено на внесение платы за негативное воздействие на окружающую среду</v>
      </c>
      <c r="AG6" s="122" cm="1" t="str">
        <f t="array" ref="AG6:AG6">AG24</f>
        <v>Направлено на компенсацию вреда, причиненного водному объекту</v>
      </c>
      <c r="AH6" s="122" cm="1" t="str">
        <f t="array" ref="AH6:AH6">AH24</f>
        <v>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v>
      </c>
      <c r="AI6" s="122" cm="1" t="str">
        <f t="array" ref="AI6:AI6">AI24</f>
        <v>Предусмотрено на финансирование мероприятий производственной программы регулируемой организации</v>
      </c>
      <c r="AJ6" s="122" cm="1" t="str">
        <f t="array" ref="AJ6:AJ6">AJ24</f>
        <v>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v>
      </c>
      <c r="AK6" s="122" cm="1" t="str">
        <f t="array" ref="AK6:AK6">AK24</f>
        <v>Налог на прибыль</v>
      </c>
      <c r="AL6" s="122" cm="1" t="str">
        <f t="array" ref="AL6:AL6">AL24</f>
        <v>Подлежит к исключению</v>
      </c>
    </row>
    <row customHeight="1" ht="11.25" hidden="1"/>
    <row customHeight="1" ht="11.25" hidden="1"/>
    <row s="1764" customFormat="1" customHeight="1" ht="11.25" hidden="1">
      <c r="A9" s="997" t="s">
        <v>367</v>
      </c>
      <c r="B9" s="1009"/>
      <c r="F9" s="1010"/>
      <c r="AE9" s="997" cm="1" t="str">
        <f t="array" ref="AE9:AE9">AE24</f>
        <v>Начислено в соответствии с пунктом 26(1) Основ ценообразования в сфере водоснабжения и водоотведения</v>
      </c>
      <c r="AF9" s="997" cm="1" t="str">
        <f t="array" ref="AF9:AF9">AF24</f>
        <v>Направлено на внесение платы за негативное воздействие на окружающую среду</v>
      </c>
      <c r="AG9" s="997" cm="1" t="str">
        <f t="array" ref="AG9:AG9">AG24</f>
        <v>Направлено на компенсацию вреда, причиненного водному объекту</v>
      </c>
      <c r="AH9" s="997" cm="1" t="str">
        <f t="array" ref="AH9:AH9">AH24</f>
        <v>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v>
      </c>
      <c r="AI9" s="997" cm="1" t="str">
        <f t="array" ref="AI9:AI9">AI24</f>
        <v>Предусмотрено на финансирование мероприятий производственной программы регулируемой организации</v>
      </c>
      <c r="AJ9" s="997" cm="1" t="str">
        <f t="array" ref="AJ9:AJ9">AJ24</f>
        <v>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v>
      </c>
      <c r="AK9" s="997" cm="1" t="str">
        <f t="array" ref="AK9:AK9">AK24</f>
        <v>Налог на прибыль</v>
      </c>
      <c r="AL9" s="997" cm="1" t="str">
        <f t="array" ref="AL9:AL9">AL24</f>
        <v>Подлежит к исключению</v>
      </c>
    </row>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0.96875">
      <c r="E21" s="618">
        <v>11.25</v>
      </c>
      <c r="AA21" s="425"/>
      <c r="AB21" s="156"/>
      <c r="AC21" s="156"/>
      <c r="AD21" s="156"/>
      <c r="AE21" s="156"/>
      <c r="AF21" s="156"/>
      <c r="AG21" s="156"/>
      <c r="AH21" s="156"/>
      <c r="AI21" s="156"/>
      <c r="AJ21" s="156"/>
      <c r="AK21" s="156"/>
      <c r="AL21" s="156"/>
    </row>
    <row customHeight="1" ht="19.5">
      <c r="E22" s="618">
        <v>20</v>
      </c>
      <c r="AB22" s="320" t="s">
        <v>2135</v>
      </c>
      <c r="AC22" s="236"/>
      <c r="AD22" s="236"/>
      <c r="AE22" s="236"/>
      <c r="AF22" s="236"/>
      <c r="AG22" s="249"/>
      <c r="AH22" s="249"/>
      <c r="AI22" s="249"/>
      <c r="AJ22" s="249"/>
      <c r="AK22" s="249"/>
      <c r="AL22" s="249"/>
    </row>
    <row customHeight="1" ht="10.96875">
      <c r="E23" s="618">
        <v>11.25</v>
      </c>
      <c r="AB23" s="156"/>
      <c r="AC23" s="156"/>
      <c r="AD23" s="156"/>
      <c r="AE23" s="156"/>
      <c r="AF23" s="156"/>
      <c r="AG23" s="156"/>
      <c r="AH23" s="156"/>
      <c r="AI23" s="156"/>
      <c r="AJ23" s="156"/>
      <c r="AK23" s="156"/>
      <c r="AL23" s="156"/>
    </row>
    <row customHeight="1" ht="108.95625000000001">
      <c r="E24" s="618">
        <v>111.75</v>
      </c>
      <c r="AB24" s="245" t="s">
        <v>2136</v>
      </c>
      <c r="AC24" s="86" t="s">
        <v>2117</v>
      </c>
      <c r="AD24" s="86" t="s">
        <v>370</v>
      </c>
      <c r="AE24" s="91" t="s">
        <v>2137</v>
      </c>
      <c r="AF24" s="91" t="s">
        <v>2138</v>
      </c>
      <c r="AG24" s="91" t="s">
        <v>2139</v>
      </c>
      <c r="AH24" s="91" t="s">
        <v>2140</v>
      </c>
      <c r="AI24" s="91" t="s">
        <v>2141</v>
      </c>
      <c r="AJ24" s="91" t="s">
        <v>2142</v>
      </c>
      <c r="AK24" s="91" t="s">
        <v>2014</v>
      </c>
      <c r="AL24" s="91" t="s">
        <v>2143</v>
      </c>
    </row>
    <row s="1834" customFormat="1" customHeight="1" ht="11.25">
      <c r="B25" s="430"/>
      <c r="E25" s="671" t="s">
        <v>373</v>
      </c>
      <c r="F25" s="1082"/>
      <c r="AC25" s="100"/>
      <c r="AD25" s="100"/>
      <c r="AE25" s="100"/>
      <c r="AF25" s="100"/>
      <c r="AO25" s="1004"/>
      <c r="AQ25" s="101"/>
    </row>
    <row customHeight="1" ht="14.625" hidden="1">
      <c r="A26" s="1758"/>
      <c r="B26" s="1416"/>
      <c r="C26" s="1758"/>
      <c r="D26" s="1758"/>
      <c r="E26" s="618">
        <v>15</v>
      </c>
      <c r="F26" s="349" cm="1" t="str">
        <f t="array" ref="F26:F26">X26</f>
        <v>0</v>
      </c>
      <c r="G26" s="1758"/>
      <c r="H26" s="1758"/>
      <c r="I26" s="1758"/>
      <c r="J26" s="1758"/>
      <c r="K26" s="1758"/>
      <c r="L26" s="1758"/>
      <c r="M26" s="1758"/>
      <c r="N26" s="1758"/>
      <c r="O26" s="1758"/>
      <c r="P26" s="1758"/>
      <c r="Q26" s="1758"/>
      <c r="R26" s="1758"/>
      <c r="S26" s="1758"/>
      <c r="T26" s="465">
        <f>X26&gt;0</f>
        <v>0</v>
      </c>
      <c r="U26" s="1758"/>
      <c r="V26" s="122" t="s">
        <v>265</v>
      </c>
      <c r="W26" s="1758"/>
      <c r="X26" s="1563">
        <v>0</v>
      </c>
      <c r="Y26" s="1758"/>
      <c r="Z26" s="1546"/>
      <c r="AA26" s="1758"/>
      <c r="AB26" s="242" cm="1" t="str">
        <f t="array" ref="AB26:AB26">INDEX('Общие сведения'!$AG$179:$AG$250,MATCH($X26,'Общие сведения'!$Z$179:$Z$250,0))</f>
        <v>Тариф 0 () - </v>
      </c>
      <c r="AC26" s="243"/>
      <c r="AD26" s="243"/>
      <c r="AE26" s="273">
        <f>AE27+AE28</f>
        <v>0</v>
      </c>
      <c r="AF26" s="273">
        <f>AF27+AF28</f>
        <v>0</v>
      </c>
      <c r="AG26" s="273">
        <f>AG27+AG28</f>
        <v>0</v>
      </c>
      <c r="AH26" s="273">
        <f>AH27+AH28</f>
        <v>0</v>
      </c>
      <c r="AI26" s="273">
        <f>AI27+AI28</f>
        <v>0</v>
      </c>
      <c r="AJ26" s="273">
        <f>AJ27+AJ28</f>
        <v>0</v>
      </c>
      <c r="AK26" s="273">
        <f>AK27+AK28</f>
        <v>0</v>
      </c>
      <c r="AL26" s="273">
        <f>AL27+AL28</f>
        <v>0</v>
      </c>
      <c r="AM26" s="1758"/>
      <c r="AN26" s="1758"/>
      <c r="AO26" s="1764"/>
      <c r="AP26" s="1758"/>
      <c r="AQ26" s="1758"/>
    </row>
    <row customHeight="1" ht="33.39375" hidden="1">
      <c r="A27" s="1758"/>
      <c r="B27" s="446">
        <f>_xlfn.IFERROR(IF(SEARCH("Водоотведение",AB26),TRUE,FALSE),FALSE)</f>
        <v>0</v>
      </c>
      <c r="C27" s="1758"/>
      <c r="D27" s="1758"/>
      <c r="E27" s="618">
        <v>34.25</v>
      </c>
      <c r="F27" s="50" cm="1" t="str">
        <f t="array" ref="F27:F27">OFFSET(E27,-1,1)</f>
        <v>0</v>
      </c>
      <c r="G27" s="124">
        <v>1</v>
      </c>
      <c r="H27" s="1758"/>
      <c r="I27" s="1758"/>
      <c r="J27" s="1758"/>
      <c r="K27" s="1758"/>
      <c r="L27" s="1758"/>
      <c r="M27" s="1758"/>
      <c r="N27" s="1758"/>
      <c r="O27" s="1758"/>
      <c r="P27" s="1758"/>
      <c r="Q27" s="1758"/>
      <c r="R27" s="1758"/>
      <c r="S27" s="1758"/>
      <c r="T27" s="465" cm="1" t="str">
        <f t="array" ref="T27:T27">T26</f>
        <v>false</v>
      </c>
      <c r="U27" s="1758"/>
      <c r="V27" s="1758"/>
      <c r="W27" s="1758"/>
      <c r="X27" s="1563"/>
      <c r="Y27" s="1758"/>
      <c r="Z27" s="1546"/>
      <c r="AA27" s="1758"/>
      <c r="AB27" s="86" t="s">
        <v>276</v>
      </c>
      <c r="AC27" s="244" t="s">
        <v>2144</v>
      </c>
      <c r="AD27" s="86" t="s">
        <v>1514</v>
      </c>
      <c r="AE27" s="4934"/>
      <c r="AF27" s="5188"/>
      <c r="AG27" s="5188"/>
      <c r="AH27" s="5188"/>
      <c r="AI27" s="5188"/>
      <c r="AJ27" s="5188"/>
      <c r="AK27" s="5188"/>
      <c r="AL27" s="5188">
        <f>IF(AE27-AF27-AG27-AH27-AI27-AJ27-AK27&lt;0,0,AE27-AF27-AG27-AH27-AI27-AJ27-AK27)</f>
        <v>0</v>
      </c>
      <c r="AM27" s="1758"/>
      <c r="AN27" s="1758"/>
      <c r="AO27" s="997" t="s">
        <v>2098</v>
      </c>
      <c r="AP27" s="1758"/>
      <c r="AQ27" s="1758"/>
    </row>
    <row customHeight="1" ht="33.39375" hidden="1">
      <c r="A28" s="1758"/>
      <c r="B28" s="446" cm="1" t="str">
        <f t="array" ref="B28:B28">B27</f>
        <v>false</v>
      </c>
      <c r="C28" s="1758"/>
      <c r="D28" s="1758"/>
      <c r="E28" s="618">
        <v>34.25</v>
      </c>
      <c r="F28" s="50" cm="1" t="str">
        <f t="array" ref="F28:F28">OFFSET(E28,-1,1)</f>
        <v>0</v>
      </c>
      <c r="G28" s="124">
        <v>2</v>
      </c>
      <c r="H28" s="1758"/>
      <c r="I28" s="1758"/>
      <c r="J28" s="1758"/>
      <c r="K28" s="1758"/>
      <c r="L28" s="1758"/>
      <c r="M28" s="1758"/>
      <c r="N28" s="1758"/>
      <c r="O28" s="1758"/>
      <c r="P28" s="1758"/>
      <c r="Q28" s="1758"/>
      <c r="R28" s="1758"/>
      <c r="S28" s="1758"/>
      <c r="T28" s="465" cm="1" t="str">
        <f t="array" ref="T28:T28">T27</f>
        <v>false</v>
      </c>
      <c r="U28" s="1758"/>
      <c r="V28" s="1758"/>
      <c r="W28" s="1758"/>
      <c r="X28" s="1563"/>
      <c r="Y28" s="1758"/>
      <c r="Z28" s="1546"/>
      <c r="AA28" s="1758"/>
      <c r="AB28" s="86" t="s">
        <v>285</v>
      </c>
      <c r="AC28" s="244" t="s">
        <v>2145</v>
      </c>
      <c r="AD28" s="86" t="s">
        <v>1514</v>
      </c>
      <c r="AE28" s="4934"/>
      <c r="AF28" s="5188"/>
      <c r="AG28" s="5188"/>
      <c r="AH28" s="5188"/>
      <c r="AI28" s="5188"/>
      <c r="AJ28" s="5188"/>
      <c r="AK28" s="5188"/>
      <c r="AL28" s="5188">
        <f>IF(AE28-AF28-AG28-AH28-AI28-AJ28-AK28&lt;0,0,AE28-AF28-AG28-AH28-AI28-AJ28-AK28)</f>
        <v>0</v>
      </c>
      <c r="AM28" s="1758"/>
      <c r="AN28" s="1758"/>
      <c r="AO28" s="997" t="s">
        <v>2102</v>
      </c>
      <c r="AP28" s="1758"/>
      <c r="AQ28" s="1758"/>
    </row>
    <row s="1834" customFormat="1" customHeight="1" ht="14.25">
      <c r="A29" s="1758"/>
      <c r="B29" s="1416"/>
      <c r="C29" s="1758"/>
      <c r="D29" s="1758"/>
      <c r="E29" s="618">
        <v>15</v>
      </c>
      <c r="F29" s="349" cm="1" t="str">
        <f t="array" ref="F29:F29">X29</f>
        <v>1</v>
      </c>
      <c r="G29" s="1758"/>
      <c r="H29" s="1758"/>
      <c r="I29" s="1758"/>
      <c r="J29" s="1758"/>
      <c r="K29" s="1758"/>
      <c r="L29" s="1758"/>
      <c r="M29" s="1758"/>
      <c r="N29" s="1758"/>
      <c r="O29" s="1758"/>
      <c r="P29" s="1758"/>
      <c r="Q29" s="1758"/>
      <c r="R29" s="1758"/>
      <c r="S29" s="1758"/>
      <c r="T29" s="465">
        <f>X29&gt;0</f>
        <v>1</v>
      </c>
      <c r="U29" s="1758"/>
      <c r="V29" s="122" cm="1" t="str">
        <f t="array" ref="V29:V29">Экономия_корр!$AB$35</f>
        <v>Тариф 1 (Водоснабжение) - тариф на питьевую воду (Доп. признак не требуется)</v>
      </c>
      <c r="W29" s="1758"/>
      <c r="X29" s="1563" t="s">
        <v>276</v>
      </c>
      <c r="Y29" s="1758"/>
      <c r="Z29" s="1546"/>
      <c r="AA29" s="1758"/>
      <c r="AB29" s="242" cm="1" t="str">
        <f t="array" ref="AB29:AB29">Экономия_корр!$AB$35</f>
        <v>Тариф 1 (Водоснабжение) - тариф на питьевую воду (Доп. признак не требуется)</v>
      </c>
      <c r="AC29" s="243"/>
      <c r="AD29" s="243"/>
      <c r="AE29" s="273">
        <f>AE30+AE31</f>
        <v>0</v>
      </c>
      <c r="AF29" s="273">
        <f>AF30+AF31</f>
        <v>0</v>
      </c>
      <c r="AG29" s="273">
        <f>AG30+AG31</f>
        <v>0</v>
      </c>
      <c r="AH29" s="273">
        <f>AH30+AH31</f>
        <v>0</v>
      </c>
      <c r="AI29" s="273">
        <f>AI30+AI31</f>
        <v>0</v>
      </c>
      <c r="AJ29" s="273">
        <f>AJ30+AJ31</f>
        <v>0</v>
      </c>
      <c r="AK29" s="273">
        <f>AK30+AK31</f>
        <v>0</v>
      </c>
      <c r="AL29" s="273">
        <f>AL30+AL31</f>
        <v>0</v>
      </c>
      <c r="AM29" s="1758"/>
      <c r="AN29" s="1758"/>
      <c r="AO29" s="1764"/>
      <c r="AP29" s="1758"/>
      <c r="AQ29" s="1758"/>
    </row>
    <row s="1834" customFormat="1" customHeight="1" ht="33" hidden="1">
      <c r="A30" s="1758"/>
      <c r="B30" s="446">
        <f>_xlfn.IFERROR(IF(SEARCH("Водоотведение",AB29),TRUE,FALSE),FALSE)</f>
        <v>0</v>
      </c>
      <c r="C30" s="1758"/>
      <c r="D30" s="1758"/>
      <c r="E30" s="618">
        <v>34.25</v>
      </c>
      <c r="F30" s="50" cm="1" t="str">
        <f t="array" ref="F30:F30">OFFSET(E30,-1,1)</f>
        <v>1</v>
      </c>
      <c r="G30" s="124">
        <v>1</v>
      </c>
      <c r="H30" s="1758"/>
      <c r="I30" s="1758"/>
      <c r="J30" s="1758"/>
      <c r="K30" s="1758"/>
      <c r="L30" s="1758"/>
      <c r="M30" s="1758"/>
      <c r="N30" s="1758"/>
      <c r="O30" s="1758"/>
      <c r="P30" s="1758"/>
      <c r="Q30" s="1758"/>
      <c r="R30" s="1758"/>
      <c r="S30" s="1758"/>
      <c r="T30" s="465" cm="1" t="str">
        <f t="array" ref="T30:T30">T29</f>
        <v>true</v>
      </c>
      <c r="U30" s="1758"/>
      <c r="V30" s="1758"/>
      <c r="W30" s="1758"/>
      <c r="X30" s="1563"/>
      <c r="Y30" s="1758"/>
      <c r="Z30" s="1546"/>
      <c r="AA30" s="1758"/>
      <c r="AB30" s="86" t="s">
        <v>276</v>
      </c>
      <c r="AC30" s="244" t="s">
        <v>2144</v>
      </c>
      <c r="AD30" s="86" t="s">
        <v>1514</v>
      </c>
      <c r="AE30" s="4934"/>
      <c r="AF30" s="5188"/>
      <c r="AG30" s="5188"/>
      <c r="AH30" s="5188"/>
      <c r="AI30" s="5188"/>
      <c r="AJ30" s="5188"/>
      <c r="AK30" s="5188"/>
      <c r="AL30" s="5188">
        <f>IF(AE30-AF30-AG30-AH30-AI30-AJ30-AK30&lt;0,0,AE30-AF30-AG30-AH30-AI30-AJ30-AK30)</f>
        <v>0</v>
      </c>
      <c r="AM30" s="1758"/>
      <c r="AN30" s="1758"/>
      <c r="AO30" s="997" t="s">
        <v>2098</v>
      </c>
      <c r="AP30" s="1758"/>
      <c r="AQ30" s="1758"/>
    </row>
    <row s="1834" customFormat="1" customHeight="1" ht="33" hidden="1">
      <c r="A31" s="1758"/>
      <c r="B31" s="446" cm="1" t="str">
        <f t="array" ref="B31:B31">B30</f>
        <v>false</v>
      </c>
      <c r="C31" s="1758"/>
      <c r="D31" s="1758"/>
      <c r="E31" s="618">
        <v>34.25</v>
      </c>
      <c r="F31" s="50" cm="1" t="str">
        <f t="array" ref="F31:F31">OFFSET(E31,-1,1)</f>
        <v>1</v>
      </c>
      <c r="G31" s="124">
        <v>2</v>
      </c>
      <c r="H31" s="1758"/>
      <c r="I31" s="1758"/>
      <c r="J31" s="1758"/>
      <c r="K31" s="1758"/>
      <c r="L31" s="1758"/>
      <c r="M31" s="1758"/>
      <c r="N31" s="1758"/>
      <c r="O31" s="1758"/>
      <c r="P31" s="1758"/>
      <c r="Q31" s="1758"/>
      <c r="R31" s="1758"/>
      <c r="S31" s="1758"/>
      <c r="T31" s="465" cm="1" t="str">
        <f t="array" ref="T31:T31">T30</f>
        <v>true</v>
      </c>
      <c r="U31" s="1758"/>
      <c r="V31" s="1758"/>
      <c r="W31" s="1758"/>
      <c r="X31" s="1563"/>
      <c r="Y31" s="1758"/>
      <c r="Z31" s="1546"/>
      <c r="AA31" s="1758"/>
      <c r="AB31" s="86" t="s">
        <v>285</v>
      </c>
      <c r="AC31" s="244" t="s">
        <v>2145</v>
      </c>
      <c r="AD31" s="86" t="s">
        <v>1514</v>
      </c>
      <c r="AE31" s="4934"/>
      <c r="AF31" s="5188"/>
      <c r="AG31" s="5188"/>
      <c r="AH31" s="5188"/>
      <c r="AI31" s="5188"/>
      <c r="AJ31" s="5188"/>
      <c r="AK31" s="5188"/>
      <c r="AL31" s="5188">
        <f>IF(AE31-AF31-AG31-AH31-AI31-AJ31-AK31&lt;0,0,AE31-AF31-AG31-AH31-AI31-AJ31-AK31)</f>
        <v>0</v>
      </c>
      <c r="AM31" s="1758"/>
      <c r="AN31" s="1758"/>
      <c r="AO31" s="997" t="s">
        <v>2102</v>
      </c>
      <c r="AP31" s="1758"/>
      <c r="AQ31" s="1758"/>
    </row>
    <row s="1834" customFormat="1" customHeight="1" ht="14.25">
      <c r="A32" s="1758"/>
      <c r="B32" s="1416"/>
      <c r="C32" s="1758"/>
      <c r="D32" s="1758"/>
      <c r="E32" s="618">
        <v>15</v>
      </c>
      <c r="F32" s="349" cm="1" t="str">
        <f t="array" ref="F32:F32">X32</f>
        <v>2</v>
      </c>
      <c r="G32" s="1758"/>
      <c r="H32" s="1758"/>
      <c r="I32" s="1758"/>
      <c r="J32" s="1758"/>
      <c r="K32" s="1758"/>
      <c r="L32" s="1758"/>
      <c r="M32" s="1758"/>
      <c r="N32" s="1758"/>
      <c r="O32" s="1758"/>
      <c r="P32" s="1758"/>
      <c r="Q32" s="1758"/>
      <c r="R32" s="1758"/>
      <c r="S32" s="1758"/>
      <c r="T32" s="465">
        <f>X32&gt;0</f>
        <v>1</v>
      </c>
      <c r="U32" s="1758"/>
      <c r="V32" s="122" cm="1" t="str">
        <f t="array" ref="V32:V32">Экономия_корр!$AB$43</f>
        <v>Тариф 2 (Водоснабжение) - тариф на питьевую воду (Доп. признак не требуется)</v>
      </c>
      <c r="W32" s="1758"/>
      <c r="X32" s="1563" t="s">
        <v>285</v>
      </c>
      <c r="Y32" s="1758"/>
      <c r="Z32" s="1546"/>
      <c r="AA32" s="1758"/>
      <c r="AB32" s="242" cm="1" t="str">
        <f t="array" ref="AB32:AB32">Экономия_корр!$AB$43</f>
        <v>Тариф 2 (Водоснабжение) - тариф на питьевую воду (Доп. признак не требуется)</v>
      </c>
      <c r="AC32" s="243"/>
      <c r="AD32" s="243"/>
      <c r="AE32" s="273">
        <f>AE33+AE34</f>
        <v>0</v>
      </c>
      <c r="AF32" s="273">
        <f>AF33+AF34</f>
        <v>0</v>
      </c>
      <c r="AG32" s="273">
        <f>AG33+AG34</f>
        <v>0</v>
      </c>
      <c r="AH32" s="273">
        <f>AH33+AH34</f>
        <v>0</v>
      </c>
      <c r="AI32" s="273">
        <f>AI33+AI34</f>
        <v>0</v>
      </c>
      <c r="AJ32" s="273">
        <f>AJ33+AJ34</f>
        <v>0</v>
      </c>
      <c r="AK32" s="273">
        <f>AK33+AK34</f>
        <v>0</v>
      </c>
      <c r="AL32" s="273">
        <f>AL33+AL34</f>
        <v>0</v>
      </c>
      <c r="AM32" s="1758"/>
      <c r="AN32" s="1758"/>
      <c r="AO32" s="1764"/>
      <c r="AP32" s="1758"/>
      <c r="AQ32" s="1758"/>
    </row>
    <row s="1834" customFormat="1" customHeight="1" ht="33" hidden="1">
      <c r="A33" s="1758"/>
      <c r="B33" s="446">
        <f>_xlfn.IFERROR(IF(SEARCH("Водоотведение",AB32),TRUE,FALSE),FALSE)</f>
        <v>0</v>
      </c>
      <c r="C33" s="1758"/>
      <c r="D33" s="1758"/>
      <c r="E33" s="618">
        <v>34.25</v>
      </c>
      <c r="F33" s="50" cm="1" t="str">
        <f t="array" ref="F33:F33">OFFSET(E33,-1,1)</f>
        <v>2</v>
      </c>
      <c r="G33" s="124">
        <v>1</v>
      </c>
      <c r="H33" s="1758"/>
      <c r="I33" s="1758"/>
      <c r="J33" s="1758"/>
      <c r="K33" s="1758"/>
      <c r="L33" s="1758"/>
      <c r="M33" s="1758"/>
      <c r="N33" s="1758"/>
      <c r="O33" s="1758"/>
      <c r="P33" s="1758"/>
      <c r="Q33" s="1758"/>
      <c r="R33" s="1758"/>
      <c r="S33" s="1758"/>
      <c r="T33" s="465" cm="1" t="str">
        <f t="array" ref="T33:T33">T32</f>
        <v>true</v>
      </c>
      <c r="U33" s="1758"/>
      <c r="V33" s="1758"/>
      <c r="W33" s="1758"/>
      <c r="X33" s="1563"/>
      <c r="Y33" s="1758"/>
      <c r="Z33" s="1546"/>
      <c r="AA33" s="1758"/>
      <c r="AB33" s="86" t="s">
        <v>276</v>
      </c>
      <c r="AC33" s="244" t="s">
        <v>2144</v>
      </c>
      <c r="AD33" s="86" t="s">
        <v>1514</v>
      </c>
      <c r="AE33" s="4934"/>
      <c r="AF33" s="5188"/>
      <c r="AG33" s="5188"/>
      <c r="AH33" s="5188"/>
      <c r="AI33" s="5188"/>
      <c r="AJ33" s="5188"/>
      <c r="AK33" s="5188"/>
      <c r="AL33" s="5188">
        <f>IF(AE33-AF33-AG33-AH33-AI33-AJ33-AK33&lt;0,0,AE33-AF33-AG33-AH33-AI33-AJ33-AK33)</f>
        <v>0</v>
      </c>
      <c r="AM33" s="1758"/>
      <c r="AN33" s="1758"/>
      <c r="AO33" s="997" t="s">
        <v>2098</v>
      </c>
      <c r="AP33" s="1758"/>
      <c r="AQ33" s="1758"/>
    </row>
    <row s="1834" customFormat="1" customHeight="1" ht="33" hidden="1">
      <c r="A34" s="1758"/>
      <c r="B34" s="446" cm="1" t="str">
        <f t="array" ref="B34:B34">B33</f>
        <v>false</v>
      </c>
      <c r="C34" s="1758"/>
      <c r="D34" s="1758"/>
      <c r="E34" s="618">
        <v>34.25</v>
      </c>
      <c r="F34" s="50" cm="1" t="str">
        <f t="array" ref="F34:F34">OFFSET(E34,-1,1)</f>
        <v>2</v>
      </c>
      <c r="G34" s="124">
        <v>2</v>
      </c>
      <c r="H34" s="1758"/>
      <c r="I34" s="1758"/>
      <c r="J34" s="1758"/>
      <c r="K34" s="1758"/>
      <c r="L34" s="1758"/>
      <c r="M34" s="1758"/>
      <c r="N34" s="1758"/>
      <c r="O34" s="1758"/>
      <c r="P34" s="1758"/>
      <c r="Q34" s="1758"/>
      <c r="R34" s="1758"/>
      <c r="S34" s="1758"/>
      <c r="T34" s="465" cm="1" t="str">
        <f t="array" ref="T34:T34">T33</f>
        <v>true</v>
      </c>
      <c r="U34" s="1758"/>
      <c r="V34" s="1758"/>
      <c r="W34" s="1758"/>
      <c r="X34" s="1563"/>
      <c r="Y34" s="1758"/>
      <c r="Z34" s="1546"/>
      <c r="AA34" s="1758"/>
      <c r="AB34" s="86" t="s">
        <v>285</v>
      </c>
      <c r="AC34" s="244" t="s">
        <v>2145</v>
      </c>
      <c r="AD34" s="86" t="s">
        <v>1514</v>
      </c>
      <c r="AE34" s="4934"/>
      <c r="AF34" s="5188"/>
      <c r="AG34" s="5188"/>
      <c r="AH34" s="5188"/>
      <c r="AI34" s="5188"/>
      <c r="AJ34" s="5188"/>
      <c r="AK34" s="5188"/>
      <c r="AL34" s="5188">
        <f>IF(AE34-AF34-AG34-AH34-AI34-AJ34-AK34&lt;0,0,AE34-AF34-AG34-AH34-AI34-AJ34-AK34)</f>
        <v>0</v>
      </c>
      <c r="AM34" s="1758"/>
      <c r="AN34" s="1758"/>
      <c r="AO34" s="997" t="s">
        <v>2102</v>
      </c>
      <c r="AP34" s="1758"/>
      <c r="AQ34" s="1758"/>
    </row>
    <row s="1834" customFormat="1" customHeight="1" ht="14.25">
      <c r="A35" s="1758"/>
      <c r="B35" s="1416"/>
      <c r="C35" s="1758"/>
      <c r="D35" s="1758"/>
      <c r="E35" s="618">
        <v>15</v>
      </c>
      <c r="F35" s="349" cm="1" t="str">
        <f t="array" ref="F35:F35">X35</f>
        <v>3</v>
      </c>
      <c r="G35" s="1758"/>
      <c r="H35" s="1758"/>
      <c r="I35" s="1758"/>
      <c r="J35" s="1758"/>
      <c r="K35" s="1758"/>
      <c r="L35" s="1758"/>
      <c r="M35" s="1758"/>
      <c r="N35" s="1758"/>
      <c r="O35" s="1758"/>
      <c r="P35" s="1758"/>
      <c r="Q35" s="1758"/>
      <c r="R35" s="1758"/>
      <c r="S35" s="1758"/>
      <c r="T35" s="465">
        <f>X35&gt;0</f>
        <v>1</v>
      </c>
      <c r="U35" s="1758"/>
      <c r="V35" s="122" cm="1" t="str">
        <f t="array" ref="V35:V35">Экономия_корр!$AB$51</f>
        <v>Тариф 3 (Водоотведение) - тариф на водоотведение (Доп. признак не требуется)</v>
      </c>
      <c r="W35" s="1758"/>
      <c r="X35" s="1563" t="s">
        <v>289</v>
      </c>
      <c r="Y35" s="1758"/>
      <c r="Z35" s="1546"/>
      <c r="AA35" s="1758"/>
      <c r="AB35" s="242" cm="1" t="str">
        <f t="array" ref="AB35:AB35">Экономия_корр!$AB$51</f>
        <v>Тариф 3 (Водоотведение) - тариф на водоотведение (Доп. признак не требуется)</v>
      </c>
      <c r="AC35" s="243"/>
      <c r="AD35" s="243"/>
      <c r="AE35" s="273">
        <f>AE36+AE37</f>
        <v>0</v>
      </c>
      <c r="AF35" s="273">
        <f>AF36+AF37</f>
        <v>0</v>
      </c>
      <c r="AG35" s="273">
        <f>AG36+AG37</f>
        <v>0</v>
      </c>
      <c r="AH35" s="273">
        <f>AH36+AH37</f>
        <v>0</v>
      </c>
      <c r="AI35" s="273">
        <f>AI36+AI37</f>
        <v>0</v>
      </c>
      <c r="AJ35" s="273">
        <f>AJ36+AJ37</f>
        <v>0</v>
      </c>
      <c r="AK35" s="273">
        <f>AK36+AK37</f>
        <v>0</v>
      </c>
      <c r="AL35" s="273">
        <f>AL36+AL37</f>
        <v>0</v>
      </c>
      <c r="AM35" s="1758"/>
      <c r="AN35" s="1758"/>
      <c r="AO35" s="1764"/>
      <c r="AP35" s="1758"/>
      <c r="AQ35" s="1758"/>
    </row>
    <row s="1834" customFormat="1" customHeight="1" ht="33">
      <c r="A36" s="1758"/>
      <c r="B36" s="446">
        <f>_xlfn.IFERROR(IF(SEARCH("Водоотведение",AB35),TRUE,FALSE),FALSE)</f>
        <v>1</v>
      </c>
      <c r="C36" s="1758"/>
      <c r="D36" s="1758"/>
      <c r="E36" s="618">
        <v>34.25</v>
      </c>
      <c r="F36" s="50" cm="1" t="str">
        <f t="array" ref="F36:F36">OFFSET(E36,-1,1)</f>
        <v>3</v>
      </c>
      <c r="G36" s="124">
        <v>1</v>
      </c>
      <c r="H36" s="1758"/>
      <c r="I36" s="1758"/>
      <c r="J36" s="1758"/>
      <c r="K36" s="1758"/>
      <c r="L36" s="1758"/>
      <c r="M36" s="1758"/>
      <c r="N36" s="1758"/>
      <c r="O36" s="1758"/>
      <c r="P36" s="1758"/>
      <c r="Q36" s="1758"/>
      <c r="R36" s="1758"/>
      <c r="S36" s="1758"/>
      <c r="T36" s="465" cm="1" t="str">
        <f t="array" ref="T36:T36">T35</f>
        <v>true</v>
      </c>
      <c r="U36" s="1758"/>
      <c r="V36" s="1758"/>
      <c r="W36" s="1758"/>
      <c r="X36" s="1563"/>
      <c r="Y36" s="1758"/>
      <c r="Z36" s="1546"/>
      <c r="AA36" s="1758"/>
      <c r="AB36" s="86" t="s">
        <v>276</v>
      </c>
      <c r="AC36" s="244" t="s">
        <v>2144</v>
      </c>
      <c r="AD36" s="86" t="s">
        <v>1514</v>
      </c>
      <c r="AE36" s="229"/>
      <c r="AF36" s="248"/>
      <c r="AG36" s="248"/>
      <c r="AH36" s="248"/>
      <c r="AI36" s="248"/>
      <c r="AJ36" s="248"/>
      <c r="AK36" s="248"/>
      <c r="AL36" s="248">
        <f>IF(AE36-AF36-AG36-AH36-AI36-AJ36-AK36&lt;0,0,AE36-AF36-AG36-AH36-AI36-AJ36-AK36)</f>
        <v>0</v>
      </c>
      <c r="AM36" s="1758"/>
      <c r="AN36" s="1758"/>
      <c r="AO36" s="997" t="s">
        <v>2098</v>
      </c>
      <c r="AP36" s="1758"/>
      <c r="AQ36" s="1758"/>
    </row>
    <row s="1834" customFormat="1" customHeight="1" ht="33">
      <c r="A37" s="1758"/>
      <c r="B37" s="446" cm="1" t="str">
        <f t="array" ref="B37:B37">B36</f>
        <v>true</v>
      </c>
      <c r="C37" s="1758"/>
      <c r="D37" s="1758"/>
      <c r="E37" s="618">
        <v>34.25</v>
      </c>
      <c r="F37" s="50" cm="1" t="str">
        <f t="array" ref="F37:F37">OFFSET(E37,-1,1)</f>
        <v>3</v>
      </c>
      <c r="G37" s="124">
        <v>2</v>
      </c>
      <c r="H37" s="1758"/>
      <c r="I37" s="1758"/>
      <c r="J37" s="1758"/>
      <c r="K37" s="1758"/>
      <c r="L37" s="1758"/>
      <c r="M37" s="1758"/>
      <c r="N37" s="1758"/>
      <c r="O37" s="1758"/>
      <c r="P37" s="1758"/>
      <c r="Q37" s="1758"/>
      <c r="R37" s="1758"/>
      <c r="S37" s="1758"/>
      <c r="T37" s="465" cm="1" t="str">
        <f t="array" ref="T37:T37">T36</f>
        <v>true</v>
      </c>
      <c r="U37" s="1758"/>
      <c r="V37" s="1758"/>
      <c r="W37" s="1758"/>
      <c r="X37" s="1563"/>
      <c r="Y37" s="1758"/>
      <c r="Z37" s="1546"/>
      <c r="AA37" s="1758"/>
      <c r="AB37" s="86" t="s">
        <v>285</v>
      </c>
      <c r="AC37" s="244" t="s">
        <v>2145</v>
      </c>
      <c r="AD37" s="86" t="s">
        <v>1514</v>
      </c>
      <c r="AE37" s="229"/>
      <c r="AF37" s="248"/>
      <c r="AG37" s="248"/>
      <c r="AH37" s="248"/>
      <c r="AI37" s="248"/>
      <c r="AJ37" s="248"/>
      <c r="AK37" s="248"/>
      <c r="AL37" s="248">
        <f>IF(AE37-AF37-AG37-AH37-AI37-AJ37-AK37&lt;0,0,AE37-AF37-AG37-AH37-AI37-AJ37-AK37)</f>
        <v>0</v>
      </c>
      <c r="AM37" s="1758"/>
      <c r="AN37" s="1758"/>
      <c r="AO37" s="997" t="s">
        <v>2102</v>
      </c>
      <c r="AP37" s="1758"/>
      <c r="AQ37" s="1758"/>
    </row>
    <row s="1834" customFormat="1" customHeight="1" ht="14.25">
      <c r="A38" s="1758"/>
      <c r="B38" s="1416"/>
      <c r="C38" s="1758"/>
      <c r="D38" s="1758"/>
      <c r="E38" s="618">
        <v>15</v>
      </c>
      <c r="F38" s="349" cm="1" t="str">
        <f t="array" ref="F38:F38">X38</f>
        <v>4</v>
      </c>
      <c r="G38" s="1758"/>
      <c r="H38" s="1758"/>
      <c r="I38" s="1758"/>
      <c r="J38" s="1758"/>
      <c r="K38" s="1758"/>
      <c r="L38" s="1758"/>
      <c r="M38" s="1758"/>
      <c r="N38" s="1758"/>
      <c r="O38" s="1758"/>
      <c r="P38" s="1758"/>
      <c r="Q38" s="1758"/>
      <c r="R38" s="1758"/>
      <c r="S38" s="1758"/>
      <c r="T38" s="465">
        <f>X38&gt;0</f>
        <v>1</v>
      </c>
      <c r="U38" s="1758"/>
      <c r="V38" s="122" cm="1" t="str">
        <f t="array" ref="V38:V38">Экономия_корр!$AB$59</f>
        <v>Тариф 4 (Водоотведение) - тариф на водоотведение (Доп. признак не требуется)</v>
      </c>
      <c r="W38" s="1758"/>
      <c r="X38" s="1563" t="s">
        <v>295</v>
      </c>
      <c r="Y38" s="1758"/>
      <c r="Z38" s="1546"/>
      <c r="AA38" s="1758"/>
      <c r="AB38" s="242" cm="1" t="str">
        <f t="array" ref="AB38:AB38">Экономия_корр!$AB$59</f>
        <v>Тариф 4 (Водоотведение) - тариф на водоотведение (Доп. признак не требуется)</v>
      </c>
      <c r="AC38" s="243"/>
      <c r="AD38" s="243"/>
      <c r="AE38" s="273">
        <f>AE39+AE40</f>
        <v>0</v>
      </c>
      <c r="AF38" s="273">
        <f>AF39+AF40</f>
        <v>0</v>
      </c>
      <c r="AG38" s="273">
        <f>AG39+AG40</f>
        <v>0</v>
      </c>
      <c r="AH38" s="273">
        <f>AH39+AH40</f>
        <v>0</v>
      </c>
      <c r="AI38" s="273">
        <f>AI39+AI40</f>
        <v>0</v>
      </c>
      <c r="AJ38" s="273">
        <f>AJ39+AJ40</f>
        <v>0</v>
      </c>
      <c r="AK38" s="273">
        <f>AK39+AK40</f>
        <v>0</v>
      </c>
      <c r="AL38" s="273">
        <f>AL39+AL40</f>
        <v>0</v>
      </c>
      <c r="AM38" s="1758"/>
      <c r="AN38" s="1758"/>
      <c r="AO38" s="1764"/>
      <c r="AP38" s="1758"/>
      <c r="AQ38" s="1758"/>
    </row>
    <row s="1834" customFormat="1" customHeight="1" ht="33">
      <c r="A39" s="1758"/>
      <c r="B39" s="446">
        <f>_xlfn.IFERROR(IF(SEARCH("Водоотведение",AB38),TRUE,FALSE),FALSE)</f>
        <v>1</v>
      </c>
      <c r="C39" s="1758"/>
      <c r="D39" s="1758"/>
      <c r="E39" s="618">
        <v>34.25</v>
      </c>
      <c r="F39" s="50" cm="1" t="str">
        <f t="array" ref="F39:F39">OFFSET(E39,-1,1)</f>
        <v>4</v>
      </c>
      <c r="G39" s="124">
        <v>1</v>
      </c>
      <c r="H39" s="1758"/>
      <c r="I39" s="1758"/>
      <c r="J39" s="1758"/>
      <c r="K39" s="1758"/>
      <c r="L39" s="1758"/>
      <c r="M39" s="1758"/>
      <c r="N39" s="1758"/>
      <c r="O39" s="1758"/>
      <c r="P39" s="1758"/>
      <c r="Q39" s="1758"/>
      <c r="R39" s="1758"/>
      <c r="S39" s="1758"/>
      <c r="T39" s="465" cm="1" t="str">
        <f t="array" ref="T39:T39">T38</f>
        <v>true</v>
      </c>
      <c r="U39" s="1758"/>
      <c r="V39" s="1758"/>
      <c r="W39" s="1758"/>
      <c r="X39" s="1563"/>
      <c r="Y39" s="1758"/>
      <c r="Z39" s="1546"/>
      <c r="AA39" s="1758"/>
      <c r="AB39" s="86" t="s">
        <v>276</v>
      </c>
      <c r="AC39" s="244" t="s">
        <v>2144</v>
      </c>
      <c r="AD39" s="86" t="s">
        <v>1514</v>
      </c>
      <c r="AE39" s="229"/>
      <c r="AF39" s="248"/>
      <c r="AG39" s="248"/>
      <c r="AH39" s="248"/>
      <c r="AI39" s="248"/>
      <c r="AJ39" s="248"/>
      <c r="AK39" s="248"/>
      <c r="AL39" s="248">
        <f>IF(AE39-AF39-AG39-AH39-AI39-AJ39-AK39&lt;0,0,AE39-AF39-AG39-AH39-AI39-AJ39-AK39)</f>
        <v>0</v>
      </c>
      <c r="AM39" s="1758"/>
      <c r="AN39" s="1758"/>
      <c r="AO39" s="997" t="s">
        <v>2098</v>
      </c>
      <c r="AP39" s="1758"/>
      <c r="AQ39" s="1758"/>
    </row>
    <row s="1834" customFormat="1" customHeight="1" ht="33">
      <c r="A40" s="1758"/>
      <c r="B40" s="446" cm="1" t="str">
        <f t="array" ref="B40:B40">B39</f>
        <v>true</v>
      </c>
      <c r="C40" s="1758"/>
      <c r="D40" s="1758"/>
      <c r="E40" s="618">
        <v>34.25</v>
      </c>
      <c r="F40" s="50" cm="1" t="str">
        <f t="array" ref="F40:F40">OFFSET(E40,-1,1)</f>
        <v>4</v>
      </c>
      <c r="G40" s="124">
        <v>2</v>
      </c>
      <c r="H40" s="1758"/>
      <c r="I40" s="1758"/>
      <c r="J40" s="1758"/>
      <c r="K40" s="1758"/>
      <c r="L40" s="1758"/>
      <c r="M40" s="1758"/>
      <c r="N40" s="1758"/>
      <c r="O40" s="1758"/>
      <c r="P40" s="1758"/>
      <c r="Q40" s="1758"/>
      <c r="R40" s="1758"/>
      <c r="S40" s="1758"/>
      <c r="T40" s="465" cm="1" t="str">
        <f t="array" ref="T40:T40">T39</f>
        <v>true</v>
      </c>
      <c r="U40" s="1758"/>
      <c r="V40" s="1758"/>
      <c r="W40" s="1758"/>
      <c r="X40" s="1563"/>
      <c r="Y40" s="1758"/>
      <c r="Z40" s="1546"/>
      <c r="AA40" s="1758"/>
      <c r="AB40" s="86" t="s">
        <v>285</v>
      </c>
      <c r="AC40" s="244" t="s">
        <v>2145</v>
      </c>
      <c r="AD40" s="86" t="s">
        <v>1514</v>
      </c>
      <c r="AE40" s="229"/>
      <c r="AF40" s="248"/>
      <c r="AG40" s="248"/>
      <c r="AH40" s="248"/>
      <c r="AI40" s="248"/>
      <c r="AJ40" s="248"/>
      <c r="AK40" s="248"/>
      <c r="AL40" s="248">
        <f>IF(AE40-AF40-AG40-AH40-AI40-AJ40-AK40&lt;0,0,AE40-AF40-AG40-AH40-AI40-AJ40-AK40)</f>
        <v>0</v>
      </c>
      <c r="AM40" s="1758"/>
      <c r="AN40" s="1758"/>
      <c r="AO40" s="997" t="s">
        <v>2102</v>
      </c>
      <c r="AP40" s="1758"/>
      <c r="AQ40" s="1758"/>
    </row>
    <row s="1834" customFormat="1" customHeight="1" ht="10.96875">
      <c r="B41" s="430"/>
      <c r="E41" s="624">
        <v>11.25</v>
      </c>
      <c r="F41" s="1083"/>
      <c r="U41" s="482" t="s">
        <v>178</v>
      </c>
      <c r="V41" s="140" t="s">
        <v>2146</v>
      </c>
      <c r="AC41" s="100"/>
      <c r="AD41" s="100"/>
      <c r="AE41" s="100"/>
      <c r="AF41" s="100"/>
      <c r="AO41" s="1004"/>
      <c r="AQ41" s="101"/>
    </row>
    <row customHeight="1" ht="14.625">
      <c r="E42" s="618">
        <v>15</v>
      </c>
      <c r="AB42" s="1577" t="s">
        <v>407</v>
      </c>
      <c r="AC42" s="1577"/>
      <c r="AD42" s="1577"/>
      <c r="AE42" s="1577"/>
      <c r="AF42" s="1577"/>
      <c r="AG42" s="1577"/>
      <c r="AH42" s="1577"/>
      <c r="AI42" s="1577"/>
      <c r="AJ42" s="1577"/>
      <c r="AK42" s="1577"/>
      <c r="AL42" s="1598"/>
    </row>
    <row customHeight="1" ht="14.625">
      <c r="E43" s="618">
        <v>15</v>
      </c>
      <c r="AA43" s="173"/>
      <c r="AB43" s="1628" t="s">
        <v>2134</v>
      </c>
      <c r="AC43" s="1628"/>
      <c r="AD43" s="1628"/>
      <c r="AE43" s="1628"/>
      <c r="AF43" s="1628"/>
      <c r="AG43" s="1628"/>
      <c r="AH43" s="1628"/>
      <c r="AI43" s="1628"/>
      <c r="AJ43" s="1628"/>
      <c r="AK43" s="1628"/>
      <c r="AL43" s="1632"/>
    </row>
    <row customHeight="1" ht="14.625" hidden="1">
      <c r="A44" s="1758"/>
      <c r="B44" s="1416"/>
      <c r="C44" s="1758"/>
      <c r="D44" s="1758"/>
      <c r="E44" s="618">
        <v>15</v>
      </c>
      <c r="F44" s="1411"/>
      <c r="G44" s="1758"/>
      <c r="H44" s="1758"/>
      <c r="I44" s="1758"/>
      <c r="J44" s="1758"/>
      <c r="K44" s="1758"/>
      <c r="L44" s="1758"/>
      <c r="M44" s="1758"/>
      <c r="N44" s="1758"/>
      <c r="O44" s="1758"/>
      <c r="P44" s="1758"/>
      <c r="Q44" s="1758"/>
      <c r="R44" s="1758"/>
      <c r="S44" s="1758"/>
      <c r="T44" s="465">
        <f>ROW(W44)&gt;ROW(W$44)</f>
        <v>0</v>
      </c>
      <c r="U44" s="1758"/>
      <c r="V44" s="1758"/>
      <c r="W44" s="757" t="s">
        <v>174</v>
      </c>
      <c r="X44" s="1758"/>
      <c r="Y44" s="1758"/>
      <c r="Z44" s="1758"/>
      <c r="AA44" s="420" t="s">
        <v>175</v>
      </c>
      <c r="AB44" s="5166" t="s">
        <v>227</v>
      </c>
      <c r="AC44" s="5166"/>
      <c r="AD44" s="5166"/>
      <c r="AE44" s="5166"/>
      <c r="AF44" s="5166"/>
      <c r="AG44" s="5166"/>
      <c r="AH44" s="5166"/>
      <c r="AI44" s="5166"/>
      <c r="AJ44" s="5166"/>
      <c r="AK44" s="5166"/>
      <c r="AL44" s="5190"/>
      <c r="AM44" s="1758"/>
      <c r="AN44" s="1758"/>
      <c r="AO44" s="1764"/>
      <c r="AP44" s="1758"/>
      <c r="AQ44" s="1758"/>
    </row>
    <row customHeight="1" ht="14.625">
      <c r="E45" s="618">
        <v>15</v>
      </c>
      <c r="W45" s="757" t="s">
        <v>408</v>
      </c>
      <c r="AB45" s="647"/>
      <c r="AC45" s="514" t="s">
        <v>409</v>
      </c>
      <c r="AD45" s="310"/>
      <c r="AE45" s="310"/>
      <c r="AF45" s="310"/>
      <c r="AG45" s="310"/>
      <c r="AH45" s="310"/>
      <c r="AI45" s="310"/>
      <c r="AJ45" s="310"/>
      <c r="AK45" s="310"/>
      <c r="AL45" s="275"/>
    </row>
    <row customHeight="1" ht="10.96875">
      <c r="E46" s="618">
        <v>11.25</v>
      </c>
      <c r="AM46" s="426"/>
    </row>
  </sheetData>
  <sheetProtection formatColumns="0" formatRows="0" insertRows="0" deleteColumns="0" deleteRows="0" sort="0" autoFilter="0" insertColumns="1"/>
  <mergeCells count="13">
    <mergeCell ref="AB42:AL42"/>
    <mergeCell ref="AB43:AL43"/>
    <mergeCell ref="AB44:AL44"/>
    <mergeCell ref="X26:X28"/>
    <mergeCell ref="Z26:Z28"/>
    <mergeCell ref="X29:X31"/>
    <mergeCell ref="Z29:Z31"/>
    <mergeCell ref="X32:X34"/>
    <mergeCell ref="Z32:Z34"/>
    <mergeCell ref="X35:X37"/>
    <mergeCell ref="Z35:Z37"/>
    <mergeCell ref="X38:X40"/>
    <mergeCell ref="Z38:Z40"/>
  </mergeCells>
  <dataValidations count="1">
    <dataValidation type="decimal" allowBlank="1" showErrorMessage="1" errorTitle="Ошибка" error="Допускается ввод только неотрицательных чисел!" sqref="AL28 AL30:AL31 AL33:AL34 AL36:AL37 AL39:AL40 AK28 AK31 AK34 AK37 AK40 AJ28 AJ31 AJ34 AJ37 AJ40 AI28 AI31 AI34 AI37 AI40 AH28 AH30:AH31 AH33:AH34 AH36:AH37 AH39:AH40 AF27:AH27 AL27 AF30 AG30 AF33 AG33 AF36 AG36 AF39 AG39">
      <formula1>0</formula1>
      <formula2>9.99999999999999E+23</formula2>
    </dataValidation>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D31658-6F18-7EA6-D698-8E5E9F21EAE8}" mc:Ignorable="x14ac xr xr2 xr3">
  <sheetPr>
    <tabColor rgb="FF002060"/>
    <outlinePr summaryRight="0" summaryBelow="0"/>
    <pageSetUpPr fitToPage="1"/>
  </sheetPr>
  <dimension ref="A1:AQ288"/>
  <sheetViews>
    <sheetView showGridLines="0" workbookViewId="0">
      <pane xSplit="31" ySplit="25" topLeftCell="AF275" activePane="bottomRight" state="frozen"/>
      <selection pane="bottomLeft" activeCell="A26" sqref="A26"/>
      <selection pane="topRight" activeCell="AF1" sqref="AF1"/>
      <selection pane="bottomRight" activeCell="AB286" sqref="AB286"/>
    </sheetView>
  </sheetViews>
  <sheetFormatPr defaultColWidth="9.140625" customHeight="1" defaultRowHeight="11.25"/>
  <cols>
    <col min="1" max="1" style="1758" width="3.57421875" hidden="1" customWidth="1"/>
    <col min="2" max="2" style="1416" width="8.57421875" hidden="1" customWidth="1"/>
    <col min="3" max="4" style="1758" width="3.57421875" hidden="1" customWidth="1"/>
    <col min="5" max="5" style="1757" width="3.57421875" hidden="1" customWidth="1"/>
    <col min="6" max="6" style="1758" width="3.57421875" hidden="1" customWidth="1"/>
    <col min="7" max="7" style="1021" width="12.421875" hidden="1" customWidth="1"/>
    <col min="8" max="8" style="1758" width="15.140625" hidden="1" customWidth="1"/>
    <col min="9" max="18" style="1758" width="3.57421875" hidden="1" customWidth="1"/>
    <col min="19" max="19" style="1806" width="6.421875" hidden="1" customWidth="1"/>
    <col min="20" max="20" style="1758" width="8.421875" hidden="1" customWidth="1"/>
    <col min="21" max="26" style="1758" width="4.421875" hidden="1" customWidth="1"/>
    <col min="27" max="27" style="1758" width="3.00390625" customWidth="1"/>
    <col min="28" max="28" style="1304" width="11.00390625" customWidth="1"/>
    <col min="29" max="29" style="1758" width="72.29296875" customWidth="1"/>
    <col min="30" max="31" style="1758" width="12.00390625" customWidth="1"/>
    <col min="32" max="33" style="1758" width="15.00390625" customWidth="1"/>
    <col min="34" max="34" style="1758" width="20.00390625" customWidth="1"/>
    <col min="35" max="35" style="1758" width="3.00390625" customWidth="1"/>
    <col min="36" max="37" style="1758" width="9.140625" hidden="1"/>
    <col min="38" max="38" style="1764" width="9.140625" hidden="1"/>
    <col min="39" max="43" style="1758" width="9.140625" hidden="1"/>
  </cols>
  <sheetData>
    <row customHeight="1" ht="11.25" hidden="1">
      <c r="E1" s="122"/>
      <c r="F1" s="122" t="s">
        <v>321</v>
      </c>
      <c r="I1" s="122" t="s">
        <v>331</v>
      </c>
      <c r="T1" s="465" t="s">
        <v>93</v>
      </c>
      <c r="U1" s="465" t="s">
        <v>98</v>
      </c>
      <c r="V1" s="465" t="s">
        <v>94</v>
      </c>
      <c r="W1" s="465" t="s">
        <v>95</v>
      </c>
      <c r="X1" s="465" t="s">
        <v>96</v>
      </c>
      <c r="Y1" s="467" t="s">
        <v>323</v>
      </c>
      <c r="Z1" s="465" t="s">
        <v>100</v>
      </c>
      <c r="AA1" s="466" t="s">
        <v>97</v>
      </c>
      <c r="AC1" s="466" t="s">
        <v>99</v>
      </c>
      <c r="AL1" s="997" t="s">
        <v>324</v>
      </c>
    </row>
    <row s="1416" customFormat="1" customHeight="1" ht="11.25" hidden="1">
      <c r="B2" s="446" t="s">
        <v>19</v>
      </c>
      <c r="G2" s="496"/>
      <c r="S2" s="1223"/>
      <c r="AB2" s="427"/>
      <c r="AF2" s="1372" cm="1" t="str">
        <f t="array" ref="AF2:AF2">isOrgDeclare</f>
        <v>true</v>
      </c>
      <c r="AL2" s="1009"/>
    </row>
    <row customHeight="1" ht="11.25" hidden="1">
      <c r="E3" s="122"/>
    </row>
    <row customHeight="1" ht="11.25" hidden="1">
      <c r="E4" s="122"/>
    </row>
    <row s="1757" customFormat="1" customHeight="1" ht="11.25" hidden="1">
      <c r="A5" s="122"/>
      <c r="B5" s="428"/>
      <c r="C5" s="122"/>
      <c r="D5" s="122"/>
      <c r="E5" s="618" t="s">
        <v>20</v>
      </c>
      <c r="G5" s="692"/>
      <c r="S5" s="1224"/>
      <c r="AA5" s="618">
        <v>3</v>
      </c>
      <c r="AB5" s="632">
        <v>11</v>
      </c>
      <c r="AC5" s="618">
        <v>72.29</v>
      </c>
      <c r="AD5" s="618">
        <v>12</v>
      </c>
      <c r="AE5" s="618">
        <v>12</v>
      </c>
      <c r="AF5" s="618">
        <v>15</v>
      </c>
      <c r="AG5" s="618">
        <v>15</v>
      </c>
      <c r="AH5" s="618">
        <v>20</v>
      </c>
      <c r="AI5" s="618">
        <v>3</v>
      </c>
      <c r="AL5" s="997"/>
    </row>
    <row customHeight="1" ht="11.25" hidden="1">
      <c r="AF6" s="122">
        <f>god-2</f>
        <v>2024</v>
      </c>
      <c r="AG6" s="122">
        <f>god-2</f>
        <v>2024</v>
      </c>
    </row>
    <row customHeight="1" ht="11.25" hidden="1">
      <c r="A7" s="122" t="s">
        <v>361</v>
      </c>
      <c r="AF7" s="122" cm="1" t="str">
        <f t="array" ref="AF7:AF7">AF25</f>
        <v>Факт по данным организации</v>
      </c>
      <c r="AG7" s="122" cm="1" t="str">
        <f t="array" ref="AG7:AG7">AG25</f>
        <v>Принято органом регулирования</v>
      </c>
    </row>
    <row customHeight="1" ht="11.25" hidden="1"/>
    <row s="1764" customFormat="1" customHeight="1" ht="11.25" hidden="1">
      <c r="A9" s="997" t="s">
        <v>365</v>
      </c>
      <c r="B9" s="1009"/>
      <c r="AF9" s="997" cm="1" t="str">
        <f t="array" ref="AF9:AF9">AF6</f>
        <v>2024</v>
      </c>
      <c r="AG9" s="997" cm="1" t="str">
        <f t="array" ref="AG9:AG9">AG6</f>
        <v>2024</v>
      </c>
    </row>
    <row s="1764" customFormat="1" customHeight="1" ht="11.25" hidden="1">
      <c r="A10" s="997" t="s">
        <v>366</v>
      </c>
      <c r="B10" s="1009"/>
      <c r="AF10" s="997" cm="1" t="str">
        <f t="array" ref="AF10:AF10">AF25</f>
        <v>Факт по данным организации</v>
      </c>
      <c r="AG10" s="997" cm="1" t="str">
        <f t="array" ref="AG10:AG10">AG25</f>
        <v>Принято органом регулирования</v>
      </c>
    </row>
    <row s="1764" customFormat="1" customHeight="1" ht="11.25" hidden="1">
      <c r="A11" s="997" t="s">
        <v>367</v>
      </c>
      <c r="B11" s="1009"/>
      <c r="AH11" s="997" cm="1" t="str">
        <f t="array" ref="AH11:AH11">AH24</f>
        <v>Комментарии</v>
      </c>
    </row>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4.625">
      <c r="E21" s="618">
        <v>15</v>
      </c>
      <c r="AA21" s="425"/>
      <c r="AB21" s="250"/>
      <c r="AC21" s="50" cm="1" t="str">
        <f t="array" ref="AC21:AC21">tpl_title</f>
        <v>Кемеровская область / 2026 / ООО "Теплоэнерго" (ИНН:4214046200, КПП:421401001) / ДПР: 2026-2030</v>
      </c>
      <c r="AD21" s="156"/>
      <c r="AE21" s="156"/>
      <c r="AF21" s="156"/>
      <c r="AG21" s="156"/>
    </row>
    <row customHeight="1" ht="21.9375">
      <c r="E22" s="618">
        <v>22.5</v>
      </c>
      <c r="AB22" s="320" t="s">
        <v>76</v>
      </c>
      <c r="AC22" s="226"/>
      <c r="AD22" s="226"/>
      <c r="AE22" s="226"/>
      <c r="AF22" s="226"/>
      <c r="AG22" s="237"/>
      <c r="AH22" s="237"/>
    </row>
    <row customHeight="1" ht="10.96875">
      <c r="E23" s="618">
        <v>11.25</v>
      </c>
      <c r="AB23" s="250"/>
      <c r="AC23" s="156"/>
      <c r="AD23" s="156"/>
      <c r="AE23" s="156"/>
      <c r="AF23" s="156"/>
      <c r="AG23" s="156"/>
    </row>
    <row customHeight="1" ht="19.25625">
      <c r="E24" s="618">
        <v>19.75</v>
      </c>
      <c r="AB24" s="1577" t="s">
        <v>22</v>
      </c>
      <c r="AC24" s="1590" t="s">
        <v>369</v>
      </c>
      <c r="AD24" s="1577" t="s">
        <v>2147</v>
      </c>
      <c r="AE24" s="1590" t="s">
        <v>1728</v>
      </c>
      <c r="AF24" s="1126" t="str">
        <f>god-2&amp;" год"</f>
        <v>2024 год</v>
      </c>
      <c r="AG24" s="90" t="str">
        <f>god-2&amp;" год"</f>
        <v>2024 год</v>
      </c>
      <c r="AH24" s="1590" t="s">
        <v>371</v>
      </c>
    </row>
    <row customHeight="1" ht="31.443750000000005">
      <c r="E25" s="618">
        <v>32.25</v>
      </c>
      <c r="AB25" s="1577"/>
      <c r="AC25" s="1590"/>
      <c r="AD25" s="1577"/>
      <c r="AE25" s="1590"/>
      <c r="AF25" s="1126" t="s">
        <v>1164</v>
      </c>
      <c r="AG25" s="90" t="s">
        <v>362</v>
      </c>
      <c r="AH25" s="1590"/>
      <c r="AK25" s="122" t="s">
        <v>2136</v>
      </c>
    </row>
    <row s="1834" customFormat="1" customHeight="1" ht="11.25">
      <c r="B26" s="430"/>
      <c r="E26" s="671" t="s">
        <v>373</v>
      </c>
      <c r="F26" s="172" t="s">
        <v>2148</v>
      </c>
      <c r="G26" s="487"/>
      <c r="S26" s="0" t="s">
        <v>2149</v>
      </c>
      <c r="T26" s="0"/>
      <c r="AC26" s="100"/>
      <c r="AD26" s="100"/>
      <c r="AE26" s="100"/>
      <c r="AF26" s="100"/>
      <c r="AL26" s="1004"/>
      <c r="AQ26" s="101"/>
    </row>
    <row customHeight="1" ht="14.625" hidden="1">
      <c r="A27" s="1758"/>
      <c r="B27" s="1416"/>
      <c r="C27" s="1758"/>
      <c r="D27" s="1758"/>
      <c r="E27" s="618">
        <v>15</v>
      </c>
      <c r="F27" s="98" cm="1" t="str">
        <f t="array" ref="F27:F27">X27</f>
        <v>0</v>
      </c>
      <c r="G27" s="493"/>
      <c r="H27" s="85"/>
      <c r="I27" s="1758"/>
      <c r="J27" s="1758"/>
      <c r="K27" s="1758"/>
      <c r="L27" s="1758"/>
      <c r="M27" s="1758"/>
      <c r="N27" s="1758"/>
      <c r="O27" s="1758"/>
      <c r="P27" s="1758"/>
      <c r="Q27" s="1758"/>
      <c r="R27" s="1758"/>
      <c r="S27" s="1172" cm="1" t="str">
        <f t="array" ref="S27:S27">INDEX('Общие сведения'!$AE$179:$AE$250,MATCH($X27,'Общие сведения'!$Z$179:$Z$250,0))</f>
        <v>0</v>
      </c>
      <c r="T27" s="465">
        <f>X27&gt;0</f>
        <v>0</v>
      </c>
      <c r="U27" s="1758"/>
      <c r="V27" s="122" t="s">
        <v>265</v>
      </c>
      <c r="W27" s="1758"/>
      <c r="X27" s="1563">
        <v>0</v>
      </c>
      <c r="Y27" s="1758"/>
      <c r="Z27" s="1546"/>
      <c r="AA27" s="1758"/>
      <c r="AB27" s="381" cm="1" t="str">
        <f t="array" ref="AB27:AB27">INDEX('Общие сведения'!$AG$179:$AG$250,MATCH($X27,'Общие сведения'!$Z$179:$Z$250,0))</f>
        <v>Тариф 0 () - </v>
      </c>
      <c r="AC27" s="381"/>
      <c r="AD27" s="381"/>
      <c r="AE27" s="381"/>
      <c r="AF27" s="381"/>
      <c r="AG27" s="381"/>
      <c r="AH27" s="381"/>
      <c r="AI27" s="1758"/>
      <c r="AJ27" s="1758"/>
      <c r="AK27" s="1758"/>
      <c r="AL27" s="1764"/>
      <c r="AM27" s="1758"/>
      <c r="AN27" s="1758"/>
      <c r="AO27" s="1758"/>
      <c r="AP27" s="1758"/>
      <c r="AQ27" s="1758"/>
    </row>
    <row s="698" customFormat="1" customHeight="1" ht="43.875" hidden="1">
      <c r="A28" s="698"/>
      <c r="B28" s="431"/>
      <c r="C28" s="698"/>
      <c r="D28" s="698"/>
      <c r="E28" s="691">
        <v>45</v>
      </c>
      <c r="F28" s="50" cm="1" t="str">
        <f t="array" ref="F28:F28">OFFSET(E28,-1,1)</f>
        <v>0</v>
      </c>
      <c r="G28" s="497"/>
      <c r="H28" s="698"/>
      <c r="I28" s="122" t="s">
        <v>332</v>
      </c>
      <c r="J28" s="698"/>
      <c r="K28" s="124"/>
      <c r="L28" s="924"/>
      <c r="M28" s="497"/>
      <c r="N28" s="698"/>
      <c r="O28" s="698"/>
      <c r="P28" s="698"/>
      <c r="Q28" s="698"/>
      <c r="R28" s="698"/>
      <c r="S28" s="698"/>
      <c r="T28" s="465" cm="1" t="str">
        <f t="array" ref="T28:T28">T27</f>
        <v>false</v>
      </c>
      <c r="U28" s="698"/>
      <c r="V28" s="698"/>
      <c r="W28" s="698"/>
      <c r="X28" s="1563"/>
      <c r="Y28" s="698"/>
      <c r="Z28" s="1546"/>
      <c r="AA28" s="698"/>
      <c r="AB28" s="841" t="s">
        <v>2150</v>
      </c>
      <c r="AC28" s="842" t="s">
        <v>2151</v>
      </c>
      <c r="AD28" s="841" t="s">
        <v>2152</v>
      </c>
      <c r="AE28" s="843" t="s">
        <v>1514</v>
      </c>
      <c r="AF28" s="844">
        <f>AF30-AF29</f>
        <v>0</v>
      </c>
      <c r="AG28" s="844">
        <f>AG30-AG29</f>
        <v>0</v>
      </c>
      <c r="AH28" s="5198"/>
      <c r="AI28" s="698"/>
      <c r="AJ28" s="698"/>
      <c r="AK28" s="698"/>
      <c r="AL28" s="1051" t="s">
        <v>2153</v>
      </c>
      <c r="AM28" s="698"/>
      <c r="AN28" s="698"/>
      <c r="AO28" s="698"/>
      <c r="AP28" s="698"/>
      <c r="AQ28" s="698"/>
    </row>
    <row s="698" customFormat="1" customHeight="1" ht="14.625" hidden="1">
      <c r="A29" s="698"/>
      <c r="B29" s="431"/>
      <c r="C29" s="698"/>
      <c r="D29" s="698"/>
      <c r="E29" s="691">
        <v>15</v>
      </c>
      <c r="F29" s="50" cm="1" t="str">
        <f t="array" ref="F29:F29">OFFSET(E29,-1,1)</f>
        <v>0</v>
      </c>
      <c r="G29" s="497"/>
      <c r="H29" s="698"/>
      <c r="I29" s="122" t="s">
        <v>1175</v>
      </c>
      <c r="J29" s="698"/>
      <c r="K29" s="497"/>
      <c r="L29" s="497"/>
      <c r="M29" s="497"/>
      <c r="N29" s="698"/>
      <c r="O29" s="698"/>
      <c r="P29" s="698"/>
      <c r="Q29" s="698"/>
      <c r="R29" s="698"/>
      <c r="S29" s="698"/>
      <c r="T29" s="465" cm="1" t="str">
        <f t="array" ref="T29:T29">T28</f>
        <v>false</v>
      </c>
      <c r="U29" s="698"/>
      <c r="V29" s="698"/>
      <c r="W29" s="698"/>
      <c r="X29" s="1563"/>
      <c r="Y29" s="698"/>
      <c r="Z29" s="1546"/>
      <c r="AA29" s="698"/>
      <c r="AB29" s="218" t="s">
        <v>276</v>
      </c>
      <c r="AC29" s="219" t="s">
        <v>2154</v>
      </c>
      <c r="AD29" s="211" t="s">
        <v>2155</v>
      </c>
      <c r="AE29" s="234" t="s">
        <v>1514</v>
      </c>
      <c r="AF29" s="5199"/>
      <c r="AG29" s="5199"/>
      <c r="AH29" s="5198"/>
      <c r="AI29" s="698"/>
      <c r="AJ29" s="698"/>
      <c r="AK29" s="698"/>
      <c r="AL29" s="1051" t="s">
        <v>2156</v>
      </c>
      <c r="AM29" s="698"/>
      <c r="AN29" s="698"/>
      <c r="AO29" s="698"/>
      <c r="AP29" s="698"/>
      <c r="AQ29" s="698"/>
    </row>
    <row s="698" customFormat="1" customHeight="1" ht="14.625" hidden="1">
      <c r="A30" s="698"/>
      <c r="B30" s="431"/>
      <c r="C30" s="698"/>
      <c r="D30" s="698"/>
      <c r="E30" s="691">
        <v>15</v>
      </c>
      <c r="F30" s="50" cm="1" t="str">
        <f t="array" ref="F30:F30">OFFSET(E30,-1,1)</f>
        <v>0</v>
      </c>
      <c r="G30" s="147"/>
      <c r="H30" s="147"/>
      <c r="I30" s="426" t="s">
        <v>1179</v>
      </c>
      <c r="J30" s="698"/>
      <c r="K30" s="497"/>
      <c r="L30" s="497"/>
      <c r="M30" s="497"/>
      <c r="N30" s="698"/>
      <c r="O30" s="698"/>
      <c r="P30" s="698"/>
      <c r="Q30" s="698"/>
      <c r="R30" s="698"/>
      <c r="S30" s="698"/>
      <c r="T30" s="465" cm="1" t="str">
        <f t="array" ref="T30:T30">T29</f>
        <v>false</v>
      </c>
      <c r="U30" s="698"/>
      <c r="V30" s="698"/>
      <c r="W30" s="698"/>
      <c r="X30" s="1563"/>
      <c r="Y30" s="698"/>
      <c r="Z30" s="1546"/>
      <c r="AA30" s="698"/>
      <c r="AB30" s="218" t="s">
        <v>285</v>
      </c>
      <c r="AC30" s="212" t="s">
        <v>2157</v>
      </c>
      <c r="AD30" s="211" t="s">
        <v>2158</v>
      </c>
      <c r="AE30" s="234" t="s">
        <v>1514</v>
      </c>
      <c r="AF30" s="844">
        <f>AF31+AF32+AF44+AF48+AF49+AF50+AF51+AF55+AF56+AF57+AF58+AF61+AF62</f>
        <v>0</v>
      </c>
      <c r="AG30" s="844">
        <f>AG31+AG32+AG44+AG48+AG49+AG50+AG51+AG55+AG56+AG57+AG58+AG61+AG62</f>
        <v>0</v>
      </c>
      <c r="AH30" s="5198"/>
      <c r="AI30" s="698"/>
      <c r="AJ30" s="698"/>
      <c r="AK30" s="698"/>
      <c r="AL30" s="1051" t="s">
        <v>2159</v>
      </c>
      <c r="AM30" s="698"/>
      <c r="AN30" s="698"/>
      <c r="AO30" s="698"/>
      <c r="AP30" s="698"/>
      <c r="AQ30" s="698"/>
    </row>
    <row customHeight="1" ht="21.9375" hidden="1">
      <c r="A31" s="1758"/>
      <c r="B31" s="1416"/>
      <c r="C31" s="1758"/>
      <c r="D31" s="1758"/>
      <c r="E31" s="618">
        <v>22.5</v>
      </c>
      <c r="F31" s="50" cm="1" t="str">
        <f t="array" ref="F31:F31">OFFSET(E31,-1,1)</f>
        <v>0</v>
      </c>
      <c r="G31" s="426" t="s">
        <v>2160</v>
      </c>
      <c r="H31" s="85"/>
      <c r="I31" s="426" t="s">
        <v>2068</v>
      </c>
      <c r="J31" s="1758"/>
      <c r="K31" s="124"/>
      <c r="L31" s="124"/>
      <c r="M31" s="124"/>
      <c r="N31" s="1758"/>
      <c r="O31" s="1758"/>
      <c r="P31" s="1758"/>
      <c r="Q31" s="1758"/>
      <c r="R31" s="1758"/>
      <c r="S31" s="1806"/>
      <c r="T31" s="465" cm="1" t="str">
        <f t="array" ref="T31:T31">T30</f>
        <v>false</v>
      </c>
      <c r="U31" s="1758"/>
      <c r="V31" s="1758"/>
      <c r="W31" s="1758"/>
      <c r="X31" s="1563"/>
      <c r="Y31" s="1758"/>
      <c r="Z31" s="1546"/>
      <c r="AA31" s="1758"/>
      <c r="AB31" s="299" t="s">
        <v>1250</v>
      </c>
      <c r="AC31" s="762" t="s">
        <v>2161</v>
      </c>
      <c r="AD31" s="300" t="s">
        <v>2162</v>
      </c>
      <c r="AE31" s="766" t="s">
        <v>1514</v>
      </c>
      <c r="AF31" s="4725"/>
      <c r="AG31" s="4725"/>
      <c r="AH31" s="1947"/>
      <c r="AI31" s="1758"/>
      <c r="AJ31" s="1758"/>
      <c r="AK31" s="1758"/>
      <c r="AL31" s="997" t="s">
        <v>2163</v>
      </c>
      <c r="AM31" s="1758"/>
      <c r="AN31" s="1758"/>
      <c r="AO31" s="1758"/>
      <c r="AP31" s="1758"/>
      <c r="AQ31" s="1758"/>
    </row>
    <row customHeight="1" ht="21.9375" hidden="1">
      <c r="A32" s="1758"/>
      <c r="B32" s="1416"/>
      <c r="C32" s="1758"/>
      <c r="D32" s="1758"/>
      <c r="E32" s="618">
        <v>22.5</v>
      </c>
      <c r="F32" s="50" cm="1" t="str">
        <f t="array" ref="F32:F32">OFFSET(E32,-1,1)</f>
        <v>0</v>
      </c>
      <c r="G32" s="426"/>
      <c r="H32" s="85"/>
      <c r="I32" s="426" t="s">
        <v>2071</v>
      </c>
      <c r="J32" s="1758"/>
      <c r="K32" s="124"/>
      <c r="L32" s="124"/>
      <c r="M32" s="124"/>
      <c r="N32" s="1758"/>
      <c r="O32" s="1758"/>
      <c r="P32" s="1758"/>
      <c r="Q32" s="1758"/>
      <c r="R32" s="1758"/>
      <c r="S32" s="1806"/>
      <c r="T32" s="465" cm="1" t="str">
        <f t="array" ref="T32:T32">T31</f>
        <v>false</v>
      </c>
      <c r="U32" s="1758"/>
      <c r="V32" s="1758"/>
      <c r="W32" s="1758"/>
      <c r="X32" s="1563"/>
      <c r="Y32" s="1758"/>
      <c r="Z32" s="1546"/>
      <c r="AA32" s="1758"/>
      <c r="AB32" s="299" t="s">
        <v>1254</v>
      </c>
      <c r="AC32" s="762" t="s">
        <v>2164</v>
      </c>
      <c r="AD32" s="300" t="s">
        <v>2165</v>
      </c>
      <c r="AE32" s="766" t="s">
        <v>1514</v>
      </c>
      <c r="AF32" s="934">
        <f>SUM(AF33:AF43)</f>
        <v>0</v>
      </c>
      <c r="AG32" s="934">
        <f>SUM(AG33:AG43)</f>
        <v>0</v>
      </c>
      <c r="AH32" s="1947"/>
      <c r="AI32" s="1758"/>
      <c r="AJ32" s="1758"/>
      <c r="AK32" s="1758"/>
      <c r="AL32" s="997" t="s">
        <v>2166</v>
      </c>
      <c r="AM32" s="1758"/>
      <c r="AN32" s="1758"/>
      <c r="AO32" s="1758"/>
      <c r="AP32" s="1758"/>
      <c r="AQ32" s="1758"/>
    </row>
    <row customHeight="1" ht="21.9375" hidden="1">
      <c r="A33" s="1758"/>
      <c r="B33" s="1416"/>
      <c r="C33" s="1758"/>
      <c r="D33" s="1758"/>
      <c r="E33" s="618">
        <v>22.5</v>
      </c>
      <c r="F33" s="50" cm="1" t="str">
        <f t="array" ref="F33:F33">OFFSET(E33,-1,1)</f>
        <v>0</v>
      </c>
      <c r="G33" s="426"/>
      <c r="H33" s="85"/>
      <c r="I33" s="426" t="s">
        <v>2167</v>
      </c>
      <c r="J33" s="1758"/>
      <c r="K33" s="124"/>
      <c r="L33" s="124"/>
      <c r="M33" s="124"/>
      <c r="N33" s="1758"/>
      <c r="O33" s="1758"/>
      <c r="P33" s="1758"/>
      <c r="Q33" s="1758"/>
      <c r="R33" s="1758"/>
      <c r="S33" s="1806"/>
      <c r="T33" s="465" cm="1" t="str">
        <f t="array" ref="T33:T33">T32</f>
        <v>false</v>
      </c>
      <c r="U33" s="1758"/>
      <c r="V33" s="1758"/>
      <c r="W33" s="1758"/>
      <c r="X33" s="1563"/>
      <c r="Y33" s="1758"/>
      <c r="Z33" s="1546"/>
      <c r="AA33" s="1758"/>
      <c r="AB33" s="784" t="s">
        <v>1207</v>
      </c>
      <c r="AC33" s="781" t="s">
        <v>2168</v>
      </c>
      <c r="AD33" s="766"/>
      <c r="AE33" s="766" t="s">
        <v>1514</v>
      </c>
      <c r="AF33" s="4725">
        <f>_xlfn.SUMIFS(Покупка!$AF$25:$AF$372,Покупка!$F$25:$F$372,$F33,Покупка!$I$25:$I$372,"Итого_пок_усл")</f>
        <v>0</v>
      </c>
      <c r="AG33" s="4725">
        <f>_xlfn.SUMIFS(Покупка!$AG$25:$AG$372,Покупка!$F$25:$F$372,$F33,Покупка!$I$25:$I$372,"Итого_пок_усл")</f>
        <v>0</v>
      </c>
      <c r="AH33" s="1947"/>
      <c r="AI33" s="1758"/>
      <c r="AJ33" s="1758"/>
      <c r="AK33" s="1758"/>
      <c r="AL33" s="997" t="s">
        <v>2169</v>
      </c>
      <c r="AM33" s="1758"/>
      <c r="AN33" s="1758"/>
      <c r="AO33" s="1758"/>
      <c r="AP33" s="1758"/>
      <c r="AQ33" s="1758"/>
    </row>
    <row customHeight="1" ht="14.625" hidden="1">
      <c r="A34" s="1758"/>
      <c r="B34" s="1416"/>
      <c r="C34" s="1758"/>
      <c r="D34" s="1758"/>
      <c r="E34" s="618">
        <v>15</v>
      </c>
      <c r="F34" s="50" cm="1" t="str">
        <f t="array" ref="F34:F34">OFFSET(E34,-1,1)</f>
        <v>0</v>
      </c>
      <c r="G34" s="426"/>
      <c r="H34" s="85"/>
      <c r="I34" s="426" t="s">
        <v>2170</v>
      </c>
      <c r="J34" s="1758"/>
      <c r="K34" s="124"/>
      <c r="L34" s="124"/>
      <c r="M34" s="124"/>
      <c r="N34" s="1758"/>
      <c r="O34" s="1758"/>
      <c r="P34" s="1758"/>
      <c r="Q34" s="1758"/>
      <c r="R34" s="1758"/>
      <c r="S34" s="1806"/>
      <c r="T34" s="465" cm="1" t="str">
        <f t="array" ref="T34:T34">T33</f>
        <v>false</v>
      </c>
      <c r="U34" s="1758"/>
      <c r="V34" s="1758"/>
      <c r="W34" s="1758"/>
      <c r="X34" s="1563"/>
      <c r="Y34" s="1758"/>
      <c r="Z34" s="1546"/>
      <c r="AA34" s="1758"/>
      <c r="AB34" s="784" t="s">
        <v>2171</v>
      </c>
      <c r="AC34" s="781" t="s">
        <v>2172</v>
      </c>
      <c r="AD34" s="766"/>
      <c r="AE34" s="766" t="s">
        <v>1514</v>
      </c>
      <c r="AF34" s="4725"/>
      <c r="AG34" s="4725">
        <f>_xlfn.SUMIFS('Сырье и материалы'!AG$25:AG$163,'Сырье и материалы'!$F$25:$F$163,$F34,'Сырье и материалы'!$AC$25:$AC$163,"Всего по тарифу")</f>
        <v>0</v>
      </c>
      <c r="AH34" s="1947"/>
      <c r="AI34" s="1758"/>
      <c r="AJ34" s="1758"/>
      <c r="AK34" s="1758"/>
      <c r="AL34" s="997" t="s">
        <v>2173</v>
      </c>
      <c r="AM34" s="1758"/>
      <c r="AN34" s="1758"/>
      <c r="AO34" s="1758"/>
      <c r="AP34" s="1758"/>
      <c r="AQ34" s="1758"/>
    </row>
    <row customHeight="1" ht="14.625" hidden="1">
      <c r="A35" s="1758"/>
      <c r="B35" s="1416"/>
      <c r="C35" s="1758"/>
      <c r="D35" s="1758"/>
      <c r="E35" s="618">
        <v>15</v>
      </c>
      <c r="F35" s="50" cm="1" t="str">
        <f t="array" ref="F35:F35">OFFSET(E35,-1,1)</f>
        <v>0</v>
      </c>
      <c r="G35" s="426"/>
      <c r="H35" s="85"/>
      <c r="I35" s="426" t="s">
        <v>2174</v>
      </c>
      <c r="J35" s="1758"/>
      <c r="K35" s="124"/>
      <c r="L35" s="124"/>
      <c r="M35" s="124"/>
      <c r="N35" s="1758"/>
      <c r="O35" s="1758"/>
      <c r="P35" s="1758"/>
      <c r="Q35" s="1758"/>
      <c r="R35" s="1758"/>
      <c r="S35" s="1806"/>
      <c r="T35" s="465" cm="1" t="str">
        <f t="array" ref="T35:T35">T34</f>
        <v>false</v>
      </c>
      <c r="U35" s="1758"/>
      <c r="V35" s="1758"/>
      <c r="W35" s="1758"/>
      <c r="X35" s="1563"/>
      <c r="Y35" s="1758"/>
      <c r="Z35" s="1546"/>
      <c r="AA35" s="1758"/>
      <c r="AB35" s="784" t="s">
        <v>2175</v>
      </c>
      <c r="AC35" s="781" t="s">
        <v>2176</v>
      </c>
      <c r="AD35" s="766"/>
      <c r="AE35" s="766" t="s">
        <v>1514</v>
      </c>
      <c r="AF35" s="4725">
        <f>_xlfn.SUMIFS(Налоги!AF$25:AF$101,Налоги!$F$25:$F$101,$F35,Налоги!$AB$25:$AB$101,"0")</f>
        <v>0</v>
      </c>
      <c r="AG35" s="4725">
        <f>_xlfn.SUMIFS(Налоги!AG$25:AG$101,Налоги!$F$25:$F$101,$F35,Налоги!$AB$25:$AB$101,"0")</f>
        <v>0</v>
      </c>
      <c r="AH35" s="1947"/>
      <c r="AI35" s="1758"/>
      <c r="AJ35" s="1758"/>
      <c r="AK35" s="1758"/>
      <c r="AL35" s="997" t="s">
        <v>2177</v>
      </c>
      <c r="AM35" s="1758"/>
      <c r="AN35" s="1758"/>
      <c r="AO35" s="1758"/>
      <c r="AP35" s="1758"/>
      <c r="AQ35" s="1758"/>
    </row>
    <row customHeight="1" ht="65.8125" hidden="1">
      <c r="A36" s="1758"/>
      <c r="B36" s="1416"/>
      <c r="C36" s="1758"/>
      <c r="D36" s="1758"/>
      <c r="E36" s="618">
        <v>67.5</v>
      </c>
      <c r="F36" s="50" cm="1" t="str">
        <f t="array" ref="F36:F36">OFFSET(E36,-1,1)</f>
        <v>0</v>
      </c>
      <c r="G36" s="107" t="s">
        <v>2178</v>
      </c>
      <c r="H36" s="85"/>
      <c r="I36" s="493" t="s">
        <v>2179</v>
      </c>
      <c r="J36" s="1758"/>
      <c r="K36" s="124"/>
      <c r="L36" s="124"/>
      <c r="M36" s="124"/>
      <c r="N36" s="1758"/>
      <c r="O36" s="1758"/>
      <c r="P36" s="1758"/>
      <c r="Q36" s="1758"/>
      <c r="R36" s="1758"/>
      <c r="S36" s="1806"/>
      <c r="T36" s="465" cm="1" t="str">
        <f t="array" ref="T36:T36">T35</f>
        <v>false</v>
      </c>
      <c r="U36" s="1758"/>
      <c r="V36" s="1758"/>
      <c r="W36" s="1758"/>
      <c r="X36" s="1563"/>
      <c r="Y36" s="1758"/>
      <c r="Z36" s="1546"/>
      <c r="AA36" s="1758"/>
      <c r="AB36" s="784" t="s">
        <v>2180</v>
      </c>
      <c r="AC36" s="781" t="s">
        <v>2181</v>
      </c>
      <c r="AD36" s="766"/>
      <c r="AE36" s="766" t="s">
        <v>1514</v>
      </c>
      <c r="AF36" s="4725"/>
      <c r="AG36" s="4725">
        <f>IF(AND(method_reg="Метод индексации",first_year=god),_xlfn.SUMIFS('Калькуляция (МИ)'!$AG$25:$AG$747,'Калькуляция (МИ)'!$F$25:$F$747,$F36,'Калькуляция (МИ)'!$G$25:$G$747,$G36),_xlfn.SUMIFS('Калькуляция (МИ корр)'!$AG$25:$AG$747,'Калькуляция (МИ корр)'!$F$25:$F$747,$F36,'Калькуляция (МИ корр)'!$G$25:$G$747,$G36))</f>
        <v>0</v>
      </c>
      <c r="AH36" s="1947"/>
      <c r="AI36" s="1758"/>
      <c r="AJ36" s="1758"/>
      <c r="AK36" s="1758"/>
      <c r="AL36" s="997" t="s">
        <v>2182</v>
      </c>
      <c r="AM36" s="1758"/>
      <c r="AN36" s="1758"/>
      <c r="AO36" s="1758"/>
      <c r="AP36" s="1758"/>
      <c r="AQ36" s="1758"/>
    </row>
    <row customHeight="1" ht="14.625" hidden="1">
      <c r="A37" s="1758"/>
      <c r="B37" s="1416"/>
      <c r="C37" s="1758"/>
      <c r="D37" s="1758"/>
      <c r="E37" s="618">
        <v>15</v>
      </c>
      <c r="F37" s="50" cm="1" t="str">
        <f t="array" ref="F37:F37">OFFSET(E37,-1,1)</f>
        <v>0</v>
      </c>
      <c r="G37" s="107" t="s">
        <v>1730</v>
      </c>
      <c r="H37" s="85"/>
      <c r="I37" s="493" t="s">
        <v>2183</v>
      </c>
      <c r="J37" s="1758"/>
      <c r="K37" s="124"/>
      <c r="L37" s="124"/>
      <c r="M37" s="124"/>
      <c r="N37" s="1758"/>
      <c r="O37" s="1758"/>
      <c r="P37" s="1758"/>
      <c r="Q37" s="1758"/>
      <c r="R37" s="1758"/>
      <c r="S37" s="1806"/>
      <c r="T37" s="465" cm="1" t="str">
        <f t="array" ref="T37:T37">T36</f>
        <v>false</v>
      </c>
      <c r="U37" s="1758"/>
      <c r="V37" s="1758"/>
      <c r="W37" s="1758"/>
      <c r="X37" s="1563"/>
      <c r="Y37" s="1758"/>
      <c r="Z37" s="1546"/>
      <c r="AA37" s="1758"/>
      <c r="AB37" s="784" t="s">
        <v>2184</v>
      </c>
      <c r="AC37" s="781" t="s">
        <v>2185</v>
      </c>
      <c r="AD37" s="766"/>
      <c r="AE37" s="766" t="s">
        <v>1514</v>
      </c>
      <c r="AF37" s="4725"/>
      <c r="AG37" s="4725">
        <f>IF(AND(method_reg="Метод индексации",first_year=god),_xlfn.SUMIFS('Калькуляция (МИ)'!$AG$25:$AG$747,'Калькуляция (МИ)'!$F$25:$F$747,$F37,'Калькуляция (МИ)'!$G$25:$G$747,$G37),_xlfn.SUMIFS('Калькуляция (МИ корр)'!$AG$25:$AG$747,'Калькуляция (МИ корр)'!$F$25:$F$747,$F37,'Калькуляция (МИ корр)'!$G$25:$G$747,$G37))</f>
        <v>0</v>
      </c>
      <c r="AH37" s="1947"/>
      <c r="AI37" s="1758"/>
      <c r="AJ37" s="1758"/>
      <c r="AK37" s="1758"/>
      <c r="AL37" s="997" t="s">
        <v>2186</v>
      </c>
      <c r="AM37" s="1758"/>
      <c r="AN37" s="1758"/>
      <c r="AO37" s="1758"/>
      <c r="AP37" s="1758"/>
      <c r="AQ37" s="1758"/>
    </row>
    <row customHeight="1" ht="14.625" hidden="1">
      <c r="A38" s="1758"/>
      <c r="B38" s="1416"/>
      <c r="C38" s="1758"/>
      <c r="D38" s="1758"/>
      <c r="E38" s="618">
        <v>15</v>
      </c>
      <c r="F38" s="50" cm="1" t="str">
        <f t="array" ref="F38:F38">OFFSET(E38,-1,1)</f>
        <v>0</v>
      </c>
      <c r="G38" s="107" t="s">
        <v>2187</v>
      </c>
      <c r="H38" s="85"/>
      <c r="I38" s="493" t="s">
        <v>2188</v>
      </c>
      <c r="J38" s="1758"/>
      <c r="K38" s="124"/>
      <c r="L38" s="124"/>
      <c r="M38" s="124"/>
      <c r="N38" s="1758"/>
      <c r="O38" s="1758"/>
      <c r="P38" s="1758"/>
      <c r="Q38" s="1758"/>
      <c r="R38" s="1758"/>
      <c r="S38" s="1806"/>
      <c r="T38" s="465" cm="1" t="str">
        <f t="array" ref="T38:T38">T37</f>
        <v>false</v>
      </c>
      <c r="U38" s="1758"/>
      <c r="V38" s="1758"/>
      <c r="W38" s="1758"/>
      <c r="X38" s="1563"/>
      <c r="Y38" s="1758"/>
      <c r="Z38" s="1546"/>
      <c r="AA38" s="1758"/>
      <c r="AB38" s="784" t="s">
        <v>2189</v>
      </c>
      <c r="AC38" s="781" t="s">
        <v>2190</v>
      </c>
      <c r="AD38" s="766"/>
      <c r="AE38" s="766" t="s">
        <v>1514</v>
      </c>
      <c r="AF38" s="4725"/>
      <c r="AG38" s="4725">
        <f>IF(AND(method_reg="Метод индексации",first_year=god),_xlfn.SUMIFS('Калькуляция (МИ)'!$AG$25:$AG$747,'Калькуляция (МИ)'!$F$25:$F$747,$F38,'Калькуляция (МИ)'!$G$25:$G$747,$G38),_xlfn.SUMIFS('Калькуляция (МИ корр)'!$AG$25:$AG$747,'Калькуляция (МИ корр)'!$F$25:$F$747,$F38,'Калькуляция (МИ корр)'!$G$25:$G$747,$G38))</f>
        <v>0</v>
      </c>
      <c r="AH38" s="1947"/>
      <c r="AI38" s="1758"/>
      <c r="AJ38" s="1758"/>
      <c r="AK38" s="1758"/>
      <c r="AL38" s="997" t="s">
        <v>2191</v>
      </c>
      <c r="AM38" s="1758"/>
      <c r="AN38" s="1758"/>
      <c r="AO38" s="1758"/>
      <c r="AP38" s="1758"/>
      <c r="AQ38" s="1758"/>
    </row>
    <row customHeight="1" ht="21.9375" hidden="1">
      <c r="A39" s="1758"/>
      <c r="B39" s="1416"/>
      <c r="C39" s="1758"/>
      <c r="D39" s="1758"/>
      <c r="E39" s="618">
        <v>22.5</v>
      </c>
      <c r="F39" s="50" cm="1" t="str">
        <f t="array" ref="F39:F39">OFFSET(E39,-1,1)</f>
        <v>0</v>
      </c>
      <c r="G39" s="107" t="s">
        <v>2192</v>
      </c>
      <c r="H39" s="85"/>
      <c r="I39" s="493" t="s">
        <v>2193</v>
      </c>
      <c r="J39" s="1758"/>
      <c r="K39" s="124"/>
      <c r="L39" s="124"/>
      <c r="M39" s="124"/>
      <c r="N39" s="1758"/>
      <c r="O39" s="1758"/>
      <c r="P39" s="1758"/>
      <c r="Q39" s="1758"/>
      <c r="R39" s="1758"/>
      <c r="S39" s="1806"/>
      <c r="T39" s="465" cm="1" t="str">
        <f t="array" ref="T39:T39">T38</f>
        <v>false</v>
      </c>
      <c r="U39" s="1758"/>
      <c r="V39" s="1758"/>
      <c r="W39" s="1758"/>
      <c r="X39" s="1563"/>
      <c r="Y39" s="1758"/>
      <c r="Z39" s="1546"/>
      <c r="AA39" s="1758"/>
      <c r="AB39" s="784" t="s">
        <v>2194</v>
      </c>
      <c r="AC39" s="781" t="s">
        <v>2195</v>
      </c>
      <c r="AD39" s="766"/>
      <c r="AE39" s="766" t="s">
        <v>1514</v>
      </c>
      <c r="AF39" s="4725"/>
      <c r="AG39" s="4725">
        <f>IF(AND(method_reg="Метод индексации",first_year=god),_xlfn.SUMIFS('Калькуляция (МИ)'!$AG$25:$AG$747,'Калькуляция (МИ)'!$F$25:$F$747,$F39,'Калькуляция (МИ)'!$G$25:$G$747,$G39),_xlfn.SUMIFS('Калькуляция (МИ корр)'!$AG$25:$AG$747,'Калькуляция (МИ корр)'!$F$25:$F$747,$F39,'Калькуляция (МИ корр)'!$G$25:$G$747,$G39))</f>
        <v>0</v>
      </c>
      <c r="AH39" s="1947"/>
      <c r="AI39" s="1758"/>
      <c r="AJ39" s="1758"/>
      <c r="AK39" s="1758"/>
      <c r="AL39" s="997" t="s">
        <v>2196</v>
      </c>
      <c r="AM39" s="1758"/>
      <c r="AN39" s="1758"/>
      <c r="AO39" s="1758"/>
      <c r="AP39" s="1758"/>
      <c r="AQ39" s="1758"/>
    </row>
    <row customHeight="1" ht="21.9375" hidden="1">
      <c r="A40" s="1758"/>
      <c r="B40" s="1416"/>
      <c r="C40" s="1758"/>
      <c r="D40" s="1758"/>
      <c r="E40" s="618">
        <v>22.5</v>
      </c>
      <c r="F40" s="50" cm="1" t="str">
        <f t="array" ref="F40:F40">OFFSET(E40,-1,1)</f>
        <v>0</v>
      </c>
      <c r="G40" s="107" t="s">
        <v>2197</v>
      </c>
      <c r="H40" s="85"/>
      <c r="I40" s="493" t="s">
        <v>2198</v>
      </c>
      <c r="J40" s="1758"/>
      <c r="K40" s="124"/>
      <c r="L40" s="124"/>
      <c r="M40" s="124"/>
      <c r="N40" s="1758"/>
      <c r="O40" s="1758"/>
      <c r="P40" s="1758"/>
      <c r="Q40" s="1758"/>
      <c r="R40" s="1758"/>
      <c r="S40" s="1806"/>
      <c r="T40" s="465" cm="1" t="str">
        <f t="array" ref="T40:T40">T39</f>
        <v>false</v>
      </c>
      <c r="U40" s="1758"/>
      <c r="V40" s="1758"/>
      <c r="W40" s="1758"/>
      <c r="X40" s="1563"/>
      <c r="Y40" s="1758"/>
      <c r="Z40" s="1546"/>
      <c r="AA40" s="1758"/>
      <c r="AB40" s="784" t="s">
        <v>2199</v>
      </c>
      <c r="AC40" s="781" t="s">
        <v>2200</v>
      </c>
      <c r="AD40" s="935"/>
      <c r="AE40" s="766" t="s">
        <v>1514</v>
      </c>
      <c r="AF40" s="4725"/>
      <c r="AG40" s="4725">
        <f>IF(AND(method_reg="Метод индексации",first_year=god),_xlfn.SUMIFS('Калькуляция (МИ)'!$AG$25:$AG$747,'Калькуляция (МИ)'!$F$25:$F$747,$F40,'Калькуляция (МИ)'!$G$25:$G$747,$G40),_xlfn.SUMIFS('Калькуляция (МИ корр)'!$AG$25:$AG$747,'Калькуляция (МИ корр)'!$F$25:$F$747,$F40,'Калькуляция (МИ корр)'!$G$25:$G$747,$G40))</f>
        <v>0</v>
      </c>
      <c r="AH40" s="1947"/>
      <c r="AI40" s="1758"/>
      <c r="AJ40" s="1758"/>
      <c r="AK40" s="1758"/>
      <c r="AL40" s="997" t="s">
        <v>2201</v>
      </c>
      <c r="AM40" s="1758"/>
      <c r="AN40" s="1758"/>
      <c r="AO40" s="1758"/>
      <c r="AP40" s="1758"/>
      <c r="AQ40" s="1758"/>
    </row>
    <row customHeight="1" ht="21.9375" hidden="1">
      <c r="A41" s="1758"/>
      <c r="B41" s="1416"/>
      <c r="C41" s="1758"/>
      <c r="D41" s="1758"/>
      <c r="E41" s="618">
        <v>22.5</v>
      </c>
      <c r="F41" s="50" cm="1" t="str">
        <f t="array" ref="F41:F41">OFFSET(E41,-1,1)</f>
        <v>0</v>
      </c>
      <c r="G41" s="107" t="s">
        <v>2202</v>
      </c>
      <c r="H41" s="85"/>
      <c r="I41" s="493" t="s">
        <v>2203</v>
      </c>
      <c r="J41" s="1758"/>
      <c r="K41" s="124"/>
      <c r="L41" s="124"/>
      <c r="M41" s="124"/>
      <c r="N41" s="1758"/>
      <c r="O41" s="1758"/>
      <c r="P41" s="1758"/>
      <c r="Q41" s="1758"/>
      <c r="R41" s="1758"/>
      <c r="S41" s="1806"/>
      <c r="T41" s="465" cm="1" t="str">
        <f t="array" ref="T41:T41">T40</f>
        <v>false</v>
      </c>
      <c r="U41" s="1758"/>
      <c r="V41" s="1758"/>
      <c r="W41" s="1758"/>
      <c r="X41" s="1563"/>
      <c r="Y41" s="1758"/>
      <c r="Z41" s="1546"/>
      <c r="AA41" s="1758"/>
      <c r="AB41" s="784" t="s">
        <v>2204</v>
      </c>
      <c r="AC41" s="781" t="s">
        <v>2205</v>
      </c>
      <c r="AD41" s="935"/>
      <c r="AE41" s="766" t="s">
        <v>1514</v>
      </c>
      <c r="AF41" s="4725"/>
      <c r="AG41" s="4725">
        <f>IF(AND(method_reg="Метод индексации",first_year=god),_xlfn.SUMIFS('Калькуляция (МИ)'!$AG$25:$AG$747,'Калькуляция (МИ)'!$F$25:$F$747,$F41,'Калькуляция (МИ)'!$G$25:$G$747,$G41),_xlfn.SUMIFS('Калькуляция (МИ корр)'!$AG$25:$AG$747,'Калькуляция (МИ корр)'!$F$25:$F$747,$F41,'Калькуляция (МИ корр)'!$G$25:$G$747,$G41))</f>
        <v>0</v>
      </c>
      <c r="AH41" s="1947"/>
      <c r="AI41" s="1758"/>
      <c r="AJ41" s="1758"/>
      <c r="AK41" s="1758"/>
      <c r="AL41" s="997" t="s">
        <v>2206</v>
      </c>
      <c r="AM41" s="1758"/>
      <c r="AN41" s="1758"/>
      <c r="AO41" s="1758"/>
      <c r="AP41" s="1758"/>
      <c r="AQ41" s="1758"/>
    </row>
    <row customHeight="1" ht="14.625" hidden="1">
      <c r="A42" s="1758"/>
      <c r="B42" s="1416"/>
      <c r="C42" s="1758"/>
      <c r="D42" s="1758"/>
      <c r="E42" s="618">
        <v>15</v>
      </c>
      <c r="F42" s="50" cm="1" t="str">
        <f t="array" ref="F42:F42">OFFSET(E42,-1,1)</f>
        <v>0</v>
      </c>
      <c r="G42" s="107" t="s">
        <v>2207</v>
      </c>
      <c r="H42" s="85"/>
      <c r="I42" s="493" t="s">
        <v>2208</v>
      </c>
      <c r="J42" s="1758"/>
      <c r="K42" s="124"/>
      <c r="L42" s="124"/>
      <c r="M42" s="124"/>
      <c r="N42" s="1758"/>
      <c r="O42" s="1758"/>
      <c r="P42" s="1758"/>
      <c r="Q42" s="1758"/>
      <c r="R42" s="1758"/>
      <c r="S42" s="1806"/>
      <c r="T42" s="465" cm="1" t="str">
        <f t="array" ref="T42:T42">T41</f>
        <v>false</v>
      </c>
      <c r="U42" s="1758"/>
      <c r="V42" s="1758"/>
      <c r="W42" s="1758"/>
      <c r="X42" s="1563"/>
      <c r="Y42" s="1758"/>
      <c r="Z42" s="1546"/>
      <c r="AA42" s="1758"/>
      <c r="AB42" s="784" t="s">
        <v>2209</v>
      </c>
      <c r="AC42" s="781" t="s">
        <v>2210</v>
      </c>
      <c r="AD42" s="935"/>
      <c r="AE42" s="766" t="s">
        <v>1514</v>
      </c>
      <c r="AF42" s="4725"/>
      <c r="AG42" s="4725">
        <f>IF(AND(method_reg="Метод индексации",first_year=god),_xlfn.SUMIFS('Калькуляция (МИ)'!$AG$25:$AG$747,'Калькуляция (МИ)'!$F$25:$F$747,$F42,'Калькуляция (МИ)'!$G$25:$G$747,$G42),_xlfn.SUMIFS('Калькуляция (МИ корр)'!$AG$25:$AG$747,'Калькуляция (МИ корр)'!$F$25:$F$747,$F42,'Калькуляция (МИ корр)'!$G$25:$G$747,$G42))</f>
        <v>0</v>
      </c>
      <c r="AH42" s="1947"/>
      <c r="AI42" s="1758"/>
      <c r="AJ42" s="1758"/>
      <c r="AK42" s="1758"/>
      <c r="AL42" s="997" t="s">
        <v>2211</v>
      </c>
      <c r="AM42" s="1758"/>
      <c r="AN42" s="1758"/>
      <c r="AO42" s="1758"/>
      <c r="AP42" s="1758"/>
      <c r="AQ42" s="1758"/>
    </row>
    <row customHeight="1" ht="21.9375" hidden="1">
      <c r="A43" s="1758"/>
      <c r="B43" s="1416"/>
      <c r="C43" s="1758"/>
      <c r="D43" s="1758"/>
      <c r="E43" s="618">
        <v>22.5</v>
      </c>
      <c r="F43" s="50" cm="1" t="str">
        <f t="array" ref="F43:F43">OFFSET(E43,-1,1)</f>
        <v>0</v>
      </c>
      <c r="G43" s="107" t="s">
        <v>2212</v>
      </c>
      <c r="H43" s="85"/>
      <c r="I43" s="493" t="s">
        <v>2213</v>
      </c>
      <c r="J43" s="1758"/>
      <c r="K43" s="124"/>
      <c r="L43" s="124"/>
      <c r="M43" s="124"/>
      <c r="N43" s="1758"/>
      <c r="O43" s="1758"/>
      <c r="P43" s="1758"/>
      <c r="Q43" s="1758"/>
      <c r="R43" s="1758"/>
      <c r="S43" s="1806"/>
      <c r="T43" s="465" cm="1" t="str">
        <f t="array" ref="T43:T43">T42</f>
        <v>false</v>
      </c>
      <c r="U43" s="1758"/>
      <c r="V43" s="1758"/>
      <c r="W43" s="1758"/>
      <c r="X43" s="1563"/>
      <c r="Y43" s="1758"/>
      <c r="Z43" s="1546"/>
      <c r="AA43" s="1758"/>
      <c r="AB43" s="784" t="s">
        <v>2214</v>
      </c>
      <c r="AC43" s="781" t="s">
        <v>2215</v>
      </c>
      <c r="AD43" s="935"/>
      <c r="AE43" s="766" t="s">
        <v>1514</v>
      </c>
      <c r="AF43" s="4725"/>
      <c r="AG43" s="4725">
        <f>IF(AND(method_reg="Метод индексации",first_year=god),_xlfn.SUMIFS('Калькуляция (МИ)'!$AG$25:$AG$747,'Калькуляция (МИ)'!$F$25:$F$747,$F43,'Калькуляция (МИ)'!$G$25:$G$747,$G43),_xlfn.SUMIFS('Калькуляция (МИ корр)'!$AG$25:$AG$747,'Калькуляция (МИ корр)'!$F$25:$F$747,$F43,'Калькуляция (МИ корр)'!$G$25:$G$747,$G43))</f>
        <v>0</v>
      </c>
      <c r="AH43" s="1947"/>
      <c r="AI43" s="1758"/>
      <c r="AJ43" s="1758"/>
      <c r="AK43" s="1758"/>
      <c r="AL43" s="997" t="s">
        <v>2216</v>
      </c>
      <c r="AM43" s="1758"/>
      <c r="AN43" s="1758"/>
      <c r="AO43" s="1758"/>
      <c r="AP43" s="1758"/>
      <c r="AQ43" s="1758"/>
    </row>
    <row customHeight="1" ht="14.625" hidden="1">
      <c r="A44" s="1758"/>
      <c r="B44" s="1416"/>
      <c r="C44" s="1758"/>
      <c r="D44" s="1758"/>
      <c r="E44" s="618">
        <v>15</v>
      </c>
      <c r="F44" s="50" cm="1" t="str">
        <f t="array" ref="F44:F44">OFFSET(E44,-1,1)</f>
        <v>0</v>
      </c>
      <c r="G44" s="426"/>
      <c r="H44" s="85"/>
      <c r="I44" s="426" t="s">
        <v>2075</v>
      </c>
      <c r="J44" s="1758"/>
      <c r="K44" s="124"/>
      <c r="L44" s="124"/>
      <c r="M44" s="124"/>
      <c r="N44" s="1758"/>
      <c r="O44" s="1758"/>
      <c r="P44" s="1758"/>
      <c r="Q44" s="1758"/>
      <c r="R44" s="1758"/>
      <c r="S44" s="1806"/>
      <c r="T44" s="465" cm="1" t="str">
        <f t="array" ref="T44:T44">T43</f>
        <v>false</v>
      </c>
      <c r="U44" s="1758"/>
      <c r="V44" s="1758"/>
      <c r="W44" s="1758"/>
      <c r="X44" s="1563"/>
      <c r="Y44" s="1758"/>
      <c r="Z44" s="1546"/>
      <c r="AA44" s="1758"/>
      <c r="AB44" s="299" t="s">
        <v>1258</v>
      </c>
      <c r="AC44" s="762" t="s">
        <v>2217</v>
      </c>
      <c r="AD44" s="300" t="s">
        <v>2218</v>
      </c>
      <c r="AE44" s="766" t="s">
        <v>1514</v>
      </c>
      <c r="AF44" s="4725">
        <f>AF45*AF46*AF47</f>
        <v>0</v>
      </c>
      <c r="AG44" s="4725">
        <f>AG45*AG46*AG47</f>
        <v>0</v>
      </c>
      <c r="AH44" s="1947"/>
      <c r="AI44" s="1758"/>
      <c r="AJ44" s="1758"/>
      <c r="AK44" s="1758"/>
      <c r="AL44" s="997" t="s">
        <v>2219</v>
      </c>
      <c r="AM44" s="1758"/>
      <c r="AN44" s="1758"/>
      <c r="AO44" s="1758"/>
      <c r="AP44" s="1758"/>
      <c r="AQ44" s="1758"/>
    </row>
    <row customHeight="1" ht="21.9375" hidden="1">
      <c r="A45" s="1758"/>
      <c r="B45" s="1416"/>
      <c r="C45" s="1758"/>
      <c r="D45" s="1758"/>
      <c r="E45" s="618">
        <v>22.5</v>
      </c>
      <c r="F45" s="50" cm="1" t="str">
        <f t="array" ref="F45:F45">OFFSET(E45,-1,1)</f>
        <v>0</v>
      </c>
      <c r="G45" s="426"/>
      <c r="H45" s="85"/>
      <c r="I45" s="426" t="s">
        <v>2220</v>
      </c>
      <c r="J45" s="1758"/>
      <c r="K45" s="124"/>
      <c r="L45" s="124"/>
      <c r="M45" s="124"/>
      <c r="N45" s="1758"/>
      <c r="O45" s="1758"/>
      <c r="P45" s="1758"/>
      <c r="Q45" s="1758"/>
      <c r="R45" s="1758"/>
      <c r="S45" s="1806"/>
      <c r="T45" s="465" cm="1" t="str">
        <f t="array" ref="T45:T45">T44</f>
        <v>false</v>
      </c>
      <c r="U45" s="1758"/>
      <c r="V45" s="1758"/>
      <c r="W45" s="1758"/>
      <c r="X45" s="1563"/>
      <c r="Y45" s="1758"/>
      <c r="Z45" s="1546"/>
      <c r="AA45" s="1758"/>
      <c r="AB45" s="299" t="s">
        <v>1212</v>
      </c>
      <c r="AC45" s="765" t="s">
        <v>2221</v>
      </c>
      <c r="AD45" s="300" t="s">
        <v>2222</v>
      </c>
      <c r="AE45" s="766" t="s">
        <v>1582</v>
      </c>
      <c r="AF45" s="4725"/>
      <c r="AG45" s="4725">
        <f>_xlfn.SUMIFS(ЭЭ!AG$25:AG$189,ЭЭ!$F$25:$F$189,$F45,ЭЭ!$AC$25:$AC$189,"Удельный расход электроэнергии")</f>
        <v>0</v>
      </c>
      <c r="AH45" s="1947"/>
      <c r="AI45" s="1758"/>
      <c r="AJ45" s="1758"/>
      <c r="AK45" s="1758"/>
      <c r="AL45" s="997" t="s">
        <v>2223</v>
      </c>
      <c r="AM45" s="1758"/>
      <c r="AN45" s="1758"/>
      <c r="AO45" s="1758"/>
      <c r="AP45" s="1758"/>
      <c r="AQ45" s="1758"/>
    </row>
    <row customHeight="1" ht="14.625" hidden="1">
      <c r="A46" s="1758"/>
      <c r="B46" s="1416"/>
      <c r="C46" s="1758"/>
      <c r="D46" s="1758"/>
      <c r="E46" s="618">
        <v>15</v>
      </c>
      <c r="F46" s="50" cm="1" t="str">
        <f t="array" ref="F46:F46">OFFSET(E46,-1,1)</f>
        <v>0</v>
      </c>
      <c r="G46" s="426"/>
      <c r="H46" s="85"/>
      <c r="I46" s="426" t="s">
        <v>2224</v>
      </c>
      <c r="J46" s="1758"/>
      <c r="K46" s="124"/>
      <c r="L46" s="124"/>
      <c r="M46" s="124"/>
      <c r="N46" s="1758"/>
      <c r="O46" s="1758"/>
      <c r="P46" s="1758"/>
      <c r="Q46" s="1758"/>
      <c r="R46" s="1758"/>
      <c r="S46" s="1806"/>
      <c r="T46" s="465" cm="1" t="str">
        <f t="array" ref="T46:T46">T45</f>
        <v>false</v>
      </c>
      <c r="U46" s="1758"/>
      <c r="V46" s="1758"/>
      <c r="W46" s="1758"/>
      <c r="X46" s="1563"/>
      <c r="Y46" s="1758"/>
      <c r="Z46" s="1546"/>
      <c r="AA46" s="1758"/>
      <c r="AB46" s="299" t="s">
        <v>2225</v>
      </c>
      <c r="AC46" s="765" t="s">
        <v>2226</v>
      </c>
      <c r="AD46" s="300" t="s">
        <v>2227</v>
      </c>
      <c r="AE46" s="766" t="s">
        <v>1576</v>
      </c>
      <c r="AF46" s="4725"/>
      <c r="AG46" s="4725">
        <f>_xlfn.SUMIFS(ЭЭ!AG$25:AG$189,ЭЭ!$F$25:$F$189,$F45,ЭЭ!$AC$25:$AC$189,"Объём воды/сточных вод")</f>
        <v>0</v>
      </c>
      <c r="AH46" s="1947"/>
      <c r="AI46" s="1758"/>
      <c r="AJ46" s="1758"/>
      <c r="AK46" s="1758"/>
      <c r="AL46" s="997" t="s">
        <v>2228</v>
      </c>
      <c r="AM46" s="1758"/>
      <c r="AN46" s="1758"/>
      <c r="AO46" s="1758"/>
      <c r="AP46" s="1758"/>
      <c r="AQ46" s="1758"/>
    </row>
    <row customHeight="1" ht="21.9375" hidden="1">
      <c r="A47" s="1758"/>
      <c r="B47" s="1416"/>
      <c r="C47" s="1758"/>
      <c r="D47" s="1758"/>
      <c r="E47" s="618">
        <v>22.5</v>
      </c>
      <c r="F47" s="50" cm="1" t="str">
        <f t="array" ref="F47:F47">OFFSET(E47,-1,1)</f>
        <v>0</v>
      </c>
      <c r="G47" s="426"/>
      <c r="H47" s="85"/>
      <c r="I47" s="426" t="s">
        <v>2229</v>
      </c>
      <c r="J47" s="1758"/>
      <c r="K47" s="124"/>
      <c r="L47" s="124"/>
      <c r="M47" s="124"/>
      <c r="N47" s="1758"/>
      <c r="O47" s="1758"/>
      <c r="P47" s="1758"/>
      <c r="Q47" s="1758"/>
      <c r="R47" s="1758"/>
      <c r="S47" s="1806"/>
      <c r="T47" s="465" cm="1" t="str">
        <f t="array" ref="T47:T47">T46</f>
        <v>false</v>
      </c>
      <c r="U47" s="1758"/>
      <c r="V47" s="1758"/>
      <c r="W47" s="1758"/>
      <c r="X47" s="1563"/>
      <c r="Y47" s="1758"/>
      <c r="Z47" s="1546"/>
      <c r="AA47" s="1758"/>
      <c r="AB47" s="299" t="s">
        <v>2230</v>
      </c>
      <c r="AC47" s="765" t="s">
        <v>2231</v>
      </c>
      <c r="AD47" s="300" t="s">
        <v>2232</v>
      </c>
      <c r="AE47" s="766" t="s">
        <v>1579</v>
      </c>
      <c r="AF47" s="4725"/>
      <c r="AG47" s="4725">
        <f>_xlfn.SUMIFS(ЭЭ!AG$25:AG$189,ЭЭ!$F$25:$F$189,$F45,ЭЭ!$AC$25:$AC$189,"Средний (расчетный) тариф")</f>
        <v>0</v>
      </c>
      <c r="AH47" s="1947"/>
      <c r="AI47" s="1758"/>
      <c r="AJ47" s="1758"/>
      <c r="AK47" s="1758"/>
      <c r="AL47" s="997" t="s">
        <v>2233</v>
      </c>
      <c r="AM47" s="1758"/>
      <c r="AN47" s="1758"/>
      <c r="AO47" s="1758"/>
      <c r="AP47" s="1758"/>
      <c r="AQ47" s="1758"/>
    </row>
    <row customHeight="1" ht="21.9375" hidden="1">
      <c r="A48" s="1758"/>
      <c r="B48" s="1416"/>
      <c r="C48" s="1758"/>
      <c r="D48" s="1758"/>
      <c r="E48" s="618">
        <v>22.5</v>
      </c>
      <c r="F48" s="50" cm="1" t="str">
        <f t="array" ref="F48:F48">OFFSET(E48,-1,1)</f>
        <v>0</v>
      </c>
      <c r="G48" s="426" t="s">
        <v>2234</v>
      </c>
      <c r="H48" s="85"/>
      <c r="I48" s="426" t="s">
        <v>2235</v>
      </c>
      <c r="J48" s="1758"/>
      <c r="K48" s="124"/>
      <c r="L48" s="124"/>
      <c r="M48" s="124"/>
      <c r="N48" s="1758"/>
      <c r="O48" s="1758"/>
      <c r="P48" s="1758"/>
      <c r="Q48" s="1758"/>
      <c r="R48" s="1758"/>
      <c r="S48" s="1806"/>
      <c r="T48" s="465" cm="1" t="str">
        <f t="array" ref="T48:T48">T47</f>
        <v>false</v>
      </c>
      <c r="U48" s="1758"/>
      <c r="V48" s="1758"/>
      <c r="W48" s="1758"/>
      <c r="X48" s="1563"/>
      <c r="Y48" s="1758"/>
      <c r="Z48" s="1546"/>
      <c r="AA48" s="1758"/>
      <c r="AB48" s="299" t="s">
        <v>1651</v>
      </c>
      <c r="AC48" s="762" t="s">
        <v>2236</v>
      </c>
      <c r="AD48" s="300" t="s">
        <v>2237</v>
      </c>
      <c r="AE48" s="766" t="s">
        <v>1514</v>
      </c>
      <c r="AF48" s="4725"/>
      <c r="AG48" s="4725">
        <f>IF(AND(method_reg="Метод индексации",first_year=god),_xlfn.SUMIFS('Калькуляция (МИ)'!$AG$25:$AG$747,'Калькуляция (МИ)'!$F$25:$F$747,$F48,'Калькуляция (МИ)'!$G$25:$G$747,$G48),_xlfn.SUMIFS('Калькуляция (МИ корр)'!$AG$25:$AG$747,'Калькуляция (МИ корр)'!$F$25:$F$747,$F48,'Калькуляция (МИ корр)'!$G$25:$G$747,$G48))</f>
        <v>0</v>
      </c>
      <c r="AH48" s="1947"/>
      <c r="AI48" s="1758"/>
      <c r="AJ48" s="1758"/>
      <c r="AK48" s="1758"/>
      <c r="AL48" s="997" t="s">
        <v>1960</v>
      </c>
      <c r="AM48" s="1758"/>
      <c r="AN48" s="1758"/>
      <c r="AO48" s="1758"/>
      <c r="AP48" s="1758"/>
      <c r="AQ48" s="1758"/>
    </row>
    <row customHeight="1" ht="14.625" hidden="1">
      <c r="A49" s="1758"/>
      <c r="B49" s="1416"/>
      <c r="C49" s="1758"/>
      <c r="D49" s="1758"/>
      <c r="E49" s="618">
        <v>15</v>
      </c>
      <c r="F49" s="50" cm="1" t="str">
        <f t="array" ref="F49:F49">OFFSET(E49,-1,1)</f>
        <v>0</v>
      </c>
      <c r="G49" s="426" t="s">
        <v>2238</v>
      </c>
      <c r="H49" s="85"/>
      <c r="I49" s="426" t="s">
        <v>2239</v>
      </c>
      <c r="J49" s="1758"/>
      <c r="K49" s="124"/>
      <c r="L49" s="124"/>
      <c r="M49" s="124"/>
      <c r="N49" s="1758"/>
      <c r="O49" s="1758"/>
      <c r="P49" s="1758"/>
      <c r="Q49" s="1758"/>
      <c r="R49" s="1758"/>
      <c r="S49" s="1806"/>
      <c r="T49" s="465" cm="1" t="str">
        <f t="array" ref="T49:T49">T48</f>
        <v>false</v>
      </c>
      <c r="U49" s="1758"/>
      <c r="V49" s="1758"/>
      <c r="W49" s="1758"/>
      <c r="X49" s="1563"/>
      <c r="Y49" s="1758"/>
      <c r="Z49" s="1546"/>
      <c r="AA49" s="1758"/>
      <c r="AB49" s="299" t="s">
        <v>1654</v>
      </c>
      <c r="AC49" s="936" t="s">
        <v>2240</v>
      </c>
      <c r="AD49" s="300" t="s">
        <v>2241</v>
      </c>
      <c r="AE49" s="766" t="s">
        <v>1514</v>
      </c>
      <c r="AF49" s="4725"/>
      <c r="AG49" s="4725">
        <f>IF(AND(method_reg="Метод индексации",first_year=god),_xlfn.SUMIFS('Калькуляция (МИ)'!$AE$25:$AE$747,'Калькуляция (МИ)'!$F$25:$F$747,$F49,'Калькуляция (МИ)'!$G$25:$G$747,"Нормативная прибыль")-_xlfn.SUMIFS('Калькуляция (МИ)'!$AE$25:$AE$747,'Калькуляция (МИ)'!$F$25:$F$747,$F49,'Калькуляция (МИ)'!$G$25:$G$747,"иные экономически обоснованные расходы на социальные нужды")+_xlfn.SUMIFS('Калькуляция (МИ)'!$AG$25:$AG$747,'Калькуляция (МИ)'!$F$25:$F$747,$F49,'Калькуляция (МИ)'!$G$25:$G$747,"иные экономически обоснованные расходы на социальные нужды"),_xlfn.SUMIFS('Калькуляция (МИ корр)'!$AE$25:$AE$747,'Калькуляция (МИ корр)'!$F$25:$F$747,$F49,'Калькуляция (МИ корр)'!$G$25:$G$747,"Нормативная прибыль")-_xlfn.SUMIFS('Калькуляция (МИ корр)'!$AE$25:$AE$747,'Калькуляция (МИ корр)'!$F$25:$F$747,$F49,'Калькуляция (МИ корр)'!$G$25:$G$747,"иные экономически обоснованные расходы на социальные нужды")+_xlfn.SUMIFS('Калькуляция (МИ корр)'!$AG$25:$AG$747,'Калькуляция (МИ корр)'!$F$25:$F$747,$F49,'Калькуляция (МИ корр)'!$G$25:$G$747,"иные экономически обоснованные расходы на социальные нужды"))</f>
        <v>0</v>
      </c>
      <c r="AH49" s="1947"/>
      <c r="AI49" s="1758"/>
      <c r="AJ49" s="1758"/>
      <c r="AK49" s="1758"/>
      <c r="AL49" s="997" t="s">
        <v>2242</v>
      </c>
      <c r="AM49" s="1758"/>
      <c r="AN49" s="1758"/>
      <c r="AO49" s="1758"/>
      <c r="AP49" s="1758"/>
      <c r="AQ49" s="1758"/>
    </row>
    <row customHeight="1" ht="14.625" hidden="1">
      <c r="A50" s="1758"/>
      <c r="B50" s="1416"/>
      <c r="C50" s="1758"/>
      <c r="D50" s="1758"/>
      <c r="E50" s="618">
        <v>15</v>
      </c>
      <c r="F50" s="50" cm="1" t="str">
        <f t="array" ref="F50:F50">OFFSET(E50,-1,1)</f>
        <v>0</v>
      </c>
      <c r="G50" s="107" t="s">
        <v>2243</v>
      </c>
      <c r="H50" s="85"/>
      <c r="I50" s="493" t="s">
        <v>2244</v>
      </c>
      <c r="J50" s="1758"/>
      <c r="K50" s="124"/>
      <c r="L50" s="124"/>
      <c r="M50" s="124"/>
      <c r="N50" s="1758"/>
      <c r="O50" s="1758"/>
      <c r="P50" s="1758"/>
      <c r="Q50" s="1758"/>
      <c r="R50" s="1758"/>
      <c r="S50" s="1806"/>
      <c r="T50" s="465" cm="1" t="str">
        <f t="array" ref="T50:T50">T49</f>
        <v>false</v>
      </c>
      <c r="U50" s="1758"/>
      <c r="V50" s="1758"/>
      <c r="W50" s="1758"/>
      <c r="X50" s="1563"/>
      <c r="Y50" s="1758"/>
      <c r="Z50" s="1546"/>
      <c r="AA50" s="1758"/>
      <c r="AB50" s="299" t="s">
        <v>2245</v>
      </c>
      <c r="AC50" s="762" t="s">
        <v>2246</v>
      </c>
      <c r="AD50" s="300" t="s">
        <v>2247</v>
      </c>
      <c r="AE50" s="766" t="s">
        <v>1514</v>
      </c>
      <c r="AF50" s="4725"/>
      <c r="AG50" s="4725">
        <f>IF(AND(method_reg="Метод индексации",first_year=god),_xlfn.SUMIFS('Калькуляция (МИ)'!$AG$25:$AG$747,'Калькуляция (МИ)'!$F$25:$F$747,$F50,'Калькуляция (МИ)'!$G$25:$G$747,$G50),_xlfn.SUMIFS('Калькуляция (МИ корр)'!$AG$25:$AG$747,'Калькуляция (МИ корр)'!$F$25:$F$747,$F50,'Калькуляция (МИ корр)'!$G$25:$G$747,$G50))</f>
        <v>0</v>
      </c>
      <c r="AH50" s="1947"/>
      <c r="AI50" s="1758"/>
      <c r="AJ50" s="1758"/>
      <c r="AK50" s="1758"/>
      <c r="AL50" s="997" t="s">
        <v>2248</v>
      </c>
      <c r="AM50" s="1758"/>
      <c r="AN50" s="1758"/>
      <c r="AO50" s="1758"/>
      <c r="AP50" s="1758"/>
      <c r="AQ50" s="1758"/>
    </row>
    <row customHeight="1" ht="21.9375" hidden="1">
      <c r="A51" s="1758"/>
      <c r="B51" s="1416"/>
      <c r="C51" s="1758"/>
      <c r="D51" s="1758"/>
      <c r="E51" s="618">
        <v>22.5</v>
      </c>
      <c r="F51" s="50" cm="1" t="str">
        <f t="array" ref="F51:F51">OFFSET(E51,-1,1)</f>
        <v>0</v>
      </c>
      <c r="G51" s="107"/>
      <c r="H51" s="85"/>
      <c r="I51" s="426" t="s">
        <v>2249</v>
      </c>
      <c r="J51" s="1758"/>
      <c r="K51" s="124"/>
      <c r="L51" s="124"/>
      <c r="M51" s="124"/>
      <c r="N51" s="1758"/>
      <c r="O51" s="1758"/>
      <c r="P51" s="1758"/>
      <c r="Q51" s="1758"/>
      <c r="R51" s="1758"/>
      <c r="S51" s="1806"/>
      <c r="T51" s="465" cm="1" t="str">
        <f t="array" ref="T51:T51">T50</f>
        <v>false</v>
      </c>
      <c r="U51" s="1758"/>
      <c r="V51" s="1758"/>
      <c r="W51" s="1758"/>
      <c r="X51" s="1563"/>
      <c r="Y51" s="1758"/>
      <c r="Z51" s="1546"/>
      <c r="AA51" s="1758"/>
      <c r="AB51" s="299" t="s">
        <v>2250</v>
      </c>
      <c r="AC51" s="762" t="s">
        <v>2251</v>
      </c>
      <c r="AD51" s="300"/>
      <c r="AE51" s="766" t="s">
        <v>1514</v>
      </c>
      <c r="AF51" s="4725">
        <f>AF52+AF53+AF54</f>
        <v>0</v>
      </c>
      <c r="AG51" s="4725">
        <f>AG52+AG53+AG54</f>
        <v>0</v>
      </c>
      <c r="AH51" s="1947"/>
      <c r="AI51" s="1758"/>
      <c r="AJ51" s="1758"/>
      <c r="AK51" s="1758"/>
      <c r="AL51" s="997" t="s">
        <v>2252</v>
      </c>
      <c r="AM51" s="1758"/>
      <c r="AN51" s="1758"/>
      <c r="AO51" s="1758"/>
      <c r="AP51" s="1758"/>
      <c r="AQ51" s="1758"/>
    </row>
    <row customHeight="1" ht="21.9375" hidden="1">
      <c r="A52" s="1758"/>
      <c r="B52" s="1416"/>
      <c r="C52" s="1758"/>
      <c r="D52" s="1758"/>
      <c r="E52" s="618">
        <v>22.5</v>
      </c>
      <c r="F52" s="50" cm="1" t="str">
        <f t="array" ref="F52:F52">OFFSET(E52,-1,1)</f>
        <v>0</v>
      </c>
      <c r="G52" s="426"/>
      <c r="H52" s="85"/>
      <c r="I52" s="426" t="s">
        <v>2253</v>
      </c>
      <c r="J52" s="1758"/>
      <c r="K52" s="124"/>
      <c r="L52" s="124"/>
      <c r="M52" s="124"/>
      <c r="N52" s="1758"/>
      <c r="O52" s="1758"/>
      <c r="P52" s="1758"/>
      <c r="Q52" s="1758"/>
      <c r="R52" s="1758"/>
      <c r="S52" s="1806"/>
      <c r="T52" s="465" cm="1" t="str">
        <f t="array" ref="T52:T52">T51</f>
        <v>false</v>
      </c>
      <c r="U52" s="1758"/>
      <c r="V52" s="1758"/>
      <c r="W52" s="1758"/>
      <c r="X52" s="1563"/>
      <c r="Y52" s="1758"/>
      <c r="Z52" s="1546"/>
      <c r="AA52" s="1758"/>
      <c r="AB52" s="299" t="s">
        <v>2254</v>
      </c>
      <c r="AC52" s="765" t="s">
        <v>2255</v>
      </c>
      <c r="AD52" s="300" t="s">
        <v>2256</v>
      </c>
      <c r="AE52" s="766" t="s">
        <v>1514</v>
      </c>
      <c r="AF52" s="4725"/>
      <c r="AG52" s="4725"/>
      <c r="AH52" s="1947"/>
      <c r="AI52" s="1758"/>
      <c r="AJ52" s="1758"/>
      <c r="AK52" s="1758"/>
      <c r="AL52" s="997" t="s">
        <v>2257</v>
      </c>
      <c r="AM52" s="1758"/>
      <c r="AN52" s="1758"/>
      <c r="AO52" s="1758"/>
      <c r="AP52" s="1758"/>
      <c r="AQ52" s="1758"/>
    </row>
    <row customHeight="1" ht="14.625" hidden="1">
      <c r="A53" s="1758"/>
      <c r="B53" s="1416"/>
      <c r="C53" s="1758"/>
      <c r="D53" s="1758"/>
      <c r="E53" s="618">
        <v>15</v>
      </c>
      <c r="F53" s="50" cm="1" t="str">
        <f t="array" ref="F53:F53">OFFSET(E53,-1,1)</f>
        <v>0</v>
      </c>
      <c r="G53" s="426"/>
      <c r="H53" s="85"/>
      <c r="I53" s="426" t="s">
        <v>2258</v>
      </c>
      <c r="J53" s="1758"/>
      <c r="K53" s="124"/>
      <c r="L53" s="124"/>
      <c r="M53" s="124"/>
      <c r="N53" s="1758"/>
      <c r="O53" s="1758"/>
      <c r="P53" s="1758"/>
      <c r="Q53" s="1758"/>
      <c r="R53" s="1758"/>
      <c r="S53" s="1806"/>
      <c r="T53" s="465" cm="1" t="str">
        <f t="array" ref="T53:T53">T52</f>
        <v>false</v>
      </c>
      <c r="U53" s="1758"/>
      <c r="V53" s="1758"/>
      <c r="W53" s="1758"/>
      <c r="X53" s="1563"/>
      <c r="Y53" s="1758"/>
      <c r="Z53" s="1546"/>
      <c r="AA53" s="1758"/>
      <c r="AB53" s="299" t="s">
        <v>2259</v>
      </c>
      <c r="AC53" s="765" t="s">
        <v>2260</v>
      </c>
      <c r="AD53" s="300" t="s">
        <v>2261</v>
      </c>
      <c r="AE53" s="766" t="s">
        <v>1514</v>
      </c>
      <c r="AF53" s="4725"/>
      <c r="AG53" s="4725"/>
      <c r="AH53" s="1947"/>
      <c r="AI53" s="1758"/>
      <c r="AJ53" s="1758"/>
      <c r="AK53" s="1758"/>
      <c r="AL53" s="997" t="s">
        <v>2262</v>
      </c>
      <c r="AM53" s="1758"/>
      <c r="AN53" s="1758"/>
      <c r="AO53" s="1758"/>
      <c r="AP53" s="1758"/>
      <c r="AQ53" s="1758"/>
    </row>
    <row customHeight="1" ht="43.875" hidden="1">
      <c r="A54" s="1758"/>
      <c r="B54" s="1416"/>
      <c r="C54" s="1758"/>
      <c r="D54" s="1758"/>
      <c r="E54" s="618">
        <v>45</v>
      </c>
      <c r="F54" s="50" cm="1" t="str">
        <f t="array" ref="F54:F54">OFFSET(E54,-1,1)</f>
        <v>0</v>
      </c>
      <c r="G54" s="426"/>
      <c r="H54" s="85"/>
      <c r="I54" s="426" t="s">
        <v>2263</v>
      </c>
      <c r="J54" s="1758"/>
      <c r="K54" s="124"/>
      <c r="L54" s="124"/>
      <c r="M54" s="124"/>
      <c r="N54" s="1758"/>
      <c r="O54" s="1758"/>
      <c r="P54" s="1758"/>
      <c r="Q54" s="1758"/>
      <c r="R54" s="1758"/>
      <c r="S54" s="1806"/>
      <c r="T54" s="465" cm="1" t="str">
        <f t="array" ref="T54:T54">T53</f>
        <v>false</v>
      </c>
      <c r="U54" s="1758"/>
      <c r="V54" s="1758"/>
      <c r="W54" s="1758"/>
      <c r="X54" s="1563"/>
      <c r="Y54" s="1758"/>
      <c r="Z54" s="1546"/>
      <c r="AA54" s="1758"/>
      <c r="AB54" s="299" t="s">
        <v>2264</v>
      </c>
      <c r="AC54" s="765" t="s">
        <v>2265</v>
      </c>
      <c r="AD54" s="766" t="s">
        <v>2266</v>
      </c>
      <c r="AE54" s="766" t="s">
        <v>1514</v>
      </c>
      <c r="AF54" s="4725"/>
      <c r="AG54" s="4725"/>
      <c r="AH54" s="1947"/>
      <c r="AI54" s="1758"/>
      <c r="AJ54" s="1758"/>
      <c r="AK54" s="1758"/>
      <c r="AL54" s="997" t="s">
        <v>2267</v>
      </c>
      <c r="AM54" s="1758"/>
      <c r="AN54" s="1758"/>
      <c r="AO54" s="1758"/>
      <c r="AP54" s="1758"/>
      <c r="AQ54" s="1758"/>
    </row>
    <row customHeight="1" ht="21.9375" hidden="1">
      <c r="A55" s="1758"/>
      <c r="B55" s="1416"/>
      <c r="C55" s="1758"/>
      <c r="D55" s="1758"/>
      <c r="E55" s="618">
        <v>22.5</v>
      </c>
      <c r="F55" s="50" cm="1" t="str">
        <f t="array" ref="F55:F55">OFFSET(E55,-1,1)</f>
        <v>0</v>
      </c>
      <c r="G55" s="426"/>
      <c r="H55" s="85"/>
      <c r="I55" s="426" t="s">
        <v>2268</v>
      </c>
      <c r="J55" s="1758"/>
      <c r="K55" s="124"/>
      <c r="L55" s="124"/>
      <c r="M55" s="124"/>
      <c r="N55" s="1758"/>
      <c r="O55" s="1758"/>
      <c r="P55" s="1758"/>
      <c r="Q55" s="1758"/>
      <c r="R55" s="1758"/>
      <c r="S55" s="1806"/>
      <c r="T55" s="465" cm="1" t="str">
        <f t="array" ref="T55:T55">T54</f>
        <v>false</v>
      </c>
      <c r="U55" s="1758"/>
      <c r="V55" s="1758"/>
      <c r="W55" s="1758"/>
      <c r="X55" s="1563"/>
      <c r="Y55" s="1758"/>
      <c r="Z55" s="1546"/>
      <c r="AA55" s="1758"/>
      <c r="AB55" s="299" t="s">
        <v>2269</v>
      </c>
      <c r="AC55" s="762" t="s">
        <v>2270</v>
      </c>
      <c r="AD55" s="766" t="s">
        <v>2271</v>
      </c>
      <c r="AE55" s="766" t="s">
        <v>1514</v>
      </c>
      <c r="AF55" s="4725"/>
      <c r="AG55" s="4725"/>
      <c r="AH55" s="1947"/>
      <c r="AI55" s="1758"/>
      <c r="AJ55" s="1758"/>
      <c r="AK55" s="1758"/>
      <c r="AL55" s="997" t="s">
        <v>2272</v>
      </c>
      <c r="AM55" s="1758"/>
      <c r="AN55" s="1758"/>
      <c r="AO55" s="1758"/>
      <c r="AP55" s="1758"/>
      <c r="AQ55" s="1758"/>
    </row>
    <row customHeight="1" ht="76.78125" hidden="1">
      <c r="A56" s="1758"/>
      <c r="B56" s="428">
        <f>S27="Водоотведение"</f>
        <v>0</v>
      </c>
      <c r="C56" s="1758"/>
      <c r="D56" s="1758"/>
      <c r="E56" s="618">
        <v>78.75</v>
      </c>
      <c r="F56" s="50" cm="1" t="str">
        <f t="array" ref="F56:F56">OFFSET(E56,-1,1)</f>
        <v>0</v>
      </c>
      <c r="G56" s="426"/>
      <c r="H56" s="85"/>
      <c r="I56" s="426"/>
      <c r="J56" s="1758"/>
      <c r="K56" s="124"/>
      <c r="L56" s="124"/>
      <c r="M56" s="124"/>
      <c r="N56" s="1758"/>
      <c r="O56" s="1758"/>
      <c r="P56" s="1758"/>
      <c r="Q56" s="1758"/>
      <c r="R56" s="1758"/>
      <c r="S56" s="1806"/>
      <c r="T56" s="465" cm="1" t="str">
        <f t="array" ref="T56:T56">T55</f>
        <v>false</v>
      </c>
      <c r="U56" s="1758"/>
      <c r="V56" s="1758"/>
      <c r="W56" s="1758"/>
      <c r="X56" s="1563"/>
      <c r="Y56" s="1758"/>
      <c r="Z56" s="1546"/>
      <c r="AA56" s="1758"/>
      <c r="AB56" s="299" t="s">
        <v>2273</v>
      </c>
      <c r="AC56" s="762" t="s">
        <v>2274</v>
      </c>
      <c r="AD56" s="766"/>
      <c r="AE56" s="766" t="s">
        <v>1514</v>
      </c>
      <c r="AF56" s="4725"/>
      <c r="AG56" s="4725"/>
      <c r="AH56" s="1947"/>
      <c r="AI56" s="1758"/>
      <c r="AJ56" s="1758"/>
      <c r="AK56" s="1758"/>
      <c r="AL56" s="997" t="s">
        <v>2275</v>
      </c>
      <c r="AM56" s="1758"/>
      <c r="AN56" s="1758"/>
      <c r="AO56" s="1758"/>
      <c r="AP56" s="1758"/>
      <c r="AQ56" s="1758"/>
    </row>
    <row customHeight="1" ht="54.84375" hidden="1">
      <c r="A57" s="1758"/>
      <c r="B57" s="428" cm="1" t="str">
        <f t="array" ref="B57:B57">B56</f>
        <v>false</v>
      </c>
      <c r="C57" s="1758"/>
      <c r="D57" s="1758"/>
      <c r="E57" s="618">
        <v>56.25</v>
      </c>
      <c r="F57" s="50" cm="1" t="str">
        <f t="array" ref="F57:F57">OFFSET(E57,-1,1)</f>
        <v>0</v>
      </c>
      <c r="G57" s="426"/>
      <c r="H57" s="85"/>
      <c r="I57" s="426"/>
      <c r="J57" s="1758"/>
      <c r="K57" s="124"/>
      <c r="L57" s="124"/>
      <c r="M57" s="124"/>
      <c r="N57" s="1758"/>
      <c r="O57" s="1758"/>
      <c r="P57" s="1758"/>
      <c r="Q57" s="1758"/>
      <c r="R57" s="1758"/>
      <c r="S57" s="1806"/>
      <c r="T57" s="465" cm="1" t="str">
        <f t="array" ref="T57:T57">T56</f>
        <v>false</v>
      </c>
      <c r="U57" s="1758"/>
      <c r="V57" s="1758"/>
      <c r="W57" s="1758"/>
      <c r="X57" s="1563"/>
      <c r="Y57" s="1758"/>
      <c r="Z57" s="1546"/>
      <c r="AA57" s="1758"/>
      <c r="AB57" s="299" t="s">
        <v>2276</v>
      </c>
      <c r="AC57" s="762" t="s">
        <v>2277</v>
      </c>
      <c r="AD57" s="766"/>
      <c r="AE57" s="766" t="s">
        <v>1514</v>
      </c>
      <c r="AF57" s="4725"/>
      <c r="AG57" s="4725"/>
      <c r="AH57" s="1947"/>
      <c r="AI57" s="1758"/>
      <c r="AJ57" s="1758"/>
      <c r="AK57" s="1758"/>
      <c r="AL57" s="997" t="s">
        <v>2102</v>
      </c>
      <c r="AM57" s="1758"/>
      <c r="AN57" s="1758"/>
      <c r="AO57" s="1758"/>
      <c r="AP57" s="1758"/>
      <c r="AQ57" s="1758"/>
    </row>
    <row customHeight="1" ht="14.625" hidden="1">
      <c r="A58" s="1758"/>
      <c r="B58" s="1416"/>
      <c r="C58" s="1758"/>
      <c r="D58" s="1758"/>
      <c r="E58" s="618">
        <v>15</v>
      </c>
      <c r="F58" s="50" cm="1" t="str">
        <f t="array" ref="F58:F58">OFFSET(E58,-1,1)</f>
        <v>0</v>
      </c>
      <c r="G58" s="426"/>
      <c r="H58" s="85"/>
      <c r="I58" s="426"/>
      <c r="J58" s="1758"/>
      <c r="K58" s="124"/>
      <c r="L58" s="124"/>
      <c r="M58" s="124"/>
      <c r="N58" s="1758"/>
      <c r="O58" s="1758"/>
      <c r="P58" s="1758"/>
      <c r="Q58" s="1758"/>
      <c r="R58" s="1758"/>
      <c r="S58" s="1806"/>
      <c r="T58" s="465" cm="1" t="str">
        <f t="array" ref="T58:T58">T57</f>
        <v>false</v>
      </c>
      <c r="U58" s="1758"/>
      <c r="V58" s="1758"/>
      <c r="W58" s="1758"/>
      <c r="X58" s="1563"/>
      <c r="Y58" s="1758"/>
      <c r="Z58" s="1546"/>
      <c r="AA58" s="1758"/>
      <c r="AB58" s="300" t="str">
        <f>IF(B57,"2.12","2.10")</f>
        <v>2.10</v>
      </c>
      <c r="AC58" s="762" t="s">
        <v>2278</v>
      </c>
      <c r="AD58" s="766" t="s">
        <v>2279</v>
      </c>
      <c r="AE58" s="766" t="s">
        <v>1514</v>
      </c>
      <c r="AF58" s="4725">
        <f>AF59+AF60</f>
        <v>0</v>
      </c>
      <c r="AG58" s="4725">
        <f>AG59+AG60</f>
        <v>0</v>
      </c>
      <c r="AH58" s="1947"/>
      <c r="AI58" s="1758"/>
      <c r="AJ58" s="1758"/>
      <c r="AK58" s="1758"/>
      <c r="AL58" s="997" t="s">
        <v>2280</v>
      </c>
      <c r="AM58" s="1758"/>
      <c r="AN58" s="1758"/>
      <c r="AO58" s="1758"/>
      <c r="AP58" s="1758"/>
      <c r="AQ58" s="1758"/>
    </row>
    <row customHeight="1" ht="21.9375" hidden="1">
      <c r="A59" s="1758"/>
      <c r="B59" s="1416"/>
      <c r="C59" s="1758"/>
      <c r="D59" s="1758"/>
      <c r="E59" s="618">
        <v>22.5</v>
      </c>
      <c r="F59" s="50" cm="1" t="str">
        <f t="array" ref="F59:F59">OFFSET(E59,-1,1)</f>
        <v>0</v>
      </c>
      <c r="G59" s="426"/>
      <c r="H59" s="85"/>
      <c r="I59" s="426"/>
      <c r="J59" s="1758"/>
      <c r="K59" s="124"/>
      <c r="L59" s="124"/>
      <c r="M59" s="124"/>
      <c r="N59" s="1758"/>
      <c r="O59" s="1758"/>
      <c r="P59" s="1758"/>
      <c r="Q59" s="1758"/>
      <c r="R59" s="1758"/>
      <c r="S59" s="1806"/>
      <c r="T59" s="465" cm="1" t="str">
        <f t="array" ref="T59:T59">T58</f>
        <v>false</v>
      </c>
      <c r="U59" s="1758"/>
      <c r="V59" s="1758"/>
      <c r="W59" s="1758"/>
      <c r="X59" s="1563"/>
      <c r="Y59" s="1758"/>
      <c r="Z59" s="1546"/>
      <c r="AA59" s="1758"/>
      <c r="AB59" s="300" t="str">
        <f>AB58&amp;".1"</f>
        <v>2.10.1</v>
      </c>
      <c r="AC59" s="762" t="s">
        <v>2281</v>
      </c>
      <c r="AD59" s="766" t="s">
        <v>2279</v>
      </c>
      <c r="AE59" s="766" t="s">
        <v>1514</v>
      </c>
      <c r="AF59" s="4725"/>
      <c r="AG59" s="4725"/>
      <c r="AH59" s="1947"/>
      <c r="AI59" s="1758"/>
      <c r="AJ59" s="1758"/>
      <c r="AK59" s="1758"/>
      <c r="AL59" s="997" t="s">
        <v>2282</v>
      </c>
      <c r="AM59" s="1758"/>
      <c r="AN59" s="1758"/>
      <c r="AO59" s="1758"/>
      <c r="AP59" s="1758"/>
      <c r="AQ59" s="1758"/>
    </row>
    <row customHeight="1" ht="21.9375" hidden="1">
      <c r="A60" s="1758"/>
      <c r="B60" s="1416"/>
      <c r="C60" s="1758"/>
      <c r="D60" s="1758"/>
      <c r="E60" s="618">
        <v>22.5</v>
      </c>
      <c r="F60" s="50" cm="1" t="str">
        <f t="array" ref="F60:F60">OFFSET(E60,-1,1)</f>
        <v>0</v>
      </c>
      <c r="G60" s="426"/>
      <c r="H60" s="85"/>
      <c r="I60" s="426"/>
      <c r="J60" s="1758"/>
      <c r="K60" s="124"/>
      <c r="L60" s="124"/>
      <c r="M60" s="124"/>
      <c r="N60" s="1758"/>
      <c r="O60" s="1758"/>
      <c r="P60" s="1758"/>
      <c r="Q60" s="1758"/>
      <c r="R60" s="1758"/>
      <c r="S60" s="1806"/>
      <c r="T60" s="465" cm="1" t="str">
        <f t="array" ref="T60:T60">T59</f>
        <v>false</v>
      </c>
      <c r="U60" s="1758"/>
      <c r="V60" s="1758"/>
      <c r="W60" s="1758"/>
      <c r="X60" s="1563"/>
      <c r="Y60" s="1758"/>
      <c r="Z60" s="1546"/>
      <c r="AA60" s="1758"/>
      <c r="AB60" s="300" t="str">
        <f>AB58&amp;".2"</f>
        <v>2.10.2</v>
      </c>
      <c r="AC60" s="762" t="s">
        <v>2283</v>
      </c>
      <c r="AD60" s="766" t="s">
        <v>2279</v>
      </c>
      <c r="AE60" s="766" t="s">
        <v>1514</v>
      </c>
      <c r="AF60" s="4725"/>
      <c r="AG60" s="4725"/>
      <c r="AH60" s="1947"/>
      <c r="AI60" s="1758"/>
      <c r="AJ60" s="1758"/>
      <c r="AK60" s="1758"/>
      <c r="AL60" s="997" t="s">
        <v>2284</v>
      </c>
      <c r="AM60" s="1758"/>
      <c r="AN60" s="1758"/>
      <c r="AO60" s="1758"/>
      <c r="AP60" s="1758"/>
      <c r="AQ60" s="1758"/>
    </row>
    <row customHeight="1" ht="14.625" hidden="1">
      <c r="A61" s="1758"/>
      <c r="B61" s="1416"/>
      <c r="C61" s="1758"/>
      <c r="D61" s="1758"/>
      <c r="E61" s="618">
        <v>15</v>
      </c>
      <c r="F61" s="50" cm="1" t="str">
        <f t="array" ref="F61:F61">OFFSET(E61,-1,1)</f>
        <v>0</v>
      </c>
      <c r="G61" s="426"/>
      <c r="H61" s="85"/>
      <c r="I61" s="426"/>
      <c r="J61" s="1758"/>
      <c r="K61" s="124"/>
      <c r="L61" s="124"/>
      <c r="M61" s="124"/>
      <c r="N61" s="1758"/>
      <c r="O61" s="1758"/>
      <c r="P61" s="1758"/>
      <c r="Q61" s="1758"/>
      <c r="R61" s="1758"/>
      <c r="S61" s="1806"/>
      <c r="T61" s="465" cm="1" t="str">
        <f t="array" ref="T61:T61">T60</f>
        <v>false</v>
      </c>
      <c r="U61" s="1758"/>
      <c r="V61" s="1758"/>
      <c r="W61" s="1758"/>
      <c r="X61" s="1563"/>
      <c r="Y61" s="1758"/>
      <c r="Z61" s="1546"/>
      <c r="AA61" s="1758"/>
      <c r="AB61" s="300" t="str">
        <f>IF(B57,"2.13","2.11")</f>
        <v>2.11</v>
      </c>
      <c r="AC61" s="762" t="s">
        <v>2285</v>
      </c>
      <c r="AD61" s="766" t="s">
        <v>2279</v>
      </c>
      <c r="AE61" s="766" t="s">
        <v>1514</v>
      </c>
      <c r="AF61" s="4725"/>
      <c r="AG61" s="4725"/>
      <c r="AH61" s="1947"/>
      <c r="AI61" s="1758"/>
      <c r="AJ61" s="1758"/>
      <c r="AK61" s="1758"/>
      <c r="AL61" s="997" t="s">
        <v>2286</v>
      </c>
      <c r="AM61" s="1758"/>
      <c r="AN61" s="1758"/>
      <c r="AO61" s="1758"/>
      <c r="AP61" s="1758"/>
      <c r="AQ61" s="1758"/>
    </row>
    <row customHeight="1" ht="14.625" hidden="1">
      <c r="A62" s="1758"/>
      <c r="B62" s="1416"/>
      <c r="C62" s="1758"/>
      <c r="D62" s="1758"/>
      <c r="E62" s="618">
        <v>15</v>
      </c>
      <c r="F62" s="50" cm="1" t="str">
        <f t="array" ref="F62:F62">OFFSET(E62,-1,1)</f>
        <v>0</v>
      </c>
      <c r="G62" s="426"/>
      <c r="H62" s="85"/>
      <c r="I62" s="426"/>
      <c r="J62" s="1758"/>
      <c r="K62" s="124"/>
      <c r="L62" s="124"/>
      <c r="M62" s="124"/>
      <c r="N62" s="1758"/>
      <c r="O62" s="1758"/>
      <c r="P62" s="1758"/>
      <c r="Q62" s="1758"/>
      <c r="R62" s="1758"/>
      <c r="S62" s="1806"/>
      <c r="T62" s="465" cm="1" t="str">
        <f t="array" ref="T62:T62">T61</f>
        <v>false</v>
      </c>
      <c r="U62" s="1758"/>
      <c r="V62" s="1758"/>
      <c r="W62" s="1758"/>
      <c r="X62" s="1563"/>
      <c r="Y62" s="1758"/>
      <c r="Z62" s="1546"/>
      <c r="AA62" s="1758"/>
      <c r="AB62" s="300" t="str">
        <f>IF(B57,"2.14","2.12")</f>
        <v>2.12</v>
      </c>
      <c r="AC62" s="762" t="s">
        <v>2287</v>
      </c>
      <c r="AD62" s="766" t="s">
        <v>2279</v>
      </c>
      <c r="AE62" s="766" t="s">
        <v>1514</v>
      </c>
      <c r="AF62" s="4725"/>
      <c r="AG62" s="4725"/>
      <c r="AH62" s="1947"/>
      <c r="AI62" s="1758"/>
      <c r="AJ62" s="1758"/>
      <c r="AK62" s="1758"/>
      <c r="AL62" s="997" t="s">
        <v>2288</v>
      </c>
      <c r="AM62" s="1758"/>
      <c r="AN62" s="1758"/>
      <c r="AO62" s="1758"/>
      <c r="AP62" s="1758"/>
      <c r="AQ62" s="1758"/>
    </row>
    <row s="698" customFormat="1" customHeight="1" ht="21.9375" hidden="1">
      <c r="A63" s="698"/>
      <c r="B63" s="431"/>
      <c r="C63" s="698"/>
      <c r="D63" s="698"/>
      <c r="E63" s="691">
        <v>22.5</v>
      </c>
      <c r="F63" s="50" cm="1" t="str">
        <f t="array" ref="F63:F63">OFFSET(E63,-1,1)</f>
        <v>0</v>
      </c>
      <c r="G63" s="147"/>
      <c r="H63" s="147"/>
      <c r="I63" s="426" t="s">
        <v>333</v>
      </c>
      <c r="J63" s="698"/>
      <c r="K63" s="497"/>
      <c r="L63" s="497"/>
      <c r="M63" s="497"/>
      <c r="N63" s="698"/>
      <c r="O63" s="698"/>
      <c r="P63" s="698"/>
      <c r="Q63" s="698"/>
      <c r="R63" s="698"/>
      <c r="S63" s="698"/>
      <c r="T63" s="465" cm="1" t="str">
        <f t="array" ref="T63:T63">T62</f>
        <v>false</v>
      </c>
      <c r="U63" s="698"/>
      <c r="V63" s="698"/>
      <c r="W63" s="698"/>
      <c r="X63" s="1563"/>
      <c r="Y63" s="698"/>
      <c r="Z63" s="1546"/>
      <c r="AA63" s="698"/>
      <c r="AB63" s="211" t="s">
        <v>2289</v>
      </c>
      <c r="AC63" s="212" t="s">
        <v>2290</v>
      </c>
      <c r="AD63" s="211" t="s">
        <v>2152</v>
      </c>
      <c r="AE63" s="234" t="s">
        <v>1514</v>
      </c>
      <c r="AF63" s="844" cm="1" t="str">
        <f t="array" ref="AF63:AF63">AF64</f>
        <v>0</v>
      </c>
      <c r="AG63" s="844" cm="1" t="str">
        <f t="array" ref="AG63:AG63">AG64</f>
        <v>0</v>
      </c>
      <c r="AH63" s="5198"/>
      <c r="AI63" s="698"/>
      <c r="AJ63" s="698"/>
      <c r="AK63" s="698"/>
      <c r="AL63" s="1051" t="s">
        <v>2291</v>
      </c>
      <c r="AM63" s="698"/>
      <c r="AN63" s="698"/>
      <c r="AO63" s="698"/>
      <c r="AP63" s="698"/>
      <c r="AQ63" s="698"/>
    </row>
    <row customHeight="1" ht="32.90625" hidden="1">
      <c r="A64" s="1758"/>
      <c r="B64" s="1416"/>
      <c r="C64" s="1758"/>
      <c r="D64" s="1758"/>
      <c r="E64" s="618">
        <v>33.75</v>
      </c>
      <c r="F64" s="50" cm="1" t="str">
        <f t="array" ref="F64:F64">OFFSET(E64,-1,1)</f>
        <v>0</v>
      </c>
      <c r="G64" s="426"/>
      <c r="H64" s="85"/>
      <c r="I64" s="426" t="s">
        <v>1193</v>
      </c>
      <c r="J64" s="1758"/>
      <c r="K64" s="124"/>
      <c r="L64" s="124"/>
      <c r="M64" s="124"/>
      <c r="N64" s="1758"/>
      <c r="O64" s="1758"/>
      <c r="P64" s="1758"/>
      <c r="Q64" s="1758"/>
      <c r="R64" s="1758"/>
      <c r="S64" s="1806"/>
      <c r="T64" s="465" cm="1" t="str">
        <f t="array" ref="T64:T64">T63</f>
        <v>false</v>
      </c>
      <c r="U64" s="1758"/>
      <c r="V64" s="1758"/>
      <c r="W64" s="1758"/>
      <c r="X64" s="1563"/>
      <c r="Y64" s="1758"/>
      <c r="Z64" s="1546"/>
      <c r="AA64" s="1758"/>
      <c r="AB64" s="299" t="s">
        <v>276</v>
      </c>
      <c r="AC64" s="452" t="s">
        <v>2292</v>
      </c>
      <c r="AD64" s="300" t="s">
        <v>2293</v>
      </c>
      <c r="AE64" s="766" t="s">
        <v>1514</v>
      </c>
      <c r="AF64" s="934">
        <f>AF65+AF66</f>
        <v>0</v>
      </c>
      <c r="AG64" s="934">
        <f>AG65+AG66</f>
        <v>0</v>
      </c>
      <c r="AH64" s="1947"/>
      <c r="AI64" s="1758"/>
      <c r="AJ64" s="1758"/>
      <c r="AK64" s="1758"/>
      <c r="AL64" s="997" t="s">
        <v>2294</v>
      </c>
      <c r="AM64" s="1758"/>
      <c r="AN64" s="1758"/>
      <c r="AO64" s="1758"/>
      <c r="AP64" s="1758"/>
      <c r="AQ64" s="1758"/>
    </row>
    <row customHeight="1" ht="43.875" hidden="1">
      <c r="A65" s="1758"/>
      <c r="B65" s="1416"/>
      <c r="C65" s="1758"/>
      <c r="D65" s="1758"/>
      <c r="E65" s="618">
        <v>45</v>
      </c>
      <c r="F65" s="50" cm="1" t="str">
        <f t="array" ref="F65:F65">OFFSET(E65,-1,1)</f>
        <v>0</v>
      </c>
      <c r="G65" s="426"/>
      <c r="H65" s="85"/>
      <c r="I65" s="426" t="s">
        <v>2295</v>
      </c>
      <c r="J65" s="1758"/>
      <c r="K65" s="124"/>
      <c r="L65" s="124"/>
      <c r="M65" s="124"/>
      <c r="N65" s="1758"/>
      <c r="O65" s="1758"/>
      <c r="P65" s="1758"/>
      <c r="Q65" s="1758"/>
      <c r="R65" s="1758"/>
      <c r="S65" s="1806"/>
      <c r="T65" s="465" cm="1" t="str">
        <f t="array" ref="T65:T65">T64</f>
        <v>false</v>
      </c>
      <c r="U65" s="1758"/>
      <c r="V65" s="1758"/>
      <c r="W65" s="1758"/>
      <c r="X65" s="1563"/>
      <c r="Y65" s="1758"/>
      <c r="Z65" s="1546"/>
      <c r="AA65" s="1758"/>
      <c r="AB65" s="299" t="s">
        <v>1628</v>
      </c>
      <c r="AC65" s="762" t="s">
        <v>2296</v>
      </c>
      <c r="AD65" s="300" t="s">
        <v>2297</v>
      </c>
      <c r="AE65" s="766" t="s">
        <v>1514</v>
      </c>
      <c r="AF65" s="4725"/>
      <c r="AG65" s="4725"/>
      <c r="AH65" s="1947"/>
      <c r="AI65" s="1758"/>
      <c r="AJ65" s="1758"/>
      <c r="AK65" s="1758"/>
      <c r="AL65" s="997" t="s">
        <v>2298</v>
      </c>
      <c r="AM65" s="1758"/>
      <c r="AN65" s="1758"/>
      <c r="AO65" s="1758"/>
      <c r="AP65" s="1758"/>
      <c r="AQ65" s="1758"/>
    </row>
    <row customHeight="1" ht="32.90625" hidden="1">
      <c r="A66" s="1758"/>
      <c r="B66" s="1416"/>
      <c r="C66" s="1758"/>
      <c r="D66" s="1758"/>
      <c r="E66" s="618">
        <v>33.75</v>
      </c>
      <c r="F66" s="50" cm="1" t="str">
        <f t="array" ref="F66:F66">OFFSET(E66,-1,1)</f>
        <v>0</v>
      </c>
      <c r="G66" s="426"/>
      <c r="H66" s="85"/>
      <c r="I66" s="426" t="s">
        <v>2299</v>
      </c>
      <c r="J66" s="1758"/>
      <c r="K66" s="124"/>
      <c r="L66" s="124"/>
      <c r="M66" s="124"/>
      <c r="N66" s="1758"/>
      <c r="O66" s="1758"/>
      <c r="P66" s="1758"/>
      <c r="Q66" s="1758"/>
      <c r="R66" s="1758"/>
      <c r="S66" s="1806"/>
      <c r="T66" s="465" cm="1" t="str">
        <f t="array" ref="T66:T66">T65</f>
        <v>false</v>
      </c>
      <c r="U66" s="1758"/>
      <c r="V66" s="1758"/>
      <c r="W66" s="1758"/>
      <c r="X66" s="1563"/>
      <c r="Y66" s="1758"/>
      <c r="Z66" s="1546"/>
      <c r="AA66" s="1758"/>
      <c r="AB66" s="299" t="s">
        <v>1631</v>
      </c>
      <c r="AC66" s="762" t="s">
        <v>2300</v>
      </c>
      <c r="AD66" s="300" t="s">
        <v>2301</v>
      </c>
      <c r="AE66" s="766" t="s">
        <v>1514</v>
      </c>
      <c r="AF66" s="4725"/>
      <c r="AG66" s="4725"/>
      <c r="AH66" s="1947"/>
      <c r="AI66" s="1758"/>
      <c r="AJ66" s="1758"/>
      <c r="AK66" s="1758"/>
      <c r="AL66" s="997" t="s">
        <v>2302</v>
      </c>
      <c r="AM66" s="1758"/>
      <c r="AN66" s="1758"/>
      <c r="AO66" s="1758"/>
      <c r="AP66" s="1758"/>
      <c r="AQ66" s="1758"/>
    </row>
    <row customHeight="1" ht="34.125" hidden="1">
      <c r="A67" s="1758"/>
      <c r="B67" s="1416"/>
      <c r="C67" s="1758"/>
      <c r="D67" s="1758"/>
      <c r="E67" s="618">
        <v>35</v>
      </c>
      <c r="F67" s="50" cm="1" t="str">
        <f t="array" ref="F67:F67">OFFSET(E67,-1,1)</f>
        <v>0</v>
      </c>
      <c r="G67" s="426"/>
      <c r="H67" s="85"/>
      <c r="I67" s="426" t="s">
        <v>334</v>
      </c>
      <c r="J67" s="1758"/>
      <c r="K67" s="124" t="str">
        <f>F67&amp;"1komm"</f>
        <v>01komm</v>
      </c>
      <c r="L67" s="919" cm="1" t="str">
        <f t="array" ref="L67:L67">AH67</f>
        <v>0</v>
      </c>
      <c r="M67" s="124"/>
      <c r="N67" s="1758"/>
      <c r="O67" s="1758"/>
      <c r="P67" s="1758"/>
      <c r="Q67" s="1758"/>
      <c r="R67" s="1758"/>
      <c r="S67" s="1806"/>
      <c r="T67" s="465" cm="1" t="str">
        <f t="array" ref="T67:T67">T66</f>
        <v>false</v>
      </c>
      <c r="U67" s="1758"/>
      <c r="V67" s="1758"/>
      <c r="W67" s="1758"/>
      <c r="X67" s="1563"/>
      <c r="Y67" s="1758"/>
      <c r="Z67" s="1546"/>
      <c r="AA67" s="1758"/>
      <c r="AB67" s="234" t="s">
        <v>2303</v>
      </c>
      <c r="AC67" s="212" t="s">
        <v>2304</v>
      </c>
      <c r="AD67" s="211" t="s">
        <v>2305</v>
      </c>
      <c r="AE67" s="234" t="s">
        <v>1514</v>
      </c>
      <c r="AF67" s="5199"/>
      <c r="AG67" s="5199"/>
      <c r="AH67" s="1947"/>
      <c r="AI67" s="1758"/>
      <c r="AJ67" s="1758"/>
      <c r="AK67" s="1758"/>
      <c r="AL67" s="997" t="s">
        <v>2306</v>
      </c>
      <c r="AM67" s="1758"/>
      <c r="AN67" s="1758"/>
      <c r="AO67" s="1758"/>
      <c r="AP67" s="1758"/>
      <c r="AQ67" s="1758"/>
    </row>
    <row customHeight="1" ht="107.25" hidden="1">
      <c r="A68" s="1758"/>
      <c r="B68" s="1416"/>
      <c r="C68" s="1758"/>
      <c r="D68" s="1758"/>
      <c r="E68" s="618">
        <v>110</v>
      </c>
      <c r="F68" s="50" cm="1" t="str">
        <f t="array" ref="F68:F68">OFFSET(E68,-1,1)</f>
        <v>0</v>
      </c>
      <c r="G68" s="426"/>
      <c r="H68" s="85"/>
      <c r="I68" s="426" t="s">
        <v>336</v>
      </c>
      <c r="J68" s="1758"/>
      <c r="K68" s="124" t="str">
        <f>F68&amp;"2komm"</f>
        <v>02komm</v>
      </c>
      <c r="L68" s="919" cm="1" t="str">
        <f t="array" ref="L68:L68">AH68</f>
        <v>0</v>
      </c>
      <c r="M68" s="124"/>
      <c r="N68" s="1758"/>
      <c r="O68" s="1758"/>
      <c r="P68" s="1758"/>
      <c r="Q68" s="1758"/>
      <c r="R68" s="1758"/>
      <c r="S68" s="1806"/>
      <c r="T68" s="465" cm="1" t="str">
        <f t="array" ref="T68:T68">T67</f>
        <v>false</v>
      </c>
      <c r="U68" s="1758"/>
      <c r="V68" s="1758"/>
      <c r="W68" s="1758"/>
      <c r="X68" s="1563"/>
      <c r="Y68" s="1758"/>
      <c r="Z68" s="1546"/>
      <c r="AA68" s="1758"/>
      <c r="AB68" s="234" t="s">
        <v>2307</v>
      </c>
      <c r="AC68" s="212" t="s">
        <v>2308</v>
      </c>
      <c r="AD68" s="211" t="s">
        <v>2309</v>
      </c>
      <c r="AE68" s="234" t="s">
        <v>1514</v>
      </c>
      <c r="AF68" s="5199"/>
      <c r="AG68" s="5199"/>
      <c r="AH68" s="1947"/>
      <c r="AI68" s="1758"/>
      <c r="AJ68" s="1758"/>
      <c r="AK68" s="1758"/>
      <c r="AL68" s="997" t="s">
        <v>1745</v>
      </c>
      <c r="AM68" s="1758"/>
      <c r="AN68" s="1758"/>
      <c r="AO68" s="1758"/>
      <c r="AP68" s="1758"/>
      <c r="AQ68" s="1758"/>
    </row>
    <row customHeight="1" ht="76.78125" hidden="1">
      <c r="A69" s="1758"/>
      <c r="B69" s="428">
        <f>S27="Водоотведение"</f>
        <v>0</v>
      </c>
      <c r="C69" s="1758"/>
      <c r="D69" s="1758"/>
      <c r="E69" s="618">
        <v>78.75</v>
      </c>
      <c r="F69" s="50" cm="1" t="str">
        <f t="array" ref="F69:F69">OFFSET(E69,-1,1)</f>
        <v>0</v>
      </c>
      <c r="G69" s="1021"/>
      <c r="H69" s="49"/>
      <c r="I69" s="122" t="s">
        <v>335</v>
      </c>
      <c r="J69" s="1758"/>
      <c r="K69" s="124" t="str">
        <f>F69&amp;"3komm"</f>
        <v>03komm</v>
      </c>
      <c r="L69" s="919" cm="1" t="str">
        <f t="array" ref="L69:L69">AH69</f>
        <v>0</v>
      </c>
      <c r="M69" s="124"/>
      <c r="N69" s="1758"/>
      <c r="O69" s="1758"/>
      <c r="P69" s="1758"/>
      <c r="Q69" s="1758"/>
      <c r="R69" s="1758"/>
      <c r="S69" s="1806"/>
      <c r="T69" s="465" cm="1" t="str">
        <f t="array" ref="T69:T69">T68</f>
        <v>false</v>
      </c>
      <c r="U69" s="1758"/>
      <c r="V69" s="1758"/>
      <c r="W69" s="1758"/>
      <c r="X69" s="1563"/>
      <c r="Y69" s="1758"/>
      <c r="Z69" s="1546"/>
      <c r="AA69" s="1758"/>
      <c r="AB69" s="234" t="s">
        <v>2310</v>
      </c>
      <c r="AC69" s="212" t="s">
        <v>2311</v>
      </c>
      <c r="AD69" s="211"/>
      <c r="AE69" s="234" t="s">
        <v>1514</v>
      </c>
      <c r="AF69" s="5199"/>
      <c r="AG69" s="3658">
        <f>_xlfn.IFERROR(_xlfn.SUMIFS('Плата за негативное возд'!$AL$24:$AL$41,'Плата за негативное возд'!$F$24:$F$41,F69,'Плата за негативное возд'!$AB$24:$AB$41,"1"),0)</f>
        <v>0</v>
      </c>
      <c r="AH69" s="1947"/>
      <c r="AI69" s="1758"/>
      <c r="AJ69" s="1758"/>
      <c r="AK69" s="1758"/>
      <c r="AL69" s="997" t="s">
        <v>2312</v>
      </c>
      <c r="AM69" s="1758"/>
      <c r="AN69" s="1758"/>
      <c r="AO69" s="1758"/>
      <c r="AP69" s="1758"/>
      <c r="AQ69" s="1758"/>
    </row>
    <row customHeight="1" ht="54.84375" hidden="1">
      <c r="A70" s="1758"/>
      <c r="B70" s="428" cm="1" t="str">
        <f t="array" ref="B70:B70">B69</f>
        <v>false</v>
      </c>
      <c r="C70" s="1758"/>
      <c r="D70" s="1758"/>
      <c r="E70" s="618">
        <v>56.25</v>
      </c>
      <c r="F70" s="50" cm="1" t="str">
        <f t="array" ref="F70:F70">OFFSET(E70,-1,1)</f>
        <v>0</v>
      </c>
      <c r="G70" s="1021"/>
      <c r="H70" s="49"/>
      <c r="I70" s="122" t="s">
        <v>1225</v>
      </c>
      <c r="J70" s="1758"/>
      <c r="K70" s="124" t="str">
        <f>F70&amp;"4komm"</f>
        <v>04komm</v>
      </c>
      <c r="L70" s="919" cm="1" t="str">
        <f t="array" ref="L70:L70">AH70</f>
        <v>0</v>
      </c>
      <c r="M70" s="124"/>
      <c r="N70" s="1758"/>
      <c r="O70" s="1758"/>
      <c r="P70" s="1758"/>
      <c r="Q70" s="1758"/>
      <c r="R70" s="1758"/>
      <c r="S70" s="1806"/>
      <c r="T70" s="465" cm="1" t="str">
        <f t="array" ref="T70:T70">T69</f>
        <v>false</v>
      </c>
      <c r="U70" s="1758"/>
      <c r="V70" s="1758"/>
      <c r="W70" s="1758"/>
      <c r="X70" s="1563"/>
      <c r="Y70" s="1758"/>
      <c r="Z70" s="1546"/>
      <c r="AA70" s="1758"/>
      <c r="AB70" s="234" t="s">
        <v>2313</v>
      </c>
      <c r="AC70" s="212" t="s">
        <v>2314</v>
      </c>
      <c r="AD70" s="211"/>
      <c r="AE70" s="234" t="s">
        <v>1514</v>
      </c>
      <c r="AF70" s="5199"/>
      <c r="AG70" s="3658">
        <f>_xlfn.IFERROR(_xlfn.SUMIFS('Плата за негативное возд'!$AL$24:$AL$41,'Плата за негативное возд'!$F$24:$F$41,F70,'Плата за негативное возд'!$AB$24:$AB$41,"2"),0)</f>
        <v>0</v>
      </c>
      <c r="AH70" s="1947"/>
      <c r="AI70" s="1758"/>
      <c r="AJ70" s="1758"/>
      <c r="AK70" s="1758"/>
      <c r="AL70" s="997" t="s">
        <v>2315</v>
      </c>
      <c r="AM70" s="1758"/>
      <c r="AN70" s="1758"/>
      <c r="AO70" s="1758"/>
      <c r="AP70" s="1758"/>
      <c r="AQ70" s="1758"/>
    </row>
    <row customHeight="1" ht="14.625" hidden="1">
      <c r="A71" s="1758"/>
      <c r="B71" s="1416"/>
      <c r="C71" s="1758"/>
      <c r="D71" s="1758"/>
      <c r="E71" s="618">
        <v>15</v>
      </c>
      <c r="F71" s="50" cm="1" t="str">
        <f t="array" ref="F71:F71">OFFSET(E71,-1,1)</f>
        <v>0</v>
      </c>
      <c r="G71" s="1021"/>
      <c r="H71" s="85"/>
      <c r="I71" s="122" t="s">
        <v>1228</v>
      </c>
      <c r="J71" s="1758"/>
      <c r="K71" s="124" t="str">
        <f>F71&amp;"5komm"</f>
        <v>05komm</v>
      </c>
      <c r="L71" s="919" cm="1" t="str">
        <f t="array" ref="L71:L71">AH71</f>
        <v>0</v>
      </c>
      <c r="M71" s="124"/>
      <c r="N71" s="1758"/>
      <c r="O71" s="1758"/>
      <c r="P71" s="1758"/>
      <c r="Q71" s="1758"/>
      <c r="R71" s="1758"/>
      <c r="S71" s="1806"/>
      <c r="T71" s="465" cm="1" t="str">
        <f t="array" ref="T71:T71">T70</f>
        <v>false</v>
      </c>
      <c r="U71" s="1758"/>
      <c r="V71" s="1758"/>
      <c r="W71" s="1758"/>
      <c r="X71" s="1563"/>
      <c r="Y71" s="1758"/>
      <c r="Z71" s="1546"/>
      <c r="AA71" s="1758"/>
      <c r="AB71" s="234" t="str">
        <f>IF(B70,"VII","V")</f>
        <v>V</v>
      </c>
      <c r="AC71" s="212" t="s">
        <v>2316</v>
      </c>
      <c r="AD71" s="211"/>
      <c r="AE71" s="234" t="s">
        <v>1514</v>
      </c>
      <c r="AF71" s="5199"/>
      <c r="AG71" s="5199"/>
      <c r="AH71" s="1947"/>
      <c r="AI71" s="1758"/>
      <c r="AJ71" s="1758"/>
      <c r="AK71" s="1758"/>
      <c r="AL71" s="997" t="s">
        <v>2317</v>
      </c>
      <c r="AM71" s="1758"/>
      <c r="AN71" s="1758"/>
      <c r="AO71" s="1758"/>
      <c r="AP71" s="1758"/>
      <c r="AQ71" s="1758"/>
    </row>
    <row s="698" customFormat="1" customHeight="1" ht="14.625" hidden="1">
      <c r="A72" s="698"/>
      <c r="B72" s="431"/>
      <c r="C72" s="698"/>
      <c r="D72" s="698"/>
      <c r="E72" s="691">
        <v>15</v>
      </c>
      <c r="F72" s="50" cm="1" t="str">
        <f t="array" ref="F72:F72">OFFSET(E72,-1,1)</f>
        <v>0</v>
      </c>
      <c r="G72" s="497"/>
      <c r="H72" s="698"/>
      <c r="I72" s="241" t="s">
        <v>1275</v>
      </c>
      <c r="J72" s="698"/>
      <c r="K72" s="124" t="str">
        <f>F72&amp;"6komm"</f>
        <v>06komm</v>
      </c>
      <c r="L72" s="919" cm="1" t="str">
        <f t="array" ref="L72:L72">AH72</f>
        <v>0</v>
      </c>
      <c r="M72" s="497"/>
      <c r="N72" s="698"/>
      <c r="O72" s="698"/>
      <c r="P72" s="698"/>
      <c r="Q72" s="698"/>
      <c r="R72" s="698"/>
      <c r="S72" s="698"/>
      <c r="T72" s="465" cm="1" t="str">
        <f t="array" ref="T72:T72">T71</f>
        <v>false</v>
      </c>
      <c r="U72" s="698"/>
      <c r="V72" s="698"/>
      <c r="W72" s="698"/>
      <c r="X72" s="1563"/>
      <c r="Y72" s="698"/>
      <c r="Z72" s="1546"/>
      <c r="AA72" s="698"/>
      <c r="AB72" s="234" t="str">
        <f>IF(B70,"VIII","VI")</f>
        <v>VI</v>
      </c>
      <c r="AC72" s="212" t="s">
        <v>2278</v>
      </c>
      <c r="AD72" s="211"/>
      <c r="AE72" s="234" t="s">
        <v>1514</v>
      </c>
      <c r="AF72" s="5199">
        <f>AF73+AF74</f>
        <v>0</v>
      </c>
      <c r="AG72" s="5199">
        <f>AG73+AG74</f>
        <v>0</v>
      </c>
      <c r="AH72" s="1947"/>
      <c r="AI72" s="698"/>
      <c r="AJ72" s="698"/>
      <c r="AK72" s="698"/>
      <c r="AL72" s="1051" t="s">
        <v>2318</v>
      </c>
      <c r="AM72" s="698"/>
      <c r="AN72" s="698"/>
      <c r="AO72" s="698"/>
      <c r="AP72" s="698"/>
      <c r="AQ72" s="698"/>
    </row>
    <row customHeight="1" ht="21.9375" hidden="1">
      <c r="A73" s="1758"/>
      <c r="B73" s="1416"/>
      <c r="C73" s="1758"/>
      <c r="D73" s="1758"/>
      <c r="E73" s="618">
        <v>22.5</v>
      </c>
      <c r="F73" s="50" cm="1" t="str">
        <f t="array" ref="F73:F73">OFFSET(E73,-1,1)</f>
        <v>0</v>
      </c>
      <c r="G73" s="1021"/>
      <c r="H73" s="85"/>
      <c r="I73" s="122" t="s">
        <v>1278</v>
      </c>
      <c r="J73" s="1758"/>
      <c r="K73" s="124" t="str">
        <f>F73&amp;"7komm"</f>
        <v>07komm</v>
      </c>
      <c r="L73" s="919" cm="1" t="str">
        <f t="array" ref="L73:L73">AH73</f>
        <v>0</v>
      </c>
      <c r="M73" s="124"/>
      <c r="N73" s="1758"/>
      <c r="O73" s="1758"/>
      <c r="P73" s="1758"/>
      <c r="Q73" s="1758"/>
      <c r="R73" s="1758"/>
      <c r="S73" s="1806"/>
      <c r="T73" s="465" cm="1" t="str">
        <f t="array" ref="T73:T73">T72</f>
        <v>false</v>
      </c>
      <c r="U73" s="1758"/>
      <c r="V73" s="1758"/>
      <c r="W73" s="1758"/>
      <c r="X73" s="1563"/>
      <c r="Y73" s="1758"/>
      <c r="Z73" s="1546"/>
      <c r="AA73" s="1758"/>
      <c r="AB73" s="766">
        <v>1</v>
      </c>
      <c r="AC73" s="762" t="s">
        <v>2281</v>
      </c>
      <c r="AD73" s="300"/>
      <c r="AE73" s="766" t="s">
        <v>1514</v>
      </c>
      <c r="AF73" s="4725"/>
      <c r="AG73" s="4725"/>
      <c r="AH73" s="1947"/>
      <c r="AI73" s="1758"/>
      <c r="AJ73" s="1758"/>
      <c r="AK73" s="1758"/>
      <c r="AL73" s="997" t="s">
        <v>2319</v>
      </c>
      <c r="AM73" s="1758"/>
      <c r="AN73" s="1758"/>
      <c r="AO73" s="1758"/>
      <c r="AP73" s="1758"/>
      <c r="AQ73" s="1758"/>
    </row>
    <row customHeight="1" ht="21.9375" hidden="1">
      <c r="A74" s="1758"/>
      <c r="B74" s="1416"/>
      <c r="C74" s="1758"/>
      <c r="D74" s="1758"/>
      <c r="E74" s="618">
        <v>22.5</v>
      </c>
      <c r="F74" s="50" cm="1" t="str">
        <f t="array" ref="F74:F74">OFFSET(E74,-1,1)</f>
        <v>0</v>
      </c>
      <c r="G74" s="1021"/>
      <c r="H74" s="85"/>
      <c r="I74" s="122" t="s">
        <v>1282</v>
      </c>
      <c r="J74" s="1758"/>
      <c r="K74" s="124" t="str">
        <f>F74&amp;"8komm"</f>
        <v>08komm</v>
      </c>
      <c r="L74" s="919" cm="1" t="str">
        <f t="array" ref="L74:L74">AH74</f>
        <v>0</v>
      </c>
      <c r="M74" s="124"/>
      <c r="N74" s="1758"/>
      <c r="O74" s="1758"/>
      <c r="P74" s="1758"/>
      <c r="Q74" s="1758"/>
      <c r="R74" s="1758"/>
      <c r="S74" s="1806"/>
      <c r="T74" s="465" cm="1" t="str">
        <f t="array" ref="T74:T74">T73</f>
        <v>false</v>
      </c>
      <c r="U74" s="1758"/>
      <c r="V74" s="1758"/>
      <c r="W74" s="1758"/>
      <c r="X74" s="1563"/>
      <c r="Y74" s="1758"/>
      <c r="Z74" s="1546"/>
      <c r="AA74" s="1758"/>
      <c r="AB74" s="766">
        <v>2</v>
      </c>
      <c r="AC74" s="762" t="s">
        <v>2283</v>
      </c>
      <c r="AD74" s="300"/>
      <c r="AE74" s="766" t="s">
        <v>1514</v>
      </c>
      <c r="AF74" s="4725"/>
      <c r="AG74" s="4725"/>
      <c r="AH74" s="1947"/>
      <c r="AI74" s="1758"/>
      <c r="AJ74" s="1758"/>
      <c r="AK74" s="1758"/>
      <c r="AL74" s="997" t="s">
        <v>2320</v>
      </c>
      <c r="AM74" s="1758"/>
      <c r="AN74" s="1758"/>
      <c r="AO74" s="1758"/>
      <c r="AP74" s="1758"/>
      <c r="AQ74" s="1758"/>
    </row>
    <row customHeight="1" ht="14.625" hidden="1">
      <c r="A75" s="1758"/>
      <c r="B75" s="1416"/>
      <c r="C75" s="1758"/>
      <c r="D75" s="1758"/>
      <c r="E75" s="618">
        <v>15</v>
      </c>
      <c r="F75" s="50" cm="1" t="str">
        <f t="array" ref="F75:F75">OFFSET(E75,-1,1)</f>
        <v>0</v>
      </c>
      <c r="G75" s="1021"/>
      <c r="H75" s="85"/>
      <c r="I75" s="122" t="s">
        <v>1290</v>
      </c>
      <c r="J75" s="1758"/>
      <c r="K75" s="124" t="str">
        <f>F75&amp;"9komm"</f>
        <v>09komm</v>
      </c>
      <c r="L75" s="919" cm="1" t="str">
        <f t="array" ref="L75:L75">AH75</f>
        <v>0</v>
      </c>
      <c r="M75" s="124"/>
      <c r="N75" s="1758"/>
      <c r="O75" s="1758"/>
      <c r="P75" s="1758"/>
      <c r="Q75" s="1758"/>
      <c r="R75" s="1758"/>
      <c r="S75" s="1806"/>
      <c r="T75" s="465" cm="1" t="str">
        <f t="array" ref="T75:T75">T74</f>
        <v>false</v>
      </c>
      <c r="U75" s="1758"/>
      <c r="V75" s="1758"/>
      <c r="W75" s="1758"/>
      <c r="X75" s="1563"/>
      <c r="Y75" s="1758"/>
      <c r="Z75" s="1546"/>
      <c r="AA75" s="1758"/>
      <c r="AB75" s="234" t="str">
        <f>IF(B70,"IX","VIII")</f>
        <v>VIII</v>
      </c>
      <c r="AC75" s="212" t="s">
        <v>2285</v>
      </c>
      <c r="AD75" s="211"/>
      <c r="AE75" s="234" t="s">
        <v>1514</v>
      </c>
      <c r="AF75" s="5199"/>
      <c r="AG75" s="5199"/>
      <c r="AH75" s="1947"/>
      <c r="AI75" s="1758"/>
      <c r="AJ75" s="1758"/>
      <c r="AK75" s="1758"/>
      <c r="AL75" s="997" t="s">
        <v>2321</v>
      </c>
      <c r="AM75" s="1758"/>
      <c r="AN75" s="1758"/>
      <c r="AO75" s="1758"/>
      <c r="AP75" s="1758"/>
      <c r="AQ75" s="1758"/>
    </row>
    <row customHeight="1" ht="14.625" hidden="1">
      <c r="A76" s="1758"/>
      <c r="B76" s="1416"/>
      <c r="C76" s="1758"/>
      <c r="D76" s="1758"/>
      <c r="E76" s="618">
        <v>15</v>
      </c>
      <c r="F76" s="50" cm="1" t="str">
        <f t="array" ref="F76:F76">OFFSET(E76,-1,1)</f>
        <v>0</v>
      </c>
      <c r="G76" s="1021"/>
      <c r="H76" s="85"/>
      <c r="I76" s="122" t="s">
        <v>1297</v>
      </c>
      <c r="J76" s="1758"/>
      <c r="K76" s="124" t="str">
        <f>F76&amp;"10komm"</f>
        <v>010komm</v>
      </c>
      <c r="L76" s="919" cm="1" t="str">
        <f t="array" ref="L76:L76">AH76</f>
        <v>0</v>
      </c>
      <c r="M76" s="124"/>
      <c r="N76" s="1758"/>
      <c r="O76" s="1758"/>
      <c r="P76" s="1758"/>
      <c r="Q76" s="1758"/>
      <c r="R76" s="1758"/>
      <c r="S76" s="1806"/>
      <c r="T76" s="465" cm="1" t="str">
        <f t="array" ref="T76:T76">T75</f>
        <v>false</v>
      </c>
      <c r="U76" s="1758"/>
      <c r="V76" s="1758"/>
      <c r="W76" s="1758"/>
      <c r="X76" s="1563"/>
      <c r="Y76" s="1758"/>
      <c r="Z76" s="1546"/>
      <c r="AA76" s="1758"/>
      <c r="AB76" s="234" t="str">
        <f>IF(B70,"X","IX")</f>
        <v>IX</v>
      </c>
      <c r="AC76" s="212" t="s">
        <v>2287</v>
      </c>
      <c r="AD76" s="211"/>
      <c r="AE76" s="234" t="s">
        <v>1514</v>
      </c>
      <c r="AF76" s="5199"/>
      <c r="AG76" s="5199"/>
      <c r="AH76" s="1947"/>
      <c r="AI76" s="1758"/>
      <c r="AJ76" s="1758"/>
      <c r="AK76" s="1758"/>
      <c r="AL76" s="997" t="s">
        <v>2322</v>
      </c>
      <c r="AM76" s="1758"/>
      <c r="AN76" s="1758"/>
      <c r="AO76" s="1758"/>
      <c r="AP76" s="1758"/>
      <c r="AQ76" s="1758"/>
    </row>
    <row s="698" customFormat="1" customHeight="1" ht="14.625" hidden="1">
      <c r="A77" s="698"/>
      <c r="B77" s="431"/>
      <c r="C77" s="698"/>
      <c r="D77" s="698"/>
      <c r="E77" s="691">
        <v>15</v>
      </c>
      <c r="F77" s="50" cm="1" t="str">
        <f t="array" ref="F77:F77">OFFSET(E77,-1,1)</f>
        <v>0</v>
      </c>
      <c r="G77" s="497"/>
      <c r="H77" s="698"/>
      <c r="I77" s="241" t="s">
        <v>1454</v>
      </c>
      <c r="J77" s="698"/>
      <c r="K77" s="124" t="str">
        <f>F77&amp;"11komm"</f>
        <v>011komm</v>
      </c>
      <c r="L77" s="919" cm="1" t="str">
        <f t="array" ref="L77:L77">AH77</f>
        <v>0</v>
      </c>
      <c r="M77" s="497"/>
      <c r="N77" s="698"/>
      <c r="O77" s="698"/>
      <c r="P77" s="698"/>
      <c r="Q77" s="698"/>
      <c r="R77" s="698"/>
      <c r="S77" s="698"/>
      <c r="T77" s="465" cm="1" t="str">
        <f t="array" ref="T77:T77">T76</f>
        <v>false</v>
      </c>
      <c r="U77" s="698"/>
      <c r="V77" s="698"/>
      <c r="W77" s="698"/>
      <c r="X77" s="1563"/>
      <c r="Y77" s="698"/>
      <c r="Z77" s="1546"/>
      <c r="AA77" s="698"/>
      <c r="AB77" s="234" t="str">
        <f>IF(B70,"XI","X")</f>
        <v>X</v>
      </c>
      <c r="AC77" s="219" t="s">
        <v>2323</v>
      </c>
      <c r="AD77" s="211"/>
      <c r="AE77" s="234" t="s">
        <v>1514</v>
      </c>
      <c r="AF77" s="937">
        <f>AF28+AF63+AF67+AF68+AF69+AF70+AF71+AF72+AF75+AF76</f>
        <v>0</v>
      </c>
      <c r="AG77" s="937">
        <f>AG28+AG63+AG67+AG68+AG69+AG70+AG71+AG72+AG75+AG76</f>
        <v>0</v>
      </c>
      <c r="AH77" s="1947"/>
      <c r="AI77" s="698"/>
      <c r="AJ77" s="698"/>
      <c r="AK77" s="698"/>
      <c r="AL77" s="1051" t="s">
        <v>2324</v>
      </c>
      <c r="AM77" s="698"/>
      <c r="AN77" s="698"/>
      <c r="AO77" s="698"/>
      <c r="AP77" s="698"/>
      <c r="AQ77" s="698"/>
    </row>
    <row s="1834" customFormat="1" customHeight="1" ht="14.25">
      <c r="A78" s="1758"/>
      <c r="B78" s="1416"/>
      <c r="C78" s="1758"/>
      <c r="D78" s="1758"/>
      <c r="E78" s="618">
        <v>15</v>
      </c>
      <c r="F78" s="98" cm="1" t="str">
        <f t="array" ref="F78:F78">X78</f>
        <v>1</v>
      </c>
      <c r="G78" s="493"/>
      <c r="H78" s="85"/>
      <c r="I78" s="1758"/>
      <c r="J78" s="1758"/>
      <c r="K78" s="1758"/>
      <c r="L78" s="1758"/>
      <c r="M78" s="1758"/>
      <c r="N78" s="1758"/>
      <c r="O78" s="1758"/>
      <c r="P78" s="1758"/>
      <c r="Q78" s="1758"/>
      <c r="R78" s="1758"/>
      <c r="S78" s="1172" cm="1" t="str">
        <f t="array" ref="S78:S78">INDEX('Общие сведения'!$AE$179:$AE$250,MATCH($X78,'Общие сведения'!$Z$179:$Z$250,0))</f>
        <v>Водоснабжение</v>
      </c>
      <c r="T78" s="465">
        <f>X78&gt;0</f>
        <v>1</v>
      </c>
      <c r="U78" s="1758"/>
      <c r="V78" s="122" cm="1" t="str">
        <f t="array" ref="V78:V78">'Плата за негативное возд'!$AB$29</f>
        <v>Тариф 1 (Водоснабжение) - тариф на питьевую воду (Доп. признак не требуется)</v>
      </c>
      <c r="W78" s="1758"/>
      <c r="X78" s="1563" t="s">
        <v>276</v>
      </c>
      <c r="Y78" s="1758"/>
      <c r="Z78" s="1546"/>
      <c r="AA78" s="1758"/>
      <c r="AB78" s="381" cm="1" t="str">
        <f t="array" ref="AB78:AB78">'Плата за негативное возд'!$AB$29</f>
        <v>Тариф 1 (Водоснабжение) - тариф на питьевую воду (Доп. признак не требуется)</v>
      </c>
      <c r="AC78" s="381"/>
      <c r="AD78" s="381"/>
      <c r="AE78" s="381"/>
      <c r="AF78" s="381"/>
      <c r="AG78" s="381"/>
      <c r="AH78" s="381"/>
      <c r="AI78" s="1758"/>
      <c r="AJ78" s="1758"/>
      <c r="AK78" s="1758"/>
      <c r="AL78" s="1764"/>
      <c r="AM78" s="1758"/>
      <c r="AN78" s="1758"/>
      <c r="AO78" s="1758"/>
      <c r="AP78" s="1758"/>
      <c r="AQ78" s="1758"/>
    </row>
    <row s="1469" customFormat="1" customHeight="1" ht="43.5">
      <c r="A79" s="698"/>
      <c r="B79" s="431"/>
      <c r="C79" s="698"/>
      <c r="D79" s="698"/>
      <c r="E79" s="691">
        <v>45</v>
      </c>
      <c r="F79" s="50" cm="1" t="str">
        <f t="array" ref="F79:F79">OFFSET(E79,-1,1)</f>
        <v>1</v>
      </c>
      <c r="G79" s="497"/>
      <c r="H79" s="698"/>
      <c r="I79" s="122" t="s">
        <v>332</v>
      </c>
      <c r="J79" s="698"/>
      <c r="K79" s="124"/>
      <c r="L79" s="924"/>
      <c r="M79" s="497"/>
      <c r="N79" s="698"/>
      <c r="O79" s="698"/>
      <c r="P79" s="698"/>
      <c r="Q79" s="698"/>
      <c r="R79" s="698"/>
      <c r="S79" s="698"/>
      <c r="T79" s="465" cm="1" t="str">
        <f t="array" ref="T79:T79">T78</f>
        <v>true</v>
      </c>
      <c r="U79" s="698"/>
      <c r="V79" s="698"/>
      <c r="W79" s="698"/>
      <c r="X79" s="1563"/>
      <c r="Y79" s="698"/>
      <c r="Z79" s="1546"/>
      <c r="AA79" s="698"/>
      <c r="AB79" s="841" t="s">
        <v>2150</v>
      </c>
      <c r="AC79" s="842" t="s">
        <v>2151</v>
      </c>
      <c r="AD79" s="841" t="s">
        <v>2152</v>
      </c>
      <c r="AE79" s="843" t="s">
        <v>1514</v>
      </c>
      <c r="AF79" s="844">
        <f>AF81-AF80</f>
        <v>0</v>
      </c>
      <c r="AG79" s="844">
        <f>AG81-AG80</f>
        <v>0</v>
      </c>
      <c r="AH79" s="845"/>
      <c r="AI79" s="698"/>
      <c r="AJ79" s="698"/>
      <c r="AK79" s="698"/>
      <c r="AL79" s="1051" t="s">
        <v>2153</v>
      </c>
      <c r="AM79" s="698"/>
      <c r="AN79" s="698"/>
      <c r="AO79" s="698"/>
      <c r="AP79" s="698"/>
      <c r="AQ79" s="698"/>
    </row>
    <row s="1469" customFormat="1" customHeight="1" ht="14.25">
      <c r="A80" s="698"/>
      <c r="B80" s="431"/>
      <c r="C80" s="698"/>
      <c r="D80" s="698"/>
      <c r="E80" s="691">
        <v>15</v>
      </c>
      <c r="F80" s="50" cm="1" t="str">
        <f t="array" ref="F80:F80">OFFSET(E80,-1,1)</f>
        <v>1</v>
      </c>
      <c r="G80" s="497"/>
      <c r="H80" s="698"/>
      <c r="I80" s="122" t="s">
        <v>1175</v>
      </c>
      <c r="J80" s="698"/>
      <c r="K80" s="497"/>
      <c r="L80" s="497"/>
      <c r="M80" s="497"/>
      <c r="N80" s="698"/>
      <c r="O80" s="698"/>
      <c r="P80" s="698"/>
      <c r="Q80" s="698"/>
      <c r="R80" s="698"/>
      <c r="S80" s="698"/>
      <c r="T80" s="465" cm="1" t="str">
        <f t="array" ref="T80:T80">T79</f>
        <v>true</v>
      </c>
      <c r="U80" s="698"/>
      <c r="V80" s="698"/>
      <c r="W80" s="698"/>
      <c r="X80" s="1563"/>
      <c r="Y80" s="698"/>
      <c r="Z80" s="1546"/>
      <c r="AA80" s="698"/>
      <c r="AB80" s="218" t="s">
        <v>276</v>
      </c>
      <c r="AC80" s="219" t="s">
        <v>2154</v>
      </c>
      <c r="AD80" s="211" t="s">
        <v>2155</v>
      </c>
      <c r="AE80" s="234" t="s">
        <v>1514</v>
      </c>
      <c r="AF80" s="382"/>
      <c r="AG80" s="382"/>
      <c r="AH80" s="845"/>
      <c r="AI80" s="698"/>
      <c r="AJ80" s="698"/>
      <c r="AK80" s="698"/>
      <c r="AL80" s="1051" t="s">
        <v>2156</v>
      </c>
      <c r="AM80" s="698"/>
      <c r="AN80" s="698"/>
      <c r="AO80" s="698"/>
      <c r="AP80" s="698"/>
      <c r="AQ80" s="698"/>
    </row>
    <row s="1469" customFormat="1" customHeight="1" ht="14.25">
      <c r="A81" s="698"/>
      <c r="B81" s="431"/>
      <c r="C81" s="698"/>
      <c r="D81" s="698"/>
      <c r="E81" s="691">
        <v>15</v>
      </c>
      <c r="F81" s="50" cm="1" t="str">
        <f t="array" ref="F81:F81">OFFSET(E81,-1,1)</f>
        <v>1</v>
      </c>
      <c r="G81" s="147"/>
      <c r="H81" s="147"/>
      <c r="I81" s="426" t="s">
        <v>1179</v>
      </c>
      <c r="J81" s="698"/>
      <c r="K81" s="497"/>
      <c r="L81" s="497"/>
      <c r="M81" s="497"/>
      <c r="N81" s="698"/>
      <c r="O81" s="698"/>
      <c r="P81" s="698"/>
      <c r="Q81" s="698"/>
      <c r="R81" s="698"/>
      <c r="S81" s="698"/>
      <c r="T81" s="465" cm="1" t="str">
        <f t="array" ref="T81:T81">T80</f>
        <v>true</v>
      </c>
      <c r="U81" s="698"/>
      <c r="V81" s="698"/>
      <c r="W81" s="698"/>
      <c r="X81" s="1563"/>
      <c r="Y81" s="698"/>
      <c r="Z81" s="1546"/>
      <c r="AA81" s="698"/>
      <c r="AB81" s="218" t="s">
        <v>285</v>
      </c>
      <c r="AC81" s="212" t="s">
        <v>2157</v>
      </c>
      <c r="AD81" s="211" t="s">
        <v>2158</v>
      </c>
      <c r="AE81" s="234" t="s">
        <v>1514</v>
      </c>
      <c r="AF81" s="844">
        <f>AF82+AF83+AF95+AF99+AF100+AF101+AF102+AF106+AF107+AF108+AF109+AF112+AF113</f>
        <v>0</v>
      </c>
      <c r="AG81" s="844">
        <f>AG82+AG83+AG95+AG99+AG100+AG101+AG102+AG106+AG107+AG108+AG109+AG112+AG113</f>
        <v>0</v>
      </c>
      <c r="AH81" s="845"/>
      <c r="AI81" s="698"/>
      <c r="AJ81" s="698"/>
      <c r="AK81" s="698"/>
      <c r="AL81" s="1051" t="s">
        <v>2159</v>
      </c>
      <c r="AM81" s="698"/>
      <c r="AN81" s="698"/>
      <c r="AO81" s="698"/>
      <c r="AP81" s="698"/>
      <c r="AQ81" s="698"/>
    </row>
    <row s="1834" customFormat="1" customHeight="1" ht="21.75">
      <c r="A82" s="1758"/>
      <c r="B82" s="1416"/>
      <c r="C82" s="1758"/>
      <c r="D82" s="1758"/>
      <c r="E82" s="618">
        <v>22.5</v>
      </c>
      <c r="F82" s="50" cm="1" t="str">
        <f t="array" ref="F82:F82">OFFSET(E82,-1,1)</f>
        <v>1</v>
      </c>
      <c r="G82" s="426" t="s">
        <v>2160</v>
      </c>
      <c r="H82" s="85"/>
      <c r="I82" s="426" t="s">
        <v>2068</v>
      </c>
      <c r="J82" s="1758"/>
      <c r="K82" s="124"/>
      <c r="L82" s="124"/>
      <c r="M82" s="124"/>
      <c r="N82" s="1758"/>
      <c r="O82" s="1758"/>
      <c r="P82" s="1758"/>
      <c r="Q82" s="1758"/>
      <c r="R82" s="1758"/>
      <c r="S82" s="1806"/>
      <c r="T82" s="465" cm="1" t="str">
        <f t="array" ref="T82:T82">T81</f>
        <v>true</v>
      </c>
      <c r="U82" s="1758"/>
      <c r="V82" s="1758"/>
      <c r="W82" s="1758"/>
      <c r="X82" s="1563"/>
      <c r="Y82" s="1758"/>
      <c r="Z82" s="1546"/>
      <c r="AA82" s="1758"/>
      <c r="AB82" s="299" t="s">
        <v>1250</v>
      </c>
      <c r="AC82" s="762" t="s">
        <v>2161</v>
      </c>
      <c r="AD82" s="300" t="s">
        <v>2162</v>
      </c>
      <c r="AE82" s="766" t="s">
        <v>1514</v>
      </c>
      <c r="AF82" s="298"/>
      <c r="AG82" s="298"/>
      <c r="AH82" s="846"/>
      <c r="AI82" s="1758"/>
      <c r="AJ82" s="1758"/>
      <c r="AK82" s="1758"/>
      <c r="AL82" s="997" t="s">
        <v>2163</v>
      </c>
      <c r="AM82" s="1758"/>
      <c r="AN82" s="1758"/>
      <c r="AO82" s="1758"/>
      <c r="AP82" s="1758"/>
      <c r="AQ82" s="1758"/>
    </row>
    <row s="1834" customFormat="1" customHeight="1" ht="21.75">
      <c r="A83" s="1758"/>
      <c r="B83" s="1416"/>
      <c r="C83" s="1758"/>
      <c r="D83" s="1758"/>
      <c r="E83" s="618">
        <v>22.5</v>
      </c>
      <c r="F83" s="50" cm="1" t="str">
        <f t="array" ref="F83:F83">OFFSET(E83,-1,1)</f>
        <v>1</v>
      </c>
      <c r="G83" s="426"/>
      <c r="H83" s="85"/>
      <c r="I83" s="426" t="s">
        <v>2071</v>
      </c>
      <c r="J83" s="1758"/>
      <c r="K83" s="124"/>
      <c r="L83" s="124"/>
      <c r="M83" s="124"/>
      <c r="N83" s="1758"/>
      <c r="O83" s="1758"/>
      <c r="P83" s="1758"/>
      <c r="Q83" s="1758"/>
      <c r="R83" s="1758"/>
      <c r="S83" s="1806"/>
      <c r="T83" s="465" cm="1" t="str">
        <f t="array" ref="T83:T83">T82</f>
        <v>true</v>
      </c>
      <c r="U83" s="1758"/>
      <c r="V83" s="1758"/>
      <c r="W83" s="1758"/>
      <c r="X83" s="1563"/>
      <c r="Y83" s="1758"/>
      <c r="Z83" s="1546"/>
      <c r="AA83" s="1758"/>
      <c r="AB83" s="299" t="s">
        <v>1254</v>
      </c>
      <c r="AC83" s="762" t="s">
        <v>2164</v>
      </c>
      <c r="AD83" s="300" t="s">
        <v>2165</v>
      </c>
      <c r="AE83" s="766" t="s">
        <v>1514</v>
      </c>
      <c r="AF83" s="934">
        <f>SUM(AF84:AF94)</f>
        <v>0</v>
      </c>
      <c r="AG83" s="934">
        <f>SUM(AG84:AG94)</f>
        <v>0</v>
      </c>
      <c r="AH83" s="846"/>
      <c r="AI83" s="1758"/>
      <c r="AJ83" s="1758"/>
      <c r="AK83" s="1758"/>
      <c r="AL83" s="997" t="s">
        <v>2166</v>
      </c>
      <c r="AM83" s="1758"/>
      <c r="AN83" s="1758"/>
      <c r="AO83" s="1758"/>
      <c r="AP83" s="1758"/>
      <c r="AQ83" s="1758"/>
    </row>
    <row s="1834" customFormat="1" customHeight="1" ht="21.75">
      <c r="A84" s="1758"/>
      <c r="B84" s="1416"/>
      <c r="C84" s="1758"/>
      <c r="D84" s="1758"/>
      <c r="E84" s="618">
        <v>22.5</v>
      </c>
      <c r="F84" s="50" cm="1" t="str">
        <f t="array" ref="F84:F84">OFFSET(E84,-1,1)</f>
        <v>1</v>
      </c>
      <c r="G84" s="426"/>
      <c r="H84" s="85"/>
      <c r="I84" s="426" t="s">
        <v>2167</v>
      </c>
      <c r="J84" s="1758"/>
      <c r="K84" s="124"/>
      <c r="L84" s="124"/>
      <c r="M84" s="124"/>
      <c r="N84" s="1758"/>
      <c r="O84" s="1758"/>
      <c r="P84" s="1758"/>
      <c r="Q84" s="1758"/>
      <c r="R84" s="1758"/>
      <c r="S84" s="1806"/>
      <c r="T84" s="465" cm="1" t="str">
        <f t="array" ref="T84:T84">T83</f>
        <v>true</v>
      </c>
      <c r="U84" s="1758"/>
      <c r="V84" s="1758"/>
      <c r="W84" s="1758"/>
      <c r="X84" s="1563"/>
      <c r="Y84" s="1758"/>
      <c r="Z84" s="1546"/>
      <c r="AA84" s="1758"/>
      <c r="AB84" s="784" t="s">
        <v>1207</v>
      </c>
      <c r="AC84" s="781" t="s">
        <v>2168</v>
      </c>
      <c r="AD84" s="766"/>
      <c r="AE84" s="766" t="s">
        <v>1514</v>
      </c>
      <c r="AF84" s="298">
        <f>_xlfn.SUMIFS(Покупка!$AF$25:$AF$372,Покупка!$F$25:$F$372,$F84,Покупка!$I$25:$I$372,"Итого_пок_усл")</f>
        <v>0</v>
      </c>
      <c r="AG84" s="298">
        <f>_xlfn.SUMIFS(Покупка!$AG$25:$AG$372,Покупка!$F$25:$F$372,$F84,Покупка!$I$25:$I$372,"Итого_пок_усл")</f>
        <v>0</v>
      </c>
      <c r="AH84" s="846"/>
      <c r="AI84" s="1758"/>
      <c r="AJ84" s="1758"/>
      <c r="AK84" s="1758"/>
      <c r="AL84" s="997" t="s">
        <v>2169</v>
      </c>
      <c r="AM84" s="1758"/>
      <c r="AN84" s="1758"/>
      <c r="AO84" s="1758"/>
      <c r="AP84" s="1758"/>
      <c r="AQ84" s="1758"/>
    </row>
    <row s="1834" customFormat="1" customHeight="1" ht="14.25">
      <c r="A85" s="1758"/>
      <c r="B85" s="1416"/>
      <c r="C85" s="1758"/>
      <c r="D85" s="1758"/>
      <c r="E85" s="618">
        <v>15</v>
      </c>
      <c r="F85" s="50" cm="1" t="str">
        <f t="array" ref="F85:F85">OFFSET(E85,-1,1)</f>
        <v>1</v>
      </c>
      <c r="G85" s="426"/>
      <c r="H85" s="85"/>
      <c r="I85" s="426" t="s">
        <v>2170</v>
      </c>
      <c r="J85" s="1758"/>
      <c r="K85" s="124"/>
      <c r="L85" s="124"/>
      <c r="M85" s="124"/>
      <c r="N85" s="1758"/>
      <c r="O85" s="1758"/>
      <c r="P85" s="1758"/>
      <c r="Q85" s="1758"/>
      <c r="R85" s="1758"/>
      <c r="S85" s="1806"/>
      <c r="T85" s="465" cm="1" t="str">
        <f t="array" ref="T85:T85">T84</f>
        <v>true</v>
      </c>
      <c r="U85" s="1758"/>
      <c r="V85" s="1758"/>
      <c r="W85" s="1758"/>
      <c r="X85" s="1563"/>
      <c r="Y85" s="1758"/>
      <c r="Z85" s="1546"/>
      <c r="AA85" s="1758"/>
      <c r="AB85" s="784" t="s">
        <v>2171</v>
      </c>
      <c r="AC85" s="781" t="s">
        <v>2172</v>
      </c>
      <c r="AD85" s="766"/>
      <c r="AE85" s="766" t="s">
        <v>1514</v>
      </c>
      <c r="AF85" s="298"/>
      <c r="AG85" s="298">
        <f>_xlfn.SUMIFS('Сырье и материалы'!AG$25:AG$163,'Сырье и материалы'!$F$25:$F$163,$F85,'Сырье и материалы'!$AC$25:$AC$163,"Всего по тарифу")</f>
        <v>0</v>
      </c>
      <c r="AH85" s="846"/>
      <c r="AI85" s="1758"/>
      <c r="AJ85" s="1758"/>
      <c r="AK85" s="1758"/>
      <c r="AL85" s="997" t="s">
        <v>2173</v>
      </c>
      <c r="AM85" s="1758"/>
      <c r="AN85" s="1758"/>
      <c r="AO85" s="1758"/>
      <c r="AP85" s="1758"/>
      <c r="AQ85" s="1758"/>
    </row>
    <row s="1834" customFormat="1" customHeight="1" ht="14.25">
      <c r="A86" s="1758"/>
      <c r="B86" s="1416"/>
      <c r="C86" s="1758"/>
      <c r="D86" s="1758"/>
      <c r="E86" s="618">
        <v>15</v>
      </c>
      <c r="F86" s="50" cm="1" t="str">
        <f t="array" ref="F86:F86">OFFSET(E86,-1,1)</f>
        <v>1</v>
      </c>
      <c r="G86" s="426"/>
      <c r="H86" s="85"/>
      <c r="I86" s="426" t="s">
        <v>2174</v>
      </c>
      <c r="J86" s="1758"/>
      <c r="K86" s="124"/>
      <c r="L86" s="124"/>
      <c r="M86" s="124"/>
      <c r="N86" s="1758"/>
      <c r="O86" s="1758"/>
      <c r="P86" s="1758"/>
      <c r="Q86" s="1758"/>
      <c r="R86" s="1758"/>
      <c r="S86" s="1806"/>
      <c r="T86" s="465" cm="1" t="str">
        <f t="array" ref="T86:T86">T85</f>
        <v>true</v>
      </c>
      <c r="U86" s="1758"/>
      <c r="V86" s="1758"/>
      <c r="W86" s="1758"/>
      <c r="X86" s="1563"/>
      <c r="Y86" s="1758"/>
      <c r="Z86" s="1546"/>
      <c r="AA86" s="1758"/>
      <c r="AB86" s="784" t="s">
        <v>2175</v>
      </c>
      <c r="AC86" s="781" t="s">
        <v>2176</v>
      </c>
      <c r="AD86" s="766"/>
      <c r="AE86" s="766" t="s">
        <v>1514</v>
      </c>
      <c r="AF86" s="298">
        <f>_xlfn.SUMIFS(Налоги!AF$25:AF$101,Налоги!$F$25:$F$101,$F86,Налоги!$AB$25:$AB$101,"0")</f>
        <v>0</v>
      </c>
      <c r="AG86" s="298">
        <f>_xlfn.SUMIFS(Налоги!AG$25:AG$101,Налоги!$F$25:$F$101,$F86,Налоги!$AB$25:$AB$101,"0")</f>
        <v>0</v>
      </c>
      <c r="AH86" s="846"/>
      <c r="AI86" s="1758"/>
      <c r="AJ86" s="1758"/>
      <c r="AK86" s="1758"/>
      <c r="AL86" s="997" t="s">
        <v>2177</v>
      </c>
      <c r="AM86" s="1758"/>
      <c r="AN86" s="1758"/>
      <c r="AO86" s="1758"/>
      <c r="AP86" s="1758"/>
      <c r="AQ86" s="1758"/>
    </row>
    <row s="1834" customFormat="1" customHeight="1" ht="65.25">
      <c r="A87" s="1758"/>
      <c r="B87" s="1416"/>
      <c r="C87" s="1758"/>
      <c r="D87" s="1758"/>
      <c r="E87" s="618">
        <v>67.5</v>
      </c>
      <c r="F87" s="50" cm="1" t="str">
        <f t="array" ref="F87:F87">OFFSET(E87,-1,1)</f>
        <v>1</v>
      </c>
      <c r="G87" s="107" t="s">
        <v>2178</v>
      </c>
      <c r="H87" s="85"/>
      <c r="I87" s="493" t="s">
        <v>2179</v>
      </c>
      <c r="J87" s="1758"/>
      <c r="K87" s="124"/>
      <c r="L87" s="124"/>
      <c r="M87" s="124"/>
      <c r="N87" s="1758"/>
      <c r="O87" s="1758"/>
      <c r="P87" s="1758"/>
      <c r="Q87" s="1758"/>
      <c r="R87" s="1758"/>
      <c r="S87" s="1806"/>
      <c r="T87" s="465" cm="1" t="str">
        <f t="array" ref="T87:T87">T86</f>
        <v>true</v>
      </c>
      <c r="U87" s="1758"/>
      <c r="V87" s="1758"/>
      <c r="W87" s="1758"/>
      <c r="X87" s="1563"/>
      <c r="Y87" s="1758"/>
      <c r="Z87" s="1546"/>
      <c r="AA87" s="1758"/>
      <c r="AB87" s="784" t="s">
        <v>2180</v>
      </c>
      <c r="AC87" s="781" t="s">
        <v>2181</v>
      </c>
      <c r="AD87" s="766"/>
      <c r="AE87" s="766" t="s">
        <v>1514</v>
      </c>
      <c r="AF87" s="298"/>
      <c r="AG87" s="298">
        <f>IF(AND(method_reg="Метод индексации",first_year=god),_xlfn.SUMIFS('Калькуляция (МИ)'!$AG$25:$AG$747,'Калькуляция (МИ)'!$F$25:$F$747,$F87,'Калькуляция (МИ)'!$G$25:$G$747,$G87),_xlfn.SUMIFS('Калькуляция (МИ корр)'!$AG$25:$AG$747,'Калькуляция (МИ корр)'!$F$25:$F$747,$F87,'Калькуляция (МИ корр)'!$G$25:$G$747,$G87))</f>
        <v>0</v>
      </c>
      <c r="AH87" s="846"/>
      <c r="AI87" s="1758"/>
      <c r="AJ87" s="1758"/>
      <c r="AK87" s="1758"/>
      <c r="AL87" s="997" t="s">
        <v>2182</v>
      </c>
      <c r="AM87" s="1758"/>
      <c r="AN87" s="1758"/>
      <c r="AO87" s="1758"/>
      <c r="AP87" s="1758"/>
      <c r="AQ87" s="1758"/>
    </row>
    <row s="1834" customFormat="1" customHeight="1" ht="14.25">
      <c r="A88" s="1758"/>
      <c r="B88" s="1416"/>
      <c r="C88" s="1758"/>
      <c r="D88" s="1758"/>
      <c r="E88" s="618">
        <v>15</v>
      </c>
      <c r="F88" s="50" cm="1" t="str">
        <f t="array" ref="F88:F88">OFFSET(E88,-1,1)</f>
        <v>1</v>
      </c>
      <c r="G88" s="107" t="s">
        <v>1730</v>
      </c>
      <c r="H88" s="85"/>
      <c r="I88" s="493" t="s">
        <v>2183</v>
      </c>
      <c r="J88" s="1758"/>
      <c r="K88" s="124"/>
      <c r="L88" s="124"/>
      <c r="M88" s="124"/>
      <c r="N88" s="1758"/>
      <c r="O88" s="1758"/>
      <c r="P88" s="1758"/>
      <c r="Q88" s="1758"/>
      <c r="R88" s="1758"/>
      <c r="S88" s="1806"/>
      <c r="T88" s="465" cm="1" t="str">
        <f t="array" ref="T88:T88">T87</f>
        <v>true</v>
      </c>
      <c r="U88" s="1758"/>
      <c r="V88" s="1758"/>
      <c r="W88" s="1758"/>
      <c r="X88" s="1563"/>
      <c r="Y88" s="1758"/>
      <c r="Z88" s="1546"/>
      <c r="AA88" s="1758"/>
      <c r="AB88" s="784" t="s">
        <v>2184</v>
      </c>
      <c r="AC88" s="781" t="s">
        <v>2185</v>
      </c>
      <c r="AD88" s="766"/>
      <c r="AE88" s="766" t="s">
        <v>1514</v>
      </c>
      <c r="AF88" s="298"/>
      <c r="AG88" s="298">
        <f>IF(AND(method_reg="Метод индексации",first_year=god),_xlfn.SUMIFS('Калькуляция (МИ)'!$AG$25:$AG$747,'Калькуляция (МИ)'!$F$25:$F$747,$F88,'Калькуляция (МИ)'!$G$25:$G$747,$G88),_xlfn.SUMIFS('Калькуляция (МИ корр)'!$AG$25:$AG$747,'Калькуляция (МИ корр)'!$F$25:$F$747,$F88,'Калькуляция (МИ корр)'!$G$25:$G$747,$G88))</f>
        <v>0</v>
      </c>
      <c r="AH88" s="846"/>
      <c r="AI88" s="1758"/>
      <c r="AJ88" s="1758"/>
      <c r="AK88" s="1758"/>
      <c r="AL88" s="997" t="s">
        <v>2186</v>
      </c>
      <c r="AM88" s="1758"/>
      <c r="AN88" s="1758"/>
      <c r="AO88" s="1758"/>
      <c r="AP88" s="1758"/>
      <c r="AQ88" s="1758"/>
    </row>
    <row s="1834" customFormat="1" customHeight="1" ht="14.25">
      <c r="A89" s="1758"/>
      <c r="B89" s="1416"/>
      <c r="C89" s="1758"/>
      <c r="D89" s="1758"/>
      <c r="E89" s="618">
        <v>15</v>
      </c>
      <c r="F89" s="50" cm="1" t="str">
        <f t="array" ref="F89:F89">OFFSET(E89,-1,1)</f>
        <v>1</v>
      </c>
      <c r="G89" s="107" t="s">
        <v>2187</v>
      </c>
      <c r="H89" s="85"/>
      <c r="I89" s="493" t="s">
        <v>2188</v>
      </c>
      <c r="J89" s="1758"/>
      <c r="K89" s="124"/>
      <c r="L89" s="124"/>
      <c r="M89" s="124"/>
      <c r="N89" s="1758"/>
      <c r="O89" s="1758"/>
      <c r="P89" s="1758"/>
      <c r="Q89" s="1758"/>
      <c r="R89" s="1758"/>
      <c r="S89" s="1806"/>
      <c r="T89" s="465" cm="1" t="str">
        <f t="array" ref="T89:T89">T88</f>
        <v>true</v>
      </c>
      <c r="U89" s="1758"/>
      <c r="V89" s="1758"/>
      <c r="W89" s="1758"/>
      <c r="X89" s="1563"/>
      <c r="Y89" s="1758"/>
      <c r="Z89" s="1546"/>
      <c r="AA89" s="1758"/>
      <c r="AB89" s="784" t="s">
        <v>2189</v>
      </c>
      <c r="AC89" s="781" t="s">
        <v>2190</v>
      </c>
      <c r="AD89" s="766"/>
      <c r="AE89" s="766" t="s">
        <v>1514</v>
      </c>
      <c r="AF89" s="298"/>
      <c r="AG89" s="298">
        <f>IF(AND(method_reg="Метод индексации",first_year=god),_xlfn.SUMIFS('Калькуляция (МИ)'!$AG$25:$AG$747,'Калькуляция (МИ)'!$F$25:$F$747,$F89,'Калькуляция (МИ)'!$G$25:$G$747,$G89),_xlfn.SUMIFS('Калькуляция (МИ корр)'!$AG$25:$AG$747,'Калькуляция (МИ корр)'!$F$25:$F$747,$F89,'Калькуляция (МИ корр)'!$G$25:$G$747,$G89))</f>
        <v>0</v>
      </c>
      <c r="AH89" s="846"/>
      <c r="AI89" s="1758"/>
      <c r="AJ89" s="1758"/>
      <c r="AK89" s="1758"/>
      <c r="AL89" s="997" t="s">
        <v>2191</v>
      </c>
      <c r="AM89" s="1758"/>
      <c r="AN89" s="1758"/>
      <c r="AO89" s="1758"/>
      <c r="AP89" s="1758"/>
      <c r="AQ89" s="1758"/>
    </row>
    <row s="1834" customFormat="1" customHeight="1" ht="21.75">
      <c r="A90" s="1758"/>
      <c r="B90" s="1416"/>
      <c r="C90" s="1758"/>
      <c r="D90" s="1758"/>
      <c r="E90" s="618">
        <v>22.5</v>
      </c>
      <c r="F90" s="50" cm="1" t="str">
        <f t="array" ref="F90:F90">OFFSET(E90,-1,1)</f>
        <v>1</v>
      </c>
      <c r="G90" s="107" t="s">
        <v>2192</v>
      </c>
      <c r="H90" s="85"/>
      <c r="I90" s="493" t="s">
        <v>2193</v>
      </c>
      <c r="J90" s="1758"/>
      <c r="K90" s="124"/>
      <c r="L90" s="124"/>
      <c r="M90" s="124"/>
      <c r="N90" s="1758"/>
      <c r="O90" s="1758"/>
      <c r="P90" s="1758"/>
      <c r="Q90" s="1758"/>
      <c r="R90" s="1758"/>
      <c r="S90" s="1806"/>
      <c r="T90" s="465" cm="1" t="str">
        <f t="array" ref="T90:T90">T89</f>
        <v>true</v>
      </c>
      <c r="U90" s="1758"/>
      <c r="V90" s="1758"/>
      <c r="W90" s="1758"/>
      <c r="X90" s="1563"/>
      <c r="Y90" s="1758"/>
      <c r="Z90" s="1546"/>
      <c r="AA90" s="1758"/>
      <c r="AB90" s="784" t="s">
        <v>2194</v>
      </c>
      <c r="AC90" s="781" t="s">
        <v>2195</v>
      </c>
      <c r="AD90" s="766"/>
      <c r="AE90" s="766" t="s">
        <v>1514</v>
      </c>
      <c r="AF90" s="298"/>
      <c r="AG90" s="298">
        <f>IF(AND(method_reg="Метод индексации",first_year=god),_xlfn.SUMIFS('Калькуляция (МИ)'!$AG$25:$AG$747,'Калькуляция (МИ)'!$F$25:$F$747,$F90,'Калькуляция (МИ)'!$G$25:$G$747,$G90),_xlfn.SUMIFS('Калькуляция (МИ корр)'!$AG$25:$AG$747,'Калькуляция (МИ корр)'!$F$25:$F$747,$F90,'Калькуляция (МИ корр)'!$G$25:$G$747,$G90))</f>
        <v>0</v>
      </c>
      <c r="AH90" s="846"/>
      <c r="AI90" s="1758"/>
      <c r="AJ90" s="1758"/>
      <c r="AK90" s="1758"/>
      <c r="AL90" s="997" t="s">
        <v>2196</v>
      </c>
      <c r="AM90" s="1758"/>
      <c r="AN90" s="1758"/>
      <c r="AO90" s="1758"/>
      <c r="AP90" s="1758"/>
      <c r="AQ90" s="1758"/>
    </row>
    <row s="1834" customFormat="1" customHeight="1" ht="21.75">
      <c r="A91" s="1758"/>
      <c r="B91" s="1416"/>
      <c r="C91" s="1758"/>
      <c r="D91" s="1758"/>
      <c r="E91" s="618">
        <v>22.5</v>
      </c>
      <c r="F91" s="50" cm="1" t="str">
        <f t="array" ref="F91:F91">OFFSET(E91,-1,1)</f>
        <v>1</v>
      </c>
      <c r="G91" s="107" t="s">
        <v>2197</v>
      </c>
      <c r="H91" s="85"/>
      <c r="I91" s="493" t="s">
        <v>2198</v>
      </c>
      <c r="J91" s="1758"/>
      <c r="K91" s="124"/>
      <c r="L91" s="124"/>
      <c r="M91" s="124"/>
      <c r="N91" s="1758"/>
      <c r="O91" s="1758"/>
      <c r="P91" s="1758"/>
      <c r="Q91" s="1758"/>
      <c r="R91" s="1758"/>
      <c r="S91" s="1806"/>
      <c r="T91" s="465" cm="1" t="str">
        <f t="array" ref="T91:T91">T90</f>
        <v>true</v>
      </c>
      <c r="U91" s="1758"/>
      <c r="V91" s="1758"/>
      <c r="W91" s="1758"/>
      <c r="X91" s="1563"/>
      <c r="Y91" s="1758"/>
      <c r="Z91" s="1546"/>
      <c r="AA91" s="1758"/>
      <c r="AB91" s="784" t="s">
        <v>2199</v>
      </c>
      <c r="AC91" s="781" t="s">
        <v>2200</v>
      </c>
      <c r="AD91" s="935"/>
      <c r="AE91" s="766" t="s">
        <v>1514</v>
      </c>
      <c r="AF91" s="298"/>
      <c r="AG91" s="298">
        <f>IF(AND(method_reg="Метод индексации",first_year=god),_xlfn.SUMIFS('Калькуляция (МИ)'!$AG$25:$AG$747,'Калькуляция (МИ)'!$F$25:$F$747,$F91,'Калькуляция (МИ)'!$G$25:$G$747,$G91),_xlfn.SUMIFS('Калькуляция (МИ корр)'!$AG$25:$AG$747,'Калькуляция (МИ корр)'!$F$25:$F$747,$F91,'Калькуляция (МИ корр)'!$G$25:$G$747,$G91))</f>
        <v>0</v>
      </c>
      <c r="AH91" s="846"/>
      <c r="AI91" s="1758"/>
      <c r="AJ91" s="1758"/>
      <c r="AK91" s="1758"/>
      <c r="AL91" s="997" t="s">
        <v>2201</v>
      </c>
      <c r="AM91" s="1758"/>
      <c r="AN91" s="1758"/>
      <c r="AO91" s="1758"/>
      <c r="AP91" s="1758"/>
      <c r="AQ91" s="1758"/>
    </row>
    <row s="1834" customFormat="1" customHeight="1" ht="21.75">
      <c r="A92" s="1758"/>
      <c r="B92" s="1416"/>
      <c r="C92" s="1758"/>
      <c r="D92" s="1758"/>
      <c r="E92" s="618">
        <v>22.5</v>
      </c>
      <c r="F92" s="50" cm="1" t="str">
        <f t="array" ref="F92:F92">OFFSET(E92,-1,1)</f>
        <v>1</v>
      </c>
      <c r="G92" s="107" t="s">
        <v>2202</v>
      </c>
      <c r="H92" s="85"/>
      <c r="I92" s="493" t="s">
        <v>2203</v>
      </c>
      <c r="J92" s="1758"/>
      <c r="K92" s="124"/>
      <c r="L92" s="124"/>
      <c r="M92" s="124"/>
      <c r="N92" s="1758"/>
      <c r="O92" s="1758"/>
      <c r="P92" s="1758"/>
      <c r="Q92" s="1758"/>
      <c r="R92" s="1758"/>
      <c r="S92" s="1806"/>
      <c r="T92" s="465" cm="1" t="str">
        <f t="array" ref="T92:T92">T91</f>
        <v>true</v>
      </c>
      <c r="U92" s="1758"/>
      <c r="V92" s="1758"/>
      <c r="W92" s="1758"/>
      <c r="X92" s="1563"/>
      <c r="Y92" s="1758"/>
      <c r="Z92" s="1546"/>
      <c r="AA92" s="1758"/>
      <c r="AB92" s="784" t="s">
        <v>2204</v>
      </c>
      <c r="AC92" s="781" t="s">
        <v>2205</v>
      </c>
      <c r="AD92" s="935"/>
      <c r="AE92" s="766" t="s">
        <v>1514</v>
      </c>
      <c r="AF92" s="298"/>
      <c r="AG92" s="298">
        <f>IF(AND(method_reg="Метод индексации",first_year=god),_xlfn.SUMIFS('Калькуляция (МИ)'!$AG$25:$AG$747,'Калькуляция (МИ)'!$F$25:$F$747,$F92,'Калькуляция (МИ)'!$G$25:$G$747,$G92),_xlfn.SUMIFS('Калькуляция (МИ корр)'!$AG$25:$AG$747,'Калькуляция (МИ корр)'!$F$25:$F$747,$F92,'Калькуляция (МИ корр)'!$G$25:$G$747,$G92))</f>
        <v>0</v>
      </c>
      <c r="AH92" s="846"/>
      <c r="AI92" s="1758"/>
      <c r="AJ92" s="1758"/>
      <c r="AK92" s="1758"/>
      <c r="AL92" s="997" t="s">
        <v>2206</v>
      </c>
      <c r="AM92" s="1758"/>
      <c r="AN92" s="1758"/>
      <c r="AO92" s="1758"/>
      <c r="AP92" s="1758"/>
      <c r="AQ92" s="1758"/>
    </row>
    <row s="1834" customFormat="1" customHeight="1" ht="14.25">
      <c r="A93" s="1758"/>
      <c r="B93" s="1416"/>
      <c r="C93" s="1758"/>
      <c r="D93" s="1758"/>
      <c r="E93" s="618">
        <v>15</v>
      </c>
      <c r="F93" s="50" cm="1" t="str">
        <f t="array" ref="F93:F93">OFFSET(E93,-1,1)</f>
        <v>1</v>
      </c>
      <c r="G93" s="107" t="s">
        <v>2207</v>
      </c>
      <c r="H93" s="85"/>
      <c r="I93" s="493" t="s">
        <v>2208</v>
      </c>
      <c r="J93" s="1758"/>
      <c r="K93" s="124"/>
      <c r="L93" s="124"/>
      <c r="M93" s="124"/>
      <c r="N93" s="1758"/>
      <c r="O93" s="1758"/>
      <c r="P93" s="1758"/>
      <c r="Q93" s="1758"/>
      <c r="R93" s="1758"/>
      <c r="S93" s="1806"/>
      <c r="T93" s="465" cm="1" t="str">
        <f t="array" ref="T93:T93">T92</f>
        <v>true</v>
      </c>
      <c r="U93" s="1758"/>
      <c r="V93" s="1758"/>
      <c r="W93" s="1758"/>
      <c r="X93" s="1563"/>
      <c r="Y93" s="1758"/>
      <c r="Z93" s="1546"/>
      <c r="AA93" s="1758"/>
      <c r="AB93" s="784" t="s">
        <v>2209</v>
      </c>
      <c r="AC93" s="781" t="s">
        <v>2210</v>
      </c>
      <c r="AD93" s="935"/>
      <c r="AE93" s="766" t="s">
        <v>1514</v>
      </c>
      <c r="AF93" s="298"/>
      <c r="AG93" s="298">
        <f>IF(AND(method_reg="Метод индексации",first_year=god),_xlfn.SUMIFS('Калькуляция (МИ)'!$AG$25:$AG$747,'Калькуляция (МИ)'!$F$25:$F$747,$F93,'Калькуляция (МИ)'!$G$25:$G$747,$G93),_xlfn.SUMIFS('Калькуляция (МИ корр)'!$AG$25:$AG$747,'Калькуляция (МИ корр)'!$F$25:$F$747,$F93,'Калькуляция (МИ корр)'!$G$25:$G$747,$G93))</f>
        <v>0</v>
      </c>
      <c r="AH93" s="846"/>
      <c r="AI93" s="1758"/>
      <c r="AJ93" s="1758"/>
      <c r="AK93" s="1758"/>
      <c r="AL93" s="997" t="s">
        <v>2211</v>
      </c>
      <c r="AM93" s="1758"/>
      <c r="AN93" s="1758"/>
      <c r="AO93" s="1758"/>
      <c r="AP93" s="1758"/>
      <c r="AQ93" s="1758"/>
    </row>
    <row s="1834" customFormat="1" customHeight="1" ht="21.75">
      <c r="A94" s="1758"/>
      <c r="B94" s="1416"/>
      <c r="C94" s="1758"/>
      <c r="D94" s="1758"/>
      <c r="E94" s="618">
        <v>22.5</v>
      </c>
      <c r="F94" s="50" cm="1" t="str">
        <f t="array" ref="F94:F94">OFFSET(E94,-1,1)</f>
        <v>1</v>
      </c>
      <c r="G94" s="107" t="s">
        <v>2212</v>
      </c>
      <c r="H94" s="85"/>
      <c r="I94" s="493" t="s">
        <v>2213</v>
      </c>
      <c r="J94" s="1758"/>
      <c r="K94" s="124"/>
      <c r="L94" s="124"/>
      <c r="M94" s="124"/>
      <c r="N94" s="1758"/>
      <c r="O94" s="1758"/>
      <c r="P94" s="1758"/>
      <c r="Q94" s="1758"/>
      <c r="R94" s="1758"/>
      <c r="S94" s="1806"/>
      <c r="T94" s="465" cm="1" t="str">
        <f t="array" ref="T94:T94">T93</f>
        <v>true</v>
      </c>
      <c r="U94" s="1758"/>
      <c r="V94" s="1758"/>
      <c r="W94" s="1758"/>
      <c r="X94" s="1563"/>
      <c r="Y94" s="1758"/>
      <c r="Z94" s="1546"/>
      <c r="AA94" s="1758"/>
      <c r="AB94" s="784" t="s">
        <v>2214</v>
      </c>
      <c r="AC94" s="781" t="s">
        <v>2215</v>
      </c>
      <c r="AD94" s="935"/>
      <c r="AE94" s="766" t="s">
        <v>1514</v>
      </c>
      <c r="AF94" s="298"/>
      <c r="AG94" s="298">
        <f>IF(AND(method_reg="Метод индексации",first_year=god),_xlfn.SUMIFS('Калькуляция (МИ)'!$AG$25:$AG$747,'Калькуляция (МИ)'!$F$25:$F$747,$F94,'Калькуляция (МИ)'!$G$25:$G$747,$G94),_xlfn.SUMIFS('Калькуляция (МИ корр)'!$AG$25:$AG$747,'Калькуляция (МИ корр)'!$F$25:$F$747,$F94,'Калькуляция (МИ корр)'!$G$25:$G$747,$G94))</f>
        <v>0</v>
      </c>
      <c r="AH94" s="846"/>
      <c r="AI94" s="1758"/>
      <c r="AJ94" s="1758"/>
      <c r="AK94" s="1758"/>
      <c r="AL94" s="997" t="s">
        <v>2216</v>
      </c>
      <c r="AM94" s="1758"/>
      <c r="AN94" s="1758"/>
      <c r="AO94" s="1758"/>
      <c r="AP94" s="1758"/>
      <c r="AQ94" s="1758"/>
    </row>
    <row s="1834" customFormat="1" customHeight="1" ht="14.25">
      <c r="A95" s="1758"/>
      <c r="B95" s="1416"/>
      <c r="C95" s="1758"/>
      <c r="D95" s="1758"/>
      <c r="E95" s="618">
        <v>15</v>
      </c>
      <c r="F95" s="50" cm="1" t="str">
        <f t="array" ref="F95:F95">OFFSET(E95,-1,1)</f>
        <v>1</v>
      </c>
      <c r="G95" s="426"/>
      <c r="H95" s="85"/>
      <c r="I95" s="426" t="s">
        <v>2075</v>
      </c>
      <c r="J95" s="1758"/>
      <c r="K95" s="124"/>
      <c r="L95" s="124"/>
      <c r="M95" s="124"/>
      <c r="N95" s="1758"/>
      <c r="O95" s="1758"/>
      <c r="P95" s="1758"/>
      <c r="Q95" s="1758"/>
      <c r="R95" s="1758"/>
      <c r="S95" s="1806"/>
      <c r="T95" s="465" cm="1" t="str">
        <f t="array" ref="T95:T95">T94</f>
        <v>true</v>
      </c>
      <c r="U95" s="1758"/>
      <c r="V95" s="1758"/>
      <c r="W95" s="1758"/>
      <c r="X95" s="1563"/>
      <c r="Y95" s="1758"/>
      <c r="Z95" s="1546"/>
      <c r="AA95" s="1758"/>
      <c r="AB95" s="299" t="s">
        <v>1258</v>
      </c>
      <c r="AC95" s="762" t="s">
        <v>2217</v>
      </c>
      <c r="AD95" s="300" t="s">
        <v>2218</v>
      </c>
      <c r="AE95" s="766" t="s">
        <v>1514</v>
      </c>
      <c r="AF95" s="298">
        <f>AF96*AF97*AF98</f>
        <v>0</v>
      </c>
      <c r="AG95" s="298">
        <f>AG96*AG97*AG98</f>
        <v>0</v>
      </c>
      <c r="AH95" s="846"/>
      <c r="AI95" s="1758"/>
      <c r="AJ95" s="1758"/>
      <c r="AK95" s="1758"/>
      <c r="AL95" s="997" t="s">
        <v>2219</v>
      </c>
      <c r="AM95" s="1758"/>
      <c r="AN95" s="1758"/>
      <c r="AO95" s="1758"/>
      <c r="AP95" s="1758"/>
      <c r="AQ95" s="1758"/>
    </row>
    <row s="1834" customFormat="1" customHeight="1" ht="21.75">
      <c r="A96" s="1758"/>
      <c r="B96" s="1416"/>
      <c r="C96" s="1758"/>
      <c r="D96" s="1758"/>
      <c r="E96" s="618">
        <v>22.5</v>
      </c>
      <c r="F96" s="50" cm="1" t="str">
        <f t="array" ref="F96:F96">OFFSET(E96,-1,1)</f>
        <v>1</v>
      </c>
      <c r="G96" s="426"/>
      <c r="H96" s="85"/>
      <c r="I96" s="426" t="s">
        <v>2220</v>
      </c>
      <c r="J96" s="1758"/>
      <c r="K96" s="124"/>
      <c r="L96" s="124"/>
      <c r="M96" s="124"/>
      <c r="N96" s="1758"/>
      <c r="O96" s="1758"/>
      <c r="P96" s="1758"/>
      <c r="Q96" s="1758"/>
      <c r="R96" s="1758"/>
      <c r="S96" s="1806"/>
      <c r="T96" s="465" cm="1" t="str">
        <f t="array" ref="T96:T96">T95</f>
        <v>true</v>
      </c>
      <c r="U96" s="1758"/>
      <c r="V96" s="1758"/>
      <c r="W96" s="1758"/>
      <c r="X96" s="1563"/>
      <c r="Y96" s="1758"/>
      <c r="Z96" s="1546"/>
      <c r="AA96" s="1758"/>
      <c r="AB96" s="299" t="s">
        <v>1212</v>
      </c>
      <c r="AC96" s="765" t="s">
        <v>2221</v>
      </c>
      <c r="AD96" s="300" t="s">
        <v>2222</v>
      </c>
      <c r="AE96" s="766" t="s">
        <v>1582</v>
      </c>
      <c r="AF96" s="298"/>
      <c r="AG96" s="298">
        <f>_xlfn.SUMIFS(ЭЭ!AG$25:AG$189,ЭЭ!$F$25:$F$189,$F96,ЭЭ!$AC$25:$AC$189,"Удельный расход электроэнергии")</f>
        <v>0</v>
      </c>
      <c r="AH96" s="846"/>
      <c r="AI96" s="1758"/>
      <c r="AJ96" s="1758"/>
      <c r="AK96" s="1758"/>
      <c r="AL96" s="997" t="s">
        <v>2223</v>
      </c>
      <c r="AM96" s="1758"/>
      <c r="AN96" s="1758"/>
      <c r="AO96" s="1758"/>
      <c r="AP96" s="1758"/>
      <c r="AQ96" s="1758"/>
    </row>
    <row s="1834" customFormat="1" customHeight="1" ht="14.25">
      <c r="A97" s="1758"/>
      <c r="B97" s="1416"/>
      <c r="C97" s="1758"/>
      <c r="D97" s="1758"/>
      <c r="E97" s="618">
        <v>15</v>
      </c>
      <c r="F97" s="50" cm="1" t="str">
        <f t="array" ref="F97:F97">OFFSET(E97,-1,1)</f>
        <v>1</v>
      </c>
      <c r="G97" s="426"/>
      <c r="H97" s="85"/>
      <c r="I97" s="426" t="s">
        <v>2224</v>
      </c>
      <c r="J97" s="1758"/>
      <c r="K97" s="124"/>
      <c r="L97" s="124"/>
      <c r="M97" s="124"/>
      <c r="N97" s="1758"/>
      <c r="O97" s="1758"/>
      <c r="P97" s="1758"/>
      <c r="Q97" s="1758"/>
      <c r="R97" s="1758"/>
      <c r="S97" s="1806"/>
      <c r="T97" s="465" cm="1" t="str">
        <f t="array" ref="T97:T97">T96</f>
        <v>true</v>
      </c>
      <c r="U97" s="1758"/>
      <c r="V97" s="1758"/>
      <c r="W97" s="1758"/>
      <c r="X97" s="1563"/>
      <c r="Y97" s="1758"/>
      <c r="Z97" s="1546"/>
      <c r="AA97" s="1758"/>
      <c r="AB97" s="299" t="s">
        <v>2225</v>
      </c>
      <c r="AC97" s="765" t="s">
        <v>2226</v>
      </c>
      <c r="AD97" s="300" t="s">
        <v>2227</v>
      </c>
      <c r="AE97" s="766" t="s">
        <v>1576</v>
      </c>
      <c r="AF97" s="298"/>
      <c r="AG97" s="298">
        <f>_xlfn.SUMIFS(ЭЭ!AG$25:AG$189,ЭЭ!$F$25:$F$189,$F96,ЭЭ!$AC$25:$AC$189,"Объём воды/сточных вод")</f>
        <v>0</v>
      </c>
      <c r="AH97" s="846"/>
      <c r="AI97" s="1758"/>
      <c r="AJ97" s="1758"/>
      <c r="AK97" s="1758"/>
      <c r="AL97" s="997" t="s">
        <v>2228</v>
      </c>
      <c r="AM97" s="1758"/>
      <c r="AN97" s="1758"/>
      <c r="AO97" s="1758"/>
      <c r="AP97" s="1758"/>
      <c r="AQ97" s="1758"/>
    </row>
    <row s="1834" customFormat="1" customHeight="1" ht="21.75">
      <c r="A98" s="1758"/>
      <c r="B98" s="1416"/>
      <c r="C98" s="1758"/>
      <c r="D98" s="1758"/>
      <c r="E98" s="618">
        <v>22.5</v>
      </c>
      <c r="F98" s="50" cm="1" t="str">
        <f t="array" ref="F98:F98">OFFSET(E98,-1,1)</f>
        <v>1</v>
      </c>
      <c r="G98" s="426"/>
      <c r="H98" s="85"/>
      <c r="I98" s="426" t="s">
        <v>2229</v>
      </c>
      <c r="J98" s="1758"/>
      <c r="K98" s="124"/>
      <c r="L98" s="124"/>
      <c r="M98" s="124"/>
      <c r="N98" s="1758"/>
      <c r="O98" s="1758"/>
      <c r="P98" s="1758"/>
      <c r="Q98" s="1758"/>
      <c r="R98" s="1758"/>
      <c r="S98" s="1806"/>
      <c r="T98" s="465" cm="1" t="str">
        <f t="array" ref="T98:T98">T97</f>
        <v>true</v>
      </c>
      <c r="U98" s="1758"/>
      <c r="V98" s="1758"/>
      <c r="W98" s="1758"/>
      <c r="X98" s="1563"/>
      <c r="Y98" s="1758"/>
      <c r="Z98" s="1546"/>
      <c r="AA98" s="1758"/>
      <c r="AB98" s="299" t="s">
        <v>2230</v>
      </c>
      <c r="AC98" s="765" t="s">
        <v>2231</v>
      </c>
      <c r="AD98" s="300" t="s">
        <v>2232</v>
      </c>
      <c r="AE98" s="766" t="s">
        <v>1579</v>
      </c>
      <c r="AF98" s="298"/>
      <c r="AG98" s="298">
        <f>_xlfn.SUMIFS(ЭЭ!AG$25:AG$189,ЭЭ!$F$25:$F$189,$F96,ЭЭ!$AC$25:$AC$189,"Средний (расчетный) тариф")</f>
        <v>0</v>
      </c>
      <c r="AH98" s="846"/>
      <c r="AI98" s="1758"/>
      <c r="AJ98" s="1758"/>
      <c r="AK98" s="1758"/>
      <c r="AL98" s="997" t="s">
        <v>2233</v>
      </c>
      <c r="AM98" s="1758"/>
      <c r="AN98" s="1758"/>
      <c r="AO98" s="1758"/>
      <c r="AP98" s="1758"/>
      <c r="AQ98" s="1758"/>
    </row>
    <row s="1834" customFormat="1" customHeight="1" ht="21.75">
      <c r="A99" s="1758"/>
      <c r="B99" s="1416"/>
      <c r="C99" s="1758"/>
      <c r="D99" s="1758"/>
      <c r="E99" s="618">
        <v>22.5</v>
      </c>
      <c r="F99" s="50" cm="1" t="str">
        <f t="array" ref="F99:F99">OFFSET(E99,-1,1)</f>
        <v>1</v>
      </c>
      <c r="G99" s="426" t="s">
        <v>2234</v>
      </c>
      <c r="H99" s="85"/>
      <c r="I99" s="426" t="s">
        <v>2235</v>
      </c>
      <c r="J99" s="1758"/>
      <c r="K99" s="124"/>
      <c r="L99" s="124"/>
      <c r="M99" s="124"/>
      <c r="N99" s="1758"/>
      <c r="O99" s="1758"/>
      <c r="P99" s="1758"/>
      <c r="Q99" s="1758"/>
      <c r="R99" s="1758"/>
      <c r="S99" s="1806"/>
      <c r="T99" s="465" cm="1" t="str">
        <f t="array" ref="T99:T99">T98</f>
        <v>true</v>
      </c>
      <c r="U99" s="1758"/>
      <c r="V99" s="1758"/>
      <c r="W99" s="1758"/>
      <c r="X99" s="1563"/>
      <c r="Y99" s="1758"/>
      <c r="Z99" s="1546"/>
      <c r="AA99" s="1758"/>
      <c r="AB99" s="299" t="s">
        <v>1651</v>
      </c>
      <c r="AC99" s="762" t="s">
        <v>2236</v>
      </c>
      <c r="AD99" s="300" t="s">
        <v>2237</v>
      </c>
      <c r="AE99" s="766" t="s">
        <v>1514</v>
      </c>
      <c r="AF99" s="298"/>
      <c r="AG99" s="298">
        <f>IF(AND(method_reg="Метод индексации",first_year=god),_xlfn.SUMIFS('Калькуляция (МИ)'!$AG$25:$AG$747,'Калькуляция (МИ)'!$F$25:$F$747,$F99,'Калькуляция (МИ)'!$G$25:$G$747,$G99),_xlfn.SUMIFS('Калькуляция (МИ корр)'!$AG$25:$AG$747,'Калькуляция (МИ корр)'!$F$25:$F$747,$F99,'Калькуляция (МИ корр)'!$G$25:$G$747,$G99))</f>
        <v>0</v>
      </c>
      <c r="AH99" s="846"/>
      <c r="AI99" s="1758"/>
      <c r="AJ99" s="1758"/>
      <c r="AK99" s="1758"/>
      <c r="AL99" s="997" t="s">
        <v>1960</v>
      </c>
      <c r="AM99" s="1758"/>
      <c r="AN99" s="1758"/>
      <c r="AO99" s="1758"/>
      <c r="AP99" s="1758"/>
      <c r="AQ99" s="1758"/>
    </row>
    <row s="1834" customFormat="1" customHeight="1" ht="14.25">
      <c r="A100" s="1758"/>
      <c r="B100" s="1416"/>
      <c r="C100" s="1758"/>
      <c r="D100" s="1758"/>
      <c r="E100" s="618">
        <v>15</v>
      </c>
      <c r="F100" s="50" cm="1" t="str">
        <f t="array" ref="F100:F100">OFFSET(E100,-1,1)</f>
        <v>1</v>
      </c>
      <c r="G100" s="426" t="s">
        <v>2238</v>
      </c>
      <c r="H100" s="85"/>
      <c r="I100" s="426" t="s">
        <v>2239</v>
      </c>
      <c r="J100" s="1758"/>
      <c r="K100" s="124"/>
      <c r="L100" s="124"/>
      <c r="M100" s="124"/>
      <c r="N100" s="1758"/>
      <c r="O100" s="1758"/>
      <c r="P100" s="1758"/>
      <c r="Q100" s="1758"/>
      <c r="R100" s="1758"/>
      <c r="S100" s="1806"/>
      <c r="T100" s="465" cm="1" t="str">
        <f t="array" ref="T100:T100">T99</f>
        <v>true</v>
      </c>
      <c r="U100" s="1758"/>
      <c r="V100" s="1758"/>
      <c r="W100" s="1758"/>
      <c r="X100" s="1563"/>
      <c r="Y100" s="1758"/>
      <c r="Z100" s="1546"/>
      <c r="AA100" s="1758"/>
      <c r="AB100" s="299" t="s">
        <v>1654</v>
      </c>
      <c r="AC100" s="936" t="s">
        <v>2240</v>
      </c>
      <c r="AD100" s="300" t="s">
        <v>2241</v>
      </c>
      <c r="AE100" s="766" t="s">
        <v>1514</v>
      </c>
      <c r="AF100" s="298"/>
      <c r="AG100" s="298">
        <f>IF(AND(method_reg="Метод индексации",first_year=god),_xlfn.SUMIFS('Калькуляция (МИ)'!$AE$25:$AE$747,'Калькуляция (МИ)'!$F$25:$F$747,$F100,'Калькуляция (МИ)'!$G$25:$G$747,"Нормативная прибыль")-_xlfn.SUMIFS('Калькуляция (МИ)'!$AE$25:$AE$747,'Калькуляция (МИ)'!$F$25:$F$747,$F100,'Калькуляция (МИ)'!$G$25:$G$747,"иные экономически обоснованные расходы на социальные нужды")+_xlfn.SUMIFS('Калькуляция (МИ)'!$AG$25:$AG$747,'Калькуляция (МИ)'!$F$25:$F$747,$F100,'Калькуляция (МИ)'!$G$25:$G$747,"иные экономически обоснованные расходы на социальные нужды"),_xlfn.SUMIFS('Калькуляция (МИ корр)'!$AE$25:$AE$747,'Калькуляция (МИ корр)'!$F$25:$F$747,$F100,'Калькуляция (МИ корр)'!$G$25:$G$747,"Нормативная прибыль")-_xlfn.SUMIFS('Калькуляция (МИ корр)'!$AE$25:$AE$747,'Калькуляция (МИ корр)'!$F$25:$F$747,$F100,'Калькуляция (МИ корр)'!$G$25:$G$747,"иные экономически обоснованные расходы на социальные нужды")+_xlfn.SUMIFS('Калькуляция (МИ корр)'!$AG$25:$AG$747,'Калькуляция (МИ корр)'!$F$25:$F$747,$F100,'Калькуляция (МИ корр)'!$G$25:$G$747,"иные экономически обоснованные расходы на социальные нужды"))</f>
        <v>0</v>
      </c>
      <c r="AH100" s="846"/>
      <c r="AI100" s="1758"/>
      <c r="AJ100" s="1758"/>
      <c r="AK100" s="1758"/>
      <c r="AL100" s="997" t="s">
        <v>2242</v>
      </c>
      <c r="AM100" s="1758"/>
      <c r="AN100" s="1758"/>
      <c r="AO100" s="1758"/>
      <c r="AP100" s="1758"/>
      <c r="AQ100" s="1758"/>
    </row>
    <row s="1834" customFormat="1" customHeight="1" ht="14.25">
      <c r="A101" s="1758"/>
      <c r="B101" s="1416"/>
      <c r="C101" s="1758"/>
      <c r="D101" s="1758"/>
      <c r="E101" s="618">
        <v>15</v>
      </c>
      <c r="F101" s="50" cm="1" t="str">
        <f t="array" ref="F101:F101">OFFSET(E101,-1,1)</f>
        <v>1</v>
      </c>
      <c r="G101" s="107" t="s">
        <v>2243</v>
      </c>
      <c r="H101" s="85"/>
      <c r="I101" s="493" t="s">
        <v>2244</v>
      </c>
      <c r="J101" s="1758"/>
      <c r="K101" s="124"/>
      <c r="L101" s="124"/>
      <c r="M101" s="124"/>
      <c r="N101" s="1758"/>
      <c r="O101" s="1758"/>
      <c r="P101" s="1758"/>
      <c r="Q101" s="1758"/>
      <c r="R101" s="1758"/>
      <c r="S101" s="1806"/>
      <c r="T101" s="465" cm="1" t="str">
        <f t="array" ref="T101:T101">T100</f>
        <v>true</v>
      </c>
      <c r="U101" s="1758"/>
      <c r="V101" s="1758"/>
      <c r="W101" s="1758"/>
      <c r="X101" s="1563"/>
      <c r="Y101" s="1758"/>
      <c r="Z101" s="1546"/>
      <c r="AA101" s="1758"/>
      <c r="AB101" s="299" t="s">
        <v>2245</v>
      </c>
      <c r="AC101" s="762" t="s">
        <v>2246</v>
      </c>
      <c r="AD101" s="300" t="s">
        <v>2247</v>
      </c>
      <c r="AE101" s="766" t="s">
        <v>1514</v>
      </c>
      <c r="AF101" s="298"/>
      <c r="AG101" s="298">
        <f>IF(AND(method_reg="Метод индексации",first_year=god),_xlfn.SUMIFS('Калькуляция (МИ)'!$AG$25:$AG$747,'Калькуляция (МИ)'!$F$25:$F$747,$F101,'Калькуляция (МИ)'!$G$25:$G$747,$G101),_xlfn.SUMIFS('Калькуляция (МИ корр)'!$AG$25:$AG$747,'Калькуляция (МИ корр)'!$F$25:$F$747,$F101,'Калькуляция (МИ корр)'!$G$25:$G$747,$G101))</f>
        <v>0</v>
      </c>
      <c r="AH101" s="846"/>
      <c r="AI101" s="1758"/>
      <c r="AJ101" s="1758"/>
      <c r="AK101" s="1758"/>
      <c r="AL101" s="997" t="s">
        <v>2248</v>
      </c>
      <c r="AM101" s="1758"/>
      <c r="AN101" s="1758"/>
      <c r="AO101" s="1758"/>
      <c r="AP101" s="1758"/>
      <c r="AQ101" s="1758"/>
    </row>
    <row s="1834" customFormat="1" customHeight="1" ht="21.75">
      <c r="A102" s="1758"/>
      <c r="B102" s="1416"/>
      <c r="C102" s="1758"/>
      <c r="D102" s="1758"/>
      <c r="E102" s="618">
        <v>22.5</v>
      </c>
      <c r="F102" s="50" cm="1" t="str">
        <f t="array" ref="F102:F102">OFFSET(E102,-1,1)</f>
        <v>1</v>
      </c>
      <c r="G102" s="107"/>
      <c r="H102" s="85"/>
      <c r="I102" s="426" t="s">
        <v>2249</v>
      </c>
      <c r="J102" s="1758"/>
      <c r="K102" s="124"/>
      <c r="L102" s="124"/>
      <c r="M102" s="124"/>
      <c r="N102" s="1758"/>
      <c r="O102" s="1758"/>
      <c r="P102" s="1758"/>
      <c r="Q102" s="1758"/>
      <c r="R102" s="1758"/>
      <c r="S102" s="1806"/>
      <c r="T102" s="465" cm="1" t="str">
        <f t="array" ref="T102:T102">T101</f>
        <v>true</v>
      </c>
      <c r="U102" s="1758"/>
      <c r="V102" s="1758"/>
      <c r="W102" s="1758"/>
      <c r="X102" s="1563"/>
      <c r="Y102" s="1758"/>
      <c r="Z102" s="1546"/>
      <c r="AA102" s="1758"/>
      <c r="AB102" s="299" t="s">
        <v>2250</v>
      </c>
      <c r="AC102" s="762" t="s">
        <v>2251</v>
      </c>
      <c r="AD102" s="300"/>
      <c r="AE102" s="766" t="s">
        <v>1514</v>
      </c>
      <c r="AF102" s="298">
        <f>AF103+AF104+AF105</f>
        <v>0</v>
      </c>
      <c r="AG102" s="298">
        <f>AG103+AG104+AG105</f>
        <v>0</v>
      </c>
      <c r="AH102" s="846"/>
      <c r="AI102" s="1758"/>
      <c r="AJ102" s="1758"/>
      <c r="AK102" s="1758"/>
      <c r="AL102" s="997" t="s">
        <v>2252</v>
      </c>
      <c r="AM102" s="1758"/>
      <c r="AN102" s="1758"/>
      <c r="AO102" s="1758"/>
      <c r="AP102" s="1758"/>
      <c r="AQ102" s="1758"/>
    </row>
    <row s="1834" customFormat="1" customHeight="1" ht="21.75">
      <c r="A103" s="1758"/>
      <c r="B103" s="1416"/>
      <c r="C103" s="1758"/>
      <c r="D103" s="1758"/>
      <c r="E103" s="618">
        <v>22.5</v>
      </c>
      <c r="F103" s="50" cm="1" t="str">
        <f t="array" ref="F103:F103">OFFSET(E103,-1,1)</f>
        <v>1</v>
      </c>
      <c r="G103" s="426"/>
      <c r="H103" s="85"/>
      <c r="I103" s="426" t="s">
        <v>2253</v>
      </c>
      <c r="J103" s="1758"/>
      <c r="K103" s="124"/>
      <c r="L103" s="124"/>
      <c r="M103" s="124"/>
      <c r="N103" s="1758"/>
      <c r="O103" s="1758"/>
      <c r="P103" s="1758"/>
      <c r="Q103" s="1758"/>
      <c r="R103" s="1758"/>
      <c r="S103" s="1806"/>
      <c r="T103" s="465" cm="1" t="str">
        <f t="array" ref="T103:T103">T102</f>
        <v>true</v>
      </c>
      <c r="U103" s="1758"/>
      <c r="V103" s="1758"/>
      <c r="W103" s="1758"/>
      <c r="X103" s="1563"/>
      <c r="Y103" s="1758"/>
      <c r="Z103" s="1546"/>
      <c r="AA103" s="1758"/>
      <c r="AB103" s="299" t="s">
        <v>2254</v>
      </c>
      <c r="AC103" s="765" t="s">
        <v>2255</v>
      </c>
      <c r="AD103" s="300" t="s">
        <v>2256</v>
      </c>
      <c r="AE103" s="766" t="s">
        <v>1514</v>
      </c>
      <c r="AF103" s="298"/>
      <c r="AG103" s="298"/>
      <c r="AH103" s="846"/>
      <c r="AI103" s="1758"/>
      <c r="AJ103" s="1758"/>
      <c r="AK103" s="1758"/>
      <c r="AL103" s="997" t="s">
        <v>2257</v>
      </c>
      <c r="AM103" s="1758"/>
      <c r="AN103" s="1758"/>
      <c r="AO103" s="1758"/>
      <c r="AP103" s="1758"/>
      <c r="AQ103" s="1758"/>
    </row>
    <row s="1834" customFormat="1" customHeight="1" ht="14.25">
      <c r="A104" s="1758"/>
      <c r="B104" s="1416"/>
      <c r="C104" s="1758"/>
      <c r="D104" s="1758"/>
      <c r="E104" s="618">
        <v>15</v>
      </c>
      <c r="F104" s="50" cm="1" t="str">
        <f t="array" ref="F104:F104">OFFSET(E104,-1,1)</f>
        <v>1</v>
      </c>
      <c r="G104" s="426"/>
      <c r="H104" s="85"/>
      <c r="I104" s="426" t="s">
        <v>2258</v>
      </c>
      <c r="J104" s="1758"/>
      <c r="K104" s="124"/>
      <c r="L104" s="124"/>
      <c r="M104" s="124"/>
      <c r="N104" s="1758"/>
      <c r="O104" s="1758"/>
      <c r="P104" s="1758"/>
      <c r="Q104" s="1758"/>
      <c r="R104" s="1758"/>
      <c r="S104" s="1806"/>
      <c r="T104" s="465" cm="1" t="str">
        <f t="array" ref="T104:T104">T103</f>
        <v>true</v>
      </c>
      <c r="U104" s="1758"/>
      <c r="V104" s="1758"/>
      <c r="W104" s="1758"/>
      <c r="X104" s="1563"/>
      <c r="Y104" s="1758"/>
      <c r="Z104" s="1546"/>
      <c r="AA104" s="1758"/>
      <c r="AB104" s="299" t="s">
        <v>2259</v>
      </c>
      <c r="AC104" s="765" t="s">
        <v>2260</v>
      </c>
      <c r="AD104" s="300" t="s">
        <v>2261</v>
      </c>
      <c r="AE104" s="766" t="s">
        <v>1514</v>
      </c>
      <c r="AF104" s="298"/>
      <c r="AG104" s="298"/>
      <c r="AH104" s="846"/>
      <c r="AI104" s="1758"/>
      <c r="AJ104" s="1758"/>
      <c r="AK104" s="1758"/>
      <c r="AL104" s="997" t="s">
        <v>2262</v>
      </c>
      <c r="AM104" s="1758"/>
      <c r="AN104" s="1758"/>
      <c r="AO104" s="1758"/>
      <c r="AP104" s="1758"/>
      <c r="AQ104" s="1758"/>
    </row>
    <row s="1834" customFormat="1" customHeight="1" ht="43.5">
      <c r="A105" s="1758"/>
      <c r="B105" s="1416"/>
      <c r="C105" s="1758"/>
      <c r="D105" s="1758"/>
      <c r="E105" s="618">
        <v>45</v>
      </c>
      <c r="F105" s="50" cm="1" t="str">
        <f t="array" ref="F105:F105">OFFSET(E105,-1,1)</f>
        <v>1</v>
      </c>
      <c r="G105" s="426"/>
      <c r="H105" s="85"/>
      <c r="I105" s="426" t="s">
        <v>2263</v>
      </c>
      <c r="J105" s="1758"/>
      <c r="K105" s="124"/>
      <c r="L105" s="124"/>
      <c r="M105" s="124"/>
      <c r="N105" s="1758"/>
      <c r="O105" s="1758"/>
      <c r="P105" s="1758"/>
      <c r="Q105" s="1758"/>
      <c r="R105" s="1758"/>
      <c r="S105" s="1806"/>
      <c r="T105" s="465" cm="1" t="str">
        <f t="array" ref="T105:T105">T104</f>
        <v>true</v>
      </c>
      <c r="U105" s="1758"/>
      <c r="V105" s="1758"/>
      <c r="W105" s="1758"/>
      <c r="X105" s="1563"/>
      <c r="Y105" s="1758"/>
      <c r="Z105" s="1546"/>
      <c r="AA105" s="1758"/>
      <c r="AB105" s="299" t="s">
        <v>2264</v>
      </c>
      <c r="AC105" s="765" t="s">
        <v>2265</v>
      </c>
      <c r="AD105" s="766" t="s">
        <v>2266</v>
      </c>
      <c r="AE105" s="766" t="s">
        <v>1514</v>
      </c>
      <c r="AF105" s="298"/>
      <c r="AG105" s="298"/>
      <c r="AH105" s="846"/>
      <c r="AI105" s="1758"/>
      <c r="AJ105" s="1758"/>
      <c r="AK105" s="1758"/>
      <c r="AL105" s="997" t="s">
        <v>2267</v>
      </c>
      <c r="AM105" s="1758"/>
      <c r="AN105" s="1758"/>
      <c r="AO105" s="1758"/>
      <c r="AP105" s="1758"/>
      <c r="AQ105" s="1758"/>
    </row>
    <row s="1834" customFormat="1" customHeight="1" ht="21.75">
      <c r="A106" s="1758"/>
      <c r="B106" s="1416"/>
      <c r="C106" s="1758"/>
      <c r="D106" s="1758"/>
      <c r="E106" s="618">
        <v>22.5</v>
      </c>
      <c r="F106" s="50" cm="1" t="str">
        <f t="array" ref="F106:F106">OFFSET(E106,-1,1)</f>
        <v>1</v>
      </c>
      <c r="G106" s="426"/>
      <c r="H106" s="85"/>
      <c r="I106" s="426" t="s">
        <v>2268</v>
      </c>
      <c r="J106" s="1758"/>
      <c r="K106" s="124"/>
      <c r="L106" s="124"/>
      <c r="M106" s="124"/>
      <c r="N106" s="1758"/>
      <c r="O106" s="1758"/>
      <c r="P106" s="1758"/>
      <c r="Q106" s="1758"/>
      <c r="R106" s="1758"/>
      <c r="S106" s="1806"/>
      <c r="T106" s="465" cm="1" t="str">
        <f t="array" ref="T106:T106">T105</f>
        <v>true</v>
      </c>
      <c r="U106" s="1758"/>
      <c r="V106" s="1758"/>
      <c r="W106" s="1758"/>
      <c r="X106" s="1563"/>
      <c r="Y106" s="1758"/>
      <c r="Z106" s="1546"/>
      <c r="AA106" s="1758"/>
      <c r="AB106" s="299" t="s">
        <v>2269</v>
      </c>
      <c r="AC106" s="762" t="s">
        <v>2270</v>
      </c>
      <c r="AD106" s="766" t="s">
        <v>2271</v>
      </c>
      <c r="AE106" s="766" t="s">
        <v>1514</v>
      </c>
      <c r="AF106" s="298"/>
      <c r="AG106" s="298"/>
      <c r="AH106" s="846"/>
      <c r="AI106" s="1758"/>
      <c r="AJ106" s="1758"/>
      <c r="AK106" s="1758"/>
      <c r="AL106" s="997" t="s">
        <v>2272</v>
      </c>
      <c r="AM106" s="1758"/>
      <c r="AN106" s="1758"/>
      <c r="AO106" s="1758"/>
      <c r="AP106" s="1758"/>
      <c r="AQ106" s="1758"/>
    </row>
    <row s="1834" customFormat="1" customHeight="1" ht="76.5" hidden="1">
      <c r="A107" s="1758"/>
      <c r="B107" s="428">
        <f>S78="Водоотведение"</f>
        <v>0</v>
      </c>
      <c r="C107" s="1758"/>
      <c r="D107" s="1758"/>
      <c r="E107" s="618">
        <v>78.75</v>
      </c>
      <c r="F107" s="50" cm="1" t="str">
        <f t="array" ref="F107:F107">OFFSET(E107,-1,1)</f>
        <v>1</v>
      </c>
      <c r="G107" s="426"/>
      <c r="H107" s="85"/>
      <c r="I107" s="426"/>
      <c r="J107" s="1758"/>
      <c r="K107" s="124"/>
      <c r="L107" s="124"/>
      <c r="M107" s="124"/>
      <c r="N107" s="1758"/>
      <c r="O107" s="1758"/>
      <c r="P107" s="1758"/>
      <c r="Q107" s="1758"/>
      <c r="R107" s="1758"/>
      <c r="S107" s="1806"/>
      <c r="T107" s="465" cm="1" t="str">
        <f t="array" ref="T107:T107">T106</f>
        <v>true</v>
      </c>
      <c r="U107" s="1758"/>
      <c r="V107" s="1758"/>
      <c r="W107" s="1758"/>
      <c r="X107" s="1563"/>
      <c r="Y107" s="1758"/>
      <c r="Z107" s="1546"/>
      <c r="AA107" s="1758"/>
      <c r="AB107" s="299" t="s">
        <v>2273</v>
      </c>
      <c r="AC107" s="762" t="s">
        <v>2274</v>
      </c>
      <c r="AD107" s="766"/>
      <c r="AE107" s="766" t="s">
        <v>1514</v>
      </c>
      <c r="AF107" s="4725"/>
      <c r="AG107" s="4725"/>
      <c r="AH107" s="1947"/>
      <c r="AI107" s="1758"/>
      <c r="AJ107" s="1758"/>
      <c r="AK107" s="1758"/>
      <c r="AL107" s="997" t="s">
        <v>2275</v>
      </c>
      <c r="AM107" s="1758"/>
      <c r="AN107" s="1758"/>
      <c r="AO107" s="1758"/>
      <c r="AP107" s="1758"/>
      <c r="AQ107" s="1758"/>
    </row>
    <row s="1834" customFormat="1" customHeight="1" ht="54.75" hidden="1">
      <c r="A108" s="1758"/>
      <c r="B108" s="428" cm="1" t="str">
        <f t="array" ref="B108:B108">B107</f>
        <v>false</v>
      </c>
      <c r="C108" s="1758"/>
      <c r="D108" s="1758"/>
      <c r="E108" s="618">
        <v>56.25</v>
      </c>
      <c r="F108" s="50" cm="1" t="str">
        <f t="array" ref="F108:F108">OFFSET(E108,-1,1)</f>
        <v>1</v>
      </c>
      <c r="G108" s="426"/>
      <c r="H108" s="85"/>
      <c r="I108" s="426"/>
      <c r="J108" s="1758"/>
      <c r="K108" s="124"/>
      <c r="L108" s="124"/>
      <c r="M108" s="124"/>
      <c r="N108" s="1758"/>
      <c r="O108" s="1758"/>
      <c r="P108" s="1758"/>
      <c r="Q108" s="1758"/>
      <c r="R108" s="1758"/>
      <c r="S108" s="1806"/>
      <c r="T108" s="465" cm="1" t="str">
        <f t="array" ref="T108:T108">T107</f>
        <v>true</v>
      </c>
      <c r="U108" s="1758"/>
      <c r="V108" s="1758"/>
      <c r="W108" s="1758"/>
      <c r="X108" s="1563"/>
      <c r="Y108" s="1758"/>
      <c r="Z108" s="1546"/>
      <c r="AA108" s="1758"/>
      <c r="AB108" s="299" t="s">
        <v>2276</v>
      </c>
      <c r="AC108" s="762" t="s">
        <v>2277</v>
      </c>
      <c r="AD108" s="766"/>
      <c r="AE108" s="766" t="s">
        <v>1514</v>
      </c>
      <c r="AF108" s="4725"/>
      <c r="AG108" s="4725"/>
      <c r="AH108" s="1947"/>
      <c r="AI108" s="1758"/>
      <c r="AJ108" s="1758"/>
      <c r="AK108" s="1758"/>
      <c r="AL108" s="997" t="s">
        <v>2102</v>
      </c>
      <c r="AM108" s="1758"/>
      <c r="AN108" s="1758"/>
      <c r="AO108" s="1758"/>
      <c r="AP108" s="1758"/>
      <c r="AQ108" s="1758"/>
    </row>
    <row s="1834" customFormat="1" customHeight="1" ht="14.25">
      <c r="A109" s="1758"/>
      <c r="B109" s="1416"/>
      <c r="C109" s="1758"/>
      <c r="D109" s="1758"/>
      <c r="E109" s="618">
        <v>15</v>
      </c>
      <c r="F109" s="50" cm="1" t="str">
        <f t="array" ref="F109:F109">OFFSET(E109,-1,1)</f>
        <v>1</v>
      </c>
      <c r="G109" s="426"/>
      <c r="H109" s="85"/>
      <c r="I109" s="426"/>
      <c r="J109" s="1758"/>
      <c r="K109" s="124"/>
      <c r="L109" s="124"/>
      <c r="M109" s="124"/>
      <c r="N109" s="1758"/>
      <c r="O109" s="1758"/>
      <c r="P109" s="1758"/>
      <c r="Q109" s="1758"/>
      <c r="R109" s="1758"/>
      <c r="S109" s="1806"/>
      <c r="T109" s="465" cm="1" t="str">
        <f t="array" ref="T109:T109">T108</f>
        <v>true</v>
      </c>
      <c r="U109" s="1758"/>
      <c r="V109" s="1758"/>
      <c r="W109" s="1758"/>
      <c r="X109" s="1563"/>
      <c r="Y109" s="1758"/>
      <c r="Z109" s="1546"/>
      <c r="AA109" s="1758"/>
      <c r="AB109" s="300" t="str">
        <f>IF(B108,"2.12","2.10")</f>
        <v>2.10</v>
      </c>
      <c r="AC109" s="762" t="s">
        <v>2278</v>
      </c>
      <c r="AD109" s="766" t="s">
        <v>2279</v>
      </c>
      <c r="AE109" s="766" t="s">
        <v>1514</v>
      </c>
      <c r="AF109" s="298">
        <f>AF110+AF111</f>
        <v>0</v>
      </c>
      <c r="AG109" s="298">
        <f>AG110+AG111</f>
        <v>0</v>
      </c>
      <c r="AH109" s="846"/>
      <c r="AI109" s="1758"/>
      <c r="AJ109" s="1758"/>
      <c r="AK109" s="1758"/>
      <c r="AL109" s="997" t="s">
        <v>2280</v>
      </c>
      <c r="AM109" s="1758"/>
      <c r="AN109" s="1758"/>
      <c r="AO109" s="1758"/>
      <c r="AP109" s="1758"/>
      <c r="AQ109" s="1758"/>
    </row>
    <row s="1834" customFormat="1" customHeight="1" ht="21.75">
      <c r="A110" s="1758"/>
      <c r="B110" s="1416"/>
      <c r="C110" s="1758"/>
      <c r="D110" s="1758"/>
      <c r="E110" s="618">
        <v>22.5</v>
      </c>
      <c r="F110" s="50" cm="1" t="str">
        <f t="array" ref="F110:F110">OFFSET(E110,-1,1)</f>
        <v>1</v>
      </c>
      <c r="G110" s="426"/>
      <c r="H110" s="85"/>
      <c r="I110" s="426"/>
      <c r="J110" s="1758"/>
      <c r="K110" s="124"/>
      <c r="L110" s="124"/>
      <c r="M110" s="124"/>
      <c r="N110" s="1758"/>
      <c r="O110" s="1758"/>
      <c r="P110" s="1758"/>
      <c r="Q110" s="1758"/>
      <c r="R110" s="1758"/>
      <c r="S110" s="1806"/>
      <c r="T110" s="465" cm="1" t="str">
        <f t="array" ref="T110:T110">T109</f>
        <v>true</v>
      </c>
      <c r="U110" s="1758"/>
      <c r="V110" s="1758"/>
      <c r="W110" s="1758"/>
      <c r="X110" s="1563"/>
      <c r="Y110" s="1758"/>
      <c r="Z110" s="1546"/>
      <c r="AA110" s="1758"/>
      <c r="AB110" s="300" t="str">
        <f>AB109&amp;".1"</f>
        <v>2.10.1</v>
      </c>
      <c r="AC110" s="762" t="s">
        <v>2281</v>
      </c>
      <c r="AD110" s="766" t="s">
        <v>2279</v>
      </c>
      <c r="AE110" s="766" t="s">
        <v>1514</v>
      </c>
      <c r="AF110" s="298"/>
      <c r="AG110" s="298"/>
      <c r="AH110" s="846"/>
      <c r="AI110" s="1758"/>
      <c r="AJ110" s="1758"/>
      <c r="AK110" s="1758"/>
      <c r="AL110" s="997" t="s">
        <v>2282</v>
      </c>
      <c r="AM110" s="1758"/>
      <c r="AN110" s="1758"/>
      <c r="AO110" s="1758"/>
      <c r="AP110" s="1758"/>
      <c r="AQ110" s="1758"/>
    </row>
    <row s="1834" customFormat="1" customHeight="1" ht="21.75">
      <c r="A111" s="1758"/>
      <c r="B111" s="1416"/>
      <c r="C111" s="1758"/>
      <c r="D111" s="1758"/>
      <c r="E111" s="618">
        <v>22.5</v>
      </c>
      <c r="F111" s="50" cm="1" t="str">
        <f t="array" ref="F111:F111">OFFSET(E111,-1,1)</f>
        <v>1</v>
      </c>
      <c r="G111" s="426"/>
      <c r="H111" s="85"/>
      <c r="I111" s="426"/>
      <c r="J111" s="1758"/>
      <c r="K111" s="124"/>
      <c r="L111" s="124"/>
      <c r="M111" s="124"/>
      <c r="N111" s="1758"/>
      <c r="O111" s="1758"/>
      <c r="P111" s="1758"/>
      <c r="Q111" s="1758"/>
      <c r="R111" s="1758"/>
      <c r="S111" s="1806"/>
      <c r="T111" s="465" cm="1" t="str">
        <f t="array" ref="T111:T111">T110</f>
        <v>true</v>
      </c>
      <c r="U111" s="1758"/>
      <c r="V111" s="1758"/>
      <c r="W111" s="1758"/>
      <c r="X111" s="1563"/>
      <c r="Y111" s="1758"/>
      <c r="Z111" s="1546"/>
      <c r="AA111" s="1758"/>
      <c r="AB111" s="300" t="str">
        <f>AB109&amp;".2"</f>
        <v>2.10.2</v>
      </c>
      <c r="AC111" s="762" t="s">
        <v>2283</v>
      </c>
      <c r="AD111" s="766" t="s">
        <v>2279</v>
      </c>
      <c r="AE111" s="766" t="s">
        <v>1514</v>
      </c>
      <c r="AF111" s="298"/>
      <c r="AG111" s="298"/>
      <c r="AH111" s="846"/>
      <c r="AI111" s="1758"/>
      <c r="AJ111" s="1758"/>
      <c r="AK111" s="1758"/>
      <c r="AL111" s="997" t="s">
        <v>2284</v>
      </c>
      <c r="AM111" s="1758"/>
      <c r="AN111" s="1758"/>
      <c r="AO111" s="1758"/>
      <c r="AP111" s="1758"/>
      <c r="AQ111" s="1758"/>
    </row>
    <row s="1834" customFormat="1" customHeight="1" ht="14.25">
      <c r="A112" s="1758"/>
      <c r="B112" s="1416"/>
      <c r="C112" s="1758"/>
      <c r="D112" s="1758"/>
      <c r="E112" s="618">
        <v>15</v>
      </c>
      <c r="F112" s="50" cm="1" t="str">
        <f t="array" ref="F112:F112">OFFSET(E112,-1,1)</f>
        <v>1</v>
      </c>
      <c r="G112" s="426"/>
      <c r="H112" s="85"/>
      <c r="I112" s="426"/>
      <c r="J112" s="1758"/>
      <c r="K112" s="124"/>
      <c r="L112" s="124"/>
      <c r="M112" s="124"/>
      <c r="N112" s="1758"/>
      <c r="O112" s="1758"/>
      <c r="P112" s="1758"/>
      <c r="Q112" s="1758"/>
      <c r="R112" s="1758"/>
      <c r="S112" s="1806"/>
      <c r="T112" s="465" cm="1" t="str">
        <f t="array" ref="T112:T112">T111</f>
        <v>true</v>
      </c>
      <c r="U112" s="1758"/>
      <c r="V112" s="1758"/>
      <c r="W112" s="1758"/>
      <c r="X112" s="1563"/>
      <c r="Y112" s="1758"/>
      <c r="Z112" s="1546"/>
      <c r="AA112" s="1758"/>
      <c r="AB112" s="300" t="str">
        <f>IF(B108,"2.13","2.11")</f>
        <v>2.11</v>
      </c>
      <c r="AC112" s="762" t="s">
        <v>2285</v>
      </c>
      <c r="AD112" s="766" t="s">
        <v>2279</v>
      </c>
      <c r="AE112" s="766" t="s">
        <v>1514</v>
      </c>
      <c r="AF112" s="298"/>
      <c r="AG112" s="298"/>
      <c r="AH112" s="846"/>
      <c r="AI112" s="1758"/>
      <c r="AJ112" s="1758"/>
      <c r="AK112" s="1758"/>
      <c r="AL112" s="997" t="s">
        <v>2286</v>
      </c>
      <c r="AM112" s="1758"/>
      <c r="AN112" s="1758"/>
      <c r="AO112" s="1758"/>
      <c r="AP112" s="1758"/>
      <c r="AQ112" s="1758"/>
    </row>
    <row s="1834" customFormat="1" customHeight="1" ht="14.25">
      <c r="A113" s="1758"/>
      <c r="B113" s="1416"/>
      <c r="C113" s="1758"/>
      <c r="D113" s="1758"/>
      <c r="E113" s="618">
        <v>15</v>
      </c>
      <c r="F113" s="50" cm="1" t="str">
        <f t="array" ref="F113:F113">OFFSET(E113,-1,1)</f>
        <v>1</v>
      </c>
      <c r="G113" s="426"/>
      <c r="H113" s="85"/>
      <c r="I113" s="426"/>
      <c r="J113" s="1758"/>
      <c r="K113" s="124"/>
      <c r="L113" s="124"/>
      <c r="M113" s="124"/>
      <c r="N113" s="1758"/>
      <c r="O113" s="1758"/>
      <c r="P113" s="1758"/>
      <c r="Q113" s="1758"/>
      <c r="R113" s="1758"/>
      <c r="S113" s="1806"/>
      <c r="T113" s="465" cm="1" t="str">
        <f t="array" ref="T113:T113">T112</f>
        <v>true</v>
      </c>
      <c r="U113" s="1758"/>
      <c r="V113" s="1758"/>
      <c r="W113" s="1758"/>
      <c r="X113" s="1563"/>
      <c r="Y113" s="1758"/>
      <c r="Z113" s="1546"/>
      <c r="AA113" s="1758"/>
      <c r="AB113" s="300" t="str">
        <f>IF(B108,"2.14","2.12")</f>
        <v>2.12</v>
      </c>
      <c r="AC113" s="762" t="s">
        <v>2287</v>
      </c>
      <c r="AD113" s="766" t="s">
        <v>2279</v>
      </c>
      <c r="AE113" s="766" t="s">
        <v>1514</v>
      </c>
      <c r="AF113" s="298"/>
      <c r="AG113" s="298"/>
      <c r="AH113" s="846"/>
      <c r="AI113" s="1758"/>
      <c r="AJ113" s="1758"/>
      <c r="AK113" s="1758"/>
      <c r="AL113" s="997" t="s">
        <v>2288</v>
      </c>
      <c r="AM113" s="1758"/>
      <c r="AN113" s="1758"/>
      <c r="AO113" s="1758"/>
      <c r="AP113" s="1758"/>
      <c r="AQ113" s="1758"/>
    </row>
    <row s="1469" customFormat="1" customHeight="1" ht="21.75">
      <c r="A114" s="698"/>
      <c r="B114" s="431"/>
      <c r="C114" s="698"/>
      <c r="D114" s="698"/>
      <c r="E114" s="691">
        <v>22.5</v>
      </c>
      <c r="F114" s="50" cm="1" t="str">
        <f t="array" ref="F114:F114">OFFSET(E114,-1,1)</f>
        <v>1</v>
      </c>
      <c r="G114" s="147"/>
      <c r="H114" s="147"/>
      <c r="I114" s="426" t="s">
        <v>333</v>
      </c>
      <c r="J114" s="698"/>
      <c r="K114" s="497"/>
      <c r="L114" s="497"/>
      <c r="M114" s="497"/>
      <c r="N114" s="698"/>
      <c r="O114" s="698"/>
      <c r="P114" s="698"/>
      <c r="Q114" s="698"/>
      <c r="R114" s="698"/>
      <c r="S114" s="698"/>
      <c r="T114" s="465" cm="1" t="str">
        <f t="array" ref="T114:T114">T113</f>
        <v>true</v>
      </c>
      <c r="U114" s="698"/>
      <c r="V114" s="698"/>
      <c r="W114" s="698"/>
      <c r="X114" s="1563"/>
      <c r="Y114" s="698"/>
      <c r="Z114" s="1546"/>
      <c r="AA114" s="698"/>
      <c r="AB114" s="211" t="s">
        <v>2289</v>
      </c>
      <c r="AC114" s="212" t="s">
        <v>2290</v>
      </c>
      <c r="AD114" s="211" t="s">
        <v>2152</v>
      </c>
      <c r="AE114" s="234" t="s">
        <v>1514</v>
      </c>
      <c r="AF114" s="844" cm="1" t="str">
        <f t="array" ref="AF114:AF114">AF115</f>
        <v>0</v>
      </c>
      <c r="AG114" s="844" cm="1" t="str">
        <f t="array" ref="AG114:AG114">AG115</f>
        <v>0</v>
      </c>
      <c r="AH114" s="845"/>
      <c r="AI114" s="698"/>
      <c r="AJ114" s="698"/>
      <c r="AK114" s="698"/>
      <c r="AL114" s="1051" t="s">
        <v>2291</v>
      </c>
      <c r="AM114" s="698"/>
      <c r="AN114" s="698"/>
      <c r="AO114" s="698"/>
      <c r="AP114" s="698"/>
      <c r="AQ114" s="698"/>
    </row>
    <row s="1834" customFormat="1" customHeight="1" ht="32.25">
      <c r="A115" s="1758"/>
      <c r="B115" s="1416"/>
      <c r="C115" s="1758"/>
      <c r="D115" s="1758"/>
      <c r="E115" s="618">
        <v>33.75</v>
      </c>
      <c r="F115" s="50" cm="1" t="str">
        <f t="array" ref="F115:F115">OFFSET(E115,-1,1)</f>
        <v>1</v>
      </c>
      <c r="G115" s="426"/>
      <c r="H115" s="85"/>
      <c r="I115" s="426" t="s">
        <v>1193</v>
      </c>
      <c r="J115" s="1758"/>
      <c r="K115" s="124"/>
      <c r="L115" s="124"/>
      <c r="M115" s="124"/>
      <c r="N115" s="1758"/>
      <c r="O115" s="1758"/>
      <c r="P115" s="1758"/>
      <c r="Q115" s="1758"/>
      <c r="R115" s="1758"/>
      <c r="S115" s="1806"/>
      <c r="T115" s="465" cm="1" t="str">
        <f t="array" ref="T115:T115">T114</f>
        <v>true</v>
      </c>
      <c r="U115" s="1758"/>
      <c r="V115" s="1758"/>
      <c r="W115" s="1758"/>
      <c r="X115" s="1563"/>
      <c r="Y115" s="1758"/>
      <c r="Z115" s="1546"/>
      <c r="AA115" s="1758"/>
      <c r="AB115" s="299" t="s">
        <v>276</v>
      </c>
      <c r="AC115" s="452" t="s">
        <v>2292</v>
      </c>
      <c r="AD115" s="300" t="s">
        <v>2293</v>
      </c>
      <c r="AE115" s="766" t="s">
        <v>1514</v>
      </c>
      <c r="AF115" s="934">
        <f>AF116+AF117</f>
        <v>0</v>
      </c>
      <c r="AG115" s="934">
        <f>AG116+AG117</f>
        <v>0</v>
      </c>
      <c r="AH115" s="846"/>
      <c r="AI115" s="1758"/>
      <c r="AJ115" s="1758"/>
      <c r="AK115" s="1758"/>
      <c r="AL115" s="997" t="s">
        <v>2294</v>
      </c>
      <c r="AM115" s="1758"/>
      <c r="AN115" s="1758"/>
      <c r="AO115" s="1758"/>
      <c r="AP115" s="1758"/>
      <c r="AQ115" s="1758"/>
    </row>
    <row s="1834" customFormat="1" customHeight="1" ht="43.5">
      <c r="A116" s="1758"/>
      <c r="B116" s="1416"/>
      <c r="C116" s="1758"/>
      <c r="D116" s="1758"/>
      <c r="E116" s="618">
        <v>45</v>
      </c>
      <c r="F116" s="50" cm="1" t="str">
        <f t="array" ref="F116:F116">OFFSET(E116,-1,1)</f>
        <v>1</v>
      </c>
      <c r="G116" s="426"/>
      <c r="H116" s="85"/>
      <c r="I116" s="426" t="s">
        <v>2295</v>
      </c>
      <c r="J116" s="1758"/>
      <c r="K116" s="124"/>
      <c r="L116" s="124"/>
      <c r="M116" s="124"/>
      <c r="N116" s="1758"/>
      <c r="O116" s="1758"/>
      <c r="P116" s="1758"/>
      <c r="Q116" s="1758"/>
      <c r="R116" s="1758"/>
      <c r="S116" s="1806"/>
      <c r="T116" s="465" cm="1" t="str">
        <f t="array" ref="T116:T116">T115</f>
        <v>true</v>
      </c>
      <c r="U116" s="1758"/>
      <c r="V116" s="1758"/>
      <c r="W116" s="1758"/>
      <c r="X116" s="1563"/>
      <c r="Y116" s="1758"/>
      <c r="Z116" s="1546"/>
      <c r="AA116" s="1758"/>
      <c r="AB116" s="299" t="s">
        <v>1628</v>
      </c>
      <c r="AC116" s="762" t="s">
        <v>2296</v>
      </c>
      <c r="AD116" s="300" t="s">
        <v>2297</v>
      </c>
      <c r="AE116" s="766" t="s">
        <v>1514</v>
      </c>
      <c r="AF116" s="298"/>
      <c r="AG116" s="298"/>
      <c r="AH116" s="846"/>
      <c r="AI116" s="1758"/>
      <c r="AJ116" s="1758"/>
      <c r="AK116" s="1758"/>
      <c r="AL116" s="997" t="s">
        <v>2298</v>
      </c>
      <c r="AM116" s="1758"/>
      <c r="AN116" s="1758"/>
      <c r="AO116" s="1758"/>
      <c r="AP116" s="1758"/>
      <c r="AQ116" s="1758"/>
    </row>
    <row s="1834" customFormat="1" customHeight="1" ht="32.25">
      <c r="A117" s="1758"/>
      <c r="B117" s="1416"/>
      <c r="C117" s="1758"/>
      <c r="D117" s="1758"/>
      <c r="E117" s="618">
        <v>33.75</v>
      </c>
      <c r="F117" s="50" cm="1" t="str">
        <f t="array" ref="F117:F117">OFFSET(E117,-1,1)</f>
        <v>1</v>
      </c>
      <c r="G117" s="426"/>
      <c r="H117" s="85"/>
      <c r="I117" s="426" t="s">
        <v>2299</v>
      </c>
      <c r="J117" s="1758"/>
      <c r="K117" s="124"/>
      <c r="L117" s="124"/>
      <c r="M117" s="124"/>
      <c r="N117" s="1758"/>
      <c r="O117" s="1758"/>
      <c r="P117" s="1758"/>
      <c r="Q117" s="1758"/>
      <c r="R117" s="1758"/>
      <c r="S117" s="1806"/>
      <c r="T117" s="465" cm="1" t="str">
        <f t="array" ref="T117:T117">T116</f>
        <v>true</v>
      </c>
      <c r="U117" s="1758"/>
      <c r="V117" s="1758"/>
      <c r="W117" s="1758"/>
      <c r="X117" s="1563"/>
      <c r="Y117" s="1758"/>
      <c r="Z117" s="1546"/>
      <c r="AA117" s="1758"/>
      <c r="AB117" s="299" t="s">
        <v>1631</v>
      </c>
      <c r="AC117" s="762" t="s">
        <v>2300</v>
      </c>
      <c r="AD117" s="300" t="s">
        <v>2301</v>
      </c>
      <c r="AE117" s="766" t="s">
        <v>1514</v>
      </c>
      <c r="AF117" s="298"/>
      <c r="AG117" s="298"/>
      <c r="AH117" s="846"/>
      <c r="AI117" s="1758"/>
      <c r="AJ117" s="1758"/>
      <c r="AK117" s="1758"/>
      <c r="AL117" s="997" t="s">
        <v>2302</v>
      </c>
      <c r="AM117" s="1758"/>
      <c r="AN117" s="1758"/>
      <c r="AO117" s="1758"/>
      <c r="AP117" s="1758"/>
      <c r="AQ117" s="1758"/>
    </row>
    <row s="1834" customFormat="1" customHeight="1" ht="33.75">
      <c r="A118" s="1758"/>
      <c r="B118" s="1416"/>
      <c r="C118" s="1758"/>
      <c r="D118" s="1758"/>
      <c r="E118" s="618">
        <v>35</v>
      </c>
      <c r="F118" s="50" cm="1" t="str">
        <f t="array" ref="F118:F118">OFFSET(E118,-1,1)</f>
        <v>1</v>
      </c>
      <c r="G118" s="426"/>
      <c r="H118" s="85"/>
      <c r="I118" s="426" t="s">
        <v>334</v>
      </c>
      <c r="J118" s="1758"/>
      <c r="K118" s="124" t="str">
        <f>F118&amp;"1komm"</f>
        <v>11komm</v>
      </c>
      <c r="L118" s="919" cm="1" t="str">
        <f t="array" ref="L118:L118">AH118</f>
        <v>0</v>
      </c>
      <c r="M118" s="124"/>
      <c r="N118" s="1758"/>
      <c r="O118" s="1758"/>
      <c r="P118" s="1758"/>
      <c r="Q118" s="1758"/>
      <c r="R118" s="1758"/>
      <c r="S118" s="1806"/>
      <c r="T118" s="465" cm="1" t="str">
        <f t="array" ref="T118:T118">T117</f>
        <v>true</v>
      </c>
      <c r="U118" s="1758"/>
      <c r="V118" s="1758"/>
      <c r="W118" s="1758"/>
      <c r="X118" s="1563"/>
      <c r="Y118" s="1758"/>
      <c r="Z118" s="1546"/>
      <c r="AA118" s="1758"/>
      <c r="AB118" s="234" t="s">
        <v>2303</v>
      </c>
      <c r="AC118" s="212" t="s">
        <v>2304</v>
      </c>
      <c r="AD118" s="211" t="s">
        <v>2305</v>
      </c>
      <c r="AE118" s="234" t="s">
        <v>1514</v>
      </c>
      <c r="AF118" s="382"/>
      <c r="AG118" s="382"/>
      <c r="AH118" s="846"/>
      <c r="AI118" s="1758"/>
      <c r="AJ118" s="1758"/>
      <c r="AK118" s="1758"/>
      <c r="AL118" s="997" t="s">
        <v>2306</v>
      </c>
      <c r="AM118" s="1758"/>
      <c r="AN118" s="1758"/>
      <c r="AO118" s="1758"/>
      <c r="AP118" s="1758"/>
      <c r="AQ118" s="1758"/>
    </row>
    <row s="1834" customFormat="1" customHeight="1" ht="107.25">
      <c r="A119" s="1758"/>
      <c r="B119" s="1416"/>
      <c r="C119" s="1758"/>
      <c r="D119" s="1758"/>
      <c r="E119" s="618">
        <v>110</v>
      </c>
      <c r="F119" s="50" cm="1" t="str">
        <f t="array" ref="F119:F119">OFFSET(E119,-1,1)</f>
        <v>1</v>
      </c>
      <c r="G119" s="426"/>
      <c r="H119" s="85"/>
      <c r="I119" s="426" t="s">
        <v>336</v>
      </c>
      <c r="J119" s="1758"/>
      <c r="K119" s="124" t="str">
        <f>F119&amp;"2komm"</f>
        <v>12komm</v>
      </c>
      <c r="L119" s="919" cm="1" t="str">
        <f t="array" ref="L119:L119">AH119</f>
        <v>0</v>
      </c>
      <c r="M119" s="124"/>
      <c r="N119" s="1758"/>
      <c r="O119" s="1758"/>
      <c r="P119" s="1758"/>
      <c r="Q119" s="1758"/>
      <c r="R119" s="1758"/>
      <c r="S119" s="1806"/>
      <c r="T119" s="465" cm="1" t="str">
        <f t="array" ref="T119:T119">T118</f>
        <v>true</v>
      </c>
      <c r="U119" s="1758"/>
      <c r="V119" s="1758"/>
      <c r="W119" s="1758"/>
      <c r="X119" s="1563"/>
      <c r="Y119" s="1758"/>
      <c r="Z119" s="1546"/>
      <c r="AA119" s="1758"/>
      <c r="AB119" s="234" t="s">
        <v>2307</v>
      </c>
      <c r="AC119" s="212" t="s">
        <v>2308</v>
      </c>
      <c r="AD119" s="211" t="s">
        <v>2309</v>
      </c>
      <c r="AE119" s="234" t="s">
        <v>1514</v>
      </c>
      <c r="AF119" s="382"/>
      <c r="AG119" s="382"/>
      <c r="AH119" s="846"/>
      <c r="AI119" s="1758"/>
      <c r="AJ119" s="1758"/>
      <c r="AK119" s="1758"/>
      <c r="AL119" s="997" t="s">
        <v>1745</v>
      </c>
      <c r="AM119" s="1758"/>
      <c r="AN119" s="1758"/>
      <c r="AO119" s="1758"/>
      <c r="AP119" s="1758"/>
      <c r="AQ119" s="1758"/>
    </row>
    <row s="1834" customFormat="1" customHeight="1" ht="76.5" hidden="1">
      <c r="A120" s="1758"/>
      <c r="B120" s="428">
        <f>S78="Водоотведение"</f>
        <v>0</v>
      </c>
      <c r="C120" s="1758"/>
      <c r="D120" s="1758"/>
      <c r="E120" s="618">
        <v>78.75</v>
      </c>
      <c r="F120" s="50" cm="1" t="str">
        <f t="array" ref="F120:F120">OFFSET(E120,-1,1)</f>
        <v>1</v>
      </c>
      <c r="G120" s="1021"/>
      <c r="H120" s="49"/>
      <c r="I120" s="122" t="s">
        <v>335</v>
      </c>
      <c r="J120" s="1758"/>
      <c r="K120" s="124" t="str">
        <f>F120&amp;"3komm"</f>
        <v>13komm</v>
      </c>
      <c r="L120" s="919" cm="1" t="str">
        <f t="array" ref="L120:L120">AH120</f>
        <v>0</v>
      </c>
      <c r="M120" s="124"/>
      <c r="N120" s="1758"/>
      <c r="O120" s="1758"/>
      <c r="P120" s="1758"/>
      <c r="Q120" s="1758"/>
      <c r="R120" s="1758"/>
      <c r="S120" s="1806"/>
      <c r="T120" s="465" cm="1" t="str">
        <f t="array" ref="T120:T120">T119</f>
        <v>true</v>
      </c>
      <c r="U120" s="1758"/>
      <c r="V120" s="1758"/>
      <c r="W120" s="1758"/>
      <c r="X120" s="1563"/>
      <c r="Y120" s="1758"/>
      <c r="Z120" s="1546"/>
      <c r="AA120" s="1758"/>
      <c r="AB120" s="234" t="s">
        <v>2310</v>
      </c>
      <c r="AC120" s="212" t="s">
        <v>2311</v>
      </c>
      <c r="AD120" s="211"/>
      <c r="AE120" s="234" t="s">
        <v>1514</v>
      </c>
      <c r="AF120" s="5199"/>
      <c r="AG120" s="3658">
        <f>_xlfn.IFERROR(_xlfn.SUMIFS('Плата за негативное возд'!$AL$24:$AL$41,'Плата за негативное возд'!$F$24:$F$41,F120,'Плата за негативное возд'!$AB$24:$AB$41,"1"),0)</f>
        <v>0</v>
      </c>
      <c r="AH120" s="1947"/>
      <c r="AI120" s="1758"/>
      <c r="AJ120" s="1758"/>
      <c r="AK120" s="1758"/>
      <c r="AL120" s="997" t="s">
        <v>2312</v>
      </c>
      <c r="AM120" s="1758"/>
      <c r="AN120" s="1758"/>
      <c r="AO120" s="1758"/>
      <c r="AP120" s="1758"/>
      <c r="AQ120" s="1758"/>
    </row>
    <row s="1834" customFormat="1" customHeight="1" ht="54.75" hidden="1">
      <c r="A121" s="1758"/>
      <c r="B121" s="428" cm="1" t="str">
        <f t="array" ref="B121:B121">B120</f>
        <v>false</v>
      </c>
      <c r="C121" s="1758"/>
      <c r="D121" s="1758"/>
      <c r="E121" s="618">
        <v>56.25</v>
      </c>
      <c r="F121" s="50" cm="1" t="str">
        <f t="array" ref="F121:F121">OFFSET(E121,-1,1)</f>
        <v>1</v>
      </c>
      <c r="G121" s="1021"/>
      <c r="H121" s="49"/>
      <c r="I121" s="122" t="s">
        <v>1225</v>
      </c>
      <c r="J121" s="1758"/>
      <c r="K121" s="124" t="str">
        <f>F121&amp;"4komm"</f>
        <v>14komm</v>
      </c>
      <c r="L121" s="919" cm="1" t="str">
        <f t="array" ref="L121:L121">AH121</f>
        <v>0</v>
      </c>
      <c r="M121" s="124"/>
      <c r="N121" s="1758"/>
      <c r="O121" s="1758"/>
      <c r="P121" s="1758"/>
      <c r="Q121" s="1758"/>
      <c r="R121" s="1758"/>
      <c r="S121" s="1806"/>
      <c r="T121" s="465" cm="1" t="str">
        <f t="array" ref="T121:T121">T120</f>
        <v>true</v>
      </c>
      <c r="U121" s="1758"/>
      <c r="V121" s="1758"/>
      <c r="W121" s="1758"/>
      <c r="X121" s="1563"/>
      <c r="Y121" s="1758"/>
      <c r="Z121" s="1546"/>
      <c r="AA121" s="1758"/>
      <c r="AB121" s="234" t="s">
        <v>2313</v>
      </c>
      <c r="AC121" s="212" t="s">
        <v>2314</v>
      </c>
      <c r="AD121" s="211"/>
      <c r="AE121" s="234" t="s">
        <v>1514</v>
      </c>
      <c r="AF121" s="5199"/>
      <c r="AG121" s="3658">
        <f>_xlfn.IFERROR(_xlfn.SUMIFS('Плата за негативное возд'!$AL$24:$AL$41,'Плата за негативное возд'!$F$24:$F$41,F121,'Плата за негативное возд'!$AB$24:$AB$41,"2"),0)</f>
        <v>0</v>
      </c>
      <c r="AH121" s="1947"/>
      <c r="AI121" s="1758"/>
      <c r="AJ121" s="1758"/>
      <c r="AK121" s="1758"/>
      <c r="AL121" s="997" t="s">
        <v>2315</v>
      </c>
      <c r="AM121" s="1758"/>
      <c r="AN121" s="1758"/>
      <c r="AO121" s="1758"/>
      <c r="AP121" s="1758"/>
      <c r="AQ121" s="1758"/>
    </row>
    <row s="1834" customFormat="1" customHeight="1" ht="14.25">
      <c r="A122" s="1758"/>
      <c r="B122" s="1416"/>
      <c r="C122" s="1758"/>
      <c r="D122" s="1758"/>
      <c r="E122" s="618">
        <v>15</v>
      </c>
      <c r="F122" s="50" cm="1" t="str">
        <f t="array" ref="F122:F122">OFFSET(E122,-1,1)</f>
        <v>1</v>
      </c>
      <c r="G122" s="1021"/>
      <c r="H122" s="85"/>
      <c r="I122" s="122" t="s">
        <v>1228</v>
      </c>
      <c r="J122" s="1758"/>
      <c r="K122" s="124" t="str">
        <f>F122&amp;"5komm"</f>
        <v>15komm</v>
      </c>
      <c r="L122" s="919" cm="1" t="str">
        <f t="array" ref="L122:L122">AH122</f>
        <v>0</v>
      </c>
      <c r="M122" s="124"/>
      <c r="N122" s="1758"/>
      <c r="O122" s="1758"/>
      <c r="P122" s="1758"/>
      <c r="Q122" s="1758"/>
      <c r="R122" s="1758"/>
      <c r="S122" s="1806"/>
      <c r="T122" s="465" cm="1" t="str">
        <f t="array" ref="T122:T122">T121</f>
        <v>true</v>
      </c>
      <c r="U122" s="1758"/>
      <c r="V122" s="1758"/>
      <c r="W122" s="1758"/>
      <c r="X122" s="1563"/>
      <c r="Y122" s="1758"/>
      <c r="Z122" s="1546"/>
      <c r="AA122" s="1758"/>
      <c r="AB122" s="234" t="str">
        <f>IF(B121,"VII","V")</f>
        <v>V</v>
      </c>
      <c r="AC122" s="212" t="s">
        <v>2316</v>
      </c>
      <c r="AD122" s="211"/>
      <c r="AE122" s="234" t="s">
        <v>1514</v>
      </c>
      <c r="AF122" s="382"/>
      <c r="AG122" s="382"/>
      <c r="AH122" s="846"/>
      <c r="AI122" s="1758"/>
      <c r="AJ122" s="1758"/>
      <c r="AK122" s="1758"/>
      <c r="AL122" s="997" t="s">
        <v>2317</v>
      </c>
      <c r="AM122" s="1758"/>
      <c r="AN122" s="1758"/>
      <c r="AO122" s="1758"/>
      <c r="AP122" s="1758"/>
      <c r="AQ122" s="1758"/>
    </row>
    <row s="1469" customFormat="1" customHeight="1" ht="14.25">
      <c r="A123" s="698"/>
      <c r="B123" s="431"/>
      <c r="C123" s="698"/>
      <c r="D123" s="698"/>
      <c r="E123" s="691">
        <v>15</v>
      </c>
      <c r="F123" s="50" cm="1" t="str">
        <f t="array" ref="F123:F123">OFFSET(E123,-1,1)</f>
        <v>1</v>
      </c>
      <c r="G123" s="497"/>
      <c r="H123" s="698"/>
      <c r="I123" s="241" t="s">
        <v>1275</v>
      </c>
      <c r="J123" s="698"/>
      <c r="K123" s="124" t="str">
        <f>F123&amp;"6komm"</f>
        <v>16komm</v>
      </c>
      <c r="L123" s="919" cm="1" t="str">
        <f t="array" ref="L123:L123">AH123</f>
        <v>0</v>
      </c>
      <c r="M123" s="497"/>
      <c r="N123" s="698"/>
      <c r="O123" s="698"/>
      <c r="P123" s="698"/>
      <c r="Q123" s="698"/>
      <c r="R123" s="698"/>
      <c r="S123" s="698"/>
      <c r="T123" s="465" cm="1" t="str">
        <f t="array" ref="T123:T123">T122</f>
        <v>true</v>
      </c>
      <c r="U123" s="698"/>
      <c r="V123" s="698"/>
      <c r="W123" s="698"/>
      <c r="X123" s="1563"/>
      <c r="Y123" s="698"/>
      <c r="Z123" s="1546"/>
      <c r="AA123" s="698"/>
      <c r="AB123" s="234" t="str">
        <f>IF(B121,"VIII","VI")</f>
        <v>VI</v>
      </c>
      <c r="AC123" s="212" t="s">
        <v>2278</v>
      </c>
      <c r="AD123" s="211"/>
      <c r="AE123" s="234" t="s">
        <v>1514</v>
      </c>
      <c r="AF123" s="382">
        <f>AF124+AF125</f>
        <v>0</v>
      </c>
      <c r="AG123" s="382">
        <f>AG124+AG125</f>
        <v>0</v>
      </c>
      <c r="AH123" s="846"/>
      <c r="AI123" s="698"/>
      <c r="AJ123" s="698"/>
      <c r="AK123" s="698"/>
      <c r="AL123" s="1051" t="s">
        <v>2318</v>
      </c>
      <c r="AM123" s="698"/>
      <c r="AN123" s="698"/>
      <c r="AO123" s="698"/>
      <c r="AP123" s="698"/>
      <c r="AQ123" s="698"/>
    </row>
    <row s="1834" customFormat="1" customHeight="1" ht="21.75">
      <c r="A124" s="1758"/>
      <c r="B124" s="1416"/>
      <c r="C124" s="1758"/>
      <c r="D124" s="1758"/>
      <c r="E124" s="618">
        <v>22.5</v>
      </c>
      <c r="F124" s="50" cm="1" t="str">
        <f t="array" ref="F124:F124">OFFSET(E124,-1,1)</f>
        <v>1</v>
      </c>
      <c r="G124" s="1021"/>
      <c r="H124" s="85"/>
      <c r="I124" s="122" t="s">
        <v>1278</v>
      </c>
      <c r="J124" s="1758"/>
      <c r="K124" s="124" t="str">
        <f>F124&amp;"7komm"</f>
        <v>17komm</v>
      </c>
      <c r="L124" s="919" cm="1" t="str">
        <f t="array" ref="L124:L124">AH124</f>
        <v>0</v>
      </c>
      <c r="M124" s="124"/>
      <c r="N124" s="1758"/>
      <c r="O124" s="1758"/>
      <c r="P124" s="1758"/>
      <c r="Q124" s="1758"/>
      <c r="R124" s="1758"/>
      <c r="S124" s="1806"/>
      <c r="T124" s="465" cm="1" t="str">
        <f t="array" ref="T124:T124">T123</f>
        <v>true</v>
      </c>
      <c r="U124" s="1758"/>
      <c r="V124" s="1758"/>
      <c r="W124" s="1758"/>
      <c r="X124" s="1563"/>
      <c r="Y124" s="1758"/>
      <c r="Z124" s="1546"/>
      <c r="AA124" s="1758"/>
      <c r="AB124" s="766">
        <v>1</v>
      </c>
      <c r="AC124" s="762" t="s">
        <v>2281</v>
      </c>
      <c r="AD124" s="300"/>
      <c r="AE124" s="766" t="s">
        <v>1514</v>
      </c>
      <c r="AF124" s="298"/>
      <c r="AG124" s="298"/>
      <c r="AH124" s="846"/>
      <c r="AI124" s="1758"/>
      <c r="AJ124" s="1758"/>
      <c r="AK124" s="1758"/>
      <c r="AL124" s="997" t="s">
        <v>2319</v>
      </c>
      <c r="AM124" s="1758"/>
      <c r="AN124" s="1758"/>
      <c r="AO124" s="1758"/>
      <c r="AP124" s="1758"/>
      <c r="AQ124" s="1758"/>
    </row>
    <row s="1834" customFormat="1" customHeight="1" ht="21.75">
      <c r="A125" s="1758"/>
      <c r="B125" s="1416"/>
      <c r="C125" s="1758"/>
      <c r="D125" s="1758"/>
      <c r="E125" s="618">
        <v>22.5</v>
      </c>
      <c r="F125" s="50" cm="1" t="str">
        <f t="array" ref="F125:F125">OFFSET(E125,-1,1)</f>
        <v>1</v>
      </c>
      <c r="G125" s="1021"/>
      <c r="H125" s="85"/>
      <c r="I125" s="122" t="s">
        <v>1282</v>
      </c>
      <c r="J125" s="1758"/>
      <c r="K125" s="124" t="str">
        <f>F125&amp;"8komm"</f>
        <v>18komm</v>
      </c>
      <c r="L125" s="919" cm="1" t="str">
        <f t="array" ref="L125:L125">AH125</f>
        <v>0</v>
      </c>
      <c r="M125" s="124"/>
      <c r="N125" s="1758"/>
      <c r="O125" s="1758"/>
      <c r="P125" s="1758"/>
      <c r="Q125" s="1758"/>
      <c r="R125" s="1758"/>
      <c r="S125" s="1806"/>
      <c r="T125" s="465" cm="1" t="str">
        <f t="array" ref="T125:T125">T124</f>
        <v>true</v>
      </c>
      <c r="U125" s="1758"/>
      <c r="V125" s="1758"/>
      <c r="W125" s="1758"/>
      <c r="X125" s="1563"/>
      <c r="Y125" s="1758"/>
      <c r="Z125" s="1546"/>
      <c r="AA125" s="1758"/>
      <c r="AB125" s="766">
        <v>2</v>
      </c>
      <c r="AC125" s="762" t="s">
        <v>2283</v>
      </c>
      <c r="AD125" s="300"/>
      <c r="AE125" s="766" t="s">
        <v>1514</v>
      </c>
      <c r="AF125" s="298"/>
      <c r="AG125" s="298"/>
      <c r="AH125" s="846"/>
      <c r="AI125" s="1758"/>
      <c r="AJ125" s="1758"/>
      <c r="AK125" s="1758"/>
      <c r="AL125" s="997" t="s">
        <v>2320</v>
      </c>
      <c r="AM125" s="1758"/>
      <c r="AN125" s="1758"/>
      <c r="AO125" s="1758"/>
      <c r="AP125" s="1758"/>
      <c r="AQ125" s="1758"/>
    </row>
    <row s="1834" customFormat="1" customHeight="1" ht="14.25">
      <c r="A126" s="1758"/>
      <c r="B126" s="1416"/>
      <c r="C126" s="1758"/>
      <c r="D126" s="1758"/>
      <c r="E126" s="618">
        <v>15</v>
      </c>
      <c r="F126" s="50" cm="1" t="str">
        <f t="array" ref="F126:F126">OFFSET(E126,-1,1)</f>
        <v>1</v>
      </c>
      <c r="G126" s="1021"/>
      <c r="H126" s="85"/>
      <c r="I126" s="122" t="s">
        <v>1290</v>
      </c>
      <c r="J126" s="1758"/>
      <c r="K126" s="124" t="str">
        <f>F126&amp;"9komm"</f>
        <v>19komm</v>
      </c>
      <c r="L126" s="919" cm="1" t="str">
        <f t="array" ref="L126:L126">AH126</f>
        <v>0</v>
      </c>
      <c r="M126" s="124"/>
      <c r="N126" s="1758"/>
      <c r="O126" s="1758"/>
      <c r="P126" s="1758"/>
      <c r="Q126" s="1758"/>
      <c r="R126" s="1758"/>
      <c r="S126" s="1806"/>
      <c r="T126" s="465" cm="1" t="str">
        <f t="array" ref="T126:T126">T125</f>
        <v>true</v>
      </c>
      <c r="U126" s="1758"/>
      <c r="V126" s="1758"/>
      <c r="W126" s="1758"/>
      <c r="X126" s="1563"/>
      <c r="Y126" s="1758"/>
      <c r="Z126" s="1546"/>
      <c r="AA126" s="1758"/>
      <c r="AB126" s="234" t="str">
        <f>IF(B121,"IX","VIII")</f>
        <v>VIII</v>
      </c>
      <c r="AC126" s="212" t="s">
        <v>2285</v>
      </c>
      <c r="AD126" s="211"/>
      <c r="AE126" s="234" t="s">
        <v>1514</v>
      </c>
      <c r="AF126" s="382"/>
      <c r="AG126" s="382"/>
      <c r="AH126" s="846"/>
      <c r="AI126" s="1758"/>
      <c r="AJ126" s="1758"/>
      <c r="AK126" s="1758"/>
      <c r="AL126" s="997" t="s">
        <v>2321</v>
      </c>
      <c r="AM126" s="1758"/>
      <c r="AN126" s="1758"/>
      <c r="AO126" s="1758"/>
      <c r="AP126" s="1758"/>
      <c r="AQ126" s="1758"/>
    </row>
    <row s="1834" customFormat="1" customHeight="1" ht="14.25">
      <c r="A127" s="1758"/>
      <c r="B127" s="1416"/>
      <c r="C127" s="1758"/>
      <c r="D127" s="1758"/>
      <c r="E127" s="618">
        <v>15</v>
      </c>
      <c r="F127" s="50" cm="1" t="str">
        <f t="array" ref="F127:F127">OFFSET(E127,-1,1)</f>
        <v>1</v>
      </c>
      <c r="G127" s="1021"/>
      <c r="H127" s="85"/>
      <c r="I127" s="122" t="s">
        <v>1297</v>
      </c>
      <c r="J127" s="1758"/>
      <c r="K127" s="124" t="str">
        <f>F127&amp;"10komm"</f>
        <v>110komm</v>
      </c>
      <c r="L127" s="919" cm="1" t="str">
        <f t="array" ref="L127:L127">AH127</f>
        <v>0</v>
      </c>
      <c r="M127" s="124"/>
      <c r="N127" s="1758"/>
      <c r="O127" s="1758"/>
      <c r="P127" s="1758"/>
      <c r="Q127" s="1758"/>
      <c r="R127" s="1758"/>
      <c r="S127" s="1806"/>
      <c r="T127" s="465" cm="1" t="str">
        <f t="array" ref="T127:T127">T126</f>
        <v>true</v>
      </c>
      <c r="U127" s="1758"/>
      <c r="V127" s="1758"/>
      <c r="W127" s="1758"/>
      <c r="X127" s="1563"/>
      <c r="Y127" s="1758"/>
      <c r="Z127" s="1546"/>
      <c r="AA127" s="1758"/>
      <c r="AB127" s="234" t="str">
        <f>IF(B121,"X","IX")</f>
        <v>IX</v>
      </c>
      <c r="AC127" s="212" t="s">
        <v>2287</v>
      </c>
      <c r="AD127" s="211"/>
      <c r="AE127" s="234" t="s">
        <v>1514</v>
      </c>
      <c r="AF127" s="382"/>
      <c r="AG127" s="382"/>
      <c r="AH127" s="846"/>
      <c r="AI127" s="1758"/>
      <c r="AJ127" s="1758"/>
      <c r="AK127" s="1758"/>
      <c r="AL127" s="997" t="s">
        <v>2322</v>
      </c>
      <c r="AM127" s="1758"/>
      <c r="AN127" s="1758"/>
      <c r="AO127" s="1758"/>
      <c r="AP127" s="1758"/>
      <c r="AQ127" s="1758"/>
    </row>
    <row s="1469" customFormat="1" customHeight="1" ht="14.25">
      <c r="A128" s="698"/>
      <c r="B128" s="431"/>
      <c r="C128" s="698"/>
      <c r="D128" s="698"/>
      <c r="E128" s="691">
        <v>15</v>
      </c>
      <c r="F128" s="50" cm="1" t="str">
        <f t="array" ref="F128:F128">OFFSET(E128,-1,1)</f>
        <v>1</v>
      </c>
      <c r="G128" s="497"/>
      <c r="H128" s="698"/>
      <c r="I128" s="241" t="s">
        <v>1454</v>
      </c>
      <c r="J128" s="698"/>
      <c r="K128" s="124" t="str">
        <f>F128&amp;"11komm"</f>
        <v>111komm</v>
      </c>
      <c r="L128" s="919" cm="1" t="str">
        <f t="array" ref="L128:L128">AH128</f>
        <v>0</v>
      </c>
      <c r="M128" s="497"/>
      <c r="N128" s="698"/>
      <c r="O128" s="698"/>
      <c r="P128" s="698"/>
      <c r="Q128" s="698"/>
      <c r="R128" s="698"/>
      <c r="S128" s="698"/>
      <c r="T128" s="465" cm="1" t="str">
        <f t="array" ref="T128:T128">T127</f>
        <v>true</v>
      </c>
      <c r="U128" s="698"/>
      <c r="V128" s="698"/>
      <c r="W128" s="698"/>
      <c r="X128" s="1563"/>
      <c r="Y128" s="698"/>
      <c r="Z128" s="1546"/>
      <c r="AA128" s="698"/>
      <c r="AB128" s="234" t="str">
        <f>IF(B121,"XI","X")</f>
        <v>X</v>
      </c>
      <c r="AC128" s="219" t="s">
        <v>2323</v>
      </c>
      <c r="AD128" s="211"/>
      <c r="AE128" s="234" t="s">
        <v>1514</v>
      </c>
      <c r="AF128" s="937">
        <f>AF79+AF114+AF118+AF119+AF120+AF121+AF122+AF123+AF126+AF127</f>
        <v>0</v>
      </c>
      <c r="AG128" s="937">
        <f>AG79+AG114+AG118+AG119+AG120+AG121+AG122+AG123+AG126+AG127</f>
        <v>0</v>
      </c>
      <c r="AH128" s="846"/>
      <c r="AI128" s="698"/>
      <c r="AJ128" s="698"/>
      <c r="AK128" s="698"/>
      <c r="AL128" s="1051" t="s">
        <v>2324</v>
      </c>
      <c r="AM128" s="698"/>
      <c r="AN128" s="698"/>
      <c r="AO128" s="698"/>
      <c r="AP128" s="698"/>
      <c r="AQ128" s="698"/>
    </row>
    <row s="1834" customFormat="1" customHeight="1" ht="14.25">
      <c r="A129" s="1758"/>
      <c r="B129" s="1416"/>
      <c r="C129" s="1758"/>
      <c r="D129" s="1758"/>
      <c r="E129" s="618">
        <v>15</v>
      </c>
      <c r="F129" s="98" cm="1" t="str">
        <f t="array" ref="F129:F129">X129</f>
        <v>2</v>
      </c>
      <c r="G129" s="493"/>
      <c r="H129" s="85"/>
      <c r="I129" s="1758"/>
      <c r="J129" s="1758"/>
      <c r="K129" s="1758"/>
      <c r="L129" s="1758"/>
      <c r="M129" s="1758"/>
      <c r="N129" s="1758"/>
      <c r="O129" s="1758"/>
      <c r="P129" s="1758"/>
      <c r="Q129" s="1758"/>
      <c r="R129" s="1758"/>
      <c r="S129" s="1172" cm="1" t="str">
        <f t="array" ref="S129:S129">INDEX('Общие сведения'!$AE$179:$AE$250,MATCH($X129,'Общие сведения'!$Z$179:$Z$250,0))</f>
        <v>Водоснабжение</v>
      </c>
      <c r="T129" s="465">
        <f>X129&gt;0</f>
        <v>1</v>
      </c>
      <c r="U129" s="1758"/>
      <c r="V129" s="122" cm="1" t="str">
        <f t="array" ref="V129:V129">'Плата за негативное возд'!$AB$32</f>
        <v>Тариф 2 (Водоснабжение) - тариф на питьевую воду (Доп. признак не требуется)</v>
      </c>
      <c r="W129" s="1758"/>
      <c r="X129" s="1563" t="s">
        <v>285</v>
      </c>
      <c r="Y129" s="1758"/>
      <c r="Z129" s="1546"/>
      <c r="AA129" s="1758"/>
      <c r="AB129" s="381" cm="1" t="str">
        <f t="array" ref="AB129:AB129">'Плата за негативное возд'!$AB$32</f>
        <v>Тариф 2 (Водоснабжение) - тариф на питьевую воду (Доп. признак не требуется)</v>
      </c>
      <c r="AC129" s="381"/>
      <c r="AD129" s="381"/>
      <c r="AE129" s="381"/>
      <c r="AF129" s="381"/>
      <c r="AG129" s="381"/>
      <c r="AH129" s="381"/>
      <c r="AI129" s="1758"/>
      <c r="AJ129" s="1758"/>
      <c r="AK129" s="1758"/>
      <c r="AL129" s="1764"/>
      <c r="AM129" s="1758"/>
      <c r="AN129" s="1758"/>
      <c r="AO129" s="1758"/>
      <c r="AP129" s="1758"/>
      <c r="AQ129" s="1758"/>
    </row>
    <row s="1469" customFormat="1" customHeight="1" ht="43.5">
      <c r="A130" s="698"/>
      <c r="B130" s="431"/>
      <c r="C130" s="698"/>
      <c r="D130" s="698"/>
      <c r="E130" s="691">
        <v>45</v>
      </c>
      <c r="F130" s="50" cm="1" t="str">
        <f t="array" ref="F130:F130">OFFSET(E130,-1,1)</f>
        <v>2</v>
      </c>
      <c r="G130" s="497"/>
      <c r="H130" s="698"/>
      <c r="I130" s="122" t="s">
        <v>332</v>
      </c>
      <c r="J130" s="698"/>
      <c r="K130" s="124"/>
      <c r="L130" s="924"/>
      <c r="M130" s="497"/>
      <c r="N130" s="698"/>
      <c r="O130" s="698"/>
      <c r="P130" s="698"/>
      <c r="Q130" s="698"/>
      <c r="R130" s="698"/>
      <c r="S130" s="698"/>
      <c r="T130" s="465" cm="1" t="str">
        <f t="array" ref="T130:T130">T129</f>
        <v>true</v>
      </c>
      <c r="U130" s="698"/>
      <c r="V130" s="698"/>
      <c r="W130" s="698"/>
      <c r="X130" s="1563"/>
      <c r="Y130" s="698"/>
      <c r="Z130" s="1546"/>
      <c r="AA130" s="698"/>
      <c r="AB130" s="841" t="s">
        <v>2150</v>
      </c>
      <c r="AC130" s="842" t="s">
        <v>2151</v>
      </c>
      <c r="AD130" s="841" t="s">
        <v>2152</v>
      </c>
      <c r="AE130" s="843" t="s">
        <v>1514</v>
      </c>
      <c r="AF130" s="844">
        <f>AF132-AF131</f>
        <v>0</v>
      </c>
      <c r="AG130" s="844">
        <f>AG132-AG131</f>
        <v>0</v>
      </c>
      <c r="AH130" s="845"/>
      <c r="AI130" s="698"/>
      <c r="AJ130" s="698"/>
      <c r="AK130" s="698"/>
      <c r="AL130" s="1051" t="s">
        <v>2153</v>
      </c>
      <c r="AM130" s="698"/>
      <c r="AN130" s="698"/>
      <c r="AO130" s="698"/>
      <c r="AP130" s="698"/>
      <c r="AQ130" s="698"/>
    </row>
    <row s="1469" customFormat="1" customHeight="1" ht="14.25">
      <c r="A131" s="698"/>
      <c r="B131" s="431"/>
      <c r="C131" s="698"/>
      <c r="D131" s="698"/>
      <c r="E131" s="691">
        <v>15</v>
      </c>
      <c r="F131" s="50" cm="1" t="str">
        <f t="array" ref="F131:F131">OFFSET(E131,-1,1)</f>
        <v>2</v>
      </c>
      <c r="G131" s="497"/>
      <c r="H131" s="698"/>
      <c r="I131" s="122" t="s">
        <v>1175</v>
      </c>
      <c r="J131" s="698"/>
      <c r="K131" s="497"/>
      <c r="L131" s="497"/>
      <c r="M131" s="497"/>
      <c r="N131" s="698"/>
      <c r="O131" s="698"/>
      <c r="P131" s="698"/>
      <c r="Q131" s="698"/>
      <c r="R131" s="698"/>
      <c r="S131" s="698"/>
      <c r="T131" s="465" cm="1" t="str">
        <f t="array" ref="T131:T131">T130</f>
        <v>true</v>
      </c>
      <c r="U131" s="698"/>
      <c r="V131" s="698"/>
      <c r="W131" s="698"/>
      <c r="X131" s="1563"/>
      <c r="Y131" s="698"/>
      <c r="Z131" s="1546"/>
      <c r="AA131" s="698"/>
      <c r="AB131" s="218" t="s">
        <v>276</v>
      </c>
      <c r="AC131" s="219" t="s">
        <v>2154</v>
      </c>
      <c r="AD131" s="211" t="s">
        <v>2155</v>
      </c>
      <c r="AE131" s="234" t="s">
        <v>1514</v>
      </c>
      <c r="AF131" s="382"/>
      <c r="AG131" s="382"/>
      <c r="AH131" s="845"/>
      <c r="AI131" s="698"/>
      <c r="AJ131" s="698"/>
      <c r="AK131" s="698"/>
      <c r="AL131" s="1051" t="s">
        <v>2156</v>
      </c>
      <c r="AM131" s="698"/>
      <c r="AN131" s="698"/>
      <c r="AO131" s="698"/>
      <c r="AP131" s="698"/>
      <c r="AQ131" s="698"/>
    </row>
    <row s="1469" customFormat="1" customHeight="1" ht="14.25">
      <c r="A132" s="698"/>
      <c r="B132" s="431"/>
      <c r="C132" s="698"/>
      <c r="D132" s="698"/>
      <c r="E132" s="691">
        <v>15</v>
      </c>
      <c r="F132" s="50" cm="1" t="str">
        <f t="array" ref="F132:F132">OFFSET(E132,-1,1)</f>
        <v>2</v>
      </c>
      <c r="G132" s="147"/>
      <c r="H132" s="147"/>
      <c r="I132" s="426" t="s">
        <v>1179</v>
      </c>
      <c r="J132" s="698"/>
      <c r="K132" s="497"/>
      <c r="L132" s="497"/>
      <c r="M132" s="497"/>
      <c r="N132" s="698"/>
      <c r="O132" s="698"/>
      <c r="P132" s="698"/>
      <c r="Q132" s="698"/>
      <c r="R132" s="698"/>
      <c r="S132" s="698"/>
      <c r="T132" s="465" cm="1" t="str">
        <f t="array" ref="T132:T132">T131</f>
        <v>true</v>
      </c>
      <c r="U132" s="698"/>
      <c r="V132" s="698"/>
      <c r="W132" s="698"/>
      <c r="X132" s="1563"/>
      <c r="Y132" s="698"/>
      <c r="Z132" s="1546"/>
      <c r="AA132" s="698"/>
      <c r="AB132" s="218" t="s">
        <v>285</v>
      </c>
      <c r="AC132" s="212" t="s">
        <v>2157</v>
      </c>
      <c r="AD132" s="211" t="s">
        <v>2158</v>
      </c>
      <c r="AE132" s="234" t="s">
        <v>1514</v>
      </c>
      <c r="AF132" s="844">
        <f>AF133+AF134+AF146+AF150+AF151+AF152+AF153+AF157+AF158+AF159+AF160+AF163+AF164</f>
        <v>0</v>
      </c>
      <c r="AG132" s="844">
        <f>AG133+AG134+AG146+AG150+AG151+AG152+AG153+AG157+AG158+AG159+AG160+AG163+AG164</f>
        <v>0</v>
      </c>
      <c r="AH132" s="845"/>
      <c r="AI132" s="698"/>
      <c r="AJ132" s="698"/>
      <c r="AK132" s="698"/>
      <c r="AL132" s="1051" t="s">
        <v>2159</v>
      </c>
      <c r="AM132" s="698"/>
      <c r="AN132" s="698"/>
      <c r="AO132" s="698"/>
      <c r="AP132" s="698"/>
      <c r="AQ132" s="698"/>
    </row>
    <row s="1834" customFormat="1" customHeight="1" ht="21.75">
      <c r="A133" s="1758"/>
      <c r="B133" s="1416"/>
      <c r="C133" s="1758"/>
      <c r="D133" s="1758"/>
      <c r="E133" s="618">
        <v>22.5</v>
      </c>
      <c r="F133" s="50" cm="1" t="str">
        <f t="array" ref="F133:F133">OFFSET(E133,-1,1)</f>
        <v>2</v>
      </c>
      <c r="G133" s="426" t="s">
        <v>2160</v>
      </c>
      <c r="H133" s="85"/>
      <c r="I133" s="426" t="s">
        <v>2068</v>
      </c>
      <c r="J133" s="1758"/>
      <c r="K133" s="124"/>
      <c r="L133" s="124"/>
      <c r="M133" s="124"/>
      <c r="N133" s="1758"/>
      <c r="O133" s="1758"/>
      <c r="P133" s="1758"/>
      <c r="Q133" s="1758"/>
      <c r="R133" s="1758"/>
      <c r="S133" s="1806"/>
      <c r="T133" s="465" cm="1" t="str">
        <f t="array" ref="T133:T133">T132</f>
        <v>true</v>
      </c>
      <c r="U133" s="1758"/>
      <c r="V133" s="1758"/>
      <c r="W133" s="1758"/>
      <c r="X133" s="1563"/>
      <c r="Y133" s="1758"/>
      <c r="Z133" s="1546"/>
      <c r="AA133" s="1758"/>
      <c r="AB133" s="299" t="s">
        <v>1250</v>
      </c>
      <c r="AC133" s="762" t="s">
        <v>2161</v>
      </c>
      <c r="AD133" s="300" t="s">
        <v>2162</v>
      </c>
      <c r="AE133" s="766" t="s">
        <v>1514</v>
      </c>
      <c r="AF133" s="298"/>
      <c r="AG133" s="298"/>
      <c r="AH133" s="846"/>
      <c r="AI133" s="1758"/>
      <c r="AJ133" s="1758"/>
      <c r="AK133" s="1758"/>
      <c r="AL133" s="997" t="s">
        <v>2163</v>
      </c>
      <c r="AM133" s="1758"/>
      <c r="AN133" s="1758"/>
      <c r="AO133" s="1758"/>
      <c r="AP133" s="1758"/>
      <c r="AQ133" s="1758"/>
    </row>
    <row s="1834" customFormat="1" customHeight="1" ht="21.75">
      <c r="A134" s="1758"/>
      <c r="B134" s="1416"/>
      <c r="C134" s="1758"/>
      <c r="D134" s="1758"/>
      <c r="E134" s="618">
        <v>22.5</v>
      </c>
      <c r="F134" s="50" cm="1" t="str">
        <f t="array" ref="F134:F134">OFFSET(E134,-1,1)</f>
        <v>2</v>
      </c>
      <c r="G134" s="426"/>
      <c r="H134" s="85"/>
      <c r="I134" s="426" t="s">
        <v>2071</v>
      </c>
      <c r="J134" s="1758"/>
      <c r="K134" s="124"/>
      <c r="L134" s="124"/>
      <c r="M134" s="124"/>
      <c r="N134" s="1758"/>
      <c r="O134" s="1758"/>
      <c r="P134" s="1758"/>
      <c r="Q134" s="1758"/>
      <c r="R134" s="1758"/>
      <c r="S134" s="1806"/>
      <c r="T134" s="465" cm="1" t="str">
        <f t="array" ref="T134:T134">T133</f>
        <v>true</v>
      </c>
      <c r="U134" s="1758"/>
      <c r="V134" s="1758"/>
      <c r="W134" s="1758"/>
      <c r="X134" s="1563"/>
      <c r="Y134" s="1758"/>
      <c r="Z134" s="1546"/>
      <c r="AA134" s="1758"/>
      <c r="AB134" s="299" t="s">
        <v>1254</v>
      </c>
      <c r="AC134" s="762" t="s">
        <v>2164</v>
      </c>
      <c r="AD134" s="300" t="s">
        <v>2165</v>
      </c>
      <c r="AE134" s="766" t="s">
        <v>1514</v>
      </c>
      <c r="AF134" s="934">
        <f>SUM(AF135:AF145)</f>
        <v>0</v>
      </c>
      <c r="AG134" s="934">
        <f>SUM(AG135:AG145)</f>
        <v>0</v>
      </c>
      <c r="AH134" s="846"/>
      <c r="AI134" s="1758"/>
      <c r="AJ134" s="1758"/>
      <c r="AK134" s="1758"/>
      <c r="AL134" s="997" t="s">
        <v>2166</v>
      </c>
      <c r="AM134" s="1758"/>
      <c r="AN134" s="1758"/>
      <c r="AO134" s="1758"/>
      <c r="AP134" s="1758"/>
      <c r="AQ134" s="1758"/>
    </row>
    <row s="1834" customFormat="1" customHeight="1" ht="21.75">
      <c r="A135" s="1758"/>
      <c r="B135" s="1416"/>
      <c r="C135" s="1758"/>
      <c r="D135" s="1758"/>
      <c r="E135" s="618">
        <v>22.5</v>
      </c>
      <c r="F135" s="50" cm="1" t="str">
        <f t="array" ref="F135:F135">OFFSET(E135,-1,1)</f>
        <v>2</v>
      </c>
      <c r="G135" s="426"/>
      <c r="H135" s="85"/>
      <c r="I135" s="426" t="s">
        <v>2167</v>
      </c>
      <c r="J135" s="1758"/>
      <c r="K135" s="124"/>
      <c r="L135" s="124"/>
      <c r="M135" s="124"/>
      <c r="N135" s="1758"/>
      <c r="O135" s="1758"/>
      <c r="P135" s="1758"/>
      <c r="Q135" s="1758"/>
      <c r="R135" s="1758"/>
      <c r="S135" s="1806"/>
      <c r="T135" s="465" cm="1" t="str">
        <f t="array" ref="T135:T135">T134</f>
        <v>true</v>
      </c>
      <c r="U135" s="1758"/>
      <c r="V135" s="1758"/>
      <c r="W135" s="1758"/>
      <c r="X135" s="1563"/>
      <c r="Y135" s="1758"/>
      <c r="Z135" s="1546"/>
      <c r="AA135" s="1758"/>
      <c r="AB135" s="784" t="s">
        <v>1207</v>
      </c>
      <c r="AC135" s="781" t="s">
        <v>2168</v>
      </c>
      <c r="AD135" s="766"/>
      <c r="AE135" s="766" t="s">
        <v>1514</v>
      </c>
      <c r="AF135" s="298">
        <f>_xlfn.SUMIFS(Покупка!$AF$25:$AF$372,Покупка!$F$25:$F$372,$F135,Покупка!$I$25:$I$372,"Итого_пок_усл")</f>
        <v>0</v>
      </c>
      <c r="AG135" s="298">
        <f>_xlfn.SUMIFS(Покупка!$AG$25:$AG$372,Покупка!$F$25:$F$372,$F135,Покупка!$I$25:$I$372,"Итого_пок_усл")</f>
        <v>0</v>
      </c>
      <c r="AH135" s="846"/>
      <c r="AI135" s="1758"/>
      <c r="AJ135" s="1758"/>
      <c r="AK135" s="1758"/>
      <c r="AL135" s="997" t="s">
        <v>2169</v>
      </c>
      <c r="AM135" s="1758"/>
      <c r="AN135" s="1758"/>
      <c r="AO135" s="1758"/>
      <c r="AP135" s="1758"/>
      <c r="AQ135" s="1758"/>
    </row>
    <row s="1834" customFormat="1" customHeight="1" ht="14.25">
      <c r="A136" s="1758"/>
      <c r="B136" s="1416"/>
      <c r="C136" s="1758"/>
      <c r="D136" s="1758"/>
      <c r="E136" s="618">
        <v>15</v>
      </c>
      <c r="F136" s="50" cm="1" t="str">
        <f t="array" ref="F136:F136">OFFSET(E136,-1,1)</f>
        <v>2</v>
      </c>
      <c r="G136" s="426"/>
      <c r="H136" s="85"/>
      <c r="I136" s="426" t="s">
        <v>2170</v>
      </c>
      <c r="J136" s="1758"/>
      <c r="K136" s="124"/>
      <c r="L136" s="124"/>
      <c r="M136" s="124"/>
      <c r="N136" s="1758"/>
      <c r="O136" s="1758"/>
      <c r="P136" s="1758"/>
      <c r="Q136" s="1758"/>
      <c r="R136" s="1758"/>
      <c r="S136" s="1806"/>
      <c r="T136" s="465" cm="1" t="str">
        <f t="array" ref="T136:T136">T135</f>
        <v>true</v>
      </c>
      <c r="U136" s="1758"/>
      <c r="V136" s="1758"/>
      <c r="W136" s="1758"/>
      <c r="X136" s="1563"/>
      <c r="Y136" s="1758"/>
      <c r="Z136" s="1546"/>
      <c r="AA136" s="1758"/>
      <c r="AB136" s="784" t="s">
        <v>2171</v>
      </c>
      <c r="AC136" s="781" t="s">
        <v>2172</v>
      </c>
      <c r="AD136" s="766"/>
      <c r="AE136" s="766" t="s">
        <v>1514</v>
      </c>
      <c r="AF136" s="298"/>
      <c r="AG136" s="298">
        <f>_xlfn.SUMIFS('Сырье и материалы'!AG$25:AG$163,'Сырье и материалы'!$F$25:$F$163,$F136,'Сырье и материалы'!$AC$25:$AC$163,"Всего по тарифу")</f>
        <v>0</v>
      </c>
      <c r="AH136" s="846"/>
      <c r="AI136" s="1758"/>
      <c r="AJ136" s="1758"/>
      <c r="AK136" s="1758"/>
      <c r="AL136" s="997" t="s">
        <v>2173</v>
      </c>
      <c r="AM136" s="1758"/>
      <c r="AN136" s="1758"/>
      <c r="AO136" s="1758"/>
      <c r="AP136" s="1758"/>
      <c r="AQ136" s="1758"/>
    </row>
    <row s="1834" customFormat="1" customHeight="1" ht="14.25">
      <c r="A137" s="1758"/>
      <c r="B137" s="1416"/>
      <c r="C137" s="1758"/>
      <c r="D137" s="1758"/>
      <c r="E137" s="618">
        <v>15</v>
      </c>
      <c r="F137" s="50" cm="1" t="str">
        <f t="array" ref="F137:F137">OFFSET(E137,-1,1)</f>
        <v>2</v>
      </c>
      <c r="G137" s="426"/>
      <c r="H137" s="85"/>
      <c r="I137" s="426" t="s">
        <v>2174</v>
      </c>
      <c r="J137" s="1758"/>
      <c r="K137" s="124"/>
      <c r="L137" s="124"/>
      <c r="M137" s="124"/>
      <c r="N137" s="1758"/>
      <c r="O137" s="1758"/>
      <c r="P137" s="1758"/>
      <c r="Q137" s="1758"/>
      <c r="R137" s="1758"/>
      <c r="S137" s="1806"/>
      <c r="T137" s="465" cm="1" t="str">
        <f t="array" ref="T137:T137">T136</f>
        <v>true</v>
      </c>
      <c r="U137" s="1758"/>
      <c r="V137" s="1758"/>
      <c r="W137" s="1758"/>
      <c r="X137" s="1563"/>
      <c r="Y137" s="1758"/>
      <c r="Z137" s="1546"/>
      <c r="AA137" s="1758"/>
      <c r="AB137" s="784" t="s">
        <v>2175</v>
      </c>
      <c r="AC137" s="781" t="s">
        <v>2176</v>
      </c>
      <c r="AD137" s="766"/>
      <c r="AE137" s="766" t="s">
        <v>1514</v>
      </c>
      <c r="AF137" s="298">
        <f>_xlfn.SUMIFS(Налоги!AF$25:AF$101,Налоги!$F$25:$F$101,$F137,Налоги!$AB$25:$AB$101,"0")</f>
        <v>0</v>
      </c>
      <c r="AG137" s="298">
        <f>_xlfn.SUMIFS(Налоги!AG$25:AG$101,Налоги!$F$25:$F$101,$F137,Налоги!$AB$25:$AB$101,"0")</f>
        <v>0</v>
      </c>
      <c r="AH137" s="846"/>
      <c r="AI137" s="1758"/>
      <c r="AJ137" s="1758"/>
      <c r="AK137" s="1758"/>
      <c r="AL137" s="997" t="s">
        <v>2177</v>
      </c>
      <c r="AM137" s="1758"/>
      <c r="AN137" s="1758"/>
      <c r="AO137" s="1758"/>
      <c r="AP137" s="1758"/>
      <c r="AQ137" s="1758"/>
    </row>
    <row s="1834" customFormat="1" customHeight="1" ht="65.25">
      <c r="A138" s="1758"/>
      <c r="B138" s="1416"/>
      <c r="C138" s="1758"/>
      <c r="D138" s="1758"/>
      <c r="E138" s="618">
        <v>67.5</v>
      </c>
      <c r="F138" s="50" cm="1" t="str">
        <f t="array" ref="F138:F138">OFFSET(E138,-1,1)</f>
        <v>2</v>
      </c>
      <c r="G138" s="107" t="s">
        <v>2178</v>
      </c>
      <c r="H138" s="85"/>
      <c r="I138" s="493" t="s">
        <v>2179</v>
      </c>
      <c r="J138" s="1758"/>
      <c r="K138" s="124"/>
      <c r="L138" s="124"/>
      <c r="M138" s="124"/>
      <c r="N138" s="1758"/>
      <c r="O138" s="1758"/>
      <c r="P138" s="1758"/>
      <c r="Q138" s="1758"/>
      <c r="R138" s="1758"/>
      <c r="S138" s="1806"/>
      <c r="T138" s="465" cm="1" t="str">
        <f t="array" ref="T138:T138">T137</f>
        <v>true</v>
      </c>
      <c r="U138" s="1758"/>
      <c r="V138" s="1758"/>
      <c r="W138" s="1758"/>
      <c r="X138" s="1563"/>
      <c r="Y138" s="1758"/>
      <c r="Z138" s="1546"/>
      <c r="AA138" s="1758"/>
      <c r="AB138" s="784" t="s">
        <v>2180</v>
      </c>
      <c r="AC138" s="781" t="s">
        <v>2181</v>
      </c>
      <c r="AD138" s="766"/>
      <c r="AE138" s="766" t="s">
        <v>1514</v>
      </c>
      <c r="AF138" s="298"/>
      <c r="AG138" s="298">
        <f>IF(AND(method_reg="Метод индексации",first_year=god),_xlfn.SUMIFS('Калькуляция (МИ)'!$AG$25:$AG$747,'Калькуляция (МИ)'!$F$25:$F$747,$F138,'Калькуляция (МИ)'!$G$25:$G$747,$G138),_xlfn.SUMIFS('Калькуляция (МИ корр)'!$AG$25:$AG$747,'Калькуляция (МИ корр)'!$F$25:$F$747,$F138,'Калькуляция (МИ корр)'!$G$25:$G$747,$G138))</f>
        <v>0</v>
      </c>
      <c r="AH138" s="846"/>
      <c r="AI138" s="1758"/>
      <c r="AJ138" s="1758"/>
      <c r="AK138" s="1758"/>
      <c r="AL138" s="997" t="s">
        <v>2182</v>
      </c>
      <c r="AM138" s="1758"/>
      <c r="AN138" s="1758"/>
      <c r="AO138" s="1758"/>
      <c r="AP138" s="1758"/>
      <c r="AQ138" s="1758"/>
    </row>
    <row s="1834" customFormat="1" customHeight="1" ht="14.25">
      <c r="A139" s="1758"/>
      <c r="B139" s="1416"/>
      <c r="C139" s="1758"/>
      <c r="D139" s="1758"/>
      <c r="E139" s="618">
        <v>15</v>
      </c>
      <c r="F139" s="50" cm="1" t="str">
        <f t="array" ref="F139:F139">OFFSET(E139,-1,1)</f>
        <v>2</v>
      </c>
      <c r="G139" s="107" t="s">
        <v>1730</v>
      </c>
      <c r="H139" s="85"/>
      <c r="I139" s="493" t="s">
        <v>2183</v>
      </c>
      <c r="J139" s="1758"/>
      <c r="K139" s="124"/>
      <c r="L139" s="124"/>
      <c r="M139" s="124"/>
      <c r="N139" s="1758"/>
      <c r="O139" s="1758"/>
      <c r="P139" s="1758"/>
      <c r="Q139" s="1758"/>
      <c r="R139" s="1758"/>
      <c r="S139" s="1806"/>
      <c r="T139" s="465" cm="1" t="str">
        <f t="array" ref="T139:T139">T138</f>
        <v>true</v>
      </c>
      <c r="U139" s="1758"/>
      <c r="V139" s="1758"/>
      <c r="W139" s="1758"/>
      <c r="X139" s="1563"/>
      <c r="Y139" s="1758"/>
      <c r="Z139" s="1546"/>
      <c r="AA139" s="1758"/>
      <c r="AB139" s="784" t="s">
        <v>2184</v>
      </c>
      <c r="AC139" s="781" t="s">
        <v>2185</v>
      </c>
      <c r="AD139" s="766"/>
      <c r="AE139" s="766" t="s">
        <v>1514</v>
      </c>
      <c r="AF139" s="298"/>
      <c r="AG139" s="298">
        <f>IF(AND(method_reg="Метод индексации",first_year=god),_xlfn.SUMIFS('Калькуляция (МИ)'!$AG$25:$AG$747,'Калькуляция (МИ)'!$F$25:$F$747,$F139,'Калькуляция (МИ)'!$G$25:$G$747,$G139),_xlfn.SUMIFS('Калькуляция (МИ корр)'!$AG$25:$AG$747,'Калькуляция (МИ корр)'!$F$25:$F$747,$F139,'Калькуляция (МИ корр)'!$G$25:$G$747,$G139))</f>
        <v>0</v>
      </c>
      <c r="AH139" s="846"/>
      <c r="AI139" s="1758"/>
      <c r="AJ139" s="1758"/>
      <c r="AK139" s="1758"/>
      <c r="AL139" s="997" t="s">
        <v>2186</v>
      </c>
      <c r="AM139" s="1758"/>
      <c r="AN139" s="1758"/>
      <c r="AO139" s="1758"/>
      <c r="AP139" s="1758"/>
      <c r="AQ139" s="1758"/>
    </row>
    <row s="1834" customFormat="1" customHeight="1" ht="14.25">
      <c r="A140" s="1758"/>
      <c r="B140" s="1416"/>
      <c r="C140" s="1758"/>
      <c r="D140" s="1758"/>
      <c r="E140" s="618">
        <v>15</v>
      </c>
      <c r="F140" s="50" cm="1" t="str">
        <f t="array" ref="F140:F140">OFFSET(E140,-1,1)</f>
        <v>2</v>
      </c>
      <c r="G140" s="107" t="s">
        <v>2187</v>
      </c>
      <c r="H140" s="85"/>
      <c r="I140" s="493" t="s">
        <v>2188</v>
      </c>
      <c r="J140" s="1758"/>
      <c r="K140" s="124"/>
      <c r="L140" s="124"/>
      <c r="M140" s="124"/>
      <c r="N140" s="1758"/>
      <c r="O140" s="1758"/>
      <c r="P140" s="1758"/>
      <c r="Q140" s="1758"/>
      <c r="R140" s="1758"/>
      <c r="S140" s="1806"/>
      <c r="T140" s="465" cm="1" t="str">
        <f t="array" ref="T140:T140">T139</f>
        <v>true</v>
      </c>
      <c r="U140" s="1758"/>
      <c r="V140" s="1758"/>
      <c r="W140" s="1758"/>
      <c r="X140" s="1563"/>
      <c r="Y140" s="1758"/>
      <c r="Z140" s="1546"/>
      <c r="AA140" s="1758"/>
      <c r="AB140" s="784" t="s">
        <v>2189</v>
      </c>
      <c r="AC140" s="781" t="s">
        <v>2190</v>
      </c>
      <c r="AD140" s="766"/>
      <c r="AE140" s="766" t="s">
        <v>1514</v>
      </c>
      <c r="AF140" s="298"/>
      <c r="AG140" s="298">
        <f>IF(AND(method_reg="Метод индексации",first_year=god),_xlfn.SUMIFS('Калькуляция (МИ)'!$AG$25:$AG$747,'Калькуляция (МИ)'!$F$25:$F$747,$F140,'Калькуляция (МИ)'!$G$25:$G$747,$G140),_xlfn.SUMIFS('Калькуляция (МИ корр)'!$AG$25:$AG$747,'Калькуляция (МИ корр)'!$F$25:$F$747,$F140,'Калькуляция (МИ корр)'!$G$25:$G$747,$G140))</f>
        <v>0</v>
      </c>
      <c r="AH140" s="846"/>
      <c r="AI140" s="1758"/>
      <c r="AJ140" s="1758"/>
      <c r="AK140" s="1758"/>
      <c r="AL140" s="997" t="s">
        <v>2191</v>
      </c>
      <c r="AM140" s="1758"/>
      <c r="AN140" s="1758"/>
      <c r="AO140" s="1758"/>
      <c r="AP140" s="1758"/>
      <c r="AQ140" s="1758"/>
    </row>
    <row s="1834" customFormat="1" customHeight="1" ht="21.75">
      <c r="A141" s="1758"/>
      <c r="B141" s="1416"/>
      <c r="C141" s="1758"/>
      <c r="D141" s="1758"/>
      <c r="E141" s="618">
        <v>22.5</v>
      </c>
      <c r="F141" s="50" cm="1" t="str">
        <f t="array" ref="F141:F141">OFFSET(E141,-1,1)</f>
        <v>2</v>
      </c>
      <c r="G141" s="107" t="s">
        <v>2192</v>
      </c>
      <c r="H141" s="85"/>
      <c r="I141" s="493" t="s">
        <v>2193</v>
      </c>
      <c r="J141" s="1758"/>
      <c r="K141" s="124"/>
      <c r="L141" s="124"/>
      <c r="M141" s="124"/>
      <c r="N141" s="1758"/>
      <c r="O141" s="1758"/>
      <c r="P141" s="1758"/>
      <c r="Q141" s="1758"/>
      <c r="R141" s="1758"/>
      <c r="S141" s="1806"/>
      <c r="T141" s="465" cm="1" t="str">
        <f t="array" ref="T141:T141">T140</f>
        <v>true</v>
      </c>
      <c r="U141" s="1758"/>
      <c r="V141" s="1758"/>
      <c r="W141" s="1758"/>
      <c r="X141" s="1563"/>
      <c r="Y141" s="1758"/>
      <c r="Z141" s="1546"/>
      <c r="AA141" s="1758"/>
      <c r="AB141" s="784" t="s">
        <v>2194</v>
      </c>
      <c r="AC141" s="781" t="s">
        <v>2195</v>
      </c>
      <c r="AD141" s="766"/>
      <c r="AE141" s="766" t="s">
        <v>1514</v>
      </c>
      <c r="AF141" s="298"/>
      <c r="AG141" s="298">
        <f>IF(AND(method_reg="Метод индексации",first_year=god),_xlfn.SUMIFS('Калькуляция (МИ)'!$AG$25:$AG$747,'Калькуляция (МИ)'!$F$25:$F$747,$F141,'Калькуляция (МИ)'!$G$25:$G$747,$G141),_xlfn.SUMIFS('Калькуляция (МИ корр)'!$AG$25:$AG$747,'Калькуляция (МИ корр)'!$F$25:$F$747,$F141,'Калькуляция (МИ корр)'!$G$25:$G$747,$G141))</f>
        <v>0</v>
      </c>
      <c r="AH141" s="846"/>
      <c r="AI141" s="1758"/>
      <c r="AJ141" s="1758"/>
      <c r="AK141" s="1758"/>
      <c r="AL141" s="997" t="s">
        <v>2196</v>
      </c>
      <c r="AM141" s="1758"/>
      <c r="AN141" s="1758"/>
      <c r="AO141" s="1758"/>
      <c r="AP141" s="1758"/>
      <c r="AQ141" s="1758"/>
    </row>
    <row s="1834" customFormat="1" customHeight="1" ht="21.75">
      <c r="A142" s="1758"/>
      <c r="B142" s="1416"/>
      <c r="C142" s="1758"/>
      <c r="D142" s="1758"/>
      <c r="E142" s="618">
        <v>22.5</v>
      </c>
      <c r="F142" s="50" cm="1" t="str">
        <f t="array" ref="F142:F142">OFFSET(E142,-1,1)</f>
        <v>2</v>
      </c>
      <c r="G142" s="107" t="s">
        <v>2197</v>
      </c>
      <c r="H142" s="85"/>
      <c r="I142" s="493" t="s">
        <v>2198</v>
      </c>
      <c r="J142" s="1758"/>
      <c r="K142" s="124"/>
      <c r="L142" s="124"/>
      <c r="M142" s="124"/>
      <c r="N142" s="1758"/>
      <c r="O142" s="1758"/>
      <c r="P142" s="1758"/>
      <c r="Q142" s="1758"/>
      <c r="R142" s="1758"/>
      <c r="S142" s="1806"/>
      <c r="T142" s="465" cm="1" t="str">
        <f t="array" ref="T142:T142">T141</f>
        <v>true</v>
      </c>
      <c r="U142" s="1758"/>
      <c r="V142" s="1758"/>
      <c r="W142" s="1758"/>
      <c r="X142" s="1563"/>
      <c r="Y142" s="1758"/>
      <c r="Z142" s="1546"/>
      <c r="AA142" s="1758"/>
      <c r="AB142" s="784" t="s">
        <v>2199</v>
      </c>
      <c r="AC142" s="781" t="s">
        <v>2200</v>
      </c>
      <c r="AD142" s="935"/>
      <c r="AE142" s="766" t="s">
        <v>1514</v>
      </c>
      <c r="AF142" s="298"/>
      <c r="AG142" s="298">
        <f>IF(AND(method_reg="Метод индексации",first_year=god),_xlfn.SUMIFS('Калькуляция (МИ)'!$AG$25:$AG$747,'Калькуляция (МИ)'!$F$25:$F$747,$F142,'Калькуляция (МИ)'!$G$25:$G$747,$G142),_xlfn.SUMIFS('Калькуляция (МИ корр)'!$AG$25:$AG$747,'Калькуляция (МИ корр)'!$F$25:$F$747,$F142,'Калькуляция (МИ корр)'!$G$25:$G$747,$G142))</f>
        <v>0</v>
      </c>
      <c r="AH142" s="846"/>
      <c r="AI142" s="1758"/>
      <c r="AJ142" s="1758"/>
      <c r="AK142" s="1758"/>
      <c r="AL142" s="997" t="s">
        <v>2201</v>
      </c>
      <c r="AM142" s="1758"/>
      <c r="AN142" s="1758"/>
      <c r="AO142" s="1758"/>
      <c r="AP142" s="1758"/>
      <c r="AQ142" s="1758"/>
    </row>
    <row s="1834" customFormat="1" customHeight="1" ht="21.75">
      <c r="A143" s="1758"/>
      <c r="B143" s="1416"/>
      <c r="C143" s="1758"/>
      <c r="D143" s="1758"/>
      <c r="E143" s="618">
        <v>22.5</v>
      </c>
      <c r="F143" s="50" cm="1" t="str">
        <f t="array" ref="F143:F143">OFFSET(E143,-1,1)</f>
        <v>2</v>
      </c>
      <c r="G143" s="107" t="s">
        <v>2202</v>
      </c>
      <c r="H143" s="85"/>
      <c r="I143" s="493" t="s">
        <v>2203</v>
      </c>
      <c r="J143" s="1758"/>
      <c r="K143" s="124"/>
      <c r="L143" s="124"/>
      <c r="M143" s="124"/>
      <c r="N143" s="1758"/>
      <c r="O143" s="1758"/>
      <c r="P143" s="1758"/>
      <c r="Q143" s="1758"/>
      <c r="R143" s="1758"/>
      <c r="S143" s="1806"/>
      <c r="T143" s="465" cm="1" t="str">
        <f t="array" ref="T143:T143">T142</f>
        <v>true</v>
      </c>
      <c r="U143" s="1758"/>
      <c r="V143" s="1758"/>
      <c r="W143" s="1758"/>
      <c r="X143" s="1563"/>
      <c r="Y143" s="1758"/>
      <c r="Z143" s="1546"/>
      <c r="AA143" s="1758"/>
      <c r="AB143" s="784" t="s">
        <v>2204</v>
      </c>
      <c r="AC143" s="781" t="s">
        <v>2205</v>
      </c>
      <c r="AD143" s="935"/>
      <c r="AE143" s="766" t="s">
        <v>1514</v>
      </c>
      <c r="AF143" s="298"/>
      <c r="AG143" s="298">
        <f>IF(AND(method_reg="Метод индексации",first_year=god),_xlfn.SUMIFS('Калькуляция (МИ)'!$AG$25:$AG$747,'Калькуляция (МИ)'!$F$25:$F$747,$F143,'Калькуляция (МИ)'!$G$25:$G$747,$G143),_xlfn.SUMIFS('Калькуляция (МИ корр)'!$AG$25:$AG$747,'Калькуляция (МИ корр)'!$F$25:$F$747,$F143,'Калькуляция (МИ корр)'!$G$25:$G$747,$G143))</f>
        <v>0</v>
      </c>
      <c r="AH143" s="846"/>
      <c r="AI143" s="1758"/>
      <c r="AJ143" s="1758"/>
      <c r="AK143" s="1758"/>
      <c r="AL143" s="997" t="s">
        <v>2206</v>
      </c>
      <c r="AM143" s="1758"/>
      <c r="AN143" s="1758"/>
      <c r="AO143" s="1758"/>
      <c r="AP143" s="1758"/>
      <c r="AQ143" s="1758"/>
    </row>
    <row s="1834" customFormat="1" customHeight="1" ht="14.25">
      <c r="A144" s="1758"/>
      <c r="B144" s="1416"/>
      <c r="C144" s="1758"/>
      <c r="D144" s="1758"/>
      <c r="E144" s="618">
        <v>15</v>
      </c>
      <c r="F144" s="50" cm="1" t="str">
        <f t="array" ref="F144:F144">OFFSET(E144,-1,1)</f>
        <v>2</v>
      </c>
      <c r="G144" s="107" t="s">
        <v>2207</v>
      </c>
      <c r="H144" s="85"/>
      <c r="I144" s="493" t="s">
        <v>2208</v>
      </c>
      <c r="J144" s="1758"/>
      <c r="K144" s="124"/>
      <c r="L144" s="124"/>
      <c r="M144" s="124"/>
      <c r="N144" s="1758"/>
      <c r="O144" s="1758"/>
      <c r="P144" s="1758"/>
      <c r="Q144" s="1758"/>
      <c r="R144" s="1758"/>
      <c r="S144" s="1806"/>
      <c r="T144" s="465" cm="1" t="str">
        <f t="array" ref="T144:T144">T143</f>
        <v>true</v>
      </c>
      <c r="U144" s="1758"/>
      <c r="V144" s="1758"/>
      <c r="W144" s="1758"/>
      <c r="X144" s="1563"/>
      <c r="Y144" s="1758"/>
      <c r="Z144" s="1546"/>
      <c r="AA144" s="1758"/>
      <c r="AB144" s="784" t="s">
        <v>2209</v>
      </c>
      <c r="AC144" s="781" t="s">
        <v>2210</v>
      </c>
      <c r="AD144" s="935"/>
      <c r="AE144" s="766" t="s">
        <v>1514</v>
      </c>
      <c r="AF144" s="298"/>
      <c r="AG144" s="298">
        <f>IF(AND(method_reg="Метод индексации",first_year=god),_xlfn.SUMIFS('Калькуляция (МИ)'!$AG$25:$AG$747,'Калькуляция (МИ)'!$F$25:$F$747,$F144,'Калькуляция (МИ)'!$G$25:$G$747,$G144),_xlfn.SUMIFS('Калькуляция (МИ корр)'!$AG$25:$AG$747,'Калькуляция (МИ корр)'!$F$25:$F$747,$F144,'Калькуляция (МИ корр)'!$G$25:$G$747,$G144))</f>
        <v>0</v>
      </c>
      <c r="AH144" s="846"/>
      <c r="AI144" s="1758"/>
      <c r="AJ144" s="1758"/>
      <c r="AK144" s="1758"/>
      <c r="AL144" s="997" t="s">
        <v>2211</v>
      </c>
      <c r="AM144" s="1758"/>
      <c r="AN144" s="1758"/>
      <c r="AO144" s="1758"/>
      <c r="AP144" s="1758"/>
      <c r="AQ144" s="1758"/>
    </row>
    <row s="1834" customFormat="1" customHeight="1" ht="21.75">
      <c r="A145" s="1758"/>
      <c r="B145" s="1416"/>
      <c r="C145" s="1758"/>
      <c r="D145" s="1758"/>
      <c r="E145" s="618">
        <v>22.5</v>
      </c>
      <c r="F145" s="50" cm="1" t="str">
        <f t="array" ref="F145:F145">OFFSET(E145,-1,1)</f>
        <v>2</v>
      </c>
      <c r="G145" s="107" t="s">
        <v>2212</v>
      </c>
      <c r="H145" s="85"/>
      <c r="I145" s="493" t="s">
        <v>2213</v>
      </c>
      <c r="J145" s="1758"/>
      <c r="K145" s="124"/>
      <c r="L145" s="124"/>
      <c r="M145" s="124"/>
      <c r="N145" s="1758"/>
      <c r="O145" s="1758"/>
      <c r="P145" s="1758"/>
      <c r="Q145" s="1758"/>
      <c r="R145" s="1758"/>
      <c r="S145" s="1806"/>
      <c r="T145" s="465" cm="1" t="str">
        <f t="array" ref="T145:T145">T144</f>
        <v>true</v>
      </c>
      <c r="U145" s="1758"/>
      <c r="V145" s="1758"/>
      <c r="W145" s="1758"/>
      <c r="X145" s="1563"/>
      <c r="Y145" s="1758"/>
      <c r="Z145" s="1546"/>
      <c r="AA145" s="1758"/>
      <c r="AB145" s="784" t="s">
        <v>2214</v>
      </c>
      <c r="AC145" s="781" t="s">
        <v>2215</v>
      </c>
      <c r="AD145" s="935"/>
      <c r="AE145" s="766" t="s">
        <v>1514</v>
      </c>
      <c r="AF145" s="298"/>
      <c r="AG145" s="298">
        <f>IF(AND(method_reg="Метод индексации",first_year=god),_xlfn.SUMIFS('Калькуляция (МИ)'!$AG$25:$AG$747,'Калькуляция (МИ)'!$F$25:$F$747,$F145,'Калькуляция (МИ)'!$G$25:$G$747,$G145),_xlfn.SUMIFS('Калькуляция (МИ корр)'!$AG$25:$AG$747,'Калькуляция (МИ корр)'!$F$25:$F$747,$F145,'Калькуляция (МИ корр)'!$G$25:$G$747,$G145))</f>
        <v>0</v>
      </c>
      <c r="AH145" s="846"/>
      <c r="AI145" s="1758"/>
      <c r="AJ145" s="1758"/>
      <c r="AK145" s="1758"/>
      <c r="AL145" s="997" t="s">
        <v>2216</v>
      </c>
      <c r="AM145" s="1758"/>
      <c r="AN145" s="1758"/>
      <c r="AO145" s="1758"/>
      <c r="AP145" s="1758"/>
      <c r="AQ145" s="1758"/>
    </row>
    <row s="1834" customFormat="1" customHeight="1" ht="14.25">
      <c r="A146" s="1758"/>
      <c r="B146" s="1416"/>
      <c r="C146" s="1758"/>
      <c r="D146" s="1758"/>
      <c r="E146" s="618">
        <v>15</v>
      </c>
      <c r="F146" s="50" cm="1" t="str">
        <f t="array" ref="F146:F146">OFFSET(E146,-1,1)</f>
        <v>2</v>
      </c>
      <c r="G146" s="426"/>
      <c r="H146" s="85"/>
      <c r="I146" s="426" t="s">
        <v>2075</v>
      </c>
      <c r="J146" s="1758"/>
      <c r="K146" s="124"/>
      <c r="L146" s="124"/>
      <c r="M146" s="124"/>
      <c r="N146" s="1758"/>
      <c r="O146" s="1758"/>
      <c r="P146" s="1758"/>
      <c r="Q146" s="1758"/>
      <c r="R146" s="1758"/>
      <c r="S146" s="1806"/>
      <c r="T146" s="465" cm="1" t="str">
        <f t="array" ref="T146:T146">T145</f>
        <v>true</v>
      </c>
      <c r="U146" s="1758"/>
      <c r="V146" s="1758"/>
      <c r="W146" s="1758"/>
      <c r="X146" s="1563"/>
      <c r="Y146" s="1758"/>
      <c r="Z146" s="1546"/>
      <c r="AA146" s="1758"/>
      <c r="AB146" s="299" t="s">
        <v>1258</v>
      </c>
      <c r="AC146" s="762" t="s">
        <v>2217</v>
      </c>
      <c r="AD146" s="300" t="s">
        <v>2218</v>
      </c>
      <c r="AE146" s="766" t="s">
        <v>1514</v>
      </c>
      <c r="AF146" s="298">
        <f>AF147*AF148*AF149</f>
        <v>0</v>
      </c>
      <c r="AG146" s="298">
        <f>AG147*AG148*AG149</f>
        <v>0</v>
      </c>
      <c r="AH146" s="846"/>
      <c r="AI146" s="1758"/>
      <c r="AJ146" s="1758"/>
      <c r="AK146" s="1758"/>
      <c r="AL146" s="997" t="s">
        <v>2219</v>
      </c>
      <c r="AM146" s="1758"/>
      <c r="AN146" s="1758"/>
      <c r="AO146" s="1758"/>
      <c r="AP146" s="1758"/>
      <c r="AQ146" s="1758"/>
    </row>
    <row s="1834" customFormat="1" customHeight="1" ht="21.75">
      <c r="A147" s="1758"/>
      <c r="B147" s="1416"/>
      <c r="C147" s="1758"/>
      <c r="D147" s="1758"/>
      <c r="E147" s="618">
        <v>22.5</v>
      </c>
      <c r="F147" s="50" cm="1" t="str">
        <f t="array" ref="F147:F147">OFFSET(E147,-1,1)</f>
        <v>2</v>
      </c>
      <c r="G147" s="426"/>
      <c r="H147" s="85"/>
      <c r="I147" s="426" t="s">
        <v>2220</v>
      </c>
      <c r="J147" s="1758"/>
      <c r="K147" s="124"/>
      <c r="L147" s="124"/>
      <c r="M147" s="124"/>
      <c r="N147" s="1758"/>
      <c r="O147" s="1758"/>
      <c r="P147" s="1758"/>
      <c r="Q147" s="1758"/>
      <c r="R147" s="1758"/>
      <c r="S147" s="1806"/>
      <c r="T147" s="465" cm="1" t="str">
        <f t="array" ref="T147:T147">T146</f>
        <v>true</v>
      </c>
      <c r="U147" s="1758"/>
      <c r="V147" s="1758"/>
      <c r="W147" s="1758"/>
      <c r="X147" s="1563"/>
      <c r="Y147" s="1758"/>
      <c r="Z147" s="1546"/>
      <c r="AA147" s="1758"/>
      <c r="AB147" s="299" t="s">
        <v>1212</v>
      </c>
      <c r="AC147" s="765" t="s">
        <v>2221</v>
      </c>
      <c r="AD147" s="300" t="s">
        <v>2222</v>
      </c>
      <c r="AE147" s="766" t="s">
        <v>1582</v>
      </c>
      <c r="AF147" s="298"/>
      <c r="AG147" s="298">
        <f>_xlfn.SUMIFS(ЭЭ!AG$25:AG$189,ЭЭ!$F$25:$F$189,$F147,ЭЭ!$AC$25:$AC$189,"Удельный расход электроэнергии")</f>
        <v>0</v>
      </c>
      <c r="AH147" s="846"/>
      <c r="AI147" s="1758"/>
      <c r="AJ147" s="1758"/>
      <c r="AK147" s="1758"/>
      <c r="AL147" s="997" t="s">
        <v>2223</v>
      </c>
      <c r="AM147" s="1758"/>
      <c r="AN147" s="1758"/>
      <c r="AO147" s="1758"/>
      <c r="AP147" s="1758"/>
      <c r="AQ147" s="1758"/>
    </row>
    <row s="1834" customFormat="1" customHeight="1" ht="14.25">
      <c r="A148" s="1758"/>
      <c r="B148" s="1416"/>
      <c r="C148" s="1758"/>
      <c r="D148" s="1758"/>
      <c r="E148" s="618">
        <v>15</v>
      </c>
      <c r="F148" s="50" cm="1" t="str">
        <f t="array" ref="F148:F148">OFFSET(E148,-1,1)</f>
        <v>2</v>
      </c>
      <c r="G148" s="426"/>
      <c r="H148" s="85"/>
      <c r="I148" s="426" t="s">
        <v>2224</v>
      </c>
      <c r="J148" s="1758"/>
      <c r="K148" s="124"/>
      <c r="L148" s="124"/>
      <c r="M148" s="124"/>
      <c r="N148" s="1758"/>
      <c r="O148" s="1758"/>
      <c r="P148" s="1758"/>
      <c r="Q148" s="1758"/>
      <c r="R148" s="1758"/>
      <c r="S148" s="1806"/>
      <c r="T148" s="465" cm="1" t="str">
        <f t="array" ref="T148:T148">T147</f>
        <v>true</v>
      </c>
      <c r="U148" s="1758"/>
      <c r="V148" s="1758"/>
      <c r="W148" s="1758"/>
      <c r="X148" s="1563"/>
      <c r="Y148" s="1758"/>
      <c r="Z148" s="1546"/>
      <c r="AA148" s="1758"/>
      <c r="AB148" s="299" t="s">
        <v>2225</v>
      </c>
      <c r="AC148" s="765" t="s">
        <v>2226</v>
      </c>
      <c r="AD148" s="300" t="s">
        <v>2227</v>
      </c>
      <c r="AE148" s="766" t="s">
        <v>1576</v>
      </c>
      <c r="AF148" s="298"/>
      <c r="AG148" s="298">
        <f>_xlfn.SUMIFS(ЭЭ!AG$25:AG$189,ЭЭ!$F$25:$F$189,$F147,ЭЭ!$AC$25:$AC$189,"Объём воды/сточных вод")</f>
        <v>0</v>
      </c>
      <c r="AH148" s="846"/>
      <c r="AI148" s="1758"/>
      <c r="AJ148" s="1758"/>
      <c r="AK148" s="1758"/>
      <c r="AL148" s="997" t="s">
        <v>2228</v>
      </c>
      <c r="AM148" s="1758"/>
      <c r="AN148" s="1758"/>
      <c r="AO148" s="1758"/>
      <c r="AP148" s="1758"/>
      <c r="AQ148" s="1758"/>
    </row>
    <row s="1834" customFormat="1" customHeight="1" ht="21.75">
      <c r="A149" s="1758"/>
      <c r="B149" s="1416"/>
      <c r="C149" s="1758"/>
      <c r="D149" s="1758"/>
      <c r="E149" s="618">
        <v>22.5</v>
      </c>
      <c r="F149" s="50" cm="1" t="str">
        <f t="array" ref="F149:F149">OFFSET(E149,-1,1)</f>
        <v>2</v>
      </c>
      <c r="G149" s="426"/>
      <c r="H149" s="85"/>
      <c r="I149" s="426" t="s">
        <v>2229</v>
      </c>
      <c r="J149" s="1758"/>
      <c r="K149" s="124"/>
      <c r="L149" s="124"/>
      <c r="M149" s="124"/>
      <c r="N149" s="1758"/>
      <c r="O149" s="1758"/>
      <c r="P149" s="1758"/>
      <c r="Q149" s="1758"/>
      <c r="R149" s="1758"/>
      <c r="S149" s="1806"/>
      <c r="T149" s="465" cm="1" t="str">
        <f t="array" ref="T149:T149">T148</f>
        <v>true</v>
      </c>
      <c r="U149" s="1758"/>
      <c r="V149" s="1758"/>
      <c r="W149" s="1758"/>
      <c r="X149" s="1563"/>
      <c r="Y149" s="1758"/>
      <c r="Z149" s="1546"/>
      <c r="AA149" s="1758"/>
      <c r="AB149" s="299" t="s">
        <v>2230</v>
      </c>
      <c r="AC149" s="765" t="s">
        <v>2231</v>
      </c>
      <c r="AD149" s="300" t="s">
        <v>2232</v>
      </c>
      <c r="AE149" s="766" t="s">
        <v>1579</v>
      </c>
      <c r="AF149" s="298"/>
      <c r="AG149" s="298">
        <f>_xlfn.SUMIFS(ЭЭ!AG$25:AG$189,ЭЭ!$F$25:$F$189,$F147,ЭЭ!$AC$25:$AC$189,"Средний (расчетный) тариф")</f>
        <v>0</v>
      </c>
      <c r="AH149" s="846"/>
      <c r="AI149" s="1758"/>
      <c r="AJ149" s="1758"/>
      <c r="AK149" s="1758"/>
      <c r="AL149" s="997" t="s">
        <v>2233</v>
      </c>
      <c r="AM149" s="1758"/>
      <c r="AN149" s="1758"/>
      <c r="AO149" s="1758"/>
      <c r="AP149" s="1758"/>
      <c r="AQ149" s="1758"/>
    </row>
    <row s="1834" customFormat="1" customHeight="1" ht="21.75">
      <c r="A150" s="1758"/>
      <c r="B150" s="1416"/>
      <c r="C150" s="1758"/>
      <c r="D150" s="1758"/>
      <c r="E150" s="618">
        <v>22.5</v>
      </c>
      <c r="F150" s="50" cm="1" t="str">
        <f t="array" ref="F150:F150">OFFSET(E150,-1,1)</f>
        <v>2</v>
      </c>
      <c r="G150" s="426" t="s">
        <v>2234</v>
      </c>
      <c r="H150" s="85"/>
      <c r="I150" s="426" t="s">
        <v>2235</v>
      </c>
      <c r="J150" s="1758"/>
      <c r="K150" s="124"/>
      <c r="L150" s="124"/>
      <c r="M150" s="124"/>
      <c r="N150" s="1758"/>
      <c r="O150" s="1758"/>
      <c r="P150" s="1758"/>
      <c r="Q150" s="1758"/>
      <c r="R150" s="1758"/>
      <c r="S150" s="1806"/>
      <c r="T150" s="465" cm="1" t="str">
        <f t="array" ref="T150:T150">T149</f>
        <v>true</v>
      </c>
      <c r="U150" s="1758"/>
      <c r="V150" s="1758"/>
      <c r="W150" s="1758"/>
      <c r="X150" s="1563"/>
      <c r="Y150" s="1758"/>
      <c r="Z150" s="1546"/>
      <c r="AA150" s="1758"/>
      <c r="AB150" s="299" t="s">
        <v>1651</v>
      </c>
      <c r="AC150" s="762" t="s">
        <v>2236</v>
      </c>
      <c r="AD150" s="300" t="s">
        <v>2237</v>
      </c>
      <c r="AE150" s="766" t="s">
        <v>1514</v>
      </c>
      <c r="AF150" s="298"/>
      <c r="AG150" s="298">
        <f>IF(AND(method_reg="Метод индексации",first_year=god),_xlfn.SUMIFS('Калькуляция (МИ)'!$AG$25:$AG$747,'Калькуляция (МИ)'!$F$25:$F$747,$F150,'Калькуляция (МИ)'!$G$25:$G$747,$G150),_xlfn.SUMIFS('Калькуляция (МИ корр)'!$AG$25:$AG$747,'Калькуляция (МИ корр)'!$F$25:$F$747,$F150,'Калькуляция (МИ корр)'!$G$25:$G$747,$G150))</f>
        <v>0</v>
      </c>
      <c r="AH150" s="846"/>
      <c r="AI150" s="1758"/>
      <c r="AJ150" s="1758"/>
      <c r="AK150" s="1758"/>
      <c r="AL150" s="997" t="s">
        <v>1960</v>
      </c>
      <c r="AM150" s="1758"/>
      <c r="AN150" s="1758"/>
      <c r="AO150" s="1758"/>
      <c r="AP150" s="1758"/>
      <c r="AQ150" s="1758"/>
    </row>
    <row s="1834" customFormat="1" customHeight="1" ht="14.25">
      <c r="A151" s="1758"/>
      <c r="B151" s="1416"/>
      <c r="C151" s="1758"/>
      <c r="D151" s="1758"/>
      <c r="E151" s="618">
        <v>15</v>
      </c>
      <c r="F151" s="50" cm="1" t="str">
        <f t="array" ref="F151:F151">OFFSET(E151,-1,1)</f>
        <v>2</v>
      </c>
      <c r="G151" s="426" t="s">
        <v>2238</v>
      </c>
      <c r="H151" s="85"/>
      <c r="I151" s="426" t="s">
        <v>2239</v>
      </c>
      <c r="J151" s="1758"/>
      <c r="K151" s="124"/>
      <c r="L151" s="124"/>
      <c r="M151" s="124"/>
      <c r="N151" s="1758"/>
      <c r="O151" s="1758"/>
      <c r="P151" s="1758"/>
      <c r="Q151" s="1758"/>
      <c r="R151" s="1758"/>
      <c r="S151" s="1806"/>
      <c r="T151" s="465" cm="1" t="str">
        <f t="array" ref="T151:T151">T150</f>
        <v>true</v>
      </c>
      <c r="U151" s="1758"/>
      <c r="V151" s="1758"/>
      <c r="W151" s="1758"/>
      <c r="X151" s="1563"/>
      <c r="Y151" s="1758"/>
      <c r="Z151" s="1546"/>
      <c r="AA151" s="1758"/>
      <c r="AB151" s="299" t="s">
        <v>1654</v>
      </c>
      <c r="AC151" s="936" t="s">
        <v>2240</v>
      </c>
      <c r="AD151" s="300" t="s">
        <v>2241</v>
      </c>
      <c r="AE151" s="766" t="s">
        <v>1514</v>
      </c>
      <c r="AF151" s="298"/>
      <c r="AG151" s="298">
        <f>IF(AND(method_reg="Метод индексации",first_year=god),_xlfn.SUMIFS('Калькуляция (МИ)'!$AE$25:$AE$747,'Калькуляция (МИ)'!$F$25:$F$747,$F151,'Калькуляция (МИ)'!$G$25:$G$747,"Нормативная прибыль")-_xlfn.SUMIFS('Калькуляция (МИ)'!$AE$25:$AE$747,'Калькуляция (МИ)'!$F$25:$F$747,$F151,'Калькуляция (МИ)'!$G$25:$G$747,"иные экономически обоснованные расходы на социальные нужды")+_xlfn.SUMIFS('Калькуляция (МИ)'!$AG$25:$AG$747,'Калькуляция (МИ)'!$F$25:$F$747,$F151,'Калькуляция (МИ)'!$G$25:$G$747,"иные экономически обоснованные расходы на социальные нужды"),_xlfn.SUMIFS('Калькуляция (МИ корр)'!$AE$25:$AE$747,'Калькуляция (МИ корр)'!$F$25:$F$747,$F151,'Калькуляция (МИ корр)'!$G$25:$G$747,"Нормативная прибыль")-_xlfn.SUMIFS('Калькуляция (МИ корр)'!$AE$25:$AE$747,'Калькуляция (МИ корр)'!$F$25:$F$747,$F151,'Калькуляция (МИ корр)'!$G$25:$G$747,"иные экономически обоснованные расходы на социальные нужды")+_xlfn.SUMIFS('Калькуляция (МИ корр)'!$AG$25:$AG$747,'Калькуляция (МИ корр)'!$F$25:$F$747,$F151,'Калькуляция (МИ корр)'!$G$25:$G$747,"иные экономически обоснованные расходы на социальные нужды"))</f>
        <v>0</v>
      </c>
      <c r="AH151" s="846"/>
      <c r="AI151" s="1758"/>
      <c r="AJ151" s="1758"/>
      <c r="AK151" s="1758"/>
      <c r="AL151" s="997" t="s">
        <v>2242</v>
      </c>
      <c r="AM151" s="1758"/>
      <c r="AN151" s="1758"/>
      <c r="AO151" s="1758"/>
      <c r="AP151" s="1758"/>
      <c r="AQ151" s="1758"/>
    </row>
    <row s="1834" customFormat="1" customHeight="1" ht="14.25">
      <c r="A152" s="1758"/>
      <c r="B152" s="1416"/>
      <c r="C152" s="1758"/>
      <c r="D152" s="1758"/>
      <c r="E152" s="618">
        <v>15</v>
      </c>
      <c r="F152" s="50" cm="1" t="str">
        <f t="array" ref="F152:F152">OFFSET(E152,-1,1)</f>
        <v>2</v>
      </c>
      <c r="G152" s="107" t="s">
        <v>2243</v>
      </c>
      <c r="H152" s="85"/>
      <c r="I152" s="493" t="s">
        <v>2244</v>
      </c>
      <c r="J152" s="1758"/>
      <c r="K152" s="124"/>
      <c r="L152" s="124"/>
      <c r="M152" s="124"/>
      <c r="N152" s="1758"/>
      <c r="O152" s="1758"/>
      <c r="P152" s="1758"/>
      <c r="Q152" s="1758"/>
      <c r="R152" s="1758"/>
      <c r="S152" s="1806"/>
      <c r="T152" s="465" cm="1" t="str">
        <f t="array" ref="T152:T152">T151</f>
        <v>true</v>
      </c>
      <c r="U152" s="1758"/>
      <c r="V152" s="1758"/>
      <c r="W152" s="1758"/>
      <c r="X152" s="1563"/>
      <c r="Y152" s="1758"/>
      <c r="Z152" s="1546"/>
      <c r="AA152" s="1758"/>
      <c r="AB152" s="299" t="s">
        <v>2245</v>
      </c>
      <c r="AC152" s="762" t="s">
        <v>2246</v>
      </c>
      <c r="AD152" s="300" t="s">
        <v>2247</v>
      </c>
      <c r="AE152" s="766" t="s">
        <v>1514</v>
      </c>
      <c r="AF152" s="298"/>
      <c r="AG152" s="298">
        <f>IF(AND(method_reg="Метод индексации",first_year=god),_xlfn.SUMIFS('Калькуляция (МИ)'!$AG$25:$AG$747,'Калькуляция (МИ)'!$F$25:$F$747,$F152,'Калькуляция (МИ)'!$G$25:$G$747,$G152),_xlfn.SUMIFS('Калькуляция (МИ корр)'!$AG$25:$AG$747,'Калькуляция (МИ корр)'!$F$25:$F$747,$F152,'Калькуляция (МИ корр)'!$G$25:$G$747,$G152))</f>
        <v>0</v>
      </c>
      <c r="AH152" s="846"/>
      <c r="AI152" s="1758"/>
      <c r="AJ152" s="1758"/>
      <c r="AK152" s="1758"/>
      <c r="AL152" s="997" t="s">
        <v>2248</v>
      </c>
      <c r="AM152" s="1758"/>
      <c r="AN152" s="1758"/>
      <c r="AO152" s="1758"/>
      <c r="AP152" s="1758"/>
      <c r="AQ152" s="1758"/>
    </row>
    <row s="1834" customFormat="1" customHeight="1" ht="21.75">
      <c r="A153" s="1758"/>
      <c r="B153" s="1416"/>
      <c r="C153" s="1758"/>
      <c r="D153" s="1758"/>
      <c r="E153" s="618">
        <v>22.5</v>
      </c>
      <c r="F153" s="50" cm="1" t="str">
        <f t="array" ref="F153:F153">OFFSET(E153,-1,1)</f>
        <v>2</v>
      </c>
      <c r="G153" s="107"/>
      <c r="H153" s="85"/>
      <c r="I153" s="426" t="s">
        <v>2249</v>
      </c>
      <c r="J153" s="1758"/>
      <c r="K153" s="124"/>
      <c r="L153" s="124"/>
      <c r="M153" s="124"/>
      <c r="N153" s="1758"/>
      <c r="O153" s="1758"/>
      <c r="P153" s="1758"/>
      <c r="Q153" s="1758"/>
      <c r="R153" s="1758"/>
      <c r="S153" s="1806"/>
      <c r="T153" s="465" cm="1" t="str">
        <f t="array" ref="T153:T153">T152</f>
        <v>true</v>
      </c>
      <c r="U153" s="1758"/>
      <c r="V153" s="1758"/>
      <c r="W153" s="1758"/>
      <c r="X153" s="1563"/>
      <c r="Y153" s="1758"/>
      <c r="Z153" s="1546"/>
      <c r="AA153" s="1758"/>
      <c r="AB153" s="299" t="s">
        <v>2250</v>
      </c>
      <c r="AC153" s="762" t="s">
        <v>2251</v>
      </c>
      <c r="AD153" s="300"/>
      <c r="AE153" s="766" t="s">
        <v>1514</v>
      </c>
      <c r="AF153" s="298">
        <f>AF154+AF155+AF156</f>
        <v>0</v>
      </c>
      <c r="AG153" s="298">
        <f>AG154+AG155+AG156</f>
        <v>0</v>
      </c>
      <c r="AH153" s="846"/>
      <c r="AI153" s="1758"/>
      <c r="AJ153" s="1758"/>
      <c r="AK153" s="1758"/>
      <c r="AL153" s="997" t="s">
        <v>2252</v>
      </c>
      <c r="AM153" s="1758"/>
      <c r="AN153" s="1758"/>
      <c r="AO153" s="1758"/>
      <c r="AP153" s="1758"/>
      <c r="AQ153" s="1758"/>
    </row>
    <row s="1834" customFormat="1" customHeight="1" ht="21.75">
      <c r="A154" s="1758"/>
      <c r="B154" s="1416"/>
      <c r="C154" s="1758"/>
      <c r="D154" s="1758"/>
      <c r="E154" s="618">
        <v>22.5</v>
      </c>
      <c r="F154" s="50" cm="1" t="str">
        <f t="array" ref="F154:F154">OFFSET(E154,-1,1)</f>
        <v>2</v>
      </c>
      <c r="G154" s="426"/>
      <c r="H154" s="85"/>
      <c r="I154" s="426" t="s">
        <v>2253</v>
      </c>
      <c r="J154" s="1758"/>
      <c r="K154" s="124"/>
      <c r="L154" s="124"/>
      <c r="M154" s="124"/>
      <c r="N154" s="1758"/>
      <c r="O154" s="1758"/>
      <c r="P154" s="1758"/>
      <c r="Q154" s="1758"/>
      <c r="R154" s="1758"/>
      <c r="S154" s="1806"/>
      <c r="T154" s="465" cm="1" t="str">
        <f t="array" ref="T154:T154">T153</f>
        <v>true</v>
      </c>
      <c r="U154" s="1758"/>
      <c r="V154" s="1758"/>
      <c r="W154" s="1758"/>
      <c r="X154" s="1563"/>
      <c r="Y154" s="1758"/>
      <c r="Z154" s="1546"/>
      <c r="AA154" s="1758"/>
      <c r="AB154" s="299" t="s">
        <v>2254</v>
      </c>
      <c r="AC154" s="765" t="s">
        <v>2255</v>
      </c>
      <c r="AD154" s="300" t="s">
        <v>2256</v>
      </c>
      <c r="AE154" s="766" t="s">
        <v>1514</v>
      </c>
      <c r="AF154" s="298"/>
      <c r="AG154" s="298"/>
      <c r="AH154" s="846"/>
      <c r="AI154" s="1758"/>
      <c r="AJ154" s="1758"/>
      <c r="AK154" s="1758"/>
      <c r="AL154" s="997" t="s">
        <v>2257</v>
      </c>
      <c r="AM154" s="1758"/>
      <c r="AN154" s="1758"/>
      <c r="AO154" s="1758"/>
      <c r="AP154" s="1758"/>
      <c r="AQ154" s="1758"/>
    </row>
    <row s="1834" customFormat="1" customHeight="1" ht="14.25">
      <c r="A155" s="1758"/>
      <c r="B155" s="1416"/>
      <c r="C155" s="1758"/>
      <c r="D155" s="1758"/>
      <c r="E155" s="618">
        <v>15</v>
      </c>
      <c r="F155" s="50" cm="1" t="str">
        <f t="array" ref="F155:F155">OFFSET(E155,-1,1)</f>
        <v>2</v>
      </c>
      <c r="G155" s="426"/>
      <c r="H155" s="85"/>
      <c r="I155" s="426" t="s">
        <v>2258</v>
      </c>
      <c r="J155" s="1758"/>
      <c r="K155" s="124"/>
      <c r="L155" s="124"/>
      <c r="M155" s="124"/>
      <c r="N155" s="1758"/>
      <c r="O155" s="1758"/>
      <c r="P155" s="1758"/>
      <c r="Q155" s="1758"/>
      <c r="R155" s="1758"/>
      <c r="S155" s="1806"/>
      <c r="T155" s="465" cm="1" t="str">
        <f t="array" ref="T155:T155">T154</f>
        <v>true</v>
      </c>
      <c r="U155" s="1758"/>
      <c r="V155" s="1758"/>
      <c r="W155" s="1758"/>
      <c r="X155" s="1563"/>
      <c r="Y155" s="1758"/>
      <c r="Z155" s="1546"/>
      <c r="AA155" s="1758"/>
      <c r="AB155" s="299" t="s">
        <v>2259</v>
      </c>
      <c r="AC155" s="765" t="s">
        <v>2260</v>
      </c>
      <c r="AD155" s="300" t="s">
        <v>2261</v>
      </c>
      <c r="AE155" s="766" t="s">
        <v>1514</v>
      </c>
      <c r="AF155" s="298"/>
      <c r="AG155" s="298"/>
      <c r="AH155" s="846"/>
      <c r="AI155" s="1758"/>
      <c r="AJ155" s="1758"/>
      <c r="AK155" s="1758"/>
      <c r="AL155" s="997" t="s">
        <v>2262</v>
      </c>
      <c r="AM155" s="1758"/>
      <c r="AN155" s="1758"/>
      <c r="AO155" s="1758"/>
      <c r="AP155" s="1758"/>
      <c r="AQ155" s="1758"/>
    </row>
    <row s="1834" customFormat="1" customHeight="1" ht="43.5">
      <c r="A156" s="1758"/>
      <c r="B156" s="1416"/>
      <c r="C156" s="1758"/>
      <c r="D156" s="1758"/>
      <c r="E156" s="618">
        <v>45</v>
      </c>
      <c r="F156" s="50" cm="1" t="str">
        <f t="array" ref="F156:F156">OFFSET(E156,-1,1)</f>
        <v>2</v>
      </c>
      <c r="G156" s="426"/>
      <c r="H156" s="85"/>
      <c r="I156" s="426" t="s">
        <v>2263</v>
      </c>
      <c r="J156" s="1758"/>
      <c r="K156" s="124"/>
      <c r="L156" s="124"/>
      <c r="M156" s="124"/>
      <c r="N156" s="1758"/>
      <c r="O156" s="1758"/>
      <c r="P156" s="1758"/>
      <c r="Q156" s="1758"/>
      <c r="R156" s="1758"/>
      <c r="S156" s="1806"/>
      <c r="T156" s="465" cm="1" t="str">
        <f t="array" ref="T156:T156">T155</f>
        <v>true</v>
      </c>
      <c r="U156" s="1758"/>
      <c r="V156" s="1758"/>
      <c r="W156" s="1758"/>
      <c r="X156" s="1563"/>
      <c r="Y156" s="1758"/>
      <c r="Z156" s="1546"/>
      <c r="AA156" s="1758"/>
      <c r="AB156" s="299" t="s">
        <v>2264</v>
      </c>
      <c r="AC156" s="765" t="s">
        <v>2265</v>
      </c>
      <c r="AD156" s="766" t="s">
        <v>2266</v>
      </c>
      <c r="AE156" s="766" t="s">
        <v>1514</v>
      </c>
      <c r="AF156" s="298"/>
      <c r="AG156" s="298"/>
      <c r="AH156" s="846"/>
      <c r="AI156" s="1758"/>
      <c r="AJ156" s="1758"/>
      <c r="AK156" s="1758"/>
      <c r="AL156" s="997" t="s">
        <v>2267</v>
      </c>
      <c r="AM156" s="1758"/>
      <c r="AN156" s="1758"/>
      <c r="AO156" s="1758"/>
      <c r="AP156" s="1758"/>
      <c r="AQ156" s="1758"/>
    </row>
    <row s="1834" customFormat="1" customHeight="1" ht="21.75">
      <c r="A157" s="1758"/>
      <c r="B157" s="1416"/>
      <c r="C157" s="1758"/>
      <c r="D157" s="1758"/>
      <c r="E157" s="618">
        <v>22.5</v>
      </c>
      <c r="F157" s="50" cm="1" t="str">
        <f t="array" ref="F157:F157">OFFSET(E157,-1,1)</f>
        <v>2</v>
      </c>
      <c r="G157" s="426"/>
      <c r="H157" s="85"/>
      <c r="I157" s="426" t="s">
        <v>2268</v>
      </c>
      <c r="J157" s="1758"/>
      <c r="K157" s="124"/>
      <c r="L157" s="124"/>
      <c r="M157" s="124"/>
      <c r="N157" s="1758"/>
      <c r="O157" s="1758"/>
      <c r="P157" s="1758"/>
      <c r="Q157" s="1758"/>
      <c r="R157" s="1758"/>
      <c r="S157" s="1806"/>
      <c r="T157" s="465" cm="1" t="str">
        <f t="array" ref="T157:T157">T156</f>
        <v>true</v>
      </c>
      <c r="U157" s="1758"/>
      <c r="V157" s="1758"/>
      <c r="W157" s="1758"/>
      <c r="X157" s="1563"/>
      <c r="Y157" s="1758"/>
      <c r="Z157" s="1546"/>
      <c r="AA157" s="1758"/>
      <c r="AB157" s="299" t="s">
        <v>2269</v>
      </c>
      <c r="AC157" s="762" t="s">
        <v>2270</v>
      </c>
      <c r="AD157" s="766" t="s">
        <v>2271</v>
      </c>
      <c r="AE157" s="766" t="s">
        <v>1514</v>
      </c>
      <c r="AF157" s="298"/>
      <c r="AG157" s="298"/>
      <c r="AH157" s="846"/>
      <c r="AI157" s="1758"/>
      <c r="AJ157" s="1758"/>
      <c r="AK157" s="1758"/>
      <c r="AL157" s="997" t="s">
        <v>2272</v>
      </c>
      <c r="AM157" s="1758"/>
      <c r="AN157" s="1758"/>
      <c r="AO157" s="1758"/>
      <c r="AP157" s="1758"/>
      <c r="AQ157" s="1758"/>
    </row>
    <row s="1834" customFormat="1" customHeight="1" ht="76.5" hidden="1">
      <c r="A158" s="1758"/>
      <c r="B158" s="428">
        <f>S129="Водоотведение"</f>
        <v>0</v>
      </c>
      <c r="C158" s="1758"/>
      <c r="D158" s="1758"/>
      <c r="E158" s="618">
        <v>78.75</v>
      </c>
      <c r="F158" s="50" cm="1" t="str">
        <f t="array" ref="F158:F158">OFFSET(E158,-1,1)</f>
        <v>2</v>
      </c>
      <c r="G158" s="426"/>
      <c r="H158" s="85"/>
      <c r="I158" s="426"/>
      <c r="J158" s="1758"/>
      <c r="K158" s="124"/>
      <c r="L158" s="124"/>
      <c r="M158" s="124"/>
      <c r="N158" s="1758"/>
      <c r="O158" s="1758"/>
      <c r="P158" s="1758"/>
      <c r="Q158" s="1758"/>
      <c r="R158" s="1758"/>
      <c r="S158" s="1806"/>
      <c r="T158" s="465" cm="1" t="str">
        <f t="array" ref="T158:T158">T157</f>
        <v>true</v>
      </c>
      <c r="U158" s="1758"/>
      <c r="V158" s="1758"/>
      <c r="W158" s="1758"/>
      <c r="X158" s="1563"/>
      <c r="Y158" s="1758"/>
      <c r="Z158" s="1546"/>
      <c r="AA158" s="1758"/>
      <c r="AB158" s="299" t="s">
        <v>2273</v>
      </c>
      <c r="AC158" s="762" t="s">
        <v>2274</v>
      </c>
      <c r="AD158" s="766"/>
      <c r="AE158" s="766" t="s">
        <v>1514</v>
      </c>
      <c r="AF158" s="4725"/>
      <c r="AG158" s="4725"/>
      <c r="AH158" s="1947"/>
      <c r="AI158" s="1758"/>
      <c r="AJ158" s="1758"/>
      <c r="AK158" s="1758"/>
      <c r="AL158" s="997" t="s">
        <v>2275</v>
      </c>
      <c r="AM158" s="1758"/>
      <c r="AN158" s="1758"/>
      <c r="AO158" s="1758"/>
      <c r="AP158" s="1758"/>
      <c r="AQ158" s="1758"/>
    </row>
    <row s="1834" customFormat="1" customHeight="1" ht="54.75" hidden="1">
      <c r="A159" s="1758"/>
      <c r="B159" s="428" cm="1" t="str">
        <f t="array" ref="B159:B159">B158</f>
        <v>false</v>
      </c>
      <c r="C159" s="1758"/>
      <c r="D159" s="1758"/>
      <c r="E159" s="618">
        <v>56.25</v>
      </c>
      <c r="F159" s="50" cm="1" t="str">
        <f t="array" ref="F159:F159">OFFSET(E159,-1,1)</f>
        <v>2</v>
      </c>
      <c r="G159" s="426"/>
      <c r="H159" s="85"/>
      <c r="I159" s="426"/>
      <c r="J159" s="1758"/>
      <c r="K159" s="124"/>
      <c r="L159" s="124"/>
      <c r="M159" s="124"/>
      <c r="N159" s="1758"/>
      <c r="O159" s="1758"/>
      <c r="P159" s="1758"/>
      <c r="Q159" s="1758"/>
      <c r="R159" s="1758"/>
      <c r="S159" s="1806"/>
      <c r="T159" s="465" cm="1" t="str">
        <f t="array" ref="T159:T159">T158</f>
        <v>true</v>
      </c>
      <c r="U159" s="1758"/>
      <c r="V159" s="1758"/>
      <c r="W159" s="1758"/>
      <c r="X159" s="1563"/>
      <c r="Y159" s="1758"/>
      <c r="Z159" s="1546"/>
      <c r="AA159" s="1758"/>
      <c r="AB159" s="299" t="s">
        <v>2276</v>
      </c>
      <c r="AC159" s="762" t="s">
        <v>2277</v>
      </c>
      <c r="AD159" s="766"/>
      <c r="AE159" s="766" t="s">
        <v>1514</v>
      </c>
      <c r="AF159" s="4725"/>
      <c r="AG159" s="4725"/>
      <c r="AH159" s="1947"/>
      <c r="AI159" s="1758"/>
      <c r="AJ159" s="1758"/>
      <c r="AK159" s="1758"/>
      <c r="AL159" s="997" t="s">
        <v>2102</v>
      </c>
      <c r="AM159" s="1758"/>
      <c r="AN159" s="1758"/>
      <c r="AO159" s="1758"/>
      <c r="AP159" s="1758"/>
      <c r="AQ159" s="1758"/>
    </row>
    <row s="1834" customFormat="1" customHeight="1" ht="14.25">
      <c r="A160" s="1758"/>
      <c r="B160" s="1416"/>
      <c r="C160" s="1758"/>
      <c r="D160" s="1758"/>
      <c r="E160" s="618">
        <v>15</v>
      </c>
      <c r="F160" s="50" cm="1" t="str">
        <f t="array" ref="F160:F160">OFFSET(E160,-1,1)</f>
        <v>2</v>
      </c>
      <c r="G160" s="426"/>
      <c r="H160" s="85"/>
      <c r="I160" s="426"/>
      <c r="J160" s="1758"/>
      <c r="K160" s="124"/>
      <c r="L160" s="124"/>
      <c r="M160" s="124"/>
      <c r="N160" s="1758"/>
      <c r="O160" s="1758"/>
      <c r="P160" s="1758"/>
      <c r="Q160" s="1758"/>
      <c r="R160" s="1758"/>
      <c r="S160" s="1806"/>
      <c r="T160" s="465" cm="1" t="str">
        <f t="array" ref="T160:T160">T159</f>
        <v>true</v>
      </c>
      <c r="U160" s="1758"/>
      <c r="V160" s="1758"/>
      <c r="W160" s="1758"/>
      <c r="X160" s="1563"/>
      <c r="Y160" s="1758"/>
      <c r="Z160" s="1546"/>
      <c r="AA160" s="1758"/>
      <c r="AB160" s="300" t="str">
        <f>IF(B159,"2.12","2.10")</f>
        <v>2.10</v>
      </c>
      <c r="AC160" s="762" t="s">
        <v>2278</v>
      </c>
      <c r="AD160" s="766" t="s">
        <v>2279</v>
      </c>
      <c r="AE160" s="766" t="s">
        <v>1514</v>
      </c>
      <c r="AF160" s="298">
        <f>AF161+AF162</f>
        <v>0</v>
      </c>
      <c r="AG160" s="298">
        <f>AG161+AG162</f>
        <v>0</v>
      </c>
      <c r="AH160" s="846"/>
      <c r="AI160" s="1758"/>
      <c r="AJ160" s="1758"/>
      <c r="AK160" s="1758"/>
      <c r="AL160" s="997" t="s">
        <v>2280</v>
      </c>
      <c r="AM160" s="1758"/>
      <c r="AN160" s="1758"/>
      <c r="AO160" s="1758"/>
      <c r="AP160" s="1758"/>
      <c r="AQ160" s="1758"/>
    </row>
    <row s="1834" customFormat="1" customHeight="1" ht="21.75">
      <c r="A161" s="1758"/>
      <c r="B161" s="1416"/>
      <c r="C161" s="1758"/>
      <c r="D161" s="1758"/>
      <c r="E161" s="618">
        <v>22.5</v>
      </c>
      <c r="F161" s="50" cm="1" t="str">
        <f t="array" ref="F161:F161">OFFSET(E161,-1,1)</f>
        <v>2</v>
      </c>
      <c r="G161" s="426"/>
      <c r="H161" s="85"/>
      <c r="I161" s="426"/>
      <c r="J161" s="1758"/>
      <c r="K161" s="124"/>
      <c r="L161" s="124"/>
      <c r="M161" s="124"/>
      <c r="N161" s="1758"/>
      <c r="O161" s="1758"/>
      <c r="P161" s="1758"/>
      <c r="Q161" s="1758"/>
      <c r="R161" s="1758"/>
      <c r="S161" s="1806"/>
      <c r="T161" s="465" cm="1" t="str">
        <f t="array" ref="T161:T161">T160</f>
        <v>true</v>
      </c>
      <c r="U161" s="1758"/>
      <c r="V161" s="1758"/>
      <c r="W161" s="1758"/>
      <c r="X161" s="1563"/>
      <c r="Y161" s="1758"/>
      <c r="Z161" s="1546"/>
      <c r="AA161" s="1758"/>
      <c r="AB161" s="300" t="str">
        <f>AB160&amp;".1"</f>
        <v>2.10.1</v>
      </c>
      <c r="AC161" s="762" t="s">
        <v>2281</v>
      </c>
      <c r="AD161" s="766" t="s">
        <v>2279</v>
      </c>
      <c r="AE161" s="766" t="s">
        <v>1514</v>
      </c>
      <c r="AF161" s="298"/>
      <c r="AG161" s="298"/>
      <c r="AH161" s="846"/>
      <c r="AI161" s="1758"/>
      <c r="AJ161" s="1758"/>
      <c r="AK161" s="1758"/>
      <c r="AL161" s="997" t="s">
        <v>2282</v>
      </c>
      <c r="AM161" s="1758"/>
      <c r="AN161" s="1758"/>
      <c r="AO161" s="1758"/>
      <c r="AP161" s="1758"/>
      <c r="AQ161" s="1758"/>
    </row>
    <row s="1834" customFormat="1" customHeight="1" ht="21.75">
      <c r="A162" s="1758"/>
      <c r="B162" s="1416"/>
      <c r="C162" s="1758"/>
      <c r="D162" s="1758"/>
      <c r="E162" s="618">
        <v>22.5</v>
      </c>
      <c r="F162" s="50" cm="1" t="str">
        <f t="array" ref="F162:F162">OFFSET(E162,-1,1)</f>
        <v>2</v>
      </c>
      <c r="G162" s="426"/>
      <c r="H162" s="85"/>
      <c r="I162" s="426"/>
      <c r="J162" s="1758"/>
      <c r="K162" s="124"/>
      <c r="L162" s="124"/>
      <c r="M162" s="124"/>
      <c r="N162" s="1758"/>
      <c r="O162" s="1758"/>
      <c r="P162" s="1758"/>
      <c r="Q162" s="1758"/>
      <c r="R162" s="1758"/>
      <c r="S162" s="1806"/>
      <c r="T162" s="465" cm="1" t="str">
        <f t="array" ref="T162:T162">T161</f>
        <v>true</v>
      </c>
      <c r="U162" s="1758"/>
      <c r="V162" s="1758"/>
      <c r="W162" s="1758"/>
      <c r="X162" s="1563"/>
      <c r="Y162" s="1758"/>
      <c r="Z162" s="1546"/>
      <c r="AA162" s="1758"/>
      <c r="AB162" s="300" t="str">
        <f>AB160&amp;".2"</f>
        <v>2.10.2</v>
      </c>
      <c r="AC162" s="762" t="s">
        <v>2283</v>
      </c>
      <c r="AD162" s="766" t="s">
        <v>2279</v>
      </c>
      <c r="AE162" s="766" t="s">
        <v>1514</v>
      </c>
      <c r="AF162" s="298"/>
      <c r="AG162" s="298"/>
      <c r="AH162" s="846"/>
      <c r="AI162" s="1758"/>
      <c r="AJ162" s="1758"/>
      <c r="AK162" s="1758"/>
      <c r="AL162" s="997" t="s">
        <v>2284</v>
      </c>
      <c r="AM162" s="1758"/>
      <c r="AN162" s="1758"/>
      <c r="AO162" s="1758"/>
      <c r="AP162" s="1758"/>
      <c r="AQ162" s="1758"/>
    </row>
    <row s="1834" customFormat="1" customHeight="1" ht="14.25">
      <c r="A163" s="1758"/>
      <c r="B163" s="1416"/>
      <c r="C163" s="1758"/>
      <c r="D163" s="1758"/>
      <c r="E163" s="618">
        <v>15</v>
      </c>
      <c r="F163" s="50" cm="1" t="str">
        <f t="array" ref="F163:F163">OFFSET(E163,-1,1)</f>
        <v>2</v>
      </c>
      <c r="G163" s="426"/>
      <c r="H163" s="85"/>
      <c r="I163" s="426"/>
      <c r="J163" s="1758"/>
      <c r="K163" s="124"/>
      <c r="L163" s="124"/>
      <c r="M163" s="124"/>
      <c r="N163" s="1758"/>
      <c r="O163" s="1758"/>
      <c r="P163" s="1758"/>
      <c r="Q163" s="1758"/>
      <c r="R163" s="1758"/>
      <c r="S163" s="1806"/>
      <c r="T163" s="465" cm="1" t="str">
        <f t="array" ref="T163:T163">T162</f>
        <v>true</v>
      </c>
      <c r="U163" s="1758"/>
      <c r="V163" s="1758"/>
      <c r="W163" s="1758"/>
      <c r="X163" s="1563"/>
      <c r="Y163" s="1758"/>
      <c r="Z163" s="1546"/>
      <c r="AA163" s="1758"/>
      <c r="AB163" s="300" t="str">
        <f>IF(B159,"2.13","2.11")</f>
        <v>2.11</v>
      </c>
      <c r="AC163" s="762" t="s">
        <v>2285</v>
      </c>
      <c r="AD163" s="766" t="s">
        <v>2279</v>
      </c>
      <c r="AE163" s="766" t="s">
        <v>1514</v>
      </c>
      <c r="AF163" s="298"/>
      <c r="AG163" s="298"/>
      <c r="AH163" s="846"/>
      <c r="AI163" s="1758"/>
      <c r="AJ163" s="1758"/>
      <c r="AK163" s="1758"/>
      <c r="AL163" s="997" t="s">
        <v>2286</v>
      </c>
      <c r="AM163" s="1758"/>
      <c r="AN163" s="1758"/>
      <c r="AO163" s="1758"/>
      <c r="AP163" s="1758"/>
      <c r="AQ163" s="1758"/>
    </row>
    <row s="1834" customFormat="1" customHeight="1" ht="14.25">
      <c r="A164" s="1758"/>
      <c r="B164" s="1416"/>
      <c r="C164" s="1758"/>
      <c r="D164" s="1758"/>
      <c r="E164" s="618">
        <v>15</v>
      </c>
      <c r="F164" s="50" cm="1" t="str">
        <f t="array" ref="F164:F164">OFFSET(E164,-1,1)</f>
        <v>2</v>
      </c>
      <c r="G164" s="426"/>
      <c r="H164" s="85"/>
      <c r="I164" s="426"/>
      <c r="J164" s="1758"/>
      <c r="K164" s="124"/>
      <c r="L164" s="124"/>
      <c r="M164" s="124"/>
      <c r="N164" s="1758"/>
      <c r="O164" s="1758"/>
      <c r="P164" s="1758"/>
      <c r="Q164" s="1758"/>
      <c r="R164" s="1758"/>
      <c r="S164" s="1806"/>
      <c r="T164" s="465" cm="1" t="str">
        <f t="array" ref="T164:T164">T163</f>
        <v>true</v>
      </c>
      <c r="U164" s="1758"/>
      <c r="V164" s="1758"/>
      <c r="W164" s="1758"/>
      <c r="X164" s="1563"/>
      <c r="Y164" s="1758"/>
      <c r="Z164" s="1546"/>
      <c r="AA164" s="1758"/>
      <c r="AB164" s="300" t="str">
        <f>IF(B159,"2.14","2.12")</f>
        <v>2.12</v>
      </c>
      <c r="AC164" s="762" t="s">
        <v>2287</v>
      </c>
      <c r="AD164" s="766" t="s">
        <v>2279</v>
      </c>
      <c r="AE164" s="766" t="s">
        <v>1514</v>
      </c>
      <c r="AF164" s="298"/>
      <c r="AG164" s="298"/>
      <c r="AH164" s="846"/>
      <c r="AI164" s="1758"/>
      <c r="AJ164" s="1758"/>
      <c r="AK164" s="1758"/>
      <c r="AL164" s="997" t="s">
        <v>2288</v>
      </c>
      <c r="AM164" s="1758"/>
      <c r="AN164" s="1758"/>
      <c r="AO164" s="1758"/>
      <c r="AP164" s="1758"/>
      <c r="AQ164" s="1758"/>
    </row>
    <row s="1469" customFormat="1" customHeight="1" ht="21.75">
      <c r="A165" s="698"/>
      <c r="B165" s="431"/>
      <c r="C165" s="698"/>
      <c r="D165" s="698"/>
      <c r="E165" s="691">
        <v>22.5</v>
      </c>
      <c r="F165" s="50" cm="1" t="str">
        <f t="array" ref="F165:F165">OFFSET(E165,-1,1)</f>
        <v>2</v>
      </c>
      <c r="G165" s="147"/>
      <c r="H165" s="147"/>
      <c r="I165" s="426" t="s">
        <v>333</v>
      </c>
      <c r="J165" s="698"/>
      <c r="K165" s="497"/>
      <c r="L165" s="497"/>
      <c r="M165" s="497"/>
      <c r="N165" s="698"/>
      <c r="O165" s="698"/>
      <c r="P165" s="698"/>
      <c r="Q165" s="698"/>
      <c r="R165" s="698"/>
      <c r="S165" s="698"/>
      <c r="T165" s="465" cm="1" t="str">
        <f t="array" ref="T165:T165">T164</f>
        <v>true</v>
      </c>
      <c r="U165" s="698"/>
      <c r="V165" s="698"/>
      <c r="W165" s="698"/>
      <c r="X165" s="1563"/>
      <c r="Y165" s="698"/>
      <c r="Z165" s="1546"/>
      <c r="AA165" s="698"/>
      <c r="AB165" s="211" t="s">
        <v>2289</v>
      </c>
      <c r="AC165" s="212" t="s">
        <v>2290</v>
      </c>
      <c r="AD165" s="211" t="s">
        <v>2152</v>
      </c>
      <c r="AE165" s="234" t="s">
        <v>1514</v>
      </c>
      <c r="AF165" s="844" cm="1" t="str">
        <f t="array" ref="AF165:AF165">AF166</f>
        <v>0</v>
      </c>
      <c r="AG165" s="844" cm="1" t="str">
        <f t="array" ref="AG165:AG165">AG166</f>
        <v>0</v>
      </c>
      <c r="AH165" s="845"/>
      <c r="AI165" s="698"/>
      <c r="AJ165" s="698"/>
      <c r="AK165" s="698"/>
      <c r="AL165" s="1051" t="s">
        <v>2291</v>
      </c>
      <c r="AM165" s="698"/>
      <c r="AN165" s="698"/>
      <c r="AO165" s="698"/>
      <c r="AP165" s="698"/>
      <c r="AQ165" s="698"/>
    </row>
    <row s="1834" customFormat="1" customHeight="1" ht="32.25">
      <c r="A166" s="1758"/>
      <c r="B166" s="1416"/>
      <c r="C166" s="1758"/>
      <c r="D166" s="1758"/>
      <c r="E166" s="618">
        <v>33.75</v>
      </c>
      <c r="F166" s="50" cm="1" t="str">
        <f t="array" ref="F166:F166">OFFSET(E166,-1,1)</f>
        <v>2</v>
      </c>
      <c r="G166" s="426"/>
      <c r="H166" s="85"/>
      <c r="I166" s="426" t="s">
        <v>1193</v>
      </c>
      <c r="J166" s="1758"/>
      <c r="K166" s="124"/>
      <c r="L166" s="124"/>
      <c r="M166" s="124"/>
      <c r="N166" s="1758"/>
      <c r="O166" s="1758"/>
      <c r="P166" s="1758"/>
      <c r="Q166" s="1758"/>
      <c r="R166" s="1758"/>
      <c r="S166" s="1806"/>
      <c r="T166" s="465" cm="1" t="str">
        <f t="array" ref="T166:T166">T165</f>
        <v>true</v>
      </c>
      <c r="U166" s="1758"/>
      <c r="V166" s="1758"/>
      <c r="W166" s="1758"/>
      <c r="X166" s="1563"/>
      <c r="Y166" s="1758"/>
      <c r="Z166" s="1546"/>
      <c r="AA166" s="1758"/>
      <c r="AB166" s="299" t="s">
        <v>276</v>
      </c>
      <c r="AC166" s="452" t="s">
        <v>2292</v>
      </c>
      <c r="AD166" s="300" t="s">
        <v>2293</v>
      </c>
      <c r="AE166" s="766" t="s">
        <v>1514</v>
      </c>
      <c r="AF166" s="934">
        <f>AF167+AF168</f>
        <v>0</v>
      </c>
      <c r="AG166" s="934">
        <f>AG167+AG168</f>
        <v>0</v>
      </c>
      <c r="AH166" s="846"/>
      <c r="AI166" s="1758"/>
      <c r="AJ166" s="1758"/>
      <c r="AK166" s="1758"/>
      <c r="AL166" s="997" t="s">
        <v>2294</v>
      </c>
      <c r="AM166" s="1758"/>
      <c r="AN166" s="1758"/>
      <c r="AO166" s="1758"/>
      <c r="AP166" s="1758"/>
      <c r="AQ166" s="1758"/>
    </row>
    <row s="1834" customFormat="1" customHeight="1" ht="43.5">
      <c r="A167" s="1758"/>
      <c r="B167" s="1416"/>
      <c r="C167" s="1758"/>
      <c r="D167" s="1758"/>
      <c r="E167" s="618">
        <v>45</v>
      </c>
      <c r="F167" s="50" cm="1" t="str">
        <f t="array" ref="F167:F167">OFFSET(E167,-1,1)</f>
        <v>2</v>
      </c>
      <c r="G167" s="426"/>
      <c r="H167" s="85"/>
      <c r="I167" s="426" t="s">
        <v>2295</v>
      </c>
      <c r="J167" s="1758"/>
      <c r="K167" s="124"/>
      <c r="L167" s="124"/>
      <c r="M167" s="124"/>
      <c r="N167" s="1758"/>
      <c r="O167" s="1758"/>
      <c r="P167" s="1758"/>
      <c r="Q167" s="1758"/>
      <c r="R167" s="1758"/>
      <c r="S167" s="1806"/>
      <c r="T167" s="465" cm="1" t="str">
        <f t="array" ref="T167:T167">T166</f>
        <v>true</v>
      </c>
      <c r="U167" s="1758"/>
      <c r="V167" s="1758"/>
      <c r="W167" s="1758"/>
      <c r="X167" s="1563"/>
      <c r="Y167" s="1758"/>
      <c r="Z167" s="1546"/>
      <c r="AA167" s="1758"/>
      <c r="AB167" s="299" t="s">
        <v>1628</v>
      </c>
      <c r="AC167" s="762" t="s">
        <v>2296</v>
      </c>
      <c r="AD167" s="300" t="s">
        <v>2297</v>
      </c>
      <c r="AE167" s="766" t="s">
        <v>1514</v>
      </c>
      <c r="AF167" s="298"/>
      <c r="AG167" s="298"/>
      <c r="AH167" s="846"/>
      <c r="AI167" s="1758"/>
      <c r="AJ167" s="1758"/>
      <c r="AK167" s="1758"/>
      <c r="AL167" s="997" t="s">
        <v>2298</v>
      </c>
      <c r="AM167" s="1758"/>
      <c r="AN167" s="1758"/>
      <c r="AO167" s="1758"/>
      <c r="AP167" s="1758"/>
      <c r="AQ167" s="1758"/>
    </row>
    <row s="1834" customFormat="1" customHeight="1" ht="32.25">
      <c r="A168" s="1758"/>
      <c r="B168" s="1416"/>
      <c r="C168" s="1758"/>
      <c r="D168" s="1758"/>
      <c r="E168" s="618">
        <v>33.75</v>
      </c>
      <c r="F168" s="50" cm="1" t="str">
        <f t="array" ref="F168:F168">OFFSET(E168,-1,1)</f>
        <v>2</v>
      </c>
      <c r="G168" s="426"/>
      <c r="H168" s="85"/>
      <c r="I168" s="426" t="s">
        <v>2299</v>
      </c>
      <c r="J168" s="1758"/>
      <c r="K168" s="124"/>
      <c r="L168" s="124"/>
      <c r="M168" s="124"/>
      <c r="N168" s="1758"/>
      <c r="O168" s="1758"/>
      <c r="P168" s="1758"/>
      <c r="Q168" s="1758"/>
      <c r="R168" s="1758"/>
      <c r="S168" s="1806"/>
      <c r="T168" s="465" cm="1" t="str">
        <f t="array" ref="T168:T168">T167</f>
        <v>true</v>
      </c>
      <c r="U168" s="1758"/>
      <c r="V168" s="1758"/>
      <c r="W168" s="1758"/>
      <c r="X168" s="1563"/>
      <c r="Y168" s="1758"/>
      <c r="Z168" s="1546"/>
      <c r="AA168" s="1758"/>
      <c r="AB168" s="299" t="s">
        <v>1631</v>
      </c>
      <c r="AC168" s="762" t="s">
        <v>2300</v>
      </c>
      <c r="AD168" s="300" t="s">
        <v>2301</v>
      </c>
      <c r="AE168" s="766" t="s">
        <v>1514</v>
      </c>
      <c r="AF168" s="298"/>
      <c r="AG168" s="298"/>
      <c r="AH168" s="846"/>
      <c r="AI168" s="1758"/>
      <c r="AJ168" s="1758"/>
      <c r="AK168" s="1758"/>
      <c r="AL168" s="997" t="s">
        <v>2302</v>
      </c>
      <c r="AM168" s="1758"/>
      <c r="AN168" s="1758"/>
      <c r="AO168" s="1758"/>
      <c r="AP168" s="1758"/>
      <c r="AQ168" s="1758"/>
    </row>
    <row s="1834" customFormat="1" customHeight="1" ht="33.75">
      <c r="A169" s="1758"/>
      <c r="B169" s="1416"/>
      <c r="C169" s="1758"/>
      <c r="D169" s="1758"/>
      <c r="E169" s="618">
        <v>35</v>
      </c>
      <c r="F169" s="50" cm="1" t="str">
        <f t="array" ref="F169:F169">OFFSET(E169,-1,1)</f>
        <v>2</v>
      </c>
      <c r="G169" s="426"/>
      <c r="H169" s="85"/>
      <c r="I169" s="426" t="s">
        <v>334</v>
      </c>
      <c r="J169" s="1758"/>
      <c r="K169" s="124" t="str">
        <f>F169&amp;"1komm"</f>
        <v>21komm</v>
      </c>
      <c r="L169" s="919" cm="1" t="str">
        <f t="array" ref="L169:L169">AH169</f>
        <v>0</v>
      </c>
      <c r="M169" s="124"/>
      <c r="N169" s="1758"/>
      <c r="O169" s="1758"/>
      <c r="P169" s="1758"/>
      <c r="Q169" s="1758"/>
      <c r="R169" s="1758"/>
      <c r="S169" s="1806"/>
      <c r="T169" s="465" cm="1" t="str">
        <f t="array" ref="T169:T169">T168</f>
        <v>true</v>
      </c>
      <c r="U169" s="1758"/>
      <c r="V169" s="1758"/>
      <c r="W169" s="1758"/>
      <c r="X169" s="1563"/>
      <c r="Y169" s="1758"/>
      <c r="Z169" s="1546"/>
      <c r="AA169" s="1758"/>
      <c r="AB169" s="234" t="s">
        <v>2303</v>
      </c>
      <c r="AC169" s="212" t="s">
        <v>2304</v>
      </c>
      <c r="AD169" s="211" t="s">
        <v>2305</v>
      </c>
      <c r="AE169" s="234" t="s">
        <v>1514</v>
      </c>
      <c r="AF169" s="382"/>
      <c r="AG169" s="382"/>
      <c r="AH169" s="846"/>
      <c r="AI169" s="1758"/>
      <c r="AJ169" s="1758"/>
      <c r="AK169" s="1758"/>
      <c r="AL169" s="997" t="s">
        <v>2306</v>
      </c>
      <c r="AM169" s="1758"/>
      <c r="AN169" s="1758"/>
      <c r="AO169" s="1758"/>
      <c r="AP169" s="1758"/>
      <c r="AQ169" s="1758"/>
    </row>
    <row s="1834" customFormat="1" customHeight="1" ht="107.25">
      <c r="A170" s="1758"/>
      <c r="B170" s="1416"/>
      <c r="C170" s="1758"/>
      <c r="D170" s="1758"/>
      <c r="E170" s="618">
        <v>110</v>
      </c>
      <c r="F170" s="50" cm="1" t="str">
        <f t="array" ref="F170:F170">OFFSET(E170,-1,1)</f>
        <v>2</v>
      </c>
      <c r="G170" s="426"/>
      <c r="H170" s="85"/>
      <c r="I170" s="426" t="s">
        <v>336</v>
      </c>
      <c r="J170" s="1758"/>
      <c r="K170" s="124" t="str">
        <f>F170&amp;"2komm"</f>
        <v>22komm</v>
      </c>
      <c r="L170" s="919" cm="1" t="str">
        <f t="array" ref="L170:L170">AH170</f>
        <v>0</v>
      </c>
      <c r="M170" s="124"/>
      <c r="N170" s="1758"/>
      <c r="O170" s="1758"/>
      <c r="P170" s="1758"/>
      <c r="Q170" s="1758"/>
      <c r="R170" s="1758"/>
      <c r="S170" s="1806"/>
      <c r="T170" s="465" cm="1" t="str">
        <f t="array" ref="T170:T170">T169</f>
        <v>true</v>
      </c>
      <c r="U170" s="1758"/>
      <c r="V170" s="1758"/>
      <c r="W170" s="1758"/>
      <c r="X170" s="1563"/>
      <c r="Y170" s="1758"/>
      <c r="Z170" s="1546"/>
      <c r="AA170" s="1758"/>
      <c r="AB170" s="234" t="s">
        <v>2307</v>
      </c>
      <c r="AC170" s="212" t="s">
        <v>2308</v>
      </c>
      <c r="AD170" s="211" t="s">
        <v>2309</v>
      </c>
      <c r="AE170" s="234" t="s">
        <v>1514</v>
      </c>
      <c r="AF170" s="382"/>
      <c r="AG170" s="382"/>
      <c r="AH170" s="846"/>
      <c r="AI170" s="1758"/>
      <c r="AJ170" s="1758"/>
      <c r="AK170" s="1758"/>
      <c r="AL170" s="997" t="s">
        <v>1745</v>
      </c>
      <c r="AM170" s="1758"/>
      <c r="AN170" s="1758"/>
      <c r="AO170" s="1758"/>
      <c r="AP170" s="1758"/>
      <c r="AQ170" s="1758"/>
    </row>
    <row s="1834" customFormat="1" customHeight="1" ht="76.5" hidden="1">
      <c r="A171" s="1758"/>
      <c r="B171" s="428">
        <f>S129="Водоотведение"</f>
        <v>0</v>
      </c>
      <c r="C171" s="1758"/>
      <c r="D171" s="1758"/>
      <c r="E171" s="618">
        <v>78.75</v>
      </c>
      <c r="F171" s="50" cm="1" t="str">
        <f t="array" ref="F171:F171">OFFSET(E171,-1,1)</f>
        <v>2</v>
      </c>
      <c r="G171" s="1021"/>
      <c r="H171" s="49"/>
      <c r="I171" s="122" t="s">
        <v>335</v>
      </c>
      <c r="J171" s="1758"/>
      <c r="K171" s="124" t="str">
        <f>F171&amp;"3komm"</f>
        <v>23komm</v>
      </c>
      <c r="L171" s="919" cm="1" t="str">
        <f t="array" ref="L171:L171">AH171</f>
        <v>0</v>
      </c>
      <c r="M171" s="124"/>
      <c r="N171" s="1758"/>
      <c r="O171" s="1758"/>
      <c r="P171" s="1758"/>
      <c r="Q171" s="1758"/>
      <c r="R171" s="1758"/>
      <c r="S171" s="1806"/>
      <c r="T171" s="465" cm="1" t="str">
        <f t="array" ref="T171:T171">T170</f>
        <v>true</v>
      </c>
      <c r="U171" s="1758"/>
      <c r="V171" s="1758"/>
      <c r="W171" s="1758"/>
      <c r="X171" s="1563"/>
      <c r="Y171" s="1758"/>
      <c r="Z171" s="1546"/>
      <c r="AA171" s="1758"/>
      <c r="AB171" s="234" t="s">
        <v>2310</v>
      </c>
      <c r="AC171" s="212" t="s">
        <v>2311</v>
      </c>
      <c r="AD171" s="211"/>
      <c r="AE171" s="234" t="s">
        <v>1514</v>
      </c>
      <c r="AF171" s="5199"/>
      <c r="AG171" s="3658">
        <f>_xlfn.IFERROR(_xlfn.SUMIFS('Плата за негативное возд'!$AL$24:$AL$41,'Плата за негативное возд'!$F$24:$F$41,F171,'Плата за негативное возд'!$AB$24:$AB$41,"1"),0)</f>
        <v>0</v>
      </c>
      <c r="AH171" s="1947"/>
      <c r="AI171" s="1758"/>
      <c r="AJ171" s="1758"/>
      <c r="AK171" s="1758"/>
      <c r="AL171" s="997" t="s">
        <v>2312</v>
      </c>
      <c r="AM171" s="1758"/>
      <c r="AN171" s="1758"/>
      <c r="AO171" s="1758"/>
      <c r="AP171" s="1758"/>
      <c r="AQ171" s="1758"/>
    </row>
    <row s="1834" customFormat="1" customHeight="1" ht="54.75" hidden="1">
      <c r="A172" s="1758"/>
      <c r="B172" s="428" cm="1" t="str">
        <f t="array" ref="B172:B172">B171</f>
        <v>false</v>
      </c>
      <c r="C172" s="1758"/>
      <c r="D172" s="1758"/>
      <c r="E172" s="618">
        <v>56.25</v>
      </c>
      <c r="F172" s="50" cm="1" t="str">
        <f t="array" ref="F172:F172">OFFSET(E172,-1,1)</f>
        <v>2</v>
      </c>
      <c r="G172" s="1021"/>
      <c r="H172" s="49"/>
      <c r="I172" s="122" t="s">
        <v>1225</v>
      </c>
      <c r="J172" s="1758"/>
      <c r="K172" s="124" t="str">
        <f>F172&amp;"4komm"</f>
        <v>24komm</v>
      </c>
      <c r="L172" s="919" cm="1" t="str">
        <f t="array" ref="L172:L172">AH172</f>
        <v>0</v>
      </c>
      <c r="M172" s="124"/>
      <c r="N172" s="1758"/>
      <c r="O172" s="1758"/>
      <c r="P172" s="1758"/>
      <c r="Q172" s="1758"/>
      <c r="R172" s="1758"/>
      <c r="S172" s="1806"/>
      <c r="T172" s="465" cm="1" t="str">
        <f t="array" ref="T172:T172">T171</f>
        <v>true</v>
      </c>
      <c r="U172" s="1758"/>
      <c r="V172" s="1758"/>
      <c r="W172" s="1758"/>
      <c r="X172" s="1563"/>
      <c r="Y172" s="1758"/>
      <c r="Z172" s="1546"/>
      <c r="AA172" s="1758"/>
      <c r="AB172" s="234" t="s">
        <v>2313</v>
      </c>
      <c r="AC172" s="212" t="s">
        <v>2314</v>
      </c>
      <c r="AD172" s="211"/>
      <c r="AE172" s="234" t="s">
        <v>1514</v>
      </c>
      <c r="AF172" s="5199"/>
      <c r="AG172" s="3658">
        <f>_xlfn.IFERROR(_xlfn.SUMIFS('Плата за негативное возд'!$AL$24:$AL$41,'Плата за негативное возд'!$F$24:$F$41,F172,'Плата за негативное возд'!$AB$24:$AB$41,"2"),0)</f>
        <v>0</v>
      </c>
      <c r="AH172" s="1947"/>
      <c r="AI172" s="1758"/>
      <c r="AJ172" s="1758"/>
      <c r="AK172" s="1758"/>
      <c r="AL172" s="997" t="s">
        <v>2315</v>
      </c>
      <c r="AM172" s="1758"/>
      <c r="AN172" s="1758"/>
      <c r="AO172" s="1758"/>
      <c r="AP172" s="1758"/>
      <c r="AQ172" s="1758"/>
    </row>
    <row s="1834" customFormat="1" customHeight="1" ht="14.25">
      <c r="A173" s="1758"/>
      <c r="B173" s="1416"/>
      <c r="C173" s="1758"/>
      <c r="D173" s="1758"/>
      <c r="E173" s="618">
        <v>15</v>
      </c>
      <c r="F173" s="50" cm="1" t="str">
        <f t="array" ref="F173:F173">OFFSET(E173,-1,1)</f>
        <v>2</v>
      </c>
      <c r="G173" s="1021"/>
      <c r="H173" s="85"/>
      <c r="I173" s="122" t="s">
        <v>1228</v>
      </c>
      <c r="J173" s="1758"/>
      <c r="K173" s="124" t="str">
        <f>F173&amp;"5komm"</f>
        <v>25komm</v>
      </c>
      <c r="L173" s="919" cm="1" t="str">
        <f t="array" ref="L173:L173">AH173</f>
        <v>0</v>
      </c>
      <c r="M173" s="124"/>
      <c r="N173" s="1758"/>
      <c r="O173" s="1758"/>
      <c r="P173" s="1758"/>
      <c r="Q173" s="1758"/>
      <c r="R173" s="1758"/>
      <c r="S173" s="1806"/>
      <c r="T173" s="465" cm="1" t="str">
        <f t="array" ref="T173:T173">T172</f>
        <v>true</v>
      </c>
      <c r="U173" s="1758"/>
      <c r="V173" s="1758"/>
      <c r="W173" s="1758"/>
      <c r="X173" s="1563"/>
      <c r="Y173" s="1758"/>
      <c r="Z173" s="1546"/>
      <c r="AA173" s="1758"/>
      <c r="AB173" s="234" t="str">
        <f>IF(B172,"VII","V")</f>
        <v>V</v>
      </c>
      <c r="AC173" s="212" t="s">
        <v>2316</v>
      </c>
      <c r="AD173" s="211"/>
      <c r="AE173" s="234" t="s">
        <v>1514</v>
      </c>
      <c r="AF173" s="382"/>
      <c r="AG173" s="382"/>
      <c r="AH173" s="846"/>
      <c r="AI173" s="1758"/>
      <c r="AJ173" s="1758"/>
      <c r="AK173" s="1758"/>
      <c r="AL173" s="997" t="s">
        <v>2317</v>
      </c>
      <c r="AM173" s="1758"/>
      <c r="AN173" s="1758"/>
      <c r="AO173" s="1758"/>
      <c r="AP173" s="1758"/>
      <c r="AQ173" s="1758"/>
    </row>
    <row s="1469" customFormat="1" customHeight="1" ht="14.25">
      <c r="A174" s="698"/>
      <c r="B174" s="431"/>
      <c r="C174" s="698"/>
      <c r="D174" s="698"/>
      <c r="E174" s="691">
        <v>15</v>
      </c>
      <c r="F174" s="50" cm="1" t="str">
        <f t="array" ref="F174:F174">OFFSET(E174,-1,1)</f>
        <v>2</v>
      </c>
      <c r="G174" s="497"/>
      <c r="H174" s="698"/>
      <c r="I174" s="241" t="s">
        <v>1275</v>
      </c>
      <c r="J174" s="698"/>
      <c r="K174" s="124" t="str">
        <f>F174&amp;"6komm"</f>
        <v>26komm</v>
      </c>
      <c r="L174" s="919" cm="1" t="str">
        <f t="array" ref="L174:L174">AH174</f>
        <v>0</v>
      </c>
      <c r="M174" s="497"/>
      <c r="N174" s="698"/>
      <c r="O174" s="698"/>
      <c r="P174" s="698"/>
      <c r="Q174" s="698"/>
      <c r="R174" s="698"/>
      <c r="S174" s="698"/>
      <c r="T174" s="465" cm="1" t="str">
        <f t="array" ref="T174:T174">T173</f>
        <v>true</v>
      </c>
      <c r="U174" s="698"/>
      <c r="V174" s="698"/>
      <c r="W174" s="698"/>
      <c r="X174" s="1563"/>
      <c r="Y174" s="698"/>
      <c r="Z174" s="1546"/>
      <c r="AA174" s="698"/>
      <c r="AB174" s="234" t="str">
        <f>IF(B172,"VIII","VI")</f>
        <v>VI</v>
      </c>
      <c r="AC174" s="212" t="s">
        <v>2278</v>
      </c>
      <c r="AD174" s="211"/>
      <c r="AE174" s="234" t="s">
        <v>1514</v>
      </c>
      <c r="AF174" s="382">
        <f>AF175+AF176</f>
        <v>0</v>
      </c>
      <c r="AG174" s="382">
        <f>AG175+AG176</f>
        <v>0</v>
      </c>
      <c r="AH174" s="846"/>
      <c r="AI174" s="698"/>
      <c r="AJ174" s="698"/>
      <c r="AK174" s="698"/>
      <c r="AL174" s="1051" t="s">
        <v>2318</v>
      </c>
      <c r="AM174" s="698"/>
      <c r="AN174" s="698"/>
      <c r="AO174" s="698"/>
      <c r="AP174" s="698"/>
      <c r="AQ174" s="698"/>
    </row>
    <row s="1834" customFormat="1" customHeight="1" ht="21.75">
      <c r="A175" s="1758"/>
      <c r="B175" s="1416"/>
      <c r="C175" s="1758"/>
      <c r="D175" s="1758"/>
      <c r="E175" s="618">
        <v>22.5</v>
      </c>
      <c r="F175" s="50" cm="1" t="str">
        <f t="array" ref="F175:F175">OFFSET(E175,-1,1)</f>
        <v>2</v>
      </c>
      <c r="G175" s="1021"/>
      <c r="H175" s="85"/>
      <c r="I175" s="122" t="s">
        <v>1278</v>
      </c>
      <c r="J175" s="1758"/>
      <c r="K175" s="124" t="str">
        <f>F175&amp;"7komm"</f>
        <v>27komm</v>
      </c>
      <c r="L175" s="919" cm="1" t="str">
        <f t="array" ref="L175:L175">AH175</f>
        <v>0</v>
      </c>
      <c r="M175" s="124"/>
      <c r="N175" s="1758"/>
      <c r="O175" s="1758"/>
      <c r="P175" s="1758"/>
      <c r="Q175" s="1758"/>
      <c r="R175" s="1758"/>
      <c r="S175" s="1806"/>
      <c r="T175" s="465" cm="1" t="str">
        <f t="array" ref="T175:T175">T174</f>
        <v>true</v>
      </c>
      <c r="U175" s="1758"/>
      <c r="V175" s="1758"/>
      <c r="W175" s="1758"/>
      <c r="X175" s="1563"/>
      <c r="Y175" s="1758"/>
      <c r="Z175" s="1546"/>
      <c r="AA175" s="1758"/>
      <c r="AB175" s="766">
        <v>1</v>
      </c>
      <c r="AC175" s="762" t="s">
        <v>2281</v>
      </c>
      <c r="AD175" s="300"/>
      <c r="AE175" s="766" t="s">
        <v>1514</v>
      </c>
      <c r="AF175" s="298"/>
      <c r="AG175" s="298"/>
      <c r="AH175" s="846"/>
      <c r="AI175" s="1758"/>
      <c r="AJ175" s="1758"/>
      <c r="AK175" s="1758"/>
      <c r="AL175" s="997" t="s">
        <v>2319</v>
      </c>
      <c r="AM175" s="1758"/>
      <c r="AN175" s="1758"/>
      <c r="AO175" s="1758"/>
      <c r="AP175" s="1758"/>
      <c r="AQ175" s="1758"/>
    </row>
    <row s="1834" customFormat="1" customHeight="1" ht="21.75">
      <c r="A176" s="1758"/>
      <c r="B176" s="1416"/>
      <c r="C176" s="1758"/>
      <c r="D176" s="1758"/>
      <c r="E176" s="618">
        <v>22.5</v>
      </c>
      <c r="F176" s="50" cm="1" t="str">
        <f t="array" ref="F176:F176">OFFSET(E176,-1,1)</f>
        <v>2</v>
      </c>
      <c r="G176" s="1021"/>
      <c r="H176" s="85"/>
      <c r="I176" s="122" t="s">
        <v>1282</v>
      </c>
      <c r="J176" s="1758"/>
      <c r="K176" s="124" t="str">
        <f>F176&amp;"8komm"</f>
        <v>28komm</v>
      </c>
      <c r="L176" s="919" cm="1" t="str">
        <f t="array" ref="L176:L176">AH176</f>
        <v>0</v>
      </c>
      <c r="M176" s="124"/>
      <c r="N176" s="1758"/>
      <c r="O176" s="1758"/>
      <c r="P176" s="1758"/>
      <c r="Q176" s="1758"/>
      <c r="R176" s="1758"/>
      <c r="S176" s="1806"/>
      <c r="T176" s="465" cm="1" t="str">
        <f t="array" ref="T176:T176">T175</f>
        <v>true</v>
      </c>
      <c r="U176" s="1758"/>
      <c r="V176" s="1758"/>
      <c r="W176" s="1758"/>
      <c r="X176" s="1563"/>
      <c r="Y176" s="1758"/>
      <c r="Z176" s="1546"/>
      <c r="AA176" s="1758"/>
      <c r="AB176" s="766">
        <v>2</v>
      </c>
      <c r="AC176" s="762" t="s">
        <v>2283</v>
      </c>
      <c r="AD176" s="300"/>
      <c r="AE176" s="766" t="s">
        <v>1514</v>
      </c>
      <c r="AF176" s="298"/>
      <c r="AG176" s="298"/>
      <c r="AH176" s="846"/>
      <c r="AI176" s="1758"/>
      <c r="AJ176" s="1758"/>
      <c r="AK176" s="1758"/>
      <c r="AL176" s="997" t="s">
        <v>2320</v>
      </c>
      <c r="AM176" s="1758"/>
      <c r="AN176" s="1758"/>
      <c r="AO176" s="1758"/>
      <c r="AP176" s="1758"/>
      <c r="AQ176" s="1758"/>
    </row>
    <row s="1834" customFormat="1" customHeight="1" ht="14.25">
      <c r="A177" s="1758"/>
      <c r="B177" s="1416"/>
      <c r="C177" s="1758"/>
      <c r="D177" s="1758"/>
      <c r="E177" s="618">
        <v>15</v>
      </c>
      <c r="F177" s="50" cm="1" t="str">
        <f t="array" ref="F177:F177">OFFSET(E177,-1,1)</f>
        <v>2</v>
      </c>
      <c r="G177" s="1021"/>
      <c r="H177" s="85"/>
      <c r="I177" s="122" t="s">
        <v>1290</v>
      </c>
      <c r="J177" s="1758"/>
      <c r="K177" s="124" t="str">
        <f>F177&amp;"9komm"</f>
        <v>29komm</v>
      </c>
      <c r="L177" s="919" cm="1" t="str">
        <f t="array" ref="L177:L177">AH177</f>
        <v>0</v>
      </c>
      <c r="M177" s="124"/>
      <c r="N177" s="1758"/>
      <c r="O177" s="1758"/>
      <c r="P177" s="1758"/>
      <c r="Q177" s="1758"/>
      <c r="R177" s="1758"/>
      <c r="S177" s="1806"/>
      <c r="T177" s="465" cm="1" t="str">
        <f t="array" ref="T177:T177">T176</f>
        <v>true</v>
      </c>
      <c r="U177" s="1758"/>
      <c r="V177" s="1758"/>
      <c r="W177" s="1758"/>
      <c r="X177" s="1563"/>
      <c r="Y177" s="1758"/>
      <c r="Z177" s="1546"/>
      <c r="AA177" s="1758"/>
      <c r="AB177" s="234" t="str">
        <f>IF(B172,"IX","VIII")</f>
        <v>VIII</v>
      </c>
      <c r="AC177" s="212" t="s">
        <v>2285</v>
      </c>
      <c r="AD177" s="211"/>
      <c r="AE177" s="234" t="s">
        <v>1514</v>
      </c>
      <c r="AF177" s="382"/>
      <c r="AG177" s="382"/>
      <c r="AH177" s="846"/>
      <c r="AI177" s="1758"/>
      <c r="AJ177" s="1758"/>
      <c r="AK177" s="1758"/>
      <c r="AL177" s="997" t="s">
        <v>2321</v>
      </c>
      <c r="AM177" s="1758"/>
      <c r="AN177" s="1758"/>
      <c r="AO177" s="1758"/>
      <c r="AP177" s="1758"/>
      <c r="AQ177" s="1758"/>
    </row>
    <row s="1834" customFormat="1" customHeight="1" ht="14.25">
      <c r="A178" s="1758"/>
      <c r="B178" s="1416"/>
      <c r="C178" s="1758"/>
      <c r="D178" s="1758"/>
      <c r="E178" s="618">
        <v>15</v>
      </c>
      <c r="F178" s="50" cm="1" t="str">
        <f t="array" ref="F178:F178">OFFSET(E178,-1,1)</f>
        <v>2</v>
      </c>
      <c r="G178" s="1021"/>
      <c r="H178" s="85"/>
      <c r="I178" s="122" t="s">
        <v>1297</v>
      </c>
      <c r="J178" s="1758"/>
      <c r="K178" s="124" t="str">
        <f>F178&amp;"10komm"</f>
        <v>210komm</v>
      </c>
      <c r="L178" s="919" cm="1" t="str">
        <f t="array" ref="L178:L178">AH178</f>
        <v>0</v>
      </c>
      <c r="M178" s="124"/>
      <c r="N178" s="1758"/>
      <c r="O178" s="1758"/>
      <c r="P178" s="1758"/>
      <c r="Q178" s="1758"/>
      <c r="R178" s="1758"/>
      <c r="S178" s="1806"/>
      <c r="T178" s="465" cm="1" t="str">
        <f t="array" ref="T178:T178">T177</f>
        <v>true</v>
      </c>
      <c r="U178" s="1758"/>
      <c r="V178" s="1758"/>
      <c r="W178" s="1758"/>
      <c r="X178" s="1563"/>
      <c r="Y178" s="1758"/>
      <c r="Z178" s="1546"/>
      <c r="AA178" s="1758"/>
      <c r="AB178" s="234" t="str">
        <f>IF(B172,"X","IX")</f>
        <v>IX</v>
      </c>
      <c r="AC178" s="212" t="s">
        <v>2287</v>
      </c>
      <c r="AD178" s="211"/>
      <c r="AE178" s="234" t="s">
        <v>1514</v>
      </c>
      <c r="AF178" s="382"/>
      <c r="AG178" s="382"/>
      <c r="AH178" s="846"/>
      <c r="AI178" s="1758"/>
      <c r="AJ178" s="1758"/>
      <c r="AK178" s="1758"/>
      <c r="AL178" s="997" t="s">
        <v>2322</v>
      </c>
      <c r="AM178" s="1758"/>
      <c r="AN178" s="1758"/>
      <c r="AO178" s="1758"/>
      <c r="AP178" s="1758"/>
      <c r="AQ178" s="1758"/>
    </row>
    <row s="1469" customFormat="1" customHeight="1" ht="14.25">
      <c r="A179" s="698"/>
      <c r="B179" s="431"/>
      <c r="C179" s="698"/>
      <c r="D179" s="698"/>
      <c r="E179" s="691">
        <v>15</v>
      </c>
      <c r="F179" s="50" cm="1" t="str">
        <f t="array" ref="F179:F179">OFFSET(E179,-1,1)</f>
        <v>2</v>
      </c>
      <c r="G179" s="497"/>
      <c r="H179" s="698"/>
      <c r="I179" s="241" t="s">
        <v>1454</v>
      </c>
      <c r="J179" s="698"/>
      <c r="K179" s="124" t="str">
        <f>F179&amp;"11komm"</f>
        <v>211komm</v>
      </c>
      <c r="L179" s="919" cm="1" t="str">
        <f t="array" ref="L179:L179">AH179</f>
        <v>0</v>
      </c>
      <c r="M179" s="497"/>
      <c r="N179" s="698"/>
      <c r="O179" s="698"/>
      <c r="P179" s="698"/>
      <c r="Q179" s="698"/>
      <c r="R179" s="698"/>
      <c r="S179" s="698"/>
      <c r="T179" s="465" cm="1" t="str">
        <f t="array" ref="T179:T179">T178</f>
        <v>true</v>
      </c>
      <c r="U179" s="698"/>
      <c r="V179" s="698"/>
      <c r="W179" s="698"/>
      <c r="X179" s="1563"/>
      <c r="Y179" s="698"/>
      <c r="Z179" s="1546"/>
      <c r="AA179" s="698"/>
      <c r="AB179" s="234" t="str">
        <f>IF(B172,"XI","X")</f>
        <v>X</v>
      </c>
      <c r="AC179" s="219" t="s">
        <v>2323</v>
      </c>
      <c r="AD179" s="211"/>
      <c r="AE179" s="234" t="s">
        <v>1514</v>
      </c>
      <c r="AF179" s="937">
        <f>AF130+AF165+AF169+AF170+AF171+AF172+AF173+AF174+AF177+AF178</f>
        <v>0</v>
      </c>
      <c r="AG179" s="937">
        <f>AG130+AG165+AG169+AG170+AG171+AG172+AG173+AG174+AG177+AG178</f>
        <v>0</v>
      </c>
      <c r="AH179" s="846"/>
      <c r="AI179" s="698"/>
      <c r="AJ179" s="698"/>
      <c r="AK179" s="698"/>
      <c r="AL179" s="1051" t="s">
        <v>2324</v>
      </c>
      <c r="AM179" s="698"/>
      <c r="AN179" s="698"/>
      <c r="AO179" s="698"/>
      <c r="AP179" s="698"/>
      <c r="AQ179" s="698"/>
    </row>
    <row s="1834" customFormat="1" customHeight="1" ht="14.25">
      <c r="A180" s="1758"/>
      <c r="B180" s="1416"/>
      <c r="C180" s="1758"/>
      <c r="D180" s="1758"/>
      <c r="E180" s="618">
        <v>15</v>
      </c>
      <c r="F180" s="98" cm="1" t="str">
        <f t="array" ref="F180:F180">X180</f>
        <v>3</v>
      </c>
      <c r="G180" s="493"/>
      <c r="H180" s="85"/>
      <c r="I180" s="1758"/>
      <c r="J180" s="1758"/>
      <c r="K180" s="1758"/>
      <c r="L180" s="1758"/>
      <c r="M180" s="1758"/>
      <c r="N180" s="1758"/>
      <c r="O180" s="1758"/>
      <c r="P180" s="1758"/>
      <c r="Q180" s="1758"/>
      <c r="R180" s="1758"/>
      <c r="S180" s="1172" cm="1" t="str">
        <f t="array" ref="S180:S180">INDEX('Общие сведения'!$AE$179:$AE$250,MATCH($X180,'Общие сведения'!$Z$179:$Z$250,0))</f>
        <v>Водоотведение</v>
      </c>
      <c r="T180" s="465">
        <f>X180&gt;0</f>
        <v>1</v>
      </c>
      <c r="U180" s="1758"/>
      <c r="V180" s="122" cm="1" t="str">
        <f t="array" ref="V180:V180">'Плата за негативное возд'!$AB$35</f>
        <v>Тариф 3 (Водоотведение) - тариф на водоотведение (Доп. признак не требуется)</v>
      </c>
      <c r="W180" s="1758"/>
      <c r="X180" s="1563" t="s">
        <v>289</v>
      </c>
      <c r="Y180" s="1758"/>
      <c r="Z180" s="1546"/>
      <c r="AA180" s="1758"/>
      <c r="AB180" s="381" cm="1" t="str">
        <f t="array" ref="AB180:AB180">'Плата за негативное возд'!$AB$35</f>
        <v>Тариф 3 (Водоотведение) - тариф на водоотведение (Доп. признак не требуется)</v>
      </c>
      <c r="AC180" s="381"/>
      <c r="AD180" s="381"/>
      <c r="AE180" s="381"/>
      <c r="AF180" s="381"/>
      <c r="AG180" s="381"/>
      <c r="AH180" s="381"/>
      <c r="AI180" s="1758"/>
      <c r="AJ180" s="1758"/>
      <c r="AK180" s="1758"/>
      <c r="AL180" s="1764"/>
      <c r="AM180" s="1758"/>
      <c r="AN180" s="1758"/>
      <c r="AO180" s="1758"/>
      <c r="AP180" s="1758"/>
      <c r="AQ180" s="1758"/>
    </row>
    <row s="1469" customFormat="1" customHeight="1" ht="43.5">
      <c r="A181" s="698"/>
      <c r="B181" s="431"/>
      <c r="C181" s="698"/>
      <c r="D181" s="698"/>
      <c r="E181" s="691">
        <v>45</v>
      </c>
      <c r="F181" s="50" cm="1" t="str">
        <f t="array" ref="F181:F181">OFFSET(E181,-1,1)</f>
        <v>3</v>
      </c>
      <c r="G181" s="497"/>
      <c r="H181" s="698"/>
      <c r="I181" s="122" t="s">
        <v>332</v>
      </c>
      <c r="J181" s="698"/>
      <c r="K181" s="124"/>
      <c r="L181" s="924"/>
      <c r="M181" s="497"/>
      <c r="N181" s="698"/>
      <c r="O181" s="698"/>
      <c r="P181" s="698"/>
      <c r="Q181" s="698"/>
      <c r="R181" s="698"/>
      <c r="S181" s="698"/>
      <c r="T181" s="465" cm="1" t="str">
        <f t="array" ref="T181:T181">T180</f>
        <v>true</v>
      </c>
      <c r="U181" s="698"/>
      <c r="V181" s="698"/>
      <c r="W181" s="698"/>
      <c r="X181" s="1563"/>
      <c r="Y181" s="698"/>
      <c r="Z181" s="1546"/>
      <c r="AA181" s="698"/>
      <c r="AB181" s="841" t="s">
        <v>2150</v>
      </c>
      <c r="AC181" s="842" t="s">
        <v>2151</v>
      </c>
      <c r="AD181" s="841" t="s">
        <v>2152</v>
      </c>
      <c r="AE181" s="843" t="s">
        <v>1514</v>
      </c>
      <c r="AF181" s="844">
        <f>AF183-AF182</f>
        <v>0</v>
      </c>
      <c r="AG181" s="844">
        <f>AG183-AG182</f>
        <v>0</v>
      </c>
      <c r="AH181" s="845"/>
      <c r="AI181" s="698"/>
      <c r="AJ181" s="698"/>
      <c r="AK181" s="698"/>
      <c r="AL181" s="1051" t="s">
        <v>2153</v>
      </c>
      <c r="AM181" s="698"/>
      <c r="AN181" s="698"/>
      <c r="AO181" s="698"/>
      <c r="AP181" s="698"/>
      <c r="AQ181" s="698"/>
    </row>
    <row s="1469" customFormat="1" customHeight="1" ht="14.25">
      <c r="A182" s="698"/>
      <c r="B182" s="431"/>
      <c r="C182" s="698"/>
      <c r="D182" s="698"/>
      <c r="E182" s="691">
        <v>15</v>
      </c>
      <c r="F182" s="50" cm="1" t="str">
        <f t="array" ref="F182:F182">OFFSET(E182,-1,1)</f>
        <v>3</v>
      </c>
      <c r="G182" s="497"/>
      <c r="H182" s="698"/>
      <c r="I182" s="122" t="s">
        <v>1175</v>
      </c>
      <c r="J182" s="698"/>
      <c r="K182" s="497"/>
      <c r="L182" s="497"/>
      <c r="M182" s="497"/>
      <c r="N182" s="698"/>
      <c r="O182" s="698"/>
      <c r="P182" s="698"/>
      <c r="Q182" s="698"/>
      <c r="R182" s="698"/>
      <c r="S182" s="698"/>
      <c r="T182" s="465" cm="1" t="str">
        <f t="array" ref="T182:T182">T181</f>
        <v>true</v>
      </c>
      <c r="U182" s="698"/>
      <c r="V182" s="698"/>
      <c r="W182" s="698"/>
      <c r="X182" s="1563"/>
      <c r="Y182" s="698"/>
      <c r="Z182" s="1546"/>
      <c r="AA182" s="698"/>
      <c r="AB182" s="218" t="s">
        <v>276</v>
      </c>
      <c r="AC182" s="219" t="s">
        <v>2154</v>
      </c>
      <c r="AD182" s="211" t="s">
        <v>2155</v>
      </c>
      <c r="AE182" s="234" t="s">
        <v>1514</v>
      </c>
      <c r="AF182" s="382"/>
      <c r="AG182" s="382"/>
      <c r="AH182" s="845"/>
      <c r="AI182" s="698"/>
      <c r="AJ182" s="698"/>
      <c r="AK182" s="698"/>
      <c r="AL182" s="1051" t="s">
        <v>2156</v>
      </c>
      <c r="AM182" s="698"/>
      <c r="AN182" s="698"/>
      <c r="AO182" s="698"/>
      <c r="AP182" s="698"/>
      <c r="AQ182" s="698"/>
    </row>
    <row s="1469" customFormat="1" customHeight="1" ht="14.25">
      <c r="A183" s="698"/>
      <c r="B183" s="431"/>
      <c r="C183" s="698"/>
      <c r="D183" s="698"/>
      <c r="E183" s="691">
        <v>15</v>
      </c>
      <c r="F183" s="50" cm="1" t="str">
        <f t="array" ref="F183:F183">OFFSET(E183,-1,1)</f>
        <v>3</v>
      </c>
      <c r="G183" s="147"/>
      <c r="H183" s="147"/>
      <c r="I183" s="426" t="s">
        <v>1179</v>
      </c>
      <c r="J183" s="698"/>
      <c r="K183" s="497"/>
      <c r="L183" s="497"/>
      <c r="M183" s="497"/>
      <c r="N183" s="698"/>
      <c r="O183" s="698"/>
      <c r="P183" s="698"/>
      <c r="Q183" s="698"/>
      <c r="R183" s="698"/>
      <c r="S183" s="698"/>
      <c r="T183" s="465" cm="1" t="str">
        <f t="array" ref="T183:T183">T182</f>
        <v>true</v>
      </c>
      <c r="U183" s="698"/>
      <c r="V183" s="698"/>
      <c r="W183" s="698"/>
      <c r="X183" s="1563"/>
      <c r="Y183" s="698"/>
      <c r="Z183" s="1546"/>
      <c r="AA183" s="698"/>
      <c r="AB183" s="218" t="s">
        <v>285</v>
      </c>
      <c r="AC183" s="212" t="s">
        <v>2157</v>
      </c>
      <c r="AD183" s="211" t="s">
        <v>2158</v>
      </c>
      <c r="AE183" s="234" t="s">
        <v>1514</v>
      </c>
      <c r="AF183" s="844">
        <f>AF184+AF185+AF197+AF201+AF202+AF203+AF204+AF208+AF209+AF210+AF211+AF214+AF215</f>
        <v>0</v>
      </c>
      <c r="AG183" s="844">
        <f>AG184+AG185+AG197+AG201+AG202+AG203+AG204+AG208+AG209+AG210+AG211+AG214+AG215</f>
        <v>0</v>
      </c>
      <c r="AH183" s="845"/>
      <c r="AI183" s="698"/>
      <c r="AJ183" s="698"/>
      <c r="AK183" s="698"/>
      <c r="AL183" s="1051" t="s">
        <v>2159</v>
      </c>
      <c r="AM183" s="698"/>
      <c r="AN183" s="698"/>
      <c r="AO183" s="698"/>
      <c r="AP183" s="698"/>
      <c r="AQ183" s="698"/>
    </row>
    <row s="1834" customFormat="1" customHeight="1" ht="21.75">
      <c r="A184" s="1758"/>
      <c r="B184" s="1416"/>
      <c r="C184" s="1758"/>
      <c r="D184" s="1758"/>
      <c r="E184" s="618">
        <v>22.5</v>
      </c>
      <c r="F184" s="50" cm="1" t="str">
        <f t="array" ref="F184:F184">OFFSET(E184,-1,1)</f>
        <v>3</v>
      </c>
      <c r="G184" s="426" t="s">
        <v>2160</v>
      </c>
      <c r="H184" s="85"/>
      <c r="I184" s="426" t="s">
        <v>2068</v>
      </c>
      <c r="J184" s="1758"/>
      <c r="K184" s="124"/>
      <c r="L184" s="124"/>
      <c r="M184" s="124"/>
      <c r="N184" s="1758"/>
      <c r="O184" s="1758"/>
      <c r="P184" s="1758"/>
      <c r="Q184" s="1758"/>
      <c r="R184" s="1758"/>
      <c r="S184" s="1806"/>
      <c r="T184" s="465" cm="1" t="str">
        <f t="array" ref="T184:T184">T183</f>
        <v>true</v>
      </c>
      <c r="U184" s="1758"/>
      <c r="V184" s="1758"/>
      <c r="W184" s="1758"/>
      <c r="X184" s="1563"/>
      <c r="Y184" s="1758"/>
      <c r="Z184" s="1546"/>
      <c r="AA184" s="1758"/>
      <c r="AB184" s="299" t="s">
        <v>1250</v>
      </c>
      <c r="AC184" s="762" t="s">
        <v>2161</v>
      </c>
      <c r="AD184" s="300" t="s">
        <v>2162</v>
      </c>
      <c r="AE184" s="766" t="s">
        <v>1514</v>
      </c>
      <c r="AF184" s="298"/>
      <c r="AG184" s="298"/>
      <c r="AH184" s="846"/>
      <c r="AI184" s="1758"/>
      <c r="AJ184" s="1758"/>
      <c r="AK184" s="1758"/>
      <c r="AL184" s="997" t="s">
        <v>2163</v>
      </c>
      <c r="AM184" s="1758"/>
      <c r="AN184" s="1758"/>
      <c r="AO184" s="1758"/>
      <c r="AP184" s="1758"/>
      <c r="AQ184" s="1758"/>
    </row>
    <row s="1834" customFormat="1" customHeight="1" ht="21.75">
      <c r="A185" s="1758"/>
      <c r="B185" s="1416"/>
      <c r="C185" s="1758"/>
      <c r="D185" s="1758"/>
      <c r="E185" s="618">
        <v>22.5</v>
      </c>
      <c r="F185" s="50" cm="1" t="str">
        <f t="array" ref="F185:F185">OFFSET(E185,-1,1)</f>
        <v>3</v>
      </c>
      <c r="G185" s="426"/>
      <c r="H185" s="85"/>
      <c r="I185" s="426" t="s">
        <v>2071</v>
      </c>
      <c r="J185" s="1758"/>
      <c r="K185" s="124"/>
      <c r="L185" s="124"/>
      <c r="M185" s="124"/>
      <c r="N185" s="1758"/>
      <c r="O185" s="1758"/>
      <c r="P185" s="1758"/>
      <c r="Q185" s="1758"/>
      <c r="R185" s="1758"/>
      <c r="S185" s="1806"/>
      <c r="T185" s="465" cm="1" t="str">
        <f t="array" ref="T185:T185">T184</f>
        <v>true</v>
      </c>
      <c r="U185" s="1758"/>
      <c r="V185" s="1758"/>
      <c r="W185" s="1758"/>
      <c r="X185" s="1563"/>
      <c r="Y185" s="1758"/>
      <c r="Z185" s="1546"/>
      <c r="AA185" s="1758"/>
      <c r="AB185" s="299" t="s">
        <v>1254</v>
      </c>
      <c r="AC185" s="762" t="s">
        <v>2164</v>
      </c>
      <c r="AD185" s="300" t="s">
        <v>2165</v>
      </c>
      <c r="AE185" s="766" t="s">
        <v>1514</v>
      </c>
      <c r="AF185" s="934">
        <f>SUM(AF186:AF196)</f>
        <v>0</v>
      </c>
      <c r="AG185" s="934">
        <f>SUM(AG186:AG196)</f>
        <v>0</v>
      </c>
      <c r="AH185" s="846"/>
      <c r="AI185" s="1758"/>
      <c r="AJ185" s="1758"/>
      <c r="AK185" s="1758"/>
      <c r="AL185" s="997" t="s">
        <v>2166</v>
      </c>
      <c r="AM185" s="1758"/>
      <c r="AN185" s="1758"/>
      <c r="AO185" s="1758"/>
      <c r="AP185" s="1758"/>
      <c r="AQ185" s="1758"/>
    </row>
    <row s="1834" customFormat="1" customHeight="1" ht="21.75">
      <c r="A186" s="1758"/>
      <c r="B186" s="1416"/>
      <c r="C186" s="1758"/>
      <c r="D186" s="1758"/>
      <c r="E186" s="618">
        <v>22.5</v>
      </c>
      <c r="F186" s="50" cm="1" t="str">
        <f t="array" ref="F186:F186">OFFSET(E186,-1,1)</f>
        <v>3</v>
      </c>
      <c r="G186" s="426"/>
      <c r="H186" s="85"/>
      <c r="I186" s="426" t="s">
        <v>2167</v>
      </c>
      <c r="J186" s="1758"/>
      <c r="K186" s="124"/>
      <c r="L186" s="124"/>
      <c r="M186" s="124"/>
      <c r="N186" s="1758"/>
      <c r="O186" s="1758"/>
      <c r="P186" s="1758"/>
      <c r="Q186" s="1758"/>
      <c r="R186" s="1758"/>
      <c r="S186" s="1806"/>
      <c r="T186" s="465" cm="1" t="str">
        <f t="array" ref="T186:T186">T185</f>
        <v>true</v>
      </c>
      <c r="U186" s="1758"/>
      <c r="V186" s="1758"/>
      <c r="W186" s="1758"/>
      <c r="X186" s="1563"/>
      <c r="Y186" s="1758"/>
      <c r="Z186" s="1546"/>
      <c r="AA186" s="1758"/>
      <c r="AB186" s="784" t="s">
        <v>1207</v>
      </c>
      <c r="AC186" s="781" t="s">
        <v>2168</v>
      </c>
      <c r="AD186" s="766"/>
      <c r="AE186" s="766" t="s">
        <v>1514</v>
      </c>
      <c r="AF186" s="298">
        <f>_xlfn.SUMIFS(Покупка!$AF$25:$AF$372,Покупка!$F$25:$F$372,$F186,Покупка!$I$25:$I$372,"Итого_пок_усл")</f>
        <v>0</v>
      </c>
      <c r="AG186" s="298">
        <f>_xlfn.SUMIFS(Покупка!$AG$25:$AG$372,Покупка!$F$25:$F$372,$F186,Покупка!$I$25:$I$372,"Итого_пок_усл")</f>
        <v>0</v>
      </c>
      <c r="AH186" s="846"/>
      <c r="AI186" s="1758"/>
      <c r="AJ186" s="1758"/>
      <c r="AK186" s="1758"/>
      <c r="AL186" s="997" t="s">
        <v>2169</v>
      </c>
      <c r="AM186" s="1758"/>
      <c r="AN186" s="1758"/>
      <c r="AO186" s="1758"/>
      <c r="AP186" s="1758"/>
      <c r="AQ186" s="1758"/>
    </row>
    <row s="1834" customFormat="1" customHeight="1" ht="14.25">
      <c r="A187" s="1758"/>
      <c r="B187" s="1416"/>
      <c r="C187" s="1758"/>
      <c r="D187" s="1758"/>
      <c r="E187" s="618">
        <v>15</v>
      </c>
      <c r="F187" s="50" cm="1" t="str">
        <f t="array" ref="F187:F187">OFFSET(E187,-1,1)</f>
        <v>3</v>
      </c>
      <c r="G187" s="426"/>
      <c r="H187" s="85"/>
      <c r="I187" s="426" t="s">
        <v>2170</v>
      </c>
      <c r="J187" s="1758"/>
      <c r="K187" s="124"/>
      <c r="L187" s="124"/>
      <c r="M187" s="124"/>
      <c r="N187" s="1758"/>
      <c r="O187" s="1758"/>
      <c r="P187" s="1758"/>
      <c r="Q187" s="1758"/>
      <c r="R187" s="1758"/>
      <c r="S187" s="1806"/>
      <c r="T187" s="465" cm="1" t="str">
        <f t="array" ref="T187:T187">T186</f>
        <v>true</v>
      </c>
      <c r="U187" s="1758"/>
      <c r="V187" s="1758"/>
      <c r="W187" s="1758"/>
      <c r="X187" s="1563"/>
      <c r="Y187" s="1758"/>
      <c r="Z187" s="1546"/>
      <c r="AA187" s="1758"/>
      <c r="AB187" s="784" t="s">
        <v>2171</v>
      </c>
      <c r="AC187" s="781" t="s">
        <v>2172</v>
      </c>
      <c r="AD187" s="766"/>
      <c r="AE187" s="766" t="s">
        <v>1514</v>
      </c>
      <c r="AF187" s="298"/>
      <c r="AG187" s="298">
        <f>_xlfn.SUMIFS('Сырье и материалы'!AG$25:AG$163,'Сырье и материалы'!$F$25:$F$163,$F187,'Сырье и материалы'!$AC$25:$AC$163,"Всего по тарифу")</f>
        <v>0</v>
      </c>
      <c r="AH187" s="846"/>
      <c r="AI187" s="1758"/>
      <c r="AJ187" s="1758"/>
      <c r="AK187" s="1758"/>
      <c r="AL187" s="997" t="s">
        <v>2173</v>
      </c>
      <c r="AM187" s="1758"/>
      <c r="AN187" s="1758"/>
      <c r="AO187" s="1758"/>
      <c r="AP187" s="1758"/>
      <c r="AQ187" s="1758"/>
    </row>
    <row s="1834" customFormat="1" customHeight="1" ht="14.25">
      <c r="A188" s="1758"/>
      <c r="B188" s="1416"/>
      <c r="C188" s="1758"/>
      <c r="D188" s="1758"/>
      <c r="E188" s="618">
        <v>15</v>
      </c>
      <c r="F188" s="50" cm="1" t="str">
        <f t="array" ref="F188:F188">OFFSET(E188,-1,1)</f>
        <v>3</v>
      </c>
      <c r="G188" s="426"/>
      <c r="H188" s="85"/>
      <c r="I188" s="426" t="s">
        <v>2174</v>
      </c>
      <c r="J188" s="1758"/>
      <c r="K188" s="124"/>
      <c r="L188" s="124"/>
      <c r="M188" s="124"/>
      <c r="N188" s="1758"/>
      <c r="O188" s="1758"/>
      <c r="P188" s="1758"/>
      <c r="Q188" s="1758"/>
      <c r="R188" s="1758"/>
      <c r="S188" s="1806"/>
      <c r="T188" s="465" cm="1" t="str">
        <f t="array" ref="T188:T188">T187</f>
        <v>true</v>
      </c>
      <c r="U188" s="1758"/>
      <c r="V188" s="1758"/>
      <c r="W188" s="1758"/>
      <c r="X188" s="1563"/>
      <c r="Y188" s="1758"/>
      <c r="Z188" s="1546"/>
      <c r="AA188" s="1758"/>
      <c r="AB188" s="784" t="s">
        <v>2175</v>
      </c>
      <c r="AC188" s="781" t="s">
        <v>2176</v>
      </c>
      <c r="AD188" s="766"/>
      <c r="AE188" s="766" t="s">
        <v>1514</v>
      </c>
      <c r="AF188" s="298">
        <f>_xlfn.SUMIFS(Налоги!AF$25:AF$101,Налоги!$F$25:$F$101,$F188,Налоги!$AB$25:$AB$101,"0")</f>
        <v>0</v>
      </c>
      <c r="AG188" s="298">
        <f>_xlfn.SUMIFS(Налоги!AG$25:AG$101,Налоги!$F$25:$F$101,$F188,Налоги!$AB$25:$AB$101,"0")</f>
        <v>0</v>
      </c>
      <c r="AH188" s="846"/>
      <c r="AI188" s="1758"/>
      <c r="AJ188" s="1758"/>
      <c r="AK188" s="1758"/>
      <c r="AL188" s="997" t="s">
        <v>2177</v>
      </c>
      <c r="AM188" s="1758"/>
      <c r="AN188" s="1758"/>
      <c r="AO188" s="1758"/>
      <c r="AP188" s="1758"/>
      <c r="AQ188" s="1758"/>
    </row>
    <row s="1834" customFormat="1" customHeight="1" ht="65.25">
      <c r="A189" s="1758"/>
      <c r="B189" s="1416"/>
      <c r="C189" s="1758"/>
      <c r="D189" s="1758"/>
      <c r="E189" s="618">
        <v>67.5</v>
      </c>
      <c r="F189" s="50" cm="1" t="str">
        <f t="array" ref="F189:F189">OFFSET(E189,-1,1)</f>
        <v>3</v>
      </c>
      <c r="G189" s="107" t="s">
        <v>2178</v>
      </c>
      <c r="H189" s="85"/>
      <c r="I189" s="493" t="s">
        <v>2179</v>
      </c>
      <c r="J189" s="1758"/>
      <c r="K189" s="124"/>
      <c r="L189" s="124"/>
      <c r="M189" s="124"/>
      <c r="N189" s="1758"/>
      <c r="O189" s="1758"/>
      <c r="P189" s="1758"/>
      <c r="Q189" s="1758"/>
      <c r="R189" s="1758"/>
      <c r="S189" s="1806"/>
      <c r="T189" s="465" cm="1" t="str">
        <f t="array" ref="T189:T189">T188</f>
        <v>true</v>
      </c>
      <c r="U189" s="1758"/>
      <c r="V189" s="1758"/>
      <c r="W189" s="1758"/>
      <c r="X189" s="1563"/>
      <c r="Y189" s="1758"/>
      <c r="Z189" s="1546"/>
      <c r="AA189" s="1758"/>
      <c r="AB189" s="784" t="s">
        <v>2180</v>
      </c>
      <c r="AC189" s="781" t="s">
        <v>2181</v>
      </c>
      <c r="AD189" s="766"/>
      <c r="AE189" s="766" t="s">
        <v>1514</v>
      </c>
      <c r="AF189" s="298"/>
      <c r="AG189" s="298">
        <f>IF(AND(method_reg="Метод индексации",first_year=god),_xlfn.SUMIFS('Калькуляция (МИ)'!$AG$25:$AG$747,'Калькуляция (МИ)'!$F$25:$F$747,$F189,'Калькуляция (МИ)'!$G$25:$G$747,$G189),_xlfn.SUMIFS('Калькуляция (МИ корр)'!$AG$25:$AG$747,'Калькуляция (МИ корр)'!$F$25:$F$747,$F189,'Калькуляция (МИ корр)'!$G$25:$G$747,$G189))</f>
        <v>0</v>
      </c>
      <c r="AH189" s="846"/>
      <c r="AI189" s="1758"/>
      <c r="AJ189" s="1758"/>
      <c r="AK189" s="1758"/>
      <c r="AL189" s="997" t="s">
        <v>2182</v>
      </c>
      <c r="AM189" s="1758"/>
      <c r="AN189" s="1758"/>
      <c r="AO189" s="1758"/>
      <c r="AP189" s="1758"/>
      <c r="AQ189" s="1758"/>
    </row>
    <row s="1834" customFormat="1" customHeight="1" ht="14.25">
      <c r="A190" s="1758"/>
      <c r="B190" s="1416"/>
      <c r="C190" s="1758"/>
      <c r="D190" s="1758"/>
      <c r="E190" s="618">
        <v>15</v>
      </c>
      <c r="F190" s="50" cm="1" t="str">
        <f t="array" ref="F190:F190">OFFSET(E190,-1,1)</f>
        <v>3</v>
      </c>
      <c r="G190" s="107" t="s">
        <v>1730</v>
      </c>
      <c r="H190" s="85"/>
      <c r="I190" s="493" t="s">
        <v>2183</v>
      </c>
      <c r="J190" s="1758"/>
      <c r="K190" s="124"/>
      <c r="L190" s="124"/>
      <c r="M190" s="124"/>
      <c r="N190" s="1758"/>
      <c r="O190" s="1758"/>
      <c r="P190" s="1758"/>
      <c r="Q190" s="1758"/>
      <c r="R190" s="1758"/>
      <c r="S190" s="1806"/>
      <c r="T190" s="465" cm="1" t="str">
        <f t="array" ref="T190:T190">T189</f>
        <v>true</v>
      </c>
      <c r="U190" s="1758"/>
      <c r="V190" s="1758"/>
      <c r="W190" s="1758"/>
      <c r="X190" s="1563"/>
      <c r="Y190" s="1758"/>
      <c r="Z190" s="1546"/>
      <c r="AA190" s="1758"/>
      <c r="AB190" s="784" t="s">
        <v>2184</v>
      </c>
      <c r="AC190" s="781" t="s">
        <v>2185</v>
      </c>
      <c r="AD190" s="766"/>
      <c r="AE190" s="766" t="s">
        <v>1514</v>
      </c>
      <c r="AF190" s="298"/>
      <c r="AG190" s="298">
        <f>IF(AND(method_reg="Метод индексации",first_year=god),_xlfn.SUMIFS('Калькуляция (МИ)'!$AG$25:$AG$747,'Калькуляция (МИ)'!$F$25:$F$747,$F190,'Калькуляция (МИ)'!$G$25:$G$747,$G190),_xlfn.SUMIFS('Калькуляция (МИ корр)'!$AG$25:$AG$747,'Калькуляция (МИ корр)'!$F$25:$F$747,$F190,'Калькуляция (МИ корр)'!$G$25:$G$747,$G190))</f>
        <v>0</v>
      </c>
      <c r="AH190" s="846"/>
      <c r="AI190" s="1758"/>
      <c r="AJ190" s="1758"/>
      <c r="AK190" s="1758"/>
      <c r="AL190" s="997" t="s">
        <v>2186</v>
      </c>
      <c r="AM190" s="1758"/>
      <c r="AN190" s="1758"/>
      <c r="AO190" s="1758"/>
      <c r="AP190" s="1758"/>
      <c r="AQ190" s="1758"/>
    </row>
    <row s="1834" customFormat="1" customHeight="1" ht="14.25">
      <c r="A191" s="1758"/>
      <c r="B191" s="1416"/>
      <c r="C191" s="1758"/>
      <c r="D191" s="1758"/>
      <c r="E191" s="618">
        <v>15</v>
      </c>
      <c r="F191" s="50" cm="1" t="str">
        <f t="array" ref="F191:F191">OFFSET(E191,-1,1)</f>
        <v>3</v>
      </c>
      <c r="G191" s="107" t="s">
        <v>2187</v>
      </c>
      <c r="H191" s="85"/>
      <c r="I191" s="493" t="s">
        <v>2188</v>
      </c>
      <c r="J191" s="1758"/>
      <c r="K191" s="124"/>
      <c r="L191" s="124"/>
      <c r="M191" s="124"/>
      <c r="N191" s="1758"/>
      <c r="O191" s="1758"/>
      <c r="P191" s="1758"/>
      <c r="Q191" s="1758"/>
      <c r="R191" s="1758"/>
      <c r="S191" s="1806"/>
      <c r="T191" s="465" cm="1" t="str">
        <f t="array" ref="T191:T191">T190</f>
        <v>true</v>
      </c>
      <c r="U191" s="1758"/>
      <c r="V191" s="1758"/>
      <c r="W191" s="1758"/>
      <c r="X191" s="1563"/>
      <c r="Y191" s="1758"/>
      <c r="Z191" s="1546"/>
      <c r="AA191" s="1758"/>
      <c r="AB191" s="784" t="s">
        <v>2189</v>
      </c>
      <c r="AC191" s="781" t="s">
        <v>2190</v>
      </c>
      <c r="AD191" s="766"/>
      <c r="AE191" s="766" t="s">
        <v>1514</v>
      </c>
      <c r="AF191" s="298"/>
      <c r="AG191" s="298">
        <f>IF(AND(method_reg="Метод индексации",first_year=god),_xlfn.SUMIFS('Калькуляция (МИ)'!$AG$25:$AG$747,'Калькуляция (МИ)'!$F$25:$F$747,$F191,'Калькуляция (МИ)'!$G$25:$G$747,$G191),_xlfn.SUMIFS('Калькуляция (МИ корр)'!$AG$25:$AG$747,'Калькуляция (МИ корр)'!$F$25:$F$747,$F191,'Калькуляция (МИ корр)'!$G$25:$G$747,$G191))</f>
        <v>0</v>
      </c>
      <c r="AH191" s="846"/>
      <c r="AI191" s="1758"/>
      <c r="AJ191" s="1758"/>
      <c r="AK191" s="1758"/>
      <c r="AL191" s="997" t="s">
        <v>2191</v>
      </c>
      <c r="AM191" s="1758"/>
      <c r="AN191" s="1758"/>
      <c r="AO191" s="1758"/>
      <c r="AP191" s="1758"/>
      <c r="AQ191" s="1758"/>
    </row>
    <row s="1834" customFormat="1" customHeight="1" ht="21.75">
      <c r="A192" s="1758"/>
      <c r="B192" s="1416"/>
      <c r="C192" s="1758"/>
      <c r="D192" s="1758"/>
      <c r="E192" s="618">
        <v>22.5</v>
      </c>
      <c r="F192" s="50" cm="1" t="str">
        <f t="array" ref="F192:F192">OFFSET(E192,-1,1)</f>
        <v>3</v>
      </c>
      <c r="G192" s="107" t="s">
        <v>2192</v>
      </c>
      <c r="H192" s="85"/>
      <c r="I192" s="493" t="s">
        <v>2193</v>
      </c>
      <c r="J192" s="1758"/>
      <c r="K192" s="124"/>
      <c r="L192" s="124"/>
      <c r="M192" s="124"/>
      <c r="N192" s="1758"/>
      <c r="O192" s="1758"/>
      <c r="P192" s="1758"/>
      <c r="Q192" s="1758"/>
      <c r="R192" s="1758"/>
      <c r="S192" s="1806"/>
      <c r="T192" s="465" cm="1" t="str">
        <f t="array" ref="T192:T192">T191</f>
        <v>true</v>
      </c>
      <c r="U192" s="1758"/>
      <c r="V192" s="1758"/>
      <c r="W192" s="1758"/>
      <c r="X192" s="1563"/>
      <c r="Y192" s="1758"/>
      <c r="Z192" s="1546"/>
      <c r="AA192" s="1758"/>
      <c r="AB192" s="784" t="s">
        <v>2194</v>
      </c>
      <c r="AC192" s="781" t="s">
        <v>2195</v>
      </c>
      <c r="AD192" s="766"/>
      <c r="AE192" s="766" t="s">
        <v>1514</v>
      </c>
      <c r="AF192" s="298"/>
      <c r="AG192" s="298">
        <f>IF(AND(method_reg="Метод индексации",first_year=god),_xlfn.SUMIFS('Калькуляция (МИ)'!$AG$25:$AG$747,'Калькуляция (МИ)'!$F$25:$F$747,$F192,'Калькуляция (МИ)'!$G$25:$G$747,$G192),_xlfn.SUMIFS('Калькуляция (МИ корр)'!$AG$25:$AG$747,'Калькуляция (МИ корр)'!$F$25:$F$747,$F192,'Калькуляция (МИ корр)'!$G$25:$G$747,$G192))</f>
        <v>0</v>
      </c>
      <c r="AH192" s="846"/>
      <c r="AI192" s="1758"/>
      <c r="AJ192" s="1758"/>
      <c r="AK192" s="1758"/>
      <c r="AL192" s="997" t="s">
        <v>2196</v>
      </c>
      <c r="AM192" s="1758"/>
      <c r="AN192" s="1758"/>
      <c r="AO192" s="1758"/>
      <c r="AP192" s="1758"/>
      <c r="AQ192" s="1758"/>
    </row>
    <row s="1834" customFormat="1" customHeight="1" ht="21.75">
      <c r="A193" s="1758"/>
      <c r="B193" s="1416"/>
      <c r="C193" s="1758"/>
      <c r="D193" s="1758"/>
      <c r="E193" s="618">
        <v>22.5</v>
      </c>
      <c r="F193" s="50" cm="1" t="str">
        <f t="array" ref="F193:F193">OFFSET(E193,-1,1)</f>
        <v>3</v>
      </c>
      <c r="G193" s="107" t="s">
        <v>2197</v>
      </c>
      <c r="H193" s="85"/>
      <c r="I193" s="493" t="s">
        <v>2198</v>
      </c>
      <c r="J193" s="1758"/>
      <c r="K193" s="124"/>
      <c r="L193" s="124"/>
      <c r="M193" s="124"/>
      <c r="N193" s="1758"/>
      <c r="O193" s="1758"/>
      <c r="P193" s="1758"/>
      <c r="Q193" s="1758"/>
      <c r="R193" s="1758"/>
      <c r="S193" s="1806"/>
      <c r="T193" s="465" cm="1" t="str">
        <f t="array" ref="T193:T193">T192</f>
        <v>true</v>
      </c>
      <c r="U193" s="1758"/>
      <c r="V193" s="1758"/>
      <c r="W193" s="1758"/>
      <c r="X193" s="1563"/>
      <c r="Y193" s="1758"/>
      <c r="Z193" s="1546"/>
      <c r="AA193" s="1758"/>
      <c r="AB193" s="784" t="s">
        <v>2199</v>
      </c>
      <c r="AC193" s="781" t="s">
        <v>2200</v>
      </c>
      <c r="AD193" s="935"/>
      <c r="AE193" s="766" t="s">
        <v>1514</v>
      </c>
      <c r="AF193" s="298"/>
      <c r="AG193" s="298">
        <f>IF(AND(method_reg="Метод индексации",first_year=god),_xlfn.SUMIFS('Калькуляция (МИ)'!$AG$25:$AG$747,'Калькуляция (МИ)'!$F$25:$F$747,$F193,'Калькуляция (МИ)'!$G$25:$G$747,$G193),_xlfn.SUMIFS('Калькуляция (МИ корр)'!$AG$25:$AG$747,'Калькуляция (МИ корр)'!$F$25:$F$747,$F193,'Калькуляция (МИ корр)'!$G$25:$G$747,$G193))</f>
        <v>0</v>
      </c>
      <c r="AH193" s="846"/>
      <c r="AI193" s="1758"/>
      <c r="AJ193" s="1758"/>
      <c r="AK193" s="1758"/>
      <c r="AL193" s="997" t="s">
        <v>2201</v>
      </c>
      <c r="AM193" s="1758"/>
      <c r="AN193" s="1758"/>
      <c r="AO193" s="1758"/>
      <c r="AP193" s="1758"/>
      <c r="AQ193" s="1758"/>
    </row>
    <row s="1834" customFormat="1" customHeight="1" ht="21.75">
      <c r="A194" s="1758"/>
      <c r="B194" s="1416"/>
      <c r="C194" s="1758"/>
      <c r="D194" s="1758"/>
      <c r="E194" s="618">
        <v>22.5</v>
      </c>
      <c r="F194" s="50" cm="1" t="str">
        <f t="array" ref="F194:F194">OFFSET(E194,-1,1)</f>
        <v>3</v>
      </c>
      <c r="G194" s="107" t="s">
        <v>2202</v>
      </c>
      <c r="H194" s="85"/>
      <c r="I194" s="493" t="s">
        <v>2203</v>
      </c>
      <c r="J194" s="1758"/>
      <c r="K194" s="124"/>
      <c r="L194" s="124"/>
      <c r="M194" s="124"/>
      <c r="N194" s="1758"/>
      <c r="O194" s="1758"/>
      <c r="P194" s="1758"/>
      <c r="Q194" s="1758"/>
      <c r="R194" s="1758"/>
      <c r="S194" s="1806"/>
      <c r="T194" s="465" cm="1" t="str">
        <f t="array" ref="T194:T194">T193</f>
        <v>true</v>
      </c>
      <c r="U194" s="1758"/>
      <c r="V194" s="1758"/>
      <c r="W194" s="1758"/>
      <c r="X194" s="1563"/>
      <c r="Y194" s="1758"/>
      <c r="Z194" s="1546"/>
      <c r="AA194" s="1758"/>
      <c r="AB194" s="784" t="s">
        <v>2204</v>
      </c>
      <c r="AC194" s="781" t="s">
        <v>2205</v>
      </c>
      <c r="AD194" s="935"/>
      <c r="AE194" s="766" t="s">
        <v>1514</v>
      </c>
      <c r="AF194" s="298"/>
      <c r="AG194" s="298">
        <f>IF(AND(method_reg="Метод индексации",first_year=god),_xlfn.SUMIFS('Калькуляция (МИ)'!$AG$25:$AG$747,'Калькуляция (МИ)'!$F$25:$F$747,$F194,'Калькуляция (МИ)'!$G$25:$G$747,$G194),_xlfn.SUMIFS('Калькуляция (МИ корр)'!$AG$25:$AG$747,'Калькуляция (МИ корр)'!$F$25:$F$747,$F194,'Калькуляция (МИ корр)'!$G$25:$G$747,$G194))</f>
        <v>0</v>
      </c>
      <c r="AH194" s="846"/>
      <c r="AI194" s="1758"/>
      <c r="AJ194" s="1758"/>
      <c r="AK194" s="1758"/>
      <c r="AL194" s="997" t="s">
        <v>2206</v>
      </c>
      <c r="AM194" s="1758"/>
      <c r="AN194" s="1758"/>
      <c r="AO194" s="1758"/>
      <c r="AP194" s="1758"/>
      <c r="AQ194" s="1758"/>
    </row>
    <row s="1834" customFormat="1" customHeight="1" ht="14.25">
      <c r="A195" s="1758"/>
      <c r="B195" s="1416"/>
      <c r="C195" s="1758"/>
      <c r="D195" s="1758"/>
      <c r="E195" s="618">
        <v>15</v>
      </c>
      <c r="F195" s="50" cm="1" t="str">
        <f t="array" ref="F195:F195">OFFSET(E195,-1,1)</f>
        <v>3</v>
      </c>
      <c r="G195" s="107" t="s">
        <v>2207</v>
      </c>
      <c r="H195" s="85"/>
      <c r="I195" s="493" t="s">
        <v>2208</v>
      </c>
      <c r="J195" s="1758"/>
      <c r="K195" s="124"/>
      <c r="L195" s="124"/>
      <c r="M195" s="124"/>
      <c r="N195" s="1758"/>
      <c r="O195" s="1758"/>
      <c r="P195" s="1758"/>
      <c r="Q195" s="1758"/>
      <c r="R195" s="1758"/>
      <c r="S195" s="1806"/>
      <c r="T195" s="465" cm="1" t="str">
        <f t="array" ref="T195:T195">T194</f>
        <v>true</v>
      </c>
      <c r="U195" s="1758"/>
      <c r="V195" s="1758"/>
      <c r="W195" s="1758"/>
      <c r="X195" s="1563"/>
      <c r="Y195" s="1758"/>
      <c r="Z195" s="1546"/>
      <c r="AA195" s="1758"/>
      <c r="AB195" s="784" t="s">
        <v>2209</v>
      </c>
      <c r="AC195" s="781" t="s">
        <v>2210</v>
      </c>
      <c r="AD195" s="935"/>
      <c r="AE195" s="766" t="s">
        <v>1514</v>
      </c>
      <c r="AF195" s="298"/>
      <c r="AG195" s="298">
        <f>IF(AND(method_reg="Метод индексации",first_year=god),_xlfn.SUMIFS('Калькуляция (МИ)'!$AG$25:$AG$747,'Калькуляция (МИ)'!$F$25:$F$747,$F195,'Калькуляция (МИ)'!$G$25:$G$747,$G195),_xlfn.SUMIFS('Калькуляция (МИ корр)'!$AG$25:$AG$747,'Калькуляция (МИ корр)'!$F$25:$F$747,$F195,'Калькуляция (МИ корр)'!$G$25:$G$747,$G195))</f>
        <v>0</v>
      </c>
      <c r="AH195" s="846"/>
      <c r="AI195" s="1758"/>
      <c r="AJ195" s="1758"/>
      <c r="AK195" s="1758"/>
      <c r="AL195" s="997" t="s">
        <v>2211</v>
      </c>
      <c r="AM195" s="1758"/>
      <c r="AN195" s="1758"/>
      <c r="AO195" s="1758"/>
      <c r="AP195" s="1758"/>
      <c r="AQ195" s="1758"/>
    </row>
    <row s="1834" customFormat="1" customHeight="1" ht="21.75">
      <c r="A196" s="1758"/>
      <c r="B196" s="1416"/>
      <c r="C196" s="1758"/>
      <c r="D196" s="1758"/>
      <c r="E196" s="618">
        <v>22.5</v>
      </c>
      <c r="F196" s="50" cm="1" t="str">
        <f t="array" ref="F196:F196">OFFSET(E196,-1,1)</f>
        <v>3</v>
      </c>
      <c r="G196" s="107" t="s">
        <v>2212</v>
      </c>
      <c r="H196" s="85"/>
      <c r="I196" s="493" t="s">
        <v>2213</v>
      </c>
      <c r="J196" s="1758"/>
      <c r="K196" s="124"/>
      <c r="L196" s="124"/>
      <c r="M196" s="124"/>
      <c r="N196" s="1758"/>
      <c r="O196" s="1758"/>
      <c r="P196" s="1758"/>
      <c r="Q196" s="1758"/>
      <c r="R196" s="1758"/>
      <c r="S196" s="1806"/>
      <c r="T196" s="465" cm="1" t="str">
        <f t="array" ref="T196:T196">T195</f>
        <v>true</v>
      </c>
      <c r="U196" s="1758"/>
      <c r="V196" s="1758"/>
      <c r="W196" s="1758"/>
      <c r="X196" s="1563"/>
      <c r="Y196" s="1758"/>
      <c r="Z196" s="1546"/>
      <c r="AA196" s="1758"/>
      <c r="AB196" s="784" t="s">
        <v>2214</v>
      </c>
      <c r="AC196" s="781" t="s">
        <v>2215</v>
      </c>
      <c r="AD196" s="935"/>
      <c r="AE196" s="766" t="s">
        <v>1514</v>
      </c>
      <c r="AF196" s="298"/>
      <c r="AG196" s="298">
        <f>IF(AND(method_reg="Метод индексации",first_year=god),_xlfn.SUMIFS('Калькуляция (МИ)'!$AG$25:$AG$747,'Калькуляция (МИ)'!$F$25:$F$747,$F196,'Калькуляция (МИ)'!$G$25:$G$747,$G196),_xlfn.SUMIFS('Калькуляция (МИ корр)'!$AG$25:$AG$747,'Калькуляция (МИ корр)'!$F$25:$F$747,$F196,'Калькуляция (МИ корр)'!$G$25:$G$747,$G196))</f>
        <v>0</v>
      </c>
      <c r="AH196" s="846"/>
      <c r="AI196" s="1758"/>
      <c r="AJ196" s="1758"/>
      <c r="AK196" s="1758"/>
      <c r="AL196" s="997" t="s">
        <v>2216</v>
      </c>
      <c r="AM196" s="1758"/>
      <c r="AN196" s="1758"/>
      <c r="AO196" s="1758"/>
      <c r="AP196" s="1758"/>
      <c r="AQ196" s="1758"/>
    </row>
    <row s="1834" customFormat="1" customHeight="1" ht="14.25">
      <c r="A197" s="1758"/>
      <c r="B197" s="1416"/>
      <c r="C197" s="1758"/>
      <c r="D197" s="1758"/>
      <c r="E197" s="618">
        <v>15</v>
      </c>
      <c r="F197" s="50" cm="1" t="str">
        <f t="array" ref="F197:F197">OFFSET(E197,-1,1)</f>
        <v>3</v>
      </c>
      <c r="G197" s="426"/>
      <c r="H197" s="85"/>
      <c r="I197" s="426" t="s">
        <v>2075</v>
      </c>
      <c r="J197" s="1758"/>
      <c r="K197" s="124"/>
      <c r="L197" s="124"/>
      <c r="M197" s="124"/>
      <c r="N197" s="1758"/>
      <c r="O197" s="1758"/>
      <c r="P197" s="1758"/>
      <c r="Q197" s="1758"/>
      <c r="R197" s="1758"/>
      <c r="S197" s="1806"/>
      <c r="T197" s="465" cm="1" t="str">
        <f t="array" ref="T197:T197">T196</f>
        <v>true</v>
      </c>
      <c r="U197" s="1758"/>
      <c r="V197" s="1758"/>
      <c r="W197" s="1758"/>
      <c r="X197" s="1563"/>
      <c r="Y197" s="1758"/>
      <c r="Z197" s="1546"/>
      <c r="AA197" s="1758"/>
      <c r="AB197" s="299" t="s">
        <v>1258</v>
      </c>
      <c r="AC197" s="762" t="s">
        <v>2217</v>
      </c>
      <c r="AD197" s="300" t="s">
        <v>2218</v>
      </c>
      <c r="AE197" s="766" t="s">
        <v>1514</v>
      </c>
      <c r="AF197" s="298">
        <f>AF198*AF199*AF200</f>
        <v>0</v>
      </c>
      <c r="AG197" s="298">
        <f>AG198*AG199*AG200</f>
        <v>0</v>
      </c>
      <c r="AH197" s="846"/>
      <c r="AI197" s="1758"/>
      <c r="AJ197" s="1758"/>
      <c r="AK197" s="1758"/>
      <c r="AL197" s="997" t="s">
        <v>2219</v>
      </c>
      <c r="AM197" s="1758"/>
      <c r="AN197" s="1758"/>
      <c r="AO197" s="1758"/>
      <c r="AP197" s="1758"/>
      <c r="AQ197" s="1758"/>
    </row>
    <row s="1834" customFormat="1" customHeight="1" ht="21.75">
      <c r="A198" s="1758"/>
      <c r="B198" s="1416"/>
      <c r="C198" s="1758"/>
      <c r="D198" s="1758"/>
      <c r="E198" s="618">
        <v>22.5</v>
      </c>
      <c r="F198" s="50" cm="1" t="str">
        <f t="array" ref="F198:F198">OFFSET(E198,-1,1)</f>
        <v>3</v>
      </c>
      <c r="G198" s="426"/>
      <c r="H198" s="85"/>
      <c r="I198" s="426" t="s">
        <v>2220</v>
      </c>
      <c r="J198" s="1758"/>
      <c r="K198" s="124"/>
      <c r="L198" s="124"/>
      <c r="M198" s="124"/>
      <c r="N198" s="1758"/>
      <c r="O198" s="1758"/>
      <c r="P198" s="1758"/>
      <c r="Q198" s="1758"/>
      <c r="R198" s="1758"/>
      <c r="S198" s="1806"/>
      <c r="T198" s="465" cm="1" t="str">
        <f t="array" ref="T198:T198">T197</f>
        <v>true</v>
      </c>
      <c r="U198" s="1758"/>
      <c r="V198" s="1758"/>
      <c r="W198" s="1758"/>
      <c r="X198" s="1563"/>
      <c r="Y198" s="1758"/>
      <c r="Z198" s="1546"/>
      <c r="AA198" s="1758"/>
      <c r="AB198" s="299" t="s">
        <v>1212</v>
      </c>
      <c r="AC198" s="765" t="s">
        <v>2221</v>
      </c>
      <c r="AD198" s="300" t="s">
        <v>2222</v>
      </c>
      <c r="AE198" s="766" t="s">
        <v>1582</v>
      </c>
      <c r="AF198" s="298"/>
      <c r="AG198" s="298">
        <f>_xlfn.SUMIFS(ЭЭ!AG$25:AG$189,ЭЭ!$F$25:$F$189,$F198,ЭЭ!$AC$25:$AC$189,"Удельный расход электроэнергии")</f>
        <v>0</v>
      </c>
      <c r="AH198" s="846"/>
      <c r="AI198" s="1758"/>
      <c r="AJ198" s="1758"/>
      <c r="AK198" s="1758"/>
      <c r="AL198" s="997" t="s">
        <v>2223</v>
      </c>
      <c r="AM198" s="1758"/>
      <c r="AN198" s="1758"/>
      <c r="AO198" s="1758"/>
      <c r="AP198" s="1758"/>
      <c r="AQ198" s="1758"/>
    </row>
    <row s="1834" customFormat="1" customHeight="1" ht="14.25">
      <c r="A199" s="1758"/>
      <c r="B199" s="1416"/>
      <c r="C199" s="1758"/>
      <c r="D199" s="1758"/>
      <c r="E199" s="618">
        <v>15</v>
      </c>
      <c r="F199" s="50" cm="1" t="str">
        <f t="array" ref="F199:F199">OFFSET(E199,-1,1)</f>
        <v>3</v>
      </c>
      <c r="G199" s="426"/>
      <c r="H199" s="85"/>
      <c r="I199" s="426" t="s">
        <v>2224</v>
      </c>
      <c r="J199" s="1758"/>
      <c r="K199" s="124"/>
      <c r="L199" s="124"/>
      <c r="M199" s="124"/>
      <c r="N199" s="1758"/>
      <c r="O199" s="1758"/>
      <c r="P199" s="1758"/>
      <c r="Q199" s="1758"/>
      <c r="R199" s="1758"/>
      <c r="S199" s="1806"/>
      <c r="T199" s="465" cm="1" t="str">
        <f t="array" ref="T199:T199">T198</f>
        <v>true</v>
      </c>
      <c r="U199" s="1758"/>
      <c r="V199" s="1758"/>
      <c r="W199" s="1758"/>
      <c r="X199" s="1563"/>
      <c r="Y199" s="1758"/>
      <c r="Z199" s="1546"/>
      <c r="AA199" s="1758"/>
      <c r="AB199" s="299" t="s">
        <v>2225</v>
      </c>
      <c r="AC199" s="765" t="s">
        <v>2226</v>
      </c>
      <c r="AD199" s="300" t="s">
        <v>2227</v>
      </c>
      <c r="AE199" s="766" t="s">
        <v>1576</v>
      </c>
      <c r="AF199" s="298"/>
      <c r="AG199" s="298">
        <f>_xlfn.SUMIFS(ЭЭ!AG$25:AG$189,ЭЭ!$F$25:$F$189,$F198,ЭЭ!$AC$25:$AC$189,"Объём воды/сточных вод")</f>
        <v>0</v>
      </c>
      <c r="AH199" s="846"/>
      <c r="AI199" s="1758"/>
      <c r="AJ199" s="1758"/>
      <c r="AK199" s="1758"/>
      <c r="AL199" s="997" t="s">
        <v>2228</v>
      </c>
      <c r="AM199" s="1758"/>
      <c r="AN199" s="1758"/>
      <c r="AO199" s="1758"/>
      <c r="AP199" s="1758"/>
      <c r="AQ199" s="1758"/>
    </row>
    <row s="1834" customFormat="1" customHeight="1" ht="21.75">
      <c r="A200" s="1758"/>
      <c r="B200" s="1416"/>
      <c r="C200" s="1758"/>
      <c r="D200" s="1758"/>
      <c r="E200" s="618">
        <v>22.5</v>
      </c>
      <c r="F200" s="50" cm="1" t="str">
        <f t="array" ref="F200:F200">OFFSET(E200,-1,1)</f>
        <v>3</v>
      </c>
      <c r="G200" s="426"/>
      <c r="H200" s="85"/>
      <c r="I200" s="426" t="s">
        <v>2229</v>
      </c>
      <c r="J200" s="1758"/>
      <c r="K200" s="124"/>
      <c r="L200" s="124"/>
      <c r="M200" s="124"/>
      <c r="N200" s="1758"/>
      <c r="O200" s="1758"/>
      <c r="P200" s="1758"/>
      <c r="Q200" s="1758"/>
      <c r="R200" s="1758"/>
      <c r="S200" s="1806"/>
      <c r="T200" s="465" cm="1" t="str">
        <f t="array" ref="T200:T200">T199</f>
        <v>true</v>
      </c>
      <c r="U200" s="1758"/>
      <c r="V200" s="1758"/>
      <c r="W200" s="1758"/>
      <c r="X200" s="1563"/>
      <c r="Y200" s="1758"/>
      <c r="Z200" s="1546"/>
      <c r="AA200" s="1758"/>
      <c r="AB200" s="299" t="s">
        <v>2230</v>
      </c>
      <c r="AC200" s="765" t="s">
        <v>2231</v>
      </c>
      <c r="AD200" s="300" t="s">
        <v>2232</v>
      </c>
      <c r="AE200" s="766" t="s">
        <v>1579</v>
      </c>
      <c r="AF200" s="298"/>
      <c r="AG200" s="298">
        <f>_xlfn.SUMIFS(ЭЭ!AG$25:AG$189,ЭЭ!$F$25:$F$189,$F198,ЭЭ!$AC$25:$AC$189,"Средний (расчетный) тариф")</f>
        <v>0</v>
      </c>
      <c r="AH200" s="846"/>
      <c r="AI200" s="1758"/>
      <c r="AJ200" s="1758"/>
      <c r="AK200" s="1758"/>
      <c r="AL200" s="997" t="s">
        <v>2233</v>
      </c>
      <c r="AM200" s="1758"/>
      <c r="AN200" s="1758"/>
      <c r="AO200" s="1758"/>
      <c r="AP200" s="1758"/>
      <c r="AQ200" s="1758"/>
    </row>
    <row s="1834" customFormat="1" customHeight="1" ht="21.75">
      <c r="A201" s="1758"/>
      <c r="B201" s="1416"/>
      <c r="C201" s="1758"/>
      <c r="D201" s="1758"/>
      <c r="E201" s="618">
        <v>22.5</v>
      </c>
      <c r="F201" s="50" cm="1" t="str">
        <f t="array" ref="F201:F201">OFFSET(E201,-1,1)</f>
        <v>3</v>
      </c>
      <c r="G201" s="426" t="s">
        <v>2234</v>
      </c>
      <c r="H201" s="85"/>
      <c r="I201" s="426" t="s">
        <v>2235</v>
      </c>
      <c r="J201" s="1758"/>
      <c r="K201" s="124"/>
      <c r="L201" s="124"/>
      <c r="M201" s="124"/>
      <c r="N201" s="1758"/>
      <c r="O201" s="1758"/>
      <c r="P201" s="1758"/>
      <c r="Q201" s="1758"/>
      <c r="R201" s="1758"/>
      <c r="S201" s="1806"/>
      <c r="T201" s="465" cm="1" t="str">
        <f t="array" ref="T201:T201">T200</f>
        <v>true</v>
      </c>
      <c r="U201" s="1758"/>
      <c r="V201" s="1758"/>
      <c r="W201" s="1758"/>
      <c r="X201" s="1563"/>
      <c r="Y201" s="1758"/>
      <c r="Z201" s="1546"/>
      <c r="AA201" s="1758"/>
      <c r="AB201" s="299" t="s">
        <v>1651</v>
      </c>
      <c r="AC201" s="762" t="s">
        <v>2236</v>
      </c>
      <c r="AD201" s="300" t="s">
        <v>2237</v>
      </c>
      <c r="AE201" s="766" t="s">
        <v>1514</v>
      </c>
      <c r="AF201" s="298"/>
      <c r="AG201" s="298">
        <f>IF(AND(method_reg="Метод индексации",first_year=god),_xlfn.SUMIFS('Калькуляция (МИ)'!$AG$25:$AG$747,'Калькуляция (МИ)'!$F$25:$F$747,$F201,'Калькуляция (МИ)'!$G$25:$G$747,$G201),_xlfn.SUMIFS('Калькуляция (МИ корр)'!$AG$25:$AG$747,'Калькуляция (МИ корр)'!$F$25:$F$747,$F201,'Калькуляция (МИ корр)'!$G$25:$G$747,$G201))</f>
        <v>0</v>
      </c>
      <c r="AH201" s="846"/>
      <c r="AI201" s="1758"/>
      <c r="AJ201" s="1758"/>
      <c r="AK201" s="1758"/>
      <c r="AL201" s="997" t="s">
        <v>1960</v>
      </c>
      <c r="AM201" s="1758"/>
      <c r="AN201" s="1758"/>
      <c r="AO201" s="1758"/>
      <c r="AP201" s="1758"/>
      <c r="AQ201" s="1758"/>
    </row>
    <row s="1834" customFormat="1" customHeight="1" ht="14.25">
      <c r="A202" s="1758"/>
      <c r="B202" s="1416"/>
      <c r="C202" s="1758"/>
      <c r="D202" s="1758"/>
      <c r="E202" s="618">
        <v>15</v>
      </c>
      <c r="F202" s="50" cm="1" t="str">
        <f t="array" ref="F202:F202">OFFSET(E202,-1,1)</f>
        <v>3</v>
      </c>
      <c r="G202" s="426" t="s">
        <v>2238</v>
      </c>
      <c r="H202" s="85"/>
      <c r="I202" s="426" t="s">
        <v>2239</v>
      </c>
      <c r="J202" s="1758"/>
      <c r="K202" s="124"/>
      <c r="L202" s="124"/>
      <c r="M202" s="124"/>
      <c r="N202" s="1758"/>
      <c r="O202" s="1758"/>
      <c r="P202" s="1758"/>
      <c r="Q202" s="1758"/>
      <c r="R202" s="1758"/>
      <c r="S202" s="1806"/>
      <c r="T202" s="465" cm="1" t="str">
        <f t="array" ref="T202:T202">T201</f>
        <v>true</v>
      </c>
      <c r="U202" s="1758"/>
      <c r="V202" s="1758"/>
      <c r="W202" s="1758"/>
      <c r="X202" s="1563"/>
      <c r="Y202" s="1758"/>
      <c r="Z202" s="1546"/>
      <c r="AA202" s="1758"/>
      <c r="AB202" s="299" t="s">
        <v>1654</v>
      </c>
      <c r="AC202" s="936" t="s">
        <v>2240</v>
      </c>
      <c r="AD202" s="300" t="s">
        <v>2241</v>
      </c>
      <c r="AE202" s="766" t="s">
        <v>1514</v>
      </c>
      <c r="AF202" s="298"/>
      <c r="AG202" s="298">
        <f>IF(AND(method_reg="Метод индексации",first_year=god),_xlfn.SUMIFS('Калькуляция (МИ)'!$AE$25:$AE$747,'Калькуляция (МИ)'!$F$25:$F$747,$F202,'Калькуляция (МИ)'!$G$25:$G$747,"Нормативная прибыль")-_xlfn.SUMIFS('Калькуляция (МИ)'!$AE$25:$AE$747,'Калькуляция (МИ)'!$F$25:$F$747,$F202,'Калькуляция (МИ)'!$G$25:$G$747,"иные экономически обоснованные расходы на социальные нужды")+_xlfn.SUMIFS('Калькуляция (МИ)'!$AG$25:$AG$747,'Калькуляция (МИ)'!$F$25:$F$747,$F202,'Калькуляция (МИ)'!$G$25:$G$747,"иные экономически обоснованные расходы на социальные нужды"),_xlfn.SUMIFS('Калькуляция (МИ корр)'!$AE$25:$AE$747,'Калькуляция (МИ корр)'!$F$25:$F$747,$F202,'Калькуляция (МИ корр)'!$G$25:$G$747,"Нормативная прибыль")-_xlfn.SUMIFS('Калькуляция (МИ корр)'!$AE$25:$AE$747,'Калькуляция (МИ корр)'!$F$25:$F$747,$F202,'Калькуляция (МИ корр)'!$G$25:$G$747,"иные экономически обоснованные расходы на социальные нужды")+_xlfn.SUMIFS('Калькуляция (МИ корр)'!$AG$25:$AG$747,'Калькуляция (МИ корр)'!$F$25:$F$747,$F202,'Калькуляция (МИ корр)'!$G$25:$G$747,"иные экономически обоснованные расходы на социальные нужды"))</f>
        <v>0</v>
      </c>
      <c r="AH202" s="846"/>
      <c r="AI202" s="1758"/>
      <c r="AJ202" s="1758"/>
      <c r="AK202" s="1758"/>
      <c r="AL202" s="997" t="s">
        <v>2242</v>
      </c>
      <c r="AM202" s="1758"/>
      <c r="AN202" s="1758"/>
      <c r="AO202" s="1758"/>
      <c r="AP202" s="1758"/>
      <c r="AQ202" s="1758"/>
    </row>
    <row s="1834" customFormat="1" customHeight="1" ht="14.25">
      <c r="A203" s="1758"/>
      <c r="B203" s="1416"/>
      <c r="C203" s="1758"/>
      <c r="D203" s="1758"/>
      <c r="E203" s="618">
        <v>15</v>
      </c>
      <c r="F203" s="50" cm="1" t="str">
        <f t="array" ref="F203:F203">OFFSET(E203,-1,1)</f>
        <v>3</v>
      </c>
      <c r="G203" s="107" t="s">
        <v>2243</v>
      </c>
      <c r="H203" s="85"/>
      <c r="I203" s="493" t="s">
        <v>2244</v>
      </c>
      <c r="J203" s="1758"/>
      <c r="K203" s="124"/>
      <c r="L203" s="124"/>
      <c r="M203" s="124"/>
      <c r="N203" s="1758"/>
      <c r="O203" s="1758"/>
      <c r="P203" s="1758"/>
      <c r="Q203" s="1758"/>
      <c r="R203" s="1758"/>
      <c r="S203" s="1806"/>
      <c r="T203" s="465" cm="1" t="str">
        <f t="array" ref="T203:T203">T202</f>
        <v>true</v>
      </c>
      <c r="U203" s="1758"/>
      <c r="V203" s="1758"/>
      <c r="W203" s="1758"/>
      <c r="X203" s="1563"/>
      <c r="Y203" s="1758"/>
      <c r="Z203" s="1546"/>
      <c r="AA203" s="1758"/>
      <c r="AB203" s="299" t="s">
        <v>2245</v>
      </c>
      <c r="AC203" s="762" t="s">
        <v>2246</v>
      </c>
      <c r="AD203" s="300" t="s">
        <v>2247</v>
      </c>
      <c r="AE203" s="766" t="s">
        <v>1514</v>
      </c>
      <c r="AF203" s="298"/>
      <c r="AG203" s="298">
        <f>IF(AND(method_reg="Метод индексации",first_year=god),_xlfn.SUMIFS('Калькуляция (МИ)'!$AG$25:$AG$747,'Калькуляция (МИ)'!$F$25:$F$747,$F203,'Калькуляция (МИ)'!$G$25:$G$747,$G203),_xlfn.SUMIFS('Калькуляция (МИ корр)'!$AG$25:$AG$747,'Калькуляция (МИ корр)'!$F$25:$F$747,$F203,'Калькуляция (МИ корр)'!$G$25:$G$747,$G203))</f>
        <v>0</v>
      </c>
      <c r="AH203" s="846"/>
      <c r="AI203" s="1758"/>
      <c r="AJ203" s="1758"/>
      <c r="AK203" s="1758"/>
      <c r="AL203" s="997" t="s">
        <v>2248</v>
      </c>
      <c r="AM203" s="1758"/>
      <c r="AN203" s="1758"/>
      <c r="AO203" s="1758"/>
      <c r="AP203" s="1758"/>
      <c r="AQ203" s="1758"/>
    </row>
    <row s="1834" customFormat="1" customHeight="1" ht="21.75">
      <c r="A204" s="1758"/>
      <c r="B204" s="1416"/>
      <c r="C204" s="1758"/>
      <c r="D204" s="1758"/>
      <c r="E204" s="618">
        <v>22.5</v>
      </c>
      <c r="F204" s="50" cm="1" t="str">
        <f t="array" ref="F204:F204">OFFSET(E204,-1,1)</f>
        <v>3</v>
      </c>
      <c r="G204" s="107"/>
      <c r="H204" s="85"/>
      <c r="I204" s="426" t="s">
        <v>2249</v>
      </c>
      <c r="J204" s="1758"/>
      <c r="K204" s="124"/>
      <c r="L204" s="124"/>
      <c r="M204" s="124"/>
      <c r="N204" s="1758"/>
      <c r="O204" s="1758"/>
      <c r="P204" s="1758"/>
      <c r="Q204" s="1758"/>
      <c r="R204" s="1758"/>
      <c r="S204" s="1806"/>
      <c r="T204" s="465" cm="1" t="str">
        <f t="array" ref="T204:T204">T203</f>
        <v>true</v>
      </c>
      <c r="U204" s="1758"/>
      <c r="V204" s="1758"/>
      <c r="W204" s="1758"/>
      <c r="X204" s="1563"/>
      <c r="Y204" s="1758"/>
      <c r="Z204" s="1546"/>
      <c r="AA204" s="1758"/>
      <c r="AB204" s="299" t="s">
        <v>2250</v>
      </c>
      <c r="AC204" s="762" t="s">
        <v>2251</v>
      </c>
      <c r="AD204" s="300"/>
      <c r="AE204" s="766" t="s">
        <v>1514</v>
      </c>
      <c r="AF204" s="298">
        <f>AF205+AF206+AF207</f>
        <v>0</v>
      </c>
      <c r="AG204" s="298">
        <f>AG205+AG206+AG207</f>
        <v>0</v>
      </c>
      <c r="AH204" s="846"/>
      <c r="AI204" s="1758"/>
      <c r="AJ204" s="1758"/>
      <c r="AK204" s="1758"/>
      <c r="AL204" s="997" t="s">
        <v>2252</v>
      </c>
      <c r="AM204" s="1758"/>
      <c r="AN204" s="1758"/>
      <c r="AO204" s="1758"/>
      <c r="AP204" s="1758"/>
      <c r="AQ204" s="1758"/>
    </row>
    <row s="1834" customFormat="1" customHeight="1" ht="21.75">
      <c r="A205" s="1758"/>
      <c r="B205" s="1416"/>
      <c r="C205" s="1758"/>
      <c r="D205" s="1758"/>
      <c r="E205" s="618">
        <v>22.5</v>
      </c>
      <c r="F205" s="50" cm="1" t="str">
        <f t="array" ref="F205:F205">OFFSET(E205,-1,1)</f>
        <v>3</v>
      </c>
      <c r="G205" s="426"/>
      <c r="H205" s="85"/>
      <c r="I205" s="426" t="s">
        <v>2253</v>
      </c>
      <c r="J205" s="1758"/>
      <c r="K205" s="124"/>
      <c r="L205" s="124"/>
      <c r="M205" s="124"/>
      <c r="N205" s="1758"/>
      <c r="O205" s="1758"/>
      <c r="P205" s="1758"/>
      <c r="Q205" s="1758"/>
      <c r="R205" s="1758"/>
      <c r="S205" s="1806"/>
      <c r="T205" s="465" cm="1" t="str">
        <f t="array" ref="T205:T205">T204</f>
        <v>true</v>
      </c>
      <c r="U205" s="1758"/>
      <c r="V205" s="1758"/>
      <c r="W205" s="1758"/>
      <c r="X205" s="1563"/>
      <c r="Y205" s="1758"/>
      <c r="Z205" s="1546"/>
      <c r="AA205" s="1758"/>
      <c r="AB205" s="299" t="s">
        <v>2254</v>
      </c>
      <c r="AC205" s="765" t="s">
        <v>2255</v>
      </c>
      <c r="AD205" s="300" t="s">
        <v>2256</v>
      </c>
      <c r="AE205" s="766" t="s">
        <v>1514</v>
      </c>
      <c r="AF205" s="298"/>
      <c r="AG205" s="298"/>
      <c r="AH205" s="846"/>
      <c r="AI205" s="1758"/>
      <c r="AJ205" s="1758"/>
      <c r="AK205" s="1758"/>
      <c r="AL205" s="997" t="s">
        <v>2257</v>
      </c>
      <c r="AM205" s="1758"/>
      <c r="AN205" s="1758"/>
      <c r="AO205" s="1758"/>
      <c r="AP205" s="1758"/>
      <c r="AQ205" s="1758"/>
    </row>
    <row s="1834" customFormat="1" customHeight="1" ht="14.25">
      <c r="A206" s="1758"/>
      <c r="B206" s="1416"/>
      <c r="C206" s="1758"/>
      <c r="D206" s="1758"/>
      <c r="E206" s="618">
        <v>15</v>
      </c>
      <c r="F206" s="50" cm="1" t="str">
        <f t="array" ref="F206:F206">OFFSET(E206,-1,1)</f>
        <v>3</v>
      </c>
      <c r="G206" s="426"/>
      <c r="H206" s="85"/>
      <c r="I206" s="426" t="s">
        <v>2258</v>
      </c>
      <c r="J206" s="1758"/>
      <c r="K206" s="124"/>
      <c r="L206" s="124"/>
      <c r="M206" s="124"/>
      <c r="N206" s="1758"/>
      <c r="O206" s="1758"/>
      <c r="P206" s="1758"/>
      <c r="Q206" s="1758"/>
      <c r="R206" s="1758"/>
      <c r="S206" s="1806"/>
      <c r="T206" s="465" cm="1" t="str">
        <f t="array" ref="T206:T206">T205</f>
        <v>true</v>
      </c>
      <c r="U206" s="1758"/>
      <c r="V206" s="1758"/>
      <c r="W206" s="1758"/>
      <c r="X206" s="1563"/>
      <c r="Y206" s="1758"/>
      <c r="Z206" s="1546"/>
      <c r="AA206" s="1758"/>
      <c r="AB206" s="299" t="s">
        <v>2259</v>
      </c>
      <c r="AC206" s="765" t="s">
        <v>2260</v>
      </c>
      <c r="AD206" s="300" t="s">
        <v>2261</v>
      </c>
      <c r="AE206" s="766" t="s">
        <v>1514</v>
      </c>
      <c r="AF206" s="298"/>
      <c r="AG206" s="298"/>
      <c r="AH206" s="846"/>
      <c r="AI206" s="1758"/>
      <c r="AJ206" s="1758"/>
      <c r="AK206" s="1758"/>
      <c r="AL206" s="997" t="s">
        <v>2262</v>
      </c>
      <c r="AM206" s="1758"/>
      <c r="AN206" s="1758"/>
      <c r="AO206" s="1758"/>
      <c r="AP206" s="1758"/>
      <c r="AQ206" s="1758"/>
    </row>
    <row s="1834" customFormat="1" customHeight="1" ht="43.5">
      <c r="A207" s="1758"/>
      <c r="B207" s="1416"/>
      <c r="C207" s="1758"/>
      <c r="D207" s="1758"/>
      <c r="E207" s="618">
        <v>45</v>
      </c>
      <c r="F207" s="50" cm="1" t="str">
        <f t="array" ref="F207:F207">OFFSET(E207,-1,1)</f>
        <v>3</v>
      </c>
      <c r="G207" s="426"/>
      <c r="H207" s="85"/>
      <c r="I207" s="426" t="s">
        <v>2263</v>
      </c>
      <c r="J207" s="1758"/>
      <c r="K207" s="124"/>
      <c r="L207" s="124"/>
      <c r="M207" s="124"/>
      <c r="N207" s="1758"/>
      <c r="O207" s="1758"/>
      <c r="P207" s="1758"/>
      <c r="Q207" s="1758"/>
      <c r="R207" s="1758"/>
      <c r="S207" s="1806"/>
      <c r="T207" s="465" cm="1" t="str">
        <f t="array" ref="T207:T207">T206</f>
        <v>true</v>
      </c>
      <c r="U207" s="1758"/>
      <c r="V207" s="1758"/>
      <c r="W207" s="1758"/>
      <c r="X207" s="1563"/>
      <c r="Y207" s="1758"/>
      <c r="Z207" s="1546"/>
      <c r="AA207" s="1758"/>
      <c r="AB207" s="299" t="s">
        <v>2264</v>
      </c>
      <c r="AC207" s="765" t="s">
        <v>2265</v>
      </c>
      <c r="AD207" s="766" t="s">
        <v>2266</v>
      </c>
      <c r="AE207" s="766" t="s">
        <v>1514</v>
      </c>
      <c r="AF207" s="298"/>
      <c r="AG207" s="298"/>
      <c r="AH207" s="846"/>
      <c r="AI207" s="1758"/>
      <c r="AJ207" s="1758"/>
      <c r="AK207" s="1758"/>
      <c r="AL207" s="997" t="s">
        <v>2267</v>
      </c>
      <c r="AM207" s="1758"/>
      <c r="AN207" s="1758"/>
      <c r="AO207" s="1758"/>
      <c r="AP207" s="1758"/>
      <c r="AQ207" s="1758"/>
    </row>
    <row s="1834" customFormat="1" customHeight="1" ht="21.75">
      <c r="A208" s="1758"/>
      <c r="B208" s="1416"/>
      <c r="C208" s="1758"/>
      <c r="D208" s="1758"/>
      <c r="E208" s="618">
        <v>22.5</v>
      </c>
      <c r="F208" s="50" cm="1" t="str">
        <f t="array" ref="F208:F208">OFFSET(E208,-1,1)</f>
        <v>3</v>
      </c>
      <c r="G208" s="426"/>
      <c r="H208" s="85"/>
      <c r="I208" s="426" t="s">
        <v>2268</v>
      </c>
      <c r="J208" s="1758"/>
      <c r="K208" s="124"/>
      <c r="L208" s="124"/>
      <c r="M208" s="124"/>
      <c r="N208" s="1758"/>
      <c r="O208" s="1758"/>
      <c r="P208" s="1758"/>
      <c r="Q208" s="1758"/>
      <c r="R208" s="1758"/>
      <c r="S208" s="1806"/>
      <c r="T208" s="465" cm="1" t="str">
        <f t="array" ref="T208:T208">T207</f>
        <v>true</v>
      </c>
      <c r="U208" s="1758"/>
      <c r="V208" s="1758"/>
      <c r="W208" s="1758"/>
      <c r="X208" s="1563"/>
      <c r="Y208" s="1758"/>
      <c r="Z208" s="1546"/>
      <c r="AA208" s="1758"/>
      <c r="AB208" s="299" t="s">
        <v>2269</v>
      </c>
      <c r="AC208" s="762" t="s">
        <v>2270</v>
      </c>
      <c r="AD208" s="766" t="s">
        <v>2271</v>
      </c>
      <c r="AE208" s="766" t="s">
        <v>1514</v>
      </c>
      <c r="AF208" s="298"/>
      <c r="AG208" s="298"/>
      <c r="AH208" s="846"/>
      <c r="AI208" s="1758"/>
      <c r="AJ208" s="1758"/>
      <c r="AK208" s="1758"/>
      <c r="AL208" s="997" t="s">
        <v>2272</v>
      </c>
      <c r="AM208" s="1758"/>
      <c r="AN208" s="1758"/>
      <c r="AO208" s="1758"/>
      <c r="AP208" s="1758"/>
      <c r="AQ208" s="1758"/>
    </row>
    <row s="1834" customFormat="1" customHeight="1" ht="76.5">
      <c r="A209" s="1758"/>
      <c r="B209" s="428">
        <f>S180="Водоотведение"</f>
        <v>1</v>
      </c>
      <c r="C209" s="1758"/>
      <c r="D209" s="1758"/>
      <c r="E209" s="618">
        <v>78.75</v>
      </c>
      <c r="F209" s="50" cm="1" t="str">
        <f t="array" ref="F209:F209">OFFSET(E209,-1,1)</f>
        <v>3</v>
      </c>
      <c r="G209" s="426"/>
      <c r="H209" s="85"/>
      <c r="I209" s="426"/>
      <c r="J209" s="1758"/>
      <c r="K209" s="124"/>
      <c r="L209" s="124"/>
      <c r="M209" s="124"/>
      <c r="N209" s="1758"/>
      <c r="O209" s="1758"/>
      <c r="P209" s="1758"/>
      <c r="Q209" s="1758"/>
      <c r="R209" s="1758"/>
      <c r="S209" s="1806"/>
      <c r="T209" s="465" cm="1" t="str">
        <f t="array" ref="T209:T209">T208</f>
        <v>true</v>
      </c>
      <c r="U209" s="1758"/>
      <c r="V209" s="1758"/>
      <c r="W209" s="1758"/>
      <c r="X209" s="1563"/>
      <c r="Y209" s="1758"/>
      <c r="Z209" s="1546"/>
      <c r="AA209" s="1758"/>
      <c r="AB209" s="299" t="s">
        <v>2273</v>
      </c>
      <c r="AC209" s="762" t="s">
        <v>2274</v>
      </c>
      <c r="AD209" s="766"/>
      <c r="AE209" s="766" t="s">
        <v>1514</v>
      </c>
      <c r="AF209" s="298"/>
      <c r="AG209" s="298"/>
      <c r="AH209" s="846"/>
      <c r="AI209" s="1758"/>
      <c r="AJ209" s="1758"/>
      <c r="AK209" s="1758"/>
      <c r="AL209" s="997" t="s">
        <v>2275</v>
      </c>
      <c r="AM209" s="1758"/>
      <c r="AN209" s="1758"/>
      <c r="AO209" s="1758"/>
      <c r="AP209" s="1758"/>
      <c r="AQ209" s="1758"/>
    </row>
    <row s="1834" customFormat="1" customHeight="1" ht="54.75">
      <c r="A210" s="1758"/>
      <c r="B210" s="428" cm="1" t="str">
        <f t="array" ref="B210:B210">B209</f>
        <v>true</v>
      </c>
      <c r="C210" s="1758"/>
      <c r="D210" s="1758"/>
      <c r="E210" s="618">
        <v>56.25</v>
      </c>
      <c r="F210" s="50" cm="1" t="str">
        <f t="array" ref="F210:F210">OFFSET(E210,-1,1)</f>
        <v>3</v>
      </c>
      <c r="G210" s="426"/>
      <c r="H210" s="85"/>
      <c r="I210" s="426"/>
      <c r="J210" s="1758"/>
      <c r="K210" s="124"/>
      <c r="L210" s="124"/>
      <c r="M210" s="124"/>
      <c r="N210" s="1758"/>
      <c r="O210" s="1758"/>
      <c r="P210" s="1758"/>
      <c r="Q210" s="1758"/>
      <c r="R210" s="1758"/>
      <c r="S210" s="1806"/>
      <c r="T210" s="465" cm="1" t="str">
        <f t="array" ref="T210:T210">T209</f>
        <v>true</v>
      </c>
      <c r="U210" s="1758"/>
      <c r="V210" s="1758"/>
      <c r="W210" s="1758"/>
      <c r="X210" s="1563"/>
      <c r="Y210" s="1758"/>
      <c r="Z210" s="1546"/>
      <c r="AA210" s="1758"/>
      <c r="AB210" s="299" t="s">
        <v>2276</v>
      </c>
      <c r="AC210" s="762" t="s">
        <v>2277</v>
      </c>
      <c r="AD210" s="766"/>
      <c r="AE210" s="766" t="s">
        <v>1514</v>
      </c>
      <c r="AF210" s="298"/>
      <c r="AG210" s="298"/>
      <c r="AH210" s="846"/>
      <c r="AI210" s="1758"/>
      <c r="AJ210" s="1758"/>
      <c r="AK210" s="1758"/>
      <c r="AL210" s="997" t="s">
        <v>2102</v>
      </c>
      <c r="AM210" s="1758"/>
      <c r="AN210" s="1758"/>
      <c r="AO210" s="1758"/>
      <c r="AP210" s="1758"/>
      <c r="AQ210" s="1758"/>
    </row>
    <row s="1834" customFormat="1" customHeight="1" ht="14.25">
      <c r="A211" s="1758"/>
      <c r="B211" s="1416"/>
      <c r="C211" s="1758"/>
      <c r="D211" s="1758"/>
      <c r="E211" s="618">
        <v>15</v>
      </c>
      <c r="F211" s="50" cm="1" t="str">
        <f t="array" ref="F211:F211">OFFSET(E211,-1,1)</f>
        <v>3</v>
      </c>
      <c r="G211" s="426"/>
      <c r="H211" s="85"/>
      <c r="I211" s="426"/>
      <c r="J211" s="1758"/>
      <c r="K211" s="124"/>
      <c r="L211" s="124"/>
      <c r="M211" s="124"/>
      <c r="N211" s="1758"/>
      <c r="O211" s="1758"/>
      <c r="P211" s="1758"/>
      <c r="Q211" s="1758"/>
      <c r="R211" s="1758"/>
      <c r="S211" s="1806"/>
      <c r="T211" s="465" cm="1" t="str">
        <f t="array" ref="T211:T211">T210</f>
        <v>true</v>
      </c>
      <c r="U211" s="1758"/>
      <c r="V211" s="1758"/>
      <c r="W211" s="1758"/>
      <c r="X211" s="1563"/>
      <c r="Y211" s="1758"/>
      <c r="Z211" s="1546"/>
      <c r="AA211" s="1758"/>
      <c r="AB211" s="300" t="str">
        <f>IF(B210,"2.12","2.10")</f>
        <v>2.12</v>
      </c>
      <c r="AC211" s="762" t="s">
        <v>2278</v>
      </c>
      <c r="AD211" s="766" t="s">
        <v>2279</v>
      </c>
      <c r="AE211" s="766" t="s">
        <v>1514</v>
      </c>
      <c r="AF211" s="298">
        <f>AF212+AF213</f>
        <v>0</v>
      </c>
      <c r="AG211" s="298">
        <f>AG212+AG213</f>
        <v>0</v>
      </c>
      <c r="AH211" s="846"/>
      <c r="AI211" s="1758"/>
      <c r="AJ211" s="1758"/>
      <c r="AK211" s="1758"/>
      <c r="AL211" s="997" t="s">
        <v>2280</v>
      </c>
      <c r="AM211" s="1758"/>
      <c r="AN211" s="1758"/>
      <c r="AO211" s="1758"/>
      <c r="AP211" s="1758"/>
      <c r="AQ211" s="1758"/>
    </row>
    <row s="1834" customFormat="1" customHeight="1" ht="21.75">
      <c r="A212" s="1758"/>
      <c r="B212" s="1416"/>
      <c r="C212" s="1758"/>
      <c r="D212" s="1758"/>
      <c r="E212" s="618">
        <v>22.5</v>
      </c>
      <c r="F212" s="50" cm="1" t="str">
        <f t="array" ref="F212:F212">OFFSET(E212,-1,1)</f>
        <v>3</v>
      </c>
      <c r="G212" s="426"/>
      <c r="H212" s="85"/>
      <c r="I212" s="426"/>
      <c r="J212" s="1758"/>
      <c r="K212" s="124"/>
      <c r="L212" s="124"/>
      <c r="M212" s="124"/>
      <c r="N212" s="1758"/>
      <c r="O212" s="1758"/>
      <c r="P212" s="1758"/>
      <c r="Q212" s="1758"/>
      <c r="R212" s="1758"/>
      <c r="S212" s="1806"/>
      <c r="T212" s="465" cm="1" t="str">
        <f t="array" ref="T212:T212">T211</f>
        <v>true</v>
      </c>
      <c r="U212" s="1758"/>
      <c r="V212" s="1758"/>
      <c r="W212" s="1758"/>
      <c r="X212" s="1563"/>
      <c r="Y212" s="1758"/>
      <c r="Z212" s="1546"/>
      <c r="AA212" s="1758"/>
      <c r="AB212" s="300" t="str">
        <f>AB211&amp;".1"</f>
        <v>2.12.1</v>
      </c>
      <c r="AC212" s="762" t="s">
        <v>2281</v>
      </c>
      <c r="AD212" s="766" t="s">
        <v>2279</v>
      </c>
      <c r="AE212" s="766" t="s">
        <v>1514</v>
      </c>
      <c r="AF212" s="298"/>
      <c r="AG212" s="298"/>
      <c r="AH212" s="846"/>
      <c r="AI212" s="1758"/>
      <c r="AJ212" s="1758"/>
      <c r="AK212" s="1758"/>
      <c r="AL212" s="997" t="s">
        <v>2282</v>
      </c>
      <c r="AM212" s="1758"/>
      <c r="AN212" s="1758"/>
      <c r="AO212" s="1758"/>
      <c r="AP212" s="1758"/>
      <c r="AQ212" s="1758"/>
    </row>
    <row s="1834" customFormat="1" customHeight="1" ht="21.75">
      <c r="A213" s="1758"/>
      <c r="B213" s="1416"/>
      <c r="C213" s="1758"/>
      <c r="D213" s="1758"/>
      <c r="E213" s="618">
        <v>22.5</v>
      </c>
      <c r="F213" s="50" cm="1" t="str">
        <f t="array" ref="F213:F213">OFFSET(E213,-1,1)</f>
        <v>3</v>
      </c>
      <c r="G213" s="426"/>
      <c r="H213" s="85"/>
      <c r="I213" s="426"/>
      <c r="J213" s="1758"/>
      <c r="K213" s="124"/>
      <c r="L213" s="124"/>
      <c r="M213" s="124"/>
      <c r="N213" s="1758"/>
      <c r="O213" s="1758"/>
      <c r="P213" s="1758"/>
      <c r="Q213" s="1758"/>
      <c r="R213" s="1758"/>
      <c r="S213" s="1806"/>
      <c r="T213" s="465" cm="1" t="str">
        <f t="array" ref="T213:T213">T212</f>
        <v>true</v>
      </c>
      <c r="U213" s="1758"/>
      <c r="V213" s="1758"/>
      <c r="W213" s="1758"/>
      <c r="X213" s="1563"/>
      <c r="Y213" s="1758"/>
      <c r="Z213" s="1546"/>
      <c r="AA213" s="1758"/>
      <c r="AB213" s="300" t="str">
        <f>AB211&amp;".2"</f>
        <v>2.12.2</v>
      </c>
      <c r="AC213" s="762" t="s">
        <v>2283</v>
      </c>
      <c r="AD213" s="766" t="s">
        <v>2279</v>
      </c>
      <c r="AE213" s="766" t="s">
        <v>1514</v>
      </c>
      <c r="AF213" s="298"/>
      <c r="AG213" s="298"/>
      <c r="AH213" s="846"/>
      <c r="AI213" s="1758"/>
      <c r="AJ213" s="1758"/>
      <c r="AK213" s="1758"/>
      <c r="AL213" s="997" t="s">
        <v>2284</v>
      </c>
      <c r="AM213" s="1758"/>
      <c r="AN213" s="1758"/>
      <c r="AO213" s="1758"/>
      <c r="AP213" s="1758"/>
      <c r="AQ213" s="1758"/>
    </row>
    <row s="1834" customFormat="1" customHeight="1" ht="14.25">
      <c r="A214" s="1758"/>
      <c r="B214" s="1416"/>
      <c r="C214" s="1758"/>
      <c r="D214" s="1758"/>
      <c r="E214" s="618">
        <v>15</v>
      </c>
      <c r="F214" s="50" cm="1" t="str">
        <f t="array" ref="F214:F214">OFFSET(E214,-1,1)</f>
        <v>3</v>
      </c>
      <c r="G214" s="426"/>
      <c r="H214" s="85"/>
      <c r="I214" s="426"/>
      <c r="J214" s="1758"/>
      <c r="K214" s="124"/>
      <c r="L214" s="124"/>
      <c r="M214" s="124"/>
      <c r="N214" s="1758"/>
      <c r="O214" s="1758"/>
      <c r="P214" s="1758"/>
      <c r="Q214" s="1758"/>
      <c r="R214" s="1758"/>
      <c r="S214" s="1806"/>
      <c r="T214" s="465" cm="1" t="str">
        <f t="array" ref="T214:T214">T213</f>
        <v>true</v>
      </c>
      <c r="U214" s="1758"/>
      <c r="V214" s="1758"/>
      <c r="W214" s="1758"/>
      <c r="X214" s="1563"/>
      <c r="Y214" s="1758"/>
      <c r="Z214" s="1546"/>
      <c r="AA214" s="1758"/>
      <c r="AB214" s="300" t="str">
        <f>IF(B210,"2.13","2.11")</f>
        <v>2.13</v>
      </c>
      <c r="AC214" s="762" t="s">
        <v>2285</v>
      </c>
      <c r="AD214" s="766" t="s">
        <v>2279</v>
      </c>
      <c r="AE214" s="766" t="s">
        <v>1514</v>
      </c>
      <c r="AF214" s="298"/>
      <c r="AG214" s="298"/>
      <c r="AH214" s="846"/>
      <c r="AI214" s="1758"/>
      <c r="AJ214" s="1758"/>
      <c r="AK214" s="1758"/>
      <c r="AL214" s="997" t="s">
        <v>2286</v>
      </c>
      <c r="AM214" s="1758"/>
      <c r="AN214" s="1758"/>
      <c r="AO214" s="1758"/>
      <c r="AP214" s="1758"/>
      <c r="AQ214" s="1758"/>
    </row>
    <row s="1834" customFormat="1" customHeight="1" ht="14.25">
      <c r="A215" s="1758"/>
      <c r="B215" s="1416"/>
      <c r="C215" s="1758"/>
      <c r="D215" s="1758"/>
      <c r="E215" s="618">
        <v>15</v>
      </c>
      <c r="F215" s="50" cm="1" t="str">
        <f t="array" ref="F215:F215">OFFSET(E215,-1,1)</f>
        <v>3</v>
      </c>
      <c r="G215" s="426"/>
      <c r="H215" s="85"/>
      <c r="I215" s="426"/>
      <c r="J215" s="1758"/>
      <c r="K215" s="124"/>
      <c r="L215" s="124"/>
      <c r="M215" s="124"/>
      <c r="N215" s="1758"/>
      <c r="O215" s="1758"/>
      <c r="P215" s="1758"/>
      <c r="Q215" s="1758"/>
      <c r="R215" s="1758"/>
      <c r="S215" s="1806"/>
      <c r="T215" s="465" cm="1" t="str">
        <f t="array" ref="T215:T215">T214</f>
        <v>true</v>
      </c>
      <c r="U215" s="1758"/>
      <c r="V215" s="1758"/>
      <c r="W215" s="1758"/>
      <c r="X215" s="1563"/>
      <c r="Y215" s="1758"/>
      <c r="Z215" s="1546"/>
      <c r="AA215" s="1758"/>
      <c r="AB215" s="300" t="str">
        <f>IF(B210,"2.14","2.12")</f>
        <v>2.14</v>
      </c>
      <c r="AC215" s="762" t="s">
        <v>2287</v>
      </c>
      <c r="AD215" s="766" t="s">
        <v>2279</v>
      </c>
      <c r="AE215" s="766" t="s">
        <v>1514</v>
      </c>
      <c r="AF215" s="298"/>
      <c r="AG215" s="298"/>
      <c r="AH215" s="846"/>
      <c r="AI215" s="1758"/>
      <c r="AJ215" s="1758"/>
      <c r="AK215" s="1758"/>
      <c r="AL215" s="997" t="s">
        <v>2288</v>
      </c>
      <c r="AM215" s="1758"/>
      <c r="AN215" s="1758"/>
      <c r="AO215" s="1758"/>
      <c r="AP215" s="1758"/>
      <c r="AQ215" s="1758"/>
    </row>
    <row s="1469" customFormat="1" customHeight="1" ht="21.75">
      <c r="A216" s="698"/>
      <c r="B216" s="431"/>
      <c r="C216" s="698"/>
      <c r="D216" s="698"/>
      <c r="E216" s="691">
        <v>22.5</v>
      </c>
      <c r="F216" s="50" cm="1" t="str">
        <f t="array" ref="F216:F216">OFFSET(E216,-1,1)</f>
        <v>3</v>
      </c>
      <c r="G216" s="147"/>
      <c r="H216" s="147"/>
      <c r="I216" s="426" t="s">
        <v>333</v>
      </c>
      <c r="J216" s="698"/>
      <c r="K216" s="497"/>
      <c r="L216" s="497"/>
      <c r="M216" s="497"/>
      <c r="N216" s="698"/>
      <c r="O216" s="698"/>
      <c r="P216" s="698"/>
      <c r="Q216" s="698"/>
      <c r="R216" s="698"/>
      <c r="S216" s="698"/>
      <c r="T216" s="465" cm="1" t="str">
        <f t="array" ref="T216:T216">T215</f>
        <v>true</v>
      </c>
      <c r="U216" s="698"/>
      <c r="V216" s="698"/>
      <c r="W216" s="698"/>
      <c r="X216" s="1563"/>
      <c r="Y216" s="698"/>
      <c r="Z216" s="1546"/>
      <c r="AA216" s="698"/>
      <c r="AB216" s="211" t="s">
        <v>2289</v>
      </c>
      <c r="AC216" s="212" t="s">
        <v>2290</v>
      </c>
      <c r="AD216" s="211" t="s">
        <v>2152</v>
      </c>
      <c r="AE216" s="234" t="s">
        <v>1514</v>
      </c>
      <c r="AF216" s="844" cm="1" t="str">
        <f t="array" ref="AF216:AF216">AF217</f>
        <v>0</v>
      </c>
      <c r="AG216" s="844" cm="1" t="str">
        <f t="array" ref="AG216:AG216">AG217</f>
        <v>0</v>
      </c>
      <c r="AH216" s="845"/>
      <c r="AI216" s="698"/>
      <c r="AJ216" s="698"/>
      <c r="AK216" s="698"/>
      <c r="AL216" s="1051" t="s">
        <v>2291</v>
      </c>
      <c r="AM216" s="698"/>
      <c r="AN216" s="698"/>
      <c r="AO216" s="698"/>
      <c r="AP216" s="698"/>
      <c r="AQ216" s="698"/>
    </row>
    <row s="1834" customFormat="1" customHeight="1" ht="32.25">
      <c r="A217" s="1758"/>
      <c r="B217" s="1416"/>
      <c r="C217" s="1758"/>
      <c r="D217" s="1758"/>
      <c r="E217" s="618">
        <v>33.75</v>
      </c>
      <c r="F217" s="50" cm="1" t="str">
        <f t="array" ref="F217:F217">OFFSET(E217,-1,1)</f>
        <v>3</v>
      </c>
      <c r="G217" s="426"/>
      <c r="H217" s="85"/>
      <c r="I217" s="426" t="s">
        <v>1193</v>
      </c>
      <c r="J217" s="1758"/>
      <c r="K217" s="124"/>
      <c r="L217" s="124"/>
      <c r="M217" s="124"/>
      <c r="N217" s="1758"/>
      <c r="O217" s="1758"/>
      <c r="P217" s="1758"/>
      <c r="Q217" s="1758"/>
      <c r="R217" s="1758"/>
      <c r="S217" s="1806"/>
      <c r="T217" s="465" cm="1" t="str">
        <f t="array" ref="T217:T217">T216</f>
        <v>true</v>
      </c>
      <c r="U217" s="1758"/>
      <c r="V217" s="1758"/>
      <c r="W217" s="1758"/>
      <c r="X217" s="1563"/>
      <c r="Y217" s="1758"/>
      <c r="Z217" s="1546"/>
      <c r="AA217" s="1758"/>
      <c r="AB217" s="299" t="s">
        <v>276</v>
      </c>
      <c r="AC217" s="452" t="s">
        <v>2292</v>
      </c>
      <c r="AD217" s="300" t="s">
        <v>2293</v>
      </c>
      <c r="AE217" s="766" t="s">
        <v>1514</v>
      </c>
      <c r="AF217" s="934">
        <f>AF218+AF219</f>
        <v>0</v>
      </c>
      <c r="AG217" s="934">
        <f>AG218+AG219</f>
        <v>0</v>
      </c>
      <c r="AH217" s="846"/>
      <c r="AI217" s="1758"/>
      <c r="AJ217" s="1758"/>
      <c r="AK217" s="1758"/>
      <c r="AL217" s="997" t="s">
        <v>2294</v>
      </c>
      <c r="AM217" s="1758"/>
      <c r="AN217" s="1758"/>
      <c r="AO217" s="1758"/>
      <c r="AP217" s="1758"/>
      <c r="AQ217" s="1758"/>
    </row>
    <row s="1834" customFormat="1" customHeight="1" ht="43.5">
      <c r="A218" s="1758"/>
      <c r="B218" s="1416"/>
      <c r="C218" s="1758"/>
      <c r="D218" s="1758"/>
      <c r="E218" s="618">
        <v>45</v>
      </c>
      <c r="F218" s="50" cm="1" t="str">
        <f t="array" ref="F218:F218">OFFSET(E218,-1,1)</f>
        <v>3</v>
      </c>
      <c r="G218" s="426"/>
      <c r="H218" s="85"/>
      <c r="I218" s="426" t="s">
        <v>2295</v>
      </c>
      <c r="J218" s="1758"/>
      <c r="K218" s="124"/>
      <c r="L218" s="124"/>
      <c r="M218" s="124"/>
      <c r="N218" s="1758"/>
      <c r="O218" s="1758"/>
      <c r="P218" s="1758"/>
      <c r="Q218" s="1758"/>
      <c r="R218" s="1758"/>
      <c r="S218" s="1806"/>
      <c r="T218" s="465" cm="1" t="str">
        <f t="array" ref="T218:T218">T217</f>
        <v>true</v>
      </c>
      <c r="U218" s="1758"/>
      <c r="V218" s="1758"/>
      <c r="W218" s="1758"/>
      <c r="X218" s="1563"/>
      <c r="Y218" s="1758"/>
      <c r="Z218" s="1546"/>
      <c r="AA218" s="1758"/>
      <c r="AB218" s="299" t="s">
        <v>1628</v>
      </c>
      <c r="AC218" s="762" t="s">
        <v>2296</v>
      </c>
      <c r="AD218" s="300" t="s">
        <v>2297</v>
      </c>
      <c r="AE218" s="766" t="s">
        <v>1514</v>
      </c>
      <c r="AF218" s="298"/>
      <c r="AG218" s="298"/>
      <c r="AH218" s="846"/>
      <c r="AI218" s="1758"/>
      <c r="AJ218" s="1758"/>
      <c r="AK218" s="1758"/>
      <c r="AL218" s="997" t="s">
        <v>2298</v>
      </c>
      <c r="AM218" s="1758"/>
      <c r="AN218" s="1758"/>
      <c r="AO218" s="1758"/>
      <c r="AP218" s="1758"/>
      <c r="AQ218" s="1758"/>
    </row>
    <row s="1834" customFormat="1" customHeight="1" ht="32.25">
      <c r="A219" s="1758"/>
      <c r="B219" s="1416"/>
      <c r="C219" s="1758"/>
      <c r="D219" s="1758"/>
      <c r="E219" s="618">
        <v>33.75</v>
      </c>
      <c r="F219" s="50" cm="1" t="str">
        <f t="array" ref="F219:F219">OFFSET(E219,-1,1)</f>
        <v>3</v>
      </c>
      <c r="G219" s="426"/>
      <c r="H219" s="85"/>
      <c r="I219" s="426" t="s">
        <v>2299</v>
      </c>
      <c r="J219" s="1758"/>
      <c r="K219" s="124"/>
      <c r="L219" s="124"/>
      <c r="M219" s="124"/>
      <c r="N219" s="1758"/>
      <c r="O219" s="1758"/>
      <c r="P219" s="1758"/>
      <c r="Q219" s="1758"/>
      <c r="R219" s="1758"/>
      <c r="S219" s="1806"/>
      <c r="T219" s="465" cm="1" t="str">
        <f t="array" ref="T219:T219">T218</f>
        <v>true</v>
      </c>
      <c r="U219" s="1758"/>
      <c r="V219" s="1758"/>
      <c r="W219" s="1758"/>
      <c r="X219" s="1563"/>
      <c r="Y219" s="1758"/>
      <c r="Z219" s="1546"/>
      <c r="AA219" s="1758"/>
      <c r="AB219" s="299" t="s">
        <v>1631</v>
      </c>
      <c r="AC219" s="762" t="s">
        <v>2300</v>
      </c>
      <c r="AD219" s="300" t="s">
        <v>2301</v>
      </c>
      <c r="AE219" s="766" t="s">
        <v>1514</v>
      </c>
      <c r="AF219" s="298"/>
      <c r="AG219" s="298"/>
      <c r="AH219" s="846"/>
      <c r="AI219" s="1758"/>
      <c r="AJ219" s="1758"/>
      <c r="AK219" s="1758"/>
      <c r="AL219" s="997" t="s">
        <v>2302</v>
      </c>
      <c r="AM219" s="1758"/>
      <c r="AN219" s="1758"/>
      <c r="AO219" s="1758"/>
      <c r="AP219" s="1758"/>
      <c r="AQ219" s="1758"/>
    </row>
    <row s="1834" customFormat="1" customHeight="1" ht="33.75">
      <c r="A220" s="1758"/>
      <c r="B220" s="1416"/>
      <c r="C220" s="1758"/>
      <c r="D220" s="1758"/>
      <c r="E220" s="618">
        <v>35</v>
      </c>
      <c r="F220" s="50" cm="1" t="str">
        <f t="array" ref="F220:F220">OFFSET(E220,-1,1)</f>
        <v>3</v>
      </c>
      <c r="G220" s="426"/>
      <c r="H220" s="85"/>
      <c r="I220" s="426" t="s">
        <v>334</v>
      </c>
      <c r="J220" s="1758"/>
      <c r="K220" s="124" t="str">
        <f>F220&amp;"1komm"</f>
        <v>31komm</v>
      </c>
      <c r="L220" s="919" cm="1" t="str">
        <f t="array" ref="L220:L220">AH220</f>
        <v>0</v>
      </c>
      <c r="M220" s="124"/>
      <c r="N220" s="1758"/>
      <c r="O220" s="1758"/>
      <c r="P220" s="1758"/>
      <c r="Q220" s="1758"/>
      <c r="R220" s="1758"/>
      <c r="S220" s="1806"/>
      <c r="T220" s="465" cm="1" t="str">
        <f t="array" ref="T220:T220">T219</f>
        <v>true</v>
      </c>
      <c r="U220" s="1758"/>
      <c r="V220" s="1758"/>
      <c r="W220" s="1758"/>
      <c r="X220" s="1563"/>
      <c r="Y220" s="1758"/>
      <c r="Z220" s="1546"/>
      <c r="AA220" s="1758"/>
      <c r="AB220" s="234" t="s">
        <v>2303</v>
      </c>
      <c r="AC220" s="212" t="s">
        <v>2304</v>
      </c>
      <c r="AD220" s="211" t="s">
        <v>2305</v>
      </c>
      <c r="AE220" s="234" t="s">
        <v>1514</v>
      </c>
      <c r="AF220" s="382"/>
      <c r="AG220" s="382"/>
      <c r="AH220" s="846"/>
      <c r="AI220" s="1758"/>
      <c r="AJ220" s="1758"/>
      <c r="AK220" s="1758"/>
      <c r="AL220" s="997" t="s">
        <v>2306</v>
      </c>
      <c r="AM220" s="1758"/>
      <c r="AN220" s="1758"/>
      <c r="AO220" s="1758"/>
      <c r="AP220" s="1758"/>
      <c r="AQ220" s="1758"/>
    </row>
    <row s="1834" customFormat="1" customHeight="1" ht="107.25">
      <c r="A221" s="1758"/>
      <c r="B221" s="1416"/>
      <c r="C221" s="1758"/>
      <c r="D221" s="1758"/>
      <c r="E221" s="618">
        <v>110</v>
      </c>
      <c r="F221" s="50" cm="1" t="str">
        <f t="array" ref="F221:F221">OFFSET(E221,-1,1)</f>
        <v>3</v>
      </c>
      <c r="G221" s="426"/>
      <c r="H221" s="85"/>
      <c r="I221" s="426" t="s">
        <v>336</v>
      </c>
      <c r="J221" s="1758"/>
      <c r="K221" s="124" t="str">
        <f>F221&amp;"2komm"</f>
        <v>32komm</v>
      </c>
      <c r="L221" s="919" cm="1" t="str">
        <f t="array" ref="L221:L221">AH221</f>
        <v>0</v>
      </c>
      <c r="M221" s="124"/>
      <c r="N221" s="1758"/>
      <c r="O221" s="1758"/>
      <c r="P221" s="1758"/>
      <c r="Q221" s="1758"/>
      <c r="R221" s="1758"/>
      <c r="S221" s="1806"/>
      <c r="T221" s="465" cm="1" t="str">
        <f t="array" ref="T221:T221">T220</f>
        <v>true</v>
      </c>
      <c r="U221" s="1758"/>
      <c r="V221" s="1758"/>
      <c r="W221" s="1758"/>
      <c r="X221" s="1563"/>
      <c r="Y221" s="1758"/>
      <c r="Z221" s="1546"/>
      <c r="AA221" s="1758"/>
      <c r="AB221" s="234" t="s">
        <v>2307</v>
      </c>
      <c r="AC221" s="212" t="s">
        <v>2308</v>
      </c>
      <c r="AD221" s="211" t="s">
        <v>2309</v>
      </c>
      <c r="AE221" s="234" t="s">
        <v>1514</v>
      </c>
      <c r="AF221" s="382"/>
      <c r="AG221" s="382"/>
      <c r="AH221" s="846"/>
      <c r="AI221" s="1758"/>
      <c r="AJ221" s="1758"/>
      <c r="AK221" s="1758"/>
      <c r="AL221" s="997" t="s">
        <v>1745</v>
      </c>
      <c r="AM221" s="1758"/>
      <c r="AN221" s="1758"/>
      <c r="AO221" s="1758"/>
      <c r="AP221" s="1758"/>
      <c r="AQ221" s="1758"/>
    </row>
    <row s="1834" customFormat="1" customHeight="1" ht="76.5">
      <c r="A222" s="1758"/>
      <c r="B222" s="428">
        <f>S180="Водоотведение"</f>
        <v>1</v>
      </c>
      <c r="C222" s="1758"/>
      <c r="D222" s="1758"/>
      <c r="E222" s="618">
        <v>78.75</v>
      </c>
      <c r="F222" s="50" cm="1" t="str">
        <f t="array" ref="F222:F222">OFFSET(E222,-1,1)</f>
        <v>3</v>
      </c>
      <c r="G222" s="1021"/>
      <c r="H222" s="49"/>
      <c r="I222" s="122" t="s">
        <v>335</v>
      </c>
      <c r="J222" s="1758"/>
      <c r="K222" s="124" t="str">
        <f>F222&amp;"3komm"</f>
        <v>33komm</v>
      </c>
      <c r="L222" s="919" cm="1" t="str">
        <f t="array" ref="L222:L222">AH222</f>
        <v>0</v>
      </c>
      <c r="M222" s="124"/>
      <c r="N222" s="1758"/>
      <c r="O222" s="1758"/>
      <c r="P222" s="1758"/>
      <c r="Q222" s="1758"/>
      <c r="R222" s="1758"/>
      <c r="S222" s="1806"/>
      <c r="T222" s="465" cm="1" t="str">
        <f t="array" ref="T222:T222">T221</f>
        <v>true</v>
      </c>
      <c r="U222" s="1758"/>
      <c r="V222" s="1758"/>
      <c r="W222" s="1758"/>
      <c r="X222" s="1563"/>
      <c r="Y222" s="1758"/>
      <c r="Z222" s="1546"/>
      <c r="AA222" s="1758"/>
      <c r="AB222" s="234" t="s">
        <v>2310</v>
      </c>
      <c r="AC222" s="212" t="s">
        <v>2311</v>
      </c>
      <c r="AD222" s="211"/>
      <c r="AE222" s="234" t="s">
        <v>1514</v>
      </c>
      <c r="AF222" s="382"/>
      <c r="AG222" s="225">
        <f>_xlfn.IFERROR(_xlfn.SUMIFS('Плата за негативное возд'!$AL$24:$AL$41,'Плата за негативное возд'!$F$24:$F$41,F222,'Плата за негативное возд'!$AB$24:$AB$41,"1"),0)</f>
        <v>0</v>
      </c>
      <c r="AH222" s="846"/>
      <c r="AI222" s="1758"/>
      <c r="AJ222" s="1758"/>
      <c r="AK222" s="1758"/>
      <c r="AL222" s="997" t="s">
        <v>2312</v>
      </c>
      <c r="AM222" s="1758"/>
      <c r="AN222" s="1758"/>
      <c r="AO222" s="1758"/>
      <c r="AP222" s="1758"/>
      <c r="AQ222" s="1758"/>
    </row>
    <row s="1834" customFormat="1" customHeight="1" ht="54.75">
      <c r="A223" s="1758"/>
      <c r="B223" s="428" cm="1" t="str">
        <f t="array" ref="B223:B223">B222</f>
        <v>true</v>
      </c>
      <c r="C223" s="1758"/>
      <c r="D223" s="1758"/>
      <c r="E223" s="618">
        <v>56.25</v>
      </c>
      <c r="F223" s="50" cm="1" t="str">
        <f t="array" ref="F223:F223">OFFSET(E223,-1,1)</f>
        <v>3</v>
      </c>
      <c r="G223" s="1021"/>
      <c r="H223" s="49"/>
      <c r="I223" s="122" t="s">
        <v>1225</v>
      </c>
      <c r="J223" s="1758"/>
      <c r="K223" s="124" t="str">
        <f>F223&amp;"4komm"</f>
        <v>34komm</v>
      </c>
      <c r="L223" s="919" cm="1" t="str">
        <f t="array" ref="L223:L223">AH223</f>
        <v>0</v>
      </c>
      <c r="M223" s="124"/>
      <c r="N223" s="1758"/>
      <c r="O223" s="1758"/>
      <c r="P223" s="1758"/>
      <c r="Q223" s="1758"/>
      <c r="R223" s="1758"/>
      <c r="S223" s="1806"/>
      <c r="T223" s="465" cm="1" t="str">
        <f t="array" ref="T223:T223">T222</f>
        <v>true</v>
      </c>
      <c r="U223" s="1758"/>
      <c r="V223" s="1758"/>
      <c r="W223" s="1758"/>
      <c r="X223" s="1563"/>
      <c r="Y223" s="1758"/>
      <c r="Z223" s="1546"/>
      <c r="AA223" s="1758"/>
      <c r="AB223" s="234" t="s">
        <v>2313</v>
      </c>
      <c r="AC223" s="212" t="s">
        <v>2314</v>
      </c>
      <c r="AD223" s="211"/>
      <c r="AE223" s="234" t="s">
        <v>1514</v>
      </c>
      <c r="AF223" s="382"/>
      <c r="AG223" s="225">
        <f>_xlfn.IFERROR(_xlfn.SUMIFS('Плата за негативное возд'!$AL$24:$AL$41,'Плата за негативное возд'!$F$24:$F$41,F223,'Плата за негативное возд'!$AB$24:$AB$41,"2"),0)</f>
        <v>0</v>
      </c>
      <c r="AH223" s="846"/>
      <c r="AI223" s="1758"/>
      <c r="AJ223" s="1758"/>
      <c r="AK223" s="1758"/>
      <c r="AL223" s="997" t="s">
        <v>2315</v>
      </c>
      <c r="AM223" s="1758"/>
      <c r="AN223" s="1758"/>
      <c r="AO223" s="1758"/>
      <c r="AP223" s="1758"/>
      <c r="AQ223" s="1758"/>
    </row>
    <row s="1834" customFormat="1" customHeight="1" ht="14.25">
      <c r="A224" s="1758"/>
      <c r="B224" s="1416"/>
      <c r="C224" s="1758"/>
      <c r="D224" s="1758"/>
      <c r="E224" s="618">
        <v>15</v>
      </c>
      <c r="F224" s="50" cm="1" t="str">
        <f t="array" ref="F224:F224">OFFSET(E224,-1,1)</f>
        <v>3</v>
      </c>
      <c r="G224" s="1021"/>
      <c r="H224" s="85"/>
      <c r="I224" s="122" t="s">
        <v>1228</v>
      </c>
      <c r="J224" s="1758"/>
      <c r="K224" s="124" t="str">
        <f>F224&amp;"5komm"</f>
        <v>35komm</v>
      </c>
      <c r="L224" s="919" cm="1" t="str">
        <f t="array" ref="L224:L224">AH224</f>
        <v>0</v>
      </c>
      <c r="M224" s="124"/>
      <c r="N224" s="1758"/>
      <c r="O224" s="1758"/>
      <c r="P224" s="1758"/>
      <c r="Q224" s="1758"/>
      <c r="R224" s="1758"/>
      <c r="S224" s="1806"/>
      <c r="T224" s="465" cm="1" t="str">
        <f t="array" ref="T224:T224">T223</f>
        <v>true</v>
      </c>
      <c r="U224" s="1758"/>
      <c r="V224" s="1758"/>
      <c r="W224" s="1758"/>
      <c r="X224" s="1563"/>
      <c r="Y224" s="1758"/>
      <c r="Z224" s="1546"/>
      <c r="AA224" s="1758"/>
      <c r="AB224" s="234" t="str">
        <f>IF(B223,"VII","V")</f>
        <v>VII</v>
      </c>
      <c r="AC224" s="212" t="s">
        <v>2316</v>
      </c>
      <c r="AD224" s="211"/>
      <c r="AE224" s="234" t="s">
        <v>1514</v>
      </c>
      <c r="AF224" s="382"/>
      <c r="AG224" s="382"/>
      <c r="AH224" s="846"/>
      <c r="AI224" s="1758"/>
      <c r="AJ224" s="1758"/>
      <c r="AK224" s="1758"/>
      <c r="AL224" s="997" t="s">
        <v>2317</v>
      </c>
      <c r="AM224" s="1758"/>
      <c r="AN224" s="1758"/>
      <c r="AO224" s="1758"/>
      <c r="AP224" s="1758"/>
      <c r="AQ224" s="1758"/>
    </row>
    <row s="1469" customFormat="1" customHeight="1" ht="14.25">
      <c r="A225" s="698"/>
      <c r="B225" s="431"/>
      <c r="C225" s="698"/>
      <c r="D225" s="698"/>
      <c r="E225" s="691">
        <v>15</v>
      </c>
      <c r="F225" s="50" cm="1" t="str">
        <f t="array" ref="F225:F225">OFFSET(E225,-1,1)</f>
        <v>3</v>
      </c>
      <c r="G225" s="497"/>
      <c r="H225" s="698"/>
      <c r="I225" s="241" t="s">
        <v>1275</v>
      </c>
      <c r="J225" s="698"/>
      <c r="K225" s="124" t="str">
        <f>F225&amp;"6komm"</f>
        <v>36komm</v>
      </c>
      <c r="L225" s="919" cm="1" t="str">
        <f t="array" ref="L225:L225">AH225</f>
        <v>0</v>
      </c>
      <c r="M225" s="497"/>
      <c r="N225" s="698"/>
      <c r="O225" s="698"/>
      <c r="P225" s="698"/>
      <c r="Q225" s="698"/>
      <c r="R225" s="698"/>
      <c r="S225" s="698"/>
      <c r="T225" s="465" cm="1" t="str">
        <f t="array" ref="T225:T225">T224</f>
        <v>true</v>
      </c>
      <c r="U225" s="698"/>
      <c r="V225" s="698"/>
      <c r="W225" s="698"/>
      <c r="X225" s="1563"/>
      <c r="Y225" s="698"/>
      <c r="Z225" s="1546"/>
      <c r="AA225" s="698"/>
      <c r="AB225" s="234" t="str">
        <f>IF(B223,"VIII","VI")</f>
        <v>VIII</v>
      </c>
      <c r="AC225" s="212" t="s">
        <v>2278</v>
      </c>
      <c r="AD225" s="211"/>
      <c r="AE225" s="234" t="s">
        <v>1514</v>
      </c>
      <c r="AF225" s="382">
        <f>AF226+AF227</f>
        <v>0</v>
      </c>
      <c r="AG225" s="382">
        <f>AG226+AG227</f>
        <v>0</v>
      </c>
      <c r="AH225" s="846"/>
      <c r="AI225" s="698"/>
      <c r="AJ225" s="698"/>
      <c r="AK225" s="698"/>
      <c r="AL225" s="1051" t="s">
        <v>2318</v>
      </c>
      <c r="AM225" s="698"/>
      <c r="AN225" s="698"/>
      <c r="AO225" s="698"/>
      <c r="AP225" s="698"/>
      <c r="AQ225" s="698"/>
    </row>
    <row s="1834" customFormat="1" customHeight="1" ht="21.75">
      <c r="A226" s="1758"/>
      <c r="B226" s="1416"/>
      <c r="C226" s="1758"/>
      <c r="D226" s="1758"/>
      <c r="E226" s="618">
        <v>22.5</v>
      </c>
      <c r="F226" s="50" cm="1" t="str">
        <f t="array" ref="F226:F226">OFFSET(E226,-1,1)</f>
        <v>3</v>
      </c>
      <c r="G226" s="1021"/>
      <c r="H226" s="85"/>
      <c r="I226" s="122" t="s">
        <v>1278</v>
      </c>
      <c r="J226" s="1758"/>
      <c r="K226" s="124" t="str">
        <f>F226&amp;"7komm"</f>
        <v>37komm</v>
      </c>
      <c r="L226" s="919" cm="1" t="str">
        <f t="array" ref="L226:L226">AH226</f>
        <v>0</v>
      </c>
      <c r="M226" s="124"/>
      <c r="N226" s="1758"/>
      <c r="O226" s="1758"/>
      <c r="P226" s="1758"/>
      <c r="Q226" s="1758"/>
      <c r="R226" s="1758"/>
      <c r="S226" s="1806"/>
      <c r="T226" s="465" cm="1" t="str">
        <f t="array" ref="T226:T226">T225</f>
        <v>true</v>
      </c>
      <c r="U226" s="1758"/>
      <c r="V226" s="1758"/>
      <c r="W226" s="1758"/>
      <c r="X226" s="1563"/>
      <c r="Y226" s="1758"/>
      <c r="Z226" s="1546"/>
      <c r="AA226" s="1758"/>
      <c r="AB226" s="766">
        <v>1</v>
      </c>
      <c r="AC226" s="762" t="s">
        <v>2281</v>
      </c>
      <c r="AD226" s="300"/>
      <c r="AE226" s="766" t="s">
        <v>1514</v>
      </c>
      <c r="AF226" s="298"/>
      <c r="AG226" s="298"/>
      <c r="AH226" s="846"/>
      <c r="AI226" s="1758"/>
      <c r="AJ226" s="1758"/>
      <c r="AK226" s="1758"/>
      <c r="AL226" s="997" t="s">
        <v>2319</v>
      </c>
      <c r="AM226" s="1758"/>
      <c r="AN226" s="1758"/>
      <c r="AO226" s="1758"/>
      <c r="AP226" s="1758"/>
      <c r="AQ226" s="1758"/>
    </row>
    <row s="1834" customFormat="1" customHeight="1" ht="21.75">
      <c r="A227" s="1758"/>
      <c r="B227" s="1416"/>
      <c r="C227" s="1758"/>
      <c r="D227" s="1758"/>
      <c r="E227" s="618">
        <v>22.5</v>
      </c>
      <c r="F227" s="50" cm="1" t="str">
        <f t="array" ref="F227:F227">OFFSET(E227,-1,1)</f>
        <v>3</v>
      </c>
      <c r="G227" s="1021"/>
      <c r="H227" s="85"/>
      <c r="I227" s="122" t="s">
        <v>1282</v>
      </c>
      <c r="J227" s="1758"/>
      <c r="K227" s="124" t="str">
        <f>F227&amp;"8komm"</f>
        <v>38komm</v>
      </c>
      <c r="L227" s="919" cm="1" t="str">
        <f t="array" ref="L227:L227">AH227</f>
        <v>0</v>
      </c>
      <c r="M227" s="124"/>
      <c r="N227" s="1758"/>
      <c r="O227" s="1758"/>
      <c r="P227" s="1758"/>
      <c r="Q227" s="1758"/>
      <c r="R227" s="1758"/>
      <c r="S227" s="1806"/>
      <c r="T227" s="465" cm="1" t="str">
        <f t="array" ref="T227:T227">T226</f>
        <v>true</v>
      </c>
      <c r="U227" s="1758"/>
      <c r="V227" s="1758"/>
      <c r="W227" s="1758"/>
      <c r="X227" s="1563"/>
      <c r="Y227" s="1758"/>
      <c r="Z227" s="1546"/>
      <c r="AA227" s="1758"/>
      <c r="AB227" s="766">
        <v>2</v>
      </c>
      <c r="AC227" s="762" t="s">
        <v>2283</v>
      </c>
      <c r="AD227" s="300"/>
      <c r="AE227" s="766" t="s">
        <v>1514</v>
      </c>
      <c r="AF227" s="298"/>
      <c r="AG227" s="298"/>
      <c r="AH227" s="846"/>
      <c r="AI227" s="1758"/>
      <c r="AJ227" s="1758"/>
      <c r="AK227" s="1758"/>
      <c r="AL227" s="997" t="s">
        <v>2320</v>
      </c>
      <c r="AM227" s="1758"/>
      <c r="AN227" s="1758"/>
      <c r="AO227" s="1758"/>
      <c r="AP227" s="1758"/>
      <c r="AQ227" s="1758"/>
    </row>
    <row s="1834" customFormat="1" customHeight="1" ht="14.25">
      <c r="A228" s="1758"/>
      <c r="B228" s="1416"/>
      <c r="C228" s="1758"/>
      <c r="D228" s="1758"/>
      <c r="E228" s="618">
        <v>15</v>
      </c>
      <c r="F228" s="50" cm="1" t="str">
        <f t="array" ref="F228:F228">OFFSET(E228,-1,1)</f>
        <v>3</v>
      </c>
      <c r="G228" s="1021"/>
      <c r="H228" s="85"/>
      <c r="I228" s="122" t="s">
        <v>1290</v>
      </c>
      <c r="J228" s="1758"/>
      <c r="K228" s="124" t="str">
        <f>F228&amp;"9komm"</f>
        <v>39komm</v>
      </c>
      <c r="L228" s="919" cm="1" t="str">
        <f t="array" ref="L228:L228">AH228</f>
        <v>0</v>
      </c>
      <c r="M228" s="124"/>
      <c r="N228" s="1758"/>
      <c r="O228" s="1758"/>
      <c r="P228" s="1758"/>
      <c r="Q228" s="1758"/>
      <c r="R228" s="1758"/>
      <c r="S228" s="1806"/>
      <c r="T228" s="465" cm="1" t="str">
        <f t="array" ref="T228:T228">T227</f>
        <v>true</v>
      </c>
      <c r="U228" s="1758"/>
      <c r="V228" s="1758"/>
      <c r="W228" s="1758"/>
      <c r="X228" s="1563"/>
      <c r="Y228" s="1758"/>
      <c r="Z228" s="1546"/>
      <c r="AA228" s="1758"/>
      <c r="AB228" s="234" t="str">
        <f>IF(B223,"IX","VIII")</f>
        <v>IX</v>
      </c>
      <c r="AC228" s="212" t="s">
        <v>2285</v>
      </c>
      <c r="AD228" s="211"/>
      <c r="AE228" s="234" t="s">
        <v>1514</v>
      </c>
      <c r="AF228" s="382"/>
      <c r="AG228" s="382"/>
      <c r="AH228" s="846"/>
      <c r="AI228" s="1758"/>
      <c r="AJ228" s="1758"/>
      <c r="AK228" s="1758"/>
      <c r="AL228" s="997" t="s">
        <v>2321</v>
      </c>
      <c r="AM228" s="1758"/>
      <c r="AN228" s="1758"/>
      <c r="AO228" s="1758"/>
      <c r="AP228" s="1758"/>
      <c r="AQ228" s="1758"/>
    </row>
    <row s="1834" customFormat="1" customHeight="1" ht="14.25">
      <c r="A229" s="1758"/>
      <c r="B229" s="1416"/>
      <c r="C229" s="1758"/>
      <c r="D229" s="1758"/>
      <c r="E229" s="618">
        <v>15</v>
      </c>
      <c r="F229" s="50" cm="1" t="str">
        <f t="array" ref="F229:F229">OFFSET(E229,-1,1)</f>
        <v>3</v>
      </c>
      <c r="G229" s="1021"/>
      <c r="H229" s="85"/>
      <c r="I229" s="122" t="s">
        <v>1297</v>
      </c>
      <c r="J229" s="1758"/>
      <c r="K229" s="124" t="str">
        <f>F229&amp;"10komm"</f>
        <v>310komm</v>
      </c>
      <c r="L229" s="919" cm="1" t="str">
        <f t="array" ref="L229:L229">AH229</f>
        <v>0</v>
      </c>
      <c r="M229" s="124"/>
      <c r="N229" s="1758"/>
      <c r="O229" s="1758"/>
      <c r="P229" s="1758"/>
      <c r="Q229" s="1758"/>
      <c r="R229" s="1758"/>
      <c r="S229" s="1806"/>
      <c r="T229" s="465" cm="1" t="str">
        <f t="array" ref="T229:T229">T228</f>
        <v>true</v>
      </c>
      <c r="U229" s="1758"/>
      <c r="V229" s="1758"/>
      <c r="W229" s="1758"/>
      <c r="X229" s="1563"/>
      <c r="Y229" s="1758"/>
      <c r="Z229" s="1546"/>
      <c r="AA229" s="1758"/>
      <c r="AB229" s="234" t="str">
        <f>IF(B223,"X","IX")</f>
        <v>X</v>
      </c>
      <c r="AC229" s="212" t="s">
        <v>2287</v>
      </c>
      <c r="AD229" s="211"/>
      <c r="AE229" s="234" t="s">
        <v>1514</v>
      </c>
      <c r="AF229" s="382"/>
      <c r="AG229" s="382"/>
      <c r="AH229" s="846"/>
      <c r="AI229" s="1758"/>
      <c r="AJ229" s="1758"/>
      <c r="AK229" s="1758"/>
      <c r="AL229" s="997" t="s">
        <v>2322</v>
      </c>
      <c r="AM229" s="1758"/>
      <c r="AN229" s="1758"/>
      <c r="AO229" s="1758"/>
      <c r="AP229" s="1758"/>
      <c r="AQ229" s="1758"/>
    </row>
    <row s="1469" customFormat="1" customHeight="1" ht="14.25">
      <c r="A230" s="698"/>
      <c r="B230" s="431"/>
      <c r="C230" s="698"/>
      <c r="D230" s="698"/>
      <c r="E230" s="691">
        <v>15</v>
      </c>
      <c r="F230" s="50" cm="1" t="str">
        <f t="array" ref="F230:F230">OFFSET(E230,-1,1)</f>
        <v>3</v>
      </c>
      <c r="G230" s="497"/>
      <c r="H230" s="698"/>
      <c r="I230" s="241" t="s">
        <v>1454</v>
      </c>
      <c r="J230" s="698"/>
      <c r="K230" s="124" t="str">
        <f>F230&amp;"11komm"</f>
        <v>311komm</v>
      </c>
      <c r="L230" s="919" cm="1" t="str">
        <f t="array" ref="L230:L230">AH230</f>
        <v>0</v>
      </c>
      <c r="M230" s="497"/>
      <c r="N230" s="698"/>
      <c r="O230" s="698"/>
      <c r="P230" s="698"/>
      <c r="Q230" s="698"/>
      <c r="R230" s="698"/>
      <c r="S230" s="698"/>
      <c r="T230" s="465" cm="1" t="str">
        <f t="array" ref="T230:T230">T229</f>
        <v>true</v>
      </c>
      <c r="U230" s="698"/>
      <c r="V230" s="698"/>
      <c r="W230" s="698"/>
      <c r="X230" s="1563"/>
      <c r="Y230" s="698"/>
      <c r="Z230" s="1546"/>
      <c r="AA230" s="698"/>
      <c r="AB230" s="234" t="str">
        <f>IF(B223,"XI","X")</f>
        <v>XI</v>
      </c>
      <c r="AC230" s="219" t="s">
        <v>2323</v>
      </c>
      <c r="AD230" s="211"/>
      <c r="AE230" s="234" t="s">
        <v>1514</v>
      </c>
      <c r="AF230" s="937">
        <f>AF181+AF216+AF220+AF221+AF222+AF223+AF224+AF225+AF228+AF229</f>
        <v>0</v>
      </c>
      <c r="AG230" s="937">
        <f>AG181+AG216+AG220+AG221+AG222+AG223+AG224+AG225+AG228+AG229</f>
        <v>0</v>
      </c>
      <c r="AH230" s="846"/>
      <c r="AI230" s="698"/>
      <c r="AJ230" s="698"/>
      <c r="AK230" s="698"/>
      <c r="AL230" s="1051" t="s">
        <v>2324</v>
      </c>
      <c r="AM230" s="698"/>
      <c r="AN230" s="698"/>
      <c r="AO230" s="698"/>
      <c r="AP230" s="698"/>
      <c r="AQ230" s="698"/>
    </row>
    <row s="1834" customFormat="1" customHeight="1" ht="14.25">
      <c r="A231" s="1758"/>
      <c r="B231" s="1416"/>
      <c r="C231" s="1758"/>
      <c r="D231" s="1758"/>
      <c r="E231" s="618">
        <v>15</v>
      </c>
      <c r="F231" s="98" cm="1" t="str">
        <f t="array" ref="F231:F231">X231</f>
        <v>4</v>
      </c>
      <c r="G231" s="493"/>
      <c r="H231" s="85"/>
      <c r="I231" s="1758"/>
      <c r="J231" s="1758"/>
      <c r="K231" s="1758"/>
      <c r="L231" s="1758"/>
      <c r="M231" s="1758"/>
      <c r="N231" s="1758"/>
      <c r="O231" s="1758"/>
      <c r="P231" s="1758"/>
      <c r="Q231" s="1758"/>
      <c r="R231" s="1758"/>
      <c r="S231" s="1172" cm="1" t="str">
        <f t="array" ref="S231:S231">INDEX('Общие сведения'!$AE$179:$AE$250,MATCH($X231,'Общие сведения'!$Z$179:$Z$250,0))</f>
        <v>Водоотведение</v>
      </c>
      <c r="T231" s="465">
        <f>X231&gt;0</f>
        <v>1</v>
      </c>
      <c r="U231" s="1758"/>
      <c r="V231" s="122" cm="1" t="str">
        <f t="array" ref="V231:V231">'Плата за негативное возд'!$AB$38</f>
        <v>Тариф 4 (Водоотведение) - тариф на водоотведение (Доп. признак не требуется)</v>
      </c>
      <c r="W231" s="1758"/>
      <c r="X231" s="1563" t="s">
        <v>295</v>
      </c>
      <c r="Y231" s="1758"/>
      <c r="Z231" s="1546"/>
      <c r="AA231" s="1758"/>
      <c r="AB231" s="381" cm="1" t="str">
        <f t="array" ref="AB231:AB231">'Плата за негативное возд'!$AB$38</f>
        <v>Тариф 4 (Водоотведение) - тариф на водоотведение (Доп. признак не требуется)</v>
      </c>
      <c r="AC231" s="381"/>
      <c r="AD231" s="381"/>
      <c r="AE231" s="381"/>
      <c r="AF231" s="381"/>
      <c r="AG231" s="381"/>
      <c r="AH231" s="381"/>
      <c r="AI231" s="1758"/>
      <c r="AJ231" s="1758"/>
      <c r="AK231" s="1758"/>
      <c r="AL231" s="1764"/>
      <c r="AM231" s="1758"/>
      <c r="AN231" s="1758"/>
      <c r="AO231" s="1758"/>
      <c r="AP231" s="1758"/>
      <c r="AQ231" s="1758"/>
    </row>
    <row s="1469" customFormat="1" customHeight="1" ht="43.5">
      <c r="A232" s="698"/>
      <c r="B232" s="431"/>
      <c r="C232" s="698"/>
      <c r="D232" s="698"/>
      <c r="E232" s="691">
        <v>45</v>
      </c>
      <c r="F232" s="50" cm="1" t="str">
        <f t="array" ref="F232:F232">OFFSET(E232,-1,1)</f>
        <v>4</v>
      </c>
      <c r="G232" s="497"/>
      <c r="H232" s="698"/>
      <c r="I232" s="122" t="s">
        <v>332</v>
      </c>
      <c r="J232" s="698"/>
      <c r="K232" s="124"/>
      <c r="L232" s="924"/>
      <c r="M232" s="497"/>
      <c r="N232" s="698"/>
      <c r="O232" s="698"/>
      <c r="P232" s="698"/>
      <c r="Q232" s="698"/>
      <c r="R232" s="698"/>
      <c r="S232" s="698"/>
      <c r="T232" s="465" cm="1" t="str">
        <f t="array" ref="T232:T232">T231</f>
        <v>true</v>
      </c>
      <c r="U232" s="698"/>
      <c r="V232" s="698"/>
      <c r="W232" s="698"/>
      <c r="X232" s="1563"/>
      <c r="Y232" s="698"/>
      <c r="Z232" s="1546"/>
      <c r="AA232" s="698"/>
      <c r="AB232" s="841" t="s">
        <v>2150</v>
      </c>
      <c r="AC232" s="842" t="s">
        <v>2151</v>
      </c>
      <c r="AD232" s="841" t="s">
        <v>2152</v>
      </c>
      <c r="AE232" s="843" t="s">
        <v>1514</v>
      </c>
      <c r="AF232" s="844">
        <f>AF234-AF233</f>
        <v>0</v>
      </c>
      <c r="AG232" s="844">
        <f>AG234-AG233</f>
        <v>0</v>
      </c>
      <c r="AH232" s="845"/>
      <c r="AI232" s="698"/>
      <c r="AJ232" s="698"/>
      <c r="AK232" s="698"/>
      <c r="AL232" s="1051" t="s">
        <v>2153</v>
      </c>
      <c r="AM232" s="698"/>
      <c r="AN232" s="698"/>
      <c r="AO232" s="698"/>
      <c r="AP232" s="698"/>
      <c r="AQ232" s="698"/>
    </row>
    <row s="1469" customFormat="1" customHeight="1" ht="14.25">
      <c r="A233" s="698"/>
      <c r="B233" s="431"/>
      <c r="C233" s="698"/>
      <c r="D233" s="698"/>
      <c r="E233" s="691">
        <v>15</v>
      </c>
      <c r="F233" s="50" cm="1" t="str">
        <f t="array" ref="F233:F233">OFFSET(E233,-1,1)</f>
        <v>4</v>
      </c>
      <c r="G233" s="497"/>
      <c r="H233" s="698"/>
      <c r="I233" s="122" t="s">
        <v>1175</v>
      </c>
      <c r="J233" s="698"/>
      <c r="K233" s="497"/>
      <c r="L233" s="497"/>
      <c r="M233" s="497"/>
      <c r="N233" s="698"/>
      <c r="O233" s="698"/>
      <c r="P233" s="698"/>
      <c r="Q233" s="698"/>
      <c r="R233" s="698"/>
      <c r="S233" s="698"/>
      <c r="T233" s="465" cm="1" t="str">
        <f t="array" ref="T233:T233">T232</f>
        <v>true</v>
      </c>
      <c r="U233" s="698"/>
      <c r="V233" s="698"/>
      <c r="W233" s="698"/>
      <c r="X233" s="1563"/>
      <c r="Y233" s="698"/>
      <c r="Z233" s="1546"/>
      <c r="AA233" s="698"/>
      <c r="AB233" s="218" t="s">
        <v>276</v>
      </c>
      <c r="AC233" s="219" t="s">
        <v>2154</v>
      </c>
      <c r="AD233" s="211" t="s">
        <v>2155</v>
      </c>
      <c r="AE233" s="234" t="s">
        <v>1514</v>
      </c>
      <c r="AF233" s="382"/>
      <c r="AG233" s="382"/>
      <c r="AH233" s="845"/>
      <c r="AI233" s="698"/>
      <c r="AJ233" s="698"/>
      <c r="AK233" s="698"/>
      <c r="AL233" s="1051" t="s">
        <v>2156</v>
      </c>
      <c r="AM233" s="698"/>
      <c r="AN233" s="698"/>
      <c r="AO233" s="698"/>
      <c r="AP233" s="698"/>
      <c r="AQ233" s="698"/>
    </row>
    <row s="1469" customFormat="1" customHeight="1" ht="14.25">
      <c r="A234" s="698"/>
      <c r="B234" s="431"/>
      <c r="C234" s="698"/>
      <c r="D234" s="698"/>
      <c r="E234" s="691">
        <v>15</v>
      </c>
      <c r="F234" s="50" cm="1" t="str">
        <f t="array" ref="F234:F234">OFFSET(E234,-1,1)</f>
        <v>4</v>
      </c>
      <c r="G234" s="147"/>
      <c r="H234" s="147"/>
      <c r="I234" s="426" t="s">
        <v>1179</v>
      </c>
      <c r="J234" s="698"/>
      <c r="K234" s="497"/>
      <c r="L234" s="497"/>
      <c r="M234" s="497"/>
      <c r="N234" s="698"/>
      <c r="O234" s="698"/>
      <c r="P234" s="698"/>
      <c r="Q234" s="698"/>
      <c r="R234" s="698"/>
      <c r="S234" s="698"/>
      <c r="T234" s="465" cm="1" t="str">
        <f t="array" ref="T234:T234">T233</f>
        <v>true</v>
      </c>
      <c r="U234" s="698"/>
      <c r="V234" s="698"/>
      <c r="W234" s="698"/>
      <c r="X234" s="1563"/>
      <c r="Y234" s="698"/>
      <c r="Z234" s="1546"/>
      <c r="AA234" s="698"/>
      <c r="AB234" s="218" t="s">
        <v>285</v>
      </c>
      <c r="AC234" s="212" t="s">
        <v>2157</v>
      </c>
      <c r="AD234" s="211" t="s">
        <v>2158</v>
      </c>
      <c r="AE234" s="234" t="s">
        <v>1514</v>
      </c>
      <c r="AF234" s="844">
        <f>AF235+AF236+AF248+AF252+AF253+AF254+AF255+AF259+AF260+AF261+AF262+AF265+AF266</f>
        <v>0</v>
      </c>
      <c r="AG234" s="844">
        <f>AG235+AG236+AG248+AG252+AG253+AG254+AG255+AG259+AG260+AG261+AG262+AG265+AG266</f>
        <v>0</v>
      </c>
      <c r="AH234" s="845"/>
      <c r="AI234" s="698"/>
      <c r="AJ234" s="698"/>
      <c r="AK234" s="698"/>
      <c r="AL234" s="1051" t="s">
        <v>2159</v>
      </c>
      <c r="AM234" s="698"/>
      <c r="AN234" s="698"/>
      <c r="AO234" s="698"/>
      <c r="AP234" s="698"/>
      <c r="AQ234" s="698"/>
    </row>
    <row s="1834" customFormat="1" customHeight="1" ht="21.75">
      <c r="A235" s="1758"/>
      <c r="B235" s="1416"/>
      <c r="C235" s="1758"/>
      <c r="D235" s="1758"/>
      <c r="E235" s="618">
        <v>22.5</v>
      </c>
      <c r="F235" s="50" cm="1" t="str">
        <f t="array" ref="F235:F235">OFFSET(E235,-1,1)</f>
        <v>4</v>
      </c>
      <c r="G235" s="426" t="s">
        <v>2160</v>
      </c>
      <c r="H235" s="85"/>
      <c r="I235" s="426" t="s">
        <v>2068</v>
      </c>
      <c r="J235" s="1758"/>
      <c r="K235" s="124"/>
      <c r="L235" s="124"/>
      <c r="M235" s="124"/>
      <c r="N235" s="1758"/>
      <c r="O235" s="1758"/>
      <c r="P235" s="1758"/>
      <c r="Q235" s="1758"/>
      <c r="R235" s="1758"/>
      <c r="S235" s="1806"/>
      <c r="T235" s="465" cm="1" t="str">
        <f t="array" ref="T235:T235">T234</f>
        <v>true</v>
      </c>
      <c r="U235" s="1758"/>
      <c r="V235" s="1758"/>
      <c r="W235" s="1758"/>
      <c r="X235" s="1563"/>
      <c r="Y235" s="1758"/>
      <c r="Z235" s="1546"/>
      <c r="AA235" s="1758"/>
      <c r="AB235" s="299" t="s">
        <v>1250</v>
      </c>
      <c r="AC235" s="762" t="s">
        <v>2161</v>
      </c>
      <c r="AD235" s="300" t="s">
        <v>2162</v>
      </c>
      <c r="AE235" s="766" t="s">
        <v>1514</v>
      </c>
      <c r="AF235" s="298"/>
      <c r="AG235" s="298"/>
      <c r="AH235" s="846"/>
      <c r="AI235" s="1758"/>
      <c r="AJ235" s="1758"/>
      <c r="AK235" s="1758"/>
      <c r="AL235" s="997" t="s">
        <v>2163</v>
      </c>
      <c r="AM235" s="1758"/>
      <c r="AN235" s="1758"/>
      <c r="AO235" s="1758"/>
      <c r="AP235" s="1758"/>
      <c r="AQ235" s="1758"/>
    </row>
    <row s="1834" customFormat="1" customHeight="1" ht="21.75">
      <c r="A236" s="1758"/>
      <c r="B236" s="1416"/>
      <c r="C236" s="1758"/>
      <c r="D236" s="1758"/>
      <c r="E236" s="618">
        <v>22.5</v>
      </c>
      <c r="F236" s="50" cm="1" t="str">
        <f t="array" ref="F236:F236">OFFSET(E236,-1,1)</f>
        <v>4</v>
      </c>
      <c r="G236" s="426"/>
      <c r="H236" s="85"/>
      <c r="I236" s="426" t="s">
        <v>2071</v>
      </c>
      <c r="J236" s="1758"/>
      <c r="K236" s="124"/>
      <c r="L236" s="124"/>
      <c r="M236" s="124"/>
      <c r="N236" s="1758"/>
      <c r="O236" s="1758"/>
      <c r="P236" s="1758"/>
      <c r="Q236" s="1758"/>
      <c r="R236" s="1758"/>
      <c r="S236" s="1806"/>
      <c r="T236" s="465" cm="1" t="str">
        <f t="array" ref="T236:T236">T235</f>
        <v>true</v>
      </c>
      <c r="U236" s="1758"/>
      <c r="V236" s="1758"/>
      <c r="W236" s="1758"/>
      <c r="X236" s="1563"/>
      <c r="Y236" s="1758"/>
      <c r="Z236" s="1546"/>
      <c r="AA236" s="1758"/>
      <c r="AB236" s="299" t="s">
        <v>1254</v>
      </c>
      <c r="AC236" s="762" t="s">
        <v>2164</v>
      </c>
      <c r="AD236" s="300" t="s">
        <v>2165</v>
      </c>
      <c r="AE236" s="766" t="s">
        <v>1514</v>
      </c>
      <c r="AF236" s="934">
        <f>SUM(AF237:AF247)</f>
        <v>0</v>
      </c>
      <c r="AG236" s="934">
        <f>SUM(AG237:AG247)</f>
        <v>0</v>
      </c>
      <c r="AH236" s="846"/>
      <c r="AI236" s="1758"/>
      <c r="AJ236" s="1758"/>
      <c r="AK236" s="1758"/>
      <c r="AL236" s="997" t="s">
        <v>2166</v>
      </c>
      <c r="AM236" s="1758"/>
      <c r="AN236" s="1758"/>
      <c r="AO236" s="1758"/>
      <c r="AP236" s="1758"/>
      <c r="AQ236" s="1758"/>
    </row>
    <row s="1834" customFormat="1" customHeight="1" ht="21.75">
      <c r="A237" s="1758"/>
      <c r="B237" s="1416"/>
      <c r="C237" s="1758"/>
      <c r="D237" s="1758"/>
      <c r="E237" s="618">
        <v>22.5</v>
      </c>
      <c r="F237" s="50" cm="1" t="str">
        <f t="array" ref="F237:F237">OFFSET(E237,-1,1)</f>
        <v>4</v>
      </c>
      <c r="G237" s="426"/>
      <c r="H237" s="85"/>
      <c r="I237" s="426" t="s">
        <v>2167</v>
      </c>
      <c r="J237" s="1758"/>
      <c r="K237" s="124"/>
      <c r="L237" s="124"/>
      <c r="M237" s="124"/>
      <c r="N237" s="1758"/>
      <c r="O237" s="1758"/>
      <c r="P237" s="1758"/>
      <c r="Q237" s="1758"/>
      <c r="R237" s="1758"/>
      <c r="S237" s="1806"/>
      <c r="T237" s="465" cm="1" t="str">
        <f t="array" ref="T237:T237">T236</f>
        <v>true</v>
      </c>
      <c r="U237" s="1758"/>
      <c r="V237" s="1758"/>
      <c r="W237" s="1758"/>
      <c r="X237" s="1563"/>
      <c r="Y237" s="1758"/>
      <c r="Z237" s="1546"/>
      <c r="AA237" s="1758"/>
      <c r="AB237" s="784" t="s">
        <v>1207</v>
      </c>
      <c r="AC237" s="781" t="s">
        <v>2168</v>
      </c>
      <c r="AD237" s="766"/>
      <c r="AE237" s="766" t="s">
        <v>1514</v>
      </c>
      <c r="AF237" s="298">
        <f>_xlfn.SUMIFS(Покупка!$AF$25:$AF$372,Покупка!$F$25:$F$372,$F237,Покупка!$I$25:$I$372,"Итого_пок_усл")</f>
        <v>0</v>
      </c>
      <c r="AG237" s="298">
        <f>_xlfn.SUMIFS(Покупка!$AG$25:$AG$372,Покупка!$F$25:$F$372,$F237,Покупка!$I$25:$I$372,"Итого_пок_усл")</f>
        <v>0</v>
      </c>
      <c r="AH237" s="846"/>
      <c r="AI237" s="1758"/>
      <c r="AJ237" s="1758"/>
      <c r="AK237" s="1758"/>
      <c r="AL237" s="997" t="s">
        <v>2169</v>
      </c>
      <c r="AM237" s="1758"/>
      <c r="AN237" s="1758"/>
      <c r="AO237" s="1758"/>
      <c r="AP237" s="1758"/>
      <c r="AQ237" s="1758"/>
    </row>
    <row s="1834" customFormat="1" customHeight="1" ht="14.25">
      <c r="A238" s="1758"/>
      <c r="B238" s="1416"/>
      <c r="C238" s="1758"/>
      <c r="D238" s="1758"/>
      <c r="E238" s="618">
        <v>15</v>
      </c>
      <c r="F238" s="50" cm="1" t="str">
        <f t="array" ref="F238:F238">OFFSET(E238,-1,1)</f>
        <v>4</v>
      </c>
      <c r="G238" s="426"/>
      <c r="H238" s="85"/>
      <c r="I238" s="426" t="s">
        <v>2170</v>
      </c>
      <c r="J238" s="1758"/>
      <c r="K238" s="124"/>
      <c r="L238" s="124"/>
      <c r="M238" s="124"/>
      <c r="N238" s="1758"/>
      <c r="O238" s="1758"/>
      <c r="P238" s="1758"/>
      <c r="Q238" s="1758"/>
      <c r="R238" s="1758"/>
      <c r="S238" s="1806"/>
      <c r="T238" s="465" cm="1" t="str">
        <f t="array" ref="T238:T238">T237</f>
        <v>true</v>
      </c>
      <c r="U238" s="1758"/>
      <c r="V238" s="1758"/>
      <c r="W238" s="1758"/>
      <c r="X238" s="1563"/>
      <c r="Y238" s="1758"/>
      <c r="Z238" s="1546"/>
      <c r="AA238" s="1758"/>
      <c r="AB238" s="784" t="s">
        <v>2171</v>
      </c>
      <c r="AC238" s="781" t="s">
        <v>2172</v>
      </c>
      <c r="AD238" s="766"/>
      <c r="AE238" s="766" t="s">
        <v>1514</v>
      </c>
      <c r="AF238" s="298"/>
      <c r="AG238" s="298">
        <f>_xlfn.SUMIFS('Сырье и материалы'!AG$25:AG$163,'Сырье и материалы'!$F$25:$F$163,$F238,'Сырье и материалы'!$AC$25:$AC$163,"Всего по тарифу")</f>
        <v>0</v>
      </c>
      <c r="AH238" s="846"/>
      <c r="AI238" s="1758"/>
      <c r="AJ238" s="1758"/>
      <c r="AK238" s="1758"/>
      <c r="AL238" s="997" t="s">
        <v>2173</v>
      </c>
      <c r="AM238" s="1758"/>
      <c r="AN238" s="1758"/>
      <c r="AO238" s="1758"/>
      <c r="AP238" s="1758"/>
      <c r="AQ238" s="1758"/>
    </row>
    <row s="1834" customFormat="1" customHeight="1" ht="14.25">
      <c r="A239" s="1758"/>
      <c r="B239" s="1416"/>
      <c r="C239" s="1758"/>
      <c r="D239" s="1758"/>
      <c r="E239" s="618">
        <v>15</v>
      </c>
      <c r="F239" s="50" cm="1" t="str">
        <f t="array" ref="F239:F239">OFFSET(E239,-1,1)</f>
        <v>4</v>
      </c>
      <c r="G239" s="426"/>
      <c r="H239" s="85"/>
      <c r="I239" s="426" t="s">
        <v>2174</v>
      </c>
      <c r="J239" s="1758"/>
      <c r="K239" s="124"/>
      <c r="L239" s="124"/>
      <c r="M239" s="124"/>
      <c r="N239" s="1758"/>
      <c r="O239" s="1758"/>
      <c r="P239" s="1758"/>
      <c r="Q239" s="1758"/>
      <c r="R239" s="1758"/>
      <c r="S239" s="1806"/>
      <c r="T239" s="465" cm="1" t="str">
        <f t="array" ref="T239:T239">T238</f>
        <v>true</v>
      </c>
      <c r="U239" s="1758"/>
      <c r="V239" s="1758"/>
      <c r="W239" s="1758"/>
      <c r="X239" s="1563"/>
      <c r="Y239" s="1758"/>
      <c r="Z239" s="1546"/>
      <c r="AA239" s="1758"/>
      <c r="AB239" s="784" t="s">
        <v>2175</v>
      </c>
      <c r="AC239" s="781" t="s">
        <v>2176</v>
      </c>
      <c r="AD239" s="766"/>
      <c r="AE239" s="766" t="s">
        <v>1514</v>
      </c>
      <c r="AF239" s="298">
        <f>_xlfn.SUMIFS(Налоги!AF$25:AF$101,Налоги!$F$25:$F$101,$F239,Налоги!$AB$25:$AB$101,"0")</f>
        <v>0</v>
      </c>
      <c r="AG239" s="298">
        <f>_xlfn.SUMIFS(Налоги!AG$25:AG$101,Налоги!$F$25:$F$101,$F239,Налоги!$AB$25:$AB$101,"0")</f>
        <v>0</v>
      </c>
      <c r="AH239" s="846"/>
      <c r="AI239" s="1758"/>
      <c r="AJ239" s="1758"/>
      <c r="AK239" s="1758"/>
      <c r="AL239" s="997" t="s">
        <v>2177</v>
      </c>
      <c r="AM239" s="1758"/>
      <c r="AN239" s="1758"/>
      <c r="AO239" s="1758"/>
      <c r="AP239" s="1758"/>
      <c r="AQ239" s="1758"/>
    </row>
    <row s="1834" customFormat="1" customHeight="1" ht="65.25">
      <c r="A240" s="1758"/>
      <c r="B240" s="1416"/>
      <c r="C240" s="1758"/>
      <c r="D240" s="1758"/>
      <c r="E240" s="618">
        <v>67.5</v>
      </c>
      <c r="F240" s="50" cm="1" t="str">
        <f t="array" ref="F240:F240">OFFSET(E240,-1,1)</f>
        <v>4</v>
      </c>
      <c r="G240" s="107" t="s">
        <v>2178</v>
      </c>
      <c r="H240" s="85"/>
      <c r="I240" s="493" t="s">
        <v>2179</v>
      </c>
      <c r="J240" s="1758"/>
      <c r="K240" s="124"/>
      <c r="L240" s="124"/>
      <c r="M240" s="124"/>
      <c r="N240" s="1758"/>
      <c r="O240" s="1758"/>
      <c r="P240" s="1758"/>
      <c r="Q240" s="1758"/>
      <c r="R240" s="1758"/>
      <c r="S240" s="1806"/>
      <c r="T240" s="465" cm="1" t="str">
        <f t="array" ref="T240:T240">T239</f>
        <v>true</v>
      </c>
      <c r="U240" s="1758"/>
      <c r="V240" s="1758"/>
      <c r="W240" s="1758"/>
      <c r="X240" s="1563"/>
      <c r="Y240" s="1758"/>
      <c r="Z240" s="1546"/>
      <c r="AA240" s="1758"/>
      <c r="AB240" s="784" t="s">
        <v>2180</v>
      </c>
      <c r="AC240" s="781" t="s">
        <v>2181</v>
      </c>
      <c r="AD240" s="766"/>
      <c r="AE240" s="766" t="s">
        <v>1514</v>
      </c>
      <c r="AF240" s="298"/>
      <c r="AG240" s="298">
        <f>IF(AND(method_reg="Метод индексации",first_year=god),_xlfn.SUMIFS('Калькуляция (МИ)'!$AG$25:$AG$747,'Калькуляция (МИ)'!$F$25:$F$747,$F240,'Калькуляция (МИ)'!$G$25:$G$747,$G240),_xlfn.SUMIFS('Калькуляция (МИ корр)'!$AG$25:$AG$747,'Калькуляция (МИ корр)'!$F$25:$F$747,$F240,'Калькуляция (МИ корр)'!$G$25:$G$747,$G240))</f>
        <v>0</v>
      </c>
      <c r="AH240" s="846"/>
      <c r="AI240" s="1758"/>
      <c r="AJ240" s="1758"/>
      <c r="AK240" s="1758"/>
      <c r="AL240" s="997" t="s">
        <v>2182</v>
      </c>
      <c r="AM240" s="1758"/>
      <c r="AN240" s="1758"/>
      <c r="AO240" s="1758"/>
      <c r="AP240" s="1758"/>
      <c r="AQ240" s="1758"/>
    </row>
    <row s="1834" customFormat="1" customHeight="1" ht="14.25">
      <c r="A241" s="1758"/>
      <c r="B241" s="1416"/>
      <c r="C241" s="1758"/>
      <c r="D241" s="1758"/>
      <c r="E241" s="618">
        <v>15</v>
      </c>
      <c r="F241" s="50" cm="1" t="str">
        <f t="array" ref="F241:F241">OFFSET(E241,-1,1)</f>
        <v>4</v>
      </c>
      <c r="G241" s="107" t="s">
        <v>1730</v>
      </c>
      <c r="H241" s="85"/>
      <c r="I241" s="493" t="s">
        <v>2183</v>
      </c>
      <c r="J241" s="1758"/>
      <c r="K241" s="124"/>
      <c r="L241" s="124"/>
      <c r="M241" s="124"/>
      <c r="N241" s="1758"/>
      <c r="O241" s="1758"/>
      <c r="P241" s="1758"/>
      <c r="Q241" s="1758"/>
      <c r="R241" s="1758"/>
      <c r="S241" s="1806"/>
      <c r="T241" s="465" cm="1" t="str">
        <f t="array" ref="T241:T241">T240</f>
        <v>true</v>
      </c>
      <c r="U241" s="1758"/>
      <c r="V241" s="1758"/>
      <c r="W241" s="1758"/>
      <c r="X241" s="1563"/>
      <c r="Y241" s="1758"/>
      <c r="Z241" s="1546"/>
      <c r="AA241" s="1758"/>
      <c r="AB241" s="784" t="s">
        <v>2184</v>
      </c>
      <c r="AC241" s="781" t="s">
        <v>2185</v>
      </c>
      <c r="AD241" s="766"/>
      <c r="AE241" s="766" t="s">
        <v>1514</v>
      </c>
      <c r="AF241" s="298"/>
      <c r="AG241" s="298">
        <f>IF(AND(method_reg="Метод индексации",first_year=god),_xlfn.SUMIFS('Калькуляция (МИ)'!$AG$25:$AG$747,'Калькуляция (МИ)'!$F$25:$F$747,$F241,'Калькуляция (МИ)'!$G$25:$G$747,$G241),_xlfn.SUMIFS('Калькуляция (МИ корр)'!$AG$25:$AG$747,'Калькуляция (МИ корр)'!$F$25:$F$747,$F241,'Калькуляция (МИ корр)'!$G$25:$G$747,$G241))</f>
        <v>0</v>
      </c>
      <c r="AH241" s="846"/>
      <c r="AI241" s="1758"/>
      <c r="AJ241" s="1758"/>
      <c r="AK241" s="1758"/>
      <c r="AL241" s="997" t="s">
        <v>2186</v>
      </c>
      <c r="AM241" s="1758"/>
      <c r="AN241" s="1758"/>
      <c r="AO241" s="1758"/>
      <c r="AP241" s="1758"/>
      <c r="AQ241" s="1758"/>
    </row>
    <row s="1834" customFormat="1" customHeight="1" ht="14.25">
      <c r="A242" s="1758"/>
      <c r="B242" s="1416"/>
      <c r="C242" s="1758"/>
      <c r="D242" s="1758"/>
      <c r="E242" s="618">
        <v>15</v>
      </c>
      <c r="F242" s="50" cm="1" t="str">
        <f t="array" ref="F242:F242">OFFSET(E242,-1,1)</f>
        <v>4</v>
      </c>
      <c r="G242" s="107" t="s">
        <v>2187</v>
      </c>
      <c r="H242" s="85"/>
      <c r="I242" s="493" t="s">
        <v>2188</v>
      </c>
      <c r="J242" s="1758"/>
      <c r="K242" s="124"/>
      <c r="L242" s="124"/>
      <c r="M242" s="124"/>
      <c r="N242" s="1758"/>
      <c r="O242" s="1758"/>
      <c r="P242" s="1758"/>
      <c r="Q242" s="1758"/>
      <c r="R242" s="1758"/>
      <c r="S242" s="1806"/>
      <c r="T242" s="465" cm="1" t="str">
        <f t="array" ref="T242:T242">T241</f>
        <v>true</v>
      </c>
      <c r="U242" s="1758"/>
      <c r="V242" s="1758"/>
      <c r="W242" s="1758"/>
      <c r="X242" s="1563"/>
      <c r="Y242" s="1758"/>
      <c r="Z242" s="1546"/>
      <c r="AA242" s="1758"/>
      <c r="AB242" s="784" t="s">
        <v>2189</v>
      </c>
      <c r="AC242" s="781" t="s">
        <v>2190</v>
      </c>
      <c r="AD242" s="766"/>
      <c r="AE242" s="766" t="s">
        <v>1514</v>
      </c>
      <c r="AF242" s="298"/>
      <c r="AG242" s="298">
        <f>IF(AND(method_reg="Метод индексации",first_year=god),_xlfn.SUMIFS('Калькуляция (МИ)'!$AG$25:$AG$747,'Калькуляция (МИ)'!$F$25:$F$747,$F242,'Калькуляция (МИ)'!$G$25:$G$747,$G242),_xlfn.SUMIFS('Калькуляция (МИ корр)'!$AG$25:$AG$747,'Калькуляция (МИ корр)'!$F$25:$F$747,$F242,'Калькуляция (МИ корр)'!$G$25:$G$747,$G242))</f>
        <v>0</v>
      </c>
      <c r="AH242" s="846"/>
      <c r="AI242" s="1758"/>
      <c r="AJ242" s="1758"/>
      <c r="AK242" s="1758"/>
      <c r="AL242" s="997" t="s">
        <v>2191</v>
      </c>
      <c r="AM242" s="1758"/>
      <c r="AN242" s="1758"/>
      <c r="AO242" s="1758"/>
      <c r="AP242" s="1758"/>
      <c r="AQ242" s="1758"/>
    </row>
    <row s="1834" customFormat="1" customHeight="1" ht="21.75">
      <c r="A243" s="1758"/>
      <c r="B243" s="1416"/>
      <c r="C243" s="1758"/>
      <c r="D243" s="1758"/>
      <c r="E243" s="618">
        <v>22.5</v>
      </c>
      <c r="F243" s="50" cm="1" t="str">
        <f t="array" ref="F243:F243">OFFSET(E243,-1,1)</f>
        <v>4</v>
      </c>
      <c r="G243" s="107" t="s">
        <v>2192</v>
      </c>
      <c r="H243" s="85"/>
      <c r="I243" s="493" t="s">
        <v>2193</v>
      </c>
      <c r="J243" s="1758"/>
      <c r="K243" s="124"/>
      <c r="L243" s="124"/>
      <c r="M243" s="124"/>
      <c r="N243" s="1758"/>
      <c r="O243" s="1758"/>
      <c r="P243" s="1758"/>
      <c r="Q243" s="1758"/>
      <c r="R243" s="1758"/>
      <c r="S243" s="1806"/>
      <c r="T243" s="465" cm="1" t="str">
        <f t="array" ref="T243:T243">T242</f>
        <v>true</v>
      </c>
      <c r="U243" s="1758"/>
      <c r="V243" s="1758"/>
      <c r="W243" s="1758"/>
      <c r="X243" s="1563"/>
      <c r="Y243" s="1758"/>
      <c r="Z243" s="1546"/>
      <c r="AA243" s="1758"/>
      <c r="AB243" s="784" t="s">
        <v>2194</v>
      </c>
      <c r="AC243" s="781" t="s">
        <v>2195</v>
      </c>
      <c r="AD243" s="766"/>
      <c r="AE243" s="766" t="s">
        <v>1514</v>
      </c>
      <c r="AF243" s="298"/>
      <c r="AG243" s="298">
        <f>IF(AND(method_reg="Метод индексации",first_year=god),_xlfn.SUMIFS('Калькуляция (МИ)'!$AG$25:$AG$747,'Калькуляция (МИ)'!$F$25:$F$747,$F243,'Калькуляция (МИ)'!$G$25:$G$747,$G243),_xlfn.SUMIFS('Калькуляция (МИ корр)'!$AG$25:$AG$747,'Калькуляция (МИ корр)'!$F$25:$F$747,$F243,'Калькуляция (МИ корр)'!$G$25:$G$747,$G243))</f>
        <v>0</v>
      </c>
      <c r="AH243" s="846"/>
      <c r="AI243" s="1758"/>
      <c r="AJ243" s="1758"/>
      <c r="AK243" s="1758"/>
      <c r="AL243" s="997" t="s">
        <v>2196</v>
      </c>
      <c r="AM243" s="1758"/>
      <c r="AN243" s="1758"/>
      <c r="AO243" s="1758"/>
      <c r="AP243" s="1758"/>
      <c r="AQ243" s="1758"/>
    </row>
    <row s="1834" customFormat="1" customHeight="1" ht="21.75">
      <c r="A244" s="1758"/>
      <c r="B244" s="1416"/>
      <c r="C244" s="1758"/>
      <c r="D244" s="1758"/>
      <c r="E244" s="618">
        <v>22.5</v>
      </c>
      <c r="F244" s="50" cm="1" t="str">
        <f t="array" ref="F244:F244">OFFSET(E244,-1,1)</f>
        <v>4</v>
      </c>
      <c r="G244" s="107" t="s">
        <v>2197</v>
      </c>
      <c r="H244" s="85"/>
      <c r="I244" s="493" t="s">
        <v>2198</v>
      </c>
      <c r="J244" s="1758"/>
      <c r="K244" s="124"/>
      <c r="L244" s="124"/>
      <c r="M244" s="124"/>
      <c r="N244" s="1758"/>
      <c r="O244" s="1758"/>
      <c r="P244" s="1758"/>
      <c r="Q244" s="1758"/>
      <c r="R244" s="1758"/>
      <c r="S244" s="1806"/>
      <c r="T244" s="465" cm="1" t="str">
        <f t="array" ref="T244:T244">T243</f>
        <v>true</v>
      </c>
      <c r="U244" s="1758"/>
      <c r="V244" s="1758"/>
      <c r="W244" s="1758"/>
      <c r="X244" s="1563"/>
      <c r="Y244" s="1758"/>
      <c r="Z244" s="1546"/>
      <c r="AA244" s="1758"/>
      <c r="AB244" s="784" t="s">
        <v>2199</v>
      </c>
      <c r="AC244" s="781" t="s">
        <v>2200</v>
      </c>
      <c r="AD244" s="935"/>
      <c r="AE244" s="766" t="s">
        <v>1514</v>
      </c>
      <c r="AF244" s="298"/>
      <c r="AG244" s="298">
        <f>IF(AND(method_reg="Метод индексации",first_year=god),_xlfn.SUMIFS('Калькуляция (МИ)'!$AG$25:$AG$747,'Калькуляция (МИ)'!$F$25:$F$747,$F244,'Калькуляция (МИ)'!$G$25:$G$747,$G244),_xlfn.SUMIFS('Калькуляция (МИ корр)'!$AG$25:$AG$747,'Калькуляция (МИ корр)'!$F$25:$F$747,$F244,'Калькуляция (МИ корр)'!$G$25:$G$747,$G244))</f>
        <v>0</v>
      </c>
      <c r="AH244" s="846"/>
      <c r="AI244" s="1758"/>
      <c r="AJ244" s="1758"/>
      <c r="AK244" s="1758"/>
      <c r="AL244" s="997" t="s">
        <v>2201</v>
      </c>
      <c r="AM244" s="1758"/>
      <c r="AN244" s="1758"/>
      <c r="AO244" s="1758"/>
      <c r="AP244" s="1758"/>
      <c r="AQ244" s="1758"/>
    </row>
    <row s="1834" customFormat="1" customHeight="1" ht="21.75">
      <c r="A245" s="1758"/>
      <c r="B245" s="1416"/>
      <c r="C245" s="1758"/>
      <c r="D245" s="1758"/>
      <c r="E245" s="618">
        <v>22.5</v>
      </c>
      <c r="F245" s="50" cm="1" t="str">
        <f t="array" ref="F245:F245">OFFSET(E245,-1,1)</f>
        <v>4</v>
      </c>
      <c r="G245" s="107" t="s">
        <v>2202</v>
      </c>
      <c r="H245" s="85"/>
      <c r="I245" s="493" t="s">
        <v>2203</v>
      </c>
      <c r="J245" s="1758"/>
      <c r="K245" s="124"/>
      <c r="L245" s="124"/>
      <c r="M245" s="124"/>
      <c r="N245" s="1758"/>
      <c r="O245" s="1758"/>
      <c r="P245" s="1758"/>
      <c r="Q245" s="1758"/>
      <c r="R245" s="1758"/>
      <c r="S245" s="1806"/>
      <c r="T245" s="465" cm="1" t="str">
        <f t="array" ref="T245:T245">T244</f>
        <v>true</v>
      </c>
      <c r="U245" s="1758"/>
      <c r="V245" s="1758"/>
      <c r="W245" s="1758"/>
      <c r="X245" s="1563"/>
      <c r="Y245" s="1758"/>
      <c r="Z245" s="1546"/>
      <c r="AA245" s="1758"/>
      <c r="AB245" s="784" t="s">
        <v>2204</v>
      </c>
      <c r="AC245" s="781" t="s">
        <v>2205</v>
      </c>
      <c r="AD245" s="935"/>
      <c r="AE245" s="766" t="s">
        <v>1514</v>
      </c>
      <c r="AF245" s="298"/>
      <c r="AG245" s="298">
        <f>IF(AND(method_reg="Метод индексации",first_year=god),_xlfn.SUMIFS('Калькуляция (МИ)'!$AG$25:$AG$747,'Калькуляция (МИ)'!$F$25:$F$747,$F245,'Калькуляция (МИ)'!$G$25:$G$747,$G245),_xlfn.SUMIFS('Калькуляция (МИ корр)'!$AG$25:$AG$747,'Калькуляция (МИ корр)'!$F$25:$F$747,$F245,'Калькуляция (МИ корр)'!$G$25:$G$747,$G245))</f>
        <v>0</v>
      </c>
      <c r="AH245" s="846"/>
      <c r="AI245" s="1758"/>
      <c r="AJ245" s="1758"/>
      <c r="AK245" s="1758"/>
      <c r="AL245" s="997" t="s">
        <v>2206</v>
      </c>
      <c r="AM245" s="1758"/>
      <c r="AN245" s="1758"/>
      <c r="AO245" s="1758"/>
      <c r="AP245" s="1758"/>
      <c r="AQ245" s="1758"/>
    </row>
    <row s="1834" customFormat="1" customHeight="1" ht="14.25">
      <c r="A246" s="1758"/>
      <c r="B246" s="1416"/>
      <c r="C246" s="1758"/>
      <c r="D246" s="1758"/>
      <c r="E246" s="618">
        <v>15</v>
      </c>
      <c r="F246" s="50" cm="1" t="str">
        <f t="array" ref="F246:F246">OFFSET(E246,-1,1)</f>
        <v>4</v>
      </c>
      <c r="G246" s="107" t="s">
        <v>2207</v>
      </c>
      <c r="H246" s="85"/>
      <c r="I246" s="493" t="s">
        <v>2208</v>
      </c>
      <c r="J246" s="1758"/>
      <c r="K246" s="124"/>
      <c r="L246" s="124"/>
      <c r="M246" s="124"/>
      <c r="N246" s="1758"/>
      <c r="O246" s="1758"/>
      <c r="P246" s="1758"/>
      <c r="Q246" s="1758"/>
      <c r="R246" s="1758"/>
      <c r="S246" s="1806"/>
      <c r="T246" s="465" cm="1" t="str">
        <f t="array" ref="T246:T246">T245</f>
        <v>true</v>
      </c>
      <c r="U246" s="1758"/>
      <c r="V246" s="1758"/>
      <c r="W246" s="1758"/>
      <c r="X246" s="1563"/>
      <c r="Y246" s="1758"/>
      <c r="Z246" s="1546"/>
      <c r="AA246" s="1758"/>
      <c r="AB246" s="784" t="s">
        <v>2209</v>
      </c>
      <c r="AC246" s="781" t="s">
        <v>2210</v>
      </c>
      <c r="AD246" s="935"/>
      <c r="AE246" s="766" t="s">
        <v>1514</v>
      </c>
      <c r="AF246" s="298"/>
      <c r="AG246" s="298">
        <f>IF(AND(method_reg="Метод индексации",first_year=god),_xlfn.SUMIFS('Калькуляция (МИ)'!$AG$25:$AG$747,'Калькуляция (МИ)'!$F$25:$F$747,$F246,'Калькуляция (МИ)'!$G$25:$G$747,$G246),_xlfn.SUMIFS('Калькуляция (МИ корр)'!$AG$25:$AG$747,'Калькуляция (МИ корр)'!$F$25:$F$747,$F246,'Калькуляция (МИ корр)'!$G$25:$G$747,$G246))</f>
        <v>0</v>
      </c>
      <c r="AH246" s="846"/>
      <c r="AI246" s="1758"/>
      <c r="AJ246" s="1758"/>
      <c r="AK246" s="1758"/>
      <c r="AL246" s="997" t="s">
        <v>2211</v>
      </c>
      <c r="AM246" s="1758"/>
      <c r="AN246" s="1758"/>
      <c r="AO246" s="1758"/>
      <c r="AP246" s="1758"/>
      <c r="AQ246" s="1758"/>
    </row>
    <row s="1834" customFormat="1" customHeight="1" ht="21.75">
      <c r="A247" s="1758"/>
      <c r="B247" s="1416"/>
      <c r="C247" s="1758"/>
      <c r="D247" s="1758"/>
      <c r="E247" s="618">
        <v>22.5</v>
      </c>
      <c r="F247" s="50" cm="1" t="str">
        <f t="array" ref="F247:F247">OFFSET(E247,-1,1)</f>
        <v>4</v>
      </c>
      <c r="G247" s="107" t="s">
        <v>2212</v>
      </c>
      <c r="H247" s="85"/>
      <c r="I247" s="493" t="s">
        <v>2213</v>
      </c>
      <c r="J247" s="1758"/>
      <c r="K247" s="124"/>
      <c r="L247" s="124"/>
      <c r="M247" s="124"/>
      <c r="N247" s="1758"/>
      <c r="O247" s="1758"/>
      <c r="P247" s="1758"/>
      <c r="Q247" s="1758"/>
      <c r="R247" s="1758"/>
      <c r="S247" s="1806"/>
      <c r="T247" s="465" cm="1" t="str">
        <f t="array" ref="T247:T247">T246</f>
        <v>true</v>
      </c>
      <c r="U247" s="1758"/>
      <c r="V247" s="1758"/>
      <c r="W247" s="1758"/>
      <c r="X247" s="1563"/>
      <c r="Y247" s="1758"/>
      <c r="Z247" s="1546"/>
      <c r="AA247" s="1758"/>
      <c r="AB247" s="784" t="s">
        <v>2214</v>
      </c>
      <c r="AC247" s="781" t="s">
        <v>2215</v>
      </c>
      <c r="AD247" s="935"/>
      <c r="AE247" s="766" t="s">
        <v>1514</v>
      </c>
      <c r="AF247" s="298"/>
      <c r="AG247" s="298">
        <f>IF(AND(method_reg="Метод индексации",first_year=god),_xlfn.SUMIFS('Калькуляция (МИ)'!$AG$25:$AG$747,'Калькуляция (МИ)'!$F$25:$F$747,$F247,'Калькуляция (МИ)'!$G$25:$G$747,$G247),_xlfn.SUMIFS('Калькуляция (МИ корр)'!$AG$25:$AG$747,'Калькуляция (МИ корр)'!$F$25:$F$747,$F247,'Калькуляция (МИ корр)'!$G$25:$G$747,$G247))</f>
        <v>0</v>
      </c>
      <c r="AH247" s="846"/>
      <c r="AI247" s="1758"/>
      <c r="AJ247" s="1758"/>
      <c r="AK247" s="1758"/>
      <c r="AL247" s="997" t="s">
        <v>2216</v>
      </c>
      <c r="AM247" s="1758"/>
      <c r="AN247" s="1758"/>
      <c r="AO247" s="1758"/>
      <c r="AP247" s="1758"/>
      <c r="AQ247" s="1758"/>
    </row>
    <row s="1834" customFormat="1" customHeight="1" ht="14.25">
      <c r="A248" s="1758"/>
      <c r="B248" s="1416"/>
      <c r="C248" s="1758"/>
      <c r="D248" s="1758"/>
      <c r="E248" s="618">
        <v>15</v>
      </c>
      <c r="F248" s="50" cm="1" t="str">
        <f t="array" ref="F248:F248">OFFSET(E248,-1,1)</f>
        <v>4</v>
      </c>
      <c r="G248" s="426"/>
      <c r="H248" s="85"/>
      <c r="I248" s="426" t="s">
        <v>2075</v>
      </c>
      <c r="J248" s="1758"/>
      <c r="K248" s="124"/>
      <c r="L248" s="124"/>
      <c r="M248" s="124"/>
      <c r="N248" s="1758"/>
      <c r="O248" s="1758"/>
      <c r="P248" s="1758"/>
      <c r="Q248" s="1758"/>
      <c r="R248" s="1758"/>
      <c r="S248" s="1806"/>
      <c r="T248" s="465" cm="1" t="str">
        <f t="array" ref="T248:T248">T247</f>
        <v>true</v>
      </c>
      <c r="U248" s="1758"/>
      <c r="V248" s="1758"/>
      <c r="W248" s="1758"/>
      <c r="X248" s="1563"/>
      <c r="Y248" s="1758"/>
      <c r="Z248" s="1546"/>
      <c r="AA248" s="1758"/>
      <c r="AB248" s="299" t="s">
        <v>1258</v>
      </c>
      <c r="AC248" s="762" t="s">
        <v>2217</v>
      </c>
      <c r="AD248" s="300" t="s">
        <v>2218</v>
      </c>
      <c r="AE248" s="766" t="s">
        <v>1514</v>
      </c>
      <c r="AF248" s="298">
        <f>AF249*AF250*AF251</f>
        <v>0</v>
      </c>
      <c r="AG248" s="298">
        <f>AG249*AG250*AG251</f>
        <v>0</v>
      </c>
      <c r="AH248" s="846"/>
      <c r="AI248" s="1758"/>
      <c r="AJ248" s="1758"/>
      <c r="AK248" s="1758"/>
      <c r="AL248" s="997" t="s">
        <v>2219</v>
      </c>
      <c r="AM248" s="1758"/>
      <c r="AN248" s="1758"/>
      <c r="AO248" s="1758"/>
      <c r="AP248" s="1758"/>
      <c r="AQ248" s="1758"/>
    </row>
    <row s="1834" customFormat="1" customHeight="1" ht="21.75">
      <c r="A249" s="1758"/>
      <c r="B249" s="1416"/>
      <c r="C249" s="1758"/>
      <c r="D249" s="1758"/>
      <c r="E249" s="618">
        <v>22.5</v>
      </c>
      <c r="F249" s="50" cm="1" t="str">
        <f t="array" ref="F249:F249">OFFSET(E249,-1,1)</f>
        <v>4</v>
      </c>
      <c r="G249" s="426"/>
      <c r="H249" s="85"/>
      <c r="I249" s="426" t="s">
        <v>2220</v>
      </c>
      <c r="J249" s="1758"/>
      <c r="K249" s="124"/>
      <c r="L249" s="124"/>
      <c r="M249" s="124"/>
      <c r="N249" s="1758"/>
      <c r="O249" s="1758"/>
      <c r="P249" s="1758"/>
      <c r="Q249" s="1758"/>
      <c r="R249" s="1758"/>
      <c r="S249" s="1806"/>
      <c r="T249" s="465" cm="1" t="str">
        <f t="array" ref="T249:T249">T248</f>
        <v>true</v>
      </c>
      <c r="U249" s="1758"/>
      <c r="V249" s="1758"/>
      <c r="W249" s="1758"/>
      <c r="X249" s="1563"/>
      <c r="Y249" s="1758"/>
      <c r="Z249" s="1546"/>
      <c r="AA249" s="1758"/>
      <c r="AB249" s="299" t="s">
        <v>1212</v>
      </c>
      <c r="AC249" s="765" t="s">
        <v>2221</v>
      </c>
      <c r="AD249" s="300" t="s">
        <v>2222</v>
      </c>
      <c r="AE249" s="766" t="s">
        <v>1582</v>
      </c>
      <c r="AF249" s="298"/>
      <c r="AG249" s="298">
        <f>_xlfn.SUMIFS(ЭЭ!AG$25:AG$189,ЭЭ!$F$25:$F$189,$F249,ЭЭ!$AC$25:$AC$189,"Удельный расход электроэнергии")</f>
        <v>0</v>
      </c>
      <c r="AH249" s="846"/>
      <c r="AI249" s="1758"/>
      <c r="AJ249" s="1758"/>
      <c r="AK249" s="1758"/>
      <c r="AL249" s="997" t="s">
        <v>2223</v>
      </c>
      <c r="AM249" s="1758"/>
      <c r="AN249" s="1758"/>
      <c r="AO249" s="1758"/>
      <c r="AP249" s="1758"/>
      <c r="AQ249" s="1758"/>
    </row>
    <row s="1834" customFormat="1" customHeight="1" ht="14.25">
      <c r="A250" s="1758"/>
      <c r="B250" s="1416"/>
      <c r="C250" s="1758"/>
      <c r="D250" s="1758"/>
      <c r="E250" s="618">
        <v>15</v>
      </c>
      <c r="F250" s="50" cm="1" t="str">
        <f t="array" ref="F250:F250">OFFSET(E250,-1,1)</f>
        <v>4</v>
      </c>
      <c r="G250" s="426"/>
      <c r="H250" s="85"/>
      <c r="I250" s="426" t="s">
        <v>2224</v>
      </c>
      <c r="J250" s="1758"/>
      <c r="K250" s="124"/>
      <c r="L250" s="124"/>
      <c r="M250" s="124"/>
      <c r="N250" s="1758"/>
      <c r="O250" s="1758"/>
      <c r="P250" s="1758"/>
      <c r="Q250" s="1758"/>
      <c r="R250" s="1758"/>
      <c r="S250" s="1806"/>
      <c r="T250" s="465" cm="1" t="str">
        <f t="array" ref="T250:T250">T249</f>
        <v>true</v>
      </c>
      <c r="U250" s="1758"/>
      <c r="V250" s="1758"/>
      <c r="W250" s="1758"/>
      <c r="X250" s="1563"/>
      <c r="Y250" s="1758"/>
      <c r="Z250" s="1546"/>
      <c r="AA250" s="1758"/>
      <c r="AB250" s="299" t="s">
        <v>2225</v>
      </c>
      <c r="AC250" s="765" t="s">
        <v>2226</v>
      </c>
      <c r="AD250" s="300" t="s">
        <v>2227</v>
      </c>
      <c r="AE250" s="766" t="s">
        <v>1576</v>
      </c>
      <c r="AF250" s="298"/>
      <c r="AG250" s="298">
        <f>_xlfn.SUMIFS(ЭЭ!AG$25:AG$189,ЭЭ!$F$25:$F$189,$F249,ЭЭ!$AC$25:$AC$189,"Объём воды/сточных вод")</f>
        <v>0</v>
      </c>
      <c r="AH250" s="846"/>
      <c r="AI250" s="1758"/>
      <c r="AJ250" s="1758"/>
      <c r="AK250" s="1758"/>
      <c r="AL250" s="997" t="s">
        <v>2228</v>
      </c>
      <c r="AM250" s="1758"/>
      <c r="AN250" s="1758"/>
      <c r="AO250" s="1758"/>
      <c r="AP250" s="1758"/>
      <c r="AQ250" s="1758"/>
    </row>
    <row s="1834" customFormat="1" customHeight="1" ht="21.75">
      <c r="A251" s="1758"/>
      <c r="B251" s="1416"/>
      <c r="C251" s="1758"/>
      <c r="D251" s="1758"/>
      <c r="E251" s="618">
        <v>22.5</v>
      </c>
      <c r="F251" s="50" cm="1" t="str">
        <f t="array" ref="F251:F251">OFFSET(E251,-1,1)</f>
        <v>4</v>
      </c>
      <c r="G251" s="426"/>
      <c r="H251" s="85"/>
      <c r="I251" s="426" t="s">
        <v>2229</v>
      </c>
      <c r="J251" s="1758"/>
      <c r="K251" s="124"/>
      <c r="L251" s="124"/>
      <c r="M251" s="124"/>
      <c r="N251" s="1758"/>
      <c r="O251" s="1758"/>
      <c r="P251" s="1758"/>
      <c r="Q251" s="1758"/>
      <c r="R251" s="1758"/>
      <c r="S251" s="1806"/>
      <c r="T251" s="465" cm="1" t="str">
        <f t="array" ref="T251:T251">T250</f>
        <v>true</v>
      </c>
      <c r="U251" s="1758"/>
      <c r="V251" s="1758"/>
      <c r="W251" s="1758"/>
      <c r="X251" s="1563"/>
      <c r="Y251" s="1758"/>
      <c r="Z251" s="1546"/>
      <c r="AA251" s="1758"/>
      <c r="AB251" s="299" t="s">
        <v>2230</v>
      </c>
      <c r="AC251" s="765" t="s">
        <v>2231</v>
      </c>
      <c r="AD251" s="300" t="s">
        <v>2232</v>
      </c>
      <c r="AE251" s="766" t="s">
        <v>1579</v>
      </c>
      <c r="AF251" s="298"/>
      <c r="AG251" s="298">
        <f>_xlfn.SUMIFS(ЭЭ!AG$25:AG$189,ЭЭ!$F$25:$F$189,$F249,ЭЭ!$AC$25:$AC$189,"Средний (расчетный) тариф")</f>
        <v>0</v>
      </c>
      <c r="AH251" s="846"/>
      <c r="AI251" s="1758"/>
      <c r="AJ251" s="1758"/>
      <c r="AK251" s="1758"/>
      <c r="AL251" s="997" t="s">
        <v>2233</v>
      </c>
      <c r="AM251" s="1758"/>
      <c r="AN251" s="1758"/>
      <c r="AO251" s="1758"/>
      <c r="AP251" s="1758"/>
      <c r="AQ251" s="1758"/>
    </row>
    <row s="1834" customFormat="1" customHeight="1" ht="21.75">
      <c r="A252" s="1758"/>
      <c r="B252" s="1416"/>
      <c r="C252" s="1758"/>
      <c r="D252" s="1758"/>
      <c r="E252" s="618">
        <v>22.5</v>
      </c>
      <c r="F252" s="50" cm="1" t="str">
        <f t="array" ref="F252:F252">OFFSET(E252,-1,1)</f>
        <v>4</v>
      </c>
      <c r="G252" s="426" t="s">
        <v>2234</v>
      </c>
      <c r="H252" s="85"/>
      <c r="I252" s="426" t="s">
        <v>2235</v>
      </c>
      <c r="J252" s="1758"/>
      <c r="K252" s="124"/>
      <c r="L252" s="124"/>
      <c r="M252" s="124"/>
      <c r="N252" s="1758"/>
      <c r="O252" s="1758"/>
      <c r="P252" s="1758"/>
      <c r="Q252" s="1758"/>
      <c r="R252" s="1758"/>
      <c r="S252" s="1806"/>
      <c r="T252" s="465" cm="1" t="str">
        <f t="array" ref="T252:T252">T251</f>
        <v>true</v>
      </c>
      <c r="U252" s="1758"/>
      <c r="V252" s="1758"/>
      <c r="W252" s="1758"/>
      <c r="X252" s="1563"/>
      <c r="Y252" s="1758"/>
      <c r="Z252" s="1546"/>
      <c r="AA252" s="1758"/>
      <c r="AB252" s="299" t="s">
        <v>1651</v>
      </c>
      <c r="AC252" s="762" t="s">
        <v>2236</v>
      </c>
      <c r="AD252" s="300" t="s">
        <v>2237</v>
      </c>
      <c r="AE252" s="766" t="s">
        <v>1514</v>
      </c>
      <c r="AF252" s="298"/>
      <c r="AG252" s="298">
        <f>IF(AND(method_reg="Метод индексации",first_year=god),_xlfn.SUMIFS('Калькуляция (МИ)'!$AG$25:$AG$747,'Калькуляция (МИ)'!$F$25:$F$747,$F252,'Калькуляция (МИ)'!$G$25:$G$747,$G252),_xlfn.SUMIFS('Калькуляция (МИ корр)'!$AG$25:$AG$747,'Калькуляция (МИ корр)'!$F$25:$F$747,$F252,'Калькуляция (МИ корр)'!$G$25:$G$747,$G252))</f>
        <v>0</v>
      </c>
      <c r="AH252" s="846"/>
      <c r="AI252" s="1758"/>
      <c r="AJ252" s="1758"/>
      <c r="AK252" s="1758"/>
      <c r="AL252" s="997" t="s">
        <v>1960</v>
      </c>
      <c r="AM252" s="1758"/>
      <c r="AN252" s="1758"/>
      <c r="AO252" s="1758"/>
      <c r="AP252" s="1758"/>
      <c r="AQ252" s="1758"/>
    </row>
    <row s="1834" customFormat="1" customHeight="1" ht="14.25">
      <c r="A253" s="1758"/>
      <c r="B253" s="1416"/>
      <c r="C253" s="1758"/>
      <c r="D253" s="1758"/>
      <c r="E253" s="618">
        <v>15</v>
      </c>
      <c r="F253" s="50" cm="1" t="str">
        <f t="array" ref="F253:F253">OFFSET(E253,-1,1)</f>
        <v>4</v>
      </c>
      <c r="G253" s="426" t="s">
        <v>2238</v>
      </c>
      <c r="H253" s="85"/>
      <c r="I253" s="426" t="s">
        <v>2239</v>
      </c>
      <c r="J253" s="1758"/>
      <c r="K253" s="124"/>
      <c r="L253" s="124"/>
      <c r="M253" s="124"/>
      <c r="N253" s="1758"/>
      <c r="O253" s="1758"/>
      <c r="P253" s="1758"/>
      <c r="Q253" s="1758"/>
      <c r="R253" s="1758"/>
      <c r="S253" s="1806"/>
      <c r="T253" s="465" cm="1" t="str">
        <f t="array" ref="T253:T253">T252</f>
        <v>true</v>
      </c>
      <c r="U253" s="1758"/>
      <c r="V253" s="1758"/>
      <c r="W253" s="1758"/>
      <c r="X253" s="1563"/>
      <c r="Y253" s="1758"/>
      <c r="Z253" s="1546"/>
      <c r="AA253" s="1758"/>
      <c r="AB253" s="299" t="s">
        <v>1654</v>
      </c>
      <c r="AC253" s="936" t="s">
        <v>2240</v>
      </c>
      <c r="AD253" s="300" t="s">
        <v>2241</v>
      </c>
      <c r="AE253" s="766" t="s">
        <v>1514</v>
      </c>
      <c r="AF253" s="298"/>
      <c r="AG253" s="298">
        <f>IF(AND(method_reg="Метод индексации",first_year=god),_xlfn.SUMIFS('Калькуляция (МИ)'!$AE$25:$AE$747,'Калькуляция (МИ)'!$F$25:$F$747,$F253,'Калькуляция (МИ)'!$G$25:$G$747,"Нормативная прибыль")-_xlfn.SUMIFS('Калькуляция (МИ)'!$AE$25:$AE$747,'Калькуляция (МИ)'!$F$25:$F$747,$F253,'Калькуляция (МИ)'!$G$25:$G$747,"иные экономически обоснованные расходы на социальные нужды")+_xlfn.SUMIFS('Калькуляция (МИ)'!$AG$25:$AG$747,'Калькуляция (МИ)'!$F$25:$F$747,$F253,'Калькуляция (МИ)'!$G$25:$G$747,"иные экономически обоснованные расходы на социальные нужды"),_xlfn.SUMIFS('Калькуляция (МИ корр)'!$AE$25:$AE$747,'Калькуляция (МИ корр)'!$F$25:$F$747,$F253,'Калькуляция (МИ корр)'!$G$25:$G$747,"Нормативная прибыль")-_xlfn.SUMIFS('Калькуляция (МИ корр)'!$AE$25:$AE$747,'Калькуляция (МИ корр)'!$F$25:$F$747,$F253,'Калькуляция (МИ корр)'!$G$25:$G$747,"иные экономически обоснованные расходы на социальные нужды")+_xlfn.SUMIFS('Калькуляция (МИ корр)'!$AG$25:$AG$747,'Калькуляция (МИ корр)'!$F$25:$F$747,$F253,'Калькуляция (МИ корр)'!$G$25:$G$747,"иные экономически обоснованные расходы на социальные нужды"))</f>
        <v>0</v>
      </c>
      <c r="AH253" s="846"/>
      <c r="AI253" s="1758"/>
      <c r="AJ253" s="1758"/>
      <c r="AK253" s="1758"/>
      <c r="AL253" s="997" t="s">
        <v>2242</v>
      </c>
      <c r="AM253" s="1758"/>
      <c r="AN253" s="1758"/>
      <c r="AO253" s="1758"/>
      <c r="AP253" s="1758"/>
      <c r="AQ253" s="1758"/>
    </row>
    <row s="1834" customFormat="1" customHeight="1" ht="14.25">
      <c r="A254" s="1758"/>
      <c r="B254" s="1416"/>
      <c r="C254" s="1758"/>
      <c r="D254" s="1758"/>
      <c r="E254" s="618">
        <v>15</v>
      </c>
      <c r="F254" s="50" cm="1" t="str">
        <f t="array" ref="F254:F254">OFFSET(E254,-1,1)</f>
        <v>4</v>
      </c>
      <c r="G254" s="107" t="s">
        <v>2243</v>
      </c>
      <c r="H254" s="85"/>
      <c r="I254" s="493" t="s">
        <v>2244</v>
      </c>
      <c r="J254" s="1758"/>
      <c r="K254" s="124"/>
      <c r="L254" s="124"/>
      <c r="M254" s="124"/>
      <c r="N254" s="1758"/>
      <c r="O254" s="1758"/>
      <c r="P254" s="1758"/>
      <c r="Q254" s="1758"/>
      <c r="R254" s="1758"/>
      <c r="S254" s="1806"/>
      <c r="T254" s="465" cm="1" t="str">
        <f t="array" ref="T254:T254">T253</f>
        <v>true</v>
      </c>
      <c r="U254" s="1758"/>
      <c r="V254" s="1758"/>
      <c r="W254" s="1758"/>
      <c r="X254" s="1563"/>
      <c r="Y254" s="1758"/>
      <c r="Z254" s="1546"/>
      <c r="AA254" s="1758"/>
      <c r="AB254" s="299" t="s">
        <v>2245</v>
      </c>
      <c r="AC254" s="762" t="s">
        <v>2246</v>
      </c>
      <c r="AD254" s="300" t="s">
        <v>2247</v>
      </c>
      <c r="AE254" s="766" t="s">
        <v>1514</v>
      </c>
      <c r="AF254" s="298"/>
      <c r="AG254" s="298">
        <f>IF(AND(method_reg="Метод индексации",first_year=god),_xlfn.SUMIFS('Калькуляция (МИ)'!$AG$25:$AG$747,'Калькуляция (МИ)'!$F$25:$F$747,$F254,'Калькуляция (МИ)'!$G$25:$G$747,$G254),_xlfn.SUMIFS('Калькуляция (МИ корр)'!$AG$25:$AG$747,'Калькуляция (МИ корр)'!$F$25:$F$747,$F254,'Калькуляция (МИ корр)'!$G$25:$G$747,$G254))</f>
        <v>0</v>
      </c>
      <c r="AH254" s="846"/>
      <c r="AI254" s="1758"/>
      <c r="AJ254" s="1758"/>
      <c r="AK254" s="1758"/>
      <c r="AL254" s="997" t="s">
        <v>2248</v>
      </c>
      <c r="AM254" s="1758"/>
      <c r="AN254" s="1758"/>
      <c r="AO254" s="1758"/>
      <c r="AP254" s="1758"/>
      <c r="AQ254" s="1758"/>
    </row>
    <row s="1834" customFormat="1" customHeight="1" ht="21.75">
      <c r="A255" s="1758"/>
      <c r="B255" s="1416"/>
      <c r="C255" s="1758"/>
      <c r="D255" s="1758"/>
      <c r="E255" s="618">
        <v>22.5</v>
      </c>
      <c r="F255" s="50" cm="1" t="str">
        <f t="array" ref="F255:F255">OFFSET(E255,-1,1)</f>
        <v>4</v>
      </c>
      <c r="G255" s="107"/>
      <c r="H255" s="85"/>
      <c r="I255" s="426" t="s">
        <v>2249</v>
      </c>
      <c r="J255" s="1758"/>
      <c r="K255" s="124"/>
      <c r="L255" s="124"/>
      <c r="M255" s="124"/>
      <c r="N255" s="1758"/>
      <c r="O255" s="1758"/>
      <c r="P255" s="1758"/>
      <c r="Q255" s="1758"/>
      <c r="R255" s="1758"/>
      <c r="S255" s="1806"/>
      <c r="T255" s="465" cm="1" t="str">
        <f t="array" ref="T255:T255">T254</f>
        <v>true</v>
      </c>
      <c r="U255" s="1758"/>
      <c r="V255" s="1758"/>
      <c r="W255" s="1758"/>
      <c r="X255" s="1563"/>
      <c r="Y255" s="1758"/>
      <c r="Z255" s="1546"/>
      <c r="AA255" s="1758"/>
      <c r="AB255" s="299" t="s">
        <v>2250</v>
      </c>
      <c r="AC255" s="762" t="s">
        <v>2251</v>
      </c>
      <c r="AD255" s="300"/>
      <c r="AE255" s="766" t="s">
        <v>1514</v>
      </c>
      <c r="AF255" s="298">
        <f>AF256+AF257+AF258</f>
        <v>0</v>
      </c>
      <c r="AG255" s="298">
        <f>AG256+AG257+AG258</f>
        <v>0</v>
      </c>
      <c r="AH255" s="846"/>
      <c r="AI255" s="1758"/>
      <c r="AJ255" s="1758"/>
      <c r="AK255" s="1758"/>
      <c r="AL255" s="997" t="s">
        <v>2252</v>
      </c>
      <c r="AM255" s="1758"/>
      <c r="AN255" s="1758"/>
      <c r="AO255" s="1758"/>
      <c r="AP255" s="1758"/>
      <c r="AQ255" s="1758"/>
    </row>
    <row s="1834" customFormat="1" customHeight="1" ht="21.75">
      <c r="A256" s="1758"/>
      <c r="B256" s="1416"/>
      <c r="C256" s="1758"/>
      <c r="D256" s="1758"/>
      <c r="E256" s="618">
        <v>22.5</v>
      </c>
      <c r="F256" s="50" cm="1" t="str">
        <f t="array" ref="F256:F256">OFFSET(E256,-1,1)</f>
        <v>4</v>
      </c>
      <c r="G256" s="426"/>
      <c r="H256" s="85"/>
      <c r="I256" s="426" t="s">
        <v>2253</v>
      </c>
      <c r="J256" s="1758"/>
      <c r="K256" s="124"/>
      <c r="L256" s="124"/>
      <c r="M256" s="124"/>
      <c r="N256" s="1758"/>
      <c r="O256" s="1758"/>
      <c r="P256" s="1758"/>
      <c r="Q256" s="1758"/>
      <c r="R256" s="1758"/>
      <c r="S256" s="1806"/>
      <c r="T256" s="465" cm="1" t="str">
        <f t="array" ref="T256:T256">T255</f>
        <v>true</v>
      </c>
      <c r="U256" s="1758"/>
      <c r="V256" s="1758"/>
      <c r="W256" s="1758"/>
      <c r="X256" s="1563"/>
      <c r="Y256" s="1758"/>
      <c r="Z256" s="1546"/>
      <c r="AA256" s="1758"/>
      <c r="AB256" s="299" t="s">
        <v>2254</v>
      </c>
      <c r="AC256" s="765" t="s">
        <v>2255</v>
      </c>
      <c r="AD256" s="300" t="s">
        <v>2256</v>
      </c>
      <c r="AE256" s="766" t="s">
        <v>1514</v>
      </c>
      <c r="AF256" s="298"/>
      <c r="AG256" s="298"/>
      <c r="AH256" s="846"/>
      <c r="AI256" s="1758"/>
      <c r="AJ256" s="1758"/>
      <c r="AK256" s="1758"/>
      <c r="AL256" s="997" t="s">
        <v>2257</v>
      </c>
      <c r="AM256" s="1758"/>
      <c r="AN256" s="1758"/>
      <c r="AO256" s="1758"/>
      <c r="AP256" s="1758"/>
      <c r="AQ256" s="1758"/>
    </row>
    <row s="1834" customFormat="1" customHeight="1" ht="14.25">
      <c r="A257" s="1758"/>
      <c r="B257" s="1416"/>
      <c r="C257" s="1758"/>
      <c r="D257" s="1758"/>
      <c r="E257" s="618">
        <v>15</v>
      </c>
      <c r="F257" s="50" cm="1" t="str">
        <f t="array" ref="F257:F257">OFFSET(E257,-1,1)</f>
        <v>4</v>
      </c>
      <c r="G257" s="426"/>
      <c r="H257" s="85"/>
      <c r="I257" s="426" t="s">
        <v>2258</v>
      </c>
      <c r="J257" s="1758"/>
      <c r="K257" s="124"/>
      <c r="L257" s="124"/>
      <c r="M257" s="124"/>
      <c r="N257" s="1758"/>
      <c r="O257" s="1758"/>
      <c r="P257" s="1758"/>
      <c r="Q257" s="1758"/>
      <c r="R257" s="1758"/>
      <c r="S257" s="1806"/>
      <c r="T257" s="465" cm="1" t="str">
        <f t="array" ref="T257:T257">T256</f>
        <v>true</v>
      </c>
      <c r="U257" s="1758"/>
      <c r="V257" s="1758"/>
      <c r="W257" s="1758"/>
      <c r="X257" s="1563"/>
      <c r="Y257" s="1758"/>
      <c r="Z257" s="1546"/>
      <c r="AA257" s="1758"/>
      <c r="AB257" s="299" t="s">
        <v>2259</v>
      </c>
      <c r="AC257" s="765" t="s">
        <v>2260</v>
      </c>
      <c r="AD257" s="300" t="s">
        <v>2261</v>
      </c>
      <c r="AE257" s="766" t="s">
        <v>1514</v>
      </c>
      <c r="AF257" s="298"/>
      <c r="AG257" s="298"/>
      <c r="AH257" s="846"/>
      <c r="AI257" s="1758"/>
      <c r="AJ257" s="1758"/>
      <c r="AK257" s="1758"/>
      <c r="AL257" s="997" t="s">
        <v>2262</v>
      </c>
      <c r="AM257" s="1758"/>
      <c r="AN257" s="1758"/>
      <c r="AO257" s="1758"/>
      <c r="AP257" s="1758"/>
      <c r="AQ257" s="1758"/>
    </row>
    <row s="1834" customFormat="1" customHeight="1" ht="43.5">
      <c r="A258" s="1758"/>
      <c r="B258" s="1416"/>
      <c r="C258" s="1758"/>
      <c r="D258" s="1758"/>
      <c r="E258" s="618">
        <v>45</v>
      </c>
      <c r="F258" s="50" cm="1" t="str">
        <f t="array" ref="F258:F258">OFFSET(E258,-1,1)</f>
        <v>4</v>
      </c>
      <c r="G258" s="426"/>
      <c r="H258" s="85"/>
      <c r="I258" s="426" t="s">
        <v>2263</v>
      </c>
      <c r="J258" s="1758"/>
      <c r="K258" s="124"/>
      <c r="L258" s="124"/>
      <c r="M258" s="124"/>
      <c r="N258" s="1758"/>
      <c r="O258" s="1758"/>
      <c r="P258" s="1758"/>
      <c r="Q258" s="1758"/>
      <c r="R258" s="1758"/>
      <c r="S258" s="1806"/>
      <c r="T258" s="465" cm="1" t="str">
        <f t="array" ref="T258:T258">T257</f>
        <v>true</v>
      </c>
      <c r="U258" s="1758"/>
      <c r="V258" s="1758"/>
      <c r="W258" s="1758"/>
      <c r="X258" s="1563"/>
      <c r="Y258" s="1758"/>
      <c r="Z258" s="1546"/>
      <c r="AA258" s="1758"/>
      <c r="AB258" s="299" t="s">
        <v>2264</v>
      </c>
      <c r="AC258" s="765" t="s">
        <v>2265</v>
      </c>
      <c r="AD258" s="766" t="s">
        <v>2266</v>
      </c>
      <c r="AE258" s="766" t="s">
        <v>1514</v>
      </c>
      <c r="AF258" s="298"/>
      <c r="AG258" s="298"/>
      <c r="AH258" s="846"/>
      <c r="AI258" s="1758"/>
      <c r="AJ258" s="1758"/>
      <c r="AK258" s="1758"/>
      <c r="AL258" s="997" t="s">
        <v>2267</v>
      </c>
      <c r="AM258" s="1758"/>
      <c r="AN258" s="1758"/>
      <c r="AO258" s="1758"/>
      <c r="AP258" s="1758"/>
      <c r="AQ258" s="1758"/>
    </row>
    <row s="1834" customFormat="1" customHeight="1" ht="21.75">
      <c r="A259" s="1758"/>
      <c r="B259" s="1416"/>
      <c r="C259" s="1758"/>
      <c r="D259" s="1758"/>
      <c r="E259" s="618">
        <v>22.5</v>
      </c>
      <c r="F259" s="50" cm="1" t="str">
        <f t="array" ref="F259:F259">OFFSET(E259,-1,1)</f>
        <v>4</v>
      </c>
      <c r="G259" s="426"/>
      <c r="H259" s="85"/>
      <c r="I259" s="426" t="s">
        <v>2268</v>
      </c>
      <c r="J259" s="1758"/>
      <c r="K259" s="124"/>
      <c r="L259" s="124"/>
      <c r="M259" s="124"/>
      <c r="N259" s="1758"/>
      <c r="O259" s="1758"/>
      <c r="P259" s="1758"/>
      <c r="Q259" s="1758"/>
      <c r="R259" s="1758"/>
      <c r="S259" s="1806"/>
      <c r="T259" s="465" cm="1" t="str">
        <f t="array" ref="T259:T259">T258</f>
        <v>true</v>
      </c>
      <c r="U259" s="1758"/>
      <c r="V259" s="1758"/>
      <c r="W259" s="1758"/>
      <c r="X259" s="1563"/>
      <c r="Y259" s="1758"/>
      <c r="Z259" s="1546"/>
      <c r="AA259" s="1758"/>
      <c r="AB259" s="299" t="s">
        <v>2269</v>
      </c>
      <c r="AC259" s="762" t="s">
        <v>2270</v>
      </c>
      <c r="AD259" s="766" t="s">
        <v>2271</v>
      </c>
      <c r="AE259" s="766" t="s">
        <v>1514</v>
      </c>
      <c r="AF259" s="298"/>
      <c r="AG259" s="298"/>
      <c r="AH259" s="846"/>
      <c r="AI259" s="1758"/>
      <c r="AJ259" s="1758"/>
      <c r="AK259" s="1758"/>
      <c r="AL259" s="997" t="s">
        <v>2272</v>
      </c>
      <c r="AM259" s="1758"/>
      <c r="AN259" s="1758"/>
      <c r="AO259" s="1758"/>
      <c r="AP259" s="1758"/>
      <c r="AQ259" s="1758"/>
    </row>
    <row s="1834" customFormat="1" customHeight="1" ht="76.5">
      <c r="A260" s="1758"/>
      <c r="B260" s="428">
        <f>S231="Водоотведение"</f>
        <v>1</v>
      </c>
      <c r="C260" s="1758"/>
      <c r="D260" s="1758"/>
      <c r="E260" s="618">
        <v>78.75</v>
      </c>
      <c r="F260" s="50" cm="1" t="str">
        <f t="array" ref="F260:F260">OFFSET(E260,-1,1)</f>
        <v>4</v>
      </c>
      <c r="G260" s="426"/>
      <c r="H260" s="85"/>
      <c r="I260" s="426"/>
      <c r="J260" s="1758"/>
      <c r="K260" s="124"/>
      <c r="L260" s="124"/>
      <c r="M260" s="124"/>
      <c r="N260" s="1758"/>
      <c r="O260" s="1758"/>
      <c r="P260" s="1758"/>
      <c r="Q260" s="1758"/>
      <c r="R260" s="1758"/>
      <c r="S260" s="1806"/>
      <c r="T260" s="465" cm="1" t="str">
        <f t="array" ref="T260:T260">T259</f>
        <v>true</v>
      </c>
      <c r="U260" s="1758"/>
      <c r="V260" s="1758"/>
      <c r="W260" s="1758"/>
      <c r="X260" s="1563"/>
      <c r="Y260" s="1758"/>
      <c r="Z260" s="1546"/>
      <c r="AA260" s="1758"/>
      <c r="AB260" s="299" t="s">
        <v>2273</v>
      </c>
      <c r="AC260" s="762" t="s">
        <v>2274</v>
      </c>
      <c r="AD260" s="766"/>
      <c r="AE260" s="766" t="s">
        <v>1514</v>
      </c>
      <c r="AF260" s="298"/>
      <c r="AG260" s="298"/>
      <c r="AH260" s="846"/>
      <c r="AI260" s="1758"/>
      <c r="AJ260" s="1758"/>
      <c r="AK260" s="1758"/>
      <c r="AL260" s="997" t="s">
        <v>2275</v>
      </c>
      <c r="AM260" s="1758"/>
      <c r="AN260" s="1758"/>
      <c r="AO260" s="1758"/>
      <c r="AP260" s="1758"/>
      <c r="AQ260" s="1758"/>
    </row>
    <row s="1834" customFormat="1" customHeight="1" ht="54.75">
      <c r="A261" s="1758"/>
      <c r="B261" s="428" cm="1" t="str">
        <f t="array" ref="B261:B261">B260</f>
        <v>true</v>
      </c>
      <c r="C261" s="1758"/>
      <c r="D261" s="1758"/>
      <c r="E261" s="618">
        <v>56.25</v>
      </c>
      <c r="F261" s="50" cm="1" t="str">
        <f t="array" ref="F261:F261">OFFSET(E261,-1,1)</f>
        <v>4</v>
      </c>
      <c r="G261" s="426"/>
      <c r="H261" s="85"/>
      <c r="I261" s="426"/>
      <c r="J261" s="1758"/>
      <c r="K261" s="124"/>
      <c r="L261" s="124"/>
      <c r="M261" s="124"/>
      <c r="N261" s="1758"/>
      <c r="O261" s="1758"/>
      <c r="P261" s="1758"/>
      <c r="Q261" s="1758"/>
      <c r="R261" s="1758"/>
      <c r="S261" s="1806"/>
      <c r="T261" s="465" cm="1" t="str">
        <f t="array" ref="T261:T261">T260</f>
        <v>true</v>
      </c>
      <c r="U261" s="1758"/>
      <c r="V261" s="1758"/>
      <c r="W261" s="1758"/>
      <c r="X261" s="1563"/>
      <c r="Y261" s="1758"/>
      <c r="Z261" s="1546"/>
      <c r="AA261" s="1758"/>
      <c r="AB261" s="299" t="s">
        <v>2276</v>
      </c>
      <c r="AC261" s="762" t="s">
        <v>2277</v>
      </c>
      <c r="AD261" s="766"/>
      <c r="AE261" s="766" t="s">
        <v>1514</v>
      </c>
      <c r="AF261" s="298"/>
      <c r="AG261" s="298"/>
      <c r="AH261" s="846"/>
      <c r="AI261" s="1758"/>
      <c r="AJ261" s="1758"/>
      <c r="AK261" s="1758"/>
      <c r="AL261" s="997" t="s">
        <v>2102</v>
      </c>
      <c r="AM261" s="1758"/>
      <c r="AN261" s="1758"/>
      <c r="AO261" s="1758"/>
      <c r="AP261" s="1758"/>
      <c r="AQ261" s="1758"/>
    </row>
    <row s="1834" customFormat="1" customHeight="1" ht="14.25">
      <c r="A262" s="1758"/>
      <c r="B262" s="1416"/>
      <c r="C262" s="1758"/>
      <c r="D262" s="1758"/>
      <c r="E262" s="618">
        <v>15</v>
      </c>
      <c r="F262" s="50" cm="1" t="str">
        <f t="array" ref="F262:F262">OFFSET(E262,-1,1)</f>
        <v>4</v>
      </c>
      <c r="G262" s="426"/>
      <c r="H262" s="85"/>
      <c r="I262" s="426"/>
      <c r="J262" s="1758"/>
      <c r="K262" s="124"/>
      <c r="L262" s="124"/>
      <c r="M262" s="124"/>
      <c r="N262" s="1758"/>
      <c r="O262" s="1758"/>
      <c r="P262" s="1758"/>
      <c r="Q262" s="1758"/>
      <c r="R262" s="1758"/>
      <c r="S262" s="1806"/>
      <c r="T262" s="465" cm="1" t="str">
        <f t="array" ref="T262:T262">T261</f>
        <v>true</v>
      </c>
      <c r="U262" s="1758"/>
      <c r="V262" s="1758"/>
      <c r="W262" s="1758"/>
      <c r="X262" s="1563"/>
      <c r="Y262" s="1758"/>
      <c r="Z262" s="1546"/>
      <c r="AA262" s="1758"/>
      <c r="AB262" s="300" t="str">
        <f>IF(B261,"2.12","2.10")</f>
        <v>2.12</v>
      </c>
      <c r="AC262" s="762" t="s">
        <v>2278</v>
      </c>
      <c r="AD262" s="766" t="s">
        <v>2279</v>
      </c>
      <c r="AE262" s="766" t="s">
        <v>1514</v>
      </c>
      <c r="AF262" s="298">
        <f>AF263+AF264</f>
        <v>0</v>
      </c>
      <c r="AG262" s="298">
        <f>AG263+AG264</f>
        <v>0</v>
      </c>
      <c r="AH262" s="846"/>
      <c r="AI262" s="1758"/>
      <c r="AJ262" s="1758"/>
      <c r="AK262" s="1758"/>
      <c r="AL262" s="997" t="s">
        <v>2280</v>
      </c>
      <c r="AM262" s="1758"/>
      <c r="AN262" s="1758"/>
      <c r="AO262" s="1758"/>
      <c r="AP262" s="1758"/>
      <c r="AQ262" s="1758"/>
    </row>
    <row s="1834" customFormat="1" customHeight="1" ht="21.75">
      <c r="A263" s="1758"/>
      <c r="B263" s="1416"/>
      <c r="C263" s="1758"/>
      <c r="D263" s="1758"/>
      <c r="E263" s="618">
        <v>22.5</v>
      </c>
      <c r="F263" s="50" cm="1" t="str">
        <f t="array" ref="F263:F263">OFFSET(E263,-1,1)</f>
        <v>4</v>
      </c>
      <c r="G263" s="426"/>
      <c r="H263" s="85"/>
      <c r="I263" s="426"/>
      <c r="J263" s="1758"/>
      <c r="K263" s="124"/>
      <c r="L263" s="124"/>
      <c r="M263" s="124"/>
      <c r="N263" s="1758"/>
      <c r="O263" s="1758"/>
      <c r="P263" s="1758"/>
      <c r="Q263" s="1758"/>
      <c r="R263" s="1758"/>
      <c r="S263" s="1806"/>
      <c r="T263" s="465" cm="1" t="str">
        <f t="array" ref="T263:T263">T262</f>
        <v>true</v>
      </c>
      <c r="U263" s="1758"/>
      <c r="V263" s="1758"/>
      <c r="W263" s="1758"/>
      <c r="X263" s="1563"/>
      <c r="Y263" s="1758"/>
      <c r="Z263" s="1546"/>
      <c r="AA263" s="1758"/>
      <c r="AB263" s="300" t="str">
        <f>AB262&amp;".1"</f>
        <v>2.12.1</v>
      </c>
      <c r="AC263" s="762" t="s">
        <v>2281</v>
      </c>
      <c r="AD263" s="766" t="s">
        <v>2279</v>
      </c>
      <c r="AE263" s="766" t="s">
        <v>1514</v>
      </c>
      <c r="AF263" s="298"/>
      <c r="AG263" s="298"/>
      <c r="AH263" s="846"/>
      <c r="AI263" s="1758"/>
      <c r="AJ263" s="1758"/>
      <c r="AK263" s="1758"/>
      <c r="AL263" s="997" t="s">
        <v>2282</v>
      </c>
      <c r="AM263" s="1758"/>
      <c r="AN263" s="1758"/>
      <c r="AO263" s="1758"/>
      <c r="AP263" s="1758"/>
      <c r="AQ263" s="1758"/>
    </row>
    <row s="1834" customFormat="1" customHeight="1" ht="21.75">
      <c r="A264" s="1758"/>
      <c r="B264" s="1416"/>
      <c r="C264" s="1758"/>
      <c r="D264" s="1758"/>
      <c r="E264" s="618">
        <v>22.5</v>
      </c>
      <c r="F264" s="50" cm="1" t="str">
        <f t="array" ref="F264:F264">OFFSET(E264,-1,1)</f>
        <v>4</v>
      </c>
      <c r="G264" s="426"/>
      <c r="H264" s="85"/>
      <c r="I264" s="426"/>
      <c r="J264" s="1758"/>
      <c r="K264" s="124"/>
      <c r="L264" s="124"/>
      <c r="M264" s="124"/>
      <c r="N264" s="1758"/>
      <c r="O264" s="1758"/>
      <c r="P264" s="1758"/>
      <c r="Q264" s="1758"/>
      <c r="R264" s="1758"/>
      <c r="S264" s="1806"/>
      <c r="T264" s="465" cm="1" t="str">
        <f t="array" ref="T264:T264">T263</f>
        <v>true</v>
      </c>
      <c r="U264" s="1758"/>
      <c r="V264" s="1758"/>
      <c r="W264" s="1758"/>
      <c r="X264" s="1563"/>
      <c r="Y264" s="1758"/>
      <c r="Z264" s="1546"/>
      <c r="AA264" s="1758"/>
      <c r="AB264" s="300" t="str">
        <f>AB262&amp;".2"</f>
        <v>2.12.2</v>
      </c>
      <c r="AC264" s="762" t="s">
        <v>2283</v>
      </c>
      <c r="AD264" s="766" t="s">
        <v>2279</v>
      </c>
      <c r="AE264" s="766" t="s">
        <v>1514</v>
      </c>
      <c r="AF264" s="298"/>
      <c r="AG264" s="298"/>
      <c r="AH264" s="846"/>
      <c r="AI264" s="1758"/>
      <c r="AJ264" s="1758"/>
      <c r="AK264" s="1758"/>
      <c r="AL264" s="997" t="s">
        <v>2284</v>
      </c>
      <c r="AM264" s="1758"/>
      <c r="AN264" s="1758"/>
      <c r="AO264" s="1758"/>
      <c r="AP264" s="1758"/>
      <c r="AQ264" s="1758"/>
    </row>
    <row s="1834" customFormat="1" customHeight="1" ht="14.25">
      <c r="A265" s="1758"/>
      <c r="B265" s="1416"/>
      <c r="C265" s="1758"/>
      <c r="D265" s="1758"/>
      <c r="E265" s="618">
        <v>15</v>
      </c>
      <c r="F265" s="50" cm="1" t="str">
        <f t="array" ref="F265:F265">OFFSET(E265,-1,1)</f>
        <v>4</v>
      </c>
      <c r="G265" s="426"/>
      <c r="H265" s="85"/>
      <c r="I265" s="426"/>
      <c r="J265" s="1758"/>
      <c r="K265" s="124"/>
      <c r="L265" s="124"/>
      <c r="M265" s="124"/>
      <c r="N265" s="1758"/>
      <c r="O265" s="1758"/>
      <c r="P265" s="1758"/>
      <c r="Q265" s="1758"/>
      <c r="R265" s="1758"/>
      <c r="S265" s="1806"/>
      <c r="T265" s="465" cm="1" t="str">
        <f t="array" ref="T265:T265">T264</f>
        <v>true</v>
      </c>
      <c r="U265" s="1758"/>
      <c r="V265" s="1758"/>
      <c r="W265" s="1758"/>
      <c r="X265" s="1563"/>
      <c r="Y265" s="1758"/>
      <c r="Z265" s="1546"/>
      <c r="AA265" s="1758"/>
      <c r="AB265" s="300" t="str">
        <f>IF(B261,"2.13","2.11")</f>
        <v>2.13</v>
      </c>
      <c r="AC265" s="762" t="s">
        <v>2285</v>
      </c>
      <c r="AD265" s="766" t="s">
        <v>2279</v>
      </c>
      <c r="AE265" s="766" t="s">
        <v>1514</v>
      </c>
      <c r="AF265" s="298"/>
      <c r="AG265" s="298"/>
      <c r="AH265" s="846"/>
      <c r="AI265" s="1758"/>
      <c r="AJ265" s="1758"/>
      <c r="AK265" s="1758"/>
      <c r="AL265" s="997" t="s">
        <v>2286</v>
      </c>
      <c r="AM265" s="1758"/>
      <c r="AN265" s="1758"/>
      <c r="AO265" s="1758"/>
      <c r="AP265" s="1758"/>
      <c r="AQ265" s="1758"/>
    </row>
    <row s="1834" customFormat="1" customHeight="1" ht="14.25">
      <c r="A266" s="1758"/>
      <c r="B266" s="1416"/>
      <c r="C266" s="1758"/>
      <c r="D266" s="1758"/>
      <c r="E266" s="618">
        <v>15</v>
      </c>
      <c r="F266" s="50" cm="1" t="str">
        <f t="array" ref="F266:F266">OFFSET(E266,-1,1)</f>
        <v>4</v>
      </c>
      <c r="G266" s="426"/>
      <c r="H266" s="85"/>
      <c r="I266" s="426"/>
      <c r="J266" s="1758"/>
      <c r="K266" s="124"/>
      <c r="L266" s="124"/>
      <c r="M266" s="124"/>
      <c r="N266" s="1758"/>
      <c r="O266" s="1758"/>
      <c r="P266" s="1758"/>
      <c r="Q266" s="1758"/>
      <c r="R266" s="1758"/>
      <c r="S266" s="1806"/>
      <c r="T266" s="465" cm="1" t="str">
        <f t="array" ref="T266:T266">T265</f>
        <v>true</v>
      </c>
      <c r="U266" s="1758"/>
      <c r="V266" s="1758"/>
      <c r="W266" s="1758"/>
      <c r="X266" s="1563"/>
      <c r="Y266" s="1758"/>
      <c r="Z266" s="1546"/>
      <c r="AA266" s="1758"/>
      <c r="AB266" s="300" t="str">
        <f>IF(B261,"2.14","2.12")</f>
        <v>2.14</v>
      </c>
      <c r="AC266" s="762" t="s">
        <v>2287</v>
      </c>
      <c r="AD266" s="766" t="s">
        <v>2279</v>
      </c>
      <c r="AE266" s="766" t="s">
        <v>1514</v>
      </c>
      <c r="AF266" s="298"/>
      <c r="AG266" s="298"/>
      <c r="AH266" s="846"/>
      <c r="AI266" s="1758"/>
      <c r="AJ266" s="1758"/>
      <c r="AK266" s="1758"/>
      <c r="AL266" s="997" t="s">
        <v>2288</v>
      </c>
      <c r="AM266" s="1758"/>
      <c r="AN266" s="1758"/>
      <c r="AO266" s="1758"/>
      <c r="AP266" s="1758"/>
      <c r="AQ266" s="1758"/>
    </row>
    <row s="1469" customFormat="1" customHeight="1" ht="21.75">
      <c r="A267" s="698"/>
      <c r="B267" s="431"/>
      <c r="C267" s="698"/>
      <c r="D267" s="698"/>
      <c r="E267" s="691">
        <v>22.5</v>
      </c>
      <c r="F267" s="50" cm="1" t="str">
        <f t="array" ref="F267:F267">OFFSET(E267,-1,1)</f>
        <v>4</v>
      </c>
      <c r="G267" s="147"/>
      <c r="H267" s="147"/>
      <c r="I267" s="426" t="s">
        <v>333</v>
      </c>
      <c r="J267" s="698"/>
      <c r="K267" s="497"/>
      <c r="L267" s="497"/>
      <c r="M267" s="497"/>
      <c r="N267" s="698"/>
      <c r="O267" s="698"/>
      <c r="P267" s="698"/>
      <c r="Q267" s="698"/>
      <c r="R267" s="698"/>
      <c r="S267" s="698"/>
      <c r="T267" s="465" cm="1" t="str">
        <f t="array" ref="T267:T267">T266</f>
        <v>true</v>
      </c>
      <c r="U267" s="698"/>
      <c r="V267" s="698"/>
      <c r="W267" s="698"/>
      <c r="X267" s="1563"/>
      <c r="Y267" s="698"/>
      <c r="Z267" s="1546"/>
      <c r="AA267" s="698"/>
      <c r="AB267" s="211" t="s">
        <v>2289</v>
      </c>
      <c r="AC267" s="212" t="s">
        <v>2290</v>
      </c>
      <c r="AD267" s="211" t="s">
        <v>2152</v>
      </c>
      <c r="AE267" s="234" t="s">
        <v>1514</v>
      </c>
      <c r="AF267" s="844" cm="1" t="str">
        <f t="array" ref="AF267:AF267">AF268</f>
        <v>0</v>
      </c>
      <c r="AG267" s="844" cm="1" t="str">
        <f t="array" ref="AG267:AG267">AG268</f>
        <v>0</v>
      </c>
      <c r="AH267" s="845"/>
      <c r="AI267" s="698"/>
      <c r="AJ267" s="698"/>
      <c r="AK267" s="698"/>
      <c r="AL267" s="1051" t="s">
        <v>2291</v>
      </c>
      <c r="AM267" s="698"/>
      <c r="AN267" s="698"/>
      <c r="AO267" s="698"/>
      <c r="AP267" s="698"/>
      <c r="AQ267" s="698"/>
    </row>
    <row s="1834" customFormat="1" customHeight="1" ht="32.25">
      <c r="A268" s="1758"/>
      <c r="B268" s="1416"/>
      <c r="C268" s="1758"/>
      <c r="D268" s="1758"/>
      <c r="E268" s="618">
        <v>33.75</v>
      </c>
      <c r="F268" s="50" cm="1" t="str">
        <f t="array" ref="F268:F268">OFFSET(E268,-1,1)</f>
        <v>4</v>
      </c>
      <c r="G268" s="426"/>
      <c r="H268" s="85"/>
      <c r="I268" s="426" t="s">
        <v>1193</v>
      </c>
      <c r="J268" s="1758"/>
      <c r="K268" s="124"/>
      <c r="L268" s="124"/>
      <c r="M268" s="124"/>
      <c r="N268" s="1758"/>
      <c r="O268" s="1758"/>
      <c r="P268" s="1758"/>
      <c r="Q268" s="1758"/>
      <c r="R268" s="1758"/>
      <c r="S268" s="1806"/>
      <c r="T268" s="465" cm="1" t="str">
        <f t="array" ref="T268:T268">T267</f>
        <v>true</v>
      </c>
      <c r="U268" s="1758"/>
      <c r="V268" s="1758"/>
      <c r="W268" s="1758"/>
      <c r="X268" s="1563"/>
      <c r="Y268" s="1758"/>
      <c r="Z268" s="1546"/>
      <c r="AA268" s="1758"/>
      <c r="AB268" s="299" t="s">
        <v>276</v>
      </c>
      <c r="AC268" s="452" t="s">
        <v>2292</v>
      </c>
      <c r="AD268" s="300" t="s">
        <v>2293</v>
      </c>
      <c r="AE268" s="766" t="s">
        <v>1514</v>
      </c>
      <c r="AF268" s="934">
        <f>AF269+AF270</f>
        <v>0</v>
      </c>
      <c r="AG268" s="934">
        <f>AG269+AG270</f>
        <v>0</v>
      </c>
      <c r="AH268" s="846"/>
      <c r="AI268" s="1758"/>
      <c r="AJ268" s="1758"/>
      <c r="AK268" s="1758"/>
      <c r="AL268" s="997" t="s">
        <v>2294</v>
      </c>
      <c r="AM268" s="1758"/>
      <c r="AN268" s="1758"/>
      <c r="AO268" s="1758"/>
      <c r="AP268" s="1758"/>
      <c r="AQ268" s="1758"/>
    </row>
    <row s="1834" customFormat="1" customHeight="1" ht="43.5">
      <c r="A269" s="1758"/>
      <c r="B269" s="1416"/>
      <c r="C269" s="1758"/>
      <c r="D269" s="1758"/>
      <c r="E269" s="618">
        <v>45</v>
      </c>
      <c r="F269" s="50" cm="1" t="str">
        <f t="array" ref="F269:F269">OFFSET(E269,-1,1)</f>
        <v>4</v>
      </c>
      <c r="G269" s="426"/>
      <c r="H269" s="85"/>
      <c r="I269" s="426" t="s">
        <v>2295</v>
      </c>
      <c r="J269" s="1758"/>
      <c r="K269" s="124"/>
      <c r="L269" s="124"/>
      <c r="M269" s="124"/>
      <c r="N269" s="1758"/>
      <c r="O269" s="1758"/>
      <c r="P269" s="1758"/>
      <c r="Q269" s="1758"/>
      <c r="R269" s="1758"/>
      <c r="S269" s="1806"/>
      <c r="T269" s="465" cm="1" t="str">
        <f t="array" ref="T269:T269">T268</f>
        <v>true</v>
      </c>
      <c r="U269" s="1758"/>
      <c r="V269" s="1758"/>
      <c r="W269" s="1758"/>
      <c r="X269" s="1563"/>
      <c r="Y269" s="1758"/>
      <c r="Z269" s="1546"/>
      <c r="AA269" s="1758"/>
      <c r="AB269" s="299" t="s">
        <v>1628</v>
      </c>
      <c r="AC269" s="762" t="s">
        <v>2296</v>
      </c>
      <c r="AD269" s="300" t="s">
        <v>2297</v>
      </c>
      <c r="AE269" s="766" t="s">
        <v>1514</v>
      </c>
      <c r="AF269" s="298"/>
      <c r="AG269" s="298"/>
      <c r="AH269" s="846"/>
      <c r="AI269" s="1758"/>
      <c r="AJ269" s="1758"/>
      <c r="AK269" s="1758"/>
      <c r="AL269" s="997" t="s">
        <v>2298</v>
      </c>
      <c r="AM269" s="1758"/>
      <c r="AN269" s="1758"/>
      <c r="AO269" s="1758"/>
      <c r="AP269" s="1758"/>
      <c r="AQ269" s="1758"/>
    </row>
    <row s="1834" customFormat="1" customHeight="1" ht="32.25">
      <c r="A270" s="1758"/>
      <c r="B270" s="1416"/>
      <c r="C270" s="1758"/>
      <c r="D270" s="1758"/>
      <c r="E270" s="618">
        <v>33.75</v>
      </c>
      <c r="F270" s="50" cm="1" t="str">
        <f t="array" ref="F270:F270">OFFSET(E270,-1,1)</f>
        <v>4</v>
      </c>
      <c r="G270" s="426"/>
      <c r="H270" s="85"/>
      <c r="I270" s="426" t="s">
        <v>2299</v>
      </c>
      <c r="J270" s="1758"/>
      <c r="K270" s="124"/>
      <c r="L270" s="124"/>
      <c r="M270" s="124"/>
      <c r="N270" s="1758"/>
      <c r="O270" s="1758"/>
      <c r="P270" s="1758"/>
      <c r="Q270" s="1758"/>
      <c r="R270" s="1758"/>
      <c r="S270" s="1806"/>
      <c r="T270" s="465" cm="1" t="str">
        <f t="array" ref="T270:T270">T269</f>
        <v>true</v>
      </c>
      <c r="U270" s="1758"/>
      <c r="V270" s="1758"/>
      <c r="W270" s="1758"/>
      <c r="X270" s="1563"/>
      <c r="Y270" s="1758"/>
      <c r="Z270" s="1546"/>
      <c r="AA270" s="1758"/>
      <c r="AB270" s="299" t="s">
        <v>1631</v>
      </c>
      <c r="AC270" s="762" t="s">
        <v>2300</v>
      </c>
      <c r="AD270" s="300" t="s">
        <v>2301</v>
      </c>
      <c r="AE270" s="766" t="s">
        <v>1514</v>
      </c>
      <c r="AF270" s="298"/>
      <c r="AG270" s="298"/>
      <c r="AH270" s="846"/>
      <c r="AI270" s="1758"/>
      <c r="AJ270" s="1758"/>
      <c r="AK270" s="1758"/>
      <c r="AL270" s="997" t="s">
        <v>2302</v>
      </c>
      <c r="AM270" s="1758"/>
      <c r="AN270" s="1758"/>
      <c r="AO270" s="1758"/>
      <c r="AP270" s="1758"/>
      <c r="AQ270" s="1758"/>
    </row>
    <row s="1834" customFormat="1" customHeight="1" ht="33.75">
      <c r="A271" s="1758"/>
      <c r="B271" s="1416"/>
      <c r="C271" s="1758"/>
      <c r="D271" s="1758"/>
      <c r="E271" s="618">
        <v>35</v>
      </c>
      <c r="F271" s="50" cm="1" t="str">
        <f t="array" ref="F271:F271">OFFSET(E271,-1,1)</f>
        <v>4</v>
      </c>
      <c r="G271" s="426"/>
      <c r="H271" s="85"/>
      <c r="I271" s="426" t="s">
        <v>334</v>
      </c>
      <c r="J271" s="1758"/>
      <c r="K271" s="124" t="str">
        <f>F271&amp;"1komm"</f>
        <v>41komm</v>
      </c>
      <c r="L271" s="919" cm="1" t="str">
        <f t="array" ref="L271:L271">AH271</f>
        <v>0</v>
      </c>
      <c r="M271" s="124"/>
      <c r="N271" s="1758"/>
      <c r="O271" s="1758"/>
      <c r="P271" s="1758"/>
      <c r="Q271" s="1758"/>
      <c r="R271" s="1758"/>
      <c r="S271" s="1806"/>
      <c r="T271" s="465" cm="1" t="str">
        <f t="array" ref="T271:T271">T270</f>
        <v>true</v>
      </c>
      <c r="U271" s="1758"/>
      <c r="V271" s="1758"/>
      <c r="W271" s="1758"/>
      <c r="X271" s="1563"/>
      <c r="Y271" s="1758"/>
      <c r="Z271" s="1546"/>
      <c r="AA271" s="1758"/>
      <c r="AB271" s="234" t="s">
        <v>2303</v>
      </c>
      <c r="AC271" s="212" t="s">
        <v>2304</v>
      </c>
      <c r="AD271" s="211" t="s">
        <v>2305</v>
      </c>
      <c r="AE271" s="234" t="s">
        <v>1514</v>
      </c>
      <c r="AF271" s="382"/>
      <c r="AG271" s="382"/>
      <c r="AH271" s="846"/>
      <c r="AI271" s="1758"/>
      <c r="AJ271" s="1758"/>
      <c r="AK271" s="1758"/>
      <c r="AL271" s="997" t="s">
        <v>2306</v>
      </c>
      <c r="AM271" s="1758"/>
      <c r="AN271" s="1758"/>
      <c r="AO271" s="1758"/>
      <c r="AP271" s="1758"/>
      <c r="AQ271" s="1758"/>
    </row>
    <row s="1834" customFormat="1" customHeight="1" ht="107.25">
      <c r="A272" s="1758"/>
      <c r="B272" s="1416"/>
      <c r="C272" s="1758"/>
      <c r="D272" s="1758"/>
      <c r="E272" s="618">
        <v>110</v>
      </c>
      <c r="F272" s="50" cm="1" t="str">
        <f t="array" ref="F272:F272">OFFSET(E272,-1,1)</f>
        <v>4</v>
      </c>
      <c r="G272" s="426"/>
      <c r="H272" s="85"/>
      <c r="I272" s="426" t="s">
        <v>336</v>
      </c>
      <c r="J272" s="1758"/>
      <c r="K272" s="124" t="str">
        <f>F272&amp;"2komm"</f>
        <v>42komm</v>
      </c>
      <c r="L272" s="919" cm="1" t="str">
        <f t="array" ref="L272:L272">AH272</f>
        <v>0</v>
      </c>
      <c r="M272" s="124"/>
      <c r="N272" s="1758"/>
      <c r="O272" s="1758"/>
      <c r="P272" s="1758"/>
      <c r="Q272" s="1758"/>
      <c r="R272" s="1758"/>
      <c r="S272" s="1806"/>
      <c r="T272" s="465" cm="1" t="str">
        <f t="array" ref="T272:T272">T271</f>
        <v>true</v>
      </c>
      <c r="U272" s="1758"/>
      <c r="V272" s="1758"/>
      <c r="W272" s="1758"/>
      <c r="X272" s="1563"/>
      <c r="Y272" s="1758"/>
      <c r="Z272" s="1546"/>
      <c r="AA272" s="1758"/>
      <c r="AB272" s="234" t="s">
        <v>2307</v>
      </c>
      <c r="AC272" s="212" t="s">
        <v>2308</v>
      </c>
      <c r="AD272" s="211" t="s">
        <v>2309</v>
      </c>
      <c r="AE272" s="234" t="s">
        <v>1514</v>
      </c>
      <c r="AF272" s="382"/>
      <c r="AG272" s="382"/>
      <c r="AH272" s="846"/>
      <c r="AI272" s="1758"/>
      <c r="AJ272" s="1758"/>
      <c r="AK272" s="1758"/>
      <c r="AL272" s="997" t="s">
        <v>1745</v>
      </c>
      <c r="AM272" s="1758"/>
      <c r="AN272" s="1758"/>
      <c r="AO272" s="1758"/>
      <c r="AP272" s="1758"/>
      <c r="AQ272" s="1758"/>
    </row>
    <row s="1834" customFormat="1" customHeight="1" ht="76.5">
      <c r="A273" s="1758"/>
      <c r="B273" s="428">
        <f>S231="Водоотведение"</f>
        <v>1</v>
      </c>
      <c r="C273" s="1758"/>
      <c r="D273" s="1758"/>
      <c r="E273" s="618">
        <v>78.75</v>
      </c>
      <c r="F273" s="50" cm="1" t="str">
        <f t="array" ref="F273:F273">OFFSET(E273,-1,1)</f>
        <v>4</v>
      </c>
      <c r="G273" s="1021"/>
      <c r="H273" s="49"/>
      <c r="I273" s="122" t="s">
        <v>335</v>
      </c>
      <c r="J273" s="1758"/>
      <c r="K273" s="124" t="str">
        <f>F273&amp;"3komm"</f>
        <v>43komm</v>
      </c>
      <c r="L273" s="919" cm="1" t="str">
        <f t="array" ref="L273:L273">AH273</f>
        <v>0</v>
      </c>
      <c r="M273" s="124"/>
      <c r="N273" s="1758"/>
      <c r="O273" s="1758"/>
      <c r="P273" s="1758"/>
      <c r="Q273" s="1758"/>
      <c r="R273" s="1758"/>
      <c r="S273" s="1806"/>
      <c r="T273" s="465" cm="1" t="str">
        <f t="array" ref="T273:T273">T272</f>
        <v>true</v>
      </c>
      <c r="U273" s="1758"/>
      <c r="V273" s="1758"/>
      <c r="W273" s="1758"/>
      <c r="X273" s="1563"/>
      <c r="Y273" s="1758"/>
      <c r="Z273" s="1546"/>
      <c r="AA273" s="1758"/>
      <c r="AB273" s="234" t="s">
        <v>2310</v>
      </c>
      <c r="AC273" s="212" t="s">
        <v>2311</v>
      </c>
      <c r="AD273" s="211"/>
      <c r="AE273" s="234" t="s">
        <v>1514</v>
      </c>
      <c r="AF273" s="382"/>
      <c r="AG273" s="225">
        <f>_xlfn.IFERROR(_xlfn.SUMIFS('Плата за негативное возд'!$AL$24:$AL$41,'Плата за негативное возд'!$F$24:$F$41,F273,'Плата за негативное возд'!$AB$24:$AB$41,"1"),0)</f>
        <v>0</v>
      </c>
      <c r="AH273" s="846"/>
      <c r="AI273" s="1758"/>
      <c r="AJ273" s="1758"/>
      <c r="AK273" s="1758"/>
      <c r="AL273" s="997" t="s">
        <v>2312</v>
      </c>
      <c r="AM273" s="1758"/>
      <c r="AN273" s="1758"/>
      <c r="AO273" s="1758"/>
      <c r="AP273" s="1758"/>
      <c r="AQ273" s="1758"/>
    </row>
    <row s="1834" customFormat="1" customHeight="1" ht="54.75">
      <c r="A274" s="1758"/>
      <c r="B274" s="428" cm="1" t="str">
        <f t="array" ref="B274:B274">B273</f>
        <v>true</v>
      </c>
      <c r="C274" s="1758"/>
      <c r="D274" s="1758"/>
      <c r="E274" s="618">
        <v>56.25</v>
      </c>
      <c r="F274" s="50" cm="1" t="str">
        <f t="array" ref="F274:F274">OFFSET(E274,-1,1)</f>
        <v>4</v>
      </c>
      <c r="G274" s="1021"/>
      <c r="H274" s="49"/>
      <c r="I274" s="122" t="s">
        <v>1225</v>
      </c>
      <c r="J274" s="1758"/>
      <c r="K274" s="124" t="str">
        <f>F274&amp;"4komm"</f>
        <v>44komm</v>
      </c>
      <c r="L274" s="919" cm="1" t="str">
        <f t="array" ref="L274:L274">AH274</f>
        <v>0</v>
      </c>
      <c r="M274" s="124"/>
      <c r="N274" s="1758"/>
      <c r="O274" s="1758"/>
      <c r="P274" s="1758"/>
      <c r="Q274" s="1758"/>
      <c r="R274" s="1758"/>
      <c r="S274" s="1806"/>
      <c r="T274" s="465" cm="1" t="str">
        <f t="array" ref="T274:T274">T273</f>
        <v>true</v>
      </c>
      <c r="U274" s="1758"/>
      <c r="V274" s="1758"/>
      <c r="W274" s="1758"/>
      <c r="X274" s="1563"/>
      <c r="Y274" s="1758"/>
      <c r="Z274" s="1546"/>
      <c r="AA274" s="1758"/>
      <c r="AB274" s="234" t="s">
        <v>2313</v>
      </c>
      <c r="AC274" s="212" t="s">
        <v>2314</v>
      </c>
      <c r="AD274" s="211"/>
      <c r="AE274" s="234" t="s">
        <v>1514</v>
      </c>
      <c r="AF274" s="382"/>
      <c r="AG274" s="225">
        <f>_xlfn.IFERROR(_xlfn.SUMIFS('Плата за негативное возд'!$AL$24:$AL$41,'Плата за негативное возд'!$F$24:$F$41,F274,'Плата за негативное возд'!$AB$24:$AB$41,"2"),0)</f>
        <v>0</v>
      </c>
      <c r="AH274" s="846"/>
      <c r="AI274" s="1758"/>
      <c r="AJ274" s="1758"/>
      <c r="AK274" s="1758"/>
      <c r="AL274" s="997" t="s">
        <v>2315</v>
      </c>
      <c r="AM274" s="1758"/>
      <c r="AN274" s="1758"/>
      <c r="AO274" s="1758"/>
      <c r="AP274" s="1758"/>
      <c r="AQ274" s="1758"/>
    </row>
    <row s="1834" customFormat="1" customHeight="1" ht="14.25">
      <c r="A275" s="1758"/>
      <c r="B275" s="1416"/>
      <c r="C275" s="1758"/>
      <c r="D275" s="1758"/>
      <c r="E275" s="618">
        <v>15</v>
      </c>
      <c r="F275" s="50" cm="1" t="str">
        <f t="array" ref="F275:F275">OFFSET(E275,-1,1)</f>
        <v>4</v>
      </c>
      <c r="G275" s="1021"/>
      <c r="H275" s="85"/>
      <c r="I275" s="122" t="s">
        <v>1228</v>
      </c>
      <c r="J275" s="1758"/>
      <c r="K275" s="124" t="str">
        <f>F275&amp;"5komm"</f>
        <v>45komm</v>
      </c>
      <c r="L275" s="919" cm="1" t="str">
        <f t="array" ref="L275:L275">AH275</f>
        <v>0</v>
      </c>
      <c r="M275" s="124"/>
      <c r="N275" s="1758"/>
      <c r="O275" s="1758"/>
      <c r="P275" s="1758"/>
      <c r="Q275" s="1758"/>
      <c r="R275" s="1758"/>
      <c r="S275" s="1806"/>
      <c r="T275" s="465" cm="1" t="str">
        <f t="array" ref="T275:T275">T274</f>
        <v>true</v>
      </c>
      <c r="U275" s="1758"/>
      <c r="V275" s="1758"/>
      <c r="W275" s="1758"/>
      <c r="X275" s="1563"/>
      <c r="Y275" s="1758"/>
      <c r="Z275" s="1546"/>
      <c r="AA275" s="1758"/>
      <c r="AB275" s="234" t="str">
        <f>IF(B274,"VII","V")</f>
        <v>VII</v>
      </c>
      <c r="AC275" s="212" t="s">
        <v>2316</v>
      </c>
      <c r="AD275" s="211"/>
      <c r="AE275" s="234" t="s">
        <v>1514</v>
      </c>
      <c r="AF275" s="382"/>
      <c r="AG275" s="382"/>
      <c r="AH275" s="846"/>
      <c r="AI275" s="1758"/>
      <c r="AJ275" s="1758"/>
      <c r="AK275" s="1758"/>
      <c r="AL275" s="997" t="s">
        <v>2317</v>
      </c>
      <c r="AM275" s="1758"/>
      <c r="AN275" s="1758"/>
      <c r="AO275" s="1758"/>
      <c r="AP275" s="1758"/>
      <c r="AQ275" s="1758"/>
    </row>
    <row s="1469" customFormat="1" customHeight="1" ht="14.25">
      <c r="A276" s="698"/>
      <c r="B276" s="431"/>
      <c r="C276" s="698"/>
      <c r="D276" s="698"/>
      <c r="E276" s="691">
        <v>15</v>
      </c>
      <c r="F276" s="50" cm="1" t="str">
        <f t="array" ref="F276:F276">OFFSET(E276,-1,1)</f>
        <v>4</v>
      </c>
      <c r="G276" s="497"/>
      <c r="H276" s="698"/>
      <c r="I276" s="241" t="s">
        <v>1275</v>
      </c>
      <c r="J276" s="698"/>
      <c r="K276" s="124" t="str">
        <f>F276&amp;"6komm"</f>
        <v>46komm</v>
      </c>
      <c r="L276" s="919" cm="1" t="str">
        <f t="array" ref="L276:L276">AH276</f>
        <v>0</v>
      </c>
      <c r="M276" s="497"/>
      <c r="N276" s="698"/>
      <c r="O276" s="698"/>
      <c r="P276" s="698"/>
      <c r="Q276" s="698"/>
      <c r="R276" s="698"/>
      <c r="S276" s="698"/>
      <c r="T276" s="465" cm="1" t="str">
        <f t="array" ref="T276:T276">T275</f>
        <v>true</v>
      </c>
      <c r="U276" s="698"/>
      <c r="V276" s="698"/>
      <c r="W276" s="698"/>
      <c r="X276" s="1563"/>
      <c r="Y276" s="698"/>
      <c r="Z276" s="1546"/>
      <c r="AA276" s="698"/>
      <c r="AB276" s="234" t="str">
        <f>IF(B274,"VIII","VI")</f>
        <v>VIII</v>
      </c>
      <c r="AC276" s="212" t="s">
        <v>2278</v>
      </c>
      <c r="AD276" s="211"/>
      <c r="AE276" s="234" t="s">
        <v>1514</v>
      </c>
      <c r="AF276" s="382">
        <f>AF277+AF278</f>
        <v>0</v>
      </c>
      <c r="AG276" s="382">
        <f>AG277+AG278</f>
        <v>0</v>
      </c>
      <c r="AH276" s="846"/>
      <c r="AI276" s="698"/>
      <c r="AJ276" s="698"/>
      <c r="AK276" s="698"/>
      <c r="AL276" s="1051" t="s">
        <v>2318</v>
      </c>
      <c r="AM276" s="698"/>
      <c r="AN276" s="698"/>
      <c r="AO276" s="698"/>
      <c r="AP276" s="698"/>
      <c r="AQ276" s="698"/>
    </row>
    <row s="1834" customFormat="1" customHeight="1" ht="21.75">
      <c r="A277" s="1758"/>
      <c r="B277" s="1416"/>
      <c r="C277" s="1758"/>
      <c r="D277" s="1758"/>
      <c r="E277" s="618">
        <v>22.5</v>
      </c>
      <c r="F277" s="50" cm="1" t="str">
        <f t="array" ref="F277:F277">OFFSET(E277,-1,1)</f>
        <v>4</v>
      </c>
      <c r="G277" s="1021"/>
      <c r="H277" s="85"/>
      <c r="I277" s="122" t="s">
        <v>1278</v>
      </c>
      <c r="J277" s="1758"/>
      <c r="K277" s="124" t="str">
        <f>F277&amp;"7komm"</f>
        <v>47komm</v>
      </c>
      <c r="L277" s="919" cm="1" t="str">
        <f t="array" ref="L277:L277">AH277</f>
        <v>0</v>
      </c>
      <c r="M277" s="124"/>
      <c r="N277" s="1758"/>
      <c r="O277" s="1758"/>
      <c r="P277" s="1758"/>
      <c r="Q277" s="1758"/>
      <c r="R277" s="1758"/>
      <c r="S277" s="1806"/>
      <c r="T277" s="465" cm="1" t="str">
        <f t="array" ref="T277:T277">T276</f>
        <v>true</v>
      </c>
      <c r="U277" s="1758"/>
      <c r="V277" s="1758"/>
      <c r="W277" s="1758"/>
      <c r="X277" s="1563"/>
      <c r="Y277" s="1758"/>
      <c r="Z277" s="1546"/>
      <c r="AA277" s="1758"/>
      <c r="AB277" s="766">
        <v>1</v>
      </c>
      <c r="AC277" s="762" t="s">
        <v>2281</v>
      </c>
      <c r="AD277" s="300"/>
      <c r="AE277" s="766" t="s">
        <v>1514</v>
      </c>
      <c r="AF277" s="298"/>
      <c r="AG277" s="298"/>
      <c r="AH277" s="846"/>
      <c r="AI277" s="1758"/>
      <c r="AJ277" s="1758"/>
      <c r="AK277" s="1758"/>
      <c r="AL277" s="997" t="s">
        <v>2319</v>
      </c>
      <c r="AM277" s="1758"/>
      <c r="AN277" s="1758"/>
      <c r="AO277" s="1758"/>
      <c r="AP277" s="1758"/>
      <c r="AQ277" s="1758"/>
    </row>
    <row s="1834" customFormat="1" customHeight="1" ht="21.75">
      <c r="A278" s="1758"/>
      <c r="B278" s="1416"/>
      <c r="C278" s="1758"/>
      <c r="D278" s="1758"/>
      <c r="E278" s="618">
        <v>22.5</v>
      </c>
      <c r="F278" s="50" cm="1" t="str">
        <f t="array" ref="F278:F278">OFFSET(E278,-1,1)</f>
        <v>4</v>
      </c>
      <c r="G278" s="1021"/>
      <c r="H278" s="85"/>
      <c r="I278" s="122" t="s">
        <v>1282</v>
      </c>
      <c r="J278" s="1758"/>
      <c r="K278" s="124" t="str">
        <f>F278&amp;"8komm"</f>
        <v>48komm</v>
      </c>
      <c r="L278" s="919" cm="1" t="str">
        <f t="array" ref="L278:L278">AH278</f>
        <v>0</v>
      </c>
      <c r="M278" s="124"/>
      <c r="N278" s="1758"/>
      <c r="O278" s="1758"/>
      <c r="P278" s="1758"/>
      <c r="Q278" s="1758"/>
      <c r="R278" s="1758"/>
      <c r="S278" s="1806"/>
      <c r="T278" s="465" cm="1" t="str">
        <f t="array" ref="T278:T278">T277</f>
        <v>true</v>
      </c>
      <c r="U278" s="1758"/>
      <c r="V278" s="1758"/>
      <c r="W278" s="1758"/>
      <c r="X278" s="1563"/>
      <c r="Y278" s="1758"/>
      <c r="Z278" s="1546"/>
      <c r="AA278" s="1758"/>
      <c r="AB278" s="766">
        <v>2</v>
      </c>
      <c r="AC278" s="762" t="s">
        <v>2283</v>
      </c>
      <c r="AD278" s="300"/>
      <c r="AE278" s="766" t="s">
        <v>1514</v>
      </c>
      <c r="AF278" s="298"/>
      <c r="AG278" s="298"/>
      <c r="AH278" s="846"/>
      <c r="AI278" s="1758"/>
      <c r="AJ278" s="1758"/>
      <c r="AK278" s="1758"/>
      <c r="AL278" s="997" t="s">
        <v>2320</v>
      </c>
      <c r="AM278" s="1758"/>
      <c r="AN278" s="1758"/>
      <c r="AO278" s="1758"/>
      <c r="AP278" s="1758"/>
      <c r="AQ278" s="1758"/>
    </row>
    <row s="1834" customFormat="1" customHeight="1" ht="14.25">
      <c r="A279" s="1758"/>
      <c r="B279" s="1416"/>
      <c r="C279" s="1758"/>
      <c r="D279" s="1758"/>
      <c r="E279" s="618">
        <v>15</v>
      </c>
      <c r="F279" s="50" cm="1" t="str">
        <f t="array" ref="F279:F279">OFFSET(E279,-1,1)</f>
        <v>4</v>
      </c>
      <c r="G279" s="1021"/>
      <c r="H279" s="85"/>
      <c r="I279" s="122" t="s">
        <v>1290</v>
      </c>
      <c r="J279" s="1758"/>
      <c r="K279" s="124" t="str">
        <f>F279&amp;"9komm"</f>
        <v>49komm</v>
      </c>
      <c r="L279" s="919" cm="1" t="str">
        <f t="array" ref="L279:L279">AH279</f>
        <v>0</v>
      </c>
      <c r="M279" s="124"/>
      <c r="N279" s="1758"/>
      <c r="O279" s="1758"/>
      <c r="P279" s="1758"/>
      <c r="Q279" s="1758"/>
      <c r="R279" s="1758"/>
      <c r="S279" s="1806"/>
      <c r="T279" s="465" cm="1" t="str">
        <f t="array" ref="T279:T279">T278</f>
        <v>true</v>
      </c>
      <c r="U279" s="1758"/>
      <c r="V279" s="1758"/>
      <c r="W279" s="1758"/>
      <c r="X279" s="1563"/>
      <c r="Y279" s="1758"/>
      <c r="Z279" s="1546"/>
      <c r="AA279" s="1758"/>
      <c r="AB279" s="234" t="str">
        <f>IF(B274,"IX","VIII")</f>
        <v>IX</v>
      </c>
      <c r="AC279" s="212" t="s">
        <v>2285</v>
      </c>
      <c r="AD279" s="211"/>
      <c r="AE279" s="234" t="s">
        <v>1514</v>
      </c>
      <c r="AF279" s="382"/>
      <c r="AG279" s="382"/>
      <c r="AH279" s="846"/>
      <c r="AI279" s="1758"/>
      <c r="AJ279" s="1758"/>
      <c r="AK279" s="1758"/>
      <c r="AL279" s="997" t="s">
        <v>2321</v>
      </c>
      <c r="AM279" s="1758"/>
      <c r="AN279" s="1758"/>
      <c r="AO279" s="1758"/>
      <c r="AP279" s="1758"/>
      <c r="AQ279" s="1758"/>
    </row>
    <row s="1834" customFormat="1" customHeight="1" ht="14.25">
      <c r="A280" s="1758"/>
      <c r="B280" s="1416"/>
      <c r="C280" s="1758"/>
      <c r="D280" s="1758"/>
      <c r="E280" s="618">
        <v>15</v>
      </c>
      <c r="F280" s="50" cm="1" t="str">
        <f t="array" ref="F280:F280">OFFSET(E280,-1,1)</f>
        <v>4</v>
      </c>
      <c r="G280" s="1021"/>
      <c r="H280" s="85"/>
      <c r="I280" s="122" t="s">
        <v>1297</v>
      </c>
      <c r="J280" s="1758"/>
      <c r="K280" s="124" t="str">
        <f>F280&amp;"10komm"</f>
        <v>410komm</v>
      </c>
      <c r="L280" s="919" cm="1" t="str">
        <f t="array" ref="L280:L280">AH280</f>
        <v>0</v>
      </c>
      <c r="M280" s="124"/>
      <c r="N280" s="1758"/>
      <c r="O280" s="1758"/>
      <c r="P280" s="1758"/>
      <c r="Q280" s="1758"/>
      <c r="R280" s="1758"/>
      <c r="S280" s="1806"/>
      <c r="T280" s="465" cm="1" t="str">
        <f t="array" ref="T280:T280">T279</f>
        <v>true</v>
      </c>
      <c r="U280" s="1758"/>
      <c r="V280" s="1758"/>
      <c r="W280" s="1758"/>
      <c r="X280" s="1563"/>
      <c r="Y280" s="1758"/>
      <c r="Z280" s="1546"/>
      <c r="AA280" s="1758"/>
      <c r="AB280" s="234" t="str">
        <f>IF(B274,"X","IX")</f>
        <v>X</v>
      </c>
      <c r="AC280" s="212" t="s">
        <v>2287</v>
      </c>
      <c r="AD280" s="211"/>
      <c r="AE280" s="234" t="s">
        <v>1514</v>
      </c>
      <c r="AF280" s="382"/>
      <c r="AG280" s="382"/>
      <c r="AH280" s="846"/>
      <c r="AI280" s="1758"/>
      <c r="AJ280" s="1758"/>
      <c r="AK280" s="1758"/>
      <c r="AL280" s="997" t="s">
        <v>2322</v>
      </c>
      <c r="AM280" s="1758"/>
      <c r="AN280" s="1758"/>
      <c r="AO280" s="1758"/>
      <c r="AP280" s="1758"/>
      <c r="AQ280" s="1758"/>
    </row>
    <row s="1469" customFormat="1" customHeight="1" ht="14.25">
      <c r="A281" s="698"/>
      <c r="B281" s="431"/>
      <c r="C281" s="698"/>
      <c r="D281" s="698"/>
      <c r="E281" s="691">
        <v>15</v>
      </c>
      <c r="F281" s="50" cm="1" t="str">
        <f t="array" ref="F281:F281">OFFSET(E281,-1,1)</f>
        <v>4</v>
      </c>
      <c r="G281" s="497"/>
      <c r="H281" s="698"/>
      <c r="I281" s="241" t="s">
        <v>1454</v>
      </c>
      <c r="J281" s="698"/>
      <c r="K281" s="124" t="str">
        <f>F281&amp;"11komm"</f>
        <v>411komm</v>
      </c>
      <c r="L281" s="919" cm="1" t="str">
        <f t="array" ref="L281:L281">AH281</f>
        <v>0</v>
      </c>
      <c r="M281" s="497"/>
      <c r="N281" s="698"/>
      <c r="O281" s="698"/>
      <c r="P281" s="698"/>
      <c r="Q281" s="698"/>
      <c r="R281" s="698"/>
      <c r="S281" s="698"/>
      <c r="T281" s="465" cm="1" t="str">
        <f t="array" ref="T281:T281">T280</f>
        <v>true</v>
      </c>
      <c r="U281" s="698"/>
      <c r="V281" s="698"/>
      <c r="W281" s="698"/>
      <c r="X281" s="1563"/>
      <c r="Y281" s="698"/>
      <c r="Z281" s="1546"/>
      <c r="AA281" s="698"/>
      <c r="AB281" s="234" t="str">
        <f>IF(B274,"XI","X")</f>
        <v>XI</v>
      </c>
      <c r="AC281" s="219" t="s">
        <v>2323</v>
      </c>
      <c r="AD281" s="211"/>
      <c r="AE281" s="234" t="s">
        <v>1514</v>
      </c>
      <c r="AF281" s="937">
        <f>AF232+AF267+AF271+AF272+AF273+AF274+AF275+AF276+AF279+AF280</f>
        <v>0</v>
      </c>
      <c r="AG281" s="937">
        <f>AG232+AG267+AG271+AG272+AG273+AG274+AG275+AG276+AG279+AG280</f>
        <v>0</v>
      </c>
      <c r="AH281" s="846"/>
      <c r="AI281" s="698"/>
      <c r="AJ281" s="698"/>
      <c r="AK281" s="698"/>
      <c r="AL281" s="1051" t="s">
        <v>2324</v>
      </c>
      <c r="AM281" s="698"/>
      <c r="AN281" s="698"/>
      <c r="AO281" s="698"/>
      <c r="AP281" s="698"/>
      <c r="AQ281" s="698"/>
    </row>
    <row s="1834" customFormat="1" customHeight="1" ht="10.96875">
      <c r="B282" s="430"/>
      <c r="E282" s="624">
        <v>11.25</v>
      </c>
      <c r="G282" s="487"/>
      <c r="K282" s="124"/>
      <c r="L282" s="919"/>
      <c r="M282" s="487"/>
      <c r="T282" s="0"/>
      <c r="U282" s="482" t="s">
        <v>178</v>
      </c>
      <c r="V282" s="140" t="s">
        <v>2325</v>
      </c>
      <c r="AB282" s="0"/>
      <c r="AC282" s="482"/>
      <c r="AD282" s="482"/>
      <c r="AE282" s="482"/>
      <c r="AF282" s="482"/>
      <c r="AG282" s="0"/>
      <c r="AH282" s="0"/>
      <c r="AL282" s="1004"/>
      <c r="AQ282" s="101"/>
    </row>
    <row customHeight="1" ht="14.625">
      <c r="E283" s="618">
        <v>15</v>
      </c>
      <c r="AB283" s="1577" t="s">
        <v>407</v>
      </c>
      <c r="AC283" s="1577"/>
      <c r="AD283" s="1577"/>
      <c r="AE283" s="1577"/>
      <c r="AF283" s="1577"/>
      <c r="AG283" s="1577"/>
      <c r="AH283" s="1577"/>
    </row>
    <row customHeight="1" ht="14.625">
      <c r="E284" s="618">
        <v>15</v>
      </c>
      <c r="AA284" s="173"/>
      <c r="AB284" s="1628" t="s">
        <v>2134</v>
      </c>
      <c r="AC284" s="1628"/>
      <c r="AD284" s="1628"/>
      <c r="AE284" s="1628"/>
      <c r="AF284" s="1628"/>
      <c r="AG284" s="1628"/>
      <c r="AH284" s="1628"/>
    </row>
    <row customHeight="1" ht="14.625" hidden="1">
      <c r="A285" s="1758"/>
      <c r="B285" s="1416"/>
      <c r="C285" s="1758"/>
      <c r="D285" s="1758"/>
      <c r="E285" s="618">
        <v>15</v>
      </c>
      <c r="F285" s="1758"/>
      <c r="G285" s="1021"/>
      <c r="H285" s="1758"/>
      <c r="I285" s="1758"/>
      <c r="J285" s="1758"/>
      <c r="K285" s="1758"/>
      <c r="L285" s="1758"/>
      <c r="M285" s="1758"/>
      <c r="N285" s="1758"/>
      <c r="O285" s="1758"/>
      <c r="P285" s="1758"/>
      <c r="Q285" s="1758"/>
      <c r="R285" s="1758"/>
      <c r="S285" s="1806"/>
      <c r="T285" s="465">
        <f>ROW(W285)&gt;ROW(W$285)</f>
        <v>0</v>
      </c>
      <c r="U285" s="1758"/>
      <c r="V285" s="1758"/>
      <c r="W285" s="757" t="s">
        <v>174</v>
      </c>
      <c r="X285" s="1758"/>
      <c r="Y285" s="1758"/>
      <c r="Z285" s="1758"/>
      <c r="AA285" s="420" t="s">
        <v>175</v>
      </c>
      <c r="AB285" s="5166" t="s">
        <v>227</v>
      </c>
      <c r="AC285" s="5166"/>
      <c r="AD285" s="5166"/>
      <c r="AE285" s="5166"/>
      <c r="AF285" s="5166"/>
      <c r="AG285" s="5166"/>
      <c r="AH285" s="5166"/>
      <c r="AI285" s="1758"/>
      <c r="AJ285" s="1758"/>
      <c r="AK285" s="1758"/>
      <c r="AL285" s="1764"/>
      <c r="AM285" s="1758"/>
      <c r="AN285" s="1758"/>
      <c r="AO285" s="1758"/>
      <c r="AP285" s="1758"/>
      <c r="AQ285" s="1758"/>
    </row>
    <row customHeight="1" ht="14.625">
      <c r="E286" s="618">
        <v>15</v>
      </c>
      <c r="W286" s="757" t="s">
        <v>408</v>
      </c>
      <c r="AB286" s="647"/>
      <c r="AC286" s="514" t="s">
        <v>409</v>
      </c>
      <c r="AD286" s="310"/>
      <c r="AE286" s="310"/>
      <c r="AF286" s="310"/>
      <c r="AG286" s="310"/>
      <c r="AH286" s="383"/>
    </row>
    <row customHeight="1" ht="10.725000000000001">
      <c r="E287" s="618">
        <v>11</v>
      </c>
      <c r="AI287" s="426"/>
    </row>
    <row customHeight="1" ht="10.725000000000001" hidden="1">
      <c r="E288" s="618">
        <v>11</v>
      </c>
      <c r="AB288" s="493" t="s">
        <v>2326</v>
      </c>
    </row>
  </sheetData>
  <sheetProtection formatColumns="0" formatRows="0" insertRows="0" deleteColumns="0" deleteRows="0" sort="0" autoFilter="0" insertColumns="1"/>
  <mergeCells count="18">
    <mergeCell ref="AB283:AH283"/>
    <mergeCell ref="AB284:AH284"/>
    <mergeCell ref="AB285:AH285"/>
    <mergeCell ref="X27:X77"/>
    <mergeCell ref="Z27:Z77"/>
    <mergeCell ref="AH24:AH25"/>
    <mergeCell ref="AB24:AB25"/>
    <mergeCell ref="AC24:AC25"/>
    <mergeCell ref="AD24:AD25"/>
    <mergeCell ref="AE24:AE25"/>
    <mergeCell ref="X78:X128"/>
    <mergeCell ref="Z78:Z128"/>
    <mergeCell ref="X129:X179"/>
    <mergeCell ref="Z129:Z179"/>
    <mergeCell ref="X180:X230"/>
    <mergeCell ref="Z180:Z230"/>
    <mergeCell ref="X231:X281"/>
    <mergeCell ref="Z231:Z281"/>
  </mergeCells>
  <pageMargins left="0.35" right="0.35" top="0.40" bottom="0.40" header="0.31" footer="0.31"/>
  <pageSetup paperSize="9" scale="61" fitToHeight="0"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2F5F88-01A8-09A8-FC18-6255F375A8B8}" mc:Ignorable="x14ac xr xr2 xr3">
  <sheetPr>
    <tabColor rgb="FF002060"/>
    <outlinePr summaryRight="0" summaryBelow="0"/>
  </sheetPr>
  <dimension ref="A1:GD349"/>
  <sheetViews>
    <sheetView showGridLines="0" workbookViewId="0">
      <pane xSplit="29" ySplit="26" topLeftCell="AD92" activePane="bottomRight" state="frozen"/>
      <selection pane="bottomLeft" activeCell="A27" sqref="A27"/>
      <selection pane="topRight" activeCell="AD1" sqref="AD1"/>
      <selection pane="bottomRight" activeCell="AD100" sqref="AD100"/>
    </sheetView>
  </sheetViews>
  <sheetFormatPr defaultColWidth="9.140625" customHeight="1" defaultRowHeight="11.25"/>
  <cols>
    <col min="1" max="1" style="1304" width="3.57421875" hidden="1" customWidth="1"/>
    <col min="2" max="2" style="872" width="8.57421875" hidden="1" customWidth="1"/>
    <col min="3" max="4" style="1304" width="3.57421875" hidden="1" customWidth="1"/>
    <col min="5" max="5" style="1305" width="3.57421875" hidden="1" customWidth="1"/>
    <col min="6" max="6" style="1337" width="5.421875" hidden="1" customWidth="1"/>
    <col min="7" max="7" style="1304" width="19.421875" hidden="1" customWidth="1"/>
    <col min="8" max="10" style="1304" width="3.57421875" hidden="1" customWidth="1"/>
    <col min="11" max="11" style="1304" width="6.421875" hidden="1" customWidth="1"/>
    <col min="12" max="12" style="1304" width="8.57421875" hidden="1" customWidth="1"/>
    <col min="13" max="16" style="1304" width="3.57421875" hidden="1" customWidth="1"/>
    <col min="17" max="17" style="1304" width="18.8515625" hidden="1" customWidth="1"/>
    <col min="18" max="18" style="1304" width="17.7109375" hidden="1" customWidth="1"/>
    <col min="19" max="19" style="1304" width="11.8515625" hidden="1" customWidth="1"/>
    <col min="20" max="20" style="1304" width="9.421875" hidden="1" customWidth="1"/>
    <col min="21" max="21" style="1304" width="5.8515625" hidden="1" customWidth="1"/>
    <col min="22" max="23" style="1304" width="6.140625" hidden="1" customWidth="1"/>
    <col min="24" max="25" style="1304" width="5.57421875" hidden="1" customWidth="1"/>
    <col min="26" max="26" style="1304" width="5.28125" hidden="1" customWidth="1"/>
    <col min="27" max="27" style="1304" width="3.00390625" customWidth="1"/>
    <col min="28" max="28" style="207" width="56.00390625" customWidth="1"/>
    <col min="29" max="29" style="1446" width="12.57421875" customWidth="1"/>
    <col min="30" max="44" style="1304" width="14.140625" customWidth="1"/>
    <col min="45" max="179" style="1304" width="14.140625" hidden="1" customWidth="1"/>
    <col min="180" max="180" style="1304" width="3.00390625" customWidth="1"/>
    <col min="181" max="181" style="1304" width="9.140625" hidden="1"/>
    <col min="182" max="182" style="1306" width="31.7109375" hidden="1" customWidth="1"/>
    <col min="183" max="184" style="1306" width="9.140625" hidden="1"/>
    <col min="185" max="186" style="1305" width="9.140625" hidden="1"/>
  </cols>
  <sheetData>
    <row customHeight="1" ht="11.25" hidden="1">
      <c r="E1" s="98"/>
      <c r="F1" s="494" t="s">
        <v>321</v>
      </c>
      <c r="H1" s="98" t="s">
        <v>331</v>
      </c>
      <c r="I1" s="98" t="s">
        <v>357</v>
      </c>
      <c r="T1" s="465" t="s">
        <v>93</v>
      </c>
      <c r="U1" s="465" t="s">
        <v>98</v>
      </c>
      <c r="V1" s="465" t="s">
        <v>94</v>
      </c>
      <c r="W1" s="465" t="s">
        <v>95</v>
      </c>
      <c r="X1" s="465" t="s">
        <v>96</v>
      </c>
      <c r="Y1" s="467" t="s">
        <v>323</v>
      </c>
      <c r="Z1" s="465" t="s">
        <v>100</v>
      </c>
      <c r="AA1" s="467" t="s">
        <v>97</v>
      </c>
      <c r="AB1" s="466" t="s">
        <v>99</v>
      </c>
      <c r="AG1" s="1304"/>
      <c r="AH1" s="1304"/>
      <c r="AI1" s="1304"/>
      <c r="AJ1" s="1304"/>
      <c r="AK1" s="1304"/>
      <c r="AL1" s="1304"/>
      <c r="AM1" s="1304"/>
      <c r="AN1" s="1304"/>
      <c r="AO1" s="1304"/>
      <c r="AP1" s="1304"/>
      <c r="AQ1" s="1304"/>
      <c r="AR1" s="1304"/>
      <c r="AS1" s="1304"/>
      <c r="AT1" s="1304"/>
      <c r="AU1" s="1304"/>
      <c r="AV1" s="1304"/>
      <c r="AW1" s="1304"/>
      <c r="AX1" s="1304"/>
      <c r="AY1" s="1304"/>
      <c r="AZ1" s="1304"/>
      <c r="BA1" s="1304"/>
      <c r="BB1" s="1304"/>
      <c r="BC1" s="1304"/>
      <c r="BD1" s="1304"/>
      <c r="BE1" s="1304"/>
      <c r="BF1" s="1304"/>
      <c r="BG1" s="1304"/>
      <c r="BH1" s="1304"/>
      <c r="BI1" s="1304"/>
      <c r="BJ1" s="1304"/>
      <c r="BK1" s="1304"/>
      <c r="BL1" s="1304"/>
      <c r="BM1" s="1304"/>
      <c r="BN1" s="1304"/>
      <c r="BO1" s="1304"/>
      <c r="BP1" s="1304"/>
      <c r="BQ1" s="1304"/>
      <c r="BR1" s="1304"/>
      <c r="BS1" s="1304"/>
      <c r="BT1" s="1304"/>
      <c r="BU1" s="1304"/>
      <c r="BV1" s="1304"/>
      <c r="BW1" s="1304"/>
      <c r="BX1" s="1304"/>
      <c r="BY1" s="1304"/>
      <c r="BZ1" s="1304"/>
      <c r="CA1" s="1304"/>
      <c r="CB1" s="1304"/>
      <c r="CC1" s="1304"/>
      <c r="CD1" s="1304"/>
      <c r="CE1" s="1304"/>
      <c r="CF1" s="1304"/>
      <c r="CG1" s="1304"/>
      <c r="CH1" s="1304"/>
      <c r="CI1" s="1304"/>
      <c r="CJ1" s="1304"/>
      <c r="CK1" s="1304"/>
      <c r="CL1" s="1304"/>
      <c r="CM1" s="1304"/>
      <c r="CN1" s="1304"/>
      <c r="CO1" s="1304"/>
      <c r="CP1" s="1304"/>
      <c r="CQ1" s="1304"/>
      <c r="CR1" s="1304"/>
      <c r="CS1" s="1304"/>
      <c r="CT1" s="1304"/>
      <c r="CU1" s="1304"/>
      <c r="CV1" s="1304"/>
      <c r="CW1" s="1304"/>
      <c r="CX1" s="1304"/>
      <c r="CY1" s="1304"/>
      <c r="CZ1" s="1304"/>
      <c r="DA1" s="1304"/>
      <c r="DB1" s="1304"/>
      <c r="DC1" s="1304"/>
      <c r="DD1" s="1304"/>
      <c r="DE1" s="1304"/>
      <c r="DF1" s="1304"/>
      <c r="DG1" s="1304"/>
      <c r="DH1" s="1304"/>
      <c r="DI1" s="1304"/>
      <c r="DJ1" s="1304"/>
      <c r="DK1" s="1304"/>
      <c r="DL1" s="1304"/>
      <c r="DM1" s="1304"/>
      <c r="DN1" s="1304"/>
      <c r="DO1" s="1304"/>
      <c r="DP1" s="1304"/>
      <c r="DQ1" s="1304"/>
      <c r="DR1" s="1304"/>
      <c r="DS1" s="1304"/>
      <c r="DT1" s="1304"/>
      <c r="DU1" s="1304"/>
      <c r="DV1" s="1304"/>
      <c r="DW1" s="1304"/>
      <c r="DX1" s="1304"/>
      <c r="DY1" s="1304"/>
      <c r="DZ1" s="1304"/>
      <c r="EA1" s="1304"/>
      <c r="EB1" s="1304"/>
      <c r="EC1" s="1304"/>
      <c r="ED1" s="1304"/>
      <c r="EE1" s="1304"/>
      <c r="EF1" s="1304"/>
      <c r="EG1" s="1304"/>
      <c r="EH1" s="1304"/>
      <c r="EI1" s="1304"/>
      <c r="EJ1" s="1304"/>
      <c r="EK1" s="1304"/>
      <c r="EL1" s="1304"/>
      <c r="EM1" s="1304"/>
      <c r="EN1" s="1304"/>
      <c r="EO1" s="1304"/>
      <c r="EP1" s="1304"/>
      <c r="EQ1" s="1304"/>
      <c r="ER1" s="1304"/>
      <c r="ES1" s="1304"/>
      <c r="ET1" s="1304"/>
      <c r="EU1" s="1304"/>
      <c r="EV1" s="1304"/>
      <c r="EW1" s="1304"/>
      <c r="EX1" s="1304"/>
      <c r="EY1" s="1304"/>
      <c r="EZ1" s="1304"/>
      <c r="FA1" s="1304"/>
      <c r="FB1" s="1304"/>
      <c r="FC1" s="1304"/>
      <c r="FD1" s="1304"/>
      <c r="FE1" s="1304"/>
      <c r="FF1" s="1304"/>
      <c r="FG1" s="1304"/>
      <c r="FH1" s="1304"/>
      <c r="FI1" s="1304"/>
      <c r="FJ1" s="1304"/>
      <c r="FK1" s="1304"/>
      <c r="FL1" s="1304"/>
      <c r="FM1" s="1304"/>
      <c r="FN1" s="1304"/>
      <c r="FO1" s="1304"/>
      <c r="FP1" s="1304"/>
      <c r="FQ1" s="1304"/>
      <c r="FR1" s="1304"/>
      <c r="FS1" s="1304"/>
      <c r="FT1" s="1304"/>
      <c r="FU1" s="1304"/>
      <c r="FV1" s="1304"/>
      <c r="FW1" s="1304"/>
      <c r="FZ1" s="1015" t="s">
        <v>324</v>
      </c>
      <c r="GA1" s="1015" t="s">
        <v>325</v>
      </c>
      <c r="GB1" s="1015" t="s">
        <v>326</v>
      </c>
      <c r="GC1" s="632" t="s">
        <v>329</v>
      </c>
      <c r="GD1" s="632" t="s">
        <v>330</v>
      </c>
    </row>
    <row s="1436" customFormat="1" customHeight="1" ht="11.25" hidden="1">
      <c r="B2" s="925" t="s">
        <v>19</v>
      </c>
      <c r="F2" s="494"/>
      <c r="AB2" s="429"/>
      <c r="AC2" s="429"/>
      <c r="AD2" s="1378" cm="1" t="str">
        <f t="array" ref="AD2:AD2">isOrgDeclare</f>
        <v>true</v>
      </c>
      <c r="AF2" s="1378" cm="1" t="str">
        <f t="array" ref="AF2:AF2">isOrgDeclare</f>
        <v>true</v>
      </c>
      <c r="AG2" s="500">
        <f>AND(AG6&lt;=last_year_vis,isOrgDeclare)</f>
        <v>1</v>
      </c>
      <c r="AH2" s="500">
        <f>AH6&lt;=last_year_vis</f>
        <v>1</v>
      </c>
      <c r="AI2" s="500">
        <f>AND(AI6&lt;=last_year_vis,isOrgDeclare)</f>
        <v>1</v>
      </c>
      <c r="AJ2" s="500">
        <f>AND(AJ6&lt;=last_year_vis,isOrgDeclare)</f>
        <v>1</v>
      </c>
      <c r="AK2" s="500">
        <f>AK6&lt;=last_year_vis</f>
        <v>1</v>
      </c>
      <c r="AL2" s="500">
        <f>AND(AL6&lt;=last_year_vis,isOrgDeclare)</f>
        <v>1</v>
      </c>
      <c r="AM2" s="500">
        <f>AND(AM6&lt;=last_year_vis,isOrgDeclare)</f>
        <v>1</v>
      </c>
      <c r="AN2" s="500">
        <f>AN6&lt;=last_year_vis</f>
        <v>1</v>
      </c>
      <c r="AO2" s="500">
        <f>AND(AO6&lt;=last_year_vis,isOrgDeclare)</f>
        <v>1</v>
      </c>
      <c r="AP2" s="500">
        <f>AND(AP6&lt;=last_year_vis,isOrgDeclare)</f>
        <v>1</v>
      </c>
      <c r="AQ2" s="500">
        <f>AQ6&lt;=last_year_vis</f>
        <v>1</v>
      </c>
      <c r="AR2" s="500">
        <f>AND(AR6&lt;=last_year_vis,isOrgDeclare)</f>
        <v>1</v>
      </c>
      <c r="AS2" s="500">
        <f>AND(AS6&lt;=last_year_vis,isOrgDeclare)</f>
        <v>0</v>
      </c>
      <c r="AT2" s="500">
        <f>AT6&lt;=last_year_vis</f>
        <v>0</v>
      </c>
      <c r="AU2" s="500">
        <f>AND(AU6&lt;=last_year_vis,isOrgDeclare)</f>
        <v>0</v>
      </c>
      <c r="AV2" s="500">
        <f>AND(AV6&lt;=last_year_vis,isOrgDeclare)</f>
        <v>0</v>
      </c>
      <c r="AW2" s="500">
        <f>AW6&lt;=last_year_vis</f>
        <v>0</v>
      </c>
      <c r="AX2" s="500">
        <f>AND(AX6&lt;=last_year_vis,isOrgDeclare)</f>
        <v>0</v>
      </c>
      <c r="AY2" s="500">
        <f>AND(AY6&lt;=last_year_vis,isOrgDeclare)</f>
        <v>0</v>
      </c>
      <c r="AZ2" s="500">
        <f>AZ6&lt;=last_year_vis</f>
        <v>0</v>
      </c>
      <c r="BA2" s="500">
        <f>AND(BA6&lt;=last_year_vis,isOrgDeclare)</f>
        <v>0</v>
      </c>
      <c r="BB2" s="500">
        <f>AND(BB6&lt;=last_year_vis,isOrgDeclare)</f>
        <v>0</v>
      </c>
      <c r="BC2" s="500">
        <f>BC6&lt;=last_year_vis</f>
        <v>0</v>
      </c>
      <c r="BD2" s="500">
        <f>AND(BD6&lt;=last_year_vis,isOrgDeclare)</f>
        <v>0</v>
      </c>
      <c r="BE2" s="500">
        <f>AND(BE6&lt;=last_year_vis,isOrgDeclare)</f>
        <v>0</v>
      </c>
      <c r="BF2" s="500">
        <f>BF6&lt;=last_year_vis</f>
        <v>0</v>
      </c>
      <c r="BG2" s="500">
        <f>AND(BG6&lt;=last_year_vis,isOrgDeclare)</f>
        <v>0</v>
      </c>
      <c r="BH2" s="500">
        <f>AND(BH6&lt;=last_year_vis,isOrgDeclare)</f>
        <v>0</v>
      </c>
      <c r="BI2" s="500">
        <f>BI6&lt;=last_year_vis</f>
        <v>0</v>
      </c>
      <c r="BJ2" s="500">
        <f>AND(BJ6&lt;=last_year_vis,isOrgDeclare)</f>
        <v>0</v>
      </c>
      <c r="BK2" s="500">
        <f>AND(BK6&lt;=last_year_vis,isOrgDeclare)</f>
        <v>0</v>
      </c>
      <c r="BL2" s="500">
        <f>BL6&lt;=last_year_vis</f>
        <v>0</v>
      </c>
      <c r="BM2" s="500">
        <f>AND(BM6&lt;=last_year_vis,isOrgDeclare)</f>
        <v>0</v>
      </c>
      <c r="BN2" s="500">
        <f>AND(BN6&lt;=last_year_vis,isOrgDeclare)</f>
        <v>0</v>
      </c>
      <c r="BO2" s="500">
        <f>BO6&lt;=last_year_vis</f>
        <v>0</v>
      </c>
      <c r="BP2" s="500">
        <f>AND(BP6&lt;=last_year_vis,isOrgDeclare)</f>
        <v>0</v>
      </c>
      <c r="BQ2" s="500">
        <f>AND(BQ6&lt;=last_year_vis,isOrgDeclare)</f>
        <v>0</v>
      </c>
      <c r="BR2" s="500">
        <f>BR6&lt;=last_year_vis</f>
        <v>0</v>
      </c>
      <c r="BS2" s="500">
        <f>AND(BS6&lt;=last_year_vis,isOrgDeclare)</f>
        <v>0</v>
      </c>
      <c r="BT2" s="500">
        <f>AND(BT6&lt;=last_year_vis,isOrgDeclare)</f>
        <v>0</v>
      </c>
      <c r="BU2" s="500">
        <f>BU6&lt;=last_year_vis</f>
        <v>0</v>
      </c>
      <c r="BV2" s="500">
        <f>AND(BV6&lt;=last_year_vis,isOrgDeclare)</f>
        <v>0</v>
      </c>
      <c r="BW2" s="500">
        <f>AND(BW6&lt;=last_year_vis,isOrgDeclare)</f>
        <v>0</v>
      </c>
      <c r="BX2" s="500">
        <f>BX6&lt;=last_year_vis</f>
        <v>0</v>
      </c>
      <c r="BY2" s="500">
        <f>AND(BY6&lt;=last_year_vis,isOrgDeclare)</f>
        <v>0</v>
      </c>
      <c r="BZ2" s="500">
        <f>AND(BZ6&lt;=last_year_vis,isOrgDeclare)</f>
        <v>0</v>
      </c>
      <c r="CA2" s="500">
        <f>CA6&lt;=last_year_vis</f>
        <v>0</v>
      </c>
      <c r="CB2" s="500">
        <f>AND(CB6&lt;=last_year_vis,isOrgDeclare)</f>
        <v>0</v>
      </c>
      <c r="CC2" s="500">
        <f>AND(CC6&lt;=last_year_vis,isOrgDeclare)</f>
        <v>0</v>
      </c>
      <c r="CD2" s="500">
        <f>CD6&lt;=last_year_vis</f>
        <v>0</v>
      </c>
      <c r="CE2" s="500">
        <f>AND(CE6&lt;=last_year_vis,isOrgDeclare)</f>
        <v>0</v>
      </c>
      <c r="CF2" s="500">
        <f>AND(CF6&lt;=last_year_vis,isOrgDeclare)</f>
        <v>0</v>
      </c>
      <c r="CG2" s="500">
        <f>CG6&lt;=last_year_vis</f>
        <v>0</v>
      </c>
      <c r="CH2" s="500">
        <f>AND(CH6&lt;=last_year_vis,isOrgDeclare)</f>
        <v>0</v>
      </c>
      <c r="CI2" s="500">
        <f>AND(CI6&lt;=last_year_vis,isOrgDeclare)</f>
        <v>0</v>
      </c>
      <c r="CJ2" s="500">
        <f>CJ6&lt;=last_year_vis</f>
        <v>0</v>
      </c>
      <c r="CK2" s="500">
        <f>AND(CK6&lt;=last_year_vis,isOrgDeclare)</f>
        <v>0</v>
      </c>
      <c r="CL2" s="500">
        <f>AND(CL6&lt;=last_year_vis,isOrgDeclare)</f>
        <v>0</v>
      </c>
      <c r="CM2" s="500">
        <f>CM6&lt;=last_year_vis</f>
        <v>0</v>
      </c>
      <c r="CN2" s="500">
        <f>AND(CN6&lt;=last_year_vis,isOrgDeclare)</f>
        <v>0</v>
      </c>
      <c r="CO2" s="500">
        <f>AND(CO6&lt;=last_year_vis,isOrgDeclare)</f>
        <v>0</v>
      </c>
      <c r="CP2" s="500">
        <f>CP6&lt;=last_year_vis</f>
        <v>0</v>
      </c>
      <c r="CQ2" s="500">
        <f>AND(CQ6&lt;=last_year_vis,isOrgDeclare)</f>
        <v>0</v>
      </c>
      <c r="CR2" s="500">
        <f>AND(CR6&lt;=last_year_vis,isOrgDeclare)</f>
        <v>0</v>
      </c>
      <c r="CS2" s="500">
        <f>CS6&lt;=last_year_vis</f>
        <v>0</v>
      </c>
      <c r="CT2" s="500">
        <f>AND(CT6&lt;=last_year_vis,isOrgDeclare)</f>
        <v>0</v>
      </c>
      <c r="CU2" s="500">
        <f>AND(CU6&lt;=last_year_vis,isOrgDeclare)</f>
        <v>0</v>
      </c>
      <c r="CV2" s="500">
        <f>CV6&lt;=last_year_vis</f>
        <v>0</v>
      </c>
      <c r="CW2" s="500">
        <f>AND(CW6&lt;=last_year_vis,isOrgDeclare)</f>
        <v>0</v>
      </c>
      <c r="CX2" s="500">
        <f>AND(CX6&lt;=last_year_vis,isOrgDeclare)</f>
        <v>0</v>
      </c>
      <c r="CY2" s="500">
        <f>CY6&lt;=last_year_vis</f>
        <v>0</v>
      </c>
      <c r="CZ2" s="500">
        <f>AND(CZ6&lt;=last_year_vis,isOrgDeclare)</f>
        <v>0</v>
      </c>
      <c r="DA2" s="500">
        <f>AND(DA6&lt;=last_year_vis,isOrgDeclare)</f>
        <v>0</v>
      </c>
      <c r="DB2" s="500">
        <f>DB6&lt;=last_year_vis</f>
        <v>0</v>
      </c>
      <c r="DC2" s="500">
        <f>AND(DC6&lt;=last_year_vis,isOrgDeclare)</f>
        <v>0</v>
      </c>
      <c r="DD2" s="500">
        <f>AND(DD6&lt;=last_year_vis,isOrgDeclare)</f>
        <v>0</v>
      </c>
      <c r="DE2" s="500">
        <f>DE6&lt;=last_year_vis</f>
        <v>0</v>
      </c>
      <c r="DF2" s="500">
        <f>AND(DF6&lt;=last_year_vis,isOrgDeclare)</f>
        <v>0</v>
      </c>
      <c r="DG2" s="500">
        <f>AND(DG6&lt;=last_year_vis,isOrgDeclare)</f>
        <v>0</v>
      </c>
      <c r="DH2" s="500">
        <f>DH6&lt;=last_year_vis</f>
        <v>0</v>
      </c>
      <c r="DI2" s="500">
        <f>AND(DI6&lt;=last_year_vis,isOrgDeclare)</f>
        <v>0</v>
      </c>
      <c r="DJ2" s="500">
        <f>AND(DJ6&lt;=last_year_vis,isOrgDeclare)</f>
        <v>0</v>
      </c>
      <c r="DK2" s="500">
        <f>DK6&lt;=last_year_vis</f>
        <v>0</v>
      </c>
      <c r="DL2" s="500">
        <f>AND(DL6&lt;=last_year_vis,isOrgDeclare)</f>
        <v>0</v>
      </c>
      <c r="DM2" s="500">
        <f>AND(DM6&lt;=last_year_vis,isOrgDeclare)</f>
        <v>0</v>
      </c>
      <c r="DN2" s="500">
        <f>DN6&lt;=last_year_vis</f>
        <v>0</v>
      </c>
      <c r="DO2" s="500">
        <f>AND(DO6&lt;=last_year_vis,isOrgDeclare)</f>
        <v>0</v>
      </c>
      <c r="DP2" s="500">
        <f>AND(DP6&lt;=last_year_vis,isOrgDeclare)</f>
        <v>0</v>
      </c>
      <c r="DQ2" s="500">
        <f>DQ6&lt;=last_year_vis</f>
        <v>0</v>
      </c>
      <c r="DR2" s="500">
        <f>AND(DR6&lt;=last_year_vis,isOrgDeclare)</f>
        <v>0</v>
      </c>
      <c r="DS2" s="500">
        <f>AND(DS6&lt;=last_year_vis,isOrgDeclare)</f>
        <v>0</v>
      </c>
      <c r="DT2" s="500">
        <f>DT6&lt;=last_year_vis</f>
        <v>0</v>
      </c>
      <c r="DU2" s="500">
        <f>AND(DU6&lt;=last_year_vis,isOrgDeclare)</f>
        <v>0</v>
      </c>
      <c r="DV2" s="500">
        <f>AND(DV6&lt;=last_year_vis,isOrgDeclare)</f>
        <v>0</v>
      </c>
      <c r="DW2" s="500">
        <f>DW6&lt;=last_year_vis</f>
        <v>0</v>
      </c>
      <c r="DX2" s="500">
        <f>AND(DX6&lt;=last_year_vis,isOrgDeclare)</f>
        <v>0</v>
      </c>
      <c r="DY2" s="500">
        <f>AND(DY6&lt;=last_year_vis,isOrgDeclare)</f>
        <v>0</v>
      </c>
      <c r="DZ2" s="500">
        <f>DZ6&lt;=last_year_vis</f>
        <v>0</v>
      </c>
      <c r="EA2" s="500">
        <f>AND(EA6&lt;=last_year_vis,isOrgDeclare)</f>
        <v>0</v>
      </c>
      <c r="EB2" s="500">
        <f>AND(EB6&lt;=last_year_vis,isOrgDeclare)</f>
        <v>0</v>
      </c>
      <c r="EC2" s="500">
        <f>EC6&lt;=last_year_vis</f>
        <v>0</v>
      </c>
      <c r="ED2" s="500">
        <f>AND(ED6&lt;=last_year_vis,isOrgDeclare)</f>
        <v>0</v>
      </c>
      <c r="EE2" s="500">
        <f>AND(EE6&lt;=last_year_vis,isOrgDeclare)</f>
        <v>0</v>
      </c>
      <c r="EF2" s="500">
        <f>EF6&lt;=last_year_vis</f>
        <v>0</v>
      </c>
      <c r="EG2" s="500">
        <f>AND(EG6&lt;=last_year_vis,isOrgDeclare)</f>
        <v>0</v>
      </c>
      <c r="EH2" s="500">
        <f>AND(EH6&lt;=last_year_vis,isOrgDeclare)</f>
        <v>0</v>
      </c>
      <c r="EI2" s="500">
        <f>EI6&lt;=last_year_vis</f>
        <v>0</v>
      </c>
      <c r="EJ2" s="500">
        <f>AND(EJ6&lt;=last_year_vis,isOrgDeclare)</f>
        <v>0</v>
      </c>
      <c r="EK2" s="500">
        <f>AND(EK6&lt;=last_year_vis,isOrgDeclare)</f>
        <v>0</v>
      </c>
      <c r="EL2" s="500">
        <f>EL6&lt;=last_year_vis</f>
        <v>0</v>
      </c>
      <c r="EM2" s="500">
        <f>AND(EM6&lt;=last_year_vis,isOrgDeclare)</f>
        <v>0</v>
      </c>
      <c r="EN2" s="500">
        <f>AND(EN6&lt;=last_year_vis,isOrgDeclare)</f>
        <v>0</v>
      </c>
      <c r="EO2" s="500">
        <f>EO6&lt;=last_year_vis</f>
        <v>0</v>
      </c>
      <c r="EP2" s="500">
        <f>AND(EP6&lt;=last_year_vis,isOrgDeclare)</f>
        <v>0</v>
      </c>
      <c r="EQ2" s="500">
        <f>AND(EQ6&lt;=last_year_vis,isOrgDeclare)</f>
        <v>0</v>
      </c>
      <c r="ER2" s="500">
        <f>ER6&lt;=last_year_vis</f>
        <v>0</v>
      </c>
      <c r="ES2" s="500">
        <f>AND(ES6&lt;=last_year_vis,isOrgDeclare)</f>
        <v>0</v>
      </c>
      <c r="ET2" s="500">
        <f>AND(ET6&lt;=last_year_vis,isOrgDeclare)</f>
        <v>0</v>
      </c>
      <c r="EU2" s="500">
        <f>EU6&lt;=last_year_vis</f>
        <v>0</v>
      </c>
      <c r="EV2" s="500">
        <f>AND(EV6&lt;=last_year_vis,isOrgDeclare)</f>
        <v>0</v>
      </c>
      <c r="EW2" s="500">
        <f>AND(EW6&lt;=last_year_vis,isOrgDeclare)</f>
        <v>0</v>
      </c>
      <c r="EX2" s="500">
        <f>EX6&lt;=last_year_vis</f>
        <v>0</v>
      </c>
      <c r="EY2" s="500">
        <f>AND(EY6&lt;=last_year_vis,isOrgDeclare)</f>
        <v>0</v>
      </c>
      <c r="EZ2" s="500">
        <f>AND(EZ6&lt;=last_year_vis,isOrgDeclare)</f>
        <v>0</v>
      </c>
      <c r="FA2" s="500">
        <f>FA6&lt;=last_year_vis</f>
        <v>0</v>
      </c>
      <c r="FB2" s="500">
        <f>AND(FB6&lt;=last_year_vis,isOrgDeclare)</f>
        <v>0</v>
      </c>
      <c r="FC2" s="500">
        <f>AND(FC6&lt;=last_year_vis,isOrgDeclare)</f>
        <v>0</v>
      </c>
      <c r="FD2" s="500">
        <f>FD6&lt;=last_year_vis</f>
        <v>0</v>
      </c>
      <c r="FE2" s="500">
        <f>AND(FE6&lt;=last_year_vis,isOrgDeclare)</f>
        <v>0</v>
      </c>
      <c r="FF2" s="500">
        <f>AND(FF6&lt;=last_year_vis,isOrgDeclare)</f>
        <v>0</v>
      </c>
      <c r="FG2" s="500">
        <f>FG6&lt;=last_year_vis</f>
        <v>0</v>
      </c>
      <c r="FH2" s="500">
        <f>AND(FH6&lt;=last_year_vis,isOrgDeclare)</f>
        <v>0</v>
      </c>
      <c r="FI2" s="500">
        <f>AND(FI6&lt;=last_year_vis,isOrgDeclare)</f>
        <v>0</v>
      </c>
      <c r="FJ2" s="500">
        <f>FJ6&lt;=last_year_vis</f>
        <v>0</v>
      </c>
      <c r="FK2" s="500">
        <f>AND(FK6&lt;=last_year_vis,isOrgDeclare)</f>
        <v>0</v>
      </c>
      <c r="FL2" s="500">
        <f>AND(FL6&lt;=last_year_vis,isOrgDeclare)</f>
        <v>0</v>
      </c>
      <c r="FM2" s="500">
        <f>FM6&lt;=last_year_vis</f>
        <v>0</v>
      </c>
      <c r="FN2" s="500">
        <f>AND(FN6&lt;=last_year_vis,isOrgDeclare)</f>
        <v>0</v>
      </c>
      <c r="FO2" s="500">
        <f>AND(FO6&lt;=last_year_vis,isOrgDeclare)</f>
        <v>0</v>
      </c>
      <c r="FP2" s="500">
        <f>FP6&lt;=last_year_vis</f>
        <v>0</v>
      </c>
      <c r="FQ2" s="500">
        <f>AND(FQ6&lt;=last_year_vis,isOrgDeclare)</f>
        <v>0</v>
      </c>
      <c r="FR2" s="500">
        <f>AND(FR6&lt;=last_year_vis,isOrgDeclare)</f>
        <v>0</v>
      </c>
      <c r="FS2" s="500">
        <f>FS6&lt;=last_year_vis</f>
        <v>0</v>
      </c>
      <c r="FT2" s="500">
        <f>AND(FT6&lt;=last_year_vis,isOrgDeclare)</f>
        <v>0</v>
      </c>
      <c r="FU2" s="500">
        <f>AND(FU6&lt;=last_year_vis,isOrgDeclare)</f>
        <v>0</v>
      </c>
      <c r="FV2" s="500">
        <f>FV6&lt;=last_year_vis</f>
        <v>0</v>
      </c>
      <c r="FW2" s="500">
        <f>AND(FW6&lt;=last_year_vis,isOrgDeclare)</f>
        <v>0</v>
      </c>
      <c r="FZ2" s="1016"/>
      <c r="GA2" s="1016"/>
      <c r="GB2" s="1016"/>
      <c r="GC2" s="1029"/>
      <c r="GD2" s="1029"/>
    </row>
    <row customHeight="1" ht="11.25" hidden="1">
      <c r="E3" s="98"/>
      <c r="AG3" s="1304"/>
      <c r="AH3" s="1304"/>
      <c r="AI3" s="1304"/>
      <c r="AJ3" s="1304"/>
      <c r="AK3" s="1304"/>
      <c r="AL3" s="1304"/>
      <c r="AM3" s="1304"/>
      <c r="AN3" s="1304"/>
      <c r="AO3" s="1304"/>
      <c r="AP3" s="1304"/>
      <c r="AQ3" s="1304"/>
      <c r="AR3" s="1304"/>
      <c r="AS3" s="1304"/>
      <c r="AT3" s="1304"/>
      <c r="AU3" s="1304"/>
      <c r="AV3" s="1304"/>
      <c r="AW3" s="1304"/>
      <c r="AX3" s="1304"/>
      <c r="AY3" s="1304"/>
      <c r="AZ3" s="1304"/>
      <c r="BA3" s="1304"/>
      <c r="BB3" s="1304"/>
      <c r="BC3" s="1304"/>
      <c r="BD3" s="1304"/>
      <c r="BE3" s="1304"/>
      <c r="BF3" s="1304"/>
      <c r="BG3" s="1304"/>
      <c r="BH3" s="1304"/>
      <c r="BI3" s="1304"/>
      <c r="BJ3" s="1304"/>
      <c r="BK3" s="1304"/>
      <c r="BL3" s="1304"/>
      <c r="BM3" s="1304"/>
      <c r="BN3" s="1304"/>
      <c r="BO3" s="1304"/>
      <c r="BP3" s="1304"/>
      <c r="BQ3" s="1304"/>
      <c r="BR3" s="1304"/>
      <c r="BS3" s="1304"/>
      <c r="BT3" s="1304"/>
      <c r="BU3" s="1304"/>
      <c r="BV3" s="1304"/>
      <c r="BW3" s="1304"/>
      <c r="BX3" s="1304"/>
      <c r="BY3" s="1304"/>
      <c r="BZ3" s="1304"/>
      <c r="CA3" s="1304"/>
      <c r="CB3" s="1304"/>
      <c r="CC3" s="1304"/>
      <c r="CD3" s="1304"/>
      <c r="CE3" s="1304"/>
      <c r="CF3" s="1304"/>
      <c r="CG3" s="1304"/>
      <c r="CH3" s="1304"/>
      <c r="CI3" s="1304"/>
      <c r="CJ3" s="1304"/>
      <c r="CK3" s="1304"/>
      <c r="CL3" s="1304"/>
      <c r="CM3" s="1304"/>
      <c r="CN3" s="1304"/>
      <c r="CO3" s="1304"/>
      <c r="CP3" s="1304"/>
      <c r="CQ3" s="1304"/>
      <c r="CR3" s="1304"/>
      <c r="CS3" s="1304"/>
      <c r="CT3" s="1304"/>
      <c r="CU3" s="1304"/>
      <c r="CV3" s="1304"/>
      <c r="CW3" s="1304"/>
      <c r="CX3" s="1304"/>
      <c r="CY3" s="1304"/>
      <c r="CZ3" s="1304"/>
      <c r="DA3" s="1304"/>
      <c r="DB3" s="1304"/>
      <c r="DC3" s="1304"/>
      <c r="DD3" s="1304"/>
      <c r="DE3" s="1304"/>
      <c r="DF3" s="1304"/>
      <c r="DG3" s="1304"/>
      <c r="DH3" s="1304"/>
      <c r="DI3" s="1304"/>
      <c r="DJ3" s="1304"/>
      <c r="DK3" s="1304"/>
      <c r="DL3" s="1304"/>
      <c r="DM3" s="1304"/>
      <c r="DN3" s="1304"/>
      <c r="DO3" s="1304"/>
      <c r="DP3" s="1304"/>
      <c r="DQ3" s="1304"/>
      <c r="DR3" s="1304"/>
      <c r="DS3" s="1304"/>
      <c r="DT3" s="1304"/>
      <c r="DU3" s="1304"/>
      <c r="DV3" s="1304"/>
      <c r="DW3" s="1304"/>
      <c r="DX3" s="1304"/>
      <c r="DY3" s="1304"/>
      <c r="DZ3" s="1304"/>
      <c r="EA3" s="1304"/>
      <c r="EB3" s="1304"/>
      <c r="EC3" s="1304"/>
      <c r="ED3" s="1304"/>
      <c r="EE3" s="1304"/>
      <c r="EF3" s="1304"/>
      <c r="EG3" s="1304"/>
      <c r="EH3" s="1304"/>
      <c r="EI3" s="1304"/>
      <c r="EJ3" s="1304"/>
      <c r="EK3" s="1304"/>
      <c r="EL3" s="1304"/>
      <c r="EM3" s="1304"/>
      <c r="EN3" s="1304"/>
      <c r="EO3" s="1304"/>
      <c r="EP3" s="1304"/>
      <c r="EQ3" s="1304"/>
      <c r="ER3" s="1304"/>
      <c r="ES3" s="1304"/>
      <c r="ET3" s="1304"/>
      <c r="EU3" s="1304"/>
      <c r="EV3" s="1304"/>
      <c r="EW3" s="1304"/>
      <c r="EX3" s="1304"/>
      <c r="EY3" s="1304"/>
      <c r="EZ3" s="1304"/>
      <c r="FA3" s="1304"/>
      <c r="FB3" s="1304"/>
      <c r="FC3" s="1304"/>
      <c r="FD3" s="1304"/>
      <c r="FE3" s="1304"/>
      <c r="FF3" s="1304"/>
      <c r="FG3" s="1304"/>
      <c r="FH3" s="1304"/>
      <c r="FI3" s="1304"/>
      <c r="FJ3" s="1304"/>
      <c r="FK3" s="1304"/>
      <c r="FL3" s="1304"/>
      <c r="FM3" s="1304"/>
      <c r="FN3" s="1304"/>
      <c r="FO3" s="1304"/>
      <c r="FP3" s="1304"/>
      <c r="FQ3" s="1304"/>
      <c r="FR3" s="1304"/>
      <c r="FS3" s="1304"/>
      <c r="FT3" s="1304"/>
      <c r="FU3" s="1304"/>
      <c r="FV3" s="1304"/>
      <c r="FW3" s="1304"/>
    </row>
    <row customHeight="1" ht="11.25" hidden="1">
      <c r="E4" s="98"/>
      <c r="AG4" s="1304"/>
      <c r="AH4" s="1304"/>
      <c r="AI4" s="1304"/>
      <c r="AJ4" s="1304"/>
      <c r="AK4" s="1304"/>
      <c r="AL4" s="1304"/>
      <c r="AM4" s="1304"/>
      <c r="AN4" s="1304"/>
      <c r="AO4" s="1304"/>
      <c r="AP4" s="1304"/>
      <c r="AQ4" s="1304"/>
      <c r="AR4" s="1304"/>
      <c r="AS4" s="1304"/>
      <c r="AT4" s="1304"/>
      <c r="AU4" s="1304"/>
      <c r="AV4" s="1304"/>
      <c r="AW4" s="1304"/>
      <c r="AX4" s="1304"/>
      <c r="AY4" s="1304"/>
      <c r="AZ4" s="1304"/>
      <c r="BA4" s="1304"/>
      <c r="BB4" s="1304"/>
      <c r="BC4" s="1304"/>
      <c r="BD4" s="1304"/>
      <c r="BE4" s="1304"/>
      <c r="BF4" s="1304"/>
      <c r="BG4" s="1304"/>
      <c r="BH4" s="1304"/>
      <c r="BI4" s="1304"/>
      <c r="BJ4" s="1304"/>
      <c r="BK4" s="1304"/>
      <c r="BL4" s="1304"/>
      <c r="BM4" s="1304"/>
      <c r="BN4" s="1304"/>
      <c r="BO4" s="1304"/>
      <c r="BP4" s="1304"/>
      <c r="BQ4" s="1304"/>
      <c r="BR4" s="1304"/>
      <c r="BS4" s="1304"/>
      <c r="BT4" s="1304"/>
      <c r="BU4" s="1304"/>
      <c r="BV4" s="1304"/>
      <c r="BW4" s="1304"/>
      <c r="BX4" s="1304"/>
      <c r="BY4" s="1304"/>
      <c r="BZ4" s="1304"/>
      <c r="CA4" s="1304"/>
      <c r="CB4" s="1304"/>
      <c r="CC4" s="1304"/>
      <c r="CD4" s="1304"/>
      <c r="CE4" s="1304"/>
      <c r="CF4" s="1304"/>
      <c r="CG4" s="1304"/>
      <c r="CH4" s="1304"/>
      <c r="CI4" s="1304"/>
      <c r="CJ4" s="1304"/>
      <c r="CK4" s="1304"/>
      <c r="CL4" s="1304"/>
      <c r="CM4" s="1304"/>
      <c r="CN4" s="1304"/>
      <c r="CO4" s="1304"/>
      <c r="CP4" s="1304"/>
      <c r="CQ4" s="1304"/>
      <c r="CR4" s="1304"/>
      <c r="CS4" s="1304"/>
      <c r="CT4" s="1304"/>
      <c r="CU4" s="1304"/>
      <c r="CV4" s="1304"/>
      <c r="CW4" s="1304"/>
      <c r="CX4" s="1304"/>
      <c r="CY4" s="1304"/>
      <c r="CZ4" s="1304"/>
      <c r="DA4" s="1304"/>
      <c r="DB4" s="1304"/>
      <c r="DC4" s="1304"/>
      <c r="DD4" s="1304"/>
      <c r="DE4" s="1304"/>
      <c r="DF4" s="1304"/>
      <c r="DG4" s="1304"/>
      <c r="DH4" s="1304"/>
      <c r="DI4" s="1304"/>
      <c r="DJ4" s="1304"/>
      <c r="DK4" s="1304"/>
      <c r="DL4" s="1304"/>
      <c r="DM4" s="1304"/>
      <c r="DN4" s="1304"/>
      <c r="DO4" s="1304"/>
      <c r="DP4" s="1304"/>
      <c r="DQ4" s="1304"/>
      <c r="DR4" s="1304"/>
      <c r="DS4" s="1304"/>
      <c r="DT4" s="1304"/>
      <c r="DU4" s="1304"/>
      <c r="DV4" s="1304"/>
      <c r="DW4" s="1304"/>
      <c r="DX4" s="1304"/>
      <c r="DY4" s="1304"/>
      <c r="DZ4" s="1304"/>
      <c r="EA4" s="1304"/>
      <c r="EB4" s="1304"/>
      <c r="EC4" s="1304"/>
      <c r="ED4" s="1304"/>
      <c r="EE4" s="1304"/>
      <c r="EF4" s="1304"/>
      <c r="EG4" s="1304"/>
      <c r="EH4" s="1304"/>
      <c r="EI4" s="1304"/>
      <c r="EJ4" s="1304"/>
      <c r="EK4" s="1304"/>
      <c r="EL4" s="1304"/>
      <c r="EM4" s="1304"/>
      <c r="EN4" s="1304"/>
      <c r="EO4" s="1304"/>
      <c r="EP4" s="1304"/>
      <c r="EQ4" s="1304"/>
      <c r="ER4" s="1304"/>
      <c r="ES4" s="1304"/>
      <c r="ET4" s="1304"/>
      <c r="EU4" s="1304"/>
      <c r="EV4" s="1304"/>
      <c r="EW4" s="1304"/>
      <c r="EX4" s="1304"/>
      <c r="EY4" s="1304"/>
      <c r="EZ4" s="1304"/>
      <c r="FA4" s="1304"/>
      <c r="FB4" s="1304"/>
      <c r="FC4" s="1304"/>
      <c r="FD4" s="1304"/>
      <c r="FE4" s="1304"/>
      <c r="FF4" s="1304"/>
      <c r="FG4" s="1304"/>
      <c r="FH4" s="1304"/>
      <c r="FI4" s="1304"/>
      <c r="FJ4" s="1304"/>
      <c r="FK4" s="1304"/>
      <c r="FL4" s="1304"/>
      <c r="FM4" s="1304"/>
      <c r="FN4" s="1304"/>
      <c r="FO4" s="1304"/>
      <c r="FP4" s="1304"/>
      <c r="FQ4" s="1304"/>
      <c r="FR4" s="1304"/>
      <c r="FS4" s="1304"/>
      <c r="FT4" s="1304"/>
      <c r="FU4" s="1304"/>
      <c r="FV4" s="1304"/>
      <c r="FW4" s="1304"/>
    </row>
    <row s="1305" customFormat="1" customHeight="1" ht="11.25" hidden="1">
      <c r="A5" s="98"/>
      <c r="B5" s="839"/>
      <c r="C5" s="98"/>
      <c r="D5" s="98"/>
      <c r="E5" s="632" t="s">
        <v>20</v>
      </c>
      <c r="F5" s="908"/>
      <c r="AA5" s="632">
        <v>3</v>
      </c>
      <c r="AB5" s="693">
        <v>56</v>
      </c>
      <c r="AC5" s="630">
        <v>12.57</v>
      </c>
      <c r="AD5" s="632">
        <v>14.14</v>
      </c>
      <c r="AE5" s="632">
        <v>14.14</v>
      </c>
      <c r="AF5" s="632">
        <v>14.14</v>
      </c>
      <c r="AG5" s="632">
        <v>14.14</v>
      </c>
      <c r="AH5" s="632">
        <v>14.14</v>
      </c>
      <c r="AI5" s="632">
        <v>14.14</v>
      </c>
      <c r="AJ5" s="632">
        <v>14.14</v>
      </c>
      <c r="AK5" s="632">
        <v>14.14</v>
      </c>
      <c r="AL5" s="632">
        <v>14.14</v>
      </c>
      <c r="AM5" s="632">
        <v>14.14</v>
      </c>
      <c r="AN5" s="632">
        <v>14.14</v>
      </c>
      <c r="AO5" s="632">
        <v>14.14</v>
      </c>
      <c r="AP5" s="632">
        <v>14.14</v>
      </c>
      <c r="AQ5" s="632">
        <v>14.14</v>
      </c>
      <c r="AR5" s="632">
        <v>14.14</v>
      </c>
      <c r="AS5" s="632">
        <v>14.14</v>
      </c>
      <c r="AT5" s="632">
        <v>14.14</v>
      </c>
      <c r="AU5" s="632">
        <v>14.14</v>
      </c>
      <c r="AV5" s="632">
        <v>14.14</v>
      </c>
      <c r="AW5" s="632">
        <v>14.14</v>
      </c>
      <c r="AX5" s="632">
        <v>14.14</v>
      </c>
      <c r="AY5" s="632">
        <v>14.14</v>
      </c>
      <c r="AZ5" s="632">
        <v>14.14</v>
      </c>
      <c r="BA5" s="632">
        <v>14.14</v>
      </c>
      <c r="BB5" s="632">
        <v>14.14</v>
      </c>
      <c r="BC5" s="632">
        <v>14.14</v>
      </c>
      <c r="BD5" s="632">
        <v>14.14</v>
      </c>
      <c r="BE5" s="632">
        <v>14.14</v>
      </c>
      <c r="BF5" s="632">
        <v>14.14</v>
      </c>
      <c r="BG5" s="632">
        <v>14.14</v>
      </c>
      <c r="BH5" s="632">
        <v>14.14</v>
      </c>
      <c r="BI5" s="632">
        <v>14.14</v>
      </c>
      <c r="BJ5" s="632">
        <v>14.14</v>
      </c>
      <c r="BK5" s="632">
        <v>14.14</v>
      </c>
      <c r="BL5" s="632">
        <v>14.14</v>
      </c>
      <c r="BM5" s="632">
        <v>14.14</v>
      </c>
      <c r="BN5" s="632">
        <v>14.14</v>
      </c>
      <c r="BO5" s="632">
        <v>14.14</v>
      </c>
      <c r="BP5" s="632">
        <v>14.14</v>
      </c>
      <c r="BQ5" s="632">
        <v>14.14</v>
      </c>
      <c r="BR5" s="632">
        <v>14.14</v>
      </c>
      <c r="BS5" s="632">
        <v>14.14</v>
      </c>
      <c r="BT5" s="632">
        <v>14.14</v>
      </c>
      <c r="BU5" s="632">
        <v>14.14</v>
      </c>
      <c r="BV5" s="632">
        <v>14.14</v>
      </c>
      <c r="BW5" s="632">
        <v>14.14</v>
      </c>
      <c r="BX5" s="632">
        <v>14.14</v>
      </c>
      <c r="BY5" s="632">
        <v>14.14</v>
      </c>
      <c r="BZ5" s="632">
        <v>14.14</v>
      </c>
      <c r="CA5" s="632">
        <v>14.14</v>
      </c>
      <c r="CB5" s="632">
        <v>14.14</v>
      </c>
      <c r="CC5" s="632">
        <v>14.14</v>
      </c>
      <c r="CD5" s="632">
        <v>14.14</v>
      </c>
      <c r="CE5" s="632">
        <v>14.14</v>
      </c>
      <c r="CF5" s="632">
        <v>14.14</v>
      </c>
      <c r="CG5" s="632">
        <v>14.14</v>
      </c>
      <c r="CH5" s="632">
        <v>14.14</v>
      </c>
      <c r="CI5" s="632">
        <v>14.14</v>
      </c>
      <c r="CJ5" s="632">
        <v>14.14</v>
      </c>
      <c r="CK5" s="632">
        <v>14.14</v>
      </c>
      <c r="CL5" s="632">
        <v>14.14</v>
      </c>
      <c r="CM5" s="632">
        <v>14.14</v>
      </c>
      <c r="CN5" s="632">
        <v>14.14</v>
      </c>
      <c r="CO5" s="632">
        <v>14.14</v>
      </c>
      <c r="CP5" s="632">
        <v>14.14</v>
      </c>
      <c r="CQ5" s="632">
        <v>14.14</v>
      </c>
      <c r="CR5" s="632">
        <v>14.14</v>
      </c>
      <c r="CS5" s="632">
        <v>14.14</v>
      </c>
      <c r="CT5" s="632">
        <v>14.14</v>
      </c>
      <c r="CU5" s="632">
        <v>14.14</v>
      </c>
      <c r="CV5" s="632">
        <v>14.14</v>
      </c>
      <c r="CW5" s="632">
        <v>14.14</v>
      </c>
      <c r="CX5" s="632">
        <v>14.14</v>
      </c>
      <c r="CY5" s="632">
        <v>14.14</v>
      </c>
      <c r="CZ5" s="632">
        <v>14.14</v>
      </c>
      <c r="DA5" s="632">
        <v>14.14</v>
      </c>
      <c r="DB5" s="632">
        <v>14.14</v>
      </c>
      <c r="DC5" s="632">
        <v>14.14</v>
      </c>
      <c r="DD5" s="632">
        <v>14.14</v>
      </c>
      <c r="DE5" s="632">
        <v>14.14</v>
      </c>
      <c r="DF5" s="632">
        <v>14.14</v>
      </c>
      <c r="DG5" s="632">
        <v>14.14</v>
      </c>
      <c r="DH5" s="632">
        <v>14.14</v>
      </c>
      <c r="DI5" s="632">
        <v>14.14</v>
      </c>
      <c r="DJ5" s="632">
        <v>14.14</v>
      </c>
      <c r="DK5" s="632">
        <v>14.14</v>
      </c>
      <c r="DL5" s="632">
        <v>14.14</v>
      </c>
      <c r="DM5" s="632">
        <v>14.14</v>
      </c>
      <c r="DN5" s="632">
        <v>14.14</v>
      </c>
      <c r="DO5" s="632">
        <v>14.14</v>
      </c>
      <c r="DP5" s="632">
        <v>14.14</v>
      </c>
      <c r="DQ5" s="632">
        <v>14.14</v>
      </c>
      <c r="DR5" s="632">
        <v>14.14</v>
      </c>
      <c r="DS5" s="632">
        <v>14.14</v>
      </c>
      <c r="DT5" s="632">
        <v>14.14</v>
      </c>
      <c r="DU5" s="632">
        <v>14.14</v>
      </c>
      <c r="DV5" s="632">
        <v>14.14</v>
      </c>
      <c r="DW5" s="632">
        <v>14.14</v>
      </c>
      <c r="DX5" s="632">
        <v>14.14</v>
      </c>
      <c r="DY5" s="632">
        <v>14.14</v>
      </c>
      <c r="DZ5" s="632">
        <v>14.14</v>
      </c>
      <c r="EA5" s="632">
        <v>14.14</v>
      </c>
      <c r="EB5" s="632">
        <v>14.14</v>
      </c>
      <c r="EC5" s="632">
        <v>14.14</v>
      </c>
      <c r="ED5" s="632">
        <v>14.14</v>
      </c>
      <c r="EE5" s="632">
        <v>14.14</v>
      </c>
      <c r="EF5" s="632">
        <v>14.14</v>
      </c>
      <c r="EG5" s="632">
        <v>14.14</v>
      </c>
      <c r="EH5" s="632">
        <v>14.14</v>
      </c>
      <c r="EI5" s="632">
        <v>14.14</v>
      </c>
      <c r="EJ5" s="632">
        <v>14.14</v>
      </c>
      <c r="EK5" s="632">
        <v>14.14</v>
      </c>
      <c r="EL5" s="632">
        <v>14.14</v>
      </c>
      <c r="EM5" s="632">
        <v>14.14</v>
      </c>
      <c r="EN5" s="632">
        <v>14.14</v>
      </c>
      <c r="EO5" s="632">
        <v>14.14</v>
      </c>
      <c r="EP5" s="632">
        <v>14.14</v>
      </c>
      <c r="EQ5" s="632">
        <v>14.14</v>
      </c>
      <c r="ER5" s="632">
        <v>14.14</v>
      </c>
      <c r="ES5" s="632">
        <v>14.14</v>
      </c>
      <c r="ET5" s="632">
        <v>14.14</v>
      </c>
      <c r="EU5" s="632">
        <v>14.14</v>
      </c>
      <c r="EV5" s="632">
        <v>14.14</v>
      </c>
      <c r="EW5" s="632">
        <v>14.14</v>
      </c>
      <c r="EX5" s="632">
        <v>14.14</v>
      </c>
      <c r="EY5" s="632">
        <v>14.14</v>
      </c>
      <c r="EZ5" s="632">
        <v>14.14</v>
      </c>
      <c r="FA5" s="632">
        <v>14.14</v>
      </c>
      <c r="FB5" s="632">
        <v>14.14</v>
      </c>
      <c r="FC5" s="632">
        <v>14.14</v>
      </c>
      <c r="FD5" s="632">
        <v>14.14</v>
      </c>
      <c r="FE5" s="632">
        <v>14.14</v>
      </c>
      <c r="FF5" s="632">
        <v>14.14</v>
      </c>
      <c r="FG5" s="632">
        <v>14.14</v>
      </c>
      <c r="FH5" s="632">
        <v>14.14</v>
      </c>
      <c r="FI5" s="632">
        <v>14.14</v>
      </c>
      <c r="FJ5" s="632">
        <v>14.14</v>
      </c>
      <c r="FK5" s="632">
        <v>14.14</v>
      </c>
      <c r="FL5" s="632">
        <v>14.14</v>
      </c>
      <c r="FM5" s="632">
        <v>14.14</v>
      </c>
      <c r="FN5" s="632">
        <v>14.14</v>
      </c>
      <c r="FO5" s="632">
        <v>14.14</v>
      </c>
      <c r="FP5" s="632">
        <v>14.14</v>
      </c>
      <c r="FQ5" s="632">
        <v>14.14</v>
      </c>
      <c r="FR5" s="632">
        <v>14.14</v>
      </c>
      <c r="FS5" s="632">
        <v>14.14</v>
      </c>
      <c r="FT5" s="632">
        <v>14.14</v>
      </c>
      <c r="FU5" s="632">
        <v>14.14</v>
      </c>
      <c r="FV5" s="632">
        <v>14.14</v>
      </c>
      <c r="FW5" s="632">
        <v>14.14</v>
      </c>
      <c r="FX5" s="632">
        <v>3</v>
      </c>
      <c r="FZ5" s="1015"/>
      <c r="GA5" s="1015"/>
      <c r="GB5" s="1015"/>
    </row>
    <row customHeight="1" ht="11.25" hidden="1">
      <c r="A6" s="98" t="s">
        <v>360</v>
      </c>
      <c r="AD6" s="98" cm="1" t="str">
        <f t="array" ref="AD6:AD6">god</f>
        <v>2026</v>
      </c>
      <c r="AE6" s="98" cm="1" t="str">
        <f t="array" ref="AE6:AE6">god</f>
        <v>2026</v>
      </c>
      <c r="AF6" s="98" cm="1" t="str">
        <f t="array" ref="AF6:AF6">god</f>
        <v>2026</v>
      </c>
      <c r="AG6" s="98">
        <f>god+1</f>
        <v>2027</v>
      </c>
      <c r="AH6" s="98">
        <f>god+1</f>
        <v>2027</v>
      </c>
      <c r="AI6" s="98">
        <f>god+1</f>
        <v>2027</v>
      </c>
      <c r="AJ6" s="98">
        <f>god+2</f>
        <v>2028</v>
      </c>
      <c r="AK6" s="98">
        <f>god+2</f>
        <v>2028</v>
      </c>
      <c r="AL6" s="98">
        <f>god+2</f>
        <v>2028</v>
      </c>
      <c r="AM6" s="98">
        <f>god+3</f>
        <v>2029</v>
      </c>
      <c r="AN6" s="98">
        <f>god+3</f>
        <v>2029</v>
      </c>
      <c r="AO6" s="98">
        <f>god+3</f>
        <v>2029</v>
      </c>
      <c r="AP6" s="98">
        <f>god+4</f>
        <v>2030</v>
      </c>
      <c r="AQ6" s="98">
        <f>god+4</f>
        <v>2030</v>
      </c>
      <c r="AR6" s="98">
        <f>god+4</f>
        <v>2030</v>
      </c>
      <c r="AS6" s="98">
        <f>god+5</f>
        <v>2031</v>
      </c>
      <c r="AT6" s="98">
        <f>god+5</f>
        <v>2031</v>
      </c>
      <c r="AU6" s="98">
        <f>god+5</f>
        <v>2031</v>
      </c>
      <c r="AV6" s="98">
        <f>god+6</f>
        <v>2032</v>
      </c>
      <c r="AW6" s="98">
        <f>god+6</f>
        <v>2032</v>
      </c>
      <c r="AX6" s="98">
        <f>god+6</f>
        <v>2032</v>
      </c>
      <c r="AY6" s="98">
        <f>god+7</f>
        <v>2033</v>
      </c>
      <c r="AZ6" s="98">
        <f>god+7</f>
        <v>2033</v>
      </c>
      <c r="BA6" s="98">
        <f>god+7</f>
        <v>2033</v>
      </c>
      <c r="BB6" s="98">
        <f>god+8</f>
        <v>2034</v>
      </c>
      <c r="BC6" s="98">
        <f>god+8</f>
        <v>2034</v>
      </c>
      <c r="BD6" s="98">
        <f>god+8</f>
        <v>2034</v>
      </c>
      <c r="BE6" s="98">
        <f>god+9</f>
        <v>2035</v>
      </c>
      <c r="BF6" s="98">
        <f>god+9</f>
        <v>2035</v>
      </c>
      <c r="BG6" s="98">
        <f>god+9</f>
        <v>2035</v>
      </c>
      <c r="BH6" s="98">
        <f>god+10</f>
        <v>2036</v>
      </c>
      <c r="BI6" s="98">
        <f>god+10</f>
        <v>2036</v>
      </c>
      <c r="BJ6" s="98">
        <f>god+10</f>
        <v>2036</v>
      </c>
      <c r="BK6" s="98">
        <f>god+11</f>
        <v>2037</v>
      </c>
      <c r="BL6" s="98">
        <f>god+11</f>
        <v>2037</v>
      </c>
      <c r="BM6" s="98">
        <f>god+11</f>
        <v>2037</v>
      </c>
      <c r="BN6" s="98">
        <f>god+12</f>
        <v>2038</v>
      </c>
      <c r="BO6" s="98">
        <f>god+12</f>
        <v>2038</v>
      </c>
      <c r="BP6" s="98">
        <f>god+12</f>
        <v>2038</v>
      </c>
      <c r="BQ6" s="98">
        <f>god+13</f>
        <v>2039</v>
      </c>
      <c r="BR6" s="98">
        <f>god+13</f>
        <v>2039</v>
      </c>
      <c r="BS6" s="98">
        <f>god+13</f>
        <v>2039</v>
      </c>
      <c r="BT6" s="98">
        <f>god+14</f>
        <v>2040</v>
      </c>
      <c r="BU6" s="98">
        <f>god+14</f>
        <v>2040</v>
      </c>
      <c r="BV6" s="98">
        <f>god+14</f>
        <v>2040</v>
      </c>
      <c r="BW6" s="98">
        <f>god+15</f>
        <v>2041</v>
      </c>
      <c r="BX6" s="98">
        <f>god+15</f>
        <v>2041</v>
      </c>
      <c r="BY6" s="98">
        <f>god+15</f>
        <v>2041</v>
      </c>
      <c r="BZ6" s="98">
        <f>god+16</f>
        <v>2042</v>
      </c>
      <c r="CA6" s="98">
        <f>god+16</f>
        <v>2042</v>
      </c>
      <c r="CB6" s="98">
        <f>god+16</f>
        <v>2042</v>
      </c>
      <c r="CC6" s="98">
        <f>god+17</f>
        <v>2043</v>
      </c>
      <c r="CD6" s="98">
        <f>god+17</f>
        <v>2043</v>
      </c>
      <c r="CE6" s="98">
        <f>god+17</f>
        <v>2043</v>
      </c>
      <c r="CF6" s="98">
        <f>god+18</f>
        <v>2044</v>
      </c>
      <c r="CG6" s="98">
        <f>god+18</f>
        <v>2044</v>
      </c>
      <c r="CH6" s="98">
        <f>god+18</f>
        <v>2044</v>
      </c>
      <c r="CI6" s="98">
        <f>god+19</f>
        <v>2045</v>
      </c>
      <c r="CJ6" s="98">
        <f>god+19</f>
        <v>2045</v>
      </c>
      <c r="CK6" s="98">
        <f>god+19</f>
        <v>2045</v>
      </c>
      <c r="CL6" s="98">
        <f>god+20</f>
        <v>2046</v>
      </c>
      <c r="CM6" s="98">
        <f>god+20</f>
        <v>2046</v>
      </c>
      <c r="CN6" s="98">
        <f>god+20</f>
        <v>2046</v>
      </c>
      <c r="CO6" s="98">
        <f>god+21</f>
        <v>2047</v>
      </c>
      <c r="CP6" s="98">
        <f>god+21</f>
        <v>2047</v>
      </c>
      <c r="CQ6" s="98">
        <f>god+21</f>
        <v>2047</v>
      </c>
      <c r="CR6" s="98">
        <f>god+22</f>
        <v>2048</v>
      </c>
      <c r="CS6" s="98">
        <f>god+22</f>
        <v>2048</v>
      </c>
      <c r="CT6" s="98">
        <f>god+22</f>
        <v>2048</v>
      </c>
      <c r="CU6" s="98">
        <f>god+23</f>
        <v>2049</v>
      </c>
      <c r="CV6" s="98">
        <f>god+23</f>
        <v>2049</v>
      </c>
      <c r="CW6" s="98">
        <f>god+23</f>
        <v>2049</v>
      </c>
      <c r="CX6" s="98">
        <f>god+24</f>
        <v>2050</v>
      </c>
      <c r="CY6" s="98">
        <f>god+24</f>
        <v>2050</v>
      </c>
      <c r="CZ6" s="98">
        <f>god+24</f>
        <v>2050</v>
      </c>
      <c r="DA6" s="98">
        <f>god+25</f>
        <v>2051</v>
      </c>
      <c r="DB6" s="98">
        <f>god+25</f>
        <v>2051</v>
      </c>
      <c r="DC6" s="98">
        <f>god+25</f>
        <v>2051</v>
      </c>
      <c r="DD6" s="98">
        <f>god+26</f>
        <v>2052</v>
      </c>
      <c r="DE6" s="98">
        <f>god+26</f>
        <v>2052</v>
      </c>
      <c r="DF6" s="98">
        <f>god+26</f>
        <v>2052</v>
      </c>
      <c r="DG6" s="98">
        <f>god+27</f>
        <v>2053</v>
      </c>
      <c r="DH6" s="98">
        <f>god+27</f>
        <v>2053</v>
      </c>
      <c r="DI6" s="98">
        <f>god+27</f>
        <v>2053</v>
      </c>
      <c r="DJ6" s="98">
        <f>god+28</f>
        <v>2054</v>
      </c>
      <c r="DK6" s="98">
        <f>god+28</f>
        <v>2054</v>
      </c>
      <c r="DL6" s="98">
        <f>god+28</f>
        <v>2054</v>
      </c>
      <c r="DM6" s="98">
        <f>god+29</f>
        <v>2055</v>
      </c>
      <c r="DN6" s="98">
        <f>god+29</f>
        <v>2055</v>
      </c>
      <c r="DO6" s="98">
        <f>god+29</f>
        <v>2055</v>
      </c>
      <c r="DP6" s="98">
        <f>god+30</f>
        <v>2056</v>
      </c>
      <c r="DQ6" s="98">
        <f>god+30</f>
        <v>2056</v>
      </c>
      <c r="DR6" s="98">
        <f>god+30</f>
        <v>2056</v>
      </c>
      <c r="DS6" s="98">
        <f>god+31</f>
        <v>2057</v>
      </c>
      <c r="DT6" s="98">
        <f>god+31</f>
        <v>2057</v>
      </c>
      <c r="DU6" s="98">
        <f>god+31</f>
        <v>2057</v>
      </c>
      <c r="DV6" s="98">
        <f>god+32</f>
        <v>2058</v>
      </c>
      <c r="DW6" s="98">
        <f>god+32</f>
        <v>2058</v>
      </c>
      <c r="DX6" s="98">
        <f>god+32</f>
        <v>2058</v>
      </c>
      <c r="DY6" s="98">
        <f>god+33</f>
        <v>2059</v>
      </c>
      <c r="DZ6" s="98">
        <f>god+33</f>
        <v>2059</v>
      </c>
      <c r="EA6" s="98">
        <f>god+33</f>
        <v>2059</v>
      </c>
      <c r="EB6" s="98">
        <f>god+34</f>
        <v>2060</v>
      </c>
      <c r="EC6" s="98">
        <f>god+34</f>
        <v>2060</v>
      </c>
      <c r="ED6" s="98">
        <f>god+34</f>
        <v>2060</v>
      </c>
      <c r="EE6" s="98">
        <f>god+35</f>
        <v>2061</v>
      </c>
      <c r="EF6" s="98">
        <f>god+35</f>
        <v>2061</v>
      </c>
      <c r="EG6" s="98">
        <f>god+35</f>
        <v>2061</v>
      </c>
      <c r="EH6" s="98">
        <f>god+36</f>
        <v>2062</v>
      </c>
      <c r="EI6" s="98">
        <f>god+36</f>
        <v>2062</v>
      </c>
      <c r="EJ6" s="98">
        <f>god+36</f>
        <v>2062</v>
      </c>
      <c r="EK6" s="98">
        <f>god+37</f>
        <v>2063</v>
      </c>
      <c r="EL6" s="98">
        <f>god+37</f>
        <v>2063</v>
      </c>
      <c r="EM6" s="98">
        <f>god+37</f>
        <v>2063</v>
      </c>
      <c r="EN6" s="98">
        <f>god+38</f>
        <v>2064</v>
      </c>
      <c r="EO6" s="98">
        <f>god+38</f>
        <v>2064</v>
      </c>
      <c r="EP6" s="98">
        <f>god+38</f>
        <v>2064</v>
      </c>
      <c r="EQ6" s="98">
        <f>god+39</f>
        <v>2065</v>
      </c>
      <c r="ER6" s="98">
        <f>god+39</f>
        <v>2065</v>
      </c>
      <c r="ES6" s="98">
        <f>god+39</f>
        <v>2065</v>
      </c>
      <c r="ET6" s="98">
        <f>god+40</f>
        <v>2066</v>
      </c>
      <c r="EU6" s="98">
        <f>god+40</f>
        <v>2066</v>
      </c>
      <c r="EV6" s="98">
        <f>god+40</f>
        <v>2066</v>
      </c>
      <c r="EW6" s="98">
        <f>god+41</f>
        <v>2067</v>
      </c>
      <c r="EX6" s="98">
        <f>god+41</f>
        <v>2067</v>
      </c>
      <c r="EY6" s="98">
        <f>god+41</f>
        <v>2067</v>
      </c>
      <c r="EZ6" s="98">
        <f>god+42</f>
        <v>2068</v>
      </c>
      <c r="FA6" s="98">
        <f>god+42</f>
        <v>2068</v>
      </c>
      <c r="FB6" s="98">
        <f>god+42</f>
        <v>2068</v>
      </c>
      <c r="FC6" s="98">
        <f>god+43</f>
        <v>2069</v>
      </c>
      <c r="FD6" s="98">
        <f>god+43</f>
        <v>2069</v>
      </c>
      <c r="FE6" s="98">
        <f>god+43</f>
        <v>2069</v>
      </c>
      <c r="FF6" s="98">
        <f>god+44</f>
        <v>2070</v>
      </c>
      <c r="FG6" s="98">
        <f>god+44</f>
        <v>2070</v>
      </c>
      <c r="FH6" s="98">
        <f>god+44</f>
        <v>2070</v>
      </c>
      <c r="FI6" s="98">
        <f>god+45</f>
        <v>2071</v>
      </c>
      <c r="FJ6" s="98">
        <f>god+45</f>
        <v>2071</v>
      </c>
      <c r="FK6" s="98">
        <f>god+45</f>
        <v>2071</v>
      </c>
      <c r="FL6" s="98">
        <f>god+46</f>
        <v>2072</v>
      </c>
      <c r="FM6" s="98">
        <f>god+46</f>
        <v>2072</v>
      </c>
      <c r="FN6" s="98">
        <f>god+46</f>
        <v>2072</v>
      </c>
      <c r="FO6" s="98">
        <f>god+47</f>
        <v>2073</v>
      </c>
      <c r="FP6" s="98">
        <f>god+47</f>
        <v>2073</v>
      </c>
      <c r="FQ6" s="98">
        <f>god+47</f>
        <v>2073</v>
      </c>
      <c r="FR6" s="98">
        <f>god+48</f>
        <v>2074</v>
      </c>
      <c r="FS6" s="98">
        <f>god+48</f>
        <v>2074</v>
      </c>
      <c r="FT6" s="98">
        <f>god+48</f>
        <v>2074</v>
      </c>
      <c r="FU6" s="98">
        <f>god+49</f>
        <v>2075</v>
      </c>
      <c r="FV6" s="98">
        <f>god+49</f>
        <v>2075</v>
      </c>
      <c r="FW6" s="98">
        <f>god+49</f>
        <v>2075</v>
      </c>
    </row>
    <row customHeight="1" ht="11.25" hidden="1">
      <c r="A7" s="98" t="s">
        <v>361</v>
      </c>
      <c r="AD7" s="98" cm="1" t="str">
        <f t="array" ref="AD7:AD7">AD26</f>
        <v>Предложение организации</v>
      </c>
      <c r="AE7" s="98" cm="1" t="str">
        <f t="array" ref="AE7:AE7">AE26</f>
        <v>Принято органом регулирования</v>
      </c>
      <c r="AF7" s="98" cm="1" t="str">
        <f t="array" ref="AF7:AF7">AF26</f>
        <v>Отклонение, %</v>
      </c>
      <c r="AG7" s="98" cm="1" t="str">
        <f t="array" ref="AG7:AG7">AG26</f>
        <v>Предложение организации</v>
      </c>
      <c r="AH7" s="98" cm="1" t="str">
        <f t="array" ref="AH7:AH7">AH26</f>
        <v>Принято органом регулирования</v>
      </c>
      <c r="AI7" s="98" cm="1" t="str">
        <f t="array" ref="AI7:AI7">AI26</f>
        <v>Отклонение, %</v>
      </c>
      <c r="AJ7" s="98" cm="1" t="str">
        <f t="array" ref="AJ7:AJ7">AJ26</f>
        <v>Предложение организации</v>
      </c>
      <c r="AK7" s="98" cm="1" t="str">
        <f t="array" ref="AK7:AK7">AK26</f>
        <v>Принято органом регулирования</v>
      </c>
      <c r="AL7" s="98" cm="1" t="str">
        <f t="array" ref="AL7:AL7">AL26</f>
        <v>Отклонение, %</v>
      </c>
      <c r="AM7" s="98" cm="1" t="str">
        <f t="array" ref="AM7:AM7">AM26</f>
        <v>Предложение организации</v>
      </c>
      <c r="AN7" s="98" cm="1" t="str">
        <f t="array" ref="AN7:AN7">AN26</f>
        <v>Принято органом регулирования</v>
      </c>
      <c r="AO7" s="98" cm="1" t="str">
        <f t="array" ref="AO7:AO7">AO26</f>
        <v>Отклонение, %</v>
      </c>
      <c r="AP7" s="98" cm="1" t="str">
        <f t="array" ref="AP7:AP7">AP26</f>
        <v>Предложение организации</v>
      </c>
      <c r="AQ7" s="98" cm="1" t="str">
        <f t="array" ref="AQ7:AQ7">AQ26</f>
        <v>Принято органом регулирования</v>
      </c>
      <c r="AR7" s="98" cm="1" t="str">
        <f t="array" ref="AR7:AR7">AR26</f>
        <v>Отклонение, %</v>
      </c>
      <c r="AS7" s="98" cm="1" t="str">
        <f t="array" ref="AS7:AS7">AS26</f>
        <v>Предложение организации</v>
      </c>
      <c r="AT7" s="98" cm="1" t="str">
        <f t="array" ref="AT7:AT7">AT26</f>
        <v>Принято органом регулирования</v>
      </c>
      <c r="AU7" s="98" cm="1" t="str">
        <f t="array" ref="AU7:AU7">AU26</f>
        <v>Отклонение, %</v>
      </c>
      <c r="AV7" s="98" cm="1" t="str">
        <f t="array" ref="AV7:AV7">AV26</f>
        <v>Предложение организации</v>
      </c>
      <c r="AW7" s="98" cm="1" t="str">
        <f t="array" ref="AW7:AW7">AW26</f>
        <v>Принято органом регулирования</v>
      </c>
      <c r="AX7" s="98" cm="1" t="str">
        <f t="array" ref="AX7:AX7">AX26</f>
        <v>Отклонение, %</v>
      </c>
      <c r="AY7" s="98" cm="1" t="str">
        <f t="array" ref="AY7:AY7">AY26</f>
        <v>Предложение организации</v>
      </c>
      <c r="AZ7" s="98" cm="1" t="str">
        <f t="array" ref="AZ7:AZ7">AZ26</f>
        <v>Принято органом регулирования</v>
      </c>
      <c r="BA7" s="98" cm="1" t="str">
        <f t="array" ref="BA7:BA7">BA26</f>
        <v>Отклонение, %</v>
      </c>
      <c r="BB7" s="98" cm="1" t="str">
        <f t="array" ref="BB7:BB7">BB26</f>
        <v>Предложение организации</v>
      </c>
      <c r="BC7" s="98" cm="1" t="str">
        <f t="array" ref="BC7:BC7">BC26</f>
        <v>Принято органом регулирования</v>
      </c>
      <c r="BD7" s="98" cm="1" t="str">
        <f t="array" ref="BD7:BD7">BD26</f>
        <v>Отклонение, %</v>
      </c>
      <c r="BE7" s="98" cm="1" t="str">
        <f t="array" ref="BE7:BE7">BE26</f>
        <v>Предложение организации</v>
      </c>
      <c r="BF7" s="98" cm="1" t="str">
        <f t="array" ref="BF7:BF7">BF26</f>
        <v>Принято органом регулирования</v>
      </c>
      <c r="BG7" s="98" cm="1" t="str">
        <f t="array" ref="BG7:BG7">BG26</f>
        <v>Отклонение, %</v>
      </c>
      <c r="BH7" s="98" cm="1" t="str">
        <f t="array" ref="BH7:BH7">BH26</f>
        <v>Предложение организации</v>
      </c>
      <c r="BI7" s="98" cm="1" t="str">
        <f t="array" ref="BI7:BI7">BI26</f>
        <v>Принято органом регулирования</v>
      </c>
      <c r="BJ7" s="98" cm="1" t="str">
        <f t="array" ref="BJ7:BJ7">BJ26</f>
        <v>Отклонение, %</v>
      </c>
      <c r="BK7" s="98" cm="1" t="str">
        <f t="array" ref="BK7:BK7">BK26</f>
        <v>Предложение организации</v>
      </c>
      <c r="BL7" s="98" cm="1" t="str">
        <f t="array" ref="BL7:BL7">BL26</f>
        <v>Принято органом регулирования</v>
      </c>
      <c r="BM7" s="98" cm="1" t="str">
        <f t="array" ref="BM7:BM7">BM26</f>
        <v>Отклонение, %</v>
      </c>
      <c r="BN7" s="98" cm="1" t="str">
        <f t="array" ref="BN7:BN7">BN26</f>
        <v>Предложение организации</v>
      </c>
      <c r="BO7" s="98" cm="1" t="str">
        <f t="array" ref="BO7:BO7">BO26</f>
        <v>Принято органом регулирования</v>
      </c>
      <c r="BP7" s="98" cm="1" t="str">
        <f t="array" ref="BP7:BP7">BP26</f>
        <v>Отклонение, %</v>
      </c>
      <c r="BQ7" s="98" cm="1" t="str">
        <f t="array" ref="BQ7:BQ7">BQ26</f>
        <v>Предложение организации</v>
      </c>
      <c r="BR7" s="98" cm="1" t="str">
        <f t="array" ref="BR7:BR7">BR26</f>
        <v>Принято органом регулирования</v>
      </c>
      <c r="BS7" s="98" cm="1" t="str">
        <f t="array" ref="BS7:BS7">BS26</f>
        <v>Отклонение, %</v>
      </c>
      <c r="BT7" s="98" cm="1" t="str">
        <f t="array" ref="BT7:BT7">BT26</f>
        <v>Предложение организации</v>
      </c>
      <c r="BU7" s="98" cm="1" t="str">
        <f t="array" ref="BU7:BU7">BU26</f>
        <v>Принято органом регулирования</v>
      </c>
      <c r="BV7" s="98" cm="1" t="str">
        <f t="array" ref="BV7:BV7">BV26</f>
        <v>Отклонение, %</v>
      </c>
      <c r="BW7" s="98" cm="1" t="str">
        <f t="array" ref="BW7:BW7">BW26</f>
        <v>Предложение организации</v>
      </c>
      <c r="BX7" s="98" cm="1" t="str">
        <f t="array" ref="BX7:BX7">BX26</f>
        <v>Принято органом регулирования</v>
      </c>
      <c r="BY7" s="98" cm="1" t="str">
        <f t="array" ref="BY7:BY7">BY26</f>
        <v>Отклонение, %</v>
      </c>
      <c r="BZ7" s="98" cm="1" t="str">
        <f t="array" ref="BZ7:BZ7">BZ26</f>
        <v>Предложение организации</v>
      </c>
      <c r="CA7" s="98" cm="1" t="str">
        <f t="array" ref="CA7:CA7">CA26</f>
        <v>Принято органом регулирования</v>
      </c>
      <c r="CB7" s="98" cm="1" t="str">
        <f t="array" ref="CB7:CB7">CB26</f>
        <v>Отклонение, %</v>
      </c>
      <c r="CC7" s="98" cm="1" t="str">
        <f t="array" ref="CC7:CC7">CC26</f>
        <v>Предложение организации</v>
      </c>
      <c r="CD7" s="98" cm="1" t="str">
        <f t="array" ref="CD7:CD7">CD26</f>
        <v>Принято органом регулирования</v>
      </c>
      <c r="CE7" s="98" cm="1" t="str">
        <f t="array" ref="CE7:CE7">CE26</f>
        <v>Отклонение, %</v>
      </c>
      <c r="CF7" s="98" cm="1" t="str">
        <f t="array" ref="CF7:CF7">CF26</f>
        <v>Предложение организации</v>
      </c>
      <c r="CG7" s="98" cm="1" t="str">
        <f t="array" ref="CG7:CG7">CG26</f>
        <v>Принято органом регулирования</v>
      </c>
      <c r="CH7" s="98" cm="1" t="str">
        <f t="array" ref="CH7:CH7">CH26</f>
        <v>Отклонение, %</v>
      </c>
      <c r="CI7" s="98" cm="1" t="str">
        <f t="array" ref="CI7:CI7">CI26</f>
        <v>Предложение организации</v>
      </c>
      <c r="CJ7" s="98" cm="1" t="str">
        <f t="array" ref="CJ7:CJ7">CJ26</f>
        <v>Принято органом регулирования</v>
      </c>
      <c r="CK7" s="98" cm="1" t="str">
        <f t="array" ref="CK7:CK7">CK26</f>
        <v>Отклонение, %</v>
      </c>
      <c r="CL7" s="98" cm="1" t="str">
        <f t="array" ref="CL7:CL7">CL26</f>
        <v>Предложение организации</v>
      </c>
      <c r="CM7" s="98" cm="1" t="str">
        <f t="array" ref="CM7:CM7">CM26</f>
        <v>Принято органом регулирования</v>
      </c>
      <c r="CN7" s="98" cm="1" t="str">
        <f t="array" ref="CN7:CN7">CN26</f>
        <v>Отклонение, %</v>
      </c>
      <c r="CO7" s="98" cm="1" t="str">
        <f t="array" ref="CO7:CO7">CO26</f>
        <v>Предложение организации</v>
      </c>
      <c r="CP7" s="98" cm="1" t="str">
        <f t="array" ref="CP7:CP7">CP26</f>
        <v>Принято органом регулирования</v>
      </c>
      <c r="CQ7" s="98" cm="1" t="str">
        <f t="array" ref="CQ7:CQ7">CQ26</f>
        <v>Отклонение, %</v>
      </c>
      <c r="CR7" s="98" cm="1" t="str">
        <f t="array" ref="CR7:CR7">CR26</f>
        <v>Предложение организации</v>
      </c>
      <c r="CS7" s="98" cm="1" t="str">
        <f t="array" ref="CS7:CS7">CS26</f>
        <v>Принято органом регулирования</v>
      </c>
      <c r="CT7" s="98" cm="1" t="str">
        <f t="array" ref="CT7:CT7">CT26</f>
        <v>Отклонение, %</v>
      </c>
      <c r="CU7" s="98" cm="1" t="str">
        <f t="array" ref="CU7:CU7">CU26</f>
        <v>Предложение организации</v>
      </c>
      <c r="CV7" s="98" cm="1" t="str">
        <f t="array" ref="CV7:CV7">CV26</f>
        <v>Принято органом регулирования</v>
      </c>
      <c r="CW7" s="98" cm="1" t="str">
        <f t="array" ref="CW7:CW7">CW26</f>
        <v>Отклонение, %</v>
      </c>
      <c r="CX7" s="98" cm="1" t="str">
        <f t="array" ref="CX7:CX7">CX26</f>
        <v>Предложение организации</v>
      </c>
      <c r="CY7" s="98" cm="1" t="str">
        <f t="array" ref="CY7:CY7">CY26</f>
        <v>Принято органом регулирования</v>
      </c>
      <c r="CZ7" s="98" cm="1" t="str">
        <f t="array" ref="CZ7:CZ7">CZ26</f>
        <v>Отклонение, %</v>
      </c>
      <c r="DA7" s="98" cm="1" t="str">
        <f t="array" ref="DA7:DA7">DA26</f>
        <v>Предложение организации</v>
      </c>
      <c r="DB7" s="98" cm="1" t="str">
        <f t="array" ref="DB7:DB7">DB26</f>
        <v>Принято органом регулирования</v>
      </c>
      <c r="DC7" s="98" cm="1" t="str">
        <f t="array" ref="DC7:DC7">DC26</f>
        <v>Отклонение, %</v>
      </c>
      <c r="DD7" s="98" cm="1" t="str">
        <f t="array" ref="DD7:DD7">DD26</f>
        <v>Предложение организации</v>
      </c>
      <c r="DE7" s="98" cm="1" t="str">
        <f t="array" ref="DE7:DE7">DE26</f>
        <v>Принято органом регулирования</v>
      </c>
      <c r="DF7" s="98" cm="1" t="str">
        <f t="array" ref="DF7:DF7">DF26</f>
        <v>Отклонение, %</v>
      </c>
      <c r="DG7" s="98" cm="1" t="str">
        <f t="array" ref="DG7:DG7">DG26</f>
        <v>Предложение организации</v>
      </c>
      <c r="DH7" s="98" cm="1" t="str">
        <f t="array" ref="DH7:DH7">DH26</f>
        <v>Принято органом регулирования</v>
      </c>
      <c r="DI7" s="98" cm="1" t="str">
        <f t="array" ref="DI7:DI7">DI26</f>
        <v>Отклонение, %</v>
      </c>
      <c r="DJ7" s="98" cm="1" t="str">
        <f t="array" ref="DJ7:DJ7">DJ26</f>
        <v>Предложение организации</v>
      </c>
      <c r="DK7" s="98" cm="1" t="str">
        <f t="array" ref="DK7:DK7">DK26</f>
        <v>Принято органом регулирования</v>
      </c>
      <c r="DL7" s="98" cm="1" t="str">
        <f t="array" ref="DL7:DL7">DL26</f>
        <v>Отклонение, %</v>
      </c>
      <c r="DM7" s="98" cm="1" t="str">
        <f t="array" ref="DM7:DM7">DM26</f>
        <v>Предложение организации</v>
      </c>
      <c r="DN7" s="98" cm="1" t="str">
        <f t="array" ref="DN7:DN7">DN26</f>
        <v>Принято органом регулирования</v>
      </c>
      <c r="DO7" s="98" cm="1" t="str">
        <f t="array" ref="DO7:DO7">DO26</f>
        <v>Отклонение, %</v>
      </c>
      <c r="DP7" s="98" cm="1" t="str">
        <f t="array" ref="DP7:DP7">DP26</f>
        <v>Предложение организации</v>
      </c>
      <c r="DQ7" s="98" cm="1" t="str">
        <f t="array" ref="DQ7:DQ7">DQ26</f>
        <v>Принято органом регулирования</v>
      </c>
      <c r="DR7" s="98" cm="1" t="str">
        <f t="array" ref="DR7:DR7">DR26</f>
        <v>Отклонение, %</v>
      </c>
      <c r="DS7" s="98" cm="1" t="str">
        <f t="array" ref="DS7:DS7">DS26</f>
        <v>Предложение организации</v>
      </c>
      <c r="DT7" s="98" cm="1" t="str">
        <f t="array" ref="DT7:DT7">DT26</f>
        <v>Принято органом регулирования</v>
      </c>
      <c r="DU7" s="98" cm="1" t="str">
        <f t="array" ref="DU7:DU7">DU26</f>
        <v>Отклонение, %</v>
      </c>
      <c r="DV7" s="98" cm="1" t="str">
        <f t="array" ref="DV7:DV7">DV26</f>
        <v>Предложение организации</v>
      </c>
      <c r="DW7" s="98" cm="1" t="str">
        <f t="array" ref="DW7:DW7">DW26</f>
        <v>Принято органом регулирования</v>
      </c>
      <c r="DX7" s="98" cm="1" t="str">
        <f t="array" ref="DX7:DX7">DX26</f>
        <v>Отклонение, %</v>
      </c>
      <c r="DY7" s="98" cm="1" t="str">
        <f t="array" ref="DY7:DY7">DY26</f>
        <v>Предложение организации</v>
      </c>
      <c r="DZ7" s="98" cm="1" t="str">
        <f t="array" ref="DZ7:DZ7">DZ26</f>
        <v>Принято органом регулирования</v>
      </c>
      <c r="EA7" s="98" cm="1" t="str">
        <f t="array" ref="EA7:EA7">EA26</f>
        <v>Отклонение, %</v>
      </c>
      <c r="EB7" s="98" cm="1" t="str">
        <f t="array" ref="EB7:EB7">EB26</f>
        <v>Предложение организации</v>
      </c>
      <c r="EC7" s="98" cm="1" t="str">
        <f t="array" ref="EC7:EC7">EC26</f>
        <v>Принято органом регулирования</v>
      </c>
      <c r="ED7" s="98" cm="1" t="str">
        <f t="array" ref="ED7:ED7">ED26</f>
        <v>Отклонение, %</v>
      </c>
      <c r="EE7" s="98" cm="1" t="str">
        <f t="array" ref="EE7:EE7">EE26</f>
        <v>Предложение организации</v>
      </c>
      <c r="EF7" s="98" cm="1" t="str">
        <f t="array" ref="EF7:EF7">EF26</f>
        <v>Принято органом регулирования</v>
      </c>
      <c r="EG7" s="98" cm="1" t="str">
        <f t="array" ref="EG7:EG7">EG26</f>
        <v>Отклонение, %</v>
      </c>
      <c r="EH7" s="98" cm="1" t="str">
        <f t="array" ref="EH7:EH7">EH26</f>
        <v>Предложение организации</v>
      </c>
      <c r="EI7" s="98" cm="1" t="str">
        <f t="array" ref="EI7:EI7">EI26</f>
        <v>Принято органом регулирования</v>
      </c>
      <c r="EJ7" s="98" cm="1" t="str">
        <f t="array" ref="EJ7:EJ7">EJ26</f>
        <v>Отклонение, %</v>
      </c>
      <c r="EK7" s="98" cm="1" t="str">
        <f t="array" ref="EK7:EK7">EK26</f>
        <v>Предложение организации</v>
      </c>
      <c r="EL7" s="98" cm="1" t="str">
        <f t="array" ref="EL7:EL7">EL26</f>
        <v>Принято органом регулирования</v>
      </c>
      <c r="EM7" s="98" cm="1" t="str">
        <f t="array" ref="EM7:EM7">EM26</f>
        <v>Отклонение, %</v>
      </c>
      <c r="EN7" s="98" cm="1" t="str">
        <f t="array" ref="EN7:EN7">EN26</f>
        <v>Предложение организации</v>
      </c>
      <c r="EO7" s="98" cm="1" t="str">
        <f t="array" ref="EO7:EO7">EO26</f>
        <v>Принято органом регулирования</v>
      </c>
      <c r="EP7" s="98" cm="1" t="str">
        <f t="array" ref="EP7:EP7">EP26</f>
        <v>Отклонение, %</v>
      </c>
      <c r="EQ7" s="98" cm="1" t="str">
        <f t="array" ref="EQ7:EQ7">EQ26</f>
        <v>Предложение организации</v>
      </c>
      <c r="ER7" s="98" cm="1" t="str">
        <f t="array" ref="ER7:ER7">ER26</f>
        <v>Принято органом регулирования</v>
      </c>
      <c r="ES7" s="98" cm="1" t="str">
        <f t="array" ref="ES7:ES7">ES26</f>
        <v>Отклонение, %</v>
      </c>
      <c r="ET7" s="98" cm="1" t="str">
        <f t="array" ref="ET7:ET7">ET26</f>
        <v>Предложение организации</v>
      </c>
      <c r="EU7" s="98" cm="1" t="str">
        <f t="array" ref="EU7:EU7">EU26</f>
        <v>Принято органом регулирования</v>
      </c>
      <c r="EV7" s="98" cm="1" t="str">
        <f t="array" ref="EV7:EV7">EV26</f>
        <v>Отклонение, %</v>
      </c>
      <c r="EW7" s="98" cm="1" t="str">
        <f t="array" ref="EW7:EW7">EW26</f>
        <v>Предложение организации</v>
      </c>
      <c r="EX7" s="98" cm="1" t="str">
        <f t="array" ref="EX7:EX7">EX26</f>
        <v>Принято органом регулирования</v>
      </c>
      <c r="EY7" s="98" cm="1" t="str">
        <f t="array" ref="EY7:EY7">EY26</f>
        <v>Отклонение, %</v>
      </c>
      <c r="EZ7" s="98" cm="1" t="str">
        <f t="array" ref="EZ7:EZ7">EZ26</f>
        <v>Предложение организации</v>
      </c>
      <c r="FA7" s="98" cm="1" t="str">
        <f t="array" ref="FA7:FA7">FA26</f>
        <v>Принято органом регулирования</v>
      </c>
      <c r="FB7" s="98" cm="1" t="str">
        <f t="array" ref="FB7:FB7">FB26</f>
        <v>Отклонение, %</v>
      </c>
      <c r="FC7" s="98" cm="1" t="str">
        <f t="array" ref="FC7:FC7">FC26</f>
        <v>Предложение организации</v>
      </c>
      <c r="FD7" s="98" cm="1" t="str">
        <f t="array" ref="FD7:FD7">FD26</f>
        <v>Принято органом регулирования</v>
      </c>
      <c r="FE7" s="98" cm="1" t="str">
        <f t="array" ref="FE7:FE7">FE26</f>
        <v>Отклонение, %</v>
      </c>
      <c r="FF7" s="98" cm="1" t="str">
        <f t="array" ref="FF7:FF7">FF26</f>
        <v>Предложение организации</v>
      </c>
      <c r="FG7" s="98" cm="1" t="str">
        <f t="array" ref="FG7:FG7">FG26</f>
        <v>Принято органом регулирования</v>
      </c>
      <c r="FH7" s="98" cm="1" t="str">
        <f t="array" ref="FH7:FH7">FH26</f>
        <v>Отклонение, %</v>
      </c>
      <c r="FI7" s="98" cm="1" t="str">
        <f t="array" ref="FI7:FI7">FI26</f>
        <v>Предложение организации</v>
      </c>
      <c r="FJ7" s="98" cm="1" t="str">
        <f t="array" ref="FJ7:FJ7">FJ26</f>
        <v>Принято органом регулирования</v>
      </c>
      <c r="FK7" s="98" cm="1" t="str">
        <f t="array" ref="FK7:FK7">FK26</f>
        <v>Отклонение, %</v>
      </c>
      <c r="FL7" s="98" cm="1" t="str">
        <f t="array" ref="FL7:FL7">FL26</f>
        <v>Предложение организации</v>
      </c>
      <c r="FM7" s="98" cm="1" t="str">
        <f t="array" ref="FM7:FM7">FM26</f>
        <v>Принято органом регулирования</v>
      </c>
      <c r="FN7" s="98" cm="1" t="str">
        <f t="array" ref="FN7:FN7">FN26</f>
        <v>Отклонение, %</v>
      </c>
      <c r="FO7" s="98" cm="1" t="str">
        <f t="array" ref="FO7:FO7">FO26</f>
        <v>Предложение организации</v>
      </c>
      <c r="FP7" s="98" cm="1" t="str">
        <f t="array" ref="FP7:FP7">FP26</f>
        <v>Принято органом регулирования</v>
      </c>
      <c r="FQ7" s="98" cm="1" t="str">
        <f t="array" ref="FQ7:FQ7">FQ26</f>
        <v>Отклонение, %</v>
      </c>
      <c r="FR7" s="98" cm="1" t="str">
        <f t="array" ref="FR7:FR7">FR26</f>
        <v>Предложение организации</v>
      </c>
      <c r="FS7" s="98" cm="1" t="str">
        <f t="array" ref="FS7:FS7">FS26</f>
        <v>Принято органом регулирования</v>
      </c>
      <c r="FT7" s="98" cm="1" t="str">
        <f t="array" ref="FT7:FT7">FT26</f>
        <v>Отклонение, %</v>
      </c>
      <c r="FU7" s="98" cm="1" t="str">
        <f t="array" ref="FU7:FU7">FU26</f>
        <v>Предложение организации</v>
      </c>
      <c r="FV7" s="98" cm="1" t="str">
        <f t="array" ref="FV7:FV7">FV26</f>
        <v>Принято органом регулирования</v>
      </c>
      <c r="FW7" s="98" cm="1" t="str">
        <f t="array" ref="FW7:FW7">FW26</f>
        <v>Отклонение, %</v>
      </c>
    </row>
    <row customHeight="1" ht="11.25" hidden="1">
      <c r="AD8" s="98" t="str">
        <f>AD6&amp;AD7</f>
        <v>2026Предложение организации</v>
      </c>
      <c r="AE8" s="98" t="str">
        <f>AE6&amp;AE7</f>
        <v>2026Принято органом регулирования</v>
      </c>
      <c r="AF8" s="98" t="str">
        <f>AF6&amp;AF7</f>
        <v>2026Отклонение, %</v>
      </c>
      <c r="AG8" s="98" t="str">
        <f>AG6&amp;AG7</f>
        <v>2027Предложение организации</v>
      </c>
      <c r="AH8" s="98" t="str">
        <f>AH6&amp;AH7</f>
        <v>2027Принято органом регулирования</v>
      </c>
      <c r="AI8" s="98" t="str">
        <f>AI6&amp;AI7</f>
        <v>2027Отклонение, %</v>
      </c>
      <c r="AJ8" s="98" t="str">
        <f>AJ6&amp;AJ7</f>
        <v>2028Предложение организации</v>
      </c>
      <c r="AK8" s="98" t="str">
        <f>AK6&amp;AK7</f>
        <v>2028Принято органом регулирования</v>
      </c>
      <c r="AL8" s="98" t="str">
        <f>AL6&amp;AL7</f>
        <v>2028Отклонение, %</v>
      </c>
      <c r="AM8" s="98" t="str">
        <f>AM6&amp;AM7</f>
        <v>2029Предложение организации</v>
      </c>
      <c r="AN8" s="98" t="str">
        <f>AN6&amp;AN7</f>
        <v>2029Принято органом регулирования</v>
      </c>
      <c r="AO8" s="98" t="str">
        <f>AO6&amp;AO7</f>
        <v>2029Отклонение, %</v>
      </c>
      <c r="AP8" s="98" t="str">
        <f>AP6&amp;AP7</f>
        <v>2030Предложение организации</v>
      </c>
      <c r="AQ8" s="98" t="str">
        <f>AQ6&amp;AQ7</f>
        <v>2030Принято органом регулирования</v>
      </c>
      <c r="AR8" s="98" t="str">
        <f>AR6&amp;AR7</f>
        <v>2030Отклонение, %</v>
      </c>
      <c r="AS8" s="98" t="str">
        <f>AS6&amp;AS7</f>
        <v>2031Предложение организации</v>
      </c>
      <c r="AT8" s="98" t="str">
        <f>AT6&amp;AT7</f>
        <v>2031Принято органом регулирования</v>
      </c>
      <c r="AU8" s="98" t="str">
        <f>AU6&amp;AU7</f>
        <v>2031Отклонение, %</v>
      </c>
      <c r="AV8" s="98" t="str">
        <f>AV6&amp;AV7</f>
        <v>2032Предложение организации</v>
      </c>
      <c r="AW8" s="98" t="str">
        <f>AW6&amp;AW7</f>
        <v>2032Принято органом регулирования</v>
      </c>
      <c r="AX8" s="98" t="str">
        <f>AX6&amp;AX7</f>
        <v>2032Отклонение, %</v>
      </c>
      <c r="AY8" s="98" t="str">
        <f>AY6&amp;AY7</f>
        <v>2033Предложение организации</v>
      </c>
      <c r="AZ8" s="98" t="str">
        <f>AZ6&amp;AZ7</f>
        <v>2033Принято органом регулирования</v>
      </c>
      <c r="BA8" s="98" t="str">
        <f>BA6&amp;BA7</f>
        <v>2033Отклонение, %</v>
      </c>
      <c r="BB8" s="98" t="str">
        <f>BB6&amp;BB7</f>
        <v>2034Предложение организации</v>
      </c>
      <c r="BC8" s="98" t="str">
        <f>BC6&amp;BC7</f>
        <v>2034Принято органом регулирования</v>
      </c>
      <c r="BD8" s="98" t="str">
        <f>BD6&amp;BD7</f>
        <v>2034Отклонение, %</v>
      </c>
      <c r="BE8" s="98" t="str">
        <f>BE6&amp;BE7</f>
        <v>2035Предложение организации</v>
      </c>
      <c r="BF8" s="98" t="str">
        <f>BF6&amp;BF7</f>
        <v>2035Принято органом регулирования</v>
      </c>
      <c r="BG8" s="98" t="str">
        <f>BG6&amp;BG7</f>
        <v>2035Отклонение, %</v>
      </c>
      <c r="BH8" s="98" t="str">
        <f>BH6&amp;BH7</f>
        <v>2036Предложение организации</v>
      </c>
      <c r="BI8" s="98" t="str">
        <f>BI6&amp;BI7</f>
        <v>2036Принято органом регулирования</v>
      </c>
      <c r="BJ8" s="98" t="str">
        <f>BJ6&amp;BJ7</f>
        <v>2036Отклонение, %</v>
      </c>
      <c r="BK8" s="98" t="str">
        <f>BK6&amp;BK7</f>
        <v>2037Предложение организации</v>
      </c>
      <c r="BL8" s="98" t="str">
        <f>BL6&amp;BL7</f>
        <v>2037Принято органом регулирования</v>
      </c>
      <c r="BM8" s="98" t="str">
        <f>BM6&amp;BM7</f>
        <v>2037Отклонение, %</v>
      </c>
      <c r="BN8" s="98" t="str">
        <f>BN6&amp;BN7</f>
        <v>2038Предложение организации</v>
      </c>
      <c r="BO8" s="98" t="str">
        <f>BO6&amp;BO7</f>
        <v>2038Принято органом регулирования</v>
      </c>
      <c r="BP8" s="98" t="str">
        <f>BP6&amp;BP7</f>
        <v>2038Отклонение, %</v>
      </c>
      <c r="BQ8" s="98" t="str">
        <f>BQ6&amp;BQ7</f>
        <v>2039Предложение организации</v>
      </c>
      <c r="BR8" s="98" t="str">
        <f>BR6&amp;BR7</f>
        <v>2039Принято органом регулирования</v>
      </c>
      <c r="BS8" s="98" t="str">
        <f>BS6&amp;BS7</f>
        <v>2039Отклонение, %</v>
      </c>
      <c r="BT8" s="98" t="str">
        <f>BT6&amp;BT7</f>
        <v>2040Предложение организации</v>
      </c>
      <c r="BU8" s="98" t="str">
        <f>BU6&amp;BU7</f>
        <v>2040Принято органом регулирования</v>
      </c>
      <c r="BV8" s="98" t="str">
        <f>BV6&amp;BV7</f>
        <v>2040Отклонение, %</v>
      </c>
      <c r="BW8" s="98" t="str">
        <f>BW6&amp;BW7</f>
        <v>2041Предложение организации</v>
      </c>
      <c r="BX8" s="98" t="str">
        <f>BX6&amp;BX7</f>
        <v>2041Принято органом регулирования</v>
      </c>
      <c r="BY8" s="98" t="str">
        <f>BY6&amp;BY7</f>
        <v>2041Отклонение, %</v>
      </c>
      <c r="BZ8" s="98" t="str">
        <f>BZ6&amp;BZ7</f>
        <v>2042Предложение организации</v>
      </c>
      <c r="CA8" s="98" t="str">
        <f>CA6&amp;CA7</f>
        <v>2042Принято органом регулирования</v>
      </c>
      <c r="CB8" s="98" t="str">
        <f>CB6&amp;CB7</f>
        <v>2042Отклонение, %</v>
      </c>
      <c r="CC8" s="98" t="str">
        <f>CC6&amp;CC7</f>
        <v>2043Предложение организации</v>
      </c>
      <c r="CD8" s="98" t="str">
        <f>CD6&amp;CD7</f>
        <v>2043Принято органом регулирования</v>
      </c>
      <c r="CE8" s="98" t="str">
        <f>CE6&amp;CE7</f>
        <v>2043Отклонение, %</v>
      </c>
      <c r="CF8" s="98" t="str">
        <f>CF6&amp;CF7</f>
        <v>2044Предложение организации</v>
      </c>
      <c r="CG8" s="98" t="str">
        <f>CG6&amp;CG7</f>
        <v>2044Принято органом регулирования</v>
      </c>
      <c r="CH8" s="98" t="str">
        <f>CH6&amp;CH7</f>
        <v>2044Отклонение, %</v>
      </c>
      <c r="CI8" s="98" t="str">
        <f>CI6&amp;CI7</f>
        <v>2045Предложение организации</v>
      </c>
      <c r="CJ8" s="98" t="str">
        <f>CJ6&amp;CJ7</f>
        <v>2045Принято органом регулирования</v>
      </c>
      <c r="CK8" s="98" t="str">
        <f>CK6&amp;CK7</f>
        <v>2045Отклонение, %</v>
      </c>
      <c r="CL8" s="98" t="str">
        <f>CL6&amp;CL7</f>
        <v>2046Предложение организации</v>
      </c>
      <c r="CM8" s="98" t="str">
        <f>CM6&amp;CM7</f>
        <v>2046Принято органом регулирования</v>
      </c>
      <c r="CN8" s="98" t="str">
        <f>CN6&amp;CN7</f>
        <v>2046Отклонение, %</v>
      </c>
      <c r="CO8" s="98" t="str">
        <f>CO6&amp;CO7</f>
        <v>2047Предложение организации</v>
      </c>
      <c r="CP8" s="98" t="str">
        <f>CP6&amp;CP7</f>
        <v>2047Принято органом регулирования</v>
      </c>
      <c r="CQ8" s="98" t="str">
        <f>CQ6&amp;CQ7</f>
        <v>2047Отклонение, %</v>
      </c>
      <c r="CR8" s="98" t="str">
        <f>CR6&amp;CR7</f>
        <v>2048Предложение организации</v>
      </c>
      <c r="CS8" s="98" t="str">
        <f>CS6&amp;CS7</f>
        <v>2048Принято органом регулирования</v>
      </c>
      <c r="CT8" s="98" t="str">
        <f>CT6&amp;CT7</f>
        <v>2048Отклонение, %</v>
      </c>
      <c r="CU8" s="98" t="str">
        <f>CU6&amp;CU7</f>
        <v>2049Предложение организации</v>
      </c>
      <c r="CV8" s="98" t="str">
        <f>CV6&amp;CV7</f>
        <v>2049Принято органом регулирования</v>
      </c>
      <c r="CW8" s="98" t="str">
        <f>CW6&amp;CW7</f>
        <v>2049Отклонение, %</v>
      </c>
      <c r="CX8" s="98" t="str">
        <f>CX6&amp;CX7</f>
        <v>2050Предложение организации</v>
      </c>
      <c r="CY8" s="98" t="str">
        <f>CY6&amp;CY7</f>
        <v>2050Принято органом регулирования</v>
      </c>
      <c r="CZ8" s="98" t="str">
        <f>CZ6&amp;CZ7</f>
        <v>2050Отклонение, %</v>
      </c>
      <c r="DA8" s="98" t="str">
        <f>DA6&amp;DA7</f>
        <v>2051Предложение организации</v>
      </c>
      <c r="DB8" s="98" t="str">
        <f>DB6&amp;DB7</f>
        <v>2051Принято органом регулирования</v>
      </c>
      <c r="DC8" s="98" t="str">
        <f>DC6&amp;DC7</f>
        <v>2051Отклонение, %</v>
      </c>
      <c r="DD8" s="98" t="str">
        <f>DD6&amp;DD7</f>
        <v>2052Предложение организации</v>
      </c>
      <c r="DE8" s="98" t="str">
        <f>DE6&amp;DE7</f>
        <v>2052Принято органом регулирования</v>
      </c>
      <c r="DF8" s="98" t="str">
        <f>DF6&amp;DF7</f>
        <v>2052Отклонение, %</v>
      </c>
      <c r="DG8" s="98" t="str">
        <f>DG6&amp;DG7</f>
        <v>2053Предложение организации</v>
      </c>
      <c r="DH8" s="98" t="str">
        <f>DH6&amp;DH7</f>
        <v>2053Принято органом регулирования</v>
      </c>
      <c r="DI8" s="98" t="str">
        <f>DI6&amp;DI7</f>
        <v>2053Отклонение, %</v>
      </c>
      <c r="DJ8" s="98" t="str">
        <f>DJ6&amp;DJ7</f>
        <v>2054Предложение организации</v>
      </c>
      <c r="DK8" s="98" t="str">
        <f>DK6&amp;DK7</f>
        <v>2054Принято органом регулирования</v>
      </c>
      <c r="DL8" s="98" t="str">
        <f>DL6&amp;DL7</f>
        <v>2054Отклонение, %</v>
      </c>
      <c r="DM8" s="98" t="str">
        <f>DM6&amp;DM7</f>
        <v>2055Предложение организации</v>
      </c>
      <c r="DN8" s="98" t="str">
        <f>DN6&amp;DN7</f>
        <v>2055Принято органом регулирования</v>
      </c>
      <c r="DO8" s="98" t="str">
        <f>DO6&amp;DO7</f>
        <v>2055Отклонение, %</v>
      </c>
      <c r="DP8" s="98" t="str">
        <f>DP6&amp;DP7</f>
        <v>2056Предложение организации</v>
      </c>
      <c r="DQ8" s="98" t="str">
        <f>DQ6&amp;DQ7</f>
        <v>2056Принято органом регулирования</v>
      </c>
      <c r="DR8" s="98" t="str">
        <f>DR6&amp;DR7</f>
        <v>2056Отклонение, %</v>
      </c>
      <c r="DS8" s="98" t="str">
        <f>DS6&amp;DS7</f>
        <v>2057Предложение организации</v>
      </c>
      <c r="DT8" s="98" t="str">
        <f>DT6&amp;DT7</f>
        <v>2057Принято органом регулирования</v>
      </c>
      <c r="DU8" s="98" t="str">
        <f>DU6&amp;DU7</f>
        <v>2057Отклонение, %</v>
      </c>
      <c r="DV8" s="98" t="str">
        <f>DV6&amp;DV7</f>
        <v>2058Предложение организации</v>
      </c>
      <c r="DW8" s="98" t="str">
        <f>DW6&amp;DW7</f>
        <v>2058Принято органом регулирования</v>
      </c>
      <c r="DX8" s="98" t="str">
        <f>DX6&amp;DX7</f>
        <v>2058Отклонение, %</v>
      </c>
      <c r="DY8" s="98" t="str">
        <f>DY6&amp;DY7</f>
        <v>2059Предложение организации</v>
      </c>
      <c r="DZ8" s="98" t="str">
        <f>DZ6&amp;DZ7</f>
        <v>2059Принято органом регулирования</v>
      </c>
      <c r="EA8" s="98" t="str">
        <f>EA6&amp;EA7</f>
        <v>2059Отклонение, %</v>
      </c>
      <c r="EB8" s="98" t="str">
        <f>EB6&amp;EB7</f>
        <v>2060Предложение организации</v>
      </c>
      <c r="EC8" s="98" t="str">
        <f>EC6&amp;EC7</f>
        <v>2060Принято органом регулирования</v>
      </c>
      <c r="ED8" s="98" t="str">
        <f>ED6&amp;ED7</f>
        <v>2060Отклонение, %</v>
      </c>
      <c r="EE8" s="98" t="str">
        <f>EE6&amp;EE7</f>
        <v>2061Предложение организации</v>
      </c>
      <c r="EF8" s="98" t="str">
        <f>EF6&amp;EF7</f>
        <v>2061Принято органом регулирования</v>
      </c>
      <c r="EG8" s="98" t="str">
        <f>EG6&amp;EG7</f>
        <v>2061Отклонение, %</v>
      </c>
      <c r="EH8" s="98" t="str">
        <f>EH6&amp;EH7</f>
        <v>2062Предложение организации</v>
      </c>
      <c r="EI8" s="98" t="str">
        <f>EI6&amp;EI7</f>
        <v>2062Принято органом регулирования</v>
      </c>
      <c r="EJ8" s="98" t="str">
        <f>EJ6&amp;EJ7</f>
        <v>2062Отклонение, %</v>
      </c>
      <c r="EK8" s="98" t="str">
        <f>EK6&amp;EK7</f>
        <v>2063Предложение организации</v>
      </c>
      <c r="EL8" s="98" t="str">
        <f>EL6&amp;EL7</f>
        <v>2063Принято органом регулирования</v>
      </c>
      <c r="EM8" s="98" t="str">
        <f>EM6&amp;EM7</f>
        <v>2063Отклонение, %</v>
      </c>
      <c r="EN8" s="98" t="str">
        <f>EN6&amp;EN7</f>
        <v>2064Предложение организации</v>
      </c>
      <c r="EO8" s="98" t="str">
        <f>EO6&amp;EO7</f>
        <v>2064Принято органом регулирования</v>
      </c>
      <c r="EP8" s="98" t="str">
        <f>EP6&amp;EP7</f>
        <v>2064Отклонение, %</v>
      </c>
      <c r="EQ8" s="98" t="str">
        <f>EQ6&amp;EQ7</f>
        <v>2065Предложение организации</v>
      </c>
      <c r="ER8" s="98" t="str">
        <f>ER6&amp;ER7</f>
        <v>2065Принято органом регулирования</v>
      </c>
      <c r="ES8" s="98" t="str">
        <f>ES6&amp;ES7</f>
        <v>2065Отклонение, %</v>
      </c>
      <c r="ET8" s="98" t="str">
        <f>ET6&amp;ET7</f>
        <v>2066Предложение организации</v>
      </c>
      <c r="EU8" s="98" t="str">
        <f>EU6&amp;EU7</f>
        <v>2066Принято органом регулирования</v>
      </c>
      <c r="EV8" s="98" t="str">
        <f>EV6&amp;EV7</f>
        <v>2066Отклонение, %</v>
      </c>
      <c r="EW8" s="98" t="str">
        <f>EW6&amp;EW7</f>
        <v>2067Предложение организации</v>
      </c>
      <c r="EX8" s="98" t="str">
        <f>EX6&amp;EX7</f>
        <v>2067Принято органом регулирования</v>
      </c>
      <c r="EY8" s="98" t="str">
        <f>EY6&amp;EY7</f>
        <v>2067Отклонение, %</v>
      </c>
      <c r="EZ8" s="98" t="str">
        <f>EZ6&amp;EZ7</f>
        <v>2068Предложение организации</v>
      </c>
      <c r="FA8" s="98" t="str">
        <f>FA6&amp;FA7</f>
        <v>2068Принято органом регулирования</v>
      </c>
      <c r="FB8" s="98" t="str">
        <f>FB6&amp;FB7</f>
        <v>2068Отклонение, %</v>
      </c>
      <c r="FC8" s="98" t="str">
        <f>FC6&amp;FC7</f>
        <v>2069Предложение организации</v>
      </c>
      <c r="FD8" s="98" t="str">
        <f>FD6&amp;FD7</f>
        <v>2069Принято органом регулирования</v>
      </c>
      <c r="FE8" s="98" t="str">
        <f>FE6&amp;FE7</f>
        <v>2069Отклонение, %</v>
      </c>
      <c r="FF8" s="98" t="str">
        <f>FF6&amp;FF7</f>
        <v>2070Предложение организации</v>
      </c>
      <c r="FG8" s="98" t="str">
        <f>FG6&amp;FG7</f>
        <v>2070Принято органом регулирования</v>
      </c>
      <c r="FH8" s="98" t="str">
        <f>FH6&amp;FH7</f>
        <v>2070Отклонение, %</v>
      </c>
      <c r="FI8" s="98" t="str">
        <f>FI6&amp;FI7</f>
        <v>2071Предложение организации</v>
      </c>
      <c r="FJ8" s="98" t="str">
        <f>FJ6&amp;FJ7</f>
        <v>2071Принято органом регулирования</v>
      </c>
      <c r="FK8" s="98" t="str">
        <f>FK6&amp;FK7</f>
        <v>2071Отклонение, %</v>
      </c>
      <c r="FL8" s="98" t="str">
        <f>FL6&amp;FL7</f>
        <v>2072Предложение организации</v>
      </c>
      <c r="FM8" s="98" t="str">
        <f>FM6&amp;FM7</f>
        <v>2072Принято органом регулирования</v>
      </c>
      <c r="FN8" s="98" t="str">
        <f>FN6&amp;FN7</f>
        <v>2072Отклонение, %</v>
      </c>
      <c r="FO8" s="98" t="str">
        <f>FO6&amp;FO7</f>
        <v>2073Предложение организации</v>
      </c>
      <c r="FP8" s="98" t="str">
        <f>FP6&amp;FP7</f>
        <v>2073Принято органом регулирования</v>
      </c>
      <c r="FQ8" s="98" t="str">
        <f>FQ6&amp;FQ7</f>
        <v>2073Отклонение, %</v>
      </c>
      <c r="FR8" s="98" t="str">
        <f>FR6&amp;FR7</f>
        <v>2074Предложение организации</v>
      </c>
      <c r="FS8" s="98" t="str">
        <f>FS6&amp;FS7</f>
        <v>2074Принято органом регулирования</v>
      </c>
      <c r="FT8" s="98" t="str">
        <f>FT6&amp;FT7</f>
        <v>2074Отклонение, %</v>
      </c>
      <c r="FU8" s="98" t="str">
        <f>FU6&amp;FU7</f>
        <v>2075Предложение организации</v>
      </c>
      <c r="FV8" s="98" t="str">
        <f>FV6&amp;FV7</f>
        <v>2075Принято органом регулирования</v>
      </c>
      <c r="FW8" s="98" t="str">
        <f>FW6&amp;FW7</f>
        <v>2075Отклонение, %</v>
      </c>
    </row>
    <row s="1306" customFormat="1" customHeight="1" ht="11.25" hidden="1">
      <c r="A9" s="1015" t="s">
        <v>365</v>
      </c>
      <c r="B9" s="1052"/>
      <c r="F9" s="1053"/>
      <c r="AB9" s="1054"/>
      <c r="AC9" s="1013"/>
      <c r="AD9" s="1015" cm="1" t="str">
        <f t="array" ref="AD9:AD9">AD6</f>
        <v>2026</v>
      </c>
      <c r="AE9" s="1015" cm="1" t="str">
        <f t="array" ref="AE9:AE9">AE6</f>
        <v>2026</v>
      </c>
      <c r="AF9" s="1015" cm="1" t="str">
        <f t="array" ref="AF9:AF9">AF6</f>
        <v>2026</v>
      </c>
      <c r="AG9" s="1015" cm="1" t="str">
        <f t="array" ref="AG9:AG9">AG6</f>
        <v>2027</v>
      </c>
      <c r="AH9" s="1015" cm="1" t="str">
        <f t="array" ref="AH9:AH9">AH6</f>
        <v>2027</v>
      </c>
      <c r="AI9" s="1015" cm="1" t="str">
        <f t="array" ref="AI9:AI9">AI6</f>
        <v>2027</v>
      </c>
      <c r="AJ9" s="1015" cm="1" t="str">
        <f t="array" ref="AJ9:AJ9">AJ6</f>
        <v>2028</v>
      </c>
      <c r="AK9" s="1015" cm="1" t="str">
        <f t="array" ref="AK9:AK9">AK6</f>
        <v>2028</v>
      </c>
      <c r="AL9" s="1015" cm="1" t="str">
        <f t="array" ref="AL9:AL9">AL6</f>
        <v>2028</v>
      </c>
      <c r="AM9" s="1015" cm="1" t="str">
        <f t="array" ref="AM9:AM9">AM6</f>
        <v>2029</v>
      </c>
      <c r="AN9" s="1015" cm="1" t="str">
        <f t="array" ref="AN9:AN9">AN6</f>
        <v>2029</v>
      </c>
      <c r="AO9" s="1015" cm="1" t="str">
        <f t="array" ref="AO9:AO9">AO6</f>
        <v>2029</v>
      </c>
      <c r="AP9" s="1015" cm="1" t="str">
        <f t="array" ref="AP9:AP9">AP6</f>
        <v>2030</v>
      </c>
      <c r="AQ9" s="1015" cm="1" t="str">
        <f t="array" ref="AQ9:AQ9">AQ6</f>
        <v>2030</v>
      </c>
      <c r="AR9" s="1015" cm="1" t="str">
        <f t="array" ref="AR9:AR9">AR6</f>
        <v>2030</v>
      </c>
      <c r="AS9" s="1015" cm="1" t="str">
        <f t="array" ref="AS9:AS9">AS6</f>
        <v>2031</v>
      </c>
      <c r="AT9" s="1015" cm="1" t="str">
        <f t="array" ref="AT9:AT9">AT6</f>
        <v>2031</v>
      </c>
      <c r="AU9" s="1015" cm="1" t="str">
        <f t="array" ref="AU9:AU9">AU6</f>
        <v>2031</v>
      </c>
      <c r="AV9" s="1015" cm="1" t="str">
        <f t="array" ref="AV9:AV9">AV6</f>
        <v>2032</v>
      </c>
      <c r="AW9" s="1015" cm="1" t="str">
        <f t="array" ref="AW9:AW9">AW6</f>
        <v>2032</v>
      </c>
      <c r="AX9" s="1015" cm="1" t="str">
        <f t="array" ref="AX9:AX9">AX6</f>
        <v>2032</v>
      </c>
      <c r="AY9" s="1015" cm="1" t="str">
        <f t="array" ref="AY9:AY9">AY6</f>
        <v>2033</v>
      </c>
      <c r="AZ9" s="1015" cm="1" t="str">
        <f t="array" ref="AZ9:AZ9">AZ6</f>
        <v>2033</v>
      </c>
      <c r="BA9" s="1015" cm="1" t="str">
        <f t="array" ref="BA9:BA9">BA6</f>
        <v>2033</v>
      </c>
      <c r="BB9" s="1015" cm="1" t="str">
        <f t="array" ref="BB9:BB9">BB6</f>
        <v>2034</v>
      </c>
      <c r="BC9" s="1015" cm="1" t="str">
        <f t="array" ref="BC9:BC9">BC6</f>
        <v>2034</v>
      </c>
      <c r="BD9" s="1015" cm="1" t="str">
        <f t="array" ref="BD9:BD9">BD6</f>
        <v>2034</v>
      </c>
      <c r="BE9" s="1015" cm="1" t="str">
        <f t="array" ref="BE9:BE9">BE6</f>
        <v>2035</v>
      </c>
      <c r="BF9" s="1015" cm="1" t="str">
        <f t="array" ref="BF9:BF9">BF6</f>
        <v>2035</v>
      </c>
      <c r="BG9" s="1015" cm="1" t="str">
        <f t="array" ref="BG9:BG9">BG6</f>
        <v>2035</v>
      </c>
      <c r="BH9" s="1015" cm="1" t="str">
        <f t="array" ref="BH9:BH9">BH6</f>
        <v>2036</v>
      </c>
      <c r="BI9" s="1015" cm="1" t="str">
        <f t="array" ref="BI9:BI9">BI6</f>
        <v>2036</v>
      </c>
      <c r="BJ9" s="1015" cm="1" t="str">
        <f t="array" ref="BJ9:BJ9">BJ6</f>
        <v>2036</v>
      </c>
      <c r="BK9" s="1015" cm="1" t="str">
        <f t="array" ref="BK9:BK9">BK6</f>
        <v>2037</v>
      </c>
      <c r="BL9" s="1015" cm="1" t="str">
        <f t="array" ref="BL9:BL9">BL6</f>
        <v>2037</v>
      </c>
      <c r="BM9" s="1015" cm="1" t="str">
        <f t="array" ref="BM9:BM9">BM6</f>
        <v>2037</v>
      </c>
      <c r="BN9" s="1015" cm="1" t="str">
        <f t="array" ref="BN9:BN9">BN6</f>
        <v>2038</v>
      </c>
      <c r="BO9" s="1015" cm="1" t="str">
        <f t="array" ref="BO9:BO9">BO6</f>
        <v>2038</v>
      </c>
      <c r="BP9" s="1015" cm="1" t="str">
        <f t="array" ref="BP9:BP9">BP6</f>
        <v>2038</v>
      </c>
      <c r="BQ9" s="1015" cm="1" t="str">
        <f t="array" ref="BQ9:BQ9">BQ6</f>
        <v>2039</v>
      </c>
      <c r="BR9" s="1015" cm="1" t="str">
        <f t="array" ref="BR9:BR9">BR6</f>
        <v>2039</v>
      </c>
      <c r="BS9" s="1015" cm="1" t="str">
        <f t="array" ref="BS9:BS9">BS6</f>
        <v>2039</v>
      </c>
      <c r="BT9" s="1015" cm="1" t="str">
        <f t="array" ref="BT9:BT9">BT6</f>
        <v>2040</v>
      </c>
      <c r="BU9" s="1015" cm="1" t="str">
        <f t="array" ref="BU9:BU9">BU6</f>
        <v>2040</v>
      </c>
      <c r="BV9" s="1015" cm="1" t="str">
        <f t="array" ref="BV9:BV9">BV6</f>
        <v>2040</v>
      </c>
      <c r="BW9" s="1015" cm="1" t="str">
        <f t="array" ref="BW9:BW9">BW6</f>
        <v>2041</v>
      </c>
      <c r="BX9" s="1015" cm="1" t="str">
        <f t="array" ref="BX9:BX9">BX6</f>
        <v>2041</v>
      </c>
      <c r="BY9" s="1015" cm="1" t="str">
        <f t="array" ref="BY9:BY9">BY6</f>
        <v>2041</v>
      </c>
      <c r="BZ9" s="1015" cm="1" t="str">
        <f t="array" ref="BZ9:BZ9">BZ6</f>
        <v>2042</v>
      </c>
      <c r="CA9" s="1015" cm="1" t="str">
        <f t="array" ref="CA9:CA9">CA6</f>
        <v>2042</v>
      </c>
      <c r="CB9" s="1015" cm="1" t="str">
        <f t="array" ref="CB9:CB9">CB6</f>
        <v>2042</v>
      </c>
      <c r="CC9" s="1015" cm="1" t="str">
        <f t="array" ref="CC9:CC9">CC6</f>
        <v>2043</v>
      </c>
      <c r="CD9" s="1015" cm="1" t="str">
        <f t="array" ref="CD9:CD9">CD6</f>
        <v>2043</v>
      </c>
      <c r="CE9" s="1015" cm="1" t="str">
        <f t="array" ref="CE9:CE9">CE6</f>
        <v>2043</v>
      </c>
      <c r="CF9" s="1015" cm="1" t="str">
        <f t="array" ref="CF9:CF9">CF6</f>
        <v>2044</v>
      </c>
      <c r="CG9" s="1015" cm="1" t="str">
        <f t="array" ref="CG9:CG9">CG6</f>
        <v>2044</v>
      </c>
      <c r="CH9" s="1015" cm="1" t="str">
        <f t="array" ref="CH9:CH9">CH6</f>
        <v>2044</v>
      </c>
      <c r="CI9" s="1015" cm="1" t="str">
        <f t="array" ref="CI9:CI9">CI6</f>
        <v>2045</v>
      </c>
      <c r="CJ9" s="1015" cm="1" t="str">
        <f t="array" ref="CJ9:CJ9">CJ6</f>
        <v>2045</v>
      </c>
      <c r="CK9" s="1015" cm="1" t="str">
        <f t="array" ref="CK9:CK9">CK6</f>
        <v>2045</v>
      </c>
      <c r="CL9" s="1015" cm="1" t="str">
        <f t="array" ref="CL9:CL9">CL6</f>
        <v>2046</v>
      </c>
      <c r="CM9" s="1015" cm="1" t="str">
        <f t="array" ref="CM9:CM9">CM6</f>
        <v>2046</v>
      </c>
      <c r="CN9" s="1015" cm="1" t="str">
        <f t="array" ref="CN9:CN9">CN6</f>
        <v>2046</v>
      </c>
      <c r="CO9" s="1015" cm="1" t="str">
        <f t="array" ref="CO9:CO9">CO6</f>
        <v>2047</v>
      </c>
      <c r="CP9" s="1015" cm="1" t="str">
        <f t="array" ref="CP9:CP9">CP6</f>
        <v>2047</v>
      </c>
      <c r="CQ9" s="1015" cm="1" t="str">
        <f t="array" ref="CQ9:CQ9">CQ6</f>
        <v>2047</v>
      </c>
      <c r="CR9" s="1015" cm="1" t="str">
        <f t="array" ref="CR9:CR9">CR6</f>
        <v>2048</v>
      </c>
      <c r="CS9" s="1015" cm="1" t="str">
        <f t="array" ref="CS9:CS9">CS6</f>
        <v>2048</v>
      </c>
      <c r="CT9" s="1015" cm="1" t="str">
        <f t="array" ref="CT9:CT9">CT6</f>
        <v>2048</v>
      </c>
      <c r="CU9" s="1015" cm="1" t="str">
        <f t="array" ref="CU9:CU9">CU6</f>
        <v>2049</v>
      </c>
      <c r="CV9" s="1015" cm="1" t="str">
        <f t="array" ref="CV9:CV9">CV6</f>
        <v>2049</v>
      </c>
      <c r="CW9" s="1015" cm="1" t="str">
        <f t="array" ref="CW9:CW9">CW6</f>
        <v>2049</v>
      </c>
      <c r="CX9" s="1015" cm="1" t="str">
        <f t="array" ref="CX9:CX9">CX6</f>
        <v>2050</v>
      </c>
      <c r="CY9" s="1015" cm="1" t="str">
        <f t="array" ref="CY9:CY9">CY6</f>
        <v>2050</v>
      </c>
      <c r="CZ9" s="1015" cm="1" t="str">
        <f t="array" ref="CZ9:CZ9">CZ6</f>
        <v>2050</v>
      </c>
      <c r="DA9" s="1015" cm="1" t="str">
        <f t="array" ref="DA9:DA9">DA6</f>
        <v>2051</v>
      </c>
      <c r="DB9" s="1015" cm="1" t="str">
        <f t="array" ref="DB9:DB9">DB6</f>
        <v>2051</v>
      </c>
      <c r="DC9" s="1015" cm="1" t="str">
        <f t="array" ref="DC9:DC9">DC6</f>
        <v>2051</v>
      </c>
      <c r="DD9" s="1015" cm="1" t="str">
        <f t="array" ref="DD9:DD9">DD6</f>
        <v>2052</v>
      </c>
      <c r="DE9" s="1015" cm="1" t="str">
        <f t="array" ref="DE9:DE9">DE6</f>
        <v>2052</v>
      </c>
      <c r="DF9" s="1015" cm="1" t="str">
        <f t="array" ref="DF9:DF9">DF6</f>
        <v>2052</v>
      </c>
      <c r="DG9" s="1015" cm="1" t="str">
        <f t="array" ref="DG9:DG9">DG6</f>
        <v>2053</v>
      </c>
      <c r="DH9" s="1015" cm="1" t="str">
        <f t="array" ref="DH9:DH9">DH6</f>
        <v>2053</v>
      </c>
      <c r="DI9" s="1015" cm="1" t="str">
        <f t="array" ref="DI9:DI9">DI6</f>
        <v>2053</v>
      </c>
      <c r="DJ9" s="1015" cm="1" t="str">
        <f t="array" ref="DJ9:DJ9">DJ6</f>
        <v>2054</v>
      </c>
      <c r="DK9" s="1015" cm="1" t="str">
        <f t="array" ref="DK9:DK9">DK6</f>
        <v>2054</v>
      </c>
      <c r="DL9" s="1015" cm="1" t="str">
        <f t="array" ref="DL9:DL9">DL6</f>
        <v>2054</v>
      </c>
      <c r="DM9" s="1015" cm="1" t="str">
        <f t="array" ref="DM9:DM9">DM6</f>
        <v>2055</v>
      </c>
      <c r="DN9" s="1015" cm="1" t="str">
        <f t="array" ref="DN9:DN9">DN6</f>
        <v>2055</v>
      </c>
      <c r="DO9" s="1015" cm="1" t="str">
        <f t="array" ref="DO9:DO9">DO6</f>
        <v>2055</v>
      </c>
      <c r="DP9" s="1015" cm="1" t="str">
        <f t="array" ref="DP9:DP9">DP6</f>
        <v>2056</v>
      </c>
      <c r="DQ9" s="1015" cm="1" t="str">
        <f t="array" ref="DQ9:DQ9">DQ6</f>
        <v>2056</v>
      </c>
      <c r="DR9" s="1015" cm="1" t="str">
        <f t="array" ref="DR9:DR9">DR6</f>
        <v>2056</v>
      </c>
      <c r="DS9" s="1015" cm="1" t="str">
        <f t="array" ref="DS9:DS9">DS6</f>
        <v>2057</v>
      </c>
      <c r="DT9" s="1015" cm="1" t="str">
        <f t="array" ref="DT9:DT9">DT6</f>
        <v>2057</v>
      </c>
      <c r="DU9" s="1015" cm="1" t="str">
        <f t="array" ref="DU9:DU9">DU6</f>
        <v>2057</v>
      </c>
      <c r="DV9" s="1015" cm="1" t="str">
        <f t="array" ref="DV9:DV9">DV6</f>
        <v>2058</v>
      </c>
      <c r="DW9" s="1015" cm="1" t="str">
        <f t="array" ref="DW9:DW9">DW6</f>
        <v>2058</v>
      </c>
      <c r="DX9" s="1015" cm="1" t="str">
        <f t="array" ref="DX9:DX9">DX6</f>
        <v>2058</v>
      </c>
      <c r="DY9" s="1015" cm="1" t="str">
        <f t="array" ref="DY9:DY9">DY6</f>
        <v>2059</v>
      </c>
      <c r="DZ9" s="1015" cm="1" t="str">
        <f t="array" ref="DZ9:DZ9">DZ6</f>
        <v>2059</v>
      </c>
      <c r="EA9" s="1015" cm="1" t="str">
        <f t="array" ref="EA9:EA9">EA6</f>
        <v>2059</v>
      </c>
      <c r="EB9" s="1015" cm="1" t="str">
        <f t="array" ref="EB9:EB9">EB6</f>
        <v>2060</v>
      </c>
      <c r="EC9" s="1015" cm="1" t="str">
        <f t="array" ref="EC9:EC9">EC6</f>
        <v>2060</v>
      </c>
      <c r="ED9" s="1015" cm="1" t="str">
        <f t="array" ref="ED9:ED9">ED6</f>
        <v>2060</v>
      </c>
      <c r="EE9" s="1015" cm="1" t="str">
        <f t="array" ref="EE9:EE9">EE6</f>
        <v>2061</v>
      </c>
      <c r="EF9" s="1015" cm="1" t="str">
        <f t="array" ref="EF9:EF9">EF6</f>
        <v>2061</v>
      </c>
      <c r="EG9" s="1015" cm="1" t="str">
        <f t="array" ref="EG9:EG9">EG6</f>
        <v>2061</v>
      </c>
      <c r="EH9" s="1015" cm="1" t="str">
        <f t="array" ref="EH9:EH9">EH6</f>
        <v>2062</v>
      </c>
      <c r="EI9" s="1015" cm="1" t="str">
        <f t="array" ref="EI9:EI9">EI6</f>
        <v>2062</v>
      </c>
      <c r="EJ9" s="1015" cm="1" t="str">
        <f t="array" ref="EJ9:EJ9">EJ6</f>
        <v>2062</v>
      </c>
      <c r="EK9" s="1015" cm="1" t="str">
        <f t="array" ref="EK9:EK9">EK6</f>
        <v>2063</v>
      </c>
      <c r="EL9" s="1015" cm="1" t="str">
        <f t="array" ref="EL9:EL9">EL6</f>
        <v>2063</v>
      </c>
      <c r="EM9" s="1015" cm="1" t="str">
        <f t="array" ref="EM9:EM9">EM6</f>
        <v>2063</v>
      </c>
      <c r="EN9" s="1015" cm="1" t="str">
        <f t="array" ref="EN9:EN9">EN6</f>
        <v>2064</v>
      </c>
      <c r="EO9" s="1015" cm="1" t="str">
        <f t="array" ref="EO9:EO9">EO6</f>
        <v>2064</v>
      </c>
      <c r="EP9" s="1015" cm="1" t="str">
        <f t="array" ref="EP9:EP9">EP6</f>
        <v>2064</v>
      </c>
      <c r="EQ9" s="1015" cm="1" t="str">
        <f t="array" ref="EQ9:EQ9">EQ6</f>
        <v>2065</v>
      </c>
      <c r="ER9" s="1015" cm="1" t="str">
        <f t="array" ref="ER9:ER9">ER6</f>
        <v>2065</v>
      </c>
      <c r="ES9" s="1015" cm="1" t="str">
        <f t="array" ref="ES9:ES9">ES6</f>
        <v>2065</v>
      </c>
      <c r="ET9" s="1015" cm="1" t="str">
        <f t="array" ref="ET9:ET9">ET6</f>
        <v>2066</v>
      </c>
      <c r="EU9" s="1015" cm="1" t="str">
        <f t="array" ref="EU9:EU9">EU6</f>
        <v>2066</v>
      </c>
      <c r="EV9" s="1015" cm="1" t="str">
        <f t="array" ref="EV9:EV9">EV6</f>
        <v>2066</v>
      </c>
      <c r="EW9" s="1015" cm="1" t="str">
        <f t="array" ref="EW9:EW9">EW6</f>
        <v>2067</v>
      </c>
      <c r="EX9" s="1015" cm="1" t="str">
        <f t="array" ref="EX9:EX9">EX6</f>
        <v>2067</v>
      </c>
      <c r="EY9" s="1015" cm="1" t="str">
        <f t="array" ref="EY9:EY9">EY6</f>
        <v>2067</v>
      </c>
      <c r="EZ9" s="1015" cm="1" t="str">
        <f t="array" ref="EZ9:EZ9">EZ6</f>
        <v>2068</v>
      </c>
      <c r="FA9" s="1015" cm="1" t="str">
        <f t="array" ref="FA9:FA9">FA6</f>
        <v>2068</v>
      </c>
      <c r="FB9" s="1015" cm="1" t="str">
        <f t="array" ref="FB9:FB9">FB6</f>
        <v>2068</v>
      </c>
      <c r="FC9" s="1015" cm="1" t="str">
        <f t="array" ref="FC9:FC9">FC6</f>
        <v>2069</v>
      </c>
      <c r="FD9" s="1015" cm="1" t="str">
        <f t="array" ref="FD9:FD9">FD6</f>
        <v>2069</v>
      </c>
      <c r="FE9" s="1015" cm="1" t="str">
        <f t="array" ref="FE9:FE9">FE6</f>
        <v>2069</v>
      </c>
      <c r="FF9" s="1015" cm="1" t="str">
        <f t="array" ref="FF9:FF9">FF6</f>
        <v>2070</v>
      </c>
      <c r="FG9" s="1015" cm="1" t="str">
        <f t="array" ref="FG9:FG9">FG6</f>
        <v>2070</v>
      </c>
      <c r="FH9" s="1015" cm="1" t="str">
        <f t="array" ref="FH9:FH9">FH6</f>
        <v>2070</v>
      </c>
      <c r="FI9" s="1015" cm="1" t="str">
        <f t="array" ref="FI9:FI9">FI6</f>
        <v>2071</v>
      </c>
      <c r="FJ9" s="1015" cm="1" t="str">
        <f t="array" ref="FJ9:FJ9">FJ6</f>
        <v>2071</v>
      </c>
      <c r="FK9" s="1015" cm="1" t="str">
        <f t="array" ref="FK9:FK9">FK6</f>
        <v>2071</v>
      </c>
      <c r="FL9" s="1015" cm="1" t="str">
        <f t="array" ref="FL9:FL9">FL6</f>
        <v>2072</v>
      </c>
      <c r="FM9" s="1015" cm="1" t="str">
        <f t="array" ref="FM9:FM9">FM6</f>
        <v>2072</v>
      </c>
      <c r="FN9" s="1015" cm="1" t="str">
        <f t="array" ref="FN9:FN9">FN6</f>
        <v>2072</v>
      </c>
      <c r="FO9" s="1015" cm="1" t="str">
        <f t="array" ref="FO9:FO9">FO6</f>
        <v>2073</v>
      </c>
      <c r="FP9" s="1015" cm="1" t="str">
        <f t="array" ref="FP9:FP9">FP6</f>
        <v>2073</v>
      </c>
      <c r="FQ9" s="1015" cm="1" t="str">
        <f t="array" ref="FQ9:FQ9">FQ6</f>
        <v>2073</v>
      </c>
      <c r="FR9" s="1015" cm="1" t="str">
        <f t="array" ref="FR9:FR9">FR6</f>
        <v>2074</v>
      </c>
      <c r="FS9" s="1015" cm="1" t="str">
        <f t="array" ref="FS9:FS9">FS6</f>
        <v>2074</v>
      </c>
      <c r="FT9" s="1015" cm="1" t="str">
        <f t="array" ref="FT9:FT9">FT6</f>
        <v>2074</v>
      </c>
      <c r="FU9" s="1015" cm="1" t="str">
        <f t="array" ref="FU9:FU9">FU6</f>
        <v>2075</v>
      </c>
      <c r="FV9" s="1015" cm="1" t="str">
        <f t="array" ref="FV9:FV9">FV6</f>
        <v>2075</v>
      </c>
      <c r="FW9" s="1015" cm="1" t="str">
        <f t="array" ref="FW9:FW9">FW6</f>
        <v>2075</v>
      </c>
      <c r="GC9" s="632"/>
      <c r="GD9" s="632"/>
    </row>
    <row s="1306" customFormat="1" customHeight="1" ht="11.25" hidden="1">
      <c r="A10" s="1015" t="s">
        <v>366</v>
      </c>
      <c r="B10" s="1052"/>
      <c r="F10" s="1053"/>
      <c r="AB10" s="1054"/>
      <c r="AC10" s="1013"/>
      <c r="AD10" s="1015" cm="1" t="str">
        <f t="array" ref="AD10:AD10">AD26</f>
        <v>Предложение организации</v>
      </c>
      <c r="AE10" s="1015" cm="1" t="str">
        <f t="array" ref="AE10:AE10">AE26</f>
        <v>Принято органом регулирования</v>
      </c>
      <c r="AF10" s="1015" cm="1" t="str">
        <f t="array" ref="AF10:AF10">AF26</f>
        <v>Отклонение, %</v>
      </c>
      <c r="AG10" s="1015" cm="1" t="str">
        <f t="array" ref="AG10:AG10">AG26</f>
        <v>Предложение организации</v>
      </c>
      <c r="AH10" s="1015" cm="1" t="str">
        <f t="array" ref="AH10:AH10">AH26</f>
        <v>Принято органом регулирования</v>
      </c>
      <c r="AI10" s="1015" cm="1" t="str">
        <f t="array" ref="AI10:AI10">AI26</f>
        <v>Отклонение, %</v>
      </c>
      <c r="AJ10" s="1015" cm="1" t="str">
        <f t="array" ref="AJ10:AJ10">AJ26</f>
        <v>Предложение организации</v>
      </c>
      <c r="AK10" s="1015" cm="1" t="str">
        <f t="array" ref="AK10:AK10">AK26</f>
        <v>Принято органом регулирования</v>
      </c>
      <c r="AL10" s="1015" cm="1" t="str">
        <f t="array" ref="AL10:AL10">AL26</f>
        <v>Отклонение, %</v>
      </c>
      <c r="AM10" s="1015" cm="1" t="str">
        <f t="array" ref="AM10:AM10">AM26</f>
        <v>Предложение организации</v>
      </c>
      <c r="AN10" s="1015" cm="1" t="str">
        <f t="array" ref="AN10:AN10">AN26</f>
        <v>Принято органом регулирования</v>
      </c>
      <c r="AO10" s="1015" cm="1" t="str">
        <f t="array" ref="AO10:AO10">AO26</f>
        <v>Отклонение, %</v>
      </c>
      <c r="AP10" s="1015" cm="1" t="str">
        <f t="array" ref="AP10:AP10">AP26</f>
        <v>Предложение организации</v>
      </c>
      <c r="AQ10" s="1015" cm="1" t="str">
        <f t="array" ref="AQ10:AQ10">AQ26</f>
        <v>Принято органом регулирования</v>
      </c>
      <c r="AR10" s="1015" cm="1" t="str">
        <f t="array" ref="AR10:AR10">AR26</f>
        <v>Отклонение, %</v>
      </c>
      <c r="AS10" s="1015" cm="1" t="str">
        <f t="array" ref="AS10:AS10">AS26</f>
        <v>Предложение организации</v>
      </c>
      <c r="AT10" s="1015" cm="1" t="str">
        <f t="array" ref="AT10:AT10">AT26</f>
        <v>Принято органом регулирования</v>
      </c>
      <c r="AU10" s="1015" cm="1" t="str">
        <f t="array" ref="AU10:AU10">AU26</f>
        <v>Отклонение, %</v>
      </c>
      <c r="AV10" s="1015" cm="1" t="str">
        <f t="array" ref="AV10:AV10">AV26</f>
        <v>Предложение организации</v>
      </c>
      <c r="AW10" s="1015" cm="1" t="str">
        <f t="array" ref="AW10:AW10">AW26</f>
        <v>Принято органом регулирования</v>
      </c>
      <c r="AX10" s="1015" cm="1" t="str">
        <f t="array" ref="AX10:AX10">AX26</f>
        <v>Отклонение, %</v>
      </c>
      <c r="AY10" s="1015" cm="1" t="str">
        <f t="array" ref="AY10:AY10">AY26</f>
        <v>Предложение организации</v>
      </c>
      <c r="AZ10" s="1015" cm="1" t="str">
        <f t="array" ref="AZ10:AZ10">AZ26</f>
        <v>Принято органом регулирования</v>
      </c>
      <c r="BA10" s="1015" cm="1" t="str">
        <f t="array" ref="BA10:BA10">BA26</f>
        <v>Отклонение, %</v>
      </c>
      <c r="BB10" s="1015" cm="1" t="str">
        <f t="array" ref="BB10:BB10">BB26</f>
        <v>Предложение организации</v>
      </c>
      <c r="BC10" s="1015" cm="1" t="str">
        <f t="array" ref="BC10:BC10">BC26</f>
        <v>Принято органом регулирования</v>
      </c>
      <c r="BD10" s="1015" cm="1" t="str">
        <f t="array" ref="BD10:BD10">BD26</f>
        <v>Отклонение, %</v>
      </c>
      <c r="BE10" s="1015" cm="1" t="str">
        <f t="array" ref="BE10:BE10">BE26</f>
        <v>Предложение организации</v>
      </c>
      <c r="BF10" s="1015" cm="1" t="str">
        <f t="array" ref="BF10:BF10">BF26</f>
        <v>Принято органом регулирования</v>
      </c>
      <c r="BG10" s="1015" cm="1" t="str">
        <f t="array" ref="BG10:BG10">BG26</f>
        <v>Отклонение, %</v>
      </c>
      <c r="BH10" s="1015" cm="1" t="str">
        <f t="array" ref="BH10:BH10">BH26</f>
        <v>Предложение организации</v>
      </c>
      <c r="BI10" s="1015" cm="1" t="str">
        <f t="array" ref="BI10:BI10">BI26</f>
        <v>Принято органом регулирования</v>
      </c>
      <c r="BJ10" s="1015" cm="1" t="str">
        <f t="array" ref="BJ10:BJ10">BJ26</f>
        <v>Отклонение, %</v>
      </c>
      <c r="BK10" s="1015" cm="1" t="str">
        <f t="array" ref="BK10:BK10">BK26</f>
        <v>Предложение организации</v>
      </c>
      <c r="BL10" s="1015" cm="1" t="str">
        <f t="array" ref="BL10:BL10">BL26</f>
        <v>Принято органом регулирования</v>
      </c>
      <c r="BM10" s="1015" cm="1" t="str">
        <f t="array" ref="BM10:BM10">BM26</f>
        <v>Отклонение, %</v>
      </c>
      <c r="BN10" s="1015" cm="1" t="str">
        <f t="array" ref="BN10:BN10">BN26</f>
        <v>Предложение организации</v>
      </c>
      <c r="BO10" s="1015" cm="1" t="str">
        <f t="array" ref="BO10:BO10">BO26</f>
        <v>Принято органом регулирования</v>
      </c>
      <c r="BP10" s="1015" cm="1" t="str">
        <f t="array" ref="BP10:BP10">BP26</f>
        <v>Отклонение, %</v>
      </c>
      <c r="BQ10" s="1015" cm="1" t="str">
        <f t="array" ref="BQ10:BQ10">BQ26</f>
        <v>Предложение организации</v>
      </c>
      <c r="BR10" s="1015" cm="1" t="str">
        <f t="array" ref="BR10:BR10">BR26</f>
        <v>Принято органом регулирования</v>
      </c>
      <c r="BS10" s="1015" cm="1" t="str">
        <f t="array" ref="BS10:BS10">BS26</f>
        <v>Отклонение, %</v>
      </c>
      <c r="BT10" s="1015" cm="1" t="str">
        <f t="array" ref="BT10:BT10">BT26</f>
        <v>Предложение организации</v>
      </c>
      <c r="BU10" s="1015" cm="1" t="str">
        <f t="array" ref="BU10:BU10">BU26</f>
        <v>Принято органом регулирования</v>
      </c>
      <c r="BV10" s="1015" cm="1" t="str">
        <f t="array" ref="BV10:BV10">BV26</f>
        <v>Отклонение, %</v>
      </c>
      <c r="BW10" s="1015" cm="1" t="str">
        <f t="array" ref="BW10:BW10">BW26</f>
        <v>Предложение организации</v>
      </c>
      <c r="BX10" s="1015" cm="1" t="str">
        <f t="array" ref="BX10:BX10">BX26</f>
        <v>Принято органом регулирования</v>
      </c>
      <c r="BY10" s="1015" cm="1" t="str">
        <f t="array" ref="BY10:BY10">BY26</f>
        <v>Отклонение, %</v>
      </c>
      <c r="BZ10" s="1015" cm="1" t="str">
        <f t="array" ref="BZ10:BZ10">BZ26</f>
        <v>Предложение организации</v>
      </c>
      <c r="CA10" s="1015" cm="1" t="str">
        <f t="array" ref="CA10:CA10">CA26</f>
        <v>Принято органом регулирования</v>
      </c>
      <c r="CB10" s="1015" cm="1" t="str">
        <f t="array" ref="CB10:CB10">CB26</f>
        <v>Отклонение, %</v>
      </c>
      <c r="CC10" s="1015" cm="1" t="str">
        <f t="array" ref="CC10:CC10">CC26</f>
        <v>Предложение организации</v>
      </c>
      <c r="CD10" s="1015" cm="1" t="str">
        <f t="array" ref="CD10:CD10">CD26</f>
        <v>Принято органом регулирования</v>
      </c>
      <c r="CE10" s="1015" cm="1" t="str">
        <f t="array" ref="CE10:CE10">CE26</f>
        <v>Отклонение, %</v>
      </c>
      <c r="CF10" s="1015" cm="1" t="str">
        <f t="array" ref="CF10:CF10">CF26</f>
        <v>Предложение организации</v>
      </c>
      <c r="CG10" s="1015" cm="1" t="str">
        <f t="array" ref="CG10:CG10">CG26</f>
        <v>Принято органом регулирования</v>
      </c>
      <c r="CH10" s="1015" cm="1" t="str">
        <f t="array" ref="CH10:CH10">CH26</f>
        <v>Отклонение, %</v>
      </c>
      <c r="CI10" s="1015" cm="1" t="str">
        <f t="array" ref="CI10:CI10">CI26</f>
        <v>Предложение организации</v>
      </c>
      <c r="CJ10" s="1015" cm="1" t="str">
        <f t="array" ref="CJ10:CJ10">CJ26</f>
        <v>Принято органом регулирования</v>
      </c>
      <c r="CK10" s="1015" cm="1" t="str">
        <f t="array" ref="CK10:CK10">CK26</f>
        <v>Отклонение, %</v>
      </c>
      <c r="CL10" s="1015" cm="1" t="str">
        <f t="array" ref="CL10:CL10">CL26</f>
        <v>Предложение организации</v>
      </c>
      <c r="CM10" s="1015" cm="1" t="str">
        <f t="array" ref="CM10:CM10">CM26</f>
        <v>Принято органом регулирования</v>
      </c>
      <c r="CN10" s="1015" cm="1" t="str">
        <f t="array" ref="CN10:CN10">CN26</f>
        <v>Отклонение, %</v>
      </c>
      <c r="CO10" s="1015" cm="1" t="str">
        <f t="array" ref="CO10:CO10">CO26</f>
        <v>Предложение организации</v>
      </c>
      <c r="CP10" s="1015" cm="1" t="str">
        <f t="array" ref="CP10:CP10">CP26</f>
        <v>Принято органом регулирования</v>
      </c>
      <c r="CQ10" s="1015" cm="1" t="str">
        <f t="array" ref="CQ10:CQ10">CQ26</f>
        <v>Отклонение, %</v>
      </c>
      <c r="CR10" s="1015" cm="1" t="str">
        <f t="array" ref="CR10:CR10">CR26</f>
        <v>Предложение организации</v>
      </c>
      <c r="CS10" s="1015" cm="1" t="str">
        <f t="array" ref="CS10:CS10">CS26</f>
        <v>Принято органом регулирования</v>
      </c>
      <c r="CT10" s="1015" cm="1" t="str">
        <f t="array" ref="CT10:CT10">CT26</f>
        <v>Отклонение, %</v>
      </c>
      <c r="CU10" s="1015" cm="1" t="str">
        <f t="array" ref="CU10:CU10">CU26</f>
        <v>Предложение организации</v>
      </c>
      <c r="CV10" s="1015" cm="1" t="str">
        <f t="array" ref="CV10:CV10">CV26</f>
        <v>Принято органом регулирования</v>
      </c>
      <c r="CW10" s="1015" cm="1" t="str">
        <f t="array" ref="CW10:CW10">CW26</f>
        <v>Отклонение, %</v>
      </c>
      <c r="CX10" s="1015" cm="1" t="str">
        <f t="array" ref="CX10:CX10">CX26</f>
        <v>Предложение организации</v>
      </c>
      <c r="CY10" s="1015" cm="1" t="str">
        <f t="array" ref="CY10:CY10">CY26</f>
        <v>Принято органом регулирования</v>
      </c>
      <c r="CZ10" s="1015" cm="1" t="str">
        <f t="array" ref="CZ10:CZ10">CZ26</f>
        <v>Отклонение, %</v>
      </c>
      <c r="DA10" s="1015" cm="1" t="str">
        <f t="array" ref="DA10:DA10">DA26</f>
        <v>Предложение организации</v>
      </c>
      <c r="DB10" s="1015" cm="1" t="str">
        <f t="array" ref="DB10:DB10">DB26</f>
        <v>Принято органом регулирования</v>
      </c>
      <c r="DC10" s="1015" cm="1" t="str">
        <f t="array" ref="DC10:DC10">DC26</f>
        <v>Отклонение, %</v>
      </c>
      <c r="DD10" s="1015" cm="1" t="str">
        <f t="array" ref="DD10:DD10">DD26</f>
        <v>Предложение организации</v>
      </c>
      <c r="DE10" s="1015" cm="1" t="str">
        <f t="array" ref="DE10:DE10">DE26</f>
        <v>Принято органом регулирования</v>
      </c>
      <c r="DF10" s="1015" cm="1" t="str">
        <f t="array" ref="DF10:DF10">DF26</f>
        <v>Отклонение, %</v>
      </c>
      <c r="DG10" s="1015" cm="1" t="str">
        <f t="array" ref="DG10:DG10">DG26</f>
        <v>Предложение организации</v>
      </c>
      <c r="DH10" s="1015" cm="1" t="str">
        <f t="array" ref="DH10:DH10">DH26</f>
        <v>Принято органом регулирования</v>
      </c>
      <c r="DI10" s="1015" cm="1" t="str">
        <f t="array" ref="DI10:DI10">DI26</f>
        <v>Отклонение, %</v>
      </c>
      <c r="DJ10" s="1015" cm="1" t="str">
        <f t="array" ref="DJ10:DJ10">DJ26</f>
        <v>Предложение организации</v>
      </c>
      <c r="DK10" s="1015" cm="1" t="str">
        <f t="array" ref="DK10:DK10">DK26</f>
        <v>Принято органом регулирования</v>
      </c>
      <c r="DL10" s="1015" cm="1" t="str">
        <f t="array" ref="DL10:DL10">DL26</f>
        <v>Отклонение, %</v>
      </c>
      <c r="DM10" s="1015" cm="1" t="str">
        <f t="array" ref="DM10:DM10">DM26</f>
        <v>Предложение организации</v>
      </c>
      <c r="DN10" s="1015" cm="1" t="str">
        <f t="array" ref="DN10:DN10">DN26</f>
        <v>Принято органом регулирования</v>
      </c>
      <c r="DO10" s="1015" cm="1" t="str">
        <f t="array" ref="DO10:DO10">DO26</f>
        <v>Отклонение, %</v>
      </c>
      <c r="DP10" s="1015" cm="1" t="str">
        <f t="array" ref="DP10:DP10">DP26</f>
        <v>Предложение организации</v>
      </c>
      <c r="DQ10" s="1015" cm="1" t="str">
        <f t="array" ref="DQ10:DQ10">DQ26</f>
        <v>Принято органом регулирования</v>
      </c>
      <c r="DR10" s="1015" cm="1" t="str">
        <f t="array" ref="DR10:DR10">DR26</f>
        <v>Отклонение, %</v>
      </c>
      <c r="DS10" s="1015" cm="1" t="str">
        <f t="array" ref="DS10:DS10">DS26</f>
        <v>Предложение организации</v>
      </c>
      <c r="DT10" s="1015" cm="1" t="str">
        <f t="array" ref="DT10:DT10">DT26</f>
        <v>Принято органом регулирования</v>
      </c>
      <c r="DU10" s="1015" cm="1" t="str">
        <f t="array" ref="DU10:DU10">DU26</f>
        <v>Отклонение, %</v>
      </c>
      <c r="DV10" s="1015" cm="1" t="str">
        <f t="array" ref="DV10:DV10">DV26</f>
        <v>Предложение организации</v>
      </c>
      <c r="DW10" s="1015" cm="1" t="str">
        <f t="array" ref="DW10:DW10">DW26</f>
        <v>Принято органом регулирования</v>
      </c>
      <c r="DX10" s="1015" cm="1" t="str">
        <f t="array" ref="DX10:DX10">DX26</f>
        <v>Отклонение, %</v>
      </c>
      <c r="DY10" s="1015" cm="1" t="str">
        <f t="array" ref="DY10:DY10">DY26</f>
        <v>Предложение организации</v>
      </c>
      <c r="DZ10" s="1015" cm="1" t="str">
        <f t="array" ref="DZ10:DZ10">DZ26</f>
        <v>Принято органом регулирования</v>
      </c>
      <c r="EA10" s="1015" cm="1" t="str">
        <f t="array" ref="EA10:EA10">EA26</f>
        <v>Отклонение, %</v>
      </c>
      <c r="EB10" s="1015" cm="1" t="str">
        <f t="array" ref="EB10:EB10">EB26</f>
        <v>Предложение организации</v>
      </c>
      <c r="EC10" s="1015" cm="1" t="str">
        <f t="array" ref="EC10:EC10">EC26</f>
        <v>Принято органом регулирования</v>
      </c>
      <c r="ED10" s="1015" cm="1" t="str">
        <f t="array" ref="ED10:ED10">ED26</f>
        <v>Отклонение, %</v>
      </c>
      <c r="EE10" s="1015" cm="1" t="str">
        <f t="array" ref="EE10:EE10">EE26</f>
        <v>Предложение организации</v>
      </c>
      <c r="EF10" s="1015" cm="1" t="str">
        <f t="array" ref="EF10:EF10">EF26</f>
        <v>Принято органом регулирования</v>
      </c>
      <c r="EG10" s="1015" cm="1" t="str">
        <f t="array" ref="EG10:EG10">EG26</f>
        <v>Отклонение, %</v>
      </c>
      <c r="EH10" s="1015" cm="1" t="str">
        <f t="array" ref="EH10:EH10">EH26</f>
        <v>Предложение организации</v>
      </c>
      <c r="EI10" s="1015" cm="1" t="str">
        <f t="array" ref="EI10:EI10">EI26</f>
        <v>Принято органом регулирования</v>
      </c>
      <c r="EJ10" s="1015" cm="1" t="str">
        <f t="array" ref="EJ10:EJ10">EJ26</f>
        <v>Отклонение, %</v>
      </c>
      <c r="EK10" s="1015" cm="1" t="str">
        <f t="array" ref="EK10:EK10">EK26</f>
        <v>Предложение организации</v>
      </c>
      <c r="EL10" s="1015" cm="1" t="str">
        <f t="array" ref="EL10:EL10">EL26</f>
        <v>Принято органом регулирования</v>
      </c>
      <c r="EM10" s="1015" cm="1" t="str">
        <f t="array" ref="EM10:EM10">EM26</f>
        <v>Отклонение, %</v>
      </c>
      <c r="EN10" s="1015" cm="1" t="str">
        <f t="array" ref="EN10:EN10">EN26</f>
        <v>Предложение организации</v>
      </c>
      <c r="EO10" s="1015" cm="1" t="str">
        <f t="array" ref="EO10:EO10">EO26</f>
        <v>Принято органом регулирования</v>
      </c>
      <c r="EP10" s="1015" cm="1" t="str">
        <f t="array" ref="EP10:EP10">EP26</f>
        <v>Отклонение, %</v>
      </c>
      <c r="EQ10" s="1015" cm="1" t="str">
        <f t="array" ref="EQ10:EQ10">EQ26</f>
        <v>Предложение организации</v>
      </c>
      <c r="ER10" s="1015" cm="1" t="str">
        <f t="array" ref="ER10:ER10">ER26</f>
        <v>Принято органом регулирования</v>
      </c>
      <c r="ES10" s="1015" cm="1" t="str">
        <f t="array" ref="ES10:ES10">ES26</f>
        <v>Отклонение, %</v>
      </c>
      <c r="ET10" s="1015" cm="1" t="str">
        <f t="array" ref="ET10:ET10">ET26</f>
        <v>Предложение организации</v>
      </c>
      <c r="EU10" s="1015" cm="1" t="str">
        <f t="array" ref="EU10:EU10">EU26</f>
        <v>Принято органом регулирования</v>
      </c>
      <c r="EV10" s="1015" cm="1" t="str">
        <f t="array" ref="EV10:EV10">EV26</f>
        <v>Отклонение, %</v>
      </c>
      <c r="EW10" s="1015" cm="1" t="str">
        <f t="array" ref="EW10:EW10">EW26</f>
        <v>Предложение организации</v>
      </c>
      <c r="EX10" s="1015" cm="1" t="str">
        <f t="array" ref="EX10:EX10">EX26</f>
        <v>Принято органом регулирования</v>
      </c>
      <c r="EY10" s="1015" cm="1" t="str">
        <f t="array" ref="EY10:EY10">EY26</f>
        <v>Отклонение, %</v>
      </c>
      <c r="EZ10" s="1015" cm="1" t="str">
        <f t="array" ref="EZ10:EZ10">EZ26</f>
        <v>Предложение организации</v>
      </c>
      <c r="FA10" s="1015" cm="1" t="str">
        <f t="array" ref="FA10:FA10">FA26</f>
        <v>Принято органом регулирования</v>
      </c>
      <c r="FB10" s="1015" cm="1" t="str">
        <f t="array" ref="FB10:FB10">FB26</f>
        <v>Отклонение, %</v>
      </c>
      <c r="FC10" s="1015" cm="1" t="str">
        <f t="array" ref="FC10:FC10">FC26</f>
        <v>Предложение организации</v>
      </c>
      <c r="FD10" s="1015" cm="1" t="str">
        <f t="array" ref="FD10:FD10">FD26</f>
        <v>Принято органом регулирования</v>
      </c>
      <c r="FE10" s="1015" cm="1" t="str">
        <f t="array" ref="FE10:FE10">FE26</f>
        <v>Отклонение, %</v>
      </c>
      <c r="FF10" s="1015" cm="1" t="str">
        <f t="array" ref="FF10:FF10">FF26</f>
        <v>Предложение организации</v>
      </c>
      <c r="FG10" s="1015" cm="1" t="str">
        <f t="array" ref="FG10:FG10">FG26</f>
        <v>Принято органом регулирования</v>
      </c>
      <c r="FH10" s="1015" cm="1" t="str">
        <f t="array" ref="FH10:FH10">FH26</f>
        <v>Отклонение, %</v>
      </c>
      <c r="FI10" s="1015" cm="1" t="str">
        <f t="array" ref="FI10:FI10">FI26</f>
        <v>Предложение организации</v>
      </c>
      <c r="FJ10" s="1015" cm="1" t="str">
        <f t="array" ref="FJ10:FJ10">FJ26</f>
        <v>Принято органом регулирования</v>
      </c>
      <c r="FK10" s="1015" cm="1" t="str">
        <f t="array" ref="FK10:FK10">FK26</f>
        <v>Отклонение, %</v>
      </c>
      <c r="FL10" s="1015" cm="1" t="str">
        <f t="array" ref="FL10:FL10">FL26</f>
        <v>Предложение организации</v>
      </c>
      <c r="FM10" s="1015" cm="1" t="str">
        <f t="array" ref="FM10:FM10">FM26</f>
        <v>Принято органом регулирования</v>
      </c>
      <c r="FN10" s="1015" cm="1" t="str">
        <f t="array" ref="FN10:FN10">FN26</f>
        <v>Отклонение, %</v>
      </c>
      <c r="FO10" s="1015" cm="1" t="str">
        <f t="array" ref="FO10:FO10">FO26</f>
        <v>Предложение организации</v>
      </c>
      <c r="FP10" s="1015" cm="1" t="str">
        <f t="array" ref="FP10:FP10">FP26</f>
        <v>Принято органом регулирования</v>
      </c>
      <c r="FQ10" s="1015" cm="1" t="str">
        <f t="array" ref="FQ10:FQ10">FQ26</f>
        <v>Отклонение, %</v>
      </c>
      <c r="FR10" s="1015" cm="1" t="str">
        <f t="array" ref="FR10:FR10">FR26</f>
        <v>Предложение организации</v>
      </c>
      <c r="FS10" s="1015" cm="1" t="str">
        <f t="array" ref="FS10:FS10">FS26</f>
        <v>Принято органом регулирования</v>
      </c>
      <c r="FT10" s="1015" cm="1" t="str">
        <f t="array" ref="FT10:FT10">FT26</f>
        <v>Отклонение, %</v>
      </c>
      <c r="FU10" s="1015" cm="1" t="str">
        <f t="array" ref="FU10:FU10">FU26</f>
        <v>Предложение организации</v>
      </c>
      <c r="FV10" s="1015" cm="1" t="str">
        <f t="array" ref="FV10:FV10">FV26</f>
        <v>Принято органом регулирования</v>
      </c>
      <c r="FW10" s="1015" cm="1" t="str">
        <f t="array" ref="FW10:FW10">FW26</f>
        <v>Отклонение, %</v>
      </c>
      <c r="GC10" s="632"/>
      <c r="GD10" s="632"/>
    </row>
    <row s="1306" customFormat="1" customHeight="1" ht="11.25" hidden="1">
      <c r="A11" s="1015" t="s">
        <v>338</v>
      </c>
      <c r="B11" s="1052"/>
      <c r="F11" s="1053"/>
      <c r="AB11" s="1054" t="s">
        <v>326</v>
      </c>
      <c r="AC11" s="1013"/>
      <c r="AG11" s="1306"/>
      <c r="AH11" s="1306"/>
      <c r="AI11" s="1306"/>
      <c r="AJ11" s="1306"/>
      <c r="AK11" s="1306"/>
      <c r="AL11" s="1306"/>
      <c r="AM11" s="1306"/>
      <c r="AN11" s="1306"/>
      <c r="AO11" s="1306"/>
      <c r="AP11" s="1306"/>
      <c r="AQ11" s="1306"/>
      <c r="AR11" s="1306"/>
      <c r="AS11" s="1306"/>
      <c r="AT11" s="1306"/>
      <c r="AU11" s="1306"/>
      <c r="AV11" s="1306"/>
      <c r="AW11" s="1306"/>
      <c r="AX11" s="1306"/>
      <c r="AY11" s="1306"/>
      <c r="AZ11" s="1306"/>
      <c r="BA11" s="1306"/>
      <c r="BB11" s="1306"/>
      <c r="BC11" s="1306"/>
      <c r="BD11" s="1306"/>
      <c r="BE11" s="1306"/>
      <c r="BF11" s="1306"/>
      <c r="BG11" s="1306"/>
      <c r="BH11" s="1306"/>
      <c r="BI11" s="1306"/>
      <c r="BJ11" s="1306"/>
      <c r="BK11" s="1306"/>
      <c r="BL11" s="1306"/>
      <c r="BM11" s="1306"/>
      <c r="BN11" s="1306"/>
      <c r="BO11" s="1306"/>
      <c r="BP11" s="1306"/>
      <c r="BQ11" s="1306"/>
      <c r="BR11" s="1306"/>
      <c r="BS11" s="1306"/>
      <c r="BT11" s="1306"/>
      <c r="BU11" s="1306"/>
      <c r="BV11" s="1306"/>
      <c r="BW11" s="1306"/>
      <c r="BX11" s="1306"/>
      <c r="BY11" s="1306"/>
      <c r="BZ11" s="1306"/>
      <c r="CA11" s="1306"/>
      <c r="CB11" s="1306"/>
      <c r="CC11" s="1306"/>
      <c r="CD11" s="1306"/>
      <c r="CE11" s="1306"/>
      <c r="CF11" s="1306"/>
      <c r="CG11" s="1306"/>
      <c r="CH11" s="1306"/>
      <c r="CI11" s="1306"/>
      <c r="CJ11" s="1306"/>
      <c r="CK11" s="1306"/>
      <c r="CL11" s="1306"/>
      <c r="CM11" s="1306"/>
      <c r="CN11" s="1306"/>
      <c r="CO11" s="1306"/>
      <c r="CP11" s="1306"/>
      <c r="CQ11" s="1306"/>
      <c r="CR11" s="1306"/>
      <c r="CS11" s="1306"/>
      <c r="CT11" s="1306"/>
      <c r="CU11" s="1306"/>
      <c r="CV11" s="1306"/>
      <c r="CW11" s="1306"/>
      <c r="CX11" s="1306"/>
      <c r="CY11" s="1306"/>
      <c r="CZ11" s="1306"/>
      <c r="DA11" s="1306"/>
      <c r="DB11" s="1306"/>
      <c r="DC11" s="1306"/>
      <c r="DD11" s="1306"/>
      <c r="DE11" s="1306"/>
      <c r="DF11" s="1306"/>
      <c r="DG11" s="1306"/>
      <c r="DH11" s="1306"/>
      <c r="DI11" s="1306"/>
      <c r="DJ11" s="1306"/>
      <c r="DK11" s="1306"/>
      <c r="DL11" s="1306"/>
      <c r="DM11" s="1306"/>
      <c r="DN11" s="1306"/>
      <c r="DO11" s="1306"/>
      <c r="DP11" s="1306"/>
      <c r="DQ11" s="1306"/>
      <c r="DR11" s="1306"/>
      <c r="DS11" s="1306"/>
      <c r="DT11" s="1306"/>
      <c r="DU11" s="1306"/>
      <c r="DV11" s="1306"/>
      <c r="DW11" s="1306"/>
      <c r="DX11" s="1306"/>
      <c r="DY11" s="1306"/>
      <c r="DZ11" s="1306"/>
      <c r="EA11" s="1306"/>
      <c r="EB11" s="1306"/>
      <c r="EC11" s="1306"/>
      <c r="ED11" s="1306"/>
      <c r="EE11" s="1306"/>
      <c r="EF11" s="1306"/>
      <c r="EG11" s="1306"/>
      <c r="EH11" s="1306"/>
      <c r="EI11" s="1306"/>
      <c r="EJ11" s="1306"/>
      <c r="EK11" s="1306"/>
      <c r="EL11" s="1306"/>
      <c r="EM11" s="1306"/>
      <c r="EN11" s="1306"/>
      <c r="EO11" s="1306"/>
      <c r="EP11" s="1306"/>
      <c r="EQ11" s="1306"/>
      <c r="ER11" s="1306"/>
      <c r="ES11" s="1306"/>
      <c r="ET11" s="1306"/>
      <c r="EU11" s="1306"/>
      <c r="EV11" s="1306"/>
      <c r="EW11" s="1306"/>
      <c r="EX11" s="1306"/>
      <c r="EY11" s="1306"/>
      <c r="EZ11" s="1306"/>
      <c r="FA11" s="1306"/>
      <c r="FB11" s="1306"/>
      <c r="FC11" s="1306"/>
      <c r="FD11" s="1306"/>
      <c r="FE11" s="1306"/>
      <c r="FF11" s="1306"/>
      <c r="FG11" s="1306"/>
      <c r="FH11" s="1306"/>
      <c r="FI11" s="1306"/>
      <c r="FJ11" s="1306"/>
      <c r="FK11" s="1306"/>
      <c r="FL11" s="1306"/>
      <c r="FM11" s="1306"/>
      <c r="FN11" s="1306"/>
      <c r="FO11" s="1306"/>
      <c r="FP11" s="1306"/>
      <c r="FQ11" s="1306"/>
      <c r="FR11" s="1306"/>
      <c r="FS11" s="1306"/>
      <c r="FT11" s="1306"/>
      <c r="FU11" s="1306"/>
      <c r="FV11" s="1306"/>
      <c r="FW11" s="1306"/>
      <c r="GC11" s="632"/>
      <c r="GD11" s="632"/>
    </row>
    <row customHeight="1" ht="11.25" hidden="1">
      <c r="AG12" s="1304"/>
      <c r="AH12" s="1304"/>
      <c r="AI12" s="1304"/>
      <c r="AJ12" s="1304"/>
      <c r="AK12" s="1304"/>
      <c r="AL12" s="1304"/>
      <c r="AM12" s="1304"/>
      <c r="AN12" s="1304"/>
      <c r="AO12" s="1304"/>
      <c r="AP12" s="1304"/>
      <c r="AQ12" s="1304"/>
      <c r="AR12" s="1304"/>
      <c r="AS12" s="1304"/>
      <c r="AT12" s="1304"/>
      <c r="AU12" s="1304"/>
      <c r="AV12" s="1304"/>
      <c r="AW12" s="1304"/>
      <c r="AX12" s="1304"/>
      <c r="AY12" s="1304"/>
      <c r="AZ12" s="1304"/>
      <c r="BA12" s="1304"/>
      <c r="BB12" s="1304"/>
      <c r="BC12" s="1304"/>
      <c r="BD12" s="1304"/>
      <c r="BE12" s="1304"/>
      <c r="BF12" s="1304"/>
      <c r="BG12" s="1304"/>
      <c r="BH12" s="1304"/>
      <c r="BI12" s="1304"/>
      <c r="BJ12" s="1304"/>
      <c r="BK12" s="1304"/>
      <c r="BL12" s="1304"/>
      <c r="BM12" s="1304"/>
      <c r="BN12" s="1304"/>
      <c r="BO12" s="1304"/>
      <c r="BP12" s="1304"/>
      <c r="BQ12" s="1304"/>
      <c r="BR12" s="1304"/>
      <c r="BS12" s="1304"/>
      <c r="BT12" s="1304"/>
      <c r="BU12" s="1304"/>
      <c r="BV12" s="1304"/>
      <c r="BW12" s="1304"/>
      <c r="BX12" s="1304"/>
      <c r="BY12" s="1304"/>
      <c r="BZ12" s="1304"/>
      <c r="CA12" s="1304"/>
      <c r="CB12" s="1304"/>
      <c r="CC12" s="1304"/>
      <c r="CD12" s="1304"/>
      <c r="CE12" s="1304"/>
      <c r="CF12" s="1304"/>
      <c r="CG12" s="1304"/>
      <c r="CH12" s="1304"/>
      <c r="CI12" s="1304"/>
      <c r="CJ12" s="1304"/>
      <c r="CK12" s="1304"/>
      <c r="CL12" s="1304"/>
      <c r="CM12" s="1304"/>
      <c r="CN12" s="1304"/>
      <c r="CO12" s="1304"/>
      <c r="CP12" s="1304"/>
      <c r="CQ12" s="1304"/>
      <c r="CR12" s="1304"/>
      <c r="CS12" s="1304"/>
      <c r="CT12" s="1304"/>
      <c r="CU12" s="1304"/>
      <c r="CV12" s="1304"/>
      <c r="CW12" s="1304"/>
      <c r="CX12" s="1304"/>
      <c r="CY12" s="1304"/>
      <c r="CZ12" s="1304"/>
      <c r="DA12" s="1304"/>
      <c r="DB12" s="1304"/>
      <c r="DC12" s="1304"/>
      <c r="DD12" s="1304"/>
      <c r="DE12" s="1304"/>
      <c r="DF12" s="1304"/>
      <c r="DG12" s="1304"/>
      <c r="DH12" s="1304"/>
      <c r="DI12" s="1304"/>
      <c r="DJ12" s="1304"/>
      <c r="DK12" s="1304"/>
      <c r="DL12" s="1304"/>
      <c r="DM12" s="1304"/>
      <c r="DN12" s="1304"/>
      <c r="DO12" s="1304"/>
      <c r="DP12" s="1304"/>
      <c r="DQ12" s="1304"/>
      <c r="DR12" s="1304"/>
      <c r="DS12" s="1304"/>
      <c r="DT12" s="1304"/>
      <c r="DU12" s="1304"/>
      <c r="DV12" s="1304"/>
      <c r="DW12" s="1304"/>
      <c r="DX12" s="1304"/>
      <c r="DY12" s="1304"/>
      <c r="DZ12" s="1304"/>
      <c r="EA12" s="1304"/>
      <c r="EB12" s="1304"/>
      <c r="EC12" s="1304"/>
      <c r="ED12" s="1304"/>
      <c r="EE12" s="1304"/>
      <c r="EF12" s="1304"/>
      <c r="EG12" s="1304"/>
      <c r="EH12" s="1304"/>
      <c r="EI12" s="1304"/>
      <c r="EJ12" s="1304"/>
      <c r="EK12" s="1304"/>
      <c r="EL12" s="1304"/>
      <c r="EM12" s="1304"/>
      <c r="EN12" s="1304"/>
      <c r="EO12" s="1304"/>
      <c r="EP12" s="1304"/>
      <c r="EQ12" s="1304"/>
      <c r="ER12" s="1304"/>
      <c r="ES12" s="1304"/>
      <c r="ET12" s="1304"/>
      <c r="EU12" s="1304"/>
      <c r="EV12" s="1304"/>
      <c r="EW12" s="1304"/>
      <c r="EX12" s="1304"/>
      <c r="EY12" s="1304"/>
      <c r="EZ12" s="1304"/>
      <c r="FA12" s="1304"/>
      <c r="FB12" s="1304"/>
      <c r="FC12" s="1304"/>
      <c r="FD12" s="1304"/>
      <c r="FE12" s="1304"/>
      <c r="FF12" s="1304"/>
      <c r="FG12" s="1304"/>
      <c r="FH12" s="1304"/>
      <c r="FI12" s="1304"/>
      <c r="FJ12" s="1304"/>
      <c r="FK12" s="1304"/>
      <c r="FL12" s="1304"/>
      <c r="FM12" s="1304"/>
      <c r="FN12" s="1304"/>
      <c r="FO12" s="1304"/>
      <c r="FP12" s="1304"/>
      <c r="FQ12" s="1304"/>
      <c r="FR12" s="1304"/>
      <c r="FS12" s="1304"/>
      <c r="FT12" s="1304"/>
      <c r="FU12" s="1304"/>
      <c r="FV12" s="1304"/>
      <c r="FW12" s="1304"/>
    </row>
    <row customHeight="1" ht="11.25" hidden="1">
      <c r="AG13" s="1304"/>
      <c r="AH13" s="1304"/>
      <c r="AI13" s="1304"/>
      <c r="AJ13" s="1304"/>
      <c r="AK13" s="1304"/>
      <c r="AL13" s="1304"/>
      <c r="AM13" s="1304"/>
      <c r="AN13" s="1304"/>
      <c r="AO13" s="1304"/>
      <c r="AP13" s="1304"/>
      <c r="AQ13" s="1304"/>
      <c r="AR13" s="1304"/>
      <c r="AS13" s="1304"/>
      <c r="AT13" s="1304"/>
      <c r="AU13" s="1304"/>
      <c r="AV13" s="1304"/>
      <c r="AW13" s="1304"/>
      <c r="AX13" s="1304"/>
      <c r="AY13" s="1304"/>
      <c r="AZ13" s="1304"/>
      <c r="BA13" s="1304"/>
      <c r="BB13" s="1304"/>
      <c r="BC13" s="1304"/>
      <c r="BD13" s="1304"/>
      <c r="BE13" s="1304"/>
      <c r="BF13" s="1304"/>
      <c r="BG13" s="1304"/>
      <c r="BH13" s="1304"/>
      <c r="BI13" s="1304"/>
      <c r="BJ13" s="1304"/>
      <c r="BK13" s="1304"/>
      <c r="BL13" s="1304"/>
      <c r="BM13" s="1304"/>
      <c r="BN13" s="1304"/>
      <c r="BO13" s="1304"/>
      <c r="BP13" s="1304"/>
      <c r="BQ13" s="1304"/>
      <c r="BR13" s="1304"/>
      <c r="BS13" s="1304"/>
      <c r="BT13" s="1304"/>
      <c r="BU13" s="1304"/>
      <c r="BV13" s="1304"/>
      <c r="BW13" s="1304"/>
      <c r="BX13" s="1304"/>
      <c r="BY13" s="1304"/>
      <c r="BZ13" s="1304"/>
      <c r="CA13" s="1304"/>
      <c r="CB13" s="1304"/>
      <c r="CC13" s="1304"/>
      <c r="CD13" s="1304"/>
      <c r="CE13" s="1304"/>
      <c r="CF13" s="1304"/>
      <c r="CG13" s="1304"/>
      <c r="CH13" s="1304"/>
      <c r="CI13" s="1304"/>
      <c r="CJ13" s="1304"/>
      <c r="CK13" s="1304"/>
      <c r="CL13" s="1304"/>
      <c r="CM13" s="1304"/>
      <c r="CN13" s="1304"/>
      <c r="CO13" s="1304"/>
      <c r="CP13" s="1304"/>
      <c r="CQ13" s="1304"/>
      <c r="CR13" s="1304"/>
      <c r="CS13" s="1304"/>
      <c r="CT13" s="1304"/>
      <c r="CU13" s="1304"/>
      <c r="CV13" s="1304"/>
      <c r="CW13" s="1304"/>
      <c r="CX13" s="1304"/>
      <c r="CY13" s="1304"/>
      <c r="CZ13" s="1304"/>
      <c r="DA13" s="1304"/>
      <c r="DB13" s="1304"/>
      <c r="DC13" s="1304"/>
      <c r="DD13" s="1304"/>
      <c r="DE13" s="1304"/>
      <c r="DF13" s="1304"/>
      <c r="DG13" s="1304"/>
      <c r="DH13" s="1304"/>
      <c r="DI13" s="1304"/>
      <c r="DJ13" s="1304"/>
      <c r="DK13" s="1304"/>
      <c r="DL13" s="1304"/>
      <c r="DM13" s="1304"/>
      <c r="DN13" s="1304"/>
      <c r="DO13" s="1304"/>
      <c r="DP13" s="1304"/>
      <c r="DQ13" s="1304"/>
      <c r="DR13" s="1304"/>
      <c r="DS13" s="1304"/>
      <c r="DT13" s="1304"/>
      <c r="DU13" s="1304"/>
      <c r="DV13" s="1304"/>
      <c r="DW13" s="1304"/>
      <c r="DX13" s="1304"/>
      <c r="DY13" s="1304"/>
      <c r="DZ13" s="1304"/>
      <c r="EA13" s="1304"/>
      <c r="EB13" s="1304"/>
      <c r="EC13" s="1304"/>
      <c r="ED13" s="1304"/>
      <c r="EE13" s="1304"/>
      <c r="EF13" s="1304"/>
      <c r="EG13" s="1304"/>
      <c r="EH13" s="1304"/>
      <c r="EI13" s="1304"/>
      <c r="EJ13" s="1304"/>
      <c r="EK13" s="1304"/>
      <c r="EL13" s="1304"/>
      <c r="EM13" s="1304"/>
      <c r="EN13" s="1304"/>
      <c r="EO13" s="1304"/>
      <c r="EP13" s="1304"/>
      <c r="EQ13" s="1304"/>
      <c r="ER13" s="1304"/>
      <c r="ES13" s="1304"/>
      <c r="ET13" s="1304"/>
      <c r="EU13" s="1304"/>
      <c r="EV13" s="1304"/>
      <c r="EW13" s="1304"/>
      <c r="EX13" s="1304"/>
      <c r="EY13" s="1304"/>
      <c r="EZ13" s="1304"/>
      <c r="FA13" s="1304"/>
      <c r="FB13" s="1304"/>
      <c r="FC13" s="1304"/>
      <c r="FD13" s="1304"/>
      <c r="FE13" s="1304"/>
      <c r="FF13" s="1304"/>
      <c r="FG13" s="1304"/>
      <c r="FH13" s="1304"/>
      <c r="FI13" s="1304"/>
      <c r="FJ13" s="1304"/>
      <c r="FK13" s="1304"/>
      <c r="FL13" s="1304"/>
      <c r="FM13" s="1304"/>
      <c r="FN13" s="1304"/>
      <c r="FO13" s="1304"/>
      <c r="FP13" s="1304"/>
      <c r="FQ13" s="1304"/>
      <c r="FR13" s="1304"/>
      <c r="FS13" s="1304"/>
      <c r="FT13" s="1304"/>
      <c r="FU13" s="1304"/>
      <c r="FV13" s="1304"/>
      <c r="FW13" s="1304"/>
    </row>
    <row customHeight="1" ht="11.25" hidden="1">
      <c r="AG14" s="1304"/>
      <c r="AH14" s="1304"/>
      <c r="AI14" s="1304"/>
      <c r="AJ14" s="1304"/>
      <c r="AK14" s="1304"/>
      <c r="AL14" s="1304"/>
      <c r="AM14" s="1304"/>
      <c r="AN14" s="1304"/>
      <c r="AO14" s="1304"/>
      <c r="AP14" s="1304"/>
      <c r="AQ14" s="1304"/>
      <c r="AR14" s="1304"/>
      <c r="AS14" s="1304"/>
      <c r="AT14" s="1304"/>
      <c r="AU14" s="1304"/>
      <c r="AV14" s="1304"/>
      <c r="AW14" s="1304"/>
      <c r="AX14" s="1304"/>
      <c r="AY14" s="1304"/>
      <c r="AZ14" s="1304"/>
      <c r="BA14" s="1304"/>
      <c r="BB14" s="1304"/>
      <c r="BC14" s="1304"/>
      <c r="BD14" s="1304"/>
      <c r="BE14" s="1304"/>
      <c r="BF14" s="1304"/>
      <c r="BG14" s="1304"/>
      <c r="BH14" s="1304"/>
      <c r="BI14" s="1304"/>
      <c r="BJ14" s="1304"/>
      <c r="BK14" s="1304"/>
      <c r="BL14" s="1304"/>
      <c r="BM14" s="1304"/>
      <c r="BN14" s="1304"/>
      <c r="BO14" s="1304"/>
      <c r="BP14" s="1304"/>
      <c r="BQ14" s="1304"/>
      <c r="BR14" s="1304"/>
      <c r="BS14" s="1304"/>
      <c r="BT14" s="1304"/>
      <c r="BU14" s="1304"/>
      <c r="BV14" s="1304"/>
      <c r="BW14" s="1304"/>
      <c r="BX14" s="1304"/>
      <c r="BY14" s="1304"/>
      <c r="BZ14" s="1304"/>
      <c r="CA14" s="1304"/>
      <c r="CB14" s="1304"/>
      <c r="CC14" s="1304"/>
      <c r="CD14" s="1304"/>
      <c r="CE14" s="1304"/>
      <c r="CF14" s="1304"/>
      <c r="CG14" s="1304"/>
      <c r="CH14" s="1304"/>
      <c r="CI14" s="1304"/>
      <c r="CJ14" s="1304"/>
      <c r="CK14" s="1304"/>
      <c r="CL14" s="1304"/>
      <c r="CM14" s="1304"/>
      <c r="CN14" s="1304"/>
      <c r="CO14" s="1304"/>
      <c r="CP14" s="1304"/>
      <c r="CQ14" s="1304"/>
      <c r="CR14" s="1304"/>
      <c r="CS14" s="1304"/>
      <c r="CT14" s="1304"/>
      <c r="CU14" s="1304"/>
      <c r="CV14" s="1304"/>
      <c r="CW14" s="1304"/>
      <c r="CX14" s="1304"/>
      <c r="CY14" s="1304"/>
      <c r="CZ14" s="1304"/>
      <c r="DA14" s="1304"/>
      <c r="DB14" s="1304"/>
      <c r="DC14" s="1304"/>
      <c r="DD14" s="1304"/>
      <c r="DE14" s="1304"/>
      <c r="DF14" s="1304"/>
      <c r="DG14" s="1304"/>
      <c r="DH14" s="1304"/>
      <c r="DI14" s="1304"/>
      <c r="DJ14" s="1304"/>
      <c r="DK14" s="1304"/>
      <c r="DL14" s="1304"/>
      <c r="DM14" s="1304"/>
      <c r="DN14" s="1304"/>
      <c r="DO14" s="1304"/>
      <c r="DP14" s="1304"/>
      <c r="DQ14" s="1304"/>
      <c r="DR14" s="1304"/>
      <c r="DS14" s="1304"/>
      <c r="DT14" s="1304"/>
      <c r="DU14" s="1304"/>
      <c r="DV14" s="1304"/>
      <c r="DW14" s="1304"/>
      <c r="DX14" s="1304"/>
      <c r="DY14" s="1304"/>
      <c r="DZ14" s="1304"/>
      <c r="EA14" s="1304"/>
      <c r="EB14" s="1304"/>
      <c r="EC14" s="1304"/>
      <c r="ED14" s="1304"/>
      <c r="EE14" s="1304"/>
      <c r="EF14" s="1304"/>
      <c r="EG14" s="1304"/>
      <c r="EH14" s="1304"/>
      <c r="EI14" s="1304"/>
      <c r="EJ14" s="1304"/>
      <c r="EK14" s="1304"/>
      <c r="EL14" s="1304"/>
      <c r="EM14" s="1304"/>
      <c r="EN14" s="1304"/>
      <c r="EO14" s="1304"/>
      <c r="EP14" s="1304"/>
      <c r="EQ14" s="1304"/>
      <c r="ER14" s="1304"/>
      <c r="ES14" s="1304"/>
      <c r="ET14" s="1304"/>
      <c r="EU14" s="1304"/>
      <c r="EV14" s="1304"/>
      <c r="EW14" s="1304"/>
      <c r="EX14" s="1304"/>
      <c r="EY14" s="1304"/>
      <c r="EZ14" s="1304"/>
      <c r="FA14" s="1304"/>
      <c r="FB14" s="1304"/>
      <c r="FC14" s="1304"/>
      <c r="FD14" s="1304"/>
      <c r="FE14" s="1304"/>
      <c r="FF14" s="1304"/>
      <c r="FG14" s="1304"/>
      <c r="FH14" s="1304"/>
      <c r="FI14" s="1304"/>
      <c r="FJ14" s="1304"/>
      <c r="FK14" s="1304"/>
      <c r="FL14" s="1304"/>
      <c r="FM14" s="1304"/>
      <c r="FN14" s="1304"/>
      <c r="FO14" s="1304"/>
      <c r="FP14" s="1304"/>
      <c r="FQ14" s="1304"/>
      <c r="FR14" s="1304"/>
      <c r="FS14" s="1304"/>
      <c r="FT14" s="1304"/>
      <c r="FU14" s="1304"/>
      <c r="FV14" s="1304"/>
      <c r="FW14" s="1304"/>
    </row>
    <row customHeight="1" ht="11.25" hidden="1">
      <c r="AG15" s="1304"/>
      <c r="AH15" s="1304"/>
      <c r="AI15" s="1304"/>
      <c r="AJ15" s="1304"/>
      <c r="AK15" s="1304"/>
      <c r="AL15" s="1304"/>
      <c r="AM15" s="1304"/>
      <c r="AN15" s="1304"/>
      <c r="AO15" s="1304"/>
      <c r="AP15" s="1304"/>
      <c r="AQ15" s="1304"/>
      <c r="AR15" s="1304"/>
      <c r="AS15" s="1304"/>
      <c r="AT15" s="1304"/>
      <c r="AU15" s="1304"/>
      <c r="AV15" s="1304"/>
      <c r="AW15" s="1304"/>
      <c r="AX15" s="1304"/>
      <c r="AY15" s="1304"/>
      <c r="AZ15" s="1304"/>
      <c r="BA15" s="1304"/>
      <c r="BB15" s="1304"/>
      <c r="BC15" s="1304"/>
      <c r="BD15" s="1304"/>
      <c r="BE15" s="1304"/>
      <c r="BF15" s="1304"/>
      <c r="BG15" s="1304"/>
      <c r="BH15" s="1304"/>
      <c r="BI15" s="1304"/>
      <c r="BJ15" s="1304"/>
      <c r="BK15" s="1304"/>
      <c r="BL15" s="1304"/>
      <c r="BM15" s="1304"/>
      <c r="BN15" s="1304"/>
      <c r="BO15" s="1304"/>
      <c r="BP15" s="1304"/>
      <c r="BQ15" s="1304"/>
      <c r="BR15" s="1304"/>
      <c r="BS15" s="1304"/>
      <c r="BT15" s="1304"/>
      <c r="BU15" s="1304"/>
      <c r="BV15" s="1304"/>
      <c r="BW15" s="1304"/>
      <c r="BX15" s="1304"/>
      <c r="BY15" s="1304"/>
      <c r="BZ15" s="1304"/>
      <c r="CA15" s="1304"/>
      <c r="CB15" s="1304"/>
      <c r="CC15" s="1304"/>
      <c r="CD15" s="1304"/>
      <c r="CE15" s="1304"/>
      <c r="CF15" s="1304"/>
      <c r="CG15" s="1304"/>
      <c r="CH15" s="1304"/>
      <c r="CI15" s="1304"/>
      <c r="CJ15" s="1304"/>
      <c r="CK15" s="1304"/>
      <c r="CL15" s="1304"/>
      <c r="CM15" s="1304"/>
      <c r="CN15" s="1304"/>
      <c r="CO15" s="1304"/>
      <c r="CP15" s="1304"/>
      <c r="CQ15" s="1304"/>
      <c r="CR15" s="1304"/>
      <c r="CS15" s="1304"/>
      <c r="CT15" s="1304"/>
      <c r="CU15" s="1304"/>
      <c r="CV15" s="1304"/>
      <c r="CW15" s="1304"/>
      <c r="CX15" s="1304"/>
      <c r="CY15" s="1304"/>
      <c r="CZ15" s="1304"/>
      <c r="DA15" s="1304"/>
      <c r="DB15" s="1304"/>
      <c r="DC15" s="1304"/>
      <c r="DD15" s="1304"/>
      <c r="DE15" s="1304"/>
      <c r="DF15" s="1304"/>
      <c r="DG15" s="1304"/>
      <c r="DH15" s="1304"/>
      <c r="DI15" s="1304"/>
      <c r="DJ15" s="1304"/>
      <c r="DK15" s="1304"/>
      <c r="DL15" s="1304"/>
      <c r="DM15" s="1304"/>
      <c r="DN15" s="1304"/>
      <c r="DO15" s="1304"/>
      <c r="DP15" s="1304"/>
      <c r="DQ15" s="1304"/>
      <c r="DR15" s="1304"/>
      <c r="DS15" s="1304"/>
      <c r="DT15" s="1304"/>
      <c r="DU15" s="1304"/>
      <c r="DV15" s="1304"/>
      <c r="DW15" s="1304"/>
      <c r="DX15" s="1304"/>
      <c r="DY15" s="1304"/>
      <c r="DZ15" s="1304"/>
      <c r="EA15" s="1304"/>
      <c r="EB15" s="1304"/>
      <c r="EC15" s="1304"/>
      <c r="ED15" s="1304"/>
      <c r="EE15" s="1304"/>
      <c r="EF15" s="1304"/>
      <c r="EG15" s="1304"/>
      <c r="EH15" s="1304"/>
      <c r="EI15" s="1304"/>
      <c r="EJ15" s="1304"/>
      <c r="EK15" s="1304"/>
      <c r="EL15" s="1304"/>
      <c r="EM15" s="1304"/>
      <c r="EN15" s="1304"/>
      <c r="EO15" s="1304"/>
      <c r="EP15" s="1304"/>
      <c r="EQ15" s="1304"/>
      <c r="ER15" s="1304"/>
      <c r="ES15" s="1304"/>
      <c r="ET15" s="1304"/>
      <c r="EU15" s="1304"/>
      <c r="EV15" s="1304"/>
      <c r="EW15" s="1304"/>
      <c r="EX15" s="1304"/>
      <c r="EY15" s="1304"/>
      <c r="EZ15" s="1304"/>
      <c r="FA15" s="1304"/>
      <c r="FB15" s="1304"/>
      <c r="FC15" s="1304"/>
      <c r="FD15" s="1304"/>
      <c r="FE15" s="1304"/>
      <c r="FF15" s="1304"/>
      <c r="FG15" s="1304"/>
      <c r="FH15" s="1304"/>
      <c r="FI15" s="1304"/>
      <c r="FJ15" s="1304"/>
      <c r="FK15" s="1304"/>
      <c r="FL15" s="1304"/>
      <c r="FM15" s="1304"/>
      <c r="FN15" s="1304"/>
      <c r="FO15" s="1304"/>
      <c r="FP15" s="1304"/>
      <c r="FQ15" s="1304"/>
      <c r="FR15" s="1304"/>
      <c r="FS15" s="1304"/>
      <c r="FT15" s="1304"/>
      <c r="FU15" s="1304"/>
      <c r="FV15" s="1304"/>
      <c r="FW15" s="1304"/>
    </row>
    <row customHeight="1" ht="11.25" hidden="1">
      <c r="AG16" s="1304"/>
      <c r="AH16" s="1304"/>
      <c r="AI16" s="1304"/>
      <c r="AJ16" s="1304"/>
      <c r="AK16" s="1304"/>
      <c r="AL16" s="1304"/>
      <c r="AM16" s="1304"/>
      <c r="AN16" s="1304"/>
      <c r="AO16" s="1304"/>
      <c r="AP16" s="1304"/>
      <c r="AQ16" s="1304"/>
      <c r="AR16" s="1304"/>
      <c r="AS16" s="1304"/>
      <c r="AT16" s="1304"/>
      <c r="AU16" s="1304"/>
      <c r="AV16" s="1304"/>
      <c r="AW16" s="1304"/>
      <c r="AX16" s="1304"/>
      <c r="AY16" s="1304"/>
      <c r="AZ16" s="1304"/>
      <c r="BA16" s="1304"/>
      <c r="BB16" s="1304"/>
      <c r="BC16" s="1304"/>
      <c r="BD16" s="1304"/>
      <c r="BE16" s="1304"/>
      <c r="BF16" s="1304"/>
      <c r="BG16" s="1304"/>
      <c r="BH16" s="1304"/>
      <c r="BI16" s="1304"/>
      <c r="BJ16" s="1304"/>
      <c r="BK16" s="1304"/>
      <c r="BL16" s="1304"/>
      <c r="BM16" s="1304"/>
      <c r="BN16" s="1304"/>
      <c r="BO16" s="1304"/>
      <c r="BP16" s="1304"/>
      <c r="BQ16" s="1304"/>
      <c r="BR16" s="1304"/>
      <c r="BS16" s="1304"/>
      <c r="BT16" s="1304"/>
      <c r="BU16" s="1304"/>
      <c r="BV16" s="1304"/>
      <c r="BW16" s="1304"/>
      <c r="BX16" s="1304"/>
      <c r="BY16" s="1304"/>
      <c r="BZ16" s="1304"/>
      <c r="CA16" s="1304"/>
      <c r="CB16" s="1304"/>
      <c r="CC16" s="1304"/>
      <c r="CD16" s="1304"/>
      <c r="CE16" s="1304"/>
      <c r="CF16" s="1304"/>
      <c r="CG16" s="1304"/>
      <c r="CH16" s="1304"/>
      <c r="CI16" s="1304"/>
      <c r="CJ16" s="1304"/>
      <c r="CK16" s="1304"/>
      <c r="CL16" s="1304"/>
      <c r="CM16" s="1304"/>
      <c r="CN16" s="1304"/>
      <c r="CO16" s="1304"/>
      <c r="CP16" s="1304"/>
      <c r="CQ16" s="1304"/>
      <c r="CR16" s="1304"/>
      <c r="CS16" s="1304"/>
      <c r="CT16" s="1304"/>
      <c r="CU16" s="1304"/>
      <c r="CV16" s="1304"/>
      <c r="CW16" s="1304"/>
      <c r="CX16" s="1304"/>
      <c r="CY16" s="1304"/>
      <c r="CZ16" s="1304"/>
      <c r="DA16" s="1304"/>
      <c r="DB16" s="1304"/>
      <c r="DC16" s="1304"/>
      <c r="DD16" s="1304"/>
      <c r="DE16" s="1304"/>
      <c r="DF16" s="1304"/>
      <c r="DG16" s="1304"/>
      <c r="DH16" s="1304"/>
      <c r="DI16" s="1304"/>
      <c r="DJ16" s="1304"/>
      <c r="DK16" s="1304"/>
      <c r="DL16" s="1304"/>
      <c r="DM16" s="1304"/>
      <c r="DN16" s="1304"/>
      <c r="DO16" s="1304"/>
      <c r="DP16" s="1304"/>
      <c r="DQ16" s="1304"/>
      <c r="DR16" s="1304"/>
      <c r="DS16" s="1304"/>
      <c r="DT16" s="1304"/>
      <c r="DU16" s="1304"/>
      <c r="DV16" s="1304"/>
      <c r="DW16" s="1304"/>
      <c r="DX16" s="1304"/>
      <c r="DY16" s="1304"/>
      <c r="DZ16" s="1304"/>
      <c r="EA16" s="1304"/>
      <c r="EB16" s="1304"/>
      <c r="EC16" s="1304"/>
      <c r="ED16" s="1304"/>
      <c r="EE16" s="1304"/>
      <c r="EF16" s="1304"/>
      <c r="EG16" s="1304"/>
      <c r="EH16" s="1304"/>
      <c r="EI16" s="1304"/>
      <c r="EJ16" s="1304"/>
      <c r="EK16" s="1304"/>
      <c r="EL16" s="1304"/>
      <c r="EM16" s="1304"/>
      <c r="EN16" s="1304"/>
      <c r="EO16" s="1304"/>
      <c r="EP16" s="1304"/>
      <c r="EQ16" s="1304"/>
      <c r="ER16" s="1304"/>
      <c r="ES16" s="1304"/>
      <c r="ET16" s="1304"/>
      <c r="EU16" s="1304"/>
      <c r="EV16" s="1304"/>
      <c r="EW16" s="1304"/>
      <c r="EX16" s="1304"/>
      <c r="EY16" s="1304"/>
      <c r="EZ16" s="1304"/>
      <c r="FA16" s="1304"/>
      <c r="FB16" s="1304"/>
      <c r="FC16" s="1304"/>
      <c r="FD16" s="1304"/>
      <c r="FE16" s="1304"/>
      <c r="FF16" s="1304"/>
      <c r="FG16" s="1304"/>
      <c r="FH16" s="1304"/>
      <c r="FI16" s="1304"/>
      <c r="FJ16" s="1304"/>
      <c r="FK16" s="1304"/>
      <c r="FL16" s="1304"/>
      <c r="FM16" s="1304"/>
      <c r="FN16" s="1304"/>
      <c r="FO16" s="1304"/>
      <c r="FP16" s="1304"/>
      <c r="FQ16" s="1304"/>
      <c r="FR16" s="1304"/>
      <c r="FS16" s="1304"/>
      <c r="FT16" s="1304"/>
      <c r="FU16" s="1304"/>
      <c r="FV16" s="1304"/>
      <c r="FW16" s="1304"/>
    </row>
    <row customHeight="1" ht="11.25" hidden="1">
      <c r="AG17" s="1304"/>
      <c r="AH17" s="1304"/>
      <c r="AI17" s="1304"/>
      <c r="AJ17" s="1304"/>
      <c r="AK17" s="1304"/>
      <c r="AL17" s="1304"/>
      <c r="AM17" s="1304"/>
      <c r="AN17" s="1304"/>
      <c r="AO17" s="1304"/>
      <c r="AP17" s="1304"/>
      <c r="AQ17" s="1304"/>
      <c r="AR17" s="1304"/>
      <c r="AS17" s="1304"/>
      <c r="AT17" s="1304"/>
      <c r="AU17" s="1304"/>
      <c r="AV17" s="1304"/>
      <c r="AW17" s="1304"/>
      <c r="AX17" s="1304"/>
      <c r="AY17" s="1304"/>
      <c r="AZ17" s="1304"/>
      <c r="BA17" s="1304"/>
      <c r="BB17" s="1304"/>
      <c r="BC17" s="1304"/>
      <c r="BD17" s="1304"/>
      <c r="BE17" s="1304"/>
      <c r="BF17" s="1304"/>
      <c r="BG17" s="1304"/>
      <c r="BH17" s="1304"/>
      <c r="BI17" s="1304"/>
      <c r="BJ17" s="1304"/>
      <c r="BK17" s="1304"/>
      <c r="BL17" s="1304"/>
      <c r="BM17" s="1304"/>
      <c r="BN17" s="1304"/>
      <c r="BO17" s="1304"/>
      <c r="BP17" s="1304"/>
      <c r="BQ17" s="1304"/>
      <c r="BR17" s="1304"/>
      <c r="BS17" s="1304"/>
      <c r="BT17" s="1304"/>
      <c r="BU17" s="1304"/>
      <c r="BV17" s="1304"/>
      <c r="BW17" s="1304"/>
      <c r="BX17" s="1304"/>
      <c r="BY17" s="1304"/>
      <c r="BZ17" s="1304"/>
      <c r="CA17" s="1304"/>
      <c r="CB17" s="1304"/>
      <c r="CC17" s="1304"/>
      <c r="CD17" s="1304"/>
      <c r="CE17" s="1304"/>
      <c r="CF17" s="1304"/>
      <c r="CG17" s="1304"/>
      <c r="CH17" s="1304"/>
      <c r="CI17" s="1304"/>
      <c r="CJ17" s="1304"/>
      <c r="CK17" s="1304"/>
      <c r="CL17" s="1304"/>
      <c r="CM17" s="1304"/>
      <c r="CN17" s="1304"/>
      <c r="CO17" s="1304"/>
      <c r="CP17" s="1304"/>
      <c r="CQ17" s="1304"/>
      <c r="CR17" s="1304"/>
      <c r="CS17" s="1304"/>
      <c r="CT17" s="1304"/>
      <c r="CU17" s="1304"/>
      <c r="CV17" s="1304"/>
      <c r="CW17" s="1304"/>
      <c r="CX17" s="1304"/>
      <c r="CY17" s="1304"/>
      <c r="CZ17" s="1304"/>
      <c r="DA17" s="1304"/>
      <c r="DB17" s="1304"/>
      <c r="DC17" s="1304"/>
      <c r="DD17" s="1304"/>
      <c r="DE17" s="1304"/>
      <c r="DF17" s="1304"/>
      <c r="DG17" s="1304"/>
      <c r="DH17" s="1304"/>
      <c r="DI17" s="1304"/>
      <c r="DJ17" s="1304"/>
      <c r="DK17" s="1304"/>
      <c r="DL17" s="1304"/>
      <c r="DM17" s="1304"/>
      <c r="DN17" s="1304"/>
      <c r="DO17" s="1304"/>
      <c r="DP17" s="1304"/>
      <c r="DQ17" s="1304"/>
      <c r="DR17" s="1304"/>
      <c r="DS17" s="1304"/>
      <c r="DT17" s="1304"/>
      <c r="DU17" s="1304"/>
      <c r="DV17" s="1304"/>
      <c r="DW17" s="1304"/>
      <c r="DX17" s="1304"/>
      <c r="DY17" s="1304"/>
      <c r="DZ17" s="1304"/>
      <c r="EA17" s="1304"/>
      <c r="EB17" s="1304"/>
      <c r="EC17" s="1304"/>
      <c r="ED17" s="1304"/>
      <c r="EE17" s="1304"/>
      <c r="EF17" s="1304"/>
      <c r="EG17" s="1304"/>
      <c r="EH17" s="1304"/>
      <c r="EI17" s="1304"/>
      <c r="EJ17" s="1304"/>
      <c r="EK17" s="1304"/>
      <c r="EL17" s="1304"/>
      <c r="EM17" s="1304"/>
      <c r="EN17" s="1304"/>
      <c r="EO17" s="1304"/>
      <c r="EP17" s="1304"/>
      <c r="EQ17" s="1304"/>
      <c r="ER17" s="1304"/>
      <c r="ES17" s="1304"/>
      <c r="ET17" s="1304"/>
      <c r="EU17" s="1304"/>
      <c r="EV17" s="1304"/>
      <c r="EW17" s="1304"/>
      <c r="EX17" s="1304"/>
      <c r="EY17" s="1304"/>
      <c r="EZ17" s="1304"/>
      <c r="FA17" s="1304"/>
      <c r="FB17" s="1304"/>
      <c r="FC17" s="1304"/>
      <c r="FD17" s="1304"/>
      <c r="FE17" s="1304"/>
      <c r="FF17" s="1304"/>
      <c r="FG17" s="1304"/>
      <c r="FH17" s="1304"/>
      <c r="FI17" s="1304"/>
      <c r="FJ17" s="1304"/>
      <c r="FK17" s="1304"/>
      <c r="FL17" s="1304"/>
      <c r="FM17" s="1304"/>
      <c r="FN17" s="1304"/>
      <c r="FO17" s="1304"/>
      <c r="FP17" s="1304"/>
      <c r="FQ17" s="1304"/>
      <c r="FR17" s="1304"/>
      <c r="FS17" s="1304"/>
      <c r="FT17" s="1304"/>
      <c r="FU17" s="1304"/>
      <c r="FV17" s="1304"/>
      <c r="FW17" s="1304"/>
    </row>
    <row customHeight="1" ht="11.25" hidden="1">
      <c r="A18" s="98" t="s">
        <v>368</v>
      </c>
      <c r="AB18" s="207" t="s">
        <v>369</v>
      </c>
      <c r="AG18" s="1304"/>
      <c r="AH18" s="1304"/>
      <c r="AI18" s="1304"/>
      <c r="AJ18" s="1304"/>
      <c r="AK18" s="1304"/>
      <c r="AL18" s="1304"/>
      <c r="AM18" s="1304"/>
      <c r="AN18" s="1304"/>
      <c r="AO18" s="1304"/>
      <c r="AP18" s="1304"/>
      <c r="AQ18" s="1304"/>
      <c r="AR18" s="1304"/>
      <c r="AS18" s="1304"/>
      <c r="AT18" s="1304"/>
      <c r="AU18" s="1304"/>
      <c r="AV18" s="1304"/>
      <c r="AW18" s="1304"/>
      <c r="AX18" s="1304"/>
      <c r="AY18" s="1304"/>
      <c r="AZ18" s="1304"/>
      <c r="BA18" s="1304"/>
      <c r="BB18" s="1304"/>
      <c r="BC18" s="1304"/>
      <c r="BD18" s="1304"/>
      <c r="BE18" s="1304"/>
      <c r="BF18" s="1304"/>
      <c r="BG18" s="1304"/>
      <c r="BH18" s="1304"/>
      <c r="BI18" s="1304"/>
      <c r="BJ18" s="1304"/>
      <c r="BK18" s="1304"/>
      <c r="BL18" s="1304"/>
      <c r="BM18" s="1304"/>
      <c r="BN18" s="1304"/>
      <c r="BO18" s="1304"/>
      <c r="BP18" s="1304"/>
      <c r="BQ18" s="1304"/>
      <c r="BR18" s="1304"/>
      <c r="BS18" s="1304"/>
      <c r="BT18" s="1304"/>
      <c r="BU18" s="1304"/>
      <c r="BV18" s="1304"/>
      <c r="BW18" s="1304"/>
      <c r="BX18" s="1304"/>
      <c r="BY18" s="1304"/>
      <c r="BZ18" s="1304"/>
      <c r="CA18" s="1304"/>
      <c r="CB18" s="1304"/>
      <c r="CC18" s="1304"/>
      <c r="CD18" s="1304"/>
      <c r="CE18" s="1304"/>
      <c r="CF18" s="1304"/>
      <c r="CG18" s="1304"/>
      <c r="CH18" s="1304"/>
      <c r="CI18" s="1304"/>
      <c r="CJ18" s="1304"/>
      <c r="CK18" s="1304"/>
      <c r="CL18" s="1304"/>
      <c r="CM18" s="1304"/>
      <c r="CN18" s="1304"/>
      <c r="CO18" s="1304"/>
      <c r="CP18" s="1304"/>
      <c r="CQ18" s="1304"/>
      <c r="CR18" s="1304"/>
      <c r="CS18" s="1304"/>
      <c r="CT18" s="1304"/>
      <c r="CU18" s="1304"/>
      <c r="CV18" s="1304"/>
      <c r="CW18" s="1304"/>
      <c r="CX18" s="1304"/>
      <c r="CY18" s="1304"/>
      <c r="CZ18" s="1304"/>
      <c r="DA18" s="1304"/>
      <c r="DB18" s="1304"/>
      <c r="DC18" s="1304"/>
      <c r="DD18" s="1304"/>
      <c r="DE18" s="1304"/>
      <c r="DF18" s="1304"/>
      <c r="DG18" s="1304"/>
      <c r="DH18" s="1304"/>
      <c r="DI18" s="1304"/>
      <c r="DJ18" s="1304"/>
      <c r="DK18" s="1304"/>
      <c r="DL18" s="1304"/>
      <c r="DM18" s="1304"/>
      <c r="DN18" s="1304"/>
      <c r="DO18" s="1304"/>
      <c r="DP18" s="1304"/>
      <c r="DQ18" s="1304"/>
      <c r="DR18" s="1304"/>
      <c r="DS18" s="1304"/>
      <c r="DT18" s="1304"/>
      <c r="DU18" s="1304"/>
      <c r="DV18" s="1304"/>
      <c r="DW18" s="1304"/>
      <c r="DX18" s="1304"/>
      <c r="DY18" s="1304"/>
      <c r="DZ18" s="1304"/>
      <c r="EA18" s="1304"/>
      <c r="EB18" s="1304"/>
      <c r="EC18" s="1304"/>
      <c r="ED18" s="1304"/>
      <c r="EE18" s="1304"/>
      <c r="EF18" s="1304"/>
      <c r="EG18" s="1304"/>
      <c r="EH18" s="1304"/>
      <c r="EI18" s="1304"/>
      <c r="EJ18" s="1304"/>
      <c r="EK18" s="1304"/>
      <c r="EL18" s="1304"/>
      <c r="EM18" s="1304"/>
      <c r="EN18" s="1304"/>
      <c r="EO18" s="1304"/>
      <c r="EP18" s="1304"/>
      <c r="EQ18" s="1304"/>
      <c r="ER18" s="1304"/>
      <c r="ES18" s="1304"/>
      <c r="ET18" s="1304"/>
      <c r="EU18" s="1304"/>
      <c r="EV18" s="1304"/>
      <c r="EW18" s="1304"/>
      <c r="EX18" s="1304"/>
      <c r="EY18" s="1304"/>
      <c r="EZ18" s="1304"/>
      <c r="FA18" s="1304"/>
      <c r="FB18" s="1304"/>
      <c r="FC18" s="1304"/>
      <c r="FD18" s="1304"/>
      <c r="FE18" s="1304"/>
      <c r="FF18" s="1304"/>
      <c r="FG18" s="1304"/>
      <c r="FH18" s="1304"/>
      <c r="FI18" s="1304"/>
      <c r="FJ18" s="1304"/>
      <c r="FK18" s="1304"/>
      <c r="FL18" s="1304"/>
      <c r="FM18" s="1304"/>
      <c r="FN18" s="1304"/>
      <c r="FO18" s="1304"/>
      <c r="FP18" s="1304"/>
      <c r="FQ18" s="1304"/>
      <c r="FR18" s="1304"/>
      <c r="FS18" s="1304"/>
      <c r="FT18" s="1304"/>
      <c r="FU18" s="1304"/>
      <c r="FV18" s="1304"/>
      <c r="FW18" s="1304"/>
    </row>
    <row customHeight="1" ht="11.25" hidden="1">
      <c r="AG19" s="1304"/>
      <c r="AH19" s="1304"/>
      <c r="AI19" s="1304"/>
      <c r="AJ19" s="1304"/>
      <c r="AK19" s="1304"/>
      <c r="AL19" s="1304"/>
      <c r="AM19" s="1304"/>
      <c r="AN19" s="1304"/>
      <c r="AO19" s="1304"/>
      <c r="AP19" s="1304"/>
      <c r="AQ19" s="1304"/>
      <c r="AR19" s="1304"/>
      <c r="AS19" s="1304"/>
      <c r="AT19" s="1304"/>
      <c r="AU19" s="1304"/>
      <c r="AV19" s="1304"/>
      <c r="AW19" s="1304"/>
      <c r="AX19" s="1304"/>
      <c r="AY19" s="1304"/>
      <c r="AZ19" s="1304"/>
      <c r="BA19" s="1304"/>
      <c r="BB19" s="1304"/>
      <c r="BC19" s="1304"/>
      <c r="BD19" s="1304"/>
      <c r="BE19" s="1304"/>
      <c r="BF19" s="1304"/>
      <c r="BG19" s="1304"/>
      <c r="BH19" s="1304"/>
      <c r="BI19" s="1304"/>
      <c r="BJ19" s="1304"/>
      <c r="BK19" s="1304"/>
      <c r="BL19" s="1304"/>
      <c r="BM19" s="1304"/>
      <c r="BN19" s="1304"/>
      <c r="BO19" s="1304"/>
      <c r="BP19" s="1304"/>
      <c r="BQ19" s="1304"/>
      <c r="BR19" s="1304"/>
      <c r="BS19" s="1304"/>
      <c r="BT19" s="1304"/>
      <c r="BU19" s="1304"/>
      <c r="BV19" s="1304"/>
      <c r="BW19" s="1304"/>
      <c r="BX19" s="1304"/>
      <c r="BY19" s="1304"/>
      <c r="BZ19" s="1304"/>
      <c r="CA19" s="1304"/>
      <c r="CB19" s="1304"/>
      <c r="CC19" s="1304"/>
      <c r="CD19" s="1304"/>
      <c r="CE19" s="1304"/>
      <c r="CF19" s="1304"/>
      <c r="CG19" s="1304"/>
      <c r="CH19" s="1304"/>
      <c r="CI19" s="1304"/>
      <c r="CJ19" s="1304"/>
      <c r="CK19" s="1304"/>
      <c r="CL19" s="1304"/>
      <c r="CM19" s="1304"/>
      <c r="CN19" s="1304"/>
      <c r="CO19" s="1304"/>
      <c r="CP19" s="1304"/>
      <c r="CQ19" s="1304"/>
      <c r="CR19" s="1304"/>
      <c r="CS19" s="1304"/>
      <c r="CT19" s="1304"/>
      <c r="CU19" s="1304"/>
      <c r="CV19" s="1304"/>
      <c r="CW19" s="1304"/>
      <c r="CX19" s="1304"/>
      <c r="CY19" s="1304"/>
      <c r="CZ19" s="1304"/>
      <c r="DA19" s="1304"/>
      <c r="DB19" s="1304"/>
      <c r="DC19" s="1304"/>
      <c r="DD19" s="1304"/>
      <c r="DE19" s="1304"/>
      <c r="DF19" s="1304"/>
      <c r="DG19" s="1304"/>
      <c r="DH19" s="1304"/>
      <c r="DI19" s="1304"/>
      <c r="DJ19" s="1304"/>
      <c r="DK19" s="1304"/>
      <c r="DL19" s="1304"/>
      <c r="DM19" s="1304"/>
      <c r="DN19" s="1304"/>
      <c r="DO19" s="1304"/>
      <c r="DP19" s="1304"/>
      <c r="DQ19" s="1304"/>
      <c r="DR19" s="1304"/>
      <c r="DS19" s="1304"/>
      <c r="DT19" s="1304"/>
      <c r="DU19" s="1304"/>
      <c r="DV19" s="1304"/>
      <c r="DW19" s="1304"/>
      <c r="DX19" s="1304"/>
      <c r="DY19" s="1304"/>
      <c r="DZ19" s="1304"/>
      <c r="EA19" s="1304"/>
      <c r="EB19" s="1304"/>
      <c r="EC19" s="1304"/>
      <c r="ED19" s="1304"/>
      <c r="EE19" s="1304"/>
      <c r="EF19" s="1304"/>
      <c r="EG19" s="1304"/>
      <c r="EH19" s="1304"/>
      <c r="EI19" s="1304"/>
      <c r="EJ19" s="1304"/>
      <c r="EK19" s="1304"/>
      <c r="EL19" s="1304"/>
      <c r="EM19" s="1304"/>
      <c r="EN19" s="1304"/>
      <c r="EO19" s="1304"/>
      <c r="EP19" s="1304"/>
      <c r="EQ19" s="1304"/>
      <c r="ER19" s="1304"/>
      <c r="ES19" s="1304"/>
      <c r="ET19" s="1304"/>
      <c r="EU19" s="1304"/>
      <c r="EV19" s="1304"/>
      <c r="EW19" s="1304"/>
      <c r="EX19" s="1304"/>
      <c r="EY19" s="1304"/>
      <c r="EZ19" s="1304"/>
      <c r="FA19" s="1304"/>
      <c r="FB19" s="1304"/>
      <c r="FC19" s="1304"/>
      <c r="FD19" s="1304"/>
      <c r="FE19" s="1304"/>
      <c r="FF19" s="1304"/>
      <c r="FG19" s="1304"/>
      <c r="FH19" s="1304"/>
      <c r="FI19" s="1304"/>
      <c r="FJ19" s="1304"/>
      <c r="FK19" s="1304"/>
      <c r="FL19" s="1304"/>
      <c r="FM19" s="1304"/>
      <c r="FN19" s="1304"/>
      <c r="FO19" s="1304"/>
      <c r="FP19" s="1304"/>
      <c r="FQ19" s="1304"/>
      <c r="FR19" s="1304"/>
      <c r="FS19" s="1304"/>
      <c r="FT19" s="1304"/>
      <c r="FU19" s="1304"/>
      <c r="FV19" s="1304"/>
      <c r="FW19" s="1304"/>
    </row>
    <row customHeight="1" ht="11.25" hidden="1">
      <c r="AG20" s="1304"/>
      <c r="AH20" s="1304"/>
      <c r="AI20" s="1304"/>
      <c r="AJ20" s="1304"/>
      <c r="AK20" s="1304"/>
      <c r="AL20" s="1304"/>
      <c r="AM20" s="1304"/>
      <c r="AN20" s="1304"/>
      <c r="AO20" s="1304"/>
      <c r="AP20" s="1304"/>
      <c r="AQ20" s="1304"/>
      <c r="AR20" s="1304"/>
      <c r="AS20" s="1304"/>
      <c r="AT20" s="1304"/>
      <c r="AU20" s="1304"/>
      <c r="AV20" s="1304"/>
      <c r="AW20" s="1304"/>
      <c r="AX20" s="1304"/>
      <c r="AY20" s="1304"/>
      <c r="AZ20" s="1304"/>
      <c r="BA20" s="1304"/>
      <c r="BB20" s="1304"/>
      <c r="BC20" s="1304"/>
      <c r="BD20" s="1304"/>
      <c r="BE20" s="1304"/>
      <c r="BF20" s="1304"/>
      <c r="BG20" s="1304"/>
      <c r="BH20" s="1304"/>
      <c r="BI20" s="1304"/>
      <c r="BJ20" s="1304"/>
      <c r="BK20" s="1304"/>
      <c r="BL20" s="1304"/>
      <c r="BM20" s="1304"/>
      <c r="BN20" s="1304"/>
      <c r="BO20" s="1304"/>
      <c r="BP20" s="1304"/>
      <c r="BQ20" s="1304"/>
      <c r="BR20" s="1304"/>
      <c r="BS20" s="1304"/>
      <c r="BT20" s="1304"/>
      <c r="BU20" s="1304"/>
      <c r="BV20" s="1304"/>
      <c r="BW20" s="1304"/>
      <c r="BX20" s="1304"/>
      <c r="BY20" s="1304"/>
      <c r="BZ20" s="1304"/>
      <c r="CA20" s="1304"/>
      <c r="CB20" s="1304"/>
      <c r="CC20" s="1304"/>
      <c r="CD20" s="1304"/>
      <c r="CE20" s="1304"/>
      <c r="CF20" s="1304"/>
      <c r="CG20" s="1304"/>
      <c r="CH20" s="1304"/>
      <c r="CI20" s="1304"/>
      <c r="CJ20" s="1304"/>
      <c r="CK20" s="1304"/>
      <c r="CL20" s="1304"/>
      <c r="CM20" s="1304"/>
      <c r="CN20" s="1304"/>
      <c r="CO20" s="1304"/>
      <c r="CP20" s="1304"/>
      <c r="CQ20" s="1304"/>
      <c r="CR20" s="1304"/>
      <c r="CS20" s="1304"/>
      <c r="CT20" s="1304"/>
      <c r="CU20" s="1304"/>
      <c r="CV20" s="1304"/>
      <c r="CW20" s="1304"/>
      <c r="CX20" s="1304"/>
      <c r="CY20" s="1304"/>
      <c r="CZ20" s="1304"/>
      <c r="DA20" s="1304"/>
      <c r="DB20" s="1304"/>
      <c r="DC20" s="1304"/>
      <c r="DD20" s="1304"/>
      <c r="DE20" s="1304"/>
      <c r="DF20" s="1304"/>
      <c r="DG20" s="1304"/>
      <c r="DH20" s="1304"/>
      <c r="DI20" s="1304"/>
      <c r="DJ20" s="1304"/>
      <c r="DK20" s="1304"/>
      <c r="DL20" s="1304"/>
      <c r="DM20" s="1304"/>
      <c r="DN20" s="1304"/>
      <c r="DO20" s="1304"/>
      <c r="DP20" s="1304"/>
      <c r="DQ20" s="1304"/>
      <c r="DR20" s="1304"/>
      <c r="DS20" s="1304"/>
      <c r="DT20" s="1304"/>
      <c r="DU20" s="1304"/>
      <c r="DV20" s="1304"/>
      <c r="DW20" s="1304"/>
      <c r="DX20" s="1304"/>
      <c r="DY20" s="1304"/>
      <c r="DZ20" s="1304"/>
      <c r="EA20" s="1304"/>
      <c r="EB20" s="1304"/>
      <c r="EC20" s="1304"/>
      <c r="ED20" s="1304"/>
      <c r="EE20" s="1304"/>
      <c r="EF20" s="1304"/>
      <c r="EG20" s="1304"/>
      <c r="EH20" s="1304"/>
      <c r="EI20" s="1304"/>
      <c r="EJ20" s="1304"/>
      <c r="EK20" s="1304"/>
      <c r="EL20" s="1304"/>
      <c r="EM20" s="1304"/>
      <c r="EN20" s="1304"/>
      <c r="EO20" s="1304"/>
      <c r="EP20" s="1304"/>
      <c r="EQ20" s="1304"/>
      <c r="ER20" s="1304"/>
      <c r="ES20" s="1304"/>
      <c r="ET20" s="1304"/>
      <c r="EU20" s="1304"/>
      <c r="EV20" s="1304"/>
      <c r="EW20" s="1304"/>
      <c r="EX20" s="1304"/>
      <c r="EY20" s="1304"/>
      <c r="EZ20" s="1304"/>
      <c r="FA20" s="1304"/>
      <c r="FB20" s="1304"/>
      <c r="FC20" s="1304"/>
      <c r="FD20" s="1304"/>
      <c r="FE20" s="1304"/>
      <c r="FF20" s="1304"/>
      <c r="FG20" s="1304"/>
      <c r="FH20" s="1304"/>
      <c r="FI20" s="1304"/>
      <c r="FJ20" s="1304"/>
      <c r="FK20" s="1304"/>
      <c r="FL20" s="1304"/>
      <c r="FM20" s="1304"/>
      <c r="FN20" s="1304"/>
      <c r="FO20" s="1304"/>
      <c r="FP20" s="1304"/>
      <c r="FQ20" s="1304"/>
      <c r="FR20" s="1304"/>
      <c r="FS20" s="1304"/>
      <c r="FT20" s="1304"/>
      <c r="FU20" s="1304"/>
      <c r="FV20" s="1304"/>
      <c r="FW20" s="1304"/>
    </row>
    <row customHeight="1" ht="14.625">
      <c r="E21" s="632">
        <v>15</v>
      </c>
      <c r="AA21" s="657"/>
      <c r="AB21" s="367" cm="1" t="str">
        <f t="array" ref="AB21:AB21">tpl_title</f>
        <v>Кемеровская область / 2026 / ООО "Теплоэнерго" (ИНН:4214046200, КПП:421401001) / ДПР: 2026-2030</v>
      </c>
      <c r="AG21" s="1304"/>
      <c r="AH21" s="1304"/>
      <c r="AI21" s="1304"/>
      <c r="AJ21" s="1304"/>
      <c r="AK21" s="1304"/>
      <c r="AL21" s="1304"/>
      <c r="AM21" s="1304"/>
      <c r="AN21" s="1304"/>
      <c r="AO21" s="1304"/>
      <c r="AP21" s="1304"/>
      <c r="AQ21" s="1304"/>
      <c r="AR21" s="1304"/>
      <c r="AS21" s="1304"/>
      <c r="AT21" s="1304"/>
      <c r="AU21" s="1304"/>
      <c r="AV21" s="1304"/>
      <c r="AW21" s="1304"/>
      <c r="AX21" s="1304"/>
      <c r="AY21" s="1304"/>
      <c r="AZ21" s="1304"/>
      <c r="BA21" s="1304"/>
      <c r="BB21" s="1304"/>
      <c r="BC21" s="1304"/>
      <c r="BD21" s="1304"/>
      <c r="BE21" s="1304"/>
      <c r="BF21" s="1304"/>
      <c r="BG21" s="1304"/>
      <c r="BH21" s="1304"/>
      <c r="BI21" s="1304"/>
      <c r="BJ21" s="1304"/>
      <c r="BK21" s="1304"/>
      <c r="BL21" s="1304"/>
      <c r="BM21" s="1304"/>
      <c r="BN21" s="1304"/>
      <c r="BO21" s="1304"/>
      <c r="BP21" s="1304"/>
      <c r="BQ21" s="1304"/>
      <c r="BR21" s="1304"/>
      <c r="BS21" s="1304"/>
      <c r="BT21" s="1304"/>
      <c r="BU21" s="1304"/>
      <c r="BV21" s="1304"/>
      <c r="BW21" s="1304"/>
      <c r="BX21" s="1304"/>
      <c r="BY21" s="1304"/>
      <c r="BZ21" s="1304"/>
      <c r="CA21" s="1304"/>
      <c r="CB21" s="1304"/>
      <c r="CC21" s="1304"/>
      <c r="CD21" s="1304"/>
      <c r="CE21" s="1304"/>
      <c r="CF21" s="1304"/>
      <c r="CG21" s="1304"/>
      <c r="CH21" s="1304"/>
      <c r="CI21" s="1304"/>
      <c r="CJ21" s="1304"/>
      <c r="CK21" s="1304"/>
      <c r="CL21" s="1304"/>
      <c r="CM21" s="1304"/>
      <c r="CN21" s="1304"/>
      <c r="CO21" s="1304"/>
      <c r="CP21" s="1304"/>
      <c r="CQ21" s="1304"/>
      <c r="CR21" s="1304"/>
      <c r="CS21" s="1304"/>
      <c r="CT21" s="1304"/>
      <c r="CU21" s="1304"/>
      <c r="CV21" s="1304"/>
      <c r="CW21" s="1304"/>
      <c r="CX21" s="1304"/>
      <c r="CY21" s="1304"/>
      <c r="CZ21" s="1304"/>
      <c r="DA21" s="1304"/>
      <c r="DB21" s="1304"/>
      <c r="DC21" s="1304"/>
      <c r="DD21" s="1304"/>
      <c r="DE21" s="1304"/>
      <c r="DF21" s="1304"/>
      <c r="DG21" s="1304"/>
      <c r="DH21" s="1304"/>
      <c r="DI21" s="1304"/>
      <c r="DJ21" s="1304"/>
      <c r="DK21" s="1304"/>
      <c r="DL21" s="1304"/>
      <c r="DM21" s="1304"/>
      <c r="DN21" s="1304"/>
      <c r="DO21" s="1304"/>
      <c r="DP21" s="1304"/>
      <c r="DQ21" s="1304"/>
      <c r="DR21" s="1304"/>
      <c r="DS21" s="1304"/>
      <c r="DT21" s="1304"/>
      <c r="DU21" s="1304"/>
      <c r="DV21" s="1304"/>
      <c r="DW21" s="1304"/>
      <c r="DX21" s="1304"/>
      <c r="DY21" s="1304"/>
      <c r="DZ21" s="1304"/>
      <c r="EA21" s="1304"/>
      <c r="EB21" s="1304"/>
      <c r="EC21" s="1304"/>
      <c r="ED21" s="1304"/>
      <c r="EE21" s="1304"/>
      <c r="EF21" s="1304"/>
      <c r="EG21" s="1304"/>
      <c r="EH21" s="1304"/>
      <c r="EI21" s="1304"/>
      <c r="EJ21" s="1304"/>
      <c r="EK21" s="1304"/>
      <c r="EL21" s="1304"/>
      <c r="EM21" s="1304"/>
      <c r="EN21" s="1304"/>
      <c r="EO21" s="1304"/>
      <c r="EP21" s="1304"/>
      <c r="EQ21" s="1304"/>
      <c r="ER21" s="1304"/>
      <c r="ES21" s="1304"/>
      <c r="ET21" s="1304"/>
      <c r="EU21" s="1304"/>
      <c r="EV21" s="1304"/>
      <c r="EW21" s="1304"/>
      <c r="EX21" s="1304"/>
      <c r="EY21" s="1304"/>
      <c r="EZ21" s="1304"/>
      <c r="FA21" s="1304"/>
      <c r="FB21" s="1304"/>
      <c r="FC21" s="1304"/>
      <c r="FD21" s="1304"/>
      <c r="FE21" s="1304"/>
      <c r="FF21" s="1304"/>
      <c r="FG21" s="1304"/>
      <c r="FH21" s="1304"/>
      <c r="FI21" s="1304"/>
      <c r="FJ21" s="1304"/>
      <c r="FK21" s="1304"/>
      <c r="FL21" s="1304"/>
      <c r="FM21" s="1304"/>
      <c r="FN21" s="1304"/>
      <c r="FO21" s="1304"/>
      <c r="FP21" s="1304"/>
      <c r="FQ21" s="1304"/>
      <c r="FR21" s="1304"/>
      <c r="FS21" s="1304"/>
      <c r="FT21" s="1304"/>
      <c r="FU21" s="1304"/>
      <c r="FV21" s="1304"/>
      <c r="FW21" s="1304"/>
    </row>
    <row s="1426" customFormat="1" customHeight="1" ht="23.400000000000002">
      <c r="B22" s="839"/>
      <c r="E22" s="633">
        <v>24</v>
      </c>
      <c r="F22" s="494"/>
      <c r="S22" s="493"/>
      <c r="AB22" s="320" t="s">
        <v>83</v>
      </c>
      <c r="AC22" s="285"/>
      <c r="AD22" s="285"/>
      <c r="AE22" s="285"/>
      <c r="AF22" s="285"/>
      <c r="AG22" s="285"/>
      <c r="AH22" s="285"/>
      <c r="AI22" s="285"/>
      <c r="AJ22" s="285"/>
      <c r="AK22" s="285"/>
      <c r="AL22" s="285"/>
      <c r="AM22" s="285"/>
      <c r="AN22" s="285"/>
      <c r="AO22" s="285"/>
      <c r="AP22" s="285"/>
      <c r="AQ22" s="285"/>
      <c r="AR22" s="285"/>
      <c r="AS22" s="285"/>
      <c r="AT22" s="285"/>
      <c r="AU22" s="285"/>
      <c r="AV22" s="285"/>
      <c r="AW22" s="285"/>
      <c r="AX22" s="285"/>
      <c r="AY22" s="285"/>
      <c r="AZ22" s="285"/>
      <c r="BA22" s="285"/>
      <c r="BB22" s="285"/>
      <c r="BC22" s="285"/>
      <c r="BD22" s="285"/>
      <c r="BE22" s="285"/>
      <c r="BF22" s="285"/>
      <c r="BG22" s="285"/>
      <c r="BH22" s="285"/>
      <c r="BI22" s="285"/>
      <c r="BJ22" s="285"/>
      <c r="BK22" s="285"/>
      <c r="BL22" s="285"/>
      <c r="BM22" s="285"/>
      <c r="BN22" s="285"/>
      <c r="BO22" s="285"/>
      <c r="BP22" s="285"/>
      <c r="BQ22" s="285"/>
      <c r="BR22" s="285"/>
      <c r="BS22" s="285"/>
      <c r="BT22" s="285"/>
      <c r="BU22" s="285"/>
      <c r="BV22" s="285"/>
      <c r="BW22" s="285"/>
      <c r="BX22" s="285"/>
      <c r="BY22" s="285"/>
      <c r="BZ22" s="285"/>
      <c r="CA22" s="285"/>
      <c r="CB22" s="285"/>
      <c r="CC22" s="285"/>
      <c r="CD22" s="285"/>
      <c r="CE22" s="285"/>
      <c r="CF22" s="285"/>
      <c r="CG22" s="285"/>
      <c r="CH22" s="285"/>
      <c r="CI22" s="285"/>
      <c r="CJ22" s="285"/>
      <c r="CK22" s="285"/>
      <c r="CL22" s="285"/>
      <c r="CM22" s="285"/>
      <c r="CN22" s="285"/>
      <c r="CO22" s="285"/>
      <c r="CP22" s="285"/>
      <c r="CQ22" s="285"/>
      <c r="CR22" s="285"/>
      <c r="CS22" s="285"/>
      <c r="CT22" s="285"/>
      <c r="CU22" s="285"/>
      <c r="CV22" s="285"/>
      <c r="CW22" s="285"/>
      <c r="CX22" s="285"/>
      <c r="CY22" s="285"/>
      <c r="CZ22" s="285"/>
      <c r="DA22" s="285"/>
      <c r="DB22" s="285"/>
      <c r="DC22" s="285"/>
      <c r="DD22" s="285"/>
      <c r="DE22" s="285"/>
      <c r="DF22" s="285"/>
      <c r="DG22" s="285"/>
      <c r="DH22" s="285"/>
      <c r="DI22" s="285"/>
      <c r="DJ22" s="285"/>
      <c r="DK22" s="285"/>
      <c r="DL22" s="285"/>
      <c r="DM22" s="285"/>
      <c r="DN22" s="285"/>
      <c r="DO22" s="285"/>
      <c r="DP22" s="285"/>
      <c r="DQ22" s="285"/>
      <c r="DR22" s="285"/>
      <c r="DS22" s="285"/>
      <c r="DT22" s="285"/>
      <c r="DU22" s="285"/>
      <c r="DV22" s="285"/>
      <c r="DW22" s="285"/>
      <c r="DX22" s="285"/>
      <c r="DY22" s="285"/>
      <c r="DZ22" s="285"/>
      <c r="EA22" s="285"/>
      <c r="EB22" s="285"/>
      <c r="EC22" s="285"/>
      <c r="ED22" s="285"/>
      <c r="EE22" s="285"/>
      <c r="EF22" s="285"/>
      <c r="EG22" s="285"/>
      <c r="EH22" s="285"/>
      <c r="EI22" s="285"/>
      <c r="EJ22" s="285"/>
      <c r="EK22" s="285"/>
      <c r="EL22" s="285"/>
      <c r="EM22" s="285"/>
      <c r="EN22" s="285"/>
      <c r="EO22" s="285"/>
      <c r="EP22" s="285"/>
      <c r="EQ22" s="285"/>
      <c r="ER22" s="285"/>
      <c r="ES22" s="285"/>
      <c r="ET22" s="285"/>
      <c r="EU22" s="285"/>
      <c r="EV22" s="285"/>
      <c r="EW22" s="285"/>
      <c r="EX22" s="285"/>
      <c r="EY22" s="285"/>
      <c r="EZ22" s="285"/>
      <c r="FA22" s="285"/>
      <c r="FB22" s="285"/>
      <c r="FC22" s="285"/>
      <c r="FD22" s="285"/>
      <c r="FE22" s="285"/>
      <c r="FF22" s="285"/>
      <c r="FG22" s="285"/>
      <c r="FH22" s="285"/>
      <c r="FI22" s="285"/>
      <c r="FJ22" s="285"/>
      <c r="FK22" s="285"/>
      <c r="FL22" s="285"/>
      <c r="FM22" s="285"/>
      <c r="FN22" s="285"/>
      <c r="FO22" s="285"/>
      <c r="FP22" s="285"/>
      <c r="FQ22" s="285"/>
      <c r="FR22" s="285"/>
      <c r="FS22" s="285"/>
      <c r="FT22" s="285"/>
      <c r="FU22" s="285"/>
      <c r="FV22" s="285"/>
      <c r="FW22" s="285"/>
      <c r="FZ22" s="1018"/>
      <c r="GA22" s="1018"/>
      <c r="GB22" s="1018"/>
      <c r="GC22" s="633"/>
      <c r="GD22" s="633"/>
    </row>
    <row customHeight="1" ht="10.96875">
      <c r="E23" s="632">
        <v>11.25</v>
      </c>
      <c r="AB23" s="144"/>
      <c r="AD23" s="144"/>
      <c r="AG23" s="1304"/>
      <c r="AH23" s="1304"/>
      <c r="AI23" s="1304"/>
      <c r="AJ23" s="1304"/>
      <c r="AK23" s="1304"/>
      <c r="AL23" s="1304"/>
      <c r="AM23" s="1304"/>
      <c r="AN23" s="1304"/>
      <c r="AO23" s="1304"/>
      <c r="AP23" s="1304"/>
      <c r="AQ23" s="1304"/>
      <c r="AR23" s="1304"/>
      <c r="AS23" s="1304"/>
      <c r="AT23" s="1304"/>
      <c r="AU23" s="1304"/>
      <c r="AV23" s="1304"/>
      <c r="AW23" s="1304"/>
      <c r="AX23" s="1304"/>
      <c r="AY23" s="1304"/>
      <c r="AZ23" s="1304"/>
      <c r="BA23" s="1304"/>
      <c r="BB23" s="1304"/>
      <c r="BC23" s="1304"/>
      <c r="BD23" s="1304"/>
      <c r="BE23" s="1304"/>
      <c r="BF23" s="1304"/>
      <c r="BG23" s="1304"/>
      <c r="BH23" s="1304"/>
      <c r="BI23" s="1304"/>
      <c r="BJ23" s="1304"/>
      <c r="BK23" s="1304"/>
      <c r="BL23" s="1304"/>
      <c r="BM23" s="1304"/>
      <c r="BN23" s="1304"/>
      <c r="BO23" s="1304"/>
      <c r="BP23" s="1304"/>
      <c r="BQ23" s="1304"/>
      <c r="BR23" s="1304"/>
      <c r="BS23" s="1304"/>
      <c r="BT23" s="1304"/>
      <c r="BU23" s="1304"/>
      <c r="BV23" s="1304"/>
      <c r="BW23" s="1304"/>
      <c r="BX23" s="1304"/>
      <c r="BY23" s="1304"/>
      <c r="BZ23" s="1304"/>
      <c r="CA23" s="1304"/>
      <c r="CB23" s="1304"/>
      <c r="CC23" s="1304"/>
      <c r="CD23" s="1304"/>
      <c r="CE23" s="1304"/>
      <c r="CF23" s="1304"/>
      <c r="CG23" s="1304"/>
      <c r="CH23" s="1304"/>
      <c r="CI23" s="1304"/>
      <c r="CJ23" s="1304"/>
      <c r="CK23" s="1304"/>
      <c r="CL23" s="1304"/>
      <c r="CM23" s="1304"/>
      <c r="CN23" s="1304"/>
      <c r="CO23" s="1304"/>
      <c r="CP23" s="1304"/>
      <c r="CQ23" s="1304"/>
      <c r="CR23" s="1304"/>
      <c r="CS23" s="1304"/>
      <c r="CT23" s="1304"/>
      <c r="CU23" s="1304"/>
      <c r="CV23" s="1304"/>
      <c r="CW23" s="1304"/>
      <c r="CX23" s="1304"/>
      <c r="CY23" s="1304"/>
      <c r="CZ23" s="1304"/>
      <c r="DA23" s="1304"/>
      <c r="DB23" s="1304"/>
      <c r="DC23" s="1304"/>
      <c r="DD23" s="1304"/>
      <c r="DE23" s="1304"/>
      <c r="DF23" s="1304"/>
      <c r="DG23" s="1304"/>
      <c r="DH23" s="1304"/>
      <c r="DI23" s="1304"/>
      <c r="DJ23" s="1304"/>
      <c r="DK23" s="1304"/>
      <c r="DL23" s="1304"/>
      <c r="DM23" s="1304"/>
      <c r="DN23" s="1304"/>
      <c r="DO23" s="1304"/>
      <c r="DP23" s="1304"/>
      <c r="DQ23" s="1304"/>
      <c r="DR23" s="1304"/>
      <c r="DS23" s="1304"/>
      <c r="DT23" s="1304"/>
      <c r="DU23" s="1304"/>
      <c r="DV23" s="1304"/>
      <c r="DW23" s="1304"/>
      <c r="DX23" s="1304"/>
      <c r="DY23" s="1304"/>
      <c r="DZ23" s="1304"/>
      <c r="EA23" s="1304"/>
      <c r="EB23" s="1304"/>
      <c r="EC23" s="1304"/>
      <c r="ED23" s="1304"/>
      <c r="EE23" s="1304"/>
      <c r="EF23" s="1304"/>
      <c r="EG23" s="1304"/>
      <c r="EH23" s="1304"/>
      <c r="EI23" s="1304"/>
      <c r="EJ23" s="1304"/>
      <c r="EK23" s="1304"/>
      <c r="EL23" s="1304"/>
      <c r="EM23" s="1304"/>
      <c r="EN23" s="1304"/>
      <c r="EO23" s="1304"/>
      <c r="EP23" s="1304"/>
      <c r="EQ23" s="1304"/>
      <c r="ER23" s="1304"/>
      <c r="ES23" s="1304"/>
      <c r="ET23" s="1304"/>
      <c r="EU23" s="1304"/>
      <c r="EV23" s="1304"/>
      <c r="EW23" s="1304"/>
      <c r="EX23" s="1304"/>
      <c r="EY23" s="1304"/>
      <c r="EZ23" s="1304"/>
      <c r="FA23" s="1304"/>
      <c r="FB23" s="1304"/>
      <c r="FC23" s="1304"/>
      <c r="FD23" s="1304"/>
      <c r="FE23" s="1304"/>
      <c r="FF23" s="1304"/>
      <c r="FG23" s="1304"/>
      <c r="FH23" s="1304"/>
      <c r="FI23" s="1304"/>
      <c r="FJ23" s="1304"/>
      <c r="FK23" s="1304"/>
      <c r="FL23" s="1304"/>
      <c r="FM23" s="1304"/>
      <c r="FN23" s="1304"/>
      <c r="FO23" s="1304"/>
      <c r="FP23" s="1304"/>
      <c r="FQ23" s="1304"/>
      <c r="FR23" s="1304"/>
      <c r="FS23" s="1304"/>
      <c r="FT23" s="1304"/>
      <c r="FU23" s="1304"/>
      <c r="FV23" s="1304"/>
      <c r="FW23" s="1304"/>
    </row>
    <row s="1426" customFormat="1" customHeight="1" ht="19.0125">
      <c r="A24" s="1426"/>
      <c r="B24" s="493"/>
      <c r="C24" s="1426"/>
      <c r="D24" s="1426"/>
      <c r="E24" s="633">
        <v>19.5</v>
      </c>
      <c r="F24" s="494"/>
      <c r="G24" s="1426"/>
      <c r="H24" s="1426"/>
      <c r="I24" s="1426"/>
      <c r="J24" s="1426"/>
      <c r="K24" s="1426"/>
      <c r="L24" s="1426"/>
      <c r="M24" s="1426"/>
      <c r="N24" s="1426"/>
      <c r="O24" s="1426"/>
      <c r="P24" s="1426"/>
      <c r="Q24" s="1426"/>
      <c r="R24" s="1426"/>
      <c r="S24" s="1426"/>
      <c r="T24" s="465">
        <f>OR(hasVS,hasVO)</f>
        <v>1</v>
      </c>
      <c r="U24" s="1426"/>
      <c r="V24" s="1426"/>
      <c r="W24" s="1426"/>
      <c r="X24" s="1426"/>
      <c r="Y24" s="1426"/>
      <c r="Z24" s="1426"/>
      <c r="AA24" s="386"/>
      <c r="AB24" s="407" t="s">
        <v>83</v>
      </c>
      <c r="AC24" s="370"/>
      <c r="AD24" s="370"/>
      <c r="AE24" s="370"/>
      <c r="AF24" s="370"/>
      <c r="AG24" s="370"/>
      <c r="AH24" s="370"/>
      <c r="AI24" s="370"/>
      <c r="AJ24" s="370"/>
      <c r="AK24" s="370"/>
      <c r="AL24" s="370"/>
      <c r="AM24" s="370"/>
      <c r="AN24" s="370"/>
      <c r="AO24" s="370"/>
      <c r="AP24" s="370"/>
      <c r="AQ24" s="370"/>
      <c r="AR24" s="370"/>
      <c r="AS24" s="370"/>
      <c r="AT24" s="370"/>
      <c r="AU24" s="370"/>
      <c r="AV24" s="370"/>
      <c r="AW24" s="370"/>
      <c r="AX24" s="370"/>
      <c r="AY24" s="370"/>
      <c r="AZ24" s="370"/>
      <c r="BA24" s="370"/>
      <c r="BB24" s="370"/>
      <c r="BC24" s="370"/>
      <c r="BD24" s="370"/>
      <c r="BE24" s="370"/>
      <c r="BF24" s="370"/>
      <c r="BG24" s="371"/>
      <c r="BH24" s="371"/>
      <c r="BI24" s="371"/>
      <c r="BJ24" s="371"/>
      <c r="BK24" s="371"/>
      <c r="BL24" s="371"/>
      <c r="BM24" s="371"/>
      <c r="BN24" s="371"/>
      <c r="BO24" s="371"/>
      <c r="BP24" s="371"/>
      <c r="BQ24" s="371"/>
      <c r="BR24" s="371"/>
      <c r="BS24" s="371"/>
      <c r="BT24" s="371"/>
      <c r="BU24" s="371"/>
      <c r="BV24" s="371"/>
      <c r="BW24" s="371"/>
      <c r="BX24" s="371"/>
      <c r="BY24" s="371"/>
      <c r="BZ24" s="371"/>
      <c r="CA24" s="371"/>
      <c r="CB24" s="371"/>
      <c r="CC24" s="371"/>
      <c r="CD24" s="371"/>
      <c r="CE24" s="371"/>
      <c r="CF24" s="371"/>
      <c r="CG24" s="371"/>
      <c r="CH24" s="371"/>
      <c r="CI24" s="371"/>
      <c r="CJ24" s="371"/>
      <c r="CK24" s="371"/>
      <c r="CL24" s="371"/>
      <c r="CM24" s="371"/>
      <c r="CN24" s="371"/>
      <c r="CO24" s="371"/>
      <c r="CP24" s="371"/>
      <c r="CQ24" s="371"/>
      <c r="CR24" s="371"/>
      <c r="CS24" s="371"/>
      <c r="CT24" s="371"/>
      <c r="CU24" s="371"/>
      <c r="CV24" s="371"/>
      <c r="CW24" s="371"/>
      <c r="CX24" s="371"/>
      <c r="CY24" s="371"/>
      <c r="CZ24" s="371"/>
      <c r="DA24" s="371"/>
      <c r="DB24" s="371"/>
      <c r="DC24" s="371"/>
      <c r="DD24" s="371"/>
      <c r="DE24" s="371"/>
      <c r="DF24" s="371"/>
      <c r="DG24" s="371"/>
      <c r="DH24" s="371"/>
      <c r="DI24" s="371"/>
      <c r="DJ24" s="371"/>
      <c r="DK24" s="371"/>
      <c r="DL24" s="371"/>
      <c r="DM24" s="371"/>
      <c r="DN24" s="371"/>
      <c r="DO24" s="371"/>
      <c r="DP24" s="371"/>
      <c r="DQ24" s="371"/>
      <c r="DR24" s="371"/>
      <c r="DS24" s="371"/>
      <c r="DT24" s="371"/>
      <c r="DU24" s="371"/>
      <c r="DV24" s="371"/>
      <c r="DW24" s="371"/>
      <c r="DX24" s="371"/>
      <c r="DY24" s="371"/>
      <c r="DZ24" s="371"/>
      <c r="EA24" s="371"/>
      <c r="EB24" s="371"/>
      <c r="EC24" s="371"/>
      <c r="ED24" s="371"/>
      <c r="EE24" s="371"/>
      <c r="EF24" s="371"/>
      <c r="EG24" s="371"/>
      <c r="EH24" s="371"/>
      <c r="EI24" s="371"/>
      <c r="EJ24" s="371"/>
      <c r="EK24" s="371"/>
      <c r="EL24" s="371"/>
      <c r="EM24" s="371"/>
      <c r="EN24" s="371"/>
      <c r="EO24" s="371"/>
      <c r="EP24" s="371"/>
      <c r="EQ24" s="371"/>
      <c r="ER24" s="371"/>
      <c r="ES24" s="371"/>
      <c r="ET24" s="371"/>
      <c r="EU24" s="371"/>
      <c r="EV24" s="371"/>
      <c r="EW24" s="371"/>
      <c r="EX24" s="371"/>
      <c r="EY24" s="371"/>
      <c r="EZ24" s="371"/>
      <c r="FA24" s="371"/>
      <c r="FB24" s="371"/>
      <c r="FC24" s="371"/>
      <c r="FD24" s="371"/>
      <c r="FE24" s="371"/>
      <c r="FF24" s="371"/>
      <c r="FG24" s="371"/>
      <c r="FH24" s="371"/>
      <c r="FI24" s="371"/>
      <c r="FJ24" s="371"/>
      <c r="FK24" s="371"/>
      <c r="FL24" s="371"/>
      <c r="FM24" s="371"/>
      <c r="FN24" s="371"/>
      <c r="FO24" s="371"/>
      <c r="FP24" s="371"/>
      <c r="FQ24" s="371"/>
      <c r="FR24" s="371"/>
      <c r="FS24" s="371"/>
      <c r="FT24" s="371"/>
      <c r="FU24" s="371"/>
      <c r="FV24" s="371"/>
      <c r="FW24" s="371"/>
      <c r="FX24" s="1426"/>
      <c r="FY24" s="1426"/>
      <c r="FZ24" s="1018"/>
      <c r="GA24" s="1018"/>
      <c r="GB24" s="1018"/>
      <c r="GC24" s="633"/>
      <c r="GD24" s="633"/>
    </row>
    <row customHeight="1" ht="10.96875">
      <c r="A25" s="1304"/>
      <c r="B25" s="872"/>
      <c r="C25" s="1304"/>
      <c r="D25" s="1304"/>
      <c r="E25" s="632">
        <v>11.25</v>
      </c>
      <c r="F25" s="1337"/>
      <c r="G25" s="1304"/>
      <c r="H25" s="1304"/>
      <c r="I25" s="1304"/>
      <c r="J25" s="1304"/>
      <c r="K25" s="1304"/>
      <c r="L25" s="1304"/>
      <c r="M25" s="1304"/>
      <c r="N25" s="1304"/>
      <c r="O25" s="1304"/>
      <c r="P25" s="1304"/>
      <c r="Q25" s="1304"/>
      <c r="R25" s="1304"/>
      <c r="S25" s="1304"/>
      <c r="T25" s="465">
        <f>OR(hasVS,hasVO)</f>
        <v>1</v>
      </c>
      <c r="U25" s="1304"/>
      <c r="V25" s="1304"/>
      <c r="W25" s="1304"/>
      <c r="X25" s="1304"/>
      <c r="Y25" s="1304"/>
      <c r="Z25" s="1304"/>
      <c r="AA25" s="1304"/>
      <c r="AB25" s="1564" t="s">
        <v>369</v>
      </c>
      <c r="AC25" s="1564" t="s">
        <v>370</v>
      </c>
      <c r="AD25" s="1633" t="str">
        <f>AD6&amp;" год"</f>
        <v>2026 год</v>
      </c>
      <c r="AE25" s="1634"/>
      <c r="AF25" s="1635"/>
      <c r="AG25" s="1633" t="str">
        <f>AG6&amp;" год"</f>
        <v>2027 год</v>
      </c>
      <c r="AH25" s="1634"/>
      <c r="AI25" s="1635"/>
      <c r="AJ25" s="1633" t="str">
        <f>AJ6&amp;" год"</f>
        <v>2028 год</v>
      </c>
      <c r="AK25" s="1634"/>
      <c r="AL25" s="1635"/>
      <c r="AM25" s="1633" t="str">
        <f>AM6&amp;" год"</f>
        <v>2029 год</v>
      </c>
      <c r="AN25" s="1634"/>
      <c r="AO25" s="1635"/>
      <c r="AP25" s="1633" t="str">
        <f>AP6&amp;" год"</f>
        <v>2030 год</v>
      </c>
      <c r="AQ25" s="1634"/>
      <c r="AR25" s="1635"/>
      <c r="AS25" s="1633" t="str">
        <f>AS6&amp;" год"</f>
        <v>2031 год</v>
      </c>
      <c r="AT25" s="1634"/>
      <c r="AU25" s="1635"/>
      <c r="AV25" s="1633" t="str">
        <f>AV6&amp;" год"</f>
        <v>2032 год</v>
      </c>
      <c r="AW25" s="1634"/>
      <c r="AX25" s="1635"/>
      <c r="AY25" s="1633" t="str">
        <f>AY6&amp;" год"</f>
        <v>2033 год</v>
      </c>
      <c r="AZ25" s="1634"/>
      <c r="BA25" s="1635"/>
      <c r="BB25" s="1633" t="str">
        <f>BB6&amp;" год"</f>
        <v>2034 год</v>
      </c>
      <c r="BC25" s="1634"/>
      <c r="BD25" s="1635"/>
      <c r="BE25" s="1633" t="str">
        <f>BE6&amp;" год"</f>
        <v>2035 год</v>
      </c>
      <c r="BF25" s="1634"/>
      <c r="BG25" s="1635"/>
      <c r="BH25" s="1633" t="str">
        <f>BH6&amp;" год"</f>
        <v>2036 год</v>
      </c>
      <c r="BI25" s="1634"/>
      <c r="BJ25" s="1635"/>
      <c r="BK25" s="1633" t="str">
        <f>BK6&amp;" год"</f>
        <v>2037 год</v>
      </c>
      <c r="BL25" s="1634"/>
      <c r="BM25" s="1635"/>
      <c r="BN25" s="1633" t="str">
        <f>BN6&amp;" год"</f>
        <v>2038 год</v>
      </c>
      <c r="BO25" s="1634"/>
      <c r="BP25" s="1635"/>
      <c r="BQ25" s="1633" t="str">
        <f>BQ6&amp;" год"</f>
        <v>2039 год</v>
      </c>
      <c r="BR25" s="1634"/>
      <c r="BS25" s="1635"/>
      <c r="BT25" s="1633" t="str">
        <f>BT6&amp;" год"</f>
        <v>2040 год</v>
      </c>
      <c r="BU25" s="1634"/>
      <c r="BV25" s="1635"/>
      <c r="BW25" s="1633" t="str">
        <f>BW6&amp;" год"</f>
        <v>2041 год</v>
      </c>
      <c r="BX25" s="1634"/>
      <c r="BY25" s="1635"/>
      <c r="BZ25" s="1633" t="str">
        <f>BZ6&amp;" год"</f>
        <v>2042 год</v>
      </c>
      <c r="CA25" s="1634"/>
      <c r="CB25" s="1635"/>
      <c r="CC25" s="1633" t="str">
        <f>CC6&amp;" год"</f>
        <v>2043 год</v>
      </c>
      <c r="CD25" s="1634"/>
      <c r="CE25" s="1635"/>
      <c r="CF25" s="1633" t="str">
        <f>CF6&amp;" год"</f>
        <v>2044 год</v>
      </c>
      <c r="CG25" s="1634"/>
      <c r="CH25" s="1635"/>
      <c r="CI25" s="1633" t="str">
        <f>CI6&amp;" год"</f>
        <v>2045 год</v>
      </c>
      <c r="CJ25" s="1634"/>
      <c r="CK25" s="1635"/>
      <c r="CL25" s="1633" t="str">
        <f>CL6&amp;" год"</f>
        <v>2046 год</v>
      </c>
      <c r="CM25" s="1634"/>
      <c r="CN25" s="1635"/>
      <c r="CO25" s="1633" t="str">
        <f>CO6&amp;" год"</f>
        <v>2047 год</v>
      </c>
      <c r="CP25" s="1634"/>
      <c r="CQ25" s="1635"/>
      <c r="CR25" s="1633" t="str">
        <f>CR6&amp;" год"</f>
        <v>2048 год</v>
      </c>
      <c r="CS25" s="1634"/>
      <c r="CT25" s="1635"/>
      <c r="CU25" s="1633" t="str">
        <f>CU6&amp;" год"</f>
        <v>2049 год</v>
      </c>
      <c r="CV25" s="1634"/>
      <c r="CW25" s="1635"/>
      <c r="CX25" s="1633" t="str">
        <f>CX6&amp;" год"</f>
        <v>2050 год</v>
      </c>
      <c r="CY25" s="1634"/>
      <c r="CZ25" s="1635"/>
      <c r="DA25" s="1633" t="str">
        <f>DA6&amp;" год"</f>
        <v>2051 год</v>
      </c>
      <c r="DB25" s="1634"/>
      <c r="DC25" s="1635"/>
      <c r="DD25" s="1633" t="str">
        <f>DD6&amp;" год"</f>
        <v>2052 год</v>
      </c>
      <c r="DE25" s="1634"/>
      <c r="DF25" s="1635"/>
      <c r="DG25" s="1633" t="str">
        <f>DG6&amp;" год"</f>
        <v>2053 год</v>
      </c>
      <c r="DH25" s="1634"/>
      <c r="DI25" s="1635"/>
      <c r="DJ25" s="1633" t="str">
        <f>DJ6&amp;" год"</f>
        <v>2054 год</v>
      </c>
      <c r="DK25" s="1634"/>
      <c r="DL25" s="1635"/>
      <c r="DM25" s="1633" t="str">
        <f>DM6&amp;" год"</f>
        <v>2055 год</v>
      </c>
      <c r="DN25" s="1634"/>
      <c r="DO25" s="1635"/>
      <c r="DP25" s="1633" t="str">
        <f>DP6&amp;" год"</f>
        <v>2056 год</v>
      </c>
      <c r="DQ25" s="1634"/>
      <c r="DR25" s="1635"/>
      <c r="DS25" s="1633" t="str">
        <f>DS6&amp;" год"</f>
        <v>2057 год</v>
      </c>
      <c r="DT25" s="1634"/>
      <c r="DU25" s="1635"/>
      <c r="DV25" s="1633" t="str">
        <f>DV6&amp;" год"</f>
        <v>2058 год</v>
      </c>
      <c r="DW25" s="1634"/>
      <c r="DX25" s="1635"/>
      <c r="DY25" s="1633" t="str">
        <f>DY6&amp;" год"</f>
        <v>2059 год</v>
      </c>
      <c r="DZ25" s="1634"/>
      <c r="EA25" s="1635"/>
      <c r="EB25" s="1633" t="str">
        <f>EB6&amp;" год"</f>
        <v>2060 год</v>
      </c>
      <c r="EC25" s="1634"/>
      <c r="ED25" s="1635"/>
      <c r="EE25" s="1633" t="str">
        <f>EE6&amp;" год"</f>
        <v>2061 год</v>
      </c>
      <c r="EF25" s="1634"/>
      <c r="EG25" s="1635"/>
      <c r="EH25" s="1633" t="str">
        <f>EH6&amp;" год"</f>
        <v>2062 год</v>
      </c>
      <c r="EI25" s="1634"/>
      <c r="EJ25" s="1635"/>
      <c r="EK25" s="1633" t="str">
        <f>EK6&amp;" год"</f>
        <v>2063 год</v>
      </c>
      <c r="EL25" s="1634"/>
      <c r="EM25" s="1635"/>
      <c r="EN25" s="1633" t="str">
        <f>EN6&amp;" год"</f>
        <v>2064 год</v>
      </c>
      <c r="EO25" s="1634"/>
      <c r="EP25" s="1635"/>
      <c r="EQ25" s="1633" t="str">
        <f>EQ6&amp;" год"</f>
        <v>2065 год</v>
      </c>
      <c r="ER25" s="1634"/>
      <c r="ES25" s="1635"/>
      <c r="ET25" s="1633" t="str">
        <f>ET6&amp;" год"</f>
        <v>2066 год</v>
      </c>
      <c r="EU25" s="1634"/>
      <c r="EV25" s="1635"/>
      <c r="EW25" s="1633" t="str">
        <f>EW6&amp;" год"</f>
        <v>2067 год</v>
      </c>
      <c r="EX25" s="1634"/>
      <c r="EY25" s="1635"/>
      <c r="EZ25" s="1633" t="str">
        <f>EZ6&amp;" год"</f>
        <v>2068 год</v>
      </c>
      <c r="FA25" s="1634"/>
      <c r="FB25" s="1635"/>
      <c r="FC25" s="1633" t="str">
        <f>FC6&amp;" год"</f>
        <v>2069 год</v>
      </c>
      <c r="FD25" s="1634"/>
      <c r="FE25" s="1635"/>
      <c r="FF25" s="1633" t="str">
        <f>FF6&amp;" год"</f>
        <v>2070 год</v>
      </c>
      <c r="FG25" s="1634"/>
      <c r="FH25" s="1635"/>
      <c r="FI25" s="1633" t="str">
        <f>FI6&amp;" год"</f>
        <v>2071 год</v>
      </c>
      <c r="FJ25" s="1634"/>
      <c r="FK25" s="1635"/>
      <c r="FL25" s="1633" t="str">
        <f>FL6&amp;" год"</f>
        <v>2072 год</v>
      </c>
      <c r="FM25" s="1634"/>
      <c r="FN25" s="1635"/>
      <c r="FO25" s="1633" t="str">
        <f>FO6&amp;" год"</f>
        <v>2073 год</v>
      </c>
      <c r="FP25" s="1634"/>
      <c r="FQ25" s="1635"/>
      <c r="FR25" s="1633" t="str">
        <f>FR6&amp;" год"</f>
        <v>2074 год</v>
      </c>
      <c r="FS25" s="1634"/>
      <c r="FT25" s="1635"/>
      <c r="FU25" s="1633" t="str">
        <f>FU6&amp;" год"</f>
        <v>2075 год</v>
      </c>
      <c r="FV25" s="1634"/>
      <c r="FW25" s="1635"/>
      <c r="FX25" s="1304"/>
      <c r="FY25" s="1304"/>
      <c r="FZ25" s="1306"/>
      <c r="GA25" s="1306"/>
      <c r="GB25" s="1306"/>
      <c r="GC25" s="1305"/>
      <c r="GD25" s="1305"/>
    </row>
    <row customHeight="1" ht="33.39375">
      <c r="A26" s="1304"/>
      <c r="B26" s="872"/>
      <c r="C26" s="1304"/>
      <c r="D26" s="1304"/>
      <c r="E26" s="632">
        <v>34.25</v>
      </c>
      <c r="F26" s="1337"/>
      <c r="G26" s="1304"/>
      <c r="H26" s="1304"/>
      <c r="I26" s="1304"/>
      <c r="J26" s="1304"/>
      <c r="K26" s="1304"/>
      <c r="L26" s="1304"/>
      <c r="M26" s="1304"/>
      <c r="N26" s="1304"/>
      <c r="O26" s="1304"/>
      <c r="P26" s="1304"/>
      <c r="Q26" s="1304"/>
      <c r="R26" s="1304"/>
      <c r="S26" s="1304"/>
      <c r="T26" s="465">
        <f>OR(hasVS,hasVO)</f>
        <v>1</v>
      </c>
      <c r="U26" s="1304"/>
      <c r="V26" s="1304"/>
      <c r="W26" s="1304"/>
      <c r="X26" s="1304"/>
      <c r="Y26" s="1304"/>
      <c r="Z26" s="1304"/>
      <c r="AA26" s="1304"/>
      <c r="AB26" s="1564"/>
      <c r="AC26" s="1564"/>
      <c r="AD26" s="1119" t="s">
        <v>363</v>
      </c>
      <c r="AE26" s="93" t="s">
        <v>362</v>
      </c>
      <c r="AF26" s="93" t="s">
        <v>2327</v>
      </c>
      <c r="AG26" s="1119" t="s">
        <v>363</v>
      </c>
      <c r="AH26" s="93" t="s">
        <v>362</v>
      </c>
      <c r="AI26" s="93" t="s">
        <v>2327</v>
      </c>
      <c r="AJ26" s="1119" t="s">
        <v>363</v>
      </c>
      <c r="AK26" s="93" t="s">
        <v>362</v>
      </c>
      <c r="AL26" s="93" t="s">
        <v>2327</v>
      </c>
      <c r="AM26" s="1119" t="s">
        <v>363</v>
      </c>
      <c r="AN26" s="93" t="s">
        <v>362</v>
      </c>
      <c r="AO26" s="93" t="s">
        <v>2327</v>
      </c>
      <c r="AP26" s="1119" t="s">
        <v>363</v>
      </c>
      <c r="AQ26" s="93" t="s">
        <v>362</v>
      </c>
      <c r="AR26" s="93" t="s">
        <v>2327</v>
      </c>
      <c r="AS26" s="1119" t="s">
        <v>363</v>
      </c>
      <c r="AT26" s="93" t="s">
        <v>362</v>
      </c>
      <c r="AU26" s="93" t="s">
        <v>2327</v>
      </c>
      <c r="AV26" s="1119" t="s">
        <v>363</v>
      </c>
      <c r="AW26" s="93" t="s">
        <v>362</v>
      </c>
      <c r="AX26" s="93" t="s">
        <v>2327</v>
      </c>
      <c r="AY26" s="1119" t="s">
        <v>363</v>
      </c>
      <c r="AZ26" s="93" t="s">
        <v>362</v>
      </c>
      <c r="BA26" s="93" t="s">
        <v>2327</v>
      </c>
      <c r="BB26" s="1119" t="s">
        <v>363</v>
      </c>
      <c r="BC26" s="93" t="s">
        <v>362</v>
      </c>
      <c r="BD26" s="93" t="s">
        <v>2327</v>
      </c>
      <c r="BE26" s="1119" t="s">
        <v>363</v>
      </c>
      <c r="BF26" s="93" t="s">
        <v>362</v>
      </c>
      <c r="BG26" s="93" t="s">
        <v>2327</v>
      </c>
      <c r="BH26" s="1119" t="s">
        <v>363</v>
      </c>
      <c r="BI26" s="93" t="s">
        <v>362</v>
      </c>
      <c r="BJ26" s="93" t="s">
        <v>2327</v>
      </c>
      <c r="BK26" s="1119" t="s">
        <v>363</v>
      </c>
      <c r="BL26" s="93" t="s">
        <v>362</v>
      </c>
      <c r="BM26" s="93" t="s">
        <v>2327</v>
      </c>
      <c r="BN26" s="1119" t="s">
        <v>363</v>
      </c>
      <c r="BO26" s="93" t="s">
        <v>362</v>
      </c>
      <c r="BP26" s="93" t="s">
        <v>2327</v>
      </c>
      <c r="BQ26" s="1119" t="s">
        <v>363</v>
      </c>
      <c r="BR26" s="93" t="s">
        <v>362</v>
      </c>
      <c r="BS26" s="93" t="s">
        <v>2327</v>
      </c>
      <c r="BT26" s="1119" t="s">
        <v>363</v>
      </c>
      <c r="BU26" s="93" t="s">
        <v>362</v>
      </c>
      <c r="BV26" s="93" t="s">
        <v>2327</v>
      </c>
      <c r="BW26" s="1119" t="s">
        <v>363</v>
      </c>
      <c r="BX26" s="93" t="s">
        <v>362</v>
      </c>
      <c r="BY26" s="93" t="s">
        <v>2327</v>
      </c>
      <c r="BZ26" s="1119" t="s">
        <v>363</v>
      </c>
      <c r="CA26" s="93" t="s">
        <v>362</v>
      </c>
      <c r="CB26" s="93" t="s">
        <v>2327</v>
      </c>
      <c r="CC26" s="1119" t="s">
        <v>363</v>
      </c>
      <c r="CD26" s="93" t="s">
        <v>362</v>
      </c>
      <c r="CE26" s="93" t="s">
        <v>2327</v>
      </c>
      <c r="CF26" s="1119" t="s">
        <v>363</v>
      </c>
      <c r="CG26" s="93" t="s">
        <v>362</v>
      </c>
      <c r="CH26" s="93" t="s">
        <v>2327</v>
      </c>
      <c r="CI26" s="1119" t="s">
        <v>363</v>
      </c>
      <c r="CJ26" s="93" t="s">
        <v>362</v>
      </c>
      <c r="CK26" s="93" t="s">
        <v>2327</v>
      </c>
      <c r="CL26" s="1119" t="s">
        <v>363</v>
      </c>
      <c r="CM26" s="93" t="s">
        <v>362</v>
      </c>
      <c r="CN26" s="93" t="s">
        <v>2327</v>
      </c>
      <c r="CO26" s="1119" t="s">
        <v>363</v>
      </c>
      <c r="CP26" s="93" t="s">
        <v>362</v>
      </c>
      <c r="CQ26" s="93" t="s">
        <v>2327</v>
      </c>
      <c r="CR26" s="1119" t="s">
        <v>363</v>
      </c>
      <c r="CS26" s="93" t="s">
        <v>362</v>
      </c>
      <c r="CT26" s="93" t="s">
        <v>2327</v>
      </c>
      <c r="CU26" s="1119" t="s">
        <v>363</v>
      </c>
      <c r="CV26" s="93" t="s">
        <v>362</v>
      </c>
      <c r="CW26" s="93" t="s">
        <v>2327</v>
      </c>
      <c r="CX26" s="1119" t="s">
        <v>363</v>
      </c>
      <c r="CY26" s="93" t="s">
        <v>362</v>
      </c>
      <c r="CZ26" s="93" t="s">
        <v>2327</v>
      </c>
      <c r="DA26" s="1119" t="s">
        <v>363</v>
      </c>
      <c r="DB26" s="93" t="s">
        <v>362</v>
      </c>
      <c r="DC26" s="93" t="s">
        <v>2327</v>
      </c>
      <c r="DD26" s="1119" t="s">
        <v>363</v>
      </c>
      <c r="DE26" s="93" t="s">
        <v>362</v>
      </c>
      <c r="DF26" s="93" t="s">
        <v>2327</v>
      </c>
      <c r="DG26" s="1119" t="s">
        <v>363</v>
      </c>
      <c r="DH26" s="93" t="s">
        <v>362</v>
      </c>
      <c r="DI26" s="93" t="s">
        <v>2327</v>
      </c>
      <c r="DJ26" s="1119" t="s">
        <v>363</v>
      </c>
      <c r="DK26" s="93" t="s">
        <v>362</v>
      </c>
      <c r="DL26" s="93" t="s">
        <v>2327</v>
      </c>
      <c r="DM26" s="1119" t="s">
        <v>363</v>
      </c>
      <c r="DN26" s="93" t="s">
        <v>362</v>
      </c>
      <c r="DO26" s="93" t="s">
        <v>2327</v>
      </c>
      <c r="DP26" s="1119" t="s">
        <v>363</v>
      </c>
      <c r="DQ26" s="93" t="s">
        <v>362</v>
      </c>
      <c r="DR26" s="93" t="s">
        <v>2327</v>
      </c>
      <c r="DS26" s="1119" t="s">
        <v>363</v>
      </c>
      <c r="DT26" s="93" t="s">
        <v>362</v>
      </c>
      <c r="DU26" s="93" t="s">
        <v>2327</v>
      </c>
      <c r="DV26" s="1119" t="s">
        <v>363</v>
      </c>
      <c r="DW26" s="93" t="s">
        <v>362</v>
      </c>
      <c r="DX26" s="93" t="s">
        <v>2327</v>
      </c>
      <c r="DY26" s="1119" t="s">
        <v>363</v>
      </c>
      <c r="DZ26" s="93" t="s">
        <v>362</v>
      </c>
      <c r="EA26" s="93" t="s">
        <v>2327</v>
      </c>
      <c r="EB26" s="1119" t="s">
        <v>363</v>
      </c>
      <c r="EC26" s="93" t="s">
        <v>362</v>
      </c>
      <c r="ED26" s="93" t="s">
        <v>2327</v>
      </c>
      <c r="EE26" s="1119" t="s">
        <v>363</v>
      </c>
      <c r="EF26" s="93" t="s">
        <v>362</v>
      </c>
      <c r="EG26" s="93" t="s">
        <v>2327</v>
      </c>
      <c r="EH26" s="1119" t="s">
        <v>363</v>
      </c>
      <c r="EI26" s="93" t="s">
        <v>362</v>
      </c>
      <c r="EJ26" s="93" t="s">
        <v>2327</v>
      </c>
      <c r="EK26" s="1119" t="s">
        <v>363</v>
      </c>
      <c r="EL26" s="93" t="s">
        <v>362</v>
      </c>
      <c r="EM26" s="93" t="s">
        <v>2327</v>
      </c>
      <c r="EN26" s="1119" t="s">
        <v>363</v>
      </c>
      <c r="EO26" s="93" t="s">
        <v>362</v>
      </c>
      <c r="EP26" s="93" t="s">
        <v>2327</v>
      </c>
      <c r="EQ26" s="1119" t="s">
        <v>363</v>
      </c>
      <c r="ER26" s="93" t="s">
        <v>362</v>
      </c>
      <c r="ES26" s="93" t="s">
        <v>2327</v>
      </c>
      <c r="ET26" s="1119" t="s">
        <v>363</v>
      </c>
      <c r="EU26" s="93" t="s">
        <v>362</v>
      </c>
      <c r="EV26" s="93" t="s">
        <v>2327</v>
      </c>
      <c r="EW26" s="1119" t="s">
        <v>363</v>
      </c>
      <c r="EX26" s="93" t="s">
        <v>362</v>
      </c>
      <c r="EY26" s="93" t="s">
        <v>2327</v>
      </c>
      <c r="EZ26" s="1119" t="s">
        <v>363</v>
      </c>
      <c r="FA26" s="93" t="s">
        <v>362</v>
      </c>
      <c r="FB26" s="93" t="s">
        <v>2327</v>
      </c>
      <c r="FC26" s="1119" t="s">
        <v>363</v>
      </c>
      <c r="FD26" s="93" t="s">
        <v>362</v>
      </c>
      <c r="FE26" s="93" t="s">
        <v>2327</v>
      </c>
      <c r="FF26" s="1119" t="s">
        <v>363</v>
      </c>
      <c r="FG26" s="93" t="s">
        <v>362</v>
      </c>
      <c r="FH26" s="93" t="s">
        <v>2327</v>
      </c>
      <c r="FI26" s="1119" t="s">
        <v>363</v>
      </c>
      <c r="FJ26" s="93" t="s">
        <v>362</v>
      </c>
      <c r="FK26" s="93" t="s">
        <v>2327</v>
      </c>
      <c r="FL26" s="1119" t="s">
        <v>363</v>
      </c>
      <c r="FM26" s="93" t="s">
        <v>362</v>
      </c>
      <c r="FN26" s="93" t="s">
        <v>2327</v>
      </c>
      <c r="FO26" s="1119" t="s">
        <v>363</v>
      </c>
      <c r="FP26" s="93" t="s">
        <v>362</v>
      </c>
      <c r="FQ26" s="93" t="s">
        <v>2327</v>
      </c>
      <c r="FR26" s="1119" t="s">
        <v>363</v>
      </c>
      <c r="FS26" s="93" t="s">
        <v>362</v>
      </c>
      <c r="FT26" s="93" t="s">
        <v>2327</v>
      </c>
      <c r="FU26" s="1119" t="s">
        <v>363</v>
      </c>
      <c r="FV26" s="93" t="s">
        <v>362</v>
      </c>
      <c r="FW26" s="93" t="s">
        <v>2327</v>
      </c>
      <c r="FX26" s="1304"/>
      <c r="FY26" s="1304"/>
      <c r="FZ26" s="1306"/>
      <c r="GA26" s="1306"/>
      <c r="GB26" s="1306"/>
      <c r="GC26" s="1305"/>
      <c r="GD26" s="1305"/>
    </row>
    <row customHeight="1" ht="11.25" hidden="1">
      <c r="A27" s="1304"/>
      <c r="B27" s="872"/>
      <c r="C27" s="1304"/>
      <c r="D27" s="1304"/>
      <c r="E27" s="632">
        <v>0</v>
      </c>
      <c r="F27" s="1337"/>
      <c r="G27" s="1304"/>
      <c r="H27" s="1304"/>
      <c r="I27" s="1304"/>
      <c r="J27" s="1304"/>
      <c r="K27" s="1304"/>
      <c r="L27" s="1304"/>
      <c r="M27" s="1304"/>
      <c r="N27" s="1304"/>
      <c r="O27" s="1304"/>
      <c r="P27" s="1304"/>
      <c r="Q27" s="1304"/>
      <c r="R27" s="1304"/>
      <c r="S27" s="1304"/>
      <c r="T27" s="465">
        <f>OR(hasVS,hasVO)</f>
        <v>1</v>
      </c>
      <c r="U27" s="1304"/>
      <c r="V27" s="1304"/>
      <c r="W27" s="1304"/>
      <c r="X27" s="1304"/>
      <c r="Y27" s="1304"/>
      <c r="Z27" s="1304"/>
      <c r="AA27" s="1304"/>
      <c r="AB27" s="204"/>
      <c r="AC27" s="297"/>
      <c r="AD27" s="143"/>
      <c r="AE27" s="143"/>
      <c r="AF27" s="143"/>
      <c r="AG27" s="143"/>
      <c r="AH27" s="143"/>
      <c r="AI27" s="143"/>
      <c r="AJ27" s="143"/>
      <c r="AK27" s="143"/>
      <c r="AL27" s="143"/>
      <c r="AM27" s="143"/>
      <c r="AN27" s="143"/>
      <c r="AO27" s="143"/>
      <c r="AP27" s="143"/>
      <c r="AQ27" s="143"/>
      <c r="AR27" s="143"/>
      <c r="AS27" s="143"/>
      <c r="AT27" s="143"/>
      <c r="AU27" s="143"/>
      <c r="AV27" s="143"/>
      <c r="AW27" s="143"/>
      <c r="AX27" s="143"/>
      <c r="AY27" s="143"/>
      <c r="AZ27" s="143"/>
      <c r="BA27" s="143"/>
      <c r="BB27" s="143"/>
      <c r="BC27" s="143"/>
      <c r="BD27" s="143"/>
      <c r="BE27" s="143"/>
      <c r="BF27" s="143"/>
      <c r="BG27" s="143"/>
      <c r="BH27" s="143"/>
      <c r="BI27" s="143"/>
      <c r="BJ27" s="143"/>
      <c r="BK27" s="143"/>
      <c r="BL27" s="143"/>
      <c r="BM27" s="143"/>
      <c r="BN27" s="143"/>
      <c r="BO27" s="143"/>
      <c r="BP27" s="143"/>
      <c r="BQ27" s="143"/>
      <c r="BR27" s="143"/>
      <c r="BS27" s="143"/>
      <c r="BT27" s="143"/>
      <c r="BU27" s="143"/>
      <c r="BV27" s="143"/>
      <c r="BW27" s="143"/>
      <c r="BX27" s="143"/>
      <c r="BY27" s="143"/>
      <c r="BZ27" s="143"/>
      <c r="CA27" s="143"/>
      <c r="CB27" s="143"/>
      <c r="CC27" s="143"/>
      <c r="CD27" s="143"/>
      <c r="CE27" s="143"/>
      <c r="CF27" s="143"/>
      <c r="CG27" s="143"/>
      <c r="CH27" s="143"/>
      <c r="CI27" s="143"/>
      <c r="CJ27" s="143"/>
      <c r="CK27" s="143"/>
      <c r="CL27" s="143"/>
      <c r="CM27" s="143"/>
      <c r="CN27" s="143"/>
      <c r="CO27" s="143"/>
      <c r="CP27" s="143"/>
      <c r="CQ27" s="143"/>
      <c r="CR27" s="143"/>
      <c r="CS27" s="143"/>
      <c r="CT27" s="143"/>
      <c r="CU27" s="143"/>
      <c r="CV27" s="143"/>
      <c r="CW27" s="143"/>
      <c r="CX27" s="143"/>
      <c r="CY27" s="143"/>
      <c r="CZ27" s="143"/>
      <c r="DA27" s="143"/>
      <c r="DB27" s="143"/>
      <c r="DC27" s="143"/>
      <c r="DD27" s="143"/>
      <c r="DE27" s="143"/>
      <c r="DF27" s="143"/>
      <c r="DG27" s="143"/>
      <c r="DH27" s="143"/>
      <c r="DI27" s="143"/>
      <c r="DJ27" s="143"/>
      <c r="DK27" s="143"/>
      <c r="DL27" s="143"/>
      <c r="DM27" s="143"/>
      <c r="DN27" s="143"/>
      <c r="DO27" s="143"/>
      <c r="DP27" s="143"/>
      <c r="DQ27" s="143"/>
      <c r="DR27" s="143"/>
      <c r="DS27" s="143"/>
      <c r="DT27" s="143"/>
      <c r="DU27" s="143"/>
      <c r="DV27" s="143"/>
      <c r="DW27" s="143"/>
      <c r="DX27" s="143"/>
      <c r="DY27" s="143"/>
      <c r="DZ27" s="143"/>
      <c r="EA27" s="143"/>
      <c r="EB27" s="143"/>
      <c r="EC27" s="143"/>
      <c r="ED27" s="143"/>
      <c r="EE27" s="143"/>
      <c r="EF27" s="143"/>
      <c r="EG27" s="143"/>
      <c r="EH27" s="143"/>
      <c r="EI27" s="143"/>
      <c r="EJ27" s="143"/>
      <c r="EK27" s="143"/>
      <c r="EL27" s="143"/>
      <c r="EM27" s="143"/>
      <c r="EN27" s="143"/>
      <c r="EO27" s="143"/>
      <c r="EP27" s="143"/>
      <c r="EQ27" s="143"/>
      <c r="ER27" s="143"/>
      <c r="ES27" s="143"/>
      <c r="ET27" s="143"/>
      <c r="EU27" s="143"/>
      <c r="EV27" s="143"/>
      <c r="EW27" s="143"/>
      <c r="EX27" s="143"/>
      <c r="EY27" s="143"/>
      <c r="EZ27" s="143"/>
      <c r="FA27" s="143"/>
      <c r="FB27" s="143"/>
      <c r="FC27" s="143"/>
      <c r="FD27" s="143"/>
      <c r="FE27" s="143"/>
      <c r="FF27" s="143"/>
      <c r="FG27" s="143"/>
      <c r="FH27" s="143"/>
      <c r="FI27" s="143"/>
      <c r="FJ27" s="143"/>
      <c r="FK27" s="143"/>
      <c r="FL27" s="143"/>
      <c r="FM27" s="143"/>
      <c r="FN27" s="143"/>
      <c r="FO27" s="143"/>
      <c r="FP27" s="143"/>
      <c r="FQ27" s="143"/>
      <c r="FR27" s="143"/>
      <c r="FS27" s="143"/>
      <c r="FT27" s="143"/>
      <c r="FU27" s="143"/>
      <c r="FV27" s="143"/>
      <c r="FW27" s="143"/>
      <c r="FX27" s="1304"/>
      <c r="FY27" s="1304"/>
      <c r="FZ27" s="1306"/>
      <c r="GA27" s="1306"/>
      <c r="GB27" s="1306"/>
      <c r="GC27" s="1305"/>
      <c r="GD27" s="1305"/>
    </row>
    <row s="1834" customFormat="1" customHeight="1" ht="11.25" hidden="1">
      <c r="A28" s="499"/>
      <c r="B28" s="926"/>
      <c r="C28" s="499"/>
      <c r="D28" s="499"/>
      <c r="E28" s="866">
        <v>0</v>
      </c>
      <c r="F28" s="747" t="s">
        <v>2328</v>
      </c>
      <c r="G28" s="482"/>
      <c r="H28" s="499"/>
      <c r="I28" s="499"/>
      <c r="J28" s="499"/>
      <c r="K28" s="499"/>
      <c r="L28" s="499"/>
      <c r="M28" s="499"/>
      <c r="N28" s="499"/>
      <c r="O28" s="499"/>
      <c r="P28" s="499"/>
      <c r="Q28" s="482" t="s">
        <v>2329</v>
      </c>
      <c r="R28" s="927" t="s">
        <v>2330</v>
      </c>
      <c r="S28" s="927" t="s">
        <v>264</v>
      </c>
      <c r="T28" s="465"/>
      <c r="U28" s="499"/>
      <c r="V28" s="499"/>
      <c r="W28" s="499"/>
      <c r="X28" s="499"/>
      <c r="Y28" s="499"/>
      <c r="Z28" s="499"/>
      <c r="AA28" s="499"/>
      <c r="AC28" s="100"/>
      <c r="AD28" s="100"/>
      <c r="AE28" s="100"/>
      <c r="AF28" s="100"/>
      <c r="AG28" s="1834"/>
      <c r="AH28" s="1834"/>
      <c r="AI28" s="1834"/>
      <c r="AJ28" s="1834"/>
      <c r="AK28" s="1834"/>
      <c r="AL28" s="1834"/>
      <c r="AM28" s="1834"/>
      <c r="AN28" s="1834"/>
      <c r="AO28" s="1834"/>
      <c r="AP28" s="1834"/>
      <c r="AQ28" s="101"/>
      <c r="AR28" s="1834"/>
      <c r="AS28" s="1834"/>
      <c r="AT28" s="1834"/>
      <c r="AU28" s="1834"/>
      <c r="AV28" s="1834"/>
      <c r="AW28" s="1834"/>
      <c r="AX28" s="1834"/>
      <c r="AY28" s="1834"/>
      <c r="AZ28" s="1834"/>
      <c r="BA28" s="1834"/>
      <c r="BB28" s="1834"/>
      <c r="BC28" s="1834"/>
      <c r="BD28" s="1834"/>
      <c r="BE28" s="1834"/>
      <c r="BF28" s="1834"/>
      <c r="BG28" s="1834"/>
      <c r="BH28" s="1834"/>
      <c r="BI28" s="1834"/>
      <c r="BJ28" s="1834"/>
      <c r="BK28" s="1834"/>
      <c r="BL28" s="1834"/>
      <c r="BM28" s="1834"/>
      <c r="BN28" s="1834"/>
      <c r="BO28" s="1834"/>
      <c r="BP28" s="1834"/>
      <c r="BQ28" s="1834"/>
      <c r="BR28" s="1834"/>
      <c r="BS28" s="1834"/>
      <c r="BT28" s="1834"/>
      <c r="BU28" s="1834"/>
      <c r="BV28" s="1834"/>
      <c r="BW28" s="1834"/>
      <c r="BX28" s="1834"/>
      <c r="BY28" s="1834"/>
      <c r="BZ28" s="1834"/>
      <c r="CA28" s="1834"/>
      <c r="CB28" s="1834"/>
      <c r="CC28" s="1834"/>
      <c r="CD28" s="1834"/>
      <c r="CE28" s="1834"/>
      <c r="CF28" s="1834"/>
      <c r="CG28" s="1834"/>
      <c r="CH28" s="1834"/>
      <c r="CI28" s="1834"/>
      <c r="CJ28" s="1834"/>
      <c r="CK28" s="1834"/>
      <c r="CL28" s="1834"/>
      <c r="CM28" s="1834"/>
      <c r="CN28" s="1834"/>
      <c r="CO28" s="1834"/>
      <c r="CP28" s="1834"/>
      <c r="CQ28" s="1834"/>
      <c r="CR28" s="1834"/>
      <c r="CS28" s="1834"/>
      <c r="CT28" s="1834"/>
      <c r="CU28" s="1834"/>
      <c r="CV28" s="1834"/>
      <c r="CW28" s="1834"/>
      <c r="CX28" s="1834"/>
      <c r="CY28" s="1834"/>
      <c r="CZ28" s="1834"/>
      <c r="DA28" s="1834"/>
      <c r="DB28" s="1834"/>
      <c r="DC28" s="1834"/>
      <c r="DD28" s="1834"/>
      <c r="DE28" s="1834"/>
      <c r="DF28" s="1834"/>
      <c r="DG28" s="1834"/>
      <c r="DH28" s="1834"/>
      <c r="DI28" s="1834"/>
      <c r="DJ28" s="1834"/>
      <c r="DK28" s="1834"/>
      <c r="DL28" s="1834"/>
      <c r="DM28" s="1834"/>
      <c r="DN28" s="1834"/>
      <c r="DO28" s="1834"/>
      <c r="DP28" s="1834"/>
      <c r="DQ28" s="1834"/>
      <c r="DR28" s="1834"/>
      <c r="DS28" s="1834"/>
      <c r="DT28" s="1834"/>
      <c r="DU28" s="1834"/>
      <c r="DV28" s="1834"/>
      <c r="DW28" s="1834"/>
      <c r="DX28" s="1834"/>
      <c r="DY28" s="1834"/>
      <c r="DZ28" s="1834"/>
      <c r="EA28" s="1834"/>
      <c r="EB28" s="1834"/>
      <c r="EC28" s="1834"/>
      <c r="ED28" s="1834"/>
      <c r="EE28" s="1834"/>
      <c r="EF28" s="1834"/>
      <c r="EG28" s="1834"/>
      <c r="EH28" s="1834"/>
      <c r="EI28" s="1834"/>
      <c r="EJ28" s="1834"/>
      <c r="EK28" s="1834"/>
      <c r="EL28" s="1834"/>
      <c r="EM28" s="1834"/>
      <c r="EN28" s="1834"/>
      <c r="EO28" s="1834"/>
      <c r="EP28" s="1834"/>
      <c r="EQ28" s="1834"/>
      <c r="ER28" s="1834"/>
      <c r="ES28" s="1834"/>
      <c r="ET28" s="1834"/>
      <c r="EU28" s="1834"/>
      <c r="EV28" s="1834"/>
      <c r="EW28" s="1834"/>
      <c r="EX28" s="1834"/>
      <c r="EY28" s="1834"/>
      <c r="EZ28" s="1834"/>
      <c r="FA28" s="1834"/>
      <c r="FB28" s="1834"/>
      <c r="FC28" s="1834"/>
      <c r="FD28" s="1834"/>
      <c r="FE28" s="1834"/>
      <c r="FF28" s="1834"/>
      <c r="FG28" s="1834"/>
      <c r="FH28" s="1834"/>
      <c r="FI28" s="1834"/>
      <c r="FJ28" s="1834"/>
      <c r="FK28" s="1834"/>
      <c r="FL28" s="1834"/>
      <c r="FM28" s="1834"/>
      <c r="FN28" s="1834"/>
      <c r="FO28" s="1834"/>
      <c r="FP28" s="1834"/>
      <c r="FQ28" s="1834"/>
      <c r="FR28" s="1834"/>
      <c r="FS28" s="1834"/>
      <c r="FT28" s="1834"/>
      <c r="FU28" s="1834"/>
      <c r="FV28" s="1834"/>
      <c r="FW28" s="1834"/>
      <c r="FZ28" s="1004"/>
      <c r="GA28" s="1004"/>
      <c r="GB28" s="998"/>
      <c r="GC28" s="624"/>
      <c r="GD28" s="624"/>
    </row>
    <row customHeight="1" ht="14.625" hidden="1">
      <c r="A29" s="493"/>
      <c r="B29" s="872"/>
      <c r="C29" s="493"/>
      <c r="D29" s="493"/>
      <c r="E29" s="840">
        <v>15</v>
      </c>
      <c r="F29" s="494" cm="1" t="str">
        <f t="array" ref="F29:F29">X29</f>
        <v>0</v>
      </c>
      <c r="G29" s="493" cm="1" t="str">
        <f t="array" ref="G29:G29">INDEX('Общие сведения'!$AK$179:$AK$250,MATCH($X29,'Общие сведения'!$Z$179:$Z$250,0))</f>
        <v>0</v>
      </c>
      <c r="H29" s="493"/>
      <c r="I29" s="493"/>
      <c r="J29" s="493"/>
      <c r="K29" s="493"/>
      <c r="L29" s="493"/>
      <c r="M29" s="493"/>
      <c r="N29" s="493"/>
      <c r="O29" s="493"/>
      <c r="P29" s="493"/>
      <c r="Q29" s="493" cm="1" t="str">
        <f t="array" ref="Q29:Q29">INDEX('Общие сведения'!$AE$179:$AE$250,MATCH($X29,'Общие сведения'!$Z$179:$Z$250,0))</f>
        <v>0</v>
      </c>
      <c r="R29" s="484" cm="1" t="str">
        <f t="array" ref="R29:R29">INDEX('Общие сведения'!$AK$179:$AK$250,MATCH($X29,'Общие сведения'!$Z$179:$Z$250,0))</f>
        <v>0</v>
      </c>
      <c r="S29" s="493" cm="1" t="str">
        <f t="array" ref="S29:S29">INDEX('Общие сведения'!$AN$179:$AN$250,MATCH($X29,'Общие сведения'!$Z$179:$Z$250,0))</f>
        <v>false</v>
      </c>
      <c r="T29" s="465">
        <f>X29&gt;0</f>
        <v>0</v>
      </c>
      <c r="U29" s="493"/>
      <c r="V29" s="493" t="s">
        <v>265</v>
      </c>
      <c r="W29" s="493"/>
      <c r="X29" s="1596">
        <v>0</v>
      </c>
      <c r="Y29" s="493"/>
      <c r="Z29" s="1545"/>
      <c r="AA29" s="493"/>
      <c r="AB29" s="1636" t="s">
        <v>22</v>
      </c>
      <c r="AC29" s="1637"/>
      <c r="AD29" s="893" cm="1" t="str">
        <f t="array" ref="AD29:AD29">INDEX('Общие сведения'!$AG$179:$AG$250,MATCH($X29,'Общие сведения'!$Z$179:$Z$250,0))</f>
        <v>Тариф 0 () - </v>
      </c>
      <c r="AE29" s="286"/>
      <c r="AF29" s="286"/>
      <c r="AG29" s="286"/>
      <c r="AH29" s="286"/>
      <c r="AI29" s="286"/>
      <c r="AJ29" s="286"/>
      <c r="AK29" s="286"/>
      <c r="AL29" s="286"/>
      <c r="AM29" s="286"/>
      <c r="AN29" s="286"/>
      <c r="AO29" s="286"/>
      <c r="AP29" s="286"/>
      <c r="AQ29" s="286"/>
      <c r="AR29" s="286"/>
      <c r="AS29" s="286"/>
      <c r="AT29" s="286"/>
      <c r="AU29" s="286"/>
      <c r="AV29" s="286"/>
      <c r="AW29" s="286"/>
      <c r="AX29" s="286"/>
      <c r="AY29" s="286"/>
      <c r="AZ29" s="286"/>
      <c r="BA29" s="286"/>
      <c r="BB29" s="286"/>
      <c r="BC29" s="286"/>
      <c r="BD29" s="286"/>
      <c r="BE29" s="286"/>
      <c r="BF29" s="286"/>
      <c r="BG29" s="286"/>
      <c r="BH29" s="286"/>
      <c r="BI29" s="286"/>
      <c r="BJ29" s="286"/>
      <c r="BK29" s="286"/>
      <c r="BL29" s="286"/>
      <c r="BM29" s="286"/>
      <c r="BN29" s="286"/>
      <c r="BO29" s="286"/>
      <c r="BP29" s="286"/>
      <c r="BQ29" s="286"/>
      <c r="BR29" s="286"/>
      <c r="BS29" s="286"/>
      <c r="BT29" s="286"/>
      <c r="BU29" s="286"/>
      <c r="BV29" s="286"/>
      <c r="BW29" s="286"/>
      <c r="BX29" s="286"/>
      <c r="BY29" s="286"/>
      <c r="BZ29" s="286"/>
      <c r="CA29" s="286"/>
      <c r="CB29" s="286"/>
      <c r="CC29" s="286"/>
      <c r="CD29" s="286"/>
      <c r="CE29" s="286"/>
      <c r="CF29" s="286"/>
      <c r="CG29" s="286"/>
      <c r="CH29" s="286"/>
      <c r="CI29" s="286"/>
      <c r="CJ29" s="286"/>
      <c r="CK29" s="286"/>
      <c r="CL29" s="286"/>
      <c r="CM29" s="286"/>
      <c r="CN29" s="286"/>
      <c r="CO29" s="286"/>
      <c r="CP29" s="286"/>
      <c r="CQ29" s="286"/>
      <c r="CR29" s="286"/>
      <c r="CS29" s="286"/>
      <c r="CT29" s="286"/>
      <c r="CU29" s="286"/>
      <c r="CV29" s="286"/>
      <c r="CW29" s="286"/>
      <c r="CX29" s="286"/>
      <c r="CY29" s="286"/>
      <c r="CZ29" s="286"/>
      <c r="DA29" s="286"/>
      <c r="DB29" s="286"/>
      <c r="DC29" s="286"/>
      <c r="DD29" s="286"/>
      <c r="DE29" s="286"/>
      <c r="DF29" s="286"/>
      <c r="DG29" s="286"/>
      <c r="DH29" s="286"/>
      <c r="DI29" s="286"/>
      <c r="DJ29" s="286"/>
      <c r="DK29" s="286"/>
      <c r="DL29" s="286"/>
      <c r="DM29" s="286"/>
      <c r="DN29" s="286"/>
      <c r="DO29" s="286"/>
      <c r="DP29" s="286"/>
      <c r="DQ29" s="286"/>
      <c r="DR29" s="286"/>
      <c r="DS29" s="286"/>
      <c r="DT29" s="286"/>
      <c r="DU29" s="286"/>
      <c r="DV29" s="286"/>
      <c r="DW29" s="286"/>
      <c r="DX29" s="286"/>
      <c r="DY29" s="286"/>
      <c r="DZ29" s="286"/>
      <c r="EA29" s="286"/>
      <c r="EB29" s="286"/>
      <c r="EC29" s="286"/>
      <c r="ED29" s="286"/>
      <c r="EE29" s="286"/>
      <c r="EF29" s="286"/>
      <c r="EG29" s="286"/>
      <c r="EH29" s="286"/>
      <c r="EI29" s="286"/>
      <c r="EJ29" s="286"/>
      <c r="EK29" s="286"/>
      <c r="EL29" s="286"/>
      <c r="EM29" s="286"/>
      <c r="EN29" s="286"/>
      <c r="EO29" s="286"/>
      <c r="EP29" s="286"/>
      <c r="EQ29" s="286"/>
      <c r="ER29" s="286"/>
      <c r="ES29" s="286"/>
      <c r="ET29" s="286"/>
      <c r="EU29" s="286"/>
      <c r="EV29" s="286"/>
      <c r="EW29" s="286"/>
      <c r="EX29" s="286"/>
      <c r="EY29" s="286"/>
      <c r="EZ29" s="286"/>
      <c r="FA29" s="286"/>
      <c r="FB29" s="286"/>
      <c r="FC29" s="286"/>
      <c r="FD29" s="286"/>
      <c r="FE29" s="286"/>
      <c r="FF29" s="286"/>
      <c r="FG29" s="286"/>
      <c r="FH29" s="286"/>
      <c r="FI29" s="286"/>
      <c r="FJ29" s="286"/>
      <c r="FK29" s="286"/>
      <c r="FL29" s="286"/>
      <c r="FM29" s="286"/>
      <c r="FN29" s="286"/>
      <c r="FO29" s="286"/>
      <c r="FP29" s="286"/>
      <c r="FQ29" s="286"/>
      <c r="FR29" s="286"/>
      <c r="FS29" s="286"/>
      <c r="FT29" s="286"/>
      <c r="FU29" s="286"/>
      <c r="FV29" s="286"/>
      <c r="FW29" s="287"/>
      <c r="FX29" s="1304"/>
      <c r="FY29" s="1304"/>
      <c r="FZ29" s="1306"/>
      <c r="GA29" s="1306"/>
      <c r="GB29" s="1306"/>
      <c r="GC29" s="1305"/>
      <c r="GD29" s="1305"/>
    </row>
    <row customHeight="1" ht="14.625" hidden="1">
      <c r="A30" s="493"/>
      <c r="B30" s="872"/>
      <c r="C30" s="493"/>
      <c r="D30" s="493"/>
      <c r="E30" s="840">
        <v>15</v>
      </c>
      <c r="F30" s="50" cm="1" t="str">
        <f t="array" ref="F30:F30">OFFSET(E30,-1,1)</f>
        <v>0</v>
      </c>
      <c r="G30" s="493"/>
      <c r="H30" s="493"/>
      <c r="I30" s="493"/>
      <c r="J30" s="493"/>
      <c r="K30" s="493"/>
      <c r="L30" s="493"/>
      <c r="M30" s="493"/>
      <c r="N30" s="493"/>
      <c r="O30" s="493"/>
      <c r="P30" s="493"/>
      <c r="Q30" s="493"/>
      <c r="R30" s="484"/>
      <c r="S30" s="484"/>
      <c r="T30" s="465" cm="1" t="str">
        <f t="array" ref="T30:T30">T29</f>
        <v>false</v>
      </c>
      <c r="U30" s="493"/>
      <c r="V30" s="493"/>
      <c r="W30" s="493"/>
      <c r="X30" s="1596"/>
      <c r="Y30" s="493"/>
      <c r="Z30" s="1545"/>
      <c r="AA30" s="493"/>
      <c r="AB30" s="1503" t="str">
        <f>"Вид "&amp;IF(ISERROR(SEARCH("Водоснабжение",AD29)),"сточных вод","воды")</f>
        <v>Вид сточных вод</v>
      </c>
      <c r="AC30" s="1505"/>
      <c r="AD30" s="893" cm="1" t="str">
        <f t="array" ref="AD30:AD30">INDEX('Общие сведения'!$AH$179:$AH$250,MATCH($X29,'Общие сведения'!$Z$179:$Z$250,0))</f>
        <v>0</v>
      </c>
      <c r="AE30" s="288"/>
      <c r="AF30" s="288"/>
      <c r="AG30" s="288"/>
      <c r="AH30" s="288"/>
      <c r="AI30" s="288"/>
      <c r="AJ30" s="288"/>
      <c r="AK30" s="288"/>
      <c r="AL30" s="288"/>
      <c r="AM30" s="288"/>
      <c r="AN30" s="288"/>
      <c r="AO30" s="288"/>
      <c r="AP30" s="288"/>
      <c r="AQ30" s="288"/>
      <c r="AR30" s="288"/>
      <c r="AS30" s="288"/>
      <c r="AT30" s="288"/>
      <c r="AU30" s="288"/>
      <c r="AV30" s="288"/>
      <c r="AW30" s="288"/>
      <c r="AX30" s="288"/>
      <c r="AY30" s="288"/>
      <c r="AZ30" s="288"/>
      <c r="BA30" s="288"/>
      <c r="BB30" s="288"/>
      <c r="BC30" s="288"/>
      <c r="BD30" s="288"/>
      <c r="BE30" s="288"/>
      <c r="BF30" s="288"/>
      <c r="BG30" s="288"/>
      <c r="BH30" s="288"/>
      <c r="BI30" s="288"/>
      <c r="BJ30" s="288"/>
      <c r="BK30" s="288"/>
      <c r="BL30" s="288"/>
      <c r="BM30" s="288"/>
      <c r="BN30" s="288"/>
      <c r="BO30" s="288"/>
      <c r="BP30" s="288"/>
      <c r="BQ30" s="288"/>
      <c r="BR30" s="288"/>
      <c r="BS30" s="288"/>
      <c r="BT30" s="288"/>
      <c r="BU30" s="288"/>
      <c r="BV30" s="288"/>
      <c r="BW30" s="288"/>
      <c r="BX30" s="288"/>
      <c r="BY30" s="288"/>
      <c r="BZ30" s="288"/>
      <c r="CA30" s="288"/>
      <c r="CB30" s="288"/>
      <c r="CC30" s="288"/>
      <c r="CD30" s="288"/>
      <c r="CE30" s="288"/>
      <c r="CF30" s="288"/>
      <c r="CG30" s="288"/>
      <c r="CH30" s="288"/>
      <c r="CI30" s="288"/>
      <c r="CJ30" s="288"/>
      <c r="CK30" s="288"/>
      <c r="CL30" s="288"/>
      <c r="CM30" s="288"/>
      <c r="CN30" s="288"/>
      <c r="CO30" s="288"/>
      <c r="CP30" s="288"/>
      <c r="CQ30" s="288"/>
      <c r="CR30" s="288"/>
      <c r="CS30" s="288"/>
      <c r="CT30" s="288"/>
      <c r="CU30" s="288"/>
      <c r="CV30" s="288"/>
      <c r="CW30" s="288"/>
      <c r="CX30" s="288"/>
      <c r="CY30" s="288"/>
      <c r="CZ30" s="288"/>
      <c r="DA30" s="288"/>
      <c r="DB30" s="288"/>
      <c r="DC30" s="288"/>
      <c r="DD30" s="288"/>
      <c r="DE30" s="288"/>
      <c r="DF30" s="288"/>
      <c r="DG30" s="288"/>
      <c r="DH30" s="288"/>
      <c r="DI30" s="288"/>
      <c r="DJ30" s="288"/>
      <c r="DK30" s="288"/>
      <c r="DL30" s="288"/>
      <c r="DM30" s="288"/>
      <c r="DN30" s="288"/>
      <c r="DO30" s="288"/>
      <c r="DP30" s="288"/>
      <c r="DQ30" s="288"/>
      <c r="DR30" s="288"/>
      <c r="DS30" s="288"/>
      <c r="DT30" s="288"/>
      <c r="DU30" s="288"/>
      <c r="DV30" s="288"/>
      <c r="DW30" s="288"/>
      <c r="DX30" s="288"/>
      <c r="DY30" s="288"/>
      <c r="DZ30" s="288"/>
      <c r="EA30" s="288"/>
      <c r="EB30" s="288"/>
      <c r="EC30" s="288"/>
      <c r="ED30" s="288"/>
      <c r="EE30" s="288"/>
      <c r="EF30" s="288"/>
      <c r="EG30" s="288"/>
      <c r="EH30" s="288"/>
      <c r="EI30" s="288"/>
      <c r="EJ30" s="288"/>
      <c r="EK30" s="288"/>
      <c r="EL30" s="288"/>
      <c r="EM30" s="288"/>
      <c r="EN30" s="288"/>
      <c r="EO30" s="288"/>
      <c r="EP30" s="288"/>
      <c r="EQ30" s="288"/>
      <c r="ER30" s="288"/>
      <c r="ES30" s="288"/>
      <c r="ET30" s="288"/>
      <c r="EU30" s="288"/>
      <c r="EV30" s="288"/>
      <c r="EW30" s="288"/>
      <c r="EX30" s="288"/>
      <c r="EY30" s="288"/>
      <c r="EZ30" s="288"/>
      <c r="FA30" s="288"/>
      <c r="FB30" s="288"/>
      <c r="FC30" s="288"/>
      <c r="FD30" s="288"/>
      <c r="FE30" s="288"/>
      <c r="FF30" s="288"/>
      <c r="FG30" s="288"/>
      <c r="FH30" s="288"/>
      <c r="FI30" s="288"/>
      <c r="FJ30" s="288"/>
      <c r="FK30" s="288"/>
      <c r="FL30" s="288"/>
      <c r="FM30" s="288"/>
      <c r="FN30" s="288"/>
      <c r="FO30" s="288"/>
      <c r="FP30" s="288"/>
      <c r="FQ30" s="288"/>
      <c r="FR30" s="288"/>
      <c r="FS30" s="288"/>
      <c r="FT30" s="288"/>
      <c r="FU30" s="288"/>
      <c r="FV30" s="288"/>
      <c r="FW30" s="289"/>
      <c r="FX30" s="1304"/>
      <c r="FY30" s="1304"/>
      <c r="FZ30" s="1306"/>
      <c r="GA30" s="1306"/>
      <c r="GB30" s="1306"/>
      <c r="GC30" s="1305"/>
      <c r="GD30" s="1305"/>
    </row>
    <row customHeight="1" ht="14.625" hidden="1">
      <c r="A31" s="493"/>
      <c r="B31" s="872"/>
      <c r="C31" s="493"/>
      <c r="D31" s="493"/>
      <c r="E31" s="840">
        <v>15</v>
      </c>
      <c r="F31" s="50" cm="1" t="str">
        <f t="array" ref="F31:F31">OFFSET(E31,-1,1)</f>
        <v>0</v>
      </c>
      <c r="G31" s="493"/>
      <c r="H31" s="493"/>
      <c r="I31" s="493"/>
      <c r="J31" s="493"/>
      <c r="K31" s="493"/>
      <c r="L31" s="493"/>
      <c r="M31" s="493"/>
      <c r="N31" s="493"/>
      <c r="O31" s="493"/>
      <c r="P31" s="493"/>
      <c r="Q31" s="493"/>
      <c r="R31" s="484"/>
      <c r="S31" s="484"/>
      <c r="T31" s="465" cm="1" t="str">
        <f t="array" ref="T31:T31">T30</f>
        <v>false</v>
      </c>
      <c r="U31" s="493"/>
      <c r="V31" s="493"/>
      <c r="W31" s="493"/>
      <c r="X31" s="1596"/>
      <c r="Y31" s="493"/>
      <c r="Z31" s="1545"/>
      <c r="AA31" s="493"/>
      <c r="AB31" s="1503" t="s">
        <v>2331</v>
      </c>
      <c r="AC31" s="1505"/>
      <c r="AD31" s="893" cm="1" t="str">
        <f t="array" ref="AD31:AD31">INDEX('Общие сведения'!$AI$179:$AI$250,MATCH($X29,'Общие сведения'!$Z$179:$Z$250,0))</f>
        <v>0</v>
      </c>
      <c r="AE31" s="288"/>
      <c r="AF31" s="288"/>
      <c r="AG31" s="288"/>
      <c r="AH31" s="288"/>
      <c r="AI31" s="288"/>
      <c r="AJ31" s="288"/>
      <c r="AK31" s="288"/>
      <c r="AL31" s="288"/>
      <c r="AM31" s="288"/>
      <c r="AN31" s="288"/>
      <c r="AO31" s="288"/>
      <c r="AP31" s="288"/>
      <c r="AQ31" s="288"/>
      <c r="AR31" s="288"/>
      <c r="AS31" s="288"/>
      <c r="AT31" s="288"/>
      <c r="AU31" s="288"/>
      <c r="AV31" s="288"/>
      <c r="AW31" s="288"/>
      <c r="AX31" s="288"/>
      <c r="AY31" s="288"/>
      <c r="AZ31" s="288"/>
      <c r="BA31" s="288"/>
      <c r="BB31" s="288"/>
      <c r="BC31" s="288"/>
      <c r="BD31" s="288"/>
      <c r="BE31" s="288"/>
      <c r="BF31" s="288"/>
      <c r="BG31" s="288"/>
      <c r="BH31" s="288"/>
      <c r="BI31" s="288"/>
      <c r="BJ31" s="288"/>
      <c r="BK31" s="288"/>
      <c r="BL31" s="288"/>
      <c r="BM31" s="288"/>
      <c r="BN31" s="288"/>
      <c r="BO31" s="288"/>
      <c r="BP31" s="288"/>
      <c r="BQ31" s="288"/>
      <c r="BR31" s="288"/>
      <c r="BS31" s="288"/>
      <c r="BT31" s="288"/>
      <c r="BU31" s="288"/>
      <c r="BV31" s="288"/>
      <c r="BW31" s="288"/>
      <c r="BX31" s="288"/>
      <c r="BY31" s="288"/>
      <c r="BZ31" s="288"/>
      <c r="CA31" s="288"/>
      <c r="CB31" s="288"/>
      <c r="CC31" s="288"/>
      <c r="CD31" s="288"/>
      <c r="CE31" s="288"/>
      <c r="CF31" s="288"/>
      <c r="CG31" s="288"/>
      <c r="CH31" s="288"/>
      <c r="CI31" s="288"/>
      <c r="CJ31" s="288"/>
      <c r="CK31" s="288"/>
      <c r="CL31" s="288"/>
      <c r="CM31" s="288"/>
      <c r="CN31" s="288"/>
      <c r="CO31" s="288"/>
      <c r="CP31" s="288"/>
      <c r="CQ31" s="288"/>
      <c r="CR31" s="288"/>
      <c r="CS31" s="288"/>
      <c r="CT31" s="288"/>
      <c r="CU31" s="288"/>
      <c r="CV31" s="288"/>
      <c r="CW31" s="288"/>
      <c r="CX31" s="288"/>
      <c r="CY31" s="288"/>
      <c r="CZ31" s="288"/>
      <c r="DA31" s="288"/>
      <c r="DB31" s="288"/>
      <c r="DC31" s="288"/>
      <c r="DD31" s="288"/>
      <c r="DE31" s="288"/>
      <c r="DF31" s="288"/>
      <c r="DG31" s="288"/>
      <c r="DH31" s="288"/>
      <c r="DI31" s="288"/>
      <c r="DJ31" s="288"/>
      <c r="DK31" s="288"/>
      <c r="DL31" s="288"/>
      <c r="DM31" s="288"/>
      <c r="DN31" s="288"/>
      <c r="DO31" s="288"/>
      <c r="DP31" s="288"/>
      <c r="DQ31" s="288"/>
      <c r="DR31" s="288"/>
      <c r="DS31" s="288"/>
      <c r="DT31" s="288"/>
      <c r="DU31" s="288"/>
      <c r="DV31" s="288"/>
      <c r="DW31" s="288"/>
      <c r="DX31" s="288"/>
      <c r="DY31" s="288"/>
      <c r="DZ31" s="288"/>
      <c r="EA31" s="288"/>
      <c r="EB31" s="288"/>
      <c r="EC31" s="288"/>
      <c r="ED31" s="288"/>
      <c r="EE31" s="288"/>
      <c r="EF31" s="288"/>
      <c r="EG31" s="288"/>
      <c r="EH31" s="288"/>
      <c r="EI31" s="288"/>
      <c r="EJ31" s="288"/>
      <c r="EK31" s="288"/>
      <c r="EL31" s="288"/>
      <c r="EM31" s="288"/>
      <c r="EN31" s="288"/>
      <c r="EO31" s="288"/>
      <c r="EP31" s="288"/>
      <c r="EQ31" s="288"/>
      <c r="ER31" s="288"/>
      <c r="ES31" s="288"/>
      <c r="ET31" s="288"/>
      <c r="EU31" s="288"/>
      <c r="EV31" s="288"/>
      <c r="EW31" s="288"/>
      <c r="EX31" s="288"/>
      <c r="EY31" s="288"/>
      <c r="EZ31" s="288"/>
      <c r="FA31" s="288"/>
      <c r="FB31" s="288"/>
      <c r="FC31" s="288"/>
      <c r="FD31" s="288"/>
      <c r="FE31" s="288"/>
      <c r="FF31" s="288"/>
      <c r="FG31" s="288"/>
      <c r="FH31" s="288"/>
      <c r="FI31" s="288"/>
      <c r="FJ31" s="288"/>
      <c r="FK31" s="288"/>
      <c r="FL31" s="288"/>
      <c r="FM31" s="288"/>
      <c r="FN31" s="288"/>
      <c r="FO31" s="288"/>
      <c r="FP31" s="288"/>
      <c r="FQ31" s="288"/>
      <c r="FR31" s="288"/>
      <c r="FS31" s="288"/>
      <c r="FT31" s="288"/>
      <c r="FU31" s="288"/>
      <c r="FV31" s="288"/>
      <c r="FW31" s="289"/>
      <c r="FX31" s="1304"/>
      <c r="FY31" s="1304"/>
      <c r="FZ31" s="1306"/>
      <c r="GA31" s="1306"/>
      <c r="GB31" s="1306"/>
      <c r="GC31" s="1305"/>
      <c r="GD31" s="1305"/>
    </row>
    <row customHeight="1" ht="14.625" hidden="1">
      <c r="A32" s="493"/>
      <c r="B32" s="872"/>
      <c r="C32" s="493"/>
      <c r="D32" s="493"/>
      <c r="E32" s="840">
        <v>15</v>
      </c>
      <c r="F32" s="50" cm="1" t="str">
        <f t="array" ref="F32:F32">OFFSET(E32,-1,1)</f>
        <v>0</v>
      </c>
      <c r="G32" s="493"/>
      <c r="H32" s="493"/>
      <c r="I32" s="493"/>
      <c r="J32" s="493"/>
      <c r="K32" s="493"/>
      <c r="L32" s="493"/>
      <c r="M32" s="493"/>
      <c r="N32" s="493"/>
      <c r="O32" s="493"/>
      <c r="P32" s="493"/>
      <c r="Q32" s="928"/>
      <c r="R32" s="493"/>
      <c r="S32" s="484"/>
      <c r="T32" s="465" cm="1" t="str">
        <f t="array" ref="T32:T32">T31</f>
        <v>false</v>
      </c>
      <c r="U32" s="493"/>
      <c r="V32" s="493"/>
      <c r="W32" s="493"/>
      <c r="X32" s="1596"/>
      <c r="Y32" s="493"/>
      <c r="Z32" s="1545"/>
      <c r="AA32" s="493"/>
      <c r="AB32" s="1503" t="s">
        <v>2332</v>
      </c>
      <c r="AC32" s="1505"/>
      <c r="AD32" s="893" cm="1" t="str">
        <f t="array" ref="AD32:AD32">INDEX('Общие сведения'!$AJ$179:$AJ$250,MATCH($X29,'Общие сведения'!$Z$179:$Z$250,0))</f>
        <v>0</v>
      </c>
      <c r="AE32" s="288"/>
      <c r="AF32" s="288"/>
      <c r="AG32" s="288"/>
      <c r="AH32" s="288"/>
      <c r="AI32" s="288"/>
      <c r="AJ32" s="288"/>
      <c r="AK32" s="288"/>
      <c r="AL32" s="288"/>
      <c r="AM32" s="288"/>
      <c r="AN32" s="288"/>
      <c r="AO32" s="288"/>
      <c r="AP32" s="288"/>
      <c r="AQ32" s="288"/>
      <c r="AR32" s="288"/>
      <c r="AS32" s="288"/>
      <c r="AT32" s="288"/>
      <c r="AU32" s="288"/>
      <c r="AV32" s="288"/>
      <c r="AW32" s="288"/>
      <c r="AX32" s="288"/>
      <c r="AY32" s="288"/>
      <c r="AZ32" s="288"/>
      <c r="BA32" s="288"/>
      <c r="BB32" s="288"/>
      <c r="BC32" s="288"/>
      <c r="BD32" s="288"/>
      <c r="BE32" s="288"/>
      <c r="BF32" s="288"/>
      <c r="BG32" s="288"/>
      <c r="BH32" s="288"/>
      <c r="BI32" s="288"/>
      <c r="BJ32" s="288"/>
      <c r="BK32" s="288"/>
      <c r="BL32" s="288"/>
      <c r="BM32" s="288"/>
      <c r="BN32" s="288"/>
      <c r="BO32" s="288"/>
      <c r="BP32" s="288"/>
      <c r="BQ32" s="288"/>
      <c r="BR32" s="288"/>
      <c r="BS32" s="288"/>
      <c r="BT32" s="288"/>
      <c r="BU32" s="288"/>
      <c r="BV32" s="288"/>
      <c r="BW32" s="288"/>
      <c r="BX32" s="288"/>
      <c r="BY32" s="288"/>
      <c r="BZ32" s="288"/>
      <c r="CA32" s="288"/>
      <c r="CB32" s="288"/>
      <c r="CC32" s="288"/>
      <c r="CD32" s="288"/>
      <c r="CE32" s="288"/>
      <c r="CF32" s="288"/>
      <c r="CG32" s="288"/>
      <c r="CH32" s="288"/>
      <c r="CI32" s="288"/>
      <c r="CJ32" s="288"/>
      <c r="CK32" s="288"/>
      <c r="CL32" s="288"/>
      <c r="CM32" s="288"/>
      <c r="CN32" s="288"/>
      <c r="CO32" s="288"/>
      <c r="CP32" s="288"/>
      <c r="CQ32" s="288"/>
      <c r="CR32" s="288"/>
      <c r="CS32" s="288"/>
      <c r="CT32" s="288"/>
      <c r="CU32" s="288"/>
      <c r="CV32" s="288"/>
      <c r="CW32" s="288"/>
      <c r="CX32" s="288"/>
      <c r="CY32" s="288"/>
      <c r="CZ32" s="288"/>
      <c r="DA32" s="288"/>
      <c r="DB32" s="288"/>
      <c r="DC32" s="288"/>
      <c r="DD32" s="288"/>
      <c r="DE32" s="288"/>
      <c r="DF32" s="288"/>
      <c r="DG32" s="288"/>
      <c r="DH32" s="288"/>
      <c r="DI32" s="288"/>
      <c r="DJ32" s="288"/>
      <c r="DK32" s="288"/>
      <c r="DL32" s="288"/>
      <c r="DM32" s="288"/>
      <c r="DN32" s="288"/>
      <c r="DO32" s="288"/>
      <c r="DP32" s="288"/>
      <c r="DQ32" s="288"/>
      <c r="DR32" s="288"/>
      <c r="DS32" s="288"/>
      <c r="DT32" s="288"/>
      <c r="DU32" s="288"/>
      <c r="DV32" s="288"/>
      <c r="DW32" s="288"/>
      <c r="DX32" s="288"/>
      <c r="DY32" s="288"/>
      <c r="DZ32" s="288"/>
      <c r="EA32" s="288"/>
      <c r="EB32" s="288"/>
      <c r="EC32" s="288"/>
      <c r="ED32" s="288"/>
      <c r="EE32" s="288"/>
      <c r="EF32" s="288"/>
      <c r="EG32" s="288"/>
      <c r="EH32" s="288"/>
      <c r="EI32" s="288"/>
      <c r="EJ32" s="288"/>
      <c r="EK32" s="288"/>
      <c r="EL32" s="288"/>
      <c r="EM32" s="288"/>
      <c r="EN32" s="288"/>
      <c r="EO32" s="288"/>
      <c r="EP32" s="288"/>
      <c r="EQ32" s="288"/>
      <c r="ER32" s="288"/>
      <c r="ES32" s="288"/>
      <c r="ET32" s="288"/>
      <c r="EU32" s="288"/>
      <c r="EV32" s="288"/>
      <c r="EW32" s="288"/>
      <c r="EX32" s="288"/>
      <c r="EY32" s="288"/>
      <c r="EZ32" s="288"/>
      <c r="FA32" s="288"/>
      <c r="FB32" s="288"/>
      <c r="FC32" s="288"/>
      <c r="FD32" s="288"/>
      <c r="FE32" s="288"/>
      <c r="FF32" s="288"/>
      <c r="FG32" s="288"/>
      <c r="FH32" s="288"/>
      <c r="FI32" s="288"/>
      <c r="FJ32" s="288"/>
      <c r="FK32" s="288"/>
      <c r="FL32" s="288"/>
      <c r="FM32" s="288"/>
      <c r="FN32" s="288"/>
      <c r="FO32" s="288"/>
      <c r="FP32" s="288"/>
      <c r="FQ32" s="288"/>
      <c r="FR32" s="288"/>
      <c r="FS32" s="288"/>
      <c r="FT32" s="288"/>
      <c r="FU32" s="288"/>
      <c r="FV32" s="288"/>
      <c r="FW32" s="289"/>
      <c r="FX32" s="1304"/>
      <c r="FY32" s="1304"/>
      <c r="FZ32" s="1306"/>
      <c r="GA32" s="1306"/>
      <c r="GB32" s="1306"/>
      <c r="GC32" s="1305"/>
      <c r="GD32" s="1305"/>
    </row>
    <row customHeight="1" ht="14.625" hidden="1">
      <c r="A33" s="493"/>
      <c r="B33" s="925">
        <f>AND(R29="одноставочный",NOT(S29))</f>
        <v>0</v>
      </c>
      <c r="C33" s="493"/>
      <c r="D33" s="493"/>
      <c r="E33" s="840">
        <v>15</v>
      </c>
      <c r="F33" s="50" cm="1" t="str">
        <f t="array" ref="F33:F33">OFFSET(E33,-1,1)</f>
        <v>0</v>
      </c>
      <c r="G33" s="493"/>
      <c r="H33" s="493"/>
      <c r="I33" s="493"/>
      <c r="J33" s="493"/>
      <c r="K33" s="493"/>
      <c r="L33" s="493"/>
      <c r="M33" s="493"/>
      <c r="N33" s="493"/>
      <c r="O33" s="493"/>
      <c r="P33" s="493"/>
      <c r="Q33" s="493"/>
      <c r="R33" s="493"/>
      <c r="S33" s="493"/>
      <c r="T33" s="465" cm="1" t="str">
        <f t="array" ref="T33:T33">T32</f>
        <v>false</v>
      </c>
      <c r="U33" s="493"/>
      <c r="V33" s="493"/>
      <c r="W33" s="493"/>
      <c r="X33" s="1596"/>
      <c r="Y33" s="493"/>
      <c r="Z33" s="1545"/>
      <c r="AA33" s="493"/>
      <c r="AB33" s="894" t="s">
        <v>2333</v>
      </c>
      <c r="AC33" s="895"/>
      <c r="AD33" s="896"/>
      <c r="AE33" s="896"/>
      <c r="AF33" s="896"/>
      <c r="AG33" s="896"/>
      <c r="AH33" s="896"/>
      <c r="AI33" s="896"/>
      <c r="AJ33" s="896"/>
      <c r="AK33" s="896"/>
      <c r="AL33" s="896"/>
      <c r="AM33" s="896"/>
      <c r="AN33" s="896"/>
      <c r="AO33" s="896"/>
      <c r="AP33" s="896"/>
      <c r="AQ33" s="896"/>
      <c r="AR33" s="896"/>
      <c r="AS33" s="896"/>
      <c r="AT33" s="896"/>
      <c r="AU33" s="896"/>
      <c r="AV33" s="896"/>
      <c r="AW33" s="896"/>
      <c r="AX33" s="896"/>
      <c r="AY33" s="896"/>
      <c r="AZ33" s="896"/>
      <c r="BA33" s="896"/>
      <c r="BB33" s="896"/>
      <c r="BC33" s="896"/>
      <c r="BD33" s="896"/>
      <c r="BE33" s="896"/>
      <c r="BF33" s="896"/>
      <c r="BG33" s="896"/>
      <c r="BH33" s="896"/>
      <c r="BI33" s="896"/>
      <c r="BJ33" s="907"/>
      <c r="BK33" s="896"/>
      <c r="BL33" s="896"/>
      <c r="BM33" s="907"/>
      <c r="BN33" s="896"/>
      <c r="BO33" s="896"/>
      <c r="BP33" s="907"/>
      <c r="BQ33" s="896"/>
      <c r="BR33" s="896"/>
      <c r="BS33" s="907"/>
      <c r="BT33" s="896"/>
      <c r="BU33" s="896"/>
      <c r="BV33" s="907"/>
      <c r="BW33" s="896"/>
      <c r="BX33" s="896"/>
      <c r="BY33" s="907"/>
      <c r="BZ33" s="896"/>
      <c r="CA33" s="896"/>
      <c r="CB33" s="907"/>
      <c r="CC33" s="896"/>
      <c r="CD33" s="896"/>
      <c r="CE33" s="907"/>
      <c r="CF33" s="896"/>
      <c r="CG33" s="896"/>
      <c r="CH33" s="907"/>
      <c r="CI33" s="896"/>
      <c r="CJ33" s="896"/>
      <c r="CK33" s="907"/>
      <c r="CL33" s="896"/>
      <c r="CM33" s="896"/>
      <c r="CN33" s="907"/>
      <c r="CO33" s="896"/>
      <c r="CP33" s="896"/>
      <c r="CQ33" s="907"/>
      <c r="CR33" s="896"/>
      <c r="CS33" s="896"/>
      <c r="CT33" s="907"/>
      <c r="CU33" s="896"/>
      <c r="CV33" s="896"/>
      <c r="CW33" s="907"/>
      <c r="CX33" s="896"/>
      <c r="CY33" s="896"/>
      <c r="CZ33" s="907"/>
      <c r="DA33" s="896"/>
      <c r="DB33" s="896"/>
      <c r="DC33" s="907"/>
      <c r="DD33" s="896"/>
      <c r="DE33" s="896"/>
      <c r="DF33" s="291"/>
      <c r="DG33" s="290"/>
      <c r="DH33" s="290"/>
      <c r="DI33" s="291"/>
      <c r="DJ33" s="290"/>
      <c r="DK33" s="290"/>
      <c r="DL33" s="291"/>
      <c r="DM33" s="290"/>
      <c r="DN33" s="290"/>
      <c r="DO33" s="291"/>
      <c r="DP33" s="290"/>
      <c r="DQ33" s="290"/>
      <c r="DR33" s="291"/>
      <c r="DS33" s="290"/>
      <c r="DT33" s="290"/>
      <c r="DU33" s="291"/>
      <c r="DV33" s="290"/>
      <c r="DW33" s="290"/>
      <c r="DX33" s="291"/>
      <c r="DY33" s="290"/>
      <c r="DZ33" s="290"/>
      <c r="EA33" s="291"/>
      <c r="EB33" s="290"/>
      <c r="EC33" s="290"/>
      <c r="ED33" s="291"/>
      <c r="EE33" s="290"/>
      <c r="EF33" s="290"/>
      <c r="EG33" s="291"/>
      <c r="EH33" s="290"/>
      <c r="EI33" s="290"/>
      <c r="EJ33" s="291"/>
      <c r="EK33" s="290"/>
      <c r="EL33" s="290"/>
      <c r="EM33" s="291"/>
      <c r="EN33" s="290"/>
      <c r="EO33" s="290"/>
      <c r="EP33" s="291"/>
      <c r="EQ33" s="290"/>
      <c r="ER33" s="290"/>
      <c r="ES33" s="291"/>
      <c r="ET33" s="290"/>
      <c r="EU33" s="290"/>
      <c r="EV33" s="291"/>
      <c r="EW33" s="290"/>
      <c r="EX33" s="290"/>
      <c r="EY33" s="291"/>
      <c r="EZ33" s="290"/>
      <c r="FA33" s="290"/>
      <c r="FB33" s="291"/>
      <c r="FC33" s="290"/>
      <c r="FD33" s="290"/>
      <c r="FE33" s="291"/>
      <c r="FF33" s="290"/>
      <c r="FG33" s="290"/>
      <c r="FH33" s="291"/>
      <c r="FI33" s="290"/>
      <c r="FJ33" s="290"/>
      <c r="FK33" s="291"/>
      <c r="FL33" s="290"/>
      <c r="FM33" s="290"/>
      <c r="FN33" s="291"/>
      <c r="FO33" s="290"/>
      <c r="FP33" s="290"/>
      <c r="FQ33" s="291"/>
      <c r="FR33" s="290"/>
      <c r="FS33" s="290"/>
      <c r="FT33" s="291"/>
      <c r="FU33" s="290"/>
      <c r="FV33" s="290"/>
      <c r="FW33" s="291"/>
      <c r="FX33" s="1304"/>
      <c r="FY33" s="1304"/>
      <c r="FZ33" s="1306"/>
      <c r="GA33" s="1306"/>
      <c r="GB33" s="1306"/>
      <c r="GC33" s="1305"/>
      <c r="GD33" s="1305"/>
    </row>
    <row s="292" customFormat="1" customHeight="1" ht="23.887500000000003" hidden="1">
      <c r="A34" s="897"/>
      <c r="B34" s="925" cm="1" t="str">
        <f t="array" ref="B34:B34">B33</f>
        <v>false</v>
      </c>
      <c r="C34" s="897"/>
      <c r="D34" s="897"/>
      <c r="E34" s="898">
        <v>24.5</v>
      </c>
      <c r="F34" s="50" cm="1" t="str">
        <f t="array" ref="F34:F34">OFFSET(E34,-1,1)</f>
        <v>0</v>
      </c>
      <c r="G34" s="493" t="s">
        <v>2334</v>
      </c>
      <c r="H34" s="493" t="s">
        <v>1175</v>
      </c>
      <c r="I34" s="493" t="s">
        <v>2335</v>
      </c>
      <c r="J34" s="897"/>
      <c r="K34" s="897"/>
      <c r="L34" s="493"/>
      <c r="M34" s="897"/>
      <c r="N34" s="897"/>
      <c r="O34" s="897"/>
      <c r="P34" s="897"/>
      <c r="Q34" s="897"/>
      <c r="R34" s="897"/>
      <c r="S34" s="493"/>
      <c r="T34" s="465" cm="1" t="str">
        <f t="array" ref="T34:T34">T33</f>
        <v>false</v>
      </c>
      <c r="U34" s="897"/>
      <c r="V34" s="897"/>
      <c r="W34" s="897"/>
      <c r="X34" s="1596"/>
      <c r="Y34" s="897"/>
      <c r="Z34" s="1545"/>
      <c r="AA34" s="897"/>
      <c r="AB34" s="293" t="s">
        <v>2336</v>
      </c>
      <c r="AC34" s="294" t="s">
        <v>2337</v>
      </c>
      <c r="AD34" s="5239">
        <f>IF(AND(method_reg="Метод индексации",god&lt;&gt;first_year),_xlfn.SUMIFS(INDEX('Калькуляция (МИ корр)'!$AJ$25:$BC$747,,MATCH(AD$8,'Калькуляция (МИ корр)'!$AJ$8:$BC$8,0)),'Калькуляция (МИ корр)'!$F$25:$F$747,$F34,'Калькуляция (МИ корр)'!$G$25:$G$747,$G34),IF(method_reg="Метод экономически обоснованных расходов",_xlfn.SUMIFS('Калькуляция (МЭОР)'!$AJ$25:$AJ$452,'Калькуляция (МЭОР)'!$F$25:$F$452,$F34,'Калькуляция (МЭОР)'!$G$25:$G$452,$G34),IF(method_reg="Метод сравнения аналогов",_xlfn.SUMIFS('Калькуляция (МСА)'!$AE$25:$AE$122,'Калькуляция (МСА)'!$F$25:$F$122,$F34,'Калькуляция (МСА)'!$G$25:$G$122,$G34),_xlfn.SUMIFS(INDEX('Калькуляция (МИ)'!$AJ$25:$BC$747,,MATCH(AD$8,'Калькуляция (МИ)'!$AJ$8:$BC$8,0)),'Калькуляция (МИ)'!$F$25:$F$747,$F34,'Калькуляция (МИ)'!$G$25:$G$747,$G34))))</f>
        <v>0</v>
      </c>
      <c r="AE34" s="5239">
        <f>IF(AND(method_reg="Метод индексации",god&lt;&gt;first_year),_xlfn.SUMIFS(INDEX('Калькуляция (МИ корр)'!$AJ$25:$BC$747,,MATCH(AE$8,'Калькуляция (МИ корр)'!$AJ$8:$BC$8,0)),'Калькуляция (МИ корр)'!$F$25:$F$747,$F34,'Калькуляция (МИ корр)'!$G$25:$G$747,$G34),IF(method_reg="Метод экономически обоснованных расходов",_xlfn.SUMIFS('Калькуляция (МЭОР)'!$AK$25:$AK$452,'Калькуляция (МЭОР)'!$F$25:$F$452,$F34,'Калькуляция (МЭОР)'!$G$25:$G$452,$G34),IF(method_reg="Метод сравнения аналогов",_xlfn.SUMIFS('Калькуляция (МСА)'!$AF$25:$AF$122,'Калькуляция (МСА)'!$F$25:$F$122,$F34,'Калькуляция (МСА)'!$G$25:$G$122,$G34),_xlfn.SUMIFS(INDEX('Калькуляция (МИ)'!$AJ$25:$BC$747,,MATCH(AE$8,'Калькуляция (МИ)'!$AJ$8:$BC$8,0)),'Калькуляция (МИ)'!$F$25:$F$747,$F34,'Калькуляция (МИ)'!$G$25:$G$747,$G34))))</f>
        <v>0</v>
      </c>
      <c r="AF34" s="296">
        <f>IF(AD34=0,0,(AE34-AD34)/AD34*100)</f>
        <v>0</v>
      </c>
      <c r="AG34" s="5239">
        <f>IF(AND(method_reg="Метод индексации",god&lt;&gt;first_year),_xlfn.SUMIFS(INDEX('Калькуляция (МИ корр)'!$AJ$25:$BC$747,,MATCH(AG$8,'Калькуляция (МИ корр)'!$AJ$8:$BC$8,0)),'Калькуляция (МИ корр)'!$F$25:$F$747,$F34,'Калькуляция (МИ корр)'!$G$25:$G$747,$G34),IF(method_reg="Метод экономически обоснованных расходов",_xlfn.SUMIFS('Калькуляция (МЭОР)'!$AJ$25:$AJ$452,'Калькуляция (МЭОР)'!$F$25:$F$452,$F34,'Калькуляция (МЭОР)'!$G$25:$G$452,$G34),IF(method_reg="Метод сравнения аналогов",_xlfn.SUMIFS('Калькуляция (МСА)'!$AE$25:$AE$122,'Калькуляция (МСА)'!$F$25:$F$122,$F34,'Калькуляция (МСА)'!$G$25:$G$122,$G34),_xlfn.SUMIFS(INDEX('Калькуляция (МИ)'!$AJ$25:$BC$747,,MATCH(AG$8,'Калькуляция (МИ)'!$AJ$8:$BC$8,0)),'Калькуляция (МИ)'!$F$25:$F$747,$F34,'Калькуляция (МИ)'!$G$25:$G$747,$G34))))</f>
        <v>0</v>
      </c>
      <c r="AH34" s="5239">
        <f>IF(AND(method_reg="Метод индексации",god&lt;&gt;first_year),_xlfn.SUMIFS(INDEX('Калькуляция (МИ корр)'!$AJ$25:$BC$747,,MATCH(AH$8,'Калькуляция (МИ корр)'!$AJ$8:$BC$8,0)),'Калькуляция (МИ корр)'!$F$25:$F$747,$F34,'Калькуляция (МИ корр)'!$G$25:$G$747,$G34),IF(method_reg="Метод экономически обоснованных расходов",_xlfn.SUMIFS('Калькуляция (МЭОР)'!$AK$25:$AK$452,'Калькуляция (МЭОР)'!$F$25:$F$452,$F34,'Калькуляция (МЭОР)'!$G$25:$G$452,$G34),IF(method_reg="Метод сравнения аналогов",_xlfn.SUMIFS('Калькуляция (МСА)'!$AF$25:$AF$122,'Калькуляция (МСА)'!$F$25:$F$122,$F34,'Калькуляция (МСА)'!$G$25:$G$122,$G34),_xlfn.SUMIFS(INDEX('Калькуляция (МИ)'!$AJ$25:$BC$747,,MATCH(AH$8,'Калькуляция (МИ)'!$AJ$8:$BC$8,0)),'Калькуляция (МИ)'!$F$25:$F$747,$F34,'Калькуляция (МИ)'!$G$25:$G$747,$G34))))</f>
        <v>0</v>
      </c>
      <c r="AI34" s="296">
        <f>IF(AG34=0,0,(AH34-AG34)/AG34*100)</f>
        <v>0</v>
      </c>
      <c r="AJ34" s="5239">
        <f>IF(AND(method_reg="Метод индексации",god&lt;&gt;first_year),_xlfn.SUMIFS(INDEX('Калькуляция (МИ корр)'!$AJ$25:$BC$747,,MATCH(AJ$8,'Калькуляция (МИ корр)'!$AJ$8:$BC$8,0)),'Калькуляция (МИ корр)'!$F$25:$F$747,$F34,'Калькуляция (МИ корр)'!$G$25:$G$747,$G34),IF(method_reg="Метод экономически обоснованных расходов",_xlfn.SUMIFS('Калькуляция (МЭОР)'!$AJ$25:$AJ$452,'Калькуляция (МЭОР)'!$F$25:$F$452,$F34,'Калькуляция (МЭОР)'!$G$25:$G$452,$G34),IF(method_reg="Метод сравнения аналогов",_xlfn.SUMIFS('Калькуляция (МСА)'!$AE$25:$AE$122,'Калькуляция (МСА)'!$F$25:$F$122,$F34,'Калькуляция (МСА)'!$G$25:$G$122,$G34),_xlfn.SUMIFS(INDEX('Калькуляция (МИ)'!$AJ$25:$BC$747,,MATCH(AJ$8,'Калькуляция (МИ)'!$AJ$8:$BC$8,0)),'Калькуляция (МИ)'!$F$25:$F$747,$F34,'Калькуляция (МИ)'!$G$25:$G$747,$G34))))</f>
        <v>0</v>
      </c>
      <c r="AK34" s="5239">
        <f>IF(AND(method_reg="Метод индексации",god&lt;&gt;first_year),_xlfn.SUMIFS(INDEX('Калькуляция (МИ корр)'!$AJ$25:$BC$747,,MATCH(AK$8,'Калькуляция (МИ корр)'!$AJ$8:$BC$8,0)),'Калькуляция (МИ корр)'!$F$25:$F$747,$F34,'Калькуляция (МИ корр)'!$G$25:$G$747,$G34),IF(method_reg="Метод экономически обоснованных расходов",_xlfn.SUMIFS('Калькуляция (МЭОР)'!$AK$25:$AK$452,'Калькуляция (МЭОР)'!$F$25:$F$452,$F34,'Калькуляция (МЭОР)'!$G$25:$G$452,$G34),IF(method_reg="Метод сравнения аналогов",_xlfn.SUMIFS('Калькуляция (МСА)'!$AF$25:$AF$122,'Калькуляция (МСА)'!$F$25:$F$122,$F34,'Калькуляция (МСА)'!$G$25:$G$122,$G34),_xlfn.SUMIFS(INDEX('Калькуляция (МИ)'!$AJ$25:$BC$747,,MATCH(AK$8,'Калькуляция (МИ)'!$AJ$8:$BC$8,0)),'Калькуляция (МИ)'!$F$25:$F$747,$F34,'Калькуляция (МИ)'!$G$25:$G$747,$G34))))</f>
        <v>0</v>
      </c>
      <c r="AL34" s="296">
        <f>IF(AJ34=0,0,(AK34-AJ34)/AJ34*100)</f>
        <v>0</v>
      </c>
      <c r="AM34" s="5239">
        <f>IF(AND(method_reg="Метод индексации",god&lt;&gt;first_year),_xlfn.SUMIFS(INDEX('Калькуляция (МИ корр)'!$AJ$25:$BC$747,,MATCH(AM$8,'Калькуляция (МИ корр)'!$AJ$8:$BC$8,0)),'Калькуляция (МИ корр)'!$F$25:$F$747,$F34,'Калькуляция (МИ корр)'!$G$25:$G$747,$G34),IF(method_reg="Метод экономически обоснованных расходов",_xlfn.SUMIFS('Калькуляция (МЭОР)'!$AJ$25:$AJ$452,'Калькуляция (МЭОР)'!$F$25:$F$452,$F34,'Калькуляция (МЭОР)'!$G$25:$G$452,$G34),IF(method_reg="Метод сравнения аналогов",_xlfn.SUMIFS('Калькуляция (МСА)'!$AE$25:$AE$122,'Калькуляция (МСА)'!$F$25:$F$122,$F34,'Калькуляция (МСА)'!$G$25:$G$122,$G34),_xlfn.SUMIFS(INDEX('Калькуляция (МИ)'!$AJ$25:$BC$747,,MATCH(AM$8,'Калькуляция (МИ)'!$AJ$8:$BC$8,0)),'Калькуляция (МИ)'!$F$25:$F$747,$F34,'Калькуляция (МИ)'!$G$25:$G$747,$G34))))</f>
        <v>0</v>
      </c>
      <c r="AN34" s="5239">
        <f>IF(AND(method_reg="Метод индексации",god&lt;&gt;first_year),_xlfn.SUMIFS(INDEX('Калькуляция (МИ корр)'!$AJ$25:$BC$747,,MATCH(AN$8,'Калькуляция (МИ корр)'!$AJ$8:$BC$8,0)),'Калькуляция (МИ корр)'!$F$25:$F$747,$F34,'Калькуляция (МИ корр)'!$G$25:$G$747,$G34),IF(method_reg="Метод экономически обоснованных расходов",_xlfn.SUMIFS('Калькуляция (МЭОР)'!$AK$25:$AK$452,'Калькуляция (МЭОР)'!$F$25:$F$452,$F34,'Калькуляция (МЭОР)'!$G$25:$G$452,$G34),IF(method_reg="Метод сравнения аналогов",_xlfn.SUMIFS('Калькуляция (МСА)'!$AF$25:$AF$122,'Калькуляция (МСА)'!$F$25:$F$122,$F34,'Калькуляция (МСА)'!$G$25:$G$122,$G34),_xlfn.SUMIFS(INDEX('Калькуляция (МИ)'!$AJ$25:$BC$747,,MATCH(AN$8,'Калькуляция (МИ)'!$AJ$8:$BC$8,0)),'Калькуляция (МИ)'!$F$25:$F$747,$F34,'Калькуляция (МИ)'!$G$25:$G$747,$G34))))</f>
        <v>0</v>
      </c>
      <c r="AO34" s="296">
        <f>IF(AM34=0,0,(AN34-AM34)/AM34*100)</f>
        <v>0</v>
      </c>
      <c r="AP34" s="5239">
        <f>IF(AND(method_reg="Метод индексации",god&lt;&gt;first_year),_xlfn.SUMIFS(INDEX('Калькуляция (МИ корр)'!$AJ$25:$BC$747,,MATCH(AP$8,'Калькуляция (МИ корр)'!$AJ$8:$BC$8,0)),'Калькуляция (МИ корр)'!$F$25:$F$747,$F34,'Калькуляция (МИ корр)'!$G$25:$G$747,$G34),IF(method_reg="Метод экономически обоснованных расходов",_xlfn.SUMIFS('Калькуляция (МЭОР)'!$AJ$25:$AJ$452,'Калькуляция (МЭОР)'!$F$25:$F$452,$F34,'Калькуляция (МЭОР)'!$G$25:$G$452,$G34),IF(method_reg="Метод сравнения аналогов",_xlfn.SUMIFS('Калькуляция (МСА)'!$AE$25:$AE$122,'Калькуляция (МСА)'!$F$25:$F$122,$F34,'Калькуляция (МСА)'!$G$25:$G$122,$G34),_xlfn.SUMIFS(INDEX('Калькуляция (МИ)'!$AJ$25:$BC$747,,MATCH(AP$8,'Калькуляция (МИ)'!$AJ$8:$BC$8,0)),'Калькуляция (МИ)'!$F$25:$F$747,$F34,'Калькуляция (МИ)'!$G$25:$G$747,$G34))))</f>
        <v>0</v>
      </c>
      <c r="AQ34" s="5239">
        <f>IF(AND(method_reg="Метод индексации",god&lt;&gt;first_year),_xlfn.SUMIFS(INDEX('Калькуляция (МИ корр)'!$AJ$25:$BC$747,,MATCH(AQ$8,'Калькуляция (МИ корр)'!$AJ$8:$BC$8,0)),'Калькуляция (МИ корр)'!$F$25:$F$747,$F34,'Калькуляция (МИ корр)'!$G$25:$G$747,$G34),IF(method_reg="Метод экономически обоснованных расходов",_xlfn.SUMIFS('Калькуляция (МЭОР)'!$AK$25:$AK$452,'Калькуляция (МЭОР)'!$F$25:$F$452,$F34,'Калькуляция (МЭОР)'!$G$25:$G$452,$G34),IF(method_reg="Метод сравнения аналогов",_xlfn.SUMIFS('Калькуляция (МСА)'!$AF$25:$AF$122,'Калькуляция (МСА)'!$F$25:$F$122,$F34,'Калькуляция (МСА)'!$G$25:$G$122,$G34),_xlfn.SUMIFS(INDEX('Калькуляция (МИ)'!$AJ$25:$BC$747,,MATCH(AQ$8,'Калькуляция (МИ)'!$AJ$8:$BC$8,0)),'Калькуляция (МИ)'!$F$25:$F$747,$F34,'Калькуляция (МИ)'!$G$25:$G$747,$G34))))</f>
        <v>0</v>
      </c>
      <c r="AR34" s="296">
        <f>IF(AP34=0,0,(AQ34-AP34)/AP34*100)</f>
        <v>0</v>
      </c>
      <c r="AS34" s="5239">
        <f>IF(AND(method_reg="Метод индексации",god&lt;&gt;first_year),_xlfn.SUMIFS(INDEX('Калькуляция (МИ корр)'!$AJ$25:$BC$747,,MATCH(AS$8,'Калькуляция (МИ корр)'!$AJ$8:$BC$8,0)),'Калькуляция (МИ корр)'!$F$25:$F$747,$F34,'Калькуляция (МИ корр)'!$G$25:$G$747,$G34),IF(method_reg="Метод экономически обоснованных расходов",_xlfn.SUMIFS('Калькуляция (МЭОР)'!$AJ$25:$AJ$452,'Калькуляция (МЭОР)'!$F$25:$F$452,$F34,'Калькуляция (МЭОР)'!$G$25:$G$452,$G34),IF(method_reg="Метод сравнения аналогов",_xlfn.SUMIFS('Калькуляция (МСА)'!$AE$25:$AE$122,'Калькуляция (МСА)'!$F$25:$F$122,$F34,'Калькуляция (МСА)'!$G$25:$G$122,$G34),_xlfn.SUMIFS(INDEX('Калькуляция (МИ)'!$AJ$25:$BC$747,,MATCH(AS$8,'Калькуляция (МИ)'!$AJ$8:$BC$8,0)),'Калькуляция (МИ)'!$F$25:$F$747,$F34,'Калькуляция (МИ)'!$G$25:$G$747,$G34))))</f>
        <v>0</v>
      </c>
      <c r="AT34" s="5239">
        <f>IF(AND(method_reg="Метод индексации",god&lt;&gt;first_year),_xlfn.SUMIFS(INDEX('Калькуляция (МИ корр)'!$AJ$25:$BC$747,,MATCH(AT$8,'Калькуляция (МИ корр)'!$AJ$8:$BC$8,0)),'Калькуляция (МИ корр)'!$F$25:$F$747,$F34,'Калькуляция (МИ корр)'!$G$25:$G$747,$G34),IF(method_reg="Метод экономически обоснованных расходов",_xlfn.SUMIFS('Калькуляция (МЭОР)'!$AK$25:$AK$452,'Калькуляция (МЭОР)'!$F$25:$F$452,$F34,'Калькуляция (МЭОР)'!$G$25:$G$452,$G34),IF(method_reg="Метод сравнения аналогов",_xlfn.SUMIFS('Калькуляция (МСА)'!$AF$25:$AF$122,'Калькуляция (МСА)'!$F$25:$F$122,$F34,'Калькуляция (МСА)'!$G$25:$G$122,$G34),_xlfn.SUMIFS(INDEX('Калькуляция (МИ)'!$AJ$25:$BC$747,,MATCH(AT$8,'Калькуляция (МИ)'!$AJ$8:$BC$8,0)),'Калькуляция (МИ)'!$F$25:$F$747,$F34,'Калькуляция (МИ)'!$G$25:$G$747,$G34))))</f>
        <v>0</v>
      </c>
      <c r="AU34" s="296">
        <f>IF(AS34=0,0,(AT34-AS34)/AS34*100)</f>
        <v>0</v>
      </c>
      <c r="AV34" s="5239">
        <f>IF(AND(method_reg="Метод индексации",god&lt;&gt;first_year),_xlfn.SUMIFS(INDEX('Калькуляция (МИ корр)'!$AJ$25:$BC$747,,MATCH(AV$8,'Калькуляция (МИ корр)'!$AJ$8:$BC$8,0)),'Калькуляция (МИ корр)'!$F$25:$F$747,$F34,'Калькуляция (МИ корр)'!$G$25:$G$747,$G34),IF(method_reg="Метод экономически обоснованных расходов",_xlfn.SUMIFS('Калькуляция (МЭОР)'!$AJ$25:$AJ$452,'Калькуляция (МЭОР)'!$F$25:$F$452,$F34,'Калькуляция (МЭОР)'!$G$25:$G$452,$G34),IF(method_reg="Метод сравнения аналогов",_xlfn.SUMIFS('Калькуляция (МСА)'!$AE$25:$AE$122,'Калькуляция (МСА)'!$F$25:$F$122,$F34,'Калькуляция (МСА)'!$G$25:$G$122,$G34),_xlfn.SUMIFS(INDEX('Калькуляция (МИ)'!$AJ$25:$BC$747,,MATCH(AV$8,'Калькуляция (МИ)'!$AJ$8:$BC$8,0)),'Калькуляция (МИ)'!$F$25:$F$747,$F34,'Калькуляция (МИ)'!$G$25:$G$747,$G34))))</f>
        <v>0</v>
      </c>
      <c r="AW34" s="5239">
        <f>IF(AND(method_reg="Метод индексации",god&lt;&gt;first_year),_xlfn.SUMIFS(INDEX('Калькуляция (МИ корр)'!$AJ$25:$BC$747,,MATCH(AW$8,'Калькуляция (МИ корр)'!$AJ$8:$BC$8,0)),'Калькуляция (МИ корр)'!$F$25:$F$747,$F34,'Калькуляция (МИ корр)'!$G$25:$G$747,$G34),IF(method_reg="Метод экономически обоснованных расходов",_xlfn.SUMIFS('Калькуляция (МЭОР)'!$AK$25:$AK$452,'Калькуляция (МЭОР)'!$F$25:$F$452,$F34,'Калькуляция (МЭОР)'!$G$25:$G$452,$G34),IF(method_reg="Метод сравнения аналогов",_xlfn.SUMIFS('Калькуляция (МСА)'!$AF$25:$AF$122,'Калькуляция (МСА)'!$F$25:$F$122,$F34,'Калькуляция (МСА)'!$G$25:$G$122,$G34),_xlfn.SUMIFS(INDEX('Калькуляция (МИ)'!$AJ$25:$BC$747,,MATCH(AW$8,'Калькуляция (МИ)'!$AJ$8:$BC$8,0)),'Калькуляция (МИ)'!$F$25:$F$747,$F34,'Калькуляция (МИ)'!$G$25:$G$747,$G34))))</f>
        <v>0</v>
      </c>
      <c r="AX34" s="296">
        <f>IF(AV34=0,0,(AW34-AV34)/AV34*100)</f>
        <v>0</v>
      </c>
      <c r="AY34" s="5239">
        <f>IF(AND(method_reg="Метод индексации",god&lt;&gt;first_year),_xlfn.SUMIFS(INDEX('Калькуляция (МИ корр)'!$AJ$25:$BC$747,,MATCH(AY$8,'Калькуляция (МИ корр)'!$AJ$8:$BC$8,0)),'Калькуляция (МИ корр)'!$F$25:$F$747,$F34,'Калькуляция (МИ корр)'!$G$25:$G$747,$G34),IF(method_reg="Метод экономически обоснованных расходов",_xlfn.SUMIFS('Калькуляция (МЭОР)'!$AJ$25:$AJ$452,'Калькуляция (МЭОР)'!$F$25:$F$452,$F34,'Калькуляция (МЭОР)'!$G$25:$G$452,$G34),IF(method_reg="Метод сравнения аналогов",_xlfn.SUMIFS('Калькуляция (МСА)'!$AE$25:$AE$122,'Калькуляция (МСА)'!$F$25:$F$122,$F34,'Калькуляция (МСА)'!$G$25:$G$122,$G34),_xlfn.SUMIFS(INDEX('Калькуляция (МИ)'!$AJ$25:$BC$747,,MATCH(AY$8,'Калькуляция (МИ)'!$AJ$8:$BC$8,0)),'Калькуляция (МИ)'!$F$25:$F$747,$F34,'Калькуляция (МИ)'!$G$25:$G$747,$G34))))</f>
        <v>0</v>
      </c>
      <c r="AZ34" s="5239">
        <f>IF(AND(method_reg="Метод индексации",god&lt;&gt;first_year),_xlfn.SUMIFS(INDEX('Калькуляция (МИ корр)'!$AJ$25:$BC$747,,MATCH(AZ$8,'Калькуляция (МИ корр)'!$AJ$8:$BC$8,0)),'Калькуляция (МИ корр)'!$F$25:$F$747,$F34,'Калькуляция (МИ корр)'!$G$25:$G$747,$G34),IF(method_reg="Метод экономически обоснованных расходов",_xlfn.SUMIFS('Калькуляция (МЭОР)'!$AK$25:$AK$452,'Калькуляция (МЭОР)'!$F$25:$F$452,$F34,'Калькуляция (МЭОР)'!$G$25:$G$452,$G34),IF(method_reg="Метод сравнения аналогов",_xlfn.SUMIFS('Калькуляция (МСА)'!$AF$25:$AF$122,'Калькуляция (МСА)'!$F$25:$F$122,$F34,'Калькуляция (МСА)'!$G$25:$G$122,$G34),_xlfn.SUMIFS(INDEX('Калькуляция (МИ)'!$AJ$25:$BC$747,,MATCH(AZ$8,'Калькуляция (МИ)'!$AJ$8:$BC$8,0)),'Калькуляция (МИ)'!$F$25:$F$747,$F34,'Калькуляция (МИ)'!$G$25:$G$747,$G34))))</f>
        <v>0</v>
      </c>
      <c r="BA34" s="296">
        <f>IF(AY34=0,0,(AZ34-AY34)/AY34*100)</f>
        <v>0</v>
      </c>
      <c r="BB34" s="5239">
        <f>IF(AND(method_reg="Метод индексации",god&lt;&gt;first_year),_xlfn.SUMIFS(INDEX('Калькуляция (МИ корр)'!$AJ$25:$BC$747,,MATCH(BB$8,'Калькуляция (МИ корр)'!$AJ$8:$BC$8,0)),'Калькуляция (МИ корр)'!$F$25:$F$747,$F34,'Калькуляция (МИ корр)'!$G$25:$G$747,$G34),IF(method_reg="Метод экономически обоснованных расходов",_xlfn.SUMIFS('Калькуляция (МЭОР)'!$AJ$25:$AJ$452,'Калькуляция (МЭОР)'!$F$25:$F$452,$F34,'Калькуляция (МЭОР)'!$G$25:$G$452,$G34),IF(method_reg="Метод сравнения аналогов",_xlfn.SUMIFS('Калькуляция (МСА)'!$AE$25:$AE$122,'Калькуляция (МСА)'!$F$25:$F$122,$F34,'Калькуляция (МСА)'!$G$25:$G$122,$G34),_xlfn.SUMIFS(INDEX('Калькуляция (МИ)'!$AJ$25:$BC$747,,MATCH(BB$8,'Калькуляция (МИ)'!$AJ$8:$BC$8,0)),'Калькуляция (МИ)'!$F$25:$F$747,$F34,'Калькуляция (МИ)'!$G$25:$G$747,$G34))))</f>
        <v>0</v>
      </c>
      <c r="BC34" s="5239">
        <f>IF(AND(method_reg="Метод индексации",god&lt;&gt;first_year),_xlfn.SUMIFS(INDEX('Калькуляция (МИ корр)'!$AJ$25:$BC$747,,MATCH(BC$8,'Калькуляция (МИ корр)'!$AJ$8:$BC$8,0)),'Калькуляция (МИ корр)'!$F$25:$F$747,$F34,'Калькуляция (МИ корр)'!$G$25:$G$747,$G34),IF(method_reg="Метод экономически обоснованных расходов",_xlfn.SUMIFS('Калькуляция (МЭОР)'!$AK$25:$AK$452,'Калькуляция (МЭОР)'!$F$25:$F$452,$F34,'Калькуляция (МЭОР)'!$G$25:$G$452,$G34),IF(method_reg="Метод сравнения аналогов",_xlfn.SUMIFS('Калькуляция (МСА)'!$AF$25:$AF$122,'Калькуляция (МСА)'!$F$25:$F$122,$F34,'Калькуляция (МСА)'!$G$25:$G$122,$G34),_xlfn.SUMIFS(INDEX('Калькуляция (МИ)'!$AJ$25:$BC$747,,MATCH(BC$8,'Калькуляция (МИ)'!$AJ$8:$BC$8,0)),'Калькуляция (МИ)'!$F$25:$F$747,$F34,'Калькуляция (МИ)'!$G$25:$G$747,$G34))))</f>
        <v>0</v>
      </c>
      <c r="BD34" s="296">
        <f>IF(BB34=0,0,(BC34-BB34)/BB34*100)</f>
        <v>0</v>
      </c>
      <c r="BE34" s="5239">
        <f>IF(AND(method_reg="Метод индексации",god&lt;&gt;first_year),_xlfn.SUMIFS(INDEX('Калькуляция (МИ корр)'!$AJ$25:$BC$747,,MATCH(BE$8,'Калькуляция (МИ корр)'!$AJ$8:$BC$8,0)),'Калькуляция (МИ корр)'!$F$25:$F$747,$F34,'Калькуляция (МИ корр)'!$G$25:$G$747,$G34),IF(method_reg="Метод экономически обоснованных расходов",_xlfn.SUMIFS('Калькуляция (МЭОР)'!$AJ$25:$AJ$452,'Калькуляция (МЭОР)'!$F$25:$F$452,$F34,'Калькуляция (МЭОР)'!$G$25:$G$452,$G34),IF(method_reg="Метод сравнения аналогов",_xlfn.SUMIFS('Калькуляция (МСА)'!$AE$25:$AE$122,'Калькуляция (МСА)'!$F$25:$F$122,$F34,'Калькуляция (МСА)'!$G$25:$G$122,$G34),_xlfn.SUMIFS(INDEX('Калькуляция (МИ)'!$AJ$25:$BC$747,,MATCH(BE$8,'Калькуляция (МИ)'!$AJ$8:$BC$8,0)),'Калькуляция (МИ)'!$F$25:$F$747,$F34,'Калькуляция (МИ)'!$G$25:$G$747,$G34))))</f>
        <v>0</v>
      </c>
      <c r="BF34" s="5239">
        <f>IF(AND(method_reg="Метод индексации",god&lt;&gt;first_year),_xlfn.SUMIFS(INDEX('Калькуляция (МИ корр)'!$AJ$25:$BC$747,,MATCH(BF$8,'Калькуляция (МИ корр)'!$AJ$8:$BC$8,0)),'Калькуляция (МИ корр)'!$F$25:$F$747,$F34,'Калькуляция (МИ корр)'!$G$25:$G$747,$G34),IF(method_reg="Метод экономически обоснованных расходов",_xlfn.SUMIFS('Калькуляция (МЭОР)'!$AK$25:$AK$452,'Калькуляция (МЭОР)'!$F$25:$F$452,$F34,'Калькуляция (МЭОР)'!$G$25:$G$452,$G34),IF(method_reg="Метод сравнения аналогов",_xlfn.SUMIFS('Калькуляция (МСА)'!$AF$25:$AF$122,'Калькуляция (МСА)'!$F$25:$F$122,$F34,'Калькуляция (МСА)'!$G$25:$G$122,$G34),_xlfn.SUMIFS(INDEX('Калькуляция (МИ)'!$AJ$25:$BC$747,,MATCH(BF$8,'Калькуляция (МИ)'!$AJ$8:$BC$8,0)),'Калькуляция (МИ)'!$F$25:$F$747,$F34,'Калькуляция (МИ)'!$G$25:$G$747,$G34))))</f>
        <v>0</v>
      </c>
      <c r="BG34" s="296">
        <f>IF(BE34=0,0,(BF34-BE34)/BE34*100)</f>
        <v>0</v>
      </c>
      <c r="BH34" s="5239"/>
      <c r="BI34" s="5239"/>
      <c r="BJ34" s="296">
        <f>IF(BH34=0,0,(BI34-BH34)/BH34*100)</f>
        <v>0</v>
      </c>
      <c r="BK34" s="5239"/>
      <c r="BL34" s="5239"/>
      <c r="BM34" s="296">
        <f>IF(BK34=0,0,(BL34-BK34)/BK34*100)</f>
        <v>0</v>
      </c>
      <c r="BN34" s="5239"/>
      <c r="BO34" s="5239"/>
      <c r="BP34" s="296">
        <f>IF(BN34=0,0,(BO34-BN34)/BN34*100)</f>
        <v>0</v>
      </c>
      <c r="BQ34" s="5239"/>
      <c r="BR34" s="5239"/>
      <c r="BS34" s="296">
        <f>IF(BQ34=0,0,(BR34-BQ34)/BQ34*100)</f>
        <v>0</v>
      </c>
      <c r="BT34" s="5239"/>
      <c r="BU34" s="5239"/>
      <c r="BV34" s="296">
        <f>IF(BT34=0,0,(BU34-BT34)/BT34*100)</f>
        <v>0</v>
      </c>
      <c r="BW34" s="5239"/>
      <c r="BX34" s="5239"/>
      <c r="BY34" s="296">
        <f>IF(BW34=0,0,(BX34-BW34)/BW34*100)</f>
        <v>0</v>
      </c>
      <c r="BZ34" s="5239"/>
      <c r="CA34" s="5239"/>
      <c r="CB34" s="296">
        <f>IF(BZ34=0,0,(CA34-BZ34)/BZ34*100)</f>
        <v>0</v>
      </c>
      <c r="CC34" s="5239"/>
      <c r="CD34" s="5239"/>
      <c r="CE34" s="296">
        <f>IF(CC34=0,0,(CD34-CC34)/CC34*100)</f>
        <v>0</v>
      </c>
      <c r="CF34" s="5239"/>
      <c r="CG34" s="5239"/>
      <c r="CH34" s="296">
        <f>IF(CF34=0,0,(CG34-CF34)/CF34*100)</f>
        <v>0</v>
      </c>
      <c r="CI34" s="5239"/>
      <c r="CJ34" s="5239"/>
      <c r="CK34" s="296">
        <f>IF(CI34=0,0,(CJ34-CI34)/CI34*100)</f>
        <v>0</v>
      </c>
      <c r="CL34" s="5239"/>
      <c r="CM34" s="5239"/>
      <c r="CN34" s="296">
        <f>IF(CL34=0,0,(CM34-CL34)/CL34*100)</f>
        <v>0</v>
      </c>
      <c r="CO34" s="5239"/>
      <c r="CP34" s="5239"/>
      <c r="CQ34" s="296">
        <f>IF(CO34=0,0,(CP34-CO34)/CO34*100)</f>
        <v>0</v>
      </c>
      <c r="CR34" s="5239"/>
      <c r="CS34" s="5239"/>
      <c r="CT34" s="296">
        <f>IF(CR34=0,0,(CS34-CR34)/CR34*100)</f>
        <v>0</v>
      </c>
      <c r="CU34" s="5239"/>
      <c r="CV34" s="5239"/>
      <c r="CW34" s="296">
        <f>IF(CU34=0,0,(CV34-CU34)/CU34*100)</f>
        <v>0</v>
      </c>
      <c r="CX34" s="5239"/>
      <c r="CY34" s="5239"/>
      <c r="CZ34" s="296">
        <f>IF(CX34=0,0,(CY34-CX34)/CX34*100)</f>
        <v>0</v>
      </c>
      <c r="DA34" s="5239"/>
      <c r="DB34" s="5239"/>
      <c r="DC34" s="296">
        <f>IF(DA34=0,0,(DB34-DA34)/DA34*100)</f>
        <v>0</v>
      </c>
      <c r="DD34" s="5239"/>
      <c r="DE34" s="5239"/>
      <c r="DF34" s="296">
        <f>IF(DD34=0,0,(DE34-DD34)/DD34*100)</f>
        <v>0</v>
      </c>
      <c r="DG34" s="5241"/>
      <c r="DH34" s="5241"/>
      <c r="DI34" s="296">
        <f>IF(DG34=0,0,(DH34-DG34)/DG34*100)</f>
        <v>0</v>
      </c>
      <c r="DJ34" s="5241"/>
      <c r="DK34" s="5241"/>
      <c r="DL34" s="296">
        <f>IF(DJ34=0,0,(DK34-DJ34)/DJ34*100)</f>
        <v>0</v>
      </c>
      <c r="DM34" s="5241"/>
      <c r="DN34" s="5241"/>
      <c r="DO34" s="296">
        <f>IF(DM34=0,0,(DN34-DM34)/DM34*100)</f>
        <v>0</v>
      </c>
      <c r="DP34" s="5241"/>
      <c r="DQ34" s="5241"/>
      <c r="DR34" s="296">
        <f>IF(DP34=0,0,(DQ34-DP34)/DP34*100)</f>
        <v>0</v>
      </c>
      <c r="DS34" s="5241"/>
      <c r="DT34" s="5241"/>
      <c r="DU34" s="296">
        <f>IF(DS34=0,0,(DT34-DS34)/DS34*100)</f>
        <v>0</v>
      </c>
      <c r="DV34" s="5241"/>
      <c r="DW34" s="5241"/>
      <c r="DX34" s="296">
        <f>IF(DV34=0,0,(DW34-DV34)/DV34*100)</f>
        <v>0</v>
      </c>
      <c r="DY34" s="5241"/>
      <c r="DZ34" s="5241"/>
      <c r="EA34" s="296">
        <f>IF(DY34=0,0,(DZ34-DY34)/DY34*100)</f>
        <v>0</v>
      </c>
      <c r="EB34" s="5241"/>
      <c r="EC34" s="5241"/>
      <c r="ED34" s="296">
        <f>IF(EB34=0,0,(EC34-EB34)/EB34*100)</f>
        <v>0</v>
      </c>
      <c r="EE34" s="5241"/>
      <c r="EF34" s="5241"/>
      <c r="EG34" s="296">
        <f>IF(EE34=0,0,(EF34-EE34)/EE34*100)</f>
        <v>0</v>
      </c>
      <c r="EH34" s="5241"/>
      <c r="EI34" s="5241"/>
      <c r="EJ34" s="296">
        <f>IF(EH34=0,0,(EI34-EH34)/EH34*100)</f>
        <v>0</v>
      </c>
      <c r="EK34" s="5241"/>
      <c r="EL34" s="5241"/>
      <c r="EM34" s="296">
        <f>IF(EK34=0,0,(EL34-EK34)/EK34*100)</f>
        <v>0</v>
      </c>
      <c r="EN34" s="5241"/>
      <c r="EO34" s="5241"/>
      <c r="EP34" s="296">
        <f>IF(EN34=0,0,(EO34-EN34)/EN34*100)</f>
        <v>0</v>
      </c>
      <c r="EQ34" s="5241"/>
      <c r="ER34" s="5241"/>
      <c r="ES34" s="296">
        <f>IF(EQ34=0,0,(ER34-EQ34)/EQ34*100)</f>
        <v>0</v>
      </c>
      <c r="ET34" s="5241"/>
      <c r="EU34" s="5241"/>
      <c r="EV34" s="296">
        <f>IF(ET34=0,0,(EU34-ET34)/ET34*100)</f>
        <v>0</v>
      </c>
      <c r="EW34" s="5241"/>
      <c r="EX34" s="5241"/>
      <c r="EY34" s="296">
        <f>IF(EW34=0,0,(EX34-EW34)/EW34*100)</f>
        <v>0</v>
      </c>
      <c r="EZ34" s="5241"/>
      <c r="FA34" s="5241"/>
      <c r="FB34" s="296">
        <f>IF(EZ34=0,0,(FA34-EZ34)/EZ34*100)</f>
        <v>0</v>
      </c>
      <c r="FC34" s="5241"/>
      <c r="FD34" s="5241"/>
      <c r="FE34" s="296">
        <f>IF(FC34=0,0,(FD34-FC34)/FC34*100)</f>
        <v>0</v>
      </c>
      <c r="FF34" s="5241"/>
      <c r="FG34" s="5241"/>
      <c r="FH34" s="296">
        <f>IF(FF34=0,0,(FG34-FF34)/FF34*100)</f>
        <v>0</v>
      </c>
      <c r="FI34" s="5241"/>
      <c r="FJ34" s="5241"/>
      <c r="FK34" s="296">
        <f>IF(FI34=0,0,(FJ34-FI34)/FI34*100)</f>
        <v>0</v>
      </c>
      <c r="FL34" s="5241"/>
      <c r="FM34" s="5241"/>
      <c r="FN34" s="296">
        <f>IF(FL34=0,0,(FM34-FL34)/FL34*100)</f>
        <v>0</v>
      </c>
      <c r="FO34" s="5241"/>
      <c r="FP34" s="5241"/>
      <c r="FQ34" s="296">
        <f>IF(FO34=0,0,(FP34-FO34)/FO34*100)</f>
        <v>0</v>
      </c>
      <c r="FR34" s="5241"/>
      <c r="FS34" s="5241"/>
      <c r="FT34" s="296">
        <f>IF(FR34=0,0,(FS34-FR34)/FR34*100)</f>
        <v>0</v>
      </c>
      <c r="FU34" s="5241"/>
      <c r="FV34" s="5241"/>
      <c r="FW34" s="296">
        <f>IF(FU34=0,0,(FV34-FU34)/FU34*100)</f>
        <v>0</v>
      </c>
      <c r="FX34" s="292"/>
      <c r="FY34" s="292"/>
      <c r="FZ34" s="1055" t="s">
        <v>2338</v>
      </c>
      <c r="GA34" s="1055"/>
      <c r="GB34" s="1055"/>
      <c r="GC34" s="1056"/>
      <c r="GD34" s="1056"/>
    </row>
    <row s="292" customFormat="1" customHeight="1" ht="23.887500000000003" hidden="1">
      <c r="A35" s="897"/>
      <c r="B35" s="925" cm="1" t="str">
        <f t="array" ref="B35:B35">B34</f>
        <v>false</v>
      </c>
      <c r="C35" s="897"/>
      <c r="D35" s="897"/>
      <c r="E35" s="898">
        <v>24.5</v>
      </c>
      <c r="F35" s="50" cm="1" t="str">
        <f t="array" ref="F35:F35">OFFSET(E35,-1,1)</f>
        <v>0</v>
      </c>
      <c r="G35" s="493" t="s">
        <v>2339</v>
      </c>
      <c r="H35" s="493" t="s">
        <v>1175</v>
      </c>
      <c r="I35" s="493" t="s">
        <v>2340</v>
      </c>
      <c r="J35" s="897"/>
      <c r="K35" s="897"/>
      <c r="L35" s="493"/>
      <c r="M35" s="897"/>
      <c r="N35" s="897"/>
      <c r="O35" s="897"/>
      <c r="P35" s="897"/>
      <c r="Q35" s="897"/>
      <c r="R35" s="897"/>
      <c r="S35" s="493"/>
      <c r="T35" s="465" cm="1" t="str">
        <f t="array" ref="T35:T35">T34</f>
        <v>false</v>
      </c>
      <c r="U35" s="897"/>
      <c r="V35" s="897"/>
      <c r="W35" s="897"/>
      <c r="X35" s="1596"/>
      <c r="Y35" s="897"/>
      <c r="Z35" s="1545"/>
      <c r="AA35" s="897"/>
      <c r="AB35" s="293" t="s">
        <v>2341</v>
      </c>
      <c r="AC35" s="294" t="s">
        <v>2337</v>
      </c>
      <c r="AD35" s="5239">
        <f>IF(AND(method_reg="Метод индексации",god&lt;&gt;first_year),_xlfn.SUMIFS(INDEX('Калькуляция (МИ корр)'!$AJ$25:$BC$747,,MATCH(AD$8,'Калькуляция (МИ корр)'!$AJ$8:$BC$8,0)),'Калькуляция (МИ корр)'!$F$25:$F$747,$F35,'Калькуляция (МИ корр)'!$G$25:$G$747,$G35),IF(method_reg="Метод экономически обоснованных расходов",_xlfn.SUMIFS('Калькуляция (МЭОР)'!$AJ$25:$AJ$452,'Калькуляция (МЭОР)'!$F$25:$F$452,$F35,'Калькуляция (МЭОР)'!$G$25:$G$452,$G35),IF(method_reg="Метод сравнения аналогов",_xlfn.SUMIFS('Калькуляция (МСА)'!$AE$25:$AE$122,'Калькуляция (МСА)'!$F$25:$F$122,$F35,'Калькуляция (МСА)'!$G$25:$G$122,$G35),_xlfn.SUMIFS(INDEX('Калькуляция (МИ)'!$AJ$25:$BC$747,,MATCH(AD$8,'Калькуляция (МИ)'!$AJ$8:$BC$8,0)),'Калькуляция (МИ)'!$F$25:$F$747,$F35,'Калькуляция (МИ)'!$G$25:$G$747,$G35))))</f>
        <v>0</v>
      </c>
      <c r="AE35" s="5239">
        <f>IF(AND(method_reg="Метод индексации",god&lt;&gt;first_year),_xlfn.SUMIFS(INDEX('Калькуляция (МИ корр)'!$AJ$25:$BC$747,,MATCH(AE$8,'Калькуляция (МИ корр)'!$AJ$8:$BC$8,0)),'Калькуляция (МИ корр)'!$F$25:$F$747,$F35,'Калькуляция (МИ корр)'!$G$25:$G$747,$G35),IF(method_reg="Метод экономически обоснованных расходов",_xlfn.SUMIFS('Калькуляция (МЭОР)'!$AK$25:$AK$452,'Калькуляция (МЭОР)'!$F$25:$F$452,$F35,'Калькуляция (МЭОР)'!$G$25:$G$452,$G35),IF(method_reg="Метод сравнения аналогов",_xlfn.SUMIFS('Калькуляция (МСА)'!$AF$25:$AF$122,'Калькуляция (МСА)'!$F$25:$F$122,$F35,'Калькуляция (МСА)'!$G$25:$G$122,$G35),_xlfn.SUMIFS(INDEX('Калькуляция (МИ)'!$AJ$25:$BC$747,,MATCH(AE$8,'Калькуляция (МИ)'!$AJ$8:$BC$8,0)),'Калькуляция (МИ)'!$F$25:$F$747,$F35,'Калькуляция (МИ)'!$G$25:$G$747,$G35))))</f>
        <v>0</v>
      </c>
      <c r="AF35" s="296">
        <f>IF(AD35=0,0,(AE35-AD35)/AD35*100)</f>
        <v>0</v>
      </c>
      <c r="AG35" s="5239">
        <f>IF(AND(method_reg="Метод индексации",god&lt;&gt;first_year),_xlfn.SUMIFS(INDEX('Калькуляция (МИ корр)'!$AJ$25:$BC$747,,MATCH(AG$8,'Калькуляция (МИ корр)'!$AJ$8:$BC$8,0)),'Калькуляция (МИ корр)'!$F$25:$F$747,$F35,'Калькуляция (МИ корр)'!$G$25:$G$747,$G35),IF(method_reg="Метод экономически обоснованных расходов",_xlfn.SUMIFS('Калькуляция (МЭОР)'!$AJ$25:$AJ$452,'Калькуляция (МЭОР)'!$F$25:$F$452,$F35,'Калькуляция (МЭОР)'!$G$25:$G$452,$G35),IF(method_reg="Метод сравнения аналогов",_xlfn.SUMIFS('Калькуляция (МСА)'!$AE$25:$AE$122,'Калькуляция (МСА)'!$F$25:$F$122,$F35,'Калькуляция (МСА)'!$G$25:$G$122,$G35),_xlfn.SUMIFS(INDEX('Калькуляция (МИ)'!$AJ$25:$BC$747,,MATCH(AG$8,'Калькуляция (МИ)'!$AJ$8:$BC$8,0)),'Калькуляция (МИ)'!$F$25:$F$747,$F35,'Калькуляция (МИ)'!$G$25:$G$747,$G35))))</f>
        <v>0</v>
      </c>
      <c r="AH35" s="5239">
        <f>IF(AND(method_reg="Метод индексации",god&lt;&gt;first_year),_xlfn.SUMIFS(INDEX('Калькуляция (МИ корр)'!$AJ$25:$BC$747,,MATCH(AH$8,'Калькуляция (МИ корр)'!$AJ$8:$BC$8,0)),'Калькуляция (МИ корр)'!$F$25:$F$747,$F35,'Калькуляция (МИ корр)'!$G$25:$G$747,$G35),IF(method_reg="Метод экономически обоснованных расходов",_xlfn.SUMIFS('Калькуляция (МЭОР)'!$AK$25:$AK$452,'Калькуляция (МЭОР)'!$F$25:$F$452,$F35,'Калькуляция (МЭОР)'!$G$25:$G$452,$G35),IF(method_reg="Метод сравнения аналогов",_xlfn.SUMIFS('Калькуляция (МСА)'!$AF$25:$AF$122,'Калькуляция (МСА)'!$F$25:$F$122,$F35,'Калькуляция (МСА)'!$G$25:$G$122,$G35),_xlfn.SUMIFS(INDEX('Калькуляция (МИ)'!$AJ$25:$BC$747,,MATCH(AH$8,'Калькуляция (МИ)'!$AJ$8:$BC$8,0)),'Калькуляция (МИ)'!$F$25:$F$747,$F35,'Калькуляция (МИ)'!$G$25:$G$747,$G35))))</f>
        <v>0</v>
      </c>
      <c r="AI35" s="296">
        <f>IF(AG35=0,0,(AH35-AG35)/AG35*100)</f>
        <v>0</v>
      </c>
      <c r="AJ35" s="5239">
        <f>IF(AND(method_reg="Метод индексации",god&lt;&gt;first_year),_xlfn.SUMIFS(INDEX('Калькуляция (МИ корр)'!$AJ$25:$BC$747,,MATCH(AJ$8,'Калькуляция (МИ корр)'!$AJ$8:$BC$8,0)),'Калькуляция (МИ корр)'!$F$25:$F$747,$F35,'Калькуляция (МИ корр)'!$G$25:$G$747,$G35),IF(method_reg="Метод экономически обоснованных расходов",_xlfn.SUMIFS('Калькуляция (МЭОР)'!$AJ$25:$AJ$452,'Калькуляция (МЭОР)'!$F$25:$F$452,$F35,'Калькуляция (МЭОР)'!$G$25:$G$452,$G35),IF(method_reg="Метод сравнения аналогов",_xlfn.SUMIFS('Калькуляция (МСА)'!$AE$25:$AE$122,'Калькуляция (МСА)'!$F$25:$F$122,$F35,'Калькуляция (МСА)'!$G$25:$G$122,$G35),_xlfn.SUMIFS(INDEX('Калькуляция (МИ)'!$AJ$25:$BC$747,,MATCH(AJ$8,'Калькуляция (МИ)'!$AJ$8:$BC$8,0)),'Калькуляция (МИ)'!$F$25:$F$747,$F35,'Калькуляция (МИ)'!$G$25:$G$747,$G35))))</f>
        <v>0</v>
      </c>
      <c r="AK35" s="5239">
        <f>IF(AND(method_reg="Метод индексации",god&lt;&gt;first_year),_xlfn.SUMIFS(INDEX('Калькуляция (МИ корр)'!$AJ$25:$BC$747,,MATCH(AK$8,'Калькуляция (МИ корр)'!$AJ$8:$BC$8,0)),'Калькуляция (МИ корр)'!$F$25:$F$747,$F35,'Калькуляция (МИ корр)'!$G$25:$G$747,$G35),IF(method_reg="Метод экономически обоснованных расходов",_xlfn.SUMIFS('Калькуляция (МЭОР)'!$AK$25:$AK$452,'Калькуляция (МЭОР)'!$F$25:$F$452,$F35,'Калькуляция (МЭОР)'!$G$25:$G$452,$G35),IF(method_reg="Метод сравнения аналогов",_xlfn.SUMIFS('Калькуляция (МСА)'!$AF$25:$AF$122,'Калькуляция (МСА)'!$F$25:$F$122,$F35,'Калькуляция (МСА)'!$G$25:$G$122,$G35),_xlfn.SUMIFS(INDEX('Калькуляция (МИ)'!$AJ$25:$BC$747,,MATCH(AK$8,'Калькуляция (МИ)'!$AJ$8:$BC$8,0)),'Калькуляция (МИ)'!$F$25:$F$747,$F35,'Калькуляция (МИ)'!$G$25:$G$747,$G35))))</f>
        <v>0</v>
      </c>
      <c r="AL35" s="296">
        <f>IF(AJ35=0,0,(AK35-AJ35)/AJ35*100)</f>
        <v>0</v>
      </c>
      <c r="AM35" s="5239">
        <f>IF(AND(method_reg="Метод индексации",god&lt;&gt;first_year),_xlfn.SUMIFS(INDEX('Калькуляция (МИ корр)'!$AJ$25:$BC$747,,MATCH(AM$8,'Калькуляция (МИ корр)'!$AJ$8:$BC$8,0)),'Калькуляция (МИ корр)'!$F$25:$F$747,$F35,'Калькуляция (МИ корр)'!$G$25:$G$747,$G35),IF(method_reg="Метод экономически обоснованных расходов",_xlfn.SUMIFS('Калькуляция (МЭОР)'!$AJ$25:$AJ$452,'Калькуляция (МЭОР)'!$F$25:$F$452,$F35,'Калькуляция (МЭОР)'!$G$25:$G$452,$G35),IF(method_reg="Метод сравнения аналогов",_xlfn.SUMIFS('Калькуляция (МСА)'!$AE$25:$AE$122,'Калькуляция (МСА)'!$F$25:$F$122,$F35,'Калькуляция (МСА)'!$G$25:$G$122,$G35),_xlfn.SUMIFS(INDEX('Калькуляция (МИ)'!$AJ$25:$BC$747,,MATCH(AM$8,'Калькуляция (МИ)'!$AJ$8:$BC$8,0)),'Калькуляция (МИ)'!$F$25:$F$747,$F35,'Калькуляция (МИ)'!$G$25:$G$747,$G35))))</f>
        <v>0</v>
      </c>
      <c r="AN35" s="5239">
        <f>IF(AND(method_reg="Метод индексации",god&lt;&gt;first_year),_xlfn.SUMIFS(INDEX('Калькуляция (МИ корр)'!$AJ$25:$BC$747,,MATCH(AN$8,'Калькуляция (МИ корр)'!$AJ$8:$BC$8,0)),'Калькуляция (МИ корр)'!$F$25:$F$747,$F35,'Калькуляция (МИ корр)'!$G$25:$G$747,$G35),IF(method_reg="Метод экономически обоснованных расходов",_xlfn.SUMIFS('Калькуляция (МЭОР)'!$AK$25:$AK$452,'Калькуляция (МЭОР)'!$F$25:$F$452,$F35,'Калькуляция (МЭОР)'!$G$25:$G$452,$G35),IF(method_reg="Метод сравнения аналогов",_xlfn.SUMIFS('Калькуляция (МСА)'!$AF$25:$AF$122,'Калькуляция (МСА)'!$F$25:$F$122,$F35,'Калькуляция (МСА)'!$G$25:$G$122,$G35),_xlfn.SUMIFS(INDEX('Калькуляция (МИ)'!$AJ$25:$BC$747,,MATCH(AN$8,'Калькуляция (МИ)'!$AJ$8:$BC$8,0)),'Калькуляция (МИ)'!$F$25:$F$747,$F35,'Калькуляция (МИ)'!$G$25:$G$747,$G35))))</f>
        <v>0</v>
      </c>
      <c r="AO35" s="296">
        <f>IF(AM35=0,0,(AN35-AM35)/AM35*100)</f>
        <v>0</v>
      </c>
      <c r="AP35" s="5239">
        <f>IF(AND(method_reg="Метод индексации",god&lt;&gt;first_year),_xlfn.SUMIFS(INDEX('Калькуляция (МИ корр)'!$AJ$25:$BC$747,,MATCH(AP$8,'Калькуляция (МИ корр)'!$AJ$8:$BC$8,0)),'Калькуляция (МИ корр)'!$F$25:$F$747,$F35,'Калькуляция (МИ корр)'!$G$25:$G$747,$G35),IF(method_reg="Метод экономически обоснованных расходов",_xlfn.SUMIFS('Калькуляция (МЭОР)'!$AJ$25:$AJ$452,'Калькуляция (МЭОР)'!$F$25:$F$452,$F35,'Калькуляция (МЭОР)'!$G$25:$G$452,$G35),IF(method_reg="Метод сравнения аналогов",_xlfn.SUMIFS('Калькуляция (МСА)'!$AE$25:$AE$122,'Калькуляция (МСА)'!$F$25:$F$122,$F35,'Калькуляция (МСА)'!$G$25:$G$122,$G35),_xlfn.SUMIFS(INDEX('Калькуляция (МИ)'!$AJ$25:$BC$747,,MATCH(AP$8,'Калькуляция (МИ)'!$AJ$8:$BC$8,0)),'Калькуляция (МИ)'!$F$25:$F$747,$F35,'Калькуляция (МИ)'!$G$25:$G$747,$G35))))</f>
        <v>0</v>
      </c>
      <c r="AQ35" s="5239">
        <f>IF(AND(method_reg="Метод индексации",god&lt;&gt;first_year),_xlfn.SUMIFS(INDEX('Калькуляция (МИ корр)'!$AJ$25:$BC$747,,MATCH(AQ$8,'Калькуляция (МИ корр)'!$AJ$8:$BC$8,0)),'Калькуляция (МИ корр)'!$F$25:$F$747,$F35,'Калькуляция (МИ корр)'!$G$25:$G$747,$G35),IF(method_reg="Метод экономически обоснованных расходов",_xlfn.SUMIFS('Калькуляция (МЭОР)'!$AK$25:$AK$452,'Калькуляция (МЭОР)'!$F$25:$F$452,$F35,'Калькуляция (МЭОР)'!$G$25:$G$452,$G35),IF(method_reg="Метод сравнения аналогов",_xlfn.SUMIFS('Калькуляция (МСА)'!$AF$25:$AF$122,'Калькуляция (МСА)'!$F$25:$F$122,$F35,'Калькуляция (МСА)'!$G$25:$G$122,$G35),_xlfn.SUMIFS(INDEX('Калькуляция (МИ)'!$AJ$25:$BC$747,,MATCH(AQ$8,'Калькуляция (МИ)'!$AJ$8:$BC$8,0)),'Калькуляция (МИ)'!$F$25:$F$747,$F35,'Калькуляция (МИ)'!$G$25:$G$747,$G35))))</f>
        <v>0</v>
      </c>
      <c r="AR35" s="296">
        <f>IF(AP35=0,0,(AQ35-AP35)/AP35*100)</f>
        <v>0</v>
      </c>
      <c r="AS35" s="5239">
        <f>IF(AND(method_reg="Метод индексации",god&lt;&gt;first_year),_xlfn.SUMIFS(INDEX('Калькуляция (МИ корр)'!$AJ$25:$BC$747,,MATCH(AS$8,'Калькуляция (МИ корр)'!$AJ$8:$BC$8,0)),'Калькуляция (МИ корр)'!$F$25:$F$747,$F35,'Калькуляция (МИ корр)'!$G$25:$G$747,$G35),IF(method_reg="Метод экономически обоснованных расходов",_xlfn.SUMIFS('Калькуляция (МЭОР)'!$AJ$25:$AJ$452,'Калькуляция (МЭОР)'!$F$25:$F$452,$F35,'Калькуляция (МЭОР)'!$G$25:$G$452,$G35),IF(method_reg="Метод сравнения аналогов",_xlfn.SUMIFS('Калькуляция (МСА)'!$AE$25:$AE$122,'Калькуляция (МСА)'!$F$25:$F$122,$F35,'Калькуляция (МСА)'!$G$25:$G$122,$G35),_xlfn.SUMIFS(INDEX('Калькуляция (МИ)'!$AJ$25:$BC$747,,MATCH(AS$8,'Калькуляция (МИ)'!$AJ$8:$BC$8,0)),'Калькуляция (МИ)'!$F$25:$F$747,$F35,'Калькуляция (МИ)'!$G$25:$G$747,$G35))))</f>
        <v>0</v>
      </c>
      <c r="AT35" s="5239">
        <f>IF(AND(method_reg="Метод индексации",god&lt;&gt;first_year),_xlfn.SUMIFS(INDEX('Калькуляция (МИ корр)'!$AJ$25:$BC$747,,MATCH(AT$8,'Калькуляция (МИ корр)'!$AJ$8:$BC$8,0)),'Калькуляция (МИ корр)'!$F$25:$F$747,$F35,'Калькуляция (МИ корр)'!$G$25:$G$747,$G35),IF(method_reg="Метод экономически обоснованных расходов",_xlfn.SUMIFS('Калькуляция (МЭОР)'!$AK$25:$AK$452,'Калькуляция (МЭОР)'!$F$25:$F$452,$F35,'Калькуляция (МЭОР)'!$G$25:$G$452,$G35),IF(method_reg="Метод сравнения аналогов",_xlfn.SUMIFS('Калькуляция (МСА)'!$AF$25:$AF$122,'Калькуляция (МСА)'!$F$25:$F$122,$F35,'Калькуляция (МСА)'!$G$25:$G$122,$G35),_xlfn.SUMIFS(INDEX('Калькуляция (МИ)'!$AJ$25:$BC$747,,MATCH(AT$8,'Калькуляция (МИ)'!$AJ$8:$BC$8,0)),'Калькуляция (МИ)'!$F$25:$F$747,$F35,'Калькуляция (МИ)'!$G$25:$G$747,$G35))))</f>
        <v>0</v>
      </c>
      <c r="AU35" s="296">
        <f>IF(AS35=0,0,(AT35-AS35)/AS35*100)</f>
        <v>0</v>
      </c>
      <c r="AV35" s="5239">
        <f>IF(AND(method_reg="Метод индексации",god&lt;&gt;first_year),_xlfn.SUMIFS(INDEX('Калькуляция (МИ корр)'!$AJ$25:$BC$747,,MATCH(AV$8,'Калькуляция (МИ корр)'!$AJ$8:$BC$8,0)),'Калькуляция (МИ корр)'!$F$25:$F$747,$F35,'Калькуляция (МИ корр)'!$G$25:$G$747,$G35),IF(method_reg="Метод экономически обоснованных расходов",_xlfn.SUMIFS('Калькуляция (МЭОР)'!$AJ$25:$AJ$452,'Калькуляция (МЭОР)'!$F$25:$F$452,$F35,'Калькуляция (МЭОР)'!$G$25:$G$452,$G35),IF(method_reg="Метод сравнения аналогов",_xlfn.SUMIFS('Калькуляция (МСА)'!$AE$25:$AE$122,'Калькуляция (МСА)'!$F$25:$F$122,$F35,'Калькуляция (МСА)'!$G$25:$G$122,$G35),_xlfn.SUMIFS(INDEX('Калькуляция (МИ)'!$AJ$25:$BC$747,,MATCH(AV$8,'Калькуляция (МИ)'!$AJ$8:$BC$8,0)),'Калькуляция (МИ)'!$F$25:$F$747,$F35,'Калькуляция (МИ)'!$G$25:$G$747,$G35))))</f>
        <v>0</v>
      </c>
      <c r="AW35" s="5239">
        <f>IF(AND(method_reg="Метод индексации",god&lt;&gt;first_year),_xlfn.SUMIFS(INDEX('Калькуляция (МИ корр)'!$AJ$25:$BC$747,,MATCH(AW$8,'Калькуляция (МИ корр)'!$AJ$8:$BC$8,0)),'Калькуляция (МИ корр)'!$F$25:$F$747,$F35,'Калькуляция (МИ корр)'!$G$25:$G$747,$G35),IF(method_reg="Метод экономически обоснованных расходов",_xlfn.SUMIFS('Калькуляция (МЭОР)'!$AK$25:$AK$452,'Калькуляция (МЭОР)'!$F$25:$F$452,$F35,'Калькуляция (МЭОР)'!$G$25:$G$452,$G35),IF(method_reg="Метод сравнения аналогов",_xlfn.SUMIFS('Калькуляция (МСА)'!$AF$25:$AF$122,'Калькуляция (МСА)'!$F$25:$F$122,$F35,'Калькуляция (МСА)'!$G$25:$G$122,$G35),_xlfn.SUMIFS(INDEX('Калькуляция (МИ)'!$AJ$25:$BC$747,,MATCH(AW$8,'Калькуляция (МИ)'!$AJ$8:$BC$8,0)),'Калькуляция (МИ)'!$F$25:$F$747,$F35,'Калькуляция (МИ)'!$G$25:$G$747,$G35))))</f>
        <v>0</v>
      </c>
      <c r="AX35" s="296">
        <f>IF(AV35=0,0,(AW35-AV35)/AV35*100)</f>
        <v>0</v>
      </c>
      <c r="AY35" s="5239">
        <f>IF(AND(method_reg="Метод индексации",god&lt;&gt;first_year),_xlfn.SUMIFS(INDEX('Калькуляция (МИ корр)'!$AJ$25:$BC$747,,MATCH(AY$8,'Калькуляция (МИ корр)'!$AJ$8:$BC$8,0)),'Калькуляция (МИ корр)'!$F$25:$F$747,$F35,'Калькуляция (МИ корр)'!$G$25:$G$747,$G35),IF(method_reg="Метод экономически обоснованных расходов",_xlfn.SUMIFS('Калькуляция (МЭОР)'!$AJ$25:$AJ$452,'Калькуляция (МЭОР)'!$F$25:$F$452,$F35,'Калькуляция (МЭОР)'!$G$25:$G$452,$G35),IF(method_reg="Метод сравнения аналогов",_xlfn.SUMIFS('Калькуляция (МСА)'!$AE$25:$AE$122,'Калькуляция (МСА)'!$F$25:$F$122,$F35,'Калькуляция (МСА)'!$G$25:$G$122,$G35),_xlfn.SUMIFS(INDEX('Калькуляция (МИ)'!$AJ$25:$BC$747,,MATCH(AY$8,'Калькуляция (МИ)'!$AJ$8:$BC$8,0)),'Калькуляция (МИ)'!$F$25:$F$747,$F35,'Калькуляция (МИ)'!$G$25:$G$747,$G35))))</f>
        <v>0</v>
      </c>
      <c r="AZ35" s="5239">
        <f>IF(AND(method_reg="Метод индексации",god&lt;&gt;first_year),_xlfn.SUMIFS(INDEX('Калькуляция (МИ корр)'!$AJ$25:$BC$747,,MATCH(AZ$8,'Калькуляция (МИ корр)'!$AJ$8:$BC$8,0)),'Калькуляция (МИ корр)'!$F$25:$F$747,$F35,'Калькуляция (МИ корр)'!$G$25:$G$747,$G35),IF(method_reg="Метод экономически обоснованных расходов",_xlfn.SUMIFS('Калькуляция (МЭОР)'!$AK$25:$AK$452,'Калькуляция (МЭОР)'!$F$25:$F$452,$F35,'Калькуляция (МЭОР)'!$G$25:$G$452,$G35),IF(method_reg="Метод сравнения аналогов",_xlfn.SUMIFS('Калькуляция (МСА)'!$AF$25:$AF$122,'Калькуляция (МСА)'!$F$25:$F$122,$F35,'Калькуляция (МСА)'!$G$25:$G$122,$G35),_xlfn.SUMIFS(INDEX('Калькуляция (МИ)'!$AJ$25:$BC$747,,MATCH(AZ$8,'Калькуляция (МИ)'!$AJ$8:$BC$8,0)),'Калькуляция (МИ)'!$F$25:$F$747,$F35,'Калькуляция (МИ)'!$G$25:$G$747,$G35))))</f>
        <v>0</v>
      </c>
      <c r="BA35" s="296">
        <f>IF(AY35=0,0,(AZ35-AY35)/AY35*100)</f>
        <v>0</v>
      </c>
      <c r="BB35" s="5239">
        <f>IF(AND(method_reg="Метод индексации",god&lt;&gt;first_year),_xlfn.SUMIFS(INDEX('Калькуляция (МИ корр)'!$AJ$25:$BC$747,,MATCH(BB$8,'Калькуляция (МИ корр)'!$AJ$8:$BC$8,0)),'Калькуляция (МИ корр)'!$F$25:$F$747,$F35,'Калькуляция (МИ корр)'!$G$25:$G$747,$G35),IF(method_reg="Метод экономически обоснованных расходов",_xlfn.SUMIFS('Калькуляция (МЭОР)'!$AJ$25:$AJ$452,'Калькуляция (МЭОР)'!$F$25:$F$452,$F35,'Калькуляция (МЭОР)'!$G$25:$G$452,$G35),IF(method_reg="Метод сравнения аналогов",_xlfn.SUMIFS('Калькуляция (МСА)'!$AE$25:$AE$122,'Калькуляция (МСА)'!$F$25:$F$122,$F35,'Калькуляция (МСА)'!$G$25:$G$122,$G35),_xlfn.SUMIFS(INDEX('Калькуляция (МИ)'!$AJ$25:$BC$747,,MATCH(BB$8,'Калькуляция (МИ)'!$AJ$8:$BC$8,0)),'Калькуляция (МИ)'!$F$25:$F$747,$F35,'Калькуляция (МИ)'!$G$25:$G$747,$G35))))</f>
        <v>0</v>
      </c>
      <c r="BC35" s="5239">
        <f>IF(AND(method_reg="Метод индексации",god&lt;&gt;first_year),_xlfn.SUMIFS(INDEX('Калькуляция (МИ корр)'!$AJ$25:$BC$747,,MATCH(BC$8,'Калькуляция (МИ корр)'!$AJ$8:$BC$8,0)),'Калькуляция (МИ корр)'!$F$25:$F$747,$F35,'Калькуляция (МИ корр)'!$G$25:$G$747,$G35),IF(method_reg="Метод экономически обоснованных расходов",_xlfn.SUMIFS('Калькуляция (МЭОР)'!$AK$25:$AK$452,'Калькуляция (МЭОР)'!$F$25:$F$452,$F35,'Калькуляция (МЭОР)'!$G$25:$G$452,$G35),IF(method_reg="Метод сравнения аналогов",_xlfn.SUMIFS('Калькуляция (МСА)'!$AF$25:$AF$122,'Калькуляция (МСА)'!$F$25:$F$122,$F35,'Калькуляция (МСА)'!$G$25:$G$122,$G35),_xlfn.SUMIFS(INDEX('Калькуляция (МИ)'!$AJ$25:$BC$747,,MATCH(BC$8,'Калькуляция (МИ)'!$AJ$8:$BC$8,0)),'Калькуляция (МИ)'!$F$25:$F$747,$F35,'Калькуляция (МИ)'!$G$25:$G$747,$G35))))</f>
        <v>0</v>
      </c>
      <c r="BD35" s="296">
        <f>IF(BB35=0,0,(BC35-BB35)/BB35*100)</f>
        <v>0</v>
      </c>
      <c r="BE35" s="5239">
        <f>IF(AND(method_reg="Метод индексации",god&lt;&gt;first_year),_xlfn.SUMIFS(INDEX('Калькуляция (МИ корр)'!$AJ$25:$BC$747,,MATCH(BE$8,'Калькуляция (МИ корр)'!$AJ$8:$BC$8,0)),'Калькуляция (МИ корр)'!$F$25:$F$747,$F35,'Калькуляция (МИ корр)'!$G$25:$G$747,$G35),IF(method_reg="Метод экономически обоснованных расходов",_xlfn.SUMIFS('Калькуляция (МЭОР)'!$AJ$25:$AJ$452,'Калькуляция (МЭОР)'!$F$25:$F$452,$F35,'Калькуляция (МЭОР)'!$G$25:$G$452,$G35),IF(method_reg="Метод сравнения аналогов",_xlfn.SUMIFS('Калькуляция (МСА)'!$AE$25:$AE$122,'Калькуляция (МСА)'!$F$25:$F$122,$F35,'Калькуляция (МСА)'!$G$25:$G$122,$G35),_xlfn.SUMIFS(INDEX('Калькуляция (МИ)'!$AJ$25:$BC$747,,MATCH(BE$8,'Калькуляция (МИ)'!$AJ$8:$BC$8,0)),'Калькуляция (МИ)'!$F$25:$F$747,$F35,'Калькуляция (МИ)'!$G$25:$G$747,$G35))))</f>
        <v>0</v>
      </c>
      <c r="BF35" s="5239">
        <f>IF(AND(method_reg="Метод индексации",god&lt;&gt;first_year),_xlfn.SUMIFS(INDEX('Калькуляция (МИ корр)'!$AJ$25:$BC$747,,MATCH(BF$8,'Калькуляция (МИ корр)'!$AJ$8:$BC$8,0)),'Калькуляция (МИ корр)'!$F$25:$F$747,$F35,'Калькуляция (МИ корр)'!$G$25:$G$747,$G35),IF(method_reg="Метод экономически обоснованных расходов",_xlfn.SUMIFS('Калькуляция (МЭОР)'!$AK$25:$AK$452,'Калькуляция (МЭОР)'!$F$25:$F$452,$F35,'Калькуляция (МЭОР)'!$G$25:$G$452,$G35),IF(method_reg="Метод сравнения аналогов",_xlfn.SUMIFS('Калькуляция (МСА)'!$AF$25:$AF$122,'Калькуляция (МСА)'!$F$25:$F$122,$F35,'Калькуляция (МСА)'!$G$25:$G$122,$G35),_xlfn.SUMIFS(INDEX('Калькуляция (МИ)'!$AJ$25:$BC$747,,MATCH(BF$8,'Калькуляция (МИ)'!$AJ$8:$BC$8,0)),'Калькуляция (МИ)'!$F$25:$F$747,$F35,'Калькуляция (МИ)'!$G$25:$G$747,$G35))))</f>
        <v>0</v>
      </c>
      <c r="BG35" s="296">
        <f>IF(BE35=0,0,(BF35-BE35)/BE35*100)</f>
        <v>0</v>
      </c>
      <c r="BH35" s="5239"/>
      <c r="BI35" s="5239"/>
      <c r="BJ35" s="296">
        <f>IF(BH35=0,0,(BI35-BH35)/BH35*100)</f>
        <v>0</v>
      </c>
      <c r="BK35" s="5239"/>
      <c r="BL35" s="5239"/>
      <c r="BM35" s="296">
        <f>IF(BK35=0,0,(BL35-BK35)/BK35*100)</f>
        <v>0</v>
      </c>
      <c r="BN35" s="5239"/>
      <c r="BO35" s="5239"/>
      <c r="BP35" s="296">
        <f>IF(BN35=0,0,(BO35-BN35)/BN35*100)</f>
        <v>0</v>
      </c>
      <c r="BQ35" s="5239"/>
      <c r="BR35" s="5239"/>
      <c r="BS35" s="296">
        <f>IF(BQ35=0,0,(BR35-BQ35)/BQ35*100)</f>
        <v>0</v>
      </c>
      <c r="BT35" s="5239"/>
      <c r="BU35" s="5239"/>
      <c r="BV35" s="296">
        <f>IF(BT35=0,0,(BU35-BT35)/BT35*100)</f>
        <v>0</v>
      </c>
      <c r="BW35" s="5239"/>
      <c r="BX35" s="5239"/>
      <c r="BY35" s="296">
        <f>IF(BW35=0,0,(BX35-BW35)/BW35*100)</f>
        <v>0</v>
      </c>
      <c r="BZ35" s="5239"/>
      <c r="CA35" s="5239"/>
      <c r="CB35" s="296">
        <f>IF(BZ35=0,0,(CA35-BZ35)/BZ35*100)</f>
        <v>0</v>
      </c>
      <c r="CC35" s="5239"/>
      <c r="CD35" s="5239"/>
      <c r="CE35" s="296">
        <f>IF(CC35=0,0,(CD35-CC35)/CC35*100)</f>
        <v>0</v>
      </c>
      <c r="CF35" s="5239"/>
      <c r="CG35" s="5239"/>
      <c r="CH35" s="296">
        <f>IF(CF35=0,0,(CG35-CF35)/CF35*100)</f>
        <v>0</v>
      </c>
      <c r="CI35" s="5239"/>
      <c r="CJ35" s="5239"/>
      <c r="CK35" s="296">
        <f>IF(CI35=0,0,(CJ35-CI35)/CI35*100)</f>
        <v>0</v>
      </c>
      <c r="CL35" s="5239"/>
      <c r="CM35" s="5239"/>
      <c r="CN35" s="296">
        <f>IF(CL35=0,0,(CM35-CL35)/CL35*100)</f>
        <v>0</v>
      </c>
      <c r="CO35" s="5239"/>
      <c r="CP35" s="5239"/>
      <c r="CQ35" s="296">
        <f>IF(CO35=0,0,(CP35-CO35)/CO35*100)</f>
        <v>0</v>
      </c>
      <c r="CR35" s="5239"/>
      <c r="CS35" s="5239"/>
      <c r="CT35" s="296">
        <f>IF(CR35=0,0,(CS35-CR35)/CR35*100)</f>
        <v>0</v>
      </c>
      <c r="CU35" s="5239"/>
      <c r="CV35" s="5239"/>
      <c r="CW35" s="296">
        <f>IF(CU35=0,0,(CV35-CU35)/CU35*100)</f>
        <v>0</v>
      </c>
      <c r="CX35" s="5239"/>
      <c r="CY35" s="5239"/>
      <c r="CZ35" s="296">
        <f>IF(CX35=0,0,(CY35-CX35)/CX35*100)</f>
        <v>0</v>
      </c>
      <c r="DA35" s="5239"/>
      <c r="DB35" s="5239"/>
      <c r="DC35" s="296">
        <f>IF(DA35=0,0,(DB35-DA35)/DA35*100)</f>
        <v>0</v>
      </c>
      <c r="DD35" s="5239"/>
      <c r="DE35" s="5239"/>
      <c r="DF35" s="296">
        <f>IF(DD35=0,0,(DE35-DD35)/DD35*100)</f>
        <v>0</v>
      </c>
      <c r="DG35" s="5241"/>
      <c r="DH35" s="5241"/>
      <c r="DI35" s="296">
        <f>IF(DG35=0,0,(DH35-DG35)/DG35*100)</f>
        <v>0</v>
      </c>
      <c r="DJ35" s="5241"/>
      <c r="DK35" s="5241"/>
      <c r="DL35" s="296">
        <f>IF(DJ35=0,0,(DK35-DJ35)/DJ35*100)</f>
        <v>0</v>
      </c>
      <c r="DM35" s="5241"/>
      <c r="DN35" s="5241"/>
      <c r="DO35" s="296">
        <f>IF(DM35=0,0,(DN35-DM35)/DM35*100)</f>
        <v>0</v>
      </c>
      <c r="DP35" s="5241"/>
      <c r="DQ35" s="5241"/>
      <c r="DR35" s="296">
        <f>IF(DP35=0,0,(DQ35-DP35)/DP35*100)</f>
        <v>0</v>
      </c>
      <c r="DS35" s="5241"/>
      <c r="DT35" s="5241"/>
      <c r="DU35" s="296">
        <f>IF(DS35=0,0,(DT35-DS35)/DS35*100)</f>
        <v>0</v>
      </c>
      <c r="DV35" s="5241"/>
      <c r="DW35" s="5241"/>
      <c r="DX35" s="296">
        <f>IF(DV35=0,0,(DW35-DV35)/DV35*100)</f>
        <v>0</v>
      </c>
      <c r="DY35" s="5241"/>
      <c r="DZ35" s="5241"/>
      <c r="EA35" s="296">
        <f>IF(DY35=0,0,(DZ35-DY35)/DY35*100)</f>
        <v>0</v>
      </c>
      <c r="EB35" s="5241"/>
      <c r="EC35" s="5241"/>
      <c r="ED35" s="296">
        <f>IF(EB35=0,0,(EC35-EB35)/EB35*100)</f>
        <v>0</v>
      </c>
      <c r="EE35" s="5241"/>
      <c r="EF35" s="5241"/>
      <c r="EG35" s="296">
        <f>IF(EE35=0,0,(EF35-EE35)/EE35*100)</f>
        <v>0</v>
      </c>
      <c r="EH35" s="5241"/>
      <c r="EI35" s="5241"/>
      <c r="EJ35" s="296">
        <f>IF(EH35=0,0,(EI35-EH35)/EH35*100)</f>
        <v>0</v>
      </c>
      <c r="EK35" s="5241"/>
      <c r="EL35" s="5241"/>
      <c r="EM35" s="296">
        <f>IF(EK35=0,0,(EL35-EK35)/EK35*100)</f>
        <v>0</v>
      </c>
      <c r="EN35" s="5241"/>
      <c r="EO35" s="5241"/>
      <c r="EP35" s="296">
        <f>IF(EN35=0,0,(EO35-EN35)/EN35*100)</f>
        <v>0</v>
      </c>
      <c r="EQ35" s="5241"/>
      <c r="ER35" s="5241"/>
      <c r="ES35" s="296">
        <f>IF(EQ35=0,0,(ER35-EQ35)/EQ35*100)</f>
        <v>0</v>
      </c>
      <c r="ET35" s="5241"/>
      <c r="EU35" s="5241"/>
      <c r="EV35" s="296">
        <f>IF(ET35=0,0,(EU35-ET35)/ET35*100)</f>
        <v>0</v>
      </c>
      <c r="EW35" s="5241"/>
      <c r="EX35" s="5241"/>
      <c r="EY35" s="296">
        <f>IF(EW35=0,0,(EX35-EW35)/EW35*100)</f>
        <v>0</v>
      </c>
      <c r="EZ35" s="5241"/>
      <c r="FA35" s="5241"/>
      <c r="FB35" s="296">
        <f>IF(EZ35=0,0,(FA35-EZ35)/EZ35*100)</f>
        <v>0</v>
      </c>
      <c r="FC35" s="5241"/>
      <c r="FD35" s="5241"/>
      <c r="FE35" s="296">
        <f>IF(FC35=0,0,(FD35-FC35)/FC35*100)</f>
        <v>0</v>
      </c>
      <c r="FF35" s="5241"/>
      <c r="FG35" s="5241"/>
      <c r="FH35" s="296">
        <f>IF(FF35=0,0,(FG35-FF35)/FF35*100)</f>
        <v>0</v>
      </c>
      <c r="FI35" s="5241"/>
      <c r="FJ35" s="5241"/>
      <c r="FK35" s="296">
        <f>IF(FI35=0,0,(FJ35-FI35)/FI35*100)</f>
        <v>0</v>
      </c>
      <c r="FL35" s="5241"/>
      <c r="FM35" s="5241"/>
      <c r="FN35" s="296">
        <f>IF(FL35=0,0,(FM35-FL35)/FL35*100)</f>
        <v>0</v>
      </c>
      <c r="FO35" s="5241"/>
      <c r="FP35" s="5241"/>
      <c r="FQ35" s="296">
        <f>IF(FO35=0,0,(FP35-FO35)/FO35*100)</f>
        <v>0</v>
      </c>
      <c r="FR35" s="5241"/>
      <c r="FS35" s="5241"/>
      <c r="FT35" s="296">
        <f>IF(FR35=0,0,(FS35-FR35)/FR35*100)</f>
        <v>0</v>
      </c>
      <c r="FU35" s="5241"/>
      <c r="FV35" s="5241"/>
      <c r="FW35" s="296">
        <f>IF(FU35=0,0,(FV35-FU35)/FU35*100)</f>
        <v>0</v>
      </c>
      <c r="FX35" s="292"/>
      <c r="FY35" s="292"/>
      <c r="FZ35" s="1055" t="s">
        <v>2342</v>
      </c>
      <c r="GA35" s="1055"/>
      <c r="GB35" s="1055"/>
      <c r="GC35" s="1056"/>
      <c r="GD35" s="1056"/>
    </row>
    <row customHeight="1" ht="14.625" hidden="1">
      <c r="A36" s="493"/>
      <c r="B36" s="925" cm="1" t="str">
        <f t="array" ref="B36:B36">B35</f>
        <v>false</v>
      </c>
      <c r="C36" s="493"/>
      <c r="D36" s="493"/>
      <c r="E36" s="840">
        <v>15</v>
      </c>
      <c r="F36" s="50" cm="1" t="str">
        <f t="array" ref="F36:F36">OFFSET(E36,-1,1)</f>
        <v>0</v>
      </c>
      <c r="G36" s="493"/>
      <c r="H36" s="493" t="s">
        <v>1179</v>
      </c>
      <c r="I36" s="493" t="s">
        <v>2343</v>
      </c>
      <c r="J36" s="493"/>
      <c r="K36" s="493"/>
      <c r="L36" s="493"/>
      <c r="M36" s="493"/>
      <c r="N36" s="493"/>
      <c r="O36" s="493"/>
      <c r="P36" s="493"/>
      <c r="Q36" s="493"/>
      <c r="R36" s="493"/>
      <c r="S36" s="493"/>
      <c r="T36" s="465" cm="1" t="str">
        <f t="array" ref="T36:T36">T35</f>
        <v>false</v>
      </c>
      <c r="U36" s="493"/>
      <c r="V36" s="493"/>
      <c r="W36" s="493"/>
      <c r="X36" s="1596"/>
      <c r="Y36" s="493"/>
      <c r="Z36" s="1545"/>
      <c r="AA36" s="493"/>
      <c r="AB36" s="1089" t="s">
        <v>2344</v>
      </c>
      <c r="AC36" s="864" t="s">
        <v>1170</v>
      </c>
      <c r="AD36" s="1092">
        <f>IF(AD34=0,0,AD35/AD34)*100</f>
        <v>0</v>
      </c>
      <c r="AE36" s="1092">
        <f>IF(AE34=0,0,AE35/AE34)*100</f>
        <v>0</v>
      </c>
      <c r="AF36" s="1093"/>
      <c r="AG36" s="1092">
        <f>IF(AG34=0,0,AG35/AG34)*100</f>
        <v>0</v>
      </c>
      <c r="AH36" s="1092">
        <f>IF(AH34=0,0,AH35/AH34)*100</f>
        <v>0</v>
      </c>
      <c r="AI36" s="1093"/>
      <c r="AJ36" s="1092">
        <f>IF(AJ34=0,0,AJ35/AJ34)*100</f>
        <v>0</v>
      </c>
      <c r="AK36" s="1092">
        <f>IF(AK34=0,0,AK35/AK34)*100</f>
        <v>0</v>
      </c>
      <c r="AL36" s="1093"/>
      <c r="AM36" s="1092">
        <f>IF(AM34=0,0,AM35/AM34)*100</f>
        <v>0</v>
      </c>
      <c r="AN36" s="1092">
        <f>IF(AN34=0,0,AN35/AN34)*100</f>
        <v>0</v>
      </c>
      <c r="AO36" s="1093"/>
      <c r="AP36" s="1092">
        <f>IF(AP34=0,0,AP35/AP34)*100</f>
        <v>0</v>
      </c>
      <c r="AQ36" s="1092">
        <f>IF(AQ34=0,0,AQ35/AQ34)*100</f>
        <v>0</v>
      </c>
      <c r="AR36" s="1093"/>
      <c r="AS36" s="1092">
        <f>IF(AS34=0,0,AS35/AS34)*100</f>
        <v>0</v>
      </c>
      <c r="AT36" s="1092">
        <f>IF(AT34=0,0,AT35/AT34)*100</f>
        <v>0</v>
      </c>
      <c r="AU36" s="1093"/>
      <c r="AV36" s="1092">
        <f>IF(AV34=0,0,AV35/AV34)*100</f>
        <v>0</v>
      </c>
      <c r="AW36" s="1092">
        <f>IF(AW34=0,0,AW35/AW34)*100</f>
        <v>0</v>
      </c>
      <c r="AX36" s="1093"/>
      <c r="AY36" s="1092">
        <f>IF(AY34=0,0,AY35/AY34)*100</f>
        <v>0</v>
      </c>
      <c r="AZ36" s="1092">
        <f>IF(AZ34=0,0,AZ35/AZ34)*100</f>
        <v>0</v>
      </c>
      <c r="BA36" s="1093"/>
      <c r="BB36" s="1092">
        <f>IF(BB34=0,0,BB35/BB34)*100</f>
        <v>0</v>
      </c>
      <c r="BC36" s="1092">
        <f>IF(BC34=0,0,BC35/BC34)*100</f>
        <v>0</v>
      </c>
      <c r="BD36" s="1093"/>
      <c r="BE36" s="1092">
        <f>IF(BE34=0,0,BE35/BE34)*100</f>
        <v>0</v>
      </c>
      <c r="BF36" s="1092">
        <f>IF(BF34=0,0,BF35/BF34)*100</f>
        <v>0</v>
      </c>
      <c r="BG36" s="1093"/>
      <c r="BH36" s="1092">
        <f>IF(BH34=0,0,BH35/BH34)*100</f>
        <v>0</v>
      </c>
      <c r="BI36" s="1092">
        <f>IF(BI34=0,0,BI35/BI34)*100</f>
        <v>0</v>
      </c>
      <c r="BJ36" s="1093"/>
      <c r="BK36" s="1092">
        <f>IF(BK34=0,0,BK35/BK34)*100</f>
        <v>0</v>
      </c>
      <c r="BL36" s="1092">
        <f>IF(BL34=0,0,BL35/BL34)*100</f>
        <v>0</v>
      </c>
      <c r="BM36" s="1093"/>
      <c r="BN36" s="1092">
        <f>IF(BN34=0,0,BN35/BN34)*100</f>
        <v>0</v>
      </c>
      <c r="BO36" s="1092">
        <f>IF(BO34=0,0,BO35/BO34)*100</f>
        <v>0</v>
      </c>
      <c r="BP36" s="1093"/>
      <c r="BQ36" s="1092">
        <f>IF(BQ34=0,0,BQ35/BQ34)*100</f>
        <v>0</v>
      </c>
      <c r="BR36" s="1092">
        <f>IF(BR34=0,0,BR35/BR34)*100</f>
        <v>0</v>
      </c>
      <c r="BS36" s="1093"/>
      <c r="BT36" s="1092">
        <f>IF(BT34=0,0,BT35/BT34)*100</f>
        <v>0</v>
      </c>
      <c r="BU36" s="1092">
        <f>IF(BU34=0,0,BU35/BU34)*100</f>
        <v>0</v>
      </c>
      <c r="BV36" s="1093"/>
      <c r="BW36" s="1092">
        <f>IF(BW34=0,0,BW35/BW34)*100</f>
        <v>0</v>
      </c>
      <c r="BX36" s="1092">
        <f>IF(BX34=0,0,BX35/BX34)*100</f>
        <v>0</v>
      </c>
      <c r="BY36" s="1093"/>
      <c r="BZ36" s="1092">
        <f>IF(BZ34=0,0,BZ35/BZ34)*100</f>
        <v>0</v>
      </c>
      <c r="CA36" s="1092">
        <f>IF(CA34=0,0,CA35/CA34)*100</f>
        <v>0</v>
      </c>
      <c r="CB36" s="1093"/>
      <c r="CC36" s="1092">
        <f>IF(CC34=0,0,CC35/CC34)*100</f>
        <v>0</v>
      </c>
      <c r="CD36" s="1092">
        <f>IF(CD34=0,0,CD35/CD34)*100</f>
        <v>0</v>
      </c>
      <c r="CE36" s="1093"/>
      <c r="CF36" s="1092">
        <f>IF(CF34=0,0,CF35/CF34)*100</f>
        <v>0</v>
      </c>
      <c r="CG36" s="1092">
        <f>IF(CG34=0,0,CG35/CG34)*100</f>
        <v>0</v>
      </c>
      <c r="CH36" s="1093"/>
      <c r="CI36" s="1092">
        <f>IF(CI34=0,0,CI35/CI34)*100</f>
        <v>0</v>
      </c>
      <c r="CJ36" s="1092">
        <f>IF(CJ34=0,0,CJ35/CJ34)*100</f>
        <v>0</v>
      </c>
      <c r="CK36" s="1093"/>
      <c r="CL36" s="1092">
        <f>IF(CL34=0,0,CL35/CL34)*100</f>
        <v>0</v>
      </c>
      <c r="CM36" s="1092">
        <f>IF(CM34=0,0,CM35/CM34)*100</f>
        <v>0</v>
      </c>
      <c r="CN36" s="1093"/>
      <c r="CO36" s="1092">
        <f>IF(CO34=0,0,CO35/CO34)*100</f>
        <v>0</v>
      </c>
      <c r="CP36" s="1092">
        <f>IF(CP34=0,0,CP35/CP34)*100</f>
        <v>0</v>
      </c>
      <c r="CQ36" s="1093"/>
      <c r="CR36" s="1092">
        <f>IF(CR34=0,0,CR35/CR34)*100</f>
        <v>0</v>
      </c>
      <c r="CS36" s="1092">
        <f>IF(CS34=0,0,CS35/CS34)*100</f>
        <v>0</v>
      </c>
      <c r="CT36" s="1093"/>
      <c r="CU36" s="1092">
        <f>IF(CU34=0,0,CU35/CU34)*100</f>
        <v>0</v>
      </c>
      <c r="CV36" s="1092">
        <f>IF(CV34=0,0,CV35/CV34)*100</f>
        <v>0</v>
      </c>
      <c r="CW36" s="1093"/>
      <c r="CX36" s="1092">
        <f>IF(CX34=0,0,CX35/CX34)*100</f>
        <v>0</v>
      </c>
      <c r="CY36" s="1092">
        <f>IF(CY34=0,0,CY35/CY34)*100</f>
        <v>0</v>
      </c>
      <c r="CZ36" s="1093"/>
      <c r="DA36" s="1092">
        <f>IF(DA34=0,0,DA35/DA34)*100</f>
        <v>0</v>
      </c>
      <c r="DB36" s="1092">
        <f>IF(DB34=0,0,DB35/DB34)*100</f>
        <v>0</v>
      </c>
      <c r="DC36" s="1093"/>
      <c r="DD36" s="1092">
        <f>IF(DD34=0,0,DD35/DD34)*100</f>
        <v>0</v>
      </c>
      <c r="DE36" s="1092">
        <f>IF(DE34=0,0,DE35/DE34)*100</f>
        <v>0</v>
      </c>
      <c r="DF36" s="1093"/>
      <c r="DG36" s="1092">
        <f>IF(DG34=0,0,DG35/DG34)*100</f>
        <v>0</v>
      </c>
      <c r="DH36" s="1092">
        <f>IF(DH34=0,0,DH35/DH34)*100</f>
        <v>0</v>
      </c>
      <c r="DI36" s="1093"/>
      <c r="DJ36" s="1092">
        <f>IF(DJ34=0,0,DJ35/DJ34)*100</f>
        <v>0</v>
      </c>
      <c r="DK36" s="1092">
        <f>IF(DK34=0,0,DK35/DK34)*100</f>
        <v>0</v>
      </c>
      <c r="DL36" s="1093"/>
      <c r="DM36" s="1092">
        <f>IF(DM34=0,0,DM35/DM34)*100</f>
        <v>0</v>
      </c>
      <c r="DN36" s="1092">
        <f>IF(DN34=0,0,DN35/DN34)*100</f>
        <v>0</v>
      </c>
      <c r="DO36" s="1093"/>
      <c r="DP36" s="1092">
        <f>IF(DP34=0,0,DP35/DP34)*100</f>
        <v>0</v>
      </c>
      <c r="DQ36" s="1092">
        <f>IF(DQ34=0,0,DQ35/DQ34)*100</f>
        <v>0</v>
      </c>
      <c r="DR36" s="1093"/>
      <c r="DS36" s="1092">
        <f>IF(DS34=0,0,DS35/DS34)*100</f>
        <v>0</v>
      </c>
      <c r="DT36" s="1092">
        <f>IF(DT34=0,0,DT35/DT34)*100</f>
        <v>0</v>
      </c>
      <c r="DU36" s="1093"/>
      <c r="DV36" s="1092">
        <f>IF(DV34=0,0,DV35/DV34)*100</f>
        <v>0</v>
      </c>
      <c r="DW36" s="1092">
        <f>IF(DW34=0,0,DW35/DW34)*100</f>
        <v>0</v>
      </c>
      <c r="DX36" s="1093"/>
      <c r="DY36" s="1092">
        <f>IF(DY34=0,0,DY35/DY34)*100</f>
        <v>0</v>
      </c>
      <c r="DZ36" s="1092">
        <f>IF(DZ34=0,0,DZ35/DZ34)*100</f>
        <v>0</v>
      </c>
      <c r="EA36" s="1093"/>
      <c r="EB36" s="1092">
        <f>IF(EB34=0,0,EB35/EB34)*100</f>
        <v>0</v>
      </c>
      <c r="EC36" s="1092">
        <f>IF(EC34=0,0,EC35/EC34)*100</f>
        <v>0</v>
      </c>
      <c r="ED36" s="1093"/>
      <c r="EE36" s="1092">
        <f>IF(EE34=0,0,EE35/EE34)*100</f>
        <v>0</v>
      </c>
      <c r="EF36" s="1092">
        <f>IF(EF34=0,0,EF35/EF34)*100</f>
        <v>0</v>
      </c>
      <c r="EG36" s="1093"/>
      <c r="EH36" s="1092">
        <f>IF(EH34=0,0,EH35/EH34)*100</f>
        <v>0</v>
      </c>
      <c r="EI36" s="1092">
        <f>IF(EI34=0,0,EI35/EI34)*100</f>
        <v>0</v>
      </c>
      <c r="EJ36" s="1093"/>
      <c r="EK36" s="1092">
        <f>IF(EK34=0,0,EK35/EK34)*100</f>
        <v>0</v>
      </c>
      <c r="EL36" s="1092">
        <f>IF(EL34=0,0,EL35/EL34)*100</f>
        <v>0</v>
      </c>
      <c r="EM36" s="1093"/>
      <c r="EN36" s="1092">
        <f>IF(EN34=0,0,EN35/EN34)*100</f>
        <v>0</v>
      </c>
      <c r="EO36" s="1092">
        <f>IF(EO34=0,0,EO35/EO34)*100</f>
        <v>0</v>
      </c>
      <c r="EP36" s="1093"/>
      <c r="EQ36" s="1092">
        <f>IF(EQ34=0,0,EQ35/EQ34)*100</f>
        <v>0</v>
      </c>
      <c r="ER36" s="1092">
        <f>IF(ER34=0,0,ER35/ER34)*100</f>
        <v>0</v>
      </c>
      <c r="ES36" s="1093"/>
      <c r="ET36" s="1092">
        <f>IF(ET34=0,0,ET35/ET34)*100</f>
        <v>0</v>
      </c>
      <c r="EU36" s="1092">
        <f>IF(EU34=0,0,EU35/EU34)*100</f>
        <v>0</v>
      </c>
      <c r="EV36" s="1093"/>
      <c r="EW36" s="1092">
        <f>IF(EW34=0,0,EW35/EW34)*100</f>
        <v>0</v>
      </c>
      <c r="EX36" s="1092">
        <f>IF(EX34=0,0,EX35/EX34)*100</f>
        <v>0</v>
      </c>
      <c r="EY36" s="1093"/>
      <c r="EZ36" s="1092">
        <f>IF(EZ34=0,0,EZ35/EZ34)*100</f>
        <v>0</v>
      </c>
      <c r="FA36" s="1092">
        <f>IF(FA34=0,0,FA35/FA34)*100</f>
        <v>0</v>
      </c>
      <c r="FB36" s="1093"/>
      <c r="FC36" s="1092">
        <f>IF(FC34=0,0,FC35/FC34)*100</f>
        <v>0</v>
      </c>
      <c r="FD36" s="1092">
        <f>IF(FD34=0,0,FD35/FD34)*100</f>
        <v>0</v>
      </c>
      <c r="FE36" s="1093"/>
      <c r="FF36" s="1092">
        <f>IF(FF34=0,0,FF35/FF34)*100</f>
        <v>0</v>
      </c>
      <c r="FG36" s="1092">
        <f>IF(FG34=0,0,FG35/FG34)*100</f>
        <v>0</v>
      </c>
      <c r="FH36" s="1093"/>
      <c r="FI36" s="1092">
        <f>IF(FI34=0,0,FI35/FI34)*100</f>
        <v>0</v>
      </c>
      <c r="FJ36" s="1092">
        <f>IF(FJ34=0,0,FJ35/FJ34)*100</f>
        <v>0</v>
      </c>
      <c r="FK36" s="1093"/>
      <c r="FL36" s="1092">
        <f>IF(FL34=0,0,FL35/FL34)*100</f>
        <v>0</v>
      </c>
      <c r="FM36" s="1092">
        <f>IF(FM34=0,0,FM35/FM34)*100</f>
        <v>0</v>
      </c>
      <c r="FN36" s="1093"/>
      <c r="FO36" s="1092">
        <f>IF(FO34=0,0,FO35/FO34)*100</f>
        <v>0</v>
      </c>
      <c r="FP36" s="1092">
        <f>IF(FP34=0,0,FP35/FP34)*100</f>
        <v>0</v>
      </c>
      <c r="FQ36" s="1093"/>
      <c r="FR36" s="1092">
        <f>IF(FR34=0,0,FR35/FR34)*100</f>
        <v>0</v>
      </c>
      <c r="FS36" s="1092">
        <f>IF(FS34=0,0,FS35/FS34)*100</f>
        <v>0</v>
      </c>
      <c r="FT36" s="1093"/>
      <c r="FU36" s="1092">
        <f>IF(FU34=0,0,FU35/FU34)*100</f>
        <v>0</v>
      </c>
      <c r="FV36" s="1092">
        <f>IF(FV34=0,0,FV35/FV34)*100</f>
        <v>0</v>
      </c>
      <c r="FW36" s="1093"/>
      <c r="FX36" s="292"/>
      <c r="FY36" s="1304"/>
      <c r="FZ36" s="1055" t="s">
        <v>2345</v>
      </c>
      <c r="GA36" s="1306"/>
      <c r="GB36" s="1306"/>
      <c r="GC36" s="1305"/>
      <c r="GD36" s="1305"/>
    </row>
    <row customHeight="1" ht="14.625" hidden="1">
      <c r="A37" s="493"/>
      <c r="B37" s="925" cm="1" t="str">
        <f t="array" ref="B37:B37">B36</f>
        <v>false</v>
      </c>
      <c r="C37" s="493"/>
      <c r="D37" s="493"/>
      <c r="E37" s="840">
        <v>15</v>
      </c>
      <c r="F37" s="50" cm="1" t="str">
        <f t="array" ref="F37:F37">OFFSET(E37,-1,1)</f>
        <v>0</v>
      </c>
      <c r="G37" s="107" t="s">
        <v>2346</v>
      </c>
      <c r="H37" s="493" t="s">
        <v>1182</v>
      </c>
      <c r="I37" s="493" t="s">
        <v>2343</v>
      </c>
      <c r="J37" s="493"/>
      <c r="K37" s="493"/>
      <c r="L37" s="493"/>
      <c r="M37" s="493"/>
      <c r="N37" s="493"/>
      <c r="O37" s="493"/>
      <c r="P37" s="493"/>
      <c r="Q37" s="493"/>
      <c r="R37" s="493"/>
      <c r="S37" s="493"/>
      <c r="T37" s="465" cm="1" t="str">
        <f t="array" ref="T37:T37">T36</f>
        <v>false</v>
      </c>
      <c r="U37" s="493"/>
      <c r="V37" s="493"/>
      <c r="W37" s="493"/>
      <c r="X37" s="1596"/>
      <c r="Y37" s="493"/>
      <c r="Z37" s="1545"/>
      <c r="AA37" s="493"/>
      <c r="AB37" s="1089" t="s">
        <v>2347</v>
      </c>
      <c r="AC37" s="864" t="s">
        <v>1247</v>
      </c>
      <c r="AD37" s="5247">
        <f>IF(AND(method_reg="Метод индексации",god&lt;&gt;first_year),_xlfn.SUMIFS(INDEX('Калькуляция (МИ корр)'!$AJ$25:$BC$747,,MATCH(AD$8,'Калькуляция (МИ корр)'!$AJ$8:$BC$8,0)),'Калькуляция (МИ корр)'!$F$25:$F$747,$F37,'Калькуляция (МИ корр)'!$G$25:$G$747,$G37),IF(method_reg="Метод экономически обоснованных расходов",_xlfn.SUMIFS('Калькуляция (МЭОР)'!$AJ$25:$AJ$452,'Калькуляция (МЭОР)'!$F$25:$F$452,$F37,'Калькуляция (МЭОР)'!$G$25:$G$452,$G37),IF(method_reg="Метод сравнения аналогов",_xlfn.SUMIFS('Калькуляция (МСА)'!$AE$25:$AE$122,'Калькуляция (МСА)'!$F$25:$F$122,$F37,'Калькуляция (МСА)'!$G$25:$G$122,$G37),_xlfn.SUMIFS(INDEX('Калькуляция (МИ)'!$AJ$25:$BC$747,,MATCH(AD$8,'Калькуляция (МИ)'!$AJ$8:$BC$8,0)),'Калькуляция (МИ)'!$F$25:$F$747,$F37,'Калькуляция (МИ)'!$G$25:$G$747,$G37))))</f>
        <v>0</v>
      </c>
      <c r="AE37" s="5247">
        <f>IF(AND(method_reg="Метод индексации",god&lt;&gt;first_year),_xlfn.SUMIFS(INDEX('Калькуляция (МИ корр)'!$AJ$25:$BC$747,,MATCH(AE$8,'Калькуляция (МИ корр)'!$AJ$8:$BC$8,0)),'Калькуляция (МИ корр)'!$F$25:$F$747,$F37,'Калькуляция (МИ корр)'!$G$25:$G$747,$G37),IF(method_reg="Метод экономически обоснованных расходов",_xlfn.SUMIFS('Калькуляция (МЭОР)'!$AK$25:$AK$452,'Калькуляция (МЭОР)'!$F$25:$F$452,$F37,'Калькуляция (МЭОР)'!$G$25:$G$452,$G37),IF(method_reg="Метод сравнения аналогов",_xlfn.SUMIFS('Калькуляция (МСА)'!$AF$25:$AF$122,'Калькуляция (МСА)'!$F$25:$F$122,$F37,'Калькуляция (МСА)'!$G$25:$G$122,$G37),_xlfn.SUMIFS(INDEX('Калькуляция (МИ)'!$AJ$25:$BC$747,,MATCH(AE$8,'Калькуляция (МИ)'!$AJ$8:$BC$8,0)),'Калькуляция (МИ)'!$F$25:$F$747,$F37,'Калькуляция (МИ)'!$G$25:$G$747,$G37))))</f>
        <v>0</v>
      </c>
      <c r="AF37" s="1095">
        <f>IF(AD37=0,0,(AE37-AD37)/AD37*100)</f>
        <v>0</v>
      </c>
      <c r="AG37" s="5247">
        <f>IF(AND(method_reg="Метод индексации",god&lt;&gt;first_year),_xlfn.SUMIFS(INDEX('Калькуляция (МИ корр)'!$AJ$25:$BC$747,,MATCH(AG$8,'Калькуляция (МИ корр)'!$AJ$8:$BC$8,0)),'Калькуляция (МИ корр)'!$F$25:$F$747,$F37,'Калькуляция (МИ корр)'!$G$25:$G$747,$G37),IF(method_reg="Метод экономически обоснованных расходов",_xlfn.SUMIFS('Калькуляция (МЭОР)'!$AJ$25:$AJ$452,'Калькуляция (МЭОР)'!$F$25:$F$452,$F37,'Калькуляция (МЭОР)'!$G$25:$G$452,$G37),IF(method_reg="Метод сравнения аналогов",_xlfn.SUMIFS('Калькуляция (МСА)'!$AE$25:$AE$122,'Калькуляция (МСА)'!$F$25:$F$122,$F37,'Калькуляция (МСА)'!$G$25:$G$122,$G37),_xlfn.SUMIFS(INDEX('Калькуляция (МИ)'!$AJ$25:$BC$747,,MATCH(AG$8,'Калькуляция (МИ)'!$AJ$8:$BC$8,0)),'Калькуляция (МИ)'!$F$25:$F$747,$F37,'Калькуляция (МИ)'!$G$25:$G$747,$G37))))</f>
        <v>0</v>
      </c>
      <c r="AH37" s="5247">
        <f>IF(AND(method_reg="Метод индексации",god&lt;&gt;first_year),_xlfn.SUMIFS(INDEX('Калькуляция (МИ корр)'!$AJ$25:$BC$747,,MATCH(AH$8,'Калькуляция (МИ корр)'!$AJ$8:$BC$8,0)),'Калькуляция (МИ корр)'!$F$25:$F$747,$F37,'Калькуляция (МИ корр)'!$G$25:$G$747,$G37),IF(method_reg="Метод экономически обоснованных расходов",_xlfn.SUMIFS('Калькуляция (МЭОР)'!$AK$25:$AK$452,'Калькуляция (МЭОР)'!$F$25:$F$452,$F37,'Калькуляция (МЭОР)'!$G$25:$G$452,$G37),IF(method_reg="Метод сравнения аналогов",_xlfn.SUMIFS('Калькуляция (МСА)'!$AF$25:$AF$122,'Калькуляция (МСА)'!$F$25:$F$122,$F37,'Калькуляция (МСА)'!$G$25:$G$122,$G37),_xlfn.SUMIFS(INDEX('Калькуляция (МИ)'!$AJ$25:$BC$747,,MATCH(AH$8,'Калькуляция (МИ)'!$AJ$8:$BC$8,0)),'Калькуляция (МИ)'!$F$25:$F$747,$F37,'Калькуляция (МИ)'!$G$25:$G$747,$G37))))</f>
        <v>0</v>
      </c>
      <c r="AI37" s="1095">
        <f>IF(AG37=0,0,(AH37-AG37)/AG37*100)</f>
        <v>0</v>
      </c>
      <c r="AJ37" s="5247">
        <f>IF(AND(method_reg="Метод индексации",god&lt;&gt;first_year),_xlfn.SUMIFS(INDEX('Калькуляция (МИ корр)'!$AJ$25:$BC$747,,MATCH(AJ$8,'Калькуляция (МИ корр)'!$AJ$8:$BC$8,0)),'Калькуляция (МИ корр)'!$F$25:$F$747,$F37,'Калькуляция (МИ корр)'!$G$25:$G$747,$G37),IF(method_reg="Метод экономически обоснованных расходов",_xlfn.SUMIFS('Калькуляция (МЭОР)'!$AJ$25:$AJ$452,'Калькуляция (МЭОР)'!$F$25:$F$452,$F37,'Калькуляция (МЭОР)'!$G$25:$G$452,$G37),IF(method_reg="Метод сравнения аналогов",_xlfn.SUMIFS('Калькуляция (МСА)'!$AE$25:$AE$122,'Калькуляция (МСА)'!$F$25:$F$122,$F37,'Калькуляция (МСА)'!$G$25:$G$122,$G37),_xlfn.SUMIFS(INDEX('Калькуляция (МИ)'!$AJ$25:$BC$747,,MATCH(AJ$8,'Калькуляция (МИ)'!$AJ$8:$BC$8,0)),'Калькуляция (МИ)'!$F$25:$F$747,$F37,'Калькуляция (МИ)'!$G$25:$G$747,$G37))))</f>
        <v>0</v>
      </c>
      <c r="AK37" s="5247">
        <f>IF(AND(method_reg="Метод индексации",god&lt;&gt;first_year),_xlfn.SUMIFS(INDEX('Калькуляция (МИ корр)'!$AJ$25:$BC$747,,MATCH(AK$8,'Калькуляция (МИ корр)'!$AJ$8:$BC$8,0)),'Калькуляция (МИ корр)'!$F$25:$F$747,$F37,'Калькуляция (МИ корр)'!$G$25:$G$747,$G37),IF(method_reg="Метод экономически обоснованных расходов",_xlfn.SUMIFS('Калькуляция (МЭОР)'!$AK$25:$AK$452,'Калькуляция (МЭОР)'!$F$25:$F$452,$F37,'Калькуляция (МЭОР)'!$G$25:$G$452,$G37),IF(method_reg="Метод сравнения аналогов",_xlfn.SUMIFS('Калькуляция (МСА)'!$AF$25:$AF$122,'Калькуляция (МСА)'!$F$25:$F$122,$F37,'Калькуляция (МСА)'!$G$25:$G$122,$G37),_xlfn.SUMIFS(INDEX('Калькуляция (МИ)'!$AJ$25:$BC$747,,MATCH(AK$8,'Калькуляция (МИ)'!$AJ$8:$BC$8,0)),'Калькуляция (МИ)'!$F$25:$F$747,$F37,'Калькуляция (МИ)'!$G$25:$G$747,$G37))))</f>
        <v>0</v>
      </c>
      <c r="AL37" s="1095">
        <f>IF(AJ37=0,0,(AK37-AJ37)/AJ37*100)</f>
        <v>0</v>
      </c>
      <c r="AM37" s="5247">
        <f>IF(AND(method_reg="Метод индексации",god&lt;&gt;first_year),_xlfn.SUMIFS(INDEX('Калькуляция (МИ корр)'!$AJ$25:$BC$747,,MATCH(AM$8,'Калькуляция (МИ корр)'!$AJ$8:$BC$8,0)),'Калькуляция (МИ корр)'!$F$25:$F$747,$F37,'Калькуляция (МИ корр)'!$G$25:$G$747,$G37),IF(method_reg="Метод экономически обоснованных расходов",_xlfn.SUMIFS('Калькуляция (МЭОР)'!$AJ$25:$AJ$452,'Калькуляция (МЭОР)'!$F$25:$F$452,$F37,'Калькуляция (МЭОР)'!$G$25:$G$452,$G37),IF(method_reg="Метод сравнения аналогов",_xlfn.SUMIFS('Калькуляция (МСА)'!$AE$25:$AE$122,'Калькуляция (МСА)'!$F$25:$F$122,$F37,'Калькуляция (МСА)'!$G$25:$G$122,$G37),_xlfn.SUMIFS(INDEX('Калькуляция (МИ)'!$AJ$25:$BC$747,,MATCH(AM$8,'Калькуляция (МИ)'!$AJ$8:$BC$8,0)),'Калькуляция (МИ)'!$F$25:$F$747,$F37,'Калькуляция (МИ)'!$G$25:$G$747,$G37))))</f>
        <v>0</v>
      </c>
      <c r="AN37" s="5247">
        <f>IF(AND(method_reg="Метод индексации",god&lt;&gt;first_year),_xlfn.SUMIFS(INDEX('Калькуляция (МИ корр)'!$AJ$25:$BC$747,,MATCH(AN$8,'Калькуляция (МИ корр)'!$AJ$8:$BC$8,0)),'Калькуляция (МИ корр)'!$F$25:$F$747,$F37,'Калькуляция (МИ корр)'!$G$25:$G$747,$G37),IF(method_reg="Метод экономически обоснованных расходов",_xlfn.SUMIFS('Калькуляция (МЭОР)'!$AK$25:$AK$452,'Калькуляция (МЭОР)'!$F$25:$F$452,$F37,'Калькуляция (МЭОР)'!$G$25:$G$452,$G37),IF(method_reg="Метод сравнения аналогов",_xlfn.SUMIFS('Калькуляция (МСА)'!$AF$25:$AF$122,'Калькуляция (МСА)'!$F$25:$F$122,$F37,'Калькуляция (МСА)'!$G$25:$G$122,$G37),_xlfn.SUMIFS(INDEX('Калькуляция (МИ)'!$AJ$25:$BC$747,,MATCH(AN$8,'Калькуляция (МИ)'!$AJ$8:$BC$8,0)),'Калькуляция (МИ)'!$F$25:$F$747,$F37,'Калькуляция (МИ)'!$G$25:$G$747,$G37))))</f>
        <v>0</v>
      </c>
      <c r="AO37" s="1095">
        <f>IF(AM37=0,0,(AN37-AM37)/AM37*100)</f>
        <v>0</v>
      </c>
      <c r="AP37" s="5247">
        <f>IF(AND(method_reg="Метод индексации",god&lt;&gt;first_year),_xlfn.SUMIFS(INDEX('Калькуляция (МИ корр)'!$AJ$25:$BC$747,,MATCH(AP$8,'Калькуляция (МИ корр)'!$AJ$8:$BC$8,0)),'Калькуляция (МИ корр)'!$F$25:$F$747,$F37,'Калькуляция (МИ корр)'!$G$25:$G$747,$G37),IF(method_reg="Метод экономически обоснованных расходов",_xlfn.SUMIFS('Калькуляция (МЭОР)'!$AJ$25:$AJ$452,'Калькуляция (МЭОР)'!$F$25:$F$452,$F37,'Калькуляция (МЭОР)'!$G$25:$G$452,$G37),IF(method_reg="Метод сравнения аналогов",_xlfn.SUMIFS('Калькуляция (МСА)'!$AE$25:$AE$122,'Калькуляция (МСА)'!$F$25:$F$122,$F37,'Калькуляция (МСА)'!$G$25:$G$122,$G37),_xlfn.SUMIFS(INDEX('Калькуляция (МИ)'!$AJ$25:$BC$747,,MATCH(AP$8,'Калькуляция (МИ)'!$AJ$8:$BC$8,0)),'Калькуляция (МИ)'!$F$25:$F$747,$F37,'Калькуляция (МИ)'!$G$25:$G$747,$G37))))</f>
        <v>0</v>
      </c>
      <c r="AQ37" s="5247">
        <f>IF(AND(method_reg="Метод индексации",god&lt;&gt;first_year),_xlfn.SUMIFS(INDEX('Калькуляция (МИ корр)'!$AJ$25:$BC$747,,MATCH(AQ$8,'Калькуляция (МИ корр)'!$AJ$8:$BC$8,0)),'Калькуляция (МИ корр)'!$F$25:$F$747,$F37,'Калькуляция (МИ корр)'!$G$25:$G$747,$G37),IF(method_reg="Метод экономически обоснованных расходов",_xlfn.SUMIFS('Калькуляция (МЭОР)'!$AK$25:$AK$452,'Калькуляция (МЭОР)'!$F$25:$F$452,$F37,'Калькуляция (МЭОР)'!$G$25:$G$452,$G37),IF(method_reg="Метод сравнения аналогов",_xlfn.SUMIFS('Калькуляция (МСА)'!$AF$25:$AF$122,'Калькуляция (МСА)'!$F$25:$F$122,$F37,'Калькуляция (МСА)'!$G$25:$G$122,$G37),_xlfn.SUMIFS(INDEX('Калькуляция (МИ)'!$AJ$25:$BC$747,,MATCH(AQ$8,'Калькуляция (МИ)'!$AJ$8:$BC$8,0)),'Калькуляция (МИ)'!$F$25:$F$747,$F37,'Калькуляция (МИ)'!$G$25:$G$747,$G37))))</f>
        <v>0</v>
      </c>
      <c r="AR37" s="1095">
        <f>IF(AP37=0,0,(AQ37-AP37)/AP37*100)</f>
        <v>0</v>
      </c>
      <c r="AS37" s="5247">
        <f>IF(AND(method_reg="Метод индексации",god&lt;&gt;first_year),_xlfn.SUMIFS(INDEX('Калькуляция (МИ корр)'!$AJ$25:$BC$747,,MATCH(AS$8,'Калькуляция (МИ корр)'!$AJ$8:$BC$8,0)),'Калькуляция (МИ корр)'!$F$25:$F$747,$F37,'Калькуляция (МИ корр)'!$G$25:$G$747,$G37),IF(method_reg="Метод экономически обоснованных расходов",_xlfn.SUMIFS('Калькуляция (МЭОР)'!$AJ$25:$AJ$452,'Калькуляция (МЭОР)'!$F$25:$F$452,$F37,'Калькуляция (МЭОР)'!$G$25:$G$452,$G37),IF(method_reg="Метод сравнения аналогов",_xlfn.SUMIFS('Калькуляция (МСА)'!$AE$25:$AE$122,'Калькуляция (МСА)'!$F$25:$F$122,$F37,'Калькуляция (МСА)'!$G$25:$G$122,$G37),_xlfn.SUMIFS(INDEX('Калькуляция (МИ)'!$AJ$25:$BC$747,,MATCH(AS$8,'Калькуляция (МИ)'!$AJ$8:$BC$8,0)),'Калькуляция (МИ)'!$F$25:$F$747,$F37,'Калькуляция (МИ)'!$G$25:$G$747,$G37))))</f>
        <v>0</v>
      </c>
      <c r="AT37" s="5247">
        <f>IF(AND(method_reg="Метод индексации",god&lt;&gt;first_year),_xlfn.SUMIFS(INDEX('Калькуляция (МИ корр)'!$AJ$25:$BC$747,,MATCH(AT$8,'Калькуляция (МИ корр)'!$AJ$8:$BC$8,0)),'Калькуляция (МИ корр)'!$F$25:$F$747,$F37,'Калькуляция (МИ корр)'!$G$25:$G$747,$G37),IF(method_reg="Метод экономически обоснованных расходов",_xlfn.SUMIFS('Калькуляция (МЭОР)'!$AK$25:$AK$452,'Калькуляция (МЭОР)'!$F$25:$F$452,$F37,'Калькуляция (МЭОР)'!$G$25:$G$452,$G37),IF(method_reg="Метод сравнения аналогов",_xlfn.SUMIFS('Калькуляция (МСА)'!$AF$25:$AF$122,'Калькуляция (МСА)'!$F$25:$F$122,$F37,'Калькуляция (МСА)'!$G$25:$G$122,$G37),_xlfn.SUMIFS(INDEX('Калькуляция (МИ)'!$AJ$25:$BC$747,,MATCH(AT$8,'Калькуляция (МИ)'!$AJ$8:$BC$8,0)),'Калькуляция (МИ)'!$F$25:$F$747,$F37,'Калькуляция (МИ)'!$G$25:$G$747,$G37))))</f>
        <v>0</v>
      </c>
      <c r="AU37" s="1095">
        <f>IF(AS37=0,0,(AT37-AS37)/AS37*100)</f>
        <v>0</v>
      </c>
      <c r="AV37" s="5247">
        <f>IF(AND(method_reg="Метод индексации",god&lt;&gt;first_year),_xlfn.SUMIFS(INDEX('Калькуляция (МИ корр)'!$AJ$25:$BC$747,,MATCH(AV$8,'Калькуляция (МИ корр)'!$AJ$8:$BC$8,0)),'Калькуляция (МИ корр)'!$F$25:$F$747,$F37,'Калькуляция (МИ корр)'!$G$25:$G$747,$G37),IF(method_reg="Метод экономически обоснованных расходов",_xlfn.SUMIFS('Калькуляция (МЭОР)'!$AJ$25:$AJ$452,'Калькуляция (МЭОР)'!$F$25:$F$452,$F37,'Калькуляция (МЭОР)'!$G$25:$G$452,$G37),IF(method_reg="Метод сравнения аналогов",_xlfn.SUMIFS('Калькуляция (МСА)'!$AE$25:$AE$122,'Калькуляция (МСА)'!$F$25:$F$122,$F37,'Калькуляция (МСА)'!$G$25:$G$122,$G37),_xlfn.SUMIFS(INDEX('Калькуляция (МИ)'!$AJ$25:$BC$747,,MATCH(AV$8,'Калькуляция (МИ)'!$AJ$8:$BC$8,0)),'Калькуляция (МИ)'!$F$25:$F$747,$F37,'Калькуляция (МИ)'!$G$25:$G$747,$G37))))</f>
        <v>0</v>
      </c>
      <c r="AW37" s="5247">
        <f>IF(AND(method_reg="Метод индексации",god&lt;&gt;first_year),_xlfn.SUMIFS(INDEX('Калькуляция (МИ корр)'!$AJ$25:$BC$747,,MATCH(AW$8,'Калькуляция (МИ корр)'!$AJ$8:$BC$8,0)),'Калькуляция (МИ корр)'!$F$25:$F$747,$F37,'Калькуляция (МИ корр)'!$G$25:$G$747,$G37),IF(method_reg="Метод экономически обоснованных расходов",_xlfn.SUMIFS('Калькуляция (МЭОР)'!$AK$25:$AK$452,'Калькуляция (МЭОР)'!$F$25:$F$452,$F37,'Калькуляция (МЭОР)'!$G$25:$G$452,$G37),IF(method_reg="Метод сравнения аналогов",_xlfn.SUMIFS('Калькуляция (МСА)'!$AF$25:$AF$122,'Калькуляция (МСА)'!$F$25:$F$122,$F37,'Калькуляция (МСА)'!$G$25:$G$122,$G37),_xlfn.SUMIFS(INDEX('Калькуляция (МИ)'!$AJ$25:$BC$747,,MATCH(AW$8,'Калькуляция (МИ)'!$AJ$8:$BC$8,0)),'Калькуляция (МИ)'!$F$25:$F$747,$F37,'Калькуляция (МИ)'!$G$25:$G$747,$G37))))</f>
        <v>0</v>
      </c>
      <c r="AX37" s="1095">
        <f>IF(AV37=0,0,(AW37-AV37)/AV37*100)</f>
        <v>0</v>
      </c>
      <c r="AY37" s="5247">
        <f>IF(AND(method_reg="Метод индексации",god&lt;&gt;first_year),_xlfn.SUMIFS(INDEX('Калькуляция (МИ корр)'!$AJ$25:$BC$747,,MATCH(AY$8,'Калькуляция (МИ корр)'!$AJ$8:$BC$8,0)),'Калькуляция (МИ корр)'!$F$25:$F$747,$F37,'Калькуляция (МИ корр)'!$G$25:$G$747,$G37),IF(method_reg="Метод экономически обоснованных расходов",_xlfn.SUMIFS('Калькуляция (МЭОР)'!$AJ$25:$AJ$452,'Калькуляция (МЭОР)'!$F$25:$F$452,$F37,'Калькуляция (МЭОР)'!$G$25:$G$452,$G37),IF(method_reg="Метод сравнения аналогов",_xlfn.SUMIFS('Калькуляция (МСА)'!$AE$25:$AE$122,'Калькуляция (МСА)'!$F$25:$F$122,$F37,'Калькуляция (МСА)'!$G$25:$G$122,$G37),_xlfn.SUMIFS(INDEX('Калькуляция (МИ)'!$AJ$25:$BC$747,,MATCH(AY$8,'Калькуляция (МИ)'!$AJ$8:$BC$8,0)),'Калькуляция (МИ)'!$F$25:$F$747,$F37,'Калькуляция (МИ)'!$G$25:$G$747,$G37))))</f>
        <v>0</v>
      </c>
      <c r="AZ37" s="5247">
        <f>IF(AND(method_reg="Метод индексации",god&lt;&gt;first_year),_xlfn.SUMIFS(INDEX('Калькуляция (МИ корр)'!$AJ$25:$BC$747,,MATCH(AZ$8,'Калькуляция (МИ корр)'!$AJ$8:$BC$8,0)),'Калькуляция (МИ корр)'!$F$25:$F$747,$F37,'Калькуляция (МИ корр)'!$G$25:$G$747,$G37),IF(method_reg="Метод экономически обоснованных расходов",_xlfn.SUMIFS('Калькуляция (МЭОР)'!$AK$25:$AK$452,'Калькуляция (МЭОР)'!$F$25:$F$452,$F37,'Калькуляция (МЭОР)'!$G$25:$G$452,$G37),IF(method_reg="Метод сравнения аналогов",_xlfn.SUMIFS('Калькуляция (МСА)'!$AF$25:$AF$122,'Калькуляция (МСА)'!$F$25:$F$122,$F37,'Калькуляция (МСА)'!$G$25:$G$122,$G37),_xlfn.SUMIFS(INDEX('Калькуляция (МИ)'!$AJ$25:$BC$747,,MATCH(AZ$8,'Калькуляция (МИ)'!$AJ$8:$BC$8,0)),'Калькуляция (МИ)'!$F$25:$F$747,$F37,'Калькуляция (МИ)'!$G$25:$G$747,$G37))))</f>
        <v>0</v>
      </c>
      <c r="BA37" s="1095">
        <f>IF(AY37=0,0,(AZ37-AY37)/AY37*100)</f>
        <v>0</v>
      </c>
      <c r="BB37" s="5247">
        <f>IF(AND(method_reg="Метод индексации",god&lt;&gt;first_year),_xlfn.SUMIFS(INDEX('Калькуляция (МИ корр)'!$AJ$25:$BC$747,,MATCH(BB$8,'Калькуляция (МИ корр)'!$AJ$8:$BC$8,0)),'Калькуляция (МИ корр)'!$F$25:$F$747,$F37,'Калькуляция (МИ корр)'!$G$25:$G$747,$G37),IF(method_reg="Метод экономически обоснованных расходов",_xlfn.SUMIFS('Калькуляция (МЭОР)'!$AJ$25:$AJ$452,'Калькуляция (МЭОР)'!$F$25:$F$452,$F37,'Калькуляция (МЭОР)'!$G$25:$G$452,$G37),IF(method_reg="Метод сравнения аналогов",_xlfn.SUMIFS('Калькуляция (МСА)'!$AE$25:$AE$122,'Калькуляция (МСА)'!$F$25:$F$122,$F37,'Калькуляция (МСА)'!$G$25:$G$122,$G37),_xlfn.SUMIFS(INDEX('Калькуляция (МИ)'!$AJ$25:$BC$747,,MATCH(BB$8,'Калькуляция (МИ)'!$AJ$8:$BC$8,0)),'Калькуляция (МИ)'!$F$25:$F$747,$F37,'Калькуляция (МИ)'!$G$25:$G$747,$G37))))</f>
        <v>0</v>
      </c>
      <c r="BC37" s="5247">
        <f>IF(AND(method_reg="Метод индексации",god&lt;&gt;first_year),_xlfn.SUMIFS(INDEX('Калькуляция (МИ корр)'!$AJ$25:$BC$747,,MATCH(BC$8,'Калькуляция (МИ корр)'!$AJ$8:$BC$8,0)),'Калькуляция (МИ корр)'!$F$25:$F$747,$F37,'Калькуляция (МИ корр)'!$G$25:$G$747,$G37),IF(method_reg="Метод экономически обоснованных расходов",_xlfn.SUMIFS('Калькуляция (МЭОР)'!$AK$25:$AK$452,'Калькуляция (МЭОР)'!$F$25:$F$452,$F37,'Калькуляция (МЭОР)'!$G$25:$G$452,$G37),IF(method_reg="Метод сравнения аналогов",_xlfn.SUMIFS('Калькуляция (МСА)'!$AF$25:$AF$122,'Калькуляция (МСА)'!$F$25:$F$122,$F37,'Калькуляция (МСА)'!$G$25:$G$122,$G37),_xlfn.SUMIFS(INDEX('Калькуляция (МИ)'!$AJ$25:$BC$747,,MATCH(BC$8,'Калькуляция (МИ)'!$AJ$8:$BC$8,0)),'Калькуляция (МИ)'!$F$25:$F$747,$F37,'Калькуляция (МИ)'!$G$25:$G$747,$G37))))</f>
        <v>0</v>
      </c>
      <c r="BD37" s="1095">
        <f>IF(BB37=0,0,(BC37-BB37)/BB37*100)</f>
        <v>0</v>
      </c>
      <c r="BE37" s="5247">
        <f>IF(AND(method_reg="Метод индексации",god&lt;&gt;first_year),_xlfn.SUMIFS(INDEX('Калькуляция (МИ корр)'!$AJ$25:$BC$747,,MATCH(BE$8,'Калькуляция (МИ корр)'!$AJ$8:$BC$8,0)),'Калькуляция (МИ корр)'!$F$25:$F$747,$F37,'Калькуляция (МИ корр)'!$G$25:$G$747,$G37),IF(method_reg="Метод экономически обоснованных расходов",_xlfn.SUMIFS('Калькуляция (МЭОР)'!$AJ$25:$AJ$452,'Калькуляция (МЭОР)'!$F$25:$F$452,$F37,'Калькуляция (МЭОР)'!$G$25:$G$452,$G37),IF(method_reg="Метод сравнения аналогов",_xlfn.SUMIFS('Калькуляция (МСА)'!$AE$25:$AE$122,'Калькуляция (МСА)'!$F$25:$F$122,$F37,'Калькуляция (МСА)'!$G$25:$G$122,$G37),_xlfn.SUMIFS(INDEX('Калькуляция (МИ)'!$AJ$25:$BC$747,,MATCH(BE$8,'Калькуляция (МИ)'!$AJ$8:$BC$8,0)),'Калькуляция (МИ)'!$F$25:$F$747,$F37,'Калькуляция (МИ)'!$G$25:$G$747,$G37))))</f>
        <v>0</v>
      </c>
      <c r="BF37" s="5247">
        <f>IF(AND(method_reg="Метод индексации",god&lt;&gt;first_year),_xlfn.SUMIFS(INDEX('Калькуляция (МИ корр)'!$AJ$25:$BC$747,,MATCH(BF$8,'Калькуляция (МИ корр)'!$AJ$8:$BC$8,0)),'Калькуляция (МИ корр)'!$F$25:$F$747,$F37,'Калькуляция (МИ корр)'!$G$25:$G$747,$G37),IF(method_reg="Метод экономически обоснованных расходов",_xlfn.SUMIFS('Калькуляция (МЭОР)'!$AK$25:$AK$452,'Калькуляция (МЭОР)'!$F$25:$F$452,$F37,'Калькуляция (МЭОР)'!$G$25:$G$452,$G37),IF(method_reg="Метод сравнения аналогов",_xlfn.SUMIFS('Калькуляция (МСА)'!$AF$25:$AF$122,'Калькуляция (МСА)'!$F$25:$F$122,$F37,'Калькуляция (МСА)'!$G$25:$G$122,$G37),_xlfn.SUMIFS(INDEX('Калькуляция (МИ)'!$AJ$25:$BC$747,,MATCH(BF$8,'Калькуляция (МИ)'!$AJ$8:$BC$8,0)),'Калькуляция (МИ)'!$F$25:$F$747,$F37,'Калькуляция (МИ)'!$G$25:$G$747,$G37))))</f>
        <v>0</v>
      </c>
      <c r="BG37" s="1095">
        <f>IF(BE37=0,0,(BF37-BE37)/BE37*100)</f>
        <v>0</v>
      </c>
      <c r="BH37" s="5247"/>
      <c r="BI37" s="5247"/>
      <c r="BJ37" s="1095">
        <f>IF(BH37=0,0,(BI37-BH37)/BH37*100)</f>
        <v>0</v>
      </c>
      <c r="BK37" s="5247"/>
      <c r="BL37" s="5247"/>
      <c r="BM37" s="1095">
        <f>IF(BK37=0,0,(BL37-BK37)/BK37*100)</f>
        <v>0</v>
      </c>
      <c r="BN37" s="5247"/>
      <c r="BO37" s="5247"/>
      <c r="BP37" s="1095">
        <f>IF(BN37=0,0,(BO37-BN37)/BN37*100)</f>
        <v>0</v>
      </c>
      <c r="BQ37" s="5247"/>
      <c r="BR37" s="5247"/>
      <c r="BS37" s="1095">
        <f>IF(BQ37=0,0,(BR37-BQ37)/BQ37*100)</f>
        <v>0</v>
      </c>
      <c r="BT37" s="5247"/>
      <c r="BU37" s="5247"/>
      <c r="BV37" s="1095">
        <f>IF(BT37=0,0,(BU37-BT37)/BT37*100)</f>
        <v>0</v>
      </c>
      <c r="BW37" s="5247"/>
      <c r="BX37" s="5247"/>
      <c r="BY37" s="1095">
        <f>IF(BW37=0,0,(BX37-BW37)/BW37*100)</f>
        <v>0</v>
      </c>
      <c r="BZ37" s="5247"/>
      <c r="CA37" s="5247"/>
      <c r="CB37" s="1095">
        <f>IF(BZ37=0,0,(CA37-BZ37)/BZ37*100)</f>
        <v>0</v>
      </c>
      <c r="CC37" s="5247"/>
      <c r="CD37" s="5247"/>
      <c r="CE37" s="1095">
        <f>IF(CC37=0,0,(CD37-CC37)/CC37*100)</f>
        <v>0</v>
      </c>
      <c r="CF37" s="5247"/>
      <c r="CG37" s="5247"/>
      <c r="CH37" s="1095">
        <f>IF(CF37=0,0,(CG37-CF37)/CF37*100)</f>
        <v>0</v>
      </c>
      <c r="CI37" s="5247"/>
      <c r="CJ37" s="5247"/>
      <c r="CK37" s="1095">
        <f>IF(CI37=0,0,(CJ37-CI37)/CI37*100)</f>
        <v>0</v>
      </c>
      <c r="CL37" s="5247"/>
      <c r="CM37" s="5247"/>
      <c r="CN37" s="1095">
        <f>IF(CL37=0,0,(CM37-CL37)/CL37*100)</f>
        <v>0</v>
      </c>
      <c r="CO37" s="5247"/>
      <c r="CP37" s="5247"/>
      <c r="CQ37" s="1095">
        <f>IF(CO37=0,0,(CP37-CO37)/CO37*100)</f>
        <v>0</v>
      </c>
      <c r="CR37" s="5247"/>
      <c r="CS37" s="5247"/>
      <c r="CT37" s="1095">
        <f>IF(CR37=0,0,(CS37-CR37)/CR37*100)</f>
        <v>0</v>
      </c>
      <c r="CU37" s="5247"/>
      <c r="CV37" s="5247"/>
      <c r="CW37" s="1095">
        <f>IF(CU37=0,0,(CV37-CU37)/CU37*100)</f>
        <v>0</v>
      </c>
      <c r="CX37" s="5247"/>
      <c r="CY37" s="5247"/>
      <c r="CZ37" s="1095">
        <f>IF(CX37=0,0,(CY37-CX37)/CX37*100)</f>
        <v>0</v>
      </c>
      <c r="DA37" s="5247"/>
      <c r="DB37" s="5247"/>
      <c r="DC37" s="1095">
        <f>IF(DA37=0,0,(DB37-DA37)/DA37*100)</f>
        <v>0</v>
      </c>
      <c r="DD37" s="5247"/>
      <c r="DE37" s="5247"/>
      <c r="DF37" s="1095">
        <f>IF(DD37=0,0,(DE37-DD37)/DD37*100)</f>
        <v>0</v>
      </c>
      <c r="DG37" s="5247"/>
      <c r="DH37" s="5247"/>
      <c r="DI37" s="1095">
        <f>IF(DG37=0,0,(DH37-DG37)/DG37*100)</f>
        <v>0</v>
      </c>
      <c r="DJ37" s="5247"/>
      <c r="DK37" s="5247"/>
      <c r="DL37" s="1095">
        <f>IF(DJ37=0,0,(DK37-DJ37)/DJ37*100)</f>
        <v>0</v>
      </c>
      <c r="DM37" s="5247"/>
      <c r="DN37" s="5247"/>
      <c r="DO37" s="1095">
        <f>IF(DM37=0,0,(DN37-DM37)/DM37*100)</f>
        <v>0</v>
      </c>
      <c r="DP37" s="5247"/>
      <c r="DQ37" s="5247"/>
      <c r="DR37" s="1095">
        <f>IF(DP37=0,0,(DQ37-DP37)/DP37*100)</f>
        <v>0</v>
      </c>
      <c r="DS37" s="5247"/>
      <c r="DT37" s="5247"/>
      <c r="DU37" s="1095">
        <f>IF(DS37=0,0,(DT37-DS37)/DS37*100)</f>
        <v>0</v>
      </c>
      <c r="DV37" s="5247"/>
      <c r="DW37" s="5247"/>
      <c r="DX37" s="1095">
        <f>IF(DV37=0,0,(DW37-DV37)/DV37*100)</f>
        <v>0</v>
      </c>
      <c r="DY37" s="5247"/>
      <c r="DZ37" s="5247"/>
      <c r="EA37" s="1095">
        <f>IF(DY37=0,0,(DZ37-DY37)/DY37*100)</f>
        <v>0</v>
      </c>
      <c r="EB37" s="5247"/>
      <c r="EC37" s="5247"/>
      <c r="ED37" s="1095">
        <f>IF(EB37=0,0,(EC37-EB37)/EB37*100)</f>
        <v>0</v>
      </c>
      <c r="EE37" s="5247"/>
      <c r="EF37" s="5247"/>
      <c r="EG37" s="1095">
        <f>IF(EE37=0,0,(EF37-EE37)/EE37*100)</f>
        <v>0</v>
      </c>
      <c r="EH37" s="5247"/>
      <c r="EI37" s="5247"/>
      <c r="EJ37" s="1095">
        <f>IF(EH37=0,0,(EI37-EH37)/EH37*100)</f>
        <v>0</v>
      </c>
      <c r="EK37" s="5247"/>
      <c r="EL37" s="5247"/>
      <c r="EM37" s="1095">
        <f>IF(EK37=0,0,(EL37-EK37)/EK37*100)</f>
        <v>0</v>
      </c>
      <c r="EN37" s="5247"/>
      <c r="EO37" s="5247"/>
      <c r="EP37" s="1095">
        <f>IF(EN37=0,0,(EO37-EN37)/EN37*100)</f>
        <v>0</v>
      </c>
      <c r="EQ37" s="5247"/>
      <c r="ER37" s="5247"/>
      <c r="ES37" s="1095">
        <f>IF(EQ37=0,0,(ER37-EQ37)/EQ37*100)</f>
        <v>0</v>
      </c>
      <c r="ET37" s="5247"/>
      <c r="EU37" s="5247"/>
      <c r="EV37" s="1095">
        <f>IF(ET37=0,0,(EU37-ET37)/ET37*100)</f>
        <v>0</v>
      </c>
      <c r="EW37" s="5247"/>
      <c r="EX37" s="5247"/>
      <c r="EY37" s="1095">
        <f>IF(EW37=0,0,(EX37-EW37)/EW37*100)</f>
        <v>0</v>
      </c>
      <c r="EZ37" s="5247"/>
      <c r="FA37" s="5247"/>
      <c r="FB37" s="1095">
        <f>IF(EZ37=0,0,(FA37-EZ37)/EZ37*100)</f>
        <v>0</v>
      </c>
      <c r="FC37" s="5247"/>
      <c r="FD37" s="5247"/>
      <c r="FE37" s="1095">
        <f>IF(FC37=0,0,(FD37-FC37)/FC37*100)</f>
        <v>0</v>
      </c>
      <c r="FF37" s="5247"/>
      <c r="FG37" s="5247"/>
      <c r="FH37" s="1095">
        <f>IF(FF37=0,0,(FG37-FF37)/FF37*100)</f>
        <v>0</v>
      </c>
      <c r="FI37" s="5247"/>
      <c r="FJ37" s="5247"/>
      <c r="FK37" s="1095">
        <f>IF(FI37=0,0,(FJ37-FI37)/FI37*100)</f>
        <v>0</v>
      </c>
      <c r="FL37" s="5247"/>
      <c r="FM37" s="5247"/>
      <c r="FN37" s="1095">
        <f>IF(FL37=0,0,(FM37-FL37)/FL37*100)</f>
        <v>0</v>
      </c>
      <c r="FO37" s="5247"/>
      <c r="FP37" s="5247"/>
      <c r="FQ37" s="1095">
        <f>IF(FO37=0,0,(FP37-FO37)/FO37*100)</f>
        <v>0</v>
      </c>
      <c r="FR37" s="5247"/>
      <c r="FS37" s="5247"/>
      <c r="FT37" s="1095">
        <f>IF(FR37=0,0,(FS37-FR37)/FR37*100)</f>
        <v>0</v>
      </c>
      <c r="FU37" s="5247"/>
      <c r="FV37" s="5247"/>
      <c r="FW37" s="1095">
        <f>IF(FU37=0,0,(FV37-FU37)/FU37*100)</f>
        <v>0</v>
      </c>
      <c r="FX37" s="292"/>
      <c r="FY37" s="1304"/>
      <c r="FZ37" s="1055" t="s">
        <v>2348</v>
      </c>
      <c r="GA37" s="1306"/>
      <c r="GB37" s="1306"/>
      <c r="GC37" s="1305"/>
      <c r="GD37" s="1305"/>
    </row>
    <row s="292" customFormat="1" customHeight="1" ht="23.887500000000003" hidden="1">
      <c r="A38" s="897"/>
      <c r="B38" s="925" cm="1" t="str">
        <f t="array" ref="B38:B38">B37</f>
        <v>false</v>
      </c>
      <c r="C38" s="897"/>
      <c r="D38" s="897"/>
      <c r="E38" s="898">
        <v>24.5</v>
      </c>
      <c r="F38" s="50" cm="1" t="str">
        <f t="array" ref="F38:F38">OFFSET(E38,-1,1)</f>
        <v>0</v>
      </c>
      <c r="G38" s="107" t="s">
        <v>2349</v>
      </c>
      <c r="H38" s="493" t="s">
        <v>1175</v>
      </c>
      <c r="I38" s="493" t="s">
        <v>2350</v>
      </c>
      <c r="J38" s="897"/>
      <c r="K38" s="897"/>
      <c r="L38" s="493"/>
      <c r="M38" s="897"/>
      <c r="N38" s="897"/>
      <c r="O38" s="897"/>
      <c r="P38" s="897"/>
      <c r="Q38" s="897"/>
      <c r="R38" s="493"/>
      <c r="S38" s="493"/>
      <c r="T38" s="465" cm="1" t="str">
        <f t="array" ref="T38:T38">T37</f>
        <v>false</v>
      </c>
      <c r="U38" s="897"/>
      <c r="V38" s="897"/>
      <c r="W38" s="897"/>
      <c r="X38" s="1596"/>
      <c r="Y38" s="897"/>
      <c r="Z38" s="1545"/>
      <c r="AA38" s="897"/>
      <c r="AB38" s="293" t="s">
        <v>2351</v>
      </c>
      <c r="AC38" s="294" t="s">
        <v>2337</v>
      </c>
      <c r="AD38" s="5239">
        <f>IF(AND(method_reg="Метод индексации",god&lt;&gt;first_year),_xlfn.SUMIFS(INDEX('Калькуляция (МИ корр)'!$AJ$25:$BC$747,,MATCH(AD$8,'Калькуляция (МИ корр)'!$AJ$8:$BC$8,0)),'Калькуляция (МИ корр)'!$F$25:$F$747,$F38,'Калькуляция (МИ корр)'!$G$25:$G$747,$G38),IF(method_reg="Метод экономически обоснованных расходов",_xlfn.SUMIFS('Калькуляция (МЭОР)'!$AJ$25:$AJ$452,'Калькуляция (МЭОР)'!$F$25:$F$452,$F38,'Калькуляция (МЭОР)'!$G$25:$G$452,$G38),IF(method_reg="Метод сравнения аналогов",_xlfn.SUMIFS('Калькуляция (МСА)'!$AE$25:$AE$122,'Калькуляция (МСА)'!$F$25:$F$122,$F38,'Калькуляция (МСА)'!$G$25:$G$122,$G38),_xlfn.SUMIFS(INDEX('Калькуляция (МИ)'!$AJ$25:$BC$747,,MATCH(AD$8,'Калькуляция (МИ)'!$AJ$8:$BC$8,0)),'Калькуляция (МИ)'!$F$25:$F$747,$F38,'Калькуляция (МИ)'!$G$25:$G$747,$G38))))</f>
        <v>0</v>
      </c>
      <c r="AE38" s="5239">
        <f>IF(AND(method_reg="Метод индексации",god&lt;&gt;first_year),_xlfn.SUMIFS(INDEX('Калькуляция (МИ корр)'!$AJ$25:$BC$747,,MATCH(AE$8,'Калькуляция (МИ корр)'!$AJ$8:$BC$8,0)),'Калькуляция (МИ корр)'!$F$25:$F$747,$F38,'Калькуляция (МИ корр)'!$G$25:$G$747,$G38),IF(method_reg="Метод экономически обоснованных расходов",_xlfn.SUMIFS('Калькуляция (МЭОР)'!$AK$25:$AK$452,'Калькуляция (МЭОР)'!$F$25:$F$452,$F38,'Калькуляция (МЭОР)'!$G$25:$G$452,$G38),IF(method_reg="Метод сравнения аналогов",_xlfn.SUMIFS('Калькуляция (МСА)'!$AF$25:$AF$122,'Калькуляция (МСА)'!$F$25:$F$122,$F38,'Калькуляция (МСА)'!$G$25:$G$122,$G38),_xlfn.SUMIFS(INDEX('Калькуляция (МИ)'!$AJ$25:$BC$747,,MATCH(AE$8,'Калькуляция (МИ)'!$AJ$8:$BC$8,0)),'Калькуляция (МИ)'!$F$25:$F$747,$F38,'Калькуляция (МИ)'!$G$25:$G$747,$G38))))</f>
        <v>0</v>
      </c>
      <c r="AF38" s="296">
        <f>IF(AD38=0,0,(AE38-AD38)/AD38*100)</f>
        <v>0</v>
      </c>
      <c r="AG38" s="5239">
        <f>IF(AND(method_reg="Метод индексации",god&lt;&gt;first_year),_xlfn.SUMIFS(INDEX('Калькуляция (МИ корр)'!$AJ$25:$BC$747,,MATCH(AG$8,'Калькуляция (МИ корр)'!$AJ$8:$BC$8,0)),'Калькуляция (МИ корр)'!$F$25:$F$747,$F38,'Калькуляция (МИ корр)'!$G$25:$G$747,$G38),IF(method_reg="Метод экономически обоснованных расходов",_xlfn.SUMIFS('Калькуляция (МЭОР)'!$AJ$25:$AJ$452,'Калькуляция (МЭОР)'!$F$25:$F$452,$F38,'Калькуляция (МЭОР)'!$G$25:$G$452,$G38),IF(method_reg="Метод сравнения аналогов",_xlfn.SUMIFS('Калькуляция (МСА)'!$AE$25:$AE$122,'Калькуляция (МСА)'!$F$25:$F$122,$F38,'Калькуляция (МСА)'!$G$25:$G$122,$G38),_xlfn.SUMIFS(INDEX('Калькуляция (МИ)'!$AJ$25:$BC$747,,MATCH(AG$8,'Калькуляция (МИ)'!$AJ$8:$BC$8,0)),'Калькуляция (МИ)'!$F$25:$F$747,$F38,'Калькуляция (МИ)'!$G$25:$G$747,$G38))))</f>
        <v>0</v>
      </c>
      <c r="AH38" s="5239">
        <f>IF(AND(method_reg="Метод индексации",god&lt;&gt;first_year),_xlfn.SUMIFS(INDEX('Калькуляция (МИ корр)'!$AJ$25:$BC$747,,MATCH(AH$8,'Калькуляция (МИ корр)'!$AJ$8:$BC$8,0)),'Калькуляция (МИ корр)'!$F$25:$F$747,$F38,'Калькуляция (МИ корр)'!$G$25:$G$747,$G38),IF(method_reg="Метод экономически обоснованных расходов",_xlfn.SUMIFS('Калькуляция (МЭОР)'!$AK$25:$AK$452,'Калькуляция (МЭОР)'!$F$25:$F$452,$F38,'Калькуляция (МЭОР)'!$G$25:$G$452,$G38),IF(method_reg="Метод сравнения аналогов",_xlfn.SUMIFS('Калькуляция (МСА)'!$AF$25:$AF$122,'Калькуляция (МСА)'!$F$25:$F$122,$F38,'Калькуляция (МСА)'!$G$25:$G$122,$G38),_xlfn.SUMIFS(INDEX('Калькуляция (МИ)'!$AJ$25:$BC$747,,MATCH(AH$8,'Калькуляция (МИ)'!$AJ$8:$BC$8,0)),'Калькуляция (МИ)'!$F$25:$F$747,$F38,'Калькуляция (МИ)'!$G$25:$G$747,$G38))))</f>
        <v>0</v>
      </c>
      <c r="AI38" s="296">
        <f>IF(AG38=0,0,(AH38-AG38)/AG38*100)</f>
        <v>0</v>
      </c>
      <c r="AJ38" s="5239">
        <f>IF(AND(method_reg="Метод индексации",god&lt;&gt;first_year),_xlfn.SUMIFS(INDEX('Калькуляция (МИ корр)'!$AJ$25:$BC$747,,MATCH(AJ$8,'Калькуляция (МИ корр)'!$AJ$8:$BC$8,0)),'Калькуляция (МИ корр)'!$F$25:$F$747,$F38,'Калькуляция (МИ корр)'!$G$25:$G$747,$G38),IF(method_reg="Метод экономически обоснованных расходов",_xlfn.SUMIFS('Калькуляция (МЭОР)'!$AJ$25:$AJ$452,'Калькуляция (МЭОР)'!$F$25:$F$452,$F38,'Калькуляция (МЭОР)'!$G$25:$G$452,$G38),IF(method_reg="Метод сравнения аналогов",_xlfn.SUMIFS('Калькуляция (МСА)'!$AE$25:$AE$122,'Калькуляция (МСА)'!$F$25:$F$122,$F38,'Калькуляция (МСА)'!$G$25:$G$122,$G38),_xlfn.SUMIFS(INDEX('Калькуляция (МИ)'!$AJ$25:$BC$747,,MATCH(AJ$8,'Калькуляция (МИ)'!$AJ$8:$BC$8,0)),'Калькуляция (МИ)'!$F$25:$F$747,$F38,'Калькуляция (МИ)'!$G$25:$G$747,$G38))))</f>
        <v>0</v>
      </c>
      <c r="AK38" s="5239">
        <f>IF(AND(method_reg="Метод индексации",god&lt;&gt;first_year),_xlfn.SUMIFS(INDEX('Калькуляция (МИ корр)'!$AJ$25:$BC$747,,MATCH(AK$8,'Калькуляция (МИ корр)'!$AJ$8:$BC$8,0)),'Калькуляция (МИ корр)'!$F$25:$F$747,$F38,'Калькуляция (МИ корр)'!$G$25:$G$747,$G38),IF(method_reg="Метод экономически обоснованных расходов",_xlfn.SUMIFS('Калькуляция (МЭОР)'!$AK$25:$AK$452,'Калькуляция (МЭОР)'!$F$25:$F$452,$F38,'Калькуляция (МЭОР)'!$G$25:$G$452,$G38),IF(method_reg="Метод сравнения аналогов",_xlfn.SUMIFS('Калькуляция (МСА)'!$AF$25:$AF$122,'Калькуляция (МСА)'!$F$25:$F$122,$F38,'Калькуляция (МСА)'!$G$25:$G$122,$G38),_xlfn.SUMIFS(INDEX('Калькуляция (МИ)'!$AJ$25:$BC$747,,MATCH(AK$8,'Калькуляция (МИ)'!$AJ$8:$BC$8,0)),'Калькуляция (МИ)'!$F$25:$F$747,$F38,'Калькуляция (МИ)'!$G$25:$G$747,$G38))))</f>
        <v>0</v>
      </c>
      <c r="AL38" s="296">
        <f>IF(AJ38=0,0,(AK38-AJ38)/AJ38*100)</f>
        <v>0</v>
      </c>
      <c r="AM38" s="5239">
        <f>IF(AND(method_reg="Метод индексации",god&lt;&gt;first_year),_xlfn.SUMIFS(INDEX('Калькуляция (МИ корр)'!$AJ$25:$BC$747,,MATCH(AM$8,'Калькуляция (МИ корр)'!$AJ$8:$BC$8,0)),'Калькуляция (МИ корр)'!$F$25:$F$747,$F38,'Калькуляция (МИ корр)'!$G$25:$G$747,$G38),IF(method_reg="Метод экономически обоснованных расходов",_xlfn.SUMIFS('Калькуляция (МЭОР)'!$AJ$25:$AJ$452,'Калькуляция (МЭОР)'!$F$25:$F$452,$F38,'Калькуляция (МЭОР)'!$G$25:$G$452,$G38),IF(method_reg="Метод сравнения аналогов",_xlfn.SUMIFS('Калькуляция (МСА)'!$AE$25:$AE$122,'Калькуляция (МСА)'!$F$25:$F$122,$F38,'Калькуляция (МСА)'!$G$25:$G$122,$G38),_xlfn.SUMIFS(INDEX('Калькуляция (МИ)'!$AJ$25:$BC$747,,MATCH(AM$8,'Калькуляция (МИ)'!$AJ$8:$BC$8,0)),'Калькуляция (МИ)'!$F$25:$F$747,$F38,'Калькуляция (МИ)'!$G$25:$G$747,$G38))))</f>
        <v>0</v>
      </c>
      <c r="AN38" s="5239">
        <f>IF(AND(method_reg="Метод индексации",god&lt;&gt;first_year),_xlfn.SUMIFS(INDEX('Калькуляция (МИ корр)'!$AJ$25:$BC$747,,MATCH(AN$8,'Калькуляция (МИ корр)'!$AJ$8:$BC$8,0)),'Калькуляция (МИ корр)'!$F$25:$F$747,$F38,'Калькуляция (МИ корр)'!$G$25:$G$747,$G38),IF(method_reg="Метод экономически обоснованных расходов",_xlfn.SUMIFS('Калькуляция (МЭОР)'!$AK$25:$AK$452,'Калькуляция (МЭОР)'!$F$25:$F$452,$F38,'Калькуляция (МЭОР)'!$G$25:$G$452,$G38),IF(method_reg="Метод сравнения аналогов",_xlfn.SUMIFS('Калькуляция (МСА)'!$AF$25:$AF$122,'Калькуляция (МСА)'!$F$25:$F$122,$F38,'Калькуляция (МСА)'!$G$25:$G$122,$G38),_xlfn.SUMIFS(INDEX('Калькуляция (МИ)'!$AJ$25:$BC$747,,MATCH(AN$8,'Калькуляция (МИ)'!$AJ$8:$BC$8,0)),'Калькуляция (МИ)'!$F$25:$F$747,$F38,'Калькуляция (МИ)'!$G$25:$G$747,$G38))))</f>
        <v>0</v>
      </c>
      <c r="AO38" s="296">
        <f>IF(AM38=0,0,(AN38-AM38)/AM38*100)</f>
        <v>0</v>
      </c>
      <c r="AP38" s="5239">
        <f>IF(AND(method_reg="Метод индексации",god&lt;&gt;first_year),_xlfn.SUMIFS(INDEX('Калькуляция (МИ корр)'!$AJ$25:$BC$747,,MATCH(AP$8,'Калькуляция (МИ корр)'!$AJ$8:$BC$8,0)),'Калькуляция (МИ корр)'!$F$25:$F$747,$F38,'Калькуляция (МИ корр)'!$G$25:$G$747,$G38),IF(method_reg="Метод экономически обоснованных расходов",_xlfn.SUMIFS('Калькуляция (МЭОР)'!$AJ$25:$AJ$452,'Калькуляция (МЭОР)'!$F$25:$F$452,$F38,'Калькуляция (МЭОР)'!$G$25:$G$452,$G38),IF(method_reg="Метод сравнения аналогов",_xlfn.SUMIFS('Калькуляция (МСА)'!$AE$25:$AE$122,'Калькуляция (МСА)'!$F$25:$F$122,$F38,'Калькуляция (МСА)'!$G$25:$G$122,$G38),_xlfn.SUMIFS(INDEX('Калькуляция (МИ)'!$AJ$25:$BC$747,,MATCH(AP$8,'Калькуляция (МИ)'!$AJ$8:$BC$8,0)),'Калькуляция (МИ)'!$F$25:$F$747,$F38,'Калькуляция (МИ)'!$G$25:$G$747,$G38))))</f>
        <v>0</v>
      </c>
      <c r="AQ38" s="5239">
        <f>IF(AND(method_reg="Метод индексации",god&lt;&gt;first_year),_xlfn.SUMIFS(INDEX('Калькуляция (МИ корр)'!$AJ$25:$BC$747,,MATCH(AQ$8,'Калькуляция (МИ корр)'!$AJ$8:$BC$8,0)),'Калькуляция (МИ корр)'!$F$25:$F$747,$F38,'Калькуляция (МИ корр)'!$G$25:$G$747,$G38),IF(method_reg="Метод экономически обоснованных расходов",_xlfn.SUMIFS('Калькуляция (МЭОР)'!$AK$25:$AK$452,'Калькуляция (МЭОР)'!$F$25:$F$452,$F38,'Калькуляция (МЭОР)'!$G$25:$G$452,$G38),IF(method_reg="Метод сравнения аналогов",_xlfn.SUMIFS('Калькуляция (МСА)'!$AF$25:$AF$122,'Калькуляция (МСА)'!$F$25:$F$122,$F38,'Калькуляция (МСА)'!$G$25:$G$122,$G38),_xlfn.SUMIFS(INDEX('Калькуляция (МИ)'!$AJ$25:$BC$747,,MATCH(AQ$8,'Калькуляция (МИ)'!$AJ$8:$BC$8,0)),'Калькуляция (МИ)'!$F$25:$F$747,$F38,'Калькуляция (МИ)'!$G$25:$G$747,$G38))))</f>
        <v>0</v>
      </c>
      <c r="AR38" s="296">
        <f>IF(AP38=0,0,(AQ38-AP38)/AP38*100)</f>
        <v>0</v>
      </c>
      <c r="AS38" s="5239">
        <f>IF(AND(method_reg="Метод индексации",god&lt;&gt;first_year),_xlfn.SUMIFS(INDEX('Калькуляция (МИ корр)'!$AJ$25:$BC$747,,MATCH(AS$8,'Калькуляция (МИ корр)'!$AJ$8:$BC$8,0)),'Калькуляция (МИ корр)'!$F$25:$F$747,$F38,'Калькуляция (МИ корр)'!$G$25:$G$747,$G38),IF(method_reg="Метод экономически обоснованных расходов",_xlfn.SUMIFS('Калькуляция (МЭОР)'!$AJ$25:$AJ$452,'Калькуляция (МЭОР)'!$F$25:$F$452,$F38,'Калькуляция (МЭОР)'!$G$25:$G$452,$G38),IF(method_reg="Метод сравнения аналогов",_xlfn.SUMIFS('Калькуляция (МСА)'!$AE$25:$AE$122,'Калькуляция (МСА)'!$F$25:$F$122,$F38,'Калькуляция (МСА)'!$G$25:$G$122,$G38),_xlfn.SUMIFS(INDEX('Калькуляция (МИ)'!$AJ$25:$BC$747,,MATCH(AS$8,'Калькуляция (МИ)'!$AJ$8:$BC$8,0)),'Калькуляция (МИ)'!$F$25:$F$747,$F38,'Калькуляция (МИ)'!$G$25:$G$747,$G38))))</f>
        <v>0</v>
      </c>
      <c r="AT38" s="5239">
        <f>IF(AND(method_reg="Метод индексации",god&lt;&gt;first_year),_xlfn.SUMIFS(INDEX('Калькуляция (МИ корр)'!$AJ$25:$BC$747,,MATCH(AT$8,'Калькуляция (МИ корр)'!$AJ$8:$BC$8,0)),'Калькуляция (МИ корр)'!$F$25:$F$747,$F38,'Калькуляция (МИ корр)'!$G$25:$G$747,$G38),IF(method_reg="Метод экономически обоснованных расходов",_xlfn.SUMIFS('Калькуляция (МЭОР)'!$AK$25:$AK$452,'Калькуляция (МЭОР)'!$F$25:$F$452,$F38,'Калькуляция (МЭОР)'!$G$25:$G$452,$G38),IF(method_reg="Метод сравнения аналогов",_xlfn.SUMIFS('Калькуляция (МСА)'!$AF$25:$AF$122,'Калькуляция (МСА)'!$F$25:$F$122,$F38,'Калькуляция (МСА)'!$G$25:$G$122,$G38),_xlfn.SUMIFS(INDEX('Калькуляция (МИ)'!$AJ$25:$BC$747,,MATCH(AT$8,'Калькуляция (МИ)'!$AJ$8:$BC$8,0)),'Калькуляция (МИ)'!$F$25:$F$747,$F38,'Калькуляция (МИ)'!$G$25:$G$747,$G38))))</f>
        <v>0</v>
      </c>
      <c r="AU38" s="296">
        <f>IF(AS38=0,0,(AT38-AS38)/AS38*100)</f>
        <v>0</v>
      </c>
      <c r="AV38" s="5239">
        <f>IF(AND(method_reg="Метод индексации",god&lt;&gt;first_year),_xlfn.SUMIFS(INDEX('Калькуляция (МИ корр)'!$AJ$25:$BC$747,,MATCH(AV$8,'Калькуляция (МИ корр)'!$AJ$8:$BC$8,0)),'Калькуляция (МИ корр)'!$F$25:$F$747,$F38,'Калькуляция (МИ корр)'!$G$25:$G$747,$G38),IF(method_reg="Метод экономически обоснованных расходов",_xlfn.SUMIFS('Калькуляция (МЭОР)'!$AJ$25:$AJ$452,'Калькуляция (МЭОР)'!$F$25:$F$452,$F38,'Калькуляция (МЭОР)'!$G$25:$G$452,$G38),IF(method_reg="Метод сравнения аналогов",_xlfn.SUMIFS('Калькуляция (МСА)'!$AE$25:$AE$122,'Калькуляция (МСА)'!$F$25:$F$122,$F38,'Калькуляция (МСА)'!$G$25:$G$122,$G38),_xlfn.SUMIFS(INDEX('Калькуляция (МИ)'!$AJ$25:$BC$747,,MATCH(AV$8,'Калькуляция (МИ)'!$AJ$8:$BC$8,0)),'Калькуляция (МИ)'!$F$25:$F$747,$F38,'Калькуляция (МИ)'!$G$25:$G$747,$G38))))</f>
        <v>0</v>
      </c>
      <c r="AW38" s="5239">
        <f>IF(AND(method_reg="Метод индексации",god&lt;&gt;first_year),_xlfn.SUMIFS(INDEX('Калькуляция (МИ корр)'!$AJ$25:$BC$747,,MATCH(AW$8,'Калькуляция (МИ корр)'!$AJ$8:$BC$8,0)),'Калькуляция (МИ корр)'!$F$25:$F$747,$F38,'Калькуляция (МИ корр)'!$G$25:$G$747,$G38),IF(method_reg="Метод экономически обоснованных расходов",_xlfn.SUMIFS('Калькуляция (МЭОР)'!$AK$25:$AK$452,'Калькуляция (МЭОР)'!$F$25:$F$452,$F38,'Калькуляция (МЭОР)'!$G$25:$G$452,$G38),IF(method_reg="Метод сравнения аналогов",_xlfn.SUMIFS('Калькуляция (МСА)'!$AF$25:$AF$122,'Калькуляция (МСА)'!$F$25:$F$122,$F38,'Калькуляция (МСА)'!$G$25:$G$122,$G38),_xlfn.SUMIFS(INDEX('Калькуляция (МИ)'!$AJ$25:$BC$747,,MATCH(AW$8,'Калькуляция (МИ)'!$AJ$8:$BC$8,0)),'Калькуляция (МИ)'!$F$25:$F$747,$F38,'Калькуляция (МИ)'!$G$25:$G$747,$G38))))</f>
        <v>0</v>
      </c>
      <c r="AX38" s="296">
        <f>IF(AV38=0,0,(AW38-AV38)/AV38*100)</f>
        <v>0</v>
      </c>
      <c r="AY38" s="5239">
        <f>IF(AND(method_reg="Метод индексации",god&lt;&gt;first_year),_xlfn.SUMIFS(INDEX('Калькуляция (МИ корр)'!$AJ$25:$BC$747,,MATCH(AY$8,'Калькуляция (МИ корр)'!$AJ$8:$BC$8,0)),'Калькуляция (МИ корр)'!$F$25:$F$747,$F38,'Калькуляция (МИ корр)'!$G$25:$G$747,$G38),IF(method_reg="Метод экономически обоснованных расходов",_xlfn.SUMIFS('Калькуляция (МЭОР)'!$AJ$25:$AJ$452,'Калькуляция (МЭОР)'!$F$25:$F$452,$F38,'Калькуляция (МЭОР)'!$G$25:$G$452,$G38),IF(method_reg="Метод сравнения аналогов",_xlfn.SUMIFS('Калькуляция (МСА)'!$AE$25:$AE$122,'Калькуляция (МСА)'!$F$25:$F$122,$F38,'Калькуляция (МСА)'!$G$25:$G$122,$G38),_xlfn.SUMIFS(INDEX('Калькуляция (МИ)'!$AJ$25:$BC$747,,MATCH(AY$8,'Калькуляция (МИ)'!$AJ$8:$BC$8,0)),'Калькуляция (МИ)'!$F$25:$F$747,$F38,'Калькуляция (МИ)'!$G$25:$G$747,$G38))))</f>
        <v>0</v>
      </c>
      <c r="AZ38" s="5239">
        <f>IF(AND(method_reg="Метод индексации",god&lt;&gt;first_year),_xlfn.SUMIFS(INDEX('Калькуляция (МИ корр)'!$AJ$25:$BC$747,,MATCH(AZ$8,'Калькуляция (МИ корр)'!$AJ$8:$BC$8,0)),'Калькуляция (МИ корр)'!$F$25:$F$747,$F38,'Калькуляция (МИ корр)'!$G$25:$G$747,$G38),IF(method_reg="Метод экономически обоснованных расходов",_xlfn.SUMIFS('Калькуляция (МЭОР)'!$AK$25:$AK$452,'Калькуляция (МЭОР)'!$F$25:$F$452,$F38,'Калькуляция (МЭОР)'!$G$25:$G$452,$G38),IF(method_reg="Метод сравнения аналогов",_xlfn.SUMIFS('Калькуляция (МСА)'!$AF$25:$AF$122,'Калькуляция (МСА)'!$F$25:$F$122,$F38,'Калькуляция (МСА)'!$G$25:$G$122,$G38),_xlfn.SUMIFS(INDEX('Калькуляция (МИ)'!$AJ$25:$BC$747,,MATCH(AZ$8,'Калькуляция (МИ)'!$AJ$8:$BC$8,0)),'Калькуляция (МИ)'!$F$25:$F$747,$F38,'Калькуляция (МИ)'!$G$25:$G$747,$G38))))</f>
        <v>0</v>
      </c>
      <c r="BA38" s="296">
        <f>IF(AY38=0,0,(AZ38-AY38)/AY38*100)</f>
        <v>0</v>
      </c>
      <c r="BB38" s="5239">
        <f>IF(AND(method_reg="Метод индексации",god&lt;&gt;first_year),_xlfn.SUMIFS(INDEX('Калькуляция (МИ корр)'!$AJ$25:$BC$747,,MATCH(BB$8,'Калькуляция (МИ корр)'!$AJ$8:$BC$8,0)),'Калькуляция (МИ корр)'!$F$25:$F$747,$F38,'Калькуляция (МИ корр)'!$G$25:$G$747,$G38),IF(method_reg="Метод экономически обоснованных расходов",_xlfn.SUMIFS('Калькуляция (МЭОР)'!$AJ$25:$AJ$452,'Калькуляция (МЭОР)'!$F$25:$F$452,$F38,'Калькуляция (МЭОР)'!$G$25:$G$452,$G38),IF(method_reg="Метод сравнения аналогов",_xlfn.SUMIFS('Калькуляция (МСА)'!$AE$25:$AE$122,'Калькуляция (МСА)'!$F$25:$F$122,$F38,'Калькуляция (МСА)'!$G$25:$G$122,$G38),_xlfn.SUMIFS(INDEX('Калькуляция (МИ)'!$AJ$25:$BC$747,,MATCH(BB$8,'Калькуляция (МИ)'!$AJ$8:$BC$8,0)),'Калькуляция (МИ)'!$F$25:$F$747,$F38,'Калькуляция (МИ)'!$G$25:$G$747,$G38))))</f>
        <v>0</v>
      </c>
      <c r="BC38" s="5239">
        <f>IF(AND(method_reg="Метод индексации",god&lt;&gt;first_year),_xlfn.SUMIFS(INDEX('Калькуляция (МИ корр)'!$AJ$25:$BC$747,,MATCH(BC$8,'Калькуляция (МИ корр)'!$AJ$8:$BC$8,0)),'Калькуляция (МИ корр)'!$F$25:$F$747,$F38,'Калькуляция (МИ корр)'!$G$25:$G$747,$G38),IF(method_reg="Метод экономически обоснованных расходов",_xlfn.SUMIFS('Калькуляция (МЭОР)'!$AK$25:$AK$452,'Калькуляция (МЭОР)'!$F$25:$F$452,$F38,'Калькуляция (МЭОР)'!$G$25:$G$452,$G38),IF(method_reg="Метод сравнения аналогов",_xlfn.SUMIFS('Калькуляция (МСА)'!$AF$25:$AF$122,'Калькуляция (МСА)'!$F$25:$F$122,$F38,'Калькуляция (МСА)'!$G$25:$G$122,$G38),_xlfn.SUMIFS(INDEX('Калькуляция (МИ)'!$AJ$25:$BC$747,,MATCH(BC$8,'Калькуляция (МИ)'!$AJ$8:$BC$8,0)),'Калькуляция (МИ)'!$F$25:$F$747,$F38,'Калькуляция (МИ)'!$G$25:$G$747,$G38))))</f>
        <v>0</v>
      </c>
      <c r="BD38" s="296">
        <f>IF(BB38=0,0,(BC38-BB38)/BB38*100)</f>
        <v>0</v>
      </c>
      <c r="BE38" s="5239">
        <f>IF(AND(method_reg="Метод индексации",god&lt;&gt;first_year),_xlfn.SUMIFS(INDEX('Калькуляция (МИ корр)'!$AJ$25:$BC$747,,MATCH(BE$8,'Калькуляция (МИ корр)'!$AJ$8:$BC$8,0)),'Калькуляция (МИ корр)'!$F$25:$F$747,$F38,'Калькуляция (МИ корр)'!$G$25:$G$747,$G38),IF(method_reg="Метод экономически обоснованных расходов",_xlfn.SUMIFS('Калькуляция (МЭОР)'!$AJ$25:$AJ$452,'Калькуляция (МЭОР)'!$F$25:$F$452,$F38,'Калькуляция (МЭОР)'!$G$25:$G$452,$G38),IF(method_reg="Метод сравнения аналогов",_xlfn.SUMIFS('Калькуляция (МСА)'!$AE$25:$AE$122,'Калькуляция (МСА)'!$F$25:$F$122,$F38,'Калькуляция (МСА)'!$G$25:$G$122,$G38),_xlfn.SUMIFS(INDEX('Калькуляция (МИ)'!$AJ$25:$BC$747,,MATCH(BE$8,'Калькуляция (МИ)'!$AJ$8:$BC$8,0)),'Калькуляция (МИ)'!$F$25:$F$747,$F38,'Калькуляция (МИ)'!$G$25:$G$747,$G38))))</f>
        <v>0</v>
      </c>
      <c r="BF38" s="5239">
        <f>IF(AND(method_reg="Метод индексации",god&lt;&gt;first_year),_xlfn.SUMIFS(INDEX('Калькуляция (МИ корр)'!$AJ$25:$BC$747,,MATCH(BF$8,'Калькуляция (МИ корр)'!$AJ$8:$BC$8,0)),'Калькуляция (МИ корр)'!$F$25:$F$747,$F38,'Калькуляция (МИ корр)'!$G$25:$G$747,$G38),IF(method_reg="Метод экономически обоснованных расходов",_xlfn.SUMIFS('Калькуляция (МЭОР)'!$AK$25:$AK$452,'Калькуляция (МЭОР)'!$F$25:$F$452,$F38,'Калькуляция (МЭОР)'!$G$25:$G$452,$G38),IF(method_reg="Метод сравнения аналогов",_xlfn.SUMIFS('Калькуляция (МСА)'!$AF$25:$AF$122,'Калькуляция (МСА)'!$F$25:$F$122,$F38,'Калькуляция (МСА)'!$G$25:$G$122,$G38),_xlfn.SUMIFS(INDEX('Калькуляция (МИ)'!$AJ$25:$BC$747,,MATCH(BF$8,'Калькуляция (МИ)'!$AJ$8:$BC$8,0)),'Калькуляция (МИ)'!$F$25:$F$747,$F38,'Калькуляция (МИ)'!$G$25:$G$747,$G38))))</f>
        <v>0</v>
      </c>
      <c r="BG38" s="296">
        <f>IF(BE38=0,0,(BF38-BE38)/BE38*100)</f>
        <v>0</v>
      </c>
      <c r="BH38" s="5239"/>
      <c r="BI38" s="5239"/>
      <c r="BJ38" s="296">
        <f>IF(BH38=0,0,(BI38-BH38)/BH38*100)</f>
        <v>0</v>
      </c>
      <c r="BK38" s="5239"/>
      <c r="BL38" s="5239"/>
      <c r="BM38" s="296">
        <f>IF(BK38=0,0,(BL38-BK38)/BK38*100)</f>
        <v>0</v>
      </c>
      <c r="BN38" s="5239"/>
      <c r="BO38" s="5239"/>
      <c r="BP38" s="296">
        <f>IF(BN38=0,0,(BO38-BN38)/BN38*100)</f>
        <v>0</v>
      </c>
      <c r="BQ38" s="5239"/>
      <c r="BR38" s="5239"/>
      <c r="BS38" s="296">
        <f>IF(BQ38=0,0,(BR38-BQ38)/BQ38*100)</f>
        <v>0</v>
      </c>
      <c r="BT38" s="5239"/>
      <c r="BU38" s="5239"/>
      <c r="BV38" s="296">
        <f>IF(BT38=0,0,(BU38-BT38)/BT38*100)</f>
        <v>0</v>
      </c>
      <c r="BW38" s="5239"/>
      <c r="BX38" s="5239"/>
      <c r="BY38" s="296">
        <f>IF(BW38=0,0,(BX38-BW38)/BW38*100)</f>
        <v>0</v>
      </c>
      <c r="BZ38" s="5239"/>
      <c r="CA38" s="5239"/>
      <c r="CB38" s="296">
        <f>IF(BZ38=0,0,(CA38-BZ38)/BZ38*100)</f>
        <v>0</v>
      </c>
      <c r="CC38" s="5239"/>
      <c r="CD38" s="5239"/>
      <c r="CE38" s="296">
        <f>IF(CC38=0,0,(CD38-CC38)/CC38*100)</f>
        <v>0</v>
      </c>
      <c r="CF38" s="5239"/>
      <c r="CG38" s="5239"/>
      <c r="CH38" s="296">
        <f>IF(CF38=0,0,(CG38-CF38)/CF38*100)</f>
        <v>0</v>
      </c>
      <c r="CI38" s="5239"/>
      <c r="CJ38" s="5239"/>
      <c r="CK38" s="296">
        <f>IF(CI38=0,0,(CJ38-CI38)/CI38*100)</f>
        <v>0</v>
      </c>
      <c r="CL38" s="5239"/>
      <c r="CM38" s="5239"/>
      <c r="CN38" s="296">
        <f>IF(CL38=0,0,(CM38-CL38)/CL38*100)</f>
        <v>0</v>
      </c>
      <c r="CO38" s="5239"/>
      <c r="CP38" s="5239"/>
      <c r="CQ38" s="296">
        <f>IF(CO38=0,0,(CP38-CO38)/CO38*100)</f>
        <v>0</v>
      </c>
      <c r="CR38" s="5239"/>
      <c r="CS38" s="5239"/>
      <c r="CT38" s="296">
        <f>IF(CR38=0,0,(CS38-CR38)/CR38*100)</f>
        <v>0</v>
      </c>
      <c r="CU38" s="5239"/>
      <c r="CV38" s="5239"/>
      <c r="CW38" s="296">
        <f>IF(CU38=0,0,(CV38-CU38)/CU38*100)</f>
        <v>0</v>
      </c>
      <c r="CX38" s="5239"/>
      <c r="CY38" s="5239"/>
      <c r="CZ38" s="296">
        <f>IF(CX38=0,0,(CY38-CX38)/CX38*100)</f>
        <v>0</v>
      </c>
      <c r="DA38" s="5239"/>
      <c r="DB38" s="5239"/>
      <c r="DC38" s="296">
        <f>IF(DA38=0,0,(DB38-DA38)/DA38*100)</f>
        <v>0</v>
      </c>
      <c r="DD38" s="5239"/>
      <c r="DE38" s="5239"/>
      <c r="DF38" s="296">
        <f>IF(DD38=0,0,(DE38-DD38)/DD38*100)</f>
        <v>0</v>
      </c>
      <c r="DG38" s="5239"/>
      <c r="DH38" s="5239"/>
      <c r="DI38" s="296">
        <f>IF(DG38=0,0,(DH38-DG38)/DG38*100)</f>
        <v>0</v>
      </c>
      <c r="DJ38" s="5239"/>
      <c r="DK38" s="5239"/>
      <c r="DL38" s="296">
        <f>IF(DJ38=0,0,(DK38-DJ38)/DJ38*100)</f>
        <v>0</v>
      </c>
      <c r="DM38" s="5239"/>
      <c r="DN38" s="5239"/>
      <c r="DO38" s="296">
        <f>IF(DM38=0,0,(DN38-DM38)/DM38*100)</f>
        <v>0</v>
      </c>
      <c r="DP38" s="5239"/>
      <c r="DQ38" s="5239"/>
      <c r="DR38" s="296">
        <f>IF(DP38=0,0,(DQ38-DP38)/DP38*100)</f>
        <v>0</v>
      </c>
      <c r="DS38" s="5239"/>
      <c r="DT38" s="5239"/>
      <c r="DU38" s="296">
        <f>IF(DS38=0,0,(DT38-DS38)/DS38*100)</f>
        <v>0</v>
      </c>
      <c r="DV38" s="5239"/>
      <c r="DW38" s="5239"/>
      <c r="DX38" s="296">
        <f>IF(DV38=0,0,(DW38-DV38)/DV38*100)</f>
        <v>0</v>
      </c>
      <c r="DY38" s="5239"/>
      <c r="DZ38" s="5239"/>
      <c r="EA38" s="296">
        <f>IF(DY38=0,0,(DZ38-DY38)/DY38*100)</f>
        <v>0</v>
      </c>
      <c r="EB38" s="5239"/>
      <c r="EC38" s="5239"/>
      <c r="ED38" s="296">
        <f>IF(EB38=0,0,(EC38-EB38)/EB38*100)</f>
        <v>0</v>
      </c>
      <c r="EE38" s="5239"/>
      <c r="EF38" s="5239"/>
      <c r="EG38" s="296">
        <f>IF(EE38=0,0,(EF38-EE38)/EE38*100)</f>
        <v>0</v>
      </c>
      <c r="EH38" s="5239"/>
      <c r="EI38" s="5239"/>
      <c r="EJ38" s="296">
        <f>IF(EH38=0,0,(EI38-EH38)/EH38*100)</f>
        <v>0</v>
      </c>
      <c r="EK38" s="5239"/>
      <c r="EL38" s="5239"/>
      <c r="EM38" s="296">
        <f>IF(EK38=0,0,(EL38-EK38)/EK38*100)</f>
        <v>0</v>
      </c>
      <c r="EN38" s="5239"/>
      <c r="EO38" s="5239"/>
      <c r="EP38" s="296">
        <f>IF(EN38=0,0,(EO38-EN38)/EN38*100)</f>
        <v>0</v>
      </c>
      <c r="EQ38" s="5239"/>
      <c r="ER38" s="5239"/>
      <c r="ES38" s="296">
        <f>IF(EQ38=0,0,(ER38-EQ38)/EQ38*100)</f>
        <v>0</v>
      </c>
      <c r="ET38" s="5239"/>
      <c r="EU38" s="5239"/>
      <c r="EV38" s="296">
        <f>IF(ET38=0,0,(EU38-ET38)/ET38*100)</f>
        <v>0</v>
      </c>
      <c r="EW38" s="5239"/>
      <c r="EX38" s="5239"/>
      <c r="EY38" s="296">
        <f>IF(EW38=0,0,(EX38-EW38)/EW38*100)</f>
        <v>0</v>
      </c>
      <c r="EZ38" s="5239"/>
      <c r="FA38" s="5239"/>
      <c r="FB38" s="296">
        <f>IF(EZ38=0,0,(FA38-EZ38)/EZ38*100)</f>
        <v>0</v>
      </c>
      <c r="FC38" s="5239"/>
      <c r="FD38" s="5239"/>
      <c r="FE38" s="296">
        <f>IF(FC38=0,0,(FD38-FC38)/FC38*100)</f>
        <v>0</v>
      </c>
      <c r="FF38" s="5239"/>
      <c r="FG38" s="5239"/>
      <c r="FH38" s="296">
        <f>IF(FF38=0,0,(FG38-FF38)/FF38*100)</f>
        <v>0</v>
      </c>
      <c r="FI38" s="5239"/>
      <c r="FJ38" s="5239"/>
      <c r="FK38" s="296">
        <f>IF(FI38=0,0,(FJ38-FI38)/FI38*100)</f>
        <v>0</v>
      </c>
      <c r="FL38" s="5239"/>
      <c r="FM38" s="5239"/>
      <c r="FN38" s="296">
        <f>IF(FL38=0,0,(FM38-FL38)/FL38*100)</f>
        <v>0</v>
      </c>
      <c r="FO38" s="5239"/>
      <c r="FP38" s="5239"/>
      <c r="FQ38" s="296">
        <f>IF(FO38=0,0,(FP38-FO38)/FO38*100)</f>
        <v>0</v>
      </c>
      <c r="FR38" s="5239"/>
      <c r="FS38" s="5239"/>
      <c r="FT38" s="296">
        <f>IF(FR38=0,0,(FS38-FR38)/FR38*100)</f>
        <v>0</v>
      </c>
      <c r="FU38" s="5239"/>
      <c r="FV38" s="5239"/>
      <c r="FW38" s="296">
        <f>IF(FU38=0,0,(FV38-FU38)/FU38*100)</f>
        <v>0</v>
      </c>
      <c r="FX38" s="292"/>
      <c r="FY38" s="292"/>
      <c r="FZ38" s="1055" t="s">
        <v>2352</v>
      </c>
      <c r="GA38" s="1055"/>
      <c r="GB38" s="1055"/>
      <c r="GC38" s="1056"/>
      <c r="GD38" s="1056"/>
    </row>
    <row s="292" customFormat="1" customHeight="1" ht="23.887500000000003" hidden="1">
      <c r="A39" s="897"/>
      <c r="B39" s="925" cm="1" t="str">
        <f t="array" ref="B39:B39">B38</f>
        <v>false</v>
      </c>
      <c r="C39" s="897"/>
      <c r="D39" s="897"/>
      <c r="E39" s="898">
        <v>24.5</v>
      </c>
      <c r="F39" s="50" cm="1" t="str">
        <f t="array" ref="F39:F39">OFFSET(E39,-1,1)</f>
        <v>0</v>
      </c>
      <c r="G39" s="107" t="s">
        <v>2353</v>
      </c>
      <c r="H39" s="493" t="s">
        <v>1175</v>
      </c>
      <c r="I39" s="493" t="s">
        <v>2354</v>
      </c>
      <c r="J39" s="897"/>
      <c r="K39" s="897"/>
      <c r="L39" s="493"/>
      <c r="M39" s="897"/>
      <c r="N39" s="897"/>
      <c r="O39" s="897"/>
      <c r="P39" s="897"/>
      <c r="Q39" s="897"/>
      <c r="R39" s="493"/>
      <c r="S39" s="493"/>
      <c r="T39" s="465" cm="1" t="str">
        <f t="array" ref="T39:T39">T38</f>
        <v>false</v>
      </c>
      <c r="U39" s="897"/>
      <c r="V39" s="897"/>
      <c r="W39" s="897"/>
      <c r="X39" s="1596"/>
      <c r="Y39" s="897"/>
      <c r="Z39" s="1545"/>
      <c r="AA39" s="897"/>
      <c r="AB39" s="1090" t="s">
        <v>2355</v>
      </c>
      <c r="AC39" s="294" t="s">
        <v>2337</v>
      </c>
      <c r="AD39" s="5239">
        <f>IF(AND(method_reg="Метод индексации",god&lt;&gt;first_year),_xlfn.SUMIFS(INDEX('Калькуляция (МИ корр)'!$AJ$25:$BC$747,,MATCH(AD$8,'Калькуляция (МИ корр)'!$AJ$8:$BC$8,0)),'Калькуляция (МИ корр)'!$F$25:$F$747,$F39,'Калькуляция (МИ корр)'!$G$25:$G$747,$G39),IF(method_reg="Метод экономически обоснованных расходов",_xlfn.SUMIFS('Калькуляция (МЭОР)'!$AJ$25:$AJ$452,'Калькуляция (МЭОР)'!$F$25:$F$452,$F39,'Калькуляция (МЭОР)'!$G$25:$G$452,$G39),IF(method_reg="Метод сравнения аналогов",_xlfn.SUMIFS('Калькуляция (МСА)'!$AE$25:$AE$122,'Калькуляция (МСА)'!$F$25:$F$122,$F39,'Калькуляция (МСА)'!$G$25:$G$122,$G39),_xlfn.SUMIFS(INDEX('Калькуляция (МИ)'!$AJ$25:$BC$747,,MATCH(AD$8,'Калькуляция (МИ)'!$AJ$8:$BC$8,0)),'Калькуляция (МИ)'!$F$25:$F$747,$F39,'Калькуляция (МИ)'!$G$25:$G$747,$G39))))</f>
        <v>0</v>
      </c>
      <c r="AE39" s="5239">
        <f>IF(AND(method_reg="Метод индексации",god&lt;&gt;first_year),_xlfn.SUMIFS(INDEX('Калькуляция (МИ корр)'!$AJ$25:$BC$747,,MATCH(AE$8,'Калькуляция (МИ корр)'!$AJ$8:$BC$8,0)),'Калькуляция (МИ корр)'!$F$25:$F$747,$F39,'Калькуляция (МИ корр)'!$G$25:$G$747,$G39),IF(method_reg="Метод экономически обоснованных расходов",_xlfn.SUMIFS('Калькуляция (МЭОР)'!$AK$25:$AK$452,'Калькуляция (МЭОР)'!$F$25:$F$452,$F39,'Калькуляция (МЭОР)'!$G$25:$G$452,$G39),IF(method_reg="Метод сравнения аналогов",_xlfn.SUMIFS('Калькуляция (МСА)'!$AF$25:$AF$122,'Калькуляция (МСА)'!$F$25:$F$122,$F39,'Калькуляция (МСА)'!$G$25:$G$122,$G39),_xlfn.SUMIFS(INDEX('Калькуляция (МИ)'!$AJ$25:$BC$747,,MATCH(AE$8,'Калькуляция (МИ)'!$AJ$8:$BC$8,0)),'Калькуляция (МИ)'!$F$25:$F$747,$F39,'Калькуляция (МИ)'!$G$25:$G$747,$G39))))</f>
        <v>0</v>
      </c>
      <c r="AF39" s="296">
        <f>IF(AD39=0,0,(AE39-AD39)/AD39*100)</f>
        <v>0</v>
      </c>
      <c r="AG39" s="5239">
        <f>IF(AND(method_reg="Метод индексации",god&lt;&gt;first_year),_xlfn.SUMIFS(INDEX('Калькуляция (МИ корр)'!$AJ$25:$BC$747,,MATCH(AG$8,'Калькуляция (МИ корр)'!$AJ$8:$BC$8,0)),'Калькуляция (МИ корр)'!$F$25:$F$747,$F39,'Калькуляция (МИ корр)'!$G$25:$G$747,$G39),IF(method_reg="Метод экономически обоснованных расходов",_xlfn.SUMIFS('Калькуляция (МЭОР)'!$AJ$25:$AJ$452,'Калькуляция (МЭОР)'!$F$25:$F$452,$F39,'Калькуляция (МЭОР)'!$G$25:$G$452,$G39),IF(method_reg="Метод сравнения аналогов",_xlfn.SUMIFS('Калькуляция (МСА)'!$AE$25:$AE$122,'Калькуляция (МСА)'!$F$25:$F$122,$F39,'Калькуляция (МСА)'!$G$25:$G$122,$G39),_xlfn.SUMIFS(INDEX('Калькуляция (МИ)'!$AJ$25:$BC$747,,MATCH(AG$8,'Калькуляция (МИ)'!$AJ$8:$BC$8,0)),'Калькуляция (МИ)'!$F$25:$F$747,$F39,'Калькуляция (МИ)'!$G$25:$G$747,$G39))))</f>
        <v>0</v>
      </c>
      <c r="AH39" s="5239">
        <f>IF(AND(method_reg="Метод индексации",god&lt;&gt;first_year),_xlfn.SUMIFS(INDEX('Калькуляция (МИ корр)'!$AJ$25:$BC$747,,MATCH(AH$8,'Калькуляция (МИ корр)'!$AJ$8:$BC$8,0)),'Калькуляция (МИ корр)'!$F$25:$F$747,$F39,'Калькуляция (МИ корр)'!$G$25:$G$747,$G39),IF(method_reg="Метод экономически обоснованных расходов",_xlfn.SUMIFS('Калькуляция (МЭОР)'!$AK$25:$AK$452,'Калькуляция (МЭОР)'!$F$25:$F$452,$F39,'Калькуляция (МЭОР)'!$G$25:$G$452,$G39),IF(method_reg="Метод сравнения аналогов",_xlfn.SUMIFS('Калькуляция (МСА)'!$AF$25:$AF$122,'Калькуляция (МСА)'!$F$25:$F$122,$F39,'Калькуляция (МСА)'!$G$25:$G$122,$G39),_xlfn.SUMIFS(INDEX('Калькуляция (МИ)'!$AJ$25:$BC$747,,MATCH(AH$8,'Калькуляция (МИ)'!$AJ$8:$BC$8,0)),'Калькуляция (МИ)'!$F$25:$F$747,$F39,'Калькуляция (МИ)'!$G$25:$G$747,$G39))))</f>
        <v>0</v>
      </c>
      <c r="AI39" s="296">
        <f>IF(AG39=0,0,(AH39-AG39)/AG39*100)</f>
        <v>0</v>
      </c>
      <c r="AJ39" s="5239">
        <f>IF(AND(method_reg="Метод индексации",god&lt;&gt;first_year),_xlfn.SUMIFS(INDEX('Калькуляция (МИ корр)'!$AJ$25:$BC$747,,MATCH(AJ$8,'Калькуляция (МИ корр)'!$AJ$8:$BC$8,0)),'Калькуляция (МИ корр)'!$F$25:$F$747,$F39,'Калькуляция (МИ корр)'!$G$25:$G$747,$G39),IF(method_reg="Метод экономически обоснованных расходов",_xlfn.SUMIFS('Калькуляция (МЭОР)'!$AJ$25:$AJ$452,'Калькуляция (МЭОР)'!$F$25:$F$452,$F39,'Калькуляция (МЭОР)'!$G$25:$G$452,$G39),IF(method_reg="Метод сравнения аналогов",_xlfn.SUMIFS('Калькуляция (МСА)'!$AE$25:$AE$122,'Калькуляция (МСА)'!$F$25:$F$122,$F39,'Калькуляция (МСА)'!$G$25:$G$122,$G39),_xlfn.SUMIFS(INDEX('Калькуляция (МИ)'!$AJ$25:$BC$747,,MATCH(AJ$8,'Калькуляция (МИ)'!$AJ$8:$BC$8,0)),'Калькуляция (МИ)'!$F$25:$F$747,$F39,'Калькуляция (МИ)'!$G$25:$G$747,$G39))))</f>
        <v>0</v>
      </c>
      <c r="AK39" s="5239">
        <f>IF(AND(method_reg="Метод индексации",god&lt;&gt;first_year),_xlfn.SUMIFS(INDEX('Калькуляция (МИ корр)'!$AJ$25:$BC$747,,MATCH(AK$8,'Калькуляция (МИ корр)'!$AJ$8:$BC$8,0)),'Калькуляция (МИ корр)'!$F$25:$F$747,$F39,'Калькуляция (МИ корр)'!$G$25:$G$747,$G39),IF(method_reg="Метод экономически обоснованных расходов",_xlfn.SUMIFS('Калькуляция (МЭОР)'!$AK$25:$AK$452,'Калькуляция (МЭОР)'!$F$25:$F$452,$F39,'Калькуляция (МЭОР)'!$G$25:$G$452,$G39),IF(method_reg="Метод сравнения аналогов",_xlfn.SUMIFS('Калькуляция (МСА)'!$AF$25:$AF$122,'Калькуляция (МСА)'!$F$25:$F$122,$F39,'Калькуляция (МСА)'!$G$25:$G$122,$G39),_xlfn.SUMIFS(INDEX('Калькуляция (МИ)'!$AJ$25:$BC$747,,MATCH(AK$8,'Калькуляция (МИ)'!$AJ$8:$BC$8,0)),'Калькуляция (МИ)'!$F$25:$F$747,$F39,'Калькуляция (МИ)'!$G$25:$G$747,$G39))))</f>
        <v>0</v>
      </c>
      <c r="AL39" s="296">
        <f>IF(AJ39=0,0,(AK39-AJ39)/AJ39*100)</f>
        <v>0</v>
      </c>
      <c r="AM39" s="5239">
        <f>IF(AND(method_reg="Метод индексации",god&lt;&gt;first_year),_xlfn.SUMIFS(INDEX('Калькуляция (МИ корр)'!$AJ$25:$BC$747,,MATCH(AM$8,'Калькуляция (МИ корр)'!$AJ$8:$BC$8,0)),'Калькуляция (МИ корр)'!$F$25:$F$747,$F39,'Калькуляция (МИ корр)'!$G$25:$G$747,$G39),IF(method_reg="Метод экономически обоснованных расходов",_xlfn.SUMIFS('Калькуляция (МЭОР)'!$AJ$25:$AJ$452,'Калькуляция (МЭОР)'!$F$25:$F$452,$F39,'Калькуляция (МЭОР)'!$G$25:$G$452,$G39),IF(method_reg="Метод сравнения аналогов",_xlfn.SUMIFS('Калькуляция (МСА)'!$AE$25:$AE$122,'Калькуляция (МСА)'!$F$25:$F$122,$F39,'Калькуляция (МСА)'!$G$25:$G$122,$G39),_xlfn.SUMIFS(INDEX('Калькуляция (МИ)'!$AJ$25:$BC$747,,MATCH(AM$8,'Калькуляция (МИ)'!$AJ$8:$BC$8,0)),'Калькуляция (МИ)'!$F$25:$F$747,$F39,'Калькуляция (МИ)'!$G$25:$G$747,$G39))))</f>
        <v>0</v>
      </c>
      <c r="AN39" s="5239">
        <f>IF(AND(method_reg="Метод индексации",god&lt;&gt;first_year),_xlfn.SUMIFS(INDEX('Калькуляция (МИ корр)'!$AJ$25:$BC$747,,MATCH(AN$8,'Калькуляция (МИ корр)'!$AJ$8:$BC$8,0)),'Калькуляция (МИ корр)'!$F$25:$F$747,$F39,'Калькуляция (МИ корр)'!$G$25:$G$747,$G39),IF(method_reg="Метод экономически обоснованных расходов",_xlfn.SUMIFS('Калькуляция (МЭОР)'!$AK$25:$AK$452,'Калькуляция (МЭОР)'!$F$25:$F$452,$F39,'Калькуляция (МЭОР)'!$G$25:$G$452,$G39),IF(method_reg="Метод сравнения аналогов",_xlfn.SUMIFS('Калькуляция (МСА)'!$AF$25:$AF$122,'Калькуляция (МСА)'!$F$25:$F$122,$F39,'Калькуляция (МСА)'!$G$25:$G$122,$G39),_xlfn.SUMIFS(INDEX('Калькуляция (МИ)'!$AJ$25:$BC$747,,MATCH(AN$8,'Калькуляция (МИ)'!$AJ$8:$BC$8,0)),'Калькуляция (МИ)'!$F$25:$F$747,$F39,'Калькуляция (МИ)'!$G$25:$G$747,$G39))))</f>
        <v>0</v>
      </c>
      <c r="AO39" s="296">
        <f>IF(AM39=0,0,(AN39-AM39)/AM39*100)</f>
        <v>0</v>
      </c>
      <c r="AP39" s="5239">
        <f>IF(AND(method_reg="Метод индексации",god&lt;&gt;first_year),_xlfn.SUMIFS(INDEX('Калькуляция (МИ корр)'!$AJ$25:$BC$747,,MATCH(AP$8,'Калькуляция (МИ корр)'!$AJ$8:$BC$8,0)),'Калькуляция (МИ корр)'!$F$25:$F$747,$F39,'Калькуляция (МИ корр)'!$G$25:$G$747,$G39),IF(method_reg="Метод экономически обоснованных расходов",_xlfn.SUMIFS('Калькуляция (МЭОР)'!$AJ$25:$AJ$452,'Калькуляция (МЭОР)'!$F$25:$F$452,$F39,'Калькуляция (МЭОР)'!$G$25:$G$452,$G39),IF(method_reg="Метод сравнения аналогов",_xlfn.SUMIFS('Калькуляция (МСА)'!$AE$25:$AE$122,'Калькуляция (МСА)'!$F$25:$F$122,$F39,'Калькуляция (МСА)'!$G$25:$G$122,$G39),_xlfn.SUMIFS(INDEX('Калькуляция (МИ)'!$AJ$25:$BC$747,,MATCH(AP$8,'Калькуляция (МИ)'!$AJ$8:$BC$8,0)),'Калькуляция (МИ)'!$F$25:$F$747,$F39,'Калькуляция (МИ)'!$G$25:$G$747,$G39))))</f>
        <v>0</v>
      </c>
      <c r="AQ39" s="5239">
        <f>IF(AND(method_reg="Метод индексации",god&lt;&gt;first_year),_xlfn.SUMIFS(INDEX('Калькуляция (МИ корр)'!$AJ$25:$BC$747,,MATCH(AQ$8,'Калькуляция (МИ корр)'!$AJ$8:$BC$8,0)),'Калькуляция (МИ корр)'!$F$25:$F$747,$F39,'Калькуляция (МИ корр)'!$G$25:$G$747,$G39),IF(method_reg="Метод экономически обоснованных расходов",_xlfn.SUMIFS('Калькуляция (МЭОР)'!$AK$25:$AK$452,'Калькуляция (МЭОР)'!$F$25:$F$452,$F39,'Калькуляция (МЭОР)'!$G$25:$G$452,$G39),IF(method_reg="Метод сравнения аналогов",_xlfn.SUMIFS('Калькуляция (МСА)'!$AF$25:$AF$122,'Калькуляция (МСА)'!$F$25:$F$122,$F39,'Калькуляция (МСА)'!$G$25:$G$122,$G39),_xlfn.SUMIFS(INDEX('Калькуляция (МИ)'!$AJ$25:$BC$747,,MATCH(AQ$8,'Калькуляция (МИ)'!$AJ$8:$BC$8,0)),'Калькуляция (МИ)'!$F$25:$F$747,$F39,'Калькуляция (МИ)'!$G$25:$G$747,$G39))))</f>
        <v>0</v>
      </c>
      <c r="AR39" s="296">
        <f>IF(AP39=0,0,(AQ39-AP39)/AP39*100)</f>
        <v>0</v>
      </c>
      <c r="AS39" s="5239">
        <f>IF(AND(method_reg="Метод индексации",god&lt;&gt;first_year),_xlfn.SUMIFS(INDEX('Калькуляция (МИ корр)'!$AJ$25:$BC$747,,MATCH(AS$8,'Калькуляция (МИ корр)'!$AJ$8:$BC$8,0)),'Калькуляция (МИ корр)'!$F$25:$F$747,$F39,'Калькуляция (МИ корр)'!$G$25:$G$747,$G39),IF(method_reg="Метод экономически обоснованных расходов",_xlfn.SUMIFS('Калькуляция (МЭОР)'!$AJ$25:$AJ$452,'Калькуляция (МЭОР)'!$F$25:$F$452,$F39,'Калькуляция (МЭОР)'!$G$25:$G$452,$G39),IF(method_reg="Метод сравнения аналогов",_xlfn.SUMIFS('Калькуляция (МСА)'!$AE$25:$AE$122,'Калькуляция (МСА)'!$F$25:$F$122,$F39,'Калькуляция (МСА)'!$G$25:$G$122,$G39),_xlfn.SUMIFS(INDEX('Калькуляция (МИ)'!$AJ$25:$BC$747,,MATCH(AS$8,'Калькуляция (МИ)'!$AJ$8:$BC$8,0)),'Калькуляция (МИ)'!$F$25:$F$747,$F39,'Калькуляция (МИ)'!$G$25:$G$747,$G39))))</f>
        <v>0</v>
      </c>
      <c r="AT39" s="5239">
        <f>IF(AND(method_reg="Метод индексации",god&lt;&gt;first_year),_xlfn.SUMIFS(INDEX('Калькуляция (МИ корр)'!$AJ$25:$BC$747,,MATCH(AT$8,'Калькуляция (МИ корр)'!$AJ$8:$BC$8,0)),'Калькуляция (МИ корр)'!$F$25:$F$747,$F39,'Калькуляция (МИ корр)'!$G$25:$G$747,$G39),IF(method_reg="Метод экономически обоснованных расходов",_xlfn.SUMIFS('Калькуляция (МЭОР)'!$AK$25:$AK$452,'Калькуляция (МЭОР)'!$F$25:$F$452,$F39,'Калькуляция (МЭОР)'!$G$25:$G$452,$G39),IF(method_reg="Метод сравнения аналогов",_xlfn.SUMIFS('Калькуляция (МСА)'!$AF$25:$AF$122,'Калькуляция (МСА)'!$F$25:$F$122,$F39,'Калькуляция (МСА)'!$G$25:$G$122,$G39),_xlfn.SUMIFS(INDEX('Калькуляция (МИ)'!$AJ$25:$BC$747,,MATCH(AT$8,'Калькуляция (МИ)'!$AJ$8:$BC$8,0)),'Калькуляция (МИ)'!$F$25:$F$747,$F39,'Калькуляция (МИ)'!$G$25:$G$747,$G39))))</f>
        <v>0</v>
      </c>
      <c r="AU39" s="296">
        <f>IF(AS39=0,0,(AT39-AS39)/AS39*100)</f>
        <v>0</v>
      </c>
      <c r="AV39" s="5239">
        <f>IF(AND(method_reg="Метод индексации",god&lt;&gt;first_year),_xlfn.SUMIFS(INDEX('Калькуляция (МИ корр)'!$AJ$25:$BC$747,,MATCH(AV$8,'Калькуляция (МИ корр)'!$AJ$8:$BC$8,0)),'Калькуляция (МИ корр)'!$F$25:$F$747,$F39,'Калькуляция (МИ корр)'!$G$25:$G$747,$G39),IF(method_reg="Метод экономически обоснованных расходов",_xlfn.SUMIFS('Калькуляция (МЭОР)'!$AJ$25:$AJ$452,'Калькуляция (МЭОР)'!$F$25:$F$452,$F39,'Калькуляция (МЭОР)'!$G$25:$G$452,$G39),IF(method_reg="Метод сравнения аналогов",_xlfn.SUMIFS('Калькуляция (МСА)'!$AE$25:$AE$122,'Калькуляция (МСА)'!$F$25:$F$122,$F39,'Калькуляция (МСА)'!$G$25:$G$122,$G39),_xlfn.SUMIFS(INDEX('Калькуляция (МИ)'!$AJ$25:$BC$747,,MATCH(AV$8,'Калькуляция (МИ)'!$AJ$8:$BC$8,0)),'Калькуляция (МИ)'!$F$25:$F$747,$F39,'Калькуляция (МИ)'!$G$25:$G$747,$G39))))</f>
        <v>0</v>
      </c>
      <c r="AW39" s="5239">
        <f>IF(AND(method_reg="Метод индексации",god&lt;&gt;first_year),_xlfn.SUMIFS(INDEX('Калькуляция (МИ корр)'!$AJ$25:$BC$747,,MATCH(AW$8,'Калькуляция (МИ корр)'!$AJ$8:$BC$8,0)),'Калькуляция (МИ корр)'!$F$25:$F$747,$F39,'Калькуляция (МИ корр)'!$G$25:$G$747,$G39),IF(method_reg="Метод экономически обоснованных расходов",_xlfn.SUMIFS('Калькуляция (МЭОР)'!$AK$25:$AK$452,'Калькуляция (МЭОР)'!$F$25:$F$452,$F39,'Калькуляция (МЭОР)'!$G$25:$G$452,$G39),IF(method_reg="Метод сравнения аналогов",_xlfn.SUMIFS('Калькуляция (МСА)'!$AF$25:$AF$122,'Калькуляция (МСА)'!$F$25:$F$122,$F39,'Калькуляция (МСА)'!$G$25:$G$122,$G39),_xlfn.SUMIFS(INDEX('Калькуляция (МИ)'!$AJ$25:$BC$747,,MATCH(AW$8,'Калькуляция (МИ)'!$AJ$8:$BC$8,0)),'Калькуляция (МИ)'!$F$25:$F$747,$F39,'Калькуляция (МИ)'!$G$25:$G$747,$G39))))</f>
        <v>0</v>
      </c>
      <c r="AX39" s="296">
        <f>IF(AV39=0,0,(AW39-AV39)/AV39*100)</f>
        <v>0</v>
      </c>
      <c r="AY39" s="5239">
        <f>IF(AND(method_reg="Метод индексации",god&lt;&gt;first_year),_xlfn.SUMIFS(INDEX('Калькуляция (МИ корр)'!$AJ$25:$BC$747,,MATCH(AY$8,'Калькуляция (МИ корр)'!$AJ$8:$BC$8,0)),'Калькуляция (МИ корр)'!$F$25:$F$747,$F39,'Калькуляция (МИ корр)'!$G$25:$G$747,$G39),IF(method_reg="Метод экономически обоснованных расходов",_xlfn.SUMIFS('Калькуляция (МЭОР)'!$AJ$25:$AJ$452,'Калькуляция (МЭОР)'!$F$25:$F$452,$F39,'Калькуляция (МЭОР)'!$G$25:$G$452,$G39),IF(method_reg="Метод сравнения аналогов",_xlfn.SUMIFS('Калькуляция (МСА)'!$AE$25:$AE$122,'Калькуляция (МСА)'!$F$25:$F$122,$F39,'Калькуляция (МСА)'!$G$25:$G$122,$G39),_xlfn.SUMIFS(INDEX('Калькуляция (МИ)'!$AJ$25:$BC$747,,MATCH(AY$8,'Калькуляция (МИ)'!$AJ$8:$BC$8,0)),'Калькуляция (МИ)'!$F$25:$F$747,$F39,'Калькуляция (МИ)'!$G$25:$G$747,$G39))))</f>
        <v>0</v>
      </c>
      <c r="AZ39" s="5239">
        <f>IF(AND(method_reg="Метод индексации",god&lt;&gt;first_year),_xlfn.SUMIFS(INDEX('Калькуляция (МИ корр)'!$AJ$25:$BC$747,,MATCH(AZ$8,'Калькуляция (МИ корр)'!$AJ$8:$BC$8,0)),'Калькуляция (МИ корр)'!$F$25:$F$747,$F39,'Калькуляция (МИ корр)'!$G$25:$G$747,$G39),IF(method_reg="Метод экономически обоснованных расходов",_xlfn.SUMIFS('Калькуляция (МЭОР)'!$AK$25:$AK$452,'Калькуляция (МЭОР)'!$F$25:$F$452,$F39,'Калькуляция (МЭОР)'!$G$25:$G$452,$G39),IF(method_reg="Метод сравнения аналогов",_xlfn.SUMIFS('Калькуляция (МСА)'!$AF$25:$AF$122,'Калькуляция (МСА)'!$F$25:$F$122,$F39,'Калькуляция (МСА)'!$G$25:$G$122,$G39),_xlfn.SUMIFS(INDEX('Калькуляция (МИ)'!$AJ$25:$BC$747,,MATCH(AZ$8,'Калькуляция (МИ)'!$AJ$8:$BC$8,0)),'Калькуляция (МИ)'!$F$25:$F$747,$F39,'Калькуляция (МИ)'!$G$25:$G$747,$G39))))</f>
        <v>0</v>
      </c>
      <c r="BA39" s="296">
        <f>IF(AY39=0,0,(AZ39-AY39)/AY39*100)</f>
        <v>0</v>
      </c>
      <c r="BB39" s="5239">
        <f>IF(AND(method_reg="Метод индексации",god&lt;&gt;first_year),_xlfn.SUMIFS(INDEX('Калькуляция (МИ корр)'!$AJ$25:$BC$747,,MATCH(BB$8,'Калькуляция (МИ корр)'!$AJ$8:$BC$8,0)),'Калькуляция (МИ корр)'!$F$25:$F$747,$F39,'Калькуляция (МИ корр)'!$G$25:$G$747,$G39),IF(method_reg="Метод экономически обоснованных расходов",_xlfn.SUMIFS('Калькуляция (МЭОР)'!$AJ$25:$AJ$452,'Калькуляция (МЭОР)'!$F$25:$F$452,$F39,'Калькуляция (МЭОР)'!$G$25:$G$452,$G39),IF(method_reg="Метод сравнения аналогов",_xlfn.SUMIFS('Калькуляция (МСА)'!$AE$25:$AE$122,'Калькуляция (МСА)'!$F$25:$F$122,$F39,'Калькуляция (МСА)'!$G$25:$G$122,$G39),_xlfn.SUMIFS(INDEX('Калькуляция (МИ)'!$AJ$25:$BC$747,,MATCH(BB$8,'Калькуляция (МИ)'!$AJ$8:$BC$8,0)),'Калькуляция (МИ)'!$F$25:$F$747,$F39,'Калькуляция (МИ)'!$G$25:$G$747,$G39))))</f>
        <v>0</v>
      </c>
      <c r="BC39" s="5239">
        <f>IF(AND(method_reg="Метод индексации",god&lt;&gt;first_year),_xlfn.SUMIFS(INDEX('Калькуляция (МИ корр)'!$AJ$25:$BC$747,,MATCH(BC$8,'Калькуляция (МИ корр)'!$AJ$8:$BC$8,0)),'Калькуляция (МИ корр)'!$F$25:$F$747,$F39,'Калькуляция (МИ корр)'!$G$25:$G$747,$G39),IF(method_reg="Метод экономически обоснованных расходов",_xlfn.SUMIFS('Калькуляция (МЭОР)'!$AK$25:$AK$452,'Калькуляция (МЭОР)'!$F$25:$F$452,$F39,'Калькуляция (МЭОР)'!$G$25:$G$452,$G39),IF(method_reg="Метод сравнения аналогов",_xlfn.SUMIFS('Калькуляция (МСА)'!$AF$25:$AF$122,'Калькуляция (МСА)'!$F$25:$F$122,$F39,'Калькуляция (МСА)'!$G$25:$G$122,$G39),_xlfn.SUMIFS(INDEX('Калькуляция (МИ)'!$AJ$25:$BC$747,,MATCH(BC$8,'Калькуляция (МИ)'!$AJ$8:$BC$8,0)),'Калькуляция (МИ)'!$F$25:$F$747,$F39,'Калькуляция (МИ)'!$G$25:$G$747,$G39))))</f>
        <v>0</v>
      </c>
      <c r="BD39" s="296">
        <f>IF(BB39=0,0,(BC39-BB39)/BB39*100)</f>
        <v>0</v>
      </c>
      <c r="BE39" s="5239">
        <f>IF(AND(method_reg="Метод индексации",god&lt;&gt;first_year),_xlfn.SUMIFS(INDEX('Калькуляция (МИ корр)'!$AJ$25:$BC$747,,MATCH(BE$8,'Калькуляция (МИ корр)'!$AJ$8:$BC$8,0)),'Калькуляция (МИ корр)'!$F$25:$F$747,$F39,'Калькуляция (МИ корр)'!$G$25:$G$747,$G39),IF(method_reg="Метод экономически обоснованных расходов",_xlfn.SUMIFS('Калькуляция (МЭОР)'!$AJ$25:$AJ$452,'Калькуляция (МЭОР)'!$F$25:$F$452,$F39,'Калькуляция (МЭОР)'!$G$25:$G$452,$G39),IF(method_reg="Метод сравнения аналогов",_xlfn.SUMIFS('Калькуляция (МСА)'!$AE$25:$AE$122,'Калькуляция (МСА)'!$F$25:$F$122,$F39,'Калькуляция (МСА)'!$G$25:$G$122,$G39),_xlfn.SUMIFS(INDEX('Калькуляция (МИ)'!$AJ$25:$BC$747,,MATCH(BE$8,'Калькуляция (МИ)'!$AJ$8:$BC$8,0)),'Калькуляция (МИ)'!$F$25:$F$747,$F39,'Калькуляция (МИ)'!$G$25:$G$747,$G39))))</f>
        <v>0</v>
      </c>
      <c r="BF39" s="5239">
        <f>IF(AND(method_reg="Метод индексации",god&lt;&gt;first_year),_xlfn.SUMIFS(INDEX('Калькуляция (МИ корр)'!$AJ$25:$BC$747,,MATCH(BF$8,'Калькуляция (МИ корр)'!$AJ$8:$BC$8,0)),'Калькуляция (МИ корр)'!$F$25:$F$747,$F39,'Калькуляция (МИ корр)'!$G$25:$G$747,$G39),IF(method_reg="Метод экономически обоснованных расходов",_xlfn.SUMIFS('Калькуляция (МЭОР)'!$AK$25:$AK$452,'Калькуляция (МЭОР)'!$F$25:$F$452,$F39,'Калькуляция (МЭОР)'!$G$25:$G$452,$G39),IF(method_reg="Метод сравнения аналогов",_xlfn.SUMIFS('Калькуляция (МСА)'!$AF$25:$AF$122,'Калькуляция (МСА)'!$F$25:$F$122,$F39,'Калькуляция (МСА)'!$G$25:$G$122,$G39),_xlfn.SUMIFS(INDEX('Калькуляция (МИ)'!$AJ$25:$BC$747,,MATCH(BF$8,'Калькуляция (МИ)'!$AJ$8:$BC$8,0)),'Калькуляция (МИ)'!$F$25:$F$747,$F39,'Калькуляция (МИ)'!$G$25:$G$747,$G39))))</f>
        <v>0</v>
      </c>
      <c r="BG39" s="296">
        <f>IF(BE39=0,0,(BF39-BE39)/BE39*100)</f>
        <v>0</v>
      </c>
      <c r="BH39" s="5239"/>
      <c r="BI39" s="5239"/>
      <c r="BJ39" s="296">
        <f>IF(BH39=0,0,(BI39-BH39)/BH39*100)</f>
        <v>0</v>
      </c>
      <c r="BK39" s="5239"/>
      <c r="BL39" s="5239"/>
      <c r="BM39" s="296">
        <f>IF(BK39=0,0,(BL39-BK39)/BK39*100)</f>
        <v>0</v>
      </c>
      <c r="BN39" s="5239"/>
      <c r="BO39" s="5239"/>
      <c r="BP39" s="296">
        <f>IF(BN39=0,0,(BO39-BN39)/BN39*100)</f>
        <v>0</v>
      </c>
      <c r="BQ39" s="5239"/>
      <c r="BR39" s="5239"/>
      <c r="BS39" s="296">
        <f>IF(BQ39=0,0,(BR39-BQ39)/BQ39*100)</f>
        <v>0</v>
      </c>
      <c r="BT39" s="5239"/>
      <c r="BU39" s="5239"/>
      <c r="BV39" s="296">
        <f>IF(BT39=0,0,(BU39-BT39)/BT39*100)</f>
        <v>0</v>
      </c>
      <c r="BW39" s="5239"/>
      <c r="BX39" s="5239"/>
      <c r="BY39" s="296">
        <f>IF(BW39=0,0,(BX39-BW39)/BW39*100)</f>
        <v>0</v>
      </c>
      <c r="BZ39" s="5239"/>
      <c r="CA39" s="5239"/>
      <c r="CB39" s="296">
        <f>IF(BZ39=0,0,(CA39-BZ39)/BZ39*100)</f>
        <v>0</v>
      </c>
      <c r="CC39" s="5239"/>
      <c r="CD39" s="5239"/>
      <c r="CE39" s="296">
        <f>IF(CC39=0,0,(CD39-CC39)/CC39*100)</f>
        <v>0</v>
      </c>
      <c r="CF39" s="5239"/>
      <c r="CG39" s="5239"/>
      <c r="CH39" s="296">
        <f>IF(CF39=0,0,(CG39-CF39)/CF39*100)</f>
        <v>0</v>
      </c>
      <c r="CI39" s="5239"/>
      <c r="CJ39" s="5239"/>
      <c r="CK39" s="296">
        <f>IF(CI39=0,0,(CJ39-CI39)/CI39*100)</f>
        <v>0</v>
      </c>
      <c r="CL39" s="5239"/>
      <c r="CM39" s="5239"/>
      <c r="CN39" s="296">
        <f>IF(CL39=0,0,(CM39-CL39)/CL39*100)</f>
        <v>0</v>
      </c>
      <c r="CO39" s="5239"/>
      <c r="CP39" s="5239"/>
      <c r="CQ39" s="296">
        <f>IF(CO39=0,0,(CP39-CO39)/CO39*100)</f>
        <v>0</v>
      </c>
      <c r="CR39" s="5239"/>
      <c r="CS39" s="5239"/>
      <c r="CT39" s="296">
        <f>IF(CR39=0,0,(CS39-CR39)/CR39*100)</f>
        <v>0</v>
      </c>
      <c r="CU39" s="5239"/>
      <c r="CV39" s="5239"/>
      <c r="CW39" s="296">
        <f>IF(CU39=0,0,(CV39-CU39)/CU39*100)</f>
        <v>0</v>
      </c>
      <c r="CX39" s="5239"/>
      <c r="CY39" s="5239"/>
      <c r="CZ39" s="296">
        <f>IF(CX39=0,0,(CY39-CX39)/CX39*100)</f>
        <v>0</v>
      </c>
      <c r="DA39" s="5239"/>
      <c r="DB39" s="5239"/>
      <c r="DC39" s="296">
        <f>IF(DA39=0,0,(DB39-DA39)/DA39*100)</f>
        <v>0</v>
      </c>
      <c r="DD39" s="5239"/>
      <c r="DE39" s="5239"/>
      <c r="DF39" s="296">
        <f>IF(DD39=0,0,(DE39-DD39)/DD39*100)</f>
        <v>0</v>
      </c>
      <c r="DG39" s="5239"/>
      <c r="DH39" s="5239"/>
      <c r="DI39" s="296">
        <f>IF(DG39=0,0,(DH39-DG39)/DG39*100)</f>
        <v>0</v>
      </c>
      <c r="DJ39" s="5239"/>
      <c r="DK39" s="5239"/>
      <c r="DL39" s="296">
        <f>IF(DJ39=0,0,(DK39-DJ39)/DJ39*100)</f>
        <v>0</v>
      </c>
      <c r="DM39" s="5239"/>
      <c r="DN39" s="5239"/>
      <c r="DO39" s="296">
        <f>IF(DM39=0,0,(DN39-DM39)/DM39*100)</f>
        <v>0</v>
      </c>
      <c r="DP39" s="5239"/>
      <c r="DQ39" s="5239"/>
      <c r="DR39" s="296">
        <f>IF(DP39=0,0,(DQ39-DP39)/DP39*100)</f>
        <v>0</v>
      </c>
      <c r="DS39" s="5239"/>
      <c r="DT39" s="5239"/>
      <c r="DU39" s="296">
        <f>IF(DS39=0,0,(DT39-DS39)/DS39*100)</f>
        <v>0</v>
      </c>
      <c r="DV39" s="5239"/>
      <c r="DW39" s="5239"/>
      <c r="DX39" s="296">
        <f>IF(DV39=0,0,(DW39-DV39)/DV39*100)</f>
        <v>0</v>
      </c>
      <c r="DY39" s="5239"/>
      <c r="DZ39" s="5239"/>
      <c r="EA39" s="296">
        <f>IF(DY39=0,0,(DZ39-DY39)/DY39*100)</f>
        <v>0</v>
      </c>
      <c r="EB39" s="5239"/>
      <c r="EC39" s="5239"/>
      <c r="ED39" s="296">
        <f>IF(EB39=0,0,(EC39-EB39)/EB39*100)</f>
        <v>0</v>
      </c>
      <c r="EE39" s="5239"/>
      <c r="EF39" s="5239"/>
      <c r="EG39" s="296">
        <f>IF(EE39=0,0,(EF39-EE39)/EE39*100)</f>
        <v>0</v>
      </c>
      <c r="EH39" s="5239"/>
      <c r="EI39" s="5239"/>
      <c r="EJ39" s="296">
        <f>IF(EH39=0,0,(EI39-EH39)/EH39*100)</f>
        <v>0</v>
      </c>
      <c r="EK39" s="5239"/>
      <c r="EL39" s="5239"/>
      <c r="EM39" s="296">
        <f>IF(EK39=0,0,(EL39-EK39)/EK39*100)</f>
        <v>0</v>
      </c>
      <c r="EN39" s="5239"/>
      <c r="EO39" s="5239"/>
      <c r="EP39" s="296">
        <f>IF(EN39=0,0,(EO39-EN39)/EN39*100)</f>
        <v>0</v>
      </c>
      <c r="EQ39" s="5239"/>
      <c r="ER39" s="5239"/>
      <c r="ES39" s="296">
        <f>IF(EQ39=0,0,(ER39-EQ39)/EQ39*100)</f>
        <v>0</v>
      </c>
      <c r="ET39" s="5239"/>
      <c r="EU39" s="5239"/>
      <c r="EV39" s="296">
        <f>IF(ET39=0,0,(EU39-ET39)/ET39*100)</f>
        <v>0</v>
      </c>
      <c r="EW39" s="5239"/>
      <c r="EX39" s="5239"/>
      <c r="EY39" s="296">
        <f>IF(EW39=0,0,(EX39-EW39)/EW39*100)</f>
        <v>0</v>
      </c>
      <c r="EZ39" s="5239"/>
      <c r="FA39" s="5239"/>
      <c r="FB39" s="296">
        <f>IF(EZ39=0,0,(FA39-EZ39)/EZ39*100)</f>
        <v>0</v>
      </c>
      <c r="FC39" s="5239"/>
      <c r="FD39" s="5239"/>
      <c r="FE39" s="296">
        <f>IF(FC39=0,0,(FD39-FC39)/FC39*100)</f>
        <v>0</v>
      </c>
      <c r="FF39" s="5239"/>
      <c r="FG39" s="5239"/>
      <c r="FH39" s="296">
        <f>IF(FF39=0,0,(FG39-FF39)/FF39*100)</f>
        <v>0</v>
      </c>
      <c r="FI39" s="5239"/>
      <c r="FJ39" s="5239"/>
      <c r="FK39" s="296">
        <f>IF(FI39=0,0,(FJ39-FI39)/FI39*100)</f>
        <v>0</v>
      </c>
      <c r="FL39" s="5239"/>
      <c r="FM39" s="5239"/>
      <c r="FN39" s="296">
        <f>IF(FL39=0,0,(FM39-FL39)/FL39*100)</f>
        <v>0</v>
      </c>
      <c r="FO39" s="5239"/>
      <c r="FP39" s="5239"/>
      <c r="FQ39" s="296">
        <f>IF(FO39=0,0,(FP39-FO39)/FO39*100)</f>
        <v>0</v>
      </c>
      <c r="FR39" s="5239"/>
      <c r="FS39" s="5239"/>
      <c r="FT39" s="296">
        <f>IF(FR39=0,0,(FS39-FR39)/FR39*100)</f>
        <v>0</v>
      </c>
      <c r="FU39" s="5239"/>
      <c r="FV39" s="5239"/>
      <c r="FW39" s="296">
        <f>IF(FU39=0,0,(FV39-FU39)/FU39*100)</f>
        <v>0</v>
      </c>
      <c r="FX39" s="292"/>
      <c r="FY39" s="292"/>
      <c r="FZ39" s="1055" t="s">
        <v>2356</v>
      </c>
      <c r="GA39" s="1055"/>
      <c r="GB39" s="1055"/>
      <c r="GC39" s="1056"/>
      <c r="GD39" s="1056"/>
    </row>
    <row customHeight="1" ht="14.625" hidden="1">
      <c r="A40" s="493"/>
      <c r="B40" s="925" cm="1" t="str">
        <f t="array" ref="B40:B40">B39</f>
        <v>false</v>
      </c>
      <c r="C40" s="493"/>
      <c r="D40" s="493"/>
      <c r="E40" s="840">
        <v>15</v>
      </c>
      <c r="F40" s="50" cm="1" t="str">
        <f t="array" ref="F40:F40">OFFSET(E40,-1,1)</f>
        <v>0</v>
      </c>
      <c r="G40" s="107"/>
      <c r="H40" s="493" t="s">
        <v>1179</v>
      </c>
      <c r="I40" s="493" t="s">
        <v>2357</v>
      </c>
      <c r="J40" s="493"/>
      <c r="K40" s="493"/>
      <c r="L40" s="493"/>
      <c r="M40" s="493"/>
      <c r="N40" s="493"/>
      <c r="O40" s="493"/>
      <c r="P40" s="493"/>
      <c r="Q40" s="897"/>
      <c r="R40" s="493"/>
      <c r="S40" s="493"/>
      <c r="T40" s="465" cm="1" t="str">
        <f t="array" ref="T40:T40">T39</f>
        <v>false</v>
      </c>
      <c r="U40" s="493"/>
      <c r="V40" s="493"/>
      <c r="W40" s="493"/>
      <c r="X40" s="1596"/>
      <c r="Y40" s="493"/>
      <c r="Z40" s="1545"/>
      <c r="AA40" s="493"/>
      <c r="AB40" s="1089" t="s">
        <v>2344</v>
      </c>
      <c r="AC40" s="864" t="s">
        <v>1170</v>
      </c>
      <c r="AD40" s="1092">
        <f>IF(AD38=0,0,AD39/AD38)*100</f>
        <v>0</v>
      </c>
      <c r="AE40" s="1092">
        <f>IF(AE38=0,0,AE39/AE38)*100</f>
        <v>0</v>
      </c>
      <c r="AF40" s="1093"/>
      <c r="AG40" s="1092">
        <f>IF(AG38=0,0,AG39/AG38)*100</f>
        <v>0</v>
      </c>
      <c r="AH40" s="1092">
        <f>IF(AH38=0,0,AH39/AH38)*100</f>
        <v>0</v>
      </c>
      <c r="AI40" s="1093"/>
      <c r="AJ40" s="1092">
        <f>IF(AJ38=0,0,AJ39/AJ38)*100</f>
        <v>0</v>
      </c>
      <c r="AK40" s="1092">
        <f>IF(AK38=0,0,AK39/AK38)*100</f>
        <v>0</v>
      </c>
      <c r="AL40" s="1093"/>
      <c r="AM40" s="1092">
        <f>IF(AM38=0,0,AM39/AM38)*100</f>
        <v>0</v>
      </c>
      <c r="AN40" s="1092">
        <f>IF(AN38=0,0,AN39/AN38)*100</f>
        <v>0</v>
      </c>
      <c r="AO40" s="1093"/>
      <c r="AP40" s="1092">
        <f>IF(AP38=0,0,AP39/AP38)*100</f>
        <v>0</v>
      </c>
      <c r="AQ40" s="1092">
        <f>IF(AQ38=0,0,AQ39/AQ38)*100</f>
        <v>0</v>
      </c>
      <c r="AR40" s="1093"/>
      <c r="AS40" s="1092">
        <f>IF(AS38=0,0,AS39/AS38)*100</f>
        <v>0</v>
      </c>
      <c r="AT40" s="1092">
        <f>IF(AT38=0,0,AT39/AT38)*100</f>
        <v>0</v>
      </c>
      <c r="AU40" s="1093"/>
      <c r="AV40" s="1092">
        <f>IF(AV38=0,0,AV39/AV38)*100</f>
        <v>0</v>
      </c>
      <c r="AW40" s="1092">
        <f>IF(AW38=0,0,AW39/AW38)*100</f>
        <v>0</v>
      </c>
      <c r="AX40" s="1093"/>
      <c r="AY40" s="1092">
        <f>IF(AY38=0,0,AY39/AY38)*100</f>
        <v>0</v>
      </c>
      <c r="AZ40" s="1092">
        <f>IF(AZ38=0,0,AZ39/AZ38)*100</f>
        <v>0</v>
      </c>
      <c r="BA40" s="1093"/>
      <c r="BB40" s="1092">
        <f>IF(BB38=0,0,BB39/BB38)*100</f>
        <v>0</v>
      </c>
      <c r="BC40" s="1092">
        <f>IF(BC38=0,0,BC39/BC38)*100</f>
        <v>0</v>
      </c>
      <c r="BD40" s="1093"/>
      <c r="BE40" s="1092">
        <f>IF(BE38=0,0,BE39/BE38)*100</f>
        <v>0</v>
      </c>
      <c r="BF40" s="1092">
        <f>IF(BF38=0,0,BF39/BF38)*100</f>
        <v>0</v>
      </c>
      <c r="BG40" s="1093"/>
      <c r="BH40" s="1092">
        <f>IF(BH38=0,0,BH39/BH38)*100</f>
        <v>0</v>
      </c>
      <c r="BI40" s="1092">
        <f>IF(BI38=0,0,BI39/BI38)*100</f>
        <v>0</v>
      </c>
      <c r="BJ40" s="1093"/>
      <c r="BK40" s="1092">
        <f>IF(BK38=0,0,BK39/BK38)*100</f>
        <v>0</v>
      </c>
      <c r="BL40" s="1092">
        <f>IF(BL38=0,0,BL39/BL38)*100</f>
        <v>0</v>
      </c>
      <c r="BM40" s="1093"/>
      <c r="BN40" s="1092">
        <f>IF(BN38=0,0,BN39/BN38)*100</f>
        <v>0</v>
      </c>
      <c r="BO40" s="1092">
        <f>IF(BO38=0,0,BO39/BO38)*100</f>
        <v>0</v>
      </c>
      <c r="BP40" s="1093"/>
      <c r="BQ40" s="1092">
        <f>IF(BQ38=0,0,BQ39/BQ38)*100</f>
        <v>0</v>
      </c>
      <c r="BR40" s="1092">
        <f>IF(BR38=0,0,BR39/BR38)*100</f>
        <v>0</v>
      </c>
      <c r="BS40" s="1093"/>
      <c r="BT40" s="1092">
        <f>IF(BT38=0,0,BT39/BT38)*100</f>
        <v>0</v>
      </c>
      <c r="BU40" s="1092">
        <f>IF(BU38=0,0,BU39/BU38)*100</f>
        <v>0</v>
      </c>
      <c r="BV40" s="1093"/>
      <c r="BW40" s="1092">
        <f>IF(BW38=0,0,BW39/BW38)*100</f>
        <v>0</v>
      </c>
      <c r="BX40" s="1092">
        <f>IF(BX38=0,0,BX39/BX38)*100</f>
        <v>0</v>
      </c>
      <c r="BY40" s="1093"/>
      <c r="BZ40" s="1092">
        <f>IF(BZ38=0,0,BZ39/BZ38)*100</f>
        <v>0</v>
      </c>
      <c r="CA40" s="1092">
        <f>IF(CA38=0,0,CA39/CA38)*100</f>
        <v>0</v>
      </c>
      <c r="CB40" s="1093"/>
      <c r="CC40" s="1092">
        <f>IF(CC38=0,0,CC39/CC38)*100</f>
        <v>0</v>
      </c>
      <c r="CD40" s="1092">
        <f>IF(CD38=0,0,CD39/CD38)*100</f>
        <v>0</v>
      </c>
      <c r="CE40" s="1093"/>
      <c r="CF40" s="1092">
        <f>IF(CF38=0,0,CF39/CF38)*100</f>
        <v>0</v>
      </c>
      <c r="CG40" s="1092">
        <f>IF(CG38=0,0,CG39/CG38)*100</f>
        <v>0</v>
      </c>
      <c r="CH40" s="1093"/>
      <c r="CI40" s="1092">
        <f>IF(CI38=0,0,CI39/CI38)*100</f>
        <v>0</v>
      </c>
      <c r="CJ40" s="1092">
        <f>IF(CJ38=0,0,CJ39/CJ38)*100</f>
        <v>0</v>
      </c>
      <c r="CK40" s="1093"/>
      <c r="CL40" s="1092">
        <f>IF(CL38=0,0,CL39/CL38)*100</f>
        <v>0</v>
      </c>
      <c r="CM40" s="1092">
        <f>IF(CM38=0,0,CM39/CM38)*100</f>
        <v>0</v>
      </c>
      <c r="CN40" s="1093"/>
      <c r="CO40" s="1092">
        <f>IF(CO38=0,0,CO39/CO38)*100</f>
        <v>0</v>
      </c>
      <c r="CP40" s="1092">
        <f>IF(CP38=0,0,CP39/CP38)*100</f>
        <v>0</v>
      </c>
      <c r="CQ40" s="1093"/>
      <c r="CR40" s="1092">
        <f>IF(CR38=0,0,CR39/CR38)*100</f>
        <v>0</v>
      </c>
      <c r="CS40" s="1092">
        <f>IF(CS38=0,0,CS39/CS38)*100</f>
        <v>0</v>
      </c>
      <c r="CT40" s="1093"/>
      <c r="CU40" s="1092">
        <f>IF(CU38=0,0,CU39/CU38)*100</f>
        <v>0</v>
      </c>
      <c r="CV40" s="1092">
        <f>IF(CV38=0,0,CV39/CV38)*100</f>
        <v>0</v>
      </c>
      <c r="CW40" s="1093"/>
      <c r="CX40" s="1092">
        <f>IF(CX38=0,0,CX39/CX38)*100</f>
        <v>0</v>
      </c>
      <c r="CY40" s="1092">
        <f>IF(CY38=0,0,CY39/CY38)*100</f>
        <v>0</v>
      </c>
      <c r="CZ40" s="1093"/>
      <c r="DA40" s="1092">
        <f>IF(DA38=0,0,DA39/DA38)*100</f>
        <v>0</v>
      </c>
      <c r="DB40" s="1092">
        <f>IF(DB38=0,0,DB39/DB38)*100</f>
        <v>0</v>
      </c>
      <c r="DC40" s="1093"/>
      <c r="DD40" s="1092">
        <f>IF(DD38=0,0,DD39/DD38)*100</f>
        <v>0</v>
      </c>
      <c r="DE40" s="1092">
        <f>IF(DE38=0,0,DE39/DE38)*100</f>
        <v>0</v>
      </c>
      <c r="DF40" s="1093"/>
      <c r="DG40" s="1092">
        <f>IF(DG38=0,0,DG39/DG38)*100</f>
        <v>0</v>
      </c>
      <c r="DH40" s="1092">
        <f>IF(DH38=0,0,DH39/DH38)*100</f>
        <v>0</v>
      </c>
      <c r="DI40" s="1093"/>
      <c r="DJ40" s="1092">
        <f>IF(DJ38=0,0,DJ39/DJ38)*100</f>
        <v>0</v>
      </c>
      <c r="DK40" s="1092">
        <f>IF(DK38=0,0,DK39/DK38)*100</f>
        <v>0</v>
      </c>
      <c r="DL40" s="1093"/>
      <c r="DM40" s="1092">
        <f>IF(DM38=0,0,DM39/DM38)*100</f>
        <v>0</v>
      </c>
      <c r="DN40" s="1092">
        <f>IF(DN38=0,0,DN39/DN38)*100</f>
        <v>0</v>
      </c>
      <c r="DO40" s="1093"/>
      <c r="DP40" s="1092">
        <f>IF(DP38=0,0,DP39/DP38)*100</f>
        <v>0</v>
      </c>
      <c r="DQ40" s="1092">
        <f>IF(DQ38=0,0,DQ39/DQ38)*100</f>
        <v>0</v>
      </c>
      <c r="DR40" s="1093"/>
      <c r="DS40" s="1092">
        <f>IF(DS38=0,0,DS39/DS38)*100</f>
        <v>0</v>
      </c>
      <c r="DT40" s="1092">
        <f>IF(DT38=0,0,DT39/DT38)*100</f>
        <v>0</v>
      </c>
      <c r="DU40" s="1093"/>
      <c r="DV40" s="1092">
        <f>IF(DV38=0,0,DV39/DV38)*100</f>
        <v>0</v>
      </c>
      <c r="DW40" s="1092">
        <f>IF(DW38=0,0,DW39/DW38)*100</f>
        <v>0</v>
      </c>
      <c r="DX40" s="1093"/>
      <c r="DY40" s="1092">
        <f>IF(DY38=0,0,DY39/DY38)*100</f>
        <v>0</v>
      </c>
      <c r="DZ40" s="1092">
        <f>IF(DZ38=0,0,DZ39/DZ38)*100</f>
        <v>0</v>
      </c>
      <c r="EA40" s="1093"/>
      <c r="EB40" s="1092">
        <f>IF(EB38=0,0,EB39/EB38)*100</f>
        <v>0</v>
      </c>
      <c r="EC40" s="1092">
        <f>IF(EC38=0,0,EC39/EC38)*100</f>
        <v>0</v>
      </c>
      <c r="ED40" s="1093"/>
      <c r="EE40" s="1092">
        <f>IF(EE38=0,0,EE39/EE38)*100</f>
        <v>0</v>
      </c>
      <c r="EF40" s="1092">
        <f>IF(EF38=0,0,EF39/EF38)*100</f>
        <v>0</v>
      </c>
      <c r="EG40" s="1093"/>
      <c r="EH40" s="1092">
        <f>IF(EH38=0,0,EH39/EH38)*100</f>
        <v>0</v>
      </c>
      <c r="EI40" s="1092">
        <f>IF(EI38=0,0,EI39/EI38)*100</f>
        <v>0</v>
      </c>
      <c r="EJ40" s="1093"/>
      <c r="EK40" s="1092">
        <f>IF(EK38=0,0,EK39/EK38)*100</f>
        <v>0</v>
      </c>
      <c r="EL40" s="1092">
        <f>IF(EL38=0,0,EL39/EL38)*100</f>
        <v>0</v>
      </c>
      <c r="EM40" s="1093"/>
      <c r="EN40" s="1092">
        <f>IF(EN38=0,0,EN39/EN38)*100</f>
        <v>0</v>
      </c>
      <c r="EO40" s="1092">
        <f>IF(EO38=0,0,EO39/EO38)*100</f>
        <v>0</v>
      </c>
      <c r="EP40" s="1093"/>
      <c r="EQ40" s="1092">
        <f>IF(EQ38=0,0,EQ39/EQ38)*100</f>
        <v>0</v>
      </c>
      <c r="ER40" s="1092">
        <f>IF(ER38=0,0,ER39/ER38)*100</f>
        <v>0</v>
      </c>
      <c r="ES40" s="1093"/>
      <c r="ET40" s="1092">
        <f>IF(ET38=0,0,ET39/ET38)*100</f>
        <v>0</v>
      </c>
      <c r="EU40" s="1092">
        <f>IF(EU38=0,0,EU39/EU38)*100</f>
        <v>0</v>
      </c>
      <c r="EV40" s="1093"/>
      <c r="EW40" s="1092">
        <f>IF(EW38=0,0,EW39/EW38)*100</f>
        <v>0</v>
      </c>
      <c r="EX40" s="1092">
        <f>IF(EX38=0,0,EX39/EX38)*100</f>
        <v>0</v>
      </c>
      <c r="EY40" s="1093"/>
      <c r="EZ40" s="1092">
        <f>IF(EZ38=0,0,EZ39/EZ38)*100</f>
        <v>0</v>
      </c>
      <c r="FA40" s="1092">
        <f>IF(FA38=0,0,FA39/FA38)*100</f>
        <v>0</v>
      </c>
      <c r="FB40" s="1093"/>
      <c r="FC40" s="1092">
        <f>IF(FC38=0,0,FC39/FC38)*100</f>
        <v>0</v>
      </c>
      <c r="FD40" s="1092">
        <f>IF(FD38=0,0,FD39/FD38)*100</f>
        <v>0</v>
      </c>
      <c r="FE40" s="1093"/>
      <c r="FF40" s="1092">
        <f>IF(FF38=0,0,FF39/FF38)*100</f>
        <v>0</v>
      </c>
      <c r="FG40" s="1092">
        <f>IF(FG38=0,0,FG39/FG38)*100</f>
        <v>0</v>
      </c>
      <c r="FH40" s="1093"/>
      <c r="FI40" s="1092">
        <f>IF(FI38=0,0,FI39/FI38)*100</f>
        <v>0</v>
      </c>
      <c r="FJ40" s="1092">
        <f>IF(FJ38=0,0,FJ39/FJ38)*100</f>
        <v>0</v>
      </c>
      <c r="FK40" s="1093"/>
      <c r="FL40" s="1092">
        <f>IF(FL38=0,0,FL39/FL38)*100</f>
        <v>0</v>
      </c>
      <c r="FM40" s="1092">
        <f>IF(FM38=0,0,FM39/FM38)*100</f>
        <v>0</v>
      </c>
      <c r="FN40" s="1093"/>
      <c r="FO40" s="1092">
        <f>IF(FO38=0,0,FO39/FO38)*100</f>
        <v>0</v>
      </c>
      <c r="FP40" s="1092">
        <f>IF(FP38=0,0,FP39/FP38)*100</f>
        <v>0</v>
      </c>
      <c r="FQ40" s="1093"/>
      <c r="FR40" s="1092">
        <f>IF(FR38=0,0,FR39/FR38)*100</f>
        <v>0</v>
      </c>
      <c r="FS40" s="1092">
        <f>IF(FS38=0,0,FS39/FS38)*100</f>
        <v>0</v>
      </c>
      <c r="FT40" s="1093"/>
      <c r="FU40" s="1092">
        <f>IF(FU38=0,0,FU39/FU38)*100</f>
        <v>0</v>
      </c>
      <c r="FV40" s="1092">
        <f>IF(FV38=0,0,FV39/FV38)*100</f>
        <v>0</v>
      </c>
      <c r="FW40" s="1093"/>
      <c r="FX40" s="292"/>
      <c r="FY40" s="1304"/>
      <c r="FZ40" s="1055" t="s">
        <v>2358</v>
      </c>
      <c r="GA40" s="1306"/>
      <c r="GB40" s="1306"/>
      <c r="GC40" s="1305"/>
      <c r="GD40" s="1305"/>
    </row>
    <row customHeight="1" ht="14.625" hidden="1">
      <c r="A41" s="493"/>
      <c r="B41" s="925" cm="1" t="str">
        <f t="array" ref="B41:B41">B40</f>
        <v>false</v>
      </c>
      <c r="C41" s="493"/>
      <c r="D41" s="493"/>
      <c r="E41" s="840">
        <v>15</v>
      </c>
      <c r="F41" s="50" cm="1" t="str">
        <f t="array" ref="F41:F41">OFFSET(E41,-1,1)</f>
        <v>0</v>
      </c>
      <c r="G41" s="107" t="s">
        <v>2359</v>
      </c>
      <c r="H41" s="493" t="s">
        <v>1182</v>
      </c>
      <c r="I41" s="493" t="s">
        <v>2357</v>
      </c>
      <c r="J41" s="493"/>
      <c r="K41" s="493"/>
      <c r="L41" s="493"/>
      <c r="M41" s="493"/>
      <c r="N41" s="493"/>
      <c r="O41" s="493"/>
      <c r="P41" s="493"/>
      <c r="Q41" s="897"/>
      <c r="R41" s="493"/>
      <c r="S41" s="493"/>
      <c r="T41" s="465" cm="1" t="str">
        <f t="array" ref="T41:T41">T40</f>
        <v>false</v>
      </c>
      <c r="U41" s="493"/>
      <c r="V41" s="493"/>
      <c r="W41" s="493"/>
      <c r="X41" s="1596"/>
      <c r="Y41" s="493"/>
      <c r="Z41" s="1545"/>
      <c r="AA41" s="493"/>
      <c r="AB41" s="900" t="s">
        <v>2360</v>
      </c>
      <c r="AC41" s="864" t="s">
        <v>1247</v>
      </c>
      <c r="AD41" s="5247">
        <f>IF(AND(method_reg="Метод индексации",god&lt;&gt;first_year),_xlfn.SUMIFS(INDEX('Калькуляция (МИ корр)'!$AJ$25:$BC$747,,MATCH(AD$8,'Калькуляция (МИ корр)'!$AJ$8:$BC$8,0)),'Калькуляция (МИ корр)'!$F$25:$F$747,$F41,'Калькуляция (МИ корр)'!$G$25:$G$747,$G41),IF(method_reg="Метод экономически обоснованных расходов",_xlfn.SUMIFS('Калькуляция (МЭОР)'!$AJ$25:$AJ$452,'Калькуляция (МЭОР)'!$F$25:$F$452,$F41,'Калькуляция (МЭОР)'!$G$25:$G$452,$G41),IF(method_reg="Метод сравнения аналогов",_xlfn.SUMIFS('Калькуляция (МСА)'!$AE$25:$AE$122,'Калькуляция (МСА)'!$F$25:$F$122,$F41,'Калькуляция (МСА)'!$G$25:$G$122,$G41),_xlfn.SUMIFS(INDEX('Калькуляция (МИ)'!$AJ$25:$BC$747,,MATCH(AD$8,'Калькуляция (МИ)'!$AJ$8:$BC$8,0)),'Калькуляция (МИ)'!$F$25:$F$747,$F41,'Калькуляция (МИ)'!$G$25:$G$747,$G41))))</f>
        <v>0</v>
      </c>
      <c r="AE41" s="5247">
        <f>IF(AND(method_reg="Метод индексации",god&lt;&gt;first_year),_xlfn.SUMIFS(INDEX('Калькуляция (МИ корр)'!$AJ$25:$BC$747,,MATCH(AE$8,'Калькуляция (МИ корр)'!$AJ$8:$BC$8,0)),'Калькуляция (МИ корр)'!$F$25:$F$747,$F41,'Калькуляция (МИ корр)'!$G$25:$G$747,$G41),IF(method_reg="Метод экономически обоснованных расходов",_xlfn.SUMIFS('Калькуляция (МЭОР)'!$AK$25:$AK$452,'Калькуляция (МЭОР)'!$F$25:$F$452,$F41,'Калькуляция (МЭОР)'!$G$25:$G$452,$G41),IF(method_reg="Метод сравнения аналогов",_xlfn.SUMIFS('Калькуляция (МСА)'!$AF$25:$AF$122,'Калькуляция (МСА)'!$F$25:$F$122,$F41,'Калькуляция (МСА)'!$G$25:$G$122,$G41),_xlfn.SUMIFS(INDEX('Калькуляция (МИ)'!$AJ$25:$BC$747,,MATCH(AE$8,'Калькуляция (МИ)'!$AJ$8:$BC$8,0)),'Калькуляция (МИ)'!$F$25:$F$747,$F41,'Калькуляция (МИ)'!$G$25:$G$747,$G41))))</f>
        <v>0</v>
      </c>
      <c r="AF41" s="1095">
        <f>IF(AD41=0,0,(AE41-AD41)/AD41*100)</f>
        <v>0</v>
      </c>
      <c r="AG41" s="5247">
        <f>IF(AND(method_reg="Метод индексации",god&lt;&gt;first_year),_xlfn.SUMIFS(INDEX('Калькуляция (МИ корр)'!$AJ$25:$BC$747,,MATCH(AG$8,'Калькуляция (МИ корр)'!$AJ$8:$BC$8,0)),'Калькуляция (МИ корр)'!$F$25:$F$747,$F41,'Калькуляция (МИ корр)'!$G$25:$G$747,$G41),IF(method_reg="Метод экономически обоснованных расходов",_xlfn.SUMIFS('Калькуляция (МЭОР)'!$AJ$25:$AJ$452,'Калькуляция (МЭОР)'!$F$25:$F$452,$F41,'Калькуляция (МЭОР)'!$G$25:$G$452,$G41),IF(method_reg="Метод сравнения аналогов",_xlfn.SUMIFS('Калькуляция (МСА)'!$AE$25:$AE$122,'Калькуляция (МСА)'!$F$25:$F$122,$F41,'Калькуляция (МСА)'!$G$25:$G$122,$G41),_xlfn.SUMIFS(INDEX('Калькуляция (МИ)'!$AJ$25:$BC$747,,MATCH(AG$8,'Калькуляция (МИ)'!$AJ$8:$BC$8,0)),'Калькуляция (МИ)'!$F$25:$F$747,$F41,'Калькуляция (МИ)'!$G$25:$G$747,$G41))))</f>
        <v>0</v>
      </c>
      <c r="AH41" s="5247">
        <f>IF(AND(method_reg="Метод индексации",god&lt;&gt;first_year),_xlfn.SUMIFS(INDEX('Калькуляция (МИ корр)'!$AJ$25:$BC$747,,MATCH(AH$8,'Калькуляция (МИ корр)'!$AJ$8:$BC$8,0)),'Калькуляция (МИ корр)'!$F$25:$F$747,$F41,'Калькуляция (МИ корр)'!$G$25:$G$747,$G41),IF(method_reg="Метод экономически обоснованных расходов",_xlfn.SUMIFS('Калькуляция (МЭОР)'!$AK$25:$AK$452,'Калькуляция (МЭОР)'!$F$25:$F$452,$F41,'Калькуляция (МЭОР)'!$G$25:$G$452,$G41),IF(method_reg="Метод сравнения аналогов",_xlfn.SUMIFS('Калькуляция (МСА)'!$AF$25:$AF$122,'Калькуляция (МСА)'!$F$25:$F$122,$F41,'Калькуляция (МСА)'!$G$25:$G$122,$G41),_xlfn.SUMIFS(INDEX('Калькуляция (МИ)'!$AJ$25:$BC$747,,MATCH(AH$8,'Калькуляция (МИ)'!$AJ$8:$BC$8,0)),'Калькуляция (МИ)'!$F$25:$F$747,$F41,'Калькуляция (МИ)'!$G$25:$G$747,$G41))))</f>
        <v>0</v>
      </c>
      <c r="AI41" s="1095">
        <f>IF(AG41=0,0,(AH41-AG41)/AG41*100)</f>
        <v>0</v>
      </c>
      <c r="AJ41" s="5247">
        <f>IF(AND(method_reg="Метод индексации",god&lt;&gt;first_year),_xlfn.SUMIFS(INDEX('Калькуляция (МИ корр)'!$AJ$25:$BC$747,,MATCH(AJ$8,'Калькуляция (МИ корр)'!$AJ$8:$BC$8,0)),'Калькуляция (МИ корр)'!$F$25:$F$747,$F41,'Калькуляция (МИ корр)'!$G$25:$G$747,$G41),IF(method_reg="Метод экономически обоснованных расходов",_xlfn.SUMIFS('Калькуляция (МЭОР)'!$AJ$25:$AJ$452,'Калькуляция (МЭОР)'!$F$25:$F$452,$F41,'Калькуляция (МЭОР)'!$G$25:$G$452,$G41),IF(method_reg="Метод сравнения аналогов",_xlfn.SUMIFS('Калькуляция (МСА)'!$AE$25:$AE$122,'Калькуляция (МСА)'!$F$25:$F$122,$F41,'Калькуляция (МСА)'!$G$25:$G$122,$G41),_xlfn.SUMIFS(INDEX('Калькуляция (МИ)'!$AJ$25:$BC$747,,MATCH(AJ$8,'Калькуляция (МИ)'!$AJ$8:$BC$8,0)),'Калькуляция (МИ)'!$F$25:$F$747,$F41,'Калькуляция (МИ)'!$G$25:$G$747,$G41))))</f>
        <v>0</v>
      </c>
      <c r="AK41" s="5247">
        <f>IF(AND(method_reg="Метод индексации",god&lt;&gt;first_year),_xlfn.SUMIFS(INDEX('Калькуляция (МИ корр)'!$AJ$25:$BC$747,,MATCH(AK$8,'Калькуляция (МИ корр)'!$AJ$8:$BC$8,0)),'Калькуляция (МИ корр)'!$F$25:$F$747,$F41,'Калькуляция (МИ корр)'!$G$25:$G$747,$G41),IF(method_reg="Метод экономически обоснованных расходов",_xlfn.SUMIFS('Калькуляция (МЭОР)'!$AK$25:$AK$452,'Калькуляция (МЭОР)'!$F$25:$F$452,$F41,'Калькуляция (МЭОР)'!$G$25:$G$452,$G41),IF(method_reg="Метод сравнения аналогов",_xlfn.SUMIFS('Калькуляция (МСА)'!$AF$25:$AF$122,'Калькуляция (МСА)'!$F$25:$F$122,$F41,'Калькуляция (МСА)'!$G$25:$G$122,$G41),_xlfn.SUMIFS(INDEX('Калькуляция (МИ)'!$AJ$25:$BC$747,,MATCH(AK$8,'Калькуляция (МИ)'!$AJ$8:$BC$8,0)),'Калькуляция (МИ)'!$F$25:$F$747,$F41,'Калькуляция (МИ)'!$G$25:$G$747,$G41))))</f>
        <v>0</v>
      </c>
      <c r="AL41" s="1095">
        <f>IF(AJ41=0,0,(AK41-AJ41)/AJ41*100)</f>
        <v>0</v>
      </c>
      <c r="AM41" s="5247">
        <f>IF(AND(method_reg="Метод индексации",god&lt;&gt;first_year),_xlfn.SUMIFS(INDEX('Калькуляция (МИ корр)'!$AJ$25:$BC$747,,MATCH(AM$8,'Калькуляция (МИ корр)'!$AJ$8:$BC$8,0)),'Калькуляция (МИ корр)'!$F$25:$F$747,$F41,'Калькуляция (МИ корр)'!$G$25:$G$747,$G41),IF(method_reg="Метод экономически обоснованных расходов",_xlfn.SUMIFS('Калькуляция (МЭОР)'!$AJ$25:$AJ$452,'Калькуляция (МЭОР)'!$F$25:$F$452,$F41,'Калькуляция (МЭОР)'!$G$25:$G$452,$G41),IF(method_reg="Метод сравнения аналогов",_xlfn.SUMIFS('Калькуляция (МСА)'!$AE$25:$AE$122,'Калькуляция (МСА)'!$F$25:$F$122,$F41,'Калькуляция (МСА)'!$G$25:$G$122,$G41),_xlfn.SUMIFS(INDEX('Калькуляция (МИ)'!$AJ$25:$BC$747,,MATCH(AM$8,'Калькуляция (МИ)'!$AJ$8:$BC$8,0)),'Калькуляция (МИ)'!$F$25:$F$747,$F41,'Калькуляция (МИ)'!$G$25:$G$747,$G41))))</f>
        <v>0</v>
      </c>
      <c r="AN41" s="5247">
        <f>IF(AND(method_reg="Метод индексации",god&lt;&gt;first_year),_xlfn.SUMIFS(INDEX('Калькуляция (МИ корр)'!$AJ$25:$BC$747,,MATCH(AN$8,'Калькуляция (МИ корр)'!$AJ$8:$BC$8,0)),'Калькуляция (МИ корр)'!$F$25:$F$747,$F41,'Калькуляция (МИ корр)'!$G$25:$G$747,$G41),IF(method_reg="Метод экономически обоснованных расходов",_xlfn.SUMIFS('Калькуляция (МЭОР)'!$AK$25:$AK$452,'Калькуляция (МЭОР)'!$F$25:$F$452,$F41,'Калькуляция (МЭОР)'!$G$25:$G$452,$G41),IF(method_reg="Метод сравнения аналогов",_xlfn.SUMIFS('Калькуляция (МСА)'!$AF$25:$AF$122,'Калькуляция (МСА)'!$F$25:$F$122,$F41,'Калькуляция (МСА)'!$G$25:$G$122,$G41),_xlfn.SUMIFS(INDEX('Калькуляция (МИ)'!$AJ$25:$BC$747,,MATCH(AN$8,'Калькуляция (МИ)'!$AJ$8:$BC$8,0)),'Калькуляция (МИ)'!$F$25:$F$747,$F41,'Калькуляция (МИ)'!$G$25:$G$747,$G41))))</f>
        <v>0</v>
      </c>
      <c r="AO41" s="1095">
        <f>IF(AM41=0,0,(AN41-AM41)/AM41*100)</f>
        <v>0</v>
      </c>
      <c r="AP41" s="5247">
        <f>IF(AND(method_reg="Метод индексации",god&lt;&gt;first_year),_xlfn.SUMIFS(INDEX('Калькуляция (МИ корр)'!$AJ$25:$BC$747,,MATCH(AP$8,'Калькуляция (МИ корр)'!$AJ$8:$BC$8,0)),'Калькуляция (МИ корр)'!$F$25:$F$747,$F41,'Калькуляция (МИ корр)'!$G$25:$G$747,$G41),IF(method_reg="Метод экономически обоснованных расходов",_xlfn.SUMIFS('Калькуляция (МЭОР)'!$AJ$25:$AJ$452,'Калькуляция (МЭОР)'!$F$25:$F$452,$F41,'Калькуляция (МЭОР)'!$G$25:$G$452,$G41),IF(method_reg="Метод сравнения аналогов",_xlfn.SUMIFS('Калькуляция (МСА)'!$AE$25:$AE$122,'Калькуляция (МСА)'!$F$25:$F$122,$F41,'Калькуляция (МСА)'!$G$25:$G$122,$G41),_xlfn.SUMIFS(INDEX('Калькуляция (МИ)'!$AJ$25:$BC$747,,MATCH(AP$8,'Калькуляция (МИ)'!$AJ$8:$BC$8,0)),'Калькуляция (МИ)'!$F$25:$F$747,$F41,'Калькуляция (МИ)'!$G$25:$G$747,$G41))))</f>
        <v>0</v>
      </c>
      <c r="AQ41" s="5247">
        <f>IF(AND(method_reg="Метод индексации",god&lt;&gt;first_year),_xlfn.SUMIFS(INDEX('Калькуляция (МИ корр)'!$AJ$25:$BC$747,,MATCH(AQ$8,'Калькуляция (МИ корр)'!$AJ$8:$BC$8,0)),'Калькуляция (МИ корр)'!$F$25:$F$747,$F41,'Калькуляция (МИ корр)'!$G$25:$G$747,$G41),IF(method_reg="Метод экономически обоснованных расходов",_xlfn.SUMIFS('Калькуляция (МЭОР)'!$AK$25:$AK$452,'Калькуляция (МЭОР)'!$F$25:$F$452,$F41,'Калькуляция (МЭОР)'!$G$25:$G$452,$G41),IF(method_reg="Метод сравнения аналогов",_xlfn.SUMIFS('Калькуляция (МСА)'!$AF$25:$AF$122,'Калькуляция (МСА)'!$F$25:$F$122,$F41,'Калькуляция (МСА)'!$G$25:$G$122,$G41),_xlfn.SUMIFS(INDEX('Калькуляция (МИ)'!$AJ$25:$BC$747,,MATCH(AQ$8,'Калькуляция (МИ)'!$AJ$8:$BC$8,0)),'Калькуляция (МИ)'!$F$25:$F$747,$F41,'Калькуляция (МИ)'!$G$25:$G$747,$G41))))</f>
        <v>0</v>
      </c>
      <c r="AR41" s="1095">
        <f>IF(AP41=0,0,(AQ41-AP41)/AP41*100)</f>
        <v>0</v>
      </c>
      <c r="AS41" s="5247">
        <f>IF(AND(method_reg="Метод индексации",god&lt;&gt;first_year),_xlfn.SUMIFS(INDEX('Калькуляция (МИ корр)'!$AJ$25:$BC$747,,MATCH(AS$8,'Калькуляция (МИ корр)'!$AJ$8:$BC$8,0)),'Калькуляция (МИ корр)'!$F$25:$F$747,$F41,'Калькуляция (МИ корр)'!$G$25:$G$747,$G41),IF(method_reg="Метод экономически обоснованных расходов",_xlfn.SUMIFS('Калькуляция (МЭОР)'!$AJ$25:$AJ$452,'Калькуляция (МЭОР)'!$F$25:$F$452,$F41,'Калькуляция (МЭОР)'!$G$25:$G$452,$G41),IF(method_reg="Метод сравнения аналогов",_xlfn.SUMIFS('Калькуляция (МСА)'!$AE$25:$AE$122,'Калькуляция (МСА)'!$F$25:$F$122,$F41,'Калькуляция (МСА)'!$G$25:$G$122,$G41),_xlfn.SUMIFS(INDEX('Калькуляция (МИ)'!$AJ$25:$BC$747,,MATCH(AS$8,'Калькуляция (МИ)'!$AJ$8:$BC$8,0)),'Калькуляция (МИ)'!$F$25:$F$747,$F41,'Калькуляция (МИ)'!$G$25:$G$747,$G41))))</f>
        <v>0</v>
      </c>
      <c r="AT41" s="5247">
        <f>IF(AND(method_reg="Метод индексации",god&lt;&gt;first_year),_xlfn.SUMIFS(INDEX('Калькуляция (МИ корр)'!$AJ$25:$BC$747,,MATCH(AT$8,'Калькуляция (МИ корр)'!$AJ$8:$BC$8,0)),'Калькуляция (МИ корр)'!$F$25:$F$747,$F41,'Калькуляция (МИ корр)'!$G$25:$G$747,$G41),IF(method_reg="Метод экономически обоснованных расходов",_xlfn.SUMIFS('Калькуляция (МЭОР)'!$AK$25:$AK$452,'Калькуляция (МЭОР)'!$F$25:$F$452,$F41,'Калькуляция (МЭОР)'!$G$25:$G$452,$G41),IF(method_reg="Метод сравнения аналогов",_xlfn.SUMIFS('Калькуляция (МСА)'!$AF$25:$AF$122,'Калькуляция (МСА)'!$F$25:$F$122,$F41,'Калькуляция (МСА)'!$G$25:$G$122,$G41),_xlfn.SUMIFS(INDEX('Калькуляция (МИ)'!$AJ$25:$BC$747,,MATCH(AT$8,'Калькуляция (МИ)'!$AJ$8:$BC$8,0)),'Калькуляция (МИ)'!$F$25:$F$747,$F41,'Калькуляция (МИ)'!$G$25:$G$747,$G41))))</f>
        <v>0</v>
      </c>
      <c r="AU41" s="1095">
        <f>IF(AS41=0,0,(AT41-AS41)/AS41*100)</f>
        <v>0</v>
      </c>
      <c r="AV41" s="5247">
        <f>IF(AND(method_reg="Метод индексации",god&lt;&gt;first_year),_xlfn.SUMIFS(INDEX('Калькуляция (МИ корр)'!$AJ$25:$BC$747,,MATCH(AV$8,'Калькуляция (МИ корр)'!$AJ$8:$BC$8,0)),'Калькуляция (МИ корр)'!$F$25:$F$747,$F41,'Калькуляция (МИ корр)'!$G$25:$G$747,$G41),IF(method_reg="Метод экономически обоснованных расходов",_xlfn.SUMIFS('Калькуляция (МЭОР)'!$AJ$25:$AJ$452,'Калькуляция (МЭОР)'!$F$25:$F$452,$F41,'Калькуляция (МЭОР)'!$G$25:$G$452,$G41),IF(method_reg="Метод сравнения аналогов",_xlfn.SUMIFS('Калькуляция (МСА)'!$AE$25:$AE$122,'Калькуляция (МСА)'!$F$25:$F$122,$F41,'Калькуляция (МСА)'!$G$25:$G$122,$G41),_xlfn.SUMIFS(INDEX('Калькуляция (МИ)'!$AJ$25:$BC$747,,MATCH(AV$8,'Калькуляция (МИ)'!$AJ$8:$BC$8,0)),'Калькуляция (МИ)'!$F$25:$F$747,$F41,'Калькуляция (МИ)'!$G$25:$G$747,$G41))))</f>
        <v>0</v>
      </c>
      <c r="AW41" s="5247">
        <f>IF(AND(method_reg="Метод индексации",god&lt;&gt;first_year),_xlfn.SUMIFS(INDEX('Калькуляция (МИ корр)'!$AJ$25:$BC$747,,MATCH(AW$8,'Калькуляция (МИ корр)'!$AJ$8:$BC$8,0)),'Калькуляция (МИ корр)'!$F$25:$F$747,$F41,'Калькуляция (МИ корр)'!$G$25:$G$747,$G41),IF(method_reg="Метод экономически обоснованных расходов",_xlfn.SUMIFS('Калькуляция (МЭОР)'!$AK$25:$AK$452,'Калькуляция (МЭОР)'!$F$25:$F$452,$F41,'Калькуляция (МЭОР)'!$G$25:$G$452,$G41),IF(method_reg="Метод сравнения аналогов",_xlfn.SUMIFS('Калькуляция (МСА)'!$AF$25:$AF$122,'Калькуляция (МСА)'!$F$25:$F$122,$F41,'Калькуляция (МСА)'!$G$25:$G$122,$G41),_xlfn.SUMIFS(INDEX('Калькуляция (МИ)'!$AJ$25:$BC$747,,MATCH(AW$8,'Калькуляция (МИ)'!$AJ$8:$BC$8,0)),'Калькуляция (МИ)'!$F$25:$F$747,$F41,'Калькуляция (МИ)'!$G$25:$G$747,$G41))))</f>
        <v>0</v>
      </c>
      <c r="AX41" s="1095">
        <f>IF(AV41=0,0,(AW41-AV41)/AV41*100)</f>
        <v>0</v>
      </c>
      <c r="AY41" s="5247">
        <f>IF(AND(method_reg="Метод индексации",god&lt;&gt;first_year),_xlfn.SUMIFS(INDEX('Калькуляция (МИ корр)'!$AJ$25:$BC$747,,MATCH(AY$8,'Калькуляция (МИ корр)'!$AJ$8:$BC$8,0)),'Калькуляция (МИ корр)'!$F$25:$F$747,$F41,'Калькуляция (МИ корр)'!$G$25:$G$747,$G41),IF(method_reg="Метод экономически обоснованных расходов",_xlfn.SUMIFS('Калькуляция (МЭОР)'!$AJ$25:$AJ$452,'Калькуляция (МЭОР)'!$F$25:$F$452,$F41,'Калькуляция (МЭОР)'!$G$25:$G$452,$G41),IF(method_reg="Метод сравнения аналогов",_xlfn.SUMIFS('Калькуляция (МСА)'!$AE$25:$AE$122,'Калькуляция (МСА)'!$F$25:$F$122,$F41,'Калькуляция (МСА)'!$G$25:$G$122,$G41),_xlfn.SUMIFS(INDEX('Калькуляция (МИ)'!$AJ$25:$BC$747,,MATCH(AY$8,'Калькуляция (МИ)'!$AJ$8:$BC$8,0)),'Калькуляция (МИ)'!$F$25:$F$747,$F41,'Калькуляция (МИ)'!$G$25:$G$747,$G41))))</f>
        <v>0</v>
      </c>
      <c r="AZ41" s="5247">
        <f>IF(AND(method_reg="Метод индексации",god&lt;&gt;first_year),_xlfn.SUMIFS(INDEX('Калькуляция (МИ корр)'!$AJ$25:$BC$747,,MATCH(AZ$8,'Калькуляция (МИ корр)'!$AJ$8:$BC$8,0)),'Калькуляция (МИ корр)'!$F$25:$F$747,$F41,'Калькуляция (МИ корр)'!$G$25:$G$747,$G41),IF(method_reg="Метод экономически обоснованных расходов",_xlfn.SUMIFS('Калькуляция (МЭОР)'!$AK$25:$AK$452,'Калькуляция (МЭОР)'!$F$25:$F$452,$F41,'Калькуляция (МЭОР)'!$G$25:$G$452,$G41),IF(method_reg="Метод сравнения аналогов",_xlfn.SUMIFS('Калькуляция (МСА)'!$AF$25:$AF$122,'Калькуляция (МСА)'!$F$25:$F$122,$F41,'Калькуляция (МСА)'!$G$25:$G$122,$G41),_xlfn.SUMIFS(INDEX('Калькуляция (МИ)'!$AJ$25:$BC$747,,MATCH(AZ$8,'Калькуляция (МИ)'!$AJ$8:$BC$8,0)),'Калькуляция (МИ)'!$F$25:$F$747,$F41,'Калькуляция (МИ)'!$G$25:$G$747,$G41))))</f>
        <v>0</v>
      </c>
      <c r="BA41" s="1095">
        <f>IF(AY41=0,0,(AZ41-AY41)/AY41*100)</f>
        <v>0</v>
      </c>
      <c r="BB41" s="5247">
        <f>IF(AND(method_reg="Метод индексации",god&lt;&gt;first_year),_xlfn.SUMIFS(INDEX('Калькуляция (МИ корр)'!$AJ$25:$BC$747,,MATCH(BB$8,'Калькуляция (МИ корр)'!$AJ$8:$BC$8,0)),'Калькуляция (МИ корр)'!$F$25:$F$747,$F41,'Калькуляция (МИ корр)'!$G$25:$G$747,$G41),IF(method_reg="Метод экономически обоснованных расходов",_xlfn.SUMIFS('Калькуляция (МЭОР)'!$AJ$25:$AJ$452,'Калькуляция (МЭОР)'!$F$25:$F$452,$F41,'Калькуляция (МЭОР)'!$G$25:$G$452,$G41),IF(method_reg="Метод сравнения аналогов",_xlfn.SUMIFS('Калькуляция (МСА)'!$AE$25:$AE$122,'Калькуляция (МСА)'!$F$25:$F$122,$F41,'Калькуляция (МСА)'!$G$25:$G$122,$G41),_xlfn.SUMIFS(INDEX('Калькуляция (МИ)'!$AJ$25:$BC$747,,MATCH(BB$8,'Калькуляция (МИ)'!$AJ$8:$BC$8,0)),'Калькуляция (МИ)'!$F$25:$F$747,$F41,'Калькуляция (МИ)'!$G$25:$G$747,$G41))))</f>
        <v>0</v>
      </c>
      <c r="BC41" s="5247">
        <f>IF(AND(method_reg="Метод индексации",god&lt;&gt;first_year),_xlfn.SUMIFS(INDEX('Калькуляция (МИ корр)'!$AJ$25:$BC$747,,MATCH(BC$8,'Калькуляция (МИ корр)'!$AJ$8:$BC$8,0)),'Калькуляция (МИ корр)'!$F$25:$F$747,$F41,'Калькуляция (МИ корр)'!$G$25:$G$747,$G41),IF(method_reg="Метод экономически обоснованных расходов",_xlfn.SUMIFS('Калькуляция (МЭОР)'!$AK$25:$AK$452,'Калькуляция (МЭОР)'!$F$25:$F$452,$F41,'Калькуляция (МЭОР)'!$G$25:$G$452,$G41),IF(method_reg="Метод сравнения аналогов",_xlfn.SUMIFS('Калькуляция (МСА)'!$AF$25:$AF$122,'Калькуляция (МСА)'!$F$25:$F$122,$F41,'Калькуляция (МСА)'!$G$25:$G$122,$G41),_xlfn.SUMIFS(INDEX('Калькуляция (МИ)'!$AJ$25:$BC$747,,MATCH(BC$8,'Калькуляция (МИ)'!$AJ$8:$BC$8,0)),'Калькуляция (МИ)'!$F$25:$F$747,$F41,'Калькуляция (МИ)'!$G$25:$G$747,$G41))))</f>
        <v>0</v>
      </c>
      <c r="BD41" s="1095">
        <f>IF(BB41=0,0,(BC41-BB41)/BB41*100)</f>
        <v>0</v>
      </c>
      <c r="BE41" s="5247">
        <f>IF(AND(method_reg="Метод индексации",god&lt;&gt;first_year),_xlfn.SUMIFS(INDEX('Калькуляция (МИ корр)'!$AJ$25:$BC$747,,MATCH(BE$8,'Калькуляция (МИ корр)'!$AJ$8:$BC$8,0)),'Калькуляция (МИ корр)'!$F$25:$F$747,$F41,'Калькуляция (МИ корр)'!$G$25:$G$747,$G41),IF(method_reg="Метод экономически обоснованных расходов",_xlfn.SUMIFS('Калькуляция (МЭОР)'!$AJ$25:$AJ$452,'Калькуляция (МЭОР)'!$F$25:$F$452,$F41,'Калькуляция (МЭОР)'!$G$25:$G$452,$G41),IF(method_reg="Метод сравнения аналогов",_xlfn.SUMIFS('Калькуляция (МСА)'!$AE$25:$AE$122,'Калькуляция (МСА)'!$F$25:$F$122,$F41,'Калькуляция (МСА)'!$G$25:$G$122,$G41),_xlfn.SUMIFS(INDEX('Калькуляция (МИ)'!$AJ$25:$BC$747,,MATCH(BE$8,'Калькуляция (МИ)'!$AJ$8:$BC$8,0)),'Калькуляция (МИ)'!$F$25:$F$747,$F41,'Калькуляция (МИ)'!$G$25:$G$747,$G41))))</f>
        <v>0</v>
      </c>
      <c r="BF41" s="5247">
        <f>IF(AND(method_reg="Метод индексации",god&lt;&gt;first_year),_xlfn.SUMIFS(INDEX('Калькуляция (МИ корр)'!$AJ$25:$BC$747,,MATCH(BF$8,'Калькуляция (МИ корр)'!$AJ$8:$BC$8,0)),'Калькуляция (МИ корр)'!$F$25:$F$747,$F41,'Калькуляция (МИ корр)'!$G$25:$G$747,$G41),IF(method_reg="Метод экономически обоснованных расходов",_xlfn.SUMIFS('Калькуляция (МЭОР)'!$AK$25:$AK$452,'Калькуляция (МЭОР)'!$F$25:$F$452,$F41,'Калькуляция (МЭОР)'!$G$25:$G$452,$G41),IF(method_reg="Метод сравнения аналогов",_xlfn.SUMIFS('Калькуляция (МСА)'!$AF$25:$AF$122,'Калькуляция (МСА)'!$F$25:$F$122,$F41,'Калькуляция (МСА)'!$G$25:$G$122,$G41),_xlfn.SUMIFS(INDEX('Калькуляция (МИ)'!$AJ$25:$BC$747,,MATCH(BF$8,'Калькуляция (МИ)'!$AJ$8:$BC$8,0)),'Калькуляция (МИ)'!$F$25:$F$747,$F41,'Калькуляция (МИ)'!$G$25:$G$747,$G41))))</f>
        <v>0</v>
      </c>
      <c r="BG41" s="1095">
        <f>IF(BE41=0,0,(BF41-BE41)/BE41*100)</f>
        <v>0</v>
      </c>
      <c r="BH41" s="5247"/>
      <c r="BI41" s="5247"/>
      <c r="BJ41" s="1095">
        <f>IF(BH41=0,0,(BI41-BH41)/BH41*100)</f>
        <v>0</v>
      </c>
      <c r="BK41" s="5247"/>
      <c r="BL41" s="5247"/>
      <c r="BM41" s="1095">
        <f>IF(BK41=0,0,(BL41-BK41)/BK41*100)</f>
        <v>0</v>
      </c>
      <c r="BN41" s="5247"/>
      <c r="BO41" s="5247"/>
      <c r="BP41" s="1095">
        <f>IF(BN41=0,0,(BO41-BN41)/BN41*100)</f>
        <v>0</v>
      </c>
      <c r="BQ41" s="5247"/>
      <c r="BR41" s="5247"/>
      <c r="BS41" s="1095">
        <f>IF(BQ41=0,0,(BR41-BQ41)/BQ41*100)</f>
        <v>0</v>
      </c>
      <c r="BT41" s="5247"/>
      <c r="BU41" s="5247"/>
      <c r="BV41" s="1095">
        <f>IF(BT41=0,0,(BU41-BT41)/BT41*100)</f>
        <v>0</v>
      </c>
      <c r="BW41" s="5247"/>
      <c r="BX41" s="5247"/>
      <c r="BY41" s="1095">
        <f>IF(BW41=0,0,(BX41-BW41)/BW41*100)</f>
        <v>0</v>
      </c>
      <c r="BZ41" s="5247"/>
      <c r="CA41" s="5247"/>
      <c r="CB41" s="1095">
        <f>IF(BZ41=0,0,(CA41-BZ41)/BZ41*100)</f>
        <v>0</v>
      </c>
      <c r="CC41" s="5247"/>
      <c r="CD41" s="5247"/>
      <c r="CE41" s="1095">
        <f>IF(CC41=0,0,(CD41-CC41)/CC41*100)</f>
        <v>0</v>
      </c>
      <c r="CF41" s="5247"/>
      <c r="CG41" s="5247"/>
      <c r="CH41" s="1095">
        <f>IF(CF41=0,0,(CG41-CF41)/CF41*100)</f>
        <v>0</v>
      </c>
      <c r="CI41" s="5247"/>
      <c r="CJ41" s="5247"/>
      <c r="CK41" s="1095">
        <f>IF(CI41=0,0,(CJ41-CI41)/CI41*100)</f>
        <v>0</v>
      </c>
      <c r="CL41" s="5247"/>
      <c r="CM41" s="5247"/>
      <c r="CN41" s="1095">
        <f>IF(CL41=0,0,(CM41-CL41)/CL41*100)</f>
        <v>0</v>
      </c>
      <c r="CO41" s="5247"/>
      <c r="CP41" s="5247"/>
      <c r="CQ41" s="1095">
        <f>IF(CO41=0,0,(CP41-CO41)/CO41*100)</f>
        <v>0</v>
      </c>
      <c r="CR41" s="5247"/>
      <c r="CS41" s="5247"/>
      <c r="CT41" s="1095">
        <f>IF(CR41=0,0,(CS41-CR41)/CR41*100)</f>
        <v>0</v>
      </c>
      <c r="CU41" s="5247"/>
      <c r="CV41" s="5247"/>
      <c r="CW41" s="1095">
        <f>IF(CU41=0,0,(CV41-CU41)/CU41*100)</f>
        <v>0</v>
      </c>
      <c r="CX41" s="5247"/>
      <c r="CY41" s="5247"/>
      <c r="CZ41" s="1095">
        <f>IF(CX41=0,0,(CY41-CX41)/CX41*100)</f>
        <v>0</v>
      </c>
      <c r="DA41" s="5247"/>
      <c r="DB41" s="5247"/>
      <c r="DC41" s="1095">
        <f>IF(DA41=0,0,(DB41-DA41)/DA41*100)</f>
        <v>0</v>
      </c>
      <c r="DD41" s="5247"/>
      <c r="DE41" s="5247"/>
      <c r="DF41" s="1095">
        <f>IF(DD41=0,0,(DE41-DD41)/DD41*100)</f>
        <v>0</v>
      </c>
      <c r="DG41" s="5247"/>
      <c r="DH41" s="5247"/>
      <c r="DI41" s="1095">
        <f>IF(DG41=0,0,(DH41-DG41)/DG41*100)</f>
        <v>0</v>
      </c>
      <c r="DJ41" s="5247"/>
      <c r="DK41" s="5247"/>
      <c r="DL41" s="1095">
        <f>IF(DJ41=0,0,(DK41-DJ41)/DJ41*100)</f>
        <v>0</v>
      </c>
      <c r="DM41" s="5247"/>
      <c r="DN41" s="5247"/>
      <c r="DO41" s="1095">
        <f>IF(DM41=0,0,(DN41-DM41)/DM41*100)</f>
        <v>0</v>
      </c>
      <c r="DP41" s="5247"/>
      <c r="DQ41" s="5247"/>
      <c r="DR41" s="1095">
        <f>IF(DP41=0,0,(DQ41-DP41)/DP41*100)</f>
        <v>0</v>
      </c>
      <c r="DS41" s="5247"/>
      <c r="DT41" s="5247"/>
      <c r="DU41" s="1095">
        <f>IF(DS41=0,0,(DT41-DS41)/DS41*100)</f>
        <v>0</v>
      </c>
      <c r="DV41" s="5247"/>
      <c r="DW41" s="5247"/>
      <c r="DX41" s="1095">
        <f>IF(DV41=0,0,(DW41-DV41)/DV41*100)</f>
        <v>0</v>
      </c>
      <c r="DY41" s="5247"/>
      <c r="DZ41" s="5247"/>
      <c r="EA41" s="1095">
        <f>IF(DY41=0,0,(DZ41-DY41)/DY41*100)</f>
        <v>0</v>
      </c>
      <c r="EB41" s="5247"/>
      <c r="EC41" s="5247"/>
      <c r="ED41" s="1095">
        <f>IF(EB41=0,0,(EC41-EB41)/EB41*100)</f>
        <v>0</v>
      </c>
      <c r="EE41" s="5247"/>
      <c r="EF41" s="5247"/>
      <c r="EG41" s="1095">
        <f>IF(EE41=0,0,(EF41-EE41)/EE41*100)</f>
        <v>0</v>
      </c>
      <c r="EH41" s="5247"/>
      <c r="EI41" s="5247"/>
      <c r="EJ41" s="1095">
        <f>IF(EH41=0,0,(EI41-EH41)/EH41*100)</f>
        <v>0</v>
      </c>
      <c r="EK41" s="5247"/>
      <c r="EL41" s="5247"/>
      <c r="EM41" s="1095">
        <f>IF(EK41=0,0,(EL41-EK41)/EK41*100)</f>
        <v>0</v>
      </c>
      <c r="EN41" s="5247"/>
      <c r="EO41" s="5247"/>
      <c r="EP41" s="1095">
        <f>IF(EN41=0,0,(EO41-EN41)/EN41*100)</f>
        <v>0</v>
      </c>
      <c r="EQ41" s="5247"/>
      <c r="ER41" s="5247"/>
      <c r="ES41" s="1095">
        <f>IF(EQ41=0,0,(ER41-EQ41)/EQ41*100)</f>
        <v>0</v>
      </c>
      <c r="ET41" s="5247"/>
      <c r="EU41" s="5247"/>
      <c r="EV41" s="1095">
        <f>IF(ET41=0,0,(EU41-ET41)/ET41*100)</f>
        <v>0</v>
      </c>
      <c r="EW41" s="5247"/>
      <c r="EX41" s="5247"/>
      <c r="EY41" s="1095">
        <f>IF(EW41=0,0,(EX41-EW41)/EW41*100)</f>
        <v>0</v>
      </c>
      <c r="EZ41" s="5247"/>
      <c r="FA41" s="5247"/>
      <c r="FB41" s="1095">
        <f>IF(EZ41=0,0,(FA41-EZ41)/EZ41*100)</f>
        <v>0</v>
      </c>
      <c r="FC41" s="5247"/>
      <c r="FD41" s="5247"/>
      <c r="FE41" s="1095">
        <f>IF(FC41=0,0,(FD41-FC41)/FC41*100)</f>
        <v>0</v>
      </c>
      <c r="FF41" s="5247"/>
      <c r="FG41" s="5247"/>
      <c r="FH41" s="1095">
        <f>IF(FF41=0,0,(FG41-FF41)/FF41*100)</f>
        <v>0</v>
      </c>
      <c r="FI41" s="5247"/>
      <c r="FJ41" s="5247"/>
      <c r="FK41" s="1095">
        <f>IF(FI41=0,0,(FJ41-FI41)/FI41*100)</f>
        <v>0</v>
      </c>
      <c r="FL41" s="5247"/>
      <c r="FM41" s="5247"/>
      <c r="FN41" s="1095">
        <f>IF(FL41=0,0,(FM41-FL41)/FL41*100)</f>
        <v>0</v>
      </c>
      <c r="FO41" s="5247"/>
      <c r="FP41" s="5247"/>
      <c r="FQ41" s="1095">
        <f>IF(FO41=0,0,(FP41-FO41)/FO41*100)</f>
        <v>0</v>
      </c>
      <c r="FR41" s="5247"/>
      <c r="FS41" s="5247"/>
      <c r="FT41" s="1095">
        <f>IF(FR41=0,0,(FS41-FR41)/FR41*100)</f>
        <v>0</v>
      </c>
      <c r="FU41" s="5247"/>
      <c r="FV41" s="5247"/>
      <c r="FW41" s="1095">
        <f>IF(FU41=0,0,(FV41-FU41)/FU41*100)</f>
        <v>0</v>
      </c>
      <c r="FX41" s="292"/>
      <c r="FY41" s="1304"/>
      <c r="FZ41" s="1055" t="s">
        <v>2361</v>
      </c>
      <c r="GA41" s="1306"/>
      <c r="GB41" s="1306"/>
      <c r="GC41" s="1305"/>
      <c r="GD41" s="1305"/>
    </row>
    <row customHeight="1" ht="18.28125" hidden="1">
      <c r="A42" s="493"/>
      <c r="B42" s="925" cm="1" t="str">
        <f t="array" ref="B42:B42">B41</f>
        <v>false</v>
      </c>
      <c r="C42" s="493"/>
      <c r="D42" s="493"/>
      <c r="E42" s="840">
        <v>18.75</v>
      </c>
      <c r="F42" s="50" cm="1" t="str">
        <f t="array" ref="F42:F42">OFFSET(E42,-1,1)</f>
        <v>0</v>
      </c>
      <c r="G42" s="493"/>
      <c r="H42" s="493" t="s">
        <v>1175</v>
      </c>
      <c r="I42" s="493" cm="1" t="str">
        <f t="array" ref="I42:I42">AB42</f>
        <v>0</v>
      </c>
      <c r="J42" s="493"/>
      <c r="K42" s="493"/>
      <c r="L42" s="493"/>
      <c r="M42" s="493"/>
      <c r="N42" s="493"/>
      <c r="O42" s="493"/>
      <c r="P42" s="493"/>
      <c r="Q42" s="897"/>
      <c r="R42" s="493"/>
      <c r="S42" s="493"/>
      <c r="T42" s="465">
        <f>AND(F42&gt;0,Y42&gt;0)</f>
        <v>0</v>
      </c>
      <c r="U42" s="493"/>
      <c r="V42" s="493"/>
      <c r="W42" s="493" t="s">
        <v>174</v>
      </c>
      <c r="X42" s="1596"/>
      <c r="Y42" s="1596">
        <v>0</v>
      </c>
      <c r="Z42" s="1545"/>
      <c r="AA42" s="5251" t="s">
        <v>175</v>
      </c>
      <c r="AB42" s="5252"/>
      <c r="AC42" s="864" t="s">
        <v>2337</v>
      </c>
      <c r="AD42" s="2846"/>
      <c r="AE42" s="5253"/>
      <c r="AF42" s="1093">
        <f>IF(AD42=0,0,(AE42-AD42)/AD42*100)</f>
        <v>0</v>
      </c>
      <c r="AG42" s="2846"/>
      <c r="AH42" s="5253"/>
      <c r="AI42" s="1093">
        <f>IF(AG42=0,0,(AH42-AG42)/AG42*100)</f>
        <v>0</v>
      </c>
      <c r="AJ42" s="2846"/>
      <c r="AK42" s="5253"/>
      <c r="AL42" s="1093">
        <f>IF(AJ42=0,0,(AK42-AJ42)/AJ42*100)</f>
        <v>0</v>
      </c>
      <c r="AM42" s="2846"/>
      <c r="AN42" s="5253"/>
      <c r="AO42" s="1093">
        <f>IF(AM42=0,0,(AN42-AM42)/AM42*100)</f>
        <v>0</v>
      </c>
      <c r="AP42" s="2846"/>
      <c r="AQ42" s="5253"/>
      <c r="AR42" s="1093">
        <f>IF(AP42=0,0,(AQ42-AP42)/AP42*100)</f>
        <v>0</v>
      </c>
      <c r="AS42" s="2846"/>
      <c r="AT42" s="5253"/>
      <c r="AU42" s="1093">
        <f>IF(AS42=0,0,(AT42-AS42)/AS42*100)</f>
        <v>0</v>
      </c>
      <c r="AV42" s="2846"/>
      <c r="AW42" s="5253"/>
      <c r="AX42" s="1093">
        <f>IF(AV42=0,0,(AW42-AV42)/AV42*100)</f>
        <v>0</v>
      </c>
      <c r="AY42" s="2846"/>
      <c r="AZ42" s="5253"/>
      <c r="BA42" s="1093">
        <f>IF(AY42=0,0,(AZ42-AY42)/AY42*100)</f>
        <v>0</v>
      </c>
      <c r="BB42" s="2846"/>
      <c r="BC42" s="5253"/>
      <c r="BD42" s="1093">
        <f>IF(BB42=0,0,(BC42-BB42)/BB42*100)</f>
        <v>0</v>
      </c>
      <c r="BE42" s="2846"/>
      <c r="BF42" s="5253"/>
      <c r="BG42" s="1093">
        <f>IF(BE42=0,0,(BF42-BE42)/BE42*100)</f>
        <v>0</v>
      </c>
      <c r="BH42" s="2846"/>
      <c r="BI42" s="5253"/>
      <c r="BJ42" s="1093">
        <f>IF(BH42=0,0,(BI42-BH42)/BH42*100)</f>
        <v>0</v>
      </c>
      <c r="BK42" s="2846"/>
      <c r="BL42" s="5253"/>
      <c r="BM42" s="1093">
        <f>IF(BK42=0,0,(BL42-BK42)/BK42*100)</f>
        <v>0</v>
      </c>
      <c r="BN42" s="2846"/>
      <c r="BO42" s="5253"/>
      <c r="BP42" s="1093">
        <f>IF(BN42=0,0,(BO42-BN42)/BN42*100)</f>
        <v>0</v>
      </c>
      <c r="BQ42" s="2846"/>
      <c r="BR42" s="5253"/>
      <c r="BS42" s="1093">
        <f>IF(BQ42=0,0,(BR42-BQ42)/BQ42*100)</f>
        <v>0</v>
      </c>
      <c r="BT42" s="2846"/>
      <c r="BU42" s="5253"/>
      <c r="BV42" s="1093">
        <f>IF(BT42=0,0,(BU42-BT42)/BT42*100)</f>
        <v>0</v>
      </c>
      <c r="BW42" s="2846"/>
      <c r="BX42" s="5253"/>
      <c r="BY42" s="1093">
        <f>IF(BW42=0,0,(BX42-BW42)/BW42*100)</f>
        <v>0</v>
      </c>
      <c r="BZ42" s="2846"/>
      <c r="CA42" s="5253"/>
      <c r="CB42" s="1093">
        <f>IF(BZ42=0,0,(CA42-BZ42)/BZ42*100)</f>
        <v>0</v>
      </c>
      <c r="CC42" s="2846"/>
      <c r="CD42" s="5253"/>
      <c r="CE42" s="1093">
        <f>IF(CC42=0,0,(CD42-CC42)/CC42*100)</f>
        <v>0</v>
      </c>
      <c r="CF42" s="2846"/>
      <c r="CG42" s="5253"/>
      <c r="CH42" s="1093">
        <f>IF(CF42=0,0,(CG42-CF42)/CF42*100)</f>
        <v>0</v>
      </c>
      <c r="CI42" s="2846"/>
      <c r="CJ42" s="5253"/>
      <c r="CK42" s="1093">
        <f>IF(CI42=0,0,(CJ42-CI42)/CI42*100)</f>
        <v>0</v>
      </c>
      <c r="CL42" s="2846"/>
      <c r="CM42" s="5253"/>
      <c r="CN42" s="1093">
        <f>IF(CL42=0,0,(CM42-CL42)/CL42*100)</f>
        <v>0</v>
      </c>
      <c r="CO42" s="2846"/>
      <c r="CP42" s="5253"/>
      <c r="CQ42" s="1093">
        <f>IF(CO42=0,0,(CP42-CO42)/CO42*100)</f>
        <v>0</v>
      </c>
      <c r="CR42" s="2846"/>
      <c r="CS42" s="5253"/>
      <c r="CT42" s="1093">
        <f>IF(CR42=0,0,(CS42-CR42)/CR42*100)</f>
        <v>0</v>
      </c>
      <c r="CU42" s="2846"/>
      <c r="CV42" s="5253"/>
      <c r="CW42" s="1093">
        <f>IF(CU42=0,0,(CV42-CU42)/CU42*100)</f>
        <v>0</v>
      </c>
      <c r="CX42" s="2846"/>
      <c r="CY42" s="5253"/>
      <c r="CZ42" s="1093">
        <f>IF(CX42=0,0,(CY42-CX42)/CX42*100)</f>
        <v>0</v>
      </c>
      <c r="DA42" s="2846"/>
      <c r="DB42" s="5253"/>
      <c r="DC42" s="1093">
        <f>IF(DA42=0,0,(DB42-DA42)/DA42*100)</f>
        <v>0</v>
      </c>
      <c r="DD42" s="2846"/>
      <c r="DE42" s="5253"/>
      <c r="DF42" s="1093">
        <f>IF(DD42=0,0,(DE42-DD42)/DD42*100)</f>
        <v>0</v>
      </c>
      <c r="DG42" s="2846"/>
      <c r="DH42" s="5253"/>
      <c r="DI42" s="1093">
        <f>IF(DG42=0,0,(DH42-DG42)/DG42*100)</f>
        <v>0</v>
      </c>
      <c r="DJ42" s="2846"/>
      <c r="DK42" s="5253"/>
      <c r="DL42" s="1093">
        <f>IF(DJ42=0,0,(DK42-DJ42)/DJ42*100)</f>
        <v>0</v>
      </c>
      <c r="DM42" s="2846"/>
      <c r="DN42" s="5253"/>
      <c r="DO42" s="1093">
        <f>IF(DM42=0,0,(DN42-DM42)/DM42*100)</f>
        <v>0</v>
      </c>
      <c r="DP42" s="2846"/>
      <c r="DQ42" s="5253"/>
      <c r="DR42" s="1093">
        <f>IF(DP42=0,0,(DQ42-DP42)/DP42*100)</f>
        <v>0</v>
      </c>
      <c r="DS42" s="2846"/>
      <c r="DT42" s="5253"/>
      <c r="DU42" s="1093">
        <f>IF(DS42=0,0,(DT42-DS42)/DS42*100)</f>
        <v>0</v>
      </c>
      <c r="DV42" s="2846"/>
      <c r="DW42" s="5253"/>
      <c r="DX42" s="1093">
        <f>IF(DV42=0,0,(DW42-DV42)/DV42*100)</f>
        <v>0</v>
      </c>
      <c r="DY42" s="2846"/>
      <c r="DZ42" s="5253"/>
      <c r="EA42" s="1093">
        <f>IF(DY42=0,0,(DZ42-DY42)/DY42*100)</f>
        <v>0</v>
      </c>
      <c r="EB42" s="2846"/>
      <c r="EC42" s="5253"/>
      <c r="ED42" s="1093">
        <f>IF(EB42=0,0,(EC42-EB42)/EB42*100)</f>
        <v>0</v>
      </c>
      <c r="EE42" s="2846"/>
      <c r="EF42" s="5253"/>
      <c r="EG42" s="1093">
        <f>IF(EE42=0,0,(EF42-EE42)/EE42*100)</f>
        <v>0</v>
      </c>
      <c r="EH42" s="2846"/>
      <c r="EI42" s="5253"/>
      <c r="EJ42" s="1093">
        <f>IF(EH42=0,0,(EI42-EH42)/EH42*100)</f>
        <v>0</v>
      </c>
      <c r="EK42" s="2846"/>
      <c r="EL42" s="5253"/>
      <c r="EM42" s="1093">
        <f>IF(EK42=0,0,(EL42-EK42)/EK42*100)</f>
        <v>0</v>
      </c>
      <c r="EN42" s="2846"/>
      <c r="EO42" s="5253"/>
      <c r="EP42" s="1093">
        <f>IF(EN42=0,0,(EO42-EN42)/EN42*100)</f>
        <v>0</v>
      </c>
      <c r="EQ42" s="2846"/>
      <c r="ER42" s="5253"/>
      <c r="ES42" s="1093">
        <f>IF(EQ42=0,0,(ER42-EQ42)/EQ42*100)</f>
        <v>0</v>
      </c>
      <c r="ET42" s="2846"/>
      <c r="EU42" s="5253"/>
      <c r="EV42" s="1093">
        <f>IF(ET42=0,0,(EU42-ET42)/ET42*100)</f>
        <v>0</v>
      </c>
      <c r="EW42" s="2846"/>
      <c r="EX42" s="5253"/>
      <c r="EY42" s="1093">
        <f>IF(EW42=0,0,(EX42-EW42)/EW42*100)</f>
        <v>0</v>
      </c>
      <c r="EZ42" s="2846"/>
      <c r="FA42" s="5253"/>
      <c r="FB42" s="1093">
        <f>IF(EZ42=0,0,(FA42-EZ42)/EZ42*100)</f>
        <v>0</v>
      </c>
      <c r="FC42" s="2846"/>
      <c r="FD42" s="5253"/>
      <c r="FE42" s="1093">
        <f>IF(FC42=0,0,(FD42-FC42)/FC42*100)</f>
        <v>0</v>
      </c>
      <c r="FF42" s="2846"/>
      <c r="FG42" s="5253"/>
      <c r="FH42" s="1093">
        <f>IF(FF42=0,0,(FG42-FF42)/FF42*100)</f>
        <v>0</v>
      </c>
      <c r="FI42" s="2846"/>
      <c r="FJ42" s="5253"/>
      <c r="FK42" s="1093">
        <f>IF(FI42=0,0,(FJ42-FI42)/FI42*100)</f>
        <v>0</v>
      </c>
      <c r="FL42" s="2846"/>
      <c r="FM42" s="5253"/>
      <c r="FN42" s="1093">
        <f>IF(FL42=0,0,(FM42-FL42)/FL42*100)</f>
        <v>0</v>
      </c>
      <c r="FO42" s="2846"/>
      <c r="FP42" s="5253"/>
      <c r="FQ42" s="1093">
        <f>IF(FO42=0,0,(FP42-FO42)/FO42*100)</f>
        <v>0</v>
      </c>
      <c r="FR42" s="2846"/>
      <c r="FS42" s="5253"/>
      <c r="FT42" s="1093">
        <f>IF(FR42=0,0,(FS42-FR42)/FR42*100)</f>
        <v>0</v>
      </c>
      <c r="FU42" s="2846"/>
      <c r="FV42" s="5253"/>
      <c r="FW42" s="1093">
        <f>IF(FU42=0,0,(FV42-FU42)/FU42*100)</f>
        <v>0</v>
      </c>
      <c r="FX42" s="292"/>
      <c r="FY42" s="1304"/>
      <c r="FZ42" s="1055" t="s">
        <v>2362</v>
      </c>
      <c r="GA42" s="1015" t="s">
        <v>2363</v>
      </c>
      <c r="GB42" s="1015" cm="1" t="str">
        <f t="array" ref="GB42:GB42">AB42</f>
        <v>0</v>
      </c>
      <c r="GC42" s="1305"/>
      <c r="GD42" s="632" t="b">
        <v>1</v>
      </c>
    </row>
    <row customHeight="1" ht="18.525" hidden="1">
      <c r="A43" s="493"/>
      <c r="B43" s="925" cm="1" t="str">
        <f t="array" ref="B43:B43">B42</f>
        <v>false</v>
      </c>
      <c r="C43" s="493"/>
      <c r="D43" s="493"/>
      <c r="E43" s="840">
        <v>19</v>
      </c>
      <c r="F43" s="50" cm="1" t="str">
        <f t="array" ref="F43:F43">OFFSET(E43,-1,1)</f>
        <v>0</v>
      </c>
      <c r="G43" s="493"/>
      <c r="H43" s="493"/>
      <c r="I43" s="493"/>
      <c r="J43" s="493"/>
      <c r="K43" s="493"/>
      <c r="L43" s="493"/>
      <c r="M43" s="493"/>
      <c r="N43" s="493"/>
      <c r="O43" s="493"/>
      <c r="P43" s="493"/>
      <c r="Q43" s="897"/>
      <c r="R43" s="493"/>
      <c r="S43" s="493"/>
      <c r="T43" s="465" cm="1" t="str">
        <f t="array" ref="T43:T43">T42</f>
        <v>false</v>
      </c>
      <c r="U43" s="493"/>
      <c r="V43" s="493"/>
      <c r="W43" s="493"/>
      <c r="X43" s="1596"/>
      <c r="Y43" s="1596"/>
      <c r="Z43" s="1545"/>
      <c r="AA43" s="5251"/>
      <c r="AB43" s="5252"/>
      <c r="AC43" s="864" t="s">
        <v>2337</v>
      </c>
      <c r="AD43" s="2846"/>
      <c r="AE43" s="5253"/>
      <c r="AF43" s="1093">
        <f>IF(AD43=0,0,(AE43-AD43)/AD43*100)</f>
        <v>0</v>
      </c>
      <c r="AG43" s="2846"/>
      <c r="AH43" s="5253"/>
      <c r="AI43" s="1093">
        <f>IF(AG43=0,0,(AH43-AG43)/AG43*100)</f>
        <v>0</v>
      </c>
      <c r="AJ43" s="2846"/>
      <c r="AK43" s="5253"/>
      <c r="AL43" s="1093">
        <f>IF(AJ43=0,0,(AK43-AJ43)/AJ43*100)</f>
        <v>0</v>
      </c>
      <c r="AM43" s="2846"/>
      <c r="AN43" s="5253"/>
      <c r="AO43" s="1093">
        <f>IF(AM43=0,0,(AN43-AM43)/AM43*100)</f>
        <v>0</v>
      </c>
      <c r="AP43" s="2846"/>
      <c r="AQ43" s="5253"/>
      <c r="AR43" s="1093">
        <f>IF(AP43=0,0,(AQ43-AP43)/AP43*100)</f>
        <v>0</v>
      </c>
      <c r="AS43" s="2846"/>
      <c r="AT43" s="5253"/>
      <c r="AU43" s="1093">
        <f>IF(AS43=0,0,(AT43-AS43)/AS43*100)</f>
        <v>0</v>
      </c>
      <c r="AV43" s="2846"/>
      <c r="AW43" s="5253"/>
      <c r="AX43" s="1093">
        <f>IF(AV43=0,0,(AW43-AV43)/AV43*100)</f>
        <v>0</v>
      </c>
      <c r="AY43" s="2846"/>
      <c r="AZ43" s="5253"/>
      <c r="BA43" s="1093">
        <f>IF(AY43=0,0,(AZ43-AY43)/AY43*100)</f>
        <v>0</v>
      </c>
      <c r="BB43" s="2846"/>
      <c r="BC43" s="5253"/>
      <c r="BD43" s="1093">
        <f>IF(BB43=0,0,(BC43-BB43)/BB43*100)</f>
        <v>0</v>
      </c>
      <c r="BE43" s="2846"/>
      <c r="BF43" s="5253"/>
      <c r="BG43" s="1093">
        <f>IF(BE43=0,0,(BF43-BE43)/BE43*100)</f>
        <v>0</v>
      </c>
      <c r="BH43" s="2846"/>
      <c r="BI43" s="5253"/>
      <c r="BJ43" s="1093">
        <f>IF(BH43=0,0,(BI43-BH43)/BH43*100)</f>
        <v>0</v>
      </c>
      <c r="BK43" s="2846"/>
      <c r="BL43" s="5253"/>
      <c r="BM43" s="1093">
        <f>IF(BK43=0,0,(BL43-BK43)/BK43*100)</f>
        <v>0</v>
      </c>
      <c r="BN43" s="2846"/>
      <c r="BO43" s="5253"/>
      <c r="BP43" s="1093">
        <f>IF(BN43=0,0,(BO43-BN43)/BN43*100)</f>
        <v>0</v>
      </c>
      <c r="BQ43" s="2846"/>
      <c r="BR43" s="5253"/>
      <c r="BS43" s="1093">
        <f>IF(BQ43=0,0,(BR43-BQ43)/BQ43*100)</f>
        <v>0</v>
      </c>
      <c r="BT43" s="2846"/>
      <c r="BU43" s="5253"/>
      <c r="BV43" s="1093">
        <f>IF(BT43=0,0,(BU43-BT43)/BT43*100)</f>
        <v>0</v>
      </c>
      <c r="BW43" s="2846"/>
      <c r="BX43" s="5253"/>
      <c r="BY43" s="1093">
        <f>IF(BW43=0,0,(BX43-BW43)/BW43*100)</f>
        <v>0</v>
      </c>
      <c r="BZ43" s="2846"/>
      <c r="CA43" s="5253"/>
      <c r="CB43" s="1093">
        <f>IF(BZ43=0,0,(CA43-BZ43)/BZ43*100)</f>
        <v>0</v>
      </c>
      <c r="CC43" s="2846"/>
      <c r="CD43" s="5253"/>
      <c r="CE43" s="1093">
        <f>IF(CC43=0,0,(CD43-CC43)/CC43*100)</f>
        <v>0</v>
      </c>
      <c r="CF43" s="2846"/>
      <c r="CG43" s="5253"/>
      <c r="CH43" s="1093">
        <f>IF(CF43=0,0,(CG43-CF43)/CF43*100)</f>
        <v>0</v>
      </c>
      <c r="CI43" s="2846"/>
      <c r="CJ43" s="5253"/>
      <c r="CK43" s="1093">
        <f>IF(CI43=0,0,(CJ43-CI43)/CI43*100)</f>
        <v>0</v>
      </c>
      <c r="CL43" s="2846"/>
      <c r="CM43" s="5253"/>
      <c r="CN43" s="1093">
        <f>IF(CL43=0,0,(CM43-CL43)/CL43*100)</f>
        <v>0</v>
      </c>
      <c r="CO43" s="2846"/>
      <c r="CP43" s="5253"/>
      <c r="CQ43" s="1093">
        <f>IF(CO43=0,0,(CP43-CO43)/CO43*100)</f>
        <v>0</v>
      </c>
      <c r="CR43" s="2846"/>
      <c r="CS43" s="5253"/>
      <c r="CT43" s="1093">
        <f>IF(CR43=0,0,(CS43-CR43)/CR43*100)</f>
        <v>0</v>
      </c>
      <c r="CU43" s="2846"/>
      <c r="CV43" s="5253"/>
      <c r="CW43" s="1093">
        <f>IF(CU43=0,0,(CV43-CU43)/CU43*100)</f>
        <v>0</v>
      </c>
      <c r="CX43" s="2846"/>
      <c r="CY43" s="5253"/>
      <c r="CZ43" s="1093">
        <f>IF(CX43=0,0,(CY43-CX43)/CX43*100)</f>
        <v>0</v>
      </c>
      <c r="DA43" s="2846"/>
      <c r="DB43" s="5253"/>
      <c r="DC43" s="1093">
        <f>IF(DA43=0,0,(DB43-DA43)/DA43*100)</f>
        <v>0</v>
      </c>
      <c r="DD43" s="2846"/>
      <c r="DE43" s="5253"/>
      <c r="DF43" s="1093">
        <f>IF(DD43=0,0,(DE43-DD43)/DD43*100)</f>
        <v>0</v>
      </c>
      <c r="DG43" s="2846"/>
      <c r="DH43" s="5253"/>
      <c r="DI43" s="1093">
        <f>IF(DG43=0,0,(DH43-DG43)/DG43*100)</f>
        <v>0</v>
      </c>
      <c r="DJ43" s="2846"/>
      <c r="DK43" s="5253"/>
      <c r="DL43" s="1093">
        <f>IF(DJ43=0,0,(DK43-DJ43)/DJ43*100)</f>
        <v>0</v>
      </c>
      <c r="DM43" s="2846"/>
      <c r="DN43" s="5253"/>
      <c r="DO43" s="1093">
        <f>IF(DM43=0,0,(DN43-DM43)/DM43*100)</f>
        <v>0</v>
      </c>
      <c r="DP43" s="2846"/>
      <c r="DQ43" s="5253"/>
      <c r="DR43" s="1093">
        <f>IF(DP43=0,0,(DQ43-DP43)/DP43*100)</f>
        <v>0</v>
      </c>
      <c r="DS43" s="2846"/>
      <c r="DT43" s="5253"/>
      <c r="DU43" s="1093">
        <f>IF(DS43=0,0,(DT43-DS43)/DS43*100)</f>
        <v>0</v>
      </c>
      <c r="DV43" s="2846"/>
      <c r="DW43" s="5253"/>
      <c r="DX43" s="1093">
        <f>IF(DV43=0,0,(DW43-DV43)/DV43*100)</f>
        <v>0</v>
      </c>
      <c r="DY43" s="2846"/>
      <c r="DZ43" s="5253"/>
      <c r="EA43" s="1093">
        <f>IF(DY43=0,0,(DZ43-DY43)/DY43*100)</f>
        <v>0</v>
      </c>
      <c r="EB43" s="2846"/>
      <c r="EC43" s="5253"/>
      <c r="ED43" s="1093">
        <f>IF(EB43=0,0,(EC43-EB43)/EB43*100)</f>
        <v>0</v>
      </c>
      <c r="EE43" s="2846"/>
      <c r="EF43" s="5253"/>
      <c r="EG43" s="1093">
        <f>IF(EE43=0,0,(EF43-EE43)/EE43*100)</f>
        <v>0</v>
      </c>
      <c r="EH43" s="2846"/>
      <c r="EI43" s="5253"/>
      <c r="EJ43" s="1093">
        <f>IF(EH43=0,0,(EI43-EH43)/EH43*100)</f>
        <v>0</v>
      </c>
      <c r="EK43" s="2846"/>
      <c r="EL43" s="5253"/>
      <c r="EM43" s="1093">
        <f>IF(EK43=0,0,(EL43-EK43)/EK43*100)</f>
        <v>0</v>
      </c>
      <c r="EN43" s="2846"/>
      <c r="EO43" s="5253"/>
      <c r="EP43" s="1093">
        <f>IF(EN43=0,0,(EO43-EN43)/EN43*100)</f>
        <v>0</v>
      </c>
      <c r="EQ43" s="2846"/>
      <c r="ER43" s="5253"/>
      <c r="ES43" s="1093">
        <f>IF(EQ43=0,0,(ER43-EQ43)/EQ43*100)</f>
        <v>0</v>
      </c>
      <c r="ET43" s="2846"/>
      <c r="EU43" s="5253"/>
      <c r="EV43" s="1093">
        <f>IF(ET43=0,0,(EU43-ET43)/ET43*100)</f>
        <v>0</v>
      </c>
      <c r="EW43" s="2846"/>
      <c r="EX43" s="5253"/>
      <c r="EY43" s="1093">
        <f>IF(EW43=0,0,(EX43-EW43)/EW43*100)</f>
        <v>0</v>
      </c>
      <c r="EZ43" s="2846"/>
      <c r="FA43" s="5253"/>
      <c r="FB43" s="1093">
        <f>IF(EZ43=0,0,(FA43-EZ43)/EZ43*100)</f>
        <v>0</v>
      </c>
      <c r="FC43" s="2846"/>
      <c r="FD43" s="5253"/>
      <c r="FE43" s="1093">
        <f>IF(FC43=0,0,(FD43-FC43)/FC43*100)</f>
        <v>0</v>
      </c>
      <c r="FF43" s="2846"/>
      <c r="FG43" s="5253"/>
      <c r="FH43" s="1093">
        <f>IF(FF43=0,0,(FG43-FF43)/FF43*100)</f>
        <v>0</v>
      </c>
      <c r="FI43" s="2846"/>
      <c r="FJ43" s="5253"/>
      <c r="FK43" s="1093">
        <f>IF(FI43=0,0,(FJ43-FI43)/FI43*100)</f>
        <v>0</v>
      </c>
      <c r="FL43" s="2846"/>
      <c r="FM43" s="5253"/>
      <c r="FN43" s="1093">
        <f>IF(FL43=0,0,(FM43-FL43)/FL43*100)</f>
        <v>0</v>
      </c>
      <c r="FO43" s="2846"/>
      <c r="FP43" s="5253"/>
      <c r="FQ43" s="1093">
        <f>IF(FO43=0,0,(FP43-FO43)/FO43*100)</f>
        <v>0</v>
      </c>
      <c r="FR43" s="2846"/>
      <c r="FS43" s="5253"/>
      <c r="FT43" s="1093">
        <f>IF(FR43=0,0,(FS43-FR43)/FR43*100)</f>
        <v>0</v>
      </c>
      <c r="FU43" s="2846"/>
      <c r="FV43" s="5253"/>
      <c r="FW43" s="1093">
        <f>IF(FU43=0,0,(FV43-FU43)/FU43*100)</f>
        <v>0</v>
      </c>
      <c r="FZ43" s="1306" t="s">
        <v>2364</v>
      </c>
      <c r="GA43" s="1306" t="s">
        <v>2363</v>
      </c>
      <c r="GB43" s="1306" cm="1" t="str">
        <f t="array" ref="GB43:GB43">GB42</f>
        <v>0</v>
      </c>
    </row>
    <row customHeight="1" ht="14.625" hidden="1">
      <c r="A44" s="493"/>
      <c r="B44" s="925" cm="1" t="str">
        <f t="array" ref="B44:B44">B42</f>
        <v>false</v>
      </c>
      <c r="C44" s="493"/>
      <c r="D44" s="493"/>
      <c r="E44" s="840">
        <v>15</v>
      </c>
      <c r="F44" s="50" cm="1" t="str">
        <f t="array" ref="F44:F44">OFFSET(E44,-1,1)</f>
        <v>0</v>
      </c>
      <c r="G44" s="493"/>
      <c r="H44" s="493" t="s">
        <v>1182</v>
      </c>
      <c r="I44" s="493" cm="1" t="str">
        <f t="array" ref="I44:I44">I42</f>
        <v>0</v>
      </c>
      <c r="J44" s="493"/>
      <c r="K44" s="493"/>
      <c r="L44" s="493"/>
      <c r="M44" s="493"/>
      <c r="N44" s="493"/>
      <c r="O44" s="493"/>
      <c r="P44" s="493"/>
      <c r="Q44" s="897"/>
      <c r="R44" s="493"/>
      <c r="S44" s="493"/>
      <c r="T44" s="465" cm="1" t="str">
        <f t="array" ref="T44:T44">T42</f>
        <v>false</v>
      </c>
      <c r="U44" s="493"/>
      <c r="V44" s="493"/>
      <c r="W44" s="493"/>
      <c r="X44" s="1596"/>
      <c r="Y44" s="1596"/>
      <c r="Z44" s="1545"/>
      <c r="AA44" s="1494"/>
      <c r="AB44" s="900" t="s">
        <v>2347</v>
      </c>
      <c r="AC44" s="300" t="s">
        <v>1247</v>
      </c>
      <c r="AD44" s="5247"/>
      <c r="AE44" s="5247"/>
      <c r="AF44" s="1095">
        <f>IF(AD44=0,0,(AE44-AD44)/AD44*100)</f>
        <v>0</v>
      </c>
      <c r="AG44" s="5247"/>
      <c r="AH44" s="5247"/>
      <c r="AI44" s="1095">
        <f>IF(AG44=0,0,(AH44-AG44)/AG44*100)</f>
        <v>0</v>
      </c>
      <c r="AJ44" s="5247"/>
      <c r="AK44" s="5247"/>
      <c r="AL44" s="1095">
        <f>IF(AJ44=0,0,(AK44-AJ44)/AJ44*100)</f>
        <v>0</v>
      </c>
      <c r="AM44" s="5247"/>
      <c r="AN44" s="5247"/>
      <c r="AO44" s="1095">
        <f>IF(AM44=0,0,(AN44-AM44)/AM44*100)</f>
        <v>0</v>
      </c>
      <c r="AP44" s="5247"/>
      <c r="AQ44" s="5247"/>
      <c r="AR44" s="1095">
        <f>IF(AP44=0,0,(AQ44-AP44)/AP44*100)</f>
        <v>0</v>
      </c>
      <c r="AS44" s="5247"/>
      <c r="AT44" s="5247"/>
      <c r="AU44" s="1095">
        <f>IF(AS44=0,0,(AT44-AS44)/AS44*100)</f>
        <v>0</v>
      </c>
      <c r="AV44" s="5247"/>
      <c r="AW44" s="5247"/>
      <c r="AX44" s="1095">
        <f>IF(AV44=0,0,(AW44-AV44)/AV44*100)</f>
        <v>0</v>
      </c>
      <c r="AY44" s="5247"/>
      <c r="AZ44" s="5247"/>
      <c r="BA44" s="1095">
        <f>IF(AY44=0,0,(AZ44-AY44)/AY44*100)</f>
        <v>0</v>
      </c>
      <c r="BB44" s="5247"/>
      <c r="BC44" s="5247"/>
      <c r="BD44" s="1095">
        <f>IF(BB44=0,0,(BC44-BB44)/BB44*100)</f>
        <v>0</v>
      </c>
      <c r="BE44" s="5247"/>
      <c r="BF44" s="5247"/>
      <c r="BG44" s="1095">
        <f>IF(BE44=0,0,(BF44-BE44)/BE44*100)</f>
        <v>0</v>
      </c>
      <c r="BH44" s="5247"/>
      <c r="BI44" s="5247"/>
      <c r="BJ44" s="1095">
        <f>IF(BH44=0,0,(BI44-BH44)/BH44*100)</f>
        <v>0</v>
      </c>
      <c r="BK44" s="5247"/>
      <c r="BL44" s="5247"/>
      <c r="BM44" s="1095">
        <f>IF(BK44=0,0,(BL44-BK44)/BK44*100)</f>
        <v>0</v>
      </c>
      <c r="BN44" s="5247"/>
      <c r="BO44" s="5247"/>
      <c r="BP44" s="1095">
        <f>IF(BN44=0,0,(BO44-BN44)/BN44*100)</f>
        <v>0</v>
      </c>
      <c r="BQ44" s="5247"/>
      <c r="BR44" s="5247"/>
      <c r="BS44" s="1095">
        <f>IF(BQ44=0,0,(BR44-BQ44)/BQ44*100)</f>
        <v>0</v>
      </c>
      <c r="BT44" s="5247"/>
      <c r="BU44" s="5247"/>
      <c r="BV44" s="1095">
        <f>IF(BT44=0,0,(BU44-BT44)/BT44*100)</f>
        <v>0</v>
      </c>
      <c r="BW44" s="5247"/>
      <c r="BX44" s="5247"/>
      <c r="BY44" s="1095">
        <f>IF(BW44=0,0,(BX44-BW44)/BW44*100)</f>
        <v>0</v>
      </c>
      <c r="BZ44" s="5247"/>
      <c r="CA44" s="5247"/>
      <c r="CB44" s="1095">
        <f>IF(BZ44=0,0,(CA44-BZ44)/BZ44*100)</f>
        <v>0</v>
      </c>
      <c r="CC44" s="5247"/>
      <c r="CD44" s="5247"/>
      <c r="CE44" s="1095">
        <f>IF(CC44=0,0,(CD44-CC44)/CC44*100)</f>
        <v>0</v>
      </c>
      <c r="CF44" s="5247"/>
      <c r="CG44" s="5247"/>
      <c r="CH44" s="1095">
        <f>IF(CF44=0,0,(CG44-CF44)/CF44*100)</f>
        <v>0</v>
      </c>
      <c r="CI44" s="5247"/>
      <c r="CJ44" s="5247"/>
      <c r="CK44" s="1095">
        <f>IF(CI44=0,0,(CJ44-CI44)/CI44*100)</f>
        <v>0</v>
      </c>
      <c r="CL44" s="5247"/>
      <c r="CM44" s="5247"/>
      <c r="CN44" s="1095">
        <f>IF(CL44=0,0,(CM44-CL44)/CL44*100)</f>
        <v>0</v>
      </c>
      <c r="CO44" s="5247"/>
      <c r="CP44" s="5247"/>
      <c r="CQ44" s="1095">
        <f>IF(CO44=0,0,(CP44-CO44)/CO44*100)</f>
        <v>0</v>
      </c>
      <c r="CR44" s="5247"/>
      <c r="CS44" s="5247"/>
      <c r="CT44" s="1095">
        <f>IF(CR44=0,0,(CS44-CR44)/CR44*100)</f>
        <v>0</v>
      </c>
      <c r="CU44" s="5247"/>
      <c r="CV44" s="5247"/>
      <c r="CW44" s="1095">
        <f>IF(CU44=0,0,(CV44-CU44)/CU44*100)</f>
        <v>0</v>
      </c>
      <c r="CX44" s="5247"/>
      <c r="CY44" s="5247"/>
      <c r="CZ44" s="1095">
        <f>IF(CX44=0,0,(CY44-CX44)/CX44*100)</f>
        <v>0</v>
      </c>
      <c r="DA44" s="5247"/>
      <c r="DB44" s="5247"/>
      <c r="DC44" s="1095">
        <f>IF(DA44=0,0,(DB44-DA44)/DA44*100)</f>
        <v>0</v>
      </c>
      <c r="DD44" s="5247"/>
      <c r="DE44" s="5247"/>
      <c r="DF44" s="1095">
        <f>IF(DD44=0,0,(DE44-DD44)/DD44*100)</f>
        <v>0</v>
      </c>
      <c r="DG44" s="5247"/>
      <c r="DH44" s="5247"/>
      <c r="DI44" s="1095">
        <f>IF(DG44=0,0,(DH44-DG44)/DG44*100)</f>
        <v>0</v>
      </c>
      <c r="DJ44" s="5247"/>
      <c r="DK44" s="5247"/>
      <c r="DL44" s="1095">
        <f>IF(DJ44=0,0,(DK44-DJ44)/DJ44*100)</f>
        <v>0</v>
      </c>
      <c r="DM44" s="5247"/>
      <c r="DN44" s="5247"/>
      <c r="DO44" s="1095">
        <f>IF(DM44=0,0,(DN44-DM44)/DM44*100)</f>
        <v>0</v>
      </c>
      <c r="DP44" s="5247"/>
      <c r="DQ44" s="5247"/>
      <c r="DR44" s="1095">
        <f>IF(DP44=0,0,(DQ44-DP44)/DP44*100)</f>
        <v>0</v>
      </c>
      <c r="DS44" s="5247"/>
      <c r="DT44" s="5247"/>
      <c r="DU44" s="1095">
        <f>IF(DS44=0,0,(DT44-DS44)/DS44*100)</f>
        <v>0</v>
      </c>
      <c r="DV44" s="5247"/>
      <c r="DW44" s="5247"/>
      <c r="DX44" s="1095">
        <f>IF(DV44=0,0,(DW44-DV44)/DV44*100)</f>
        <v>0</v>
      </c>
      <c r="DY44" s="5247"/>
      <c r="DZ44" s="5247"/>
      <c r="EA44" s="1095">
        <f>IF(DY44=0,0,(DZ44-DY44)/DY44*100)</f>
        <v>0</v>
      </c>
      <c r="EB44" s="5247"/>
      <c r="EC44" s="5247"/>
      <c r="ED44" s="1095">
        <f>IF(EB44=0,0,(EC44-EB44)/EB44*100)</f>
        <v>0</v>
      </c>
      <c r="EE44" s="5247"/>
      <c r="EF44" s="5247"/>
      <c r="EG44" s="1095">
        <f>IF(EE44=0,0,(EF44-EE44)/EE44*100)</f>
        <v>0</v>
      </c>
      <c r="EH44" s="5247"/>
      <c r="EI44" s="5247"/>
      <c r="EJ44" s="1095">
        <f>IF(EH44=0,0,(EI44-EH44)/EH44*100)</f>
        <v>0</v>
      </c>
      <c r="EK44" s="5247"/>
      <c r="EL44" s="5247"/>
      <c r="EM44" s="1095">
        <f>IF(EK44=0,0,(EL44-EK44)/EK44*100)</f>
        <v>0</v>
      </c>
      <c r="EN44" s="5247"/>
      <c r="EO44" s="5247"/>
      <c r="EP44" s="1095">
        <f>IF(EN44=0,0,(EO44-EN44)/EN44*100)</f>
        <v>0</v>
      </c>
      <c r="EQ44" s="5247"/>
      <c r="ER44" s="5247"/>
      <c r="ES44" s="1095">
        <f>IF(EQ44=0,0,(ER44-EQ44)/EQ44*100)</f>
        <v>0</v>
      </c>
      <c r="ET44" s="5247"/>
      <c r="EU44" s="5247"/>
      <c r="EV44" s="1095">
        <f>IF(ET44=0,0,(EU44-ET44)/ET44*100)</f>
        <v>0</v>
      </c>
      <c r="EW44" s="5247"/>
      <c r="EX44" s="5247"/>
      <c r="EY44" s="1095">
        <f>IF(EW44=0,0,(EX44-EW44)/EW44*100)</f>
        <v>0</v>
      </c>
      <c r="EZ44" s="5247"/>
      <c r="FA44" s="5247"/>
      <c r="FB44" s="1095">
        <f>IF(EZ44=0,0,(FA44-EZ44)/EZ44*100)</f>
        <v>0</v>
      </c>
      <c r="FC44" s="5247"/>
      <c r="FD44" s="5247"/>
      <c r="FE44" s="1095">
        <f>IF(FC44=0,0,(FD44-FC44)/FC44*100)</f>
        <v>0</v>
      </c>
      <c r="FF44" s="5247"/>
      <c r="FG44" s="5247"/>
      <c r="FH44" s="1095">
        <f>IF(FF44=0,0,(FG44-FF44)/FF44*100)</f>
        <v>0</v>
      </c>
      <c r="FI44" s="5247"/>
      <c r="FJ44" s="5247"/>
      <c r="FK44" s="1095">
        <f>IF(FI44=0,0,(FJ44-FI44)/FI44*100)</f>
        <v>0</v>
      </c>
      <c r="FL44" s="5247"/>
      <c r="FM44" s="5247"/>
      <c r="FN44" s="1095">
        <f>IF(FL44=0,0,(FM44-FL44)/FL44*100)</f>
        <v>0</v>
      </c>
      <c r="FO44" s="5247"/>
      <c r="FP44" s="5247"/>
      <c r="FQ44" s="1095">
        <f>IF(FO44=0,0,(FP44-FO44)/FO44*100)</f>
        <v>0</v>
      </c>
      <c r="FR44" s="5247"/>
      <c r="FS44" s="5247"/>
      <c r="FT44" s="1095">
        <f>IF(FR44=0,0,(FS44-FR44)/FR44*100)</f>
        <v>0</v>
      </c>
      <c r="FU44" s="5247"/>
      <c r="FV44" s="5247"/>
      <c r="FW44" s="1095">
        <f>IF(FU44=0,0,(FV44-FU44)/FU44*100)</f>
        <v>0</v>
      </c>
      <c r="FX44" s="292"/>
      <c r="FY44" s="1304"/>
      <c r="FZ44" s="1055" t="s">
        <v>2365</v>
      </c>
      <c r="GA44" s="1015" t="s">
        <v>2363</v>
      </c>
      <c r="GB44" s="1015" cm="1" t="str">
        <f t="array" ref="GB44:GB44">GB42</f>
        <v>0</v>
      </c>
      <c r="GC44" s="1305"/>
      <c r="GD44" s="1305"/>
    </row>
    <row customHeight="1" ht="14.625" hidden="1">
      <c r="A45" s="493"/>
      <c r="B45" s="925" cm="1" t="str">
        <f t="array" ref="B45:B45">B44</f>
        <v>false</v>
      </c>
      <c r="C45" s="493"/>
      <c r="D45" s="493"/>
      <c r="E45" s="840">
        <v>15</v>
      </c>
      <c r="F45" s="50" cm="1" t="str">
        <f t="array" ref="F45:F45">OFFSET(E45,-1,1)</f>
        <v>0</v>
      </c>
      <c r="G45" s="493"/>
      <c r="H45" s="493"/>
      <c r="I45" s="98" t="s">
        <v>2366</v>
      </c>
      <c r="J45" s="493"/>
      <c r="K45" s="493"/>
      <c r="L45" s="493"/>
      <c r="M45" s="493"/>
      <c r="N45" s="493"/>
      <c r="O45" s="493"/>
      <c r="P45" s="493"/>
      <c r="Q45" s="493"/>
      <c r="R45" s="85"/>
      <c r="S45" s="493"/>
      <c r="T45" s="465">
        <f>F45&gt;0</f>
        <v>0</v>
      </c>
      <c r="U45" s="493"/>
      <c r="V45" s="1304"/>
      <c r="W45" s="757" t="s">
        <v>2367</v>
      </c>
      <c r="X45" s="1596"/>
      <c r="Y45" s="1304"/>
      <c r="Z45" s="1545"/>
      <c r="AA45" s="1304"/>
      <c r="AB45" s="260" t="s">
        <v>178</v>
      </c>
      <c r="AC45" s="264"/>
      <c r="AD45" s="1098"/>
      <c r="AE45" s="1098"/>
      <c r="AF45" s="1098"/>
      <c r="AG45" s="1098"/>
      <c r="AH45" s="1098"/>
      <c r="AI45" s="1098"/>
      <c r="AJ45" s="1098"/>
      <c r="AK45" s="1098"/>
      <c r="AL45" s="1098"/>
      <c r="AM45" s="1098"/>
      <c r="AN45" s="1098"/>
      <c r="AO45" s="1098"/>
      <c r="AP45" s="1098"/>
      <c r="AQ45" s="1098"/>
      <c r="AR45" s="1098"/>
      <c r="AS45" s="1098"/>
      <c r="AT45" s="1098"/>
      <c r="AU45" s="1098"/>
      <c r="AV45" s="1098"/>
      <c r="AW45" s="1098"/>
      <c r="AX45" s="1098"/>
      <c r="AY45" s="1098"/>
      <c r="AZ45" s="1098"/>
      <c r="BA45" s="1098"/>
      <c r="BB45" s="1098"/>
      <c r="BC45" s="1098"/>
      <c r="BD45" s="1098"/>
      <c r="BE45" s="1098"/>
      <c r="BF45" s="1098"/>
      <c r="BG45" s="1098"/>
      <c r="BH45" s="1098"/>
      <c r="BI45" s="1098"/>
      <c r="BJ45" s="1098"/>
      <c r="BK45" s="1098"/>
      <c r="BL45" s="1098"/>
      <c r="BM45" s="1098"/>
      <c r="BN45" s="1098"/>
      <c r="BO45" s="1098"/>
      <c r="BP45" s="1098"/>
      <c r="BQ45" s="1098"/>
      <c r="BR45" s="1098"/>
      <c r="BS45" s="1098"/>
      <c r="BT45" s="1098"/>
      <c r="BU45" s="1098"/>
      <c r="BV45" s="1098"/>
      <c r="BW45" s="1098"/>
      <c r="BX45" s="1098"/>
      <c r="BY45" s="1098"/>
      <c r="BZ45" s="1098"/>
      <c r="CA45" s="1098"/>
      <c r="CB45" s="1098"/>
      <c r="CC45" s="1098"/>
      <c r="CD45" s="1098"/>
      <c r="CE45" s="1098"/>
      <c r="CF45" s="1098"/>
      <c r="CG45" s="1098"/>
      <c r="CH45" s="1098"/>
      <c r="CI45" s="1098"/>
      <c r="CJ45" s="1098"/>
      <c r="CK45" s="1098"/>
      <c r="CL45" s="1098"/>
      <c r="CM45" s="1098"/>
      <c r="CN45" s="1098"/>
      <c r="CO45" s="1098"/>
      <c r="CP45" s="1098"/>
      <c r="CQ45" s="1098"/>
      <c r="CR45" s="1098"/>
      <c r="CS45" s="1098"/>
      <c r="CT45" s="1098"/>
      <c r="CU45" s="1098"/>
      <c r="CV45" s="1098"/>
      <c r="CW45" s="1098"/>
      <c r="CX45" s="1098"/>
      <c r="CY45" s="1098"/>
      <c r="CZ45" s="1098"/>
      <c r="DA45" s="1098"/>
      <c r="DB45" s="1098"/>
      <c r="DC45" s="1098"/>
      <c r="DD45" s="1098"/>
      <c r="DE45" s="1098"/>
      <c r="DF45" s="1098"/>
      <c r="DG45" s="1098"/>
      <c r="DH45" s="1098"/>
      <c r="DI45" s="1098"/>
      <c r="DJ45" s="1098"/>
      <c r="DK45" s="1098"/>
      <c r="DL45" s="1098"/>
      <c r="DM45" s="1098"/>
      <c r="DN45" s="1098"/>
      <c r="DO45" s="1098"/>
      <c r="DP45" s="1098"/>
      <c r="DQ45" s="1098"/>
      <c r="DR45" s="1098"/>
      <c r="DS45" s="1098"/>
      <c r="DT45" s="1098"/>
      <c r="DU45" s="1098"/>
      <c r="DV45" s="1098"/>
      <c r="DW45" s="1098"/>
      <c r="DX45" s="1098"/>
      <c r="DY45" s="1098"/>
      <c r="DZ45" s="1098"/>
      <c r="EA45" s="1098"/>
      <c r="EB45" s="1098"/>
      <c r="EC45" s="1098"/>
      <c r="ED45" s="1098"/>
      <c r="EE45" s="1098"/>
      <c r="EF45" s="1098"/>
      <c r="EG45" s="1098"/>
      <c r="EH45" s="1098"/>
      <c r="EI45" s="1098"/>
      <c r="EJ45" s="1098"/>
      <c r="EK45" s="1098"/>
      <c r="EL45" s="1098"/>
      <c r="EM45" s="1098"/>
      <c r="EN45" s="1098"/>
      <c r="EO45" s="1098"/>
      <c r="EP45" s="1098"/>
      <c r="EQ45" s="1098"/>
      <c r="ER45" s="1098"/>
      <c r="ES45" s="1098"/>
      <c r="ET45" s="1098"/>
      <c r="EU45" s="1098"/>
      <c r="EV45" s="1098"/>
      <c r="EW45" s="1098"/>
      <c r="EX45" s="1098"/>
      <c r="EY45" s="1098"/>
      <c r="EZ45" s="1098"/>
      <c r="FA45" s="1098"/>
      <c r="FB45" s="1098"/>
      <c r="FC45" s="1098"/>
      <c r="FD45" s="1098"/>
      <c r="FE45" s="1098"/>
      <c r="FF45" s="1098"/>
      <c r="FG45" s="1098"/>
      <c r="FH45" s="1098"/>
      <c r="FI45" s="1098"/>
      <c r="FJ45" s="1098"/>
      <c r="FK45" s="1098"/>
      <c r="FL45" s="1098"/>
      <c r="FM45" s="1098"/>
      <c r="FN45" s="1098"/>
      <c r="FO45" s="1098"/>
      <c r="FP45" s="1098"/>
      <c r="FQ45" s="1098"/>
      <c r="FR45" s="1098"/>
      <c r="FS45" s="1098"/>
      <c r="FT45" s="1098"/>
      <c r="FU45" s="1098"/>
      <c r="FV45" s="1098"/>
      <c r="FW45" s="1099"/>
      <c r="FX45" s="1304"/>
      <c r="FY45" s="1304"/>
      <c r="FZ45" s="1055" t="s">
        <v>227</v>
      </c>
      <c r="GA45" s="1306"/>
      <c r="GB45" s="1306"/>
      <c r="GC45" s="632" t="s">
        <v>2363</v>
      </c>
      <c r="GD45" s="1305"/>
    </row>
    <row customHeight="1" ht="14.625" hidden="1">
      <c r="A46" s="493"/>
      <c r="B46" s="925">
        <f>AND(R29="двухставочный",NOT(S29))</f>
        <v>0</v>
      </c>
      <c r="C46" s="493"/>
      <c r="D46" s="493"/>
      <c r="E46" s="840">
        <v>15</v>
      </c>
      <c r="F46" s="50" cm="1" t="str">
        <f t="array" ref="F46:F46">OFFSET(E46,-1,1)</f>
        <v>0</v>
      </c>
      <c r="G46" s="493"/>
      <c r="H46" s="493"/>
      <c r="I46" s="493"/>
      <c r="J46" s="493"/>
      <c r="K46" s="493"/>
      <c r="L46" s="493"/>
      <c r="M46" s="493"/>
      <c r="N46" s="493"/>
      <c r="O46" s="493"/>
      <c r="P46" s="493"/>
      <c r="Q46" s="493"/>
      <c r="R46" s="85"/>
      <c r="S46" s="493"/>
      <c r="T46" s="465" cm="1" t="str">
        <f t="array" ref="T46:T46">T45</f>
        <v>false</v>
      </c>
      <c r="U46" s="493"/>
      <c r="V46" s="493"/>
      <c r="W46" s="493"/>
      <c r="X46" s="1596"/>
      <c r="Y46" s="493"/>
      <c r="Z46" s="1545"/>
      <c r="AA46" s="493"/>
      <c r="AB46" s="894" t="s">
        <v>2368</v>
      </c>
      <c r="AC46" s="895"/>
      <c r="AD46" s="1100"/>
      <c r="AE46" s="1100"/>
      <c r="AF46" s="1100"/>
      <c r="AG46" s="1100"/>
      <c r="AH46" s="1100"/>
      <c r="AI46" s="1100"/>
      <c r="AJ46" s="1100"/>
      <c r="AK46" s="1100"/>
      <c r="AL46" s="1100"/>
      <c r="AM46" s="1100"/>
      <c r="AN46" s="1100"/>
      <c r="AO46" s="1100"/>
      <c r="AP46" s="1100"/>
      <c r="AQ46" s="1100"/>
      <c r="AR46" s="1100"/>
      <c r="AS46" s="1100"/>
      <c r="AT46" s="1100"/>
      <c r="AU46" s="1100"/>
      <c r="AV46" s="1100"/>
      <c r="AW46" s="1100"/>
      <c r="AX46" s="1100"/>
      <c r="AY46" s="1100"/>
      <c r="AZ46" s="1100"/>
      <c r="BA46" s="1100"/>
      <c r="BB46" s="1100"/>
      <c r="BC46" s="1100"/>
      <c r="BD46" s="1100"/>
      <c r="BE46" s="1100"/>
      <c r="BF46" s="1100"/>
      <c r="BG46" s="1100"/>
      <c r="BH46" s="1100"/>
      <c r="BI46" s="1100"/>
      <c r="BJ46" s="1100"/>
      <c r="BK46" s="1100"/>
      <c r="BL46" s="1100"/>
      <c r="BM46" s="1100"/>
      <c r="BN46" s="1100"/>
      <c r="BO46" s="1100"/>
      <c r="BP46" s="1100"/>
      <c r="BQ46" s="1100"/>
      <c r="BR46" s="1100"/>
      <c r="BS46" s="1100"/>
      <c r="BT46" s="1100"/>
      <c r="BU46" s="1100"/>
      <c r="BV46" s="1100"/>
      <c r="BW46" s="1100"/>
      <c r="BX46" s="1100"/>
      <c r="BY46" s="1100"/>
      <c r="BZ46" s="1100"/>
      <c r="CA46" s="1100"/>
      <c r="CB46" s="1100"/>
      <c r="CC46" s="1100"/>
      <c r="CD46" s="1100"/>
      <c r="CE46" s="1100"/>
      <c r="CF46" s="1100"/>
      <c r="CG46" s="1100"/>
      <c r="CH46" s="1100"/>
      <c r="CI46" s="1100"/>
      <c r="CJ46" s="1100"/>
      <c r="CK46" s="1100"/>
      <c r="CL46" s="1100"/>
      <c r="CM46" s="1100"/>
      <c r="CN46" s="1100"/>
      <c r="CO46" s="1100"/>
      <c r="CP46" s="1100"/>
      <c r="CQ46" s="1100"/>
      <c r="CR46" s="1100"/>
      <c r="CS46" s="1100"/>
      <c r="CT46" s="1100"/>
      <c r="CU46" s="1100"/>
      <c r="CV46" s="1100"/>
      <c r="CW46" s="1100"/>
      <c r="CX46" s="1100"/>
      <c r="CY46" s="1100"/>
      <c r="CZ46" s="1100"/>
      <c r="DA46" s="1100"/>
      <c r="DB46" s="1100"/>
      <c r="DC46" s="1100"/>
      <c r="DD46" s="1100"/>
      <c r="DE46" s="1100"/>
      <c r="DF46" s="1100"/>
      <c r="DG46" s="1100"/>
      <c r="DH46" s="1100"/>
      <c r="DI46" s="1100"/>
      <c r="DJ46" s="1100"/>
      <c r="DK46" s="1100"/>
      <c r="DL46" s="1100"/>
      <c r="DM46" s="1100"/>
      <c r="DN46" s="1100"/>
      <c r="DO46" s="1100"/>
      <c r="DP46" s="1100"/>
      <c r="DQ46" s="1100"/>
      <c r="DR46" s="1100"/>
      <c r="DS46" s="1100"/>
      <c r="DT46" s="1100"/>
      <c r="DU46" s="1100"/>
      <c r="DV46" s="1100"/>
      <c r="DW46" s="1100"/>
      <c r="DX46" s="1100"/>
      <c r="DY46" s="1100"/>
      <c r="DZ46" s="1100"/>
      <c r="EA46" s="1100"/>
      <c r="EB46" s="1100"/>
      <c r="EC46" s="1100"/>
      <c r="ED46" s="1100"/>
      <c r="EE46" s="1100"/>
      <c r="EF46" s="1100"/>
      <c r="EG46" s="1100"/>
      <c r="EH46" s="1100"/>
      <c r="EI46" s="1100"/>
      <c r="EJ46" s="1100"/>
      <c r="EK46" s="1100"/>
      <c r="EL46" s="1100"/>
      <c r="EM46" s="1100"/>
      <c r="EN46" s="1100"/>
      <c r="EO46" s="1100"/>
      <c r="EP46" s="1100"/>
      <c r="EQ46" s="1100"/>
      <c r="ER46" s="1100"/>
      <c r="ES46" s="1100"/>
      <c r="ET46" s="1100"/>
      <c r="EU46" s="1100"/>
      <c r="EV46" s="1100"/>
      <c r="EW46" s="1100"/>
      <c r="EX46" s="1100"/>
      <c r="EY46" s="1100"/>
      <c r="EZ46" s="1100"/>
      <c r="FA46" s="1100"/>
      <c r="FB46" s="1100"/>
      <c r="FC46" s="1100"/>
      <c r="FD46" s="1100"/>
      <c r="FE46" s="1100"/>
      <c r="FF46" s="1100"/>
      <c r="FG46" s="1100"/>
      <c r="FH46" s="1100"/>
      <c r="FI46" s="1100"/>
      <c r="FJ46" s="1100"/>
      <c r="FK46" s="1100"/>
      <c r="FL46" s="1100"/>
      <c r="FM46" s="1100"/>
      <c r="FN46" s="1100"/>
      <c r="FO46" s="1100"/>
      <c r="FP46" s="1100"/>
      <c r="FQ46" s="1100"/>
      <c r="FR46" s="1100"/>
      <c r="FS46" s="1100"/>
      <c r="FT46" s="1100"/>
      <c r="FU46" s="1100"/>
      <c r="FV46" s="1100"/>
      <c r="FW46" s="1101"/>
      <c r="FX46" s="1304"/>
      <c r="FY46" s="1304"/>
      <c r="FZ46" s="1055" t="s">
        <v>227</v>
      </c>
      <c r="GA46" s="1306"/>
      <c r="GB46" s="1306"/>
      <c r="GC46" s="1305"/>
      <c r="GD46" s="1305"/>
    </row>
    <row customHeight="1" ht="23.887500000000003" hidden="1">
      <c r="A47" s="493"/>
      <c r="B47" s="925" cm="1" t="str">
        <f t="array" ref="B47:B47">B46</f>
        <v>false</v>
      </c>
      <c r="C47" s="493"/>
      <c r="D47" s="493"/>
      <c r="E47" s="840">
        <v>24.5</v>
      </c>
      <c r="F47" s="50" cm="1" t="str">
        <f t="array" ref="F47:F47">OFFSET(E47,-1,1)</f>
        <v>0</v>
      </c>
      <c r="G47" s="493"/>
      <c r="H47" s="493"/>
      <c r="I47" s="493"/>
      <c r="J47" s="493"/>
      <c r="K47" s="493"/>
      <c r="L47" s="493"/>
      <c r="M47" s="493"/>
      <c r="N47" s="493"/>
      <c r="O47" s="493"/>
      <c r="P47" s="493"/>
      <c r="Q47" s="493"/>
      <c r="R47" s="493"/>
      <c r="S47" s="493"/>
      <c r="T47" s="465" cm="1" t="str">
        <f t="array" ref="T47:T47">T46</f>
        <v>false</v>
      </c>
      <c r="U47" s="493"/>
      <c r="V47" s="493"/>
      <c r="W47" s="493"/>
      <c r="X47" s="1596"/>
      <c r="Y47" s="493"/>
      <c r="Z47" s="1545"/>
      <c r="AA47" s="493"/>
      <c r="AB47" s="293" t="s">
        <v>2369</v>
      </c>
      <c r="AC47" s="903"/>
      <c r="AD47" s="1102"/>
      <c r="AE47" s="1102"/>
      <c r="AF47" s="1102"/>
      <c r="AG47" s="1102"/>
      <c r="AH47" s="1102"/>
      <c r="AI47" s="1102"/>
      <c r="AJ47" s="1102"/>
      <c r="AK47" s="1102"/>
      <c r="AL47" s="1102"/>
      <c r="AM47" s="1102"/>
      <c r="AN47" s="1102"/>
      <c r="AO47" s="1102"/>
      <c r="AP47" s="1102"/>
      <c r="AQ47" s="1102"/>
      <c r="AR47" s="1102"/>
      <c r="AS47" s="1102"/>
      <c r="AT47" s="1102"/>
      <c r="AU47" s="1102"/>
      <c r="AV47" s="1102"/>
      <c r="AW47" s="1102"/>
      <c r="AX47" s="1102"/>
      <c r="AY47" s="1102"/>
      <c r="AZ47" s="1102"/>
      <c r="BA47" s="1102"/>
      <c r="BB47" s="1102"/>
      <c r="BC47" s="1102"/>
      <c r="BD47" s="1102"/>
      <c r="BE47" s="1102"/>
      <c r="BF47" s="1102"/>
      <c r="BG47" s="1102"/>
      <c r="BH47" s="1102"/>
      <c r="BI47" s="1102"/>
      <c r="BJ47" s="1102"/>
      <c r="BK47" s="1102"/>
      <c r="BL47" s="1102"/>
      <c r="BM47" s="1102"/>
      <c r="BN47" s="1102"/>
      <c r="BO47" s="1102"/>
      <c r="BP47" s="1102"/>
      <c r="BQ47" s="1102"/>
      <c r="BR47" s="1102"/>
      <c r="BS47" s="1102"/>
      <c r="BT47" s="1102"/>
      <c r="BU47" s="1102"/>
      <c r="BV47" s="1102"/>
      <c r="BW47" s="1102"/>
      <c r="BX47" s="1102"/>
      <c r="BY47" s="1102"/>
      <c r="BZ47" s="1102"/>
      <c r="CA47" s="1102"/>
      <c r="CB47" s="1102"/>
      <c r="CC47" s="1102"/>
      <c r="CD47" s="1102"/>
      <c r="CE47" s="1102"/>
      <c r="CF47" s="1102"/>
      <c r="CG47" s="1102"/>
      <c r="CH47" s="1102"/>
      <c r="CI47" s="1102"/>
      <c r="CJ47" s="1102"/>
      <c r="CK47" s="1102"/>
      <c r="CL47" s="1102"/>
      <c r="CM47" s="1102"/>
      <c r="CN47" s="1102"/>
      <c r="CO47" s="1102"/>
      <c r="CP47" s="1102"/>
      <c r="CQ47" s="1102"/>
      <c r="CR47" s="1102"/>
      <c r="CS47" s="1102"/>
      <c r="CT47" s="1102"/>
      <c r="CU47" s="1102"/>
      <c r="CV47" s="1102"/>
      <c r="CW47" s="1102"/>
      <c r="CX47" s="1102"/>
      <c r="CY47" s="1102"/>
      <c r="CZ47" s="1102"/>
      <c r="DA47" s="1102"/>
      <c r="DB47" s="1102"/>
      <c r="DC47" s="1102"/>
      <c r="DD47" s="1102"/>
      <c r="DE47" s="1102"/>
      <c r="DF47" s="1102"/>
      <c r="DG47" s="1102"/>
      <c r="DH47" s="1102"/>
      <c r="DI47" s="1102"/>
      <c r="DJ47" s="1102"/>
      <c r="DK47" s="1102"/>
      <c r="DL47" s="1102"/>
      <c r="DM47" s="1102"/>
      <c r="DN47" s="1102"/>
      <c r="DO47" s="1102"/>
      <c r="DP47" s="1102"/>
      <c r="DQ47" s="1102"/>
      <c r="DR47" s="1102"/>
      <c r="DS47" s="1102"/>
      <c r="DT47" s="1102"/>
      <c r="DU47" s="1102"/>
      <c r="DV47" s="1102"/>
      <c r="DW47" s="1102"/>
      <c r="DX47" s="1102"/>
      <c r="DY47" s="1102"/>
      <c r="DZ47" s="1102"/>
      <c r="EA47" s="1102"/>
      <c r="EB47" s="1102"/>
      <c r="EC47" s="1102"/>
      <c r="ED47" s="1102"/>
      <c r="EE47" s="1102"/>
      <c r="EF47" s="1102"/>
      <c r="EG47" s="1102"/>
      <c r="EH47" s="1102"/>
      <c r="EI47" s="1102"/>
      <c r="EJ47" s="1102"/>
      <c r="EK47" s="1102"/>
      <c r="EL47" s="1102"/>
      <c r="EM47" s="1102"/>
      <c r="EN47" s="1102"/>
      <c r="EO47" s="1102"/>
      <c r="EP47" s="1102"/>
      <c r="EQ47" s="1102"/>
      <c r="ER47" s="1102"/>
      <c r="ES47" s="1102"/>
      <c r="ET47" s="1102"/>
      <c r="EU47" s="1102"/>
      <c r="EV47" s="1102"/>
      <c r="EW47" s="1102"/>
      <c r="EX47" s="1102"/>
      <c r="EY47" s="1102"/>
      <c r="EZ47" s="1102"/>
      <c r="FA47" s="1102"/>
      <c r="FB47" s="1102"/>
      <c r="FC47" s="1102"/>
      <c r="FD47" s="1102"/>
      <c r="FE47" s="1102"/>
      <c r="FF47" s="1102"/>
      <c r="FG47" s="1102"/>
      <c r="FH47" s="1102"/>
      <c r="FI47" s="1102"/>
      <c r="FJ47" s="1102"/>
      <c r="FK47" s="1102"/>
      <c r="FL47" s="1102"/>
      <c r="FM47" s="1102"/>
      <c r="FN47" s="1102"/>
      <c r="FO47" s="1102"/>
      <c r="FP47" s="1102"/>
      <c r="FQ47" s="1102"/>
      <c r="FR47" s="1102"/>
      <c r="FS47" s="1102"/>
      <c r="FT47" s="1102"/>
      <c r="FU47" s="1102"/>
      <c r="FV47" s="1102"/>
      <c r="FW47" s="1103"/>
      <c r="FX47" s="1304"/>
      <c r="FY47" s="1304"/>
      <c r="FZ47" s="1055" t="s">
        <v>227</v>
      </c>
      <c r="GA47" s="1306"/>
      <c r="GB47" s="1306"/>
      <c r="GC47" s="1305"/>
      <c r="GD47" s="1305"/>
    </row>
    <row customHeight="1" ht="14.625" hidden="1">
      <c r="A48" s="493"/>
      <c r="B48" s="925" cm="1" t="str">
        <f t="array" ref="B48:B48">B47</f>
        <v>false</v>
      </c>
      <c r="C48" s="493"/>
      <c r="D48" s="493"/>
      <c r="E48" s="840">
        <v>15</v>
      </c>
      <c r="F48" s="50" cm="1" t="str">
        <f t="array" ref="F48:F48">OFFSET(E48,-1,1)</f>
        <v>0</v>
      </c>
      <c r="G48" s="493"/>
      <c r="H48" s="493" t="s">
        <v>2295</v>
      </c>
      <c r="I48" s="493" t="s">
        <v>2335</v>
      </c>
      <c r="J48" s="493"/>
      <c r="K48" s="493"/>
      <c r="L48" s="493"/>
      <c r="M48" s="493"/>
      <c r="N48" s="493"/>
      <c r="O48" s="493"/>
      <c r="P48" s="493"/>
      <c r="Q48" s="493"/>
      <c r="R48" s="493"/>
      <c r="S48" s="493"/>
      <c r="T48" s="465" cm="1" t="str">
        <f t="array" ref="T48:T48">T47</f>
        <v>false</v>
      </c>
      <c r="U48" s="493"/>
      <c r="V48" s="493"/>
      <c r="W48" s="493"/>
      <c r="X48" s="1596"/>
      <c r="Y48" s="493"/>
      <c r="Z48" s="1545"/>
      <c r="AA48" s="493"/>
      <c r="AB48" s="904" t="s">
        <v>2370</v>
      </c>
      <c r="AC48" s="864" t="s">
        <v>2337</v>
      </c>
      <c r="AD48" s="2846">
        <f>IF(AD50=0,0,(AD49*AD50+AD51*AD52*IF(god=2026,9,6))/AD50)</f>
        <v>0</v>
      </c>
      <c r="AE48" s="2846">
        <f>IF(AE50=0,0,(AE49*AE50+AE51*AE52*IF(god=2026,9,6))/AE50)</f>
        <v>0</v>
      </c>
      <c r="AF48" s="1093">
        <f>IF(AD48=0,0,(AE48-AD48)/AD48*100)</f>
        <v>0</v>
      </c>
      <c r="AG48" s="2846">
        <f>IF(AG50=0,0,(AG49*AG50+AG51*AG52*IF(god=2025,9,6))/AG50)</f>
        <v>0</v>
      </c>
      <c r="AH48" s="2846">
        <f>IF(AH50=0,0,(AH49*AH50+AH51*AH52*IF(god=2025,9,6))/AH50)</f>
        <v>0</v>
      </c>
      <c r="AI48" s="1093">
        <f>IF(AG48=0,0,(AH48-AG48)/AG48*100)</f>
        <v>0</v>
      </c>
      <c r="AJ48" s="2846">
        <f>IF(AJ50=0,0,(AJ49*AJ50+AJ51*AJ52*6)/AJ50)</f>
        <v>0</v>
      </c>
      <c r="AK48" s="2846">
        <f>IF(AK50=0,0,(AK49*AK50+AK51*AK52*6)/AK50)</f>
        <v>0</v>
      </c>
      <c r="AL48" s="1093">
        <f>IF(AJ48=0,0,(AK48-AJ48)/AJ48*100)</f>
        <v>0</v>
      </c>
      <c r="AM48" s="2846">
        <f>IF(AM50=0,0,(AM49*AM50+AM51*AM52*6)/AM50)</f>
        <v>0</v>
      </c>
      <c r="AN48" s="2846">
        <f>IF(AN50=0,0,(AN49*AN50+AN51*AN52*6)/AN50)</f>
        <v>0</v>
      </c>
      <c r="AO48" s="1093">
        <f>IF(AM48=0,0,(AN48-AM48)/AM48*100)</f>
        <v>0</v>
      </c>
      <c r="AP48" s="2846">
        <f>IF(AP50=0,0,(AP49*AP50+AP51*AP52*6)/AP50)</f>
        <v>0</v>
      </c>
      <c r="AQ48" s="2846">
        <f>IF(AQ50=0,0,(AQ49*AQ50+AQ51*AQ52*6)/AQ50)</f>
        <v>0</v>
      </c>
      <c r="AR48" s="1093">
        <f>IF(AP48=0,0,(AQ48-AP48)/AP48*100)</f>
        <v>0</v>
      </c>
      <c r="AS48" s="2846">
        <f>IF(AS50=0,0,(AS49*AS50+AS51*AS52*6)/AS50)</f>
        <v>0</v>
      </c>
      <c r="AT48" s="2846">
        <f>IF(AT50=0,0,(AT49*AT50+AT51*AT52*6)/AT50)</f>
        <v>0</v>
      </c>
      <c r="AU48" s="1093">
        <f>IF(AS48=0,0,(AT48-AS48)/AS48*100)</f>
        <v>0</v>
      </c>
      <c r="AV48" s="2846">
        <f>IF(AV50=0,0,(AV49*AV50+AV51*AV52*6)/AV50)</f>
        <v>0</v>
      </c>
      <c r="AW48" s="2846">
        <f>IF(AW50=0,0,(AW49*AW50+AW51*AW52*6)/AW50)</f>
        <v>0</v>
      </c>
      <c r="AX48" s="1093">
        <f>IF(AV48=0,0,(AW48-AV48)/AV48*100)</f>
        <v>0</v>
      </c>
      <c r="AY48" s="2846">
        <f>IF(AY50=0,0,(AY49*AY50+AY51*AY52*6)/AY50)</f>
        <v>0</v>
      </c>
      <c r="AZ48" s="2846">
        <f>IF(AZ50=0,0,(AZ49*AZ50+AZ51*AZ52*6)/AZ50)</f>
        <v>0</v>
      </c>
      <c r="BA48" s="1093">
        <f>IF(AY48=0,0,(AZ48-AY48)/AY48*100)</f>
        <v>0</v>
      </c>
      <c r="BB48" s="2846">
        <f>IF(BB50=0,0,(BB49*BB50+BB51*BB52*6)/BB50)</f>
        <v>0</v>
      </c>
      <c r="BC48" s="2846">
        <f>IF(BC50=0,0,(BC49*BC50+BC51*BC52*6)/BC50)</f>
        <v>0</v>
      </c>
      <c r="BD48" s="1093">
        <f>IF(BB48=0,0,(BC48-BB48)/BB48*100)</f>
        <v>0</v>
      </c>
      <c r="BE48" s="2846">
        <f>IF(BE50=0,0,(BE49*BE50+BE51*BE52*6)/BE50)</f>
        <v>0</v>
      </c>
      <c r="BF48" s="2846">
        <f>IF(BF50=0,0,(BF49*BF50+BF51*BF52*6)/BF50)</f>
        <v>0</v>
      </c>
      <c r="BG48" s="1093">
        <f>IF(BE48=0,0,(BF48-BE48)/BE48*100)</f>
        <v>0</v>
      </c>
      <c r="BH48" s="2846">
        <f>IF(BH50=0,0,(BH49*BH50+BH51*BH52*6)/BH50)</f>
        <v>0</v>
      </c>
      <c r="BI48" s="2846">
        <f>IF(BI50=0,0,(BI49*BI50+BI51*BI52*6)/BI50)</f>
        <v>0</v>
      </c>
      <c r="BJ48" s="1093">
        <f>IF(BH48=0,0,(BI48-BH48)/BH48*100)</f>
        <v>0</v>
      </c>
      <c r="BK48" s="2846">
        <f>IF(BK50=0,0,(BK49*BK50+BK51*BK52*6)/BK50)</f>
        <v>0</v>
      </c>
      <c r="BL48" s="2846">
        <f>IF(BL50=0,0,(BL49*BL50+BL51*BL52*6)/BL50)</f>
        <v>0</v>
      </c>
      <c r="BM48" s="1093">
        <f>IF(BK48=0,0,(BL48-BK48)/BK48*100)</f>
        <v>0</v>
      </c>
      <c r="BN48" s="2846">
        <f>IF(BN50=0,0,(BN49*BN50+BN51*BN52*6)/BN50)</f>
        <v>0</v>
      </c>
      <c r="BO48" s="2846">
        <f>IF(BO50=0,0,(BO49*BO50+BO51*BO52*6)/BO50)</f>
        <v>0</v>
      </c>
      <c r="BP48" s="1093">
        <f>IF(BN48=0,0,(BO48-BN48)/BN48*100)</f>
        <v>0</v>
      </c>
      <c r="BQ48" s="2846">
        <f>IF(BQ50=0,0,(BQ49*BQ50+BQ51*BQ52*6)/BQ50)</f>
        <v>0</v>
      </c>
      <c r="BR48" s="2846">
        <f>IF(BR50=0,0,(BR49*BR50+BR51*BR52*6)/BR50)</f>
        <v>0</v>
      </c>
      <c r="BS48" s="1093">
        <f>IF(BQ48=0,0,(BR48-BQ48)/BQ48*100)</f>
        <v>0</v>
      </c>
      <c r="BT48" s="2846">
        <f>IF(BT50=0,0,(BT49*BT50+BT51*BT52*6)/BT50)</f>
        <v>0</v>
      </c>
      <c r="BU48" s="2846">
        <f>IF(BU50=0,0,(BU49*BU50+BU51*BU52*6)/BU50)</f>
        <v>0</v>
      </c>
      <c r="BV48" s="1093">
        <f>IF(BT48=0,0,(BU48-BT48)/BT48*100)</f>
        <v>0</v>
      </c>
      <c r="BW48" s="2846">
        <f>IF(BW50=0,0,(BW49*BW50+BW51*BW52*6)/BW50)</f>
        <v>0</v>
      </c>
      <c r="BX48" s="2846">
        <f>IF(BX50=0,0,(BX49*BX50+BX51*BX52*6)/BX50)</f>
        <v>0</v>
      </c>
      <c r="BY48" s="1093">
        <f>IF(BW48=0,0,(BX48-BW48)/BW48*100)</f>
        <v>0</v>
      </c>
      <c r="BZ48" s="2846">
        <f>IF(BZ50=0,0,(BZ49*BZ50+BZ51*BZ52*6)/BZ50)</f>
        <v>0</v>
      </c>
      <c r="CA48" s="2846">
        <f>IF(CA50=0,0,(CA49*CA50+CA51*CA52*6)/CA50)</f>
        <v>0</v>
      </c>
      <c r="CB48" s="1093">
        <f>IF(BZ48=0,0,(CA48-BZ48)/BZ48*100)</f>
        <v>0</v>
      </c>
      <c r="CC48" s="2846">
        <f>IF(CC50=0,0,(CC49*CC50+CC51*CC52*6)/CC50)</f>
        <v>0</v>
      </c>
      <c r="CD48" s="2846">
        <f>IF(CD50=0,0,(CD49*CD50+CD51*CD52*6)/CD50)</f>
        <v>0</v>
      </c>
      <c r="CE48" s="1093">
        <f>IF(CC48=0,0,(CD48-CC48)/CC48*100)</f>
        <v>0</v>
      </c>
      <c r="CF48" s="2846">
        <f>IF(CF50=0,0,(CF49*CF50+CF51*CF52*6)/CF50)</f>
        <v>0</v>
      </c>
      <c r="CG48" s="2846">
        <f>IF(CG50=0,0,(CG49*CG50+CG51*CG52*6)/CG50)</f>
        <v>0</v>
      </c>
      <c r="CH48" s="1093">
        <f>IF(CF48=0,0,(CG48-CF48)/CF48*100)</f>
        <v>0</v>
      </c>
      <c r="CI48" s="2846">
        <f>IF(CI50=0,0,(CI49*CI50+CI51*CI52*6)/CI50)</f>
        <v>0</v>
      </c>
      <c r="CJ48" s="2846">
        <f>IF(CJ50=0,0,(CJ49*CJ50+CJ51*CJ52*6)/CJ50)</f>
        <v>0</v>
      </c>
      <c r="CK48" s="1093">
        <f>IF(CI48=0,0,(CJ48-CI48)/CI48*100)</f>
        <v>0</v>
      </c>
      <c r="CL48" s="2846">
        <f>IF(CL50=0,0,(CL49*CL50+CL51*CL52*6)/CL50)</f>
        <v>0</v>
      </c>
      <c r="CM48" s="2846">
        <f>IF(CM50=0,0,(CM49*CM50+CM51*CM52*6)/CM50)</f>
        <v>0</v>
      </c>
      <c r="CN48" s="1093">
        <f>IF(CL48=0,0,(CM48-CL48)/CL48*100)</f>
        <v>0</v>
      </c>
      <c r="CO48" s="2846">
        <f>IF(CO50=0,0,(CO49*CO50+CO51*CO52*6)/CO50)</f>
        <v>0</v>
      </c>
      <c r="CP48" s="2846">
        <f>IF(CP50=0,0,(CP49*CP50+CP51*CP52*6)/CP50)</f>
        <v>0</v>
      </c>
      <c r="CQ48" s="1093">
        <f>IF(CO48=0,0,(CP48-CO48)/CO48*100)</f>
        <v>0</v>
      </c>
      <c r="CR48" s="2846">
        <f>IF(CR50=0,0,(CR49*CR50+CR51*CR52*6)/CR50)</f>
        <v>0</v>
      </c>
      <c r="CS48" s="2846">
        <f>IF(CS50=0,0,(CS49*CS50+CS51*CS52*6)/CS50)</f>
        <v>0</v>
      </c>
      <c r="CT48" s="1093">
        <f>IF(CR48=0,0,(CS48-CR48)/CR48*100)</f>
        <v>0</v>
      </c>
      <c r="CU48" s="2846">
        <f>IF(CU50=0,0,(CU49*CU50+CU51*CU52*6)/CU50)</f>
        <v>0</v>
      </c>
      <c r="CV48" s="2846">
        <f>IF(CV50=0,0,(CV49*CV50+CV51*CV52*6)/CV50)</f>
        <v>0</v>
      </c>
      <c r="CW48" s="1093">
        <f>IF(CU48=0,0,(CV48-CU48)/CU48*100)</f>
        <v>0</v>
      </c>
      <c r="CX48" s="2846">
        <f>IF(CX50=0,0,(CX49*CX50+CX51*CX52*6)/CX50)</f>
        <v>0</v>
      </c>
      <c r="CY48" s="2846">
        <f>IF(CY50=0,0,(CY49*CY50+CY51*CY52*6)/CY50)</f>
        <v>0</v>
      </c>
      <c r="CZ48" s="1093">
        <f>IF(CX48=0,0,(CY48-CX48)/CX48*100)</f>
        <v>0</v>
      </c>
      <c r="DA48" s="2846">
        <f>IF(DA50=0,0,(DA49*DA50+DA51*DA52*6)/DA50)</f>
        <v>0</v>
      </c>
      <c r="DB48" s="2846">
        <f>IF(DB50=0,0,(DB49*DB50+DB51*DB52*6)/DB50)</f>
        <v>0</v>
      </c>
      <c r="DC48" s="1093">
        <f>IF(DA48=0,0,(DB48-DA48)/DA48*100)</f>
        <v>0</v>
      </c>
      <c r="DD48" s="2846">
        <f>IF(DD50=0,0,(DD49*DD50+DD51*DD52*6)/DD50)</f>
        <v>0</v>
      </c>
      <c r="DE48" s="2846">
        <f>IF(DE50=0,0,(DE49*DE50+DE51*DE52*6)/DE50)</f>
        <v>0</v>
      </c>
      <c r="DF48" s="1093">
        <f>IF(DD48=0,0,(DE48-DD48)/DD48*100)</f>
        <v>0</v>
      </c>
      <c r="DG48" s="2846">
        <f>IF(DG50=0,0,(DG49*DG50+DG51*DG52*6)/DG50)</f>
        <v>0</v>
      </c>
      <c r="DH48" s="2846">
        <f>IF(DH50=0,0,(DH49*DH50+DH51*DH52*6)/DH50)</f>
        <v>0</v>
      </c>
      <c r="DI48" s="1093">
        <f>IF(DG48=0,0,(DH48-DG48)/DG48*100)</f>
        <v>0</v>
      </c>
      <c r="DJ48" s="2846">
        <f>IF(DJ50=0,0,(DJ49*DJ50+DJ51*DJ52*6)/DJ50)</f>
        <v>0</v>
      </c>
      <c r="DK48" s="2846">
        <f>IF(DK50=0,0,(DK49*DK50+DK51*DK52*6)/DK50)</f>
        <v>0</v>
      </c>
      <c r="DL48" s="1093">
        <f>IF(DJ48=0,0,(DK48-DJ48)/DJ48*100)</f>
        <v>0</v>
      </c>
      <c r="DM48" s="2846">
        <f>IF(DM50=0,0,(DM49*DM50+DM51*DM52*6)/DM50)</f>
        <v>0</v>
      </c>
      <c r="DN48" s="2846">
        <f>IF(DN50=0,0,(DN49*DN50+DN51*DN52*6)/DN50)</f>
        <v>0</v>
      </c>
      <c r="DO48" s="1093">
        <f>IF(DM48=0,0,(DN48-DM48)/DM48*100)</f>
        <v>0</v>
      </c>
      <c r="DP48" s="2846">
        <f>IF(DP50=0,0,(DP49*DP50+DP51*DP52*6)/DP50)</f>
        <v>0</v>
      </c>
      <c r="DQ48" s="2846">
        <f>IF(DQ50=0,0,(DQ49*DQ50+DQ51*DQ52*6)/DQ50)</f>
        <v>0</v>
      </c>
      <c r="DR48" s="1093">
        <f>IF(DP48=0,0,(DQ48-DP48)/DP48*100)</f>
        <v>0</v>
      </c>
      <c r="DS48" s="2846">
        <f>IF(DS50=0,0,(DS49*DS50+DS51*DS52*6)/DS50)</f>
        <v>0</v>
      </c>
      <c r="DT48" s="2846">
        <f>IF(DT50=0,0,(DT49*DT50+DT51*DT52*6)/DT50)</f>
        <v>0</v>
      </c>
      <c r="DU48" s="1093">
        <f>IF(DS48=0,0,(DT48-DS48)/DS48*100)</f>
        <v>0</v>
      </c>
      <c r="DV48" s="2846">
        <f>IF(DV50=0,0,(DV49*DV50+DV51*DV52*6)/DV50)</f>
        <v>0</v>
      </c>
      <c r="DW48" s="2846">
        <f>IF(DW50=0,0,(DW49*DW50+DW51*DW52*6)/DW50)</f>
        <v>0</v>
      </c>
      <c r="DX48" s="1093">
        <f>IF(DV48=0,0,(DW48-DV48)/DV48*100)</f>
        <v>0</v>
      </c>
      <c r="DY48" s="2846">
        <f>IF(DY50=0,0,(DY49*DY50+DY51*DY52*6)/DY50)</f>
        <v>0</v>
      </c>
      <c r="DZ48" s="2846">
        <f>IF(DZ50=0,0,(DZ49*DZ50+DZ51*DZ52*6)/DZ50)</f>
        <v>0</v>
      </c>
      <c r="EA48" s="1093">
        <f>IF(DY48=0,0,(DZ48-DY48)/DY48*100)</f>
        <v>0</v>
      </c>
      <c r="EB48" s="2846">
        <f>IF(EB50=0,0,(EB49*EB50+EB51*EB52*6)/EB50)</f>
        <v>0</v>
      </c>
      <c r="EC48" s="2846">
        <f>IF(EC50=0,0,(EC49*EC50+EC51*EC52*6)/EC50)</f>
        <v>0</v>
      </c>
      <c r="ED48" s="1093">
        <f>IF(EB48=0,0,(EC48-EB48)/EB48*100)</f>
        <v>0</v>
      </c>
      <c r="EE48" s="2846">
        <f>IF(EE50=0,0,(EE49*EE50+EE51*EE52*6)/EE50)</f>
        <v>0</v>
      </c>
      <c r="EF48" s="2846">
        <f>IF(EF50=0,0,(EF49*EF50+EF51*EF52*6)/EF50)</f>
        <v>0</v>
      </c>
      <c r="EG48" s="1093">
        <f>IF(EE48=0,0,(EF48-EE48)/EE48*100)</f>
        <v>0</v>
      </c>
      <c r="EH48" s="2846">
        <f>IF(EH50=0,0,(EH49*EH50+EH51*EH52*6)/EH50)</f>
        <v>0</v>
      </c>
      <c r="EI48" s="2846">
        <f>IF(EI50=0,0,(EI49*EI50+EI51*EI52*6)/EI50)</f>
        <v>0</v>
      </c>
      <c r="EJ48" s="1093">
        <f>IF(EH48=0,0,(EI48-EH48)/EH48*100)</f>
        <v>0</v>
      </c>
      <c r="EK48" s="2846">
        <f>IF(EK50=0,0,(EK49*EK50+EK51*EK52*6)/EK50)</f>
        <v>0</v>
      </c>
      <c r="EL48" s="2846">
        <f>IF(EL50=0,0,(EL49*EL50+EL51*EL52*6)/EL50)</f>
        <v>0</v>
      </c>
      <c r="EM48" s="1093">
        <f>IF(EK48=0,0,(EL48-EK48)/EK48*100)</f>
        <v>0</v>
      </c>
      <c r="EN48" s="2846">
        <f>IF(EN50=0,0,(EN49*EN50+EN51*EN52*6)/EN50)</f>
        <v>0</v>
      </c>
      <c r="EO48" s="2846">
        <f>IF(EO50=0,0,(EO49*EO50+EO51*EO52*6)/EO50)</f>
        <v>0</v>
      </c>
      <c r="EP48" s="1093">
        <f>IF(EN48=0,0,(EO48-EN48)/EN48*100)</f>
        <v>0</v>
      </c>
      <c r="EQ48" s="2846">
        <f>IF(EQ50=0,0,(EQ49*EQ50+EQ51*EQ52*6)/EQ50)</f>
        <v>0</v>
      </c>
      <c r="ER48" s="2846">
        <f>IF(ER50=0,0,(ER49*ER50+ER51*ER52*6)/ER50)</f>
        <v>0</v>
      </c>
      <c r="ES48" s="1093">
        <f>IF(EQ48=0,0,(ER48-EQ48)/EQ48*100)</f>
        <v>0</v>
      </c>
      <c r="ET48" s="2846">
        <f>IF(ET50=0,0,(ET49*ET50+ET51*ET52*6)/ET50)</f>
        <v>0</v>
      </c>
      <c r="EU48" s="2846">
        <f>IF(EU50=0,0,(EU49*EU50+EU51*EU52*6)/EU50)</f>
        <v>0</v>
      </c>
      <c r="EV48" s="1093">
        <f>IF(ET48=0,0,(EU48-ET48)/ET48*100)</f>
        <v>0</v>
      </c>
      <c r="EW48" s="2846">
        <f>IF(EW50=0,0,(EW49*EW50+EW51*EW52*6)/EW50)</f>
        <v>0</v>
      </c>
      <c r="EX48" s="2846">
        <f>IF(EX50=0,0,(EX49*EX50+EX51*EX52*6)/EX50)</f>
        <v>0</v>
      </c>
      <c r="EY48" s="1093">
        <f>IF(EW48=0,0,(EX48-EW48)/EW48*100)</f>
        <v>0</v>
      </c>
      <c r="EZ48" s="2846">
        <f>IF(EZ50=0,0,(EZ49*EZ50+EZ51*EZ52*6)/EZ50)</f>
        <v>0</v>
      </c>
      <c r="FA48" s="2846">
        <f>IF(FA50=0,0,(FA49*FA50+FA51*FA52*6)/FA50)</f>
        <v>0</v>
      </c>
      <c r="FB48" s="1093">
        <f>IF(EZ48=0,0,(FA48-EZ48)/EZ48*100)</f>
        <v>0</v>
      </c>
      <c r="FC48" s="2846">
        <f>IF(FC50=0,0,(FC49*FC50+FC51*FC52*6)/FC50)</f>
        <v>0</v>
      </c>
      <c r="FD48" s="2846">
        <f>IF(FD50=0,0,(FD49*FD50+FD51*FD52*6)/FD50)</f>
        <v>0</v>
      </c>
      <c r="FE48" s="1093">
        <f>IF(FC48=0,0,(FD48-FC48)/FC48*100)</f>
        <v>0</v>
      </c>
      <c r="FF48" s="2846">
        <f>IF(FF50=0,0,(FF49*FF50+FF51*FF52*6)/FF50)</f>
        <v>0</v>
      </c>
      <c r="FG48" s="2846">
        <f>IF(FG50=0,0,(FG49*FG50+FG51*FG52*6)/FG50)</f>
        <v>0</v>
      </c>
      <c r="FH48" s="1093">
        <f>IF(FF48=0,0,(FG48-FF48)/FF48*100)</f>
        <v>0</v>
      </c>
      <c r="FI48" s="2846">
        <f>IF(FI50=0,0,(FI49*FI50+FI51*FI52*6)/FI50)</f>
        <v>0</v>
      </c>
      <c r="FJ48" s="2846">
        <f>IF(FJ50=0,0,(FJ49*FJ50+FJ51*FJ52*6)/FJ50)</f>
        <v>0</v>
      </c>
      <c r="FK48" s="1093">
        <f>IF(FI48=0,0,(FJ48-FI48)/FI48*100)</f>
        <v>0</v>
      </c>
      <c r="FL48" s="2846">
        <f>IF(FL50=0,0,(FL49*FL50+FL51*FL52*6)/FL50)</f>
        <v>0</v>
      </c>
      <c r="FM48" s="2846">
        <f>IF(FM50=0,0,(FM49*FM50+FM51*FM52*6)/FM50)</f>
        <v>0</v>
      </c>
      <c r="FN48" s="1093">
        <f>IF(FL48=0,0,(FM48-FL48)/FL48*100)</f>
        <v>0</v>
      </c>
      <c r="FO48" s="2846">
        <f>IF(FO50=0,0,(FO49*FO50+FO51*FO52*6)/FO50)</f>
        <v>0</v>
      </c>
      <c r="FP48" s="2846">
        <f>IF(FP50=0,0,(FP49*FP50+FP51*FP52*6)/FP50)</f>
        <v>0</v>
      </c>
      <c r="FQ48" s="1093">
        <f>IF(FO48=0,0,(FP48-FO48)/FO48*100)</f>
        <v>0</v>
      </c>
      <c r="FR48" s="2846">
        <f>IF(FR50=0,0,(FR49*FR50+FR51*FR52*6)/FR50)</f>
        <v>0</v>
      </c>
      <c r="FS48" s="2846">
        <f>IF(FS50=0,0,(FS49*FS50+FS51*FS52*6)/FS50)</f>
        <v>0</v>
      </c>
      <c r="FT48" s="1093">
        <f>IF(FR48=0,0,(FS48-FR48)/FR48*100)</f>
        <v>0</v>
      </c>
      <c r="FU48" s="2846">
        <f>IF(FU50=0,0,(FU49*FU50+FU51*FU52*6)/FU50)</f>
        <v>0</v>
      </c>
      <c r="FV48" s="2846">
        <f>IF(FV50=0,0,(FV49*FV50+FV51*FV52*6)/FV50)</f>
        <v>0</v>
      </c>
      <c r="FW48" s="1093">
        <f>IF(FU48=0,0,(FV48-FU48)/FU48*100)</f>
        <v>0</v>
      </c>
      <c r="FX48" s="1304"/>
      <c r="FY48" s="1304"/>
      <c r="FZ48" s="1055" t="s">
        <v>2371</v>
      </c>
      <c r="GA48" s="1306"/>
      <c r="GB48" s="1306"/>
      <c r="GC48" s="1305"/>
      <c r="GD48" s="1305"/>
    </row>
    <row customHeight="1" ht="14.625" hidden="1">
      <c r="A49" s="493"/>
      <c r="B49" s="925" cm="1" t="str">
        <f t="array" ref="B49:B49">B48</f>
        <v>false</v>
      </c>
      <c r="C49" s="493"/>
      <c r="D49" s="493"/>
      <c r="E49" s="840">
        <v>15</v>
      </c>
      <c r="F49" s="50" cm="1" t="str">
        <f t="array" ref="F49:F49">OFFSET(E49,-1,1)</f>
        <v>0</v>
      </c>
      <c r="G49" s="493"/>
      <c r="H49" s="493" t="s">
        <v>2299</v>
      </c>
      <c r="I49" s="493" t="s">
        <v>2335</v>
      </c>
      <c r="J49" s="493"/>
      <c r="K49" s="493"/>
      <c r="L49" s="493"/>
      <c r="M49" s="493"/>
      <c r="N49" s="493"/>
      <c r="O49" s="493"/>
      <c r="P49" s="493"/>
      <c r="Q49" s="493"/>
      <c r="R49" s="493"/>
      <c r="S49" s="493"/>
      <c r="T49" s="465" cm="1" t="str">
        <f t="array" ref="T49:T49">T48</f>
        <v>false</v>
      </c>
      <c r="U49" s="493"/>
      <c r="V49" s="493"/>
      <c r="W49" s="493"/>
      <c r="X49" s="1596"/>
      <c r="Y49" s="493"/>
      <c r="Z49" s="1545"/>
      <c r="AA49" s="493"/>
      <c r="AB49" s="904" t="str">
        <f>"ставка платы за "&amp;IF(Q29="Водоснабжение","потребление 1 куб.м холодной воды","объем принятых сточных вод")</f>
        <v>ставка платы за объем принятых сточных вод</v>
      </c>
      <c r="AC49" s="864" t="s">
        <v>2337</v>
      </c>
      <c r="AD49" s="2846"/>
      <c r="AE49" s="2846"/>
      <c r="AF49" s="1093">
        <f>IF(AD49=0,0,(AE49-AD49)/AD49*100)</f>
        <v>0</v>
      </c>
      <c r="AG49" s="2846"/>
      <c r="AH49" s="2846"/>
      <c r="AI49" s="1093">
        <f>IF(AG49=0,0,(AH49-AG49)/AG49*100)</f>
        <v>0</v>
      </c>
      <c r="AJ49" s="2846"/>
      <c r="AK49" s="2846"/>
      <c r="AL49" s="1093">
        <f>IF(AJ49=0,0,(AK49-AJ49)/AJ49*100)</f>
        <v>0</v>
      </c>
      <c r="AM49" s="2846"/>
      <c r="AN49" s="2846"/>
      <c r="AO49" s="1093">
        <f>IF(AM49=0,0,(AN49-AM49)/AM49*100)</f>
        <v>0</v>
      </c>
      <c r="AP49" s="2846"/>
      <c r="AQ49" s="2846"/>
      <c r="AR49" s="1093">
        <f>IF(AP49=0,0,(AQ49-AP49)/AP49*100)</f>
        <v>0</v>
      </c>
      <c r="AS49" s="2846"/>
      <c r="AT49" s="2846"/>
      <c r="AU49" s="1093">
        <f>IF(AS49=0,0,(AT49-AS49)/AS49*100)</f>
        <v>0</v>
      </c>
      <c r="AV49" s="2846"/>
      <c r="AW49" s="2846"/>
      <c r="AX49" s="1093">
        <f>IF(AV49=0,0,(AW49-AV49)/AV49*100)</f>
        <v>0</v>
      </c>
      <c r="AY49" s="2846"/>
      <c r="AZ49" s="2846"/>
      <c r="BA49" s="1093">
        <f>IF(AY49=0,0,(AZ49-AY49)/AY49*100)</f>
        <v>0</v>
      </c>
      <c r="BB49" s="2846"/>
      <c r="BC49" s="2846"/>
      <c r="BD49" s="1093">
        <f>IF(BB49=0,0,(BC49-BB49)/BB49*100)</f>
        <v>0</v>
      </c>
      <c r="BE49" s="2846"/>
      <c r="BF49" s="2846"/>
      <c r="BG49" s="1093">
        <f>IF(BE49=0,0,(BF49-BE49)/BE49*100)</f>
        <v>0</v>
      </c>
      <c r="BH49" s="2846"/>
      <c r="BI49" s="2846"/>
      <c r="BJ49" s="1093">
        <f>IF(BH49=0,0,(BI49-BH49)/BH49*100)</f>
        <v>0</v>
      </c>
      <c r="BK49" s="2846"/>
      <c r="BL49" s="2846"/>
      <c r="BM49" s="1093">
        <f>IF(BK49=0,0,(BL49-BK49)/BK49*100)</f>
        <v>0</v>
      </c>
      <c r="BN49" s="2846"/>
      <c r="BO49" s="2846"/>
      <c r="BP49" s="1093">
        <f>IF(BN49=0,0,(BO49-BN49)/BN49*100)</f>
        <v>0</v>
      </c>
      <c r="BQ49" s="2846"/>
      <c r="BR49" s="2846"/>
      <c r="BS49" s="1093">
        <f>IF(BQ49=0,0,(BR49-BQ49)/BQ49*100)</f>
        <v>0</v>
      </c>
      <c r="BT49" s="2846"/>
      <c r="BU49" s="2846"/>
      <c r="BV49" s="1093">
        <f>IF(BT49=0,0,(BU49-BT49)/BT49*100)</f>
        <v>0</v>
      </c>
      <c r="BW49" s="2846"/>
      <c r="BX49" s="2846"/>
      <c r="BY49" s="1093">
        <f>IF(BW49=0,0,(BX49-BW49)/BW49*100)</f>
        <v>0</v>
      </c>
      <c r="BZ49" s="2846"/>
      <c r="CA49" s="2846"/>
      <c r="CB49" s="1093">
        <f>IF(BZ49=0,0,(CA49-BZ49)/BZ49*100)</f>
        <v>0</v>
      </c>
      <c r="CC49" s="2846"/>
      <c r="CD49" s="2846"/>
      <c r="CE49" s="1093">
        <f>IF(CC49=0,0,(CD49-CC49)/CC49*100)</f>
        <v>0</v>
      </c>
      <c r="CF49" s="2846"/>
      <c r="CG49" s="2846"/>
      <c r="CH49" s="1093">
        <f>IF(CF49=0,0,(CG49-CF49)/CF49*100)</f>
        <v>0</v>
      </c>
      <c r="CI49" s="2846"/>
      <c r="CJ49" s="2846"/>
      <c r="CK49" s="1093">
        <f>IF(CI49=0,0,(CJ49-CI49)/CI49*100)</f>
        <v>0</v>
      </c>
      <c r="CL49" s="2846"/>
      <c r="CM49" s="2846"/>
      <c r="CN49" s="1093">
        <f>IF(CL49=0,0,(CM49-CL49)/CL49*100)</f>
        <v>0</v>
      </c>
      <c r="CO49" s="2846"/>
      <c r="CP49" s="2846"/>
      <c r="CQ49" s="1093">
        <f>IF(CO49=0,0,(CP49-CO49)/CO49*100)</f>
        <v>0</v>
      </c>
      <c r="CR49" s="2846"/>
      <c r="CS49" s="2846"/>
      <c r="CT49" s="1093">
        <f>IF(CR49=0,0,(CS49-CR49)/CR49*100)</f>
        <v>0</v>
      </c>
      <c r="CU49" s="2846"/>
      <c r="CV49" s="2846"/>
      <c r="CW49" s="1093">
        <f>IF(CU49=0,0,(CV49-CU49)/CU49*100)</f>
        <v>0</v>
      </c>
      <c r="CX49" s="2846"/>
      <c r="CY49" s="2846"/>
      <c r="CZ49" s="1093">
        <f>IF(CX49=0,0,(CY49-CX49)/CX49*100)</f>
        <v>0</v>
      </c>
      <c r="DA49" s="2846"/>
      <c r="DB49" s="2846"/>
      <c r="DC49" s="1093">
        <f>IF(DA49=0,0,(DB49-DA49)/DA49*100)</f>
        <v>0</v>
      </c>
      <c r="DD49" s="2846"/>
      <c r="DE49" s="2846"/>
      <c r="DF49" s="1093">
        <f>IF(DD49=0,0,(DE49-DD49)/DD49*100)</f>
        <v>0</v>
      </c>
      <c r="DG49" s="2846"/>
      <c r="DH49" s="2846"/>
      <c r="DI49" s="1093">
        <f>IF(DG49=0,0,(DH49-DG49)/DG49*100)</f>
        <v>0</v>
      </c>
      <c r="DJ49" s="2846"/>
      <c r="DK49" s="2846"/>
      <c r="DL49" s="1093">
        <f>IF(DJ49=0,0,(DK49-DJ49)/DJ49*100)</f>
        <v>0</v>
      </c>
      <c r="DM49" s="2846"/>
      <c r="DN49" s="2846"/>
      <c r="DO49" s="1093">
        <f>IF(DM49=0,0,(DN49-DM49)/DM49*100)</f>
        <v>0</v>
      </c>
      <c r="DP49" s="2846"/>
      <c r="DQ49" s="2846"/>
      <c r="DR49" s="1093">
        <f>IF(DP49=0,0,(DQ49-DP49)/DP49*100)</f>
        <v>0</v>
      </c>
      <c r="DS49" s="2846"/>
      <c r="DT49" s="2846"/>
      <c r="DU49" s="1093">
        <f>IF(DS49=0,0,(DT49-DS49)/DS49*100)</f>
        <v>0</v>
      </c>
      <c r="DV49" s="2846"/>
      <c r="DW49" s="2846"/>
      <c r="DX49" s="1093">
        <f>IF(DV49=0,0,(DW49-DV49)/DV49*100)</f>
        <v>0</v>
      </c>
      <c r="DY49" s="2846"/>
      <c r="DZ49" s="2846"/>
      <c r="EA49" s="1093">
        <f>IF(DY49=0,0,(DZ49-DY49)/DY49*100)</f>
        <v>0</v>
      </c>
      <c r="EB49" s="2846"/>
      <c r="EC49" s="2846"/>
      <c r="ED49" s="1093">
        <f>IF(EB49=0,0,(EC49-EB49)/EB49*100)</f>
        <v>0</v>
      </c>
      <c r="EE49" s="2846"/>
      <c r="EF49" s="2846"/>
      <c r="EG49" s="1093">
        <f>IF(EE49=0,0,(EF49-EE49)/EE49*100)</f>
        <v>0</v>
      </c>
      <c r="EH49" s="2846"/>
      <c r="EI49" s="2846"/>
      <c r="EJ49" s="1093">
        <f>IF(EH49=0,0,(EI49-EH49)/EH49*100)</f>
        <v>0</v>
      </c>
      <c r="EK49" s="2846"/>
      <c r="EL49" s="2846"/>
      <c r="EM49" s="1093">
        <f>IF(EK49=0,0,(EL49-EK49)/EK49*100)</f>
        <v>0</v>
      </c>
      <c r="EN49" s="2846"/>
      <c r="EO49" s="2846"/>
      <c r="EP49" s="1093">
        <f>IF(EN49=0,0,(EO49-EN49)/EN49*100)</f>
        <v>0</v>
      </c>
      <c r="EQ49" s="2846"/>
      <c r="ER49" s="2846"/>
      <c r="ES49" s="1093">
        <f>IF(EQ49=0,0,(ER49-EQ49)/EQ49*100)</f>
        <v>0</v>
      </c>
      <c r="ET49" s="2846"/>
      <c r="EU49" s="2846"/>
      <c r="EV49" s="1093">
        <f>IF(ET49=0,0,(EU49-ET49)/ET49*100)</f>
        <v>0</v>
      </c>
      <c r="EW49" s="2846"/>
      <c r="EX49" s="2846"/>
      <c r="EY49" s="1093">
        <f>IF(EW49=0,0,(EX49-EW49)/EW49*100)</f>
        <v>0</v>
      </c>
      <c r="EZ49" s="2846"/>
      <c r="FA49" s="2846"/>
      <c r="FB49" s="1093">
        <f>IF(EZ49=0,0,(FA49-EZ49)/EZ49*100)</f>
        <v>0</v>
      </c>
      <c r="FC49" s="2846"/>
      <c r="FD49" s="2846"/>
      <c r="FE49" s="1093">
        <f>IF(FC49=0,0,(FD49-FC49)/FC49*100)</f>
        <v>0</v>
      </c>
      <c r="FF49" s="2846"/>
      <c r="FG49" s="2846"/>
      <c r="FH49" s="1093">
        <f>IF(FF49=0,0,(FG49-FF49)/FF49*100)</f>
        <v>0</v>
      </c>
      <c r="FI49" s="2846"/>
      <c r="FJ49" s="2846"/>
      <c r="FK49" s="1093">
        <f>IF(FI49=0,0,(FJ49-FI49)/FI49*100)</f>
        <v>0</v>
      </c>
      <c r="FL49" s="2846"/>
      <c r="FM49" s="2846"/>
      <c r="FN49" s="1093">
        <f>IF(FL49=0,0,(FM49-FL49)/FL49*100)</f>
        <v>0</v>
      </c>
      <c r="FO49" s="2846"/>
      <c r="FP49" s="2846"/>
      <c r="FQ49" s="1093">
        <f>IF(FO49=0,0,(FP49-FO49)/FO49*100)</f>
        <v>0</v>
      </c>
      <c r="FR49" s="2846"/>
      <c r="FS49" s="2846"/>
      <c r="FT49" s="1093">
        <f>IF(FR49=0,0,(FS49-FR49)/FR49*100)</f>
        <v>0</v>
      </c>
      <c r="FU49" s="2846"/>
      <c r="FV49" s="2846"/>
      <c r="FW49" s="1093">
        <f>IF(FU49=0,0,(FV49-FU49)/FU49*100)</f>
        <v>0</v>
      </c>
      <c r="FX49" s="1304"/>
      <c r="FY49" s="1304"/>
      <c r="FZ49" s="1055" t="s">
        <v>2372</v>
      </c>
      <c r="GA49" s="1306"/>
      <c r="GB49" s="1306"/>
      <c r="GC49" s="1305"/>
      <c r="GD49" s="1305"/>
    </row>
    <row customHeight="1" ht="14.625" hidden="1">
      <c r="A50" s="493"/>
      <c r="B50" s="925" cm="1" t="str">
        <f t="array" ref="B50:B50">B49</f>
        <v>false</v>
      </c>
      <c r="C50" s="493"/>
      <c r="D50" s="493"/>
      <c r="E50" s="840">
        <v>15</v>
      </c>
      <c r="F50" s="50" cm="1" t="str">
        <f t="array" ref="F50:F50">OFFSET(E50,-1,1)</f>
        <v>0</v>
      </c>
      <c r="G50" s="107" t="s">
        <v>2373</v>
      </c>
      <c r="H50" s="493" t="s">
        <v>2374</v>
      </c>
      <c r="I50" s="493" t="s">
        <v>2335</v>
      </c>
      <c r="J50" s="493"/>
      <c r="K50" s="493"/>
      <c r="L50" s="493"/>
      <c r="M50" s="493"/>
      <c r="N50" s="493"/>
      <c r="O50" s="493"/>
      <c r="P50" s="493"/>
      <c r="Q50" s="493"/>
      <c r="R50" s="493"/>
      <c r="S50" s="493"/>
      <c r="T50" s="465" cm="1" t="str">
        <f t="array" ref="T50:T50">T49</f>
        <v>false</v>
      </c>
      <c r="U50" s="493"/>
      <c r="V50" s="493"/>
      <c r="W50" s="493"/>
      <c r="X50" s="1596"/>
      <c r="Y50" s="493"/>
      <c r="Z50" s="1545"/>
      <c r="AA50" s="493"/>
      <c r="AB50" s="904" t="str">
        <f>"объём "&amp;IF(Q29="Водоснабжение","потребления холодной воды","водоотведения")</f>
        <v>объём водоотведения</v>
      </c>
      <c r="AC50" s="864" t="s">
        <v>1247</v>
      </c>
      <c r="AD50" s="5247">
        <f>IF(AND(method_reg="Метод индексации",god&lt;&gt;first_year),_xlfn.SUMIFS(INDEX('Калькуляция (МИ корр)'!$AJ$25:$BC$747,,MATCH(AD$8,'Калькуляция (МИ корр)'!$AJ$8:$BC$8,0)),'Калькуляция (МИ корр)'!$F$25:$F$747,$F50,'Калькуляция (МИ корр)'!$G$25:$G$747,$G50),IF(method_reg="Метод экономически обоснованных расходов",_xlfn.SUMIFS('Калькуляция (МЭОР)'!$AJ$25:$AJ$452,'Калькуляция (МЭОР)'!$F$25:$F$452,$F50,'Калькуляция (МЭОР)'!$G$25:$G$452,$G50),IF(method_reg="Метод сравнения аналогов",_xlfn.SUMIFS('Калькуляция (МСА)'!$AE$25:$AE$122,'Калькуляция (МСА)'!$F$25:$F$122,$F50,'Калькуляция (МСА)'!$G$25:$G$122,$G50),_xlfn.SUMIFS(INDEX('Калькуляция (МИ)'!$AJ$25:$BC$747,,MATCH(AD$8,'Калькуляция (МИ)'!$AJ$8:$BC$8,0)),'Калькуляция (МИ)'!$F$25:$F$747,$F50,'Калькуляция (МИ)'!$G$25:$G$747,$G50))))</f>
        <v>0</v>
      </c>
      <c r="AE50" s="5247">
        <f>IF(AND(method_reg="Метод индексации",god&lt;&gt;first_year),_xlfn.SUMIFS(INDEX('Калькуляция (МИ корр)'!$AJ$25:$BC$747,,MATCH(AE$8,'Калькуляция (МИ корр)'!$AJ$8:$BC$8,0)),'Калькуляция (МИ корр)'!$F$25:$F$747,$F50,'Калькуляция (МИ корр)'!$G$25:$G$747,$G50),IF(method_reg="Метод экономически обоснованных расходов",_xlfn.SUMIFS('Калькуляция (МЭОР)'!$AK$25:$AK$452,'Калькуляция (МЭОР)'!$F$25:$F$452,$F50,'Калькуляция (МЭОР)'!$G$25:$G$452,$G50),IF(method_reg="Метод сравнения аналогов",_xlfn.SUMIFS('Калькуляция (МСА)'!$AF$25:$AF$122,'Калькуляция (МСА)'!$F$25:$F$122,$F50,'Калькуляция (МСА)'!$G$25:$G$122,$G50),_xlfn.SUMIFS(INDEX('Калькуляция (МИ)'!$AJ$25:$BC$747,,MATCH(AE$8,'Калькуляция (МИ)'!$AJ$8:$BC$8,0)),'Калькуляция (МИ)'!$F$25:$F$747,$F50,'Калькуляция (МИ)'!$G$25:$G$747,$G50))))</f>
        <v>0</v>
      </c>
      <c r="AF50" s="1095">
        <f>IF(AD50=0,0,(AE50-AD50)/AD50*100)</f>
        <v>0</v>
      </c>
      <c r="AG50" s="5247">
        <f>IF(AND(method_reg="Метод индексации",god&lt;&gt;first_year),_xlfn.SUMIFS(INDEX('Калькуляция (МИ корр)'!$AJ$25:$BC$747,,MATCH(AG$8,'Калькуляция (МИ корр)'!$AJ$8:$BC$8,0)),'Калькуляция (МИ корр)'!$F$25:$F$747,$F50,'Калькуляция (МИ корр)'!$G$25:$G$747,$G50),IF(method_reg="Метод экономически обоснованных расходов",_xlfn.SUMIFS('Калькуляция (МЭОР)'!$AJ$25:$AJ$452,'Калькуляция (МЭОР)'!$F$25:$F$452,$F50,'Калькуляция (МЭОР)'!$G$25:$G$452,$G50),IF(method_reg="Метод сравнения аналогов",_xlfn.SUMIFS('Калькуляция (МСА)'!$AE$25:$AE$122,'Калькуляция (МСА)'!$F$25:$F$122,$F50,'Калькуляция (МСА)'!$G$25:$G$122,$G50),_xlfn.SUMIFS(INDEX('Калькуляция (МИ)'!$AJ$25:$BC$747,,MATCH(AG$8,'Калькуляция (МИ)'!$AJ$8:$BC$8,0)),'Калькуляция (МИ)'!$F$25:$F$747,$F50,'Калькуляция (МИ)'!$G$25:$G$747,$G50))))</f>
        <v>0</v>
      </c>
      <c r="AH50" s="5247">
        <f>IF(AND(method_reg="Метод индексации",god&lt;&gt;first_year),_xlfn.SUMIFS(INDEX('Калькуляция (МИ корр)'!$AJ$25:$BC$747,,MATCH(AH$8,'Калькуляция (МИ корр)'!$AJ$8:$BC$8,0)),'Калькуляция (МИ корр)'!$F$25:$F$747,$F50,'Калькуляция (МИ корр)'!$G$25:$G$747,$G50),IF(method_reg="Метод экономически обоснованных расходов",_xlfn.SUMIFS('Калькуляция (МЭОР)'!$AK$25:$AK$452,'Калькуляция (МЭОР)'!$F$25:$F$452,$F50,'Калькуляция (МЭОР)'!$G$25:$G$452,$G50),IF(method_reg="Метод сравнения аналогов",_xlfn.SUMIFS('Калькуляция (МСА)'!$AF$25:$AF$122,'Калькуляция (МСА)'!$F$25:$F$122,$F50,'Калькуляция (МСА)'!$G$25:$G$122,$G50),_xlfn.SUMIFS(INDEX('Калькуляция (МИ)'!$AJ$25:$BC$747,,MATCH(AH$8,'Калькуляция (МИ)'!$AJ$8:$BC$8,0)),'Калькуляция (МИ)'!$F$25:$F$747,$F50,'Калькуляция (МИ)'!$G$25:$G$747,$G50))))</f>
        <v>0</v>
      </c>
      <c r="AI50" s="1095">
        <f>IF(AG50=0,0,(AH50-AG50)/AG50*100)</f>
        <v>0</v>
      </c>
      <c r="AJ50" s="5247">
        <f>IF(AND(method_reg="Метод индексации",god&lt;&gt;first_year),_xlfn.SUMIFS(INDEX('Калькуляция (МИ корр)'!$AJ$25:$BC$747,,MATCH(AJ$8,'Калькуляция (МИ корр)'!$AJ$8:$BC$8,0)),'Калькуляция (МИ корр)'!$F$25:$F$747,$F50,'Калькуляция (МИ корр)'!$G$25:$G$747,$G50),IF(method_reg="Метод экономически обоснованных расходов",_xlfn.SUMIFS('Калькуляция (МЭОР)'!$AJ$25:$AJ$452,'Калькуляция (МЭОР)'!$F$25:$F$452,$F50,'Калькуляция (МЭОР)'!$G$25:$G$452,$G50),IF(method_reg="Метод сравнения аналогов",_xlfn.SUMIFS('Калькуляция (МСА)'!$AE$25:$AE$122,'Калькуляция (МСА)'!$F$25:$F$122,$F50,'Калькуляция (МСА)'!$G$25:$G$122,$G50),_xlfn.SUMIFS(INDEX('Калькуляция (МИ)'!$AJ$25:$BC$747,,MATCH(AJ$8,'Калькуляция (МИ)'!$AJ$8:$BC$8,0)),'Калькуляция (МИ)'!$F$25:$F$747,$F50,'Калькуляция (МИ)'!$G$25:$G$747,$G50))))</f>
        <v>0</v>
      </c>
      <c r="AK50" s="5247">
        <f>IF(AND(method_reg="Метод индексации",god&lt;&gt;first_year),_xlfn.SUMIFS(INDEX('Калькуляция (МИ корр)'!$AJ$25:$BC$747,,MATCH(AK$8,'Калькуляция (МИ корр)'!$AJ$8:$BC$8,0)),'Калькуляция (МИ корр)'!$F$25:$F$747,$F50,'Калькуляция (МИ корр)'!$G$25:$G$747,$G50),IF(method_reg="Метод экономически обоснованных расходов",_xlfn.SUMIFS('Калькуляция (МЭОР)'!$AK$25:$AK$452,'Калькуляция (МЭОР)'!$F$25:$F$452,$F50,'Калькуляция (МЭОР)'!$G$25:$G$452,$G50),IF(method_reg="Метод сравнения аналогов",_xlfn.SUMIFS('Калькуляция (МСА)'!$AF$25:$AF$122,'Калькуляция (МСА)'!$F$25:$F$122,$F50,'Калькуляция (МСА)'!$G$25:$G$122,$G50),_xlfn.SUMIFS(INDEX('Калькуляция (МИ)'!$AJ$25:$BC$747,,MATCH(AK$8,'Калькуляция (МИ)'!$AJ$8:$BC$8,0)),'Калькуляция (МИ)'!$F$25:$F$747,$F50,'Калькуляция (МИ)'!$G$25:$G$747,$G50))))</f>
        <v>0</v>
      </c>
      <c r="AL50" s="1095">
        <f>IF(AJ50=0,0,(AK50-AJ50)/AJ50*100)</f>
        <v>0</v>
      </c>
      <c r="AM50" s="5247">
        <f>IF(AND(method_reg="Метод индексации",god&lt;&gt;first_year),_xlfn.SUMIFS(INDEX('Калькуляция (МИ корр)'!$AJ$25:$BC$747,,MATCH(AM$8,'Калькуляция (МИ корр)'!$AJ$8:$BC$8,0)),'Калькуляция (МИ корр)'!$F$25:$F$747,$F50,'Калькуляция (МИ корр)'!$G$25:$G$747,$G50),IF(method_reg="Метод экономически обоснованных расходов",_xlfn.SUMIFS('Калькуляция (МЭОР)'!$AJ$25:$AJ$452,'Калькуляция (МЭОР)'!$F$25:$F$452,$F50,'Калькуляция (МЭОР)'!$G$25:$G$452,$G50),IF(method_reg="Метод сравнения аналогов",_xlfn.SUMIFS('Калькуляция (МСА)'!$AE$25:$AE$122,'Калькуляция (МСА)'!$F$25:$F$122,$F50,'Калькуляция (МСА)'!$G$25:$G$122,$G50),_xlfn.SUMIFS(INDEX('Калькуляция (МИ)'!$AJ$25:$BC$747,,MATCH(AM$8,'Калькуляция (МИ)'!$AJ$8:$BC$8,0)),'Калькуляция (МИ)'!$F$25:$F$747,$F50,'Калькуляция (МИ)'!$G$25:$G$747,$G50))))</f>
        <v>0</v>
      </c>
      <c r="AN50" s="5247">
        <f>IF(AND(method_reg="Метод индексации",god&lt;&gt;first_year),_xlfn.SUMIFS(INDEX('Калькуляция (МИ корр)'!$AJ$25:$BC$747,,MATCH(AN$8,'Калькуляция (МИ корр)'!$AJ$8:$BC$8,0)),'Калькуляция (МИ корр)'!$F$25:$F$747,$F50,'Калькуляция (МИ корр)'!$G$25:$G$747,$G50),IF(method_reg="Метод экономически обоснованных расходов",_xlfn.SUMIFS('Калькуляция (МЭОР)'!$AK$25:$AK$452,'Калькуляция (МЭОР)'!$F$25:$F$452,$F50,'Калькуляция (МЭОР)'!$G$25:$G$452,$G50),IF(method_reg="Метод сравнения аналогов",_xlfn.SUMIFS('Калькуляция (МСА)'!$AF$25:$AF$122,'Калькуляция (МСА)'!$F$25:$F$122,$F50,'Калькуляция (МСА)'!$G$25:$G$122,$G50),_xlfn.SUMIFS(INDEX('Калькуляция (МИ)'!$AJ$25:$BC$747,,MATCH(AN$8,'Калькуляция (МИ)'!$AJ$8:$BC$8,0)),'Калькуляция (МИ)'!$F$25:$F$747,$F50,'Калькуляция (МИ)'!$G$25:$G$747,$G50))))</f>
        <v>0</v>
      </c>
      <c r="AO50" s="1095">
        <f>IF(AM50=0,0,(AN50-AM50)/AM50*100)</f>
        <v>0</v>
      </c>
      <c r="AP50" s="5247">
        <f>IF(AND(method_reg="Метод индексации",god&lt;&gt;first_year),_xlfn.SUMIFS(INDEX('Калькуляция (МИ корр)'!$AJ$25:$BC$747,,MATCH(AP$8,'Калькуляция (МИ корр)'!$AJ$8:$BC$8,0)),'Калькуляция (МИ корр)'!$F$25:$F$747,$F50,'Калькуляция (МИ корр)'!$G$25:$G$747,$G50),IF(method_reg="Метод экономически обоснованных расходов",_xlfn.SUMIFS('Калькуляция (МЭОР)'!$AJ$25:$AJ$452,'Калькуляция (МЭОР)'!$F$25:$F$452,$F50,'Калькуляция (МЭОР)'!$G$25:$G$452,$G50),IF(method_reg="Метод сравнения аналогов",_xlfn.SUMIFS('Калькуляция (МСА)'!$AE$25:$AE$122,'Калькуляция (МСА)'!$F$25:$F$122,$F50,'Калькуляция (МСА)'!$G$25:$G$122,$G50),_xlfn.SUMIFS(INDEX('Калькуляция (МИ)'!$AJ$25:$BC$747,,MATCH(AP$8,'Калькуляция (МИ)'!$AJ$8:$BC$8,0)),'Калькуляция (МИ)'!$F$25:$F$747,$F50,'Калькуляция (МИ)'!$G$25:$G$747,$G50))))</f>
        <v>0</v>
      </c>
      <c r="AQ50" s="5247">
        <f>IF(AND(method_reg="Метод индексации",god&lt;&gt;first_year),_xlfn.SUMIFS(INDEX('Калькуляция (МИ корр)'!$AJ$25:$BC$747,,MATCH(AQ$8,'Калькуляция (МИ корр)'!$AJ$8:$BC$8,0)),'Калькуляция (МИ корр)'!$F$25:$F$747,$F50,'Калькуляция (МИ корр)'!$G$25:$G$747,$G50),IF(method_reg="Метод экономически обоснованных расходов",_xlfn.SUMIFS('Калькуляция (МЭОР)'!$AK$25:$AK$452,'Калькуляция (МЭОР)'!$F$25:$F$452,$F50,'Калькуляция (МЭОР)'!$G$25:$G$452,$G50),IF(method_reg="Метод сравнения аналогов",_xlfn.SUMIFS('Калькуляция (МСА)'!$AF$25:$AF$122,'Калькуляция (МСА)'!$F$25:$F$122,$F50,'Калькуляция (МСА)'!$G$25:$G$122,$G50),_xlfn.SUMIFS(INDEX('Калькуляция (МИ)'!$AJ$25:$BC$747,,MATCH(AQ$8,'Калькуляция (МИ)'!$AJ$8:$BC$8,0)),'Калькуляция (МИ)'!$F$25:$F$747,$F50,'Калькуляция (МИ)'!$G$25:$G$747,$G50))))</f>
        <v>0</v>
      </c>
      <c r="AR50" s="1095">
        <f>IF(AP50=0,0,(AQ50-AP50)/AP50*100)</f>
        <v>0</v>
      </c>
      <c r="AS50" s="5247">
        <f>IF(AND(method_reg="Метод индексации",god&lt;&gt;first_year),_xlfn.SUMIFS(INDEX('Калькуляция (МИ корр)'!$AJ$25:$BC$747,,MATCH(AS$8,'Калькуляция (МИ корр)'!$AJ$8:$BC$8,0)),'Калькуляция (МИ корр)'!$F$25:$F$747,$F50,'Калькуляция (МИ корр)'!$G$25:$G$747,$G50),IF(method_reg="Метод экономически обоснованных расходов",_xlfn.SUMIFS('Калькуляция (МЭОР)'!$AJ$25:$AJ$452,'Калькуляция (МЭОР)'!$F$25:$F$452,$F50,'Калькуляция (МЭОР)'!$G$25:$G$452,$G50),IF(method_reg="Метод сравнения аналогов",_xlfn.SUMIFS('Калькуляция (МСА)'!$AE$25:$AE$122,'Калькуляция (МСА)'!$F$25:$F$122,$F50,'Калькуляция (МСА)'!$G$25:$G$122,$G50),_xlfn.SUMIFS(INDEX('Калькуляция (МИ)'!$AJ$25:$BC$747,,MATCH(AS$8,'Калькуляция (МИ)'!$AJ$8:$BC$8,0)),'Калькуляция (МИ)'!$F$25:$F$747,$F50,'Калькуляция (МИ)'!$G$25:$G$747,$G50))))</f>
        <v>0</v>
      </c>
      <c r="AT50" s="5247">
        <f>IF(AND(method_reg="Метод индексации",god&lt;&gt;first_year),_xlfn.SUMIFS(INDEX('Калькуляция (МИ корр)'!$AJ$25:$BC$747,,MATCH(AT$8,'Калькуляция (МИ корр)'!$AJ$8:$BC$8,0)),'Калькуляция (МИ корр)'!$F$25:$F$747,$F50,'Калькуляция (МИ корр)'!$G$25:$G$747,$G50),IF(method_reg="Метод экономически обоснованных расходов",_xlfn.SUMIFS('Калькуляция (МЭОР)'!$AK$25:$AK$452,'Калькуляция (МЭОР)'!$F$25:$F$452,$F50,'Калькуляция (МЭОР)'!$G$25:$G$452,$G50),IF(method_reg="Метод сравнения аналогов",_xlfn.SUMIFS('Калькуляция (МСА)'!$AF$25:$AF$122,'Калькуляция (МСА)'!$F$25:$F$122,$F50,'Калькуляция (МСА)'!$G$25:$G$122,$G50),_xlfn.SUMIFS(INDEX('Калькуляция (МИ)'!$AJ$25:$BC$747,,MATCH(AT$8,'Калькуляция (МИ)'!$AJ$8:$BC$8,0)),'Калькуляция (МИ)'!$F$25:$F$747,$F50,'Калькуляция (МИ)'!$G$25:$G$747,$G50))))</f>
        <v>0</v>
      </c>
      <c r="AU50" s="1095">
        <f>IF(AS50=0,0,(AT50-AS50)/AS50*100)</f>
        <v>0</v>
      </c>
      <c r="AV50" s="5247">
        <f>IF(AND(method_reg="Метод индексации",god&lt;&gt;first_year),_xlfn.SUMIFS(INDEX('Калькуляция (МИ корр)'!$AJ$25:$BC$747,,MATCH(AV$8,'Калькуляция (МИ корр)'!$AJ$8:$BC$8,0)),'Калькуляция (МИ корр)'!$F$25:$F$747,$F50,'Калькуляция (МИ корр)'!$G$25:$G$747,$G50),IF(method_reg="Метод экономически обоснованных расходов",_xlfn.SUMIFS('Калькуляция (МЭОР)'!$AJ$25:$AJ$452,'Калькуляция (МЭОР)'!$F$25:$F$452,$F50,'Калькуляция (МЭОР)'!$G$25:$G$452,$G50),IF(method_reg="Метод сравнения аналогов",_xlfn.SUMIFS('Калькуляция (МСА)'!$AE$25:$AE$122,'Калькуляция (МСА)'!$F$25:$F$122,$F50,'Калькуляция (МСА)'!$G$25:$G$122,$G50),_xlfn.SUMIFS(INDEX('Калькуляция (МИ)'!$AJ$25:$BC$747,,MATCH(AV$8,'Калькуляция (МИ)'!$AJ$8:$BC$8,0)),'Калькуляция (МИ)'!$F$25:$F$747,$F50,'Калькуляция (МИ)'!$G$25:$G$747,$G50))))</f>
        <v>0</v>
      </c>
      <c r="AW50" s="5247">
        <f>IF(AND(method_reg="Метод индексации",god&lt;&gt;first_year),_xlfn.SUMIFS(INDEX('Калькуляция (МИ корр)'!$AJ$25:$BC$747,,MATCH(AW$8,'Калькуляция (МИ корр)'!$AJ$8:$BC$8,0)),'Калькуляция (МИ корр)'!$F$25:$F$747,$F50,'Калькуляция (МИ корр)'!$G$25:$G$747,$G50),IF(method_reg="Метод экономически обоснованных расходов",_xlfn.SUMIFS('Калькуляция (МЭОР)'!$AK$25:$AK$452,'Калькуляция (МЭОР)'!$F$25:$F$452,$F50,'Калькуляция (МЭОР)'!$G$25:$G$452,$G50),IF(method_reg="Метод сравнения аналогов",_xlfn.SUMIFS('Калькуляция (МСА)'!$AF$25:$AF$122,'Калькуляция (МСА)'!$F$25:$F$122,$F50,'Калькуляция (МСА)'!$G$25:$G$122,$G50),_xlfn.SUMIFS(INDEX('Калькуляция (МИ)'!$AJ$25:$BC$747,,MATCH(AW$8,'Калькуляция (МИ)'!$AJ$8:$BC$8,0)),'Калькуляция (МИ)'!$F$25:$F$747,$F50,'Калькуляция (МИ)'!$G$25:$G$747,$G50))))</f>
        <v>0</v>
      </c>
      <c r="AX50" s="1095">
        <f>IF(AV50=0,0,(AW50-AV50)/AV50*100)</f>
        <v>0</v>
      </c>
      <c r="AY50" s="5247">
        <f>IF(AND(method_reg="Метод индексации",god&lt;&gt;first_year),_xlfn.SUMIFS(INDEX('Калькуляция (МИ корр)'!$AJ$25:$BC$747,,MATCH(AY$8,'Калькуляция (МИ корр)'!$AJ$8:$BC$8,0)),'Калькуляция (МИ корр)'!$F$25:$F$747,$F50,'Калькуляция (МИ корр)'!$G$25:$G$747,$G50),IF(method_reg="Метод экономически обоснованных расходов",_xlfn.SUMIFS('Калькуляция (МЭОР)'!$AJ$25:$AJ$452,'Калькуляция (МЭОР)'!$F$25:$F$452,$F50,'Калькуляция (МЭОР)'!$G$25:$G$452,$G50),IF(method_reg="Метод сравнения аналогов",_xlfn.SUMIFS('Калькуляция (МСА)'!$AE$25:$AE$122,'Калькуляция (МСА)'!$F$25:$F$122,$F50,'Калькуляция (МСА)'!$G$25:$G$122,$G50),_xlfn.SUMIFS(INDEX('Калькуляция (МИ)'!$AJ$25:$BC$747,,MATCH(AY$8,'Калькуляция (МИ)'!$AJ$8:$BC$8,0)),'Калькуляция (МИ)'!$F$25:$F$747,$F50,'Калькуляция (МИ)'!$G$25:$G$747,$G50))))</f>
        <v>0</v>
      </c>
      <c r="AZ50" s="5247">
        <f>IF(AND(method_reg="Метод индексации",god&lt;&gt;first_year),_xlfn.SUMIFS(INDEX('Калькуляция (МИ корр)'!$AJ$25:$BC$747,,MATCH(AZ$8,'Калькуляция (МИ корр)'!$AJ$8:$BC$8,0)),'Калькуляция (МИ корр)'!$F$25:$F$747,$F50,'Калькуляция (МИ корр)'!$G$25:$G$747,$G50),IF(method_reg="Метод экономически обоснованных расходов",_xlfn.SUMIFS('Калькуляция (МЭОР)'!$AK$25:$AK$452,'Калькуляция (МЭОР)'!$F$25:$F$452,$F50,'Калькуляция (МЭОР)'!$G$25:$G$452,$G50),IF(method_reg="Метод сравнения аналогов",_xlfn.SUMIFS('Калькуляция (МСА)'!$AF$25:$AF$122,'Калькуляция (МСА)'!$F$25:$F$122,$F50,'Калькуляция (МСА)'!$G$25:$G$122,$G50),_xlfn.SUMIFS(INDEX('Калькуляция (МИ)'!$AJ$25:$BC$747,,MATCH(AZ$8,'Калькуляция (МИ)'!$AJ$8:$BC$8,0)),'Калькуляция (МИ)'!$F$25:$F$747,$F50,'Калькуляция (МИ)'!$G$25:$G$747,$G50))))</f>
        <v>0</v>
      </c>
      <c r="BA50" s="1095">
        <f>IF(AY50=0,0,(AZ50-AY50)/AY50*100)</f>
        <v>0</v>
      </c>
      <c r="BB50" s="5247">
        <f>IF(AND(method_reg="Метод индексации",god&lt;&gt;first_year),_xlfn.SUMIFS(INDEX('Калькуляция (МИ корр)'!$AJ$25:$BC$747,,MATCH(BB$8,'Калькуляция (МИ корр)'!$AJ$8:$BC$8,0)),'Калькуляция (МИ корр)'!$F$25:$F$747,$F50,'Калькуляция (МИ корр)'!$G$25:$G$747,$G50),IF(method_reg="Метод экономически обоснованных расходов",_xlfn.SUMIFS('Калькуляция (МЭОР)'!$AJ$25:$AJ$452,'Калькуляция (МЭОР)'!$F$25:$F$452,$F50,'Калькуляция (МЭОР)'!$G$25:$G$452,$G50),IF(method_reg="Метод сравнения аналогов",_xlfn.SUMIFS('Калькуляция (МСА)'!$AE$25:$AE$122,'Калькуляция (МСА)'!$F$25:$F$122,$F50,'Калькуляция (МСА)'!$G$25:$G$122,$G50),_xlfn.SUMIFS(INDEX('Калькуляция (МИ)'!$AJ$25:$BC$747,,MATCH(BB$8,'Калькуляция (МИ)'!$AJ$8:$BC$8,0)),'Калькуляция (МИ)'!$F$25:$F$747,$F50,'Калькуляция (МИ)'!$G$25:$G$747,$G50))))</f>
        <v>0</v>
      </c>
      <c r="BC50" s="5247">
        <f>IF(AND(method_reg="Метод индексации",god&lt;&gt;first_year),_xlfn.SUMIFS(INDEX('Калькуляция (МИ корр)'!$AJ$25:$BC$747,,MATCH(BC$8,'Калькуляция (МИ корр)'!$AJ$8:$BC$8,0)),'Калькуляция (МИ корр)'!$F$25:$F$747,$F50,'Калькуляция (МИ корр)'!$G$25:$G$747,$G50),IF(method_reg="Метод экономически обоснованных расходов",_xlfn.SUMIFS('Калькуляция (МЭОР)'!$AK$25:$AK$452,'Калькуляция (МЭОР)'!$F$25:$F$452,$F50,'Калькуляция (МЭОР)'!$G$25:$G$452,$G50),IF(method_reg="Метод сравнения аналогов",_xlfn.SUMIFS('Калькуляция (МСА)'!$AF$25:$AF$122,'Калькуляция (МСА)'!$F$25:$F$122,$F50,'Калькуляция (МСА)'!$G$25:$G$122,$G50),_xlfn.SUMIFS(INDEX('Калькуляция (МИ)'!$AJ$25:$BC$747,,MATCH(BC$8,'Калькуляция (МИ)'!$AJ$8:$BC$8,0)),'Калькуляция (МИ)'!$F$25:$F$747,$F50,'Калькуляция (МИ)'!$G$25:$G$747,$G50))))</f>
        <v>0</v>
      </c>
      <c r="BD50" s="1095">
        <f>IF(BB50=0,0,(BC50-BB50)/BB50*100)</f>
        <v>0</v>
      </c>
      <c r="BE50" s="5247">
        <f>IF(AND(method_reg="Метод индексации",god&lt;&gt;first_year),_xlfn.SUMIFS(INDEX('Калькуляция (МИ корр)'!$AJ$25:$BC$747,,MATCH(BE$8,'Калькуляция (МИ корр)'!$AJ$8:$BC$8,0)),'Калькуляция (МИ корр)'!$F$25:$F$747,$F50,'Калькуляция (МИ корр)'!$G$25:$G$747,$G50),IF(method_reg="Метод экономически обоснованных расходов",_xlfn.SUMIFS('Калькуляция (МЭОР)'!$AJ$25:$AJ$452,'Калькуляция (МЭОР)'!$F$25:$F$452,$F50,'Калькуляция (МЭОР)'!$G$25:$G$452,$G50),IF(method_reg="Метод сравнения аналогов",_xlfn.SUMIFS('Калькуляция (МСА)'!$AE$25:$AE$122,'Калькуляция (МСА)'!$F$25:$F$122,$F50,'Калькуляция (МСА)'!$G$25:$G$122,$G50),_xlfn.SUMIFS(INDEX('Калькуляция (МИ)'!$AJ$25:$BC$747,,MATCH(BE$8,'Калькуляция (МИ)'!$AJ$8:$BC$8,0)),'Калькуляция (МИ)'!$F$25:$F$747,$F50,'Калькуляция (МИ)'!$G$25:$G$747,$G50))))</f>
        <v>0</v>
      </c>
      <c r="BF50" s="5247">
        <f>IF(AND(method_reg="Метод индексации",god&lt;&gt;first_year),_xlfn.SUMIFS(INDEX('Калькуляция (МИ корр)'!$AJ$25:$BC$747,,MATCH(BF$8,'Калькуляция (МИ корр)'!$AJ$8:$BC$8,0)),'Калькуляция (МИ корр)'!$F$25:$F$747,$F50,'Калькуляция (МИ корр)'!$G$25:$G$747,$G50),IF(method_reg="Метод экономически обоснованных расходов",_xlfn.SUMIFS('Калькуляция (МЭОР)'!$AK$25:$AK$452,'Калькуляция (МЭОР)'!$F$25:$F$452,$F50,'Калькуляция (МЭОР)'!$G$25:$G$452,$G50),IF(method_reg="Метод сравнения аналогов",_xlfn.SUMIFS('Калькуляция (МСА)'!$AF$25:$AF$122,'Калькуляция (МСА)'!$F$25:$F$122,$F50,'Калькуляция (МСА)'!$G$25:$G$122,$G50),_xlfn.SUMIFS(INDEX('Калькуляция (МИ)'!$AJ$25:$BC$747,,MATCH(BF$8,'Калькуляция (МИ)'!$AJ$8:$BC$8,0)),'Калькуляция (МИ)'!$F$25:$F$747,$F50,'Калькуляция (МИ)'!$G$25:$G$747,$G50))))</f>
        <v>0</v>
      </c>
      <c r="BG50" s="1095">
        <f>IF(BE50=0,0,(BF50-BE50)/BE50*100)</f>
        <v>0</v>
      </c>
      <c r="BH50" s="5247"/>
      <c r="BI50" s="5247"/>
      <c r="BJ50" s="1095">
        <f>IF(BH50=0,0,(BI50-BH50)/BH50*100)</f>
        <v>0</v>
      </c>
      <c r="BK50" s="5247"/>
      <c r="BL50" s="5247"/>
      <c r="BM50" s="1095">
        <f>IF(BK50=0,0,(BL50-BK50)/BK50*100)</f>
        <v>0</v>
      </c>
      <c r="BN50" s="5247"/>
      <c r="BO50" s="5247"/>
      <c r="BP50" s="1095">
        <f>IF(BN50=0,0,(BO50-BN50)/BN50*100)</f>
        <v>0</v>
      </c>
      <c r="BQ50" s="5247"/>
      <c r="BR50" s="5247"/>
      <c r="BS50" s="1095">
        <f>IF(BQ50=0,0,(BR50-BQ50)/BQ50*100)</f>
        <v>0</v>
      </c>
      <c r="BT50" s="5247"/>
      <c r="BU50" s="5247"/>
      <c r="BV50" s="1095">
        <f>IF(BT50=0,0,(BU50-BT50)/BT50*100)</f>
        <v>0</v>
      </c>
      <c r="BW50" s="5247"/>
      <c r="BX50" s="5247"/>
      <c r="BY50" s="1095">
        <f>IF(BW50=0,0,(BX50-BW50)/BW50*100)</f>
        <v>0</v>
      </c>
      <c r="BZ50" s="5247"/>
      <c r="CA50" s="5247"/>
      <c r="CB50" s="1095">
        <f>IF(BZ50=0,0,(CA50-BZ50)/BZ50*100)</f>
        <v>0</v>
      </c>
      <c r="CC50" s="5247"/>
      <c r="CD50" s="5247"/>
      <c r="CE50" s="1095">
        <f>IF(CC50=0,0,(CD50-CC50)/CC50*100)</f>
        <v>0</v>
      </c>
      <c r="CF50" s="5247"/>
      <c r="CG50" s="5247"/>
      <c r="CH50" s="1095">
        <f>IF(CF50=0,0,(CG50-CF50)/CF50*100)</f>
        <v>0</v>
      </c>
      <c r="CI50" s="5247"/>
      <c r="CJ50" s="5247"/>
      <c r="CK50" s="1095">
        <f>IF(CI50=0,0,(CJ50-CI50)/CI50*100)</f>
        <v>0</v>
      </c>
      <c r="CL50" s="5247"/>
      <c r="CM50" s="5247"/>
      <c r="CN50" s="1095">
        <f>IF(CL50=0,0,(CM50-CL50)/CL50*100)</f>
        <v>0</v>
      </c>
      <c r="CO50" s="5247"/>
      <c r="CP50" s="5247"/>
      <c r="CQ50" s="1095">
        <f>IF(CO50=0,0,(CP50-CO50)/CO50*100)</f>
        <v>0</v>
      </c>
      <c r="CR50" s="5247"/>
      <c r="CS50" s="5247"/>
      <c r="CT50" s="1095">
        <f>IF(CR50=0,0,(CS50-CR50)/CR50*100)</f>
        <v>0</v>
      </c>
      <c r="CU50" s="5247"/>
      <c r="CV50" s="5247"/>
      <c r="CW50" s="1095">
        <f>IF(CU50=0,0,(CV50-CU50)/CU50*100)</f>
        <v>0</v>
      </c>
      <c r="CX50" s="5247"/>
      <c r="CY50" s="5247"/>
      <c r="CZ50" s="1095">
        <f>IF(CX50=0,0,(CY50-CX50)/CX50*100)</f>
        <v>0</v>
      </c>
      <c r="DA50" s="5247"/>
      <c r="DB50" s="5247"/>
      <c r="DC50" s="1095">
        <f>IF(DA50=0,0,(DB50-DA50)/DA50*100)</f>
        <v>0</v>
      </c>
      <c r="DD50" s="5247"/>
      <c r="DE50" s="5247"/>
      <c r="DF50" s="1095">
        <f>IF(DD50=0,0,(DE50-DD50)/DD50*100)</f>
        <v>0</v>
      </c>
      <c r="DG50" s="5247"/>
      <c r="DH50" s="5247"/>
      <c r="DI50" s="1095">
        <f>IF(DG50=0,0,(DH50-DG50)/DG50*100)</f>
        <v>0</v>
      </c>
      <c r="DJ50" s="5247"/>
      <c r="DK50" s="5247"/>
      <c r="DL50" s="1095">
        <f>IF(DJ50=0,0,(DK50-DJ50)/DJ50*100)</f>
        <v>0</v>
      </c>
      <c r="DM50" s="5247"/>
      <c r="DN50" s="5247"/>
      <c r="DO50" s="1095">
        <f>IF(DM50=0,0,(DN50-DM50)/DM50*100)</f>
        <v>0</v>
      </c>
      <c r="DP50" s="5247"/>
      <c r="DQ50" s="5247"/>
      <c r="DR50" s="1095">
        <f>IF(DP50=0,0,(DQ50-DP50)/DP50*100)</f>
        <v>0</v>
      </c>
      <c r="DS50" s="5247"/>
      <c r="DT50" s="5247"/>
      <c r="DU50" s="1095">
        <f>IF(DS50=0,0,(DT50-DS50)/DS50*100)</f>
        <v>0</v>
      </c>
      <c r="DV50" s="5247"/>
      <c r="DW50" s="5247"/>
      <c r="DX50" s="1095">
        <f>IF(DV50=0,0,(DW50-DV50)/DV50*100)</f>
        <v>0</v>
      </c>
      <c r="DY50" s="5247"/>
      <c r="DZ50" s="5247"/>
      <c r="EA50" s="1095">
        <f>IF(DY50=0,0,(DZ50-DY50)/DY50*100)</f>
        <v>0</v>
      </c>
      <c r="EB50" s="5247"/>
      <c r="EC50" s="5247"/>
      <c r="ED50" s="1095">
        <f>IF(EB50=0,0,(EC50-EB50)/EB50*100)</f>
        <v>0</v>
      </c>
      <c r="EE50" s="5247"/>
      <c r="EF50" s="5247"/>
      <c r="EG50" s="1095">
        <f>IF(EE50=0,0,(EF50-EE50)/EE50*100)</f>
        <v>0</v>
      </c>
      <c r="EH50" s="5247"/>
      <c r="EI50" s="5247"/>
      <c r="EJ50" s="1095">
        <f>IF(EH50=0,0,(EI50-EH50)/EH50*100)</f>
        <v>0</v>
      </c>
      <c r="EK50" s="5247"/>
      <c r="EL50" s="5247"/>
      <c r="EM50" s="1095">
        <f>IF(EK50=0,0,(EL50-EK50)/EK50*100)</f>
        <v>0</v>
      </c>
      <c r="EN50" s="5247"/>
      <c r="EO50" s="5247"/>
      <c r="EP50" s="1095">
        <f>IF(EN50=0,0,(EO50-EN50)/EN50*100)</f>
        <v>0</v>
      </c>
      <c r="EQ50" s="5247"/>
      <c r="ER50" s="5247"/>
      <c r="ES50" s="1095">
        <f>IF(EQ50=0,0,(ER50-EQ50)/EQ50*100)</f>
        <v>0</v>
      </c>
      <c r="ET50" s="5247"/>
      <c r="EU50" s="5247"/>
      <c r="EV50" s="1095">
        <f>IF(ET50=0,0,(EU50-ET50)/ET50*100)</f>
        <v>0</v>
      </c>
      <c r="EW50" s="5247"/>
      <c r="EX50" s="5247"/>
      <c r="EY50" s="1095">
        <f>IF(EW50=0,0,(EX50-EW50)/EW50*100)</f>
        <v>0</v>
      </c>
      <c r="EZ50" s="5247"/>
      <c r="FA50" s="5247"/>
      <c r="FB50" s="1095">
        <f>IF(EZ50=0,0,(FA50-EZ50)/EZ50*100)</f>
        <v>0</v>
      </c>
      <c r="FC50" s="5247"/>
      <c r="FD50" s="5247"/>
      <c r="FE50" s="1095">
        <f>IF(FC50=0,0,(FD50-FC50)/FC50*100)</f>
        <v>0</v>
      </c>
      <c r="FF50" s="5247"/>
      <c r="FG50" s="5247"/>
      <c r="FH50" s="1095">
        <f>IF(FF50=0,0,(FG50-FF50)/FF50*100)</f>
        <v>0</v>
      </c>
      <c r="FI50" s="5247"/>
      <c r="FJ50" s="5247"/>
      <c r="FK50" s="1095">
        <f>IF(FI50=0,0,(FJ50-FI50)/FI50*100)</f>
        <v>0</v>
      </c>
      <c r="FL50" s="5247"/>
      <c r="FM50" s="5247"/>
      <c r="FN50" s="1095">
        <f>IF(FL50=0,0,(FM50-FL50)/FL50*100)</f>
        <v>0</v>
      </c>
      <c r="FO50" s="5247"/>
      <c r="FP50" s="5247"/>
      <c r="FQ50" s="1095">
        <f>IF(FO50=0,0,(FP50-FO50)/FO50*100)</f>
        <v>0</v>
      </c>
      <c r="FR50" s="5247"/>
      <c r="FS50" s="5247"/>
      <c r="FT50" s="1095">
        <f>IF(FR50=0,0,(FS50-FR50)/FR50*100)</f>
        <v>0</v>
      </c>
      <c r="FU50" s="5247"/>
      <c r="FV50" s="5247"/>
      <c r="FW50" s="1095">
        <f>IF(FU50=0,0,(FV50-FU50)/FU50*100)</f>
        <v>0</v>
      </c>
      <c r="FX50" s="1304"/>
      <c r="FY50" s="1304"/>
      <c r="FZ50" s="1055" t="s">
        <v>2375</v>
      </c>
      <c r="GA50" s="1306"/>
      <c r="GB50" s="1306"/>
      <c r="GC50" s="1305"/>
      <c r="GD50" s="1305"/>
    </row>
    <row customHeight="1" ht="24.131250000000005" hidden="1">
      <c r="A51" s="493"/>
      <c r="B51" s="925" cm="1" t="str">
        <f t="array" ref="B51:B51">B50</f>
        <v>false</v>
      </c>
      <c r="C51" s="493"/>
      <c r="D51" s="493"/>
      <c r="E51" s="840">
        <v>24.75</v>
      </c>
      <c r="F51" s="50" cm="1" t="str">
        <f t="array" ref="F51:F51">OFFSET(E51,-1,1)</f>
        <v>0</v>
      </c>
      <c r="G51" s="493"/>
      <c r="H51" s="493" t="s">
        <v>2376</v>
      </c>
      <c r="I51" s="493" t="s">
        <v>2335</v>
      </c>
      <c r="J51" s="493"/>
      <c r="K51" s="493"/>
      <c r="L51" s="493"/>
      <c r="M51" s="493"/>
      <c r="N51" s="493"/>
      <c r="O51" s="493"/>
      <c r="P51" s="493"/>
      <c r="Q51" s="493"/>
      <c r="R51" s="493"/>
      <c r="S51" s="493"/>
      <c r="T51" s="465" cm="1" t="str">
        <f t="array" ref="T51:T51">T50</f>
        <v>false</v>
      </c>
      <c r="U51" s="493"/>
      <c r="V51" s="493"/>
      <c r="W51" s="493"/>
      <c r="X51" s="1596"/>
      <c r="Y51" s="493"/>
      <c r="Z51" s="1545"/>
      <c r="AA51" s="493"/>
      <c r="AB51" s="904"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51" s="864" t="s">
        <v>2377</v>
      </c>
      <c r="AD51" s="2846"/>
      <c r="AE51" s="2846"/>
      <c r="AF51" s="1093">
        <f>IF(AD51=0,0,(AE51-AD51)/AD51*100)</f>
        <v>0</v>
      </c>
      <c r="AG51" s="2846"/>
      <c r="AH51" s="2846"/>
      <c r="AI51" s="1093">
        <f>IF(AG51=0,0,(AH51-AG51)/AG51*100)</f>
        <v>0</v>
      </c>
      <c r="AJ51" s="2846"/>
      <c r="AK51" s="2846"/>
      <c r="AL51" s="1093">
        <f>IF(AJ51=0,0,(AK51-AJ51)/AJ51*100)</f>
        <v>0</v>
      </c>
      <c r="AM51" s="2846"/>
      <c r="AN51" s="2846"/>
      <c r="AO51" s="1093">
        <f>IF(AM51=0,0,(AN51-AM51)/AM51*100)</f>
        <v>0</v>
      </c>
      <c r="AP51" s="2846"/>
      <c r="AQ51" s="2846"/>
      <c r="AR51" s="1093">
        <f>IF(AP51=0,0,(AQ51-AP51)/AP51*100)</f>
        <v>0</v>
      </c>
      <c r="AS51" s="2846"/>
      <c r="AT51" s="2846"/>
      <c r="AU51" s="1093">
        <f>IF(AS51=0,0,(AT51-AS51)/AS51*100)</f>
        <v>0</v>
      </c>
      <c r="AV51" s="2846"/>
      <c r="AW51" s="2846"/>
      <c r="AX51" s="1093">
        <f>IF(AV51=0,0,(AW51-AV51)/AV51*100)</f>
        <v>0</v>
      </c>
      <c r="AY51" s="2846"/>
      <c r="AZ51" s="2846"/>
      <c r="BA51" s="1093">
        <f>IF(AY51=0,0,(AZ51-AY51)/AY51*100)</f>
        <v>0</v>
      </c>
      <c r="BB51" s="2846"/>
      <c r="BC51" s="2846"/>
      <c r="BD51" s="1093">
        <f>IF(BB51=0,0,(BC51-BB51)/BB51*100)</f>
        <v>0</v>
      </c>
      <c r="BE51" s="2846"/>
      <c r="BF51" s="2846"/>
      <c r="BG51" s="1093">
        <f>IF(BE51=0,0,(BF51-BE51)/BE51*100)</f>
        <v>0</v>
      </c>
      <c r="BH51" s="2846"/>
      <c r="BI51" s="2846"/>
      <c r="BJ51" s="1093">
        <f>IF(BH51=0,0,(BI51-BH51)/BH51*100)</f>
        <v>0</v>
      </c>
      <c r="BK51" s="2846"/>
      <c r="BL51" s="2846"/>
      <c r="BM51" s="1093">
        <f>IF(BK51=0,0,(BL51-BK51)/BK51*100)</f>
        <v>0</v>
      </c>
      <c r="BN51" s="2846"/>
      <c r="BO51" s="2846"/>
      <c r="BP51" s="1093">
        <f>IF(BN51=0,0,(BO51-BN51)/BN51*100)</f>
        <v>0</v>
      </c>
      <c r="BQ51" s="2846"/>
      <c r="BR51" s="2846"/>
      <c r="BS51" s="1093">
        <f>IF(BQ51=0,0,(BR51-BQ51)/BQ51*100)</f>
        <v>0</v>
      </c>
      <c r="BT51" s="2846"/>
      <c r="BU51" s="2846"/>
      <c r="BV51" s="1093">
        <f>IF(BT51=0,0,(BU51-BT51)/BT51*100)</f>
        <v>0</v>
      </c>
      <c r="BW51" s="2846"/>
      <c r="BX51" s="2846"/>
      <c r="BY51" s="1093">
        <f>IF(BW51=0,0,(BX51-BW51)/BW51*100)</f>
        <v>0</v>
      </c>
      <c r="BZ51" s="2846"/>
      <c r="CA51" s="2846"/>
      <c r="CB51" s="1093">
        <f>IF(BZ51=0,0,(CA51-BZ51)/BZ51*100)</f>
        <v>0</v>
      </c>
      <c r="CC51" s="2846"/>
      <c r="CD51" s="2846"/>
      <c r="CE51" s="1093">
        <f>IF(CC51=0,0,(CD51-CC51)/CC51*100)</f>
        <v>0</v>
      </c>
      <c r="CF51" s="2846"/>
      <c r="CG51" s="2846"/>
      <c r="CH51" s="1093">
        <f>IF(CF51=0,0,(CG51-CF51)/CF51*100)</f>
        <v>0</v>
      </c>
      <c r="CI51" s="2846"/>
      <c r="CJ51" s="2846"/>
      <c r="CK51" s="1093">
        <f>IF(CI51=0,0,(CJ51-CI51)/CI51*100)</f>
        <v>0</v>
      </c>
      <c r="CL51" s="2846"/>
      <c r="CM51" s="2846"/>
      <c r="CN51" s="1093">
        <f>IF(CL51=0,0,(CM51-CL51)/CL51*100)</f>
        <v>0</v>
      </c>
      <c r="CO51" s="2846"/>
      <c r="CP51" s="2846"/>
      <c r="CQ51" s="1093">
        <f>IF(CO51=0,0,(CP51-CO51)/CO51*100)</f>
        <v>0</v>
      </c>
      <c r="CR51" s="2846"/>
      <c r="CS51" s="2846"/>
      <c r="CT51" s="1093">
        <f>IF(CR51=0,0,(CS51-CR51)/CR51*100)</f>
        <v>0</v>
      </c>
      <c r="CU51" s="2846"/>
      <c r="CV51" s="2846"/>
      <c r="CW51" s="1093">
        <f>IF(CU51=0,0,(CV51-CU51)/CU51*100)</f>
        <v>0</v>
      </c>
      <c r="CX51" s="2846"/>
      <c r="CY51" s="2846"/>
      <c r="CZ51" s="1093">
        <f>IF(CX51=0,0,(CY51-CX51)/CX51*100)</f>
        <v>0</v>
      </c>
      <c r="DA51" s="2846"/>
      <c r="DB51" s="2846"/>
      <c r="DC51" s="1093">
        <f>IF(DA51=0,0,(DB51-DA51)/DA51*100)</f>
        <v>0</v>
      </c>
      <c r="DD51" s="2846"/>
      <c r="DE51" s="2846"/>
      <c r="DF51" s="1093">
        <f>IF(DD51=0,0,(DE51-DD51)/DD51*100)</f>
        <v>0</v>
      </c>
      <c r="DG51" s="2846"/>
      <c r="DH51" s="2846"/>
      <c r="DI51" s="1093">
        <f>IF(DG51=0,0,(DH51-DG51)/DG51*100)</f>
        <v>0</v>
      </c>
      <c r="DJ51" s="2846"/>
      <c r="DK51" s="2846"/>
      <c r="DL51" s="1093">
        <f>IF(DJ51=0,0,(DK51-DJ51)/DJ51*100)</f>
        <v>0</v>
      </c>
      <c r="DM51" s="2846"/>
      <c r="DN51" s="2846"/>
      <c r="DO51" s="1093">
        <f>IF(DM51=0,0,(DN51-DM51)/DM51*100)</f>
        <v>0</v>
      </c>
      <c r="DP51" s="2846"/>
      <c r="DQ51" s="2846"/>
      <c r="DR51" s="1093">
        <f>IF(DP51=0,0,(DQ51-DP51)/DP51*100)</f>
        <v>0</v>
      </c>
      <c r="DS51" s="2846"/>
      <c r="DT51" s="2846"/>
      <c r="DU51" s="1093">
        <f>IF(DS51=0,0,(DT51-DS51)/DS51*100)</f>
        <v>0</v>
      </c>
      <c r="DV51" s="2846"/>
      <c r="DW51" s="2846"/>
      <c r="DX51" s="1093">
        <f>IF(DV51=0,0,(DW51-DV51)/DV51*100)</f>
        <v>0</v>
      </c>
      <c r="DY51" s="2846"/>
      <c r="DZ51" s="2846"/>
      <c r="EA51" s="1093">
        <f>IF(DY51=0,0,(DZ51-DY51)/DY51*100)</f>
        <v>0</v>
      </c>
      <c r="EB51" s="2846"/>
      <c r="EC51" s="2846"/>
      <c r="ED51" s="1093">
        <f>IF(EB51=0,0,(EC51-EB51)/EB51*100)</f>
        <v>0</v>
      </c>
      <c r="EE51" s="2846"/>
      <c r="EF51" s="2846"/>
      <c r="EG51" s="1093">
        <f>IF(EE51=0,0,(EF51-EE51)/EE51*100)</f>
        <v>0</v>
      </c>
      <c r="EH51" s="2846"/>
      <c r="EI51" s="2846"/>
      <c r="EJ51" s="1093">
        <f>IF(EH51=0,0,(EI51-EH51)/EH51*100)</f>
        <v>0</v>
      </c>
      <c r="EK51" s="2846"/>
      <c r="EL51" s="2846"/>
      <c r="EM51" s="1093">
        <f>IF(EK51=0,0,(EL51-EK51)/EK51*100)</f>
        <v>0</v>
      </c>
      <c r="EN51" s="2846"/>
      <c r="EO51" s="2846"/>
      <c r="EP51" s="1093">
        <f>IF(EN51=0,0,(EO51-EN51)/EN51*100)</f>
        <v>0</v>
      </c>
      <c r="EQ51" s="2846"/>
      <c r="ER51" s="2846"/>
      <c r="ES51" s="1093">
        <f>IF(EQ51=0,0,(ER51-EQ51)/EQ51*100)</f>
        <v>0</v>
      </c>
      <c r="ET51" s="2846"/>
      <c r="EU51" s="2846"/>
      <c r="EV51" s="1093">
        <f>IF(ET51=0,0,(EU51-ET51)/ET51*100)</f>
        <v>0</v>
      </c>
      <c r="EW51" s="2846"/>
      <c r="EX51" s="2846"/>
      <c r="EY51" s="1093">
        <f>IF(EW51=0,0,(EX51-EW51)/EW51*100)</f>
        <v>0</v>
      </c>
      <c r="EZ51" s="2846"/>
      <c r="FA51" s="2846"/>
      <c r="FB51" s="1093">
        <f>IF(EZ51=0,0,(FA51-EZ51)/EZ51*100)</f>
        <v>0</v>
      </c>
      <c r="FC51" s="2846"/>
      <c r="FD51" s="2846"/>
      <c r="FE51" s="1093">
        <f>IF(FC51=0,0,(FD51-FC51)/FC51*100)</f>
        <v>0</v>
      </c>
      <c r="FF51" s="2846"/>
      <c r="FG51" s="2846"/>
      <c r="FH51" s="1093">
        <f>IF(FF51=0,0,(FG51-FF51)/FF51*100)</f>
        <v>0</v>
      </c>
      <c r="FI51" s="2846"/>
      <c r="FJ51" s="2846"/>
      <c r="FK51" s="1093">
        <f>IF(FI51=0,0,(FJ51-FI51)/FI51*100)</f>
        <v>0</v>
      </c>
      <c r="FL51" s="2846"/>
      <c r="FM51" s="2846"/>
      <c r="FN51" s="1093">
        <f>IF(FL51=0,0,(FM51-FL51)/FL51*100)</f>
        <v>0</v>
      </c>
      <c r="FO51" s="2846"/>
      <c r="FP51" s="2846"/>
      <c r="FQ51" s="1093">
        <f>IF(FO51=0,0,(FP51-FO51)/FO51*100)</f>
        <v>0</v>
      </c>
      <c r="FR51" s="2846"/>
      <c r="FS51" s="2846"/>
      <c r="FT51" s="1093">
        <f>IF(FR51=0,0,(FS51-FR51)/FR51*100)</f>
        <v>0</v>
      </c>
      <c r="FU51" s="2846"/>
      <c r="FV51" s="2846"/>
      <c r="FW51" s="1093">
        <f>IF(FU51=0,0,(FV51-FU51)/FU51*100)</f>
        <v>0</v>
      </c>
      <c r="FX51" s="1304"/>
      <c r="FY51" s="1304"/>
      <c r="FZ51" s="1055" t="s">
        <v>2378</v>
      </c>
      <c r="GA51" s="1306"/>
      <c r="GB51" s="1306"/>
      <c r="GC51" s="1305"/>
      <c r="GD51" s="1305"/>
    </row>
    <row customHeight="1" ht="14.625" hidden="1">
      <c r="A52" s="493"/>
      <c r="B52" s="925" cm="1" t="str">
        <f t="array" ref="B52:B52">B51</f>
        <v>false</v>
      </c>
      <c r="C52" s="493"/>
      <c r="D52" s="493"/>
      <c r="E52" s="840">
        <v>15</v>
      </c>
      <c r="F52" s="50" cm="1" t="str">
        <f t="array" ref="F52:F52">OFFSET(E52,-1,1)</f>
        <v>0</v>
      </c>
      <c r="G52" s="493"/>
      <c r="H52" s="493" t="s">
        <v>2379</v>
      </c>
      <c r="I52" s="493" t="s">
        <v>2335</v>
      </c>
      <c r="J52" s="493"/>
      <c r="K52" s="493"/>
      <c r="L52" s="493"/>
      <c r="M52" s="493"/>
      <c r="N52" s="493"/>
      <c r="O52" s="493"/>
      <c r="P52" s="493"/>
      <c r="Q52" s="493"/>
      <c r="R52" s="493"/>
      <c r="S52" s="493"/>
      <c r="T52" s="465" cm="1" t="str">
        <f t="array" ref="T52:T52">T51</f>
        <v>false</v>
      </c>
      <c r="U52" s="493"/>
      <c r="V52" s="493"/>
      <c r="W52" s="493"/>
      <c r="X52" s="1596"/>
      <c r="Y52" s="493"/>
      <c r="Z52" s="1545"/>
      <c r="AA52" s="493"/>
      <c r="AB52" s="904" t="s">
        <v>2380</v>
      </c>
      <c r="AC52" s="864" t="s">
        <v>2381</v>
      </c>
      <c r="AD52" s="2846"/>
      <c r="AE52" s="2846"/>
      <c r="AF52" s="1093">
        <f>IF(AD52=0,0,(AE52-AD52)/AD52*100)</f>
        <v>0</v>
      </c>
      <c r="AG52" s="2846"/>
      <c r="AH52" s="2846"/>
      <c r="AI52" s="1093">
        <f>IF(AG52=0,0,(AH52-AG52)/AG52*100)</f>
        <v>0</v>
      </c>
      <c r="AJ52" s="2846"/>
      <c r="AK52" s="2846"/>
      <c r="AL52" s="1093">
        <f>IF(AJ52=0,0,(AK52-AJ52)/AJ52*100)</f>
        <v>0</v>
      </c>
      <c r="AM52" s="2846"/>
      <c r="AN52" s="2846"/>
      <c r="AO52" s="1093">
        <f>IF(AM52=0,0,(AN52-AM52)/AM52*100)</f>
        <v>0</v>
      </c>
      <c r="AP52" s="2846"/>
      <c r="AQ52" s="2846"/>
      <c r="AR52" s="1093">
        <f>IF(AP52=0,0,(AQ52-AP52)/AP52*100)</f>
        <v>0</v>
      </c>
      <c r="AS52" s="2846"/>
      <c r="AT52" s="2846"/>
      <c r="AU52" s="1093">
        <f>IF(AS52=0,0,(AT52-AS52)/AS52*100)</f>
        <v>0</v>
      </c>
      <c r="AV52" s="2846"/>
      <c r="AW52" s="2846"/>
      <c r="AX52" s="1093">
        <f>IF(AV52=0,0,(AW52-AV52)/AV52*100)</f>
        <v>0</v>
      </c>
      <c r="AY52" s="2846"/>
      <c r="AZ52" s="2846"/>
      <c r="BA52" s="1093">
        <f>IF(AY52=0,0,(AZ52-AY52)/AY52*100)</f>
        <v>0</v>
      </c>
      <c r="BB52" s="2846"/>
      <c r="BC52" s="2846"/>
      <c r="BD52" s="1093">
        <f>IF(BB52=0,0,(BC52-BB52)/BB52*100)</f>
        <v>0</v>
      </c>
      <c r="BE52" s="2846"/>
      <c r="BF52" s="2846"/>
      <c r="BG52" s="1093">
        <f>IF(BE52=0,0,(BF52-BE52)/BE52*100)</f>
        <v>0</v>
      </c>
      <c r="BH52" s="2846"/>
      <c r="BI52" s="2846"/>
      <c r="BJ52" s="1093">
        <f>IF(BH52=0,0,(BI52-BH52)/BH52*100)</f>
        <v>0</v>
      </c>
      <c r="BK52" s="2846"/>
      <c r="BL52" s="2846"/>
      <c r="BM52" s="1093">
        <f>IF(BK52=0,0,(BL52-BK52)/BK52*100)</f>
        <v>0</v>
      </c>
      <c r="BN52" s="2846"/>
      <c r="BO52" s="2846"/>
      <c r="BP52" s="1093">
        <f>IF(BN52=0,0,(BO52-BN52)/BN52*100)</f>
        <v>0</v>
      </c>
      <c r="BQ52" s="2846"/>
      <c r="BR52" s="2846"/>
      <c r="BS52" s="1093">
        <f>IF(BQ52=0,0,(BR52-BQ52)/BQ52*100)</f>
        <v>0</v>
      </c>
      <c r="BT52" s="2846"/>
      <c r="BU52" s="2846"/>
      <c r="BV52" s="1093">
        <f>IF(BT52=0,0,(BU52-BT52)/BT52*100)</f>
        <v>0</v>
      </c>
      <c r="BW52" s="2846"/>
      <c r="BX52" s="2846"/>
      <c r="BY52" s="1093">
        <f>IF(BW52=0,0,(BX52-BW52)/BW52*100)</f>
        <v>0</v>
      </c>
      <c r="BZ52" s="2846"/>
      <c r="CA52" s="2846"/>
      <c r="CB52" s="1093">
        <f>IF(BZ52=0,0,(CA52-BZ52)/BZ52*100)</f>
        <v>0</v>
      </c>
      <c r="CC52" s="2846"/>
      <c r="CD52" s="2846"/>
      <c r="CE52" s="1093">
        <f>IF(CC52=0,0,(CD52-CC52)/CC52*100)</f>
        <v>0</v>
      </c>
      <c r="CF52" s="2846"/>
      <c r="CG52" s="2846"/>
      <c r="CH52" s="1093">
        <f>IF(CF52=0,0,(CG52-CF52)/CF52*100)</f>
        <v>0</v>
      </c>
      <c r="CI52" s="2846"/>
      <c r="CJ52" s="2846"/>
      <c r="CK52" s="1093">
        <f>IF(CI52=0,0,(CJ52-CI52)/CI52*100)</f>
        <v>0</v>
      </c>
      <c r="CL52" s="2846"/>
      <c r="CM52" s="2846"/>
      <c r="CN52" s="1093">
        <f>IF(CL52=0,0,(CM52-CL52)/CL52*100)</f>
        <v>0</v>
      </c>
      <c r="CO52" s="2846"/>
      <c r="CP52" s="2846"/>
      <c r="CQ52" s="1093">
        <f>IF(CO52=0,0,(CP52-CO52)/CO52*100)</f>
        <v>0</v>
      </c>
      <c r="CR52" s="2846"/>
      <c r="CS52" s="2846"/>
      <c r="CT52" s="1093">
        <f>IF(CR52=0,0,(CS52-CR52)/CR52*100)</f>
        <v>0</v>
      </c>
      <c r="CU52" s="2846"/>
      <c r="CV52" s="2846"/>
      <c r="CW52" s="1093">
        <f>IF(CU52=0,0,(CV52-CU52)/CU52*100)</f>
        <v>0</v>
      </c>
      <c r="CX52" s="2846"/>
      <c r="CY52" s="2846"/>
      <c r="CZ52" s="1093">
        <f>IF(CX52=0,0,(CY52-CX52)/CX52*100)</f>
        <v>0</v>
      </c>
      <c r="DA52" s="2846"/>
      <c r="DB52" s="2846"/>
      <c r="DC52" s="1093">
        <f>IF(DA52=0,0,(DB52-DA52)/DA52*100)</f>
        <v>0</v>
      </c>
      <c r="DD52" s="2846"/>
      <c r="DE52" s="2846"/>
      <c r="DF52" s="1093">
        <f>IF(DD52=0,0,(DE52-DD52)/DD52*100)</f>
        <v>0</v>
      </c>
      <c r="DG52" s="2846"/>
      <c r="DH52" s="2846"/>
      <c r="DI52" s="1093">
        <f>IF(DG52=0,0,(DH52-DG52)/DG52*100)</f>
        <v>0</v>
      </c>
      <c r="DJ52" s="2846"/>
      <c r="DK52" s="2846"/>
      <c r="DL52" s="1093">
        <f>IF(DJ52=0,0,(DK52-DJ52)/DJ52*100)</f>
        <v>0</v>
      </c>
      <c r="DM52" s="2846"/>
      <c r="DN52" s="2846"/>
      <c r="DO52" s="1093">
        <f>IF(DM52=0,0,(DN52-DM52)/DM52*100)</f>
        <v>0</v>
      </c>
      <c r="DP52" s="2846"/>
      <c r="DQ52" s="2846"/>
      <c r="DR52" s="1093">
        <f>IF(DP52=0,0,(DQ52-DP52)/DP52*100)</f>
        <v>0</v>
      </c>
      <c r="DS52" s="2846"/>
      <c r="DT52" s="2846"/>
      <c r="DU52" s="1093">
        <f>IF(DS52=0,0,(DT52-DS52)/DS52*100)</f>
        <v>0</v>
      </c>
      <c r="DV52" s="2846"/>
      <c r="DW52" s="2846"/>
      <c r="DX52" s="1093">
        <f>IF(DV52=0,0,(DW52-DV52)/DV52*100)</f>
        <v>0</v>
      </c>
      <c r="DY52" s="2846"/>
      <c r="DZ52" s="2846"/>
      <c r="EA52" s="1093">
        <f>IF(DY52=0,0,(DZ52-DY52)/DY52*100)</f>
        <v>0</v>
      </c>
      <c r="EB52" s="2846"/>
      <c r="EC52" s="2846"/>
      <c r="ED52" s="1093">
        <f>IF(EB52=0,0,(EC52-EB52)/EB52*100)</f>
        <v>0</v>
      </c>
      <c r="EE52" s="2846"/>
      <c r="EF52" s="2846"/>
      <c r="EG52" s="1093">
        <f>IF(EE52=0,0,(EF52-EE52)/EE52*100)</f>
        <v>0</v>
      </c>
      <c r="EH52" s="2846"/>
      <c r="EI52" s="2846"/>
      <c r="EJ52" s="1093">
        <f>IF(EH52=0,0,(EI52-EH52)/EH52*100)</f>
        <v>0</v>
      </c>
      <c r="EK52" s="2846"/>
      <c r="EL52" s="2846"/>
      <c r="EM52" s="1093">
        <f>IF(EK52=0,0,(EL52-EK52)/EK52*100)</f>
        <v>0</v>
      </c>
      <c r="EN52" s="2846"/>
      <c r="EO52" s="2846"/>
      <c r="EP52" s="1093">
        <f>IF(EN52=0,0,(EO52-EN52)/EN52*100)</f>
        <v>0</v>
      </c>
      <c r="EQ52" s="2846"/>
      <c r="ER52" s="2846"/>
      <c r="ES52" s="1093">
        <f>IF(EQ52=0,0,(ER52-EQ52)/EQ52*100)</f>
        <v>0</v>
      </c>
      <c r="ET52" s="2846"/>
      <c r="EU52" s="2846"/>
      <c r="EV52" s="1093">
        <f>IF(ET52=0,0,(EU52-ET52)/ET52*100)</f>
        <v>0</v>
      </c>
      <c r="EW52" s="2846"/>
      <c r="EX52" s="2846"/>
      <c r="EY52" s="1093">
        <f>IF(EW52=0,0,(EX52-EW52)/EW52*100)</f>
        <v>0</v>
      </c>
      <c r="EZ52" s="2846"/>
      <c r="FA52" s="2846"/>
      <c r="FB52" s="1093">
        <f>IF(EZ52=0,0,(FA52-EZ52)/EZ52*100)</f>
        <v>0</v>
      </c>
      <c r="FC52" s="2846"/>
      <c r="FD52" s="2846"/>
      <c r="FE52" s="1093">
        <f>IF(FC52=0,0,(FD52-FC52)/FC52*100)</f>
        <v>0</v>
      </c>
      <c r="FF52" s="2846"/>
      <c r="FG52" s="2846"/>
      <c r="FH52" s="1093">
        <f>IF(FF52=0,0,(FG52-FF52)/FF52*100)</f>
        <v>0</v>
      </c>
      <c r="FI52" s="2846"/>
      <c r="FJ52" s="2846"/>
      <c r="FK52" s="1093">
        <f>IF(FI52=0,0,(FJ52-FI52)/FI52*100)</f>
        <v>0</v>
      </c>
      <c r="FL52" s="2846"/>
      <c r="FM52" s="2846"/>
      <c r="FN52" s="1093">
        <f>IF(FL52=0,0,(FM52-FL52)/FL52*100)</f>
        <v>0</v>
      </c>
      <c r="FO52" s="2846"/>
      <c r="FP52" s="2846"/>
      <c r="FQ52" s="1093">
        <f>IF(FO52=0,0,(FP52-FO52)/FO52*100)</f>
        <v>0</v>
      </c>
      <c r="FR52" s="2846"/>
      <c r="FS52" s="2846"/>
      <c r="FT52" s="1093">
        <f>IF(FR52=0,0,(FS52-FR52)/FR52*100)</f>
        <v>0</v>
      </c>
      <c r="FU52" s="2846"/>
      <c r="FV52" s="2846"/>
      <c r="FW52" s="1093">
        <f>IF(FU52=0,0,(FV52-FU52)/FU52*100)</f>
        <v>0</v>
      </c>
      <c r="FX52" s="1304"/>
      <c r="FY52" s="1304"/>
      <c r="FZ52" s="1055" t="s">
        <v>2382</v>
      </c>
      <c r="GA52" s="1306"/>
      <c r="GB52" s="1306"/>
      <c r="GC52" s="1305"/>
      <c r="GD52" s="1305"/>
    </row>
    <row customHeight="1" ht="23.887500000000003" hidden="1">
      <c r="A53" s="493"/>
      <c r="B53" s="925" cm="1" t="str">
        <f t="array" ref="B53:B53">B52</f>
        <v>false</v>
      </c>
      <c r="C53" s="493"/>
      <c r="D53" s="493"/>
      <c r="E53" s="840">
        <v>24.5</v>
      </c>
      <c r="F53" s="50" cm="1" t="str">
        <f t="array" ref="F53:F53">OFFSET(E53,-1,1)</f>
        <v>0</v>
      </c>
      <c r="G53" s="493"/>
      <c r="H53" s="493"/>
      <c r="I53" s="493"/>
      <c r="J53" s="493"/>
      <c r="K53" s="493"/>
      <c r="L53" s="493"/>
      <c r="M53" s="493"/>
      <c r="N53" s="493"/>
      <c r="O53" s="493"/>
      <c r="P53" s="493"/>
      <c r="Q53" s="493"/>
      <c r="R53" s="493"/>
      <c r="S53" s="493"/>
      <c r="T53" s="465" cm="1" t="str">
        <f t="array" ref="T53:T53">T52</f>
        <v>false</v>
      </c>
      <c r="U53" s="493"/>
      <c r="V53" s="493"/>
      <c r="W53" s="493"/>
      <c r="X53" s="1596"/>
      <c r="Y53" s="493"/>
      <c r="Z53" s="1545"/>
      <c r="AA53" s="493"/>
      <c r="AB53" s="293" t="s">
        <v>2383</v>
      </c>
      <c r="AC53" s="903"/>
      <c r="AD53" s="1102"/>
      <c r="AE53" s="1102"/>
      <c r="AF53" s="1102"/>
      <c r="AG53" s="1102"/>
      <c r="AH53" s="1102"/>
      <c r="AI53" s="1102"/>
      <c r="AJ53" s="1102"/>
      <c r="AK53" s="1102"/>
      <c r="AL53" s="1102"/>
      <c r="AM53" s="1102"/>
      <c r="AN53" s="1102"/>
      <c r="AO53" s="1102"/>
      <c r="AP53" s="1102"/>
      <c r="AQ53" s="1102"/>
      <c r="AR53" s="1102"/>
      <c r="AS53" s="1102"/>
      <c r="AT53" s="1102"/>
      <c r="AU53" s="1102"/>
      <c r="AV53" s="1102"/>
      <c r="AW53" s="1102"/>
      <c r="AX53" s="1102"/>
      <c r="AY53" s="1102"/>
      <c r="AZ53" s="1102"/>
      <c r="BA53" s="1102"/>
      <c r="BB53" s="1102"/>
      <c r="BC53" s="1102"/>
      <c r="BD53" s="1102"/>
      <c r="BE53" s="1102"/>
      <c r="BF53" s="1102"/>
      <c r="BG53" s="1102"/>
      <c r="BH53" s="1102"/>
      <c r="BI53" s="1102"/>
      <c r="BJ53" s="1102"/>
      <c r="BK53" s="1102"/>
      <c r="BL53" s="1102"/>
      <c r="BM53" s="1102"/>
      <c r="BN53" s="1102"/>
      <c r="BO53" s="1102"/>
      <c r="BP53" s="1102"/>
      <c r="BQ53" s="1102"/>
      <c r="BR53" s="1102"/>
      <c r="BS53" s="1102"/>
      <c r="BT53" s="1102"/>
      <c r="BU53" s="1102"/>
      <c r="BV53" s="1102"/>
      <c r="BW53" s="1102"/>
      <c r="BX53" s="1102"/>
      <c r="BY53" s="1102"/>
      <c r="BZ53" s="1102"/>
      <c r="CA53" s="1102"/>
      <c r="CB53" s="1102"/>
      <c r="CC53" s="1102"/>
      <c r="CD53" s="1102"/>
      <c r="CE53" s="1102"/>
      <c r="CF53" s="1102"/>
      <c r="CG53" s="1102"/>
      <c r="CH53" s="1102"/>
      <c r="CI53" s="1102"/>
      <c r="CJ53" s="1102"/>
      <c r="CK53" s="1102"/>
      <c r="CL53" s="1102"/>
      <c r="CM53" s="1102"/>
      <c r="CN53" s="1102"/>
      <c r="CO53" s="1102"/>
      <c r="CP53" s="1102"/>
      <c r="CQ53" s="1102"/>
      <c r="CR53" s="1102"/>
      <c r="CS53" s="1102"/>
      <c r="CT53" s="1102"/>
      <c r="CU53" s="1102"/>
      <c r="CV53" s="1102"/>
      <c r="CW53" s="1102"/>
      <c r="CX53" s="1102"/>
      <c r="CY53" s="1102"/>
      <c r="CZ53" s="1102"/>
      <c r="DA53" s="1102"/>
      <c r="DB53" s="1102"/>
      <c r="DC53" s="1102"/>
      <c r="DD53" s="1102"/>
      <c r="DE53" s="1102"/>
      <c r="DF53" s="1102"/>
      <c r="DG53" s="1102"/>
      <c r="DH53" s="1102"/>
      <c r="DI53" s="1102"/>
      <c r="DJ53" s="1102"/>
      <c r="DK53" s="1102"/>
      <c r="DL53" s="1102"/>
      <c r="DM53" s="1102"/>
      <c r="DN53" s="1102"/>
      <c r="DO53" s="1102"/>
      <c r="DP53" s="1102"/>
      <c r="DQ53" s="1102"/>
      <c r="DR53" s="1102"/>
      <c r="DS53" s="1102"/>
      <c r="DT53" s="1102"/>
      <c r="DU53" s="1102"/>
      <c r="DV53" s="1102"/>
      <c r="DW53" s="1102"/>
      <c r="DX53" s="1102"/>
      <c r="DY53" s="1102"/>
      <c r="DZ53" s="1102"/>
      <c r="EA53" s="1102"/>
      <c r="EB53" s="1102"/>
      <c r="EC53" s="1102"/>
      <c r="ED53" s="1102"/>
      <c r="EE53" s="1102"/>
      <c r="EF53" s="1102"/>
      <c r="EG53" s="1102"/>
      <c r="EH53" s="1102"/>
      <c r="EI53" s="1102"/>
      <c r="EJ53" s="1102"/>
      <c r="EK53" s="1102"/>
      <c r="EL53" s="1102"/>
      <c r="EM53" s="1102"/>
      <c r="EN53" s="1102"/>
      <c r="EO53" s="1102"/>
      <c r="EP53" s="1102"/>
      <c r="EQ53" s="1102"/>
      <c r="ER53" s="1102"/>
      <c r="ES53" s="1102"/>
      <c r="ET53" s="1102"/>
      <c r="EU53" s="1102"/>
      <c r="EV53" s="1102"/>
      <c r="EW53" s="1102"/>
      <c r="EX53" s="1102"/>
      <c r="EY53" s="1102"/>
      <c r="EZ53" s="1102"/>
      <c r="FA53" s="1102"/>
      <c r="FB53" s="1102"/>
      <c r="FC53" s="1102"/>
      <c r="FD53" s="1102"/>
      <c r="FE53" s="1102"/>
      <c r="FF53" s="1102"/>
      <c r="FG53" s="1102"/>
      <c r="FH53" s="1102"/>
      <c r="FI53" s="1102"/>
      <c r="FJ53" s="1102"/>
      <c r="FK53" s="1102"/>
      <c r="FL53" s="1102"/>
      <c r="FM53" s="1102"/>
      <c r="FN53" s="1102"/>
      <c r="FO53" s="1102"/>
      <c r="FP53" s="1102"/>
      <c r="FQ53" s="1102"/>
      <c r="FR53" s="1102"/>
      <c r="FS53" s="1102"/>
      <c r="FT53" s="1102"/>
      <c r="FU53" s="1102"/>
      <c r="FV53" s="1102"/>
      <c r="FW53" s="1103"/>
      <c r="FX53" s="1304"/>
      <c r="FY53" s="1304"/>
      <c r="FZ53" s="1055"/>
      <c r="GA53" s="1306"/>
      <c r="GB53" s="1306"/>
      <c r="GC53" s="1305"/>
      <c r="GD53" s="1305"/>
    </row>
    <row customHeight="1" ht="14.625" hidden="1">
      <c r="A54" s="493"/>
      <c r="B54" s="925" cm="1" t="str">
        <f t="array" ref="B54:B54">B53</f>
        <v>false</v>
      </c>
      <c r="C54" s="493"/>
      <c r="D54" s="493"/>
      <c r="E54" s="840">
        <v>15</v>
      </c>
      <c r="F54" s="50" cm="1" t="str">
        <f t="array" ref="F54:F54">OFFSET(E54,-1,1)</f>
        <v>0</v>
      </c>
      <c r="G54" s="493"/>
      <c r="H54" s="493" t="s">
        <v>2295</v>
      </c>
      <c r="I54" s="493" t="s">
        <v>2340</v>
      </c>
      <c r="J54" s="493"/>
      <c r="K54" s="493"/>
      <c r="L54" s="493"/>
      <c r="M54" s="493"/>
      <c r="N54" s="493"/>
      <c r="O54" s="493"/>
      <c r="P54" s="493"/>
      <c r="Q54" s="493"/>
      <c r="R54" s="493"/>
      <c r="S54" s="493"/>
      <c r="T54" s="465" cm="1" t="str">
        <f t="array" ref="T54:T54">T53</f>
        <v>false</v>
      </c>
      <c r="U54" s="493"/>
      <c r="V54" s="493"/>
      <c r="W54" s="493"/>
      <c r="X54" s="1596"/>
      <c r="Y54" s="493"/>
      <c r="Z54" s="1545"/>
      <c r="AA54" s="493"/>
      <c r="AB54" s="1091" t="s">
        <v>2370</v>
      </c>
      <c r="AC54" s="864" t="s">
        <v>2337</v>
      </c>
      <c r="AD54" s="2846">
        <f>IF(AD56=0,0,(AD55*AD56+AD57*AD58*IF(god=2026,3,6))/AD56)</f>
        <v>0</v>
      </c>
      <c r="AE54" s="2846">
        <f>IF(AE56=0,0,(AE55*AE56+AE57*AE58*IF(god=2026,3,6))/AE56)</f>
        <v>0</v>
      </c>
      <c r="AF54" s="1093">
        <f>IF(AD54=0,0,(AE54-AD54)/AD54*100)</f>
        <v>0</v>
      </c>
      <c r="AG54" s="2846">
        <f>IF(AG56=0,0,(AG55*AG56+AG57*AG58*IF(god=2025,3,6))/AG56)</f>
        <v>0</v>
      </c>
      <c r="AH54" s="2846">
        <f>IF(AH56=0,0,(AH55*AH56+AH57*AH58*IF(god=2025,3,6))/AH56)</f>
        <v>0</v>
      </c>
      <c r="AI54" s="1093">
        <f>IF(AG54=0,0,(AH54-AG54)/AG54*100)</f>
        <v>0</v>
      </c>
      <c r="AJ54" s="2846">
        <f>IF(AJ56=0,0,(AJ55*AJ56+AJ57*AJ58*6)/AJ56)</f>
        <v>0</v>
      </c>
      <c r="AK54" s="2846">
        <f>IF(AK56=0,0,(AK55*AK56+AK57*AK58*6)/AK56)</f>
        <v>0</v>
      </c>
      <c r="AL54" s="1093">
        <f>IF(AJ54=0,0,(AK54-AJ54)/AJ54*100)</f>
        <v>0</v>
      </c>
      <c r="AM54" s="2846">
        <f>IF(AM56=0,0,(AM55*AM56+AM57*AM58*6)/AM56)</f>
        <v>0</v>
      </c>
      <c r="AN54" s="2846">
        <f>IF(AN56=0,0,(AN55*AN56+AN57*AN58*6)/AN56)</f>
        <v>0</v>
      </c>
      <c r="AO54" s="1093">
        <f>IF(AM54=0,0,(AN54-AM54)/AM54*100)</f>
        <v>0</v>
      </c>
      <c r="AP54" s="2846">
        <f>IF(AP56=0,0,(AP55*AP56+AP57*AP58*6)/AP56)</f>
        <v>0</v>
      </c>
      <c r="AQ54" s="2846">
        <f>IF(AQ56=0,0,(AQ55*AQ56+AQ57*AQ58*6)/AQ56)</f>
        <v>0</v>
      </c>
      <c r="AR54" s="1093">
        <f>IF(AP54=0,0,(AQ54-AP54)/AP54*100)</f>
        <v>0</v>
      </c>
      <c r="AS54" s="2846">
        <f>IF(AS56=0,0,(AS55*AS56+AS57*AS58*6)/AS56)</f>
        <v>0</v>
      </c>
      <c r="AT54" s="2846">
        <f>IF(AT56=0,0,(AT55*AT56+AT57*AT58*6)/AT56)</f>
        <v>0</v>
      </c>
      <c r="AU54" s="1093">
        <f>IF(AS54=0,0,(AT54-AS54)/AS54*100)</f>
        <v>0</v>
      </c>
      <c r="AV54" s="2846">
        <f>IF(AV56=0,0,(AV55*AV56+AV57*AV58*6)/AV56)</f>
        <v>0</v>
      </c>
      <c r="AW54" s="2846">
        <f>IF(AW56=0,0,(AW55*AW56+AW57*AW58*6)/AW56)</f>
        <v>0</v>
      </c>
      <c r="AX54" s="1093">
        <f>IF(AV54=0,0,(AW54-AV54)/AV54*100)</f>
        <v>0</v>
      </c>
      <c r="AY54" s="2846">
        <f>IF(AY56=0,0,(AY55*AY56+AY57*AY58*6)/AY56)</f>
        <v>0</v>
      </c>
      <c r="AZ54" s="2846">
        <f>IF(AZ56=0,0,(AZ55*AZ56+AZ57*AZ58*6)/AZ56)</f>
        <v>0</v>
      </c>
      <c r="BA54" s="1093">
        <f>IF(AY54=0,0,(AZ54-AY54)/AY54*100)</f>
        <v>0</v>
      </c>
      <c r="BB54" s="2846">
        <f>IF(BB56=0,0,(BB55*BB56+BB57*BB58*6)/BB56)</f>
        <v>0</v>
      </c>
      <c r="BC54" s="2846">
        <f>IF(BC56=0,0,(BC55*BC56+BC57*BC58*6)/BC56)</f>
        <v>0</v>
      </c>
      <c r="BD54" s="1093">
        <f>IF(BB54=0,0,(BC54-BB54)/BB54*100)</f>
        <v>0</v>
      </c>
      <c r="BE54" s="2846">
        <f>IF(BE56=0,0,(BE55*BE56+BE57*BE58*6)/BE56)</f>
        <v>0</v>
      </c>
      <c r="BF54" s="2846">
        <f>IF(BF56=0,0,(BF55*BF56+BF57*BF58*6)/BF56)</f>
        <v>0</v>
      </c>
      <c r="BG54" s="1093">
        <f>IF(BE54=0,0,(BF54-BE54)/BE54*100)</f>
        <v>0</v>
      </c>
      <c r="BH54" s="2846">
        <f>IF(BH56=0,0,(BH55*BH56+BH57*BH58*6)/BH56)</f>
        <v>0</v>
      </c>
      <c r="BI54" s="2846">
        <f>IF(BI56=0,0,(BI55*BI56+BI57*BI58*6)/BI56)</f>
        <v>0</v>
      </c>
      <c r="BJ54" s="1093">
        <f>IF(BH54=0,0,(BI54-BH54)/BH54*100)</f>
        <v>0</v>
      </c>
      <c r="BK54" s="2846">
        <f>IF(BK56=0,0,(BK55*BK56+BK57*BK58*6)/BK56)</f>
        <v>0</v>
      </c>
      <c r="BL54" s="2846">
        <f>IF(BL56=0,0,(BL55*BL56+BL57*BL58*6)/BL56)</f>
        <v>0</v>
      </c>
      <c r="BM54" s="1093">
        <f>IF(BK54=0,0,(BL54-BK54)/BK54*100)</f>
        <v>0</v>
      </c>
      <c r="BN54" s="2846">
        <f>IF(BN56=0,0,(BN55*BN56+BN57*BN58*6)/BN56)</f>
        <v>0</v>
      </c>
      <c r="BO54" s="2846">
        <f>IF(BO56=0,0,(BO55*BO56+BO57*BO58*6)/BO56)</f>
        <v>0</v>
      </c>
      <c r="BP54" s="1093">
        <f>IF(BN54=0,0,(BO54-BN54)/BN54*100)</f>
        <v>0</v>
      </c>
      <c r="BQ54" s="2846">
        <f>IF(BQ56=0,0,(BQ55*BQ56+BQ57*BQ58*6)/BQ56)</f>
        <v>0</v>
      </c>
      <c r="BR54" s="2846">
        <f>IF(BR56=0,0,(BR55*BR56+BR57*BR58*6)/BR56)</f>
        <v>0</v>
      </c>
      <c r="BS54" s="1093">
        <f>IF(BQ54=0,0,(BR54-BQ54)/BQ54*100)</f>
        <v>0</v>
      </c>
      <c r="BT54" s="2846">
        <f>IF(BT56=0,0,(BT55*BT56+BT57*BT58*6)/BT56)</f>
        <v>0</v>
      </c>
      <c r="BU54" s="2846">
        <f>IF(BU56=0,0,(BU55*BU56+BU57*BU58*6)/BU56)</f>
        <v>0</v>
      </c>
      <c r="BV54" s="1093">
        <f>IF(BT54=0,0,(BU54-BT54)/BT54*100)</f>
        <v>0</v>
      </c>
      <c r="BW54" s="2846">
        <f>IF(BW56=0,0,(BW55*BW56+BW57*BW58*6)/BW56)</f>
        <v>0</v>
      </c>
      <c r="BX54" s="2846">
        <f>IF(BX56=0,0,(BX55*BX56+BX57*BX58*6)/BX56)</f>
        <v>0</v>
      </c>
      <c r="BY54" s="1093">
        <f>IF(BW54=0,0,(BX54-BW54)/BW54*100)</f>
        <v>0</v>
      </c>
      <c r="BZ54" s="2846">
        <f>IF(BZ56=0,0,(BZ55*BZ56+BZ57*BZ58*6)/BZ56)</f>
        <v>0</v>
      </c>
      <c r="CA54" s="2846">
        <f>IF(CA56=0,0,(CA55*CA56+CA57*CA58*6)/CA56)</f>
        <v>0</v>
      </c>
      <c r="CB54" s="1093">
        <f>IF(BZ54=0,0,(CA54-BZ54)/BZ54*100)</f>
        <v>0</v>
      </c>
      <c r="CC54" s="2846">
        <f>IF(CC56=0,0,(CC55*CC56+CC57*CC58*6)/CC56)</f>
        <v>0</v>
      </c>
      <c r="CD54" s="2846">
        <f>IF(CD56=0,0,(CD55*CD56+CD57*CD58*6)/CD56)</f>
        <v>0</v>
      </c>
      <c r="CE54" s="1093">
        <f>IF(CC54=0,0,(CD54-CC54)/CC54*100)</f>
        <v>0</v>
      </c>
      <c r="CF54" s="2846">
        <f>IF(CF56=0,0,(CF55*CF56+CF57*CF58*6)/CF56)</f>
        <v>0</v>
      </c>
      <c r="CG54" s="2846">
        <f>IF(CG56=0,0,(CG55*CG56+CG57*CG58*6)/CG56)</f>
        <v>0</v>
      </c>
      <c r="CH54" s="1093">
        <f>IF(CF54=0,0,(CG54-CF54)/CF54*100)</f>
        <v>0</v>
      </c>
      <c r="CI54" s="2846">
        <f>IF(CI56=0,0,(CI55*CI56+CI57*CI58*6)/CI56)</f>
        <v>0</v>
      </c>
      <c r="CJ54" s="2846">
        <f>IF(CJ56=0,0,(CJ55*CJ56+CJ57*CJ58*6)/CJ56)</f>
        <v>0</v>
      </c>
      <c r="CK54" s="1093">
        <f>IF(CI54=0,0,(CJ54-CI54)/CI54*100)</f>
        <v>0</v>
      </c>
      <c r="CL54" s="2846">
        <f>IF(CL56=0,0,(CL55*CL56+CL57*CL58*6)/CL56)</f>
        <v>0</v>
      </c>
      <c r="CM54" s="2846">
        <f>IF(CM56=0,0,(CM55*CM56+CM57*CM58*6)/CM56)</f>
        <v>0</v>
      </c>
      <c r="CN54" s="1093">
        <f>IF(CL54=0,0,(CM54-CL54)/CL54*100)</f>
        <v>0</v>
      </c>
      <c r="CO54" s="2846">
        <f>IF(CO56=0,0,(CO55*CO56+CO57*CO58*6)/CO56)</f>
        <v>0</v>
      </c>
      <c r="CP54" s="2846">
        <f>IF(CP56=0,0,(CP55*CP56+CP57*CP58*6)/CP56)</f>
        <v>0</v>
      </c>
      <c r="CQ54" s="1093">
        <f>IF(CO54=0,0,(CP54-CO54)/CO54*100)</f>
        <v>0</v>
      </c>
      <c r="CR54" s="2846">
        <f>IF(CR56=0,0,(CR55*CR56+CR57*CR58*6)/CR56)</f>
        <v>0</v>
      </c>
      <c r="CS54" s="2846">
        <f>IF(CS56=0,0,(CS55*CS56+CS57*CS58*6)/CS56)</f>
        <v>0</v>
      </c>
      <c r="CT54" s="1093">
        <f>IF(CR54=0,0,(CS54-CR54)/CR54*100)</f>
        <v>0</v>
      </c>
      <c r="CU54" s="2846">
        <f>IF(CU56=0,0,(CU55*CU56+CU57*CU58*6)/CU56)</f>
        <v>0</v>
      </c>
      <c r="CV54" s="2846">
        <f>IF(CV56=0,0,(CV55*CV56+CV57*CV58*6)/CV56)</f>
        <v>0</v>
      </c>
      <c r="CW54" s="1093">
        <f>IF(CU54=0,0,(CV54-CU54)/CU54*100)</f>
        <v>0</v>
      </c>
      <c r="CX54" s="2846">
        <f>IF(CX56=0,0,(CX55*CX56+CX57*CX58*6)/CX56)</f>
        <v>0</v>
      </c>
      <c r="CY54" s="2846">
        <f>IF(CY56=0,0,(CY55*CY56+CY57*CY58*6)/CY56)</f>
        <v>0</v>
      </c>
      <c r="CZ54" s="1093">
        <f>IF(CX54=0,0,(CY54-CX54)/CX54*100)</f>
        <v>0</v>
      </c>
      <c r="DA54" s="2846">
        <f>IF(DA56=0,0,(DA55*DA56+DA57*DA58*6)/DA56)</f>
        <v>0</v>
      </c>
      <c r="DB54" s="2846">
        <f>IF(DB56=0,0,(DB55*DB56+DB57*DB58*6)/DB56)</f>
        <v>0</v>
      </c>
      <c r="DC54" s="1093">
        <f>IF(DA54=0,0,(DB54-DA54)/DA54*100)</f>
        <v>0</v>
      </c>
      <c r="DD54" s="2846">
        <f>IF(DD56=0,0,(DD55*DD56+DD57*DD58*6)/DD56)</f>
        <v>0</v>
      </c>
      <c r="DE54" s="2846">
        <f>IF(DE56=0,0,(DE55*DE56+DE57*DE58*6)/DE56)</f>
        <v>0</v>
      </c>
      <c r="DF54" s="1093">
        <f>IF(DD54=0,0,(DE54-DD54)/DD54*100)</f>
        <v>0</v>
      </c>
      <c r="DG54" s="2846">
        <f>IF(DG56=0,0,(DG55*DG56+DG57*DG58*6)/DG56)</f>
        <v>0</v>
      </c>
      <c r="DH54" s="2846">
        <f>IF(DH56=0,0,(DH55*DH56+DH57*DH58*6)/DH56)</f>
        <v>0</v>
      </c>
      <c r="DI54" s="1093">
        <f>IF(DG54=0,0,(DH54-DG54)/DG54*100)</f>
        <v>0</v>
      </c>
      <c r="DJ54" s="2846">
        <f>IF(DJ56=0,0,(DJ55*DJ56+DJ57*DJ58*6)/DJ56)</f>
        <v>0</v>
      </c>
      <c r="DK54" s="2846">
        <f>IF(DK56=0,0,(DK55*DK56+DK57*DK58*6)/DK56)</f>
        <v>0</v>
      </c>
      <c r="DL54" s="1093">
        <f>IF(DJ54=0,0,(DK54-DJ54)/DJ54*100)</f>
        <v>0</v>
      </c>
      <c r="DM54" s="2846">
        <f>IF(DM56=0,0,(DM55*DM56+DM57*DM58*6)/DM56)</f>
        <v>0</v>
      </c>
      <c r="DN54" s="2846">
        <f>IF(DN56=0,0,(DN55*DN56+DN57*DN58*6)/DN56)</f>
        <v>0</v>
      </c>
      <c r="DO54" s="1093">
        <f>IF(DM54=0,0,(DN54-DM54)/DM54*100)</f>
        <v>0</v>
      </c>
      <c r="DP54" s="2846">
        <f>IF(DP56=0,0,(DP55*DP56+DP57*DP58*6)/DP56)</f>
        <v>0</v>
      </c>
      <c r="DQ54" s="2846">
        <f>IF(DQ56=0,0,(DQ55*DQ56+DQ57*DQ58*6)/DQ56)</f>
        <v>0</v>
      </c>
      <c r="DR54" s="1093">
        <f>IF(DP54=0,0,(DQ54-DP54)/DP54*100)</f>
        <v>0</v>
      </c>
      <c r="DS54" s="2846">
        <f>IF(DS56=0,0,(DS55*DS56+DS57*DS58*6)/DS56)</f>
        <v>0</v>
      </c>
      <c r="DT54" s="2846">
        <f>IF(DT56=0,0,(DT55*DT56+DT57*DT58*6)/DT56)</f>
        <v>0</v>
      </c>
      <c r="DU54" s="1093">
        <f>IF(DS54=0,0,(DT54-DS54)/DS54*100)</f>
        <v>0</v>
      </c>
      <c r="DV54" s="2846">
        <f>IF(DV56=0,0,(DV55*DV56+DV57*DV58*6)/DV56)</f>
        <v>0</v>
      </c>
      <c r="DW54" s="2846">
        <f>IF(DW56=0,0,(DW55*DW56+DW57*DW58*6)/DW56)</f>
        <v>0</v>
      </c>
      <c r="DX54" s="1093">
        <f>IF(DV54=0,0,(DW54-DV54)/DV54*100)</f>
        <v>0</v>
      </c>
      <c r="DY54" s="2846">
        <f>IF(DY56=0,0,(DY55*DY56+DY57*DY58*6)/DY56)</f>
        <v>0</v>
      </c>
      <c r="DZ54" s="2846">
        <f>IF(DZ56=0,0,(DZ55*DZ56+DZ57*DZ58*6)/DZ56)</f>
        <v>0</v>
      </c>
      <c r="EA54" s="1093">
        <f>IF(DY54=0,0,(DZ54-DY54)/DY54*100)</f>
        <v>0</v>
      </c>
      <c r="EB54" s="2846">
        <f>IF(EB56=0,0,(EB55*EB56+EB57*EB58*6)/EB56)</f>
        <v>0</v>
      </c>
      <c r="EC54" s="2846">
        <f>IF(EC56=0,0,(EC55*EC56+EC57*EC58*6)/EC56)</f>
        <v>0</v>
      </c>
      <c r="ED54" s="1093">
        <f>IF(EB54=0,0,(EC54-EB54)/EB54*100)</f>
        <v>0</v>
      </c>
      <c r="EE54" s="2846">
        <f>IF(EE56=0,0,(EE55*EE56+EE57*EE58*6)/EE56)</f>
        <v>0</v>
      </c>
      <c r="EF54" s="2846">
        <f>IF(EF56=0,0,(EF55*EF56+EF57*EF58*6)/EF56)</f>
        <v>0</v>
      </c>
      <c r="EG54" s="1093">
        <f>IF(EE54=0,0,(EF54-EE54)/EE54*100)</f>
        <v>0</v>
      </c>
      <c r="EH54" s="2846">
        <f>IF(EH56=0,0,(EH55*EH56+EH57*EH58*6)/EH56)</f>
        <v>0</v>
      </c>
      <c r="EI54" s="2846">
        <f>IF(EI56=0,0,(EI55*EI56+EI57*EI58*6)/EI56)</f>
        <v>0</v>
      </c>
      <c r="EJ54" s="1093">
        <f>IF(EH54=0,0,(EI54-EH54)/EH54*100)</f>
        <v>0</v>
      </c>
      <c r="EK54" s="2846">
        <f>IF(EK56=0,0,(EK55*EK56+EK57*EK58*6)/EK56)</f>
        <v>0</v>
      </c>
      <c r="EL54" s="2846">
        <f>IF(EL56=0,0,(EL55*EL56+EL57*EL58*6)/EL56)</f>
        <v>0</v>
      </c>
      <c r="EM54" s="1093">
        <f>IF(EK54=0,0,(EL54-EK54)/EK54*100)</f>
        <v>0</v>
      </c>
      <c r="EN54" s="2846">
        <f>IF(EN56=0,0,(EN55*EN56+EN57*EN58*6)/EN56)</f>
        <v>0</v>
      </c>
      <c r="EO54" s="2846">
        <f>IF(EO56=0,0,(EO55*EO56+EO57*EO58*6)/EO56)</f>
        <v>0</v>
      </c>
      <c r="EP54" s="1093">
        <f>IF(EN54=0,0,(EO54-EN54)/EN54*100)</f>
        <v>0</v>
      </c>
      <c r="EQ54" s="2846">
        <f>IF(EQ56=0,0,(EQ55*EQ56+EQ57*EQ58*6)/EQ56)</f>
        <v>0</v>
      </c>
      <c r="ER54" s="2846">
        <f>IF(ER56=0,0,(ER55*ER56+ER57*ER58*6)/ER56)</f>
        <v>0</v>
      </c>
      <c r="ES54" s="1093">
        <f>IF(EQ54=0,0,(ER54-EQ54)/EQ54*100)</f>
        <v>0</v>
      </c>
      <c r="ET54" s="2846">
        <f>IF(ET56=0,0,(ET55*ET56+ET57*ET58*6)/ET56)</f>
        <v>0</v>
      </c>
      <c r="EU54" s="2846">
        <f>IF(EU56=0,0,(EU55*EU56+EU57*EU58*6)/EU56)</f>
        <v>0</v>
      </c>
      <c r="EV54" s="1093">
        <f>IF(ET54=0,0,(EU54-ET54)/ET54*100)</f>
        <v>0</v>
      </c>
      <c r="EW54" s="2846">
        <f>IF(EW56=0,0,(EW55*EW56+EW57*EW58*6)/EW56)</f>
        <v>0</v>
      </c>
      <c r="EX54" s="2846">
        <f>IF(EX56=0,0,(EX55*EX56+EX57*EX58*6)/EX56)</f>
        <v>0</v>
      </c>
      <c r="EY54" s="1093">
        <f>IF(EW54=0,0,(EX54-EW54)/EW54*100)</f>
        <v>0</v>
      </c>
      <c r="EZ54" s="2846">
        <f>IF(EZ56=0,0,(EZ55*EZ56+EZ57*EZ58*6)/EZ56)</f>
        <v>0</v>
      </c>
      <c r="FA54" s="2846">
        <f>IF(FA56=0,0,(FA55*FA56+FA57*FA58*6)/FA56)</f>
        <v>0</v>
      </c>
      <c r="FB54" s="1093">
        <f>IF(EZ54=0,0,(FA54-EZ54)/EZ54*100)</f>
        <v>0</v>
      </c>
      <c r="FC54" s="2846">
        <f>IF(FC56=0,0,(FC55*FC56+FC57*FC58*6)/FC56)</f>
        <v>0</v>
      </c>
      <c r="FD54" s="2846">
        <f>IF(FD56=0,0,(FD55*FD56+FD57*FD58*6)/FD56)</f>
        <v>0</v>
      </c>
      <c r="FE54" s="1093">
        <f>IF(FC54=0,0,(FD54-FC54)/FC54*100)</f>
        <v>0</v>
      </c>
      <c r="FF54" s="2846">
        <f>IF(FF56=0,0,(FF55*FF56+FF57*FF58*6)/FF56)</f>
        <v>0</v>
      </c>
      <c r="FG54" s="2846">
        <f>IF(FG56=0,0,(FG55*FG56+FG57*FG58*6)/FG56)</f>
        <v>0</v>
      </c>
      <c r="FH54" s="1093">
        <f>IF(FF54=0,0,(FG54-FF54)/FF54*100)</f>
        <v>0</v>
      </c>
      <c r="FI54" s="2846">
        <f>IF(FI56=0,0,(FI55*FI56+FI57*FI58*6)/FI56)</f>
        <v>0</v>
      </c>
      <c r="FJ54" s="2846">
        <f>IF(FJ56=0,0,(FJ55*FJ56+FJ57*FJ58*6)/FJ56)</f>
        <v>0</v>
      </c>
      <c r="FK54" s="1093">
        <f>IF(FI54=0,0,(FJ54-FI54)/FI54*100)</f>
        <v>0</v>
      </c>
      <c r="FL54" s="2846">
        <f>IF(FL56=0,0,(FL55*FL56+FL57*FL58*6)/FL56)</f>
        <v>0</v>
      </c>
      <c r="FM54" s="2846">
        <f>IF(FM56=0,0,(FM55*FM56+FM57*FM58*6)/FM56)</f>
        <v>0</v>
      </c>
      <c r="FN54" s="1093">
        <f>IF(FL54=0,0,(FM54-FL54)/FL54*100)</f>
        <v>0</v>
      </c>
      <c r="FO54" s="2846">
        <f>IF(FO56=0,0,(FO55*FO56+FO57*FO58*6)/FO56)</f>
        <v>0</v>
      </c>
      <c r="FP54" s="2846">
        <f>IF(FP56=0,0,(FP55*FP56+FP57*FP58*6)/FP56)</f>
        <v>0</v>
      </c>
      <c r="FQ54" s="1093">
        <f>IF(FO54=0,0,(FP54-FO54)/FO54*100)</f>
        <v>0</v>
      </c>
      <c r="FR54" s="2846">
        <f>IF(FR56=0,0,(FR55*FR56+FR57*FR58*6)/FR56)</f>
        <v>0</v>
      </c>
      <c r="FS54" s="2846">
        <f>IF(FS56=0,0,(FS55*FS56+FS57*FS58*6)/FS56)</f>
        <v>0</v>
      </c>
      <c r="FT54" s="1093">
        <f>IF(FR54=0,0,(FS54-FR54)/FR54*100)</f>
        <v>0</v>
      </c>
      <c r="FU54" s="2846">
        <f>IF(FU56=0,0,(FU55*FU56+FU57*FU58*6)/FU56)</f>
        <v>0</v>
      </c>
      <c r="FV54" s="2846">
        <f>IF(FV56=0,0,(FV55*FV56+FV57*FV58*6)/FV56)</f>
        <v>0</v>
      </c>
      <c r="FW54" s="1093">
        <f>IF(FU54=0,0,(FV54-FU54)/FU54*100)</f>
        <v>0</v>
      </c>
      <c r="FX54" s="1304"/>
      <c r="FY54" s="1304"/>
      <c r="FZ54" s="1055" t="s">
        <v>2384</v>
      </c>
      <c r="GA54" s="1306"/>
      <c r="GB54" s="1306"/>
      <c r="GC54" s="1305"/>
      <c r="GD54" s="1305"/>
    </row>
    <row customHeight="1" ht="14.625" hidden="1">
      <c r="A55" s="493"/>
      <c r="B55" s="925" cm="1" t="str">
        <f t="array" ref="B55:B55">B54</f>
        <v>false</v>
      </c>
      <c r="C55" s="493"/>
      <c r="D55" s="493"/>
      <c r="E55" s="840">
        <v>15</v>
      </c>
      <c r="F55" s="50" cm="1" t="str">
        <f t="array" ref="F55:F55">OFFSET(E55,-1,1)</f>
        <v>0</v>
      </c>
      <c r="G55" s="493"/>
      <c r="H55" s="493" t="s">
        <v>2299</v>
      </c>
      <c r="I55" s="493" t="s">
        <v>2340</v>
      </c>
      <c r="J55" s="493"/>
      <c r="K55" s="493"/>
      <c r="L55" s="493"/>
      <c r="M55" s="493"/>
      <c r="N55" s="493"/>
      <c r="O55" s="493"/>
      <c r="P55" s="493"/>
      <c r="Q55" s="493"/>
      <c r="R55" s="493"/>
      <c r="S55" s="493"/>
      <c r="T55" s="465" cm="1" t="str">
        <f t="array" ref="T55:T55">T54</f>
        <v>false</v>
      </c>
      <c r="U55" s="493"/>
      <c r="V55" s="493"/>
      <c r="W55" s="493"/>
      <c r="X55" s="1596"/>
      <c r="Y55" s="493"/>
      <c r="Z55" s="1545"/>
      <c r="AA55" s="493"/>
      <c r="AB55" s="1091" t="str">
        <f>"ставка платы за "&amp;IF(Q29="Водоснабжение","потребление 1 куб.м холодной воды","объем принятых сточных вод")</f>
        <v>ставка платы за объем принятых сточных вод</v>
      </c>
      <c r="AC55" s="864" t="s">
        <v>2337</v>
      </c>
      <c r="AD55" s="2846"/>
      <c r="AE55" s="2846"/>
      <c r="AF55" s="1093">
        <f>IF(AD55=0,0,(AE55-AD55)/AD55*100)</f>
        <v>0</v>
      </c>
      <c r="AG55" s="2846"/>
      <c r="AH55" s="2846"/>
      <c r="AI55" s="1093">
        <f>IF(AG55=0,0,(AH55-AG55)/AG55*100)</f>
        <v>0</v>
      </c>
      <c r="AJ55" s="2846"/>
      <c r="AK55" s="2846"/>
      <c r="AL55" s="1093">
        <f>IF(AJ55=0,0,(AK55-AJ55)/AJ55*100)</f>
        <v>0</v>
      </c>
      <c r="AM55" s="2846"/>
      <c r="AN55" s="2846"/>
      <c r="AO55" s="1093">
        <f>IF(AM55=0,0,(AN55-AM55)/AM55*100)</f>
        <v>0</v>
      </c>
      <c r="AP55" s="2846"/>
      <c r="AQ55" s="2846"/>
      <c r="AR55" s="1093">
        <f>IF(AP55=0,0,(AQ55-AP55)/AP55*100)</f>
        <v>0</v>
      </c>
      <c r="AS55" s="2846"/>
      <c r="AT55" s="2846"/>
      <c r="AU55" s="1093">
        <f>IF(AS55=0,0,(AT55-AS55)/AS55*100)</f>
        <v>0</v>
      </c>
      <c r="AV55" s="2846"/>
      <c r="AW55" s="2846"/>
      <c r="AX55" s="1093">
        <f>IF(AV55=0,0,(AW55-AV55)/AV55*100)</f>
        <v>0</v>
      </c>
      <c r="AY55" s="2846"/>
      <c r="AZ55" s="2846"/>
      <c r="BA55" s="1093">
        <f>IF(AY55=0,0,(AZ55-AY55)/AY55*100)</f>
        <v>0</v>
      </c>
      <c r="BB55" s="2846"/>
      <c r="BC55" s="2846"/>
      <c r="BD55" s="1093">
        <f>IF(BB55=0,0,(BC55-BB55)/BB55*100)</f>
        <v>0</v>
      </c>
      <c r="BE55" s="2846"/>
      <c r="BF55" s="2846"/>
      <c r="BG55" s="1093">
        <f>IF(BE55=0,0,(BF55-BE55)/BE55*100)</f>
        <v>0</v>
      </c>
      <c r="BH55" s="2846"/>
      <c r="BI55" s="2846"/>
      <c r="BJ55" s="1093">
        <f>IF(BH55=0,0,(BI55-BH55)/BH55*100)</f>
        <v>0</v>
      </c>
      <c r="BK55" s="2846"/>
      <c r="BL55" s="2846"/>
      <c r="BM55" s="1093">
        <f>IF(BK55=0,0,(BL55-BK55)/BK55*100)</f>
        <v>0</v>
      </c>
      <c r="BN55" s="2846"/>
      <c r="BO55" s="2846"/>
      <c r="BP55" s="1093">
        <f>IF(BN55=0,0,(BO55-BN55)/BN55*100)</f>
        <v>0</v>
      </c>
      <c r="BQ55" s="2846"/>
      <c r="BR55" s="2846"/>
      <c r="BS55" s="1093">
        <f>IF(BQ55=0,0,(BR55-BQ55)/BQ55*100)</f>
        <v>0</v>
      </c>
      <c r="BT55" s="2846"/>
      <c r="BU55" s="2846"/>
      <c r="BV55" s="1093">
        <f>IF(BT55=0,0,(BU55-BT55)/BT55*100)</f>
        <v>0</v>
      </c>
      <c r="BW55" s="2846"/>
      <c r="BX55" s="2846"/>
      <c r="BY55" s="1093">
        <f>IF(BW55=0,0,(BX55-BW55)/BW55*100)</f>
        <v>0</v>
      </c>
      <c r="BZ55" s="2846"/>
      <c r="CA55" s="2846"/>
      <c r="CB55" s="1093">
        <f>IF(BZ55=0,0,(CA55-BZ55)/BZ55*100)</f>
        <v>0</v>
      </c>
      <c r="CC55" s="2846"/>
      <c r="CD55" s="2846"/>
      <c r="CE55" s="1093">
        <f>IF(CC55=0,0,(CD55-CC55)/CC55*100)</f>
        <v>0</v>
      </c>
      <c r="CF55" s="2846"/>
      <c r="CG55" s="2846"/>
      <c r="CH55" s="1093">
        <f>IF(CF55=0,0,(CG55-CF55)/CF55*100)</f>
        <v>0</v>
      </c>
      <c r="CI55" s="2846"/>
      <c r="CJ55" s="2846"/>
      <c r="CK55" s="1093">
        <f>IF(CI55=0,0,(CJ55-CI55)/CI55*100)</f>
        <v>0</v>
      </c>
      <c r="CL55" s="2846"/>
      <c r="CM55" s="2846"/>
      <c r="CN55" s="1093">
        <f>IF(CL55=0,0,(CM55-CL55)/CL55*100)</f>
        <v>0</v>
      </c>
      <c r="CO55" s="2846"/>
      <c r="CP55" s="2846"/>
      <c r="CQ55" s="1093">
        <f>IF(CO55=0,0,(CP55-CO55)/CO55*100)</f>
        <v>0</v>
      </c>
      <c r="CR55" s="2846"/>
      <c r="CS55" s="2846"/>
      <c r="CT55" s="1093">
        <f>IF(CR55=0,0,(CS55-CR55)/CR55*100)</f>
        <v>0</v>
      </c>
      <c r="CU55" s="2846"/>
      <c r="CV55" s="2846"/>
      <c r="CW55" s="1093">
        <f>IF(CU55=0,0,(CV55-CU55)/CU55*100)</f>
        <v>0</v>
      </c>
      <c r="CX55" s="2846"/>
      <c r="CY55" s="2846"/>
      <c r="CZ55" s="1093">
        <f>IF(CX55=0,0,(CY55-CX55)/CX55*100)</f>
        <v>0</v>
      </c>
      <c r="DA55" s="2846"/>
      <c r="DB55" s="2846"/>
      <c r="DC55" s="1093">
        <f>IF(DA55=0,0,(DB55-DA55)/DA55*100)</f>
        <v>0</v>
      </c>
      <c r="DD55" s="2846"/>
      <c r="DE55" s="2846"/>
      <c r="DF55" s="1093">
        <f>IF(DD55=0,0,(DE55-DD55)/DD55*100)</f>
        <v>0</v>
      </c>
      <c r="DG55" s="2846"/>
      <c r="DH55" s="2846"/>
      <c r="DI55" s="1093">
        <f>IF(DG55=0,0,(DH55-DG55)/DG55*100)</f>
        <v>0</v>
      </c>
      <c r="DJ55" s="2846"/>
      <c r="DK55" s="2846"/>
      <c r="DL55" s="1093">
        <f>IF(DJ55=0,0,(DK55-DJ55)/DJ55*100)</f>
        <v>0</v>
      </c>
      <c r="DM55" s="2846"/>
      <c r="DN55" s="2846"/>
      <c r="DO55" s="1093">
        <f>IF(DM55=0,0,(DN55-DM55)/DM55*100)</f>
        <v>0</v>
      </c>
      <c r="DP55" s="2846"/>
      <c r="DQ55" s="2846"/>
      <c r="DR55" s="1093">
        <f>IF(DP55=0,0,(DQ55-DP55)/DP55*100)</f>
        <v>0</v>
      </c>
      <c r="DS55" s="2846"/>
      <c r="DT55" s="2846"/>
      <c r="DU55" s="1093">
        <f>IF(DS55=0,0,(DT55-DS55)/DS55*100)</f>
        <v>0</v>
      </c>
      <c r="DV55" s="2846"/>
      <c r="DW55" s="2846"/>
      <c r="DX55" s="1093">
        <f>IF(DV55=0,0,(DW55-DV55)/DV55*100)</f>
        <v>0</v>
      </c>
      <c r="DY55" s="2846"/>
      <c r="DZ55" s="2846"/>
      <c r="EA55" s="1093">
        <f>IF(DY55=0,0,(DZ55-DY55)/DY55*100)</f>
        <v>0</v>
      </c>
      <c r="EB55" s="2846"/>
      <c r="EC55" s="2846"/>
      <c r="ED55" s="1093">
        <f>IF(EB55=0,0,(EC55-EB55)/EB55*100)</f>
        <v>0</v>
      </c>
      <c r="EE55" s="2846"/>
      <c r="EF55" s="2846"/>
      <c r="EG55" s="1093">
        <f>IF(EE55=0,0,(EF55-EE55)/EE55*100)</f>
        <v>0</v>
      </c>
      <c r="EH55" s="2846"/>
      <c r="EI55" s="2846"/>
      <c r="EJ55" s="1093">
        <f>IF(EH55=0,0,(EI55-EH55)/EH55*100)</f>
        <v>0</v>
      </c>
      <c r="EK55" s="2846"/>
      <c r="EL55" s="2846"/>
      <c r="EM55" s="1093">
        <f>IF(EK55=0,0,(EL55-EK55)/EK55*100)</f>
        <v>0</v>
      </c>
      <c r="EN55" s="2846"/>
      <c r="EO55" s="2846"/>
      <c r="EP55" s="1093">
        <f>IF(EN55=0,0,(EO55-EN55)/EN55*100)</f>
        <v>0</v>
      </c>
      <c r="EQ55" s="2846"/>
      <c r="ER55" s="2846"/>
      <c r="ES55" s="1093">
        <f>IF(EQ55=0,0,(ER55-EQ55)/EQ55*100)</f>
        <v>0</v>
      </c>
      <c r="ET55" s="2846"/>
      <c r="EU55" s="2846"/>
      <c r="EV55" s="1093">
        <f>IF(ET55=0,0,(EU55-ET55)/ET55*100)</f>
        <v>0</v>
      </c>
      <c r="EW55" s="2846"/>
      <c r="EX55" s="2846"/>
      <c r="EY55" s="1093">
        <f>IF(EW55=0,0,(EX55-EW55)/EW55*100)</f>
        <v>0</v>
      </c>
      <c r="EZ55" s="2846"/>
      <c r="FA55" s="2846"/>
      <c r="FB55" s="1093">
        <f>IF(EZ55=0,0,(FA55-EZ55)/EZ55*100)</f>
        <v>0</v>
      </c>
      <c r="FC55" s="2846"/>
      <c r="FD55" s="2846"/>
      <c r="FE55" s="1093">
        <f>IF(FC55=0,0,(FD55-FC55)/FC55*100)</f>
        <v>0</v>
      </c>
      <c r="FF55" s="2846"/>
      <c r="FG55" s="2846"/>
      <c r="FH55" s="1093">
        <f>IF(FF55=0,0,(FG55-FF55)/FF55*100)</f>
        <v>0</v>
      </c>
      <c r="FI55" s="2846"/>
      <c r="FJ55" s="2846"/>
      <c r="FK55" s="1093">
        <f>IF(FI55=0,0,(FJ55-FI55)/FI55*100)</f>
        <v>0</v>
      </c>
      <c r="FL55" s="2846"/>
      <c r="FM55" s="2846"/>
      <c r="FN55" s="1093">
        <f>IF(FL55=0,0,(FM55-FL55)/FL55*100)</f>
        <v>0</v>
      </c>
      <c r="FO55" s="2846"/>
      <c r="FP55" s="2846"/>
      <c r="FQ55" s="1093">
        <f>IF(FO55=0,0,(FP55-FO55)/FO55*100)</f>
        <v>0</v>
      </c>
      <c r="FR55" s="2846"/>
      <c r="FS55" s="2846"/>
      <c r="FT55" s="1093">
        <f>IF(FR55=0,0,(FS55-FR55)/FR55*100)</f>
        <v>0</v>
      </c>
      <c r="FU55" s="2846"/>
      <c r="FV55" s="2846"/>
      <c r="FW55" s="1093">
        <f>IF(FU55=0,0,(FV55-FU55)/FU55*100)</f>
        <v>0</v>
      </c>
      <c r="FX55" s="1304"/>
      <c r="FY55" s="1304"/>
      <c r="FZ55" s="1055" t="s">
        <v>2385</v>
      </c>
      <c r="GA55" s="1306"/>
      <c r="GB55" s="1306"/>
      <c r="GC55" s="1305"/>
      <c r="GD55" s="1305"/>
    </row>
    <row customHeight="1" ht="14.625" hidden="1">
      <c r="A56" s="493"/>
      <c r="B56" s="925" cm="1" t="str">
        <f t="array" ref="B56:B56">B55</f>
        <v>false</v>
      </c>
      <c r="C56" s="493"/>
      <c r="D56" s="493"/>
      <c r="E56" s="840">
        <v>15</v>
      </c>
      <c r="F56" s="50" cm="1" t="str">
        <f t="array" ref="F56:F56">OFFSET(E56,-1,1)</f>
        <v>0</v>
      </c>
      <c r="G56" s="107" t="s">
        <v>2386</v>
      </c>
      <c r="H56" s="493" t="s">
        <v>2374</v>
      </c>
      <c r="I56" s="493" t="s">
        <v>2340</v>
      </c>
      <c r="J56" s="493"/>
      <c r="K56" s="493"/>
      <c r="L56" s="493"/>
      <c r="M56" s="493"/>
      <c r="N56" s="493"/>
      <c r="O56" s="493"/>
      <c r="P56" s="493"/>
      <c r="Q56" s="493"/>
      <c r="R56" s="493"/>
      <c r="S56" s="493"/>
      <c r="T56" s="465" cm="1" t="str">
        <f t="array" ref="T56:T56">T55</f>
        <v>false</v>
      </c>
      <c r="U56" s="493"/>
      <c r="V56" s="493"/>
      <c r="W56" s="493"/>
      <c r="X56" s="1596"/>
      <c r="Y56" s="493"/>
      <c r="Z56" s="1545"/>
      <c r="AA56" s="493"/>
      <c r="AB56" s="1091" t="str">
        <f>"объём "&amp;IF(Q29="Водоснабжение","потребления холодной воды","водоотведения")</f>
        <v>объём водоотведения</v>
      </c>
      <c r="AC56" s="864" t="s">
        <v>1247</v>
      </c>
      <c r="AD56" s="5247">
        <f>IF(AND(method_reg="Метод индексации",god&lt;&gt;first_year),_xlfn.SUMIFS(INDEX('Калькуляция (МИ корр)'!$AJ$25:$BC$747,,MATCH(AD$8,'Калькуляция (МИ корр)'!$AJ$8:$BC$8,0)),'Калькуляция (МИ корр)'!$F$25:$F$747,$F56,'Калькуляция (МИ корр)'!$G$25:$G$747,$G56),IF(method_reg="Метод экономически обоснованных расходов",_xlfn.SUMIFS('Калькуляция (МЭОР)'!$AJ$25:$AJ$452,'Калькуляция (МЭОР)'!$F$25:$F$452,$F56,'Калькуляция (МЭОР)'!$G$25:$G$452,$G56),IF(method_reg="Метод сравнения аналогов",_xlfn.SUMIFS('Калькуляция (МСА)'!$AE$25:$AE$122,'Калькуляция (МСА)'!$F$25:$F$122,$F56,'Калькуляция (МСА)'!$G$25:$G$122,$G56),_xlfn.SUMIFS(INDEX('Калькуляция (МИ)'!$AJ$25:$BC$747,,MATCH(AD$8,'Калькуляция (МИ)'!$AJ$8:$BC$8,0)),'Калькуляция (МИ)'!$F$25:$F$747,$F56,'Калькуляция (МИ)'!$G$25:$G$747,$G56))))</f>
        <v>0</v>
      </c>
      <c r="AE56" s="5247">
        <f>IF(AND(method_reg="Метод индексации",god&lt;&gt;first_year),_xlfn.SUMIFS(INDEX('Калькуляция (МИ корр)'!$AJ$25:$BC$747,,MATCH(AE$8,'Калькуляция (МИ корр)'!$AJ$8:$BC$8,0)),'Калькуляция (МИ корр)'!$F$25:$F$747,$F56,'Калькуляция (МИ корр)'!$G$25:$G$747,$G56),IF(method_reg="Метод экономически обоснованных расходов",_xlfn.SUMIFS('Калькуляция (МЭОР)'!$AK$25:$AK$452,'Калькуляция (МЭОР)'!$F$25:$F$452,$F56,'Калькуляция (МЭОР)'!$G$25:$G$452,$G56),IF(method_reg="Метод сравнения аналогов",_xlfn.SUMIFS('Калькуляция (МСА)'!$AF$25:$AF$122,'Калькуляция (МСА)'!$F$25:$F$122,$F56,'Калькуляция (МСА)'!$G$25:$G$122,$G56),_xlfn.SUMIFS(INDEX('Калькуляция (МИ)'!$AJ$25:$BC$747,,MATCH(AE$8,'Калькуляция (МИ)'!$AJ$8:$BC$8,0)),'Калькуляция (МИ)'!$F$25:$F$747,$F56,'Калькуляция (МИ)'!$G$25:$G$747,$G56))))</f>
        <v>0</v>
      </c>
      <c r="AF56" s="1095">
        <f>IF(AD56=0,0,(AE56-AD56)/AD56*100)</f>
        <v>0</v>
      </c>
      <c r="AG56" s="5247">
        <f>IF(AND(method_reg="Метод индексации",god&lt;&gt;first_year),_xlfn.SUMIFS(INDEX('Калькуляция (МИ корр)'!$AJ$25:$BC$747,,MATCH(AG$8,'Калькуляция (МИ корр)'!$AJ$8:$BC$8,0)),'Калькуляция (МИ корр)'!$F$25:$F$747,$F56,'Калькуляция (МИ корр)'!$G$25:$G$747,$G56),IF(method_reg="Метод экономически обоснованных расходов",_xlfn.SUMIFS('Калькуляция (МЭОР)'!$AJ$25:$AJ$452,'Калькуляция (МЭОР)'!$F$25:$F$452,$F56,'Калькуляция (МЭОР)'!$G$25:$G$452,$G56),IF(method_reg="Метод сравнения аналогов",_xlfn.SUMIFS('Калькуляция (МСА)'!$AE$25:$AE$122,'Калькуляция (МСА)'!$F$25:$F$122,$F56,'Калькуляция (МСА)'!$G$25:$G$122,$G56),_xlfn.SUMIFS(INDEX('Калькуляция (МИ)'!$AJ$25:$BC$747,,MATCH(AG$8,'Калькуляция (МИ)'!$AJ$8:$BC$8,0)),'Калькуляция (МИ)'!$F$25:$F$747,$F56,'Калькуляция (МИ)'!$G$25:$G$747,$G56))))</f>
        <v>0</v>
      </c>
      <c r="AH56" s="5247">
        <f>IF(AND(method_reg="Метод индексации",god&lt;&gt;first_year),_xlfn.SUMIFS(INDEX('Калькуляция (МИ корр)'!$AJ$25:$BC$747,,MATCH(AH$8,'Калькуляция (МИ корр)'!$AJ$8:$BC$8,0)),'Калькуляция (МИ корр)'!$F$25:$F$747,$F56,'Калькуляция (МИ корр)'!$G$25:$G$747,$G56),IF(method_reg="Метод экономически обоснованных расходов",_xlfn.SUMIFS('Калькуляция (МЭОР)'!$AK$25:$AK$452,'Калькуляция (МЭОР)'!$F$25:$F$452,$F56,'Калькуляция (МЭОР)'!$G$25:$G$452,$G56),IF(method_reg="Метод сравнения аналогов",_xlfn.SUMIFS('Калькуляция (МСА)'!$AF$25:$AF$122,'Калькуляция (МСА)'!$F$25:$F$122,$F56,'Калькуляция (МСА)'!$G$25:$G$122,$G56),_xlfn.SUMIFS(INDEX('Калькуляция (МИ)'!$AJ$25:$BC$747,,MATCH(AH$8,'Калькуляция (МИ)'!$AJ$8:$BC$8,0)),'Калькуляция (МИ)'!$F$25:$F$747,$F56,'Калькуляция (МИ)'!$G$25:$G$747,$G56))))</f>
        <v>0</v>
      </c>
      <c r="AI56" s="1095">
        <f>IF(AG56=0,0,(AH56-AG56)/AG56*100)</f>
        <v>0</v>
      </c>
      <c r="AJ56" s="5247">
        <f>IF(AND(method_reg="Метод индексации",god&lt;&gt;first_year),_xlfn.SUMIFS(INDEX('Калькуляция (МИ корр)'!$AJ$25:$BC$747,,MATCH(AJ$8,'Калькуляция (МИ корр)'!$AJ$8:$BC$8,0)),'Калькуляция (МИ корр)'!$F$25:$F$747,$F56,'Калькуляция (МИ корр)'!$G$25:$G$747,$G56),IF(method_reg="Метод экономически обоснованных расходов",_xlfn.SUMIFS('Калькуляция (МЭОР)'!$AJ$25:$AJ$452,'Калькуляция (МЭОР)'!$F$25:$F$452,$F56,'Калькуляция (МЭОР)'!$G$25:$G$452,$G56),IF(method_reg="Метод сравнения аналогов",_xlfn.SUMIFS('Калькуляция (МСА)'!$AE$25:$AE$122,'Калькуляция (МСА)'!$F$25:$F$122,$F56,'Калькуляция (МСА)'!$G$25:$G$122,$G56),_xlfn.SUMIFS(INDEX('Калькуляция (МИ)'!$AJ$25:$BC$747,,MATCH(AJ$8,'Калькуляция (МИ)'!$AJ$8:$BC$8,0)),'Калькуляция (МИ)'!$F$25:$F$747,$F56,'Калькуляция (МИ)'!$G$25:$G$747,$G56))))</f>
        <v>0</v>
      </c>
      <c r="AK56" s="5247">
        <f>IF(AND(method_reg="Метод индексации",god&lt;&gt;first_year),_xlfn.SUMIFS(INDEX('Калькуляция (МИ корр)'!$AJ$25:$BC$747,,MATCH(AK$8,'Калькуляция (МИ корр)'!$AJ$8:$BC$8,0)),'Калькуляция (МИ корр)'!$F$25:$F$747,$F56,'Калькуляция (МИ корр)'!$G$25:$G$747,$G56),IF(method_reg="Метод экономически обоснованных расходов",_xlfn.SUMIFS('Калькуляция (МЭОР)'!$AK$25:$AK$452,'Калькуляция (МЭОР)'!$F$25:$F$452,$F56,'Калькуляция (МЭОР)'!$G$25:$G$452,$G56),IF(method_reg="Метод сравнения аналогов",_xlfn.SUMIFS('Калькуляция (МСА)'!$AF$25:$AF$122,'Калькуляция (МСА)'!$F$25:$F$122,$F56,'Калькуляция (МСА)'!$G$25:$G$122,$G56),_xlfn.SUMIFS(INDEX('Калькуляция (МИ)'!$AJ$25:$BC$747,,MATCH(AK$8,'Калькуляция (МИ)'!$AJ$8:$BC$8,0)),'Калькуляция (МИ)'!$F$25:$F$747,$F56,'Калькуляция (МИ)'!$G$25:$G$747,$G56))))</f>
        <v>0</v>
      </c>
      <c r="AL56" s="1095">
        <f>IF(AJ56=0,0,(AK56-AJ56)/AJ56*100)</f>
        <v>0</v>
      </c>
      <c r="AM56" s="5247">
        <f>IF(AND(method_reg="Метод индексации",god&lt;&gt;first_year),_xlfn.SUMIFS(INDEX('Калькуляция (МИ корр)'!$AJ$25:$BC$747,,MATCH(AM$8,'Калькуляция (МИ корр)'!$AJ$8:$BC$8,0)),'Калькуляция (МИ корр)'!$F$25:$F$747,$F56,'Калькуляция (МИ корр)'!$G$25:$G$747,$G56),IF(method_reg="Метод экономически обоснованных расходов",_xlfn.SUMIFS('Калькуляция (МЭОР)'!$AJ$25:$AJ$452,'Калькуляция (МЭОР)'!$F$25:$F$452,$F56,'Калькуляция (МЭОР)'!$G$25:$G$452,$G56),IF(method_reg="Метод сравнения аналогов",_xlfn.SUMIFS('Калькуляция (МСА)'!$AE$25:$AE$122,'Калькуляция (МСА)'!$F$25:$F$122,$F56,'Калькуляция (МСА)'!$G$25:$G$122,$G56),_xlfn.SUMIFS(INDEX('Калькуляция (МИ)'!$AJ$25:$BC$747,,MATCH(AM$8,'Калькуляция (МИ)'!$AJ$8:$BC$8,0)),'Калькуляция (МИ)'!$F$25:$F$747,$F56,'Калькуляция (МИ)'!$G$25:$G$747,$G56))))</f>
        <v>0</v>
      </c>
      <c r="AN56" s="5247">
        <f>IF(AND(method_reg="Метод индексации",god&lt;&gt;first_year),_xlfn.SUMIFS(INDEX('Калькуляция (МИ корр)'!$AJ$25:$BC$747,,MATCH(AN$8,'Калькуляция (МИ корр)'!$AJ$8:$BC$8,0)),'Калькуляция (МИ корр)'!$F$25:$F$747,$F56,'Калькуляция (МИ корр)'!$G$25:$G$747,$G56),IF(method_reg="Метод экономически обоснованных расходов",_xlfn.SUMIFS('Калькуляция (МЭОР)'!$AK$25:$AK$452,'Калькуляция (МЭОР)'!$F$25:$F$452,$F56,'Калькуляция (МЭОР)'!$G$25:$G$452,$G56),IF(method_reg="Метод сравнения аналогов",_xlfn.SUMIFS('Калькуляция (МСА)'!$AF$25:$AF$122,'Калькуляция (МСА)'!$F$25:$F$122,$F56,'Калькуляция (МСА)'!$G$25:$G$122,$G56),_xlfn.SUMIFS(INDEX('Калькуляция (МИ)'!$AJ$25:$BC$747,,MATCH(AN$8,'Калькуляция (МИ)'!$AJ$8:$BC$8,0)),'Калькуляция (МИ)'!$F$25:$F$747,$F56,'Калькуляция (МИ)'!$G$25:$G$747,$G56))))</f>
        <v>0</v>
      </c>
      <c r="AO56" s="1095">
        <f>IF(AM56=0,0,(AN56-AM56)/AM56*100)</f>
        <v>0</v>
      </c>
      <c r="AP56" s="5247">
        <f>IF(AND(method_reg="Метод индексации",god&lt;&gt;first_year),_xlfn.SUMIFS(INDEX('Калькуляция (МИ корр)'!$AJ$25:$BC$747,,MATCH(AP$8,'Калькуляция (МИ корр)'!$AJ$8:$BC$8,0)),'Калькуляция (МИ корр)'!$F$25:$F$747,$F56,'Калькуляция (МИ корр)'!$G$25:$G$747,$G56),IF(method_reg="Метод экономически обоснованных расходов",_xlfn.SUMIFS('Калькуляция (МЭОР)'!$AJ$25:$AJ$452,'Калькуляция (МЭОР)'!$F$25:$F$452,$F56,'Калькуляция (МЭОР)'!$G$25:$G$452,$G56),IF(method_reg="Метод сравнения аналогов",_xlfn.SUMIFS('Калькуляция (МСА)'!$AE$25:$AE$122,'Калькуляция (МСА)'!$F$25:$F$122,$F56,'Калькуляция (МСА)'!$G$25:$G$122,$G56),_xlfn.SUMIFS(INDEX('Калькуляция (МИ)'!$AJ$25:$BC$747,,MATCH(AP$8,'Калькуляция (МИ)'!$AJ$8:$BC$8,0)),'Калькуляция (МИ)'!$F$25:$F$747,$F56,'Калькуляция (МИ)'!$G$25:$G$747,$G56))))</f>
        <v>0</v>
      </c>
      <c r="AQ56" s="5247">
        <f>IF(AND(method_reg="Метод индексации",god&lt;&gt;first_year),_xlfn.SUMIFS(INDEX('Калькуляция (МИ корр)'!$AJ$25:$BC$747,,MATCH(AQ$8,'Калькуляция (МИ корр)'!$AJ$8:$BC$8,0)),'Калькуляция (МИ корр)'!$F$25:$F$747,$F56,'Калькуляция (МИ корр)'!$G$25:$G$747,$G56),IF(method_reg="Метод экономически обоснованных расходов",_xlfn.SUMIFS('Калькуляция (МЭОР)'!$AK$25:$AK$452,'Калькуляция (МЭОР)'!$F$25:$F$452,$F56,'Калькуляция (МЭОР)'!$G$25:$G$452,$G56),IF(method_reg="Метод сравнения аналогов",_xlfn.SUMIFS('Калькуляция (МСА)'!$AF$25:$AF$122,'Калькуляция (МСА)'!$F$25:$F$122,$F56,'Калькуляция (МСА)'!$G$25:$G$122,$G56),_xlfn.SUMIFS(INDEX('Калькуляция (МИ)'!$AJ$25:$BC$747,,MATCH(AQ$8,'Калькуляция (МИ)'!$AJ$8:$BC$8,0)),'Калькуляция (МИ)'!$F$25:$F$747,$F56,'Калькуляция (МИ)'!$G$25:$G$747,$G56))))</f>
        <v>0</v>
      </c>
      <c r="AR56" s="1095">
        <f>IF(AP56=0,0,(AQ56-AP56)/AP56*100)</f>
        <v>0</v>
      </c>
      <c r="AS56" s="5247">
        <f>IF(AND(method_reg="Метод индексации",god&lt;&gt;first_year),_xlfn.SUMIFS(INDEX('Калькуляция (МИ корр)'!$AJ$25:$BC$747,,MATCH(AS$8,'Калькуляция (МИ корр)'!$AJ$8:$BC$8,0)),'Калькуляция (МИ корр)'!$F$25:$F$747,$F56,'Калькуляция (МИ корр)'!$G$25:$G$747,$G56),IF(method_reg="Метод экономически обоснованных расходов",_xlfn.SUMIFS('Калькуляция (МЭОР)'!$AJ$25:$AJ$452,'Калькуляция (МЭОР)'!$F$25:$F$452,$F56,'Калькуляция (МЭОР)'!$G$25:$G$452,$G56),IF(method_reg="Метод сравнения аналогов",_xlfn.SUMIFS('Калькуляция (МСА)'!$AE$25:$AE$122,'Калькуляция (МСА)'!$F$25:$F$122,$F56,'Калькуляция (МСА)'!$G$25:$G$122,$G56),_xlfn.SUMIFS(INDEX('Калькуляция (МИ)'!$AJ$25:$BC$747,,MATCH(AS$8,'Калькуляция (МИ)'!$AJ$8:$BC$8,0)),'Калькуляция (МИ)'!$F$25:$F$747,$F56,'Калькуляция (МИ)'!$G$25:$G$747,$G56))))</f>
        <v>0</v>
      </c>
      <c r="AT56" s="5247">
        <f>IF(AND(method_reg="Метод индексации",god&lt;&gt;first_year),_xlfn.SUMIFS(INDEX('Калькуляция (МИ корр)'!$AJ$25:$BC$747,,MATCH(AT$8,'Калькуляция (МИ корр)'!$AJ$8:$BC$8,0)),'Калькуляция (МИ корр)'!$F$25:$F$747,$F56,'Калькуляция (МИ корр)'!$G$25:$G$747,$G56),IF(method_reg="Метод экономически обоснованных расходов",_xlfn.SUMIFS('Калькуляция (МЭОР)'!$AK$25:$AK$452,'Калькуляция (МЭОР)'!$F$25:$F$452,$F56,'Калькуляция (МЭОР)'!$G$25:$G$452,$G56),IF(method_reg="Метод сравнения аналогов",_xlfn.SUMIFS('Калькуляция (МСА)'!$AF$25:$AF$122,'Калькуляция (МСА)'!$F$25:$F$122,$F56,'Калькуляция (МСА)'!$G$25:$G$122,$G56),_xlfn.SUMIFS(INDEX('Калькуляция (МИ)'!$AJ$25:$BC$747,,MATCH(AT$8,'Калькуляция (МИ)'!$AJ$8:$BC$8,0)),'Калькуляция (МИ)'!$F$25:$F$747,$F56,'Калькуляция (МИ)'!$G$25:$G$747,$G56))))</f>
        <v>0</v>
      </c>
      <c r="AU56" s="1095">
        <f>IF(AS56=0,0,(AT56-AS56)/AS56*100)</f>
        <v>0</v>
      </c>
      <c r="AV56" s="5247">
        <f>IF(AND(method_reg="Метод индексации",god&lt;&gt;first_year),_xlfn.SUMIFS(INDEX('Калькуляция (МИ корр)'!$AJ$25:$BC$747,,MATCH(AV$8,'Калькуляция (МИ корр)'!$AJ$8:$BC$8,0)),'Калькуляция (МИ корр)'!$F$25:$F$747,$F56,'Калькуляция (МИ корр)'!$G$25:$G$747,$G56),IF(method_reg="Метод экономически обоснованных расходов",_xlfn.SUMIFS('Калькуляция (МЭОР)'!$AJ$25:$AJ$452,'Калькуляция (МЭОР)'!$F$25:$F$452,$F56,'Калькуляция (МЭОР)'!$G$25:$G$452,$G56),IF(method_reg="Метод сравнения аналогов",_xlfn.SUMIFS('Калькуляция (МСА)'!$AE$25:$AE$122,'Калькуляция (МСА)'!$F$25:$F$122,$F56,'Калькуляция (МСА)'!$G$25:$G$122,$G56),_xlfn.SUMIFS(INDEX('Калькуляция (МИ)'!$AJ$25:$BC$747,,MATCH(AV$8,'Калькуляция (МИ)'!$AJ$8:$BC$8,0)),'Калькуляция (МИ)'!$F$25:$F$747,$F56,'Калькуляция (МИ)'!$G$25:$G$747,$G56))))</f>
        <v>0</v>
      </c>
      <c r="AW56" s="5247">
        <f>IF(AND(method_reg="Метод индексации",god&lt;&gt;first_year),_xlfn.SUMIFS(INDEX('Калькуляция (МИ корр)'!$AJ$25:$BC$747,,MATCH(AW$8,'Калькуляция (МИ корр)'!$AJ$8:$BC$8,0)),'Калькуляция (МИ корр)'!$F$25:$F$747,$F56,'Калькуляция (МИ корр)'!$G$25:$G$747,$G56),IF(method_reg="Метод экономически обоснованных расходов",_xlfn.SUMIFS('Калькуляция (МЭОР)'!$AK$25:$AK$452,'Калькуляция (МЭОР)'!$F$25:$F$452,$F56,'Калькуляция (МЭОР)'!$G$25:$G$452,$G56),IF(method_reg="Метод сравнения аналогов",_xlfn.SUMIFS('Калькуляция (МСА)'!$AF$25:$AF$122,'Калькуляция (МСА)'!$F$25:$F$122,$F56,'Калькуляция (МСА)'!$G$25:$G$122,$G56),_xlfn.SUMIFS(INDEX('Калькуляция (МИ)'!$AJ$25:$BC$747,,MATCH(AW$8,'Калькуляция (МИ)'!$AJ$8:$BC$8,0)),'Калькуляция (МИ)'!$F$25:$F$747,$F56,'Калькуляция (МИ)'!$G$25:$G$747,$G56))))</f>
        <v>0</v>
      </c>
      <c r="AX56" s="1095">
        <f>IF(AV56=0,0,(AW56-AV56)/AV56*100)</f>
        <v>0</v>
      </c>
      <c r="AY56" s="5247">
        <f>IF(AND(method_reg="Метод индексации",god&lt;&gt;first_year),_xlfn.SUMIFS(INDEX('Калькуляция (МИ корр)'!$AJ$25:$BC$747,,MATCH(AY$8,'Калькуляция (МИ корр)'!$AJ$8:$BC$8,0)),'Калькуляция (МИ корр)'!$F$25:$F$747,$F56,'Калькуляция (МИ корр)'!$G$25:$G$747,$G56),IF(method_reg="Метод экономически обоснованных расходов",_xlfn.SUMIFS('Калькуляция (МЭОР)'!$AJ$25:$AJ$452,'Калькуляция (МЭОР)'!$F$25:$F$452,$F56,'Калькуляция (МЭОР)'!$G$25:$G$452,$G56),IF(method_reg="Метод сравнения аналогов",_xlfn.SUMIFS('Калькуляция (МСА)'!$AE$25:$AE$122,'Калькуляция (МСА)'!$F$25:$F$122,$F56,'Калькуляция (МСА)'!$G$25:$G$122,$G56),_xlfn.SUMIFS(INDEX('Калькуляция (МИ)'!$AJ$25:$BC$747,,MATCH(AY$8,'Калькуляция (МИ)'!$AJ$8:$BC$8,0)),'Калькуляция (МИ)'!$F$25:$F$747,$F56,'Калькуляция (МИ)'!$G$25:$G$747,$G56))))</f>
        <v>0</v>
      </c>
      <c r="AZ56" s="5247">
        <f>IF(AND(method_reg="Метод индексации",god&lt;&gt;first_year),_xlfn.SUMIFS(INDEX('Калькуляция (МИ корр)'!$AJ$25:$BC$747,,MATCH(AZ$8,'Калькуляция (МИ корр)'!$AJ$8:$BC$8,0)),'Калькуляция (МИ корр)'!$F$25:$F$747,$F56,'Калькуляция (МИ корр)'!$G$25:$G$747,$G56),IF(method_reg="Метод экономически обоснованных расходов",_xlfn.SUMIFS('Калькуляция (МЭОР)'!$AK$25:$AK$452,'Калькуляция (МЭОР)'!$F$25:$F$452,$F56,'Калькуляция (МЭОР)'!$G$25:$G$452,$G56),IF(method_reg="Метод сравнения аналогов",_xlfn.SUMIFS('Калькуляция (МСА)'!$AF$25:$AF$122,'Калькуляция (МСА)'!$F$25:$F$122,$F56,'Калькуляция (МСА)'!$G$25:$G$122,$G56),_xlfn.SUMIFS(INDEX('Калькуляция (МИ)'!$AJ$25:$BC$747,,MATCH(AZ$8,'Калькуляция (МИ)'!$AJ$8:$BC$8,0)),'Калькуляция (МИ)'!$F$25:$F$747,$F56,'Калькуляция (МИ)'!$G$25:$G$747,$G56))))</f>
        <v>0</v>
      </c>
      <c r="BA56" s="1095">
        <f>IF(AY56=0,0,(AZ56-AY56)/AY56*100)</f>
        <v>0</v>
      </c>
      <c r="BB56" s="5247">
        <f>IF(AND(method_reg="Метод индексации",god&lt;&gt;first_year),_xlfn.SUMIFS(INDEX('Калькуляция (МИ корр)'!$AJ$25:$BC$747,,MATCH(BB$8,'Калькуляция (МИ корр)'!$AJ$8:$BC$8,0)),'Калькуляция (МИ корр)'!$F$25:$F$747,$F56,'Калькуляция (МИ корр)'!$G$25:$G$747,$G56),IF(method_reg="Метод экономически обоснованных расходов",_xlfn.SUMIFS('Калькуляция (МЭОР)'!$AJ$25:$AJ$452,'Калькуляция (МЭОР)'!$F$25:$F$452,$F56,'Калькуляция (МЭОР)'!$G$25:$G$452,$G56),IF(method_reg="Метод сравнения аналогов",_xlfn.SUMIFS('Калькуляция (МСА)'!$AE$25:$AE$122,'Калькуляция (МСА)'!$F$25:$F$122,$F56,'Калькуляция (МСА)'!$G$25:$G$122,$G56),_xlfn.SUMIFS(INDEX('Калькуляция (МИ)'!$AJ$25:$BC$747,,MATCH(BB$8,'Калькуляция (МИ)'!$AJ$8:$BC$8,0)),'Калькуляция (МИ)'!$F$25:$F$747,$F56,'Калькуляция (МИ)'!$G$25:$G$747,$G56))))</f>
        <v>0</v>
      </c>
      <c r="BC56" s="5247">
        <f>IF(AND(method_reg="Метод индексации",god&lt;&gt;first_year),_xlfn.SUMIFS(INDEX('Калькуляция (МИ корр)'!$AJ$25:$BC$747,,MATCH(BC$8,'Калькуляция (МИ корр)'!$AJ$8:$BC$8,0)),'Калькуляция (МИ корр)'!$F$25:$F$747,$F56,'Калькуляция (МИ корр)'!$G$25:$G$747,$G56),IF(method_reg="Метод экономически обоснованных расходов",_xlfn.SUMIFS('Калькуляция (МЭОР)'!$AK$25:$AK$452,'Калькуляция (МЭОР)'!$F$25:$F$452,$F56,'Калькуляция (МЭОР)'!$G$25:$G$452,$G56),IF(method_reg="Метод сравнения аналогов",_xlfn.SUMIFS('Калькуляция (МСА)'!$AF$25:$AF$122,'Калькуляция (МСА)'!$F$25:$F$122,$F56,'Калькуляция (МСА)'!$G$25:$G$122,$G56),_xlfn.SUMIFS(INDEX('Калькуляция (МИ)'!$AJ$25:$BC$747,,MATCH(BC$8,'Калькуляция (МИ)'!$AJ$8:$BC$8,0)),'Калькуляция (МИ)'!$F$25:$F$747,$F56,'Калькуляция (МИ)'!$G$25:$G$747,$G56))))</f>
        <v>0</v>
      </c>
      <c r="BD56" s="1095">
        <f>IF(BB56=0,0,(BC56-BB56)/BB56*100)</f>
        <v>0</v>
      </c>
      <c r="BE56" s="5247">
        <f>IF(AND(method_reg="Метод индексации",god&lt;&gt;first_year),_xlfn.SUMIFS(INDEX('Калькуляция (МИ корр)'!$AJ$25:$BC$747,,MATCH(BE$8,'Калькуляция (МИ корр)'!$AJ$8:$BC$8,0)),'Калькуляция (МИ корр)'!$F$25:$F$747,$F56,'Калькуляция (МИ корр)'!$G$25:$G$747,$G56),IF(method_reg="Метод экономически обоснованных расходов",_xlfn.SUMIFS('Калькуляция (МЭОР)'!$AJ$25:$AJ$452,'Калькуляция (МЭОР)'!$F$25:$F$452,$F56,'Калькуляция (МЭОР)'!$G$25:$G$452,$G56),IF(method_reg="Метод сравнения аналогов",_xlfn.SUMIFS('Калькуляция (МСА)'!$AE$25:$AE$122,'Калькуляция (МСА)'!$F$25:$F$122,$F56,'Калькуляция (МСА)'!$G$25:$G$122,$G56),_xlfn.SUMIFS(INDEX('Калькуляция (МИ)'!$AJ$25:$BC$747,,MATCH(BE$8,'Калькуляция (МИ)'!$AJ$8:$BC$8,0)),'Калькуляция (МИ)'!$F$25:$F$747,$F56,'Калькуляция (МИ)'!$G$25:$G$747,$G56))))</f>
        <v>0</v>
      </c>
      <c r="BF56" s="5247">
        <f>IF(AND(method_reg="Метод индексации",god&lt;&gt;first_year),_xlfn.SUMIFS(INDEX('Калькуляция (МИ корр)'!$AJ$25:$BC$747,,MATCH(BF$8,'Калькуляция (МИ корр)'!$AJ$8:$BC$8,0)),'Калькуляция (МИ корр)'!$F$25:$F$747,$F56,'Калькуляция (МИ корр)'!$G$25:$G$747,$G56),IF(method_reg="Метод экономически обоснованных расходов",_xlfn.SUMIFS('Калькуляция (МЭОР)'!$AK$25:$AK$452,'Калькуляция (МЭОР)'!$F$25:$F$452,$F56,'Калькуляция (МЭОР)'!$G$25:$G$452,$G56),IF(method_reg="Метод сравнения аналогов",_xlfn.SUMIFS('Калькуляция (МСА)'!$AF$25:$AF$122,'Калькуляция (МСА)'!$F$25:$F$122,$F56,'Калькуляция (МСА)'!$G$25:$G$122,$G56),_xlfn.SUMIFS(INDEX('Калькуляция (МИ)'!$AJ$25:$BC$747,,MATCH(BF$8,'Калькуляция (МИ)'!$AJ$8:$BC$8,0)),'Калькуляция (МИ)'!$F$25:$F$747,$F56,'Калькуляция (МИ)'!$G$25:$G$747,$G56))))</f>
        <v>0</v>
      </c>
      <c r="BG56" s="1104">
        <f>IF(BE56=0,0,(BF56-BE56)/BE56*100)</f>
        <v>0</v>
      </c>
      <c r="BH56" s="5247"/>
      <c r="BI56" s="5247"/>
      <c r="BJ56" s="1104">
        <f>IF(BH56=0,0,(BI56-BH56)/BH56*100)</f>
        <v>0</v>
      </c>
      <c r="BK56" s="5247"/>
      <c r="BL56" s="5247"/>
      <c r="BM56" s="1104">
        <f>IF(BK56=0,0,(BL56-BK56)/BK56*100)</f>
        <v>0</v>
      </c>
      <c r="BN56" s="5247"/>
      <c r="BO56" s="5247"/>
      <c r="BP56" s="1104">
        <f>IF(BN56=0,0,(BO56-BN56)/BN56*100)</f>
        <v>0</v>
      </c>
      <c r="BQ56" s="5247"/>
      <c r="BR56" s="5247"/>
      <c r="BS56" s="1104">
        <f>IF(BQ56=0,0,(BR56-BQ56)/BQ56*100)</f>
        <v>0</v>
      </c>
      <c r="BT56" s="5247"/>
      <c r="BU56" s="5247"/>
      <c r="BV56" s="1104">
        <f>IF(BT56=0,0,(BU56-BT56)/BT56*100)</f>
        <v>0</v>
      </c>
      <c r="BW56" s="5247"/>
      <c r="BX56" s="5247"/>
      <c r="BY56" s="1104">
        <f>IF(BW56=0,0,(BX56-BW56)/BW56*100)</f>
        <v>0</v>
      </c>
      <c r="BZ56" s="5247"/>
      <c r="CA56" s="5247"/>
      <c r="CB56" s="1104">
        <f>IF(BZ56=0,0,(CA56-BZ56)/BZ56*100)</f>
        <v>0</v>
      </c>
      <c r="CC56" s="5247"/>
      <c r="CD56" s="5247"/>
      <c r="CE56" s="1104">
        <f>IF(CC56=0,0,(CD56-CC56)/CC56*100)</f>
        <v>0</v>
      </c>
      <c r="CF56" s="5247"/>
      <c r="CG56" s="5247"/>
      <c r="CH56" s="1104">
        <f>IF(CF56=0,0,(CG56-CF56)/CF56*100)</f>
        <v>0</v>
      </c>
      <c r="CI56" s="5247"/>
      <c r="CJ56" s="5247"/>
      <c r="CK56" s="1104">
        <f>IF(CI56=0,0,(CJ56-CI56)/CI56*100)</f>
        <v>0</v>
      </c>
      <c r="CL56" s="5247"/>
      <c r="CM56" s="5247"/>
      <c r="CN56" s="1104">
        <f>IF(CL56=0,0,(CM56-CL56)/CL56*100)</f>
        <v>0</v>
      </c>
      <c r="CO56" s="5247"/>
      <c r="CP56" s="5247"/>
      <c r="CQ56" s="1104">
        <f>IF(CO56=0,0,(CP56-CO56)/CO56*100)</f>
        <v>0</v>
      </c>
      <c r="CR56" s="5247"/>
      <c r="CS56" s="5247"/>
      <c r="CT56" s="1104">
        <f>IF(CR56=0,0,(CS56-CR56)/CR56*100)</f>
        <v>0</v>
      </c>
      <c r="CU56" s="5247"/>
      <c r="CV56" s="5247"/>
      <c r="CW56" s="1104">
        <f>IF(CU56=0,0,(CV56-CU56)/CU56*100)</f>
        <v>0</v>
      </c>
      <c r="CX56" s="5247"/>
      <c r="CY56" s="5247"/>
      <c r="CZ56" s="1104">
        <f>IF(CX56=0,0,(CY56-CX56)/CX56*100)</f>
        <v>0</v>
      </c>
      <c r="DA56" s="5247"/>
      <c r="DB56" s="5247"/>
      <c r="DC56" s="1104">
        <f>IF(DA56=0,0,(DB56-DA56)/DA56*100)</f>
        <v>0</v>
      </c>
      <c r="DD56" s="5247"/>
      <c r="DE56" s="5247"/>
      <c r="DF56" s="1104">
        <f>IF(DD56=0,0,(DE56-DD56)/DD56*100)</f>
        <v>0</v>
      </c>
      <c r="DG56" s="5247"/>
      <c r="DH56" s="5247"/>
      <c r="DI56" s="1104">
        <f>IF(DG56=0,0,(DH56-DG56)/DG56*100)</f>
        <v>0</v>
      </c>
      <c r="DJ56" s="5247"/>
      <c r="DK56" s="5247"/>
      <c r="DL56" s="1104">
        <f>IF(DJ56=0,0,(DK56-DJ56)/DJ56*100)</f>
        <v>0</v>
      </c>
      <c r="DM56" s="5247"/>
      <c r="DN56" s="5247"/>
      <c r="DO56" s="1104">
        <f>IF(DM56=0,0,(DN56-DM56)/DM56*100)</f>
        <v>0</v>
      </c>
      <c r="DP56" s="5247"/>
      <c r="DQ56" s="5247"/>
      <c r="DR56" s="1104">
        <f>IF(DP56=0,0,(DQ56-DP56)/DP56*100)</f>
        <v>0</v>
      </c>
      <c r="DS56" s="5247"/>
      <c r="DT56" s="5247"/>
      <c r="DU56" s="1104">
        <f>IF(DS56=0,0,(DT56-DS56)/DS56*100)</f>
        <v>0</v>
      </c>
      <c r="DV56" s="5247"/>
      <c r="DW56" s="5247"/>
      <c r="DX56" s="1104">
        <f>IF(DV56=0,0,(DW56-DV56)/DV56*100)</f>
        <v>0</v>
      </c>
      <c r="DY56" s="5247"/>
      <c r="DZ56" s="5247"/>
      <c r="EA56" s="1104">
        <f>IF(DY56=0,0,(DZ56-DY56)/DY56*100)</f>
        <v>0</v>
      </c>
      <c r="EB56" s="5247"/>
      <c r="EC56" s="5247"/>
      <c r="ED56" s="1104">
        <f>IF(EB56=0,0,(EC56-EB56)/EB56*100)</f>
        <v>0</v>
      </c>
      <c r="EE56" s="5247"/>
      <c r="EF56" s="5247"/>
      <c r="EG56" s="1104">
        <f>IF(EE56=0,0,(EF56-EE56)/EE56*100)</f>
        <v>0</v>
      </c>
      <c r="EH56" s="5247"/>
      <c r="EI56" s="5247"/>
      <c r="EJ56" s="1104">
        <f>IF(EH56=0,0,(EI56-EH56)/EH56*100)</f>
        <v>0</v>
      </c>
      <c r="EK56" s="5247"/>
      <c r="EL56" s="5247"/>
      <c r="EM56" s="1104">
        <f>IF(EK56=0,0,(EL56-EK56)/EK56*100)</f>
        <v>0</v>
      </c>
      <c r="EN56" s="5247"/>
      <c r="EO56" s="5247"/>
      <c r="EP56" s="1104">
        <f>IF(EN56=0,0,(EO56-EN56)/EN56*100)</f>
        <v>0</v>
      </c>
      <c r="EQ56" s="5247"/>
      <c r="ER56" s="5247"/>
      <c r="ES56" s="1104">
        <f>IF(EQ56=0,0,(ER56-EQ56)/EQ56*100)</f>
        <v>0</v>
      </c>
      <c r="ET56" s="5247"/>
      <c r="EU56" s="5247"/>
      <c r="EV56" s="1104">
        <f>IF(ET56=0,0,(EU56-ET56)/ET56*100)</f>
        <v>0</v>
      </c>
      <c r="EW56" s="5247"/>
      <c r="EX56" s="5247"/>
      <c r="EY56" s="1104">
        <f>IF(EW56=0,0,(EX56-EW56)/EW56*100)</f>
        <v>0</v>
      </c>
      <c r="EZ56" s="5247"/>
      <c r="FA56" s="5247"/>
      <c r="FB56" s="1104">
        <f>IF(EZ56=0,0,(FA56-EZ56)/EZ56*100)</f>
        <v>0</v>
      </c>
      <c r="FC56" s="5247"/>
      <c r="FD56" s="5247"/>
      <c r="FE56" s="1104">
        <f>IF(FC56=0,0,(FD56-FC56)/FC56*100)</f>
        <v>0</v>
      </c>
      <c r="FF56" s="5247"/>
      <c r="FG56" s="5247"/>
      <c r="FH56" s="1104">
        <f>IF(FF56=0,0,(FG56-FF56)/FF56*100)</f>
        <v>0</v>
      </c>
      <c r="FI56" s="5247"/>
      <c r="FJ56" s="5247"/>
      <c r="FK56" s="1104">
        <f>IF(FI56=0,0,(FJ56-FI56)/FI56*100)</f>
        <v>0</v>
      </c>
      <c r="FL56" s="5247"/>
      <c r="FM56" s="5247"/>
      <c r="FN56" s="1104">
        <f>IF(FL56=0,0,(FM56-FL56)/FL56*100)</f>
        <v>0</v>
      </c>
      <c r="FO56" s="5247"/>
      <c r="FP56" s="5247"/>
      <c r="FQ56" s="1104">
        <f>IF(FO56=0,0,(FP56-FO56)/FO56*100)</f>
        <v>0</v>
      </c>
      <c r="FR56" s="5247"/>
      <c r="FS56" s="5247"/>
      <c r="FT56" s="1104">
        <f>IF(FR56=0,0,(FS56-FR56)/FR56*100)</f>
        <v>0</v>
      </c>
      <c r="FU56" s="5247"/>
      <c r="FV56" s="5247"/>
      <c r="FW56" s="1104">
        <f>IF(FU56=0,0,(FV56-FU56)/FU56*100)</f>
        <v>0</v>
      </c>
      <c r="FX56" s="1304"/>
      <c r="FY56" s="1304"/>
      <c r="FZ56" s="1055" t="s">
        <v>2387</v>
      </c>
      <c r="GA56" s="1306"/>
      <c r="GB56" s="1306"/>
      <c r="GC56" s="1305"/>
      <c r="GD56" s="1305"/>
    </row>
    <row customHeight="1" ht="21.9375" hidden="1">
      <c r="A57" s="493"/>
      <c r="B57" s="925" cm="1" t="str">
        <f t="array" ref="B57:B57">B56</f>
        <v>false</v>
      </c>
      <c r="C57" s="493"/>
      <c r="D57" s="493"/>
      <c r="E57" s="840">
        <v>22.5</v>
      </c>
      <c r="F57" s="50" cm="1" t="str">
        <f t="array" ref="F57:F57">OFFSET(E57,-1,1)</f>
        <v>0</v>
      </c>
      <c r="G57" s="493"/>
      <c r="H57" s="493" t="s">
        <v>2376</v>
      </c>
      <c r="I57" s="493" t="s">
        <v>2340</v>
      </c>
      <c r="J57" s="493"/>
      <c r="K57" s="493"/>
      <c r="L57" s="493"/>
      <c r="M57" s="493"/>
      <c r="N57" s="493"/>
      <c r="O57" s="493"/>
      <c r="P57" s="493"/>
      <c r="Q57" s="493"/>
      <c r="R57" s="493"/>
      <c r="S57" s="493"/>
      <c r="T57" s="465" cm="1" t="str">
        <f t="array" ref="T57:T57">T56</f>
        <v>false</v>
      </c>
      <c r="U57" s="493"/>
      <c r="V57" s="493"/>
      <c r="W57" s="493"/>
      <c r="X57" s="1596"/>
      <c r="Y57" s="493"/>
      <c r="Z57" s="1545"/>
      <c r="AA57" s="493"/>
      <c r="AB57" s="1091"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57" s="864" t="s">
        <v>2377</v>
      </c>
      <c r="AD57" s="2846"/>
      <c r="AE57" s="2846"/>
      <c r="AF57" s="1093">
        <f>IF(AD57=0,0,(AE57-AD57)/AD57*100)</f>
        <v>0</v>
      </c>
      <c r="AG57" s="2846"/>
      <c r="AH57" s="2846"/>
      <c r="AI57" s="1093">
        <f>IF(AG57=0,0,(AH57-AG57)/AG57*100)</f>
        <v>0</v>
      </c>
      <c r="AJ57" s="2846"/>
      <c r="AK57" s="2846"/>
      <c r="AL57" s="1093">
        <f>IF(AJ57=0,0,(AK57-AJ57)/AJ57*100)</f>
        <v>0</v>
      </c>
      <c r="AM57" s="2846"/>
      <c r="AN57" s="2846"/>
      <c r="AO57" s="1093">
        <f>IF(AM57=0,0,(AN57-AM57)/AM57*100)</f>
        <v>0</v>
      </c>
      <c r="AP57" s="2846"/>
      <c r="AQ57" s="2846"/>
      <c r="AR57" s="1093">
        <f>IF(AP57=0,0,(AQ57-AP57)/AP57*100)</f>
        <v>0</v>
      </c>
      <c r="AS57" s="2846"/>
      <c r="AT57" s="2846"/>
      <c r="AU57" s="1093">
        <f>IF(AS57=0,0,(AT57-AS57)/AS57*100)</f>
        <v>0</v>
      </c>
      <c r="AV57" s="2846"/>
      <c r="AW57" s="2846"/>
      <c r="AX57" s="1093">
        <f>IF(AV57=0,0,(AW57-AV57)/AV57*100)</f>
        <v>0</v>
      </c>
      <c r="AY57" s="2846"/>
      <c r="AZ57" s="2846"/>
      <c r="BA57" s="1093">
        <f>IF(AY57=0,0,(AZ57-AY57)/AY57*100)</f>
        <v>0</v>
      </c>
      <c r="BB57" s="2846"/>
      <c r="BC57" s="2846"/>
      <c r="BD57" s="1093">
        <f>IF(BB57=0,0,(BC57-BB57)/BB57*100)</f>
        <v>0</v>
      </c>
      <c r="BE57" s="2846"/>
      <c r="BF57" s="2846"/>
      <c r="BG57" s="1093">
        <f>IF(BE57=0,0,(BF57-BE57)/BE57*100)</f>
        <v>0</v>
      </c>
      <c r="BH57" s="2846"/>
      <c r="BI57" s="2846"/>
      <c r="BJ57" s="1093">
        <f>IF(BH57=0,0,(BI57-BH57)/BH57*100)</f>
        <v>0</v>
      </c>
      <c r="BK57" s="2846"/>
      <c r="BL57" s="2846"/>
      <c r="BM57" s="1093">
        <f>IF(BK57=0,0,(BL57-BK57)/BK57*100)</f>
        <v>0</v>
      </c>
      <c r="BN57" s="2846"/>
      <c r="BO57" s="2846"/>
      <c r="BP57" s="1093">
        <f>IF(BN57=0,0,(BO57-BN57)/BN57*100)</f>
        <v>0</v>
      </c>
      <c r="BQ57" s="2846"/>
      <c r="BR57" s="2846"/>
      <c r="BS57" s="1093">
        <f>IF(BQ57=0,0,(BR57-BQ57)/BQ57*100)</f>
        <v>0</v>
      </c>
      <c r="BT57" s="2846"/>
      <c r="BU57" s="2846"/>
      <c r="BV57" s="1093">
        <f>IF(BT57=0,0,(BU57-BT57)/BT57*100)</f>
        <v>0</v>
      </c>
      <c r="BW57" s="2846"/>
      <c r="BX57" s="2846"/>
      <c r="BY57" s="1093">
        <f>IF(BW57=0,0,(BX57-BW57)/BW57*100)</f>
        <v>0</v>
      </c>
      <c r="BZ57" s="2846"/>
      <c r="CA57" s="2846"/>
      <c r="CB57" s="1093">
        <f>IF(BZ57=0,0,(CA57-BZ57)/BZ57*100)</f>
        <v>0</v>
      </c>
      <c r="CC57" s="2846"/>
      <c r="CD57" s="2846"/>
      <c r="CE57" s="1093">
        <f>IF(CC57=0,0,(CD57-CC57)/CC57*100)</f>
        <v>0</v>
      </c>
      <c r="CF57" s="2846"/>
      <c r="CG57" s="2846"/>
      <c r="CH57" s="1093">
        <f>IF(CF57=0,0,(CG57-CF57)/CF57*100)</f>
        <v>0</v>
      </c>
      <c r="CI57" s="2846"/>
      <c r="CJ57" s="2846"/>
      <c r="CK57" s="1093">
        <f>IF(CI57=0,0,(CJ57-CI57)/CI57*100)</f>
        <v>0</v>
      </c>
      <c r="CL57" s="2846"/>
      <c r="CM57" s="2846"/>
      <c r="CN57" s="1093">
        <f>IF(CL57=0,0,(CM57-CL57)/CL57*100)</f>
        <v>0</v>
      </c>
      <c r="CO57" s="2846"/>
      <c r="CP57" s="2846"/>
      <c r="CQ57" s="1093">
        <f>IF(CO57=0,0,(CP57-CO57)/CO57*100)</f>
        <v>0</v>
      </c>
      <c r="CR57" s="2846"/>
      <c r="CS57" s="2846"/>
      <c r="CT57" s="1093">
        <f>IF(CR57=0,0,(CS57-CR57)/CR57*100)</f>
        <v>0</v>
      </c>
      <c r="CU57" s="2846"/>
      <c r="CV57" s="2846"/>
      <c r="CW57" s="1093">
        <f>IF(CU57=0,0,(CV57-CU57)/CU57*100)</f>
        <v>0</v>
      </c>
      <c r="CX57" s="2846"/>
      <c r="CY57" s="2846"/>
      <c r="CZ57" s="1093">
        <f>IF(CX57=0,0,(CY57-CX57)/CX57*100)</f>
        <v>0</v>
      </c>
      <c r="DA57" s="2846"/>
      <c r="DB57" s="2846"/>
      <c r="DC57" s="1093">
        <f>IF(DA57=0,0,(DB57-DA57)/DA57*100)</f>
        <v>0</v>
      </c>
      <c r="DD57" s="2846"/>
      <c r="DE57" s="2846"/>
      <c r="DF57" s="1093">
        <f>IF(DD57=0,0,(DE57-DD57)/DD57*100)</f>
        <v>0</v>
      </c>
      <c r="DG57" s="2846"/>
      <c r="DH57" s="2846"/>
      <c r="DI57" s="1093">
        <f>IF(DG57=0,0,(DH57-DG57)/DG57*100)</f>
        <v>0</v>
      </c>
      <c r="DJ57" s="2846"/>
      <c r="DK57" s="2846"/>
      <c r="DL57" s="1093">
        <f>IF(DJ57=0,0,(DK57-DJ57)/DJ57*100)</f>
        <v>0</v>
      </c>
      <c r="DM57" s="2846"/>
      <c r="DN57" s="2846"/>
      <c r="DO57" s="1093">
        <f>IF(DM57=0,0,(DN57-DM57)/DM57*100)</f>
        <v>0</v>
      </c>
      <c r="DP57" s="2846"/>
      <c r="DQ57" s="2846"/>
      <c r="DR57" s="1093">
        <f>IF(DP57=0,0,(DQ57-DP57)/DP57*100)</f>
        <v>0</v>
      </c>
      <c r="DS57" s="2846"/>
      <c r="DT57" s="2846"/>
      <c r="DU57" s="1093">
        <f>IF(DS57=0,0,(DT57-DS57)/DS57*100)</f>
        <v>0</v>
      </c>
      <c r="DV57" s="2846"/>
      <c r="DW57" s="2846"/>
      <c r="DX57" s="1093">
        <f>IF(DV57=0,0,(DW57-DV57)/DV57*100)</f>
        <v>0</v>
      </c>
      <c r="DY57" s="2846"/>
      <c r="DZ57" s="2846"/>
      <c r="EA57" s="1093">
        <f>IF(DY57=0,0,(DZ57-DY57)/DY57*100)</f>
        <v>0</v>
      </c>
      <c r="EB57" s="2846"/>
      <c r="EC57" s="2846"/>
      <c r="ED57" s="1093">
        <f>IF(EB57=0,0,(EC57-EB57)/EB57*100)</f>
        <v>0</v>
      </c>
      <c r="EE57" s="2846"/>
      <c r="EF57" s="2846"/>
      <c r="EG57" s="1093">
        <f>IF(EE57=0,0,(EF57-EE57)/EE57*100)</f>
        <v>0</v>
      </c>
      <c r="EH57" s="2846"/>
      <c r="EI57" s="2846"/>
      <c r="EJ57" s="1093">
        <f>IF(EH57=0,0,(EI57-EH57)/EH57*100)</f>
        <v>0</v>
      </c>
      <c r="EK57" s="2846"/>
      <c r="EL57" s="2846"/>
      <c r="EM57" s="1093">
        <f>IF(EK57=0,0,(EL57-EK57)/EK57*100)</f>
        <v>0</v>
      </c>
      <c r="EN57" s="2846"/>
      <c r="EO57" s="2846"/>
      <c r="EP57" s="1093">
        <f>IF(EN57=0,0,(EO57-EN57)/EN57*100)</f>
        <v>0</v>
      </c>
      <c r="EQ57" s="2846"/>
      <c r="ER57" s="2846"/>
      <c r="ES57" s="1093">
        <f>IF(EQ57=0,0,(ER57-EQ57)/EQ57*100)</f>
        <v>0</v>
      </c>
      <c r="ET57" s="2846"/>
      <c r="EU57" s="2846"/>
      <c r="EV57" s="1093">
        <f>IF(ET57=0,0,(EU57-ET57)/ET57*100)</f>
        <v>0</v>
      </c>
      <c r="EW57" s="2846"/>
      <c r="EX57" s="2846"/>
      <c r="EY57" s="1093">
        <f>IF(EW57=0,0,(EX57-EW57)/EW57*100)</f>
        <v>0</v>
      </c>
      <c r="EZ57" s="2846"/>
      <c r="FA57" s="2846"/>
      <c r="FB57" s="1093">
        <f>IF(EZ57=0,0,(FA57-EZ57)/EZ57*100)</f>
        <v>0</v>
      </c>
      <c r="FC57" s="2846"/>
      <c r="FD57" s="2846"/>
      <c r="FE57" s="1093">
        <f>IF(FC57=0,0,(FD57-FC57)/FC57*100)</f>
        <v>0</v>
      </c>
      <c r="FF57" s="2846"/>
      <c r="FG57" s="2846"/>
      <c r="FH57" s="1093">
        <f>IF(FF57=0,0,(FG57-FF57)/FF57*100)</f>
        <v>0</v>
      </c>
      <c r="FI57" s="2846"/>
      <c r="FJ57" s="2846"/>
      <c r="FK57" s="1093">
        <f>IF(FI57=0,0,(FJ57-FI57)/FI57*100)</f>
        <v>0</v>
      </c>
      <c r="FL57" s="2846"/>
      <c r="FM57" s="2846"/>
      <c r="FN57" s="1093">
        <f>IF(FL57=0,0,(FM57-FL57)/FL57*100)</f>
        <v>0</v>
      </c>
      <c r="FO57" s="2846"/>
      <c r="FP57" s="2846"/>
      <c r="FQ57" s="1093">
        <f>IF(FO57=0,0,(FP57-FO57)/FO57*100)</f>
        <v>0</v>
      </c>
      <c r="FR57" s="2846"/>
      <c r="FS57" s="2846"/>
      <c r="FT57" s="1093">
        <f>IF(FR57=0,0,(FS57-FR57)/FR57*100)</f>
        <v>0</v>
      </c>
      <c r="FU57" s="2846"/>
      <c r="FV57" s="2846"/>
      <c r="FW57" s="1093">
        <f>IF(FU57=0,0,(FV57-FU57)/FU57*100)</f>
        <v>0</v>
      </c>
      <c r="FX57" s="1304"/>
      <c r="FY57" s="1304"/>
      <c r="FZ57" s="1055" t="s">
        <v>2388</v>
      </c>
      <c r="GA57" s="1306"/>
      <c r="GB57" s="1306"/>
      <c r="GC57" s="1305"/>
      <c r="GD57" s="1305"/>
    </row>
    <row customHeight="1" ht="14.625" hidden="1">
      <c r="A58" s="493"/>
      <c r="B58" s="925" cm="1" t="str">
        <f t="array" ref="B58:B58">B57</f>
        <v>false</v>
      </c>
      <c r="C58" s="493"/>
      <c r="D58" s="493"/>
      <c r="E58" s="840">
        <v>15</v>
      </c>
      <c r="F58" s="50" cm="1" t="str">
        <f t="array" ref="F58:F58">OFFSET(E58,-1,1)</f>
        <v>0</v>
      </c>
      <c r="G58" s="493"/>
      <c r="H58" s="493" t="s">
        <v>2379</v>
      </c>
      <c r="I58" s="493" t="s">
        <v>2340</v>
      </c>
      <c r="J58" s="493"/>
      <c r="K58" s="493"/>
      <c r="L58" s="493"/>
      <c r="M58" s="493"/>
      <c r="N58" s="493"/>
      <c r="O58" s="493"/>
      <c r="P58" s="493"/>
      <c r="Q58" s="493"/>
      <c r="R58" s="493"/>
      <c r="S58" s="493"/>
      <c r="T58" s="465" cm="1" t="str">
        <f t="array" ref="T58:T58">T57</f>
        <v>false</v>
      </c>
      <c r="U58" s="493"/>
      <c r="V58" s="493"/>
      <c r="W58" s="493"/>
      <c r="X58" s="1596"/>
      <c r="Y58" s="493"/>
      <c r="Z58" s="1545"/>
      <c r="AA58" s="493"/>
      <c r="AB58" s="1091" t="s">
        <v>2380</v>
      </c>
      <c r="AC58" s="864" t="s">
        <v>2381</v>
      </c>
      <c r="AD58" s="2846"/>
      <c r="AE58" s="2846"/>
      <c r="AF58" s="1093">
        <f>IF(AD58=0,0,(AE58-AD58)/AD58*100)</f>
        <v>0</v>
      </c>
      <c r="AG58" s="2846"/>
      <c r="AH58" s="2846"/>
      <c r="AI58" s="1093">
        <f>IF(AG58=0,0,(AH58-AG58)/AG58*100)</f>
        <v>0</v>
      </c>
      <c r="AJ58" s="2846"/>
      <c r="AK58" s="2846"/>
      <c r="AL58" s="1093">
        <f>IF(AJ58=0,0,(AK58-AJ58)/AJ58*100)</f>
        <v>0</v>
      </c>
      <c r="AM58" s="2846"/>
      <c r="AN58" s="2846"/>
      <c r="AO58" s="1093">
        <f>IF(AM58=0,0,(AN58-AM58)/AM58*100)</f>
        <v>0</v>
      </c>
      <c r="AP58" s="2846"/>
      <c r="AQ58" s="2846"/>
      <c r="AR58" s="1093">
        <f>IF(AP58=0,0,(AQ58-AP58)/AP58*100)</f>
        <v>0</v>
      </c>
      <c r="AS58" s="2846"/>
      <c r="AT58" s="2846"/>
      <c r="AU58" s="1093">
        <f>IF(AS58=0,0,(AT58-AS58)/AS58*100)</f>
        <v>0</v>
      </c>
      <c r="AV58" s="2846"/>
      <c r="AW58" s="2846"/>
      <c r="AX58" s="1093">
        <f>IF(AV58=0,0,(AW58-AV58)/AV58*100)</f>
        <v>0</v>
      </c>
      <c r="AY58" s="2846"/>
      <c r="AZ58" s="2846"/>
      <c r="BA58" s="1093">
        <f>IF(AY58=0,0,(AZ58-AY58)/AY58*100)</f>
        <v>0</v>
      </c>
      <c r="BB58" s="2846"/>
      <c r="BC58" s="2846"/>
      <c r="BD58" s="1093">
        <f>IF(BB58=0,0,(BC58-BB58)/BB58*100)</f>
        <v>0</v>
      </c>
      <c r="BE58" s="2846"/>
      <c r="BF58" s="2846"/>
      <c r="BG58" s="1093">
        <f>IF(BE58=0,0,(BF58-BE58)/BE58*100)</f>
        <v>0</v>
      </c>
      <c r="BH58" s="2846"/>
      <c r="BI58" s="2846"/>
      <c r="BJ58" s="1093">
        <f>IF(BH58=0,0,(BI58-BH58)/BH58*100)</f>
        <v>0</v>
      </c>
      <c r="BK58" s="2846"/>
      <c r="BL58" s="2846"/>
      <c r="BM58" s="1093">
        <f>IF(BK58=0,0,(BL58-BK58)/BK58*100)</f>
        <v>0</v>
      </c>
      <c r="BN58" s="2846"/>
      <c r="BO58" s="2846"/>
      <c r="BP58" s="1093">
        <f>IF(BN58=0,0,(BO58-BN58)/BN58*100)</f>
        <v>0</v>
      </c>
      <c r="BQ58" s="2846"/>
      <c r="BR58" s="2846"/>
      <c r="BS58" s="1093">
        <f>IF(BQ58=0,0,(BR58-BQ58)/BQ58*100)</f>
        <v>0</v>
      </c>
      <c r="BT58" s="2846"/>
      <c r="BU58" s="2846"/>
      <c r="BV58" s="1093">
        <f>IF(BT58=0,0,(BU58-BT58)/BT58*100)</f>
        <v>0</v>
      </c>
      <c r="BW58" s="2846"/>
      <c r="BX58" s="2846"/>
      <c r="BY58" s="1093">
        <f>IF(BW58=0,0,(BX58-BW58)/BW58*100)</f>
        <v>0</v>
      </c>
      <c r="BZ58" s="2846"/>
      <c r="CA58" s="2846"/>
      <c r="CB58" s="1093">
        <f>IF(BZ58=0,0,(CA58-BZ58)/BZ58*100)</f>
        <v>0</v>
      </c>
      <c r="CC58" s="2846"/>
      <c r="CD58" s="2846"/>
      <c r="CE58" s="1093">
        <f>IF(CC58=0,0,(CD58-CC58)/CC58*100)</f>
        <v>0</v>
      </c>
      <c r="CF58" s="2846"/>
      <c r="CG58" s="2846"/>
      <c r="CH58" s="1093">
        <f>IF(CF58=0,0,(CG58-CF58)/CF58*100)</f>
        <v>0</v>
      </c>
      <c r="CI58" s="2846"/>
      <c r="CJ58" s="2846"/>
      <c r="CK58" s="1093">
        <f>IF(CI58=0,0,(CJ58-CI58)/CI58*100)</f>
        <v>0</v>
      </c>
      <c r="CL58" s="2846"/>
      <c r="CM58" s="2846"/>
      <c r="CN58" s="1093">
        <f>IF(CL58=0,0,(CM58-CL58)/CL58*100)</f>
        <v>0</v>
      </c>
      <c r="CO58" s="2846"/>
      <c r="CP58" s="2846"/>
      <c r="CQ58" s="1093">
        <f>IF(CO58=0,0,(CP58-CO58)/CO58*100)</f>
        <v>0</v>
      </c>
      <c r="CR58" s="2846"/>
      <c r="CS58" s="2846"/>
      <c r="CT58" s="1093">
        <f>IF(CR58=0,0,(CS58-CR58)/CR58*100)</f>
        <v>0</v>
      </c>
      <c r="CU58" s="2846"/>
      <c r="CV58" s="2846"/>
      <c r="CW58" s="1093">
        <f>IF(CU58=0,0,(CV58-CU58)/CU58*100)</f>
        <v>0</v>
      </c>
      <c r="CX58" s="2846"/>
      <c r="CY58" s="2846"/>
      <c r="CZ58" s="1093">
        <f>IF(CX58=0,0,(CY58-CX58)/CX58*100)</f>
        <v>0</v>
      </c>
      <c r="DA58" s="2846"/>
      <c r="DB58" s="2846"/>
      <c r="DC58" s="1093">
        <f>IF(DA58=0,0,(DB58-DA58)/DA58*100)</f>
        <v>0</v>
      </c>
      <c r="DD58" s="2846"/>
      <c r="DE58" s="2846"/>
      <c r="DF58" s="1093">
        <f>IF(DD58=0,0,(DE58-DD58)/DD58*100)</f>
        <v>0</v>
      </c>
      <c r="DG58" s="2846"/>
      <c r="DH58" s="2846"/>
      <c r="DI58" s="1093">
        <f>IF(DG58=0,0,(DH58-DG58)/DG58*100)</f>
        <v>0</v>
      </c>
      <c r="DJ58" s="2846"/>
      <c r="DK58" s="2846"/>
      <c r="DL58" s="1093">
        <f>IF(DJ58=0,0,(DK58-DJ58)/DJ58*100)</f>
        <v>0</v>
      </c>
      <c r="DM58" s="2846"/>
      <c r="DN58" s="2846"/>
      <c r="DO58" s="1093">
        <f>IF(DM58=0,0,(DN58-DM58)/DM58*100)</f>
        <v>0</v>
      </c>
      <c r="DP58" s="2846"/>
      <c r="DQ58" s="2846"/>
      <c r="DR58" s="1093">
        <f>IF(DP58=0,0,(DQ58-DP58)/DP58*100)</f>
        <v>0</v>
      </c>
      <c r="DS58" s="2846"/>
      <c r="DT58" s="2846"/>
      <c r="DU58" s="1093">
        <f>IF(DS58=0,0,(DT58-DS58)/DS58*100)</f>
        <v>0</v>
      </c>
      <c r="DV58" s="2846"/>
      <c r="DW58" s="2846"/>
      <c r="DX58" s="1093">
        <f>IF(DV58=0,0,(DW58-DV58)/DV58*100)</f>
        <v>0</v>
      </c>
      <c r="DY58" s="2846"/>
      <c r="DZ58" s="2846"/>
      <c r="EA58" s="1093">
        <f>IF(DY58=0,0,(DZ58-DY58)/DY58*100)</f>
        <v>0</v>
      </c>
      <c r="EB58" s="2846"/>
      <c r="EC58" s="2846"/>
      <c r="ED58" s="1093">
        <f>IF(EB58=0,0,(EC58-EB58)/EB58*100)</f>
        <v>0</v>
      </c>
      <c r="EE58" s="2846"/>
      <c r="EF58" s="2846"/>
      <c r="EG58" s="1093">
        <f>IF(EE58=0,0,(EF58-EE58)/EE58*100)</f>
        <v>0</v>
      </c>
      <c r="EH58" s="2846"/>
      <c r="EI58" s="2846"/>
      <c r="EJ58" s="1093">
        <f>IF(EH58=0,0,(EI58-EH58)/EH58*100)</f>
        <v>0</v>
      </c>
      <c r="EK58" s="2846"/>
      <c r="EL58" s="2846"/>
      <c r="EM58" s="1093">
        <f>IF(EK58=0,0,(EL58-EK58)/EK58*100)</f>
        <v>0</v>
      </c>
      <c r="EN58" s="2846"/>
      <c r="EO58" s="2846"/>
      <c r="EP58" s="1093">
        <f>IF(EN58=0,0,(EO58-EN58)/EN58*100)</f>
        <v>0</v>
      </c>
      <c r="EQ58" s="2846"/>
      <c r="ER58" s="2846"/>
      <c r="ES58" s="1093">
        <f>IF(EQ58=0,0,(ER58-EQ58)/EQ58*100)</f>
        <v>0</v>
      </c>
      <c r="ET58" s="2846"/>
      <c r="EU58" s="2846"/>
      <c r="EV58" s="1093">
        <f>IF(ET58=0,0,(EU58-ET58)/ET58*100)</f>
        <v>0</v>
      </c>
      <c r="EW58" s="2846"/>
      <c r="EX58" s="2846"/>
      <c r="EY58" s="1093">
        <f>IF(EW58=0,0,(EX58-EW58)/EW58*100)</f>
        <v>0</v>
      </c>
      <c r="EZ58" s="2846"/>
      <c r="FA58" s="2846"/>
      <c r="FB58" s="1093">
        <f>IF(EZ58=0,0,(FA58-EZ58)/EZ58*100)</f>
        <v>0</v>
      </c>
      <c r="FC58" s="2846"/>
      <c r="FD58" s="2846"/>
      <c r="FE58" s="1093">
        <f>IF(FC58=0,0,(FD58-FC58)/FC58*100)</f>
        <v>0</v>
      </c>
      <c r="FF58" s="2846"/>
      <c r="FG58" s="2846"/>
      <c r="FH58" s="1093">
        <f>IF(FF58=0,0,(FG58-FF58)/FF58*100)</f>
        <v>0</v>
      </c>
      <c r="FI58" s="2846"/>
      <c r="FJ58" s="2846"/>
      <c r="FK58" s="1093">
        <f>IF(FI58=0,0,(FJ58-FI58)/FI58*100)</f>
        <v>0</v>
      </c>
      <c r="FL58" s="2846"/>
      <c r="FM58" s="2846"/>
      <c r="FN58" s="1093">
        <f>IF(FL58=0,0,(FM58-FL58)/FL58*100)</f>
        <v>0</v>
      </c>
      <c r="FO58" s="2846"/>
      <c r="FP58" s="2846"/>
      <c r="FQ58" s="1093">
        <f>IF(FO58=0,0,(FP58-FO58)/FO58*100)</f>
        <v>0</v>
      </c>
      <c r="FR58" s="2846"/>
      <c r="FS58" s="2846"/>
      <c r="FT58" s="1093">
        <f>IF(FR58=0,0,(FS58-FR58)/FR58*100)</f>
        <v>0</v>
      </c>
      <c r="FU58" s="2846"/>
      <c r="FV58" s="2846"/>
      <c r="FW58" s="1093">
        <f>IF(FU58=0,0,(FV58-FU58)/FU58*100)</f>
        <v>0</v>
      </c>
      <c r="FX58" s="1304"/>
      <c r="FY58" s="1304"/>
      <c r="FZ58" s="1055" t="s">
        <v>2389</v>
      </c>
      <c r="GA58" s="1306"/>
      <c r="GB58" s="1306"/>
      <c r="GC58" s="1305"/>
      <c r="GD58" s="1305"/>
    </row>
    <row customHeight="1" ht="23.887500000000003" hidden="1">
      <c r="A59" s="493"/>
      <c r="B59" s="925" cm="1" t="str">
        <f t="array" ref="B59:B59">B58</f>
        <v>false</v>
      </c>
      <c r="C59" s="493"/>
      <c r="D59" s="493"/>
      <c r="E59" s="840">
        <v>24.5</v>
      </c>
      <c r="F59" s="50" cm="1" t="str">
        <f t="array" ref="F59:F59">OFFSET(E59,-1,1)</f>
        <v>0</v>
      </c>
      <c r="G59" s="493"/>
      <c r="H59" s="493"/>
      <c r="I59" s="493"/>
      <c r="J59" s="493"/>
      <c r="K59" s="493"/>
      <c r="L59" s="493"/>
      <c r="M59" s="493"/>
      <c r="N59" s="493"/>
      <c r="O59" s="493"/>
      <c r="P59" s="493"/>
      <c r="Q59" s="493"/>
      <c r="R59" s="493"/>
      <c r="S59" s="493"/>
      <c r="T59" s="465" cm="1" t="str">
        <f t="array" ref="T59:T59">T58</f>
        <v>false</v>
      </c>
      <c r="U59" s="493"/>
      <c r="V59" s="493"/>
      <c r="W59" s="493"/>
      <c r="X59" s="1596"/>
      <c r="Y59" s="493"/>
      <c r="Z59" s="1545"/>
      <c r="AA59" s="493"/>
      <c r="AB59" s="293" t="s">
        <v>2390</v>
      </c>
      <c r="AC59" s="903"/>
      <c r="AD59" s="1102"/>
      <c r="AE59" s="1102"/>
      <c r="AF59" s="1102"/>
      <c r="AG59" s="1102"/>
      <c r="AH59" s="1102"/>
      <c r="AI59" s="1102"/>
      <c r="AJ59" s="1102"/>
      <c r="AK59" s="1102"/>
      <c r="AL59" s="1102"/>
      <c r="AM59" s="1102"/>
      <c r="AN59" s="1102"/>
      <c r="AO59" s="1102"/>
      <c r="AP59" s="1102"/>
      <c r="AQ59" s="1102"/>
      <c r="AR59" s="1102"/>
      <c r="AS59" s="1102"/>
      <c r="AT59" s="1102"/>
      <c r="AU59" s="1102"/>
      <c r="AV59" s="1102"/>
      <c r="AW59" s="1102"/>
      <c r="AX59" s="1102"/>
      <c r="AY59" s="1102"/>
      <c r="AZ59" s="1102"/>
      <c r="BA59" s="1102"/>
      <c r="BB59" s="1102"/>
      <c r="BC59" s="1102"/>
      <c r="BD59" s="1102"/>
      <c r="BE59" s="1102"/>
      <c r="BF59" s="1102"/>
      <c r="BG59" s="1102"/>
      <c r="BH59" s="1102"/>
      <c r="BI59" s="1102"/>
      <c r="BJ59" s="1102"/>
      <c r="BK59" s="1102"/>
      <c r="BL59" s="1102"/>
      <c r="BM59" s="1102"/>
      <c r="BN59" s="1102"/>
      <c r="BO59" s="1102"/>
      <c r="BP59" s="1102"/>
      <c r="BQ59" s="1102"/>
      <c r="BR59" s="1102"/>
      <c r="BS59" s="1102"/>
      <c r="BT59" s="1102"/>
      <c r="BU59" s="1102"/>
      <c r="BV59" s="1102"/>
      <c r="BW59" s="1102"/>
      <c r="BX59" s="1102"/>
      <c r="BY59" s="1102"/>
      <c r="BZ59" s="1102"/>
      <c r="CA59" s="1102"/>
      <c r="CB59" s="1102"/>
      <c r="CC59" s="1102"/>
      <c r="CD59" s="1102"/>
      <c r="CE59" s="1102"/>
      <c r="CF59" s="1102"/>
      <c r="CG59" s="1102"/>
      <c r="CH59" s="1102"/>
      <c r="CI59" s="1102"/>
      <c r="CJ59" s="1102"/>
      <c r="CK59" s="1102"/>
      <c r="CL59" s="1102"/>
      <c r="CM59" s="1102"/>
      <c r="CN59" s="1102"/>
      <c r="CO59" s="1102"/>
      <c r="CP59" s="1102"/>
      <c r="CQ59" s="1102"/>
      <c r="CR59" s="1102"/>
      <c r="CS59" s="1102"/>
      <c r="CT59" s="1102"/>
      <c r="CU59" s="1102"/>
      <c r="CV59" s="1102"/>
      <c r="CW59" s="1102"/>
      <c r="CX59" s="1102"/>
      <c r="CY59" s="1102"/>
      <c r="CZ59" s="1102"/>
      <c r="DA59" s="1102"/>
      <c r="DB59" s="1102"/>
      <c r="DC59" s="1102"/>
      <c r="DD59" s="1102"/>
      <c r="DE59" s="1102"/>
      <c r="DF59" s="1102"/>
      <c r="DG59" s="1102"/>
      <c r="DH59" s="1102"/>
      <c r="DI59" s="1102"/>
      <c r="DJ59" s="1102"/>
      <c r="DK59" s="1102"/>
      <c r="DL59" s="1102"/>
      <c r="DM59" s="1102"/>
      <c r="DN59" s="1102"/>
      <c r="DO59" s="1102"/>
      <c r="DP59" s="1102"/>
      <c r="DQ59" s="1102"/>
      <c r="DR59" s="1102"/>
      <c r="DS59" s="1102"/>
      <c r="DT59" s="1102"/>
      <c r="DU59" s="1102"/>
      <c r="DV59" s="1102"/>
      <c r="DW59" s="1102"/>
      <c r="DX59" s="1102"/>
      <c r="DY59" s="1102"/>
      <c r="DZ59" s="1102"/>
      <c r="EA59" s="1102"/>
      <c r="EB59" s="1102"/>
      <c r="EC59" s="1102"/>
      <c r="ED59" s="1102"/>
      <c r="EE59" s="1102"/>
      <c r="EF59" s="1102"/>
      <c r="EG59" s="1102"/>
      <c r="EH59" s="1102"/>
      <c r="EI59" s="1102"/>
      <c r="EJ59" s="1102"/>
      <c r="EK59" s="1102"/>
      <c r="EL59" s="1102"/>
      <c r="EM59" s="1102"/>
      <c r="EN59" s="1102"/>
      <c r="EO59" s="1102"/>
      <c r="EP59" s="1102"/>
      <c r="EQ59" s="1102"/>
      <c r="ER59" s="1102"/>
      <c r="ES59" s="1102"/>
      <c r="ET59" s="1102"/>
      <c r="EU59" s="1102"/>
      <c r="EV59" s="1102"/>
      <c r="EW59" s="1102"/>
      <c r="EX59" s="1102"/>
      <c r="EY59" s="1102"/>
      <c r="EZ59" s="1102"/>
      <c r="FA59" s="1102"/>
      <c r="FB59" s="1102"/>
      <c r="FC59" s="1102"/>
      <c r="FD59" s="1102"/>
      <c r="FE59" s="1102"/>
      <c r="FF59" s="1102"/>
      <c r="FG59" s="1102"/>
      <c r="FH59" s="1102"/>
      <c r="FI59" s="1102"/>
      <c r="FJ59" s="1102"/>
      <c r="FK59" s="1102"/>
      <c r="FL59" s="1102"/>
      <c r="FM59" s="1102"/>
      <c r="FN59" s="1102"/>
      <c r="FO59" s="1102"/>
      <c r="FP59" s="1102"/>
      <c r="FQ59" s="1102"/>
      <c r="FR59" s="1102"/>
      <c r="FS59" s="1102"/>
      <c r="FT59" s="1102"/>
      <c r="FU59" s="1102"/>
      <c r="FV59" s="1102"/>
      <c r="FW59" s="1103"/>
      <c r="FX59" s="1304"/>
      <c r="FY59" s="1304"/>
      <c r="FZ59" s="1055"/>
      <c r="GA59" s="1306"/>
      <c r="GB59" s="1306"/>
      <c r="GC59" s="1305"/>
      <c r="GD59" s="1305"/>
    </row>
    <row customHeight="1" ht="14.625" hidden="1">
      <c r="A60" s="493"/>
      <c r="B60" s="925" cm="1" t="str">
        <f t="array" ref="B60:B60">B59</f>
        <v>false</v>
      </c>
      <c r="C60" s="493"/>
      <c r="D60" s="493"/>
      <c r="E60" s="840">
        <v>15</v>
      </c>
      <c r="F60" s="50" cm="1" t="str">
        <f t="array" ref="F60:F60">OFFSET(E60,-1,1)</f>
        <v>0</v>
      </c>
      <c r="G60" s="493"/>
      <c r="H60" s="493" t="s">
        <v>2295</v>
      </c>
      <c r="I60" s="493" t="s">
        <v>2350</v>
      </c>
      <c r="J60" s="493"/>
      <c r="K60" s="493"/>
      <c r="L60" s="493"/>
      <c r="M60" s="493"/>
      <c r="N60" s="493"/>
      <c r="O60" s="493"/>
      <c r="P60" s="493"/>
      <c r="Q60" s="493"/>
      <c r="R60" s="493"/>
      <c r="S60" s="493"/>
      <c r="T60" s="465" cm="1" t="str">
        <f t="array" ref="T60:T60">T59</f>
        <v>false</v>
      </c>
      <c r="U60" s="493"/>
      <c r="V60" s="493"/>
      <c r="W60" s="493"/>
      <c r="X60" s="1596"/>
      <c r="Y60" s="493"/>
      <c r="Z60" s="1545"/>
      <c r="AA60" s="493"/>
      <c r="AB60" s="1091" t="s">
        <v>2370</v>
      </c>
      <c r="AC60" s="864" t="s">
        <v>2337</v>
      </c>
      <c r="AD60" s="2846">
        <f>IF(AD62=0,0,(AD61*AD62+AD63*AD64*IF(god=2026,9,6))/AD62)</f>
        <v>0</v>
      </c>
      <c r="AE60" s="2846">
        <f>IF(AE62=0,0,(AE61*AE62+AE63*AE64*IF(god=2026,9,6))/AE62)</f>
        <v>0</v>
      </c>
      <c r="AF60" s="1093">
        <f>IF(AD60=0,0,(AE60-AD60)/AD60*100)</f>
        <v>0</v>
      </c>
      <c r="AG60" s="2846">
        <f>IF(AG62=0,0,(AG61*AG62+AG63*AG64*IF(god=2025,9,6))/AG62)</f>
        <v>0</v>
      </c>
      <c r="AH60" s="2846">
        <f>IF(AH62=0,0,(AH61*AH62+AH63*AH64*IF(god=2025,9,6))/AH62)</f>
        <v>0</v>
      </c>
      <c r="AI60" s="1093">
        <f>IF(AG60=0,0,(AH60-AG60)/AG60*100)</f>
        <v>0</v>
      </c>
      <c r="AJ60" s="2846">
        <f>IF(AJ62=0,0,(AJ61*AJ62+AJ63*AJ64*6)/AJ62)</f>
        <v>0</v>
      </c>
      <c r="AK60" s="2846">
        <f>IF(AK62=0,0,(AK61*AK62+AK63*AK64*6)/AK62)</f>
        <v>0</v>
      </c>
      <c r="AL60" s="1093">
        <f>IF(AJ60=0,0,(AK60-AJ60)/AJ60*100)</f>
        <v>0</v>
      </c>
      <c r="AM60" s="2846">
        <f>IF(AM62=0,0,(AM61*AM62+AM63*AM64*6)/AM62)</f>
        <v>0</v>
      </c>
      <c r="AN60" s="2846">
        <f>IF(AN62=0,0,(AN61*AN62+AN63*AN64*6)/AN62)</f>
        <v>0</v>
      </c>
      <c r="AO60" s="1093">
        <f>IF(AM60=0,0,(AN60-AM60)/AM60*100)</f>
        <v>0</v>
      </c>
      <c r="AP60" s="2846">
        <f>IF(AP62=0,0,(AP61*AP62+AP63*AP64*6)/AP62)</f>
        <v>0</v>
      </c>
      <c r="AQ60" s="2846">
        <f>IF(AQ62=0,0,(AQ61*AQ62+AQ63*AQ64*6)/AQ62)</f>
        <v>0</v>
      </c>
      <c r="AR60" s="1093">
        <f>IF(AP60=0,0,(AQ60-AP60)/AP60*100)</f>
        <v>0</v>
      </c>
      <c r="AS60" s="2846">
        <f>IF(AS62=0,0,(AS61*AS62+AS63*AS64*6)/AS62)</f>
        <v>0</v>
      </c>
      <c r="AT60" s="2846">
        <f>IF(AT62=0,0,(AT61*AT62+AT63*AT64*6)/AT62)</f>
        <v>0</v>
      </c>
      <c r="AU60" s="1093">
        <f>IF(AS60=0,0,(AT60-AS60)/AS60*100)</f>
        <v>0</v>
      </c>
      <c r="AV60" s="2846">
        <f>IF(AV62=0,0,(AV61*AV62+AV63*AV64*6)/AV62)</f>
        <v>0</v>
      </c>
      <c r="AW60" s="2846">
        <f>IF(AW62=0,0,(AW61*AW62+AW63*AW64*6)/AW62)</f>
        <v>0</v>
      </c>
      <c r="AX60" s="1093">
        <f>IF(AV60=0,0,(AW60-AV60)/AV60*100)</f>
        <v>0</v>
      </c>
      <c r="AY60" s="2846">
        <f>IF(AY62=0,0,(AY61*AY62+AY63*AY64*6)/AY62)</f>
        <v>0</v>
      </c>
      <c r="AZ60" s="2846">
        <f>IF(AZ62=0,0,(AZ61*AZ62+AZ63*AZ64*6)/AZ62)</f>
        <v>0</v>
      </c>
      <c r="BA60" s="1093">
        <f>IF(AY60=0,0,(AZ60-AY60)/AY60*100)</f>
        <v>0</v>
      </c>
      <c r="BB60" s="2846">
        <f>IF(BB62=0,0,(BB61*BB62+BB63*BB64*6)/BB62)</f>
        <v>0</v>
      </c>
      <c r="BC60" s="2846">
        <f>IF(BC62=0,0,(BC61*BC62+BC63*BC64*6)/BC62)</f>
        <v>0</v>
      </c>
      <c r="BD60" s="1093">
        <f>IF(BB60=0,0,(BC60-BB60)/BB60*100)</f>
        <v>0</v>
      </c>
      <c r="BE60" s="2846">
        <f>IF(BE62=0,0,(BE61*BE62+BE63*BE64*6)/BE62)</f>
        <v>0</v>
      </c>
      <c r="BF60" s="2846">
        <f>IF(BF62=0,0,(BF61*BF62+BF63*BF64*6)/BF62)</f>
        <v>0</v>
      </c>
      <c r="BG60" s="1093">
        <f>IF(BE60=0,0,(BF60-BE60)/BE60*100)</f>
        <v>0</v>
      </c>
      <c r="BH60" s="2846">
        <f>IF(BH62=0,0,(BH61*BH62+BH63*BH64*6)/BH62)</f>
        <v>0</v>
      </c>
      <c r="BI60" s="2846">
        <f>IF(BI62=0,0,(BI61*BI62+BI63*BI64*6)/BI62)</f>
        <v>0</v>
      </c>
      <c r="BJ60" s="1093">
        <f>IF(BH60=0,0,(BI60-BH60)/BH60*100)</f>
        <v>0</v>
      </c>
      <c r="BK60" s="2846">
        <f>IF(BK62=0,0,(BK61*BK62+BK63*BK64*6)/BK62)</f>
        <v>0</v>
      </c>
      <c r="BL60" s="2846">
        <f>IF(BL62=0,0,(BL61*BL62+BL63*BL64*6)/BL62)</f>
        <v>0</v>
      </c>
      <c r="BM60" s="1093">
        <f>IF(BK60=0,0,(BL60-BK60)/BK60*100)</f>
        <v>0</v>
      </c>
      <c r="BN60" s="2846">
        <f>IF(BN62=0,0,(BN61*BN62+BN63*BN64*6)/BN62)</f>
        <v>0</v>
      </c>
      <c r="BO60" s="2846">
        <f>IF(BO62=0,0,(BO61*BO62+BO63*BO64*6)/BO62)</f>
        <v>0</v>
      </c>
      <c r="BP60" s="1093">
        <f>IF(BN60=0,0,(BO60-BN60)/BN60*100)</f>
        <v>0</v>
      </c>
      <c r="BQ60" s="2846">
        <f>IF(BQ62=0,0,(BQ61*BQ62+BQ63*BQ64*6)/BQ62)</f>
        <v>0</v>
      </c>
      <c r="BR60" s="2846">
        <f>IF(BR62=0,0,(BR61*BR62+BR63*BR64*6)/BR62)</f>
        <v>0</v>
      </c>
      <c r="BS60" s="1093">
        <f>IF(BQ60=0,0,(BR60-BQ60)/BQ60*100)</f>
        <v>0</v>
      </c>
      <c r="BT60" s="2846">
        <f>IF(BT62=0,0,(BT61*BT62+BT63*BT64*6)/BT62)</f>
        <v>0</v>
      </c>
      <c r="BU60" s="2846">
        <f>IF(BU62=0,0,(BU61*BU62+BU63*BU64*6)/BU62)</f>
        <v>0</v>
      </c>
      <c r="BV60" s="1093">
        <f>IF(BT60=0,0,(BU60-BT60)/BT60*100)</f>
        <v>0</v>
      </c>
      <c r="BW60" s="2846">
        <f>IF(BW62=0,0,(BW61*BW62+BW63*BW64*6)/BW62)</f>
        <v>0</v>
      </c>
      <c r="BX60" s="2846">
        <f>IF(BX62=0,0,(BX61*BX62+BX63*BX64*6)/BX62)</f>
        <v>0</v>
      </c>
      <c r="BY60" s="1093">
        <f>IF(BW60=0,0,(BX60-BW60)/BW60*100)</f>
        <v>0</v>
      </c>
      <c r="BZ60" s="2846">
        <f>IF(BZ62=0,0,(BZ61*BZ62+BZ63*BZ64*6)/BZ62)</f>
        <v>0</v>
      </c>
      <c r="CA60" s="2846">
        <f>IF(CA62=0,0,(CA61*CA62+CA63*CA64*6)/CA62)</f>
        <v>0</v>
      </c>
      <c r="CB60" s="1093">
        <f>IF(BZ60=0,0,(CA60-BZ60)/BZ60*100)</f>
        <v>0</v>
      </c>
      <c r="CC60" s="2846">
        <f>IF(CC62=0,0,(CC61*CC62+CC63*CC64*6)/CC62)</f>
        <v>0</v>
      </c>
      <c r="CD60" s="2846">
        <f>IF(CD62=0,0,(CD61*CD62+CD63*CD64*6)/CD62)</f>
        <v>0</v>
      </c>
      <c r="CE60" s="1093">
        <f>IF(CC60=0,0,(CD60-CC60)/CC60*100)</f>
        <v>0</v>
      </c>
      <c r="CF60" s="2846">
        <f>IF(CF62=0,0,(CF61*CF62+CF63*CF64*6)/CF62)</f>
        <v>0</v>
      </c>
      <c r="CG60" s="2846">
        <f>IF(CG62=0,0,(CG61*CG62+CG63*CG64*6)/CG62)</f>
        <v>0</v>
      </c>
      <c r="CH60" s="1093">
        <f>IF(CF60=0,0,(CG60-CF60)/CF60*100)</f>
        <v>0</v>
      </c>
      <c r="CI60" s="2846">
        <f>IF(CI62=0,0,(CI61*CI62+CI63*CI64*6)/CI62)</f>
        <v>0</v>
      </c>
      <c r="CJ60" s="2846">
        <f>IF(CJ62=0,0,(CJ61*CJ62+CJ63*CJ64*6)/CJ62)</f>
        <v>0</v>
      </c>
      <c r="CK60" s="1093">
        <f>IF(CI60=0,0,(CJ60-CI60)/CI60*100)</f>
        <v>0</v>
      </c>
      <c r="CL60" s="2846">
        <f>IF(CL62=0,0,(CL61*CL62+CL63*CL64*6)/CL62)</f>
        <v>0</v>
      </c>
      <c r="CM60" s="2846">
        <f>IF(CM62=0,0,(CM61*CM62+CM63*CM64*6)/CM62)</f>
        <v>0</v>
      </c>
      <c r="CN60" s="1093">
        <f>IF(CL60=0,0,(CM60-CL60)/CL60*100)</f>
        <v>0</v>
      </c>
      <c r="CO60" s="2846">
        <f>IF(CO62=0,0,(CO61*CO62+CO63*CO64*6)/CO62)</f>
        <v>0</v>
      </c>
      <c r="CP60" s="2846">
        <f>IF(CP62=0,0,(CP61*CP62+CP63*CP64*6)/CP62)</f>
        <v>0</v>
      </c>
      <c r="CQ60" s="1093">
        <f>IF(CO60=0,0,(CP60-CO60)/CO60*100)</f>
        <v>0</v>
      </c>
      <c r="CR60" s="2846">
        <f>IF(CR62=0,0,(CR61*CR62+CR63*CR64*6)/CR62)</f>
        <v>0</v>
      </c>
      <c r="CS60" s="2846">
        <f>IF(CS62=0,0,(CS61*CS62+CS63*CS64*6)/CS62)</f>
        <v>0</v>
      </c>
      <c r="CT60" s="1093">
        <f>IF(CR60=0,0,(CS60-CR60)/CR60*100)</f>
        <v>0</v>
      </c>
      <c r="CU60" s="2846">
        <f>IF(CU62=0,0,(CU61*CU62+CU63*CU64*6)/CU62)</f>
        <v>0</v>
      </c>
      <c r="CV60" s="2846">
        <f>IF(CV62=0,0,(CV61*CV62+CV63*CV64*6)/CV62)</f>
        <v>0</v>
      </c>
      <c r="CW60" s="1093">
        <f>IF(CU60=0,0,(CV60-CU60)/CU60*100)</f>
        <v>0</v>
      </c>
      <c r="CX60" s="2846">
        <f>IF(CX62=0,0,(CX61*CX62+CX63*CX64*6)/CX62)</f>
        <v>0</v>
      </c>
      <c r="CY60" s="2846">
        <f>IF(CY62=0,0,(CY61*CY62+CY63*CY64*6)/CY62)</f>
        <v>0</v>
      </c>
      <c r="CZ60" s="1093">
        <f>IF(CX60=0,0,(CY60-CX60)/CX60*100)</f>
        <v>0</v>
      </c>
      <c r="DA60" s="2846">
        <f>IF(DA62=0,0,(DA61*DA62+DA63*DA64*6)/DA62)</f>
        <v>0</v>
      </c>
      <c r="DB60" s="2846">
        <f>IF(DB62=0,0,(DB61*DB62+DB63*DB64*6)/DB62)</f>
        <v>0</v>
      </c>
      <c r="DC60" s="1093">
        <f>IF(DA60=0,0,(DB60-DA60)/DA60*100)</f>
        <v>0</v>
      </c>
      <c r="DD60" s="2846">
        <f>IF(DD62=0,0,(DD61*DD62+DD63*DD64*6)/DD62)</f>
        <v>0</v>
      </c>
      <c r="DE60" s="2846">
        <f>IF(DE62=0,0,(DE61*DE62+DE63*DE64*6)/DE62)</f>
        <v>0</v>
      </c>
      <c r="DF60" s="1093">
        <f>IF(DD60=0,0,(DE60-DD60)/DD60*100)</f>
        <v>0</v>
      </c>
      <c r="DG60" s="2846">
        <f>IF(DG62=0,0,(DG61*DG62+DG63*DG64*6)/DG62)</f>
        <v>0</v>
      </c>
      <c r="DH60" s="2846">
        <f>IF(DH62=0,0,(DH61*DH62+DH63*DH64*6)/DH62)</f>
        <v>0</v>
      </c>
      <c r="DI60" s="1093">
        <f>IF(DG60=0,0,(DH60-DG60)/DG60*100)</f>
        <v>0</v>
      </c>
      <c r="DJ60" s="2846">
        <f>IF(DJ62=0,0,(DJ61*DJ62+DJ63*DJ64*6)/DJ62)</f>
        <v>0</v>
      </c>
      <c r="DK60" s="2846">
        <f>IF(DK62=0,0,(DK61*DK62+DK63*DK64*6)/DK62)</f>
        <v>0</v>
      </c>
      <c r="DL60" s="1093">
        <f>IF(DJ60=0,0,(DK60-DJ60)/DJ60*100)</f>
        <v>0</v>
      </c>
      <c r="DM60" s="2846">
        <f>IF(DM62=0,0,(DM61*DM62+DM63*DM64*6)/DM62)</f>
        <v>0</v>
      </c>
      <c r="DN60" s="2846">
        <f>IF(DN62=0,0,(DN61*DN62+DN63*DN64*6)/DN62)</f>
        <v>0</v>
      </c>
      <c r="DO60" s="1093">
        <f>IF(DM60=0,0,(DN60-DM60)/DM60*100)</f>
        <v>0</v>
      </c>
      <c r="DP60" s="2846">
        <f>IF(DP62=0,0,(DP61*DP62+DP63*DP64*6)/DP62)</f>
        <v>0</v>
      </c>
      <c r="DQ60" s="2846">
        <f>IF(DQ62=0,0,(DQ61*DQ62+DQ63*DQ64*6)/DQ62)</f>
        <v>0</v>
      </c>
      <c r="DR60" s="1093">
        <f>IF(DP60=0,0,(DQ60-DP60)/DP60*100)</f>
        <v>0</v>
      </c>
      <c r="DS60" s="2846">
        <f>IF(DS62=0,0,(DS61*DS62+DS63*DS64*6)/DS62)</f>
        <v>0</v>
      </c>
      <c r="DT60" s="2846">
        <f>IF(DT62=0,0,(DT61*DT62+DT63*DT64*6)/DT62)</f>
        <v>0</v>
      </c>
      <c r="DU60" s="1093">
        <f>IF(DS60=0,0,(DT60-DS60)/DS60*100)</f>
        <v>0</v>
      </c>
      <c r="DV60" s="2846">
        <f>IF(DV62=0,0,(DV61*DV62+DV63*DV64*6)/DV62)</f>
        <v>0</v>
      </c>
      <c r="DW60" s="2846">
        <f>IF(DW62=0,0,(DW61*DW62+DW63*DW64*6)/DW62)</f>
        <v>0</v>
      </c>
      <c r="DX60" s="1093">
        <f>IF(DV60=0,0,(DW60-DV60)/DV60*100)</f>
        <v>0</v>
      </c>
      <c r="DY60" s="2846">
        <f>IF(DY62=0,0,(DY61*DY62+DY63*DY64*6)/DY62)</f>
        <v>0</v>
      </c>
      <c r="DZ60" s="2846">
        <f>IF(DZ62=0,0,(DZ61*DZ62+DZ63*DZ64*6)/DZ62)</f>
        <v>0</v>
      </c>
      <c r="EA60" s="1093">
        <f>IF(DY60=0,0,(DZ60-DY60)/DY60*100)</f>
        <v>0</v>
      </c>
      <c r="EB60" s="2846">
        <f>IF(EB62=0,0,(EB61*EB62+EB63*EB64*6)/EB62)</f>
        <v>0</v>
      </c>
      <c r="EC60" s="2846">
        <f>IF(EC62=0,0,(EC61*EC62+EC63*EC64*6)/EC62)</f>
        <v>0</v>
      </c>
      <c r="ED60" s="1093">
        <f>IF(EB60=0,0,(EC60-EB60)/EB60*100)</f>
        <v>0</v>
      </c>
      <c r="EE60" s="2846">
        <f>IF(EE62=0,0,(EE61*EE62+EE63*EE64*6)/EE62)</f>
        <v>0</v>
      </c>
      <c r="EF60" s="2846">
        <f>IF(EF62=0,0,(EF61*EF62+EF63*EF64*6)/EF62)</f>
        <v>0</v>
      </c>
      <c r="EG60" s="1093">
        <f>IF(EE60=0,0,(EF60-EE60)/EE60*100)</f>
        <v>0</v>
      </c>
      <c r="EH60" s="2846">
        <f>IF(EH62=0,0,(EH61*EH62+EH63*EH64*6)/EH62)</f>
        <v>0</v>
      </c>
      <c r="EI60" s="2846">
        <f>IF(EI62=0,0,(EI61*EI62+EI63*EI64*6)/EI62)</f>
        <v>0</v>
      </c>
      <c r="EJ60" s="1093">
        <f>IF(EH60=0,0,(EI60-EH60)/EH60*100)</f>
        <v>0</v>
      </c>
      <c r="EK60" s="2846">
        <f>IF(EK62=0,0,(EK61*EK62+EK63*EK64*6)/EK62)</f>
        <v>0</v>
      </c>
      <c r="EL60" s="2846">
        <f>IF(EL62=0,0,(EL61*EL62+EL63*EL64*6)/EL62)</f>
        <v>0</v>
      </c>
      <c r="EM60" s="1093">
        <f>IF(EK60=0,0,(EL60-EK60)/EK60*100)</f>
        <v>0</v>
      </c>
      <c r="EN60" s="2846">
        <f>IF(EN62=0,0,(EN61*EN62+EN63*EN64*6)/EN62)</f>
        <v>0</v>
      </c>
      <c r="EO60" s="2846">
        <f>IF(EO62=0,0,(EO61*EO62+EO63*EO64*6)/EO62)</f>
        <v>0</v>
      </c>
      <c r="EP60" s="1093">
        <f>IF(EN60=0,0,(EO60-EN60)/EN60*100)</f>
        <v>0</v>
      </c>
      <c r="EQ60" s="2846">
        <f>IF(EQ62=0,0,(EQ61*EQ62+EQ63*EQ64*6)/EQ62)</f>
        <v>0</v>
      </c>
      <c r="ER60" s="2846">
        <f>IF(ER62=0,0,(ER61*ER62+ER63*ER64*6)/ER62)</f>
        <v>0</v>
      </c>
      <c r="ES60" s="1093">
        <f>IF(EQ60=0,0,(ER60-EQ60)/EQ60*100)</f>
        <v>0</v>
      </c>
      <c r="ET60" s="2846">
        <f>IF(ET62=0,0,(ET61*ET62+ET63*ET64*6)/ET62)</f>
        <v>0</v>
      </c>
      <c r="EU60" s="2846">
        <f>IF(EU62=0,0,(EU61*EU62+EU63*EU64*6)/EU62)</f>
        <v>0</v>
      </c>
      <c r="EV60" s="1093">
        <f>IF(ET60=0,0,(EU60-ET60)/ET60*100)</f>
        <v>0</v>
      </c>
      <c r="EW60" s="2846">
        <f>IF(EW62=0,0,(EW61*EW62+EW63*EW64*6)/EW62)</f>
        <v>0</v>
      </c>
      <c r="EX60" s="2846">
        <f>IF(EX62=0,0,(EX61*EX62+EX63*EX64*6)/EX62)</f>
        <v>0</v>
      </c>
      <c r="EY60" s="1093">
        <f>IF(EW60=0,0,(EX60-EW60)/EW60*100)</f>
        <v>0</v>
      </c>
      <c r="EZ60" s="2846">
        <f>IF(EZ62=0,0,(EZ61*EZ62+EZ63*EZ64*6)/EZ62)</f>
        <v>0</v>
      </c>
      <c r="FA60" s="2846">
        <f>IF(FA62=0,0,(FA61*FA62+FA63*FA64*6)/FA62)</f>
        <v>0</v>
      </c>
      <c r="FB60" s="1093">
        <f>IF(EZ60=0,0,(FA60-EZ60)/EZ60*100)</f>
        <v>0</v>
      </c>
      <c r="FC60" s="2846">
        <f>IF(FC62=0,0,(FC61*FC62+FC63*FC64*6)/FC62)</f>
        <v>0</v>
      </c>
      <c r="FD60" s="2846">
        <f>IF(FD62=0,0,(FD61*FD62+FD63*FD64*6)/FD62)</f>
        <v>0</v>
      </c>
      <c r="FE60" s="1093">
        <f>IF(FC60=0,0,(FD60-FC60)/FC60*100)</f>
        <v>0</v>
      </c>
      <c r="FF60" s="2846">
        <f>IF(FF62=0,0,(FF61*FF62+FF63*FF64*6)/FF62)</f>
        <v>0</v>
      </c>
      <c r="FG60" s="2846">
        <f>IF(FG62=0,0,(FG61*FG62+FG63*FG64*6)/FG62)</f>
        <v>0</v>
      </c>
      <c r="FH60" s="1093">
        <f>IF(FF60=0,0,(FG60-FF60)/FF60*100)</f>
        <v>0</v>
      </c>
      <c r="FI60" s="2846">
        <f>IF(FI62=0,0,(FI61*FI62+FI63*FI64*6)/FI62)</f>
        <v>0</v>
      </c>
      <c r="FJ60" s="2846">
        <f>IF(FJ62=0,0,(FJ61*FJ62+FJ63*FJ64*6)/FJ62)</f>
        <v>0</v>
      </c>
      <c r="FK60" s="1093">
        <f>IF(FI60=0,0,(FJ60-FI60)/FI60*100)</f>
        <v>0</v>
      </c>
      <c r="FL60" s="2846">
        <f>IF(FL62=0,0,(FL61*FL62+FL63*FL64*6)/FL62)</f>
        <v>0</v>
      </c>
      <c r="FM60" s="2846">
        <f>IF(FM62=0,0,(FM61*FM62+FM63*FM64*6)/FM62)</f>
        <v>0</v>
      </c>
      <c r="FN60" s="1093">
        <f>IF(FL60=0,0,(FM60-FL60)/FL60*100)</f>
        <v>0</v>
      </c>
      <c r="FO60" s="2846">
        <f>IF(FO62=0,0,(FO61*FO62+FO63*FO64*6)/FO62)</f>
        <v>0</v>
      </c>
      <c r="FP60" s="2846">
        <f>IF(FP62=0,0,(FP61*FP62+FP63*FP64*6)/FP62)</f>
        <v>0</v>
      </c>
      <c r="FQ60" s="1093">
        <f>IF(FO60=0,0,(FP60-FO60)/FO60*100)</f>
        <v>0</v>
      </c>
      <c r="FR60" s="2846">
        <f>IF(FR62=0,0,(FR61*FR62+FR63*FR64*6)/FR62)</f>
        <v>0</v>
      </c>
      <c r="FS60" s="2846">
        <f>IF(FS62=0,0,(FS61*FS62+FS63*FS64*6)/FS62)</f>
        <v>0</v>
      </c>
      <c r="FT60" s="1093">
        <f>IF(FR60=0,0,(FS60-FR60)/FR60*100)</f>
        <v>0</v>
      </c>
      <c r="FU60" s="2846">
        <f>IF(FU62=0,0,(FU61*FU62+FU63*FU64*6)/FU62)</f>
        <v>0</v>
      </c>
      <c r="FV60" s="2846">
        <f>IF(FV62=0,0,(FV61*FV62+FV63*FV64*6)/FV62)</f>
        <v>0</v>
      </c>
      <c r="FW60" s="1093">
        <f>IF(FU60=0,0,(FV60-FU60)/FU60*100)</f>
        <v>0</v>
      </c>
      <c r="FX60" s="1304"/>
      <c r="FY60" s="1304"/>
      <c r="FZ60" s="1055" t="s">
        <v>2391</v>
      </c>
      <c r="GA60" s="1306"/>
      <c r="GB60" s="1306"/>
      <c r="GC60" s="1305"/>
      <c r="GD60" s="1305"/>
    </row>
    <row customHeight="1" ht="14.625" hidden="1">
      <c r="A61" s="493"/>
      <c r="B61" s="925" cm="1" t="str">
        <f t="array" ref="B61:B61">B60</f>
        <v>false</v>
      </c>
      <c r="C61" s="493"/>
      <c r="D61" s="493"/>
      <c r="E61" s="840">
        <v>15</v>
      </c>
      <c r="F61" s="50" cm="1" t="str">
        <f t="array" ref="F61:F61">OFFSET(E61,-1,1)</f>
        <v>0</v>
      </c>
      <c r="G61" s="493"/>
      <c r="H61" s="493" t="s">
        <v>2299</v>
      </c>
      <c r="I61" s="493" t="s">
        <v>2350</v>
      </c>
      <c r="J61" s="493"/>
      <c r="K61" s="493"/>
      <c r="L61" s="493"/>
      <c r="M61" s="493"/>
      <c r="N61" s="493"/>
      <c r="O61" s="493"/>
      <c r="P61" s="493"/>
      <c r="Q61" s="493"/>
      <c r="R61" s="493"/>
      <c r="S61" s="493"/>
      <c r="T61" s="465" cm="1" t="str">
        <f t="array" ref="T61:T61">T60</f>
        <v>false</v>
      </c>
      <c r="U61" s="493"/>
      <c r="V61" s="493"/>
      <c r="W61" s="493"/>
      <c r="X61" s="1596"/>
      <c r="Y61" s="493"/>
      <c r="Z61" s="1545"/>
      <c r="AA61" s="493"/>
      <c r="AB61" s="1091" t="str">
        <f>"ставка платы за "&amp;IF(Q29="Водоснабжение","потребление 1 куб.м холодной воды","объем принятых сточных вод")</f>
        <v>ставка платы за объем принятых сточных вод</v>
      </c>
      <c r="AC61" s="864" t="s">
        <v>2337</v>
      </c>
      <c r="AD61" s="2846"/>
      <c r="AE61" s="2846"/>
      <c r="AF61" s="1093">
        <f>IF(AD61=0,0,(AE61-AD61)/AD61*100)</f>
        <v>0</v>
      </c>
      <c r="AG61" s="2846"/>
      <c r="AH61" s="2846"/>
      <c r="AI61" s="1093">
        <f>IF(AG61=0,0,(AH61-AG61)/AG61*100)</f>
        <v>0</v>
      </c>
      <c r="AJ61" s="2846"/>
      <c r="AK61" s="2846"/>
      <c r="AL61" s="1093">
        <f>IF(AJ61=0,0,(AK61-AJ61)/AJ61*100)</f>
        <v>0</v>
      </c>
      <c r="AM61" s="2846"/>
      <c r="AN61" s="2846"/>
      <c r="AO61" s="1093">
        <f>IF(AM61=0,0,(AN61-AM61)/AM61*100)</f>
        <v>0</v>
      </c>
      <c r="AP61" s="2846"/>
      <c r="AQ61" s="2846"/>
      <c r="AR61" s="1093">
        <f>IF(AP61=0,0,(AQ61-AP61)/AP61*100)</f>
        <v>0</v>
      </c>
      <c r="AS61" s="2846"/>
      <c r="AT61" s="2846"/>
      <c r="AU61" s="1093">
        <f>IF(AS61=0,0,(AT61-AS61)/AS61*100)</f>
        <v>0</v>
      </c>
      <c r="AV61" s="2846"/>
      <c r="AW61" s="2846"/>
      <c r="AX61" s="1093">
        <f>IF(AV61=0,0,(AW61-AV61)/AV61*100)</f>
        <v>0</v>
      </c>
      <c r="AY61" s="2846"/>
      <c r="AZ61" s="2846"/>
      <c r="BA61" s="1093">
        <f>IF(AY61=0,0,(AZ61-AY61)/AY61*100)</f>
        <v>0</v>
      </c>
      <c r="BB61" s="2846"/>
      <c r="BC61" s="2846"/>
      <c r="BD61" s="1093">
        <f>IF(BB61=0,0,(BC61-BB61)/BB61*100)</f>
        <v>0</v>
      </c>
      <c r="BE61" s="2846"/>
      <c r="BF61" s="2846"/>
      <c r="BG61" s="1093">
        <f>IF(BE61=0,0,(BF61-BE61)/BE61*100)</f>
        <v>0</v>
      </c>
      <c r="BH61" s="2846"/>
      <c r="BI61" s="2846"/>
      <c r="BJ61" s="1093">
        <f>IF(BH61=0,0,(BI61-BH61)/BH61*100)</f>
        <v>0</v>
      </c>
      <c r="BK61" s="2846"/>
      <c r="BL61" s="2846"/>
      <c r="BM61" s="1093">
        <f>IF(BK61=0,0,(BL61-BK61)/BK61*100)</f>
        <v>0</v>
      </c>
      <c r="BN61" s="2846"/>
      <c r="BO61" s="2846"/>
      <c r="BP61" s="1093">
        <f>IF(BN61=0,0,(BO61-BN61)/BN61*100)</f>
        <v>0</v>
      </c>
      <c r="BQ61" s="2846"/>
      <c r="BR61" s="2846"/>
      <c r="BS61" s="1093">
        <f>IF(BQ61=0,0,(BR61-BQ61)/BQ61*100)</f>
        <v>0</v>
      </c>
      <c r="BT61" s="2846"/>
      <c r="BU61" s="2846"/>
      <c r="BV61" s="1093">
        <f>IF(BT61=0,0,(BU61-BT61)/BT61*100)</f>
        <v>0</v>
      </c>
      <c r="BW61" s="2846"/>
      <c r="BX61" s="2846"/>
      <c r="BY61" s="1093">
        <f>IF(BW61=0,0,(BX61-BW61)/BW61*100)</f>
        <v>0</v>
      </c>
      <c r="BZ61" s="2846"/>
      <c r="CA61" s="2846"/>
      <c r="CB61" s="1093">
        <f>IF(BZ61=0,0,(CA61-BZ61)/BZ61*100)</f>
        <v>0</v>
      </c>
      <c r="CC61" s="2846"/>
      <c r="CD61" s="2846"/>
      <c r="CE61" s="1093">
        <f>IF(CC61=0,0,(CD61-CC61)/CC61*100)</f>
        <v>0</v>
      </c>
      <c r="CF61" s="2846"/>
      <c r="CG61" s="2846"/>
      <c r="CH61" s="1093">
        <f>IF(CF61=0,0,(CG61-CF61)/CF61*100)</f>
        <v>0</v>
      </c>
      <c r="CI61" s="2846"/>
      <c r="CJ61" s="2846"/>
      <c r="CK61" s="1093">
        <f>IF(CI61=0,0,(CJ61-CI61)/CI61*100)</f>
        <v>0</v>
      </c>
      <c r="CL61" s="2846"/>
      <c r="CM61" s="2846"/>
      <c r="CN61" s="1093">
        <f>IF(CL61=0,0,(CM61-CL61)/CL61*100)</f>
        <v>0</v>
      </c>
      <c r="CO61" s="2846"/>
      <c r="CP61" s="2846"/>
      <c r="CQ61" s="1093">
        <f>IF(CO61=0,0,(CP61-CO61)/CO61*100)</f>
        <v>0</v>
      </c>
      <c r="CR61" s="2846"/>
      <c r="CS61" s="2846"/>
      <c r="CT61" s="1093">
        <f>IF(CR61=0,0,(CS61-CR61)/CR61*100)</f>
        <v>0</v>
      </c>
      <c r="CU61" s="2846"/>
      <c r="CV61" s="2846"/>
      <c r="CW61" s="1093">
        <f>IF(CU61=0,0,(CV61-CU61)/CU61*100)</f>
        <v>0</v>
      </c>
      <c r="CX61" s="2846"/>
      <c r="CY61" s="2846"/>
      <c r="CZ61" s="1093">
        <f>IF(CX61=0,0,(CY61-CX61)/CX61*100)</f>
        <v>0</v>
      </c>
      <c r="DA61" s="2846"/>
      <c r="DB61" s="2846"/>
      <c r="DC61" s="1093">
        <f>IF(DA61=0,0,(DB61-DA61)/DA61*100)</f>
        <v>0</v>
      </c>
      <c r="DD61" s="2846"/>
      <c r="DE61" s="2846"/>
      <c r="DF61" s="1093">
        <f>IF(DD61=0,0,(DE61-DD61)/DD61*100)</f>
        <v>0</v>
      </c>
      <c r="DG61" s="2846"/>
      <c r="DH61" s="2846"/>
      <c r="DI61" s="1093">
        <f>IF(DG61=0,0,(DH61-DG61)/DG61*100)</f>
        <v>0</v>
      </c>
      <c r="DJ61" s="2846"/>
      <c r="DK61" s="2846"/>
      <c r="DL61" s="1093">
        <f>IF(DJ61=0,0,(DK61-DJ61)/DJ61*100)</f>
        <v>0</v>
      </c>
      <c r="DM61" s="2846"/>
      <c r="DN61" s="2846"/>
      <c r="DO61" s="1093">
        <f>IF(DM61=0,0,(DN61-DM61)/DM61*100)</f>
        <v>0</v>
      </c>
      <c r="DP61" s="2846"/>
      <c r="DQ61" s="2846"/>
      <c r="DR61" s="1093">
        <f>IF(DP61=0,0,(DQ61-DP61)/DP61*100)</f>
        <v>0</v>
      </c>
      <c r="DS61" s="2846"/>
      <c r="DT61" s="2846"/>
      <c r="DU61" s="1093">
        <f>IF(DS61=0,0,(DT61-DS61)/DS61*100)</f>
        <v>0</v>
      </c>
      <c r="DV61" s="2846"/>
      <c r="DW61" s="2846"/>
      <c r="DX61" s="1093">
        <f>IF(DV61=0,0,(DW61-DV61)/DV61*100)</f>
        <v>0</v>
      </c>
      <c r="DY61" s="2846"/>
      <c r="DZ61" s="2846"/>
      <c r="EA61" s="1093">
        <f>IF(DY61=0,0,(DZ61-DY61)/DY61*100)</f>
        <v>0</v>
      </c>
      <c r="EB61" s="2846"/>
      <c r="EC61" s="2846"/>
      <c r="ED61" s="1093">
        <f>IF(EB61=0,0,(EC61-EB61)/EB61*100)</f>
        <v>0</v>
      </c>
      <c r="EE61" s="2846"/>
      <c r="EF61" s="2846"/>
      <c r="EG61" s="1093">
        <f>IF(EE61=0,0,(EF61-EE61)/EE61*100)</f>
        <v>0</v>
      </c>
      <c r="EH61" s="2846"/>
      <c r="EI61" s="2846"/>
      <c r="EJ61" s="1093">
        <f>IF(EH61=0,0,(EI61-EH61)/EH61*100)</f>
        <v>0</v>
      </c>
      <c r="EK61" s="2846"/>
      <c r="EL61" s="2846"/>
      <c r="EM61" s="1093">
        <f>IF(EK61=0,0,(EL61-EK61)/EK61*100)</f>
        <v>0</v>
      </c>
      <c r="EN61" s="2846"/>
      <c r="EO61" s="2846"/>
      <c r="EP61" s="1093">
        <f>IF(EN61=0,0,(EO61-EN61)/EN61*100)</f>
        <v>0</v>
      </c>
      <c r="EQ61" s="2846"/>
      <c r="ER61" s="2846"/>
      <c r="ES61" s="1093">
        <f>IF(EQ61=0,0,(ER61-EQ61)/EQ61*100)</f>
        <v>0</v>
      </c>
      <c r="ET61" s="2846"/>
      <c r="EU61" s="2846"/>
      <c r="EV61" s="1093">
        <f>IF(ET61=0,0,(EU61-ET61)/ET61*100)</f>
        <v>0</v>
      </c>
      <c r="EW61" s="2846"/>
      <c r="EX61" s="2846"/>
      <c r="EY61" s="1093">
        <f>IF(EW61=0,0,(EX61-EW61)/EW61*100)</f>
        <v>0</v>
      </c>
      <c r="EZ61" s="2846"/>
      <c r="FA61" s="2846"/>
      <c r="FB61" s="1093">
        <f>IF(EZ61=0,0,(FA61-EZ61)/EZ61*100)</f>
        <v>0</v>
      </c>
      <c r="FC61" s="2846"/>
      <c r="FD61" s="2846"/>
      <c r="FE61" s="1093">
        <f>IF(FC61=0,0,(FD61-FC61)/FC61*100)</f>
        <v>0</v>
      </c>
      <c r="FF61" s="2846"/>
      <c r="FG61" s="2846"/>
      <c r="FH61" s="1093">
        <f>IF(FF61=0,0,(FG61-FF61)/FF61*100)</f>
        <v>0</v>
      </c>
      <c r="FI61" s="2846"/>
      <c r="FJ61" s="2846"/>
      <c r="FK61" s="1093">
        <f>IF(FI61=0,0,(FJ61-FI61)/FI61*100)</f>
        <v>0</v>
      </c>
      <c r="FL61" s="2846"/>
      <c r="FM61" s="2846"/>
      <c r="FN61" s="1093">
        <f>IF(FL61=0,0,(FM61-FL61)/FL61*100)</f>
        <v>0</v>
      </c>
      <c r="FO61" s="2846"/>
      <c r="FP61" s="2846"/>
      <c r="FQ61" s="1093">
        <f>IF(FO61=0,0,(FP61-FO61)/FO61*100)</f>
        <v>0</v>
      </c>
      <c r="FR61" s="2846"/>
      <c r="FS61" s="2846"/>
      <c r="FT61" s="1093">
        <f>IF(FR61=0,0,(FS61-FR61)/FR61*100)</f>
        <v>0</v>
      </c>
      <c r="FU61" s="2846"/>
      <c r="FV61" s="2846"/>
      <c r="FW61" s="1093">
        <f>IF(FU61=0,0,(FV61-FU61)/FU61*100)</f>
        <v>0</v>
      </c>
      <c r="FX61" s="1304"/>
      <c r="FY61" s="1304"/>
      <c r="FZ61" s="1055" t="s">
        <v>2392</v>
      </c>
      <c r="GA61" s="1306"/>
      <c r="GB61" s="1306"/>
      <c r="GC61" s="1305"/>
      <c r="GD61" s="1305"/>
    </row>
    <row customHeight="1" ht="14.625" hidden="1">
      <c r="A62" s="493"/>
      <c r="B62" s="925" cm="1" t="str">
        <f t="array" ref="B62:B62">B61</f>
        <v>false</v>
      </c>
      <c r="C62" s="493"/>
      <c r="D62" s="493"/>
      <c r="E62" s="840">
        <v>15</v>
      </c>
      <c r="F62" s="50" cm="1" t="str">
        <f t="array" ref="F62:F62">OFFSET(E62,-1,1)</f>
        <v>0</v>
      </c>
      <c r="G62" s="107" t="s">
        <v>2393</v>
      </c>
      <c r="H62" s="493" t="s">
        <v>2374</v>
      </c>
      <c r="I62" s="493" t="s">
        <v>2350</v>
      </c>
      <c r="J62" s="493"/>
      <c r="K62" s="493"/>
      <c r="L62" s="493"/>
      <c r="M62" s="493"/>
      <c r="N62" s="493"/>
      <c r="O62" s="493"/>
      <c r="P62" s="493"/>
      <c r="Q62" s="493"/>
      <c r="R62" s="493"/>
      <c r="S62" s="493"/>
      <c r="T62" s="465" cm="1" t="str">
        <f t="array" ref="T62:T62">T61</f>
        <v>false</v>
      </c>
      <c r="U62" s="493"/>
      <c r="V62" s="493"/>
      <c r="W62" s="493"/>
      <c r="X62" s="1596"/>
      <c r="Y62" s="493"/>
      <c r="Z62" s="1545"/>
      <c r="AA62" s="493"/>
      <c r="AB62" s="1091" t="str">
        <f>"объём "&amp;IF(Q29="Водоснабжение","потребления холодной воды","водоотведения")</f>
        <v>объём водоотведения</v>
      </c>
      <c r="AC62" s="864" t="s">
        <v>1247</v>
      </c>
      <c r="AD62" s="5247">
        <f>IF(AND(method_reg="Метод индексации",god&lt;&gt;first_year),_xlfn.SUMIFS(INDEX('Калькуляция (МИ корр)'!$AJ$25:$BC$747,,MATCH(AD$8,'Калькуляция (МИ корр)'!$AJ$8:$BC$8,0)),'Калькуляция (МИ корр)'!$F$25:$F$747,$F62,'Калькуляция (МИ корр)'!$G$25:$G$747,$G62),IF(method_reg="Метод экономически обоснованных расходов",_xlfn.SUMIFS('Калькуляция (МЭОР)'!$AJ$25:$AJ$452,'Калькуляция (МЭОР)'!$F$25:$F$452,$F62,'Калькуляция (МЭОР)'!$G$25:$G$452,$G62),IF(method_reg="Метод сравнения аналогов",_xlfn.SUMIFS('Калькуляция (МСА)'!$AE$25:$AE$122,'Калькуляция (МСА)'!$F$25:$F$122,$F62,'Калькуляция (МСА)'!$G$25:$G$122,$G62),_xlfn.SUMIFS(INDEX('Калькуляция (МИ)'!$AJ$25:$BC$747,,MATCH(AD$8,'Калькуляция (МИ)'!$AJ$8:$BC$8,0)),'Калькуляция (МИ)'!$F$25:$F$747,$F62,'Калькуляция (МИ)'!$G$25:$G$747,$G62))))</f>
        <v>0</v>
      </c>
      <c r="AE62" s="5247">
        <f>IF(AND(method_reg="Метод индексации",god&lt;&gt;first_year),_xlfn.SUMIFS(INDEX('Калькуляция (МИ корр)'!$AJ$25:$BC$747,,MATCH(AE$8,'Калькуляция (МИ корр)'!$AJ$8:$BC$8,0)),'Калькуляция (МИ корр)'!$F$25:$F$747,$F62,'Калькуляция (МИ корр)'!$G$25:$G$747,$G62),IF(method_reg="Метод экономически обоснованных расходов",_xlfn.SUMIFS('Калькуляция (МЭОР)'!$AK$25:$AK$452,'Калькуляция (МЭОР)'!$F$25:$F$452,$F62,'Калькуляция (МЭОР)'!$G$25:$G$452,$G62),IF(method_reg="Метод сравнения аналогов",_xlfn.SUMIFS('Калькуляция (МСА)'!$AF$25:$AF$122,'Калькуляция (МСА)'!$F$25:$F$122,$F62,'Калькуляция (МСА)'!$G$25:$G$122,$G62),_xlfn.SUMIFS(INDEX('Калькуляция (МИ)'!$AJ$25:$BC$747,,MATCH(AE$8,'Калькуляция (МИ)'!$AJ$8:$BC$8,0)),'Калькуляция (МИ)'!$F$25:$F$747,$F62,'Калькуляция (МИ)'!$G$25:$G$747,$G62))))</f>
        <v>0</v>
      </c>
      <c r="AF62" s="1095">
        <f>IF(AD62=0,0,(AE62-AD62)/AD62*100)</f>
        <v>0</v>
      </c>
      <c r="AG62" s="5247">
        <f>IF(AND(method_reg="Метод индексации",god&lt;&gt;first_year),_xlfn.SUMIFS(INDEX('Калькуляция (МИ корр)'!$AJ$25:$BC$747,,MATCH(AG$8,'Калькуляция (МИ корр)'!$AJ$8:$BC$8,0)),'Калькуляция (МИ корр)'!$F$25:$F$747,$F62,'Калькуляция (МИ корр)'!$G$25:$G$747,$G62),IF(method_reg="Метод экономически обоснованных расходов",_xlfn.SUMIFS('Калькуляция (МЭОР)'!$AJ$25:$AJ$452,'Калькуляция (МЭОР)'!$F$25:$F$452,$F62,'Калькуляция (МЭОР)'!$G$25:$G$452,$G62),IF(method_reg="Метод сравнения аналогов",_xlfn.SUMIFS('Калькуляция (МСА)'!$AE$25:$AE$122,'Калькуляция (МСА)'!$F$25:$F$122,$F62,'Калькуляция (МСА)'!$G$25:$G$122,$G62),_xlfn.SUMIFS(INDEX('Калькуляция (МИ)'!$AJ$25:$BC$747,,MATCH(AG$8,'Калькуляция (МИ)'!$AJ$8:$BC$8,0)),'Калькуляция (МИ)'!$F$25:$F$747,$F62,'Калькуляция (МИ)'!$G$25:$G$747,$G62))))</f>
        <v>0</v>
      </c>
      <c r="AH62" s="5247">
        <f>IF(AND(method_reg="Метод индексации",god&lt;&gt;first_year),_xlfn.SUMIFS(INDEX('Калькуляция (МИ корр)'!$AJ$25:$BC$747,,MATCH(AH$8,'Калькуляция (МИ корр)'!$AJ$8:$BC$8,0)),'Калькуляция (МИ корр)'!$F$25:$F$747,$F62,'Калькуляция (МИ корр)'!$G$25:$G$747,$G62),IF(method_reg="Метод экономически обоснованных расходов",_xlfn.SUMIFS('Калькуляция (МЭОР)'!$AK$25:$AK$452,'Калькуляция (МЭОР)'!$F$25:$F$452,$F62,'Калькуляция (МЭОР)'!$G$25:$G$452,$G62),IF(method_reg="Метод сравнения аналогов",_xlfn.SUMIFS('Калькуляция (МСА)'!$AF$25:$AF$122,'Калькуляция (МСА)'!$F$25:$F$122,$F62,'Калькуляция (МСА)'!$G$25:$G$122,$G62),_xlfn.SUMIFS(INDEX('Калькуляция (МИ)'!$AJ$25:$BC$747,,MATCH(AH$8,'Калькуляция (МИ)'!$AJ$8:$BC$8,0)),'Калькуляция (МИ)'!$F$25:$F$747,$F62,'Калькуляция (МИ)'!$G$25:$G$747,$G62))))</f>
        <v>0</v>
      </c>
      <c r="AI62" s="1095">
        <f>IF(AG62=0,0,(AH62-AG62)/AG62*100)</f>
        <v>0</v>
      </c>
      <c r="AJ62" s="5247">
        <f>IF(AND(method_reg="Метод индексации",god&lt;&gt;first_year),_xlfn.SUMIFS(INDEX('Калькуляция (МИ корр)'!$AJ$25:$BC$747,,MATCH(AJ$8,'Калькуляция (МИ корр)'!$AJ$8:$BC$8,0)),'Калькуляция (МИ корр)'!$F$25:$F$747,$F62,'Калькуляция (МИ корр)'!$G$25:$G$747,$G62),IF(method_reg="Метод экономически обоснованных расходов",_xlfn.SUMIFS('Калькуляция (МЭОР)'!$AJ$25:$AJ$452,'Калькуляция (МЭОР)'!$F$25:$F$452,$F62,'Калькуляция (МЭОР)'!$G$25:$G$452,$G62),IF(method_reg="Метод сравнения аналогов",_xlfn.SUMIFS('Калькуляция (МСА)'!$AE$25:$AE$122,'Калькуляция (МСА)'!$F$25:$F$122,$F62,'Калькуляция (МСА)'!$G$25:$G$122,$G62),_xlfn.SUMIFS(INDEX('Калькуляция (МИ)'!$AJ$25:$BC$747,,MATCH(AJ$8,'Калькуляция (МИ)'!$AJ$8:$BC$8,0)),'Калькуляция (МИ)'!$F$25:$F$747,$F62,'Калькуляция (МИ)'!$G$25:$G$747,$G62))))</f>
        <v>0</v>
      </c>
      <c r="AK62" s="5247">
        <f>IF(AND(method_reg="Метод индексации",god&lt;&gt;first_year),_xlfn.SUMIFS(INDEX('Калькуляция (МИ корр)'!$AJ$25:$BC$747,,MATCH(AK$8,'Калькуляция (МИ корр)'!$AJ$8:$BC$8,0)),'Калькуляция (МИ корр)'!$F$25:$F$747,$F62,'Калькуляция (МИ корр)'!$G$25:$G$747,$G62),IF(method_reg="Метод экономически обоснованных расходов",_xlfn.SUMIFS('Калькуляция (МЭОР)'!$AK$25:$AK$452,'Калькуляция (МЭОР)'!$F$25:$F$452,$F62,'Калькуляция (МЭОР)'!$G$25:$G$452,$G62),IF(method_reg="Метод сравнения аналогов",_xlfn.SUMIFS('Калькуляция (МСА)'!$AF$25:$AF$122,'Калькуляция (МСА)'!$F$25:$F$122,$F62,'Калькуляция (МСА)'!$G$25:$G$122,$G62),_xlfn.SUMIFS(INDEX('Калькуляция (МИ)'!$AJ$25:$BC$747,,MATCH(AK$8,'Калькуляция (МИ)'!$AJ$8:$BC$8,0)),'Калькуляция (МИ)'!$F$25:$F$747,$F62,'Калькуляция (МИ)'!$G$25:$G$747,$G62))))</f>
        <v>0</v>
      </c>
      <c r="AL62" s="1095">
        <f>IF(AJ62=0,0,(AK62-AJ62)/AJ62*100)</f>
        <v>0</v>
      </c>
      <c r="AM62" s="5247">
        <f>IF(AND(method_reg="Метод индексации",god&lt;&gt;first_year),_xlfn.SUMIFS(INDEX('Калькуляция (МИ корр)'!$AJ$25:$BC$747,,MATCH(AM$8,'Калькуляция (МИ корр)'!$AJ$8:$BC$8,0)),'Калькуляция (МИ корр)'!$F$25:$F$747,$F62,'Калькуляция (МИ корр)'!$G$25:$G$747,$G62),IF(method_reg="Метод экономически обоснованных расходов",_xlfn.SUMIFS('Калькуляция (МЭОР)'!$AJ$25:$AJ$452,'Калькуляция (МЭОР)'!$F$25:$F$452,$F62,'Калькуляция (МЭОР)'!$G$25:$G$452,$G62),IF(method_reg="Метод сравнения аналогов",_xlfn.SUMIFS('Калькуляция (МСА)'!$AE$25:$AE$122,'Калькуляция (МСА)'!$F$25:$F$122,$F62,'Калькуляция (МСА)'!$G$25:$G$122,$G62),_xlfn.SUMIFS(INDEX('Калькуляция (МИ)'!$AJ$25:$BC$747,,MATCH(AM$8,'Калькуляция (МИ)'!$AJ$8:$BC$8,0)),'Калькуляция (МИ)'!$F$25:$F$747,$F62,'Калькуляция (МИ)'!$G$25:$G$747,$G62))))</f>
        <v>0</v>
      </c>
      <c r="AN62" s="5247">
        <f>IF(AND(method_reg="Метод индексации",god&lt;&gt;first_year),_xlfn.SUMIFS(INDEX('Калькуляция (МИ корр)'!$AJ$25:$BC$747,,MATCH(AN$8,'Калькуляция (МИ корр)'!$AJ$8:$BC$8,0)),'Калькуляция (МИ корр)'!$F$25:$F$747,$F62,'Калькуляция (МИ корр)'!$G$25:$G$747,$G62),IF(method_reg="Метод экономически обоснованных расходов",_xlfn.SUMIFS('Калькуляция (МЭОР)'!$AK$25:$AK$452,'Калькуляция (МЭОР)'!$F$25:$F$452,$F62,'Калькуляция (МЭОР)'!$G$25:$G$452,$G62),IF(method_reg="Метод сравнения аналогов",_xlfn.SUMIFS('Калькуляция (МСА)'!$AF$25:$AF$122,'Калькуляция (МСА)'!$F$25:$F$122,$F62,'Калькуляция (МСА)'!$G$25:$G$122,$G62),_xlfn.SUMIFS(INDEX('Калькуляция (МИ)'!$AJ$25:$BC$747,,MATCH(AN$8,'Калькуляция (МИ)'!$AJ$8:$BC$8,0)),'Калькуляция (МИ)'!$F$25:$F$747,$F62,'Калькуляция (МИ)'!$G$25:$G$747,$G62))))</f>
        <v>0</v>
      </c>
      <c r="AO62" s="1095">
        <f>IF(AM62=0,0,(AN62-AM62)/AM62*100)</f>
        <v>0</v>
      </c>
      <c r="AP62" s="5247">
        <f>IF(AND(method_reg="Метод индексации",god&lt;&gt;first_year),_xlfn.SUMIFS(INDEX('Калькуляция (МИ корр)'!$AJ$25:$BC$747,,MATCH(AP$8,'Калькуляция (МИ корр)'!$AJ$8:$BC$8,0)),'Калькуляция (МИ корр)'!$F$25:$F$747,$F62,'Калькуляция (МИ корр)'!$G$25:$G$747,$G62),IF(method_reg="Метод экономически обоснованных расходов",_xlfn.SUMIFS('Калькуляция (МЭОР)'!$AJ$25:$AJ$452,'Калькуляция (МЭОР)'!$F$25:$F$452,$F62,'Калькуляция (МЭОР)'!$G$25:$G$452,$G62),IF(method_reg="Метод сравнения аналогов",_xlfn.SUMIFS('Калькуляция (МСА)'!$AE$25:$AE$122,'Калькуляция (МСА)'!$F$25:$F$122,$F62,'Калькуляция (МСА)'!$G$25:$G$122,$G62),_xlfn.SUMIFS(INDEX('Калькуляция (МИ)'!$AJ$25:$BC$747,,MATCH(AP$8,'Калькуляция (МИ)'!$AJ$8:$BC$8,0)),'Калькуляция (МИ)'!$F$25:$F$747,$F62,'Калькуляция (МИ)'!$G$25:$G$747,$G62))))</f>
        <v>0</v>
      </c>
      <c r="AQ62" s="5247">
        <f>IF(AND(method_reg="Метод индексации",god&lt;&gt;first_year),_xlfn.SUMIFS(INDEX('Калькуляция (МИ корр)'!$AJ$25:$BC$747,,MATCH(AQ$8,'Калькуляция (МИ корр)'!$AJ$8:$BC$8,0)),'Калькуляция (МИ корр)'!$F$25:$F$747,$F62,'Калькуляция (МИ корр)'!$G$25:$G$747,$G62),IF(method_reg="Метод экономически обоснованных расходов",_xlfn.SUMIFS('Калькуляция (МЭОР)'!$AK$25:$AK$452,'Калькуляция (МЭОР)'!$F$25:$F$452,$F62,'Калькуляция (МЭОР)'!$G$25:$G$452,$G62),IF(method_reg="Метод сравнения аналогов",_xlfn.SUMIFS('Калькуляция (МСА)'!$AF$25:$AF$122,'Калькуляция (МСА)'!$F$25:$F$122,$F62,'Калькуляция (МСА)'!$G$25:$G$122,$G62),_xlfn.SUMIFS(INDEX('Калькуляция (МИ)'!$AJ$25:$BC$747,,MATCH(AQ$8,'Калькуляция (МИ)'!$AJ$8:$BC$8,0)),'Калькуляция (МИ)'!$F$25:$F$747,$F62,'Калькуляция (МИ)'!$G$25:$G$747,$G62))))</f>
        <v>0</v>
      </c>
      <c r="AR62" s="1095">
        <f>IF(AP62=0,0,(AQ62-AP62)/AP62*100)</f>
        <v>0</v>
      </c>
      <c r="AS62" s="5247">
        <f>IF(AND(method_reg="Метод индексации",god&lt;&gt;first_year),_xlfn.SUMIFS(INDEX('Калькуляция (МИ корр)'!$AJ$25:$BC$747,,MATCH(AS$8,'Калькуляция (МИ корр)'!$AJ$8:$BC$8,0)),'Калькуляция (МИ корр)'!$F$25:$F$747,$F62,'Калькуляция (МИ корр)'!$G$25:$G$747,$G62),IF(method_reg="Метод экономически обоснованных расходов",_xlfn.SUMIFS('Калькуляция (МЭОР)'!$AJ$25:$AJ$452,'Калькуляция (МЭОР)'!$F$25:$F$452,$F62,'Калькуляция (МЭОР)'!$G$25:$G$452,$G62),IF(method_reg="Метод сравнения аналогов",_xlfn.SUMIFS('Калькуляция (МСА)'!$AE$25:$AE$122,'Калькуляция (МСА)'!$F$25:$F$122,$F62,'Калькуляция (МСА)'!$G$25:$G$122,$G62),_xlfn.SUMIFS(INDEX('Калькуляция (МИ)'!$AJ$25:$BC$747,,MATCH(AS$8,'Калькуляция (МИ)'!$AJ$8:$BC$8,0)),'Калькуляция (МИ)'!$F$25:$F$747,$F62,'Калькуляция (МИ)'!$G$25:$G$747,$G62))))</f>
        <v>0</v>
      </c>
      <c r="AT62" s="5247">
        <f>IF(AND(method_reg="Метод индексации",god&lt;&gt;first_year),_xlfn.SUMIFS(INDEX('Калькуляция (МИ корр)'!$AJ$25:$BC$747,,MATCH(AT$8,'Калькуляция (МИ корр)'!$AJ$8:$BC$8,0)),'Калькуляция (МИ корр)'!$F$25:$F$747,$F62,'Калькуляция (МИ корр)'!$G$25:$G$747,$G62),IF(method_reg="Метод экономически обоснованных расходов",_xlfn.SUMIFS('Калькуляция (МЭОР)'!$AK$25:$AK$452,'Калькуляция (МЭОР)'!$F$25:$F$452,$F62,'Калькуляция (МЭОР)'!$G$25:$G$452,$G62),IF(method_reg="Метод сравнения аналогов",_xlfn.SUMIFS('Калькуляция (МСА)'!$AF$25:$AF$122,'Калькуляция (МСА)'!$F$25:$F$122,$F62,'Калькуляция (МСА)'!$G$25:$G$122,$G62),_xlfn.SUMIFS(INDEX('Калькуляция (МИ)'!$AJ$25:$BC$747,,MATCH(AT$8,'Калькуляция (МИ)'!$AJ$8:$BC$8,0)),'Калькуляция (МИ)'!$F$25:$F$747,$F62,'Калькуляция (МИ)'!$G$25:$G$747,$G62))))</f>
        <v>0</v>
      </c>
      <c r="AU62" s="1095">
        <f>IF(AS62=0,0,(AT62-AS62)/AS62*100)</f>
        <v>0</v>
      </c>
      <c r="AV62" s="5247">
        <f>IF(AND(method_reg="Метод индексации",god&lt;&gt;first_year),_xlfn.SUMIFS(INDEX('Калькуляция (МИ корр)'!$AJ$25:$BC$747,,MATCH(AV$8,'Калькуляция (МИ корр)'!$AJ$8:$BC$8,0)),'Калькуляция (МИ корр)'!$F$25:$F$747,$F62,'Калькуляция (МИ корр)'!$G$25:$G$747,$G62),IF(method_reg="Метод экономически обоснованных расходов",_xlfn.SUMIFS('Калькуляция (МЭОР)'!$AJ$25:$AJ$452,'Калькуляция (МЭОР)'!$F$25:$F$452,$F62,'Калькуляция (МЭОР)'!$G$25:$G$452,$G62),IF(method_reg="Метод сравнения аналогов",_xlfn.SUMIFS('Калькуляция (МСА)'!$AE$25:$AE$122,'Калькуляция (МСА)'!$F$25:$F$122,$F62,'Калькуляция (МСА)'!$G$25:$G$122,$G62),_xlfn.SUMIFS(INDEX('Калькуляция (МИ)'!$AJ$25:$BC$747,,MATCH(AV$8,'Калькуляция (МИ)'!$AJ$8:$BC$8,0)),'Калькуляция (МИ)'!$F$25:$F$747,$F62,'Калькуляция (МИ)'!$G$25:$G$747,$G62))))</f>
        <v>0</v>
      </c>
      <c r="AW62" s="5247">
        <f>IF(AND(method_reg="Метод индексации",god&lt;&gt;first_year),_xlfn.SUMIFS(INDEX('Калькуляция (МИ корр)'!$AJ$25:$BC$747,,MATCH(AW$8,'Калькуляция (МИ корр)'!$AJ$8:$BC$8,0)),'Калькуляция (МИ корр)'!$F$25:$F$747,$F62,'Калькуляция (МИ корр)'!$G$25:$G$747,$G62),IF(method_reg="Метод экономически обоснованных расходов",_xlfn.SUMIFS('Калькуляция (МЭОР)'!$AK$25:$AK$452,'Калькуляция (МЭОР)'!$F$25:$F$452,$F62,'Калькуляция (МЭОР)'!$G$25:$G$452,$G62),IF(method_reg="Метод сравнения аналогов",_xlfn.SUMIFS('Калькуляция (МСА)'!$AF$25:$AF$122,'Калькуляция (МСА)'!$F$25:$F$122,$F62,'Калькуляция (МСА)'!$G$25:$G$122,$G62),_xlfn.SUMIFS(INDEX('Калькуляция (МИ)'!$AJ$25:$BC$747,,MATCH(AW$8,'Калькуляция (МИ)'!$AJ$8:$BC$8,0)),'Калькуляция (МИ)'!$F$25:$F$747,$F62,'Калькуляция (МИ)'!$G$25:$G$747,$G62))))</f>
        <v>0</v>
      </c>
      <c r="AX62" s="1095">
        <f>IF(AV62=0,0,(AW62-AV62)/AV62*100)</f>
        <v>0</v>
      </c>
      <c r="AY62" s="5247">
        <f>IF(AND(method_reg="Метод индексации",god&lt;&gt;first_year),_xlfn.SUMIFS(INDEX('Калькуляция (МИ корр)'!$AJ$25:$BC$747,,MATCH(AY$8,'Калькуляция (МИ корр)'!$AJ$8:$BC$8,0)),'Калькуляция (МИ корр)'!$F$25:$F$747,$F62,'Калькуляция (МИ корр)'!$G$25:$G$747,$G62),IF(method_reg="Метод экономически обоснованных расходов",_xlfn.SUMIFS('Калькуляция (МЭОР)'!$AJ$25:$AJ$452,'Калькуляция (МЭОР)'!$F$25:$F$452,$F62,'Калькуляция (МЭОР)'!$G$25:$G$452,$G62),IF(method_reg="Метод сравнения аналогов",_xlfn.SUMIFS('Калькуляция (МСА)'!$AE$25:$AE$122,'Калькуляция (МСА)'!$F$25:$F$122,$F62,'Калькуляция (МСА)'!$G$25:$G$122,$G62),_xlfn.SUMIFS(INDEX('Калькуляция (МИ)'!$AJ$25:$BC$747,,MATCH(AY$8,'Калькуляция (МИ)'!$AJ$8:$BC$8,0)),'Калькуляция (МИ)'!$F$25:$F$747,$F62,'Калькуляция (МИ)'!$G$25:$G$747,$G62))))</f>
        <v>0</v>
      </c>
      <c r="AZ62" s="5247">
        <f>IF(AND(method_reg="Метод индексации",god&lt;&gt;first_year),_xlfn.SUMIFS(INDEX('Калькуляция (МИ корр)'!$AJ$25:$BC$747,,MATCH(AZ$8,'Калькуляция (МИ корр)'!$AJ$8:$BC$8,0)),'Калькуляция (МИ корр)'!$F$25:$F$747,$F62,'Калькуляция (МИ корр)'!$G$25:$G$747,$G62),IF(method_reg="Метод экономически обоснованных расходов",_xlfn.SUMIFS('Калькуляция (МЭОР)'!$AK$25:$AK$452,'Калькуляция (МЭОР)'!$F$25:$F$452,$F62,'Калькуляция (МЭОР)'!$G$25:$G$452,$G62),IF(method_reg="Метод сравнения аналогов",_xlfn.SUMIFS('Калькуляция (МСА)'!$AF$25:$AF$122,'Калькуляция (МСА)'!$F$25:$F$122,$F62,'Калькуляция (МСА)'!$G$25:$G$122,$G62),_xlfn.SUMIFS(INDEX('Калькуляция (МИ)'!$AJ$25:$BC$747,,MATCH(AZ$8,'Калькуляция (МИ)'!$AJ$8:$BC$8,0)),'Калькуляция (МИ)'!$F$25:$F$747,$F62,'Калькуляция (МИ)'!$G$25:$G$747,$G62))))</f>
        <v>0</v>
      </c>
      <c r="BA62" s="1095">
        <f>IF(AY62=0,0,(AZ62-AY62)/AY62*100)</f>
        <v>0</v>
      </c>
      <c r="BB62" s="5247">
        <f>IF(AND(method_reg="Метод индексации",god&lt;&gt;first_year),_xlfn.SUMIFS(INDEX('Калькуляция (МИ корр)'!$AJ$25:$BC$747,,MATCH(BB$8,'Калькуляция (МИ корр)'!$AJ$8:$BC$8,0)),'Калькуляция (МИ корр)'!$F$25:$F$747,$F62,'Калькуляция (МИ корр)'!$G$25:$G$747,$G62),IF(method_reg="Метод экономически обоснованных расходов",_xlfn.SUMIFS('Калькуляция (МЭОР)'!$AJ$25:$AJ$452,'Калькуляция (МЭОР)'!$F$25:$F$452,$F62,'Калькуляция (МЭОР)'!$G$25:$G$452,$G62),IF(method_reg="Метод сравнения аналогов",_xlfn.SUMIFS('Калькуляция (МСА)'!$AE$25:$AE$122,'Калькуляция (МСА)'!$F$25:$F$122,$F62,'Калькуляция (МСА)'!$G$25:$G$122,$G62),_xlfn.SUMIFS(INDEX('Калькуляция (МИ)'!$AJ$25:$BC$747,,MATCH(BB$8,'Калькуляция (МИ)'!$AJ$8:$BC$8,0)),'Калькуляция (МИ)'!$F$25:$F$747,$F62,'Калькуляция (МИ)'!$G$25:$G$747,$G62))))</f>
        <v>0</v>
      </c>
      <c r="BC62" s="5247">
        <f>IF(AND(method_reg="Метод индексации",god&lt;&gt;first_year),_xlfn.SUMIFS(INDEX('Калькуляция (МИ корр)'!$AJ$25:$BC$747,,MATCH(BC$8,'Калькуляция (МИ корр)'!$AJ$8:$BC$8,0)),'Калькуляция (МИ корр)'!$F$25:$F$747,$F62,'Калькуляция (МИ корр)'!$G$25:$G$747,$G62),IF(method_reg="Метод экономически обоснованных расходов",_xlfn.SUMIFS('Калькуляция (МЭОР)'!$AK$25:$AK$452,'Калькуляция (МЭОР)'!$F$25:$F$452,$F62,'Калькуляция (МЭОР)'!$G$25:$G$452,$G62),IF(method_reg="Метод сравнения аналогов",_xlfn.SUMIFS('Калькуляция (МСА)'!$AF$25:$AF$122,'Калькуляция (МСА)'!$F$25:$F$122,$F62,'Калькуляция (МСА)'!$G$25:$G$122,$G62),_xlfn.SUMIFS(INDEX('Калькуляция (МИ)'!$AJ$25:$BC$747,,MATCH(BC$8,'Калькуляция (МИ)'!$AJ$8:$BC$8,0)),'Калькуляция (МИ)'!$F$25:$F$747,$F62,'Калькуляция (МИ)'!$G$25:$G$747,$G62))))</f>
        <v>0</v>
      </c>
      <c r="BD62" s="1095">
        <f>IF(BB62=0,0,(BC62-BB62)/BB62*100)</f>
        <v>0</v>
      </c>
      <c r="BE62" s="5247">
        <f>IF(AND(method_reg="Метод индексации",god&lt;&gt;first_year),_xlfn.SUMIFS(INDEX('Калькуляция (МИ корр)'!$AJ$25:$BC$747,,MATCH(BE$8,'Калькуляция (МИ корр)'!$AJ$8:$BC$8,0)),'Калькуляция (МИ корр)'!$F$25:$F$747,$F62,'Калькуляция (МИ корр)'!$G$25:$G$747,$G62),IF(method_reg="Метод экономически обоснованных расходов",_xlfn.SUMIFS('Калькуляция (МЭОР)'!$AJ$25:$AJ$452,'Калькуляция (МЭОР)'!$F$25:$F$452,$F62,'Калькуляция (МЭОР)'!$G$25:$G$452,$G62),IF(method_reg="Метод сравнения аналогов",_xlfn.SUMIFS('Калькуляция (МСА)'!$AE$25:$AE$122,'Калькуляция (МСА)'!$F$25:$F$122,$F62,'Калькуляция (МСА)'!$G$25:$G$122,$G62),_xlfn.SUMIFS(INDEX('Калькуляция (МИ)'!$AJ$25:$BC$747,,MATCH(BE$8,'Калькуляция (МИ)'!$AJ$8:$BC$8,0)),'Калькуляция (МИ)'!$F$25:$F$747,$F62,'Калькуляция (МИ)'!$G$25:$G$747,$G62))))</f>
        <v>0</v>
      </c>
      <c r="BF62" s="5247">
        <f>IF(AND(method_reg="Метод индексации",god&lt;&gt;first_year),_xlfn.SUMIFS(INDEX('Калькуляция (МИ корр)'!$AJ$25:$BC$747,,MATCH(BF$8,'Калькуляция (МИ корр)'!$AJ$8:$BC$8,0)),'Калькуляция (МИ корр)'!$F$25:$F$747,$F62,'Калькуляция (МИ корр)'!$G$25:$G$747,$G62),IF(method_reg="Метод экономически обоснованных расходов",_xlfn.SUMIFS('Калькуляция (МЭОР)'!$AK$25:$AK$452,'Калькуляция (МЭОР)'!$F$25:$F$452,$F62,'Калькуляция (МЭОР)'!$G$25:$G$452,$G62),IF(method_reg="Метод сравнения аналогов",_xlfn.SUMIFS('Калькуляция (МСА)'!$AF$25:$AF$122,'Калькуляция (МСА)'!$F$25:$F$122,$F62,'Калькуляция (МСА)'!$G$25:$G$122,$G62),_xlfn.SUMIFS(INDEX('Калькуляция (МИ)'!$AJ$25:$BC$747,,MATCH(BF$8,'Калькуляция (МИ)'!$AJ$8:$BC$8,0)),'Калькуляция (МИ)'!$F$25:$F$747,$F62,'Калькуляция (МИ)'!$G$25:$G$747,$G62))))</f>
        <v>0</v>
      </c>
      <c r="BG62" s="1095">
        <f>IF(BE62=0,0,(BF62-BE62)/BE62*100)</f>
        <v>0</v>
      </c>
      <c r="BH62" s="5247"/>
      <c r="BI62" s="5247"/>
      <c r="BJ62" s="1095">
        <f>IF(BH62=0,0,(BI62-BH62)/BH62*100)</f>
        <v>0</v>
      </c>
      <c r="BK62" s="5247"/>
      <c r="BL62" s="5247"/>
      <c r="BM62" s="1095">
        <f>IF(BK62=0,0,(BL62-BK62)/BK62*100)</f>
        <v>0</v>
      </c>
      <c r="BN62" s="5247"/>
      <c r="BO62" s="5247"/>
      <c r="BP62" s="1095">
        <f>IF(BN62=0,0,(BO62-BN62)/BN62*100)</f>
        <v>0</v>
      </c>
      <c r="BQ62" s="5247"/>
      <c r="BR62" s="5247"/>
      <c r="BS62" s="1095">
        <f>IF(BQ62=0,0,(BR62-BQ62)/BQ62*100)</f>
        <v>0</v>
      </c>
      <c r="BT62" s="5247"/>
      <c r="BU62" s="5247"/>
      <c r="BV62" s="1095">
        <f>IF(BT62=0,0,(BU62-BT62)/BT62*100)</f>
        <v>0</v>
      </c>
      <c r="BW62" s="5247"/>
      <c r="BX62" s="5247"/>
      <c r="BY62" s="1095">
        <f>IF(BW62=0,0,(BX62-BW62)/BW62*100)</f>
        <v>0</v>
      </c>
      <c r="BZ62" s="5247"/>
      <c r="CA62" s="5247"/>
      <c r="CB62" s="1095">
        <f>IF(BZ62=0,0,(CA62-BZ62)/BZ62*100)</f>
        <v>0</v>
      </c>
      <c r="CC62" s="5247"/>
      <c r="CD62" s="5247"/>
      <c r="CE62" s="1095">
        <f>IF(CC62=0,0,(CD62-CC62)/CC62*100)</f>
        <v>0</v>
      </c>
      <c r="CF62" s="5247"/>
      <c r="CG62" s="5247"/>
      <c r="CH62" s="1095">
        <f>IF(CF62=0,0,(CG62-CF62)/CF62*100)</f>
        <v>0</v>
      </c>
      <c r="CI62" s="5247"/>
      <c r="CJ62" s="5247"/>
      <c r="CK62" s="1095">
        <f>IF(CI62=0,0,(CJ62-CI62)/CI62*100)</f>
        <v>0</v>
      </c>
      <c r="CL62" s="5247"/>
      <c r="CM62" s="5247"/>
      <c r="CN62" s="1095">
        <f>IF(CL62=0,0,(CM62-CL62)/CL62*100)</f>
        <v>0</v>
      </c>
      <c r="CO62" s="5247"/>
      <c r="CP62" s="5247"/>
      <c r="CQ62" s="1095">
        <f>IF(CO62=0,0,(CP62-CO62)/CO62*100)</f>
        <v>0</v>
      </c>
      <c r="CR62" s="5247"/>
      <c r="CS62" s="5247"/>
      <c r="CT62" s="1095">
        <f>IF(CR62=0,0,(CS62-CR62)/CR62*100)</f>
        <v>0</v>
      </c>
      <c r="CU62" s="5247"/>
      <c r="CV62" s="5247"/>
      <c r="CW62" s="1095">
        <f>IF(CU62=0,0,(CV62-CU62)/CU62*100)</f>
        <v>0</v>
      </c>
      <c r="CX62" s="5247"/>
      <c r="CY62" s="5247"/>
      <c r="CZ62" s="1095">
        <f>IF(CX62=0,0,(CY62-CX62)/CX62*100)</f>
        <v>0</v>
      </c>
      <c r="DA62" s="5247"/>
      <c r="DB62" s="5247"/>
      <c r="DC62" s="1095">
        <f>IF(DA62=0,0,(DB62-DA62)/DA62*100)</f>
        <v>0</v>
      </c>
      <c r="DD62" s="5247"/>
      <c r="DE62" s="5247"/>
      <c r="DF62" s="1095">
        <f>IF(DD62=0,0,(DE62-DD62)/DD62*100)</f>
        <v>0</v>
      </c>
      <c r="DG62" s="5247"/>
      <c r="DH62" s="5247"/>
      <c r="DI62" s="1095">
        <f>IF(DG62=0,0,(DH62-DG62)/DG62*100)</f>
        <v>0</v>
      </c>
      <c r="DJ62" s="5247"/>
      <c r="DK62" s="5247"/>
      <c r="DL62" s="1095">
        <f>IF(DJ62=0,0,(DK62-DJ62)/DJ62*100)</f>
        <v>0</v>
      </c>
      <c r="DM62" s="5247"/>
      <c r="DN62" s="5247"/>
      <c r="DO62" s="1095">
        <f>IF(DM62=0,0,(DN62-DM62)/DM62*100)</f>
        <v>0</v>
      </c>
      <c r="DP62" s="5247"/>
      <c r="DQ62" s="5247"/>
      <c r="DR62" s="1095">
        <f>IF(DP62=0,0,(DQ62-DP62)/DP62*100)</f>
        <v>0</v>
      </c>
      <c r="DS62" s="5247"/>
      <c r="DT62" s="5247"/>
      <c r="DU62" s="1095">
        <f>IF(DS62=0,0,(DT62-DS62)/DS62*100)</f>
        <v>0</v>
      </c>
      <c r="DV62" s="5247"/>
      <c r="DW62" s="5247"/>
      <c r="DX62" s="1095">
        <f>IF(DV62=0,0,(DW62-DV62)/DV62*100)</f>
        <v>0</v>
      </c>
      <c r="DY62" s="5247"/>
      <c r="DZ62" s="5247"/>
      <c r="EA62" s="1095">
        <f>IF(DY62=0,0,(DZ62-DY62)/DY62*100)</f>
        <v>0</v>
      </c>
      <c r="EB62" s="5247"/>
      <c r="EC62" s="5247"/>
      <c r="ED62" s="1095">
        <f>IF(EB62=0,0,(EC62-EB62)/EB62*100)</f>
        <v>0</v>
      </c>
      <c r="EE62" s="5247"/>
      <c r="EF62" s="5247"/>
      <c r="EG62" s="1095">
        <f>IF(EE62=0,0,(EF62-EE62)/EE62*100)</f>
        <v>0</v>
      </c>
      <c r="EH62" s="5247"/>
      <c r="EI62" s="5247"/>
      <c r="EJ62" s="1095">
        <f>IF(EH62=0,0,(EI62-EH62)/EH62*100)</f>
        <v>0</v>
      </c>
      <c r="EK62" s="5247"/>
      <c r="EL62" s="5247"/>
      <c r="EM62" s="1095">
        <f>IF(EK62=0,0,(EL62-EK62)/EK62*100)</f>
        <v>0</v>
      </c>
      <c r="EN62" s="5247"/>
      <c r="EO62" s="5247"/>
      <c r="EP62" s="1095">
        <f>IF(EN62=0,0,(EO62-EN62)/EN62*100)</f>
        <v>0</v>
      </c>
      <c r="EQ62" s="5247"/>
      <c r="ER62" s="5247"/>
      <c r="ES62" s="1095">
        <f>IF(EQ62=0,0,(ER62-EQ62)/EQ62*100)</f>
        <v>0</v>
      </c>
      <c r="ET62" s="5247"/>
      <c r="EU62" s="5247"/>
      <c r="EV62" s="1095">
        <f>IF(ET62=0,0,(EU62-ET62)/ET62*100)</f>
        <v>0</v>
      </c>
      <c r="EW62" s="5247"/>
      <c r="EX62" s="5247"/>
      <c r="EY62" s="1095">
        <f>IF(EW62=0,0,(EX62-EW62)/EW62*100)</f>
        <v>0</v>
      </c>
      <c r="EZ62" s="5247"/>
      <c r="FA62" s="5247"/>
      <c r="FB62" s="1095">
        <f>IF(EZ62=0,0,(FA62-EZ62)/EZ62*100)</f>
        <v>0</v>
      </c>
      <c r="FC62" s="5247"/>
      <c r="FD62" s="5247"/>
      <c r="FE62" s="1095">
        <f>IF(FC62=0,0,(FD62-FC62)/FC62*100)</f>
        <v>0</v>
      </c>
      <c r="FF62" s="5247"/>
      <c r="FG62" s="5247"/>
      <c r="FH62" s="1095">
        <f>IF(FF62=0,0,(FG62-FF62)/FF62*100)</f>
        <v>0</v>
      </c>
      <c r="FI62" s="5247"/>
      <c r="FJ62" s="5247"/>
      <c r="FK62" s="1095">
        <f>IF(FI62=0,0,(FJ62-FI62)/FI62*100)</f>
        <v>0</v>
      </c>
      <c r="FL62" s="5247"/>
      <c r="FM62" s="5247"/>
      <c r="FN62" s="1095">
        <f>IF(FL62=0,0,(FM62-FL62)/FL62*100)</f>
        <v>0</v>
      </c>
      <c r="FO62" s="5247"/>
      <c r="FP62" s="5247"/>
      <c r="FQ62" s="1095">
        <f>IF(FO62=0,0,(FP62-FO62)/FO62*100)</f>
        <v>0</v>
      </c>
      <c r="FR62" s="5247"/>
      <c r="FS62" s="5247"/>
      <c r="FT62" s="1095">
        <f>IF(FR62=0,0,(FS62-FR62)/FR62*100)</f>
        <v>0</v>
      </c>
      <c r="FU62" s="5247"/>
      <c r="FV62" s="5247"/>
      <c r="FW62" s="1095">
        <f>IF(FU62=0,0,(FV62-FU62)/FU62*100)</f>
        <v>0</v>
      </c>
      <c r="FX62" s="1304"/>
      <c r="FY62" s="1304"/>
      <c r="FZ62" s="1055" t="s">
        <v>2394</v>
      </c>
      <c r="GA62" s="1306"/>
      <c r="GB62" s="1306"/>
      <c r="GC62" s="1305"/>
      <c r="GD62" s="1305"/>
    </row>
    <row customHeight="1" ht="21.9375" hidden="1">
      <c r="A63" s="493"/>
      <c r="B63" s="925" cm="1" t="str">
        <f t="array" ref="B63:B63">B62</f>
        <v>false</v>
      </c>
      <c r="C63" s="493"/>
      <c r="D63" s="493"/>
      <c r="E63" s="840">
        <v>22.5</v>
      </c>
      <c r="F63" s="50" cm="1" t="str">
        <f t="array" ref="F63:F63">OFFSET(E63,-1,1)</f>
        <v>0</v>
      </c>
      <c r="G63" s="493"/>
      <c r="H63" s="493" t="s">
        <v>2376</v>
      </c>
      <c r="I63" s="493" t="s">
        <v>2350</v>
      </c>
      <c r="J63" s="493"/>
      <c r="K63" s="493"/>
      <c r="L63" s="493"/>
      <c r="M63" s="493"/>
      <c r="N63" s="493"/>
      <c r="O63" s="493"/>
      <c r="P63" s="493"/>
      <c r="Q63" s="493"/>
      <c r="R63" s="493"/>
      <c r="S63" s="493"/>
      <c r="T63" s="465" cm="1" t="str">
        <f t="array" ref="T63:T63">T62</f>
        <v>false</v>
      </c>
      <c r="U63" s="493"/>
      <c r="V63" s="493"/>
      <c r="W63" s="493"/>
      <c r="X63" s="1596"/>
      <c r="Y63" s="493"/>
      <c r="Z63" s="1545"/>
      <c r="AA63" s="493"/>
      <c r="AB63" s="1091"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63" s="864" t="s">
        <v>2377</v>
      </c>
      <c r="AD63" s="2846"/>
      <c r="AE63" s="2846"/>
      <c r="AF63" s="1093">
        <f>IF(AD63=0,0,(AE63-AD63)/AD63*100)</f>
        <v>0</v>
      </c>
      <c r="AG63" s="2846"/>
      <c r="AH63" s="2846"/>
      <c r="AI63" s="1093">
        <f>IF(AG63=0,0,(AH63-AG63)/AG63*100)</f>
        <v>0</v>
      </c>
      <c r="AJ63" s="2846"/>
      <c r="AK63" s="2846"/>
      <c r="AL63" s="1093">
        <f>IF(AJ63=0,0,(AK63-AJ63)/AJ63*100)</f>
        <v>0</v>
      </c>
      <c r="AM63" s="2846"/>
      <c r="AN63" s="2846"/>
      <c r="AO63" s="1093">
        <f>IF(AM63=0,0,(AN63-AM63)/AM63*100)</f>
        <v>0</v>
      </c>
      <c r="AP63" s="2846"/>
      <c r="AQ63" s="2846"/>
      <c r="AR63" s="1093">
        <f>IF(AP63=0,0,(AQ63-AP63)/AP63*100)</f>
        <v>0</v>
      </c>
      <c r="AS63" s="2846"/>
      <c r="AT63" s="2846"/>
      <c r="AU63" s="1093">
        <f>IF(AS63=0,0,(AT63-AS63)/AS63*100)</f>
        <v>0</v>
      </c>
      <c r="AV63" s="2846"/>
      <c r="AW63" s="2846"/>
      <c r="AX63" s="1093">
        <f>IF(AV63=0,0,(AW63-AV63)/AV63*100)</f>
        <v>0</v>
      </c>
      <c r="AY63" s="2846"/>
      <c r="AZ63" s="2846"/>
      <c r="BA63" s="1093">
        <f>IF(AY63=0,0,(AZ63-AY63)/AY63*100)</f>
        <v>0</v>
      </c>
      <c r="BB63" s="2846"/>
      <c r="BC63" s="2846"/>
      <c r="BD63" s="1093">
        <f>IF(BB63=0,0,(BC63-BB63)/BB63*100)</f>
        <v>0</v>
      </c>
      <c r="BE63" s="2846"/>
      <c r="BF63" s="2846"/>
      <c r="BG63" s="1093">
        <f>IF(BE63=0,0,(BF63-BE63)/BE63*100)</f>
        <v>0</v>
      </c>
      <c r="BH63" s="2846"/>
      <c r="BI63" s="2846"/>
      <c r="BJ63" s="1093">
        <f>IF(BH63=0,0,(BI63-BH63)/BH63*100)</f>
        <v>0</v>
      </c>
      <c r="BK63" s="2846"/>
      <c r="BL63" s="2846"/>
      <c r="BM63" s="1093">
        <f>IF(BK63=0,0,(BL63-BK63)/BK63*100)</f>
        <v>0</v>
      </c>
      <c r="BN63" s="2846"/>
      <c r="BO63" s="2846"/>
      <c r="BP63" s="1093">
        <f>IF(BN63=0,0,(BO63-BN63)/BN63*100)</f>
        <v>0</v>
      </c>
      <c r="BQ63" s="2846"/>
      <c r="BR63" s="2846"/>
      <c r="BS63" s="1093">
        <f>IF(BQ63=0,0,(BR63-BQ63)/BQ63*100)</f>
        <v>0</v>
      </c>
      <c r="BT63" s="2846"/>
      <c r="BU63" s="2846"/>
      <c r="BV63" s="1093">
        <f>IF(BT63=0,0,(BU63-BT63)/BT63*100)</f>
        <v>0</v>
      </c>
      <c r="BW63" s="2846"/>
      <c r="BX63" s="2846"/>
      <c r="BY63" s="1093">
        <f>IF(BW63=0,0,(BX63-BW63)/BW63*100)</f>
        <v>0</v>
      </c>
      <c r="BZ63" s="2846"/>
      <c r="CA63" s="2846"/>
      <c r="CB63" s="1093">
        <f>IF(BZ63=0,0,(CA63-BZ63)/BZ63*100)</f>
        <v>0</v>
      </c>
      <c r="CC63" s="2846"/>
      <c r="CD63" s="2846"/>
      <c r="CE63" s="1093">
        <f>IF(CC63=0,0,(CD63-CC63)/CC63*100)</f>
        <v>0</v>
      </c>
      <c r="CF63" s="2846"/>
      <c r="CG63" s="2846"/>
      <c r="CH63" s="1093">
        <f>IF(CF63=0,0,(CG63-CF63)/CF63*100)</f>
        <v>0</v>
      </c>
      <c r="CI63" s="2846"/>
      <c r="CJ63" s="2846"/>
      <c r="CK63" s="1093">
        <f>IF(CI63=0,0,(CJ63-CI63)/CI63*100)</f>
        <v>0</v>
      </c>
      <c r="CL63" s="2846"/>
      <c r="CM63" s="2846"/>
      <c r="CN63" s="1093">
        <f>IF(CL63=0,0,(CM63-CL63)/CL63*100)</f>
        <v>0</v>
      </c>
      <c r="CO63" s="2846"/>
      <c r="CP63" s="2846"/>
      <c r="CQ63" s="1093">
        <f>IF(CO63=0,0,(CP63-CO63)/CO63*100)</f>
        <v>0</v>
      </c>
      <c r="CR63" s="2846"/>
      <c r="CS63" s="2846"/>
      <c r="CT63" s="1093">
        <f>IF(CR63=0,0,(CS63-CR63)/CR63*100)</f>
        <v>0</v>
      </c>
      <c r="CU63" s="2846"/>
      <c r="CV63" s="2846"/>
      <c r="CW63" s="1093">
        <f>IF(CU63=0,0,(CV63-CU63)/CU63*100)</f>
        <v>0</v>
      </c>
      <c r="CX63" s="2846"/>
      <c r="CY63" s="2846"/>
      <c r="CZ63" s="1093">
        <f>IF(CX63=0,0,(CY63-CX63)/CX63*100)</f>
        <v>0</v>
      </c>
      <c r="DA63" s="2846"/>
      <c r="DB63" s="2846"/>
      <c r="DC63" s="1093">
        <f>IF(DA63=0,0,(DB63-DA63)/DA63*100)</f>
        <v>0</v>
      </c>
      <c r="DD63" s="2846"/>
      <c r="DE63" s="2846"/>
      <c r="DF63" s="1093">
        <f>IF(DD63=0,0,(DE63-DD63)/DD63*100)</f>
        <v>0</v>
      </c>
      <c r="DG63" s="2846"/>
      <c r="DH63" s="2846"/>
      <c r="DI63" s="1093">
        <f>IF(DG63=0,0,(DH63-DG63)/DG63*100)</f>
        <v>0</v>
      </c>
      <c r="DJ63" s="2846"/>
      <c r="DK63" s="2846"/>
      <c r="DL63" s="1093">
        <f>IF(DJ63=0,0,(DK63-DJ63)/DJ63*100)</f>
        <v>0</v>
      </c>
      <c r="DM63" s="2846"/>
      <c r="DN63" s="2846"/>
      <c r="DO63" s="1093">
        <f>IF(DM63=0,0,(DN63-DM63)/DM63*100)</f>
        <v>0</v>
      </c>
      <c r="DP63" s="2846"/>
      <c r="DQ63" s="2846"/>
      <c r="DR63" s="1093">
        <f>IF(DP63=0,0,(DQ63-DP63)/DP63*100)</f>
        <v>0</v>
      </c>
      <c r="DS63" s="2846"/>
      <c r="DT63" s="2846"/>
      <c r="DU63" s="1093">
        <f>IF(DS63=0,0,(DT63-DS63)/DS63*100)</f>
        <v>0</v>
      </c>
      <c r="DV63" s="2846"/>
      <c r="DW63" s="2846"/>
      <c r="DX63" s="1093">
        <f>IF(DV63=0,0,(DW63-DV63)/DV63*100)</f>
        <v>0</v>
      </c>
      <c r="DY63" s="2846"/>
      <c r="DZ63" s="2846"/>
      <c r="EA63" s="1093">
        <f>IF(DY63=0,0,(DZ63-DY63)/DY63*100)</f>
        <v>0</v>
      </c>
      <c r="EB63" s="2846"/>
      <c r="EC63" s="2846"/>
      <c r="ED63" s="1093">
        <f>IF(EB63=0,0,(EC63-EB63)/EB63*100)</f>
        <v>0</v>
      </c>
      <c r="EE63" s="2846"/>
      <c r="EF63" s="2846"/>
      <c r="EG63" s="1093">
        <f>IF(EE63=0,0,(EF63-EE63)/EE63*100)</f>
        <v>0</v>
      </c>
      <c r="EH63" s="2846"/>
      <c r="EI63" s="2846"/>
      <c r="EJ63" s="1093">
        <f>IF(EH63=0,0,(EI63-EH63)/EH63*100)</f>
        <v>0</v>
      </c>
      <c r="EK63" s="2846"/>
      <c r="EL63" s="2846"/>
      <c r="EM63" s="1093">
        <f>IF(EK63=0,0,(EL63-EK63)/EK63*100)</f>
        <v>0</v>
      </c>
      <c r="EN63" s="2846"/>
      <c r="EO63" s="2846"/>
      <c r="EP63" s="1093">
        <f>IF(EN63=0,0,(EO63-EN63)/EN63*100)</f>
        <v>0</v>
      </c>
      <c r="EQ63" s="2846"/>
      <c r="ER63" s="2846"/>
      <c r="ES63" s="1093">
        <f>IF(EQ63=0,0,(ER63-EQ63)/EQ63*100)</f>
        <v>0</v>
      </c>
      <c r="ET63" s="2846"/>
      <c r="EU63" s="2846"/>
      <c r="EV63" s="1093">
        <f>IF(ET63=0,0,(EU63-ET63)/ET63*100)</f>
        <v>0</v>
      </c>
      <c r="EW63" s="2846"/>
      <c r="EX63" s="2846"/>
      <c r="EY63" s="1093">
        <f>IF(EW63=0,0,(EX63-EW63)/EW63*100)</f>
        <v>0</v>
      </c>
      <c r="EZ63" s="2846"/>
      <c r="FA63" s="2846"/>
      <c r="FB63" s="1093">
        <f>IF(EZ63=0,0,(FA63-EZ63)/EZ63*100)</f>
        <v>0</v>
      </c>
      <c r="FC63" s="2846"/>
      <c r="FD63" s="2846"/>
      <c r="FE63" s="1093">
        <f>IF(FC63=0,0,(FD63-FC63)/FC63*100)</f>
        <v>0</v>
      </c>
      <c r="FF63" s="2846"/>
      <c r="FG63" s="2846"/>
      <c r="FH63" s="1093">
        <f>IF(FF63=0,0,(FG63-FF63)/FF63*100)</f>
        <v>0</v>
      </c>
      <c r="FI63" s="2846"/>
      <c r="FJ63" s="2846"/>
      <c r="FK63" s="1093">
        <f>IF(FI63=0,0,(FJ63-FI63)/FI63*100)</f>
        <v>0</v>
      </c>
      <c r="FL63" s="2846"/>
      <c r="FM63" s="2846"/>
      <c r="FN63" s="1093">
        <f>IF(FL63=0,0,(FM63-FL63)/FL63*100)</f>
        <v>0</v>
      </c>
      <c r="FO63" s="2846"/>
      <c r="FP63" s="2846"/>
      <c r="FQ63" s="1093">
        <f>IF(FO63=0,0,(FP63-FO63)/FO63*100)</f>
        <v>0</v>
      </c>
      <c r="FR63" s="2846"/>
      <c r="FS63" s="2846"/>
      <c r="FT63" s="1093">
        <f>IF(FR63=0,0,(FS63-FR63)/FR63*100)</f>
        <v>0</v>
      </c>
      <c r="FU63" s="2846"/>
      <c r="FV63" s="2846"/>
      <c r="FW63" s="1093">
        <f>IF(FU63=0,0,(FV63-FU63)/FU63*100)</f>
        <v>0</v>
      </c>
      <c r="FX63" s="1304"/>
      <c r="FY63" s="1304"/>
      <c r="FZ63" s="1055" t="s">
        <v>2395</v>
      </c>
      <c r="GA63" s="1306"/>
      <c r="GB63" s="1306"/>
      <c r="GC63" s="1305"/>
      <c r="GD63" s="1305"/>
    </row>
    <row customHeight="1" ht="14.625" hidden="1">
      <c r="A64" s="493"/>
      <c r="B64" s="925" cm="1" t="str">
        <f t="array" ref="B64:B64">B63</f>
        <v>false</v>
      </c>
      <c r="C64" s="493"/>
      <c r="D64" s="493"/>
      <c r="E64" s="840">
        <v>15</v>
      </c>
      <c r="F64" s="50" cm="1" t="str">
        <f t="array" ref="F64:F64">OFFSET(E64,-1,1)</f>
        <v>0</v>
      </c>
      <c r="G64" s="493"/>
      <c r="H64" s="493" t="s">
        <v>2379</v>
      </c>
      <c r="I64" s="493" t="s">
        <v>2350</v>
      </c>
      <c r="J64" s="493"/>
      <c r="K64" s="493"/>
      <c r="L64" s="493"/>
      <c r="M64" s="493"/>
      <c r="N64" s="493"/>
      <c r="O64" s="493"/>
      <c r="P64" s="493"/>
      <c r="Q64" s="493"/>
      <c r="R64" s="493"/>
      <c r="S64" s="493"/>
      <c r="T64" s="465" cm="1" t="str">
        <f t="array" ref="T64:T64">T63</f>
        <v>false</v>
      </c>
      <c r="U64" s="493"/>
      <c r="V64" s="493"/>
      <c r="W64" s="493"/>
      <c r="X64" s="1596"/>
      <c r="Y64" s="493"/>
      <c r="Z64" s="1545"/>
      <c r="AA64" s="493"/>
      <c r="AB64" s="1091" t="s">
        <v>2380</v>
      </c>
      <c r="AC64" s="864" t="s">
        <v>2381</v>
      </c>
      <c r="AD64" s="2846"/>
      <c r="AE64" s="2846"/>
      <c r="AF64" s="1093">
        <f>IF(AD64=0,0,(AE64-AD64)/AD64*100)</f>
        <v>0</v>
      </c>
      <c r="AG64" s="2846"/>
      <c r="AH64" s="2846"/>
      <c r="AI64" s="1093">
        <f>IF(AG64=0,0,(AH64-AG64)/AG64*100)</f>
        <v>0</v>
      </c>
      <c r="AJ64" s="2846"/>
      <c r="AK64" s="2846"/>
      <c r="AL64" s="1093">
        <f>IF(AJ64=0,0,(AK64-AJ64)/AJ64*100)</f>
        <v>0</v>
      </c>
      <c r="AM64" s="2846"/>
      <c r="AN64" s="2846"/>
      <c r="AO64" s="1093">
        <f>IF(AM64=0,0,(AN64-AM64)/AM64*100)</f>
        <v>0</v>
      </c>
      <c r="AP64" s="2846"/>
      <c r="AQ64" s="2846"/>
      <c r="AR64" s="1093">
        <f>IF(AP64=0,0,(AQ64-AP64)/AP64*100)</f>
        <v>0</v>
      </c>
      <c r="AS64" s="2846"/>
      <c r="AT64" s="2846"/>
      <c r="AU64" s="1093">
        <f>IF(AS64=0,0,(AT64-AS64)/AS64*100)</f>
        <v>0</v>
      </c>
      <c r="AV64" s="2846"/>
      <c r="AW64" s="2846"/>
      <c r="AX64" s="1093">
        <f>IF(AV64=0,0,(AW64-AV64)/AV64*100)</f>
        <v>0</v>
      </c>
      <c r="AY64" s="2846"/>
      <c r="AZ64" s="2846"/>
      <c r="BA64" s="1093">
        <f>IF(AY64=0,0,(AZ64-AY64)/AY64*100)</f>
        <v>0</v>
      </c>
      <c r="BB64" s="2846"/>
      <c r="BC64" s="2846"/>
      <c r="BD64" s="1093">
        <f>IF(BB64=0,0,(BC64-BB64)/BB64*100)</f>
        <v>0</v>
      </c>
      <c r="BE64" s="2846"/>
      <c r="BF64" s="2846"/>
      <c r="BG64" s="1093">
        <f>IF(BE64=0,0,(BF64-BE64)/BE64*100)</f>
        <v>0</v>
      </c>
      <c r="BH64" s="2846"/>
      <c r="BI64" s="2846"/>
      <c r="BJ64" s="1093">
        <f>IF(BH64=0,0,(BI64-BH64)/BH64*100)</f>
        <v>0</v>
      </c>
      <c r="BK64" s="2846"/>
      <c r="BL64" s="2846"/>
      <c r="BM64" s="1093">
        <f>IF(BK64=0,0,(BL64-BK64)/BK64*100)</f>
        <v>0</v>
      </c>
      <c r="BN64" s="2846"/>
      <c r="BO64" s="2846"/>
      <c r="BP64" s="1093">
        <f>IF(BN64=0,0,(BO64-BN64)/BN64*100)</f>
        <v>0</v>
      </c>
      <c r="BQ64" s="2846"/>
      <c r="BR64" s="2846"/>
      <c r="BS64" s="1093">
        <f>IF(BQ64=0,0,(BR64-BQ64)/BQ64*100)</f>
        <v>0</v>
      </c>
      <c r="BT64" s="2846"/>
      <c r="BU64" s="2846"/>
      <c r="BV64" s="1093">
        <f>IF(BT64=0,0,(BU64-BT64)/BT64*100)</f>
        <v>0</v>
      </c>
      <c r="BW64" s="2846"/>
      <c r="BX64" s="2846"/>
      <c r="BY64" s="1093">
        <f>IF(BW64=0,0,(BX64-BW64)/BW64*100)</f>
        <v>0</v>
      </c>
      <c r="BZ64" s="2846"/>
      <c r="CA64" s="2846"/>
      <c r="CB64" s="1093">
        <f>IF(BZ64=0,0,(CA64-BZ64)/BZ64*100)</f>
        <v>0</v>
      </c>
      <c r="CC64" s="2846"/>
      <c r="CD64" s="2846"/>
      <c r="CE64" s="1093">
        <f>IF(CC64=0,0,(CD64-CC64)/CC64*100)</f>
        <v>0</v>
      </c>
      <c r="CF64" s="2846"/>
      <c r="CG64" s="2846"/>
      <c r="CH64" s="1093">
        <f>IF(CF64=0,0,(CG64-CF64)/CF64*100)</f>
        <v>0</v>
      </c>
      <c r="CI64" s="2846"/>
      <c r="CJ64" s="2846"/>
      <c r="CK64" s="1093">
        <f>IF(CI64=0,0,(CJ64-CI64)/CI64*100)</f>
        <v>0</v>
      </c>
      <c r="CL64" s="2846"/>
      <c r="CM64" s="2846"/>
      <c r="CN64" s="1093">
        <f>IF(CL64=0,0,(CM64-CL64)/CL64*100)</f>
        <v>0</v>
      </c>
      <c r="CO64" s="2846"/>
      <c r="CP64" s="2846"/>
      <c r="CQ64" s="1093">
        <f>IF(CO64=0,0,(CP64-CO64)/CO64*100)</f>
        <v>0</v>
      </c>
      <c r="CR64" s="2846"/>
      <c r="CS64" s="2846"/>
      <c r="CT64" s="1093">
        <f>IF(CR64=0,0,(CS64-CR64)/CR64*100)</f>
        <v>0</v>
      </c>
      <c r="CU64" s="2846"/>
      <c r="CV64" s="2846"/>
      <c r="CW64" s="1093">
        <f>IF(CU64=0,0,(CV64-CU64)/CU64*100)</f>
        <v>0</v>
      </c>
      <c r="CX64" s="2846"/>
      <c r="CY64" s="2846"/>
      <c r="CZ64" s="1093">
        <f>IF(CX64=0,0,(CY64-CX64)/CX64*100)</f>
        <v>0</v>
      </c>
      <c r="DA64" s="2846"/>
      <c r="DB64" s="2846"/>
      <c r="DC64" s="1093">
        <f>IF(DA64=0,0,(DB64-DA64)/DA64*100)</f>
        <v>0</v>
      </c>
      <c r="DD64" s="2846"/>
      <c r="DE64" s="2846"/>
      <c r="DF64" s="1093">
        <f>IF(DD64=0,0,(DE64-DD64)/DD64*100)</f>
        <v>0</v>
      </c>
      <c r="DG64" s="2846"/>
      <c r="DH64" s="2846"/>
      <c r="DI64" s="1093">
        <f>IF(DG64=0,0,(DH64-DG64)/DG64*100)</f>
        <v>0</v>
      </c>
      <c r="DJ64" s="2846"/>
      <c r="DK64" s="2846"/>
      <c r="DL64" s="1093">
        <f>IF(DJ64=0,0,(DK64-DJ64)/DJ64*100)</f>
        <v>0</v>
      </c>
      <c r="DM64" s="2846"/>
      <c r="DN64" s="2846"/>
      <c r="DO64" s="1093">
        <f>IF(DM64=0,0,(DN64-DM64)/DM64*100)</f>
        <v>0</v>
      </c>
      <c r="DP64" s="2846"/>
      <c r="DQ64" s="2846"/>
      <c r="DR64" s="1093">
        <f>IF(DP64=0,0,(DQ64-DP64)/DP64*100)</f>
        <v>0</v>
      </c>
      <c r="DS64" s="2846"/>
      <c r="DT64" s="2846"/>
      <c r="DU64" s="1093">
        <f>IF(DS64=0,0,(DT64-DS64)/DS64*100)</f>
        <v>0</v>
      </c>
      <c r="DV64" s="2846"/>
      <c r="DW64" s="2846"/>
      <c r="DX64" s="1093">
        <f>IF(DV64=0,0,(DW64-DV64)/DV64*100)</f>
        <v>0</v>
      </c>
      <c r="DY64" s="2846"/>
      <c r="DZ64" s="2846"/>
      <c r="EA64" s="1093">
        <f>IF(DY64=0,0,(DZ64-DY64)/DY64*100)</f>
        <v>0</v>
      </c>
      <c r="EB64" s="2846"/>
      <c r="EC64" s="2846"/>
      <c r="ED64" s="1093">
        <f>IF(EB64=0,0,(EC64-EB64)/EB64*100)</f>
        <v>0</v>
      </c>
      <c r="EE64" s="2846"/>
      <c r="EF64" s="2846"/>
      <c r="EG64" s="1093">
        <f>IF(EE64=0,0,(EF64-EE64)/EE64*100)</f>
        <v>0</v>
      </c>
      <c r="EH64" s="2846"/>
      <c r="EI64" s="2846"/>
      <c r="EJ64" s="1093">
        <f>IF(EH64=0,0,(EI64-EH64)/EH64*100)</f>
        <v>0</v>
      </c>
      <c r="EK64" s="2846"/>
      <c r="EL64" s="2846"/>
      <c r="EM64" s="1093">
        <f>IF(EK64=0,0,(EL64-EK64)/EK64*100)</f>
        <v>0</v>
      </c>
      <c r="EN64" s="2846"/>
      <c r="EO64" s="2846"/>
      <c r="EP64" s="1093">
        <f>IF(EN64=0,0,(EO64-EN64)/EN64*100)</f>
        <v>0</v>
      </c>
      <c r="EQ64" s="2846"/>
      <c r="ER64" s="2846"/>
      <c r="ES64" s="1093">
        <f>IF(EQ64=0,0,(ER64-EQ64)/EQ64*100)</f>
        <v>0</v>
      </c>
      <c r="ET64" s="2846"/>
      <c r="EU64" s="2846"/>
      <c r="EV64" s="1093">
        <f>IF(ET64=0,0,(EU64-ET64)/ET64*100)</f>
        <v>0</v>
      </c>
      <c r="EW64" s="2846"/>
      <c r="EX64" s="2846"/>
      <c r="EY64" s="1093">
        <f>IF(EW64=0,0,(EX64-EW64)/EW64*100)</f>
        <v>0</v>
      </c>
      <c r="EZ64" s="2846"/>
      <c r="FA64" s="2846"/>
      <c r="FB64" s="1093">
        <f>IF(EZ64=0,0,(FA64-EZ64)/EZ64*100)</f>
        <v>0</v>
      </c>
      <c r="FC64" s="2846"/>
      <c r="FD64" s="2846"/>
      <c r="FE64" s="1093">
        <f>IF(FC64=0,0,(FD64-FC64)/FC64*100)</f>
        <v>0</v>
      </c>
      <c r="FF64" s="2846"/>
      <c r="FG64" s="2846"/>
      <c r="FH64" s="1093">
        <f>IF(FF64=0,0,(FG64-FF64)/FF64*100)</f>
        <v>0</v>
      </c>
      <c r="FI64" s="2846"/>
      <c r="FJ64" s="2846"/>
      <c r="FK64" s="1093">
        <f>IF(FI64=0,0,(FJ64-FI64)/FI64*100)</f>
        <v>0</v>
      </c>
      <c r="FL64" s="2846"/>
      <c r="FM64" s="2846"/>
      <c r="FN64" s="1093">
        <f>IF(FL64=0,0,(FM64-FL64)/FL64*100)</f>
        <v>0</v>
      </c>
      <c r="FO64" s="2846"/>
      <c r="FP64" s="2846"/>
      <c r="FQ64" s="1093">
        <f>IF(FO64=0,0,(FP64-FO64)/FO64*100)</f>
        <v>0</v>
      </c>
      <c r="FR64" s="2846"/>
      <c r="FS64" s="2846"/>
      <c r="FT64" s="1093">
        <f>IF(FR64=0,0,(FS64-FR64)/FR64*100)</f>
        <v>0</v>
      </c>
      <c r="FU64" s="2846"/>
      <c r="FV64" s="2846"/>
      <c r="FW64" s="1093">
        <f>IF(FU64=0,0,(FV64-FU64)/FU64*100)</f>
        <v>0</v>
      </c>
      <c r="FX64" s="1304"/>
      <c r="FY64" s="1304"/>
      <c r="FZ64" s="1055" t="s">
        <v>2396</v>
      </c>
      <c r="GA64" s="1306"/>
      <c r="GB64" s="1306"/>
      <c r="GC64" s="1305"/>
      <c r="GD64" s="1305"/>
    </row>
    <row customHeight="1" ht="23.887500000000003" hidden="1">
      <c r="A65" s="493"/>
      <c r="B65" s="925" cm="1" t="str">
        <f t="array" ref="B65:B65">B64</f>
        <v>false</v>
      </c>
      <c r="C65" s="493"/>
      <c r="D65" s="493"/>
      <c r="E65" s="840">
        <v>24.5</v>
      </c>
      <c r="F65" s="50" cm="1" t="str">
        <f t="array" ref="F65:F65">OFFSET(E65,-1,1)</f>
        <v>0</v>
      </c>
      <c r="G65" s="493"/>
      <c r="H65" s="493"/>
      <c r="I65" s="493"/>
      <c r="J65" s="493"/>
      <c r="K65" s="493"/>
      <c r="L65" s="493"/>
      <c r="M65" s="493"/>
      <c r="N65" s="493"/>
      <c r="O65" s="493"/>
      <c r="P65" s="493"/>
      <c r="Q65" s="493"/>
      <c r="R65" s="493"/>
      <c r="S65" s="493"/>
      <c r="T65" s="465" cm="1" t="str">
        <f t="array" ref="T65:T65">T64</f>
        <v>false</v>
      </c>
      <c r="U65" s="493"/>
      <c r="V65" s="493"/>
      <c r="W65" s="493"/>
      <c r="X65" s="1596"/>
      <c r="Y65" s="493"/>
      <c r="Z65" s="1545"/>
      <c r="AA65" s="493"/>
      <c r="AB65" s="293" t="s">
        <v>2397</v>
      </c>
      <c r="AC65" s="903"/>
      <c r="AD65" s="1102"/>
      <c r="AE65" s="1102"/>
      <c r="AF65" s="1102"/>
      <c r="AG65" s="1102"/>
      <c r="AH65" s="1102"/>
      <c r="AI65" s="1102"/>
      <c r="AJ65" s="1102"/>
      <c r="AK65" s="1102"/>
      <c r="AL65" s="1102"/>
      <c r="AM65" s="1102"/>
      <c r="AN65" s="1102"/>
      <c r="AO65" s="1102"/>
      <c r="AP65" s="1102"/>
      <c r="AQ65" s="1102"/>
      <c r="AR65" s="1102"/>
      <c r="AS65" s="1102"/>
      <c r="AT65" s="1102"/>
      <c r="AU65" s="1102"/>
      <c r="AV65" s="1102"/>
      <c r="AW65" s="1102"/>
      <c r="AX65" s="1102"/>
      <c r="AY65" s="1102"/>
      <c r="AZ65" s="1102"/>
      <c r="BA65" s="1102"/>
      <c r="BB65" s="1102"/>
      <c r="BC65" s="1102"/>
      <c r="BD65" s="1102"/>
      <c r="BE65" s="1102"/>
      <c r="BF65" s="1102"/>
      <c r="BG65" s="1102"/>
      <c r="BH65" s="1102"/>
      <c r="BI65" s="1102"/>
      <c r="BJ65" s="1102"/>
      <c r="BK65" s="1102"/>
      <c r="BL65" s="1102"/>
      <c r="BM65" s="1102"/>
      <c r="BN65" s="1102"/>
      <c r="BO65" s="1102"/>
      <c r="BP65" s="1102"/>
      <c r="BQ65" s="1102"/>
      <c r="BR65" s="1102"/>
      <c r="BS65" s="1102"/>
      <c r="BT65" s="1102"/>
      <c r="BU65" s="1102"/>
      <c r="BV65" s="1102"/>
      <c r="BW65" s="1102"/>
      <c r="BX65" s="1102"/>
      <c r="BY65" s="1102"/>
      <c r="BZ65" s="1102"/>
      <c r="CA65" s="1102"/>
      <c r="CB65" s="1102"/>
      <c r="CC65" s="1102"/>
      <c r="CD65" s="1102"/>
      <c r="CE65" s="1102"/>
      <c r="CF65" s="1102"/>
      <c r="CG65" s="1102"/>
      <c r="CH65" s="1102"/>
      <c r="CI65" s="1102"/>
      <c r="CJ65" s="1102"/>
      <c r="CK65" s="1102"/>
      <c r="CL65" s="1102"/>
      <c r="CM65" s="1102"/>
      <c r="CN65" s="1102"/>
      <c r="CO65" s="1102"/>
      <c r="CP65" s="1102"/>
      <c r="CQ65" s="1102"/>
      <c r="CR65" s="1102"/>
      <c r="CS65" s="1102"/>
      <c r="CT65" s="1102"/>
      <c r="CU65" s="1102"/>
      <c r="CV65" s="1102"/>
      <c r="CW65" s="1102"/>
      <c r="CX65" s="1102"/>
      <c r="CY65" s="1102"/>
      <c r="CZ65" s="1102"/>
      <c r="DA65" s="1102"/>
      <c r="DB65" s="1102"/>
      <c r="DC65" s="1102"/>
      <c r="DD65" s="1102"/>
      <c r="DE65" s="1102"/>
      <c r="DF65" s="1102"/>
      <c r="DG65" s="1102"/>
      <c r="DH65" s="1102"/>
      <c r="DI65" s="1102"/>
      <c r="DJ65" s="1102"/>
      <c r="DK65" s="1102"/>
      <c r="DL65" s="1102"/>
      <c r="DM65" s="1102"/>
      <c r="DN65" s="1102"/>
      <c r="DO65" s="1102"/>
      <c r="DP65" s="1102"/>
      <c r="DQ65" s="1102"/>
      <c r="DR65" s="1102"/>
      <c r="DS65" s="1102"/>
      <c r="DT65" s="1102"/>
      <c r="DU65" s="1102"/>
      <c r="DV65" s="1102"/>
      <c r="DW65" s="1102"/>
      <c r="DX65" s="1102"/>
      <c r="DY65" s="1102"/>
      <c r="DZ65" s="1102"/>
      <c r="EA65" s="1102"/>
      <c r="EB65" s="1102"/>
      <c r="EC65" s="1102"/>
      <c r="ED65" s="1102"/>
      <c r="EE65" s="1102"/>
      <c r="EF65" s="1102"/>
      <c r="EG65" s="1102"/>
      <c r="EH65" s="1102"/>
      <c r="EI65" s="1102"/>
      <c r="EJ65" s="1102"/>
      <c r="EK65" s="1102"/>
      <c r="EL65" s="1102"/>
      <c r="EM65" s="1102"/>
      <c r="EN65" s="1102"/>
      <c r="EO65" s="1102"/>
      <c r="EP65" s="1102"/>
      <c r="EQ65" s="1102"/>
      <c r="ER65" s="1102"/>
      <c r="ES65" s="1102"/>
      <c r="ET65" s="1102"/>
      <c r="EU65" s="1102"/>
      <c r="EV65" s="1102"/>
      <c r="EW65" s="1102"/>
      <c r="EX65" s="1102"/>
      <c r="EY65" s="1102"/>
      <c r="EZ65" s="1102"/>
      <c r="FA65" s="1102"/>
      <c r="FB65" s="1102"/>
      <c r="FC65" s="1102"/>
      <c r="FD65" s="1102"/>
      <c r="FE65" s="1102"/>
      <c r="FF65" s="1102"/>
      <c r="FG65" s="1102"/>
      <c r="FH65" s="1102"/>
      <c r="FI65" s="1102"/>
      <c r="FJ65" s="1102"/>
      <c r="FK65" s="1102"/>
      <c r="FL65" s="1102"/>
      <c r="FM65" s="1102"/>
      <c r="FN65" s="1102"/>
      <c r="FO65" s="1102"/>
      <c r="FP65" s="1102"/>
      <c r="FQ65" s="1102"/>
      <c r="FR65" s="1102"/>
      <c r="FS65" s="1102"/>
      <c r="FT65" s="1102"/>
      <c r="FU65" s="1102"/>
      <c r="FV65" s="1102"/>
      <c r="FW65" s="1103"/>
      <c r="FX65" s="1304"/>
      <c r="FY65" s="1304"/>
      <c r="FZ65" s="1055"/>
      <c r="GA65" s="1306"/>
      <c r="GB65" s="1306"/>
      <c r="GC65" s="1305"/>
      <c r="GD65" s="1305"/>
    </row>
    <row customHeight="1" ht="14.625" hidden="1">
      <c r="A66" s="493"/>
      <c r="B66" s="925" cm="1" t="str">
        <f t="array" ref="B66:B66">B65</f>
        <v>false</v>
      </c>
      <c r="C66" s="493"/>
      <c r="D66" s="493"/>
      <c r="E66" s="840">
        <v>15</v>
      </c>
      <c r="F66" s="50" cm="1" t="str">
        <f t="array" ref="F66:F66">OFFSET(E66,-1,1)</f>
        <v>0</v>
      </c>
      <c r="G66" s="493"/>
      <c r="H66" s="493" t="s">
        <v>2295</v>
      </c>
      <c r="I66" s="493" t="s">
        <v>2354</v>
      </c>
      <c r="J66" s="493"/>
      <c r="K66" s="493"/>
      <c r="L66" s="493"/>
      <c r="M66" s="493"/>
      <c r="N66" s="493"/>
      <c r="O66" s="493"/>
      <c r="P66" s="493"/>
      <c r="Q66" s="493"/>
      <c r="R66" s="493"/>
      <c r="S66" s="493"/>
      <c r="T66" s="465" cm="1" t="str">
        <f t="array" ref="T66:T66">T65</f>
        <v>false</v>
      </c>
      <c r="U66" s="493"/>
      <c r="V66" s="493"/>
      <c r="W66" s="493"/>
      <c r="X66" s="1596"/>
      <c r="Y66" s="493"/>
      <c r="Z66" s="1545"/>
      <c r="AA66" s="493"/>
      <c r="AB66" s="1091" t="s">
        <v>2370</v>
      </c>
      <c r="AC66" s="864" t="s">
        <v>2337</v>
      </c>
      <c r="AD66" s="2846">
        <f>IF(AD68=0,0,(AD67*AD68+AD69*AD70*IF(god=2026,3,6))/AD68)</f>
        <v>0</v>
      </c>
      <c r="AE66" s="2846">
        <f>IF(AE68=0,0,(AE67*AE68+AE69*AE70*IF(god=2026,3,6))/AE68)</f>
        <v>0</v>
      </c>
      <c r="AF66" s="1093">
        <f>IF(AD66=0,0,(AE66-AD66)/AD66*100)</f>
        <v>0</v>
      </c>
      <c r="AG66" s="2846">
        <f>IF(AG68=0,0,(AG67*AG68+AG69*AG70*IF(god=2025,3,6))/AG68)</f>
        <v>0</v>
      </c>
      <c r="AH66" s="2846">
        <f>IF(AH68=0,0,(AH67*AH68+AH69*AH70*IF(god=2025,3,6))/AH68)</f>
        <v>0</v>
      </c>
      <c r="AI66" s="1093">
        <f>IF(AG66=0,0,(AH66-AG66)/AG66*100)</f>
        <v>0</v>
      </c>
      <c r="AJ66" s="2846">
        <f>IF(AJ68=0,0,(AJ67*AJ68+AJ69*AJ70*6)/AJ68)</f>
        <v>0</v>
      </c>
      <c r="AK66" s="2846">
        <f>IF(AK68=0,0,(AK67*AK68+AK69*AK70*6)/AK68)</f>
        <v>0</v>
      </c>
      <c r="AL66" s="1093">
        <f>IF(AJ66=0,0,(AK66-AJ66)/AJ66*100)</f>
        <v>0</v>
      </c>
      <c r="AM66" s="2846">
        <f>IF(AM68=0,0,(AM67*AM68+AM69*AM70*6)/AM68)</f>
        <v>0</v>
      </c>
      <c r="AN66" s="2846">
        <f>IF(AN68=0,0,(AN67*AN68+AN69*AN70*6)/AN68)</f>
        <v>0</v>
      </c>
      <c r="AO66" s="1093">
        <f>IF(AM66=0,0,(AN66-AM66)/AM66*100)</f>
        <v>0</v>
      </c>
      <c r="AP66" s="2846">
        <f>IF(AP68=0,0,(AP67*AP68+AP69*AP70*6)/AP68)</f>
        <v>0</v>
      </c>
      <c r="AQ66" s="2846">
        <f>IF(AQ68=0,0,(AQ67*AQ68+AQ69*AQ70*6)/AQ68)</f>
        <v>0</v>
      </c>
      <c r="AR66" s="1093">
        <f>IF(AP66=0,0,(AQ66-AP66)/AP66*100)</f>
        <v>0</v>
      </c>
      <c r="AS66" s="2846">
        <f>IF(AS68=0,0,(AS67*AS68+AS69*AS70*6)/AS68)</f>
        <v>0</v>
      </c>
      <c r="AT66" s="2846">
        <f>IF(AT68=0,0,(AT67*AT68+AT69*AT70*6)/AT68)</f>
        <v>0</v>
      </c>
      <c r="AU66" s="1093">
        <f>IF(AS66=0,0,(AT66-AS66)/AS66*100)</f>
        <v>0</v>
      </c>
      <c r="AV66" s="2846">
        <f>IF(AV68=0,0,(AV67*AV68+AV69*AV70*6)/AV68)</f>
        <v>0</v>
      </c>
      <c r="AW66" s="2846">
        <f>IF(AW68=0,0,(AW67*AW68+AW69*AW70*6)/AW68)</f>
        <v>0</v>
      </c>
      <c r="AX66" s="1093">
        <f>IF(AV66=0,0,(AW66-AV66)/AV66*100)</f>
        <v>0</v>
      </c>
      <c r="AY66" s="2846">
        <f>IF(AY68=0,0,(AY67*AY68+AY69*AY70*6)/AY68)</f>
        <v>0</v>
      </c>
      <c r="AZ66" s="2846">
        <f>IF(AZ68=0,0,(AZ67*AZ68+AZ69*AZ70*6)/AZ68)</f>
        <v>0</v>
      </c>
      <c r="BA66" s="1093">
        <f>IF(AY66=0,0,(AZ66-AY66)/AY66*100)</f>
        <v>0</v>
      </c>
      <c r="BB66" s="2846">
        <f>IF(BB68=0,0,(BB67*BB68+BB69*BB70*6)/BB68)</f>
        <v>0</v>
      </c>
      <c r="BC66" s="2846">
        <f>IF(BC68=0,0,(BC67*BC68+BC69*BC70*6)/BC68)</f>
        <v>0</v>
      </c>
      <c r="BD66" s="1093">
        <f>IF(BB66=0,0,(BC66-BB66)/BB66*100)</f>
        <v>0</v>
      </c>
      <c r="BE66" s="2846">
        <f>IF(BE68=0,0,(BE67*BE68+BE69*BE70*6)/BE68)</f>
        <v>0</v>
      </c>
      <c r="BF66" s="2846">
        <f>IF(BF68=0,0,(BF67*BF68+BF69*BF70*6)/BF68)</f>
        <v>0</v>
      </c>
      <c r="BG66" s="1093">
        <f>IF(BE66=0,0,(BF66-BE66)/BE66*100)</f>
        <v>0</v>
      </c>
      <c r="BH66" s="2846">
        <f>IF(BH68=0,0,(BH67*BH68+BH69*BH70*6)/BH68)</f>
        <v>0</v>
      </c>
      <c r="BI66" s="2846">
        <f>IF(BI68=0,0,(BI67*BI68+BI69*BI70*6)/BI68)</f>
        <v>0</v>
      </c>
      <c r="BJ66" s="1093">
        <f>IF(BH66=0,0,(BI66-BH66)/BH66*100)</f>
        <v>0</v>
      </c>
      <c r="BK66" s="2846">
        <f>IF(BK68=0,0,(BK67*BK68+BK69*BK70*6)/BK68)</f>
        <v>0</v>
      </c>
      <c r="BL66" s="2846">
        <f>IF(BL68=0,0,(BL67*BL68+BL69*BL70*6)/BL68)</f>
        <v>0</v>
      </c>
      <c r="BM66" s="1093">
        <f>IF(BK66=0,0,(BL66-BK66)/BK66*100)</f>
        <v>0</v>
      </c>
      <c r="BN66" s="2846">
        <f>IF(BN68=0,0,(BN67*BN68+BN69*BN70*6)/BN68)</f>
        <v>0</v>
      </c>
      <c r="BO66" s="2846">
        <f>IF(BO68=0,0,(BO67*BO68+BO69*BO70*6)/BO68)</f>
        <v>0</v>
      </c>
      <c r="BP66" s="1093">
        <f>IF(BN66=0,0,(BO66-BN66)/BN66*100)</f>
        <v>0</v>
      </c>
      <c r="BQ66" s="2846">
        <f>IF(BQ68=0,0,(BQ67*BQ68+BQ69*BQ70*6)/BQ68)</f>
        <v>0</v>
      </c>
      <c r="BR66" s="2846">
        <f>IF(BR68=0,0,(BR67*BR68+BR69*BR70*6)/BR68)</f>
        <v>0</v>
      </c>
      <c r="BS66" s="1093">
        <f>IF(BQ66=0,0,(BR66-BQ66)/BQ66*100)</f>
        <v>0</v>
      </c>
      <c r="BT66" s="2846">
        <f>IF(BT68=0,0,(BT67*BT68+BT69*BT70*6)/BT68)</f>
        <v>0</v>
      </c>
      <c r="BU66" s="2846">
        <f>IF(BU68=0,0,(BU67*BU68+BU69*BU70*6)/BU68)</f>
        <v>0</v>
      </c>
      <c r="BV66" s="1093">
        <f>IF(BT66=0,0,(BU66-BT66)/BT66*100)</f>
        <v>0</v>
      </c>
      <c r="BW66" s="2846">
        <f>IF(BW68=0,0,(BW67*BW68+BW69*BW70*6)/BW68)</f>
        <v>0</v>
      </c>
      <c r="BX66" s="2846">
        <f>IF(BX68=0,0,(BX67*BX68+BX69*BX70*6)/BX68)</f>
        <v>0</v>
      </c>
      <c r="BY66" s="1093">
        <f>IF(BW66=0,0,(BX66-BW66)/BW66*100)</f>
        <v>0</v>
      </c>
      <c r="BZ66" s="2846">
        <f>IF(BZ68=0,0,(BZ67*BZ68+BZ69*BZ70*6)/BZ68)</f>
        <v>0</v>
      </c>
      <c r="CA66" s="2846">
        <f>IF(CA68=0,0,(CA67*CA68+CA69*CA70*6)/CA68)</f>
        <v>0</v>
      </c>
      <c r="CB66" s="1093">
        <f>IF(BZ66=0,0,(CA66-BZ66)/BZ66*100)</f>
        <v>0</v>
      </c>
      <c r="CC66" s="2846">
        <f>IF(CC68=0,0,(CC67*CC68+CC69*CC70*6)/CC68)</f>
        <v>0</v>
      </c>
      <c r="CD66" s="2846">
        <f>IF(CD68=0,0,(CD67*CD68+CD69*CD70*6)/CD68)</f>
        <v>0</v>
      </c>
      <c r="CE66" s="1093">
        <f>IF(CC66=0,0,(CD66-CC66)/CC66*100)</f>
        <v>0</v>
      </c>
      <c r="CF66" s="2846">
        <f>IF(CF68=0,0,(CF67*CF68+CF69*CF70*6)/CF68)</f>
        <v>0</v>
      </c>
      <c r="CG66" s="2846">
        <f>IF(CG68=0,0,(CG67*CG68+CG69*CG70*6)/CG68)</f>
        <v>0</v>
      </c>
      <c r="CH66" s="1093">
        <f>IF(CF66=0,0,(CG66-CF66)/CF66*100)</f>
        <v>0</v>
      </c>
      <c r="CI66" s="2846">
        <f>IF(CI68=0,0,(CI67*CI68+CI69*CI70*6)/CI68)</f>
        <v>0</v>
      </c>
      <c r="CJ66" s="2846">
        <f>IF(CJ68=0,0,(CJ67*CJ68+CJ69*CJ70*6)/CJ68)</f>
        <v>0</v>
      </c>
      <c r="CK66" s="1093">
        <f>IF(CI66=0,0,(CJ66-CI66)/CI66*100)</f>
        <v>0</v>
      </c>
      <c r="CL66" s="2846">
        <f>IF(CL68=0,0,(CL67*CL68+CL69*CL70*6)/CL68)</f>
        <v>0</v>
      </c>
      <c r="CM66" s="2846">
        <f>IF(CM68=0,0,(CM67*CM68+CM69*CM70*6)/CM68)</f>
        <v>0</v>
      </c>
      <c r="CN66" s="1093">
        <f>IF(CL66=0,0,(CM66-CL66)/CL66*100)</f>
        <v>0</v>
      </c>
      <c r="CO66" s="2846">
        <f>IF(CO68=0,0,(CO67*CO68+CO69*CO70*6)/CO68)</f>
        <v>0</v>
      </c>
      <c r="CP66" s="2846">
        <f>IF(CP68=0,0,(CP67*CP68+CP69*CP70*6)/CP68)</f>
        <v>0</v>
      </c>
      <c r="CQ66" s="1093">
        <f>IF(CO66=0,0,(CP66-CO66)/CO66*100)</f>
        <v>0</v>
      </c>
      <c r="CR66" s="2846">
        <f>IF(CR68=0,0,(CR67*CR68+CR69*CR70*6)/CR68)</f>
        <v>0</v>
      </c>
      <c r="CS66" s="2846">
        <f>IF(CS68=0,0,(CS67*CS68+CS69*CS70*6)/CS68)</f>
        <v>0</v>
      </c>
      <c r="CT66" s="1093">
        <f>IF(CR66=0,0,(CS66-CR66)/CR66*100)</f>
        <v>0</v>
      </c>
      <c r="CU66" s="2846">
        <f>IF(CU68=0,0,(CU67*CU68+CU69*CU70*6)/CU68)</f>
        <v>0</v>
      </c>
      <c r="CV66" s="2846">
        <f>IF(CV68=0,0,(CV67*CV68+CV69*CV70*6)/CV68)</f>
        <v>0</v>
      </c>
      <c r="CW66" s="1093">
        <f>IF(CU66=0,0,(CV66-CU66)/CU66*100)</f>
        <v>0</v>
      </c>
      <c r="CX66" s="2846">
        <f>IF(CX68=0,0,(CX67*CX68+CX69*CX70*6)/CX68)</f>
        <v>0</v>
      </c>
      <c r="CY66" s="2846">
        <f>IF(CY68=0,0,(CY67*CY68+CY69*CY70*6)/CY68)</f>
        <v>0</v>
      </c>
      <c r="CZ66" s="1093">
        <f>IF(CX66=0,0,(CY66-CX66)/CX66*100)</f>
        <v>0</v>
      </c>
      <c r="DA66" s="2846">
        <f>IF(DA68=0,0,(DA67*DA68+DA69*DA70*6)/DA68)</f>
        <v>0</v>
      </c>
      <c r="DB66" s="2846">
        <f>IF(DB68=0,0,(DB67*DB68+DB69*DB70*6)/DB68)</f>
        <v>0</v>
      </c>
      <c r="DC66" s="1093">
        <f>IF(DA66=0,0,(DB66-DA66)/DA66*100)</f>
        <v>0</v>
      </c>
      <c r="DD66" s="2846">
        <f>IF(DD68=0,0,(DD67*DD68+DD69*DD70*6)/DD68)</f>
        <v>0</v>
      </c>
      <c r="DE66" s="2846">
        <f>IF(DE68=0,0,(DE67*DE68+DE69*DE70*6)/DE68)</f>
        <v>0</v>
      </c>
      <c r="DF66" s="1093">
        <f>IF(DD66=0,0,(DE66-DD66)/DD66*100)</f>
        <v>0</v>
      </c>
      <c r="DG66" s="2846">
        <f>IF(DG68=0,0,(DG67*DG68+DG69*DG70*6)/DG68)</f>
        <v>0</v>
      </c>
      <c r="DH66" s="2846">
        <f>IF(DH68=0,0,(DH67*DH68+DH69*DH70*6)/DH68)</f>
        <v>0</v>
      </c>
      <c r="DI66" s="1093">
        <f>IF(DG66=0,0,(DH66-DG66)/DG66*100)</f>
        <v>0</v>
      </c>
      <c r="DJ66" s="2846">
        <f>IF(DJ68=0,0,(DJ67*DJ68+DJ69*DJ70*6)/DJ68)</f>
        <v>0</v>
      </c>
      <c r="DK66" s="2846">
        <f>IF(DK68=0,0,(DK67*DK68+DK69*DK70*6)/DK68)</f>
        <v>0</v>
      </c>
      <c r="DL66" s="1093">
        <f>IF(DJ66=0,0,(DK66-DJ66)/DJ66*100)</f>
        <v>0</v>
      </c>
      <c r="DM66" s="2846">
        <f>IF(DM68=0,0,(DM67*DM68+DM69*DM70*6)/DM68)</f>
        <v>0</v>
      </c>
      <c r="DN66" s="2846">
        <f>IF(DN68=0,0,(DN67*DN68+DN69*DN70*6)/DN68)</f>
        <v>0</v>
      </c>
      <c r="DO66" s="1093">
        <f>IF(DM66=0,0,(DN66-DM66)/DM66*100)</f>
        <v>0</v>
      </c>
      <c r="DP66" s="2846">
        <f>IF(DP68=0,0,(DP67*DP68+DP69*DP70*6)/DP68)</f>
        <v>0</v>
      </c>
      <c r="DQ66" s="2846">
        <f>IF(DQ68=0,0,(DQ67*DQ68+DQ69*DQ70*6)/DQ68)</f>
        <v>0</v>
      </c>
      <c r="DR66" s="1093">
        <f>IF(DP66=0,0,(DQ66-DP66)/DP66*100)</f>
        <v>0</v>
      </c>
      <c r="DS66" s="2846">
        <f>IF(DS68=0,0,(DS67*DS68+DS69*DS70*6)/DS68)</f>
        <v>0</v>
      </c>
      <c r="DT66" s="2846">
        <f>IF(DT68=0,0,(DT67*DT68+DT69*DT70*6)/DT68)</f>
        <v>0</v>
      </c>
      <c r="DU66" s="1093">
        <f>IF(DS66=0,0,(DT66-DS66)/DS66*100)</f>
        <v>0</v>
      </c>
      <c r="DV66" s="2846">
        <f>IF(DV68=0,0,(DV67*DV68+DV69*DV70*6)/DV68)</f>
        <v>0</v>
      </c>
      <c r="DW66" s="2846">
        <f>IF(DW68=0,0,(DW67*DW68+DW69*DW70*6)/DW68)</f>
        <v>0</v>
      </c>
      <c r="DX66" s="1093">
        <f>IF(DV66=0,0,(DW66-DV66)/DV66*100)</f>
        <v>0</v>
      </c>
      <c r="DY66" s="2846">
        <f>IF(DY68=0,0,(DY67*DY68+DY69*DY70*6)/DY68)</f>
        <v>0</v>
      </c>
      <c r="DZ66" s="2846">
        <f>IF(DZ68=0,0,(DZ67*DZ68+DZ69*DZ70*6)/DZ68)</f>
        <v>0</v>
      </c>
      <c r="EA66" s="1093">
        <f>IF(DY66=0,0,(DZ66-DY66)/DY66*100)</f>
        <v>0</v>
      </c>
      <c r="EB66" s="2846">
        <f>IF(EB68=0,0,(EB67*EB68+EB69*EB70*6)/EB68)</f>
        <v>0</v>
      </c>
      <c r="EC66" s="2846">
        <f>IF(EC68=0,0,(EC67*EC68+EC69*EC70*6)/EC68)</f>
        <v>0</v>
      </c>
      <c r="ED66" s="1093">
        <f>IF(EB66=0,0,(EC66-EB66)/EB66*100)</f>
        <v>0</v>
      </c>
      <c r="EE66" s="2846">
        <f>IF(EE68=0,0,(EE67*EE68+EE69*EE70*6)/EE68)</f>
        <v>0</v>
      </c>
      <c r="EF66" s="2846">
        <f>IF(EF68=0,0,(EF67*EF68+EF69*EF70*6)/EF68)</f>
        <v>0</v>
      </c>
      <c r="EG66" s="1093">
        <f>IF(EE66=0,0,(EF66-EE66)/EE66*100)</f>
        <v>0</v>
      </c>
      <c r="EH66" s="2846">
        <f>IF(EH68=0,0,(EH67*EH68+EH69*EH70*6)/EH68)</f>
        <v>0</v>
      </c>
      <c r="EI66" s="2846">
        <f>IF(EI68=0,0,(EI67*EI68+EI69*EI70*6)/EI68)</f>
        <v>0</v>
      </c>
      <c r="EJ66" s="1093">
        <f>IF(EH66=0,0,(EI66-EH66)/EH66*100)</f>
        <v>0</v>
      </c>
      <c r="EK66" s="2846">
        <f>IF(EK68=0,0,(EK67*EK68+EK69*EK70*6)/EK68)</f>
        <v>0</v>
      </c>
      <c r="EL66" s="2846">
        <f>IF(EL68=0,0,(EL67*EL68+EL69*EL70*6)/EL68)</f>
        <v>0</v>
      </c>
      <c r="EM66" s="1093">
        <f>IF(EK66=0,0,(EL66-EK66)/EK66*100)</f>
        <v>0</v>
      </c>
      <c r="EN66" s="2846">
        <f>IF(EN68=0,0,(EN67*EN68+EN69*EN70*6)/EN68)</f>
        <v>0</v>
      </c>
      <c r="EO66" s="2846">
        <f>IF(EO68=0,0,(EO67*EO68+EO69*EO70*6)/EO68)</f>
        <v>0</v>
      </c>
      <c r="EP66" s="1093">
        <f>IF(EN66=0,0,(EO66-EN66)/EN66*100)</f>
        <v>0</v>
      </c>
      <c r="EQ66" s="2846">
        <f>IF(EQ68=0,0,(EQ67*EQ68+EQ69*EQ70*6)/EQ68)</f>
        <v>0</v>
      </c>
      <c r="ER66" s="2846">
        <f>IF(ER68=0,0,(ER67*ER68+ER69*ER70*6)/ER68)</f>
        <v>0</v>
      </c>
      <c r="ES66" s="1093">
        <f>IF(EQ66=0,0,(ER66-EQ66)/EQ66*100)</f>
        <v>0</v>
      </c>
      <c r="ET66" s="2846">
        <f>IF(ET68=0,0,(ET67*ET68+ET69*ET70*6)/ET68)</f>
        <v>0</v>
      </c>
      <c r="EU66" s="2846">
        <f>IF(EU68=0,0,(EU67*EU68+EU69*EU70*6)/EU68)</f>
        <v>0</v>
      </c>
      <c r="EV66" s="1093">
        <f>IF(ET66=0,0,(EU66-ET66)/ET66*100)</f>
        <v>0</v>
      </c>
      <c r="EW66" s="2846">
        <f>IF(EW68=0,0,(EW67*EW68+EW69*EW70*6)/EW68)</f>
        <v>0</v>
      </c>
      <c r="EX66" s="2846">
        <f>IF(EX68=0,0,(EX67*EX68+EX69*EX70*6)/EX68)</f>
        <v>0</v>
      </c>
      <c r="EY66" s="1093">
        <f>IF(EW66=0,0,(EX66-EW66)/EW66*100)</f>
        <v>0</v>
      </c>
      <c r="EZ66" s="2846">
        <f>IF(EZ68=0,0,(EZ67*EZ68+EZ69*EZ70*6)/EZ68)</f>
        <v>0</v>
      </c>
      <c r="FA66" s="2846">
        <f>IF(FA68=0,0,(FA67*FA68+FA69*FA70*6)/FA68)</f>
        <v>0</v>
      </c>
      <c r="FB66" s="1093">
        <f>IF(EZ66=0,0,(FA66-EZ66)/EZ66*100)</f>
        <v>0</v>
      </c>
      <c r="FC66" s="2846">
        <f>IF(FC68=0,0,(FC67*FC68+FC69*FC70*6)/FC68)</f>
        <v>0</v>
      </c>
      <c r="FD66" s="2846">
        <f>IF(FD68=0,0,(FD67*FD68+FD69*FD70*6)/FD68)</f>
        <v>0</v>
      </c>
      <c r="FE66" s="1093">
        <f>IF(FC66=0,0,(FD66-FC66)/FC66*100)</f>
        <v>0</v>
      </c>
      <c r="FF66" s="2846">
        <f>IF(FF68=0,0,(FF67*FF68+FF69*FF70*6)/FF68)</f>
        <v>0</v>
      </c>
      <c r="FG66" s="2846">
        <f>IF(FG68=0,0,(FG67*FG68+FG69*FG70*6)/FG68)</f>
        <v>0</v>
      </c>
      <c r="FH66" s="1093">
        <f>IF(FF66=0,0,(FG66-FF66)/FF66*100)</f>
        <v>0</v>
      </c>
      <c r="FI66" s="2846">
        <f>IF(FI68=0,0,(FI67*FI68+FI69*FI70*6)/FI68)</f>
        <v>0</v>
      </c>
      <c r="FJ66" s="2846">
        <f>IF(FJ68=0,0,(FJ67*FJ68+FJ69*FJ70*6)/FJ68)</f>
        <v>0</v>
      </c>
      <c r="FK66" s="1093">
        <f>IF(FI66=0,0,(FJ66-FI66)/FI66*100)</f>
        <v>0</v>
      </c>
      <c r="FL66" s="2846">
        <f>IF(FL68=0,0,(FL67*FL68+FL69*FL70*6)/FL68)</f>
        <v>0</v>
      </c>
      <c r="FM66" s="2846">
        <f>IF(FM68=0,0,(FM67*FM68+FM69*FM70*6)/FM68)</f>
        <v>0</v>
      </c>
      <c r="FN66" s="1093">
        <f>IF(FL66=0,0,(FM66-FL66)/FL66*100)</f>
        <v>0</v>
      </c>
      <c r="FO66" s="2846">
        <f>IF(FO68=0,0,(FO67*FO68+FO69*FO70*6)/FO68)</f>
        <v>0</v>
      </c>
      <c r="FP66" s="2846">
        <f>IF(FP68=0,0,(FP67*FP68+FP69*FP70*6)/FP68)</f>
        <v>0</v>
      </c>
      <c r="FQ66" s="1093">
        <f>IF(FO66=0,0,(FP66-FO66)/FO66*100)</f>
        <v>0</v>
      </c>
      <c r="FR66" s="2846">
        <f>IF(FR68=0,0,(FR67*FR68+FR69*FR70*6)/FR68)</f>
        <v>0</v>
      </c>
      <c r="FS66" s="2846">
        <f>IF(FS68=0,0,(FS67*FS68+FS69*FS70*6)/FS68)</f>
        <v>0</v>
      </c>
      <c r="FT66" s="1093">
        <f>IF(FR66=0,0,(FS66-FR66)/FR66*100)</f>
        <v>0</v>
      </c>
      <c r="FU66" s="2846">
        <f>IF(FU68=0,0,(FU67*FU68+FU69*FU70*6)/FU68)</f>
        <v>0</v>
      </c>
      <c r="FV66" s="2846">
        <f>IF(FV68=0,0,(FV67*FV68+FV69*FV70*6)/FV68)</f>
        <v>0</v>
      </c>
      <c r="FW66" s="1093">
        <f>IF(FU66=0,0,(FV66-FU66)/FU66*100)</f>
        <v>0</v>
      </c>
      <c r="FX66" s="1304"/>
      <c r="FY66" s="1304"/>
      <c r="FZ66" s="1055" t="s">
        <v>2398</v>
      </c>
      <c r="GA66" s="1306"/>
      <c r="GB66" s="1306"/>
      <c r="GC66" s="1305"/>
      <c r="GD66" s="1305"/>
    </row>
    <row customHeight="1" ht="14.625" hidden="1">
      <c r="A67" s="493"/>
      <c r="B67" s="925" cm="1" t="str">
        <f t="array" ref="B67:B67">B66</f>
        <v>false</v>
      </c>
      <c r="C67" s="493"/>
      <c r="D67" s="493"/>
      <c r="E67" s="840">
        <v>15</v>
      </c>
      <c r="F67" s="50" cm="1" t="str">
        <f t="array" ref="F67:F67">OFFSET(E67,-1,1)</f>
        <v>0</v>
      </c>
      <c r="G67" s="493"/>
      <c r="H67" s="493" t="s">
        <v>2299</v>
      </c>
      <c r="I67" s="493" t="s">
        <v>2354</v>
      </c>
      <c r="J67" s="493"/>
      <c r="K67" s="493"/>
      <c r="L67" s="493"/>
      <c r="M67" s="493"/>
      <c r="N67" s="493"/>
      <c r="O67" s="493"/>
      <c r="P67" s="493"/>
      <c r="Q67" s="493"/>
      <c r="R67" s="493"/>
      <c r="S67" s="493"/>
      <c r="T67" s="465" cm="1" t="str">
        <f t="array" ref="T67:T67">T66</f>
        <v>false</v>
      </c>
      <c r="U67" s="493"/>
      <c r="V67" s="493"/>
      <c r="W67" s="493"/>
      <c r="X67" s="1596"/>
      <c r="Y67" s="493"/>
      <c r="Z67" s="1545"/>
      <c r="AA67" s="493"/>
      <c r="AB67" s="904" t="str">
        <f>"ставка платы за "&amp;IF(Q29="Водоснабжение","потребление 1 куб.м холодной воды","объем принятых сточных вод")</f>
        <v>ставка платы за объем принятых сточных вод</v>
      </c>
      <c r="AC67" s="864" t="s">
        <v>2337</v>
      </c>
      <c r="AD67" s="2846"/>
      <c r="AE67" s="2846"/>
      <c r="AF67" s="1093">
        <f>IF(AD67=0,0,(AE67-AD67)/AD67*100)</f>
        <v>0</v>
      </c>
      <c r="AG67" s="2846"/>
      <c r="AH67" s="2846"/>
      <c r="AI67" s="1093">
        <f>IF(AG67=0,0,(AH67-AG67)/AG67*100)</f>
        <v>0</v>
      </c>
      <c r="AJ67" s="2846"/>
      <c r="AK67" s="2846"/>
      <c r="AL67" s="1093">
        <f>IF(AJ67=0,0,(AK67-AJ67)/AJ67*100)</f>
        <v>0</v>
      </c>
      <c r="AM67" s="2846"/>
      <c r="AN67" s="2846"/>
      <c r="AO67" s="1093">
        <f>IF(AM67=0,0,(AN67-AM67)/AM67*100)</f>
        <v>0</v>
      </c>
      <c r="AP67" s="2846"/>
      <c r="AQ67" s="2846"/>
      <c r="AR67" s="1093">
        <f>IF(AP67=0,0,(AQ67-AP67)/AP67*100)</f>
        <v>0</v>
      </c>
      <c r="AS67" s="2846"/>
      <c r="AT67" s="2846"/>
      <c r="AU67" s="1093">
        <f>IF(AS67=0,0,(AT67-AS67)/AS67*100)</f>
        <v>0</v>
      </c>
      <c r="AV67" s="2846"/>
      <c r="AW67" s="2846"/>
      <c r="AX67" s="1093">
        <f>IF(AV67=0,0,(AW67-AV67)/AV67*100)</f>
        <v>0</v>
      </c>
      <c r="AY67" s="2846"/>
      <c r="AZ67" s="2846"/>
      <c r="BA67" s="1093">
        <f>IF(AY67=0,0,(AZ67-AY67)/AY67*100)</f>
        <v>0</v>
      </c>
      <c r="BB67" s="2846"/>
      <c r="BC67" s="2846"/>
      <c r="BD67" s="1093">
        <f>IF(BB67=0,0,(BC67-BB67)/BB67*100)</f>
        <v>0</v>
      </c>
      <c r="BE67" s="2846"/>
      <c r="BF67" s="2846"/>
      <c r="BG67" s="1093">
        <f>IF(BE67=0,0,(BF67-BE67)/BE67*100)</f>
        <v>0</v>
      </c>
      <c r="BH67" s="2846"/>
      <c r="BI67" s="2846"/>
      <c r="BJ67" s="1093">
        <f>IF(BH67=0,0,(BI67-BH67)/BH67*100)</f>
        <v>0</v>
      </c>
      <c r="BK67" s="2846"/>
      <c r="BL67" s="2846"/>
      <c r="BM67" s="1093">
        <f>IF(BK67=0,0,(BL67-BK67)/BK67*100)</f>
        <v>0</v>
      </c>
      <c r="BN67" s="2846"/>
      <c r="BO67" s="2846"/>
      <c r="BP67" s="1093">
        <f>IF(BN67=0,0,(BO67-BN67)/BN67*100)</f>
        <v>0</v>
      </c>
      <c r="BQ67" s="2846"/>
      <c r="BR67" s="2846"/>
      <c r="BS67" s="1093">
        <f>IF(BQ67=0,0,(BR67-BQ67)/BQ67*100)</f>
        <v>0</v>
      </c>
      <c r="BT67" s="2846"/>
      <c r="BU67" s="2846"/>
      <c r="BV67" s="1093">
        <f>IF(BT67=0,0,(BU67-BT67)/BT67*100)</f>
        <v>0</v>
      </c>
      <c r="BW67" s="2846"/>
      <c r="BX67" s="2846"/>
      <c r="BY67" s="1093">
        <f>IF(BW67=0,0,(BX67-BW67)/BW67*100)</f>
        <v>0</v>
      </c>
      <c r="BZ67" s="2846"/>
      <c r="CA67" s="2846"/>
      <c r="CB67" s="1093">
        <f>IF(BZ67=0,0,(CA67-BZ67)/BZ67*100)</f>
        <v>0</v>
      </c>
      <c r="CC67" s="2846"/>
      <c r="CD67" s="2846"/>
      <c r="CE67" s="1093">
        <f>IF(CC67=0,0,(CD67-CC67)/CC67*100)</f>
        <v>0</v>
      </c>
      <c r="CF67" s="2846"/>
      <c r="CG67" s="2846"/>
      <c r="CH67" s="1093">
        <f>IF(CF67=0,0,(CG67-CF67)/CF67*100)</f>
        <v>0</v>
      </c>
      <c r="CI67" s="2846"/>
      <c r="CJ67" s="2846"/>
      <c r="CK67" s="1093">
        <f>IF(CI67=0,0,(CJ67-CI67)/CI67*100)</f>
        <v>0</v>
      </c>
      <c r="CL67" s="2846"/>
      <c r="CM67" s="2846"/>
      <c r="CN67" s="1093">
        <f>IF(CL67=0,0,(CM67-CL67)/CL67*100)</f>
        <v>0</v>
      </c>
      <c r="CO67" s="2846"/>
      <c r="CP67" s="2846"/>
      <c r="CQ67" s="1093">
        <f>IF(CO67=0,0,(CP67-CO67)/CO67*100)</f>
        <v>0</v>
      </c>
      <c r="CR67" s="2846"/>
      <c r="CS67" s="2846"/>
      <c r="CT67" s="1093">
        <f>IF(CR67=0,0,(CS67-CR67)/CR67*100)</f>
        <v>0</v>
      </c>
      <c r="CU67" s="2846"/>
      <c r="CV67" s="2846"/>
      <c r="CW67" s="1093">
        <f>IF(CU67=0,0,(CV67-CU67)/CU67*100)</f>
        <v>0</v>
      </c>
      <c r="CX67" s="2846"/>
      <c r="CY67" s="2846"/>
      <c r="CZ67" s="1093">
        <f>IF(CX67=0,0,(CY67-CX67)/CX67*100)</f>
        <v>0</v>
      </c>
      <c r="DA67" s="2846"/>
      <c r="DB67" s="2846"/>
      <c r="DC67" s="1093">
        <f>IF(DA67=0,0,(DB67-DA67)/DA67*100)</f>
        <v>0</v>
      </c>
      <c r="DD67" s="2846"/>
      <c r="DE67" s="2846"/>
      <c r="DF67" s="1093">
        <f>IF(DD67=0,0,(DE67-DD67)/DD67*100)</f>
        <v>0</v>
      </c>
      <c r="DG67" s="2846"/>
      <c r="DH67" s="2846"/>
      <c r="DI67" s="1093">
        <f>IF(DG67=0,0,(DH67-DG67)/DG67*100)</f>
        <v>0</v>
      </c>
      <c r="DJ67" s="2846"/>
      <c r="DK67" s="2846"/>
      <c r="DL67" s="1093">
        <f>IF(DJ67=0,0,(DK67-DJ67)/DJ67*100)</f>
        <v>0</v>
      </c>
      <c r="DM67" s="2846"/>
      <c r="DN67" s="2846"/>
      <c r="DO67" s="1093">
        <f>IF(DM67=0,0,(DN67-DM67)/DM67*100)</f>
        <v>0</v>
      </c>
      <c r="DP67" s="2846"/>
      <c r="DQ67" s="2846"/>
      <c r="DR67" s="1093">
        <f>IF(DP67=0,0,(DQ67-DP67)/DP67*100)</f>
        <v>0</v>
      </c>
      <c r="DS67" s="2846"/>
      <c r="DT67" s="2846"/>
      <c r="DU67" s="1093">
        <f>IF(DS67=0,0,(DT67-DS67)/DS67*100)</f>
        <v>0</v>
      </c>
      <c r="DV67" s="2846"/>
      <c r="DW67" s="2846"/>
      <c r="DX67" s="1093">
        <f>IF(DV67=0,0,(DW67-DV67)/DV67*100)</f>
        <v>0</v>
      </c>
      <c r="DY67" s="2846"/>
      <c r="DZ67" s="2846"/>
      <c r="EA67" s="1093">
        <f>IF(DY67=0,0,(DZ67-DY67)/DY67*100)</f>
        <v>0</v>
      </c>
      <c r="EB67" s="2846"/>
      <c r="EC67" s="2846"/>
      <c r="ED67" s="1093">
        <f>IF(EB67=0,0,(EC67-EB67)/EB67*100)</f>
        <v>0</v>
      </c>
      <c r="EE67" s="2846"/>
      <c r="EF67" s="2846"/>
      <c r="EG67" s="1093">
        <f>IF(EE67=0,0,(EF67-EE67)/EE67*100)</f>
        <v>0</v>
      </c>
      <c r="EH67" s="2846"/>
      <c r="EI67" s="2846"/>
      <c r="EJ67" s="1093">
        <f>IF(EH67=0,0,(EI67-EH67)/EH67*100)</f>
        <v>0</v>
      </c>
      <c r="EK67" s="2846"/>
      <c r="EL67" s="2846"/>
      <c r="EM67" s="1093">
        <f>IF(EK67=0,0,(EL67-EK67)/EK67*100)</f>
        <v>0</v>
      </c>
      <c r="EN67" s="2846"/>
      <c r="EO67" s="2846"/>
      <c r="EP67" s="1093">
        <f>IF(EN67=0,0,(EO67-EN67)/EN67*100)</f>
        <v>0</v>
      </c>
      <c r="EQ67" s="2846"/>
      <c r="ER67" s="2846"/>
      <c r="ES67" s="1093">
        <f>IF(EQ67=0,0,(ER67-EQ67)/EQ67*100)</f>
        <v>0</v>
      </c>
      <c r="ET67" s="2846"/>
      <c r="EU67" s="2846"/>
      <c r="EV67" s="1093">
        <f>IF(ET67=0,0,(EU67-ET67)/ET67*100)</f>
        <v>0</v>
      </c>
      <c r="EW67" s="2846"/>
      <c r="EX67" s="2846"/>
      <c r="EY67" s="1093">
        <f>IF(EW67=0,0,(EX67-EW67)/EW67*100)</f>
        <v>0</v>
      </c>
      <c r="EZ67" s="2846"/>
      <c r="FA67" s="2846"/>
      <c r="FB67" s="1093">
        <f>IF(EZ67=0,0,(FA67-EZ67)/EZ67*100)</f>
        <v>0</v>
      </c>
      <c r="FC67" s="2846"/>
      <c r="FD67" s="2846"/>
      <c r="FE67" s="1093">
        <f>IF(FC67=0,0,(FD67-FC67)/FC67*100)</f>
        <v>0</v>
      </c>
      <c r="FF67" s="2846"/>
      <c r="FG67" s="2846"/>
      <c r="FH67" s="1093">
        <f>IF(FF67=0,0,(FG67-FF67)/FF67*100)</f>
        <v>0</v>
      </c>
      <c r="FI67" s="2846"/>
      <c r="FJ67" s="2846"/>
      <c r="FK67" s="1093">
        <f>IF(FI67=0,0,(FJ67-FI67)/FI67*100)</f>
        <v>0</v>
      </c>
      <c r="FL67" s="2846"/>
      <c r="FM67" s="2846"/>
      <c r="FN67" s="1093">
        <f>IF(FL67=0,0,(FM67-FL67)/FL67*100)</f>
        <v>0</v>
      </c>
      <c r="FO67" s="2846"/>
      <c r="FP67" s="2846"/>
      <c r="FQ67" s="1093">
        <f>IF(FO67=0,0,(FP67-FO67)/FO67*100)</f>
        <v>0</v>
      </c>
      <c r="FR67" s="2846"/>
      <c r="FS67" s="2846"/>
      <c r="FT67" s="1093">
        <f>IF(FR67=0,0,(FS67-FR67)/FR67*100)</f>
        <v>0</v>
      </c>
      <c r="FU67" s="2846"/>
      <c r="FV67" s="2846"/>
      <c r="FW67" s="1093">
        <f>IF(FU67=0,0,(FV67-FU67)/FU67*100)</f>
        <v>0</v>
      </c>
      <c r="FX67" s="1304"/>
      <c r="FY67" s="1304"/>
      <c r="FZ67" s="1055" t="s">
        <v>2399</v>
      </c>
      <c r="GA67" s="1306"/>
      <c r="GB67" s="1306"/>
      <c r="GC67" s="1305"/>
      <c r="GD67" s="1305"/>
    </row>
    <row customHeight="1" ht="14.625" hidden="1">
      <c r="A68" s="493"/>
      <c r="B68" s="925" cm="1" t="str">
        <f t="array" ref="B68:B68">B67</f>
        <v>false</v>
      </c>
      <c r="C68" s="493"/>
      <c r="D68" s="493"/>
      <c r="E68" s="840">
        <v>15</v>
      </c>
      <c r="F68" s="50" cm="1" t="str">
        <f t="array" ref="F68:F68">OFFSET(E68,-1,1)</f>
        <v>0</v>
      </c>
      <c r="G68" s="107" t="s">
        <v>2400</v>
      </c>
      <c r="H68" s="493" t="s">
        <v>2374</v>
      </c>
      <c r="I68" s="493" t="s">
        <v>2354</v>
      </c>
      <c r="J68" s="493"/>
      <c r="K68" s="493"/>
      <c r="L68" s="493"/>
      <c r="M68" s="493"/>
      <c r="N68" s="493"/>
      <c r="O68" s="493"/>
      <c r="P68" s="493"/>
      <c r="Q68" s="493"/>
      <c r="R68" s="493"/>
      <c r="S68" s="493"/>
      <c r="T68" s="465" cm="1" t="str">
        <f t="array" ref="T68:T68">T67</f>
        <v>false</v>
      </c>
      <c r="U68" s="493"/>
      <c r="V68" s="493"/>
      <c r="W68" s="493"/>
      <c r="X68" s="1596"/>
      <c r="Y68" s="493"/>
      <c r="Z68" s="1545"/>
      <c r="AA68" s="493"/>
      <c r="AB68" s="904" t="str">
        <f>"объём "&amp;IF(Q29="Водоснабжение","потребления холодной воды","водоотведения")</f>
        <v>объём водоотведения</v>
      </c>
      <c r="AC68" s="864" t="s">
        <v>1247</v>
      </c>
      <c r="AD68" s="5247">
        <f>IF(AND(method_reg="Метод индексации",god&lt;&gt;first_year),_xlfn.SUMIFS(INDEX('Калькуляция (МИ корр)'!$AJ$25:$BC$747,,MATCH(AD$8,'Калькуляция (МИ корр)'!$AJ$8:$BC$8,0)),'Калькуляция (МИ корр)'!$F$25:$F$747,$F68,'Калькуляция (МИ корр)'!$G$25:$G$747,$G68),IF(method_reg="Метод экономически обоснованных расходов",_xlfn.SUMIFS('Калькуляция (МЭОР)'!$AJ$25:$AJ$452,'Калькуляция (МЭОР)'!$F$25:$F$452,$F68,'Калькуляция (МЭОР)'!$G$25:$G$452,$G68),IF(method_reg="Метод сравнения аналогов",_xlfn.SUMIFS('Калькуляция (МСА)'!$AE$25:$AE$122,'Калькуляция (МСА)'!$F$25:$F$122,$F68,'Калькуляция (МСА)'!$G$25:$G$122,$G68),_xlfn.SUMIFS(INDEX('Калькуляция (МИ)'!$AJ$25:$BC$747,,MATCH(AD$8,'Калькуляция (МИ)'!$AJ$8:$BC$8,0)),'Калькуляция (МИ)'!$F$25:$F$747,$F68,'Калькуляция (МИ)'!$G$25:$G$747,$G68))))</f>
        <v>0</v>
      </c>
      <c r="AE68" s="5247">
        <f>IF(AND(method_reg="Метод индексации",god&lt;&gt;first_year),_xlfn.SUMIFS(INDEX('Калькуляция (МИ корр)'!$AJ$25:$BC$747,,MATCH(AE$8,'Калькуляция (МИ корр)'!$AJ$8:$BC$8,0)),'Калькуляция (МИ корр)'!$F$25:$F$747,$F68,'Калькуляция (МИ корр)'!$G$25:$G$747,$G68),IF(method_reg="Метод экономически обоснованных расходов",_xlfn.SUMIFS('Калькуляция (МЭОР)'!$AK$25:$AK$452,'Калькуляция (МЭОР)'!$F$25:$F$452,$F68,'Калькуляция (МЭОР)'!$G$25:$G$452,$G68),IF(method_reg="Метод сравнения аналогов",_xlfn.SUMIFS('Калькуляция (МСА)'!$AF$25:$AF$122,'Калькуляция (МСА)'!$F$25:$F$122,$F68,'Калькуляция (МСА)'!$G$25:$G$122,$G68),_xlfn.SUMIFS(INDEX('Калькуляция (МИ)'!$AJ$25:$BC$747,,MATCH(AE$8,'Калькуляция (МИ)'!$AJ$8:$BC$8,0)),'Калькуляция (МИ)'!$F$25:$F$747,$F68,'Калькуляция (МИ)'!$G$25:$G$747,$G68))))</f>
        <v>0</v>
      </c>
      <c r="AF68" s="1095">
        <f>IF(AD68=0,0,(AE68-AD68)/AD68*100)</f>
        <v>0</v>
      </c>
      <c r="AG68" s="5247">
        <f>IF(AND(method_reg="Метод индексации",god&lt;&gt;first_year),_xlfn.SUMIFS(INDEX('Калькуляция (МИ корр)'!$AJ$25:$BC$747,,MATCH(AG$8,'Калькуляция (МИ корр)'!$AJ$8:$BC$8,0)),'Калькуляция (МИ корр)'!$F$25:$F$747,$F68,'Калькуляция (МИ корр)'!$G$25:$G$747,$G68),IF(method_reg="Метод экономически обоснованных расходов",_xlfn.SUMIFS('Калькуляция (МЭОР)'!$AJ$25:$AJ$452,'Калькуляция (МЭОР)'!$F$25:$F$452,$F68,'Калькуляция (МЭОР)'!$G$25:$G$452,$G68),IF(method_reg="Метод сравнения аналогов",_xlfn.SUMIFS('Калькуляция (МСА)'!$AE$25:$AE$122,'Калькуляция (МСА)'!$F$25:$F$122,$F68,'Калькуляция (МСА)'!$G$25:$G$122,$G68),_xlfn.SUMIFS(INDEX('Калькуляция (МИ)'!$AJ$25:$BC$747,,MATCH(AG$8,'Калькуляция (МИ)'!$AJ$8:$BC$8,0)),'Калькуляция (МИ)'!$F$25:$F$747,$F68,'Калькуляция (МИ)'!$G$25:$G$747,$G68))))</f>
        <v>0</v>
      </c>
      <c r="AH68" s="5247">
        <f>IF(AND(method_reg="Метод индексации",god&lt;&gt;first_year),_xlfn.SUMIFS(INDEX('Калькуляция (МИ корр)'!$AJ$25:$BC$747,,MATCH(AH$8,'Калькуляция (МИ корр)'!$AJ$8:$BC$8,0)),'Калькуляция (МИ корр)'!$F$25:$F$747,$F68,'Калькуляция (МИ корр)'!$G$25:$G$747,$G68),IF(method_reg="Метод экономически обоснованных расходов",_xlfn.SUMIFS('Калькуляция (МЭОР)'!$AK$25:$AK$452,'Калькуляция (МЭОР)'!$F$25:$F$452,$F68,'Калькуляция (МЭОР)'!$G$25:$G$452,$G68),IF(method_reg="Метод сравнения аналогов",_xlfn.SUMIFS('Калькуляция (МСА)'!$AF$25:$AF$122,'Калькуляция (МСА)'!$F$25:$F$122,$F68,'Калькуляция (МСА)'!$G$25:$G$122,$G68),_xlfn.SUMIFS(INDEX('Калькуляция (МИ)'!$AJ$25:$BC$747,,MATCH(AH$8,'Калькуляция (МИ)'!$AJ$8:$BC$8,0)),'Калькуляция (МИ)'!$F$25:$F$747,$F68,'Калькуляция (МИ)'!$G$25:$G$747,$G68))))</f>
        <v>0</v>
      </c>
      <c r="AI68" s="1095">
        <f>IF(AG68=0,0,(AH68-AG68)/AG68*100)</f>
        <v>0</v>
      </c>
      <c r="AJ68" s="5247">
        <f>IF(AND(method_reg="Метод индексации",god&lt;&gt;first_year),_xlfn.SUMIFS(INDEX('Калькуляция (МИ корр)'!$AJ$25:$BC$747,,MATCH(AJ$8,'Калькуляция (МИ корр)'!$AJ$8:$BC$8,0)),'Калькуляция (МИ корр)'!$F$25:$F$747,$F68,'Калькуляция (МИ корр)'!$G$25:$G$747,$G68),IF(method_reg="Метод экономически обоснованных расходов",_xlfn.SUMIFS('Калькуляция (МЭОР)'!$AJ$25:$AJ$452,'Калькуляция (МЭОР)'!$F$25:$F$452,$F68,'Калькуляция (МЭОР)'!$G$25:$G$452,$G68),IF(method_reg="Метод сравнения аналогов",_xlfn.SUMIFS('Калькуляция (МСА)'!$AE$25:$AE$122,'Калькуляция (МСА)'!$F$25:$F$122,$F68,'Калькуляция (МСА)'!$G$25:$G$122,$G68),_xlfn.SUMIFS(INDEX('Калькуляция (МИ)'!$AJ$25:$BC$747,,MATCH(AJ$8,'Калькуляция (МИ)'!$AJ$8:$BC$8,0)),'Калькуляция (МИ)'!$F$25:$F$747,$F68,'Калькуляция (МИ)'!$G$25:$G$747,$G68))))</f>
        <v>0</v>
      </c>
      <c r="AK68" s="5247">
        <f>IF(AND(method_reg="Метод индексации",god&lt;&gt;first_year),_xlfn.SUMIFS(INDEX('Калькуляция (МИ корр)'!$AJ$25:$BC$747,,MATCH(AK$8,'Калькуляция (МИ корр)'!$AJ$8:$BC$8,0)),'Калькуляция (МИ корр)'!$F$25:$F$747,$F68,'Калькуляция (МИ корр)'!$G$25:$G$747,$G68),IF(method_reg="Метод экономически обоснованных расходов",_xlfn.SUMIFS('Калькуляция (МЭОР)'!$AK$25:$AK$452,'Калькуляция (МЭОР)'!$F$25:$F$452,$F68,'Калькуляция (МЭОР)'!$G$25:$G$452,$G68),IF(method_reg="Метод сравнения аналогов",_xlfn.SUMIFS('Калькуляция (МСА)'!$AF$25:$AF$122,'Калькуляция (МСА)'!$F$25:$F$122,$F68,'Калькуляция (МСА)'!$G$25:$G$122,$G68),_xlfn.SUMIFS(INDEX('Калькуляция (МИ)'!$AJ$25:$BC$747,,MATCH(AK$8,'Калькуляция (МИ)'!$AJ$8:$BC$8,0)),'Калькуляция (МИ)'!$F$25:$F$747,$F68,'Калькуляция (МИ)'!$G$25:$G$747,$G68))))</f>
        <v>0</v>
      </c>
      <c r="AL68" s="1095">
        <f>IF(AJ68=0,0,(AK68-AJ68)/AJ68*100)</f>
        <v>0</v>
      </c>
      <c r="AM68" s="5247">
        <f>IF(AND(method_reg="Метод индексации",god&lt;&gt;first_year),_xlfn.SUMIFS(INDEX('Калькуляция (МИ корр)'!$AJ$25:$BC$747,,MATCH(AM$8,'Калькуляция (МИ корр)'!$AJ$8:$BC$8,0)),'Калькуляция (МИ корр)'!$F$25:$F$747,$F68,'Калькуляция (МИ корр)'!$G$25:$G$747,$G68),IF(method_reg="Метод экономически обоснованных расходов",_xlfn.SUMIFS('Калькуляция (МЭОР)'!$AJ$25:$AJ$452,'Калькуляция (МЭОР)'!$F$25:$F$452,$F68,'Калькуляция (МЭОР)'!$G$25:$G$452,$G68),IF(method_reg="Метод сравнения аналогов",_xlfn.SUMIFS('Калькуляция (МСА)'!$AE$25:$AE$122,'Калькуляция (МСА)'!$F$25:$F$122,$F68,'Калькуляция (МСА)'!$G$25:$G$122,$G68),_xlfn.SUMIFS(INDEX('Калькуляция (МИ)'!$AJ$25:$BC$747,,MATCH(AM$8,'Калькуляция (МИ)'!$AJ$8:$BC$8,0)),'Калькуляция (МИ)'!$F$25:$F$747,$F68,'Калькуляция (МИ)'!$G$25:$G$747,$G68))))</f>
        <v>0</v>
      </c>
      <c r="AN68" s="5247">
        <f>IF(AND(method_reg="Метод индексации",god&lt;&gt;first_year),_xlfn.SUMIFS(INDEX('Калькуляция (МИ корр)'!$AJ$25:$BC$747,,MATCH(AN$8,'Калькуляция (МИ корр)'!$AJ$8:$BC$8,0)),'Калькуляция (МИ корр)'!$F$25:$F$747,$F68,'Калькуляция (МИ корр)'!$G$25:$G$747,$G68),IF(method_reg="Метод экономически обоснованных расходов",_xlfn.SUMIFS('Калькуляция (МЭОР)'!$AK$25:$AK$452,'Калькуляция (МЭОР)'!$F$25:$F$452,$F68,'Калькуляция (МЭОР)'!$G$25:$G$452,$G68),IF(method_reg="Метод сравнения аналогов",_xlfn.SUMIFS('Калькуляция (МСА)'!$AF$25:$AF$122,'Калькуляция (МСА)'!$F$25:$F$122,$F68,'Калькуляция (МСА)'!$G$25:$G$122,$G68),_xlfn.SUMIFS(INDEX('Калькуляция (МИ)'!$AJ$25:$BC$747,,MATCH(AN$8,'Калькуляция (МИ)'!$AJ$8:$BC$8,0)),'Калькуляция (МИ)'!$F$25:$F$747,$F68,'Калькуляция (МИ)'!$G$25:$G$747,$G68))))</f>
        <v>0</v>
      </c>
      <c r="AO68" s="1095">
        <f>IF(AM68=0,0,(AN68-AM68)/AM68*100)</f>
        <v>0</v>
      </c>
      <c r="AP68" s="5247">
        <f>IF(AND(method_reg="Метод индексации",god&lt;&gt;first_year),_xlfn.SUMIFS(INDEX('Калькуляция (МИ корр)'!$AJ$25:$BC$747,,MATCH(AP$8,'Калькуляция (МИ корр)'!$AJ$8:$BC$8,0)),'Калькуляция (МИ корр)'!$F$25:$F$747,$F68,'Калькуляция (МИ корр)'!$G$25:$G$747,$G68),IF(method_reg="Метод экономически обоснованных расходов",_xlfn.SUMIFS('Калькуляция (МЭОР)'!$AJ$25:$AJ$452,'Калькуляция (МЭОР)'!$F$25:$F$452,$F68,'Калькуляция (МЭОР)'!$G$25:$G$452,$G68),IF(method_reg="Метод сравнения аналогов",_xlfn.SUMIFS('Калькуляция (МСА)'!$AE$25:$AE$122,'Калькуляция (МСА)'!$F$25:$F$122,$F68,'Калькуляция (МСА)'!$G$25:$G$122,$G68),_xlfn.SUMIFS(INDEX('Калькуляция (МИ)'!$AJ$25:$BC$747,,MATCH(AP$8,'Калькуляция (МИ)'!$AJ$8:$BC$8,0)),'Калькуляция (МИ)'!$F$25:$F$747,$F68,'Калькуляция (МИ)'!$G$25:$G$747,$G68))))</f>
        <v>0</v>
      </c>
      <c r="AQ68" s="5247">
        <f>IF(AND(method_reg="Метод индексации",god&lt;&gt;first_year),_xlfn.SUMIFS(INDEX('Калькуляция (МИ корр)'!$AJ$25:$BC$747,,MATCH(AQ$8,'Калькуляция (МИ корр)'!$AJ$8:$BC$8,0)),'Калькуляция (МИ корр)'!$F$25:$F$747,$F68,'Калькуляция (МИ корр)'!$G$25:$G$747,$G68),IF(method_reg="Метод экономически обоснованных расходов",_xlfn.SUMIFS('Калькуляция (МЭОР)'!$AK$25:$AK$452,'Калькуляция (МЭОР)'!$F$25:$F$452,$F68,'Калькуляция (МЭОР)'!$G$25:$G$452,$G68),IF(method_reg="Метод сравнения аналогов",_xlfn.SUMIFS('Калькуляция (МСА)'!$AF$25:$AF$122,'Калькуляция (МСА)'!$F$25:$F$122,$F68,'Калькуляция (МСА)'!$G$25:$G$122,$G68),_xlfn.SUMIFS(INDEX('Калькуляция (МИ)'!$AJ$25:$BC$747,,MATCH(AQ$8,'Калькуляция (МИ)'!$AJ$8:$BC$8,0)),'Калькуляция (МИ)'!$F$25:$F$747,$F68,'Калькуляция (МИ)'!$G$25:$G$747,$G68))))</f>
        <v>0</v>
      </c>
      <c r="AR68" s="1095">
        <f>IF(AP68=0,0,(AQ68-AP68)/AP68*100)</f>
        <v>0</v>
      </c>
      <c r="AS68" s="5247">
        <f>IF(AND(method_reg="Метод индексации",god&lt;&gt;first_year),_xlfn.SUMIFS(INDEX('Калькуляция (МИ корр)'!$AJ$25:$BC$747,,MATCH(AS$8,'Калькуляция (МИ корр)'!$AJ$8:$BC$8,0)),'Калькуляция (МИ корр)'!$F$25:$F$747,$F68,'Калькуляция (МИ корр)'!$G$25:$G$747,$G68),IF(method_reg="Метод экономически обоснованных расходов",_xlfn.SUMIFS('Калькуляция (МЭОР)'!$AJ$25:$AJ$452,'Калькуляция (МЭОР)'!$F$25:$F$452,$F68,'Калькуляция (МЭОР)'!$G$25:$G$452,$G68),IF(method_reg="Метод сравнения аналогов",_xlfn.SUMIFS('Калькуляция (МСА)'!$AE$25:$AE$122,'Калькуляция (МСА)'!$F$25:$F$122,$F68,'Калькуляция (МСА)'!$G$25:$G$122,$G68),_xlfn.SUMIFS(INDEX('Калькуляция (МИ)'!$AJ$25:$BC$747,,MATCH(AS$8,'Калькуляция (МИ)'!$AJ$8:$BC$8,0)),'Калькуляция (МИ)'!$F$25:$F$747,$F68,'Калькуляция (МИ)'!$G$25:$G$747,$G68))))</f>
        <v>0</v>
      </c>
      <c r="AT68" s="5247">
        <f>IF(AND(method_reg="Метод индексации",god&lt;&gt;first_year),_xlfn.SUMIFS(INDEX('Калькуляция (МИ корр)'!$AJ$25:$BC$747,,MATCH(AT$8,'Калькуляция (МИ корр)'!$AJ$8:$BC$8,0)),'Калькуляция (МИ корр)'!$F$25:$F$747,$F68,'Калькуляция (МИ корр)'!$G$25:$G$747,$G68),IF(method_reg="Метод экономически обоснованных расходов",_xlfn.SUMIFS('Калькуляция (МЭОР)'!$AK$25:$AK$452,'Калькуляция (МЭОР)'!$F$25:$F$452,$F68,'Калькуляция (МЭОР)'!$G$25:$G$452,$G68),IF(method_reg="Метод сравнения аналогов",_xlfn.SUMIFS('Калькуляция (МСА)'!$AF$25:$AF$122,'Калькуляция (МСА)'!$F$25:$F$122,$F68,'Калькуляция (МСА)'!$G$25:$G$122,$G68),_xlfn.SUMIFS(INDEX('Калькуляция (МИ)'!$AJ$25:$BC$747,,MATCH(AT$8,'Калькуляция (МИ)'!$AJ$8:$BC$8,0)),'Калькуляция (МИ)'!$F$25:$F$747,$F68,'Калькуляция (МИ)'!$G$25:$G$747,$G68))))</f>
        <v>0</v>
      </c>
      <c r="AU68" s="1095">
        <f>IF(AS68=0,0,(AT68-AS68)/AS68*100)</f>
        <v>0</v>
      </c>
      <c r="AV68" s="5247">
        <f>IF(AND(method_reg="Метод индексации",god&lt;&gt;first_year),_xlfn.SUMIFS(INDEX('Калькуляция (МИ корр)'!$AJ$25:$BC$747,,MATCH(AV$8,'Калькуляция (МИ корр)'!$AJ$8:$BC$8,0)),'Калькуляция (МИ корр)'!$F$25:$F$747,$F68,'Калькуляция (МИ корр)'!$G$25:$G$747,$G68),IF(method_reg="Метод экономически обоснованных расходов",_xlfn.SUMIFS('Калькуляция (МЭОР)'!$AJ$25:$AJ$452,'Калькуляция (МЭОР)'!$F$25:$F$452,$F68,'Калькуляция (МЭОР)'!$G$25:$G$452,$G68),IF(method_reg="Метод сравнения аналогов",_xlfn.SUMIFS('Калькуляция (МСА)'!$AE$25:$AE$122,'Калькуляция (МСА)'!$F$25:$F$122,$F68,'Калькуляция (МСА)'!$G$25:$G$122,$G68),_xlfn.SUMIFS(INDEX('Калькуляция (МИ)'!$AJ$25:$BC$747,,MATCH(AV$8,'Калькуляция (МИ)'!$AJ$8:$BC$8,0)),'Калькуляция (МИ)'!$F$25:$F$747,$F68,'Калькуляция (МИ)'!$G$25:$G$747,$G68))))</f>
        <v>0</v>
      </c>
      <c r="AW68" s="5247">
        <f>IF(AND(method_reg="Метод индексации",god&lt;&gt;first_year),_xlfn.SUMIFS(INDEX('Калькуляция (МИ корр)'!$AJ$25:$BC$747,,MATCH(AW$8,'Калькуляция (МИ корр)'!$AJ$8:$BC$8,0)),'Калькуляция (МИ корр)'!$F$25:$F$747,$F68,'Калькуляция (МИ корр)'!$G$25:$G$747,$G68),IF(method_reg="Метод экономически обоснованных расходов",_xlfn.SUMIFS('Калькуляция (МЭОР)'!$AK$25:$AK$452,'Калькуляция (МЭОР)'!$F$25:$F$452,$F68,'Калькуляция (МЭОР)'!$G$25:$G$452,$G68),IF(method_reg="Метод сравнения аналогов",_xlfn.SUMIFS('Калькуляция (МСА)'!$AF$25:$AF$122,'Калькуляция (МСА)'!$F$25:$F$122,$F68,'Калькуляция (МСА)'!$G$25:$G$122,$G68),_xlfn.SUMIFS(INDEX('Калькуляция (МИ)'!$AJ$25:$BC$747,,MATCH(AW$8,'Калькуляция (МИ)'!$AJ$8:$BC$8,0)),'Калькуляция (МИ)'!$F$25:$F$747,$F68,'Калькуляция (МИ)'!$G$25:$G$747,$G68))))</f>
        <v>0</v>
      </c>
      <c r="AX68" s="1095">
        <f>IF(AV68=0,0,(AW68-AV68)/AV68*100)</f>
        <v>0</v>
      </c>
      <c r="AY68" s="5247">
        <f>IF(AND(method_reg="Метод индексации",god&lt;&gt;first_year),_xlfn.SUMIFS(INDEX('Калькуляция (МИ корр)'!$AJ$25:$BC$747,,MATCH(AY$8,'Калькуляция (МИ корр)'!$AJ$8:$BC$8,0)),'Калькуляция (МИ корр)'!$F$25:$F$747,$F68,'Калькуляция (МИ корр)'!$G$25:$G$747,$G68),IF(method_reg="Метод экономически обоснованных расходов",_xlfn.SUMIFS('Калькуляция (МЭОР)'!$AJ$25:$AJ$452,'Калькуляция (МЭОР)'!$F$25:$F$452,$F68,'Калькуляция (МЭОР)'!$G$25:$G$452,$G68),IF(method_reg="Метод сравнения аналогов",_xlfn.SUMIFS('Калькуляция (МСА)'!$AE$25:$AE$122,'Калькуляция (МСА)'!$F$25:$F$122,$F68,'Калькуляция (МСА)'!$G$25:$G$122,$G68),_xlfn.SUMIFS(INDEX('Калькуляция (МИ)'!$AJ$25:$BC$747,,MATCH(AY$8,'Калькуляция (МИ)'!$AJ$8:$BC$8,0)),'Калькуляция (МИ)'!$F$25:$F$747,$F68,'Калькуляция (МИ)'!$G$25:$G$747,$G68))))</f>
        <v>0</v>
      </c>
      <c r="AZ68" s="5247">
        <f>IF(AND(method_reg="Метод индексации",god&lt;&gt;first_year),_xlfn.SUMIFS(INDEX('Калькуляция (МИ корр)'!$AJ$25:$BC$747,,MATCH(AZ$8,'Калькуляция (МИ корр)'!$AJ$8:$BC$8,0)),'Калькуляция (МИ корр)'!$F$25:$F$747,$F68,'Калькуляция (МИ корр)'!$G$25:$G$747,$G68),IF(method_reg="Метод экономически обоснованных расходов",_xlfn.SUMIFS('Калькуляция (МЭОР)'!$AK$25:$AK$452,'Калькуляция (МЭОР)'!$F$25:$F$452,$F68,'Калькуляция (МЭОР)'!$G$25:$G$452,$G68),IF(method_reg="Метод сравнения аналогов",_xlfn.SUMIFS('Калькуляция (МСА)'!$AF$25:$AF$122,'Калькуляция (МСА)'!$F$25:$F$122,$F68,'Калькуляция (МСА)'!$G$25:$G$122,$G68),_xlfn.SUMIFS(INDEX('Калькуляция (МИ)'!$AJ$25:$BC$747,,MATCH(AZ$8,'Калькуляция (МИ)'!$AJ$8:$BC$8,0)),'Калькуляция (МИ)'!$F$25:$F$747,$F68,'Калькуляция (МИ)'!$G$25:$G$747,$G68))))</f>
        <v>0</v>
      </c>
      <c r="BA68" s="1095">
        <f>IF(AY68=0,0,(AZ68-AY68)/AY68*100)</f>
        <v>0</v>
      </c>
      <c r="BB68" s="5247">
        <f>IF(AND(method_reg="Метод индексации",god&lt;&gt;first_year),_xlfn.SUMIFS(INDEX('Калькуляция (МИ корр)'!$AJ$25:$BC$747,,MATCH(BB$8,'Калькуляция (МИ корр)'!$AJ$8:$BC$8,0)),'Калькуляция (МИ корр)'!$F$25:$F$747,$F68,'Калькуляция (МИ корр)'!$G$25:$G$747,$G68),IF(method_reg="Метод экономически обоснованных расходов",_xlfn.SUMIFS('Калькуляция (МЭОР)'!$AJ$25:$AJ$452,'Калькуляция (МЭОР)'!$F$25:$F$452,$F68,'Калькуляция (МЭОР)'!$G$25:$G$452,$G68),IF(method_reg="Метод сравнения аналогов",_xlfn.SUMIFS('Калькуляция (МСА)'!$AE$25:$AE$122,'Калькуляция (МСА)'!$F$25:$F$122,$F68,'Калькуляция (МСА)'!$G$25:$G$122,$G68),_xlfn.SUMIFS(INDEX('Калькуляция (МИ)'!$AJ$25:$BC$747,,MATCH(BB$8,'Калькуляция (МИ)'!$AJ$8:$BC$8,0)),'Калькуляция (МИ)'!$F$25:$F$747,$F68,'Калькуляция (МИ)'!$G$25:$G$747,$G68))))</f>
        <v>0</v>
      </c>
      <c r="BC68" s="5247">
        <f>IF(AND(method_reg="Метод индексации",god&lt;&gt;first_year),_xlfn.SUMIFS(INDEX('Калькуляция (МИ корр)'!$AJ$25:$BC$747,,MATCH(BC$8,'Калькуляция (МИ корр)'!$AJ$8:$BC$8,0)),'Калькуляция (МИ корр)'!$F$25:$F$747,$F68,'Калькуляция (МИ корр)'!$G$25:$G$747,$G68),IF(method_reg="Метод экономически обоснованных расходов",_xlfn.SUMIFS('Калькуляция (МЭОР)'!$AK$25:$AK$452,'Калькуляция (МЭОР)'!$F$25:$F$452,$F68,'Калькуляция (МЭОР)'!$G$25:$G$452,$G68),IF(method_reg="Метод сравнения аналогов",_xlfn.SUMIFS('Калькуляция (МСА)'!$AF$25:$AF$122,'Калькуляция (МСА)'!$F$25:$F$122,$F68,'Калькуляция (МСА)'!$G$25:$G$122,$G68),_xlfn.SUMIFS(INDEX('Калькуляция (МИ)'!$AJ$25:$BC$747,,MATCH(BC$8,'Калькуляция (МИ)'!$AJ$8:$BC$8,0)),'Калькуляция (МИ)'!$F$25:$F$747,$F68,'Калькуляция (МИ)'!$G$25:$G$747,$G68))))</f>
        <v>0</v>
      </c>
      <c r="BD68" s="1095">
        <f>IF(BB68=0,0,(BC68-BB68)/BB68*100)</f>
        <v>0</v>
      </c>
      <c r="BE68" s="5247">
        <f>IF(AND(method_reg="Метод индексации",god&lt;&gt;first_year),_xlfn.SUMIFS(INDEX('Калькуляция (МИ корр)'!$AJ$25:$BC$747,,MATCH(BE$8,'Калькуляция (МИ корр)'!$AJ$8:$BC$8,0)),'Калькуляция (МИ корр)'!$F$25:$F$747,$F68,'Калькуляция (МИ корр)'!$G$25:$G$747,$G68),IF(method_reg="Метод экономически обоснованных расходов",_xlfn.SUMIFS('Калькуляция (МЭОР)'!$AJ$25:$AJ$452,'Калькуляция (МЭОР)'!$F$25:$F$452,$F68,'Калькуляция (МЭОР)'!$G$25:$G$452,$G68),IF(method_reg="Метод сравнения аналогов",_xlfn.SUMIFS('Калькуляция (МСА)'!$AE$25:$AE$122,'Калькуляция (МСА)'!$F$25:$F$122,$F68,'Калькуляция (МСА)'!$G$25:$G$122,$G68),_xlfn.SUMIFS(INDEX('Калькуляция (МИ)'!$AJ$25:$BC$747,,MATCH(BE$8,'Калькуляция (МИ)'!$AJ$8:$BC$8,0)),'Калькуляция (МИ)'!$F$25:$F$747,$F68,'Калькуляция (МИ)'!$G$25:$G$747,$G68))))</f>
        <v>0</v>
      </c>
      <c r="BF68" s="5247">
        <f>IF(AND(method_reg="Метод индексации",god&lt;&gt;first_year),_xlfn.SUMIFS(INDEX('Калькуляция (МИ корр)'!$AJ$25:$BC$747,,MATCH(BF$8,'Калькуляция (МИ корр)'!$AJ$8:$BC$8,0)),'Калькуляция (МИ корр)'!$F$25:$F$747,$F68,'Калькуляция (МИ корр)'!$G$25:$G$747,$G68),IF(method_reg="Метод экономически обоснованных расходов",_xlfn.SUMIFS('Калькуляция (МЭОР)'!$AK$25:$AK$452,'Калькуляция (МЭОР)'!$F$25:$F$452,$F68,'Калькуляция (МЭОР)'!$G$25:$G$452,$G68),IF(method_reg="Метод сравнения аналогов",_xlfn.SUMIFS('Калькуляция (МСА)'!$AF$25:$AF$122,'Калькуляция (МСА)'!$F$25:$F$122,$F68,'Калькуляция (МСА)'!$G$25:$G$122,$G68),_xlfn.SUMIFS(INDEX('Калькуляция (МИ)'!$AJ$25:$BC$747,,MATCH(BF$8,'Калькуляция (МИ)'!$AJ$8:$BC$8,0)),'Калькуляция (МИ)'!$F$25:$F$747,$F68,'Калькуляция (МИ)'!$G$25:$G$747,$G68))))</f>
        <v>0</v>
      </c>
      <c r="BG68" s="1095">
        <f>IF(BE68=0,0,(BF68-BE68)/BE68*100)</f>
        <v>0</v>
      </c>
      <c r="BH68" s="5247"/>
      <c r="BI68" s="5247"/>
      <c r="BJ68" s="1095">
        <f>IF(BH68=0,0,(BI68-BH68)/BH68*100)</f>
        <v>0</v>
      </c>
      <c r="BK68" s="5247"/>
      <c r="BL68" s="5247"/>
      <c r="BM68" s="1095">
        <f>IF(BK68=0,0,(BL68-BK68)/BK68*100)</f>
        <v>0</v>
      </c>
      <c r="BN68" s="5247"/>
      <c r="BO68" s="5247"/>
      <c r="BP68" s="1095">
        <f>IF(BN68=0,0,(BO68-BN68)/BN68*100)</f>
        <v>0</v>
      </c>
      <c r="BQ68" s="5247"/>
      <c r="BR68" s="5247"/>
      <c r="BS68" s="1095">
        <f>IF(BQ68=0,0,(BR68-BQ68)/BQ68*100)</f>
        <v>0</v>
      </c>
      <c r="BT68" s="5247"/>
      <c r="BU68" s="5247"/>
      <c r="BV68" s="1095">
        <f>IF(BT68=0,0,(BU68-BT68)/BT68*100)</f>
        <v>0</v>
      </c>
      <c r="BW68" s="5247"/>
      <c r="BX68" s="5247"/>
      <c r="BY68" s="1095">
        <f>IF(BW68=0,0,(BX68-BW68)/BW68*100)</f>
        <v>0</v>
      </c>
      <c r="BZ68" s="5247"/>
      <c r="CA68" s="5247"/>
      <c r="CB68" s="1095">
        <f>IF(BZ68=0,0,(CA68-BZ68)/BZ68*100)</f>
        <v>0</v>
      </c>
      <c r="CC68" s="5247"/>
      <c r="CD68" s="5247"/>
      <c r="CE68" s="1095">
        <f>IF(CC68=0,0,(CD68-CC68)/CC68*100)</f>
        <v>0</v>
      </c>
      <c r="CF68" s="5247"/>
      <c r="CG68" s="5247"/>
      <c r="CH68" s="1095">
        <f>IF(CF68=0,0,(CG68-CF68)/CF68*100)</f>
        <v>0</v>
      </c>
      <c r="CI68" s="5247"/>
      <c r="CJ68" s="5247"/>
      <c r="CK68" s="1095">
        <f>IF(CI68=0,0,(CJ68-CI68)/CI68*100)</f>
        <v>0</v>
      </c>
      <c r="CL68" s="5247"/>
      <c r="CM68" s="5247"/>
      <c r="CN68" s="1095">
        <f>IF(CL68=0,0,(CM68-CL68)/CL68*100)</f>
        <v>0</v>
      </c>
      <c r="CO68" s="5247"/>
      <c r="CP68" s="5247"/>
      <c r="CQ68" s="1095">
        <f>IF(CO68=0,0,(CP68-CO68)/CO68*100)</f>
        <v>0</v>
      </c>
      <c r="CR68" s="5247"/>
      <c r="CS68" s="5247"/>
      <c r="CT68" s="1095">
        <f>IF(CR68=0,0,(CS68-CR68)/CR68*100)</f>
        <v>0</v>
      </c>
      <c r="CU68" s="5247"/>
      <c r="CV68" s="5247"/>
      <c r="CW68" s="1095">
        <f>IF(CU68=0,0,(CV68-CU68)/CU68*100)</f>
        <v>0</v>
      </c>
      <c r="CX68" s="5247"/>
      <c r="CY68" s="5247"/>
      <c r="CZ68" s="1095">
        <f>IF(CX68=0,0,(CY68-CX68)/CX68*100)</f>
        <v>0</v>
      </c>
      <c r="DA68" s="5247"/>
      <c r="DB68" s="5247"/>
      <c r="DC68" s="1095">
        <f>IF(DA68=0,0,(DB68-DA68)/DA68*100)</f>
        <v>0</v>
      </c>
      <c r="DD68" s="5247"/>
      <c r="DE68" s="5247"/>
      <c r="DF68" s="1095">
        <f>IF(DD68=0,0,(DE68-DD68)/DD68*100)</f>
        <v>0</v>
      </c>
      <c r="DG68" s="5247"/>
      <c r="DH68" s="5247"/>
      <c r="DI68" s="1095">
        <f>IF(DG68=0,0,(DH68-DG68)/DG68*100)</f>
        <v>0</v>
      </c>
      <c r="DJ68" s="5247"/>
      <c r="DK68" s="5247"/>
      <c r="DL68" s="1095">
        <f>IF(DJ68=0,0,(DK68-DJ68)/DJ68*100)</f>
        <v>0</v>
      </c>
      <c r="DM68" s="5247"/>
      <c r="DN68" s="5247"/>
      <c r="DO68" s="1095">
        <f>IF(DM68=0,0,(DN68-DM68)/DM68*100)</f>
        <v>0</v>
      </c>
      <c r="DP68" s="5247"/>
      <c r="DQ68" s="5247"/>
      <c r="DR68" s="1095">
        <f>IF(DP68=0,0,(DQ68-DP68)/DP68*100)</f>
        <v>0</v>
      </c>
      <c r="DS68" s="5247"/>
      <c r="DT68" s="5247"/>
      <c r="DU68" s="1095">
        <f>IF(DS68=0,0,(DT68-DS68)/DS68*100)</f>
        <v>0</v>
      </c>
      <c r="DV68" s="5247"/>
      <c r="DW68" s="5247"/>
      <c r="DX68" s="1095">
        <f>IF(DV68=0,0,(DW68-DV68)/DV68*100)</f>
        <v>0</v>
      </c>
      <c r="DY68" s="5247"/>
      <c r="DZ68" s="5247"/>
      <c r="EA68" s="1095">
        <f>IF(DY68=0,0,(DZ68-DY68)/DY68*100)</f>
        <v>0</v>
      </c>
      <c r="EB68" s="5247"/>
      <c r="EC68" s="5247"/>
      <c r="ED68" s="1095">
        <f>IF(EB68=0,0,(EC68-EB68)/EB68*100)</f>
        <v>0</v>
      </c>
      <c r="EE68" s="5247"/>
      <c r="EF68" s="5247"/>
      <c r="EG68" s="1095">
        <f>IF(EE68=0,0,(EF68-EE68)/EE68*100)</f>
        <v>0</v>
      </c>
      <c r="EH68" s="5247"/>
      <c r="EI68" s="5247"/>
      <c r="EJ68" s="1095">
        <f>IF(EH68=0,0,(EI68-EH68)/EH68*100)</f>
        <v>0</v>
      </c>
      <c r="EK68" s="5247"/>
      <c r="EL68" s="5247"/>
      <c r="EM68" s="1095">
        <f>IF(EK68=0,0,(EL68-EK68)/EK68*100)</f>
        <v>0</v>
      </c>
      <c r="EN68" s="5247"/>
      <c r="EO68" s="5247"/>
      <c r="EP68" s="1095">
        <f>IF(EN68=0,0,(EO68-EN68)/EN68*100)</f>
        <v>0</v>
      </c>
      <c r="EQ68" s="5247"/>
      <c r="ER68" s="5247"/>
      <c r="ES68" s="1095">
        <f>IF(EQ68=0,0,(ER68-EQ68)/EQ68*100)</f>
        <v>0</v>
      </c>
      <c r="ET68" s="5247"/>
      <c r="EU68" s="5247"/>
      <c r="EV68" s="1095">
        <f>IF(ET68=0,0,(EU68-ET68)/ET68*100)</f>
        <v>0</v>
      </c>
      <c r="EW68" s="5247"/>
      <c r="EX68" s="5247"/>
      <c r="EY68" s="1095">
        <f>IF(EW68=0,0,(EX68-EW68)/EW68*100)</f>
        <v>0</v>
      </c>
      <c r="EZ68" s="5247"/>
      <c r="FA68" s="5247"/>
      <c r="FB68" s="1095">
        <f>IF(EZ68=0,0,(FA68-EZ68)/EZ68*100)</f>
        <v>0</v>
      </c>
      <c r="FC68" s="5247"/>
      <c r="FD68" s="5247"/>
      <c r="FE68" s="1095">
        <f>IF(FC68=0,0,(FD68-FC68)/FC68*100)</f>
        <v>0</v>
      </c>
      <c r="FF68" s="5247"/>
      <c r="FG68" s="5247"/>
      <c r="FH68" s="1095">
        <f>IF(FF68=0,0,(FG68-FF68)/FF68*100)</f>
        <v>0</v>
      </c>
      <c r="FI68" s="5247"/>
      <c r="FJ68" s="5247"/>
      <c r="FK68" s="1095">
        <f>IF(FI68=0,0,(FJ68-FI68)/FI68*100)</f>
        <v>0</v>
      </c>
      <c r="FL68" s="5247"/>
      <c r="FM68" s="5247"/>
      <c r="FN68" s="1095">
        <f>IF(FL68=0,0,(FM68-FL68)/FL68*100)</f>
        <v>0</v>
      </c>
      <c r="FO68" s="5247"/>
      <c r="FP68" s="5247"/>
      <c r="FQ68" s="1095">
        <f>IF(FO68=0,0,(FP68-FO68)/FO68*100)</f>
        <v>0</v>
      </c>
      <c r="FR68" s="5247"/>
      <c r="FS68" s="5247"/>
      <c r="FT68" s="1095">
        <f>IF(FR68=0,0,(FS68-FR68)/FR68*100)</f>
        <v>0</v>
      </c>
      <c r="FU68" s="5247"/>
      <c r="FV68" s="5247"/>
      <c r="FW68" s="1095">
        <f>IF(FU68=0,0,(FV68-FU68)/FU68*100)</f>
        <v>0</v>
      </c>
      <c r="FX68" s="1304"/>
      <c r="FY68" s="1304"/>
      <c r="FZ68" s="1055" t="s">
        <v>2401</v>
      </c>
      <c r="GA68" s="1306"/>
      <c r="GB68" s="1306"/>
      <c r="GC68" s="1305"/>
      <c r="GD68" s="1305"/>
    </row>
    <row customHeight="1" ht="21.9375" hidden="1">
      <c r="A69" s="493"/>
      <c r="B69" s="925" cm="1" t="str">
        <f t="array" ref="B69:B69">B68</f>
        <v>false</v>
      </c>
      <c r="C69" s="493"/>
      <c r="D69" s="493"/>
      <c r="E69" s="840">
        <v>22.5</v>
      </c>
      <c r="F69" s="50" cm="1" t="str">
        <f t="array" ref="F69:F69">OFFSET(E69,-1,1)</f>
        <v>0</v>
      </c>
      <c r="G69" s="493"/>
      <c r="H69" s="493" t="s">
        <v>2376</v>
      </c>
      <c r="I69" s="493" t="s">
        <v>2354</v>
      </c>
      <c r="J69" s="493"/>
      <c r="K69" s="493"/>
      <c r="L69" s="493"/>
      <c r="M69" s="493"/>
      <c r="N69" s="493"/>
      <c r="O69" s="493"/>
      <c r="P69" s="493"/>
      <c r="Q69" s="493"/>
      <c r="R69" s="493"/>
      <c r="S69" s="493"/>
      <c r="T69" s="465" cm="1" t="str">
        <f t="array" ref="T69:T69">T68</f>
        <v>false</v>
      </c>
      <c r="U69" s="493"/>
      <c r="V69" s="493"/>
      <c r="W69" s="493"/>
      <c r="X69" s="1596"/>
      <c r="Y69" s="493"/>
      <c r="Z69" s="1545"/>
      <c r="AA69" s="493"/>
      <c r="AB69" s="904"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69" s="864" t="s">
        <v>2377</v>
      </c>
      <c r="AD69" s="2846"/>
      <c r="AE69" s="2846"/>
      <c r="AF69" s="1093">
        <f>IF(AD69=0,0,(AE69-AD69)/AD69*100)</f>
        <v>0</v>
      </c>
      <c r="AG69" s="2846"/>
      <c r="AH69" s="2846"/>
      <c r="AI69" s="1093">
        <f>IF(AG69=0,0,(AH69-AG69)/AG69*100)</f>
        <v>0</v>
      </c>
      <c r="AJ69" s="2846"/>
      <c r="AK69" s="2846"/>
      <c r="AL69" s="1093">
        <f>IF(AJ69=0,0,(AK69-AJ69)/AJ69*100)</f>
        <v>0</v>
      </c>
      <c r="AM69" s="2846"/>
      <c r="AN69" s="2846"/>
      <c r="AO69" s="1093">
        <f>IF(AM69=0,0,(AN69-AM69)/AM69*100)</f>
        <v>0</v>
      </c>
      <c r="AP69" s="2846"/>
      <c r="AQ69" s="2846"/>
      <c r="AR69" s="1093">
        <f>IF(AP69=0,0,(AQ69-AP69)/AP69*100)</f>
        <v>0</v>
      </c>
      <c r="AS69" s="2846"/>
      <c r="AT69" s="2846"/>
      <c r="AU69" s="1093">
        <f>IF(AS69=0,0,(AT69-AS69)/AS69*100)</f>
        <v>0</v>
      </c>
      <c r="AV69" s="2846"/>
      <c r="AW69" s="2846"/>
      <c r="AX69" s="1093">
        <f>IF(AV69=0,0,(AW69-AV69)/AV69*100)</f>
        <v>0</v>
      </c>
      <c r="AY69" s="2846"/>
      <c r="AZ69" s="2846"/>
      <c r="BA69" s="1093">
        <f>IF(AY69=0,0,(AZ69-AY69)/AY69*100)</f>
        <v>0</v>
      </c>
      <c r="BB69" s="2846"/>
      <c r="BC69" s="2846"/>
      <c r="BD69" s="1093">
        <f>IF(BB69=0,0,(BC69-BB69)/BB69*100)</f>
        <v>0</v>
      </c>
      <c r="BE69" s="2846"/>
      <c r="BF69" s="2846"/>
      <c r="BG69" s="1093">
        <f>IF(BE69=0,0,(BF69-BE69)/BE69*100)</f>
        <v>0</v>
      </c>
      <c r="BH69" s="2846"/>
      <c r="BI69" s="2846"/>
      <c r="BJ69" s="1093">
        <f>IF(BH69=0,0,(BI69-BH69)/BH69*100)</f>
        <v>0</v>
      </c>
      <c r="BK69" s="2846"/>
      <c r="BL69" s="2846"/>
      <c r="BM69" s="1093">
        <f>IF(BK69=0,0,(BL69-BK69)/BK69*100)</f>
        <v>0</v>
      </c>
      <c r="BN69" s="2846"/>
      <c r="BO69" s="2846"/>
      <c r="BP69" s="1093">
        <f>IF(BN69=0,0,(BO69-BN69)/BN69*100)</f>
        <v>0</v>
      </c>
      <c r="BQ69" s="2846"/>
      <c r="BR69" s="2846"/>
      <c r="BS69" s="1093">
        <f>IF(BQ69=0,0,(BR69-BQ69)/BQ69*100)</f>
        <v>0</v>
      </c>
      <c r="BT69" s="2846"/>
      <c r="BU69" s="2846"/>
      <c r="BV69" s="1093">
        <f>IF(BT69=0,0,(BU69-BT69)/BT69*100)</f>
        <v>0</v>
      </c>
      <c r="BW69" s="2846"/>
      <c r="BX69" s="2846"/>
      <c r="BY69" s="1093">
        <f>IF(BW69=0,0,(BX69-BW69)/BW69*100)</f>
        <v>0</v>
      </c>
      <c r="BZ69" s="2846"/>
      <c r="CA69" s="2846"/>
      <c r="CB69" s="1093">
        <f>IF(BZ69=0,0,(CA69-BZ69)/BZ69*100)</f>
        <v>0</v>
      </c>
      <c r="CC69" s="2846"/>
      <c r="CD69" s="2846"/>
      <c r="CE69" s="1093">
        <f>IF(CC69=0,0,(CD69-CC69)/CC69*100)</f>
        <v>0</v>
      </c>
      <c r="CF69" s="2846"/>
      <c r="CG69" s="2846"/>
      <c r="CH69" s="1093">
        <f>IF(CF69=0,0,(CG69-CF69)/CF69*100)</f>
        <v>0</v>
      </c>
      <c r="CI69" s="2846"/>
      <c r="CJ69" s="2846"/>
      <c r="CK69" s="1093">
        <f>IF(CI69=0,0,(CJ69-CI69)/CI69*100)</f>
        <v>0</v>
      </c>
      <c r="CL69" s="2846"/>
      <c r="CM69" s="2846"/>
      <c r="CN69" s="1093">
        <f>IF(CL69=0,0,(CM69-CL69)/CL69*100)</f>
        <v>0</v>
      </c>
      <c r="CO69" s="2846"/>
      <c r="CP69" s="2846"/>
      <c r="CQ69" s="1093">
        <f>IF(CO69=0,0,(CP69-CO69)/CO69*100)</f>
        <v>0</v>
      </c>
      <c r="CR69" s="2846"/>
      <c r="CS69" s="2846"/>
      <c r="CT69" s="1093">
        <f>IF(CR69=0,0,(CS69-CR69)/CR69*100)</f>
        <v>0</v>
      </c>
      <c r="CU69" s="2846"/>
      <c r="CV69" s="2846"/>
      <c r="CW69" s="1093">
        <f>IF(CU69=0,0,(CV69-CU69)/CU69*100)</f>
        <v>0</v>
      </c>
      <c r="CX69" s="2846"/>
      <c r="CY69" s="2846"/>
      <c r="CZ69" s="1093">
        <f>IF(CX69=0,0,(CY69-CX69)/CX69*100)</f>
        <v>0</v>
      </c>
      <c r="DA69" s="2846"/>
      <c r="DB69" s="2846"/>
      <c r="DC69" s="1093">
        <f>IF(DA69=0,0,(DB69-DA69)/DA69*100)</f>
        <v>0</v>
      </c>
      <c r="DD69" s="2846"/>
      <c r="DE69" s="2846"/>
      <c r="DF69" s="1093">
        <f>IF(DD69=0,0,(DE69-DD69)/DD69*100)</f>
        <v>0</v>
      </c>
      <c r="DG69" s="2846"/>
      <c r="DH69" s="2846"/>
      <c r="DI69" s="1093">
        <f>IF(DG69=0,0,(DH69-DG69)/DG69*100)</f>
        <v>0</v>
      </c>
      <c r="DJ69" s="2846"/>
      <c r="DK69" s="2846"/>
      <c r="DL69" s="1093">
        <f>IF(DJ69=0,0,(DK69-DJ69)/DJ69*100)</f>
        <v>0</v>
      </c>
      <c r="DM69" s="2846"/>
      <c r="DN69" s="2846"/>
      <c r="DO69" s="1093">
        <f>IF(DM69=0,0,(DN69-DM69)/DM69*100)</f>
        <v>0</v>
      </c>
      <c r="DP69" s="2846"/>
      <c r="DQ69" s="2846"/>
      <c r="DR69" s="1093">
        <f>IF(DP69=0,0,(DQ69-DP69)/DP69*100)</f>
        <v>0</v>
      </c>
      <c r="DS69" s="2846"/>
      <c r="DT69" s="2846"/>
      <c r="DU69" s="1093">
        <f>IF(DS69=0,0,(DT69-DS69)/DS69*100)</f>
        <v>0</v>
      </c>
      <c r="DV69" s="2846"/>
      <c r="DW69" s="2846"/>
      <c r="DX69" s="1093">
        <f>IF(DV69=0,0,(DW69-DV69)/DV69*100)</f>
        <v>0</v>
      </c>
      <c r="DY69" s="2846"/>
      <c r="DZ69" s="2846"/>
      <c r="EA69" s="1093">
        <f>IF(DY69=0,0,(DZ69-DY69)/DY69*100)</f>
        <v>0</v>
      </c>
      <c r="EB69" s="2846"/>
      <c r="EC69" s="2846"/>
      <c r="ED69" s="1093">
        <f>IF(EB69=0,0,(EC69-EB69)/EB69*100)</f>
        <v>0</v>
      </c>
      <c r="EE69" s="2846"/>
      <c r="EF69" s="2846"/>
      <c r="EG69" s="1093">
        <f>IF(EE69=0,0,(EF69-EE69)/EE69*100)</f>
        <v>0</v>
      </c>
      <c r="EH69" s="2846"/>
      <c r="EI69" s="2846"/>
      <c r="EJ69" s="1093">
        <f>IF(EH69=0,0,(EI69-EH69)/EH69*100)</f>
        <v>0</v>
      </c>
      <c r="EK69" s="2846"/>
      <c r="EL69" s="2846"/>
      <c r="EM69" s="1093">
        <f>IF(EK69=0,0,(EL69-EK69)/EK69*100)</f>
        <v>0</v>
      </c>
      <c r="EN69" s="2846"/>
      <c r="EO69" s="2846"/>
      <c r="EP69" s="1093">
        <f>IF(EN69=0,0,(EO69-EN69)/EN69*100)</f>
        <v>0</v>
      </c>
      <c r="EQ69" s="2846"/>
      <c r="ER69" s="2846"/>
      <c r="ES69" s="1093">
        <f>IF(EQ69=0,0,(ER69-EQ69)/EQ69*100)</f>
        <v>0</v>
      </c>
      <c r="ET69" s="2846"/>
      <c r="EU69" s="2846"/>
      <c r="EV69" s="1093">
        <f>IF(ET69=0,0,(EU69-ET69)/ET69*100)</f>
        <v>0</v>
      </c>
      <c r="EW69" s="2846"/>
      <c r="EX69" s="2846"/>
      <c r="EY69" s="1093">
        <f>IF(EW69=0,0,(EX69-EW69)/EW69*100)</f>
        <v>0</v>
      </c>
      <c r="EZ69" s="2846"/>
      <c r="FA69" s="2846"/>
      <c r="FB69" s="1093">
        <f>IF(EZ69=0,0,(FA69-EZ69)/EZ69*100)</f>
        <v>0</v>
      </c>
      <c r="FC69" s="2846"/>
      <c r="FD69" s="2846"/>
      <c r="FE69" s="1093">
        <f>IF(FC69=0,0,(FD69-FC69)/FC69*100)</f>
        <v>0</v>
      </c>
      <c r="FF69" s="2846"/>
      <c r="FG69" s="2846"/>
      <c r="FH69" s="1093">
        <f>IF(FF69=0,0,(FG69-FF69)/FF69*100)</f>
        <v>0</v>
      </c>
      <c r="FI69" s="2846"/>
      <c r="FJ69" s="2846"/>
      <c r="FK69" s="1093">
        <f>IF(FI69=0,0,(FJ69-FI69)/FI69*100)</f>
        <v>0</v>
      </c>
      <c r="FL69" s="2846"/>
      <c r="FM69" s="2846"/>
      <c r="FN69" s="1093">
        <f>IF(FL69=0,0,(FM69-FL69)/FL69*100)</f>
        <v>0</v>
      </c>
      <c r="FO69" s="2846"/>
      <c r="FP69" s="2846"/>
      <c r="FQ69" s="1093">
        <f>IF(FO69=0,0,(FP69-FO69)/FO69*100)</f>
        <v>0</v>
      </c>
      <c r="FR69" s="2846"/>
      <c r="FS69" s="2846"/>
      <c r="FT69" s="1093">
        <f>IF(FR69=0,0,(FS69-FR69)/FR69*100)</f>
        <v>0</v>
      </c>
      <c r="FU69" s="2846"/>
      <c r="FV69" s="2846"/>
      <c r="FW69" s="1093">
        <f>IF(FU69=0,0,(FV69-FU69)/FU69*100)</f>
        <v>0</v>
      </c>
      <c r="FX69" s="1304"/>
      <c r="FY69" s="1304"/>
      <c r="FZ69" s="1055" t="s">
        <v>2402</v>
      </c>
      <c r="GA69" s="1306"/>
      <c r="GB69" s="1306"/>
      <c r="GC69" s="1305"/>
      <c r="GD69" s="1305"/>
    </row>
    <row customHeight="1" ht="14.625" hidden="1">
      <c r="A70" s="493"/>
      <c r="B70" s="925" cm="1" t="str">
        <f t="array" ref="B70:B70">B69</f>
        <v>false</v>
      </c>
      <c r="C70" s="493"/>
      <c r="D70" s="493"/>
      <c r="E70" s="840">
        <v>15</v>
      </c>
      <c r="F70" s="50" cm="1" t="str">
        <f t="array" ref="F70:F70">OFFSET(E70,-1,1)</f>
        <v>0</v>
      </c>
      <c r="G70" s="493"/>
      <c r="H70" s="493" t="s">
        <v>2379</v>
      </c>
      <c r="I70" s="493" t="s">
        <v>2354</v>
      </c>
      <c r="J70" s="493"/>
      <c r="K70" s="493"/>
      <c r="L70" s="493"/>
      <c r="M70" s="493"/>
      <c r="N70" s="493"/>
      <c r="O70" s="493"/>
      <c r="P70" s="493"/>
      <c r="Q70" s="493"/>
      <c r="R70" s="493"/>
      <c r="S70" s="493"/>
      <c r="T70" s="465" cm="1" t="str">
        <f t="array" ref="T70:T70">T69</f>
        <v>false</v>
      </c>
      <c r="U70" s="493"/>
      <c r="V70" s="493"/>
      <c r="W70" s="493"/>
      <c r="X70" s="1596"/>
      <c r="Y70" s="493"/>
      <c r="Z70" s="1545"/>
      <c r="AA70" s="493"/>
      <c r="AB70" s="904" t="s">
        <v>2380</v>
      </c>
      <c r="AC70" s="864" t="s">
        <v>2381</v>
      </c>
      <c r="AD70" s="2846"/>
      <c r="AE70" s="2846"/>
      <c r="AF70" s="1093">
        <f>IF(AD70=0,0,(AE70-AD70)/AD70*100)</f>
        <v>0</v>
      </c>
      <c r="AG70" s="2846"/>
      <c r="AH70" s="2846"/>
      <c r="AI70" s="1093">
        <f>IF(AG70=0,0,(AH70-AG70)/AG70*100)</f>
        <v>0</v>
      </c>
      <c r="AJ70" s="2846"/>
      <c r="AK70" s="2846"/>
      <c r="AL70" s="1093">
        <f>IF(AJ70=0,0,(AK70-AJ70)/AJ70*100)</f>
        <v>0</v>
      </c>
      <c r="AM70" s="2846"/>
      <c r="AN70" s="2846"/>
      <c r="AO70" s="1093">
        <f>IF(AM70=0,0,(AN70-AM70)/AM70*100)</f>
        <v>0</v>
      </c>
      <c r="AP70" s="2846"/>
      <c r="AQ70" s="2846"/>
      <c r="AR70" s="1093">
        <f>IF(AP70=0,0,(AQ70-AP70)/AP70*100)</f>
        <v>0</v>
      </c>
      <c r="AS70" s="2846"/>
      <c r="AT70" s="2846"/>
      <c r="AU70" s="1093">
        <f>IF(AS70=0,0,(AT70-AS70)/AS70*100)</f>
        <v>0</v>
      </c>
      <c r="AV70" s="2846"/>
      <c r="AW70" s="2846"/>
      <c r="AX70" s="1093">
        <f>IF(AV70=0,0,(AW70-AV70)/AV70*100)</f>
        <v>0</v>
      </c>
      <c r="AY70" s="2846"/>
      <c r="AZ70" s="2846"/>
      <c r="BA70" s="1093">
        <f>IF(AY70=0,0,(AZ70-AY70)/AY70*100)</f>
        <v>0</v>
      </c>
      <c r="BB70" s="2846"/>
      <c r="BC70" s="2846"/>
      <c r="BD70" s="1093">
        <f>IF(BB70=0,0,(BC70-BB70)/BB70*100)</f>
        <v>0</v>
      </c>
      <c r="BE70" s="2846"/>
      <c r="BF70" s="2846"/>
      <c r="BG70" s="1093">
        <f>IF(BE70=0,0,(BF70-BE70)/BE70*100)</f>
        <v>0</v>
      </c>
      <c r="BH70" s="2846"/>
      <c r="BI70" s="2846"/>
      <c r="BJ70" s="1093">
        <f>IF(BH70=0,0,(BI70-BH70)/BH70*100)</f>
        <v>0</v>
      </c>
      <c r="BK70" s="2846"/>
      <c r="BL70" s="2846"/>
      <c r="BM70" s="1093">
        <f>IF(BK70=0,0,(BL70-BK70)/BK70*100)</f>
        <v>0</v>
      </c>
      <c r="BN70" s="2846"/>
      <c r="BO70" s="2846"/>
      <c r="BP70" s="1093">
        <f>IF(BN70=0,0,(BO70-BN70)/BN70*100)</f>
        <v>0</v>
      </c>
      <c r="BQ70" s="2846"/>
      <c r="BR70" s="2846"/>
      <c r="BS70" s="1093">
        <f>IF(BQ70=0,0,(BR70-BQ70)/BQ70*100)</f>
        <v>0</v>
      </c>
      <c r="BT70" s="2846"/>
      <c r="BU70" s="2846"/>
      <c r="BV70" s="1093">
        <f>IF(BT70=0,0,(BU70-BT70)/BT70*100)</f>
        <v>0</v>
      </c>
      <c r="BW70" s="2846"/>
      <c r="BX70" s="2846"/>
      <c r="BY70" s="1093">
        <f>IF(BW70=0,0,(BX70-BW70)/BW70*100)</f>
        <v>0</v>
      </c>
      <c r="BZ70" s="2846"/>
      <c r="CA70" s="2846"/>
      <c r="CB70" s="1093">
        <f>IF(BZ70=0,0,(CA70-BZ70)/BZ70*100)</f>
        <v>0</v>
      </c>
      <c r="CC70" s="2846"/>
      <c r="CD70" s="2846"/>
      <c r="CE70" s="1093">
        <f>IF(CC70=0,0,(CD70-CC70)/CC70*100)</f>
        <v>0</v>
      </c>
      <c r="CF70" s="2846"/>
      <c r="CG70" s="2846"/>
      <c r="CH70" s="1093">
        <f>IF(CF70=0,0,(CG70-CF70)/CF70*100)</f>
        <v>0</v>
      </c>
      <c r="CI70" s="2846"/>
      <c r="CJ70" s="2846"/>
      <c r="CK70" s="1093">
        <f>IF(CI70=0,0,(CJ70-CI70)/CI70*100)</f>
        <v>0</v>
      </c>
      <c r="CL70" s="2846"/>
      <c r="CM70" s="2846"/>
      <c r="CN70" s="1093">
        <f>IF(CL70=0,0,(CM70-CL70)/CL70*100)</f>
        <v>0</v>
      </c>
      <c r="CO70" s="2846"/>
      <c r="CP70" s="2846"/>
      <c r="CQ70" s="1093">
        <f>IF(CO70=0,0,(CP70-CO70)/CO70*100)</f>
        <v>0</v>
      </c>
      <c r="CR70" s="2846"/>
      <c r="CS70" s="2846"/>
      <c r="CT70" s="1093">
        <f>IF(CR70=0,0,(CS70-CR70)/CR70*100)</f>
        <v>0</v>
      </c>
      <c r="CU70" s="2846"/>
      <c r="CV70" s="2846"/>
      <c r="CW70" s="1093">
        <f>IF(CU70=0,0,(CV70-CU70)/CU70*100)</f>
        <v>0</v>
      </c>
      <c r="CX70" s="2846"/>
      <c r="CY70" s="2846"/>
      <c r="CZ70" s="1093">
        <f>IF(CX70=0,0,(CY70-CX70)/CX70*100)</f>
        <v>0</v>
      </c>
      <c r="DA70" s="2846"/>
      <c r="DB70" s="2846"/>
      <c r="DC70" s="1093">
        <f>IF(DA70=0,0,(DB70-DA70)/DA70*100)</f>
        <v>0</v>
      </c>
      <c r="DD70" s="2846"/>
      <c r="DE70" s="2846"/>
      <c r="DF70" s="1093">
        <f>IF(DD70=0,0,(DE70-DD70)/DD70*100)</f>
        <v>0</v>
      </c>
      <c r="DG70" s="2846"/>
      <c r="DH70" s="2846"/>
      <c r="DI70" s="1093">
        <f>IF(DG70=0,0,(DH70-DG70)/DG70*100)</f>
        <v>0</v>
      </c>
      <c r="DJ70" s="2846"/>
      <c r="DK70" s="2846"/>
      <c r="DL70" s="1093">
        <f>IF(DJ70=0,0,(DK70-DJ70)/DJ70*100)</f>
        <v>0</v>
      </c>
      <c r="DM70" s="2846"/>
      <c r="DN70" s="2846"/>
      <c r="DO70" s="1093">
        <f>IF(DM70=0,0,(DN70-DM70)/DM70*100)</f>
        <v>0</v>
      </c>
      <c r="DP70" s="2846"/>
      <c r="DQ70" s="2846"/>
      <c r="DR70" s="1093">
        <f>IF(DP70=0,0,(DQ70-DP70)/DP70*100)</f>
        <v>0</v>
      </c>
      <c r="DS70" s="2846"/>
      <c r="DT70" s="2846"/>
      <c r="DU70" s="1093">
        <f>IF(DS70=0,0,(DT70-DS70)/DS70*100)</f>
        <v>0</v>
      </c>
      <c r="DV70" s="2846"/>
      <c r="DW70" s="2846"/>
      <c r="DX70" s="1093">
        <f>IF(DV70=0,0,(DW70-DV70)/DV70*100)</f>
        <v>0</v>
      </c>
      <c r="DY70" s="2846"/>
      <c r="DZ70" s="2846"/>
      <c r="EA70" s="1093">
        <f>IF(DY70=0,0,(DZ70-DY70)/DY70*100)</f>
        <v>0</v>
      </c>
      <c r="EB70" s="2846"/>
      <c r="EC70" s="2846"/>
      <c r="ED70" s="1093">
        <f>IF(EB70=0,0,(EC70-EB70)/EB70*100)</f>
        <v>0</v>
      </c>
      <c r="EE70" s="2846"/>
      <c r="EF70" s="2846"/>
      <c r="EG70" s="1093">
        <f>IF(EE70=0,0,(EF70-EE70)/EE70*100)</f>
        <v>0</v>
      </c>
      <c r="EH70" s="2846"/>
      <c r="EI70" s="2846"/>
      <c r="EJ70" s="1093">
        <f>IF(EH70=0,0,(EI70-EH70)/EH70*100)</f>
        <v>0</v>
      </c>
      <c r="EK70" s="2846"/>
      <c r="EL70" s="2846"/>
      <c r="EM70" s="1093">
        <f>IF(EK70=0,0,(EL70-EK70)/EK70*100)</f>
        <v>0</v>
      </c>
      <c r="EN70" s="2846"/>
      <c r="EO70" s="2846"/>
      <c r="EP70" s="1093">
        <f>IF(EN70=0,0,(EO70-EN70)/EN70*100)</f>
        <v>0</v>
      </c>
      <c r="EQ70" s="2846"/>
      <c r="ER70" s="2846"/>
      <c r="ES70" s="1093">
        <f>IF(EQ70=0,0,(ER70-EQ70)/EQ70*100)</f>
        <v>0</v>
      </c>
      <c r="ET70" s="2846"/>
      <c r="EU70" s="2846"/>
      <c r="EV70" s="1093">
        <f>IF(ET70=0,0,(EU70-ET70)/ET70*100)</f>
        <v>0</v>
      </c>
      <c r="EW70" s="2846"/>
      <c r="EX70" s="2846"/>
      <c r="EY70" s="1093">
        <f>IF(EW70=0,0,(EX70-EW70)/EW70*100)</f>
        <v>0</v>
      </c>
      <c r="EZ70" s="2846"/>
      <c r="FA70" s="2846"/>
      <c r="FB70" s="1093">
        <f>IF(EZ70=0,0,(FA70-EZ70)/EZ70*100)</f>
        <v>0</v>
      </c>
      <c r="FC70" s="2846"/>
      <c r="FD70" s="2846"/>
      <c r="FE70" s="1093">
        <f>IF(FC70=0,0,(FD70-FC70)/FC70*100)</f>
        <v>0</v>
      </c>
      <c r="FF70" s="2846"/>
      <c r="FG70" s="2846"/>
      <c r="FH70" s="1093">
        <f>IF(FF70=0,0,(FG70-FF70)/FF70*100)</f>
        <v>0</v>
      </c>
      <c r="FI70" s="2846"/>
      <c r="FJ70" s="2846"/>
      <c r="FK70" s="1093">
        <f>IF(FI70=0,0,(FJ70-FI70)/FI70*100)</f>
        <v>0</v>
      </c>
      <c r="FL70" s="2846"/>
      <c r="FM70" s="2846"/>
      <c r="FN70" s="1093">
        <f>IF(FL70=0,0,(FM70-FL70)/FL70*100)</f>
        <v>0</v>
      </c>
      <c r="FO70" s="2846"/>
      <c r="FP70" s="2846"/>
      <c r="FQ70" s="1093">
        <f>IF(FO70=0,0,(FP70-FO70)/FO70*100)</f>
        <v>0</v>
      </c>
      <c r="FR70" s="2846"/>
      <c r="FS70" s="2846"/>
      <c r="FT70" s="1093">
        <f>IF(FR70=0,0,(FS70-FR70)/FR70*100)</f>
        <v>0</v>
      </c>
      <c r="FU70" s="2846"/>
      <c r="FV70" s="2846"/>
      <c r="FW70" s="1093">
        <f>IF(FU70=0,0,(FV70-FU70)/FU70*100)</f>
        <v>0</v>
      </c>
      <c r="FX70" s="1304"/>
      <c r="FY70" s="1304"/>
      <c r="FZ70" s="1055" t="s">
        <v>2403</v>
      </c>
      <c r="GA70" s="1306"/>
      <c r="GB70" s="1306"/>
      <c r="GC70" s="1305"/>
      <c r="GD70" s="1305"/>
    </row>
    <row customHeight="1" ht="18.28125" hidden="1">
      <c r="A71" s="493"/>
      <c r="B71" s="925" cm="1" t="str">
        <f t="array" ref="B71:B71">B70</f>
        <v>false</v>
      </c>
      <c r="C71" s="493"/>
      <c r="D71" s="493"/>
      <c r="E71" s="840">
        <v>18.75</v>
      </c>
      <c r="F71" s="50" cm="1" t="str">
        <f t="array" ref="F71:F71">OFFSET(E71,-1,1)</f>
        <v>0</v>
      </c>
      <c r="G71" s="493"/>
      <c r="H71" s="493"/>
      <c r="I71" s="493"/>
      <c r="J71" s="493"/>
      <c r="K71" s="493"/>
      <c r="L71" s="493"/>
      <c r="M71" s="493"/>
      <c r="N71" s="493"/>
      <c r="O71" s="493"/>
      <c r="P71" s="493"/>
      <c r="Q71" s="493"/>
      <c r="R71" s="493"/>
      <c r="S71" s="493"/>
      <c r="T71" s="465">
        <f>AND(F71&gt;0,Y71&gt;0)</f>
        <v>0</v>
      </c>
      <c r="U71" s="493"/>
      <c r="V71" s="493"/>
      <c r="W71" s="493" t="s">
        <v>174</v>
      </c>
      <c r="X71" s="1596"/>
      <c r="Y71" s="1596">
        <v>0</v>
      </c>
      <c r="Z71" s="1545"/>
      <c r="AA71" s="5251" t="s">
        <v>175</v>
      </c>
      <c r="AB71" s="5252"/>
      <c r="AC71" s="865"/>
      <c r="AD71" s="1105"/>
      <c r="AE71" s="1106"/>
      <c r="AF71" s="1106"/>
      <c r="AG71" s="1105"/>
      <c r="AH71" s="1106"/>
      <c r="AI71" s="1106"/>
      <c r="AJ71" s="1105"/>
      <c r="AK71" s="1106"/>
      <c r="AL71" s="1106"/>
      <c r="AM71" s="1105"/>
      <c r="AN71" s="1106"/>
      <c r="AO71" s="1106"/>
      <c r="AP71" s="1105"/>
      <c r="AQ71" s="1106"/>
      <c r="AR71" s="1106"/>
      <c r="AS71" s="1105"/>
      <c r="AT71" s="1106"/>
      <c r="AU71" s="1106"/>
      <c r="AV71" s="1105"/>
      <c r="AW71" s="1106"/>
      <c r="AX71" s="1106"/>
      <c r="AY71" s="1105"/>
      <c r="AZ71" s="1106"/>
      <c r="BA71" s="1106"/>
      <c r="BB71" s="1105"/>
      <c r="BC71" s="1106"/>
      <c r="BD71" s="1106"/>
      <c r="BE71" s="1105"/>
      <c r="BF71" s="1106"/>
      <c r="BG71" s="1106"/>
      <c r="BH71" s="1105"/>
      <c r="BI71" s="1106"/>
      <c r="BJ71" s="1106"/>
      <c r="BK71" s="1105"/>
      <c r="BL71" s="1106"/>
      <c r="BM71" s="1106"/>
      <c r="BN71" s="1105"/>
      <c r="BO71" s="1106"/>
      <c r="BP71" s="1106"/>
      <c r="BQ71" s="1105"/>
      <c r="BR71" s="1106"/>
      <c r="BS71" s="1106"/>
      <c r="BT71" s="1105"/>
      <c r="BU71" s="1106"/>
      <c r="BV71" s="1106"/>
      <c r="BW71" s="1105"/>
      <c r="BX71" s="1106"/>
      <c r="BY71" s="1106"/>
      <c r="BZ71" s="1105"/>
      <c r="CA71" s="1106"/>
      <c r="CB71" s="1106"/>
      <c r="CC71" s="1105"/>
      <c r="CD71" s="1106"/>
      <c r="CE71" s="1106"/>
      <c r="CF71" s="1105"/>
      <c r="CG71" s="1106"/>
      <c r="CH71" s="1106"/>
      <c r="CI71" s="1105"/>
      <c r="CJ71" s="1106"/>
      <c r="CK71" s="1106"/>
      <c r="CL71" s="1105"/>
      <c r="CM71" s="1106"/>
      <c r="CN71" s="1106"/>
      <c r="CO71" s="1105"/>
      <c r="CP71" s="1106"/>
      <c r="CQ71" s="1106"/>
      <c r="CR71" s="1105"/>
      <c r="CS71" s="1106"/>
      <c r="CT71" s="1106"/>
      <c r="CU71" s="1105"/>
      <c r="CV71" s="1106"/>
      <c r="CW71" s="1106"/>
      <c r="CX71" s="1105"/>
      <c r="CY71" s="1106"/>
      <c r="CZ71" s="1106"/>
      <c r="DA71" s="1105"/>
      <c r="DB71" s="1106"/>
      <c r="DC71" s="1106"/>
      <c r="DD71" s="1105"/>
      <c r="DE71" s="1106"/>
      <c r="DF71" s="1106"/>
      <c r="DG71" s="1105"/>
      <c r="DH71" s="1106"/>
      <c r="DI71" s="1106"/>
      <c r="DJ71" s="1105"/>
      <c r="DK71" s="1106"/>
      <c r="DL71" s="1106"/>
      <c r="DM71" s="1105"/>
      <c r="DN71" s="1106"/>
      <c r="DO71" s="1106"/>
      <c r="DP71" s="1105"/>
      <c r="DQ71" s="1106"/>
      <c r="DR71" s="1106"/>
      <c r="DS71" s="1105"/>
      <c r="DT71" s="1106"/>
      <c r="DU71" s="1106"/>
      <c r="DV71" s="1105"/>
      <c r="DW71" s="1106"/>
      <c r="DX71" s="1106"/>
      <c r="DY71" s="1105"/>
      <c r="DZ71" s="1106"/>
      <c r="EA71" s="1106"/>
      <c r="EB71" s="1105"/>
      <c r="EC71" s="1106"/>
      <c r="ED71" s="1106"/>
      <c r="EE71" s="1105"/>
      <c r="EF71" s="1106"/>
      <c r="EG71" s="1106"/>
      <c r="EH71" s="1105"/>
      <c r="EI71" s="1106"/>
      <c r="EJ71" s="1106"/>
      <c r="EK71" s="1105"/>
      <c r="EL71" s="1106"/>
      <c r="EM71" s="1106"/>
      <c r="EN71" s="1105"/>
      <c r="EO71" s="1106"/>
      <c r="EP71" s="1106"/>
      <c r="EQ71" s="1105"/>
      <c r="ER71" s="1106"/>
      <c r="ES71" s="1106"/>
      <c r="ET71" s="1105"/>
      <c r="EU71" s="1106"/>
      <c r="EV71" s="1106"/>
      <c r="EW71" s="1105"/>
      <c r="EX71" s="1106"/>
      <c r="EY71" s="1106"/>
      <c r="EZ71" s="1105"/>
      <c r="FA71" s="1106"/>
      <c r="FB71" s="1106"/>
      <c r="FC71" s="1105"/>
      <c r="FD71" s="1106"/>
      <c r="FE71" s="1106"/>
      <c r="FF71" s="1105"/>
      <c r="FG71" s="1106"/>
      <c r="FH71" s="1106"/>
      <c r="FI71" s="1105"/>
      <c r="FJ71" s="1106"/>
      <c r="FK71" s="1106"/>
      <c r="FL71" s="1105"/>
      <c r="FM71" s="1106"/>
      <c r="FN71" s="1106"/>
      <c r="FO71" s="1105"/>
      <c r="FP71" s="1106"/>
      <c r="FQ71" s="1106"/>
      <c r="FR71" s="1105"/>
      <c r="FS71" s="1106"/>
      <c r="FT71" s="1106"/>
      <c r="FU71" s="1105"/>
      <c r="FV71" s="1106"/>
      <c r="FW71" s="1107"/>
      <c r="FX71" s="1304"/>
      <c r="FY71" s="1304"/>
      <c r="FZ71" s="1055"/>
      <c r="GA71" s="1306"/>
      <c r="GB71" s="1306"/>
      <c r="GC71" s="1305"/>
      <c r="GD71" s="632" t="b">
        <v>1</v>
      </c>
    </row>
    <row customHeight="1" ht="14.625" hidden="1">
      <c r="A72" s="493"/>
      <c r="B72" s="925" cm="1" t="str">
        <f t="array" ref="B72:B72">B71</f>
        <v>false</v>
      </c>
      <c r="C72" s="493"/>
      <c r="D72" s="493"/>
      <c r="E72" s="840">
        <v>15</v>
      </c>
      <c r="F72" s="50" cm="1" t="str">
        <f t="array" ref="F72:F72">OFFSET(E72,-1,1)</f>
        <v>0</v>
      </c>
      <c r="G72" s="493"/>
      <c r="H72" s="493" t="s">
        <v>2295</v>
      </c>
      <c r="I72" s="493" cm="1" t="str">
        <f t="array" ref="I72:I72">AB71</f>
        <v>0</v>
      </c>
      <c r="J72" s="493"/>
      <c r="K72" s="493"/>
      <c r="L72" s="493"/>
      <c r="M72" s="493"/>
      <c r="N72" s="493"/>
      <c r="O72" s="493"/>
      <c r="P72" s="493"/>
      <c r="Q72" s="493"/>
      <c r="R72" s="493"/>
      <c r="S72" s="493"/>
      <c r="T72" s="465" cm="1" t="str">
        <f t="array" ref="T72:T72">T71</f>
        <v>false</v>
      </c>
      <c r="U72" s="493"/>
      <c r="V72" s="493"/>
      <c r="W72" s="493"/>
      <c r="X72" s="1596"/>
      <c r="Y72" s="1596"/>
      <c r="Z72" s="1545"/>
      <c r="AA72" s="5251"/>
      <c r="AB72" s="904" t="s">
        <v>2370</v>
      </c>
      <c r="AC72" s="864" t="s">
        <v>2337</v>
      </c>
      <c r="AD72" s="2846">
        <f>IF(AD74=0,0,(AD73*AD74+AD75*AD76*IF(god=2026,3,6))/AD74)</f>
        <v>0</v>
      </c>
      <c r="AE72" s="2846">
        <f>IF(AE74=0,0,(AE73*AE74+AE75*AE76*IF(god=2026,3,6))/AE74)</f>
        <v>0</v>
      </c>
      <c r="AF72" s="1093">
        <f>IF(AD72=0,0,(AE72-AD72)/AD72*100)</f>
        <v>0</v>
      </c>
      <c r="AG72" s="2846">
        <f>IF(AG74=0,0,(AG73*AG74+AG75*AG76*IF(god=2025,3,6))/AG74)</f>
        <v>0</v>
      </c>
      <c r="AH72" s="2846">
        <f>IF(AH74=0,0,(AH73*AH74+AH75*AH76*IF(god=2025,3,6))/AH74)</f>
        <v>0</v>
      </c>
      <c r="AI72" s="1093">
        <f>IF(AG72=0,0,(AH72-AG72)/AG72*100)</f>
        <v>0</v>
      </c>
      <c r="AJ72" s="2846">
        <f>IF(AJ74=0,0,(AJ73*AJ74+AJ75*AJ76*6)/AJ74)</f>
        <v>0</v>
      </c>
      <c r="AK72" s="2846">
        <f>IF(AK74=0,0,(AK73*AK74+AK75*AK76*6)/AK74)</f>
        <v>0</v>
      </c>
      <c r="AL72" s="1093">
        <f>IF(AJ72=0,0,(AK72-AJ72)/AJ72*100)</f>
        <v>0</v>
      </c>
      <c r="AM72" s="2846">
        <f>IF(AM74=0,0,(AM73*AM74+AM75*AM76*6)/AM74)</f>
        <v>0</v>
      </c>
      <c r="AN72" s="2846">
        <f>IF(AN74=0,0,(AN73*AN74+AN75*AN76*6)/AN74)</f>
        <v>0</v>
      </c>
      <c r="AO72" s="1093">
        <f>IF(AM72=0,0,(AN72-AM72)/AM72*100)</f>
        <v>0</v>
      </c>
      <c r="AP72" s="2846">
        <f>IF(AP74=0,0,(AP73*AP74+AP75*AP76*6)/AP74)</f>
        <v>0</v>
      </c>
      <c r="AQ72" s="2846">
        <f>IF(AQ74=0,0,(AQ73*AQ74+AQ75*AQ76*6)/AQ74)</f>
        <v>0</v>
      </c>
      <c r="AR72" s="1093">
        <f>IF(AP72=0,0,(AQ72-AP72)/AP72*100)</f>
        <v>0</v>
      </c>
      <c r="AS72" s="2846">
        <f>IF(AS74=0,0,(AS73*AS74+AS75*AS76*6)/AS74)</f>
        <v>0</v>
      </c>
      <c r="AT72" s="2846">
        <f>IF(AT74=0,0,(AT73*AT74+AT75*AT76*6)/AT74)</f>
        <v>0</v>
      </c>
      <c r="AU72" s="1093">
        <f>IF(AS72=0,0,(AT72-AS72)/AS72*100)</f>
        <v>0</v>
      </c>
      <c r="AV72" s="2846">
        <f>IF(AV74=0,0,(AV73*AV74+AV75*AV76*6)/AV74)</f>
        <v>0</v>
      </c>
      <c r="AW72" s="2846">
        <f>IF(AW74=0,0,(AW73*AW74+AW75*AW76*6)/AW74)</f>
        <v>0</v>
      </c>
      <c r="AX72" s="1093">
        <f>IF(AV72=0,0,(AW72-AV72)/AV72*100)</f>
        <v>0</v>
      </c>
      <c r="AY72" s="2846">
        <f>IF(AY74=0,0,(AY73*AY74+AY75*AY76*6)/AY74)</f>
        <v>0</v>
      </c>
      <c r="AZ72" s="2846">
        <f>IF(AZ74=0,0,(AZ73*AZ74+AZ75*AZ76*6)/AZ74)</f>
        <v>0</v>
      </c>
      <c r="BA72" s="1093">
        <f>IF(AY72=0,0,(AZ72-AY72)/AY72*100)</f>
        <v>0</v>
      </c>
      <c r="BB72" s="2846">
        <f>IF(BB74=0,0,(BB73*BB74+BB75*BB76*6)/BB74)</f>
        <v>0</v>
      </c>
      <c r="BC72" s="2846">
        <f>IF(BC74=0,0,(BC73*BC74+BC75*BC76*6)/BC74)</f>
        <v>0</v>
      </c>
      <c r="BD72" s="1093">
        <f>IF(BB72=0,0,(BC72-BB72)/BB72*100)</f>
        <v>0</v>
      </c>
      <c r="BE72" s="2846">
        <f>IF(BE74=0,0,(BE73*BE74+BE75*BE76*6)/BE74)</f>
        <v>0</v>
      </c>
      <c r="BF72" s="2846">
        <f>IF(BF74=0,0,(BF73*BF74+BF75*BF76*6)/BF74)</f>
        <v>0</v>
      </c>
      <c r="BG72" s="1093">
        <f>IF(BE72=0,0,(BF72-BE72)/BE72*100)</f>
        <v>0</v>
      </c>
      <c r="BH72" s="2846">
        <f>IF(BH74=0,0,(BH73*BH74+BH75*BH76*6)/BH74)</f>
        <v>0</v>
      </c>
      <c r="BI72" s="2846">
        <f>IF(BI74=0,0,(BI73*BI74+BI75*BI76*6)/BI74)</f>
        <v>0</v>
      </c>
      <c r="BJ72" s="1093">
        <f>IF(BH72=0,0,(BI72-BH72)/BH72*100)</f>
        <v>0</v>
      </c>
      <c r="BK72" s="2846">
        <f>IF(BK74=0,0,(BK73*BK74+BK75*BK76*6)/BK74)</f>
        <v>0</v>
      </c>
      <c r="BL72" s="2846">
        <f>IF(BL74=0,0,(BL73*BL74+BL75*BL76*6)/BL74)</f>
        <v>0</v>
      </c>
      <c r="BM72" s="1093">
        <f>IF(BK72=0,0,(BL72-BK72)/BK72*100)</f>
        <v>0</v>
      </c>
      <c r="BN72" s="2846">
        <f>IF(BN74=0,0,(BN73*BN74+BN75*BN76*6)/BN74)</f>
        <v>0</v>
      </c>
      <c r="BO72" s="2846">
        <f>IF(BO74=0,0,(BO73*BO74+BO75*BO76*6)/BO74)</f>
        <v>0</v>
      </c>
      <c r="BP72" s="1093">
        <f>IF(BN72=0,0,(BO72-BN72)/BN72*100)</f>
        <v>0</v>
      </c>
      <c r="BQ72" s="2846">
        <f>IF(BQ74=0,0,(BQ73*BQ74+BQ75*BQ76*6)/BQ74)</f>
        <v>0</v>
      </c>
      <c r="BR72" s="2846">
        <f>IF(BR74=0,0,(BR73*BR74+BR75*BR76*6)/BR74)</f>
        <v>0</v>
      </c>
      <c r="BS72" s="1093">
        <f>IF(BQ72=0,0,(BR72-BQ72)/BQ72*100)</f>
        <v>0</v>
      </c>
      <c r="BT72" s="2846">
        <f>IF(BT74=0,0,(BT73*BT74+BT75*BT76*6)/BT74)</f>
        <v>0</v>
      </c>
      <c r="BU72" s="2846">
        <f>IF(BU74=0,0,(BU73*BU74+BU75*BU76*6)/BU74)</f>
        <v>0</v>
      </c>
      <c r="BV72" s="1093">
        <f>IF(BT72=0,0,(BU72-BT72)/BT72*100)</f>
        <v>0</v>
      </c>
      <c r="BW72" s="2846">
        <f>IF(BW74=0,0,(BW73*BW74+BW75*BW76*6)/BW74)</f>
        <v>0</v>
      </c>
      <c r="BX72" s="2846">
        <f>IF(BX74=0,0,(BX73*BX74+BX75*BX76*6)/BX74)</f>
        <v>0</v>
      </c>
      <c r="BY72" s="1093">
        <f>IF(BW72=0,0,(BX72-BW72)/BW72*100)</f>
        <v>0</v>
      </c>
      <c r="BZ72" s="2846">
        <f>IF(BZ74=0,0,(BZ73*BZ74+BZ75*BZ76*6)/BZ74)</f>
        <v>0</v>
      </c>
      <c r="CA72" s="2846">
        <f>IF(CA74=0,0,(CA73*CA74+CA75*CA76*6)/CA74)</f>
        <v>0</v>
      </c>
      <c r="CB72" s="1093">
        <f>IF(BZ72=0,0,(CA72-BZ72)/BZ72*100)</f>
        <v>0</v>
      </c>
      <c r="CC72" s="2846">
        <f>IF(CC74=0,0,(CC73*CC74+CC75*CC76*6)/CC74)</f>
        <v>0</v>
      </c>
      <c r="CD72" s="2846">
        <f>IF(CD74=0,0,(CD73*CD74+CD75*CD76*6)/CD74)</f>
        <v>0</v>
      </c>
      <c r="CE72" s="1093">
        <f>IF(CC72=0,0,(CD72-CC72)/CC72*100)</f>
        <v>0</v>
      </c>
      <c r="CF72" s="2846">
        <f>IF(CF74=0,0,(CF73*CF74+CF75*CF76*6)/CF74)</f>
        <v>0</v>
      </c>
      <c r="CG72" s="2846">
        <f>IF(CG74=0,0,(CG73*CG74+CG75*CG76*6)/CG74)</f>
        <v>0</v>
      </c>
      <c r="CH72" s="1093">
        <f>IF(CF72=0,0,(CG72-CF72)/CF72*100)</f>
        <v>0</v>
      </c>
      <c r="CI72" s="2846">
        <f>IF(CI74=0,0,(CI73*CI74+CI75*CI76*6)/CI74)</f>
        <v>0</v>
      </c>
      <c r="CJ72" s="2846">
        <f>IF(CJ74=0,0,(CJ73*CJ74+CJ75*CJ76*6)/CJ74)</f>
        <v>0</v>
      </c>
      <c r="CK72" s="1093">
        <f>IF(CI72=0,0,(CJ72-CI72)/CI72*100)</f>
        <v>0</v>
      </c>
      <c r="CL72" s="2846">
        <f>IF(CL74=0,0,(CL73*CL74+CL75*CL76*6)/CL74)</f>
        <v>0</v>
      </c>
      <c r="CM72" s="2846">
        <f>IF(CM74=0,0,(CM73*CM74+CM75*CM76*6)/CM74)</f>
        <v>0</v>
      </c>
      <c r="CN72" s="1093">
        <f>IF(CL72=0,0,(CM72-CL72)/CL72*100)</f>
        <v>0</v>
      </c>
      <c r="CO72" s="2846">
        <f>IF(CO74=0,0,(CO73*CO74+CO75*CO76*6)/CO74)</f>
        <v>0</v>
      </c>
      <c r="CP72" s="2846">
        <f>IF(CP74=0,0,(CP73*CP74+CP75*CP76*6)/CP74)</f>
        <v>0</v>
      </c>
      <c r="CQ72" s="1093">
        <f>IF(CO72=0,0,(CP72-CO72)/CO72*100)</f>
        <v>0</v>
      </c>
      <c r="CR72" s="2846">
        <f>IF(CR74=0,0,(CR73*CR74+CR75*CR76*6)/CR74)</f>
        <v>0</v>
      </c>
      <c r="CS72" s="2846">
        <f>IF(CS74=0,0,(CS73*CS74+CS75*CS76*6)/CS74)</f>
        <v>0</v>
      </c>
      <c r="CT72" s="1093">
        <f>IF(CR72=0,0,(CS72-CR72)/CR72*100)</f>
        <v>0</v>
      </c>
      <c r="CU72" s="2846">
        <f>IF(CU74=0,0,(CU73*CU74+CU75*CU76*6)/CU74)</f>
        <v>0</v>
      </c>
      <c r="CV72" s="2846">
        <f>IF(CV74=0,0,(CV73*CV74+CV75*CV76*6)/CV74)</f>
        <v>0</v>
      </c>
      <c r="CW72" s="1093">
        <f>IF(CU72=0,0,(CV72-CU72)/CU72*100)</f>
        <v>0</v>
      </c>
      <c r="CX72" s="2846">
        <f>IF(CX74=0,0,(CX73*CX74+CX75*CX76*6)/CX74)</f>
        <v>0</v>
      </c>
      <c r="CY72" s="2846">
        <f>IF(CY74=0,0,(CY73*CY74+CY75*CY76*6)/CY74)</f>
        <v>0</v>
      </c>
      <c r="CZ72" s="1093">
        <f>IF(CX72=0,0,(CY72-CX72)/CX72*100)</f>
        <v>0</v>
      </c>
      <c r="DA72" s="2846">
        <f>IF(DA74=0,0,(DA73*DA74+DA75*DA76*6)/DA74)</f>
        <v>0</v>
      </c>
      <c r="DB72" s="2846">
        <f>IF(DB74=0,0,(DB73*DB74+DB75*DB76*6)/DB74)</f>
        <v>0</v>
      </c>
      <c r="DC72" s="1093">
        <f>IF(DA72=0,0,(DB72-DA72)/DA72*100)</f>
        <v>0</v>
      </c>
      <c r="DD72" s="2846">
        <f>IF(DD74=0,0,(DD73*DD74+DD75*DD76*6)/DD74)</f>
        <v>0</v>
      </c>
      <c r="DE72" s="2846">
        <f>IF(DE74=0,0,(DE73*DE74+DE75*DE76*6)/DE74)</f>
        <v>0</v>
      </c>
      <c r="DF72" s="1093">
        <f>IF(DD72=0,0,(DE72-DD72)/DD72*100)</f>
        <v>0</v>
      </c>
      <c r="DG72" s="2846">
        <f>IF(DG74=0,0,(DG73*DG74+DG75*DG76*6)/DG74)</f>
        <v>0</v>
      </c>
      <c r="DH72" s="2846">
        <f>IF(DH74=0,0,(DH73*DH74+DH75*DH76*6)/DH74)</f>
        <v>0</v>
      </c>
      <c r="DI72" s="1093">
        <f>IF(DG72=0,0,(DH72-DG72)/DG72*100)</f>
        <v>0</v>
      </c>
      <c r="DJ72" s="2846">
        <f>IF(DJ74=0,0,(DJ73*DJ74+DJ75*DJ76*6)/DJ74)</f>
        <v>0</v>
      </c>
      <c r="DK72" s="2846">
        <f>IF(DK74=0,0,(DK73*DK74+DK75*DK76*6)/DK74)</f>
        <v>0</v>
      </c>
      <c r="DL72" s="1093">
        <f>IF(DJ72=0,0,(DK72-DJ72)/DJ72*100)</f>
        <v>0</v>
      </c>
      <c r="DM72" s="2846">
        <f>IF(DM74=0,0,(DM73*DM74+DM75*DM76*6)/DM74)</f>
        <v>0</v>
      </c>
      <c r="DN72" s="2846">
        <f>IF(DN74=0,0,(DN73*DN74+DN75*DN76*6)/DN74)</f>
        <v>0</v>
      </c>
      <c r="DO72" s="1093">
        <f>IF(DM72=0,0,(DN72-DM72)/DM72*100)</f>
        <v>0</v>
      </c>
      <c r="DP72" s="2846">
        <f>IF(DP74=0,0,(DP73*DP74+DP75*DP76*6)/DP74)</f>
        <v>0</v>
      </c>
      <c r="DQ72" s="2846">
        <f>IF(DQ74=0,0,(DQ73*DQ74+DQ75*DQ76*6)/DQ74)</f>
        <v>0</v>
      </c>
      <c r="DR72" s="1093">
        <f>IF(DP72=0,0,(DQ72-DP72)/DP72*100)</f>
        <v>0</v>
      </c>
      <c r="DS72" s="2846">
        <f>IF(DS74=0,0,(DS73*DS74+DS75*DS76*6)/DS74)</f>
        <v>0</v>
      </c>
      <c r="DT72" s="2846">
        <f>IF(DT74=0,0,(DT73*DT74+DT75*DT76*6)/DT74)</f>
        <v>0</v>
      </c>
      <c r="DU72" s="1093">
        <f>IF(DS72=0,0,(DT72-DS72)/DS72*100)</f>
        <v>0</v>
      </c>
      <c r="DV72" s="2846">
        <f>IF(DV74=0,0,(DV73*DV74+DV75*DV76*6)/DV74)</f>
        <v>0</v>
      </c>
      <c r="DW72" s="2846">
        <f>IF(DW74=0,0,(DW73*DW74+DW75*DW76*6)/DW74)</f>
        <v>0</v>
      </c>
      <c r="DX72" s="1093">
        <f>IF(DV72=0,0,(DW72-DV72)/DV72*100)</f>
        <v>0</v>
      </c>
      <c r="DY72" s="2846">
        <f>IF(DY74=0,0,(DY73*DY74+DY75*DY76*6)/DY74)</f>
        <v>0</v>
      </c>
      <c r="DZ72" s="2846">
        <f>IF(DZ74=0,0,(DZ73*DZ74+DZ75*DZ76*6)/DZ74)</f>
        <v>0</v>
      </c>
      <c r="EA72" s="1093">
        <f>IF(DY72=0,0,(DZ72-DY72)/DY72*100)</f>
        <v>0</v>
      </c>
      <c r="EB72" s="2846">
        <f>IF(EB74=0,0,(EB73*EB74+EB75*EB76*6)/EB74)</f>
        <v>0</v>
      </c>
      <c r="EC72" s="2846">
        <f>IF(EC74=0,0,(EC73*EC74+EC75*EC76*6)/EC74)</f>
        <v>0</v>
      </c>
      <c r="ED72" s="1093">
        <f>IF(EB72=0,0,(EC72-EB72)/EB72*100)</f>
        <v>0</v>
      </c>
      <c r="EE72" s="2846">
        <f>IF(EE74=0,0,(EE73*EE74+EE75*EE76*6)/EE74)</f>
        <v>0</v>
      </c>
      <c r="EF72" s="2846">
        <f>IF(EF74=0,0,(EF73*EF74+EF75*EF76*6)/EF74)</f>
        <v>0</v>
      </c>
      <c r="EG72" s="1093">
        <f>IF(EE72=0,0,(EF72-EE72)/EE72*100)</f>
        <v>0</v>
      </c>
      <c r="EH72" s="2846">
        <f>IF(EH74=0,0,(EH73*EH74+EH75*EH76*6)/EH74)</f>
        <v>0</v>
      </c>
      <c r="EI72" s="2846">
        <f>IF(EI74=0,0,(EI73*EI74+EI75*EI76*6)/EI74)</f>
        <v>0</v>
      </c>
      <c r="EJ72" s="1093">
        <f>IF(EH72=0,0,(EI72-EH72)/EH72*100)</f>
        <v>0</v>
      </c>
      <c r="EK72" s="2846">
        <f>IF(EK74=0,0,(EK73*EK74+EK75*EK76*6)/EK74)</f>
        <v>0</v>
      </c>
      <c r="EL72" s="2846">
        <f>IF(EL74=0,0,(EL73*EL74+EL75*EL76*6)/EL74)</f>
        <v>0</v>
      </c>
      <c r="EM72" s="1093">
        <f>IF(EK72=0,0,(EL72-EK72)/EK72*100)</f>
        <v>0</v>
      </c>
      <c r="EN72" s="2846">
        <f>IF(EN74=0,0,(EN73*EN74+EN75*EN76*6)/EN74)</f>
        <v>0</v>
      </c>
      <c r="EO72" s="2846">
        <f>IF(EO74=0,0,(EO73*EO74+EO75*EO76*6)/EO74)</f>
        <v>0</v>
      </c>
      <c r="EP72" s="1093">
        <f>IF(EN72=0,0,(EO72-EN72)/EN72*100)</f>
        <v>0</v>
      </c>
      <c r="EQ72" s="2846">
        <f>IF(EQ74=0,0,(EQ73*EQ74+EQ75*EQ76*6)/EQ74)</f>
        <v>0</v>
      </c>
      <c r="ER72" s="2846">
        <f>IF(ER74=0,0,(ER73*ER74+ER75*ER76*6)/ER74)</f>
        <v>0</v>
      </c>
      <c r="ES72" s="1093">
        <f>IF(EQ72=0,0,(ER72-EQ72)/EQ72*100)</f>
        <v>0</v>
      </c>
      <c r="ET72" s="2846">
        <f>IF(ET74=0,0,(ET73*ET74+ET75*ET76*6)/ET74)</f>
        <v>0</v>
      </c>
      <c r="EU72" s="2846">
        <f>IF(EU74=0,0,(EU73*EU74+EU75*EU76*6)/EU74)</f>
        <v>0</v>
      </c>
      <c r="EV72" s="1093">
        <f>IF(ET72=0,0,(EU72-ET72)/ET72*100)</f>
        <v>0</v>
      </c>
      <c r="EW72" s="2846">
        <f>IF(EW74=0,0,(EW73*EW74+EW75*EW76*6)/EW74)</f>
        <v>0</v>
      </c>
      <c r="EX72" s="2846">
        <f>IF(EX74=0,0,(EX73*EX74+EX75*EX76*6)/EX74)</f>
        <v>0</v>
      </c>
      <c r="EY72" s="1093">
        <f>IF(EW72=0,0,(EX72-EW72)/EW72*100)</f>
        <v>0</v>
      </c>
      <c r="EZ72" s="2846">
        <f>IF(EZ74=0,0,(EZ73*EZ74+EZ75*EZ76*6)/EZ74)</f>
        <v>0</v>
      </c>
      <c r="FA72" s="2846">
        <f>IF(FA74=0,0,(FA73*FA74+FA75*FA76*6)/FA74)</f>
        <v>0</v>
      </c>
      <c r="FB72" s="1093">
        <f>IF(EZ72=0,0,(FA72-EZ72)/EZ72*100)</f>
        <v>0</v>
      </c>
      <c r="FC72" s="2846">
        <f>IF(FC74=0,0,(FC73*FC74+FC75*FC76*6)/FC74)</f>
        <v>0</v>
      </c>
      <c r="FD72" s="2846">
        <f>IF(FD74=0,0,(FD73*FD74+FD75*FD76*6)/FD74)</f>
        <v>0</v>
      </c>
      <c r="FE72" s="1093">
        <f>IF(FC72=0,0,(FD72-FC72)/FC72*100)</f>
        <v>0</v>
      </c>
      <c r="FF72" s="2846">
        <f>IF(FF74=0,0,(FF73*FF74+FF75*FF76*6)/FF74)</f>
        <v>0</v>
      </c>
      <c r="FG72" s="2846">
        <f>IF(FG74=0,0,(FG73*FG74+FG75*FG76*6)/FG74)</f>
        <v>0</v>
      </c>
      <c r="FH72" s="1093">
        <f>IF(FF72=0,0,(FG72-FF72)/FF72*100)</f>
        <v>0</v>
      </c>
      <c r="FI72" s="2846">
        <f>IF(FI74=0,0,(FI73*FI74+FI75*FI76*6)/FI74)</f>
        <v>0</v>
      </c>
      <c r="FJ72" s="2846">
        <f>IF(FJ74=0,0,(FJ73*FJ74+FJ75*FJ76*6)/FJ74)</f>
        <v>0</v>
      </c>
      <c r="FK72" s="1093">
        <f>IF(FI72=0,0,(FJ72-FI72)/FI72*100)</f>
        <v>0</v>
      </c>
      <c r="FL72" s="2846">
        <f>IF(FL74=0,0,(FL73*FL74+FL75*FL76*6)/FL74)</f>
        <v>0</v>
      </c>
      <c r="FM72" s="2846">
        <f>IF(FM74=0,0,(FM73*FM74+FM75*FM76*6)/FM74)</f>
        <v>0</v>
      </c>
      <c r="FN72" s="1093">
        <f>IF(FL72=0,0,(FM72-FL72)/FL72*100)</f>
        <v>0</v>
      </c>
      <c r="FO72" s="2846">
        <f>IF(FO74=0,0,(FO73*FO74+FO75*FO76*6)/FO74)</f>
        <v>0</v>
      </c>
      <c r="FP72" s="2846">
        <f>IF(FP74=0,0,(FP73*FP74+FP75*FP76*6)/FP74)</f>
        <v>0</v>
      </c>
      <c r="FQ72" s="1093">
        <f>IF(FO72=0,0,(FP72-FO72)/FO72*100)</f>
        <v>0</v>
      </c>
      <c r="FR72" s="2846">
        <f>IF(FR74=0,0,(FR73*FR74+FR75*FR76*6)/FR74)</f>
        <v>0</v>
      </c>
      <c r="FS72" s="2846">
        <f>IF(FS74=0,0,(FS73*FS74+FS75*FS76*6)/FS74)</f>
        <v>0</v>
      </c>
      <c r="FT72" s="1093">
        <f>IF(FR72=0,0,(FS72-FR72)/FR72*100)</f>
        <v>0</v>
      </c>
      <c r="FU72" s="2846">
        <f>IF(FU74=0,0,(FU73*FU74+FU75*FU76*6)/FU74)</f>
        <v>0</v>
      </c>
      <c r="FV72" s="2846">
        <f>IF(FV74=0,0,(FV73*FV74+FV75*FV76*6)/FV74)</f>
        <v>0</v>
      </c>
      <c r="FW72" s="1093">
        <f>IF(FU72=0,0,(FV72-FU72)/FU72*100)</f>
        <v>0</v>
      </c>
      <c r="FX72" s="1304"/>
      <c r="FY72" s="1304"/>
      <c r="FZ72" s="1055" t="s">
        <v>2404</v>
      </c>
      <c r="GA72" s="1015" t="s">
        <v>1594</v>
      </c>
      <c r="GB72" s="1057" cm="1" t="str">
        <f t="array" ref="GB72:GB72">AB71</f>
        <v>0</v>
      </c>
      <c r="GC72" s="1305"/>
      <c r="GD72" s="1305"/>
    </row>
    <row customHeight="1" ht="14.625" hidden="1">
      <c r="A73" s="493"/>
      <c r="B73" s="925" cm="1" t="str">
        <f t="array" ref="B73:B73">B72</f>
        <v>false</v>
      </c>
      <c r="C73" s="493"/>
      <c r="D73" s="493"/>
      <c r="E73" s="840">
        <v>15</v>
      </c>
      <c r="F73" s="50" cm="1" t="str">
        <f t="array" ref="F73:F73">OFFSET(E73,-1,1)</f>
        <v>0</v>
      </c>
      <c r="G73" s="493"/>
      <c r="H73" s="493" t="s">
        <v>2299</v>
      </c>
      <c r="I73" s="493" cm="1" t="str">
        <f t="array" ref="I73:I73">I72</f>
        <v>0</v>
      </c>
      <c r="J73" s="493"/>
      <c r="K73" s="493"/>
      <c r="L73" s="493"/>
      <c r="M73" s="493"/>
      <c r="N73" s="493"/>
      <c r="O73" s="493"/>
      <c r="P73" s="493"/>
      <c r="Q73" s="493"/>
      <c r="R73" s="493"/>
      <c r="S73" s="493"/>
      <c r="T73" s="465" cm="1" t="str">
        <f t="array" ref="T73:T73">T72</f>
        <v>false</v>
      </c>
      <c r="U73" s="493"/>
      <c r="V73" s="493"/>
      <c r="W73" s="493"/>
      <c r="X73" s="1596"/>
      <c r="Y73" s="1596"/>
      <c r="Z73" s="1545"/>
      <c r="AA73" s="5251"/>
      <c r="AB73" s="904" t="str">
        <f>"ставка платы за "&amp;IF(Q29="Водоснабжение","потребление 1 куб.м холодной воды","объем принятых сточных вод")</f>
        <v>ставка платы за объем принятых сточных вод</v>
      </c>
      <c r="AC73" s="864" t="s">
        <v>2337</v>
      </c>
      <c r="AD73" s="2846"/>
      <c r="AE73" s="2846"/>
      <c r="AF73" s="1093">
        <f>IF(AD73=0,0,(AE73-AD73)/AD73*100)</f>
        <v>0</v>
      </c>
      <c r="AG73" s="2846"/>
      <c r="AH73" s="2846"/>
      <c r="AI73" s="1093">
        <f>IF(AG73=0,0,(AH73-AG73)/AG73*100)</f>
        <v>0</v>
      </c>
      <c r="AJ73" s="2846"/>
      <c r="AK73" s="2846"/>
      <c r="AL73" s="1093">
        <f>IF(AJ73=0,0,(AK73-AJ73)/AJ73*100)</f>
        <v>0</v>
      </c>
      <c r="AM73" s="2846"/>
      <c r="AN73" s="2846"/>
      <c r="AO73" s="1093">
        <f>IF(AM73=0,0,(AN73-AM73)/AM73*100)</f>
        <v>0</v>
      </c>
      <c r="AP73" s="2846"/>
      <c r="AQ73" s="2846"/>
      <c r="AR73" s="1093">
        <f>IF(AP73=0,0,(AQ73-AP73)/AP73*100)</f>
        <v>0</v>
      </c>
      <c r="AS73" s="2846"/>
      <c r="AT73" s="2846"/>
      <c r="AU73" s="1093">
        <f>IF(AS73=0,0,(AT73-AS73)/AS73*100)</f>
        <v>0</v>
      </c>
      <c r="AV73" s="2846"/>
      <c r="AW73" s="2846"/>
      <c r="AX73" s="1093">
        <f>IF(AV73=0,0,(AW73-AV73)/AV73*100)</f>
        <v>0</v>
      </c>
      <c r="AY73" s="2846"/>
      <c r="AZ73" s="2846"/>
      <c r="BA73" s="1093">
        <f>IF(AY73=0,0,(AZ73-AY73)/AY73*100)</f>
        <v>0</v>
      </c>
      <c r="BB73" s="2846"/>
      <c r="BC73" s="2846"/>
      <c r="BD73" s="1093">
        <f>IF(BB73=0,0,(BC73-BB73)/BB73*100)</f>
        <v>0</v>
      </c>
      <c r="BE73" s="2846"/>
      <c r="BF73" s="2846"/>
      <c r="BG73" s="1093">
        <f>IF(BE73=0,0,(BF73-BE73)/BE73*100)</f>
        <v>0</v>
      </c>
      <c r="BH73" s="2846"/>
      <c r="BI73" s="2846"/>
      <c r="BJ73" s="1093">
        <f>IF(BH73=0,0,(BI73-BH73)/BH73*100)</f>
        <v>0</v>
      </c>
      <c r="BK73" s="2846"/>
      <c r="BL73" s="2846"/>
      <c r="BM73" s="1093">
        <f>IF(BK73=0,0,(BL73-BK73)/BK73*100)</f>
        <v>0</v>
      </c>
      <c r="BN73" s="2846"/>
      <c r="BO73" s="2846"/>
      <c r="BP73" s="1093">
        <f>IF(BN73=0,0,(BO73-BN73)/BN73*100)</f>
        <v>0</v>
      </c>
      <c r="BQ73" s="2846"/>
      <c r="BR73" s="2846"/>
      <c r="BS73" s="1093">
        <f>IF(BQ73=0,0,(BR73-BQ73)/BQ73*100)</f>
        <v>0</v>
      </c>
      <c r="BT73" s="2846"/>
      <c r="BU73" s="2846"/>
      <c r="BV73" s="1093">
        <f>IF(BT73=0,0,(BU73-BT73)/BT73*100)</f>
        <v>0</v>
      </c>
      <c r="BW73" s="2846"/>
      <c r="BX73" s="2846"/>
      <c r="BY73" s="1093">
        <f>IF(BW73=0,0,(BX73-BW73)/BW73*100)</f>
        <v>0</v>
      </c>
      <c r="BZ73" s="2846"/>
      <c r="CA73" s="2846"/>
      <c r="CB73" s="1093">
        <f>IF(BZ73=0,0,(CA73-BZ73)/BZ73*100)</f>
        <v>0</v>
      </c>
      <c r="CC73" s="2846"/>
      <c r="CD73" s="2846"/>
      <c r="CE73" s="1093">
        <f>IF(CC73=0,0,(CD73-CC73)/CC73*100)</f>
        <v>0</v>
      </c>
      <c r="CF73" s="2846"/>
      <c r="CG73" s="2846"/>
      <c r="CH73" s="1093">
        <f>IF(CF73=0,0,(CG73-CF73)/CF73*100)</f>
        <v>0</v>
      </c>
      <c r="CI73" s="2846"/>
      <c r="CJ73" s="2846"/>
      <c r="CK73" s="1093">
        <f>IF(CI73=0,0,(CJ73-CI73)/CI73*100)</f>
        <v>0</v>
      </c>
      <c r="CL73" s="2846"/>
      <c r="CM73" s="2846"/>
      <c r="CN73" s="1093">
        <f>IF(CL73=0,0,(CM73-CL73)/CL73*100)</f>
        <v>0</v>
      </c>
      <c r="CO73" s="2846"/>
      <c r="CP73" s="2846"/>
      <c r="CQ73" s="1093">
        <f>IF(CO73=0,0,(CP73-CO73)/CO73*100)</f>
        <v>0</v>
      </c>
      <c r="CR73" s="2846"/>
      <c r="CS73" s="2846"/>
      <c r="CT73" s="1093">
        <f>IF(CR73=0,0,(CS73-CR73)/CR73*100)</f>
        <v>0</v>
      </c>
      <c r="CU73" s="2846"/>
      <c r="CV73" s="2846"/>
      <c r="CW73" s="1093">
        <f>IF(CU73=0,0,(CV73-CU73)/CU73*100)</f>
        <v>0</v>
      </c>
      <c r="CX73" s="2846"/>
      <c r="CY73" s="2846"/>
      <c r="CZ73" s="1093">
        <f>IF(CX73=0,0,(CY73-CX73)/CX73*100)</f>
        <v>0</v>
      </c>
      <c r="DA73" s="2846"/>
      <c r="DB73" s="2846"/>
      <c r="DC73" s="1093">
        <f>IF(DA73=0,0,(DB73-DA73)/DA73*100)</f>
        <v>0</v>
      </c>
      <c r="DD73" s="2846"/>
      <c r="DE73" s="2846"/>
      <c r="DF73" s="1093">
        <f>IF(DD73=0,0,(DE73-DD73)/DD73*100)</f>
        <v>0</v>
      </c>
      <c r="DG73" s="2846"/>
      <c r="DH73" s="2846"/>
      <c r="DI73" s="1093">
        <f>IF(DG73=0,0,(DH73-DG73)/DG73*100)</f>
        <v>0</v>
      </c>
      <c r="DJ73" s="2846"/>
      <c r="DK73" s="2846"/>
      <c r="DL73" s="1093">
        <f>IF(DJ73=0,0,(DK73-DJ73)/DJ73*100)</f>
        <v>0</v>
      </c>
      <c r="DM73" s="2846"/>
      <c r="DN73" s="2846"/>
      <c r="DO73" s="1093">
        <f>IF(DM73=0,0,(DN73-DM73)/DM73*100)</f>
        <v>0</v>
      </c>
      <c r="DP73" s="2846"/>
      <c r="DQ73" s="2846"/>
      <c r="DR73" s="1093">
        <f>IF(DP73=0,0,(DQ73-DP73)/DP73*100)</f>
        <v>0</v>
      </c>
      <c r="DS73" s="2846"/>
      <c r="DT73" s="2846"/>
      <c r="DU73" s="1093">
        <f>IF(DS73=0,0,(DT73-DS73)/DS73*100)</f>
        <v>0</v>
      </c>
      <c r="DV73" s="2846"/>
      <c r="DW73" s="2846"/>
      <c r="DX73" s="1093">
        <f>IF(DV73=0,0,(DW73-DV73)/DV73*100)</f>
        <v>0</v>
      </c>
      <c r="DY73" s="2846"/>
      <c r="DZ73" s="2846"/>
      <c r="EA73" s="1093">
        <f>IF(DY73=0,0,(DZ73-DY73)/DY73*100)</f>
        <v>0</v>
      </c>
      <c r="EB73" s="2846"/>
      <c r="EC73" s="2846"/>
      <c r="ED73" s="1093">
        <f>IF(EB73=0,0,(EC73-EB73)/EB73*100)</f>
        <v>0</v>
      </c>
      <c r="EE73" s="2846"/>
      <c r="EF73" s="2846"/>
      <c r="EG73" s="1093">
        <f>IF(EE73=0,0,(EF73-EE73)/EE73*100)</f>
        <v>0</v>
      </c>
      <c r="EH73" s="2846"/>
      <c r="EI73" s="2846"/>
      <c r="EJ73" s="1093">
        <f>IF(EH73=0,0,(EI73-EH73)/EH73*100)</f>
        <v>0</v>
      </c>
      <c r="EK73" s="2846"/>
      <c r="EL73" s="2846"/>
      <c r="EM73" s="1093">
        <f>IF(EK73=0,0,(EL73-EK73)/EK73*100)</f>
        <v>0</v>
      </c>
      <c r="EN73" s="2846"/>
      <c r="EO73" s="2846"/>
      <c r="EP73" s="1093">
        <f>IF(EN73=0,0,(EO73-EN73)/EN73*100)</f>
        <v>0</v>
      </c>
      <c r="EQ73" s="2846"/>
      <c r="ER73" s="2846"/>
      <c r="ES73" s="1093">
        <f>IF(EQ73=0,0,(ER73-EQ73)/EQ73*100)</f>
        <v>0</v>
      </c>
      <c r="ET73" s="2846"/>
      <c r="EU73" s="2846"/>
      <c r="EV73" s="1093">
        <f>IF(ET73=0,0,(EU73-ET73)/ET73*100)</f>
        <v>0</v>
      </c>
      <c r="EW73" s="2846"/>
      <c r="EX73" s="2846"/>
      <c r="EY73" s="1093">
        <f>IF(EW73=0,0,(EX73-EW73)/EW73*100)</f>
        <v>0</v>
      </c>
      <c r="EZ73" s="2846"/>
      <c r="FA73" s="2846"/>
      <c r="FB73" s="1093">
        <f>IF(EZ73=0,0,(FA73-EZ73)/EZ73*100)</f>
        <v>0</v>
      </c>
      <c r="FC73" s="2846"/>
      <c r="FD73" s="2846"/>
      <c r="FE73" s="1093">
        <f>IF(FC73=0,0,(FD73-FC73)/FC73*100)</f>
        <v>0</v>
      </c>
      <c r="FF73" s="2846"/>
      <c r="FG73" s="2846"/>
      <c r="FH73" s="1093">
        <f>IF(FF73=0,0,(FG73-FF73)/FF73*100)</f>
        <v>0</v>
      </c>
      <c r="FI73" s="2846"/>
      <c r="FJ73" s="2846"/>
      <c r="FK73" s="1093">
        <f>IF(FI73=0,0,(FJ73-FI73)/FI73*100)</f>
        <v>0</v>
      </c>
      <c r="FL73" s="2846"/>
      <c r="FM73" s="2846"/>
      <c r="FN73" s="1093">
        <f>IF(FL73=0,0,(FM73-FL73)/FL73*100)</f>
        <v>0</v>
      </c>
      <c r="FO73" s="2846"/>
      <c r="FP73" s="2846"/>
      <c r="FQ73" s="1093">
        <f>IF(FO73=0,0,(FP73-FO73)/FO73*100)</f>
        <v>0</v>
      </c>
      <c r="FR73" s="2846"/>
      <c r="FS73" s="2846"/>
      <c r="FT73" s="1093">
        <f>IF(FR73=0,0,(FS73-FR73)/FR73*100)</f>
        <v>0</v>
      </c>
      <c r="FU73" s="2846"/>
      <c r="FV73" s="2846"/>
      <c r="FW73" s="1093">
        <f>IF(FU73=0,0,(FV73-FU73)/FU73*100)</f>
        <v>0</v>
      </c>
      <c r="FX73" s="1304"/>
      <c r="FY73" s="1304"/>
      <c r="FZ73" s="1055" t="s">
        <v>2405</v>
      </c>
      <c r="GA73" s="1015" t="s">
        <v>1594</v>
      </c>
      <c r="GB73" s="1015" cm="1" t="str">
        <f t="array" ref="GB73:GB73">GB72</f>
        <v>0</v>
      </c>
      <c r="GC73" s="1305"/>
      <c r="GD73" s="1305"/>
    </row>
    <row customHeight="1" ht="14.625" hidden="1">
      <c r="A74" s="493"/>
      <c r="B74" s="925" cm="1" t="str">
        <f t="array" ref="B74:B74">B73</f>
        <v>false</v>
      </c>
      <c r="C74" s="493"/>
      <c r="D74" s="493"/>
      <c r="E74" s="840">
        <v>15</v>
      </c>
      <c r="F74" s="50" cm="1" t="str">
        <f t="array" ref="F74:F74">OFFSET(E74,-1,1)</f>
        <v>0</v>
      </c>
      <c r="G74" s="493"/>
      <c r="H74" s="493" t="s">
        <v>2374</v>
      </c>
      <c r="I74" s="493" cm="1" t="str">
        <f t="array" ref="I74:I74">I73</f>
        <v>0</v>
      </c>
      <c r="J74" s="493"/>
      <c r="K74" s="493"/>
      <c r="L74" s="493"/>
      <c r="M74" s="493"/>
      <c r="N74" s="493"/>
      <c r="O74" s="493"/>
      <c r="P74" s="493"/>
      <c r="Q74" s="493"/>
      <c r="R74" s="493"/>
      <c r="S74" s="493"/>
      <c r="T74" s="465" cm="1" t="str">
        <f t="array" ref="T74:T74">T73</f>
        <v>false</v>
      </c>
      <c r="U74" s="493"/>
      <c r="V74" s="493"/>
      <c r="W74" s="493"/>
      <c r="X74" s="1596"/>
      <c r="Y74" s="1596"/>
      <c r="Z74" s="1545"/>
      <c r="AA74" s="5251"/>
      <c r="AB74" s="904" t="str">
        <f>"объём "&amp;IF(Q29="Водоснабжение","потребления холодной воды","водоотведения")</f>
        <v>объём водоотведения</v>
      </c>
      <c r="AC74" s="864" t="s">
        <v>1247</v>
      </c>
      <c r="AD74" s="5247"/>
      <c r="AE74" s="5247"/>
      <c r="AF74" s="1095">
        <f>IF(AD74=0,0,(AE74-AD74)/AD74*100)</f>
        <v>0</v>
      </c>
      <c r="AG74" s="5247"/>
      <c r="AH74" s="5247"/>
      <c r="AI74" s="1095">
        <f>IF(AG74=0,0,(AH74-AG74)/AG74*100)</f>
        <v>0</v>
      </c>
      <c r="AJ74" s="5247"/>
      <c r="AK74" s="5247"/>
      <c r="AL74" s="1095">
        <f>IF(AJ74=0,0,(AK74-AJ74)/AJ74*100)</f>
        <v>0</v>
      </c>
      <c r="AM74" s="5247"/>
      <c r="AN74" s="5247"/>
      <c r="AO74" s="1095">
        <f>IF(AM74=0,0,(AN74-AM74)/AM74*100)</f>
        <v>0</v>
      </c>
      <c r="AP74" s="5247"/>
      <c r="AQ74" s="5247"/>
      <c r="AR74" s="1095">
        <f>IF(AP74=0,0,(AQ74-AP74)/AP74*100)</f>
        <v>0</v>
      </c>
      <c r="AS74" s="5247"/>
      <c r="AT74" s="5247"/>
      <c r="AU74" s="1095">
        <f>IF(AS74=0,0,(AT74-AS74)/AS74*100)</f>
        <v>0</v>
      </c>
      <c r="AV74" s="5247"/>
      <c r="AW74" s="5247"/>
      <c r="AX74" s="1095">
        <f>IF(AV74=0,0,(AW74-AV74)/AV74*100)</f>
        <v>0</v>
      </c>
      <c r="AY74" s="5247"/>
      <c r="AZ74" s="5247"/>
      <c r="BA74" s="1095">
        <f>IF(AY74=0,0,(AZ74-AY74)/AY74*100)</f>
        <v>0</v>
      </c>
      <c r="BB74" s="5247"/>
      <c r="BC74" s="5247"/>
      <c r="BD74" s="1095">
        <f>IF(BB74=0,0,(BC74-BB74)/BB74*100)</f>
        <v>0</v>
      </c>
      <c r="BE74" s="5247"/>
      <c r="BF74" s="5247"/>
      <c r="BG74" s="1095">
        <f>IF(BE74=0,0,(BF74-BE74)/BE74*100)</f>
        <v>0</v>
      </c>
      <c r="BH74" s="5247"/>
      <c r="BI74" s="5247"/>
      <c r="BJ74" s="1095">
        <f>IF(BH74=0,0,(BI74-BH74)/BH74*100)</f>
        <v>0</v>
      </c>
      <c r="BK74" s="5247"/>
      <c r="BL74" s="5247"/>
      <c r="BM74" s="1095">
        <f>IF(BK74=0,0,(BL74-BK74)/BK74*100)</f>
        <v>0</v>
      </c>
      <c r="BN74" s="5247"/>
      <c r="BO74" s="5247"/>
      <c r="BP74" s="1095">
        <f>IF(BN74=0,0,(BO74-BN74)/BN74*100)</f>
        <v>0</v>
      </c>
      <c r="BQ74" s="5247"/>
      <c r="BR74" s="5247"/>
      <c r="BS74" s="1095">
        <f>IF(BQ74=0,0,(BR74-BQ74)/BQ74*100)</f>
        <v>0</v>
      </c>
      <c r="BT74" s="5247"/>
      <c r="BU74" s="5247"/>
      <c r="BV74" s="1095">
        <f>IF(BT74=0,0,(BU74-BT74)/BT74*100)</f>
        <v>0</v>
      </c>
      <c r="BW74" s="5247"/>
      <c r="BX74" s="5247"/>
      <c r="BY74" s="1095">
        <f>IF(BW74=0,0,(BX74-BW74)/BW74*100)</f>
        <v>0</v>
      </c>
      <c r="BZ74" s="5247"/>
      <c r="CA74" s="5247"/>
      <c r="CB74" s="1095">
        <f>IF(BZ74=0,0,(CA74-BZ74)/BZ74*100)</f>
        <v>0</v>
      </c>
      <c r="CC74" s="5247"/>
      <c r="CD74" s="5247"/>
      <c r="CE74" s="1095">
        <f>IF(CC74=0,0,(CD74-CC74)/CC74*100)</f>
        <v>0</v>
      </c>
      <c r="CF74" s="5247"/>
      <c r="CG74" s="5247"/>
      <c r="CH74" s="1095">
        <f>IF(CF74=0,0,(CG74-CF74)/CF74*100)</f>
        <v>0</v>
      </c>
      <c r="CI74" s="5247"/>
      <c r="CJ74" s="5247"/>
      <c r="CK74" s="1095">
        <f>IF(CI74=0,0,(CJ74-CI74)/CI74*100)</f>
        <v>0</v>
      </c>
      <c r="CL74" s="5247"/>
      <c r="CM74" s="5247"/>
      <c r="CN74" s="1095">
        <f>IF(CL74=0,0,(CM74-CL74)/CL74*100)</f>
        <v>0</v>
      </c>
      <c r="CO74" s="5247"/>
      <c r="CP74" s="5247"/>
      <c r="CQ74" s="1095">
        <f>IF(CO74=0,0,(CP74-CO74)/CO74*100)</f>
        <v>0</v>
      </c>
      <c r="CR74" s="5247"/>
      <c r="CS74" s="5247"/>
      <c r="CT74" s="1095">
        <f>IF(CR74=0,0,(CS74-CR74)/CR74*100)</f>
        <v>0</v>
      </c>
      <c r="CU74" s="5247"/>
      <c r="CV74" s="5247"/>
      <c r="CW74" s="1095">
        <f>IF(CU74=0,0,(CV74-CU74)/CU74*100)</f>
        <v>0</v>
      </c>
      <c r="CX74" s="5247"/>
      <c r="CY74" s="5247"/>
      <c r="CZ74" s="1095">
        <f>IF(CX74=0,0,(CY74-CX74)/CX74*100)</f>
        <v>0</v>
      </c>
      <c r="DA74" s="5247"/>
      <c r="DB74" s="5247"/>
      <c r="DC74" s="1095">
        <f>IF(DA74=0,0,(DB74-DA74)/DA74*100)</f>
        <v>0</v>
      </c>
      <c r="DD74" s="5247"/>
      <c r="DE74" s="5247"/>
      <c r="DF74" s="1095">
        <f>IF(DD74=0,0,(DE74-DD74)/DD74*100)</f>
        <v>0</v>
      </c>
      <c r="DG74" s="5247"/>
      <c r="DH74" s="5247"/>
      <c r="DI74" s="1095">
        <f>IF(DG74=0,0,(DH74-DG74)/DG74*100)</f>
        <v>0</v>
      </c>
      <c r="DJ74" s="5247"/>
      <c r="DK74" s="5247"/>
      <c r="DL74" s="1095">
        <f>IF(DJ74=0,0,(DK74-DJ74)/DJ74*100)</f>
        <v>0</v>
      </c>
      <c r="DM74" s="5247"/>
      <c r="DN74" s="5247"/>
      <c r="DO74" s="1095">
        <f>IF(DM74=0,0,(DN74-DM74)/DM74*100)</f>
        <v>0</v>
      </c>
      <c r="DP74" s="5247"/>
      <c r="DQ74" s="5247"/>
      <c r="DR74" s="1095">
        <f>IF(DP74=0,0,(DQ74-DP74)/DP74*100)</f>
        <v>0</v>
      </c>
      <c r="DS74" s="5247"/>
      <c r="DT74" s="5247"/>
      <c r="DU74" s="1095">
        <f>IF(DS74=0,0,(DT74-DS74)/DS74*100)</f>
        <v>0</v>
      </c>
      <c r="DV74" s="5247"/>
      <c r="DW74" s="5247"/>
      <c r="DX74" s="1095">
        <f>IF(DV74=0,0,(DW74-DV74)/DV74*100)</f>
        <v>0</v>
      </c>
      <c r="DY74" s="5247"/>
      <c r="DZ74" s="5247"/>
      <c r="EA74" s="1095">
        <f>IF(DY74=0,0,(DZ74-DY74)/DY74*100)</f>
        <v>0</v>
      </c>
      <c r="EB74" s="5247"/>
      <c r="EC74" s="5247"/>
      <c r="ED74" s="1095">
        <f>IF(EB74=0,0,(EC74-EB74)/EB74*100)</f>
        <v>0</v>
      </c>
      <c r="EE74" s="5247"/>
      <c r="EF74" s="5247"/>
      <c r="EG74" s="1095">
        <f>IF(EE74=0,0,(EF74-EE74)/EE74*100)</f>
        <v>0</v>
      </c>
      <c r="EH74" s="5247"/>
      <c r="EI74" s="5247"/>
      <c r="EJ74" s="1095">
        <f>IF(EH74=0,0,(EI74-EH74)/EH74*100)</f>
        <v>0</v>
      </c>
      <c r="EK74" s="5247"/>
      <c r="EL74" s="5247"/>
      <c r="EM74" s="1095">
        <f>IF(EK74=0,0,(EL74-EK74)/EK74*100)</f>
        <v>0</v>
      </c>
      <c r="EN74" s="5247"/>
      <c r="EO74" s="5247"/>
      <c r="EP74" s="1095">
        <f>IF(EN74=0,0,(EO74-EN74)/EN74*100)</f>
        <v>0</v>
      </c>
      <c r="EQ74" s="5247"/>
      <c r="ER74" s="5247"/>
      <c r="ES74" s="1095">
        <f>IF(EQ74=0,0,(ER74-EQ74)/EQ74*100)</f>
        <v>0</v>
      </c>
      <c r="ET74" s="5247"/>
      <c r="EU74" s="5247"/>
      <c r="EV74" s="1095">
        <f>IF(ET74=0,0,(EU74-ET74)/ET74*100)</f>
        <v>0</v>
      </c>
      <c r="EW74" s="5247"/>
      <c r="EX74" s="5247"/>
      <c r="EY74" s="1095">
        <f>IF(EW74=0,0,(EX74-EW74)/EW74*100)</f>
        <v>0</v>
      </c>
      <c r="EZ74" s="5247"/>
      <c r="FA74" s="5247"/>
      <c r="FB74" s="1095">
        <f>IF(EZ74=0,0,(FA74-EZ74)/EZ74*100)</f>
        <v>0</v>
      </c>
      <c r="FC74" s="5247"/>
      <c r="FD74" s="5247"/>
      <c r="FE74" s="1095">
        <f>IF(FC74=0,0,(FD74-FC74)/FC74*100)</f>
        <v>0</v>
      </c>
      <c r="FF74" s="5247"/>
      <c r="FG74" s="5247"/>
      <c r="FH74" s="1095">
        <f>IF(FF74=0,0,(FG74-FF74)/FF74*100)</f>
        <v>0</v>
      </c>
      <c r="FI74" s="5247"/>
      <c r="FJ74" s="5247"/>
      <c r="FK74" s="1095">
        <f>IF(FI74=0,0,(FJ74-FI74)/FI74*100)</f>
        <v>0</v>
      </c>
      <c r="FL74" s="5247"/>
      <c r="FM74" s="5247"/>
      <c r="FN74" s="1095">
        <f>IF(FL74=0,0,(FM74-FL74)/FL74*100)</f>
        <v>0</v>
      </c>
      <c r="FO74" s="5247"/>
      <c r="FP74" s="5247"/>
      <c r="FQ74" s="1095">
        <f>IF(FO74=0,0,(FP74-FO74)/FO74*100)</f>
        <v>0</v>
      </c>
      <c r="FR74" s="5247"/>
      <c r="FS74" s="5247"/>
      <c r="FT74" s="1095">
        <f>IF(FR74=0,0,(FS74-FR74)/FR74*100)</f>
        <v>0</v>
      </c>
      <c r="FU74" s="5247"/>
      <c r="FV74" s="5247"/>
      <c r="FW74" s="1095">
        <f>IF(FU74=0,0,(FV74-FU74)/FU74*100)</f>
        <v>0</v>
      </c>
      <c r="FX74" s="1304"/>
      <c r="FY74" s="1304"/>
      <c r="FZ74" s="1055" t="s">
        <v>2406</v>
      </c>
      <c r="GA74" s="1015" t="s">
        <v>1594</v>
      </c>
      <c r="GB74" s="1015" cm="1" t="str">
        <f t="array" ref="GB74:GB74">GB73</f>
        <v>0</v>
      </c>
      <c r="GC74" s="1305"/>
      <c r="GD74" s="1305"/>
    </row>
    <row customHeight="1" ht="21.9375" hidden="1">
      <c r="A75" s="493"/>
      <c r="B75" s="925" cm="1" t="str">
        <f t="array" ref="B75:B75">B74</f>
        <v>false</v>
      </c>
      <c r="C75" s="493"/>
      <c r="D75" s="493"/>
      <c r="E75" s="840">
        <v>22.5</v>
      </c>
      <c r="F75" s="50" cm="1" t="str">
        <f t="array" ref="F75:F75">OFFSET(E75,-1,1)</f>
        <v>0</v>
      </c>
      <c r="G75" s="493"/>
      <c r="H75" s="493" t="s">
        <v>2376</v>
      </c>
      <c r="I75" s="493" cm="1" t="str">
        <f t="array" ref="I75:I75">I74</f>
        <v>0</v>
      </c>
      <c r="J75" s="493"/>
      <c r="K75" s="493"/>
      <c r="L75" s="493"/>
      <c r="M75" s="493"/>
      <c r="N75" s="493"/>
      <c r="O75" s="493"/>
      <c r="P75" s="493"/>
      <c r="Q75" s="493"/>
      <c r="R75" s="493"/>
      <c r="S75" s="493"/>
      <c r="T75" s="465" cm="1" t="str">
        <f t="array" ref="T75:T75">T74</f>
        <v>false</v>
      </c>
      <c r="U75" s="493"/>
      <c r="V75" s="493"/>
      <c r="W75" s="493"/>
      <c r="X75" s="1596"/>
      <c r="Y75" s="1596"/>
      <c r="Z75" s="1545"/>
      <c r="AA75" s="5251"/>
      <c r="AB75" s="904"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75" s="864" t="s">
        <v>2377</v>
      </c>
      <c r="AD75" s="2846"/>
      <c r="AE75" s="2846"/>
      <c r="AF75" s="1093">
        <f>IF(AD75=0,0,(AE75-AD75)/AD75*100)</f>
        <v>0</v>
      </c>
      <c r="AG75" s="2846"/>
      <c r="AH75" s="2846"/>
      <c r="AI75" s="1093">
        <f>IF(AG75=0,0,(AH75-AG75)/AG75*100)</f>
        <v>0</v>
      </c>
      <c r="AJ75" s="2846"/>
      <c r="AK75" s="2846"/>
      <c r="AL75" s="1093">
        <f>IF(AJ75=0,0,(AK75-AJ75)/AJ75*100)</f>
        <v>0</v>
      </c>
      <c r="AM75" s="2846"/>
      <c r="AN75" s="2846"/>
      <c r="AO75" s="1093">
        <f>IF(AM75=0,0,(AN75-AM75)/AM75*100)</f>
        <v>0</v>
      </c>
      <c r="AP75" s="2846"/>
      <c r="AQ75" s="2846"/>
      <c r="AR75" s="1093">
        <f>IF(AP75=0,0,(AQ75-AP75)/AP75*100)</f>
        <v>0</v>
      </c>
      <c r="AS75" s="2846"/>
      <c r="AT75" s="2846"/>
      <c r="AU75" s="1093">
        <f>IF(AS75=0,0,(AT75-AS75)/AS75*100)</f>
        <v>0</v>
      </c>
      <c r="AV75" s="2846"/>
      <c r="AW75" s="2846"/>
      <c r="AX75" s="1093">
        <f>IF(AV75=0,0,(AW75-AV75)/AV75*100)</f>
        <v>0</v>
      </c>
      <c r="AY75" s="2846"/>
      <c r="AZ75" s="2846"/>
      <c r="BA75" s="1093">
        <f>IF(AY75=0,0,(AZ75-AY75)/AY75*100)</f>
        <v>0</v>
      </c>
      <c r="BB75" s="2846"/>
      <c r="BC75" s="2846"/>
      <c r="BD75" s="1093">
        <f>IF(BB75=0,0,(BC75-BB75)/BB75*100)</f>
        <v>0</v>
      </c>
      <c r="BE75" s="2846"/>
      <c r="BF75" s="2846"/>
      <c r="BG75" s="1093">
        <f>IF(BE75=0,0,(BF75-BE75)/BE75*100)</f>
        <v>0</v>
      </c>
      <c r="BH75" s="2846"/>
      <c r="BI75" s="2846"/>
      <c r="BJ75" s="1093">
        <f>IF(BH75=0,0,(BI75-BH75)/BH75*100)</f>
        <v>0</v>
      </c>
      <c r="BK75" s="2846"/>
      <c r="BL75" s="2846"/>
      <c r="BM75" s="1093">
        <f>IF(BK75=0,0,(BL75-BK75)/BK75*100)</f>
        <v>0</v>
      </c>
      <c r="BN75" s="2846"/>
      <c r="BO75" s="2846"/>
      <c r="BP75" s="1093">
        <f>IF(BN75=0,0,(BO75-BN75)/BN75*100)</f>
        <v>0</v>
      </c>
      <c r="BQ75" s="2846"/>
      <c r="BR75" s="2846"/>
      <c r="BS75" s="1093">
        <f>IF(BQ75=0,0,(BR75-BQ75)/BQ75*100)</f>
        <v>0</v>
      </c>
      <c r="BT75" s="2846"/>
      <c r="BU75" s="2846"/>
      <c r="BV75" s="1093">
        <f>IF(BT75=0,0,(BU75-BT75)/BT75*100)</f>
        <v>0</v>
      </c>
      <c r="BW75" s="2846"/>
      <c r="BX75" s="2846"/>
      <c r="BY75" s="1093">
        <f>IF(BW75=0,0,(BX75-BW75)/BW75*100)</f>
        <v>0</v>
      </c>
      <c r="BZ75" s="2846"/>
      <c r="CA75" s="2846"/>
      <c r="CB75" s="1093">
        <f>IF(BZ75=0,0,(CA75-BZ75)/BZ75*100)</f>
        <v>0</v>
      </c>
      <c r="CC75" s="2846"/>
      <c r="CD75" s="2846"/>
      <c r="CE75" s="1093">
        <f>IF(CC75=0,0,(CD75-CC75)/CC75*100)</f>
        <v>0</v>
      </c>
      <c r="CF75" s="2846"/>
      <c r="CG75" s="2846"/>
      <c r="CH75" s="1093">
        <f>IF(CF75=0,0,(CG75-CF75)/CF75*100)</f>
        <v>0</v>
      </c>
      <c r="CI75" s="2846"/>
      <c r="CJ75" s="2846"/>
      <c r="CK75" s="1093">
        <f>IF(CI75=0,0,(CJ75-CI75)/CI75*100)</f>
        <v>0</v>
      </c>
      <c r="CL75" s="2846"/>
      <c r="CM75" s="2846"/>
      <c r="CN75" s="1093">
        <f>IF(CL75=0,0,(CM75-CL75)/CL75*100)</f>
        <v>0</v>
      </c>
      <c r="CO75" s="2846"/>
      <c r="CP75" s="2846"/>
      <c r="CQ75" s="1093">
        <f>IF(CO75=0,0,(CP75-CO75)/CO75*100)</f>
        <v>0</v>
      </c>
      <c r="CR75" s="2846"/>
      <c r="CS75" s="2846"/>
      <c r="CT75" s="1093">
        <f>IF(CR75=0,0,(CS75-CR75)/CR75*100)</f>
        <v>0</v>
      </c>
      <c r="CU75" s="2846"/>
      <c r="CV75" s="2846"/>
      <c r="CW75" s="1093">
        <f>IF(CU75=0,0,(CV75-CU75)/CU75*100)</f>
        <v>0</v>
      </c>
      <c r="CX75" s="2846"/>
      <c r="CY75" s="2846"/>
      <c r="CZ75" s="1093">
        <f>IF(CX75=0,0,(CY75-CX75)/CX75*100)</f>
        <v>0</v>
      </c>
      <c r="DA75" s="2846"/>
      <c r="DB75" s="2846"/>
      <c r="DC75" s="1093">
        <f>IF(DA75=0,0,(DB75-DA75)/DA75*100)</f>
        <v>0</v>
      </c>
      <c r="DD75" s="2846"/>
      <c r="DE75" s="2846"/>
      <c r="DF75" s="1093">
        <f>IF(DD75=0,0,(DE75-DD75)/DD75*100)</f>
        <v>0</v>
      </c>
      <c r="DG75" s="2846"/>
      <c r="DH75" s="2846"/>
      <c r="DI75" s="1093">
        <f>IF(DG75=0,0,(DH75-DG75)/DG75*100)</f>
        <v>0</v>
      </c>
      <c r="DJ75" s="2846"/>
      <c r="DK75" s="2846"/>
      <c r="DL75" s="1093">
        <f>IF(DJ75=0,0,(DK75-DJ75)/DJ75*100)</f>
        <v>0</v>
      </c>
      <c r="DM75" s="2846"/>
      <c r="DN75" s="2846"/>
      <c r="DO75" s="1093">
        <f>IF(DM75=0,0,(DN75-DM75)/DM75*100)</f>
        <v>0</v>
      </c>
      <c r="DP75" s="2846"/>
      <c r="DQ75" s="2846"/>
      <c r="DR75" s="1093">
        <f>IF(DP75=0,0,(DQ75-DP75)/DP75*100)</f>
        <v>0</v>
      </c>
      <c r="DS75" s="2846"/>
      <c r="DT75" s="2846"/>
      <c r="DU75" s="1093">
        <f>IF(DS75=0,0,(DT75-DS75)/DS75*100)</f>
        <v>0</v>
      </c>
      <c r="DV75" s="2846"/>
      <c r="DW75" s="2846"/>
      <c r="DX75" s="1093">
        <f>IF(DV75=0,0,(DW75-DV75)/DV75*100)</f>
        <v>0</v>
      </c>
      <c r="DY75" s="2846"/>
      <c r="DZ75" s="2846"/>
      <c r="EA75" s="1093">
        <f>IF(DY75=0,0,(DZ75-DY75)/DY75*100)</f>
        <v>0</v>
      </c>
      <c r="EB75" s="2846"/>
      <c r="EC75" s="2846"/>
      <c r="ED75" s="1093">
        <f>IF(EB75=0,0,(EC75-EB75)/EB75*100)</f>
        <v>0</v>
      </c>
      <c r="EE75" s="2846"/>
      <c r="EF75" s="2846"/>
      <c r="EG75" s="1093">
        <f>IF(EE75=0,0,(EF75-EE75)/EE75*100)</f>
        <v>0</v>
      </c>
      <c r="EH75" s="2846"/>
      <c r="EI75" s="2846"/>
      <c r="EJ75" s="1093">
        <f>IF(EH75=0,0,(EI75-EH75)/EH75*100)</f>
        <v>0</v>
      </c>
      <c r="EK75" s="2846"/>
      <c r="EL75" s="2846"/>
      <c r="EM75" s="1093">
        <f>IF(EK75=0,0,(EL75-EK75)/EK75*100)</f>
        <v>0</v>
      </c>
      <c r="EN75" s="2846"/>
      <c r="EO75" s="2846"/>
      <c r="EP75" s="1093">
        <f>IF(EN75=0,0,(EO75-EN75)/EN75*100)</f>
        <v>0</v>
      </c>
      <c r="EQ75" s="2846"/>
      <c r="ER75" s="2846"/>
      <c r="ES75" s="1093">
        <f>IF(EQ75=0,0,(ER75-EQ75)/EQ75*100)</f>
        <v>0</v>
      </c>
      <c r="ET75" s="2846"/>
      <c r="EU75" s="2846"/>
      <c r="EV75" s="1093">
        <f>IF(ET75=0,0,(EU75-ET75)/ET75*100)</f>
        <v>0</v>
      </c>
      <c r="EW75" s="2846"/>
      <c r="EX75" s="2846"/>
      <c r="EY75" s="1093">
        <f>IF(EW75=0,0,(EX75-EW75)/EW75*100)</f>
        <v>0</v>
      </c>
      <c r="EZ75" s="2846"/>
      <c r="FA75" s="2846"/>
      <c r="FB75" s="1093">
        <f>IF(EZ75=0,0,(FA75-EZ75)/EZ75*100)</f>
        <v>0</v>
      </c>
      <c r="FC75" s="2846"/>
      <c r="FD75" s="2846"/>
      <c r="FE75" s="1093">
        <f>IF(FC75=0,0,(FD75-FC75)/FC75*100)</f>
        <v>0</v>
      </c>
      <c r="FF75" s="2846"/>
      <c r="FG75" s="2846"/>
      <c r="FH75" s="1093">
        <f>IF(FF75=0,0,(FG75-FF75)/FF75*100)</f>
        <v>0</v>
      </c>
      <c r="FI75" s="2846"/>
      <c r="FJ75" s="2846"/>
      <c r="FK75" s="1093">
        <f>IF(FI75=0,0,(FJ75-FI75)/FI75*100)</f>
        <v>0</v>
      </c>
      <c r="FL75" s="2846"/>
      <c r="FM75" s="2846"/>
      <c r="FN75" s="1093">
        <f>IF(FL75=0,0,(FM75-FL75)/FL75*100)</f>
        <v>0</v>
      </c>
      <c r="FO75" s="2846"/>
      <c r="FP75" s="2846"/>
      <c r="FQ75" s="1093">
        <f>IF(FO75=0,0,(FP75-FO75)/FO75*100)</f>
        <v>0</v>
      </c>
      <c r="FR75" s="2846"/>
      <c r="FS75" s="2846"/>
      <c r="FT75" s="1093">
        <f>IF(FR75=0,0,(FS75-FR75)/FR75*100)</f>
        <v>0</v>
      </c>
      <c r="FU75" s="2846"/>
      <c r="FV75" s="2846"/>
      <c r="FW75" s="1093">
        <f>IF(FU75=0,0,(FV75-FU75)/FU75*100)</f>
        <v>0</v>
      </c>
      <c r="FX75" s="1304"/>
      <c r="FY75" s="1304"/>
      <c r="FZ75" s="1055" t="s">
        <v>2407</v>
      </c>
      <c r="GA75" s="1015" t="s">
        <v>1594</v>
      </c>
      <c r="GB75" s="1015" cm="1" t="str">
        <f t="array" ref="GB75:GB75">GB74</f>
        <v>0</v>
      </c>
      <c r="GC75" s="1305"/>
      <c r="GD75" s="1305"/>
    </row>
    <row customHeight="1" ht="14.625" hidden="1">
      <c r="A76" s="493"/>
      <c r="B76" s="925" cm="1" t="str">
        <f t="array" ref="B76:B76">B75</f>
        <v>false</v>
      </c>
      <c r="C76" s="493"/>
      <c r="D76" s="493"/>
      <c r="E76" s="840">
        <v>15</v>
      </c>
      <c r="F76" s="50" cm="1" t="str">
        <f t="array" ref="F76:F76">OFFSET(E76,-1,1)</f>
        <v>0</v>
      </c>
      <c r="G76" s="493"/>
      <c r="H76" s="493" t="s">
        <v>2379</v>
      </c>
      <c r="I76" s="493" cm="1" t="str">
        <f t="array" ref="I76:I76">I75</f>
        <v>0</v>
      </c>
      <c r="J76" s="493"/>
      <c r="K76" s="493"/>
      <c r="L76" s="493"/>
      <c r="M76" s="493"/>
      <c r="N76" s="493"/>
      <c r="O76" s="493"/>
      <c r="P76" s="493"/>
      <c r="Q76" s="493"/>
      <c r="R76" s="493"/>
      <c r="S76" s="493"/>
      <c r="T76" s="465" cm="1" t="str">
        <f t="array" ref="T76:T76">T75</f>
        <v>false</v>
      </c>
      <c r="U76" s="493"/>
      <c r="V76" s="493"/>
      <c r="W76" s="493"/>
      <c r="X76" s="1596"/>
      <c r="Y76" s="1596"/>
      <c r="Z76" s="1545"/>
      <c r="AA76" s="5251"/>
      <c r="AB76" s="904" t="s">
        <v>2380</v>
      </c>
      <c r="AC76" s="864" t="s">
        <v>2381</v>
      </c>
      <c r="AD76" s="2846"/>
      <c r="AE76" s="2846"/>
      <c r="AF76" s="1093">
        <f>IF(AD76=0,0,(AE76-AD76)/AD76*100)</f>
        <v>0</v>
      </c>
      <c r="AG76" s="2846"/>
      <c r="AH76" s="2846"/>
      <c r="AI76" s="1093">
        <f>IF(AG76=0,0,(AH76-AG76)/AG76*100)</f>
        <v>0</v>
      </c>
      <c r="AJ76" s="2846"/>
      <c r="AK76" s="2846"/>
      <c r="AL76" s="1093">
        <f>IF(AJ76=0,0,(AK76-AJ76)/AJ76*100)</f>
        <v>0</v>
      </c>
      <c r="AM76" s="2846"/>
      <c r="AN76" s="2846"/>
      <c r="AO76" s="1093">
        <f>IF(AM76=0,0,(AN76-AM76)/AM76*100)</f>
        <v>0</v>
      </c>
      <c r="AP76" s="2846"/>
      <c r="AQ76" s="2846"/>
      <c r="AR76" s="1093">
        <f>IF(AP76=0,0,(AQ76-AP76)/AP76*100)</f>
        <v>0</v>
      </c>
      <c r="AS76" s="2846"/>
      <c r="AT76" s="2846"/>
      <c r="AU76" s="1093">
        <f>IF(AS76=0,0,(AT76-AS76)/AS76*100)</f>
        <v>0</v>
      </c>
      <c r="AV76" s="2846"/>
      <c r="AW76" s="2846"/>
      <c r="AX76" s="1093">
        <f>IF(AV76=0,0,(AW76-AV76)/AV76*100)</f>
        <v>0</v>
      </c>
      <c r="AY76" s="2846"/>
      <c r="AZ76" s="2846"/>
      <c r="BA76" s="1093">
        <f>IF(AY76=0,0,(AZ76-AY76)/AY76*100)</f>
        <v>0</v>
      </c>
      <c r="BB76" s="2846"/>
      <c r="BC76" s="2846"/>
      <c r="BD76" s="1093">
        <f>IF(BB76=0,0,(BC76-BB76)/BB76*100)</f>
        <v>0</v>
      </c>
      <c r="BE76" s="2846"/>
      <c r="BF76" s="2846"/>
      <c r="BG76" s="1093">
        <f>IF(BE76=0,0,(BF76-BE76)/BE76*100)</f>
        <v>0</v>
      </c>
      <c r="BH76" s="2846"/>
      <c r="BI76" s="2846"/>
      <c r="BJ76" s="1093">
        <f>IF(BH76=0,0,(BI76-BH76)/BH76*100)</f>
        <v>0</v>
      </c>
      <c r="BK76" s="2846"/>
      <c r="BL76" s="2846"/>
      <c r="BM76" s="1093">
        <f>IF(BK76=0,0,(BL76-BK76)/BK76*100)</f>
        <v>0</v>
      </c>
      <c r="BN76" s="2846"/>
      <c r="BO76" s="2846"/>
      <c r="BP76" s="1093">
        <f>IF(BN76=0,0,(BO76-BN76)/BN76*100)</f>
        <v>0</v>
      </c>
      <c r="BQ76" s="2846"/>
      <c r="BR76" s="2846"/>
      <c r="BS76" s="1093">
        <f>IF(BQ76=0,0,(BR76-BQ76)/BQ76*100)</f>
        <v>0</v>
      </c>
      <c r="BT76" s="2846"/>
      <c r="BU76" s="2846"/>
      <c r="BV76" s="1093">
        <f>IF(BT76=0,0,(BU76-BT76)/BT76*100)</f>
        <v>0</v>
      </c>
      <c r="BW76" s="2846"/>
      <c r="BX76" s="2846"/>
      <c r="BY76" s="1093">
        <f>IF(BW76=0,0,(BX76-BW76)/BW76*100)</f>
        <v>0</v>
      </c>
      <c r="BZ76" s="2846"/>
      <c r="CA76" s="2846"/>
      <c r="CB76" s="1093">
        <f>IF(BZ76=0,0,(CA76-BZ76)/BZ76*100)</f>
        <v>0</v>
      </c>
      <c r="CC76" s="2846"/>
      <c r="CD76" s="2846"/>
      <c r="CE76" s="1093">
        <f>IF(CC76=0,0,(CD76-CC76)/CC76*100)</f>
        <v>0</v>
      </c>
      <c r="CF76" s="2846"/>
      <c r="CG76" s="2846"/>
      <c r="CH76" s="1093">
        <f>IF(CF76=0,0,(CG76-CF76)/CF76*100)</f>
        <v>0</v>
      </c>
      <c r="CI76" s="2846"/>
      <c r="CJ76" s="2846"/>
      <c r="CK76" s="1093">
        <f>IF(CI76=0,0,(CJ76-CI76)/CI76*100)</f>
        <v>0</v>
      </c>
      <c r="CL76" s="2846"/>
      <c r="CM76" s="2846"/>
      <c r="CN76" s="1093">
        <f>IF(CL76=0,0,(CM76-CL76)/CL76*100)</f>
        <v>0</v>
      </c>
      <c r="CO76" s="2846"/>
      <c r="CP76" s="2846"/>
      <c r="CQ76" s="1093">
        <f>IF(CO76=0,0,(CP76-CO76)/CO76*100)</f>
        <v>0</v>
      </c>
      <c r="CR76" s="2846"/>
      <c r="CS76" s="2846"/>
      <c r="CT76" s="1093">
        <f>IF(CR76=0,0,(CS76-CR76)/CR76*100)</f>
        <v>0</v>
      </c>
      <c r="CU76" s="2846"/>
      <c r="CV76" s="2846"/>
      <c r="CW76" s="1093">
        <f>IF(CU76=0,0,(CV76-CU76)/CU76*100)</f>
        <v>0</v>
      </c>
      <c r="CX76" s="2846"/>
      <c r="CY76" s="2846"/>
      <c r="CZ76" s="1093">
        <f>IF(CX76=0,0,(CY76-CX76)/CX76*100)</f>
        <v>0</v>
      </c>
      <c r="DA76" s="2846"/>
      <c r="DB76" s="2846"/>
      <c r="DC76" s="1093">
        <f>IF(DA76=0,0,(DB76-DA76)/DA76*100)</f>
        <v>0</v>
      </c>
      <c r="DD76" s="2846"/>
      <c r="DE76" s="2846"/>
      <c r="DF76" s="1093">
        <f>IF(DD76=0,0,(DE76-DD76)/DD76*100)</f>
        <v>0</v>
      </c>
      <c r="DG76" s="2846"/>
      <c r="DH76" s="2846"/>
      <c r="DI76" s="1093">
        <f>IF(DG76=0,0,(DH76-DG76)/DG76*100)</f>
        <v>0</v>
      </c>
      <c r="DJ76" s="2846"/>
      <c r="DK76" s="2846"/>
      <c r="DL76" s="1093">
        <f>IF(DJ76=0,0,(DK76-DJ76)/DJ76*100)</f>
        <v>0</v>
      </c>
      <c r="DM76" s="2846"/>
      <c r="DN76" s="2846"/>
      <c r="DO76" s="1093">
        <f>IF(DM76=0,0,(DN76-DM76)/DM76*100)</f>
        <v>0</v>
      </c>
      <c r="DP76" s="2846"/>
      <c r="DQ76" s="2846"/>
      <c r="DR76" s="1093">
        <f>IF(DP76=0,0,(DQ76-DP76)/DP76*100)</f>
        <v>0</v>
      </c>
      <c r="DS76" s="2846"/>
      <c r="DT76" s="2846"/>
      <c r="DU76" s="1093">
        <f>IF(DS76=0,0,(DT76-DS76)/DS76*100)</f>
        <v>0</v>
      </c>
      <c r="DV76" s="2846"/>
      <c r="DW76" s="2846"/>
      <c r="DX76" s="1093">
        <f>IF(DV76=0,0,(DW76-DV76)/DV76*100)</f>
        <v>0</v>
      </c>
      <c r="DY76" s="2846"/>
      <c r="DZ76" s="2846"/>
      <c r="EA76" s="1093">
        <f>IF(DY76=0,0,(DZ76-DY76)/DY76*100)</f>
        <v>0</v>
      </c>
      <c r="EB76" s="2846"/>
      <c r="EC76" s="2846"/>
      <c r="ED76" s="1093">
        <f>IF(EB76=0,0,(EC76-EB76)/EB76*100)</f>
        <v>0</v>
      </c>
      <c r="EE76" s="2846"/>
      <c r="EF76" s="2846"/>
      <c r="EG76" s="1093">
        <f>IF(EE76=0,0,(EF76-EE76)/EE76*100)</f>
        <v>0</v>
      </c>
      <c r="EH76" s="2846"/>
      <c r="EI76" s="2846"/>
      <c r="EJ76" s="1093">
        <f>IF(EH76=0,0,(EI76-EH76)/EH76*100)</f>
        <v>0</v>
      </c>
      <c r="EK76" s="2846"/>
      <c r="EL76" s="2846"/>
      <c r="EM76" s="1093">
        <f>IF(EK76=0,0,(EL76-EK76)/EK76*100)</f>
        <v>0</v>
      </c>
      <c r="EN76" s="2846"/>
      <c r="EO76" s="2846"/>
      <c r="EP76" s="1093">
        <f>IF(EN76=0,0,(EO76-EN76)/EN76*100)</f>
        <v>0</v>
      </c>
      <c r="EQ76" s="2846"/>
      <c r="ER76" s="2846"/>
      <c r="ES76" s="1093">
        <f>IF(EQ76=0,0,(ER76-EQ76)/EQ76*100)</f>
        <v>0</v>
      </c>
      <c r="ET76" s="2846"/>
      <c r="EU76" s="2846"/>
      <c r="EV76" s="1093">
        <f>IF(ET76=0,0,(EU76-ET76)/ET76*100)</f>
        <v>0</v>
      </c>
      <c r="EW76" s="2846"/>
      <c r="EX76" s="2846"/>
      <c r="EY76" s="1093">
        <f>IF(EW76=0,0,(EX76-EW76)/EW76*100)</f>
        <v>0</v>
      </c>
      <c r="EZ76" s="2846"/>
      <c r="FA76" s="2846"/>
      <c r="FB76" s="1093">
        <f>IF(EZ76=0,0,(FA76-EZ76)/EZ76*100)</f>
        <v>0</v>
      </c>
      <c r="FC76" s="2846"/>
      <c r="FD76" s="2846"/>
      <c r="FE76" s="1093">
        <f>IF(FC76=0,0,(FD76-FC76)/FC76*100)</f>
        <v>0</v>
      </c>
      <c r="FF76" s="2846"/>
      <c r="FG76" s="2846"/>
      <c r="FH76" s="1093">
        <f>IF(FF76=0,0,(FG76-FF76)/FF76*100)</f>
        <v>0</v>
      </c>
      <c r="FI76" s="2846"/>
      <c r="FJ76" s="2846"/>
      <c r="FK76" s="1093">
        <f>IF(FI76=0,0,(FJ76-FI76)/FI76*100)</f>
        <v>0</v>
      </c>
      <c r="FL76" s="2846"/>
      <c r="FM76" s="2846"/>
      <c r="FN76" s="1093">
        <f>IF(FL76=0,0,(FM76-FL76)/FL76*100)</f>
        <v>0</v>
      </c>
      <c r="FO76" s="2846"/>
      <c r="FP76" s="2846"/>
      <c r="FQ76" s="1093">
        <f>IF(FO76=0,0,(FP76-FO76)/FO76*100)</f>
        <v>0</v>
      </c>
      <c r="FR76" s="2846"/>
      <c r="FS76" s="2846"/>
      <c r="FT76" s="1093">
        <f>IF(FR76=0,0,(FS76-FR76)/FR76*100)</f>
        <v>0</v>
      </c>
      <c r="FU76" s="2846"/>
      <c r="FV76" s="2846"/>
      <c r="FW76" s="1093">
        <f>IF(FU76=0,0,(FV76-FU76)/FU76*100)</f>
        <v>0</v>
      </c>
      <c r="FX76" s="1304"/>
      <c r="FY76" s="1304"/>
      <c r="FZ76" s="1055" t="s">
        <v>2408</v>
      </c>
      <c r="GA76" s="1015" t="s">
        <v>1594</v>
      </c>
      <c r="GB76" s="1015" cm="1" t="str">
        <f t="array" ref="GB76:GB76">GB75</f>
        <v>0</v>
      </c>
      <c r="GC76" s="1305"/>
      <c r="GD76" s="1305"/>
    </row>
    <row customHeight="1" ht="18.525" hidden="1">
      <c r="A77" s="493"/>
      <c r="B77" s="925" cm="1" t="str">
        <f t="array" ref="B77:B77">B76</f>
        <v>false</v>
      </c>
      <c r="C77" s="493"/>
      <c r="D77" s="493"/>
      <c r="E77" s="840">
        <v>19</v>
      </c>
      <c r="F77" s="50" cm="1" t="str">
        <f t="array" ref="F77:F77">OFFSET(E77,-1,1)</f>
        <v>0</v>
      </c>
      <c r="G77" s="493"/>
      <c r="H77" s="493"/>
      <c r="I77" s="493"/>
      <c r="J77" s="493"/>
      <c r="K77" s="493"/>
      <c r="L77" s="493"/>
      <c r="M77" s="493"/>
      <c r="N77" s="493"/>
      <c r="O77" s="493"/>
      <c r="P77" s="493"/>
      <c r="Q77" s="493"/>
      <c r="R77" s="493"/>
      <c r="S77" s="493"/>
      <c r="T77" s="465" cm="1" t="str">
        <f t="array" ref="T77:T77">T76</f>
        <v>false</v>
      </c>
      <c r="U77" s="493"/>
      <c r="V77" s="493"/>
      <c r="W77" s="493"/>
      <c r="X77" s="1596"/>
      <c r="Y77" s="1596"/>
      <c r="Z77" s="1545"/>
      <c r="AA77" s="5251"/>
      <c r="AB77" s="5252"/>
      <c r="AC77" s="865"/>
      <c r="AD77" s="1105"/>
      <c r="AE77" s="1106"/>
      <c r="AF77" s="1106"/>
      <c r="AG77" s="1105"/>
      <c r="AH77" s="1106"/>
      <c r="AI77" s="1106"/>
      <c r="AJ77" s="1105"/>
      <c r="AK77" s="1106"/>
      <c r="AL77" s="1106"/>
      <c r="AM77" s="1105"/>
      <c r="AN77" s="1106"/>
      <c r="AO77" s="1106"/>
      <c r="AP77" s="1105"/>
      <c r="AQ77" s="1106"/>
      <c r="AR77" s="1106"/>
      <c r="AS77" s="1105"/>
      <c r="AT77" s="1106"/>
      <c r="AU77" s="1106"/>
      <c r="AV77" s="1105"/>
      <c r="AW77" s="1106"/>
      <c r="AX77" s="1106"/>
      <c r="AY77" s="1105"/>
      <c r="AZ77" s="1106"/>
      <c r="BA77" s="1106"/>
      <c r="BB77" s="1105"/>
      <c r="BC77" s="1106"/>
      <c r="BD77" s="1106"/>
      <c r="BE77" s="1105"/>
      <c r="BF77" s="1106"/>
      <c r="BG77" s="1106"/>
      <c r="BH77" s="1105"/>
      <c r="BI77" s="1106"/>
      <c r="BJ77" s="1106"/>
      <c r="BK77" s="1105"/>
      <c r="BL77" s="1106"/>
      <c r="BM77" s="1106"/>
      <c r="BN77" s="1105"/>
      <c r="BO77" s="1106"/>
      <c r="BP77" s="1106"/>
      <c r="BQ77" s="1105"/>
      <c r="BR77" s="1106"/>
      <c r="BS77" s="1106"/>
      <c r="BT77" s="1105"/>
      <c r="BU77" s="1106"/>
      <c r="BV77" s="1106"/>
      <c r="BW77" s="1105"/>
      <c r="BX77" s="1106"/>
      <c r="BY77" s="1106"/>
      <c r="BZ77" s="1105"/>
      <c r="CA77" s="1106"/>
      <c r="CB77" s="1106"/>
      <c r="CC77" s="1105"/>
      <c r="CD77" s="1106"/>
      <c r="CE77" s="1106"/>
      <c r="CF77" s="1105"/>
      <c r="CG77" s="1106"/>
      <c r="CH77" s="1106"/>
      <c r="CI77" s="1105"/>
      <c r="CJ77" s="1106"/>
      <c r="CK77" s="1106"/>
      <c r="CL77" s="1105"/>
      <c r="CM77" s="1106"/>
      <c r="CN77" s="1106"/>
      <c r="CO77" s="1105"/>
      <c r="CP77" s="1106"/>
      <c r="CQ77" s="1106"/>
      <c r="CR77" s="1105"/>
      <c r="CS77" s="1106"/>
      <c r="CT77" s="1106"/>
      <c r="CU77" s="1105"/>
      <c r="CV77" s="1106"/>
      <c r="CW77" s="1106"/>
      <c r="CX77" s="1105"/>
      <c r="CY77" s="1106"/>
      <c r="CZ77" s="1106"/>
      <c r="DA77" s="1105"/>
      <c r="DB77" s="1106"/>
      <c r="DC77" s="1106"/>
      <c r="DD77" s="1105"/>
      <c r="DE77" s="1106"/>
      <c r="DF77" s="1106"/>
      <c r="DG77" s="1105"/>
      <c r="DH77" s="1106"/>
      <c r="DI77" s="1106"/>
      <c r="DJ77" s="1105"/>
      <c r="DK77" s="1106"/>
      <c r="DL77" s="1106"/>
      <c r="DM77" s="1105"/>
      <c r="DN77" s="1106"/>
      <c r="DO77" s="1106"/>
      <c r="DP77" s="1105"/>
      <c r="DQ77" s="1106"/>
      <c r="DR77" s="1106"/>
      <c r="DS77" s="1105"/>
      <c r="DT77" s="1106"/>
      <c r="DU77" s="1106"/>
      <c r="DV77" s="1105"/>
      <c r="DW77" s="1106"/>
      <c r="DX77" s="1106"/>
      <c r="DY77" s="1105"/>
      <c r="DZ77" s="1106"/>
      <c r="EA77" s="1106"/>
      <c r="EB77" s="1105"/>
      <c r="EC77" s="1106"/>
      <c r="ED77" s="1106"/>
      <c r="EE77" s="1105"/>
      <c r="EF77" s="1106"/>
      <c r="EG77" s="1106"/>
      <c r="EH77" s="1105"/>
      <c r="EI77" s="1106"/>
      <c r="EJ77" s="1106"/>
      <c r="EK77" s="1105"/>
      <c r="EL77" s="1106"/>
      <c r="EM77" s="1106"/>
      <c r="EN77" s="1105"/>
      <c r="EO77" s="1106"/>
      <c r="EP77" s="1106"/>
      <c r="EQ77" s="1105"/>
      <c r="ER77" s="1106"/>
      <c r="ES77" s="1106"/>
      <c r="ET77" s="1105"/>
      <c r="EU77" s="1106"/>
      <c r="EV77" s="1106"/>
      <c r="EW77" s="1105"/>
      <c r="EX77" s="1106"/>
      <c r="EY77" s="1106"/>
      <c r="EZ77" s="1105"/>
      <c r="FA77" s="1106"/>
      <c r="FB77" s="1106"/>
      <c r="FC77" s="1105"/>
      <c r="FD77" s="1106"/>
      <c r="FE77" s="1106"/>
      <c r="FF77" s="1105"/>
      <c r="FG77" s="1106"/>
      <c r="FH77" s="1106"/>
      <c r="FI77" s="1105"/>
      <c r="FJ77" s="1106"/>
      <c r="FK77" s="1106"/>
      <c r="FL77" s="1105"/>
      <c r="FM77" s="1106"/>
      <c r="FN77" s="1106"/>
      <c r="FO77" s="1105"/>
      <c r="FP77" s="1106"/>
      <c r="FQ77" s="1106"/>
      <c r="FR77" s="1105"/>
      <c r="FS77" s="1106"/>
      <c r="FT77" s="1106"/>
      <c r="FU77" s="1105"/>
      <c r="FV77" s="1106"/>
      <c r="FW77" s="1107"/>
      <c r="GA77" s="1306" t="s">
        <v>227</v>
      </c>
      <c r="GB77" s="1306" cm="1" t="str">
        <f t="array" ref="GB77:GB77">GB76</f>
        <v>0</v>
      </c>
    </row>
    <row customHeight="1" ht="18.525" hidden="1">
      <c r="A78" s="493"/>
      <c r="B78" s="925" cm="1" t="str">
        <f t="array" ref="B78:B78">B77</f>
        <v>false</v>
      </c>
      <c r="C78" s="493"/>
      <c r="D78" s="493"/>
      <c r="E78" s="840">
        <v>19</v>
      </c>
      <c r="F78" s="50" cm="1" t="str">
        <f t="array" ref="F78:F78">OFFSET(E78,-1,1)</f>
        <v>0</v>
      </c>
      <c r="G78" s="493"/>
      <c r="H78" s="493"/>
      <c r="I78" s="493"/>
      <c r="J78" s="493"/>
      <c r="K78" s="493"/>
      <c r="L78" s="493"/>
      <c r="M78" s="493"/>
      <c r="N78" s="493"/>
      <c r="O78" s="493"/>
      <c r="P78" s="493"/>
      <c r="Q78" s="493"/>
      <c r="R78" s="493"/>
      <c r="S78" s="493"/>
      <c r="T78" s="465" cm="1" t="str">
        <f t="array" ref="T78:T78">T77</f>
        <v>false</v>
      </c>
      <c r="U78" s="493"/>
      <c r="V78" s="493"/>
      <c r="W78" s="493"/>
      <c r="X78" s="1596"/>
      <c r="Y78" s="1596"/>
      <c r="Z78" s="1545"/>
      <c r="AA78" s="5251"/>
      <c r="AB78" s="904" t="s">
        <v>2370</v>
      </c>
      <c r="AC78" s="864" t="s">
        <v>2337</v>
      </c>
      <c r="AD78" s="2846"/>
      <c r="AE78" s="2846"/>
      <c r="AF78" s="1093">
        <f>IF(AD78=0,0,(AE78-AD78)/AD78*100)</f>
        <v>0</v>
      </c>
      <c r="AG78" s="2846"/>
      <c r="AH78" s="2846"/>
      <c r="AI78" s="1093">
        <f>IF(AG78=0,0,(AH78-AG78)/AG78*100)</f>
        <v>0</v>
      </c>
      <c r="AJ78" s="2846"/>
      <c r="AK78" s="2846"/>
      <c r="AL78" s="1093">
        <f>IF(AJ78=0,0,(AK78-AJ78)/AJ78*100)</f>
        <v>0</v>
      </c>
      <c r="AM78" s="2846"/>
      <c r="AN78" s="2846"/>
      <c r="AO78" s="1093">
        <f>IF(AM78=0,0,(AN78-AM78)/AM78*100)</f>
        <v>0</v>
      </c>
      <c r="AP78" s="2846"/>
      <c r="AQ78" s="2846"/>
      <c r="AR78" s="1093">
        <f>IF(AP78=0,0,(AQ78-AP78)/AP78*100)</f>
        <v>0</v>
      </c>
      <c r="AS78" s="2846"/>
      <c r="AT78" s="2846"/>
      <c r="AU78" s="1093">
        <f>IF(AS78=0,0,(AT78-AS78)/AS78*100)</f>
        <v>0</v>
      </c>
      <c r="AV78" s="2846"/>
      <c r="AW78" s="2846"/>
      <c r="AX78" s="1093">
        <f>IF(AV78=0,0,(AW78-AV78)/AV78*100)</f>
        <v>0</v>
      </c>
      <c r="AY78" s="2846"/>
      <c r="AZ78" s="2846"/>
      <c r="BA78" s="1093">
        <f>IF(AY78=0,0,(AZ78-AY78)/AY78*100)</f>
        <v>0</v>
      </c>
      <c r="BB78" s="2846"/>
      <c r="BC78" s="2846"/>
      <c r="BD78" s="1093">
        <f>IF(BB78=0,0,(BC78-BB78)/BB78*100)</f>
        <v>0</v>
      </c>
      <c r="BE78" s="2846"/>
      <c r="BF78" s="2846"/>
      <c r="BG78" s="1093">
        <f>IF(BE78=0,0,(BF78-BE78)/BE78*100)</f>
        <v>0</v>
      </c>
      <c r="BH78" s="2846"/>
      <c r="BI78" s="2846"/>
      <c r="BJ78" s="1093">
        <f>IF(BH78=0,0,(BI78-BH78)/BH78*100)</f>
        <v>0</v>
      </c>
      <c r="BK78" s="2846"/>
      <c r="BL78" s="2846"/>
      <c r="BM78" s="1093">
        <f>IF(BK78=0,0,(BL78-BK78)/BK78*100)</f>
        <v>0</v>
      </c>
      <c r="BN78" s="2846"/>
      <c r="BO78" s="2846"/>
      <c r="BP78" s="1093">
        <f>IF(BN78=0,0,(BO78-BN78)/BN78*100)</f>
        <v>0</v>
      </c>
      <c r="BQ78" s="2846"/>
      <c r="BR78" s="2846"/>
      <c r="BS78" s="1093">
        <f>IF(BQ78=0,0,(BR78-BQ78)/BQ78*100)</f>
        <v>0</v>
      </c>
      <c r="BT78" s="2846"/>
      <c r="BU78" s="2846"/>
      <c r="BV78" s="1093">
        <f>IF(BT78=0,0,(BU78-BT78)/BT78*100)</f>
        <v>0</v>
      </c>
      <c r="BW78" s="2846"/>
      <c r="BX78" s="2846"/>
      <c r="BY78" s="1093">
        <f>IF(BW78=0,0,(BX78-BW78)/BW78*100)</f>
        <v>0</v>
      </c>
      <c r="BZ78" s="2846"/>
      <c r="CA78" s="2846"/>
      <c r="CB78" s="1093">
        <f>IF(BZ78=0,0,(CA78-BZ78)/BZ78*100)</f>
        <v>0</v>
      </c>
      <c r="CC78" s="2846"/>
      <c r="CD78" s="2846"/>
      <c r="CE78" s="1093">
        <f>IF(CC78=0,0,(CD78-CC78)/CC78*100)</f>
        <v>0</v>
      </c>
      <c r="CF78" s="2846"/>
      <c r="CG78" s="2846"/>
      <c r="CH78" s="1093">
        <f>IF(CF78=0,0,(CG78-CF78)/CF78*100)</f>
        <v>0</v>
      </c>
      <c r="CI78" s="2846"/>
      <c r="CJ78" s="2846"/>
      <c r="CK78" s="1093">
        <f>IF(CI78=0,0,(CJ78-CI78)/CI78*100)</f>
        <v>0</v>
      </c>
      <c r="CL78" s="2846"/>
      <c r="CM78" s="2846"/>
      <c r="CN78" s="1093">
        <f>IF(CL78=0,0,(CM78-CL78)/CL78*100)</f>
        <v>0</v>
      </c>
      <c r="CO78" s="2846"/>
      <c r="CP78" s="2846"/>
      <c r="CQ78" s="1093">
        <f>IF(CO78=0,0,(CP78-CO78)/CO78*100)</f>
        <v>0</v>
      </c>
      <c r="CR78" s="2846"/>
      <c r="CS78" s="2846"/>
      <c r="CT78" s="1093">
        <f>IF(CR78=0,0,(CS78-CR78)/CR78*100)</f>
        <v>0</v>
      </c>
      <c r="CU78" s="2846"/>
      <c r="CV78" s="2846"/>
      <c r="CW78" s="1093">
        <f>IF(CU78=0,0,(CV78-CU78)/CU78*100)</f>
        <v>0</v>
      </c>
      <c r="CX78" s="2846"/>
      <c r="CY78" s="2846"/>
      <c r="CZ78" s="1093">
        <f>IF(CX78=0,0,(CY78-CX78)/CX78*100)</f>
        <v>0</v>
      </c>
      <c r="DA78" s="2846"/>
      <c r="DB78" s="2846"/>
      <c r="DC78" s="1093">
        <f>IF(DA78=0,0,(DB78-DA78)/DA78*100)</f>
        <v>0</v>
      </c>
      <c r="DD78" s="2846"/>
      <c r="DE78" s="2846"/>
      <c r="DF78" s="1093">
        <f>IF(DD78=0,0,(DE78-DD78)/DD78*100)</f>
        <v>0</v>
      </c>
      <c r="DG78" s="2846"/>
      <c r="DH78" s="2846"/>
      <c r="DI78" s="1093">
        <f>IF(DG78=0,0,(DH78-DG78)/DG78*100)</f>
        <v>0</v>
      </c>
      <c r="DJ78" s="2846"/>
      <c r="DK78" s="2846"/>
      <c r="DL78" s="1093">
        <f>IF(DJ78=0,0,(DK78-DJ78)/DJ78*100)</f>
        <v>0</v>
      </c>
      <c r="DM78" s="2846"/>
      <c r="DN78" s="2846"/>
      <c r="DO78" s="1093">
        <f>IF(DM78=0,0,(DN78-DM78)/DM78*100)</f>
        <v>0</v>
      </c>
      <c r="DP78" s="2846"/>
      <c r="DQ78" s="2846"/>
      <c r="DR78" s="1093">
        <f>IF(DP78=0,0,(DQ78-DP78)/DP78*100)</f>
        <v>0</v>
      </c>
      <c r="DS78" s="2846"/>
      <c r="DT78" s="2846"/>
      <c r="DU78" s="1093">
        <f>IF(DS78=0,0,(DT78-DS78)/DS78*100)</f>
        <v>0</v>
      </c>
      <c r="DV78" s="2846"/>
      <c r="DW78" s="2846"/>
      <c r="DX78" s="1093">
        <f>IF(DV78=0,0,(DW78-DV78)/DV78*100)</f>
        <v>0</v>
      </c>
      <c r="DY78" s="2846"/>
      <c r="DZ78" s="2846"/>
      <c r="EA78" s="1093">
        <f>IF(DY78=0,0,(DZ78-DY78)/DY78*100)</f>
        <v>0</v>
      </c>
      <c r="EB78" s="2846"/>
      <c r="EC78" s="2846"/>
      <c r="ED78" s="1093">
        <f>IF(EB78=0,0,(EC78-EB78)/EB78*100)</f>
        <v>0</v>
      </c>
      <c r="EE78" s="2846"/>
      <c r="EF78" s="2846"/>
      <c r="EG78" s="1093">
        <f>IF(EE78=0,0,(EF78-EE78)/EE78*100)</f>
        <v>0</v>
      </c>
      <c r="EH78" s="2846"/>
      <c r="EI78" s="2846"/>
      <c r="EJ78" s="1093">
        <f>IF(EH78=0,0,(EI78-EH78)/EH78*100)</f>
        <v>0</v>
      </c>
      <c r="EK78" s="2846"/>
      <c r="EL78" s="2846"/>
      <c r="EM78" s="1093">
        <f>IF(EK78=0,0,(EL78-EK78)/EK78*100)</f>
        <v>0</v>
      </c>
      <c r="EN78" s="2846"/>
      <c r="EO78" s="2846"/>
      <c r="EP78" s="1093">
        <f>IF(EN78=0,0,(EO78-EN78)/EN78*100)</f>
        <v>0</v>
      </c>
      <c r="EQ78" s="2846"/>
      <c r="ER78" s="2846"/>
      <c r="ES78" s="1093">
        <f>IF(EQ78=0,0,(ER78-EQ78)/EQ78*100)</f>
        <v>0</v>
      </c>
      <c r="ET78" s="2846"/>
      <c r="EU78" s="2846"/>
      <c r="EV78" s="1093">
        <f>IF(ET78=0,0,(EU78-ET78)/ET78*100)</f>
        <v>0</v>
      </c>
      <c r="EW78" s="2846"/>
      <c r="EX78" s="2846"/>
      <c r="EY78" s="1093">
        <f>IF(EW78=0,0,(EX78-EW78)/EW78*100)</f>
        <v>0</v>
      </c>
      <c r="EZ78" s="2846"/>
      <c r="FA78" s="2846"/>
      <c r="FB78" s="1093">
        <f>IF(EZ78=0,0,(FA78-EZ78)/EZ78*100)</f>
        <v>0</v>
      </c>
      <c r="FC78" s="2846"/>
      <c r="FD78" s="2846"/>
      <c r="FE78" s="1093">
        <f>IF(FC78=0,0,(FD78-FC78)/FC78*100)</f>
        <v>0</v>
      </c>
      <c r="FF78" s="2846"/>
      <c r="FG78" s="2846"/>
      <c r="FH78" s="1093">
        <f>IF(FF78=0,0,(FG78-FF78)/FF78*100)</f>
        <v>0</v>
      </c>
      <c r="FI78" s="2846"/>
      <c r="FJ78" s="2846"/>
      <c r="FK78" s="1093">
        <f>IF(FI78=0,0,(FJ78-FI78)/FI78*100)</f>
        <v>0</v>
      </c>
      <c r="FL78" s="2846"/>
      <c r="FM78" s="2846"/>
      <c r="FN78" s="1093">
        <f>IF(FL78=0,0,(FM78-FL78)/FL78*100)</f>
        <v>0</v>
      </c>
      <c r="FO78" s="2846"/>
      <c r="FP78" s="2846"/>
      <c r="FQ78" s="1093">
        <f>IF(FO78=0,0,(FP78-FO78)/FO78*100)</f>
        <v>0</v>
      </c>
      <c r="FR78" s="2846"/>
      <c r="FS78" s="2846"/>
      <c r="FT78" s="1093">
        <f>IF(FR78=0,0,(FS78-FR78)/FR78*100)</f>
        <v>0</v>
      </c>
      <c r="FU78" s="2846"/>
      <c r="FV78" s="2846"/>
      <c r="FW78" s="1093">
        <f>IF(FU78=0,0,(FV78-FU78)/FU78*100)</f>
        <v>0</v>
      </c>
      <c r="FZ78" s="1306" t="s">
        <v>2409</v>
      </c>
      <c r="GA78" s="1306" t="s">
        <v>1594</v>
      </c>
      <c r="GB78" s="1306" cm="1" t="str">
        <f t="array" ref="GB78:GB78">GB77</f>
        <v>0</v>
      </c>
    </row>
    <row customHeight="1" ht="18.525" hidden="1">
      <c r="A79" s="493"/>
      <c r="B79" s="925" cm="1" t="str">
        <f t="array" ref="B79:B79">B78</f>
        <v>false</v>
      </c>
      <c r="C79" s="493"/>
      <c r="D79" s="493"/>
      <c r="E79" s="840">
        <v>19</v>
      </c>
      <c r="F79" s="50" cm="1" t="str">
        <f t="array" ref="F79:F79">OFFSET(E79,-1,1)</f>
        <v>0</v>
      </c>
      <c r="G79" s="493"/>
      <c r="H79" s="493"/>
      <c r="I79" s="493"/>
      <c r="J79" s="493"/>
      <c r="K79" s="493"/>
      <c r="L79" s="493"/>
      <c r="M79" s="493"/>
      <c r="N79" s="493"/>
      <c r="O79" s="493"/>
      <c r="P79" s="493"/>
      <c r="Q79" s="493"/>
      <c r="R79" s="493"/>
      <c r="S79" s="493"/>
      <c r="T79" s="465" cm="1" t="str">
        <f t="array" ref="T79:T79">T78</f>
        <v>false</v>
      </c>
      <c r="U79" s="493"/>
      <c r="V79" s="493"/>
      <c r="W79" s="493"/>
      <c r="X79" s="1596"/>
      <c r="Y79" s="1596"/>
      <c r="Z79" s="1545"/>
      <c r="AA79" s="5251"/>
      <c r="AB79" s="904" t="str">
        <f>"ставка платы за "&amp;IF(Q35="Водоснабжение","потребление 1 куб.м холодной воды","объем принятых сточных вод")</f>
        <v>ставка платы за объем принятых сточных вод</v>
      </c>
      <c r="AC79" s="864" t="s">
        <v>2337</v>
      </c>
      <c r="AD79" s="2846"/>
      <c r="AE79" s="2846"/>
      <c r="AF79" s="1093">
        <f>IF(AD79=0,0,(AE79-AD79)/AD79*100)</f>
        <v>0</v>
      </c>
      <c r="AG79" s="2846"/>
      <c r="AH79" s="2846"/>
      <c r="AI79" s="1093">
        <f>IF(AG79=0,0,(AH79-AG79)/AG79*100)</f>
        <v>0</v>
      </c>
      <c r="AJ79" s="2846"/>
      <c r="AK79" s="2846"/>
      <c r="AL79" s="1093">
        <f>IF(AJ79=0,0,(AK79-AJ79)/AJ79*100)</f>
        <v>0</v>
      </c>
      <c r="AM79" s="2846"/>
      <c r="AN79" s="2846"/>
      <c r="AO79" s="1093">
        <f>IF(AM79=0,0,(AN79-AM79)/AM79*100)</f>
        <v>0</v>
      </c>
      <c r="AP79" s="2846"/>
      <c r="AQ79" s="2846"/>
      <c r="AR79" s="1093">
        <f>IF(AP79=0,0,(AQ79-AP79)/AP79*100)</f>
        <v>0</v>
      </c>
      <c r="AS79" s="2846"/>
      <c r="AT79" s="2846"/>
      <c r="AU79" s="1093">
        <f>IF(AS79=0,0,(AT79-AS79)/AS79*100)</f>
        <v>0</v>
      </c>
      <c r="AV79" s="2846"/>
      <c r="AW79" s="2846"/>
      <c r="AX79" s="1093">
        <f>IF(AV79=0,0,(AW79-AV79)/AV79*100)</f>
        <v>0</v>
      </c>
      <c r="AY79" s="2846"/>
      <c r="AZ79" s="2846"/>
      <c r="BA79" s="1093">
        <f>IF(AY79=0,0,(AZ79-AY79)/AY79*100)</f>
        <v>0</v>
      </c>
      <c r="BB79" s="2846"/>
      <c r="BC79" s="2846"/>
      <c r="BD79" s="1093">
        <f>IF(BB79=0,0,(BC79-BB79)/BB79*100)</f>
        <v>0</v>
      </c>
      <c r="BE79" s="2846"/>
      <c r="BF79" s="2846"/>
      <c r="BG79" s="1093">
        <f>IF(BE79=0,0,(BF79-BE79)/BE79*100)</f>
        <v>0</v>
      </c>
      <c r="BH79" s="2846"/>
      <c r="BI79" s="2846"/>
      <c r="BJ79" s="1093">
        <f>IF(BH79=0,0,(BI79-BH79)/BH79*100)</f>
        <v>0</v>
      </c>
      <c r="BK79" s="2846"/>
      <c r="BL79" s="2846"/>
      <c r="BM79" s="1093">
        <f>IF(BK79=0,0,(BL79-BK79)/BK79*100)</f>
        <v>0</v>
      </c>
      <c r="BN79" s="2846"/>
      <c r="BO79" s="2846"/>
      <c r="BP79" s="1093">
        <f>IF(BN79=0,0,(BO79-BN79)/BN79*100)</f>
        <v>0</v>
      </c>
      <c r="BQ79" s="2846"/>
      <c r="BR79" s="2846"/>
      <c r="BS79" s="1093">
        <f>IF(BQ79=0,0,(BR79-BQ79)/BQ79*100)</f>
        <v>0</v>
      </c>
      <c r="BT79" s="2846"/>
      <c r="BU79" s="2846"/>
      <c r="BV79" s="1093">
        <f>IF(BT79=0,0,(BU79-BT79)/BT79*100)</f>
        <v>0</v>
      </c>
      <c r="BW79" s="2846"/>
      <c r="BX79" s="2846"/>
      <c r="BY79" s="1093">
        <f>IF(BW79=0,0,(BX79-BW79)/BW79*100)</f>
        <v>0</v>
      </c>
      <c r="BZ79" s="2846"/>
      <c r="CA79" s="2846"/>
      <c r="CB79" s="1093">
        <f>IF(BZ79=0,0,(CA79-BZ79)/BZ79*100)</f>
        <v>0</v>
      </c>
      <c r="CC79" s="2846"/>
      <c r="CD79" s="2846"/>
      <c r="CE79" s="1093">
        <f>IF(CC79=0,0,(CD79-CC79)/CC79*100)</f>
        <v>0</v>
      </c>
      <c r="CF79" s="2846"/>
      <c r="CG79" s="2846"/>
      <c r="CH79" s="1093">
        <f>IF(CF79=0,0,(CG79-CF79)/CF79*100)</f>
        <v>0</v>
      </c>
      <c r="CI79" s="2846"/>
      <c r="CJ79" s="2846"/>
      <c r="CK79" s="1093">
        <f>IF(CI79=0,0,(CJ79-CI79)/CI79*100)</f>
        <v>0</v>
      </c>
      <c r="CL79" s="2846"/>
      <c r="CM79" s="2846"/>
      <c r="CN79" s="1093">
        <f>IF(CL79=0,0,(CM79-CL79)/CL79*100)</f>
        <v>0</v>
      </c>
      <c r="CO79" s="2846"/>
      <c r="CP79" s="2846"/>
      <c r="CQ79" s="1093">
        <f>IF(CO79=0,0,(CP79-CO79)/CO79*100)</f>
        <v>0</v>
      </c>
      <c r="CR79" s="2846"/>
      <c r="CS79" s="2846"/>
      <c r="CT79" s="1093">
        <f>IF(CR79=0,0,(CS79-CR79)/CR79*100)</f>
        <v>0</v>
      </c>
      <c r="CU79" s="2846"/>
      <c r="CV79" s="2846"/>
      <c r="CW79" s="1093">
        <f>IF(CU79=0,0,(CV79-CU79)/CU79*100)</f>
        <v>0</v>
      </c>
      <c r="CX79" s="2846"/>
      <c r="CY79" s="2846"/>
      <c r="CZ79" s="1093">
        <f>IF(CX79=0,0,(CY79-CX79)/CX79*100)</f>
        <v>0</v>
      </c>
      <c r="DA79" s="2846"/>
      <c r="DB79" s="2846"/>
      <c r="DC79" s="1093">
        <f>IF(DA79=0,0,(DB79-DA79)/DA79*100)</f>
        <v>0</v>
      </c>
      <c r="DD79" s="2846"/>
      <c r="DE79" s="2846"/>
      <c r="DF79" s="1093">
        <f>IF(DD79=0,0,(DE79-DD79)/DD79*100)</f>
        <v>0</v>
      </c>
      <c r="DG79" s="2846"/>
      <c r="DH79" s="2846"/>
      <c r="DI79" s="1093">
        <f>IF(DG79=0,0,(DH79-DG79)/DG79*100)</f>
        <v>0</v>
      </c>
      <c r="DJ79" s="2846"/>
      <c r="DK79" s="2846"/>
      <c r="DL79" s="1093">
        <f>IF(DJ79=0,0,(DK79-DJ79)/DJ79*100)</f>
        <v>0</v>
      </c>
      <c r="DM79" s="2846"/>
      <c r="DN79" s="2846"/>
      <c r="DO79" s="1093">
        <f>IF(DM79=0,0,(DN79-DM79)/DM79*100)</f>
        <v>0</v>
      </c>
      <c r="DP79" s="2846"/>
      <c r="DQ79" s="2846"/>
      <c r="DR79" s="1093">
        <f>IF(DP79=0,0,(DQ79-DP79)/DP79*100)</f>
        <v>0</v>
      </c>
      <c r="DS79" s="2846"/>
      <c r="DT79" s="2846"/>
      <c r="DU79" s="1093">
        <f>IF(DS79=0,0,(DT79-DS79)/DS79*100)</f>
        <v>0</v>
      </c>
      <c r="DV79" s="2846"/>
      <c r="DW79" s="2846"/>
      <c r="DX79" s="1093">
        <f>IF(DV79=0,0,(DW79-DV79)/DV79*100)</f>
        <v>0</v>
      </c>
      <c r="DY79" s="2846"/>
      <c r="DZ79" s="2846"/>
      <c r="EA79" s="1093">
        <f>IF(DY79=0,0,(DZ79-DY79)/DY79*100)</f>
        <v>0</v>
      </c>
      <c r="EB79" s="2846"/>
      <c r="EC79" s="2846"/>
      <c r="ED79" s="1093">
        <f>IF(EB79=0,0,(EC79-EB79)/EB79*100)</f>
        <v>0</v>
      </c>
      <c r="EE79" s="2846"/>
      <c r="EF79" s="2846"/>
      <c r="EG79" s="1093">
        <f>IF(EE79=0,0,(EF79-EE79)/EE79*100)</f>
        <v>0</v>
      </c>
      <c r="EH79" s="2846"/>
      <c r="EI79" s="2846"/>
      <c r="EJ79" s="1093">
        <f>IF(EH79=0,0,(EI79-EH79)/EH79*100)</f>
        <v>0</v>
      </c>
      <c r="EK79" s="2846"/>
      <c r="EL79" s="2846"/>
      <c r="EM79" s="1093">
        <f>IF(EK79=0,0,(EL79-EK79)/EK79*100)</f>
        <v>0</v>
      </c>
      <c r="EN79" s="2846"/>
      <c r="EO79" s="2846"/>
      <c r="EP79" s="1093">
        <f>IF(EN79=0,0,(EO79-EN79)/EN79*100)</f>
        <v>0</v>
      </c>
      <c r="EQ79" s="2846"/>
      <c r="ER79" s="2846"/>
      <c r="ES79" s="1093">
        <f>IF(EQ79=0,0,(ER79-EQ79)/EQ79*100)</f>
        <v>0</v>
      </c>
      <c r="ET79" s="2846"/>
      <c r="EU79" s="2846"/>
      <c r="EV79" s="1093">
        <f>IF(ET79=0,0,(EU79-ET79)/ET79*100)</f>
        <v>0</v>
      </c>
      <c r="EW79" s="2846"/>
      <c r="EX79" s="2846"/>
      <c r="EY79" s="1093">
        <f>IF(EW79=0,0,(EX79-EW79)/EW79*100)</f>
        <v>0</v>
      </c>
      <c r="EZ79" s="2846"/>
      <c r="FA79" s="2846"/>
      <c r="FB79" s="1093">
        <f>IF(EZ79=0,0,(FA79-EZ79)/EZ79*100)</f>
        <v>0</v>
      </c>
      <c r="FC79" s="2846"/>
      <c r="FD79" s="2846"/>
      <c r="FE79" s="1093">
        <f>IF(FC79=0,0,(FD79-FC79)/FC79*100)</f>
        <v>0</v>
      </c>
      <c r="FF79" s="2846"/>
      <c r="FG79" s="2846"/>
      <c r="FH79" s="1093">
        <f>IF(FF79=0,0,(FG79-FF79)/FF79*100)</f>
        <v>0</v>
      </c>
      <c r="FI79" s="2846"/>
      <c r="FJ79" s="2846"/>
      <c r="FK79" s="1093">
        <f>IF(FI79=0,0,(FJ79-FI79)/FI79*100)</f>
        <v>0</v>
      </c>
      <c r="FL79" s="2846"/>
      <c r="FM79" s="2846"/>
      <c r="FN79" s="1093">
        <f>IF(FL79=0,0,(FM79-FL79)/FL79*100)</f>
        <v>0</v>
      </c>
      <c r="FO79" s="2846"/>
      <c r="FP79" s="2846"/>
      <c r="FQ79" s="1093">
        <f>IF(FO79=0,0,(FP79-FO79)/FO79*100)</f>
        <v>0</v>
      </c>
      <c r="FR79" s="2846"/>
      <c r="FS79" s="2846"/>
      <c r="FT79" s="1093">
        <f>IF(FR79=0,0,(FS79-FR79)/FR79*100)</f>
        <v>0</v>
      </c>
      <c r="FU79" s="2846"/>
      <c r="FV79" s="2846"/>
      <c r="FW79" s="1093">
        <f>IF(FU79=0,0,(FV79-FU79)/FU79*100)</f>
        <v>0</v>
      </c>
      <c r="FZ79" s="1306" t="s">
        <v>2410</v>
      </c>
      <c r="GA79" s="1306" t="s">
        <v>1594</v>
      </c>
      <c r="GB79" s="1306" cm="1" t="str">
        <f t="array" ref="GB79:GB79">GB78</f>
        <v>0</v>
      </c>
    </row>
    <row customHeight="1" ht="18.525" hidden="1">
      <c r="A80" s="493"/>
      <c r="B80" s="925" cm="1" t="str">
        <f t="array" ref="B80:B80">B79</f>
        <v>false</v>
      </c>
      <c r="C80" s="493"/>
      <c r="D80" s="493"/>
      <c r="E80" s="840">
        <v>19</v>
      </c>
      <c r="F80" s="50" cm="1" t="str">
        <f t="array" ref="F80:F80">OFFSET(E80,-1,1)</f>
        <v>0</v>
      </c>
      <c r="G80" s="493"/>
      <c r="H80" s="493"/>
      <c r="I80" s="493"/>
      <c r="J80" s="493"/>
      <c r="K80" s="493"/>
      <c r="L80" s="493"/>
      <c r="M80" s="493"/>
      <c r="N80" s="493"/>
      <c r="O80" s="493"/>
      <c r="P80" s="493"/>
      <c r="Q80" s="493"/>
      <c r="R80" s="493"/>
      <c r="S80" s="493"/>
      <c r="T80" s="465" cm="1" t="str">
        <f t="array" ref="T80:T80">T79</f>
        <v>false</v>
      </c>
      <c r="U80" s="493"/>
      <c r="V80" s="493"/>
      <c r="W80" s="493"/>
      <c r="X80" s="1596"/>
      <c r="Y80" s="1596"/>
      <c r="Z80" s="1545"/>
      <c r="AA80" s="5251"/>
      <c r="AB80" s="904" t="str">
        <f>"объём "&amp;IF(Q35="Водоснабжение","потребления холодной воды","водоотведения")</f>
        <v>объём водоотведения</v>
      </c>
      <c r="AC80" s="864" t="s">
        <v>1247</v>
      </c>
      <c r="AD80" s="5247"/>
      <c r="AE80" s="5247"/>
      <c r="AF80" s="1095">
        <f>IF(AD80=0,0,(AE80-AD80)/AD80*100)</f>
        <v>0</v>
      </c>
      <c r="AG80" s="5247"/>
      <c r="AH80" s="5247"/>
      <c r="AI80" s="1095">
        <f>IF(AG80=0,0,(AH80-AG80)/AG80*100)</f>
        <v>0</v>
      </c>
      <c r="AJ80" s="5247"/>
      <c r="AK80" s="5247"/>
      <c r="AL80" s="1095">
        <f>IF(AJ80=0,0,(AK80-AJ80)/AJ80*100)</f>
        <v>0</v>
      </c>
      <c r="AM80" s="5247"/>
      <c r="AN80" s="5247"/>
      <c r="AO80" s="1095">
        <f>IF(AM80=0,0,(AN80-AM80)/AM80*100)</f>
        <v>0</v>
      </c>
      <c r="AP80" s="5247"/>
      <c r="AQ80" s="5247"/>
      <c r="AR80" s="1095">
        <f>IF(AP80=0,0,(AQ80-AP80)/AP80*100)</f>
        <v>0</v>
      </c>
      <c r="AS80" s="5247"/>
      <c r="AT80" s="5247"/>
      <c r="AU80" s="1095">
        <f>IF(AS80=0,0,(AT80-AS80)/AS80*100)</f>
        <v>0</v>
      </c>
      <c r="AV80" s="5247"/>
      <c r="AW80" s="5247"/>
      <c r="AX80" s="1095">
        <f>IF(AV80=0,0,(AW80-AV80)/AV80*100)</f>
        <v>0</v>
      </c>
      <c r="AY80" s="5247"/>
      <c r="AZ80" s="5247"/>
      <c r="BA80" s="1095">
        <f>IF(AY80=0,0,(AZ80-AY80)/AY80*100)</f>
        <v>0</v>
      </c>
      <c r="BB80" s="5247"/>
      <c r="BC80" s="5247"/>
      <c r="BD80" s="1095">
        <f>IF(BB80=0,0,(BC80-BB80)/BB80*100)</f>
        <v>0</v>
      </c>
      <c r="BE80" s="5247"/>
      <c r="BF80" s="5247"/>
      <c r="BG80" s="1095">
        <f>IF(BE80=0,0,(BF80-BE80)/BE80*100)</f>
        <v>0</v>
      </c>
      <c r="BH80" s="5247"/>
      <c r="BI80" s="5247"/>
      <c r="BJ80" s="1095">
        <f>IF(BH80=0,0,(BI80-BH80)/BH80*100)</f>
        <v>0</v>
      </c>
      <c r="BK80" s="5247"/>
      <c r="BL80" s="5247"/>
      <c r="BM80" s="1095">
        <f>IF(BK80=0,0,(BL80-BK80)/BK80*100)</f>
        <v>0</v>
      </c>
      <c r="BN80" s="5247"/>
      <c r="BO80" s="5247"/>
      <c r="BP80" s="1095">
        <f>IF(BN80=0,0,(BO80-BN80)/BN80*100)</f>
        <v>0</v>
      </c>
      <c r="BQ80" s="5247"/>
      <c r="BR80" s="5247"/>
      <c r="BS80" s="1095">
        <f>IF(BQ80=0,0,(BR80-BQ80)/BQ80*100)</f>
        <v>0</v>
      </c>
      <c r="BT80" s="5247"/>
      <c r="BU80" s="5247"/>
      <c r="BV80" s="1095">
        <f>IF(BT80=0,0,(BU80-BT80)/BT80*100)</f>
        <v>0</v>
      </c>
      <c r="BW80" s="5247"/>
      <c r="BX80" s="5247"/>
      <c r="BY80" s="1095">
        <f>IF(BW80=0,0,(BX80-BW80)/BW80*100)</f>
        <v>0</v>
      </c>
      <c r="BZ80" s="5247"/>
      <c r="CA80" s="5247"/>
      <c r="CB80" s="1095">
        <f>IF(BZ80=0,0,(CA80-BZ80)/BZ80*100)</f>
        <v>0</v>
      </c>
      <c r="CC80" s="5247"/>
      <c r="CD80" s="5247"/>
      <c r="CE80" s="1095">
        <f>IF(CC80=0,0,(CD80-CC80)/CC80*100)</f>
        <v>0</v>
      </c>
      <c r="CF80" s="5247"/>
      <c r="CG80" s="5247"/>
      <c r="CH80" s="1095">
        <f>IF(CF80=0,0,(CG80-CF80)/CF80*100)</f>
        <v>0</v>
      </c>
      <c r="CI80" s="5247"/>
      <c r="CJ80" s="5247"/>
      <c r="CK80" s="1095">
        <f>IF(CI80=0,0,(CJ80-CI80)/CI80*100)</f>
        <v>0</v>
      </c>
      <c r="CL80" s="5247"/>
      <c r="CM80" s="5247"/>
      <c r="CN80" s="1095">
        <f>IF(CL80=0,0,(CM80-CL80)/CL80*100)</f>
        <v>0</v>
      </c>
      <c r="CO80" s="5247"/>
      <c r="CP80" s="5247"/>
      <c r="CQ80" s="1095">
        <f>IF(CO80=0,0,(CP80-CO80)/CO80*100)</f>
        <v>0</v>
      </c>
      <c r="CR80" s="5247"/>
      <c r="CS80" s="5247"/>
      <c r="CT80" s="1095">
        <f>IF(CR80=0,0,(CS80-CR80)/CR80*100)</f>
        <v>0</v>
      </c>
      <c r="CU80" s="5247"/>
      <c r="CV80" s="5247"/>
      <c r="CW80" s="1095">
        <f>IF(CU80=0,0,(CV80-CU80)/CU80*100)</f>
        <v>0</v>
      </c>
      <c r="CX80" s="5247"/>
      <c r="CY80" s="5247"/>
      <c r="CZ80" s="1095">
        <f>IF(CX80=0,0,(CY80-CX80)/CX80*100)</f>
        <v>0</v>
      </c>
      <c r="DA80" s="5247"/>
      <c r="DB80" s="5247"/>
      <c r="DC80" s="1095">
        <f>IF(DA80=0,0,(DB80-DA80)/DA80*100)</f>
        <v>0</v>
      </c>
      <c r="DD80" s="5247"/>
      <c r="DE80" s="5247"/>
      <c r="DF80" s="1095">
        <f>IF(DD80=0,0,(DE80-DD80)/DD80*100)</f>
        <v>0</v>
      </c>
      <c r="DG80" s="5247"/>
      <c r="DH80" s="5247"/>
      <c r="DI80" s="1095">
        <f>IF(DG80=0,0,(DH80-DG80)/DG80*100)</f>
        <v>0</v>
      </c>
      <c r="DJ80" s="5247"/>
      <c r="DK80" s="5247"/>
      <c r="DL80" s="1095">
        <f>IF(DJ80=0,0,(DK80-DJ80)/DJ80*100)</f>
        <v>0</v>
      </c>
      <c r="DM80" s="5247"/>
      <c r="DN80" s="5247"/>
      <c r="DO80" s="1095">
        <f>IF(DM80=0,0,(DN80-DM80)/DM80*100)</f>
        <v>0</v>
      </c>
      <c r="DP80" s="5247"/>
      <c r="DQ80" s="5247"/>
      <c r="DR80" s="1095">
        <f>IF(DP80=0,0,(DQ80-DP80)/DP80*100)</f>
        <v>0</v>
      </c>
      <c r="DS80" s="5247"/>
      <c r="DT80" s="5247"/>
      <c r="DU80" s="1095">
        <f>IF(DS80=0,0,(DT80-DS80)/DS80*100)</f>
        <v>0</v>
      </c>
      <c r="DV80" s="5247"/>
      <c r="DW80" s="5247"/>
      <c r="DX80" s="1095">
        <f>IF(DV80=0,0,(DW80-DV80)/DV80*100)</f>
        <v>0</v>
      </c>
      <c r="DY80" s="5247"/>
      <c r="DZ80" s="5247"/>
      <c r="EA80" s="1095">
        <f>IF(DY80=0,0,(DZ80-DY80)/DY80*100)</f>
        <v>0</v>
      </c>
      <c r="EB80" s="5247"/>
      <c r="EC80" s="5247"/>
      <c r="ED80" s="1095">
        <f>IF(EB80=0,0,(EC80-EB80)/EB80*100)</f>
        <v>0</v>
      </c>
      <c r="EE80" s="5247"/>
      <c r="EF80" s="5247"/>
      <c r="EG80" s="1095">
        <f>IF(EE80=0,0,(EF80-EE80)/EE80*100)</f>
        <v>0</v>
      </c>
      <c r="EH80" s="5247"/>
      <c r="EI80" s="5247"/>
      <c r="EJ80" s="1095">
        <f>IF(EH80=0,0,(EI80-EH80)/EH80*100)</f>
        <v>0</v>
      </c>
      <c r="EK80" s="5247"/>
      <c r="EL80" s="5247"/>
      <c r="EM80" s="1095">
        <f>IF(EK80=0,0,(EL80-EK80)/EK80*100)</f>
        <v>0</v>
      </c>
      <c r="EN80" s="5247"/>
      <c r="EO80" s="5247"/>
      <c r="EP80" s="1095">
        <f>IF(EN80=0,0,(EO80-EN80)/EN80*100)</f>
        <v>0</v>
      </c>
      <c r="EQ80" s="5247"/>
      <c r="ER80" s="5247"/>
      <c r="ES80" s="1095">
        <f>IF(EQ80=0,0,(ER80-EQ80)/EQ80*100)</f>
        <v>0</v>
      </c>
      <c r="ET80" s="5247"/>
      <c r="EU80" s="5247"/>
      <c r="EV80" s="1095">
        <f>IF(ET80=0,0,(EU80-ET80)/ET80*100)</f>
        <v>0</v>
      </c>
      <c r="EW80" s="5247"/>
      <c r="EX80" s="5247"/>
      <c r="EY80" s="1095">
        <f>IF(EW80=0,0,(EX80-EW80)/EW80*100)</f>
        <v>0</v>
      </c>
      <c r="EZ80" s="5247"/>
      <c r="FA80" s="5247"/>
      <c r="FB80" s="1095">
        <f>IF(EZ80=0,0,(FA80-EZ80)/EZ80*100)</f>
        <v>0</v>
      </c>
      <c r="FC80" s="5247"/>
      <c r="FD80" s="5247"/>
      <c r="FE80" s="1095">
        <f>IF(FC80=0,0,(FD80-FC80)/FC80*100)</f>
        <v>0</v>
      </c>
      <c r="FF80" s="5247"/>
      <c r="FG80" s="5247"/>
      <c r="FH80" s="1095">
        <f>IF(FF80=0,0,(FG80-FF80)/FF80*100)</f>
        <v>0</v>
      </c>
      <c r="FI80" s="5247"/>
      <c r="FJ80" s="5247"/>
      <c r="FK80" s="1095">
        <f>IF(FI80=0,0,(FJ80-FI80)/FI80*100)</f>
        <v>0</v>
      </c>
      <c r="FL80" s="5247"/>
      <c r="FM80" s="5247"/>
      <c r="FN80" s="1095">
        <f>IF(FL80=0,0,(FM80-FL80)/FL80*100)</f>
        <v>0</v>
      </c>
      <c r="FO80" s="5247"/>
      <c r="FP80" s="5247"/>
      <c r="FQ80" s="1095">
        <f>IF(FO80=0,0,(FP80-FO80)/FO80*100)</f>
        <v>0</v>
      </c>
      <c r="FR80" s="5247"/>
      <c r="FS80" s="5247"/>
      <c r="FT80" s="1095">
        <f>IF(FR80=0,0,(FS80-FR80)/FR80*100)</f>
        <v>0</v>
      </c>
      <c r="FU80" s="5247"/>
      <c r="FV80" s="5247"/>
      <c r="FW80" s="1095">
        <f>IF(FU80=0,0,(FV80-FU80)/FU80*100)</f>
        <v>0</v>
      </c>
      <c r="FZ80" s="1306" t="s">
        <v>2411</v>
      </c>
      <c r="GA80" s="1306" t="s">
        <v>1594</v>
      </c>
      <c r="GB80" s="1306" cm="1" t="str">
        <f t="array" ref="GB80:GB80">GB79</f>
        <v>0</v>
      </c>
    </row>
    <row customHeight="1" ht="23.25" hidden="1">
      <c r="A81" s="493"/>
      <c r="B81" s="925" cm="1" t="str">
        <f t="array" ref="B81:B81">B80</f>
        <v>false</v>
      </c>
      <c r="C81" s="493"/>
      <c r="D81" s="493"/>
      <c r="E81" s="840">
        <v>19</v>
      </c>
      <c r="F81" s="50" cm="1" t="str">
        <f t="array" ref="F81:F81">OFFSET(E81,-1,1)</f>
        <v>0</v>
      </c>
      <c r="G81" s="493"/>
      <c r="H81" s="493"/>
      <c r="I81" s="493"/>
      <c r="J81" s="493"/>
      <c r="K81" s="493"/>
      <c r="L81" s="493"/>
      <c r="M81" s="493"/>
      <c r="N81" s="493"/>
      <c r="O81" s="493"/>
      <c r="P81" s="493"/>
      <c r="Q81" s="493"/>
      <c r="R81" s="493"/>
      <c r="S81" s="493"/>
      <c r="T81" s="465" cm="1" t="str">
        <f t="array" ref="T81:T81">T80</f>
        <v>false</v>
      </c>
      <c r="U81" s="493"/>
      <c r="V81" s="493"/>
      <c r="W81" s="493"/>
      <c r="X81" s="1596"/>
      <c r="Y81" s="1596"/>
      <c r="Z81" s="1545"/>
      <c r="AA81" s="5251"/>
      <c r="AB81" s="904" t="str">
        <f>"ставка платы за содержание системы "&amp;IF(Q35="Водоснабжение","холодного водоснабжения","водоотведения")</f>
        <v>ставка платы за содержание системы водоотведения</v>
      </c>
      <c r="AC81" s="864" t="s">
        <v>2377</v>
      </c>
      <c r="AD81" s="2846"/>
      <c r="AE81" s="2846"/>
      <c r="AF81" s="1093">
        <f>IF(AD81=0,0,(AE81-AD81)/AD81*100)</f>
        <v>0</v>
      </c>
      <c r="AG81" s="2846"/>
      <c r="AH81" s="2846"/>
      <c r="AI81" s="1093">
        <f>IF(AG81=0,0,(AH81-AG81)/AG81*100)</f>
        <v>0</v>
      </c>
      <c r="AJ81" s="2846"/>
      <c r="AK81" s="2846"/>
      <c r="AL81" s="1093">
        <f>IF(AJ81=0,0,(AK81-AJ81)/AJ81*100)</f>
        <v>0</v>
      </c>
      <c r="AM81" s="2846"/>
      <c r="AN81" s="2846"/>
      <c r="AO81" s="1093">
        <f>IF(AM81=0,0,(AN81-AM81)/AM81*100)</f>
        <v>0</v>
      </c>
      <c r="AP81" s="2846"/>
      <c r="AQ81" s="2846"/>
      <c r="AR81" s="1093">
        <f>IF(AP81=0,0,(AQ81-AP81)/AP81*100)</f>
        <v>0</v>
      </c>
      <c r="AS81" s="2846"/>
      <c r="AT81" s="2846"/>
      <c r="AU81" s="1093">
        <f>IF(AS81=0,0,(AT81-AS81)/AS81*100)</f>
        <v>0</v>
      </c>
      <c r="AV81" s="2846"/>
      <c r="AW81" s="2846"/>
      <c r="AX81" s="1093">
        <f>IF(AV81=0,0,(AW81-AV81)/AV81*100)</f>
        <v>0</v>
      </c>
      <c r="AY81" s="2846"/>
      <c r="AZ81" s="2846"/>
      <c r="BA81" s="1093">
        <f>IF(AY81=0,0,(AZ81-AY81)/AY81*100)</f>
        <v>0</v>
      </c>
      <c r="BB81" s="2846"/>
      <c r="BC81" s="2846"/>
      <c r="BD81" s="1093">
        <f>IF(BB81=0,0,(BC81-BB81)/BB81*100)</f>
        <v>0</v>
      </c>
      <c r="BE81" s="2846"/>
      <c r="BF81" s="2846"/>
      <c r="BG81" s="1093">
        <f>IF(BE81=0,0,(BF81-BE81)/BE81*100)</f>
        <v>0</v>
      </c>
      <c r="BH81" s="2846"/>
      <c r="BI81" s="2846"/>
      <c r="BJ81" s="1093">
        <f>IF(BH81=0,0,(BI81-BH81)/BH81*100)</f>
        <v>0</v>
      </c>
      <c r="BK81" s="2846"/>
      <c r="BL81" s="2846"/>
      <c r="BM81" s="1093">
        <f>IF(BK81=0,0,(BL81-BK81)/BK81*100)</f>
        <v>0</v>
      </c>
      <c r="BN81" s="2846"/>
      <c r="BO81" s="2846"/>
      <c r="BP81" s="1093">
        <f>IF(BN81=0,0,(BO81-BN81)/BN81*100)</f>
        <v>0</v>
      </c>
      <c r="BQ81" s="2846"/>
      <c r="BR81" s="2846"/>
      <c r="BS81" s="1093">
        <f>IF(BQ81=0,0,(BR81-BQ81)/BQ81*100)</f>
        <v>0</v>
      </c>
      <c r="BT81" s="2846"/>
      <c r="BU81" s="2846"/>
      <c r="BV81" s="1093">
        <f>IF(BT81=0,0,(BU81-BT81)/BT81*100)</f>
        <v>0</v>
      </c>
      <c r="BW81" s="2846"/>
      <c r="BX81" s="2846"/>
      <c r="BY81" s="1093">
        <f>IF(BW81=0,0,(BX81-BW81)/BW81*100)</f>
        <v>0</v>
      </c>
      <c r="BZ81" s="2846"/>
      <c r="CA81" s="2846"/>
      <c r="CB81" s="1093">
        <f>IF(BZ81=0,0,(CA81-BZ81)/BZ81*100)</f>
        <v>0</v>
      </c>
      <c r="CC81" s="2846"/>
      <c r="CD81" s="2846"/>
      <c r="CE81" s="1093">
        <f>IF(CC81=0,0,(CD81-CC81)/CC81*100)</f>
        <v>0</v>
      </c>
      <c r="CF81" s="2846"/>
      <c r="CG81" s="2846"/>
      <c r="CH81" s="1093">
        <f>IF(CF81=0,0,(CG81-CF81)/CF81*100)</f>
        <v>0</v>
      </c>
      <c r="CI81" s="2846"/>
      <c r="CJ81" s="2846"/>
      <c r="CK81" s="1093">
        <f>IF(CI81=0,0,(CJ81-CI81)/CI81*100)</f>
        <v>0</v>
      </c>
      <c r="CL81" s="2846"/>
      <c r="CM81" s="2846"/>
      <c r="CN81" s="1093">
        <f>IF(CL81=0,0,(CM81-CL81)/CL81*100)</f>
        <v>0</v>
      </c>
      <c r="CO81" s="2846"/>
      <c r="CP81" s="2846"/>
      <c r="CQ81" s="1093">
        <f>IF(CO81=0,0,(CP81-CO81)/CO81*100)</f>
        <v>0</v>
      </c>
      <c r="CR81" s="2846"/>
      <c r="CS81" s="2846"/>
      <c r="CT81" s="1093">
        <f>IF(CR81=0,0,(CS81-CR81)/CR81*100)</f>
        <v>0</v>
      </c>
      <c r="CU81" s="2846"/>
      <c r="CV81" s="2846"/>
      <c r="CW81" s="1093">
        <f>IF(CU81=0,0,(CV81-CU81)/CU81*100)</f>
        <v>0</v>
      </c>
      <c r="CX81" s="2846"/>
      <c r="CY81" s="2846"/>
      <c r="CZ81" s="1093">
        <f>IF(CX81=0,0,(CY81-CX81)/CX81*100)</f>
        <v>0</v>
      </c>
      <c r="DA81" s="2846"/>
      <c r="DB81" s="2846"/>
      <c r="DC81" s="1093">
        <f>IF(DA81=0,0,(DB81-DA81)/DA81*100)</f>
        <v>0</v>
      </c>
      <c r="DD81" s="2846"/>
      <c r="DE81" s="2846"/>
      <c r="DF81" s="1093">
        <f>IF(DD81=0,0,(DE81-DD81)/DD81*100)</f>
        <v>0</v>
      </c>
      <c r="DG81" s="2846"/>
      <c r="DH81" s="2846"/>
      <c r="DI81" s="1093">
        <f>IF(DG81=0,0,(DH81-DG81)/DG81*100)</f>
        <v>0</v>
      </c>
      <c r="DJ81" s="2846"/>
      <c r="DK81" s="2846"/>
      <c r="DL81" s="1093">
        <f>IF(DJ81=0,0,(DK81-DJ81)/DJ81*100)</f>
        <v>0</v>
      </c>
      <c r="DM81" s="2846"/>
      <c r="DN81" s="2846"/>
      <c r="DO81" s="1093">
        <f>IF(DM81=0,0,(DN81-DM81)/DM81*100)</f>
        <v>0</v>
      </c>
      <c r="DP81" s="2846"/>
      <c r="DQ81" s="2846"/>
      <c r="DR81" s="1093">
        <f>IF(DP81=0,0,(DQ81-DP81)/DP81*100)</f>
        <v>0</v>
      </c>
      <c r="DS81" s="2846"/>
      <c r="DT81" s="2846"/>
      <c r="DU81" s="1093">
        <f>IF(DS81=0,0,(DT81-DS81)/DS81*100)</f>
        <v>0</v>
      </c>
      <c r="DV81" s="2846"/>
      <c r="DW81" s="2846"/>
      <c r="DX81" s="1093">
        <f>IF(DV81=0,0,(DW81-DV81)/DV81*100)</f>
        <v>0</v>
      </c>
      <c r="DY81" s="2846"/>
      <c r="DZ81" s="2846"/>
      <c r="EA81" s="1093">
        <f>IF(DY81=0,0,(DZ81-DY81)/DY81*100)</f>
        <v>0</v>
      </c>
      <c r="EB81" s="2846"/>
      <c r="EC81" s="2846"/>
      <c r="ED81" s="1093">
        <f>IF(EB81=0,0,(EC81-EB81)/EB81*100)</f>
        <v>0</v>
      </c>
      <c r="EE81" s="2846"/>
      <c r="EF81" s="2846"/>
      <c r="EG81" s="1093">
        <f>IF(EE81=0,0,(EF81-EE81)/EE81*100)</f>
        <v>0</v>
      </c>
      <c r="EH81" s="2846"/>
      <c r="EI81" s="2846"/>
      <c r="EJ81" s="1093">
        <f>IF(EH81=0,0,(EI81-EH81)/EH81*100)</f>
        <v>0</v>
      </c>
      <c r="EK81" s="2846"/>
      <c r="EL81" s="2846"/>
      <c r="EM81" s="1093">
        <f>IF(EK81=0,0,(EL81-EK81)/EK81*100)</f>
        <v>0</v>
      </c>
      <c r="EN81" s="2846"/>
      <c r="EO81" s="2846"/>
      <c r="EP81" s="1093">
        <f>IF(EN81=0,0,(EO81-EN81)/EN81*100)</f>
        <v>0</v>
      </c>
      <c r="EQ81" s="2846"/>
      <c r="ER81" s="2846"/>
      <c r="ES81" s="1093">
        <f>IF(EQ81=0,0,(ER81-EQ81)/EQ81*100)</f>
        <v>0</v>
      </c>
      <c r="ET81" s="2846"/>
      <c r="EU81" s="2846"/>
      <c r="EV81" s="1093">
        <f>IF(ET81=0,0,(EU81-ET81)/ET81*100)</f>
        <v>0</v>
      </c>
      <c r="EW81" s="2846"/>
      <c r="EX81" s="2846"/>
      <c r="EY81" s="1093">
        <f>IF(EW81=0,0,(EX81-EW81)/EW81*100)</f>
        <v>0</v>
      </c>
      <c r="EZ81" s="2846"/>
      <c r="FA81" s="2846"/>
      <c r="FB81" s="1093">
        <f>IF(EZ81=0,0,(FA81-EZ81)/EZ81*100)</f>
        <v>0</v>
      </c>
      <c r="FC81" s="2846"/>
      <c r="FD81" s="2846"/>
      <c r="FE81" s="1093">
        <f>IF(FC81=0,0,(FD81-FC81)/FC81*100)</f>
        <v>0</v>
      </c>
      <c r="FF81" s="2846"/>
      <c r="FG81" s="2846"/>
      <c r="FH81" s="1093">
        <f>IF(FF81=0,0,(FG81-FF81)/FF81*100)</f>
        <v>0</v>
      </c>
      <c r="FI81" s="2846"/>
      <c r="FJ81" s="2846"/>
      <c r="FK81" s="1093">
        <f>IF(FI81=0,0,(FJ81-FI81)/FI81*100)</f>
        <v>0</v>
      </c>
      <c r="FL81" s="2846"/>
      <c r="FM81" s="2846"/>
      <c r="FN81" s="1093">
        <f>IF(FL81=0,0,(FM81-FL81)/FL81*100)</f>
        <v>0</v>
      </c>
      <c r="FO81" s="2846"/>
      <c r="FP81" s="2846"/>
      <c r="FQ81" s="1093">
        <f>IF(FO81=0,0,(FP81-FO81)/FO81*100)</f>
        <v>0</v>
      </c>
      <c r="FR81" s="2846"/>
      <c r="FS81" s="2846"/>
      <c r="FT81" s="1093">
        <f>IF(FR81=0,0,(FS81-FR81)/FR81*100)</f>
        <v>0</v>
      </c>
      <c r="FU81" s="2846"/>
      <c r="FV81" s="2846"/>
      <c r="FW81" s="1093">
        <f>IF(FU81=0,0,(FV81-FU81)/FU81*100)</f>
        <v>0</v>
      </c>
      <c r="FZ81" s="1306" t="s">
        <v>2412</v>
      </c>
      <c r="GA81" s="1306" t="s">
        <v>1594</v>
      </c>
      <c r="GB81" s="1306" cm="1" t="str">
        <f t="array" ref="GB81:GB81">GB80</f>
        <v>0</v>
      </c>
    </row>
    <row customHeight="1" ht="18.525" hidden="1">
      <c r="A82" s="493"/>
      <c r="B82" s="925" cm="1" t="str">
        <f t="array" ref="B82:B82">B81</f>
        <v>false</v>
      </c>
      <c r="C82" s="493"/>
      <c r="D82" s="493"/>
      <c r="E82" s="840">
        <v>19</v>
      </c>
      <c r="F82" s="50" cm="1" t="str">
        <f t="array" ref="F82:F82">OFFSET(E82,-1,1)</f>
        <v>0</v>
      </c>
      <c r="G82" s="493"/>
      <c r="H82" s="493"/>
      <c r="I82" s="493"/>
      <c r="J82" s="493"/>
      <c r="K82" s="493"/>
      <c r="L82" s="493"/>
      <c r="M82" s="493"/>
      <c r="N82" s="493"/>
      <c r="O82" s="493"/>
      <c r="P82" s="493"/>
      <c r="Q82" s="493"/>
      <c r="R82" s="493"/>
      <c r="S82" s="493"/>
      <c r="T82" s="465" cm="1" t="str">
        <f t="array" ref="T82:T82">T81</f>
        <v>false</v>
      </c>
      <c r="U82" s="493"/>
      <c r="V82" s="493"/>
      <c r="W82" s="493"/>
      <c r="X82" s="1596"/>
      <c r="Y82" s="1596"/>
      <c r="Z82" s="1545"/>
      <c r="AA82" s="5251"/>
      <c r="AB82" s="904" t="s">
        <v>2380</v>
      </c>
      <c r="AC82" s="864" t="s">
        <v>2381</v>
      </c>
      <c r="AD82" s="2846"/>
      <c r="AE82" s="2846"/>
      <c r="AF82" s="1093">
        <f>IF(AD82=0,0,(AE82-AD82)/AD82*100)</f>
        <v>0</v>
      </c>
      <c r="AG82" s="2846"/>
      <c r="AH82" s="2846"/>
      <c r="AI82" s="1093">
        <f>IF(AG82=0,0,(AH82-AG82)/AG82*100)</f>
        <v>0</v>
      </c>
      <c r="AJ82" s="2846"/>
      <c r="AK82" s="2846"/>
      <c r="AL82" s="1093">
        <f>IF(AJ82=0,0,(AK82-AJ82)/AJ82*100)</f>
        <v>0</v>
      </c>
      <c r="AM82" s="2846"/>
      <c r="AN82" s="2846"/>
      <c r="AO82" s="1093">
        <f>IF(AM82=0,0,(AN82-AM82)/AM82*100)</f>
        <v>0</v>
      </c>
      <c r="AP82" s="2846"/>
      <c r="AQ82" s="2846"/>
      <c r="AR82" s="1093">
        <f>IF(AP82=0,0,(AQ82-AP82)/AP82*100)</f>
        <v>0</v>
      </c>
      <c r="AS82" s="2846"/>
      <c r="AT82" s="2846"/>
      <c r="AU82" s="1093">
        <f>IF(AS82=0,0,(AT82-AS82)/AS82*100)</f>
        <v>0</v>
      </c>
      <c r="AV82" s="2846"/>
      <c r="AW82" s="2846"/>
      <c r="AX82" s="1093">
        <f>IF(AV82=0,0,(AW82-AV82)/AV82*100)</f>
        <v>0</v>
      </c>
      <c r="AY82" s="2846"/>
      <c r="AZ82" s="2846"/>
      <c r="BA82" s="1093">
        <f>IF(AY82=0,0,(AZ82-AY82)/AY82*100)</f>
        <v>0</v>
      </c>
      <c r="BB82" s="2846"/>
      <c r="BC82" s="2846"/>
      <c r="BD82" s="1093">
        <f>IF(BB82=0,0,(BC82-BB82)/BB82*100)</f>
        <v>0</v>
      </c>
      <c r="BE82" s="2846"/>
      <c r="BF82" s="2846"/>
      <c r="BG82" s="1093">
        <f>IF(BE82=0,0,(BF82-BE82)/BE82*100)</f>
        <v>0</v>
      </c>
      <c r="BH82" s="2846"/>
      <c r="BI82" s="2846"/>
      <c r="BJ82" s="1093">
        <f>IF(BH82=0,0,(BI82-BH82)/BH82*100)</f>
        <v>0</v>
      </c>
      <c r="BK82" s="2846"/>
      <c r="BL82" s="2846"/>
      <c r="BM82" s="1093">
        <f>IF(BK82=0,0,(BL82-BK82)/BK82*100)</f>
        <v>0</v>
      </c>
      <c r="BN82" s="2846"/>
      <c r="BO82" s="2846"/>
      <c r="BP82" s="1093">
        <f>IF(BN82=0,0,(BO82-BN82)/BN82*100)</f>
        <v>0</v>
      </c>
      <c r="BQ82" s="2846"/>
      <c r="BR82" s="2846"/>
      <c r="BS82" s="1093">
        <f>IF(BQ82=0,0,(BR82-BQ82)/BQ82*100)</f>
        <v>0</v>
      </c>
      <c r="BT82" s="2846"/>
      <c r="BU82" s="2846"/>
      <c r="BV82" s="1093">
        <f>IF(BT82=0,0,(BU82-BT82)/BT82*100)</f>
        <v>0</v>
      </c>
      <c r="BW82" s="2846"/>
      <c r="BX82" s="2846"/>
      <c r="BY82" s="1093">
        <f>IF(BW82=0,0,(BX82-BW82)/BW82*100)</f>
        <v>0</v>
      </c>
      <c r="BZ82" s="2846"/>
      <c r="CA82" s="2846"/>
      <c r="CB82" s="1093">
        <f>IF(BZ82=0,0,(CA82-BZ82)/BZ82*100)</f>
        <v>0</v>
      </c>
      <c r="CC82" s="2846"/>
      <c r="CD82" s="2846"/>
      <c r="CE82" s="1093">
        <f>IF(CC82=0,0,(CD82-CC82)/CC82*100)</f>
        <v>0</v>
      </c>
      <c r="CF82" s="2846"/>
      <c r="CG82" s="2846"/>
      <c r="CH82" s="1093">
        <f>IF(CF82=0,0,(CG82-CF82)/CF82*100)</f>
        <v>0</v>
      </c>
      <c r="CI82" s="2846"/>
      <c r="CJ82" s="2846"/>
      <c r="CK82" s="1093">
        <f>IF(CI82=0,0,(CJ82-CI82)/CI82*100)</f>
        <v>0</v>
      </c>
      <c r="CL82" s="2846"/>
      <c r="CM82" s="2846"/>
      <c r="CN82" s="1093">
        <f>IF(CL82=0,0,(CM82-CL82)/CL82*100)</f>
        <v>0</v>
      </c>
      <c r="CO82" s="2846"/>
      <c r="CP82" s="2846"/>
      <c r="CQ82" s="1093">
        <f>IF(CO82=0,0,(CP82-CO82)/CO82*100)</f>
        <v>0</v>
      </c>
      <c r="CR82" s="2846"/>
      <c r="CS82" s="2846"/>
      <c r="CT82" s="1093">
        <f>IF(CR82=0,0,(CS82-CR82)/CR82*100)</f>
        <v>0</v>
      </c>
      <c r="CU82" s="2846"/>
      <c r="CV82" s="2846"/>
      <c r="CW82" s="1093">
        <f>IF(CU82=0,0,(CV82-CU82)/CU82*100)</f>
        <v>0</v>
      </c>
      <c r="CX82" s="2846"/>
      <c r="CY82" s="2846"/>
      <c r="CZ82" s="1093">
        <f>IF(CX82=0,0,(CY82-CX82)/CX82*100)</f>
        <v>0</v>
      </c>
      <c r="DA82" s="2846"/>
      <c r="DB82" s="2846"/>
      <c r="DC82" s="1093">
        <f>IF(DA82=0,0,(DB82-DA82)/DA82*100)</f>
        <v>0</v>
      </c>
      <c r="DD82" s="2846"/>
      <c r="DE82" s="2846"/>
      <c r="DF82" s="1093">
        <f>IF(DD82=0,0,(DE82-DD82)/DD82*100)</f>
        <v>0</v>
      </c>
      <c r="DG82" s="2846"/>
      <c r="DH82" s="2846"/>
      <c r="DI82" s="1093">
        <f>IF(DG82=0,0,(DH82-DG82)/DG82*100)</f>
        <v>0</v>
      </c>
      <c r="DJ82" s="2846"/>
      <c r="DK82" s="2846"/>
      <c r="DL82" s="1093">
        <f>IF(DJ82=0,0,(DK82-DJ82)/DJ82*100)</f>
        <v>0</v>
      </c>
      <c r="DM82" s="2846"/>
      <c r="DN82" s="2846"/>
      <c r="DO82" s="1093">
        <f>IF(DM82=0,0,(DN82-DM82)/DM82*100)</f>
        <v>0</v>
      </c>
      <c r="DP82" s="2846"/>
      <c r="DQ82" s="2846"/>
      <c r="DR82" s="1093">
        <f>IF(DP82=0,0,(DQ82-DP82)/DP82*100)</f>
        <v>0</v>
      </c>
      <c r="DS82" s="2846"/>
      <c r="DT82" s="2846"/>
      <c r="DU82" s="1093">
        <f>IF(DS82=0,0,(DT82-DS82)/DS82*100)</f>
        <v>0</v>
      </c>
      <c r="DV82" s="2846"/>
      <c r="DW82" s="2846"/>
      <c r="DX82" s="1093">
        <f>IF(DV82=0,0,(DW82-DV82)/DV82*100)</f>
        <v>0</v>
      </c>
      <c r="DY82" s="2846"/>
      <c r="DZ82" s="2846"/>
      <c r="EA82" s="1093">
        <f>IF(DY82=0,0,(DZ82-DY82)/DY82*100)</f>
        <v>0</v>
      </c>
      <c r="EB82" s="2846"/>
      <c r="EC82" s="2846"/>
      <c r="ED82" s="1093">
        <f>IF(EB82=0,0,(EC82-EB82)/EB82*100)</f>
        <v>0</v>
      </c>
      <c r="EE82" s="2846"/>
      <c r="EF82" s="2846"/>
      <c r="EG82" s="1093">
        <f>IF(EE82=0,0,(EF82-EE82)/EE82*100)</f>
        <v>0</v>
      </c>
      <c r="EH82" s="2846"/>
      <c r="EI82" s="2846"/>
      <c r="EJ82" s="1093">
        <f>IF(EH82=0,0,(EI82-EH82)/EH82*100)</f>
        <v>0</v>
      </c>
      <c r="EK82" s="2846"/>
      <c r="EL82" s="2846"/>
      <c r="EM82" s="1093">
        <f>IF(EK82=0,0,(EL82-EK82)/EK82*100)</f>
        <v>0</v>
      </c>
      <c r="EN82" s="2846"/>
      <c r="EO82" s="2846"/>
      <c r="EP82" s="1093">
        <f>IF(EN82=0,0,(EO82-EN82)/EN82*100)</f>
        <v>0</v>
      </c>
      <c r="EQ82" s="2846"/>
      <c r="ER82" s="2846"/>
      <c r="ES82" s="1093">
        <f>IF(EQ82=0,0,(ER82-EQ82)/EQ82*100)</f>
        <v>0</v>
      </c>
      <c r="ET82" s="2846"/>
      <c r="EU82" s="2846"/>
      <c r="EV82" s="1093">
        <f>IF(ET82=0,0,(EU82-ET82)/ET82*100)</f>
        <v>0</v>
      </c>
      <c r="EW82" s="2846"/>
      <c r="EX82" s="2846"/>
      <c r="EY82" s="1093">
        <f>IF(EW82=0,0,(EX82-EW82)/EW82*100)</f>
        <v>0</v>
      </c>
      <c r="EZ82" s="2846"/>
      <c r="FA82" s="2846"/>
      <c r="FB82" s="1093">
        <f>IF(EZ82=0,0,(FA82-EZ82)/EZ82*100)</f>
        <v>0</v>
      </c>
      <c r="FC82" s="2846"/>
      <c r="FD82" s="2846"/>
      <c r="FE82" s="1093">
        <f>IF(FC82=0,0,(FD82-FC82)/FC82*100)</f>
        <v>0</v>
      </c>
      <c r="FF82" s="2846"/>
      <c r="FG82" s="2846"/>
      <c r="FH82" s="1093">
        <f>IF(FF82=0,0,(FG82-FF82)/FF82*100)</f>
        <v>0</v>
      </c>
      <c r="FI82" s="2846"/>
      <c r="FJ82" s="2846"/>
      <c r="FK82" s="1093">
        <f>IF(FI82=0,0,(FJ82-FI82)/FI82*100)</f>
        <v>0</v>
      </c>
      <c r="FL82" s="2846"/>
      <c r="FM82" s="2846"/>
      <c r="FN82" s="1093">
        <f>IF(FL82=0,0,(FM82-FL82)/FL82*100)</f>
        <v>0</v>
      </c>
      <c r="FO82" s="2846"/>
      <c r="FP82" s="2846"/>
      <c r="FQ82" s="1093">
        <f>IF(FO82=0,0,(FP82-FO82)/FO82*100)</f>
        <v>0</v>
      </c>
      <c r="FR82" s="2846"/>
      <c r="FS82" s="2846"/>
      <c r="FT82" s="1093">
        <f>IF(FR82=0,0,(FS82-FR82)/FR82*100)</f>
        <v>0</v>
      </c>
      <c r="FU82" s="2846"/>
      <c r="FV82" s="2846"/>
      <c r="FW82" s="1093">
        <f>IF(FU82=0,0,(FV82-FU82)/FU82*100)</f>
        <v>0</v>
      </c>
      <c r="FZ82" s="1306" t="s">
        <v>2413</v>
      </c>
      <c r="GA82" s="1306" t="s">
        <v>1594</v>
      </c>
      <c r="GB82" s="1306" cm="1" t="str">
        <f t="array" ref="GB82:GB82">GB81</f>
        <v>0</v>
      </c>
    </row>
    <row customHeight="1" ht="14.625" hidden="1">
      <c r="A83" s="493"/>
      <c r="B83" s="925" cm="1" t="str">
        <f t="array" ref="B83:B83">B76</f>
        <v>false</v>
      </c>
      <c r="C83" s="493"/>
      <c r="D83" s="493"/>
      <c r="E83" s="840">
        <v>15</v>
      </c>
      <c r="F83" s="50" cm="1" t="str">
        <f t="array" ref="F83:F83">OFFSET(E83,-1,1)</f>
        <v>0</v>
      </c>
      <c r="G83" s="493"/>
      <c r="H83" s="493"/>
      <c r="I83" s="98" t="s">
        <v>2414</v>
      </c>
      <c r="J83" s="493"/>
      <c r="K83" s="493"/>
      <c r="L83" s="493"/>
      <c r="M83" s="493"/>
      <c r="N83" s="493"/>
      <c r="O83" s="493"/>
      <c r="P83" s="493"/>
      <c r="Q83" s="493"/>
      <c r="R83" s="493"/>
      <c r="S83" s="493"/>
      <c r="T83" s="465">
        <f>F83&gt;0</f>
        <v>0</v>
      </c>
      <c r="U83" s="493"/>
      <c r="V83" s="1304"/>
      <c r="W83" s="757" t="s">
        <v>2367</v>
      </c>
      <c r="X83" s="1596"/>
      <c r="Y83" s="1304"/>
      <c r="Z83" s="1545"/>
      <c r="AA83" s="1304"/>
      <c r="AB83" s="260" t="s">
        <v>178</v>
      </c>
      <c r="AC83" s="264"/>
      <c r="AD83" s="1098"/>
      <c r="AE83" s="1098"/>
      <c r="AF83" s="1098"/>
      <c r="AG83" s="1098"/>
      <c r="AH83" s="1098"/>
      <c r="AI83" s="1098"/>
      <c r="AJ83" s="1098"/>
      <c r="AK83" s="1098"/>
      <c r="AL83" s="1098"/>
      <c r="AM83" s="1098"/>
      <c r="AN83" s="1098"/>
      <c r="AO83" s="1098"/>
      <c r="AP83" s="1098"/>
      <c r="AQ83" s="1098"/>
      <c r="AR83" s="1098"/>
      <c r="AS83" s="1098"/>
      <c r="AT83" s="1098"/>
      <c r="AU83" s="1098"/>
      <c r="AV83" s="1098"/>
      <c r="AW83" s="1098"/>
      <c r="AX83" s="1098"/>
      <c r="AY83" s="1098"/>
      <c r="AZ83" s="1098"/>
      <c r="BA83" s="1098"/>
      <c r="BB83" s="1098"/>
      <c r="BC83" s="1098"/>
      <c r="BD83" s="1098"/>
      <c r="BE83" s="1098"/>
      <c r="BF83" s="1098"/>
      <c r="BG83" s="1098"/>
      <c r="BH83" s="1098"/>
      <c r="BI83" s="1098"/>
      <c r="BJ83" s="1098"/>
      <c r="BK83" s="1098"/>
      <c r="BL83" s="1098"/>
      <c r="BM83" s="1098"/>
      <c r="BN83" s="1098"/>
      <c r="BO83" s="1098"/>
      <c r="BP83" s="1098"/>
      <c r="BQ83" s="1098"/>
      <c r="BR83" s="1098"/>
      <c r="BS83" s="1098"/>
      <c r="BT83" s="1098"/>
      <c r="BU83" s="1098"/>
      <c r="BV83" s="1098"/>
      <c r="BW83" s="1098"/>
      <c r="BX83" s="1098"/>
      <c r="BY83" s="1098"/>
      <c r="BZ83" s="1098"/>
      <c r="CA83" s="1098"/>
      <c r="CB83" s="1098"/>
      <c r="CC83" s="1098"/>
      <c r="CD83" s="1098"/>
      <c r="CE83" s="1098"/>
      <c r="CF83" s="1098"/>
      <c r="CG83" s="1098"/>
      <c r="CH83" s="1098"/>
      <c r="CI83" s="1098"/>
      <c r="CJ83" s="1098"/>
      <c r="CK83" s="1098"/>
      <c r="CL83" s="1098"/>
      <c r="CM83" s="1098"/>
      <c r="CN83" s="1098"/>
      <c r="CO83" s="1098"/>
      <c r="CP83" s="1098"/>
      <c r="CQ83" s="1098"/>
      <c r="CR83" s="1098"/>
      <c r="CS83" s="1098"/>
      <c r="CT83" s="1098"/>
      <c r="CU83" s="1098"/>
      <c r="CV83" s="1098"/>
      <c r="CW83" s="1098"/>
      <c r="CX83" s="1098"/>
      <c r="CY83" s="1098"/>
      <c r="CZ83" s="1098"/>
      <c r="DA83" s="1098"/>
      <c r="DB83" s="1098"/>
      <c r="DC83" s="1098"/>
      <c r="DD83" s="1098"/>
      <c r="DE83" s="1098"/>
      <c r="DF83" s="1098"/>
      <c r="DG83" s="1098"/>
      <c r="DH83" s="1098"/>
      <c r="DI83" s="1098"/>
      <c r="DJ83" s="1098"/>
      <c r="DK83" s="1098"/>
      <c r="DL83" s="1098"/>
      <c r="DM83" s="1098"/>
      <c r="DN83" s="1098"/>
      <c r="DO83" s="1098"/>
      <c r="DP83" s="1098"/>
      <c r="DQ83" s="1098"/>
      <c r="DR83" s="1098"/>
      <c r="DS83" s="1098"/>
      <c r="DT83" s="1098"/>
      <c r="DU83" s="1098"/>
      <c r="DV83" s="1098"/>
      <c r="DW83" s="1098"/>
      <c r="DX83" s="1098"/>
      <c r="DY83" s="1098"/>
      <c r="DZ83" s="1098"/>
      <c r="EA83" s="1098"/>
      <c r="EB83" s="1098"/>
      <c r="EC83" s="1098"/>
      <c r="ED83" s="1098"/>
      <c r="EE83" s="1098"/>
      <c r="EF83" s="1098"/>
      <c r="EG83" s="1098"/>
      <c r="EH83" s="1098"/>
      <c r="EI83" s="1098"/>
      <c r="EJ83" s="1098"/>
      <c r="EK83" s="1098"/>
      <c r="EL83" s="1098"/>
      <c r="EM83" s="1098"/>
      <c r="EN83" s="1098"/>
      <c r="EO83" s="1098"/>
      <c r="EP83" s="1098"/>
      <c r="EQ83" s="1098"/>
      <c r="ER83" s="1098"/>
      <c r="ES83" s="1098"/>
      <c r="ET83" s="1098"/>
      <c r="EU83" s="1098"/>
      <c r="EV83" s="1098"/>
      <c r="EW83" s="1098"/>
      <c r="EX83" s="1098"/>
      <c r="EY83" s="1098"/>
      <c r="EZ83" s="1098"/>
      <c r="FA83" s="1098"/>
      <c r="FB83" s="1098"/>
      <c r="FC83" s="1098"/>
      <c r="FD83" s="1098"/>
      <c r="FE83" s="1098"/>
      <c r="FF83" s="1098"/>
      <c r="FG83" s="1098"/>
      <c r="FH83" s="1098"/>
      <c r="FI83" s="1098"/>
      <c r="FJ83" s="1098"/>
      <c r="FK83" s="1098"/>
      <c r="FL83" s="1098"/>
      <c r="FM83" s="1098"/>
      <c r="FN83" s="1098"/>
      <c r="FO83" s="1098"/>
      <c r="FP83" s="1098"/>
      <c r="FQ83" s="1098"/>
      <c r="FR83" s="1098"/>
      <c r="FS83" s="1098"/>
      <c r="FT83" s="1098"/>
      <c r="FU83" s="1098"/>
      <c r="FV83" s="1098"/>
      <c r="FW83" s="1099"/>
      <c r="FX83" s="1304"/>
      <c r="FY83" s="1304"/>
      <c r="FZ83" s="1055" t="s">
        <v>227</v>
      </c>
      <c r="GA83" s="1306"/>
      <c r="GB83" s="1306"/>
      <c r="GC83" s="632" t="s">
        <v>1594</v>
      </c>
      <c r="GD83" s="1305"/>
    </row>
    <row s="1834" customFormat="1" customHeight="1" ht="11.25" hidden="1">
      <c r="A84" s="482"/>
      <c r="B84" s="925"/>
      <c r="C84" s="482"/>
      <c r="D84" s="482"/>
      <c r="E84" s="866">
        <v>0</v>
      </c>
      <c r="F84" s="1175" cm="1" t="str">
        <f t="array" ref="F84:F84">OFFSET(E84,-1,1)</f>
        <v>0</v>
      </c>
      <c r="G84" s="482"/>
      <c r="H84" s="482"/>
      <c r="I84" s="482"/>
      <c r="J84" s="482"/>
      <c r="K84" s="482"/>
      <c r="L84" s="482"/>
      <c r="M84" s="482"/>
      <c r="N84" s="482"/>
      <c r="O84" s="482"/>
      <c r="P84" s="482"/>
      <c r="Q84" s="482"/>
      <c r="R84" s="482"/>
      <c r="S84" s="482"/>
      <c r="T84" s="465" t="b">
        <v>0</v>
      </c>
      <c r="U84" s="482"/>
      <c r="V84" s="482"/>
      <c r="W84" s="482"/>
      <c r="X84" s="1596"/>
      <c r="Y84" s="482"/>
      <c r="Z84" s="1545"/>
      <c r="AA84" s="482"/>
      <c r="AB84" s="0"/>
      <c r="AC84" s="482"/>
      <c r="AD84" s="1108"/>
      <c r="AE84" s="1108"/>
      <c r="AF84" s="1108"/>
      <c r="AG84" s="0"/>
      <c r="AH84" s="0"/>
      <c r="AI84" s="0"/>
      <c r="AJ84" s="0"/>
      <c r="AK84" s="0"/>
      <c r="AL84" s="0"/>
      <c r="AM84" s="0"/>
      <c r="AN84" s="0"/>
      <c r="AO84" s="0"/>
      <c r="AP84" s="0"/>
      <c r="AQ84" s="0"/>
      <c r="AR84" s="0"/>
      <c r="AS84" s="0"/>
      <c r="AT84" s="0"/>
      <c r="AU84" s="0"/>
      <c r="AV84" s="0"/>
      <c r="AW84" s="0"/>
      <c r="AX84" s="0"/>
      <c r="AY84" s="0"/>
      <c r="AZ84" s="0"/>
      <c r="BA84" s="0"/>
      <c r="BB84" s="0"/>
      <c r="BC84" s="0"/>
      <c r="BD84" s="0"/>
      <c r="BE84" s="0"/>
      <c r="BF84" s="0"/>
      <c r="BG84" s="0"/>
      <c r="BH84" s="0"/>
      <c r="BI84" s="0"/>
      <c r="BJ84" s="0"/>
      <c r="BK84" s="0"/>
      <c r="BL84" s="0"/>
      <c r="BM84" s="0"/>
      <c r="BN84" s="0"/>
      <c r="BO84" s="0"/>
      <c r="BP84" s="0"/>
      <c r="BQ84" s="0"/>
      <c r="BR84" s="0"/>
      <c r="BS84" s="0"/>
      <c r="BT84" s="0"/>
      <c r="BU84" s="0"/>
      <c r="BV84" s="0"/>
      <c r="BW84" s="0"/>
      <c r="BX84" s="0"/>
      <c r="BY84" s="0"/>
      <c r="BZ84" s="0"/>
      <c r="CA84" s="0"/>
      <c r="CB84" s="0"/>
      <c r="CC84" s="0"/>
      <c r="CD84" s="0"/>
      <c r="CE84" s="0"/>
      <c r="CF84" s="0"/>
      <c r="CG84" s="0"/>
      <c r="CH84" s="0"/>
      <c r="CI84" s="0"/>
      <c r="CJ84" s="0"/>
      <c r="CK84" s="0"/>
      <c r="CL84" s="0"/>
      <c r="CM84" s="0"/>
      <c r="CN84" s="0"/>
      <c r="CO84" s="0"/>
      <c r="CP84" s="0"/>
      <c r="CQ84" s="0"/>
      <c r="CR84" s="0"/>
      <c r="CS84" s="0"/>
      <c r="CT84" s="0"/>
      <c r="CU84" s="0"/>
      <c r="CV84" s="0"/>
      <c r="CW84" s="0"/>
      <c r="CX84" s="0"/>
      <c r="CY84" s="0"/>
      <c r="CZ84" s="0"/>
      <c r="DA84" s="0"/>
      <c r="DB84" s="0"/>
      <c r="DC84" s="0"/>
      <c r="DD84" s="0"/>
      <c r="DE84" s="0"/>
      <c r="DF84" s="0"/>
      <c r="DG84" s="0"/>
      <c r="DH84" s="0"/>
      <c r="DI84" s="0"/>
      <c r="DJ84" s="0"/>
      <c r="DK84" s="0"/>
      <c r="DL84" s="0"/>
      <c r="DM84" s="0"/>
      <c r="DN84" s="0"/>
      <c r="DO84" s="0"/>
      <c r="DP84" s="0"/>
      <c r="DQ84" s="0"/>
      <c r="DR84" s="0"/>
      <c r="DS84" s="0"/>
      <c r="DT84" s="0"/>
      <c r="DU84" s="0"/>
      <c r="DV84" s="0"/>
      <c r="DW84" s="0"/>
      <c r="DX84" s="0"/>
      <c r="DY84" s="0"/>
      <c r="DZ84" s="0"/>
      <c r="EA84" s="0"/>
      <c r="EB84" s="0"/>
      <c r="EC84" s="0"/>
      <c r="ED84" s="0"/>
      <c r="EE84" s="0"/>
      <c r="EF84" s="0"/>
      <c r="EG84" s="0"/>
      <c r="EH84" s="0"/>
      <c r="EI84" s="0"/>
      <c r="EJ84" s="0"/>
      <c r="EK84" s="0"/>
      <c r="EL84" s="0"/>
      <c r="EM84" s="0"/>
      <c r="EN84" s="0"/>
      <c r="EO84" s="0"/>
      <c r="EP84" s="0"/>
      <c r="EQ84" s="0"/>
      <c r="ER84" s="0"/>
      <c r="ES84" s="0"/>
      <c r="ET84" s="0"/>
      <c r="EU84" s="0"/>
      <c r="EV84" s="0"/>
      <c r="EW84" s="0"/>
      <c r="EX84" s="0"/>
      <c r="EY84" s="0"/>
      <c r="EZ84" s="0"/>
      <c r="FA84" s="0"/>
      <c r="FB84" s="0"/>
      <c r="FC84" s="0"/>
      <c r="FD84" s="0"/>
      <c r="FE84" s="0"/>
      <c r="FF84" s="0"/>
      <c r="FG84" s="0"/>
      <c r="FH84" s="0"/>
      <c r="FI84" s="0"/>
      <c r="FJ84" s="0"/>
      <c r="FK84" s="0"/>
      <c r="FL84" s="0"/>
      <c r="FM84" s="0"/>
      <c r="FN84" s="0"/>
      <c r="FO84" s="0"/>
      <c r="FP84" s="0"/>
      <c r="FQ84" s="0"/>
      <c r="FR84" s="0"/>
      <c r="FS84" s="0"/>
      <c r="FT84" s="0"/>
      <c r="FU84" s="0"/>
      <c r="FV84" s="0"/>
      <c r="FW84" s="0"/>
      <c r="FX84" s="1834"/>
      <c r="FY84" s="1834"/>
      <c r="FZ84" s="1055" t="s">
        <v>227</v>
      </c>
      <c r="GA84" s="1019"/>
      <c r="GB84" s="1058"/>
      <c r="GC84" s="686"/>
      <c r="GD84" s="686"/>
    </row>
    <row s="292" customFormat="1" customHeight="1" ht="23.887500000000003" hidden="1">
      <c r="A85" s="897"/>
      <c r="B85" s="925" cm="1" t="str">
        <f t="array" ref="B85:B85">S29</f>
        <v>false</v>
      </c>
      <c r="C85" s="897"/>
      <c r="D85" s="897"/>
      <c r="E85" s="840">
        <v>24.5</v>
      </c>
      <c r="F85" s="50" cm="1" t="str">
        <f t="array" ref="F85:F85">OFFSET(E85,-1,1)</f>
        <v>0</v>
      </c>
      <c r="G85" s="107" t="s">
        <v>2334</v>
      </c>
      <c r="H85" s="493" t="s">
        <v>1175</v>
      </c>
      <c r="I85" s="493" t="s">
        <v>2415</v>
      </c>
      <c r="J85" s="897"/>
      <c r="K85" s="897"/>
      <c r="L85" s="897"/>
      <c r="M85" s="897"/>
      <c r="N85" s="897"/>
      <c r="O85" s="897"/>
      <c r="P85" s="897"/>
      <c r="Q85" s="897"/>
      <c r="R85" s="897"/>
      <c r="S85" s="493"/>
      <c r="T85" s="465" cm="1" t="str">
        <f t="array" ref="T85:T85">T83</f>
        <v>false</v>
      </c>
      <c r="U85" s="897"/>
      <c r="V85" s="897"/>
      <c r="W85" s="897"/>
      <c r="X85" s="1596"/>
      <c r="Y85" s="897"/>
      <c r="Z85" s="1545"/>
      <c r="AA85" s="897"/>
      <c r="AB85" s="219" t="s">
        <v>2416</v>
      </c>
      <c r="AC85" s="234" t="s">
        <v>2337</v>
      </c>
      <c r="AD85" s="5272">
        <f>IF(AND(method_reg="Метод индексации",god&lt;&gt;first_year),_xlfn.SUMIFS(INDEX('Калькуляция (МИ корр)'!$AJ$25:$BC$747,,MATCH(AD$8,'Калькуляция (МИ корр)'!$AJ$8:$BC$8,0)),'Калькуляция (МИ корр)'!$F$25:$F$747,$F85,'Калькуляция (МИ корр)'!$G$25:$G$747,$G85),IF(method_reg="Метод экономически обоснованных расходов",_xlfn.SUMIFS('Калькуляция (МЭОР)'!$AJ$25:$AJ$452,'Калькуляция (МЭОР)'!$F$25:$F$452,$F85,'Калькуляция (МЭОР)'!$G$25:$G$452,$G85),IF(method_reg="Метод сравнения аналогов",_xlfn.SUMIFS('Калькуляция (МСА)'!$AE$25:$AE$122,'Калькуляция (МСА)'!$F$25:$F$122,$F85,'Калькуляция (МСА)'!$G$25:$G$122,$G85),_xlfn.SUMIFS(INDEX('Калькуляция (МИ)'!$AJ$25:$BC$747,,MATCH(AD$8,'Калькуляция (МИ)'!$AJ$8:$BC$8,0)),'Калькуляция (МИ)'!$F$25:$F$747,$F85,'Калькуляция (МИ)'!$G$25:$G$747,$G85))))</f>
        <v>0</v>
      </c>
      <c r="AE85" s="5272">
        <f>IF(AND(method_reg="Метод индексации",god&lt;&gt;first_year),_xlfn.SUMIFS(INDEX('Калькуляция (МИ корр)'!$AJ$25:$BC$747,,MATCH(AE$8,'Калькуляция (МИ корр)'!$AJ$8:$BC$8,0)),'Калькуляция (МИ корр)'!$F$25:$F$747,$F85,'Калькуляция (МИ корр)'!$G$25:$G$747,$G85),IF(method_reg="Метод экономически обоснованных расходов",_xlfn.SUMIFS('Калькуляция (МЭОР)'!$AK$25:$AK$452,'Калькуляция (МЭОР)'!$F$25:$F$452,$F85,'Калькуляция (МЭОР)'!$G$25:$G$452,$G85),IF(method_reg="Метод сравнения аналогов",_xlfn.SUMIFS('Калькуляция (МСА)'!$AF$25:$AF$122,'Калькуляция (МСА)'!$F$25:$F$122,$F85,'Калькуляция (МСА)'!$G$25:$G$122,$G85),_xlfn.SUMIFS(INDEX('Калькуляция (МИ)'!$AJ$25:$BC$747,,MATCH(AE$8,'Калькуляция (МИ)'!$AJ$8:$BC$8,0)),'Калькуляция (МИ)'!$F$25:$F$747,$F85,'Калькуляция (МИ)'!$G$25:$G$747,$G85))))</f>
        <v>0</v>
      </c>
      <c r="AF85" s="296">
        <f>IF(AD85=0,0,(AE85-AD85)/AD85*100)</f>
        <v>0</v>
      </c>
      <c r="AG85" s="5272">
        <f>IF(AND(method_reg="Метод индексации",god&lt;&gt;first_year),_xlfn.SUMIFS(INDEX('Калькуляция (МИ корр)'!$AJ$25:$BC$747,,MATCH(AG$8,'Калькуляция (МИ корр)'!$AJ$8:$BC$8,0)),'Калькуляция (МИ корр)'!$F$25:$F$747,$F85,'Калькуляция (МИ корр)'!$G$25:$G$747,$G85),IF(method_reg="Метод экономически обоснованных расходов",_xlfn.SUMIFS('Калькуляция (МЭОР)'!$AJ$25:$AJ$452,'Калькуляция (МЭОР)'!$F$25:$F$452,$F85,'Калькуляция (МЭОР)'!$G$25:$G$452,$G85),IF(method_reg="Метод сравнения аналогов",_xlfn.SUMIFS('Калькуляция (МСА)'!$AE$25:$AE$122,'Калькуляция (МСА)'!$F$25:$F$122,$F85,'Калькуляция (МСА)'!$G$25:$G$122,$G85),_xlfn.SUMIFS(INDEX('Калькуляция (МИ)'!$AJ$25:$BC$747,,MATCH(AG$8,'Калькуляция (МИ)'!$AJ$8:$BC$8,0)),'Калькуляция (МИ)'!$F$25:$F$747,$F85,'Калькуляция (МИ)'!$G$25:$G$747,$G85))))</f>
        <v>0</v>
      </c>
      <c r="AH85" s="5272">
        <f>IF(AND(method_reg="Метод индексации",god&lt;&gt;first_year),_xlfn.SUMIFS(INDEX('Калькуляция (МИ корр)'!$AJ$25:$BC$747,,MATCH(AH$8,'Калькуляция (МИ корр)'!$AJ$8:$BC$8,0)),'Калькуляция (МИ корр)'!$F$25:$F$747,$F85,'Калькуляция (МИ корр)'!$G$25:$G$747,$G85),IF(method_reg="Метод экономически обоснованных расходов",_xlfn.SUMIFS('Калькуляция (МЭОР)'!$AK$25:$AK$452,'Калькуляция (МЭОР)'!$F$25:$F$452,$F85,'Калькуляция (МЭОР)'!$G$25:$G$452,$G85),IF(method_reg="Метод сравнения аналогов",_xlfn.SUMIFS('Калькуляция (МСА)'!$AF$25:$AF$122,'Калькуляция (МСА)'!$F$25:$F$122,$F85,'Калькуляция (МСА)'!$G$25:$G$122,$G85),_xlfn.SUMIFS(INDEX('Калькуляция (МИ)'!$AJ$25:$BC$747,,MATCH(AH$8,'Калькуляция (МИ)'!$AJ$8:$BC$8,0)),'Калькуляция (МИ)'!$F$25:$F$747,$F85,'Калькуляция (МИ)'!$G$25:$G$747,$G85))))</f>
        <v>0</v>
      </c>
      <c r="AI85" s="296">
        <f>IF(AG85=0,0,(AH85-AG85)/AG85*100)</f>
        <v>0</v>
      </c>
      <c r="AJ85" s="5272">
        <f>IF(AND(method_reg="Метод индексации",god&lt;&gt;first_year),_xlfn.SUMIFS(INDEX('Калькуляция (МИ корр)'!$AJ$25:$BC$747,,MATCH(AJ$8,'Калькуляция (МИ корр)'!$AJ$8:$BC$8,0)),'Калькуляция (МИ корр)'!$F$25:$F$747,$F85,'Калькуляция (МИ корр)'!$G$25:$G$747,$G85),IF(method_reg="Метод экономически обоснованных расходов",_xlfn.SUMIFS('Калькуляция (МЭОР)'!$AJ$25:$AJ$452,'Калькуляция (МЭОР)'!$F$25:$F$452,$F85,'Калькуляция (МЭОР)'!$G$25:$G$452,$G85),IF(method_reg="Метод сравнения аналогов",_xlfn.SUMIFS('Калькуляция (МСА)'!$AE$25:$AE$122,'Калькуляция (МСА)'!$F$25:$F$122,$F85,'Калькуляция (МСА)'!$G$25:$G$122,$G85),_xlfn.SUMIFS(INDEX('Калькуляция (МИ)'!$AJ$25:$BC$747,,MATCH(AJ$8,'Калькуляция (МИ)'!$AJ$8:$BC$8,0)),'Калькуляция (МИ)'!$F$25:$F$747,$F85,'Калькуляция (МИ)'!$G$25:$G$747,$G85))))</f>
        <v>0</v>
      </c>
      <c r="AK85" s="5272">
        <f>IF(AND(method_reg="Метод индексации",god&lt;&gt;first_year),_xlfn.SUMIFS(INDEX('Калькуляция (МИ корр)'!$AJ$25:$BC$747,,MATCH(AK$8,'Калькуляция (МИ корр)'!$AJ$8:$BC$8,0)),'Калькуляция (МИ корр)'!$F$25:$F$747,$F85,'Калькуляция (МИ корр)'!$G$25:$G$747,$G85),IF(method_reg="Метод экономически обоснованных расходов",_xlfn.SUMIFS('Калькуляция (МЭОР)'!$AK$25:$AK$452,'Калькуляция (МЭОР)'!$F$25:$F$452,$F85,'Калькуляция (МЭОР)'!$G$25:$G$452,$G85),IF(method_reg="Метод сравнения аналогов",_xlfn.SUMIFS('Калькуляция (МСА)'!$AF$25:$AF$122,'Калькуляция (МСА)'!$F$25:$F$122,$F85,'Калькуляция (МСА)'!$G$25:$G$122,$G85),_xlfn.SUMIFS(INDEX('Калькуляция (МИ)'!$AJ$25:$BC$747,,MATCH(AK$8,'Калькуляция (МИ)'!$AJ$8:$BC$8,0)),'Калькуляция (МИ)'!$F$25:$F$747,$F85,'Калькуляция (МИ)'!$G$25:$G$747,$G85))))</f>
        <v>0</v>
      </c>
      <c r="AL85" s="296">
        <f>IF(AJ85=0,0,(AK85-AJ85)/AJ85*100)</f>
        <v>0</v>
      </c>
      <c r="AM85" s="5272">
        <f>IF(AND(method_reg="Метод индексации",god&lt;&gt;first_year),_xlfn.SUMIFS(INDEX('Калькуляция (МИ корр)'!$AJ$25:$BC$747,,MATCH(AM$8,'Калькуляция (МИ корр)'!$AJ$8:$BC$8,0)),'Калькуляция (МИ корр)'!$F$25:$F$747,$F85,'Калькуляция (МИ корр)'!$G$25:$G$747,$G85),IF(method_reg="Метод экономически обоснованных расходов",_xlfn.SUMIFS('Калькуляция (МЭОР)'!$AJ$25:$AJ$452,'Калькуляция (МЭОР)'!$F$25:$F$452,$F85,'Калькуляция (МЭОР)'!$G$25:$G$452,$G85),IF(method_reg="Метод сравнения аналогов",_xlfn.SUMIFS('Калькуляция (МСА)'!$AE$25:$AE$122,'Калькуляция (МСА)'!$F$25:$F$122,$F85,'Калькуляция (МСА)'!$G$25:$G$122,$G85),_xlfn.SUMIFS(INDEX('Калькуляция (МИ)'!$AJ$25:$BC$747,,MATCH(AM$8,'Калькуляция (МИ)'!$AJ$8:$BC$8,0)),'Калькуляция (МИ)'!$F$25:$F$747,$F85,'Калькуляция (МИ)'!$G$25:$G$747,$G85))))</f>
        <v>0</v>
      </c>
      <c r="AN85" s="5272">
        <f>IF(AND(method_reg="Метод индексации",god&lt;&gt;first_year),_xlfn.SUMIFS(INDEX('Калькуляция (МИ корр)'!$AJ$25:$BC$747,,MATCH(AN$8,'Калькуляция (МИ корр)'!$AJ$8:$BC$8,0)),'Калькуляция (МИ корр)'!$F$25:$F$747,$F85,'Калькуляция (МИ корр)'!$G$25:$G$747,$G85),IF(method_reg="Метод экономически обоснованных расходов",_xlfn.SUMIFS('Калькуляция (МЭОР)'!$AK$25:$AK$452,'Калькуляция (МЭОР)'!$F$25:$F$452,$F85,'Калькуляция (МЭОР)'!$G$25:$G$452,$G85),IF(method_reg="Метод сравнения аналогов",_xlfn.SUMIFS('Калькуляция (МСА)'!$AF$25:$AF$122,'Калькуляция (МСА)'!$F$25:$F$122,$F85,'Калькуляция (МСА)'!$G$25:$G$122,$G85),_xlfn.SUMIFS(INDEX('Калькуляция (МИ)'!$AJ$25:$BC$747,,MATCH(AN$8,'Калькуляция (МИ)'!$AJ$8:$BC$8,0)),'Калькуляция (МИ)'!$F$25:$F$747,$F85,'Калькуляция (МИ)'!$G$25:$G$747,$G85))))</f>
        <v>0</v>
      </c>
      <c r="AO85" s="296">
        <f>IF(AM85=0,0,(AN85-AM85)/AM85*100)</f>
        <v>0</v>
      </c>
      <c r="AP85" s="5272">
        <f>IF(AND(method_reg="Метод индексации",god&lt;&gt;first_year),_xlfn.SUMIFS(INDEX('Калькуляция (МИ корр)'!$AJ$25:$BC$747,,MATCH(AP$8,'Калькуляция (МИ корр)'!$AJ$8:$BC$8,0)),'Калькуляция (МИ корр)'!$F$25:$F$747,$F85,'Калькуляция (МИ корр)'!$G$25:$G$747,$G85),IF(method_reg="Метод экономически обоснованных расходов",_xlfn.SUMIFS('Калькуляция (МЭОР)'!$AJ$25:$AJ$452,'Калькуляция (МЭОР)'!$F$25:$F$452,$F85,'Калькуляция (МЭОР)'!$G$25:$G$452,$G85),IF(method_reg="Метод сравнения аналогов",_xlfn.SUMIFS('Калькуляция (МСА)'!$AE$25:$AE$122,'Калькуляция (МСА)'!$F$25:$F$122,$F85,'Калькуляция (МСА)'!$G$25:$G$122,$G85),_xlfn.SUMIFS(INDEX('Калькуляция (МИ)'!$AJ$25:$BC$747,,MATCH(AP$8,'Калькуляция (МИ)'!$AJ$8:$BC$8,0)),'Калькуляция (МИ)'!$F$25:$F$747,$F85,'Калькуляция (МИ)'!$G$25:$G$747,$G85))))</f>
        <v>0</v>
      </c>
      <c r="AQ85" s="5272">
        <f>IF(AND(method_reg="Метод индексации",god&lt;&gt;first_year),_xlfn.SUMIFS(INDEX('Калькуляция (МИ корр)'!$AJ$25:$BC$747,,MATCH(AQ$8,'Калькуляция (МИ корр)'!$AJ$8:$BC$8,0)),'Калькуляция (МИ корр)'!$F$25:$F$747,$F85,'Калькуляция (МИ корр)'!$G$25:$G$747,$G85),IF(method_reg="Метод экономически обоснованных расходов",_xlfn.SUMIFS('Калькуляция (МЭОР)'!$AK$25:$AK$452,'Калькуляция (МЭОР)'!$F$25:$F$452,$F85,'Калькуляция (МЭОР)'!$G$25:$G$452,$G85),IF(method_reg="Метод сравнения аналогов",_xlfn.SUMIFS('Калькуляция (МСА)'!$AF$25:$AF$122,'Калькуляция (МСА)'!$F$25:$F$122,$F85,'Калькуляция (МСА)'!$G$25:$G$122,$G85),_xlfn.SUMIFS(INDEX('Калькуляция (МИ)'!$AJ$25:$BC$747,,MATCH(AQ$8,'Калькуляция (МИ)'!$AJ$8:$BC$8,0)),'Калькуляция (МИ)'!$F$25:$F$747,$F85,'Калькуляция (МИ)'!$G$25:$G$747,$G85))))</f>
        <v>0</v>
      </c>
      <c r="AR85" s="296">
        <f>IF(AP85=0,0,(AQ85-AP85)/AP85*100)</f>
        <v>0</v>
      </c>
      <c r="AS85" s="5272">
        <f>IF(AND(method_reg="Метод индексации",god&lt;&gt;first_year),_xlfn.SUMIFS(INDEX('Калькуляция (МИ корр)'!$AJ$25:$BC$747,,MATCH(AS$8,'Калькуляция (МИ корр)'!$AJ$8:$BC$8,0)),'Калькуляция (МИ корр)'!$F$25:$F$747,$F85,'Калькуляция (МИ корр)'!$G$25:$G$747,$G85),IF(method_reg="Метод экономически обоснованных расходов",_xlfn.SUMIFS('Калькуляция (МЭОР)'!$AJ$25:$AJ$452,'Калькуляция (МЭОР)'!$F$25:$F$452,$F85,'Калькуляция (МЭОР)'!$G$25:$G$452,$G85),IF(method_reg="Метод сравнения аналогов",_xlfn.SUMIFS('Калькуляция (МСА)'!$AE$25:$AE$122,'Калькуляция (МСА)'!$F$25:$F$122,$F85,'Калькуляция (МСА)'!$G$25:$G$122,$G85),_xlfn.SUMIFS(INDEX('Калькуляция (МИ)'!$AJ$25:$BC$747,,MATCH(AS$8,'Калькуляция (МИ)'!$AJ$8:$BC$8,0)),'Калькуляция (МИ)'!$F$25:$F$747,$F85,'Калькуляция (МИ)'!$G$25:$G$747,$G85))))</f>
        <v>0</v>
      </c>
      <c r="AT85" s="5272">
        <f>IF(AND(method_reg="Метод индексации",god&lt;&gt;first_year),_xlfn.SUMIFS(INDEX('Калькуляция (МИ корр)'!$AJ$25:$BC$747,,MATCH(AT$8,'Калькуляция (МИ корр)'!$AJ$8:$BC$8,0)),'Калькуляция (МИ корр)'!$F$25:$F$747,$F85,'Калькуляция (МИ корр)'!$G$25:$G$747,$G85),IF(method_reg="Метод экономически обоснованных расходов",_xlfn.SUMIFS('Калькуляция (МЭОР)'!$AK$25:$AK$452,'Калькуляция (МЭОР)'!$F$25:$F$452,$F85,'Калькуляция (МЭОР)'!$G$25:$G$452,$G85),IF(method_reg="Метод сравнения аналогов",_xlfn.SUMIFS('Калькуляция (МСА)'!$AF$25:$AF$122,'Калькуляция (МСА)'!$F$25:$F$122,$F85,'Калькуляция (МСА)'!$G$25:$G$122,$G85),_xlfn.SUMIFS(INDEX('Калькуляция (МИ)'!$AJ$25:$BC$747,,MATCH(AT$8,'Калькуляция (МИ)'!$AJ$8:$BC$8,0)),'Калькуляция (МИ)'!$F$25:$F$747,$F85,'Калькуляция (МИ)'!$G$25:$G$747,$G85))))</f>
        <v>0</v>
      </c>
      <c r="AU85" s="296">
        <f>IF(AS85=0,0,(AT85-AS85)/AS85*100)</f>
        <v>0</v>
      </c>
      <c r="AV85" s="5272">
        <f>IF(AND(method_reg="Метод индексации",god&lt;&gt;first_year),_xlfn.SUMIFS(INDEX('Калькуляция (МИ корр)'!$AJ$25:$BC$747,,MATCH(AV$8,'Калькуляция (МИ корр)'!$AJ$8:$BC$8,0)),'Калькуляция (МИ корр)'!$F$25:$F$747,$F85,'Калькуляция (МИ корр)'!$G$25:$G$747,$G85),IF(method_reg="Метод экономически обоснованных расходов",_xlfn.SUMIFS('Калькуляция (МЭОР)'!$AJ$25:$AJ$452,'Калькуляция (МЭОР)'!$F$25:$F$452,$F85,'Калькуляция (МЭОР)'!$G$25:$G$452,$G85),IF(method_reg="Метод сравнения аналогов",_xlfn.SUMIFS('Калькуляция (МСА)'!$AE$25:$AE$122,'Калькуляция (МСА)'!$F$25:$F$122,$F85,'Калькуляция (МСА)'!$G$25:$G$122,$G85),_xlfn.SUMIFS(INDEX('Калькуляция (МИ)'!$AJ$25:$BC$747,,MATCH(AV$8,'Калькуляция (МИ)'!$AJ$8:$BC$8,0)),'Калькуляция (МИ)'!$F$25:$F$747,$F85,'Калькуляция (МИ)'!$G$25:$G$747,$G85))))</f>
        <v>0</v>
      </c>
      <c r="AW85" s="5272">
        <f>IF(AND(method_reg="Метод индексации",god&lt;&gt;first_year),_xlfn.SUMIFS(INDEX('Калькуляция (МИ корр)'!$AJ$25:$BC$747,,MATCH(AW$8,'Калькуляция (МИ корр)'!$AJ$8:$BC$8,0)),'Калькуляция (МИ корр)'!$F$25:$F$747,$F85,'Калькуляция (МИ корр)'!$G$25:$G$747,$G85),IF(method_reg="Метод экономически обоснованных расходов",_xlfn.SUMIFS('Калькуляция (МЭОР)'!$AK$25:$AK$452,'Калькуляция (МЭОР)'!$F$25:$F$452,$F85,'Калькуляция (МЭОР)'!$G$25:$G$452,$G85),IF(method_reg="Метод сравнения аналогов",_xlfn.SUMIFS('Калькуляция (МСА)'!$AF$25:$AF$122,'Калькуляция (МСА)'!$F$25:$F$122,$F85,'Калькуляция (МСА)'!$G$25:$G$122,$G85),_xlfn.SUMIFS(INDEX('Калькуляция (МИ)'!$AJ$25:$BC$747,,MATCH(AW$8,'Калькуляция (МИ)'!$AJ$8:$BC$8,0)),'Калькуляция (МИ)'!$F$25:$F$747,$F85,'Калькуляция (МИ)'!$G$25:$G$747,$G85))))</f>
        <v>0</v>
      </c>
      <c r="AX85" s="296">
        <f>IF(AV85=0,0,(AW85-AV85)/AV85*100)</f>
        <v>0</v>
      </c>
      <c r="AY85" s="5272">
        <f>IF(AND(method_reg="Метод индексации",god&lt;&gt;first_year),_xlfn.SUMIFS(INDEX('Калькуляция (МИ корр)'!$AJ$25:$BC$747,,MATCH(AY$8,'Калькуляция (МИ корр)'!$AJ$8:$BC$8,0)),'Калькуляция (МИ корр)'!$F$25:$F$747,$F85,'Калькуляция (МИ корр)'!$G$25:$G$747,$G85),IF(method_reg="Метод экономически обоснованных расходов",_xlfn.SUMIFS('Калькуляция (МЭОР)'!$AJ$25:$AJ$452,'Калькуляция (МЭОР)'!$F$25:$F$452,$F85,'Калькуляция (МЭОР)'!$G$25:$G$452,$G85),IF(method_reg="Метод сравнения аналогов",_xlfn.SUMIFS('Калькуляция (МСА)'!$AE$25:$AE$122,'Калькуляция (МСА)'!$F$25:$F$122,$F85,'Калькуляция (МСА)'!$G$25:$G$122,$G85),_xlfn.SUMIFS(INDEX('Калькуляция (МИ)'!$AJ$25:$BC$747,,MATCH(AY$8,'Калькуляция (МИ)'!$AJ$8:$BC$8,0)),'Калькуляция (МИ)'!$F$25:$F$747,$F85,'Калькуляция (МИ)'!$G$25:$G$747,$G85))))</f>
        <v>0</v>
      </c>
      <c r="AZ85" s="5272">
        <f>IF(AND(method_reg="Метод индексации",god&lt;&gt;first_year),_xlfn.SUMIFS(INDEX('Калькуляция (МИ корр)'!$AJ$25:$BC$747,,MATCH(AZ$8,'Калькуляция (МИ корр)'!$AJ$8:$BC$8,0)),'Калькуляция (МИ корр)'!$F$25:$F$747,$F85,'Калькуляция (МИ корр)'!$G$25:$G$747,$G85),IF(method_reg="Метод экономически обоснованных расходов",_xlfn.SUMIFS('Калькуляция (МЭОР)'!$AK$25:$AK$452,'Калькуляция (МЭОР)'!$F$25:$F$452,$F85,'Калькуляция (МЭОР)'!$G$25:$G$452,$G85),IF(method_reg="Метод сравнения аналогов",_xlfn.SUMIFS('Калькуляция (МСА)'!$AF$25:$AF$122,'Калькуляция (МСА)'!$F$25:$F$122,$F85,'Калькуляция (МСА)'!$G$25:$G$122,$G85),_xlfn.SUMIFS(INDEX('Калькуляция (МИ)'!$AJ$25:$BC$747,,MATCH(AZ$8,'Калькуляция (МИ)'!$AJ$8:$BC$8,0)),'Калькуляция (МИ)'!$F$25:$F$747,$F85,'Калькуляция (МИ)'!$G$25:$G$747,$G85))))</f>
        <v>0</v>
      </c>
      <c r="BA85" s="296">
        <f>IF(AY85=0,0,(AZ85-AY85)/AY85*100)</f>
        <v>0</v>
      </c>
      <c r="BB85" s="5272">
        <f>IF(AND(method_reg="Метод индексации",god&lt;&gt;first_year),_xlfn.SUMIFS(INDEX('Калькуляция (МИ корр)'!$AJ$25:$BC$747,,MATCH(BB$8,'Калькуляция (МИ корр)'!$AJ$8:$BC$8,0)),'Калькуляция (МИ корр)'!$F$25:$F$747,$F85,'Калькуляция (МИ корр)'!$G$25:$G$747,$G85),IF(method_reg="Метод экономически обоснованных расходов",_xlfn.SUMIFS('Калькуляция (МЭОР)'!$AJ$25:$AJ$452,'Калькуляция (МЭОР)'!$F$25:$F$452,$F85,'Калькуляция (МЭОР)'!$G$25:$G$452,$G85),IF(method_reg="Метод сравнения аналогов",_xlfn.SUMIFS('Калькуляция (МСА)'!$AE$25:$AE$122,'Калькуляция (МСА)'!$F$25:$F$122,$F85,'Калькуляция (МСА)'!$G$25:$G$122,$G85),_xlfn.SUMIFS(INDEX('Калькуляция (МИ)'!$AJ$25:$BC$747,,MATCH(BB$8,'Калькуляция (МИ)'!$AJ$8:$BC$8,0)),'Калькуляция (МИ)'!$F$25:$F$747,$F85,'Калькуляция (МИ)'!$G$25:$G$747,$G85))))</f>
        <v>0</v>
      </c>
      <c r="BC85" s="5272">
        <f>IF(AND(method_reg="Метод индексации",god&lt;&gt;first_year),_xlfn.SUMIFS(INDEX('Калькуляция (МИ корр)'!$AJ$25:$BC$747,,MATCH(BC$8,'Калькуляция (МИ корр)'!$AJ$8:$BC$8,0)),'Калькуляция (МИ корр)'!$F$25:$F$747,$F85,'Калькуляция (МИ корр)'!$G$25:$G$747,$G85),IF(method_reg="Метод экономически обоснованных расходов",_xlfn.SUMIFS('Калькуляция (МЭОР)'!$AK$25:$AK$452,'Калькуляция (МЭОР)'!$F$25:$F$452,$F85,'Калькуляция (МЭОР)'!$G$25:$G$452,$G85),IF(method_reg="Метод сравнения аналогов",_xlfn.SUMIFS('Калькуляция (МСА)'!$AF$25:$AF$122,'Калькуляция (МСА)'!$F$25:$F$122,$F85,'Калькуляция (МСА)'!$G$25:$G$122,$G85),_xlfn.SUMIFS(INDEX('Калькуляция (МИ)'!$AJ$25:$BC$747,,MATCH(BC$8,'Калькуляция (МИ)'!$AJ$8:$BC$8,0)),'Калькуляция (МИ)'!$F$25:$F$747,$F85,'Калькуляция (МИ)'!$G$25:$G$747,$G85))))</f>
        <v>0</v>
      </c>
      <c r="BD85" s="296">
        <f>IF(BB85=0,0,(BC85-BB85)/BB85*100)</f>
        <v>0</v>
      </c>
      <c r="BE85" s="5272">
        <f>IF(AND(method_reg="Метод индексации",god&lt;&gt;first_year),_xlfn.SUMIFS(INDEX('Калькуляция (МИ корр)'!$AJ$25:$BC$747,,MATCH(BE$8,'Калькуляция (МИ корр)'!$AJ$8:$BC$8,0)),'Калькуляция (МИ корр)'!$F$25:$F$747,$F85,'Калькуляция (МИ корр)'!$G$25:$G$747,$G85),IF(method_reg="Метод экономически обоснованных расходов",_xlfn.SUMIFS('Калькуляция (МЭОР)'!$AJ$25:$AJ$452,'Калькуляция (МЭОР)'!$F$25:$F$452,$F85,'Калькуляция (МЭОР)'!$G$25:$G$452,$G85),IF(method_reg="Метод сравнения аналогов",_xlfn.SUMIFS('Калькуляция (МСА)'!$AE$25:$AE$122,'Калькуляция (МСА)'!$F$25:$F$122,$F85,'Калькуляция (МСА)'!$G$25:$G$122,$G85),_xlfn.SUMIFS(INDEX('Калькуляция (МИ)'!$AJ$25:$BC$747,,MATCH(BE$8,'Калькуляция (МИ)'!$AJ$8:$BC$8,0)),'Калькуляция (МИ)'!$F$25:$F$747,$F85,'Калькуляция (МИ)'!$G$25:$G$747,$G85))))</f>
        <v>0</v>
      </c>
      <c r="BF85" s="5272">
        <f>IF(AND(method_reg="Метод индексации",god&lt;&gt;first_year),_xlfn.SUMIFS(INDEX('Калькуляция (МИ корр)'!$AJ$25:$BC$747,,MATCH(BF$8,'Калькуляция (МИ корр)'!$AJ$8:$BC$8,0)),'Калькуляция (МИ корр)'!$F$25:$F$747,$F85,'Калькуляция (МИ корр)'!$G$25:$G$747,$G85),IF(method_reg="Метод экономически обоснованных расходов",_xlfn.SUMIFS('Калькуляция (МЭОР)'!$AK$25:$AK$452,'Калькуляция (МЭОР)'!$F$25:$F$452,$F85,'Калькуляция (МЭОР)'!$G$25:$G$452,$G85),IF(method_reg="Метод сравнения аналогов",_xlfn.SUMIFS('Калькуляция (МСА)'!$AF$25:$AF$122,'Калькуляция (МСА)'!$F$25:$F$122,$F85,'Калькуляция (МСА)'!$G$25:$G$122,$G85),_xlfn.SUMIFS(INDEX('Калькуляция (МИ)'!$AJ$25:$BC$747,,MATCH(BF$8,'Калькуляция (МИ)'!$AJ$8:$BC$8,0)),'Калькуляция (МИ)'!$F$25:$F$747,$F85,'Калькуляция (МИ)'!$G$25:$G$747,$G85))))</f>
        <v>0</v>
      </c>
      <c r="BG85" s="296">
        <f>IF(BE85=0,0,(BF85-BE85)/BE85*100)</f>
        <v>0</v>
      </c>
      <c r="BH85" s="5272"/>
      <c r="BI85" s="5272"/>
      <c r="BJ85" s="296">
        <f>IF(BH85=0,0,(BI85-BH85)/BH85*100)</f>
        <v>0</v>
      </c>
      <c r="BK85" s="5272"/>
      <c r="BL85" s="5272"/>
      <c r="BM85" s="296">
        <f>IF(BK85=0,0,(BL85-BK85)/BK85*100)</f>
        <v>0</v>
      </c>
      <c r="BN85" s="5272"/>
      <c r="BO85" s="5272"/>
      <c r="BP85" s="296">
        <f>IF(BN85=0,0,(BO85-BN85)/BN85*100)</f>
        <v>0</v>
      </c>
      <c r="BQ85" s="5272"/>
      <c r="BR85" s="5272"/>
      <c r="BS85" s="296">
        <f>IF(BQ85=0,0,(BR85-BQ85)/BQ85*100)</f>
        <v>0</v>
      </c>
      <c r="BT85" s="5272"/>
      <c r="BU85" s="5272"/>
      <c r="BV85" s="296">
        <f>IF(BT85=0,0,(BU85-BT85)/BT85*100)</f>
        <v>0</v>
      </c>
      <c r="BW85" s="5272"/>
      <c r="BX85" s="5272"/>
      <c r="BY85" s="296">
        <f>IF(BW85=0,0,(BX85-BW85)/BW85*100)</f>
        <v>0</v>
      </c>
      <c r="BZ85" s="5272"/>
      <c r="CA85" s="5272"/>
      <c r="CB85" s="296">
        <f>IF(BZ85=0,0,(CA85-BZ85)/BZ85*100)</f>
        <v>0</v>
      </c>
      <c r="CC85" s="5272"/>
      <c r="CD85" s="5272"/>
      <c r="CE85" s="296">
        <f>IF(CC85=0,0,(CD85-CC85)/CC85*100)</f>
        <v>0</v>
      </c>
      <c r="CF85" s="5272"/>
      <c r="CG85" s="5272"/>
      <c r="CH85" s="296">
        <f>IF(CF85=0,0,(CG85-CF85)/CF85*100)</f>
        <v>0</v>
      </c>
      <c r="CI85" s="5272"/>
      <c r="CJ85" s="5272"/>
      <c r="CK85" s="296">
        <f>IF(CI85=0,0,(CJ85-CI85)/CI85*100)</f>
        <v>0</v>
      </c>
      <c r="CL85" s="5272"/>
      <c r="CM85" s="5272"/>
      <c r="CN85" s="296">
        <f>IF(CL85=0,0,(CM85-CL85)/CL85*100)</f>
        <v>0</v>
      </c>
      <c r="CO85" s="5272"/>
      <c r="CP85" s="5272"/>
      <c r="CQ85" s="296">
        <f>IF(CO85=0,0,(CP85-CO85)/CO85*100)</f>
        <v>0</v>
      </c>
      <c r="CR85" s="5272"/>
      <c r="CS85" s="5272"/>
      <c r="CT85" s="296">
        <f>IF(CR85=0,0,(CS85-CR85)/CR85*100)</f>
        <v>0</v>
      </c>
      <c r="CU85" s="5272"/>
      <c r="CV85" s="5272"/>
      <c r="CW85" s="296">
        <f>IF(CU85=0,0,(CV85-CU85)/CU85*100)</f>
        <v>0</v>
      </c>
      <c r="CX85" s="5272"/>
      <c r="CY85" s="5272"/>
      <c r="CZ85" s="296">
        <f>IF(CX85=0,0,(CY85-CX85)/CX85*100)</f>
        <v>0</v>
      </c>
      <c r="DA85" s="5272"/>
      <c r="DB85" s="5272"/>
      <c r="DC85" s="296">
        <f>IF(DA85=0,0,(DB85-DA85)/DA85*100)</f>
        <v>0</v>
      </c>
      <c r="DD85" s="5272"/>
      <c r="DE85" s="5272"/>
      <c r="DF85" s="296">
        <f>IF(DD85=0,0,(DE85-DD85)/DD85*100)</f>
        <v>0</v>
      </c>
      <c r="DG85" s="5272"/>
      <c r="DH85" s="5272"/>
      <c r="DI85" s="296">
        <f>IF(DG85=0,0,(DH85-DG85)/DG85*100)</f>
        <v>0</v>
      </c>
      <c r="DJ85" s="5272"/>
      <c r="DK85" s="5272"/>
      <c r="DL85" s="296">
        <f>IF(DJ85=0,0,(DK85-DJ85)/DJ85*100)</f>
        <v>0</v>
      </c>
      <c r="DM85" s="5272"/>
      <c r="DN85" s="5272"/>
      <c r="DO85" s="296">
        <f>IF(DM85=0,0,(DN85-DM85)/DM85*100)</f>
        <v>0</v>
      </c>
      <c r="DP85" s="5272"/>
      <c r="DQ85" s="5272"/>
      <c r="DR85" s="296">
        <f>IF(DP85=0,0,(DQ85-DP85)/DP85*100)</f>
        <v>0</v>
      </c>
      <c r="DS85" s="5272"/>
      <c r="DT85" s="5272"/>
      <c r="DU85" s="296">
        <f>IF(DS85=0,0,(DT85-DS85)/DS85*100)</f>
        <v>0</v>
      </c>
      <c r="DV85" s="5272"/>
      <c r="DW85" s="5272"/>
      <c r="DX85" s="296">
        <f>IF(DV85=0,0,(DW85-DV85)/DV85*100)</f>
        <v>0</v>
      </c>
      <c r="DY85" s="5272"/>
      <c r="DZ85" s="5272"/>
      <c r="EA85" s="296">
        <f>IF(DY85=0,0,(DZ85-DY85)/DY85*100)</f>
        <v>0</v>
      </c>
      <c r="EB85" s="5272"/>
      <c r="EC85" s="5272"/>
      <c r="ED85" s="296">
        <f>IF(EB85=0,0,(EC85-EB85)/EB85*100)</f>
        <v>0</v>
      </c>
      <c r="EE85" s="5272"/>
      <c r="EF85" s="5272"/>
      <c r="EG85" s="296">
        <f>IF(EE85=0,0,(EF85-EE85)/EE85*100)</f>
        <v>0</v>
      </c>
      <c r="EH85" s="5272"/>
      <c r="EI85" s="5272"/>
      <c r="EJ85" s="296">
        <f>IF(EH85=0,0,(EI85-EH85)/EH85*100)</f>
        <v>0</v>
      </c>
      <c r="EK85" s="5272"/>
      <c r="EL85" s="5272"/>
      <c r="EM85" s="296">
        <f>IF(EK85=0,0,(EL85-EK85)/EK85*100)</f>
        <v>0</v>
      </c>
      <c r="EN85" s="5272"/>
      <c r="EO85" s="5272"/>
      <c r="EP85" s="296">
        <f>IF(EN85=0,0,(EO85-EN85)/EN85*100)</f>
        <v>0</v>
      </c>
      <c r="EQ85" s="5272"/>
      <c r="ER85" s="5272"/>
      <c r="ES85" s="296">
        <f>IF(EQ85=0,0,(ER85-EQ85)/EQ85*100)</f>
        <v>0</v>
      </c>
      <c r="ET85" s="5272"/>
      <c r="EU85" s="5272"/>
      <c r="EV85" s="296">
        <f>IF(ET85=0,0,(EU85-ET85)/ET85*100)</f>
        <v>0</v>
      </c>
      <c r="EW85" s="5272"/>
      <c r="EX85" s="5272"/>
      <c r="EY85" s="296">
        <f>IF(EW85=0,0,(EX85-EW85)/EW85*100)</f>
        <v>0</v>
      </c>
      <c r="EZ85" s="5272"/>
      <c r="FA85" s="5272"/>
      <c r="FB85" s="296">
        <f>IF(EZ85=0,0,(FA85-EZ85)/EZ85*100)</f>
        <v>0</v>
      </c>
      <c r="FC85" s="5272"/>
      <c r="FD85" s="5272"/>
      <c r="FE85" s="296">
        <f>IF(FC85=0,0,(FD85-FC85)/FC85*100)</f>
        <v>0</v>
      </c>
      <c r="FF85" s="5272"/>
      <c r="FG85" s="5272"/>
      <c r="FH85" s="296">
        <f>IF(FF85=0,0,(FG85-FF85)/FF85*100)</f>
        <v>0</v>
      </c>
      <c r="FI85" s="5272"/>
      <c r="FJ85" s="5272"/>
      <c r="FK85" s="296">
        <f>IF(FI85=0,0,(FJ85-FI85)/FI85*100)</f>
        <v>0</v>
      </c>
      <c r="FL85" s="5272"/>
      <c r="FM85" s="5272"/>
      <c r="FN85" s="296">
        <f>IF(FL85=0,0,(FM85-FL85)/FL85*100)</f>
        <v>0</v>
      </c>
      <c r="FO85" s="5272"/>
      <c r="FP85" s="5272"/>
      <c r="FQ85" s="296">
        <f>IF(FO85=0,0,(FP85-FO85)/FO85*100)</f>
        <v>0</v>
      </c>
      <c r="FR85" s="5272"/>
      <c r="FS85" s="5272"/>
      <c r="FT85" s="296">
        <f>IF(FR85=0,0,(FS85-FR85)/FR85*100)</f>
        <v>0</v>
      </c>
      <c r="FU85" s="5272"/>
      <c r="FV85" s="5272"/>
      <c r="FW85" s="296">
        <f>IF(FU85=0,0,(FV85-FU85)/FU85*100)</f>
        <v>0</v>
      </c>
      <c r="FX85" s="292"/>
      <c r="FY85" s="292"/>
      <c r="FZ85" s="1055" t="s">
        <v>2417</v>
      </c>
      <c r="GA85" s="1055"/>
      <c r="GB85" s="1055"/>
      <c r="GC85" s="1056"/>
      <c r="GD85" s="1056"/>
    </row>
    <row s="292" customFormat="1" customHeight="1" ht="23.887500000000003" hidden="1">
      <c r="A86" s="897"/>
      <c r="B86" s="925" cm="1" t="str">
        <f t="array" ref="B86:B86">B85</f>
        <v>false</v>
      </c>
      <c r="C86" s="897"/>
      <c r="D86" s="897"/>
      <c r="E86" s="840">
        <v>24.5</v>
      </c>
      <c r="F86" s="50" cm="1" t="str">
        <f t="array" ref="F86:F86">OFFSET(E86,-1,1)</f>
        <v>0</v>
      </c>
      <c r="G86" s="107" t="s">
        <v>2339</v>
      </c>
      <c r="H86" s="493" t="s">
        <v>1175</v>
      </c>
      <c r="I86" s="493" t="s">
        <v>2418</v>
      </c>
      <c r="J86" s="897"/>
      <c r="K86" s="897"/>
      <c r="L86" s="897"/>
      <c r="M86" s="897"/>
      <c r="N86" s="897"/>
      <c r="O86" s="897"/>
      <c r="P86" s="897"/>
      <c r="Q86" s="897"/>
      <c r="R86" s="897"/>
      <c r="S86" s="493"/>
      <c r="T86" s="465" cm="1" t="str">
        <f t="array" ref="T86:T86">T85</f>
        <v>false</v>
      </c>
      <c r="U86" s="897"/>
      <c r="V86" s="897"/>
      <c r="W86" s="897"/>
      <c r="X86" s="1596"/>
      <c r="Y86" s="897"/>
      <c r="Z86" s="1545"/>
      <c r="AA86" s="897"/>
      <c r="AB86" s="219" t="s">
        <v>2419</v>
      </c>
      <c r="AC86" s="234" t="s">
        <v>2337</v>
      </c>
      <c r="AD86" s="5272">
        <f>IF(AND(method_reg="Метод индексации",god&lt;&gt;first_year),_xlfn.SUMIFS(INDEX('Калькуляция (МИ корр)'!$AJ$25:$BC$747,,MATCH(AD$8,'Калькуляция (МИ корр)'!$AJ$8:$BC$8,0)),'Калькуляция (МИ корр)'!$F$25:$F$747,$F86,'Калькуляция (МИ корр)'!$G$25:$G$747,$G86),IF(method_reg="Метод экономически обоснованных расходов",_xlfn.SUMIFS('Калькуляция (МЭОР)'!$AJ$25:$AJ$452,'Калькуляция (МЭОР)'!$F$25:$F$452,$F86,'Калькуляция (МЭОР)'!$G$25:$G$452,$G86),IF(method_reg="Метод сравнения аналогов",_xlfn.SUMIFS('Калькуляция (МСА)'!$AE$25:$AE$122,'Калькуляция (МСА)'!$F$25:$F$122,$F86,'Калькуляция (МСА)'!$G$25:$G$122,$G86),_xlfn.SUMIFS(INDEX('Калькуляция (МИ)'!$AJ$25:$BC$747,,MATCH(AD$8,'Калькуляция (МИ)'!$AJ$8:$BC$8,0)),'Калькуляция (МИ)'!$F$25:$F$747,$F86,'Калькуляция (МИ)'!$G$25:$G$747,$G86))))</f>
        <v>0</v>
      </c>
      <c r="AE86" s="5272">
        <f>IF(AND(method_reg="Метод индексации",god&lt;&gt;first_year),_xlfn.SUMIFS(INDEX('Калькуляция (МИ корр)'!$AJ$25:$BC$747,,MATCH(AE$8,'Калькуляция (МИ корр)'!$AJ$8:$BC$8,0)),'Калькуляция (МИ корр)'!$F$25:$F$747,$F86,'Калькуляция (МИ корр)'!$G$25:$G$747,$G86),IF(method_reg="Метод экономически обоснованных расходов",_xlfn.SUMIFS('Калькуляция (МЭОР)'!$AK$25:$AK$452,'Калькуляция (МЭОР)'!$F$25:$F$452,$F86,'Калькуляция (МЭОР)'!$G$25:$G$452,$G86),IF(method_reg="Метод сравнения аналогов",_xlfn.SUMIFS('Калькуляция (МСА)'!$AF$25:$AF$122,'Калькуляция (МСА)'!$F$25:$F$122,$F86,'Калькуляция (МСА)'!$G$25:$G$122,$G86),_xlfn.SUMIFS(INDEX('Калькуляция (МИ)'!$AJ$25:$BC$747,,MATCH(AE$8,'Калькуляция (МИ)'!$AJ$8:$BC$8,0)),'Калькуляция (МИ)'!$F$25:$F$747,$F86,'Калькуляция (МИ)'!$G$25:$G$747,$G86))))</f>
        <v>0</v>
      </c>
      <c r="AF86" s="296">
        <f>IF(AD86=0,0,(AE86-AD86)/AD86*100)</f>
        <v>0</v>
      </c>
      <c r="AG86" s="5272">
        <f>IF(AND(method_reg="Метод индексации",god&lt;&gt;first_year),_xlfn.SUMIFS(INDEX('Калькуляция (МИ корр)'!$AJ$25:$BC$747,,MATCH(AG$8,'Калькуляция (МИ корр)'!$AJ$8:$BC$8,0)),'Калькуляция (МИ корр)'!$F$25:$F$747,$F86,'Калькуляция (МИ корр)'!$G$25:$G$747,$G86),IF(method_reg="Метод экономически обоснованных расходов",_xlfn.SUMIFS('Калькуляция (МЭОР)'!$AJ$25:$AJ$452,'Калькуляция (МЭОР)'!$F$25:$F$452,$F86,'Калькуляция (МЭОР)'!$G$25:$G$452,$G86),IF(method_reg="Метод сравнения аналогов",_xlfn.SUMIFS('Калькуляция (МСА)'!$AE$25:$AE$122,'Калькуляция (МСА)'!$F$25:$F$122,$F86,'Калькуляция (МСА)'!$G$25:$G$122,$G86),_xlfn.SUMIFS(INDEX('Калькуляция (МИ)'!$AJ$25:$BC$747,,MATCH(AG$8,'Калькуляция (МИ)'!$AJ$8:$BC$8,0)),'Калькуляция (МИ)'!$F$25:$F$747,$F86,'Калькуляция (МИ)'!$G$25:$G$747,$G86))))</f>
        <v>0</v>
      </c>
      <c r="AH86" s="5272">
        <f>IF(AND(method_reg="Метод индексации",god&lt;&gt;first_year),_xlfn.SUMIFS(INDEX('Калькуляция (МИ корр)'!$AJ$25:$BC$747,,MATCH(AH$8,'Калькуляция (МИ корр)'!$AJ$8:$BC$8,0)),'Калькуляция (МИ корр)'!$F$25:$F$747,$F86,'Калькуляция (МИ корр)'!$G$25:$G$747,$G86),IF(method_reg="Метод экономически обоснованных расходов",_xlfn.SUMIFS('Калькуляция (МЭОР)'!$AK$25:$AK$452,'Калькуляция (МЭОР)'!$F$25:$F$452,$F86,'Калькуляция (МЭОР)'!$G$25:$G$452,$G86),IF(method_reg="Метод сравнения аналогов",_xlfn.SUMIFS('Калькуляция (МСА)'!$AF$25:$AF$122,'Калькуляция (МСА)'!$F$25:$F$122,$F86,'Калькуляция (МСА)'!$G$25:$G$122,$G86),_xlfn.SUMIFS(INDEX('Калькуляция (МИ)'!$AJ$25:$BC$747,,MATCH(AH$8,'Калькуляция (МИ)'!$AJ$8:$BC$8,0)),'Калькуляция (МИ)'!$F$25:$F$747,$F86,'Калькуляция (МИ)'!$G$25:$G$747,$G86))))</f>
        <v>0</v>
      </c>
      <c r="AI86" s="296">
        <f>IF(AG86=0,0,(AH86-AG86)/AG86*100)</f>
        <v>0</v>
      </c>
      <c r="AJ86" s="5272">
        <f>IF(AND(method_reg="Метод индексации",god&lt;&gt;first_year),_xlfn.SUMIFS(INDEX('Калькуляция (МИ корр)'!$AJ$25:$BC$747,,MATCH(AJ$8,'Калькуляция (МИ корр)'!$AJ$8:$BC$8,0)),'Калькуляция (МИ корр)'!$F$25:$F$747,$F86,'Калькуляция (МИ корр)'!$G$25:$G$747,$G86),IF(method_reg="Метод экономически обоснованных расходов",_xlfn.SUMIFS('Калькуляция (МЭОР)'!$AJ$25:$AJ$452,'Калькуляция (МЭОР)'!$F$25:$F$452,$F86,'Калькуляция (МЭОР)'!$G$25:$G$452,$G86),IF(method_reg="Метод сравнения аналогов",_xlfn.SUMIFS('Калькуляция (МСА)'!$AE$25:$AE$122,'Калькуляция (МСА)'!$F$25:$F$122,$F86,'Калькуляция (МСА)'!$G$25:$G$122,$G86),_xlfn.SUMIFS(INDEX('Калькуляция (МИ)'!$AJ$25:$BC$747,,MATCH(AJ$8,'Калькуляция (МИ)'!$AJ$8:$BC$8,0)),'Калькуляция (МИ)'!$F$25:$F$747,$F86,'Калькуляция (МИ)'!$G$25:$G$747,$G86))))</f>
        <v>0</v>
      </c>
      <c r="AK86" s="5272">
        <f>IF(AND(method_reg="Метод индексации",god&lt;&gt;first_year),_xlfn.SUMIFS(INDEX('Калькуляция (МИ корр)'!$AJ$25:$BC$747,,MATCH(AK$8,'Калькуляция (МИ корр)'!$AJ$8:$BC$8,0)),'Калькуляция (МИ корр)'!$F$25:$F$747,$F86,'Калькуляция (МИ корр)'!$G$25:$G$747,$G86),IF(method_reg="Метод экономически обоснованных расходов",_xlfn.SUMIFS('Калькуляция (МЭОР)'!$AK$25:$AK$452,'Калькуляция (МЭОР)'!$F$25:$F$452,$F86,'Калькуляция (МЭОР)'!$G$25:$G$452,$G86),IF(method_reg="Метод сравнения аналогов",_xlfn.SUMIFS('Калькуляция (МСА)'!$AF$25:$AF$122,'Калькуляция (МСА)'!$F$25:$F$122,$F86,'Калькуляция (МСА)'!$G$25:$G$122,$G86),_xlfn.SUMIFS(INDEX('Калькуляция (МИ)'!$AJ$25:$BC$747,,MATCH(AK$8,'Калькуляция (МИ)'!$AJ$8:$BC$8,0)),'Калькуляция (МИ)'!$F$25:$F$747,$F86,'Калькуляция (МИ)'!$G$25:$G$747,$G86))))</f>
        <v>0</v>
      </c>
      <c r="AL86" s="296">
        <f>IF(AJ86=0,0,(AK86-AJ86)/AJ86*100)</f>
        <v>0</v>
      </c>
      <c r="AM86" s="5272">
        <f>IF(AND(method_reg="Метод индексации",god&lt;&gt;first_year),_xlfn.SUMIFS(INDEX('Калькуляция (МИ корр)'!$AJ$25:$BC$747,,MATCH(AM$8,'Калькуляция (МИ корр)'!$AJ$8:$BC$8,0)),'Калькуляция (МИ корр)'!$F$25:$F$747,$F86,'Калькуляция (МИ корр)'!$G$25:$G$747,$G86),IF(method_reg="Метод экономически обоснованных расходов",_xlfn.SUMIFS('Калькуляция (МЭОР)'!$AJ$25:$AJ$452,'Калькуляция (МЭОР)'!$F$25:$F$452,$F86,'Калькуляция (МЭОР)'!$G$25:$G$452,$G86),IF(method_reg="Метод сравнения аналогов",_xlfn.SUMIFS('Калькуляция (МСА)'!$AE$25:$AE$122,'Калькуляция (МСА)'!$F$25:$F$122,$F86,'Калькуляция (МСА)'!$G$25:$G$122,$G86),_xlfn.SUMIFS(INDEX('Калькуляция (МИ)'!$AJ$25:$BC$747,,MATCH(AM$8,'Калькуляция (МИ)'!$AJ$8:$BC$8,0)),'Калькуляция (МИ)'!$F$25:$F$747,$F86,'Калькуляция (МИ)'!$G$25:$G$747,$G86))))</f>
        <v>0</v>
      </c>
      <c r="AN86" s="5272">
        <f>IF(AND(method_reg="Метод индексации",god&lt;&gt;first_year),_xlfn.SUMIFS(INDEX('Калькуляция (МИ корр)'!$AJ$25:$BC$747,,MATCH(AN$8,'Калькуляция (МИ корр)'!$AJ$8:$BC$8,0)),'Калькуляция (МИ корр)'!$F$25:$F$747,$F86,'Калькуляция (МИ корр)'!$G$25:$G$747,$G86),IF(method_reg="Метод экономически обоснованных расходов",_xlfn.SUMIFS('Калькуляция (МЭОР)'!$AK$25:$AK$452,'Калькуляция (МЭОР)'!$F$25:$F$452,$F86,'Калькуляция (МЭОР)'!$G$25:$G$452,$G86),IF(method_reg="Метод сравнения аналогов",_xlfn.SUMIFS('Калькуляция (МСА)'!$AF$25:$AF$122,'Калькуляция (МСА)'!$F$25:$F$122,$F86,'Калькуляция (МСА)'!$G$25:$G$122,$G86),_xlfn.SUMIFS(INDEX('Калькуляция (МИ)'!$AJ$25:$BC$747,,MATCH(AN$8,'Калькуляция (МИ)'!$AJ$8:$BC$8,0)),'Калькуляция (МИ)'!$F$25:$F$747,$F86,'Калькуляция (МИ)'!$G$25:$G$747,$G86))))</f>
        <v>0</v>
      </c>
      <c r="AO86" s="296">
        <f>IF(AM86=0,0,(AN86-AM86)/AM86*100)</f>
        <v>0</v>
      </c>
      <c r="AP86" s="5272">
        <f>IF(AND(method_reg="Метод индексации",god&lt;&gt;first_year),_xlfn.SUMIFS(INDEX('Калькуляция (МИ корр)'!$AJ$25:$BC$747,,MATCH(AP$8,'Калькуляция (МИ корр)'!$AJ$8:$BC$8,0)),'Калькуляция (МИ корр)'!$F$25:$F$747,$F86,'Калькуляция (МИ корр)'!$G$25:$G$747,$G86),IF(method_reg="Метод экономически обоснованных расходов",_xlfn.SUMIFS('Калькуляция (МЭОР)'!$AJ$25:$AJ$452,'Калькуляция (МЭОР)'!$F$25:$F$452,$F86,'Калькуляция (МЭОР)'!$G$25:$G$452,$G86),IF(method_reg="Метод сравнения аналогов",_xlfn.SUMIFS('Калькуляция (МСА)'!$AE$25:$AE$122,'Калькуляция (МСА)'!$F$25:$F$122,$F86,'Калькуляция (МСА)'!$G$25:$G$122,$G86),_xlfn.SUMIFS(INDEX('Калькуляция (МИ)'!$AJ$25:$BC$747,,MATCH(AP$8,'Калькуляция (МИ)'!$AJ$8:$BC$8,0)),'Калькуляция (МИ)'!$F$25:$F$747,$F86,'Калькуляция (МИ)'!$G$25:$G$747,$G86))))</f>
        <v>0</v>
      </c>
      <c r="AQ86" s="5272">
        <f>IF(AND(method_reg="Метод индексации",god&lt;&gt;first_year),_xlfn.SUMIFS(INDEX('Калькуляция (МИ корр)'!$AJ$25:$BC$747,,MATCH(AQ$8,'Калькуляция (МИ корр)'!$AJ$8:$BC$8,0)),'Калькуляция (МИ корр)'!$F$25:$F$747,$F86,'Калькуляция (МИ корр)'!$G$25:$G$747,$G86),IF(method_reg="Метод экономически обоснованных расходов",_xlfn.SUMIFS('Калькуляция (МЭОР)'!$AK$25:$AK$452,'Калькуляция (МЭОР)'!$F$25:$F$452,$F86,'Калькуляция (МЭОР)'!$G$25:$G$452,$G86),IF(method_reg="Метод сравнения аналогов",_xlfn.SUMIFS('Калькуляция (МСА)'!$AF$25:$AF$122,'Калькуляция (МСА)'!$F$25:$F$122,$F86,'Калькуляция (МСА)'!$G$25:$G$122,$G86),_xlfn.SUMIFS(INDEX('Калькуляция (МИ)'!$AJ$25:$BC$747,,MATCH(AQ$8,'Калькуляция (МИ)'!$AJ$8:$BC$8,0)),'Калькуляция (МИ)'!$F$25:$F$747,$F86,'Калькуляция (МИ)'!$G$25:$G$747,$G86))))</f>
        <v>0</v>
      </c>
      <c r="AR86" s="296">
        <f>IF(AP86=0,0,(AQ86-AP86)/AP86*100)</f>
        <v>0</v>
      </c>
      <c r="AS86" s="5272">
        <f>IF(AND(method_reg="Метод индексации",god&lt;&gt;first_year),_xlfn.SUMIFS(INDEX('Калькуляция (МИ корр)'!$AJ$25:$BC$747,,MATCH(AS$8,'Калькуляция (МИ корр)'!$AJ$8:$BC$8,0)),'Калькуляция (МИ корр)'!$F$25:$F$747,$F86,'Калькуляция (МИ корр)'!$G$25:$G$747,$G86),IF(method_reg="Метод экономически обоснованных расходов",_xlfn.SUMIFS('Калькуляция (МЭОР)'!$AJ$25:$AJ$452,'Калькуляция (МЭОР)'!$F$25:$F$452,$F86,'Калькуляция (МЭОР)'!$G$25:$G$452,$G86),IF(method_reg="Метод сравнения аналогов",_xlfn.SUMIFS('Калькуляция (МСА)'!$AE$25:$AE$122,'Калькуляция (МСА)'!$F$25:$F$122,$F86,'Калькуляция (МСА)'!$G$25:$G$122,$G86),_xlfn.SUMIFS(INDEX('Калькуляция (МИ)'!$AJ$25:$BC$747,,MATCH(AS$8,'Калькуляция (МИ)'!$AJ$8:$BC$8,0)),'Калькуляция (МИ)'!$F$25:$F$747,$F86,'Калькуляция (МИ)'!$G$25:$G$747,$G86))))</f>
        <v>0</v>
      </c>
      <c r="AT86" s="5272">
        <f>IF(AND(method_reg="Метод индексации",god&lt;&gt;first_year),_xlfn.SUMIFS(INDEX('Калькуляция (МИ корр)'!$AJ$25:$BC$747,,MATCH(AT$8,'Калькуляция (МИ корр)'!$AJ$8:$BC$8,0)),'Калькуляция (МИ корр)'!$F$25:$F$747,$F86,'Калькуляция (МИ корр)'!$G$25:$G$747,$G86),IF(method_reg="Метод экономически обоснованных расходов",_xlfn.SUMIFS('Калькуляция (МЭОР)'!$AK$25:$AK$452,'Калькуляция (МЭОР)'!$F$25:$F$452,$F86,'Калькуляция (МЭОР)'!$G$25:$G$452,$G86),IF(method_reg="Метод сравнения аналогов",_xlfn.SUMIFS('Калькуляция (МСА)'!$AF$25:$AF$122,'Калькуляция (МСА)'!$F$25:$F$122,$F86,'Калькуляция (МСА)'!$G$25:$G$122,$G86),_xlfn.SUMIFS(INDEX('Калькуляция (МИ)'!$AJ$25:$BC$747,,MATCH(AT$8,'Калькуляция (МИ)'!$AJ$8:$BC$8,0)),'Калькуляция (МИ)'!$F$25:$F$747,$F86,'Калькуляция (МИ)'!$G$25:$G$747,$G86))))</f>
        <v>0</v>
      </c>
      <c r="AU86" s="296">
        <f>IF(AS86=0,0,(AT86-AS86)/AS86*100)</f>
        <v>0</v>
      </c>
      <c r="AV86" s="5272">
        <f>IF(AND(method_reg="Метод индексации",god&lt;&gt;first_year),_xlfn.SUMIFS(INDEX('Калькуляция (МИ корр)'!$AJ$25:$BC$747,,MATCH(AV$8,'Калькуляция (МИ корр)'!$AJ$8:$BC$8,0)),'Калькуляция (МИ корр)'!$F$25:$F$747,$F86,'Калькуляция (МИ корр)'!$G$25:$G$747,$G86),IF(method_reg="Метод экономически обоснованных расходов",_xlfn.SUMIFS('Калькуляция (МЭОР)'!$AJ$25:$AJ$452,'Калькуляция (МЭОР)'!$F$25:$F$452,$F86,'Калькуляция (МЭОР)'!$G$25:$G$452,$G86),IF(method_reg="Метод сравнения аналогов",_xlfn.SUMIFS('Калькуляция (МСА)'!$AE$25:$AE$122,'Калькуляция (МСА)'!$F$25:$F$122,$F86,'Калькуляция (МСА)'!$G$25:$G$122,$G86),_xlfn.SUMIFS(INDEX('Калькуляция (МИ)'!$AJ$25:$BC$747,,MATCH(AV$8,'Калькуляция (МИ)'!$AJ$8:$BC$8,0)),'Калькуляция (МИ)'!$F$25:$F$747,$F86,'Калькуляция (МИ)'!$G$25:$G$747,$G86))))</f>
        <v>0</v>
      </c>
      <c r="AW86" s="5272">
        <f>IF(AND(method_reg="Метод индексации",god&lt;&gt;first_year),_xlfn.SUMIFS(INDEX('Калькуляция (МИ корр)'!$AJ$25:$BC$747,,MATCH(AW$8,'Калькуляция (МИ корр)'!$AJ$8:$BC$8,0)),'Калькуляция (МИ корр)'!$F$25:$F$747,$F86,'Калькуляция (МИ корр)'!$G$25:$G$747,$G86),IF(method_reg="Метод экономически обоснованных расходов",_xlfn.SUMIFS('Калькуляция (МЭОР)'!$AK$25:$AK$452,'Калькуляция (МЭОР)'!$F$25:$F$452,$F86,'Калькуляция (МЭОР)'!$G$25:$G$452,$G86),IF(method_reg="Метод сравнения аналогов",_xlfn.SUMIFS('Калькуляция (МСА)'!$AF$25:$AF$122,'Калькуляция (МСА)'!$F$25:$F$122,$F86,'Калькуляция (МСА)'!$G$25:$G$122,$G86),_xlfn.SUMIFS(INDEX('Калькуляция (МИ)'!$AJ$25:$BC$747,,MATCH(AW$8,'Калькуляция (МИ)'!$AJ$8:$BC$8,0)),'Калькуляция (МИ)'!$F$25:$F$747,$F86,'Калькуляция (МИ)'!$G$25:$G$747,$G86))))</f>
        <v>0</v>
      </c>
      <c r="AX86" s="296">
        <f>IF(AV86=0,0,(AW86-AV86)/AV86*100)</f>
        <v>0</v>
      </c>
      <c r="AY86" s="5272">
        <f>IF(AND(method_reg="Метод индексации",god&lt;&gt;first_year),_xlfn.SUMIFS(INDEX('Калькуляция (МИ корр)'!$AJ$25:$BC$747,,MATCH(AY$8,'Калькуляция (МИ корр)'!$AJ$8:$BC$8,0)),'Калькуляция (МИ корр)'!$F$25:$F$747,$F86,'Калькуляция (МИ корр)'!$G$25:$G$747,$G86),IF(method_reg="Метод экономически обоснованных расходов",_xlfn.SUMIFS('Калькуляция (МЭОР)'!$AJ$25:$AJ$452,'Калькуляция (МЭОР)'!$F$25:$F$452,$F86,'Калькуляция (МЭОР)'!$G$25:$G$452,$G86),IF(method_reg="Метод сравнения аналогов",_xlfn.SUMIFS('Калькуляция (МСА)'!$AE$25:$AE$122,'Калькуляция (МСА)'!$F$25:$F$122,$F86,'Калькуляция (МСА)'!$G$25:$G$122,$G86),_xlfn.SUMIFS(INDEX('Калькуляция (МИ)'!$AJ$25:$BC$747,,MATCH(AY$8,'Калькуляция (МИ)'!$AJ$8:$BC$8,0)),'Калькуляция (МИ)'!$F$25:$F$747,$F86,'Калькуляция (МИ)'!$G$25:$G$747,$G86))))</f>
        <v>0</v>
      </c>
      <c r="AZ86" s="5272">
        <f>IF(AND(method_reg="Метод индексации",god&lt;&gt;first_year),_xlfn.SUMIFS(INDEX('Калькуляция (МИ корр)'!$AJ$25:$BC$747,,MATCH(AZ$8,'Калькуляция (МИ корр)'!$AJ$8:$BC$8,0)),'Калькуляция (МИ корр)'!$F$25:$F$747,$F86,'Калькуляция (МИ корр)'!$G$25:$G$747,$G86),IF(method_reg="Метод экономически обоснованных расходов",_xlfn.SUMIFS('Калькуляция (МЭОР)'!$AK$25:$AK$452,'Калькуляция (МЭОР)'!$F$25:$F$452,$F86,'Калькуляция (МЭОР)'!$G$25:$G$452,$G86),IF(method_reg="Метод сравнения аналогов",_xlfn.SUMIFS('Калькуляция (МСА)'!$AF$25:$AF$122,'Калькуляция (МСА)'!$F$25:$F$122,$F86,'Калькуляция (МСА)'!$G$25:$G$122,$G86),_xlfn.SUMIFS(INDEX('Калькуляция (МИ)'!$AJ$25:$BC$747,,MATCH(AZ$8,'Калькуляция (МИ)'!$AJ$8:$BC$8,0)),'Калькуляция (МИ)'!$F$25:$F$747,$F86,'Калькуляция (МИ)'!$G$25:$G$747,$G86))))</f>
        <v>0</v>
      </c>
      <c r="BA86" s="296">
        <f>IF(AY86=0,0,(AZ86-AY86)/AY86*100)</f>
        <v>0</v>
      </c>
      <c r="BB86" s="5272">
        <f>IF(AND(method_reg="Метод индексации",god&lt;&gt;first_year),_xlfn.SUMIFS(INDEX('Калькуляция (МИ корр)'!$AJ$25:$BC$747,,MATCH(BB$8,'Калькуляция (МИ корр)'!$AJ$8:$BC$8,0)),'Калькуляция (МИ корр)'!$F$25:$F$747,$F86,'Калькуляция (МИ корр)'!$G$25:$G$747,$G86),IF(method_reg="Метод экономически обоснованных расходов",_xlfn.SUMIFS('Калькуляция (МЭОР)'!$AJ$25:$AJ$452,'Калькуляция (МЭОР)'!$F$25:$F$452,$F86,'Калькуляция (МЭОР)'!$G$25:$G$452,$G86),IF(method_reg="Метод сравнения аналогов",_xlfn.SUMIFS('Калькуляция (МСА)'!$AE$25:$AE$122,'Калькуляция (МСА)'!$F$25:$F$122,$F86,'Калькуляция (МСА)'!$G$25:$G$122,$G86),_xlfn.SUMIFS(INDEX('Калькуляция (МИ)'!$AJ$25:$BC$747,,MATCH(BB$8,'Калькуляция (МИ)'!$AJ$8:$BC$8,0)),'Калькуляция (МИ)'!$F$25:$F$747,$F86,'Калькуляция (МИ)'!$G$25:$G$747,$G86))))</f>
        <v>0</v>
      </c>
      <c r="BC86" s="5272">
        <f>IF(AND(method_reg="Метод индексации",god&lt;&gt;first_year),_xlfn.SUMIFS(INDEX('Калькуляция (МИ корр)'!$AJ$25:$BC$747,,MATCH(BC$8,'Калькуляция (МИ корр)'!$AJ$8:$BC$8,0)),'Калькуляция (МИ корр)'!$F$25:$F$747,$F86,'Калькуляция (МИ корр)'!$G$25:$G$747,$G86),IF(method_reg="Метод экономически обоснованных расходов",_xlfn.SUMIFS('Калькуляция (МЭОР)'!$AK$25:$AK$452,'Калькуляция (МЭОР)'!$F$25:$F$452,$F86,'Калькуляция (МЭОР)'!$G$25:$G$452,$G86),IF(method_reg="Метод сравнения аналогов",_xlfn.SUMIFS('Калькуляция (МСА)'!$AF$25:$AF$122,'Калькуляция (МСА)'!$F$25:$F$122,$F86,'Калькуляция (МСА)'!$G$25:$G$122,$G86),_xlfn.SUMIFS(INDEX('Калькуляция (МИ)'!$AJ$25:$BC$747,,MATCH(BC$8,'Калькуляция (МИ)'!$AJ$8:$BC$8,0)),'Калькуляция (МИ)'!$F$25:$F$747,$F86,'Калькуляция (МИ)'!$G$25:$G$747,$G86))))</f>
        <v>0</v>
      </c>
      <c r="BD86" s="296">
        <f>IF(BB86=0,0,(BC86-BB86)/BB86*100)</f>
        <v>0</v>
      </c>
      <c r="BE86" s="5272">
        <f>IF(AND(method_reg="Метод индексации",god&lt;&gt;first_year),_xlfn.SUMIFS(INDEX('Калькуляция (МИ корр)'!$AJ$25:$BC$747,,MATCH(BE$8,'Калькуляция (МИ корр)'!$AJ$8:$BC$8,0)),'Калькуляция (МИ корр)'!$F$25:$F$747,$F86,'Калькуляция (МИ корр)'!$G$25:$G$747,$G86),IF(method_reg="Метод экономически обоснованных расходов",_xlfn.SUMIFS('Калькуляция (МЭОР)'!$AJ$25:$AJ$452,'Калькуляция (МЭОР)'!$F$25:$F$452,$F86,'Калькуляция (МЭОР)'!$G$25:$G$452,$G86),IF(method_reg="Метод сравнения аналогов",_xlfn.SUMIFS('Калькуляция (МСА)'!$AE$25:$AE$122,'Калькуляция (МСА)'!$F$25:$F$122,$F86,'Калькуляция (МСА)'!$G$25:$G$122,$G86),_xlfn.SUMIFS(INDEX('Калькуляция (МИ)'!$AJ$25:$BC$747,,MATCH(BE$8,'Калькуляция (МИ)'!$AJ$8:$BC$8,0)),'Калькуляция (МИ)'!$F$25:$F$747,$F86,'Калькуляция (МИ)'!$G$25:$G$747,$G86))))</f>
        <v>0</v>
      </c>
      <c r="BF86" s="5272">
        <f>IF(AND(method_reg="Метод индексации",god&lt;&gt;first_year),_xlfn.SUMIFS(INDEX('Калькуляция (МИ корр)'!$AJ$25:$BC$747,,MATCH(BF$8,'Калькуляция (МИ корр)'!$AJ$8:$BC$8,0)),'Калькуляция (МИ корр)'!$F$25:$F$747,$F86,'Калькуляция (МИ корр)'!$G$25:$G$747,$G86),IF(method_reg="Метод экономически обоснованных расходов",_xlfn.SUMIFS('Калькуляция (МЭОР)'!$AK$25:$AK$452,'Калькуляция (МЭОР)'!$F$25:$F$452,$F86,'Калькуляция (МЭОР)'!$G$25:$G$452,$G86),IF(method_reg="Метод сравнения аналогов",_xlfn.SUMIFS('Калькуляция (МСА)'!$AF$25:$AF$122,'Калькуляция (МСА)'!$F$25:$F$122,$F86,'Калькуляция (МСА)'!$G$25:$G$122,$G86),_xlfn.SUMIFS(INDEX('Калькуляция (МИ)'!$AJ$25:$BC$747,,MATCH(BF$8,'Калькуляция (МИ)'!$AJ$8:$BC$8,0)),'Калькуляция (МИ)'!$F$25:$F$747,$F86,'Калькуляция (МИ)'!$G$25:$G$747,$G86))))</f>
        <v>0</v>
      </c>
      <c r="BG86" s="296">
        <f>IF(BE86=0,0,(BF86-BE86)/BE86*100)</f>
        <v>0</v>
      </c>
      <c r="BH86" s="5272"/>
      <c r="BI86" s="5272"/>
      <c r="BJ86" s="296">
        <f>IF(BH86=0,0,(BI86-BH86)/BH86*100)</f>
        <v>0</v>
      </c>
      <c r="BK86" s="5272"/>
      <c r="BL86" s="5272"/>
      <c r="BM86" s="296">
        <f>IF(BK86=0,0,(BL86-BK86)/BK86*100)</f>
        <v>0</v>
      </c>
      <c r="BN86" s="5272"/>
      <c r="BO86" s="5272"/>
      <c r="BP86" s="296">
        <f>IF(BN86=0,0,(BO86-BN86)/BN86*100)</f>
        <v>0</v>
      </c>
      <c r="BQ86" s="5272"/>
      <c r="BR86" s="5272"/>
      <c r="BS86" s="296">
        <f>IF(BQ86=0,0,(BR86-BQ86)/BQ86*100)</f>
        <v>0</v>
      </c>
      <c r="BT86" s="5272"/>
      <c r="BU86" s="5272"/>
      <c r="BV86" s="296">
        <f>IF(BT86=0,0,(BU86-BT86)/BT86*100)</f>
        <v>0</v>
      </c>
      <c r="BW86" s="5272"/>
      <c r="BX86" s="5272"/>
      <c r="BY86" s="296">
        <f>IF(BW86=0,0,(BX86-BW86)/BW86*100)</f>
        <v>0</v>
      </c>
      <c r="BZ86" s="5272"/>
      <c r="CA86" s="5272"/>
      <c r="CB86" s="296">
        <f>IF(BZ86=0,0,(CA86-BZ86)/BZ86*100)</f>
        <v>0</v>
      </c>
      <c r="CC86" s="5272"/>
      <c r="CD86" s="5272"/>
      <c r="CE86" s="296">
        <f>IF(CC86=0,0,(CD86-CC86)/CC86*100)</f>
        <v>0</v>
      </c>
      <c r="CF86" s="5272"/>
      <c r="CG86" s="5272"/>
      <c r="CH86" s="296">
        <f>IF(CF86=0,0,(CG86-CF86)/CF86*100)</f>
        <v>0</v>
      </c>
      <c r="CI86" s="5272"/>
      <c r="CJ86" s="5272"/>
      <c r="CK86" s="296">
        <f>IF(CI86=0,0,(CJ86-CI86)/CI86*100)</f>
        <v>0</v>
      </c>
      <c r="CL86" s="5272"/>
      <c r="CM86" s="5272"/>
      <c r="CN86" s="296">
        <f>IF(CL86=0,0,(CM86-CL86)/CL86*100)</f>
        <v>0</v>
      </c>
      <c r="CO86" s="5272"/>
      <c r="CP86" s="5272"/>
      <c r="CQ86" s="296">
        <f>IF(CO86=0,0,(CP86-CO86)/CO86*100)</f>
        <v>0</v>
      </c>
      <c r="CR86" s="5272"/>
      <c r="CS86" s="5272"/>
      <c r="CT86" s="296">
        <f>IF(CR86=0,0,(CS86-CR86)/CR86*100)</f>
        <v>0</v>
      </c>
      <c r="CU86" s="5272"/>
      <c r="CV86" s="5272"/>
      <c r="CW86" s="296">
        <f>IF(CU86=0,0,(CV86-CU86)/CU86*100)</f>
        <v>0</v>
      </c>
      <c r="CX86" s="5272"/>
      <c r="CY86" s="5272"/>
      <c r="CZ86" s="296">
        <f>IF(CX86=0,0,(CY86-CX86)/CX86*100)</f>
        <v>0</v>
      </c>
      <c r="DA86" s="5272"/>
      <c r="DB86" s="5272"/>
      <c r="DC86" s="296">
        <f>IF(DA86=0,0,(DB86-DA86)/DA86*100)</f>
        <v>0</v>
      </c>
      <c r="DD86" s="5272"/>
      <c r="DE86" s="5272"/>
      <c r="DF86" s="296">
        <f>IF(DD86=0,0,(DE86-DD86)/DD86*100)</f>
        <v>0</v>
      </c>
      <c r="DG86" s="5272"/>
      <c r="DH86" s="5272"/>
      <c r="DI86" s="296">
        <f>IF(DG86=0,0,(DH86-DG86)/DG86*100)</f>
        <v>0</v>
      </c>
      <c r="DJ86" s="5272"/>
      <c r="DK86" s="5272"/>
      <c r="DL86" s="296">
        <f>IF(DJ86=0,0,(DK86-DJ86)/DJ86*100)</f>
        <v>0</v>
      </c>
      <c r="DM86" s="5272"/>
      <c r="DN86" s="5272"/>
      <c r="DO86" s="296">
        <f>IF(DM86=0,0,(DN86-DM86)/DM86*100)</f>
        <v>0</v>
      </c>
      <c r="DP86" s="5272"/>
      <c r="DQ86" s="5272"/>
      <c r="DR86" s="296">
        <f>IF(DP86=0,0,(DQ86-DP86)/DP86*100)</f>
        <v>0</v>
      </c>
      <c r="DS86" s="5272"/>
      <c r="DT86" s="5272"/>
      <c r="DU86" s="296">
        <f>IF(DS86=0,0,(DT86-DS86)/DS86*100)</f>
        <v>0</v>
      </c>
      <c r="DV86" s="5272"/>
      <c r="DW86" s="5272"/>
      <c r="DX86" s="296">
        <f>IF(DV86=0,0,(DW86-DV86)/DV86*100)</f>
        <v>0</v>
      </c>
      <c r="DY86" s="5272"/>
      <c r="DZ86" s="5272"/>
      <c r="EA86" s="296">
        <f>IF(DY86=0,0,(DZ86-DY86)/DY86*100)</f>
        <v>0</v>
      </c>
      <c r="EB86" s="5272"/>
      <c r="EC86" s="5272"/>
      <c r="ED86" s="296">
        <f>IF(EB86=0,0,(EC86-EB86)/EB86*100)</f>
        <v>0</v>
      </c>
      <c r="EE86" s="5272"/>
      <c r="EF86" s="5272"/>
      <c r="EG86" s="296">
        <f>IF(EE86=0,0,(EF86-EE86)/EE86*100)</f>
        <v>0</v>
      </c>
      <c r="EH86" s="5272"/>
      <c r="EI86" s="5272"/>
      <c r="EJ86" s="296">
        <f>IF(EH86=0,0,(EI86-EH86)/EH86*100)</f>
        <v>0</v>
      </c>
      <c r="EK86" s="5272"/>
      <c r="EL86" s="5272"/>
      <c r="EM86" s="296">
        <f>IF(EK86=0,0,(EL86-EK86)/EK86*100)</f>
        <v>0</v>
      </c>
      <c r="EN86" s="5272"/>
      <c r="EO86" s="5272"/>
      <c r="EP86" s="296">
        <f>IF(EN86=0,0,(EO86-EN86)/EN86*100)</f>
        <v>0</v>
      </c>
      <c r="EQ86" s="5272"/>
      <c r="ER86" s="5272"/>
      <c r="ES86" s="296">
        <f>IF(EQ86=0,0,(ER86-EQ86)/EQ86*100)</f>
        <v>0</v>
      </c>
      <c r="ET86" s="5272"/>
      <c r="EU86" s="5272"/>
      <c r="EV86" s="296">
        <f>IF(ET86=0,0,(EU86-ET86)/ET86*100)</f>
        <v>0</v>
      </c>
      <c r="EW86" s="5272"/>
      <c r="EX86" s="5272"/>
      <c r="EY86" s="296">
        <f>IF(EW86=0,0,(EX86-EW86)/EW86*100)</f>
        <v>0</v>
      </c>
      <c r="EZ86" s="5272"/>
      <c r="FA86" s="5272"/>
      <c r="FB86" s="296">
        <f>IF(EZ86=0,0,(FA86-EZ86)/EZ86*100)</f>
        <v>0</v>
      </c>
      <c r="FC86" s="5272"/>
      <c r="FD86" s="5272"/>
      <c r="FE86" s="296">
        <f>IF(FC86=0,0,(FD86-FC86)/FC86*100)</f>
        <v>0</v>
      </c>
      <c r="FF86" s="5272"/>
      <c r="FG86" s="5272"/>
      <c r="FH86" s="296">
        <f>IF(FF86=0,0,(FG86-FF86)/FF86*100)</f>
        <v>0</v>
      </c>
      <c r="FI86" s="5272"/>
      <c r="FJ86" s="5272"/>
      <c r="FK86" s="296">
        <f>IF(FI86=0,0,(FJ86-FI86)/FI86*100)</f>
        <v>0</v>
      </c>
      <c r="FL86" s="5272"/>
      <c r="FM86" s="5272"/>
      <c r="FN86" s="296">
        <f>IF(FL86=0,0,(FM86-FL86)/FL86*100)</f>
        <v>0</v>
      </c>
      <c r="FO86" s="5272"/>
      <c r="FP86" s="5272"/>
      <c r="FQ86" s="296">
        <f>IF(FO86=0,0,(FP86-FO86)/FO86*100)</f>
        <v>0</v>
      </c>
      <c r="FR86" s="5272"/>
      <c r="FS86" s="5272"/>
      <c r="FT86" s="296">
        <f>IF(FR86=0,0,(FS86-FR86)/FR86*100)</f>
        <v>0</v>
      </c>
      <c r="FU86" s="5272"/>
      <c r="FV86" s="5272"/>
      <c r="FW86" s="296">
        <f>IF(FU86=0,0,(FV86-FU86)/FU86*100)</f>
        <v>0</v>
      </c>
      <c r="FX86" s="292"/>
      <c r="FY86" s="292"/>
      <c r="FZ86" s="1055" t="s">
        <v>2420</v>
      </c>
      <c r="GA86" s="1055"/>
      <c r="GB86" s="1055"/>
      <c r="GC86" s="1056"/>
      <c r="GD86" s="1056"/>
    </row>
    <row customHeight="1" ht="14.625" hidden="1">
      <c r="A87" s="493"/>
      <c r="B87" s="925" cm="1" t="str">
        <f t="array" ref="B87:B87">B86</f>
        <v>false</v>
      </c>
      <c r="C87" s="493"/>
      <c r="D87" s="493"/>
      <c r="E87" s="840">
        <v>15</v>
      </c>
      <c r="F87" s="50" cm="1" t="str">
        <f t="array" ref="F87:F87">OFFSET(E87,-1,1)</f>
        <v>0</v>
      </c>
      <c r="G87" s="493"/>
      <c r="H87" s="493" t="s">
        <v>1179</v>
      </c>
      <c r="I87" s="493"/>
      <c r="J87" s="493"/>
      <c r="K87" s="493"/>
      <c r="L87" s="493"/>
      <c r="M87" s="493"/>
      <c r="N87" s="493"/>
      <c r="O87" s="493"/>
      <c r="P87" s="493"/>
      <c r="Q87" s="493"/>
      <c r="R87" s="493"/>
      <c r="S87" s="493"/>
      <c r="T87" s="465" cm="1" t="str">
        <f t="array" ref="T87:T87">T86</f>
        <v>false</v>
      </c>
      <c r="U87" s="493"/>
      <c r="V87" s="493"/>
      <c r="W87" s="493"/>
      <c r="X87" s="1596"/>
      <c r="Y87" s="493"/>
      <c r="Z87" s="1545"/>
      <c r="AA87" s="493"/>
      <c r="AB87" s="1088" t="s">
        <v>2421</v>
      </c>
      <c r="AC87" s="766" t="s">
        <v>1170</v>
      </c>
      <c r="AD87" s="1092">
        <f>IF(AD85=0,0,AD86/AD85)*100</f>
        <v>0</v>
      </c>
      <c r="AE87" s="1092">
        <f>IF(AE85=0,0,AE86/AE85)*100</f>
        <v>0</v>
      </c>
      <c r="AF87" s="1109"/>
      <c r="AG87" s="1092">
        <f>IF(AG85=0,0,AG86/AG85)*100</f>
        <v>0</v>
      </c>
      <c r="AH87" s="1092">
        <f>IF(AH85=0,0,AH86/AH85)*100</f>
        <v>0</v>
      </c>
      <c r="AI87" s="1109"/>
      <c r="AJ87" s="1092">
        <f>IF(AJ85=0,0,AJ86/AJ85)*100</f>
        <v>0</v>
      </c>
      <c r="AK87" s="1092">
        <f>IF(AK85=0,0,AK86/AK85)*100</f>
        <v>0</v>
      </c>
      <c r="AL87" s="1109"/>
      <c r="AM87" s="1092">
        <f>IF(AM85=0,0,AM86/AM85)*100</f>
        <v>0</v>
      </c>
      <c r="AN87" s="1092">
        <f>IF(AN85=0,0,AN86/AN85)*100</f>
        <v>0</v>
      </c>
      <c r="AO87" s="1109"/>
      <c r="AP87" s="1092">
        <f>IF(AP85=0,0,AP86/AP85)*100</f>
        <v>0</v>
      </c>
      <c r="AQ87" s="1092">
        <f>IF(AQ85=0,0,AQ86/AQ85)*100</f>
        <v>0</v>
      </c>
      <c r="AR87" s="1109"/>
      <c r="AS87" s="1092">
        <f>IF(AS85=0,0,AS86/AS85)*100</f>
        <v>0</v>
      </c>
      <c r="AT87" s="1092">
        <f>IF(AT85=0,0,AT86/AT85)*100</f>
        <v>0</v>
      </c>
      <c r="AU87" s="1109"/>
      <c r="AV87" s="1092">
        <f>IF(AV85=0,0,AV86/AV85)*100</f>
        <v>0</v>
      </c>
      <c r="AW87" s="1092">
        <f>IF(AW85=0,0,AW86/AW85)*100</f>
        <v>0</v>
      </c>
      <c r="AX87" s="1109"/>
      <c r="AY87" s="1092">
        <f>IF(AY85=0,0,AY86/AY85)*100</f>
        <v>0</v>
      </c>
      <c r="AZ87" s="1092">
        <f>IF(AZ85=0,0,AZ86/AZ85)*100</f>
        <v>0</v>
      </c>
      <c r="BA87" s="1109"/>
      <c r="BB87" s="1092">
        <f>IF(BB85=0,0,BB86/BB85)*100</f>
        <v>0</v>
      </c>
      <c r="BC87" s="1092">
        <f>IF(BC85=0,0,BC86/BC85)*100</f>
        <v>0</v>
      </c>
      <c r="BD87" s="1109"/>
      <c r="BE87" s="1092">
        <f>IF(BE85=0,0,BE86/BE85)*100</f>
        <v>0</v>
      </c>
      <c r="BF87" s="1092">
        <f>IF(BF85=0,0,BF86/BF85)*100</f>
        <v>0</v>
      </c>
      <c r="BG87" s="1109"/>
      <c r="BH87" s="1092">
        <f>IF(BH85=0,0,BH86/BH85)*100</f>
        <v>0</v>
      </c>
      <c r="BI87" s="1092">
        <f>IF(BI85=0,0,BI86/BI85)*100</f>
        <v>0</v>
      </c>
      <c r="BJ87" s="1109"/>
      <c r="BK87" s="1092">
        <f>IF(BK85=0,0,BK86/BK85)*100</f>
        <v>0</v>
      </c>
      <c r="BL87" s="1092">
        <f>IF(BL85=0,0,BL86/BL85)*100</f>
        <v>0</v>
      </c>
      <c r="BM87" s="1109"/>
      <c r="BN87" s="1092">
        <f>IF(BN85=0,0,BN86/BN85)*100</f>
        <v>0</v>
      </c>
      <c r="BO87" s="1092">
        <f>IF(BO85=0,0,BO86/BO85)*100</f>
        <v>0</v>
      </c>
      <c r="BP87" s="1109"/>
      <c r="BQ87" s="1092">
        <f>IF(BQ85=0,0,BQ86/BQ85)*100</f>
        <v>0</v>
      </c>
      <c r="BR87" s="1092">
        <f>IF(BR85=0,0,BR86/BR85)*100</f>
        <v>0</v>
      </c>
      <c r="BS87" s="1109"/>
      <c r="BT87" s="1092">
        <f>IF(BT85=0,0,BT86/BT85)*100</f>
        <v>0</v>
      </c>
      <c r="BU87" s="1092">
        <f>IF(BU85=0,0,BU86/BU85)*100</f>
        <v>0</v>
      </c>
      <c r="BV87" s="1109"/>
      <c r="BW87" s="1092">
        <f>IF(BW85=0,0,BW86/BW85)*100</f>
        <v>0</v>
      </c>
      <c r="BX87" s="1092">
        <f>IF(BX85=0,0,BX86/BX85)*100</f>
        <v>0</v>
      </c>
      <c r="BY87" s="1109"/>
      <c r="BZ87" s="1092">
        <f>IF(BZ85=0,0,BZ86/BZ85)*100</f>
        <v>0</v>
      </c>
      <c r="CA87" s="1092">
        <f>IF(CA85=0,0,CA86/CA85)*100</f>
        <v>0</v>
      </c>
      <c r="CB87" s="1109"/>
      <c r="CC87" s="1092">
        <f>IF(CC85=0,0,CC86/CC85)*100</f>
        <v>0</v>
      </c>
      <c r="CD87" s="1092">
        <f>IF(CD85=0,0,CD86/CD85)*100</f>
        <v>0</v>
      </c>
      <c r="CE87" s="1109"/>
      <c r="CF87" s="1092">
        <f>IF(CF85=0,0,CF86/CF85)*100</f>
        <v>0</v>
      </c>
      <c r="CG87" s="1092">
        <f>IF(CG85=0,0,CG86/CG85)*100</f>
        <v>0</v>
      </c>
      <c r="CH87" s="1109"/>
      <c r="CI87" s="1092">
        <f>IF(CI85=0,0,CI86/CI85)*100</f>
        <v>0</v>
      </c>
      <c r="CJ87" s="1092">
        <f>IF(CJ85=0,0,CJ86/CJ85)*100</f>
        <v>0</v>
      </c>
      <c r="CK87" s="1109"/>
      <c r="CL87" s="1092">
        <f>IF(CL85=0,0,CL86/CL85)*100</f>
        <v>0</v>
      </c>
      <c r="CM87" s="1092">
        <f>IF(CM85=0,0,CM86/CM85)*100</f>
        <v>0</v>
      </c>
      <c r="CN87" s="1109"/>
      <c r="CO87" s="1092">
        <f>IF(CO85=0,0,CO86/CO85)*100</f>
        <v>0</v>
      </c>
      <c r="CP87" s="1092">
        <f>IF(CP85=0,0,CP86/CP85)*100</f>
        <v>0</v>
      </c>
      <c r="CQ87" s="1109"/>
      <c r="CR87" s="1092">
        <f>IF(CR85=0,0,CR86/CR85)*100</f>
        <v>0</v>
      </c>
      <c r="CS87" s="1092">
        <f>IF(CS85=0,0,CS86/CS85)*100</f>
        <v>0</v>
      </c>
      <c r="CT87" s="1109"/>
      <c r="CU87" s="1092">
        <f>IF(CU85=0,0,CU86/CU85)*100</f>
        <v>0</v>
      </c>
      <c r="CV87" s="1092">
        <f>IF(CV85=0,0,CV86/CV85)*100</f>
        <v>0</v>
      </c>
      <c r="CW87" s="1109"/>
      <c r="CX87" s="1092">
        <f>IF(CX85=0,0,CX86/CX85)*100</f>
        <v>0</v>
      </c>
      <c r="CY87" s="1092">
        <f>IF(CY85=0,0,CY86/CY85)*100</f>
        <v>0</v>
      </c>
      <c r="CZ87" s="1109"/>
      <c r="DA87" s="1092">
        <f>IF(DA85=0,0,DA86/DA85)*100</f>
        <v>0</v>
      </c>
      <c r="DB87" s="1092">
        <f>IF(DB85=0,0,DB86/DB85)*100</f>
        <v>0</v>
      </c>
      <c r="DC87" s="1109"/>
      <c r="DD87" s="1092">
        <f>IF(DD85=0,0,DD86/DD85)*100</f>
        <v>0</v>
      </c>
      <c r="DE87" s="1092">
        <f>IF(DE85=0,0,DE86/DE85)*100</f>
        <v>0</v>
      </c>
      <c r="DF87" s="1109"/>
      <c r="DG87" s="1092">
        <f>IF(DG85=0,0,DG86/DG85)*100</f>
        <v>0</v>
      </c>
      <c r="DH87" s="1092">
        <f>IF(DH85=0,0,DH86/DH85)*100</f>
        <v>0</v>
      </c>
      <c r="DI87" s="1109"/>
      <c r="DJ87" s="1092">
        <f>IF(DJ85=0,0,DJ86/DJ85)*100</f>
        <v>0</v>
      </c>
      <c r="DK87" s="1092">
        <f>IF(DK85=0,0,DK86/DK85)*100</f>
        <v>0</v>
      </c>
      <c r="DL87" s="1109"/>
      <c r="DM87" s="1092">
        <f>IF(DM85=0,0,DM86/DM85)*100</f>
        <v>0</v>
      </c>
      <c r="DN87" s="1092">
        <f>IF(DN85=0,0,DN86/DN85)*100</f>
        <v>0</v>
      </c>
      <c r="DO87" s="1109"/>
      <c r="DP87" s="1092">
        <f>IF(DP85=0,0,DP86/DP85)*100</f>
        <v>0</v>
      </c>
      <c r="DQ87" s="1092">
        <f>IF(DQ85=0,0,DQ86/DQ85)*100</f>
        <v>0</v>
      </c>
      <c r="DR87" s="1109"/>
      <c r="DS87" s="1092">
        <f>IF(DS85=0,0,DS86/DS85)*100</f>
        <v>0</v>
      </c>
      <c r="DT87" s="1092">
        <f>IF(DT85=0,0,DT86/DT85)*100</f>
        <v>0</v>
      </c>
      <c r="DU87" s="1109"/>
      <c r="DV87" s="1092">
        <f>IF(DV85=0,0,DV86/DV85)*100</f>
        <v>0</v>
      </c>
      <c r="DW87" s="1092">
        <f>IF(DW85=0,0,DW86/DW85)*100</f>
        <v>0</v>
      </c>
      <c r="DX87" s="1109"/>
      <c r="DY87" s="1092">
        <f>IF(DY85=0,0,DY86/DY85)*100</f>
        <v>0</v>
      </c>
      <c r="DZ87" s="1092">
        <f>IF(DZ85=0,0,DZ86/DZ85)*100</f>
        <v>0</v>
      </c>
      <c r="EA87" s="1109"/>
      <c r="EB87" s="1092">
        <f>IF(EB85=0,0,EB86/EB85)*100</f>
        <v>0</v>
      </c>
      <c r="EC87" s="1092">
        <f>IF(EC85=0,0,EC86/EC85)*100</f>
        <v>0</v>
      </c>
      <c r="ED87" s="1109"/>
      <c r="EE87" s="1092">
        <f>IF(EE85=0,0,EE86/EE85)*100</f>
        <v>0</v>
      </c>
      <c r="EF87" s="1092">
        <f>IF(EF85=0,0,EF86/EF85)*100</f>
        <v>0</v>
      </c>
      <c r="EG87" s="1109"/>
      <c r="EH87" s="1092">
        <f>IF(EH85=0,0,EH86/EH85)*100</f>
        <v>0</v>
      </c>
      <c r="EI87" s="1092">
        <f>IF(EI85=0,0,EI86/EI85)*100</f>
        <v>0</v>
      </c>
      <c r="EJ87" s="1109"/>
      <c r="EK87" s="1092">
        <f>IF(EK85=0,0,EK86/EK85)*100</f>
        <v>0</v>
      </c>
      <c r="EL87" s="1092">
        <f>IF(EL85=0,0,EL86/EL85)*100</f>
        <v>0</v>
      </c>
      <c r="EM87" s="1109"/>
      <c r="EN87" s="1092">
        <f>IF(EN85=0,0,EN86/EN85)*100</f>
        <v>0</v>
      </c>
      <c r="EO87" s="1092">
        <f>IF(EO85=0,0,EO86/EO85)*100</f>
        <v>0</v>
      </c>
      <c r="EP87" s="1109"/>
      <c r="EQ87" s="1092">
        <f>IF(EQ85=0,0,EQ86/EQ85)*100</f>
        <v>0</v>
      </c>
      <c r="ER87" s="1092">
        <f>IF(ER85=0,0,ER86/ER85)*100</f>
        <v>0</v>
      </c>
      <c r="ES87" s="1109"/>
      <c r="ET87" s="1092">
        <f>IF(ET85=0,0,ET86/ET85)*100</f>
        <v>0</v>
      </c>
      <c r="EU87" s="1092">
        <f>IF(EU85=0,0,EU86/EU85)*100</f>
        <v>0</v>
      </c>
      <c r="EV87" s="1109"/>
      <c r="EW87" s="1092">
        <f>IF(EW85=0,0,EW86/EW85)*100</f>
        <v>0</v>
      </c>
      <c r="EX87" s="1092">
        <f>IF(EX85=0,0,EX86/EX85)*100</f>
        <v>0</v>
      </c>
      <c r="EY87" s="1109"/>
      <c r="EZ87" s="1092">
        <f>IF(EZ85=0,0,EZ86/EZ85)*100</f>
        <v>0</v>
      </c>
      <c r="FA87" s="1092">
        <f>IF(FA85=0,0,FA86/FA85)*100</f>
        <v>0</v>
      </c>
      <c r="FB87" s="1109"/>
      <c r="FC87" s="1092">
        <f>IF(FC85=0,0,FC86/FC85)*100</f>
        <v>0</v>
      </c>
      <c r="FD87" s="1092">
        <f>IF(FD85=0,0,FD86/FD85)*100</f>
        <v>0</v>
      </c>
      <c r="FE87" s="1109"/>
      <c r="FF87" s="1092">
        <f>IF(FF85=0,0,FF86/FF85)*100</f>
        <v>0</v>
      </c>
      <c r="FG87" s="1092">
        <f>IF(FG85=0,0,FG86/FG85)*100</f>
        <v>0</v>
      </c>
      <c r="FH87" s="1109"/>
      <c r="FI87" s="1092">
        <f>IF(FI85=0,0,FI86/FI85)*100</f>
        <v>0</v>
      </c>
      <c r="FJ87" s="1092">
        <f>IF(FJ85=0,0,FJ86/FJ85)*100</f>
        <v>0</v>
      </c>
      <c r="FK87" s="1109"/>
      <c r="FL87" s="1092">
        <f>IF(FL85=0,0,FL86/FL85)*100</f>
        <v>0</v>
      </c>
      <c r="FM87" s="1092">
        <f>IF(FM85=0,0,FM86/FM85)*100</f>
        <v>0</v>
      </c>
      <c r="FN87" s="1109"/>
      <c r="FO87" s="1092">
        <f>IF(FO85=0,0,FO86/FO85)*100</f>
        <v>0</v>
      </c>
      <c r="FP87" s="1092">
        <f>IF(FP85=0,0,FP86/FP85)*100</f>
        <v>0</v>
      </c>
      <c r="FQ87" s="1109"/>
      <c r="FR87" s="1092">
        <f>IF(FR85=0,0,FR86/FR85)*100</f>
        <v>0</v>
      </c>
      <c r="FS87" s="1092">
        <f>IF(FS85=0,0,FS86/FS85)*100</f>
        <v>0</v>
      </c>
      <c r="FT87" s="1109"/>
      <c r="FU87" s="1092">
        <f>IF(FU85=0,0,FU86/FU85)*100</f>
        <v>0</v>
      </c>
      <c r="FV87" s="1092">
        <f>IF(FV85=0,0,FV86/FV85)*100</f>
        <v>0</v>
      </c>
      <c r="FW87" s="1110"/>
      <c r="FX87" s="292"/>
      <c r="FY87" s="1304"/>
      <c r="FZ87" s="1055" t="s">
        <v>2422</v>
      </c>
      <c r="GA87" s="1306"/>
      <c r="GB87" s="1306"/>
      <c r="GC87" s="1305"/>
      <c r="GD87" s="1305"/>
    </row>
    <row customHeight="1" ht="14.625" hidden="1">
      <c r="A88" s="493"/>
      <c r="B88" s="925" cm="1" t="str">
        <f t="array" ref="B88:B88">B87</f>
        <v>false</v>
      </c>
      <c r="C88" s="493"/>
      <c r="D88" s="493"/>
      <c r="E88" s="840">
        <v>15</v>
      </c>
      <c r="F88" s="50" cm="1" t="str">
        <f t="array" ref="F88:F88">OFFSET(E88,-1,1)</f>
        <v>0</v>
      </c>
      <c r="G88" s="107" t="s">
        <v>2346</v>
      </c>
      <c r="H88" s="493"/>
      <c r="I88" s="493"/>
      <c r="J88" s="493"/>
      <c r="K88" s="493"/>
      <c r="L88" s="493"/>
      <c r="M88" s="493"/>
      <c r="N88" s="493"/>
      <c r="O88" s="493"/>
      <c r="P88" s="493"/>
      <c r="Q88" s="493"/>
      <c r="R88" s="493"/>
      <c r="S88" s="493"/>
      <c r="T88" s="465" cm="1" t="str">
        <f t="array" ref="T88:T88">T87</f>
        <v>false</v>
      </c>
      <c r="U88" s="493"/>
      <c r="V88" s="493"/>
      <c r="W88" s="493"/>
      <c r="X88" s="1596"/>
      <c r="Y88" s="493"/>
      <c r="Z88" s="1545"/>
      <c r="AA88" s="493"/>
      <c r="AB88" s="900" t="s">
        <v>2347</v>
      </c>
      <c r="AC88" s="864" t="s">
        <v>1247</v>
      </c>
      <c r="AD88" s="5247">
        <f>IF(AND(method_reg="Метод индексации",god&lt;&gt;first_year),_xlfn.SUMIFS(INDEX('Калькуляция (МИ корр)'!$AJ$25:$BC$747,,MATCH(AD$8,'Калькуляция (МИ корр)'!$AJ$8:$BC$8,0)),'Калькуляция (МИ корр)'!$F$25:$F$747,$F88,'Калькуляция (МИ корр)'!$G$25:$G$747,$G88),IF(method_reg="Метод экономически обоснованных расходов",_xlfn.SUMIFS('Калькуляция (МЭОР)'!$AJ$25:$AJ$452,'Калькуляция (МЭОР)'!$F$25:$F$452,$F88,'Калькуляция (МЭОР)'!$G$25:$G$452,$G88),IF(method_reg="Метод сравнения аналогов",_xlfn.SUMIFS('Калькуляция (МСА)'!$AE$25:$AE$122,'Калькуляция (МСА)'!$F$25:$F$122,$F88,'Калькуляция (МСА)'!$G$25:$G$122,$G88),_xlfn.SUMIFS(INDEX('Калькуляция (МИ)'!$AJ$25:$BC$747,,MATCH(AD$8,'Калькуляция (МИ)'!$AJ$8:$BC$8,0)),'Калькуляция (МИ)'!$F$25:$F$747,$F88,'Калькуляция (МИ)'!$G$25:$G$747,$G88))))</f>
        <v>0</v>
      </c>
      <c r="AE88" s="5247">
        <f>IF(AND(method_reg="Метод индексации",god&lt;&gt;first_year),_xlfn.SUMIFS(INDEX('Калькуляция (МИ корр)'!$AJ$25:$BC$747,,MATCH(AE$8,'Калькуляция (МИ корр)'!$AJ$8:$BC$8,0)),'Калькуляция (МИ корр)'!$F$25:$F$747,$F88,'Калькуляция (МИ корр)'!$G$25:$G$747,$G88),IF(method_reg="Метод экономически обоснованных расходов",_xlfn.SUMIFS('Калькуляция (МЭОР)'!$AK$25:$AK$452,'Калькуляция (МЭОР)'!$F$25:$F$452,$F88,'Калькуляция (МЭОР)'!$G$25:$G$452,$G88),IF(method_reg="Метод сравнения аналогов",_xlfn.SUMIFS('Калькуляция (МСА)'!$AF$25:$AF$122,'Калькуляция (МСА)'!$F$25:$F$122,$F88,'Калькуляция (МСА)'!$G$25:$G$122,$G88),_xlfn.SUMIFS(INDEX('Калькуляция (МИ)'!$AJ$25:$BC$747,,MATCH(AE$8,'Калькуляция (МИ)'!$AJ$8:$BC$8,0)),'Калькуляция (МИ)'!$F$25:$F$747,$F88,'Калькуляция (МИ)'!$G$25:$G$747,$G88))))</f>
        <v>0</v>
      </c>
      <c r="AF88" s="1095">
        <f>IF(AD88=0,0,(AE88-AD88)/AD88*100)</f>
        <v>0</v>
      </c>
      <c r="AG88" s="5247">
        <f>IF(AND(method_reg="Метод индексации",god&lt;&gt;first_year),_xlfn.SUMIFS(INDEX('Калькуляция (МИ корр)'!$AJ$25:$BC$747,,MATCH(AG$8,'Калькуляция (МИ корр)'!$AJ$8:$BC$8,0)),'Калькуляция (МИ корр)'!$F$25:$F$747,$F88,'Калькуляция (МИ корр)'!$G$25:$G$747,$G88),IF(method_reg="Метод экономически обоснованных расходов",_xlfn.SUMIFS('Калькуляция (МЭОР)'!$AJ$25:$AJ$452,'Калькуляция (МЭОР)'!$F$25:$F$452,$F88,'Калькуляция (МЭОР)'!$G$25:$G$452,$G88),IF(method_reg="Метод сравнения аналогов",_xlfn.SUMIFS('Калькуляция (МСА)'!$AE$25:$AE$122,'Калькуляция (МСА)'!$F$25:$F$122,$F88,'Калькуляция (МСА)'!$G$25:$G$122,$G88),_xlfn.SUMIFS(INDEX('Калькуляция (МИ)'!$AJ$25:$BC$747,,MATCH(AG$8,'Калькуляция (МИ)'!$AJ$8:$BC$8,0)),'Калькуляция (МИ)'!$F$25:$F$747,$F88,'Калькуляция (МИ)'!$G$25:$G$747,$G88))))</f>
        <v>0</v>
      </c>
      <c r="AH88" s="5247">
        <f>IF(AND(method_reg="Метод индексации",god&lt;&gt;first_year),_xlfn.SUMIFS(INDEX('Калькуляция (МИ корр)'!$AJ$25:$BC$747,,MATCH(AH$8,'Калькуляция (МИ корр)'!$AJ$8:$BC$8,0)),'Калькуляция (МИ корр)'!$F$25:$F$747,$F88,'Калькуляция (МИ корр)'!$G$25:$G$747,$G88),IF(method_reg="Метод экономически обоснованных расходов",_xlfn.SUMIFS('Калькуляция (МЭОР)'!$AK$25:$AK$452,'Калькуляция (МЭОР)'!$F$25:$F$452,$F88,'Калькуляция (МЭОР)'!$G$25:$G$452,$G88),IF(method_reg="Метод сравнения аналогов",_xlfn.SUMIFS('Калькуляция (МСА)'!$AF$25:$AF$122,'Калькуляция (МСА)'!$F$25:$F$122,$F88,'Калькуляция (МСА)'!$G$25:$G$122,$G88),_xlfn.SUMIFS(INDEX('Калькуляция (МИ)'!$AJ$25:$BC$747,,MATCH(AH$8,'Калькуляция (МИ)'!$AJ$8:$BC$8,0)),'Калькуляция (МИ)'!$F$25:$F$747,$F88,'Калькуляция (МИ)'!$G$25:$G$747,$G88))))</f>
        <v>0</v>
      </c>
      <c r="AI88" s="1095">
        <f>IF(AG88=0,0,(AH88-AG88)/AG88*100)</f>
        <v>0</v>
      </c>
      <c r="AJ88" s="5247">
        <f>IF(AND(method_reg="Метод индексации",god&lt;&gt;first_year),_xlfn.SUMIFS(INDEX('Калькуляция (МИ корр)'!$AJ$25:$BC$747,,MATCH(AJ$8,'Калькуляция (МИ корр)'!$AJ$8:$BC$8,0)),'Калькуляция (МИ корр)'!$F$25:$F$747,$F88,'Калькуляция (МИ корр)'!$G$25:$G$747,$G88),IF(method_reg="Метод экономически обоснованных расходов",_xlfn.SUMIFS('Калькуляция (МЭОР)'!$AJ$25:$AJ$452,'Калькуляция (МЭОР)'!$F$25:$F$452,$F88,'Калькуляция (МЭОР)'!$G$25:$G$452,$G88),IF(method_reg="Метод сравнения аналогов",_xlfn.SUMIFS('Калькуляция (МСА)'!$AE$25:$AE$122,'Калькуляция (МСА)'!$F$25:$F$122,$F88,'Калькуляция (МСА)'!$G$25:$G$122,$G88),_xlfn.SUMIFS(INDEX('Калькуляция (МИ)'!$AJ$25:$BC$747,,MATCH(AJ$8,'Калькуляция (МИ)'!$AJ$8:$BC$8,0)),'Калькуляция (МИ)'!$F$25:$F$747,$F88,'Калькуляция (МИ)'!$G$25:$G$747,$G88))))</f>
        <v>0</v>
      </c>
      <c r="AK88" s="5247">
        <f>IF(AND(method_reg="Метод индексации",god&lt;&gt;first_year),_xlfn.SUMIFS(INDEX('Калькуляция (МИ корр)'!$AJ$25:$BC$747,,MATCH(AK$8,'Калькуляция (МИ корр)'!$AJ$8:$BC$8,0)),'Калькуляция (МИ корр)'!$F$25:$F$747,$F88,'Калькуляция (МИ корр)'!$G$25:$G$747,$G88),IF(method_reg="Метод экономически обоснованных расходов",_xlfn.SUMIFS('Калькуляция (МЭОР)'!$AK$25:$AK$452,'Калькуляция (МЭОР)'!$F$25:$F$452,$F88,'Калькуляция (МЭОР)'!$G$25:$G$452,$G88),IF(method_reg="Метод сравнения аналогов",_xlfn.SUMIFS('Калькуляция (МСА)'!$AF$25:$AF$122,'Калькуляция (МСА)'!$F$25:$F$122,$F88,'Калькуляция (МСА)'!$G$25:$G$122,$G88),_xlfn.SUMIFS(INDEX('Калькуляция (МИ)'!$AJ$25:$BC$747,,MATCH(AK$8,'Калькуляция (МИ)'!$AJ$8:$BC$8,0)),'Калькуляция (МИ)'!$F$25:$F$747,$F88,'Калькуляция (МИ)'!$G$25:$G$747,$G88))))</f>
        <v>0</v>
      </c>
      <c r="AL88" s="1095">
        <f>IF(AJ88=0,0,(AK88-AJ88)/AJ88*100)</f>
        <v>0</v>
      </c>
      <c r="AM88" s="5247">
        <f>IF(AND(method_reg="Метод индексации",god&lt;&gt;first_year),_xlfn.SUMIFS(INDEX('Калькуляция (МИ корр)'!$AJ$25:$BC$747,,MATCH(AM$8,'Калькуляция (МИ корр)'!$AJ$8:$BC$8,0)),'Калькуляция (МИ корр)'!$F$25:$F$747,$F88,'Калькуляция (МИ корр)'!$G$25:$G$747,$G88),IF(method_reg="Метод экономически обоснованных расходов",_xlfn.SUMIFS('Калькуляция (МЭОР)'!$AJ$25:$AJ$452,'Калькуляция (МЭОР)'!$F$25:$F$452,$F88,'Калькуляция (МЭОР)'!$G$25:$G$452,$G88),IF(method_reg="Метод сравнения аналогов",_xlfn.SUMIFS('Калькуляция (МСА)'!$AE$25:$AE$122,'Калькуляция (МСА)'!$F$25:$F$122,$F88,'Калькуляция (МСА)'!$G$25:$G$122,$G88),_xlfn.SUMIFS(INDEX('Калькуляция (МИ)'!$AJ$25:$BC$747,,MATCH(AM$8,'Калькуляция (МИ)'!$AJ$8:$BC$8,0)),'Калькуляция (МИ)'!$F$25:$F$747,$F88,'Калькуляция (МИ)'!$G$25:$G$747,$G88))))</f>
        <v>0</v>
      </c>
      <c r="AN88" s="5247">
        <f>IF(AND(method_reg="Метод индексации",god&lt;&gt;first_year),_xlfn.SUMIFS(INDEX('Калькуляция (МИ корр)'!$AJ$25:$BC$747,,MATCH(AN$8,'Калькуляция (МИ корр)'!$AJ$8:$BC$8,0)),'Калькуляция (МИ корр)'!$F$25:$F$747,$F88,'Калькуляция (МИ корр)'!$G$25:$G$747,$G88),IF(method_reg="Метод экономически обоснованных расходов",_xlfn.SUMIFS('Калькуляция (МЭОР)'!$AK$25:$AK$452,'Калькуляция (МЭОР)'!$F$25:$F$452,$F88,'Калькуляция (МЭОР)'!$G$25:$G$452,$G88),IF(method_reg="Метод сравнения аналогов",_xlfn.SUMIFS('Калькуляция (МСА)'!$AF$25:$AF$122,'Калькуляция (МСА)'!$F$25:$F$122,$F88,'Калькуляция (МСА)'!$G$25:$G$122,$G88),_xlfn.SUMIFS(INDEX('Калькуляция (МИ)'!$AJ$25:$BC$747,,MATCH(AN$8,'Калькуляция (МИ)'!$AJ$8:$BC$8,0)),'Калькуляция (МИ)'!$F$25:$F$747,$F88,'Калькуляция (МИ)'!$G$25:$G$747,$G88))))</f>
        <v>0</v>
      </c>
      <c r="AO88" s="1095">
        <f>IF(AM88=0,0,(AN88-AM88)/AM88*100)</f>
        <v>0</v>
      </c>
      <c r="AP88" s="5247">
        <f>IF(AND(method_reg="Метод индексации",god&lt;&gt;first_year),_xlfn.SUMIFS(INDEX('Калькуляция (МИ корр)'!$AJ$25:$BC$747,,MATCH(AP$8,'Калькуляция (МИ корр)'!$AJ$8:$BC$8,0)),'Калькуляция (МИ корр)'!$F$25:$F$747,$F88,'Калькуляция (МИ корр)'!$G$25:$G$747,$G88),IF(method_reg="Метод экономически обоснованных расходов",_xlfn.SUMIFS('Калькуляция (МЭОР)'!$AJ$25:$AJ$452,'Калькуляция (МЭОР)'!$F$25:$F$452,$F88,'Калькуляция (МЭОР)'!$G$25:$G$452,$G88),IF(method_reg="Метод сравнения аналогов",_xlfn.SUMIFS('Калькуляция (МСА)'!$AE$25:$AE$122,'Калькуляция (МСА)'!$F$25:$F$122,$F88,'Калькуляция (МСА)'!$G$25:$G$122,$G88),_xlfn.SUMIFS(INDEX('Калькуляция (МИ)'!$AJ$25:$BC$747,,MATCH(AP$8,'Калькуляция (МИ)'!$AJ$8:$BC$8,0)),'Калькуляция (МИ)'!$F$25:$F$747,$F88,'Калькуляция (МИ)'!$G$25:$G$747,$G88))))</f>
        <v>0</v>
      </c>
      <c r="AQ88" s="5247">
        <f>IF(AND(method_reg="Метод индексации",god&lt;&gt;first_year),_xlfn.SUMIFS(INDEX('Калькуляция (МИ корр)'!$AJ$25:$BC$747,,MATCH(AQ$8,'Калькуляция (МИ корр)'!$AJ$8:$BC$8,0)),'Калькуляция (МИ корр)'!$F$25:$F$747,$F88,'Калькуляция (МИ корр)'!$G$25:$G$747,$G88),IF(method_reg="Метод экономически обоснованных расходов",_xlfn.SUMIFS('Калькуляция (МЭОР)'!$AK$25:$AK$452,'Калькуляция (МЭОР)'!$F$25:$F$452,$F88,'Калькуляция (МЭОР)'!$G$25:$G$452,$G88),IF(method_reg="Метод сравнения аналогов",_xlfn.SUMIFS('Калькуляция (МСА)'!$AF$25:$AF$122,'Калькуляция (МСА)'!$F$25:$F$122,$F88,'Калькуляция (МСА)'!$G$25:$G$122,$G88),_xlfn.SUMIFS(INDEX('Калькуляция (МИ)'!$AJ$25:$BC$747,,MATCH(AQ$8,'Калькуляция (МИ)'!$AJ$8:$BC$8,0)),'Калькуляция (МИ)'!$F$25:$F$747,$F88,'Калькуляция (МИ)'!$G$25:$G$747,$G88))))</f>
        <v>0</v>
      </c>
      <c r="AR88" s="1095">
        <f>IF(AP88=0,0,(AQ88-AP88)/AP88*100)</f>
        <v>0</v>
      </c>
      <c r="AS88" s="5247">
        <f>IF(AND(method_reg="Метод индексации",god&lt;&gt;first_year),_xlfn.SUMIFS(INDEX('Калькуляция (МИ корр)'!$AJ$25:$BC$747,,MATCH(AS$8,'Калькуляция (МИ корр)'!$AJ$8:$BC$8,0)),'Калькуляция (МИ корр)'!$F$25:$F$747,$F88,'Калькуляция (МИ корр)'!$G$25:$G$747,$G88),IF(method_reg="Метод экономически обоснованных расходов",_xlfn.SUMIFS('Калькуляция (МЭОР)'!$AJ$25:$AJ$452,'Калькуляция (МЭОР)'!$F$25:$F$452,$F88,'Калькуляция (МЭОР)'!$G$25:$G$452,$G88),IF(method_reg="Метод сравнения аналогов",_xlfn.SUMIFS('Калькуляция (МСА)'!$AE$25:$AE$122,'Калькуляция (МСА)'!$F$25:$F$122,$F88,'Калькуляция (МСА)'!$G$25:$G$122,$G88),_xlfn.SUMIFS(INDEX('Калькуляция (МИ)'!$AJ$25:$BC$747,,MATCH(AS$8,'Калькуляция (МИ)'!$AJ$8:$BC$8,0)),'Калькуляция (МИ)'!$F$25:$F$747,$F88,'Калькуляция (МИ)'!$G$25:$G$747,$G88))))</f>
        <v>0</v>
      </c>
      <c r="AT88" s="5247">
        <f>IF(AND(method_reg="Метод индексации",god&lt;&gt;first_year),_xlfn.SUMIFS(INDEX('Калькуляция (МИ корр)'!$AJ$25:$BC$747,,MATCH(AT$8,'Калькуляция (МИ корр)'!$AJ$8:$BC$8,0)),'Калькуляция (МИ корр)'!$F$25:$F$747,$F88,'Калькуляция (МИ корр)'!$G$25:$G$747,$G88),IF(method_reg="Метод экономически обоснованных расходов",_xlfn.SUMIFS('Калькуляция (МЭОР)'!$AK$25:$AK$452,'Калькуляция (МЭОР)'!$F$25:$F$452,$F88,'Калькуляция (МЭОР)'!$G$25:$G$452,$G88),IF(method_reg="Метод сравнения аналогов",_xlfn.SUMIFS('Калькуляция (МСА)'!$AF$25:$AF$122,'Калькуляция (МСА)'!$F$25:$F$122,$F88,'Калькуляция (МСА)'!$G$25:$G$122,$G88),_xlfn.SUMIFS(INDEX('Калькуляция (МИ)'!$AJ$25:$BC$747,,MATCH(AT$8,'Калькуляция (МИ)'!$AJ$8:$BC$8,0)),'Калькуляция (МИ)'!$F$25:$F$747,$F88,'Калькуляция (МИ)'!$G$25:$G$747,$G88))))</f>
        <v>0</v>
      </c>
      <c r="AU88" s="1095">
        <f>IF(AS88=0,0,(AT88-AS88)/AS88*100)</f>
        <v>0</v>
      </c>
      <c r="AV88" s="5247">
        <f>IF(AND(method_reg="Метод индексации",god&lt;&gt;first_year),_xlfn.SUMIFS(INDEX('Калькуляция (МИ корр)'!$AJ$25:$BC$747,,MATCH(AV$8,'Калькуляция (МИ корр)'!$AJ$8:$BC$8,0)),'Калькуляция (МИ корр)'!$F$25:$F$747,$F88,'Калькуляция (МИ корр)'!$G$25:$G$747,$G88),IF(method_reg="Метод экономически обоснованных расходов",_xlfn.SUMIFS('Калькуляция (МЭОР)'!$AJ$25:$AJ$452,'Калькуляция (МЭОР)'!$F$25:$F$452,$F88,'Калькуляция (МЭОР)'!$G$25:$G$452,$G88),IF(method_reg="Метод сравнения аналогов",_xlfn.SUMIFS('Калькуляция (МСА)'!$AE$25:$AE$122,'Калькуляция (МСА)'!$F$25:$F$122,$F88,'Калькуляция (МСА)'!$G$25:$G$122,$G88),_xlfn.SUMIFS(INDEX('Калькуляция (МИ)'!$AJ$25:$BC$747,,MATCH(AV$8,'Калькуляция (МИ)'!$AJ$8:$BC$8,0)),'Калькуляция (МИ)'!$F$25:$F$747,$F88,'Калькуляция (МИ)'!$G$25:$G$747,$G88))))</f>
        <v>0</v>
      </c>
      <c r="AW88" s="5247">
        <f>IF(AND(method_reg="Метод индексации",god&lt;&gt;first_year),_xlfn.SUMIFS(INDEX('Калькуляция (МИ корр)'!$AJ$25:$BC$747,,MATCH(AW$8,'Калькуляция (МИ корр)'!$AJ$8:$BC$8,0)),'Калькуляция (МИ корр)'!$F$25:$F$747,$F88,'Калькуляция (МИ корр)'!$G$25:$G$747,$G88),IF(method_reg="Метод экономически обоснованных расходов",_xlfn.SUMIFS('Калькуляция (МЭОР)'!$AK$25:$AK$452,'Калькуляция (МЭОР)'!$F$25:$F$452,$F88,'Калькуляция (МЭОР)'!$G$25:$G$452,$G88),IF(method_reg="Метод сравнения аналогов",_xlfn.SUMIFS('Калькуляция (МСА)'!$AF$25:$AF$122,'Калькуляция (МСА)'!$F$25:$F$122,$F88,'Калькуляция (МСА)'!$G$25:$G$122,$G88),_xlfn.SUMIFS(INDEX('Калькуляция (МИ)'!$AJ$25:$BC$747,,MATCH(AW$8,'Калькуляция (МИ)'!$AJ$8:$BC$8,0)),'Калькуляция (МИ)'!$F$25:$F$747,$F88,'Калькуляция (МИ)'!$G$25:$G$747,$G88))))</f>
        <v>0</v>
      </c>
      <c r="AX88" s="1095">
        <f>IF(AV88=0,0,(AW88-AV88)/AV88*100)</f>
        <v>0</v>
      </c>
      <c r="AY88" s="5247">
        <f>IF(AND(method_reg="Метод индексации",god&lt;&gt;first_year),_xlfn.SUMIFS(INDEX('Калькуляция (МИ корр)'!$AJ$25:$BC$747,,MATCH(AY$8,'Калькуляция (МИ корр)'!$AJ$8:$BC$8,0)),'Калькуляция (МИ корр)'!$F$25:$F$747,$F88,'Калькуляция (МИ корр)'!$G$25:$G$747,$G88),IF(method_reg="Метод экономически обоснованных расходов",_xlfn.SUMIFS('Калькуляция (МЭОР)'!$AJ$25:$AJ$452,'Калькуляция (МЭОР)'!$F$25:$F$452,$F88,'Калькуляция (МЭОР)'!$G$25:$G$452,$G88),IF(method_reg="Метод сравнения аналогов",_xlfn.SUMIFS('Калькуляция (МСА)'!$AE$25:$AE$122,'Калькуляция (МСА)'!$F$25:$F$122,$F88,'Калькуляция (МСА)'!$G$25:$G$122,$G88),_xlfn.SUMIFS(INDEX('Калькуляция (МИ)'!$AJ$25:$BC$747,,MATCH(AY$8,'Калькуляция (МИ)'!$AJ$8:$BC$8,0)),'Калькуляция (МИ)'!$F$25:$F$747,$F88,'Калькуляция (МИ)'!$G$25:$G$747,$G88))))</f>
        <v>0</v>
      </c>
      <c r="AZ88" s="5247">
        <f>IF(AND(method_reg="Метод индексации",god&lt;&gt;first_year),_xlfn.SUMIFS(INDEX('Калькуляция (МИ корр)'!$AJ$25:$BC$747,,MATCH(AZ$8,'Калькуляция (МИ корр)'!$AJ$8:$BC$8,0)),'Калькуляция (МИ корр)'!$F$25:$F$747,$F88,'Калькуляция (МИ корр)'!$G$25:$G$747,$G88),IF(method_reg="Метод экономически обоснованных расходов",_xlfn.SUMIFS('Калькуляция (МЭОР)'!$AK$25:$AK$452,'Калькуляция (МЭОР)'!$F$25:$F$452,$F88,'Калькуляция (МЭОР)'!$G$25:$G$452,$G88),IF(method_reg="Метод сравнения аналогов",_xlfn.SUMIFS('Калькуляция (МСА)'!$AF$25:$AF$122,'Калькуляция (МСА)'!$F$25:$F$122,$F88,'Калькуляция (МСА)'!$G$25:$G$122,$G88),_xlfn.SUMIFS(INDEX('Калькуляция (МИ)'!$AJ$25:$BC$747,,MATCH(AZ$8,'Калькуляция (МИ)'!$AJ$8:$BC$8,0)),'Калькуляция (МИ)'!$F$25:$F$747,$F88,'Калькуляция (МИ)'!$G$25:$G$747,$G88))))</f>
        <v>0</v>
      </c>
      <c r="BA88" s="1095">
        <f>IF(AY88=0,0,(AZ88-AY88)/AY88*100)</f>
        <v>0</v>
      </c>
      <c r="BB88" s="5247">
        <f>IF(AND(method_reg="Метод индексации",god&lt;&gt;first_year),_xlfn.SUMIFS(INDEX('Калькуляция (МИ корр)'!$AJ$25:$BC$747,,MATCH(BB$8,'Калькуляция (МИ корр)'!$AJ$8:$BC$8,0)),'Калькуляция (МИ корр)'!$F$25:$F$747,$F88,'Калькуляция (МИ корр)'!$G$25:$G$747,$G88),IF(method_reg="Метод экономически обоснованных расходов",_xlfn.SUMIFS('Калькуляция (МЭОР)'!$AJ$25:$AJ$452,'Калькуляция (МЭОР)'!$F$25:$F$452,$F88,'Калькуляция (МЭОР)'!$G$25:$G$452,$G88),IF(method_reg="Метод сравнения аналогов",_xlfn.SUMIFS('Калькуляция (МСА)'!$AE$25:$AE$122,'Калькуляция (МСА)'!$F$25:$F$122,$F88,'Калькуляция (МСА)'!$G$25:$G$122,$G88),_xlfn.SUMIFS(INDEX('Калькуляция (МИ)'!$AJ$25:$BC$747,,MATCH(BB$8,'Калькуляция (МИ)'!$AJ$8:$BC$8,0)),'Калькуляция (МИ)'!$F$25:$F$747,$F88,'Калькуляция (МИ)'!$G$25:$G$747,$G88))))</f>
        <v>0</v>
      </c>
      <c r="BC88" s="5247">
        <f>IF(AND(method_reg="Метод индексации",god&lt;&gt;first_year),_xlfn.SUMIFS(INDEX('Калькуляция (МИ корр)'!$AJ$25:$BC$747,,MATCH(BC$8,'Калькуляция (МИ корр)'!$AJ$8:$BC$8,0)),'Калькуляция (МИ корр)'!$F$25:$F$747,$F88,'Калькуляция (МИ корр)'!$G$25:$G$747,$G88),IF(method_reg="Метод экономически обоснованных расходов",_xlfn.SUMIFS('Калькуляция (МЭОР)'!$AK$25:$AK$452,'Калькуляция (МЭОР)'!$F$25:$F$452,$F88,'Калькуляция (МЭОР)'!$G$25:$G$452,$G88),IF(method_reg="Метод сравнения аналогов",_xlfn.SUMIFS('Калькуляция (МСА)'!$AF$25:$AF$122,'Калькуляция (МСА)'!$F$25:$F$122,$F88,'Калькуляция (МСА)'!$G$25:$G$122,$G88),_xlfn.SUMIFS(INDEX('Калькуляция (МИ)'!$AJ$25:$BC$747,,MATCH(BC$8,'Калькуляция (МИ)'!$AJ$8:$BC$8,0)),'Калькуляция (МИ)'!$F$25:$F$747,$F88,'Калькуляция (МИ)'!$G$25:$G$747,$G88))))</f>
        <v>0</v>
      </c>
      <c r="BD88" s="1095">
        <f>IF(BB88=0,0,(BC88-BB88)/BB88*100)</f>
        <v>0</v>
      </c>
      <c r="BE88" s="5247">
        <f>IF(AND(method_reg="Метод индексации",god&lt;&gt;first_year),_xlfn.SUMIFS(INDEX('Калькуляция (МИ корр)'!$AJ$25:$BC$747,,MATCH(BE$8,'Калькуляция (МИ корр)'!$AJ$8:$BC$8,0)),'Калькуляция (МИ корр)'!$F$25:$F$747,$F88,'Калькуляция (МИ корр)'!$G$25:$G$747,$G88),IF(method_reg="Метод экономически обоснованных расходов",_xlfn.SUMIFS('Калькуляция (МЭОР)'!$AJ$25:$AJ$452,'Калькуляция (МЭОР)'!$F$25:$F$452,$F88,'Калькуляция (МЭОР)'!$G$25:$G$452,$G88),IF(method_reg="Метод сравнения аналогов",_xlfn.SUMIFS('Калькуляция (МСА)'!$AE$25:$AE$122,'Калькуляция (МСА)'!$F$25:$F$122,$F88,'Калькуляция (МСА)'!$G$25:$G$122,$G88),_xlfn.SUMIFS(INDEX('Калькуляция (МИ)'!$AJ$25:$BC$747,,MATCH(BE$8,'Калькуляция (МИ)'!$AJ$8:$BC$8,0)),'Калькуляция (МИ)'!$F$25:$F$747,$F88,'Калькуляция (МИ)'!$G$25:$G$747,$G88))))</f>
        <v>0</v>
      </c>
      <c r="BF88" s="5247">
        <f>IF(AND(method_reg="Метод индексации",god&lt;&gt;first_year),_xlfn.SUMIFS(INDEX('Калькуляция (МИ корр)'!$AJ$25:$BC$747,,MATCH(BF$8,'Калькуляция (МИ корр)'!$AJ$8:$BC$8,0)),'Калькуляция (МИ корр)'!$F$25:$F$747,$F88,'Калькуляция (МИ корр)'!$G$25:$G$747,$G88),IF(method_reg="Метод экономически обоснованных расходов",_xlfn.SUMIFS('Калькуляция (МЭОР)'!$AK$25:$AK$452,'Калькуляция (МЭОР)'!$F$25:$F$452,$F88,'Калькуляция (МЭОР)'!$G$25:$G$452,$G88),IF(method_reg="Метод сравнения аналогов",_xlfn.SUMIFS('Калькуляция (МСА)'!$AF$25:$AF$122,'Калькуляция (МСА)'!$F$25:$F$122,$F88,'Калькуляция (МСА)'!$G$25:$G$122,$G88),_xlfn.SUMIFS(INDEX('Калькуляция (МИ)'!$AJ$25:$BC$747,,MATCH(BF$8,'Калькуляция (МИ)'!$AJ$8:$BC$8,0)),'Калькуляция (МИ)'!$F$25:$F$747,$F88,'Калькуляция (МИ)'!$G$25:$G$747,$G88))))</f>
        <v>0</v>
      </c>
      <c r="BG88" s="1095">
        <f>IF(BE88=0,0,(BF88-BE88)/BE88*100)</f>
        <v>0</v>
      </c>
      <c r="BH88" s="5247"/>
      <c r="BI88" s="5247"/>
      <c r="BJ88" s="1095">
        <f>IF(BH88=0,0,(BI88-BH88)/BH88*100)</f>
        <v>0</v>
      </c>
      <c r="BK88" s="5247"/>
      <c r="BL88" s="5247"/>
      <c r="BM88" s="1095">
        <f>IF(BK88=0,0,(BL88-BK88)/BK88*100)</f>
        <v>0</v>
      </c>
      <c r="BN88" s="5247"/>
      <c r="BO88" s="5247"/>
      <c r="BP88" s="1095">
        <f>IF(BN88=0,0,(BO88-BN88)/BN88*100)</f>
        <v>0</v>
      </c>
      <c r="BQ88" s="5247"/>
      <c r="BR88" s="5247"/>
      <c r="BS88" s="1095">
        <f>IF(BQ88=0,0,(BR88-BQ88)/BQ88*100)</f>
        <v>0</v>
      </c>
      <c r="BT88" s="5247"/>
      <c r="BU88" s="5247"/>
      <c r="BV88" s="1095">
        <f>IF(BT88=0,0,(BU88-BT88)/BT88*100)</f>
        <v>0</v>
      </c>
      <c r="BW88" s="5247"/>
      <c r="BX88" s="5247"/>
      <c r="BY88" s="1095">
        <f>IF(BW88=0,0,(BX88-BW88)/BW88*100)</f>
        <v>0</v>
      </c>
      <c r="BZ88" s="5247"/>
      <c r="CA88" s="5247"/>
      <c r="CB88" s="1095">
        <f>IF(BZ88=0,0,(CA88-BZ88)/BZ88*100)</f>
        <v>0</v>
      </c>
      <c r="CC88" s="5247"/>
      <c r="CD88" s="5247"/>
      <c r="CE88" s="1095">
        <f>IF(CC88=0,0,(CD88-CC88)/CC88*100)</f>
        <v>0</v>
      </c>
      <c r="CF88" s="5247"/>
      <c r="CG88" s="5247"/>
      <c r="CH88" s="1095">
        <f>IF(CF88=0,0,(CG88-CF88)/CF88*100)</f>
        <v>0</v>
      </c>
      <c r="CI88" s="5247"/>
      <c r="CJ88" s="5247"/>
      <c r="CK88" s="1095">
        <f>IF(CI88=0,0,(CJ88-CI88)/CI88*100)</f>
        <v>0</v>
      </c>
      <c r="CL88" s="5247"/>
      <c r="CM88" s="5247"/>
      <c r="CN88" s="1095">
        <f>IF(CL88=0,0,(CM88-CL88)/CL88*100)</f>
        <v>0</v>
      </c>
      <c r="CO88" s="5247"/>
      <c r="CP88" s="5247"/>
      <c r="CQ88" s="1095">
        <f>IF(CO88=0,0,(CP88-CO88)/CO88*100)</f>
        <v>0</v>
      </c>
      <c r="CR88" s="5247"/>
      <c r="CS88" s="5247"/>
      <c r="CT88" s="1095">
        <f>IF(CR88=0,0,(CS88-CR88)/CR88*100)</f>
        <v>0</v>
      </c>
      <c r="CU88" s="5247"/>
      <c r="CV88" s="5247"/>
      <c r="CW88" s="1095">
        <f>IF(CU88=0,0,(CV88-CU88)/CU88*100)</f>
        <v>0</v>
      </c>
      <c r="CX88" s="5247"/>
      <c r="CY88" s="5247"/>
      <c r="CZ88" s="1095">
        <f>IF(CX88=0,0,(CY88-CX88)/CX88*100)</f>
        <v>0</v>
      </c>
      <c r="DA88" s="5247"/>
      <c r="DB88" s="5247"/>
      <c r="DC88" s="1095">
        <f>IF(DA88=0,0,(DB88-DA88)/DA88*100)</f>
        <v>0</v>
      </c>
      <c r="DD88" s="5247"/>
      <c r="DE88" s="5247"/>
      <c r="DF88" s="1095">
        <f>IF(DD88=0,0,(DE88-DD88)/DD88*100)</f>
        <v>0</v>
      </c>
      <c r="DG88" s="5247"/>
      <c r="DH88" s="5247"/>
      <c r="DI88" s="1095">
        <f>IF(DG88=0,0,(DH88-DG88)/DG88*100)</f>
        <v>0</v>
      </c>
      <c r="DJ88" s="5247"/>
      <c r="DK88" s="5247"/>
      <c r="DL88" s="1095">
        <f>IF(DJ88=0,0,(DK88-DJ88)/DJ88*100)</f>
        <v>0</v>
      </c>
      <c r="DM88" s="5247"/>
      <c r="DN88" s="5247"/>
      <c r="DO88" s="1095">
        <f>IF(DM88=0,0,(DN88-DM88)/DM88*100)</f>
        <v>0</v>
      </c>
      <c r="DP88" s="5247"/>
      <c r="DQ88" s="5247"/>
      <c r="DR88" s="1095">
        <f>IF(DP88=0,0,(DQ88-DP88)/DP88*100)</f>
        <v>0</v>
      </c>
      <c r="DS88" s="5247"/>
      <c r="DT88" s="5247"/>
      <c r="DU88" s="1095">
        <f>IF(DS88=0,0,(DT88-DS88)/DS88*100)</f>
        <v>0</v>
      </c>
      <c r="DV88" s="5247"/>
      <c r="DW88" s="5247"/>
      <c r="DX88" s="1095">
        <f>IF(DV88=0,0,(DW88-DV88)/DV88*100)</f>
        <v>0</v>
      </c>
      <c r="DY88" s="5247"/>
      <c r="DZ88" s="5247"/>
      <c r="EA88" s="1095">
        <f>IF(DY88=0,0,(DZ88-DY88)/DY88*100)</f>
        <v>0</v>
      </c>
      <c r="EB88" s="5247"/>
      <c r="EC88" s="5247"/>
      <c r="ED88" s="1095">
        <f>IF(EB88=0,0,(EC88-EB88)/EB88*100)</f>
        <v>0</v>
      </c>
      <c r="EE88" s="5247"/>
      <c r="EF88" s="5247"/>
      <c r="EG88" s="1095">
        <f>IF(EE88=0,0,(EF88-EE88)/EE88*100)</f>
        <v>0</v>
      </c>
      <c r="EH88" s="5247"/>
      <c r="EI88" s="5247"/>
      <c r="EJ88" s="1095">
        <f>IF(EH88=0,0,(EI88-EH88)/EH88*100)</f>
        <v>0</v>
      </c>
      <c r="EK88" s="5247"/>
      <c r="EL88" s="5247"/>
      <c r="EM88" s="1095">
        <f>IF(EK88=0,0,(EL88-EK88)/EK88*100)</f>
        <v>0</v>
      </c>
      <c r="EN88" s="5247"/>
      <c r="EO88" s="5247"/>
      <c r="EP88" s="1095">
        <f>IF(EN88=0,0,(EO88-EN88)/EN88*100)</f>
        <v>0</v>
      </c>
      <c r="EQ88" s="5247"/>
      <c r="ER88" s="5247"/>
      <c r="ES88" s="1095">
        <f>IF(EQ88=0,0,(ER88-EQ88)/EQ88*100)</f>
        <v>0</v>
      </c>
      <c r="ET88" s="5247"/>
      <c r="EU88" s="5247"/>
      <c r="EV88" s="1095">
        <f>IF(ET88=0,0,(EU88-ET88)/ET88*100)</f>
        <v>0</v>
      </c>
      <c r="EW88" s="5247"/>
      <c r="EX88" s="5247"/>
      <c r="EY88" s="1095">
        <f>IF(EW88=0,0,(EX88-EW88)/EW88*100)</f>
        <v>0</v>
      </c>
      <c r="EZ88" s="5247"/>
      <c r="FA88" s="5247"/>
      <c r="FB88" s="1095">
        <f>IF(EZ88=0,0,(FA88-EZ88)/EZ88*100)</f>
        <v>0</v>
      </c>
      <c r="FC88" s="5247"/>
      <c r="FD88" s="5247"/>
      <c r="FE88" s="1095">
        <f>IF(FC88=0,0,(FD88-FC88)/FC88*100)</f>
        <v>0</v>
      </c>
      <c r="FF88" s="5247"/>
      <c r="FG88" s="5247"/>
      <c r="FH88" s="1095">
        <f>IF(FF88=0,0,(FG88-FF88)/FF88*100)</f>
        <v>0</v>
      </c>
      <c r="FI88" s="5247"/>
      <c r="FJ88" s="5247"/>
      <c r="FK88" s="1095">
        <f>IF(FI88=0,0,(FJ88-FI88)/FI88*100)</f>
        <v>0</v>
      </c>
      <c r="FL88" s="5247"/>
      <c r="FM88" s="5247"/>
      <c r="FN88" s="1095">
        <f>IF(FL88=0,0,(FM88-FL88)/FL88*100)</f>
        <v>0</v>
      </c>
      <c r="FO88" s="5247"/>
      <c r="FP88" s="5247"/>
      <c r="FQ88" s="1095">
        <f>IF(FO88=0,0,(FP88-FO88)/FO88*100)</f>
        <v>0</v>
      </c>
      <c r="FR88" s="5247"/>
      <c r="FS88" s="5247"/>
      <c r="FT88" s="1095">
        <f>IF(FR88=0,0,(FS88-FR88)/FR88*100)</f>
        <v>0</v>
      </c>
      <c r="FU88" s="5247"/>
      <c r="FV88" s="5247"/>
      <c r="FW88" s="1095">
        <f>IF(FU88=0,0,(FV88-FU88)/FU88*100)</f>
        <v>0</v>
      </c>
      <c r="FX88" s="292"/>
      <c r="FY88" s="1304"/>
      <c r="FZ88" s="1055" t="s">
        <v>2423</v>
      </c>
      <c r="GA88" s="1306"/>
      <c r="GB88" s="1306"/>
      <c r="GC88" s="1305"/>
      <c r="GD88" s="1305"/>
    </row>
    <row customHeight="1" ht="18.28125" hidden="1">
      <c r="A89" s="493"/>
      <c r="B89" s="925" cm="1" t="str">
        <f t="array" ref="B89:B89">B88</f>
        <v>false</v>
      </c>
      <c r="C89" s="493"/>
      <c r="D89" s="493"/>
      <c r="E89" s="840">
        <v>18.75</v>
      </c>
      <c r="F89" s="50" cm="1" t="str">
        <f t="array" ref="F89:F89">OFFSET(E89,-1,1)</f>
        <v>0</v>
      </c>
      <c r="G89" s="493"/>
      <c r="H89" s="493" t="s">
        <v>1175</v>
      </c>
      <c r="I89" s="493" cm="1" t="str">
        <f t="array" ref="I89:I89">AB89</f>
        <v>0</v>
      </c>
      <c r="J89" s="493"/>
      <c r="K89" s="493"/>
      <c r="L89" s="493"/>
      <c r="M89" s="493"/>
      <c r="N89" s="493"/>
      <c r="O89" s="493"/>
      <c r="P89" s="493"/>
      <c r="Q89" s="493"/>
      <c r="R89" s="493"/>
      <c r="S89" s="493"/>
      <c r="T89" s="465">
        <f>AND(F89&gt;0,Y89&gt;0)</f>
        <v>0</v>
      </c>
      <c r="U89" s="493"/>
      <c r="V89" s="493"/>
      <c r="W89" s="493" t="s">
        <v>174</v>
      </c>
      <c r="X89" s="1596"/>
      <c r="Y89" s="493">
        <v>0</v>
      </c>
      <c r="Z89" s="1545"/>
      <c r="AA89" s="662" t="s">
        <v>175</v>
      </c>
      <c r="AB89" s="2860"/>
      <c r="AC89" s="864" t="s">
        <v>2337</v>
      </c>
      <c r="AD89" s="2846"/>
      <c r="AE89" s="5253"/>
      <c r="AF89" s="1093">
        <f>IF(AD89=0,0,(AE89-AD89)/AD89*100)</f>
        <v>0</v>
      </c>
      <c r="AG89" s="5253"/>
      <c r="AH89" s="5253"/>
      <c r="AI89" s="1093">
        <f>IF(AG89=0,0,(AH89-AG89)/AG89*100)</f>
        <v>0</v>
      </c>
      <c r="AJ89" s="5253"/>
      <c r="AK89" s="5253"/>
      <c r="AL89" s="1093">
        <f>IF(AJ89=0,0,(AK89-AJ89)/AJ89*100)</f>
        <v>0</v>
      </c>
      <c r="AM89" s="5253"/>
      <c r="AN89" s="5253"/>
      <c r="AO89" s="1093">
        <f>IF(AM89=0,0,(AN89-AM89)/AM89*100)</f>
        <v>0</v>
      </c>
      <c r="AP89" s="5253"/>
      <c r="AQ89" s="5253"/>
      <c r="AR89" s="1093">
        <f>IF(AP89=0,0,(AQ89-AP89)/AP89*100)</f>
        <v>0</v>
      </c>
      <c r="AS89" s="5253"/>
      <c r="AT89" s="5253"/>
      <c r="AU89" s="1093">
        <f>IF(AS89=0,0,(AT89-AS89)/AS89*100)</f>
        <v>0</v>
      </c>
      <c r="AV89" s="5253"/>
      <c r="AW89" s="5253"/>
      <c r="AX89" s="1093">
        <f>IF(AV89=0,0,(AW89-AV89)/AV89*100)</f>
        <v>0</v>
      </c>
      <c r="AY89" s="5253"/>
      <c r="AZ89" s="5253"/>
      <c r="BA89" s="1093">
        <f>IF(AY89=0,0,(AZ89-AY89)/AY89*100)</f>
        <v>0</v>
      </c>
      <c r="BB89" s="5253"/>
      <c r="BC89" s="5253"/>
      <c r="BD89" s="1093">
        <f>IF(BB89=0,0,(BC89-BB89)/BB89*100)</f>
        <v>0</v>
      </c>
      <c r="BE89" s="5253"/>
      <c r="BF89" s="5253"/>
      <c r="BG89" s="1093">
        <f>IF(BE89=0,0,(BF89-BE89)/BE89*100)</f>
        <v>0</v>
      </c>
      <c r="BH89" s="5253"/>
      <c r="BI89" s="5253"/>
      <c r="BJ89" s="1093">
        <f>IF(BH89=0,0,(BI89-BH89)/BH89*100)</f>
        <v>0</v>
      </c>
      <c r="BK89" s="5253"/>
      <c r="BL89" s="5253"/>
      <c r="BM89" s="1093">
        <f>IF(BK89=0,0,(BL89-BK89)/BK89*100)</f>
        <v>0</v>
      </c>
      <c r="BN89" s="5253"/>
      <c r="BO89" s="5253"/>
      <c r="BP89" s="1093">
        <f>IF(BN89=0,0,(BO89-BN89)/BN89*100)</f>
        <v>0</v>
      </c>
      <c r="BQ89" s="5253"/>
      <c r="BR89" s="5253"/>
      <c r="BS89" s="1093">
        <f>IF(BQ89=0,0,(BR89-BQ89)/BQ89*100)</f>
        <v>0</v>
      </c>
      <c r="BT89" s="5253"/>
      <c r="BU89" s="5253"/>
      <c r="BV89" s="1093">
        <f>IF(BT89=0,0,(BU89-BT89)/BT89*100)</f>
        <v>0</v>
      </c>
      <c r="BW89" s="5253"/>
      <c r="BX89" s="5253"/>
      <c r="BY89" s="1093">
        <f>IF(BW89=0,0,(BX89-BW89)/BW89*100)</f>
        <v>0</v>
      </c>
      <c r="BZ89" s="5253"/>
      <c r="CA89" s="5253"/>
      <c r="CB89" s="1093">
        <f>IF(BZ89=0,0,(CA89-BZ89)/BZ89*100)</f>
        <v>0</v>
      </c>
      <c r="CC89" s="5253"/>
      <c r="CD89" s="5253"/>
      <c r="CE89" s="1093">
        <f>IF(CC89=0,0,(CD89-CC89)/CC89*100)</f>
        <v>0</v>
      </c>
      <c r="CF89" s="5253"/>
      <c r="CG89" s="5253"/>
      <c r="CH89" s="1093">
        <f>IF(CF89=0,0,(CG89-CF89)/CF89*100)</f>
        <v>0</v>
      </c>
      <c r="CI89" s="5253"/>
      <c r="CJ89" s="5253"/>
      <c r="CK89" s="1093">
        <f>IF(CI89=0,0,(CJ89-CI89)/CI89*100)</f>
        <v>0</v>
      </c>
      <c r="CL89" s="5253"/>
      <c r="CM89" s="5253"/>
      <c r="CN89" s="1093">
        <f>IF(CL89=0,0,(CM89-CL89)/CL89*100)</f>
        <v>0</v>
      </c>
      <c r="CO89" s="5253"/>
      <c r="CP89" s="5253"/>
      <c r="CQ89" s="1093">
        <f>IF(CO89=0,0,(CP89-CO89)/CO89*100)</f>
        <v>0</v>
      </c>
      <c r="CR89" s="5253"/>
      <c r="CS89" s="5253"/>
      <c r="CT89" s="1093">
        <f>IF(CR89=0,0,(CS89-CR89)/CR89*100)</f>
        <v>0</v>
      </c>
      <c r="CU89" s="5253"/>
      <c r="CV89" s="5253"/>
      <c r="CW89" s="1093">
        <f>IF(CU89=0,0,(CV89-CU89)/CU89*100)</f>
        <v>0</v>
      </c>
      <c r="CX89" s="5253"/>
      <c r="CY89" s="5253"/>
      <c r="CZ89" s="1093">
        <f>IF(CX89=0,0,(CY89-CX89)/CX89*100)</f>
        <v>0</v>
      </c>
      <c r="DA89" s="5253"/>
      <c r="DB89" s="5253"/>
      <c r="DC89" s="1093">
        <f>IF(DA89=0,0,(DB89-DA89)/DA89*100)</f>
        <v>0</v>
      </c>
      <c r="DD89" s="5253"/>
      <c r="DE89" s="5253"/>
      <c r="DF89" s="1093">
        <f>IF(DD89=0,0,(DE89-DD89)/DD89*100)</f>
        <v>0</v>
      </c>
      <c r="DG89" s="5253"/>
      <c r="DH89" s="5253"/>
      <c r="DI89" s="1093">
        <f>IF(DG89=0,0,(DH89-DG89)/DG89*100)</f>
        <v>0</v>
      </c>
      <c r="DJ89" s="5253"/>
      <c r="DK89" s="5253"/>
      <c r="DL89" s="1093">
        <f>IF(DJ89=0,0,(DK89-DJ89)/DJ89*100)</f>
        <v>0</v>
      </c>
      <c r="DM89" s="5253"/>
      <c r="DN89" s="5253"/>
      <c r="DO89" s="1093">
        <f>IF(DM89=0,0,(DN89-DM89)/DM89*100)</f>
        <v>0</v>
      </c>
      <c r="DP89" s="5253"/>
      <c r="DQ89" s="5253"/>
      <c r="DR89" s="1093">
        <f>IF(DP89=0,0,(DQ89-DP89)/DP89*100)</f>
        <v>0</v>
      </c>
      <c r="DS89" s="5253"/>
      <c r="DT89" s="5253"/>
      <c r="DU89" s="1093">
        <f>IF(DS89=0,0,(DT89-DS89)/DS89*100)</f>
        <v>0</v>
      </c>
      <c r="DV89" s="5253"/>
      <c r="DW89" s="5253"/>
      <c r="DX89" s="1093">
        <f>IF(DV89=0,0,(DW89-DV89)/DV89*100)</f>
        <v>0</v>
      </c>
      <c r="DY89" s="5253"/>
      <c r="DZ89" s="5253"/>
      <c r="EA89" s="1093">
        <f>IF(DY89=0,0,(DZ89-DY89)/DY89*100)</f>
        <v>0</v>
      </c>
      <c r="EB89" s="5253"/>
      <c r="EC89" s="5253"/>
      <c r="ED89" s="1093">
        <f>IF(EB89=0,0,(EC89-EB89)/EB89*100)</f>
        <v>0</v>
      </c>
      <c r="EE89" s="5253"/>
      <c r="EF89" s="5253"/>
      <c r="EG89" s="1093">
        <f>IF(EE89=0,0,(EF89-EE89)/EE89*100)</f>
        <v>0</v>
      </c>
      <c r="EH89" s="5253"/>
      <c r="EI89" s="5253"/>
      <c r="EJ89" s="1093">
        <f>IF(EH89=0,0,(EI89-EH89)/EH89*100)</f>
        <v>0</v>
      </c>
      <c r="EK89" s="5253"/>
      <c r="EL89" s="5253"/>
      <c r="EM89" s="1093">
        <f>IF(EK89=0,0,(EL89-EK89)/EK89*100)</f>
        <v>0</v>
      </c>
      <c r="EN89" s="5253"/>
      <c r="EO89" s="5253"/>
      <c r="EP89" s="1093">
        <f>IF(EN89=0,0,(EO89-EN89)/EN89*100)</f>
        <v>0</v>
      </c>
      <c r="EQ89" s="5253"/>
      <c r="ER89" s="5253"/>
      <c r="ES89" s="1093">
        <f>IF(EQ89=0,0,(ER89-EQ89)/EQ89*100)</f>
        <v>0</v>
      </c>
      <c r="ET89" s="5253"/>
      <c r="EU89" s="5253"/>
      <c r="EV89" s="1093">
        <f>IF(ET89=0,0,(EU89-ET89)/ET89*100)</f>
        <v>0</v>
      </c>
      <c r="EW89" s="5253"/>
      <c r="EX89" s="5253"/>
      <c r="EY89" s="1093">
        <f>IF(EW89=0,0,(EX89-EW89)/EW89*100)</f>
        <v>0</v>
      </c>
      <c r="EZ89" s="5253"/>
      <c r="FA89" s="5253"/>
      <c r="FB89" s="1093">
        <f>IF(EZ89=0,0,(FA89-EZ89)/EZ89*100)</f>
        <v>0</v>
      </c>
      <c r="FC89" s="5253"/>
      <c r="FD89" s="5253"/>
      <c r="FE89" s="1093">
        <f>IF(FC89=0,0,(FD89-FC89)/FC89*100)</f>
        <v>0</v>
      </c>
      <c r="FF89" s="5253"/>
      <c r="FG89" s="5253"/>
      <c r="FH89" s="1093">
        <f>IF(FF89=0,0,(FG89-FF89)/FF89*100)</f>
        <v>0</v>
      </c>
      <c r="FI89" s="5253"/>
      <c r="FJ89" s="5253"/>
      <c r="FK89" s="1093">
        <f>IF(FI89=0,0,(FJ89-FI89)/FI89*100)</f>
        <v>0</v>
      </c>
      <c r="FL89" s="5253"/>
      <c r="FM89" s="5253"/>
      <c r="FN89" s="1093">
        <f>IF(FL89=0,0,(FM89-FL89)/FL89*100)</f>
        <v>0</v>
      </c>
      <c r="FO89" s="5253"/>
      <c r="FP89" s="5253"/>
      <c r="FQ89" s="1093">
        <f>IF(FO89=0,0,(FP89-FO89)/FO89*100)</f>
        <v>0</v>
      </c>
      <c r="FR89" s="5253"/>
      <c r="FS89" s="5253"/>
      <c r="FT89" s="1093">
        <f>IF(FR89=0,0,(FS89-FR89)/FR89*100)</f>
        <v>0</v>
      </c>
      <c r="FU89" s="5253"/>
      <c r="FV89" s="5253"/>
      <c r="FW89" s="1093">
        <f>IF(FU89=0,0,(FV89-FU89)/FU89*100)</f>
        <v>0</v>
      </c>
      <c r="FX89" s="292"/>
      <c r="FY89" s="1304"/>
      <c r="FZ89" s="1055" t="s">
        <v>2424</v>
      </c>
      <c r="GA89" s="1015" t="s">
        <v>2425</v>
      </c>
      <c r="GB89" s="1015" cm="1" t="str">
        <f t="array" ref="GB89:GB89">AB89</f>
        <v>0</v>
      </c>
      <c r="GC89" s="1305"/>
      <c r="GD89" s="632" t="b">
        <v>1</v>
      </c>
    </row>
    <row customHeight="1" ht="14.625" hidden="1">
      <c r="A90" s="1304"/>
      <c r="B90" s="925" cm="1" t="str">
        <f t="array" ref="B90:B90">B89</f>
        <v>false</v>
      </c>
      <c r="C90" s="1304"/>
      <c r="D90" s="493"/>
      <c r="E90" s="840">
        <v>15</v>
      </c>
      <c r="F90" s="50" cm="1" t="str">
        <f t="array" ref="F90:F90">OFFSET(E90,-1,1)</f>
        <v>0</v>
      </c>
      <c r="G90" s="493"/>
      <c r="H90" s="1304"/>
      <c r="I90" s="98" t="s">
        <v>2426</v>
      </c>
      <c r="J90" s="1304"/>
      <c r="K90" s="1304"/>
      <c r="L90" s="1304"/>
      <c r="M90" s="1304"/>
      <c r="N90" s="1304"/>
      <c r="O90" s="1304"/>
      <c r="P90" s="1304"/>
      <c r="Q90" s="1304"/>
      <c r="R90" s="1304"/>
      <c r="S90" s="1304"/>
      <c r="T90" s="465">
        <f>F90&gt;0</f>
        <v>0</v>
      </c>
      <c r="U90" s="1304"/>
      <c r="V90" s="1304"/>
      <c r="W90" s="757" t="s">
        <v>2367</v>
      </c>
      <c r="X90" s="1596"/>
      <c r="Y90" s="1304"/>
      <c r="Z90" s="1545"/>
      <c r="AA90" s="1304"/>
      <c r="AB90" s="260" t="s">
        <v>178</v>
      </c>
      <c r="AC90" s="264"/>
      <c r="AD90" s="262"/>
      <c r="AE90" s="262"/>
      <c r="AF90" s="262"/>
      <c r="AG90" s="262"/>
      <c r="AH90" s="262"/>
      <c r="AI90" s="262"/>
      <c r="AJ90" s="262"/>
      <c r="AK90" s="262"/>
      <c r="AL90" s="262"/>
      <c r="AM90" s="262"/>
      <c r="AN90" s="262"/>
      <c r="AO90" s="262"/>
      <c r="AP90" s="262"/>
      <c r="AQ90" s="262"/>
      <c r="AR90" s="262"/>
      <c r="AS90" s="262"/>
      <c r="AT90" s="262"/>
      <c r="AU90" s="262"/>
      <c r="AV90" s="262"/>
      <c r="AW90" s="262"/>
      <c r="AX90" s="262"/>
      <c r="AY90" s="262"/>
      <c r="AZ90" s="262"/>
      <c r="BA90" s="262"/>
      <c r="BB90" s="262"/>
      <c r="BC90" s="262"/>
      <c r="BD90" s="262"/>
      <c r="BE90" s="262"/>
      <c r="BF90" s="262"/>
      <c r="BG90" s="262"/>
      <c r="BH90" s="262"/>
      <c r="BI90" s="262"/>
      <c r="BJ90" s="262"/>
      <c r="BK90" s="262"/>
      <c r="BL90" s="262"/>
      <c r="BM90" s="262"/>
      <c r="BN90" s="262"/>
      <c r="BO90" s="262"/>
      <c r="BP90" s="262"/>
      <c r="BQ90" s="262"/>
      <c r="BR90" s="262"/>
      <c r="BS90" s="262"/>
      <c r="BT90" s="262"/>
      <c r="BU90" s="262"/>
      <c r="BV90" s="262"/>
      <c r="BW90" s="262"/>
      <c r="BX90" s="262"/>
      <c r="BY90" s="262"/>
      <c r="BZ90" s="262"/>
      <c r="CA90" s="262"/>
      <c r="CB90" s="262"/>
      <c r="CC90" s="262"/>
      <c r="CD90" s="262"/>
      <c r="CE90" s="262"/>
      <c r="CF90" s="262"/>
      <c r="CG90" s="262"/>
      <c r="CH90" s="262"/>
      <c r="CI90" s="262"/>
      <c r="CJ90" s="262"/>
      <c r="CK90" s="262"/>
      <c r="CL90" s="262"/>
      <c r="CM90" s="262"/>
      <c r="CN90" s="262"/>
      <c r="CO90" s="262"/>
      <c r="CP90" s="262"/>
      <c r="CQ90" s="262"/>
      <c r="CR90" s="262"/>
      <c r="CS90" s="262"/>
      <c r="CT90" s="262"/>
      <c r="CU90" s="262"/>
      <c r="CV90" s="262"/>
      <c r="CW90" s="262"/>
      <c r="CX90" s="262"/>
      <c r="CY90" s="262"/>
      <c r="CZ90" s="262"/>
      <c r="DA90" s="262"/>
      <c r="DB90" s="262"/>
      <c r="DC90" s="262"/>
      <c r="DD90" s="262"/>
      <c r="DE90" s="262"/>
      <c r="DF90" s="262"/>
      <c r="DG90" s="262"/>
      <c r="DH90" s="262"/>
      <c r="DI90" s="262"/>
      <c r="DJ90" s="262"/>
      <c r="DK90" s="262"/>
      <c r="DL90" s="262"/>
      <c r="DM90" s="262"/>
      <c r="DN90" s="262"/>
      <c r="DO90" s="262"/>
      <c r="DP90" s="262"/>
      <c r="DQ90" s="262"/>
      <c r="DR90" s="262"/>
      <c r="DS90" s="262"/>
      <c r="DT90" s="262"/>
      <c r="DU90" s="262"/>
      <c r="DV90" s="262"/>
      <c r="DW90" s="262"/>
      <c r="DX90" s="262"/>
      <c r="DY90" s="262"/>
      <c r="DZ90" s="262"/>
      <c r="EA90" s="262"/>
      <c r="EB90" s="262"/>
      <c r="EC90" s="262"/>
      <c r="ED90" s="262"/>
      <c r="EE90" s="262"/>
      <c r="EF90" s="262"/>
      <c r="EG90" s="262"/>
      <c r="EH90" s="262"/>
      <c r="EI90" s="262"/>
      <c r="EJ90" s="262"/>
      <c r="EK90" s="262"/>
      <c r="EL90" s="262"/>
      <c r="EM90" s="262"/>
      <c r="EN90" s="262"/>
      <c r="EO90" s="262"/>
      <c r="EP90" s="262"/>
      <c r="EQ90" s="262"/>
      <c r="ER90" s="262"/>
      <c r="ES90" s="262"/>
      <c r="ET90" s="262"/>
      <c r="EU90" s="262"/>
      <c r="EV90" s="262"/>
      <c r="EW90" s="262"/>
      <c r="EX90" s="262"/>
      <c r="EY90" s="262"/>
      <c r="EZ90" s="262"/>
      <c r="FA90" s="262"/>
      <c r="FB90" s="262"/>
      <c r="FC90" s="262"/>
      <c r="FD90" s="262"/>
      <c r="FE90" s="262"/>
      <c r="FF90" s="262"/>
      <c r="FG90" s="262"/>
      <c r="FH90" s="262"/>
      <c r="FI90" s="262"/>
      <c r="FJ90" s="262"/>
      <c r="FK90" s="262"/>
      <c r="FL90" s="262"/>
      <c r="FM90" s="262"/>
      <c r="FN90" s="262"/>
      <c r="FO90" s="262"/>
      <c r="FP90" s="262"/>
      <c r="FQ90" s="262"/>
      <c r="FR90" s="262"/>
      <c r="FS90" s="262"/>
      <c r="FT90" s="262"/>
      <c r="FU90" s="262"/>
      <c r="FV90" s="262"/>
      <c r="FW90" s="263"/>
      <c r="FX90" s="1304"/>
      <c r="FY90" s="1304"/>
      <c r="FZ90" s="1306"/>
      <c r="GA90" s="1306"/>
      <c r="GB90" s="1306"/>
      <c r="GC90" s="632" t="s">
        <v>2425</v>
      </c>
      <c r="GD90" s="1305"/>
    </row>
    <row customHeight="1" ht="11.2125" hidden="1">
      <c r="A91" s="98"/>
      <c r="B91" s="905"/>
      <c r="C91" s="98"/>
      <c r="D91" s="493"/>
      <c r="E91" s="840">
        <v>11.5</v>
      </c>
      <c r="F91" s="1337"/>
      <c r="G91" s="493"/>
      <c r="H91" s="98"/>
      <c r="I91" s="98"/>
      <c r="J91" s="98"/>
      <c r="K91" s="98"/>
      <c r="L91" s="98"/>
      <c r="M91" s="98"/>
      <c r="N91" s="98"/>
      <c r="O91" s="98"/>
      <c r="P91" s="98"/>
      <c r="Q91" s="98"/>
      <c r="R91" s="98"/>
      <c r="S91" s="98"/>
      <c r="T91" s="465" cm="1" t="str">
        <f t="array" ref="T91:T91">T90</f>
        <v>false</v>
      </c>
      <c r="U91" s="98"/>
      <c r="V91" s="98"/>
      <c r="W91" s="757"/>
      <c r="X91" s="1596"/>
      <c r="Y91" s="98"/>
      <c r="Z91" s="1545"/>
      <c r="AA91" s="98"/>
      <c r="AB91" s="207"/>
      <c r="AC91" s="1446"/>
      <c r="AD91" s="1304"/>
      <c r="AE91" s="1304"/>
      <c r="AF91" s="1304"/>
      <c r="AG91" s="1304"/>
      <c r="AH91" s="1304"/>
      <c r="AI91" s="1304"/>
      <c r="AJ91" s="1304"/>
      <c r="AK91" s="1304"/>
      <c r="AL91" s="1304"/>
      <c r="AM91" s="1304"/>
      <c r="AN91" s="1304"/>
      <c r="AO91" s="1304"/>
      <c r="AP91" s="1304"/>
      <c r="AQ91" s="1304"/>
      <c r="AR91" s="1304"/>
      <c r="AS91" s="1304"/>
      <c r="AT91" s="1304"/>
      <c r="AU91" s="1304"/>
      <c r="AV91" s="1304"/>
      <c r="AW91" s="1304"/>
      <c r="AX91" s="1304"/>
      <c r="AY91" s="1304"/>
      <c r="AZ91" s="1304"/>
      <c r="BA91" s="1304"/>
      <c r="BB91" s="1304"/>
      <c r="BC91" s="1304"/>
      <c r="BD91" s="1304"/>
      <c r="BE91" s="1304"/>
      <c r="BF91" s="1304"/>
      <c r="BG91" s="1304"/>
      <c r="BH91" s="1304"/>
      <c r="BI91" s="1304"/>
      <c r="BJ91" s="1304"/>
      <c r="BK91" s="1304"/>
      <c r="BL91" s="1304"/>
      <c r="BM91" s="1304"/>
      <c r="BN91" s="1304"/>
      <c r="BO91" s="1304"/>
      <c r="BP91" s="1304"/>
      <c r="BQ91" s="1304"/>
      <c r="BR91" s="1304"/>
      <c r="BS91" s="1304"/>
      <c r="BT91" s="1304"/>
      <c r="BU91" s="1304"/>
      <c r="BV91" s="1304"/>
      <c r="BW91" s="1304"/>
      <c r="BX91" s="1304"/>
      <c r="BY91" s="1304"/>
      <c r="BZ91" s="1304"/>
      <c r="CA91" s="1304"/>
      <c r="CB91" s="1304"/>
      <c r="CC91" s="1304"/>
      <c r="CD91" s="1304"/>
      <c r="CE91" s="1304"/>
      <c r="CF91" s="1304"/>
      <c r="CG91" s="1304"/>
      <c r="CH91" s="1304"/>
      <c r="CI91" s="1304"/>
      <c r="CJ91" s="1304"/>
      <c r="CK91" s="1304"/>
      <c r="CL91" s="1304"/>
      <c r="CM91" s="1304"/>
      <c r="CN91" s="1304"/>
      <c r="CO91" s="1304"/>
      <c r="CP91" s="1304"/>
      <c r="CQ91" s="1304"/>
      <c r="CR91" s="1304"/>
      <c r="CS91" s="1304"/>
      <c r="CT91" s="1304"/>
      <c r="CU91" s="1304"/>
      <c r="CV91" s="1304"/>
      <c r="CW91" s="1304"/>
      <c r="CX91" s="1304"/>
      <c r="CY91" s="1304"/>
      <c r="CZ91" s="1304"/>
      <c r="DA91" s="1304"/>
      <c r="DB91" s="1304"/>
      <c r="DC91" s="1304"/>
      <c r="DD91" s="1304"/>
      <c r="DE91" s="1304"/>
      <c r="DF91" s="1304"/>
      <c r="DG91" s="1304"/>
      <c r="DH91" s="1304"/>
      <c r="DI91" s="1304"/>
      <c r="DJ91" s="1304"/>
      <c r="DK91" s="1304"/>
      <c r="DL91" s="1304"/>
      <c r="DM91" s="1304"/>
      <c r="DN91" s="1304"/>
      <c r="DO91" s="1304"/>
      <c r="DP91" s="1304"/>
      <c r="DQ91" s="1304"/>
      <c r="DR91" s="1304"/>
      <c r="DS91" s="1304"/>
      <c r="DT91" s="1304"/>
      <c r="DU91" s="1304"/>
      <c r="DV91" s="1304"/>
      <c r="DW91" s="1304"/>
      <c r="DX91" s="1304"/>
      <c r="DY91" s="1304"/>
      <c r="DZ91" s="1304"/>
      <c r="EA91" s="1304"/>
      <c r="EB91" s="1304"/>
      <c r="EC91" s="1304"/>
      <c r="ED91" s="1304"/>
      <c r="EE91" s="1304"/>
      <c r="EF91" s="1304"/>
      <c r="EG91" s="1304"/>
      <c r="EH91" s="1304"/>
      <c r="EI91" s="1304"/>
      <c r="EJ91" s="1304"/>
      <c r="EK91" s="1304"/>
      <c r="EL91" s="1304"/>
      <c r="EM91" s="1304"/>
      <c r="EN91" s="1304"/>
      <c r="EO91" s="1304"/>
      <c r="EP91" s="1304"/>
      <c r="EQ91" s="1304"/>
      <c r="ER91" s="1304"/>
      <c r="ES91" s="1304"/>
      <c r="ET91" s="1304"/>
      <c r="EU91" s="1304"/>
      <c r="EV91" s="1304"/>
      <c r="EW91" s="1304"/>
      <c r="EX91" s="1304"/>
      <c r="EY91" s="1304"/>
      <c r="EZ91" s="1304"/>
      <c r="FA91" s="1304"/>
      <c r="FB91" s="1304"/>
      <c r="FC91" s="1304"/>
      <c r="FD91" s="1304"/>
      <c r="FE91" s="1304"/>
      <c r="FF91" s="1304"/>
      <c r="FG91" s="1304"/>
      <c r="FH91" s="1304"/>
      <c r="FI91" s="1304"/>
      <c r="FJ91" s="1304"/>
      <c r="FK91" s="1304"/>
      <c r="FL91" s="1304"/>
      <c r="FM91" s="1304"/>
      <c r="FN91" s="1304"/>
      <c r="FO91" s="1304"/>
      <c r="FP91" s="1304"/>
      <c r="FQ91" s="1304"/>
      <c r="FR91" s="1304"/>
      <c r="FS91" s="1304"/>
      <c r="FT91" s="1304"/>
      <c r="FU91" s="1304"/>
      <c r="FV91" s="1304"/>
      <c r="FW91" s="1304"/>
      <c r="FX91" s="1304"/>
      <c r="FY91" s="1304"/>
      <c r="FZ91" s="1006"/>
      <c r="GA91" s="1006"/>
      <c r="GB91" s="1001"/>
      <c r="GC91" s="675"/>
      <c r="GD91" s="675"/>
    </row>
    <row s="1834" customFormat="1" customHeight="1" ht="14.25">
      <c r="A92" s="493"/>
      <c r="B92" s="872"/>
      <c r="C92" s="493"/>
      <c r="D92" s="493"/>
      <c r="E92" s="840">
        <v>15</v>
      </c>
      <c r="F92" s="494" cm="1" t="str">
        <f t="array" ref="F92:F92">X92</f>
        <v>1</v>
      </c>
      <c r="G92" s="493" cm="1" t="str">
        <f t="array" ref="G92:G92">INDEX('Общие сведения'!$AK$179:$AK$250,MATCH($X92,'Общие сведения'!$Z$179:$Z$250,0))</f>
        <v>одноставочный</v>
      </c>
      <c r="H92" s="493"/>
      <c r="I92" s="493"/>
      <c r="J92" s="493"/>
      <c r="K92" s="493"/>
      <c r="L92" s="493"/>
      <c r="M92" s="493"/>
      <c r="N92" s="493"/>
      <c r="O92" s="493"/>
      <c r="P92" s="493"/>
      <c r="Q92" s="493" cm="1" t="str">
        <f t="array" ref="Q92:Q92">INDEX('Общие сведения'!$AE$179:$AE$250,MATCH($X92,'Общие сведения'!$Z$179:$Z$250,0))</f>
        <v>Водоснабжение</v>
      </c>
      <c r="R92" s="484" cm="1" t="str">
        <f t="array" ref="R92:R92">INDEX('Общие сведения'!$AK$179:$AK$250,MATCH($X92,'Общие сведения'!$Z$179:$Z$250,0))</f>
        <v>одноставочный</v>
      </c>
      <c r="S92" s="493" cm="1" t="str">
        <f t="array" ref="S92:S92">INDEX('Общие сведения'!$AN$179:$AN$250,MATCH($X92,'Общие сведения'!$Z$179:$Z$250,0))</f>
        <v>false</v>
      </c>
      <c r="T92" s="465">
        <f>X92&gt;0</f>
        <v>1</v>
      </c>
      <c r="U92" s="493"/>
      <c r="V92" s="493" cm="1" t="str">
        <f t="array" ref="V92:V92">'Корректировка НВВ'!$AB$78</f>
        <v>Тариф 1 (Водоснабжение) - тариф на питьевую воду (Доп. признак не требуется)</v>
      </c>
      <c r="W92" s="493"/>
      <c r="X92" s="1596" t="s">
        <v>276</v>
      </c>
      <c r="Y92" s="493"/>
      <c r="Z92" s="1545"/>
      <c r="AA92" s="493"/>
      <c r="AB92" s="1636" t="s">
        <v>22</v>
      </c>
      <c r="AC92" s="1637"/>
      <c r="AD92" s="893" cm="1" t="str">
        <f t="array" ref="AD92:AD92">'Корректировка НВВ'!$AB$78</f>
        <v>Тариф 1 (Водоснабжение) - тариф на питьевую воду (Доп. признак не требуется)</v>
      </c>
      <c r="AE92" s="286"/>
      <c r="AF92" s="286"/>
      <c r="AG92" s="286"/>
      <c r="AH92" s="286"/>
      <c r="AI92" s="286"/>
      <c r="AJ92" s="286"/>
      <c r="AK92" s="286"/>
      <c r="AL92" s="286"/>
      <c r="AM92" s="286"/>
      <c r="AN92" s="286"/>
      <c r="AO92" s="286"/>
      <c r="AP92" s="286"/>
      <c r="AQ92" s="286"/>
      <c r="AR92" s="286"/>
      <c r="AS92" s="286"/>
      <c r="AT92" s="286"/>
      <c r="AU92" s="286"/>
      <c r="AV92" s="286"/>
      <c r="AW92" s="286"/>
      <c r="AX92" s="286"/>
      <c r="AY92" s="286"/>
      <c r="AZ92" s="286"/>
      <c r="BA92" s="286"/>
      <c r="BB92" s="286"/>
      <c r="BC92" s="286"/>
      <c r="BD92" s="286"/>
      <c r="BE92" s="286"/>
      <c r="BF92" s="286"/>
      <c r="BG92" s="286"/>
      <c r="BH92" s="286"/>
      <c r="BI92" s="286"/>
      <c r="BJ92" s="286"/>
      <c r="BK92" s="286"/>
      <c r="BL92" s="286"/>
      <c r="BM92" s="286"/>
      <c r="BN92" s="286"/>
      <c r="BO92" s="286"/>
      <c r="BP92" s="286"/>
      <c r="BQ92" s="286"/>
      <c r="BR92" s="286"/>
      <c r="BS92" s="286"/>
      <c r="BT92" s="286"/>
      <c r="BU92" s="286"/>
      <c r="BV92" s="286"/>
      <c r="BW92" s="286"/>
      <c r="BX92" s="286"/>
      <c r="BY92" s="286"/>
      <c r="BZ92" s="286"/>
      <c r="CA92" s="286"/>
      <c r="CB92" s="286"/>
      <c r="CC92" s="286"/>
      <c r="CD92" s="286"/>
      <c r="CE92" s="286"/>
      <c r="CF92" s="286"/>
      <c r="CG92" s="286"/>
      <c r="CH92" s="286"/>
      <c r="CI92" s="286"/>
      <c r="CJ92" s="286"/>
      <c r="CK92" s="286"/>
      <c r="CL92" s="286"/>
      <c r="CM92" s="286"/>
      <c r="CN92" s="286"/>
      <c r="CO92" s="286"/>
      <c r="CP92" s="286"/>
      <c r="CQ92" s="286"/>
      <c r="CR92" s="286"/>
      <c r="CS92" s="286"/>
      <c r="CT92" s="286"/>
      <c r="CU92" s="286"/>
      <c r="CV92" s="286"/>
      <c r="CW92" s="286"/>
      <c r="CX92" s="286"/>
      <c r="CY92" s="286"/>
      <c r="CZ92" s="286"/>
      <c r="DA92" s="286"/>
      <c r="DB92" s="286"/>
      <c r="DC92" s="286"/>
      <c r="DD92" s="286"/>
      <c r="DE92" s="286"/>
      <c r="DF92" s="286"/>
      <c r="DG92" s="286"/>
      <c r="DH92" s="286"/>
      <c r="DI92" s="286"/>
      <c r="DJ92" s="286"/>
      <c r="DK92" s="286"/>
      <c r="DL92" s="286"/>
      <c r="DM92" s="286"/>
      <c r="DN92" s="286"/>
      <c r="DO92" s="286"/>
      <c r="DP92" s="286"/>
      <c r="DQ92" s="286"/>
      <c r="DR92" s="286"/>
      <c r="DS92" s="286"/>
      <c r="DT92" s="286"/>
      <c r="DU92" s="286"/>
      <c r="DV92" s="286"/>
      <c r="DW92" s="286"/>
      <c r="DX92" s="286"/>
      <c r="DY92" s="286"/>
      <c r="DZ92" s="286"/>
      <c r="EA92" s="286"/>
      <c r="EB92" s="286"/>
      <c r="EC92" s="286"/>
      <c r="ED92" s="286"/>
      <c r="EE92" s="286"/>
      <c r="EF92" s="286"/>
      <c r="EG92" s="286"/>
      <c r="EH92" s="286"/>
      <c r="EI92" s="286"/>
      <c r="EJ92" s="286"/>
      <c r="EK92" s="286"/>
      <c r="EL92" s="286"/>
      <c r="EM92" s="286"/>
      <c r="EN92" s="286"/>
      <c r="EO92" s="286"/>
      <c r="EP92" s="286"/>
      <c r="EQ92" s="286"/>
      <c r="ER92" s="286"/>
      <c r="ES92" s="286"/>
      <c r="ET92" s="286"/>
      <c r="EU92" s="286"/>
      <c r="EV92" s="286"/>
      <c r="EW92" s="286"/>
      <c r="EX92" s="286"/>
      <c r="EY92" s="286"/>
      <c r="EZ92" s="286"/>
      <c r="FA92" s="286"/>
      <c r="FB92" s="286"/>
      <c r="FC92" s="286"/>
      <c r="FD92" s="286"/>
      <c r="FE92" s="286"/>
      <c r="FF92" s="286"/>
      <c r="FG92" s="286"/>
      <c r="FH92" s="286"/>
      <c r="FI92" s="286"/>
      <c r="FJ92" s="286"/>
      <c r="FK92" s="286"/>
      <c r="FL92" s="286"/>
      <c r="FM92" s="286"/>
      <c r="FN92" s="286"/>
      <c r="FO92" s="286"/>
      <c r="FP92" s="286"/>
      <c r="FQ92" s="286"/>
      <c r="FR92" s="286"/>
      <c r="FS92" s="286"/>
      <c r="FT92" s="286"/>
      <c r="FU92" s="286"/>
      <c r="FV92" s="286"/>
      <c r="FW92" s="287"/>
      <c r="FX92" s="1304"/>
      <c r="FY92" s="1304"/>
      <c r="FZ92" s="1306"/>
      <c r="GA92" s="1306"/>
      <c r="GB92" s="1306"/>
      <c r="GC92" s="1305"/>
      <c r="GD92" s="1305"/>
    </row>
    <row s="1834" customFormat="1" customHeight="1" ht="14.25">
      <c r="A93" s="493"/>
      <c r="B93" s="872"/>
      <c r="C93" s="493"/>
      <c r="D93" s="493"/>
      <c r="E93" s="840">
        <v>15</v>
      </c>
      <c r="F93" s="50" cm="1" t="str">
        <f t="array" ref="F93:F93">OFFSET(E93,-1,1)</f>
        <v>1</v>
      </c>
      <c r="G93" s="493"/>
      <c r="H93" s="493"/>
      <c r="I93" s="493"/>
      <c r="J93" s="493"/>
      <c r="K93" s="493"/>
      <c r="L93" s="493"/>
      <c r="M93" s="493"/>
      <c r="N93" s="493"/>
      <c r="O93" s="493"/>
      <c r="P93" s="493"/>
      <c r="Q93" s="493"/>
      <c r="R93" s="484"/>
      <c r="S93" s="484"/>
      <c r="T93" s="465" cm="1" t="str">
        <f t="array" ref="T93:T93">T92</f>
        <v>true</v>
      </c>
      <c r="U93" s="493"/>
      <c r="V93" s="493"/>
      <c r="W93" s="493"/>
      <c r="X93" s="1596"/>
      <c r="Y93" s="493"/>
      <c r="Z93" s="1545"/>
      <c r="AA93" s="493"/>
      <c r="AB93" s="1503" t="str">
        <f>"Вид "&amp;IF(ISERROR(SEARCH("Водоснабжение",AD92)),"сточных вод","воды")</f>
        <v>Вид воды</v>
      </c>
      <c r="AC93" s="1505"/>
      <c r="AD93" s="893" cm="1" t="str">
        <f t="array" ref="AD93:AD93">INDEX('Общие сведения'!$AH$179:$AH$250,MATCH($X92,'Общие сведения'!$Z$179:$Z$250,0))</f>
        <v>питьевая вода</v>
      </c>
      <c r="AE93" s="288"/>
      <c r="AF93" s="288"/>
      <c r="AG93" s="288"/>
      <c r="AH93" s="288"/>
      <c r="AI93" s="288"/>
      <c r="AJ93" s="288"/>
      <c r="AK93" s="288"/>
      <c r="AL93" s="288"/>
      <c r="AM93" s="288"/>
      <c r="AN93" s="288"/>
      <c r="AO93" s="288"/>
      <c r="AP93" s="288"/>
      <c r="AQ93" s="288"/>
      <c r="AR93" s="288"/>
      <c r="AS93" s="288"/>
      <c r="AT93" s="288"/>
      <c r="AU93" s="288"/>
      <c r="AV93" s="288"/>
      <c r="AW93" s="288"/>
      <c r="AX93" s="288"/>
      <c r="AY93" s="288"/>
      <c r="AZ93" s="288"/>
      <c r="BA93" s="288"/>
      <c r="BB93" s="288"/>
      <c r="BC93" s="288"/>
      <c r="BD93" s="288"/>
      <c r="BE93" s="288"/>
      <c r="BF93" s="288"/>
      <c r="BG93" s="288"/>
      <c r="BH93" s="288"/>
      <c r="BI93" s="288"/>
      <c r="BJ93" s="288"/>
      <c r="BK93" s="288"/>
      <c r="BL93" s="288"/>
      <c r="BM93" s="288"/>
      <c r="BN93" s="288"/>
      <c r="BO93" s="288"/>
      <c r="BP93" s="288"/>
      <c r="BQ93" s="288"/>
      <c r="BR93" s="288"/>
      <c r="BS93" s="288"/>
      <c r="BT93" s="288"/>
      <c r="BU93" s="288"/>
      <c r="BV93" s="288"/>
      <c r="BW93" s="288"/>
      <c r="BX93" s="288"/>
      <c r="BY93" s="288"/>
      <c r="BZ93" s="288"/>
      <c r="CA93" s="288"/>
      <c r="CB93" s="288"/>
      <c r="CC93" s="288"/>
      <c r="CD93" s="288"/>
      <c r="CE93" s="288"/>
      <c r="CF93" s="288"/>
      <c r="CG93" s="288"/>
      <c r="CH93" s="288"/>
      <c r="CI93" s="288"/>
      <c r="CJ93" s="288"/>
      <c r="CK93" s="288"/>
      <c r="CL93" s="288"/>
      <c r="CM93" s="288"/>
      <c r="CN93" s="288"/>
      <c r="CO93" s="288"/>
      <c r="CP93" s="288"/>
      <c r="CQ93" s="288"/>
      <c r="CR93" s="288"/>
      <c r="CS93" s="288"/>
      <c r="CT93" s="288"/>
      <c r="CU93" s="288"/>
      <c r="CV93" s="288"/>
      <c r="CW93" s="288"/>
      <c r="CX93" s="288"/>
      <c r="CY93" s="288"/>
      <c r="CZ93" s="288"/>
      <c r="DA93" s="288"/>
      <c r="DB93" s="288"/>
      <c r="DC93" s="288"/>
      <c r="DD93" s="288"/>
      <c r="DE93" s="288"/>
      <c r="DF93" s="288"/>
      <c r="DG93" s="288"/>
      <c r="DH93" s="288"/>
      <c r="DI93" s="288"/>
      <c r="DJ93" s="288"/>
      <c r="DK93" s="288"/>
      <c r="DL93" s="288"/>
      <c r="DM93" s="288"/>
      <c r="DN93" s="288"/>
      <c r="DO93" s="288"/>
      <c r="DP93" s="288"/>
      <c r="DQ93" s="288"/>
      <c r="DR93" s="288"/>
      <c r="DS93" s="288"/>
      <c r="DT93" s="288"/>
      <c r="DU93" s="288"/>
      <c r="DV93" s="288"/>
      <c r="DW93" s="288"/>
      <c r="DX93" s="288"/>
      <c r="DY93" s="288"/>
      <c r="DZ93" s="288"/>
      <c r="EA93" s="288"/>
      <c r="EB93" s="288"/>
      <c r="EC93" s="288"/>
      <c r="ED93" s="288"/>
      <c r="EE93" s="288"/>
      <c r="EF93" s="288"/>
      <c r="EG93" s="288"/>
      <c r="EH93" s="288"/>
      <c r="EI93" s="288"/>
      <c r="EJ93" s="288"/>
      <c r="EK93" s="288"/>
      <c r="EL93" s="288"/>
      <c r="EM93" s="288"/>
      <c r="EN93" s="288"/>
      <c r="EO93" s="288"/>
      <c r="EP93" s="288"/>
      <c r="EQ93" s="288"/>
      <c r="ER93" s="288"/>
      <c r="ES93" s="288"/>
      <c r="ET93" s="288"/>
      <c r="EU93" s="288"/>
      <c r="EV93" s="288"/>
      <c r="EW93" s="288"/>
      <c r="EX93" s="288"/>
      <c r="EY93" s="288"/>
      <c r="EZ93" s="288"/>
      <c r="FA93" s="288"/>
      <c r="FB93" s="288"/>
      <c r="FC93" s="288"/>
      <c r="FD93" s="288"/>
      <c r="FE93" s="288"/>
      <c r="FF93" s="288"/>
      <c r="FG93" s="288"/>
      <c r="FH93" s="288"/>
      <c r="FI93" s="288"/>
      <c r="FJ93" s="288"/>
      <c r="FK93" s="288"/>
      <c r="FL93" s="288"/>
      <c r="FM93" s="288"/>
      <c r="FN93" s="288"/>
      <c r="FO93" s="288"/>
      <c r="FP93" s="288"/>
      <c r="FQ93" s="288"/>
      <c r="FR93" s="288"/>
      <c r="FS93" s="288"/>
      <c r="FT93" s="288"/>
      <c r="FU93" s="288"/>
      <c r="FV93" s="288"/>
      <c r="FW93" s="289"/>
      <c r="FX93" s="1304"/>
      <c r="FY93" s="1304"/>
      <c r="FZ93" s="1306"/>
      <c r="GA93" s="1306"/>
      <c r="GB93" s="1306"/>
      <c r="GC93" s="1305"/>
      <c r="GD93" s="1305"/>
    </row>
    <row s="1834" customFormat="1" customHeight="1" ht="14.25">
      <c r="A94" s="493"/>
      <c r="B94" s="872"/>
      <c r="C94" s="493"/>
      <c r="D94" s="493"/>
      <c r="E94" s="840">
        <v>15</v>
      </c>
      <c r="F94" s="50" cm="1" t="str">
        <f t="array" ref="F94:F94">OFFSET(E94,-1,1)</f>
        <v>1</v>
      </c>
      <c r="G94" s="493"/>
      <c r="H94" s="493"/>
      <c r="I94" s="493"/>
      <c r="J94" s="493"/>
      <c r="K94" s="493"/>
      <c r="L94" s="493"/>
      <c r="M94" s="493"/>
      <c r="N94" s="493"/>
      <c r="O94" s="493"/>
      <c r="P94" s="493"/>
      <c r="Q94" s="493"/>
      <c r="R94" s="484"/>
      <c r="S94" s="484"/>
      <c r="T94" s="465" cm="1" t="str">
        <f t="array" ref="T94:T94">T93</f>
        <v>true</v>
      </c>
      <c r="U94" s="493"/>
      <c r="V94" s="493"/>
      <c r="W94" s="493"/>
      <c r="X94" s="1596"/>
      <c r="Y94" s="493"/>
      <c r="Z94" s="1545"/>
      <c r="AA94" s="493"/>
      <c r="AB94" s="1503" t="s">
        <v>2331</v>
      </c>
      <c r="AC94" s="1505"/>
      <c r="AD94" s="893" cm="1" t="str">
        <f t="array" ref="AD94:AD94">INDEX('Общие сведения'!$AI$179:$AI$250,MATCH($X92,'Общие сведения'!$Z$179:$Z$250,0))</f>
        <v>тариф на питьевую воду</v>
      </c>
      <c r="AE94" s="288"/>
      <c r="AF94" s="288"/>
      <c r="AG94" s="288"/>
      <c r="AH94" s="288"/>
      <c r="AI94" s="288"/>
      <c r="AJ94" s="288"/>
      <c r="AK94" s="288"/>
      <c r="AL94" s="288"/>
      <c r="AM94" s="288"/>
      <c r="AN94" s="288"/>
      <c r="AO94" s="288"/>
      <c r="AP94" s="288"/>
      <c r="AQ94" s="288"/>
      <c r="AR94" s="288"/>
      <c r="AS94" s="288"/>
      <c r="AT94" s="288"/>
      <c r="AU94" s="288"/>
      <c r="AV94" s="288"/>
      <c r="AW94" s="288"/>
      <c r="AX94" s="288"/>
      <c r="AY94" s="288"/>
      <c r="AZ94" s="288"/>
      <c r="BA94" s="288"/>
      <c r="BB94" s="288"/>
      <c r="BC94" s="288"/>
      <c r="BD94" s="288"/>
      <c r="BE94" s="288"/>
      <c r="BF94" s="288"/>
      <c r="BG94" s="288"/>
      <c r="BH94" s="288"/>
      <c r="BI94" s="288"/>
      <c r="BJ94" s="288"/>
      <c r="BK94" s="288"/>
      <c r="BL94" s="288"/>
      <c r="BM94" s="288"/>
      <c r="BN94" s="288"/>
      <c r="BO94" s="288"/>
      <c r="BP94" s="288"/>
      <c r="BQ94" s="288"/>
      <c r="BR94" s="288"/>
      <c r="BS94" s="288"/>
      <c r="BT94" s="288"/>
      <c r="BU94" s="288"/>
      <c r="BV94" s="288"/>
      <c r="BW94" s="288"/>
      <c r="BX94" s="288"/>
      <c r="BY94" s="288"/>
      <c r="BZ94" s="288"/>
      <c r="CA94" s="288"/>
      <c r="CB94" s="288"/>
      <c r="CC94" s="288"/>
      <c r="CD94" s="288"/>
      <c r="CE94" s="288"/>
      <c r="CF94" s="288"/>
      <c r="CG94" s="288"/>
      <c r="CH94" s="288"/>
      <c r="CI94" s="288"/>
      <c r="CJ94" s="288"/>
      <c r="CK94" s="288"/>
      <c r="CL94" s="288"/>
      <c r="CM94" s="288"/>
      <c r="CN94" s="288"/>
      <c r="CO94" s="288"/>
      <c r="CP94" s="288"/>
      <c r="CQ94" s="288"/>
      <c r="CR94" s="288"/>
      <c r="CS94" s="288"/>
      <c r="CT94" s="288"/>
      <c r="CU94" s="288"/>
      <c r="CV94" s="288"/>
      <c r="CW94" s="288"/>
      <c r="CX94" s="288"/>
      <c r="CY94" s="288"/>
      <c r="CZ94" s="288"/>
      <c r="DA94" s="288"/>
      <c r="DB94" s="288"/>
      <c r="DC94" s="288"/>
      <c r="DD94" s="288"/>
      <c r="DE94" s="288"/>
      <c r="DF94" s="288"/>
      <c r="DG94" s="288"/>
      <c r="DH94" s="288"/>
      <c r="DI94" s="288"/>
      <c r="DJ94" s="288"/>
      <c r="DK94" s="288"/>
      <c r="DL94" s="288"/>
      <c r="DM94" s="288"/>
      <c r="DN94" s="288"/>
      <c r="DO94" s="288"/>
      <c r="DP94" s="288"/>
      <c r="DQ94" s="288"/>
      <c r="DR94" s="288"/>
      <c r="DS94" s="288"/>
      <c r="DT94" s="288"/>
      <c r="DU94" s="288"/>
      <c r="DV94" s="288"/>
      <c r="DW94" s="288"/>
      <c r="DX94" s="288"/>
      <c r="DY94" s="288"/>
      <c r="DZ94" s="288"/>
      <c r="EA94" s="288"/>
      <c r="EB94" s="288"/>
      <c r="EC94" s="288"/>
      <c r="ED94" s="288"/>
      <c r="EE94" s="288"/>
      <c r="EF94" s="288"/>
      <c r="EG94" s="288"/>
      <c r="EH94" s="288"/>
      <c r="EI94" s="288"/>
      <c r="EJ94" s="288"/>
      <c r="EK94" s="288"/>
      <c r="EL94" s="288"/>
      <c r="EM94" s="288"/>
      <c r="EN94" s="288"/>
      <c r="EO94" s="288"/>
      <c r="EP94" s="288"/>
      <c r="EQ94" s="288"/>
      <c r="ER94" s="288"/>
      <c r="ES94" s="288"/>
      <c r="ET94" s="288"/>
      <c r="EU94" s="288"/>
      <c r="EV94" s="288"/>
      <c r="EW94" s="288"/>
      <c r="EX94" s="288"/>
      <c r="EY94" s="288"/>
      <c r="EZ94" s="288"/>
      <c r="FA94" s="288"/>
      <c r="FB94" s="288"/>
      <c r="FC94" s="288"/>
      <c r="FD94" s="288"/>
      <c r="FE94" s="288"/>
      <c r="FF94" s="288"/>
      <c r="FG94" s="288"/>
      <c r="FH94" s="288"/>
      <c r="FI94" s="288"/>
      <c r="FJ94" s="288"/>
      <c r="FK94" s="288"/>
      <c r="FL94" s="288"/>
      <c r="FM94" s="288"/>
      <c r="FN94" s="288"/>
      <c r="FO94" s="288"/>
      <c r="FP94" s="288"/>
      <c r="FQ94" s="288"/>
      <c r="FR94" s="288"/>
      <c r="FS94" s="288"/>
      <c r="FT94" s="288"/>
      <c r="FU94" s="288"/>
      <c r="FV94" s="288"/>
      <c r="FW94" s="289"/>
      <c r="FX94" s="1304"/>
      <c r="FY94" s="1304"/>
      <c r="FZ94" s="1306"/>
      <c r="GA94" s="1306"/>
      <c r="GB94" s="1306"/>
      <c r="GC94" s="1305"/>
      <c r="GD94" s="1305"/>
    </row>
    <row s="1834" customFormat="1" customHeight="1" ht="14.25">
      <c r="A95" s="493"/>
      <c r="B95" s="872"/>
      <c r="C95" s="493"/>
      <c r="D95" s="493"/>
      <c r="E95" s="840">
        <v>15</v>
      </c>
      <c r="F95" s="50" cm="1" t="str">
        <f t="array" ref="F95:F95">OFFSET(E95,-1,1)</f>
        <v>1</v>
      </c>
      <c r="G95" s="493"/>
      <c r="H95" s="493"/>
      <c r="I95" s="493"/>
      <c r="J95" s="493"/>
      <c r="K95" s="493"/>
      <c r="L95" s="493"/>
      <c r="M95" s="493"/>
      <c r="N95" s="493"/>
      <c r="O95" s="493"/>
      <c r="P95" s="493"/>
      <c r="Q95" s="928"/>
      <c r="R95" s="493"/>
      <c r="S95" s="484"/>
      <c r="T95" s="465" cm="1" t="str">
        <f t="array" ref="T95:T95">T94</f>
        <v>true</v>
      </c>
      <c r="U95" s="493"/>
      <c r="V95" s="493"/>
      <c r="W95" s="493"/>
      <c r="X95" s="1596"/>
      <c r="Y95" s="493"/>
      <c r="Z95" s="1545"/>
      <c r="AA95" s="493"/>
      <c r="AB95" s="1503" t="s">
        <v>2332</v>
      </c>
      <c r="AC95" s="1505"/>
      <c r="AD95" s="893" cm="1" t="str">
        <f t="array" ref="AD95:AD95">INDEX('Общие сведения'!$AJ$179:$AJ$250,MATCH($X92,'Общие сведения'!$Z$179:$Z$250,0))</f>
        <v>Доп. признак не требуется</v>
      </c>
      <c r="AE95" s="288"/>
      <c r="AF95" s="288"/>
      <c r="AG95" s="288"/>
      <c r="AH95" s="288"/>
      <c r="AI95" s="288"/>
      <c r="AJ95" s="288"/>
      <c r="AK95" s="288"/>
      <c r="AL95" s="288"/>
      <c r="AM95" s="288"/>
      <c r="AN95" s="288"/>
      <c r="AO95" s="288"/>
      <c r="AP95" s="288"/>
      <c r="AQ95" s="288"/>
      <c r="AR95" s="288"/>
      <c r="AS95" s="288"/>
      <c r="AT95" s="288"/>
      <c r="AU95" s="288"/>
      <c r="AV95" s="288"/>
      <c r="AW95" s="288"/>
      <c r="AX95" s="288"/>
      <c r="AY95" s="288"/>
      <c r="AZ95" s="288"/>
      <c r="BA95" s="288"/>
      <c r="BB95" s="288"/>
      <c r="BC95" s="288"/>
      <c r="BD95" s="288"/>
      <c r="BE95" s="288"/>
      <c r="BF95" s="288"/>
      <c r="BG95" s="288"/>
      <c r="BH95" s="288"/>
      <c r="BI95" s="288"/>
      <c r="BJ95" s="288"/>
      <c r="BK95" s="288"/>
      <c r="BL95" s="288"/>
      <c r="BM95" s="288"/>
      <c r="BN95" s="288"/>
      <c r="BO95" s="288"/>
      <c r="BP95" s="288"/>
      <c r="BQ95" s="288"/>
      <c r="BR95" s="288"/>
      <c r="BS95" s="288"/>
      <c r="BT95" s="288"/>
      <c r="BU95" s="288"/>
      <c r="BV95" s="288"/>
      <c r="BW95" s="288"/>
      <c r="BX95" s="288"/>
      <c r="BY95" s="288"/>
      <c r="BZ95" s="288"/>
      <c r="CA95" s="288"/>
      <c r="CB95" s="288"/>
      <c r="CC95" s="288"/>
      <c r="CD95" s="288"/>
      <c r="CE95" s="288"/>
      <c r="CF95" s="288"/>
      <c r="CG95" s="288"/>
      <c r="CH95" s="288"/>
      <c r="CI95" s="288"/>
      <c r="CJ95" s="288"/>
      <c r="CK95" s="288"/>
      <c r="CL95" s="288"/>
      <c r="CM95" s="288"/>
      <c r="CN95" s="288"/>
      <c r="CO95" s="288"/>
      <c r="CP95" s="288"/>
      <c r="CQ95" s="288"/>
      <c r="CR95" s="288"/>
      <c r="CS95" s="288"/>
      <c r="CT95" s="288"/>
      <c r="CU95" s="288"/>
      <c r="CV95" s="288"/>
      <c r="CW95" s="288"/>
      <c r="CX95" s="288"/>
      <c r="CY95" s="288"/>
      <c r="CZ95" s="288"/>
      <c r="DA95" s="288"/>
      <c r="DB95" s="288"/>
      <c r="DC95" s="288"/>
      <c r="DD95" s="288"/>
      <c r="DE95" s="288"/>
      <c r="DF95" s="288"/>
      <c r="DG95" s="288"/>
      <c r="DH95" s="288"/>
      <c r="DI95" s="288"/>
      <c r="DJ95" s="288"/>
      <c r="DK95" s="288"/>
      <c r="DL95" s="288"/>
      <c r="DM95" s="288"/>
      <c r="DN95" s="288"/>
      <c r="DO95" s="288"/>
      <c r="DP95" s="288"/>
      <c r="DQ95" s="288"/>
      <c r="DR95" s="288"/>
      <c r="DS95" s="288"/>
      <c r="DT95" s="288"/>
      <c r="DU95" s="288"/>
      <c r="DV95" s="288"/>
      <c r="DW95" s="288"/>
      <c r="DX95" s="288"/>
      <c r="DY95" s="288"/>
      <c r="DZ95" s="288"/>
      <c r="EA95" s="288"/>
      <c r="EB95" s="288"/>
      <c r="EC95" s="288"/>
      <c r="ED95" s="288"/>
      <c r="EE95" s="288"/>
      <c r="EF95" s="288"/>
      <c r="EG95" s="288"/>
      <c r="EH95" s="288"/>
      <c r="EI95" s="288"/>
      <c r="EJ95" s="288"/>
      <c r="EK95" s="288"/>
      <c r="EL95" s="288"/>
      <c r="EM95" s="288"/>
      <c r="EN95" s="288"/>
      <c r="EO95" s="288"/>
      <c r="EP95" s="288"/>
      <c r="EQ95" s="288"/>
      <c r="ER95" s="288"/>
      <c r="ES95" s="288"/>
      <c r="ET95" s="288"/>
      <c r="EU95" s="288"/>
      <c r="EV95" s="288"/>
      <c r="EW95" s="288"/>
      <c r="EX95" s="288"/>
      <c r="EY95" s="288"/>
      <c r="EZ95" s="288"/>
      <c r="FA95" s="288"/>
      <c r="FB95" s="288"/>
      <c r="FC95" s="288"/>
      <c r="FD95" s="288"/>
      <c r="FE95" s="288"/>
      <c r="FF95" s="288"/>
      <c r="FG95" s="288"/>
      <c r="FH95" s="288"/>
      <c r="FI95" s="288"/>
      <c r="FJ95" s="288"/>
      <c r="FK95" s="288"/>
      <c r="FL95" s="288"/>
      <c r="FM95" s="288"/>
      <c r="FN95" s="288"/>
      <c r="FO95" s="288"/>
      <c r="FP95" s="288"/>
      <c r="FQ95" s="288"/>
      <c r="FR95" s="288"/>
      <c r="FS95" s="288"/>
      <c r="FT95" s="288"/>
      <c r="FU95" s="288"/>
      <c r="FV95" s="288"/>
      <c r="FW95" s="289"/>
      <c r="FX95" s="1304"/>
      <c r="FY95" s="1304"/>
      <c r="FZ95" s="1306"/>
      <c r="GA95" s="1306"/>
      <c r="GB95" s="1306"/>
      <c r="GC95" s="1305"/>
      <c r="GD95" s="1305"/>
    </row>
    <row s="1834" customFormat="1" customHeight="1" ht="14.25">
      <c r="A96" s="493"/>
      <c r="B96" s="925">
        <f>AND(R92="одноставочный",NOT(S92))</f>
        <v>1</v>
      </c>
      <c r="C96" s="493"/>
      <c r="D96" s="493"/>
      <c r="E96" s="840">
        <v>15</v>
      </c>
      <c r="F96" s="50" cm="1" t="str">
        <f t="array" ref="F96:F96">OFFSET(E96,-1,1)</f>
        <v>1</v>
      </c>
      <c r="G96" s="493"/>
      <c r="H96" s="493"/>
      <c r="I96" s="493"/>
      <c r="J96" s="493"/>
      <c r="K96" s="493"/>
      <c r="L96" s="493"/>
      <c r="M96" s="493"/>
      <c r="N96" s="493"/>
      <c r="O96" s="493"/>
      <c r="P96" s="493"/>
      <c r="Q96" s="493"/>
      <c r="R96" s="493"/>
      <c r="S96" s="493"/>
      <c r="T96" s="465" cm="1" t="str">
        <f t="array" ref="T96:T96">T95</f>
        <v>true</v>
      </c>
      <c r="U96" s="493"/>
      <c r="V96" s="493"/>
      <c r="W96" s="493"/>
      <c r="X96" s="1596"/>
      <c r="Y96" s="493"/>
      <c r="Z96" s="1545"/>
      <c r="AA96" s="493"/>
      <c r="AB96" s="894" t="s">
        <v>2333</v>
      </c>
      <c r="AC96" s="895"/>
      <c r="AD96" s="896"/>
      <c r="AE96" s="896"/>
      <c r="AF96" s="896"/>
      <c r="AG96" s="896"/>
      <c r="AH96" s="896"/>
      <c r="AI96" s="896"/>
      <c r="AJ96" s="896"/>
      <c r="AK96" s="896"/>
      <c r="AL96" s="896"/>
      <c r="AM96" s="896"/>
      <c r="AN96" s="896"/>
      <c r="AO96" s="896"/>
      <c r="AP96" s="896"/>
      <c r="AQ96" s="896"/>
      <c r="AR96" s="896"/>
      <c r="AS96" s="896"/>
      <c r="AT96" s="896"/>
      <c r="AU96" s="896"/>
      <c r="AV96" s="896"/>
      <c r="AW96" s="896"/>
      <c r="AX96" s="896"/>
      <c r="AY96" s="896"/>
      <c r="AZ96" s="896"/>
      <c r="BA96" s="896"/>
      <c r="BB96" s="896"/>
      <c r="BC96" s="896"/>
      <c r="BD96" s="896"/>
      <c r="BE96" s="896"/>
      <c r="BF96" s="896"/>
      <c r="BG96" s="896"/>
      <c r="BH96" s="896"/>
      <c r="BI96" s="896"/>
      <c r="BJ96" s="907"/>
      <c r="BK96" s="896"/>
      <c r="BL96" s="896"/>
      <c r="BM96" s="907"/>
      <c r="BN96" s="896"/>
      <c r="BO96" s="896"/>
      <c r="BP96" s="907"/>
      <c r="BQ96" s="896"/>
      <c r="BR96" s="896"/>
      <c r="BS96" s="907"/>
      <c r="BT96" s="896"/>
      <c r="BU96" s="896"/>
      <c r="BV96" s="907"/>
      <c r="BW96" s="896"/>
      <c r="BX96" s="896"/>
      <c r="BY96" s="907"/>
      <c r="BZ96" s="896"/>
      <c r="CA96" s="896"/>
      <c r="CB96" s="907"/>
      <c r="CC96" s="896"/>
      <c r="CD96" s="896"/>
      <c r="CE96" s="907"/>
      <c r="CF96" s="896"/>
      <c r="CG96" s="896"/>
      <c r="CH96" s="907"/>
      <c r="CI96" s="896"/>
      <c r="CJ96" s="896"/>
      <c r="CK96" s="907"/>
      <c r="CL96" s="896"/>
      <c r="CM96" s="896"/>
      <c r="CN96" s="907"/>
      <c r="CO96" s="896"/>
      <c r="CP96" s="896"/>
      <c r="CQ96" s="907"/>
      <c r="CR96" s="896"/>
      <c r="CS96" s="896"/>
      <c r="CT96" s="907"/>
      <c r="CU96" s="896"/>
      <c r="CV96" s="896"/>
      <c r="CW96" s="907"/>
      <c r="CX96" s="896"/>
      <c r="CY96" s="896"/>
      <c r="CZ96" s="907"/>
      <c r="DA96" s="896"/>
      <c r="DB96" s="896"/>
      <c r="DC96" s="907"/>
      <c r="DD96" s="896"/>
      <c r="DE96" s="896"/>
      <c r="DF96" s="291"/>
      <c r="DG96" s="290"/>
      <c r="DH96" s="290"/>
      <c r="DI96" s="291"/>
      <c r="DJ96" s="290"/>
      <c r="DK96" s="290"/>
      <c r="DL96" s="291"/>
      <c r="DM96" s="290"/>
      <c r="DN96" s="290"/>
      <c r="DO96" s="291"/>
      <c r="DP96" s="290"/>
      <c r="DQ96" s="290"/>
      <c r="DR96" s="291"/>
      <c r="DS96" s="290"/>
      <c r="DT96" s="290"/>
      <c r="DU96" s="291"/>
      <c r="DV96" s="290"/>
      <c r="DW96" s="290"/>
      <c r="DX96" s="291"/>
      <c r="DY96" s="290"/>
      <c r="DZ96" s="290"/>
      <c r="EA96" s="291"/>
      <c r="EB96" s="290"/>
      <c r="EC96" s="290"/>
      <c r="ED96" s="291"/>
      <c r="EE96" s="290"/>
      <c r="EF96" s="290"/>
      <c r="EG96" s="291"/>
      <c r="EH96" s="290"/>
      <c r="EI96" s="290"/>
      <c r="EJ96" s="291"/>
      <c r="EK96" s="290"/>
      <c r="EL96" s="290"/>
      <c r="EM96" s="291"/>
      <c r="EN96" s="290"/>
      <c r="EO96" s="290"/>
      <c r="EP96" s="291"/>
      <c r="EQ96" s="290"/>
      <c r="ER96" s="290"/>
      <c r="ES96" s="291"/>
      <c r="ET96" s="290"/>
      <c r="EU96" s="290"/>
      <c r="EV96" s="291"/>
      <c r="EW96" s="290"/>
      <c r="EX96" s="290"/>
      <c r="EY96" s="291"/>
      <c r="EZ96" s="290"/>
      <c r="FA96" s="290"/>
      <c r="FB96" s="291"/>
      <c r="FC96" s="290"/>
      <c r="FD96" s="290"/>
      <c r="FE96" s="291"/>
      <c r="FF96" s="290"/>
      <c r="FG96" s="290"/>
      <c r="FH96" s="291"/>
      <c r="FI96" s="290"/>
      <c r="FJ96" s="290"/>
      <c r="FK96" s="291"/>
      <c r="FL96" s="290"/>
      <c r="FM96" s="290"/>
      <c r="FN96" s="291"/>
      <c r="FO96" s="290"/>
      <c r="FP96" s="290"/>
      <c r="FQ96" s="291"/>
      <c r="FR96" s="290"/>
      <c r="FS96" s="290"/>
      <c r="FT96" s="291"/>
      <c r="FU96" s="290"/>
      <c r="FV96" s="290"/>
      <c r="FW96" s="291"/>
      <c r="FX96" s="1304"/>
      <c r="FY96" s="1304"/>
      <c r="FZ96" s="1306"/>
      <c r="GA96" s="1306"/>
      <c r="GB96" s="1306"/>
      <c r="GC96" s="1305"/>
      <c r="GD96" s="1305"/>
    </row>
    <row s="5279" customFormat="1" customHeight="1" ht="23.25">
      <c r="A97" s="897"/>
      <c r="B97" s="925" cm="1" t="str">
        <f t="array" ref="B97:B97">B96</f>
        <v>true</v>
      </c>
      <c r="C97" s="897"/>
      <c r="D97" s="897"/>
      <c r="E97" s="898">
        <v>24.5</v>
      </c>
      <c r="F97" s="50" cm="1" t="str">
        <f t="array" ref="F97:F97">OFFSET(E97,-1,1)</f>
        <v>1</v>
      </c>
      <c r="G97" s="493" t="s">
        <v>2334</v>
      </c>
      <c r="H97" s="493" t="s">
        <v>1175</v>
      </c>
      <c r="I97" s="493" t="s">
        <v>2335</v>
      </c>
      <c r="J97" s="897"/>
      <c r="K97" s="897"/>
      <c r="L97" s="493"/>
      <c r="M97" s="897"/>
      <c r="N97" s="897"/>
      <c r="O97" s="897"/>
      <c r="P97" s="897"/>
      <c r="Q97" s="897"/>
      <c r="R97" s="897"/>
      <c r="S97" s="493"/>
      <c r="T97" s="465" cm="1" t="str">
        <f t="array" ref="T97:T97">T96</f>
        <v>true</v>
      </c>
      <c r="U97" s="897"/>
      <c r="V97" s="897"/>
      <c r="W97" s="897"/>
      <c r="X97" s="1596"/>
      <c r="Y97" s="897"/>
      <c r="Z97" s="1545"/>
      <c r="AA97" s="897"/>
      <c r="AB97" s="293" t="s">
        <v>2336</v>
      </c>
      <c r="AC97" s="294" t="s">
        <v>2337</v>
      </c>
      <c r="AD97" s="899">
        <f>IF(AND(method_reg="Метод индексации",god&lt;&gt;first_year),_xlfn.SUMIFS(INDEX('Калькуляция (МИ корр)'!$AJ$25:$BC$747,,MATCH(AD$8,'Калькуляция (МИ корр)'!$AJ$8:$BC$8,0)),'Калькуляция (МИ корр)'!$F$25:$F$747,$F97,'Калькуляция (МИ корр)'!$G$25:$G$747,$G97),IF(method_reg="Метод экономически обоснованных расходов",_xlfn.SUMIFS('Калькуляция (МЭОР)'!$AJ$25:$AJ$452,'Калькуляция (МЭОР)'!$F$25:$F$452,$F97,'Калькуляция (МЭОР)'!$G$25:$G$452,$G97),IF(method_reg="Метод сравнения аналогов",_xlfn.SUMIFS('Калькуляция (МСА)'!$AE$25:$AE$122,'Калькуляция (МСА)'!$F$25:$F$122,$F97,'Калькуляция (МСА)'!$G$25:$G$122,$G97),_xlfn.SUMIFS(INDEX('Калькуляция (МИ)'!$AJ$25:$BC$747,,MATCH(AD$8,'Калькуляция (МИ)'!$AJ$8:$BC$8,0)),'Калькуляция (МИ)'!$F$25:$F$747,$F97,'Калькуляция (МИ)'!$G$25:$G$747,$G97))))</f>
        <v>89.21</v>
      </c>
      <c r="AE97" s="899">
        <f>IF(AND(method_reg="Метод индексации",god&lt;&gt;first_year),_xlfn.SUMIFS(INDEX('Калькуляция (МИ корр)'!$AJ$25:$BC$747,,MATCH(AE$8,'Калькуляция (МИ корр)'!$AJ$8:$BC$8,0)),'Калькуляция (МИ корр)'!$F$25:$F$747,$F97,'Калькуляция (МИ корр)'!$G$25:$G$747,$G97),IF(method_reg="Метод экономически обоснованных расходов",_xlfn.SUMIFS('Калькуляция (МЭОР)'!$AK$25:$AK$452,'Калькуляция (МЭОР)'!$F$25:$F$452,$F97,'Калькуляция (МЭОР)'!$G$25:$G$452,$G97),IF(method_reg="Метод сравнения аналогов",_xlfn.SUMIFS('Калькуляция (МСА)'!$AF$25:$AF$122,'Калькуляция (МСА)'!$F$25:$F$122,$F97,'Калькуляция (МСА)'!$G$25:$G$122,$G97),_xlfn.SUMIFS(INDEX('Калькуляция (МИ)'!$AJ$25:$BC$747,,MATCH(AE$8,'Калькуляция (МИ)'!$AJ$8:$BC$8,0)),'Калькуляция (МИ)'!$F$25:$F$747,$F97,'Калькуляция (МИ)'!$G$25:$G$747,$G97))))</f>
        <v>89.21</v>
      </c>
      <c r="AF97" s="296">
        <f>IF(AD97=0,0,(AE97-AD97)/AD97*100)</f>
        <v>0</v>
      </c>
      <c r="AG97" s="899">
        <f>IF(AND(method_reg="Метод индексации",god&lt;&gt;first_year),_xlfn.SUMIFS(INDEX('Калькуляция (МИ корр)'!$AJ$25:$BC$747,,MATCH(AG$8,'Калькуляция (МИ корр)'!$AJ$8:$BC$8,0)),'Калькуляция (МИ корр)'!$F$25:$F$747,$F97,'Калькуляция (МИ корр)'!$G$25:$G$747,$G97),IF(method_reg="Метод экономически обоснованных расходов",_xlfn.SUMIFS('Калькуляция (МЭОР)'!$AJ$25:$AJ$452,'Калькуляция (МЭОР)'!$F$25:$F$452,$F97,'Калькуляция (МЭОР)'!$G$25:$G$452,$G97),IF(method_reg="Метод сравнения аналогов",_xlfn.SUMIFS('Калькуляция (МСА)'!$AE$25:$AE$122,'Калькуляция (МСА)'!$F$25:$F$122,$F97,'Калькуляция (МСА)'!$G$25:$G$122,$G97),_xlfn.SUMIFS(INDEX('Калькуляция (МИ)'!$AJ$25:$BC$747,,MATCH(AG$8,'Калькуляция (МИ)'!$AJ$8:$BC$8,0)),'Калькуляция (МИ)'!$F$25:$F$747,$F97,'Калькуляция (МИ)'!$G$25:$G$747,$G97))))</f>
        <v>98.13</v>
      </c>
      <c r="AH97" s="899">
        <f>IF(AND(method_reg="Метод индексации",god&lt;&gt;first_year),_xlfn.SUMIFS(INDEX('Калькуляция (МИ корр)'!$AJ$25:$BC$747,,MATCH(AH$8,'Калькуляция (МИ корр)'!$AJ$8:$BC$8,0)),'Калькуляция (МИ корр)'!$F$25:$F$747,$F97,'Калькуляция (МИ корр)'!$G$25:$G$747,$G97),IF(method_reg="Метод экономически обоснованных расходов",_xlfn.SUMIFS('Калькуляция (МЭОР)'!$AK$25:$AK$452,'Калькуляция (МЭОР)'!$F$25:$F$452,$F97,'Калькуляция (МЭОР)'!$G$25:$G$452,$G97),IF(method_reg="Метод сравнения аналогов",_xlfn.SUMIFS('Калькуляция (МСА)'!$AF$25:$AF$122,'Калькуляция (МСА)'!$F$25:$F$122,$F97,'Калькуляция (МСА)'!$G$25:$G$122,$G97),_xlfn.SUMIFS(INDEX('Калькуляция (МИ)'!$AJ$25:$BC$747,,MATCH(AH$8,'Калькуляция (МИ)'!$AJ$8:$BC$8,0)),'Калькуляция (МИ)'!$F$25:$F$747,$F97,'Калькуляция (МИ)'!$G$25:$G$747,$G97))))</f>
        <v>98.1299999506392</v>
      </c>
      <c r="AI97" s="296">
        <f>IF(AG97=0,0,(AH97-AG97)/AG97*100)</f>
        <v>-5.03014295184973e-8</v>
      </c>
      <c r="AJ97" s="899">
        <f>IF(AND(method_reg="Метод индексации",god&lt;&gt;first_year),_xlfn.SUMIFS(INDEX('Калькуляция (МИ корр)'!$AJ$25:$BC$747,,MATCH(AJ$8,'Калькуляция (МИ корр)'!$AJ$8:$BC$8,0)),'Калькуляция (МИ корр)'!$F$25:$F$747,$F97,'Калькуляция (МИ корр)'!$G$25:$G$747,$G97),IF(method_reg="Метод экономически обоснованных расходов",_xlfn.SUMIFS('Калькуляция (МЭОР)'!$AJ$25:$AJ$452,'Калькуляция (МЭОР)'!$F$25:$F$452,$F97,'Калькуляция (МЭОР)'!$G$25:$G$452,$G97),IF(method_reg="Метод сравнения аналогов",_xlfn.SUMIFS('Калькуляция (МСА)'!$AE$25:$AE$122,'Калькуляция (МСА)'!$F$25:$F$122,$F97,'Калькуляция (МСА)'!$G$25:$G$122,$G97),_xlfn.SUMIFS(INDEX('Калькуляция (МИ)'!$AJ$25:$BC$747,,MATCH(AJ$8,'Калькуляция (МИ)'!$AJ$8:$BC$8,0)),'Калькуляция (МИ)'!$F$25:$F$747,$F97,'Калькуляция (МИ)'!$G$25:$G$747,$G97))))</f>
        <v>107.88</v>
      </c>
      <c r="AK97" s="899">
        <f>IF(AND(method_reg="Метод индексации",god&lt;&gt;first_year),_xlfn.SUMIFS(INDEX('Калькуляция (МИ корр)'!$AJ$25:$BC$747,,MATCH(AK$8,'Калькуляция (МИ корр)'!$AJ$8:$BC$8,0)),'Калькуляция (МИ корр)'!$F$25:$F$747,$F97,'Калькуляция (МИ корр)'!$G$25:$G$747,$G97),IF(method_reg="Метод экономически обоснованных расходов",_xlfn.SUMIFS('Калькуляция (МЭОР)'!$AK$25:$AK$452,'Калькуляция (МЭОР)'!$F$25:$F$452,$F97,'Калькуляция (МЭОР)'!$G$25:$G$452,$G97),IF(method_reg="Метод сравнения аналогов",_xlfn.SUMIFS('Калькуляция (МСА)'!$AF$25:$AF$122,'Калькуляция (МСА)'!$F$25:$F$122,$F97,'Калькуляция (МСА)'!$G$25:$G$122,$G97),_xlfn.SUMIFS(INDEX('Калькуляция (МИ)'!$AJ$25:$BC$747,,MATCH(AK$8,'Калькуляция (МИ)'!$AJ$8:$BC$8,0)),'Калькуляция (МИ)'!$F$25:$F$747,$F97,'Калькуляция (МИ)'!$G$25:$G$747,$G97))))</f>
        <v>107.880000028801</v>
      </c>
      <c r="AL97" s="296">
        <f>IF(AJ97=0,0,(AK97-AJ97)/AJ97*100)</f>
        <v>2.66972667348975e-8</v>
      </c>
      <c r="AM97" s="899">
        <f>IF(AND(method_reg="Метод индексации",god&lt;&gt;first_year),_xlfn.SUMIFS(INDEX('Калькуляция (МИ корр)'!$AJ$25:$BC$747,,MATCH(AM$8,'Калькуляция (МИ корр)'!$AJ$8:$BC$8,0)),'Калькуляция (МИ корр)'!$F$25:$F$747,$F97,'Калькуляция (МИ корр)'!$G$25:$G$747,$G97),IF(method_reg="Метод экономически обоснованных расходов",_xlfn.SUMIFS('Калькуляция (МЭОР)'!$AJ$25:$AJ$452,'Калькуляция (МЭОР)'!$F$25:$F$452,$F97,'Калькуляция (МЭОР)'!$G$25:$G$452,$G97),IF(method_reg="Метод сравнения аналогов",_xlfn.SUMIFS('Калькуляция (МСА)'!$AE$25:$AE$122,'Калькуляция (МСА)'!$F$25:$F$122,$F97,'Калькуляция (МСА)'!$G$25:$G$122,$G97),_xlfn.SUMIFS(INDEX('Калькуляция (МИ)'!$AJ$25:$BC$747,,MATCH(AM$8,'Калькуляция (МИ)'!$AJ$8:$BC$8,0)),'Калькуляция (МИ)'!$F$25:$F$747,$F97,'Калькуляция (МИ)'!$G$25:$G$747,$G97))))</f>
        <v>112.5</v>
      </c>
      <c r="AN97" s="899">
        <f>IF(AND(method_reg="Метод индексации",god&lt;&gt;first_year),_xlfn.SUMIFS(INDEX('Калькуляция (МИ корр)'!$AJ$25:$BC$747,,MATCH(AN$8,'Калькуляция (МИ корр)'!$AJ$8:$BC$8,0)),'Калькуляция (МИ корр)'!$F$25:$F$747,$F97,'Калькуляция (МИ корр)'!$G$25:$G$747,$G97),IF(method_reg="Метод экономически обоснованных расходов",_xlfn.SUMIFS('Калькуляция (МЭОР)'!$AK$25:$AK$452,'Калькуляция (МЭОР)'!$F$25:$F$452,$F97,'Калькуляция (МЭОР)'!$G$25:$G$452,$G97),IF(method_reg="Метод сравнения аналогов",_xlfn.SUMIFS('Калькуляция (МСА)'!$AF$25:$AF$122,'Калькуляция (МСА)'!$F$25:$F$122,$F97,'Калькуляция (МСА)'!$G$25:$G$122,$G97),_xlfn.SUMIFS(INDEX('Калькуляция (МИ)'!$AJ$25:$BC$747,,MATCH(AN$8,'Калькуляция (МИ)'!$AJ$8:$BC$8,0)),'Калькуляция (МИ)'!$F$25:$F$747,$F97,'Калькуляция (МИ)'!$G$25:$G$747,$G97))))</f>
        <v>112.499999897028</v>
      </c>
      <c r="AO97" s="296">
        <f>IF(AM97=0,0,(AN97-AM97)/AM97*100)</f>
        <v>-9.15306625554674e-8</v>
      </c>
      <c r="AP97" s="899">
        <f>IF(AND(method_reg="Метод индексации",god&lt;&gt;first_year),_xlfn.SUMIFS(INDEX('Калькуляция (МИ корр)'!$AJ$25:$BC$747,,MATCH(AP$8,'Калькуляция (МИ корр)'!$AJ$8:$BC$8,0)),'Калькуляция (МИ корр)'!$F$25:$F$747,$F97,'Калькуляция (МИ корр)'!$G$25:$G$747,$G97),IF(method_reg="Метод экономически обоснованных расходов",_xlfn.SUMIFS('Калькуляция (МЭОР)'!$AJ$25:$AJ$452,'Калькуляция (МЭОР)'!$F$25:$F$452,$F97,'Калькуляция (МЭОР)'!$G$25:$G$452,$G97),IF(method_reg="Метод сравнения аналогов",_xlfn.SUMIFS('Калькуляция (МСА)'!$AE$25:$AE$122,'Калькуляция (МСА)'!$F$25:$F$122,$F97,'Калькуляция (МСА)'!$G$25:$G$122,$G97),_xlfn.SUMIFS(INDEX('Калькуляция (МИ)'!$AJ$25:$BC$747,,MATCH(AP$8,'Калькуляция (МИ)'!$AJ$8:$BC$8,0)),'Калькуляция (МИ)'!$F$25:$F$747,$F97,'Калькуляция (МИ)'!$G$25:$G$747,$G97))))</f>
        <v>116.54</v>
      </c>
      <c r="AQ97" s="899">
        <f>IF(AND(method_reg="Метод индексации",god&lt;&gt;first_year),_xlfn.SUMIFS(INDEX('Калькуляция (МИ корр)'!$AJ$25:$BC$747,,MATCH(AQ$8,'Калькуляция (МИ корр)'!$AJ$8:$BC$8,0)),'Калькуляция (МИ корр)'!$F$25:$F$747,$F97,'Калькуляция (МИ корр)'!$G$25:$G$747,$G97),IF(method_reg="Метод экономически обоснованных расходов",_xlfn.SUMIFS('Калькуляция (МЭОР)'!$AK$25:$AK$452,'Калькуляция (МЭОР)'!$F$25:$F$452,$F97,'Калькуляция (МЭОР)'!$G$25:$G$452,$G97),IF(method_reg="Метод сравнения аналогов",_xlfn.SUMIFS('Калькуляция (МСА)'!$AF$25:$AF$122,'Калькуляция (МСА)'!$F$25:$F$122,$F97,'Калькуляция (МСА)'!$G$25:$G$122,$G97),_xlfn.SUMIFS(INDEX('Калькуляция (МИ)'!$AJ$25:$BC$747,,MATCH(AQ$8,'Калькуляция (МИ)'!$AJ$8:$BC$8,0)),'Калькуляция (МИ)'!$F$25:$F$747,$F97,'Калькуляция (МИ)'!$G$25:$G$747,$G97))))</f>
        <v>116.540000169358</v>
      </c>
      <c r="AR97" s="296">
        <f>IF(AP97=0,0,(AQ97-AP97)/AP97*100)</f>
        <v>1.45321768462427e-7</v>
      </c>
      <c r="AS97" s="5239">
        <f>IF(AND(method_reg="Метод индексации",god&lt;&gt;first_year),_xlfn.SUMIFS(INDEX('Калькуляция (МИ корр)'!$AJ$25:$BC$747,,MATCH(AS$8,'Калькуляция (МИ корр)'!$AJ$8:$BC$8,0)),'Калькуляция (МИ корр)'!$F$25:$F$747,$F97,'Калькуляция (МИ корр)'!$G$25:$G$747,$G97),IF(method_reg="Метод экономически обоснованных расходов",_xlfn.SUMIFS('Калькуляция (МЭОР)'!$AJ$25:$AJ$452,'Калькуляция (МЭОР)'!$F$25:$F$452,$F97,'Калькуляция (МЭОР)'!$G$25:$G$452,$G97),IF(method_reg="Метод сравнения аналогов",_xlfn.SUMIFS('Калькуляция (МСА)'!$AE$25:$AE$122,'Калькуляция (МСА)'!$F$25:$F$122,$F97,'Калькуляция (МСА)'!$G$25:$G$122,$G97),_xlfn.SUMIFS(INDEX('Калькуляция (МИ)'!$AJ$25:$BC$747,,MATCH(AS$8,'Калькуляция (МИ)'!$AJ$8:$BC$8,0)),'Калькуляция (МИ)'!$F$25:$F$747,$F97,'Калькуляция (МИ)'!$G$25:$G$747,$G97))))</f>
        <v>0</v>
      </c>
      <c r="AT97" s="5239">
        <f>IF(AND(method_reg="Метод индексации",god&lt;&gt;first_year),_xlfn.SUMIFS(INDEX('Калькуляция (МИ корр)'!$AJ$25:$BC$747,,MATCH(AT$8,'Калькуляция (МИ корр)'!$AJ$8:$BC$8,0)),'Калькуляция (МИ корр)'!$F$25:$F$747,$F97,'Калькуляция (МИ корр)'!$G$25:$G$747,$G97),IF(method_reg="Метод экономически обоснованных расходов",_xlfn.SUMIFS('Калькуляция (МЭОР)'!$AK$25:$AK$452,'Калькуляция (МЭОР)'!$F$25:$F$452,$F97,'Калькуляция (МЭОР)'!$G$25:$G$452,$G97),IF(method_reg="Метод сравнения аналогов",_xlfn.SUMIFS('Калькуляция (МСА)'!$AF$25:$AF$122,'Калькуляция (МСА)'!$F$25:$F$122,$F97,'Калькуляция (МСА)'!$G$25:$G$122,$G97),_xlfn.SUMIFS(INDEX('Калькуляция (МИ)'!$AJ$25:$BC$747,,MATCH(AT$8,'Калькуляция (МИ)'!$AJ$8:$BC$8,0)),'Калькуляция (МИ)'!$F$25:$F$747,$F97,'Калькуляция (МИ)'!$G$25:$G$747,$G97))))</f>
        <v>124.942795362053</v>
      </c>
      <c r="AU97" s="296">
        <f>IF(AS97=0,0,(AT97-AS97)/AS97*100)</f>
        <v>0</v>
      </c>
      <c r="AV97" s="5239">
        <f>IF(AND(method_reg="Метод индексации",god&lt;&gt;first_year),_xlfn.SUMIFS(INDEX('Калькуляция (МИ корр)'!$AJ$25:$BC$747,,MATCH(AV$8,'Калькуляция (МИ корр)'!$AJ$8:$BC$8,0)),'Калькуляция (МИ корр)'!$F$25:$F$747,$F97,'Калькуляция (МИ корр)'!$G$25:$G$747,$G97),IF(method_reg="Метод экономически обоснованных расходов",_xlfn.SUMIFS('Калькуляция (МЭОР)'!$AJ$25:$AJ$452,'Калькуляция (МЭОР)'!$F$25:$F$452,$F97,'Калькуляция (МЭОР)'!$G$25:$G$452,$G97),IF(method_reg="Метод сравнения аналогов",_xlfn.SUMIFS('Калькуляция (МСА)'!$AE$25:$AE$122,'Калькуляция (МСА)'!$F$25:$F$122,$F97,'Калькуляция (МСА)'!$G$25:$G$122,$G97),_xlfn.SUMIFS(INDEX('Калькуляция (МИ)'!$AJ$25:$BC$747,,MATCH(AV$8,'Калькуляция (МИ)'!$AJ$8:$BC$8,0)),'Калькуляция (МИ)'!$F$25:$F$747,$F97,'Калькуляция (МИ)'!$G$25:$G$747,$G97))))</f>
        <v>0</v>
      </c>
      <c r="AW97" s="5239">
        <f>IF(AND(method_reg="Метод индексации",god&lt;&gt;first_year),_xlfn.SUMIFS(INDEX('Калькуляция (МИ корр)'!$AJ$25:$BC$747,,MATCH(AW$8,'Калькуляция (МИ корр)'!$AJ$8:$BC$8,0)),'Калькуляция (МИ корр)'!$F$25:$F$747,$F97,'Калькуляция (МИ корр)'!$G$25:$G$747,$G97),IF(method_reg="Метод экономически обоснованных расходов",_xlfn.SUMIFS('Калькуляция (МЭОР)'!$AK$25:$AK$452,'Калькуляция (МЭОР)'!$F$25:$F$452,$F97,'Калькуляция (МЭОР)'!$G$25:$G$452,$G97),IF(method_reg="Метод сравнения аналогов",_xlfn.SUMIFS('Калькуляция (МСА)'!$AF$25:$AF$122,'Калькуляция (МСА)'!$F$25:$F$122,$F97,'Калькуляция (МСА)'!$G$25:$G$122,$G97),_xlfn.SUMIFS(INDEX('Калькуляция (МИ)'!$AJ$25:$BC$747,,MATCH(AW$8,'Калькуляция (МИ)'!$AJ$8:$BC$8,0)),'Калькуляция (МИ)'!$F$25:$F$747,$F97,'Калькуляция (МИ)'!$G$25:$G$747,$G97))))</f>
        <v>0</v>
      </c>
      <c r="AX97" s="296">
        <f>IF(AV97=0,0,(AW97-AV97)/AV97*100)</f>
        <v>0</v>
      </c>
      <c r="AY97" s="5239">
        <f>IF(AND(method_reg="Метод индексации",god&lt;&gt;first_year),_xlfn.SUMIFS(INDEX('Калькуляция (МИ корр)'!$AJ$25:$BC$747,,MATCH(AY$8,'Калькуляция (МИ корр)'!$AJ$8:$BC$8,0)),'Калькуляция (МИ корр)'!$F$25:$F$747,$F97,'Калькуляция (МИ корр)'!$G$25:$G$747,$G97),IF(method_reg="Метод экономически обоснованных расходов",_xlfn.SUMIFS('Калькуляция (МЭОР)'!$AJ$25:$AJ$452,'Калькуляция (МЭОР)'!$F$25:$F$452,$F97,'Калькуляция (МЭОР)'!$G$25:$G$452,$G97),IF(method_reg="Метод сравнения аналогов",_xlfn.SUMIFS('Калькуляция (МСА)'!$AE$25:$AE$122,'Калькуляция (МСА)'!$F$25:$F$122,$F97,'Калькуляция (МСА)'!$G$25:$G$122,$G97),_xlfn.SUMIFS(INDEX('Калькуляция (МИ)'!$AJ$25:$BC$747,,MATCH(AY$8,'Калькуляция (МИ)'!$AJ$8:$BC$8,0)),'Калькуляция (МИ)'!$F$25:$F$747,$F97,'Калькуляция (МИ)'!$G$25:$G$747,$G97))))</f>
        <v>0</v>
      </c>
      <c r="AZ97" s="5239">
        <f>IF(AND(method_reg="Метод индексации",god&lt;&gt;first_year),_xlfn.SUMIFS(INDEX('Калькуляция (МИ корр)'!$AJ$25:$BC$747,,MATCH(AZ$8,'Калькуляция (МИ корр)'!$AJ$8:$BC$8,0)),'Калькуляция (МИ корр)'!$F$25:$F$747,$F97,'Калькуляция (МИ корр)'!$G$25:$G$747,$G97),IF(method_reg="Метод экономически обоснованных расходов",_xlfn.SUMIFS('Калькуляция (МЭОР)'!$AK$25:$AK$452,'Калькуляция (МЭОР)'!$F$25:$F$452,$F97,'Калькуляция (МЭОР)'!$G$25:$G$452,$G97),IF(method_reg="Метод сравнения аналогов",_xlfn.SUMIFS('Калькуляция (МСА)'!$AF$25:$AF$122,'Калькуляция (МСА)'!$F$25:$F$122,$F97,'Калькуляция (МСА)'!$G$25:$G$122,$G97),_xlfn.SUMIFS(INDEX('Калькуляция (МИ)'!$AJ$25:$BC$747,,MATCH(AZ$8,'Калькуляция (МИ)'!$AJ$8:$BC$8,0)),'Калькуляция (МИ)'!$F$25:$F$747,$F97,'Калькуляция (МИ)'!$G$25:$G$747,$G97))))</f>
        <v>0</v>
      </c>
      <c r="BA97" s="296">
        <f>IF(AY97=0,0,(AZ97-AY97)/AY97*100)</f>
        <v>0</v>
      </c>
      <c r="BB97" s="5239">
        <f>IF(AND(method_reg="Метод индексации",god&lt;&gt;first_year),_xlfn.SUMIFS(INDEX('Калькуляция (МИ корр)'!$AJ$25:$BC$747,,MATCH(BB$8,'Калькуляция (МИ корр)'!$AJ$8:$BC$8,0)),'Калькуляция (МИ корр)'!$F$25:$F$747,$F97,'Калькуляция (МИ корр)'!$G$25:$G$747,$G97),IF(method_reg="Метод экономически обоснованных расходов",_xlfn.SUMIFS('Калькуляция (МЭОР)'!$AJ$25:$AJ$452,'Калькуляция (МЭОР)'!$F$25:$F$452,$F97,'Калькуляция (МЭОР)'!$G$25:$G$452,$G97),IF(method_reg="Метод сравнения аналогов",_xlfn.SUMIFS('Калькуляция (МСА)'!$AE$25:$AE$122,'Калькуляция (МСА)'!$F$25:$F$122,$F97,'Калькуляция (МСА)'!$G$25:$G$122,$G97),_xlfn.SUMIFS(INDEX('Калькуляция (МИ)'!$AJ$25:$BC$747,,MATCH(BB$8,'Калькуляция (МИ)'!$AJ$8:$BC$8,0)),'Калькуляция (МИ)'!$F$25:$F$747,$F97,'Калькуляция (МИ)'!$G$25:$G$747,$G97))))</f>
        <v>0</v>
      </c>
      <c r="BC97" s="5239">
        <f>IF(AND(method_reg="Метод индексации",god&lt;&gt;first_year),_xlfn.SUMIFS(INDEX('Калькуляция (МИ корр)'!$AJ$25:$BC$747,,MATCH(BC$8,'Калькуляция (МИ корр)'!$AJ$8:$BC$8,0)),'Калькуляция (МИ корр)'!$F$25:$F$747,$F97,'Калькуляция (МИ корр)'!$G$25:$G$747,$G97),IF(method_reg="Метод экономически обоснованных расходов",_xlfn.SUMIFS('Калькуляция (МЭОР)'!$AK$25:$AK$452,'Калькуляция (МЭОР)'!$F$25:$F$452,$F97,'Калькуляция (МЭОР)'!$G$25:$G$452,$G97),IF(method_reg="Метод сравнения аналогов",_xlfn.SUMIFS('Калькуляция (МСА)'!$AF$25:$AF$122,'Калькуляция (МСА)'!$F$25:$F$122,$F97,'Калькуляция (МСА)'!$G$25:$G$122,$G97),_xlfn.SUMIFS(INDEX('Калькуляция (МИ)'!$AJ$25:$BC$747,,MATCH(BC$8,'Калькуляция (МИ)'!$AJ$8:$BC$8,0)),'Калькуляция (МИ)'!$F$25:$F$747,$F97,'Калькуляция (МИ)'!$G$25:$G$747,$G97))))</f>
        <v>0</v>
      </c>
      <c r="BD97" s="296">
        <f>IF(BB97=0,0,(BC97-BB97)/BB97*100)</f>
        <v>0</v>
      </c>
      <c r="BE97" s="5239">
        <f>IF(AND(method_reg="Метод индексации",god&lt;&gt;first_year),_xlfn.SUMIFS(INDEX('Калькуляция (МИ корр)'!$AJ$25:$BC$747,,MATCH(BE$8,'Калькуляция (МИ корр)'!$AJ$8:$BC$8,0)),'Калькуляция (МИ корр)'!$F$25:$F$747,$F97,'Калькуляция (МИ корр)'!$G$25:$G$747,$G97),IF(method_reg="Метод экономически обоснованных расходов",_xlfn.SUMIFS('Калькуляция (МЭОР)'!$AJ$25:$AJ$452,'Калькуляция (МЭОР)'!$F$25:$F$452,$F97,'Калькуляция (МЭОР)'!$G$25:$G$452,$G97),IF(method_reg="Метод сравнения аналогов",_xlfn.SUMIFS('Калькуляция (МСА)'!$AE$25:$AE$122,'Калькуляция (МСА)'!$F$25:$F$122,$F97,'Калькуляция (МСА)'!$G$25:$G$122,$G97),_xlfn.SUMIFS(INDEX('Калькуляция (МИ)'!$AJ$25:$BC$747,,MATCH(BE$8,'Калькуляция (МИ)'!$AJ$8:$BC$8,0)),'Калькуляция (МИ)'!$F$25:$F$747,$F97,'Калькуляция (МИ)'!$G$25:$G$747,$G97))))</f>
        <v>0</v>
      </c>
      <c r="BF97" s="5239">
        <f>IF(AND(method_reg="Метод индексации",god&lt;&gt;first_year),_xlfn.SUMIFS(INDEX('Калькуляция (МИ корр)'!$AJ$25:$BC$747,,MATCH(BF$8,'Калькуляция (МИ корр)'!$AJ$8:$BC$8,0)),'Калькуляция (МИ корр)'!$F$25:$F$747,$F97,'Калькуляция (МИ корр)'!$G$25:$G$747,$G97),IF(method_reg="Метод экономически обоснованных расходов",_xlfn.SUMIFS('Калькуляция (МЭОР)'!$AK$25:$AK$452,'Калькуляция (МЭОР)'!$F$25:$F$452,$F97,'Калькуляция (МЭОР)'!$G$25:$G$452,$G97),IF(method_reg="Метод сравнения аналогов",_xlfn.SUMIFS('Калькуляция (МСА)'!$AF$25:$AF$122,'Калькуляция (МСА)'!$F$25:$F$122,$F97,'Калькуляция (МСА)'!$G$25:$G$122,$G97),_xlfn.SUMIFS(INDEX('Калькуляция (МИ)'!$AJ$25:$BC$747,,MATCH(BF$8,'Калькуляция (МИ)'!$AJ$8:$BC$8,0)),'Калькуляция (МИ)'!$F$25:$F$747,$F97,'Калькуляция (МИ)'!$G$25:$G$747,$G97))))</f>
        <v>0</v>
      </c>
      <c r="BG97" s="296">
        <f>IF(BE97=0,0,(BF97-BE97)/BE97*100)</f>
        <v>0</v>
      </c>
      <c r="BH97" s="5239"/>
      <c r="BI97" s="5239"/>
      <c r="BJ97" s="296">
        <f>IF(BH97=0,0,(BI97-BH97)/BH97*100)</f>
        <v>0</v>
      </c>
      <c r="BK97" s="5239"/>
      <c r="BL97" s="5239"/>
      <c r="BM97" s="296">
        <f>IF(BK97=0,0,(BL97-BK97)/BK97*100)</f>
        <v>0</v>
      </c>
      <c r="BN97" s="5239"/>
      <c r="BO97" s="5239"/>
      <c r="BP97" s="296">
        <f>IF(BN97=0,0,(BO97-BN97)/BN97*100)</f>
        <v>0</v>
      </c>
      <c r="BQ97" s="5239"/>
      <c r="BR97" s="5239"/>
      <c r="BS97" s="296">
        <f>IF(BQ97=0,0,(BR97-BQ97)/BQ97*100)</f>
        <v>0</v>
      </c>
      <c r="BT97" s="5239"/>
      <c r="BU97" s="5239"/>
      <c r="BV97" s="296">
        <f>IF(BT97=0,0,(BU97-BT97)/BT97*100)</f>
        <v>0</v>
      </c>
      <c r="BW97" s="5239"/>
      <c r="BX97" s="5239"/>
      <c r="BY97" s="296">
        <f>IF(BW97=0,0,(BX97-BW97)/BW97*100)</f>
        <v>0</v>
      </c>
      <c r="BZ97" s="5239"/>
      <c r="CA97" s="5239"/>
      <c r="CB97" s="296">
        <f>IF(BZ97=0,0,(CA97-BZ97)/BZ97*100)</f>
        <v>0</v>
      </c>
      <c r="CC97" s="5239"/>
      <c r="CD97" s="5239"/>
      <c r="CE97" s="296">
        <f>IF(CC97=0,0,(CD97-CC97)/CC97*100)</f>
        <v>0</v>
      </c>
      <c r="CF97" s="5239"/>
      <c r="CG97" s="5239"/>
      <c r="CH97" s="296">
        <f>IF(CF97=0,0,(CG97-CF97)/CF97*100)</f>
        <v>0</v>
      </c>
      <c r="CI97" s="5239"/>
      <c r="CJ97" s="5239"/>
      <c r="CK97" s="296">
        <f>IF(CI97=0,0,(CJ97-CI97)/CI97*100)</f>
        <v>0</v>
      </c>
      <c r="CL97" s="5239"/>
      <c r="CM97" s="5239"/>
      <c r="CN97" s="296">
        <f>IF(CL97=0,0,(CM97-CL97)/CL97*100)</f>
        <v>0</v>
      </c>
      <c r="CO97" s="5239"/>
      <c r="CP97" s="5239"/>
      <c r="CQ97" s="296">
        <f>IF(CO97=0,0,(CP97-CO97)/CO97*100)</f>
        <v>0</v>
      </c>
      <c r="CR97" s="5239"/>
      <c r="CS97" s="5239"/>
      <c r="CT97" s="296">
        <f>IF(CR97=0,0,(CS97-CR97)/CR97*100)</f>
        <v>0</v>
      </c>
      <c r="CU97" s="5239"/>
      <c r="CV97" s="5239"/>
      <c r="CW97" s="296">
        <f>IF(CU97=0,0,(CV97-CU97)/CU97*100)</f>
        <v>0</v>
      </c>
      <c r="CX97" s="5239"/>
      <c r="CY97" s="5239"/>
      <c r="CZ97" s="296">
        <f>IF(CX97=0,0,(CY97-CX97)/CX97*100)</f>
        <v>0</v>
      </c>
      <c r="DA97" s="5239"/>
      <c r="DB97" s="5239"/>
      <c r="DC97" s="296">
        <f>IF(DA97=0,0,(DB97-DA97)/DA97*100)</f>
        <v>0</v>
      </c>
      <c r="DD97" s="5239"/>
      <c r="DE97" s="5239"/>
      <c r="DF97" s="296">
        <f>IF(DD97=0,0,(DE97-DD97)/DD97*100)</f>
        <v>0</v>
      </c>
      <c r="DG97" s="5241"/>
      <c r="DH97" s="5241"/>
      <c r="DI97" s="296">
        <f>IF(DG97=0,0,(DH97-DG97)/DG97*100)</f>
        <v>0</v>
      </c>
      <c r="DJ97" s="5241"/>
      <c r="DK97" s="5241"/>
      <c r="DL97" s="296">
        <f>IF(DJ97=0,0,(DK97-DJ97)/DJ97*100)</f>
        <v>0</v>
      </c>
      <c r="DM97" s="5241"/>
      <c r="DN97" s="5241"/>
      <c r="DO97" s="296">
        <f>IF(DM97=0,0,(DN97-DM97)/DM97*100)</f>
        <v>0</v>
      </c>
      <c r="DP97" s="5241"/>
      <c r="DQ97" s="5241"/>
      <c r="DR97" s="296">
        <f>IF(DP97=0,0,(DQ97-DP97)/DP97*100)</f>
        <v>0</v>
      </c>
      <c r="DS97" s="5241"/>
      <c r="DT97" s="5241"/>
      <c r="DU97" s="296">
        <f>IF(DS97=0,0,(DT97-DS97)/DS97*100)</f>
        <v>0</v>
      </c>
      <c r="DV97" s="5241"/>
      <c r="DW97" s="5241"/>
      <c r="DX97" s="296">
        <f>IF(DV97=0,0,(DW97-DV97)/DV97*100)</f>
        <v>0</v>
      </c>
      <c r="DY97" s="5241"/>
      <c r="DZ97" s="5241"/>
      <c r="EA97" s="296">
        <f>IF(DY97=0,0,(DZ97-DY97)/DY97*100)</f>
        <v>0</v>
      </c>
      <c r="EB97" s="5241"/>
      <c r="EC97" s="5241"/>
      <c r="ED97" s="296">
        <f>IF(EB97=0,0,(EC97-EB97)/EB97*100)</f>
        <v>0</v>
      </c>
      <c r="EE97" s="5241"/>
      <c r="EF97" s="5241"/>
      <c r="EG97" s="296">
        <f>IF(EE97=0,0,(EF97-EE97)/EE97*100)</f>
        <v>0</v>
      </c>
      <c r="EH97" s="5241"/>
      <c r="EI97" s="5241"/>
      <c r="EJ97" s="296">
        <f>IF(EH97=0,0,(EI97-EH97)/EH97*100)</f>
        <v>0</v>
      </c>
      <c r="EK97" s="5241"/>
      <c r="EL97" s="5241"/>
      <c r="EM97" s="296">
        <f>IF(EK97=0,0,(EL97-EK97)/EK97*100)</f>
        <v>0</v>
      </c>
      <c r="EN97" s="5241"/>
      <c r="EO97" s="5241"/>
      <c r="EP97" s="296">
        <f>IF(EN97=0,0,(EO97-EN97)/EN97*100)</f>
        <v>0</v>
      </c>
      <c r="EQ97" s="5241"/>
      <c r="ER97" s="5241"/>
      <c r="ES97" s="296">
        <f>IF(EQ97=0,0,(ER97-EQ97)/EQ97*100)</f>
        <v>0</v>
      </c>
      <c r="ET97" s="5241"/>
      <c r="EU97" s="5241"/>
      <c r="EV97" s="296">
        <f>IF(ET97=0,0,(EU97-ET97)/ET97*100)</f>
        <v>0</v>
      </c>
      <c r="EW97" s="5241"/>
      <c r="EX97" s="5241"/>
      <c r="EY97" s="296">
        <f>IF(EW97=0,0,(EX97-EW97)/EW97*100)</f>
        <v>0</v>
      </c>
      <c r="EZ97" s="5241"/>
      <c r="FA97" s="5241"/>
      <c r="FB97" s="296">
        <f>IF(EZ97=0,0,(FA97-EZ97)/EZ97*100)</f>
        <v>0</v>
      </c>
      <c r="FC97" s="5241"/>
      <c r="FD97" s="5241"/>
      <c r="FE97" s="296">
        <f>IF(FC97=0,0,(FD97-FC97)/FC97*100)</f>
        <v>0</v>
      </c>
      <c r="FF97" s="5241"/>
      <c r="FG97" s="5241"/>
      <c r="FH97" s="296">
        <f>IF(FF97=0,0,(FG97-FF97)/FF97*100)</f>
        <v>0</v>
      </c>
      <c r="FI97" s="5241"/>
      <c r="FJ97" s="5241"/>
      <c r="FK97" s="296">
        <f>IF(FI97=0,0,(FJ97-FI97)/FI97*100)</f>
        <v>0</v>
      </c>
      <c r="FL97" s="5241"/>
      <c r="FM97" s="5241"/>
      <c r="FN97" s="296">
        <f>IF(FL97=0,0,(FM97-FL97)/FL97*100)</f>
        <v>0</v>
      </c>
      <c r="FO97" s="5241"/>
      <c r="FP97" s="5241"/>
      <c r="FQ97" s="296">
        <f>IF(FO97=0,0,(FP97-FO97)/FO97*100)</f>
        <v>0</v>
      </c>
      <c r="FR97" s="5241"/>
      <c r="FS97" s="5241"/>
      <c r="FT97" s="296">
        <f>IF(FR97=0,0,(FS97-FR97)/FR97*100)</f>
        <v>0</v>
      </c>
      <c r="FU97" s="5241"/>
      <c r="FV97" s="5241"/>
      <c r="FW97" s="296">
        <f>IF(FU97=0,0,(FV97-FU97)/FU97*100)</f>
        <v>0</v>
      </c>
      <c r="FX97" s="292"/>
      <c r="FY97" s="292"/>
      <c r="FZ97" s="1055" t="s">
        <v>2338</v>
      </c>
      <c r="GA97" s="1055"/>
      <c r="GB97" s="1055"/>
      <c r="GC97" s="1056"/>
      <c r="GD97" s="1056"/>
    </row>
    <row s="5281" customFormat="1" customHeight="1" ht="23.25">
      <c r="A98" s="897"/>
      <c r="B98" s="925" cm="1" t="str">
        <f t="array" ref="B98:B98">B97</f>
        <v>true</v>
      </c>
      <c r="C98" s="897"/>
      <c r="D98" s="897"/>
      <c r="E98" s="898">
        <v>24.5</v>
      </c>
      <c r="F98" s="50" cm="1" t="str">
        <f t="array" ref="F98:F98">OFFSET(E98,-1,1)</f>
        <v>1</v>
      </c>
      <c r="G98" s="493" t="s">
        <v>2339</v>
      </c>
      <c r="H98" s="493" t="s">
        <v>1175</v>
      </c>
      <c r="I98" s="493" t="s">
        <v>2340</v>
      </c>
      <c r="J98" s="897"/>
      <c r="K98" s="897"/>
      <c r="L98" s="493"/>
      <c r="M98" s="897"/>
      <c r="N98" s="897"/>
      <c r="O98" s="897"/>
      <c r="P98" s="897"/>
      <c r="Q98" s="897"/>
      <c r="R98" s="897"/>
      <c r="S98" s="493"/>
      <c r="T98" s="465" cm="1" t="str">
        <f t="array" ref="T98:T98">T97</f>
        <v>true</v>
      </c>
      <c r="U98" s="897"/>
      <c r="V98" s="897"/>
      <c r="W98" s="897"/>
      <c r="X98" s="1596"/>
      <c r="Y98" s="897"/>
      <c r="Z98" s="1545"/>
      <c r="AA98" s="897"/>
      <c r="AB98" s="293" t="s">
        <v>2341</v>
      </c>
      <c r="AC98" s="294" t="s">
        <v>2337</v>
      </c>
      <c r="AD98" s="899">
        <f>IF(AND(method_reg="Метод индексации",god&lt;&gt;first_year),_xlfn.SUMIFS(INDEX('Калькуляция (МИ корр)'!$AJ$25:$BC$747,,MATCH(AD$8,'Калькуляция (МИ корр)'!$AJ$8:$BC$8,0)),'Калькуляция (МИ корр)'!$F$25:$F$747,$F98,'Калькуляция (МИ корр)'!$G$25:$G$747,$G98),IF(method_reg="Метод экономически обоснованных расходов",_xlfn.SUMIFS('Калькуляция (МЭОР)'!$AJ$25:$AJ$452,'Калькуляция (МЭОР)'!$F$25:$F$452,$F98,'Калькуляция (МЭОР)'!$G$25:$G$452,$G98),IF(method_reg="Метод сравнения аналогов",_xlfn.SUMIFS('Калькуляция (МСА)'!$AE$25:$AE$122,'Калькуляция (МСА)'!$F$25:$F$122,$F98,'Калькуляция (МСА)'!$G$25:$G$122,$G98),_xlfn.SUMIFS(INDEX('Калькуляция (МИ)'!$AJ$25:$BC$747,,MATCH(AD$8,'Калькуляция (МИ)'!$AJ$8:$BC$8,0)),'Калькуляция (МИ)'!$F$25:$F$747,$F98,'Калькуляция (МИ)'!$G$25:$G$747,$G98))))</f>
        <v>98.1299986265913</v>
      </c>
      <c r="AE98" s="899">
        <f>IF(AND(method_reg="Метод индексации",god&lt;&gt;first_year),_xlfn.SUMIFS(INDEX('Калькуляция (МИ корр)'!$AJ$25:$BC$747,,MATCH(AE$8,'Калькуляция (МИ корр)'!$AJ$8:$BC$8,0)),'Калькуляция (МИ корр)'!$F$25:$F$747,$F98,'Калькуляция (МИ корр)'!$G$25:$G$747,$G98),IF(method_reg="Метод экономически обоснованных расходов",_xlfn.SUMIFS('Калькуляция (МЭОР)'!$AK$25:$AK$452,'Калькуляция (МЭОР)'!$F$25:$F$452,$F98,'Калькуляция (МЭОР)'!$G$25:$G$452,$G98),IF(method_reg="Метод сравнения аналогов",_xlfn.SUMIFS('Калькуляция (МСА)'!$AF$25:$AF$122,'Калькуляция (МСА)'!$F$25:$F$122,$F98,'Калькуляция (МСА)'!$G$25:$G$122,$G98),_xlfn.SUMIFS(INDEX('Калькуляция (МИ)'!$AJ$25:$BC$747,,MATCH(AE$8,'Калькуляция (МИ)'!$AJ$8:$BC$8,0)),'Калькуляция (МИ)'!$F$25:$F$747,$F98,'Калькуляция (МИ)'!$G$25:$G$747,$G98))))</f>
        <v>98.1299999506392</v>
      </c>
      <c r="AF98" s="296">
        <f>IF(AD98=0,0,(AE98-AD98)/AD98*100)</f>
        <v>0.00000134927944480157</v>
      </c>
      <c r="AG98" s="899">
        <f>IF(AND(method_reg="Метод индексации",god&lt;&gt;first_year),_xlfn.SUMIFS(INDEX('Калькуляция (МИ корр)'!$AJ$25:$BC$747,,MATCH(AG$8,'Калькуляция (МИ корр)'!$AJ$8:$BC$8,0)),'Калькуляция (МИ корр)'!$F$25:$F$747,$F98,'Калькуляция (МИ корр)'!$G$25:$G$747,$G98),IF(method_reg="Метод экономически обоснованных расходов",_xlfn.SUMIFS('Калькуляция (МЭОР)'!$AJ$25:$AJ$452,'Калькуляция (МЭОР)'!$F$25:$F$452,$F98,'Калькуляция (МЭОР)'!$G$25:$G$452,$G98),IF(method_reg="Метод сравнения аналогов",_xlfn.SUMIFS('Калькуляция (МСА)'!$AE$25:$AE$122,'Калькуляция (МСА)'!$F$25:$F$122,$F98,'Калькуляция (МСА)'!$G$25:$G$122,$G98),_xlfn.SUMIFS(INDEX('Калькуляция (МИ)'!$AJ$25:$BC$747,,MATCH(AG$8,'Калькуляция (МИ)'!$AJ$8:$BC$8,0)),'Калькуляция (МИ)'!$F$25:$F$747,$F98,'Калькуляция (МИ)'!$G$25:$G$747,$G98))))</f>
        <v>107.880001347994</v>
      </c>
      <c r="AH98" s="899">
        <f>IF(AND(method_reg="Метод индексации",god&lt;&gt;first_year),_xlfn.SUMIFS(INDEX('Калькуляция (МИ корр)'!$AJ$25:$BC$747,,MATCH(AH$8,'Калькуляция (МИ корр)'!$AJ$8:$BC$8,0)),'Калькуляция (МИ корр)'!$F$25:$F$747,$F98,'Калькуляция (МИ корр)'!$G$25:$G$747,$G98),IF(method_reg="Метод экономически обоснованных расходов",_xlfn.SUMIFS('Калькуляция (МЭОР)'!$AK$25:$AK$452,'Калькуляция (МЭОР)'!$F$25:$F$452,$F98,'Калькуляция (МЭОР)'!$G$25:$G$452,$G98),IF(method_reg="Метод сравнения аналогов",_xlfn.SUMIFS('Калькуляция (МСА)'!$AF$25:$AF$122,'Калькуляция (МСА)'!$F$25:$F$122,$F98,'Калькуляция (МСА)'!$G$25:$G$122,$G98),_xlfn.SUMIFS(INDEX('Калькуляция (МИ)'!$AJ$25:$BC$747,,MATCH(AH$8,'Калькуляция (МИ)'!$AJ$8:$BC$8,0)),'Калькуляция (МИ)'!$F$25:$F$747,$F98,'Калькуляция (МИ)'!$G$25:$G$747,$G98))))</f>
        <v>107.880000028801</v>
      </c>
      <c r="AI98" s="296">
        <f>IF(AG98=0,0,(AH98-AG98)/AG98*100)</f>
        <v>-0.00000122283367911491</v>
      </c>
      <c r="AJ98" s="899">
        <f>IF(AND(method_reg="Метод индексации",god&lt;&gt;first_year),_xlfn.SUMIFS(INDEX('Калькуляция (МИ корр)'!$AJ$25:$BC$747,,MATCH(AJ$8,'Калькуляция (МИ корр)'!$AJ$8:$BC$8,0)),'Калькуляция (МИ корр)'!$F$25:$F$747,$F98,'Калькуляция (МИ корр)'!$G$25:$G$747,$G98),IF(method_reg="Метод экономически обоснованных расходов",_xlfn.SUMIFS('Калькуляция (МЭОР)'!$AJ$25:$AJ$452,'Калькуляция (МЭОР)'!$F$25:$F$452,$F98,'Калькуляция (МЭОР)'!$G$25:$G$452,$G98),IF(method_reg="Метод сравнения аналогов",_xlfn.SUMIFS('Калькуляция (МСА)'!$AE$25:$AE$122,'Калькуляция (МСА)'!$F$25:$F$122,$F98,'Калькуляция (МСА)'!$G$25:$G$122,$G98),_xlfn.SUMIFS(INDEX('Калькуляция (МИ)'!$AJ$25:$BC$747,,MATCH(AJ$8,'Калькуляция (МИ)'!$AJ$8:$BC$8,0)),'Калькуляция (МИ)'!$F$25:$F$747,$F98,'Калькуляция (МИ)'!$G$25:$G$747,$G98))))</f>
        <v>112.49999958914</v>
      </c>
      <c r="AK98" s="899">
        <f>IF(AND(method_reg="Метод индексации",god&lt;&gt;first_year),_xlfn.SUMIFS(INDEX('Калькуляция (МИ корр)'!$AJ$25:$BC$747,,MATCH(AK$8,'Калькуляция (МИ корр)'!$AJ$8:$BC$8,0)),'Калькуляция (МИ корр)'!$F$25:$F$747,$F98,'Калькуляция (МИ корр)'!$G$25:$G$747,$G98),IF(method_reg="Метод экономически обоснованных расходов",_xlfn.SUMIFS('Калькуляция (МЭОР)'!$AK$25:$AK$452,'Калькуляция (МЭОР)'!$F$25:$F$452,$F98,'Калькуляция (МЭОР)'!$G$25:$G$452,$G98),IF(method_reg="Метод сравнения аналогов",_xlfn.SUMIFS('Калькуляция (МСА)'!$AF$25:$AF$122,'Калькуляция (МСА)'!$F$25:$F$122,$F98,'Калькуляция (МСА)'!$G$25:$G$122,$G98),_xlfn.SUMIFS(INDEX('Калькуляция (МИ)'!$AJ$25:$BC$747,,MATCH(AK$8,'Калькуляция (МИ)'!$AJ$8:$BC$8,0)),'Калькуляция (МИ)'!$F$25:$F$747,$F98,'Калькуляция (МИ)'!$G$25:$G$747,$G98))))</f>
        <v>112.499999897028</v>
      </c>
      <c r="AL98" s="296">
        <f>IF(AJ98=0,0,(AK98-AJ98)/AJ98*100)</f>
        <v>2.73678224391777e-7</v>
      </c>
      <c r="AM98" s="899">
        <f>IF(AND(method_reg="Метод индексации",god&lt;&gt;first_year),_xlfn.SUMIFS(INDEX('Калькуляция (МИ корр)'!$AJ$25:$BC$747,,MATCH(AM$8,'Калькуляция (МИ корр)'!$AJ$8:$BC$8,0)),'Калькуляция (МИ корр)'!$F$25:$F$747,$F98,'Калькуляция (МИ корр)'!$G$25:$G$747,$G98),IF(method_reg="Метод экономически обоснованных расходов",_xlfn.SUMIFS('Калькуляция (МЭОР)'!$AJ$25:$AJ$452,'Калькуляция (МЭОР)'!$F$25:$F$452,$F98,'Калькуляция (МЭОР)'!$G$25:$G$452,$G98),IF(method_reg="Метод сравнения аналогов",_xlfn.SUMIFS('Калькуляция (МСА)'!$AE$25:$AE$122,'Калькуляция (МСА)'!$F$25:$F$122,$F98,'Калькуляция (МСА)'!$G$25:$G$122,$G98),_xlfn.SUMIFS(INDEX('Калькуляция (МИ)'!$AJ$25:$BC$747,,MATCH(AM$8,'Калькуляция (МИ)'!$AJ$8:$BC$8,0)),'Калькуляция (МИ)'!$F$25:$F$747,$F98,'Калькуляция (МИ)'!$G$25:$G$747,$G98))))</f>
        <v>116.539994640401</v>
      </c>
      <c r="AN98" s="899">
        <f>IF(AND(method_reg="Метод индексации",god&lt;&gt;first_year),_xlfn.SUMIFS(INDEX('Калькуляция (МИ корр)'!$AJ$25:$BC$747,,MATCH(AN$8,'Калькуляция (МИ корр)'!$AJ$8:$BC$8,0)),'Калькуляция (МИ корр)'!$F$25:$F$747,$F98,'Калькуляция (МИ корр)'!$G$25:$G$747,$G98),IF(method_reg="Метод экономически обоснованных расходов",_xlfn.SUMIFS('Калькуляция (МЭОР)'!$AK$25:$AK$452,'Калькуляция (МЭОР)'!$F$25:$F$452,$F98,'Калькуляция (МЭОР)'!$G$25:$G$452,$G98),IF(method_reg="Метод сравнения аналогов",_xlfn.SUMIFS('Калькуляция (МСА)'!$AF$25:$AF$122,'Калькуляция (МСА)'!$F$25:$F$122,$F98,'Калькуляция (МСА)'!$G$25:$G$122,$G98),_xlfn.SUMIFS(INDEX('Калькуляция (МИ)'!$AJ$25:$BC$747,,MATCH(AN$8,'Калькуляция (МИ)'!$AJ$8:$BC$8,0)),'Калькуляция (МИ)'!$F$25:$F$747,$F98,'Калькуляция (МИ)'!$G$25:$G$747,$G98))))</f>
        <v>116.540000169358</v>
      </c>
      <c r="AO98" s="296">
        <f>IF(AM98=0,0,(AN98-AM98)/AM98*100)</f>
        <v>0.000004744257117121</v>
      </c>
      <c r="AP98" s="899">
        <f>IF(AND(method_reg="Метод индексации",god&lt;&gt;first_year),_xlfn.SUMIFS(INDEX('Калькуляция (МИ корр)'!$AJ$25:$BC$747,,MATCH(AP$8,'Калькуляция (МИ корр)'!$AJ$8:$BC$8,0)),'Калькуляция (МИ корр)'!$F$25:$F$747,$F98,'Калькуляция (МИ корр)'!$G$25:$G$747,$G98),IF(method_reg="Метод экономически обоснованных расходов",_xlfn.SUMIFS('Калькуляция (МЭОР)'!$AJ$25:$AJ$452,'Калькуляция (МЭОР)'!$F$25:$F$452,$F98,'Калькуляция (МЭОР)'!$G$25:$G$452,$G98),IF(method_reg="Метод сравнения аналогов",_xlfn.SUMIFS('Калькуляция (МСА)'!$AE$25:$AE$122,'Калькуляция (МСА)'!$F$25:$F$122,$F98,'Калькуляция (МСА)'!$G$25:$G$122,$G98),_xlfn.SUMIFS(INDEX('Калькуляция (МИ)'!$AJ$25:$BC$747,,MATCH(AP$8,'Калькуляция (МИ)'!$AJ$8:$BC$8,0)),'Калькуляция (МИ)'!$F$25:$F$747,$F98,'Калькуляция (МИ)'!$G$25:$G$747,$G98))))</f>
        <v>124.41596981144</v>
      </c>
      <c r="AQ98" s="899">
        <f>IF(AND(method_reg="Метод индексации",god&lt;&gt;first_year),_xlfn.SUMIFS(INDEX('Калькуляция (МИ корр)'!$AJ$25:$BC$747,,MATCH(AQ$8,'Калькуляция (МИ корр)'!$AJ$8:$BC$8,0)),'Калькуляция (МИ корр)'!$F$25:$F$747,$F98,'Калькуляция (МИ корр)'!$G$25:$G$747,$G98),IF(method_reg="Метод экономически обоснованных расходов",_xlfn.SUMIFS('Калькуляция (МЭОР)'!$AK$25:$AK$452,'Калькуляция (МЭОР)'!$F$25:$F$452,$F98,'Калькуляция (МЭОР)'!$G$25:$G$452,$G98),IF(method_reg="Метод сравнения аналогов",_xlfn.SUMIFS('Калькуляция (МСА)'!$AF$25:$AF$122,'Калькуляция (МСА)'!$F$25:$F$122,$F98,'Калькуляция (МСА)'!$G$25:$G$122,$G98),_xlfn.SUMIFS(INDEX('Калькуляция (МИ)'!$AJ$25:$BC$747,,MATCH(AQ$8,'Калькуляция (МИ)'!$AJ$8:$BC$8,0)),'Калькуляция (МИ)'!$F$25:$F$747,$F98,'Калькуляция (МИ)'!$G$25:$G$747,$G98))))</f>
        <v>124.942795362053</v>
      </c>
      <c r="AR98" s="296">
        <f>IF(AP98=0,0,(AQ98-AP98)/AP98*100)</f>
        <v>0.423438849057278</v>
      </c>
      <c r="AS98" s="5239">
        <f>IF(AND(method_reg="Метод индексации",god&lt;&gt;first_year),_xlfn.SUMIFS(INDEX('Калькуляция (МИ корр)'!$AJ$25:$BC$747,,MATCH(AS$8,'Калькуляция (МИ корр)'!$AJ$8:$BC$8,0)),'Калькуляция (МИ корр)'!$F$25:$F$747,$F98,'Калькуляция (МИ корр)'!$G$25:$G$747,$G98),IF(method_reg="Метод экономически обоснованных расходов",_xlfn.SUMIFS('Калькуляция (МЭОР)'!$AJ$25:$AJ$452,'Калькуляция (МЭОР)'!$F$25:$F$452,$F98,'Калькуляция (МЭОР)'!$G$25:$G$452,$G98),IF(method_reg="Метод сравнения аналогов",_xlfn.SUMIFS('Калькуляция (МСА)'!$AE$25:$AE$122,'Калькуляция (МСА)'!$F$25:$F$122,$F98,'Калькуляция (МСА)'!$G$25:$G$122,$G98),_xlfn.SUMIFS(INDEX('Калькуляция (МИ)'!$AJ$25:$BC$747,,MATCH(AS$8,'Калькуляция (МИ)'!$AJ$8:$BC$8,0)),'Калькуляция (МИ)'!$F$25:$F$747,$F98,'Калькуляция (МИ)'!$G$25:$G$747,$G98))))</f>
        <v>0</v>
      </c>
      <c r="AT98" s="5239">
        <f>IF(AND(method_reg="Метод индексации",god&lt;&gt;first_year),_xlfn.SUMIFS(INDEX('Калькуляция (МИ корр)'!$AJ$25:$BC$747,,MATCH(AT$8,'Калькуляция (МИ корр)'!$AJ$8:$BC$8,0)),'Калькуляция (МИ корр)'!$F$25:$F$747,$F98,'Калькуляция (МИ корр)'!$G$25:$G$747,$G98),IF(method_reg="Метод экономически обоснованных расходов",_xlfn.SUMIFS('Калькуляция (МЭОР)'!$AK$25:$AK$452,'Калькуляция (МЭОР)'!$F$25:$F$452,$F98,'Калькуляция (МЭОР)'!$G$25:$G$452,$G98),IF(method_reg="Метод сравнения аналогов",_xlfn.SUMIFS('Калькуляция (МСА)'!$AF$25:$AF$122,'Калькуляция (МСА)'!$F$25:$F$122,$F98,'Калькуляция (МСА)'!$G$25:$G$122,$G98),_xlfn.SUMIFS(INDEX('Калькуляция (МИ)'!$AJ$25:$BC$747,,MATCH(AT$8,'Калькуляция (МИ)'!$AJ$8:$BC$8,0)),'Калькуляция (МИ)'!$F$25:$F$747,$F98,'Калькуляция (МИ)'!$G$25:$G$747,$G98))))</f>
        <v>0</v>
      </c>
      <c r="AU98" s="296">
        <f>IF(AS98=0,0,(AT98-AS98)/AS98*100)</f>
        <v>0</v>
      </c>
      <c r="AV98" s="5239">
        <f>IF(AND(method_reg="Метод индексации",god&lt;&gt;first_year),_xlfn.SUMIFS(INDEX('Калькуляция (МИ корр)'!$AJ$25:$BC$747,,MATCH(AV$8,'Калькуляция (МИ корр)'!$AJ$8:$BC$8,0)),'Калькуляция (МИ корр)'!$F$25:$F$747,$F98,'Калькуляция (МИ корр)'!$G$25:$G$747,$G98),IF(method_reg="Метод экономически обоснованных расходов",_xlfn.SUMIFS('Калькуляция (МЭОР)'!$AJ$25:$AJ$452,'Калькуляция (МЭОР)'!$F$25:$F$452,$F98,'Калькуляция (МЭОР)'!$G$25:$G$452,$G98),IF(method_reg="Метод сравнения аналогов",_xlfn.SUMIFS('Калькуляция (МСА)'!$AE$25:$AE$122,'Калькуляция (МСА)'!$F$25:$F$122,$F98,'Калькуляция (МСА)'!$G$25:$G$122,$G98),_xlfn.SUMIFS(INDEX('Калькуляция (МИ)'!$AJ$25:$BC$747,,MATCH(AV$8,'Калькуляция (МИ)'!$AJ$8:$BC$8,0)),'Калькуляция (МИ)'!$F$25:$F$747,$F98,'Калькуляция (МИ)'!$G$25:$G$747,$G98))))</f>
        <v>0</v>
      </c>
      <c r="AW98" s="5239">
        <f>IF(AND(method_reg="Метод индексации",god&lt;&gt;first_year),_xlfn.SUMIFS(INDEX('Калькуляция (МИ корр)'!$AJ$25:$BC$747,,MATCH(AW$8,'Калькуляция (МИ корр)'!$AJ$8:$BC$8,0)),'Калькуляция (МИ корр)'!$F$25:$F$747,$F98,'Калькуляция (МИ корр)'!$G$25:$G$747,$G98),IF(method_reg="Метод экономически обоснованных расходов",_xlfn.SUMIFS('Калькуляция (МЭОР)'!$AK$25:$AK$452,'Калькуляция (МЭОР)'!$F$25:$F$452,$F98,'Калькуляция (МЭОР)'!$G$25:$G$452,$G98),IF(method_reg="Метод сравнения аналогов",_xlfn.SUMIFS('Калькуляция (МСА)'!$AF$25:$AF$122,'Калькуляция (МСА)'!$F$25:$F$122,$F98,'Калькуляция (МСА)'!$G$25:$G$122,$G98),_xlfn.SUMIFS(INDEX('Калькуляция (МИ)'!$AJ$25:$BC$747,,MATCH(AW$8,'Калькуляция (МИ)'!$AJ$8:$BC$8,0)),'Калькуляция (МИ)'!$F$25:$F$747,$F98,'Калькуляция (МИ)'!$G$25:$G$747,$G98))))</f>
        <v>0</v>
      </c>
      <c r="AX98" s="296">
        <f>IF(AV98=0,0,(AW98-AV98)/AV98*100)</f>
        <v>0</v>
      </c>
      <c r="AY98" s="5239">
        <f>IF(AND(method_reg="Метод индексации",god&lt;&gt;first_year),_xlfn.SUMIFS(INDEX('Калькуляция (МИ корр)'!$AJ$25:$BC$747,,MATCH(AY$8,'Калькуляция (МИ корр)'!$AJ$8:$BC$8,0)),'Калькуляция (МИ корр)'!$F$25:$F$747,$F98,'Калькуляция (МИ корр)'!$G$25:$G$747,$G98),IF(method_reg="Метод экономически обоснованных расходов",_xlfn.SUMIFS('Калькуляция (МЭОР)'!$AJ$25:$AJ$452,'Калькуляция (МЭОР)'!$F$25:$F$452,$F98,'Калькуляция (МЭОР)'!$G$25:$G$452,$G98),IF(method_reg="Метод сравнения аналогов",_xlfn.SUMIFS('Калькуляция (МСА)'!$AE$25:$AE$122,'Калькуляция (МСА)'!$F$25:$F$122,$F98,'Калькуляция (МСА)'!$G$25:$G$122,$G98),_xlfn.SUMIFS(INDEX('Калькуляция (МИ)'!$AJ$25:$BC$747,,MATCH(AY$8,'Калькуляция (МИ)'!$AJ$8:$BC$8,0)),'Калькуляция (МИ)'!$F$25:$F$747,$F98,'Калькуляция (МИ)'!$G$25:$G$747,$G98))))</f>
        <v>0</v>
      </c>
      <c r="AZ98" s="5239">
        <f>IF(AND(method_reg="Метод индексации",god&lt;&gt;first_year),_xlfn.SUMIFS(INDEX('Калькуляция (МИ корр)'!$AJ$25:$BC$747,,MATCH(AZ$8,'Калькуляция (МИ корр)'!$AJ$8:$BC$8,0)),'Калькуляция (МИ корр)'!$F$25:$F$747,$F98,'Калькуляция (МИ корр)'!$G$25:$G$747,$G98),IF(method_reg="Метод экономически обоснованных расходов",_xlfn.SUMIFS('Калькуляция (МЭОР)'!$AK$25:$AK$452,'Калькуляция (МЭОР)'!$F$25:$F$452,$F98,'Калькуляция (МЭОР)'!$G$25:$G$452,$G98),IF(method_reg="Метод сравнения аналогов",_xlfn.SUMIFS('Калькуляция (МСА)'!$AF$25:$AF$122,'Калькуляция (МСА)'!$F$25:$F$122,$F98,'Калькуляция (МСА)'!$G$25:$G$122,$G98),_xlfn.SUMIFS(INDEX('Калькуляция (МИ)'!$AJ$25:$BC$747,,MATCH(AZ$8,'Калькуляция (МИ)'!$AJ$8:$BC$8,0)),'Калькуляция (МИ)'!$F$25:$F$747,$F98,'Калькуляция (МИ)'!$G$25:$G$747,$G98))))</f>
        <v>0</v>
      </c>
      <c r="BA98" s="296">
        <f>IF(AY98=0,0,(AZ98-AY98)/AY98*100)</f>
        <v>0</v>
      </c>
      <c r="BB98" s="5239">
        <f>IF(AND(method_reg="Метод индексации",god&lt;&gt;first_year),_xlfn.SUMIFS(INDEX('Калькуляция (МИ корр)'!$AJ$25:$BC$747,,MATCH(BB$8,'Калькуляция (МИ корр)'!$AJ$8:$BC$8,0)),'Калькуляция (МИ корр)'!$F$25:$F$747,$F98,'Калькуляция (МИ корр)'!$G$25:$G$747,$G98),IF(method_reg="Метод экономически обоснованных расходов",_xlfn.SUMIFS('Калькуляция (МЭОР)'!$AJ$25:$AJ$452,'Калькуляция (МЭОР)'!$F$25:$F$452,$F98,'Калькуляция (МЭОР)'!$G$25:$G$452,$G98),IF(method_reg="Метод сравнения аналогов",_xlfn.SUMIFS('Калькуляция (МСА)'!$AE$25:$AE$122,'Калькуляция (МСА)'!$F$25:$F$122,$F98,'Калькуляция (МСА)'!$G$25:$G$122,$G98),_xlfn.SUMIFS(INDEX('Калькуляция (МИ)'!$AJ$25:$BC$747,,MATCH(BB$8,'Калькуляция (МИ)'!$AJ$8:$BC$8,0)),'Калькуляция (МИ)'!$F$25:$F$747,$F98,'Калькуляция (МИ)'!$G$25:$G$747,$G98))))</f>
        <v>0</v>
      </c>
      <c r="BC98" s="5239">
        <f>IF(AND(method_reg="Метод индексации",god&lt;&gt;first_year),_xlfn.SUMIFS(INDEX('Калькуляция (МИ корр)'!$AJ$25:$BC$747,,MATCH(BC$8,'Калькуляция (МИ корр)'!$AJ$8:$BC$8,0)),'Калькуляция (МИ корр)'!$F$25:$F$747,$F98,'Калькуляция (МИ корр)'!$G$25:$G$747,$G98),IF(method_reg="Метод экономически обоснованных расходов",_xlfn.SUMIFS('Калькуляция (МЭОР)'!$AK$25:$AK$452,'Калькуляция (МЭОР)'!$F$25:$F$452,$F98,'Калькуляция (МЭОР)'!$G$25:$G$452,$G98),IF(method_reg="Метод сравнения аналогов",_xlfn.SUMIFS('Калькуляция (МСА)'!$AF$25:$AF$122,'Калькуляция (МСА)'!$F$25:$F$122,$F98,'Калькуляция (МСА)'!$G$25:$G$122,$G98),_xlfn.SUMIFS(INDEX('Калькуляция (МИ)'!$AJ$25:$BC$747,,MATCH(BC$8,'Калькуляция (МИ)'!$AJ$8:$BC$8,0)),'Калькуляция (МИ)'!$F$25:$F$747,$F98,'Калькуляция (МИ)'!$G$25:$G$747,$G98))))</f>
        <v>0</v>
      </c>
      <c r="BD98" s="296">
        <f>IF(BB98=0,0,(BC98-BB98)/BB98*100)</f>
        <v>0</v>
      </c>
      <c r="BE98" s="5239">
        <f>IF(AND(method_reg="Метод индексации",god&lt;&gt;first_year),_xlfn.SUMIFS(INDEX('Калькуляция (МИ корр)'!$AJ$25:$BC$747,,MATCH(BE$8,'Калькуляция (МИ корр)'!$AJ$8:$BC$8,0)),'Калькуляция (МИ корр)'!$F$25:$F$747,$F98,'Калькуляция (МИ корр)'!$G$25:$G$747,$G98),IF(method_reg="Метод экономически обоснованных расходов",_xlfn.SUMIFS('Калькуляция (МЭОР)'!$AJ$25:$AJ$452,'Калькуляция (МЭОР)'!$F$25:$F$452,$F98,'Калькуляция (МЭОР)'!$G$25:$G$452,$G98),IF(method_reg="Метод сравнения аналогов",_xlfn.SUMIFS('Калькуляция (МСА)'!$AE$25:$AE$122,'Калькуляция (МСА)'!$F$25:$F$122,$F98,'Калькуляция (МСА)'!$G$25:$G$122,$G98),_xlfn.SUMIFS(INDEX('Калькуляция (МИ)'!$AJ$25:$BC$747,,MATCH(BE$8,'Калькуляция (МИ)'!$AJ$8:$BC$8,0)),'Калькуляция (МИ)'!$F$25:$F$747,$F98,'Калькуляция (МИ)'!$G$25:$G$747,$G98))))</f>
        <v>0</v>
      </c>
      <c r="BF98" s="5239">
        <f>IF(AND(method_reg="Метод индексации",god&lt;&gt;first_year),_xlfn.SUMIFS(INDEX('Калькуляция (МИ корр)'!$AJ$25:$BC$747,,MATCH(BF$8,'Калькуляция (МИ корр)'!$AJ$8:$BC$8,0)),'Калькуляция (МИ корр)'!$F$25:$F$747,$F98,'Калькуляция (МИ корр)'!$G$25:$G$747,$G98),IF(method_reg="Метод экономически обоснованных расходов",_xlfn.SUMIFS('Калькуляция (МЭОР)'!$AK$25:$AK$452,'Калькуляция (МЭОР)'!$F$25:$F$452,$F98,'Калькуляция (МЭОР)'!$G$25:$G$452,$G98),IF(method_reg="Метод сравнения аналогов",_xlfn.SUMIFS('Калькуляция (МСА)'!$AF$25:$AF$122,'Калькуляция (МСА)'!$F$25:$F$122,$F98,'Калькуляция (МСА)'!$G$25:$G$122,$G98),_xlfn.SUMIFS(INDEX('Калькуляция (МИ)'!$AJ$25:$BC$747,,MATCH(BF$8,'Калькуляция (МИ)'!$AJ$8:$BC$8,0)),'Калькуляция (МИ)'!$F$25:$F$747,$F98,'Калькуляция (МИ)'!$G$25:$G$747,$G98))))</f>
        <v>0</v>
      </c>
      <c r="BG98" s="296">
        <f>IF(BE98=0,0,(BF98-BE98)/BE98*100)</f>
        <v>0</v>
      </c>
      <c r="BH98" s="5239"/>
      <c r="BI98" s="5239"/>
      <c r="BJ98" s="296">
        <f>IF(BH98=0,0,(BI98-BH98)/BH98*100)</f>
        <v>0</v>
      </c>
      <c r="BK98" s="5239"/>
      <c r="BL98" s="5239"/>
      <c r="BM98" s="296">
        <f>IF(BK98=0,0,(BL98-BK98)/BK98*100)</f>
        <v>0</v>
      </c>
      <c r="BN98" s="5239"/>
      <c r="BO98" s="5239"/>
      <c r="BP98" s="296">
        <f>IF(BN98=0,0,(BO98-BN98)/BN98*100)</f>
        <v>0</v>
      </c>
      <c r="BQ98" s="5239"/>
      <c r="BR98" s="5239"/>
      <c r="BS98" s="296">
        <f>IF(BQ98=0,0,(BR98-BQ98)/BQ98*100)</f>
        <v>0</v>
      </c>
      <c r="BT98" s="5239"/>
      <c r="BU98" s="5239"/>
      <c r="BV98" s="296">
        <f>IF(BT98=0,0,(BU98-BT98)/BT98*100)</f>
        <v>0</v>
      </c>
      <c r="BW98" s="5239"/>
      <c r="BX98" s="5239"/>
      <c r="BY98" s="296">
        <f>IF(BW98=0,0,(BX98-BW98)/BW98*100)</f>
        <v>0</v>
      </c>
      <c r="BZ98" s="5239"/>
      <c r="CA98" s="5239"/>
      <c r="CB98" s="296">
        <f>IF(BZ98=0,0,(CA98-BZ98)/BZ98*100)</f>
        <v>0</v>
      </c>
      <c r="CC98" s="5239"/>
      <c r="CD98" s="5239"/>
      <c r="CE98" s="296">
        <f>IF(CC98=0,0,(CD98-CC98)/CC98*100)</f>
        <v>0</v>
      </c>
      <c r="CF98" s="5239"/>
      <c r="CG98" s="5239"/>
      <c r="CH98" s="296">
        <f>IF(CF98=0,0,(CG98-CF98)/CF98*100)</f>
        <v>0</v>
      </c>
      <c r="CI98" s="5239"/>
      <c r="CJ98" s="5239"/>
      <c r="CK98" s="296">
        <f>IF(CI98=0,0,(CJ98-CI98)/CI98*100)</f>
        <v>0</v>
      </c>
      <c r="CL98" s="5239"/>
      <c r="CM98" s="5239"/>
      <c r="CN98" s="296">
        <f>IF(CL98=0,0,(CM98-CL98)/CL98*100)</f>
        <v>0</v>
      </c>
      <c r="CO98" s="5239"/>
      <c r="CP98" s="5239"/>
      <c r="CQ98" s="296">
        <f>IF(CO98=0,0,(CP98-CO98)/CO98*100)</f>
        <v>0</v>
      </c>
      <c r="CR98" s="5239"/>
      <c r="CS98" s="5239"/>
      <c r="CT98" s="296">
        <f>IF(CR98=0,0,(CS98-CR98)/CR98*100)</f>
        <v>0</v>
      </c>
      <c r="CU98" s="5239"/>
      <c r="CV98" s="5239"/>
      <c r="CW98" s="296">
        <f>IF(CU98=0,0,(CV98-CU98)/CU98*100)</f>
        <v>0</v>
      </c>
      <c r="CX98" s="5239"/>
      <c r="CY98" s="5239"/>
      <c r="CZ98" s="296">
        <f>IF(CX98=0,0,(CY98-CX98)/CX98*100)</f>
        <v>0</v>
      </c>
      <c r="DA98" s="5239"/>
      <c r="DB98" s="5239"/>
      <c r="DC98" s="296">
        <f>IF(DA98=0,0,(DB98-DA98)/DA98*100)</f>
        <v>0</v>
      </c>
      <c r="DD98" s="5239"/>
      <c r="DE98" s="5239"/>
      <c r="DF98" s="296">
        <f>IF(DD98=0,0,(DE98-DD98)/DD98*100)</f>
        <v>0</v>
      </c>
      <c r="DG98" s="5241"/>
      <c r="DH98" s="5241"/>
      <c r="DI98" s="296">
        <f>IF(DG98=0,0,(DH98-DG98)/DG98*100)</f>
        <v>0</v>
      </c>
      <c r="DJ98" s="5241"/>
      <c r="DK98" s="5241"/>
      <c r="DL98" s="296">
        <f>IF(DJ98=0,0,(DK98-DJ98)/DJ98*100)</f>
        <v>0</v>
      </c>
      <c r="DM98" s="5241"/>
      <c r="DN98" s="5241"/>
      <c r="DO98" s="296">
        <f>IF(DM98=0,0,(DN98-DM98)/DM98*100)</f>
        <v>0</v>
      </c>
      <c r="DP98" s="5241"/>
      <c r="DQ98" s="5241"/>
      <c r="DR98" s="296">
        <f>IF(DP98=0,0,(DQ98-DP98)/DP98*100)</f>
        <v>0</v>
      </c>
      <c r="DS98" s="5241"/>
      <c r="DT98" s="5241"/>
      <c r="DU98" s="296">
        <f>IF(DS98=0,0,(DT98-DS98)/DS98*100)</f>
        <v>0</v>
      </c>
      <c r="DV98" s="5241"/>
      <c r="DW98" s="5241"/>
      <c r="DX98" s="296">
        <f>IF(DV98=0,0,(DW98-DV98)/DV98*100)</f>
        <v>0</v>
      </c>
      <c r="DY98" s="5241"/>
      <c r="DZ98" s="5241"/>
      <c r="EA98" s="296">
        <f>IF(DY98=0,0,(DZ98-DY98)/DY98*100)</f>
        <v>0</v>
      </c>
      <c r="EB98" s="5241"/>
      <c r="EC98" s="5241"/>
      <c r="ED98" s="296">
        <f>IF(EB98=0,0,(EC98-EB98)/EB98*100)</f>
        <v>0</v>
      </c>
      <c r="EE98" s="5241"/>
      <c r="EF98" s="5241"/>
      <c r="EG98" s="296">
        <f>IF(EE98=0,0,(EF98-EE98)/EE98*100)</f>
        <v>0</v>
      </c>
      <c r="EH98" s="5241"/>
      <c r="EI98" s="5241"/>
      <c r="EJ98" s="296">
        <f>IF(EH98=0,0,(EI98-EH98)/EH98*100)</f>
        <v>0</v>
      </c>
      <c r="EK98" s="5241"/>
      <c r="EL98" s="5241"/>
      <c r="EM98" s="296">
        <f>IF(EK98=0,0,(EL98-EK98)/EK98*100)</f>
        <v>0</v>
      </c>
      <c r="EN98" s="5241"/>
      <c r="EO98" s="5241"/>
      <c r="EP98" s="296">
        <f>IF(EN98=0,0,(EO98-EN98)/EN98*100)</f>
        <v>0</v>
      </c>
      <c r="EQ98" s="5241"/>
      <c r="ER98" s="5241"/>
      <c r="ES98" s="296">
        <f>IF(EQ98=0,0,(ER98-EQ98)/EQ98*100)</f>
        <v>0</v>
      </c>
      <c r="ET98" s="5241"/>
      <c r="EU98" s="5241"/>
      <c r="EV98" s="296">
        <f>IF(ET98=0,0,(EU98-ET98)/ET98*100)</f>
        <v>0</v>
      </c>
      <c r="EW98" s="5241"/>
      <c r="EX98" s="5241"/>
      <c r="EY98" s="296">
        <f>IF(EW98=0,0,(EX98-EW98)/EW98*100)</f>
        <v>0</v>
      </c>
      <c r="EZ98" s="5241"/>
      <c r="FA98" s="5241"/>
      <c r="FB98" s="296">
        <f>IF(EZ98=0,0,(FA98-EZ98)/EZ98*100)</f>
        <v>0</v>
      </c>
      <c r="FC98" s="5241"/>
      <c r="FD98" s="5241"/>
      <c r="FE98" s="296">
        <f>IF(FC98=0,0,(FD98-FC98)/FC98*100)</f>
        <v>0</v>
      </c>
      <c r="FF98" s="5241"/>
      <c r="FG98" s="5241"/>
      <c r="FH98" s="296">
        <f>IF(FF98=0,0,(FG98-FF98)/FF98*100)</f>
        <v>0</v>
      </c>
      <c r="FI98" s="5241"/>
      <c r="FJ98" s="5241"/>
      <c r="FK98" s="296">
        <f>IF(FI98=0,0,(FJ98-FI98)/FI98*100)</f>
        <v>0</v>
      </c>
      <c r="FL98" s="5241"/>
      <c r="FM98" s="5241"/>
      <c r="FN98" s="296">
        <f>IF(FL98=0,0,(FM98-FL98)/FL98*100)</f>
        <v>0</v>
      </c>
      <c r="FO98" s="5241"/>
      <c r="FP98" s="5241"/>
      <c r="FQ98" s="296">
        <f>IF(FO98=0,0,(FP98-FO98)/FO98*100)</f>
        <v>0</v>
      </c>
      <c r="FR98" s="5241"/>
      <c r="FS98" s="5241"/>
      <c r="FT98" s="296">
        <f>IF(FR98=0,0,(FS98-FR98)/FR98*100)</f>
        <v>0</v>
      </c>
      <c r="FU98" s="5241"/>
      <c r="FV98" s="5241"/>
      <c r="FW98" s="296">
        <f>IF(FU98=0,0,(FV98-FU98)/FU98*100)</f>
        <v>0</v>
      </c>
      <c r="FX98" s="292"/>
      <c r="FY98" s="292"/>
      <c r="FZ98" s="1055" t="s">
        <v>2342</v>
      </c>
      <c r="GA98" s="1055"/>
      <c r="GB98" s="1055"/>
      <c r="GC98" s="1056"/>
      <c r="GD98" s="1056"/>
    </row>
    <row s="1834" customFormat="1" customHeight="1" ht="14.25">
      <c r="A99" s="493"/>
      <c r="B99" s="925" cm="1" t="str">
        <f t="array" ref="B99:B99">B98</f>
        <v>true</v>
      </c>
      <c r="C99" s="493"/>
      <c r="D99" s="493"/>
      <c r="E99" s="840">
        <v>15</v>
      </c>
      <c r="F99" s="50" cm="1" t="str">
        <f t="array" ref="F99:F99">OFFSET(E99,-1,1)</f>
        <v>1</v>
      </c>
      <c r="G99" s="493"/>
      <c r="H99" s="493" t="s">
        <v>1179</v>
      </c>
      <c r="I99" s="493" t="s">
        <v>2343</v>
      </c>
      <c r="J99" s="493"/>
      <c r="K99" s="493"/>
      <c r="L99" s="493"/>
      <c r="M99" s="493"/>
      <c r="N99" s="493"/>
      <c r="O99" s="493"/>
      <c r="P99" s="493"/>
      <c r="Q99" s="493"/>
      <c r="R99" s="493"/>
      <c r="S99" s="493"/>
      <c r="T99" s="465" cm="1" t="str">
        <f t="array" ref="T99:T99">T98</f>
        <v>true</v>
      </c>
      <c r="U99" s="493"/>
      <c r="V99" s="493"/>
      <c r="W99" s="493"/>
      <c r="X99" s="1596"/>
      <c r="Y99" s="493"/>
      <c r="Z99" s="1545"/>
      <c r="AA99" s="493"/>
      <c r="AB99" s="1089" t="s">
        <v>2344</v>
      </c>
      <c r="AC99" s="864" t="s">
        <v>1170</v>
      </c>
      <c r="AD99" s="1092">
        <f>IF(AD97=0,0,AD98/AD97)*100</f>
        <v>109.998877509911</v>
      </c>
      <c r="AE99" s="1092">
        <f>IF(AE97=0,0,AE98/AE97)*100</f>
        <v>109.998878994103</v>
      </c>
      <c r="AF99" s="1093"/>
      <c r="AG99" s="1092">
        <f>IF(AG97=0,0,AG98/AG97)*100</f>
        <v>109.935800823391</v>
      </c>
      <c r="AH99" s="1092">
        <f>IF(AH97=0,0,AH98/AH97)*100</f>
        <v>109.935799534359</v>
      </c>
      <c r="AI99" s="1093"/>
      <c r="AJ99" s="1092">
        <f>IF(AJ97=0,0,AJ98/AJ97)*100</f>
        <v>104.28253577043</v>
      </c>
      <c r="AK99" s="1092">
        <f>IF(AK97=0,0,AK98/AK97)*100</f>
        <v>104.282536027988</v>
      </c>
      <c r="AL99" s="1093"/>
      <c r="AM99" s="1092">
        <f>IF(AM97=0,0,AM98/AM97)*100</f>
        <v>103.591106347023</v>
      </c>
      <c r="AN99" s="1092">
        <f>IF(AN97=0,0,AN98/AN97)*100</f>
        <v>103.591111356469</v>
      </c>
      <c r="AO99" s="1093"/>
      <c r="AP99" s="1092">
        <f>IF(AP97=0,0,AP98/AP97)*100</f>
        <v>106.758168707259</v>
      </c>
      <c r="AQ99" s="1092">
        <f>IF(AQ97=0,0,AQ98/AQ97)*100</f>
        <v>107.210224112308</v>
      </c>
      <c r="AR99" s="1093"/>
      <c r="AS99" s="1092">
        <f>IF(AS97=0,0,AS98/AS97)*100</f>
        <v>0</v>
      </c>
      <c r="AT99" s="1092">
        <f>IF(AT97=0,0,AT98/AT97)*100</f>
        <v>0</v>
      </c>
      <c r="AU99" s="1093"/>
      <c r="AV99" s="1092">
        <f>IF(AV97=0,0,AV98/AV97)*100</f>
        <v>0</v>
      </c>
      <c r="AW99" s="1092">
        <f>IF(AW97=0,0,AW98/AW97)*100</f>
        <v>0</v>
      </c>
      <c r="AX99" s="1093"/>
      <c r="AY99" s="1092">
        <f>IF(AY97=0,0,AY98/AY97)*100</f>
        <v>0</v>
      </c>
      <c r="AZ99" s="1092">
        <f>IF(AZ97=0,0,AZ98/AZ97)*100</f>
        <v>0</v>
      </c>
      <c r="BA99" s="1093"/>
      <c r="BB99" s="1092">
        <f>IF(BB97=0,0,BB98/BB97)*100</f>
        <v>0</v>
      </c>
      <c r="BC99" s="1092">
        <f>IF(BC97=0,0,BC98/BC97)*100</f>
        <v>0</v>
      </c>
      <c r="BD99" s="1093"/>
      <c r="BE99" s="1092">
        <f>IF(BE97=0,0,BE98/BE97)*100</f>
        <v>0</v>
      </c>
      <c r="BF99" s="1092">
        <f>IF(BF97=0,0,BF98/BF97)*100</f>
        <v>0</v>
      </c>
      <c r="BG99" s="1093"/>
      <c r="BH99" s="1092">
        <f>IF(BH97=0,0,BH98/BH97)*100</f>
        <v>0</v>
      </c>
      <c r="BI99" s="1092">
        <f>IF(BI97=0,0,BI98/BI97)*100</f>
        <v>0</v>
      </c>
      <c r="BJ99" s="1093"/>
      <c r="BK99" s="1092">
        <f>IF(BK97=0,0,BK98/BK97)*100</f>
        <v>0</v>
      </c>
      <c r="BL99" s="1092">
        <f>IF(BL97=0,0,BL98/BL97)*100</f>
        <v>0</v>
      </c>
      <c r="BM99" s="1093"/>
      <c r="BN99" s="1092">
        <f>IF(BN97=0,0,BN98/BN97)*100</f>
        <v>0</v>
      </c>
      <c r="BO99" s="1092">
        <f>IF(BO97=0,0,BO98/BO97)*100</f>
        <v>0</v>
      </c>
      <c r="BP99" s="1093"/>
      <c r="BQ99" s="1092">
        <f>IF(BQ97=0,0,BQ98/BQ97)*100</f>
        <v>0</v>
      </c>
      <c r="BR99" s="1092">
        <f>IF(BR97=0,0,BR98/BR97)*100</f>
        <v>0</v>
      </c>
      <c r="BS99" s="1093"/>
      <c r="BT99" s="1092">
        <f>IF(BT97=0,0,BT98/BT97)*100</f>
        <v>0</v>
      </c>
      <c r="BU99" s="1092">
        <f>IF(BU97=0,0,BU98/BU97)*100</f>
        <v>0</v>
      </c>
      <c r="BV99" s="1093"/>
      <c r="BW99" s="1092">
        <f>IF(BW97=0,0,BW98/BW97)*100</f>
        <v>0</v>
      </c>
      <c r="BX99" s="1092">
        <f>IF(BX97=0,0,BX98/BX97)*100</f>
        <v>0</v>
      </c>
      <c r="BY99" s="1093"/>
      <c r="BZ99" s="1092">
        <f>IF(BZ97=0,0,BZ98/BZ97)*100</f>
        <v>0</v>
      </c>
      <c r="CA99" s="1092">
        <f>IF(CA97=0,0,CA98/CA97)*100</f>
        <v>0</v>
      </c>
      <c r="CB99" s="1093"/>
      <c r="CC99" s="1092">
        <f>IF(CC97=0,0,CC98/CC97)*100</f>
        <v>0</v>
      </c>
      <c r="CD99" s="1092">
        <f>IF(CD97=0,0,CD98/CD97)*100</f>
        <v>0</v>
      </c>
      <c r="CE99" s="1093"/>
      <c r="CF99" s="1092">
        <f>IF(CF97=0,0,CF98/CF97)*100</f>
        <v>0</v>
      </c>
      <c r="CG99" s="1092">
        <f>IF(CG97=0,0,CG98/CG97)*100</f>
        <v>0</v>
      </c>
      <c r="CH99" s="1093"/>
      <c r="CI99" s="1092">
        <f>IF(CI97=0,0,CI98/CI97)*100</f>
        <v>0</v>
      </c>
      <c r="CJ99" s="1092">
        <f>IF(CJ97=0,0,CJ98/CJ97)*100</f>
        <v>0</v>
      </c>
      <c r="CK99" s="1093"/>
      <c r="CL99" s="1092">
        <f>IF(CL97=0,0,CL98/CL97)*100</f>
        <v>0</v>
      </c>
      <c r="CM99" s="1092">
        <f>IF(CM97=0,0,CM98/CM97)*100</f>
        <v>0</v>
      </c>
      <c r="CN99" s="1093"/>
      <c r="CO99" s="1092">
        <f>IF(CO97=0,0,CO98/CO97)*100</f>
        <v>0</v>
      </c>
      <c r="CP99" s="1092">
        <f>IF(CP97=0,0,CP98/CP97)*100</f>
        <v>0</v>
      </c>
      <c r="CQ99" s="1093"/>
      <c r="CR99" s="1092">
        <f>IF(CR97=0,0,CR98/CR97)*100</f>
        <v>0</v>
      </c>
      <c r="CS99" s="1092">
        <f>IF(CS97=0,0,CS98/CS97)*100</f>
        <v>0</v>
      </c>
      <c r="CT99" s="1093"/>
      <c r="CU99" s="1092">
        <f>IF(CU97=0,0,CU98/CU97)*100</f>
        <v>0</v>
      </c>
      <c r="CV99" s="1092">
        <f>IF(CV97=0,0,CV98/CV97)*100</f>
        <v>0</v>
      </c>
      <c r="CW99" s="1093"/>
      <c r="CX99" s="1092">
        <f>IF(CX97=0,0,CX98/CX97)*100</f>
        <v>0</v>
      </c>
      <c r="CY99" s="1092">
        <f>IF(CY97=0,0,CY98/CY97)*100</f>
        <v>0</v>
      </c>
      <c r="CZ99" s="1093"/>
      <c r="DA99" s="1092">
        <f>IF(DA97=0,0,DA98/DA97)*100</f>
        <v>0</v>
      </c>
      <c r="DB99" s="1092">
        <f>IF(DB97=0,0,DB98/DB97)*100</f>
        <v>0</v>
      </c>
      <c r="DC99" s="1093"/>
      <c r="DD99" s="1092">
        <f>IF(DD97=0,0,DD98/DD97)*100</f>
        <v>0</v>
      </c>
      <c r="DE99" s="1092">
        <f>IF(DE97=0,0,DE98/DE97)*100</f>
        <v>0</v>
      </c>
      <c r="DF99" s="1093"/>
      <c r="DG99" s="1092">
        <f>IF(DG97=0,0,DG98/DG97)*100</f>
        <v>0</v>
      </c>
      <c r="DH99" s="1092">
        <f>IF(DH97=0,0,DH98/DH97)*100</f>
        <v>0</v>
      </c>
      <c r="DI99" s="1093"/>
      <c r="DJ99" s="1092">
        <f>IF(DJ97=0,0,DJ98/DJ97)*100</f>
        <v>0</v>
      </c>
      <c r="DK99" s="1092">
        <f>IF(DK97=0,0,DK98/DK97)*100</f>
        <v>0</v>
      </c>
      <c r="DL99" s="1093"/>
      <c r="DM99" s="1092">
        <f>IF(DM97=0,0,DM98/DM97)*100</f>
        <v>0</v>
      </c>
      <c r="DN99" s="1092">
        <f>IF(DN97=0,0,DN98/DN97)*100</f>
        <v>0</v>
      </c>
      <c r="DO99" s="1093"/>
      <c r="DP99" s="1092">
        <f>IF(DP97=0,0,DP98/DP97)*100</f>
        <v>0</v>
      </c>
      <c r="DQ99" s="1092">
        <f>IF(DQ97=0,0,DQ98/DQ97)*100</f>
        <v>0</v>
      </c>
      <c r="DR99" s="1093"/>
      <c r="DS99" s="1092">
        <f>IF(DS97=0,0,DS98/DS97)*100</f>
        <v>0</v>
      </c>
      <c r="DT99" s="1092">
        <f>IF(DT97=0,0,DT98/DT97)*100</f>
        <v>0</v>
      </c>
      <c r="DU99" s="1093"/>
      <c r="DV99" s="1092">
        <f>IF(DV97=0,0,DV98/DV97)*100</f>
        <v>0</v>
      </c>
      <c r="DW99" s="1092">
        <f>IF(DW97=0,0,DW98/DW97)*100</f>
        <v>0</v>
      </c>
      <c r="DX99" s="1093"/>
      <c r="DY99" s="1092">
        <f>IF(DY97=0,0,DY98/DY97)*100</f>
        <v>0</v>
      </c>
      <c r="DZ99" s="1092">
        <f>IF(DZ97=0,0,DZ98/DZ97)*100</f>
        <v>0</v>
      </c>
      <c r="EA99" s="1093"/>
      <c r="EB99" s="1092">
        <f>IF(EB97=0,0,EB98/EB97)*100</f>
        <v>0</v>
      </c>
      <c r="EC99" s="1092">
        <f>IF(EC97=0,0,EC98/EC97)*100</f>
        <v>0</v>
      </c>
      <c r="ED99" s="1093"/>
      <c r="EE99" s="1092">
        <f>IF(EE97=0,0,EE98/EE97)*100</f>
        <v>0</v>
      </c>
      <c r="EF99" s="1092">
        <f>IF(EF97=0,0,EF98/EF97)*100</f>
        <v>0</v>
      </c>
      <c r="EG99" s="1093"/>
      <c r="EH99" s="1092">
        <f>IF(EH97=0,0,EH98/EH97)*100</f>
        <v>0</v>
      </c>
      <c r="EI99" s="1092">
        <f>IF(EI97=0,0,EI98/EI97)*100</f>
        <v>0</v>
      </c>
      <c r="EJ99" s="1093"/>
      <c r="EK99" s="1092">
        <f>IF(EK97=0,0,EK98/EK97)*100</f>
        <v>0</v>
      </c>
      <c r="EL99" s="1092">
        <f>IF(EL97=0,0,EL98/EL97)*100</f>
        <v>0</v>
      </c>
      <c r="EM99" s="1093"/>
      <c r="EN99" s="1092">
        <f>IF(EN97=0,0,EN98/EN97)*100</f>
        <v>0</v>
      </c>
      <c r="EO99" s="1092">
        <f>IF(EO97=0,0,EO98/EO97)*100</f>
        <v>0</v>
      </c>
      <c r="EP99" s="1093"/>
      <c r="EQ99" s="1092">
        <f>IF(EQ97=0,0,EQ98/EQ97)*100</f>
        <v>0</v>
      </c>
      <c r="ER99" s="1092">
        <f>IF(ER97=0,0,ER98/ER97)*100</f>
        <v>0</v>
      </c>
      <c r="ES99" s="1093"/>
      <c r="ET99" s="1092">
        <f>IF(ET97=0,0,ET98/ET97)*100</f>
        <v>0</v>
      </c>
      <c r="EU99" s="1092">
        <f>IF(EU97=0,0,EU98/EU97)*100</f>
        <v>0</v>
      </c>
      <c r="EV99" s="1093"/>
      <c r="EW99" s="1092">
        <f>IF(EW97=0,0,EW98/EW97)*100</f>
        <v>0</v>
      </c>
      <c r="EX99" s="1092">
        <f>IF(EX97=0,0,EX98/EX97)*100</f>
        <v>0</v>
      </c>
      <c r="EY99" s="1093"/>
      <c r="EZ99" s="1092">
        <f>IF(EZ97=0,0,EZ98/EZ97)*100</f>
        <v>0</v>
      </c>
      <c r="FA99" s="1092">
        <f>IF(FA97=0,0,FA98/FA97)*100</f>
        <v>0</v>
      </c>
      <c r="FB99" s="1093"/>
      <c r="FC99" s="1092">
        <f>IF(FC97=0,0,FC98/FC97)*100</f>
        <v>0</v>
      </c>
      <c r="FD99" s="1092">
        <f>IF(FD97=0,0,FD98/FD97)*100</f>
        <v>0</v>
      </c>
      <c r="FE99" s="1093"/>
      <c r="FF99" s="1092">
        <f>IF(FF97=0,0,FF98/FF97)*100</f>
        <v>0</v>
      </c>
      <c r="FG99" s="1092">
        <f>IF(FG97=0,0,FG98/FG97)*100</f>
        <v>0</v>
      </c>
      <c r="FH99" s="1093"/>
      <c r="FI99" s="1092">
        <f>IF(FI97=0,0,FI98/FI97)*100</f>
        <v>0</v>
      </c>
      <c r="FJ99" s="1092">
        <f>IF(FJ97=0,0,FJ98/FJ97)*100</f>
        <v>0</v>
      </c>
      <c r="FK99" s="1093"/>
      <c r="FL99" s="1092">
        <f>IF(FL97=0,0,FL98/FL97)*100</f>
        <v>0</v>
      </c>
      <c r="FM99" s="1092">
        <f>IF(FM97=0,0,FM98/FM97)*100</f>
        <v>0</v>
      </c>
      <c r="FN99" s="1093"/>
      <c r="FO99" s="1092">
        <f>IF(FO97=0,0,FO98/FO97)*100</f>
        <v>0</v>
      </c>
      <c r="FP99" s="1092">
        <f>IF(FP97=0,0,FP98/FP97)*100</f>
        <v>0</v>
      </c>
      <c r="FQ99" s="1093"/>
      <c r="FR99" s="1092">
        <f>IF(FR97=0,0,FR98/FR97)*100</f>
        <v>0</v>
      </c>
      <c r="FS99" s="1092">
        <f>IF(FS97=0,0,FS98/FS97)*100</f>
        <v>0</v>
      </c>
      <c r="FT99" s="1093"/>
      <c r="FU99" s="1092">
        <f>IF(FU97=0,0,FU98/FU97)*100</f>
        <v>0</v>
      </c>
      <c r="FV99" s="1092">
        <f>IF(FV97=0,0,FV98/FV97)*100</f>
        <v>0</v>
      </c>
      <c r="FW99" s="1093"/>
      <c r="FX99" s="292"/>
      <c r="FY99" s="1304"/>
      <c r="FZ99" s="1055" t="s">
        <v>2345</v>
      </c>
      <c r="GA99" s="1306"/>
      <c r="GB99" s="1306"/>
      <c r="GC99" s="1305"/>
      <c r="GD99" s="1305"/>
    </row>
    <row s="1834" customFormat="1" customHeight="1" ht="14.25">
      <c r="A100" s="493"/>
      <c r="B100" s="925" cm="1" t="str">
        <f t="array" ref="B100:B100">B99</f>
        <v>true</v>
      </c>
      <c r="C100" s="493"/>
      <c r="D100" s="493"/>
      <c r="E100" s="840">
        <v>15</v>
      </c>
      <c r="F100" s="50" cm="1" t="str">
        <f t="array" ref="F100:F100">OFFSET(E100,-1,1)</f>
        <v>1</v>
      </c>
      <c r="G100" s="107" t="s">
        <v>2346</v>
      </c>
      <c r="H100" s="493" t="s">
        <v>1182</v>
      </c>
      <c r="I100" s="493" t="s">
        <v>2343</v>
      </c>
      <c r="J100" s="493"/>
      <c r="K100" s="493"/>
      <c r="L100" s="493"/>
      <c r="M100" s="493"/>
      <c r="N100" s="493"/>
      <c r="O100" s="493"/>
      <c r="P100" s="493"/>
      <c r="Q100" s="493"/>
      <c r="R100" s="493"/>
      <c r="S100" s="493"/>
      <c r="T100" s="465" cm="1" t="str">
        <f t="array" ref="T100:T100">T99</f>
        <v>true</v>
      </c>
      <c r="U100" s="493"/>
      <c r="V100" s="493"/>
      <c r="W100" s="493"/>
      <c r="X100" s="1596"/>
      <c r="Y100" s="493"/>
      <c r="Z100" s="1545"/>
      <c r="AA100" s="493"/>
      <c r="AB100" s="1089" t="s">
        <v>2347</v>
      </c>
      <c r="AC100" s="864" t="s">
        <v>1247</v>
      </c>
      <c r="AD100" s="1094">
        <f>IF(AND(method_reg="Метод индексации",god&lt;&gt;first_year),_xlfn.SUMIFS(INDEX('Калькуляция (МИ корр)'!$AJ$25:$BC$747,,MATCH(AD$8,'Калькуляция (МИ корр)'!$AJ$8:$BC$8,0)),'Калькуляция (МИ корр)'!$F$25:$F$747,$F100,'Калькуляция (МИ корр)'!$G$25:$G$747,$G100),IF(method_reg="Метод экономически обоснованных расходов",_xlfn.SUMIFS('Калькуляция (МЭОР)'!$AJ$25:$AJ$452,'Калькуляция (МЭОР)'!$F$25:$F$452,$F100,'Калькуляция (МЭОР)'!$G$25:$G$452,$G100),IF(method_reg="Метод сравнения аналогов",_xlfn.SUMIFS('Калькуляция (МСА)'!$AE$25:$AE$122,'Калькуляция (МСА)'!$F$25:$F$122,$F100,'Калькуляция (МСА)'!$G$25:$G$122,$G100),_xlfn.SUMIFS(INDEX('Калькуляция (МИ)'!$AJ$25:$BC$747,,MATCH(AD$8,'Калькуляция (МИ)'!$AJ$8:$BC$8,0)),'Калькуляция (МИ)'!$F$25:$F$747,$F100,'Калькуляция (МИ)'!$G$25:$G$747,$G100))))</f>
        <v>2356.20182</v>
      </c>
      <c r="AE100" s="1094">
        <f>IF(AND(method_reg="Метод индексации",god&lt;&gt;first_year),_xlfn.SUMIFS(INDEX('Калькуляция (МИ корр)'!$AJ$25:$BC$747,,MATCH(AE$8,'Калькуляция (МИ корр)'!$AJ$8:$BC$8,0)),'Калькуляция (МИ корр)'!$F$25:$F$747,$F100,'Калькуляция (МИ корр)'!$G$25:$G$747,$G100),IF(method_reg="Метод экономически обоснованных расходов",_xlfn.SUMIFS('Калькуляция (МЭОР)'!$AK$25:$AK$452,'Калькуляция (МЭОР)'!$F$25:$F$452,$F100,'Калькуляция (МЭОР)'!$G$25:$G$452,$G100),IF(method_reg="Метод сравнения аналогов",_xlfn.SUMIFS('Калькуляция (МСА)'!$AF$25:$AF$122,'Калькуляция (МСА)'!$F$25:$F$122,$F100,'Калькуляция (МСА)'!$G$25:$G$122,$G100),_xlfn.SUMIFS(INDEX('Калькуляция (МИ)'!$AJ$25:$BC$747,,MATCH(AE$8,'Калькуляция (МИ)'!$AJ$8:$BC$8,0)),'Калькуляция (МИ)'!$F$25:$F$747,$F100,'Калькуляция (МИ)'!$G$25:$G$747,$G100))))</f>
        <v>2356.20182</v>
      </c>
      <c r="AF100" s="1095">
        <f>IF(AD100=0,0,(AE100-AD100)/AD100*100)</f>
        <v>0</v>
      </c>
      <c r="AG100" s="1094">
        <f>IF(AND(method_reg="Метод индексации",god&lt;&gt;first_year),_xlfn.SUMIFS(INDEX('Калькуляция (МИ корр)'!$AJ$25:$BC$747,,MATCH(AG$8,'Калькуляция (МИ корр)'!$AJ$8:$BC$8,0)),'Калькуляция (МИ корр)'!$F$25:$F$747,$F100,'Калькуляция (МИ корр)'!$G$25:$G$747,$G100),IF(method_reg="Метод экономически обоснованных расходов",_xlfn.SUMIFS('Калькуляция (МЭОР)'!$AJ$25:$AJ$452,'Калькуляция (МЭОР)'!$F$25:$F$452,$F100,'Калькуляция (МЭОР)'!$G$25:$G$452,$G100),IF(method_reg="Метод сравнения аналогов",_xlfn.SUMIFS('Калькуляция (МСА)'!$AE$25:$AE$122,'Калькуляция (МСА)'!$F$25:$F$122,$F100,'Калькуляция (МСА)'!$G$25:$G$122,$G100),_xlfn.SUMIFS(INDEX('Калькуляция (МИ)'!$AJ$25:$BC$747,,MATCH(AG$8,'Калькуляция (МИ)'!$AJ$8:$BC$8,0)),'Калькуляция (МИ)'!$F$25:$F$747,$F100,'Калькуляция (МИ)'!$G$25:$G$747,$G100))))</f>
        <v>2356.20182</v>
      </c>
      <c r="AH100" s="1094">
        <f>IF(AND(method_reg="Метод индексации",god&lt;&gt;first_year),_xlfn.SUMIFS(INDEX('Калькуляция (МИ корр)'!$AJ$25:$BC$747,,MATCH(AH$8,'Калькуляция (МИ корр)'!$AJ$8:$BC$8,0)),'Калькуляция (МИ корр)'!$F$25:$F$747,$F100,'Калькуляция (МИ корр)'!$G$25:$G$747,$G100),IF(method_reg="Метод экономически обоснованных расходов",_xlfn.SUMIFS('Калькуляция (МЭОР)'!$AK$25:$AK$452,'Калькуляция (МЭОР)'!$F$25:$F$452,$F100,'Калькуляция (МЭОР)'!$G$25:$G$452,$G100),IF(method_reg="Метод сравнения аналогов",_xlfn.SUMIFS('Калькуляция (МСА)'!$AF$25:$AF$122,'Калькуляция (МСА)'!$F$25:$F$122,$F100,'Калькуляция (МСА)'!$G$25:$G$122,$G100),_xlfn.SUMIFS(INDEX('Калькуляция (МИ)'!$AJ$25:$BC$747,,MATCH(AH$8,'Калькуляция (МИ)'!$AJ$8:$BC$8,0)),'Калькуляция (МИ)'!$F$25:$F$747,$F100,'Калькуляция (МИ)'!$G$25:$G$747,$G100))))</f>
        <v>2356.20182</v>
      </c>
      <c r="AI100" s="1095">
        <f>IF(AG100=0,0,(AH100-AG100)/AG100*100)</f>
        <v>0</v>
      </c>
      <c r="AJ100" s="1094">
        <f>IF(AND(method_reg="Метод индексации",god&lt;&gt;first_year),_xlfn.SUMIFS(INDEX('Калькуляция (МИ корр)'!$AJ$25:$BC$747,,MATCH(AJ$8,'Калькуляция (МИ корр)'!$AJ$8:$BC$8,0)),'Калькуляция (МИ корр)'!$F$25:$F$747,$F100,'Калькуляция (МИ корр)'!$G$25:$G$747,$G100),IF(method_reg="Метод экономически обоснованных расходов",_xlfn.SUMIFS('Калькуляция (МЭОР)'!$AJ$25:$AJ$452,'Калькуляция (МЭОР)'!$F$25:$F$452,$F100,'Калькуляция (МЭОР)'!$G$25:$G$452,$G100),IF(method_reg="Метод сравнения аналогов",_xlfn.SUMIFS('Калькуляция (МСА)'!$AE$25:$AE$122,'Калькуляция (МСА)'!$F$25:$F$122,$F100,'Калькуляция (МСА)'!$G$25:$G$122,$G100),_xlfn.SUMIFS(INDEX('Калькуляция (МИ)'!$AJ$25:$BC$747,,MATCH(AJ$8,'Калькуляция (МИ)'!$AJ$8:$BC$8,0)),'Калькуляция (МИ)'!$F$25:$F$747,$F100,'Калькуляция (МИ)'!$G$25:$G$747,$G100))))</f>
        <v>2356.20182</v>
      </c>
      <c r="AK100" s="1094">
        <f>IF(AND(method_reg="Метод индексации",god&lt;&gt;first_year),_xlfn.SUMIFS(INDEX('Калькуляция (МИ корр)'!$AJ$25:$BC$747,,MATCH(AK$8,'Калькуляция (МИ корр)'!$AJ$8:$BC$8,0)),'Калькуляция (МИ корр)'!$F$25:$F$747,$F100,'Калькуляция (МИ корр)'!$G$25:$G$747,$G100),IF(method_reg="Метод экономически обоснованных расходов",_xlfn.SUMIFS('Калькуляция (МЭОР)'!$AK$25:$AK$452,'Калькуляция (МЭОР)'!$F$25:$F$452,$F100,'Калькуляция (МЭОР)'!$G$25:$G$452,$G100),IF(method_reg="Метод сравнения аналогов",_xlfn.SUMIFS('Калькуляция (МСА)'!$AF$25:$AF$122,'Калькуляция (МСА)'!$F$25:$F$122,$F100,'Калькуляция (МСА)'!$G$25:$G$122,$G100),_xlfn.SUMIFS(INDEX('Калькуляция (МИ)'!$AJ$25:$BC$747,,MATCH(AK$8,'Калькуляция (МИ)'!$AJ$8:$BC$8,0)),'Калькуляция (МИ)'!$F$25:$F$747,$F100,'Калькуляция (МИ)'!$G$25:$G$747,$G100))))</f>
        <v>2356.20182</v>
      </c>
      <c r="AL100" s="1095">
        <f>IF(AJ100=0,0,(AK100-AJ100)/AJ100*100)</f>
        <v>0</v>
      </c>
      <c r="AM100" s="1094">
        <f>IF(AND(method_reg="Метод индексации",god&lt;&gt;first_year),_xlfn.SUMIFS(INDEX('Калькуляция (МИ корр)'!$AJ$25:$BC$747,,MATCH(AM$8,'Калькуляция (МИ корр)'!$AJ$8:$BC$8,0)),'Калькуляция (МИ корр)'!$F$25:$F$747,$F100,'Калькуляция (МИ корр)'!$G$25:$G$747,$G100),IF(method_reg="Метод экономически обоснованных расходов",_xlfn.SUMIFS('Калькуляция (МЭОР)'!$AJ$25:$AJ$452,'Калькуляция (МЭОР)'!$F$25:$F$452,$F100,'Калькуляция (МЭОР)'!$G$25:$G$452,$G100),IF(method_reg="Метод сравнения аналогов",_xlfn.SUMIFS('Калькуляция (МСА)'!$AE$25:$AE$122,'Калькуляция (МСА)'!$F$25:$F$122,$F100,'Калькуляция (МСА)'!$G$25:$G$122,$G100),_xlfn.SUMIFS(INDEX('Калькуляция (МИ)'!$AJ$25:$BC$747,,MATCH(AM$8,'Калькуляция (МИ)'!$AJ$8:$BC$8,0)),'Калькуляция (МИ)'!$F$25:$F$747,$F100,'Калькуляция (МИ)'!$G$25:$G$747,$G100))))</f>
        <v>2356.20182</v>
      </c>
      <c r="AN100" s="1094">
        <f>IF(AND(method_reg="Метод индексации",god&lt;&gt;first_year),_xlfn.SUMIFS(INDEX('Калькуляция (МИ корр)'!$AJ$25:$BC$747,,MATCH(AN$8,'Калькуляция (МИ корр)'!$AJ$8:$BC$8,0)),'Калькуляция (МИ корр)'!$F$25:$F$747,$F100,'Калькуляция (МИ корр)'!$G$25:$G$747,$G100),IF(method_reg="Метод экономически обоснованных расходов",_xlfn.SUMIFS('Калькуляция (МЭОР)'!$AK$25:$AK$452,'Калькуляция (МЭОР)'!$F$25:$F$452,$F100,'Калькуляция (МЭОР)'!$G$25:$G$452,$G100),IF(method_reg="Метод сравнения аналогов",_xlfn.SUMIFS('Калькуляция (МСА)'!$AF$25:$AF$122,'Калькуляция (МСА)'!$F$25:$F$122,$F100,'Калькуляция (МСА)'!$G$25:$G$122,$G100),_xlfn.SUMIFS(INDEX('Калькуляция (МИ)'!$AJ$25:$BC$747,,MATCH(AN$8,'Калькуляция (МИ)'!$AJ$8:$BC$8,0)),'Калькуляция (МИ)'!$F$25:$F$747,$F100,'Калькуляция (МИ)'!$G$25:$G$747,$G100))))</f>
        <v>2356.20182</v>
      </c>
      <c r="AO100" s="1095">
        <f>IF(AM100=0,0,(AN100-AM100)/AM100*100)</f>
        <v>0</v>
      </c>
      <c r="AP100" s="1094">
        <f>IF(AND(method_reg="Метод индексации",god&lt;&gt;first_year),_xlfn.SUMIFS(INDEX('Калькуляция (МИ корр)'!$AJ$25:$BC$747,,MATCH(AP$8,'Калькуляция (МИ корр)'!$AJ$8:$BC$8,0)),'Калькуляция (МИ корр)'!$F$25:$F$747,$F100,'Калькуляция (МИ корр)'!$G$25:$G$747,$G100),IF(method_reg="Метод экономически обоснованных расходов",_xlfn.SUMIFS('Калькуляция (МЭОР)'!$AJ$25:$AJ$452,'Калькуляция (МЭОР)'!$F$25:$F$452,$F100,'Калькуляция (МЭОР)'!$G$25:$G$452,$G100),IF(method_reg="Метод сравнения аналогов",_xlfn.SUMIFS('Калькуляция (МСА)'!$AE$25:$AE$122,'Калькуляция (МСА)'!$F$25:$F$122,$F100,'Калькуляция (МСА)'!$G$25:$G$122,$G100),_xlfn.SUMIFS(INDEX('Калькуляция (МИ)'!$AJ$25:$BC$747,,MATCH(AP$8,'Калькуляция (МИ)'!$AJ$8:$BC$8,0)),'Калькуляция (МИ)'!$F$25:$F$747,$F100,'Калькуляция (МИ)'!$G$25:$G$747,$G100))))</f>
        <v>2356.20182</v>
      </c>
      <c r="AQ100" s="1094">
        <f>IF(AND(method_reg="Метод индексации",god&lt;&gt;first_year),_xlfn.SUMIFS(INDEX('Калькуляция (МИ корр)'!$AJ$25:$BC$747,,MATCH(AQ$8,'Калькуляция (МИ корр)'!$AJ$8:$BC$8,0)),'Калькуляция (МИ корр)'!$F$25:$F$747,$F100,'Калькуляция (МИ корр)'!$G$25:$G$747,$G100),IF(method_reg="Метод экономически обоснованных расходов",_xlfn.SUMIFS('Калькуляция (МЭОР)'!$AK$25:$AK$452,'Калькуляция (МЭОР)'!$F$25:$F$452,$F100,'Калькуляция (МЭОР)'!$G$25:$G$452,$G100),IF(method_reg="Метод сравнения аналогов",_xlfn.SUMIFS('Калькуляция (МСА)'!$AF$25:$AF$122,'Калькуляция (МСА)'!$F$25:$F$122,$F100,'Калькуляция (МСА)'!$G$25:$G$122,$G100),_xlfn.SUMIFS(INDEX('Калькуляция (МИ)'!$AJ$25:$BC$747,,MATCH(AQ$8,'Калькуляция (МИ)'!$AJ$8:$BC$8,0)),'Калькуляция (МИ)'!$F$25:$F$747,$F100,'Калькуляция (МИ)'!$G$25:$G$747,$G100))))</f>
        <v>2356.20182</v>
      </c>
      <c r="AR100" s="1095">
        <f>IF(AP100=0,0,(AQ100-AP100)/AP100*100)</f>
        <v>0</v>
      </c>
      <c r="AS100" s="5247">
        <f>IF(AND(method_reg="Метод индексации",god&lt;&gt;first_year),_xlfn.SUMIFS(INDEX('Калькуляция (МИ корр)'!$AJ$25:$BC$747,,MATCH(AS$8,'Калькуляция (МИ корр)'!$AJ$8:$BC$8,0)),'Калькуляция (МИ корр)'!$F$25:$F$747,$F100,'Калькуляция (МИ корр)'!$G$25:$G$747,$G100),IF(method_reg="Метод экономически обоснованных расходов",_xlfn.SUMIFS('Калькуляция (МЭОР)'!$AJ$25:$AJ$452,'Калькуляция (МЭОР)'!$F$25:$F$452,$F100,'Калькуляция (МЭОР)'!$G$25:$G$452,$G100),IF(method_reg="Метод сравнения аналогов",_xlfn.SUMIFS('Калькуляция (МСА)'!$AE$25:$AE$122,'Калькуляция (МСА)'!$F$25:$F$122,$F100,'Калькуляция (МСА)'!$G$25:$G$122,$G100),_xlfn.SUMIFS(INDEX('Калькуляция (МИ)'!$AJ$25:$BC$747,,MATCH(AS$8,'Калькуляция (МИ)'!$AJ$8:$BC$8,0)),'Калькуляция (МИ)'!$F$25:$F$747,$F100,'Калькуляция (МИ)'!$G$25:$G$747,$G100))))</f>
        <v>0</v>
      </c>
      <c r="AT100" s="5247">
        <f>IF(AND(method_reg="Метод индексации",god&lt;&gt;first_year),_xlfn.SUMIFS(INDEX('Калькуляция (МИ корр)'!$AJ$25:$BC$747,,MATCH(AT$8,'Калькуляция (МИ корр)'!$AJ$8:$BC$8,0)),'Калькуляция (МИ корр)'!$F$25:$F$747,$F100,'Калькуляция (МИ корр)'!$G$25:$G$747,$G100),IF(method_reg="Метод экономически обоснованных расходов",_xlfn.SUMIFS('Калькуляция (МЭОР)'!$AK$25:$AK$452,'Калькуляция (МЭОР)'!$F$25:$F$452,$F100,'Калькуляция (МЭОР)'!$G$25:$G$452,$G100),IF(method_reg="Метод сравнения аналогов",_xlfn.SUMIFS('Калькуляция (МСА)'!$AF$25:$AF$122,'Калькуляция (МСА)'!$F$25:$F$122,$F100,'Калькуляция (МСА)'!$G$25:$G$122,$G100),_xlfn.SUMIFS(INDEX('Калькуляция (МИ)'!$AJ$25:$BC$747,,MATCH(AT$8,'Калькуляция (МИ)'!$AJ$8:$BC$8,0)),'Калькуляция (МИ)'!$F$25:$F$747,$F100,'Калькуляция (МИ)'!$G$25:$G$747,$G100))))</f>
        <v>0</v>
      </c>
      <c r="AU100" s="1095">
        <f>IF(AS100=0,0,(AT100-AS100)/AS100*100)</f>
        <v>0</v>
      </c>
      <c r="AV100" s="5247">
        <f>IF(AND(method_reg="Метод индексации",god&lt;&gt;first_year),_xlfn.SUMIFS(INDEX('Калькуляция (МИ корр)'!$AJ$25:$BC$747,,MATCH(AV$8,'Калькуляция (МИ корр)'!$AJ$8:$BC$8,0)),'Калькуляция (МИ корр)'!$F$25:$F$747,$F100,'Калькуляция (МИ корр)'!$G$25:$G$747,$G100),IF(method_reg="Метод экономически обоснованных расходов",_xlfn.SUMIFS('Калькуляция (МЭОР)'!$AJ$25:$AJ$452,'Калькуляция (МЭОР)'!$F$25:$F$452,$F100,'Калькуляция (МЭОР)'!$G$25:$G$452,$G100),IF(method_reg="Метод сравнения аналогов",_xlfn.SUMIFS('Калькуляция (МСА)'!$AE$25:$AE$122,'Калькуляция (МСА)'!$F$25:$F$122,$F100,'Калькуляция (МСА)'!$G$25:$G$122,$G100),_xlfn.SUMIFS(INDEX('Калькуляция (МИ)'!$AJ$25:$BC$747,,MATCH(AV$8,'Калькуляция (МИ)'!$AJ$8:$BC$8,0)),'Калькуляция (МИ)'!$F$25:$F$747,$F100,'Калькуляция (МИ)'!$G$25:$G$747,$G100))))</f>
        <v>0</v>
      </c>
      <c r="AW100" s="5247">
        <f>IF(AND(method_reg="Метод индексации",god&lt;&gt;first_year),_xlfn.SUMIFS(INDEX('Калькуляция (МИ корр)'!$AJ$25:$BC$747,,MATCH(AW$8,'Калькуляция (МИ корр)'!$AJ$8:$BC$8,0)),'Калькуляция (МИ корр)'!$F$25:$F$747,$F100,'Калькуляция (МИ корр)'!$G$25:$G$747,$G100),IF(method_reg="Метод экономически обоснованных расходов",_xlfn.SUMIFS('Калькуляция (МЭОР)'!$AK$25:$AK$452,'Калькуляция (МЭОР)'!$F$25:$F$452,$F100,'Калькуляция (МЭОР)'!$G$25:$G$452,$G100),IF(method_reg="Метод сравнения аналогов",_xlfn.SUMIFS('Калькуляция (МСА)'!$AF$25:$AF$122,'Калькуляция (МСА)'!$F$25:$F$122,$F100,'Калькуляция (МСА)'!$G$25:$G$122,$G100),_xlfn.SUMIFS(INDEX('Калькуляция (МИ)'!$AJ$25:$BC$747,,MATCH(AW$8,'Калькуляция (МИ)'!$AJ$8:$BC$8,0)),'Калькуляция (МИ)'!$F$25:$F$747,$F100,'Калькуляция (МИ)'!$G$25:$G$747,$G100))))</f>
        <v>0</v>
      </c>
      <c r="AX100" s="1095">
        <f>IF(AV100=0,0,(AW100-AV100)/AV100*100)</f>
        <v>0</v>
      </c>
      <c r="AY100" s="5247">
        <f>IF(AND(method_reg="Метод индексации",god&lt;&gt;first_year),_xlfn.SUMIFS(INDEX('Калькуляция (МИ корр)'!$AJ$25:$BC$747,,MATCH(AY$8,'Калькуляция (МИ корр)'!$AJ$8:$BC$8,0)),'Калькуляция (МИ корр)'!$F$25:$F$747,$F100,'Калькуляция (МИ корр)'!$G$25:$G$747,$G100),IF(method_reg="Метод экономически обоснованных расходов",_xlfn.SUMIFS('Калькуляция (МЭОР)'!$AJ$25:$AJ$452,'Калькуляция (МЭОР)'!$F$25:$F$452,$F100,'Калькуляция (МЭОР)'!$G$25:$G$452,$G100),IF(method_reg="Метод сравнения аналогов",_xlfn.SUMIFS('Калькуляция (МСА)'!$AE$25:$AE$122,'Калькуляция (МСА)'!$F$25:$F$122,$F100,'Калькуляция (МСА)'!$G$25:$G$122,$G100),_xlfn.SUMIFS(INDEX('Калькуляция (МИ)'!$AJ$25:$BC$747,,MATCH(AY$8,'Калькуляция (МИ)'!$AJ$8:$BC$8,0)),'Калькуляция (МИ)'!$F$25:$F$747,$F100,'Калькуляция (МИ)'!$G$25:$G$747,$G100))))</f>
        <v>0</v>
      </c>
      <c r="AZ100" s="5247">
        <f>IF(AND(method_reg="Метод индексации",god&lt;&gt;first_year),_xlfn.SUMIFS(INDEX('Калькуляция (МИ корр)'!$AJ$25:$BC$747,,MATCH(AZ$8,'Калькуляция (МИ корр)'!$AJ$8:$BC$8,0)),'Калькуляция (МИ корр)'!$F$25:$F$747,$F100,'Калькуляция (МИ корр)'!$G$25:$G$747,$G100),IF(method_reg="Метод экономически обоснованных расходов",_xlfn.SUMIFS('Калькуляция (МЭОР)'!$AK$25:$AK$452,'Калькуляция (МЭОР)'!$F$25:$F$452,$F100,'Калькуляция (МЭОР)'!$G$25:$G$452,$G100),IF(method_reg="Метод сравнения аналогов",_xlfn.SUMIFS('Калькуляция (МСА)'!$AF$25:$AF$122,'Калькуляция (МСА)'!$F$25:$F$122,$F100,'Калькуляция (МСА)'!$G$25:$G$122,$G100),_xlfn.SUMIFS(INDEX('Калькуляция (МИ)'!$AJ$25:$BC$747,,MATCH(AZ$8,'Калькуляция (МИ)'!$AJ$8:$BC$8,0)),'Калькуляция (МИ)'!$F$25:$F$747,$F100,'Калькуляция (МИ)'!$G$25:$G$747,$G100))))</f>
        <v>0</v>
      </c>
      <c r="BA100" s="1095">
        <f>IF(AY100=0,0,(AZ100-AY100)/AY100*100)</f>
        <v>0</v>
      </c>
      <c r="BB100" s="5247">
        <f>IF(AND(method_reg="Метод индексации",god&lt;&gt;first_year),_xlfn.SUMIFS(INDEX('Калькуляция (МИ корр)'!$AJ$25:$BC$747,,MATCH(BB$8,'Калькуляция (МИ корр)'!$AJ$8:$BC$8,0)),'Калькуляция (МИ корр)'!$F$25:$F$747,$F100,'Калькуляция (МИ корр)'!$G$25:$G$747,$G100),IF(method_reg="Метод экономически обоснованных расходов",_xlfn.SUMIFS('Калькуляция (МЭОР)'!$AJ$25:$AJ$452,'Калькуляция (МЭОР)'!$F$25:$F$452,$F100,'Калькуляция (МЭОР)'!$G$25:$G$452,$G100),IF(method_reg="Метод сравнения аналогов",_xlfn.SUMIFS('Калькуляция (МСА)'!$AE$25:$AE$122,'Калькуляция (МСА)'!$F$25:$F$122,$F100,'Калькуляция (МСА)'!$G$25:$G$122,$G100),_xlfn.SUMIFS(INDEX('Калькуляция (МИ)'!$AJ$25:$BC$747,,MATCH(BB$8,'Калькуляция (МИ)'!$AJ$8:$BC$8,0)),'Калькуляция (МИ)'!$F$25:$F$747,$F100,'Калькуляция (МИ)'!$G$25:$G$747,$G100))))</f>
        <v>0</v>
      </c>
      <c r="BC100" s="5247">
        <f>IF(AND(method_reg="Метод индексации",god&lt;&gt;first_year),_xlfn.SUMIFS(INDEX('Калькуляция (МИ корр)'!$AJ$25:$BC$747,,MATCH(BC$8,'Калькуляция (МИ корр)'!$AJ$8:$BC$8,0)),'Калькуляция (МИ корр)'!$F$25:$F$747,$F100,'Калькуляция (МИ корр)'!$G$25:$G$747,$G100),IF(method_reg="Метод экономически обоснованных расходов",_xlfn.SUMIFS('Калькуляция (МЭОР)'!$AK$25:$AK$452,'Калькуляция (МЭОР)'!$F$25:$F$452,$F100,'Калькуляция (МЭОР)'!$G$25:$G$452,$G100),IF(method_reg="Метод сравнения аналогов",_xlfn.SUMIFS('Калькуляция (МСА)'!$AF$25:$AF$122,'Калькуляция (МСА)'!$F$25:$F$122,$F100,'Калькуляция (МСА)'!$G$25:$G$122,$G100),_xlfn.SUMIFS(INDEX('Калькуляция (МИ)'!$AJ$25:$BC$747,,MATCH(BC$8,'Калькуляция (МИ)'!$AJ$8:$BC$8,0)),'Калькуляция (МИ)'!$F$25:$F$747,$F100,'Калькуляция (МИ)'!$G$25:$G$747,$G100))))</f>
        <v>0</v>
      </c>
      <c r="BD100" s="1095">
        <f>IF(BB100=0,0,(BC100-BB100)/BB100*100)</f>
        <v>0</v>
      </c>
      <c r="BE100" s="5247">
        <f>IF(AND(method_reg="Метод индексации",god&lt;&gt;first_year),_xlfn.SUMIFS(INDEX('Калькуляция (МИ корр)'!$AJ$25:$BC$747,,MATCH(BE$8,'Калькуляция (МИ корр)'!$AJ$8:$BC$8,0)),'Калькуляция (МИ корр)'!$F$25:$F$747,$F100,'Калькуляция (МИ корр)'!$G$25:$G$747,$G100),IF(method_reg="Метод экономически обоснованных расходов",_xlfn.SUMIFS('Калькуляция (МЭОР)'!$AJ$25:$AJ$452,'Калькуляция (МЭОР)'!$F$25:$F$452,$F100,'Калькуляция (МЭОР)'!$G$25:$G$452,$G100),IF(method_reg="Метод сравнения аналогов",_xlfn.SUMIFS('Калькуляция (МСА)'!$AE$25:$AE$122,'Калькуляция (МСА)'!$F$25:$F$122,$F100,'Калькуляция (МСА)'!$G$25:$G$122,$G100),_xlfn.SUMIFS(INDEX('Калькуляция (МИ)'!$AJ$25:$BC$747,,MATCH(BE$8,'Калькуляция (МИ)'!$AJ$8:$BC$8,0)),'Калькуляция (МИ)'!$F$25:$F$747,$F100,'Калькуляция (МИ)'!$G$25:$G$747,$G100))))</f>
        <v>0</v>
      </c>
      <c r="BF100" s="5247">
        <f>IF(AND(method_reg="Метод индексации",god&lt;&gt;first_year),_xlfn.SUMIFS(INDEX('Калькуляция (МИ корр)'!$AJ$25:$BC$747,,MATCH(BF$8,'Калькуляция (МИ корр)'!$AJ$8:$BC$8,0)),'Калькуляция (МИ корр)'!$F$25:$F$747,$F100,'Калькуляция (МИ корр)'!$G$25:$G$747,$G100),IF(method_reg="Метод экономически обоснованных расходов",_xlfn.SUMIFS('Калькуляция (МЭОР)'!$AK$25:$AK$452,'Калькуляция (МЭОР)'!$F$25:$F$452,$F100,'Калькуляция (МЭОР)'!$G$25:$G$452,$G100),IF(method_reg="Метод сравнения аналогов",_xlfn.SUMIFS('Калькуляция (МСА)'!$AF$25:$AF$122,'Калькуляция (МСА)'!$F$25:$F$122,$F100,'Калькуляция (МСА)'!$G$25:$G$122,$G100),_xlfn.SUMIFS(INDEX('Калькуляция (МИ)'!$AJ$25:$BC$747,,MATCH(BF$8,'Калькуляция (МИ)'!$AJ$8:$BC$8,0)),'Калькуляция (МИ)'!$F$25:$F$747,$F100,'Калькуляция (МИ)'!$G$25:$G$747,$G100))))</f>
        <v>0</v>
      </c>
      <c r="BG100" s="1095">
        <f>IF(BE100=0,0,(BF100-BE100)/BE100*100)</f>
        <v>0</v>
      </c>
      <c r="BH100" s="5247"/>
      <c r="BI100" s="5247"/>
      <c r="BJ100" s="1095">
        <f>IF(BH100=0,0,(BI100-BH100)/BH100*100)</f>
        <v>0</v>
      </c>
      <c r="BK100" s="5247"/>
      <c r="BL100" s="5247"/>
      <c r="BM100" s="1095">
        <f>IF(BK100=0,0,(BL100-BK100)/BK100*100)</f>
        <v>0</v>
      </c>
      <c r="BN100" s="5247"/>
      <c r="BO100" s="5247"/>
      <c r="BP100" s="1095">
        <f>IF(BN100=0,0,(BO100-BN100)/BN100*100)</f>
        <v>0</v>
      </c>
      <c r="BQ100" s="5247"/>
      <c r="BR100" s="5247"/>
      <c r="BS100" s="1095">
        <f>IF(BQ100=0,0,(BR100-BQ100)/BQ100*100)</f>
        <v>0</v>
      </c>
      <c r="BT100" s="5247"/>
      <c r="BU100" s="5247"/>
      <c r="BV100" s="1095">
        <f>IF(BT100=0,0,(BU100-BT100)/BT100*100)</f>
        <v>0</v>
      </c>
      <c r="BW100" s="5247"/>
      <c r="BX100" s="5247"/>
      <c r="BY100" s="1095">
        <f>IF(BW100=0,0,(BX100-BW100)/BW100*100)</f>
        <v>0</v>
      </c>
      <c r="BZ100" s="5247"/>
      <c r="CA100" s="5247"/>
      <c r="CB100" s="1095">
        <f>IF(BZ100=0,0,(CA100-BZ100)/BZ100*100)</f>
        <v>0</v>
      </c>
      <c r="CC100" s="5247"/>
      <c r="CD100" s="5247"/>
      <c r="CE100" s="1095">
        <f>IF(CC100=0,0,(CD100-CC100)/CC100*100)</f>
        <v>0</v>
      </c>
      <c r="CF100" s="5247"/>
      <c r="CG100" s="5247"/>
      <c r="CH100" s="1095">
        <f>IF(CF100=0,0,(CG100-CF100)/CF100*100)</f>
        <v>0</v>
      </c>
      <c r="CI100" s="5247"/>
      <c r="CJ100" s="5247"/>
      <c r="CK100" s="1095">
        <f>IF(CI100=0,0,(CJ100-CI100)/CI100*100)</f>
        <v>0</v>
      </c>
      <c r="CL100" s="5247"/>
      <c r="CM100" s="5247"/>
      <c r="CN100" s="1095">
        <f>IF(CL100=0,0,(CM100-CL100)/CL100*100)</f>
        <v>0</v>
      </c>
      <c r="CO100" s="5247"/>
      <c r="CP100" s="5247"/>
      <c r="CQ100" s="1095">
        <f>IF(CO100=0,0,(CP100-CO100)/CO100*100)</f>
        <v>0</v>
      </c>
      <c r="CR100" s="5247"/>
      <c r="CS100" s="5247"/>
      <c r="CT100" s="1095">
        <f>IF(CR100=0,0,(CS100-CR100)/CR100*100)</f>
        <v>0</v>
      </c>
      <c r="CU100" s="5247"/>
      <c r="CV100" s="5247"/>
      <c r="CW100" s="1095">
        <f>IF(CU100=0,0,(CV100-CU100)/CU100*100)</f>
        <v>0</v>
      </c>
      <c r="CX100" s="5247"/>
      <c r="CY100" s="5247"/>
      <c r="CZ100" s="1095">
        <f>IF(CX100=0,0,(CY100-CX100)/CX100*100)</f>
        <v>0</v>
      </c>
      <c r="DA100" s="5247"/>
      <c r="DB100" s="5247"/>
      <c r="DC100" s="1095">
        <f>IF(DA100=0,0,(DB100-DA100)/DA100*100)</f>
        <v>0</v>
      </c>
      <c r="DD100" s="5247"/>
      <c r="DE100" s="5247"/>
      <c r="DF100" s="1095">
        <f>IF(DD100=0,0,(DE100-DD100)/DD100*100)</f>
        <v>0</v>
      </c>
      <c r="DG100" s="5247"/>
      <c r="DH100" s="5247"/>
      <c r="DI100" s="1095">
        <f>IF(DG100=0,0,(DH100-DG100)/DG100*100)</f>
        <v>0</v>
      </c>
      <c r="DJ100" s="5247"/>
      <c r="DK100" s="5247"/>
      <c r="DL100" s="1095">
        <f>IF(DJ100=0,0,(DK100-DJ100)/DJ100*100)</f>
        <v>0</v>
      </c>
      <c r="DM100" s="5247"/>
      <c r="DN100" s="5247"/>
      <c r="DO100" s="1095">
        <f>IF(DM100=0,0,(DN100-DM100)/DM100*100)</f>
        <v>0</v>
      </c>
      <c r="DP100" s="5247"/>
      <c r="DQ100" s="5247"/>
      <c r="DR100" s="1095">
        <f>IF(DP100=0,0,(DQ100-DP100)/DP100*100)</f>
        <v>0</v>
      </c>
      <c r="DS100" s="5247"/>
      <c r="DT100" s="5247"/>
      <c r="DU100" s="1095">
        <f>IF(DS100=0,0,(DT100-DS100)/DS100*100)</f>
        <v>0</v>
      </c>
      <c r="DV100" s="5247"/>
      <c r="DW100" s="5247"/>
      <c r="DX100" s="1095">
        <f>IF(DV100=0,0,(DW100-DV100)/DV100*100)</f>
        <v>0</v>
      </c>
      <c r="DY100" s="5247"/>
      <c r="DZ100" s="5247"/>
      <c r="EA100" s="1095">
        <f>IF(DY100=0,0,(DZ100-DY100)/DY100*100)</f>
        <v>0</v>
      </c>
      <c r="EB100" s="5247"/>
      <c r="EC100" s="5247"/>
      <c r="ED100" s="1095">
        <f>IF(EB100=0,0,(EC100-EB100)/EB100*100)</f>
        <v>0</v>
      </c>
      <c r="EE100" s="5247"/>
      <c r="EF100" s="5247"/>
      <c r="EG100" s="1095">
        <f>IF(EE100=0,0,(EF100-EE100)/EE100*100)</f>
        <v>0</v>
      </c>
      <c r="EH100" s="5247"/>
      <c r="EI100" s="5247"/>
      <c r="EJ100" s="1095">
        <f>IF(EH100=0,0,(EI100-EH100)/EH100*100)</f>
        <v>0</v>
      </c>
      <c r="EK100" s="5247"/>
      <c r="EL100" s="5247"/>
      <c r="EM100" s="1095">
        <f>IF(EK100=0,0,(EL100-EK100)/EK100*100)</f>
        <v>0</v>
      </c>
      <c r="EN100" s="5247"/>
      <c r="EO100" s="5247"/>
      <c r="EP100" s="1095">
        <f>IF(EN100=0,0,(EO100-EN100)/EN100*100)</f>
        <v>0</v>
      </c>
      <c r="EQ100" s="5247"/>
      <c r="ER100" s="5247"/>
      <c r="ES100" s="1095">
        <f>IF(EQ100=0,0,(ER100-EQ100)/EQ100*100)</f>
        <v>0</v>
      </c>
      <c r="ET100" s="5247"/>
      <c r="EU100" s="5247"/>
      <c r="EV100" s="1095">
        <f>IF(ET100=0,0,(EU100-ET100)/ET100*100)</f>
        <v>0</v>
      </c>
      <c r="EW100" s="5247"/>
      <c r="EX100" s="5247"/>
      <c r="EY100" s="1095">
        <f>IF(EW100=0,0,(EX100-EW100)/EW100*100)</f>
        <v>0</v>
      </c>
      <c r="EZ100" s="5247"/>
      <c r="FA100" s="5247"/>
      <c r="FB100" s="1095">
        <f>IF(EZ100=0,0,(FA100-EZ100)/EZ100*100)</f>
        <v>0</v>
      </c>
      <c r="FC100" s="5247"/>
      <c r="FD100" s="5247"/>
      <c r="FE100" s="1095">
        <f>IF(FC100=0,0,(FD100-FC100)/FC100*100)</f>
        <v>0</v>
      </c>
      <c r="FF100" s="5247"/>
      <c r="FG100" s="5247"/>
      <c r="FH100" s="1095">
        <f>IF(FF100=0,0,(FG100-FF100)/FF100*100)</f>
        <v>0</v>
      </c>
      <c r="FI100" s="5247"/>
      <c r="FJ100" s="5247"/>
      <c r="FK100" s="1095">
        <f>IF(FI100=0,0,(FJ100-FI100)/FI100*100)</f>
        <v>0</v>
      </c>
      <c r="FL100" s="5247"/>
      <c r="FM100" s="5247"/>
      <c r="FN100" s="1095">
        <f>IF(FL100=0,0,(FM100-FL100)/FL100*100)</f>
        <v>0</v>
      </c>
      <c r="FO100" s="5247"/>
      <c r="FP100" s="5247"/>
      <c r="FQ100" s="1095">
        <f>IF(FO100=0,0,(FP100-FO100)/FO100*100)</f>
        <v>0</v>
      </c>
      <c r="FR100" s="5247"/>
      <c r="FS100" s="5247"/>
      <c r="FT100" s="1095">
        <f>IF(FR100=0,0,(FS100-FR100)/FR100*100)</f>
        <v>0</v>
      </c>
      <c r="FU100" s="5247"/>
      <c r="FV100" s="5247"/>
      <c r="FW100" s="1095">
        <f>IF(FU100=0,0,(FV100-FU100)/FU100*100)</f>
        <v>0</v>
      </c>
      <c r="FX100" s="292"/>
      <c r="FY100" s="1304"/>
      <c r="FZ100" s="1055" t="s">
        <v>2348</v>
      </c>
      <c r="GA100" s="1306"/>
      <c r="GB100" s="1306"/>
      <c r="GC100" s="1305"/>
      <c r="GD100" s="1305"/>
    </row>
    <row s="5283" customFormat="1" customHeight="1" ht="23.25">
      <c r="A101" s="897"/>
      <c r="B101" s="925" cm="1" t="str">
        <f t="array" ref="B101:B101">B100</f>
        <v>true</v>
      </c>
      <c r="C101" s="897"/>
      <c r="D101" s="897"/>
      <c r="E101" s="898">
        <v>24.5</v>
      </c>
      <c r="F101" s="50" cm="1" t="str">
        <f t="array" ref="F101:F101">OFFSET(E101,-1,1)</f>
        <v>1</v>
      </c>
      <c r="G101" s="107" t="s">
        <v>2349</v>
      </c>
      <c r="H101" s="493" t="s">
        <v>1175</v>
      </c>
      <c r="I101" s="493" t="s">
        <v>2350</v>
      </c>
      <c r="J101" s="897"/>
      <c r="K101" s="897"/>
      <c r="L101" s="493"/>
      <c r="M101" s="897"/>
      <c r="N101" s="897"/>
      <c r="O101" s="897"/>
      <c r="P101" s="897"/>
      <c r="Q101" s="897"/>
      <c r="R101" s="493"/>
      <c r="S101" s="493"/>
      <c r="T101" s="465" cm="1" t="str">
        <f t="array" ref="T101:T101">T100</f>
        <v>true</v>
      </c>
      <c r="U101" s="897"/>
      <c r="V101" s="897"/>
      <c r="W101" s="897"/>
      <c r="X101" s="1596"/>
      <c r="Y101" s="897"/>
      <c r="Z101" s="1545"/>
      <c r="AA101" s="897"/>
      <c r="AB101" s="293" t="s">
        <v>2351</v>
      </c>
      <c r="AC101" s="294" t="s">
        <v>2337</v>
      </c>
      <c r="AD101" s="899">
        <f>IF(AND(method_reg="Метод индексации",god&lt;&gt;first_year),_xlfn.SUMIFS(INDEX('Калькуляция (МИ корр)'!$AJ$25:$BC$747,,MATCH(AD$8,'Калькуляция (МИ корр)'!$AJ$8:$BC$8,0)),'Калькуляция (МИ корр)'!$F$25:$F$747,$F101,'Калькуляция (МИ корр)'!$G$25:$G$747,$G101),IF(method_reg="Метод экономически обоснованных расходов",_xlfn.SUMIFS('Калькуляция (МЭОР)'!$AJ$25:$AJ$452,'Калькуляция (МЭОР)'!$F$25:$F$452,$F101,'Калькуляция (МЭОР)'!$G$25:$G$452,$G101),IF(method_reg="Метод сравнения аналогов",_xlfn.SUMIFS('Калькуляция (МСА)'!$AE$25:$AE$122,'Калькуляция (МСА)'!$F$25:$F$122,$F101,'Калькуляция (МСА)'!$G$25:$G$122,$G101),_xlfn.SUMIFS(INDEX('Калькуляция (МИ)'!$AJ$25:$BC$747,,MATCH(AD$8,'Калькуляция (МИ)'!$AJ$8:$BC$8,0)),'Калькуляция (МИ)'!$F$25:$F$747,$F101,'Калькуляция (МИ)'!$G$25:$G$747,$G101))))</f>
        <v>108.8362</v>
      </c>
      <c r="AE101" s="899">
        <f>IF(AND(method_reg="Метод индексации",god&lt;&gt;first_year),_xlfn.SUMIFS(INDEX('Калькуляция (МИ корр)'!$AJ$25:$BC$747,,MATCH(AE$8,'Калькуляция (МИ корр)'!$AJ$8:$BC$8,0)),'Калькуляция (МИ корр)'!$F$25:$F$747,$F101,'Калькуляция (МИ корр)'!$G$25:$G$747,$G101),IF(method_reg="Метод экономически обоснованных расходов",_xlfn.SUMIFS('Калькуляция (МЭОР)'!$AK$25:$AK$452,'Калькуляция (МЭОР)'!$F$25:$F$452,$F101,'Калькуляция (МЭОР)'!$G$25:$G$452,$G101),IF(method_reg="Метод сравнения аналогов",_xlfn.SUMIFS('Калькуляция (МСА)'!$AF$25:$AF$122,'Калькуляция (МСА)'!$F$25:$F$122,$F101,'Калькуляция (МСА)'!$G$25:$G$122,$G101),_xlfn.SUMIFS(INDEX('Калькуляция (МИ)'!$AJ$25:$BC$747,,MATCH(AE$8,'Калькуляция (МИ)'!$AJ$8:$BC$8,0)),'Калькуляция (МИ)'!$F$25:$F$747,$F101,'Калькуляция (МИ)'!$G$25:$G$747,$G101))))</f>
        <v>108.8362</v>
      </c>
      <c r="AF101" s="296">
        <f>IF(AD101=0,0,(AE101-AD101)/AD101*100)</f>
        <v>0</v>
      </c>
      <c r="AG101" s="899">
        <f>IF(AND(method_reg="Метод индексации",god&lt;&gt;first_year),_xlfn.SUMIFS(INDEX('Калькуляция (МИ корр)'!$AJ$25:$BC$747,,MATCH(AG$8,'Калькуляция (МИ корр)'!$AJ$8:$BC$8,0)),'Калькуляция (МИ корр)'!$F$25:$F$747,$F101,'Калькуляция (МИ корр)'!$G$25:$G$747,$G101),IF(method_reg="Метод экономически обоснованных расходов",_xlfn.SUMIFS('Калькуляция (МЭОР)'!$AJ$25:$AJ$452,'Калькуляция (МЭОР)'!$F$25:$F$452,$F101,'Калькуляция (МЭОР)'!$G$25:$G$452,$G101),IF(method_reg="Метод сравнения аналогов",_xlfn.SUMIFS('Калькуляция (МСА)'!$AE$25:$AE$122,'Калькуляция (МСА)'!$F$25:$F$122,$F101,'Калькуляция (МСА)'!$G$25:$G$122,$G101),_xlfn.SUMIFS(INDEX('Калькуляция (МИ)'!$AJ$25:$BC$747,,MATCH(AG$8,'Калькуляция (МИ)'!$AJ$8:$BC$8,0)),'Калькуляция (МИ)'!$F$25:$F$747,$F101,'Калькуляция (МИ)'!$G$25:$G$747,$G101))))</f>
        <v>119.7186</v>
      </c>
      <c r="AH101" s="899">
        <f>IF(AND(method_reg="Метод индексации",god&lt;&gt;first_year),_xlfn.SUMIFS(INDEX('Калькуляция (МИ корр)'!$AJ$25:$BC$747,,MATCH(AH$8,'Калькуляция (МИ корр)'!$AJ$8:$BC$8,0)),'Калькуляция (МИ корр)'!$F$25:$F$747,$F101,'Калькуляция (МИ корр)'!$G$25:$G$747,$G101),IF(method_reg="Метод экономически обоснованных расходов",_xlfn.SUMIFS('Калькуляция (МЭОР)'!$AK$25:$AK$452,'Калькуляция (МЭОР)'!$F$25:$F$452,$F101,'Калькуляция (МЭОР)'!$G$25:$G$452,$G101),IF(method_reg="Метод сравнения аналогов",_xlfn.SUMIFS('Калькуляция (МСА)'!$AF$25:$AF$122,'Калькуляция (МСА)'!$F$25:$F$122,$F101,'Калькуляция (МСА)'!$G$25:$G$122,$G101),_xlfn.SUMIFS(INDEX('Калькуляция (МИ)'!$AJ$25:$BC$747,,MATCH(AH$8,'Калькуляция (МИ)'!$AJ$8:$BC$8,0)),'Калькуляция (МИ)'!$F$25:$F$747,$F101,'Калькуляция (МИ)'!$G$25:$G$747,$G101))))</f>
        <v>119.71859993978</v>
      </c>
      <c r="AI101" s="296">
        <f>IF(AG101=0,0,(AH101-AG101)/AG101*100)</f>
        <v>-5.03012806660064e-8</v>
      </c>
      <c r="AJ101" s="899">
        <f>IF(AND(method_reg="Метод индексации",god&lt;&gt;first_year),_xlfn.SUMIFS(INDEX('Калькуляция (МИ корр)'!$AJ$25:$BC$747,,MATCH(AJ$8,'Калькуляция (МИ корр)'!$AJ$8:$BC$8,0)),'Калькуляция (МИ корр)'!$F$25:$F$747,$F101,'Калькуляция (МИ корр)'!$G$25:$G$747,$G101),IF(method_reg="Метод экономически обоснованных расходов",_xlfn.SUMIFS('Калькуляция (МЭОР)'!$AJ$25:$AJ$452,'Калькуляция (МЭОР)'!$F$25:$F$452,$F101,'Калькуляция (МЭОР)'!$G$25:$G$452,$G101),IF(method_reg="Метод сравнения аналогов",_xlfn.SUMIFS('Калькуляция (МСА)'!$AE$25:$AE$122,'Калькуляция (МСА)'!$F$25:$F$122,$F101,'Калькуляция (МСА)'!$G$25:$G$122,$G101),_xlfn.SUMIFS(INDEX('Калькуляция (МИ)'!$AJ$25:$BC$747,,MATCH(AJ$8,'Калькуляция (МИ)'!$AJ$8:$BC$8,0)),'Калькуляция (МИ)'!$F$25:$F$747,$F101,'Калькуляция (МИ)'!$G$25:$G$747,$G101))))</f>
        <v>131.6136</v>
      </c>
      <c r="AK101" s="899">
        <f>IF(AND(method_reg="Метод индексации",god&lt;&gt;first_year),_xlfn.SUMIFS(INDEX('Калькуляция (МИ корр)'!$AJ$25:$BC$747,,MATCH(AK$8,'Калькуляция (МИ корр)'!$AJ$8:$BC$8,0)),'Калькуляция (МИ корр)'!$F$25:$F$747,$F101,'Калькуляция (МИ корр)'!$G$25:$G$747,$G101),IF(method_reg="Метод экономически обоснованных расходов",_xlfn.SUMIFS('Калькуляция (МЭОР)'!$AK$25:$AK$452,'Калькуляция (МЭОР)'!$F$25:$F$452,$F101,'Калькуляция (МЭОР)'!$G$25:$G$452,$G101),IF(method_reg="Метод сравнения аналогов",_xlfn.SUMIFS('Калькуляция (МСА)'!$AF$25:$AF$122,'Калькуляция (МСА)'!$F$25:$F$122,$F101,'Калькуляция (МСА)'!$G$25:$G$122,$G101),_xlfn.SUMIFS(INDEX('Калькуляция (МИ)'!$AJ$25:$BC$747,,MATCH(AK$8,'Калькуляция (МИ)'!$AJ$8:$BC$8,0)),'Калькуляция (МИ)'!$F$25:$F$747,$F101,'Калькуляция (МИ)'!$G$25:$G$747,$G101))))</f>
        <v>131.613600035137</v>
      </c>
      <c r="AL101" s="296">
        <f>IF(AJ101=0,0,(AK101-AJ101)/AJ101*100)</f>
        <v>2.66971045578597e-8</v>
      </c>
      <c r="AM101" s="899">
        <f>IF(AND(method_reg="Метод индексации",god&lt;&gt;first_year),_xlfn.SUMIFS(INDEX('Калькуляция (МИ корр)'!$AJ$25:$BC$747,,MATCH(AM$8,'Калькуляция (МИ корр)'!$AJ$8:$BC$8,0)),'Калькуляция (МИ корр)'!$F$25:$F$747,$F101,'Калькуляция (МИ корр)'!$G$25:$G$747,$G101),IF(method_reg="Метод экономически обоснованных расходов",_xlfn.SUMIFS('Калькуляция (МЭОР)'!$AJ$25:$AJ$452,'Калькуляция (МЭОР)'!$F$25:$F$452,$F101,'Калькуляция (МЭОР)'!$G$25:$G$452,$G101),IF(method_reg="Метод сравнения аналогов",_xlfn.SUMIFS('Калькуляция (МСА)'!$AE$25:$AE$122,'Калькуляция (МСА)'!$F$25:$F$122,$F101,'Калькуляция (МСА)'!$G$25:$G$122,$G101),_xlfn.SUMIFS(INDEX('Калькуляция (МИ)'!$AJ$25:$BC$747,,MATCH(AM$8,'Калькуляция (МИ)'!$AJ$8:$BC$8,0)),'Калькуляция (МИ)'!$F$25:$F$747,$F101,'Калькуляция (МИ)'!$G$25:$G$747,$G101))))</f>
        <v>137.25</v>
      </c>
      <c r="AN101" s="899">
        <f>IF(AND(method_reg="Метод индексации",god&lt;&gt;first_year),_xlfn.SUMIFS(INDEX('Калькуляция (МИ корр)'!$AJ$25:$BC$747,,MATCH(AN$8,'Калькуляция (МИ корр)'!$AJ$8:$BC$8,0)),'Калькуляция (МИ корр)'!$F$25:$F$747,$F101,'Калькуляция (МИ корр)'!$G$25:$G$747,$G101),IF(method_reg="Метод экономически обоснованных расходов",_xlfn.SUMIFS('Калькуляция (МЭОР)'!$AK$25:$AK$452,'Калькуляция (МЭОР)'!$F$25:$F$452,$F101,'Калькуляция (МЭОР)'!$G$25:$G$452,$G101),IF(method_reg="Метод сравнения аналогов",_xlfn.SUMIFS('Калькуляция (МСА)'!$AF$25:$AF$122,'Калькуляция (МСА)'!$F$25:$F$122,$F101,'Калькуляция (МСА)'!$G$25:$G$122,$G101),_xlfn.SUMIFS(INDEX('Калькуляция (МИ)'!$AJ$25:$BC$747,,MATCH(AN$8,'Калькуляция (МИ)'!$AJ$8:$BC$8,0)),'Калькуляция (МИ)'!$F$25:$F$747,$F101,'Калькуляция (МИ)'!$G$25:$G$747,$G101))))</f>
        <v>137.249999874374</v>
      </c>
      <c r="AO101" s="296">
        <f>IF(AM101=0,0,(AN101-AM101)/AM101*100)</f>
        <v>-9.1530784732579e-8</v>
      </c>
      <c r="AP101" s="899">
        <f>IF(AND(method_reg="Метод индексации",god&lt;&gt;first_year),_xlfn.SUMIFS(INDEX('Калькуляция (МИ корр)'!$AJ$25:$BC$747,,MATCH(AP$8,'Калькуляция (МИ корр)'!$AJ$8:$BC$8,0)),'Калькуляция (МИ корр)'!$F$25:$F$747,$F101,'Калькуляция (МИ корр)'!$G$25:$G$747,$G101),IF(method_reg="Метод экономически обоснованных расходов",_xlfn.SUMIFS('Калькуляция (МЭОР)'!$AJ$25:$AJ$452,'Калькуляция (МЭОР)'!$F$25:$F$452,$F101,'Калькуляция (МЭОР)'!$G$25:$G$452,$G101),IF(method_reg="Метод сравнения аналогов",_xlfn.SUMIFS('Калькуляция (МСА)'!$AE$25:$AE$122,'Калькуляция (МСА)'!$F$25:$F$122,$F101,'Калькуляция (МСА)'!$G$25:$G$122,$G101),_xlfn.SUMIFS(INDEX('Калькуляция (МИ)'!$AJ$25:$BC$747,,MATCH(AP$8,'Калькуляция (МИ)'!$AJ$8:$BC$8,0)),'Калькуляция (МИ)'!$F$25:$F$747,$F101,'Калькуляция (МИ)'!$G$25:$G$747,$G101))))</f>
        <v>142.1788</v>
      </c>
      <c r="AQ101" s="899">
        <f>IF(AND(method_reg="Метод индексации",god&lt;&gt;first_year),_xlfn.SUMIFS(INDEX('Калькуляция (МИ корр)'!$AJ$25:$BC$747,,MATCH(AQ$8,'Калькуляция (МИ корр)'!$AJ$8:$BC$8,0)),'Калькуляция (МИ корр)'!$F$25:$F$747,$F101,'Калькуляция (МИ корр)'!$G$25:$G$747,$G101),IF(method_reg="Метод экономически обоснованных расходов",_xlfn.SUMIFS('Калькуляция (МЭОР)'!$AK$25:$AK$452,'Калькуляция (МЭОР)'!$F$25:$F$452,$F101,'Калькуляция (МЭОР)'!$G$25:$G$452,$G101),IF(method_reg="Метод сравнения аналогов",_xlfn.SUMIFS('Калькуляция (МСА)'!$AF$25:$AF$122,'Калькуляция (МСА)'!$F$25:$F$122,$F101,'Калькуляция (МСА)'!$G$25:$G$122,$G101),_xlfn.SUMIFS(INDEX('Калькуляция (МИ)'!$AJ$25:$BC$747,,MATCH(AQ$8,'Калькуляция (МИ)'!$AJ$8:$BC$8,0)),'Калькуляция (МИ)'!$F$25:$F$747,$F101,'Калькуляция (МИ)'!$G$25:$G$747,$G101))))</f>
        <v>142.178800206617</v>
      </c>
      <c r="AR101" s="296">
        <f>IF(AP101=0,0,(AQ101-AP101)/AP101*100)</f>
        <v>1.45321958568446e-7</v>
      </c>
      <c r="AS101" s="5239">
        <f>IF(AND(method_reg="Метод индексации",god&lt;&gt;first_year),_xlfn.SUMIFS(INDEX('Калькуляция (МИ корр)'!$AJ$25:$BC$747,,MATCH(AS$8,'Калькуляция (МИ корр)'!$AJ$8:$BC$8,0)),'Калькуляция (МИ корр)'!$F$25:$F$747,$F101,'Калькуляция (МИ корр)'!$G$25:$G$747,$G101),IF(method_reg="Метод экономически обоснованных расходов",_xlfn.SUMIFS('Калькуляция (МЭОР)'!$AJ$25:$AJ$452,'Калькуляция (МЭОР)'!$F$25:$F$452,$F101,'Калькуляция (МЭОР)'!$G$25:$G$452,$G101),IF(method_reg="Метод сравнения аналогов",_xlfn.SUMIFS('Калькуляция (МСА)'!$AE$25:$AE$122,'Калькуляция (МСА)'!$F$25:$F$122,$F101,'Калькуляция (МСА)'!$G$25:$G$122,$G101),_xlfn.SUMIFS(INDEX('Калькуляция (МИ)'!$AJ$25:$BC$747,,MATCH(AS$8,'Калькуляция (МИ)'!$AJ$8:$BC$8,0)),'Калькуляция (МИ)'!$F$25:$F$747,$F101,'Калькуляция (МИ)'!$G$25:$G$747,$G101))))</f>
        <v>0</v>
      </c>
      <c r="AT101" s="5239">
        <f>IF(AND(method_reg="Метод индексации",god&lt;&gt;first_year),_xlfn.SUMIFS(INDEX('Калькуляция (МИ корр)'!$AJ$25:$BC$747,,MATCH(AT$8,'Калькуляция (МИ корр)'!$AJ$8:$BC$8,0)),'Калькуляция (МИ корр)'!$F$25:$F$747,$F101,'Калькуляция (МИ корр)'!$G$25:$G$747,$G101),IF(method_reg="Метод экономически обоснованных расходов",_xlfn.SUMIFS('Калькуляция (МЭОР)'!$AK$25:$AK$452,'Калькуляция (МЭОР)'!$F$25:$F$452,$F101,'Калькуляция (МЭОР)'!$G$25:$G$452,$G101),IF(method_reg="Метод сравнения аналогов",_xlfn.SUMIFS('Калькуляция (МСА)'!$AF$25:$AF$122,'Калькуляция (МСА)'!$F$25:$F$122,$F101,'Калькуляция (МСА)'!$G$25:$G$122,$G101),_xlfn.SUMIFS(INDEX('Калькуляция (МИ)'!$AJ$25:$BC$747,,MATCH(AT$8,'Калькуляция (МИ)'!$AJ$8:$BC$8,0)),'Калькуляция (МИ)'!$F$25:$F$747,$F101,'Калькуляция (МИ)'!$G$25:$G$747,$G101))))</f>
        <v>0</v>
      </c>
      <c r="AU101" s="296">
        <f>IF(AS101=0,0,(AT101-AS101)/AS101*100)</f>
        <v>0</v>
      </c>
      <c r="AV101" s="5239">
        <f>IF(AND(method_reg="Метод индексации",god&lt;&gt;first_year),_xlfn.SUMIFS(INDEX('Калькуляция (МИ корр)'!$AJ$25:$BC$747,,MATCH(AV$8,'Калькуляция (МИ корр)'!$AJ$8:$BC$8,0)),'Калькуляция (МИ корр)'!$F$25:$F$747,$F101,'Калькуляция (МИ корр)'!$G$25:$G$747,$G101),IF(method_reg="Метод экономически обоснованных расходов",_xlfn.SUMIFS('Калькуляция (МЭОР)'!$AJ$25:$AJ$452,'Калькуляция (МЭОР)'!$F$25:$F$452,$F101,'Калькуляция (МЭОР)'!$G$25:$G$452,$G101),IF(method_reg="Метод сравнения аналогов",_xlfn.SUMIFS('Калькуляция (МСА)'!$AE$25:$AE$122,'Калькуляция (МСА)'!$F$25:$F$122,$F101,'Калькуляция (МСА)'!$G$25:$G$122,$G101),_xlfn.SUMIFS(INDEX('Калькуляция (МИ)'!$AJ$25:$BC$747,,MATCH(AV$8,'Калькуляция (МИ)'!$AJ$8:$BC$8,0)),'Калькуляция (МИ)'!$F$25:$F$747,$F101,'Калькуляция (МИ)'!$G$25:$G$747,$G101))))</f>
        <v>0</v>
      </c>
      <c r="AW101" s="5239">
        <f>IF(AND(method_reg="Метод индексации",god&lt;&gt;first_year),_xlfn.SUMIFS(INDEX('Калькуляция (МИ корр)'!$AJ$25:$BC$747,,MATCH(AW$8,'Калькуляция (МИ корр)'!$AJ$8:$BC$8,0)),'Калькуляция (МИ корр)'!$F$25:$F$747,$F101,'Калькуляция (МИ корр)'!$G$25:$G$747,$G101),IF(method_reg="Метод экономически обоснованных расходов",_xlfn.SUMIFS('Калькуляция (МЭОР)'!$AK$25:$AK$452,'Калькуляция (МЭОР)'!$F$25:$F$452,$F101,'Калькуляция (МЭОР)'!$G$25:$G$452,$G101),IF(method_reg="Метод сравнения аналогов",_xlfn.SUMIFS('Калькуляция (МСА)'!$AF$25:$AF$122,'Калькуляция (МСА)'!$F$25:$F$122,$F101,'Калькуляция (МСА)'!$G$25:$G$122,$G101),_xlfn.SUMIFS(INDEX('Калькуляция (МИ)'!$AJ$25:$BC$747,,MATCH(AW$8,'Калькуляция (МИ)'!$AJ$8:$BC$8,0)),'Калькуляция (МИ)'!$F$25:$F$747,$F101,'Калькуляция (МИ)'!$G$25:$G$747,$G101))))</f>
        <v>0</v>
      </c>
      <c r="AX101" s="296">
        <f>IF(AV101=0,0,(AW101-AV101)/AV101*100)</f>
        <v>0</v>
      </c>
      <c r="AY101" s="5239">
        <f>IF(AND(method_reg="Метод индексации",god&lt;&gt;first_year),_xlfn.SUMIFS(INDEX('Калькуляция (МИ корр)'!$AJ$25:$BC$747,,MATCH(AY$8,'Калькуляция (МИ корр)'!$AJ$8:$BC$8,0)),'Калькуляция (МИ корр)'!$F$25:$F$747,$F101,'Калькуляция (МИ корр)'!$G$25:$G$747,$G101),IF(method_reg="Метод экономически обоснованных расходов",_xlfn.SUMIFS('Калькуляция (МЭОР)'!$AJ$25:$AJ$452,'Калькуляция (МЭОР)'!$F$25:$F$452,$F101,'Калькуляция (МЭОР)'!$G$25:$G$452,$G101),IF(method_reg="Метод сравнения аналогов",_xlfn.SUMIFS('Калькуляция (МСА)'!$AE$25:$AE$122,'Калькуляция (МСА)'!$F$25:$F$122,$F101,'Калькуляция (МСА)'!$G$25:$G$122,$G101),_xlfn.SUMIFS(INDEX('Калькуляция (МИ)'!$AJ$25:$BC$747,,MATCH(AY$8,'Калькуляция (МИ)'!$AJ$8:$BC$8,0)),'Калькуляция (МИ)'!$F$25:$F$747,$F101,'Калькуляция (МИ)'!$G$25:$G$747,$G101))))</f>
        <v>0</v>
      </c>
      <c r="AZ101" s="5239">
        <f>IF(AND(method_reg="Метод индексации",god&lt;&gt;first_year),_xlfn.SUMIFS(INDEX('Калькуляция (МИ корр)'!$AJ$25:$BC$747,,MATCH(AZ$8,'Калькуляция (МИ корр)'!$AJ$8:$BC$8,0)),'Калькуляция (МИ корр)'!$F$25:$F$747,$F101,'Калькуляция (МИ корр)'!$G$25:$G$747,$G101),IF(method_reg="Метод экономически обоснованных расходов",_xlfn.SUMIFS('Калькуляция (МЭОР)'!$AK$25:$AK$452,'Калькуляция (МЭОР)'!$F$25:$F$452,$F101,'Калькуляция (МЭОР)'!$G$25:$G$452,$G101),IF(method_reg="Метод сравнения аналогов",_xlfn.SUMIFS('Калькуляция (МСА)'!$AF$25:$AF$122,'Калькуляция (МСА)'!$F$25:$F$122,$F101,'Калькуляция (МСА)'!$G$25:$G$122,$G101),_xlfn.SUMIFS(INDEX('Калькуляция (МИ)'!$AJ$25:$BC$747,,MATCH(AZ$8,'Калькуляция (МИ)'!$AJ$8:$BC$8,0)),'Калькуляция (МИ)'!$F$25:$F$747,$F101,'Калькуляция (МИ)'!$G$25:$G$747,$G101))))</f>
        <v>0</v>
      </c>
      <c r="BA101" s="296">
        <f>IF(AY101=0,0,(AZ101-AY101)/AY101*100)</f>
        <v>0</v>
      </c>
      <c r="BB101" s="5239">
        <f>IF(AND(method_reg="Метод индексации",god&lt;&gt;first_year),_xlfn.SUMIFS(INDEX('Калькуляция (МИ корр)'!$AJ$25:$BC$747,,MATCH(BB$8,'Калькуляция (МИ корр)'!$AJ$8:$BC$8,0)),'Калькуляция (МИ корр)'!$F$25:$F$747,$F101,'Калькуляция (МИ корр)'!$G$25:$G$747,$G101),IF(method_reg="Метод экономически обоснованных расходов",_xlfn.SUMIFS('Калькуляция (МЭОР)'!$AJ$25:$AJ$452,'Калькуляция (МЭОР)'!$F$25:$F$452,$F101,'Калькуляция (МЭОР)'!$G$25:$G$452,$G101),IF(method_reg="Метод сравнения аналогов",_xlfn.SUMIFS('Калькуляция (МСА)'!$AE$25:$AE$122,'Калькуляция (МСА)'!$F$25:$F$122,$F101,'Калькуляция (МСА)'!$G$25:$G$122,$G101),_xlfn.SUMIFS(INDEX('Калькуляция (МИ)'!$AJ$25:$BC$747,,MATCH(BB$8,'Калькуляция (МИ)'!$AJ$8:$BC$8,0)),'Калькуляция (МИ)'!$F$25:$F$747,$F101,'Калькуляция (МИ)'!$G$25:$G$747,$G101))))</f>
        <v>0</v>
      </c>
      <c r="BC101" s="5239">
        <f>IF(AND(method_reg="Метод индексации",god&lt;&gt;first_year),_xlfn.SUMIFS(INDEX('Калькуляция (МИ корр)'!$AJ$25:$BC$747,,MATCH(BC$8,'Калькуляция (МИ корр)'!$AJ$8:$BC$8,0)),'Калькуляция (МИ корр)'!$F$25:$F$747,$F101,'Калькуляция (МИ корр)'!$G$25:$G$747,$G101),IF(method_reg="Метод экономически обоснованных расходов",_xlfn.SUMIFS('Калькуляция (МЭОР)'!$AK$25:$AK$452,'Калькуляция (МЭОР)'!$F$25:$F$452,$F101,'Калькуляция (МЭОР)'!$G$25:$G$452,$G101),IF(method_reg="Метод сравнения аналогов",_xlfn.SUMIFS('Калькуляция (МСА)'!$AF$25:$AF$122,'Калькуляция (МСА)'!$F$25:$F$122,$F101,'Калькуляция (МСА)'!$G$25:$G$122,$G101),_xlfn.SUMIFS(INDEX('Калькуляция (МИ)'!$AJ$25:$BC$747,,MATCH(BC$8,'Калькуляция (МИ)'!$AJ$8:$BC$8,0)),'Калькуляция (МИ)'!$F$25:$F$747,$F101,'Калькуляция (МИ)'!$G$25:$G$747,$G101))))</f>
        <v>0</v>
      </c>
      <c r="BD101" s="296">
        <f>IF(BB101=0,0,(BC101-BB101)/BB101*100)</f>
        <v>0</v>
      </c>
      <c r="BE101" s="5239">
        <f>IF(AND(method_reg="Метод индексации",god&lt;&gt;first_year),_xlfn.SUMIFS(INDEX('Калькуляция (МИ корр)'!$AJ$25:$BC$747,,MATCH(BE$8,'Калькуляция (МИ корр)'!$AJ$8:$BC$8,0)),'Калькуляция (МИ корр)'!$F$25:$F$747,$F101,'Калькуляция (МИ корр)'!$G$25:$G$747,$G101),IF(method_reg="Метод экономически обоснованных расходов",_xlfn.SUMIFS('Калькуляция (МЭОР)'!$AJ$25:$AJ$452,'Калькуляция (МЭОР)'!$F$25:$F$452,$F101,'Калькуляция (МЭОР)'!$G$25:$G$452,$G101),IF(method_reg="Метод сравнения аналогов",_xlfn.SUMIFS('Калькуляция (МСА)'!$AE$25:$AE$122,'Калькуляция (МСА)'!$F$25:$F$122,$F101,'Калькуляция (МСА)'!$G$25:$G$122,$G101),_xlfn.SUMIFS(INDEX('Калькуляция (МИ)'!$AJ$25:$BC$747,,MATCH(BE$8,'Калькуляция (МИ)'!$AJ$8:$BC$8,0)),'Калькуляция (МИ)'!$F$25:$F$747,$F101,'Калькуляция (МИ)'!$G$25:$G$747,$G101))))</f>
        <v>0</v>
      </c>
      <c r="BF101" s="5239">
        <f>IF(AND(method_reg="Метод индексации",god&lt;&gt;first_year),_xlfn.SUMIFS(INDEX('Калькуляция (МИ корр)'!$AJ$25:$BC$747,,MATCH(BF$8,'Калькуляция (МИ корр)'!$AJ$8:$BC$8,0)),'Калькуляция (МИ корр)'!$F$25:$F$747,$F101,'Калькуляция (МИ корр)'!$G$25:$G$747,$G101),IF(method_reg="Метод экономически обоснованных расходов",_xlfn.SUMIFS('Калькуляция (МЭОР)'!$AK$25:$AK$452,'Калькуляция (МЭОР)'!$F$25:$F$452,$F101,'Калькуляция (МЭОР)'!$G$25:$G$452,$G101),IF(method_reg="Метод сравнения аналогов",_xlfn.SUMIFS('Калькуляция (МСА)'!$AF$25:$AF$122,'Калькуляция (МСА)'!$F$25:$F$122,$F101,'Калькуляция (МСА)'!$G$25:$G$122,$G101),_xlfn.SUMIFS(INDEX('Калькуляция (МИ)'!$AJ$25:$BC$747,,MATCH(BF$8,'Калькуляция (МИ)'!$AJ$8:$BC$8,0)),'Калькуляция (МИ)'!$F$25:$F$747,$F101,'Калькуляция (МИ)'!$G$25:$G$747,$G101))))</f>
        <v>0</v>
      </c>
      <c r="BG101" s="296">
        <f>IF(BE101=0,0,(BF101-BE101)/BE101*100)</f>
        <v>0</v>
      </c>
      <c r="BH101" s="5239"/>
      <c r="BI101" s="5239"/>
      <c r="BJ101" s="296">
        <f>IF(BH101=0,0,(BI101-BH101)/BH101*100)</f>
        <v>0</v>
      </c>
      <c r="BK101" s="5239"/>
      <c r="BL101" s="5239"/>
      <c r="BM101" s="296">
        <f>IF(BK101=0,0,(BL101-BK101)/BK101*100)</f>
        <v>0</v>
      </c>
      <c r="BN101" s="5239"/>
      <c r="BO101" s="5239"/>
      <c r="BP101" s="296">
        <f>IF(BN101=0,0,(BO101-BN101)/BN101*100)</f>
        <v>0</v>
      </c>
      <c r="BQ101" s="5239"/>
      <c r="BR101" s="5239"/>
      <c r="BS101" s="296">
        <f>IF(BQ101=0,0,(BR101-BQ101)/BQ101*100)</f>
        <v>0</v>
      </c>
      <c r="BT101" s="5239"/>
      <c r="BU101" s="5239"/>
      <c r="BV101" s="296">
        <f>IF(BT101=0,0,(BU101-BT101)/BT101*100)</f>
        <v>0</v>
      </c>
      <c r="BW101" s="5239"/>
      <c r="BX101" s="5239"/>
      <c r="BY101" s="296">
        <f>IF(BW101=0,0,(BX101-BW101)/BW101*100)</f>
        <v>0</v>
      </c>
      <c r="BZ101" s="5239"/>
      <c r="CA101" s="5239"/>
      <c r="CB101" s="296">
        <f>IF(BZ101=0,0,(CA101-BZ101)/BZ101*100)</f>
        <v>0</v>
      </c>
      <c r="CC101" s="5239"/>
      <c r="CD101" s="5239"/>
      <c r="CE101" s="296">
        <f>IF(CC101=0,0,(CD101-CC101)/CC101*100)</f>
        <v>0</v>
      </c>
      <c r="CF101" s="5239"/>
      <c r="CG101" s="5239"/>
      <c r="CH101" s="296">
        <f>IF(CF101=0,0,(CG101-CF101)/CF101*100)</f>
        <v>0</v>
      </c>
      <c r="CI101" s="5239"/>
      <c r="CJ101" s="5239"/>
      <c r="CK101" s="296">
        <f>IF(CI101=0,0,(CJ101-CI101)/CI101*100)</f>
        <v>0</v>
      </c>
      <c r="CL101" s="5239"/>
      <c r="CM101" s="5239"/>
      <c r="CN101" s="296">
        <f>IF(CL101=0,0,(CM101-CL101)/CL101*100)</f>
        <v>0</v>
      </c>
      <c r="CO101" s="5239"/>
      <c r="CP101" s="5239"/>
      <c r="CQ101" s="296">
        <f>IF(CO101=0,0,(CP101-CO101)/CO101*100)</f>
        <v>0</v>
      </c>
      <c r="CR101" s="5239"/>
      <c r="CS101" s="5239"/>
      <c r="CT101" s="296">
        <f>IF(CR101=0,0,(CS101-CR101)/CR101*100)</f>
        <v>0</v>
      </c>
      <c r="CU101" s="5239"/>
      <c r="CV101" s="5239"/>
      <c r="CW101" s="296">
        <f>IF(CU101=0,0,(CV101-CU101)/CU101*100)</f>
        <v>0</v>
      </c>
      <c r="CX101" s="5239"/>
      <c r="CY101" s="5239"/>
      <c r="CZ101" s="296">
        <f>IF(CX101=0,0,(CY101-CX101)/CX101*100)</f>
        <v>0</v>
      </c>
      <c r="DA101" s="5239"/>
      <c r="DB101" s="5239"/>
      <c r="DC101" s="296">
        <f>IF(DA101=0,0,(DB101-DA101)/DA101*100)</f>
        <v>0</v>
      </c>
      <c r="DD101" s="5239"/>
      <c r="DE101" s="5239"/>
      <c r="DF101" s="296">
        <f>IF(DD101=0,0,(DE101-DD101)/DD101*100)</f>
        <v>0</v>
      </c>
      <c r="DG101" s="5239"/>
      <c r="DH101" s="5239"/>
      <c r="DI101" s="296">
        <f>IF(DG101=0,0,(DH101-DG101)/DG101*100)</f>
        <v>0</v>
      </c>
      <c r="DJ101" s="5239"/>
      <c r="DK101" s="5239"/>
      <c r="DL101" s="296">
        <f>IF(DJ101=0,0,(DK101-DJ101)/DJ101*100)</f>
        <v>0</v>
      </c>
      <c r="DM101" s="5239"/>
      <c r="DN101" s="5239"/>
      <c r="DO101" s="296">
        <f>IF(DM101=0,0,(DN101-DM101)/DM101*100)</f>
        <v>0</v>
      </c>
      <c r="DP101" s="5239"/>
      <c r="DQ101" s="5239"/>
      <c r="DR101" s="296">
        <f>IF(DP101=0,0,(DQ101-DP101)/DP101*100)</f>
        <v>0</v>
      </c>
      <c r="DS101" s="5239"/>
      <c r="DT101" s="5239"/>
      <c r="DU101" s="296">
        <f>IF(DS101=0,0,(DT101-DS101)/DS101*100)</f>
        <v>0</v>
      </c>
      <c r="DV101" s="5239"/>
      <c r="DW101" s="5239"/>
      <c r="DX101" s="296">
        <f>IF(DV101=0,0,(DW101-DV101)/DV101*100)</f>
        <v>0</v>
      </c>
      <c r="DY101" s="5239"/>
      <c r="DZ101" s="5239"/>
      <c r="EA101" s="296">
        <f>IF(DY101=0,0,(DZ101-DY101)/DY101*100)</f>
        <v>0</v>
      </c>
      <c r="EB101" s="5239"/>
      <c r="EC101" s="5239"/>
      <c r="ED101" s="296">
        <f>IF(EB101=0,0,(EC101-EB101)/EB101*100)</f>
        <v>0</v>
      </c>
      <c r="EE101" s="5239"/>
      <c r="EF101" s="5239"/>
      <c r="EG101" s="296">
        <f>IF(EE101=0,0,(EF101-EE101)/EE101*100)</f>
        <v>0</v>
      </c>
      <c r="EH101" s="5239"/>
      <c r="EI101" s="5239"/>
      <c r="EJ101" s="296">
        <f>IF(EH101=0,0,(EI101-EH101)/EH101*100)</f>
        <v>0</v>
      </c>
      <c r="EK101" s="5239"/>
      <c r="EL101" s="5239"/>
      <c r="EM101" s="296">
        <f>IF(EK101=0,0,(EL101-EK101)/EK101*100)</f>
        <v>0</v>
      </c>
      <c r="EN101" s="5239"/>
      <c r="EO101" s="5239"/>
      <c r="EP101" s="296">
        <f>IF(EN101=0,0,(EO101-EN101)/EN101*100)</f>
        <v>0</v>
      </c>
      <c r="EQ101" s="5239"/>
      <c r="ER101" s="5239"/>
      <c r="ES101" s="296">
        <f>IF(EQ101=0,0,(ER101-EQ101)/EQ101*100)</f>
        <v>0</v>
      </c>
      <c r="ET101" s="5239"/>
      <c r="EU101" s="5239"/>
      <c r="EV101" s="296">
        <f>IF(ET101=0,0,(EU101-ET101)/ET101*100)</f>
        <v>0</v>
      </c>
      <c r="EW101" s="5239"/>
      <c r="EX101" s="5239"/>
      <c r="EY101" s="296">
        <f>IF(EW101=0,0,(EX101-EW101)/EW101*100)</f>
        <v>0</v>
      </c>
      <c r="EZ101" s="5239"/>
      <c r="FA101" s="5239"/>
      <c r="FB101" s="296">
        <f>IF(EZ101=0,0,(FA101-EZ101)/EZ101*100)</f>
        <v>0</v>
      </c>
      <c r="FC101" s="5239"/>
      <c r="FD101" s="5239"/>
      <c r="FE101" s="296">
        <f>IF(FC101=0,0,(FD101-FC101)/FC101*100)</f>
        <v>0</v>
      </c>
      <c r="FF101" s="5239"/>
      <c r="FG101" s="5239"/>
      <c r="FH101" s="296">
        <f>IF(FF101=0,0,(FG101-FF101)/FF101*100)</f>
        <v>0</v>
      </c>
      <c r="FI101" s="5239"/>
      <c r="FJ101" s="5239"/>
      <c r="FK101" s="296">
        <f>IF(FI101=0,0,(FJ101-FI101)/FI101*100)</f>
        <v>0</v>
      </c>
      <c r="FL101" s="5239"/>
      <c r="FM101" s="5239"/>
      <c r="FN101" s="296">
        <f>IF(FL101=0,0,(FM101-FL101)/FL101*100)</f>
        <v>0</v>
      </c>
      <c r="FO101" s="5239"/>
      <c r="FP101" s="5239"/>
      <c r="FQ101" s="296">
        <f>IF(FO101=0,0,(FP101-FO101)/FO101*100)</f>
        <v>0</v>
      </c>
      <c r="FR101" s="5239"/>
      <c r="FS101" s="5239"/>
      <c r="FT101" s="296">
        <f>IF(FR101=0,0,(FS101-FR101)/FR101*100)</f>
        <v>0</v>
      </c>
      <c r="FU101" s="5239"/>
      <c r="FV101" s="5239"/>
      <c r="FW101" s="296">
        <f>IF(FU101=0,0,(FV101-FU101)/FU101*100)</f>
        <v>0</v>
      </c>
      <c r="FX101" s="292"/>
      <c r="FY101" s="292"/>
      <c r="FZ101" s="1055" t="s">
        <v>2352</v>
      </c>
      <c r="GA101" s="1055"/>
      <c r="GB101" s="1055"/>
      <c r="GC101" s="1056"/>
      <c r="GD101" s="1056"/>
    </row>
    <row s="5284" customFormat="1" customHeight="1" ht="23.25">
      <c r="A102" s="897"/>
      <c r="B102" s="925" cm="1" t="str">
        <f t="array" ref="B102:B102">B101</f>
        <v>true</v>
      </c>
      <c r="C102" s="897"/>
      <c r="D102" s="897"/>
      <c r="E102" s="898">
        <v>24.5</v>
      </c>
      <c r="F102" s="50" cm="1" t="str">
        <f t="array" ref="F102:F102">OFFSET(E102,-1,1)</f>
        <v>1</v>
      </c>
      <c r="G102" s="107" t="s">
        <v>2353</v>
      </c>
      <c r="H102" s="493" t="s">
        <v>1175</v>
      </c>
      <c r="I102" s="493" t="s">
        <v>2354</v>
      </c>
      <c r="J102" s="897"/>
      <c r="K102" s="897"/>
      <c r="L102" s="493"/>
      <c r="M102" s="897"/>
      <c r="N102" s="897"/>
      <c r="O102" s="897"/>
      <c r="P102" s="897"/>
      <c r="Q102" s="897"/>
      <c r="R102" s="493"/>
      <c r="S102" s="493"/>
      <c r="T102" s="465" cm="1" t="str">
        <f t="array" ref="T102:T102">T101</f>
        <v>true</v>
      </c>
      <c r="U102" s="897"/>
      <c r="V102" s="897"/>
      <c r="W102" s="897"/>
      <c r="X102" s="1596"/>
      <c r="Y102" s="897"/>
      <c r="Z102" s="1545"/>
      <c r="AA102" s="897"/>
      <c r="AB102" s="1090" t="s">
        <v>2355</v>
      </c>
      <c r="AC102" s="294" t="s">
        <v>2337</v>
      </c>
      <c r="AD102" s="899">
        <f>IF(AND(method_reg="Метод индексации",god&lt;&gt;first_year),_xlfn.SUMIFS(INDEX('Калькуляция (МИ корр)'!$AJ$25:$BC$747,,MATCH(AD$8,'Калькуляция (МИ корр)'!$AJ$8:$BC$8,0)),'Калькуляция (МИ корр)'!$F$25:$F$747,$F102,'Калькуляция (МИ корр)'!$G$25:$G$747,$G102),IF(method_reg="Метод экономически обоснованных расходов",_xlfn.SUMIFS('Калькуляция (МЭОР)'!$AJ$25:$AJ$452,'Калькуляция (МЭОР)'!$F$25:$F$452,$F102,'Калькуляция (МЭОР)'!$G$25:$G$452,$G102),IF(method_reg="Метод сравнения аналогов",_xlfn.SUMIFS('Калькуляция (МСА)'!$AE$25:$AE$122,'Калькуляция (МСА)'!$F$25:$F$122,$F102,'Калькуляция (МСА)'!$G$25:$G$122,$G102),_xlfn.SUMIFS(INDEX('Калькуляция (МИ)'!$AJ$25:$BC$747,,MATCH(AD$8,'Калькуляция (МИ)'!$AJ$8:$BC$8,0)),'Калькуляция (МИ)'!$F$25:$F$747,$F102,'Калькуляция (МИ)'!$G$25:$G$747,$G102))))</f>
        <v>119.718598324441</v>
      </c>
      <c r="AE102" s="899">
        <f>IF(AND(method_reg="Метод индексации",god&lt;&gt;first_year),_xlfn.SUMIFS(INDEX('Калькуляция (МИ корр)'!$AJ$25:$BC$747,,MATCH(AE$8,'Калькуляция (МИ корр)'!$AJ$8:$BC$8,0)),'Калькуляция (МИ корр)'!$F$25:$F$747,$F102,'Калькуляция (МИ корр)'!$G$25:$G$747,$G102),IF(method_reg="Метод экономически обоснованных расходов",_xlfn.SUMIFS('Калькуляция (МЭОР)'!$AK$25:$AK$452,'Калькуляция (МЭОР)'!$F$25:$F$452,$F102,'Калькуляция (МЭОР)'!$G$25:$G$452,$G102),IF(method_reg="Метод сравнения аналогов",_xlfn.SUMIFS('Калькуляция (МСА)'!$AF$25:$AF$122,'Калькуляция (МСА)'!$F$25:$F$122,$F102,'Калькуляция (МСА)'!$G$25:$G$122,$G102),_xlfn.SUMIFS(INDEX('Калькуляция (МИ)'!$AJ$25:$BC$747,,MATCH(AE$8,'Калькуляция (МИ)'!$AJ$8:$BC$8,0)),'Калькуляция (МИ)'!$F$25:$F$747,$F102,'Калькуляция (МИ)'!$G$25:$G$747,$G102))))</f>
        <v>119.71859993978</v>
      </c>
      <c r="AF102" s="296">
        <f>IF(AD102=0,0,(AE102-AD102)/AD102*100)</f>
        <v>0.00000134927991533689</v>
      </c>
      <c r="AG102" s="899">
        <f>IF(AND(method_reg="Метод индексации",god&lt;&gt;first_year),_xlfn.SUMIFS(INDEX('Калькуляция (МИ корр)'!$AJ$25:$BC$747,,MATCH(AG$8,'Калькуляция (МИ корр)'!$AJ$8:$BC$8,0)),'Калькуляция (МИ корр)'!$F$25:$F$747,$F102,'Калькуляция (МИ корр)'!$G$25:$G$747,$G102),IF(method_reg="Метод экономически обоснованных расходов",_xlfn.SUMIFS('Калькуляция (МЭОР)'!$AJ$25:$AJ$452,'Калькуляция (МЭОР)'!$F$25:$F$452,$F102,'Калькуляция (МЭОР)'!$G$25:$G$452,$G102),IF(method_reg="Метод сравнения аналогов",_xlfn.SUMIFS('Калькуляция (МСА)'!$AE$25:$AE$122,'Калькуляция (МСА)'!$F$25:$F$122,$F102,'Калькуляция (МСА)'!$G$25:$G$122,$G102),_xlfn.SUMIFS(INDEX('Калькуляция (МИ)'!$AJ$25:$BC$747,,MATCH(AG$8,'Калькуляция (МИ)'!$AJ$8:$BC$8,0)),'Калькуляция (МИ)'!$F$25:$F$747,$F102,'Калькуляция (МИ)'!$G$25:$G$747,$G102))))</f>
        <v>131.613601644553</v>
      </c>
      <c r="AH102" s="899">
        <f>IF(AND(method_reg="Метод индексации",god&lt;&gt;first_year),_xlfn.SUMIFS(INDEX('Калькуляция (МИ корр)'!$AJ$25:$BC$747,,MATCH(AH$8,'Калькуляция (МИ корр)'!$AJ$8:$BC$8,0)),'Калькуляция (МИ корр)'!$F$25:$F$747,$F102,'Калькуляция (МИ корр)'!$G$25:$G$747,$G102),IF(method_reg="Метод экономически обоснованных расходов",_xlfn.SUMIFS('Калькуляция (МЭОР)'!$AK$25:$AK$452,'Калькуляция (МЭОР)'!$F$25:$F$452,$F102,'Калькуляция (МЭОР)'!$G$25:$G$452,$G102),IF(method_reg="Метод сравнения аналогов",_xlfn.SUMIFS('Калькуляция (МСА)'!$AF$25:$AF$122,'Калькуляция (МСА)'!$F$25:$F$122,$F102,'Калькуляция (МСА)'!$G$25:$G$122,$G102),_xlfn.SUMIFS(INDEX('Калькуляция (МИ)'!$AJ$25:$BC$747,,MATCH(AH$8,'Калькуляция (МИ)'!$AJ$8:$BC$8,0)),'Калькуляция (МИ)'!$F$25:$F$747,$F102,'Калькуляция (МИ)'!$G$25:$G$747,$G102))))</f>
        <v>131.613600035137</v>
      </c>
      <c r="AI102" s="296">
        <f>IF(AG102=0,0,(AH102-AG102)/AG102*100)</f>
        <v>-0.00000122283409071201</v>
      </c>
      <c r="AJ102" s="899">
        <f>IF(AND(method_reg="Метод индексации",god&lt;&gt;first_year),_xlfn.SUMIFS(INDEX('Калькуляция (МИ корр)'!$AJ$25:$BC$747,,MATCH(AJ$8,'Калькуляция (МИ корр)'!$AJ$8:$BC$8,0)),'Калькуляция (МИ корр)'!$F$25:$F$747,$F102,'Калькуляция (МИ корр)'!$G$25:$G$747,$G102),IF(method_reg="Метод экономически обоснованных расходов",_xlfn.SUMIFS('Калькуляция (МЭОР)'!$AJ$25:$AJ$452,'Калькуляция (МЭОР)'!$F$25:$F$452,$F102,'Калькуляция (МЭОР)'!$G$25:$G$452,$G102),IF(method_reg="Метод сравнения аналогов",_xlfn.SUMIFS('Калькуляция (МСА)'!$AE$25:$AE$122,'Калькуляция (МСА)'!$F$25:$F$122,$F102,'Калькуляция (МСА)'!$G$25:$G$122,$G102),_xlfn.SUMIFS(INDEX('Калькуляция (МИ)'!$AJ$25:$BC$747,,MATCH(AJ$8,'Калькуляция (МИ)'!$AJ$8:$BC$8,0)),'Калькуляция (МИ)'!$F$25:$F$747,$F102,'Калькуляция (МИ)'!$G$25:$G$747,$G102))))</f>
        <v>137.249999498751</v>
      </c>
      <c r="AK102" s="899">
        <f>IF(AND(method_reg="Метод индексации",god&lt;&gt;first_year),_xlfn.SUMIFS(INDEX('Калькуляция (МИ корр)'!$AJ$25:$BC$747,,MATCH(AK$8,'Калькуляция (МИ корр)'!$AJ$8:$BC$8,0)),'Калькуляция (МИ корр)'!$F$25:$F$747,$F102,'Калькуляция (МИ корр)'!$G$25:$G$747,$G102),IF(method_reg="Метод экономически обоснованных расходов",_xlfn.SUMIFS('Калькуляция (МЭОР)'!$AK$25:$AK$452,'Калькуляция (МЭОР)'!$F$25:$F$452,$F102,'Калькуляция (МЭОР)'!$G$25:$G$452,$G102),IF(method_reg="Метод сравнения аналогов",_xlfn.SUMIFS('Калькуляция (МСА)'!$AF$25:$AF$122,'Калькуляция (МСА)'!$F$25:$F$122,$F102,'Калькуляция (МСА)'!$G$25:$G$122,$G102),_xlfn.SUMIFS(INDEX('Калькуляция (МИ)'!$AJ$25:$BC$747,,MATCH(AK$8,'Калькуляция (МИ)'!$AJ$8:$BC$8,0)),'Калькуляция (МИ)'!$F$25:$F$747,$F102,'Калькуляция (МИ)'!$G$25:$G$747,$G102))))</f>
        <v>137.249999874374</v>
      </c>
      <c r="AL102" s="296">
        <f>IF(AJ102=0,0,(AK102-AJ102)/AJ102*100)</f>
        <v>2.73677952703012e-7</v>
      </c>
      <c r="AM102" s="899">
        <f>IF(AND(method_reg="Метод индексации",god&lt;&gt;first_year),_xlfn.SUMIFS(INDEX('Калькуляция (МИ корр)'!$AJ$25:$BC$747,,MATCH(AM$8,'Калькуляция (МИ корр)'!$AJ$8:$BC$8,0)),'Калькуляция (МИ корр)'!$F$25:$F$747,$F102,'Калькуляция (МИ корр)'!$G$25:$G$747,$G102),IF(method_reg="Метод экономически обоснованных расходов",_xlfn.SUMIFS('Калькуляция (МЭОР)'!$AJ$25:$AJ$452,'Калькуляция (МЭОР)'!$F$25:$F$452,$F102,'Калькуляция (МЭОР)'!$G$25:$G$452,$G102),IF(method_reg="Метод сравнения аналогов",_xlfn.SUMIFS('Калькуляция (МСА)'!$AE$25:$AE$122,'Калькуляция (МСА)'!$F$25:$F$122,$F102,'Калькуляция (МСА)'!$G$25:$G$122,$G102),_xlfn.SUMIFS(INDEX('Калькуляция (МИ)'!$AJ$25:$BC$747,,MATCH(AM$8,'Калькуляция (МИ)'!$AJ$8:$BC$8,0)),'Калькуляция (МИ)'!$F$25:$F$747,$F102,'Калькуляция (МИ)'!$G$25:$G$747,$G102))))</f>
        <v>142.178793461289</v>
      </c>
      <c r="AN102" s="899">
        <f>IF(AND(method_reg="Метод индексации",god&lt;&gt;first_year),_xlfn.SUMIFS(INDEX('Калькуляция (МИ корр)'!$AJ$25:$BC$747,,MATCH(AN$8,'Калькуляция (МИ корр)'!$AJ$8:$BC$8,0)),'Калькуляция (МИ корр)'!$F$25:$F$747,$F102,'Калькуляция (МИ корр)'!$G$25:$G$747,$G102),IF(method_reg="Метод экономически обоснованных расходов",_xlfn.SUMIFS('Калькуляция (МЭОР)'!$AK$25:$AK$452,'Калькуляция (МЭОР)'!$F$25:$F$452,$F102,'Калькуляция (МЭОР)'!$G$25:$G$452,$G102),IF(method_reg="Метод сравнения аналогов",_xlfn.SUMIFS('Калькуляция (МСА)'!$AF$25:$AF$122,'Калькуляция (МСА)'!$F$25:$F$122,$F102,'Калькуляция (МСА)'!$G$25:$G$122,$G102),_xlfn.SUMIFS(INDEX('Калькуляция (МИ)'!$AJ$25:$BC$747,,MATCH(AN$8,'Калькуляция (МИ)'!$AJ$8:$BC$8,0)),'Калькуляция (МИ)'!$F$25:$F$747,$F102,'Калькуляция (МИ)'!$G$25:$G$747,$G102))))</f>
        <v>142.178800206617</v>
      </c>
      <c r="AO102" s="296">
        <f>IF(AM102=0,0,(AN102-AM102)/AM102*100)</f>
        <v>0.00000474425746494907</v>
      </c>
      <c r="AP102" s="899">
        <f>IF(AND(method_reg="Метод индексации",god&lt;&gt;first_year),_xlfn.SUMIFS(INDEX('Калькуляция (МИ корр)'!$AJ$25:$BC$747,,MATCH(AP$8,'Калькуляция (МИ корр)'!$AJ$8:$BC$8,0)),'Калькуляция (МИ корр)'!$F$25:$F$747,$F102,'Калькуляция (МИ корр)'!$G$25:$G$747,$G102),IF(method_reg="Метод экономически обоснованных расходов",_xlfn.SUMIFS('Калькуляция (МЭОР)'!$AJ$25:$AJ$452,'Калькуляция (МЭОР)'!$F$25:$F$452,$F102,'Калькуляция (МЭОР)'!$G$25:$G$452,$G102),IF(method_reg="Метод сравнения аналогов",_xlfn.SUMIFS('Калькуляция (МСА)'!$AE$25:$AE$122,'Калькуляция (МСА)'!$F$25:$F$122,$F102,'Калькуляция (МСА)'!$G$25:$G$122,$G102),_xlfn.SUMIFS(INDEX('Калькуляция (МИ)'!$AJ$25:$BC$747,,MATCH(AP$8,'Калькуляция (МИ)'!$AJ$8:$BC$8,0)),'Калькуляция (МИ)'!$F$25:$F$747,$F102,'Калькуляция (МИ)'!$G$25:$G$747,$G102))))</f>
        <v>151.787483169957</v>
      </c>
      <c r="AQ102" s="899">
        <f>IF(AND(method_reg="Метод индексации",god&lt;&gt;first_year),_xlfn.SUMIFS(INDEX('Калькуляция (МИ корр)'!$AJ$25:$BC$747,,MATCH(AQ$8,'Калькуляция (МИ корр)'!$AJ$8:$BC$8,0)),'Калькуляция (МИ корр)'!$F$25:$F$747,$F102,'Калькуляция (МИ корр)'!$G$25:$G$747,$G102),IF(method_reg="Метод экономически обоснованных расходов",_xlfn.SUMIFS('Калькуляция (МЭОР)'!$AK$25:$AK$452,'Калькуляция (МЭОР)'!$F$25:$F$452,$F102,'Калькуляция (МЭОР)'!$G$25:$G$452,$G102),IF(method_reg="Метод сравнения аналогов",_xlfn.SUMIFS('Калькуляция (МСА)'!$AF$25:$AF$122,'Калькуляция (МСА)'!$F$25:$F$122,$F102,'Калькуляция (МСА)'!$G$25:$G$122,$G102),_xlfn.SUMIFS(INDEX('Калькуляция (МИ)'!$AJ$25:$BC$747,,MATCH(AQ$8,'Калькуляция (МИ)'!$AJ$8:$BC$8,0)),'Калькуляция (МИ)'!$F$25:$F$747,$F102,'Калькуляция (МИ)'!$G$25:$G$747,$G102))))</f>
        <v>152.430210341705</v>
      </c>
      <c r="AR102" s="296">
        <f>IF(AP102=0,0,(AQ102-AP102)/AP102*100)</f>
        <v>0.423438849057355</v>
      </c>
      <c r="AS102" s="5239">
        <f>IF(AND(method_reg="Метод индексации",god&lt;&gt;first_year),_xlfn.SUMIFS(INDEX('Калькуляция (МИ корр)'!$AJ$25:$BC$747,,MATCH(AS$8,'Калькуляция (МИ корр)'!$AJ$8:$BC$8,0)),'Калькуляция (МИ корр)'!$F$25:$F$747,$F102,'Калькуляция (МИ корр)'!$G$25:$G$747,$G102),IF(method_reg="Метод экономически обоснованных расходов",_xlfn.SUMIFS('Калькуляция (МЭОР)'!$AJ$25:$AJ$452,'Калькуляция (МЭОР)'!$F$25:$F$452,$F102,'Калькуляция (МЭОР)'!$G$25:$G$452,$G102),IF(method_reg="Метод сравнения аналогов",_xlfn.SUMIFS('Калькуляция (МСА)'!$AE$25:$AE$122,'Калькуляция (МСА)'!$F$25:$F$122,$F102,'Калькуляция (МСА)'!$G$25:$G$122,$G102),_xlfn.SUMIFS(INDEX('Калькуляция (МИ)'!$AJ$25:$BC$747,,MATCH(AS$8,'Калькуляция (МИ)'!$AJ$8:$BC$8,0)),'Калькуляция (МИ)'!$F$25:$F$747,$F102,'Калькуляция (МИ)'!$G$25:$G$747,$G102))))</f>
        <v>0</v>
      </c>
      <c r="AT102" s="5239">
        <f>IF(AND(method_reg="Метод индексации",god&lt;&gt;first_year),_xlfn.SUMIFS(INDEX('Калькуляция (МИ корр)'!$AJ$25:$BC$747,,MATCH(AT$8,'Калькуляция (МИ корр)'!$AJ$8:$BC$8,0)),'Калькуляция (МИ корр)'!$F$25:$F$747,$F102,'Калькуляция (МИ корр)'!$G$25:$G$747,$G102),IF(method_reg="Метод экономически обоснованных расходов",_xlfn.SUMIFS('Калькуляция (МЭОР)'!$AK$25:$AK$452,'Калькуляция (МЭОР)'!$F$25:$F$452,$F102,'Калькуляция (МЭОР)'!$G$25:$G$452,$G102),IF(method_reg="Метод сравнения аналогов",_xlfn.SUMIFS('Калькуляция (МСА)'!$AF$25:$AF$122,'Калькуляция (МСА)'!$F$25:$F$122,$F102,'Калькуляция (МСА)'!$G$25:$G$122,$G102),_xlfn.SUMIFS(INDEX('Калькуляция (МИ)'!$AJ$25:$BC$747,,MATCH(AT$8,'Калькуляция (МИ)'!$AJ$8:$BC$8,0)),'Калькуляция (МИ)'!$F$25:$F$747,$F102,'Калькуляция (МИ)'!$G$25:$G$747,$G102))))</f>
        <v>0</v>
      </c>
      <c r="AU102" s="296">
        <f>IF(AS102=0,0,(AT102-AS102)/AS102*100)</f>
        <v>0</v>
      </c>
      <c r="AV102" s="5239">
        <f>IF(AND(method_reg="Метод индексации",god&lt;&gt;first_year),_xlfn.SUMIFS(INDEX('Калькуляция (МИ корр)'!$AJ$25:$BC$747,,MATCH(AV$8,'Калькуляция (МИ корр)'!$AJ$8:$BC$8,0)),'Калькуляция (МИ корр)'!$F$25:$F$747,$F102,'Калькуляция (МИ корр)'!$G$25:$G$747,$G102),IF(method_reg="Метод экономически обоснованных расходов",_xlfn.SUMIFS('Калькуляция (МЭОР)'!$AJ$25:$AJ$452,'Калькуляция (МЭОР)'!$F$25:$F$452,$F102,'Калькуляция (МЭОР)'!$G$25:$G$452,$G102),IF(method_reg="Метод сравнения аналогов",_xlfn.SUMIFS('Калькуляция (МСА)'!$AE$25:$AE$122,'Калькуляция (МСА)'!$F$25:$F$122,$F102,'Калькуляция (МСА)'!$G$25:$G$122,$G102),_xlfn.SUMIFS(INDEX('Калькуляция (МИ)'!$AJ$25:$BC$747,,MATCH(AV$8,'Калькуляция (МИ)'!$AJ$8:$BC$8,0)),'Калькуляция (МИ)'!$F$25:$F$747,$F102,'Калькуляция (МИ)'!$G$25:$G$747,$G102))))</f>
        <v>0</v>
      </c>
      <c r="AW102" s="5239">
        <f>IF(AND(method_reg="Метод индексации",god&lt;&gt;first_year),_xlfn.SUMIFS(INDEX('Калькуляция (МИ корр)'!$AJ$25:$BC$747,,MATCH(AW$8,'Калькуляция (МИ корр)'!$AJ$8:$BC$8,0)),'Калькуляция (МИ корр)'!$F$25:$F$747,$F102,'Калькуляция (МИ корр)'!$G$25:$G$747,$G102),IF(method_reg="Метод экономически обоснованных расходов",_xlfn.SUMIFS('Калькуляция (МЭОР)'!$AK$25:$AK$452,'Калькуляция (МЭОР)'!$F$25:$F$452,$F102,'Калькуляция (МЭОР)'!$G$25:$G$452,$G102),IF(method_reg="Метод сравнения аналогов",_xlfn.SUMIFS('Калькуляция (МСА)'!$AF$25:$AF$122,'Калькуляция (МСА)'!$F$25:$F$122,$F102,'Калькуляция (МСА)'!$G$25:$G$122,$G102),_xlfn.SUMIFS(INDEX('Калькуляция (МИ)'!$AJ$25:$BC$747,,MATCH(AW$8,'Калькуляция (МИ)'!$AJ$8:$BC$8,0)),'Калькуляция (МИ)'!$F$25:$F$747,$F102,'Калькуляция (МИ)'!$G$25:$G$747,$G102))))</f>
        <v>0</v>
      </c>
      <c r="AX102" s="296">
        <f>IF(AV102=0,0,(AW102-AV102)/AV102*100)</f>
        <v>0</v>
      </c>
      <c r="AY102" s="5239">
        <f>IF(AND(method_reg="Метод индексации",god&lt;&gt;first_year),_xlfn.SUMIFS(INDEX('Калькуляция (МИ корр)'!$AJ$25:$BC$747,,MATCH(AY$8,'Калькуляция (МИ корр)'!$AJ$8:$BC$8,0)),'Калькуляция (МИ корр)'!$F$25:$F$747,$F102,'Калькуляция (МИ корр)'!$G$25:$G$747,$G102),IF(method_reg="Метод экономически обоснованных расходов",_xlfn.SUMIFS('Калькуляция (МЭОР)'!$AJ$25:$AJ$452,'Калькуляция (МЭОР)'!$F$25:$F$452,$F102,'Калькуляция (МЭОР)'!$G$25:$G$452,$G102),IF(method_reg="Метод сравнения аналогов",_xlfn.SUMIFS('Калькуляция (МСА)'!$AE$25:$AE$122,'Калькуляция (МСА)'!$F$25:$F$122,$F102,'Калькуляция (МСА)'!$G$25:$G$122,$G102),_xlfn.SUMIFS(INDEX('Калькуляция (МИ)'!$AJ$25:$BC$747,,MATCH(AY$8,'Калькуляция (МИ)'!$AJ$8:$BC$8,0)),'Калькуляция (МИ)'!$F$25:$F$747,$F102,'Калькуляция (МИ)'!$G$25:$G$747,$G102))))</f>
        <v>0</v>
      </c>
      <c r="AZ102" s="5239">
        <f>IF(AND(method_reg="Метод индексации",god&lt;&gt;first_year),_xlfn.SUMIFS(INDEX('Калькуляция (МИ корр)'!$AJ$25:$BC$747,,MATCH(AZ$8,'Калькуляция (МИ корр)'!$AJ$8:$BC$8,0)),'Калькуляция (МИ корр)'!$F$25:$F$747,$F102,'Калькуляция (МИ корр)'!$G$25:$G$747,$G102),IF(method_reg="Метод экономически обоснованных расходов",_xlfn.SUMIFS('Калькуляция (МЭОР)'!$AK$25:$AK$452,'Калькуляция (МЭОР)'!$F$25:$F$452,$F102,'Калькуляция (МЭОР)'!$G$25:$G$452,$G102),IF(method_reg="Метод сравнения аналогов",_xlfn.SUMIFS('Калькуляция (МСА)'!$AF$25:$AF$122,'Калькуляция (МСА)'!$F$25:$F$122,$F102,'Калькуляция (МСА)'!$G$25:$G$122,$G102),_xlfn.SUMIFS(INDEX('Калькуляция (МИ)'!$AJ$25:$BC$747,,MATCH(AZ$8,'Калькуляция (МИ)'!$AJ$8:$BC$8,0)),'Калькуляция (МИ)'!$F$25:$F$747,$F102,'Калькуляция (МИ)'!$G$25:$G$747,$G102))))</f>
        <v>0</v>
      </c>
      <c r="BA102" s="296">
        <f>IF(AY102=0,0,(AZ102-AY102)/AY102*100)</f>
        <v>0</v>
      </c>
      <c r="BB102" s="5239">
        <f>IF(AND(method_reg="Метод индексации",god&lt;&gt;first_year),_xlfn.SUMIFS(INDEX('Калькуляция (МИ корр)'!$AJ$25:$BC$747,,MATCH(BB$8,'Калькуляция (МИ корр)'!$AJ$8:$BC$8,0)),'Калькуляция (МИ корр)'!$F$25:$F$747,$F102,'Калькуляция (МИ корр)'!$G$25:$G$747,$G102),IF(method_reg="Метод экономически обоснованных расходов",_xlfn.SUMIFS('Калькуляция (МЭОР)'!$AJ$25:$AJ$452,'Калькуляция (МЭОР)'!$F$25:$F$452,$F102,'Калькуляция (МЭОР)'!$G$25:$G$452,$G102),IF(method_reg="Метод сравнения аналогов",_xlfn.SUMIFS('Калькуляция (МСА)'!$AE$25:$AE$122,'Калькуляция (МСА)'!$F$25:$F$122,$F102,'Калькуляция (МСА)'!$G$25:$G$122,$G102),_xlfn.SUMIFS(INDEX('Калькуляция (МИ)'!$AJ$25:$BC$747,,MATCH(BB$8,'Калькуляция (МИ)'!$AJ$8:$BC$8,0)),'Калькуляция (МИ)'!$F$25:$F$747,$F102,'Калькуляция (МИ)'!$G$25:$G$747,$G102))))</f>
        <v>0</v>
      </c>
      <c r="BC102" s="5239">
        <f>IF(AND(method_reg="Метод индексации",god&lt;&gt;first_year),_xlfn.SUMIFS(INDEX('Калькуляция (МИ корр)'!$AJ$25:$BC$747,,MATCH(BC$8,'Калькуляция (МИ корр)'!$AJ$8:$BC$8,0)),'Калькуляция (МИ корр)'!$F$25:$F$747,$F102,'Калькуляция (МИ корр)'!$G$25:$G$747,$G102),IF(method_reg="Метод экономически обоснованных расходов",_xlfn.SUMIFS('Калькуляция (МЭОР)'!$AK$25:$AK$452,'Калькуляция (МЭОР)'!$F$25:$F$452,$F102,'Калькуляция (МЭОР)'!$G$25:$G$452,$G102),IF(method_reg="Метод сравнения аналогов",_xlfn.SUMIFS('Калькуляция (МСА)'!$AF$25:$AF$122,'Калькуляция (МСА)'!$F$25:$F$122,$F102,'Калькуляция (МСА)'!$G$25:$G$122,$G102),_xlfn.SUMIFS(INDEX('Калькуляция (МИ)'!$AJ$25:$BC$747,,MATCH(BC$8,'Калькуляция (МИ)'!$AJ$8:$BC$8,0)),'Калькуляция (МИ)'!$F$25:$F$747,$F102,'Калькуляция (МИ)'!$G$25:$G$747,$G102))))</f>
        <v>0</v>
      </c>
      <c r="BD102" s="296">
        <f>IF(BB102=0,0,(BC102-BB102)/BB102*100)</f>
        <v>0</v>
      </c>
      <c r="BE102" s="5239">
        <f>IF(AND(method_reg="Метод индексации",god&lt;&gt;first_year),_xlfn.SUMIFS(INDEX('Калькуляция (МИ корр)'!$AJ$25:$BC$747,,MATCH(BE$8,'Калькуляция (МИ корр)'!$AJ$8:$BC$8,0)),'Калькуляция (МИ корр)'!$F$25:$F$747,$F102,'Калькуляция (МИ корр)'!$G$25:$G$747,$G102),IF(method_reg="Метод экономически обоснованных расходов",_xlfn.SUMIFS('Калькуляция (МЭОР)'!$AJ$25:$AJ$452,'Калькуляция (МЭОР)'!$F$25:$F$452,$F102,'Калькуляция (МЭОР)'!$G$25:$G$452,$G102),IF(method_reg="Метод сравнения аналогов",_xlfn.SUMIFS('Калькуляция (МСА)'!$AE$25:$AE$122,'Калькуляция (МСА)'!$F$25:$F$122,$F102,'Калькуляция (МСА)'!$G$25:$G$122,$G102),_xlfn.SUMIFS(INDEX('Калькуляция (МИ)'!$AJ$25:$BC$747,,MATCH(BE$8,'Калькуляция (МИ)'!$AJ$8:$BC$8,0)),'Калькуляция (МИ)'!$F$25:$F$747,$F102,'Калькуляция (МИ)'!$G$25:$G$747,$G102))))</f>
        <v>0</v>
      </c>
      <c r="BF102" s="5239">
        <f>IF(AND(method_reg="Метод индексации",god&lt;&gt;first_year),_xlfn.SUMIFS(INDEX('Калькуляция (МИ корр)'!$AJ$25:$BC$747,,MATCH(BF$8,'Калькуляция (МИ корр)'!$AJ$8:$BC$8,0)),'Калькуляция (МИ корр)'!$F$25:$F$747,$F102,'Калькуляция (МИ корр)'!$G$25:$G$747,$G102),IF(method_reg="Метод экономически обоснованных расходов",_xlfn.SUMIFS('Калькуляция (МЭОР)'!$AK$25:$AK$452,'Калькуляция (МЭОР)'!$F$25:$F$452,$F102,'Калькуляция (МЭОР)'!$G$25:$G$452,$G102),IF(method_reg="Метод сравнения аналогов",_xlfn.SUMIFS('Калькуляция (МСА)'!$AF$25:$AF$122,'Калькуляция (МСА)'!$F$25:$F$122,$F102,'Калькуляция (МСА)'!$G$25:$G$122,$G102),_xlfn.SUMIFS(INDEX('Калькуляция (МИ)'!$AJ$25:$BC$747,,MATCH(BF$8,'Калькуляция (МИ)'!$AJ$8:$BC$8,0)),'Калькуляция (МИ)'!$F$25:$F$747,$F102,'Калькуляция (МИ)'!$G$25:$G$747,$G102))))</f>
        <v>0</v>
      </c>
      <c r="BG102" s="296">
        <f>IF(BE102=0,0,(BF102-BE102)/BE102*100)</f>
        <v>0</v>
      </c>
      <c r="BH102" s="5239"/>
      <c r="BI102" s="5239"/>
      <c r="BJ102" s="296">
        <f>IF(BH102=0,0,(BI102-BH102)/BH102*100)</f>
        <v>0</v>
      </c>
      <c r="BK102" s="5239"/>
      <c r="BL102" s="5239"/>
      <c r="BM102" s="296">
        <f>IF(BK102=0,0,(BL102-BK102)/BK102*100)</f>
        <v>0</v>
      </c>
      <c r="BN102" s="5239"/>
      <c r="BO102" s="5239"/>
      <c r="BP102" s="296">
        <f>IF(BN102=0,0,(BO102-BN102)/BN102*100)</f>
        <v>0</v>
      </c>
      <c r="BQ102" s="5239"/>
      <c r="BR102" s="5239"/>
      <c r="BS102" s="296">
        <f>IF(BQ102=0,0,(BR102-BQ102)/BQ102*100)</f>
        <v>0</v>
      </c>
      <c r="BT102" s="5239"/>
      <c r="BU102" s="5239"/>
      <c r="BV102" s="296">
        <f>IF(BT102=0,0,(BU102-BT102)/BT102*100)</f>
        <v>0</v>
      </c>
      <c r="BW102" s="5239"/>
      <c r="BX102" s="5239"/>
      <c r="BY102" s="296">
        <f>IF(BW102=0,0,(BX102-BW102)/BW102*100)</f>
        <v>0</v>
      </c>
      <c r="BZ102" s="5239"/>
      <c r="CA102" s="5239"/>
      <c r="CB102" s="296">
        <f>IF(BZ102=0,0,(CA102-BZ102)/BZ102*100)</f>
        <v>0</v>
      </c>
      <c r="CC102" s="5239"/>
      <c r="CD102" s="5239"/>
      <c r="CE102" s="296">
        <f>IF(CC102=0,0,(CD102-CC102)/CC102*100)</f>
        <v>0</v>
      </c>
      <c r="CF102" s="5239"/>
      <c r="CG102" s="5239"/>
      <c r="CH102" s="296">
        <f>IF(CF102=0,0,(CG102-CF102)/CF102*100)</f>
        <v>0</v>
      </c>
      <c r="CI102" s="5239"/>
      <c r="CJ102" s="5239"/>
      <c r="CK102" s="296">
        <f>IF(CI102=0,0,(CJ102-CI102)/CI102*100)</f>
        <v>0</v>
      </c>
      <c r="CL102" s="5239"/>
      <c r="CM102" s="5239"/>
      <c r="CN102" s="296">
        <f>IF(CL102=0,0,(CM102-CL102)/CL102*100)</f>
        <v>0</v>
      </c>
      <c r="CO102" s="5239"/>
      <c r="CP102" s="5239"/>
      <c r="CQ102" s="296">
        <f>IF(CO102=0,0,(CP102-CO102)/CO102*100)</f>
        <v>0</v>
      </c>
      <c r="CR102" s="5239"/>
      <c r="CS102" s="5239"/>
      <c r="CT102" s="296">
        <f>IF(CR102=0,0,(CS102-CR102)/CR102*100)</f>
        <v>0</v>
      </c>
      <c r="CU102" s="5239"/>
      <c r="CV102" s="5239"/>
      <c r="CW102" s="296">
        <f>IF(CU102=0,0,(CV102-CU102)/CU102*100)</f>
        <v>0</v>
      </c>
      <c r="CX102" s="5239"/>
      <c r="CY102" s="5239"/>
      <c r="CZ102" s="296">
        <f>IF(CX102=0,0,(CY102-CX102)/CX102*100)</f>
        <v>0</v>
      </c>
      <c r="DA102" s="5239"/>
      <c r="DB102" s="5239"/>
      <c r="DC102" s="296">
        <f>IF(DA102=0,0,(DB102-DA102)/DA102*100)</f>
        <v>0</v>
      </c>
      <c r="DD102" s="5239"/>
      <c r="DE102" s="5239"/>
      <c r="DF102" s="296">
        <f>IF(DD102=0,0,(DE102-DD102)/DD102*100)</f>
        <v>0</v>
      </c>
      <c r="DG102" s="5239"/>
      <c r="DH102" s="5239"/>
      <c r="DI102" s="296">
        <f>IF(DG102=0,0,(DH102-DG102)/DG102*100)</f>
        <v>0</v>
      </c>
      <c r="DJ102" s="5239"/>
      <c r="DK102" s="5239"/>
      <c r="DL102" s="296">
        <f>IF(DJ102=0,0,(DK102-DJ102)/DJ102*100)</f>
        <v>0</v>
      </c>
      <c r="DM102" s="5239"/>
      <c r="DN102" s="5239"/>
      <c r="DO102" s="296">
        <f>IF(DM102=0,0,(DN102-DM102)/DM102*100)</f>
        <v>0</v>
      </c>
      <c r="DP102" s="5239"/>
      <c r="DQ102" s="5239"/>
      <c r="DR102" s="296">
        <f>IF(DP102=0,0,(DQ102-DP102)/DP102*100)</f>
        <v>0</v>
      </c>
      <c r="DS102" s="5239"/>
      <c r="DT102" s="5239"/>
      <c r="DU102" s="296">
        <f>IF(DS102=0,0,(DT102-DS102)/DS102*100)</f>
        <v>0</v>
      </c>
      <c r="DV102" s="5239"/>
      <c r="DW102" s="5239"/>
      <c r="DX102" s="296">
        <f>IF(DV102=0,0,(DW102-DV102)/DV102*100)</f>
        <v>0</v>
      </c>
      <c r="DY102" s="5239"/>
      <c r="DZ102" s="5239"/>
      <c r="EA102" s="296">
        <f>IF(DY102=0,0,(DZ102-DY102)/DY102*100)</f>
        <v>0</v>
      </c>
      <c r="EB102" s="5239"/>
      <c r="EC102" s="5239"/>
      <c r="ED102" s="296">
        <f>IF(EB102=0,0,(EC102-EB102)/EB102*100)</f>
        <v>0</v>
      </c>
      <c r="EE102" s="5239"/>
      <c r="EF102" s="5239"/>
      <c r="EG102" s="296">
        <f>IF(EE102=0,0,(EF102-EE102)/EE102*100)</f>
        <v>0</v>
      </c>
      <c r="EH102" s="5239"/>
      <c r="EI102" s="5239"/>
      <c r="EJ102" s="296">
        <f>IF(EH102=0,0,(EI102-EH102)/EH102*100)</f>
        <v>0</v>
      </c>
      <c r="EK102" s="5239"/>
      <c r="EL102" s="5239"/>
      <c r="EM102" s="296">
        <f>IF(EK102=0,0,(EL102-EK102)/EK102*100)</f>
        <v>0</v>
      </c>
      <c r="EN102" s="5239"/>
      <c r="EO102" s="5239"/>
      <c r="EP102" s="296">
        <f>IF(EN102=0,0,(EO102-EN102)/EN102*100)</f>
        <v>0</v>
      </c>
      <c r="EQ102" s="5239"/>
      <c r="ER102" s="5239"/>
      <c r="ES102" s="296">
        <f>IF(EQ102=0,0,(ER102-EQ102)/EQ102*100)</f>
        <v>0</v>
      </c>
      <c r="ET102" s="5239"/>
      <c r="EU102" s="5239"/>
      <c r="EV102" s="296">
        <f>IF(ET102=0,0,(EU102-ET102)/ET102*100)</f>
        <v>0</v>
      </c>
      <c r="EW102" s="5239"/>
      <c r="EX102" s="5239"/>
      <c r="EY102" s="296">
        <f>IF(EW102=0,0,(EX102-EW102)/EW102*100)</f>
        <v>0</v>
      </c>
      <c r="EZ102" s="5239"/>
      <c r="FA102" s="5239"/>
      <c r="FB102" s="296">
        <f>IF(EZ102=0,0,(FA102-EZ102)/EZ102*100)</f>
        <v>0</v>
      </c>
      <c r="FC102" s="5239"/>
      <c r="FD102" s="5239"/>
      <c r="FE102" s="296">
        <f>IF(FC102=0,0,(FD102-FC102)/FC102*100)</f>
        <v>0</v>
      </c>
      <c r="FF102" s="5239"/>
      <c r="FG102" s="5239"/>
      <c r="FH102" s="296">
        <f>IF(FF102=0,0,(FG102-FF102)/FF102*100)</f>
        <v>0</v>
      </c>
      <c r="FI102" s="5239"/>
      <c r="FJ102" s="5239"/>
      <c r="FK102" s="296">
        <f>IF(FI102=0,0,(FJ102-FI102)/FI102*100)</f>
        <v>0</v>
      </c>
      <c r="FL102" s="5239"/>
      <c r="FM102" s="5239"/>
      <c r="FN102" s="296">
        <f>IF(FL102=0,0,(FM102-FL102)/FL102*100)</f>
        <v>0</v>
      </c>
      <c r="FO102" s="5239"/>
      <c r="FP102" s="5239"/>
      <c r="FQ102" s="296">
        <f>IF(FO102=0,0,(FP102-FO102)/FO102*100)</f>
        <v>0</v>
      </c>
      <c r="FR102" s="5239"/>
      <c r="FS102" s="5239"/>
      <c r="FT102" s="296">
        <f>IF(FR102=0,0,(FS102-FR102)/FR102*100)</f>
        <v>0</v>
      </c>
      <c r="FU102" s="5239"/>
      <c r="FV102" s="5239"/>
      <c r="FW102" s="296">
        <f>IF(FU102=0,0,(FV102-FU102)/FU102*100)</f>
        <v>0</v>
      </c>
      <c r="FX102" s="292"/>
      <c r="FY102" s="292"/>
      <c r="FZ102" s="1055" t="s">
        <v>2356</v>
      </c>
      <c r="GA102" s="1055"/>
      <c r="GB102" s="1055"/>
      <c r="GC102" s="1056"/>
      <c r="GD102" s="1056"/>
    </row>
    <row s="1834" customFormat="1" customHeight="1" ht="14.25">
      <c r="A103" s="493"/>
      <c r="B103" s="925" cm="1" t="str">
        <f t="array" ref="B103:B103">B102</f>
        <v>true</v>
      </c>
      <c r="C103" s="493"/>
      <c r="D103" s="493"/>
      <c r="E103" s="840">
        <v>15</v>
      </c>
      <c r="F103" s="50" cm="1" t="str">
        <f t="array" ref="F103:F103">OFFSET(E103,-1,1)</f>
        <v>1</v>
      </c>
      <c r="G103" s="107"/>
      <c r="H103" s="493" t="s">
        <v>1179</v>
      </c>
      <c r="I103" s="493" t="s">
        <v>2357</v>
      </c>
      <c r="J103" s="493"/>
      <c r="K103" s="493"/>
      <c r="L103" s="493"/>
      <c r="M103" s="493"/>
      <c r="N103" s="493"/>
      <c r="O103" s="493"/>
      <c r="P103" s="493"/>
      <c r="Q103" s="897"/>
      <c r="R103" s="493"/>
      <c r="S103" s="493"/>
      <c r="T103" s="465" cm="1" t="str">
        <f t="array" ref="T103:T103">T102</f>
        <v>true</v>
      </c>
      <c r="U103" s="493"/>
      <c r="V103" s="493"/>
      <c r="W103" s="493"/>
      <c r="X103" s="1596"/>
      <c r="Y103" s="493"/>
      <c r="Z103" s="1545"/>
      <c r="AA103" s="493"/>
      <c r="AB103" s="1089" t="s">
        <v>2344</v>
      </c>
      <c r="AC103" s="864" t="s">
        <v>1170</v>
      </c>
      <c r="AD103" s="1092">
        <f>IF(AD101=0,0,AD102/AD101)*100</f>
        <v>109.99887750991</v>
      </c>
      <c r="AE103" s="1092">
        <f>IF(AE101=0,0,AE102/AE101)*100</f>
        <v>109.998878994103</v>
      </c>
      <c r="AF103" s="1093"/>
      <c r="AG103" s="1092">
        <f>IF(AG101=0,0,AG102/AG101)*100</f>
        <v>109.935800823392</v>
      </c>
      <c r="AH103" s="1092">
        <f>IF(AH101=0,0,AH102/AH101)*100</f>
        <v>109.935799534358</v>
      </c>
      <c r="AI103" s="1093"/>
      <c r="AJ103" s="1092">
        <f>IF(AJ101=0,0,AJ102/AJ101)*100</f>
        <v>104.28253577043</v>
      </c>
      <c r="AK103" s="1092">
        <f>IF(AK101=0,0,AK102/AK101)*100</f>
        <v>104.282536027988</v>
      </c>
      <c r="AL103" s="1093"/>
      <c r="AM103" s="1092">
        <f>IF(AM101=0,0,AM102/AM101)*100</f>
        <v>103.591106347023</v>
      </c>
      <c r="AN103" s="1092">
        <f>IF(AN101=0,0,AN102/AN101)*100</f>
        <v>103.591111356469</v>
      </c>
      <c r="AO103" s="1093"/>
      <c r="AP103" s="1092">
        <f>IF(AP101=0,0,AP102/AP101)*100</f>
        <v>106.758168707259</v>
      </c>
      <c r="AQ103" s="1092">
        <f>IF(AQ101=0,0,AQ102/AQ101)*100</f>
        <v>107.210224112308</v>
      </c>
      <c r="AR103" s="1093"/>
      <c r="AS103" s="1092">
        <f>IF(AS101=0,0,AS102/AS101)*100</f>
        <v>0</v>
      </c>
      <c r="AT103" s="1092">
        <f>IF(AT101=0,0,AT102/AT101)*100</f>
        <v>0</v>
      </c>
      <c r="AU103" s="1093"/>
      <c r="AV103" s="1092">
        <f>IF(AV101=0,0,AV102/AV101)*100</f>
        <v>0</v>
      </c>
      <c r="AW103" s="1092">
        <f>IF(AW101=0,0,AW102/AW101)*100</f>
        <v>0</v>
      </c>
      <c r="AX103" s="1093"/>
      <c r="AY103" s="1092">
        <f>IF(AY101=0,0,AY102/AY101)*100</f>
        <v>0</v>
      </c>
      <c r="AZ103" s="1092">
        <f>IF(AZ101=0,0,AZ102/AZ101)*100</f>
        <v>0</v>
      </c>
      <c r="BA103" s="1093"/>
      <c r="BB103" s="1092">
        <f>IF(BB101=0,0,BB102/BB101)*100</f>
        <v>0</v>
      </c>
      <c r="BC103" s="1092">
        <f>IF(BC101=0,0,BC102/BC101)*100</f>
        <v>0</v>
      </c>
      <c r="BD103" s="1093"/>
      <c r="BE103" s="1092">
        <f>IF(BE101=0,0,BE102/BE101)*100</f>
        <v>0</v>
      </c>
      <c r="BF103" s="1092">
        <f>IF(BF101=0,0,BF102/BF101)*100</f>
        <v>0</v>
      </c>
      <c r="BG103" s="1093"/>
      <c r="BH103" s="1092">
        <f>IF(BH101=0,0,BH102/BH101)*100</f>
        <v>0</v>
      </c>
      <c r="BI103" s="1092">
        <f>IF(BI101=0,0,BI102/BI101)*100</f>
        <v>0</v>
      </c>
      <c r="BJ103" s="1093"/>
      <c r="BK103" s="1092">
        <f>IF(BK101=0,0,BK102/BK101)*100</f>
        <v>0</v>
      </c>
      <c r="BL103" s="1092">
        <f>IF(BL101=0,0,BL102/BL101)*100</f>
        <v>0</v>
      </c>
      <c r="BM103" s="1093"/>
      <c r="BN103" s="1092">
        <f>IF(BN101=0,0,BN102/BN101)*100</f>
        <v>0</v>
      </c>
      <c r="BO103" s="1092">
        <f>IF(BO101=0,0,BO102/BO101)*100</f>
        <v>0</v>
      </c>
      <c r="BP103" s="1093"/>
      <c r="BQ103" s="1092">
        <f>IF(BQ101=0,0,BQ102/BQ101)*100</f>
        <v>0</v>
      </c>
      <c r="BR103" s="1092">
        <f>IF(BR101=0,0,BR102/BR101)*100</f>
        <v>0</v>
      </c>
      <c r="BS103" s="1093"/>
      <c r="BT103" s="1092">
        <f>IF(BT101=0,0,BT102/BT101)*100</f>
        <v>0</v>
      </c>
      <c r="BU103" s="1092">
        <f>IF(BU101=0,0,BU102/BU101)*100</f>
        <v>0</v>
      </c>
      <c r="BV103" s="1093"/>
      <c r="BW103" s="1092">
        <f>IF(BW101=0,0,BW102/BW101)*100</f>
        <v>0</v>
      </c>
      <c r="BX103" s="1092">
        <f>IF(BX101=0,0,BX102/BX101)*100</f>
        <v>0</v>
      </c>
      <c r="BY103" s="1093"/>
      <c r="BZ103" s="1092">
        <f>IF(BZ101=0,0,BZ102/BZ101)*100</f>
        <v>0</v>
      </c>
      <c r="CA103" s="1092">
        <f>IF(CA101=0,0,CA102/CA101)*100</f>
        <v>0</v>
      </c>
      <c r="CB103" s="1093"/>
      <c r="CC103" s="1092">
        <f>IF(CC101=0,0,CC102/CC101)*100</f>
        <v>0</v>
      </c>
      <c r="CD103" s="1092">
        <f>IF(CD101=0,0,CD102/CD101)*100</f>
        <v>0</v>
      </c>
      <c r="CE103" s="1093"/>
      <c r="CF103" s="1092">
        <f>IF(CF101=0,0,CF102/CF101)*100</f>
        <v>0</v>
      </c>
      <c r="CG103" s="1092">
        <f>IF(CG101=0,0,CG102/CG101)*100</f>
        <v>0</v>
      </c>
      <c r="CH103" s="1093"/>
      <c r="CI103" s="1092">
        <f>IF(CI101=0,0,CI102/CI101)*100</f>
        <v>0</v>
      </c>
      <c r="CJ103" s="1092">
        <f>IF(CJ101=0,0,CJ102/CJ101)*100</f>
        <v>0</v>
      </c>
      <c r="CK103" s="1093"/>
      <c r="CL103" s="1092">
        <f>IF(CL101=0,0,CL102/CL101)*100</f>
        <v>0</v>
      </c>
      <c r="CM103" s="1092">
        <f>IF(CM101=0,0,CM102/CM101)*100</f>
        <v>0</v>
      </c>
      <c r="CN103" s="1093"/>
      <c r="CO103" s="1092">
        <f>IF(CO101=0,0,CO102/CO101)*100</f>
        <v>0</v>
      </c>
      <c r="CP103" s="1092">
        <f>IF(CP101=0,0,CP102/CP101)*100</f>
        <v>0</v>
      </c>
      <c r="CQ103" s="1093"/>
      <c r="CR103" s="1092">
        <f>IF(CR101=0,0,CR102/CR101)*100</f>
        <v>0</v>
      </c>
      <c r="CS103" s="1092">
        <f>IF(CS101=0,0,CS102/CS101)*100</f>
        <v>0</v>
      </c>
      <c r="CT103" s="1093"/>
      <c r="CU103" s="1092">
        <f>IF(CU101=0,0,CU102/CU101)*100</f>
        <v>0</v>
      </c>
      <c r="CV103" s="1092">
        <f>IF(CV101=0,0,CV102/CV101)*100</f>
        <v>0</v>
      </c>
      <c r="CW103" s="1093"/>
      <c r="CX103" s="1092">
        <f>IF(CX101=0,0,CX102/CX101)*100</f>
        <v>0</v>
      </c>
      <c r="CY103" s="1092">
        <f>IF(CY101=0,0,CY102/CY101)*100</f>
        <v>0</v>
      </c>
      <c r="CZ103" s="1093"/>
      <c r="DA103" s="1092">
        <f>IF(DA101=0,0,DA102/DA101)*100</f>
        <v>0</v>
      </c>
      <c r="DB103" s="1092">
        <f>IF(DB101=0,0,DB102/DB101)*100</f>
        <v>0</v>
      </c>
      <c r="DC103" s="1093"/>
      <c r="DD103" s="1092">
        <f>IF(DD101=0,0,DD102/DD101)*100</f>
        <v>0</v>
      </c>
      <c r="DE103" s="1092">
        <f>IF(DE101=0,0,DE102/DE101)*100</f>
        <v>0</v>
      </c>
      <c r="DF103" s="1093"/>
      <c r="DG103" s="1092">
        <f>IF(DG101=0,0,DG102/DG101)*100</f>
        <v>0</v>
      </c>
      <c r="DH103" s="1092">
        <f>IF(DH101=0,0,DH102/DH101)*100</f>
        <v>0</v>
      </c>
      <c r="DI103" s="1093"/>
      <c r="DJ103" s="1092">
        <f>IF(DJ101=0,0,DJ102/DJ101)*100</f>
        <v>0</v>
      </c>
      <c r="DK103" s="1092">
        <f>IF(DK101=0,0,DK102/DK101)*100</f>
        <v>0</v>
      </c>
      <c r="DL103" s="1093"/>
      <c r="DM103" s="1092">
        <f>IF(DM101=0,0,DM102/DM101)*100</f>
        <v>0</v>
      </c>
      <c r="DN103" s="1092">
        <f>IF(DN101=0,0,DN102/DN101)*100</f>
        <v>0</v>
      </c>
      <c r="DO103" s="1093"/>
      <c r="DP103" s="1092">
        <f>IF(DP101=0,0,DP102/DP101)*100</f>
        <v>0</v>
      </c>
      <c r="DQ103" s="1092">
        <f>IF(DQ101=0,0,DQ102/DQ101)*100</f>
        <v>0</v>
      </c>
      <c r="DR103" s="1093"/>
      <c r="DS103" s="1092">
        <f>IF(DS101=0,0,DS102/DS101)*100</f>
        <v>0</v>
      </c>
      <c r="DT103" s="1092">
        <f>IF(DT101=0,0,DT102/DT101)*100</f>
        <v>0</v>
      </c>
      <c r="DU103" s="1093"/>
      <c r="DV103" s="1092">
        <f>IF(DV101=0,0,DV102/DV101)*100</f>
        <v>0</v>
      </c>
      <c r="DW103" s="1092">
        <f>IF(DW101=0,0,DW102/DW101)*100</f>
        <v>0</v>
      </c>
      <c r="DX103" s="1093"/>
      <c r="DY103" s="1092">
        <f>IF(DY101=0,0,DY102/DY101)*100</f>
        <v>0</v>
      </c>
      <c r="DZ103" s="1092">
        <f>IF(DZ101=0,0,DZ102/DZ101)*100</f>
        <v>0</v>
      </c>
      <c r="EA103" s="1093"/>
      <c r="EB103" s="1092">
        <f>IF(EB101=0,0,EB102/EB101)*100</f>
        <v>0</v>
      </c>
      <c r="EC103" s="1092">
        <f>IF(EC101=0,0,EC102/EC101)*100</f>
        <v>0</v>
      </c>
      <c r="ED103" s="1093"/>
      <c r="EE103" s="1092">
        <f>IF(EE101=0,0,EE102/EE101)*100</f>
        <v>0</v>
      </c>
      <c r="EF103" s="1092">
        <f>IF(EF101=0,0,EF102/EF101)*100</f>
        <v>0</v>
      </c>
      <c r="EG103" s="1093"/>
      <c r="EH103" s="1092">
        <f>IF(EH101=0,0,EH102/EH101)*100</f>
        <v>0</v>
      </c>
      <c r="EI103" s="1092">
        <f>IF(EI101=0,0,EI102/EI101)*100</f>
        <v>0</v>
      </c>
      <c r="EJ103" s="1093"/>
      <c r="EK103" s="1092">
        <f>IF(EK101=0,0,EK102/EK101)*100</f>
        <v>0</v>
      </c>
      <c r="EL103" s="1092">
        <f>IF(EL101=0,0,EL102/EL101)*100</f>
        <v>0</v>
      </c>
      <c r="EM103" s="1093"/>
      <c r="EN103" s="1092">
        <f>IF(EN101=0,0,EN102/EN101)*100</f>
        <v>0</v>
      </c>
      <c r="EO103" s="1092">
        <f>IF(EO101=0,0,EO102/EO101)*100</f>
        <v>0</v>
      </c>
      <c r="EP103" s="1093"/>
      <c r="EQ103" s="1092">
        <f>IF(EQ101=0,0,EQ102/EQ101)*100</f>
        <v>0</v>
      </c>
      <c r="ER103" s="1092">
        <f>IF(ER101=0,0,ER102/ER101)*100</f>
        <v>0</v>
      </c>
      <c r="ES103" s="1093"/>
      <c r="ET103" s="1092">
        <f>IF(ET101=0,0,ET102/ET101)*100</f>
        <v>0</v>
      </c>
      <c r="EU103" s="1092">
        <f>IF(EU101=0,0,EU102/EU101)*100</f>
        <v>0</v>
      </c>
      <c r="EV103" s="1093"/>
      <c r="EW103" s="1092">
        <f>IF(EW101=0,0,EW102/EW101)*100</f>
        <v>0</v>
      </c>
      <c r="EX103" s="1092">
        <f>IF(EX101=0,0,EX102/EX101)*100</f>
        <v>0</v>
      </c>
      <c r="EY103" s="1093"/>
      <c r="EZ103" s="1092">
        <f>IF(EZ101=0,0,EZ102/EZ101)*100</f>
        <v>0</v>
      </c>
      <c r="FA103" s="1092">
        <f>IF(FA101=0,0,FA102/FA101)*100</f>
        <v>0</v>
      </c>
      <c r="FB103" s="1093"/>
      <c r="FC103" s="1092">
        <f>IF(FC101=0,0,FC102/FC101)*100</f>
        <v>0</v>
      </c>
      <c r="FD103" s="1092">
        <f>IF(FD101=0,0,FD102/FD101)*100</f>
        <v>0</v>
      </c>
      <c r="FE103" s="1093"/>
      <c r="FF103" s="1092">
        <f>IF(FF101=0,0,FF102/FF101)*100</f>
        <v>0</v>
      </c>
      <c r="FG103" s="1092">
        <f>IF(FG101=0,0,FG102/FG101)*100</f>
        <v>0</v>
      </c>
      <c r="FH103" s="1093"/>
      <c r="FI103" s="1092">
        <f>IF(FI101=0,0,FI102/FI101)*100</f>
        <v>0</v>
      </c>
      <c r="FJ103" s="1092">
        <f>IF(FJ101=0,0,FJ102/FJ101)*100</f>
        <v>0</v>
      </c>
      <c r="FK103" s="1093"/>
      <c r="FL103" s="1092">
        <f>IF(FL101=0,0,FL102/FL101)*100</f>
        <v>0</v>
      </c>
      <c r="FM103" s="1092">
        <f>IF(FM101=0,0,FM102/FM101)*100</f>
        <v>0</v>
      </c>
      <c r="FN103" s="1093"/>
      <c r="FO103" s="1092">
        <f>IF(FO101=0,0,FO102/FO101)*100</f>
        <v>0</v>
      </c>
      <c r="FP103" s="1092">
        <f>IF(FP101=0,0,FP102/FP101)*100</f>
        <v>0</v>
      </c>
      <c r="FQ103" s="1093"/>
      <c r="FR103" s="1092">
        <f>IF(FR101=0,0,FR102/FR101)*100</f>
        <v>0</v>
      </c>
      <c r="FS103" s="1092">
        <f>IF(FS101=0,0,FS102/FS101)*100</f>
        <v>0</v>
      </c>
      <c r="FT103" s="1093"/>
      <c r="FU103" s="1092">
        <f>IF(FU101=0,0,FU102/FU101)*100</f>
        <v>0</v>
      </c>
      <c r="FV103" s="1092">
        <f>IF(FV101=0,0,FV102/FV101)*100</f>
        <v>0</v>
      </c>
      <c r="FW103" s="1093"/>
      <c r="FX103" s="292"/>
      <c r="FY103" s="1304"/>
      <c r="FZ103" s="1055" t="s">
        <v>2358</v>
      </c>
      <c r="GA103" s="1306"/>
      <c r="GB103" s="1306"/>
      <c r="GC103" s="1305"/>
      <c r="GD103" s="1305"/>
    </row>
    <row s="1834" customFormat="1" customHeight="1" ht="14.25">
      <c r="A104" s="493"/>
      <c r="B104" s="925" cm="1" t="str">
        <f t="array" ref="B104:B104">B103</f>
        <v>true</v>
      </c>
      <c r="C104" s="493"/>
      <c r="D104" s="493"/>
      <c r="E104" s="840">
        <v>15</v>
      </c>
      <c r="F104" s="50" cm="1" t="str">
        <f t="array" ref="F104:F104">OFFSET(E104,-1,1)</f>
        <v>1</v>
      </c>
      <c r="G104" s="107" t="s">
        <v>2359</v>
      </c>
      <c r="H104" s="493" t="s">
        <v>1182</v>
      </c>
      <c r="I104" s="493" t="s">
        <v>2357</v>
      </c>
      <c r="J104" s="493"/>
      <c r="K104" s="493"/>
      <c r="L104" s="493"/>
      <c r="M104" s="493"/>
      <c r="N104" s="493"/>
      <c r="O104" s="493"/>
      <c r="P104" s="493"/>
      <c r="Q104" s="897"/>
      <c r="R104" s="493"/>
      <c r="S104" s="493"/>
      <c r="T104" s="465" cm="1" t="str">
        <f t="array" ref="T104:T104">T103</f>
        <v>true</v>
      </c>
      <c r="U104" s="493"/>
      <c r="V104" s="493"/>
      <c r="W104" s="493"/>
      <c r="X104" s="1596"/>
      <c r="Y104" s="493"/>
      <c r="Z104" s="1545"/>
      <c r="AA104" s="493"/>
      <c r="AB104" s="900" t="s">
        <v>2360</v>
      </c>
      <c r="AC104" s="864" t="s">
        <v>1247</v>
      </c>
      <c r="AD104" s="1094">
        <f>IF(AND(method_reg="Метод индексации",god&lt;&gt;first_year),_xlfn.SUMIFS(INDEX('Калькуляция (МИ корр)'!$AJ$25:$BC$747,,MATCH(AD$8,'Калькуляция (МИ корр)'!$AJ$8:$BC$8,0)),'Калькуляция (МИ корр)'!$F$25:$F$747,$F104,'Калькуляция (МИ корр)'!$G$25:$G$747,$G104),IF(method_reg="Метод экономически обоснованных расходов",_xlfn.SUMIFS('Калькуляция (МЭОР)'!$AJ$25:$AJ$452,'Калькуляция (МЭОР)'!$F$25:$F$452,$F104,'Калькуляция (МЭОР)'!$G$25:$G$452,$G104),IF(method_reg="Метод сравнения аналогов",_xlfn.SUMIFS('Калькуляция (МСА)'!$AE$25:$AE$122,'Калькуляция (МСА)'!$F$25:$F$122,$F104,'Калькуляция (МСА)'!$G$25:$G$122,$G104),_xlfn.SUMIFS(INDEX('Калькуляция (МИ)'!$AJ$25:$BC$747,,MATCH(AD$8,'Калькуляция (МИ)'!$AJ$8:$BC$8,0)),'Калькуляция (МИ)'!$F$25:$F$747,$F104,'Калькуляция (МИ)'!$G$25:$G$747,$G104))))</f>
        <v>1058.9499</v>
      </c>
      <c r="AE104" s="1094">
        <f>IF(AND(method_reg="Метод индексации",god&lt;&gt;first_year),_xlfn.SUMIFS(INDEX('Калькуляция (МИ корр)'!$AJ$25:$BC$747,,MATCH(AE$8,'Калькуляция (МИ корр)'!$AJ$8:$BC$8,0)),'Калькуляция (МИ корр)'!$F$25:$F$747,$F104,'Калькуляция (МИ корр)'!$G$25:$G$747,$G104),IF(method_reg="Метод экономически обоснованных расходов",_xlfn.SUMIFS('Калькуляция (МЭОР)'!$AK$25:$AK$452,'Калькуляция (МЭОР)'!$F$25:$F$452,$F104,'Калькуляция (МЭОР)'!$G$25:$G$452,$G104),IF(method_reg="Метод сравнения аналогов",_xlfn.SUMIFS('Калькуляция (МСА)'!$AF$25:$AF$122,'Калькуляция (МСА)'!$F$25:$F$122,$F104,'Калькуляция (МСА)'!$G$25:$G$122,$G104),_xlfn.SUMIFS(INDEX('Калькуляция (МИ)'!$AJ$25:$BC$747,,MATCH(AE$8,'Калькуляция (МИ)'!$AJ$8:$BC$8,0)),'Калькуляция (МИ)'!$F$25:$F$747,$F104,'Калькуляция (МИ)'!$G$25:$G$747,$G104))))</f>
        <v>1058.9499</v>
      </c>
      <c r="AF104" s="1095">
        <f>IF(AD104=0,0,(AE104-AD104)/AD104*100)</f>
        <v>0</v>
      </c>
      <c r="AG104" s="1094">
        <f>IF(AND(method_reg="Метод индексации",god&lt;&gt;first_year),_xlfn.SUMIFS(INDEX('Калькуляция (МИ корр)'!$AJ$25:$BC$747,,MATCH(AG$8,'Калькуляция (МИ корр)'!$AJ$8:$BC$8,0)),'Калькуляция (МИ корр)'!$F$25:$F$747,$F104,'Калькуляция (МИ корр)'!$G$25:$G$747,$G104),IF(method_reg="Метод экономически обоснованных расходов",_xlfn.SUMIFS('Калькуляция (МЭОР)'!$AJ$25:$AJ$452,'Калькуляция (МЭОР)'!$F$25:$F$452,$F104,'Калькуляция (МЭОР)'!$G$25:$G$452,$G104),IF(method_reg="Метод сравнения аналогов",_xlfn.SUMIFS('Калькуляция (МСА)'!$AE$25:$AE$122,'Калькуляция (МСА)'!$F$25:$F$122,$F104,'Калькуляция (МСА)'!$G$25:$G$122,$G104),_xlfn.SUMIFS(INDEX('Калькуляция (МИ)'!$AJ$25:$BC$747,,MATCH(AG$8,'Калькуляция (МИ)'!$AJ$8:$BC$8,0)),'Калькуляция (МИ)'!$F$25:$F$747,$F104,'Калькуляция (МИ)'!$G$25:$G$747,$G104))))</f>
        <v>1058.9499</v>
      </c>
      <c r="AH104" s="1094">
        <f>IF(AND(method_reg="Метод индексации",god&lt;&gt;first_year),_xlfn.SUMIFS(INDEX('Калькуляция (МИ корр)'!$AJ$25:$BC$747,,MATCH(AH$8,'Калькуляция (МИ корр)'!$AJ$8:$BC$8,0)),'Калькуляция (МИ корр)'!$F$25:$F$747,$F104,'Калькуляция (МИ корр)'!$G$25:$G$747,$G104),IF(method_reg="Метод экономически обоснованных расходов",_xlfn.SUMIFS('Калькуляция (МЭОР)'!$AK$25:$AK$452,'Калькуляция (МЭОР)'!$F$25:$F$452,$F104,'Калькуляция (МЭОР)'!$G$25:$G$452,$G104),IF(method_reg="Метод сравнения аналогов",_xlfn.SUMIFS('Калькуляция (МСА)'!$AF$25:$AF$122,'Калькуляция (МСА)'!$F$25:$F$122,$F104,'Калькуляция (МСА)'!$G$25:$G$122,$G104),_xlfn.SUMIFS(INDEX('Калькуляция (МИ)'!$AJ$25:$BC$747,,MATCH(AH$8,'Калькуляция (МИ)'!$AJ$8:$BC$8,0)),'Калькуляция (МИ)'!$F$25:$F$747,$F104,'Калькуляция (МИ)'!$G$25:$G$747,$G104))))</f>
        <v>1058.9499</v>
      </c>
      <c r="AI104" s="1095">
        <f>IF(AG104=0,0,(AH104-AG104)/AG104*100)</f>
        <v>0</v>
      </c>
      <c r="AJ104" s="1094">
        <f>IF(AND(method_reg="Метод индексации",god&lt;&gt;first_year),_xlfn.SUMIFS(INDEX('Калькуляция (МИ корр)'!$AJ$25:$BC$747,,MATCH(AJ$8,'Калькуляция (МИ корр)'!$AJ$8:$BC$8,0)),'Калькуляция (МИ корр)'!$F$25:$F$747,$F104,'Калькуляция (МИ корр)'!$G$25:$G$747,$G104),IF(method_reg="Метод экономически обоснованных расходов",_xlfn.SUMIFS('Калькуляция (МЭОР)'!$AJ$25:$AJ$452,'Калькуляция (МЭОР)'!$F$25:$F$452,$F104,'Калькуляция (МЭОР)'!$G$25:$G$452,$G104),IF(method_reg="Метод сравнения аналогов",_xlfn.SUMIFS('Калькуляция (МСА)'!$AE$25:$AE$122,'Калькуляция (МСА)'!$F$25:$F$122,$F104,'Калькуляция (МСА)'!$G$25:$G$122,$G104),_xlfn.SUMIFS(INDEX('Калькуляция (МИ)'!$AJ$25:$BC$747,,MATCH(AJ$8,'Калькуляция (МИ)'!$AJ$8:$BC$8,0)),'Калькуляция (МИ)'!$F$25:$F$747,$F104,'Калькуляция (МИ)'!$G$25:$G$747,$G104))))</f>
        <v>1058.9499</v>
      </c>
      <c r="AK104" s="1094">
        <f>IF(AND(method_reg="Метод индексации",god&lt;&gt;first_year),_xlfn.SUMIFS(INDEX('Калькуляция (МИ корр)'!$AJ$25:$BC$747,,MATCH(AK$8,'Калькуляция (МИ корр)'!$AJ$8:$BC$8,0)),'Калькуляция (МИ корр)'!$F$25:$F$747,$F104,'Калькуляция (МИ корр)'!$G$25:$G$747,$G104),IF(method_reg="Метод экономически обоснованных расходов",_xlfn.SUMIFS('Калькуляция (МЭОР)'!$AK$25:$AK$452,'Калькуляция (МЭОР)'!$F$25:$F$452,$F104,'Калькуляция (МЭОР)'!$G$25:$G$452,$G104),IF(method_reg="Метод сравнения аналогов",_xlfn.SUMIFS('Калькуляция (МСА)'!$AF$25:$AF$122,'Калькуляция (МСА)'!$F$25:$F$122,$F104,'Калькуляция (МСА)'!$G$25:$G$122,$G104),_xlfn.SUMIFS(INDEX('Калькуляция (МИ)'!$AJ$25:$BC$747,,MATCH(AK$8,'Калькуляция (МИ)'!$AJ$8:$BC$8,0)),'Калькуляция (МИ)'!$F$25:$F$747,$F104,'Калькуляция (МИ)'!$G$25:$G$747,$G104))))</f>
        <v>1058.9499</v>
      </c>
      <c r="AL104" s="1095">
        <f>IF(AJ104=0,0,(AK104-AJ104)/AJ104*100)</f>
        <v>0</v>
      </c>
      <c r="AM104" s="1094">
        <f>IF(AND(method_reg="Метод индексации",god&lt;&gt;first_year),_xlfn.SUMIFS(INDEX('Калькуляция (МИ корр)'!$AJ$25:$BC$747,,MATCH(AM$8,'Калькуляция (МИ корр)'!$AJ$8:$BC$8,0)),'Калькуляция (МИ корр)'!$F$25:$F$747,$F104,'Калькуляция (МИ корр)'!$G$25:$G$747,$G104),IF(method_reg="Метод экономически обоснованных расходов",_xlfn.SUMIFS('Калькуляция (МЭОР)'!$AJ$25:$AJ$452,'Калькуляция (МЭОР)'!$F$25:$F$452,$F104,'Калькуляция (МЭОР)'!$G$25:$G$452,$G104),IF(method_reg="Метод сравнения аналогов",_xlfn.SUMIFS('Калькуляция (МСА)'!$AE$25:$AE$122,'Калькуляция (МСА)'!$F$25:$F$122,$F104,'Калькуляция (МСА)'!$G$25:$G$122,$G104),_xlfn.SUMIFS(INDEX('Калькуляция (МИ)'!$AJ$25:$BC$747,,MATCH(AM$8,'Калькуляция (МИ)'!$AJ$8:$BC$8,0)),'Калькуляция (МИ)'!$F$25:$F$747,$F104,'Калькуляция (МИ)'!$G$25:$G$747,$G104))))</f>
        <v>1058.9499</v>
      </c>
      <c r="AN104" s="1094">
        <f>IF(AND(method_reg="Метод индексации",god&lt;&gt;first_year),_xlfn.SUMIFS(INDEX('Калькуляция (МИ корр)'!$AJ$25:$BC$747,,MATCH(AN$8,'Калькуляция (МИ корр)'!$AJ$8:$BC$8,0)),'Калькуляция (МИ корр)'!$F$25:$F$747,$F104,'Калькуляция (МИ корр)'!$G$25:$G$747,$G104),IF(method_reg="Метод экономически обоснованных расходов",_xlfn.SUMIFS('Калькуляция (МЭОР)'!$AK$25:$AK$452,'Калькуляция (МЭОР)'!$F$25:$F$452,$F104,'Калькуляция (МЭОР)'!$G$25:$G$452,$G104),IF(method_reg="Метод сравнения аналогов",_xlfn.SUMIFS('Калькуляция (МСА)'!$AF$25:$AF$122,'Калькуляция (МСА)'!$F$25:$F$122,$F104,'Калькуляция (МСА)'!$G$25:$G$122,$G104),_xlfn.SUMIFS(INDEX('Калькуляция (МИ)'!$AJ$25:$BC$747,,MATCH(AN$8,'Калькуляция (МИ)'!$AJ$8:$BC$8,0)),'Калькуляция (МИ)'!$F$25:$F$747,$F104,'Калькуляция (МИ)'!$G$25:$G$747,$G104))))</f>
        <v>1058.9499</v>
      </c>
      <c r="AO104" s="1095">
        <f>IF(AM104=0,0,(AN104-AM104)/AM104*100)</f>
        <v>0</v>
      </c>
      <c r="AP104" s="1094">
        <f>IF(AND(method_reg="Метод индексации",god&lt;&gt;first_year),_xlfn.SUMIFS(INDEX('Калькуляция (МИ корр)'!$AJ$25:$BC$747,,MATCH(AP$8,'Калькуляция (МИ корр)'!$AJ$8:$BC$8,0)),'Калькуляция (МИ корр)'!$F$25:$F$747,$F104,'Калькуляция (МИ корр)'!$G$25:$G$747,$G104),IF(method_reg="Метод экономически обоснованных расходов",_xlfn.SUMIFS('Калькуляция (МЭОР)'!$AJ$25:$AJ$452,'Калькуляция (МЭОР)'!$F$25:$F$452,$F104,'Калькуляция (МЭОР)'!$G$25:$G$452,$G104),IF(method_reg="Метод сравнения аналогов",_xlfn.SUMIFS('Калькуляция (МСА)'!$AE$25:$AE$122,'Калькуляция (МСА)'!$F$25:$F$122,$F104,'Калькуляция (МСА)'!$G$25:$G$122,$G104),_xlfn.SUMIFS(INDEX('Калькуляция (МИ)'!$AJ$25:$BC$747,,MATCH(AP$8,'Калькуляция (МИ)'!$AJ$8:$BC$8,0)),'Калькуляция (МИ)'!$F$25:$F$747,$F104,'Калькуляция (МИ)'!$G$25:$G$747,$G104))))</f>
        <v>1058.9499</v>
      </c>
      <c r="AQ104" s="1094">
        <f>IF(AND(method_reg="Метод индексации",god&lt;&gt;first_year),_xlfn.SUMIFS(INDEX('Калькуляция (МИ корр)'!$AJ$25:$BC$747,,MATCH(AQ$8,'Калькуляция (МИ корр)'!$AJ$8:$BC$8,0)),'Калькуляция (МИ корр)'!$F$25:$F$747,$F104,'Калькуляция (МИ корр)'!$G$25:$G$747,$G104),IF(method_reg="Метод экономически обоснованных расходов",_xlfn.SUMIFS('Калькуляция (МЭОР)'!$AK$25:$AK$452,'Калькуляция (МЭОР)'!$F$25:$F$452,$F104,'Калькуляция (МЭОР)'!$G$25:$G$452,$G104),IF(method_reg="Метод сравнения аналогов",_xlfn.SUMIFS('Калькуляция (МСА)'!$AF$25:$AF$122,'Калькуляция (МСА)'!$F$25:$F$122,$F104,'Калькуляция (МСА)'!$G$25:$G$122,$G104),_xlfn.SUMIFS(INDEX('Калькуляция (МИ)'!$AJ$25:$BC$747,,MATCH(AQ$8,'Калькуляция (МИ)'!$AJ$8:$BC$8,0)),'Калькуляция (МИ)'!$F$25:$F$747,$F104,'Калькуляция (МИ)'!$G$25:$G$747,$G104))))</f>
        <v>1058.9499</v>
      </c>
      <c r="AR104" s="1095">
        <f>IF(AP104=0,0,(AQ104-AP104)/AP104*100)</f>
        <v>0</v>
      </c>
      <c r="AS104" s="5247">
        <f>IF(AND(method_reg="Метод индексации",god&lt;&gt;first_year),_xlfn.SUMIFS(INDEX('Калькуляция (МИ корр)'!$AJ$25:$BC$747,,MATCH(AS$8,'Калькуляция (МИ корр)'!$AJ$8:$BC$8,0)),'Калькуляция (МИ корр)'!$F$25:$F$747,$F104,'Калькуляция (МИ корр)'!$G$25:$G$747,$G104),IF(method_reg="Метод экономически обоснованных расходов",_xlfn.SUMIFS('Калькуляция (МЭОР)'!$AJ$25:$AJ$452,'Калькуляция (МЭОР)'!$F$25:$F$452,$F104,'Калькуляция (МЭОР)'!$G$25:$G$452,$G104),IF(method_reg="Метод сравнения аналогов",_xlfn.SUMIFS('Калькуляция (МСА)'!$AE$25:$AE$122,'Калькуляция (МСА)'!$F$25:$F$122,$F104,'Калькуляция (МСА)'!$G$25:$G$122,$G104),_xlfn.SUMIFS(INDEX('Калькуляция (МИ)'!$AJ$25:$BC$747,,MATCH(AS$8,'Калькуляция (МИ)'!$AJ$8:$BC$8,0)),'Калькуляция (МИ)'!$F$25:$F$747,$F104,'Калькуляция (МИ)'!$G$25:$G$747,$G104))))</f>
        <v>0</v>
      </c>
      <c r="AT104" s="5247">
        <f>IF(AND(method_reg="Метод индексации",god&lt;&gt;first_year),_xlfn.SUMIFS(INDEX('Калькуляция (МИ корр)'!$AJ$25:$BC$747,,MATCH(AT$8,'Калькуляция (МИ корр)'!$AJ$8:$BC$8,0)),'Калькуляция (МИ корр)'!$F$25:$F$747,$F104,'Калькуляция (МИ корр)'!$G$25:$G$747,$G104),IF(method_reg="Метод экономически обоснованных расходов",_xlfn.SUMIFS('Калькуляция (МЭОР)'!$AK$25:$AK$452,'Калькуляция (МЭОР)'!$F$25:$F$452,$F104,'Калькуляция (МЭОР)'!$G$25:$G$452,$G104),IF(method_reg="Метод сравнения аналогов",_xlfn.SUMIFS('Калькуляция (МСА)'!$AF$25:$AF$122,'Калькуляция (МСА)'!$F$25:$F$122,$F104,'Калькуляция (МСА)'!$G$25:$G$122,$G104),_xlfn.SUMIFS(INDEX('Калькуляция (МИ)'!$AJ$25:$BC$747,,MATCH(AT$8,'Калькуляция (МИ)'!$AJ$8:$BC$8,0)),'Калькуляция (МИ)'!$F$25:$F$747,$F104,'Калькуляция (МИ)'!$G$25:$G$747,$G104))))</f>
        <v>0</v>
      </c>
      <c r="AU104" s="1095">
        <f>IF(AS104=0,0,(AT104-AS104)/AS104*100)</f>
        <v>0</v>
      </c>
      <c r="AV104" s="5247">
        <f>IF(AND(method_reg="Метод индексации",god&lt;&gt;first_year),_xlfn.SUMIFS(INDEX('Калькуляция (МИ корр)'!$AJ$25:$BC$747,,MATCH(AV$8,'Калькуляция (МИ корр)'!$AJ$8:$BC$8,0)),'Калькуляция (МИ корр)'!$F$25:$F$747,$F104,'Калькуляция (МИ корр)'!$G$25:$G$747,$G104),IF(method_reg="Метод экономически обоснованных расходов",_xlfn.SUMIFS('Калькуляция (МЭОР)'!$AJ$25:$AJ$452,'Калькуляция (МЭОР)'!$F$25:$F$452,$F104,'Калькуляция (МЭОР)'!$G$25:$G$452,$G104),IF(method_reg="Метод сравнения аналогов",_xlfn.SUMIFS('Калькуляция (МСА)'!$AE$25:$AE$122,'Калькуляция (МСА)'!$F$25:$F$122,$F104,'Калькуляция (МСА)'!$G$25:$G$122,$G104),_xlfn.SUMIFS(INDEX('Калькуляция (МИ)'!$AJ$25:$BC$747,,MATCH(AV$8,'Калькуляция (МИ)'!$AJ$8:$BC$8,0)),'Калькуляция (МИ)'!$F$25:$F$747,$F104,'Калькуляция (МИ)'!$G$25:$G$747,$G104))))</f>
        <v>0</v>
      </c>
      <c r="AW104" s="5247">
        <f>IF(AND(method_reg="Метод индексации",god&lt;&gt;first_year),_xlfn.SUMIFS(INDEX('Калькуляция (МИ корр)'!$AJ$25:$BC$747,,MATCH(AW$8,'Калькуляция (МИ корр)'!$AJ$8:$BC$8,0)),'Калькуляция (МИ корр)'!$F$25:$F$747,$F104,'Калькуляция (МИ корр)'!$G$25:$G$747,$G104),IF(method_reg="Метод экономически обоснованных расходов",_xlfn.SUMIFS('Калькуляция (МЭОР)'!$AK$25:$AK$452,'Калькуляция (МЭОР)'!$F$25:$F$452,$F104,'Калькуляция (МЭОР)'!$G$25:$G$452,$G104),IF(method_reg="Метод сравнения аналогов",_xlfn.SUMIFS('Калькуляция (МСА)'!$AF$25:$AF$122,'Калькуляция (МСА)'!$F$25:$F$122,$F104,'Калькуляция (МСА)'!$G$25:$G$122,$G104),_xlfn.SUMIFS(INDEX('Калькуляция (МИ)'!$AJ$25:$BC$747,,MATCH(AW$8,'Калькуляция (МИ)'!$AJ$8:$BC$8,0)),'Калькуляция (МИ)'!$F$25:$F$747,$F104,'Калькуляция (МИ)'!$G$25:$G$747,$G104))))</f>
        <v>0</v>
      </c>
      <c r="AX104" s="1095">
        <f>IF(AV104=0,0,(AW104-AV104)/AV104*100)</f>
        <v>0</v>
      </c>
      <c r="AY104" s="5247">
        <f>IF(AND(method_reg="Метод индексации",god&lt;&gt;first_year),_xlfn.SUMIFS(INDEX('Калькуляция (МИ корр)'!$AJ$25:$BC$747,,MATCH(AY$8,'Калькуляция (МИ корр)'!$AJ$8:$BC$8,0)),'Калькуляция (МИ корр)'!$F$25:$F$747,$F104,'Калькуляция (МИ корр)'!$G$25:$G$747,$G104),IF(method_reg="Метод экономически обоснованных расходов",_xlfn.SUMIFS('Калькуляция (МЭОР)'!$AJ$25:$AJ$452,'Калькуляция (МЭОР)'!$F$25:$F$452,$F104,'Калькуляция (МЭОР)'!$G$25:$G$452,$G104),IF(method_reg="Метод сравнения аналогов",_xlfn.SUMIFS('Калькуляция (МСА)'!$AE$25:$AE$122,'Калькуляция (МСА)'!$F$25:$F$122,$F104,'Калькуляция (МСА)'!$G$25:$G$122,$G104),_xlfn.SUMIFS(INDEX('Калькуляция (МИ)'!$AJ$25:$BC$747,,MATCH(AY$8,'Калькуляция (МИ)'!$AJ$8:$BC$8,0)),'Калькуляция (МИ)'!$F$25:$F$747,$F104,'Калькуляция (МИ)'!$G$25:$G$747,$G104))))</f>
        <v>0</v>
      </c>
      <c r="AZ104" s="5247">
        <f>IF(AND(method_reg="Метод индексации",god&lt;&gt;first_year),_xlfn.SUMIFS(INDEX('Калькуляция (МИ корр)'!$AJ$25:$BC$747,,MATCH(AZ$8,'Калькуляция (МИ корр)'!$AJ$8:$BC$8,0)),'Калькуляция (МИ корр)'!$F$25:$F$747,$F104,'Калькуляция (МИ корр)'!$G$25:$G$747,$G104),IF(method_reg="Метод экономически обоснованных расходов",_xlfn.SUMIFS('Калькуляция (МЭОР)'!$AK$25:$AK$452,'Калькуляция (МЭОР)'!$F$25:$F$452,$F104,'Калькуляция (МЭОР)'!$G$25:$G$452,$G104),IF(method_reg="Метод сравнения аналогов",_xlfn.SUMIFS('Калькуляция (МСА)'!$AF$25:$AF$122,'Калькуляция (МСА)'!$F$25:$F$122,$F104,'Калькуляция (МСА)'!$G$25:$G$122,$G104),_xlfn.SUMIFS(INDEX('Калькуляция (МИ)'!$AJ$25:$BC$747,,MATCH(AZ$8,'Калькуляция (МИ)'!$AJ$8:$BC$8,0)),'Калькуляция (МИ)'!$F$25:$F$747,$F104,'Калькуляция (МИ)'!$G$25:$G$747,$G104))))</f>
        <v>0</v>
      </c>
      <c r="BA104" s="1095">
        <f>IF(AY104=0,0,(AZ104-AY104)/AY104*100)</f>
        <v>0</v>
      </c>
      <c r="BB104" s="5247">
        <f>IF(AND(method_reg="Метод индексации",god&lt;&gt;first_year),_xlfn.SUMIFS(INDEX('Калькуляция (МИ корр)'!$AJ$25:$BC$747,,MATCH(BB$8,'Калькуляция (МИ корр)'!$AJ$8:$BC$8,0)),'Калькуляция (МИ корр)'!$F$25:$F$747,$F104,'Калькуляция (МИ корр)'!$G$25:$G$747,$G104),IF(method_reg="Метод экономически обоснованных расходов",_xlfn.SUMIFS('Калькуляция (МЭОР)'!$AJ$25:$AJ$452,'Калькуляция (МЭОР)'!$F$25:$F$452,$F104,'Калькуляция (МЭОР)'!$G$25:$G$452,$G104),IF(method_reg="Метод сравнения аналогов",_xlfn.SUMIFS('Калькуляция (МСА)'!$AE$25:$AE$122,'Калькуляция (МСА)'!$F$25:$F$122,$F104,'Калькуляция (МСА)'!$G$25:$G$122,$G104),_xlfn.SUMIFS(INDEX('Калькуляция (МИ)'!$AJ$25:$BC$747,,MATCH(BB$8,'Калькуляция (МИ)'!$AJ$8:$BC$8,0)),'Калькуляция (МИ)'!$F$25:$F$747,$F104,'Калькуляция (МИ)'!$G$25:$G$747,$G104))))</f>
        <v>0</v>
      </c>
      <c r="BC104" s="5247">
        <f>IF(AND(method_reg="Метод индексации",god&lt;&gt;first_year),_xlfn.SUMIFS(INDEX('Калькуляция (МИ корр)'!$AJ$25:$BC$747,,MATCH(BC$8,'Калькуляция (МИ корр)'!$AJ$8:$BC$8,0)),'Калькуляция (МИ корр)'!$F$25:$F$747,$F104,'Калькуляция (МИ корр)'!$G$25:$G$747,$G104),IF(method_reg="Метод экономически обоснованных расходов",_xlfn.SUMIFS('Калькуляция (МЭОР)'!$AK$25:$AK$452,'Калькуляция (МЭОР)'!$F$25:$F$452,$F104,'Калькуляция (МЭОР)'!$G$25:$G$452,$G104),IF(method_reg="Метод сравнения аналогов",_xlfn.SUMIFS('Калькуляция (МСА)'!$AF$25:$AF$122,'Калькуляция (МСА)'!$F$25:$F$122,$F104,'Калькуляция (МСА)'!$G$25:$G$122,$G104),_xlfn.SUMIFS(INDEX('Калькуляция (МИ)'!$AJ$25:$BC$747,,MATCH(BC$8,'Калькуляция (МИ)'!$AJ$8:$BC$8,0)),'Калькуляция (МИ)'!$F$25:$F$747,$F104,'Калькуляция (МИ)'!$G$25:$G$747,$G104))))</f>
        <v>0</v>
      </c>
      <c r="BD104" s="1095">
        <f>IF(BB104=0,0,(BC104-BB104)/BB104*100)</f>
        <v>0</v>
      </c>
      <c r="BE104" s="5247">
        <f>IF(AND(method_reg="Метод индексации",god&lt;&gt;first_year),_xlfn.SUMIFS(INDEX('Калькуляция (МИ корр)'!$AJ$25:$BC$747,,MATCH(BE$8,'Калькуляция (МИ корр)'!$AJ$8:$BC$8,0)),'Калькуляция (МИ корр)'!$F$25:$F$747,$F104,'Калькуляция (МИ корр)'!$G$25:$G$747,$G104),IF(method_reg="Метод экономически обоснованных расходов",_xlfn.SUMIFS('Калькуляция (МЭОР)'!$AJ$25:$AJ$452,'Калькуляция (МЭОР)'!$F$25:$F$452,$F104,'Калькуляция (МЭОР)'!$G$25:$G$452,$G104),IF(method_reg="Метод сравнения аналогов",_xlfn.SUMIFS('Калькуляция (МСА)'!$AE$25:$AE$122,'Калькуляция (МСА)'!$F$25:$F$122,$F104,'Калькуляция (МСА)'!$G$25:$G$122,$G104),_xlfn.SUMIFS(INDEX('Калькуляция (МИ)'!$AJ$25:$BC$747,,MATCH(BE$8,'Калькуляция (МИ)'!$AJ$8:$BC$8,0)),'Калькуляция (МИ)'!$F$25:$F$747,$F104,'Калькуляция (МИ)'!$G$25:$G$747,$G104))))</f>
        <v>0</v>
      </c>
      <c r="BF104" s="5247">
        <f>IF(AND(method_reg="Метод индексации",god&lt;&gt;first_year),_xlfn.SUMIFS(INDEX('Калькуляция (МИ корр)'!$AJ$25:$BC$747,,MATCH(BF$8,'Калькуляция (МИ корр)'!$AJ$8:$BC$8,0)),'Калькуляция (МИ корр)'!$F$25:$F$747,$F104,'Калькуляция (МИ корр)'!$G$25:$G$747,$G104),IF(method_reg="Метод экономически обоснованных расходов",_xlfn.SUMIFS('Калькуляция (МЭОР)'!$AK$25:$AK$452,'Калькуляция (МЭОР)'!$F$25:$F$452,$F104,'Калькуляция (МЭОР)'!$G$25:$G$452,$G104),IF(method_reg="Метод сравнения аналогов",_xlfn.SUMIFS('Калькуляция (МСА)'!$AF$25:$AF$122,'Калькуляция (МСА)'!$F$25:$F$122,$F104,'Калькуляция (МСА)'!$G$25:$G$122,$G104),_xlfn.SUMIFS(INDEX('Калькуляция (МИ)'!$AJ$25:$BC$747,,MATCH(BF$8,'Калькуляция (МИ)'!$AJ$8:$BC$8,0)),'Калькуляция (МИ)'!$F$25:$F$747,$F104,'Калькуляция (МИ)'!$G$25:$G$747,$G104))))</f>
        <v>0</v>
      </c>
      <c r="BG104" s="1095">
        <f>IF(BE104=0,0,(BF104-BE104)/BE104*100)</f>
        <v>0</v>
      </c>
      <c r="BH104" s="5247"/>
      <c r="BI104" s="5247"/>
      <c r="BJ104" s="1095">
        <f>IF(BH104=0,0,(BI104-BH104)/BH104*100)</f>
        <v>0</v>
      </c>
      <c r="BK104" s="5247"/>
      <c r="BL104" s="5247"/>
      <c r="BM104" s="1095">
        <f>IF(BK104=0,0,(BL104-BK104)/BK104*100)</f>
        <v>0</v>
      </c>
      <c r="BN104" s="5247"/>
      <c r="BO104" s="5247"/>
      <c r="BP104" s="1095">
        <f>IF(BN104=0,0,(BO104-BN104)/BN104*100)</f>
        <v>0</v>
      </c>
      <c r="BQ104" s="5247"/>
      <c r="BR104" s="5247"/>
      <c r="BS104" s="1095">
        <f>IF(BQ104=0,0,(BR104-BQ104)/BQ104*100)</f>
        <v>0</v>
      </c>
      <c r="BT104" s="5247"/>
      <c r="BU104" s="5247"/>
      <c r="BV104" s="1095">
        <f>IF(BT104=0,0,(BU104-BT104)/BT104*100)</f>
        <v>0</v>
      </c>
      <c r="BW104" s="5247"/>
      <c r="BX104" s="5247"/>
      <c r="BY104" s="1095">
        <f>IF(BW104=0,0,(BX104-BW104)/BW104*100)</f>
        <v>0</v>
      </c>
      <c r="BZ104" s="5247"/>
      <c r="CA104" s="5247"/>
      <c r="CB104" s="1095">
        <f>IF(BZ104=0,0,(CA104-BZ104)/BZ104*100)</f>
        <v>0</v>
      </c>
      <c r="CC104" s="5247"/>
      <c r="CD104" s="5247"/>
      <c r="CE104" s="1095">
        <f>IF(CC104=0,0,(CD104-CC104)/CC104*100)</f>
        <v>0</v>
      </c>
      <c r="CF104" s="5247"/>
      <c r="CG104" s="5247"/>
      <c r="CH104" s="1095">
        <f>IF(CF104=0,0,(CG104-CF104)/CF104*100)</f>
        <v>0</v>
      </c>
      <c r="CI104" s="5247"/>
      <c r="CJ104" s="5247"/>
      <c r="CK104" s="1095">
        <f>IF(CI104=0,0,(CJ104-CI104)/CI104*100)</f>
        <v>0</v>
      </c>
      <c r="CL104" s="5247"/>
      <c r="CM104" s="5247"/>
      <c r="CN104" s="1095">
        <f>IF(CL104=0,0,(CM104-CL104)/CL104*100)</f>
        <v>0</v>
      </c>
      <c r="CO104" s="5247"/>
      <c r="CP104" s="5247"/>
      <c r="CQ104" s="1095">
        <f>IF(CO104=0,0,(CP104-CO104)/CO104*100)</f>
        <v>0</v>
      </c>
      <c r="CR104" s="5247"/>
      <c r="CS104" s="5247"/>
      <c r="CT104" s="1095">
        <f>IF(CR104=0,0,(CS104-CR104)/CR104*100)</f>
        <v>0</v>
      </c>
      <c r="CU104" s="5247"/>
      <c r="CV104" s="5247"/>
      <c r="CW104" s="1095">
        <f>IF(CU104=0,0,(CV104-CU104)/CU104*100)</f>
        <v>0</v>
      </c>
      <c r="CX104" s="5247"/>
      <c r="CY104" s="5247"/>
      <c r="CZ104" s="1095">
        <f>IF(CX104=0,0,(CY104-CX104)/CX104*100)</f>
        <v>0</v>
      </c>
      <c r="DA104" s="5247"/>
      <c r="DB104" s="5247"/>
      <c r="DC104" s="1095">
        <f>IF(DA104=0,0,(DB104-DA104)/DA104*100)</f>
        <v>0</v>
      </c>
      <c r="DD104" s="5247"/>
      <c r="DE104" s="5247"/>
      <c r="DF104" s="1095">
        <f>IF(DD104=0,0,(DE104-DD104)/DD104*100)</f>
        <v>0</v>
      </c>
      <c r="DG104" s="5247"/>
      <c r="DH104" s="5247"/>
      <c r="DI104" s="1095">
        <f>IF(DG104=0,0,(DH104-DG104)/DG104*100)</f>
        <v>0</v>
      </c>
      <c r="DJ104" s="5247"/>
      <c r="DK104" s="5247"/>
      <c r="DL104" s="1095">
        <f>IF(DJ104=0,0,(DK104-DJ104)/DJ104*100)</f>
        <v>0</v>
      </c>
      <c r="DM104" s="5247"/>
      <c r="DN104" s="5247"/>
      <c r="DO104" s="1095">
        <f>IF(DM104=0,0,(DN104-DM104)/DM104*100)</f>
        <v>0</v>
      </c>
      <c r="DP104" s="5247"/>
      <c r="DQ104" s="5247"/>
      <c r="DR104" s="1095">
        <f>IF(DP104=0,0,(DQ104-DP104)/DP104*100)</f>
        <v>0</v>
      </c>
      <c r="DS104" s="5247"/>
      <c r="DT104" s="5247"/>
      <c r="DU104" s="1095">
        <f>IF(DS104=0,0,(DT104-DS104)/DS104*100)</f>
        <v>0</v>
      </c>
      <c r="DV104" s="5247"/>
      <c r="DW104" s="5247"/>
      <c r="DX104" s="1095">
        <f>IF(DV104=0,0,(DW104-DV104)/DV104*100)</f>
        <v>0</v>
      </c>
      <c r="DY104" s="5247"/>
      <c r="DZ104" s="5247"/>
      <c r="EA104" s="1095">
        <f>IF(DY104=0,0,(DZ104-DY104)/DY104*100)</f>
        <v>0</v>
      </c>
      <c r="EB104" s="5247"/>
      <c r="EC104" s="5247"/>
      <c r="ED104" s="1095">
        <f>IF(EB104=0,0,(EC104-EB104)/EB104*100)</f>
        <v>0</v>
      </c>
      <c r="EE104" s="5247"/>
      <c r="EF104" s="5247"/>
      <c r="EG104" s="1095">
        <f>IF(EE104=0,0,(EF104-EE104)/EE104*100)</f>
        <v>0</v>
      </c>
      <c r="EH104" s="5247"/>
      <c r="EI104" s="5247"/>
      <c r="EJ104" s="1095">
        <f>IF(EH104=0,0,(EI104-EH104)/EH104*100)</f>
        <v>0</v>
      </c>
      <c r="EK104" s="5247"/>
      <c r="EL104" s="5247"/>
      <c r="EM104" s="1095">
        <f>IF(EK104=0,0,(EL104-EK104)/EK104*100)</f>
        <v>0</v>
      </c>
      <c r="EN104" s="5247"/>
      <c r="EO104" s="5247"/>
      <c r="EP104" s="1095">
        <f>IF(EN104=0,0,(EO104-EN104)/EN104*100)</f>
        <v>0</v>
      </c>
      <c r="EQ104" s="5247"/>
      <c r="ER104" s="5247"/>
      <c r="ES104" s="1095">
        <f>IF(EQ104=0,0,(ER104-EQ104)/EQ104*100)</f>
        <v>0</v>
      </c>
      <c r="ET104" s="5247"/>
      <c r="EU104" s="5247"/>
      <c r="EV104" s="1095">
        <f>IF(ET104=0,0,(EU104-ET104)/ET104*100)</f>
        <v>0</v>
      </c>
      <c r="EW104" s="5247"/>
      <c r="EX104" s="5247"/>
      <c r="EY104" s="1095">
        <f>IF(EW104=0,0,(EX104-EW104)/EW104*100)</f>
        <v>0</v>
      </c>
      <c r="EZ104" s="5247"/>
      <c r="FA104" s="5247"/>
      <c r="FB104" s="1095">
        <f>IF(EZ104=0,0,(FA104-EZ104)/EZ104*100)</f>
        <v>0</v>
      </c>
      <c r="FC104" s="5247"/>
      <c r="FD104" s="5247"/>
      <c r="FE104" s="1095">
        <f>IF(FC104=0,0,(FD104-FC104)/FC104*100)</f>
        <v>0</v>
      </c>
      <c r="FF104" s="5247"/>
      <c r="FG104" s="5247"/>
      <c r="FH104" s="1095">
        <f>IF(FF104=0,0,(FG104-FF104)/FF104*100)</f>
        <v>0</v>
      </c>
      <c r="FI104" s="5247"/>
      <c r="FJ104" s="5247"/>
      <c r="FK104" s="1095">
        <f>IF(FI104=0,0,(FJ104-FI104)/FI104*100)</f>
        <v>0</v>
      </c>
      <c r="FL104" s="5247"/>
      <c r="FM104" s="5247"/>
      <c r="FN104" s="1095">
        <f>IF(FL104=0,0,(FM104-FL104)/FL104*100)</f>
        <v>0</v>
      </c>
      <c r="FO104" s="5247"/>
      <c r="FP104" s="5247"/>
      <c r="FQ104" s="1095">
        <f>IF(FO104=0,0,(FP104-FO104)/FO104*100)</f>
        <v>0</v>
      </c>
      <c r="FR104" s="5247"/>
      <c r="FS104" s="5247"/>
      <c r="FT104" s="1095">
        <f>IF(FR104=0,0,(FS104-FR104)/FR104*100)</f>
        <v>0</v>
      </c>
      <c r="FU104" s="5247"/>
      <c r="FV104" s="5247"/>
      <c r="FW104" s="1095">
        <f>IF(FU104=0,0,(FV104-FU104)/FU104*100)</f>
        <v>0</v>
      </c>
      <c r="FX104" s="292"/>
      <c r="FY104" s="1304"/>
      <c r="FZ104" s="1055" t="s">
        <v>2361</v>
      </c>
      <c r="GA104" s="1306"/>
      <c r="GB104" s="1306"/>
      <c r="GC104" s="1305"/>
      <c r="GD104" s="1305"/>
    </row>
    <row s="1834" customFormat="1" customHeight="1" ht="18" hidden="1">
      <c r="A105" s="493"/>
      <c r="B105" s="925" cm="1" t="str">
        <f t="array" ref="B105:B105">B104</f>
        <v>true</v>
      </c>
      <c r="C105" s="493"/>
      <c r="D105" s="493"/>
      <c r="E105" s="840">
        <v>18.75</v>
      </c>
      <c r="F105" s="50" cm="1" t="str">
        <f t="array" ref="F105:F105">OFFSET(E105,-1,1)</f>
        <v>1</v>
      </c>
      <c r="G105" s="493"/>
      <c r="H105" s="493" t="s">
        <v>1175</v>
      </c>
      <c r="I105" s="493" cm="1" t="str">
        <f t="array" ref="I105:I105">AB105</f>
        <v>0</v>
      </c>
      <c r="J105" s="493"/>
      <c r="K105" s="493"/>
      <c r="L105" s="493"/>
      <c r="M105" s="493"/>
      <c r="N105" s="493"/>
      <c r="O105" s="493"/>
      <c r="P105" s="493"/>
      <c r="Q105" s="897"/>
      <c r="R105" s="493"/>
      <c r="S105" s="493"/>
      <c r="T105" s="465">
        <f>AND(F105&gt;0,Y105&gt;0)</f>
        <v>0</v>
      </c>
      <c r="U105" s="493"/>
      <c r="V105" s="493"/>
      <c r="W105" s="493" t="s">
        <v>174</v>
      </c>
      <c r="X105" s="1596"/>
      <c r="Y105" s="1596">
        <v>0</v>
      </c>
      <c r="Z105" s="1545"/>
      <c r="AA105" s="1494" t="s">
        <v>175</v>
      </c>
      <c r="AB105" s="5252"/>
      <c r="AC105" s="864" t="s">
        <v>2337</v>
      </c>
      <c r="AD105" s="2846"/>
      <c r="AE105" s="5253"/>
      <c r="AF105" s="1093">
        <f>IF(AD105=0,0,(AE105-AD105)/AD105*100)</f>
        <v>0</v>
      </c>
      <c r="AG105" s="2846"/>
      <c r="AH105" s="5253"/>
      <c r="AI105" s="1093">
        <f>IF(AG105=0,0,(AH105-AG105)/AG105*100)</f>
        <v>0</v>
      </c>
      <c r="AJ105" s="2846"/>
      <c r="AK105" s="5253"/>
      <c r="AL105" s="1093">
        <f>IF(AJ105=0,0,(AK105-AJ105)/AJ105*100)</f>
        <v>0</v>
      </c>
      <c r="AM105" s="2846"/>
      <c r="AN105" s="5253"/>
      <c r="AO105" s="1093">
        <f>IF(AM105=0,0,(AN105-AM105)/AM105*100)</f>
        <v>0</v>
      </c>
      <c r="AP105" s="2846"/>
      <c r="AQ105" s="5253"/>
      <c r="AR105" s="1093">
        <f>IF(AP105=0,0,(AQ105-AP105)/AP105*100)</f>
        <v>0</v>
      </c>
      <c r="AS105" s="2846"/>
      <c r="AT105" s="5253"/>
      <c r="AU105" s="1093">
        <f>IF(AS105=0,0,(AT105-AS105)/AS105*100)</f>
        <v>0</v>
      </c>
      <c r="AV105" s="2846"/>
      <c r="AW105" s="5253"/>
      <c r="AX105" s="1093">
        <f>IF(AV105=0,0,(AW105-AV105)/AV105*100)</f>
        <v>0</v>
      </c>
      <c r="AY105" s="2846"/>
      <c r="AZ105" s="5253"/>
      <c r="BA105" s="1093">
        <f>IF(AY105=0,0,(AZ105-AY105)/AY105*100)</f>
        <v>0</v>
      </c>
      <c r="BB105" s="2846"/>
      <c r="BC105" s="5253"/>
      <c r="BD105" s="1093">
        <f>IF(BB105=0,0,(BC105-BB105)/BB105*100)</f>
        <v>0</v>
      </c>
      <c r="BE105" s="2846"/>
      <c r="BF105" s="5253"/>
      <c r="BG105" s="1093">
        <f>IF(BE105=0,0,(BF105-BE105)/BE105*100)</f>
        <v>0</v>
      </c>
      <c r="BH105" s="2846"/>
      <c r="BI105" s="5253"/>
      <c r="BJ105" s="1093">
        <f>IF(BH105=0,0,(BI105-BH105)/BH105*100)</f>
        <v>0</v>
      </c>
      <c r="BK105" s="2846"/>
      <c r="BL105" s="5253"/>
      <c r="BM105" s="1093">
        <f>IF(BK105=0,0,(BL105-BK105)/BK105*100)</f>
        <v>0</v>
      </c>
      <c r="BN105" s="2846"/>
      <c r="BO105" s="5253"/>
      <c r="BP105" s="1093">
        <f>IF(BN105=0,0,(BO105-BN105)/BN105*100)</f>
        <v>0</v>
      </c>
      <c r="BQ105" s="2846"/>
      <c r="BR105" s="5253"/>
      <c r="BS105" s="1093">
        <f>IF(BQ105=0,0,(BR105-BQ105)/BQ105*100)</f>
        <v>0</v>
      </c>
      <c r="BT105" s="2846"/>
      <c r="BU105" s="5253"/>
      <c r="BV105" s="1093">
        <f>IF(BT105=0,0,(BU105-BT105)/BT105*100)</f>
        <v>0</v>
      </c>
      <c r="BW105" s="2846"/>
      <c r="BX105" s="5253"/>
      <c r="BY105" s="1093">
        <f>IF(BW105=0,0,(BX105-BW105)/BW105*100)</f>
        <v>0</v>
      </c>
      <c r="BZ105" s="2846"/>
      <c r="CA105" s="5253"/>
      <c r="CB105" s="1093">
        <f>IF(BZ105=0,0,(CA105-BZ105)/BZ105*100)</f>
        <v>0</v>
      </c>
      <c r="CC105" s="2846"/>
      <c r="CD105" s="5253"/>
      <c r="CE105" s="1093">
        <f>IF(CC105=0,0,(CD105-CC105)/CC105*100)</f>
        <v>0</v>
      </c>
      <c r="CF105" s="2846"/>
      <c r="CG105" s="5253"/>
      <c r="CH105" s="1093">
        <f>IF(CF105=0,0,(CG105-CF105)/CF105*100)</f>
        <v>0</v>
      </c>
      <c r="CI105" s="2846"/>
      <c r="CJ105" s="5253"/>
      <c r="CK105" s="1093">
        <f>IF(CI105=0,0,(CJ105-CI105)/CI105*100)</f>
        <v>0</v>
      </c>
      <c r="CL105" s="2846"/>
      <c r="CM105" s="5253"/>
      <c r="CN105" s="1093">
        <f>IF(CL105=0,0,(CM105-CL105)/CL105*100)</f>
        <v>0</v>
      </c>
      <c r="CO105" s="2846"/>
      <c r="CP105" s="5253"/>
      <c r="CQ105" s="1093">
        <f>IF(CO105=0,0,(CP105-CO105)/CO105*100)</f>
        <v>0</v>
      </c>
      <c r="CR105" s="2846"/>
      <c r="CS105" s="5253"/>
      <c r="CT105" s="1093">
        <f>IF(CR105=0,0,(CS105-CR105)/CR105*100)</f>
        <v>0</v>
      </c>
      <c r="CU105" s="2846"/>
      <c r="CV105" s="5253"/>
      <c r="CW105" s="1093">
        <f>IF(CU105=0,0,(CV105-CU105)/CU105*100)</f>
        <v>0</v>
      </c>
      <c r="CX105" s="2846"/>
      <c r="CY105" s="5253"/>
      <c r="CZ105" s="1093">
        <f>IF(CX105=0,0,(CY105-CX105)/CX105*100)</f>
        <v>0</v>
      </c>
      <c r="DA105" s="2846"/>
      <c r="DB105" s="5253"/>
      <c r="DC105" s="1093">
        <f>IF(DA105=0,0,(DB105-DA105)/DA105*100)</f>
        <v>0</v>
      </c>
      <c r="DD105" s="2846"/>
      <c r="DE105" s="5253"/>
      <c r="DF105" s="1093">
        <f>IF(DD105=0,0,(DE105-DD105)/DD105*100)</f>
        <v>0</v>
      </c>
      <c r="DG105" s="2846"/>
      <c r="DH105" s="5253"/>
      <c r="DI105" s="1093">
        <f>IF(DG105=0,0,(DH105-DG105)/DG105*100)</f>
        <v>0</v>
      </c>
      <c r="DJ105" s="2846"/>
      <c r="DK105" s="5253"/>
      <c r="DL105" s="1093">
        <f>IF(DJ105=0,0,(DK105-DJ105)/DJ105*100)</f>
        <v>0</v>
      </c>
      <c r="DM105" s="2846"/>
      <c r="DN105" s="5253"/>
      <c r="DO105" s="1093">
        <f>IF(DM105=0,0,(DN105-DM105)/DM105*100)</f>
        <v>0</v>
      </c>
      <c r="DP105" s="2846"/>
      <c r="DQ105" s="5253"/>
      <c r="DR105" s="1093">
        <f>IF(DP105=0,0,(DQ105-DP105)/DP105*100)</f>
        <v>0</v>
      </c>
      <c r="DS105" s="2846"/>
      <c r="DT105" s="5253"/>
      <c r="DU105" s="1093">
        <f>IF(DS105=0,0,(DT105-DS105)/DS105*100)</f>
        <v>0</v>
      </c>
      <c r="DV105" s="2846"/>
      <c r="DW105" s="5253"/>
      <c r="DX105" s="1093">
        <f>IF(DV105=0,0,(DW105-DV105)/DV105*100)</f>
        <v>0</v>
      </c>
      <c r="DY105" s="2846"/>
      <c r="DZ105" s="5253"/>
      <c r="EA105" s="1093">
        <f>IF(DY105=0,0,(DZ105-DY105)/DY105*100)</f>
        <v>0</v>
      </c>
      <c r="EB105" s="2846"/>
      <c r="EC105" s="5253"/>
      <c r="ED105" s="1093">
        <f>IF(EB105=0,0,(EC105-EB105)/EB105*100)</f>
        <v>0</v>
      </c>
      <c r="EE105" s="2846"/>
      <c r="EF105" s="5253"/>
      <c r="EG105" s="1093">
        <f>IF(EE105=0,0,(EF105-EE105)/EE105*100)</f>
        <v>0</v>
      </c>
      <c r="EH105" s="2846"/>
      <c r="EI105" s="5253"/>
      <c r="EJ105" s="1093">
        <f>IF(EH105=0,0,(EI105-EH105)/EH105*100)</f>
        <v>0</v>
      </c>
      <c r="EK105" s="2846"/>
      <c r="EL105" s="5253"/>
      <c r="EM105" s="1093">
        <f>IF(EK105=0,0,(EL105-EK105)/EK105*100)</f>
        <v>0</v>
      </c>
      <c r="EN105" s="2846"/>
      <c r="EO105" s="5253"/>
      <c r="EP105" s="1093">
        <f>IF(EN105=0,0,(EO105-EN105)/EN105*100)</f>
        <v>0</v>
      </c>
      <c r="EQ105" s="2846"/>
      <c r="ER105" s="5253"/>
      <c r="ES105" s="1093">
        <f>IF(EQ105=0,0,(ER105-EQ105)/EQ105*100)</f>
        <v>0</v>
      </c>
      <c r="ET105" s="2846"/>
      <c r="EU105" s="5253"/>
      <c r="EV105" s="1093">
        <f>IF(ET105=0,0,(EU105-ET105)/ET105*100)</f>
        <v>0</v>
      </c>
      <c r="EW105" s="2846"/>
      <c r="EX105" s="5253"/>
      <c r="EY105" s="1093">
        <f>IF(EW105=0,0,(EX105-EW105)/EW105*100)</f>
        <v>0</v>
      </c>
      <c r="EZ105" s="2846"/>
      <c r="FA105" s="5253"/>
      <c r="FB105" s="1093">
        <f>IF(EZ105=0,0,(FA105-EZ105)/EZ105*100)</f>
        <v>0</v>
      </c>
      <c r="FC105" s="2846"/>
      <c r="FD105" s="5253"/>
      <c r="FE105" s="1093">
        <f>IF(FC105=0,0,(FD105-FC105)/FC105*100)</f>
        <v>0</v>
      </c>
      <c r="FF105" s="2846"/>
      <c r="FG105" s="5253"/>
      <c r="FH105" s="1093">
        <f>IF(FF105=0,0,(FG105-FF105)/FF105*100)</f>
        <v>0</v>
      </c>
      <c r="FI105" s="2846"/>
      <c r="FJ105" s="5253"/>
      <c r="FK105" s="1093">
        <f>IF(FI105=0,0,(FJ105-FI105)/FI105*100)</f>
        <v>0</v>
      </c>
      <c r="FL105" s="2846"/>
      <c r="FM105" s="5253"/>
      <c r="FN105" s="1093">
        <f>IF(FL105=0,0,(FM105-FL105)/FL105*100)</f>
        <v>0</v>
      </c>
      <c r="FO105" s="2846"/>
      <c r="FP105" s="5253"/>
      <c r="FQ105" s="1093">
        <f>IF(FO105=0,0,(FP105-FO105)/FO105*100)</f>
        <v>0</v>
      </c>
      <c r="FR105" s="2846"/>
      <c r="FS105" s="5253"/>
      <c r="FT105" s="1093">
        <f>IF(FR105=0,0,(FS105-FR105)/FR105*100)</f>
        <v>0</v>
      </c>
      <c r="FU105" s="2846"/>
      <c r="FV105" s="5253"/>
      <c r="FW105" s="1093">
        <f>IF(FU105=0,0,(FV105-FU105)/FU105*100)</f>
        <v>0</v>
      </c>
      <c r="FX105" s="292"/>
      <c r="FY105" s="1304"/>
      <c r="FZ105" s="1055" t="s">
        <v>2362</v>
      </c>
      <c r="GA105" s="1015" t="s">
        <v>2363</v>
      </c>
      <c r="GB105" s="1015" cm="1" t="str">
        <f t="array" ref="GB105:GB105">AB105</f>
        <v>0</v>
      </c>
      <c r="GC105" s="1305"/>
      <c r="GD105" s="632" t="b">
        <v>1</v>
      </c>
    </row>
    <row customHeight="1" ht="18.525" hidden="1">
      <c r="A106" s="493"/>
      <c r="B106" s="925" cm="1" t="str">
        <f t="array" ref="B106:B106">B105</f>
        <v>true</v>
      </c>
      <c r="C106" s="493"/>
      <c r="D106" s="493"/>
      <c r="E106" s="840">
        <v>19</v>
      </c>
      <c r="F106" s="50" cm="1" t="str">
        <f t="array" ref="F106:F106">OFFSET(E106,-1,1)</f>
        <v>1</v>
      </c>
      <c r="G106" s="493"/>
      <c r="H106" s="493"/>
      <c r="I106" s="493"/>
      <c r="J106" s="493"/>
      <c r="K106" s="493"/>
      <c r="L106" s="493"/>
      <c r="M106" s="493"/>
      <c r="N106" s="493"/>
      <c r="O106" s="493"/>
      <c r="P106" s="493"/>
      <c r="Q106" s="897"/>
      <c r="R106" s="493"/>
      <c r="S106" s="493"/>
      <c r="T106" s="465" cm="1" t="str">
        <f t="array" ref="T106:T106">T105</f>
        <v>false</v>
      </c>
      <c r="U106" s="493"/>
      <c r="V106" s="493"/>
      <c r="W106" s="493"/>
      <c r="X106" s="1596"/>
      <c r="Y106" s="1596"/>
      <c r="Z106" s="1545"/>
      <c r="AA106" s="1494"/>
      <c r="AB106" s="5252"/>
      <c r="AC106" s="864" t="s">
        <v>2337</v>
      </c>
      <c r="AD106" s="2846"/>
      <c r="AE106" s="5253"/>
      <c r="AF106" s="1093">
        <f>IF(AD106=0,0,(AE106-AD106)/AD106*100)</f>
        <v>0</v>
      </c>
      <c r="AG106" s="2846"/>
      <c r="AH106" s="5253"/>
      <c r="AI106" s="1093">
        <f>IF(AG106=0,0,(AH106-AG106)/AG106*100)</f>
        <v>0</v>
      </c>
      <c r="AJ106" s="2846"/>
      <c r="AK106" s="5253"/>
      <c r="AL106" s="1093">
        <f>IF(AJ106=0,0,(AK106-AJ106)/AJ106*100)</f>
        <v>0</v>
      </c>
      <c r="AM106" s="2846"/>
      <c r="AN106" s="5253"/>
      <c r="AO106" s="1093">
        <f>IF(AM106=0,0,(AN106-AM106)/AM106*100)</f>
        <v>0</v>
      </c>
      <c r="AP106" s="2846"/>
      <c r="AQ106" s="5253"/>
      <c r="AR106" s="1093">
        <f>IF(AP106=0,0,(AQ106-AP106)/AP106*100)</f>
        <v>0</v>
      </c>
      <c r="AS106" s="2846"/>
      <c r="AT106" s="5253"/>
      <c r="AU106" s="1093">
        <f>IF(AS106=0,0,(AT106-AS106)/AS106*100)</f>
        <v>0</v>
      </c>
      <c r="AV106" s="2846"/>
      <c r="AW106" s="5253"/>
      <c r="AX106" s="1093">
        <f>IF(AV106=0,0,(AW106-AV106)/AV106*100)</f>
        <v>0</v>
      </c>
      <c r="AY106" s="2846"/>
      <c r="AZ106" s="5253"/>
      <c r="BA106" s="1093">
        <f>IF(AY106=0,0,(AZ106-AY106)/AY106*100)</f>
        <v>0</v>
      </c>
      <c r="BB106" s="2846"/>
      <c r="BC106" s="5253"/>
      <c r="BD106" s="1093">
        <f>IF(BB106=0,0,(BC106-BB106)/BB106*100)</f>
        <v>0</v>
      </c>
      <c r="BE106" s="2846"/>
      <c r="BF106" s="5253"/>
      <c r="BG106" s="1093">
        <f>IF(BE106=0,0,(BF106-BE106)/BE106*100)</f>
        <v>0</v>
      </c>
      <c r="BH106" s="2846"/>
      <c r="BI106" s="5253"/>
      <c r="BJ106" s="1093">
        <f>IF(BH106=0,0,(BI106-BH106)/BH106*100)</f>
        <v>0</v>
      </c>
      <c r="BK106" s="2846"/>
      <c r="BL106" s="5253"/>
      <c r="BM106" s="1093">
        <f>IF(BK106=0,0,(BL106-BK106)/BK106*100)</f>
        <v>0</v>
      </c>
      <c r="BN106" s="2846"/>
      <c r="BO106" s="5253"/>
      <c r="BP106" s="1093">
        <f>IF(BN106=0,0,(BO106-BN106)/BN106*100)</f>
        <v>0</v>
      </c>
      <c r="BQ106" s="2846"/>
      <c r="BR106" s="5253"/>
      <c r="BS106" s="1093">
        <f>IF(BQ106=0,0,(BR106-BQ106)/BQ106*100)</f>
        <v>0</v>
      </c>
      <c r="BT106" s="2846"/>
      <c r="BU106" s="5253"/>
      <c r="BV106" s="1093">
        <f>IF(BT106=0,0,(BU106-BT106)/BT106*100)</f>
        <v>0</v>
      </c>
      <c r="BW106" s="2846"/>
      <c r="BX106" s="5253"/>
      <c r="BY106" s="1093">
        <f>IF(BW106=0,0,(BX106-BW106)/BW106*100)</f>
        <v>0</v>
      </c>
      <c r="BZ106" s="2846"/>
      <c r="CA106" s="5253"/>
      <c r="CB106" s="1093">
        <f>IF(BZ106=0,0,(CA106-BZ106)/BZ106*100)</f>
        <v>0</v>
      </c>
      <c r="CC106" s="2846"/>
      <c r="CD106" s="5253"/>
      <c r="CE106" s="1093">
        <f>IF(CC106=0,0,(CD106-CC106)/CC106*100)</f>
        <v>0</v>
      </c>
      <c r="CF106" s="2846"/>
      <c r="CG106" s="5253"/>
      <c r="CH106" s="1093">
        <f>IF(CF106=0,0,(CG106-CF106)/CF106*100)</f>
        <v>0</v>
      </c>
      <c r="CI106" s="2846"/>
      <c r="CJ106" s="5253"/>
      <c r="CK106" s="1093">
        <f>IF(CI106=0,0,(CJ106-CI106)/CI106*100)</f>
        <v>0</v>
      </c>
      <c r="CL106" s="2846"/>
      <c r="CM106" s="5253"/>
      <c r="CN106" s="1093">
        <f>IF(CL106=0,0,(CM106-CL106)/CL106*100)</f>
        <v>0</v>
      </c>
      <c r="CO106" s="2846"/>
      <c r="CP106" s="5253"/>
      <c r="CQ106" s="1093">
        <f>IF(CO106=0,0,(CP106-CO106)/CO106*100)</f>
        <v>0</v>
      </c>
      <c r="CR106" s="2846"/>
      <c r="CS106" s="5253"/>
      <c r="CT106" s="1093">
        <f>IF(CR106=0,0,(CS106-CR106)/CR106*100)</f>
        <v>0</v>
      </c>
      <c r="CU106" s="2846"/>
      <c r="CV106" s="5253"/>
      <c r="CW106" s="1093">
        <f>IF(CU106=0,0,(CV106-CU106)/CU106*100)</f>
        <v>0</v>
      </c>
      <c r="CX106" s="2846"/>
      <c r="CY106" s="5253"/>
      <c r="CZ106" s="1093">
        <f>IF(CX106=0,0,(CY106-CX106)/CX106*100)</f>
        <v>0</v>
      </c>
      <c r="DA106" s="2846"/>
      <c r="DB106" s="5253"/>
      <c r="DC106" s="1093">
        <f>IF(DA106=0,0,(DB106-DA106)/DA106*100)</f>
        <v>0</v>
      </c>
      <c r="DD106" s="2846"/>
      <c r="DE106" s="5253"/>
      <c r="DF106" s="1093">
        <f>IF(DD106=0,0,(DE106-DD106)/DD106*100)</f>
        <v>0</v>
      </c>
      <c r="DG106" s="2846"/>
      <c r="DH106" s="5253"/>
      <c r="DI106" s="1093">
        <f>IF(DG106=0,0,(DH106-DG106)/DG106*100)</f>
        <v>0</v>
      </c>
      <c r="DJ106" s="2846"/>
      <c r="DK106" s="5253"/>
      <c r="DL106" s="1093">
        <f>IF(DJ106=0,0,(DK106-DJ106)/DJ106*100)</f>
        <v>0</v>
      </c>
      <c r="DM106" s="2846"/>
      <c r="DN106" s="5253"/>
      <c r="DO106" s="1093">
        <f>IF(DM106=0,0,(DN106-DM106)/DM106*100)</f>
        <v>0</v>
      </c>
      <c r="DP106" s="2846"/>
      <c r="DQ106" s="5253"/>
      <c r="DR106" s="1093">
        <f>IF(DP106=0,0,(DQ106-DP106)/DP106*100)</f>
        <v>0</v>
      </c>
      <c r="DS106" s="2846"/>
      <c r="DT106" s="5253"/>
      <c r="DU106" s="1093">
        <f>IF(DS106=0,0,(DT106-DS106)/DS106*100)</f>
        <v>0</v>
      </c>
      <c r="DV106" s="2846"/>
      <c r="DW106" s="5253"/>
      <c r="DX106" s="1093">
        <f>IF(DV106=0,0,(DW106-DV106)/DV106*100)</f>
        <v>0</v>
      </c>
      <c r="DY106" s="2846"/>
      <c r="DZ106" s="5253"/>
      <c r="EA106" s="1093">
        <f>IF(DY106=0,0,(DZ106-DY106)/DY106*100)</f>
        <v>0</v>
      </c>
      <c r="EB106" s="2846"/>
      <c r="EC106" s="5253"/>
      <c r="ED106" s="1093">
        <f>IF(EB106=0,0,(EC106-EB106)/EB106*100)</f>
        <v>0</v>
      </c>
      <c r="EE106" s="2846"/>
      <c r="EF106" s="5253"/>
      <c r="EG106" s="1093">
        <f>IF(EE106=0,0,(EF106-EE106)/EE106*100)</f>
        <v>0</v>
      </c>
      <c r="EH106" s="2846"/>
      <c r="EI106" s="5253"/>
      <c r="EJ106" s="1093">
        <f>IF(EH106=0,0,(EI106-EH106)/EH106*100)</f>
        <v>0</v>
      </c>
      <c r="EK106" s="2846"/>
      <c r="EL106" s="5253"/>
      <c r="EM106" s="1093">
        <f>IF(EK106=0,0,(EL106-EK106)/EK106*100)</f>
        <v>0</v>
      </c>
      <c r="EN106" s="2846"/>
      <c r="EO106" s="5253"/>
      <c r="EP106" s="1093">
        <f>IF(EN106=0,0,(EO106-EN106)/EN106*100)</f>
        <v>0</v>
      </c>
      <c r="EQ106" s="2846"/>
      <c r="ER106" s="5253"/>
      <c r="ES106" s="1093">
        <f>IF(EQ106=0,0,(ER106-EQ106)/EQ106*100)</f>
        <v>0</v>
      </c>
      <c r="ET106" s="2846"/>
      <c r="EU106" s="5253"/>
      <c r="EV106" s="1093">
        <f>IF(ET106=0,0,(EU106-ET106)/ET106*100)</f>
        <v>0</v>
      </c>
      <c r="EW106" s="2846"/>
      <c r="EX106" s="5253"/>
      <c r="EY106" s="1093">
        <f>IF(EW106=0,0,(EX106-EW106)/EW106*100)</f>
        <v>0</v>
      </c>
      <c r="EZ106" s="2846"/>
      <c r="FA106" s="5253"/>
      <c r="FB106" s="1093">
        <f>IF(EZ106=0,0,(FA106-EZ106)/EZ106*100)</f>
        <v>0</v>
      </c>
      <c r="FC106" s="2846"/>
      <c r="FD106" s="5253"/>
      <c r="FE106" s="1093">
        <f>IF(FC106=0,0,(FD106-FC106)/FC106*100)</f>
        <v>0</v>
      </c>
      <c r="FF106" s="2846"/>
      <c r="FG106" s="5253"/>
      <c r="FH106" s="1093">
        <f>IF(FF106=0,0,(FG106-FF106)/FF106*100)</f>
        <v>0</v>
      </c>
      <c r="FI106" s="2846"/>
      <c r="FJ106" s="5253"/>
      <c r="FK106" s="1093">
        <f>IF(FI106=0,0,(FJ106-FI106)/FI106*100)</f>
        <v>0</v>
      </c>
      <c r="FL106" s="2846"/>
      <c r="FM106" s="5253"/>
      <c r="FN106" s="1093">
        <f>IF(FL106=0,0,(FM106-FL106)/FL106*100)</f>
        <v>0</v>
      </c>
      <c r="FO106" s="2846"/>
      <c r="FP106" s="5253"/>
      <c r="FQ106" s="1093">
        <f>IF(FO106=0,0,(FP106-FO106)/FO106*100)</f>
        <v>0</v>
      </c>
      <c r="FR106" s="2846"/>
      <c r="FS106" s="5253"/>
      <c r="FT106" s="1093">
        <f>IF(FR106=0,0,(FS106-FR106)/FR106*100)</f>
        <v>0</v>
      </c>
      <c r="FU106" s="2846"/>
      <c r="FV106" s="5253"/>
      <c r="FW106" s="1093">
        <f>IF(FU106=0,0,(FV106-FU106)/FU106*100)</f>
        <v>0</v>
      </c>
      <c r="FZ106" s="1306" t="s">
        <v>2364</v>
      </c>
      <c r="GA106" s="1306" t="s">
        <v>2363</v>
      </c>
      <c r="GB106" s="1306" cm="1" t="str">
        <f t="array" ref="GB106:GB106">GB105</f>
        <v>0</v>
      </c>
    </row>
    <row s="1834" customFormat="1" customHeight="1" ht="14.25" hidden="1">
      <c r="A107" s="493"/>
      <c r="B107" s="925" cm="1" t="str">
        <f t="array" ref="B107:B107">B105</f>
        <v>true</v>
      </c>
      <c r="C107" s="493"/>
      <c r="D107" s="493"/>
      <c r="E107" s="840">
        <v>15</v>
      </c>
      <c r="F107" s="50" cm="1" t="str">
        <f t="array" ref="F107:F107">OFFSET(E107,-1,1)</f>
        <v>1</v>
      </c>
      <c r="G107" s="493"/>
      <c r="H107" s="493" t="s">
        <v>1182</v>
      </c>
      <c r="I107" s="493" cm="1" t="str">
        <f t="array" ref="I107:I107">I105</f>
        <v>0</v>
      </c>
      <c r="J107" s="493"/>
      <c r="K107" s="493"/>
      <c r="L107" s="493"/>
      <c r="M107" s="493"/>
      <c r="N107" s="493"/>
      <c r="O107" s="493"/>
      <c r="P107" s="493"/>
      <c r="Q107" s="897"/>
      <c r="R107" s="493"/>
      <c r="S107" s="493"/>
      <c r="T107" s="465" cm="1" t="str">
        <f t="array" ref="T107:T107">T105</f>
        <v>false</v>
      </c>
      <c r="U107" s="493"/>
      <c r="V107" s="493"/>
      <c r="W107" s="493"/>
      <c r="X107" s="1596"/>
      <c r="Y107" s="1596"/>
      <c r="Z107" s="1545"/>
      <c r="AA107" s="1494"/>
      <c r="AB107" s="900" t="s">
        <v>2347</v>
      </c>
      <c r="AC107" s="300" t="s">
        <v>1247</v>
      </c>
      <c r="AD107" s="5247"/>
      <c r="AE107" s="5247"/>
      <c r="AF107" s="1095">
        <f>IF(AD107=0,0,(AE107-AD107)/AD107*100)</f>
        <v>0</v>
      </c>
      <c r="AG107" s="5247"/>
      <c r="AH107" s="5247"/>
      <c r="AI107" s="1095">
        <f>IF(AG107=0,0,(AH107-AG107)/AG107*100)</f>
        <v>0</v>
      </c>
      <c r="AJ107" s="5247"/>
      <c r="AK107" s="5247"/>
      <c r="AL107" s="1095">
        <f>IF(AJ107=0,0,(AK107-AJ107)/AJ107*100)</f>
        <v>0</v>
      </c>
      <c r="AM107" s="5247"/>
      <c r="AN107" s="5247"/>
      <c r="AO107" s="1095">
        <f>IF(AM107=0,0,(AN107-AM107)/AM107*100)</f>
        <v>0</v>
      </c>
      <c r="AP107" s="5247"/>
      <c r="AQ107" s="5247"/>
      <c r="AR107" s="1095">
        <f>IF(AP107=0,0,(AQ107-AP107)/AP107*100)</f>
        <v>0</v>
      </c>
      <c r="AS107" s="5247"/>
      <c r="AT107" s="5247"/>
      <c r="AU107" s="1095">
        <f>IF(AS107=0,0,(AT107-AS107)/AS107*100)</f>
        <v>0</v>
      </c>
      <c r="AV107" s="5247"/>
      <c r="AW107" s="5247"/>
      <c r="AX107" s="1095">
        <f>IF(AV107=0,0,(AW107-AV107)/AV107*100)</f>
        <v>0</v>
      </c>
      <c r="AY107" s="5247"/>
      <c r="AZ107" s="5247"/>
      <c r="BA107" s="1095">
        <f>IF(AY107=0,0,(AZ107-AY107)/AY107*100)</f>
        <v>0</v>
      </c>
      <c r="BB107" s="5247"/>
      <c r="BC107" s="5247"/>
      <c r="BD107" s="1095">
        <f>IF(BB107=0,0,(BC107-BB107)/BB107*100)</f>
        <v>0</v>
      </c>
      <c r="BE107" s="5247"/>
      <c r="BF107" s="5247"/>
      <c r="BG107" s="1095">
        <f>IF(BE107=0,0,(BF107-BE107)/BE107*100)</f>
        <v>0</v>
      </c>
      <c r="BH107" s="5247"/>
      <c r="BI107" s="5247"/>
      <c r="BJ107" s="1095">
        <f>IF(BH107=0,0,(BI107-BH107)/BH107*100)</f>
        <v>0</v>
      </c>
      <c r="BK107" s="5247"/>
      <c r="BL107" s="5247"/>
      <c r="BM107" s="1095">
        <f>IF(BK107=0,0,(BL107-BK107)/BK107*100)</f>
        <v>0</v>
      </c>
      <c r="BN107" s="5247"/>
      <c r="BO107" s="5247"/>
      <c r="BP107" s="1095">
        <f>IF(BN107=0,0,(BO107-BN107)/BN107*100)</f>
        <v>0</v>
      </c>
      <c r="BQ107" s="5247"/>
      <c r="BR107" s="5247"/>
      <c r="BS107" s="1095">
        <f>IF(BQ107=0,0,(BR107-BQ107)/BQ107*100)</f>
        <v>0</v>
      </c>
      <c r="BT107" s="5247"/>
      <c r="BU107" s="5247"/>
      <c r="BV107" s="1095">
        <f>IF(BT107=0,0,(BU107-BT107)/BT107*100)</f>
        <v>0</v>
      </c>
      <c r="BW107" s="5247"/>
      <c r="BX107" s="5247"/>
      <c r="BY107" s="1095">
        <f>IF(BW107=0,0,(BX107-BW107)/BW107*100)</f>
        <v>0</v>
      </c>
      <c r="BZ107" s="5247"/>
      <c r="CA107" s="5247"/>
      <c r="CB107" s="1095">
        <f>IF(BZ107=0,0,(CA107-BZ107)/BZ107*100)</f>
        <v>0</v>
      </c>
      <c r="CC107" s="5247"/>
      <c r="CD107" s="5247"/>
      <c r="CE107" s="1095">
        <f>IF(CC107=0,0,(CD107-CC107)/CC107*100)</f>
        <v>0</v>
      </c>
      <c r="CF107" s="5247"/>
      <c r="CG107" s="5247"/>
      <c r="CH107" s="1095">
        <f>IF(CF107=0,0,(CG107-CF107)/CF107*100)</f>
        <v>0</v>
      </c>
      <c r="CI107" s="5247"/>
      <c r="CJ107" s="5247"/>
      <c r="CK107" s="1095">
        <f>IF(CI107=0,0,(CJ107-CI107)/CI107*100)</f>
        <v>0</v>
      </c>
      <c r="CL107" s="5247"/>
      <c r="CM107" s="5247"/>
      <c r="CN107" s="1095">
        <f>IF(CL107=0,0,(CM107-CL107)/CL107*100)</f>
        <v>0</v>
      </c>
      <c r="CO107" s="5247"/>
      <c r="CP107" s="5247"/>
      <c r="CQ107" s="1095">
        <f>IF(CO107=0,0,(CP107-CO107)/CO107*100)</f>
        <v>0</v>
      </c>
      <c r="CR107" s="5247"/>
      <c r="CS107" s="5247"/>
      <c r="CT107" s="1095">
        <f>IF(CR107=0,0,(CS107-CR107)/CR107*100)</f>
        <v>0</v>
      </c>
      <c r="CU107" s="5247"/>
      <c r="CV107" s="5247"/>
      <c r="CW107" s="1095">
        <f>IF(CU107=0,0,(CV107-CU107)/CU107*100)</f>
        <v>0</v>
      </c>
      <c r="CX107" s="5247"/>
      <c r="CY107" s="5247"/>
      <c r="CZ107" s="1095">
        <f>IF(CX107=0,0,(CY107-CX107)/CX107*100)</f>
        <v>0</v>
      </c>
      <c r="DA107" s="5247"/>
      <c r="DB107" s="5247"/>
      <c r="DC107" s="1095">
        <f>IF(DA107=0,0,(DB107-DA107)/DA107*100)</f>
        <v>0</v>
      </c>
      <c r="DD107" s="5247"/>
      <c r="DE107" s="5247"/>
      <c r="DF107" s="1095">
        <f>IF(DD107=0,0,(DE107-DD107)/DD107*100)</f>
        <v>0</v>
      </c>
      <c r="DG107" s="5247"/>
      <c r="DH107" s="5247"/>
      <c r="DI107" s="1095">
        <f>IF(DG107=0,0,(DH107-DG107)/DG107*100)</f>
        <v>0</v>
      </c>
      <c r="DJ107" s="5247"/>
      <c r="DK107" s="5247"/>
      <c r="DL107" s="1095">
        <f>IF(DJ107=0,0,(DK107-DJ107)/DJ107*100)</f>
        <v>0</v>
      </c>
      <c r="DM107" s="5247"/>
      <c r="DN107" s="5247"/>
      <c r="DO107" s="1095">
        <f>IF(DM107=0,0,(DN107-DM107)/DM107*100)</f>
        <v>0</v>
      </c>
      <c r="DP107" s="5247"/>
      <c r="DQ107" s="5247"/>
      <c r="DR107" s="1095">
        <f>IF(DP107=0,0,(DQ107-DP107)/DP107*100)</f>
        <v>0</v>
      </c>
      <c r="DS107" s="5247"/>
      <c r="DT107" s="5247"/>
      <c r="DU107" s="1095">
        <f>IF(DS107=0,0,(DT107-DS107)/DS107*100)</f>
        <v>0</v>
      </c>
      <c r="DV107" s="5247"/>
      <c r="DW107" s="5247"/>
      <c r="DX107" s="1095">
        <f>IF(DV107=0,0,(DW107-DV107)/DV107*100)</f>
        <v>0</v>
      </c>
      <c r="DY107" s="5247"/>
      <c r="DZ107" s="5247"/>
      <c r="EA107" s="1095">
        <f>IF(DY107=0,0,(DZ107-DY107)/DY107*100)</f>
        <v>0</v>
      </c>
      <c r="EB107" s="5247"/>
      <c r="EC107" s="5247"/>
      <c r="ED107" s="1095">
        <f>IF(EB107=0,0,(EC107-EB107)/EB107*100)</f>
        <v>0</v>
      </c>
      <c r="EE107" s="5247"/>
      <c r="EF107" s="5247"/>
      <c r="EG107" s="1095">
        <f>IF(EE107=0,0,(EF107-EE107)/EE107*100)</f>
        <v>0</v>
      </c>
      <c r="EH107" s="5247"/>
      <c r="EI107" s="5247"/>
      <c r="EJ107" s="1095">
        <f>IF(EH107=0,0,(EI107-EH107)/EH107*100)</f>
        <v>0</v>
      </c>
      <c r="EK107" s="5247"/>
      <c r="EL107" s="5247"/>
      <c r="EM107" s="1095">
        <f>IF(EK107=0,0,(EL107-EK107)/EK107*100)</f>
        <v>0</v>
      </c>
      <c r="EN107" s="5247"/>
      <c r="EO107" s="5247"/>
      <c r="EP107" s="1095">
        <f>IF(EN107=0,0,(EO107-EN107)/EN107*100)</f>
        <v>0</v>
      </c>
      <c r="EQ107" s="5247"/>
      <c r="ER107" s="5247"/>
      <c r="ES107" s="1095">
        <f>IF(EQ107=0,0,(ER107-EQ107)/EQ107*100)</f>
        <v>0</v>
      </c>
      <c r="ET107" s="5247"/>
      <c r="EU107" s="5247"/>
      <c r="EV107" s="1095">
        <f>IF(ET107=0,0,(EU107-ET107)/ET107*100)</f>
        <v>0</v>
      </c>
      <c r="EW107" s="5247"/>
      <c r="EX107" s="5247"/>
      <c r="EY107" s="1095">
        <f>IF(EW107=0,0,(EX107-EW107)/EW107*100)</f>
        <v>0</v>
      </c>
      <c r="EZ107" s="5247"/>
      <c r="FA107" s="5247"/>
      <c r="FB107" s="1095">
        <f>IF(EZ107=0,0,(FA107-EZ107)/EZ107*100)</f>
        <v>0</v>
      </c>
      <c r="FC107" s="5247"/>
      <c r="FD107" s="5247"/>
      <c r="FE107" s="1095">
        <f>IF(FC107=0,0,(FD107-FC107)/FC107*100)</f>
        <v>0</v>
      </c>
      <c r="FF107" s="5247"/>
      <c r="FG107" s="5247"/>
      <c r="FH107" s="1095">
        <f>IF(FF107=0,0,(FG107-FF107)/FF107*100)</f>
        <v>0</v>
      </c>
      <c r="FI107" s="5247"/>
      <c r="FJ107" s="5247"/>
      <c r="FK107" s="1095">
        <f>IF(FI107=0,0,(FJ107-FI107)/FI107*100)</f>
        <v>0</v>
      </c>
      <c r="FL107" s="5247"/>
      <c r="FM107" s="5247"/>
      <c r="FN107" s="1095">
        <f>IF(FL107=0,0,(FM107-FL107)/FL107*100)</f>
        <v>0</v>
      </c>
      <c r="FO107" s="5247"/>
      <c r="FP107" s="5247"/>
      <c r="FQ107" s="1095">
        <f>IF(FO107=0,0,(FP107-FO107)/FO107*100)</f>
        <v>0</v>
      </c>
      <c r="FR107" s="5247"/>
      <c r="FS107" s="5247"/>
      <c r="FT107" s="1095">
        <f>IF(FR107=0,0,(FS107-FR107)/FR107*100)</f>
        <v>0</v>
      </c>
      <c r="FU107" s="5247"/>
      <c r="FV107" s="5247"/>
      <c r="FW107" s="1095">
        <f>IF(FU107=0,0,(FV107-FU107)/FU107*100)</f>
        <v>0</v>
      </c>
      <c r="FX107" s="292"/>
      <c r="FY107" s="1304"/>
      <c r="FZ107" s="1055" t="s">
        <v>2365</v>
      </c>
      <c r="GA107" s="1015" t="s">
        <v>2363</v>
      </c>
      <c r="GB107" s="1015" cm="1" t="str">
        <f t="array" ref="GB107:GB107">GB105</f>
        <v>0</v>
      </c>
      <c r="GC107" s="1305"/>
      <c r="GD107" s="1305"/>
    </row>
    <row s="1834" customFormat="1" customHeight="1" ht="14.25">
      <c r="A108" s="493"/>
      <c r="B108" s="925" cm="1" t="str">
        <f t="array" ref="B108:B108">B107</f>
        <v>true</v>
      </c>
      <c r="C108" s="493"/>
      <c r="D108" s="493"/>
      <c r="E108" s="840">
        <v>15</v>
      </c>
      <c r="F108" s="50" cm="1" t="str">
        <f t="array" ref="F108:F108">OFFSET(E108,-1,1)</f>
        <v>1</v>
      </c>
      <c r="G108" s="493"/>
      <c r="H108" s="493"/>
      <c r="I108" s="98" t="s">
        <v>2366</v>
      </c>
      <c r="J108" s="493"/>
      <c r="K108" s="493"/>
      <c r="L108" s="493"/>
      <c r="M108" s="493"/>
      <c r="N108" s="493"/>
      <c r="O108" s="493"/>
      <c r="P108" s="493"/>
      <c r="Q108" s="493"/>
      <c r="R108" s="85"/>
      <c r="S108" s="493"/>
      <c r="T108" s="465">
        <f>F108&gt;0</f>
        <v>1</v>
      </c>
      <c r="U108" s="493"/>
      <c r="V108" s="1304"/>
      <c r="W108" s="757" t="s">
        <v>2367</v>
      </c>
      <c r="X108" s="1596"/>
      <c r="Y108" s="1304"/>
      <c r="Z108" s="1545"/>
      <c r="AA108" s="1304"/>
      <c r="AB108" s="260" t="s">
        <v>178</v>
      </c>
      <c r="AC108" s="264"/>
      <c r="AD108" s="1098"/>
      <c r="AE108" s="1098"/>
      <c r="AF108" s="1098"/>
      <c r="AG108" s="1098"/>
      <c r="AH108" s="1098"/>
      <c r="AI108" s="1098"/>
      <c r="AJ108" s="1098"/>
      <c r="AK108" s="1098"/>
      <c r="AL108" s="1098"/>
      <c r="AM108" s="1098"/>
      <c r="AN108" s="1098"/>
      <c r="AO108" s="1098"/>
      <c r="AP108" s="1098"/>
      <c r="AQ108" s="1098"/>
      <c r="AR108" s="1098"/>
      <c r="AS108" s="1098"/>
      <c r="AT108" s="1098"/>
      <c r="AU108" s="1098"/>
      <c r="AV108" s="1098"/>
      <c r="AW108" s="1098"/>
      <c r="AX108" s="1098"/>
      <c r="AY108" s="1098"/>
      <c r="AZ108" s="1098"/>
      <c r="BA108" s="1098"/>
      <c r="BB108" s="1098"/>
      <c r="BC108" s="1098"/>
      <c r="BD108" s="1098"/>
      <c r="BE108" s="1098"/>
      <c r="BF108" s="1098"/>
      <c r="BG108" s="1098"/>
      <c r="BH108" s="1098"/>
      <c r="BI108" s="1098"/>
      <c r="BJ108" s="1098"/>
      <c r="BK108" s="1098"/>
      <c r="BL108" s="1098"/>
      <c r="BM108" s="1098"/>
      <c r="BN108" s="1098"/>
      <c r="BO108" s="1098"/>
      <c r="BP108" s="1098"/>
      <c r="BQ108" s="1098"/>
      <c r="BR108" s="1098"/>
      <c r="BS108" s="1098"/>
      <c r="BT108" s="1098"/>
      <c r="BU108" s="1098"/>
      <c r="BV108" s="1098"/>
      <c r="BW108" s="1098"/>
      <c r="BX108" s="1098"/>
      <c r="BY108" s="1098"/>
      <c r="BZ108" s="1098"/>
      <c r="CA108" s="1098"/>
      <c r="CB108" s="1098"/>
      <c r="CC108" s="1098"/>
      <c r="CD108" s="1098"/>
      <c r="CE108" s="1098"/>
      <c r="CF108" s="1098"/>
      <c r="CG108" s="1098"/>
      <c r="CH108" s="1098"/>
      <c r="CI108" s="1098"/>
      <c r="CJ108" s="1098"/>
      <c r="CK108" s="1098"/>
      <c r="CL108" s="1098"/>
      <c r="CM108" s="1098"/>
      <c r="CN108" s="1098"/>
      <c r="CO108" s="1098"/>
      <c r="CP108" s="1098"/>
      <c r="CQ108" s="1098"/>
      <c r="CR108" s="1098"/>
      <c r="CS108" s="1098"/>
      <c r="CT108" s="1098"/>
      <c r="CU108" s="1098"/>
      <c r="CV108" s="1098"/>
      <c r="CW108" s="1098"/>
      <c r="CX108" s="1098"/>
      <c r="CY108" s="1098"/>
      <c r="CZ108" s="1098"/>
      <c r="DA108" s="1098"/>
      <c r="DB108" s="1098"/>
      <c r="DC108" s="1098"/>
      <c r="DD108" s="1098"/>
      <c r="DE108" s="1098"/>
      <c r="DF108" s="1098"/>
      <c r="DG108" s="1098"/>
      <c r="DH108" s="1098"/>
      <c r="DI108" s="1098"/>
      <c r="DJ108" s="1098"/>
      <c r="DK108" s="1098"/>
      <c r="DL108" s="1098"/>
      <c r="DM108" s="1098"/>
      <c r="DN108" s="1098"/>
      <c r="DO108" s="1098"/>
      <c r="DP108" s="1098"/>
      <c r="DQ108" s="1098"/>
      <c r="DR108" s="1098"/>
      <c r="DS108" s="1098"/>
      <c r="DT108" s="1098"/>
      <c r="DU108" s="1098"/>
      <c r="DV108" s="1098"/>
      <c r="DW108" s="1098"/>
      <c r="DX108" s="1098"/>
      <c r="DY108" s="1098"/>
      <c r="DZ108" s="1098"/>
      <c r="EA108" s="1098"/>
      <c r="EB108" s="1098"/>
      <c r="EC108" s="1098"/>
      <c r="ED108" s="1098"/>
      <c r="EE108" s="1098"/>
      <c r="EF108" s="1098"/>
      <c r="EG108" s="1098"/>
      <c r="EH108" s="1098"/>
      <c r="EI108" s="1098"/>
      <c r="EJ108" s="1098"/>
      <c r="EK108" s="1098"/>
      <c r="EL108" s="1098"/>
      <c r="EM108" s="1098"/>
      <c r="EN108" s="1098"/>
      <c r="EO108" s="1098"/>
      <c r="EP108" s="1098"/>
      <c r="EQ108" s="1098"/>
      <c r="ER108" s="1098"/>
      <c r="ES108" s="1098"/>
      <c r="ET108" s="1098"/>
      <c r="EU108" s="1098"/>
      <c r="EV108" s="1098"/>
      <c r="EW108" s="1098"/>
      <c r="EX108" s="1098"/>
      <c r="EY108" s="1098"/>
      <c r="EZ108" s="1098"/>
      <c r="FA108" s="1098"/>
      <c r="FB108" s="1098"/>
      <c r="FC108" s="1098"/>
      <c r="FD108" s="1098"/>
      <c r="FE108" s="1098"/>
      <c r="FF108" s="1098"/>
      <c r="FG108" s="1098"/>
      <c r="FH108" s="1098"/>
      <c r="FI108" s="1098"/>
      <c r="FJ108" s="1098"/>
      <c r="FK108" s="1098"/>
      <c r="FL108" s="1098"/>
      <c r="FM108" s="1098"/>
      <c r="FN108" s="1098"/>
      <c r="FO108" s="1098"/>
      <c r="FP108" s="1098"/>
      <c r="FQ108" s="1098"/>
      <c r="FR108" s="1098"/>
      <c r="FS108" s="1098"/>
      <c r="FT108" s="1098"/>
      <c r="FU108" s="1098"/>
      <c r="FV108" s="1098"/>
      <c r="FW108" s="1099"/>
      <c r="FX108" s="1304"/>
      <c r="FY108" s="1304"/>
      <c r="FZ108" s="1055" t="s">
        <v>227</v>
      </c>
      <c r="GA108" s="1306"/>
      <c r="GB108" s="1306"/>
      <c r="GC108" s="632" t="s">
        <v>2363</v>
      </c>
      <c r="GD108" s="1305"/>
    </row>
    <row s="1834" customFormat="1" customHeight="1" ht="14.25" hidden="1">
      <c r="A109" s="493"/>
      <c r="B109" s="925">
        <f>AND(R92="двухставочный",NOT(S92))</f>
        <v>0</v>
      </c>
      <c r="C109" s="493"/>
      <c r="D109" s="493"/>
      <c r="E109" s="840">
        <v>15</v>
      </c>
      <c r="F109" s="50" cm="1" t="str">
        <f t="array" ref="F109:F109">OFFSET(E109,-1,1)</f>
        <v>1</v>
      </c>
      <c r="G109" s="493"/>
      <c r="H109" s="493"/>
      <c r="I109" s="493"/>
      <c r="J109" s="493"/>
      <c r="K109" s="493"/>
      <c r="L109" s="493"/>
      <c r="M109" s="493"/>
      <c r="N109" s="493"/>
      <c r="O109" s="493"/>
      <c r="P109" s="493"/>
      <c r="Q109" s="493"/>
      <c r="R109" s="85"/>
      <c r="S109" s="493"/>
      <c r="T109" s="465" cm="1" t="str">
        <f t="array" ref="T109:T109">T108</f>
        <v>true</v>
      </c>
      <c r="U109" s="493"/>
      <c r="V109" s="493"/>
      <c r="W109" s="493"/>
      <c r="X109" s="1596"/>
      <c r="Y109" s="493"/>
      <c r="Z109" s="1545"/>
      <c r="AA109" s="493"/>
      <c r="AB109" s="894" t="s">
        <v>2368</v>
      </c>
      <c r="AC109" s="895"/>
      <c r="AD109" s="1100"/>
      <c r="AE109" s="1100"/>
      <c r="AF109" s="1100"/>
      <c r="AG109" s="1100"/>
      <c r="AH109" s="1100"/>
      <c r="AI109" s="1100"/>
      <c r="AJ109" s="1100"/>
      <c r="AK109" s="1100"/>
      <c r="AL109" s="1100"/>
      <c r="AM109" s="1100"/>
      <c r="AN109" s="1100"/>
      <c r="AO109" s="1100"/>
      <c r="AP109" s="1100"/>
      <c r="AQ109" s="1100"/>
      <c r="AR109" s="1100"/>
      <c r="AS109" s="1100"/>
      <c r="AT109" s="1100"/>
      <c r="AU109" s="1100"/>
      <c r="AV109" s="1100"/>
      <c r="AW109" s="1100"/>
      <c r="AX109" s="1100"/>
      <c r="AY109" s="1100"/>
      <c r="AZ109" s="1100"/>
      <c r="BA109" s="1100"/>
      <c r="BB109" s="1100"/>
      <c r="BC109" s="1100"/>
      <c r="BD109" s="1100"/>
      <c r="BE109" s="1100"/>
      <c r="BF109" s="1100"/>
      <c r="BG109" s="1100"/>
      <c r="BH109" s="1100"/>
      <c r="BI109" s="1100"/>
      <c r="BJ109" s="1100"/>
      <c r="BK109" s="1100"/>
      <c r="BL109" s="1100"/>
      <c r="BM109" s="1100"/>
      <c r="BN109" s="1100"/>
      <c r="BO109" s="1100"/>
      <c r="BP109" s="1100"/>
      <c r="BQ109" s="1100"/>
      <c r="BR109" s="1100"/>
      <c r="BS109" s="1100"/>
      <c r="BT109" s="1100"/>
      <c r="BU109" s="1100"/>
      <c r="BV109" s="1100"/>
      <c r="BW109" s="1100"/>
      <c r="BX109" s="1100"/>
      <c r="BY109" s="1100"/>
      <c r="BZ109" s="1100"/>
      <c r="CA109" s="1100"/>
      <c r="CB109" s="1100"/>
      <c r="CC109" s="1100"/>
      <c r="CD109" s="1100"/>
      <c r="CE109" s="1100"/>
      <c r="CF109" s="1100"/>
      <c r="CG109" s="1100"/>
      <c r="CH109" s="1100"/>
      <c r="CI109" s="1100"/>
      <c r="CJ109" s="1100"/>
      <c r="CK109" s="1100"/>
      <c r="CL109" s="1100"/>
      <c r="CM109" s="1100"/>
      <c r="CN109" s="1100"/>
      <c r="CO109" s="1100"/>
      <c r="CP109" s="1100"/>
      <c r="CQ109" s="1100"/>
      <c r="CR109" s="1100"/>
      <c r="CS109" s="1100"/>
      <c r="CT109" s="1100"/>
      <c r="CU109" s="1100"/>
      <c r="CV109" s="1100"/>
      <c r="CW109" s="1100"/>
      <c r="CX109" s="1100"/>
      <c r="CY109" s="1100"/>
      <c r="CZ109" s="1100"/>
      <c r="DA109" s="1100"/>
      <c r="DB109" s="1100"/>
      <c r="DC109" s="1100"/>
      <c r="DD109" s="1100"/>
      <c r="DE109" s="1100"/>
      <c r="DF109" s="1100"/>
      <c r="DG109" s="1100"/>
      <c r="DH109" s="1100"/>
      <c r="DI109" s="1100"/>
      <c r="DJ109" s="1100"/>
      <c r="DK109" s="1100"/>
      <c r="DL109" s="1100"/>
      <c r="DM109" s="1100"/>
      <c r="DN109" s="1100"/>
      <c r="DO109" s="1100"/>
      <c r="DP109" s="1100"/>
      <c r="DQ109" s="1100"/>
      <c r="DR109" s="1100"/>
      <c r="DS109" s="1100"/>
      <c r="DT109" s="1100"/>
      <c r="DU109" s="1100"/>
      <c r="DV109" s="1100"/>
      <c r="DW109" s="1100"/>
      <c r="DX109" s="1100"/>
      <c r="DY109" s="1100"/>
      <c r="DZ109" s="1100"/>
      <c r="EA109" s="1100"/>
      <c r="EB109" s="1100"/>
      <c r="EC109" s="1100"/>
      <c r="ED109" s="1100"/>
      <c r="EE109" s="1100"/>
      <c r="EF109" s="1100"/>
      <c r="EG109" s="1100"/>
      <c r="EH109" s="1100"/>
      <c r="EI109" s="1100"/>
      <c r="EJ109" s="1100"/>
      <c r="EK109" s="1100"/>
      <c r="EL109" s="1100"/>
      <c r="EM109" s="1100"/>
      <c r="EN109" s="1100"/>
      <c r="EO109" s="1100"/>
      <c r="EP109" s="1100"/>
      <c r="EQ109" s="1100"/>
      <c r="ER109" s="1100"/>
      <c r="ES109" s="1100"/>
      <c r="ET109" s="1100"/>
      <c r="EU109" s="1100"/>
      <c r="EV109" s="1100"/>
      <c r="EW109" s="1100"/>
      <c r="EX109" s="1100"/>
      <c r="EY109" s="1100"/>
      <c r="EZ109" s="1100"/>
      <c r="FA109" s="1100"/>
      <c r="FB109" s="1100"/>
      <c r="FC109" s="1100"/>
      <c r="FD109" s="1100"/>
      <c r="FE109" s="1100"/>
      <c r="FF109" s="1100"/>
      <c r="FG109" s="1100"/>
      <c r="FH109" s="1100"/>
      <c r="FI109" s="1100"/>
      <c r="FJ109" s="1100"/>
      <c r="FK109" s="1100"/>
      <c r="FL109" s="1100"/>
      <c r="FM109" s="1100"/>
      <c r="FN109" s="1100"/>
      <c r="FO109" s="1100"/>
      <c r="FP109" s="1100"/>
      <c r="FQ109" s="1100"/>
      <c r="FR109" s="1100"/>
      <c r="FS109" s="1100"/>
      <c r="FT109" s="1100"/>
      <c r="FU109" s="1100"/>
      <c r="FV109" s="1100"/>
      <c r="FW109" s="1101"/>
      <c r="FX109" s="1304"/>
      <c r="FY109" s="1304"/>
      <c r="FZ109" s="1055" t="s">
        <v>227</v>
      </c>
      <c r="GA109" s="1306"/>
      <c r="GB109" s="1306"/>
      <c r="GC109" s="1305"/>
      <c r="GD109" s="1305"/>
    </row>
    <row s="1834" customFormat="1" customHeight="1" ht="23.25" hidden="1">
      <c r="A110" s="493"/>
      <c r="B110" s="925" cm="1" t="str">
        <f t="array" ref="B110:B110">B109</f>
        <v>false</v>
      </c>
      <c r="C110" s="493"/>
      <c r="D110" s="493"/>
      <c r="E110" s="840">
        <v>24.5</v>
      </c>
      <c r="F110" s="50" cm="1" t="str">
        <f t="array" ref="F110:F110">OFFSET(E110,-1,1)</f>
        <v>1</v>
      </c>
      <c r="G110" s="493"/>
      <c r="H110" s="493"/>
      <c r="I110" s="493"/>
      <c r="J110" s="493"/>
      <c r="K110" s="493"/>
      <c r="L110" s="493"/>
      <c r="M110" s="493"/>
      <c r="N110" s="493"/>
      <c r="O110" s="493"/>
      <c r="P110" s="493"/>
      <c r="Q110" s="493"/>
      <c r="R110" s="493"/>
      <c r="S110" s="493"/>
      <c r="T110" s="465" cm="1" t="str">
        <f t="array" ref="T110:T110">T109</f>
        <v>true</v>
      </c>
      <c r="U110" s="493"/>
      <c r="V110" s="493"/>
      <c r="W110" s="493"/>
      <c r="X110" s="1596"/>
      <c r="Y110" s="493"/>
      <c r="Z110" s="1545"/>
      <c r="AA110" s="493"/>
      <c r="AB110" s="293" t="s">
        <v>2369</v>
      </c>
      <c r="AC110" s="903"/>
      <c r="AD110" s="1102"/>
      <c r="AE110" s="1102"/>
      <c r="AF110" s="1102"/>
      <c r="AG110" s="1102"/>
      <c r="AH110" s="1102"/>
      <c r="AI110" s="1102"/>
      <c r="AJ110" s="1102"/>
      <c r="AK110" s="1102"/>
      <c r="AL110" s="1102"/>
      <c r="AM110" s="1102"/>
      <c r="AN110" s="1102"/>
      <c r="AO110" s="1102"/>
      <c r="AP110" s="1102"/>
      <c r="AQ110" s="1102"/>
      <c r="AR110" s="1102"/>
      <c r="AS110" s="1102"/>
      <c r="AT110" s="1102"/>
      <c r="AU110" s="1102"/>
      <c r="AV110" s="1102"/>
      <c r="AW110" s="1102"/>
      <c r="AX110" s="1102"/>
      <c r="AY110" s="1102"/>
      <c r="AZ110" s="1102"/>
      <c r="BA110" s="1102"/>
      <c r="BB110" s="1102"/>
      <c r="BC110" s="1102"/>
      <c r="BD110" s="1102"/>
      <c r="BE110" s="1102"/>
      <c r="BF110" s="1102"/>
      <c r="BG110" s="1102"/>
      <c r="BH110" s="1102"/>
      <c r="BI110" s="1102"/>
      <c r="BJ110" s="1102"/>
      <c r="BK110" s="1102"/>
      <c r="BL110" s="1102"/>
      <c r="BM110" s="1102"/>
      <c r="BN110" s="1102"/>
      <c r="BO110" s="1102"/>
      <c r="BP110" s="1102"/>
      <c r="BQ110" s="1102"/>
      <c r="BR110" s="1102"/>
      <c r="BS110" s="1102"/>
      <c r="BT110" s="1102"/>
      <c r="BU110" s="1102"/>
      <c r="BV110" s="1102"/>
      <c r="BW110" s="1102"/>
      <c r="BX110" s="1102"/>
      <c r="BY110" s="1102"/>
      <c r="BZ110" s="1102"/>
      <c r="CA110" s="1102"/>
      <c r="CB110" s="1102"/>
      <c r="CC110" s="1102"/>
      <c r="CD110" s="1102"/>
      <c r="CE110" s="1102"/>
      <c r="CF110" s="1102"/>
      <c r="CG110" s="1102"/>
      <c r="CH110" s="1102"/>
      <c r="CI110" s="1102"/>
      <c r="CJ110" s="1102"/>
      <c r="CK110" s="1102"/>
      <c r="CL110" s="1102"/>
      <c r="CM110" s="1102"/>
      <c r="CN110" s="1102"/>
      <c r="CO110" s="1102"/>
      <c r="CP110" s="1102"/>
      <c r="CQ110" s="1102"/>
      <c r="CR110" s="1102"/>
      <c r="CS110" s="1102"/>
      <c r="CT110" s="1102"/>
      <c r="CU110" s="1102"/>
      <c r="CV110" s="1102"/>
      <c r="CW110" s="1102"/>
      <c r="CX110" s="1102"/>
      <c r="CY110" s="1102"/>
      <c r="CZ110" s="1102"/>
      <c r="DA110" s="1102"/>
      <c r="DB110" s="1102"/>
      <c r="DC110" s="1102"/>
      <c r="DD110" s="1102"/>
      <c r="DE110" s="1102"/>
      <c r="DF110" s="1102"/>
      <c r="DG110" s="1102"/>
      <c r="DH110" s="1102"/>
      <c r="DI110" s="1102"/>
      <c r="DJ110" s="1102"/>
      <c r="DK110" s="1102"/>
      <c r="DL110" s="1102"/>
      <c r="DM110" s="1102"/>
      <c r="DN110" s="1102"/>
      <c r="DO110" s="1102"/>
      <c r="DP110" s="1102"/>
      <c r="DQ110" s="1102"/>
      <c r="DR110" s="1102"/>
      <c r="DS110" s="1102"/>
      <c r="DT110" s="1102"/>
      <c r="DU110" s="1102"/>
      <c r="DV110" s="1102"/>
      <c r="DW110" s="1102"/>
      <c r="DX110" s="1102"/>
      <c r="DY110" s="1102"/>
      <c r="DZ110" s="1102"/>
      <c r="EA110" s="1102"/>
      <c r="EB110" s="1102"/>
      <c r="EC110" s="1102"/>
      <c r="ED110" s="1102"/>
      <c r="EE110" s="1102"/>
      <c r="EF110" s="1102"/>
      <c r="EG110" s="1102"/>
      <c r="EH110" s="1102"/>
      <c r="EI110" s="1102"/>
      <c r="EJ110" s="1102"/>
      <c r="EK110" s="1102"/>
      <c r="EL110" s="1102"/>
      <c r="EM110" s="1102"/>
      <c r="EN110" s="1102"/>
      <c r="EO110" s="1102"/>
      <c r="EP110" s="1102"/>
      <c r="EQ110" s="1102"/>
      <c r="ER110" s="1102"/>
      <c r="ES110" s="1102"/>
      <c r="ET110" s="1102"/>
      <c r="EU110" s="1102"/>
      <c r="EV110" s="1102"/>
      <c r="EW110" s="1102"/>
      <c r="EX110" s="1102"/>
      <c r="EY110" s="1102"/>
      <c r="EZ110" s="1102"/>
      <c r="FA110" s="1102"/>
      <c r="FB110" s="1102"/>
      <c r="FC110" s="1102"/>
      <c r="FD110" s="1102"/>
      <c r="FE110" s="1102"/>
      <c r="FF110" s="1102"/>
      <c r="FG110" s="1102"/>
      <c r="FH110" s="1102"/>
      <c r="FI110" s="1102"/>
      <c r="FJ110" s="1102"/>
      <c r="FK110" s="1102"/>
      <c r="FL110" s="1102"/>
      <c r="FM110" s="1102"/>
      <c r="FN110" s="1102"/>
      <c r="FO110" s="1102"/>
      <c r="FP110" s="1102"/>
      <c r="FQ110" s="1102"/>
      <c r="FR110" s="1102"/>
      <c r="FS110" s="1102"/>
      <c r="FT110" s="1102"/>
      <c r="FU110" s="1102"/>
      <c r="FV110" s="1102"/>
      <c r="FW110" s="1103"/>
      <c r="FX110" s="1304"/>
      <c r="FY110" s="1304"/>
      <c r="FZ110" s="1055" t="s">
        <v>227</v>
      </c>
      <c r="GA110" s="1306"/>
      <c r="GB110" s="1306"/>
      <c r="GC110" s="1305"/>
      <c r="GD110" s="1305"/>
    </row>
    <row s="1834" customFormat="1" customHeight="1" ht="14.25" hidden="1">
      <c r="A111" s="493"/>
      <c r="B111" s="925" cm="1" t="str">
        <f t="array" ref="B111:B111">B110</f>
        <v>false</v>
      </c>
      <c r="C111" s="493"/>
      <c r="D111" s="493"/>
      <c r="E111" s="840">
        <v>15</v>
      </c>
      <c r="F111" s="50" cm="1" t="str">
        <f t="array" ref="F111:F111">OFFSET(E111,-1,1)</f>
        <v>1</v>
      </c>
      <c r="G111" s="493"/>
      <c r="H111" s="493" t="s">
        <v>2295</v>
      </c>
      <c r="I111" s="493" t="s">
        <v>2335</v>
      </c>
      <c r="J111" s="493"/>
      <c r="K111" s="493"/>
      <c r="L111" s="493"/>
      <c r="M111" s="493"/>
      <c r="N111" s="493"/>
      <c r="O111" s="493"/>
      <c r="P111" s="493"/>
      <c r="Q111" s="493"/>
      <c r="R111" s="493"/>
      <c r="S111" s="493"/>
      <c r="T111" s="465" cm="1" t="str">
        <f t="array" ref="T111:T111">T110</f>
        <v>true</v>
      </c>
      <c r="U111" s="493"/>
      <c r="V111" s="493"/>
      <c r="W111" s="493"/>
      <c r="X111" s="1596"/>
      <c r="Y111" s="493"/>
      <c r="Z111" s="1545"/>
      <c r="AA111" s="493"/>
      <c r="AB111" s="904" t="s">
        <v>2370</v>
      </c>
      <c r="AC111" s="864" t="s">
        <v>2337</v>
      </c>
      <c r="AD111" s="2846">
        <f>IF(AD113=0,0,(AD112*AD113+AD114*AD115*IF(god=2026,9,6))/AD113)</f>
        <v>0</v>
      </c>
      <c r="AE111" s="2846">
        <f>IF(AE113=0,0,(AE112*AE113+AE114*AE115*IF(god=2026,9,6))/AE113)</f>
        <v>0</v>
      </c>
      <c r="AF111" s="1093">
        <f>IF(AD111=0,0,(AE111-AD111)/AD111*100)</f>
        <v>0</v>
      </c>
      <c r="AG111" s="2846">
        <f>IF(AG113=0,0,(AG112*AG113+AG114*AG115*IF(god=2025,9,6))/AG113)</f>
        <v>0</v>
      </c>
      <c r="AH111" s="2846">
        <f>IF(AH113=0,0,(AH112*AH113+AH114*AH115*IF(god=2025,9,6))/AH113)</f>
        <v>0</v>
      </c>
      <c r="AI111" s="1093">
        <f>IF(AG111=0,0,(AH111-AG111)/AG111*100)</f>
        <v>0</v>
      </c>
      <c r="AJ111" s="2846">
        <f>IF(AJ113=0,0,(AJ112*AJ113+AJ114*AJ115*6)/AJ113)</f>
        <v>0</v>
      </c>
      <c r="AK111" s="2846">
        <f>IF(AK113=0,0,(AK112*AK113+AK114*AK115*6)/AK113)</f>
        <v>0</v>
      </c>
      <c r="AL111" s="1093">
        <f>IF(AJ111=0,0,(AK111-AJ111)/AJ111*100)</f>
        <v>0</v>
      </c>
      <c r="AM111" s="2846">
        <f>IF(AM113=0,0,(AM112*AM113+AM114*AM115*6)/AM113)</f>
        <v>0</v>
      </c>
      <c r="AN111" s="2846">
        <f>IF(AN113=0,0,(AN112*AN113+AN114*AN115*6)/AN113)</f>
        <v>0</v>
      </c>
      <c r="AO111" s="1093">
        <f>IF(AM111=0,0,(AN111-AM111)/AM111*100)</f>
        <v>0</v>
      </c>
      <c r="AP111" s="2846">
        <f>IF(AP113=0,0,(AP112*AP113+AP114*AP115*6)/AP113)</f>
        <v>0</v>
      </c>
      <c r="AQ111" s="2846">
        <f>IF(AQ113=0,0,(AQ112*AQ113+AQ114*AQ115*6)/AQ113)</f>
        <v>0</v>
      </c>
      <c r="AR111" s="1093">
        <f>IF(AP111=0,0,(AQ111-AP111)/AP111*100)</f>
        <v>0</v>
      </c>
      <c r="AS111" s="2846">
        <f>IF(AS113=0,0,(AS112*AS113+AS114*AS115*6)/AS113)</f>
        <v>0</v>
      </c>
      <c r="AT111" s="2846">
        <f>IF(AT113=0,0,(AT112*AT113+AT114*AT115*6)/AT113)</f>
        <v>0</v>
      </c>
      <c r="AU111" s="1093">
        <f>IF(AS111=0,0,(AT111-AS111)/AS111*100)</f>
        <v>0</v>
      </c>
      <c r="AV111" s="2846">
        <f>IF(AV113=0,0,(AV112*AV113+AV114*AV115*6)/AV113)</f>
        <v>0</v>
      </c>
      <c r="AW111" s="2846">
        <f>IF(AW113=0,0,(AW112*AW113+AW114*AW115*6)/AW113)</f>
        <v>0</v>
      </c>
      <c r="AX111" s="1093">
        <f>IF(AV111=0,0,(AW111-AV111)/AV111*100)</f>
        <v>0</v>
      </c>
      <c r="AY111" s="2846">
        <f>IF(AY113=0,0,(AY112*AY113+AY114*AY115*6)/AY113)</f>
        <v>0</v>
      </c>
      <c r="AZ111" s="2846">
        <f>IF(AZ113=0,0,(AZ112*AZ113+AZ114*AZ115*6)/AZ113)</f>
        <v>0</v>
      </c>
      <c r="BA111" s="1093">
        <f>IF(AY111=0,0,(AZ111-AY111)/AY111*100)</f>
        <v>0</v>
      </c>
      <c r="BB111" s="2846">
        <f>IF(BB113=0,0,(BB112*BB113+BB114*BB115*6)/BB113)</f>
        <v>0</v>
      </c>
      <c r="BC111" s="2846">
        <f>IF(BC113=0,0,(BC112*BC113+BC114*BC115*6)/BC113)</f>
        <v>0</v>
      </c>
      <c r="BD111" s="1093">
        <f>IF(BB111=0,0,(BC111-BB111)/BB111*100)</f>
        <v>0</v>
      </c>
      <c r="BE111" s="2846">
        <f>IF(BE113=0,0,(BE112*BE113+BE114*BE115*6)/BE113)</f>
        <v>0</v>
      </c>
      <c r="BF111" s="2846">
        <f>IF(BF113=0,0,(BF112*BF113+BF114*BF115*6)/BF113)</f>
        <v>0</v>
      </c>
      <c r="BG111" s="1093">
        <f>IF(BE111=0,0,(BF111-BE111)/BE111*100)</f>
        <v>0</v>
      </c>
      <c r="BH111" s="2846">
        <f>IF(BH113=0,0,(BH112*BH113+BH114*BH115*6)/BH113)</f>
        <v>0</v>
      </c>
      <c r="BI111" s="2846">
        <f>IF(BI113=0,0,(BI112*BI113+BI114*BI115*6)/BI113)</f>
        <v>0</v>
      </c>
      <c r="BJ111" s="1093">
        <f>IF(BH111=0,0,(BI111-BH111)/BH111*100)</f>
        <v>0</v>
      </c>
      <c r="BK111" s="2846">
        <f>IF(BK113=0,0,(BK112*BK113+BK114*BK115*6)/BK113)</f>
        <v>0</v>
      </c>
      <c r="BL111" s="2846">
        <f>IF(BL113=0,0,(BL112*BL113+BL114*BL115*6)/BL113)</f>
        <v>0</v>
      </c>
      <c r="BM111" s="1093">
        <f>IF(BK111=0,0,(BL111-BK111)/BK111*100)</f>
        <v>0</v>
      </c>
      <c r="BN111" s="2846">
        <f>IF(BN113=0,0,(BN112*BN113+BN114*BN115*6)/BN113)</f>
        <v>0</v>
      </c>
      <c r="BO111" s="2846">
        <f>IF(BO113=0,0,(BO112*BO113+BO114*BO115*6)/BO113)</f>
        <v>0</v>
      </c>
      <c r="BP111" s="1093">
        <f>IF(BN111=0,0,(BO111-BN111)/BN111*100)</f>
        <v>0</v>
      </c>
      <c r="BQ111" s="2846">
        <f>IF(BQ113=0,0,(BQ112*BQ113+BQ114*BQ115*6)/BQ113)</f>
        <v>0</v>
      </c>
      <c r="BR111" s="2846">
        <f>IF(BR113=0,0,(BR112*BR113+BR114*BR115*6)/BR113)</f>
        <v>0</v>
      </c>
      <c r="BS111" s="1093">
        <f>IF(BQ111=0,0,(BR111-BQ111)/BQ111*100)</f>
        <v>0</v>
      </c>
      <c r="BT111" s="2846">
        <f>IF(BT113=0,0,(BT112*BT113+BT114*BT115*6)/BT113)</f>
        <v>0</v>
      </c>
      <c r="BU111" s="2846">
        <f>IF(BU113=0,0,(BU112*BU113+BU114*BU115*6)/BU113)</f>
        <v>0</v>
      </c>
      <c r="BV111" s="1093">
        <f>IF(BT111=0,0,(BU111-BT111)/BT111*100)</f>
        <v>0</v>
      </c>
      <c r="BW111" s="2846">
        <f>IF(BW113=0,0,(BW112*BW113+BW114*BW115*6)/BW113)</f>
        <v>0</v>
      </c>
      <c r="BX111" s="2846">
        <f>IF(BX113=0,0,(BX112*BX113+BX114*BX115*6)/BX113)</f>
        <v>0</v>
      </c>
      <c r="BY111" s="1093">
        <f>IF(BW111=0,0,(BX111-BW111)/BW111*100)</f>
        <v>0</v>
      </c>
      <c r="BZ111" s="2846">
        <f>IF(BZ113=0,0,(BZ112*BZ113+BZ114*BZ115*6)/BZ113)</f>
        <v>0</v>
      </c>
      <c r="CA111" s="2846">
        <f>IF(CA113=0,0,(CA112*CA113+CA114*CA115*6)/CA113)</f>
        <v>0</v>
      </c>
      <c r="CB111" s="1093">
        <f>IF(BZ111=0,0,(CA111-BZ111)/BZ111*100)</f>
        <v>0</v>
      </c>
      <c r="CC111" s="2846">
        <f>IF(CC113=0,0,(CC112*CC113+CC114*CC115*6)/CC113)</f>
        <v>0</v>
      </c>
      <c r="CD111" s="2846">
        <f>IF(CD113=0,0,(CD112*CD113+CD114*CD115*6)/CD113)</f>
        <v>0</v>
      </c>
      <c r="CE111" s="1093">
        <f>IF(CC111=0,0,(CD111-CC111)/CC111*100)</f>
        <v>0</v>
      </c>
      <c r="CF111" s="2846">
        <f>IF(CF113=0,0,(CF112*CF113+CF114*CF115*6)/CF113)</f>
        <v>0</v>
      </c>
      <c r="CG111" s="2846">
        <f>IF(CG113=0,0,(CG112*CG113+CG114*CG115*6)/CG113)</f>
        <v>0</v>
      </c>
      <c r="CH111" s="1093">
        <f>IF(CF111=0,0,(CG111-CF111)/CF111*100)</f>
        <v>0</v>
      </c>
      <c r="CI111" s="2846">
        <f>IF(CI113=0,0,(CI112*CI113+CI114*CI115*6)/CI113)</f>
        <v>0</v>
      </c>
      <c r="CJ111" s="2846">
        <f>IF(CJ113=0,0,(CJ112*CJ113+CJ114*CJ115*6)/CJ113)</f>
        <v>0</v>
      </c>
      <c r="CK111" s="1093">
        <f>IF(CI111=0,0,(CJ111-CI111)/CI111*100)</f>
        <v>0</v>
      </c>
      <c r="CL111" s="2846">
        <f>IF(CL113=0,0,(CL112*CL113+CL114*CL115*6)/CL113)</f>
        <v>0</v>
      </c>
      <c r="CM111" s="2846">
        <f>IF(CM113=0,0,(CM112*CM113+CM114*CM115*6)/CM113)</f>
        <v>0</v>
      </c>
      <c r="CN111" s="1093">
        <f>IF(CL111=0,0,(CM111-CL111)/CL111*100)</f>
        <v>0</v>
      </c>
      <c r="CO111" s="2846">
        <f>IF(CO113=0,0,(CO112*CO113+CO114*CO115*6)/CO113)</f>
        <v>0</v>
      </c>
      <c r="CP111" s="2846">
        <f>IF(CP113=0,0,(CP112*CP113+CP114*CP115*6)/CP113)</f>
        <v>0</v>
      </c>
      <c r="CQ111" s="1093">
        <f>IF(CO111=0,0,(CP111-CO111)/CO111*100)</f>
        <v>0</v>
      </c>
      <c r="CR111" s="2846">
        <f>IF(CR113=0,0,(CR112*CR113+CR114*CR115*6)/CR113)</f>
        <v>0</v>
      </c>
      <c r="CS111" s="2846">
        <f>IF(CS113=0,0,(CS112*CS113+CS114*CS115*6)/CS113)</f>
        <v>0</v>
      </c>
      <c r="CT111" s="1093">
        <f>IF(CR111=0,0,(CS111-CR111)/CR111*100)</f>
        <v>0</v>
      </c>
      <c r="CU111" s="2846">
        <f>IF(CU113=0,0,(CU112*CU113+CU114*CU115*6)/CU113)</f>
        <v>0</v>
      </c>
      <c r="CV111" s="2846">
        <f>IF(CV113=0,0,(CV112*CV113+CV114*CV115*6)/CV113)</f>
        <v>0</v>
      </c>
      <c r="CW111" s="1093">
        <f>IF(CU111=0,0,(CV111-CU111)/CU111*100)</f>
        <v>0</v>
      </c>
      <c r="CX111" s="2846">
        <f>IF(CX113=0,0,(CX112*CX113+CX114*CX115*6)/CX113)</f>
        <v>0</v>
      </c>
      <c r="CY111" s="2846">
        <f>IF(CY113=0,0,(CY112*CY113+CY114*CY115*6)/CY113)</f>
        <v>0</v>
      </c>
      <c r="CZ111" s="1093">
        <f>IF(CX111=0,0,(CY111-CX111)/CX111*100)</f>
        <v>0</v>
      </c>
      <c r="DA111" s="2846">
        <f>IF(DA113=0,0,(DA112*DA113+DA114*DA115*6)/DA113)</f>
        <v>0</v>
      </c>
      <c r="DB111" s="2846">
        <f>IF(DB113=0,0,(DB112*DB113+DB114*DB115*6)/DB113)</f>
        <v>0</v>
      </c>
      <c r="DC111" s="1093">
        <f>IF(DA111=0,0,(DB111-DA111)/DA111*100)</f>
        <v>0</v>
      </c>
      <c r="DD111" s="2846">
        <f>IF(DD113=0,0,(DD112*DD113+DD114*DD115*6)/DD113)</f>
        <v>0</v>
      </c>
      <c r="DE111" s="2846">
        <f>IF(DE113=0,0,(DE112*DE113+DE114*DE115*6)/DE113)</f>
        <v>0</v>
      </c>
      <c r="DF111" s="1093">
        <f>IF(DD111=0,0,(DE111-DD111)/DD111*100)</f>
        <v>0</v>
      </c>
      <c r="DG111" s="2846">
        <f>IF(DG113=0,0,(DG112*DG113+DG114*DG115*6)/DG113)</f>
        <v>0</v>
      </c>
      <c r="DH111" s="2846">
        <f>IF(DH113=0,0,(DH112*DH113+DH114*DH115*6)/DH113)</f>
        <v>0</v>
      </c>
      <c r="DI111" s="1093">
        <f>IF(DG111=0,0,(DH111-DG111)/DG111*100)</f>
        <v>0</v>
      </c>
      <c r="DJ111" s="2846">
        <f>IF(DJ113=0,0,(DJ112*DJ113+DJ114*DJ115*6)/DJ113)</f>
        <v>0</v>
      </c>
      <c r="DK111" s="2846">
        <f>IF(DK113=0,0,(DK112*DK113+DK114*DK115*6)/DK113)</f>
        <v>0</v>
      </c>
      <c r="DL111" s="1093">
        <f>IF(DJ111=0,0,(DK111-DJ111)/DJ111*100)</f>
        <v>0</v>
      </c>
      <c r="DM111" s="2846">
        <f>IF(DM113=0,0,(DM112*DM113+DM114*DM115*6)/DM113)</f>
        <v>0</v>
      </c>
      <c r="DN111" s="2846">
        <f>IF(DN113=0,0,(DN112*DN113+DN114*DN115*6)/DN113)</f>
        <v>0</v>
      </c>
      <c r="DO111" s="1093">
        <f>IF(DM111=0,0,(DN111-DM111)/DM111*100)</f>
        <v>0</v>
      </c>
      <c r="DP111" s="2846">
        <f>IF(DP113=0,0,(DP112*DP113+DP114*DP115*6)/DP113)</f>
        <v>0</v>
      </c>
      <c r="DQ111" s="2846">
        <f>IF(DQ113=0,0,(DQ112*DQ113+DQ114*DQ115*6)/DQ113)</f>
        <v>0</v>
      </c>
      <c r="DR111" s="1093">
        <f>IF(DP111=0,0,(DQ111-DP111)/DP111*100)</f>
        <v>0</v>
      </c>
      <c r="DS111" s="2846">
        <f>IF(DS113=0,0,(DS112*DS113+DS114*DS115*6)/DS113)</f>
        <v>0</v>
      </c>
      <c r="DT111" s="2846">
        <f>IF(DT113=0,0,(DT112*DT113+DT114*DT115*6)/DT113)</f>
        <v>0</v>
      </c>
      <c r="DU111" s="1093">
        <f>IF(DS111=0,0,(DT111-DS111)/DS111*100)</f>
        <v>0</v>
      </c>
      <c r="DV111" s="2846">
        <f>IF(DV113=0,0,(DV112*DV113+DV114*DV115*6)/DV113)</f>
        <v>0</v>
      </c>
      <c r="DW111" s="2846">
        <f>IF(DW113=0,0,(DW112*DW113+DW114*DW115*6)/DW113)</f>
        <v>0</v>
      </c>
      <c r="DX111" s="1093">
        <f>IF(DV111=0,0,(DW111-DV111)/DV111*100)</f>
        <v>0</v>
      </c>
      <c r="DY111" s="2846">
        <f>IF(DY113=0,0,(DY112*DY113+DY114*DY115*6)/DY113)</f>
        <v>0</v>
      </c>
      <c r="DZ111" s="2846">
        <f>IF(DZ113=0,0,(DZ112*DZ113+DZ114*DZ115*6)/DZ113)</f>
        <v>0</v>
      </c>
      <c r="EA111" s="1093">
        <f>IF(DY111=0,0,(DZ111-DY111)/DY111*100)</f>
        <v>0</v>
      </c>
      <c r="EB111" s="2846">
        <f>IF(EB113=0,0,(EB112*EB113+EB114*EB115*6)/EB113)</f>
        <v>0</v>
      </c>
      <c r="EC111" s="2846">
        <f>IF(EC113=0,0,(EC112*EC113+EC114*EC115*6)/EC113)</f>
        <v>0</v>
      </c>
      <c r="ED111" s="1093">
        <f>IF(EB111=0,0,(EC111-EB111)/EB111*100)</f>
        <v>0</v>
      </c>
      <c r="EE111" s="2846">
        <f>IF(EE113=0,0,(EE112*EE113+EE114*EE115*6)/EE113)</f>
        <v>0</v>
      </c>
      <c r="EF111" s="2846">
        <f>IF(EF113=0,0,(EF112*EF113+EF114*EF115*6)/EF113)</f>
        <v>0</v>
      </c>
      <c r="EG111" s="1093">
        <f>IF(EE111=0,0,(EF111-EE111)/EE111*100)</f>
        <v>0</v>
      </c>
      <c r="EH111" s="2846">
        <f>IF(EH113=0,0,(EH112*EH113+EH114*EH115*6)/EH113)</f>
        <v>0</v>
      </c>
      <c r="EI111" s="2846">
        <f>IF(EI113=0,0,(EI112*EI113+EI114*EI115*6)/EI113)</f>
        <v>0</v>
      </c>
      <c r="EJ111" s="1093">
        <f>IF(EH111=0,0,(EI111-EH111)/EH111*100)</f>
        <v>0</v>
      </c>
      <c r="EK111" s="2846">
        <f>IF(EK113=0,0,(EK112*EK113+EK114*EK115*6)/EK113)</f>
        <v>0</v>
      </c>
      <c r="EL111" s="2846">
        <f>IF(EL113=0,0,(EL112*EL113+EL114*EL115*6)/EL113)</f>
        <v>0</v>
      </c>
      <c r="EM111" s="1093">
        <f>IF(EK111=0,0,(EL111-EK111)/EK111*100)</f>
        <v>0</v>
      </c>
      <c r="EN111" s="2846">
        <f>IF(EN113=0,0,(EN112*EN113+EN114*EN115*6)/EN113)</f>
        <v>0</v>
      </c>
      <c r="EO111" s="2846">
        <f>IF(EO113=0,0,(EO112*EO113+EO114*EO115*6)/EO113)</f>
        <v>0</v>
      </c>
      <c r="EP111" s="1093">
        <f>IF(EN111=0,0,(EO111-EN111)/EN111*100)</f>
        <v>0</v>
      </c>
      <c r="EQ111" s="2846">
        <f>IF(EQ113=0,0,(EQ112*EQ113+EQ114*EQ115*6)/EQ113)</f>
        <v>0</v>
      </c>
      <c r="ER111" s="2846">
        <f>IF(ER113=0,0,(ER112*ER113+ER114*ER115*6)/ER113)</f>
        <v>0</v>
      </c>
      <c r="ES111" s="1093">
        <f>IF(EQ111=0,0,(ER111-EQ111)/EQ111*100)</f>
        <v>0</v>
      </c>
      <c r="ET111" s="2846">
        <f>IF(ET113=0,0,(ET112*ET113+ET114*ET115*6)/ET113)</f>
        <v>0</v>
      </c>
      <c r="EU111" s="2846">
        <f>IF(EU113=0,0,(EU112*EU113+EU114*EU115*6)/EU113)</f>
        <v>0</v>
      </c>
      <c r="EV111" s="1093">
        <f>IF(ET111=0,0,(EU111-ET111)/ET111*100)</f>
        <v>0</v>
      </c>
      <c r="EW111" s="2846">
        <f>IF(EW113=0,0,(EW112*EW113+EW114*EW115*6)/EW113)</f>
        <v>0</v>
      </c>
      <c r="EX111" s="2846">
        <f>IF(EX113=0,0,(EX112*EX113+EX114*EX115*6)/EX113)</f>
        <v>0</v>
      </c>
      <c r="EY111" s="1093">
        <f>IF(EW111=0,0,(EX111-EW111)/EW111*100)</f>
        <v>0</v>
      </c>
      <c r="EZ111" s="2846">
        <f>IF(EZ113=0,0,(EZ112*EZ113+EZ114*EZ115*6)/EZ113)</f>
        <v>0</v>
      </c>
      <c r="FA111" s="2846">
        <f>IF(FA113=0,0,(FA112*FA113+FA114*FA115*6)/FA113)</f>
        <v>0</v>
      </c>
      <c r="FB111" s="1093">
        <f>IF(EZ111=0,0,(FA111-EZ111)/EZ111*100)</f>
        <v>0</v>
      </c>
      <c r="FC111" s="2846">
        <f>IF(FC113=0,0,(FC112*FC113+FC114*FC115*6)/FC113)</f>
        <v>0</v>
      </c>
      <c r="FD111" s="2846">
        <f>IF(FD113=0,0,(FD112*FD113+FD114*FD115*6)/FD113)</f>
        <v>0</v>
      </c>
      <c r="FE111" s="1093">
        <f>IF(FC111=0,0,(FD111-FC111)/FC111*100)</f>
        <v>0</v>
      </c>
      <c r="FF111" s="2846">
        <f>IF(FF113=0,0,(FF112*FF113+FF114*FF115*6)/FF113)</f>
        <v>0</v>
      </c>
      <c r="FG111" s="2846">
        <f>IF(FG113=0,0,(FG112*FG113+FG114*FG115*6)/FG113)</f>
        <v>0</v>
      </c>
      <c r="FH111" s="1093">
        <f>IF(FF111=0,0,(FG111-FF111)/FF111*100)</f>
        <v>0</v>
      </c>
      <c r="FI111" s="2846">
        <f>IF(FI113=0,0,(FI112*FI113+FI114*FI115*6)/FI113)</f>
        <v>0</v>
      </c>
      <c r="FJ111" s="2846">
        <f>IF(FJ113=0,0,(FJ112*FJ113+FJ114*FJ115*6)/FJ113)</f>
        <v>0</v>
      </c>
      <c r="FK111" s="1093">
        <f>IF(FI111=0,0,(FJ111-FI111)/FI111*100)</f>
        <v>0</v>
      </c>
      <c r="FL111" s="2846">
        <f>IF(FL113=0,0,(FL112*FL113+FL114*FL115*6)/FL113)</f>
        <v>0</v>
      </c>
      <c r="FM111" s="2846">
        <f>IF(FM113=0,0,(FM112*FM113+FM114*FM115*6)/FM113)</f>
        <v>0</v>
      </c>
      <c r="FN111" s="1093">
        <f>IF(FL111=0,0,(FM111-FL111)/FL111*100)</f>
        <v>0</v>
      </c>
      <c r="FO111" s="2846">
        <f>IF(FO113=0,0,(FO112*FO113+FO114*FO115*6)/FO113)</f>
        <v>0</v>
      </c>
      <c r="FP111" s="2846">
        <f>IF(FP113=0,0,(FP112*FP113+FP114*FP115*6)/FP113)</f>
        <v>0</v>
      </c>
      <c r="FQ111" s="1093">
        <f>IF(FO111=0,0,(FP111-FO111)/FO111*100)</f>
        <v>0</v>
      </c>
      <c r="FR111" s="2846">
        <f>IF(FR113=0,0,(FR112*FR113+FR114*FR115*6)/FR113)</f>
        <v>0</v>
      </c>
      <c r="FS111" s="2846">
        <f>IF(FS113=0,0,(FS112*FS113+FS114*FS115*6)/FS113)</f>
        <v>0</v>
      </c>
      <c r="FT111" s="1093">
        <f>IF(FR111=0,0,(FS111-FR111)/FR111*100)</f>
        <v>0</v>
      </c>
      <c r="FU111" s="2846">
        <f>IF(FU113=0,0,(FU112*FU113+FU114*FU115*6)/FU113)</f>
        <v>0</v>
      </c>
      <c r="FV111" s="2846">
        <f>IF(FV113=0,0,(FV112*FV113+FV114*FV115*6)/FV113)</f>
        <v>0</v>
      </c>
      <c r="FW111" s="1093">
        <f>IF(FU111=0,0,(FV111-FU111)/FU111*100)</f>
        <v>0</v>
      </c>
      <c r="FX111" s="1304"/>
      <c r="FY111" s="1304"/>
      <c r="FZ111" s="1055" t="s">
        <v>2371</v>
      </c>
      <c r="GA111" s="1306"/>
      <c r="GB111" s="1306"/>
      <c r="GC111" s="1305"/>
      <c r="GD111" s="1305"/>
    </row>
    <row s="1834" customFormat="1" customHeight="1" ht="14.25" hidden="1">
      <c r="A112" s="493"/>
      <c r="B112" s="925" cm="1" t="str">
        <f t="array" ref="B112:B112">B111</f>
        <v>false</v>
      </c>
      <c r="C112" s="493"/>
      <c r="D112" s="493"/>
      <c r="E112" s="840">
        <v>15</v>
      </c>
      <c r="F112" s="50" cm="1" t="str">
        <f t="array" ref="F112:F112">OFFSET(E112,-1,1)</f>
        <v>1</v>
      </c>
      <c r="G112" s="493"/>
      <c r="H112" s="493" t="s">
        <v>2299</v>
      </c>
      <c r="I112" s="493" t="s">
        <v>2335</v>
      </c>
      <c r="J112" s="493"/>
      <c r="K112" s="493"/>
      <c r="L112" s="493"/>
      <c r="M112" s="493"/>
      <c r="N112" s="493"/>
      <c r="O112" s="493"/>
      <c r="P112" s="493"/>
      <c r="Q112" s="493"/>
      <c r="R112" s="493"/>
      <c r="S112" s="493"/>
      <c r="T112" s="465" cm="1" t="str">
        <f t="array" ref="T112:T112">T111</f>
        <v>true</v>
      </c>
      <c r="U112" s="493"/>
      <c r="V112" s="493"/>
      <c r="W112" s="493"/>
      <c r="X112" s="1596"/>
      <c r="Y112" s="493"/>
      <c r="Z112" s="1545"/>
      <c r="AA112" s="493"/>
      <c r="AB112" s="904" t="str">
        <f>"ставка платы за "&amp;IF(Q92="Водоснабжение","потребление 1 куб.м холодной воды","объем принятых сточных вод")</f>
        <v>ставка платы за потребление 1 куб.м холодной воды</v>
      </c>
      <c r="AC112" s="864" t="s">
        <v>2337</v>
      </c>
      <c r="AD112" s="2846"/>
      <c r="AE112" s="2846"/>
      <c r="AF112" s="1093">
        <f>IF(AD112=0,0,(AE112-AD112)/AD112*100)</f>
        <v>0</v>
      </c>
      <c r="AG112" s="2846"/>
      <c r="AH112" s="2846"/>
      <c r="AI112" s="1093">
        <f>IF(AG112=0,0,(AH112-AG112)/AG112*100)</f>
        <v>0</v>
      </c>
      <c r="AJ112" s="2846"/>
      <c r="AK112" s="2846"/>
      <c r="AL112" s="1093">
        <f>IF(AJ112=0,0,(AK112-AJ112)/AJ112*100)</f>
        <v>0</v>
      </c>
      <c r="AM112" s="2846"/>
      <c r="AN112" s="2846"/>
      <c r="AO112" s="1093">
        <f>IF(AM112=0,0,(AN112-AM112)/AM112*100)</f>
        <v>0</v>
      </c>
      <c r="AP112" s="2846"/>
      <c r="AQ112" s="2846"/>
      <c r="AR112" s="1093">
        <f>IF(AP112=0,0,(AQ112-AP112)/AP112*100)</f>
        <v>0</v>
      </c>
      <c r="AS112" s="2846"/>
      <c r="AT112" s="2846"/>
      <c r="AU112" s="1093">
        <f>IF(AS112=0,0,(AT112-AS112)/AS112*100)</f>
        <v>0</v>
      </c>
      <c r="AV112" s="2846"/>
      <c r="AW112" s="2846"/>
      <c r="AX112" s="1093">
        <f>IF(AV112=0,0,(AW112-AV112)/AV112*100)</f>
        <v>0</v>
      </c>
      <c r="AY112" s="2846"/>
      <c r="AZ112" s="2846"/>
      <c r="BA112" s="1093">
        <f>IF(AY112=0,0,(AZ112-AY112)/AY112*100)</f>
        <v>0</v>
      </c>
      <c r="BB112" s="2846"/>
      <c r="BC112" s="2846"/>
      <c r="BD112" s="1093">
        <f>IF(BB112=0,0,(BC112-BB112)/BB112*100)</f>
        <v>0</v>
      </c>
      <c r="BE112" s="2846"/>
      <c r="BF112" s="2846"/>
      <c r="BG112" s="1093">
        <f>IF(BE112=0,0,(BF112-BE112)/BE112*100)</f>
        <v>0</v>
      </c>
      <c r="BH112" s="2846"/>
      <c r="BI112" s="2846"/>
      <c r="BJ112" s="1093">
        <f>IF(BH112=0,0,(BI112-BH112)/BH112*100)</f>
        <v>0</v>
      </c>
      <c r="BK112" s="2846"/>
      <c r="BL112" s="2846"/>
      <c r="BM112" s="1093">
        <f>IF(BK112=0,0,(BL112-BK112)/BK112*100)</f>
        <v>0</v>
      </c>
      <c r="BN112" s="2846"/>
      <c r="BO112" s="2846"/>
      <c r="BP112" s="1093">
        <f>IF(BN112=0,0,(BO112-BN112)/BN112*100)</f>
        <v>0</v>
      </c>
      <c r="BQ112" s="2846"/>
      <c r="BR112" s="2846"/>
      <c r="BS112" s="1093">
        <f>IF(BQ112=0,0,(BR112-BQ112)/BQ112*100)</f>
        <v>0</v>
      </c>
      <c r="BT112" s="2846"/>
      <c r="BU112" s="2846"/>
      <c r="BV112" s="1093">
        <f>IF(BT112=0,0,(BU112-BT112)/BT112*100)</f>
        <v>0</v>
      </c>
      <c r="BW112" s="2846"/>
      <c r="BX112" s="2846"/>
      <c r="BY112" s="1093">
        <f>IF(BW112=0,0,(BX112-BW112)/BW112*100)</f>
        <v>0</v>
      </c>
      <c r="BZ112" s="2846"/>
      <c r="CA112" s="2846"/>
      <c r="CB112" s="1093">
        <f>IF(BZ112=0,0,(CA112-BZ112)/BZ112*100)</f>
        <v>0</v>
      </c>
      <c r="CC112" s="2846"/>
      <c r="CD112" s="2846"/>
      <c r="CE112" s="1093">
        <f>IF(CC112=0,0,(CD112-CC112)/CC112*100)</f>
        <v>0</v>
      </c>
      <c r="CF112" s="2846"/>
      <c r="CG112" s="2846"/>
      <c r="CH112" s="1093">
        <f>IF(CF112=0,0,(CG112-CF112)/CF112*100)</f>
        <v>0</v>
      </c>
      <c r="CI112" s="2846"/>
      <c r="CJ112" s="2846"/>
      <c r="CK112" s="1093">
        <f>IF(CI112=0,0,(CJ112-CI112)/CI112*100)</f>
        <v>0</v>
      </c>
      <c r="CL112" s="2846"/>
      <c r="CM112" s="2846"/>
      <c r="CN112" s="1093">
        <f>IF(CL112=0,0,(CM112-CL112)/CL112*100)</f>
        <v>0</v>
      </c>
      <c r="CO112" s="2846"/>
      <c r="CP112" s="2846"/>
      <c r="CQ112" s="1093">
        <f>IF(CO112=0,0,(CP112-CO112)/CO112*100)</f>
        <v>0</v>
      </c>
      <c r="CR112" s="2846"/>
      <c r="CS112" s="2846"/>
      <c r="CT112" s="1093">
        <f>IF(CR112=0,0,(CS112-CR112)/CR112*100)</f>
        <v>0</v>
      </c>
      <c r="CU112" s="2846"/>
      <c r="CV112" s="2846"/>
      <c r="CW112" s="1093">
        <f>IF(CU112=0,0,(CV112-CU112)/CU112*100)</f>
        <v>0</v>
      </c>
      <c r="CX112" s="2846"/>
      <c r="CY112" s="2846"/>
      <c r="CZ112" s="1093">
        <f>IF(CX112=0,0,(CY112-CX112)/CX112*100)</f>
        <v>0</v>
      </c>
      <c r="DA112" s="2846"/>
      <c r="DB112" s="2846"/>
      <c r="DC112" s="1093">
        <f>IF(DA112=0,0,(DB112-DA112)/DA112*100)</f>
        <v>0</v>
      </c>
      <c r="DD112" s="2846"/>
      <c r="DE112" s="2846"/>
      <c r="DF112" s="1093">
        <f>IF(DD112=0,0,(DE112-DD112)/DD112*100)</f>
        <v>0</v>
      </c>
      <c r="DG112" s="2846"/>
      <c r="DH112" s="2846"/>
      <c r="DI112" s="1093">
        <f>IF(DG112=0,0,(DH112-DG112)/DG112*100)</f>
        <v>0</v>
      </c>
      <c r="DJ112" s="2846"/>
      <c r="DK112" s="2846"/>
      <c r="DL112" s="1093">
        <f>IF(DJ112=0,0,(DK112-DJ112)/DJ112*100)</f>
        <v>0</v>
      </c>
      <c r="DM112" s="2846"/>
      <c r="DN112" s="2846"/>
      <c r="DO112" s="1093">
        <f>IF(DM112=0,0,(DN112-DM112)/DM112*100)</f>
        <v>0</v>
      </c>
      <c r="DP112" s="2846"/>
      <c r="DQ112" s="2846"/>
      <c r="DR112" s="1093">
        <f>IF(DP112=0,0,(DQ112-DP112)/DP112*100)</f>
        <v>0</v>
      </c>
      <c r="DS112" s="2846"/>
      <c r="DT112" s="2846"/>
      <c r="DU112" s="1093">
        <f>IF(DS112=0,0,(DT112-DS112)/DS112*100)</f>
        <v>0</v>
      </c>
      <c r="DV112" s="2846"/>
      <c r="DW112" s="2846"/>
      <c r="DX112" s="1093">
        <f>IF(DV112=0,0,(DW112-DV112)/DV112*100)</f>
        <v>0</v>
      </c>
      <c r="DY112" s="2846"/>
      <c r="DZ112" s="2846"/>
      <c r="EA112" s="1093">
        <f>IF(DY112=0,0,(DZ112-DY112)/DY112*100)</f>
        <v>0</v>
      </c>
      <c r="EB112" s="2846"/>
      <c r="EC112" s="2846"/>
      <c r="ED112" s="1093">
        <f>IF(EB112=0,0,(EC112-EB112)/EB112*100)</f>
        <v>0</v>
      </c>
      <c r="EE112" s="2846"/>
      <c r="EF112" s="2846"/>
      <c r="EG112" s="1093">
        <f>IF(EE112=0,0,(EF112-EE112)/EE112*100)</f>
        <v>0</v>
      </c>
      <c r="EH112" s="2846"/>
      <c r="EI112" s="2846"/>
      <c r="EJ112" s="1093">
        <f>IF(EH112=0,0,(EI112-EH112)/EH112*100)</f>
        <v>0</v>
      </c>
      <c r="EK112" s="2846"/>
      <c r="EL112" s="2846"/>
      <c r="EM112" s="1093">
        <f>IF(EK112=0,0,(EL112-EK112)/EK112*100)</f>
        <v>0</v>
      </c>
      <c r="EN112" s="2846"/>
      <c r="EO112" s="2846"/>
      <c r="EP112" s="1093">
        <f>IF(EN112=0,0,(EO112-EN112)/EN112*100)</f>
        <v>0</v>
      </c>
      <c r="EQ112" s="2846"/>
      <c r="ER112" s="2846"/>
      <c r="ES112" s="1093">
        <f>IF(EQ112=0,0,(ER112-EQ112)/EQ112*100)</f>
        <v>0</v>
      </c>
      <c r="ET112" s="2846"/>
      <c r="EU112" s="2846"/>
      <c r="EV112" s="1093">
        <f>IF(ET112=0,0,(EU112-ET112)/ET112*100)</f>
        <v>0</v>
      </c>
      <c r="EW112" s="2846"/>
      <c r="EX112" s="2846"/>
      <c r="EY112" s="1093">
        <f>IF(EW112=0,0,(EX112-EW112)/EW112*100)</f>
        <v>0</v>
      </c>
      <c r="EZ112" s="2846"/>
      <c r="FA112" s="2846"/>
      <c r="FB112" s="1093">
        <f>IF(EZ112=0,0,(FA112-EZ112)/EZ112*100)</f>
        <v>0</v>
      </c>
      <c r="FC112" s="2846"/>
      <c r="FD112" s="2846"/>
      <c r="FE112" s="1093">
        <f>IF(FC112=0,0,(FD112-FC112)/FC112*100)</f>
        <v>0</v>
      </c>
      <c r="FF112" s="2846"/>
      <c r="FG112" s="2846"/>
      <c r="FH112" s="1093">
        <f>IF(FF112=0,0,(FG112-FF112)/FF112*100)</f>
        <v>0</v>
      </c>
      <c r="FI112" s="2846"/>
      <c r="FJ112" s="2846"/>
      <c r="FK112" s="1093">
        <f>IF(FI112=0,0,(FJ112-FI112)/FI112*100)</f>
        <v>0</v>
      </c>
      <c r="FL112" s="2846"/>
      <c r="FM112" s="2846"/>
      <c r="FN112" s="1093">
        <f>IF(FL112=0,0,(FM112-FL112)/FL112*100)</f>
        <v>0</v>
      </c>
      <c r="FO112" s="2846"/>
      <c r="FP112" s="2846"/>
      <c r="FQ112" s="1093">
        <f>IF(FO112=0,0,(FP112-FO112)/FO112*100)</f>
        <v>0</v>
      </c>
      <c r="FR112" s="2846"/>
      <c r="FS112" s="2846"/>
      <c r="FT112" s="1093">
        <f>IF(FR112=0,0,(FS112-FR112)/FR112*100)</f>
        <v>0</v>
      </c>
      <c r="FU112" s="2846"/>
      <c r="FV112" s="2846"/>
      <c r="FW112" s="1093">
        <f>IF(FU112=0,0,(FV112-FU112)/FU112*100)</f>
        <v>0</v>
      </c>
      <c r="FX112" s="1304"/>
      <c r="FY112" s="1304"/>
      <c r="FZ112" s="1055" t="s">
        <v>2372</v>
      </c>
      <c r="GA112" s="1306"/>
      <c r="GB112" s="1306"/>
      <c r="GC112" s="1305"/>
      <c r="GD112" s="1305"/>
    </row>
    <row s="1834" customFormat="1" customHeight="1" ht="14.25" hidden="1">
      <c r="A113" s="493"/>
      <c r="B113" s="925" cm="1" t="str">
        <f t="array" ref="B113:B113">B112</f>
        <v>false</v>
      </c>
      <c r="C113" s="493"/>
      <c r="D113" s="493"/>
      <c r="E113" s="840">
        <v>15</v>
      </c>
      <c r="F113" s="50" cm="1" t="str">
        <f t="array" ref="F113:F113">OFFSET(E113,-1,1)</f>
        <v>1</v>
      </c>
      <c r="G113" s="107" t="s">
        <v>2373</v>
      </c>
      <c r="H113" s="493" t="s">
        <v>2374</v>
      </c>
      <c r="I113" s="493" t="s">
        <v>2335</v>
      </c>
      <c r="J113" s="493"/>
      <c r="K113" s="493"/>
      <c r="L113" s="493"/>
      <c r="M113" s="493"/>
      <c r="N113" s="493"/>
      <c r="O113" s="493"/>
      <c r="P113" s="493"/>
      <c r="Q113" s="493"/>
      <c r="R113" s="493"/>
      <c r="S113" s="493"/>
      <c r="T113" s="465" cm="1" t="str">
        <f t="array" ref="T113:T113">T112</f>
        <v>true</v>
      </c>
      <c r="U113" s="493"/>
      <c r="V113" s="493"/>
      <c r="W113" s="493"/>
      <c r="X113" s="1596"/>
      <c r="Y113" s="493"/>
      <c r="Z113" s="1545"/>
      <c r="AA113" s="493"/>
      <c r="AB113" s="904" t="str">
        <f>"объём "&amp;IF(Q92="Водоснабжение","потребления холодной воды","водоотведения")</f>
        <v>объём потребления холодной воды</v>
      </c>
      <c r="AC113" s="864" t="s">
        <v>1247</v>
      </c>
      <c r="AD113" s="5247">
        <f>IF(AND(method_reg="Метод индексации",god&lt;&gt;first_year),_xlfn.SUMIFS(INDEX('Калькуляция (МИ корр)'!$AJ$25:$BC$747,,MATCH(AD$8,'Калькуляция (МИ корр)'!$AJ$8:$BC$8,0)),'Калькуляция (МИ корр)'!$F$25:$F$747,$F113,'Калькуляция (МИ корр)'!$G$25:$G$747,$G113),IF(method_reg="Метод экономически обоснованных расходов",_xlfn.SUMIFS('Калькуляция (МЭОР)'!$AJ$25:$AJ$452,'Калькуляция (МЭОР)'!$F$25:$F$452,$F113,'Калькуляция (МЭОР)'!$G$25:$G$452,$G113),IF(method_reg="Метод сравнения аналогов",_xlfn.SUMIFS('Калькуляция (МСА)'!$AE$25:$AE$122,'Калькуляция (МСА)'!$F$25:$F$122,$F113,'Калькуляция (МСА)'!$G$25:$G$122,$G113),_xlfn.SUMIFS(INDEX('Калькуляция (МИ)'!$AJ$25:$BC$747,,MATCH(AD$8,'Калькуляция (МИ)'!$AJ$8:$BC$8,0)),'Калькуляция (МИ)'!$F$25:$F$747,$F113,'Калькуляция (МИ)'!$G$25:$G$747,$G113))))</f>
        <v>1767.151365</v>
      </c>
      <c r="AE113" s="5247">
        <f>IF(AND(method_reg="Метод индексации",god&lt;&gt;first_year),_xlfn.SUMIFS(INDEX('Калькуляция (МИ корр)'!$AJ$25:$BC$747,,MATCH(AE$8,'Калькуляция (МИ корр)'!$AJ$8:$BC$8,0)),'Калькуляция (МИ корр)'!$F$25:$F$747,$F113,'Калькуляция (МИ корр)'!$G$25:$G$747,$G113),IF(method_reg="Метод экономически обоснованных расходов",_xlfn.SUMIFS('Калькуляция (МЭОР)'!$AK$25:$AK$452,'Калькуляция (МЭОР)'!$F$25:$F$452,$F113,'Калькуляция (МЭОР)'!$G$25:$G$452,$G113),IF(method_reg="Метод сравнения аналогов",_xlfn.SUMIFS('Калькуляция (МСА)'!$AF$25:$AF$122,'Калькуляция (МСА)'!$F$25:$F$122,$F113,'Калькуляция (МСА)'!$G$25:$G$122,$G113),_xlfn.SUMIFS(INDEX('Калькуляция (МИ)'!$AJ$25:$BC$747,,MATCH(AE$8,'Калькуляция (МИ)'!$AJ$8:$BC$8,0)),'Калькуляция (МИ)'!$F$25:$F$747,$F113,'Калькуляция (МИ)'!$G$25:$G$747,$G113))))</f>
        <v>1767.151365</v>
      </c>
      <c r="AF113" s="1095">
        <f>IF(AD113=0,0,(AE113-AD113)/AD113*100)</f>
        <v>0</v>
      </c>
      <c r="AG113" s="5247">
        <f>IF(AND(method_reg="Метод индексации",god&lt;&gt;first_year),_xlfn.SUMIFS(INDEX('Калькуляция (МИ корр)'!$AJ$25:$BC$747,,MATCH(AG$8,'Калькуляция (МИ корр)'!$AJ$8:$BC$8,0)),'Калькуляция (МИ корр)'!$F$25:$F$747,$F113,'Калькуляция (МИ корр)'!$G$25:$G$747,$G113),IF(method_reg="Метод экономически обоснованных расходов",_xlfn.SUMIFS('Калькуляция (МЭОР)'!$AJ$25:$AJ$452,'Калькуляция (МЭОР)'!$F$25:$F$452,$F113,'Калькуляция (МЭОР)'!$G$25:$G$452,$G113),IF(method_reg="Метод сравнения аналогов",_xlfn.SUMIFS('Калькуляция (МСА)'!$AE$25:$AE$122,'Калькуляция (МСА)'!$F$25:$F$122,$F113,'Калькуляция (МСА)'!$G$25:$G$122,$G113),_xlfn.SUMIFS(INDEX('Калькуляция (МИ)'!$AJ$25:$BC$747,,MATCH(AG$8,'Калькуляция (МИ)'!$AJ$8:$BC$8,0)),'Калькуляция (МИ)'!$F$25:$F$747,$F113,'Калькуляция (МИ)'!$G$25:$G$747,$G113))))</f>
        <v>1178.10091</v>
      </c>
      <c r="AH113" s="5247">
        <f>IF(AND(method_reg="Метод индексации",god&lt;&gt;first_year),_xlfn.SUMIFS(INDEX('Калькуляция (МИ корр)'!$AJ$25:$BC$747,,MATCH(AH$8,'Калькуляция (МИ корр)'!$AJ$8:$BC$8,0)),'Калькуляция (МИ корр)'!$F$25:$F$747,$F113,'Калькуляция (МИ корр)'!$G$25:$G$747,$G113),IF(method_reg="Метод экономически обоснованных расходов",_xlfn.SUMIFS('Калькуляция (МЭОР)'!$AK$25:$AK$452,'Калькуляция (МЭОР)'!$F$25:$F$452,$F113,'Калькуляция (МЭОР)'!$G$25:$G$452,$G113),IF(method_reg="Метод сравнения аналогов",_xlfn.SUMIFS('Калькуляция (МСА)'!$AF$25:$AF$122,'Калькуляция (МСА)'!$F$25:$F$122,$F113,'Калькуляция (МСА)'!$G$25:$G$122,$G113),_xlfn.SUMIFS(INDEX('Калькуляция (МИ)'!$AJ$25:$BC$747,,MATCH(AH$8,'Калькуляция (МИ)'!$AJ$8:$BC$8,0)),'Калькуляция (МИ)'!$F$25:$F$747,$F113,'Калькуляция (МИ)'!$G$25:$G$747,$G113))))</f>
        <v>1178.10091</v>
      </c>
      <c r="AI113" s="1095">
        <f>IF(AG113=0,0,(AH113-AG113)/AG113*100)</f>
        <v>0</v>
      </c>
      <c r="AJ113" s="5247">
        <f>IF(AND(method_reg="Метод индексации",god&lt;&gt;first_year),_xlfn.SUMIFS(INDEX('Калькуляция (МИ корр)'!$AJ$25:$BC$747,,MATCH(AJ$8,'Калькуляция (МИ корр)'!$AJ$8:$BC$8,0)),'Калькуляция (МИ корр)'!$F$25:$F$747,$F113,'Калькуляция (МИ корр)'!$G$25:$G$747,$G113),IF(method_reg="Метод экономически обоснованных расходов",_xlfn.SUMIFS('Калькуляция (МЭОР)'!$AJ$25:$AJ$452,'Калькуляция (МЭОР)'!$F$25:$F$452,$F113,'Калькуляция (МЭОР)'!$G$25:$G$452,$G113),IF(method_reg="Метод сравнения аналогов",_xlfn.SUMIFS('Калькуляция (МСА)'!$AE$25:$AE$122,'Калькуляция (МСА)'!$F$25:$F$122,$F113,'Калькуляция (МСА)'!$G$25:$G$122,$G113),_xlfn.SUMIFS(INDEX('Калькуляция (МИ)'!$AJ$25:$BC$747,,MATCH(AJ$8,'Калькуляция (МИ)'!$AJ$8:$BC$8,0)),'Калькуляция (МИ)'!$F$25:$F$747,$F113,'Калькуляция (МИ)'!$G$25:$G$747,$G113))))</f>
        <v>1178.10091</v>
      </c>
      <c r="AK113" s="5247">
        <f>IF(AND(method_reg="Метод индексации",god&lt;&gt;first_year),_xlfn.SUMIFS(INDEX('Калькуляция (МИ корр)'!$AJ$25:$BC$747,,MATCH(AK$8,'Калькуляция (МИ корр)'!$AJ$8:$BC$8,0)),'Калькуляция (МИ корр)'!$F$25:$F$747,$F113,'Калькуляция (МИ корр)'!$G$25:$G$747,$G113),IF(method_reg="Метод экономически обоснованных расходов",_xlfn.SUMIFS('Калькуляция (МЭОР)'!$AK$25:$AK$452,'Калькуляция (МЭОР)'!$F$25:$F$452,$F113,'Калькуляция (МЭОР)'!$G$25:$G$452,$G113),IF(method_reg="Метод сравнения аналогов",_xlfn.SUMIFS('Калькуляция (МСА)'!$AF$25:$AF$122,'Калькуляция (МСА)'!$F$25:$F$122,$F113,'Калькуляция (МСА)'!$G$25:$G$122,$G113),_xlfn.SUMIFS(INDEX('Калькуляция (МИ)'!$AJ$25:$BC$747,,MATCH(AK$8,'Калькуляция (МИ)'!$AJ$8:$BC$8,0)),'Калькуляция (МИ)'!$F$25:$F$747,$F113,'Калькуляция (МИ)'!$G$25:$G$747,$G113))))</f>
        <v>1178.10091</v>
      </c>
      <c r="AL113" s="1095">
        <f>IF(AJ113=0,0,(AK113-AJ113)/AJ113*100)</f>
        <v>0</v>
      </c>
      <c r="AM113" s="5247">
        <f>IF(AND(method_reg="Метод индексации",god&lt;&gt;first_year),_xlfn.SUMIFS(INDEX('Калькуляция (МИ корр)'!$AJ$25:$BC$747,,MATCH(AM$8,'Калькуляция (МИ корр)'!$AJ$8:$BC$8,0)),'Калькуляция (МИ корр)'!$F$25:$F$747,$F113,'Калькуляция (МИ корр)'!$G$25:$G$747,$G113),IF(method_reg="Метод экономически обоснованных расходов",_xlfn.SUMIFS('Калькуляция (МЭОР)'!$AJ$25:$AJ$452,'Калькуляция (МЭОР)'!$F$25:$F$452,$F113,'Калькуляция (МЭОР)'!$G$25:$G$452,$G113),IF(method_reg="Метод сравнения аналогов",_xlfn.SUMIFS('Калькуляция (МСА)'!$AE$25:$AE$122,'Калькуляция (МСА)'!$F$25:$F$122,$F113,'Калькуляция (МСА)'!$G$25:$G$122,$G113),_xlfn.SUMIFS(INDEX('Калькуляция (МИ)'!$AJ$25:$BC$747,,MATCH(AM$8,'Калькуляция (МИ)'!$AJ$8:$BC$8,0)),'Калькуляция (МИ)'!$F$25:$F$747,$F113,'Калькуляция (МИ)'!$G$25:$G$747,$G113))))</f>
        <v>1178.10091</v>
      </c>
      <c r="AN113" s="5247">
        <f>IF(AND(method_reg="Метод индексации",god&lt;&gt;first_year),_xlfn.SUMIFS(INDEX('Калькуляция (МИ корр)'!$AJ$25:$BC$747,,MATCH(AN$8,'Калькуляция (МИ корр)'!$AJ$8:$BC$8,0)),'Калькуляция (МИ корр)'!$F$25:$F$747,$F113,'Калькуляция (МИ корр)'!$G$25:$G$747,$G113),IF(method_reg="Метод экономически обоснованных расходов",_xlfn.SUMIFS('Калькуляция (МЭОР)'!$AK$25:$AK$452,'Калькуляция (МЭОР)'!$F$25:$F$452,$F113,'Калькуляция (МЭОР)'!$G$25:$G$452,$G113),IF(method_reg="Метод сравнения аналогов",_xlfn.SUMIFS('Калькуляция (МСА)'!$AF$25:$AF$122,'Калькуляция (МСА)'!$F$25:$F$122,$F113,'Калькуляция (МСА)'!$G$25:$G$122,$G113),_xlfn.SUMIFS(INDEX('Калькуляция (МИ)'!$AJ$25:$BC$747,,MATCH(AN$8,'Калькуляция (МИ)'!$AJ$8:$BC$8,0)),'Калькуляция (МИ)'!$F$25:$F$747,$F113,'Калькуляция (МИ)'!$G$25:$G$747,$G113))))</f>
        <v>1178.10091</v>
      </c>
      <c r="AO113" s="1095">
        <f>IF(AM113=0,0,(AN113-AM113)/AM113*100)</f>
        <v>0</v>
      </c>
      <c r="AP113" s="5247">
        <f>IF(AND(method_reg="Метод индексации",god&lt;&gt;first_year),_xlfn.SUMIFS(INDEX('Калькуляция (МИ корр)'!$AJ$25:$BC$747,,MATCH(AP$8,'Калькуляция (МИ корр)'!$AJ$8:$BC$8,0)),'Калькуляция (МИ корр)'!$F$25:$F$747,$F113,'Калькуляция (МИ корр)'!$G$25:$G$747,$G113),IF(method_reg="Метод экономически обоснованных расходов",_xlfn.SUMIFS('Калькуляция (МЭОР)'!$AJ$25:$AJ$452,'Калькуляция (МЭОР)'!$F$25:$F$452,$F113,'Калькуляция (МЭОР)'!$G$25:$G$452,$G113),IF(method_reg="Метод сравнения аналогов",_xlfn.SUMIFS('Калькуляция (МСА)'!$AE$25:$AE$122,'Калькуляция (МСА)'!$F$25:$F$122,$F113,'Калькуляция (МСА)'!$G$25:$G$122,$G113),_xlfn.SUMIFS(INDEX('Калькуляция (МИ)'!$AJ$25:$BC$747,,MATCH(AP$8,'Калькуляция (МИ)'!$AJ$8:$BC$8,0)),'Калькуляция (МИ)'!$F$25:$F$747,$F113,'Калькуляция (МИ)'!$G$25:$G$747,$G113))))</f>
        <v>1178.10091</v>
      </c>
      <c r="AQ113" s="5247">
        <f>IF(AND(method_reg="Метод индексации",god&lt;&gt;first_year),_xlfn.SUMIFS(INDEX('Калькуляция (МИ корр)'!$AJ$25:$BC$747,,MATCH(AQ$8,'Калькуляция (МИ корр)'!$AJ$8:$BC$8,0)),'Калькуляция (МИ корр)'!$F$25:$F$747,$F113,'Калькуляция (МИ корр)'!$G$25:$G$747,$G113),IF(method_reg="Метод экономически обоснованных расходов",_xlfn.SUMIFS('Калькуляция (МЭОР)'!$AK$25:$AK$452,'Калькуляция (МЭОР)'!$F$25:$F$452,$F113,'Калькуляция (МЭОР)'!$G$25:$G$452,$G113),IF(method_reg="Метод сравнения аналогов",_xlfn.SUMIFS('Калькуляция (МСА)'!$AF$25:$AF$122,'Калькуляция (МСА)'!$F$25:$F$122,$F113,'Калькуляция (МСА)'!$G$25:$G$122,$G113),_xlfn.SUMIFS(INDEX('Калькуляция (МИ)'!$AJ$25:$BC$747,,MATCH(AQ$8,'Калькуляция (МИ)'!$AJ$8:$BC$8,0)),'Калькуляция (МИ)'!$F$25:$F$747,$F113,'Калькуляция (МИ)'!$G$25:$G$747,$G113))))</f>
        <v>1178.10091</v>
      </c>
      <c r="AR113" s="1095">
        <f>IF(AP113=0,0,(AQ113-AP113)/AP113*100)</f>
        <v>0</v>
      </c>
      <c r="AS113" s="5247">
        <f>IF(AND(method_reg="Метод индексации",god&lt;&gt;first_year),_xlfn.SUMIFS(INDEX('Калькуляция (МИ корр)'!$AJ$25:$BC$747,,MATCH(AS$8,'Калькуляция (МИ корр)'!$AJ$8:$BC$8,0)),'Калькуляция (МИ корр)'!$F$25:$F$747,$F113,'Калькуляция (МИ корр)'!$G$25:$G$747,$G113),IF(method_reg="Метод экономически обоснованных расходов",_xlfn.SUMIFS('Калькуляция (МЭОР)'!$AJ$25:$AJ$452,'Калькуляция (МЭОР)'!$F$25:$F$452,$F113,'Калькуляция (МЭОР)'!$G$25:$G$452,$G113),IF(method_reg="Метод сравнения аналогов",_xlfn.SUMIFS('Калькуляция (МСА)'!$AE$25:$AE$122,'Калькуляция (МСА)'!$F$25:$F$122,$F113,'Калькуляция (МСА)'!$G$25:$G$122,$G113),_xlfn.SUMIFS(INDEX('Калькуляция (МИ)'!$AJ$25:$BC$747,,MATCH(AS$8,'Калькуляция (МИ)'!$AJ$8:$BC$8,0)),'Калькуляция (МИ)'!$F$25:$F$747,$F113,'Калькуляция (МИ)'!$G$25:$G$747,$G113))))</f>
        <v>0</v>
      </c>
      <c r="AT113" s="5247">
        <f>IF(AND(method_reg="Метод индексации",god&lt;&gt;first_year),_xlfn.SUMIFS(INDEX('Калькуляция (МИ корр)'!$AJ$25:$BC$747,,MATCH(AT$8,'Калькуляция (МИ корр)'!$AJ$8:$BC$8,0)),'Калькуляция (МИ корр)'!$F$25:$F$747,$F113,'Калькуляция (МИ корр)'!$G$25:$G$747,$G113),IF(method_reg="Метод экономически обоснованных расходов",_xlfn.SUMIFS('Калькуляция (МЭОР)'!$AK$25:$AK$452,'Калькуляция (МЭОР)'!$F$25:$F$452,$F113,'Калькуляция (МЭОР)'!$G$25:$G$452,$G113),IF(method_reg="Метод сравнения аналогов",_xlfn.SUMIFS('Калькуляция (МСА)'!$AF$25:$AF$122,'Калькуляция (МСА)'!$F$25:$F$122,$F113,'Калькуляция (МСА)'!$G$25:$G$122,$G113),_xlfn.SUMIFS(INDEX('Калькуляция (МИ)'!$AJ$25:$BC$747,,MATCH(AT$8,'Калькуляция (МИ)'!$AJ$8:$BC$8,0)),'Калькуляция (МИ)'!$F$25:$F$747,$F113,'Калькуляция (МИ)'!$G$25:$G$747,$G113))))</f>
        <v>0</v>
      </c>
      <c r="AU113" s="1095">
        <f>IF(AS113=0,0,(AT113-AS113)/AS113*100)</f>
        <v>0</v>
      </c>
      <c r="AV113" s="5247">
        <f>IF(AND(method_reg="Метод индексации",god&lt;&gt;first_year),_xlfn.SUMIFS(INDEX('Калькуляция (МИ корр)'!$AJ$25:$BC$747,,MATCH(AV$8,'Калькуляция (МИ корр)'!$AJ$8:$BC$8,0)),'Калькуляция (МИ корр)'!$F$25:$F$747,$F113,'Калькуляция (МИ корр)'!$G$25:$G$747,$G113),IF(method_reg="Метод экономически обоснованных расходов",_xlfn.SUMIFS('Калькуляция (МЭОР)'!$AJ$25:$AJ$452,'Калькуляция (МЭОР)'!$F$25:$F$452,$F113,'Калькуляция (МЭОР)'!$G$25:$G$452,$G113),IF(method_reg="Метод сравнения аналогов",_xlfn.SUMIFS('Калькуляция (МСА)'!$AE$25:$AE$122,'Калькуляция (МСА)'!$F$25:$F$122,$F113,'Калькуляция (МСА)'!$G$25:$G$122,$G113),_xlfn.SUMIFS(INDEX('Калькуляция (МИ)'!$AJ$25:$BC$747,,MATCH(AV$8,'Калькуляция (МИ)'!$AJ$8:$BC$8,0)),'Калькуляция (МИ)'!$F$25:$F$747,$F113,'Калькуляция (МИ)'!$G$25:$G$747,$G113))))</f>
        <v>0</v>
      </c>
      <c r="AW113" s="5247">
        <f>IF(AND(method_reg="Метод индексации",god&lt;&gt;first_year),_xlfn.SUMIFS(INDEX('Калькуляция (МИ корр)'!$AJ$25:$BC$747,,MATCH(AW$8,'Калькуляция (МИ корр)'!$AJ$8:$BC$8,0)),'Калькуляция (МИ корр)'!$F$25:$F$747,$F113,'Калькуляция (МИ корр)'!$G$25:$G$747,$G113),IF(method_reg="Метод экономически обоснованных расходов",_xlfn.SUMIFS('Калькуляция (МЭОР)'!$AK$25:$AK$452,'Калькуляция (МЭОР)'!$F$25:$F$452,$F113,'Калькуляция (МЭОР)'!$G$25:$G$452,$G113),IF(method_reg="Метод сравнения аналогов",_xlfn.SUMIFS('Калькуляция (МСА)'!$AF$25:$AF$122,'Калькуляция (МСА)'!$F$25:$F$122,$F113,'Калькуляция (МСА)'!$G$25:$G$122,$G113),_xlfn.SUMIFS(INDEX('Калькуляция (МИ)'!$AJ$25:$BC$747,,MATCH(AW$8,'Калькуляция (МИ)'!$AJ$8:$BC$8,0)),'Калькуляция (МИ)'!$F$25:$F$747,$F113,'Калькуляция (МИ)'!$G$25:$G$747,$G113))))</f>
        <v>0</v>
      </c>
      <c r="AX113" s="1095">
        <f>IF(AV113=0,0,(AW113-AV113)/AV113*100)</f>
        <v>0</v>
      </c>
      <c r="AY113" s="5247">
        <f>IF(AND(method_reg="Метод индексации",god&lt;&gt;first_year),_xlfn.SUMIFS(INDEX('Калькуляция (МИ корр)'!$AJ$25:$BC$747,,MATCH(AY$8,'Калькуляция (МИ корр)'!$AJ$8:$BC$8,0)),'Калькуляция (МИ корр)'!$F$25:$F$747,$F113,'Калькуляция (МИ корр)'!$G$25:$G$747,$G113),IF(method_reg="Метод экономически обоснованных расходов",_xlfn.SUMIFS('Калькуляция (МЭОР)'!$AJ$25:$AJ$452,'Калькуляция (МЭОР)'!$F$25:$F$452,$F113,'Калькуляция (МЭОР)'!$G$25:$G$452,$G113),IF(method_reg="Метод сравнения аналогов",_xlfn.SUMIFS('Калькуляция (МСА)'!$AE$25:$AE$122,'Калькуляция (МСА)'!$F$25:$F$122,$F113,'Калькуляция (МСА)'!$G$25:$G$122,$G113),_xlfn.SUMIFS(INDEX('Калькуляция (МИ)'!$AJ$25:$BC$747,,MATCH(AY$8,'Калькуляция (МИ)'!$AJ$8:$BC$8,0)),'Калькуляция (МИ)'!$F$25:$F$747,$F113,'Калькуляция (МИ)'!$G$25:$G$747,$G113))))</f>
        <v>0</v>
      </c>
      <c r="AZ113" s="5247">
        <f>IF(AND(method_reg="Метод индексации",god&lt;&gt;first_year),_xlfn.SUMIFS(INDEX('Калькуляция (МИ корр)'!$AJ$25:$BC$747,,MATCH(AZ$8,'Калькуляция (МИ корр)'!$AJ$8:$BC$8,0)),'Калькуляция (МИ корр)'!$F$25:$F$747,$F113,'Калькуляция (МИ корр)'!$G$25:$G$747,$G113),IF(method_reg="Метод экономически обоснованных расходов",_xlfn.SUMIFS('Калькуляция (МЭОР)'!$AK$25:$AK$452,'Калькуляция (МЭОР)'!$F$25:$F$452,$F113,'Калькуляция (МЭОР)'!$G$25:$G$452,$G113),IF(method_reg="Метод сравнения аналогов",_xlfn.SUMIFS('Калькуляция (МСА)'!$AF$25:$AF$122,'Калькуляция (МСА)'!$F$25:$F$122,$F113,'Калькуляция (МСА)'!$G$25:$G$122,$G113),_xlfn.SUMIFS(INDEX('Калькуляция (МИ)'!$AJ$25:$BC$747,,MATCH(AZ$8,'Калькуляция (МИ)'!$AJ$8:$BC$8,0)),'Калькуляция (МИ)'!$F$25:$F$747,$F113,'Калькуляция (МИ)'!$G$25:$G$747,$G113))))</f>
        <v>0</v>
      </c>
      <c r="BA113" s="1095">
        <f>IF(AY113=0,0,(AZ113-AY113)/AY113*100)</f>
        <v>0</v>
      </c>
      <c r="BB113" s="5247">
        <f>IF(AND(method_reg="Метод индексации",god&lt;&gt;first_year),_xlfn.SUMIFS(INDEX('Калькуляция (МИ корр)'!$AJ$25:$BC$747,,MATCH(BB$8,'Калькуляция (МИ корр)'!$AJ$8:$BC$8,0)),'Калькуляция (МИ корр)'!$F$25:$F$747,$F113,'Калькуляция (МИ корр)'!$G$25:$G$747,$G113),IF(method_reg="Метод экономически обоснованных расходов",_xlfn.SUMIFS('Калькуляция (МЭОР)'!$AJ$25:$AJ$452,'Калькуляция (МЭОР)'!$F$25:$F$452,$F113,'Калькуляция (МЭОР)'!$G$25:$G$452,$G113),IF(method_reg="Метод сравнения аналогов",_xlfn.SUMIFS('Калькуляция (МСА)'!$AE$25:$AE$122,'Калькуляция (МСА)'!$F$25:$F$122,$F113,'Калькуляция (МСА)'!$G$25:$G$122,$G113),_xlfn.SUMIFS(INDEX('Калькуляция (МИ)'!$AJ$25:$BC$747,,MATCH(BB$8,'Калькуляция (МИ)'!$AJ$8:$BC$8,0)),'Калькуляция (МИ)'!$F$25:$F$747,$F113,'Калькуляция (МИ)'!$G$25:$G$747,$G113))))</f>
        <v>0</v>
      </c>
      <c r="BC113" s="5247">
        <f>IF(AND(method_reg="Метод индексации",god&lt;&gt;first_year),_xlfn.SUMIFS(INDEX('Калькуляция (МИ корр)'!$AJ$25:$BC$747,,MATCH(BC$8,'Калькуляция (МИ корр)'!$AJ$8:$BC$8,0)),'Калькуляция (МИ корр)'!$F$25:$F$747,$F113,'Калькуляция (МИ корр)'!$G$25:$G$747,$G113),IF(method_reg="Метод экономически обоснованных расходов",_xlfn.SUMIFS('Калькуляция (МЭОР)'!$AK$25:$AK$452,'Калькуляция (МЭОР)'!$F$25:$F$452,$F113,'Калькуляция (МЭОР)'!$G$25:$G$452,$G113),IF(method_reg="Метод сравнения аналогов",_xlfn.SUMIFS('Калькуляция (МСА)'!$AF$25:$AF$122,'Калькуляция (МСА)'!$F$25:$F$122,$F113,'Калькуляция (МСА)'!$G$25:$G$122,$G113),_xlfn.SUMIFS(INDEX('Калькуляция (МИ)'!$AJ$25:$BC$747,,MATCH(BC$8,'Калькуляция (МИ)'!$AJ$8:$BC$8,0)),'Калькуляция (МИ)'!$F$25:$F$747,$F113,'Калькуляция (МИ)'!$G$25:$G$747,$G113))))</f>
        <v>0</v>
      </c>
      <c r="BD113" s="1095">
        <f>IF(BB113=0,0,(BC113-BB113)/BB113*100)</f>
        <v>0</v>
      </c>
      <c r="BE113" s="5247">
        <f>IF(AND(method_reg="Метод индексации",god&lt;&gt;first_year),_xlfn.SUMIFS(INDEX('Калькуляция (МИ корр)'!$AJ$25:$BC$747,,MATCH(BE$8,'Калькуляция (МИ корр)'!$AJ$8:$BC$8,0)),'Калькуляция (МИ корр)'!$F$25:$F$747,$F113,'Калькуляция (МИ корр)'!$G$25:$G$747,$G113),IF(method_reg="Метод экономически обоснованных расходов",_xlfn.SUMIFS('Калькуляция (МЭОР)'!$AJ$25:$AJ$452,'Калькуляция (МЭОР)'!$F$25:$F$452,$F113,'Калькуляция (МЭОР)'!$G$25:$G$452,$G113),IF(method_reg="Метод сравнения аналогов",_xlfn.SUMIFS('Калькуляция (МСА)'!$AE$25:$AE$122,'Калькуляция (МСА)'!$F$25:$F$122,$F113,'Калькуляция (МСА)'!$G$25:$G$122,$G113),_xlfn.SUMIFS(INDEX('Калькуляция (МИ)'!$AJ$25:$BC$747,,MATCH(BE$8,'Калькуляция (МИ)'!$AJ$8:$BC$8,0)),'Калькуляция (МИ)'!$F$25:$F$747,$F113,'Калькуляция (МИ)'!$G$25:$G$747,$G113))))</f>
        <v>0</v>
      </c>
      <c r="BF113" s="5247">
        <f>IF(AND(method_reg="Метод индексации",god&lt;&gt;first_year),_xlfn.SUMIFS(INDEX('Калькуляция (МИ корр)'!$AJ$25:$BC$747,,MATCH(BF$8,'Калькуляция (МИ корр)'!$AJ$8:$BC$8,0)),'Калькуляция (МИ корр)'!$F$25:$F$747,$F113,'Калькуляция (МИ корр)'!$G$25:$G$747,$G113),IF(method_reg="Метод экономически обоснованных расходов",_xlfn.SUMIFS('Калькуляция (МЭОР)'!$AK$25:$AK$452,'Калькуляция (МЭОР)'!$F$25:$F$452,$F113,'Калькуляция (МЭОР)'!$G$25:$G$452,$G113),IF(method_reg="Метод сравнения аналогов",_xlfn.SUMIFS('Калькуляция (МСА)'!$AF$25:$AF$122,'Калькуляция (МСА)'!$F$25:$F$122,$F113,'Калькуляция (МСА)'!$G$25:$G$122,$G113),_xlfn.SUMIFS(INDEX('Калькуляция (МИ)'!$AJ$25:$BC$747,,MATCH(BF$8,'Калькуляция (МИ)'!$AJ$8:$BC$8,0)),'Калькуляция (МИ)'!$F$25:$F$747,$F113,'Калькуляция (МИ)'!$G$25:$G$747,$G113))))</f>
        <v>0</v>
      </c>
      <c r="BG113" s="1095">
        <f>IF(BE113=0,0,(BF113-BE113)/BE113*100)</f>
        <v>0</v>
      </c>
      <c r="BH113" s="5247"/>
      <c r="BI113" s="5247"/>
      <c r="BJ113" s="1095">
        <f>IF(BH113=0,0,(BI113-BH113)/BH113*100)</f>
        <v>0</v>
      </c>
      <c r="BK113" s="5247"/>
      <c r="BL113" s="5247"/>
      <c r="BM113" s="1095">
        <f>IF(BK113=0,0,(BL113-BK113)/BK113*100)</f>
        <v>0</v>
      </c>
      <c r="BN113" s="5247"/>
      <c r="BO113" s="5247"/>
      <c r="BP113" s="1095">
        <f>IF(BN113=0,0,(BO113-BN113)/BN113*100)</f>
        <v>0</v>
      </c>
      <c r="BQ113" s="5247"/>
      <c r="BR113" s="5247"/>
      <c r="BS113" s="1095">
        <f>IF(BQ113=0,0,(BR113-BQ113)/BQ113*100)</f>
        <v>0</v>
      </c>
      <c r="BT113" s="5247"/>
      <c r="BU113" s="5247"/>
      <c r="BV113" s="1095">
        <f>IF(BT113=0,0,(BU113-BT113)/BT113*100)</f>
        <v>0</v>
      </c>
      <c r="BW113" s="5247"/>
      <c r="BX113" s="5247"/>
      <c r="BY113" s="1095">
        <f>IF(BW113=0,0,(BX113-BW113)/BW113*100)</f>
        <v>0</v>
      </c>
      <c r="BZ113" s="5247"/>
      <c r="CA113" s="5247"/>
      <c r="CB113" s="1095">
        <f>IF(BZ113=0,0,(CA113-BZ113)/BZ113*100)</f>
        <v>0</v>
      </c>
      <c r="CC113" s="5247"/>
      <c r="CD113" s="5247"/>
      <c r="CE113" s="1095">
        <f>IF(CC113=0,0,(CD113-CC113)/CC113*100)</f>
        <v>0</v>
      </c>
      <c r="CF113" s="5247"/>
      <c r="CG113" s="5247"/>
      <c r="CH113" s="1095">
        <f>IF(CF113=0,0,(CG113-CF113)/CF113*100)</f>
        <v>0</v>
      </c>
      <c r="CI113" s="5247"/>
      <c r="CJ113" s="5247"/>
      <c r="CK113" s="1095">
        <f>IF(CI113=0,0,(CJ113-CI113)/CI113*100)</f>
        <v>0</v>
      </c>
      <c r="CL113" s="5247"/>
      <c r="CM113" s="5247"/>
      <c r="CN113" s="1095">
        <f>IF(CL113=0,0,(CM113-CL113)/CL113*100)</f>
        <v>0</v>
      </c>
      <c r="CO113" s="5247"/>
      <c r="CP113" s="5247"/>
      <c r="CQ113" s="1095">
        <f>IF(CO113=0,0,(CP113-CO113)/CO113*100)</f>
        <v>0</v>
      </c>
      <c r="CR113" s="5247"/>
      <c r="CS113" s="5247"/>
      <c r="CT113" s="1095">
        <f>IF(CR113=0,0,(CS113-CR113)/CR113*100)</f>
        <v>0</v>
      </c>
      <c r="CU113" s="5247"/>
      <c r="CV113" s="5247"/>
      <c r="CW113" s="1095">
        <f>IF(CU113=0,0,(CV113-CU113)/CU113*100)</f>
        <v>0</v>
      </c>
      <c r="CX113" s="5247"/>
      <c r="CY113" s="5247"/>
      <c r="CZ113" s="1095">
        <f>IF(CX113=0,0,(CY113-CX113)/CX113*100)</f>
        <v>0</v>
      </c>
      <c r="DA113" s="5247"/>
      <c r="DB113" s="5247"/>
      <c r="DC113" s="1095">
        <f>IF(DA113=0,0,(DB113-DA113)/DA113*100)</f>
        <v>0</v>
      </c>
      <c r="DD113" s="5247"/>
      <c r="DE113" s="5247"/>
      <c r="DF113" s="1095">
        <f>IF(DD113=0,0,(DE113-DD113)/DD113*100)</f>
        <v>0</v>
      </c>
      <c r="DG113" s="5247"/>
      <c r="DH113" s="5247"/>
      <c r="DI113" s="1095">
        <f>IF(DG113=0,0,(DH113-DG113)/DG113*100)</f>
        <v>0</v>
      </c>
      <c r="DJ113" s="5247"/>
      <c r="DK113" s="5247"/>
      <c r="DL113" s="1095">
        <f>IF(DJ113=0,0,(DK113-DJ113)/DJ113*100)</f>
        <v>0</v>
      </c>
      <c r="DM113" s="5247"/>
      <c r="DN113" s="5247"/>
      <c r="DO113" s="1095">
        <f>IF(DM113=0,0,(DN113-DM113)/DM113*100)</f>
        <v>0</v>
      </c>
      <c r="DP113" s="5247"/>
      <c r="DQ113" s="5247"/>
      <c r="DR113" s="1095">
        <f>IF(DP113=0,0,(DQ113-DP113)/DP113*100)</f>
        <v>0</v>
      </c>
      <c r="DS113" s="5247"/>
      <c r="DT113" s="5247"/>
      <c r="DU113" s="1095">
        <f>IF(DS113=0,0,(DT113-DS113)/DS113*100)</f>
        <v>0</v>
      </c>
      <c r="DV113" s="5247"/>
      <c r="DW113" s="5247"/>
      <c r="DX113" s="1095">
        <f>IF(DV113=0,0,(DW113-DV113)/DV113*100)</f>
        <v>0</v>
      </c>
      <c r="DY113" s="5247"/>
      <c r="DZ113" s="5247"/>
      <c r="EA113" s="1095">
        <f>IF(DY113=0,0,(DZ113-DY113)/DY113*100)</f>
        <v>0</v>
      </c>
      <c r="EB113" s="5247"/>
      <c r="EC113" s="5247"/>
      <c r="ED113" s="1095">
        <f>IF(EB113=0,0,(EC113-EB113)/EB113*100)</f>
        <v>0</v>
      </c>
      <c r="EE113" s="5247"/>
      <c r="EF113" s="5247"/>
      <c r="EG113" s="1095">
        <f>IF(EE113=0,0,(EF113-EE113)/EE113*100)</f>
        <v>0</v>
      </c>
      <c r="EH113" s="5247"/>
      <c r="EI113" s="5247"/>
      <c r="EJ113" s="1095">
        <f>IF(EH113=0,0,(EI113-EH113)/EH113*100)</f>
        <v>0</v>
      </c>
      <c r="EK113" s="5247"/>
      <c r="EL113" s="5247"/>
      <c r="EM113" s="1095">
        <f>IF(EK113=0,0,(EL113-EK113)/EK113*100)</f>
        <v>0</v>
      </c>
      <c r="EN113" s="5247"/>
      <c r="EO113" s="5247"/>
      <c r="EP113" s="1095">
        <f>IF(EN113=0,0,(EO113-EN113)/EN113*100)</f>
        <v>0</v>
      </c>
      <c r="EQ113" s="5247"/>
      <c r="ER113" s="5247"/>
      <c r="ES113" s="1095">
        <f>IF(EQ113=0,0,(ER113-EQ113)/EQ113*100)</f>
        <v>0</v>
      </c>
      <c r="ET113" s="5247"/>
      <c r="EU113" s="5247"/>
      <c r="EV113" s="1095">
        <f>IF(ET113=0,0,(EU113-ET113)/ET113*100)</f>
        <v>0</v>
      </c>
      <c r="EW113" s="5247"/>
      <c r="EX113" s="5247"/>
      <c r="EY113" s="1095">
        <f>IF(EW113=0,0,(EX113-EW113)/EW113*100)</f>
        <v>0</v>
      </c>
      <c r="EZ113" s="5247"/>
      <c r="FA113" s="5247"/>
      <c r="FB113" s="1095">
        <f>IF(EZ113=0,0,(FA113-EZ113)/EZ113*100)</f>
        <v>0</v>
      </c>
      <c r="FC113" s="5247"/>
      <c r="FD113" s="5247"/>
      <c r="FE113" s="1095">
        <f>IF(FC113=0,0,(FD113-FC113)/FC113*100)</f>
        <v>0</v>
      </c>
      <c r="FF113" s="5247"/>
      <c r="FG113" s="5247"/>
      <c r="FH113" s="1095">
        <f>IF(FF113=0,0,(FG113-FF113)/FF113*100)</f>
        <v>0</v>
      </c>
      <c r="FI113" s="5247"/>
      <c r="FJ113" s="5247"/>
      <c r="FK113" s="1095">
        <f>IF(FI113=0,0,(FJ113-FI113)/FI113*100)</f>
        <v>0</v>
      </c>
      <c r="FL113" s="5247"/>
      <c r="FM113" s="5247"/>
      <c r="FN113" s="1095">
        <f>IF(FL113=0,0,(FM113-FL113)/FL113*100)</f>
        <v>0</v>
      </c>
      <c r="FO113" s="5247"/>
      <c r="FP113" s="5247"/>
      <c r="FQ113" s="1095">
        <f>IF(FO113=0,0,(FP113-FO113)/FO113*100)</f>
        <v>0</v>
      </c>
      <c r="FR113" s="5247"/>
      <c r="FS113" s="5247"/>
      <c r="FT113" s="1095">
        <f>IF(FR113=0,0,(FS113-FR113)/FR113*100)</f>
        <v>0</v>
      </c>
      <c r="FU113" s="5247"/>
      <c r="FV113" s="5247"/>
      <c r="FW113" s="1095">
        <f>IF(FU113=0,0,(FV113-FU113)/FU113*100)</f>
        <v>0</v>
      </c>
      <c r="FX113" s="1304"/>
      <c r="FY113" s="1304"/>
      <c r="FZ113" s="1055" t="s">
        <v>2375</v>
      </c>
      <c r="GA113" s="1306"/>
      <c r="GB113" s="1306"/>
      <c r="GC113" s="1305"/>
      <c r="GD113" s="1305"/>
    </row>
    <row s="1834" customFormat="1" customHeight="1" ht="24" hidden="1">
      <c r="A114" s="493"/>
      <c r="B114" s="925" cm="1" t="str">
        <f t="array" ref="B114:B114">B113</f>
        <v>false</v>
      </c>
      <c r="C114" s="493"/>
      <c r="D114" s="493"/>
      <c r="E114" s="840">
        <v>24.75</v>
      </c>
      <c r="F114" s="50" cm="1" t="str">
        <f t="array" ref="F114:F114">OFFSET(E114,-1,1)</f>
        <v>1</v>
      </c>
      <c r="G114" s="493"/>
      <c r="H114" s="493" t="s">
        <v>2376</v>
      </c>
      <c r="I114" s="493" t="s">
        <v>2335</v>
      </c>
      <c r="J114" s="493"/>
      <c r="K114" s="493"/>
      <c r="L114" s="493"/>
      <c r="M114" s="493"/>
      <c r="N114" s="493"/>
      <c r="O114" s="493"/>
      <c r="P114" s="493"/>
      <c r="Q114" s="493"/>
      <c r="R114" s="493"/>
      <c r="S114" s="493"/>
      <c r="T114" s="465" cm="1" t="str">
        <f t="array" ref="T114:T114">T113</f>
        <v>true</v>
      </c>
      <c r="U114" s="493"/>
      <c r="V114" s="493"/>
      <c r="W114" s="493"/>
      <c r="X114" s="1596"/>
      <c r="Y114" s="493"/>
      <c r="Z114" s="1545"/>
      <c r="AA114" s="493"/>
      <c r="AB114" s="904" t="str">
        <f>"ставка платы за содержание системы "&amp;IF(Q92="Водоснабжение","холодного водоснабжения","водоотведения")</f>
        <v>ставка платы за содержание системы холодного водоснабжения</v>
      </c>
      <c r="AC114" s="864" t="s">
        <v>2377</v>
      </c>
      <c r="AD114" s="2846"/>
      <c r="AE114" s="2846"/>
      <c r="AF114" s="1093">
        <f>IF(AD114=0,0,(AE114-AD114)/AD114*100)</f>
        <v>0</v>
      </c>
      <c r="AG114" s="2846"/>
      <c r="AH114" s="2846"/>
      <c r="AI114" s="1093">
        <f>IF(AG114=0,0,(AH114-AG114)/AG114*100)</f>
        <v>0</v>
      </c>
      <c r="AJ114" s="2846"/>
      <c r="AK114" s="2846"/>
      <c r="AL114" s="1093">
        <f>IF(AJ114=0,0,(AK114-AJ114)/AJ114*100)</f>
        <v>0</v>
      </c>
      <c r="AM114" s="2846"/>
      <c r="AN114" s="2846"/>
      <c r="AO114" s="1093">
        <f>IF(AM114=0,0,(AN114-AM114)/AM114*100)</f>
        <v>0</v>
      </c>
      <c r="AP114" s="2846"/>
      <c r="AQ114" s="2846"/>
      <c r="AR114" s="1093">
        <f>IF(AP114=0,0,(AQ114-AP114)/AP114*100)</f>
        <v>0</v>
      </c>
      <c r="AS114" s="2846"/>
      <c r="AT114" s="2846"/>
      <c r="AU114" s="1093">
        <f>IF(AS114=0,0,(AT114-AS114)/AS114*100)</f>
        <v>0</v>
      </c>
      <c r="AV114" s="2846"/>
      <c r="AW114" s="2846"/>
      <c r="AX114" s="1093">
        <f>IF(AV114=0,0,(AW114-AV114)/AV114*100)</f>
        <v>0</v>
      </c>
      <c r="AY114" s="2846"/>
      <c r="AZ114" s="2846"/>
      <c r="BA114" s="1093">
        <f>IF(AY114=0,0,(AZ114-AY114)/AY114*100)</f>
        <v>0</v>
      </c>
      <c r="BB114" s="2846"/>
      <c r="BC114" s="2846"/>
      <c r="BD114" s="1093">
        <f>IF(BB114=0,0,(BC114-BB114)/BB114*100)</f>
        <v>0</v>
      </c>
      <c r="BE114" s="2846"/>
      <c r="BF114" s="2846"/>
      <c r="BG114" s="1093">
        <f>IF(BE114=0,0,(BF114-BE114)/BE114*100)</f>
        <v>0</v>
      </c>
      <c r="BH114" s="2846"/>
      <c r="BI114" s="2846"/>
      <c r="BJ114" s="1093">
        <f>IF(BH114=0,0,(BI114-BH114)/BH114*100)</f>
        <v>0</v>
      </c>
      <c r="BK114" s="2846"/>
      <c r="BL114" s="2846"/>
      <c r="BM114" s="1093">
        <f>IF(BK114=0,0,(BL114-BK114)/BK114*100)</f>
        <v>0</v>
      </c>
      <c r="BN114" s="2846"/>
      <c r="BO114" s="2846"/>
      <c r="BP114" s="1093">
        <f>IF(BN114=0,0,(BO114-BN114)/BN114*100)</f>
        <v>0</v>
      </c>
      <c r="BQ114" s="2846"/>
      <c r="BR114" s="2846"/>
      <c r="BS114" s="1093">
        <f>IF(BQ114=0,0,(BR114-BQ114)/BQ114*100)</f>
        <v>0</v>
      </c>
      <c r="BT114" s="2846"/>
      <c r="BU114" s="2846"/>
      <c r="BV114" s="1093">
        <f>IF(BT114=0,0,(BU114-BT114)/BT114*100)</f>
        <v>0</v>
      </c>
      <c r="BW114" s="2846"/>
      <c r="BX114" s="2846"/>
      <c r="BY114" s="1093">
        <f>IF(BW114=0,0,(BX114-BW114)/BW114*100)</f>
        <v>0</v>
      </c>
      <c r="BZ114" s="2846"/>
      <c r="CA114" s="2846"/>
      <c r="CB114" s="1093">
        <f>IF(BZ114=0,0,(CA114-BZ114)/BZ114*100)</f>
        <v>0</v>
      </c>
      <c r="CC114" s="2846"/>
      <c r="CD114" s="2846"/>
      <c r="CE114" s="1093">
        <f>IF(CC114=0,0,(CD114-CC114)/CC114*100)</f>
        <v>0</v>
      </c>
      <c r="CF114" s="2846"/>
      <c r="CG114" s="2846"/>
      <c r="CH114" s="1093">
        <f>IF(CF114=0,0,(CG114-CF114)/CF114*100)</f>
        <v>0</v>
      </c>
      <c r="CI114" s="2846"/>
      <c r="CJ114" s="2846"/>
      <c r="CK114" s="1093">
        <f>IF(CI114=0,0,(CJ114-CI114)/CI114*100)</f>
        <v>0</v>
      </c>
      <c r="CL114" s="2846"/>
      <c r="CM114" s="2846"/>
      <c r="CN114" s="1093">
        <f>IF(CL114=0,0,(CM114-CL114)/CL114*100)</f>
        <v>0</v>
      </c>
      <c r="CO114" s="2846"/>
      <c r="CP114" s="2846"/>
      <c r="CQ114" s="1093">
        <f>IF(CO114=0,0,(CP114-CO114)/CO114*100)</f>
        <v>0</v>
      </c>
      <c r="CR114" s="2846"/>
      <c r="CS114" s="2846"/>
      <c r="CT114" s="1093">
        <f>IF(CR114=0,0,(CS114-CR114)/CR114*100)</f>
        <v>0</v>
      </c>
      <c r="CU114" s="2846"/>
      <c r="CV114" s="2846"/>
      <c r="CW114" s="1093">
        <f>IF(CU114=0,0,(CV114-CU114)/CU114*100)</f>
        <v>0</v>
      </c>
      <c r="CX114" s="2846"/>
      <c r="CY114" s="2846"/>
      <c r="CZ114" s="1093">
        <f>IF(CX114=0,0,(CY114-CX114)/CX114*100)</f>
        <v>0</v>
      </c>
      <c r="DA114" s="2846"/>
      <c r="DB114" s="2846"/>
      <c r="DC114" s="1093">
        <f>IF(DA114=0,0,(DB114-DA114)/DA114*100)</f>
        <v>0</v>
      </c>
      <c r="DD114" s="2846"/>
      <c r="DE114" s="2846"/>
      <c r="DF114" s="1093">
        <f>IF(DD114=0,0,(DE114-DD114)/DD114*100)</f>
        <v>0</v>
      </c>
      <c r="DG114" s="2846"/>
      <c r="DH114" s="2846"/>
      <c r="DI114" s="1093">
        <f>IF(DG114=0,0,(DH114-DG114)/DG114*100)</f>
        <v>0</v>
      </c>
      <c r="DJ114" s="2846"/>
      <c r="DK114" s="2846"/>
      <c r="DL114" s="1093">
        <f>IF(DJ114=0,0,(DK114-DJ114)/DJ114*100)</f>
        <v>0</v>
      </c>
      <c r="DM114" s="2846"/>
      <c r="DN114" s="2846"/>
      <c r="DO114" s="1093">
        <f>IF(DM114=0,0,(DN114-DM114)/DM114*100)</f>
        <v>0</v>
      </c>
      <c r="DP114" s="2846"/>
      <c r="DQ114" s="2846"/>
      <c r="DR114" s="1093">
        <f>IF(DP114=0,0,(DQ114-DP114)/DP114*100)</f>
        <v>0</v>
      </c>
      <c r="DS114" s="2846"/>
      <c r="DT114" s="2846"/>
      <c r="DU114" s="1093">
        <f>IF(DS114=0,0,(DT114-DS114)/DS114*100)</f>
        <v>0</v>
      </c>
      <c r="DV114" s="2846"/>
      <c r="DW114" s="2846"/>
      <c r="DX114" s="1093">
        <f>IF(DV114=0,0,(DW114-DV114)/DV114*100)</f>
        <v>0</v>
      </c>
      <c r="DY114" s="2846"/>
      <c r="DZ114" s="2846"/>
      <c r="EA114" s="1093">
        <f>IF(DY114=0,0,(DZ114-DY114)/DY114*100)</f>
        <v>0</v>
      </c>
      <c r="EB114" s="2846"/>
      <c r="EC114" s="2846"/>
      <c r="ED114" s="1093">
        <f>IF(EB114=0,0,(EC114-EB114)/EB114*100)</f>
        <v>0</v>
      </c>
      <c r="EE114" s="2846"/>
      <c r="EF114" s="2846"/>
      <c r="EG114" s="1093">
        <f>IF(EE114=0,0,(EF114-EE114)/EE114*100)</f>
        <v>0</v>
      </c>
      <c r="EH114" s="2846"/>
      <c r="EI114" s="2846"/>
      <c r="EJ114" s="1093">
        <f>IF(EH114=0,0,(EI114-EH114)/EH114*100)</f>
        <v>0</v>
      </c>
      <c r="EK114" s="2846"/>
      <c r="EL114" s="2846"/>
      <c r="EM114" s="1093">
        <f>IF(EK114=0,0,(EL114-EK114)/EK114*100)</f>
        <v>0</v>
      </c>
      <c r="EN114" s="2846"/>
      <c r="EO114" s="2846"/>
      <c r="EP114" s="1093">
        <f>IF(EN114=0,0,(EO114-EN114)/EN114*100)</f>
        <v>0</v>
      </c>
      <c r="EQ114" s="2846"/>
      <c r="ER114" s="2846"/>
      <c r="ES114" s="1093">
        <f>IF(EQ114=0,0,(ER114-EQ114)/EQ114*100)</f>
        <v>0</v>
      </c>
      <c r="ET114" s="2846"/>
      <c r="EU114" s="2846"/>
      <c r="EV114" s="1093">
        <f>IF(ET114=0,0,(EU114-ET114)/ET114*100)</f>
        <v>0</v>
      </c>
      <c r="EW114" s="2846"/>
      <c r="EX114" s="2846"/>
      <c r="EY114" s="1093">
        <f>IF(EW114=0,0,(EX114-EW114)/EW114*100)</f>
        <v>0</v>
      </c>
      <c r="EZ114" s="2846"/>
      <c r="FA114" s="2846"/>
      <c r="FB114" s="1093">
        <f>IF(EZ114=0,0,(FA114-EZ114)/EZ114*100)</f>
        <v>0</v>
      </c>
      <c r="FC114" s="2846"/>
      <c r="FD114" s="2846"/>
      <c r="FE114" s="1093">
        <f>IF(FC114=0,0,(FD114-FC114)/FC114*100)</f>
        <v>0</v>
      </c>
      <c r="FF114" s="2846"/>
      <c r="FG114" s="2846"/>
      <c r="FH114" s="1093">
        <f>IF(FF114=0,0,(FG114-FF114)/FF114*100)</f>
        <v>0</v>
      </c>
      <c r="FI114" s="2846"/>
      <c r="FJ114" s="2846"/>
      <c r="FK114" s="1093">
        <f>IF(FI114=0,0,(FJ114-FI114)/FI114*100)</f>
        <v>0</v>
      </c>
      <c r="FL114" s="2846"/>
      <c r="FM114" s="2846"/>
      <c r="FN114" s="1093">
        <f>IF(FL114=0,0,(FM114-FL114)/FL114*100)</f>
        <v>0</v>
      </c>
      <c r="FO114" s="2846"/>
      <c r="FP114" s="2846"/>
      <c r="FQ114" s="1093">
        <f>IF(FO114=0,0,(FP114-FO114)/FO114*100)</f>
        <v>0</v>
      </c>
      <c r="FR114" s="2846"/>
      <c r="FS114" s="2846"/>
      <c r="FT114" s="1093">
        <f>IF(FR114=0,0,(FS114-FR114)/FR114*100)</f>
        <v>0</v>
      </c>
      <c r="FU114" s="2846"/>
      <c r="FV114" s="2846"/>
      <c r="FW114" s="1093">
        <f>IF(FU114=0,0,(FV114-FU114)/FU114*100)</f>
        <v>0</v>
      </c>
      <c r="FX114" s="1304"/>
      <c r="FY114" s="1304"/>
      <c r="FZ114" s="1055" t="s">
        <v>2378</v>
      </c>
      <c r="GA114" s="1306"/>
      <c r="GB114" s="1306"/>
      <c r="GC114" s="1305"/>
      <c r="GD114" s="1305"/>
    </row>
    <row s="1834" customFormat="1" customHeight="1" ht="14.25" hidden="1">
      <c r="A115" s="493"/>
      <c r="B115" s="925" cm="1" t="str">
        <f t="array" ref="B115:B115">B114</f>
        <v>false</v>
      </c>
      <c r="C115" s="493"/>
      <c r="D115" s="493"/>
      <c r="E115" s="840">
        <v>15</v>
      </c>
      <c r="F115" s="50" cm="1" t="str">
        <f t="array" ref="F115:F115">OFFSET(E115,-1,1)</f>
        <v>1</v>
      </c>
      <c r="G115" s="493"/>
      <c r="H115" s="493" t="s">
        <v>2379</v>
      </c>
      <c r="I115" s="493" t="s">
        <v>2335</v>
      </c>
      <c r="J115" s="493"/>
      <c r="K115" s="493"/>
      <c r="L115" s="493"/>
      <c r="M115" s="493"/>
      <c r="N115" s="493"/>
      <c r="O115" s="493"/>
      <c r="P115" s="493"/>
      <c r="Q115" s="493"/>
      <c r="R115" s="493"/>
      <c r="S115" s="493"/>
      <c r="T115" s="465" cm="1" t="str">
        <f t="array" ref="T115:T115">T114</f>
        <v>true</v>
      </c>
      <c r="U115" s="493"/>
      <c r="V115" s="493"/>
      <c r="W115" s="493"/>
      <c r="X115" s="1596"/>
      <c r="Y115" s="493"/>
      <c r="Z115" s="1545"/>
      <c r="AA115" s="493"/>
      <c r="AB115" s="904" t="s">
        <v>2380</v>
      </c>
      <c r="AC115" s="864" t="s">
        <v>2381</v>
      </c>
      <c r="AD115" s="2846"/>
      <c r="AE115" s="2846"/>
      <c r="AF115" s="1093">
        <f>IF(AD115=0,0,(AE115-AD115)/AD115*100)</f>
        <v>0</v>
      </c>
      <c r="AG115" s="2846"/>
      <c r="AH115" s="2846"/>
      <c r="AI115" s="1093">
        <f>IF(AG115=0,0,(AH115-AG115)/AG115*100)</f>
        <v>0</v>
      </c>
      <c r="AJ115" s="2846"/>
      <c r="AK115" s="2846"/>
      <c r="AL115" s="1093">
        <f>IF(AJ115=0,0,(AK115-AJ115)/AJ115*100)</f>
        <v>0</v>
      </c>
      <c r="AM115" s="2846"/>
      <c r="AN115" s="2846"/>
      <c r="AO115" s="1093">
        <f>IF(AM115=0,0,(AN115-AM115)/AM115*100)</f>
        <v>0</v>
      </c>
      <c r="AP115" s="2846"/>
      <c r="AQ115" s="2846"/>
      <c r="AR115" s="1093">
        <f>IF(AP115=0,0,(AQ115-AP115)/AP115*100)</f>
        <v>0</v>
      </c>
      <c r="AS115" s="2846"/>
      <c r="AT115" s="2846"/>
      <c r="AU115" s="1093">
        <f>IF(AS115=0,0,(AT115-AS115)/AS115*100)</f>
        <v>0</v>
      </c>
      <c r="AV115" s="2846"/>
      <c r="AW115" s="2846"/>
      <c r="AX115" s="1093">
        <f>IF(AV115=0,0,(AW115-AV115)/AV115*100)</f>
        <v>0</v>
      </c>
      <c r="AY115" s="2846"/>
      <c r="AZ115" s="2846"/>
      <c r="BA115" s="1093">
        <f>IF(AY115=0,0,(AZ115-AY115)/AY115*100)</f>
        <v>0</v>
      </c>
      <c r="BB115" s="2846"/>
      <c r="BC115" s="2846"/>
      <c r="BD115" s="1093">
        <f>IF(BB115=0,0,(BC115-BB115)/BB115*100)</f>
        <v>0</v>
      </c>
      <c r="BE115" s="2846"/>
      <c r="BF115" s="2846"/>
      <c r="BG115" s="1093">
        <f>IF(BE115=0,0,(BF115-BE115)/BE115*100)</f>
        <v>0</v>
      </c>
      <c r="BH115" s="2846"/>
      <c r="BI115" s="2846"/>
      <c r="BJ115" s="1093">
        <f>IF(BH115=0,0,(BI115-BH115)/BH115*100)</f>
        <v>0</v>
      </c>
      <c r="BK115" s="2846"/>
      <c r="BL115" s="2846"/>
      <c r="BM115" s="1093">
        <f>IF(BK115=0,0,(BL115-BK115)/BK115*100)</f>
        <v>0</v>
      </c>
      <c r="BN115" s="2846"/>
      <c r="BO115" s="2846"/>
      <c r="BP115" s="1093">
        <f>IF(BN115=0,0,(BO115-BN115)/BN115*100)</f>
        <v>0</v>
      </c>
      <c r="BQ115" s="2846"/>
      <c r="BR115" s="2846"/>
      <c r="BS115" s="1093">
        <f>IF(BQ115=0,0,(BR115-BQ115)/BQ115*100)</f>
        <v>0</v>
      </c>
      <c r="BT115" s="2846"/>
      <c r="BU115" s="2846"/>
      <c r="BV115" s="1093">
        <f>IF(BT115=0,0,(BU115-BT115)/BT115*100)</f>
        <v>0</v>
      </c>
      <c r="BW115" s="2846"/>
      <c r="BX115" s="2846"/>
      <c r="BY115" s="1093">
        <f>IF(BW115=0,0,(BX115-BW115)/BW115*100)</f>
        <v>0</v>
      </c>
      <c r="BZ115" s="2846"/>
      <c r="CA115" s="2846"/>
      <c r="CB115" s="1093">
        <f>IF(BZ115=0,0,(CA115-BZ115)/BZ115*100)</f>
        <v>0</v>
      </c>
      <c r="CC115" s="2846"/>
      <c r="CD115" s="2846"/>
      <c r="CE115" s="1093">
        <f>IF(CC115=0,0,(CD115-CC115)/CC115*100)</f>
        <v>0</v>
      </c>
      <c r="CF115" s="2846"/>
      <c r="CG115" s="2846"/>
      <c r="CH115" s="1093">
        <f>IF(CF115=0,0,(CG115-CF115)/CF115*100)</f>
        <v>0</v>
      </c>
      <c r="CI115" s="2846"/>
      <c r="CJ115" s="2846"/>
      <c r="CK115" s="1093">
        <f>IF(CI115=0,0,(CJ115-CI115)/CI115*100)</f>
        <v>0</v>
      </c>
      <c r="CL115" s="2846"/>
      <c r="CM115" s="2846"/>
      <c r="CN115" s="1093">
        <f>IF(CL115=0,0,(CM115-CL115)/CL115*100)</f>
        <v>0</v>
      </c>
      <c r="CO115" s="2846"/>
      <c r="CP115" s="2846"/>
      <c r="CQ115" s="1093">
        <f>IF(CO115=0,0,(CP115-CO115)/CO115*100)</f>
        <v>0</v>
      </c>
      <c r="CR115" s="2846"/>
      <c r="CS115" s="2846"/>
      <c r="CT115" s="1093">
        <f>IF(CR115=0,0,(CS115-CR115)/CR115*100)</f>
        <v>0</v>
      </c>
      <c r="CU115" s="2846"/>
      <c r="CV115" s="2846"/>
      <c r="CW115" s="1093">
        <f>IF(CU115=0,0,(CV115-CU115)/CU115*100)</f>
        <v>0</v>
      </c>
      <c r="CX115" s="2846"/>
      <c r="CY115" s="2846"/>
      <c r="CZ115" s="1093">
        <f>IF(CX115=0,0,(CY115-CX115)/CX115*100)</f>
        <v>0</v>
      </c>
      <c r="DA115" s="2846"/>
      <c r="DB115" s="2846"/>
      <c r="DC115" s="1093">
        <f>IF(DA115=0,0,(DB115-DA115)/DA115*100)</f>
        <v>0</v>
      </c>
      <c r="DD115" s="2846"/>
      <c r="DE115" s="2846"/>
      <c r="DF115" s="1093">
        <f>IF(DD115=0,0,(DE115-DD115)/DD115*100)</f>
        <v>0</v>
      </c>
      <c r="DG115" s="2846"/>
      <c r="DH115" s="2846"/>
      <c r="DI115" s="1093">
        <f>IF(DG115=0,0,(DH115-DG115)/DG115*100)</f>
        <v>0</v>
      </c>
      <c r="DJ115" s="2846"/>
      <c r="DK115" s="2846"/>
      <c r="DL115" s="1093">
        <f>IF(DJ115=0,0,(DK115-DJ115)/DJ115*100)</f>
        <v>0</v>
      </c>
      <c r="DM115" s="2846"/>
      <c r="DN115" s="2846"/>
      <c r="DO115" s="1093">
        <f>IF(DM115=0,0,(DN115-DM115)/DM115*100)</f>
        <v>0</v>
      </c>
      <c r="DP115" s="2846"/>
      <c r="DQ115" s="2846"/>
      <c r="DR115" s="1093">
        <f>IF(DP115=0,0,(DQ115-DP115)/DP115*100)</f>
        <v>0</v>
      </c>
      <c r="DS115" s="2846"/>
      <c r="DT115" s="2846"/>
      <c r="DU115" s="1093">
        <f>IF(DS115=0,0,(DT115-DS115)/DS115*100)</f>
        <v>0</v>
      </c>
      <c r="DV115" s="2846"/>
      <c r="DW115" s="2846"/>
      <c r="DX115" s="1093">
        <f>IF(DV115=0,0,(DW115-DV115)/DV115*100)</f>
        <v>0</v>
      </c>
      <c r="DY115" s="2846"/>
      <c r="DZ115" s="2846"/>
      <c r="EA115" s="1093">
        <f>IF(DY115=0,0,(DZ115-DY115)/DY115*100)</f>
        <v>0</v>
      </c>
      <c r="EB115" s="2846"/>
      <c r="EC115" s="2846"/>
      <c r="ED115" s="1093">
        <f>IF(EB115=0,0,(EC115-EB115)/EB115*100)</f>
        <v>0</v>
      </c>
      <c r="EE115" s="2846"/>
      <c r="EF115" s="2846"/>
      <c r="EG115" s="1093">
        <f>IF(EE115=0,0,(EF115-EE115)/EE115*100)</f>
        <v>0</v>
      </c>
      <c r="EH115" s="2846"/>
      <c r="EI115" s="2846"/>
      <c r="EJ115" s="1093">
        <f>IF(EH115=0,0,(EI115-EH115)/EH115*100)</f>
        <v>0</v>
      </c>
      <c r="EK115" s="2846"/>
      <c r="EL115" s="2846"/>
      <c r="EM115" s="1093">
        <f>IF(EK115=0,0,(EL115-EK115)/EK115*100)</f>
        <v>0</v>
      </c>
      <c r="EN115" s="2846"/>
      <c r="EO115" s="2846"/>
      <c r="EP115" s="1093">
        <f>IF(EN115=0,0,(EO115-EN115)/EN115*100)</f>
        <v>0</v>
      </c>
      <c r="EQ115" s="2846"/>
      <c r="ER115" s="2846"/>
      <c r="ES115" s="1093">
        <f>IF(EQ115=0,0,(ER115-EQ115)/EQ115*100)</f>
        <v>0</v>
      </c>
      <c r="ET115" s="2846"/>
      <c r="EU115" s="2846"/>
      <c r="EV115" s="1093">
        <f>IF(ET115=0,0,(EU115-ET115)/ET115*100)</f>
        <v>0</v>
      </c>
      <c r="EW115" s="2846"/>
      <c r="EX115" s="2846"/>
      <c r="EY115" s="1093">
        <f>IF(EW115=0,0,(EX115-EW115)/EW115*100)</f>
        <v>0</v>
      </c>
      <c r="EZ115" s="2846"/>
      <c r="FA115" s="2846"/>
      <c r="FB115" s="1093">
        <f>IF(EZ115=0,0,(FA115-EZ115)/EZ115*100)</f>
        <v>0</v>
      </c>
      <c r="FC115" s="2846"/>
      <c r="FD115" s="2846"/>
      <c r="FE115" s="1093">
        <f>IF(FC115=0,0,(FD115-FC115)/FC115*100)</f>
        <v>0</v>
      </c>
      <c r="FF115" s="2846"/>
      <c r="FG115" s="2846"/>
      <c r="FH115" s="1093">
        <f>IF(FF115=0,0,(FG115-FF115)/FF115*100)</f>
        <v>0</v>
      </c>
      <c r="FI115" s="2846"/>
      <c r="FJ115" s="2846"/>
      <c r="FK115" s="1093">
        <f>IF(FI115=0,0,(FJ115-FI115)/FI115*100)</f>
        <v>0</v>
      </c>
      <c r="FL115" s="2846"/>
      <c r="FM115" s="2846"/>
      <c r="FN115" s="1093">
        <f>IF(FL115=0,0,(FM115-FL115)/FL115*100)</f>
        <v>0</v>
      </c>
      <c r="FO115" s="2846"/>
      <c r="FP115" s="2846"/>
      <c r="FQ115" s="1093">
        <f>IF(FO115=0,0,(FP115-FO115)/FO115*100)</f>
        <v>0</v>
      </c>
      <c r="FR115" s="2846"/>
      <c r="FS115" s="2846"/>
      <c r="FT115" s="1093">
        <f>IF(FR115=0,0,(FS115-FR115)/FR115*100)</f>
        <v>0</v>
      </c>
      <c r="FU115" s="2846"/>
      <c r="FV115" s="2846"/>
      <c r="FW115" s="1093">
        <f>IF(FU115=0,0,(FV115-FU115)/FU115*100)</f>
        <v>0</v>
      </c>
      <c r="FX115" s="1304"/>
      <c r="FY115" s="1304"/>
      <c r="FZ115" s="1055" t="s">
        <v>2382</v>
      </c>
      <c r="GA115" s="1306"/>
      <c r="GB115" s="1306"/>
      <c r="GC115" s="1305"/>
      <c r="GD115" s="1305"/>
    </row>
    <row s="1834" customFormat="1" customHeight="1" ht="23.25" hidden="1">
      <c r="A116" s="493"/>
      <c r="B116" s="925" cm="1" t="str">
        <f t="array" ref="B116:B116">B115</f>
        <v>false</v>
      </c>
      <c r="C116" s="493"/>
      <c r="D116" s="493"/>
      <c r="E116" s="840">
        <v>24.5</v>
      </c>
      <c r="F116" s="50" cm="1" t="str">
        <f t="array" ref="F116:F116">OFFSET(E116,-1,1)</f>
        <v>1</v>
      </c>
      <c r="G116" s="493"/>
      <c r="H116" s="493"/>
      <c r="I116" s="493"/>
      <c r="J116" s="493"/>
      <c r="K116" s="493"/>
      <c r="L116" s="493"/>
      <c r="M116" s="493"/>
      <c r="N116" s="493"/>
      <c r="O116" s="493"/>
      <c r="P116" s="493"/>
      <c r="Q116" s="493"/>
      <c r="R116" s="493"/>
      <c r="S116" s="493"/>
      <c r="T116" s="465" cm="1" t="str">
        <f t="array" ref="T116:T116">T115</f>
        <v>true</v>
      </c>
      <c r="U116" s="493"/>
      <c r="V116" s="493"/>
      <c r="W116" s="493"/>
      <c r="X116" s="1596"/>
      <c r="Y116" s="493"/>
      <c r="Z116" s="1545"/>
      <c r="AA116" s="493"/>
      <c r="AB116" s="293" t="s">
        <v>2383</v>
      </c>
      <c r="AC116" s="903"/>
      <c r="AD116" s="1102"/>
      <c r="AE116" s="1102"/>
      <c r="AF116" s="1102"/>
      <c r="AG116" s="1102"/>
      <c r="AH116" s="1102"/>
      <c r="AI116" s="1102"/>
      <c r="AJ116" s="1102"/>
      <c r="AK116" s="1102"/>
      <c r="AL116" s="1102"/>
      <c r="AM116" s="1102"/>
      <c r="AN116" s="1102"/>
      <c r="AO116" s="1102"/>
      <c r="AP116" s="1102"/>
      <c r="AQ116" s="1102"/>
      <c r="AR116" s="1102"/>
      <c r="AS116" s="1102"/>
      <c r="AT116" s="1102"/>
      <c r="AU116" s="1102"/>
      <c r="AV116" s="1102"/>
      <c r="AW116" s="1102"/>
      <c r="AX116" s="1102"/>
      <c r="AY116" s="1102"/>
      <c r="AZ116" s="1102"/>
      <c r="BA116" s="1102"/>
      <c r="BB116" s="1102"/>
      <c r="BC116" s="1102"/>
      <c r="BD116" s="1102"/>
      <c r="BE116" s="1102"/>
      <c r="BF116" s="1102"/>
      <c r="BG116" s="1102"/>
      <c r="BH116" s="1102"/>
      <c r="BI116" s="1102"/>
      <c r="BJ116" s="1102"/>
      <c r="BK116" s="1102"/>
      <c r="BL116" s="1102"/>
      <c r="BM116" s="1102"/>
      <c r="BN116" s="1102"/>
      <c r="BO116" s="1102"/>
      <c r="BP116" s="1102"/>
      <c r="BQ116" s="1102"/>
      <c r="BR116" s="1102"/>
      <c r="BS116" s="1102"/>
      <c r="BT116" s="1102"/>
      <c r="BU116" s="1102"/>
      <c r="BV116" s="1102"/>
      <c r="BW116" s="1102"/>
      <c r="BX116" s="1102"/>
      <c r="BY116" s="1102"/>
      <c r="BZ116" s="1102"/>
      <c r="CA116" s="1102"/>
      <c r="CB116" s="1102"/>
      <c r="CC116" s="1102"/>
      <c r="CD116" s="1102"/>
      <c r="CE116" s="1102"/>
      <c r="CF116" s="1102"/>
      <c r="CG116" s="1102"/>
      <c r="CH116" s="1102"/>
      <c r="CI116" s="1102"/>
      <c r="CJ116" s="1102"/>
      <c r="CK116" s="1102"/>
      <c r="CL116" s="1102"/>
      <c r="CM116" s="1102"/>
      <c r="CN116" s="1102"/>
      <c r="CO116" s="1102"/>
      <c r="CP116" s="1102"/>
      <c r="CQ116" s="1102"/>
      <c r="CR116" s="1102"/>
      <c r="CS116" s="1102"/>
      <c r="CT116" s="1102"/>
      <c r="CU116" s="1102"/>
      <c r="CV116" s="1102"/>
      <c r="CW116" s="1102"/>
      <c r="CX116" s="1102"/>
      <c r="CY116" s="1102"/>
      <c r="CZ116" s="1102"/>
      <c r="DA116" s="1102"/>
      <c r="DB116" s="1102"/>
      <c r="DC116" s="1102"/>
      <c r="DD116" s="1102"/>
      <c r="DE116" s="1102"/>
      <c r="DF116" s="1102"/>
      <c r="DG116" s="1102"/>
      <c r="DH116" s="1102"/>
      <c r="DI116" s="1102"/>
      <c r="DJ116" s="1102"/>
      <c r="DK116" s="1102"/>
      <c r="DL116" s="1102"/>
      <c r="DM116" s="1102"/>
      <c r="DN116" s="1102"/>
      <c r="DO116" s="1102"/>
      <c r="DP116" s="1102"/>
      <c r="DQ116" s="1102"/>
      <c r="DR116" s="1102"/>
      <c r="DS116" s="1102"/>
      <c r="DT116" s="1102"/>
      <c r="DU116" s="1102"/>
      <c r="DV116" s="1102"/>
      <c r="DW116" s="1102"/>
      <c r="DX116" s="1102"/>
      <c r="DY116" s="1102"/>
      <c r="DZ116" s="1102"/>
      <c r="EA116" s="1102"/>
      <c r="EB116" s="1102"/>
      <c r="EC116" s="1102"/>
      <c r="ED116" s="1102"/>
      <c r="EE116" s="1102"/>
      <c r="EF116" s="1102"/>
      <c r="EG116" s="1102"/>
      <c r="EH116" s="1102"/>
      <c r="EI116" s="1102"/>
      <c r="EJ116" s="1102"/>
      <c r="EK116" s="1102"/>
      <c r="EL116" s="1102"/>
      <c r="EM116" s="1102"/>
      <c r="EN116" s="1102"/>
      <c r="EO116" s="1102"/>
      <c r="EP116" s="1102"/>
      <c r="EQ116" s="1102"/>
      <c r="ER116" s="1102"/>
      <c r="ES116" s="1102"/>
      <c r="ET116" s="1102"/>
      <c r="EU116" s="1102"/>
      <c r="EV116" s="1102"/>
      <c r="EW116" s="1102"/>
      <c r="EX116" s="1102"/>
      <c r="EY116" s="1102"/>
      <c r="EZ116" s="1102"/>
      <c r="FA116" s="1102"/>
      <c r="FB116" s="1102"/>
      <c r="FC116" s="1102"/>
      <c r="FD116" s="1102"/>
      <c r="FE116" s="1102"/>
      <c r="FF116" s="1102"/>
      <c r="FG116" s="1102"/>
      <c r="FH116" s="1102"/>
      <c r="FI116" s="1102"/>
      <c r="FJ116" s="1102"/>
      <c r="FK116" s="1102"/>
      <c r="FL116" s="1102"/>
      <c r="FM116" s="1102"/>
      <c r="FN116" s="1102"/>
      <c r="FO116" s="1102"/>
      <c r="FP116" s="1102"/>
      <c r="FQ116" s="1102"/>
      <c r="FR116" s="1102"/>
      <c r="FS116" s="1102"/>
      <c r="FT116" s="1102"/>
      <c r="FU116" s="1102"/>
      <c r="FV116" s="1102"/>
      <c r="FW116" s="1103"/>
      <c r="FX116" s="1304"/>
      <c r="FY116" s="1304"/>
      <c r="FZ116" s="1055"/>
      <c r="GA116" s="1306"/>
      <c r="GB116" s="1306"/>
      <c r="GC116" s="1305"/>
      <c r="GD116" s="1305"/>
    </row>
    <row s="1834" customFormat="1" customHeight="1" ht="14.25" hidden="1">
      <c r="A117" s="493"/>
      <c r="B117" s="925" cm="1" t="str">
        <f t="array" ref="B117:B117">B116</f>
        <v>false</v>
      </c>
      <c r="C117" s="493"/>
      <c r="D117" s="493"/>
      <c r="E117" s="840">
        <v>15</v>
      </c>
      <c r="F117" s="50" cm="1" t="str">
        <f t="array" ref="F117:F117">OFFSET(E117,-1,1)</f>
        <v>1</v>
      </c>
      <c r="G117" s="493"/>
      <c r="H117" s="493" t="s">
        <v>2295</v>
      </c>
      <c r="I117" s="493" t="s">
        <v>2340</v>
      </c>
      <c r="J117" s="493"/>
      <c r="K117" s="493"/>
      <c r="L117" s="493"/>
      <c r="M117" s="493"/>
      <c r="N117" s="493"/>
      <c r="O117" s="493"/>
      <c r="P117" s="493"/>
      <c r="Q117" s="493"/>
      <c r="R117" s="493"/>
      <c r="S117" s="493"/>
      <c r="T117" s="465" cm="1" t="str">
        <f t="array" ref="T117:T117">T116</f>
        <v>true</v>
      </c>
      <c r="U117" s="493"/>
      <c r="V117" s="493"/>
      <c r="W117" s="493"/>
      <c r="X117" s="1596"/>
      <c r="Y117" s="493"/>
      <c r="Z117" s="1545"/>
      <c r="AA117" s="493"/>
      <c r="AB117" s="1091" t="s">
        <v>2370</v>
      </c>
      <c r="AC117" s="864" t="s">
        <v>2337</v>
      </c>
      <c r="AD117" s="2846">
        <f>IF(AD119=0,0,(AD118*AD119+AD120*AD121*IF(god=2026,3,6))/AD119)</f>
        <v>0</v>
      </c>
      <c r="AE117" s="2846">
        <f>IF(AE119=0,0,(AE118*AE119+AE120*AE121*IF(god=2026,3,6))/AE119)</f>
        <v>0</v>
      </c>
      <c r="AF117" s="1093">
        <f>IF(AD117=0,0,(AE117-AD117)/AD117*100)</f>
        <v>0</v>
      </c>
      <c r="AG117" s="2846">
        <f>IF(AG119=0,0,(AG118*AG119+AG120*AG121*IF(god=2025,3,6))/AG119)</f>
        <v>0</v>
      </c>
      <c r="AH117" s="2846">
        <f>IF(AH119=0,0,(AH118*AH119+AH120*AH121*IF(god=2025,3,6))/AH119)</f>
        <v>0</v>
      </c>
      <c r="AI117" s="1093">
        <f>IF(AG117=0,0,(AH117-AG117)/AG117*100)</f>
        <v>0</v>
      </c>
      <c r="AJ117" s="2846">
        <f>IF(AJ119=0,0,(AJ118*AJ119+AJ120*AJ121*6)/AJ119)</f>
        <v>0</v>
      </c>
      <c r="AK117" s="2846">
        <f>IF(AK119=0,0,(AK118*AK119+AK120*AK121*6)/AK119)</f>
        <v>0</v>
      </c>
      <c r="AL117" s="1093">
        <f>IF(AJ117=0,0,(AK117-AJ117)/AJ117*100)</f>
        <v>0</v>
      </c>
      <c r="AM117" s="2846">
        <f>IF(AM119=0,0,(AM118*AM119+AM120*AM121*6)/AM119)</f>
        <v>0</v>
      </c>
      <c r="AN117" s="2846">
        <f>IF(AN119=0,0,(AN118*AN119+AN120*AN121*6)/AN119)</f>
        <v>0</v>
      </c>
      <c r="AO117" s="1093">
        <f>IF(AM117=0,0,(AN117-AM117)/AM117*100)</f>
        <v>0</v>
      </c>
      <c r="AP117" s="2846">
        <f>IF(AP119=0,0,(AP118*AP119+AP120*AP121*6)/AP119)</f>
        <v>0</v>
      </c>
      <c r="AQ117" s="2846">
        <f>IF(AQ119=0,0,(AQ118*AQ119+AQ120*AQ121*6)/AQ119)</f>
        <v>0</v>
      </c>
      <c r="AR117" s="1093">
        <f>IF(AP117=0,0,(AQ117-AP117)/AP117*100)</f>
        <v>0</v>
      </c>
      <c r="AS117" s="2846">
        <f>IF(AS119=0,0,(AS118*AS119+AS120*AS121*6)/AS119)</f>
        <v>0</v>
      </c>
      <c r="AT117" s="2846">
        <f>IF(AT119=0,0,(AT118*AT119+AT120*AT121*6)/AT119)</f>
        <v>0</v>
      </c>
      <c r="AU117" s="1093">
        <f>IF(AS117=0,0,(AT117-AS117)/AS117*100)</f>
        <v>0</v>
      </c>
      <c r="AV117" s="2846">
        <f>IF(AV119=0,0,(AV118*AV119+AV120*AV121*6)/AV119)</f>
        <v>0</v>
      </c>
      <c r="AW117" s="2846">
        <f>IF(AW119=0,0,(AW118*AW119+AW120*AW121*6)/AW119)</f>
        <v>0</v>
      </c>
      <c r="AX117" s="1093">
        <f>IF(AV117=0,0,(AW117-AV117)/AV117*100)</f>
        <v>0</v>
      </c>
      <c r="AY117" s="2846">
        <f>IF(AY119=0,0,(AY118*AY119+AY120*AY121*6)/AY119)</f>
        <v>0</v>
      </c>
      <c r="AZ117" s="2846">
        <f>IF(AZ119=0,0,(AZ118*AZ119+AZ120*AZ121*6)/AZ119)</f>
        <v>0</v>
      </c>
      <c r="BA117" s="1093">
        <f>IF(AY117=0,0,(AZ117-AY117)/AY117*100)</f>
        <v>0</v>
      </c>
      <c r="BB117" s="2846">
        <f>IF(BB119=0,0,(BB118*BB119+BB120*BB121*6)/BB119)</f>
        <v>0</v>
      </c>
      <c r="BC117" s="2846">
        <f>IF(BC119=0,0,(BC118*BC119+BC120*BC121*6)/BC119)</f>
        <v>0</v>
      </c>
      <c r="BD117" s="1093">
        <f>IF(BB117=0,0,(BC117-BB117)/BB117*100)</f>
        <v>0</v>
      </c>
      <c r="BE117" s="2846">
        <f>IF(BE119=0,0,(BE118*BE119+BE120*BE121*6)/BE119)</f>
        <v>0</v>
      </c>
      <c r="BF117" s="2846">
        <f>IF(BF119=0,0,(BF118*BF119+BF120*BF121*6)/BF119)</f>
        <v>0</v>
      </c>
      <c r="BG117" s="1093">
        <f>IF(BE117=0,0,(BF117-BE117)/BE117*100)</f>
        <v>0</v>
      </c>
      <c r="BH117" s="2846">
        <f>IF(BH119=0,0,(BH118*BH119+BH120*BH121*6)/BH119)</f>
        <v>0</v>
      </c>
      <c r="BI117" s="2846">
        <f>IF(BI119=0,0,(BI118*BI119+BI120*BI121*6)/BI119)</f>
        <v>0</v>
      </c>
      <c r="BJ117" s="1093">
        <f>IF(BH117=0,0,(BI117-BH117)/BH117*100)</f>
        <v>0</v>
      </c>
      <c r="BK117" s="2846">
        <f>IF(BK119=0,0,(BK118*BK119+BK120*BK121*6)/BK119)</f>
        <v>0</v>
      </c>
      <c r="BL117" s="2846">
        <f>IF(BL119=0,0,(BL118*BL119+BL120*BL121*6)/BL119)</f>
        <v>0</v>
      </c>
      <c r="BM117" s="1093">
        <f>IF(BK117=0,0,(BL117-BK117)/BK117*100)</f>
        <v>0</v>
      </c>
      <c r="BN117" s="2846">
        <f>IF(BN119=0,0,(BN118*BN119+BN120*BN121*6)/BN119)</f>
        <v>0</v>
      </c>
      <c r="BO117" s="2846">
        <f>IF(BO119=0,0,(BO118*BO119+BO120*BO121*6)/BO119)</f>
        <v>0</v>
      </c>
      <c r="BP117" s="1093">
        <f>IF(BN117=0,0,(BO117-BN117)/BN117*100)</f>
        <v>0</v>
      </c>
      <c r="BQ117" s="2846">
        <f>IF(BQ119=0,0,(BQ118*BQ119+BQ120*BQ121*6)/BQ119)</f>
        <v>0</v>
      </c>
      <c r="BR117" s="2846">
        <f>IF(BR119=0,0,(BR118*BR119+BR120*BR121*6)/BR119)</f>
        <v>0</v>
      </c>
      <c r="BS117" s="1093">
        <f>IF(BQ117=0,0,(BR117-BQ117)/BQ117*100)</f>
        <v>0</v>
      </c>
      <c r="BT117" s="2846">
        <f>IF(BT119=0,0,(BT118*BT119+BT120*BT121*6)/BT119)</f>
        <v>0</v>
      </c>
      <c r="BU117" s="2846">
        <f>IF(BU119=0,0,(BU118*BU119+BU120*BU121*6)/BU119)</f>
        <v>0</v>
      </c>
      <c r="BV117" s="1093">
        <f>IF(BT117=0,0,(BU117-BT117)/BT117*100)</f>
        <v>0</v>
      </c>
      <c r="BW117" s="2846">
        <f>IF(BW119=0,0,(BW118*BW119+BW120*BW121*6)/BW119)</f>
        <v>0</v>
      </c>
      <c r="BX117" s="2846">
        <f>IF(BX119=0,0,(BX118*BX119+BX120*BX121*6)/BX119)</f>
        <v>0</v>
      </c>
      <c r="BY117" s="1093">
        <f>IF(BW117=0,0,(BX117-BW117)/BW117*100)</f>
        <v>0</v>
      </c>
      <c r="BZ117" s="2846">
        <f>IF(BZ119=0,0,(BZ118*BZ119+BZ120*BZ121*6)/BZ119)</f>
        <v>0</v>
      </c>
      <c r="CA117" s="2846">
        <f>IF(CA119=0,0,(CA118*CA119+CA120*CA121*6)/CA119)</f>
        <v>0</v>
      </c>
      <c r="CB117" s="1093">
        <f>IF(BZ117=0,0,(CA117-BZ117)/BZ117*100)</f>
        <v>0</v>
      </c>
      <c r="CC117" s="2846">
        <f>IF(CC119=0,0,(CC118*CC119+CC120*CC121*6)/CC119)</f>
        <v>0</v>
      </c>
      <c r="CD117" s="2846">
        <f>IF(CD119=0,0,(CD118*CD119+CD120*CD121*6)/CD119)</f>
        <v>0</v>
      </c>
      <c r="CE117" s="1093">
        <f>IF(CC117=0,0,(CD117-CC117)/CC117*100)</f>
        <v>0</v>
      </c>
      <c r="CF117" s="2846">
        <f>IF(CF119=0,0,(CF118*CF119+CF120*CF121*6)/CF119)</f>
        <v>0</v>
      </c>
      <c r="CG117" s="2846">
        <f>IF(CG119=0,0,(CG118*CG119+CG120*CG121*6)/CG119)</f>
        <v>0</v>
      </c>
      <c r="CH117" s="1093">
        <f>IF(CF117=0,0,(CG117-CF117)/CF117*100)</f>
        <v>0</v>
      </c>
      <c r="CI117" s="2846">
        <f>IF(CI119=0,0,(CI118*CI119+CI120*CI121*6)/CI119)</f>
        <v>0</v>
      </c>
      <c r="CJ117" s="2846">
        <f>IF(CJ119=0,0,(CJ118*CJ119+CJ120*CJ121*6)/CJ119)</f>
        <v>0</v>
      </c>
      <c r="CK117" s="1093">
        <f>IF(CI117=0,0,(CJ117-CI117)/CI117*100)</f>
        <v>0</v>
      </c>
      <c r="CL117" s="2846">
        <f>IF(CL119=0,0,(CL118*CL119+CL120*CL121*6)/CL119)</f>
        <v>0</v>
      </c>
      <c r="CM117" s="2846">
        <f>IF(CM119=0,0,(CM118*CM119+CM120*CM121*6)/CM119)</f>
        <v>0</v>
      </c>
      <c r="CN117" s="1093">
        <f>IF(CL117=0,0,(CM117-CL117)/CL117*100)</f>
        <v>0</v>
      </c>
      <c r="CO117" s="2846">
        <f>IF(CO119=0,0,(CO118*CO119+CO120*CO121*6)/CO119)</f>
        <v>0</v>
      </c>
      <c r="CP117" s="2846">
        <f>IF(CP119=0,0,(CP118*CP119+CP120*CP121*6)/CP119)</f>
        <v>0</v>
      </c>
      <c r="CQ117" s="1093">
        <f>IF(CO117=0,0,(CP117-CO117)/CO117*100)</f>
        <v>0</v>
      </c>
      <c r="CR117" s="2846">
        <f>IF(CR119=0,0,(CR118*CR119+CR120*CR121*6)/CR119)</f>
        <v>0</v>
      </c>
      <c r="CS117" s="2846">
        <f>IF(CS119=0,0,(CS118*CS119+CS120*CS121*6)/CS119)</f>
        <v>0</v>
      </c>
      <c r="CT117" s="1093">
        <f>IF(CR117=0,0,(CS117-CR117)/CR117*100)</f>
        <v>0</v>
      </c>
      <c r="CU117" s="2846">
        <f>IF(CU119=0,0,(CU118*CU119+CU120*CU121*6)/CU119)</f>
        <v>0</v>
      </c>
      <c r="CV117" s="2846">
        <f>IF(CV119=0,0,(CV118*CV119+CV120*CV121*6)/CV119)</f>
        <v>0</v>
      </c>
      <c r="CW117" s="1093">
        <f>IF(CU117=0,0,(CV117-CU117)/CU117*100)</f>
        <v>0</v>
      </c>
      <c r="CX117" s="2846">
        <f>IF(CX119=0,0,(CX118*CX119+CX120*CX121*6)/CX119)</f>
        <v>0</v>
      </c>
      <c r="CY117" s="2846">
        <f>IF(CY119=0,0,(CY118*CY119+CY120*CY121*6)/CY119)</f>
        <v>0</v>
      </c>
      <c r="CZ117" s="1093">
        <f>IF(CX117=0,0,(CY117-CX117)/CX117*100)</f>
        <v>0</v>
      </c>
      <c r="DA117" s="2846">
        <f>IF(DA119=0,0,(DA118*DA119+DA120*DA121*6)/DA119)</f>
        <v>0</v>
      </c>
      <c r="DB117" s="2846">
        <f>IF(DB119=0,0,(DB118*DB119+DB120*DB121*6)/DB119)</f>
        <v>0</v>
      </c>
      <c r="DC117" s="1093">
        <f>IF(DA117=0,0,(DB117-DA117)/DA117*100)</f>
        <v>0</v>
      </c>
      <c r="DD117" s="2846">
        <f>IF(DD119=0,0,(DD118*DD119+DD120*DD121*6)/DD119)</f>
        <v>0</v>
      </c>
      <c r="DE117" s="2846">
        <f>IF(DE119=0,0,(DE118*DE119+DE120*DE121*6)/DE119)</f>
        <v>0</v>
      </c>
      <c r="DF117" s="1093">
        <f>IF(DD117=0,0,(DE117-DD117)/DD117*100)</f>
        <v>0</v>
      </c>
      <c r="DG117" s="2846">
        <f>IF(DG119=0,0,(DG118*DG119+DG120*DG121*6)/DG119)</f>
        <v>0</v>
      </c>
      <c r="DH117" s="2846">
        <f>IF(DH119=0,0,(DH118*DH119+DH120*DH121*6)/DH119)</f>
        <v>0</v>
      </c>
      <c r="DI117" s="1093">
        <f>IF(DG117=0,0,(DH117-DG117)/DG117*100)</f>
        <v>0</v>
      </c>
      <c r="DJ117" s="2846">
        <f>IF(DJ119=0,0,(DJ118*DJ119+DJ120*DJ121*6)/DJ119)</f>
        <v>0</v>
      </c>
      <c r="DK117" s="2846">
        <f>IF(DK119=0,0,(DK118*DK119+DK120*DK121*6)/DK119)</f>
        <v>0</v>
      </c>
      <c r="DL117" s="1093">
        <f>IF(DJ117=0,0,(DK117-DJ117)/DJ117*100)</f>
        <v>0</v>
      </c>
      <c r="DM117" s="2846">
        <f>IF(DM119=0,0,(DM118*DM119+DM120*DM121*6)/DM119)</f>
        <v>0</v>
      </c>
      <c r="DN117" s="2846">
        <f>IF(DN119=0,0,(DN118*DN119+DN120*DN121*6)/DN119)</f>
        <v>0</v>
      </c>
      <c r="DO117" s="1093">
        <f>IF(DM117=0,0,(DN117-DM117)/DM117*100)</f>
        <v>0</v>
      </c>
      <c r="DP117" s="2846">
        <f>IF(DP119=0,0,(DP118*DP119+DP120*DP121*6)/DP119)</f>
        <v>0</v>
      </c>
      <c r="DQ117" s="2846">
        <f>IF(DQ119=0,0,(DQ118*DQ119+DQ120*DQ121*6)/DQ119)</f>
        <v>0</v>
      </c>
      <c r="DR117" s="1093">
        <f>IF(DP117=0,0,(DQ117-DP117)/DP117*100)</f>
        <v>0</v>
      </c>
      <c r="DS117" s="2846">
        <f>IF(DS119=0,0,(DS118*DS119+DS120*DS121*6)/DS119)</f>
        <v>0</v>
      </c>
      <c r="DT117" s="2846">
        <f>IF(DT119=0,0,(DT118*DT119+DT120*DT121*6)/DT119)</f>
        <v>0</v>
      </c>
      <c r="DU117" s="1093">
        <f>IF(DS117=0,0,(DT117-DS117)/DS117*100)</f>
        <v>0</v>
      </c>
      <c r="DV117" s="2846">
        <f>IF(DV119=0,0,(DV118*DV119+DV120*DV121*6)/DV119)</f>
        <v>0</v>
      </c>
      <c r="DW117" s="2846">
        <f>IF(DW119=0,0,(DW118*DW119+DW120*DW121*6)/DW119)</f>
        <v>0</v>
      </c>
      <c r="DX117" s="1093">
        <f>IF(DV117=0,0,(DW117-DV117)/DV117*100)</f>
        <v>0</v>
      </c>
      <c r="DY117" s="2846">
        <f>IF(DY119=0,0,(DY118*DY119+DY120*DY121*6)/DY119)</f>
        <v>0</v>
      </c>
      <c r="DZ117" s="2846">
        <f>IF(DZ119=0,0,(DZ118*DZ119+DZ120*DZ121*6)/DZ119)</f>
        <v>0</v>
      </c>
      <c r="EA117" s="1093">
        <f>IF(DY117=0,0,(DZ117-DY117)/DY117*100)</f>
        <v>0</v>
      </c>
      <c r="EB117" s="2846">
        <f>IF(EB119=0,0,(EB118*EB119+EB120*EB121*6)/EB119)</f>
        <v>0</v>
      </c>
      <c r="EC117" s="2846">
        <f>IF(EC119=0,0,(EC118*EC119+EC120*EC121*6)/EC119)</f>
        <v>0</v>
      </c>
      <c r="ED117" s="1093">
        <f>IF(EB117=0,0,(EC117-EB117)/EB117*100)</f>
        <v>0</v>
      </c>
      <c r="EE117" s="2846">
        <f>IF(EE119=0,0,(EE118*EE119+EE120*EE121*6)/EE119)</f>
        <v>0</v>
      </c>
      <c r="EF117" s="2846">
        <f>IF(EF119=0,0,(EF118*EF119+EF120*EF121*6)/EF119)</f>
        <v>0</v>
      </c>
      <c r="EG117" s="1093">
        <f>IF(EE117=0,0,(EF117-EE117)/EE117*100)</f>
        <v>0</v>
      </c>
      <c r="EH117" s="2846">
        <f>IF(EH119=0,0,(EH118*EH119+EH120*EH121*6)/EH119)</f>
        <v>0</v>
      </c>
      <c r="EI117" s="2846">
        <f>IF(EI119=0,0,(EI118*EI119+EI120*EI121*6)/EI119)</f>
        <v>0</v>
      </c>
      <c r="EJ117" s="1093">
        <f>IF(EH117=0,0,(EI117-EH117)/EH117*100)</f>
        <v>0</v>
      </c>
      <c r="EK117" s="2846">
        <f>IF(EK119=0,0,(EK118*EK119+EK120*EK121*6)/EK119)</f>
        <v>0</v>
      </c>
      <c r="EL117" s="2846">
        <f>IF(EL119=0,0,(EL118*EL119+EL120*EL121*6)/EL119)</f>
        <v>0</v>
      </c>
      <c r="EM117" s="1093">
        <f>IF(EK117=0,0,(EL117-EK117)/EK117*100)</f>
        <v>0</v>
      </c>
      <c r="EN117" s="2846">
        <f>IF(EN119=0,0,(EN118*EN119+EN120*EN121*6)/EN119)</f>
        <v>0</v>
      </c>
      <c r="EO117" s="2846">
        <f>IF(EO119=0,0,(EO118*EO119+EO120*EO121*6)/EO119)</f>
        <v>0</v>
      </c>
      <c r="EP117" s="1093">
        <f>IF(EN117=0,0,(EO117-EN117)/EN117*100)</f>
        <v>0</v>
      </c>
      <c r="EQ117" s="2846">
        <f>IF(EQ119=0,0,(EQ118*EQ119+EQ120*EQ121*6)/EQ119)</f>
        <v>0</v>
      </c>
      <c r="ER117" s="2846">
        <f>IF(ER119=0,0,(ER118*ER119+ER120*ER121*6)/ER119)</f>
        <v>0</v>
      </c>
      <c r="ES117" s="1093">
        <f>IF(EQ117=0,0,(ER117-EQ117)/EQ117*100)</f>
        <v>0</v>
      </c>
      <c r="ET117" s="2846">
        <f>IF(ET119=0,0,(ET118*ET119+ET120*ET121*6)/ET119)</f>
        <v>0</v>
      </c>
      <c r="EU117" s="2846">
        <f>IF(EU119=0,0,(EU118*EU119+EU120*EU121*6)/EU119)</f>
        <v>0</v>
      </c>
      <c r="EV117" s="1093">
        <f>IF(ET117=0,0,(EU117-ET117)/ET117*100)</f>
        <v>0</v>
      </c>
      <c r="EW117" s="2846">
        <f>IF(EW119=0,0,(EW118*EW119+EW120*EW121*6)/EW119)</f>
        <v>0</v>
      </c>
      <c r="EX117" s="2846">
        <f>IF(EX119=0,0,(EX118*EX119+EX120*EX121*6)/EX119)</f>
        <v>0</v>
      </c>
      <c r="EY117" s="1093">
        <f>IF(EW117=0,0,(EX117-EW117)/EW117*100)</f>
        <v>0</v>
      </c>
      <c r="EZ117" s="2846">
        <f>IF(EZ119=0,0,(EZ118*EZ119+EZ120*EZ121*6)/EZ119)</f>
        <v>0</v>
      </c>
      <c r="FA117" s="2846">
        <f>IF(FA119=0,0,(FA118*FA119+FA120*FA121*6)/FA119)</f>
        <v>0</v>
      </c>
      <c r="FB117" s="1093">
        <f>IF(EZ117=0,0,(FA117-EZ117)/EZ117*100)</f>
        <v>0</v>
      </c>
      <c r="FC117" s="2846">
        <f>IF(FC119=0,0,(FC118*FC119+FC120*FC121*6)/FC119)</f>
        <v>0</v>
      </c>
      <c r="FD117" s="2846">
        <f>IF(FD119=0,0,(FD118*FD119+FD120*FD121*6)/FD119)</f>
        <v>0</v>
      </c>
      <c r="FE117" s="1093">
        <f>IF(FC117=0,0,(FD117-FC117)/FC117*100)</f>
        <v>0</v>
      </c>
      <c r="FF117" s="2846">
        <f>IF(FF119=0,0,(FF118*FF119+FF120*FF121*6)/FF119)</f>
        <v>0</v>
      </c>
      <c r="FG117" s="2846">
        <f>IF(FG119=0,0,(FG118*FG119+FG120*FG121*6)/FG119)</f>
        <v>0</v>
      </c>
      <c r="FH117" s="1093">
        <f>IF(FF117=0,0,(FG117-FF117)/FF117*100)</f>
        <v>0</v>
      </c>
      <c r="FI117" s="2846">
        <f>IF(FI119=0,0,(FI118*FI119+FI120*FI121*6)/FI119)</f>
        <v>0</v>
      </c>
      <c r="FJ117" s="2846">
        <f>IF(FJ119=0,0,(FJ118*FJ119+FJ120*FJ121*6)/FJ119)</f>
        <v>0</v>
      </c>
      <c r="FK117" s="1093">
        <f>IF(FI117=0,0,(FJ117-FI117)/FI117*100)</f>
        <v>0</v>
      </c>
      <c r="FL117" s="2846">
        <f>IF(FL119=0,0,(FL118*FL119+FL120*FL121*6)/FL119)</f>
        <v>0</v>
      </c>
      <c r="FM117" s="2846">
        <f>IF(FM119=0,0,(FM118*FM119+FM120*FM121*6)/FM119)</f>
        <v>0</v>
      </c>
      <c r="FN117" s="1093">
        <f>IF(FL117=0,0,(FM117-FL117)/FL117*100)</f>
        <v>0</v>
      </c>
      <c r="FO117" s="2846">
        <f>IF(FO119=0,0,(FO118*FO119+FO120*FO121*6)/FO119)</f>
        <v>0</v>
      </c>
      <c r="FP117" s="2846">
        <f>IF(FP119=0,0,(FP118*FP119+FP120*FP121*6)/FP119)</f>
        <v>0</v>
      </c>
      <c r="FQ117" s="1093">
        <f>IF(FO117=0,0,(FP117-FO117)/FO117*100)</f>
        <v>0</v>
      </c>
      <c r="FR117" s="2846">
        <f>IF(FR119=0,0,(FR118*FR119+FR120*FR121*6)/FR119)</f>
        <v>0</v>
      </c>
      <c r="FS117" s="2846">
        <f>IF(FS119=0,0,(FS118*FS119+FS120*FS121*6)/FS119)</f>
        <v>0</v>
      </c>
      <c r="FT117" s="1093">
        <f>IF(FR117=0,0,(FS117-FR117)/FR117*100)</f>
        <v>0</v>
      </c>
      <c r="FU117" s="2846">
        <f>IF(FU119=0,0,(FU118*FU119+FU120*FU121*6)/FU119)</f>
        <v>0</v>
      </c>
      <c r="FV117" s="2846">
        <f>IF(FV119=0,0,(FV118*FV119+FV120*FV121*6)/FV119)</f>
        <v>0</v>
      </c>
      <c r="FW117" s="1093">
        <f>IF(FU117=0,0,(FV117-FU117)/FU117*100)</f>
        <v>0</v>
      </c>
      <c r="FX117" s="1304"/>
      <c r="FY117" s="1304"/>
      <c r="FZ117" s="1055" t="s">
        <v>2384</v>
      </c>
      <c r="GA117" s="1306"/>
      <c r="GB117" s="1306"/>
      <c r="GC117" s="1305"/>
      <c r="GD117" s="1305"/>
    </row>
    <row s="1834" customFormat="1" customHeight="1" ht="14.25" hidden="1">
      <c r="A118" s="493"/>
      <c r="B118" s="925" cm="1" t="str">
        <f t="array" ref="B118:B118">B117</f>
        <v>false</v>
      </c>
      <c r="C118" s="493"/>
      <c r="D118" s="493"/>
      <c r="E118" s="840">
        <v>15</v>
      </c>
      <c r="F118" s="50" cm="1" t="str">
        <f t="array" ref="F118:F118">OFFSET(E118,-1,1)</f>
        <v>1</v>
      </c>
      <c r="G118" s="493"/>
      <c r="H118" s="493" t="s">
        <v>2299</v>
      </c>
      <c r="I118" s="493" t="s">
        <v>2340</v>
      </c>
      <c r="J118" s="493"/>
      <c r="K118" s="493"/>
      <c r="L118" s="493"/>
      <c r="M118" s="493"/>
      <c r="N118" s="493"/>
      <c r="O118" s="493"/>
      <c r="P118" s="493"/>
      <c r="Q118" s="493"/>
      <c r="R118" s="493"/>
      <c r="S118" s="493"/>
      <c r="T118" s="465" cm="1" t="str">
        <f t="array" ref="T118:T118">T117</f>
        <v>true</v>
      </c>
      <c r="U118" s="493"/>
      <c r="V118" s="493"/>
      <c r="W118" s="493"/>
      <c r="X118" s="1596"/>
      <c r="Y118" s="493"/>
      <c r="Z118" s="1545"/>
      <c r="AA118" s="493"/>
      <c r="AB118" s="1091" t="str">
        <f>"ставка платы за "&amp;IF(Q92="Водоснабжение","потребление 1 куб.м холодной воды","объем принятых сточных вод")</f>
        <v>ставка платы за потребление 1 куб.м холодной воды</v>
      </c>
      <c r="AC118" s="864" t="s">
        <v>2337</v>
      </c>
      <c r="AD118" s="2846"/>
      <c r="AE118" s="2846"/>
      <c r="AF118" s="1093">
        <f>IF(AD118=0,0,(AE118-AD118)/AD118*100)</f>
        <v>0</v>
      </c>
      <c r="AG118" s="2846"/>
      <c r="AH118" s="2846"/>
      <c r="AI118" s="1093">
        <f>IF(AG118=0,0,(AH118-AG118)/AG118*100)</f>
        <v>0</v>
      </c>
      <c r="AJ118" s="2846"/>
      <c r="AK118" s="2846"/>
      <c r="AL118" s="1093">
        <f>IF(AJ118=0,0,(AK118-AJ118)/AJ118*100)</f>
        <v>0</v>
      </c>
      <c r="AM118" s="2846"/>
      <c r="AN118" s="2846"/>
      <c r="AO118" s="1093">
        <f>IF(AM118=0,0,(AN118-AM118)/AM118*100)</f>
        <v>0</v>
      </c>
      <c r="AP118" s="2846"/>
      <c r="AQ118" s="2846"/>
      <c r="AR118" s="1093">
        <f>IF(AP118=0,0,(AQ118-AP118)/AP118*100)</f>
        <v>0</v>
      </c>
      <c r="AS118" s="2846"/>
      <c r="AT118" s="2846"/>
      <c r="AU118" s="1093">
        <f>IF(AS118=0,0,(AT118-AS118)/AS118*100)</f>
        <v>0</v>
      </c>
      <c r="AV118" s="2846"/>
      <c r="AW118" s="2846"/>
      <c r="AX118" s="1093">
        <f>IF(AV118=0,0,(AW118-AV118)/AV118*100)</f>
        <v>0</v>
      </c>
      <c r="AY118" s="2846"/>
      <c r="AZ118" s="2846"/>
      <c r="BA118" s="1093">
        <f>IF(AY118=0,0,(AZ118-AY118)/AY118*100)</f>
        <v>0</v>
      </c>
      <c r="BB118" s="2846"/>
      <c r="BC118" s="2846"/>
      <c r="BD118" s="1093">
        <f>IF(BB118=0,0,(BC118-BB118)/BB118*100)</f>
        <v>0</v>
      </c>
      <c r="BE118" s="2846"/>
      <c r="BF118" s="2846"/>
      <c r="BG118" s="1093">
        <f>IF(BE118=0,0,(BF118-BE118)/BE118*100)</f>
        <v>0</v>
      </c>
      <c r="BH118" s="2846"/>
      <c r="BI118" s="2846"/>
      <c r="BJ118" s="1093">
        <f>IF(BH118=0,0,(BI118-BH118)/BH118*100)</f>
        <v>0</v>
      </c>
      <c r="BK118" s="2846"/>
      <c r="BL118" s="2846"/>
      <c r="BM118" s="1093">
        <f>IF(BK118=0,0,(BL118-BK118)/BK118*100)</f>
        <v>0</v>
      </c>
      <c r="BN118" s="2846"/>
      <c r="BO118" s="2846"/>
      <c r="BP118" s="1093">
        <f>IF(BN118=0,0,(BO118-BN118)/BN118*100)</f>
        <v>0</v>
      </c>
      <c r="BQ118" s="2846"/>
      <c r="BR118" s="2846"/>
      <c r="BS118" s="1093">
        <f>IF(BQ118=0,0,(BR118-BQ118)/BQ118*100)</f>
        <v>0</v>
      </c>
      <c r="BT118" s="2846"/>
      <c r="BU118" s="2846"/>
      <c r="BV118" s="1093">
        <f>IF(BT118=0,0,(BU118-BT118)/BT118*100)</f>
        <v>0</v>
      </c>
      <c r="BW118" s="2846"/>
      <c r="BX118" s="2846"/>
      <c r="BY118" s="1093">
        <f>IF(BW118=0,0,(BX118-BW118)/BW118*100)</f>
        <v>0</v>
      </c>
      <c r="BZ118" s="2846"/>
      <c r="CA118" s="2846"/>
      <c r="CB118" s="1093">
        <f>IF(BZ118=0,0,(CA118-BZ118)/BZ118*100)</f>
        <v>0</v>
      </c>
      <c r="CC118" s="2846"/>
      <c r="CD118" s="2846"/>
      <c r="CE118" s="1093">
        <f>IF(CC118=0,0,(CD118-CC118)/CC118*100)</f>
        <v>0</v>
      </c>
      <c r="CF118" s="2846"/>
      <c r="CG118" s="2846"/>
      <c r="CH118" s="1093">
        <f>IF(CF118=0,0,(CG118-CF118)/CF118*100)</f>
        <v>0</v>
      </c>
      <c r="CI118" s="2846"/>
      <c r="CJ118" s="2846"/>
      <c r="CK118" s="1093">
        <f>IF(CI118=0,0,(CJ118-CI118)/CI118*100)</f>
        <v>0</v>
      </c>
      <c r="CL118" s="2846"/>
      <c r="CM118" s="2846"/>
      <c r="CN118" s="1093">
        <f>IF(CL118=0,0,(CM118-CL118)/CL118*100)</f>
        <v>0</v>
      </c>
      <c r="CO118" s="2846"/>
      <c r="CP118" s="2846"/>
      <c r="CQ118" s="1093">
        <f>IF(CO118=0,0,(CP118-CO118)/CO118*100)</f>
        <v>0</v>
      </c>
      <c r="CR118" s="2846"/>
      <c r="CS118" s="2846"/>
      <c r="CT118" s="1093">
        <f>IF(CR118=0,0,(CS118-CR118)/CR118*100)</f>
        <v>0</v>
      </c>
      <c r="CU118" s="2846"/>
      <c r="CV118" s="2846"/>
      <c r="CW118" s="1093">
        <f>IF(CU118=0,0,(CV118-CU118)/CU118*100)</f>
        <v>0</v>
      </c>
      <c r="CX118" s="2846"/>
      <c r="CY118" s="2846"/>
      <c r="CZ118" s="1093">
        <f>IF(CX118=0,0,(CY118-CX118)/CX118*100)</f>
        <v>0</v>
      </c>
      <c r="DA118" s="2846"/>
      <c r="DB118" s="2846"/>
      <c r="DC118" s="1093">
        <f>IF(DA118=0,0,(DB118-DA118)/DA118*100)</f>
        <v>0</v>
      </c>
      <c r="DD118" s="2846"/>
      <c r="DE118" s="2846"/>
      <c r="DF118" s="1093">
        <f>IF(DD118=0,0,(DE118-DD118)/DD118*100)</f>
        <v>0</v>
      </c>
      <c r="DG118" s="2846"/>
      <c r="DH118" s="2846"/>
      <c r="DI118" s="1093">
        <f>IF(DG118=0,0,(DH118-DG118)/DG118*100)</f>
        <v>0</v>
      </c>
      <c r="DJ118" s="2846"/>
      <c r="DK118" s="2846"/>
      <c r="DL118" s="1093">
        <f>IF(DJ118=0,0,(DK118-DJ118)/DJ118*100)</f>
        <v>0</v>
      </c>
      <c r="DM118" s="2846"/>
      <c r="DN118" s="2846"/>
      <c r="DO118" s="1093">
        <f>IF(DM118=0,0,(DN118-DM118)/DM118*100)</f>
        <v>0</v>
      </c>
      <c r="DP118" s="2846"/>
      <c r="DQ118" s="2846"/>
      <c r="DR118" s="1093">
        <f>IF(DP118=0,0,(DQ118-DP118)/DP118*100)</f>
        <v>0</v>
      </c>
      <c r="DS118" s="2846"/>
      <c r="DT118" s="2846"/>
      <c r="DU118" s="1093">
        <f>IF(DS118=0,0,(DT118-DS118)/DS118*100)</f>
        <v>0</v>
      </c>
      <c r="DV118" s="2846"/>
      <c r="DW118" s="2846"/>
      <c r="DX118" s="1093">
        <f>IF(DV118=0,0,(DW118-DV118)/DV118*100)</f>
        <v>0</v>
      </c>
      <c r="DY118" s="2846"/>
      <c r="DZ118" s="2846"/>
      <c r="EA118" s="1093">
        <f>IF(DY118=0,0,(DZ118-DY118)/DY118*100)</f>
        <v>0</v>
      </c>
      <c r="EB118" s="2846"/>
      <c r="EC118" s="2846"/>
      <c r="ED118" s="1093">
        <f>IF(EB118=0,0,(EC118-EB118)/EB118*100)</f>
        <v>0</v>
      </c>
      <c r="EE118" s="2846"/>
      <c r="EF118" s="2846"/>
      <c r="EG118" s="1093">
        <f>IF(EE118=0,0,(EF118-EE118)/EE118*100)</f>
        <v>0</v>
      </c>
      <c r="EH118" s="2846"/>
      <c r="EI118" s="2846"/>
      <c r="EJ118" s="1093">
        <f>IF(EH118=0,0,(EI118-EH118)/EH118*100)</f>
        <v>0</v>
      </c>
      <c r="EK118" s="2846"/>
      <c r="EL118" s="2846"/>
      <c r="EM118" s="1093">
        <f>IF(EK118=0,0,(EL118-EK118)/EK118*100)</f>
        <v>0</v>
      </c>
      <c r="EN118" s="2846"/>
      <c r="EO118" s="2846"/>
      <c r="EP118" s="1093">
        <f>IF(EN118=0,0,(EO118-EN118)/EN118*100)</f>
        <v>0</v>
      </c>
      <c r="EQ118" s="2846"/>
      <c r="ER118" s="2846"/>
      <c r="ES118" s="1093">
        <f>IF(EQ118=0,0,(ER118-EQ118)/EQ118*100)</f>
        <v>0</v>
      </c>
      <c r="ET118" s="2846"/>
      <c r="EU118" s="2846"/>
      <c r="EV118" s="1093">
        <f>IF(ET118=0,0,(EU118-ET118)/ET118*100)</f>
        <v>0</v>
      </c>
      <c r="EW118" s="2846"/>
      <c r="EX118" s="2846"/>
      <c r="EY118" s="1093">
        <f>IF(EW118=0,0,(EX118-EW118)/EW118*100)</f>
        <v>0</v>
      </c>
      <c r="EZ118" s="2846"/>
      <c r="FA118" s="2846"/>
      <c r="FB118" s="1093">
        <f>IF(EZ118=0,0,(FA118-EZ118)/EZ118*100)</f>
        <v>0</v>
      </c>
      <c r="FC118" s="2846"/>
      <c r="FD118" s="2846"/>
      <c r="FE118" s="1093">
        <f>IF(FC118=0,0,(FD118-FC118)/FC118*100)</f>
        <v>0</v>
      </c>
      <c r="FF118" s="2846"/>
      <c r="FG118" s="2846"/>
      <c r="FH118" s="1093">
        <f>IF(FF118=0,0,(FG118-FF118)/FF118*100)</f>
        <v>0</v>
      </c>
      <c r="FI118" s="2846"/>
      <c r="FJ118" s="2846"/>
      <c r="FK118" s="1093">
        <f>IF(FI118=0,0,(FJ118-FI118)/FI118*100)</f>
        <v>0</v>
      </c>
      <c r="FL118" s="2846"/>
      <c r="FM118" s="2846"/>
      <c r="FN118" s="1093">
        <f>IF(FL118=0,0,(FM118-FL118)/FL118*100)</f>
        <v>0</v>
      </c>
      <c r="FO118" s="2846"/>
      <c r="FP118" s="2846"/>
      <c r="FQ118" s="1093">
        <f>IF(FO118=0,0,(FP118-FO118)/FO118*100)</f>
        <v>0</v>
      </c>
      <c r="FR118" s="2846"/>
      <c r="FS118" s="2846"/>
      <c r="FT118" s="1093">
        <f>IF(FR118=0,0,(FS118-FR118)/FR118*100)</f>
        <v>0</v>
      </c>
      <c r="FU118" s="2846"/>
      <c r="FV118" s="2846"/>
      <c r="FW118" s="1093">
        <f>IF(FU118=0,0,(FV118-FU118)/FU118*100)</f>
        <v>0</v>
      </c>
      <c r="FX118" s="1304"/>
      <c r="FY118" s="1304"/>
      <c r="FZ118" s="1055" t="s">
        <v>2385</v>
      </c>
      <c r="GA118" s="1306"/>
      <c r="GB118" s="1306"/>
      <c r="GC118" s="1305"/>
      <c r="GD118" s="1305"/>
    </row>
    <row s="1834" customFormat="1" customHeight="1" ht="14.25" hidden="1">
      <c r="A119" s="493"/>
      <c r="B119" s="925" cm="1" t="str">
        <f t="array" ref="B119:B119">B118</f>
        <v>false</v>
      </c>
      <c r="C119" s="493"/>
      <c r="D119" s="493"/>
      <c r="E119" s="840">
        <v>15</v>
      </c>
      <c r="F119" s="50" cm="1" t="str">
        <f t="array" ref="F119:F119">OFFSET(E119,-1,1)</f>
        <v>1</v>
      </c>
      <c r="G119" s="107" t="s">
        <v>2386</v>
      </c>
      <c r="H119" s="493" t="s">
        <v>2374</v>
      </c>
      <c r="I119" s="493" t="s">
        <v>2340</v>
      </c>
      <c r="J119" s="493"/>
      <c r="K119" s="493"/>
      <c r="L119" s="493"/>
      <c r="M119" s="493"/>
      <c r="N119" s="493"/>
      <c r="O119" s="493"/>
      <c r="P119" s="493"/>
      <c r="Q119" s="493"/>
      <c r="R119" s="493"/>
      <c r="S119" s="493"/>
      <c r="T119" s="465" cm="1" t="str">
        <f t="array" ref="T119:T119">T118</f>
        <v>true</v>
      </c>
      <c r="U119" s="493"/>
      <c r="V119" s="493"/>
      <c r="W119" s="493"/>
      <c r="X119" s="1596"/>
      <c r="Y119" s="493"/>
      <c r="Z119" s="1545"/>
      <c r="AA119" s="493"/>
      <c r="AB119" s="1091" t="str">
        <f>"объём "&amp;IF(Q92="Водоснабжение","потребления холодной воды","водоотведения")</f>
        <v>объём потребления холодной воды</v>
      </c>
      <c r="AC119" s="864" t="s">
        <v>1247</v>
      </c>
      <c r="AD119" s="5247">
        <f>IF(AND(method_reg="Метод индексации",god&lt;&gt;first_year),_xlfn.SUMIFS(INDEX('Калькуляция (МИ корр)'!$AJ$25:$BC$747,,MATCH(AD$8,'Калькуляция (МИ корр)'!$AJ$8:$BC$8,0)),'Калькуляция (МИ корр)'!$F$25:$F$747,$F119,'Калькуляция (МИ корр)'!$G$25:$G$747,$G119),IF(method_reg="Метод экономически обоснованных расходов",_xlfn.SUMIFS('Калькуляция (МЭОР)'!$AJ$25:$AJ$452,'Калькуляция (МЭОР)'!$F$25:$F$452,$F119,'Калькуляция (МЭОР)'!$G$25:$G$452,$G119),IF(method_reg="Метод сравнения аналогов",_xlfn.SUMIFS('Калькуляция (МСА)'!$AE$25:$AE$122,'Калькуляция (МСА)'!$F$25:$F$122,$F119,'Калькуляция (МСА)'!$G$25:$G$122,$G119),_xlfn.SUMIFS(INDEX('Калькуляция (МИ)'!$AJ$25:$BC$747,,MATCH(AD$8,'Калькуляция (МИ)'!$AJ$8:$BC$8,0)),'Калькуляция (МИ)'!$F$25:$F$747,$F119,'Калькуляция (МИ)'!$G$25:$G$747,$G119))))</f>
        <v>589.050455</v>
      </c>
      <c r="AE119" s="5247">
        <f>IF(AND(method_reg="Метод индексации",god&lt;&gt;first_year),_xlfn.SUMIFS(INDEX('Калькуляция (МИ корр)'!$AJ$25:$BC$747,,MATCH(AE$8,'Калькуляция (МИ корр)'!$AJ$8:$BC$8,0)),'Калькуляция (МИ корр)'!$F$25:$F$747,$F119,'Калькуляция (МИ корр)'!$G$25:$G$747,$G119),IF(method_reg="Метод экономически обоснованных расходов",_xlfn.SUMIFS('Калькуляция (МЭОР)'!$AK$25:$AK$452,'Калькуляция (МЭОР)'!$F$25:$F$452,$F119,'Калькуляция (МЭОР)'!$G$25:$G$452,$G119),IF(method_reg="Метод сравнения аналогов",_xlfn.SUMIFS('Калькуляция (МСА)'!$AF$25:$AF$122,'Калькуляция (МСА)'!$F$25:$F$122,$F119,'Калькуляция (МСА)'!$G$25:$G$122,$G119),_xlfn.SUMIFS(INDEX('Калькуляция (МИ)'!$AJ$25:$BC$747,,MATCH(AE$8,'Калькуляция (МИ)'!$AJ$8:$BC$8,0)),'Калькуляция (МИ)'!$F$25:$F$747,$F119,'Калькуляция (МИ)'!$G$25:$G$747,$G119))))</f>
        <v>589.050455</v>
      </c>
      <c r="AF119" s="1095">
        <f>IF(AD119=0,0,(AE119-AD119)/AD119*100)</f>
        <v>0</v>
      </c>
      <c r="AG119" s="5247">
        <f>IF(AND(method_reg="Метод индексации",god&lt;&gt;first_year),_xlfn.SUMIFS(INDEX('Калькуляция (МИ корр)'!$AJ$25:$BC$747,,MATCH(AG$8,'Калькуляция (МИ корр)'!$AJ$8:$BC$8,0)),'Калькуляция (МИ корр)'!$F$25:$F$747,$F119,'Калькуляция (МИ корр)'!$G$25:$G$747,$G119),IF(method_reg="Метод экономически обоснованных расходов",_xlfn.SUMIFS('Калькуляция (МЭОР)'!$AJ$25:$AJ$452,'Калькуляция (МЭОР)'!$F$25:$F$452,$F119,'Калькуляция (МЭОР)'!$G$25:$G$452,$G119),IF(method_reg="Метод сравнения аналогов",_xlfn.SUMIFS('Калькуляция (МСА)'!$AE$25:$AE$122,'Калькуляция (МСА)'!$F$25:$F$122,$F119,'Калькуляция (МСА)'!$G$25:$G$122,$G119),_xlfn.SUMIFS(INDEX('Калькуляция (МИ)'!$AJ$25:$BC$747,,MATCH(AG$8,'Калькуляция (МИ)'!$AJ$8:$BC$8,0)),'Калькуляция (МИ)'!$F$25:$F$747,$F119,'Калькуляция (МИ)'!$G$25:$G$747,$G119))))</f>
        <v>1178.10091</v>
      </c>
      <c r="AH119" s="5247">
        <f>IF(AND(method_reg="Метод индексации",god&lt;&gt;first_year),_xlfn.SUMIFS(INDEX('Калькуляция (МИ корр)'!$AJ$25:$BC$747,,MATCH(AH$8,'Калькуляция (МИ корр)'!$AJ$8:$BC$8,0)),'Калькуляция (МИ корр)'!$F$25:$F$747,$F119,'Калькуляция (МИ корр)'!$G$25:$G$747,$G119),IF(method_reg="Метод экономически обоснованных расходов",_xlfn.SUMIFS('Калькуляция (МЭОР)'!$AK$25:$AK$452,'Калькуляция (МЭОР)'!$F$25:$F$452,$F119,'Калькуляция (МЭОР)'!$G$25:$G$452,$G119),IF(method_reg="Метод сравнения аналогов",_xlfn.SUMIFS('Калькуляция (МСА)'!$AF$25:$AF$122,'Калькуляция (МСА)'!$F$25:$F$122,$F119,'Калькуляция (МСА)'!$G$25:$G$122,$G119),_xlfn.SUMIFS(INDEX('Калькуляция (МИ)'!$AJ$25:$BC$747,,MATCH(AH$8,'Калькуляция (МИ)'!$AJ$8:$BC$8,0)),'Калькуляция (МИ)'!$F$25:$F$747,$F119,'Калькуляция (МИ)'!$G$25:$G$747,$G119))))</f>
        <v>1178.10091</v>
      </c>
      <c r="AI119" s="1095">
        <f>IF(AG119=0,0,(AH119-AG119)/AG119*100)</f>
        <v>0</v>
      </c>
      <c r="AJ119" s="5247">
        <f>IF(AND(method_reg="Метод индексации",god&lt;&gt;first_year),_xlfn.SUMIFS(INDEX('Калькуляция (МИ корр)'!$AJ$25:$BC$747,,MATCH(AJ$8,'Калькуляция (МИ корр)'!$AJ$8:$BC$8,0)),'Калькуляция (МИ корр)'!$F$25:$F$747,$F119,'Калькуляция (МИ корр)'!$G$25:$G$747,$G119),IF(method_reg="Метод экономически обоснованных расходов",_xlfn.SUMIFS('Калькуляция (МЭОР)'!$AJ$25:$AJ$452,'Калькуляция (МЭОР)'!$F$25:$F$452,$F119,'Калькуляция (МЭОР)'!$G$25:$G$452,$G119),IF(method_reg="Метод сравнения аналогов",_xlfn.SUMIFS('Калькуляция (МСА)'!$AE$25:$AE$122,'Калькуляция (МСА)'!$F$25:$F$122,$F119,'Калькуляция (МСА)'!$G$25:$G$122,$G119),_xlfn.SUMIFS(INDEX('Калькуляция (МИ)'!$AJ$25:$BC$747,,MATCH(AJ$8,'Калькуляция (МИ)'!$AJ$8:$BC$8,0)),'Калькуляция (МИ)'!$F$25:$F$747,$F119,'Калькуляция (МИ)'!$G$25:$G$747,$G119))))</f>
        <v>1178.10091</v>
      </c>
      <c r="AK119" s="5247">
        <f>IF(AND(method_reg="Метод индексации",god&lt;&gt;first_year),_xlfn.SUMIFS(INDEX('Калькуляция (МИ корр)'!$AJ$25:$BC$747,,MATCH(AK$8,'Калькуляция (МИ корр)'!$AJ$8:$BC$8,0)),'Калькуляция (МИ корр)'!$F$25:$F$747,$F119,'Калькуляция (МИ корр)'!$G$25:$G$747,$G119),IF(method_reg="Метод экономически обоснованных расходов",_xlfn.SUMIFS('Калькуляция (МЭОР)'!$AK$25:$AK$452,'Калькуляция (МЭОР)'!$F$25:$F$452,$F119,'Калькуляция (МЭОР)'!$G$25:$G$452,$G119),IF(method_reg="Метод сравнения аналогов",_xlfn.SUMIFS('Калькуляция (МСА)'!$AF$25:$AF$122,'Калькуляция (МСА)'!$F$25:$F$122,$F119,'Калькуляция (МСА)'!$G$25:$G$122,$G119),_xlfn.SUMIFS(INDEX('Калькуляция (МИ)'!$AJ$25:$BC$747,,MATCH(AK$8,'Калькуляция (МИ)'!$AJ$8:$BC$8,0)),'Калькуляция (МИ)'!$F$25:$F$747,$F119,'Калькуляция (МИ)'!$G$25:$G$747,$G119))))</f>
        <v>1178.10091</v>
      </c>
      <c r="AL119" s="1095">
        <f>IF(AJ119=0,0,(AK119-AJ119)/AJ119*100)</f>
        <v>0</v>
      </c>
      <c r="AM119" s="5247">
        <f>IF(AND(method_reg="Метод индексации",god&lt;&gt;first_year),_xlfn.SUMIFS(INDEX('Калькуляция (МИ корр)'!$AJ$25:$BC$747,,MATCH(AM$8,'Калькуляция (МИ корр)'!$AJ$8:$BC$8,0)),'Калькуляция (МИ корр)'!$F$25:$F$747,$F119,'Калькуляция (МИ корр)'!$G$25:$G$747,$G119),IF(method_reg="Метод экономически обоснованных расходов",_xlfn.SUMIFS('Калькуляция (МЭОР)'!$AJ$25:$AJ$452,'Калькуляция (МЭОР)'!$F$25:$F$452,$F119,'Калькуляция (МЭОР)'!$G$25:$G$452,$G119),IF(method_reg="Метод сравнения аналогов",_xlfn.SUMIFS('Калькуляция (МСА)'!$AE$25:$AE$122,'Калькуляция (МСА)'!$F$25:$F$122,$F119,'Калькуляция (МСА)'!$G$25:$G$122,$G119),_xlfn.SUMIFS(INDEX('Калькуляция (МИ)'!$AJ$25:$BC$747,,MATCH(AM$8,'Калькуляция (МИ)'!$AJ$8:$BC$8,0)),'Калькуляция (МИ)'!$F$25:$F$747,$F119,'Калькуляция (МИ)'!$G$25:$G$747,$G119))))</f>
        <v>1178.10091</v>
      </c>
      <c r="AN119" s="5247">
        <f>IF(AND(method_reg="Метод индексации",god&lt;&gt;first_year),_xlfn.SUMIFS(INDEX('Калькуляция (МИ корр)'!$AJ$25:$BC$747,,MATCH(AN$8,'Калькуляция (МИ корр)'!$AJ$8:$BC$8,0)),'Калькуляция (МИ корр)'!$F$25:$F$747,$F119,'Калькуляция (МИ корр)'!$G$25:$G$747,$G119),IF(method_reg="Метод экономически обоснованных расходов",_xlfn.SUMIFS('Калькуляция (МЭОР)'!$AK$25:$AK$452,'Калькуляция (МЭОР)'!$F$25:$F$452,$F119,'Калькуляция (МЭОР)'!$G$25:$G$452,$G119),IF(method_reg="Метод сравнения аналогов",_xlfn.SUMIFS('Калькуляция (МСА)'!$AF$25:$AF$122,'Калькуляция (МСА)'!$F$25:$F$122,$F119,'Калькуляция (МСА)'!$G$25:$G$122,$G119),_xlfn.SUMIFS(INDEX('Калькуляция (МИ)'!$AJ$25:$BC$747,,MATCH(AN$8,'Калькуляция (МИ)'!$AJ$8:$BC$8,0)),'Калькуляция (МИ)'!$F$25:$F$747,$F119,'Калькуляция (МИ)'!$G$25:$G$747,$G119))))</f>
        <v>1178.10091</v>
      </c>
      <c r="AO119" s="1095">
        <f>IF(AM119=0,0,(AN119-AM119)/AM119*100)</f>
        <v>0</v>
      </c>
      <c r="AP119" s="5247">
        <f>IF(AND(method_reg="Метод индексации",god&lt;&gt;first_year),_xlfn.SUMIFS(INDEX('Калькуляция (МИ корр)'!$AJ$25:$BC$747,,MATCH(AP$8,'Калькуляция (МИ корр)'!$AJ$8:$BC$8,0)),'Калькуляция (МИ корр)'!$F$25:$F$747,$F119,'Калькуляция (МИ корр)'!$G$25:$G$747,$G119),IF(method_reg="Метод экономически обоснованных расходов",_xlfn.SUMIFS('Калькуляция (МЭОР)'!$AJ$25:$AJ$452,'Калькуляция (МЭОР)'!$F$25:$F$452,$F119,'Калькуляция (МЭОР)'!$G$25:$G$452,$G119),IF(method_reg="Метод сравнения аналогов",_xlfn.SUMIFS('Калькуляция (МСА)'!$AE$25:$AE$122,'Калькуляция (МСА)'!$F$25:$F$122,$F119,'Калькуляция (МСА)'!$G$25:$G$122,$G119),_xlfn.SUMIFS(INDEX('Калькуляция (МИ)'!$AJ$25:$BC$747,,MATCH(AP$8,'Калькуляция (МИ)'!$AJ$8:$BC$8,0)),'Калькуляция (МИ)'!$F$25:$F$747,$F119,'Калькуляция (МИ)'!$G$25:$G$747,$G119))))</f>
        <v>1178.10091</v>
      </c>
      <c r="AQ119" s="5247">
        <f>IF(AND(method_reg="Метод индексации",god&lt;&gt;first_year),_xlfn.SUMIFS(INDEX('Калькуляция (МИ корр)'!$AJ$25:$BC$747,,MATCH(AQ$8,'Калькуляция (МИ корр)'!$AJ$8:$BC$8,0)),'Калькуляция (МИ корр)'!$F$25:$F$747,$F119,'Калькуляция (МИ корр)'!$G$25:$G$747,$G119),IF(method_reg="Метод экономически обоснованных расходов",_xlfn.SUMIFS('Калькуляция (МЭОР)'!$AK$25:$AK$452,'Калькуляция (МЭОР)'!$F$25:$F$452,$F119,'Калькуляция (МЭОР)'!$G$25:$G$452,$G119),IF(method_reg="Метод сравнения аналогов",_xlfn.SUMIFS('Калькуляция (МСА)'!$AF$25:$AF$122,'Калькуляция (МСА)'!$F$25:$F$122,$F119,'Калькуляция (МСА)'!$G$25:$G$122,$G119),_xlfn.SUMIFS(INDEX('Калькуляция (МИ)'!$AJ$25:$BC$747,,MATCH(AQ$8,'Калькуляция (МИ)'!$AJ$8:$BC$8,0)),'Калькуляция (МИ)'!$F$25:$F$747,$F119,'Калькуляция (МИ)'!$G$25:$G$747,$G119))))</f>
        <v>1178.10091</v>
      </c>
      <c r="AR119" s="1095">
        <f>IF(AP119=0,0,(AQ119-AP119)/AP119*100)</f>
        <v>0</v>
      </c>
      <c r="AS119" s="5247">
        <f>IF(AND(method_reg="Метод индексации",god&lt;&gt;first_year),_xlfn.SUMIFS(INDEX('Калькуляция (МИ корр)'!$AJ$25:$BC$747,,MATCH(AS$8,'Калькуляция (МИ корр)'!$AJ$8:$BC$8,0)),'Калькуляция (МИ корр)'!$F$25:$F$747,$F119,'Калькуляция (МИ корр)'!$G$25:$G$747,$G119),IF(method_reg="Метод экономически обоснованных расходов",_xlfn.SUMIFS('Калькуляция (МЭОР)'!$AJ$25:$AJ$452,'Калькуляция (МЭОР)'!$F$25:$F$452,$F119,'Калькуляция (МЭОР)'!$G$25:$G$452,$G119),IF(method_reg="Метод сравнения аналогов",_xlfn.SUMIFS('Калькуляция (МСА)'!$AE$25:$AE$122,'Калькуляция (МСА)'!$F$25:$F$122,$F119,'Калькуляция (МСА)'!$G$25:$G$122,$G119),_xlfn.SUMIFS(INDEX('Калькуляция (МИ)'!$AJ$25:$BC$747,,MATCH(AS$8,'Калькуляция (МИ)'!$AJ$8:$BC$8,0)),'Калькуляция (МИ)'!$F$25:$F$747,$F119,'Калькуляция (МИ)'!$G$25:$G$747,$G119))))</f>
        <v>0</v>
      </c>
      <c r="AT119" s="5247">
        <f>IF(AND(method_reg="Метод индексации",god&lt;&gt;first_year),_xlfn.SUMIFS(INDEX('Калькуляция (МИ корр)'!$AJ$25:$BC$747,,MATCH(AT$8,'Калькуляция (МИ корр)'!$AJ$8:$BC$8,0)),'Калькуляция (МИ корр)'!$F$25:$F$747,$F119,'Калькуляция (МИ корр)'!$G$25:$G$747,$G119),IF(method_reg="Метод экономически обоснованных расходов",_xlfn.SUMIFS('Калькуляция (МЭОР)'!$AK$25:$AK$452,'Калькуляция (МЭОР)'!$F$25:$F$452,$F119,'Калькуляция (МЭОР)'!$G$25:$G$452,$G119),IF(method_reg="Метод сравнения аналогов",_xlfn.SUMIFS('Калькуляция (МСА)'!$AF$25:$AF$122,'Калькуляция (МСА)'!$F$25:$F$122,$F119,'Калькуляция (МСА)'!$G$25:$G$122,$G119),_xlfn.SUMIFS(INDEX('Калькуляция (МИ)'!$AJ$25:$BC$747,,MATCH(AT$8,'Калькуляция (МИ)'!$AJ$8:$BC$8,0)),'Калькуляция (МИ)'!$F$25:$F$747,$F119,'Калькуляция (МИ)'!$G$25:$G$747,$G119))))</f>
        <v>0</v>
      </c>
      <c r="AU119" s="1095">
        <f>IF(AS119=0,0,(AT119-AS119)/AS119*100)</f>
        <v>0</v>
      </c>
      <c r="AV119" s="5247">
        <f>IF(AND(method_reg="Метод индексации",god&lt;&gt;first_year),_xlfn.SUMIFS(INDEX('Калькуляция (МИ корр)'!$AJ$25:$BC$747,,MATCH(AV$8,'Калькуляция (МИ корр)'!$AJ$8:$BC$8,0)),'Калькуляция (МИ корр)'!$F$25:$F$747,$F119,'Калькуляция (МИ корр)'!$G$25:$G$747,$G119),IF(method_reg="Метод экономически обоснованных расходов",_xlfn.SUMIFS('Калькуляция (МЭОР)'!$AJ$25:$AJ$452,'Калькуляция (МЭОР)'!$F$25:$F$452,$F119,'Калькуляция (МЭОР)'!$G$25:$G$452,$G119),IF(method_reg="Метод сравнения аналогов",_xlfn.SUMIFS('Калькуляция (МСА)'!$AE$25:$AE$122,'Калькуляция (МСА)'!$F$25:$F$122,$F119,'Калькуляция (МСА)'!$G$25:$G$122,$G119),_xlfn.SUMIFS(INDEX('Калькуляция (МИ)'!$AJ$25:$BC$747,,MATCH(AV$8,'Калькуляция (МИ)'!$AJ$8:$BC$8,0)),'Калькуляция (МИ)'!$F$25:$F$747,$F119,'Калькуляция (МИ)'!$G$25:$G$747,$G119))))</f>
        <v>0</v>
      </c>
      <c r="AW119" s="5247">
        <f>IF(AND(method_reg="Метод индексации",god&lt;&gt;first_year),_xlfn.SUMIFS(INDEX('Калькуляция (МИ корр)'!$AJ$25:$BC$747,,MATCH(AW$8,'Калькуляция (МИ корр)'!$AJ$8:$BC$8,0)),'Калькуляция (МИ корр)'!$F$25:$F$747,$F119,'Калькуляция (МИ корр)'!$G$25:$G$747,$G119),IF(method_reg="Метод экономически обоснованных расходов",_xlfn.SUMIFS('Калькуляция (МЭОР)'!$AK$25:$AK$452,'Калькуляция (МЭОР)'!$F$25:$F$452,$F119,'Калькуляция (МЭОР)'!$G$25:$G$452,$G119),IF(method_reg="Метод сравнения аналогов",_xlfn.SUMIFS('Калькуляция (МСА)'!$AF$25:$AF$122,'Калькуляция (МСА)'!$F$25:$F$122,$F119,'Калькуляция (МСА)'!$G$25:$G$122,$G119),_xlfn.SUMIFS(INDEX('Калькуляция (МИ)'!$AJ$25:$BC$747,,MATCH(AW$8,'Калькуляция (МИ)'!$AJ$8:$BC$8,0)),'Калькуляция (МИ)'!$F$25:$F$747,$F119,'Калькуляция (МИ)'!$G$25:$G$747,$G119))))</f>
        <v>0</v>
      </c>
      <c r="AX119" s="1095">
        <f>IF(AV119=0,0,(AW119-AV119)/AV119*100)</f>
        <v>0</v>
      </c>
      <c r="AY119" s="5247">
        <f>IF(AND(method_reg="Метод индексации",god&lt;&gt;first_year),_xlfn.SUMIFS(INDEX('Калькуляция (МИ корр)'!$AJ$25:$BC$747,,MATCH(AY$8,'Калькуляция (МИ корр)'!$AJ$8:$BC$8,0)),'Калькуляция (МИ корр)'!$F$25:$F$747,$F119,'Калькуляция (МИ корр)'!$G$25:$G$747,$G119),IF(method_reg="Метод экономически обоснованных расходов",_xlfn.SUMIFS('Калькуляция (МЭОР)'!$AJ$25:$AJ$452,'Калькуляция (МЭОР)'!$F$25:$F$452,$F119,'Калькуляция (МЭОР)'!$G$25:$G$452,$G119),IF(method_reg="Метод сравнения аналогов",_xlfn.SUMIFS('Калькуляция (МСА)'!$AE$25:$AE$122,'Калькуляция (МСА)'!$F$25:$F$122,$F119,'Калькуляция (МСА)'!$G$25:$G$122,$G119),_xlfn.SUMIFS(INDEX('Калькуляция (МИ)'!$AJ$25:$BC$747,,MATCH(AY$8,'Калькуляция (МИ)'!$AJ$8:$BC$8,0)),'Калькуляция (МИ)'!$F$25:$F$747,$F119,'Калькуляция (МИ)'!$G$25:$G$747,$G119))))</f>
        <v>0</v>
      </c>
      <c r="AZ119" s="5247">
        <f>IF(AND(method_reg="Метод индексации",god&lt;&gt;first_year),_xlfn.SUMIFS(INDEX('Калькуляция (МИ корр)'!$AJ$25:$BC$747,,MATCH(AZ$8,'Калькуляция (МИ корр)'!$AJ$8:$BC$8,0)),'Калькуляция (МИ корр)'!$F$25:$F$747,$F119,'Калькуляция (МИ корр)'!$G$25:$G$747,$G119),IF(method_reg="Метод экономически обоснованных расходов",_xlfn.SUMIFS('Калькуляция (МЭОР)'!$AK$25:$AK$452,'Калькуляция (МЭОР)'!$F$25:$F$452,$F119,'Калькуляция (МЭОР)'!$G$25:$G$452,$G119),IF(method_reg="Метод сравнения аналогов",_xlfn.SUMIFS('Калькуляция (МСА)'!$AF$25:$AF$122,'Калькуляция (МСА)'!$F$25:$F$122,$F119,'Калькуляция (МСА)'!$G$25:$G$122,$G119),_xlfn.SUMIFS(INDEX('Калькуляция (МИ)'!$AJ$25:$BC$747,,MATCH(AZ$8,'Калькуляция (МИ)'!$AJ$8:$BC$8,0)),'Калькуляция (МИ)'!$F$25:$F$747,$F119,'Калькуляция (МИ)'!$G$25:$G$747,$G119))))</f>
        <v>0</v>
      </c>
      <c r="BA119" s="1095">
        <f>IF(AY119=0,0,(AZ119-AY119)/AY119*100)</f>
        <v>0</v>
      </c>
      <c r="BB119" s="5247">
        <f>IF(AND(method_reg="Метод индексации",god&lt;&gt;first_year),_xlfn.SUMIFS(INDEX('Калькуляция (МИ корр)'!$AJ$25:$BC$747,,MATCH(BB$8,'Калькуляция (МИ корр)'!$AJ$8:$BC$8,0)),'Калькуляция (МИ корр)'!$F$25:$F$747,$F119,'Калькуляция (МИ корр)'!$G$25:$G$747,$G119),IF(method_reg="Метод экономически обоснованных расходов",_xlfn.SUMIFS('Калькуляция (МЭОР)'!$AJ$25:$AJ$452,'Калькуляция (МЭОР)'!$F$25:$F$452,$F119,'Калькуляция (МЭОР)'!$G$25:$G$452,$G119),IF(method_reg="Метод сравнения аналогов",_xlfn.SUMIFS('Калькуляция (МСА)'!$AE$25:$AE$122,'Калькуляция (МСА)'!$F$25:$F$122,$F119,'Калькуляция (МСА)'!$G$25:$G$122,$G119),_xlfn.SUMIFS(INDEX('Калькуляция (МИ)'!$AJ$25:$BC$747,,MATCH(BB$8,'Калькуляция (МИ)'!$AJ$8:$BC$8,0)),'Калькуляция (МИ)'!$F$25:$F$747,$F119,'Калькуляция (МИ)'!$G$25:$G$747,$G119))))</f>
        <v>0</v>
      </c>
      <c r="BC119" s="5247">
        <f>IF(AND(method_reg="Метод индексации",god&lt;&gt;first_year),_xlfn.SUMIFS(INDEX('Калькуляция (МИ корр)'!$AJ$25:$BC$747,,MATCH(BC$8,'Калькуляция (МИ корр)'!$AJ$8:$BC$8,0)),'Калькуляция (МИ корр)'!$F$25:$F$747,$F119,'Калькуляция (МИ корр)'!$G$25:$G$747,$G119),IF(method_reg="Метод экономически обоснованных расходов",_xlfn.SUMIFS('Калькуляция (МЭОР)'!$AK$25:$AK$452,'Калькуляция (МЭОР)'!$F$25:$F$452,$F119,'Калькуляция (МЭОР)'!$G$25:$G$452,$G119),IF(method_reg="Метод сравнения аналогов",_xlfn.SUMIFS('Калькуляция (МСА)'!$AF$25:$AF$122,'Калькуляция (МСА)'!$F$25:$F$122,$F119,'Калькуляция (МСА)'!$G$25:$G$122,$G119),_xlfn.SUMIFS(INDEX('Калькуляция (МИ)'!$AJ$25:$BC$747,,MATCH(BC$8,'Калькуляция (МИ)'!$AJ$8:$BC$8,0)),'Калькуляция (МИ)'!$F$25:$F$747,$F119,'Калькуляция (МИ)'!$G$25:$G$747,$G119))))</f>
        <v>0</v>
      </c>
      <c r="BD119" s="1095">
        <f>IF(BB119=0,0,(BC119-BB119)/BB119*100)</f>
        <v>0</v>
      </c>
      <c r="BE119" s="5247">
        <f>IF(AND(method_reg="Метод индексации",god&lt;&gt;first_year),_xlfn.SUMIFS(INDEX('Калькуляция (МИ корр)'!$AJ$25:$BC$747,,MATCH(BE$8,'Калькуляция (МИ корр)'!$AJ$8:$BC$8,0)),'Калькуляция (МИ корр)'!$F$25:$F$747,$F119,'Калькуляция (МИ корр)'!$G$25:$G$747,$G119),IF(method_reg="Метод экономически обоснованных расходов",_xlfn.SUMIFS('Калькуляция (МЭОР)'!$AJ$25:$AJ$452,'Калькуляция (МЭОР)'!$F$25:$F$452,$F119,'Калькуляция (МЭОР)'!$G$25:$G$452,$G119),IF(method_reg="Метод сравнения аналогов",_xlfn.SUMIFS('Калькуляция (МСА)'!$AE$25:$AE$122,'Калькуляция (МСА)'!$F$25:$F$122,$F119,'Калькуляция (МСА)'!$G$25:$G$122,$G119),_xlfn.SUMIFS(INDEX('Калькуляция (МИ)'!$AJ$25:$BC$747,,MATCH(BE$8,'Калькуляция (МИ)'!$AJ$8:$BC$8,0)),'Калькуляция (МИ)'!$F$25:$F$747,$F119,'Калькуляция (МИ)'!$G$25:$G$747,$G119))))</f>
        <v>0</v>
      </c>
      <c r="BF119" s="5247">
        <f>IF(AND(method_reg="Метод индексации",god&lt;&gt;first_year),_xlfn.SUMIFS(INDEX('Калькуляция (МИ корр)'!$AJ$25:$BC$747,,MATCH(BF$8,'Калькуляция (МИ корр)'!$AJ$8:$BC$8,0)),'Калькуляция (МИ корр)'!$F$25:$F$747,$F119,'Калькуляция (МИ корр)'!$G$25:$G$747,$G119),IF(method_reg="Метод экономически обоснованных расходов",_xlfn.SUMIFS('Калькуляция (МЭОР)'!$AK$25:$AK$452,'Калькуляция (МЭОР)'!$F$25:$F$452,$F119,'Калькуляция (МЭОР)'!$G$25:$G$452,$G119),IF(method_reg="Метод сравнения аналогов",_xlfn.SUMIFS('Калькуляция (МСА)'!$AF$25:$AF$122,'Калькуляция (МСА)'!$F$25:$F$122,$F119,'Калькуляция (МСА)'!$G$25:$G$122,$G119),_xlfn.SUMIFS(INDEX('Калькуляция (МИ)'!$AJ$25:$BC$747,,MATCH(BF$8,'Калькуляция (МИ)'!$AJ$8:$BC$8,0)),'Калькуляция (МИ)'!$F$25:$F$747,$F119,'Калькуляция (МИ)'!$G$25:$G$747,$G119))))</f>
        <v>0</v>
      </c>
      <c r="BG119" s="1104">
        <f>IF(BE119=0,0,(BF119-BE119)/BE119*100)</f>
        <v>0</v>
      </c>
      <c r="BH119" s="5247"/>
      <c r="BI119" s="5247"/>
      <c r="BJ119" s="1104">
        <f>IF(BH119=0,0,(BI119-BH119)/BH119*100)</f>
        <v>0</v>
      </c>
      <c r="BK119" s="5247"/>
      <c r="BL119" s="5247"/>
      <c r="BM119" s="1104">
        <f>IF(BK119=0,0,(BL119-BK119)/BK119*100)</f>
        <v>0</v>
      </c>
      <c r="BN119" s="5247"/>
      <c r="BO119" s="5247"/>
      <c r="BP119" s="1104">
        <f>IF(BN119=0,0,(BO119-BN119)/BN119*100)</f>
        <v>0</v>
      </c>
      <c r="BQ119" s="5247"/>
      <c r="BR119" s="5247"/>
      <c r="BS119" s="1104">
        <f>IF(BQ119=0,0,(BR119-BQ119)/BQ119*100)</f>
        <v>0</v>
      </c>
      <c r="BT119" s="5247"/>
      <c r="BU119" s="5247"/>
      <c r="BV119" s="1104">
        <f>IF(BT119=0,0,(BU119-BT119)/BT119*100)</f>
        <v>0</v>
      </c>
      <c r="BW119" s="5247"/>
      <c r="BX119" s="5247"/>
      <c r="BY119" s="1104">
        <f>IF(BW119=0,0,(BX119-BW119)/BW119*100)</f>
        <v>0</v>
      </c>
      <c r="BZ119" s="5247"/>
      <c r="CA119" s="5247"/>
      <c r="CB119" s="1104">
        <f>IF(BZ119=0,0,(CA119-BZ119)/BZ119*100)</f>
        <v>0</v>
      </c>
      <c r="CC119" s="5247"/>
      <c r="CD119" s="5247"/>
      <c r="CE119" s="1104">
        <f>IF(CC119=0,0,(CD119-CC119)/CC119*100)</f>
        <v>0</v>
      </c>
      <c r="CF119" s="5247"/>
      <c r="CG119" s="5247"/>
      <c r="CH119" s="1104">
        <f>IF(CF119=0,0,(CG119-CF119)/CF119*100)</f>
        <v>0</v>
      </c>
      <c r="CI119" s="5247"/>
      <c r="CJ119" s="5247"/>
      <c r="CK119" s="1104">
        <f>IF(CI119=0,0,(CJ119-CI119)/CI119*100)</f>
        <v>0</v>
      </c>
      <c r="CL119" s="5247"/>
      <c r="CM119" s="5247"/>
      <c r="CN119" s="1104">
        <f>IF(CL119=0,0,(CM119-CL119)/CL119*100)</f>
        <v>0</v>
      </c>
      <c r="CO119" s="5247"/>
      <c r="CP119" s="5247"/>
      <c r="CQ119" s="1104">
        <f>IF(CO119=0,0,(CP119-CO119)/CO119*100)</f>
        <v>0</v>
      </c>
      <c r="CR119" s="5247"/>
      <c r="CS119" s="5247"/>
      <c r="CT119" s="1104">
        <f>IF(CR119=0,0,(CS119-CR119)/CR119*100)</f>
        <v>0</v>
      </c>
      <c r="CU119" s="5247"/>
      <c r="CV119" s="5247"/>
      <c r="CW119" s="1104">
        <f>IF(CU119=0,0,(CV119-CU119)/CU119*100)</f>
        <v>0</v>
      </c>
      <c r="CX119" s="5247"/>
      <c r="CY119" s="5247"/>
      <c r="CZ119" s="1104">
        <f>IF(CX119=0,0,(CY119-CX119)/CX119*100)</f>
        <v>0</v>
      </c>
      <c r="DA119" s="5247"/>
      <c r="DB119" s="5247"/>
      <c r="DC119" s="1104">
        <f>IF(DA119=0,0,(DB119-DA119)/DA119*100)</f>
        <v>0</v>
      </c>
      <c r="DD119" s="5247"/>
      <c r="DE119" s="5247"/>
      <c r="DF119" s="1104">
        <f>IF(DD119=0,0,(DE119-DD119)/DD119*100)</f>
        <v>0</v>
      </c>
      <c r="DG119" s="5247"/>
      <c r="DH119" s="5247"/>
      <c r="DI119" s="1104">
        <f>IF(DG119=0,0,(DH119-DG119)/DG119*100)</f>
        <v>0</v>
      </c>
      <c r="DJ119" s="5247"/>
      <c r="DK119" s="5247"/>
      <c r="DL119" s="1104">
        <f>IF(DJ119=0,0,(DK119-DJ119)/DJ119*100)</f>
        <v>0</v>
      </c>
      <c r="DM119" s="5247"/>
      <c r="DN119" s="5247"/>
      <c r="DO119" s="1104">
        <f>IF(DM119=0,0,(DN119-DM119)/DM119*100)</f>
        <v>0</v>
      </c>
      <c r="DP119" s="5247"/>
      <c r="DQ119" s="5247"/>
      <c r="DR119" s="1104">
        <f>IF(DP119=0,0,(DQ119-DP119)/DP119*100)</f>
        <v>0</v>
      </c>
      <c r="DS119" s="5247"/>
      <c r="DT119" s="5247"/>
      <c r="DU119" s="1104">
        <f>IF(DS119=0,0,(DT119-DS119)/DS119*100)</f>
        <v>0</v>
      </c>
      <c r="DV119" s="5247"/>
      <c r="DW119" s="5247"/>
      <c r="DX119" s="1104">
        <f>IF(DV119=0,0,(DW119-DV119)/DV119*100)</f>
        <v>0</v>
      </c>
      <c r="DY119" s="5247"/>
      <c r="DZ119" s="5247"/>
      <c r="EA119" s="1104">
        <f>IF(DY119=0,0,(DZ119-DY119)/DY119*100)</f>
        <v>0</v>
      </c>
      <c r="EB119" s="5247"/>
      <c r="EC119" s="5247"/>
      <c r="ED119" s="1104">
        <f>IF(EB119=0,0,(EC119-EB119)/EB119*100)</f>
        <v>0</v>
      </c>
      <c r="EE119" s="5247"/>
      <c r="EF119" s="5247"/>
      <c r="EG119" s="1104">
        <f>IF(EE119=0,0,(EF119-EE119)/EE119*100)</f>
        <v>0</v>
      </c>
      <c r="EH119" s="5247"/>
      <c r="EI119" s="5247"/>
      <c r="EJ119" s="1104">
        <f>IF(EH119=0,0,(EI119-EH119)/EH119*100)</f>
        <v>0</v>
      </c>
      <c r="EK119" s="5247"/>
      <c r="EL119" s="5247"/>
      <c r="EM119" s="1104">
        <f>IF(EK119=0,0,(EL119-EK119)/EK119*100)</f>
        <v>0</v>
      </c>
      <c r="EN119" s="5247"/>
      <c r="EO119" s="5247"/>
      <c r="EP119" s="1104">
        <f>IF(EN119=0,0,(EO119-EN119)/EN119*100)</f>
        <v>0</v>
      </c>
      <c r="EQ119" s="5247"/>
      <c r="ER119" s="5247"/>
      <c r="ES119" s="1104">
        <f>IF(EQ119=0,0,(ER119-EQ119)/EQ119*100)</f>
        <v>0</v>
      </c>
      <c r="ET119" s="5247"/>
      <c r="EU119" s="5247"/>
      <c r="EV119" s="1104">
        <f>IF(ET119=0,0,(EU119-ET119)/ET119*100)</f>
        <v>0</v>
      </c>
      <c r="EW119" s="5247"/>
      <c r="EX119" s="5247"/>
      <c r="EY119" s="1104">
        <f>IF(EW119=0,0,(EX119-EW119)/EW119*100)</f>
        <v>0</v>
      </c>
      <c r="EZ119" s="5247"/>
      <c r="FA119" s="5247"/>
      <c r="FB119" s="1104">
        <f>IF(EZ119=0,0,(FA119-EZ119)/EZ119*100)</f>
        <v>0</v>
      </c>
      <c r="FC119" s="5247"/>
      <c r="FD119" s="5247"/>
      <c r="FE119" s="1104">
        <f>IF(FC119=0,0,(FD119-FC119)/FC119*100)</f>
        <v>0</v>
      </c>
      <c r="FF119" s="5247"/>
      <c r="FG119" s="5247"/>
      <c r="FH119" s="1104">
        <f>IF(FF119=0,0,(FG119-FF119)/FF119*100)</f>
        <v>0</v>
      </c>
      <c r="FI119" s="5247"/>
      <c r="FJ119" s="5247"/>
      <c r="FK119" s="1104">
        <f>IF(FI119=0,0,(FJ119-FI119)/FI119*100)</f>
        <v>0</v>
      </c>
      <c r="FL119" s="5247"/>
      <c r="FM119" s="5247"/>
      <c r="FN119" s="1104">
        <f>IF(FL119=0,0,(FM119-FL119)/FL119*100)</f>
        <v>0</v>
      </c>
      <c r="FO119" s="5247"/>
      <c r="FP119" s="5247"/>
      <c r="FQ119" s="1104">
        <f>IF(FO119=0,0,(FP119-FO119)/FO119*100)</f>
        <v>0</v>
      </c>
      <c r="FR119" s="5247"/>
      <c r="FS119" s="5247"/>
      <c r="FT119" s="1104">
        <f>IF(FR119=0,0,(FS119-FR119)/FR119*100)</f>
        <v>0</v>
      </c>
      <c r="FU119" s="5247"/>
      <c r="FV119" s="5247"/>
      <c r="FW119" s="1104">
        <f>IF(FU119=0,0,(FV119-FU119)/FU119*100)</f>
        <v>0</v>
      </c>
      <c r="FX119" s="1304"/>
      <c r="FY119" s="1304"/>
      <c r="FZ119" s="1055" t="s">
        <v>2387</v>
      </c>
      <c r="GA119" s="1306"/>
      <c r="GB119" s="1306"/>
      <c r="GC119" s="1305"/>
      <c r="GD119" s="1305"/>
    </row>
    <row s="1834" customFormat="1" customHeight="1" ht="21.75" hidden="1">
      <c r="A120" s="493"/>
      <c r="B120" s="925" cm="1" t="str">
        <f t="array" ref="B120:B120">B119</f>
        <v>false</v>
      </c>
      <c r="C120" s="493"/>
      <c r="D120" s="493"/>
      <c r="E120" s="840">
        <v>22.5</v>
      </c>
      <c r="F120" s="50" cm="1" t="str">
        <f t="array" ref="F120:F120">OFFSET(E120,-1,1)</f>
        <v>1</v>
      </c>
      <c r="G120" s="493"/>
      <c r="H120" s="493" t="s">
        <v>2376</v>
      </c>
      <c r="I120" s="493" t="s">
        <v>2340</v>
      </c>
      <c r="J120" s="493"/>
      <c r="K120" s="493"/>
      <c r="L120" s="493"/>
      <c r="M120" s="493"/>
      <c r="N120" s="493"/>
      <c r="O120" s="493"/>
      <c r="P120" s="493"/>
      <c r="Q120" s="493"/>
      <c r="R120" s="493"/>
      <c r="S120" s="493"/>
      <c r="T120" s="465" cm="1" t="str">
        <f t="array" ref="T120:T120">T119</f>
        <v>true</v>
      </c>
      <c r="U120" s="493"/>
      <c r="V120" s="493"/>
      <c r="W120" s="493"/>
      <c r="X120" s="1596"/>
      <c r="Y120" s="493"/>
      <c r="Z120" s="1545"/>
      <c r="AA120" s="493"/>
      <c r="AB120" s="1091" t="str">
        <f>"ставка платы за содержание системы "&amp;IF(Q92="Водоснабжение","холодного водоснабжения","водоотведения")</f>
        <v>ставка платы за содержание системы холодного водоснабжения</v>
      </c>
      <c r="AC120" s="864" t="s">
        <v>2377</v>
      </c>
      <c r="AD120" s="2846"/>
      <c r="AE120" s="2846"/>
      <c r="AF120" s="1093">
        <f>IF(AD120=0,0,(AE120-AD120)/AD120*100)</f>
        <v>0</v>
      </c>
      <c r="AG120" s="2846"/>
      <c r="AH120" s="2846"/>
      <c r="AI120" s="1093">
        <f>IF(AG120=0,0,(AH120-AG120)/AG120*100)</f>
        <v>0</v>
      </c>
      <c r="AJ120" s="2846"/>
      <c r="AK120" s="2846"/>
      <c r="AL120" s="1093">
        <f>IF(AJ120=0,0,(AK120-AJ120)/AJ120*100)</f>
        <v>0</v>
      </c>
      <c r="AM120" s="2846"/>
      <c r="AN120" s="2846"/>
      <c r="AO120" s="1093">
        <f>IF(AM120=0,0,(AN120-AM120)/AM120*100)</f>
        <v>0</v>
      </c>
      <c r="AP120" s="2846"/>
      <c r="AQ120" s="2846"/>
      <c r="AR120" s="1093">
        <f>IF(AP120=0,0,(AQ120-AP120)/AP120*100)</f>
        <v>0</v>
      </c>
      <c r="AS120" s="2846"/>
      <c r="AT120" s="2846"/>
      <c r="AU120" s="1093">
        <f>IF(AS120=0,0,(AT120-AS120)/AS120*100)</f>
        <v>0</v>
      </c>
      <c r="AV120" s="2846"/>
      <c r="AW120" s="2846"/>
      <c r="AX120" s="1093">
        <f>IF(AV120=0,0,(AW120-AV120)/AV120*100)</f>
        <v>0</v>
      </c>
      <c r="AY120" s="2846"/>
      <c r="AZ120" s="2846"/>
      <c r="BA120" s="1093">
        <f>IF(AY120=0,0,(AZ120-AY120)/AY120*100)</f>
        <v>0</v>
      </c>
      <c r="BB120" s="2846"/>
      <c r="BC120" s="2846"/>
      <c r="BD120" s="1093">
        <f>IF(BB120=0,0,(BC120-BB120)/BB120*100)</f>
        <v>0</v>
      </c>
      <c r="BE120" s="2846"/>
      <c r="BF120" s="2846"/>
      <c r="BG120" s="1093">
        <f>IF(BE120=0,0,(BF120-BE120)/BE120*100)</f>
        <v>0</v>
      </c>
      <c r="BH120" s="2846"/>
      <c r="BI120" s="2846"/>
      <c r="BJ120" s="1093">
        <f>IF(BH120=0,0,(BI120-BH120)/BH120*100)</f>
        <v>0</v>
      </c>
      <c r="BK120" s="2846"/>
      <c r="BL120" s="2846"/>
      <c r="BM120" s="1093">
        <f>IF(BK120=0,0,(BL120-BK120)/BK120*100)</f>
        <v>0</v>
      </c>
      <c r="BN120" s="2846"/>
      <c r="BO120" s="2846"/>
      <c r="BP120" s="1093">
        <f>IF(BN120=0,0,(BO120-BN120)/BN120*100)</f>
        <v>0</v>
      </c>
      <c r="BQ120" s="2846"/>
      <c r="BR120" s="2846"/>
      <c r="BS120" s="1093">
        <f>IF(BQ120=0,0,(BR120-BQ120)/BQ120*100)</f>
        <v>0</v>
      </c>
      <c r="BT120" s="2846"/>
      <c r="BU120" s="2846"/>
      <c r="BV120" s="1093">
        <f>IF(BT120=0,0,(BU120-BT120)/BT120*100)</f>
        <v>0</v>
      </c>
      <c r="BW120" s="2846"/>
      <c r="BX120" s="2846"/>
      <c r="BY120" s="1093">
        <f>IF(BW120=0,0,(BX120-BW120)/BW120*100)</f>
        <v>0</v>
      </c>
      <c r="BZ120" s="2846"/>
      <c r="CA120" s="2846"/>
      <c r="CB120" s="1093">
        <f>IF(BZ120=0,0,(CA120-BZ120)/BZ120*100)</f>
        <v>0</v>
      </c>
      <c r="CC120" s="2846"/>
      <c r="CD120" s="2846"/>
      <c r="CE120" s="1093">
        <f>IF(CC120=0,0,(CD120-CC120)/CC120*100)</f>
        <v>0</v>
      </c>
      <c r="CF120" s="2846"/>
      <c r="CG120" s="2846"/>
      <c r="CH120" s="1093">
        <f>IF(CF120=0,0,(CG120-CF120)/CF120*100)</f>
        <v>0</v>
      </c>
      <c r="CI120" s="2846"/>
      <c r="CJ120" s="2846"/>
      <c r="CK120" s="1093">
        <f>IF(CI120=0,0,(CJ120-CI120)/CI120*100)</f>
        <v>0</v>
      </c>
      <c r="CL120" s="2846"/>
      <c r="CM120" s="2846"/>
      <c r="CN120" s="1093">
        <f>IF(CL120=0,0,(CM120-CL120)/CL120*100)</f>
        <v>0</v>
      </c>
      <c r="CO120" s="2846"/>
      <c r="CP120" s="2846"/>
      <c r="CQ120" s="1093">
        <f>IF(CO120=0,0,(CP120-CO120)/CO120*100)</f>
        <v>0</v>
      </c>
      <c r="CR120" s="2846"/>
      <c r="CS120" s="2846"/>
      <c r="CT120" s="1093">
        <f>IF(CR120=0,0,(CS120-CR120)/CR120*100)</f>
        <v>0</v>
      </c>
      <c r="CU120" s="2846"/>
      <c r="CV120" s="2846"/>
      <c r="CW120" s="1093">
        <f>IF(CU120=0,0,(CV120-CU120)/CU120*100)</f>
        <v>0</v>
      </c>
      <c r="CX120" s="2846"/>
      <c r="CY120" s="2846"/>
      <c r="CZ120" s="1093">
        <f>IF(CX120=0,0,(CY120-CX120)/CX120*100)</f>
        <v>0</v>
      </c>
      <c r="DA120" s="2846"/>
      <c r="DB120" s="2846"/>
      <c r="DC120" s="1093">
        <f>IF(DA120=0,0,(DB120-DA120)/DA120*100)</f>
        <v>0</v>
      </c>
      <c r="DD120" s="2846"/>
      <c r="DE120" s="2846"/>
      <c r="DF120" s="1093">
        <f>IF(DD120=0,0,(DE120-DD120)/DD120*100)</f>
        <v>0</v>
      </c>
      <c r="DG120" s="2846"/>
      <c r="DH120" s="2846"/>
      <c r="DI120" s="1093">
        <f>IF(DG120=0,0,(DH120-DG120)/DG120*100)</f>
        <v>0</v>
      </c>
      <c r="DJ120" s="2846"/>
      <c r="DK120" s="2846"/>
      <c r="DL120" s="1093">
        <f>IF(DJ120=0,0,(DK120-DJ120)/DJ120*100)</f>
        <v>0</v>
      </c>
      <c r="DM120" s="2846"/>
      <c r="DN120" s="2846"/>
      <c r="DO120" s="1093">
        <f>IF(DM120=0,0,(DN120-DM120)/DM120*100)</f>
        <v>0</v>
      </c>
      <c r="DP120" s="2846"/>
      <c r="DQ120" s="2846"/>
      <c r="DR120" s="1093">
        <f>IF(DP120=0,0,(DQ120-DP120)/DP120*100)</f>
        <v>0</v>
      </c>
      <c r="DS120" s="2846"/>
      <c r="DT120" s="2846"/>
      <c r="DU120" s="1093">
        <f>IF(DS120=0,0,(DT120-DS120)/DS120*100)</f>
        <v>0</v>
      </c>
      <c r="DV120" s="2846"/>
      <c r="DW120" s="2846"/>
      <c r="DX120" s="1093">
        <f>IF(DV120=0,0,(DW120-DV120)/DV120*100)</f>
        <v>0</v>
      </c>
      <c r="DY120" s="2846"/>
      <c r="DZ120" s="2846"/>
      <c r="EA120" s="1093">
        <f>IF(DY120=0,0,(DZ120-DY120)/DY120*100)</f>
        <v>0</v>
      </c>
      <c r="EB120" s="2846"/>
      <c r="EC120" s="2846"/>
      <c r="ED120" s="1093">
        <f>IF(EB120=0,0,(EC120-EB120)/EB120*100)</f>
        <v>0</v>
      </c>
      <c r="EE120" s="2846"/>
      <c r="EF120" s="2846"/>
      <c r="EG120" s="1093">
        <f>IF(EE120=0,0,(EF120-EE120)/EE120*100)</f>
        <v>0</v>
      </c>
      <c r="EH120" s="2846"/>
      <c r="EI120" s="2846"/>
      <c r="EJ120" s="1093">
        <f>IF(EH120=0,0,(EI120-EH120)/EH120*100)</f>
        <v>0</v>
      </c>
      <c r="EK120" s="2846"/>
      <c r="EL120" s="2846"/>
      <c r="EM120" s="1093">
        <f>IF(EK120=0,0,(EL120-EK120)/EK120*100)</f>
        <v>0</v>
      </c>
      <c r="EN120" s="2846"/>
      <c r="EO120" s="2846"/>
      <c r="EP120" s="1093">
        <f>IF(EN120=0,0,(EO120-EN120)/EN120*100)</f>
        <v>0</v>
      </c>
      <c r="EQ120" s="2846"/>
      <c r="ER120" s="2846"/>
      <c r="ES120" s="1093">
        <f>IF(EQ120=0,0,(ER120-EQ120)/EQ120*100)</f>
        <v>0</v>
      </c>
      <c r="ET120" s="2846"/>
      <c r="EU120" s="2846"/>
      <c r="EV120" s="1093">
        <f>IF(ET120=0,0,(EU120-ET120)/ET120*100)</f>
        <v>0</v>
      </c>
      <c r="EW120" s="2846"/>
      <c r="EX120" s="2846"/>
      <c r="EY120" s="1093">
        <f>IF(EW120=0,0,(EX120-EW120)/EW120*100)</f>
        <v>0</v>
      </c>
      <c r="EZ120" s="2846"/>
      <c r="FA120" s="2846"/>
      <c r="FB120" s="1093">
        <f>IF(EZ120=0,0,(FA120-EZ120)/EZ120*100)</f>
        <v>0</v>
      </c>
      <c r="FC120" s="2846"/>
      <c r="FD120" s="2846"/>
      <c r="FE120" s="1093">
        <f>IF(FC120=0,0,(FD120-FC120)/FC120*100)</f>
        <v>0</v>
      </c>
      <c r="FF120" s="2846"/>
      <c r="FG120" s="2846"/>
      <c r="FH120" s="1093">
        <f>IF(FF120=0,0,(FG120-FF120)/FF120*100)</f>
        <v>0</v>
      </c>
      <c r="FI120" s="2846"/>
      <c r="FJ120" s="2846"/>
      <c r="FK120" s="1093">
        <f>IF(FI120=0,0,(FJ120-FI120)/FI120*100)</f>
        <v>0</v>
      </c>
      <c r="FL120" s="2846"/>
      <c r="FM120" s="2846"/>
      <c r="FN120" s="1093">
        <f>IF(FL120=0,0,(FM120-FL120)/FL120*100)</f>
        <v>0</v>
      </c>
      <c r="FO120" s="2846"/>
      <c r="FP120" s="2846"/>
      <c r="FQ120" s="1093">
        <f>IF(FO120=0,0,(FP120-FO120)/FO120*100)</f>
        <v>0</v>
      </c>
      <c r="FR120" s="2846"/>
      <c r="FS120" s="2846"/>
      <c r="FT120" s="1093">
        <f>IF(FR120=0,0,(FS120-FR120)/FR120*100)</f>
        <v>0</v>
      </c>
      <c r="FU120" s="2846"/>
      <c r="FV120" s="2846"/>
      <c r="FW120" s="1093">
        <f>IF(FU120=0,0,(FV120-FU120)/FU120*100)</f>
        <v>0</v>
      </c>
      <c r="FX120" s="1304"/>
      <c r="FY120" s="1304"/>
      <c r="FZ120" s="1055" t="s">
        <v>2388</v>
      </c>
      <c r="GA120" s="1306"/>
      <c r="GB120" s="1306"/>
      <c r="GC120" s="1305"/>
      <c r="GD120" s="1305"/>
    </row>
    <row s="1834" customFormat="1" customHeight="1" ht="14.25" hidden="1">
      <c r="A121" s="493"/>
      <c r="B121" s="925" cm="1" t="str">
        <f t="array" ref="B121:B121">B120</f>
        <v>false</v>
      </c>
      <c r="C121" s="493"/>
      <c r="D121" s="493"/>
      <c r="E121" s="840">
        <v>15</v>
      </c>
      <c r="F121" s="50" cm="1" t="str">
        <f t="array" ref="F121:F121">OFFSET(E121,-1,1)</f>
        <v>1</v>
      </c>
      <c r="G121" s="493"/>
      <c r="H121" s="493" t="s">
        <v>2379</v>
      </c>
      <c r="I121" s="493" t="s">
        <v>2340</v>
      </c>
      <c r="J121" s="493"/>
      <c r="K121" s="493"/>
      <c r="L121" s="493"/>
      <c r="M121" s="493"/>
      <c r="N121" s="493"/>
      <c r="O121" s="493"/>
      <c r="P121" s="493"/>
      <c r="Q121" s="493"/>
      <c r="R121" s="493"/>
      <c r="S121" s="493"/>
      <c r="T121" s="465" cm="1" t="str">
        <f t="array" ref="T121:T121">T120</f>
        <v>true</v>
      </c>
      <c r="U121" s="493"/>
      <c r="V121" s="493"/>
      <c r="W121" s="493"/>
      <c r="X121" s="1596"/>
      <c r="Y121" s="493"/>
      <c r="Z121" s="1545"/>
      <c r="AA121" s="493"/>
      <c r="AB121" s="1091" t="s">
        <v>2380</v>
      </c>
      <c r="AC121" s="864" t="s">
        <v>2381</v>
      </c>
      <c r="AD121" s="2846"/>
      <c r="AE121" s="2846"/>
      <c r="AF121" s="1093">
        <f>IF(AD121=0,0,(AE121-AD121)/AD121*100)</f>
        <v>0</v>
      </c>
      <c r="AG121" s="2846"/>
      <c r="AH121" s="2846"/>
      <c r="AI121" s="1093">
        <f>IF(AG121=0,0,(AH121-AG121)/AG121*100)</f>
        <v>0</v>
      </c>
      <c r="AJ121" s="2846"/>
      <c r="AK121" s="2846"/>
      <c r="AL121" s="1093">
        <f>IF(AJ121=0,0,(AK121-AJ121)/AJ121*100)</f>
        <v>0</v>
      </c>
      <c r="AM121" s="2846"/>
      <c r="AN121" s="2846"/>
      <c r="AO121" s="1093">
        <f>IF(AM121=0,0,(AN121-AM121)/AM121*100)</f>
        <v>0</v>
      </c>
      <c r="AP121" s="2846"/>
      <c r="AQ121" s="2846"/>
      <c r="AR121" s="1093">
        <f>IF(AP121=0,0,(AQ121-AP121)/AP121*100)</f>
        <v>0</v>
      </c>
      <c r="AS121" s="2846"/>
      <c r="AT121" s="2846"/>
      <c r="AU121" s="1093">
        <f>IF(AS121=0,0,(AT121-AS121)/AS121*100)</f>
        <v>0</v>
      </c>
      <c r="AV121" s="2846"/>
      <c r="AW121" s="2846"/>
      <c r="AX121" s="1093">
        <f>IF(AV121=0,0,(AW121-AV121)/AV121*100)</f>
        <v>0</v>
      </c>
      <c r="AY121" s="2846"/>
      <c r="AZ121" s="2846"/>
      <c r="BA121" s="1093">
        <f>IF(AY121=0,0,(AZ121-AY121)/AY121*100)</f>
        <v>0</v>
      </c>
      <c r="BB121" s="2846"/>
      <c r="BC121" s="2846"/>
      <c r="BD121" s="1093">
        <f>IF(BB121=0,0,(BC121-BB121)/BB121*100)</f>
        <v>0</v>
      </c>
      <c r="BE121" s="2846"/>
      <c r="BF121" s="2846"/>
      <c r="BG121" s="1093">
        <f>IF(BE121=0,0,(BF121-BE121)/BE121*100)</f>
        <v>0</v>
      </c>
      <c r="BH121" s="2846"/>
      <c r="BI121" s="2846"/>
      <c r="BJ121" s="1093">
        <f>IF(BH121=0,0,(BI121-BH121)/BH121*100)</f>
        <v>0</v>
      </c>
      <c r="BK121" s="2846"/>
      <c r="BL121" s="2846"/>
      <c r="BM121" s="1093">
        <f>IF(BK121=0,0,(BL121-BK121)/BK121*100)</f>
        <v>0</v>
      </c>
      <c r="BN121" s="2846"/>
      <c r="BO121" s="2846"/>
      <c r="BP121" s="1093">
        <f>IF(BN121=0,0,(BO121-BN121)/BN121*100)</f>
        <v>0</v>
      </c>
      <c r="BQ121" s="2846"/>
      <c r="BR121" s="2846"/>
      <c r="BS121" s="1093">
        <f>IF(BQ121=0,0,(BR121-BQ121)/BQ121*100)</f>
        <v>0</v>
      </c>
      <c r="BT121" s="2846"/>
      <c r="BU121" s="2846"/>
      <c r="BV121" s="1093">
        <f>IF(BT121=0,0,(BU121-BT121)/BT121*100)</f>
        <v>0</v>
      </c>
      <c r="BW121" s="2846"/>
      <c r="BX121" s="2846"/>
      <c r="BY121" s="1093">
        <f>IF(BW121=0,0,(BX121-BW121)/BW121*100)</f>
        <v>0</v>
      </c>
      <c r="BZ121" s="2846"/>
      <c r="CA121" s="2846"/>
      <c r="CB121" s="1093">
        <f>IF(BZ121=0,0,(CA121-BZ121)/BZ121*100)</f>
        <v>0</v>
      </c>
      <c r="CC121" s="2846"/>
      <c r="CD121" s="2846"/>
      <c r="CE121" s="1093">
        <f>IF(CC121=0,0,(CD121-CC121)/CC121*100)</f>
        <v>0</v>
      </c>
      <c r="CF121" s="2846"/>
      <c r="CG121" s="2846"/>
      <c r="CH121" s="1093">
        <f>IF(CF121=0,0,(CG121-CF121)/CF121*100)</f>
        <v>0</v>
      </c>
      <c r="CI121" s="2846"/>
      <c r="CJ121" s="2846"/>
      <c r="CK121" s="1093">
        <f>IF(CI121=0,0,(CJ121-CI121)/CI121*100)</f>
        <v>0</v>
      </c>
      <c r="CL121" s="2846"/>
      <c r="CM121" s="2846"/>
      <c r="CN121" s="1093">
        <f>IF(CL121=0,0,(CM121-CL121)/CL121*100)</f>
        <v>0</v>
      </c>
      <c r="CO121" s="2846"/>
      <c r="CP121" s="2846"/>
      <c r="CQ121" s="1093">
        <f>IF(CO121=0,0,(CP121-CO121)/CO121*100)</f>
        <v>0</v>
      </c>
      <c r="CR121" s="2846"/>
      <c r="CS121" s="2846"/>
      <c r="CT121" s="1093">
        <f>IF(CR121=0,0,(CS121-CR121)/CR121*100)</f>
        <v>0</v>
      </c>
      <c r="CU121" s="2846"/>
      <c r="CV121" s="2846"/>
      <c r="CW121" s="1093">
        <f>IF(CU121=0,0,(CV121-CU121)/CU121*100)</f>
        <v>0</v>
      </c>
      <c r="CX121" s="2846"/>
      <c r="CY121" s="2846"/>
      <c r="CZ121" s="1093">
        <f>IF(CX121=0,0,(CY121-CX121)/CX121*100)</f>
        <v>0</v>
      </c>
      <c r="DA121" s="2846"/>
      <c r="DB121" s="2846"/>
      <c r="DC121" s="1093">
        <f>IF(DA121=0,0,(DB121-DA121)/DA121*100)</f>
        <v>0</v>
      </c>
      <c r="DD121" s="2846"/>
      <c r="DE121" s="2846"/>
      <c r="DF121" s="1093">
        <f>IF(DD121=0,0,(DE121-DD121)/DD121*100)</f>
        <v>0</v>
      </c>
      <c r="DG121" s="2846"/>
      <c r="DH121" s="2846"/>
      <c r="DI121" s="1093">
        <f>IF(DG121=0,0,(DH121-DG121)/DG121*100)</f>
        <v>0</v>
      </c>
      <c r="DJ121" s="2846"/>
      <c r="DK121" s="2846"/>
      <c r="DL121" s="1093">
        <f>IF(DJ121=0,0,(DK121-DJ121)/DJ121*100)</f>
        <v>0</v>
      </c>
      <c r="DM121" s="2846"/>
      <c r="DN121" s="2846"/>
      <c r="DO121" s="1093">
        <f>IF(DM121=0,0,(DN121-DM121)/DM121*100)</f>
        <v>0</v>
      </c>
      <c r="DP121" s="2846"/>
      <c r="DQ121" s="2846"/>
      <c r="DR121" s="1093">
        <f>IF(DP121=0,0,(DQ121-DP121)/DP121*100)</f>
        <v>0</v>
      </c>
      <c r="DS121" s="2846"/>
      <c r="DT121" s="2846"/>
      <c r="DU121" s="1093">
        <f>IF(DS121=0,0,(DT121-DS121)/DS121*100)</f>
        <v>0</v>
      </c>
      <c r="DV121" s="2846"/>
      <c r="DW121" s="2846"/>
      <c r="DX121" s="1093">
        <f>IF(DV121=0,0,(DW121-DV121)/DV121*100)</f>
        <v>0</v>
      </c>
      <c r="DY121" s="2846"/>
      <c r="DZ121" s="2846"/>
      <c r="EA121" s="1093">
        <f>IF(DY121=0,0,(DZ121-DY121)/DY121*100)</f>
        <v>0</v>
      </c>
      <c r="EB121" s="2846"/>
      <c r="EC121" s="2846"/>
      <c r="ED121" s="1093">
        <f>IF(EB121=0,0,(EC121-EB121)/EB121*100)</f>
        <v>0</v>
      </c>
      <c r="EE121" s="2846"/>
      <c r="EF121" s="2846"/>
      <c r="EG121" s="1093">
        <f>IF(EE121=0,0,(EF121-EE121)/EE121*100)</f>
        <v>0</v>
      </c>
      <c r="EH121" s="2846"/>
      <c r="EI121" s="2846"/>
      <c r="EJ121" s="1093">
        <f>IF(EH121=0,0,(EI121-EH121)/EH121*100)</f>
        <v>0</v>
      </c>
      <c r="EK121" s="2846"/>
      <c r="EL121" s="2846"/>
      <c r="EM121" s="1093">
        <f>IF(EK121=0,0,(EL121-EK121)/EK121*100)</f>
        <v>0</v>
      </c>
      <c r="EN121" s="2846"/>
      <c r="EO121" s="2846"/>
      <c r="EP121" s="1093">
        <f>IF(EN121=0,0,(EO121-EN121)/EN121*100)</f>
        <v>0</v>
      </c>
      <c r="EQ121" s="2846"/>
      <c r="ER121" s="2846"/>
      <c r="ES121" s="1093">
        <f>IF(EQ121=0,0,(ER121-EQ121)/EQ121*100)</f>
        <v>0</v>
      </c>
      <c r="ET121" s="2846"/>
      <c r="EU121" s="2846"/>
      <c r="EV121" s="1093">
        <f>IF(ET121=0,0,(EU121-ET121)/ET121*100)</f>
        <v>0</v>
      </c>
      <c r="EW121" s="2846"/>
      <c r="EX121" s="2846"/>
      <c r="EY121" s="1093">
        <f>IF(EW121=0,0,(EX121-EW121)/EW121*100)</f>
        <v>0</v>
      </c>
      <c r="EZ121" s="2846"/>
      <c r="FA121" s="2846"/>
      <c r="FB121" s="1093">
        <f>IF(EZ121=0,0,(FA121-EZ121)/EZ121*100)</f>
        <v>0</v>
      </c>
      <c r="FC121" s="2846"/>
      <c r="FD121" s="2846"/>
      <c r="FE121" s="1093">
        <f>IF(FC121=0,0,(FD121-FC121)/FC121*100)</f>
        <v>0</v>
      </c>
      <c r="FF121" s="2846"/>
      <c r="FG121" s="2846"/>
      <c r="FH121" s="1093">
        <f>IF(FF121=0,0,(FG121-FF121)/FF121*100)</f>
        <v>0</v>
      </c>
      <c r="FI121" s="2846"/>
      <c r="FJ121" s="2846"/>
      <c r="FK121" s="1093">
        <f>IF(FI121=0,0,(FJ121-FI121)/FI121*100)</f>
        <v>0</v>
      </c>
      <c r="FL121" s="2846"/>
      <c r="FM121" s="2846"/>
      <c r="FN121" s="1093">
        <f>IF(FL121=0,0,(FM121-FL121)/FL121*100)</f>
        <v>0</v>
      </c>
      <c r="FO121" s="2846"/>
      <c r="FP121" s="2846"/>
      <c r="FQ121" s="1093">
        <f>IF(FO121=0,0,(FP121-FO121)/FO121*100)</f>
        <v>0</v>
      </c>
      <c r="FR121" s="2846"/>
      <c r="FS121" s="2846"/>
      <c r="FT121" s="1093">
        <f>IF(FR121=0,0,(FS121-FR121)/FR121*100)</f>
        <v>0</v>
      </c>
      <c r="FU121" s="2846"/>
      <c r="FV121" s="2846"/>
      <c r="FW121" s="1093">
        <f>IF(FU121=0,0,(FV121-FU121)/FU121*100)</f>
        <v>0</v>
      </c>
      <c r="FX121" s="1304"/>
      <c r="FY121" s="1304"/>
      <c r="FZ121" s="1055" t="s">
        <v>2389</v>
      </c>
      <c r="GA121" s="1306"/>
      <c r="GB121" s="1306"/>
      <c r="GC121" s="1305"/>
      <c r="GD121" s="1305"/>
    </row>
    <row s="1834" customFormat="1" customHeight="1" ht="23.25" hidden="1">
      <c r="A122" s="493"/>
      <c r="B122" s="925" cm="1" t="str">
        <f t="array" ref="B122:B122">B121</f>
        <v>false</v>
      </c>
      <c r="C122" s="493"/>
      <c r="D122" s="493"/>
      <c r="E122" s="840">
        <v>24.5</v>
      </c>
      <c r="F122" s="50" cm="1" t="str">
        <f t="array" ref="F122:F122">OFFSET(E122,-1,1)</f>
        <v>1</v>
      </c>
      <c r="G122" s="493"/>
      <c r="H122" s="493"/>
      <c r="I122" s="493"/>
      <c r="J122" s="493"/>
      <c r="K122" s="493"/>
      <c r="L122" s="493"/>
      <c r="M122" s="493"/>
      <c r="N122" s="493"/>
      <c r="O122" s="493"/>
      <c r="P122" s="493"/>
      <c r="Q122" s="493"/>
      <c r="R122" s="493"/>
      <c r="S122" s="493"/>
      <c r="T122" s="465" cm="1" t="str">
        <f t="array" ref="T122:T122">T121</f>
        <v>true</v>
      </c>
      <c r="U122" s="493"/>
      <c r="V122" s="493"/>
      <c r="W122" s="493"/>
      <c r="X122" s="1596"/>
      <c r="Y122" s="493"/>
      <c r="Z122" s="1545"/>
      <c r="AA122" s="493"/>
      <c r="AB122" s="293" t="s">
        <v>2390</v>
      </c>
      <c r="AC122" s="903"/>
      <c r="AD122" s="1102"/>
      <c r="AE122" s="1102"/>
      <c r="AF122" s="1102"/>
      <c r="AG122" s="1102"/>
      <c r="AH122" s="1102"/>
      <c r="AI122" s="1102"/>
      <c r="AJ122" s="1102"/>
      <c r="AK122" s="1102"/>
      <c r="AL122" s="1102"/>
      <c r="AM122" s="1102"/>
      <c r="AN122" s="1102"/>
      <c r="AO122" s="1102"/>
      <c r="AP122" s="1102"/>
      <c r="AQ122" s="1102"/>
      <c r="AR122" s="1102"/>
      <c r="AS122" s="1102"/>
      <c r="AT122" s="1102"/>
      <c r="AU122" s="1102"/>
      <c r="AV122" s="1102"/>
      <c r="AW122" s="1102"/>
      <c r="AX122" s="1102"/>
      <c r="AY122" s="1102"/>
      <c r="AZ122" s="1102"/>
      <c r="BA122" s="1102"/>
      <c r="BB122" s="1102"/>
      <c r="BC122" s="1102"/>
      <c r="BD122" s="1102"/>
      <c r="BE122" s="1102"/>
      <c r="BF122" s="1102"/>
      <c r="BG122" s="1102"/>
      <c r="BH122" s="1102"/>
      <c r="BI122" s="1102"/>
      <c r="BJ122" s="1102"/>
      <c r="BK122" s="1102"/>
      <c r="BL122" s="1102"/>
      <c r="BM122" s="1102"/>
      <c r="BN122" s="1102"/>
      <c r="BO122" s="1102"/>
      <c r="BP122" s="1102"/>
      <c r="BQ122" s="1102"/>
      <c r="BR122" s="1102"/>
      <c r="BS122" s="1102"/>
      <c r="BT122" s="1102"/>
      <c r="BU122" s="1102"/>
      <c r="BV122" s="1102"/>
      <c r="BW122" s="1102"/>
      <c r="BX122" s="1102"/>
      <c r="BY122" s="1102"/>
      <c r="BZ122" s="1102"/>
      <c r="CA122" s="1102"/>
      <c r="CB122" s="1102"/>
      <c r="CC122" s="1102"/>
      <c r="CD122" s="1102"/>
      <c r="CE122" s="1102"/>
      <c r="CF122" s="1102"/>
      <c r="CG122" s="1102"/>
      <c r="CH122" s="1102"/>
      <c r="CI122" s="1102"/>
      <c r="CJ122" s="1102"/>
      <c r="CK122" s="1102"/>
      <c r="CL122" s="1102"/>
      <c r="CM122" s="1102"/>
      <c r="CN122" s="1102"/>
      <c r="CO122" s="1102"/>
      <c r="CP122" s="1102"/>
      <c r="CQ122" s="1102"/>
      <c r="CR122" s="1102"/>
      <c r="CS122" s="1102"/>
      <c r="CT122" s="1102"/>
      <c r="CU122" s="1102"/>
      <c r="CV122" s="1102"/>
      <c r="CW122" s="1102"/>
      <c r="CX122" s="1102"/>
      <c r="CY122" s="1102"/>
      <c r="CZ122" s="1102"/>
      <c r="DA122" s="1102"/>
      <c r="DB122" s="1102"/>
      <c r="DC122" s="1102"/>
      <c r="DD122" s="1102"/>
      <c r="DE122" s="1102"/>
      <c r="DF122" s="1102"/>
      <c r="DG122" s="1102"/>
      <c r="DH122" s="1102"/>
      <c r="DI122" s="1102"/>
      <c r="DJ122" s="1102"/>
      <c r="DK122" s="1102"/>
      <c r="DL122" s="1102"/>
      <c r="DM122" s="1102"/>
      <c r="DN122" s="1102"/>
      <c r="DO122" s="1102"/>
      <c r="DP122" s="1102"/>
      <c r="DQ122" s="1102"/>
      <c r="DR122" s="1102"/>
      <c r="DS122" s="1102"/>
      <c r="DT122" s="1102"/>
      <c r="DU122" s="1102"/>
      <c r="DV122" s="1102"/>
      <c r="DW122" s="1102"/>
      <c r="DX122" s="1102"/>
      <c r="DY122" s="1102"/>
      <c r="DZ122" s="1102"/>
      <c r="EA122" s="1102"/>
      <c r="EB122" s="1102"/>
      <c r="EC122" s="1102"/>
      <c r="ED122" s="1102"/>
      <c r="EE122" s="1102"/>
      <c r="EF122" s="1102"/>
      <c r="EG122" s="1102"/>
      <c r="EH122" s="1102"/>
      <c r="EI122" s="1102"/>
      <c r="EJ122" s="1102"/>
      <c r="EK122" s="1102"/>
      <c r="EL122" s="1102"/>
      <c r="EM122" s="1102"/>
      <c r="EN122" s="1102"/>
      <c r="EO122" s="1102"/>
      <c r="EP122" s="1102"/>
      <c r="EQ122" s="1102"/>
      <c r="ER122" s="1102"/>
      <c r="ES122" s="1102"/>
      <c r="ET122" s="1102"/>
      <c r="EU122" s="1102"/>
      <c r="EV122" s="1102"/>
      <c r="EW122" s="1102"/>
      <c r="EX122" s="1102"/>
      <c r="EY122" s="1102"/>
      <c r="EZ122" s="1102"/>
      <c r="FA122" s="1102"/>
      <c r="FB122" s="1102"/>
      <c r="FC122" s="1102"/>
      <c r="FD122" s="1102"/>
      <c r="FE122" s="1102"/>
      <c r="FF122" s="1102"/>
      <c r="FG122" s="1102"/>
      <c r="FH122" s="1102"/>
      <c r="FI122" s="1102"/>
      <c r="FJ122" s="1102"/>
      <c r="FK122" s="1102"/>
      <c r="FL122" s="1102"/>
      <c r="FM122" s="1102"/>
      <c r="FN122" s="1102"/>
      <c r="FO122" s="1102"/>
      <c r="FP122" s="1102"/>
      <c r="FQ122" s="1102"/>
      <c r="FR122" s="1102"/>
      <c r="FS122" s="1102"/>
      <c r="FT122" s="1102"/>
      <c r="FU122" s="1102"/>
      <c r="FV122" s="1102"/>
      <c r="FW122" s="1103"/>
      <c r="FX122" s="1304"/>
      <c r="FY122" s="1304"/>
      <c r="FZ122" s="1055"/>
      <c r="GA122" s="1306"/>
      <c r="GB122" s="1306"/>
      <c r="GC122" s="1305"/>
      <c r="GD122" s="1305"/>
    </row>
    <row s="1834" customFormat="1" customHeight="1" ht="14.25" hidden="1">
      <c r="A123" s="493"/>
      <c r="B123" s="925" cm="1" t="str">
        <f t="array" ref="B123:B123">B122</f>
        <v>false</v>
      </c>
      <c r="C123" s="493"/>
      <c r="D123" s="493"/>
      <c r="E123" s="840">
        <v>15</v>
      </c>
      <c r="F123" s="50" cm="1" t="str">
        <f t="array" ref="F123:F123">OFFSET(E123,-1,1)</f>
        <v>1</v>
      </c>
      <c r="G123" s="493"/>
      <c r="H123" s="493" t="s">
        <v>2295</v>
      </c>
      <c r="I123" s="493" t="s">
        <v>2350</v>
      </c>
      <c r="J123" s="493"/>
      <c r="K123" s="493"/>
      <c r="L123" s="493"/>
      <c r="M123" s="493"/>
      <c r="N123" s="493"/>
      <c r="O123" s="493"/>
      <c r="P123" s="493"/>
      <c r="Q123" s="493"/>
      <c r="R123" s="493"/>
      <c r="S123" s="493"/>
      <c r="T123" s="465" cm="1" t="str">
        <f t="array" ref="T123:T123">T122</f>
        <v>true</v>
      </c>
      <c r="U123" s="493"/>
      <c r="V123" s="493"/>
      <c r="W123" s="493"/>
      <c r="X123" s="1596"/>
      <c r="Y123" s="493"/>
      <c r="Z123" s="1545"/>
      <c r="AA123" s="493"/>
      <c r="AB123" s="1091" t="s">
        <v>2370</v>
      </c>
      <c r="AC123" s="864" t="s">
        <v>2337</v>
      </c>
      <c r="AD123" s="2846">
        <f>IF(AD125=0,0,(AD124*AD125+AD126*AD127*IF(god=2026,9,6))/AD125)</f>
        <v>0</v>
      </c>
      <c r="AE123" s="2846">
        <f>IF(AE125=0,0,(AE124*AE125+AE126*AE127*IF(god=2026,9,6))/AE125)</f>
        <v>0</v>
      </c>
      <c r="AF123" s="1093">
        <f>IF(AD123=0,0,(AE123-AD123)/AD123*100)</f>
        <v>0</v>
      </c>
      <c r="AG123" s="2846">
        <f>IF(AG125=0,0,(AG124*AG125+AG126*AG127*IF(god=2025,9,6))/AG125)</f>
        <v>0</v>
      </c>
      <c r="AH123" s="2846">
        <f>IF(AH125=0,0,(AH124*AH125+AH126*AH127*IF(god=2025,9,6))/AH125)</f>
        <v>0</v>
      </c>
      <c r="AI123" s="1093">
        <f>IF(AG123=0,0,(AH123-AG123)/AG123*100)</f>
        <v>0</v>
      </c>
      <c r="AJ123" s="2846">
        <f>IF(AJ125=0,0,(AJ124*AJ125+AJ126*AJ127*6)/AJ125)</f>
        <v>0</v>
      </c>
      <c r="AK123" s="2846">
        <f>IF(AK125=0,0,(AK124*AK125+AK126*AK127*6)/AK125)</f>
        <v>0</v>
      </c>
      <c r="AL123" s="1093">
        <f>IF(AJ123=0,0,(AK123-AJ123)/AJ123*100)</f>
        <v>0</v>
      </c>
      <c r="AM123" s="2846">
        <f>IF(AM125=0,0,(AM124*AM125+AM126*AM127*6)/AM125)</f>
        <v>0</v>
      </c>
      <c r="AN123" s="2846">
        <f>IF(AN125=0,0,(AN124*AN125+AN126*AN127*6)/AN125)</f>
        <v>0</v>
      </c>
      <c r="AO123" s="1093">
        <f>IF(AM123=0,0,(AN123-AM123)/AM123*100)</f>
        <v>0</v>
      </c>
      <c r="AP123" s="2846">
        <f>IF(AP125=0,0,(AP124*AP125+AP126*AP127*6)/AP125)</f>
        <v>0</v>
      </c>
      <c r="AQ123" s="2846">
        <f>IF(AQ125=0,0,(AQ124*AQ125+AQ126*AQ127*6)/AQ125)</f>
        <v>0</v>
      </c>
      <c r="AR123" s="1093">
        <f>IF(AP123=0,0,(AQ123-AP123)/AP123*100)</f>
        <v>0</v>
      </c>
      <c r="AS123" s="2846">
        <f>IF(AS125=0,0,(AS124*AS125+AS126*AS127*6)/AS125)</f>
        <v>0</v>
      </c>
      <c r="AT123" s="2846">
        <f>IF(AT125=0,0,(AT124*AT125+AT126*AT127*6)/AT125)</f>
        <v>0</v>
      </c>
      <c r="AU123" s="1093">
        <f>IF(AS123=0,0,(AT123-AS123)/AS123*100)</f>
        <v>0</v>
      </c>
      <c r="AV123" s="2846">
        <f>IF(AV125=0,0,(AV124*AV125+AV126*AV127*6)/AV125)</f>
        <v>0</v>
      </c>
      <c r="AW123" s="2846">
        <f>IF(AW125=0,0,(AW124*AW125+AW126*AW127*6)/AW125)</f>
        <v>0</v>
      </c>
      <c r="AX123" s="1093">
        <f>IF(AV123=0,0,(AW123-AV123)/AV123*100)</f>
        <v>0</v>
      </c>
      <c r="AY123" s="2846">
        <f>IF(AY125=0,0,(AY124*AY125+AY126*AY127*6)/AY125)</f>
        <v>0</v>
      </c>
      <c r="AZ123" s="2846">
        <f>IF(AZ125=0,0,(AZ124*AZ125+AZ126*AZ127*6)/AZ125)</f>
        <v>0</v>
      </c>
      <c r="BA123" s="1093">
        <f>IF(AY123=0,0,(AZ123-AY123)/AY123*100)</f>
        <v>0</v>
      </c>
      <c r="BB123" s="2846">
        <f>IF(BB125=0,0,(BB124*BB125+BB126*BB127*6)/BB125)</f>
        <v>0</v>
      </c>
      <c r="BC123" s="2846">
        <f>IF(BC125=0,0,(BC124*BC125+BC126*BC127*6)/BC125)</f>
        <v>0</v>
      </c>
      <c r="BD123" s="1093">
        <f>IF(BB123=0,0,(BC123-BB123)/BB123*100)</f>
        <v>0</v>
      </c>
      <c r="BE123" s="2846">
        <f>IF(BE125=0,0,(BE124*BE125+BE126*BE127*6)/BE125)</f>
        <v>0</v>
      </c>
      <c r="BF123" s="2846">
        <f>IF(BF125=0,0,(BF124*BF125+BF126*BF127*6)/BF125)</f>
        <v>0</v>
      </c>
      <c r="BG123" s="1093">
        <f>IF(BE123=0,0,(BF123-BE123)/BE123*100)</f>
        <v>0</v>
      </c>
      <c r="BH123" s="2846">
        <f>IF(BH125=0,0,(BH124*BH125+BH126*BH127*6)/BH125)</f>
        <v>0</v>
      </c>
      <c r="BI123" s="2846">
        <f>IF(BI125=0,0,(BI124*BI125+BI126*BI127*6)/BI125)</f>
        <v>0</v>
      </c>
      <c r="BJ123" s="1093">
        <f>IF(BH123=0,0,(BI123-BH123)/BH123*100)</f>
        <v>0</v>
      </c>
      <c r="BK123" s="2846">
        <f>IF(BK125=0,0,(BK124*BK125+BK126*BK127*6)/BK125)</f>
        <v>0</v>
      </c>
      <c r="BL123" s="2846">
        <f>IF(BL125=0,0,(BL124*BL125+BL126*BL127*6)/BL125)</f>
        <v>0</v>
      </c>
      <c r="BM123" s="1093">
        <f>IF(BK123=0,0,(BL123-BK123)/BK123*100)</f>
        <v>0</v>
      </c>
      <c r="BN123" s="2846">
        <f>IF(BN125=0,0,(BN124*BN125+BN126*BN127*6)/BN125)</f>
        <v>0</v>
      </c>
      <c r="BO123" s="2846">
        <f>IF(BO125=0,0,(BO124*BO125+BO126*BO127*6)/BO125)</f>
        <v>0</v>
      </c>
      <c r="BP123" s="1093">
        <f>IF(BN123=0,0,(BO123-BN123)/BN123*100)</f>
        <v>0</v>
      </c>
      <c r="BQ123" s="2846">
        <f>IF(BQ125=0,0,(BQ124*BQ125+BQ126*BQ127*6)/BQ125)</f>
        <v>0</v>
      </c>
      <c r="BR123" s="2846">
        <f>IF(BR125=0,0,(BR124*BR125+BR126*BR127*6)/BR125)</f>
        <v>0</v>
      </c>
      <c r="BS123" s="1093">
        <f>IF(BQ123=0,0,(BR123-BQ123)/BQ123*100)</f>
        <v>0</v>
      </c>
      <c r="BT123" s="2846">
        <f>IF(BT125=0,0,(BT124*BT125+BT126*BT127*6)/BT125)</f>
        <v>0</v>
      </c>
      <c r="BU123" s="2846">
        <f>IF(BU125=0,0,(BU124*BU125+BU126*BU127*6)/BU125)</f>
        <v>0</v>
      </c>
      <c r="BV123" s="1093">
        <f>IF(BT123=0,0,(BU123-BT123)/BT123*100)</f>
        <v>0</v>
      </c>
      <c r="BW123" s="2846">
        <f>IF(BW125=0,0,(BW124*BW125+BW126*BW127*6)/BW125)</f>
        <v>0</v>
      </c>
      <c r="BX123" s="2846">
        <f>IF(BX125=0,0,(BX124*BX125+BX126*BX127*6)/BX125)</f>
        <v>0</v>
      </c>
      <c r="BY123" s="1093">
        <f>IF(BW123=0,0,(BX123-BW123)/BW123*100)</f>
        <v>0</v>
      </c>
      <c r="BZ123" s="2846">
        <f>IF(BZ125=0,0,(BZ124*BZ125+BZ126*BZ127*6)/BZ125)</f>
        <v>0</v>
      </c>
      <c r="CA123" s="2846">
        <f>IF(CA125=0,0,(CA124*CA125+CA126*CA127*6)/CA125)</f>
        <v>0</v>
      </c>
      <c r="CB123" s="1093">
        <f>IF(BZ123=0,0,(CA123-BZ123)/BZ123*100)</f>
        <v>0</v>
      </c>
      <c r="CC123" s="2846">
        <f>IF(CC125=0,0,(CC124*CC125+CC126*CC127*6)/CC125)</f>
        <v>0</v>
      </c>
      <c r="CD123" s="2846">
        <f>IF(CD125=0,0,(CD124*CD125+CD126*CD127*6)/CD125)</f>
        <v>0</v>
      </c>
      <c r="CE123" s="1093">
        <f>IF(CC123=0,0,(CD123-CC123)/CC123*100)</f>
        <v>0</v>
      </c>
      <c r="CF123" s="2846">
        <f>IF(CF125=0,0,(CF124*CF125+CF126*CF127*6)/CF125)</f>
        <v>0</v>
      </c>
      <c r="CG123" s="2846">
        <f>IF(CG125=0,0,(CG124*CG125+CG126*CG127*6)/CG125)</f>
        <v>0</v>
      </c>
      <c r="CH123" s="1093">
        <f>IF(CF123=0,0,(CG123-CF123)/CF123*100)</f>
        <v>0</v>
      </c>
      <c r="CI123" s="2846">
        <f>IF(CI125=0,0,(CI124*CI125+CI126*CI127*6)/CI125)</f>
        <v>0</v>
      </c>
      <c r="CJ123" s="2846">
        <f>IF(CJ125=0,0,(CJ124*CJ125+CJ126*CJ127*6)/CJ125)</f>
        <v>0</v>
      </c>
      <c r="CK123" s="1093">
        <f>IF(CI123=0,0,(CJ123-CI123)/CI123*100)</f>
        <v>0</v>
      </c>
      <c r="CL123" s="2846">
        <f>IF(CL125=0,0,(CL124*CL125+CL126*CL127*6)/CL125)</f>
        <v>0</v>
      </c>
      <c r="CM123" s="2846">
        <f>IF(CM125=0,0,(CM124*CM125+CM126*CM127*6)/CM125)</f>
        <v>0</v>
      </c>
      <c r="CN123" s="1093">
        <f>IF(CL123=0,0,(CM123-CL123)/CL123*100)</f>
        <v>0</v>
      </c>
      <c r="CO123" s="2846">
        <f>IF(CO125=0,0,(CO124*CO125+CO126*CO127*6)/CO125)</f>
        <v>0</v>
      </c>
      <c r="CP123" s="2846">
        <f>IF(CP125=0,0,(CP124*CP125+CP126*CP127*6)/CP125)</f>
        <v>0</v>
      </c>
      <c r="CQ123" s="1093">
        <f>IF(CO123=0,0,(CP123-CO123)/CO123*100)</f>
        <v>0</v>
      </c>
      <c r="CR123" s="2846">
        <f>IF(CR125=0,0,(CR124*CR125+CR126*CR127*6)/CR125)</f>
        <v>0</v>
      </c>
      <c r="CS123" s="2846">
        <f>IF(CS125=0,0,(CS124*CS125+CS126*CS127*6)/CS125)</f>
        <v>0</v>
      </c>
      <c r="CT123" s="1093">
        <f>IF(CR123=0,0,(CS123-CR123)/CR123*100)</f>
        <v>0</v>
      </c>
      <c r="CU123" s="2846">
        <f>IF(CU125=0,0,(CU124*CU125+CU126*CU127*6)/CU125)</f>
        <v>0</v>
      </c>
      <c r="CV123" s="2846">
        <f>IF(CV125=0,0,(CV124*CV125+CV126*CV127*6)/CV125)</f>
        <v>0</v>
      </c>
      <c r="CW123" s="1093">
        <f>IF(CU123=0,0,(CV123-CU123)/CU123*100)</f>
        <v>0</v>
      </c>
      <c r="CX123" s="2846">
        <f>IF(CX125=0,0,(CX124*CX125+CX126*CX127*6)/CX125)</f>
        <v>0</v>
      </c>
      <c r="CY123" s="2846">
        <f>IF(CY125=0,0,(CY124*CY125+CY126*CY127*6)/CY125)</f>
        <v>0</v>
      </c>
      <c r="CZ123" s="1093">
        <f>IF(CX123=0,0,(CY123-CX123)/CX123*100)</f>
        <v>0</v>
      </c>
      <c r="DA123" s="2846">
        <f>IF(DA125=0,0,(DA124*DA125+DA126*DA127*6)/DA125)</f>
        <v>0</v>
      </c>
      <c r="DB123" s="2846">
        <f>IF(DB125=0,0,(DB124*DB125+DB126*DB127*6)/DB125)</f>
        <v>0</v>
      </c>
      <c r="DC123" s="1093">
        <f>IF(DA123=0,0,(DB123-DA123)/DA123*100)</f>
        <v>0</v>
      </c>
      <c r="DD123" s="2846">
        <f>IF(DD125=0,0,(DD124*DD125+DD126*DD127*6)/DD125)</f>
        <v>0</v>
      </c>
      <c r="DE123" s="2846">
        <f>IF(DE125=0,0,(DE124*DE125+DE126*DE127*6)/DE125)</f>
        <v>0</v>
      </c>
      <c r="DF123" s="1093">
        <f>IF(DD123=0,0,(DE123-DD123)/DD123*100)</f>
        <v>0</v>
      </c>
      <c r="DG123" s="2846">
        <f>IF(DG125=0,0,(DG124*DG125+DG126*DG127*6)/DG125)</f>
        <v>0</v>
      </c>
      <c r="DH123" s="2846">
        <f>IF(DH125=0,0,(DH124*DH125+DH126*DH127*6)/DH125)</f>
        <v>0</v>
      </c>
      <c r="DI123" s="1093">
        <f>IF(DG123=0,0,(DH123-DG123)/DG123*100)</f>
        <v>0</v>
      </c>
      <c r="DJ123" s="2846">
        <f>IF(DJ125=0,0,(DJ124*DJ125+DJ126*DJ127*6)/DJ125)</f>
        <v>0</v>
      </c>
      <c r="DK123" s="2846">
        <f>IF(DK125=0,0,(DK124*DK125+DK126*DK127*6)/DK125)</f>
        <v>0</v>
      </c>
      <c r="DL123" s="1093">
        <f>IF(DJ123=0,0,(DK123-DJ123)/DJ123*100)</f>
        <v>0</v>
      </c>
      <c r="DM123" s="2846">
        <f>IF(DM125=0,0,(DM124*DM125+DM126*DM127*6)/DM125)</f>
        <v>0</v>
      </c>
      <c r="DN123" s="2846">
        <f>IF(DN125=0,0,(DN124*DN125+DN126*DN127*6)/DN125)</f>
        <v>0</v>
      </c>
      <c r="DO123" s="1093">
        <f>IF(DM123=0,0,(DN123-DM123)/DM123*100)</f>
        <v>0</v>
      </c>
      <c r="DP123" s="2846">
        <f>IF(DP125=0,0,(DP124*DP125+DP126*DP127*6)/DP125)</f>
        <v>0</v>
      </c>
      <c r="DQ123" s="2846">
        <f>IF(DQ125=0,0,(DQ124*DQ125+DQ126*DQ127*6)/DQ125)</f>
        <v>0</v>
      </c>
      <c r="DR123" s="1093">
        <f>IF(DP123=0,0,(DQ123-DP123)/DP123*100)</f>
        <v>0</v>
      </c>
      <c r="DS123" s="2846">
        <f>IF(DS125=0,0,(DS124*DS125+DS126*DS127*6)/DS125)</f>
        <v>0</v>
      </c>
      <c r="DT123" s="2846">
        <f>IF(DT125=0,0,(DT124*DT125+DT126*DT127*6)/DT125)</f>
        <v>0</v>
      </c>
      <c r="DU123" s="1093">
        <f>IF(DS123=0,0,(DT123-DS123)/DS123*100)</f>
        <v>0</v>
      </c>
      <c r="DV123" s="2846">
        <f>IF(DV125=0,0,(DV124*DV125+DV126*DV127*6)/DV125)</f>
        <v>0</v>
      </c>
      <c r="DW123" s="2846">
        <f>IF(DW125=0,0,(DW124*DW125+DW126*DW127*6)/DW125)</f>
        <v>0</v>
      </c>
      <c r="DX123" s="1093">
        <f>IF(DV123=0,0,(DW123-DV123)/DV123*100)</f>
        <v>0</v>
      </c>
      <c r="DY123" s="2846">
        <f>IF(DY125=0,0,(DY124*DY125+DY126*DY127*6)/DY125)</f>
        <v>0</v>
      </c>
      <c r="DZ123" s="2846">
        <f>IF(DZ125=0,0,(DZ124*DZ125+DZ126*DZ127*6)/DZ125)</f>
        <v>0</v>
      </c>
      <c r="EA123" s="1093">
        <f>IF(DY123=0,0,(DZ123-DY123)/DY123*100)</f>
        <v>0</v>
      </c>
      <c r="EB123" s="2846">
        <f>IF(EB125=0,0,(EB124*EB125+EB126*EB127*6)/EB125)</f>
        <v>0</v>
      </c>
      <c r="EC123" s="2846">
        <f>IF(EC125=0,0,(EC124*EC125+EC126*EC127*6)/EC125)</f>
        <v>0</v>
      </c>
      <c r="ED123" s="1093">
        <f>IF(EB123=0,0,(EC123-EB123)/EB123*100)</f>
        <v>0</v>
      </c>
      <c r="EE123" s="2846">
        <f>IF(EE125=0,0,(EE124*EE125+EE126*EE127*6)/EE125)</f>
        <v>0</v>
      </c>
      <c r="EF123" s="2846">
        <f>IF(EF125=0,0,(EF124*EF125+EF126*EF127*6)/EF125)</f>
        <v>0</v>
      </c>
      <c r="EG123" s="1093">
        <f>IF(EE123=0,0,(EF123-EE123)/EE123*100)</f>
        <v>0</v>
      </c>
      <c r="EH123" s="2846">
        <f>IF(EH125=0,0,(EH124*EH125+EH126*EH127*6)/EH125)</f>
        <v>0</v>
      </c>
      <c r="EI123" s="2846">
        <f>IF(EI125=0,0,(EI124*EI125+EI126*EI127*6)/EI125)</f>
        <v>0</v>
      </c>
      <c r="EJ123" s="1093">
        <f>IF(EH123=0,0,(EI123-EH123)/EH123*100)</f>
        <v>0</v>
      </c>
      <c r="EK123" s="2846">
        <f>IF(EK125=0,0,(EK124*EK125+EK126*EK127*6)/EK125)</f>
        <v>0</v>
      </c>
      <c r="EL123" s="2846">
        <f>IF(EL125=0,0,(EL124*EL125+EL126*EL127*6)/EL125)</f>
        <v>0</v>
      </c>
      <c r="EM123" s="1093">
        <f>IF(EK123=0,0,(EL123-EK123)/EK123*100)</f>
        <v>0</v>
      </c>
      <c r="EN123" s="2846">
        <f>IF(EN125=0,0,(EN124*EN125+EN126*EN127*6)/EN125)</f>
        <v>0</v>
      </c>
      <c r="EO123" s="2846">
        <f>IF(EO125=0,0,(EO124*EO125+EO126*EO127*6)/EO125)</f>
        <v>0</v>
      </c>
      <c r="EP123" s="1093">
        <f>IF(EN123=0,0,(EO123-EN123)/EN123*100)</f>
        <v>0</v>
      </c>
      <c r="EQ123" s="2846">
        <f>IF(EQ125=0,0,(EQ124*EQ125+EQ126*EQ127*6)/EQ125)</f>
        <v>0</v>
      </c>
      <c r="ER123" s="2846">
        <f>IF(ER125=0,0,(ER124*ER125+ER126*ER127*6)/ER125)</f>
        <v>0</v>
      </c>
      <c r="ES123" s="1093">
        <f>IF(EQ123=0,0,(ER123-EQ123)/EQ123*100)</f>
        <v>0</v>
      </c>
      <c r="ET123" s="2846">
        <f>IF(ET125=0,0,(ET124*ET125+ET126*ET127*6)/ET125)</f>
        <v>0</v>
      </c>
      <c r="EU123" s="2846">
        <f>IF(EU125=0,0,(EU124*EU125+EU126*EU127*6)/EU125)</f>
        <v>0</v>
      </c>
      <c r="EV123" s="1093">
        <f>IF(ET123=0,0,(EU123-ET123)/ET123*100)</f>
        <v>0</v>
      </c>
      <c r="EW123" s="2846">
        <f>IF(EW125=0,0,(EW124*EW125+EW126*EW127*6)/EW125)</f>
        <v>0</v>
      </c>
      <c r="EX123" s="2846">
        <f>IF(EX125=0,0,(EX124*EX125+EX126*EX127*6)/EX125)</f>
        <v>0</v>
      </c>
      <c r="EY123" s="1093">
        <f>IF(EW123=0,0,(EX123-EW123)/EW123*100)</f>
        <v>0</v>
      </c>
      <c r="EZ123" s="2846">
        <f>IF(EZ125=0,0,(EZ124*EZ125+EZ126*EZ127*6)/EZ125)</f>
        <v>0</v>
      </c>
      <c r="FA123" s="2846">
        <f>IF(FA125=0,0,(FA124*FA125+FA126*FA127*6)/FA125)</f>
        <v>0</v>
      </c>
      <c r="FB123" s="1093">
        <f>IF(EZ123=0,0,(FA123-EZ123)/EZ123*100)</f>
        <v>0</v>
      </c>
      <c r="FC123" s="2846">
        <f>IF(FC125=0,0,(FC124*FC125+FC126*FC127*6)/FC125)</f>
        <v>0</v>
      </c>
      <c r="FD123" s="2846">
        <f>IF(FD125=0,0,(FD124*FD125+FD126*FD127*6)/FD125)</f>
        <v>0</v>
      </c>
      <c r="FE123" s="1093">
        <f>IF(FC123=0,0,(FD123-FC123)/FC123*100)</f>
        <v>0</v>
      </c>
      <c r="FF123" s="2846">
        <f>IF(FF125=0,0,(FF124*FF125+FF126*FF127*6)/FF125)</f>
        <v>0</v>
      </c>
      <c r="FG123" s="2846">
        <f>IF(FG125=0,0,(FG124*FG125+FG126*FG127*6)/FG125)</f>
        <v>0</v>
      </c>
      <c r="FH123" s="1093">
        <f>IF(FF123=0,0,(FG123-FF123)/FF123*100)</f>
        <v>0</v>
      </c>
      <c r="FI123" s="2846">
        <f>IF(FI125=0,0,(FI124*FI125+FI126*FI127*6)/FI125)</f>
        <v>0</v>
      </c>
      <c r="FJ123" s="2846">
        <f>IF(FJ125=0,0,(FJ124*FJ125+FJ126*FJ127*6)/FJ125)</f>
        <v>0</v>
      </c>
      <c r="FK123" s="1093">
        <f>IF(FI123=0,0,(FJ123-FI123)/FI123*100)</f>
        <v>0</v>
      </c>
      <c r="FL123" s="2846">
        <f>IF(FL125=0,0,(FL124*FL125+FL126*FL127*6)/FL125)</f>
        <v>0</v>
      </c>
      <c r="FM123" s="2846">
        <f>IF(FM125=0,0,(FM124*FM125+FM126*FM127*6)/FM125)</f>
        <v>0</v>
      </c>
      <c r="FN123" s="1093">
        <f>IF(FL123=0,0,(FM123-FL123)/FL123*100)</f>
        <v>0</v>
      </c>
      <c r="FO123" s="2846">
        <f>IF(FO125=0,0,(FO124*FO125+FO126*FO127*6)/FO125)</f>
        <v>0</v>
      </c>
      <c r="FP123" s="2846">
        <f>IF(FP125=0,0,(FP124*FP125+FP126*FP127*6)/FP125)</f>
        <v>0</v>
      </c>
      <c r="FQ123" s="1093">
        <f>IF(FO123=0,0,(FP123-FO123)/FO123*100)</f>
        <v>0</v>
      </c>
      <c r="FR123" s="2846">
        <f>IF(FR125=0,0,(FR124*FR125+FR126*FR127*6)/FR125)</f>
        <v>0</v>
      </c>
      <c r="FS123" s="2846">
        <f>IF(FS125=0,0,(FS124*FS125+FS126*FS127*6)/FS125)</f>
        <v>0</v>
      </c>
      <c r="FT123" s="1093">
        <f>IF(FR123=0,0,(FS123-FR123)/FR123*100)</f>
        <v>0</v>
      </c>
      <c r="FU123" s="2846">
        <f>IF(FU125=0,0,(FU124*FU125+FU126*FU127*6)/FU125)</f>
        <v>0</v>
      </c>
      <c r="FV123" s="2846">
        <f>IF(FV125=0,0,(FV124*FV125+FV126*FV127*6)/FV125)</f>
        <v>0</v>
      </c>
      <c r="FW123" s="1093">
        <f>IF(FU123=0,0,(FV123-FU123)/FU123*100)</f>
        <v>0</v>
      </c>
      <c r="FX123" s="1304"/>
      <c r="FY123" s="1304"/>
      <c r="FZ123" s="1055" t="s">
        <v>2391</v>
      </c>
      <c r="GA123" s="1306"/>
      <c r="GB123" s="1306"/>
      <c r="GC123" s="1305"/>
      <c r="GD123" s="1305"/>
    </row>
    <row s="1834" customFormat="1" customHeight="1" ht="14.25" hidden="1">
      <c r="A124" s="493"/>
      <c r="B124" s="925" cm="1" t="str">
        <f t="array" ref="B124:B124">B123</f>
        <v>false</v>
      </c>
      <c r="C124" s="493"/>
      <c r="D124" s="493"/>
      <c r="E124" s="840">
        <v>15</v>
      </c>
      <c r="F124" s="50" cm="1" t="str">
        <f t="array" ref="F124:F124">OFFSET(E124,-1,1)</f>
        <v>1</v>
      </c>
      <c r="G124" s="493"/>
      <c r="H124" s="493" t="s">
        <v>2299</v>
      </c>
      <c r="I124" s="493" t="s">
        <v>2350</v>
      </c>
      <c r="J124" s="493"/>
      <c r="K124" s="493"/>
      <c r="L124" s="493"/>
      <c r="M124" s="493"/>
      <c r="N124" s="493"/>
      <c r="O124" s="493"/>
      <c r="P124" s="493"/>
      <c r="Q124" s="493"/>
      <c r="R124" s="493"/>
      <c r="S124" s="493"/>
      <c r="T124" s="465" cm="1" t="str">
        <f t="array" ref="T124:T124">T123</f>
        <v>true</v>
      </c>
      <c r="U124" s="493"/>
      <c r="V124" s="493"/>
      <c r="W124" s="493"/>
      <c r="X124" s="1596"/>
      <c r="Y124" s="493"/>
      <c r="Z124" s="1545"/>
      <c r="AA124" s="493"/>
      <c r="AB124" s="1091" t="str">
        <f>"ставка платы за "&amp;IF(Q92="Водоснабжение","потребление 1 куб.м холодной воды","объем принятых сточных вод")</f>
        <v>ставка платы за потребление 1 куб.м холодной воды</v>
      </c>
      <c r="AC124" s="864" t="s">
        <v>2337</v>
      </c>
      <c r="AD124" s="2846"/>
      <c r="AE124" s="2846"/>
      <c r="AF124" s="1093">
        <f>IF(AD124=0,0,(AE124-AD124)/AD124*100)</f>
        <v>0</v>
      </c>
      <c r="AG124" s="2846"/>
      <c r="AH124" s="2846"/>
      <c r="AI124" s="1093">
        <f>IF(AG124=0,0,(AH124-AG124)/AG124*100)</f>
        <v>0</v>
      </c>
      <c r="AJ124" s="2846"/>
      <c r="AK124" s="2846"/>
      <c r="AL124" s="1093">
        <f>IF(AJ124=0,0,(AK124-AJ124)/AJ124*100)</f>
        <v>0</v>
      </c>
      <c r="AM124" s="2846"/>
      <c r="AN124" s="2846"/>
      <c r="AO124" s="1093">
        <f>IF(AM124=0,0,(AN124-AM124)/AM124*100)</f>
        <v>0</v>
      </c>
      <c r="AP124" s="2846"/>
      <c r="AQ124" s="2846"/>
      <c r="AR124" s="1093">
        <f>IF(AP124=0,0,(AQ124-AP124)/AP124*100)</f>
        <v>0</v>
      </c>
      <c r="AS124" s="2846"/>
      <c r="AT124" s="2846"/>
      <c r="AU124" s="1093">
        <f>IF(AS124=0,0,(AT124-AS124)/AS124*100)</f>
        <v>0</v>
      </c>
      <c r="AV124" s="2846"/>
      <c r="AW124" s="2846"/>
      <c r="AX124" s="1093">
        <f>IF(AV124=0,0,(AW124-AV124)/AV124*100)</f>
        <v>0</v>
      </c>
      <c r="AY124" s="2846"/>
      <c r="AZ124" s="2846"/>
      <c r="BA124" s="1093">
        <f>IF(AY124=0,0,(AZ124-AY124)/AY124*100)</f>
        <v>0</v>
      </c>
      <c r="BB124" s="2846"/>
      <c r="BC124" s="2846"/>
      <c r="BD124" s="1093">
        <f>IF(BB124=0,0,(BC124-BB124)/BB124*100)</f>
        <v>0</v>
      </c>
      <c r="BE124" s="2846"/>
      <c r="BF124" s="2846"/>
      <c r="BG124" s="1093">
        <f>IF(BE124=0,0,(BF124-BE124)/BE124*100)</f>
        <v>0</v>
      </c>
      <c r="BH124" s="2846"/>
      <c r="BI124" s="2846"/>
      <c r="BJ124" s="1093">
        <f>IF(BH124=0,0,(BI124-BH124)/BH124*100)</f>
        <v>0</v>
      </c>
      <c r="BK124" s="2846"/>
      <c r="BL124" s="2846"/>
      <c r="BM124" s="1093">
        <f>IF(BK124=0,0,(BL124-BK124)/BK124*100)</f>
        <v>0</v>
      </c>
      <c r="BN124" s="2846"/>
      <c r="BO124" s="2846"/>
      <c r="BP124" s="1093">
        <f>IF(BN124=0,0,(BO124-BN124)/BN124*100)</f>
        <v>0</v>
      </c>
      <c r="BQ124" s="2846"/>
      <c r="BR124" s="2846"/>
      <c r="BS124" s="1093">
        <f>IF(BQ124=0,0,(BR124-BQ124)/BQ124*100)</f>
        <v>0</v>
      </c>
      <c r="BT124" s="2846"/>
      <c r="BU124" s="2846"/>
      <c r="BV124" s="1093">
        <f>IF(BT124=0,0,(BU124-BT124)/BT124*100)</f>
        <v>0</v>
      </c>
      <c r="BW124" s="2846"/>
      <c r="BX124" s="2846"/>
      <c r="BY124" s="1093">
        <f>IF(BW124=0,0,(BX124-BW124)/BW124*100)</f>
        <v>0</v>
      </c>
      <c r="BZ124" s="2846"/>
      <c r="CA124" s="2846"/>
      <c r="CB124" s="1093">
        <f>IF(BZ124=0,0,(CA124-BZ124)/BZ124*100)</f>
        <v>0</v>
      </c>
      <c r="CC124" s="2846"/>
      <c r="CD124" s="2846"/>
      <c r="CE124" s="1093">
        <f>IF(CC124=0,0,(CD124-CC124)/CC124*100)</f>
        <v>0</v>
      </c>
      <c r="CF124" s="2846"/>
      <c r="CG124" s="2846"/>
      <c r="CH124" s="1093">
        <f>IF(CF124=0,0,(CG124-CF124)/CF124*100)</f>
        <v>0</v>
      </c>
      <c r="CI124" s="2846"/>
      <c r="CJ124" s="2846"/>
      <c r="CK124" s="1093">
        <f>IF(CI124=0,0,(CJ124-CI124)/CI124*100)</f>
        <v>0</v>
      </c>
      <c r="CL124" s="2846"/>
      <c r="CM124" s="2846"/>
      <c r="CN124" s="1093">
        <f>IF(CL124=0,0,(CM124-CL124)/CL124*100)</f>
        <v>0</v>
      </c>
      <c r="CO124" s="2846"/>
      <c r="CP124" s="2846"/>
      <c r="CQ124" s="1093">
        <f>IF(CO124=0,0,(CP124-CO124)/CO124*100)</f>
        <v>0</v>
      </c>
      <c r="CR124" s="2846"/>
      <c r="CS124" s="2846"/>
      <c r="CT124" s="1093">
        <f>IF(CR124=0,0,(CS124-CR124)/CR124*100)</f>
        <v>0</v>
      </c>
      <c r="CU124" s="2846"/>
      <c r="CV124" s="2846"/>
      <c r="CW124" s="1093">
        <f>IF(CU124=0,0,(CV124-CU124)/CU124*100)</f>
        <v>0</v>
      </c>
      <c r="CX124" s="2846"/>
      <c r="CY124" s="2846"/>
      <c r="CZ124" s="1093">
        <f>IF(CX124=0,0,(CY124-CX124)/CX124*100)</f>
        <v>0</v>
      </c>
      <c r="DA124" s="2846"/>
      <c r="DB124" s="2846"/>
      <c r="DC124" s="1093">
        <f>IF(DA124=0,0,(DB124-DA124)/DA124*100)</f>
        <v>0</v>
      </c>
      <c r="DD124" s="2846"/>
      <c r="DE124" s="2846"/>
      <c r="DF124" s="1093">
        <f>IF(DD124=0,0,(DE124-DD124)/DD124*100)</f>
        <v>0</v>
      </c>
      <c r="DG124" s="2846"/>
      <c r="DH124" s="2846"/>
      <c r="DI124" s="1093">
        <f>IF(DG124=0,0,(DH124-DG124)/DG124*100)</f>
        <v>0</v>
      </c>
      <c r="DJ124" s="2846"/>
      <c r="DK124" s="2846"/>
      <c r="DL124" s="1093">
        <f>IF(DJ124=0,0,(DK124-DJ124)/DJ124*100)</f>
        <v>0</v>
      </c>
      <c r="DM124" s="2846"/>
      <c r="DN124" s="2846"/>
      <c r="DO124" s="1093">
        <f>IF(DM124=0,0,(DN124-DM124)/DM124*100)</f>
        <v>0</v>
      </c>
      <c r="DP124" s="2846"/>
      <c r="DQ124" s="2846"/>
      <c r="DR124" s="1093">
        <f>IF(DP124=0,0,(DQ124-DP124)/DP124*100)</f>
        <v>0</v>
      </c>
      <c r="DS124" s="2846"/>
      <c r="DT124" s="2846"/>
      <c r="DU124" s="1093">
        <f>IF(DS124=0,0,(DT124-DS124)/DS124*100)</f>
        <v>0</v>
      </c>
      <c r="DV124" s="2846"/>
      <c r="DW124" s="2846"/>
      <c r="DX124" s="1093">
        <f>IF(DV124=0,0,(DW124-DV124)/DV124*100)</f>
        <v>0</v>
      </c>
      <c r="DY124" s="2846"/>
      <c r="DZ124" s="2846"/>
      <c r="EA124" s="1093">
        <f>IF(DY124=0,0,(DZ124-DY124)/DY124*100)</f>
        <v>0</v>
      </c>
      <c r="EB124" s="2846"/>
      <c r="EC124" s="2846"/>
      <c r="ED124" s="1093">
        <f>IF(EB124=0,0,(EC124-EB124)/EB124*100)</f>
        <v>0</v>
      </c>
      <c r="EE124" s="2846"/>
      <c r="EF124" s="2846"/>
      <c r="EG124" s="1093">
        <f>IF(EE124=0,0,(EF124-EE124)/EE124*100)</f>
        <v>0</v>
      </c>
      <c r="EH124" s="2846"/>
      <c r="EI124" s="2846"/>
      <c r="EJ124" s="1093">
        <f>IF(EH124=0,0,(EI124-EH124)/EH124*100)</f>
        <v>0</v>
      </c>
      <c r="EK124" s="2846"/>
      <c r="EL124" s="2846"/>
      <c r="EM124" s="1093">
        <f>IF(EK124=0,0,(EL124-EK124)/EK124*100)</f>
        <v>0</v>
      </c>
      <c r="EN124" s="2846"/>
      <c r="EO124" s="2846"/>
      <c r="EP124" s="1093">
        <f>IF(EN124=0,0,(EO124-EN124)/EN124*100)</f>
        <v>0</v>
      </c>
      <c r="EQ124" s="2846"/>
      <c r="ER124" s="2846"/>
      <c r="ES124" s="1093">
        <f>IF(EQ124=0,0,(ER124-EQ124)/EQ124*100)</f>
        <v>0</v>
      </c>
      <c r="ET124" s="2846"/>
      <c r="EU124" s="2846"/>
      <c r="EV124" s="1093">
        <f>IF(ET124=0,0,(EU124-ET124)/ET124*100)</f>
        <v>0</v>
      </c>
      <c r="EW124" s="2846"/>
      <c r="EX124" s="2846"/>
      <c r="EY124" s="1093">
        <f>IF(EW124=0,0,(EX124-EW124)/EW124*100)</f>
        <v>0</v>
      </c>
      <c r="EZ124" s="2846"/>
      <c r="FA124" s="2846"/>
      <c r="FB124" s="1093">
        <f>IF(EZ124=0,0,(FA124-EZ124)/EZ124*100)</f>
        <v>0</v>
      </c>
      <c r="FC124" s="2846"/>
      <c r="FD124" s="2846"/>
      <c r="FE124" s="1093">
        <f>IF(FC124=0,0,(FD124-FC124)/FC124*100)</f>
        <v>0</v>
      </c>
      <c r="FF124" s="2846"/>
      <c r="FG124" s="2846"/>
      <c r="FH124" s="1093">
        <f>IF(FF124=0,0,(FG124-FF124)/FF124*100)</f>
        <v>0</v>
      </c>
      <c r="FI124" s="2846"/>
      <c r="FJ124" s="2846"/>
      <c r="FK124" s="1093">
        <f>IF(FI124=0,0,(FJ124-FI124)/FI124*100)</f>
        <v>0</v>
      </c>
      <c r="FL124" s="2846"/>
      <c r="FM124" s="2846"/>
      <c r="FN124" s="1093">
        <f>IF(FL124=0,0,(FM124-FL124)/FL124*100)</f>
        <v>0</v>
      </c>
      <c r="FO124" s="2846"/>
      <c r="FP124" s="2846"/>
      <c r="FQ124" s="1093">
        <f>IF(FO124=0,0,(FP124-FO124)/FO124*100)</f>
        <v>0</v>
      </c>
      <c r="FR124" s="2846"/>
      <c r="FS124" s="2846"/>
      <c r="FT124" s="1093">
        <f>IF(FR124=0,0,(FS124-FR124)/FR124*100)</f>
        <v>0</v>
      </c>
      <c r="FU124" s="2846"/>
      <c r="FV124" s="2846"/>
      <c r="FW124" s="1093">
        <f>IF(FU124=0,0,(FV124-FU124)/FU124*100)</f>
        <v>0</v>
      </c>
      <c r="FX124" s="1304"/>
      <c r="FY124" s="1304"/>
      <c r="FZ124" s="1055" t="s">
        <v>2392</v>
      </c>
      <c r="GA124" s="1306"/>
      <c r="GB124" s="1306"/>
      <c r="GC124" s="1305"/>
      <c r="GD124" s="1305"/>
    </row>
    <row s="1834" customFormat="1" customHeight="1" ht="14.25" hidden="1">
      <c r="A125" s="493"/>
      <c r="B125" s="925" cm="1" t="str">
        <f t="array" ref="B125:B125">B124</f>
        <v>false</v>
      </c>
      <c r="C125" s="493"/>
      <c r="D125" s="493"/>
      <c r="E125" s="840">
        <v>15</v>
      </c>
      <c r="F125" s="50" cm="1" t="str">
        <f t="array" ref="F125:F125">OFFSET(E125,-1,1)</f>
        <v>1</v>
      </c>
      <c r="G125" s="107" t="s">
        <v>2393</v>
      </c>
      <c r="H125" s="493" t="s">
        <v>2374</v>
      </c>
      <c r="I125" s="493" t="s">
        <v>2350</v>
      </c>
      <c r="J125" s="493"/>
      <c r="K125" s="493"/>
      <c r="L125" s="493"/>
      <c r="M125" s="493"/>
      <c r="N125" s="493"/>
      <c r="O125" s="493"/>
      <c r="P125" s="493"/>
      <c r="Q125" s="493"/>
      <c r="R125" s="493"/>
      <c r="S125" s="493"/>
      <c r="T125" s="465" cm="1" t="str">
        <f t="array" ref="T125:T125">T124</f>
        <v>true</v>
      </c>
      <c r="U125" s="493"/>
      <c r="V125" s="493"/>
      <c r="W125" s="493"/>
      <c r="X125" s="1596"/>
      <c r="Y125" s="493"/>
      <c r="Z125" s="1545"/>
      <c r="AA125" s="493"/>
      <c r="AB125" s="1091" t="str">
        <f>"объём "&amp;IF(Q92="Водоснабжение","потребления холодной воды","водоотведения")</f>
        <v>объём потребления холодной воды</v>
      </c>
      <c r="AC125" s="864" t="s">
        <v>1247</v>
      </c>
      <c r="AD125" s="5247">
        <f>IF(AND(method_reg="Метод индексации",god&lt;&gt;first_year),_xlfn.SUMIFS(INDEX('Калькуляция (МИ корр)'!$AJ$25:$BC$747,,MATCH(AD$8,'Калькуляция (МИ корр)'!$AJ$8:$BC$8,0)),'Калькуляция (МИ корр)'!$F$25:$F$747,$F125,'Калькуляция (МИ корр)'!$G$25:$G$747,$G125),IF(method_reg="Метод экономически обоснованных расходов",_xlfn.SUMIFS('Калькуляция (МЭОР)'!$AJ$25:$AJ$452,'Калькуляция (МЭОР)'!$F$25:$F$452,$F125,'Калькуляция (МЭОР)'!$G$25:$G$452,$G125),IF(method_reg="Метод сравнения аналогов",_xlfn.SUMIFS('Калькуляция (МСА)'!$AE$25:$AE$122,'Калькуляция (МСА)'!$F$25:$F$122,$F125,'Калькуляция (МСА)'!$G$25:$G$122,$G125),_xlfn.SUMIFS(INDEX('Калькуляция (МИ)'!$AJ$25:$BC$747,,MATCH(AD$8,'Калькуляция (МИ)'!$AJ$8:$BC$8,0)),'Калькуляция (МИ)'!$F$25:$F$747,$F125,'Калькуляция (МИ)'!$G$25:$G$747,$G125))))</f>
        <v>794.212425</v>
      </c>
      <c r="AE125" s="5247">
        <f>IF(AND(method_reg="Метод индексации",god&lt;&gt;first_year),_xlfn.SUMIFS(INDEX('Калькуляция (МИ корр)'!$AJ$25:$BC$747,,MATCH(AE$8,'Калькуляция (МИ корр)'!$AJ$8:$BC$8,0)),'Калькуляция (МИ корр)'!$F$25:$F$747,$F125,'Калькуляция (МИ корр)'!$G$25:$G$747,$G125),IF(method_reg="Метод экономически обоснованных расходов",_xlfn.SUMIFS('Калькуляция (МЭОР)'!$AK$25:$AK$452,'Калькуляция (МЭОР)'!$F$25:$F$452,$F125,'Калькуляция (МЭОР)'!$G$25:$G$452,$G125),IF(method_reg="Метод сравнения аналогов",_xlfn.SUMIFS('Калькуляция (МСА)'!$AF$25:$AF$122,'Калькуляция (МСА)'!$F$25:$F$122,$F125,'Калькуляция (МСА)'!$G$25:$G$122,$G125),_xlfn.SUMIFS(INDEX('Калькуляция (МИ)'!$AJ$25:$BC$747,,MATCH(AE$8,'Калькуляция (МИ)'!$AJ$8:$BC$8,0)),'Калькуляция (МИ)'!$F$25:$F$747,$F125,'Калькуляция (МИ)'!$G$25:$G$747,$G125))))</f>
        <v>794.212425</v>
      </c>
      <c r="AF125" s="1095">
        <f>IF(AD125=0,0,(AE125-AD125)/AD125*100)</f>
        <v>0</v>
      </c>
      <c r="AG125" s="5247">
        <f>IF(AND(method_reg="Метод индексации",god&lt;&gt;first_year),_xlfn.SUMIFS(INDEX('Калькуляция (МИ корр)'!$AJ$25:$BC$747,,MATCH(AG$8,'Калькуляция (МИ корр)'!$AJ$8:$BC$8,0)),'Калькуляция (МИ корр)'!$F$25:$F$747,$F125,'Калькуляция (МИ корр)'!$G$25:$G$747,$G125),IF(method_reg="Метод экономически обоснованных расходов",_xlfn.SUMIFS('Калькуляция (МЭОР)'!$AJ$25:$AJ$452,'Калькуляция (МЭОР)'!$F$25:$F$452,$F125,'Калькуляция (МЭОР)'!$G$25:$G$452,$G125),IF(method_reg="Метод сравнения аналогов",_xlfn.SUMIFS('Калькуляция (МСА)'!$AE$25:$AE$122,'Калькуляция (МСА)'!$F$25:$F$122,$F125,'Калькуляция (МСА)'!$G$25:$G$122,$G125),_xlfn.SUMIFS(INDEX('Калькуляция (МИ)'!$AJ$25:$BC$747,,MATCH(AG$8,'Калькуляция (МИ)'!$AJ$8:$BC$8,0)),'Калькуляция (МИ)'!$F$25:$F$747,$F125,'Калькуляция (МИ)'!$G$25:$G$747,$G125))))</f>
        <v>529.47495</v>
      </c>
      <c r="AH125" s="5247">
        <f>IF(AND(method_reg="Метод индексации",god&lt;&gt;first_year),_xlfn.SUMIFS(INDEX('Калькуляция (МИ корр)'!$AJ$25:$BC$747,,MATCH(AH$8,'Калькуляция (МИ корр)'!$AJ$8:$BC$8,0)),'Калькуляция (МИ корр)'!$F$25:$F$747,$F125,'Калькуляция (МИ корр)'!$G$25:$G$747,$G125),IF(method_reg="Метод экономически обоснованных расходов",_xlfn.SUMIFS('Калькуляция (МЭОР)'!$AK$25:$AK$452,'Калькуляция (МЭОР)'!$F$25:$F$452,$F125,'Калькуляция (МЭОР)'!$G$25:$G$452,$G125),IF(method_reg="Метод сравнения аналогов",_xlfn.SUMIFS('Калькуляция (МСА)'!$AF$25:$AF$122,'Калькуляция (МСА)'!$F$25:$F$122,$F125,'Калькуляция (МСА)'!$G$25:$G$122,$G125),_xlfn.SUMIFS(INDEX('Калькуляция (МИ)'!$AJ$25:$BC$747,,MATCH(AH$8,'Калькуляция (МИ)'!$AJ$8:$BC$8,0)),'Калькуляция (МИ)'!$F$25:$F$747,$F125,'Калькуляция (МИ)'!$G$25:$G$747,$G125))))</f>
        <v>529.47495</v>
      </c>
      <c r="AI125" s="1095">
        <f>IF(AG125=0,0,(AH125-AG125)/AG125*100)</f>
        <v>0</v>
      </c>
      <c r="AJ125" s="5247">
        <f>IF(AND(method_reg="Метод индексации",god&lt;&gt;first_year),_xlfn.SUMIFS(INDEX('Калькуляция (МИ корр)'!$AJ$25:$BC$747,,MATCH(AJ$8,'Калькуляция (МИ корр)'!$AJ$8:$BC$8,0)),'Калькуляция (МИ корр)'!$F$25:$F$747,$F125,'Калькуляция (МИ корр)'!$G$25:$G$747,$G125),IF(method_reg="Метод экономически обоснованных расходов",_xlfn.SUMIFS('Калькуляция (МЭОР)'!$AJ$25:$AJ$452,'Калькуляция (МЭОР)'!$F$25:$F$452,$F125,'Калькуляция (МЭОР)'!$G$25:$G$452,$G125),IF(method_reg="Метод сравнения аналогов",_xlfn.SUMIFS('Калькуляция (МСА)'!$AE$25:$AE$122,'Калькуляция (МСА)'!$F$25:$F$122,$F125,'Калькуляция (МСА)'!$G$25:$G$122,$G125),_xlfn.SUMIFS(INDEX('Калькуляция (МИ)'!$AJ$25:$BC$747,,MATCH(AJ$8,'Калькуляция (МИ)'!$AJ$8:$BC$8,0)),'Калькуляция (МИ)'!$F$25:$F$747,$F125,'Калькуляция (МИ)'!$G$25:$G$747,$G125))))</f>
        <v>529.47495</v>
      </c>
      <c r="AK125" s="5247">
        <f>IF(AND(method_reg="Метод индексации",god&lt;&gt;first_year),_xlfn.SUMIFS(INDEX('Калькуляция (МИ корр)'!$AJ$25:$BC$747,,MATCH(AK$8,'Калькуляция (МИ корр)'!$AJ$8:$BC$8,0)),'Калькуляция (МИ корр)'!$F$25:$F$747,$F125,'Калькуляция (МИ корр)'!$G$25:$G$747,$G125),IF(method_reg="Метод экономически обоснованных расходов",_xlfn.SUMIFS('Калькуляция (МЭОР)'!$AK$25:$AK$452,'Калькуляция (МЭОР)'!$F$25:$F$452,$F125,'Калькуляция (МЭОР)'!$G$25:$G$452,$G125),IF(method_reg="Метод сравнения аналогов",_xlfn.SUMIFS('Калькуляция (МСА)'!$AF$25:$AF$122,'Калькуляция (МСА)'!$F$25:$F$122,$F125,'Калькуляция (МСА)'!$G$25:$G$122,$G125),_xlfn.SUMIFS(INDEX('Калькуляция (МИ)'!$AJ$25:$BC$747,,MATCH(AK$8,'Калькуляция (МИ)'!$AJ$8:$BC$8,0)),'Калькуляция (МИ)'!$F$25:$F$747,$F125,'Калькуляция (МИ)'!$G$25:$G$747,$G125))))</f>
        <v>529.47495</v>
      </c>
      <c r="AL125" s="1095">
        <f>IF(AJ125=0,0,(AK125-AJ125)/AJ125*100)</f>
        <v>0</v>
      </c>
      <c r="AM125" s="5247">
        <f>IF(AND(method_reg="Метод индексации",god&lt;&gt;first_year),_xlfn.SUMIFS(INDEX('Калькуляция (МИ корр)'!$AJ$25:$BC$747,,MATCH(AM$8,'Калькуляция (МИ корр)'!$AJ$8:$BC$8,0)),'Калькуляция (МИ корр)'!$F$25:$F$747,$F125,'Калькуляция (МИ корр)'!$G$25:$G$747,$G125),IF(method_reg="Метод экономически обоснованных расходов",_xlfn.SUMIFS('Калькуляция (МЭОР)'!$AJ$25:$AJ$452,'Калькуляция (МЭОР)'!$F$25:$F$452,$F125,'Калькуляция (МЭОР)'!$G$25:$G$452,$G125),IF(method_reg="Метод сравнения аналогов",_xlfn.SUMIFS('Калькуляция (МСА)'!$AE$25:$AE$122,'Калькуляция (МСА)'!$F$25:$F$122,$F125,'Калькуляция (МСА)'!$G$25:$G$122,$G125),_xlfn.SUMIFS(INDEX('Калькуляция (МИ)'!$AJ$25:$BC$747,,MATCH(AM$8,'Калькуляция (МИ)'!$AJ$8:$BC$8,0)),'Калькуляция (МИ)'!$F$25:$F$747,$F125,'Калькуляция (МИ)'!$G$25:$G$747,$G125))))</f>
        <v>529.47495</v>
      </c>
      <c r="AN125" s="5247">
        <f>IF(AND(method_reg="Метод индексации",god&lt;&gt;first_year),_xlfn.SUMIFS(INDEX('Калькуляция (МИ корр)'!$AJ$25:$BC$747,,MATCH(AN$8,'Калькуляция (МИ корр)'!$AJ$8:$BC$8,0)),'Калькуляция (МИ корр)'!$F$25:$F$747,$F125,'Калькуляция (МИ корр)'!$G$25:$G$747,$G125),IF(method_reg="Метод экономически обоснованных расходов",_xlfn.SUMIFS('Калькуляция (МЭОР)'!$AK$25:$AK$452,'Калькуляция (МЭОР)'!$F$25:$F$452,$F125,'Калькуляция (МЭОР)'!$G$25:$G$452,$G125),IF(method_reg="Метод сравнения аналогов",_xlfn.SUMIFS('Калькуляция (МСА)'!$AF$25:$AF$122,'Калькуляция (МСА)'!$F$25:$F$122,$F125,'Калькуляция (МСА)'!$G$25:$G$122,$G125),_xlfn.SUMIFS(INDEX('Калькуляция (МИ)'!$AJ$25:$BC$747,,MATCH(AN$8,'Калькуляция (МИ)'!$AJ$8:$BC$8,0)),'Калькуляция (МИ)'!$F$25:$F$747,$F125,'Калькуляция (МИ)'!$G$25:$G$747,$G125))))</f>
        <v>529.47495</v>
      </c>
      <c r="AO125" s="1095">
        <f>IF(AM125=0,0,(AN125-AM125)/AM125*100)</f>
        <v>0</v>
      </c>
      <c r="AP125" s="5247">
        <f>IF(AND(method_reg="Метод индексации",god&lt;&gt;first_year),_xlfn.SUMIFS(INDEX('Калькуляция (МИ корр)'!$AJ$25:$BC$747,,MATCH(AP$8,'Калькуляция (МИ корр)'!$AJ$8:$BC$8,0)),'Калькуляция (МИ корр)'!$F$25:$F$747,$F125,'Калькуляция (МИ корр)'!$G$25:$G$747,$G125),IF(method_reg="Метод экономически обоснованных расходов",_xlfn.SUMIFS('Калькуляция (МЭОР)'!$AJ$25:$AJ$452,'Калькуляция (МЭОР)'!$F$25:$F$452,$F125,'Калькуляция (МЭОР)'!$G$25:$G$452,$G125),IF(method_reg="Метод сравнения аналогов",_xlfn.SUMIFS('Калькуляция (МСА)'!$AE$25:$AE$122,'Калькуляция (МСА)'!$F$25:$F$122,$F125,'Калькуляция (МСА)'!$G$25:$G$122,$G125),_xlfn.SUMIFS(INDEX('Калькуляция (МИ)'!$AJ$25:$BC$747,,MATCH(AP$8,'Калькуляция (МИ)'!$AJ$8:$BC$8,0)),'Калькуляция (МИ)'!$F$25:$F$747,$F125,'Калькуляция (МИ)'!$G$25:$G$747,$G125))))</f>
        <v>529.47495</v>
      </c>
      <c r="AQ125" s="5247">
        <f>IF(AND(method_reg="Метод индексации",god&lt;&gt;first_year),_xlfn.SUMIFS(INDEX('Калькуляция (МИ корр)'!$AJ$25:$BC$747,,MATCH(AQ$8,'Калькуляция (МИ корр)'!$AJ$8:$BC$8,0)),'Калькуляция (МИ корр)'!$F$25:$F$747,$F125,'Калькуляция (МИ корр)'!$G$25:$G$747,$G125),IF(method_reg="Метод экономически обоснованных расходов",_xlfn.SUMIFS('Калькуляция (МЭОР)'!$AK$25:$AK$452,'Калькуляция (МЭОР)'!$F$25:$F$452,$F125,'Калькуляция (МЭОР)'!$G$25:$G$452,$G125),IF(method_reg="Метод сравнения аналогов",_xlfn.SUMIFS('Калькуляция (МСА)'!$AF$25:$AF$122,'Калькуляция (МСА)'!$F$25:$F$122,$F125,'Калькуляция (МСА)'!$G$25:$G$122,$G125),_xlfn.SUMIFS(INDEX('Калькуляция (МИ)'!$AJ$25:$BC$747,,MATCH(AQ$8,'Калькуляция (МИ)'!$AJ$8:$BC$8,0)),'Калькуляция (МИ)'!$F$25:$F$747,$F125,'Калькуляция (МИ)'!$G$25:$G$747,$G125))))</f>
        <v>529.47495</v>
      </c>
      <c r="AR125" s="1095">
        <f>IF(AP125=0,0,(AQ125-AP125)/AP125*100)</f>
        <v>0</v>
      </c>
      <c r="AS125" s="5247">
        <f>IF(AND(method_reg="Метод индексации",god&lt;&gt;first_year),_xlfn.SUMIFS(INDEX('Калькуляция (МИ корр)'!$AJ$25:$BC$747,,MATCH(AS$8,'Калькуляция (МИ корр)'!$AJ$8:$BC$8,0)),'Калькуляция (МИ корр)'!$F$25:$F$747,$F125,'Калькуляция (МИ корр)'!$G$25:$G$747,$G125),IF(method_reg="Метод экономически обоснованных расходов",_xlfn.SUMIFS('Калькуляция (МЭОР)'!$AJ$25:$AJ$452,'Калькуляция (МЭОР)'!$F$25:$F$452,$F125,'Калькуляция (МЭОР)'!$G$25:$G$452,$G125),IF(method_reg="Метод сравнения аналогов",_xlfn.SUMIFS('Калькуляция (МСА)'!$AE$25:$AE$122,'Калькуляция (МСА)'!$F$25:$F$122,$F125,'Калькуляция (МСА)'!$G$25:$G$122,$G125),_xlfn.SUMIFS(INDEX('Калькуляция (МИ)'!$AJ$25:$BC$747,,MATCH(AS$8,'Калькуляция (МИ)'!$AJ$8:$BC$8,0)),'Калькуляция (МИ)'!$F$25:$F$747,$F125,'Калькуляция (МИ)'!$G$25:$G$747,$G125))))</f>
        <v>0</v>
      </c>
      <c r="AT125" s="5247">
        <f>IF(AND(method_reg="Метод индексации",god&lt;&gt;first_year),_xlfn.SUMIFS(INDEX('Калькуляция (МИ корр)'!$AJ$25:$BC$747,,MATCH(AT$8,'Калькуляция (МИ корр)'!$AJ$8:$BC$8,0)),'Калькуляция (МИ корр)'!$F$25:$F$747,$F125,'Калькуляция (МИ корр)'!$G$25:$G$747,$G125),IF(method_reg="Метод экономически обоснованных расходов",_xlfn.SUMIFS('Калькуляция (МЭОР)'!$AK$25:$AK$452,'Калькуляция (МЭОР)'!$F$25:$F$452,$F125,'Калькуляция (МЭОР)'!$G$25:$G$452,$G125),IF(method_reg="Метод сравнения аналогов",_xlfn.SUMIFS('Калькуляция (МСА)'!$AF$25:$AF$122,'Калькуляция (МСА)'!$F$25:$F$122,$F125,'Калькуляция (МСА)'!$G$25:$G$122,$G125),_xlfn.SUMIFS(INDEX('Калькуляция (МИ)'!$AJ$25:$BC$747,,MATCH(AT$8,'Калькуляция (МИ)'!$AJ$8:$BC$8,0)),'Калькуляция (МИ)'!$F$25:$F$747,$F125,'Калькуляция (МИ)'!$G$25:$G$747,$G125))))</f>
        <v>0</v>
      </c>
      <c r="AU125" s="1095">
        <f>IF(AS125=0,0,(AT125-AS125)/AS125*100)</f>
        <v>0</v>
      </c>
      <c r="AV125" s="5247">
        <f>IF(AND(method_reg="Метод индексации",god&lt;&gt;first_year),_xlfn.SUMIFS(INDEX('Калькуляция (МИ корр)'!$AJ$25:$BC$747,,MATCH(AV$8,'Калькуляция (МИ корр)'!$AJ$8:$BC$8,0)),'Калькуляция (МИ корр)'!$F$25:$F$747,$F125,'Калькуляция (МИ корр)'!$G$25:$G$747,$G125),IF(method_reg="Метод экономически обоснованных расходов",_xlfn.SUMIFS('Калькуляция (МЭОР)'!$AJ$25:$AJ$452,'Калькуляция (МЭОР)'!$F$25:$F$452,$F125,'Калькуляция (МЭОР)'!$G$25:$G$452,$G125),IF(method_reg="Метод сравнения аналогов",_xlfn.SUMIFS('Калькуляция (МСА)'!$AE$25:$AE$122,'Калькуляция (МСА)'!$F$25:$F$122,$F125,'Калькуляция (МСА)'!$G$25:$G$122,$G125),_xlfn.SUMIFS(INDEX('Калькуляция (МИ)'!$AJ$25:$BC$747,,MATCH(AV$8,'Калькуляция (МИ)'!$AJ$8:$BC$8,0)),'Калькуляция (МИ)'!$F$25:$F$747,$F125,'Калькуляция (МИ)'!$G$25:$G$747,$G125))))</f>
        <v>0</v>
      </c>
      <c r="AW125" s="5247">
        <f>IF(AND(method_reg="Метод индексации",god&lt;&gt;first_year),_xlfn.SUMIFS(INDEX('Калькуляция (МИ корр)'!$AJ$25:$BC$747,,MATCH(AW$8,'Калькуляция (МИ корр)'!$AJ$8:$BC$8,0)),'Калькуляция (МИ корр)'!$F$25:$F$747,$F125,'Калькуляция (МИ корр)'!$G$25:$G$747,$G125),IF(method_reg="Метод экономически обоснованных расходов",_xlfn.SUMIFS('Калькуляция (МЭОР)'!$AK$25:$AK$452,'Калькуляция (МЭОР)'!$F$25:$F$452,$F125,'Калькуляция (МЭОР)'!$G$25:$G$452,$G125),IF(method_reg="Метод сравнения аналогов",_xlfn.SUMIFS('Калькуляция (МСА)'!$AF$25:$AF$122,'Калькуляция (МСА)'!$F$25:$F$122,$F125,'Калькуляция (МСА)'!$G$25:$G$122,$G125),_xlfn.SUMIFS(INDEX('Калькуляция (МИ)'!$AJ$25:$BC$747,,MATCH(AW$8,'Калькуляция (МИ)'!$AJ$8:$BC$8,0)),'Калькуляция (МИ)'!$F$25:$F$747,$F125,'Калькуляция (МИ)'!$G$25:$G$747,$G125))))</f>
        <v>0</v>
      </c>
      <c r="AX125" s="1095">
        <f>IF(AV125=0,0,(AW125-AV125)/AV125*100)</f>
        <v>0</v>
      </c>
      <c r="AY125" s="5247">
        <f>IF(AND(method_reg="Метод индексации",god&lt;&gt;first_year),_xlfn.SUMIFS(INDEX('Калькуляция (МИ корр)'!$AJ$25:$BC$747,,MATCH(AY$8,'Калькуляция (МИ корр)'!$AJ$8:$BC$8,0)),'Калькуляция (МИ корр)'!$F$25:$F$747,$F125,'Калькуляция (МИ корр)'!$G$25:$G$747,$G125),IF(method_reg="Метод экономически обоснованных расходов",_xlfn.SUMIFS('Калькуляция (МЭОР)'!$AJ$25:$AJ$452,'Калькуляция (МЭОР)'!$F$25:$F$452,$F125,'Калькуляция (МЭОР)'!$G$25:$G$452,$G125),IF(method_reg="Метод сравнения аналогов",_xlfn.SUMIFS('Калькуляция (МСА)'!$AE$25:$AE$122,'Калькуляция (МСА)'!$F$25:$F$122,$F125,'Калькуляция (МСА)'!$G$25:$G$122,$G125),_xlfn.SUMIFS(INDEX('Калькуляция (МИ)'!$AJ$25:$BC$747,,MATCH(AY$8,'Калькуляция (МИ)'!$AJ$8:$BC$8,0)),'Калькуляция (МИ)'!$F$25:$F$747,$F125,'Калькуляция (МИ)'!$G$25:$G$747,$G125))))</f>
        <v>0</v>
      </c>
      <c r="AZ125" s="5247">
        <f>IF(AND(method_reg="Метод индексации",god&lt;&gt;first_year),_xlfn.SUMIFS(INDEX('Калькуляция (МИ корр)'!$AJ$25:$BC$747,,MATCH(AZ$8,'Калькуляция (МИ корр)'!$AJ$8:$BC$8,0)),'Калькуляция (МИ корр)'!$F$25:$F$747,$F125,'Калькуляция (МИ корр)'!$G$25:$G$747,$G125),IF(method_reg="Метод экономически обоснованных расходов",_xlfn.SUMIFS('Калькуляция (МЭОР)'!$AK$25:$AK$452,'Калькуляция (МЭОР)'!$F$25:$F$452,$F125,'Калькуляция (МЭОР)'!$G$25:$G$452,$G125),IF(method_reg="Метод сравнения аналогов",_xlfn.SUMIFS('Калькуляция (МСА)'!$AF$25:$AF$122,'Калькуляция (МСА)'!$F$25:$F$122,$F125,'Калькуляция (МСА)'!$G$25:$G$122,$G125),_xlfn.SUMIFS(INDEX('Калькуляция (МИ)'!$AJ$25:$BC$747,,MATCH(AZ$8,'Калькуляция (МИ)'!$AJ$8:$BC$8,0)),'Калькуляция (МИ)'!$F$25:$F$747,$F125,'Калькуляция (МИ)'!$G$25:$G$747,$G125))))</f>
        <v>0</v>
      </c>
      <c r="BA125" s="1095">
        <f>IF(AY125=0,0,(AZ125-AY125)/AY125*100)</f>
        <v>0</v>
      </c>
      <c r="BB125" s="5247">
        <f>IF(AND(method_reg="Метод индексации",god&lt;&gt;first_year),_xlfn.SUMIFS(INDEX('Калькуляция (МИ корр)'!$AJ$25:$BC$747,,MATCH(BB$8,'Калькуляция (МИ корр)'!$AJ$8:$BC$8,0)),'Калькуляция (МИ корр)'!$F$25:$F$747,$F125,'Калькуляция (МИ корр)'!$G$25:$G$747,$G125),IF(method_reg="Метод экономически обоснованных расходов",_xlfn.SUMIFS('Калькуляция (МЭОР)'!$AJ$25:$AJ$452,'Калькуляция (МЭОР)'!$F$25:$F$452,$F125,'Калькуляция (МЭОР)'!$G$25:$G$452,$G125),IF(method_reg="Метод сравнения аналогов",_xlfn.SUMIFS('Калькуляция (МСА)'!$AE$25:$AE$122,'Калькуляция (МСА)'!$F$25:$F$122,$F125,'Калькуляция (МСА)'!$G$25:$G$122,$G125),_xlfn.SUMIFS(INDEX('Калькуляция (МИ)'!$AJ$25:$BC$747,,MATCH(BB$8,'Калькуляция (МИ)'!$AJ$8:$BC$8,0)),'Калькуляция (МИ)'!$F$25:$F$747,$F125,'Калькуляция (МИ)'!$G$25:$G$747,$G125))))</f>
        <v>0</v>
      </c>
      <c r="BC125" s="5247">
        <f>IF(AND(method_reg="Метод индексации",god&lt;&gt;first_year),_xlfn.SUMIFS(INDEX('Калькуляция (МИ корр)'!$AJ$25:$BC$747,,MATCH(BC$8,'Калькуляция (МИ корр)'!$AJ$8:$BC$8,0)),'Калькуляция (МИ корр)'!$F$25:$F$747,$F125,'Калькуляция (МИ корр)'!$G$25:$G$747,$G125),IF(method_reg="Метод экономически обоснованных расходов",_xlfn.SUMIFS('Калькуляция (МЭОР)'!$AK$25:$AK$452,'Калькуляция (МЭОР)'!$F$25:$F$452,$F125,'Калькуляция (МЭОР)'!$G$25:$G$452,$G125),IF(method_reg="Метод сравнения аналогов",_xlfn.SUMIFS('Калькуляция (МСА)'!$AF$25:$AF$122,'Калькуляция (МСА)'!$F$25:$F$122,$F125,'Калькуляция (МСА)'!$G$25:$G$122,$G125),_xlfn.SUMIFS(INDEX('Калькуляция (МИ)'!$AJ$25:$BC$747,,MATCH(BC$8,'Калькуляция (МИ)'!$AJ$8:$BC$8,0)),'Калькуляция (МИ)'!$F$25:$F$747,$F125,'Калькуляция (МИ)'!$G$25:$G$747,$G125))))</f>
        <v>0</v>
      </c>
      <c r="BD125" s="1095">
        <f>IF(BB125=0,0,(BC125-BB125)/BB125*100)</f>
        <v>0</v>
      </c>
      <c r="BE125" s="5247">
        <f>IF(AND(method_reg="Метод индексации",god&lt;&gt;first_year),_xlfn.SUMIFS(INDEX('Калькуляция (МИ корр)'!$AJ$25:$BC$747,,MATCH(BE$8,'Калькуляция (МИ корр)'!$AJ$8:$BC$8,0)),'Калькуляция (МИ корр)'!$F$25:$F$747,$F125,'Калькуляция (МИ корр)'!$G$25:$G$747,$G125),IF(method_reg="Метод экономически обоснованных расходов",_xlfn.SUMIFS('Калькуляция (МЭОР)'!$AJ$25:$AJ$452,'Калькуляция (МЭОР)'!$F$25:$F$452,$F125,'Калькуляция (МЭОР)'!$G$25:$G$452,$G125),IF(method_reg="Метод сравнения аналогов",_xlfn.SUMIFS('Калькуляция (МСА)'!$AE$25:$AE$122,'Калькуляция (МСА)'!$F$25:$F$122,$F125,'Калькуляция (МСА)'!$G$25:$G$122,$G125),_xlfn.SUMIFS(INDEX('Калькуляция (МИ)'!$AJ$25:$BC$747,,MATCH(BE$8,'Калькуляция (МИ)'!$AJ$8:$BC$8,0)),'Калькуляция (МИ)'!$F$25:$F$747,$F125,'Калькуляция (МИ)'!$G$25:$G$747,$G125))))</f>
        <v>0</v>
      </c>
      <c r="BF125" s="5247">
        <f>IF(AND(method_reg="Метод индексации",god&lt;&gt;first_year),_xlfn.SUMIFS(INDEX('Калькуляция (МИ корр)'!$AJ$25:$BC$747,,MATCH(BF$8,'Калькуляция (МИ корр)'!$AJ$8:$BC$8,0)),'Калькуляция (МИ корр)'!$F$25:$F$747,$F125,'Калькуляция (МИ корр)'!$G$25:$G$747,$G125),IF(method_reg="Метод экономически обоснованных расходов",_xlfn.SUMIFS('Калькуляция (МЭОР)'!$AK$25:$AK$452,'Калькуляция (МЭОР)'!$F$25:$F$452,$F125,'Калькуляция (МЭОР)'!$G$25:$G$452,$G125),IF(method_reg="Метод сравнения аналогов",_xlfn.SUMIFS('Калькуляция (МСА)'!$AF$25:$AF$122,'Калькуляция (МСА)'!$F$25:$F$122,$F125,'Калькуляция (МСА)'!$G$25:$G$122,$G125),_xlfn.SUMIFS(INDEX('Калькуляция (МИ)'!$AJ$25:$BC$747,,MATCH(BF$8,'Калькуляция (МИ)'!$AJ$8:$BC$8,0)),'Калькуляция (МИ)'!$F$25:$F$747,$F125,'Калькуляция (МИ)'!$G$25:$G$747,$G125))))</f>
        <v>0</v>
      </c>
      <c r="BG125" s="1095">
        <f>IF(BE125=0,0,(BF125-BE125)/BE125*100)</f>
        <v>0</v>
      </c>
      <c r="BH125" s="5247"/>
      <c r="BI125" s="5247"/>
      <c r="BJ125" s="1095">
        <f>IF(BH125=0,0,(BI125-BH125)/BH125*100)</f>
        <v>0</v>
      </c>
      <c r="BK125" s="5247"/>
      <c r="BL125" s="5247"/>
      <c r="BM125" s="1095">
        <f>IF(BK125=0,0,(BL125-BK125)/BK125*100)</f>
        <v>0</v>
      </c>
      <c r="BN125" s="5247"/>
      <c r="BO125" s="5247"/>
      <c r="BP125" s="1095">
        <f>IF(BN125=0,0,(BO125-BN125)/BN125*100)</f>
        <v>0</v>
      </c>
      <c r="BQ125" s="5247"/>
      <c r="BR125" s="5247"/>
      <c r="BS125" s="1095">
        <f>IF(BQ125=0,0,(BR125-BQ125)/BQ125*100)</f>
        <v>0</v>
      </c>
      <c r="BT125" s="5247"/>
      <c r="BU125" s="5247"/>
      <c r="BV125" s="1095">
        <f>IF(BT125=0,0,(BU125-BT125)/BT125*100)</f>
        <v>0</v>
      </c>
      <c r="BW125" s="5247"/>
      <c r="BX125" s="5247"/>
      <c r="BY125" s="1095">
        <f>IF(BW125=0,0,(BX125-BW125)/BW125*100)</f>
        <v>0</v>
      </c>
      <c r="BZ125" s="5247"/>
      <c r="CA125" s="5247"/>
      <c r="CB125" s="1095">
        <f>IF(BZ125=0,0,(CA125-BZ125)/BZ125*100)</f>
        <v>0</v>
      </c>
      <c r="CC125" s="5247"/>
      <c r="CD125" s="5247"/>
      <c r="CE125" s="1095">
        <f>IF(CC125=0,0,(CD125-CC125)/CC125*100)</f>
        <v>0</v>
      </c>
      <c r="CF125" s="5247"/>
      <c r="CG125" s="5247"/>
      <c r="CH125" s="1095">
        <f>IF(CF125=0,0,(CG125-CF125)/CF125*100)</f>
        <v>0</v>
      </c>
      <c r="CI125" s="5247"/>
      <c r="CJ125" s="5247"/>
      <c r="CK125" s="1095">
        <f>IF(CI125=0,0,(CJ125-CI125)/CI125*100)</f>
        <v>0</v>
      </c>
      <c r="CL125" s="5247"/>
      <c r="CM125" s="5247"/>
      <c r="CN125" s="1095">
        <f>IF(CL125=0,0,(CM125-CL125)/CL125*100)</f>
        <v>0</v>
      </c>
      <c r="CO125" s="5247"/>
      <c r="CP125" s="5247"/>
      <c r="CQ125" s="1095">
        <f>IF(CO125=0,0,(CP125-CO125)/CO125*100)</f>
        <v>0</v>
      </c>
      <c r="CR125" s="5247"/>
      <c r="CS125" s="5247"/>
      <c r="CT125" s="1095">
        <f>IF(CR125=0,0,(CS125-CR125)/CR125*100)</f>
        <v>0</v>
      </c>
      <c r="CU125" s="5247"/>
      <c r="CV125" s="5247"/>
      <c r="CW125" s="1095">
        <f>IF(CU125=0,0,(CV125-CU125)/CU125*100)</f>
        <v>0</v>
      </c>
      <c r="CX125" s="5247"/>
      <c r="CY125" s="5247"/>
      <c r="CZ125" s="1095">
        <f>IF(CX125=0,0,(CY125-CX125)/CX125*100)</f>
        <v>0</v>
      </c>
      <c r="DA125" s="5247"/>
      <c r="DB125" s="5247"/>
      <c r="DC125" s="1095">
        <f>IF(DA125=0,0,(DB125-DA125)/DA125*100)</f>
        <v>0</v>
      </c>
      <c r="DD125" s="5247"/>
      <c r="DE125" s="5247"/>
      <c r="DF125" s="1095">
        <f>IF(DD125=0,0,(DE125-DD125)/DD125*100)</f>
        <v>0</v>
      </c>
      <c r="DG125" s="5247"/>
      <c r="DH125" s="5247"/>
      <c r="DI125" s="1095">
        <f>IF(DG125=0,0,(DH125-DG125)/DG125*100)</f>
        <v>0</v>
      </c>
      <c r="DJ125" s="5247"/>
      <c r="DK125" s="5247"/>
      <c r="DL125" s="1095">
        <f>IF(DJ125=0,0,(DK125-DJ125)/DJ125*100)</f>
        <v>0</v>
      </c>
      <c r="DM125" s="5247"/>
      <c r="DN125" s="5247"/>
      <c r="DO125" s="1095">
        <f>IF(DM125=0,0,(DN125-DM125)/DM125*100)</f>
        <v>0</v>
      </c>
      <c r="DP125" s="5247"/>
      <c r="DQ125" s="5247"/>
      <c r="DR125" s="1095">
        <f>IF(DP125=0,0,(DQ125-DP125)/DP125*100)</f>
        <v>0</v>
      </c>
      <c r="DS125" s="5247"/>
      <c r="DT125" s="5247"/>
      <c r="DU125" s="1095">
        <f>IF(DS125=0,0,(DT125-DS125)/DS125*100)</f>
        <v>0</v>
      </c>
      <c r="DV125" s="5247"/>
      <c r="DW125" s="5247"/>
      <c r="DX125" s="1095">
        <f>IF(DV125=0,0,(DW125-DV125)/DV125*100)</f>
        <v>0</v>
      </c>
      <c r="DY125" s="5247"/>
      <c r="DZ125" s="5247"/>
      <c r="EA125" s="1095">
        <f>IF(DY125=0,0,(DZ125-DY125)/DY125*100)</f>
        <v>0</v>
      </c>
      <c r="EB125" s="5247"/>
      <c r="EC125" s="5247"/>
      <c r="ED125" s="1095">
        <f>IF(EB125=0,0,(EC125-EB125)/EB125*100)</f>
        <v>0</v>
      </c>
      <c r="EE125" s="5247"/>
      <c r="EF125" s="5247"/>
      <c r="EG125" s="1095">
        <f>IF(EE125=0,0,(EF125-EE125)/EE125*100)</f>
        <v>0</v>
      </c>
      <c r="EH125" s="5247"/>
      <c r="EI125" s="5247"/>
      <c r="EJ125" s="1095">
        <f>IF(EH125=0,0,(EI125-EH125)/EH125*100)</f>
        <v>0</v>
      </c>
      <c r="EK125" s="5247"/>
      <c r="EL125" s="5247"/>
      <c r="EM125" s="1095">
        <f>IF(EK125=0,0,(EL125-EK125)/EK125*100)</f>
        <v>0</v>
      </c>
      <c r="EN125" s="5247"/>
      <c r="EO125" s="5247"/>
      <c r="EP125" s="1095">
        <f>IF(EN125=0,0,(EO125-EN125)/EN125*100)</f>
        <v>0</v>
      </c>
      <c r="EQ125" s="5247"/>
      <c r="ER125" s="5247"/>
      <c r="ES125" s="1095">
        <f>IF(EQ125=0,0,(ER125-EQ125)/EQ125*100)</f>
        <v>0</v>
      </c>
      <c r="ET125" s="5247"/>
      <c r="EU125" s="5247"/>
      <c r="EV125" s="1095">
        <f>IF(ET125=0,0,(EU125-ET125)/ET125*100)</f>
        <v>0</v>
      </c>
      <c r="EW125" s="5247"/>
      <c r="EX125" s="5247"/>
      <c r="EY125" s="1095">
        <f>IF(EW125=0,0,(EX125-EW125)/EW125*100)</f>
        <v>0</v>
      </c>
      <c r="EZ125" s="5247"/>
      <c r="FA125" s="5247"/>
      <c r="FB125" s="1095">
        <f>IF(EZ125=0,0,(FA125-EZ125)/EZ125*100)</f>
        <v>0</v>
      </c>
      <c r="FC125" s="5247"/>
      <c r="FD125" s="5247"/>
      <c r="FE125" s="1095">
        <f>IF(FC125=0,0,(FD125-FC125)/FC125*100)</f>
        <v>0</v>
      </c>
      <c r="FF125" s="5247"/>
      <c r="FG125" s="5247"/>
      <c r="FH125" s="1095">
        <f>IF(FF125=0,0,(FG125-FF125)/FF125*100)</f>
        <v>0</v>
      </c>
      <c r="FI125" s="5247"/>
      <c r="FJ125" s="5247"/>
      <c r="FK125" s="1095">
        <f>IF(FI125=0,0,(FJ125-FI125)/FI125*100)</f>
        <v>0</v>
      </c>
      <c r="FL125" s="5247"/>
      <c r="FM125" s="5247"/>
      <c r="FN125" s="1095">
        <f>IF(FL125=0,0,(FM125-FL125)/FL125*100)</f>
        <v>0</v>
      </c>
      <c r="FO125" s="5247"/>
      <c r="FP125" s="5247"/>
      <c r="FQ125" s="1095">
        <f>IF(FO125=0,0,(FP125-FO125)/FO125*100)</f>
        <v>0</v>
      </c>
      <c r="FR125" s="5247"/>
      <c r="FS125" s="5247"/>
      <c r="FT125" s="1095">
        <f>IF(FR125=0,0,(FS125-FR125)/FR125*100)</f>
        <v>0</v>
      </c>
      <c r="FU125" s="5247"/>
      <c r="FV125" s="5247"/>
      <c r="FW125" s="1095">
        <f>IF(FU125=0,0,(FV125-FU125)/FU125*100)</f>
        <v>0</v>
      </c>
      <c r="FX125" s="1304"/>
      <c r="FY125" s="1304"/>
      <c r="FZ125" s="1055" t="s">
        <v>2394</v>
      </c>
      <c r="GA125" s="1306"/>
      <c r="GB125" s="1306"/>
      <c r="GC125" s="1305"/>
      <c r="GD125" s="1305"/>
    </row>
    <row s="1834" customFormat="1" customHeight="1" ht="21.75" hidden="1">
      <c r="A126" s="493"/>
      <c r="B126" s="925" cm="1" t="str">
        <f t="array" ref="B126:B126">B125</f>
        <v>false</v>
      </c>
      <c r="C126" s="493"/>
      <c r="D126" s="493"/>
      <c r="E126" s="840">
        <v>22.5</v>
      </c>
      <c r="F126" s="50" cm="1" t="str">
        <f t="array" ref="F126:F126">OFFSET(E126,-1,1)</f>
        <v>1</v>
      </c>
      <c r="G126" s="493"/>
      <c r="H126" s="493" t="s">
        <v>2376</v>
      </c>
      <c r="I126" s="493" t="s">
        <v>2350</v>
      </c>
      <c r="J126" s="493"/>
      <c r="K126" s="493"/>
      <c r="L126" s="493"/>
      <c r="M126" s="493"/>
      <c r="N126" s="493"/>
      <c r="O126" s="493"/>
      <c r="P126" s="493"/>
      <c r="Q126" s="493"/>
      <c r="R126" s="493"/>
      <c r="S126" s="493"/>
      <c r="T126" s="465" cm="1" t="str">
        <f t="array" ref="T126:T126">T125</f>
        <v>true</v>
      </c>
      <c r="U126" s="493"/>
      <c r="V126" s="493"/>
      <c r="W126" s="493"/>
      <c r="X126" s="1596"/>
      <c r="Y126" s="493"/>
      <c r="Z126" s="1545"/>
      <c r="AA126" s="493"/>
      <c r="AB126" s="1091" t="str">
        <f>"ставка платы за содержание системы "&amp;IF(Q92="Водоснабжение","холодного водоснабжения","водоотведения")</f>
        <v>ставка платы за содержание системы холодного водоснабжения</v>
      </c>
      <c r="AC126" s="864" t="s">
        <v>2377</v>
      </c>
      <c r="AD126" s="2846"/>
      <c r="AE126" s="2846"/>
      <c r="AF126" s="1093">
        <f>IF(AD126=0,0,(AE126-AD126)/AD126*100)</f>
        <v>0</v>
      </c>
      <c r="AG126" s="2846"/>
      <c r="AH126" s="2846"/>
      <c r="AI126" s="1093">
        <f>IF(AG126=0,0,(AH126-AG126)/AG126*100)</f>
        <v>0</v>
      </c>
      <c r="AJ126" s="2846"/>
      <c r="AK126" s="2846"/>
      <c r="AL126" s="1093">
        <f>IF(AJ126=0,0,(AK126-AJ126)/AJ126*100)</f>
        <v>0</v>
      </c>
      <c r="AM126" s="2846"/>
      <c r="AN126" s="2846"/>
      <c r="AO126" s="1093">
        <f>IF(AM126=0,0,(AN126-AM126)/AM126*100)</f>
        <v>0</v>
      </c>
      <c r="AP126" s="2846"/>
      <c r="AQ126" s="2846"/>
      <c r="AR126" s="1093">
        <f>IF(AP126=0,0,(AQ126-AP126)/AP126*100)</f>
        <v>0</v>
      </c>
      <c r="AS126" s="2846"/>
      <c r="AT126" s="2846"/>
      <c r="AU126" s="1093">
        <f>IF(AS126=0,0,(AT126-AS126)/AS126*100)</f>
        <v>0</v>
      </c>
      <c r="AV126" s="2846"/>
      <c r="AW126" s="2846"/>
      <c r="AX126" s="1093">
        <f>IF(AV126=0,0,(AW126-AV126)/AV126*100)</f>
        <v>0</v>
      </c>
      <c r="AY126" s="2846"/>
      <c r="AZ126" s="2846"/>
      <c r="BA126" s="1093">
        <f>IF(AY126=0,0,(AZ126-AY126)/AY126*100)</f>
        <v>0</v>
      </c>
      <c r="BB126" s="2846"/>
      <c r="BC126" s="2846"/>
      <c r="BD126" s="1093">
        <f>IF(BB126=0,0,(BC126-BB126)/BB126*100)</f>
        <v>0</v>
      </c>
      <c r="BE126" s="2846"/>
      <c r="BF126" s="2846"/>
      <c r="BG126" s="1093">
        <f>IF(BE126=0,0,(BF126-BE126)/BE126*100)</f>
        <v>0</v>
      </c>
      <c r="BH126" s="2846"/>
      <c r="BI126" s="2846"/>
      <c r="BJ126" s="1093">
        <f>IF(BH126=0,0,(BI126-BH126)/BH126*100)</f>
        <v>0</v>
      </c>
      <c r="BK126" s="2846"/>
      <c r="BL126" s="2846"/>
      <c r="BM126" s="1093">
        <f>IF(BK126=0,0,(BL126-BK126)/BK126*100)</f>
        <v>0</v>
      </c>
      <c r="BN126" s="2846"/>
      <c r="BO126" s="2846"/>
      <c r="BP126" s="1093">
        <f>IF(BN126=0,0,(BO126-BN126)/BN126*100)</f>
        <v>0</v>
      </c>
      <c r="BQ126" s="2846"/>
      <c r="BR126" s="2846"/>
      <c r="BS126" s="1093">
        <f>IF(BQ126=0,0,(BR126-BQ126)/BQ126*100)</f>
        <v>0</v>
      </c>
      <c r="BT126" s="2846"/>
      <c r="BU126" s="2846"/>
      <c r="BV126" s="1093">
        <f>IF(BT126=0,0,(BU126-BT126)/BT126*100)</f>
        <v>0</v>
      </c>
      <c r="BW126" s="2846"/>
      <c r="BX126" s="2846"/>
      <c r="BY126" s="1093">
        <f>IF(BW126=0,0,(BX126-BW126)/BW126*100)</f>
        <v>0</v>
      </c>
      <c r="BZ126" s="2846"/>
      <c r="CA126" s="2846"/>
      <c r="CB126" s="1093">
        <f>IF(BZ126=0,0,(CA126-BZ126)/BZ126*100)</f>
        <v>0</v>
      </c>
      <c r="CC126" s="2846"/>
      <c r="CD126" s="2846"/>
      <c r="CE126" s="1093">
        <f>IF(CC126=0,0,(CD126-CC126)/CC126*100)</f>
        <v>0</v>
      </c>
      <c r="CF126" s="2846"/>
      <c r="CG126" s="2846"/>
      <c r="CH126" s="1093">
        <f>IF(CF126=0,0,(CG126-CF126)/CF126*100)</f>
        <v>0</v>
      </c>
      <c r="CI126" s="2846"/>
      <c r="CJ126" s="2846"/>
      <c r="CK126" s="1093">
        <f>IF(CI126=0,0,(CJ126-CI126)/CI126*100)</f>
        <v>0</v>
      </c>
      <c r="CL126" s="2846"/>
      <c r="CM126" s="2846"/>
      <c r="CN126" s="1093">
        <f>IF(CL126=0,0,(CM126-CL126)/CL126*100)</f>
        <v>0</v>
      </c>
      <c r="CO126" s="2846"/>
      <c r="CP126" s="2846"/>
      <c r="CQ126" s="1093">
        <f>IF(CO126=0,0,(CP126-CO126)/CO126*100)</f>
        <v>0</v>
      </c>
      <c r="CR126" s="2846"/>
      <c r="CS126" s="2846"/>
      <c r="CT126" s="1093">
        <f>IF(CR126=0,0,(CS126-CR126)/CR126*100)</f>
        <v>0</v>
      </c>
      <c r="CU126" s="2846"/>
      <c r="CV126" s="2846"/>
      <c r="CW126" s="1093">
        <f>IF(CU126=0,0,(CV126-CU126)/CU126*100)</f>
        <v>0</v>
      </c>
      <c r="CX126" s="2846"/>
      <c r="CY126" s="2846"/>
      <c r="CZ126" s="1093">
        <f>IF(CX126=0,0,(CY126-CX126)/CX126*100)</f>
        <v>0</v>
      </c>
      <c r="DA126" s="2846"/>
      <c r="DB126" s="2846"/>
      <c r="DC126" s="1093">
        <f>IF(DA126=0,0,(DB126-DA126)/DA126*100)</f>
        <v>0</v>
      </c>
      <c r="DD126" s="2846"/>
      <c r="DE126" s="2846"/>
      <c r="DF126" s="1093">
        <f>IF(DD126=0,0,(DE126-DD126)/DD126*100)</f>
        <v>0</v>
      </c>
      <c r="DG126" s="2846"/>
      <c r="DH126" s="2846"/>
      <c r="DI126" s="1093">
        <f>IF(DG126=0,0,(DH126-DG126)/DG126*100)</f>
        <v>0</v>
      </c>
      <c r="DJ126" s="2846"/>
      <c r="DK126" s="2846"/>
      <c r="DL126" s="1093">
        <f>IF(DJ126=0,0,(DK126-DJ126)/DJ126*100)</f>
        <v>0</v>
      </c>
      <c r="DM126" s="2846"/>
      <c r="DN126" s="2846"/>
      <c r="DO126" s="1093">
        <f>IF(DM126=0,0,(DN126-DM126)/DM126*100)</f>
        <v>0</v>
      </c>
      <c r="DP126" s="2846"/>
      <c r="DQ126" s="2846"/>
      <c r="DR126" s="1093">
        <f>IF(DP126=0,0,(DQ126-DP126)/DP126*100)</f>
        <v>0</v>
      </c>
      <c r="DS126" s="2846"/>
      <c r="DT126" s="2846"/>
      <c r="DU126" s="1093">
        <f>IF(DS126=0,0,(DT126-DS126)/DS126*100)</f>
        <v>0</v>
      </c>
      <c r="DV126" s="2846"/>
      <c r="DW126" s="2846"/>
      <c r="DX126" s="1093">
        <f>IF(DV126=0,0,(DW126-DV126)/DV126*100)</f>
        <v>0</v>
      </c>
      <c r="DY126" s="2846"/>
      <c r="DZ126" s="2846"/>
      <c r="EA126" s="1093">
        <f>IF(DY126=0,0,(DZ126-DY126)/DY126*100)</f>
        <v>0</v>
      </c>
      <c r="EB126" s="2846"/>
      <c r="EC126" s="2846"/>
      <c r="ED126" s="1093">
        <f>IF(EB126=0,0,(EC126-EB126)/EB126*100)</f>
        <v>0</v>
      </c>
      <c r="EE126" s="2846"/>
      <c r="EF126" s="2846"/>
      <c r="EG126" s="1093">
        <f>IF(EE126=0,0,(EF126-EE126)/EE126*100)</f>
        <v>0</v>
      </c>
      <c r="EH126" s="2846"/>
      <c r="EI126" s="2846"/>
      <c r="EJ126" s="1093">
        <f>IF(EH126=0,0,(EI126-EH126)/EH126*100)</f>
        <v>0</v>
      </c>
      <c r="EK126" s="2846"/>
      <c r="EL126" s="2846"/>
      <c r="EM126" s="1093">
        <f>IF(EK126=0,0,(EL126-EK126)/EK126*100)</f>
        <v>0</v>
      </c>
      <c r="EN126" s="2846"/>
      <c r="EO126" s="2846"/>
      <c r="EP126" s="1093">
        <f>IF(EN126=0,0,(EO126-EN126)/EN126*100)</f>
        <v>0</v>
      </c>
      <c r="EQ126" s="2846"/>
      <c r="ER126" s="2846"/>
      <c r="ES126" s="1093">
        <f>IF(EQ126=0,0,(ER126-EQ126)/EQ126*100)</f>
        <v>0</v>
      </c>
      <c r="ET126" s="2846"/>
      <c r="EU126" s="2846"/>
      <c r="EV126" s="1093">
        <f>IF(ET126=0,0,(EU126-ET126)/ET126*100)</f>
        <v>0</v>
      </c>
      <c r="EW126" s="2846"/>
      <c r="EX126" s="2846"/>
      <c r="EY126" s="1093">
        <f>IF(EW126=0,0,(EX126-EW126)/EW126*100)</f>
        <v>0</v>
      </c>
      <c r="EZ126" s="2846"/>
      <c r="FA126" s="2846"/>
      <c r="FB126" s="1093">
        <f>IF(EZ126=0,0,(FA126-EZ126)/EZ126*100)</f>
        <v>0</v>
      </c>
      <c r="FC126" s="2846"/>
      <c r="FD126" s="2846"/>
      <c r="FE126" s="1093">
        <f>IF(FC126=0,0,(FD126-FC126)/FC126*100)</f>
        <v>0</v>
      </c>
      <c r="FF126" s="2846"/>
      <c r="FG126" s="2846"/>
      <c r="FH126" s="1093">
        <f>IF(FF126=0,0,(FG126-FF126)/FF126*100)</f>
        <v>0</v>
      </c>
      <c r="FI126" s="2846"/>
      <c r="FJ126" s="2846"/>
      <c r="FK126" s="1093">
        <f>IF(FI126=0,0,(FJ126-FI126)/FI126*100)</f>
        <v>0</v>
      </c>
      <c r="FL126" s="2846"/>
      <c r="FM126" s="2846"/>
      <c r="FN126" s="1093">
        <f>IF(FL126=0,0,(FM126-FL126)/FL126*100)</f>
        <v>0</v>
      </c>
      <c r="FO126" s="2846"/>
      <c r="FP126" s="2846"/>
      <c r="FQ126" s="1093">
        <f>IF(FO126=0,0,(FP126-FO126)/FO126*100)</f>
        <v>0</v>
      </c>
      <c r="FR126" s="2846"/>
      <c r="FS126" s="2846"/>
      <c r="FT126" s="1093">
        <f>IF(FR126=0,0,(FS126-FR126)/FR126*100)</f>
        <v>0</v>
      </c>
      <c r="FU126" s="2846"/>
      <c r="FV126" s="2846"/>
      <c r="FW126" s="1093">
        <f>IF(FU126=0,0,(FV126-FU126)/FU126*100)</f>
        <v>0</v>
      </c>
      <c r="FX126" s="1304"/>
      <c r="FY126" s="1304"/>
      <c r="FZ126" s="1055" t="s">
        <v>2395</v>
      </c>
      <c r="GA126" s="1306"/>
      <c r="GB126" s="1306"/>
      <c r="GC126" s="1305"/>
      <c r="GD126" s="1305"/>
    </row>
    <row s="1834" customFormat="1" customHeight="1" ht="14.25" hidden="1">
      <c r="A127" s="493"/>
      <c r="B127" s="925" cm="1" t="str">
        <f t="array" ref="B127:B127">B126</f>
        <v>false</v>
      </c>
      <c r="C127" s="493"/>
      <c r="D127" s="493"/>
      <c r="E127" s="840">
        <v>15</v>
      </c>
      <c r="F127" s="50" cm="1" t="str">
        <f t="array" ref="F127:F127">OFFSET(E127,-1,1)</f>
        <v>1</v>
      </c>
      <c r="G127" s="493"/>
      <c r="H127" s="493" t="s">
        <v>2379</v>
      </c>
      <c r="I127" s="493" t="s">
        <v>2350</v>
      </c>
      <c r="J127" s="493"/>
      <c r="K127" s="493"/>
      <c r="L127" s="493"/>
      <c r="M127" s="493"/>
      <c r="N127" s="493"/>
      <c r="O127" s="493"/>
      <c r="P127" s="493"/>
      <c r="Q127" s="493"/>
      <c r="R127" s="493"/>
      <c r="S127" s="493"/>
      <c r="T127" s="465" cm="1" t="str">
        <f t="array" ref="T127:T127">T126</f>
        <v>true</v>
      </c>
      <c r="U127" s="493"/>
      <c r="V127" s="493"/>
      <c r="W127" s="493"/>
      <c r="X127" s="1596"/>
      <c r="Y127" s="493"/>
      <c r="Z127" s="1545"/>
      <c r="AA127" s="493"/>
      <c r="AB127" s="1091" t="s">
        <v>2380</v>
      </c>
      <c r="AC127" s="864" t="s">
        <v>2381</v>
      </c>
      <c r="AD127" s="2846"/>
      <c r="AE127" s="2846"/>
      <c r="AF127" s="1093">
        <f>IF(AD127=0,0,(AE127-AD127)/AD127*100)</f>
        <v>0</v>
      </c>
      <c r="AG127" s="2846"/>
      <c r="AH127" s="2846"/>
      <c r="AI127" s="1093">
        <f>IF(AG127=0,0,(AH127-AG127)/AG127*100)</f>
        <v>0</v>
      </c>
      <c r="AJ127" s="2846"/>
      <c r="AK127" s="2846"/>
      <c r="AL127" s="1093">
        <f>IF(AJ127=0,0,(AK127-AJ127)/AJ127*100)</f>
        <v>0</v>
      </c>
      <c r="AM127" s="2846"/>
      <c r="AN127" s="2846"/>
      <c r="AO127" s="1093">
        <f>IF(AM127=0,0,(AN127-AM127)/AM127*100)</f>
        <v>0</v>
      </c>
      <c r="AP127" s="2846"/>
      <c r="AQ127" s="2846"/>
      <c r="AR127" s="1093">
        <f>IF(AP127=0,0,(AQ127-AP127)/AP127*100)</f>
        <v>0</v>
      </c>
      <c r="AS127" s="2846"/>
      <c r="AT127" s="2846"/>
      <c r="AU127" s="1093">
        <f>IF(AS127=0,0,(AT127-AS127)/AS127*100)</f>
        <v>0</v>
      </c>
      <c r="AV127" s="2846"/>
      <c r="AW127" s="2846"/>
      <c r="AX127" s="1093">
        <f>IF(AV127=0,0,(AW127-AV127)/AV127*100)</f>
        <v>0</v>
      </c>
      <c r="AY127" s="2846"/>
      <c r="AZ127" s="2846"/>
      <c r="BA127" s="1093">
        <f>IF(AY127=0,0,(AZ127-AY127)/AY127*100)</f>
        <v>0</v>
      </c>
      <c r="BB127" s="2846"/>
      <c r="BC127" s="2846"/>
      <c r="BD127" s="1093">
        <f>IF(BB127=0,0,(BC127-BB127)/BB127*100)</f>
        <v>0</v>
      </c>
      <c r="BE127" s="2846"/>
      <c r="BF127" s="2846"/>
      <c r="BG127" s="1093">
        <f>IF(BE127=0,0,(BF127-BE127)/BE127*100)</f>
        <v>0</v>
      </c>
      <c r="BH127" s="2846"/>
      <c r="BI127" s="2846"/>
      <c r="BJ127" s="1093">
        <f>IF(BH127=0,0,(BI127-BH127)/BH127*100)</f>
        <v>0</v>
      </c>
      <c r="BK127" s="2846"/>
      <c r="BL127" s="2846"/>
      <c r="BM127" s="1093">
        <f>IF(BK127=0,0,(BL127-BK127)/BK127*100)</f>
        <v>0</v>
      </c>
      <c r="BN127" s="2846"/>
      <c r="BO127" s="2846"/>
      <c r="BP127" s="1093">
        <f>IF(BN127=0,0,(BO127-BN127)/BN127*100)</f>
        <v>0</v>
      </c>
      <c r="BQ127" s="2846"/>
      <c r="BR127" s="2846"/>
      <c r="BS127" s="1093">
        <f>IF(BQ127=0,0,(BR127-BQ127)/BQ127*100)</f>
        <v>0</v>
      </c>
      <c r="BT127" s="2846"/>
      <c r="BU127" s="2846"/>
      <c r="BV127" s="1093">
        <f>IF(BT127=0,0,(BU127-BT127)/BT127*100)</f>
        <v>0</v>
      </c>
      <c r="BW127" s="2846"/>
      <c r="BX127" s="2846"/>
      <c r="BY127" s="1093">
        <f>IF(BW127=0,0,(BX127-BW127)/BW127*100)</f>
        <v>0</v>
      </c>
      <c r="BZ127" s="2846"/>
      <c r="CA127" s="2846"/>
      <c r="CB127" s="1093">
        <f>IF(BZ127=0,0,(CA127-BZ127)/BZ127*100)</f>
        <v>0</v>
      </c>
      <c r="CC127" s="2846"/>
      <c r="CD127" s="2846"/>
      <c r="CE127" s="1093">
        <f>IF(CC127=0,0,(CD127-CC127)/CC127*100)</f>
        <v>0</v>
      </c>
      <c r="CF127" s="2846"/>
      <c r="CG127" s="2846"/>
      <c r="CH127" s="1093">
        <f>IF(CF127=0,0,(CG127-CF127)/CF127*100)</f>
        <v>0</v>
      </c>
      <c r="CI127" s="2846"/>
      <c r="CJ127" s="2846"/>
      <c r="CK127" s="1093">
        <f>IF(CI127=0,0,(CJ127-CI127)/CI127*100)</f>
        <v>0</v>
      </c>
      <c r="CL127" s="2846"/>
      <c r="CM127" s="2846"/>
      <c r="CN127" s="1093">
        <f>IF(CL127=0,0,(CM127-CL127)/CL127*100)</f>
        <v>0</v>
      </c>
      <c r="CO127" s="2846"/>
      <c r="CP127" s="2846"/>
      <c r="CQ127" s="1093">
        <f>IF(CO127=0,0,(CP127-CO127)/CO127*100)</f>
        <v>0</v>
      </c>
      <c r="CR127" s="2846"/>
      <c r="CS127" s="2846"/>
      <c r="CT127" s="1093">
        <f>IF(CR127=0,0,(CS127-CR127)/CR127*100)</f>
        <v>0</v>
      </c>
      <c r="CU127" s="2846"/>
      <c r="CV127" s="2846"/>
      <c r="CW127" s="1093">
        <f>IF(CU127=0,0,(CV127-CU127)/CU127*100)</f>
        <v>0</v>
      </c>
      <c r="CX127" s="2846"/>
      <c r="CY127" s="2846"/>
      <c r="CZ127" s="1093">
        <f>IF(CX127=0,0,(CY127-CX127)/CX127*100)</f>
        <v>0</v>
      </c>
      <c r="DA127" s="2846"/>
      <c r="DB127" s="2846"/>
      <c r="DC127" s="1093">
        <f>IF(DA127=0,0,(DB127-DA127)/DA127*100)</f>
        <v>0</v>
      </c>
      <c r="DD127" s="2846"/>
      <c r="DE127" s="2846"/>
      <c r="DF127" s="1093">
        <f>IF(DD127=0,0,(DE127-DD127)/DD127*100)</f>
        <v>0</v>
      </c>
      <c r="DG127" s="2846"/>
      <c r="DH127" s="2846"/>
      <c r="DI127" s="1093">
        <f>IF(DG127=0,0,(DH127-DG127)/DG127*100)</f>
        <v>0</v>
      </c>
      <c r="DJ127" s="2846"/>
      <c r="DK127" s="2846"/>
      <c r="DL127" s="1093">
        <f>IF(DJ127=0,0,(DK127-DJ127)/DJ127*100)</f>
        <v>0</v>
      </c>
      <c r="DM127" s="2846"/>
      <c r="DN127" s="2846"/>
      <c r="DO127" s="1093">
        <f>IF(DM127=0,0,(DN127-DM127)/DM127*100)</f>
        <v>0</v>
      </c>
      <c r="DP127" s="2846"/>
      <c r="DQ127" s="2846"/>
      <c r="DR127" s="1093">
        <f>IF(DP127=0,0,(DQ127-DP127)/DP127*100)</f>
        <v>0</v>
      </c>
      <c r="DS127" s="2846"/>
      <c r="DT127" s="2846"/>
      <c r="DU127" s="1093">
        <f>IF(DS127=0,0,(DT127-DS127)/DS127*100)</f>
        <v>0</v>
      </c>
      <c r="DV127" s="2846"/>
      <c r="DW127" s="2846"/>
      <c r="DX127" s="1093">
        <f>IF(DV127=0,0,(DW127-DV127)/DV127*100)</f>
        <v>0</v>
      </c>
      <c r="DY127" s="2846"/>
      <c r="DZ127" s="2846"/>
      <c r="EA127" s="1093">
        <f>IF(DY127=0,0,(DZ127-DY127)/DY127*100)</f>
        <v>0</v>
      </c>
      <c r="EB127" s="2846"/>
      <c r="EC127" s="2846"/>
      <c r="ED127" s="1093">
        <f>IF(EB127=0,0,(EC127-EB127)/EB127*100)</f>
        <v>0</v>
      </c>
      <c r="EE127" s="2846"/>
      <c r="EF127" s="2846"/>
      <c r="EG127" s="1093">
        <f>IF(EE127=0,0,(EF127-EE127)/EE127*100)</f>
        <v>0</v>
      </c>
      <c r="EH127" s="2846"/>
      <c r="EI127" s="2846"/>
      <c r="EJ127" s="1093">
        <f>IF(EH127=0,0,(EI127-EH127)/EH127*100)</f>
        <v>0</v>
      </c>
      <c r="EK127" s="2846"/>
      <c r="EL127" s="2846"/>
      <c r="EM127" s="1093">
        <f>IF(EK127=0,0,(EL127-EK127)/EK127*100)</f>
        <v>0</v>
      </c>
      <c r="EN127" s="2846"/>
      <c r="EO127" s="2846"/>
      <c r="EP127" s="1093">
        <f>IF(EN127=0,0,(EO127-EN127)/EN127*100)</f>
        <v>0</v>
      </c>
      <c r="EQ127" s="2846"/>
      <c r="ER127" s="2846"/>
      <c r="ES127" s="1093">
        <f>IF(EQ127=0,0,(ER127-EQ127)/EQ127*100)</f>
        <v>0</v>
      </c>
      <c r="ET127" s="2846"/>
      <c r="EU127" s="2846"/>
      <c r="EV127" s="1093">
        <f>IF(ET127=0,0,(EU127-ET127)/ET127*100)</f>
        <v>0</v>
      </c>
      <c r="EW127" s="2846"/>
      <c r="EX127" s="2846"/>
      <c r="EY127" s="1093">
        <f>IF(EW127=0,0,(EX127-EW127)/EW127*100)</f>
        <v>0</v>
      </c>
      <c r="EZ127" s="2846"/>
      <c r="FA127" s="2846"/>
      <c r="FB127" s="1093">
        <f>IF(EZ127=0,0,(FA127-EZ127)/EZ127*100)</f>
        <v>0</v>
      </c>
      <c r="FC127" s="2846"/>
      <c r="FD127" s="2846"/>
      <c r="FE127" s="1093">
        <f>IF(FC127=0,0,(FD127-FC127)/FC127*100)</f>
        <v>0</v>
      </c>
      <c r="FF127" s="2846"/>
      <c r="FG127" s="2846"/>
      <c r="FH127" s="1093">
        <f>IF(FF127=0,0,(FG127-FF127)/FF127*100)</f>
        <v>0</v>
      </c>
      <c r="FI127" s="2846"/>
      <c r="FJ127" s="2846"/>
      <c r="FK127" s="1093">
        <f>IF(FI127=0,0,(FJ127-FI127)/FI127*100)</f>
        <v>0</v>
      </c>
      <c r="FL127" s="2846"/>
      <c r="FM127" s="2846"/>
      <c r="FN127" s="1093">
        <f>IF(FL127=0,0,(FM127-FL127)/FL127*100)</f>
        <v>0</v>
      </c>
      <c r="FO127" s="2846"/>
      <c r="FP127" s="2846"/>
      <c r="FQ127" s="1093">
        <f>IF(FO127=0,0,(FP127-FO127)/FO127*100)</f>
        <v>0</v>
      </c>
      <c r="FR127" s="2846"/>
      <c r="FS127" s="2846"/>
      <c r="FT127" s="1093">
        <f>IF(FR127=0,0,(FS127-FR127)/FR127*100)</f>
        <v>0</v>
      </c>
      <c r="FU127" s="2846"/>
      <c r="FV127" s="2846"/>
      <c r="FW127" s="1093">
        <f>IF(FU127=0,0,(FV127-FU127)/FU127*100)</f>
        <v>0</v>
      </c>
      <c r="FX127" s="1304"/>
      <c r="FY127" s="1304"/>
      <c r="FZ127" s="1055" t="s">
        <v>2396</v>
      </c>
      <c r="GA127" s="1306"/>
      <c r="GB127" s="1306"/>
      <c r="GC127" s="1305"/>
      <c r="GD127" s="1305"/>
    </row>
    <row s="1834" customFormat="1" customHeight="1" ht="23.25" hidden="1">
      <c r="A128" s="493"/>
      <c r="B128" s="925" cm="1" t="str">
        <f t="array" ref="B128:B128">B127</f>
        <v>false</v>
      </c>
      <c r="C128" s="493"/>
      <c r="D128" s="493"/>
      <c r="E128" s="840">
        <v>24.5</v>
      </c>
      <c r="F128" s="50" cm="1" t="str">
        <f t="array" ref="F128:F128">OFFSET(E128,-1,1)</f>
        <v>1</v>
      </c>
      <c r="G128" s="493"/>
      <c r="H128" s="493"/>
      <c r="I128" s="493"/>
      <c r="J128" s="493"/>
      <c r="K128" s="493"/>
      <c r="L128" s="493"/>
      <c r="M128" s="493"/>
      <c r="N128" s="493"/>
      <c r="O128" s="493"/>
      <c r="P128" s="493"/>
      <c r="Q128" s="493"/>
      <c r="R128" s="493"/>
      <c r="S128" s="493"/>
      <c r="T128" s="465" cm="1" t="str">
        <f t="array" ref="T128:T128">T127</f>
        <v>true</v>
      </c>
      <c r="U128" s="493"/>
      <c r="V128" s="493"/>
      <c r="W128" s="493"/>
      <c r="X128" s="1596"/>
      <c r="Y128" s="493"/>
      <c r="Z128" s="1545"/>
      <c r="AA128" s="493"/>
      <c r="AB128" s="293" t="s">
        <v>2397</v>
      </c>
      <c r="AC128" s="903"/>
      <c r="AD128" s="1102"/>
      <c r="AE128" s="1102"/>
      <c r="AF128" s="1102"/>
      <c r="AG128" s="1102"/>
      <c r="AH128" s="1102"/>
      <c r="AI128" s="1102"/>
      <c r="AJ128" s="1102"/>
      <c r="AK128" s="1102"/>
      <c r="AL128" s="1102"/>
      <c r="AM128" s="1102"/>
      <c r="AN128" s="1102"/>
      <c r="AO128" s="1102"/>
      <c r="AP128" s="1102"/>
      <c r="AQ128" s="1102"/>
      <c r="AR128" s="1102"/>
      <c r="AS128" s="1102"/>
      <c r="AT128" s="1102"/>
      <c r="AU128" s="1102"/>
      <c r="AV128" s="1102"/>
      <c r="AW128" s="1102"/>
      <c r="AX128" s="1102"/>
      <c r="AY128" s="1102"/>
      <c r="AZ128" s="1102"/>
      <c r="BA128" s="1102"/>
      <c r="BB128" s="1102"/>
      <c r="BC128" s="1102"/>
      <c r="BD128" s="1102"/>
      <c r="BE128" s="1102"/>
      <c r="BF128" s="1102"/>
      <c r="BG128" s="1102"/>
      <c r="BH128" s="1102"/>
      <c r="BI128" s="1102"/>
      <c r="BJ128" s="1102"/>
      <c r="BK128" s="1102"/>
      <c r="BL128" s="1102"/>
      <c r="BM128" s="1102"/>
      <c r="BN128" s="1102"/>
      <c r="BO128" s="1102"/>
      <c r="BP128" s="1102"/>
      <c r="BQ128" s="1102"/>
      <c r="BR128" s="1102"/>
      <c r="BS128" s="1102"/>
      <c r="BT128" s="1102"/>
      <c r="BU128" s="1102"/>
      <c r="BV128" s="1102"/>
      <c r="BW128" s="1102"/>
      <c r="BX128" s="1102"/>
      <c r="BY128" s="1102"/>
      <c r="BZ128" s="1102"/>
      <c r="CA128" s="1102"/>
      <c r="CB128" s="1102"/>
      <c r="CC128" s="1102"/>
      <c r="CD128" s="1102"/>
      <c r="CE128" s="1102"/>
      <c r="CF128" s="1102"/>
      <c r="CG128" s="1102"/>
      <c r="CH128" s="1102"/>
      <c r="CI128" s="1102"/>
      <c r="CJ128" s="1102"/>
      <c r="CK128" s="1102"/>
      <c r="CL128" s="1102"/>
      <c r="CM128" s="1102"/>
      <c r="CN128" s="1102"/>
      <c r="CO128" s="1102"/>
      <c r="CP128" s="1102"/>
      <c r="CQ128" s="1102"/>
      <c r="CR128" s="1102"/>
      <c r="CS128" s="1102"/>
      <c r="CT128" s="1102"/>
      <c r="CU128" s="1102"/>
      <c r="CV128" s="1102"/>
      <c r="CW128" s="1102"/>
      <c r="CX128" s="1102"/>
      <c r="CY128" s="1102"/>
      <c r="CZ128" s="1102"/>
      <c r="DA128" s="1102"/>
      <c r="DB128" s="1102"/>
      <c r="DC128" s="1102"/>
      <c r="DD128" s="1102"/>
      <c r="DE128" s="1102"/>
      <c r="DF128" s="1102"/>
      <c r="DG128" s="1102"/>
      <c r="DH128" s="1102"/>
      <c r="DI128" s="1102"/>
      <c r="DJ128" s="1102"/>
      <c r="DK128" s="1102"/>
      <c r="DL128" s="1102"/>
      <c r="DM128" s="1102"/>
      <c r="DN128" s="1102"/>
      <c r="DO128" s="1102"/>
      <c r="DP128" s="1102"/>
      <c r="DQ128" s="1102"/>
      <c r="DR128" s="1102"/>
      <c r="DS128" s="1102"/>
      <c r="DT128" s="1102"/>
      <c r="DU128" s="1102"/>
      <c r="DV128" s="1102"/>
      <c r="DW128" s="1102"/>
      <c r="DX128" s="1102"/>
      <c r="DY128" s="1102"/>
      <c r="DZ128" s="1102"/>
      <c r="EA128" s="1102"/>
      <c r="EB128" s="1102"/>
      <c r="EC128" s="1102"/>
      <c r="ED128" s="1102"/>
      <c r="EE128" s="1102"/>
      <c r="EF128" s="1102"/>
      <c r="EG128" s="1102"/>
      <c r="EH128" s="1102"/>
      <c r="EI128" s="1102"/>
      <c r="EJ128" s="1102"/>
      <c r="EK128" s="1102"/>
      <c r="EL128" s="1102"/>
      <c r="EM128" s="1102"/>
      <c r="EN128" s="1102"/>
      <c r="EO128" s="1102"/>
      <c r="EP128" s="1102"/>
      <c r="EQ128" s="1102"/>
      <c r="ER128" s="1102"/>
      <c r="ES128" s="1102"/>
      <c r="ET128" s="1102"/>
      <c r="EU128" s="1102"/>
      <c r="EV128" s="1102"/>
      <c r="EW128" s="1102"/>
      <c r="EX128" s="1102"/>
      <c r="EY128" s="1102"/>
      <c r="EZ128" s="1102"/>
      <c r="FA128" s="1102"/>
      <c r="FB128" s="1102"/>
      <c r="FC128" s="1102"/>
      <c r="FD128" s="1102"/>
      <c r="FE128" s="1102"/>
      <c r="FF128" s="1102"/>
      <c r="FG128" s="1102"/>
      <c r="FH128" s="1102"/>
      <c r="FI128" s="1102"/>
      <c r="FJ128" s="1102"/>
      <c r="FK128" s="1102"/>
      <c r="FL128" s="1102"/>
      <c r="FM128" s="1102"/>
      <c r="FN128" s="1102"/>
      <c r="FO128" s="1102"/>
      <c r="FP128" s="1102"/>
      <c r="FQ128" s="1102"/>
      <c r="FR128" s="1102"/>
      <c r="FS128" s="1102"/>
      <c r="FT128" s="1102"/>
      <c r="FU128" s="1102"/>
      <c r="FV128" s="1102"/>
      <c r="FW128" s="1103"/>
      <c r="FX128" s="1304"/>
      <c r="FY128" s="1304"/>
      <c r="FZ128" s="1055"/>
      <c r="GA128" s="1306"/>
      <c r="GB128" s="1306"/>
      <c r="GC128" s="1305"/>
      <c r="GD128" s="1305"/>
    </row>
    <row s="1834" customFormat="1" customHeight="1" ht="14.25" hidden="1">
      <c r="A129" s="493"/>
      <c r="B129" s="925" cm="1" t="str">
        <f t="array" ref="B129:B129">B128</f>
        <v>false</v>
      </c>
      <c r="C129" s="493"/>
      <c r="D129" s="493"/>
      <c r="E129" s="840">
        <v>15</v>
      </c>
      <c r="F129" s="50" cm="1" t="str">
        <f t="array" ref="F129:F129">OFFSET(E129,-1,1)</f>
        <v>1</v>
      </c>
      <c r="G129" s="493"/>
      <c r="H129" s="493" t="s">
        <v>2295</v>
      </c>
      <c r="I129" s="493" t="s">
        <v>2354</v>
      </c>
      <c r="J129" s="493"/>
      <c r="K129" s="493"/>
      <c r="L129" s="493"/>
      <c r="M129" s="493"/>
      <c r="N129" s="493"/>
      <c r="O129" s="493"/>
      <c r="P129" s="493"/>
      <c r="Q129" s="493"/>
      <c r="R129" s="493"/>
      <c r="S129" s="493"/>
      <c r="T129" s="465" cm="1" t="str">
        <f t="array" ref="T129:T129">T128</f>
        <v>true</v>
      </c>
      <c r="U129" s="493"/>
      <c r="V129" s="493"/>
      <c r="W129" s="493"/>
      <c r="X129" s="1596"/>
      <c r="Y129" s="493"/>
      <c r="Z129" s="1545"/>
      <c r="AA129" s="493"/>
      <c r="AB129" s="1091" t="s">
        <v>2370</v>
      </c>
      <c r="AC129" s="864" t="s">
        <v>2337</v>
      </c>
      <c r="AD129" s="2846">
        <f>IF(AD131=0,0,(AD130*AD131+AD132*AD133*IF(god=2026,3,6))/AD131)</f>
        <v>0</v>
      </c>
      <c r="AE129" s="2846">
        <f>IF(AE131=0,0,(AE130*AE131+AE132*AE133*IF(god=2026,3,6))/AE131)</f>
        <v>0</v>
      </c>
      <c r="AF129" s="1093">
        <f>IF(AD129=0,0,(AE129-AD129)/AD129*100)</f>
        <v>0</v>
      </c>
      <c r="AG129" s="2846">
        <f>IF(AG131=0,0,(AG130*AG131+AG132*AG133*IF(god=2025,3,6))/AG131)</f>
        <v>0</v>
      </c>
      <c r="AH129" s="2846">
        <f>IF(AH131=0,0,(AH130*AH131+AH132*AH133*IF(god=2025,3,6))/AH131)</f>
        <v>0</v>
      </c>
      <c r="AI129" s="1093">
        <f>IF(AG129=0,0,(AH129-AG129)/AG129*100)</f>
        <v>0</v>
      </c>
      <c r="AJ129" s="2846">
        <f>IF(AJ131=0,0,(AJ130*AJ131+AJ132*AJ133*6)/AJ131)</f>
        <v>0</v>
      </c>
      <c r="AK129" s="2846">
        <f>IF(AK131=0,0,(AK130*AK131+AK132*AK133*6)/AK131)</f>
        <v>0</v>
      </c>
      <c r="AL129" s="1093">
        <f>IF(AJ129=0,0,(AK129-AJ129)/AJ129*100)</f>
        <v>0</v>
      </c>
      <c r="AM129" s="2846">
        <f>IF(AM131=0,0,(AM130*AM131+AM132*AM133*6)/AM131)</f>
        <v>0</v>
      </c>
      <c r="AN129" s="2846">
        <f>IF(AN131=0,0,(AN130*AN131+AN132*AN133*6)/AN131)</f>
        <v>0</v>
      </c>
      <c r="AO129" s="1093">
        <f>IF(AM129=0,0,(AN129-AM129)/AM129*100)</f>
        <v>0</v>
      </c>
      <c r="AP129" s="2846">
        <f>IF(AP131=0,0,(AP130*AP131+AP132*AP133*6)/AP131)</f>
        <v>0</v>
      </c>
      <c r="AQ129" s="2846">
        <f>IF(AQ131=0,0,(AQ130*AQ131+AQ132*AQ133*6)/AQ131)</f>
        <v>0</v>
      </c>
      <c r="AR129" s="1093">
        <f>IF(AP129=0,0,(AQ129-AP129)/AP129*100)</f>
        <v>0</v>
      </c>
      <c r="AS129" s="2846">
        <f>IF(AS131=0,0,(AS130*AS131+AS132*AS133*6)/AS131)</f>
        <v>0</v>
      </c>
      <c r="AT129" s="2846">
        <f>IF(AT131=0,0,(AT130*AT131+AT132*AT133*6)/AT131)</f>
        <v>0</v>
      </c>
      <c r="AU129" s="1093">
        <f>IF(AS129=0,0,(AT129-AS129)/AS129*100)</f>
        <v>0</v>
      </c>
      <c r="AV129" s="2846">
        <f>IF(AV131=0,0,(AV130*AV131+AV132*AV133*6)/AV131)</f>
        <v>0</v>
      </c>
      <c r="AW129" s="2846">
        <f>IF(AW131=0,0,(AW130*AW131+AW132*AW133*6)/AW131)</f>
        <v>0</v>
      </c>
      <c r="AX129" s="1093">
        <f>IF(AV129=0,0,(AW129-AV129)/AV129*100)</f>
        <v>0</v>
      </c>
      <c r="AY129" s="2846">
        <f>IF(AY131=0,0,(AY130*AY131+AY132*AY133*6)/AY131)</f>
        <v>0</v>
      </c>
      <c r="AZ129" s="2846">
        <f>IF(AZ131=0,0,(AZ130*AZ131+AZ132*AZ133*6)/AZ131)</f>
        <v>0</v>
      </c>
      <c r="BA129" s="1093">
        <f>IF(AY129=0,0,(AZ129-AY129)/AY129*100)</f>
        <v>0</v>
      </c>
      <c r="BB129" s="2846">
        <f>IF(BB131=0,0,(BB130*BB131+BB132*BB133*6)/BB131)</f>
        <v>0</v>
      </c>
      <c r="BC129" s="2846">
        <f>IF(BC131=0,0,(BC130*BC131+BC132*BC133*6)/BC131)</f>
        <v>0</v>
      </c>
      <c r="BD129" s="1093">
        <f>IF(BB129=0,0,(BC129-BB129)/BB129*100)</f>
        <v>0</v>
      </c>
      <c r="BE129" s="2846">
        <f>IF(BE131=0,0,(BE130*BE131+BE132*BE133*6)/BE131)</f>
        <v>0</v>
      </c>
      <c r="BF129" s="2846">
        <f>IF(BF131=0,0,(BF130*BF131+BF132*BF133*6)/BF131)</f>
        <v>0</v>
      </c>
      <c r="BG129" s="1093">
        <f>IF(BE129=0,0,(BF129-BE129)/BE129*100)</f>
        <v>0</v>
      </c>
      <c r="BH129" s="2846">
        <f>IF(BH131=0,0,(BH130*BH131+BH132*BH133*6)/BH131)</f>
        <v>0</v>
      </c>
      <c r="BI129" s="2846">
        <f>IF(BI131=0,0,(BI130*BI131+BI132*BI133*6)/BI131)</f>
        <v>0</v>
      </c>
      <c r="BJ129" s="1093">
        <f>IF(BH129=0,0,(BI129-BH129)/BH129*100)</f>
        <v>0</v>
      </c>
      <c r="BK129" s="2846">
        <f>IF(BK131=0,0,(BK130*BK131+BK132*BK133*6)/BK131)</f>
        <v>0</v>
      </c>
      <c r="BL129" s="2846">
        <f>IF(BL131=0,0,(BL130*BL131+BL132*BL133*6)/BL131)</f>
        <v>0</v>
      </c>
      <c r="BM129" s="1093">
        <f>IF(BK129=0,0,(BL129-BK129)/BK129*100)</f>
        <v>0</v>
      </c>
      <c r="BN129" s="2846">
        <f>IF(BN131=0,0,(BN130*BN131+BN132*BN133*6)/BN131)</f>
        <v>0</v>
      </c>
      <c r="BO129" s="2846">
        <f>IF(BO131=0,0,(BO130*BO131+BO132*BO133*6)/BO131)</f>
        <v>0</v>
      </c>
      <c r="BP129" s="1093">
        <f>IF(BN129=0,0,(BO129-BN129)/BN129*100)</f>
        <v>0</v>
      </c>
      <c r="BQ129" s="2846">
        <f>IF(BQ131=0,0,(BQ130*BQ131+BQ132*BQ133*6)/BQ131)</f>
        <v>0</v>
      </c>
      <c r="BR129" s="2846">
        <f>IF(BR131=0,0,(BR130*BR131+BR132*BR133*6)/BR131)</f>
        <v>0</v>
      </c>
      <c r="BS129" s="1093">
        <f>IF(BQ129=0,0,(BR129-BQ129)/BQ129*100)</f>
        <v>0</v>
      </c>
      <c r="BT129" s="2846">
        <f>IF(BT131=0,0,(BT130*BT131+BT132*BT133*6)/BT131)</f>
        <v>0</v>
      </c>
      <c r="BU129" s="2846">
        <f>IF(BU131=0,0,(BU130*BU131+BU132*BU133*6)/BU131)</f>
        <v>0</v>
      </c>
      <c r="BV129" s="1093">
        <f>IF(BT129=0,0,(BU129-BT129)/BT129*100)</f>
        <v>0</v>
      </c>
      <c r="BW129" s="2846">
        <f>IF(BW131=0,0,(BW130*BW131+BW132*BW133*6)/BW131)</f>
        <v>0</v>
      </c>
      <c r="BX129" s="2846">
        <f>IF(BX131=0,0,(BX130*BX131+BX132*BX133*6)/BX131)</f>
        <v>0</v>
      </c>
      <c r="BY129" s="1093">
        <f>IF(BW129=0,0,(BX129-BW129)/BW129*100)</f>
        <v>0</v>
      </c>
      <c r="BZ129" s="2846">
        <f>IF(BZ131=0,0,(BZ130*BZ131+BZ132*BZ133*6)/BZ131)</f>
        <v>0</v>
      </c>
      <c r="CA129" s="2846">
        <f>IF(CA131=0,0,(CA130*CA131+CA132*CA133*6)/CA131)</f>
        <v>0</v>
      </c>
      <c r="CB129" s="1093">
        <f>IF(BZ129=0,0,(CA129-BZ129)/BZ129*100)</f>
        <v>0</v>
      </c>
      <c r="CC129" s="2846">
        <f>IF(CC131=0,0,(CC130*CC131+CC132*CC133*6)/CC131)</f>
        <v>0</v>
      </c>
      <c r="CD129" s="2846">
        <f>IF(CD131=0,0,(CD130*CD131+CD132*CD133*6)/CD131)</f>
        <v>0</v>
      </c>
      <c r="CE129" s="1093">
        <f>IF(CC129=0,0,(CD129-CC129)/CC129*100)</f>
        <v>0</v>
      </c>
      <c r="CF129" s="2846">
        <f>IF(CF131=0,0,(CF130*CF131+CF132*CF133*6)/CF131)</f>
        <v>0</v>
      </c>
      <c r="CG129" s="2846">
        <f>IF(CG131=0,0,(CG130*CG131+CG132*CG133*6)/CG131)</f>
        <v>0</v>
      </c>
      <c r="CH129" s="1093">
        <f>IF(CF129=0,0,(CG129-CF129)/CF129*100)</f>
        <v>0</v>
      </c>
      <c r="CI129" s="2846">
        <f>IF(CI131=0,0,(CI130*CI131+CI132*CI133*6)/CI131)</f>
        <v>0</v>
      </c>
      <c r="CJ129" s="2846">
        <f>IF(CJ131=0,0,(CJ130*CJ131+CJ132*CJ133*6)/CJ131)</f>
        <v>0</v>
      </c>
      <c r="CK129" s="1093">
        <f>IF(CI129=0,0,(CJ129-CI129)/CI129*100)</f>
        <v>0</v>
      </c>
      <c r="CL129" s="2846">
        <f>IF(CL131=0,0,(CL130*CL131+CL132*CL133*6)/CL131)</f>
        <v>0</v>
      </c>
      <c r="CM129" s="2846">
        <f>IF(CM131=0,0,(CM130*CM131+CM132*CM133*6)/CM131)</f>
        <v>0</v>
      </c>
      <c r="CN129" s="1093">
        <f>IF(CL129=0,0,(CM129-CL129)/CL129*100)</f>
        <v>0</v>
      </c>
      <c r="CO129" s="2846">
        <f>IF(CO131=0,0,(CO130*CO131+CO132*CO133*6)/CO131)</f>
        <v>0</v>
      </c>
      <c r="CP129" s="2846">
        <f>IF(CP131=0,0,(CP130*CP131+CP132*CP133*6)/CP131)</f>
        <v>0</v>
      </c>
      <c r="CQ129" s="1093">
        <f>IF(CO129=0,0,(CP129-CO129)/CO129*100)</f>
        <v>0</v>
      </c>
      <c r="CR129" s="2846">
        <f>IF(CR131=0,0,(CR130*CR131+CR132*CR133*6)/CR131)</f>
        <v>0</v>
      </c>
      <c r="CS129" s="2846">
        <f>IF(CS131=0,0,(CS130*CS131+CS132*CS133*6)/CS131)</f>
        <v>0</v>
      </c>
      <c r="CT129" s="1093">
        <f>IF(CR129=0,0,(CS129-CR129)/CR129*100)</f>
        <v>0</v>
      </c>
      <c r="CU129" s="2846">
        <f>IF(CU131=0,0,(CU130*CU131+CU132*CU133*6)/CU131)</f>
        <v>0</v>
      </c>
      <c r="CV129" s="2846">
        <f>IF(CV131=0,0,(CV130*CV131+CV132*CV133*6)/CV131)</f>
        <v>0</v>
      </c>
      <c r="CW129" s="1093">
        <f>IF(CU129=0,0,(CV129-CU129)/CU129*100)</f>
        <v>0</v>
      </c>
      <c r="CX129" s="2846">
        <f>IF(CX131=0,0,(CX130*CX131+CX132*CX133*6)/CX131)</f>
        <v>0</v>
      </c>
      <c r="CY129" s="2846">
        <f>IF(CY131=0,0,(CY130*CY131+CY132*CY133*6)/CY131)</f>
        <v>0</v>
      </c>
      <c r="CZ129" s="1093">
        <f>IF(CX129=0,0,(CY129-CX129)/CX129*100)</f>
        <v>0</v>
      </c>
      <c r="DA129" s="2846">
        <f>IF(DA131=0,0,(DA130*DA131+DA132*DA133*6)/DA131)</f>
        <v>0</v>
      </c>
      <c r="DB129" s="2846">
        <f>IF(DB131=0,0,(DB130*DB131+DB132*DB133*6)/DB131)</f>
        <v>0</v>
      </c>
      <c r="DC129" s="1093">
        <f>IF(DA129=0,0,(DB129-DA129)/DA129*100)</f>
        <v>0</v>
      </c>
      <c r="DD129" s="2846">
        <f>IF(DD131=0,0,(DD130*DD131+DD132*DD133*6)/DD131)</f>
        <v>0</v>
      </c>
      <c r="DE129" s="2846">
        <f>IF(DE131=0,0,(DE130*DE131+DE132*DE133*6)/DE131)</f>
        <v>0</v>
      </c>
      <c r="DF129" s="1093">
        <f>IF(DD129=0,0,(DE129-DD129)/DD129*100)</f>
        <v>0</v>
      </c>
      <c r="DG129" s="2846">
        <f>IF(DG131=0,0,(DG130*DG131+DG132*DG133*6)/DG131)</f>
        <v>0</v>
      </c>
      <c r="DH129" s="2846">
        <f>IF(DH131=0,0,(DH130*DH131+DH132*DH133*6)/DH131)</f>
        <v>0</v>
      </c>
      <c r="DI129" s="1093">
        <f>IF(DG129=0,0,(DH129-DG129)/DG129*100)</f>
        <v>0</v>
      </c>
      <c r="DJ129" s="2846">
        <f>IF(DJ131=0,0,(DJ130*DJ131+DJ132*DJ133*6)/DJ131)</f>
        <v>0</v>
      </c>
      <c r="DK129" s="2846">
        <f>IF(DK131=0,0,(DK130*DK131+DK132*DK133*6)/DK131)</f>
        <v>0</v>
      </c>
      <c r="DL129" s="1093">
        <f>IF(DJ129=0,0,(DK129-DJ129)/DJ129*100)</f>
        <v>0</v>
      </c>
      <c r="DM129" s="2846">
        <f>IF(DM131=0,0,(DM130*DM131+DM132*DM133*6)/DM131)</f>
        <v>0</v>
      </c>
      <c r="DN129" s="2846">
        <f>IF(DN131=0,0,(DN130*DN131+DN132*DN133*6)/DN131)</f>
        <v>0</v>
      </c>
      <c r="DO129" s="1093">
        <f>IF(DM129=0,0,(DN129-DM129)/DM129*100)</f>
        <v>0</v>
      </c>
      <c r="DP129" s="2846">
        <f>IF(DP131=0,0,(DP130*DP131+DP132*DP133*6)/DP131)</f>
        <v>0</v>
      </c>
      <c r="DQ129" s="2846">
        <f>IF(DQ131=0,0,(DQ130*DQ131+DQ132*DQ133*6)/DQ131)</f>
        <v>0</v>
      </c>
      <c r="DR129" s="1093">
        <f>IF(DP129=0,0,(DQ129-DP129)/DP129*100)</f>
        <v>0</v>
      </c>
      <c r="DS129" s="2846">
        <f>IF(DS131=0,0,(DS130*DS131+DS132*DS133*6)/DS131)</f>
        <v>0</v>
      </c>
      <c r="DT129" s="2846">
        <f>IF(DT131=0,0,(DT130*DT131+DT132*DT133*6)/DT131)</f>
        <v>0</v>
      </c>
      <c r="DU129" s="1093">
        <f>IF(DS129=0,0,(DT129-DS129)/DS129*100)</f>
        <v>0</v>
      </c>
      <c r="DV129" s="2846">
        <f>IF(DV131=0,0,(DV130*DV131+DV132*DV133*6)/DV131)</f>
        <v>0</v>
      </c>
      <c r="DW129" s="2846">
        <f>IF(DW131=0,0,(DW130*DW131+DW132*DW133*6)/DW131)</f>
        <v>0</v>
      </c>
      <c r="DX129" s="1093">
        <f>IF(DV129=0,0,(DW129-DV129)/DV129*100)</f>
        <v>0</v>
      </c>
      <c r="DY129" s="2846">
        <f>IF(DY131=0,0,(DY130*DY131+DY132*DY133*6)/DY131)</f>
        <v>0</v>
      </c>
      <c r="DZ129" s="2846">
        <f>IF(DZ131=0,0,(DZ130*DZ131+DZ132*DZ133*6)/DZ131)</f>
        <v>0</v>
      </c>
      <c r="EA129" s="1093">
        <f>IF(DY129=0,0,(DZ129-DY129)/DY129*100)</f>
        <v>0</v>
      </c>
      <c r="EB129" s="2846">
        <f>IF(EB131=0,0,(EB130*EB131+EB132*EB133*6)/EB131)</f>
        <v>0</v>
      </c>
      <c r="EC129" s="2846">
        <f>IF(EC131=0,0,(EC130*EC131+EC132*EC133*6)/EC131)</f>
        <v>0</v>
      </c>
      <c r="ED129" s="1093">
        <f>IF(EB129=0,0,(EC129-EB129)/EB129*100)</f>
        <v>0</v>
      </c>
      <c r="EE129" s="2846">
        <f>IF(EE131=0,0,(EE130*EE131+EE132*EE133*6)/EE131)</f>
        <v>0</v>
      </c>
      <c r="EF129" s="2846">
        <f>IF(EF131=0,0,(EF130*EF131+EF132*EF133*6)/EF131)</f>
        <v>0</v>
      </c>
      <c r="EG129" s="1093">
        <f>IF(EE129=0,0,(EF129-EE129)/EE129*100)</f>
        <v>0</v>
      </c>
      <c r="EH129" s="2846">
        <f>IF(EH131=0,0,(EH130*EH131+EH132*EH133*6)/EH131)</f>
        <v>0</v>
      </c>
      <c r="EI129" s="2846">
        <f>IF(EI131=0,0,(EI130*EI131+EI132*EI133*6)/EI131)</f>
        <v>0</v>
      </c>
      <c r="EJ129" s="1093">
        <f>IF(EH129=0,0,(EI129-EH129)/EH129*100)</f>
        <v>0</v>
      </c>
      <c r="EK129" s="2846">
        <f>IF(EK131=0,0,(EK130*EK131+EK132*EK133*6)/EK131)</f>
        <v>0</v>
      </c>
      <c r="EL129" s="2846">
        <f>IF(EL131=0,0,(EL130*EL131+EL132*EL133*6)/EL131)</f>
        <v>0</v>
      </c>
      <c r="EM129" s="1093">
        <f>IF(EK129=0,0,(EL129-EK129)/EK129*100)</f>
        <v>0</v>
      </c>
      <c r="EN129" s="2846">
        <f>IF(EN131=0,0,(EN130*EN131+EN132*EN133*6)/EN131)</f>
        <v>0</v>
      </c>
      <c r="EO129" s="2846">
        <f>IF(EO131=0,0,(EO130*EO131+EO132*EO133*6)/EO131)</f>
        <v>0</v>
      </c>
      <c r="EP129" s="1093">
        <f>IF(EN129=0,0,(EO129-EN129)/EN129*100)</f>
        <v>0</v>
      </c>
      <c r="EQ129" s="2846">
        <f>IF(EQ131=0,0,(EQ130*EQ131+EQ132*EQ133*6)/EQ131)</f>
        <v>0</v>
      </c>
      <c r="ER129" s="2846">
        <f>IF(ER131=0,0,(ER130*ER131+ER132*ER133*6)/ER131)</f>
        <v>0</v>
      </c>
      <c r="ES129" s="1093">
        <f>IF(EQ129=0,0,(ER129-EQ129)/EQ129*100)</f>
        <v>0</v>
      </c>
      <c r="ET129" s="2846">
        <f>IF(ET131=0,0,(ET130*ET131+ET132*ET133*6)/ET131)</f>
        <v>0</v>
      </c>
      <c r="EU129" s="2846">
        <f>IF(EU131=0,0,(EU130*EU131+EU132*EU133*6)/EU131)</f>
        <v>0</v>
      </c>
      <c r="EV129" s="1093">
        <f>IF(ET129=0,0,(EU129-ET129)/ET129*100)</f>
        <v>0</v>
      </c>
      <c r="EW129" s="2846">
        <f>IF(EW131=0,0,(EW130*EW131+EW132*EW133*6)/EW131)</f>
        <v>0</v>
      </c>
      <c r="EX129" s="2846">
        <f>IF(EX131=0,0,(EX130*EX131+EX132*EX133*6)/EX131)</f>
        <v>0</v>
      </c>
      <c r="EY129" s="1093">
        <f>IF(EW129=0,0,(EX129-EW129)/EW129*100)</f>
        <v>0</v>
      </c>
      <c r="EZ129" s="2846">
        <f>IF(EZ131=0,0,(EZ130*EZ131+EZ132*EZ133*6)/EZ131)</f>
        <v>0</v>
      </c>
      <c r="FA129" s="2846">
        <f>IF(FA131=0,0,(FA130*FA131+FA132*FA133*6)/FA131)</f>
        <v>0</v>
      </c>
      <c r="FB129" s="1093">
        <f>IF(EZ129=0,0,(FA129-EZ129)/EZ129*100)</f>
        <v>0</v>
      </c>
      <c r="FC129" s="2846">
        <f>IF(FC131=0,0,(FC130*FC131+FC132*FC133*6)/FC131)</f>
        <v>0</v>
      </c>
      <c r="FD129" s="2846">
        <f>IF(FD131=0,0,(FD130*FD131+FD132*FD133*6)/FD131)</f>
        <v>0</v>
      </c>
      <c r="FE129" s="1093">
        <f>IF(FC129=0,0,(FD129-FC129)/FC129*100)</f>
        <v>0</v>
      </c>
      <c r="FF129" s="2846">
        <f>IF(FF131=0,0,(FF130*FF131+FF132*FF133*6)/FF131)</f>
        <v>0</v>
      </c>
      <c r="FG129" s="2846">
        <f>IF(FG131=0,0,(FG130*FG131+FG132*FG133*6)/FG131)</f>
        <v>0</v>
      </c>
      <c r="FH129" s="1093">
        <f>IF(FF129=0,0,(FG129-FF129)/FF129*100)</f>
        <v>0</v>
      </c>
      <c r="FI129" s="2846">
        <f>IF(FI131=0,0,(FI130*FI131+FI132*FI133*6)/FI131)</f>
        <v>0</v>
      </c>
      <c r="FJ129" s="2846">
        <f>IF(FJ131=0,0,(FJ130*FJ131+FJ132*FJ133*6)/FJ131)</f>
        <v>0</v>
      </c>
      <c r="FK129" s="1093">
        <f>IF(FI129=0,0,(FJ129-FI129)/FI129*100)</f>
        <v>0</v>
      </c>
      <c r="FL129" s="2846">
        <f>IF(FL131=0,0,(FL130*FL131+FL132*FL133*6)/FL131)</f>
        <v>0</v>
      </c>
      <c r="FM129" s="2846">
        <f>IF(FM131=0,0,(FM130*FM131+FM132*FM133*6)/FM131)</f>
        <v>0</v>
      </c>
      <c r="FN129" s="1093">
        <f>IF(FL129=0,0,(FM129-FL129)/FL129*100)</f>
        <v>0</v>
      </c>
      <c r="FO129" s="2846">
        <f>IF(FO131=0,0,(FO130*FO131+FO132*FO133*6)/FO131)</f>
        <v>0</v>
      </c>
      <c r="FP129" s="2846">
        <f>IF(FP131=0,0,(FP130*FP131+FP132*FP133*6)/FP131)</f>
        <v>0</v>
      </c>
      <c r="FQ129" s="1093">
        <f>IF(FO129=0,0,(FP129-FO129)/FO129*100)</f>
        <v>0</v>
      </c>
      <c r="FR129" s="2846">
        <f>IF(FR131=0,0,(FR130*FR131+FR132*FR133*6)/FR131)</f>
        <v>0</v>
      </c>
      <c r="FS129" s="2846">
        <f>IF(FS131=0,0,(FS130*FS131+FS132*FS133*6)/FS131)</f>
        <v>0</v>
      </c>
      <c r="FT129" s="1093">
        <f>IF(FR129=0,0,(FS129-FR129)/FR129*100)</f>
        <v>0</v>
      </c>
      <c r="FU129" s="2846">
        <f>IF(FU131=0,0,(FU130*FU131+FU132*FU133*6)/FU131)</f>
        <v>0</v>
      </c>
      <c r="FV129" s="2846">
        <f>IF(FV131=0,0,(FV130*FV131+FV132*FV133*6)/FV131)</f>
        <v>0</v>
      </c>
      <c r="FW129" s="1093">
        <f>IF(FU129=0,0,(FV129-FU129)/FU129*100)</f>
        <v>0</v>
      </c>
      <c r="FX129" s="1304"/>
      <c r="FY129" s="1304"/>
      <c r="FZ129" s="1055" t="s">
        <v>2398</v>
      </c>
      <c r="GA129" s="1306"/>
      <c r="GB129" s="1306"/>
      <c r="GC129" s="1305"/>
      <c r="GD129" s="1305"/>
    </row>
    <row s="1834" customFormat="1" customHeight="1" ht="14.25" hidden="1">
      <c r="A130" s="493"/>
      <c r="B130" s="925" cm="1" t="str">
        <f t="array" ref="B130:B130">B129</f>
        <v>false</v>
      </c>
      <c r="C130" s="493"/>
      <c r="D130" s="493"/>
      <c r="E130" s="840">
        <v>15</v>
      </c>
      <c r="F130" s="50" cm="1" t="str">
        <f t="array" ref="F130:F130">OFFSET(E130,-1,1)</f>
        <v>1</v>
      </c>
      <c r="G130" s="493"/>
      <c r="H130" s="493" t="s">
        <v>2299</v>
      </c>
      <c r="I130" s="493" t="s">
        <v>2354</v>
      </c>
      <c r="J130" s="493"/>
      <c r="K130" s="493"/>
      <c r="L130" s="493"/>
      <c r="M130" s="493"/>
      <c r="N130" s="493"/>
      <c r="O130" s="493"/>
      <c r="P130" s="493"/>
      <c r="Q130" s="493"/>
      <c r="R130" s="493"/>
      <c r="S130" s="493"/>
      <c r="T130" s="465" cm="1" t="str">
        <f t="array" ref="T130:T130">T129</f>
        <v>true</v>
      </c>
      <c r="U130" s="493"/>
      <c r="V130" s="493"/>
      <c r="W130" s="493"/>
      <c r="X130" s="1596"/>
      <c r="Y130" s="493"/>
      <c r="Z130" s="1545"/>
      <c r="AA130" s="493"/>
      <c r="AB130" s="904" t="str">
        <f>"ставка платы за "&amp;IF(Q92="Водоснабжение","потребление 1 куб.м холодной воды","объем принятых сточных вод")</f>
        <v>ставка платы за потребление 1 куб.м холодной воды</v>
      </c>
      <c r="AC130" s="864" t="s">
        <v>2337</v>
      </c>
      <c r="AD130" s="2846"/>
      <c r="AE130" s="2846"/>
      <c r="AF130" s="1093">
        <f>IF(AD130=0,0,(AE130-AD130)/AD130*100)</f>
        <v>0</v>
      </c>
      <c r="AG130" s="2846"/>
      <c r="AH130" s="2846"/>
      <c r="AI130" s="1093">
        <f>IF(AG130=0,0,(AH130-AG130)/AG130*100)</f>
        <v>0</v>
      </c>
      <c r="AJ130" s="2846"/>
      <c r="AK130" s="2846"/>
      <c r="AL130" s="1093">
        <f>IF(AJ130=0,0,(AK130-AJ130)/AJ130*100)</f>
        <v>0</v>
      </c>
      <c r="AM130" s="2846"/>
      <c r="AN130" s="2846"/>
      <c r="AO130" s="1093">
        <f>IF(AM130=0,0,(AN130-AM130)/AM130*100)</f>
        <v>0</v>
      </c>
      <c r="AP130" s="2846"/>
      <c r="AQ130" s="2846"/>
      <c r="AR130" s="1093">
        <f>IF(AP130=0,0,(AQ130-AP130)/AP130*100)</f>
        <v>0</v>
      </c>
      <c r="AS130" s="2846"/>
      <c r="AT130" s="2846"/>
      <c r="AU130" s="1093">
        <f>IF(AS130=0,0,(AT130-AS130)/AS130*100)</f>
        <v>0</v>
      </c>
      <c r="AV130" s="2846"/>
      <c r="AW130" s="2846"/>
      <c r="AX130" s="1093">
        <f>IF(AV130=0,0,(AW130-AV130)/AV130*100)</f>
        <v>0</v>
      </c>
      <c r="AY130" s="2846"/>
      <c r="AZ130" s="2846"/>
      <c r="BA130" s="1093">
        <f>IF(AY130=0,0,(AZ130-AY130)/AY130*100)</f>
        <v>0</v>
      </c>
      <c r="BB130" s="2846"/>
      <c r="BC130" s="2846"/>
      <c r="BD130" s="1093">
        <f>IF(BB130=0,0,(BC130-BB130)/BB130*100)</f>
        <v>0</v>
      </c>
      <c r="BE130" s="2846"/>
      <c r="BF130" s="2846"/>
      <c r="BG130" s="1093">
        <f>IF(BE130=0,0,(BF130-BE130)/BE130*100)</f>
        <v>0</v>
      </c>
      <c r="BH130" s="2846"/>
      <c r="BI130" s="2846"/>
      <c r="BJ130" s="1093">
        <f>IF(BH130=0,0,(BI130-BH130)/BH130*100)</f>
        <v>0</v>
      </c>
      <c r="BK130" s="2846"/>
      <c r="BL130" s="2846"/>
      <c r="BM130" s="1093">
        <f>IF(BK130=0,0,(BL130-BK130)/BK130*100)</f>
        <v>0</v>
      </c>
      <c r="BN130" s="2846"/>
      <c r="BO130" s="2846"/>
      <c r="BP130" s="1093">
        <f>IF(BN130=0,0,(BO130-BN130)/BN130*100)</f>
        <v>0</v>
      </c>
      <c r="BQ130" s="2846"/>
      <c r="BR130" s="2846"/>
      <c r="BS130" s="1093">
        <f>IF(BQ130=0,0,(BR130-BQ130)/BQ130*100)</f>
        <v>0</v>
      </c>
      <c r="BT130" s="2846"/>
      <c r="BU130" s="2846"/>
      <c r="BV130" s="1093">
        <f>IF(BT130=0,0,(BU130-BT130)/BT130*100)</f>
        <v>0</v>
      </c>
      <c r="BW130" s="2846"/>
      <c r="BX130" s="2846"/>
      <c r="BY130" s="1093">
        <f>IF(BW130=0,0,(BX130-BW130)/BW130*100)</f>
        <v>0</v>
      </c>
      <c r="BZ130" s="2846"/>
      <c r="CA130" s="2846"/>
      <c r="CB130" s="1093">
        <f>IF(BZ130=0,0,(CA130-BZ130)/BZ130*100)</f>
        <v>0</v>
      </c>
      <c r="CC130" s="2846"/>
      <c r="CD130" s="2846"/>
      <c r="CE130" s="1093">
        <f>IF(CC130=0,0,(CD130-CC130)/CC130*100)</f>
        <v>0</v>
      </c>
      <c r="CF130" s="2846"/>
      <c r="CG130" s="2846"/>
      <c r="CH130" s="1093">
        <f>IF(CF130=0,0,(CG130-CF130)/CF130*100)</f>
        <v>0</v>
      </c>
      <c r="CI130" s="2846"/>
      <c r="CJ130" s="2846"/>
      <c r="CK130" s="1093">
        <f>IF(CI130=0,0,(CJ130-CI130)/CI130*100)</f>
        <v>0</v>
      </c>
      <c r="CL130" s="2846"/>
      <c r="CM130" s="2846"/>
      <c r="CN130" s="1093">
        <f>IF(CL130=0,0,(CM130-CL130)/CL130*100)</f>
        <v>0</v>
      </c>
      <c r="CO130" s="2846"/>
      <c r="CP130" s="2846"/>
      <c r="CQ130" s="1093">
        <f>IF(CO130=0,0,(CP130-CO130)/CO130*100)</f>
        <v>0</v>
      </c>
      <c r="CR130" s="2846"/>
      <c r="CS130" s="2846"/>
      <c r="CT130" s="1093">
        <f>IF(CR130=0,0,(CS130-CR130)/CR130*100)</f>
        <v>0</v>
      </c>
      <c r="CU130" s="2846"/>
      <c r="CV130" s="2846"/>
      <c r="CW130" s="1093">
        <f>IF(CU130=0,0,(CV130-CU130)/CU130*100)</f>
        <v>0</v>
      </c>
      <c r="CX130" s="2846"/>
      <c r="CY130" s="2846"/>
      <c r="CZ130" s="1093">
        <f>IF(CX130=0,0,(CY130-CX130)/CX130*100)</f>
        <v>0</v>
      </c>
      <c r="DA130" s="2846"/>
      <c r="DB130" s="2846"/>
      <c r="DC130" s="1093">
        <f>IF(DA130=0,0,(DB130-DA130)/DA130*100)</f>
        <v>0</v>
      </c>
      <c r="DD130" s="2846"/>
      <c r="DE130" s="2846"/>
      <c r="DF130" s="1093">
        <f>IF(DD130=0,0,(DE130-DD130)/DD130*100)</f>
        <v>0</v>
      </c>
      <c r="DG130" s="2846"/>
      <c r="DH130" s="2846"/>
      <c r="DI130" s="1093">
        <f>IF(DG130=0,0,(DH130-DG130)/DG130*100)</f>
        <v>0</v>
      </c>
      <c r="DJ130" s="2846"/>
      <c r="DK130" s="2846"/>
      <c r="DL130" s="1093">
        <f>IF(DJ130=0,0,(DK130-DJ130)/DJ130*100)</f>
        <v>0</v>
      </c>
      <c r="DM130" s="2846"/>
      <c r="DN130" s="2846"/>
      <c r="DO130" s="1093">
        <f>IF(DM130=0,0,(DN130-DM130)/DM130*100)</f>
        <v>0</v>
      </c>
      <c r="DP130" s="2846"/>
      <c r="DQ130" s="2846"/>
      <c r="DR130" s="1093">
        <f>IF(DP130=0,0,(DQ130-DP130)/DP130*100)</f>
        <v>0</v>
      </c>
      <c r="DS130" s="2846"/>
      <c r="DT130" s="2846"/>
      <c r="DU130" s="1093">
        <f>IF(DS130=0,0,(DT130-DS130)/DS130*100)</f>
        <v>0</v>
      </c>
      <c r="DV130" s="2846"/>
      <c r="DW130" s="2846"/>
      <c r="DX130" s="1093">
        <f>IF(DV130=0,0,(DW130-DV130)/DV130*100)</f>
        <v>0</v>
      </c>
      <c r="DY130" s="2846"/>
      <c r="DZ130" s="2846"/>
      <c r="EA130" s="1093">
        <f>IF(DY130=0,0,(DZ130-DY130)/DY130*100)</f>
        <v>0</v>
      </c>
      <c r="EB130" s="2846"/>
      <c r="EC130" s="2846"/>
      <c r="ED130" s="1093">
        <f>IF(EB130=0,0,(EC130-EB130)/EB130*100)</f>
        <v>0</v>
      </c>
      <c r="EE130" s="2846"/>
      <c r="EF130" s="2846"/>
      <c r="EG130" s="1093">
        <f>IF(EE130=0,0,(EF130-EE130)/EE130*100)</f>
        <v>0</v>
      </c>
      <c r="EH130" s="2846"/>
      <c r="EI130" s="2846"/>
      <c r="EJ130" s="1093">
        <f>IF(EH130=0,0,(EI130-EH130)/EH130*100)</f>
        <v>0</v>
      </c>
      <c r="EK130" s="2846"/>
      <c r="EL130" s="2846"/>
      <c r="EM130" s="1093">
        <f>IF(EK130=0,0,(EL130-EK130)/EK130*100)</f>
        <v>0</v>
      </c>
      <c r="EN130" s="2846"/>
      <c r="EO130" s="2846"/>
      <c r="EP130" s="1093">
        <f>IF(EN130=0,0,(EO130-EN130)/EN130*100)</f>
        <v>0</v>
      </c>
      <c r="EQ130" s="2846"/>
      <c r="ER130" s="2846"/>
      <c r="ES130" s="1093">
        <f>IF(EQ130=0,0,(ER130-EQ130)/EQ130*100)</f>
        <v>0</v>
      </c>
      <c r="ET130" s="2846"/>
      <c r="EU130" s="2846"/>
      <c r="EV130" s="1093">
        <f>IF(ET130=0,0,(EU130-ET130)/ET130*100)</f>
        <v>0</v>
      </c>
      <c r="EW130" s="2846"/>
      <c r="EX130" s="2846"/>
      <c r="EY130" s="1093">
        <f>IF(EW130=0,0,(EX130-EW130)/EW130*100)</f>
        <v>0</v>
      </c>
      <c r="EZ130" s="2846"/>
      <c r="FA130" s="2846"/>
      <c r="FB130" s="1093">
        <f>IF(EZ130=0,0,(FA130-EZ130)/EZ130*100)</f>
        <v>0</v>
      </c>
      <c r="FC130" s="2846"/>
      <c r="FD130" s="2846"/>
      <c r="FE130" s="1093">
        <f>IF(FC130=0,0,(FD130-FC130)/FC130*100)</f>
        <v>0</v>
      </c>
      <c r="FF130" s="2846"/>
      <c r="FG130" s="2846"/>
      <c r="FH130" s="1093">
        <f>IF(FF130=0,0,(FG130-FF130)/FF130*100)</f>
        <v>0</v>
      </c>
      <c r="FI130" s="2846"/>
      <c r="FJ130" s="2846"/>
      <c r="FK130" s="1093">
        <f>IF(FI130=0,0,(FJ130-FI130)/FI130*100)</f>
        <v>0</v>
      </c>
      <c r="FL130" s="2846"/>
      <c r="FM130" s="2846"/>
      <c r="FN130" s="1093">
        <f>IF(FL130=0,0,(FM130-FL130)/FL130*100)</f>
        <v>0</v>
      </c>
      <c r="FO130" s="2846"/>
      <c r="FP130" s="2846"/>
      <c r="FQ130" s="1093">
        <f>IF(FO130=0,0,(FP130-FO130)/FO130*100)</f>
        <v>0</v>
      </c>
      <c r="FR130" s="2846"/>
      <c r="FS130" s="2846"/>
      <c r="FT130" s="1093">
        <f>IF(FR130=0,0,(FS130-FR130)/FR130*100)</f>
        <v>0</v>
      </c>
      <c r="FU130" s="2846"/>
      <c r="FV130" s="2846"/>
      <c r="FW130" s="1093">
        <f>IF(FU130=0,0,(FV130-FU130)/FU130*100)</f>
        <v>0</v>
      </c>
      <c r="FX130" s="1304"/>
      <c r="FY130" s="1304"/>
      <c r="FZ130" s="1055" t="s">
        <v>2399</v>
      </c>
      <c r="GA130" s="1306"/>
      <c r="GB130" s="1306"/>
      <c r="GC130" s="1305"/>
      <c r="GD130" s="1305"/>
    </row>
    <row s="1834" customFormat="1" customHeight="1" ht="14.25" hidden="1">
      <c r="A131" s="493"/>
      <c r="B131" s="925" cm="1" t="str">
        <f t="array" ref="B131:B131">B130</f>
        <v>false</v>
      </c>
      <c r="C131" s="493"/>
      <c r="D131" s="493"/>
      <c r="E131" s="840">
        <v>15</v>
      </c>
      <c r="F131" s="50" cm="1" t="str">
        <f t="array" ref="F131:F131">OFFSET(E131,-1,1)</f>
        <v>1</v>
      </c>
      <c r="G131" s="107" t="s">
        <v>2400</v>
      </c>
      <c r="H131" s="493" t="s">
        <v>2374</v>
      </c>
      <c r="I131" s="493" t="s">
        <v>2354</v>
      </c>
      <c r="J131" s="493"/>
      <c r="K131" s="493"/>
      <c r="L131" s="493"/>
      <c r="M131" s="493"/>
      <c r="N131" s="493"/>
      <c r="O131" s="493"/>
      <c r="P131" s="493"/>
      <c r="Q131" s="493"/>
      <c r="R131" s="493"/>
      <c r="S131" s="493"/>
      <c r="T131" s="465" cm="1" t="str">
        <f t="array" ref="T131:T131">T130</f>
        <v>true</v>
      </c>
      <c r="U131" s="493"/>
      <c r="V131" s="493"/>
      <c r="W131" s="493"/>
      <c r="X131" s="1596"/>
      <c r="Y131" s="493"/>
      <c r="Z131" s="1545"/>
      <c r="AA131" s="493"/>
      <c r="AB131" s="904" t="str">
        <f>"объём "&amp;IF(Q92="Водоснабжение","потребления холодной воды","водоотведения")</f>
        <v>объём потребления холодной воды</v>
      </c>
      <c r="AC131" s="864" t="s">
        <v>1247</v>
      </c>
      <c r="AD131" s="5247">
        <f>IF(AND(method_reg="Метод индексации",god&lt;&gt;first_year),_xlfn.SUMIFS(INDEX('Калькуляция (МИ корр)'!$AJ$25:$BC$747,,MATCH(AD$8,'Калькуляция (МИ корр)'!$AJ$8:$BC$8,0)),'Калькуляция (МИ корр)'!$F$25:$F$747,$F131,'Калькуляция (МИ корр)'!$G$25:$G$747,$G131),IF(method_reg="Метод экономически обоснованных расходов",_xlfn.SUMIFS('Калькуляция (МЭОР)'!$AJ$25:$AJ$452,'Калькуляция (МЭОР)'!$F$25:$F$452,$F131,'Калькуляция (МЭОР)'!$G$25:$G$452,$G131),IF(method_reg="Метод сравнения аналогов",_xlfn.SUMIFS('Калькуляция (МСА)'!$AE$25:$AE$122,'Калькуляция (МСА)'!$F$25:$F$122,$F131,'Калькуляция (МСА)'!$G$25:$G$122,$G131),_xlfn.SUMIFS(INDEX('Калькуляция (МИ)'!$AJ$25:$BC$747,,MATCH(AD$8,'Калькуляция (МИ)'!$AJ$8:$BC$8,0)),'Калькуляция (МИ)'!$F$25:$F$747,$F131,'Калькуляция (МИ)'!$G$25:$G$747,$G131))))</f>
        <v>264.737475</v>
      </c>
      <c r="AE131" s="5247">
        <f>IF(AND(method_reg="Метод индексации",god&lt;&gt;first_year),_xlfn.SUMIFS(INDEX('Калькуляция (МИ корр)'!$AJ$25:$BC$747,,MATCH(AE$8,'Калькуляция (МИ корр)'!$AJ$8:$BC$8,0)),'Калькуляция (МИ корр)'!$F$25:$F$747,$F131,'Калькуляция (МИ корр)'!$G$25:$G$747,$G131),IF(method_reg="Метод экономически обоснованных расходов",_xlfn.SUMIFS('Калькуляция (МЭОР)'!$AK$25:$AK$452,'Калькуляция (МЭОР)'!$F$25:$F$452,$F131,'Калькуляция (МЭОР)'!$G$25:$G$452,$G131),IF(method_reg="Метод сравнения аналогов",_xlfn.SUMIFS('Калькуляция (МСА)'!$AF$25:$AF$122,'Калькуляция (МСА)'!$F$25:$F$122,$F131,'Калькуляция (МСА)'!$G$25:$G$122,$G131),_xlfn.SUMIFS(INDEX('Калькуляция (МИ)'!$AJ$25:$BC$747,,MATCH(AE$8,'Калькуляция (МИ)'!$AJ$8:$BC$8,0)),'Калькуляция (МИ)'!$F$25:$F$747,$F131,'Калькуляция (МИ)'!$G$25:$G$747,$G131))))</f>
        <v>264.737475</v>
      </c>
      <c r="AF131" s="1095">
        <f>IF(AD131=0,0,(AE131-AD131)/AD131*100)</f>
        <v>0</v>
      </c>
      <c r="AG131" s="5247">
        <f>IF(AND(method_reg="Метод индексации",god&lt;&gt;first_year),_xlfn.SUMIFS(INDEX('Калькуляция (МИ корр)'!$AJ$25:$BC$747,,MATCH(AG$8,'Калькуляция (МИ корр)'!$AJ$8:$BC$8,0)),'Калькуляция (МИ корр)'!$F$25:$F$747,$F131,'Калькуляция (МИ корр)'!$G$25:$G$747,$G131),IF(method_reg="Метод экономически обоснованных расходов",_xlfn.SUMIFS('Калькуляция (МЭОР)'!$AJ$25:$AJ$452,'Калькуляция (МЭОР)'!$F$25:$F$452,$F131,'Калькуляция (МЭОР)'!$G$25:$G$452,$G131),IF(method_reg="Метод сравнения аналогов",_xlfn.SUMIFS('Калькуляция (МСА)'!$AE$25:$AE$122,'Калькуляция (МСА)'!$F$25:$F$122,$F131,'Калькуляция (МСА)'!$G$25:$G$122,$G131),_xlfn.SUMIFS(INDEX('Калькуляция (МИ)'!$AJ$25:$BC$747,,MATCH(AG$8,'Калькуляция (МИ)'!$AJ$8:$BC$8,0)),'Калькуляция (МИ)'!$F$25:$F$747,$F131,'Калькуляция (МИ)'!$G$25:$G$747,$G131))))</f>
        <v>529.47495</v>
      </c>
      <c r="AH131" s="5247">
        <f>IF(AND(method_reg="Метод индексации",god&lt;&gt;first_year),_xlfn.SUMIFS(INDEX('Калькуляция (МИ корр)'!$AJ$25:$BC$747,,MATCH(AH$8,'Калькуляция (МИ корр)'!$AJ$8:$BC$8,0)),'Калькуляция (МИ корр)'!$F$25:$F$747,$F131,'Калькуляция (МИ корр)'!$G$25:$G$747,$G131),IF(method_reg="Метод экономически обоснованных расходов",_xlfn.SUMIFS('Калькуляция (МЭОР)'!$AK$25:$AK$452,'Калькуляция (МЭОР)'!$F$25:$F$452,$F131,'Калькуляция (МЭОР)'!$G$25:$G$452,$G131),IF(method_reg="Метод сравнения аналогов",_xlfn.SUMIFS('Калькуляция (МСА)'!$AF$25:$AF$122,'Калькуляция (МСА)'!$F$25:$F$122,$F131,'Калькуляция (МСА)'!$G$25:$G$122,$G131),_xlfn.SUMIFS(INDEX('Калькуляция (МИ)'!$AJ$25:$BC$747,,MATCH(AH$8,'Калькуляция (МИ)'!$AJ$8:$BC$8,0)),'Калькуляция (МИ)'!$F$25:$F$747,$F131,'Калькуляция (МИ)'!$G$25:$G$747,$G131))))</f>
        <v>529.47495</v>
      </c>
      <c r="AI131" s="1095">
        <f>IF(AG131=0,0,(AH131-AG131)/AG131*100)</f>
        <v>0</v>
      </c>
      <c r="AJ131" s="5247">
        <f>IF(AND(method_reg="Метод индексации",god&lt;&gt;first_year),_xlfn.SUMIFS(INDEX('Калькуляция (МИ корр)'!$AJ$25:$BC$747,,MATCH(AJ$8,'Калькуляция (МИ корр)'!$AJ$8:$BC$8,0)),'Калькуляция (МИ корр)'!$F$25:$F$747,$F131,'Калькуляция (МИ корр)'!$G$25:$G$747,$G131),IF(method_reg="Метод экономически обоснованных расходов",_xlfn.SUMIFS('Калькуляция (МЭОР)'!$AJ$25:$AJ$452,'Калькуляция (МЭОР)'!$F$25:$F$452,$F131,'Калькуляция (МЭОР)'!$G$25:$G$452,$G131),IF(method_reg="Метод сравнения аналогов",_xlfn.SUMIFS('Калькуляция (МСА)'!$AE$25:$AE$122,'Калькуляция (МСА)'!$F$25:$F$122,$F131,'Калькуляция (МСА)'!$G$25:$G$122,$G131),_xlfn.SUMIFS(INDEX('Калькуляция (МИ)'!$AJ$25:$BC$747,,MATCH(AJ$8,'Калькуляция (МИ)'!$AJ$8:$BC$8,0)),'Калькуляция (МИ)'!$F$25:$F$747,$F131,'Калькуляция (МИ)'!$G$25:$G$747,$G131))))</f>
        <v>529.47495</v>
      </c>
      <c r="AK131" s="5247">
        <f>IF(AND(method_reg="Метод индексации",god&lt;&gt;first_year),_xlfn.SUMIFS(INDEX('Калькуляция (МИ корр)'!$AJ$25:$BC$747,,MATCH(AK$8,'Калькуляция (МИ корр)'!$AJ$8:$BC$8,0)),'Калькуляция (МИ корр)'!$F$25:$F$747,$F131,'Калькуляция (МИ корр)'!$G$25:$G$747,$G131),IF(method_reg="Метод экономически обоснованных расходов",_xlfn.SUMIFS('Калькуляция (МЭОР)'!$AK$25:$AK$452,'Калькуляция (МЭОР)'!$F$25:$F$452,$F131,'Калькуляция (МЭОР)'!$G$25:$G$452,$G131),IF(method_reg="Метод сравнения аналогов",_xlfn.SUMIFS('Калькуляция (МСА)'!$AF$25:$AF$122,'Калькуляция (МСА)'!$F$25:$F$122,$F131,'Калькуляция (МСА)'!$G$25:$G$122,$G131),_xlfn.SUMIFS(INDEX('Калькуляция (МИ)'!$AJ$25:$BC$747,,MATCH(AK$8,'Калькуляция (МИ)'!$AJ$8:$BC$8,0)),'Калькуляция (МИ)'!$F$25:$F$747,$F131,'Калькуляция (МИ)'!$G$25:$G$747,$G131))))</f>
        <v>529.47495</v>
      </c>
      <c r="AL131" s="1095">
        <f>IF(AJ131=0,0,(AK131-AJ131)/AJ131*100)</f>
        <v>0</v>
      </c>
      <c r="AM131" s="5247">
        <f>IF(AND(method_reg="Метод индексации",god&lt;&gt;first_year),_xlfn.SUMIFS(INDEX('Калькуляция (МИ корр)'!$AJ$25:$BC$747,,MATCH(AM$8,'Калькуляция (МИ корр)'!$AJ$8:$BC$8,0)),'Калькуляция (МИ корр)'!$F$25:$F$747,$F131,'Калькуляция (МИ корр)'!$G$25:$G$747,$G131),IF(method_reg="Метод экономически обоснованных расходов",_xlfn.SUMIFS('Калькуляция (МЭОР)'!$AJ$25:$AJ$452,'Калькуляция (МЭОР)'!$F$25:$F$452,$F131,'Калькуляция (МЭОР)'!$G$25:$G$452,$G131),IF(method_reg="Метод сравнения аналогов",_xlfn.SUMIFS('Калькуляция (МСА)'!$AE$25:$AE$122,'Калькуляция (МСА)'!$F$25:$F$122,$F131,'Калькуляция (МСА)'!$G$25:$G$122,$G131),_xlfn.SUMIFS(INDEX('Калькуляция (МИ)'!$AJ$25:$BC$747,,MATCH(AM$8,'Калькуляция (МИ)'!$AJ$8:$BC$8,0)),'Калькуляция (МИ)'!$F$25:$F$747,$F131,'Калькуляция (МИ)'!$G$25:$G$747,$G131))))</f>
        <v>529.47495</v>
      </c>
      <c r="AN131" s="5247">
        <f>IF(AND(method_reg="Метод индексации",god&lt;&gt;first_year),_xlfn.SUMIFS(INDEX('Калькуляция (МИ корр)'!$AJ$25:$BC$747,,MATCH(AN$8,'Калькуляция (МИ корр)'!$AJ$8:$BC$8,0)),'Калькуляция (МИ корр)'!$F$25:$F$747,$F131,'Калькуляция (МИ корр)'!$G$25:$G$747,$G131),IF(method_reg="Метод экономически обоснованных расходов",_xlfn.SUMIFS('Калькуляция (МЭОР)'!$AK$25:$AK$452,'Калькуляция (МЭОР)'!$F$25:$F$452,$F131,'Калькуляция (МЭОР)'!$G$25:$G$452,$G131),IF(method_reg="Метод сравнения аналогов",_xlfn.SUMIFS('Калькуляция (МСА)'!$AF$25:$AF$122,'Калькуляция (МСА)'!$F$25:$F$122,$F131,'Калькуляция (МСА)'!$G$25:$G$122,$G131),_xlfn.SUMIFS(INDEX('Калькуляция (МИ)'!$AJ$25:$BC$747,,MATCH(AN$8,'Калькуляция (МИ)'!$AJ$8:$BC$8,0)),'Калькуляция (МИ)'!$F$25:$F$747,$F131,'Калькуляция (МИ)'!$G$25:$G$747,$G131))))</f>
        <v>529.47495</v>
      </c>
      <c r="AO131" s="1095">
        <f>IF(AM131=0,0,(AN131-AM131)/AM131*100)</f>
        <v>0</v>
      </c>
      <c r="AP131" s="5247">
        <f>IF(AND(method_reg="Метод индексации",god&lt;&gt;first_year),_xlfn.SUMIFS(INDEX('Калькуляция (МИ корр)'!$AJ$25:$BC$747,,MATCH(AP$8,'Калькуляция (МИ корр)'!$AJ$8:$BC$8,0)),'Калькуляция (МИ корр)'!$F$25:$F$747,$F131,'Калькуляция (МИ корр)'!$G$25:$G$747,$G131),IF(method_reg="Метод экономически обоснованных расходов",_xlfn.SUMIFS('Калькуляция (МЭОР)'!$AJ$25:$AJ$452,'Калькуляция (МЭОР)'!$F$25:$F$452,$F131,'Калькуляция (МЭОР)'!$G$25:$G$452,$G131),IF(method_reg="Метод сравнения аналогов",_xlfn.SUMIFS('Калькуляция (МСА)'!$AE$25:$AE$122,'Калькуляция (МСА)'!$F$25:$F$122,$F131,'Калькуляция (МСА)'!$G$25:$G$122,$G131),_xlfn.SUMIFS(INDEX('Калькуляция (МИ)'!$AJ$25:$BC$747,,MATCH(AP$8,'Калькуляция (МИ)'!$AJ$8:$BC$8,0)),'Калькуляция (МИ)'!$F$25:$F$747,$F131,'Калькуляция (МИ)'!$G$25:$G$747,$G131))))</f>
        <v>529.47495</v>
      </c>
      <c r="AQ131" s="5247">
        <f>IF(AND(method_reg="Метод индексации",god&lt;&gt;first_year),_xlfn.SUMIFS(INDEX('Калькуляция (МИ корр)'!$AJ$25:$BC$747,,MATCH(AQ$8,'Калькуляция (МИ корр)'!$AJ$8:$BC$8,0)),'Калькуляция (МИ корр)'!$F$25:$F$747,$F131,'Калькуляция (МИ корр)'!$G$25:$G$747,$G131),IF(method_reg="Метод экономически обоснованных расходов",_xlfn.SUMIFS('Калькуляция (МЭОР)'!$AK$25:$AK$452,'Калькуляция (МЭОР)'!$F$25:$F$452,$F131,'Калькуляция (МЭОР)'!$G$25:$G$452,$G131),IF(method_reg="Метод сравнения аналогов",_xlfn.SUMIFS('Калькуляция (МСА)'!$AF$25:$AF$122,'Калькуляция (МСА)'!$F$25:$F$122,$F131,'Калькуляция (МСА)'!$G$25:$G$122,$G131),_xlfn.SUMIFS(INDEX('Калькуляция (МИ)'!$AJ$25:$BC$747,,MATCH(AQ$8,'Калькуляция (МИ)'!$AJ$8:$BC$8,0)),'Калькуляция (МИ)'!$F$25:$F$747,$F131,'Калькуляция (МИ)'!$G$25:$G$747,$G131))))</f>
        <v>529.47495</v>
      </c>
      <c r="AR131" s="1095">
        <f>IF(AP131=0,0,(AQ131-AP131)/AP131*100)</f>
        <v>0</v>
      </c>
      <c r="AS131" s="5247">
        <f>IF(AND(method_reg="Метод индексации",god&lt;&gt;first_year),_xlfn.SUMIFS(INDEX('Калькуляция (МИ корр)'!$AJ$25:$BC$747,,MATCH(AS$8,'Калькуляция (МИ корр)'!$AJ$8:$BC$8,0)),'Калькуляция (МИ корр)'!$F$25:$F$747,$F131,'Калькуляция (МИ корр)'!$G$25:$G$747,$G131),IF(method_reg="Метод экономически обоснованных расходов",_xlfn.SUMIFS('Калькуляция (МЭОР)'!$AJ$25:$AJ$452,'Калькуляция (МЭОР)'!$F$25:$F$452,$F131,'Калькуляция (МЭОР)'!$G$25:$G$452,$G131),IF(method_reg="Метод сравнения аналогов",_xlfn.SUMIFS('Калькуляция (МСА)'!$AE$25:$AE$122,'Калькуляция (МСА)'!$F$25:$F$122,$F131,'Калькуляция (МСА)'!$G$25:$G$122,$G131),_xlfn.SUMIFS(INDEX('Калькуляция (МИ)'!$AJ$25:$BC$747,,MATCH(AS$8,'Калькуляция (МИ)'!$AJ$8:$BC$8,0)),'Калькуляция (МИ)'!$F$25:$F$747,$F131,'Калькуляция (МИ)'!$G$25:$G$747,$G131))))</f>
        <v>0</v>
      </c>
      <c r="AT131" s="5247">
        <f>IF(AND(method_reg="Метод индексации",god&lt;&gt;first_year),_xlfn.SUMIFS(INDEX('Калькуляция (МИ корр)'!$AJ$25:$BC$747,,MATCH(AT$8,'Калькуляция (МИ корр)'!$AJ$8:$BC$8,0)),'Калькуляция (МИ корр)'!$F$25:$F$747,$F131,'Калькуляция (МИ корр)'!$G$25:$G$747,$G131),IF(method_reg="Метод экономически обоснованных расходов",_xlfn.SUMIFS('Калькуляция (МЭОР)'!$AK$25:$AK$452,'Калькуляция (МЭОР)'!$F$25:$F$452,$F131,'Калькуляция (МЭОР)'!$G$25:$G$452,$G131),IF(method_reg="Метод сравнения аналогов",_xlfn.SUMIFS('Калькуляция (МСА)'!$AF$25:$AF$122,'Калькуляция (МСА)'!$F$25:$F$122,$F131,'Калькуляция (МСА)'!$G$25:$G$122,$G131),_xlfn.SUMIFS(INDEX('Калькуляция (МИ)'!$AJ$25:$BC$747,,MATCH(AT$8,'Калькуляция (МИ)'!$AJ$8:$BC$8,0)),'Калькуляция (МИ)'!$F$25:$F$747,$F131,'Калькуляция (МИ)'!$G$25:$G$747,$G131))))</f>
        <v>0</v>
      </c>
      <c r="AU131" s="1095">
        <f>IF(AS131=0,0,(AT131-AS131)/AS131*100)</f>
        <v>0</v>
      </c>
      <c r="AV131" s="5247">
        <f>IF(AND(method_reg="Метод индексации",god&lt;&gt;first_year),_xlfn.SUMIFS(INDEX('Калькуляция (МИ корр)'!$AJ$25:$BC$747,,MATCH(AV$8,'Калькуляция (МИ корр)'!$AJ$8:$BC$8,0)),'Калькуляция (МИ корр)'!$F$25:$F$747,$F131,'Калькуляция (МИ корр)'!$G$25:$G$747,$G131),IF(method_reg="Метод экономически обоснованных расходов",_xlfn.SUMIFS('Калькуляция (МЭОР)'!$AJ$25:$AJ$452,'Калькуляция (МЭОР)'!$F$25:$F$452,$F131,'Калькуляция (МЭОР)'!$G$25:$G$452,$G131),IF(method_reg="Метод сравнения аналогов",_xlfn.SUMIFS('Калькуляция (МСА)'!$AE$25:$AE$122,'Калькуляция (МСА)'!$F$25:$F$122,$F131,'Калькуляция (МСА)'!$G$25:$G$122,$G131),_xlfn.SUMIFS(INDEX('Калькуляция (МИ)'!$AJ$25:$BC$747,,MATCH(AV$8,'Калькуляция (МИ)'!$AJ$8:$BC$8,0)),'Калькуляция (МИ)'!$F$25:$F$747,$F131,'Калькуляция (МИ)'!$G$25:$G$747,$G131))))</f>
        <v>0</v>
      </c>
      <c r="AW131" s="5247">
        <f>IF(AND(method_reg="Метод индексации",god&lt;&gt;first_year),_xlfn.SUMIFS(INDEX('Калькуляция (МИ корр)'!$AJ$25:$BC$747,,MATCH(AW$8,'Калькуляция (МИ корр)'!$AJ$8:$BC$8,0)),'Калькуляция (МИ корр)'!$F$25:$F$747,$F131,'Калькуляция (МИ корр)'!$G$25:$G$747,$G131),IF(method_reg="Метод экономически обоснованных расходов",_xlfn.SUMIFS('Калькуляция (МЭОР)'!$AK$25:$AK$452,'Калькуляция (МЭОР)'!$F$25:$F$452,$F131,'Калькуляция (МЭОР)'!$G$25:$G$452,$G131),IF(method_reg="Метод сравнения аналогов",_xlfn.SUMIFS('Калькуляция (МСА)'!$AF$25:$AF$122,'Калькуляция (МСА)'!$F$25:$F$122,$F131,'Калькуляция (МСА)'!$G$25:$G$122,$G131),_xlfn.SUMIFS(INDEX('Калькуляция (МИ)'!$AJ$25:$BC$747,,MATCH(AW$8,'Калькуляция (МИ)'!$AJ$8:$BC$8,0)),'Калькуляция (МИ)'!$F$25:$F$747,$F131,'Калькуляция (МИ)'!$G$25:$G$747,$G131))))</f>
        <v>0</v>
      </c>
      <c r="AX131" s="1095">
        <f>IF(AV131=0,0,(AW131-AV131)/AV131*100)</f>
        <v>0</v>
      </c>
      <c r="AY131" s="5247">
        <f>IF(AND(method_reg="Метод индексации",god&lt;&gt;first_year),_xlfn.SUMIFS(INDEX('Калькуляция (МИ корр)'!$AJ$25:$BC$747,,MATCH(AY$8,'Калькуляция (МИ корр)'!$AJ$8:$BC$8,0)),'Калькуляция (МИ корр)'!$F$25:$F$747,$F131,'Калькуляция (МИ корр)'!$G$25:$G$747,$G131),IF(method_reg="Метод экономически обоснованных расходов",_xlfn.SUMIFS('Калькуляция (МЭОР)'!$AJ$25:$AJ$452,'Калькуляция (МЭОР)'!$F$25:$F$452,$F131,'Калькуляция (МЭОР)'!$G$25:$G$452,$G131),IF(method_reg="Метод сравнения аналогов",_xlfn.SUMIFS('Калькуляция (МСА)'!$AE$25:$AE$122,'Калькуляция (МСА)'!$F$25:$F$122,$F131,'Калькуляция (МСА)'!$G$25:$G$122,$G131),_xlfn.SUMIFS(INDEX('Калькуляция (МИ)'!$AJ$25:$BC$747,,MATCH(AY$8,'Калькуляция (МИ)'!$AJ$8:$BC$8,0)),'Калькуляция (МИ)'!$F$25:$F$747,$F131,'Калькуляция (МИ)'!$G$25:$G$747,$G131))))</f>
        <v>0</v>
      </c>
      <c r="AZ131" s="5247">
        <f>IF(AND(method_reg="Метод индексации",god&lt;&gt;first_year),_xlfn.SUMIFS(INDEX('Калькуляция (МИ корр)'!$AJ$25:$BC$747,,MATCH(AZ$8,'Калькуляция (МИ корр)'!$AJ$8:$BC$8,0)),'Калькуляция (МИ корр)'!$F$25:$F$747,$F131,'Калькуляция (МИ корр)'!$G$25:$G$747,$G131),IF(method_reg="Метод экономически обоснованных расходов",_xlfn.SUMIFS('Калькуляция (МЭОР)'!$AK$25:$AK$452,'Калькуляция (МЭОР)'!$F$25:$F$452,$F131,'Калькуляция (МЭОР)'!$G$25:$G$452,$G131),IF(method_reg="Метод сравнения аналогов",_xlfn.SUMIFS('Калькуляция (МСА)'!$AF$25:$AF$122,'Калькуляция (МСА)'!$F$25:$F$122,$F131,'Калькуляция (МСА)'!$G$25:$G$122,$G131),_xlfn.SUMIFS(INDEX('Калькуляция (МИ)'!$AJ$25:$BC$747,,MATCH(AZ$8,'Калькуляция (МИ)'!$AJ$8:$BC$8,0)),'Калькуляция (МИ)'!$F$25:$F$747,$F131,'Калькуляция (МИ)'!$G$25:$G$747,$G131))))</f>
        <v>0</v>
      </c>
      <c r="BA131" s="1095">
        <f>IF(AY131=0,0,(AZ131-AY131)/AY131*100)</f>
        <v>0</v>
      </c>
      <c r="BB131" s="5247">
        <f>IF(AND(method_reg="Метод индексации",god&lt;&gt;first_year),_xlfn.SUMIFS(INDEX('Калькуляция (МИ корр)'!$AJ$25:$BC$747,,MATCH(BB$8,'Калькуляция (МИ корр)'!$AJ$8:$BC$8,0)),'Калькуляция (МИ корр)'!$F$25:$F$747,$F131,'Калькуляция (МИ корр)'!$G$25:$G$747,$G131),IF(method_reg="Метод экономически обоснованных расходов",_xlfn.SUMIFS('Калькуляция (МЭОР)'!$AJ$25:$AJ$452,'Калькуляция (МЭОР)'!$F$25:$F$452,$F131,'Калькуляция (МЭОР)'!$G$25:$G$452,$G131),IF(method_reg="Метод сравнения аналогов",_xlfn.SUMIFS('Калькуляция (МСА)'!$AE$25:$AE$122,'Калькуляция (МСА)'!$F$25:$F$122,$F131,'Калькуляция (МСА)'!$G$25:$G$122,$G131),_xlfn.SUMIFS(INDEX('Калькуляция (МИ)'!$AJ$25:$BC$747,,MATCH(BB$8,'Калькуляция (МИ)'!$AJ$8:$BC$8,0)),'Калькуляция (МИ)'!$F$25:$F$747,$F131,'Калькуляция (МИ)'!$G$25:$G$747,$G131))))</f>
        <v>0</v>
      </c>
      <c r="BC131" s="5247">
        <f>IF(AND(method_reg="Метод индексации",god&lt;&gt;first_year),_xlfn.SUMIFS(INDEX('Калькуляция (МИ корр)'!$AJ$25:$BC$747,,MATCH(BC$8,'Калькуляция (МИ корр)'!$AJ$8:$BC$8,0)),'Калькуляция (МИ корр)'!$F$25:$F$747,$F131,'Калькуляция (МИ корр)'!$G$25:$G$747,$G131),IF(method_reg="Метод экономически обоснованных расходов",_xlfn.SUMIFS('Калькуляция (МЭОР)'!$AK$25:$AK$452,'Калькуляция (МЭОР)'!$F$25:$F$452,$F131,'Калькуляция (МЭОР)'!$G$25:$G$452,$G131),IF(method_reg="Метод сравнения аналогов",_xlfn.SUMIFS('Калькуляция (МСА)'!$AF$25:$AF$122,'Калькуляция (МСА)'!$F$25:$F$122,$F131,'Калькуляция (МСА)'!$G$25:$G$122,$G131),_xlfn.SUMIFS(INDEX('Калькуляция (МИ)'!$AJ$25:$BC$747,,MATCH(BC$8,'Калькуляция (МИ)'!$AJ$8:$BC$8,0)),'Калькуляция (МИ)'!$F$25:$F$747,$F131,'Калькуляция (МИ)'!$G$25:$G$747,$G131))))</f>
        <v>0</v>
      </c>
      <c r="BD131" s="1095">
        <f>IF(BB131=0,0,(BC131-BB131)/BB131*100)</f>
        <v>0</v>
      </c>
      <c r="BE131" s="5247">
        <f>IF(AND(method_reg="Метод индексации",god&lt;&gt;first_year),_xlfn.SUMIFS(INDEX('Калькуляция (МИ корр)'!$AJ$25:$BC$747,,MATCH(BE$8,'Калькуляция (МИ корр)'!$AJ$8:$BC$8,0)),'Калькуляция (МИ корр)'!$F$25:$F$747,$F131,'Калькуляция (МИ корр)'!$G$25:$G$747,$G131),IF(method_reg="Метод экономически обоснованных расходов",_xlfn.SUMIFS('Калькуляция (МЭОР)'!$AJ$25:$AJ$452,'Калькуляция (МЭОР)'!$F$25:$F$452,$F131,'Калькуляция (МЭОР)'!$G$25:$G$452,$G131),IF(method_reg="Метод сравнения аналогов",_xlfn.SUMIFS('Калькуляция (МСА)'!$AE$25:$AE$122,'Калькуляция (МСА)'!$F$25:$F$122,$F131,'Калькуляция (МСА)'!$G$25:$G$122,$G131),_xlfn.SUMIFS(INDEX('Калькуляция (МИ)'!$AJ$25:$BC$747,,MATCH(BE$8,'Калькуляция (МИ)'!$AJ$8:$BC$8,0)),'Калькуляция (МИ)'!$F$25:$F$747,$F131,'Калькуляция (МИ)'!$G$25:$G$747,$G131))))</f>
        <v>0</v>
      </c>
      <c r="BF131" s="5247">
        <f>IF(AND(method_reg="Метод индексации",god&lt;&gt;first_year),_xlfn.SUMIFS(INDEX('Калькуляция (МИ корр)'!$AJ$25:$BC$747,,MATCH(BF$8,'Калькуляция (МИ корр)'!$AJ$8:$BC$8,0)),'Калькуляция (МИ корр)'!$F$25:$F$747,$F131,'Калькуляция (МИ корр)'!$G$25:$G$747,$G131),IF(method_reg="Метод экономически обоснованных расходов",_xlfn.SUMIFS('Калькуляция (МЭОР)'!$AK$25:$AK$452,'Калькуляция (МЭОР)'!$F$25:$F$452,$F131,'Калькуляция (МЭОР)'!$G$25:$G$452,$G131),IF(method_reg="Метод сравнения аналогов",_xlfn.SUMIFS('Калькуляция (МСА)'!$AF$25:$AF$122,'Калькуляция (МСА)'!$F$25:$F$122,$F131,'Калькуляция (МСА)'!$G$25:$G$122,$G131),_xlfn.SUMIFS(INDEX('Калькуляция (МИ)'!$AJ$25:$BC$747,,MATCH(BF$8,'Калькуляция (МИ)'!$AJ$8:$BC$8,0)),'Калькуляция (МИ)'!$F$25:$F$747,$F131,'Калькуляция (МИ)'!$G$25:$G$747,$G131))))</f>
        <v>0</v>
      </c>
      <c r="BG131" s="1095">
        <f>IF(BE131=0,0,(BF131-BE131)/BE131*100)</f>
        <v>0</v>
      </c>
      <c r="BH131" s="5247"/>
      <c r="BI131" s="5247"/>
      <c r="BJ131" s="1095">
        <f>IF(BH131=0,0,(BI131-BH131)/BH131*100)</f>
        <v>0</v>
      </c>
      <c r="BK131" s="5247"/>
      <c r="BL131" s="5247"/>
      <c r="BM131" s="1095">
        <f>IF(BK131=0,0,(BL131-BK131)/BK131*100)</f>
        <v>0</v>
      </c>
      <c r="BN131" s="5247"/>
      <c r="BO131" s="5247"/>
      <c r="BP131" s="1095">
        <f>IF(BN131=0,0,(BO131-BN131)/BN131*100)</f>
        <v>0</v>
      </c>
      <c r="BQ131" s="5247"/>
      <c r="BR131" s="5247"/>
      <c r="BS131" s="1095">
        <f>IF(BQ131=0,0,(BR131-BQ131)/BQ131*100)</f>
        <v>0</v>
      </c>
      <c r="BT131" s="5247"/>
      <c r="BU131" s="5247"/>
      <c r="BV131" s="1095">
        <f>IF(BT131=0,0,(BU131-BT131)/BT131*100)</f>
        <v>0</v>
      </c>
      <c r="BW131" s="5247"/>
      <c r="BX131" s="5247"/>
      <c r="BY131" s="1095">
        <f>IF(BW131=0,0,(BX131-BW131)/BW131*100)</f>
        <v>0</v>
      </c>
      <c r="BZ131" s="5247"/>
      <c r="CA131" s="5247"/>
      <c r="CB131" s="1095">
        <f>IF(BZ131=0,0,(CA131-BZ131)/BZ131*100)</f>
        <v>0</v>
      </c>
      <c r="CC131" s="5247"/>
      <c r="CD131" s="5247"/>
      <c r="CE131" s="1095">
        <f>IF(CC131=0,0,(CD131-CC131)/CC131*100)</f>
        <v>0</v>
      </c>
      <c r="CF131" s="5247"/>
      <c r="CG131" s="5247"/>
      <c r="CH131" s="1095">
        <f>IF(CF131=0,0,(CG131-CF131)/CF131*100)</f>
        <v>0</v>
      </c>
      <c r="CI131" s="5247"/>
      <c r="CJ131" s="5247"/>
      <c r="CK131" s="1095">
        <f>IF(CI131=0,0,(CJ131-CI131)/CI131*100)</f>
        <v>0</v>
      </c>
      <c r="CL131" s="5247"/>
      <c r="CM131" s="5247"/>
      <c r="CN131" s="1095">
        <f>IF(CL131=0,0,(CM131-CL131)/CL131*100)</f>
        <v>0</v>
      </c>
      <c r="CO131" s="5247"/>
      <c r="CP131" s="5247"/>
      <c r="CQ131" s="1095">
        <f>IF(CO131=0,0,(CP131-CO131)/CO131*100)</f>
        <v>0</v>
      </c>
      <c r="CR131" s="5247"/>
      <c r="CS131" s="5247"/>
      <c r="CT131" s="1095">
        <f>IF(CR131=0,0,(CS131-CR131)/CR131*100)</f>
        <v>0</v>
      </c>
      <c r="CU131" s="5247"/>
      <c r="CV131" s="5247"/>
      <c r="CW131" s="1095">
        <f>IF(CU131=0,0,(CV131-CU131)/CU131*100)</f>
        <v>0</v>
      </c>
      <c r="CX131" s="5247"/>
      <c r="CY131" s="5247"/>
      <c r="CZ131" s="1095">
        <f>IF(CX131=0,0,(CY131-CX131)/CX131*100)</f>
        <v>0</v>
      </c>
      <c r="DA131" s="5247"/>
      <c r="DB131" s="5247"/>
      <c r="DC131" s="1095">
        <f>IF(DA131=0,0,(DB131-DA131)/DA131*100)</f>
        <v>0</v>
      </c>
      <c r="DD131" s="5247"/>
      <c r="DE131" s="5247"/>
      <c r="DF131" s="1095">
        <f>IF(DD131=0,0,(DE131-DD131)/DD131*100)</f>
        <v>0</v>
      </c>
      <c r="DG131" s="5247"/>
      <c r="DH131" s="5247"/>
      <c r="DI131" s="1095">
        <f>IF(DG131=0,0,(DH131-DG131)/DG131*100)</f>
        <v>0</v>
      </c>
      <c r="DJ131" s="5247"/>
      <c r="DK131" s="5247"/>
      <c r="DL131" s="1095">
        <f>IF(DJ131=0,0,(DK131-DJ131)/DJ131*100)</f>
        <v>0</v>
      </c>
      <c r="DM131" s="5247"/>
      <c r="DN131" s="5247"/>
      <c r="DO131" s="1095">
        <f>IF(DM131=0,0,(DN131-DM131)/DM131*100)</f>
        <v>0</v>
      </c>
      <c r="DP131" s="5247"/>
      <c r="DQ131" s="5247"/>
      <c r="DR131" s="1095">
        <f>IF(DP131=0,0,(DQ131-DP131)/DP131*100)</f>
        <v>0</v>
      </c>
      <c r="DS131" s="5247"/>
      <c r="DT131" s="5247"/>
      <c r="DU131" s="1095">
        <f>IF(DS131=0,0,(DT131-DS131)/DS131*100)</f>
        <v>0</v>
      </c>
      <c r="DV131" s="5247"/>
      <c r="DW131" s="5247"/>
      <c r="DX131" s="1095">
        <f>IF(DV131=0,0,(DW131-DV131)/DV131*100)</f>
        <v>0</v>
      </c>
      <c r="DY131" s="5247"/>
      <c r="DZ131" s="5247"/>
      <c r="EA131" s="1095">
        <f>IF(DY131=0,0,(DZ131-DY131)/DY131*100)</f>
        <v>0</v>
      </c>
      <c r="EB131" s="5247"/>
      <c r="EC131" s="5247"/>
      <c r="ED131" s="1095">
        <f>IF(EB131=0,0,(EC131-EB131)/EB131*100)</f>
        <v>0</v>
      </c>
      <c r="EE131" s="5247"/>
      <c r="EF131" s="5247"/>
      <c r="EG131" s="1095">
        <f>IF(EE131=0,0,(EF131-EE131)/EE131*100)</f>
        <v>0</v>
      </c>
      <c r="EH131" s="5247"/>
      <c r="EI131" s="5247"/>
      <c r="EJ131" s="1095">
        <f>IF(EH131=0,0,(EI131-EH131)/EH131*100)</f>
        <v>0</v>
      </c>
      <c r="EK131" s="5247"/>
      <c r="EL131" s="5247"/>
      <c r="EM131" s="1095">
        <f>IF(EK131=0,0,(EL131-EK131)/EK131*100)</f>
        <v>0</v>
      </c>
      <c r="EN131" s="5247"/>
      <c r="EO131" s="5247"/>
      <c r="EP131" s="1095">
        <f>IF(EN131=0,0,(EO131-EN131)/EN131*100)</f>
        <v>0</v>
      </c>
      <c r="EQ131" s="5247"/>
      <c r="ER131" s="5247"/>
      <c r="ES131" s="1095">
        <f>IF(EQ131=0,0,(ER131-EQ131)/EQ131*100)</f>
        <v>0</v>
      </c>
      <c r="ET131" s="5247"/>
      <c r="EU131" s="5247"/>
      <c r="EV131" s="1095">
        <f>IF(ET131=0,0,(EU131-ET131)/ET131*100)</f>
        <v>0</v>
      </c>
      <c r="EW131" s="5247"/>
      <c r="EX131" s="5247"/>
      <c r="EY131" s="1095">
        <f>IF(EW131=0,0,(EX131-EW131)/EW131*100)</f>
        <v>0</v>
      </c>
      <c r="EZ131" s="5247"/>
      <c r="FA131" s="5247"/>
      <c r="FB131" s="1095">
        <f>IF(EZ131=0,0,(FA131-EZ131)/EZ131*100)</f>
        <v>0</v>
      </c>
      <c r="FC131" s="5247"/>
      <c r="FD131" s="5247"/>
      <c r="FE131" s="1095">
        <f>IF(FC131=0,0,(FD131-FC131)/FC131*100)</f>
        <v>0</v>
      </c>
      <c r="FF131" s="5247"/>
      <c r="FG131" s="5247"/>
      <c r="FH131" s="1095">
        <f>IF(FF131=0,0,(FG131-FF131)/FF131*100)</f>
        <v>0</v>
      </c>
      <c r="FI131" s="5247"/>
      <c r="FJ131" s="5247"/>
      <c r="FK131" s="1095">
        <f>IF(FI131=0,0,(FJ131-FI131)/FI131*100)</f>
        <v>0</v>
      </c>
      <c r="FL131" s="5247"/>
      <c r="FM131" s="5247"/>
      <c r="FN131" s="1095">
        <f>IF(FL131=0,0,(FM131-FL131)/FL131*100)</f>
        <v>0</v>
      </c>
      <c r="FO131" s="5247"/>
      <c r="FP131" s="5247"/>
      <c r="FQ131" s="1095">
        <f>IF(FO131=0,0,(FP131-FO131)/FO131*100)</f>
        <v>0</v>
      </c>
      <c r="FR131" s="5247"/>
      <c r="FS131" s="5247"/>
      <c r="FT131" s="1095">
        <f>IF(FR131=0,0,(FS131-FR131)/FR131*100)</f>
        <v>0</v>
      </c>
      <c r="FU131" s="5247"/>
      <c r="FV131" s="5247"/>
      <c r="FW131" s="1095">
        <f>IF(FU131=0,0,(FV131-FU131)/FU131*100)</f>
        <v>0</v>
      </c>
      <c r="FX131" s="1304"/>
      <c r="FY131" s="1304"/>
      <c r="FZ131" s="1055" t="s">
        <v>2401</v>
      </c>
      <c r="GA131" s="1306"/>
      <c r="GB131" s="1306"/>
      <c r="GC131" s="1305"/>
      <c r="GD131" s="1305"/>
    </row>
    <row s="1834" customFormat="1" customHeight="1" ht="21.75" hidden="1">
      <c r="A132" s="493"/>
      <c r="B132" s="925" cm="1" t="str">
        <f t="array" ref="B132:B132">B131</f>
        <v>false</v>
      </c>
      <c r="C132" s="493"/>
      <c r="D132" s="493"/>
      <c r="E132" s="840">
        <v>22.5</v>
      </c>
      <c r="F132" s="50" cm="1" t="str">
        <f t="array" ref="F132:F132">OFFSET(E132,-1,1)</f>
        <v>1</v>
      </c>
      <c r="G132" s="493"/>
      <c r="H132" s="493" t="s">
        <v>2376</v>
      </c>
      <c r="I132" s="493" t="s">
        <v>2354</v>
      </c>
      <c r="J132" s="493"/>
      <c r="K132" s="493"/>
      <c r="L132" s="493"/>
      <c r="M132" s="493"/>
      <c r="N132" s="493"/>
      <c r="O132" s="493"/>
      <c r="P132" s="493"/>
      <c r="Q132" s="493"/>
      <c r="R132" s="493"/>
      <c r="S132" s="493"/>
      <c r="T132" s="465" cm="1" t="str">
        <f t="array" ref="T132:T132">T131</f>
        <v>true</v>
      </c>
      <c r="U132" s="493"/>
      <c r="V132" s="493"/>
      <c r="W132" s="493"/>
      <c r="X132" s="1596"/>
      <c r="Y132" s="493"/>
      <c r="Z132" s="1545"/>
      <c r="AA132" s="493"/>
      <c r="AB132" s="904" t="str">
        <f>"ставка платы за содержание системы "&amp;IF(Q92="Водоснабжение","холодного водоснабжения","водоотведения")</f>
        <v>ставка платы за содержание системы холодного водоснабжения</v>
      </c>
      <c r="AC132" s="864" t="s">
        <v>2377</v>
      </c>
      <c r="AD132" s="2846"/>
      <c r="AE132" s="2846"/>
      <c r="AF132" s="1093">
        <f>IF(AD132=0,0,(AE132-AD132)/AD132*100)</f>
        <v>0</v>
      </c>
      <c r="AG132" s="2846"/>
      <c r="AH132" s="2846"/>
      <c r="AI132" s="1093">
        <f>IF(AG132=0,0,(AH132-AG132)/AG132*100)</f>
        <v>0</v>
      </c>
      <c r="AJ132" s="2846"/>
      <c r="AK132" s="2846"/>
      <c r="AL132" s="1093">
        <f>IF(AJ132=0,0,(AK132-AJ132)/AJ132*100)</f>
        <v>0</v>
      </c>
      <c r="AM132" s="2846"/>
      <c r="AN132" s="2846"/>
      <c r="AO132" s="1093">
        <f>IF(AM132=0,0,(AN132-AM132)/AM132*100)</f>
        <v>0</v>
      </c>
      <c r="AP132" s="2846"/>
      <c r="AQ132" s="2846"/>
      <c r="AR132" s="1093">
        <f>IF(AP132=0,0,(AQ132-AP132)/AP132*100)</f>
        <v>0</v>
      </c>
      <c r="AS132" s="2846"/>
      <c r="AT132" s="2846"/>
      <c r="AU132" s="1093">
        <f>IF(AS132=0,0,(AT132-AS132)/AS132*100)</f>
        <v>0</v>
      </c>
      <c r="AV132" s="2846"/>
      <c r="AW132" s="2846"/>
      <c r="AX132" s="1093">
        <f>IF(AV132=0,0,(AW132-AV132)/AV132*100)</f>
        <v>0</v>
      </c>
      <c r="AY132" s="2846"/>
      <c r="AZ132" s="2846"/>
      <c r="BA132" s="1093">
        <f>IF(AY132=0,0,(AZ132-AY132)/AY132*100)</f>
        <v>0</v>
      </c>
      <c r="BB132" s="2846"/>
      <c r="BC132" s="2846"/>
      <c r="BD132" s="1093">
        <f>IF(BB132=0,0,(BC132-BB132)/BB132*100)</f>
        <v>0</v>
      </c>
      <c r="BE132" s="2846"/>
      <c r="BF132" s="2846"/>
      <c r="BG132" s="1093">
        <f>IF(BE132=0,0,(BF132-BE132)/BE132*100)</f>
        <v>0</v>
      </c>
      <c r="BH132" s="2846"/>
      <c r="BI132" s="2846"/>
      <c r="BJ132" s="1093">
        <f>IF(BH132=0,0,(BI132-BH132)/BH132*100)</f>
        <v>0</v>
      </c>
      <c r="BK132" s="2846"/>
      <c r="BL132" s="2846"/>
      <c r="BM132" s="1093">
        <f>IF(BK132=0,0,(BL132-BK132)/BK132*100)</f>
        <v>0</v>
      </c>
      <c r="BN132" s="2846"/>
      <c r="BO132" s="2846"/>
      <c r="BP132" s="1093">
        <f>IF(BN132=0,0,(BO132-BN132)/BN132*100)</f>
        <v>0</v>
      </c>
      <c r="BQ132" s="2846"/>
      <c r="BR132" s="2846"/>
      <c r="BS132" s="1093">
        <f>IF(BQ132=0,0,(BR132-BQ132)/BQ132*100)</f>
        <v>0</v>
      </c>
      <c r="BT132" s="2846"/>
      <c r="BU132" s="2846"/>
      <c r="BV132" s="1093">
        <f>IF(BT132=0,0,(BU132-BT132)/BT132*100)</f>
        <v>0</v>
      </c>
      <c r="BW132" s="2846"/>
      <c r="BX132" s="2846"/>
      <c r="BY132" s="1093">
        <f>IF(BW132=0,0,(BX132-BW132)/BW132*100)</f>
        <v>0</v>
      </c>
      <c r="BZ132" s="2846"/>
      <c r="CA132" s="2846"/>
      <c r="CB132" s="1093">
        <f>IF(BZ132=0,0,(CA132-BZ132)/BZ132*100)</f>
        <v>0</v>
      </c>
      <c r="CC132" s="2846"/>
      <c r="CD132" s="2846"/>
      <c r="CE132" s="1093">
        <f>IF(CC132=0,0,(CD132-CC132)/CC132*100)</f>
        <v>0</v>
      </c>
      <c r="CF132" s="2846"/>
      <c r="CG132" s="2846"/>
      <c r="CH132" s="1093">
        <f>IF(CF132=0,0,(CG132-CF132)/CF132*100)</f>
        <v>0</v>
      </c>
      <c r="CI132" s="2846"/>
      <c r="CJ132" s="2846"/>
      <c r="CK132" s="1093">
        <f>IF(CI132=0,0,(CJ132-CI132)/CI132*100)</f>
        <v>0</v>
      </c>
      <c r="CL132" s="2846"/>
      <c r="CM132" s="2846"/>
      <c r="CN132" s="1093">
        <f>IF(CL132=0,0,(CM132-CL132)/CL132*100)</f>
        <v>0</v>
      </c>
      <c r="CO132" s="2846"/>
      <c r="CP132" s="2846"/>
      <c r="CQ132" s="1093">
        <f>IF(CO132=0,0,(CP132-CO132)/CO132*100)</f>
        <v>0</v>
      </c>
      <c r="CR132" s="2846"/>
      <c r="CS132" s="2846"/>
      <c r="CT132" s="1093">
        <f>IF(CR132=0,0,(CS132-CR132)/CR132*100)</f>
        <v>0</v>
      </c>
      <c r="CU132" s="2846"/>
      <c r="CV132" s="2846"/>
      <c r="CW132" s="1093">
        <f>IF(CU132=0,0,(CV132-CU132)/CU132*100)</f>
        <v>0</v>
      </c>
      <c r="CX132" s="2846"/>
      <c r="CY132" s="2846"/>
      <c r="CZ132" s="1093">
        <f>IF(CX132=0,0,(CY132-CX132)/CX132*100)</f>
        <v>0</v>
      </c>
      <c r="DA132" s="2846"/>
      <c r="DB132" s="2846"/>
      <c r="DC132" s="1093">
        <f>IF(DA132=0,0,(DB132-DA132)/DA132*100)</f>
        <v>0</v>
      </c>
      <c r="DD132" s="2846"/>
      <c r="DE132" s="2846"/>
      <c r="DF132" s="1093">
        <f>IF(DD132=0,0,(DE132-DD132)/DD132*100)</f>
        <v>0</v>
      </c>
      <c r="DG132" s="2846"/>
      <c r="DH132" s="2846"/>
      <c r="DI132" s="1093">
        <f>IF(DG132=0,0,(DH132-DG132)/DG132*100)</f>
        <v>0</v>
      </c>
      <c r="DJ132" s="2846"/>
      <c r="DK132" s="2846"/>
      <c r="DL132" s="1093">
        <f>IF(DJ132=0,0,(DK132-DJ132)/DJ132*100)</f>
        <v>0</v>
      </c>
      <c r="DM132" s="2846"/>
      <c r="DN132" s="2846"/>
      <c r="DO132" s="1093">
        <f>IF(DM132=0,0,(DN132-DM132)/DM132*100)</f>
        <v>0</v>
      </c>
      <c r="DP132" s="2846"/>
      <c r="DQ132" s="2846"/>
      <c r="DR132" s="1093">
        <f>IF(DP132=0,0,(DQ132-DP132)/DP132*100)</f>
        <v>0</v>
      </c>
      <c r="DS132" s="2846"/>
      <c r="DT132" s="2846"/>
      <c r="DU132" s="1093">
        <f>IF(DS132=0,0,(DT132-DS132)/DS132*100)</f>
        <v>0</v>
      </c>
      <c r="DV132" s="2846"/>
      <c r="DW132" s="2846"/>
      <c r="DX132" s="1093">
        <f>IF(DV132=0,0,(DW132-DV132)/DV132*100)</f>
        <v>0</v>
      </c>
      <c r="DY132" s="2846"/>
      <c r="DZ132" s="2846"/>
      <c r="EA132" s="1093">
        <f>IF(DY132=0,0,(DZ132-DY132)/DY132*100)</f>
        <v>0</v>
      </c>
      <c r="EB132" s="2846"/>
      <c r="EC132" s="2846"/>
      <c r="ED132" s="1093">
        <f>IF(EB132=0,0,(EC132-EB132)/EB132*100)</f>
        <v>0</v>
      </c>
      <c r="EE132" s="2846"/>
      <c r="EF132" s="2846"/>
      <c r="EG132" s="1093">
        <f>IF(EE132=0,0,(EF132-EE132)/EE132*100)</f>
        <v>0</v>
      </c>
      <c r="EH132" s="2846"/>
      <c r="EI132" s="2846"/>
      <c r="EJ132" s="1093">
        <f>IF(EH132=0,0,(EI132-EH132)/EH132*100)</f>
        <v>0</v>
      </c>
      <c r="EK132" s="2846"/>
      <c r="EL132" s="2846"/>
      <c r="EM132" s="1093">
        <f>IF(EK132=0,0,(EL132-EK132)/EK132*100)</f>
        <v>0</v>
      </c>
      <c r="EN132" s="2846"/>
      <c r="EO132" s="2846"/>
      <c r="EP132" s="1093">
        <f>IF(EN132=0,0,(EO132-EN132)/EN132*100)</f>
        <v>0</v>
      </c>
      <c r="EQ132" s="2846"/>
      <c r="ER132" s="2846"/>
      <c r="ES132" s="1093">
        <f>IF(EQ132=0,0,(ER132-EQ132)/EQ132*100)</f>
        <v>0</v>
      </c>
      <c r="ET132" s="2846"/>
      <c r="EU132" s="2846"/>
      <c r="EV132" s="1093">
        <f>IF(ET132=0,0,(EU132-ET132)/ET132*100)</f>
        <v>0</v>
      </c>
      <c r="EW132" s="2846"/>
      <c r="EX132" s="2846"/>
      <c r="EY132" s="1093">
        <f>IF(EW132=0,0,(EX132-EW132)/EW132*100)</f>
        <v>0</v>
      </c>
      <c r="EZ132" s="2846"/>
      <c r="FA132" s="2846"/>
      <c r="FB132" s="1093">
        <f>IF(EZ132=0,0,(FA132-EZ132)/EZ132*100)</f>
        <v>0</v>
      </c>
      <c r="FC132" s="2846"/>
      <c r="FD132" s="2846"/>
      <c r="FE132" s="1093">
        <f>IF(FC132=0,0,(FD132-FC132)/FC132*100)</f>
        <v>0</v>
      </c>
      <c r="FF132" s="2846"/>
      <c r="FG132" s="2846"/>
      <c r="FH132" s="1093">
        <f>IF(FF132=0,0,(FG132-FF132)/FF132*100)</f>
        <v>0</v>
      </c>
      <c r="FI132" s="2846"/>
      <c r="FJ132" s="2846"/>
      <c r="FK132" s="1093">
        <f>IF(FI132=0,0,(FJ132-FI132)/FI132*100)</f>
        <v>0</v>
      </c>
      <c r="FL132" s="2846"/>
      <c r="FM132" s="2846"/>
      <c r="FN132" s="1093">
        <f>IF(FL132=0,0,(FM132-FL132)/FL132*100)</f>
        <v>0</v>
      </c>
      <c r="FO132" s="2846"/>
      <c r="FP132" s="2846"/>
      <c r="FQ132" s="1093">
        <f>IF(FO132=0,0,(FP132-FO132)/FO132*100)</f>
        <v>0</v>
      </c>
      <c r="FR132" s="2846"/>
      <c r="FS132" s="2846"/>
      <c r="FT132" s="1093">
        <f>IF(FR132=0,0,(FS132-FR132)/FR132*100)</f>
        <v>0</v>
      </c>
      <c r="FU132" s="2846"/>
      <c r="FV132" s="2846"/>
      <c r="FW132" s="1093">
        <f>IF(FU132=0,0,(FV132-FU132)/FU132*100)</f>
        <v>0</v>
      </c>
      <c r="FX132" s="1304"/>
      <c r="FY132" s="1304"/>
      <c r="FZ132" s="1055" t="s">
        <v>2402</v>
      </c>
      <c r="GA132" s="1306"/>
      <c r="GB132" s="1306"/>
      <c r="GC132" s="1305"/>
      <c r="GD132" s="1305"/>
    </row>
    <row s="1834" customFormat="1" customHeight="1" ht="14.25" hidden="1">
      <c r="A133" s="493"/>
      <c r="B133" s="925" cm="1" t="str">
        <f t="array" ref="B133:B133">B132</f>
        <v>false</v>
      </c>
      <c r="C133" s="493"/>
      <c r="D133" s="493"/>
      <c r="E133" s="840">
        <v>15</v>
      </c>
      <c r="F133" s="50" cm="1" t="str">
        <f t="array" ref="F133:F133">OFFSET(E133,-1,1)</f>
        <v>1</v>
      </c>
      <c r="G133" s="493"/>
      <c r="H133" s="493" t="s">
        <v>2379</v>
      </c>
      <c r="I133" s="493" t="s">
        <v>2354</v>
      </c>
      <c r="J133" s="493"/>
      <c r="K133" s="493"/>
      <c r="L133" s="493"/>
      <c r="M133" s="493"/>
      <c r="N133" s="493"/>
      <c r="O133" s="493"/>
      <c r="P133" s="493"/>
      <c r="Q133" s="493"/>
      <c r="R133" s="493"/>
      <c r="S133" s="493"/>
      <c r="T133" s="465" cm="1" t="str">
        <f t="array" ref="T133:T133">T132</f>
        <v>true</v>
      </c>
      <c r="U133" s="493"/>
      <c r="V133" s="493"/>
      <c r="W133" s="493"/>
      <c r="X133" s="1596"/>
      <c r="Y133" s="493"/>
      <c r="Z133" s="1545"/>
      <c r="AA133" s="493"/>
      <c r="AB133" s="904" t="s">
        <v>2380</v>
      </c>
      <c r="AC133" s="864" t="s">
        <v>2381</v>
      </c>
      <c r="AD133" s="2846"/>
      <c r="AE133" s="2846"/>
      <c r="AF133" s="1093">
        <f>IF(AD133=0,0,(AE133-AD133)/AD133*100)</f>
        <v>0</v>
      </c>
      <c r="AG133" s="2846"/>
      <c r="AH133" s="2846"/>
      <c r="AI133" s="1093">
        <f>IF(AG133=0,0,(AH133-AG133)/AG133*100)</f>
        <v>0</v>
      </c>
      <c r="AJ133" s="2846"/>
      <c r="AK133" s="2846"/>
      <c r="AL133" s="1093">
        <f>IF(AJ133=0,0,(AK133-AJ133)/AJ133*100)</f>
        <v>0</v>
      </c>
      <c r="AM133" s="2846"/>
      <c r="AN133" s="2846"/>
      <c r="AO133" s="1093">
        <f>IF(AM133=0,0,(AN133-AM133)/AM133*100)</f>
        <v>0</v>
      </c>
      <c r="AP133" s="2846"/>
      <c r="AQ133" s="2846"/>
      <c r="AR133" s="1093">
        <f>IF(AP133=0,0,(AQ133-AP133)/AP133*100)</f>
        <v>0</v>
      </c>
      <c r="AS133" s="2846"/>
      <c r="AT133" s="2846"/>
      <c r="AU133" s="1093">
        <f>IF(AS133=0,0,(AT133-AS133)/AS133*100)</f>
        <v>0</v>
      </c>
      <c r="AV133" s="2846"/>
      <c r="AW133" s="2846"/>
      <c r="AX133" s="1093">
        <f>IF(AV133=0,0,(AW133-AV133)/AV133*100)</f>
        <v>0</v>
      </c>
      <c r="AY133" s="2846"/>
      <c r="AZ133" s="2846"/>
      <c r="BA133" s="1093">
        <f>IF(AY133=0,0,(AZ133-AY133)/AY133*100)</f>
        <v>0</v>
      </c>
      <c r="BB133" s="2846"/>
      <c r="BC133" s="2846"/>
      <c r="BD133" s="1093">
        <f>IF(BB133=0,0,(BC133-BB133)/BB133*100)</f>
        <v>0</v>
      </c>
      <c r="BE133" s="2846"/>
      <c r="BF133" s="2846"/>
      <c r="BG133" s="1093">
        <f>IF(BE133=0,0,(BF133-BE133)/BE133*100)</f>
        <v>0</v>
      </c>
      <c r="BH133" s="2846"/>
      <c r="BI133" s="2846"/>
      <c r="BJ133" s="1093">
        <f>IF(BH133=0,0,(BI133-BH133)/BH133*100)</f>
        <v>0</v>
      </c>
      <c r="BK133" s="2846"/>
      <c r="BL133" s="2846"/>
      <c r="BM133" s="1093">
        <f>IF(BK133=0,0,(BL133-BK133)/BK133*100)</f>
        <v>0</v>
      </c>
      <c r="BN133" s="2846"/>
      <c r="BO133" s="2846"/>
      <c r="BP133" s="1093">
        <f>IF(BN133=0,0,(BO133-BN133)/BN133*100)</f>
        <v>0</v>
      </c>
      <c r="BQ133" s="2846"/>
      <c r="BR133" s="2846"/>
      <c r="BS133" s="1093">
        <f>IF(BQ133=0,0,(BR133-BQ133)/BQ133*100)</f>
        <v>0</v>
      </c>
      <c r="BT133" s="2846"/>
      <c r="BU133" s="2846"/>
      <c r="BV133" s="1093">
        <f>IF(BT133=0,0,(BU133-BT133)/BT133*100)</f>
        <v>0</v>
      </c>
      <c r="BW133" s="2846"/>
      <c r="BX133" s="2846"/>
      <c r="BY133" s="1093">
        <f>IF(BW133=0,0,(BX133-BW133)/BW133*100)</f>
        <v>0</v>
      </c>
      <c r="BZ133" s="2846"/>
      <c r="CA133" s="2846"/>
      <c r="CB133" s="1093">
        <f>IF(BZ133=0,0,(CA133-BZ133)/BZ133*100)</f>
        <v>0</v>
      </c>
      <c r="CC133" s="2846"/>
      <c r="CD133" s="2846"/>
      <c r="CE133" s="1093">
        <f>IF(CC133=0,0,(CD133-CC133)/CC133*100)</f>
        <v>0</v>
      </c>
      <c r="CF133" s="2846"/>
      <c r="CG133" s="2846"/>
      <c r="CH133" s="1093">
        <f>IF(CF133=0,0,(CG133-CF133)/CF133*100)</f>
        <v>0</v>
      </c>
      <c r="CI133" s="2846"/>
      <c r="CJ133" s="2846"/>
      <c r="CK133" s="1093">
        <f>IF(CI133=0,0,(CJ133-CI133)/CI133*100)</f>
        <v>0</v>
      </c>
      <c r="CL133" s="2846"/>
      <c r="CM133" s="2846"/>
      <c r="CN133" s="1093">
        <f>IF(CL133=0,0,(CM133-CL133)/CL133*100)</f>
        <v>0</v>
      </c>
      <c r="CO133" s="2846"/>
      <c r="CP133" s="2846"/>
      <c r="CQ133" s="1093">
        <f>IF(CO133=0,0,(CP133-CO133)/CO133*100)</f>
        <v>0</v>
      </c>
      <c r="CR133" s="2846"/>
      <c r="CS133" s="2846"/>
      <c r="CT133" s="1093">
        <f>IF(CR133=0,0,(CS133-CR133)/CR133*100)</f>
        <v>0</v>
      </c>
      <c r="CU133" s="2846"/>
      <c r="CV133" s="2846"/>
      <c r="CW133" s="1093">
        <f>IF(CU133=0,0,(CV133-CU133)/CU133*100)</f>
        <v>0</v>
      </c>
      <c r="CX133" s="2846"/>
      <c r="CY133" s="2846"/>
      <c r="CZ133" s="1093">
        <f>IF(CX133=0,0,(CY133-CX133)/CX133*100)</f>
        <v>0</v>
      </c>
      <c r="DA133" s="2846"/>
      <c r="DB133" s="2846"/>
      <c r="DC133" s="1093">
        <f>IF(DA133=0,0,(DB133-DA133)/DA133*100)</f>
        <v>0</v>
      </c>
      <c r="DD133" s="2846"/>
      <c r="DE133" s="2846"/>
      <c r="DF133" s="1093">
        <f>IF(DD133=0,0,(DE133-DD133)/DD133*100)</f>
        <v>0</v>
      </c>
      <c r="DG133" s="2846"/>
      <c r="DH133" s="2846"/>
      <c r="DI133" s="1093">
        <f>IF(DG133=0,0,(DH133-DG133)/DG133*100)</f>
        <v>0</v>
      </c>
      <c r="DJ133" s="2846"/>
      <c r="DK133" s="2846"/>
      <c r="DL133" s="1093">
        <f>IF(DJ133=0,0,(DK133-DJ133)/DJ133*100)</f>
        <v>0</v>
      </c>
      <c r="DM133" s="2846"/>
      <c r="DN133" s="2846"/>
      <c r="DO133" s="1093">
        <f>IF(DM133=0,0,(DN133-DM133)/DM133*100)</f>
        <v>0</v>
      </c>
      <c r="DP133" s="2846"/>
      <c r="DQ133" s="2846"/>
      <c r="DR133" s="1093">
        <f>IF(DP133=0,0,(DQ133-DP133)/DP133*100)</f>
        <v>0</v>
      </c>
      <c r="DS133" s="2846"/>
      <c r="DT133" s="2846"/>
      <c r="DU133" s="1093">
        <f>IF(DS133=0,0,(DT133-DS133)/DS133*100)</f>
        <v>0</v>
      </c>
      <c r="DV133" s="2846"/>
      <c r="DW133" s="2846"/>
      <c r="DX133" s="1093">
        <f>IF(DV133=0,0,(DW133-DV133)/DV133*100)</f>
        <v>0</v>
      </c>
      <c r="DY133" s="2846"/>
      <c r="DZ133" s="2846"/>
      <c r="EA133" s="1093">
        <f>IF(DY133=0,0,(DZ133-DY133)/DY133*100)</f>
        <v>0</v>
      </c>
      <c r="EB133" s="2846"/>
      <c r="EC133" s="2846"/>
      <c r="ED133" s="1093">
        <f>IF(EB133=0,0,(EC133-EB133)/EB133*100)</f>
        <v>0</v>
      </c>
      <c r="EE133" s="2846"/>
      <c r="EF133" s="2846"/>
      <c r="EG133" s="1093">
        <f>IF(EE133=0,0,(EF133-EE133)/EE133*100)</f>
        <v>0</v>
      </c>
      <c r="EH133" s="2846"/>
      <c r="EI133" s="2846"/>
      <c r="EJ133" s="1093">
        <f>IF(EH133=0,0,(EI133-EH133)/EH133*100)</f>
        <v>0</v>
      </c>
      <c r="EK133" s="2846"/>
      <c r="EL133" s="2846"/>
      <c r="EM133" s="1093">
        <f>IF(EK133=0,0,(EL133-EK133)/EK133*100)</f>
        <v>0</v>
      </c>
      <c r="EN133" s="2846"/>
      <c r="EO133" s="2846"/>
      <c r="EP133" s="1093">
        <f>IF(EN133=0,0,(EO133-EN133)/EN133*100)</f>
        <v>0</v>
      </c>
      <c r="EQ133" s="2846"/>
      <c r="ER133" s="2846"/>
      <c r="ES133" s="1093">
        <f>IF(EQ133=0,0,(ER133-EQ133)/EQ133*100)</f>
        <v>0</v>
      </c>
      <c r="ET133" s="2846"/>
      <c r="EU133" s="2846"/>
      <c r="EV133" s="1093">
        <f>IF(ET133=0,0,(EU133-ET133)/ET133*100)</f>
        <v>0</v>
      </c>
      <c r="EW133" s="2846"/>
      <c r="EX133" s="2846"/>
      <c r="EY133" s="1093">
        <f>IF(EW133=0,0,(EX133-EW133)/EW133*100)</f>
        <v>0</v>
      </c>
      <c r="EZ133" s="2846"/>
      <c r="FA133" s="2846"/>
      <c r="FB133" s="1093">
        <f>IF(EZ133=0,0,(FA133-EZ133)/EZ133*100)</f>
        <v>0</v>
      </c>
      <c r="FC133" s="2846"/>
      <c r="FD133" s="2846"/>
      <c r="FE133" s="1093">
        <f>IF(FC133=0,0,(FD133-FC133)/FC133*100)</f>
        <v>0</v>
      </c>
      <c r="FF133" s="2846"/>
      <c r="FG133" s="2846"/>
      <c r="FH133" s="1093">
        <f>IF(FF133=0,0,(FG133-FF133)/FF133*100)</f>
        <v>0</v>
      </c>
      <c r="FI133" s="2846"/>
      <c r="FJ133" s="2846"/>
      <c r="FK133" s="1093">
        <f>IF(FI133=0,0,(FJ133-FI133)/FI133*100)</f>
        <v>0</v>
      </c>
      <c r="FL133" s="2846"/>
      <c r="FM133" s="2846"/>
      <c r="FN133" s="1093">
        <f>IF(FL133=0,0,(FM133-FL133)/FL133*100)</f>
        <v>0</v>
      </c>
      <c r="FO133" s="2846"/>
      <c r="FP133" s="2846"/>
      <c r="FQ133" s="1093">
        <f>IF(FO133=0,0,(FP133-FO133)/FO133*100)</f>
        <v>0</v>
      </c>
      <c r="FR133" s="2846"/>
      <c r="FS133" s="2846"/>
      <c r="FT133" s="1093">
        <f>IF(FR133=0,0,(FS133-FR133)/FR133*100)</f>
        <v>0</v>
      </c>
      <c r="FU133" s="2846"/>
      <c r="FV133" s="2846"/>
      <c r="FW133" s="1093">
        <f>IF(FU133=0,0,(FV133-FU133)/FU133*100)</f>
        <v>0</v>
      </c>
      <c r="FX133" s="1304"/>
      <c r="FY133" s="1304"/>
      <c r="FZ133" s="1055" t="s">
        <v>2403</v>
      </c>
      <c r="GA133" s="1306"/>
      <c r="GB133" s="1306"/>
      <c r="GC133" s="1305"/>
      <c r="GD133" s="1305"/>
    </row>
    <row s="1834" customFormat="1" customHeight="1" ht="18" hidden="1">
      <c r="A134" s="493"/>
      <c r="B134" s="925" cm="1" t="str">
        <f t="array" ref="B134:B134">B133</f>
        <v>false</v>
      </c>
      <c r="C134" s="493"/>
      <c r="D134" s="493"/>
      <c r="E134" s="840">
        <v>18.75</v>
      </c>
      <c r="F134" s="50" cm="1" t="str">
        <f t="array" ref="F134:F134">OFFSET(E134,-1,1)</f>
        <v>1</v>
      </c>
      <c r="G134" s="493"/>
      <c r="H134" s="493"/>
      <c r="I134" s="493"/>
      <c r="J134" s="493"/>
      <c r="K134" s="493"/>
      <c r="L134" s="493"/>
      <c r="M134" s="493"/>
      <c r="N134" s="493"/>
      <c r="O134" s="493"/>
      <c r="P134" s="493"/>
      <c r="Q134" s="493"/>
      <c r="R134" s="493"/>
      <c r="S134" s="493"/>
      <c r="T134" s="465">
        <f>AND(F134&gt;0,Y134&gt;0)</f>
        <v>0</v>
      </c>
      <c r="U134" s="493"/>
      <c r="V134" s="493"/>
      <c r="W134" s="493" t="s">
        <v>174</v>
      </c>
      <c r="X134" s="1596"/>
      <c r="Y134" s="1596">
        <v>0</v>
      </c>
      <c r="Z134" s="1545"/>
      <c r="AA134" s="1494" t="s">
        <v>175</v>
      </c>
      <c r="AB134" s="5252"/>
      <c r="AC134" s="865"/>
      <c r="AD134" s="1105"/>
      <c r="AE134" s="1106"/>
      <c r="AF134" s="1106"/>
      <c r="AG134" s="1105"/>
      <c r="AH134" s="1106"/>
      <c r="AI134" s="1106"/>
      <c r="AJ134" s="1105"/>
      <c r="AK134" s="1106"/>
      <c r="AL134" s="1106"/>
      <c r="AM134" s="1105"/>
      <c r="AN134" s="1106"/>
      <c r="AO134" s="1106"/>
      <c r="AP134" s="1105"/>
      <c r="AQ134" s="1106"/>
      <c r="AR134" s="1106"/>
      <c r="AS134" s="1105"/>
      <c r="AT134" s="1106"/>
      <c r="AU134" s="1106"/>
      <c r="AV134" s="1105"/>
      <c r="AW134" s="1106"/>
      <c r="AX134" s="1106"/>
      <c r="AY134" s="1105"/>
      <c r="AZ134" s="1106"/>
      <c r="BA134" s="1106"/>
      <c r="BB134" s="1105"/>
      <c r="BC134" s="1106"/>
      <c r="BD134" s="1106"/>
      <c r="BE134" s="1105"/>
      <c r="BF134" s="1106"/>
      <c r="BG134" s="1106"/>
      <c r="BH134" s="1105"/>
      <c r="BI134" s="1106"/>
      <c r="BJ134" s="1106"/>
      <c r="BK134" s="1105"/>
      <c r="BL134" s="1106"/>
      <c r="BM134" s="1106"/>
      <c r="BN134" s="1105"/>
      <c r="BO134" s="1106"/>
      <c r="BP134" s="1106"/>
      <c r="BQ134" s="1105"/>
      <c r="BR134" s="1106"/>
      <c r="BS134" s="1106"/>
      <c r="BT134" s="1105"/>
      <c r="BU134" s="1106"/>
      <c r="BV134" s="1106"/>
      <c r="BW134" s="1105"/>
      <c r="BX134" s="1106"/>
      <c r="BY134" s="1106"/>
      <c r="BZ134" s="1105"/>
      <c r="CA134" s="1106"/>
      <c r="CB134" s="1106"/>
      <c r="CC134" s="1105"/>
      <c r="CD134" s="1106"/>
      <c r="CE134" s="1106"/>
      <c r="CF134" s="1105"/>
      <c r="CG134" s="1106"/>
      <c r="CH134" s="1106"/>
      <c r="CI134" s="1105"/>
      <c r="CJ134" s="1106"/>
      <c r="CK134" s="1106"/>
      <c r="CL134" s="1105"/>
      <c r="CM134" s="1106"/>
      <c r="CN134" s="1106"/>
      <c r="CO134" s="1105"/>
      <c r="CP134" s="1106"/>
      <c r="CQ134" s="1106"/>
      <c r="CR134" s="1105"/>
      <c r="CS134" s="1106"/>
      <c r="CT134" s="1106"/>
      <c r="CU134" s="1105"/>
      <c r="CV134" s="1106"/>
      <c r="CW134" s="1106"/>
      <c r="CX134" s="1105"/>
      <c r="CY134" s="1106"/>
      <c r="CZ134" s="1106"/>
      <c r="DA134" s="1105"/>
      <c r="DB134" s="1106"/>
      <c r="DC134" s="1106"/>
      <c r="DD134" s="1105"/>
      <c r="DE134" s="1106"/>
      <c r="DF134" s="1106"/>
      <c r="DG134" s="1105"/>
      <c r="DH134" s="1106"/>
      <c r="DI134" s="1106"/>
      <c r="DJ134" s="1105"/>
      <c r="DK134" s="1106"/>
      <c r="DL134" s="1106"/>
      <c r="DM134" s="1105"/>
      <c r="DN134" s="1106"/>
      <c r="DO134" s="1106"/>
      <c r="DP134" s="1105"/>
      <c r="DQ134" s="1106"/>
      <c r="DR134" s="1106"/>
      <c r="DS134" s="1105"/>
      <c r="DT134" s="1106"/>
      <c r="DU134" s="1106"/>
      <c r="DV134" s="1105"/>
      <c r="DW134" s="1106"/>
      <c r="DX134" s="1106"/>
      <c r="DY134" s="1105"/>
      <c r="DZ134" s="1106"/>
      <c r="EA134" s="1106"/>
      <c r="EB134" s="1105"/>
      <c r="EC134" s="1106"/>
      <c r="ED134" s="1106"/>
      <c r="EE134" s="1105"/>
      <c r="EF134" s="1106"/>
      <c r="EG134" s="1106"/>
      <c r="EH134" s="1105"/>
      <c r="EI134" s="1106"/>
      <c r="EJ134" s="1106"/>
      <c r="EK134" s="1105"/>
      <c r="EL134" s="1106"/>
      <c r="EM134" s="1106"/>
      <c r="EN134" s="1105"/>
      <c r="EO134" s="1106"/>
      <c r="EP134" s="1106"/>
      <c r="EQ134" s="1105"/>
      <c r="ER134" s="1106"/>
      <c r="ES134" s="1106"/>
      <c r="ET134" s="1105"/>
      <c r="EU134" s="1106"/>
      <c r="EV134" s="1106"/>
      <c r="EW134" s="1105"/>
      <c r="EX134" s="1106"/>
      <c r="EY134" s="1106"/>
      <c r="EZ134" s="1105"/>
      <c r="FA134" s="1106"/>
      <c r="FB134" s="1106"/>
      <c r="FC134" s="1105"/>
      <c r="FD134" s="1106"/>
      <c r="FE134" s="1106"/>
      <c r="FF134" s="1105"/>
      <c r="FG134" s="1106"/>
      <c r="FH134" s="1106"/>
      <c r="FI134" s="1105"/>
      <c r="FJ134" s="1106"/>
      <c r="FK134" s="1106"/>
      <c r="FL134" s="1105"/>
      <c r="FM134" s="1106"/>
      <c r="FN134" s="1106"/>
      <c r="FO134" s="1105"/>
      <c r="FP134" s="1106"/>
      <c r="FQ134" s="1106"/>
      <c r="FR134" s="1105"/>
      <c r="FS134" s="1106"/>
      <c r="FT134" s="1106"/>
      <c r="FU134" s="1105"/>
      <c r="FV134" s="1106"/>
      <c r="FW134" s="1107"/>
      <c r="FX134" s="1304"/>
      <c r="FY134" s="1304"/>
      <c r="FZ134" s="1055"/>
      <c r="GA134" s="1306"/>
      <c r="GB134" s="1306"/>
      <c r="GC134" s="1305"/>
      <c r="GD134" s="632" t="b">
        <v>1</v>
      </c>
    </row>
    <row s="1834" customFormat="1" customHeight="1" ht="14.25" hidden="1">
      <c r="A135" s="493"/>
      <c r="B135" s="925" cm="1" t="str">
        <f t="array" ref="B135:B135">B134</f>
        <v>false</v>
      </c>
      <c r="C135" s="493"/>
      <c r="D135" s="493"/>
      <c r="E135" s="840">
        <v>15</v>
      </c>
      <c r="F135" s="50" cm="1" t="str">
        <f t="array" ref="F135:F135">OFFSET(E135,-1,1)</f>
        <v>1</v>
      </c>
      <c r="G135" s="493"/>
      <c r="H135" s="493" t="s">
        <v>2295</v>
      </c>
      <c r="I135" s="493" cm="1" t="str">
        <f t="array" ref="I135:I135">AB134</f>
        <v>0</v>
      </c>
      <c r="J135" s="493"/>
      <c r="K135" s="493"/>
      <c r="L135" s="493"/>
      <c r="M135" s="493"/>
      <c r="N135" s="493"/>
      <c r="O135" s="493"/>
      <c r="P135" s="493"/>
      <c r="Q135" s="493"/>
      <c r="R135" s="493"/>
      <c r="S135" s="493"/>
      <c r="T135" s="465" cm="1" t="str">
        <f t="array" ref="T135:T135">T134</f>
        <v>false</v>
      </c>
      <c r="U135" s="493"/>
      <c r="V135" s="493"/>
      <c r="W135" s="493"/>
      <c r="X135" s="1596"/>
      <c r="Y135" s="1596"/>
      <c r="Z135" s="1545"/>
      <c r="AA135" s="1494"/>
      <c r="AB135" s="904" t="s">
        <v>2370</v>
      </c>
      <c r="AC135" s="864" t="s">
        <v>2337</v>
      </c>
      <c r="AD135" s="2846">
        <f>IF(AD137=0,0,(AD136*AD137+AD138*AD139*IF(god=2026,3,6))/AD137)</f>
        <v>0</v>
      </c>
      <c r="AE135" s="2846">
        <f>IF(AE137=0,0,(AE136*AE137+AE138*AE139*IF(god=2026,3,6))/AE137)</f>
        <v>0</v>
      </c>
      <c r="AF135" s="1093">
        <f>IF(AD135=0,0,(AE135-AD135)/AD135*100)</f>
        <v>0</v>
      </c>
      <c r="AG135" s="2846">
        <f>IF(AG137=0,0,(AG136*AG137+AG138*AG139*IF(god=2025,3,6))/AG137)</f>
        <v>0</v>
      </c>
      <c r="AH135" s="2846">
        <f>IF(AH137=0,0,(AH136*AH137+AH138*AH139*IF(god=2025,3,6))/AH137)</f>
        <v>0</v>
      </c>
      <c r="AI135" s="1093">
        <f>IF(AG135=0,0,(AH135-AG135)/AG135*100)</f>
        <v>0</v>
      </c>
      <c r="AJ135" s="2846">
        <f>IF(AJ137=0,0,(AJ136*AJ137+AJ138*AJ139*6)/AJ137)</f>
        <v>0</v>
      </c>
      <c r="AK135" s="2846">
        <f>IF(AK137=0,0,(AK136*AK137+AK138*AK139*6)/AK137)</f>
        <v>0</v>
      </c>
      <c r="AL135" s="1093">
        <f>IF(AJ135=0,0,(AK135-AJ135)/AJ135*100)</f>
        <v>0</v>
      </c>
      <c r="AM135" s="2846">
        <f>IF(AM137=0,0,(AM136*AM137+AM138*AM139*6)/AM137)</f>
        <v>0</v>
      </c>
      <c r="AN135" s="2846">
        <f>IF(AN137=0,0,(AN136*AN137+AN138*AN139*6)/AN137)</f>
        <v>0</v>
      </c>
      <c r="AO135" s="1093">
        <f>IF(AM135=0,0,(AN135-AM135)/AM135*100)</f>
        <v>0</v>
      </c>
      <c r="AP135" s="2846">
        <f>IF(AP137=0,0,(AP136*AP137+AP138*AP139*6)/AP137)</f>
        <v>0</v>
      </c>
      <c r="AQ135" s="2846">
        <f>IF(AQ137=0,0,(AQ136*AQ137+AQ138*AQ139*6)/AQ137)</f>
        <v>0</v>
      </c>
      <c r="AR135" s="1093">
        <f>IF(AP135=0,0,(AQ135-AP135)/AP135*100)</f>
        <v>0</v>
      </c>
      <c r="AS135" s="2846">
        <f>IF(AS137=0,0,(AS136*AS137+AS138*AS139*6)/AS137)</f>
        <v>0</v>
      </c>
      <c r="AT135" s="2846">
        <f>IF(AT137=0,0,(AT136*AT137+AT138*AT139*6)/AT137)</f>
        <v>0</v>
      </c>
      <c r="AU135" s="1093">
        <f>IF(AS135=0,0,(AT135-AS135)/AS135*100)</f>
        <v>0</v>
      </c>
      <c r="AV135" s="2846">
        <f>IF(AV137=0,0,(AV136*AV137+AV138*AV139*6)/AV137)</f>
        <v>0</v>
      </c>
      <c r="AW135" s="2846">
        <f>IF(AW137=0,0,(AW136*AW137+AW138*AW139*6)/AW137)</f>
        <v>0</v>
      </c>
      <c r="AX135" s="1093">
        <f>IF(AV135=0,0,(AW135-AV135)/AV135*100)</f>
        <v>0</v>
      </c>
      <c r="AY135" s="2846">
        <f>IF(AY137=0,0,(AY136*AY137+AY138*AY139*6)/AY137)</f>
        <v>0</v>
      </c>
      <c r="AZ135" s="2846">
        <f>IF(AZ137=0,0,(AZ136*AZ137+AZ138*AZ139*6)/AZ137)</f>
        <v>0</v>
      </c>
      <c r="BA135" s="1093">
        <f>IF(AY135=0,0,(AZ135-AY135)/AY135*100)</f>
        <v>0</v>
      </c>
      <c r="BB135" s="2846">
        <f>IF(BB137=0,0,(BB136*BB137+BB138*BB139*6)/BB137)</f>
        <v>0</v>
      </c>
      <c r="BC135" s="2846">
        <f>IF(BC137=0,0,(BC136*BC137+BC138*BC139*6)/BC137)</f>
        <v>0</v>
      </c>
      <c r="BD135" s="1093">
        <f>IF(BB135=0,0,(BC135-BB135)/BB135*100)</f>
        <v>0</v>
      </c>
      <c r="BE135" s="2846">
        <f>IF(BE137=0,0,(BE136*BE137+BE138*BE139*6)/BE137)</f>
        <v>0</v>
      </c>
      <c r="BF135" s="2846">
        <f>IF(BF137=0,0,(BF136*BF137+BF138*BF139*6)/BF137)</f>
        <v>0</v>
      </c>
      <c r="BG135" s="1093">
        <f>IF(BE135=0,0,(BF135-BE135)/BE135*100)</f>
        <v>0</v>
      </c>
      <c r="BH135" s="2846">
        <f>IF(BH137=0,0,(BH136*BH137+BH138*BH139*6)/BH137)</f>
        <v>0</v>
      </c>
      <c r="BI135" s="2846">
        <f>IF(BI137=0,0,(BI136*BI137+BI138*BI139*6)/BI137)</f>
        <v>0</v>
      </c>
      <c r="BJ135" s="1093">
        <f>IF(BH135=0,0,(BI135-BH135)/BH135*100)</f>
        <v>0</v>
      </c>
      <c r="BK135" s="2846">
        <f>IF(BK137=0,0,(BK136*BK137+BK138*BK139*6)/BK137)</f>
        <v>0</v>
      </c>
      <c r="BL135" s="2846">
        <f>IF(BL137=0,0,(BL136*BL137+BL138*BL139*6)/BL137)</f>
        <v>0</v>
      </c>
      <c r="BM135" s="1093">
        <f>IF(BK135=0,0,(BL135-BK135)/BK135*100)</f>
        <v>0</v>
      </c>
      <c r="BN135" s="2846">
        <f>IF(BN137=0,0,(BN136*BN137+BN138*BN139*6)/BN137)</f>
        <v>0</v>
      </c>
      <c r="BO135" s="2846">
        <f>IF(BO137=0,0,(BO136*BO137+BO138*BO139*6)/BO137)</f>
        <v>0</v>
      </c>
      <c r="BP135" s="1093">
        <f>IF(BN135=0,0,(BO135-BN135)/BN135*100)</f>
        <v>0</v>
      </c>
      <c r="BQ135" s="2846">
        <f>IF(BQ137=0,0,(BQ136*BQ137+BQ138*BQ139*6)/BQ137)</f>
        <v>0</v>
      </c>
      <c r="BR135" s="2846">
        <f>IF(BR137=0,0,(BR136*BR137+BR138*BR139*6)/BR137)</f>
        <v>0</v>
      </c>
      <c r="BS135" s="1093">
        <f>IF(BQ135=0,0,(BR135-BQ135)/BQ135*100)</f>
        <v>0</v>
      </c>
      <c r="BT135" s="2846">
        <f>IF(BT137=0,0,(BT136*BT137+BT138*BT139*6)/BT137)</f>
        <v>0</v>
      </c>
      <c r="BU135" s="2846">
        <f>IF(BU137=0,0,(BU136*BU137+BU138*BU139*6)/BU137)</f>
        <v>0</v>
      </c>
      <c r="BV135" s="1093">
        <f>IF(BT135=0,0,(BU135-BT135)/BT135*100)</f>
        <v>0</v>
      </c>
      <c r="BW135" s="2846">
        <f>IF(BW137=0,0,(BW136*BW137+BW138*BW139*6)/BW137)</f>
        <v>0</v>
      </c>
      <c r="BX135" s="2846">
        <f>IF(BX137=0,0,(BX136*BX137+BX138*BX139*6)/BX137)</f>
        <v>0</v>
      </c>
      <c r="BY135" s="1093">
        <f>IF(BW135=0,0,(BX135-BW135)/BW135*100)</f>
        <v>0</v>
      </c>
      <c r="BZ135" s="2846">
        <f>IF(BZ137=0,0,(BZ136*BZ137+BZ138*BZ139*6)/BZ137)</f>
        <v>0</v>
      </c>
      <c r="CA135" s="2846">
        <f>IF(CA137=0,0,(CA136*CA137+CA138*CA139*6)/CA137)</f>
        <v>0</v>
      </c>
      <c r="CB135" s="1093">
        <f>IF(BZ135=0,0,(CA135-BZ135)/BZ135*100)</f>
        <v>0</v>
      </c>
      <c r="CC135" s="2846">
        <f>IF(CC137=0,0,(CC136*CC137+CC138*CC139*6)/CC137)</f>
        <v>0</v>
      </c>
      <c r="CD135" s="2846">
        <f>IF(CD137=0,0,(CD136*CD137+CD138*CD139*6)/CD137)</f>
        <v>0</v>
      </c>
      <c r="CE135" s="1093">
        <f>IF(CC135=0,0,(CD135-CC135)/CC135*100)</f>
        <v>0</v>
      </c>
      <c r="CF135" s="2846">
        <f>IF(CF137=0,0,(CF136*CF137+CF138*CF139*6)/CF137)</f>
        <v>0</v>
      </c>
      <c r="CG135" s="2846">
        <f>IF(CG137=0,0,(CG136*CG137+CG138*CG139*6)/CG137)</f>
        <v>0</v>
      </c>
      <c r="CH135" s="1093">
        <f>IF(CF135=0,0,(CG135-CF135)/CF135*100)</f>
        <v>0</v>
      </c>
      <c r="CI135" s="2846">
        <f>IF(CI137=0,0,(CI136*CI137+CI138*CI139*6)/CI137)</f>
        <v>0</v>
      </c>
      <c r="CJ135" s="2846">
        <f>IF(CJ137=0,0,(CJ136*CJ137+CJ138*CJ139*6)/CJ137)</f>
        <v>0</v>
      </c>
      <c r="CK135" s="1093">
        <f>IF(CI135=0,0,(CJ135-CI135)/CI135*100)</f>
        <v>0</v>
      </c>
      <c r="CL135" s="2846">
        <f>IF(CL137=0,0,(CL136*CL137+CL138*CL139*6)/CL137)</f>
        <v>0</v>
      </c>
      <c r="CM135" s="2846">
        <f>IF(CM137=0,0,(CM136*CM137+CM138*CM139*6)/CM137)</f>
        <v>0</v>
      </c>
      <c r="CN135" s="1093">
        <f>IF(CL135=0,0,(CM135-CL135)/CL135*100)</f>
        <v>0</v>
      </c>
      <c r="CO135" s="2846">
        <f>IF(CO137=0,0,(CO136*CO137+CO138*CO139*6)/CO137)</f>
        <v>0</v>
      </c>
      <c r="CP135" s="2846">
        <f>IF(CP137=0,0,(CP136*CP137+CP138*CP139*6)/CP137)</f>
        <v>0</v>
      </c>
      <c r="CQ135" s="1093">
        <f>IF(CO135=0,0,(CP135-CO135)/CO135*100)</f>
        <v>0</v>
      </c>
      <c r="CR135" s="2846">
        <f>IF(CR137=0,0,(CR136*CR137+CR138*CR139*6)/CR137)</f>
        <v>0</v>
      </c>
      <c r="CS135" s="2846">
        <f>IF(CS137=0,0,(CS136*CS137+CS138*CS139*6)/CS137)</f>
        <v>0</v>
      </c>
      <c r="CT135" s="1093">
        <f>IF(CR135=0,0,(CS135-CR135)/CR135*100)</f>
        <v>0</v>
      </c>
      <c r="CU135" s="2846">
        <f>IF(CU137=0,0,(CU136*CU137+CU138*CU139*6)/CU137)</f>
        <v>0</v>
      </c>
      <c r="CV135" s="2846">
        <f>IF(CV137=0,0,(CV136*CV137+CV138*CV139*6)/CV137)</f>
        <v>0</v>
      </c>
      <c r="CW135" s="1093">
        <f>IF(CU135=0,0,(CV135-CU135)/CU135*100)</f>
        <v>0</v>
      </c>
      <c r="CX135" s="2846">
        <f>IF(CX137=0,0,(CX136*CX137+CX138*CX139*6)/CX137)</f>
        <v>0</v>
      </c>
      <c r="CY135" s="2846">
        <f>IF(CY137=0,0,(CY136*CY137+CY138*CY139*6)/CY137)</f>
        <v>0</v>
      </c>
      <c r="CZ135" s="1093">
        <f>IF(CX135=0,0,(CY135-CX135)/CX135*100)</f>
        <v>0</v>
      </c>
      <c r="DA135" s="2846">
        <f>IF(DA137=0,0,(DA136*DA137+DA138*DA139*6)/DA137)</f>
        <v>0</v>
      </c>
      <c r="DB135" s="2846">
        <f>IF(DB137=0,0,(DB136*DB137+DB138*DB139*6)/DB137)</f>
        <v>0</v>
      </c>
      <c r="DC135" s="1093">
        <f>IF(DA135=0,0,(DB135-DA135)/DA135*100)</f>
        <v>0</v>
      </c>
      <c r="DD135" s="2846">
        <f>IF(DD137=0,0,(DD136*DD137+DD138*DD139*6)/DD137)</f>
        <v>0</v>
      </c>
      <c r="DE135" s="2846">
        <f>IF(DE137=0,0,(DE136*DE137+DE138*DE139*6)/DE137)</f>
        <v>0</v>
      </c>
      <c r="DF135" s="1093">
        <f>IF(DD135=0,0,(DE135-DD135)/DD135*100)</f>
        <v>0</v>
      </c>
      <c r="DG135" s="2846">
        <f>IF(DG137=0,0,(DG136*DG137+DG138*DG139*6)/DG137)</f>
        <v>0</v>
      </c>
      <c r="DH135" s="2846">
        <f>IF(DH137=0,0,(DH136*DH137+DH138*DH139*6)/DH137)</f>
        <v>0</v>
      </c>
      <c r="DI135" s="1093">
        <f>IF(DG135=0,0,(DH135-DG135)/DG135*100)</f>
        <v>0</v>
      </c>
      <c r="DJ135" s="2846">
        <f>IF(DJ137=0,0,(DJ136*DJ137+DJ138*DJ139*6)/DJ137)</f>
        <v>0</v>
      </c>
      <c r="DK135" s="2846">
        <f>IF(DK137=0,0,(DK136*DK137+DK138*DK139*6)/DK137)</f>
        <v>0</v>
      </c>
      <c r="DL135" s="1093">
        <f>IF(DJ135=0,0,(DK135-DJ135)/DJ135*100)</f>
        <v>0</v>
      </c>
      <c r="DM135" s="2846">
        <f>IF(DM137=0,0,(DM136*DM137+DM138*DM139*6)/DM137)</f>
        <v>0</v>
      </c>
      <c r="DN135" s="2846">
        <f>IF(DN137=0,0,(DN136*DN137+DN138*DN139*6)/DN137)</f>
        <v>0</v>
      </c>
      <c r="DO135" s="1093">
        <f>IF(DM135=0,0,(DN135-DM135)/DM135*100)</f>
        <v>0</v>
      </c>
      <c r="DP135" s="2846">
        <f>IF(DP137=0,0,(DP136*DP137+DP138*DP139*6)/DP137)</f>
        <v>0</v>
      </c>
      <c r="DQ135" s="2846">
        <f>IF(DQ137=0,0,(DQ136*DQ137+DQ138*DQ139*6)/DQ137)</f>
        <v>0</v>
      </c>
      <c r="DR135" s="1093">
        <f>IF(DP135=0,0,(DQ135-DP135)/DP135*100)</f>
        <v>0</v>
      </c>
      <c r="DS135" s="2846">
        <f>IF(DS137=0,0,(DS136*DS137+DS138*DS139*6)/DS137)</f>
        <v>0</v>
      </c>
      <c r="DT135" s="2846">
        <f>IF(DT137=0,0,(DT136*DT137+DT138*DT139*6)/DT137)</f>
        <v>0</v>
      </c>
      <c r="DU135" s="1093">
        <f>IF(DS135=0,0,(DT135-DS135)/DS135*100)</f>
        <v>0</v>
      </c>
      <c r="DV135" s="2846">
        <f>IF(DV137=0,0,(DV136*DV137+DV138*DV139*6)/DV137)</f>
        <v>0</v>
      </c>
      <c r="DW135" s="2846">
        <f>IF(DW137=0,0,(DW136*DW137+DW138*DW139*6)/DW137)</f>
        <v>0</v>
      </c>
      <c r="DX135" s="1093">
        <f>IF(DV135=0,0,(DW135-DV135)/DV135*100)</f>
        <v>0</v>
      </c>
      <c r="DY135" s="2846">
        <f>IF(DY137=0,0,(DY136*DY137+DY138*DY139*6)/DY137)</f>
        <v>0</v>
      </c>
      <c r="DZ135" s="2846">
        <f>IF(DZ137=0,0,(DZ136*DZ137+DZ138*DZ139*6)/DZ137)</f>
        <v>0</v>
      </c>
      <c r="EA135" s="1093">
        <f>IF(DY135=0,0,(DZ135-DY135)/DY135*100)</f>
        <v>0</v>
      </c>
      <c r="EB135" s="2846">
        <f>IF(EB137=0,0,(EB136*EB137+EB138*EB139*6)/EB137)</f>
        <v>0</v>
      </c>
      <c r="EC135" s="2846">
        <f>IF(EC137=0,0,(EC136*EC137+EC138*EC139*6)/EC137)</f>
        <v>0</v>
      </c>
      <c r="ED135" s="1093">
        <f>IF(EB135=0,0,(EC135-EB135)/EB135*100)</f>
        <v>0</v>
      </c>
      <c r="EE135" s="2846">
        <f>IF(EE137=0,0,(EE136*EE137+EE138*EE139*6)/EE137)</f>
        <v>0</v>
      </c>
      <c r="EF135" s="2846">
        <f>IF(EF137=0,0,(EF136*EF137+EF138*EF139*6)/EF137)</f>
        <v>0</v>
      </c>
      <c r="EG135" s="1093">
        <f>IF(EE135=0,0,(EF135-EE135)/EE135*100)</f>
        <v>0</v>
      </c>
      <c r="EH135" s="2846">
        <f>IF(EH137=0,0,(EH136*EH137+EH138*EH139*6)/EH137)</f>
        <v>0</v>
      </c>
      <c r="EI135" s="2846">
        <f>IF(EI137=0,0,(EI136*EI137+EI138*EI139*6)/EI137)</f>
        <v>0</v>
      </c>
      <c r="EJ135" s="1093">
        <f>IF(EH135=0,0,(EI135-EH135)/EH135*100)</f>
        <v>0</v>
      </c>
      <c r="EK135" s="2846">
        <f>IF(EK137=0,0,(EK136*EK137+EK138*EK139*6)/EK137)</f>
        <v>0</v>
      </c>
      <c r="EL135" s="2846">
        <f>IF(EL137=0,0,(EL136*EL137+EL138*EL139*6)/EL137)</f>
        <v>0</v>
      </c>
      <c r="EM135" s="1093">
        <f>IF(EK135=0,0,(EL135-EK135)/EK135*100)</f>
        <v>0</v>
      </c>
      <c r="EN135" s="2846">
        <f>IF(EN137=0,0,(EN136*EN137+EN138*EN139*6)/EN137)</f>
        <v>0</v>
      </c>
      <c r="EO135" s="2846">
        <f>IF(EO137=0,0,(EO136*EO137+EO138*EO139*6)/EO137)</f>
        <v>0</v>
      </c>
      <c r="EP135" s="1093">
        <f>IF(EN135=0,0,(EO135-EN135)/EN135*100)</f>
        <v>0</v>
      </c>
      <c r="EQ135" s="2846">
        <f>IF(EQ137=0,0,(EQ136*EQ137+EQ138*EQ139*6)/EQ137)</f>
        <v>0</v>
      </c>
      <c r="ER135" s="2846">
        <f>IF(ER137=0,0,(ER136*ER137+ER138*ER139*6)/ER137)</f>
        <v>0</v>
      </c>
      <c r="ES135" s="1093">
        <f>IF(EQ135=0,0,(ER135-EQ135)/EQ135*100)</f>
        <v>0</v>
      </c>
      <c r="ET135" s="2846">
        <f>IF(ET137=0,0,(ET136*ET137+ET138*ET139*6)/ET137)</f>
        <v>0</v>
      </c>
      <c r="EU135" s="2846">
        <f>IF(EU137=0,0,(EU136*EU137+EU138*EU139*6)/EU137)</f>
        <v>0</v>
      </c>
      <c r="EV135" s="1093">
        <f>IF(ET135=0,0,(EU135-ET135)/ET135*100)</f>
        <v>0</v>
      </c>
      <c r="EW135" s="2846">
        <f>IF(EW137=0,0,(EW136*EW137+EW138*EW139*6)/EW137)</f>
        <v>0</v>
      </c>
      <c r="EX135" s="2846">
        <f>IF(EX137=0,0,(EX136*EX137+EX138*EX139*6)/EX137)</f>
        <v>0</v>
      </c>
      <c r="EY135" s="1093">
        <f>IF(EW135=0,0,(EX135-EW135)/EW135*100)</f>
        <v>0</v>
      </c>
      <c r="EZ135" s="2846">
        <f>IF(EZ137=0,0,(EZ136*EZ137+EZ138*EZ139*6)/EZ137)</f>
        <v>0</v>
      </c>
      <c r="FA135" s="2846">
        <f>IF(FA137=0,0,(FA136*FA137+FA138*FA139*6)/FA137)</f>
        <v>0</v>
      </c>
      <c r="FB135" s="1093">
        <f>IF(EZ135=0,0,(FA135-EZ135)/EZ135*100)</f>
        <v>0</v>
      </c>
      <c r="FC135" s="2846">
        <f>IF(FC137=0,0,(FC136*FC137+FC138*FC139*6)/FC137)</f>
        <v>0</v>
      </c>
      <c r="FD135" s="2846">
        <f>IF(FD137=0,0,(FD136*FD137+FD138*FD139*6)/FD137)</f>
        <v>0</v>
      </c>
      <c r="FE135" s="1093">
        <f>IF(FC135=0,0,(FD135-FC135)/FC135*100)</f>
        <v>0</v>
      </c>
      <c r="FF135" s="2846">
        <f>IF(FF137=0,0,(FF136*FF137+FF138*FF139*6)/FF137)</f>
        <v>0</v>
      </c>
      <c r="FG135" s="2846">
        <f>IF(FG137=0,0,(FG136*FG137+FG138*FG139*6)/FG137)</f>
        <v>0</v>
      </c>
      <c r="FH135" s="1093">
        <f>IF(FF135=0,0,(FG135-FF135)/FF135*100)</f>
        <v>0</v>
      </c>
      <c r="FI135" s="2846">
        <f>IF(FI137=0,0,(FI136*FI137+FI138*FI139*6)/FI137)</f>
        <v>0</v>
      </c>
      <c r="FJ135" s="2846">
        <f>IF(FJ137=0,0,(FJ136*FJ137+FJ138*FJ139*6)/FJ137)</f>
        <v>0</v>
      </c>
      <c r="FK135" s="1093">
        <f>IF(FI135=0,0,(FJ135-FI135)/FI135*100)</f>
        <v>0</v>
      </c>
      <c r="FL135" s="2846">
        <f>IF(FL137=0,0,(FL136*FL137+FL138*FL139*6)/FL137)</f>
        <v>0</v>
      </c>
      <c r="FM135" s="2846">
        <f>IF(FM137=0,0,(FM136*FM137+FM138*FM139*6)/FM137)</f>
        <v>0</v>
      </c>
      <c r="FN135" s="1093">
        <f>IF(FL135=0,0,(FM135-FL135)/FL135*100)</f>
        <v>0</v>
      </c>
      <c r="FO135" s="2846">
        <f>IF(FO137=0,0,(FO136*FO137+FO138*FO139*6)/FO137)</f>
        <v>0</v>
      </c>
      <c r="FP135" s="2846">
        <f>IF(FP137=0,0,(FP136*FP137+FP138*FP139*6)/FP137)</f>
        <v>0</v>
      </c>
      <c r="FQ135" s="1093">
        <f>IF(FO135=0,0,(FP135-FO135)/FO135*100)</f>
        <v>0</v>
      </c>
      <c r="FR135" s="2846">
        <f>IF(FR137=0,0,(FR136*FR137+FR138*FR139*6)/FR137)</f>
        <v>0</v>
      </c>
      <c r="FS135" s="2846">
        <f>IF(FS137=0,0,(FS136*FS137+FS138*FS139*6)/FS137)</f>
        <v>0</v>
      </c>
      <c r="FT135" s="1093">
        <f>IF(FR135=0,0,(FS135-FR135)/FR135*100)</f>
        <v>0</v>
      </c>
      <c r="FU135" s="2846">
        <f>IF(FU137=0,0,(FU136*FU137+FU138*FU139*6)/FU137)</f>
        <v>0</v>
      </c>
      <c r="FV135" s="2846">
        <f>IF(FV137=0,0,(FV136*FV137+FV138*FV139*6)/FV137)</f>
        <v>0</v>
      </c>
      <c r="FW135" s="1093">
        <f>IF(FU135=0,0,(FV135-FU135)/FU135*100)</f>
        <v>0</v>
      </c>
      <c r="FX135" s="1304"/>
      <c r="FY135" s="1304"/>
      <c r="FZ135" s="1055" t="s">
        <v>2404</v>
      </c>
      <c r="GA135" s="1015" t="s">
        <v>1594</v>
      </c>
      <c r="GB135" s="1057" cm="1" t="str">
        <f t="array" ref="GB135:GB135">AB134</f>
        <v>0</v>
      </c>
      <c r="GC135" s="1305"/>
      <c r="GD135" s="1305"/>
    </row>
    <row s="1834" customFormat="1" customHeight="1" ht="14.25" hidden="1">
      <c r="A136" s="493"/>
      <c r="B136" s="925" cm="1" t="str">
        <f t="array" ref="B136:B136">B135</f>
        <v>false</v>
      </c>
      <c r="C136" s="493"/>
      <c r="D136" s="493"/>
      <c r="E136" s="840">
        <v>15</v>
      </c>
      <c r="F136" s="50" cm="1" t="str">
        <f t="array" ref="F136:F136">OFFSET(E136,-1,1)</f>
        <v>1</v>
      </c>
      <c r="G136" s="493"/>
      <c r="H136" s="493" t="s">
        <v>2299</v>
      </c>
      <c r="I136" s="493" cm="1" t="str">
        <f t="array" ref="I136:I136">I135</f>
        <v>0</v>
      </c>
      <c r="J136" s="493"/>
      <c r="K136" s="493"/>
      <c r="L136" s="493"/>
      <c r="M136" s="493"/>
      <c r="N136" s="493"/>
      <c r="O136" s="493"/>
      <c r="P136" s="493"/>
      <c r="Q136" s="493"/>
      <c r="R136" s="493"/>
      <c r="S136" s="493"/>
      <c r="T136" s="465" cm="1" t="str">
        <f t="array" ref="T136:T136">T135</f>
        <v>false</v>
      </c>
      <c r="U136" s="493"/>
      <c r="V136" s="493"/>
      <c r="W136" s="493"/>
      <c r="X136" s="1596"/>
      <c r="Y136" s="1596"/>
      <c r="Z136" s="1545"/>
      <c r="AA136" s="1494"/>
      <c r="AB136" s="904" t="str">
        <f>"ставка платы за "&amp;IF(Q92="Водоснабжение","потребление 1 куб.м холодной воды","объем принятых сточных вод")</f>
        <v>ставка платы за потребление 1 куб.м холодной воды</v>
      </c>
      <c r="AC136" s="864" t="s">
        <v>2337</v>
      </c>
      <c r="AD136" s="2846"/>
      <c r="AE136" s="2846"/>
      <c r="AF136" s="1093">
        <f>IF(AD136=0,0,(AE136-AD136)/AD136*100)</f>
        <v>0</v>
      </c>
      <c r="AG136" s="2846"/>
      <c r="AH136" s="2846"/>
      <c r="AI136" s="1093">
        <f>IF(AG136=0,0,(AH136-AG136)/AG136*100)</f>
        <v>0</v>
      </c>
      <c r="AJ136" s="2846"/>
      <c r="AK136" s="2846"/>
      <c r="AL136" s="1093">
        <f>IF(AJ136=0,0,(AK136-AJ136)/AJ136*100)</f>
        <v>0</v>
      </c>
      <c r="AM136" s="2846"/>
      <c r="AN136" s="2846"/>
      <c r="AO136" s="1093">
        <f>IF(AM136=0,0,(AN136-AM136)/AM136*100)</f>
        <v>0</v>
      </c>
      <c r="AP136" s="2846"/>
      <c r="AQ136" s="2846"/>
      <c r="AR136" s="1093">
        <f>IF(AP136=0,0,(AQ136-AP136)/AP136*100)</f>
        <v>0</v>
      </c>
      <c r="AS136" s="2846"/>
      <c r="AT136" s="2846"/>
      <c r="AU136" s="1093">
        <f>IF(AS136=0,0,(AT136-AS136)/AS136*100)</f>
        <v>0</v>
      </c>
      <c r="AV136" s="2846"/>
      <c r="AW136" s="2846"/>
      <c r="AX136" s="1093">
        <f>IF(AV136=0,0,(AW136-AV136)/AV136*100)</f>
        <v>0</v>
      </c>
      <c r="AY136" s="2846"/>
      <c r="AZ136" s="2846"/>
      <c r="BA136" s="1093">
        <f>IF(AY136=0,0,(AZ136-AY136)/AY136*100)</f>
        <v>0</v>
      </c>
      <c r="BB136" s="2846"/>
      <c r="BC136" s="2846"/>
      <c r="BD136" s="1093">
        <f>IF(BB136=0,0,(BC136-BB136)/BB136*100)</f>
        <v>0</v>
      </c>
      <c r="BE136" s="2846"/>
      <c r="BF136" s="2846"/>
      <c r="BG136" s="1093">
        <f>IF(BE136=0,0,(BF136-BE136)/BE136*100)</f>
        <v>0</v>
      </c>
      <c r="BH136" s="2846"/>
      <c r="BI136" s="2846"/>
      <c r="BJ136" s="1093">
        <f>IF(BH136=0,0,(BI136-BH136)/BH136*100)</f>
        <v>0</v>
      </c>
      <c r="BK136" s="2846"/>
      <c r="BL136" s="2846"/>
      <c r="BM136" s="1093">
        <f>IF(BK136=0,0,(BL136-BK136)/BK136*100)</f>
        <v>0</v>
      </c>
      <c r="BN136" s="2846"/>
      <c r="BO136" s="2846"/>
      <c r="BP136" s="1093">
        <f>IF(BN136=0,0,(BO136-BN136)/BN136*100)</f>
        <v>0</v>
      </c>
      <c r="BQ136" s="2846"/>
      <c r="BR136" s="2846"/>
      <c r="BS136" s="1093">
        <f>IF(BQ136=0,0,(BR136-BQ136)/BQ136*100)</f>
        <v>0</v>
      </c>
      <c r="BT136" s="2846"/>
      <c r="BU136" s="2846"/>
      <c r="BV136" s="1093">
        <f>IF(BT136=0,0,(BU136-BT136)/BT136*100)</f>
        <v>0</v>
      </c>
      <c r="BW136" s="2846"/>
      <c r="BX136" s="2846"/>
      <c r="BY136" s="1093">
        <f>IF(BW136=0,0,(BX136-BW136)/BW136*100)</f>
        <v>0</v>
      </c>
      <c r="BZ136" s="2846"/>
      <c r="CA136" s="2846"/>
      <c r="CB136" s="1093">
        <f>IF(BZ136=0,0,(CA136-BZ136)/BZ136*100)</f>
        <v>0</v>
      </c>
      <c r="CC136" s="2846"/>
      <c r="CD136" s="2846"/>
      <c r="CE136" s="1093">
        <f>IF(CC136=0,0,(CD136-CC136)/CC136*100)</f>
        <v>0</v>
      </c>
      <c r="CF136" s="2846"/>
      <c r="CG136" s="2846"/>
      <c r="CH136" s="1093">
        <f>IF(CF136=0,0,(CG136-CF136)/CF136*100)</f>
        <v>0</v>
      </c>
      <c r="CI136" s="2846"/>
      <c r="CJ136" s="2846"/>
      <c r="CK136" s="1093">
        <f>IF(CI136=0,0,(CJ136-CI136)/CI136*100)</f>
        <v>0</v>
      </c>
      <c r="CL136" s="2846"/>
      <c r="CM136" s="2846"/>
      <c r="CN136" s="1093">
        <f>IF(CL136=0,0,(CM136-CL136)/CL136*100)</f>
        <v>0</v>
      </c>
      <c r="CO136" s="2846"/>
      <c r="CP136" s="2846"/>
      <c r="CQ136" s="1093">
        <f>IF(CO136=0,0,(CP136-CO136)/CO136*100)</f>
        <v>0</v>
      </c>
      <c r="CR136" s="2846"/>
      <c r="CS136" s="2846"/>
      <c r="CT136" s="1093">
        <f>IF(CR136=0,0,(CS136-CR136)/CR136*100)</f>
        <v>0</v>
      </c>
      <c r="CU136" s="2846"/>
      <c r="CV136" s="2846"/>
      <c r="CW136" s="1093">
        <f>IF(CU136=0,0,(CV136-CU136)/CU136*100)</f>
        <v>0</v>
      </c>
      <c r="CX136" s="2846"/>
      <c r="CY136" s="2846"/>
      <c r="CZ136" s="1093">
        <f>IF(CX136=0,0,(CY136-CX136)/CX136*100)</f>
        <v>0</v>
      </c>
      <c r="DA136" s="2846"/>
      <c r="DB136" s="2846"/>
      <c r="DC136" s="1093">
        <f>IF(DA136=0,0,(DB136-DA136)/DA136*100)</f>
        <v>0</v>
      </c>
      <c r="DD136" s="2846"/>
      <c r="DE136" s="2846"/>
      <c r="DF136" s="1093">
        <f>IF(DD136=0,0,(DE136-DD136)/DD136*100)</f>
        <v>0</v>
      </c>
      <c r="DG136" s="2846"/>
      <c r="DH136" s="2846"/>
      <c r="DI136" s="1093">
        <f>IF(DG136=0,0,(DH136-DG136)/DG136*100)</f>
        <v>0</v>
      </c>
      <c r="DJ136" s="2846"/>
      <c r="DK136" s="2846"/>
      <c r="DL136" s="1093">
        <f>IF(DJ136=0,0,(DK136-DJ136)/DJ136*100)</f>
        <v>0</v>
      </c>
      <c r="DM136" s="2846"/>
      <c r="DN136" s="2846"/>
      <c r="DO136" s="1093">
        <f>IF(DM136=0,0,(DN136-DM136)/DM136*100)</f>
        <v>0</v>
      </c>
      <c r="DP136" s="2846"/>
      <c r="DQ136" s="2846"/>
      <c r="DR136" s="1093">
        <f>IF(DP136=0,0,(DQ136-DP136)/DP136*100)</f>
        <v>0</v>
      </c>
      <c r="DS136" s="2846"/>
      <c r="DT136" s="2846"/>
      <c r="DU136" s="1093">
        <f>IF(DS136=0,0,(DT136-DS136)/DS136*100)</f>
        <v>0</v>
      </c>
      <c r="DV136" s="2846"/>
      <c r="DW136" s="2846"/>
      <c r="DX136" s="1093">
        <f>IF(DV136=0,0,(DW136-DV136)/DV136*100)</f>
        <v>0</v>
      </c>
      <c r="DY136" s="2846"/>
      <c r="DZ136" s="2846"/>
      <c r="EA136" s="1093">
        <f>IF(DY136=0,0,(DZ136-DY136)/DY136*100)</f>
        <v>0</v>
      </c>
      <c r="EB136" s="2846"/>
      <c r="EC136" s="2846"/>
      <c r="ED136" s="1093">
        <f>IF(EB136=0,0,(EC136-EB136)/EB136*100)</f>
        <v>0</v>
      </c>
      <c r="EE136" s="2846"/>
      <c r="EF136" s="2846"/>
      <c r="EG136" s="1093">
        <f>IF(EE136=0,0,(EF136-EE136)/EE136*100)</f>
        <v>0</v>
      </c>
      <c r="EH136" s="2846"/>
      <c r="EI136" s="2846"/>
      <c r="EJ136" s="1093">
        <f>IF(EH136=0,0,(EI136-EH136)/EH136*100)</f>
        <v>0</v>
      </c>
      <c r="EK136" s="2846"/>
      <c r="EL136" s="2846"/>
      <c r="EM136" s="1093">
        <f>IF(EK136=0,0,(EL136-EK136)/EK136*100)</f>
        <v>0</v>
      </c>
      <c r="EN136" s="2846"/>
      <c r="EO136" s="2846"/>
      <c r="EP136" s="1093">
        <f>IF(EN136=0,0,(EO136-EN136)/EN136*100)</f>
        <v>0</v>
      </c>
      <c r="EQ136" s="2846"/>
      <c r="ER136" s="2846"/>
      <c r="ES136" s="1093">
        <f>IF(EQ136=0,0,(ER136-EQ136)/EQ136*100)</f>
        <v>0</v>
      </c>
      <c r="ET136" s="2846"/>
      <c r="EU136" s="2846"/>
      <c r="EV136" s="1093">
        <f>IF(ET136=0,0,(EU136-ET136)/ET136*100)</f>
        <v>0</v>
      </c>
      <c r="EW136" s="2846"/>
      <c r="EX136" s="2846"/>
      <c r="EY136" s="1093">
        <f>IF(EW136=0,0,(EX136-EW136)/EW136*100)</f>
        <v>0</v>
      </c>
      <c r="EZ136" s="2846"/>
      <c r="FA136" s="2846"/>
      <c r="FB136" s="1093">
        <f>IF(EZ136=0,0,(FA136-EZ136)/EZ136*100)</f>
        <v>0</v>
      </c>
      <c r="FC136" s="2846"/>
      <c r="FD136" s="2846"/>
      <c r="FE136" s="1093">
        <f>IF(FC136=0,0,(FD136-FC136)/FC136*100)</f>
        <v>0</v>
      </c>
      <c r="FF136" s="2846"/>
      <c r="FG136" s="2846"/>
      <c r="FH136" s="1093">
        <f>IF(FF136=0,0,(FG136-FF136)/FF136*100)</f>
        <v>0</v>
      </c>
      <c r="FI136" s="2846"/>
      <c r="FJ136" s="2846"/>
      <c r="FK136" s="1093">
        <f>IF(FI136=0,0,(FJ136-FI136)/FI136*100)</f>
        <v>0</v>
      </c>
      <c r="FL136" s="2846"/>
      <c r="FM136" s="2846"/>
      <c r="FN136" s="1093">
        <f>IF(FL136=0,0,(FM136-FL136)/FL136*100)</f>
        <v>0</v>
      </c>
      <c r="FO136" s="2846"/>
      <c r="FP136" s="2846"/>
      <c r="FQ136" s="1093">
        <f>IF(FO136=0,0,(FP136-FO136)/FO136*100)</f>
        <v>0</v>
      </c>
      <c r="FR136" s="2846"/>
      <c r="FS136" s="2846"/>
      <c r="FT136" s="1093">
        <f>IF(FR136=0,0,(FS136-FR136)/FR136*100)</f>
        <v>0</v>
      </c>
      <c r="FU136" s="2846"/>
      <c r="FV136" s="2846"/>
      <c r="FW136" s="1093">
        <f>IF(FU136=0,0,(FV136-FU136)/FU136*100)</f>
        <v>0</v>
      </c>
      <c r="FX136" s="1304"/>
      <c r="FY136" s="1304"/>
      <c r="FZ136" s="1055" t="s">
        <v>2405</v>
      </c>
      <c r="GA136" s="1015" t="s">
        <v>1594</v>
      </c>
      <c r="GB136" s="1015" cm="1" t="str">
        <f t="array" ref="GB136:GB136">GB135</f>
        <v>0</v>
      </c>
      <c r="GC136" s="1305"/>
      <c r="GD136" s="1305"/>
    </row>
    <row s="1834" customFormat="1" customHeight="1" ht="14.25" hidden="1">
      <c r="A137" s="493"/>
      <c r="B137" s="925" cm="1" t="str">
        <f t="array" ref="B137:B137">B136</f>
        <v>false</v>
      </c>
      <c r="C137" s="493"/>
      <c r="D137" s="493"/>
      <c r="E137" s="840">
        <v>15</v>
      </c>
      <c r="F137" s="50" cm="1" t="str">
        <f t="array" ref="F137:F137">OFFSET(E137,-1,1)</f>
        <v>1</v>
      </c>
      <c r="G137" s="493"/>
      <c r="H137" s="493" t="s">
        <v>2374</v>
      </c>
      <c r="I137" s="493" cm="1" t="str">
        <f t="array" ref="I137:I137">I136</f>
        <v>0</v>
      </c>
      <c r="J137" s="493"/>
      <c r="K137" s="493"/>
      <c r="L137" s="493"/>
      <c r="M137" s="493"/>
      <c r="N137" s="493"/>
      <c r="O137" s="493"/>
      <c r="P137" s="493"/>
      <c r="Q137" s="493"/>
      <c r="R137" s="493"/>
      <c r="S137" s="493"/>
      <c r="T137" s="465" cm="1" t="str">
        <f t="array" ref="T137:T137">T136</f>
        <v>false</v>
      </c>
      <c r="U137" s="493"/>
      <c r="V137" s="493"/>
      <c r="W137" s="493"/>
      <c r="X137" s="1596"/>
      <c r="Y137" s="1596"/>
      <c r="Z137" s="1545"/>
      <c r="AA137" s="1494"/>
      <c r="AB137" s="904" t="str">
        <f>"объём "&amp;IF(Q92="Водоснабжение","потребления холодной воды","водоотведения")</f>
        <v>объём потребления холодной воды</v>
      </c>
      <c r="AC137" s="864" t="s">
        <v>1247</v>
      </c>
      <c r="AD137" s="5247"/>
      <c r="AE137" s="5247"/>
      <c r="AF137" s="1095">
        <f>IF(AD137=0,0,(AE137-AD137)/AD137*100)</f>
        <v>0</v>
      </c>
      <c r="AG137" s="5247"/>
      <c r="AH137" s="5247"/>
      <c r="AI137" s="1095">
        <f>IF(AG137=0,0,(AH137-AG137)/AG137*100)</f>
        <v>0</v>
      </c>
      <c r="AJ137" s="5247"/>
      <c r="AK137" s="5247"/>
      <c r="AL137" s="1095">
        <f>IF(AJ137=0,0,(AK137-AJ137)/AJ137*100)</f>
        <v>0</v>
      </c>
      <c r="AM137" s="5247"/>
      <c r="AN137" s="5247"/>
      <c r="AO137" s="1095">
        <f>IF(AM137=0,0,(AN137-AM137)/AM137*100)</f>
        <v>0</v>
      </c>
      <c r="AP137" s="5247"/>
      <c r="AQ137" s="5247"/>
      <c r="AR137" s="1095">
        <f>IF(AP137=0,0,(AQ137-AP137)/AP137*100)</f>
        <v>0</v>
      </c>
      <c r="AS137" s="5247"/>
      <c r="AT137" s="5247"/>
      <c r="AU137" s="1095">
        <f>IF(AS137=0,0,(AT137-AS137)/AS137*100)</f>
        <v>0</v>
      </c>
      <c r="AV137" s="5247"/>
      <c r="AW137" s="5247"/>
      <c r="AX137" s="1095">
        <f>IF(AV137=0,0,(AW137-AV137)/AV137*100)</f>
        <v>0</v>
      </c>
      <c r="AY137" s="5247"/>
      <c r="AZ137" s="5247"/>
      <c r="BA137" s="1095">
        <f>IF(AY137=0,0,(AZ137-AY137)/AY137*100)</f>
        <v>0</v>
      </c>
      <c r="BB137" s="5247"/>
      <c r="BC137" s="5247"/>
      <c r="BD137" s="1095">
        <f>IF(BB137=0,0,(BC137-BB137)/BB137*100)</f>
        <v>0</v>
      </c>
      <c r="BE137" s="5247"/>
      <c r="BF137" s="5247"/>
      <c r="BG137" s="1095">
        <f>IF(BE137=0,0,(BF137-BE137)/BE137*100)</f>
        <v>0</v>
      </c>
      <c r="BH137" s="5247"/>
      <c r="BI137" s="5247"/>
      <c r="BJ137" s="1095">
        <f>IF(BH137=0,0,(BI137-BH137)/BH137*100)</f>
        <v>0</v>
      </c>
      <c r="BK137" s="5247"/>
      <c r="BL137" s="5247"/>
      <c r="BM137" s="1095">
        <f>IF(BK137=0,0,(BL137-BK137)/BK137*100)</f>
        <v>0</v>
      </c>
      <c r="BN137" s="5247"/>
      <c r="BO137" s="5247"/>
      <c r="BP137" s="1095">
        <f>IF(BN137=0,0,(BO137-BN137)/BN137*100)</f>
        <v>0</v>
      </c>
      <c r="BQ137" s="5247"/>
      <c r="BR137" s="5247"/>
      <c r="BS137" s="1095">
        <f>IF(BQ137=0,0,(BR137-BQ137)/BQ137*100)</f>
        <v>0</v>
      </c>
      <c r="BT137" s="5247"/>
      <c r="BU137" s="5247"/>
      <c r="BV137" s="1095">
        <f>IF(BT137=0,0,(BU137-BT137)/BT137*100)</f>
        <v>0</v>
      </c>
      <c r="BW137" s="5247"/>
      <c r="BX137" s="5247"/>
      <c r="BY137" s="1095">
        <f>IF(BW137=0,0,(BX137-BW137)/BW137*100)</f>
        <v>0</v>
      </c>
      <c r="BZ137" s="5247"/>
      <c r="CA137" s="5247"/>
      <c r="CB137" s="1095">
        <f>IF(BZ137=0,0,(CA137-BZ137)/BZ137*100)</f>
        <v>0</v>
      </c>
      <c r="CC137" s="5247"/>
      <c r="CD137" s="5247"/>
      <c r="CE137" s="1095">
        <f>IF(CC137=0,0,(CD137-CC137)/CC137*100)</f>
        <v>0</v>
      </c>
      <c r="CF137" s="5247"/>
      <c r="CG137" s="5247"/>
      <c r="CH137" s="1095">
        <f>IF(CF137=0,0,(CG137-CF137)/CF137*100)</f>
        <v>0</v>
      </c>
      <c r="CI137" s="5247"/>
      <c r="CJ137" s="5247"/>
      <c r="CK137" s="1095">
        <f>IF(CI137=0,0,(CJ137-CI137)/CI137*100)</f>
        <v>0</v>
      </c>
      <c r="CL137" s="5247"/>
      <c r="CM137" s="5247"/>
      <c r="CN137" s="1095">
        <f>IF(CL137=0,0,(CM137-CL137)/CL137*100)</f>
        <v>0</v>
      </c>
      <c r="CO137" s="5247"/>
      <c r="CP137" s="5247"/>
      <c r="CQ137" s="1095">
        <f>IF(CO137=0,0,(CP137-CO137)/CO137*100)</f>
        <v>0</v>
      </c>
      <c r="CR137" s="5247"/>
      <c r="CS137" s="5247"/>
      <c r="CT137" s="1095">
        <f>IF(CR137=0,0,(CS137-CR137)/CR137*100)</f>
        <v>0</v>
      </c>
      <c r="CU137" s="5247"/>
      <c r="CV137" s="5247"/>
      <c r="CW137" s="1095">
        <f>IF(CU137=0,0,(CV137-CU137)/CU137*100)</f>
        <v>0</v>
      </c>
      <c r="CX137" s="5247"/>
      <c r="CY137" s="5247"/>
      <c r="CZ137" s="1095">
        <f>IF(CX137=0,0,(CY137-CX137)/CX137*100)</f>
        <v>0</v>
      </c>
      <c r="DA137" s="5247"/>
      <c r="DB137" s="5247"/>
      <c r="DC137" s="1095">
        <f>IF(DA137=0,0,(DB137-DA137)/DA137*100)</f>
        <v>0</v>
      </c>
      <c r="DD137" s="5247"/>
      <c r="DE137" s="5247"/>
      <c r="DF137" s="1095">
        <f>IF(DD137=0,0,(DE137-DD137)/DD137*100)</f>
        <v>0</v>
      </c>
      <c r="DG137" s="5247"/>
      <c r="DH137" s="5247"/>
      <c r="DI137" s="1095">
        <f>IF(DG137=0,0,(DH137-DG137)/DG137*100)</f>
        <v>0</v>
      </c>
      <c r="DJ137" s="5247"/>
      <c r="DK137" s="5247"/>
      <c r="DL137" s="1095">
        <f>IF(DJ137=0,0,(DK137-DJ137)/DJ137*100)</f>
        <v>0</v>
      </c>
      <c r="DM137" s="5247"/>
      <c r="DN137" s="5247"/>
      <c r="DO137" s="1095">
        <f>IF(DM137=0,0,(DN137-DM137)/DM137*100)</f>
        <v>0</v>
      </c>
      <c r="DP137" s="5247"/>
      <c r="DQ137" s="5247"/>
      <c r="DR137" s="1095">
        <f>IF(DP137=0,0,(DQ137-DP137)/DP137*100)</f>
        <v>0</v>
      </c>
      <c r="DS137" s="5247"/>
      <c r="DT137" s="5247"/>
      <c r="DU137" s="1095">
        <f>IF(DS137=0,0,(DT137-DS137)/DS137*100)</f>
        <v>0</v>
      </c>
      <c r="DV137" s="5247"/>
      <c r="DW137" s="5247"/>
      <c r="DX137" s="1095">
        <f>IF(DV137=0,0,(DW137-DV137)/DV137*100)</f>
        <v>0</v>
      </c>
      <c r="DY137" s="5247"/>
      <c r="DZ137" s="5247"/>
      <c r="EA137" s="1095">
        <f>IF(DY137=0,0,(DZ137-DY137)/DY137*100)</f>
        <v>0</v>
      </c>
      <c r="EB137" s="5247"/>
      <c r="EC137" s="5247"/>
      <c r="ED137" s="1095">
        <f>IF(EB137=0,0,(EC137-EB137)/EB137*100)</f>
        <v>0</v>
      </c>
      <c r="EE137" s="5247"/>
      <c r="EF137" s="5247"/>
      <c r="EG137" s="1095">
        <f>IF(EE137=0,0,(EF137-EE137)/EE137*100)</f>
        <v>0</v>
      </c>
      <c r="EH137" s="5247"/>
      <c r="EI137" s="5247"/>
      <c r="EJ137" s="1095">
        <f>IF(EH137=0,0,(EI137-EH137)/EH137*100)</f>
        <v>0</v>
      </c>
      <c r="EK137" s="5247"/>
      <c r="EL137" s="5247"/>
      <c r="EM137" s="1095">
        <f>IF(EK137=0,0,(EL137-EK137)/EK137*100)</f>
        <v>0</v>
      </c>
      <c r="EN137" s="5247"/>
      <c r="EO137" s="5247"/>
      <c r="EP137" s="1095">
        <f>IF(EN137=0,0,(EO137-EN137)/EN137*100)</f>
        <v>0</v>
      </c>
      <c r="EQ137" s="5247"/>
      <c r="ER137" s="5247"/>
      <c r="ES137" s="1095">
        <f>IF(EQ137=0,0,(ER137-EQ137)/EQ137*100)</f>
        <v>0</v>
      </c>
      <c r="ET137" s="5247"/>
      <c r="EU137" s="5247"/>
      <c r="EV137" s="1095">
        <f>IF(ET137=0,0,(EU137-ET137)/ET137*100)</f>
        <v>0</v>
      </c>
      <c r="EW137" s="5247"/>
      <c r="EX137" s="5247"/>
      <c r="EY137" s="1095">
        <f>IF(EW137=0,0,(EX137-EW137)/EW137*100)</f>
        <v>0</v>
      </c>
      <c r="EZ137" s="5247"/>
      <c r="FA137" s="5247"/>
      <c r="FB137" s="1095">
        <f>IF(EZ137=0,0,(FA137-EZ137)/EZ137*100)</f>
        <v>0</v>
      </c>
      <c r="FC137" s="5247"/>
      <c r="FD137" s="5247"/>
      <c r="FE137" s="1095">
        <f>IF(FC137=0,0,(FD137-FC137)/FC137*100)</f>
        <v>0</v>
      </c>
      <c r="FF137" s="5247"/>
      <c r="FG137" s="5247"/>
      <c r="FH137" s="1095">
        <f>IF(FF137=0,0,(FG137-FF137)/FF137*100)</f>
        <v>0</v>
      </c>
      <c r="FI137" s="5247"/>
      <c r="FJ137" s="5247"/>
      <c r="FK137" s="1095">
        <f>IF(FI137=0,0,(FJ137-FI137)/FI137*100)</f>
        <v>0</v>
      </c>
      <c r="FL137" s="5247"/>
      <c r="FM137" s="5247"/>
      <c r="FN137" s="1095">
        <f>IF(FL137=0,0,(FM137-FL137)/FL137*100)</f>
        <v>0</v>
      </c>
      <c r="FO137" s="5247"/>
      <c r="FP137" s="5247"/>
      <c r="FQ137" s="1095">
        <f>IF(FO137=0,0,(FP137-FO137)/FO137*100)</f>
        <v>0</v>
      </c>
      <c r="FR137" s="5247"/>
      <c r="FS137" s="5247"/>
      <c r="FT137" s="1095">
        <f>IF(FR137=0,0,(FS137-FR137)/FR137*100)</f>
        <v>0</v>
      </c>
      <c r="FU137" s="5247"/>
      <c r="FV137" s="5247"/>
      <c r="FW137" s="1095">
        <f>IF(FU137=0,0,(FV137-FU137)/FU137*100)</f>
        <v>0</v>
      </c>
      <c r="FX137" s="1304"/>
      <c r="FY137" s="1304"/>
      <c r="FZ137" s="1055" t="s">
        <v>2406</v>
      </c>
      <c r="GA137" s="1015" t="s">
        <v>1594</v>
      </c>
      <c r="GB137" s="1015" cm="1" t="str">
        <f t="array" ref="GB137:GB137">GB136</f>
        <v>0</v>
      </c>
      <c r="GC137" s="1305"/>
      <c r="GD137" s="1305"/>
    </row>
    <row s="1834" customFormat="1" customHeight="1" ht="21.75" hidden="1">
      <c r="A138" s="493"/>
      <c r="B138" s="925" cm="1" t="str">
        <f t="array" ref="B138:B138">B137</f>
        <v>false</v>
      </c>
      <c r="C138" s="493"/>
      <c r="D138" s="493"/>
      <c r="E138" s="840">
        <v>22.5</v>
      </c>
      <c r="F138" s="50" cm="1" t="str">
        <f t="array" ref="F138:F138">OFFSET(E138,-1,1)</f>
        <v>1</v>
      </c>
      <c r="G138" s="493"/>
      <c r="H138" s="493" t="s">
        <v>2376</v>
      </c>
      <c r="I138" s="493" cm="1" t="str">
        <f t="array" ref="I138:I138">I137</f>
        <v>0</v>
      </c>
      <c r="J138" s="493"/>
      <c r="K138" s="493"/>
      <c r="L138" s="493"/>
      <c r="M138" s="493"/>
      <c r="N138" s="493"/>
      <c r="O138" s="493"/>
      <c r="P138" s="493"/>
      <c r="Q138" s="493"/>
      <c r="R138" s="493"/>
      <c r="S138" s="493"/>
      <c r="T138" s="465" cm="1" t="str">
        <f t="array" ref="T138:T138">T137</f>
        <v>false</v>
      </c>
      <c r="U138" s="493"/>
      <c r="V138" s="493"/>
      <c r="W138" s="493"/>
      <c r="X138" s="1596"/>
      <c r="Y138" s="1596"/>
      <c r="Z138" s="1545"/>
      <c r="AA138" s="1494"/>
      <c r="AB138" s="904" t="str">
        <f>"ставка платы за содержание системы "&amp;IF(Q92="Водоснабжение","холодного водоснабжения","водоотведения")</f>
        <v>ставка платы за содержание системы холодного водоснабжения</v>
      </c>
      <c r="AC138" s="864" t="s">
        <v>2377</v>
      </c>
      <c r="AD138" s="2846"/>
      <c r="AE138" s="2846"/>
      <c r="AF138" s="1093">
        <f>IF(AD138=0,0,(AE138-AD138)/AD138*100)</f>
        <v>0</v>
      </c>
      <c r="AG138" s="2846"/>
      <c r="AH138" s="2846"/>
      <c r="AI138" s="1093">
        <f>IF(AG138=0,0,(AH138-AG138)/AG138*100)</f>
        <v>0</v>
      </c>
      <c r="AJ138" s="2846"/>
      <c r="AK138" s="2846"/>
      <c r="AL138" s="1093">
        <f>IF(AJ138=0,0,(AK138-AJ138)/AJ138*100)</f>
        <v>0</v>
      </c>
      <c r="AM138" s="2846"/>
      <c r="AN138" s="2846"/>
      <c r="AO138" s="1093">
        <f>IF(AM138=0,0,(AN138-AM138)/AM138*100)</f>
        <v>0</v>
      </c>
      <c r="AP138" s="2846"/>
      <c r="AQ138" s="2846"/>
      <c r="AR138" s="1093">
        <f>IF(AP138=0,0,(AQ138-AP138)/AP138*100)</f>
        <v>0</v>
      </c>
      <c r="AS138" s="2846"/>
      <c r="AT138" s="2846"/>
      <c r="AU138" s="1093">
        <f>IF(AS138=0,0,(AT138-AS138)/AS138*100)</f>
        <v>0</v>
      </c>
      <c r="AV138" s="2846"/>
      <c r="AW138" s="2846"/>
      <c r="AX138" s="1093">
        <f>IF(AV138=0,0,(AW138-AV138)/AV138*100)</f>
        <v>0</v>
      </c>
      <c r="AY138" s="2846"/>
      <c r="AZ138" s="2846"/>
      <c r="BA138" s="1093">
        <f>IF(AY138=0,0,(AZ138-AY138)/AY138*100)</f>
        <v>0</v>
      </c>
      <c r="BB138" s="2846"/>
      <c r="BC138" s="2846"/>
      <c r="BD138" s="1093">
        <f>IF(BB138=0,0,(BC138-BB138)/BB138*100)</f>
        <v>0</v>
      </c>
      <c r="BE138" s="2846"/>
      <c r="BF138" s="2846"/>
      <c r="BG138" s="1093">
        <f>IF(BE138=0,0,(BF138-BE138)/BE138*100)</f>
        <v>0</v>
      </c>
      <c r="BH138" s="2846"/>
      <c r="BI138" s="2846"/>
      <c r="BJ138" s="1093">
        <f>IF(BH138=0,0,(BI138-BH138)/BH138*100)</f>
        <v>0</v>
      </c>
      <c r="BK138" s="2846"/>
      <c r="BL138" s="2846"/>
      <c r="BM138" s="1093">
        <f>IF(BK138=0,0,(BL138-BK138)/BK138*100)</f>
        <v>0</v>
      </c>
      <c r="BN138" s="2846"/>
      <c r="BO138" s="2846"/>
      <c r="BP138" s="1093">
        <f>IF(BN138=0,0,(BO138-BN138)/BN138*100)</f>
        <v>0</v>
      </c>
      <c r="BQ138" s="2846"/>
      <c r="BR138" s="2846"/>
      <c r="BS138" s="1093">
        <f>IF(BQ138=0,0,(BR138-BQ138)/BQ138*100)</f>
        <v>0</v>
      </c>
      <c r="BT138" s="2846"/>
      <c r="BU138" s="2846"/>
      <c r="BV138" s="1093">
        <f>IF(BT138=0,0,(BU138-BT138)/BT138*100)</f>
        <v>0</v>
      </c>
      <c r="BW138" s="2846"/>
      <c r="BX138" s="2846"/>
      <c r="BY138" s="1093">
        <f>IF(BW138=0,0,(BX138-BW138)/BW138*100)</f>
        <v>0</v>
      </c>
      <c r="BZ138" s="2846"/>
      <c r="CA138" s="2846"/>
      <c r="CB138" s="1093">
        <f>IF(BZ138=0,0,(CA138-BZ138)/BZ138*100)</f>
        <v>0</v>
      </c>
      <c r="CC138" s="2846"/>
      <c r="CD138" s="2846"/>
      <c r="CE138" s="1093">
        <f>IF(CC138=0,0,(CD138-CC138)/CC138*100)</f>
        <v>0</v>
      </c>
      <c r="CF138" s="2846"/>
      <c r="CG138" s="2846"/>
      <c r="CH138" s="1093">
        <f>IF(CF138=0,0,(CG138-CF138)/CF138*100)</f>
        <v>0</v>
      </c>
      <c r="CI138" s="2846"/>
      <c r="CJ138" s="2846"/>
      <c r="CK138" s="1093">
        <f>IF(CI138=0,0,(CJ138-CI138)/CI138*100)</f>
        <v>0</v>
      </c>
      <c r="CL138" s="2846"/>
      <c r="CM138" s="2846"/>
      <c r="CN138" s="1093">
        <f>IF(CL138=0,0,(CM138-CL138)/CL138*100)</f>
        <v>0</v>
      </c>
      <c r="CO138" s="2846"/>
      <c r="CP138" s="2846"/>
      <c r="CQ138" s="1093">
        <f>IF(CO138=0,0,(CP138-CO138)/CO138*100)</f>
        <v>0</v>
      </c>
      <c r="CR138" s="2846"/>
      <c r="CS138" s="2846"/>
      <c r="CT138" s="1093">
        <f>IF(CR138=0,0,(CS138-CR138)/CR138*100)</f>
        <v>0</v>
      </c>
      <c r="CU138" s="2846"/>
      <c r="CV138" s="2846"/>
      <c r="CW138" s="1093">
        <f>IF(CU138=0,0,(CV138-CU138)/CU138*100)</f>
        <v>0</v>
      </c>
      <c r="CX138" s="2846"/>
      <c r="CY138" s="2846"/>
      <c r="CZ138" s="1093">
        <f>IF(CX138=0,0,(CY138-CX138)/CX138*100)</f>
        <v>0</v>
      </c>
      <c r="DA138" s="2846"/>
      <c r="DB138" s="2846"/>
      <c r="DC138" s="1093">
        <f>IF(DA138=0,0,(DB138-DA138)/DA138*100)</f>
        <v>0</v>
      </c>
      <c r="DD138" s="2846"/>
      <c r="DE138" s="2846"/>
      <c r="DF138" s="1093">
        <f>IF(DD138=0,0,(DE138-DD138)/DD138*100)</f>
        <v>0</v>
      </c>
      <c r="DG138" s="2846"/>
      <c r="DH138" s="2846"/>
      <c r="DI138" s="1093">
        <f>IF(DG138=0,0,(DH138-DG138)/DG138*100)</f>
        <v>0</v>
      </c>
      <c r="DJ138" s="2846"/>
      <c r="DK138" s="2846"/>
      <c r="DL138" s="1093">
        <f>IF(DJ138=0,0,(DK138-DJ138)/DJ138*100)</f>
        <v>0</v>
      </c>
      <c r="DM138" s="2846"/>
      <c r="DN138" s="2846"/>
      <c r="DO138" s="1093">
        <f>IF(DM138=0,0,(DN138-DM138)/DM138*100)</f>
        <v>0</v>
      </c>
      <c r="DP138" s="2846"/>
      <c r="DQ138" s="2846"/>
      <c r="DR138" s="1093">
        <f>IF(DP138=0,0,(DQ138-DP138)/DP138*100)</f>
        <v>0</v>
      </c>
      <c r="DS138" s="2846"/>
      <c r="DT138" s="2846"/>
      <c r="DU138" s="1093">
        <f>IF(DS138=0,0,(DT138-DS138)/DS138*100)</f>
        <v>0</v>
      </c>
      <c r="DV138" s="2846"/>
      <c r="DW138" s="2846"/>
      <c r="DX138" s="1093">
        <f>IF(DV138=0,0,(DW138-DV138)/DV138*100)</f>
        <v>0</v>
      </c>
      <c r="DY138" s="2846"/>
      <c r="DZ138" s="2846"/>
      <c r="EA138" s="1093">
        <f>IF(DY138=0,0,(DZ138-DY138)/DY138*100)</f>
        <v>0</v>
      </c>
      <c r="EB138" s="2846"/>
      <c r="EC138" s="2846"/>
      <c r="ED138" s="1093">
        <f>IF(EB138=0,0,(EC138-EB138)/EB138*100)</f>
        <v>0</v>
      </c>
      <c r="EE138" s="2846"/>
      <c r="EF138" s="2846"/>
      <c r="EG138" s="1093">
        <f>IF(EE138=0,0,(EF138-EE138)/EE138*100)</f>
        <v>0</v>
      </c>
      <c r="EH138" s="2846"/>
      <c r="EI138" s="2846"/>
      <c r="EJ138" s="1093">
        <f>IF(EH138=0,0,(EI138-EH138)/EH138*100)</f>
        <v>0</v>
      </c>
      <c r="EK138" s="2846"/>
      <c r="EL138" s="2846"/>
      <c r="EM138" s="1093">
        <f>IF(EK138=0,0,(EL138-EK138)/EK138*100)</f>
        <v>0</v>
      </c>
      <c r="EN138" s="2846"/>
      <c r="EO138" s="2846"/>
      <c r="EP138" s="1093">
        <f>IF(EN138=0,0,(EO138-EN138)/EN138*100)</f>
        <v>0</v>
      </c>
      <c r="EQ138" s="2846"/>
      <c r="ER138" s="2846"/>
      <c r="ES138" s="1093">
        <f>IF(EQ138=0,0,(ER138-EQ138)/EQ138*100)</f>
        <v>0</v>
      </c>
      <c r="ET138" s="2846"/>
      <c r="EU138" s="2846"/>
      <c r="EV138" s="1093">
        <f>IF(ET138=0,0,(EU138-ET138)/ET138*100)</f>
        <v>0</v>
      </c>
      <c r="EW138" s="2846"/>
      <c r="EX138" s="2846"/>
      <c r="EY138" s="1093">
        <f>IF(EW138=0,0,(EX138-EW138)/EW138*100)</f>
        <v>0</v>
      </c>
      <c r="EZ138" s="2846"/>
      <c r="FA138" s="2846"/>
      <c r="FB138" s="1093">
        <f>IF(EZ138=0,0,(FA138-EZ138)/EZ138*100)</f>
        <v>0</v>
      </c>
      <c r="FC138" s="2846"/>
      <c r="FD138" s="2846"/>
      <c r="FE138" s="1093">
        <f>IF(FC138=0,0,(FD138-FC138)/FC138*100)</f>
        <v>0</v>
      </c>
      <c r="FF138" s="2846"/>
      <c r="FG138" s="2846"/>
      <c r="FH138" s="1093">
        <f>IF(FF138=0,0,(FG138-FF138)/FF138*100)</f>
        <v>0</v>
      </c>
      <c r="FI138" s="2846"/>
      <c r="FJ138" s="2846"/>
      <c r="FK138" s="1093">
        <f>IF(FI138=0,0,(FJ138-FI138)/FI138*100)</f>
        <v>0</v>
      </c>
      <c r="FL138" s="2846"/>
      <c r="FM138" s="2846"/>
      <c r="FN138" s="1093">
        <f>IF(FL138=0,0,(FM138-FL138)/FL138*100)</f>
        <v>0</v>
      </c>
      <c r="FO138" s="2846"/>
      <c r="FP138" s="2846"/>
      <c r="FQ138" s="1093">
        <f>IF(FO138=0,0,(FP138-FO138)/FO138*100)</f>
        <v>0</v>
      </c>
      <c r="FR138" s="2846"/>
      <c r="FS138" s="2846"/>
      <c r="FT138" s="1093">
        <f>IF(FR138=0,0,(FS138-FR138)/FR138*100)</f>
        <v>0</v>
      </c>
      <c r="FU138" s="2846"/>
      <c r="FV138" s="2846"/>
      <c r="FW138" s="1093">
        <f>IF(FU138=0,0,(FV138-FU138)/FU138*100)</f>
        <v>0</v>
      </c>
      <c r="FX138" s="1304"/>
      <c r="FY138" s="1304"/>
      <c r="FZ138" s="1055" t="s">
        <v>2407</v>
      </c>
      <c r="GA138" s="1015" t="s">
        <v>1594</v>
      </c>
      <c r="GB138" s="1015" cm="1" t="str">
        <f t="array" ref="GB138:GB138">GB137</f>
        <v>0</v>
      </c>
      <c r="GC138" s="1305"/>
      <c r="GD138" s="1305"/>
    </row>
    <row s="1834" customFormat="1" customHeight="1" ht="14.25" hidden="1">
      <c r="A139" s="493"/>
      <c r="B139" s="925" cm="1" t="str">
        <f t="array" ref="B139:B139">B138</f>
        <v>false</v>
      </c>
      <c r="C139" s="493"/>
      <c r="D139" s="493"/>
      <c r="E139" s="840">
        <v>15</v>
      </c>
      <c r="F139" s="50" cm="1" t="str">
        <f t="array" ref="F139:F139">OFFSET(E139,-1,1)</f>
        <v>1</v>
      </c>
      <c r="G139" s="493"/>
      <c r="H139" s="493" t="s">
        <v>2379</v>
      </c>
      <c r="I139" s="493" cm="1" t="str">
        <f t="array" ref="I139:I139">I138</f>
        <v>0</v>
      </c>
      <c r="J139" s="493"/>
      <c r="K139" s="493"/>
      <c r="L139" s="493"/>
      <c r="M139" s="493"/>
      <c r="N139" s="493"/>
      <c r="O139" s="493"/>
      <c r="P139" s="493"/>
      <c r="Q139" s="493"/>
      <c r="R139" s="493"/>
      <c r="S139" s="493"/>
      <c r="T139" s="465" cm="1" t="str">
        <f t="array" ref="T139:T139">T138</f>
        <v>false</v>
      </c>
      <c r="U139" s="493"/>
      <c r="V139" s="493"/>
      <c r="W139" s="493"/>
      <c r="X139" s="1596"/>
      <c r="Y139" s="1596"/>
      <c r="Z139" s="1545"/>
      <c r="AA139" s="1494"/>
      <c r="AB139" s="904" t="s">
        <v>2380</v>
      </c>
      <c r="AC139" s="864" t="s">
        <v>2381</v>
      </c>
      <c r="AD139" s="2846"/>
      <c r="AE139" s="2846"/>
      <c r="AF139" s="1093">
        <f>IF(AD139=0,0,(AE139-AD139)/AD139*100)</f>
        <v>0</v>
      </c>
      <c r="AG139" s="2846"/>
      <c r="AH139" s="2846"/>
      <c r="AI139" s="1093">
        <f>IF(AG139=0,0,(AH139-AG139)/AG139*100)</f>
        <v>0</v>
      </c>
      <c r="AJ139" s="2846"/>
      <c r="AK139" s="2846"/>
      <c r="AL139" s="1093">
        <f>IF(AJ139=0,0,(AK139-AJ139)/AJ139*100)</f>
        <v>0</v>
      </c>
      <c r="AM139" s="2846"/>
      <c r="AN139" s="2846"/>
      <c r="AO139" s="1093">
        <f>IF(AM139=0,0,(AN139-AM139)/AM139*100)</f>
        <v>0</v>
      </c>
      <c r="AP139" s="2846"/>
      <c r="AQ139" s="2846"/>
      <c r="AR139" s="1093">
        <f>IF(AP139=0,0,(AQ139-AP139)/AP139*100)</f>
        <v>0</v>
      </c>
      <c r="AS139" s="2846"/>
      <c r="AT139" s="2846"/>
      <c r="AU139" s="1093">
        <f>IF(AS139=0,0,(AT139-AS139)/AS139*100)</f>
        <v>0</v>
      </c>
      <c r="AV139" s="2846"/>
      <c r="AW139" s="2846"/>
      <c r="AX139" s="1093">
        <f>IF(AV139=0,0,(AW139-AV139)/AV139*100)</f>
        <v>0</v>
      </c>
      <c r="AY139" s="2846"/>
      <c r="AZ139" s="2846"/>
      <c r="BA139" s="1093">
        <f>IF(AY139=0,0,(AZ139-AY139)/AY139*100)</f>
        <v>0</v>
      </c>
      <c r="BB139" s="2846"/>
      <c r="BC139" s="2846"/>
      <c r="BD139" s="1093">
        <f>IF(BB139=0,0,(BC139-BB139)/BB139*100)</f>
        <v>0</v>
      </c>
      <c r="BE139" s="2846"/>
      <c r="BF139" s="2846"/>
      <c r="BG139" s="1093">
        <f>IF(BE139=0,0,(BF139-BE139)/BE139*100)</f>
        <v>0</v>
      </c>
      <c r="BH139" s="2846"/>
      <c r="BI139" s="2846"/>
      <c r="BJ139" s="1093">
        <f>IF(BH139=0,0,(BI139-BH139)/BH139*100)</f>
        <v>0</v>
      </c>
      <c r="BK139" s="2846"/>
      <c r="BL139" s="2846"/>
      <c r="BM139" s="1093">
        <f>IF(BK139=0,0,(BL139-BK139)/BK139*100)</f>
        <v>0</v>
      </c>
      <c r="BN139" s="2846"/>
      <c r="BO139" s="2846"/>
      <c r="BP139" s="1093">
        <f>IF(BN139=0,0,(BO139-BN139)/BN139*100)</f>
        <v>0</v>
      </c>
      <c r="BQ139" s="2846"/>
      <c r="BR139" s="2846"/>
      <c r="BS139" s="1093">
        <f>IF(BQ139=0,0,(BR139-BQ139)/BQ139*100)</f>
        <v>0</v>
      </c>
      <c r="BT139" s="2846"/>
      <c r="BU139" s="2846"/>
      <c r="BV139" s="1093">
        <f>IF(BT139=0,0,(BU139-BT139)/BT139*100)</f>
        <v>0</v>
      </c>
      <c r="BW139" s="2846"/>
      <c r="BX139" s="2846"/>
      <c r="BY139" s="1093">
        <f>IF(BW139=0,0,(BX139-BW139)/BW139*100)</f>
        <v>0</v>
      </c>
      <c r="BZ139" s="2846"/>
      <c r="CA139" s="2846"/>
      <c r="CB139" s="1093">
        <f>IF(BZ139=0,0,(CA139-BZ139)/BZ139*100)</f>
        <v>0</v>
      </c>
      <c r="CC139" s="2846"/>
      <c r="CD139" s="2846"/>
      <c r="CE139" s="1093">
        <f>IF(CC139=0,0,(CD139-CC139)/CC139*100)</f>
        <v>0</v>
      </c>
      <c r="CF139" s="2846"/>
      <c r="CG139" s="2846"/>
      <c r="CH139" s="1093">
        <f>IF(CF139=0,0,(CG139-CF139)/CF139*100)</f>
        <v>0</v>
      </c>
      <c r="CI139" s="2846"/>
      <c r="CJ139" s="2846"/>
      <c r="CK139" s="1093">
        <f>IF(CI139=0,0,(CJ139-CI139)/CI139*100)</f>
        <v>0</v>
      </c>
      <c r="CL139" s="2846"/>
      <c r="CM139" s="2846"/>
      <c r="CN139" s="1093">
        <f>IF(CL139=0,0,(CM139-CL139)/CL139*100)</f>
        <v>0</v>
      </c>
      <c r="CO139" s="2846"/>
      <c r="CP139" s="2846"/>
      <c r="CQ139" s="1093">
        <f>IF(CO139=0,0,(CP139-CO139)/CO139*100)</f>
        <v>0</v>
      </c>
      <c r="CR139" s="2846"/>
      <c r="CS139" s="2846"/>
      <c r="CT139" s="1093">
        <f>IF(CR139=0,0,(CS139-CR139)/CR139*100)</f>
        <v>0</v>
      </c>
      <c r="CU139" s="2846"/>
      <c r="CV139" s="2846"/>
      <c r="CW139" s="1093">
        <f>IF(CU139=0,0,(CV139-CU139)/CU139*100)</f>
        <v>0</v>
      </c>
      <c r="CX139" s="2846"/>
      <c r="CY139" s="2846"/>
      <c r="CZ139" s="1093">
        <f>IF(CX139=0,0,(CY139-CX139)/CX139*100)</f>
        <v>0</v>
      </c>
      <c r="DA139" s="2846"/>
      <c r="DB139" s="2846"/>
      <c r="DC139" s="1093">
        <f>IF(DA139=0,0,(DB139-DA139)/DA139*100)</f>
        <v>0</v>
      </c>
      <c r="DD139" s="2846"/>
      <c r="DE139" s="2846"/>
      <c r="DF139" s="1093">
        <f>IF(DD139=0,0,(DE139-DD139)/DD139*100)</f>
        <v>0</v>
      </c>
      <c r="DG139" s="2846"/>
      <c r="DH139" s="2846"/>
      <c r="DI139" s="1093">
        <f>IF(DG139=0,0,(DH139-DG139)/DG139*100)</f>
        <v>0</v>
      </c>
      <c r="DJ139" s="2846"/>
      <c r="DK139" s="2846"/>
      <c r="DL139" s="1093">
        <f>IF(DJ139=0,0,(DK139-DJ139)/DJ139*100)</f>
        <v>0</v>
      </c>
      <c r="DM139" s="2846"/>
      <c r="DN139" s="2846"/>
      <c r="DO139" s="1093">
        <f>IF(DM139=0,0,(DN139-DM139)/DM139*100)</f>
        <v>0</v>
      </c>
      <c r="DP139" s="2846"/>
      <c r="DQ139" s="2846"/>
      <c r="DR139" s="1093">
        <f>IF(DP139=0,0,(DQ139-DP139)/DP139*100)</f>
        <v>0</v>
      </c>
      <c r="DS139" s="2846"/>
      <c r="DT139" s="2846"/>
      <c r="DU139" s="1093">
        <f>IF(DS139=0,0,(DT139-DS139)/DS139*100)</f>
        <v>0</v>
      </c>
      <c r="DV139" s="2846"/>
      <c r="DW139" s="2846"/>
      <c r="DX139" s="1093">
        <f>IF(DV139=0,0,(DW139-DV139)/DV139*100)</f>
        <v>0</v>
      </c>
      <c r="DY139" s="2846"/>
      <c r="DZ139" s="2846"/>
      <c r="EA139" s="1093">
        <f>IF(DY139=0,0,(DZ139-DY139)/DY139*100)</f>
        <v>0</v>
      </c>
      <c r="EB139" s="2846"/>
      <c r="EC139" s="2846"/>
      <c r="ED139" s="1093">
        <f>IF(EB139=0,0,(EC139-EB139)/EB139*100)</f>
        <v>0</v>
      </c>
      <c r="EE139" s="2846"/>
      <c r="EF139" s="2846"/>
      <c r="EG139" s="1093">
        <f>IF(EE139=0,0,(EF139-EE139)/EE139*100)</f>
        <v>0</v>
      </c>
      <c r="EH139" s="2846"/>
      <c r="EI139" s="2846"/>
      <c r="EJ139" s="1093">
        <f>IF(EH139=0,0,(EI139-EH139)/EH139*100)</f>
        <v>0</v>
      </c>
      <c r="EK139" s="2846"/>
      <c r="EL139" s="2846"/>
      <c r="EM139" s="1093">
        <f>IF(EK139=0,0,(EL139-EK139)/EK139*100)</f>
        <v>0</v>
      </c>
      <c r="EN139" s="2846"/>
      <c r="EO139" s="2846"/>
      <c r="EP139" s="1093">
        <f>IF(EN139=0,0,(EO139-EN139)/EN139*100)</f>
        <v>0</v>
      </c>
      <c r="EQ139" s="2846"/>
      <c r="ER139" s="2846"/>
      <c r="ES139" s="1093">
        <f>IF(EQ139=0,0,(ER139-EQ139)/EQ139*100)</f>
        <v>0</v>
      </c>
      <c r="ET139" s="2846"/>
      <c r="EU139" s="2846"/>
      <c r="EV139" s="1093">
        <f>IF(ET139=0,0,(EU139-ET139)/ET139*100)</f>
        <v>0</v>
      </c>
      <c r="EW139" s="2846"/>
      <c r="EX139" s="2846"/>
      <c r="EY139" s="1093">
        <f>IF(EW139=0,0,(EX139-EW139)/EW139*100)</f>
        <v>0</v>
      </c>
      <c r="EZ139" s="2846"/>
      <c r="FA139" s="2846"/>
      <c r="FB139" s="1093">
        <f>IF(EZ139=0,0,(FA139-EZ139)/EZ139*100)</f>
        <v>0</v>
      </c>
      <c r="FC139" s="2846"/>
      <c r="FD139" s="2846"/>
      <c r="FE139" s="1093">
        <f>IF(FC139=0,0,(FD139-FC139)/FC139*100)</f>
        <v>0</v>
      </c>
      <c r="FF139" s="2846"/>
      <c r="FG139" s="2846"/>
      <c r="FH139" s="1093">
        <f>IF(FF139=0,0,(FG139-FF139)/FF139*100)</f>
        <v>0</v>
      </c>
      <c r="FI139" s="2846"/>
      <c r="FJ139" s="2846"/>
      <c r="FK139" s="1093">
        <f>IF(FI139=0,0,(FJ139-FI139)/FI139*100)</f>
        <v>0</v>
      </c>
      <c r="FL139" s="2846"/>
      <c r="FM139" s="2846"/>
      <c r="FN139" s="1093">
        <f>IF(FL139=0,0,(FM139-FL139)/FL139*100)</f>
        <v>0</v>
      </c>
      <c r="FO139" s="2846"/>
      <c r="FP139" s="2846"/>
      <c r="FQ139" s="1093">
        <f>IF(FO139=0,0,(FP139-FO139)/FO139*100)</f>
        <v>0</v>
      </c>
      <c r="FR139" s="2846"/>
      <c r="FS139" s="2846"/>
      <c r="FT139" s="1093">
        <f>IF(FR139=0,0,(FS139-FR139)/FR139*100)</f>
        <v>0</v>
      </c>
      <c r="FU139" s="2846"/>
      <c r="FV139" s="2846"/>
      <c r="FW139" s="1093">
        <f>IF(FU139=0,0,(FV139-FU139)/FU139*100)</f>
        <v>0</v>
      </c>
      <c r="FX139" s="1304"/>
      <c r="FY139" s="1304"/>
      <c r="FZ139" s="1055" t="s">
        <v>2408</v>
      </c>
      <c r="GA139" s="1015" t="s">
        <v>1594</v>
      </c>
      <c r="GB139" s="1015" cm="1" t="str">
        <f t="array" ref="GB139:GB139">GB138</f>
        <v>0</v>
      </c>
      <c r="GC139" s="1305"/>
      <c r="GD139" s="1305"/>
    </row>
    <row customHeight="1" ht="18.525" hidden="1">
      <c r="A140" s="493"/>
      <c r="B140" s="925" cm="1" t="str">
        <f t="array" ref="B140:B140">B139</f>
        <v>false</v>
      </c>
      <c r="C140" s="493"/>
      <c r="D140" s="493"/>
      <c r="E140" s="840">
        <v>19</v>
      </c>
      <c r="F140" s="50" cm="1" t="str">
        <f t="array" ref="F140:F140">OFFSET(E140,-1,1)</f>
        <v>1</v>
      </c>
      <c r="G140" s="493"/>
      <c r="H140" s="493"/>
      <c r="I140" s="493"/>
      <c r="J140" s="493"/>
      <c r="K140" s="493"/>
      <c r="L140" s="493"/>
      <c r="M140" s="493"/>
      <c r="N140" s="493"/>
      <c r="O140" s="493"/>
      <c r="P140" s="493"/>
      <c r="Q140" s="493"/>
      <c r="R140" s="493"/>
      <c r="S140" s="493"/>
      <c r="T140" s="465" cm="1" t="str">
        <f t="array" ref="T140:T140">T139</f>
        <v>false</v>
      </c>
      <c r="U140" s="493"/>
      <c r="V140" s="493"/>
      <c r="W140" s="493"/>
      <c r="X140" s="1596"/>
      <c r="Y140" s="1596"/>
      <c r="Z140" s="1545"/>
      <c r="AA140" s="1494"/>
      <c r="AB140" s="5252"/>
      <c r="AC140" s="865"/>
      <c r="AD140" s="1105"/>
      <c r="AE140" s="1106"/>
      <c r="AF140" s="1106"/>
      <c r="AG140" s="1105"/>
      <c r="AH140" s="1106"/>
      <c r="AI140" s="1106"/>
      <c r="AJ140" s="1105"/>
      <c r="AK140" s="1106"/>
      <c r="AL140" s="1106"/>
      <c r="AM140" s="1105"/>
      <c r="AN140" s="1106"/>
      <c r="AO140" s="1106"/>
      <c r="AP140" s="1105"/>
      <c r="AQ140" s="1106"/>
      <c r="AR140" s="1106"/>
      <c r="AS140" s="1105"/>
      <c r="AT140" s="1106"/>
      <c r="AU140" s="1106"/>
      <c r="AV140" s="1105"/>
      <c r="AW140" s="1106"/>
      <c r="AX140" s="1106"/>
      <c r="AY140" s="1105"/>
      <c r="AZ140" s="1106"/>
      <c r="BA140" s="1106"/>
      <c r="BB140" s="1105"/>
      <c r="BC140" s="1106"/>
      <c r="BD140" s="1106"/>
      <c r="BE140" s="1105"/>
      <c r="BF140" s="1106"/>
      <c r="BG140" s="1106"/>
      <c r="BH140" s="1105"/>
      <c r="BI140" s="1106"/>
      <c r="BJ140" s="1106"/>
      <c r="BK140" s="1105"/>
      <c r="BL140" s="1106"/>
      <c r="BM140" s="1106"/>
      <c r="BN140" s="1105"/>
      <c r="BO140" s="1106"/>
      <c r="BP140" s="1106"/>
      <c r="BQ140" s="1105"/>
      <c r="BR140" s="1106"/>
      <c r="BS140" s="1106"/>
      <c r="BT140" s="1105"/>
      <c r="BU140" s="1106"/>
      <c r="BV140" s="1106"/>
      <c r="BW140" s="1105"/>
      <c r="BX140" s="1106"/>
      <c r="BY140" s="1106"/>
      <c r="BZ140" s="1105"/>
      <c r="CA140" s="1106"/>
      <c r="CB140" s="1106"/>
      <c r="CC140" s="1105"/>
      <c r="CD140" s="1106"/>
      <c r="CE140" s="1106"/>
      <c r="CF140" s="1105"/>
      <c r="CG140" s="1106"/>
      <c r="CH140" s="1106"/>
      <c r="CI140" s="1105"/>
      <c r="CJ140" s="1106"/>
      <c r="CK140" s="1106"/>
      <c r="CL140" s="1105"/>
      <c r="CM140" s="1106"/>
      <c r="CN140" s="1106"/>
      <c r="CO140" s="1105"/>
      <c r="CP140" s="1106"/>
      <c r="CQ140" s="1106"/>
      <c r="CR140" s="1105"/>
      <c r="CS140" s="1106"/>
      <c r="CT140" s="1106"/>
      <c r="CU140" s="1105"/>
      <c r="CV140" s="1106"/>
      <c r="CW140" s="1106"/>
      <c r="CX140" s="1105"/>
      <c r="CY140" s="1106"/>
      <c r="CZ140" s="1106"/>
      <c r="DA140" s="1105"/>
      <c r="DB140" s="1106"/>
      <c r="DC140" s="1106"/>
      <c r="DD140" s="1105"/>
      <c r="DE140" s="1106"/>
      <c r="DF140" s="1106"/>
      <c r="DG140" s="1105"/>
      <c r="DH140" s="1106"/>
      <c r="DI140" s="1106"/>
      <c r="DJ140" s="1105"/>
      <c r="DK140" s="1106"/>
      <c r="DL140" s="1106"/>
      <c r="DM140" s="1105"/>
      <c r="DN140" s="1106"/>
      <c r="DO140" s="1106"/>
      <c r="DP140" s="1105"/>
      <c r="DQ140" s="1106"/>
      <c r="DR140" s="1106"/>
      <c r="DS140" s="1105"/>
      <c r="DT140" s="1106"/>
      <c r="DU140" s="1106"/>
      <c r="DV140" s="1105"/>
      <c r="DW140" s="1106"/>
      <c r="DX140" s="1106"/>
      <c r="DY140" s="1105"/>
      <c r="DZ140" s="1106"/>
      <c r="EA140" s="1106"/>
      <c r="EB140" s="1105"/>
      <c r="EC140" s="1106"/>
      <c r="ED140" s="1106"/>
      <c r="EE140" s="1105"/>
      <c r="EF140" s="1106"/>
      <c r="EG140" s="1106"/>
      <c r="EH140" s="1105"/>
      <c r="EI140" s="1106"/>
      <c r="EJ140" s="1106"/>
      <c r="EK140" s="1105"/>
      <c r="EL140" s="1106"/>
      <c r="EM140" s="1106"/>
      <c r="EN140" s="1105"/>
      <c r="EO140" s="1106"/>
      <c r="EP140" s="1106"/>
      <c r="EQ140" s="1105"/>
      <c r="ER140" s="1106"/>
      <c r="ES140" s="1106"/>
      <c r="ET140" s="1105"/>
      <c r="EU140" s="1106"/>
      <c r="EV140" s="1106"/>
      <c r="EW140" s="1105"/>
      <c r="EX140" s="1106"/>
      <c r="EY140" s="1106"/>
      <c r="EZ140" s="1105"/>
      <c r="FA140" s="1106"/>
      <c r="FB140" s="1106"/>
      <c r="FC140" s="1105"/>
      <c r="FD140" s="1106"/>
      <c r="FE140" s="1106"/>
      <c r="FF140" s="1105"/>
      <c r="FG140" s="1106"/>
      <c r="FH140" s="1106"/>
      <c r="FI140" s="1105"/>
      <c r="FJ140" s="1106"/>
      <c r="FK140" s="1106"/>
      <c r="FL140" s="1105"/>
      <c r="FM140" s="1106"/>
      <c r="FN140" s="1106"/>
      <c r="FO140" s="1105"/>
      <c r="FP140" s="1106"/>
      <c r="FQ140" s="1106"/>
      <c r="FR140" s="1105"/>
      <c r="FS140" s="1106"/>
      <c r="FT140" s="1106"/>
      <c r="FU140" s="1105"/>
      <c r="FV140" s="1106"/>
      <c r="FW140" s="1107"/>
      <c r="GA140" s="1306" t="s">
        <v>227</v>
      </c>
      <c r="GB140" s="1306" cm="1" t="str">
        <f t="array" ref="GB140:GB140">GB139</f>
        <v>0</v>
      </c>
    </row>
    <row customHeight="1" ht="18.525" hidden="1">
      <c r="A141" s="493"/>
      <c r="B141" s="925" cm="1" t="str">
        <f t="array" ref="B141:B141">B140</f>
        <v>false</v>
      </c>
      <c r="C141" s="493"/>
      <c r="D141" s="493"/>
      <c r="E141" s="840">
        <v>19</v>
      </c>
      <c r="F141" s="50" cm="1" t="str">
        <f t="array" ref="F141:F141">OFFSET(E141,-1,1)</f>
        <v>1</v>
      </c>
      <c r="G141" s="493"/>
      <c r="H141" s="493"/>
      <c r="I141" s="493"/>
      <c r="J141" s="493"/>
      <c r="K141" s="493"/>
      <c r="L141" s="493"/>
      <c r="M141" s="493"/>
      <c r="N141" s="493"/>
      <c r="O141" s="493"/>
      <c r="P141" s="493"/>
      <c r="Q141" s="493"/>
      <c r="R141" s="493"/>
      <c r="S141" s="493"/>
      <c r="T141" s="465" cm="1" t="str">
        <f t="array" ref="T141:T141">T140</f>
        <v>false</v>
      </c>
      <c r="U141" s="493"/>
      <c r="V141" s="493"/>
      <c r="W141" s="493"/>
      <c r="X141" s="1596"/>
      <c r="Y141" s="1596"/>
      <c r="Z141" s="1545"/>
      <c r="AA141" s="1494"/>
      <c r="AB141" s="904" t="s">
        <v>2370</v>
      </c>
      <c r="AC141" s="864" t="s">
        <v>2337</v>
      </c>
      <c r="AD141" s="2846"/>
      <c r="AE141" s="2846"/>
      <c r="AF141" s="1093">
        <f>IF(AD141=0,0,(AE141-AD141)/AD141*100)</f>
        <v>0</v>
      </c>
      <c r="AG141" s="2846"/>
      <c r="AH141" s="2846"/>
      <c r="AI141" s="1093">
        <f>IF(AG141=0,0,(AH141-AG141)/AG141*100)</f>
        <v>0</v>
      </c>
      <c r="AJ141" s="2846"/>
      <c r="AK141" s="2846"/>
      <c r="AL141" s="1093">
        <f>IF(AJ141=0,0,(AK141-AJ141)/AJ141*100)</f>
        <v>0</v>
      </c>
      <c r="AM141" s="2846"/>
      <c r="AN141" s="2846"/>
      <c r="AO141" s="1093">
        <f>IF(AM141=0,0,(AN141-AM141)/AM141*100)</f>
        <v>0</v>
      </c>
      <c r="AP141" s="2846"/>
      <c r="AQ141" s="2846"/>
      <c r="AR141" s="1093">
        <f>IF(AP141=0,0,(AQ141-AP141)/AP141*100)</f>
        <v>0</v>
      </c>
      <c r="AS141" s="2846"/>
      <c r="AT141" s="2846"/>
      <c r="AU141" s="1093">
        <f>IF(AS141=0,0,(AT141-AS141)/AS141*100)</f>
        <v>0</v>
      </c>
      <c r="AV141" s="2846"/>
      <c r="AW141" s="2846"/>
      <c r="AX141" s="1093">
        <f>IF(AV141=0,0,(AW141-AV141)/AV141*100)</f>
        <v>0</v>
      </c>
      <c r="AY141" s="2846"/>
      <c r="AZ141" s="2846"/>
      <c r="BA141" s="1093">
        <f>IF(AY141=0,0,(AZ141-AY141)/AY141*100)</f>
        <v>0</v>
      </c>
      <c r="BB141" s="2846"/>
      <c r="BC141" s="2846"/>
      <c r="BD141" s="1093">
        <f>IF(BB141=0,0,(BC141-BB141)/BB141*100)</f>
        <v>0</v>
      </c>
      <c r="BE141" s="2846"/>
      <c r="BF141" s="2846"/>
      <c r="BG141" s="1093">
        <f>IF(BE141=0,0,(BF141-BE141)/BE141*100)</f>
        <v>0</v>
      </c>
      <c r="BH141" s="2846"/>
      <c r="BI141" s="2846"/>
      <c r="BJ141" s="1093">
        <f>IF(BH141=0,0,(BI141-BH141)/BH141*100)</f>
        <v>0</v>
      </c>
      <c r="BK141" s="2846"/>
      <c r="BL141" s="2846"/>
      <c r="BM141" s="1093">
        <f>IF(BK141=0,0,(BL141-BK141)/BK141*100)</f>
        <v>0</v>
      </c>
      <c r="BN141" s="2846"/>
      <c r="BO141" s="2846"/>
      <c r="BP141" s="1093">
        <f>IF(BN141=0,0,(BO141-BN141)/BN141*100)</f>
        <v>0</v>
      </c>
      <c r="BQ141" s="2846"/>
      <c r="BR141" s="2846"/>
      <c r="BS141" s="1093">
        <f>IF(BQ141=0,0,(BR141-BQ141)/BQ141*100)</f>
        <v>0</v>
      </c>
      <c r="BT141" s="2846"/>
      <c r="BU141" s="2846"/>
      <c r="BV141" s="1093">
        <f>IF(BT141=0,0,(BU141-BT141)/BT141*100)</f>
        <v>0</v>
      </c>
      <c r="BW141" s="2846"/>
      <c r="BX141" s="2846"/>
      <c r="BY141" s="1093">
        <f>IF(BW141=0,0,(BX141-BW141)/BW141*100)</f>
        <v>0</v>
      </c>
      <c r="BZ141" s="2846"/>
      <c r="CA141" s="2846"/>
      <c r="CB141" s="1093">
        <f>IF(BZ141=0,0,(CA141-BZ141)/BZ141*100)</f>
        <v>0</v>
      </c>
      <c r="CC141" s="2846"/>
      <c r="CD141" s="2846"/>
      <c r="CE141" s="1093">
        <f>IF(CC141=0,0,(CD141-CC141)/CC141*100)</f>
        <v>0</v>
      </c>
      <c r="CF141" s="2846"/>
      <c r="CG141" s="2846"/>
      <c r="CH141" s="1093">
        <f>IF(CF141=0,0,(CG141-CF141)/CF141*100)</f>
        <v>0</v>
      </c>
      <c r="CI141" s="2846"/>
      <c r="CJ141" s="2846"/>
      <c r="CK141" s="1093">
        <f>IF(CI141=0,0,(CJ141-CI141)/CI141*100)</f>
        <v>0</v>
      </c>
      <c r="CL141" s="2846"/>
      <c r="CM141" s="2846"/>
      <c r="CN141" s="1093">
        <f>IF(CL141=0,0,(CM141-CL141)/CL141*100)</f>
        <v>0</v>
      </c>
      <c r="CO141" s="2846"/>
      <c r="CP141" s="2846"/>
      <c r="CQ141" s="1093">
        <f>IF(CO141=0,0,(CP141-CO141)/CO141*100)</f>
        <v>0</v>
      </c>
      <c r="CR141" s="2846"/>
      <c r="CS141" s="2846"/>
      <c r="CT141" s="1093">
        <f>IF(CR141=0,0,(CS141-CR141)/CR141*100)</f>
        <v>0</v>
      </c>
      <c r="CU141" s="2846"/>
      <c r="CV141" s="2846"/>
      <c r="CW141" s="1093">
        <f>IF(CU141=0,0,(CV141-CU141)/CU141*100)</f>
        <v>0</v>
      </c>
      <c r="CX141" s="2846"/>
      <c r="CY141" s="2846"/>
      <c r="CZ141" s="1093">
        <f>IF(CX141=0,0,(CY141-CX141)/CX141*100)</f>
        <v>0</v>
      </c>
      <c r="DA141" s="2846"/>
      <c r="DB141" s="2846"/>
      <c r="DC141" s="1093">
        <f>IF(DA141=0,0,(DB141-DA141)/DA141*100)</f>
        <v>0</v>
      </c>
      <c r="DD141" s="2846"/>
      <c r="DE141" s="2846"/>
      <c r="DF141" s="1093">
        <f>IF(DD141=0,0,(DE141-DD141)/DD141*100)</f>
        <v>0</v>
      </c>
      <c r="DG141" s="2846"/>
      <c r="DH141" s="2846"/>
      <c r="DI141" s="1093">
        <f>IF(DG141=0,0,(DH141-DG141)/DG141*100)</f>
        <v>0</v>
      </c>
      <c r="DJ141" s="2846"/>
      <c r="DK141" s="2846"/>
      <c r="DL141" s="1093">
        <f>IF(DJ141=0,0,(DK141-DJ141)/DJ141*100)</f>
        <v>0</v>
      </c>
      <c r="DM141" s="2846"/>
      <c r="DN141" s="2846"/>
      <c r="DO141" s="1093">
        <f>IF(DM141=0,0,(DN141-DM141)/DM141*100)</f>
        <v>0</v>
      </c>
      <c r="DP141" s="2846"/>
      <c r="DQ141" s="2846"/>
      <c r="DR141" s="1093">
        <f>IF(DP141=0,0,(DQ141-DP141)/DP141*100)</f>
        <v>0</v>
      </c>
      <c r="DS141" s="2846"/>
      <c r="DT141" s="2846"/>
      <c r="DU141" s="1093">
        <f>IF(DS141=0,0,(DT141-DS141)/DS141*100)</f>
        <v>0</v>
      </c>
      <c r="DV141" s="2846"/>
      <c r="DW141" s="2846"/>
      <c r="DX141" s="1093">
        <f>IF(DV141=0,0,(DW141-DV141)/DV141*100)</f>
        <v>0</v>
      </c>
      <c r="DY141" s="2846"/>
      <c r="DZ141" s="2846"/>
      <c r="EA141" s="1093">
        <f>IF(DY141=0,0,(DZ141-DY141)/DY141*100)</f>
        <v>0</v>
      </c>
      <c r="EB141" s="2846"/>
      <c r="EC141" s="2846"/>
      <c r="ED141" s="1093">
        <f>IF(EB141=0,0,(EC141-EB141)/EB141*100)</f>
        <v>0</v>
      </c>
      <c r="EE141" s="2846"/>
      <c r="EF141" s="2846"/>
      <c r="EG141" s="1093">
        <f>IF(EE141=0,0,(EF141-EE141)/EE141*100)</f>
        <v>0</v>
      </c>
      <c r="EH141" s="2846"/>
      <c r="EI141" s="2846"/>
      <c r="EJ141" s="1093">
        <f>IF(EH141=0,0,(EI141-EH141)/EH141*100)</f>
        <v>0</v>
      </c>
      <c r="EK141" s="2846"/>
      <c r="EL141" s="2846"/>
      <c r="EM141" s="1093">
        <f>IF(EK141=0,0,(EL141-EK141)/EK141*100)</f>
        <v>0</v>
      </c>
      <c r="EN141" s="2846"/>
      <c r="EO141" s="2846"/>
      <c r="EP141" s="1093">
        <f>IF(EN141=0,0,(EO141-EN141)/EN141*100)</f>
        <v>0</v>
      </c>
      <c r="EQ141" s="2846"/>
      <c r="ER141" s="2846"/>
      <c r="ES141" s="1093">
        <f>IF(EQ141=0,0,(ER141-EQ141)/EQ141*100)</f>
        <v>0</v>
      </c>
      <c r="ET141" s="2846"/>
      <c r="EU141" s="2846"/>
      <c r="EV141" s="1093">
        <f>IF(ET141=0,0,(EU141-ET141)/ET141*100)</f>
        <v>0</v>
      </c>
      <c r="EW141" s="2846"/>
      <c r="EX141" s="2846"/>
      <c r="EY141" s="1093">
        <f>IF(EW141=0,0,(EX141-EW141)/EW141*100)</f>
        <v>0</v>
      </c>
      <c r="EZ141" s="2846"/>
      <c r="FA141" s="2846"/>
      <c r="FB141" s="1093">
        <f>IF(EZ141=0,0,(FA141-EZ141)/EZ141*100)</f>
        <v>0</v>
      </c>
      <c r="FC141" s="2846"/>
      <c r="FD141" s="2846"/>
      <c r="FE141" s="1093">
        <f>IF(FC141=0,0,(FD141-FC141)/FC141*100)</f>
        <v>0</v>
      </c>
      <c r="FF141" s="2846"/>
      <c r="FG141" s="2846"/>
      <c r="FH141" s="1093">
        <f>IF(FF141=0,0,(FG141-FF141)/FF141*100)</f>
        <v>0</v>
      </c>
      <c r="FI141" s="2846"/>
      <c r="FJ141" s="2846"/>
      <c r="FK141" s="1093">
        <f>IF(FI141=0,0,(FJ141-FI141)/FI141*100)</f>
        <v>0</v>
      </c>
      <c r="FL141" s="2846"/>
      <c r="FM141" s="2846"/>
      <c r="FN141" s="1093">
        <f>IF(FL141=0,0,(FM141-FL141)/FL141*100)</f>
        <v>0</v>
      </c>
      <c r="FO141" s="2846"/>
      <c r="FP141" s="2846"/>
      <c r="FQ141" s="1093">
        <f>IF(FO141=0,0,(FP141-FO141)/FO141*100)</f>
        <v>0</v>
      </c>
      <c r="FR141" s="2846"/>
      <c r="FS141" s="2846"/>
      <c r="FT141" s="1093">
        <f>IF(FR141=0,0,(FS141-FR141)/FR141*100)</f>
        <v>0</v>
      </c>
      <c r="FU141" s="2846"/>
      <c r="FV141" s="2846"/>
      <c r="FW141" s="1093">
        <f>IF(FU141=0,0,(FV141-FU141)/FU141*100)</f>
        <v>0</v>
      </c>
      <c r="FZ141" s="1306" t="s">
        <v>2409</v>
      </c>
      <c r="GA141" s="1306" t="s">
        <v>1594</v>
      </c>
      <c r="GB141" s="1306" cm="1" t="str">
        <f t="array" ref="GB141:GB141">GB140</f>
        <v>0</v>
      </c>
    </row>
    <row customHeight="1" ht="18.525" hidden="1">
      <c r="A142" s="493"/>
      <c r="B142" s="925" cm="1" t="str">
        <f t="array" ref="B142:B142">B141</f>
        <v>false</v>
      </c>
      <c r="C142" s="493"/>
      <c r="D142" s="493"/>
      <c r="E142" s="840">
        <v>19</v>
      </c>
      <c r="F142" s="50" cm="1" t="str">
        <f t="array" ref="F142:F142">OFFSET(E142,-1,1)</f>
        <v>1</v>
      </c>
      <c r="G142" s="493"/>
      <c r="H142" s="493"/>
      <c r="I142" s="493"/>
      <c r="J142" s="493"/>
      <c r="K142" s="493"/>
      <c r="L142" s="493"/>
      <c r="M142" s="493"/>
      <c r="N142" s="493"/>
      <c r="O142" s="493"/>
      <c r="P142" s="493"/>
      <c r="Q142" s="493"/>
      <c r="R142" s="493"/>
      <c r="S142" s="493"/>
      <c r="T142" s="465" cm="1" t="str">
        <f t="array" ref="T142:T142">T141</f>
        <v>false</v>
      </c>
      <c r="U142" s="493"/>
      <c r="V142" s="493"/>
      <c r="W142" s="493"/>
      <c r="X142" s="1596"/>
      <c r="Y142" s="1596"/>
      <c r="Z142" s="1545"/>
      <c r="AA142" s="1494"/>
      <c r="AB142" s="904" t="str">
        <f>"ставка платы за "&amp;IF(Q98="Водоснабжение","потребление 1 куб.м холодной воды","объем принятых сточных вод")</f>
        <v>ставка платы за объем принятых сточных вод</v>
      </c>
      <c r="AC142" s="864" t="s">
        <v>2337</v>
      </c>
      <c r="AD142" s="2846"/>
      <c r="AE142" s="2846"/>
      <c r="AF142" s="1093">
        <f>IF(AD142=0,0,(AE142-AD142)/AD142*100)</f>
        <v>0</v>
      </c>
      <c r="AG142" s="2846"/>
      <c r="AH142" s="2846"/>
      <c r="AI142" s="1093">
        <f>IF(AG142=0,0,(AH142-AG142)/AG142*100)</f>
        <v>0</v>
      </c>
      <c r="AJ142" s="2846"/>
      <c r="AK142" s="2846"/>
      <c r="AL142" s="1093">
        <f>IF(AJ142=0,0,(AK142-AJ142)/AJ142*100)</f>
        <v>0</v>
      </c>
      <c r="AM142" s="2846"/>
      <c r="AN142" s="2846"/>
      <c r="AO142" s="1093">
        <f>IF(AM142=0,0,(AN142-AM142)/AM142*100)</f>
        <v>0</v>
      </c>
      <c r="AP142" s="2846"/>
      <c r="AQ142" s="2846"/>
      <c r="AR142" s="1093">
        <f>IF(AP142=0,0,(AQ142-AP142)/AP142*100)</f>
        <v>0</v>
      </c>
      <c r="AS142" s="2846"/>
      <c r="AT142" s="2846"/>
      <c r="AU142" s="1093">
        <f>IF(AS142=0,0,(AT142-AS142)/AS142*100)</f>
        <v>0</v>
      </c>
      <c r="AV142" s="2846"/>
      <c r="AW142" s="2846"/>
      <c r="AX142" s="1093">
        <f>IF(AV142=0,0,(AW142-AV142)/AV142*100)</f>
        <v>0</v>
      </c>
      <c r="AY142" s="2846"/>
      <c r="AZ142" s="2846"/>
      <c r="BA142" s="1093">
        <f>IF(AY142=0,0,(AZ142-AY142)/AY142*100)</f>
        <v>0</v>
      </c>
      <c r="BB142" s="2846"/>
      <c r="BC142" s="2846"/>
      <c r="BD142" s="1093">
        <f>IF(BB142=0,0,(BC142-BB142)/BB142*100)</f>
        <v>0</v>
      </c>
      <c r="BE142" s="2846"/>
      <c r="BF142" s="2846"/>
      <c r="BG142" s="1093">
        <f>IF(BE142=0,0,(BF142-BE142)/BE142*100)</f>
        <v>0</v>
      </c>
      <c r="BH142" s="2846"/>
      <c r="BI142" s="2846"/>
      <c r="BJ142" s="1093">
        <f>IF(BH142=0,0,(BI142-BH142)/BH142*100)</f>
        <v>0</v>
      </c>
      <c r="BK142" s="2846"/>
      <c r="BL142" s="2846"/>
      <c r="BM142" s="1093">
        <f>IF(BK142=0,0,(BL142-BK142)/BK142*100)</f>
        <v>0</v>
      </c>
      <c r="BN142" s="2846"/>
      <c r="BO142" s="2846"/>
      <c r="BP142" s="1093">
        <f>IF(BN142=0,0,(BO142-BN142)/BN142*100)</f>
        <v>0</v>
      </c>
      <c r="BQ142" s="2846"/>
      <c r="BR142" s="2846"/>
      <c r="BS142" s="1093">
        <f>IF(BQ142=0,0,(BR142-BQ142)/BQ142*100)</f>
        <v>0</v>
      </c>
      <c r="BT142" s="2846"/>
      <c r="BU142" s="2846"/>
      <c r="BV142" s="1093">
        <f>IF(BT142=0,0,(BU142-BT142)/BT142*100)</f>
        <v>0</v>
      </c>
      <c r="BW142" s="2846"/>
      <c r="BX142" s="2846"/>
      <c r="BY142" s="1093">
        <f>IF(BW142=0,0,(BX142-BW142)/BW142*100)</f>
        <v>0</v>
      </c>
      <c r="BZ142" s="2846"/>
      <c r="CA142" s="2846"/>
      <c r="CB142" s="1093">
        <f>IF(BZ142=0,0,(CA142-BZ142)/BZ142*100)</f>
        <v>0</v>
      </c>
      <c r="CC142" s="2846"/>
      <c r="CD142" s="2846"/>
      <c r="CE142" s="1093">
        <f>IF(CC142=0,0,(CD142-CC142)/CC142*100)</f>
        <v>0</v>
      </c>
      <c r="CF142" s="2846"/>
      <c r="CG142" s="2846"/>
      <c r="CH142" s="1093">
        <f>IF(CF142=0,0,(CG142-CF142)/CF142*100)</f>
        <v>0</v>
      </c>
      <c r="CI142" s="2846"/>
      <c r="CJ142" s="2846"/>
      <c r="CK142" s="1093">
        <f>IF(CI142=0,0,(CJ142-CI142)/CI142*100)</f>
        <v>0</v>
      </c>
      <c r="CL142" s="2846"/>
      <c r="CM142" s="2846"/>
      <c r="CN142" s="1093">
        <f>IF(CL142=0,0,(CM142-CL142)/CL142*100)</f>
        <v>0</v>
      </c>
      <c r="CO142" s="2846"/>
      <c r="CP142" s="2846"/>
      <c r="CQ142" s="1093">
        <f>IF(CO142=0,0,(CP142-CO142)/CO142*100)</f>
        <v>0</v>
      </c>
      <c r="CR142" s="2846"/>
      <c r="CS142" s="2846"/>
      <c r="CT142" s="1093">
        <f>IF(CR142=0,0,(CS142-CR142)/CR142*100)</f>
        <v>0</v>
      </c>
      <c r="CU142" s="2846"/>
      <c r="CV142" s="2846"/>
      <c r="CW142" s="1093">
        <f>IF(CU142=0,0,(CV142-CU142)/CU142*100)</f>
        <v>0</v>
      </c>
      <c r="CX142" s="2846"/>
      <c r="CY142" s="2846"/>
      <c r="CZ142" s="1093">
        <f>IF(CX142=0,0,(CY142-CX142)/CX142*100)</f>
        <v>0</v>
      </c>
      <c r="DA142" s="2846"/>
      <c r="DB142" s="2846"/>
      <c r="DC142" s="1093">
        <f>IF(DA142=0,0,(DB142-DA142)/DA142*100)</f>
        <v>0</v>
      </c>
      <c r="DD142" s="2846"/>
      <c r="DE142" s="2846"/>
      <c r="DF142" s="1093">
        <f>IF(DD142=0,0,(DE142-DD142)/DD142*100)</f>
        <v>0</v>
      </c>
      <c r="DG142" s="2846"/>
      <c r="DH142" s="2846"/>
      <c r="DI142" s="1093">
        <f>IF(DG142=0,0,(DH142-DG142)/DG142*100)</f>
        <v>0</v>
      </c>
      <c r="DJ142" s="2846"/>
      <c r="DK142" s="2846"/>
      <c r="DL142" s="1093">
        <f>IF(DJ142=0,0,(DK142-DJ142)/DJ142*100)</f>
        <v>0</v>
      </c>
      <c r="DM142" s="2846"/>
      <c r="DN142" s="2846"/>
      <c r="DO142" s="1093">
        <f>IF(DM142=0,0,(DN142-DM142)/DM142*100)</f>
        <v>0</v>
      </c>
      <c r="DP142" s="2846"/>
      <c r="DQ142" s="2846"/>
      <c r="DR142" s="1093">
        <f>IF(DP142=0,0,(DQ142-DP142)/DP142*100)</f>
        <v>0</v>
      </c>
      <c r="DS142" s="2846"/>
      <c r="DT142" s="2846"/>
      <c r="DU142" s="1093">
        <f>IF(DS142=0,0,(DT142-DS142)/DS142*100)</f>
        <v>0</v>
      </c>
      <c r="DV142" s="2846"/>
      <c r="DW142" s="2846"/>
      <c r="DX142" s="1093">
        <f>IF(DV142=0,0,(DW142-DV142)/DV142*100)</f>
        <v>0</v>
      </c>
      <c r="DY142" s="2846"/>
      <c r="DZ142" s="2846"/>
      <c r="EA142" s="1093">
        <f>IF(DY142=0,0,(DZ142-DY142)/DY142*100)</f>
        <v>0</v>
      </c>
      <c r="EB142" s="2846"/>
      <c r="EC142" s="2846"/>
      <c r="ED142" s="1093">
        <f>IF(EB142=0,0,(EC142-EB142)/EB142*100)</f>
        <v>0</v>
      </c>
      <c r="EE142" s="2846"/>
      <c r="EF142" s="2846"/>
      <c r="EG142" s="1093">
        <f>IF(EE142=0,0,(EF142-EE142)/EE142*100)</f>
        <v>0</v>
      </c>
      <c r="EH142" s="2846"/>
      <c r="EI142" s="2846"/>
      <c r="EJ142" s="1093">
        <f>IF(EH142=0,0,(EI142-EH142)/EH142*100)</f>
        <v>0</v>
      </c>
      <c r="EK142" s="2846"/>
      <c r="EL142" s="2846"/>
      <c r="EM142" s="1093">
        <f>IF(EK142=0,0,(EL142-EK142)/EK142*100)</f>
        <v>0</v>
      </c>
      <c r="EN142" s="2846"/>
      <c r="EO142" s="2846"/>
      <c r="EP142" s="1093">
        <f>IF(EN142=0,0,(EO142-EN142)/EN142*100)</f>
        <v>0</v>
      </c>
      <c r="EQ142" s="2846"/>
      <c r="ER142" s="2846"/>
      <c r="ES142" s="1093">
        <f>IF(EQ142=0,0,(ER142-EQ142)/EQ142*100)</f>
        <v>0</v>
      </c>
      <c r="ET142" s="2846"/>
      <c r="EU142" s="2846"/>
      <c r="EV142" s="1093">
        <f>IF(ET142=0,0,(EU142-ET142)/ET142*100)</f>
        <v>0</v>
      </c>
      <c r="EW142" s="2846"/>
      <c r="EX142" s="2846"/>
      <c r="EY142" s="1093">
        <f>IF(EW142=0,0,(EX142-EW142)/EW142*100)</f>
        <v>0</v>
      </c>
      <c r="EZ142" s="2846"/>
      <c r="FA142" s="2846"/>
      <c r="FB142" s="1093">
        <f>IF(EZ142=0,0,(FA142-EZ142)/EZ142*100)</f>
        <v>0</v>
      </c>
      <c r="FC142" s="2846"/>
      <c r="FD142" s="2846"/>
      <c r="FE142" s="1093">
        <f>IF(FC142=0,0,(FD142-FC142)/FC142*100)</f>
        <v>0</v>
      </c>
      <c r="FF142" s="2846"/>
      <c r="FG142" s="2846"/>
      <c r="FH142" s="1093">
        <f>IF(FF142=0,0,(FG142-FF142)/FF142*100)</f>
        <v>0</v>
      </c>
      <c r="FI142" s="2846"/>
      <c r="FJ142" s="2846"/>
      <c r="FK142" s="1093">
        <f>IF(FI142=0,0,(FJ142-FI142)/FI142*100)</f>
        <v>0</v>
      </c>
      <c r="FL142" s="2846"/>
      <c r="FM142" s="2846"/>
      <c r="FN142" s="1093">
        <f>IF(FL142=0,0,(FM142-FL142)/FL142*100)</f>
        <v>0</v>
      </c>
      <c r="FO142" s="2846"/>
      <c r="FP142" s="2846"/>
      <c r="FQ142" s="1093">
        <f>IF(FO142=0,0,(FP142-FO142)/FO142*100)</f>
        <v>0</v>
      </c>
      <c r="FR142" s="2846"/>
      <c r="FS142" s="2846"/>
      <c r="FT142" s="1093">
        <f>IF(FR142=0,0,(FS142-FR142)/FR142*100)</f>
        <v>0</v>
      </c>
      <c r="FU142" s="2846"/>
      <c r="FV142" s="2846"/>
      <c r="FW142" s="1093">
        <f>IF(FU142=0,0,(FV142-FU142)/FU142*100)</f>
        <v>0</v>
      </c>
      <c r="FZ142" s="1306" t="s">
        <v>2410</v>
      </c>
      <c r="GA142" s="1306" t="s">
        <v>1594</v>
      </c>
      <c r="GB142" s="1306" cm="1" t="str">
        <f t="array" ref="GB142:GB142">GB141</f>
        <v>0</v>
      </c>
    </row>
    <row customHeight="1" ht="18.525" hidden="1">
      <c r="A143" s="493"/>
      <c r="B143" s="925" cm="1" t="str">
        <f t="array" ref="B143:B143">B142</f>
        <v>false</v>
      </c>
      <c r="C143" s="493"/>
      <c r="D143" s="493"/>
      <c r="E143" s="840">
        <v>19</v>
      </c>
      <c r="F143" s="50" cm="1" t="str">
        <f t="array" ref="F143:F143">OFFSET(E143,-1,1)</f>
        <v>1</v>
      </c>
      <c r="G143" s="493"/>
      <c r="H143" s="493"/>
      <c r="I143" s="493"/>
      <c r="J143" s="493"/>
      <c r="K143" s="493"/>
      <c r="L143" s="493"/>
      <c r="M143" s="493"/>
      <c r="N143" s="493"/>
      <c r="O143" s="493"/>
      <c r="P143" s="493"/>
      <c r="Q143" s="493"/>
      <c r="R143" s="493"/>
      <c r="S143" s="493"/>
      <c r="T143" s="465" cm="1" t="str">
        <f t="array" ref="T143:T143">T142</f>
        <v>false</v>
      </c>
      <c r="U143" s="493"/>
      <c r="V143" s="493"/>
      <c r="W143" s="493"/>
      <c r="X143" s="1596"/>
      <c r="Y143" s="1596"/>
      <c r="Z143" s="1545"/>
      <c r="AA143" s="1494"/>
      <c r="AB143" s="904" t="str">
        <f>"объём "&amp;IF(Q98="Водоснабжение","потребления холодной воды","водоотведения")</f>
        <v>объём водоотведения</v>
      </c>
      <c r="AC143" s="864" t="s">
        <v>1247</v>
      </c>
      <c r="AD143" s="5247"/>
      <c r="AE143" s="5247"/>
      <c r="AF143" s="1095">
        <f>IF(AD143=0,0,(AE143-AD143)/AD143*100)</f>
        <v>0</v>
      </c>
      <c r="AG143" s="5247"/>
      <c r="AH143" s="5247"/>
      <c r="AI143" s="1095">
        <f>IF(AG143=0,0,(AH143-AG143)/AG143*100)</f>
        <v>0</v>
      </c>
      <c r="AJ143" s="5247"/>
      <c r="AK143" s="5247"/>
      <c r="AL143" s="1095">
        <f>IF(AJ143=0,0,(AK143-AJ143)/AJ143*100)</f>
        <v>0</v>
      </c>
      <c r="AM143" s="5247"/>
      <c r="AN143" s="5247"/>
      <c r="AO143" s="1095">
        <f>IF(AM143=0,0,(AN143-AM143)/AM143*100)</f>
        <v>0</v>
      </c>
      <c r="AP143" s="5247"/>
      <c r="AQ143" s="5247"/>
      <c r="AR143" s="1095">
        <f>IF(AP143=0,0,(AQ143-AP143)/AP143*100)</f>
        <v>0</v>
      </c>
      <c r="AS143" s="5247"/>
      <c r="AT143" s="5247"/>
      <c r="AU143" s="1095">
        <f>IF(AS143=0,0,(AT143-AS143)/AS143*100)</f>
        <v>0</v>
      </c>
      <c r="AV143" s="5247"/>
      <c r="AW143" s="5247"/>
      <c r="AX143" s="1095">
        <f>IF(AV143=0,0,(AW143-AV143)/AV143*100)</f>
        <v>0</v>
      </c>
      <c r="AY143" s="5247"/>
      <c r="AZ143" s="5247"/>
      <c r="BA143" s="1095">
        <f>IF(AY143=0,0,(AZ143-AY143)/AY143*100)</f>
        <v>0</v>
      </c>
      <c r="BB143" s="5247"/>
      <c r="BC143" s="5247"/>
      <c r="BD143" s="1095">
        <f>IF(BB143=0,0,(BC143-BB143)/BB143*100)</f>
        <v>0</v>
      </c>
      <c r="BE143" s="5247"/>
      <c r="BF143" s="5247"/>
      <c r="BG143" s="1095">
        <f>IF(BE143=0,0,(BF143-BE143)/BE143*100)</f>
        <v>0</v>
      </c>
      <c r="BH143" s="5247"/>
      <c r="BI143" s="5247"/>
      <c r="BJ143" s="1095">
        <f>IF(BH143=0,0,(BI143-BH143)/BH143*100)</f>
        <v>0</v>
      </c>
      <c r="BK143" s="5247"/>
      <c r="BL143" s="5247"/>
      <c r="BM143" s="1095">
        <f>IF(BK143=0,0,(BL143-BK143)/BK143*100)</f>
        <v>0</v>
      </c>
      <c r="BN143" s="5247"/>
      <c r="BO143" s="5247"/>
      <c r="BP143" s="1095">
        <f>IF(BN143=0,0,(BO143-BN143)/BN143*100)</f>
        <v>0</v>
      </c>
      <c r="BQ143" s="5247"/>
      <c r="BR143" s="5247"/>
      <c r="BS143" s="1095">
        <f>IF(BQ143=0,0,(BR143-BQ143)/BQ143*100)</f>
        <v>0</v>
      </c>
      <c r="BT143" s="5247"/>
      <c r="BU143" s="5247"/>
      <c r="BV143" s="1095">
        <f>IF(BT143=0,0,(BU143-BT143)/BT143*100)</f>
        <v>0</v>
      </c>
      <c r="BW143" s="5247"/>
      <c r="BX143" s="5247"/>
      <c r="BY143" s="1095">
        <f>IF(BW143=0,0,(BX143-BW143)/BW143*100)</f>
        <v>0</v>
      </c>
      <c r="BZ143" s="5247"/>
      <c r="CA143" s="5247"/>
      <c r="CB143" s="1095">
        <f>IF(BZ143=0,0,(CA143-BZ143)/BZ143*100)</f>
        <v>0</v>
      </c>
      <c r="CC143" s="5247"/>
      <c r="CD143" s="5247"/>
      <c r="CE143" s="1095">
        <f>IF(CC143=0,0,(CD143-CC143)/CC143*100)</f>
        <v>0</v>
      </c>
      <c r="CF143" s="5247"/>
      <c r="CG143" s="5247"/>
      <c r="CH143" s="1095">
        <f>IF(CF143=0,0,(CG143-CF143)/CF143*100)</f>
        <v>0</v>
      </c>
      <c r="CI143" s="5247"/>
      <c r="CJ143" s="5247"/>
      <c r="CK143" s="1095">
        <f>IF(CI143=0,0,(CJ143-CI143)/CI143*100)</f>
        <v>0</v>
      </c>
      <c r="CL143" s="5247"/>
      <c r="CM143" s="5247"/>
      <c r="CN143" s="1095">
        <f>IF(CL143=0,0,(CM143-CL143)/CL143*100)</f>
        <v>0</v>
      </c>
      <c r="CO143" s="5247"/>
      <c r="CP143" s="5247"/>
      <c r="CQ143" s="1095">
        <f>IF(CO143=0,0,(CP143-CO143)/CO143*100)</f>
        <v>0</v>
      </c>
      <c r="CR143" s="5247"/>
      <c r="CS143" s="5247"/>
      <c r="CT143" s="1095">
        <f>IF(CR143=0,0,(CS143-CR143)/CR143*100)</f>
        <v>0</v>
      </c>
      <c r="CU143" s="5247"/>
      <c r="CV143" s="5247"/>
      <c r="CW143" s="1095">
        <f>IF(CU143=0,0,(CV143-CU143)/CU143*100)</f>
        <v>0</v>
      </c>
      <c r="CX143" s="5247"/>
      <c r="CY143" s="5247"/>
      <c r="CZ143" s="1095">
        <f>IF(CX143=0,0,(CY143-CX143)/CX143*100)</f>
        <v>0</v>
      </c>
      <c r="DA143" s="5247"/>
      <c r="DB143" s="5247"/>
      <c r="DC143" s="1095">
        <f>IF(DA143=0,0,(DB143-DA143)/DA143*100)</f>
        <v>0</v>
      </c>
      <c r="DD143" s="5247"/>
      <c r="DE143" s="5247"/>
      <c r="DF143" s="1095">
        <f>IF(DD143=0,0,(DE143-DD143)/DD143*100)</f>
        <v>0</v>
      </c>
      <c r="DG143" s="5247"/>
      <c r="DH143" s="5247"/>
      <c r="DI143" s="1095">
        <f>IF(DG143=0,0,(DH143-DG143)/DG143*100)</f>
        <v>0</v>
      </c>
      <c r="DJ143" s="5247"/>
      <c r="DK143" s="5247"/>
      <c r="DL143" s="1095">
        <f>IF(DJ143=0,0,(DK143-DJ143)/DJ143*100)</f>
        <v>0</v>
      </c>
      <c r="DM143" s="5247"/>
      <c r="DN143" s="5247"/>
      <c r="DO143" s="1095">
        <f>IF(DM143=0,0,(DN143-DM143)/DM143*100)</f>
        <v>0</v>
      </c>
      <c r="DP143" s="5247"/>
      <c r="DQ143" s="5247"/>
      <c r="DR143" s="1095">
        <f>IF(DP143=0,0,(DQ143-DP143)/DP143*100)</f>
        <v>0</v>
      </c>
      <c r="DS143" s="5247"/>
      <c r="DT143" s="5247"/>
      <c r="DU143" s="1095">
        <f>IF(DS143=0,0,(DT143-DS143)/DS143*100)</f>
        <v>0</v>
      </c>
      <c r="DV143" s="5247"/>
      <c r="DW143" s="5247"/>
      <c r="DX143" s="1095">
        <f>IF(DV143=0,0,(DW143-DV143)/DV143*100)</f>
        <v>0</v>
      </c>
      <c r="DY143" s="5247"/>
      <c r="DZ143" s="5247"/>
      <c r="EA143" s="1095">
        <f>IF(DY143=0,0,(DZ143-DY143)/DY143*100)</f>
        <v>0</v>
      </c>
      <c r="EB143" s="5247"/>
      <c r="EC143" s="5247"/>
      <c r="ED143" s="1095">
        <f>IF(EB143=0,0,(EC143-EB143)/EB143*100)</f>
        <v>0</v>
      </c>
      <c r="EE143" s="5247"/>
      <c r="EF143" s="5247"/>
      <c r="EG143" s="1095">
        <f>IF(EE143=0,0,(EF143-EE143)/EE143*100)</f>
        <v>0</v>
      </c>
      <c r="EH143" s="5247"/>
      <c r="EI143" s="5247"/>
      <c r="EJ143" s="1095">
        <f>IF(EH143=0,0,(EI143-EH143)/EH143*100)</f>
        <v>0</v>
      </c>
      <c r="EK143" s="5247"/>
      <c r="EL143" s="5247"/>
      <c r="EM143" s="1095">
        <f>IF(EK143=0,0,(EL143-EK143)/EK143*100)</f>
        <v>0</v>
      </c>
      <c r="EN143" s="5247"/>
      <c r="EO143" s="5247"/>
      <c r="EP143" s="1095">
        <f>IF(EN143=0,0,(EO143-EN143)/EN143*100)</f>
        <v>0</v>
      </c>
      <c r="EQ143" s="5247"/>
      <c r="ER143" s="5247"/>
      <c r="ES143" s="1095">
        <f>IF(EQ143=0,0,(ER143-EQ143)/EQ143*100)</f>
        <v>0</v>
      </c>
      <c r="ET143" s="5247"/>
      <c r="EU143" s="5247"/>
      <c r="EV143" s="1095">
        <f>IF(ET143=0,0,(EU143-ET143)/ET143*100)</f>
        <v>0</v>
      </c>
      <c r="EW143" s="5247"/>
      <c r="EX143" s="5247"/>
      <c r="EY143" s="1095">
        <f>IF(EW143=0,0,(EX143-EW143)/EW143*100)</f>
        <v>0</v>
      </c>
      <c r="EZ143" s="5247"/>
      <c r="FA143" s="5247"/>
      <c r="FB143" s="1095">
        <f>IF(EZ143=0,0,(FA143-EZ143)/EZ143*100)</f>
        <v>0</v>
      </c>
      <c r="FC143" s="5247"/>
      <c r="FD143" s="5247"/>
      <c r="FE143" s="1095">
        <f>IF(FC143=0,0,(FD143-FC143)/FC143*100)</f>
        <v>0</v>
      </c>
      <c r="FF143" s="5247"/>
      <c r="FG143" s="5247"/>
      <c r="FH143" s="1095">
        <f>IF(FF143=0,0,(FG143-FF143)/FF143*100)</f>
        <v>0</v>
      </c>
      <c r="FI143" s="5247"/>
      <c r="FJ143" s="5247"/>
      <c r="FK143" s="1095">
        <f>IF(FI143=0,0,(FJ143-FI143)/FI143*100)</f>
        <v>0</v>
      </c>
      <c r="FL143" s="5247"/>
      <c r="FM143" s="5247"/>
      <c r="FN143" s="1095">
        <f>IF(FL143=0,0,(FM143-FL143)/FL143*100)</f>
        <v>0</v>
      </c>
      <c r="FO143" s="5247"/>
      <c r="FP143" s="5247"/>
      <c r="FQ143" s="1095">
        <f>IF(FO143=0,0,(FP143-FO143)/FO143*100)</f>
        <v>0</v>
      </c>
      <c r="FR143" s="5247"/>
      <c r="FS143" s="5247"/>
      <c r="FT143" s="1095">
        <f>IF(FR143=0,0,(FS143-FR143)/FR143*100)</f>
        <v>0</v>
      </c>
      <c r="FU143" s="5247"/>
      <c r="FV143" s="5247"/>
      <c r="FW143" s="1095">
        <f>IF(FU143=0,0,(FV143-FU143)/FU143*100)</f>
        <v>0</v>
      </c>
      <c r="FZ143" s="1306" t="s">
        <v>2411</v>
      </c>
      <c r="GA143" s="1306" t="s">
        <v>1594</v>
      </c>
      <c r="GB143" s="1306" cm="1" t="str">
        <f t="array" ref="GB143:GB143">GB142</f>
        <v>0</v>
      </c>
    </row>
    <row customHeight="1" ht="23.25" hidden="1">
      <c r="A144" s="493"/>
      <c r="B144" s="925" cm="1" t="str">
        <f t="array" ref="B144:B144">B143</f>
        <v>false</v>
      </c>
      <c r="C144" s="493"/>
      <c r="D144" s="493"/>
      <c r="E144" s="840">
        <v>19</v>
      </c>
      <c r="F144" s="50" cm="1" t="str">
        <f t="array" ref="F144:F144">OFFSET(E144,-1,1)</f>
        <v>1</v>
      </c>
      <c r="G144" s="493"/>
      <c r="H144" s="493"/>
      <c r="I144" s="493"/>
      <c r="J144" s="493"/>
      <c r="K144" s="493"/>
      <c r="L144" s="493"/>
      <c r="M144" s="493"/>
      <c r="N144" s="493"/>
      <c r="O144" s="493"/>
      <c r="P144" s="493"/>
      <c r="Q144" s="493"/>
      <c r="R144" s="493"/>
      <c r="S144" s="493"/>
      <c r="T144" s="465" cm="1" t="str">
        <f t="array" ref="T144:T144">T143</f>
        <v>false</v>
      </c>
      <c r="U144" s="493"/>
      <c r="V144" s="493"/>
      <c r="W144" s="493"/>
      <c r="X144" s="1596"/>
      <c r="Y144" s="1596"/>
      <c r="Z144" s="1545"/>
      <c r="AA144" s="1494"/>
      <c r="AB144" s="904" t="str">
        <f>"ставка платы за содержание системы "&amp;IF(Q98="Водоснабжение","холодного водоснабжения","водоотведения")</f>
        <v>ставка платы за содержание системы водоотведения</v>
      </c>
      <c r="AC144" s="864" t="s">
        <v>2377</v>
      </c>
      <c r="AD144" s="2846"/>
      <c r="AE144" s="2846"/>
      <c r="AF144" s="1093">
        <f>IF(AD144=0,0,(AE144-AD144)/AD144*100)</f>
        <v>0</v>
      </c>
      <c r="AG144" s="2846"/>
      <c r="AH144" s="2846"/>
      <c r="AI144" s="1093">
        <f>IF(AG144=0,0,(AH144-AG144)/AG144*100)</f>
        <v>0</v>
      </c>
      <c r="AJ144" s="2846"/>
      <c r="AK144" s="2846"/>
      <c r="AL144" s="1093">
        <f>IF(AJ144=0,0,(AK144-AJ144)/AJ144*100)</f>
        <v>0</v>
      </c>
      <c r="AM144" s="2846"/>
      <c r="AN144" s="2846"/>
      <c r="AO144" s="1093">
        <f>IF(AM144=0,0,(AN144-AM144)/AM144*100)</f>
        <v>0</v>
      </c>
      <c r="AP144" s="2846"/>
      <c r="AQ144" s="2846"/>
      <c r="AR144" s="1093">
        <f>IF(AP144=0,0,(AQ144-AP144)/AP144*100)</f>
        <v>0</v>
      </c>
      <c r="AS144" s="2846"/>
      <c r="AT144" s="2846"/>
      <c r="AU144" s="1093">
        <f>IF(AS144=0,0,(AT144-AS144)/AS144*100)</f>
        <v>0</v>
      </c>
      <c r="AV144" s="2846"/>
      <c r="AW144" s="2846"/>
      <c r="AX144" s="1093">
        <f>IF(AV144=0,0,(AW144-AV144)/AV144*100)</f>
        <v>0</v>
      </c>
      <c r="AY144" s="2846"/>
      <c r="AZ144" s="2846"/>
      <c r="BA144" s="1093">
        <f>IF(AY144=0,0,(AZ144-AY144)/AY144*100)</f>
        <v>0</v>
      </c>
      <c r="BB144" s="2846"/>
      <c r="BC144" s="2846"/>
      <c r="BD144" s="1093">
        <f>IF(BB144=0,0,(BC144-BB144)/BB144*100)</f>
        <v>0</v>
      </c>
      <c r="BE144" s="2846"/>
      <c r="BF144" s="2846"/>
      <c r="BG144" s="1093">
        <f>IF(BE144=0,0,(BF144-BE144)/BE144*100)</f>
        <v>0</v>
      </c>
      <c r="BH144" s="2846"/>
      <c r="BI144" s="2846"/>
      <c r="BJ144" s="1093">
        <f>IF(BH144=0,0,(BI144-BH144)/BH144*100)</f>
        <v>0</v>
      </c>
      <c r="BK144" s="2846"/>
      <c r="BL144" s="2846"/>
      <c r="BM144" s="1093">
        <f>IF(BK144=0,0,(BL144-BK144)/BK144*100)</f>
        <v>0</v>
      </c>
      <c r="BN144" s="2846"/>
      <c r="BO144" s="2846"/>
      <c r="BP144" s="1093">
        <f>IF(BN144=0,0,(BO144-BN144)/BN144*100)</f>
        <v>0</v>
      </c>
      <c r="BQ144" s="2846"/>
      <c r="BR144" s="2846"/>
      <c r="BS144" s="1093">
        <f>IF(BQ144=0,0,(BR144-BQ144)/BQ144*100)</f>
        <v>0</v>
      </c>
      <c r="BT144" s="2846"/>
      <c r="BU144" s="2846"/>
      <c r="BV144" s="1093">
        <f>IF(BT144=0,0,(BU144-BT144)/BT144*100)</f>
        <v>0</v>
      </c>
      <c r="BW144" s="2846"/>
      <c r="BX144" s="2846"/>
      <c r="BY144" s="1093">
        <f>IF(BW144=0,0,(BX144-BW144)/BW144*100)</f>
        <v>0</v>
      </c>
      <c r="BZ144" s="2846"/>
      <c r="CA144" s="2846"/>
      <c r="CB144" s="1093">
        <f>IF(BZ144=0,0,(CA144-BZ144)/BZ144*100)</f>
        <v>0</v>
      </c>
      <c r="CC144" s="2846"/>
      <c r="CD144" s="2846"/>
      <c r="CE144" s="1093">
        <f>IF(CC144=0,0,(CD144-CC144)/CC144*100)</f>
        <v>0</v>
      </c>
      <c r="CF144" s="2846"/>
      <c r="CG144" s="2846"/>
      <c r="CH144" s="1093">
        <f>IF(CF144=0,0,(CG144-CF144)/CF144*100)</f>
        <v>0</v>
      </c>
      <c r="CI144" s="2846"/>
      <c r="CJ144" s="2846"/>
      <c r="CK144" s="1093">
        <f>IF(CI144=0,0,(CJ144-CI144)/CI144*100)</f>
        <v>0</v>
      </c>
      <c r="CL144" s="2846"/>
      <c r="CM144" s="2846"/>
      <c r="CN144" s="1093">
        <f>IF(CL144=0,0,(CM144-CL144)/CL144*100)</f>
        <v>0</v>
      </c>
      <c r="CO144" s="2846"/>
      <c r="CP144" s="2846"/>
      <c r="CQ144" s="1093">
        <f>IF(CO144=0,0,(CP144-CO144)/CO144*100)</f>
        <v>0</v>
      </c>
      <c r="CR144" s="2846"/>
      <c r="CS144" s="2846"/>
      <c r="CT144" s="1093">
        <f>IF(CR144=0,0,(CS144-CR144)/CR144*100)</f>
        <v>0</v>
      </c>
      <c r="CU144" s="2846"/>
      <c r="CV144" s="2846"/>
      <c r="CW144" s="1093">
        <f>IF(CU144=0,0,(CV144-CU144)/CU144*100)</f>
        <v>0</v>
      </c>
      <c r="CX144" s="2846"/>
      <c r="CY144" s="2846"/>
      <c r="CZ144" s="1093">
        <f>IF(CX144=0,0,(CY144-CX144)/CX144*100)</f>
        <v>0</v>
      </c>
      <c r="DA144" s="2846"/>
      <c r="DB144" s="2846"/>
      <c r="DC144" s="1093">
        <f>IF(DA144=0,0,(DB144-DA144)/DA144*100)</f>
        <v>0</v>
      </c>
      <c r="DD144" s="2846"/>
      <c r="DE144" s="2846"/>
      <c r="DF144" s="1093">
        <f>IF(DD144=0,0,(DE144-DD144)/DD144*100)</f>
        <v>0</v>
      </c>
      <c r="DG144" s="2846"/>
      <c r="DH144" s="2846"/>
      <c r="DI144" s="1093">
        <f>IF(DG144=0,0,(DH144-DG144)/DG144*100)</f>
        <v>0</v>
      </c>
      <c r="DJ144" s="2846"/>
      <c r="DK144" s="2846"/>
      <c r="DL144" s="1093">
        <f>IF(DJ144=0,0,(DK144-DJ144)/DJ144*100)</f>
        <v>0</v>
      </c>
      <c r="DM144" s="2846"/>
      <c r="DN144" s="2846"/>
      <c r="DO144" s="1093">
        <f>IF(DM144=0,0,(DN144-DM144)/DM144*100)</f>
        <v>0</v>
      </c>
      <c r="DP144" s="2846"/>
      <c r="DQ144" s="2846"/>
      <c r="DR144" s="1093">
        <f>IF(DP144=0,0,(DQ144-DP144)/DP144*100)</f>
        <v>0</v>
      </c>
      <c r="DS144" s="2846"/>
      <c r="DT144" s="2846"/>
      <c r="DU144" s="1093">
        <f>IF(DS144=0,0,(DT144-DS144)/DS144*100)</f>
        <v>0</v>
      </c>
      <c r="DV144" s="2846"/>
      <c r="DW144" s="2846"/>
      <c r="DX144" s="1093">
        <f>IF(DV144=0,0,(DW144-DV144)/DV144*100)</f>
        <v>0</v>
      </c>
      <c r="DY144" s="2846"/>
      <c r="DZ144" s="2846"/>
      <c r="EA144" s="1093">
        <f>IF(DY144=0,0,(DZ144-DY144)/DY144*100)</f>
        <v>0</v>
      </c>
      <c r="EB144" s="2846"/>
      <c r="EC144" s="2846"/>
      <c r="ED144" s="1093">
        <f>IF(EB144=0,0,(EC144-EB144)/EB144*100)</f>
        <v>0</v>
      </c>
      <c r="EE144" s="2846"/>
      <c r="EF144" s="2846"/>
      <c r="EG144" s="1093">
        <f>IF(EE144=0,0,(EF144-EE144)/EE144*100)</f>
        <v>0</v>
      </c>
      <c r="EH144" s="2846"/>
      <c r="EI144" s="2846"/>
      <c r="EJ144" s="1093">
        <f>IF(EH144=0,0,(EI144-EH144)/EH144*100)</f>
        <v>0</v>
      </c>
      <c r="EK144" s="2846"/>
      <c r="EL144" s="2846"/>
      <c r="EM144" s="1093">
        <f>IF(EK144=0,0,(EL144-EK144)/EK144*100)</f>
        <v>0</v>
      </c>
      <c r="EN144" s="2846"/>
      <c r="EO144" s="2846"/>
      <c r="EP144" s="1093">
        <f>IF(EN144=0,0,(EO144-EN144)/EN144*100)</f>
        <v>0</v>
      </c>
      <c r="EQ144" s="2846"/>
      <c r="ER144" s="2846"/>
      <c r="ES144" s="1093">
        <f>IF(EQ144=0,0,(ER144-EQ144)/EQ144*100)</f>
        <v>0</v>
      </c>
      <c r="ET144" s="2846"/>
      <c r="EU144" s="2846"/>
      <c r="EV144" s="1093">
        <f>IF(ET144=0,0,(EU144-ET144)/ET144*100)</f>
        <v>0</v>
      </c>
      <c r="EW144" s="2846"/>
      <c r="EX144" s="2846"/>
      <c r="EY144" s="1093">
        <f>IF(EW144=0,0,(EX144-EW144)/EW144*100)</f>
        <v>0</v>
      </c>
      <c r="EZ144" s="2846"/>
      <c r="FA144" s="2846"/>
      <c r="FB144" s="1093">
        <f>IF(EZ144=0,0,(FA144-EZ144)/EZ144*100)</f>
        <v>0</v>
      </c>
      <c r="FC144" s="2846"/>
      <c r="FD144" s="2846"/>
      <c r="FE144" s="1093">
        <f>IF(FC144=0,0,(FD144-FC144)/FC144*100)</f>
        <v>0</v>
      </c>
      <c r="FF144" s="2846"/>
      <c r="FG144" s="2846"/>
      <c r="FH144" s="1093">
        <f>IF(FF144=0,0,(FG144-FF144)/FF144*100)</f>
        <v>0</v>
      </c>
      <c r="FI144" s="2846"/>
      <c r="FJ144" s="2846"/>
      <c r="FK144" s="1093">
        <f>IF(FI144=0,0,(FJ144-FI144)/FI144*100)</f>
        <v>0</v>
      </c>
      <c r="FL144" s="2846"/>
      <c r="FM144" s="2846"/>
      <c r="FN144" s="1093">
        <f>IF(FL144=0,0,(FM144-FL144)/FL144*100)</f>
        <v>0</v>
      </c>
      <c r="FO144" s="2846"/>
      <c r="FP144" s="2846"/>
      <c r="FQ144" s="1093">
        <f>IF(FO144=0,0,(FP144-FO144)/FO144*100)</f>
        <v>0</v>
      </c>
      <c r="FR144" s="2846"/>
      <c r="FS144" s="2846"/>
      <c r="FT144" s="1093">
        <f>IF(FR144=0,0,(FS144-FR144)/FR144*100)</f>
        <v>0</v>
      </c>
      <c r="FU144" s="2846"/>
      <c r="FV144" s="2846"/>
      <c r="FW144" s="1093">
        <f>IF(FU144=0,0,(FV144-FU144)/FU144*100)</f>
        <v>0</v>
      </c>
      <c r="FZ144" s="1306" t="s">
        <v>2412</v>
      </c>
      <c r="GA144" s="1306" t="s">
        <v>1594</v>
      </c>
      <c r="GB144" s="1306" cm="1" t="str">
        <f t="array" ref="GB144:GB144">GB143</f>
        <v>0</v>
      </c>
    </row>
    <row customHeight="1" ht="18.525" hidden="1">
      <c r="A145" s="493"/>
      <c r="B145" s="925" cm="1" t="str">
        <f t="array" ref="B145:B145">B144</f>
        <v>false</v>
      </c>
      <c r="C145" s="493"/>
      <c r="D145" s="493"/>
      <c r="E145" s="840">
        <v>19</v>
      </c>
      <c r="F145" s="50" cm="1" t="str">
        <f t="array" ref="F145:F145">OFFSET(E145,-1,1)</f>
        <v>1</v>
      </c>
      <c r="G145" s="493"/>
      <c r="H145" s="493"/>
      <c r="I145" s="493"/>
      <c r="J145" s="493"/>
      <c r="K145" s="493"/>
      <c r="L145" s="493"/>
      <c r="M145" s="493"/>
      <c r="N145" s="493"/>
      <c r="O145" s="493"/>
      <c r="P145" s="493"/>
      <c r="Q145" s="493"/>
      <c r="R145" s="493"/>
      <c r="S145" s="493"/>
      <c r="T145" s="465" cm="1" t="str">
        <f t="array" ref="T145:T145">T144</f>
        <v>false</v>
      </c>
      <c r="U145" s="493"/>
      <c r="V145" s="493"/>
      <c r="W145" s="493"/>
      <c r="X145" s="1596"/>
      <c r="Y145" s="1596"/>
      <c r="Z145" s="1545"/>
      <c r="AA145" s="1494"/>
      <c r="AB145" s="904" t="s">
        <v>2380</v>
      </c>
      <c r="AC145" s="864" t="s">
        <v>2381</v>
      </c>
      <c r="AD145" s="2846"/>
      <c r="AE145" s="2846"/>
      <c r="AF145" s="1093">
        <f>IF(AD145=0,0,(AE145-AD145)/AD145*100)</f>
        <v>0</v>
      </c>
      <c r="AG145" s="2846"/>
      <c r="AH145" s="2846"/>
      <c r="AI145" s="1093">
        <f>IF(AG145=0,0,(AH145-AG145)/AG145*100)</f>
        <v>0</v>
      </c>
      <c r="AJ145" s="2846"/>
      <c r="AK145" s="2846"/>
      <c r="AL145" s="1093">
        <f>IF(AJ145=0,0,(AK145-AJ145)/AJ145*100)</f>
        <v>0</v>
      </c>
      <c r="AM145" s="2846"/>
      <c r="AN145" s="2846"/>
      <c r="AO145" s="1093">
        <f>IF(AM145=0,0,(AN145-AM145)/AM145*100)</f>
        <v>0</v>
      </c>
      <c r="AP145" s="2846"/>
      <c r="AQ145" s="2846"/>
      <c r="AR145" s="1093">
        <f>IF(AP145=0,0,(AQ145-AP145)/AP145*100)</f>
        <v>0</v>
      </c>
      <c r="AS145" s="2846"/>
      <c r="AT145" s="2846"/>
      <c r="AU145" s="1093">
        <f>IF(AS145=0,0,(AT145-AS145)/AS145*100)</f>
        <v>0</v>
      </c>
      <c r="AV145" s="2846"/>
      <c r="AW145" s="2846"/>
      <c r="AX145" s="1093">
        <f>IF(AV145=0,0,(AW145-AV145)/AV145*100)</f>
        <v>0</v>
      </c>
      <c r="AY145" s="2846"/>
      <c r="AZ145" s="2846"/>
      <c r="BA145" s="1093">
        <f>IF(AY145=0,0,(AZ145-AY145)/AY145*100)</f>
        <v>0</v>
      </c>
      <c r="BB145" s="2846"/>
      <c r="BC145" s="2846"/>
      <c r="BD145" s="1093">
        <f>IF(BB145=0,0,(BC145-BB145)/BB145*100)</f>
        <v>0</v>
      </c>
      <c r="BE145" s="2846"/>
      <c r="BF145" s="2846"/>
      <c r="BG145" s="1093">
        <f>IF(BE145=0,0,(BF145-BE145)/BE145*100)</f>
        <v>0</v>
      </c>
      <c r="BH145" s="2846"/>
      <c r="BI145" s="2846"/>
      <c r="BJ145" s="1093">
        <f>IF(BH145=0,0,(BI145-BH145)/BH145*100)</f>
        <v>0</v>
      </c>
      <c r="BK145" s="2846"/>
      <c r="BL145" s="2846"/>
      <c r="BM145" s="1093">
        <f>IF(BK145=0,0,(BL145-BK145)/BK145*100)</f>
        <v>0</v>
      </c>
      <c r="BN145" s="2846"/>
      <c r="BO145" s="2846"/>
      <c r="BP145" s="1093">
        <f>IF(BN145=0,0,(BO145-BN145)/BN145*100)</f>
        <v>0</v>
      </c>
      <c r="BQ145" s="2846"/>
      <c r="BR145" s="2846"/>
      <c r="BS145" s="1093">
        <f>IF(BQ145=0,0,(BR145-BQ145)/BQ145*100)</f>
        <v>0</v>
      </c>
      <c r="BT145" s="2846"/>
      <c r="BU145" s="2846"/>
      <c r="BV145" s="1093">
        <f>IF(BT145=0,0,(BU145-BT145)/BT145*100)</f>
        <v>0</v>
      </c>
      <c r="BW145" s="2846"/>
      <c r="BX145" s="2846"/>
      <c r="BY145" s="1093">
        <f>IF(BW145=0,0,(BX145-BW145)/BW145*100)</f>
        <v>0</v>
      </c>
      <c r="BZ145" s="2846"/>
      <c r="CA145" s="2846"/>
      <c r="CB145" s="1093">
        <f>IF(BZ145=0,0,(CA145-BZ145)/BZ145*100)</f>
        <v>0</v>
      </c>
      <c r="CC145" s="2846"/>
      <c r="CD145" s="2846"/>
      <c r="CE145" s="1093">
        <f>IF(CC145=0,0,(CD145-CC145)/CC145*100)</f>
        <v>0</v>
      </c>
      <c r="CF145" s="2846"/>
      <c r="CG145" s="2846"/>
      <c r="CH145" s="1093">
        <f>IF(CF145=0,0,(CG145-CF145)/CF145*100)</f>
        <v>0</v>
      </c>
      <c r="CI145" s="2846"/>
      <c r="CJ145" s="2846"/>
      <c r="CK145" s="1093">
        <f>IF(CI145=0,0,(CJ145-CI145)/CI145*100)</f>
        <v>0</v>
      </c>
      <c r="CL145" s="2846"/>
      <c r="CM145" s="2846"/>
      <c r="CN145" s="1093">
        <f>IF(CL145=0,0,(CM145-CL145)/CL145*100)</f>
        <v>0</v>
      </c>
      <c r="CO145" s="2846"/>
      <c r="CP145" s="2846"/>
      <c r="CQ145" s="1093">
        <f>IF(CO145=0,0,(CP145-CO145)/CO145*100)</f>
        <v>0</v>
      </c>
      <c r="CR145" s="2846"/>
      <c r="CS145" s="2846"/>
      <c r="CT145" s="1093">
        <f>IF(CR145=0,0,(CS145-CR145)/CR145*100)</f>
        <v>0</v>
      </c>
      <c r="CU145" s="2846"/>
      <c r="CV145" s="2846"/>
      <c r="CW145" s="1093">
        <f>IF(CU145=0,0,(CV145-CU145)/CU145*100)</f>
        <v>0</v>
      </c>
      <c r="CX145" s="2846"/>
      <c r="CY145" s="2846"/>
      <c r="CZ145" s="1093">
        <f>IF(CX145=0,0,(CY145-CX145)/CX145*100)</f>
        <v>0</v>
      </c>
      <c r="DA145" s="2846"/>
      <c r="DB145" s="2846"/>
      <c r="DC145" s="1093">
        <f>IF(DA145=0,0,(DB145-DA145)/DA145*100)</f>
        <v>0</v>
      </c>
      <c r="DD145" s="2846"/>
      <c r="DE145" s="2846"/>
      <c r="DF145" s="1093">
        <f>IF(DD145=0,0,(DE145-DD145)/DD145*100)</f>
        <v>0</v>
      </c>
      <c r="DG145" s="2846"/>
      <c r="DH145" s="2846"/>
      <c r="DI145" s="1093">
        <f>IF(DG145=0,0,(DH145-DG145)/DG145*100)</f>
        <v>0</v>
      </c>
      <c r="DJ145" s="2846"/>
      <c r="DK145" s="2846"/>
      <c r="DL145" s="1093">
        <f>IF(DJ145=0,0,(DK145-DJ145)/DJ145*100)</f>
        <v>0</v>
      </c>
      <c r="DM145" s="2846"/>
      <c r="DN145" s="2846"/>
      <c r="DO145" s="1093">
        <f>IF(DM145=0,0,(DN145-DM145)/DM145*100)</f>
        <v>0</v>
      </c>
      <c r="DP145" s="2846"/>
      <c r="DQ145" s="2846"/>
      <c r="DR145" s="1093">
        <f>IF(DP145=0,0,(DQ145-DP145)/DP145*100)</f>
        <v>0</v>
      </c>
      <c r="DS145" s="2846"/>
      <c r="DT145" s="2846"/>
      <c r="DU145" s="1093">
        <f>IF(DS145=0,0,(DT145-DS145)/DS145*100)</f>
        <v>0</v>
      </c>
      <c r="DV145" s="2846"/>
      <c r="DW145" s="2846"/>
      <c r="DX145" s="1093">
        <f>IF(DV145=0,0,(DW145-DV145)/DV145*100)</f>
        <v>0</v>
      </c>
      <c r="DY145" s="2846"/>
      <c r="DZ145" s="2846"/>
      <c r="EA145" s="1093">
        <f>IF(DY145=0,0,(DZ145-DY145)/DY145*100)</f>
        <v>0</v>
      </c>
      <c r="EB145" s="2846"/>
      <c r="EC145" s="2846"/>
      <c r="ED145" s="1093">
        <f>IF(EB145=0,0,(EC145-EB145)/EB145*100)</f>
        <v>0</v>
      </c>
      <c r="EE145" s="2846"/>
      <c r="EF145" s="2846"/>
      <c r="EG145" s="1093">
        <f>IF(EE145=0,0,(EF145-EE145)/EE145*100)</f>
        <v>0</v>
      </c>
      <c r="EH145" s="2846"/>
      <c r="EI145" s="2846"/>
      <c r="EJ145" s="1093">
        <f>IF(EH145=0,0,(EI145-EH145)/EH145*100)</f>
        <v>0</v>
      </c>
      <c r="EK145" s="2846"/>
      <c r="EL145" s="2846"/>
      <c r="EM145" s="1093">
        <f>IF(EK145=0,0,(EL145-EK145)/EK145*100)</f>
        <v>0</v>
      </c>
      <c r="EN145" s="2846"/>
      <c r="EO145" s="2846"/>
      <c r="EP145" s="1093">
        <f>IF(EN145=0,0,(EO145-EN145)/EN145*100)</f>
        <v>0</v>
      </c>
      <c r="EQ145" s="2846"/>
      <c r="ER145" s="2846"/>
      <c r="ES145" s="1093">
        <f>IF(EQ145=0,0,(ER145-EQ145)/EQ145*100)</f>
        <v>0</v>
      </c>
      <c r="ET145" s="2846"/>
      <c r="EU145" s="2846"/>
      <c r="EV145" s="1093">
        <f>IF(ET145=0,0,(EU145-ET145)/ET145*100)</f>
        <v>0</v>
      </c>
      <c r="EW145" s="2846"/>
      <c r="EX145" s="2846"/>
      <c r="EY145" s="1093">
        <f>IF(EW145=0,0,(EX145-EW145)/EW145*100)</f>
        <v>0</v>
      </c>
      <c r="EZ145" s="2846"/>
      <c r="FA145" s="2846"/>
      <c r="FB145" s="1093">
        <f>IF(EZ145=0,0,(FA145-EZ145)/EZ145*100)</f>
        <v>0</v>
      </c>
      <c r="FC145" s="2846"/>
      <c r="FD145" s="2846"/>
      <c r="FE145" s="1093">
        <f>IF(FC145=0,0,(FD145-FC145)/FC145*100)</f>
        <v>0</v>
      </c>
      <c r="FF145" s="2846"/>
      <c r="FG145" s="2846"/>
      <c r="FH145" s="1093">
        <f>IF(FF145=0,0,(FG145-FF145)/FF145*100)</f>
        <v>0</v>
      </c>
      <c r="FI145" s="2846"/>
      <c r="FJ145" s="2846"/>
      <c r="FK145" s="1093">
        <f>IF(FI145=0,0,(FJ145-FI145)/FI145*100)</f>
        <v>0</v>
      </c>
      <c r="FL145" s="2846"/>
      <c r="FM145" s="2846"/>
      <c r="FN145" s="1093">
        <f>IF(FL145=0,0,(FM145-FL145)/FL145*100)</f>
        <v>0</v>
      </c>
      <c r="FO145" s="2846"/>
      <c r="FP145" s="2846"/>
      <c r="FQ145" s="1093">
        <f>IF(FO145=0,0,(FP145-FO145)/FO145*100)</f>
        <v>0</v>
      </c>
      <c r="FR145" s="2846"/>
      <c r="FS145" s="2846"/>
      <c r="FT145" s="1093">
        <f>IF(FR145=0,0,(FS145-FR145)/FR145*100)</f>
        <v>0</v>
      </c>
      <c r="FU145" s="2846"/>
      <c r="FV145" s="2846"/>
      <c r="FW145" s="1093">
        <f>IF(FU145=0,0,(FV145-FU145)/FU145*100)</f>
        <v>0</v>
      </c>
      <c r="FZ145" s="1306" t="s">
        <v>2413</v>
      </c>
      <c r="GA145" s="1306" t="s">
        <v>1594</v>
      </c>
      <c r="GB145" s="1306" cm="1" t="str">
        <f t="array" ref="GB145:GB145">GB144</f>
        <v>0</v>
      </c>
    </row>
    <row s="1834" customFormat="1" customHeight="1" ht="14.25" hidden="1">
      <c r="A146" s="493"/>
      <c r="B146" s="925" cm="1" t="str">
        <f t="array" ref="B146:B146">B139</f>
        <v>false</v>
      </c>
      <c r="C146" s="493"/>
      <c r="D146" s="493"/>
      <c r="E146" s="840">
        <v>15</v>
      </c>
      <c r="F146" s="50" cm="1" t="str">
        <f t="array" ref="F146:F146">OFFSET(E146,-1,1)</f>
        <v>1</v>
      </c>
      <c r="G146" s="493"/>
      <c r="H146" s="493"/>
      <c r="I146" s="98" t="s">
        <v>2414</v>
      </c>
      <c r="J146" s="493"/>
      <c r="K146" s="493"/>
      <c r="L146" s="493"/>
      <c r="M146" s="493"/>
      <c r="N146" s="493"/>
      <c r="O146" s="493"/>
      <c r="P146" s="493"/>
      <c r="Q146" s="493"/>
      <c r="R146" s="493"/>
      <c r="S146" s="493"/>
      <c r="T146" s="465">
        <f>F146&gt;0</f>
        <v>1</v>
      </c>
      <c r="U146" s="493"/>
      <c r="V146" s="1304"/>
      <c r="W146" s="757" t="s">
        <v>2367</v>
      </c>
      <c r="X146" s="1596"/>
      <c r="Y146" s="1304"/>
      <c r="Z146" s="1545"/>
      <c r="AA146" s="1304"/>
      <c r="AB146" s="260" t="s">
        <v>178</v>
      </c>
      <c r="AC146" s="264"/>
      <c r="AD146" s="1098"/>
      <c r="AE146" s="1098"/>
      <c r="AF146" s="1098"/>
      <c r="AG146" s="1098"/>
      <c r="AH146" s="1098"/>
      <c r="AI146" s="1098"/>
      <c r="AJ146" s="1098"/>
      <c r="AK146" s="1098"/>
      <c r="AL146" s="1098"/>
      <c r="AM146" s="1098"/>
      <c r="AN146" s="1098"/>
      <c r="AO146" s="1098"/>
      <c r="AP146" s="1098"/>
      <c r="AQ146" s="1098"/>
      <c r="AR146" s="1098"/>
      <c r="AS146" s="1098"/>
      <c r="AT146" s="1098"/>
      <c r="AU146" s="1098"/>
      <c r="AV146" s="1098"/>
      <c r="AW146" s="1098"/>
      <c r="AX146" s="1098"/>
      <c r="AY146" s="1098"/>
      <c r="AZ146" s="1098"/>
      <c r="BA146" s="1098"/>
      <c r="BB146" s="1098"/>
      <c r="BC146" s="1098"/>
      <c r="BD146" s="1098"/>
      <c r="BE146" s="1098"/>
      <c r="BF146" s="1098"/>
      <c r="BG146" s="1098"/>
      <c r="BH146" s="1098"/>
      <c r="BI146" s="1098"/>
      <c r="BJ146" s="1098"/>
      <c r="BK146" s="1098"/>
      <c r="BL146" s="1098"/>
      <c r="BM146" s="1098"/>
      <c r="BN146" s="1098"/>
      <c r="BO146" s="1098"/>
      <c r="BP146" s="1098"/>
      <c r="BQ146" s="1098"/>
      <c r="BR146" s="1098"/>
      <c r="BS146" s="1098"/>
      <c r="BT146" s="1098"/>
      <c r="BU146" s="1098"/>
      <c r="BV146" s="1098"/>
      <c r="BW146" s="1098"/>
      <c r="BX146" s="1098"/>
      <c r="BY146" s="1098"/>
      <c r="BZ146" s="1098"/>
      <c r="CA146" s="1098"/>
      <c r="CB146" s="1098"/>
      <c r="CC146" s="1098"/>
      <c r="CD146" s="1098"/>
      <c r="CE146" s="1098"/>
      <c r="CF146" s="1098"/>
      <c r="CG146" s="1098"/>
      <c r="CH146" s="1098"/>
      <c r="CI146" s="1098"/>
      <c r="CJ146" s="1098"/>
      <c r="CK146" s="1098"/>
      <c r="CL146" s="1098"/>
      <c r="CM146" s="1098"/>
      <c r="CN146" s="1098"/>
      <c r="CO146" s="1098"/>
      <c r="CP146" s="1098"/>
      <c r="CQ146" s="1098"/>
      <c r="CR146" s="1098"/>
      <c r="CS146" s="1098"/>
      <c r="CT146" s="1098"/>
      <c r="CU146" s="1098"/>
      <c r="CV146" s="1098"/>
      <c r="CW146" s="1098"/>
      <c r="CX146" s="1098"/>
      <c r="CY146" s="1098"/>
      <c r="CZ146" s="1098"/>
      <c r="DA146" s="1098"/>
      <c r="DB146" s="1098"/>
      <c r="DC146" s="1098"/>
      <c r="DD146" s="1098"/>
      <c r="DE146" s="1098"/>
      <c r="DF146" s="1098"/>
      <c r="DG146" s="1098"/>
      <c r="DH146" s="1098"/>
      <c r="DI146" s="1098"/>
      <c r="DJ146" s="1098"/>
      <c r="DK146" s="1098"/>
      <c r="DL146" s="1098"/>
      <c r="DM146" s="1098"/>
      <c r="DN146" s="1098"/>
      <c r="DO146" s="1098"/>
      <c r="DP146" s="1098"/>
      <c r="DQ146" s="1098"/>
      <c r="DR146" s="1098"/>
      <c r="DS146" s="1098"/>
      <c r="DT146" s="1098"/>
      <c r="DU146" s="1098"/>
      <c r="DV146" s="1098"/>
      <c r="DW146" s="1098"/>
      <c r="DX146" s="1098"/>
      <c r="DY146" s="1098"/>
      <c r="DZ146" s="1098"/>
      <c r="EA146" s="1098"/>
      <c r="EB146" s="1098"/>
      <c r="EC146" s="1098"/>
      <c r="ED146" s="1098"/>
      <c r="EE146" s="1098"/>
      <c r="EF146" s="1098"/>
      <c r="EG146" s="1098"/>
      <c r="EH146" s="1098"/>
      <c r="EI146" s="1098"/>
      <c r="EJ146" s="1098"/>
      <c r="EK146" s="1098"/>
      <c r="EL146" s="1098"/>
      <c r="EM146" s="1098"/>
      <c r="EN146" s="1098"/>
      <c r="EO146" s="1098"/>
      <c r="EP146" s="1098"/>
      <c r="EQ146" s="1098"/>
      <c r="ER146" s="1098"/>
      <c r="ES146" s="1098"/>
      <c r="ET146" s="1098"/>
      <c r="EU146" s="1098"/>
      <c r="EV146" s="1098"/>
      <c r="EW146" s="1098"/>
      <c r="EX146" s="1098"/>
      <c r="EY146" s="1098"/>
      <c r="EZ146" s="1098"/>
      <c r="FA146" s="1098"/>
      <c r="FB146" s="1098"/>
      <c r="FC146" s="1098"/>
      <c r="FD146" s="1098"/>
      <c r="FE146" s="1098"/>
      <c r="FF146" s="1098"/>
      <c r="FG146" s="1098"/>
      <c r="FH146" s="1098"/>
      <c r="FI146" s="1098"/>
      <c r="FJ146" s="1098"/>
      <c r="FK146" s="1098"/>
      <c r="FL146" s="1098"/>
      <c r="FM146" s="1098"/>
      <c r="FN146" s="1098"/>
      <c r="FO146" s="1098"/>
      <c r="FP146" s="1098"/>
      <c r="FQ146" s="1098"/>
      <c r="FR146" s="1098"/>
      <c r="FS146" s="1098"/>
      <c r="FT146" s="1098"/>
      <c r="FU146" s="1098"/>
      <c r="FV146" s="1098"/>
      <c r="FW146" s="1099"/>
      <c r="FX146" s="1304"/>
      <c r="FY146" s="1304"/>
      <c r="FZ146" s="1055" t="s">
        <v>227</v>
      </c>
      <c r="GA146" s="1306"/>
      <c r="GB146" s="1306"/>
      <c r="GC146" s="632" t="s">
        <v>1594</v>
      </c>
      <c r="GD146" s="1305"/>
    </row>
    <row s="1834" customFormat="1" customHeight="1" ht="11.25" hidden="1">
      <c r="A147" s="482"/>
      <c r="B147" s="925"/>
      <c r="C147" s="482"/>
      <c r="D147" s="482"/>
      <c r="E147" s="866">
        <v>0</v>
      </c>
      <c r="F147" s="1175" cm="1" t="str">
        <f t="array" ref="F147:F147">OFFSET(E147,-1,1)</f>
        <v>1</v>
      </c>
      <c r="G147" s="482"/>
      <c r="H147" s="482"/>
      <c r="I147" s="482"/>
      <c r="J147" s="482"/>
      <c r="K147" s="482"/>
      <c r="L147" s="482"/>
      <c r="M147" s="482"/>
      <c r="N147" s="482"/>
      <c r="O147" s="482"/>
      <c r="P147" s="482"/>
      <c r="Q147" s="482"/>
      <c r="R147" s="482"/>
      <c r="S147" s="482"/>
      <c r="T147" s="465" t="b">
        <v>0</v>
      </c>
      <c r="U147" s="482"/>
      <c r="V147" s="482"/>
      <c r="W147" s="482"/>
      <c r="X147" s="1596"/>
      <c r="Y147" s="482"/>
      <c r="Z147" s="1545"/>
      <c r="AA147" s="482"/>
      <c r="AB147" s="0"/>
      <c r="AC147" s="482"/>
      <c r="AD147" s="1108"/>
      <c r="AE147" s="1108"/>
      <c r="AF147" s="1108"/>
      <c r="AG147" s="0"/>
      <c r="AH147" s="0"/>
      <c r="AI147" s="0"/>
      <c r="AJ147" s="0"/>
      <c r="AK147" s="0"/>
      <c r="AL147" s="0"/>
      <c r="AM147" s="0"/>
      <c r="AN147" s="0"/>
      <c r="AO147" s="0"/>
      <c r="AP147" s="0"/>
      <c r="AQ147" s="0"/>
      <c r="AR147" s="0"/>
      <c r="AS147" s="0"/>
      <c r="AT147" s="0"/>
      <c r="AU147" s="0"/>
      <c r="AV147" s="0"/>
      <c r="AW147" s="0"/>
      <c r="AX147" s="0"/>
      <c r="AY147" s="0"/>
      <c r="AZ147" s="0"/>
      <c r="BA147" s="0"/>
      <c r="BB147" s="0"/>
      <c r="BC147" s="0"/>
      <c r="BD147" s="0"/>
      <c r="BE147" s="0"/>
      <c r="BF147" s="0"/>
      <c r="BG147" s="0"/>
      <c r="BH147" s="0"/>
      <c r="BI147" s="0"/>
      <c r="BJ147" s="0"/>
      <c r="BK147" s="0"/>
      <c r="BL147" s="0"/>
      <c r="BM147" s="0"/>
      <c r="BN147" s="0"/>
      <c r="BO147" s="0"/>
      <c r="BP147" s="0"/>
      <c r="BQ147" s="0"/>
      <c r="BR147" s="0"/>
      <c r="BS147" s="0"/>
      <c r="BT147" s="0"/>
      <c r="BU147" s="0"/>
      <c r="BV147" s="0"/>
      <c r="BW147" s="0"/>
      <c r="BX147" s="0"/>
      <c r="BY147" s="0"/>
      <c r="BZ147" s="0"/>
      <c r="CA147" s="0"/>
      <c r="CB147" s="0"/>
      <c r="CC147" s="0"/>
      <c r="CD147" s="0"/>
      <c r="CE147" s="0"/>
      <c r="CF147" s="0"/>
      <c r="CG147" s="0"/>
      <c r="CH147" s="0"/>
      <c r="CI147" s="0"/>
      <c r="CJ147" s="0"/>
      <c r="CK147" s="0"/>
      <c r="CL147" s="0"/>
      <c r="CM147" s="0"/>
      <c r="CN147" s="0"/>
      <c r="CO147" s="0"/>
      <c r="CP147" s="0"/>
      <c r="CQ147" s="0"/>
      <c r="CR147" s="0"/>
      <c r="CS147" s="0"/>
      <c r="CT147" s="0"/>
      <c r="CU147" s="0"/>
      <c r="CV147" s="0"/>
      <c r="CW147" s="0"/>
      <c r="CX147" s="0"/>
      <c r="CY147" s="0"/>
      <c r="CZ147" s="0"/>
      <c r="DA147" s="0"/>
      <c r="DB147" s="0"/>
      <c r="DC147" s="0"/>
      <c r="DD147" s="0"/>
      <c r="DE147" s="0"/>
      <c r="DF147" s="0"/>
      <c r="DG147" s="0"/>
      <c r="DH147" s="0"/>
      <c r="DI147" s="0"/>
      <c r="DJ147" s="0"/>
      <c r="DK147" s="0"/>
      <c r="DL147" s="0"/>
      <c r="DM147" s="0"/>
      <c r="DN147" s="0"/>
      <c r="DO147" s="0"/>
      <c r="DP147" s="0"/>
      <c r="DQ147" s="0"/>
      <c r="DR147" s="0"/>
      <c r="DS147" s="0"/>
      <c r="DT147" s="0"/>
      <c r="DU147" s="0"/>
      <c r="DV147" s="0"/>
      <c r="DW147" s="0"/>
      <c r="DX147" s="0"/>
      <c r="DY147" s="0"/>
      <c r="DZ147" s="0"/>
      <c r="EA147" s="0"/>
      <c r="EB147" s="0"/>
      <c r="EC147" s="0"/>
      <c r="ED147" s="0"/>
      <c r="EE147" s="0"/>
      <c r="EF147" s="0"/>
      <c r="EG147" s="0"/>
      <c r="EH147" s="0"/>
      <c r="EI147" s="0"/>
      <c r="EJ147" s="0"/>
      <c r="EK147" s="0"/>
      <c r="EL147" s="0"/>
      <c r="EM147" s="0"/>
      <c r="EN147" s="0"/>
      <c r="EO147" s="0"/>
      <c r="EP147" s="0"/>
      <c r="EQ147" s="0"/>
      <c r="ER147" s="0"/>
      <c r="ES147" s="0"/>
      <c r="ET147" s="0"/>
      <c r="EU147" s="0"/>
      <c r="EV147" s="0"/>
      <c r="EW147" s="0"/>
      <c r="EX147" s="0"/>
      <c r="EY147" s="0"/>
      <c r="EZ147" s="0"/>
      <c r="FA147" s="0"/>
      <c r="FB147" s="0"/>
      <c r="FC147" s="0"/>
      <c r="FD147" s="0"/>
      <c r="FE147" s="0"/>
      <c r="FF147" s="0"/>
      <c r="FG147" s="0"/>
      <c r="FH147" s="0"/>
      <c r="FI147" s="0"/>
      <c r="FJ147" s="0"/>
      <c r="FK147" s="0"/>
      <c r="FL147" s="0"/>
      <c r="FM147" s="0"/>
      <c r="FN147" s="0"/>
      <c r="FO147" s="0"/>
      <c r="FP147" s="0"/>
      <c r="FQ147" s="0"/>
      <c r="FR147" s="0"/>
      <c r="FS147" s="0"/>
      <c r="FT147" s="0"/>
      <c r="FU147" s="0"/>
      <c r="FV147" s="0"/>
      <c r="FW147" s="0"/>
      <c r="FX147" s="1834"/>
      <c r="FY147" s="1834"/>
      <c r="FZ147" s="1055" t="s">
        <v>227</v>
      </c>
      <c r="GA147" s="1019"/>
      <c r="GB147" s="1058"/>
      <c r="GC147" s="686"/>
      <c r="GD147" s="686"/>
    </row>
    <row s="5589" customFormat="1" customHeight="1" ht="23.25" hidden="1">
      <c r="A148" s="897"/>
      <c r="B148" s="925" cm="1" t="str">
        <f t="array" ref="B148:B148">S92</f>
        <v>false</v>
      </c>
      <c r="C148" s="897"/>
      <c r="D148" s="897"/>
      <c r="E148" s="840">
        <v>24.5</v>
      </c>
      <c r="F148" s="50" cm="1" t="str">
        <f t="array" ref="F148:F148">OFFSET(E148,-1,1)</f>
        <v>1</v>
      </c>
      <c r="G148" s="107" t="s">
        <v>2334</v>
      </c>
      <c r="H148" s="493" t="s">
        <v>1175</v>
      </c>
      <c r="I148" s="493" t="s">
        <v>2415</v>
      </c>
      <c r="J148" s="897"/>
      <c r="K148" s="897"/>
      <c r="L148" s="897"/>
      <c r="M148" s="897"/>
      <c r="N148" s="897"/>
      <c r="O148" s="897"/>
      <c r="P148" s="897"/>
      <c r="Q148" s="897"/>
      <c r="R148" s="897"/>
      <c r="S148" s="493"/>
      <c r="T148" s="465" cm="1" t="str">
        <f t="array" ref="T148:T148">T146</f>
        <v>true</v>
      </c>
      <c r="U148" s="897"/>
      <c r="V148" s="897"/>
      <c r="W148" s="897"/>
      <c r="X148" s="1596"/>
      <c r="Y148" s="897"/>
      <c r="Z148" s="1545"/>
      <c r="AA148" s="897"/>
      <c r="AB148" s="219" t="s">
        <v>2416</v>
      </c>
      <c r="AC148" s="234" t="s">
        <v>2337</v>
      </c>
      <c r="AD148" s="5272">
        <f>IF(AND(method_reg="Метод индексации",god&lt;&gt;first_year),_xlfn.SUMIFS(INDEX('Калькуляция (МИ корр)'!$AJ$25:$BC$747,,MATCH(AD$8,'Калькуляция (МИ корр)'!$AJ$8:$BC$8,0)),'Калькуляция (МИ корр)'!$F$25:$F$747,$F148,'Калькуляция (МИ корр)'!$G$25:$G$747,$G148),IF(method_reg="Метод экономически обоснованных расходов",_xlfn.SUMIFS('Калькуляция (МЭОР)'!$AJ$25:$AJ$452,'Калькуляция (МЭОР)'!$F$25:$F$452,$F148,'Калькуляция (МЭОР)'!$G$25:$G$452,$G148),IF(method_reg="Метод сравнения аналогов",_xlfn.SUMIFS('Калькуляция (МСА)'!$AE$25:$AE$122,'Калькуляция (МСА)'!$F$25:$F$122,$F148,'Калькуляция (МСА)'!$G$25:$G$122,$G148),_xlfn.SUMIFS(INDEX('Калькуляция (МИ)'!$AJ$25:$BC$747,,MATCH(AD$8,'Калькуляция (МИ)'!$AJ$8:$BC$8,0)),'Калькуляция (МИ)'!$F$25:$F$747,$F148,'Калькуляция (МИ)'!$G$25:$G$747,$G148))))</f>
        <v>89.21</v>
      </c>
      <c r="AE148" s="5272">
        <f>IF(AND(method_reg="Метод индексации",god&lt;&gt;first_year),_xlfn.SUMIFS(INDEX('Калькуляция (МИ корр)'!$AJ$25:$BC$747,,MATCH(AE$8,'Калькуляция (МИ корр)'!$AJ$8:$BC$8,0)),'Калькуляция (МИ корр)'!$F$25:$F$747,$F148,'Калькуляция (МИ корр)'!$G$25:$G$747,$G148),IF(method_reg="Метод экономически обоснованных расходов",_xlfn.SUMIFS('Калькуляция (МЭОР)'!$AK$25:$AK$452,'Калькуляция (МЭОР)'!$F$25:$F$452,$F148,'Калькуляция (МЭОР)'!$G$25:$G$452,$G148),IF(method_reg="Метод сравнения аналогов",_xlfn.SUMIFS('Калькуляция (МСА)'!$AF$25:$AF$122,'Калькуляция (МСА)'!$F$25:$F$122,$F148,'Калькуляция (МСА)'!$G$25:$G$122,$G148),_xlfn.SUMIFS(INDEX('Калькуляция (МИ)'!$AJ$25:$BC$747,,MATCH(AE$8,'Калькуляция (МИ)'!$AJ$8:$BC$8,0)),'Калькуляция (МИ)'!$F$25:$F$747,$F148,'Калькуляция (МИ)'!$G$25:$G$747,$G148))))</f>
        <v>89.21</v>
      </c>
      <c r="AF148" s="296">
        <f>IF(AD148=0,0,(AE148-AD148)/AD148*100)</f>
        <v>0</v>
      </c>
      <c r="AG148" s="5272">
        <f>IF(AND(method_reg="Метод индексации",god&lt;&gt;first_year),_xlfn.SUMIFS(INDEX('Калькуляция (МИ корр)'!$AJ$25:$BC$747,,MATCH(AG$8,'Калькуляция (МИ корр)'!$AJ$8:$BC$8,0)),'Калькуляция (МИ корр)'!$F$25:$F$747,$F148,'Калькуляция (МИ корр)'!$G$25:$G$747,$G148),IF(method_reg="Метод экономически обоснованных расходов",_xlfn.SUMIFS('Калькуляция (МЭОР)'!$AJ$25:$AJ$452,'Калькуляция (МЭОР)'!$F$25:$F$452,$F148,'Калькуляция (МЭОР)'!$G$25:$G$452,$G148),IF(method_reg="Метод сравнения аналогов",_xlfn.SUMIFS('Калькуляция (МСА)'!$AE$25:$AE$122,'Калькуляция (МСА)'!$F$25:$F$122,$F148,'Калькуляция (МСА)'!$G$25:$G$122,$G148),_xlfn.SUMIFS(INDEX('Калькуляция (МИ)'!$AJ$25:$BC$747,,MATCH(AG$8,'Калькуляция (МИ)'!$AJ$8:$BC$8,0)),'Калькуляция (МИ)'!$F$25:$F$747,$F148,'Калькуляция (МИ)'!$G$25:$G$747,$G148))))</f>
        <v>98.13</v>
      </c>
      <c r="AH148" s="5272">
        <f>IF(AND(method_reg="Метод индексации",god&lt;&gt;first_year),_xlfn.SUMIFS(INDEX('Калькуляция (МИ корр)'!$AJ$25:$BC$747,,MATCH(AH$8,'Калькуляция (МИ корр)'!$AJ$8:$BC$8,0)),'Калькуляция (МИ корр)'!$F$25:$F$747,$F148,'Калькуляция (МИ корр)'!$G$25:$G$747,$G148),IF(method_reg="Метод экономически обоснованных расходов",_xlfn.SUMIFS('Калькуляция (МЭОР)'!$AK$25:$AK$452,'Калькуляция (МЭОР)'!$F$25:$F$452,$F148,'Калькуляция (МЭОР)'!$G$25:$G$452,$G148),IF(method_reg="Метод сравнения аналогов",_xlfn.SUMIFS('Калькуляция (МСА)'!$AF$25:$AF$122,'Калькуляция (МСА)'!$F$25:$F$122,$F148,'Калькуляция (МСА)'!$G$25:$G$122,$G148),_xlfn.SUMIFS(INDEX('Калькуляция (МИ)'!$AJ$25:$BC$747,,MATCH(AH$8,'Калькуляция (МИ)'!$AJ$8:$BC$8,0)),'Калькуляция (МИ)'!$F$25:$F$747,$F148,'Калькуляция (МИ)'!$G$25:$G$747,$G148))))</f>
        <v>98.1299999506392</v>
      </c>
      <c r="AI148" s="296">
        <f>IF(AG148=0,0,(AH148-AG148)/AG148*100)</f>
        <v>-5.03014295184973e-8</v>
      </c>
      <c r="AJ148" s="5272">
        <f>IF(AND(method_reg="Метод индексации",god&lt;&gt;first_year),_xlfn.SUMIFS(INDEX('Калькуляция (МИ корр)'!$AJ$25:$BC$747,,MATCH(AJ$8,'Калькуляция (МИ корр)'!$AJ$8:$BC$8,0)),'Калькуляция (МИ корр)'!$F$25:$F$747,$F148,'Калькуляция (МИ корр)'!$G$25:$G$747,$G148),IF(method_reg="Метод экономически обоснованных расходов",_xlfn.SUMIFS('Калькуляция (МЭОР)'!$AJ$25:$AJ$452,'Калькуляция (МЭОР)'!$F$25:$F$452,$F148,'Калькуляция (МЭОР)'!$G$25:$G$452,$G148),IF(method_reg="Метод сравнения аналогов",_xlfn.SUMIFS('Калькуляция (МСА)'!$AE$25:$AE$122,'Калькуляция (МСА)'!$F$25:$F$122,$F148,'Калькуляция (МСА)'!$G$25:$G$122,$G148),_xlfn.SUMIFS(INDEX('Калькуляция (МИ)'!$AJ$25:$BC$747,,MATCH(AJ$8,'Калькуляция (МИ)'!$AJ$8:$BC$8,0)),'Калькуляция (МИ)'!$F$25:$F$747,$F148,'Калькуляция (МИ)'!$G$25:$G$747,$G148))))</f>
        <v>107.88</v>
      </c>
      <c r="AK148" s="5272">
        <f>IF(AND(method_reg="Метод индексации",god&lt;&gt;first_year),_xlfn.SUMIFS(INDEX('Калькуляция (МИ корр)'!$AJ$25:$BC$747,,MATCH(AK$8,'Калькуляция (МИ корр)'!$AJ$8:$BC$8,0)),'Калькуляция (МИ корр)'!$F$25:$F$747,$F148,'Калькуляция (МИ корр)'!$G$25:$G$747,$G148),IF(method_reg="Метод экономически обоснованных расходов",_xlfn.SUMIFS('Калькуляция (МЭОР)'!$AK$25:$AK$452,'Калькуляция (МЭОР)'!$F$25:$F$452,$F148,'Калькуляция (МЭОР)'!$G$25:$G$452,$G148),IF(method_reg="Метод сравнения аналогов",_xlfn.SUMIFS('Калькуляция (МСА)'!$AF$25:$AF$122,'Калькуляция (МСА)'!$F$25:$F$122,$F148,'Калькуляция (МСА)'!$G$25:$G$122,$G148),_xlfn.SUMIFS(INDEX('Калькуляция (МИ)'!$AJ$25:$BC$747,,MATCH(AK$8,'Калькуляция (МИ)'!$AJ$8:$BC$8,0)),'Калькуляция (МИ)'!$F$25:$F$747,$F148,'Калькуляция (МИ)'!$G$25:$G$747,$G148))))</f>
        <v>107.880000028801</v>
      </c>
      <c r="AL148" s="296">
        <f>IF(AJ148=0,0,(AK148-AJ148)/AJ148*100)</f>
        <v>2.66972667348975e-8</v>
      </c>
      <c r="AM148" s="5272">
        <f>IF(AND(method_reg="Метод индексации",god&lt;&gt;first_year),_xlfn.SUMIFS(INDEX('Калькуляция (МИ корр)'!$AJ$25:$BC$747,,MATCH(AM$8,'Калькуляция (МИ корр)'!$AJ$8:$BC$8,0)),'Калькуляция (МИ корр)'!$F$25:$F$747,$F148,'Калькуляция (МИ корр)'!$G$25:$G$747,$G148),IF(method_reg="Метод экономически обоснованных расходов",_xlfn.SUMIFS('Калькуляция (МЭОР)'!$AJ$25:$AJ$452,'Калькуляция (МЭОР)'!$F$25:$F$452,$F148,'Калькуляция (МЭОР)'!$G$25:$G$452,$G148),IF(method_reg="Метод сравнения аналогов",_xlfn.SUMIFS('Калькуляция (МСА)'!$AE$25:$AE$122,'Калькуляция (МСА)'!$F$25:$F$122,$F148,'Калькуляция (МСА)'!$G$25:$G$122,$G148),_xlfn.SUMIFS(INDEX('Калькуляция (МИ)'!$AJ$25:$BC$747,,MATCH(AM$8,'Калькуляция (МИ)'!$AJ$8:$BC$8,0)),'Калькуляция (МИ)'!$F$25:$F$747,$F148,'Калькуляция (МИ)'!$G$25:$G$747,$G148))))</f>
        <v>112.5</v>
      </c>
      <c r="AN148" s="5272">
        <f>IF(AND(method_reg="Метод индексации",god&lt;&gt;first_year),_xlfn.SUMIFS(INDEX('Калькуляция (МИ корр)'!$AJ$25:$BC$747,,MATCH(AN$8,'Калькуляция (МИ корр)'!$AJ$8:$BC$8,0)),'Калькуляция (МИ корр)'!$F$25:$F$747,$F148,'Калькуляция (МИ корр)'!$G$25:$G$747,$G148),IF(method_reg="Метод экономически обоснованных расходов",_xlfn.SUMIFS('Калькуляция (МЭОР)'!$AK$25:$AK$452,'Калькуляция (МЭОР)'!$F$25:$F$452,$F148,'Калькуляция (МЭОР)'!$G$25:$G$452,$G148),IF(method_reg="Метод сравнения аналогов",_xlfn.SUMIFS('Калькуляция (МСА)'!$AF$25:$AF$122,'Калькуляция (МСА)'!$F$25:$F$122,$F148,'Калькуляция (МСА)'!$G$25:$G$122,$G148),_xlfn.SUMIFS(INDEX('Калькуляция (МИ)'!$AJ$25:$BC$747,,MATCH(AN$8,'Калькуляция (МИ)'!$AJ$8:$BC$8,0)),'Калькуляция (МИ)'!$F$25:$F$747,$F148,'Калькуляция (МИ)'!$G$25:$G$747,$G148))))</f>
        <v>112.499999897028</v>
      </c>
      <c r="AO148" s="296">
        <f>IF(AM148=0,0,(AN148-AM148)/AM148*100)</f>
        <v>-9.15306625554674e-8</v>
      </c>
      <c r="AP148" s="5272">
        <f>IF(AND(method_reg="Метод индексации",god&lt;&gt;first_year),_xlfn.SUMIFS(INDEX('Калькуляция (МИ корр)'!$AJ$25:$BC$747,,MATCH(AP$8,'Калькуляция (МИ корр)'!$AJ$8:$BC$8,0)),'Калькуляция (МИ корр)'!$F$25:$F$747,$F148,'Калькуляция (МИ корр)'!$G$25:$G$747,$G148),IF(method_reg="Метод экономически обоснованных расходов",_xlfn.SUMIFS('Калькуляция (МЭОР)'!$AJ$25:$AJ$452,'Калькуляция (МЭОР)'!$F$25:$F$452,$F148,'Калькуляция (МЭОР)'!$G$25:$G$452,$G148),IF(method_reg="Метод сравнения аналогов",_xlfn.SUMIFS('Калькуляция (МСА)'!$AE$25:$AE$122,'Калькуляция (МСА)'!$F$25:$F$122,$F148,'Калькуляция (МСА)'!$G$25:$G$122,$G148),_xlfn.SUMIFS(INDEX('Калькуляция (МИ)'!$AJ$25:$BC$747,,MATCH(AP$8,'Калькуляция (МИ)'!$AJ$8:$BC$8,0)),'Калькуляция (МИ)'!$F$25:$F$747,$F148,'Калькуляция (МИ)'!$G$25:$G$747,$G148))))</f>
        <v>116.54</v>
      </c>
      <c r="AQ148" s="5272">
        <f>IF(AND(method_reg="Метод индексации",god&lt;&gt;first_year),_xlfn.SUMIFS(INDEX('Калькуляция (МИ корр)'!$AJ$25:$BC$747,,MATCH(AQ$8,'Калькуляция (МИ корр)'!$AJ$8:$BC$8,0)),'Калькуляция (МИ корр)'!$F$25:$F$747,$F148,'Калькуляция (МИ корр)'!$G$25:$G$747,$G148),IF(method_reg="Метод экономически обоснованных расходов",_xlfn.SUMIFS('Калькуляция (МЭОР)'!$AK$25:$AK$452,'Калькуляция (МЭОР)'!$F$25:$F$452,$F148,'Калькуляция (МЭОР)'!$G$25:$G$452,$G148),IF(method_reg="Метод сравнения аналогов",_xlfn.SUMIFS('Калькуляция (МСА)'!$AF$25:$AF$122,'Калькуляция (МСА)'!$F$25:$F$122,$F148,'Калькуляция (МСА)'!$G$25:$G$122,$G148),_xlfn.SUMIFS(INDEX('Калькуляция (МИ)'!$AJ$25:$BC$747,,MATCH(AQ$8,'Калькуляция (МИ)'!$AJ$8:$BC$8,0)),'Калькуляция (МИ)'!$F$25:$F$747,$F148,'Калькуляция (МИ)'!$G$25:$G$747,$G148))))</f>
        <v>116.540000169358</v>
      </c>
      <c r="AR148" s="296">
        <f>IF(AP148=0,0,(AQ148-AP148)/AP148*100)</f>
        <v>1.45321768462427e-7</v>
      </c>
      <c r="AS148" s="5272">
        <f>IF(AND(method_reg="Метод индексации",god&lt;&gt;first_year),_xlfn.SUMIFS(INDEX('Калькуляция (МИ корр)'!$AJ$25:$BC$747,,MATCH(AS$8,'Калькуляция (МИ корр)'!$AJ$8:$BC$8,0)),'Калькуляция (МИ корр)'!$F$25:$F$747,$F148,'Калькуляция (МИ корр)'!$G$25:$G$747,$G148),IF(method_reg="Метод экономически обоснованных расходов",_xlfn.SUMIFS('Калькуляция (МЭОР)'!$AJ$25:$AJ$452,'Калькуляция (МЭОР)'!$F$25:$F$452,$F148,'Калькуляция (МЭОР)'!$G$25:$G$452,$G148),IF(method_reg="Метод сравнения аналогов",_xlfn.SUMIFS('Калькуляция (МСА)'!$AE$25:$AE$122,'Калькуляция (МСА)'!$F$25:$F$122,$F148,'Калькуляция (МСА)'!$G$25:$G$122,$G148),_xlfn.SUMIFS(INDEX('Калькуляция (МИ)'!$AJ$25:$BC$747,,MATCH(AS$8,'Калькуляция (МИ)'!$AJ$8:$BC$8,0)),'Калькуляция (МИ)'!$F$25:$F$747,$F148,'Калькуляция (МИ)'!$G$25:$G$747,$G148))))</f>
        <v>0</v>
      </c>
      <c r="AT148" s="5272">
        <f>IF(AND(method_reg="Метод индексации",god&lt;&gt;first_year),_xlfn.SUMIFS(INDEX('Калькуляция (МИ корр)'!$AJ$25:$BC$747,,MATCH(AT$8,'Калькуляция (МИ корр)'!$AJ$8:$BC$8,0)),'Калькуляция (МИ корр)'!$F$25:$F$747,$F148,'Калькуляция (МИ корр)'!$G$25:$G$747,$G148),IF(method_reg="Метод экономически обоснованных расходов",_xlfn.SUMIFS('Калькуляция (МЭОР)'!$AK$25:$AK$452,'Калькуляция (МЭОР)'!$F$25:$F$452,$F148,'Калькуляция (МЭОР)'!$G$25:$G$452,$G148),IF(method_reg="Метод сравнения аналогов",_xlfn.SUMIFS('Калькуляция (МСА)'!$AF$25:$AF$122,'Калькуляция (МСА)'!$F$25:$F$122,$F148,'Калькуляция (МСА)'!$G$25:$G$122,$G148),_xlfn.SUMIFS(INDEX('Калькуляция (МИ)'!$AJ$25:$BC$747,,MATCH(AT$8,'Калькуляция (МИ)'!$AJ$8:$BC$8,0)),'Калькуляция (МИ)'!$F$25:$F$747,$F148,'Калькуляция (МИ)'!$G$25:$G$747,$G148))))</f>
        <v>124.942795362053</v>
      </c>
      <c r="AU148" s="296">
        <f>IF(AS148=0,0,(AT148-AS148)/AS148*100)</f>
        <v>0</v>
      </c>
      <c r="AV148" s="5272">
        <f>IF(AND(method_reg="Метод индексации",god&lt;&gt;first_year),_xlfn.SUMIFS(INDEX('Калькуляция (МИ корр)'!$AJ$25:$BC$747,,MATCH(AV$8,'Калькуляция (МИ корр)'!$AJ$8:$BC$8,0)),'Калькуляция (МИ корр)'!$F$25:$F$747,$F148,'Калькуляция (МИ корр)'!$G$25:$G$747,$G148),IF(method_reg="Метод экономически обоснованных расходов",_xlfn.SUMIFS('Калькуляция (МЭОР)'!$AJ$25:$AJ$452,'Калькуляция (МЭОР)'!$F$25:$F$452,$F148,'Калькуляция (МЭОР)'!$G$25:$G$452,$G148),IF(method_reg="Метод сравнения аналогов",_xlfn.SUMIFS('Калькуляция (МСА)'!$AE$25:$AE$122,'Калькуляция (МСА)'!$F$25:$F$122,$F148,'Калькуляция (МСА)'!$G$25:$G$122,$G148),_xlfn.SUMIFS(INDEX('Калькуляция (МИ)'!$AJ$25:$BC$747,,MATCH(AV$8,'Калькуляция (МИ)'!$AJ$8:$BC$8,0)),'Калькуляция (МИ)'!$F$25:$F$747,$F148,'Калькуляция (МИ)'!$G$25:$G$747,$G148))))</f>
        <v>0</v>
      </c>
      <c r="AW148" s="5272">
        <f>IF(AND(method_reg="Метод индексации",god&lt;&gt;first_year),_xlfn.SUMIFS(INDEX('Калькуляция (МИ корр)'!$AJ$25:$BC$747,,MATCH(AW$8,'Калькуляция (МИ корр)'!$AJ$8:$BC$8,0)),'Калькуляция (МИ корр)'!$F$25:$F$747,$F148,'Калькуляция (МИ корр)'!$G$25:$G$747,$G148),IF(method_reg="Метод экономически обоснованных расходов",_xlfn.SUMIFS('Калькуляция (МЭОР)'!$AK$25:$AK$452,'Калькуляция (МЭОР)'!$F$25:$F$452,$F148,'Калькуляция (МЭОР)'!$G$25:$G$452,$G148),IF(method_reg="Метод сравнения аналогов",_xlfn.SUMIFS('Калькуляция (МСА)'!$AF$25:$AF$122,'Калькуляция (МСА)'!$F$25:$F$122,$F148,'Калькуляция (МСА)'!$G$25:$G$122,$G148),_xlfn.SUMIFS(INDEX('Калькуляция (МИ)'!$AJ$25:$BC$747,,MATCH(AW$8,'Калькуляция (МИ)'!$AJ$8:$BC$8,0)),'Калькуляция (МИ)'!$F$25:$F$747,$F148,'Калькуляция (МИ)'!$G$25:$G$747,$G148))))</f>
        <v>0</v>
      </c>
      <c r="AX148" s="296">
        <f>IF(AV148=0,0,(AW148-AV148)/AV148*100)</f>
        <v>0</v>
      </c>
      <c r="AY148" s="5272">
        <f>IF(AND(method_reg="Метод индексации",god&lt;&gt;first_year),_xlfn.SUMIFS(INDEX('Калькуляция (МИ корр)'!$AJ$25:$BC$747,,MATCH(AY$8,'Калькуляция (МИ корр)'!$AJ$8:$BC$8,0)),'Калькуляция (МИ корр)'!$F$25:$F$747,$F148,'Калькуляция (МИ корр)'!$G$25:$G$747,$G148),IF(method_reg="Метод экономически обоснованных расходов",_xlfn.SUMIFS('Калькуляция (МЭОР)'!$AJ$25:$AJ$452,'Калькуляция (МЭОР)'!$F$25:$F$452,$F148,'Калькуляция (МЭОР)'!$G$25:$G$452,$G148),IF(method_reg="Метод сравнения аналогов",_xlfn.SUMIFS('Калькуляция (МСА)'!$AE$25:$AE$122,'Калькуляция (МСА)'!$F$25:$F$122,$F148,'Калькуляция (МСА)'!$G$25:$G$122,$G148),_xlfn.SUMIFS(INDEX('Калькуляция (МИ)'!$AJ$25:$BC$747,,MATCH(AY$8,'Калькуляция (МИ)'!$AJ$8:$BC$8,0)),'Калькуляция (МИ)'!$F$25:$F$747,$F148,'Калькуляция (МИ)'!$G$25:$G$747,$G148))))</f>
        <v>0</v>
      </c>
      <c r="AZ148" s="5272">
        <f>IF(AND(method_reg="Метод индексации",god&lt;&gt;first_year),_xlfn.SUMIFS(INDEX('Калькуляция (МИ корр)'!$AJ$25:$BC$747,,MATCH(AZ$8,'Калькуляция (МИ корр)'!$AJ$8:$BC$8,0)),'Калькуляция (МИ корр)'!$F$25:$F$747,$F148,'Калькуляция (МИ корр)'!$G$25:$G$747,$G148),IF(method_reg="Метод экономически обоснованных расходов",_xlfn.SUMIFS('Калькуляция (МЭОР)'!$AK$25:$AK$452,'Калькуляция (МЭОР)'!$F$25:$F$452,$F148,'Калькуляция (МЭОР)'!$G$25:$G$452,$G148),IF(method_reg="Метод сравнения аналогов",_xlfn.SUMIFS('Калькуляция (МСА)'!$AF$25:$AF$122,'Калькуляция (МСА)'!$F$25:$F$122,$F148,'Калькуляция (МСА)'!$G$25:$G$122,$G148),_xlfn.SUMIFS(INDEX('Калькуляция (МИ)'!$AJ$25:$BC$747,,MATCH(AZ$8,'Калькуляция (МИ)'!$AJ$8:$BC$8,0)),'Калькуляция (МИ)'!$F$25:$F$747,$F148,'Калькуляция (МИ)'!$G$25:$G$747,$G148))))</f>
        <v>0</v>
      </c>
      <c r="BA148" s="296">
        <f>IF(AY148=0,0,(AZ148-AY148)/AY148*100)</f>
        <v>0</v>
      </c>
      <c r="BB148" s="5272">
        <f>IF(AND(method_reg="Метод индексации",god&lt;&gt;first_year),_xlfn.SUMIFS(INDEX('Калькуляция (МИ корр)'!$AJ$25:$BC$747,,MATCH(BB$8,'Калькуляция (МИ корр)'!$AJ$8:$BC$8,0)),'Калькуляция (МИ корр)'!$F$25:$F$747,$F148,'Калькуляция (МИ корр)'!$G$25:$G$747,$G148),IF(method_reg="Метод экономически обоснованных расходов",_xlfn.SUMIFS('Калькуляция (МЭОР)'!$AJ$25:$AJ$452,'Калькуляция (МЭОР)'!$F$25:$F$452,$F148,'Калькуляция (МЭОР)'!$G$25:$G$452,$G148),IF(method_reg="Метод сравнения аналогов",_xlfn.SUMIFS('Калькуляция (МСА)'!$AE$25:$AE$122,'Калькуляция (МСА)'!$F$25:$F$122,$F148,'Калькуляция (МСА)'!$G$25:$G$122,$G148),_xlfn.SUMIFS(INDEX('Калькуляция (МИ)'!$AJ$25:$BC$747,,MATCH(BB$8,'Калькуляция (МИ)'!$AJ$8:$BC$8,0)),'Калькуляция (МИ)'!$F$25:$F$747,$F148,'Калькуляция (МИ)'!$G$25:$G$747,$G148))))</f>
        <v>0</v>
      </c>
      <c r="BC148" s="5272">
        <f>IF(AND(method_reg="Метод индексации",god&lt;&gt;first_year),_xlfn.SUMIFS(INDEX('Калькуляция (МИ корр)'!$AJ$25:$BC$747,,MATCH(BC$8,'Калькуляция (МИ корр)'!$AJ$8:$BC$8,0)),'Калькуляция (МИ корр)'!$F$25:$F$747,$F148,'Калькуляция (МИ корр)'!$G$25:$G$747,$G148),IF(method_reg="Метод экономически обоснованных расходов",_xlfn.SUMIFS('Калькуляция (МЭОР)'!$AK$25:$AK$452,'Калькуляция (МЭОР)'!$F$25:$F$452,$F148,'Калькуляция (МЭОР)'!$G$25:$G$452,$G148),IF(method_reg="Метод сравнения аналогов",_xlfn.SUMIFS('Калькуляция (МСА)'!$AF$25:$AF$122,'Калькуляция (МСА)'!$F$25:$F$122,$F148,'Калькуляция (МСА)'!$G$25:$G$122,$G148),_xlfn.SUMIFS(INDEX('Калькуляция (МИ)'!$AJ$25:$BC$747,,MATCH(BC$8,'Калькуляция (МИ)'!$AJ$8:$BC$8,0)),'Калькуляция (МИ)'!$F$25:$F$747,$F148,'Калькуляция (МИ)'!$G$25:$G$747,$G148))))</f>
        <v>0</v>
      </c>
      <c r="BD148" s="296">
        <f>IF(BB148=0,0,(BC148-BB148)/BB148*100)</f>
        <v>0</v>
      </c>
      <c r="BE148" s="5272">
        <f>IF(AND(method_reg="Метод индексации",god&lt;&gt;first_year),_xlfn.SUMIFS(INDEX('Калькуляция (МИ корр)'!$AJ$25:$BC$747,,MATCH(BE$8,'Калькуляция (МИ корр)'!$AJ$8:$BC$8,0)),'Калькуляция (МИ корр)'!$F$25:$F$747,$F148,'Калькуляция (МИ корр)'!$G$25:$G$747,$G148),IF(method_reg="Метод экономически обоснованных расходов",_xlfn.SUMIFS('Калькуляция (МЭОР)'!$AJ$25:$AJ$452,'Калькуляция (МЭОР)'!$F$25:$F$452,$F148,'Калькуляция (МЭОР)'!$G$25:$G$452,$G148),IF(method_reg="Метод сравнения аналогов",_xlfn.SUMIFS('Калькуляция (МСА)'!$AE$25:$AE$122,'Калькуляция (МСА)'!$F$25:$F$122,$F148,'Калькуляция (МСА)'!$G$25:$G$122,$G148),_xlfn.SUMIFS(INDEX('Калькуляция (МИ)'!$AJ$25:$BC$747,,MATCH(BE$8,'Калькуляция (МИ)'!$AJ$8:$BC$8,0)),'Калькуляция (МИ)'!$F$25:$F$747,$F148,'Калькуляция (МИ)'!$G$25:$G$747,$G148))))</f>
        <v>0</v>
      </c>
      <c r="BF148" s="5272">
        <f>IF(AND(method_reg="Метод индексации",god&lt;&gt;first_year),_xlfn.SUMIFS(INDEX('Калькуляция (МИ корр)'!$AJ$25:$BC$747,,MATCH(BF$8,'Калькуляция (МИ корр)'!$AJ$8:$BC$8,0)),'Калькуляция (МИ корр)'!$F$25:$F$747,$F148,'Калькуляция (МИ корр)'!$G$25:$G$747,$G148),IF(method_reg="Метод экономически обоснованных расходов",_xlfn.SUMIFS('Калькуляция (МЭОР)'!$AK$25:$AK$452,'Калькуляция (МЭОР)'!$F$25:$F$452,$F148,'Калькуляция (МЭОР)'!$G$25:$G$452,$G148),IF(method_reg="Метод сравнения аналогов",_xlfn.SUMIFS('Калькуляция (МСА)'!$AF$25:$AF$122,'Калькуляция (МСА)'!$F$25:$F$122,$F148,'Калькуляция (МСА)'!$G$25:$G$122,$G148),_xlfn.SUMIFS(INDEX('Калькуляция (МИ)'!$AJ$25:$BC$747,,MATCH(BF$8,'Калькуляция (МИ)'!$AJ$8:$BC$8,0)),'Калькуляция (МИ)'!$F$25:$F$747,$F148,'Калькуляция (МИ)'!$G$25:$G$747,$G148))))</f>
        <v>0</v>
      </c>
      <c r="BG148" s="296">
        <f>IF(BE148=0,0,(BF148-BE148)/BE148*100)</f>
        <v>0</v>
      </c>
      <c r="BH148" s="5272"/>
      <c r="BI148" s="5272"/>
      <c r="BJ148" s="296">
        <f>IF(BH148=0,0,(BI148-BH148)/BH148*100)</f>
        <v>0</v>
      </c>
      <c r="BK148" s="5272"/>
      <c r="BL148" s="5272"/>
      <c r="BM148" s="296">
        <f>IF(BK148=0,0,(BL148-BK148)/BK148*100)</f>
        <v>0</v>
      </c>
      <c r="BN148" s="5272"/>
      <c r="BO148" s="5272"/>
      <c r="BP148" s="296">
        <f>IF(BN148=0,0,(BO148-BN148)/BN148*100)</f>
        <v>0</v>
      </c>
      <c r="BQ148" s="5272"/>
      <c r="BR148" s="5272"/>
      <c r="BS148" s="296">
        <f>IF(BQ148=0,0,(BR148-BQ148)/BQ148*100)</f>
        <v>0</v>
      </c>
      <c r="BT148" s="5272"/>
      <c r="BU148" s="5272"/>
      <c r="BV148" s="296">
        <f>IF(BT148=0,0,(BU148-BT148)/BT148*100)</f>
        <v>0</v>
      </c>
      <c r="BW148" s="5272"/>
      <c r="BX148" s="5272"/>
      <c r="BY148" s="296">
        <f>IF(BW148=0,0,(BX148-BW148)/BW148*100)</f>
        <v>0</v>
      </c>
      <c r="BZ148" s="5272"/>
      <c r="CA148" s="5272"/>
      <c r="CB148" s="296">
        <f>IF(BZ148=0,0,(CA148-BZ148)/BZ148*100)</f>
        <v>0</v>
      </c>
      <c r="CC148" s="5272"/>
      <c r="CD148" s="5272"/>
      <c r="CE148" s="296">
        <f>IF(CC148=0,0,(CD148-CC148)/CC148*100)</f>
        <v>0</v>
      </c>
      <c r="CF148" s="5272"/>
      <c r="CG148" s="5272"/>
      <c r="CH148" s="296">
        <f>IF(CF148=0,0,(CG148-CF148)/CF148*100)</f>
        <v>0</v>
      </c>
      <c r="CI148" s="5272"/>
      <c r="CJ148" s="5272"/>
      <c r="CK148" s="296">
        <f>IF(CI148=0,0,(CJ148-CI148)/CI148*100)</f>
        <v>0</v>
      </c>
      <c r="CL148" s="5272"/>
      <c r="CM148" s="5272"/>
      <c r="CN148" s="296">
        <f>IF(CL148=0,0,(CM148-CL148)/CL148*100)</f>
        <v>0</v>
      </c>
      <c r="CO148" s="5272"/>
      <c r="CP148" s="5272"/>
      <c r="CQ148" s="296">
        <f>IF(CO148=0,0,(CP148-CO148)/CO148*100)</f>
        <v>0</v>
      </c>
      <c r="CR148" s="5272"/>
      <c r="CS148" s="5272"/>
      <c r="CT148" s="296">
        <f>IF(CR148=0,0,(CS148-CR148)/CR148*100)</f>
        <v>0</v>
      </c>
      <c r="CU148" s="5272"/>
      <c r="CV148" s="5272"/>
      <c r="CW148" s="296">
        <f>IF(CU148=0,0,(CV148-CU148)/CU148*100)</f>
        <v>0</v>
      </c>
      <c r="CX148" s="5272"/>
      <c r="CY148" s="5272"/>
      <c r="CZ148" s="296">
        <f>IF(CX148=0,0,(CY148-CX148)/CX148*100)</f>
        <v>0</v>
      </c>
      <c r="DA148" s="5272"/>
      <c r="DB148" s="5272"/>
      <c r="DC148" s="296">
        <f>IF(DA148=0,0,(DB148-DA148)/DA148*100)</f>
        <v>0</v>
      </c>
      <c r="DD148" s="5272"/>
      <c r="DE148" s="5272"/>
      <c r="DF148" s="296">
        <f>IF(DD148=0,0,(DE148-DD148)/DD148*100)</f>
        <v>0</v>
      </c>
      <c r="DG148" s="5272"/>
      <c r="DH148" s="5272"/>
      <c r="DI148" s="296">
        <f>IF(DG148=0,0,(DH148-DG148)/DG148*100)</f>
        <v>0</v>
      </c>
      <c r="DJ148" s="5272"/>
      <c r="DK148" s="5272"/>
      <c r="DL148" s="296">
        <f>IF(DJ148=0,0,(DK148-DJ148)/DJ148*100)</f>
        <v>0</v>
      </c>
      <c r="DM148" s="5272"/>
      <c r="DN148" s="5272"/>
      <c r="DO148" s="296">
        <f>IF(DM148=0,0,(DN148-DM148)/DM148*100)</f>
        <v>0</v>
      </c>
      <c r="DP148" s="5272"/>
      <c r="DQ148" s="5272"/>
      <c r="DR148" s="296">
        <f>IF(DP148=0,0,(DQ148-DP148)/DP148*100)</f>
        <v>0</v>
      </c>
      <c r="DS148" s="5272"/>
      <c r="DT148" s="5272"/>
      <c r="DU148" s="296">
        <f>IF(DS148=0,0,(DT148-DS148)/DS148*100)</f>
        <v>0</v>
      </c>
      <c r="DV148" s="5272"/>
      <c r="DW148" s="5272"/>
      <c r="DX148" s="296">
        <f>IF(DV148=0,0,(DW148-DV148)/DV148*100)</f>
        <v>0</v>
      </c>
      <c r="DY148" s="5272"/>
      <c r="DZ148" s="5272"/>
      <c r="EA148" s="296">
        <f>IF(DY148=0,0,(DZ148-DY148)/DY148*100)</f>
        <v>0</v>
      </c>
      <c r="EB148" s="5272"/>
      <c r="EC148" s="5272"/>
      <c r="ED148" s="296">
        <f>IF(EB148=0,0,(EC148-EB148)/EB148*100)</f>
        <v>0</v>
      </c>
      <c r="EE148" s="5272"/>
      <c r="EF148" s="5272"/>
      <c r="EG148" s="296">
        <f>IF(EE148=0,0,(EF148-EE148)/EE148*100)</f>
        <v>0</v>
      </c>
      <c r="EH148" s="5272"/>
      <c r="EI148" s="5272"/>
      <c r="EJ148" s="296">
        <f>IF(EH148=0,0,(EI148-EH148)/EH148*100)</f>
        <v>0</v>
      </c>
      <c r="EK148" s="5272"/>
      <c r="EL148" s="5272"/>
      <c r="EM148" s="296">
        <f>IF(EK148=0,0,(EL148-EK148)/EK148*100)</f>
        <v>0</v>
      </c>
      <c r="EN148" s="5272"/>
      <c r="EO148" s="5272"/>
      <c r="EP148" s="296">
        <f>IF(EN148=0,0,(EO148-EN148)/EN148*100)</f>
        <v>0</v>
      </c>
      <c r="EQ148" s="5272"/>
      <c r="ER148" s="5272"/>
      <c r="ES148" s="296">
        <f>IF(EQ148=0,0,(ER148-EQ148)/EQ148*100)</f>
        <v>0</v>
      </c>
      <c r="ET148" s="5272"/>
      <c r="EU148" s="5272"/>
      <c r="EV148" s="296">
        <f>IF(ET148=0,0,(EU148-ET148)/ET148*100)</f>
        <v>0</v>
      </c>
      <c r="EW148" s="5272"/>
      <c r="EX148" s="5272"/>
      <c r="EY148" s="296">
        <f>IF(EW148=0,0,(EX148-EW148)/EW148*100)</f>
        <v>0</v>
      </c>
      <c r="EZ148" s="5272"/>
      <c r="FA148" s="5272"/>
      <c r="FB148" s="296">
        <f>IF(EZ148=0,0,(FA148-EZ148)/EZ148*100)</f>
        <v>0</v>
      </c>
      <c r="FC148" s="5272"/>
      <c r="FD148" s="5272"/>
      <c r="FE148" s="296">
        <f>IF(FC148=0,0,(FD148-FC148)/FC148*100)</f>
        <v>0</v>
      </c>
      <c r="FF148" s="5272"/>
      <c r="FG148" s="5272"/>
      <c r="FH148" s="296">
        <f>IF(FF148=0,0,(FG148-FF148)/FF148*100)</f>
        <v>0</v>
      </c>
      <c r="FI148" s="5272"/>
      <c r="FJ148" s="5272"/>
      <c r="FK148" s="296">
        <f>IF(FI148=0,0,(FJ148-FI148)/FI148*100)</f>
        <v>0</v>
      </c>
      <c r="FL148" s="5272"/>
      <c r="FM148" s="5272"/>
      <c r="FN148" s="296">
        <f>IF(FL148=0,0,(FM148-FL148)/FL148*100)</f>
        <v>0</v>
      </c>
      <c r="FO148" s="5272"/>
      <c r="FP148" s="5272"/>
      <c r="FQ148" s="296">
        <f>IF(FO148=0,0,(FP148-FO148)/FO148*100)</f>
        <v>0</v>
      </c>
      <c r="FR148" s="5272"/>
      <c r="FS148" s="5272"/>
      <c r="FT148" s="296">
        <f>IF(FR148=0,0,(FS148-FR148)/FR148*100)</f>
        <v>0</v>
      </c>
      <c r="FU148" s="5272"/>
      <c r="FV148" s="5272"/>
      <c r="FW148" s="296">
        <f>IF(FU148=0,0,(FV148-FU148)/FU148*100)</f>
        <v>0</v>
      </c>
      <c r="FX148" s="292"/>
      <c r="FY148" s="292"/>
      <c r="FZ148" s="1055" t="s">
        <v>2417</v>
      </c>
      <c r="GA148" s="1055"/>
      <c r="GB148" s="1055"/>
      <c r="GC148" s="1056"/>
      <c r="GD148" s="1056"/>
    </row>
    <row s="5590" customFormat="1" customHeight="1" ht="23.25" hidden="1">
      <c r="A149" s="897"/>
      <c r="B149" s="925" cm="1" t="str">
        <f t="array" ref="B149:B149">B148</f>
        <v>false</v>
      </c>
      <c r="C149" s="897"/>
      <c r="D149" s="897"/>
      <c r="E149" s="840">
        <v>24.5</v>
      </c>
      <c r="F149" s="50" cm="1" t="str">
        <f t="array" ref="F149:F149">OFFSET(E149,-1,1)</f>
        <v>1</v>
      </c>
      <c r="G149" s="107" t="s">
        <v>2339</v>
      </c>
      <c r="H149" s="493" t="s">
        <v>1175</v>
      </c>
      <c r="I149" s="493" t="s">
        <v>2418</v>
      </c>
      <c r="J149" s="897"/>
      <c r="K149" s="897"/>
      <c r="L149" s="897"/>
      <c r="M149" s="897"/>
      <c r="N149" s="897"/>
      <c r="O149" s="897"/>
      <c r="P149" s="897"/>
      <c r="Q149" s="897"/>
      <c r="R149" s="897"/>
      <c r="S149" s="493"/>
      <c r="T149" s="465" cm="1" t="str">
        <f t="array" ref="T149:T149">T148</f>
        <v>true</v>
      </c>
      <c r="U149" s="897"/>
      <c r="V149" s="897"/>
      <c r="W149" s="897"/>
      <c r="X149" s="1596"/>
      <c r="Y149" s="897"/>
      <c r="Z149" s="1545"/>
      <c r="AA149" s="897"/>
      <c r="AB149" s="219" t="s">
        <v>2419</v>
      </c>
      <c r="AC149" s="234" t="s">
        <v>2337</v>
      </c>
      <c r="AD149" s="5272">
        <f>IF(AND(method_reg="Метод индексации",god&lt;&gt;first_year),_xlfn.SUMIFS(INDEX('Калькуляция (МИ корр)'!$AJ$25:$BC$747,,MATCH(AD$8,'Калькуляция (МИ корр)'!$AJ$8:$BC$8,0)),'Калькуляция (МИ корр)'!$F$25:$F$747,$F149,'Калькуляция (МИ корр)'!$G$25:$G$747,$G149),IF(method_reg="Метод экономически обоснованных расходов",_xlfn.SUMIFS('Калькуляция (МЭОР)'!$AJ$25:$AJ$452,'Калькуляция (МЭОР)'!$F$25:$F$452,$F149,'Калькуляция (МЭОР)'!$G$25:$G$452,$G149),IF(method_reg="Метод сравнения аналогов",_xlfn.SUMIFS('Калькуляция (МСА)'!$AE$25:$AE$122,'Калькуляция (МСА)'!$F$25:$F$122,$F149,'Калькуляция (МСА)'!$G$25:$G$122,$G149),_xlfn.SUMIFS(INDEX('Калькуляция (МИ)'!$AJ$25:$BC$747,,MATCH(AD$8,'Калькуляция (МИ)'!$AJ$8:$BC$8,0)),'Калькуляция (МИ)'!$F$25:$F$747,$F149,'Калькуляция (МИ)'!$G$25:$G$747,$G149))))</f>
        <v>98.1299986265913</v>
      </c>
      <c r="AE149" s="5272">
        <f>IF(AND(method_reg="Метод индексации",god&lt;&gt;first_year),_xlfn.SUMIFS(INDEX('Калькуляция (МИ корр)'!$AJ$25:$BC$747,,MATCH(AE$8,'Калькуляция (МИ корр)'!$AJ$8:$BC$8,0)),'Калькуляция (МИ корр)'!$F$25:$F$747,$F149,'Калькуляция (МИ корр)'!$G$25:$G$747,$G149),IF(method_reg="Метод экономически обоснованных расходов",_xlfn.SUMIFS('Калькуляция (МЭОР)'!$AK$25:$AK$452,'Калькуляция (МЭОР)'!$F$25:$F$452,$F149,'Калькуляция (МЭОР)'!$G$25:$G$452,$G149),IF(method_reg="Метод сравнения аналогов",_xlfn.SUMIFS('Калькуляция (МСА)'!$AF$25:$AF$122,'Калькуляция (МСА)'!$F$25:$F$122,$F149,'Калькуляция (МСА)'!$G$25:$G$122,$G149),_xlfn.SUMIFS(INDEX('Калькуляция (МИ)'!$AJ$25:$BC$747,,MATCH(AE$8,'Калькуляция (МИ)'!$AJ$8:$BC$8,0)),'Калькуляция (МИ)'!$F$25:$F$747,$F149,'Калькуляция (МИ)'!$G$25:$G$747,$G149))))</f>
        <v>98.1299999506392</v>
      </c>
      <c r="AF149" s="296">
        <f>IF(AD149=0,0,(AE149-AD149)/AD149*100)</f>
        <v>0.00000134927944480157</v>
      </c>
      <c r="AG149" s="5272">
        <f>IF(AND(method_reg="Метод индексации",god&lt;&gt;first_year),_xlfn.SUMIFS(INDEX('Калькуляция (МИ корр)'!$AJ$25:$BC$747,,MATCH(AG$8,'Калькуляция (МИ корр)'!$AJ$8:$BC$8,0)),'Калькуляция (МИ корр)'!$F$25:$F$747,$F149,'Калькуляция (МИ корр)'!$G$25:$G$747,$G149),IF(method_reg="Метод экономически обоснованных расходов",_xlfn.SUMIFS('Калькуляция (МЭОР)'!$AJ$25:$AJ$452,'Калькуляция (МЭОР)'!$F$25:$F$452,$F149,'Калькуляция (МЭОР)'!$G$25:$G$452,$G149),IF(method_reg="Метод сравнения аналогов",_xlfn.SUMIFS('Калькуляция (МСА)'!$AE$25:$AE$122,'Калькуляция (МСА)'!$F$25:$F$122,$F149,'Калькуляция (МСА)'!$G$25:$G$122,$G149),_xlfn.SUMIFS(INDEX('Калькуляция (МИ)'!$AJ$25:$BC$747,,MATCH(AG$8,'Калькуляция (МИ)'!$AJ$8:$BC$8,0)),'Калькуляция (МИ)'!$F$25:$F$747,$F149,'Калькуляция (МИ)'!$G$25:$G$747,$G149))))</f>
        <v>107.880001347994</v>
      </c>
      <c r="AH149" s="5272">
        <f>IF(AND(method_reg="Метод индексации",god&lt;&gt;first_year),_xlfn.SUMIFS(INDEX('Калькуляция (МИ корр)'!$AJ$25:$BC$747,,MATCH(AH$8,'Калькуляция (МИ корр)'!$AJ$8:$BC$8,0)),'Калькуляция (МИ корр)'!$F$25:$F$747,$F149,'Калькуляция (МИ корр)'!$G$25:$G$747,$G149),IF(method_reg="Метод экономически обоснованных расходов",_xlfn.SUMIFS('Калькуляция (МЭОР)'!$AK$25:$AK$452,'Калькуляция (МЭОР)'!$F$25:$F$452,$F149,'Калькуляция (МЭОР)'!$G$25:$G$452,$G149),IF(method_reg="Метод сравнения аналогов",_xlfn.SUMIFS('Калькуляция (МСА)'!$AF$25:$AF$122,'Калькуляция (МСА)'!$F$25:$F$122,$F149,'Калькуляция (МСА)'!$G$25:$G$122,$G149),_xlfn.SUMIFS(INDEX('Калькуляция (МИ)'!$AJ$25:$BC$747,,MATCH(AH$8,'Калькуляция (МИ)'!$AJ$8:$BC$8,0)),'Калькуляция (МИ)'!$F$25:$F$747,$F149,'Калькуляция (МИ)'!$G$25:$G$747,$G149))))</f>
        <v>107.880000028801</v>
      </c>
      <c r="AI149" s="296">
        <f>IF(AG149=0,0,(AH149-AG149)/AG149*100)</f>
        <v>-0.00000122283367911491</v>
      </c>
      <c r="AJ149" s="5272">
        <f>IF(AND(method_reg="Метод индексации",god&lt;&gt;first_year),_xlfn.SUMIFS(INDEX('Калькуляция (МИ корр)'!$AJ$25:$BC$747,,MATCH(AJ$8,'Калькуляция (МИ корр)'!$AJ$8:$BC$8,0)),'Калькуляция (МИ корр)'!$F$25:$F$747,$F149,'Калькуляция (МИ корр)'!$G$25:$G$747,$G149),IF(method_reg="Метод экономически обоснованных расходов",_xlfn.SUMIFS('Калькуляция (МЭОР)'!$AJ$25:$AJ$452,'Калькуляция (МЭОР)'!$F$25:$F$452,$F149,'Калькуляция (МЭОР)'!$G$25:$G$452,$G149),IF(method_reg="Метод сравнения аналогов",_xlfn.SUMIFS('Калькуляция (МСА)'!$AE$25:$AE$122,'Калькуляция (МСА)'!$F$25:$F$122,$F149,'Калькуляция (МСА)'!$G$25:$G$122,$G149),_xlfn.SUMIFS(INDEX('Калькуляция (МИ)'!$AJ$25:$BC$747,,MATCH(AJ$8,'Калькуляция (МИ)'!$AJ$8:$BC$8,0)),'Калькуляция (МИ)'!$F$25:$F$747,$F149,'Калькуляция (МИ)'!$G$25:$G$747,$G149))))</f>
        <v>112.49999958914</v>
      </c>
      <c r="AK149" s="5272">
        <f>IF(AND(method_reg="Метод индексации",god&lt;&gt;first_year),_xlfn.SUMIFS(INDEX('Калькуляция (МИ корр)'!$AJ$25:$BC$747,,MATCH(AK$8,'Калькуляция (МИ корр)'!$AJ$8:$BC$8,0)),'Калькуляция (МИ корр)'!$F$25:$F$747,$F149,'Калькуляция (МИ корр)'!$G$25:$G$747,$G149),IF(method_reg="Метод экономически обоснованных расходов",_xlfn.SUMIFS('Калькуляция (МЭОР)'!$AK$25:$AK$452,'Калькуляция (МЭОР)'!$F$25:$F$452,$F149,'Калькуляция (МЭОР)'!$G$25:$G$452,$G149),IF(method_reg="Метод сравнения аналогов",_xlfn.SUMIFS('Калькуляция (МСА)'!$AF$25:$AF$122,'Калькуляция (МСА)'!$F$25:$F$122,$F149,'Калькуляция (МСА)'!$G$25:$G$122,$G149),_xlfn.SUMIFS(INDEX('Калькуляция (МИ)'!$AJ$25:$BC$747,,MATCH(AK$8,'Калькуляция (МИ)'!$AJ$8:$BC$8,0)),'Калькуляция (МИ)'!$F$25:$F$747,$F149,'Калькуляция (МИ)'!$G$25:$G$747,$G149))))</f>
        <v>112.499999897028</v>
      </c>
      <c r="AL149" s="296">
        <f>IF(AJ149=0,0,(AK149-AJ149)/AJ149*100)</f>
        <v>2.73678224391777e-7</v>
      </c>
      <c r="AM149" s="5272">
        <f>IF(AND(method_reg="Метод индексации",god&lt;&gt;first_year),_xlfn.SUMIFS(INDEX('Калькуляция (МИ корр)'!$AJ$25:$BC$747,,MATCH(AM$8,'Калькуляция (МИ корр)'!$AJ$8:$BC$8,0)),'Калькуляция (МИ корр)'!$F$25:$F$747,$F149,'Калькуляция (МИ корр)'!$G$25:$G$747,$G149),IF(method_reg="Метод экономически обоснованных расходов",_xlfn.SUMIFS('Калькуляция (МЭОР)'!$AJ$25:$AJ$452,'Калькуляция (МЭОР)'!$F$25:$F$452,$F149,'Калькуляция (МЭОР)'!$G$25:$G$452,$G149),IF(method_reg="Метод сравнения аналогов",_xlfn.SUMIFS('Калькуляция (МСА)'!$AE$25:$AE$122,'Калькуляция (МСА)'!$F$25:$F$122,$F149,'Калькуляция (МСА)'!$G$25:$G$122,$G149),_xlfn.SUMIFS(INDEX('Калькуляция (МИ)'!$AJ$25:$BC$747,,MATCH(AM$8,'Калькуляция (МИ)'!$AJ$8:$BC$8,0)),'Калькуляция (МИ)'!$F$25:$F$747,$F149,'Калькуляция (МИ)'!$G$25:$G$747,$G149))))</f>
        <v>116.539994640401</v>
      </c>
      <c r="AN149" s="5272">
        <f>IF(AND(method_reg="Метод индексации",god&lt;&gt;first_year),_xlfn.SUMIFS(INDEX('Калькуляция (МИ корр)'!$AJ$25:$BC$747,,MATCH(AN$8,'Калькуляция (МИ корр)'!$AJ$8:$BC$8,0)),'Калькуляция (МИ корр)'!$F$25:$F$747,$F149,'Калькуляция (МИ корр)'!$G$25:$G$747,$G149),IF(method_reg="Метод экономически обоснованных расходов",_xlfn.SUMIFS('Калькуляция (МЭОР)'!$AK$25:$AK$452,'Калькуляция (МЭОР)'!$F$25:$F$452,$F149,'Калькуляция (МЭОР)'!$G$25:$G$452,$G149),IF(method_reg="Метод сравнения аналогов",_xlfn.SUMIFS('Калькуляция (МСА)'!$AF$25:$AF$122,'Калькуляция (МСА)'!$F$25:$F$122,$F149,'Калькуляция (МСА)'!$G$25:$G$122,$G149),_xlfn.SUMIFS(INDEX('Калькуляция (МИ)'!$AJ$25:$BC$747,,MATCH(AN$8,'Калькуляция (МИ)'!$AJ$8:$BC$8,0)),'Калькуляция (МИ)'!$F$25:$F$747,$F149,'Калькуляция (МИ)'!$G$25:$G$747,$G149))))</f>
        <v>116.540000169358</v>
      </c>
      <c r="AO149" s="296">
        <f>IF(AM149=0,0,(AN149-AM149)/AM149*100)</f>
        <v>0.000004744257117121</v>
      </c>
      <c r="AP149" s="5272">
        <f>IF(AND(method_reg="Метод индексации",god&lt;&gt;first_year),_xlfn.SUMIFS(INDEX('Калькуляция (МИ корр)'!$AJ$25:$BC$747,,MATCH(AP$8,'Калькуляция (МИ корр)'!$AJ$8:$BC$8,0)),'Калькуляция (МИ корр)'!$F$25:$F$747,$F149,'Калькуляция (МИ корр)'!$G$25:$G$747,$G149),IF(method_reg="Метод экономически обоснованных расходов",_xlfn.SUMIFS('Калькуляция (МЭОР)'!$AJ$25:$AJ$452,'Калькуляция (МЭОР)'!$F$25:$F$452,$F149,'Калькуляция (МЭОР)'!$G$25:$G$452,$G149),IF(method_reg="Метод сравнения аналогов",_xlfn.SUMIFS('Калькуляция (МСА)'!$AE$25:$AE$122,'Калькуляция (МСА)'!$F$25:$F$122,$F149,'Калькуляция (МСА)'!$G$25:$G$122,$G149),_xlfn.SUMIFS(INDEX('Калькуляция (МИ)'!$AJ$25:$BC$747,,MATCH(AP$8,'Калькуляция (МИ)'!$AJ$8:$BC$8,0)),'Калькуляция (МИ)'!$F$25:$F$747,$F149,'Калькуляция (МИ)'!$G$25:$G$747,$G149))))</f>
        <v>124.41596981144</v>
      </c>
      <c r="AQ149" s="5272">
        <f>IF(AND(method_reg="Метод индексации",god&lt;&gt;first_year),_xlfn.SUMIFS(INDEX('Калькуляция (МИ корр)'!$AJ$25:$BC$747,,MATCH(AQ$8,'Калькуляция (МИ корр)'!$AJ$8:$BC$8,0)),'Калькуляция (МИ корр)'!$F$25:$F$747,$F149,'Калькуляция (МИ корр)'!$G$25:$G$747,$G149),IF(method_reg="Метод экономически обоснованных расходов",_xlfn.SUMIFS('Калькуляция (МЭОР)'!$AK$25:$AK$452,'Калькуляция (МЭОР)'!$F$25:$F$452,$F149,'Калькуляция (МЭОР)'!$G$25:$G$452,$G149),IF(method_reg="Метод сравнения аналогов",_xlfn.SUMIFS('Калькуляция (МСА)'!$AF$25:$AF$122,'Калькуляция (МСА)'!$F$25:$F$122,$F149,'Калькуляция (МСА)'!$G$25:$G$122,$G149),_xlfn.SUMIFS(INDEX('Калькуляция (МИ)'!$AJ$25:$BC$747,,MATCH(AQ$8,'Калькуляция (МИ)'!$AJ$8:$BC$8,0)),'Калькуляция (МИ)'!$F$25:$F$747,$F149,'Калькуляция (МИ)'!$G$25:$G$747,$G149))))</f>
        <v>124.942795362053</v>
      </c>
      <c r="AR149" s="296">
        <f>IF(AP149=0,0,(AQ149-AP149)/AP149*100)</f>
        <v>0.423438849057278</v>
      </c>
      <c r="AS149" s="5272">
        <f>IF(AND(method_reg="Метод индексации",god&lt;&gt;first_year),_xlfn.SUMIFS(INDEX('Калькуляция (МИ корр)'!$AJ$25:$BC$747,,MATCH(AS$8,'Калькуляция (МИ корр)'!$AJ$8:$BC$8,0)),'Калькуляция (МИ корр)'!$F$25:$F$747,$F149,'Калькуляция (МИ корр)'!$G$25:$G$747,$G149),IF(method_reg="Метод экономически обоснованных расходов",_xlfn.SUMIFS('Калькуляция (МЭОР)'!$AJ$25:$AJ$452,'Калькуляция (МЭОР)'!$F$25:$F$452,$F149,'Калькуляция (МЭОР)'!$G$25:$G$452,$G149),IF(method_reg="Метод сравнения аналогов",_xlfn.SUMIFS('Калькуляция (МСА)'!$AE$25:$AE$122,'Калькуляция (МСА)'!$F$25:$F$122,$F149,'Калькуляция (МСА)'!$G$25:$G$122,$G149),_xlfn.SUMIFS(INDEX('Калькуляция (МИ)'!$AJ$25:$BC$747,,MATCH(AS$8,'Калькуляция (МИ)'!$AJ$8:$BC$8,0)),'Калькуляция (МИ)'!$F$25:$F$747,$F149,'Калькуляция (МИ)'!$G$25:$G$747,$G149))))</f>
        <v>0</v>
      </c>
      <c r="AT149" s="5272">
        <f>IF(AND(method_reg="Метод индексации",god&lt;&gt;first_year),_xlfn.SUMIFS(INDEX('Калькуляция (МИ корр)'!$AJ$25:$BC$747,,MATCH(AT$8,'Калькуляция (МИ корр)'!$AJ$8:$BC$8,0)),'Калькуляция (МИ корр)'!$F$25:$F$747,$F149,'Калькуляция (МИ корр)'!$G$25:$G$747,$G149),IF(method_reg="Метод экономически обоснованных расходов",_xlfn.SUMIFS('Калькуляция (МЭОР)'!$AK$25:$AK$452,'Калькуляция (МЭОР)'!$F$25:$F$452,$F149,'Калькуляция (МЭОР)'!$G$25:$G$452,$G149),IF(method_reg="Метод сравнения аналогов",_xlfn.SUMIFS('Калькуляция (МСА)'!$AF$25:$AF$122,'Калькуляция (МСА)'!$F$25:$F$122,$F149,'Калькуляция (МСА)'!$G$25:$G$122,$G149),_xlfn.SUMIFS(INDEX('Калькуляция (МИ)'!$AJ$25:$BC$747,,MATCH(AT$8,'Калькуляция (МИ)'!$AJ$8:$BC$8,0)),'Калькуляция (МИ)'!$F$25:$F$747,$F149,'Калькуляция (МИ)'!$G$25:$G$747,$G149))))</f>
        <v>0</v>
      </c>
      <c r="AU149" s="296">
        <f>IF(AS149=0,0,(AT149-AS149)/AS149*100)</f>
        <v>0</v>
      </c>
      <c r="AV149" s="5272">
        <f>IF(AND(method_reg="Метод индексации",god&lt;&gt;first_year),_xlfn.SUMIFS(INDEX('Калькуляция (МИ корр)'!$AJ$25:$BC$747,,MATCH(AV$8,'Калькуляция (МИ корр)'!$AJ$8:$BC$8,0)),'Калькуляция (МИ корр)'!$F$25:$F$747,$F149,'Калькуляция (МИ корр)'!$G$25:$G$747,$G149),IF(method_reg="Метод экономически обоснованных расходов",_xlfn.SUMIFS('Калькуляция (МЭОР)'!$AJ$25:$AJ$452,'Калькуляция (МЭОР)'!$F$25:$F$452,$F149,'Калькуляция (МЭОР)'!$G$25:$G$452,$G149),IF(method_reg="Метод сравнения аналогов",_xlfn.SUMIFS('Калькуляция (МСА)'!$AE$25:$AE$122,'Калькуляция (МСА)'!$F$25:$F$122,$F149,'Калькуляция (МСА)'!$G$25:$G$122,$G149),_xlfn.SUMIFS(INDEX('Калькуляция (МИ)'!$AJ$25:$BC$747,,MATCH(AV$8,'Калькуляция (МИ)'!$AJ$8:$BC$8,0)),'Калькуляция (МИ)'!$F$25:$F$747,$F149,'Калькуляция (МИ)'!$G$25:$G$747,$G149))))</f>
        <v>0</v>
      </c>
      <c r="AW149" s="5272">
        <f>IF(AND(method_reg="Метод индексации",god&lt;&gt;first_year),_xlfn.SUMIFS(INDEX('Калькуляция (МИ корр)'!$AJ$25:$BC$747,,MATCH(AW$8,'Калькуляция (МИ корр)'!$AJ$8:$BC$8,0)),'Калькуляция (МИ корр)'!$F$25:$F$747,$F149,'Калькуляция (МИ корр)'!$G$25:$G$747,$G149),IF(method_reg="Метод экономически обоснованных расходов",_xlfn.SUMIFS('Калькуляция (МЭОР)'!$AK$25:$AK$452,'Калькуляция (МЭОР)'!$F$25:$F$452,$F149,'Калькуляция (МЭОР)'!$G$25:$G$452,$G149),IF(method_reg="Метод сравнения аналогов",_xlfn.SUMIFS('Калькуляция (МСА)'!$AF$25:$AF$122,'Калькуляция (МСА)'!$F$25:$F$122,$F149,'Калькуляция (МСА)'!$G$25:$G$122,$G149),_xlfn.SUMIFS(INDEX('Калькуляция (МИ)'!$AJ$25:$BC$747,,MATCH(AW$8,'Калькуляция (МИ)'!$AJ$8:$BC$8,0)),'Калькуляция (МИ)'!$F$25:$F$747,$F149,'Калькуляция (МИ)'!$G$25:$G$747,$G149))))</f>
        <v>0</v>
      </c>
      <c r="AX149" s="296">
        <f>IF(AV149=0,0,(AW149-AV149)/AV149*100)</f>
        <v>0</v>
      </c>
      <c r="AY149" s="5272">
        <f>IF(AND(method_reg="Метод индексации",god&lt;&gt;first_year),_xlfn.SUMIFS(INDEX('Калькуляция (МИ корр)'!$AJ$25:$BC$747,,MATCH(AY$8,'Калькуляция (МИ корр)'!$AJ$8:$BC$8,0)),'Калькуляция (МИ корр)'!$F$25:$F$747,$F149,'Калькуляция (МИ корр)'!$G$25:$G$747,$G149),IF(method_reg="Метод экономически обоснованных расходов",_xlfn.SUMIFS('Калькуляция (МЭОР)'!$AJ$25:$AJ$452,'Калькуляция (МЭОР)'!$F$25:$F$452,$F149,'Калькуляция (МЭОР)'!$G$25:$G$452,$G149),IF(method_reg="Метод сравнения аналогов",_xlfn.SUMIFS('Калькуляция (МСА)'!$AE$25:$AE$122,'Калькуляция (МСА)'!$F$25:$F$122,$F149,'Калькуляция (МСА)'!$G$25:$G$122,$G149),_xlfn.SUMIFS(INDEX('Калькуляция (МИ)'!$AJ$25:$BC$747,,MATCH(AY$8,'Калькуляция (МИ)'!$AJ$8:$BC$8,0)),'Калькуляция (МИ)'!$F$25:$F$747,$F149,'Калькуляция (МИ)'!$G$25:$G$747,$G149))))</f>
        <v>0</v>
      </c>
      <c r="AZ149" s="5272">
        <f>IF(AND(method_reg="Метод индексации",god&lt;&gt;first_year),_xlfn.SUMIFS(INDEX('Калькуляция (МИ корр)'!$AJ$25:$BC$747,,MATCH(AZ$8,'Калькуляция (МИ корр)'!$AJ$8:$BC$8,0)),'Калькуляция (МИ корр)'!$F$25:$F$747,$F149,'Калькуляция (МИ корр)'!$G$25:$G$747,$G149),IF(method_reg="Метод экономически обоснованных расходов",_xlfn.SUMIFS('Калькуляция (МЭОР)'!$AK$25:$AK$452,'Калькуляция (МЭОР)'!$F$25:$F$452,$F149,'Калькуляция (МЭОР)'!$G$25:$G$452,$G149),IF(method_reg="Метод сравнения аналогов",_xlfn.SUMIFS('Калькуляция (МСА)'!$AF$25:$AF$122,'Калькуляция (МСА)'!$F$25:$F$122,$F149,'Калькуляция (МСА)'!$G$25:$G$122,$G149),_xlfn.SUMIFS(INDEX('Калькуляция (МИ)'!$AJ$25:$BC$747,,MATCH(AZ$8,'Калькуляция (МИ)'!$AJ$8:$BC$8,0)),'Калькуляция (МИ)'!$F$25:$F$747,$F149,'Калькуляция (МИ)'!$G$25:$G$747,$G149))))</f>
        <v>0</v>
      </c>
      <c r="BA149" s="296">
        <f>IF(AY149=0,0,(AZ149-AY149)/AY149*100)</f>
        <v>0</v>
      </c>
      <c r="BB149" s="5272">
        <f>IF(AND(method_reg="Метод индексации",god&lt;&gt;first_year),_xlfn.SUMIFS(INDEX('Калькуляция (МИ корр)'!$AJ$25:$BC$747,,MATCH(BB$8,'Калькуляция (МИ корр)'!$AJ$8:$BC$8,0)),'Калькуляция (МИ корр)'!$F$25:$F$747,$F149,'Калькуляция (МИ корр)'!$G$25:$G$747,$G149),IF(method_reg="Метод экономически обоснованных расходов",_xlfn.SUMIFS('Калькуляция (МЭОР)'!$AJ$25:$AJ$452,'Калькуляция (МЭОР)'!$F$25:$F$452,$F149,'Калькуляция (МЭОР)'!$G$25:$G$452,$G149),IF(method_reg="Метод сравнения аналогов",_xlfn.SUMIFS('Калькуляция (МСА)'!$AE$25:$AE$122,'Калькуляция (МСА)'!$F$25:$F$122,$F149,'Калькуляция (МСА)'!$G$25:$G$122,$G149),_xlfn.SUMIFS(INDEX('Калькуляция (МИ)'!$AJ$25:$BC$747,,MATCH(BB$8,'Калькуляция (МИ)'!$AJ$8:$BC$8,0)),'Калькуляция (МИ)'!$F$25:$F$747,$F149,'Калькуляция (МИ)'!$G$25:$G$747,$G149))))</f>
        <v>0</v>
      </c>
      <c r="BC149" s="5272">
        <f>IF(AND(method_reg="Метод индексации",god&lt;&gt;first_year),_xlfn.SUMIFS(INDEX('Калькуляция (МИ корр)'!$AJ$25:$BC$747,,MATCH(BC$8,'Калькуляция (МИ корр)'!$AJ$8:$BC$8,0)),'Калькуляция (МИ корр)'!$F$25:$F$747,$F149,'Калькуляция (МИ корр)'!$G$25:$G$747,$G149),IF(method_reg="Метод экономически обоснованных расходов",_xlfn.SUMIFS('Калькуляция (МЭОР)'!$AK$25:$AK$452,'Калькуляция (МЭОР)'!$F$25:$F$452,$F149,'Калькуляция (МЭОР)'!$G$25:$G$452,$G149),IF(method_reg="Метод сравнения аналогов",_xlfn.SUMIFS('Калькуляция (МСА)'!$AF$25:$AF$122,'Калькуляция (МСА)'!$F$25:$F$122,$F149,'Калькуляция (МСА)'!$G$25:$G$122,$G149),_xlfn.SUMIFS(INDEX('Калькуляция (МИ)'!$AJ$25:$BC$747,,MATCH(BC$8,'Калькуляция (МИ)'!$AJ$8:$BC$8,0)),'Калькуляция (МИ)'!$F$25:$F$747,$F149,'Калькуляция (МИ)'!$G$25:$G$747,$G149))))</f>
        <v>0</v>
      </c>
      <c r="BD149" s="296">
        <f>IF(BB149=0,0,(BC149-BB149)/BB149*100)</f>
        <v>0</v>
      </c>
      <c r="BE149" s="5272">
        <f>IF(AND(method_reg="Метод индексации",god&lt;&gt;first_year),_xlfn.SUMIFS(INDEX('Калькуляция (МИ корр)'!$AJ$25:$BC$747,,MATCH(BE$8,'Калькуляция (МИ корр)'!$AJ$8:$BC$8,0)),'Калькуляция (МИ корр)'!$F$25:$F$747,$F149,'Калькуляция (МИ корр)'!$G$25:$G$747,$G149),IF(method_reg="Метод экономически обоснованных расходов",_xlfn.SUMIFS('Калькуляция (МЭОР)'!$AJ$25:$AJ$452,'Калькуляция (МЭОР)'!$F$25:$F$452,$F149,'Калькуляция (МЭОР)'!$G$25:$G$452,$G149),IF(method_reg="Метод сравнения аналогов",_xlfn.SUMIFS('Калькуляция (МСА)'!$AE$25:$AE$122,'Калькуляция (МСА)'!$F$25:$F$122,$F149,'Калькуляция (МСА)'!$G$25:$G$122,$G149),_xlfn.SUMIFS(INDEX('Калькуляция (МИ)'!$AJ$25:$BC$747,,MATCH(BE$8,'Калькуляция (МИ)'!$AJ$8:$BC$8,0)),'Калькуляция (МИ)'!$F$25:$F$747,$F149,'Калькуляция (МИ)'!$G$25:$G$747,$G149))))</f>
        <v>0</v>
      </c>
      <c r="BF149" s="5272">
        <f>IF(AND(method_reg="Метод индексации",god&lt;&gt;first_year),_xlfn.SUMIFS(INDEX('Калькуляция (МИ корр)'!$AJ$25:$BC$747,,MATCH(BF$8,'Калькуляция (МИ корр)'!$AJ$8:$BC$8,0)),'Калькуляция (МИ корр)'!$F$25:$F$747,$F149,'Калькуляция (МИ корр)'!$G$25:$G$747,$G149),IF(method_reg="Метод экономически обоснованных расходов",_xlfn.SUMIFS('Калькуляция (МЭОР)'!$AK$25:$AK$452,'Калькуляция (МЭОР)'!$F$25:$F$452,$F149,'Калькуляция (МЭОР)'!$G$25:$G$452,$G149),IF(method_reg="Метод сравнения аналогов",_xlfn.SUMIFS('Калькуляция (МСА)'!$AF$25:$AF$122,'Калькуляция (МСА)'!$F$25:$F$122,$F149,'Калькуляция (МСА)'!$G$25:$G$122,$G149),_xlfn.SUMIFS(INDEX('Калькуляция (МИ)'!$AJ$25:$BC$747,,MATCH(BF$8,'Калькуляция (МИ)'!$AJ$8:$BC$8,0)),'Калькуляция (МИ)'!$F$25:$F$747,$F149,'Калькуляция (МИ)'!$G$25:$G$747,$G149))))</f>
        <v>0</v>
      </c>
      <c r="BG149" s="296">
        <f>IF(BE149=0,0,(BF149-BE149)/BE149*100)</f>
        <v>0</v>
      </c>
      <c r="BH149" s="5272"/>
      <c r="BI149" s="5272"/>
      <c r="BJ149" s="296">
        <f>IF(BH149=0,0,(BI149-BH149)/BH149*100)</f>
        <v>0</v>
      </c>
      <c r="BK149" s="5272"/>
      <c r="BL149" s="5272"/>
      <c r="BM149" s="296">
        <f>IF(BK149=0,0,(BL149-BK149)/BK149*100)</f>
        <v>0</v>
      </c>
      <c r="BN149" s="5272"/>
      <c r="BO149" s="5272"/>
      <c r="BP149" s="296">
        <f>IF(BN149=0,0,(BO149-BN149)/BN149*100)</f>
        <v>0</v>
      </c>
      <c r="BQ149" s="5272"/>
      <c r="BR149" s="5272"/>
      <c r="BS149" s="296">
        <f>IF(BQ149=0,0,(BR149-BQ149)/BQ149*100)</f>
        <v>0</v>
      </c>
      <c r="BT149" s="5272"/>
      <c r="BU149" s="5272"/>
      <c r="BV149" s="296">
        <f>IF(BT149=0,0,(BU149-BT149)/BT149*100)</f>
        <v>0</v>
      </c>
      <c r="BW149" s="5272"/>
      <c r="BX149" s="5272"/>
      <c r="BY149" s="296">
        <f>IF(BW149=0,0,(BX149-BW149)/BW149*100)</f>
        <v>0</v>
      </c>
      <c r="BZ149" s="5272"/>
      <c r="CA149" s="5272"/>
      <c r="CB149" s="296">
        <f>IF(BZ149=0,0,(CA149-BZ149)/BZ149*100)</f>
        <v>0</v>
      </c>
      <c r="CC149" s="5272"/>
      <c r="CD149" s="5272"/>
      <c r="CE149" s="296">
        <f>IF(CC149=0,0,(CD149-CC149)/CC149*100)</f>
        <v>0</v>
      </c>
      <c r="CF149" s="5272"/>
      <c r="CG149" s="5272"/>
      <c r="CH149" s="296">
        <f>IF(CF149=0,0,(CG149-CF149)/CF149*100)</f>
        <v>0</v>
      </c>
      <c r="CI149" s="5272"/>
      <c r="CJ149" s="5272"/>
      <c r="CK149" s="296">
        <f>IF(CI149=0,0,(CJ149-CI149)/CI149*100)</f>
        <v>0</v>
      </c>
      <c r="CL149" s="5272"/>
      <c r="CM149" s="5272"/>
      <c r="CN149" s="296">
        <f>IF(CL149=0,0,(CM149-CL149)/CL149*100)</f>
        <v>0</v>
      </c>
      <c r="CO149" s="5272"/>
      <c r="CP149" s="5272"/>
      <c r="CQ149" s="296">
        <f>IF(CO149=0,0,(CP149-CO149)/CO149*100)</f>
        <v>0</v>
      </c>
      <c r="CR149" s="5272"/>
      <c r="CS149" s="5272"/>
      <c r="CT149" s="296">
        <f>IF(CR149=0,0,(CS149-CR149)/CR149*100)</f>
        <v>0</v>
      </c>
      <c r="CU149" s="5272"/>
      <c r="CV149" s="5272"/>
      <c r="CW149" s="296">
        <f>IF(CU149=0,0,(CV149-CU149)/CU149*100)</f>
        <v>0</v>
      </c>
      <c r="CX149" s="5272"/>
      <c r="CY149" s="5272"/>
      <c r="CZ149" s="296">
        <f>IF(CX149=0,0,(CY149-CX149)/CX149*100)</f>
        <v>0</v>
      </c>
      <c r="DA149" s="5272"/>
      <c r="DB149" s="5272"/>
      <c r="DC149" s="296">
        <f>IF(DA149=0,0,(DB149-DA149)/DA149*100)</f>
        <v>0</v>
      </c>
      <c r="DD149" s="5272"/>
      <c r="DE149" s="5272"/>
      <c r="DF149" s="296">
        <f>IF(DD149=0,0,(DE149-DD149)/DD149*100)</f>
        <v>0</v>
      </c>
      <c r="DG149" s="5272"/>
      <c r="DH149" s="5272"/>
      <c r="DI149" s="296">
        <f>IF(DG149=0,0,(DH149-DG149)/DG149*100)</f>
        <v>0</v>
      </c>
      <c r="DJ149" s="5272"/>
      <c r="DK149" s="5272"/>
      <c r="DL149" s="296">
        <f>IF(DJ149=0,0,(DK149-DJ149)/DJ149*100)</f>
        <v>0</v>
      </c>
      <c r="DM149" s="5272"/>
      <c r="DN149" s="5272"/>
      <c r="DO149" s="296">
        <f>IF(DM149=0,0,(DN149-DM149)/DM149*100)</f>
        <v>0</v>
      </c>
      <c r="DP149" s="5272"/>
      <c r="DQ149" s="5272"/>
      <c r="DR149" s="296">
        <f>IF(DP149=0,0,(DQ149-DP149)/DP149*100)</f>
        <v>0</v>
      </c>
      <c r="DS149" s="5272"/>
      <c r="DT149" s="5272"/>
      <c r="DU149" s="296">
        <f>IF(DS149=0,0,(DT149-DS149)/DS149*100)</f>
        <v>0</v>
      </c>
      <c r="DV149" s="5272"/>
      <c r="DW149" s="5272"/>
      <c r="DX149" s="296">
        <f>IF(DV149=0,0,(DW149-DV149)/DV149*100)</f>
        <v>0</v>
      </c>
      <c r="DY149" s="5272"/>
      <c r="DZ149" s="5272"/>
      <c r="EA149" s="296">
        <f>IF(DY149=0,0,(DZ149-DY149)/DY149*100)</f>
        <v>0</v>
      </c>
      <c r="EB149" s="5272"/>
      <c r="EC149" s="5272"/>
      <c r="ED149" s="296">
        <f>IF(EB149=0,0,(EC149-EB149)/EB149*100)</f>
        <v>0</v>
      </c>
      <c r="EE149" s="5272"/>
      <c r="EF149" s="5272"/>
      <c r="EG149" s="296">
        <f>IF(EE149=0,0,(EF149-EE149)/EE149*100)</f>
        <v>0</v>
      </c>
      <c r="EH149" s="5272"/>
      <c r="EI149" s="5272"/>
      <c r="EJ149" s="296">
        <f>IF(EH149=0,0,(EI149-EH149)/EH149*100)</f>
        <v>0</v>
      </c>
      <c r="EK149" s="5272"/>
      <c r="EL149" s="5272"/>
      <c r="EM149" s="296">
        <f>IF(EK149=0,0,(EL149-EK149)/EK149*100)</f>
        <v>0</v>
      </c>
      <c r="EN149" s="5272"/>
      <c r="EO149" s="5272"/>
      <c r="EP149" s="296">
        <f>IF(EN149=0,0,(EO149-EN149)/EN149*100)</f>
        <v>0</v>
      </c>
      <c r="EQ149" s="5272"/>
      <c r="ER149" s="5272"/>
      <c r="ES149" s="296">
        <f>IF(EQ149=0,0,(ER149-EQ149)/EQ149*100)</f>
        <v>0</v>
      </c>
      <c r="ET149" s="5272"/>
      <c r="EU149" s="5272"/>
      <c r="EV149" s="296">
        <f>IF(ET149=0,0,(EU149-ET149)/ET149*100)</f>
        <v>0</v>
      </c>
      <c r="EW149" s="5272"/>
      <c r="EX149" s="5272"/>
      <c r="EY149" s="296">
        <f>IF(EW149=0,0,(EX149-EW149)/EW149*100)</f>
        <v>0</v>
      </c>
      <c r="EZ149" s="5272"/>
      <c r="FA149" s="5272"/>
      <c r="FB149" s="296">
        <f>IF(EZ149=0,0,(FA149-EZ149)/EZ149*100)</f>
        <v>0</v>
      </c>
      <c r="FC149" s="5272"/>
      <c r="FD149" s="5272"/>
      <c r="FE149" s="296">
        <f>IF(FC149=0,0,(FD149-FC149)/FC149*100)</f>
        <v>0</v>
      </c>
      <c r="FF149" s="5272"/>
      <c r="FG149" s="5272"/>
      <c r="FH149" s="296">
        <f>IF(FF149=0,0,(FG149-FF149)/FF149*100)</f>
        <v>0</v>
      </c>
      <c r="FI149" s="5272"/>
      <c r="FJ149" s="5272"/>
      <c r="FK149" s="296">
        <f>IF(FI149=0,0,(FJ149-FI149)/FI149*100)</f>
        <v>0</v>
      </c>
      <c r="FL149" s="5272"/>
      <c r="FM149" s="5272"/>
      <c r="FN149" s="296">
        <f>IF(FL149=0,0,(FM149-FL149)/FL149*100)</f>
        <v>0</v>
      </c>
      <c r="FO149" s="5272"/>
      <c r="FP149" s="5272"/>
      <c r="FQ149" s="296">
        <f>IF(FO149=0,0,(FP149-FO149)/FO149*100)</f>
        <v>0</v>
      </c>
      <c r="FR149" s="5272"/>
      <c r="FS149" s="5272"/>
      <c r="FT149" s="296">
        <f>IF(FR149=0,0,(FS149-FR149)/FR149*100)</f>
        <v>0</v>
      </c>
      <c r="FU149" s="5272"/>
      <c r="FV149" s="5272"/>
      <c r="FW149" s="296">
        <f>IF(FU149=0,0,(FV149-FU149)/FU149*100)</f>
        <v>0</v>
      </c>
      <c r="FX149" s="292"/>
      <c r="FY149" s="292"/>
      <c r="FZ149" s="1055" t="s">
        <v>2420</v>
      </c>
      <c r="GA149" s="1055"/>
      <c r="GB149" s="1055"/>
      <c r="GC149" s="1056"/>
      <c r="GD149" s="1056"/>
    </row>
    <row s="1834" customFormat="1" customHeight="1" ht="14.25" hidden="1">
      <c r="A150" s="493"/>
      <c r="B150" s="925" cm="1" t="str">
        <f t="array" ref="B150:B150">B149</f>
        <v>false</v>
      </c>
      <c r="C150" s="493"/>
      <c r="D150" s="493"/>
      <c r="E150" s="840">
        <v>15</v>
      </c>
      <c r="F150" s="50" cm="1" t="str">
        <f t="array" ref="F150:F150">OFFSET(E150,-1,1)</f>
        <v>1</v>
      </c>
      <c r="G150" s="493"/>
      <c r="H150" s="493" t="s">
        <v>1179</v>
      </c>
      <c r="I150" s="493"/>
      <c r="J150" s="493"/>
      <c r="K150" s="493"/>
      <c r="L150" s="493"/>
      <c r="M150" s="493"/>
      <c r="N150" s="493"/>
      <c r="O150" s="493"/>
      <c r="P150" s="493"/>
      <c r="Q150" s="493"/>
      <c r="R150" s="493"/>
      <c r="S150" s="493"/>
      <c r="T150" s="465" cm="1" t="str">
        <f t="array" ref="T150:T150">T149</f>
        <v>true</v>
      </c>
      <c r="U150" s="493"/>
      <c r="V150" s="493"/>
      <c r="W150" s="493"/>
      <c r="X150" s="1596"/>
      <c r="Y150" s="493"/>
      <c r="Z150" s="1545"/>
      <c r="AA150" s="493"/>
      <c r="AB150" s="1088" t="s">
        <v>2421</v>
      </c>
      <c r="AC150" s="766" t="s">
        <v>1170</v>
      </c>
      <c r="AD150" s="1092">
        <f>IF(AD148=0,0,AD149/AD148)*100</f>
        <v>109.998877509911</v>
      </c>
      <c r="AE150" s="1092">
        <f>IF(AE148=0,0,AE149/AE148)*100</f>
        <v>109.998878994103</v>
      </c>
      <c r="AF150" s="1109"/>
      <c r="AG150" s="1092">
        <f>IF(AG148=0,0,AG149/AG148)*100</f>
        <v>109.935800823391</v>
      </c>
      <c r="AH150" s="1092">
        <f>IF(AH148=0,0,AH149/AH148)*100</f>
        <v>109.935799534359</v>
      </c>
      <c r="AI150" s="1109"/>
      <c r="AJ150" s="1092">
        <f>IF(AJ148=0,0,AJ149/AJ148)*100</f>
        <v>104.28253577043</v>
      </c>
      <c r="AK150" s="1092">
        <f>IF(AK148=0,0,AK149/AK148)*100</f>
        <v>104.282536027988</v>
      </c>
      <c r="AL150" s="1109"/>
      <c r="AM150" s="1092">
        <f>IF(AM148=0,0,AM149/AM148)*100</f>
        <v>103.591106347023</v>
      </c>
      <c r="AN150" s="1092">
        <f>IF(AN148=0,0,AN149/AN148)*100</f>
        <v>103.591111356469</v>
      </c>
      <c r="AO150" s="1109"/>
      <c r="AP150" s="1092">
        <f>IF(AP148=0,0,AP149/AP148)*100</f>
        <v>106.758168707259</v>
      </c>
      <c r="AQ150" s="1092">
        <f>IF(AQ148=0,0,AQ149/AQ148)*100</f>
        <v>107.210224112308</v>
      </c>
      <c r="AR150" s="1109"/>
      <c r="AS150" s="1092">
        <f>IF(AS148=0,0,AS149/AS148)*100</f>
        <v>0</v>
      </c>
      <c r="AT150" s="1092">
        <f>IF(AT148=0,0,AT149/AT148)*100</f>
        <v>0</v>
      </c>
      <c r="AU150" s="1109"/>
      <c r="AV150" s="1092">
        <f>IF(AV148=0,0,AV149/AV148)*100</f>
        <v>0</v>
      </c>
      <c r="AW150" s="1092">
        <f>IF(AW148=0,0,AW149/AW148)*100</f>
        <v>0</v>
      </c>
      <c r="AX150" s="1109"/>
      <c r="AY150" s="1092">
        <f>IF(AY148=0,0,AY149/AY148)*100</f>
        <v>0</v>
      </c>
      <c r="AZ150" s="1092">
        <f>IF(AZ148=0,0,AZ149/AZ148)*100</f>
        <v>0</v>
      </c>
      <c r="BA150" s="1109"/>
      <c r="BB150" s="1092">
        <f>IF(BB148=0,0,BB149/BB148)*100</f>
        <v>0</v>
      </c>
      <c r="BC150" s="1092">
        <f>IF(BC148=0,0,BC149/BC148)*100</f>
        <v>0</v>
      </c>
      <c r="BD150" s="1109"/>
      <c r="BE150" s="1092">
        <f>IF(BE148=0,0,BE149/BE148)*100</f>
        <v>0</v>
      </c>
      <c r="BF150" s="1092">
        <f>IF(BF148=0,0,BF149/BF148)*100</f>
        <v>0</v>
      </c>
      <c r="BG150" s="1109"/>
      <c r="BH150" s="1092">
        <f>IF(BH148=0,0,BH149/BH148)*100</f>
        <v>0</v>
      </c>
      <c r="BI150" s="1092">
        <f>IF(BI148=0,0,BI149/BI148)*100</f>
        <v>0</v>
      </c>
      <c r="BJ150" s="1109"/>
      <c r="BK150" s="1092">
        <f>IF(BK148=0,0,BK149/BK148)*100</f>
        <v>0</v>
      </c>
      <c r="BL150" s="1092">
        <f>IF(BL148=0,0,BL149/BL148)*100</f>
        <v>0</v>
      </c>
      <c r="BM150" s="1109"/>
      <c r="BN150" s="1092">
        <f>IF(BN148=0,0,BN149/BN148)*100</f>
        <v>0</v>
      </c>
      <c r="BO150" s="1092">
        <f>IF(BO148=0,0,BO149/BO148)*100</f>
        <v>0</v>
      </c>
      <c r="BP150" s="1109"/>
      <c r="BQ150" s="1092">
        <f>IF(BQ148=0,0,BQ149/BQ148)*100</f>
        <v>0</v>
      </c>
      <c r="BR150" s="1092">
        <f>IF(BR148=0,0,BR149/BR148)*100</f>
        <v>0</v>
      </c>
      <c r="BS150" s="1109"/>
      <c r="BT150" s="1092">
        <f>IF(BT148=0,0,BT149/BT148)*100</f>
        <v>0</v>
      </c>
      <c r="BU150" s="1092">
        <f>IF(BU148=0,0,BU149/BU148)*100</f>
        <v>0</v>
      </c>
      <c r="BV150" s="1109"/>
      <c r="BW150" s="1092">
        <f>IF(BW148=0,0,BW149/BW148)*100</f>
        <v>0</v>
      </c>
      <c r="BX150" s="1092">
        <f>IF(BX148=0,0,BX149/BX148)*100</f>
        <v>0</v>
      </c>
      <c r="BY150" s="1109"/>
      <c r="BZ150" s="1092">
        <f>IF(BZ148=0,0,BZ149/BZ148)*100</f>
        <v>0</v>
      </c>
      <c r="CA150" s="1092">
        <f>IF(CA148=0,0,CA149/CA148)*100</f>
        <v>0</v>
      </c>
      <c r="CB150" s="1109"/>
      <c r="CC150" s="1092">
        <f>IF(CC148=0,0,CC149/CC148)*100</f>
        <v>0</v>
      </c>
      <c r="CD150" s="1092">
        <f>IF(CD148=0,0,CD149/CD148)*100</f>
        <v>0</v>
      </c>
      <c r="CE150" s="1109"/>
      <c r="CF150" s="1092">
        <f>IF(CF148=0,0,CF149/CF148)*100</f>
        <v>0</v>
      </c>
      <c r="CG150" s="1092">
        <f>IF(CG148=0,0,CG149/CG148)*100</f>
        <v>0</v>
      </c>
      <c r="CH150" s="1109"/>
      <c r="CI150" s="1092">
        <f>IF(CI148=0,0,CI149/CI148)*100</f>
        <v>0</v>
      </c>
      <c r="CJ150" s="1092">
        <f>IF(CJ148=0,0,CJ149/CJ148)*100</f>
        <v>0</v>
      </c>
      <c r="CK150" s="1109"/>
      <c r="CL150" s="1092">
        <f>IF(CL148=0,0,CL149/CL148)*100</f>
        <v>0</v>
      </c>
      <c r="CM150" s="1092">
        <f>IF(CM148=0,0,CM149/CM148)*100</f>
        <v>0</v>
      </c>
      <c r="CN150" s="1109"/>
      <c r="CO150" s="1092">
        <f>IF(CO148=0,0,CO149/CO148)*100</f>
        <v>0</v>
      </c>
      <c r="CP150" s="1092">
        <f>IF(CP148=0,0,CP149/CP148)*100</f>
        <v>0</v>
      </c>
      <c r="CQ150" s="1109"/>
      <c r="CR150" s="1092">
        <f>IF(CR148=0,0,CR149/CR148)*100</f>
        <v>0</v>
      </c>
      <c r="CS150" s="1092">
        <f>IF(CS148=0,0,CS149/CS148)*100</f>
        <v>0</v>
      </c>
      <c r="CT150" s="1109"/>
      <c r="CU150" s="1092">
        <f>IF(CU148=0,0,CU149/CU148)*100</f>
        <v>0</v>
      </c>
      <c r="CV150" s="1092">
        <f>IF(CV148=0,0,CV149/CV148)*100</f>
        <v>0</v>
      </c>
      <c r="CW150" s="1109"/>
      <c r="CX150" s="1092">
        <f>IF(CX148=0,0,CX149/CX148)*100</f>
        <v>0</v>
      </c>
      <c r="CY150" s="1092">
        <f>IF(CY148=0,0,CY149/CY148)*100</f>
        <v>0</v>
      </c>
      <c r="CZ150" s="1109"/>
      <c r="DA150" s="1092">
        <f>IF(DA148=0,0,DA149/DA148)*100</f>
        <v>0</v>
      </c>
      <c r="DB150" s="1092">
        <f>IF(DB148=0,0,DB149/DB148)*100</f>
        <v>0</v>
      </c>
      <c r="DC150" s="1109"/>
      <c r="DD150" s="1092">
        <f>IF(DD148=0,0,DD149/DD148)*100</f>
        <v>0</v>
      </c>
      <c r="DE150" s="1092">
        <f>IF(DE148=0,0,DE149/DE148)*100</f>
        <v>0</v>
      </c>
      <c r="DF150" s="1109"/>
      <c r="DG150" s="1092">
        <f>IF(DG148=0,0,DG149/DG148)*100</f>
        <v>0</v>
      </c>
      <c r="DH150" s="1092">
        <f>IF(DH148=0,0,DH149/DH148)*100</f>
        <v>0</v>
      </c>
      <c r="DI150" s="1109"/>
      <c r="DJ150" s="1092">
        <f>IF(DJ148=0,0,DJ149/DJ148)*100</f>
        <v>0</v>
      </c>
      <c r="DK150" s="1092">
        <f>IF(DK148=0,0,DK149/DK148)*100</f>
        <v>0</v>
      </c>
      <c r="DL150" s="1109"/>
      <c r="DM150" s="1092">
        <f>IF(DM148=0,0,DM149/DM148)*100</f>
        <v>0</v>
      </c>
      <c r="DN150" s="1092">
        <f>IF(DN148=0,0,DN149/DN148)*100</f>
        <v>0</v>
      </c>
      <c r="DO150" s="1109"/>
      <c r="DP150" s="1092">
        <f>IF(DP148=0,0,DP149/DP148)*100</f>
        <v>0</v>
      </c>
      <c r="DQ150" s="1092">
        <f>IF(DQ148=0,0,DQ149/DQ148)*100</f>
        <v>0</v>
      </c>
      <c r="DR150" s="1109"/>
      <c r="DS150" s="1092">
        <f>IF(DS148=0,0,DS149/DS148)*100</f>
        <v>0</v>
      </c>
      <c r="DT150" s="1092">
        <f>IF(DT148=0,0,DT149/DT148)*100</f>
        <v>0</v>
      </c>
      <c r="DU150" s="1109"/>
      <c r="DV150" s="1092">
        <f>IF(DV148=0,0,DV149/DV148)*100</f>
        <v>0</v>
      </c>
      <c r="DW150" s="1092">
        <f>IF(DW148=0,0,DW149/DW148)*100</f>
        <v>0</v>
      </c>
      <c r="DX150" s="1109"/>
      <c r="DY150" s="1092">
        <f>IF(DY148=0,0,DY149/DY148)*100</f>
        <v>0</v>
      </c>
      <c r="DZ150" s="1092">
        <f>IF(DZ148=0,0,DZ149/DZ148)*100</f>
        <v>0</v>
      </c>
      <c r="EA150" s="1109"/>
      <c r="EB150" s="1092">
        <f>IF(EB148=0,0,EB149/EB148)*100</f>
        <v>0</v>
      </c>
      <c r="EC150" s="1092">
        <f>IF(EC148=0,0,EC149/EC148)*100</f>
        <v>0</v>
      </c>
      <c r="ED150" s="1109"/>
      <c r="EE150" s="1092">
        <f>IF(EE148=0,0,EE149/EE148)*100</f>
        <v>0</v>
      </c>
      <c r="EF150" s="1092">
        <f>IF(EF148=0,0,EF149/EF148)*100</f>
        <v>0</v>
      </c>
      <c r="EG150" s="1109"/>
      <c r="EH150" s="1092">
        <f>IF(EH148=0,0,EH149/EH148)*100</f>
        <v>0</v>
      </c>
      <c r="EI150" s="1092">
        <f>IF(EI148=0,0,EI149/EI148)*100</f>
        <v>0</v>
      </c>
      <c r="EJ150" s="1109"/>
      <c r="EK150" s="1092">
        <f>IF(EK148=0,0,EK149/EK148)*100</f>
        <v>0</v>
      </c>
      <c r="EL150" s="1092">
        <f>IF(EL148=0,0,EL149/EL148)*100</f>
        <v>0</v>
      </c>
      <c r="EM150" s="1109"/>
      <c r="EN150" s="1092">
        <f>IF(EN148=0,0,EN149/EN148)*100</f>
        <v>0</v>
      </c>
      <c r="EO150" s="1092">
        <f>IF(EO148=0,0,EO149/EO148)*100</f>
        <v>0</v>
      </c>
      <c r="EP150" s="1109"/>
      <c r="EQ150" s="1092">
        <f>IF(EQ148=0,0,EQ149/EQ148)*100</f>
        <v>0</v>
      </c>
      <c r="ER150" s="1092">
        <f>IF(ER148=0,0,ER149/ER148)*100</f>
        <v>0</v>
      </c>
      <c r="ES150" s="1109"/>
      <c r="ET150" s="1092">
        <f>IF(ET148=0,0,ET149/ET148)*100</f>
        <v>0</v>
      </c>
      <c r="EU150" s="1092">
        <f>IF(EU148=0,0,EU149/EU148)*100</f>
        <v>0</v>
      </c>
      <c r="EV150" s="1109"/>
      <c r="EW150" s="1092">
        <f>IF(EW148=0,0,EW149/EW148)*100</f>
        <v>0</v>
      </c>
      <c r="EX150" s="1092">
        <f>IF(EX148=0,0,EX149/EX148)*100</f>
        <v>0</v>
      </c>
      <c r="EY150" s="1109"/>
      <c r="EZ150" s="1092">
        <f>IF(EZ148=0,0,EZ149/EZ148)*100</f>
        <v>0</v>
      </c>
      <c r="FA150" s="1092">
        <f>IF(FA148=0,0,FA149/FA148)*100</f>
        <v>0</v>
      </c>
      <c r="FB150" s="1109"/>
      <c r="FC150" s="1092">
        <f>IF(FC148=0,0,FC149/FC148)*100</f>
        <v>0</v>
      </c>
      <c r="FD150" s="1092">
        <f>IF(FD148=0,0,FD149/FD148)*100</f>
        <v>0</v>
      </c>
      <c r="FE150" s="1109"/>
      <c r="FF150" s="1092">
        <f>IF(FF148=0,0,FF149/FF148)*100</f>
        <v>0</v>
      </c>
      <c r="FG150" s="1092">
        <f>IF(FG148=0,0,FG149/FG148)*100</f>
        <v>0</v>
      </c>
      <c r="FH150" s="1109"/>
      <c r="FI150" s="1092">
        <f>IF(FI148=0,0,FI149/FI148)*100</f>
        <v>0</v>
      </c>
      <c r="FJ150" s="1092">
        <f>IF(FJ148=0,0,FJ149/FJ148)*100</f>
        <v>0</v>
      </c>
      <c r="FK150" s="1109"/>
      <c r="FL150" s="1092">
        <f>IF(FL148=0,0,FL149/FL148)*100</f>
        <v>0</v>
      </c>
      <c r="FM150" s="1092">
        <f>IF(FM148=0,0,FM149/FM148)*100</f>
        <v>0</v>
      </c>
      <c r="FN150" s="1109"/>
      <c r="FO150" s="1092">
        <f>IF(FO148=0,0,FO149/FO148)*100</f>
        <v>0</v>
      </c>
      <c r="FP150" s="1092">
        <f>IF(FP148=0,0,FP149/FP148)*100</f>
        <v>0</v>
      </c>
      <c r="FQ150" s="1109"/>
      <c r="FR150" s="1092">
        <f>IF(FR148=0,0,FR149/FR148)*100</f>
        <v>0</v>
      </c>
      <c r="FS150" s="1092">
        <f>IF(FS148=0,0,FS149/FS148)*100</f>
        <v>0</v>
      </c>
      <c r="FT150" s="1109"/>
      <c r="FU150" s="1092">
        <f>IF(FU148=0,0,FU149/FU148)*100</f>
        <v>0</v>
      </c>
      <c r="FV150" s="1092">
        <f>IF(FV148=0,0,FV149/FV148)*100</f>
        <v>0</v>
      </c>
      <c r="FW150" s="1110"/>
      <c r="FX150" s="292"/>
      <c r="FY150" s="1304"/>
      <c r="FZ150" s="1055" t="s">
        <v>2422</v>
      </c>
      <c r="GA150" s="1306"/>
      <c r="GB150" s="1306"/>
      <c r="GC150" s="1305"/>
      <c r="GD150" s="1305"/>
    </row>
    <row s="1834" customFormat="1" customHeight="1" ht="14.25" hidden="1">
      <c r="A151" s="493"/>
      <c r="B151" s="925" cm="1" t="str">
        <f t="array" ref="B151:B151">B150</f>
        <v>false</v>
      </c>
      <c r="C151" s="493"/>
      <c r="D151" s="493"/>
      <c r="E151" s="840">
        <v>15</v>
      </c>
      <c r="F151" s="50" cm="1" t="str">
        <f t="array" ref="F151:F151">OFFSET(E151,-1,1)</f>
        <v>1</v>
      </c>
      <c r="G151" s="107" t="s">
        <v>2346</v>
      </c>
      <c r="H151" s="493"/>
      <c r="I151" s="493"/>
      <c r="J151" s="493"/>
      <c r="K151" s="493"/>
      <c r="L151" s="493"/>
      <c r="M151" s="493"/>
      <c r="N151" s="493"/>
      <c r="O151" s="493"/>
      <c r="P151" s="493"/>
      <c r="Q151" s="493"/>
      <c r="R151" s="493"/>
      <c r="S151" s="493"/>
      <c r="T151" s="465" cm="1" t="str">
        <f t="array" ref="T151:T151">T150</f>
        <v>true</v>
      </c>
      <c r="U151" s="493"/>
      <c r="V151" s="493"/>
      <c r="W151" s="493"/>
      <c r="X151" s="1596"/>
      <c r="Y151" s="493"/>
      <c r="Z151" s="1545"/>
      <c r="AA151" s="493"/>
      <c r="AB151" s="900" t="s">
        <v>2347</v>
      </c>
      <c r="AC151" s="864" t="s">
        <v>1247</v>
      </c>
      <c r="AD151" s="5247">
        <f>IF(AND(method_reg="Метод индексации",god&lt;&gt;first_year),_xlfn.SUMIFS(INDEX('Калькуляция (МИ корр)'!$AJ$25:$BC$747,,MATCH(AD$8,'Калькуляция (МИ корр)'!$AJ$8:$BC$8,0)),'Калькуляция (МИ корр)'!$F$25:$F$747,$F151,'Калькуляция (МИ корр)'!$G$25:$G$747,$G151),IF(method_reg="Метод экономически обоснованных расходов",_xlfn.SUMIFS('Калькуляция (МЭОР)'!$AJ$25:$AJ$452,'Калькуляция (МЭОР)'!$F$25:$F$452,$F151,'Калькуляция (МЭОР)'!$G$25:$G$452,$G151),IF(method_reg="Метод сравнения аналогов",_xlfn.SUMIFS('Калькуляция (МСА)'!$AE$25:$AE$122,'Калькуляция (МСА)'!$F$25:$F$122,$F151,'Калькуляция (МСА)'!$G$25:$G$122,$G151),_xlfn.SUMIFS(INDEX('Калькуляция (МИ)'!$AJ$25:$BC$747,,MATCH(AD$8,'Калькуляция (МИ)'!$AJ$8:$BC$8,0)),'Калькуляция (МИ)'!$F$25:$F$747,$F151,'Калькуляция (МИ)'!$G$25:$G$747,$G151))))</f>
        <v>2356.20182</v>
      </c>
      <c r="AE151" s="5247">
        <f>IF(AND(method_reg="Метод индексации",god&lt;&gt;first_year),_xlfn.SUMIFS(INDEX('Калькуляция (МИ корр)'!$AJ$25:$BC$747,,MATCH(AE$8,'Калькуляция (МИ корр)'!$AJ$8:$BC$8,0)),'Калькуляция (МИ корр)'!$F$25:$F$747,$F151,'Калькуляция (МИ корр)'!$G$25:$G$747,$G151),IF(method_reg="Метод экономически обоснованных расходов",_xlfn.SUMIFS('Калькуляция (МЭОР)'!$AK$25:$AK$452,'Калькуляция (МЭОР)'!$F$25:$F$452,$F151,'Калькуляция (МЭОР)'!$G$25:$G$452,$G151),IF(method_reg="Метод сравнения аналогов",_xlfn.SUMIFS('Калькуляция (МСА)'!$AF$25:$AF$122,'Калькуляция (МСА)'!$F$25:$F$122,$F151,'Калькуляция (МСА)'!$G$25:$G$122,$G151),_xlfn.SUMIFS(INDEX('Калькуляция (МИ)'!$AJ$25:$BC$747,,MATCH(AE$8,'Калькуляция (МИ)'!$AJ$8:$BC$8,0)),'Калькуляция (МИ)'!$F$25:$F$747,$F151,'Калькуляция (МИ)'!$G$25:$G$747,$G151))))</f>
        <v>2356.20182</v>
      </c>
      <c r="AF151" s="1095">
        <f>IF(AD151=0,0,(AE151-AD151)/AD151*100)</f>
        <v>0</v>
      </c>
      <c r="AG151" s="5247">
        <f>IF(AND(method_reg="Метод индексации",god&lt;&gt;first_year),_xlfn.SUMIFS(INDEX('Калькуляция (МИ корр)'!$AJ$25:$BC$747,,MATCH(AG$8,'Калькуляция (МИ корр)'!$AJ$8:$BC$8,0)),'Калькуляция (МИ корр)'!$F$25:$F$747,$F151,'Калькуляция (МИ корр)'!$G$25:$G$747,$G151),IF(method_reg="Метод экономически обоснованных расходов",_xlfn.SUMIFS('Калькуляция (МЭОР)'!$AJ$25:$AJ$452,'Калькуляция (МЭОР)'!$F$25:$F$452,$F151,'Калькуляция (МЭОР)'!$G$25:$G$452,$G151),IF(method_reg="Метод сравнения аналогов",_xlfn.SUMIFS('Калькуляция (МСА)'!$AE$25:$AE$122,'Калькуляция (МСА)'!$F$25:$F$122,$F151,'Калькуляция (МСА)'!$G$25:$G$122,$G151),_xlfn.SUMIFS(INDEX('Калькуляция (МИ)'!$AJ$25:$BC$747,,MATCH(AG$8,'Калькуляция (МИ)'!$AJ$8:$BC$8,0)),'Калькуляция (МИ)'!$F$25:$F$747,$F151,'Калькуляция (МИ)'!$G$25:$G$747,$G151))))</f>
        <v>2356.20182</v>
      </c>
      <c r="AH151" s="5247">
        <f>IF(AND(method_reg="Метод индексации",god&lt;&gt;first_year),_xlfn.SUMIFS(INDEX('Калькуляция (МИ корр)'!$AJ$25:$BC$747,,MATCH(AH$8,'Калькуляция (МИ корр)'!$AJ$8:$BC$8,0)),'Калькуляция (МИ корр)'!$F$25:$F$747,$F151,'Калькуляция (МИ корр)'!$G$25:$G$747,$G151),IF(method_reg="Метод экономически обоснованных расходов",_xlfn.SUMIFS('Калькуляция (МЭОР)'!$AK$25:$AK$452,'Калькуляция (МЭОР)'!$F$25:$F$452,$F151,'Калькуляция (МЭОР)'!$G$25:$G$452,$G151),IF(method_reg="Метод сравнения аналогов",_xlfn.SUMIFS('Калькуляция (МСА)'!$AF$25:$AF$122,'Калькуляция (МСА)'!$F$25:$F$122,$F151,'Калькуляция (МСА)'!$G$25:$G$122,$G151),_xlfn.SUMIFS(INDEX('Калькуляция (МИ)'!$AJ$25:$BC$747,,MATCH(AH$8,'Калькуляция (МИ)'!$AJ$8:$BC$8,0)),'Калькуляция (МИ)'!$F$25:$F$747,$F151,'Калькуляция (МИ)'!$G$25:$G$747,$G151))))</f>
        <v>2356.20182</v>
      </c>
      <c r="AI151" s="1095">
        <f>IF(AG151=0,0,(AH151-AG151)/AG151*100)</f>
        <v>0</v>
      </c>
      <c r="AJ151" s="5247">
        <f>IF(AND(method_reg="Метод индексации",god&lt;&gt;first_year),_xlfn.SUMIFS(INDEX('Калькуляция (МИ корр)'!$AJ$25:$BC$747,,MATCH(AJ$8,'Калькуляция (МИ корр)'!$AJ$8:$BC$8,0)),'Калькуляция (МИ корр)'!$F$25:$F$747,$F151,'Калькуляция (МИ корр)'!$G$25:$G$747,$G151),IF(method_reg="Метод экономически обоснованных расходов",_xlfn.SUMIFS('Калькуляция (МЭОР)'!$AJ$25:$AJ$452,'Калькуляция (МЭОР)'!$F$25:$F$452,$F151,'Калькуляция (МЭОР)'!$G$25:$G$452,$G151),IF(method_reg="Метод сравнения аналогов",_xlfn.SUMIFS('Калькуляция (МСА)'!$AE$25:$AE$122,'Калькуляция (МСА)'!$F$25:$F$122,$F151,'Калькуляция (МСА)'!$G$25:$G$122,$G151),_xlfn.SUMIFS(INDEX('Калькуляция (МИ)'!$AJ$25:$BC$747,,MATCH(AJ$8,'Калькуляция (МИ)'!$AJ$8:$BC$8,0)),'Калькуляция (МИ)'!$F$25:$F$747,$F151,'Калькуляция (МИ)'!$G$25:$G$747,$G151))))</f>
        <v>2356.20182</v>
      </c>
      <c r="AK151" s="5247">
        <f>IF(AND(method_reg="Метод индексации",god&lt;&gt;first_year),_xlfn.SUMIFS(INDEX('Калькуляция (МИ корр)'!$AJ$25:$BC$747,,MATCH(AK$8,'Калькуляция (МИ корр)'!$AJ$8:$BC$8,0)),'Калькуляция (МИ корр)'!$F$25:$F$747,$F151,'Калькуляция (МИ корр)'!$G$25:$G$747,$G151),IF(method_reg="Метод экономически обоснованных расходов",_xlfn.SUMIFS('Калькуляция (МЭОР)'!$AK$25:$AK$452,'Калькуляция (МЭОР)'!$F$25:$F$452,$F151,'Калькуляция (МЭОР)'!$G$25:$G$452,$G151),IF(method_reg="Метод сравнения аналогов",_xlfn.SUMIFS('Калькуляция (МСА)'!$AF$25:$AF$122,'Калькуляция (МСА)'!$F$25:$F$122,$F151,'Калькуляция (МСА)'!$G$25:$G$122,$G151),_xlfn.SUMIFS(INDEX('Калькуляция (МИ)'!$AJ$25:$BC$747,,MATCH(AK$8,'Калькуляция (МИ)'!$AJ$8:$BC$8,0)),'Калькуляция (МИ)'!$F$25:$F$747,$F151,'Калькуляция (МИ)'!$G$25:$G$747,$G151))))</f>
        <v>2356.20182</v>
      </c>
      <c r="AL151" s="1095">
        <f>IF(AJ151=0,0,(AK151-AJ151)/AJ151*100)</f>
        <v>0</v>
      </c>
      <c r="AM151" s="5247">
        <f>IF(AND(method_reg="Метод индексации",god&lt;&gt;first_year),_xlfn.SUMIFS(INDEX('Калькуляция (МИ корр)'!$AJ$25:$BC$747,,MATCH(AM$8,'Калькуляция (МИ корр)'!$AJ$8:$BC$8,0)),'Калькуляция (МИ корр)'!$F$25:$F$747,$F151,'Калькуляция (МИ корр)'!$G$25:$G$747,$G151),IF(method_reg="Метод экономически обоснованных расходов",_xlfn.SUMIFS('Калькуляция (МЭОР)'!$AJ$25:$AJ$452,'Калькуляция (МЭОР)'!$F$25:$F$452,$F151,'Калькуляция (МЭОР)'!$G$25:$G$452,$G151),IF(method_reg="Метод сравнения аналогов",_xlfn.SUMIFS('Калькуляция (МСА)'!$AE$25:$AE$122,'Калькуляция (МСА)'!$F$25:$F$122,$F151,'Калькуляция (МСА)'!$G$25:$G$122,$G151),_xlfn.SUMIFS(INDEX('Калькуляция (МИ)'!$AJ$25:$BC$747,,MATCH(AM$8,'Калькуляция (МИ)'!$AJ$8:$BC$8,0)),'Калькуляция (МИ)'!$F$25:$F$747,$F151,'Калькуляция (МИ)'!$G$25:$G$747,$G151))))</f>
        <v>2356.20182</v>
      </c>
      <c r="AN151" s="5247">
        <f>IF(AND(method_reg="Метод индексации",god&lt;&gt;first_year),_xlfn.SUMIFS(INDEX('Калькуляция (МИ корр)'!$AJ$25:$BC$747,,MATCH(AN$8,'Калькуляция (МИ корр)'!$AJ$8:$BC$8,0)),'Калькуляция (МИ корр)'!$F$25:$F$747,$F151,'Калькуляция (МИ корр)'!$G$25:$G$747,$G151),IF(method_reg="Метод экономически обоснованных расходов",_xlfn.SUMIFS('Калькуляция (МЭОР)'!$AK$25:$AK$452,'Калькуляция (МЭОР)'!$F$25:$F$452,$F151,'Калькуляция (МЭОР)'!$G$25:$G$452,$G151),IF(method_reg="Метод сравнения аналогов",_xlfn.SUMIFS('Калькуляция (МСА)'!$AF$25:$AF$122,'Калькуляция (МСА)'!$F$25:$F$122,$F151,'Калькуляция (МСА)'!$G$25:$G$122,$G151),_xlfn.SUMIFS(INDEX('Калькуляция (МИ)'!$AJ$25:$BC$747,,MATCH(AN$8,'Калькуляция (МИ)'!$AJ$8:$BC$8,0)),'Калькуляция (МИ)'!$F$25:$F$747,$F151,'Калькуляция (МИ)'!$G$25:$G$747,$G151))))</f>
        <v>2356.20182</v>
      </c>
      <c r="AO151" s="1095">
        <f>IF(AM151=0,0,(AN151-AM151)/AM151*100)</f>
        <v>0</v>
      </c>
      <c r="AP151" s="5247">
        <f>IF(AND(method_reg="Метод индексации",god&lt;&gt;first_year),_xlfn.SUMIFS(INDEX('Калькуляция (МИ корр)'!$AJ$25:$BC$747,,MATCH(AP$8,'Калькуляция (МИ корр)'!$AJ$8:$BC$8,0)),'Калькуляция (МИ корр)'!$F$25:$F$747,$F151,'Калькуляция (МИ корр)'!$G$25:$G$747,$G151),IF(method_reg="Метод экономически обоснованных расходов",_xlfn.SUMIFS('Калькуляция (МЭОР)'!$AJ$25:$AJ$452,'Калькуляция (МЭОР)'!$F$25:$F$452,$F151,'Калькуляция (МЭОР)'!$G$25:$G$452,$G151),IF(method_reg="Метод сравнения аналогов",_xlfn.SUMIFS('Калькуляция (МСА)'!$AE$25:$AE$122,'Калькуляция (МСА)'!$F$25:$F$122,$F151,'Калькуляция (МСА)'!$G$25:$G$122,$G151),_xlfn.SUMIFS(INDEX('Калькуляция (МИ)'!$AJ$25:$BC$747,,MATCH(AP$8,'Калькуляция (МИ)'!$AJ$8:$BC$8,0)),'Калькуляция (МИ)'!$F$25:$F$747,$F151,'Калькуляция (МИ)'!$G$25:$G$747,$G151))))</f>
        <v>2356.20182</v>
      </c>
      <c r="AQ151" s="5247">
        <f>IF(AND(method_reg="Метод индексации",god&lt;&gt;first_year),_xlfn.SUMIFS(INDEX('Калькуляция (МИ корр)'!$AJ$25:$BC$747,,MATCH(AQ$8,'Калькуляция (МИ корр)'!$AJ$8:$BC$8,0)),'Калькуляция (МИ корр)'!$F$25:$F$747,$F151,'Калькуляция (МИ корр)'!$G$25:$G$747,$G151),IF(method_reg="Метод экономически обоснованных расходов",_xlfn.SUMIFS('Калькуляция (МЭОР)'!$AK$25:$AK$452,'Калькуляция (МЭОР)'!$F$25:$F$452,$F151,'Калькуляция (МЭОР)'!$G$25:$G$452,$G151),IF(method_reg="Метод сравнения аналогов",_xlfn.SUMIFS('Калькуляция (МСА)'!$AF$25:$AF$122,'Калькуляция (МСА)'!$F$25:$F$122,$F151,'Калькуляция (МСА)'!$G$25:$G$122,$G151),_xlfn.SUMIFS(INDEX('Калькуляция (МИ)'!$AJ$25:$BC$747,,MATCH(AQ$8,'Калькуляция (МИ)'!$AJ$8:$BC$8,0)),'Калькуляция (МИ)'!$F$25:$F$747,$F151,'Калькуляция (МИ)'!$G$25:$G$747,$G151))))</f>
        <v>2356.20182</v>
      </c>
      <c r="AR151" s="1095">
        <f>IF(AP151=0,0,(AQ151-AP151)/AP151*100)</f>
        <v>0</v>
      </c>
      <c r="AS151" s="5247">
        <f>IF(AND(method_reg="Метод индексации",god&lt;&gt;first_year),_xlfn.SUMIFS(INDEX('Калькуляция (МИ корр)'!$AJ$25:$BC$747,,MATCH(AS$8,'Калькуляция (МИ корр)'!$AJ$8:$BC$8,0)),'Калькуляция (МИ корр)'!$F$25:$F$747,$F151,'Калькуляция (МИ корр)'!$G$25:$G$747,$G151),IF(method_reg="Метод экономически обоснованных расходов",_xlfn.SUMIFS('Калькуляция (МЭОР)'!$AJ$25:$AJ$452,'Калькуляция (МЭОР)'!$F$25:$F$452,$F151,'Калькуляция (МЭОР)'!$G$25:$G$452,$G151),IF(method_reg="Метод сравнения аналогов",_xlfn.SUMIFS('Калькуляция (МСА)'!$AE$25:$AE$122,'Калькуляция (МСА)'!$F$25:$F$122,$F151,'Калькуляция (МСА)'!$G$25:$G$122,$G151),_xlfn.SUMIFS(INDEX('Калькуляция (МИ)'!$AJ$25:$BC$747,,MATCH(AS$8,'Калькуляция (МИ)'!$AJ$8:$BC$8,0)),'Калькуляция (МИ)'!$F$25:$F$747,$F151,'Калькуляция (МИ)'!$G$25:$G$747,$G151))))</f>
        <v>0</v>
      </c>
      <c r="AT151" s="5247">
        <f>IF(AND(method_reg="Метод индексации",god&lt;&gt;first_year),_xlfn.SUMIFS(INDEX('Калькуляция (МИ корр)'!$AJ$25:$BC$747,,MATCH(AT$8,'Калькуляция (МИ корр)'!$AJ$8:$BC$8,0)),'Калькуляция (МИ корр)'!$F$25:$F$747,$F151,'Калькуляция (МИ корр)'!$G$25:$G$747,$G151),IF(method_reg="Метод экономически обоснованных расходов",_xlfn.SUMIFS('Калькуляция (МЭОР)'!$AK$25:$AK$452,'Калькуляция (МЭОР)'!$F$25:$F$452,$F151,'Калькуляция (МЭОР)'!$G$25:$G$452,$G151),IF(method_reg="Метод сравнения аналогов",_xlfn.SUMIFS('Калькуляция (МСА)'!$AF$25:$AF$122,'Калькуляция (МСА)'!$F$25:$F$122,$F151,'Калькуляция (МСА)'!$G$25:$G$122,$G151),_xlfn.SUMIFS(INDEX('Калькуляция (МИ)'!$AJ$25:$BC$747,,MATCH(AT$8,'Калькуляция (МИ)'!$AJ$8:$BC$8,0)),'Калькуляция (МИ)'!$F$25:$F$747,$F151,'Калькуляция (МИ)'!$G$25:$G$747,$G151))))</f>
        <v>0</v>
      </c>
      <c r="AU151" s="1095">
        <f>IF(AS151=0,0,(AT151-AS151)/AS151*100)</f>
        <v>0</v>
      </c>
      <c r="AV151" s="5247">
        <f>IF(AND(method_reg="Метод индексации",god&lt;&gt;first_year),_xlfn.SUMIFS(INDEX('Калькуляция (МИ корр)'!$AJ$25:$BC$747,,MATCH(AV$8,'Калькуляция (МИ корр)'!$AJ$8:$BC$8,0)),'Калькуляция (МИ корр)'!$F$25:$F$747,$F151,'Калькуляция (МИ корр)'!$G$25:$G$747,$G151),IF(method_reg="Метод экономически обоснованных расходов",_xlfn.SUMIFS('Калькуляция (МЭОР)'!$AJ$25:$AJ$452,'Калькуляция (МЭОР)'!$F$25:$F$452,$F151,'Калькуляция (МЭОР)'!$G$25:$G$452,$G151),IF(method_reg="Метод сравнения аналогов",_xlfn.SUMIFS('Калькуляция (МСА)'!$AE$25:$AE$122,'Калькуляция (МСА)'!$F$25:$F$122,$F151,'Калькуляция (МСА)'!$G$25:$G$122,$G151),_xlfn.SUMIFS(INDEX('Калькуляция (МИ)'!$AJ$25:$BC$747,,MATCH(AV$8,'Калькуляция (МИ)'!$AJ$8:$BC$8,0)),'Калькуляция (МИ)'!$F$25:$F$747,$F151,'Калькуляция (МИ)'!$G$25:$G$747,$G151))))</f>
        <v>0</v>
      </c>
      <c r="AW151" s="5247">
        <f>IF(AND(method_reg="Метод индексации",god&lt;&gt;first_year),_xlfn.SUMIFS(INDEX('Калькуляция (МИ корр)'!$AJ$25:$BC$747,,MATCH(AW$8,'Калькуляция (МИ корр)'!$AJ$8:$BC$8,0)),'Калькуляция (МИ корр)'!$F$25:$F$747,$F151,'Калькуляция (МИ корр)'!$G$25:$G$747,$G151),IF(method_reg="Метод экономически обоснованных расходов",_xlfn.SUMIFS('Калькуляция (МЭОР)'!$AK$25:$AK$452,'Калькуляция (МЭОР)'!$F$25:$F$452,$F151,'Калькуляция (МЭОР)'!$G$25:$G$452,$G151),IF(method_reg="Метод сравнения аналогов",_xlfn.SUMIFS('Калькуляция (МСА)'!$AF$25:$AF$122,'Калькуляция (МСА)'!$F$25:$F$122,$F151,'Калькуляция (МСА)'!$G$25:$G$122,$G151),_xlfn.SUMIFS(INDEX('Калькуляция (МИ)'!$AJ$25:$BC$747,,MATCH(AW$8,'Калькуляция (МИ)'!$AJ$8:$BC$8,0)),'Калькуляция (МИ)'!$F$25:$F$747,$F151,'Калькуляция (МИ)'!$G$25:$G$747,$G151))))</f>
        <v>0</v>
      </c>
      <c r="AX151" s="1095">
        <f>IF(AV151=0,0,(AW151-AV151)/AV151*100)</f>
        <v>0</v>
      </c>
      <c r="AY151" s="5247">
        <f>IF(AND(method_reg="Метод индексации",god&lt;&gt;first_year),_xlfn.SUMIFS(INDEX('Калькуляция (МИ корр)'!$AJ$25:$BC$747,,MATCH(AY$8,'Калькуляция (МИ корр)'!$AJ$8:$BC$8,0)),'Калькуляция (МИ корр)'!$F$25:$F$747,$F151,'Калькуляция (МИ корр)'!$G$25:$G$747,$G151),IF(method_reg="Метод экономически обоснованных расходов",_xlfn.SUMIFS('Калькуляция (МЭОР)'!$AJ$25:$AJ$452,'Калькуляция (МЭОР)'!$F$25:$F$452,$F151,'Калькуляция (МЭОР)'!$G$25:$G$452,$G151),IF(method_reg="Метод сравнения аналогов",_xlfn.SUMIFS('Калькуляция (МСА)'!$AE$25:$AE$122,'Калькуляция (МСА)'!$F$25:$F$122,$F151,'Калькуляция (МСА)'!$G$25:$G$122,$G151),_xlfn.SUMIFS(INDEX('Калькуляция (МИ)'!$AJ$25:$BC$747,,MATCH(AY$8,'Калькуляция (МИ)'!$AJ$8:$BC$8,0)),'Калькуляция (МИ)'!$F$25:$F$747,$F151,'Калькуляция (МИ)'!$G$25:$G$747,$G151))))</f>
        <v>0</v>
      </c>
      <c r="AZ151" s="5247">
        <f>IF(AND(method_reg="Метод индексации",god&lt;&gt;first_year),_xlfn.SUMIFS(INDEX('Калькуляция (МИ корр)'!$AJ$25:$BC$747,,MATCH(AZ$8,'Калькуляция (МИ корр)'!$AJ$8:$BC$8,0)),'Калькуляция (МИ корр)'!$F$25:$F$747,$F151,'Калькуляция (МИ корр)'!$G$25:$G$747,$G151),IF(method_reg="Метод экономически обоснованных расходов",_xlfn.SUMIFS('Калькуляция (МЭОР)'!$AK$25:$AK$452,'Калькуляция (МЭОР)'!$F$25:$F$452,$F151,'Калькуляция (МЭОР)'!$G$25:$G$452,$G151),IF(method_reg="Метод сравнения аналогов",_xlfn.SUMIFS('Калькуляция (МСА)'!$AF$25:$AF$122,'Калькуляция (МСА)'!$F$25:$F$122,$F151,'Калькуляция (МСА)'!$G$25:$G$122,$G151),_xlfn.SUMIFS(INDEX('Калькуляция (МИ)'!$AJ$25:$BC$747,,MATCH(AZ$8,'Калькуляция (МИ)'!$AJ$8:$BC$8,0)),'Калькуляция (МИ)'!$F$25:$F$747,$F151,'Калькуляция (МИ)'!$G$25:$G$747,$G151))))</f>
        <v>0</v>
      </c>
      <c r="BA151" s="1095">
        <f>IF(AY151=0,0,(AZ151-AY151)/AY151*100)</f>
        <v>0</v>
      </c>
      <c r="BB151" s="5247">
        <f>IF(AND(method_reg="Метод индексации",god&lt;&gt;first_year),_xlfn.SUMIFS(INDEX('Калькуляция (МИ корр)'!$AJ$25:$BC$747,,MATCH(BB$8,'Калькуляция (МИ корр)'!$AJ$8:$BC$8,0)),'Калькуляция (МИ корр)'!$F$25:$F$747,$F151,'Калькуляция (МИ корр)'!$G$25:$G$747,$G151),IF(method_reg="Метод экономически обоснованных расходов",_xlfn.SUMIFS('Калькуляция (МЭОР)'!$AJ$25:$AJ$452,'Калькуляция (МЭОР)'!$F$25:$F$452,$F151,'Калькуляция (МЭОР)'!$G$25:$G$452,$G151),IF(method_reg="Метод сравнения аналогов",_xlfn.SUMIFS('Калькуляция (МСА)'!$AE$25:$AE$122,'Калькуляция (МСА)'!$F$25:$F$122,$F151,'Калькуляция (МСА)'!$G$25:$G$122,$G151),_xlfn.SUMIFS(INDEX('Калькуляция (МИ)'!$AJ$25:$BC$747,,MATCH(BB$8,'Калькуляция (МИ)'!$AJ$8:$BC$8,0)),'Калькуляция (МИ)'!$F$25:$F$747,$F151,'Калькуляция (МИ)'!$G$25:$G$747,$G151))))</f>
        <v>0</v>
      </c>
      <c r="BC151" s="5247">
        <f>IF(AND(method_reg="Метод индексации",god&lt;&gt;first_year),_xlfn.SUMIFS(INDEX('Калькуляция (МИ корр)'!$AJ$25:$BC$747,,MATCH(BC$8,'Калькуляция (МИ корр)'!$AJ$8:$BC$8,0)),'Калькуляция (МИ корр)'!$F$25:$F$747,$F151,'Калькуляция (МИ корр)'!$G$25:$G$747,$G151),IF(method_reg="Метод экономически обоснованных расходов",_xlfn.SUMIFS('Калькуляция (МЭОР)'!$AK$25:$AK$452,'Калькуляция (МЭОР)'!$F$25:$F$452,$F151,'Калькуляция (МЭОР)'!$G$25:$G$452,$G151),IF(method_reg="Метод сравнения аналогов",_xlfn.SUMIFS('Калькуляция (МСА)'!$AF$25:$AF$122,'Калькуляция (МСА)'!$F$25:$F$122,$F151,'Калькуляция (МСА)'!$G$25:$G$122,$G151),_xlfn.SUMIFS(INDEX('Калькуляция (МИ)'!$AJ$25:$BC$747,,MATCH(BC$8,'Калькуляция (МИ)'!$AJ$8:$BC$8,0)),'Калькуляция (МИ)'!$F$25:$F$747,$F151,'Калькуляция (МИ)'!$G$25:$G$747,$G151))))</f>
        <v>0</v>
      </c>
      <c r="BD151" s="1095">
        <f>IF(BB151=0,0,(BC151-BB151)/BB151*100)</f>
        <v>0</v>
      </c>
      <c r="BE151" s="5247">
        <f>IF(AND(method_reg="Метод индексации",god&lt;&gt;first_year),_xlfn.SUMIFS(INDEX('Калькуляция (МИ корр)'!$AJ$25:$BC$747,,MATCH(BE$8,'Калькуляция (МИ корр)'!$AJ$8:$BC$8,0)),'Калькуляция (МИ корр)'!$F$25:$F$747,$F151,'Калькуляция (МИ корр)'!$G$25:$G$747,$G151),IF(method_reg="Метод экономически обоснованных расходов",_xlfn.SUMIFS('Калькуляция (МЭОР)'!$AJ$25:$AJ$452,'Калькуляция (МЭОР)'!$F$25:$F$452,$F151,'Калькуляция (МЭОР)'!$G$25:$G$452,$G151),IF(method_reg="Метод сравнения аналогов",_xlfn.SUMIFS('Калькуляция (МСА)'!$AE$25:$AE$122,'Калькуляция (МСА)'!$F$25:$F$122,$F151,'Калькуляция (МСА)'!$G$25:$G$122,$G151),_xlfn.SUMIFS(INDEX('Калькуляция (МИ)'!$AJ$25:$BC$747,,MATCH(BE$8,'Калькуляция (МИ)'!$AJ$8:$BC$8,0)),'Калькуляция (МИ)'!$F$25:$F$747,$F151,'Калькуляция (МИ)'!$G$25:$G$747,$G151))))</f>
        <v>0</v>
      </c>
      <c r="BF151" s="5247">
        <f>IF(AND(method_reg="Метод индексации",god&lt;&gt;first_year),_xlfn.SUMIFS(INDEX('Калькуляция (МИ корр)'!$AJ$25:$BC$747,,MATCH(BF$8,'Калькуляция (МИ корр)'!$AJ$8:$BC$8,0)),'Калькуляция (МИ корр)'!$F$25:$F$747,$F151,'Калькуляция (МИ корр)'!$G$25:$G$747,$G151),IF(method_reg="Метод экономически обоснованных расходов",_xlfn.SUMIFS('Калькуляция (МЭОР)'!$AK$25:$AK$452,'Калькуляция (МЭОР)'!$F$25:$F$452,$F151,'Калькуляция (МЭОР)'!$G$25:$G$452,$G151),IF(method_reg="Метод сравнения аналогов",_xlfn.SUMIFS('Калькуляция (МСА)'!$AF$25:$AF$122,'Калькуляция (МСА)'!$F$25:$F$122,$F151,'Калькуляция (МСА)'!$G$25:$G$122,$G151),_xlfn.SUMIFS(INDEX('Калькуляция (МИ)'!$AJ$25:$BC$747,,MATCH(BF$8,'Калькуляция (МИ)'!$AJ$8:$BC$8,0)),'Калькуляция (МИ)'!$F$25:$F$747,$F151,'Калькуляция (МИ)'!$G$25:$G$747,$G151))))</f>
        <v>0</v>
      </c>
      <c r="BG151" s="1095">
        <f>IF(BE151=0,0,(BF151-BE151)/BE151*100)</f>
        <v>0</v>
      </c>
      <c r="BH151" s="5247"/>
      <c r="BI151" s="5247"/>
      <c r="BJ151" s="1095">
        <f>IF(BH151=0,0,(BI151-BH151)/BH151*100)</f>
        <v>0</v>
      </c>
      <c r="BK151" s="5247"/>
      <c r="BL151" s="5247"/>
      <c r="BM151" s="1095">
        <f>IF(BK151=0,0,(BL151-BK151)/BK151*100)</f>
        <v>0</v>
      </c>
      <c r="BN151" s="5247"/>
      <c r="BO151" s="5247"/>
      <c r="BP151" s="1095">
        <f>IF(BN151=0,0,(BO151-BN151)/BN151*100)</f>
        <v>0</v>
      </c>
      <c r="BQ151" s="5247"/>
      <c r="BR151" s="5247"/>
      <c r="BS151" s="1095">
        <f>IF(BQ151=0,0,(BR151-BQ151)/BQ151*100)</f>
        <v>0</v>
      </c>
      <c r="BT151" s="5247"/>
      <c r="BU151" s="5247"/>
      <c r="BV151" s="1095">
        <f>IF(BT151=0,0,(BU151-BT151)/BT151*100)</f>
        <v>0</v>
      </c>
      <c r="BW151" s="5247"/>
      <c r="BX151" s="5247"/>
      <c r="BY151" s="1095">
        <f>IF(BW151=0,0,(BX151-BW151)/BW151*100)</f>
        <v>0</v>
      </c>
      <c r="BZ151" s="5247"/>
      <c r="CA151" s="5247"/>
      <c r="CB151" s="1095">
        <f>IF(BZ151=0,0,(CA151-BZ151)/BZ151*100)</f>
        <v>0</v>
      </c>
      <c r="CC151" s="5247"/>
      <c r="CD151" s="5247"/>
      <c r="CE151" s="1095">
        <f>IF(CC151=0,0,(CD151-CC151)/CC151*100)</f>
        <v>0</v>
      </c>
      <c r="CF151" s="5247"/>
      <c r="CG151" s="5247"/>
      <c r="CH151" s="1095">
        <f>IF(CF151=0,0,(CG151-CF151)/CF151*100)</f>
        <v>0</v>
      </c>
      <c r="CI151" s="5247"/>
      <c r="CJ151" s="5247"/>
      <c r="CK151" s="1095">
        <f>IF(CI151=0,0,(CJ151-CI151)/CI151*100)</f>
        <v>0</v>
      </c>
      <c r="CL151" s="5247"/>
      <c r="CM151" s="5247"/>
      <c r="CN151" s="1095">
        <f>IF(CL151=0,0,(CM151-CL151)/CL151*100)</f>
        <v>0</v>
      </c>
      <c r="CO151" s="5247"/>
      <c r="CP151" s="5247"/>
      <c r="CQ151" s="1095">
        <f>IF(CO151=0,0,(CP151-CO151)/CO151*100)</f>
        <v>0</v>
      </c>
      <c r="CR151" s="5247"/>
      <c r="CS151" s="5247"/>
      <c r="CT151" s="1095">
        <f>IF(CR151=0,0,(CS151-CR151)/CR151*100)</f>
        <v>0</v>
      </c>
      <c r="CU151" s="5247"/>
      <c r="CV151" s="5247"/>
      <c r="CW151" s="1095">
        <f>IF(CU151=0,0,(CV151-CU151)/CU151*100)</f>
        <v>0</v>
      </c>
      <c r="CX151" s="5247"/>
      <c r="CY151" s="5247"/>
      <c r="CZ151" s="1095">
        <f>IF(CX151=0,0,(CY151-CX151)/CX151*100)</f>
        <v>0</v>
      </c>
      <c r="DA151" s="5247"/>
      <c r="DB151" s="5247"/>
      <c r="DC151" s="1095">
        <f>IF(DA151=0,0,(DB151-DA151)/DA151*100)</f>
        <v>0</v>
      </c>
      <c r="DD151" s="5247"/>
      <c r="DE151" s="5247"/>
      <c r="DF151" s="1095">
        <f>IF(DD151=0,0,(DE151-DD151)/DD151*100)</f>
        <v>0</v>
      </c>
      <c r="DG151" s="5247"/>
      <c r="DH151" s="5247"/>
      <c r="DI151" s="1095">
        <f>IF(DG151=0,0,(DH151-DG151)/DG151*100)</f>
        <v>0</v>
      </c>
      <c r="DJ151" s="5247"/>
      <c r="DK151" s="5247"/>
      <c r="DL151" s="1095">
        <f>IF(DJ151=0,0,(DK151-DJ151)/DJ151*100)</f>
        <v>0</v>
      </c>
      <c r="DM151" s="5247"/>
      <c r="DN151" s="5247"/>
      <c r="DO151" s="1095">
        <f>IF(DM151=0,0,(DN151-DM151)/DM151*100)</f>
        <v>0</v>
      </c>
      <c r="DP151" s="5247"/>
      <c r="DQ151" s="5247"/>
      <c r="DR151" s="1095">
        <f>IF(DP151=0,0,(DQ151-DP151)/DP151*100)</f>
        <v>0</v>
      </c>
      <c r="DS151" s="5247"/>
      <c r="DT151" s="5247"/>
      <c r="DU151" s="1095">
        <f>IF(DS151=0,0,(DT151-DS151)/DS151*100)</f>
        <v>0</v>
      </c>
      <c r="DV151" s="5247"/>
      <c r="DW151" s="5247"/>
      <c r="DX151" s="1095">
        <f>IF(DV151=0,0,(DW151-DV151)/DV151*100)</f>
        <v>0</v>
      </c>
      <c r="DY151" s="5247"/>
      <c r="DZ151" s="5247"/>
      <c r="EA151" s="1095">
        <f>IF(DY151=0,0,(DZ151-DY151)/DY151*100)</f>
        <v>0</v>
      </c>
      <c r="EB151" s="5247"/>
      <c r="EC151" s="5247"/>
      <c r="ED151" s="1095">
        <f>IF(EB151=0,0,(EC151-EB151)/EB151*100)</f>
        <v>0</v>
      </c>
      <c r="EE151" s="5247"/>
      <c r="EF151" s="5247"/>
      <c r="EG151" s="1095">
        <f>IF(EE151=0,0,(EF151-EE151)/EE151*100)</f>
        <v>0</v>
      </c>
      <c r="EH151" s="5247"/>
      <c r="EI151" s="5247"/>
      <c r="EJ151" s="1095">
        <f>IF(EH151=0,0,(EI151-EH151)/EH151*100)</f>
        <v>0</v>
      </c>
      <c r="EK151" s="5247"/>
      <c r="EL151" s="5247"/>
      <c r="EM151" s="1095">
        <f>IF(EK151=0,0,(EL151-EK151)/EK151*100)</f>
        <v>0</v>
      </c>
      <c r="EN151" s="5247"/>
      <c r="EO151" s="5247"/>
      <c r="EP151" s="1095">
        <f>IF(EN151=0,0,(EO151-EN151)/EN151*100)</f>
        <v>0</v>
      </c>
      <c r="EQ151" s="5247"/>
      <c r="ER151" s="5247"/>
      <c r="ES151" s="1095">
        <f>IF(EQ151=0,0,(ER151-EQ151)/EQ151*100)</f>
        <v>0</v>
      </c>
      <c r="ET151" s="5247"/>
      <c r="EU151" s="5247"/>
      <c r="EV151" s="1095">
        <f>IF(ET151=0,0,(EU151-ET151)/ET151*100)</f>
        <v>0</v>
      </c>
      <c r="EW151" s="5247"/>
      <c r="EX151" s="5247"/>
      <c r="EY151" s="1095">
        <f>IF(EW151=0,0,(EX151-EW151)/EW151*100)</f>
        <v>0</v>
      </c>
      <c r="EZ151" s="5247"/>
      <c r="FA151" s="5247"/>
      <c r="FB151" s="1095">
        <f>IF(EZ151=0,0,(FA151-EZ151)/EZ151*100)</f>
        <v>0</v>
      </c>
      <c r="FC151" s="5247"/>
      <c r="FD151" s="5247"/>
      <c r="FE151" s="1095">
        <f>IF(FC151=0,0,(FD151-FC151)/FC151*100)</f>
        <v>0</v>
      </c>
      <c r="FF151" s="5247"/>
      <c r="FG151" s="5247"/>
      <c r="FH151" s="1095">
        <f>IF(FF151=0,0,(FG151-FF151)/FF151*100)</f>
        <v>0</v>
      </c>
      <c r="FI151" s="5247"/>
      <c r="FJ151" s="5247"/>
      <c r="FK151" s="1095">
        <f>IF(FI151=0,0,(FJ151-FI151)/FI151*100)</f>
        <v>0</v>
      </c>
      <c r="FL151" s="5247"/>
      <c r="FM151" s="5247"/>
      <c r="FN151" s="1095">
        <f>IF(FL151=0,0,(FM151-FL151)/FL151*100)</f>
        <v>0</v>
      </c>
      <c r="FO151" s="5247"/>
      <c r="FP151" s="5247"/>
      <c r="FQ151" s="1095">
        <f>IF(FO151=0,0,(FP151-FO151)/FO151*100)</f>
        <v>0</v>
      </c>
      <c r="FR151" s="5247"/>
      <c r="FS151" s="5247"/>
      <c r="FT151" s="1095">
        <f>IF(FR151=0,0,(FS151-FR151)/FR151*100)</f>
        <v>0</v>
      </c>
      <c r="FU151" s="5247"/>
      <c r="FV151" s="5247"/>
      <c r="FW151" s="1095">
        <f>IF(FU151=0,0,(FV151-FU151)/FU151*100)</f>
        <v>0</v>
      </c>
      <c r="FX151" s="292"/>
      <c r="FY151" s="1304"/>
      <c r="FZ151" s="1055" t="s">
        <v>2423</v>
      </c>
      <c r="GA151" s="1306"/>
      <c r="GB151" s="1306"/>
      <c r="GC151" s="1305"/>
      <c r="GD151" s="1305"/>
    </row>
    <row s="1834" customFormat="1" customHeight="1" ht="18" hidden="1">
      <c r="A152" s="493"/>
      <c r="B152" s="925" cm="1" t="str">
        <f t="array" ref="B152:B152">B151</f>
        <v>false</v>
      </c>
      <c r="C152" s="493"/>
      <c r="D152" s="493"/>
      <c r="E152" s="840">
        <v>18.75</v>
      </c>
      <c r="F152" s="50" cm="1" t="str">
        <f t="array" ref="F152:F152">OFFSET(E152,-1,1)</f>
        <v>1</v>
      </c>
      <c r="G152" s="493"/>
      <c r="H152" s="493" t="s">
        <v>1175</v>
      </c>
      <c r="I152" s="493" cm="1" t="str">
        <f t="array" ref="I152:I152">AB152</f>
        <v>0</v>
      </c>
      <c r="J152" s="493"/>
      <c r="K152" s="493"/>
      <c r="L152" s="493"/>
      <c r="M152" s="493"/>
      <c r="N152" s="493"/>
      <c r="O152" s="493"/>
      <c r="P152" s="493"/>
      <c r="Q152" s="493"/>
      <c r="R152" s="493"/>
      <c r="S152" s="493"/>
      <c r="T152" s="465">
        <f>AND(F152&gt;0,Y152&gt;0)</f>
        <v>0</v>
      </c>
      <c r="U152" s="493"/>
      <c r="V152" s="493"/>
      <c r="W152" s="493" t="s">
        <v>174</v>
      </c>
      <c r="X152" s="1596"/>
      <c r="Y152" s="493">
        <v>0</v>
      </c>
      <c r="Z152" s="1545"/>
      <c r="AA152" s="662" t="s">
        <v>175</v>
      </c>
      <c r="AB152" s="2860"/>
      <c r="AC152" s="864" t="s">
        <v>2337</v>
      </c>
      <c r="AD152" s="2846"/>
      <c r="AE152" s="5253"/>
      <c r="AF152" s="1093">
        <f>IF(AD152=0,0,(AE152-AD152)/AD152*100)</f>
        <v>0</v>
      </c>
      <c r="AG152" s="5253"/>
      <c r="AH152" s="5253"/>
      <c r="AI152" s="1093">
        <f>IF(AG152=0,0,(AH152-AG152)/AG152*100)</f>
        <v>0</v>
      </c>
      <c r="AJ152" s="5253"/>
      <c r="AK152" s="5253"/>
      <c r="AL152" s="1093">
        <f>IF(AJ152=0,0,(AK152-AJ152)/AJ152*100)</f>
        <v>0</v>
      </c>
      <c r="AM152" s="5253"/>
      <c r="AN152" s="5253"/>
      <c r="AO152" s="1093">
        <f>IF(AM152=0,0,(AN152-AM152)/AM152*100)</f>
        <v>0</v>
      </c>
      <c r="AP152" s="5253"/>
      <c r="AQ152" s="5253"/>
      <c r="AR152" s="1093">
        <f>IF(AP152=0,0,(AQ152-AP152)/AP152*100)</f>
        <v>0</v>
      </c>
      <c r="AS152" s="5253"/>
      <c r="AT152" s="5253"/>
      <c r="AU152" s="1093">
        <f>IF(AS152=0,0,(AT152-AS152)/AS152*100)</f>
        <v>0</v>
      </c>
      <c r="AV152" s="5253"/>
      <c r="AW152" s="5253"/>
      <c r="AX152" s="1093">
        <f>IF(AV152=0,0,(AW152-AV152)/AV152*100)</f>
        <v>0</v>
      </c>
      <c r="AY152" s="5253"/>
      <c r="AZ152" s="5253"/>
      <c r="BA152" s="1093">
        <f>IF(AY152=0,0,(AZ152-AY152)/AY152*100)</f>
        <v>0</v>
      </c>
      <c r="BB152" s="5253"/>
      <c r="BC152" s="5253"/>
      <c r="BD152" s="1093">
        <f>IF(BB152=0,0,(BC152-BB152)/BB152*100)</f>
        <v>0</v>
      </c>
      <c r="BE152" s="5253"/>
      <c r="BF152" s="5253"/>
      <c r="BG152" s="1093">
        <f>IF(BE152=0,0,(BF152-BE152)/BE152*100)</f>
        <v>0</v>
      </c>
      <c r="BH152" s="5253"/>
      <c r="BI152" s="5253"/>
      <c r="BJ152" s="1093">
        <f>IF(BH152=0,0,(BI152-BH152)/BH152*100)</f>
        <v>0</v>
      </c>
      <c r="BK152" s="5253"/>
      <c r="BL152" s="5253"/>
      <c r="BM152" s="1093">
        <f>IF(BK152=0,0,(BL152-BK152)/BK152*100)</f>
        <v>0</v>
      </c>
      <c r="BN152" s="5253"/>
      <c r="BO152" s="5253"/>
      <c r="BP152" s="1093">
        <f>IF(BN152=0,0,(BO152-BN152)/BN152*100)</f>
        <v>0</v>
      </c>
      <c r="BQ152" s="5253"/>
      <c r="BR152" s="5253"/>
      <c r="BS152" s="1093">
        <f>IF(BQ152=0,0,(BR152-BQ152)/BQ152*100)</f>
        <v>0</v>
      </c>
      <c r="BT152" s="5253"/>
      <c r="BU152" s="5253"/>
      <c r="BV152" s="1093">
        <f>IF(BT152=0,0,(BU152-BT152)/BT152*100)</f>
        <v>0</v>
      </c>
      <c r="BW152" s="5253"/>
      <c r="BX152" s="5253"/>
      <c r="BY152" s="1093">
        <f>IF(BW152=0,0,(BX152-BW152)/BW152*100)</f>
        <v>0</v>
      </c>
      <c r="BZ152" s="5253"/>
      <c r="CA152" s="5253"/>
      <c r="CB152" s="1093">
        <f>IF(BZ152=0,0,(CA152-BZ152)/BZ152*100)</f>
        <v>0</v>
      </c>
      <c r="CC152" s="5253"/>
      <c r="CD152" s="5253"/>
      <c r="CE152" s="1093">
        <f>IF(CC152=0,0,(CD152-CC152)/CC152*100)</f>
        <v>0</v>
      </c>
      <c r="CF152" s="5253"/>
      <c r="CG152" s="5253"/>
      <c r="CH152" s="1093">
        <f>IF(CF152=0,0,(CG152-CF152)/CF152*100)</f>
        <v>0</v>
      </c>
      <c r="CI152" s="5253"/>
      <c r="CJ152" s="5253"/>
      <c r="CK152" s="1093">
        <f>IF(CI152=0,0,(CJ152-CI152)/CI152*100)</f>
        <v>0</v>
      </c>
      <c r="CL152" s="5253"/>
      <c r="CM152" s="5253"/>
      <c r="CN152" s="1093">
        <f>IF(CL152=0,0,(CM152-CL152)/CL152*100)</f>
        <v>0</v>
      </c>
      <c r="CO152" s="5253"/>
      <c r="CP152" s="5253"/>
      <c r="CQ152" s="1093">
        <f>IF(CO152=0,0,(CP152-CO152)/CO152*100)</f>
        <v>0</v>
      </c>
      <c r="CR152" s="5253"/>
      <c r="CS152" s="5253"/>
      <c r="CT152" s="1093">
        <f>IF(CR152=0,0,(CS152-CR152)/CR152*100)</f>
        <v>0</v>
      </c>
      <c r="CU152" s="5253"/>
      <c r="CV152" s="5253"/>
      <c r="CW152" s="1093">
        <f>IF(CU152=0,0,(CV152-CU152)/CU152*100)</f>
        <v>0</v>
      </c>
      <c r="CX152" s="5253"/>
      <c r="CY152" s="5253"/>
      <c r="CZ152" s="1093">
        <f>IF(CX152=0,0,(CY152-CX152)/CX152*100)</f>
        <v>0</v>
      </c>
      <c r="DA152" s="5253"/>
      <c r="DB152" s="5253"/>
      <c r="DC152" s="1093">
        <f>IF(DA152=0,0,(DB152-DA152)/DA152*100)</f>
        <v>0</v>
      </c>
      <c r="DD152" s="5253"/>
      <c r="DE152" s="5253"/>
      <c r="DF152" s="1093">
        <f>IF(DD152=0,0,(DE152-DD152)/DD152*100)</f>
        <v>0</v>
      </c>
      <c r="DG152" s="5253"/>
      <c r="DH152" s="5253"/>
      <c r="DI152" s="1093">
        <f>IF(DG152=0,0,(DH152-DG152)/DG152*100)</f>
        <v>0</v>
      </c>
      <c r="DJ152" s="5253"/>
      <c r="DK152" s="5253"/>
      <c r="DL152" s="1093">
        <f>IF(DJ152=0,0,(DK152-DJ152)/DJ152*100)</f>
        <v>0</v>
      </c>
      <c r="DM152" s="5253"/>
      <c r="DN152" s="5253"/>
      <c r="DO152" s="1093">
        <f>IF(DM152=0,0,(DN152-DM152)/DM152*100)</f>
        <v>0</v>
      </c>
      <c r="DP152" s="5253"/>
      <c r="DQ152" s="5253"/>
      <c r="DR152" s="1093">
        <f>IF(DP152=0,0,(DQ152-DP152)/DP152*100)</f>
        <v>0</v>
      </c>
      <c r="DS152" s="5253"/>
      <c r="DT152" s="5253"/>
      <c r="DU152" s="1093">
        <f>IF(DS152=0,0,(DT152-DS152)/DS152*100)</f>
        <v>0</v>
      </c>
      <c r="DV152" s="5253"/>
      <c r="DW152" s="5253"/>
      <c r="DX152" s="1093">
        <f>IF(DV152=0,0,(DW152-DV152)/DV152*100)</f>
        <v>0</v>
      </c>
      <c r="DY152" s="5253"/>
      <c r="DZ152" s="5253"/>
      <c r="EA152" s="1093">
        <f>IF(DY152=0,0,(DZ152-DY152)/DY152*100)</f>
        <v>0</v>
      </c>
      <c r="EB152" s="5253"/>
      <c r="EC152" s="5253"/>
      <c r="ED152" s="1093">
        <f>IF(EB152=0,0,(EC152-EB152)/EB152*100)</f>
        <v>0</v>
      </c>
      <c r="EE152" s="5253"/>
      <c r="EF152" s="5253"/>
      <c r="EG152" s="1093">
        <f>IF(EE152=0,0,(EF152-EE152)/EE152*100)</f>
        <v>0</v>
      </c>
      <c r="EH152" s="5253"/>
      <c r="EI152" s="5253"/>
      <c r="EJ152" s="1093">
        <f>IF(EH152=0,0,(EI152-EH152)/EH152*100)</f>
        <v>0</v>
      </c>
      <c r="EK152" s="5253"/>
      <c r="EL152" s="5253"/>
      <c r="EM152" s="1093">
        <f>IF(EK152=0,0,(EL152-EK152)/EK152*100)</f>
        <v>0</v>
      </c>
      <c r="EN152" s="5253"/>
      <c r="EO152" s="5253"/>
      <c r="EP152" s="1093">
        <f>IF(EN152=0,0,(EO152-EN152)/EN152*100)</f>
        <v>0</v>
      </c>
      <c r="EQ152" s="5253"/>
      <c r="ER152" s="5253"/>
      <c r="ES152" s="1093">
        <f>IF(EQ152=0,0,(ER152-EQ152)/EQ152*100)</f>
        <v>0</v>
      </c>
      <c r="ET152" s="5253"/>
      <c r="EU152" s="5253"/>
      <c r="EV152" s="1093">
        <f>IF(ET152=0,0,(EU152-ET152)/ET152*100)</f>
        <v>0</v>
      </c>
      <c r="EW152" s="5253"/>
      <c r="EX152" s="5253"/>
      <c r="EY152" s="1093">
        <f>IF(EW152=0,0,(EX152-EW152)/EW152*100)</f>
        <v>0</v>
      </c>
      <c r="EZ152" s="5253"/>
      <c r="FA152" s="5253"/>
      <c r="FB152" s="1093">
        <f>IF(EZ152=0,0,(FA152-EZ152)/EZ152*100)</f>
        <v>0</v>
      </c>
      <c r="FC152" s="5253"/>
      <c r="FD152" s="5253"/>
      <c r="FE152" s="1093">
        <f>IF(FC152=0,0,(FD152-FC152)/FC152*100)</f>
        <v>0</v>
      </c>
      <c r="FF152" s="5253"/>
      <c r="FG152" s="5253"/>
      <c r="FH152" s="1093">
        <f>IF(FF152=0,0,(FG152-FF152)/FF152*100)</f>
        <v>0</v>
      </c>
      <c r="FI152" s="5253"/>
      <c r="FJ152" s="5253"/>
      <c r="FK152" s="1093">
        <f>IF(FI152=0,0,(FJ152-FI152)/FI152*100)</f>
        <v>0</v>
      </c>
      <c r="FL152" s="5253"/>
      <c r="FM152" s="5253"/>
      <c r="FN152" s="1093">
        <f>IF(FL152=0,0,(FM152-FL152)/FL152*100)</f>
        <v>0</v>
      </c>
      <c r="FO152" s="5253"/>
      <c r="FP152" s="5253"/>
      <c r="FQ152" s="1093">
        <f>IF(FO152=0,0,(FP152-FO152)/FO152*100)</f>
        <v>0</v>
      </c>
      <c r="FR152" s="5253"/>
      <c r="FS152" s="5253"/>
      <c r="FT152" s="1093">
        <f>IF(FR152=0,0,(FS152-FR152)/FR152*100)</f>
        <v>0</v>
      </c>
      <c r="FU152" s="5253"/>
      <c r="FV152" s="5253"/>
      <c r="FW152" s="1093">
        <f>IF(FU152=0,0,(FV152-FU152)/FU152*100)</f>
        <v>0</v>
      </c>
      <c r="FX152" s="292"/>
      <c r="FY152" s="1304"/>
      <c r="FZ152" s="1055" t="s">
        <v>2424</v>
      </c>
      <c r="GA152" s="1015" t="s">
        <v>2425</v>
      </c>
      <c r="GB152" s="1015" cm="1" t="str">
        <f t="array" ref="GB152:GB152">AB152</f>
        <v>0</v>
      </c>
      <c r="GC152" s="1305"/>
      <c r="GD152" s="632" t="b">
        <v>1</v>
      </c>
    </row>
    <row s="1834" customFormat="1" customHeight="1" ht="14.25" hidden="1">
      <c r="A153" s="1304"/>
      <c r="B153" s="925" cm="1" t="str">
        <f t="array" ref="B153:B153">B152</f>
        <v>false</v>
      </c>
      <c r="C153" s="1304"/>
      <c r="D153" s="493"/>
      <c r="E153" s="840">
        <v>15</v>
      </c>
      <c r="F153" s="50" cm="1" t="str">
        <f t="array" ref="F153:F153">OFFSET(E153,-1,1)</f>
        <v>1</v>
      </c>
      <c r="G153" s="493"/>
      <c r="H153" s="1304"/>
      <c r="I153" s="98" t="s">
        <v>2426</v>
      </c>
      <c r="J153" s="1304"/>
      <c r="K153" s="1304"/>
      <c r="L153" s="1304"/>
      <c r="M153" s="1304"/>
      <c r="N153" s="1304"/>
      <c r="O153" s="1304"/>
      <c r="P153" s="1304"/>
      <c r="Q153" s="1304"/>
      <c r="R153" s="1304"/>
      <c r="S153" s="1304"/>
      <c r="T153" s="465">
        <f>F153&gt;0</f>
        <v>1</v>
      </c>
      <c r="U153" s="1304"/>
      <c r="V153" s="1304"/>
      <c r="W153" s="757" t="s">
        <v>2367</v>
      </c>
      <c r="X153" s="1596"/>
      <c r="Y153" s="1304"/>
      <c r="Z153" s="1545"/>
      <c r="AA153" s="1304"/>
      <c r="AB153" s="260" t="s">
        <v>178</v>
      </c>
      <c r="AC153" s="264"/>
      <c r="AD153" s="262"/>
      <c r="AE153" s="262"/>
      <c r="AF153" s="262"/>
      <c r="AG153" s="262"/>
      <c r="AH153" s="262"/>
      <c r="AI153" s="262"/>
      <c r="AJ153" s="262"/>
      <c r="AK153" s="262"/>
      <c r="AL153" s="262"/>
      <c r="AM153" s="262"/>
      <c r="AN153" s="262"/>
      <c r="AO153" s="262"/>
      <c r="AP153" s="262"/>
      <c r="AQ153" s="262"/>
      <c r="AR153" s="262"/>
      <c r="AS153" s="262"/>
      <c r="AT153" s="262"/>
      <c r="AU153" s="262"/>
      <c r="AV153" s="262"/>
      <c r="AW153" s="262"/>
      <c r="AX153" s="262"/>
      <c r="AY153" s="262"/>
      <c r="AZ153" s="262"/>
      <c r="BA153" s="262"/>
      <c r="BB153" s="262"/>
      <c r="BC153" s="262"/>
      <c r="BD153" s="262"/>
      <c r="BE153" s="262"/>
      <c r="BF153" s="262"/>
      <c r="BG153" s="262"/>
      <c r="BH153" s="262"/>
      <c r="BI153" s="262"/>
      <c r="BJ153" s="262"/>
      <c r="BK153" s="262"/>
      <c r="BL153" s="262"/>
      <c r="BM153" s="262"/>
      <c r="BN153" s="262"/>
      <c r="BO153" s="262"/>
      <c r="BP153" s="262"/>
      <c r="BQ153" s="262"/>
      <c r="BR153" s="262"/>
      <c r="BS153" s="262"/>
      <c r="BT153" s="262"/>
      <c r="BU153" s="262"/>
      <c r="BV153" s="262"/>
      <c r="BW153" s="262"/>
      <c r="BX153" s="262"/>
      <c r="BY153" s="262"/>
      <c r="BZ153" s="262"/>
      <c r="CA153" s="262"/>
      <c r="CB153" s="262"/>
      <c r="CC153" s="262"/>
      <c r="CD153" s="262"/>
      <c r="CE153" s="262"/>
      <c r="CF153" s="262"/>
      <c r="CG153" s="262"/>
      <c r="CH153" s="262"/>
      <c r="CI153" s="262"/>
      <c r="CJ153" s="262"/>
      <c r="CK153" s="262"/>
      <c r="CL153" s="262"/>
      <c r="CM153" s="262"/>
      <c r="CN153" s="262"/>
      <c r="CO153" s="262"/>
      <c r="CP153" s="262"/>
      <c r="CQ153" s="262"/>
      <c r="CR153" s="262"/>
      <c r="CS153" s="262"/>
      <c r="CT153" s="262"/>
      <c r="CU153" s="262"/>
      <c r="CV153" s="262"/>
      <c r="CW153" s="262"/>
      <c r="CX153" s="262"/>
      <c r="CY153" s="262"/>
      <c r="CZ153" s="262"/>
      <c r="DA153" s="262"/>
      <c r="DB153" s="262"/>
      <c r="DC153" s="262"/>
      <c r="DD153" s="262"/>
      <c r="DE153" s="262"/>
      <c r="DF153" s="262"/>
      <c r="DG153" s="262"/>
      <c r="DH153" s="262"/>
      <c r="DI153" s="262"/>
      <c r="DJ153" s="262"/>
      <c r="DK153" s="262"/>
      <c r="DL153" s="262"/>
      <c r="DM153" s="262"/>
      <c r="DN153" s="262"/>
      <c r="DO153" s="262"/>
      <c r="DP153" s="262"/>
      <c r="DQ153" s="262"/>
      <c r="DR153" s="262"/>
      <c r="DS153" s="262"/>
      <c r="DT153" s="262"/>
      <c r="DU153" s="262"/>
      <c r="DV153" s="262"/>
      <c r="DW153" s="262"/>
      <c r="DX153" s="262"/>
      <c r="DY153" s="262"/>
      <c r="DZ153" s="262"/>
      <c r="EA153" s="262"/>
      <c r="EB153" s="262"/>
      <c r="EC153" s="262"/>
      <c r="ED153" s="262"/>
      <c r="EE153" s="262"/>
      <c r="EF153" s="262"/>
      <c r="EG153" s="262"/>
      <c r="EH153" s="262"/>
      <c r="EI153" s="262"/>
      <c r="EJ153" s="262"/>
      <c r="EK153" s="262"/>
      <c r="EL153" s="262"/>
      <c r="EM153" s="262"/>
      <c r="EN153" s="262"/>
      <c r="EO153" s="262"/>
      <c r="EP153" s="262"/>
      <c r="EQ153" s="262"/>
      <c r="ER153" s="262"/>
      <c r="ES153" s="262"/>
      <c r="ET153" s="262"/>
      <c r="EU153" s="262"/>
      <c r="EV153" s="262"/>
      <c r="EW153" s="262"/>
      <c r="EX153" s="262"/>
      <c r="EY153" s="262"/>
      <c r="EZ153" s="262"/>
      <c r="FA153" s="262"/>
      <c r="FB153" s="262"/>
      <c r="FC153" s="262"/>
      <c r="FD153" s="262"/>
      <c r="FE153" s="262"/>
      <c r="FF153" s="262"/>
      <c r="FG153" s="262"/>
      <c r="FH153" s="262"/>
      <c r="FI153" s="262"/>
      <c r="FJ153" s="262"/>
      <c r="FK153" s="262"/>
      <c r="FL153" s="262"/>
      <c r="FM153" s="262"/>
      <c r="FN153" s="262"/>
      <c r="FO153" s="262"/>
      <c r="FP153" s="262"/>
      <c r="FQ153" s="262"/>
      <c r="FR153" s="262"/>
      <c r="FS153" s="262"/>
      <c r="FT153" s="262"/>
      <c r="FU153" s="262"/>
      <c r="FV153" s="262"/>
      <c r="FW153" s="263"/>
      <c r="FX153" s="1304"/>
      <c r="FY153" s="1304"/>
      <c r="FZ153" s="1306"/>
      <c r="GA153" s="1306"/>
      <c r="GB153" s="1306"/>
      <c r="GC153" s="632" t="s">
        <v>2425</v>
      </c>
      <c r="GD153" s="1305"/>
    </row>
    <row s="1834" customFormat="1" customHeight="1" ht="10.5">
      <c r="A154" s="98"/>
      <c r="B154" s="905"/>
      <c r="C154" s="98"/>
      <c r="D154" s="493"/>
      <c r="E154" s="840">
        <v>11.5</v>
      </c>
      <c r="F154" s="1337"/>
      <c r="G154" s="493"/>
      <c r="H154" s="98"/>
      <c r="I154" s="98"/>
      <c r="J154" s="98"/>
      <c r="K154" s="98"/>
      <c r="L154" s="98"/>
      <c r="M154" s="98"/>
      <c r="N154" s="98"/>
      <c r="O154" s="98"/>
      <c r="P154" s="98"/>
      <c r="Q154" s="98"/>
      <c r="R154" s="98"/>
      <c r="S154" s="98"/>
      <c r="T154" s="465" cm="1" t="str">
        <f t="array" ref="T154:T154">T153</f>
        <v>true</v>
      </c>
      <c r="U154" s="98"/>
      <c r="V154" s="98"/>
      <c r="W154" s="757"/>
      <c r="X154" s="1596"/>
      <c r="Y154" s="98"/>
      <c r="Z154" s="1545"/>
      <c r="AA154" s="98"/>
      <c r="AB154" s="207"/>
      <c r="AC154" s="1446"/>
      <c r="AD154" s="1304"/>
      <c r="AE154" s="1304"/>
      <c r="AF154" s="1304"/>
      <c r="AG154" s="1304"/>
      <c r="AH154" s="1304"/>
      <c r="AI154" s="1304"/>
      <c r="AJ154" s="1304"/>
      <c r="AK154" s="1304"/>
      <c r="AL154" s="1304"/>
      <c r="AM154" s="1304"/>
      <c r="AN154" s="1304"/>
      <c r="AO154" s="1304"/>
      <c r="AP154" s="1304"/>
      <c r="AQ154" s="1304"/>
      <c r="AR154" s="1304"/>
      <c r="AS154" s="1304"/>
      <c r="AT154" s="1304"/>
      <c r="AU154" s="1304"/>
      <c r="AV154" s="1304"/>
      <c r="AW154" s="1304"/>
      <c r="AX154" s="1304"/>
      <c r="AY154" s="1304"/>
      <c r="AZ154" s="1304"/>
      <c r="BA154" s="1304"/>
      <c r="BB154" s="1304"/>
      <c r="BC154" s="1304"/>
      <c r="BD154" s="1304"/>
      <c r="BE154" s="1304"/>
      <c r="BF154" s="1304"/>
      <c r="BG154" s="1304"/>
      <c r="BH154" s="1304"/>
      <c r="BI154" s="1304"/>
      <c r="BJ154" s="1304"/>
      <c r="BK154" s="1304"/>
      <c r="BL154" s="1304"/>
      <c r="BM154" s="1304"/>
      <c r="BN154" s="1304"/>
      <c r="BO154" s="1304"/>
      <c r="BP154" s="1304"/>
      <c r="BQ154" s="1304"/>
      <c r="BR154" s="1304"/>
      <c r="BS154" s="1304"/>
      <c r="BT154" s="1304"/>
      <c r="BU154" s="1304"/>
      <c r="BV154" s="1304"/>
      <c r="BW154" s="1304"/>
      <c r="BX154" s="1304"/>
      <c r="BY154" s="1304"/>
      <c r="BZ154" s="1304"/>
      <c r="CA154" s="1304"/>
      <c r="CB154" s="1304"/>
      <c r="CC154" s="1304"/>
      <c r="CD154" s="1304"/>
      <c r="CE154" s="1304"/>
      <c r="CF154" s="1304"/>
      <c r="CG154" s="1304"/>
      <c r="CH154" s="1304"/>
      <c r="CI154" s="1304"/>
      <c r="CJ154" s="1304"/>
      <c r="CK154" s="1304"/>
      <c r="CL154" s="1304"/>
      <c r="CM154" s="1304"/>
      <c r="CN154" s="1304"/>
      <c r="CO154" s="1304"/>
      <c r="CP154" s="1304"/>
      <c r="CQ154" s="1304"/>
      <c r="CR154" s="1304"/>
      <c r="CS154" s="1304"/>
      <c r="CT154" s="1304"/>
      <c r="CU154" s="1304"/>
      <c r="CV154" s="1304"/>
      <c r="CW154" s="1304"/>
      <c r="CX154" s="1304"/>
      <c r="CY154" s="1304"/>
      <c r="CZ154" s="1304"/>
      <c r="DA154" s="1304"/>
      <c r="DB154" s="1304"/>
      <c r="DC154" s="1304"/>
      <c r="DD154" s="1304"/>
      <c r="DE154" s="1304"/>
      <c r="DF154" s="1304"/>
      <c r="DG154" s="1304"/>
      <c r="DH154" s="1304"/>
      <c r="DI154" s="1304"/>
      <c r="DJ154" s="1304"/>
      <c r="DK154" s="1304"/>
      <c r="DL154" s="1304"/>
      <c r="DM154" s="1304"/>
      <c r="DN154" s="1304"/>
      <c r="DO154" s="1304"/>
      <c r="DP154" s="1304"/>
      <c r="DQ154" s="1304"/>
      <c r="DR154" s="1304"/>
      <c r="DS154" s="1304"/>
      <c r="DT154" s="1304"/>
      <c r="DU154" s="1304"/>
      <c r="DV154" s="1304"/>
      <c r="DW154" s="1304"/>
      <c r="DX154" s="1304"/>
      <c r="DY154" s="1304"/>
      <c r="DZ154" s="1304"/>
      <c r="EA154" s="1304"/>
      <c r="EB154" s="1304"/>
      <c r="EC154" s="1304"/>
      <c r="ED154" s="1304"/>
      <c r="EE154" s="1304"/>
      <c r="EF154" s="1304"/>
      <c r="EG154" s="1304"/>
      <c r="EH154" s="1304"/>
      <c r="EI154" s="1304"/>
      <c r="EJ154" s="1304"/>
      <c r="EK154" s="1304"/>
      <c r="EL154" s="1304"/>
      <c r="EM154" s="1304"/>
      <c r="EN154" s="1304"/>
      <c r="EO154" s="1304"/>
      <c r="EP154" s="1304"/>
      <c r="EQ154" s="1304"/>
      <c r="ER154" s="1304"/>
      <c r="ES154" s="1304"/>
      <c r="ET154" s="1304"/>
      <c r="EU154" s="1304"/>
      <c r="EV154" s="1304"/>
      <c r="EW154" s="1304"/>
      <c r="EX154" s="1304"/>
      <c r="EY154" s="1304"/>
      <c r="EZ154" s="1304"/>
      <c r="FA154" s="1304"/>
      <c r="FB154" s="1304"/>
      <c r="FC154" s="1304"/>
      <c r="FD154" s="1304"/>
      <c r="FE154" s="1304"/>
      <c r="FF154" s="1304"/>
      <c r="FG154" s="1304"/>
      <c r="FH154" s="1304"/>
      <c r="FI154" s="1304"/>
      <c r="FJ154" s="1304"/>
      <c r="FK154" s="1304"/>
      <c r="FL154" s="1304"/>
      <c r="FM154" s="1304"/>
      <c r="FN154" s="1304"/>
      <c r="FO154" s="1304"/>
      <c r="FP154" s="1304"/>
      <c r="FQ154" s="1304"/>
      <c r="FR154" s="1304"/>
      <c r="FS154" s="1304"/>
      <c r="FT154" s="1304"/>
      <c r="FU154" s="1304"/>
      <c r="FV154" s="1304"/>
      <c r="FW154" s="1304"/>
      <c r="FX154" s="1304"/>
      <c r="FY154" s="1304"/>
      <c r="FZ154" s="1006"/>
      <c r="GA154" s="1006"/>
      <c r="GB154" s="1001"/>
      <c r="GC154" s="675"/>
      <c r="GD154" s="675"/>
    </row>
    <row s="1834" customFormat="1" customHeight="1" ht="14.25">
      <c r="A155" s="493"/>
      <c r="B155" s="872"/>
      <c r="C155" s="493"/>
      <c r="D155" s="493"/>
      <c r="E155" s="840">
        <v>15</v>
      </c>
      <c r="F155" s="494" cm="1" t="str">
        <f t="array" ref="F155:F155">X155</f>
        <v>2</v>
      </c>
      <c r="G155" s="493" cm="1" t="str">
        <f t="array" ref="G155:G155">INDEX('Общие сведения'!$AK$179:$AK$250,MATCH($X155,'Общие сведения'!$Z$179:$Z$250,0))</f>
        <v>одноставочный</v>
      </c>
      <c r="H155" s="493"/>
      <c r="I155" s="493"/>
      <c r="J155" s="493"/>
      <c r="K155" s="493"/>
      <c r="L155" s="493"/>
      <c r="M155" s="493"/>
      <c r="N155" s="493"/>
      <c r="O155" s="493"/>
      <c r="P155" s="493"/>
      <c r="Q155" s="493" cm="1" t="str">
        <f t="array" ref="Q155:Q155">INDEX('Общие сведения'!$AE$179:$AE$250,MATCH($X155,'Общие сведения'!$Z$179:$Z$250,0))</f>
        <v>Водоснабжение</v>
      </c>
      <c r="R155" s="484" cm="1" t="str">
        <f t="array" ref="R155:R155">INDEX('Общие сведения'!$AK$179:$AK$250,MATCH($X155,'Общие сведения'!$Z$179:$Z$250,0))</f>
        <v>одноставочный</v>
      </c>
      <c r="S155" s="493" cm="1" t="str">
        <f t="array" ref="S155:S155">INDEX('Общие сведения'!$AN$179:$AN$250,MATCH($X155,'Общие сведения'!$Z$179:$Z$250,0))</f>
        <v>false</v>
      </c>
      <c r="T155" s="465">
        <f>X155&gt;0</f>
        <v>1</v>
      </c>
      <c r="U155" s="493"/>
      <c r="V155" s="493" cm="1" t="str">
        <f t="array" ref="V155:V155">'Корректировка НВВ'!$AB$129</f>
        <v>Тариф 2 (Водоснабжение) - тариф на питьевую воду (Доп. признак не требуется)</v>
      </c>
      <c r="W155" s="493"/>
      <c r="X155" s="1596" t="s">
        <v>285</v>
      </c>
      <c r="Y155" s="493"/>
      <c r="Z155" s="1545"/>
      <c r="AA155" s="493"/>
      <c r="AB155" s="1636" t="s">
        <v>22</v>
      </c>
      <c r="AC155" s="1637"/>
      <c r="AD155" s="893" cm="1" t="str">
        <f t="array" ref="AD155:AD155">'Корректировка НВВ'!$AB$129</f>
        <v>Тариф 2 (Водоснабжение) - тариф на питьевую воду (Доп. признак не требуется)</v>
      </c>
      <c r="AE155" s="286"/>
      <c r="AF155" s="286"/>
      <c r="AG155" s="286"/>
      <c r="AH155" s="286"/>
      <c r="AI155" s="286"/>
      <c r="AJ155" s="286"/>
      <c r="AK155" s="286"/>
      <c r="AL155" s="286"/>
      <c r="AM155" s="286"/>
      <c r="AN155" s="286"/>
      <c r="AO155" s="286"/>
      <c r="AP155" s="286"/>
      <c r="AQ155" s="286"/>
      <c r="AR155" s="286"/>
      <c r="AS155" s="286"/>
      <c r="AT155" s="286"/>
      <c r="AU155" s="286"/>
      <c r="AV155" s="286"/>
      <c r="AW155" s="286"/>
      <c r="AX155" s="286"/>
      <c r="AY155" s="286"/>
      <c r="AZ155" s="286"/>
      <c r="BA155" s="286"/>
      <c r="BB155" s="286"/>
      <c r="BC155" s="286"/>
      <c r="BD155" s="286"/>
      <c r="BE155" s="286"/>
      <c r="BF155" s="286"/>
      <c r="BG155" s="286"/>
      <c r="BH155" s="286"/>
      <c r="BI155" s="286"/>
      <c r="BJ155" s="286"/>
      <c r="BK155" s="286"/>
      <c r="BL155" s="286"/>
      <c r="BM155" s="286"/>
      <c r="BN155" s="286"/>
      <c r="BO155" s="286"/>
      <c r="BP155" s="286"/>
      <c r="BQ155" s="286"/>
      <c r="BR155" s="286"/>
      <c r="BS155" s="286"/>
      <c r="BT155" s="286"/>
      <c r="BU155" s="286"/>
      <c r="BV155" s="286"/>
      <c r="BW155" s="286"/>
      <c r="BX155" s="286"/>
      <c r="BY155" s="286"/>
      <c r="BZ155" s="286"/>
      <c r="CA155" s="286"/>
      <c r="CB155" s="286"/>
      <c r="CC155" s="286"/>
      <c r="CD155" s="286"/>
      <c r="CE155" s="286"/>
      <c r="CF155" s="286"/>
      <c r="CG155" s="286"/>
      <c r="CH155" s="286"/>
      <c r="CI155" s="286"/>
      <c r="CJ155" s="286"/>
      <c r="CK155" s="286"/>
      <c r="CL155" s="286"/>
      <c r="CM155" s="286"/>
      <c r="CN155" s="286"/>
      <c r="CO155" s="286"/>
      <c r="CP155" s="286"/>
      <c r="CQ155" s="286"/>
      <c r="CR155" s="286"/>
      <c r="CS155" s="286"/>
      <c r="CT155" s="286"/>
      <c r="CU155" s="286"/>
      <c r="CV155" s="286"/>
      <c r="CW155" s="286"/>
      <c r="CX155" s="286"/>
      <c r="CY155" s="286"/>
      <c r="CZ155" s="286"/>
      <c r="DA155" s="286"/>
      <c r="DB155" s="286"/>
      <c r="DC155" s="286"/>
      <c r="DD155" s="286"/>
      <c r="DE155" s="286"/>
      <c r="DF155" s="286"/>
      <c r="DG155" s="286"/>
      <c r="DH155" s="286"/>
      <c r="DI155" s="286"/>
      <c r="DJ155" s="286"/>
      <c r="DK155" s="286"/>
      <c r="DL155" s="286"/>
      <c r="DM155" s="286"/>
      <c r="DN155" s="286"/>
      <c r="DO155" s="286"/>
      <c r="DP155" s="286"/>
      <c r="DQ155" s="286"/>
      <c r="DR155" s="286"/>
      <c r="DS155" s="286"/>
      <c r="DT155" s="286"/>
      <c r="DU155" s="286"/>
      <c r="DV155" s="286"/>
      <c r="DW155" s="286"/>
      <c r="DX155" s="286"/>
      <c r="DY155" s="286"/>
      <c r="DZ155" s="286"/>
      <c r="EA155" s="286"/>
      <c r="EB155" s="286"/>
      <c r="EC155" s="286"/>
      <c r="ED155" s="286"/>
      <c r="EE155" s="286"/>
      <c r="EF155" s="286"/>
      <c r="EG155" s="286"/>
      <c r="EH155" s="286"/>
      <c r="EI155" s="286"/>
      <c r="EJ155" s="286"/>
      <c r="EK155" s="286"/>
      <c r="EL155" s="286"/>
      <c r="EM155" s="286"/>
      <c r="EN155" s="286"/>
      <c r="EO155" s="286"/>
      <c r="EP155" s="286"/>
      <c r="EQ155" s="286"/>
      <c r="ER155" s="286"/>
      <c r="ES155" s="286"/>
      <c r="ET155" s="286"/>
      <c r="EU155" s="286"/>
      <c r="EV155" s="286"/>
      <c r="EW155" s="286"/>
      <c r="EX155" s="286"/>
      <c r="EY155" s="286"/>
      <c r="EZ155" s="286"/>
      <c r="FA155" s="286"/>
      <c r="FB155" s="286"/>
      <c r="FC155" s="286"/>
      <c r="FD155" s="286"/>
      <c r="FE155" s="286"/>
      <c r="FF155" s="286"/>
      <c r="FG155" s="286"/>
      <c r="FH155" s="286"/>
      <c r="FI155" s="286"/>
      <c r="FJ155" s="286"/>
      <c r="FK155" s="286"/>
      <c r="FL155" s="286"/>
      <c r="FM155" s="286"/>
      <c r="FN155" s="286"/>
      <c r="FO155" s="286"/>
      <c r="FP155" s="286"/>
      <c r="FQ155" s="286"/>
      <c r="FR155" s="286"/>
      <c r="FS155" s="286"/>
      <c r="FT155" s="286"/>
      <c r="FU155" s="286"/>
      <c r="FV155" s="286"/>
      <c r="FW155" s="287"/>
      <c r="FX155" s="1304"/>
      <c r="FY155" s="1304"/>
      <c r="FZ155" s="1306"/>
      <c r="GA155" s="1306"/>
      <c r="GB155" s="1306"/>
      <c r="GC155" s="1305"/>
      <c r="GD155" s="1305"/>
    </row>
    <row s="1834" customFormat="1" customHeight="1" ht="14.25">
      <c r="A156" s="493"/>
      <c r="B156" s="872"/>
      <c r="C156" s="493"/>
      <c r="D156" s="493"/>
      <c r="E156" s="840">
        <v>15</v>
      </c>
      <c r="F156" s="50" cm="1" t="str">
        <f t="array" ref="F156:F156">OFFSET(E156,-1,1)</f>
        <v>2</v>
      </c>
      <c r="G156" s="493"/>
      <c r="H156" s="493"/>
      <c r="I156" s="493"/>
      <c r="J156" s="493"/>
      <c r="K156" s="493"/>
      <c r="L156" s="493"/>
      <c r="M156" s="493"/>
      <c r="N156" s="493"/>
      <c r="O156" s="493"/>
      <c r="P156" s="493"/>
      <c r="Q156" s="493"/>
      <c r="R156" s="484"/>
      <c r="S156" s="484"/>
      <c r="T156" s="465" cm="1" t="str">
        <f t="array" ref="T156:T156">T155</f>
        <v>true</v>
      </c>
      <c r="U156" s="493"/>
      <c r="V156" s="493"/>
      <c r="W156" s="493"/>
      <c r="X156" s="1596"/>
      <c r="Y156" s="493"/>
      <c r="Z156" s="1545"/>
      <c r="AA156" s="493"/>
      <c r="AB156" s="1503" t="str">
        <f>"Вид "&amp;IF(ISERROR(SEARCH("Водоснабжение",AD155)),"сточных вод","воды")</f>
        <v>Вид воды</v>
      </c>
      <c r="AC156" s="1505"/>
      <c r="AD156" s="893" cm="1" t="str">
        <f t="array" ref="AD156:AD156">INDEX('Общие сведения'!$AH$179:$AH$250,MATCH($X155,'Общие сведения'!$Z$179:$Z$250,0))</f>
        <v>питьевая вода</v>
      </c>
      <c r="AE156" s="288"/>
      <c r="AF156" s="288"/>
      <c r="AG156" s="288"/>
      <c r="AH156" s="288"/>
      <c r="AI156" s="288"/>
      <c r="AJ156" s="288"/>
      <c r="AK156" s="288"/>
      <c r="AL156" s="288"/>
      <c r="AM156" s="288"/>
      <c r="AN156" s="288"/>
      <c r="AO156" s="288"/>
      <c r="AP156" s="288"/>
      <c r="AQ156" s="288"/>
      <c r="AR156" s="288"/>
      <c r="AS156" s="288"/>
      <c r="AT156" s="288"/>
      <c r="AU156" s="288"/>
      <c r="AV156" s="288"/>
      <c r="AW156" s="288"/>
      <c r="AX156" s="288"/>
      <c r="AY156" s="288"/>
      <c r="AZ156" s="288"/>
      <c r="BA156" s="288"/>
      <c r="BB156" s="288"/>
      <c r="BC156" s="288"/>
      <c r="BD156" s="288"/>
      <c r="BE156" s="288"/>
      <c r="BF156" s="288"/>
      <c r="BG156" s="288"/>
      <c r="BH156" s="288"/>
      <c r="BI156" s="288"/>
      <c r="BJ156" s="288"/>
      <c r="BK156" s="288"/>
      <c r="BL156" s="288"/>
      <c r="BM156" s="288"/>
      <c r="BN156" s="288"/>
      <c r="BO156" s="288"/>
      <c r="BP156" s="288"/>
      <c r="BQ156" s="288"/>
      <c r="BR156" s="288"/>
      <c r="BS156" s="288"/>
      <c r="BT156" s="288"/>
      <c r="BU156" s="288"/>
      <c r="BV156" s="288"/>
      <c r="BW156" s="288"/>
      <c r="BX156" s="288"/>
      <c r="BY156" s="288"/>
      <c r="BZ156" s="288"/>
      <c r="CA156" s="288"/>
      <c r="CB156" s="288"/>
      <c r="CC156" s="288"/>
      <c r="CD156" s="288"/>
      <c r="CE156" s="288"/>
      <c r="CF156" s="288"/>
      <c r="CG156" s="288"/>
      <c r="CH156" s="288"/>
      <c r="CI156" s="288"/>
      <c r="CJ156" s="288"/>
      <c r="CK156" s="288"/>
      <c r="CL156" s="288"/>
      <c r="CM156" s="288"/>
      <c r="CN156" s="288"/>
      <c r="CO156" s="288"/>
      <c r="CP156" s="288"/>
      <c r="CQ156" s="288"/>
      <c r="CR156" s="288"/>
      <c r="CS156" s="288"/>
      <c r="CT156" s="288"/>
      <c r="CU156" s="288"/>
      <c r="CV156" s="288"/>
      <c r="CW156" s="288"/>
      <c r="CX156" s="288"/>
      <c r="CY156" s="288"/>
      <c r="CZ156" s="288"/>
      <c r="DA156" s="288"/>
      <c r="DB156" s="288"/>
      <c r="DC156" s="288"/>
      <c r="DD156" s="288"/>
      <c r="DE156" s="288"/>
      <c r="DF156" s="288"/>
      <c r="DG156" s="288"/>
      <c r="DH156" s="288"/>
      <c r="DI156" s="288"/>
      <c r="DJ156" s="288"/>
      <c r="DK156" s="288"/>
      <c r="DL156" s="288"/>
      <c r="DM156" s="288"/>
      <c r="DN156" s="288"/>
      <c r="DO156" s="288"/>
      <c r="DP156" s="288"/>
      <c r="DQ156" s="288"/>
      <c r="DR156" s="288"/>
      <c r="DS156" s="288"/>
      <c r="DT156" s="288"/>
      <c r="DU156" s="288"/>
      <c r="DV156" s="288"/>
      <c r="DW156" s="288"/>
      <c r="DX156" s="288"/>
      <c r="DY156" s="288"/>
      <c r="DZ156" s="288"/>
      <c r="EA156" s="288"/>
      <c r="EB156" s="288"/>
      <c r="EC156" s="288"/>
      <c r="ED156" s="288"/>
      <c r="EE156" s="288"/>
      <c r="EF156" s="288"/>
      <c r="EG156" s="288"/>
      <c r="EH156" s="288"/>
      <c r="EI156" s="288"/>
      <c r="EJ156" s="288"/>
      <c r="EK156" s="288"/>
      <c r="EL156" s="288"/>
      <c r="EM156" s="288"/>
      <c r="EN156" s="288"/>
      <c r="EO156" s="288"/>
      <c r="EP156" s="288"/>
      <c r="EQ156" s="288"/>
      <c r="ER156" s="288"/>
      <c r="ES156" s="288"/>
      <c r="ET156" s="288"/>
      <c r="EU156" s="288"/>
      <c r="EV156" s="288"/>
      <c r="EW156" s="288"/>
      <c r="EX156" s="288"/>
      <c r="EY156" s="288"/>
      <c r="EZ156" s="288"/>
      <c r="FA156" s="288"/>
      <c r="FB156" s="288"/>
      <c r="FC156" s="288"/>
      <c r="FD156" s="288"/>
      <c r="FE156" s="288"/>
      <c r="FF156" s="288"/>
      <c r="FG156" s="288"/>
      <c r="FH156" s="288"/>
      <c r="FI156" s="288"/>
      <c r="FJ156" s="288"/>
      <c r="FK156" s="288"/>
      <c r="FL156" s="288"/>
      <c r="FM156" s="288"/>
      <c r="FN156" s="288"/>
      <c r="FO156" s="288"/>
      <c r="FP156" s="288"/>
      <c r="FQ156" s="288"/>
      <c r="FR156" s="288"/>
      <c r="FS156" s="288"/>
      <c r="FT156" s="288"/>
      <c r="FU156" s="288"/>
      <c r="FV156" s="288"/>
      <c r="FW156" s="289"/>
      <c r="FX156" s="1304"/>
      <c r="FY156" s="1304"/>
      <c r="FZ156" s="1306"/>
      <c r="GA156" s="1306"/>
      <c r="GB156" s="1306"/>
      <c r="GC156" s="1305"/>
      <c r="GD156" s="1305"/>
    </row>
    <row s="1834" customFormat="1" customHeight="1" ht="14.25">
      <c r="A157" s="493"/>
      <c r="B157" s="872"/>
      <c r="C157" s="493"/>
      <c r="D157" s="493"/>
      <c r="E157" s="840">
        <v>15</v>
      </c>
      <c r="F157" s="50" cm="1" t="str">
        <f t="array" ref="F157:F157">OFFSET(E157,-1,1)</f>
        <v>2</v>
      </c>
      <c r="G157" s="493"/>
      <c r="H157" s="493"/>
      <c r="I157" s="493"/>
      <c r="J157" s="493"/>
      <c r="K157" s="493"/>
      <c r="L157" s="493"/>
      <c r="M157" s="493"/>
      <c r="N157" s="493"/>
      <c r="O157" s="493"/>
      <c r="P157" s="493"/>
      <c r="Q157" s="493"/>
      <c r="R157" s="484"/>
      <c r="S157" s="484"/>
      <c r="T157" s="465" cm="1" t="str">
        <f t="array" ref="T157:T157">T156</f>
        <v>true</v>
      </c>
      <c r="U157" s="493"/>
      <c r="V157" s="493"/>
      <c r="W157" s="493"/>
      <c r="X157" s="1596"/>
      <c r="Y157" s="493"/>
      <c r="Z157" s="1545"/>
      <c r="AA157" s="493"/>
      <c r="AB157" s="1503" t="s">
        <v>2331</v>
      </c>
      <c r="AC157" s="1505"/>
      <c r="AD157" s="893" cm="1" t="str">
        <f t="array" ref="AD157:AD157">INDEX('Общие сведения'!$AI$179:$AI$250,MATCH($X155,'Общие сведения'!$Z$179:$Z$250,0))</f>
        <v>тариф на питьевую воду</v>
      </c>
      <c r="AE157" s="288"/>
      <c r="AF157" s="288"/>
      <c r="AG157" s="288"/>
      <c r="AH157" s="288"/>
      <c r="AI157" s="288"/>
      <c r="AJ157" s="288"/>
      <c r="AK157" s="288"/>
      <c r="AL157" s="288"/>
      <c r="AM157" s="288"/>
      <c r="AN157" s="288"/>
      <c r="AO157" s="288"/>
      <c r="AP157" s="288"/>
      <c r="AQ157" s="288"/>
      <c r="AR157" s="288"/>
      <c r="AS157" s="288"/>
      <c r="AT157" s="288"/>
      <c r="AU157" s="288"/>
      <c r="AV157" s="288"/>
      <c r="AW157" s="288"/>
      <c r="AX157" s="288"/>
      <c r="AY157" s="288"/>
      <c r="AZ157" s="288"/>
      <c r="BA157" s="288"/>
      <c r="BB157" s="288"/>
      <c r="BC157" s="288"/>
      <c r="BD157" s="288"/>
      <c r="BE157" s="288"/>
      <c r="BF157" s="288"/>
      <c r="BG157" s="288"/>
      <c r="BH157" s="288"/>
      <c r="BI157" s="288"/>
      <c r="BJ157" s="288"/>
      <c r="BK157" s="288"/>
      <c r="BL157" s="288"/>
      <c r="BM157" s="288"/>
      <c r="BN157" s="288"/>
      <c r="BO157" s="288"/>
      <c r="BP157" s="288"/>
      <c r="BQ157" s="288"/>
      <c r="BR157" s="288"/>
      <c r="BS157" s="288"/>
      <c r="BT157" s="288"/>
      <c r="BU157" s="288"/>
      <c r="BV157" s="288"/>
      <c r="BW157" s="288"/>
      <c r="BX157" s="288"/>
      <c r="BY157" s="288"/>
      <c r="BZ157" s="288"/>
      <c r="CA157" s="288"/>
      <c r="CB157" s="288"/>
      <c r="CC157" s="288"/>
      <c r="CD157" s="288"/>
      <c r="CE157" s="288"/>
      <c r="CF157" s="288"/>
      <c r="CG157" s="288"/>
      <c r="CH157" s="288"/>
      <c r="CI157" s="288"/>
      <c r="CJ157" s="288"/>
      <c r="CK157" s="288"/>
      <c r="CL157" s="288"/>
      <c r="CM157" s="288"/>
      <c r="CN157" s="288"/>
      <c r="CO157" s="288"/>
      <c r="CP157" s="288"/>
      <c r="CQ157" s="288"/>
      <c r="CR157" s="288"/>
      <c r="CS157" s="288"/>
      <c r="CT157" s="288"/>
      <c r="CU157" s="288"/>
      <c r="CV157" s="288"/>
      <c r="CW157" s="288"/>
      <c r="CX157" s="288"/>
      <c r="CY157" s="288"/>
      <c r="CZ157" s="288"/>
      <c r="DA157" s="288"/>
      <c r="DB157" s="288"/>
      <c r="DC157" s="288"/>
      <c r="DD157" s="288"/>
      <c r="DE157" s="288"/>
      <c r="DF157" s="288"/>
      <c r="DG157" s="288"/>
      <c r="DH157" s="288"/>
      <c r="DI157" s="288"/>
      <c r="DJ157" s="288"/>
      <c r="DK157" s="288"/>
      <c r="DL157" s="288"/>
      <c r="DM157" s="288"/>
      <c r="DN157" s="288"/>
      <c r="DO157" s="288"/>
      <c r="DP157" s="288"/>
      <c r="DQ157" s="288"/>
      <c r="DR157" s="288"/>
      <c r="DS157" s="288"/>
      <c r="DT157" s="288"/>
      <c r="DU157" s="288"/>
      <c r="DV157" s="288"/>
      <c r="DW157" s="288"/>
      <c r="DX157" s="288"/>
      <c r="DY157" s="288"/>
      <c r="DZ157" s="288"/>
      <c r="EA157" s="288"/>
      <c r="EB157" s="288"/>
      <c r="EC157" s="288"/>
      <c r="ED157" s="288"/>
      <c r="EE157" s="288"/>
      <c r="EF157" s="288"/>
      <c r="EG157" s="288"/>
      <c r="EH157" s="288"/>
      <c r="EI157" s="288"/>
      <c r="EJ157" s="288"/>
      <c r="EK157" s="288"/>
      <c r="EL157" s="288"/>
      <c r="EM157" s="288"/>
      <c r="EN157" s="288"/>
      <c r="EO157" s="288"/>
      <c r="EP157" s="288"/>
      <c r="EQ157" s="288"/>
      <c r="ER157" s="288"/>
      <c r="ES157" s="288"/>
      <c r="ET157" s="288"/>
      <c r="EU157" s="288"/>
      <c r="EV157" s="288"/>
      <c r="EW157" s="288"/>
      <c r="EX157" s="288"/>
      <c r="EY157" s="288"/>
      <c r="EZ157" s="288"/>
      <c r="FA157" s="288"/>
      <c r="FB157" s="288"/>
      <c r="FC157" s="288"/>
      <c r="FD157" s="288"/>
      <c r="FE157" s="288"/>
      <c r="FF157" s="288"/>
      <c r="FG157" s="288"/>
      <c r="FH157" s="288"/>
      <c r="FI157" s="288"/>
      <c r="FJ157" s="288"/>
      <c r="FK157" s="288"/>
      <c r="FL157" s="288"/>
      <c r="FM157" s="288"/>
      <c r="FN157" s="288"/>
      <c r="FO157" s="288"/>
      <c r="FP157" s="288"/>
      <c r="FQ157" s="288"/>
      <c r="FR157" s="288"/>
      <c r="FS157" s="288"/>
      <c r="FT157" s="288"/>
      <c r="FU157" s="288"/>
      <c r="FV157" s="288"/>
      <c r="FW157" s="289"/>
      <c r="FX157" s="1304"/>
      <c r="FY157" s="1304"/>
      <c r="FZ157" s="1306"/>
      <c r="GA157" s="1306"/>
      <c r="GB157" s="1306"/>
      <c r="GC157" s="1305"/>
      <c r="GD157" s="1305"/>
    </row>
    <row s="1834" customFormat="1" customHeight="1" ht="14.25">
      <c r="A158" s="493"/>
      <c r="B158" s="872"/>
      <c r="C158" s="493"/>
      <c r="D158" s="493"/>
      <c r="E158" s="840">
        <v>15</v>
      </c>
      <c r="F158" s="50" cm="1" t="str">
        <f t="array" ref="F158:F158">OFFSET(E158,-1,1)</f>
        <v>2</v>
      </c>
      <c r="G158" s="493"/>
      <c r="H158" s="493"/>
      <c r="I158" s="493"/>
      <c r="J158" s="493"/>
      <c r="K158" s="493"/>
      <c r="L158" s="493"/>
      <c r="M158" s="493"/>
      <c r="N158" s="493"/>
      <c r="O158" s="493"/>
      <c r="P158" s="493"/>
      <c r="Q158" s="928"/>
      <c r="R158" s="493"/>
      <c r="S158" s="484"/>
      <c r="T158" s="465" cm="1" t="str">
        <f t="array" ref="T158:T158">T157</f>
        <v>true</v>
      </c>
      <c r="U158" s="493"/>
      <c r="V158" s="493"/>
      <c r="W158" s="493"/>
      <c r="X158" s="1596"/>
      <c r="Y158" s="493"/>
      <c r="Z158" s="1545"/>
      <c r="AA158" s="493"/>
      <c r="AB158" s="1503" t="s">
        <v>2332</v>
      </c>
      <c r="AC158" s="1505"/>
      <c r="AD158" s="893" cm="1" t="str">
        <f t="array" ref="AD158:AD158">INDEX('Общие сведения'!$AJ$179:$AJ$250,MATCH($X155,'Общие сведения'!$Z$179:$Z$250,0))</f>
        <v>Доп. признак не требуется</v>
      </c>
      <c r="AE158" s="288"/>
      <c r="AF158" s="288"/>
      <c r="AG158" s="288"/>
      <c r="AH158" s="288"/>
      <c r="AI158" s="288"/>
      <c r="AJ158" s="288"/>
      <c r="AK158" s="288"/>
      <c r="AL158" s="288"/>
      <c r="AM158" s="288"/>
      <c r="AN158" s="288"/>
      <c r="AO158" s="288"/>
      <c r="AP158" s="288"/>
      <c r="AQ158" s="288"/>
      <c r="AR158" s="288"/>
      <c r="AS158" s="288"/>
      <c r="AT158" s="288"/>
      <c r="AU158" s="288"/>
      <c r="AV158" s="288"/>
      <c r="AW158" s="288"/>
      <c r="AX158" s="288"/>
      <c r="AY158" s="288"/>
      <c r="AZ158" s="288"/>
      <c r="BA158" s="288"/>
      <c r="BB158" s="288"/>
      <c r="BC158" s="288"/>
      <c r="BD158" s="288"/>
      <c r="BE158" s="288"/>
      <c r="BF158" s="288"/>
      <c r="BG158" s="288"/>
      <c r="BH158" s="288"/>
      <c r="BI158" s="288"/>
      <c r="BJ158" s="288"/>
      <c r="BK158" s="288"/>
      <c r="BL158" s="288"/>
      <c r="BM158" s="288"/>
      <c r="BN158" s="288"/>
      <c r="BO158" s="288"/>
      <c r="BP158" s="288"/>
      <c r="BQ158" s="288"/>
      <c r="BR158" s="288"/>
      <c r="BS158" s="288"/>
      <c r="BT158" s="288"/>
      <c r="BU158" s="288"/>
      <c r="BV158" s="288"/>
      <c r="BW158" s="288"/>
      <c r="BX158" s="288"/>
      <c r="BY158" s="288"/>
      <c r="BZ158" s="288"/>
      <c r="CA158" s="288"/>
      <c r="CB158" s="288"/>
      <c r="CC158" s="288"/>
      <c r="CD158" s="288"/>
      <c r="CE158" s="288"/>
      <c r="CF158" s="288"/>
      <c r="CG158" s="288"/>
      <c r="CH158" s="288"/>
      <c r="CI158" s="288"/>
      <c r="CJ158" s="288"/>
      <c r="CK158" s="288"/>
      <c r="CL158" s="288"/>
      <c r="CM158" s="288"/>
      <c r="CN158" s="288"/>
      <c r="CO158" s="288"/>
      <c r="CP158" s="288"/>
      <c r="CQ158" s="288"/>
      <c r="CR158" s="288"/>
      <c r="CS158" s="288"/>
      <c r="CT158" s="288"/>
      <c r="CU158" s="288"/>
      <c r="CV158" s="288"/>
      <c r="CW158" s="288"/>
      <c r="CX158" s="288"/>
      <c r="CY158" s="288"/>
      <c r="CZ158" s="288"/>
      <c r="DA158" s="288"/>
      <c r="DB158" s="288"/>
      <c r="DC158" s="288"/>
      <c r="DD158" s="288"/>
      <c r="DE158" s="288"/>
      <c r="DF158" s="288"/>
      <c r="DG158" s="288"/>
      <c r="DH158" s="288"/>
      <c r="DI158" s="288"/>
      <c r="DJ158" s="288"/>
      <c r="DK158" s="288"/>
      <c r="DL158" s="288"/>
      <c r="DM158" s="288"/>
      <c r="DN158" s="288"/>
      <c r="DO158" s="288"/>
      <c r="DP158" s="288"/>
      <c r="DQ158" s="288"/>
      <c r="DR158" s="288"/>
      <c r="DS158" s="288"/>
      <c r="DT158" s="288"/>
      <c r="DU158" s="288"/>
      <c r="DV158" s="288"/>
      <c r="DW158" s="288"/>
      <c r="DX158" s="288"/>
      <c r="DY158" s="288"/>
      <c r="DZ158" s="288"/>
      <c r="EA158" s="288"/>
      <c r="EB158" s="288"/>
      <c r="EC158" s="288"/>
      <c r="ED158" s="288"/>
      <c r="EE158" s="288"/>
      <c r="EF158" s="288"/>
      <c r="EG158" s="288"/>
      <c r="EH158" s="288"/>
      <c r="EI158" s="288"/>
      <c r="EJ158" s="288"/>
      <c r="EK158" s="288"/>
      <c r="EL158" s="288"/>
      <c r="EM158" s="288"/>
      <c r="EN158" s="288"/>
      <c r="EO158" s="288"/>
      <c r="EP158" s="288"/>
      <c r="EQ158" s="288"/>
      <c r="ER158" s="288"/>
      <c r="ES158" s="288"/>
      <c r="ET158" s="288"/>
      <c r="EU158" s="288"/>
      <c r="EV158" s="288"/>
      <c r="EW158" s="288"/>
      <c r="EX158" s="288"/>
      <c r="EY158" s="288"/>
      <c r="EZ158" s="288"/>
      <c r="FA158" s="288"/>
      <c r="FB158" s="288"/>
      <c r="FC158" s="288"/>
      <c r="FD158" s="288"/>
      <c r="FE158" s="288"/>
      <c r="FF158" s="288"/>
      <c r="FG158" s="288"/>
      <c r="FH158" s="288"/>
      <c r="FI158" s="288"/>
      <c r="FJ158" s="288"/>
      <c r="FK158" s="288"/>
      <c r="FL158" s="288"/>
      <c r="FM158" s="288"/>
      <c r="FN158" s="288"/>
      <c r="FO158" s="288"/>
      <c r="FP158" s="288"/>
      <c r="FQ158" s="288"/>
      <c r="FR158" s="288"/>
      <c r="FS158" s="288"/>
      <c r="FT158" s="288"/>
      <c r="FU158" s="288"/>
      <c r="FV158" s="288"/>
      <c r="FW158" s="289"/>
      <c r="FX158" s="1304"/>
      <c r="FY158" s="1304"/>
      <c r="FZ158" s="1306"/>
      <c r="GA158" s="1306"/>
      <c r="GB158" s="1306"/>
      <c r="GC158" s="1305"/>
      <c r="GD158" s="1305"/>
    </row>
    <row s="1834" customFormat="1" customHeight="1" ht="14.25">
      <c r="A159" s="493"/>
      <c r="B159" s="925">
        <f>AND(R155="одноставочный",NOT(S155))</f>
        <v>1</v>
      </c>
      <c r="C159" s="493"/>
      <c r="D159" s="493"/>
      <c r="E159" s="840">
        <v>15</v>
      </c>
      <c r="F159" s="50" cm="1" t="str">
        <f t="array" ref="F159:F159">OFFSET(E159,-1,1)</f>
        <v>2</v>
      </c>
      <c r="G159" s="493"/>
      <c r="H159" s="493"/>
      <c r="I159" s="493"/>
      <c r="J159" s="493"/>
      <c r="K159" s="493"/>
      <c r="L159" s="493"/>
      <c r="M159" s="493"/>
      <c r="N159" s="493"/>
      <c r="O159" s="493"/>
      <c r="P159" s="493"/>
      <c r="Q159" s="493"/>
      <c r="R159" s="493"/>
      <c r="S159" s="493"/>
      <c r="T159" s="465" cm="1" t="str">
        <f t="array" ref="T159:T159">T158</f>
        <v>true</v>
      </c>
      <c r="U159" s="493"/>
      <c r="V159" s="493"/>
      <c r="W159" s="493"/>
      <c r="X159" s="1596"/>
      <c r="Y159" s="493"/>
      <c r="Z159" s="1545"/>
      <c r="AA159" s="493"/>
      <c r="AB159" s="894" t="s">
        <v>2333</v>
      </c>
      <c r="AC159" s="895"/>
      <c r="AD159" s="896"/>
      <c r="AE159" s="896"/>
      <c r="AF159" s="896"/>
      <c r="AG159" s="896"/>
      <c r="AH159" s="896"/>
      <c r="AI159" s="896"/>
      <c r="AJ159" s="896"/>
      <c r="AK159" s="896"/>
      <c r="AL159" s="896"/>
      <c r="AM159" s="896"/>
      <c r="AN159" s="896"/>
      <c r="AO159" s="896"/>
      <c r="AP159" s="896"/>
      <c r="AQ159" s="896"/>
      <c r="AR159" s="896"/>
      <c r="AS159" s="896"/>
      <c r="AT159" s="896"/>
      <c r="AU159" s="896"/>
      <c r="AV159" s="896"/>
      <c r="AW159" s="896"/>
      <c r="AX159" s="896"/>
      <c r="AY159" s="896"/>
      <c r="AZ159" s="896"/>
      <c r="BA159" s="896"/>
      <c r="BB159" s="896"/>
      <c r="BC159" s="896"/>
      <c r="BD159" s="896"/>
      <c r="BE159" s="896"/>
      <c r="BF159" s="896"/>
      <c r="BG159" s="896"/>
      <c r="BH159" s="896"/>
      <c r="BI159" s="896"/>
      <c r="BJ159" s="907"/>
      <c r="BK159" s="896"/>
      <c r="BL159" s="896"/>
      <c r="BM159" s="907"/>
      <c r="BN159" s="896"/>
      <c r="BO159" s="896"/>
      <c r="BP159" s="907"/>
      <c r="BQ159" s="896"/>
      <c r="BR159" s="896"/>
      <c r="BS159" s="907"/>
      <c r="BT159" s="896"/>
      <c r="BU159" s="896"/>
      <c r="BV159" s="907"/>
      <c r="BW159" s="896"/>
      <c r="BX159" s="896"/>
      <c r="BY159" s="907"/>
      <c r="BZ159" s="896"/>
      <c r="CA159" s="896"/>
      <c r="CB159" s="907"/>
      <c r="CC159" s="896"/>
      <c r="CD159" s="896"/>
      <c r="CE159" s="907"/>
      <c r="CF159" s="896"/>
      <c r="CG159" s="896"/>
      <c r="CH159" s="907"/>
      <c r="CI159" s="896"/>
      <c r="CJ159" s="896"/>
      <c r="CK159" s="907"/>
      <c r="CL159" s="896"/>
      <c r="CM159" s="896"/>
      <c r="CN159" s="907"/>
      <c r="CO159" s="896"/>
      <c r="CP159" s="896"/>
      <c r="CQ159" s="907"/>
      <c r="CR159" s="896"/>
      <c r="CS159" s="896"/>
      <c r="CT159" s="907"/>
      <c r="CU159" s="896"/>
      <c r="CV159" s="896"/>
      <c r="CW159" s="907"/>
      <c r="CX159" s="896"/>
      <c r="CY159" s="896"/>
      <c r="CZ159" s="907"/>
      <c r="DA159" s="896"/>
      <c r="DB159" s="896"/>
      <c r="DC159" s="907"/>
      <c r="DD159" s="896"/>
      <c r="DE159" s="896"/>
      <c r="DF159" s="291"/>
      <c r="DG159" s="290"/>
      <c r="DH159" s="290"/>
      <c r="DI159" s="291"/>
      <c r="DJ159" s="290"/>
      <c r="DK159" s="290"/>
      <c r="DL159" s="291"/>
      <c r="DM159" s="290"/>
      <c r="DN159" s="290"/>
      <c r="DO159" s="291"/>
      <c r="DP159" s="290"/>
      <c r="DQ159" s="290"/>
      <c r="DR159" s="291"/>
      <c r="DS159" s="290"/>
      <c r="DT159" s="290"/>
      <c r="DU159" s="291"/>
      <c r="DV159" s="290"/>
      <c r="DW159" s="290"/>
      <c r="DX159" s="291"/>
      <c r="DY159" s="290"/>
      <c r="DZ159" s="290"/>
      <c r="EA159" s="291"/>
      <c r="EB159" s="290"/>
      <c r="EC159" s="290"/>
      <c r="ED159" s="291"/>
      <c r="EE159" s="290"/>
      <c r="EF159" s="290"/>
      <c r="EG159" s="291"/>
      <c r="EH159" s="290"/>
      <c r="EI159" s="290"/>
      <c r="EJ159" s="291"/>
      <c r="EK159" s="290"/>
      <c r="EL159" s="290"/>
      <c r="EM159" s="291"/>
      <c r="EN159" s="290"/>
      <c r="EO159" s="290"/>
      <c r="EP159" s="291"/>
      <c r="EQ159" s="290"/>
      <c r="ER159" s="290"/>
      <c r="ES159" s="291"/>
      <c r="ET159" s="290"/>
      <c r="EU159" s="290"/>
      <c r="EV159" s="291"/>
      <c r="EW159" s="290"/>
      <c r="EX159" s="290"/>
      <c r="EY159" s="291"/>
      <c r="EZ159" s="290"/>
      <c r="FA159" s="290"/>
      <c r="FB159" s="291"/>
      <c r="FC159" s="290"/>
      <c r="FD159" s="290"/>
      <c r="FE159" s="291"/>
      <c r="FF159" s="290"/>
      <c r="FG159" s="290"/>
      <c r="FH159" s="291"/>
      <c r="FI159" s="290"/>
      <c r="FJ159" s="290"/>
      <c r="FK159" s="291"/>
      <c r="FL159" s="290"/>
      <c r="FM159" s="290"/>
      <c r="FN159" s="291"/>
      <c r="FO159" s="290"/>
      <c r="FP159" s="290"/>
      <c r="FQ159" s="291"/>
      <c r="FR159" s="290"/>
      <c r="FS159" s="290"/>
      <c r="FT159" s="291"/>
      <c r="FU159" s="290"/>
      <c r="FV159" s="290"/>
      <c r="FW159" s="291"/>
      <c r="FX159" s="1304"/>
      <c r="FY159" s="1304"/>
      <c r="FZ159" s="1306"/>
      <c r="GA159" s="1306"/>
      <c r="GB159" s="1306"/>
      <c r="GC159" s="1305"/>
      <c r="GD159" s="1305"/>
    </row>
    <row s="5743" customFormat="1" customHeight="1" ht="23.25">
      <c r="A160" s="897"/>
      <c r="B160" s="925" cm="1" t="str">
        <f t="array" ref="B160:B160">B159</f>
        <v>true</v>
      </c>
      <c r="C160" s="897"/>
      <c r="D160" s="897"/>
      <c r="E160" s="898">
        <v>24.5</v>
      </c>
      <c r="F160" s="50" cm="1" t="str">
        <f t="array" ref="F160:F160">OFFSET(E160,-1,1)</f>
        <v>2</v>
      </c>
      <c r="G160" s="493" t="s">
        <v>2334</v>
      </c>
      <c r="H160" s="493" t="s">
        <v>1175</v>
      </c>
      <c r="I160" s="493" t="s">
        <v>2335</v>
      </c>
      <c r="J160" s="897"/>
      <c r="K160" s="897"/>
      <c r="L160" s="493"/>
      <c r="M160" s="897"/>
      <c r="N160" s="897"/>
      <c r="O160" s="897"/>
      <c r="P160" s="897"/>
      <c r="Q160" s="897"/>
      <c r="R160" s="897"/>
      <c r="S160" s="493"/>
      <c r="T160" s="465" cm="1" t="str">
        <f t="array" ref="T160:T160">T159</f>
        <v>true</v>
      </c>
      <c r="U160" s="897"/>
      <c r="V160" s="897"/>
      <c r="W160" s="897"/>
      <c r="X160" s="1596"/>
      <c r="Y160" s="897"/>
      <c r="Z160" s="1545"/>
      <c r="AA160" s="897"/>
      <c r="AB160" s="293" t="s">
        <v>2336</v>
      </c>
      <c r="AC160" s="294" t="s">
        <v>2337</v>
      </c>
      <c r="AD160" s="899">
        <f>IF(AND(method_reg="Метод индексации",god&lt;&gt;first_year),_xlfn.SUMIFS(INDEX('Калькуляция (МИ корр)'!$AJ$25:$BC$747,,MATCH(AD$8,'Калькуляция (МИ корр)'!$AJ$8:$BC$8,0)),'Калькуляция (МИ корр)'!$F$25:$F$747,$F160,'Калькуляция (МИ корр)'!$G$25:$G$747,$G160),IF(method_reg="Метод экономически обоснованных расходов",_xlfn.SUMIFS('Калькуляция (МЭОР)'!$AJ$25:$AJ$452,'Калькуляция (МЭОР)'!$F$25:$F$452,$F160,'Калькуляция (МЭОР)'!$G$25:$G$452,$G160),IF(method_reg="Метод сравнения аналогов",_xlfn.SUMIFS('Калькуляция (МСА)'!$AE$25:$AE$122,'Калькуляция (МСА)'!$F$25:$F$122,$F160,'Калькуляция (МСА)'!$G$25:$G$122,$G160),_xlfn.SUMIFS(INDEX('Калькуляция (МИ)'!$AJ$25:$BC$747,,MATCH(AD$8,'Калькуляция (МИ)'!$AJ$8:$BC$8,0)),'Калькуляция (МИ)'!$F$25:$F$747,$F160,'Калькуляция (МИ)'!$G$25:$G$747,$G160))))</f>
        <v>106.01</v>
      </c>
      <c r="AE160" s="899">
        <f>IF(AND(method_reg="Метод индексации",god&lt;&gt;first_year),_xlfn.SUMIFS(INDEX('Калькуляция (МИ корр)'!$AJ$25:$BC$747,,MATCH(AE$8,'Калькуляция (МИ корр)'!$AJ$8:$BC$8,0)),'Калькуляция (МИ корр)'!$F$25:$F$747,$F160,'Калькуляция (МИ корр)'!$G$25:$G$747,$G160),IF(method_reg="Метод экономически обоснованных расходов",_xlfn.SUMIFS('Калькуляция (МЭОР)'!$AK$25:$AK$452,'Калькуляция (МЭОР)'!$F$25:$F$452,$F160,'Калькуляция (МЭОР)'!$G$25:$G$452,$G160),IF(method_reg="Метод сравнения аналогов",_xlfn.SUMIFS('Калькуляция (МСА)'!$AF$25:$AF$122,'Калькуляция (МСА)'!$F$25:$F$122,$F160,'Калькуляция (МСА)'!$G$25:$G$122,$G160),_xlfn.SUMIFS(INDEX('Калькуляция (МИ)'!$AJ$25:$BC$747,,MATCH(AE$8,'Калькуляция (МИ)'!$AJ$8:$BC$8,0)),'Калькуляция (МИ)'!$F$25:$F$747,$F160,'Калькуляция (МИ)'!$G$25:$G$747,$G160))))</f>
        <v>106.01</v>
      </c>
      <c r="AF160" s="296">
        <f>IF(AD160=0,0,(AE160-AD160)/AD160*100)</f>
        <v>0</v>
      </c>
      <c r="AG160" s="899">
        <f>IF(AND(method_reg="Метод индексации",god&lt;&gt;first_year),_xlfn.SUMIFS(INDEX('Калькуляция (МИ корр)'!$AJ$25:$BC$747,,MATCH(AG$8,'Калькуляция (МИ корр)'!$AJ$8:$BC$8,0)),'Калькуляция (МИ корр)'!$F$25:$F$747,$F160,'Калькуляция (МИ корр)'!$G$25:$G$747,$G160),IF(method_reg="Метод экономически обоснованных расходов",_xlfn.SUMIFS('Калькуляция (МЭОР)'!$AJ$25:$AJ$452,'Калькуляция (МЭОР)'!$F$25:$F$452,$F160,'Калькуляция (МЭОР)'!$G$25:$G$452,$G160),IF(method_reg="Метод сравнения аналогов",_xlfn.SUMIFS('Калькуляция (МСА)'!$AE$25:$AE$122,'Калькуляция (МСА)'!$F$25:$F$122,$F160,'Калькуляция (МСА)'!$G$25:$G$122,$G160),_xlfn.SUMIFS(INDEX('Калькуляция (МИ)'!$AJ$25:$BC$747,,MATCH(AG$8,'Калькуляция (МИ)'!$AJ$8:$BC$8,0)),'Калькуляция (МИ)'!$F$25:$F$747,$F160,'Калькуляция (МИ)'!$G$25:$G$747,$G160))))</f>
        <v>116.5</v>
      </c>
      <c r="AH160" s="899">
        <f>IF(AND(method_reg="Метод индексации",god&lt;&gt;first_year),_xlfn.SUMIFS(INDEX('Калькуляция (МИ корр)'!$AJ$25:$BC$747,,MATCH(AH$8,'Калькуляция (МИ корр)'!$AJ$8:$BC$8,0)),'Калькуляция (МИ корр)'!$F$25:$F$747,$F160,'Калькуляция (МИ корр)'!$G$25:$G$747,$G160),IF(method_reg="Метод экономически обоснованных расходов",_xlfn.SUMIFS('Калькуляция (МЭОР)'!$AK$25:$AK$452,'Калькуляция (МЭОР)'!$F$25:$F$452,$F160,'Калькуляция (МЭОР)'!$G$25:$G$452,$G160),IF(method_reg="Метод сравнения аналогов",_xlfn.SUMIFS('Калькуляция (МСА)'!$AF$25:$AF$122,'Калькуляция (МСА)'!$F$25:$F$122,$F160,'Калькуляция (МСА)'!$G$25:$G$122,$G160),_xlfn.SUMIFS(INDEX('Калькуляция (МИ)'!$AJ$25:$BC$747,,MATCH(AH$8,'Калькуляция (МИ)'!$AJ$8:$BC$8,0)),'Калькуляция (МИ)'!$F$25:$F$747,$F160,'Калькуляция (МИ)'!$G$25:$G$747,$G160))))</f>
        <v>116.50000002872</v>
      </c>
      <c r="AI160" s="296">
        <f>IF(AG160=0,0,(AH160-AG160)/AG160*100)</f>
        <v>2.46523564556876e-8</v>
      </c>
      <c r="AJ160" s="899">
        <f>IF(AND(method_reg="Метод индексации",god&lt;&gt;first_year),_xlfn.SUMIFS(INDEX('Калькуляция (МИ корр)'!$AJ$25:$BC$747,,MATCH(AJ$8,'Калькуляция (МИ корр)'!$AJ$8:$BC$8,0)),'Калькуляция (МИ корр)'!$F$25:$F$747,$F160,'Калькуляция (МИ корр)'!$G$25:$G$747,$G160),IF(method_reg="Метод экономически обоснованных расходов",_xlfn.SUMIFS('Калькуляция (МЭОР)'!$AJ$25:$AJ$452,'Калькуляция (МЭОР)'!$F$25:$F$452,$F160,'Калькуляция (МЭОР)'!$G$25:$G$452,$G160),IF(method_reg="Метод сравнения аналогов",_xlfn.SUMIFS('Калькуляция (МСА)'!$AE$25:$AE$122,'Калькуляция (МСА)'!$F$25:$F$122,$F160,'Калькуляция (МСА)'!$G$25:$G$122,$G160),_xlfn.SUMIFS(INDEX('Калькуляция (МИ)'!$AJ$25:$BC$747,,MATCH(AJ$8,'Калькуляция (МИ)'!$AJ$8:$BC$8,0)),'Калькуляция (МИ)'!$F$25:$F$747,$F160,'Калькуляция (МИ)'!$G$25:$G$747,$G160))))</f>
        <v>123.96</v>
      </c>
      <c r="AK160" s="899">
        <f>IF(AND(method_reg="Метод индексации",god&lt;&gt;first_year),_xlfn.SUMIFS(INDEX('Калькуляция (МИ корр)'!$AJ$25:$BC$747,,MATCH(AK$8,'Калькуляция (МИ корр)'!$AJ$8:$BC$8,0)),'Калькуляция (МИ корр)'!$F$25:$F$747,$F160,'Калькуляция (МИ корр)'!$G$25:$G$747,$G160),IF(method_reg="Метод экономически обоснованных расходов",_xlfn.SUMIFS('Калькуляция (МЭОР)'!$AK$25:$AK$452,'Калькуляция (МЭОР)'!$F$25:$F$452,$F160,'Калькуляция (МЭОР)'!$G$25:$G$452,$G160),IF(method_reg="Метод сравнения аналогов",_xlfn.SUMIFS('Калькуляция (МСА)'!$AF$25:$AF$122,'Калькуляция (МСА)'!$F$25:$F$122,$F160,'Калькуляция (МСА)'!$G$25:$G$122,$G160),_xlfn.SUMIFS(INDEX('Калькуляция (МИ)'!$AJ$25:$BC$747,,MATCH(AK$8,'Калькуляция (МИ)'!$AJ$8:$BC$8,0)),'Калькуляция (МИ)'!$F$25:$F$747,$F160,'Калькуляция (МИ)'!$G$25:$G$747,$G160))))</f>
        <v>123.960000230571</v>
      </c>
      <c r="AL160" s="296">
        <f>IF(AJ160=0,0,(AK160-AJ160)/AJ160*100)</f>
        <v>1.86004359525101e-7</v>
      </c>
      <c r="AM160" s="899">
        <f>IF(AND(method_reg="Метод индексации",god&lt;&gt;first_year),_xlfn.SUMIFS(INDEX('Калькуляция (МИ корр)'!$AJ$25:$BC$747,,MATCH(AM$8,'Калькуляция (МИ корр)'!$AJ$8:$BC$8,0)),'Калькуляция (МИ корр)'!$F$25:$F$747,$F160,'Калькуляция (МИ корр)'!$G$25:$G$747,$G160),IF(method_reg="Метод экономически обоснованных расходов",_xlfn.SUMIFS('Калькуляция (МЭОР)'!$AJ$25:$AJ$452,'Калькуляция (МЭОР)'!$F$25:$F$452,$F160,'Калькуляция (МЭОР)'!$G$25:$G$452,$G160),IF(method_reg="Метод сравнения аналогов",_xlfn.SUMIFS('Калькуляция (МСА)'!$AE$25:$AE$122,'Калькуляция (МСА)'!$F$25:$F$122,$F160,'Калькуляция (МСА)'!$G$25:$G$122,$G160),_xlfn.SUMIFS(INDEX('Калькуляция (МИ)'!$AJ$25:$BC$747,,MATCH(AM$8,'Калькуляция (МИ)'!$AJ$8:$BC$8,0)),'Калькуляция (МИ)'!$F$25:$F$747,$F160,'Калькуляция (МИ)'!$G$25:$G$747,$G160))))</f>
        <v>133.78</v>
      </c>
      <c r="AN160" s="899">
        <f>IF(AND(method_reg="Метод индексации",god&lt;&gt;first_year),_xlfn.SUMIFS(INDEX('Калькуляция (МИ корр)'!$AJ$25:$BC$747,,MATCH(AN$8,'Калькуляция (МИ корр)'!$AJ$8:$BC$8,0)),'Калькуляция (МИ корр)'!$F$25:$F$747,$F160,'Калькуляция (МИ корр)'!$G$25:$G$747,$G160),IF(method_reg="Метод экономически обоснованных расходов",_xlfn.SUMIFS('Калькуляция (МЭОР)'!$AK$25:$AK$452,'Калькуляция (МЭОР)'!$F$25:$F$452,$F160,'Калькуляция (МЭОР)'!$G$25:$G$452,$G160),IF(method_reg="Метод сравнения аналогов",_xlfn.SUMIFS('Калькуляция (МСА)'!$AF$25:$AF$122,'Калькуляция (МСА)'!$F$25:$F$122,$F160,'Калькуляция (МСА)'!$G$25:$G$122,$G160),_xlfn.SUMIFS(INDEX('Калькуляция (МИ)'!$AJ$25:$BC$747,,MATCH(AN$8,'Калькуляция (МИ)'!$AJ$8:$BC$8,0)),'Калькуляция (МИ)'!$F$25:$F$747,$F160,'Калькуляция (МИ)'!$G$25:$G$747,$G160))))</f>
        <v>133.78000010396</v>
      </c>
      <c r="AO160" s="296">
        <f>IF(AM160=0,0,(AN160-AM160)/AM160*100)</f>
        <v>7.77096657483335e-8</v>
      </c>
      <c r="AP160" s="899">
        <f>IF(AND(method_reg="Метод индексации",god&lt;&gt;first_year),_xlfn.SUMIFS(INDEX('Калькуляция (МИ корр)'!$AJ$25:$BC$747,,MATCH(AP$8,'Калькуляция (МИ корр)'!$AJ$8:$BC$8,0)),'Калькуляция (МИ корр)'!$F$25:$F$747,$F160,'Калькуляция (МИ корр)'!$G$25:$G$747,$G160),IF(method_reg="Метод экономически обоснованных расходов",_xlfn.SUMIFS('Калькуляция (МЭОР)'!$AJ$25:$AJ$452,'Калькуляция (МЭОР)'!$F$25:$F$452,$F160,'Калькуляция (МЭОР)'!$G$25:$G$452,$G160),IF(method_reg="Метод сравнения аналогов",_xlfn.SUMIFS('Калькуляция (МСА)'!$AE$25:$AE$122,'Калькуляция (МСА)'!$F$25:$F$122,$F160,'Калькуляция (МСА)'!$G$25:$G$122,$G160),_xlfn.SUMIFS(INDEX('Калькуляция (МИ)'!$AJ$25:$BC$747,,MATCH(AP$8,'Калькуляция (МИ)'!$AJ$8:$BC$8,0)),'Калькуляция (МИ)'!$F$25:$F$747,$F160,'Калькуляция (МИ)'!$G$25:$G$747,$G160))))</f>
        <v>138.49</v>
      </c>
      <c r="AQ160" s="899">
        <f>IF(AND(method_reg="Метод индексации",god&lt;&gt;first_year),_xlfn.SUMIFS(INDEX('Калькуляция (МИ корр)'!$AJ$25:$BC$747,,MATCH(AQ$8,'Калькуляция (МИ корр)'!$AJ$8:$BC$8,0)),'Калькуляция (МИ корр)'!$F$25:$F$747,$F160,'Калькуляция (МИ корр)'!$G$25:$G$747,$G160),IF(method_reg="Метод экономически обоснованных расходов",_xlfn.SUMIFS('Калькуляция (МЭОР)'!$AK$25:$AK$452,'Калькуляция (МЭОР)'!$F$25:$F$452,$F160,'Калькуляция (МЭОР)'!$G$25:$G$452,$G160),IF(method_reg="Метод сравнения аналогов",_xlfn.SUMIFS('Калькуляция (МСА)'!$AF$25:$AF$122,'Калькуляция (МСА)'!$F$25:$F$122,$F160,'Калькуляция (МСА)'!$G$25:$G$122,$G160),_xlfn.SUMIFS(INDEX('Калькуляция (МИ)'!$AJ$25:$BC$747,,MATCH(AQ$8,'Калькуляция (МИ)'!$AJ$8:$BC$8,0)),'Калькуляция (МИ)'!$F$25:$F$747,$F160,'Калькуляция (МИ)'!$G$25:$G$747,$G160))))</f>
        <v>138.490000189423</v>
      </c>
      <c r="AR160" s="296">
        <f>IF(AP160=0,0,(AQ160-AP160)/AP160*100)</f>
        <v>1.36777378200872e-7</v>
      </c>
      <c r="AS160" s="5239">
        <f>IF(AND(method_reg="Метод индексации",god&lt;&gt;first_year),_xlfn.SUMIFS(INDEX('Калькуляция (МИ корр)'!$AJ$25:$BC$747,,MATCH(AS$8,'Калькуляция (МИ корр)'!$AJ$8:$BC$8,0)),'Калькуляция (МИ корр)'!$F$25:$F$747,$F160,'Калькуляция (МИ корр)'!$G$25:$G$747,$G160),IF(method_reg="Метод экономически обоснованных расходов",_xlfn.SUMIFS('Калькуляция (МЭОР)'!$AJ$25:$AJ$452,'Калькуляция (МЭОР)'!$F$25:$F$452,$F160,'Калькуляция (МЭОР)'!$G$25:$G$452,$G160),IF(method_reg="Метод сравнения аналогов",_xlfn.SUMIFS('Калькуляция (МСА)'!$AE$25:$AE$122,'Калькуляция (МСА)'!$F$25:$F$122,$F160,'Калькуляция (МСА)'!$G$25:$G$122,$G160),_xlfn.SUMIFS(INDEX('Калькуляция (МИ)'!$AJ$25:$BC$747,,MATCH(AS$8,'Калькуляция (МИ)'!$AJ$8:$BC$8,0)),'Калькуляция (МИ)'!$F$25:$F$747,$F160,'Калькуляция (МИ)'!$G$25:$G$747,$G160))))</f>
        <v>0</v>
      </c>
      <c r="AT160" s="5239">
        <f>IF(AND(method_reg="Метод индексации",god&lt;&gt;first_year),_xlfn.SUMIFS(INDEX('Калькуляция (МИ корр)'!$AJ$25:$BC$747,,MATCH(AT$8,'Калькуляция (МИ корр)'!$AJ$8:$BC$8,0)),'Калькуляция (МИ корр)'!$F$25:$F$747,$F160,'Калькуляция (МИ корр)'!$G$25:$G$747,$G160),IF(method_reg="Метод экономически обоснованных расходов",_xlfn.SUMIFS('Калькуляция (МЭОР)'!$AK$25:$AK$452,'Калькуляция (МЭОР)'!$F$25:$F$452,$F160,'Калькуляция (МЭОР)'!$G$25:$G$452,$G160),IF(method_reg="Метод сравнения аналогов",_xlfn.SUMIFS('Калькуляция (МСА)'!$AF$25:$AF$122,'Калькуляция (МСА)'!$F$25:$F$122,$F160,'Калькуляция (МСА)'!$G$25:$G$122,$G160),_xlfn.SUMIFS(INDEX('Калькуляция (МИ)'!$AJ$25:$BC$747,,MATCH(AT$8,'Калькуляция (МИ)'!$AJ$8:$BC$8,0)),'Калькуляция (МИ)'!$F$25:$F$747,$F160,'Калькуляция (МИ)'!$G$25:$G$747,$G160))))</f>
        <v>142.697936086499</v>
      </c>
      <c r="AU160" s="296">
        <f>IF(AS160=0,0,(AT160-AS160)/AS160*100)</f>
        <v>0</v>
      </c>
      <c r="AV160" s="5239">
        <f>IF(AND(method_reg="Метод индексации",god&lt;&gt;first_year),_xlfn.SUMIFS(INDEX('Калькуляция (МИ корр)'!$AJ$25:$BC$747,,MATCH(AV$8,'Калькуляция (МИ корр)'!$AJ$8:$BC$8,0)),'Калькуляция (МИ корр)'!$F$25:$F$747,$F160,'Калькуляция (МИ корр)'!$G$25:$G$747,$G160),IF(method_reg="Метод экономически обоснованных расходов",_xlfn.SUMIFS('Калькуляция (МЭОР)'!$AJ$25:$AJ$452,'Калькуляция (МЭОР)'!$F$25:$F$452,$F160,'Калькуляция (МЭОР)'!$G$25:$G$452,$G160),IF(method_reg="Метод сравнения аналогов",_xlfn.SUMIFS('Калькуляция (МСА)'!$AE$25:$AE$122,'Калькуляция (МСА)'!$F$25:$F$122,$F160,'Калькуляция (МСА)'!$G$25:$G$122,$G160),_xlfn.SUMIFS(INDEX('Калькуляция (МИ)'!$AJ$25:$BC$747,,MATCH(AV$8,'Калькуляция (МИ)'!$AJ$8:$BC$8,0)),'Калькуляция (МИ)'!$F$25:$F$747,$F160,'Калькуляция (МИ)'!$G$25:$G$747,$G160))))</f>
        <v>0</v>
      </c>
      <c r="AW160" s="5239">
        <f>IF(AND(method_reg="Метод индексации",god&lt;&gt;first_year),_xlfn.SUMIFS(INDEX('Калькуляция (МИ корр)'!$AJ$25:$BC$747,,MATCH(AW$8,'Калькуляция (МИ корр)'!$AJ$8:$BC$8,0)),'Калькуляция (МИ корр)'!$F$25:$F$747,$F160,'Калькуляция (МИ корр)'!$G$25:$G$747,$G160),IF(method_reg="Метод экономически обоснованных расходов",_xlfn.SUMIFS('Калькуляция (МЭОР)'!$AK$25:$AK$452,'Калькуляция (МЭОР)'!$F$25:$F$452,$F160,'Калькуляция (МЭОР)'!$G$25:$G$452,$G160),IF(method_reg="Метод сравнения аналогов",_xlfn.SUMIFS('Калькуляция (МСА)'!$AF$25:$AF$122,'Калькуляция (МСА)'!$F$25:$F$122,$F160,'Калькуляция (МСА)'!$G$25:$G$122,$G160),_xlfn.SUMIFS(INDEX('Калькуляция (МИ)'!$AJ$25:$BC$747,,MATCH(AW$8,'Калькуляция (МИ)'!$AJ$8:$BC$8,0)),'Калькуляция (МИ)'!$F$25:$F$747,$F160,'Калькуляция (МИ)'!$G$25:$G$747,$G160))))</f>
        <v>0</v>
      </c>
      <c r="AX160" s="296">
        <f>IF(AV160=0,0,(AW160-AV160)/AV160*100)</f>
        <v>0</v>
      </c>
      <c r="AY160" s="5239">
        <f>IF(AND(method_reg="Метод индексации",god&lt;&gt;first_year),_xlfn.SUMIFS(INDEX('Калькуляция (МИ корр)'!$AJ$25:$BC$747,,MATCH(AY$8,'Калькуляция (МИ корр)'!$AJ$8:$BC$8,0)),'Калькуляция (МИ корр)'!$F$25:$F$747,$F160,'Калькуляция (МИ корр)'!$G$25:$G$747,$G160),IF(method_reg="Метод экономически обоснованных расходов",_xlfn.SUMIFS('Калькуляция (МЭОР)'!$AJ$25:$AJ$452,'Калькуляция (МЭОР)'!$F$25:$F$452,$F160,'Калькуляция (МЭОР)'!$G$25:$G$452,$G160),IF(method_reg="Метод сравнения аналогов",_xlfn.SUMIFS('Калькуляция (МСА)'!$AE$25:$AE$122,'Калькуляция (МСА)'!$F$25:$F$122,$F160,'Калькуляция (МСА)'!$G$25:$G$122,$G160),_xlfn.SUMIFS(INDEX('Калькуляция (МИ)'!$AJ$25:$BC$747,,MATCH(AY$8,'Калькуляция (МИ)'!$AJ$8:$BC$8,0)),'Калькуляция (МИ)'!$F$25:$F$747,$F160,'Калькуляция (МИ)'!$G$25:$G$747,$G160))))</f>
        <v>0</v>
      </c>
      <c r="AZ160" s="5239">
        <f>IF(AND(method_reg="Метод индексации",god&lt;&gt;first_year),_xlfn.SUMIFS(INDEX('Калькуляция (МИ корр)'!$AJ$25:$BC$747,,MATCH(AZ$8,'Калькуляция (МИ корр)'!$AJ$8:$BC$8,0)),'Калькуляция (МИ корр)'!$F$25:$F$747,$F160,'Калькуляция (МИ корр)'!$G$25:$G$747,$G160),IF(method_reg="Метод экономически обоснованных расходов",_xlfn.SUMIFS('Калькуляция (МЭОР)'!$AK$25:$AK$452,'Калькуляция (МЭОР)'!$F$25:$F$452,$F160,'Калькуляция (МЭОР)'!$G$25:$G$452,$G160),IF(method_reg="Метод сравнения аналогов",_xlfn.SUMIFS('Калькуляция (МСА)'!$AF$25:$AF$122,'Калькуляция (МСА)'!$F$25:$F$122,$F160,'Калькуляция (МСА)'!$G$25:$G$122,$G160),_xlfn.SUMIFS(INDEX('Калькуляция (МИ)'!$AJ$25:$BC$747,,MATCH(AZ$8,'Калькуляция (МИ)'!$AJ$8:$BC$8,0)),'Калькуляция (МИ)'!$F$25:$F$747,$F160,'Калькуляция (МИ)'!$G$25:$G$747,$G160))))</f>
        <v>0</v>
      </c>
      <c r="BA160" s="296">
        <f>IF(AY160=0,0,(AZ160-AY160)/AY160*100)</f>
        <v>0</v>
      </c>
      <c r="BB160" s="5239">
        <f>IF(AND(method_reg="Метод индексации",god&lt;&gt;first_year),_xlfn.SUMIFS(INDEX('Калькуляция (МИ корр)'!$AJ$25:$BC$747,,MATCH(BB$8,'Калькуляция (МИ корр)'!$AJ$8:$BC$8,0)),'Калькуляция (МИ корр)'!$F$25:$F$747,$F160,'Калькуляция (МИ корр)'!$G$25:$G$747,$G160),IF(method_reg="Метод экономически обоснованных расходов",_xlfn.SUMIFS('Калькуляция (МЭОР)'!$AJ$25:$AJ$452,'Калькуляция (МЭОР)'!$F$25:$F$452,$F160,'Калькуляция (МЭОР)'!$G$25:$G$452,$G160),IF(method_reg="Метод сравнения аналогов",_xlfn.SUMIFS('Калькуляция (МСА)'!$AE$25:$AE$122,'Калькуляция (МСА)'!$F$25:$F$122,$F160,'Калькуляция (МСА)'!$G$25:$G$122,$G160),_xlfn.SUMIFS(INDEX('Калькуляция (МИ)'!$AJ$25:$BC$747,,MATCH(BB$8,'Калькуляция (МИ)'!$AJ$8:$BC$8,0)),'Калькуляция (МИ)'!$F$25:$F$747,$F160,'Калькуляция (МИ)'!$G$25:$G$747,$G160))))</f>
        <v>0</v>
      </c>
      <c r="BC160" s="5239">
        <f>IF(AND(method_reg="Метод индексации",god&lt;&gt;first_year),_xlfn.SUMIFS(INDEX('Калькуляция (МИ корр)'!$AJ$25:$BC$747,,MATCH(BC$8,'Калькуляция (МИ корр)'!$AJ$8:$BC$8,0)),'Калькуляция (МИ корр)'!$F$25:$F$747,$F160,'Калькуляция (МИ корр)'!$G$25:$G$747,$G160),IF(method_reg="Метод экономически обоснованных расходов",_xlfn.SUMIFS('Калькуляция (МЭОР)'!$AK$25:$AK$452,'Калькуляция (МЭОР)'!$F$25:$F$452,$F160,'Калькуляция (МЭОР)'!$G$25:$G$452,$G160),IF(method_reg="Метод сравнения аналогов",_xlfn.SUMIFS('Калькуляция (МСА)'!$AF$25:$AF$122,'Калькуляция (МСА)'!$F$25:$F$122,$F160,'Калькуляция (МСА)'!$G$25:$G$122,$G160),_xlfn.SUMIFS(INDEX('Калькуляция (МИ)'!$AJ$25:$BC$747,,MATCH(BC$8,'Калькуляция (МИ)'!$AJ$8:$BC$8,0)),'Калькуляция (МИ)'!$F$25:$F$747,$F160,'Калькуляция (МИ)'!$G$25:$G$747,$G160))))</f>
        <v>0</v>
      </c>
      <c r="BD160" s="296">
        <f>IF(BB160=0,0,(BC160-BB160)/BB160*100)</f>
        <v>0</v>
      </c>
      <c r="BE160" s="5239">
        <f>IF(AND(method_reg="Метод индексации",god&lt;&gt;first_year),_xlfn.SUMIFS(INDEX('Калькуляция (МИ корр)'!$AJ$25:$BC$747,,MATCH(BE$8,'Калькуляция (МИ корр)'!$AJ$8:$BC$8,0)),'Калькуляция (МИ корр)'!$F$25:$F$747,$F160,'Калькуляция (МИ корр)'!$G$25:$G$747,$G160),IF(method_reg="Метод экономически обоснованных расходов",_xlfn.SUMIFS('Калькуляция (МЭОР)'!$AJ$25:$AJ$452,'Калькуляция (МЭОР)'!$F$25:$F$452,$F160,'Калькуляция (МЭОР)'!$G$25:$G$452,$G160),IF(method_reg="Метод сравнения аналогов",_xlfn.SUMIFS('Калькуляция (МСА)'!$AE$25:$AE$122,'Калькуляция (МСА)'!$F$25:$F$122,$F160,'Калькуляция (МСА)'!$G$25:$G$122,$G160),_xlfn.SUMIFS(INDEX('Калькуляция (МИ)'!$AJ$25:$BC$747,,MATCH(BE$8,'Калькуляция (МИ)'!$AJ$8:$BC$8,0)),'Калькуляция (МИ)'!$F$25:$F$747,$F160,'Калькуляция (МИ)'!$G$25:$G$747,$G160))))</f>
        <v>0</v>
      </c>
      <c r="BF160" s="5239">
        <f>IF(AND(method_reg="Метод индексации",god&lt;&gt;first_year),_xlfn.SUMIFS(INDEX('Калькуляция (МИ корр)'!$AJ$25:$BC$747,,MATCH(BF$8,'Калькуляция (МИ корр)'!$AJ$8:$BC$8,0)),'Калькуляция (МИ корр)'!$F$25:$F$747,$F160,'Калькуляция (МИ корр)'!$G$25:$G$747,$G160),IF(method_reg="Метод экономически обоснованных расходов",_xlfn.SUMIFS('Калькуляция (МЭОР)'!$AK$25:$AK$452,'Калькуляция (МЭОР)'!$F$25:$F$452,$F160,'Калькуляция (МЭОР)'!$G$25:$G$452,$G160),IF(method_reg="Метод сравнения аналогов",_xlfn.SUMIFS('Калькуляция (МСА)'!$AF$25:$AF$122,'Калькуляция (МСА)'!$F$25:$F$122,$F160,'Калькуляция (МСА)'!$G$25:$G$122,$G160),_xlfn.SUMIFS(INDEX('Калькуляция (МИ)'!$AJ$25:$BC$747,,MATCH(BF$8,'Калькуляция (МИ)'!$AJ$8:$BC$8,0)),'Калькуляция (МИ)'!$F$25:$F$747,$F160,'Калькуляция (МИ)'!$G$25:$G$747,$G160))))</f>
        <v>0</v>
      </c>
      <c r="BG160" s="296">
        <f>IF(BE160=0,0,(BF160-BE160)/BE160*100)</f>
        <v>0</v>
      </c>
      <c r="BH160" s="5239"/>
      <c r="BI160" s="5239"/>
      <c r="BJ160" s="296">
        <f>IF(BH160=0,0,(BI160-BH160)/BH160*100)</f>
        <v>0</v>
      </c>
      <c r="BK160" s="5239"/>
      <c r="BL160" s="5239"/>
      <c r="BM160" s="296">
        <f>IF(BK160=0,0,(BL160-BK160)/BK160*100)</f>
        <v>0</v>
      </c>
      <c r="BN160" s="5239"/>
      <c r="BO160" s="5239"/>
      <c r="BP160" s="296">
        <f>IF(BN160=0,0,(BO160-BN160)/BN160*100)</f>
        <v>0</v>
      </c>
      <c r="BQ160" s="5239"/>
      <c r="BR160" s="5239"/>
      <c r="BS160" s="296">
        <f>IF(BQ160=0,0,(BR160-BQ160)/BQ160*100)</f>
        <v>0</v>
      </c>
      <c r="BT160" s="5239"/>
      <c r="BU160" s="5239"/>
      <c r="BV160" s="296">
        <f>IF(BT160=0,0,(BU160-BT160)/BT160*100)</f>
        <v>0</v>
      </c>
      <c r="BW160" s="5239"/>
      <c r="BX160" s="5239"/>
      <c r="BY160" s="296">
        <f>IF(BW160=0,0,(BX160-BW160)/BW160*100)</f>
        <v>0</v>
      </c>
      <c r="BZ160" s="5239"/>
      <c r="CA160" s="5239"/>
      <c r="CB160" s="296">
        <f>IF(BZ160=0,0,(CA160-BZ160)/BZ160*100)</f>
        <v>0</v>
      </c>
      <c r="CC160" s="5239"/>
      <c r="CD160" s="5239"/>
      <c r="CE160" s="296">
        <f>IF(CC160=0,0,(CD160-CC160)/CC160*100)</f>
        <v>0</v>
      </c>
      <c r="CF160" s="5239"/>
      <c r="CG160" s="5239"/>
      <c r="CH160" s="296">
        <f>IF(CF160=0,0,(CG160-CF160)/CF160*100)</f>
        <v>0</v>
      </c>
      <c r="CI160" s="5239"/>
      <c r="CJ160" s="5239"/>
      <c r="CK160" s="296">
        <f>IF(CI160=0,0,(CJ160-CI160)/CI160*100)</f>
        <v>0</v>
      </c>
      <c r="CL160" s="5239"/>
      <c r="CM160" s="5239"/>
      <c r="CN160" s="296">
        <f>IF(CL160=0,0,(CM160-CL160)/CL160*100)</f>
        <v>0</v>
      </c>
      <c r="CO160" s="5239"/>
      <c r="CP160" s="5239"/>
      <c r="CQ160" s="296">
        <f>IF(CO160=0,0,(CP160-CO160)/CO160*100)</f>
        <v>0</v>
      </c>
      <c r="CR160" s="5239"/>
      <c r="CS160" s="5239"/>
      <c r="CT160" s="296">
        <f>IF(CR160=0,0,(CS160-CR160)/CR160*100)</f>
        <v>0</v>
      </c>
      <c r="CU160" s="5239"/>
      <c r="CV160" s="5239"/>
      <c r="CW160" s="296">
        <f>IF(CU160=0,0,(CV160-CU160)/CU160*100)</f>
        <v>0</v>
      </c>
      <c r="CX160" s="5239"/>
      <c r="CY160" s="5239"/>
      <c r="CZ160" s="296">
        <f>IF(CX160=0,0,(CY160-CX160)/CX160*100)</f>
        <v>0</v>
      </c>
      <c r="DA160" s="5239"/>
      <c r="DB160" s="5239"/>
      <c r="DC160" s="296">
        <f>IF(DA160=0,0,(DB160-DA160)/DA160*100)</f>
        <v>0</v>
      </c>
      <c r="DD160" s="5239"/>
      <c r="DE160" s="5239"/>
      <c r="DF160" s="296">
        <f>IF(DD160=0,0,(DE160-DD160)/DD160*100)</f>
        <v>0</v>
      </c>
      <c r="DG160" s="5241"/>
      <c r="DH160" s="5241"/>
      <c r="DI160" s="296">
        <f>IF(DG160=0,0,(DH160-DG160)/DG160*100)</f>
        <v>0</v>
      </c>
      <c r="DJ160" s="5241"/>
      <c r="DK160" s="5241"/>
      <c r="DL160" s="296">
        <f>IF(DJ160=0,0,(DK160-DJ160)/DJ160*100)</f>
        <v>0</v>
      </c>
      <c r="DM160" s="5241"/>
      <c r="DN160" s="5241"/>
      <c r="DO160" s="296">
        <f>IF(DM160=0,0,(DN160-DM160)/DM160*100)</f>
        <v>0</v>
      </c>
      <c r="DP160" s="5241"/>
      <c r="DQ160" s="5241"/>
      <c r="DR160" s="296">
        <f>IF(DP160=0,0,(DQ160-DP160)/DP160*100)</f>
        <v>0</v>
      </c>
      <c r="DS160" s="5241"/>
      <c r="DT160" s="5241"/>
      <c r="DU160" s="296">
        <f>IF(DS160=0,0,(DT160-DS160)/DS160*100)</f>
        <v>0</v>
      </c>
      <c r="DV160" s="5241"/>
      <c r="DW160" s="5241"/>
      <c r="DX160" s="296">
        <f>IF(DV160=0,0,(DW160-DV160)/DV160*100)</f>
        <v>0</v>
      </c>
      <c r="DY160" s="5241"/>
      <c r="DZ160" s="5241"/>
      <c r="EA160" s="296">
        <f>IF(DY160=0,0,(DZ160-DY160)/DY160*100)</f>
        <v>0</v>
      </c>
      <c r="EB160" s="5241"/>
      <c r="EC160" s="5241"/>
      <c r="ED160" s="296">
        <f>IF(EB160=0,0,(EC160-EB160)/EB160*100)</f>
        <v>0</v>
      </c>
      <c r="EE160" s="5241"/>
      <c r="EF160" s="5241"/>
      <c r="EG160" s="296">
        <f>IF(EE160=0,0,(EF160-EE160)/EE160*100)</f>
        <v>0</v>
      </c>
      <c r="EH160" s="5241"/>
      <c r="EI160" s="5241"/>
      <c r="EJ160" s="296">
        <f>IF(EH160=0,0,(EI160-EH160)/EH160*100)</f>
        <v>0</v>
      </c>
      <c r="EK160" s="5241"/>
      <c r="EL160" s="5241"/>
      <c r="EM160" s="296">
        <f>IF(EK160=0,0,(EL160-EK160)/EK160*100)</f>
        <v>0</v>
      </c>
      <c r="EN160" s="5241"/>
      <c r="EO160" s="5241"/>
      <c r="EP160" s="296">
        <f>IF(EN160=0,0,(EO160-EN160)/EN160*100)</f>
        <v>0</v>
      </c>
      <c r="EQ160" s="5241"/>
      <c r="ER160" s="5241"/>
      <c r="ES160" s="296">
        <f>IF(EQ160=0,0,(ER160-EQ160)/EQ160*100)</f>
        <v>0</v>
      </c>
      <c r="ET160" s="5241"/>
      <c r="EU160" s="5241"/>
      <c r="EV160" s="296">
        <f>IF(ET160=0,0,(EU160-ET160)/ET160*100)</f>
        <v>0</v>
      </c>
      <c r="EW160" s="5241"/>
      <c r="EX160" s="5241"/>
      <c r="EY160" s="296">
        <f>IF(EW160=0,0,(EX160-EW160)/EW160*100)</f>
        <v>0</v>
      </c>
      <c r="EZ160" s="5241"/>
      <c r="FA160" s="5241"/>
      <c r="FB160" s="296">
        <f>IF(EZ160=0,0,(FA160-EZ160)/EZ160*100)</f>
        <v>0</v>
      </c>
      <c r="FC160" s="5241"/>
      <c r="FD160" s="5241"/>
      <c r="FE160" s="296">
        <f>IF(FC160=0,0,(FD160-FC160)/FC160*100)</f>
        <v>0</v>
      </c>
      <c r="FF160" s="5241"/>
      <c r="FG160" s="5241"/>
      <c r="FH160" s="296">
        <f>IF(FF160=0,0,(FG160-FF160)/FF160*100)</f>
        <v>0</v>
      </c>
      <c r="FI160" s="5241"/>
      <c r="FJ160" s="5241"/>
      <c r="FK160" s="296">
        <f>IF(FI160=0,0,(FJ160-FI160)/FI160*100)</f>
        <v>0</v>
      </c>
      <c r="FL160" s="5241"/>
      <c r="FM160" s="5241"/>
      <c r="FN160" s="296">
        <f>IF(FL160=0,0,(FM160-FL160)/FL160*100)</f>
        <v>0</v>
      </c>
      <c r="FO160" s="5241"/>
      <c r="FP160" s="5241"/>
      <c r="FQ160" s="296">
        <f>IF(FO160=0,0,(FP160-FO160)/FO160*100)</f>
        <v>0</v>
      </c>
      <c r="FR160" s="5241"/>
      <c r="FS160" s="5241"/>
      <c r="FT160" s="296">
        <f>IF(FR160=0,0,(FS160-FR160)/FR160*100)</f>
        <v>0</v>
      </c>
      <c r="FU160" s="5241"/>
      <c r="FV160" s="5241"/>
      <c r="FW160" s="296">
        <f>IF(FU160=0,0,(FV160-FU160)/FU160*100)</f>
        <v>0</v>
      </c>
      <c r="FX160" s="292"/>
      <c r="FY160" s="292"/>
      <c r="FZ160" s="1055" t="s">
        <v>2338</v>
      </c>
      <c r="GA160" s="1055"/>
      <c r="GB160" s="1055"/>
      <c r="GC160" s="1056"/>
      <c r="GD160" s="1056"/>
    </row>
    <row s="5744" customFormat="1" customHeight="1" ht="23.25">
      <c r="A161" s="897"/>
      <c r="B161" s="925" cm="1" t="str">
        <f t="array" ref="B161:B161">B160</f>
        <v>true</v>
      </c>
      <c r="C161" s="897"/>
      <c r="D161" s="897"/>
      <c r="E161" s="898">
        <v>24.5</v>
      </c>
      <c r="F161" s="50" cm="1" t="str">
        <f t="array" ref="F161:F161">OFFSET(E161,-1,1)</f>
        <v>2</v>
      </c>
      <c r="G161" s="493" t="s">
        <v>2339</v>
      </c>
      <c r="H161" s="493" t="s">
        <v>1175</v>
      </c>
      <c r="I161" s="493" t="s">
        <v>2340</v>
      </c>
      <c r="J161" s="897"/>
      <c r="K161" s="897"/>
      <c r="L161" s="493"/>
      <c r="M161" s="897"/>
      <c r="N161" s="897"/>
      <c r="O161" s="897"/>
      <c r="P161" s="897"/>
      <c r="Q161" s="897"/>
      <c r="R161" s="897"/>
      <c r="S161" s="493"/>
      <c r="T161" s="465" cm="1" t="str">
        <f t="array" ref="T161:T161">T160</f>
        <v>true</v>
      </c>
      <c r="U161" s="897"/>
      <c r="V161" s="897"/>
      <c r="W161" s="897"/>
      <c r="X161" s="1596"/>
      <c r="Y161" s="897"/>
      <c r="Z161" s="1545"/>
      <c r="AA161" s="897"/>
      <c r="AB161" s="293" t="s">
        <v>2341</v>
      </c>
      <c r="AC161" s="294" t="s">
        <v>2337</v>
      </c>
      <c r="AD161" s="899">
        <f>IF(AND(method_reg="Метод индексации",god&lt;&gt;first_year),_xlfn.SUMIFS(INDEX('Калькуляция (МИ корр)'!$AJ$25:$BC$747,,MATCH(AD$8,'Калькуляция (МИ корр)'!$AJ$8:$BC$8,0)),'Калькуляция (МИ корр)'!$F$25:$F$747,$F161,'Калькуляция (МИ корр)'!$G$25:$G$747,$G161),IF(method_reg="Метод экономически обоснованных расходов",_xlfn.SUMIFS('Калькуляция (МЭОР)'!$AJ$25:$AJ$452,'Калькуляция (МЭОР)'!$F$25:$F$452,$F161,'Калькуляция (МЭОР)'!$G$25:$G$452,$G161),IF(method_reg="Метод сравнения аналогов",_xlfn.SUMIFS('Калькуляция (МСА)'!$AE$25:$AE$122,'Калькуляция (МСА)'!$F$25:$F$122,$F161,'Калькуляция (МСА)'!$G$25:$G$122,$G161),_xlfn.SUMIFS(INDEX('Калькуляция (МИ)'!$AJ$25:$BC$747,,MATCH(AD$8,'Калькуляция (МИ)'!$AJ$8:$BC$8,0)),'Калькуляция (МИ)'!$F$25:$F$747,$F161,'Калькуляция (МИ)'!$G$25:$G$747,$G161))))</f>
        <v>116.500004624933</v>
      </c>
      <c r="AE161" s="899">
        <f>IF(AND(method_reg="Метод индексации",god&lt;&gt;first_year),_xlfn.SUMIFS(INDEX('Калькуляция (МИ корр)'!$AJ$25:$BC$747,,MATCH(AE$8,'Калькуляция (МИ корр)'!$AJ$8:$BC$8,0)),'Калькуляция (МИ корр)'!$F$25:$F$747,$F161,'Калькуляция (МИ корр)'!$G$25:$G$747,$G161),IF(method_reg="Метод экономически обоснованных расходов",_xlfn.SUMIFS('Калькуляция (МЭОР)'!$AK$25:$AK$452,'Калькуляция (МЭОР)'!$F$25:$F$452,$F161,'Калькуляция (МЭОР)'!$G$25:$G$452,$G161),IF(method_reg="Метод сравнения аналогов",_xlfn.SUMIFS('Калькуляция (МСА)'!$AF$25:$AF$122,'Калькуляция (МСА)'!$F$25:$F$122,$F161,'Калькуляция (МСА)'!$G$25:$G$122,$G161),_xlfn.SUMIFS(INDEX('Калькуляция (МИ)'!$AJ$25:$BC$747,,MATCH(AE$8,'Калькуляция (МИ)'!$AJ$8:$BC$8,0)),'Калькуляция (МИ)'!$F$25:$F$747,$F161,'Калькуляция (МИ)'!$G$25:$G$747,$G161))))</f>
        <v>116.50000002872</v>
      </c>
      <c r="AF161" s="296">
        <f>IF(AD161=0,0,(AE161-AD161)/AD161*100)</f>
        <v>-0.00000394524705632443</v>
      </c>
      <c r="AG161" s="899">
        <f>IF(AND(method_reg="Метод индексации",god&lt;&gt;first_year),_xlfn.SUMIFS(INDEX('Калькуляция (МИ корр)'!$AJ$25:$BC$747,,MATCH(AG$8,'Калькуляция (МИ корр)'!$AJ$8:$BC$8,0)),'Калькуляция (МИ корр)'!$F$25:$F$747,$F161,'Калькуляция (МИ корр)'!$G$25:$G$747,$G161),IF(method_reg="Метод экономически обоснованных расходов",_xlfn.SUMIFS('Калькуляция (МЭОР)'!$AJ$25:$AJ$452,'Калькуляция (МЭОР)'!$F$25:$F$452,$F161,'Калькуляция (МЭОР)'!$G$25:$G$452,$G161),IF(method_reg="Метод сравнения аналогов",_xlfn.SUMIFS('Калькуляция (МСА)'!$AE$25:$AE$122,'Калькуляция (МСА)'!$F$25:$F$122,$F161,'Калькуляция (МСА)'!$G$25:$G$122,$G161),_xlfn.SUMIFS(INDEX('Калькуляция (МИ)'!$AJ$25:$BC$747,,MATCH(AG$8,'Калькуляция (МИ)'!$AJ$8:$BC$8,0)),'Калькуляция (МИ)'!$F$25:$F$747,$F161,'Калькуляция (МИ)'!$G$25:$G$747,$G161))))</f>
        <v>123.960001355454</v>
      </c>
      <c r="AH161" s="899">
        <f>IF(AND(method_reg="Метод индексации",god&lt;&gt;first_year),_xlfn.SUMIFS(INDEX('Калькуляция (МИ корр)'!$AJ$25:$BC$747,,MATCH(AH$8,'Калькуляция (МИ корр)'!$AJ$8:$BC$8,0)),'Калькуляция (МИ корр)'!$F$25:$F$747,$F161,'Калькуляция (МИ корр)'!$G$25:$G$747,$G161),IF(method_reg="Метод экономически обоснованных расходов",_xlfn.SUMIFS('Калькуляция (МЭОР)'!$AK$25:$AK$452,'Калькуляция (МЭОР)'!$F$25:$F$452,$F161,'Калькуляция (МЭОР)'!$G$25:$G$452,$G161),IF(method_reg="Метод сравнения аналогов",_xlfn.SUMIFS('Калькуляция (МСА)'!$AF$25:$AF$122,'Калькуляция (МСА)'!$F$25:$F$122,$F161,'Калькуляция (МСА)'!$G$25:$G$122,$G161),_xlfn.SUMIFS(INDEX('Калькуляция (МИ)'!$AJ$25:$BC$747,,MATCH(AH$8,'Калькуляция (МИ)'!$AJ$8:$BC$8,0)),'Калькуляция (МИ)'!$F$25:$F$747,$F161,'Калькуляция (МИ)'!$G$25:$G$747,$G161))))</f>
        <v>123.960000230571</v>
      </c>
      <c r="AI161" s="296">
        <f>IF(AG161=0,0,(AH161-AG161)/AG161*100)</f>
        <v>-9.07456426986627e-7</v>
      </c>
      <c r="AJ161" s="899">
        <f>IF(AND(method_reg="Метод индексации",god&lt;&gt;first_year),_xlfn.SUMIFS(INDEX('Калькуляция (МИ корр)'!$AJ$25:$BC$747,,MATCH(AJ$8,'Калькуляция (МИ корр)'!$AJ$8:$BC$8,0)),'Калькуляция (МИ корр)'!$F$25:$F$747,$F161,'Калькуляция (МИ корр)'!$G$25:$G$747,$G161),IF(method_reg="Метод экономически обоснованных расходов",_xlfn.SUMIFS('Калькуляция (МЭОР)'!$AJ$25:$AJ$452,'Калькуляция (МЭОР)'!$F$25:$F$452,$F161,'Калькуляция (МЭОР)'!$G$25:$G$452,$G161),IF(method_reg="Метод сравнения аналогов",_xlfn.SUMIFS('Калькуляция (МСА)'!$AE$25:$AE$122,'Калькуляция (МСА)'!$F$25:$F$122,$F161,'Калькуляция (МСА)'!$G$25:$G$122,$G161),_xlfn.SUMIFS(INDEX('Калькуляция (МИ)'!$AJ$25:$BC$747,,MATCH(AJ$8,'Калькуляция (МИ)'!$AJ$8:$BC$8,0)),'Калькуляция (МИ)'!$F$25:$F$747,$F161,'Калькуляция (МИ)'!$G$25:$G$747,$G161))))</f>
        <v>133.779754501375</v>
      </c>
      <c r="AK161" s="899">
        <f>IF(AND(method_reg="Метод индексации",god&lt;&gt;first_year),_xlfn.SUMIFS(INDEX('Калькуляция (МИ корр)'!$AJ$25:$BC$747,,MATCH(AK$8,'Калькуляция (МИ корр)'!$AJ$8:$BC$8,0)),'Калькуляция (МИ корр)'!$F$25:$F$747,$F161,'Калькуляция (МИ корр)'!$G$25:$G$747,$G161),IF(method_reg="Метод экономически обоснованных расходов",_xlfn.SUMIFS('Калькуляция (МЭОР)'!$AK$25:$AK$452,'Калькуляция (МЭОР)'!$F$25:$F$452,$F161,'Калькуляция (МЭОР)'!$G$25:$G$452,$G161),IF(method_reg="Метод сравнения аналогов",_xlfn.SUMIFS('Калькуляция (МСА)'!$AF$25:$AF$122,'Калькуляция (МСА)'!$F$25:$F$122,$F161,'Калькуляция (МСА)'!$G$25:$G$122,$G161),_xlfn.SUMIFS(INDEX('Калькуляция (МИ)'!$AJ$25:$BC$747,,MATCH(AK$8,'Калькуляция (МИ)'!$AJ$8:$BC$8,0)),'Калькуляция (МИ)'!$F$25:$F$747,$F161,'Калькуляция (МИ)'!$G$25:$G$747,$G161))))</f>
        <v>133.78000010396</v>
      </c>
      <c r="AL161" s="296">
        <f>IF(AJ161=0,0,(AK161-AJ161)/AJ161*100)</f>
        <v>0.00018358725944581</v>
      </c>
      <c r="AM161" s="899">
        <f>IF(AND(method_reg="Метод индексации",god&lt;&gt;first_year),_xlfn.SUMIFS(INDEX('Калькуляция (МИ корр)'!$AJ$25:$BC$747,,MATCH(AM$8,'Калькуляция (МИ корр)'!$AJ$8:$BC$8,0)),'Калькуляция (МИ корр)'!$F$25:$F$747,$F161,'Калькуляция (МИ корр)'!$G$25:$G$747,$G161),IF(method_reg="Метод экономически обоснованных расходов",_xlfn.SUMIFS('Калькуляция (МЭОР)'!$AJ$25:$AJ$452,'Калькуляция (МЭОР)'!$F$25:$F$452,$F161,'Калькуляция (МЭОР)'!$G$25:$G$452,$G161),IF(method_reg="Метод сравнения аналогов",_xlfn.SUMIFS('Калькуляция (МСА)'!$AE$25:$AE$122,'Калькуляция (МСА)'!$F$25:$F$122,$F161,'Калькуляция (МСА)'!$G$25:$G$122,$G161),_xlfn.SUMIFS(INDEX('Калькуляция (МИ)'!$AJ$25:$BC$747,,MATCH(AM$8,'Калькуляция (МИ)'!$AJ$8:$BC$8,0)),'Калькуляция (МИ)'!$F$25:$F$747,$F161,'Калькуляция (МИ)'!$G$25:$G$747,$G161))))</f>
        <v>138.49</v>
      </c>
      <c r="AN161" s="899">
        <f>IF(AND(method_reg="Метод индексации",god&lt;&gt;first_year),_xlfn.SUMIFS(INDEX('Калькуляция (МИ корр)'!$AJ$25:$BC$747,,MATCH(AN$8,'Калькуляция (МИ корр)'!$AJ$8:$BC$8,0)),'Калькуляция (МИ корр)'!$F$25:$F$747,$F161,'Калькуляция (МИ корр)'!$G$25:$G$747,$G161),IF(method_reg="Метод экономически обоснованных расходов",_xlfn.SUMIFS('Калькуляция (МЭОР)'!$AK$25:$AK$452,'Калькуляция (МЭОР)'!$F$25:$F$452,$F161,'Калькуляция (МЭОР)'!$G$25:$G$452,$G161),IF(method_reg="Метод сравнения аналогов",_xlfn.SUMIFS('Калькуляция (МСА)'!$AF$25:$AF$122,'Калькуляция (МСА)'!$F$25:$F$122,$F161,'Калькуляция (МСА)'!$G$25:$G$122,$G161),_xlfn.SUMIFS(INDEX('Калькуляция (МИ)'!$AJ$25:$BC$747,,MATCH(AN$8,'Калькуляция (МИ)'!$AJ$8:$BC$8,0)),'Калькуляция (МИ)'!$F$25:$F$747,$F161,'Калькуляция (МИ)'!$G$25:$G$747,$G161))))</f>
        <v>138.490000189423</v>
      </c>
      <c r="AO161" s="296">
        <f>IF(AM161=0,0,(AN161-AM161)/AM161*100)</f>
        <v>1.36777378200872e-7</v>
      </c>
      <c r="AP161" s="899">
        <f>IF(AND(method_reg="Метод индексации",god&lt;&gt;first_year),_xlfn.SUMIFS(INDEX('Калькуляция (МИ корр)'!$AJ$25:$BC$747,,MATCH(AP$8,'Калькуляция (МИ корр)'!$AJ$8:$BC$8,0)),'Калькуляция (МИ корр)'!$F$25:$F$747,$F161,'Калькуляция (МИ корр)'!$G$25:$G$747,$G161),IF(method_reg="Метод экономически обоснованных расходов",_xlfn.SUMIFS('Калькуляция (МЭОР)'!$AJ$25:$AJ$452,'Калькуляция (МЭОР)'!$F$25:$F$452,$F161,'Калькуляция (МЭОР)'!$G$25:$G$452,$G161),IF(method_reg="Метод сравнения аналогов",_xlfn.SUMIFS('Калькуляция (МСА)'!$AE$25:$AE$122,'Калькуляция (МСА)'!$F$25:$F$122,$F161,'Калькуляция (МСА)'!$G$25:$G$122,$G161),_xlfn.SUMIFS(INDEX('Калькуляция (МИ)'!$AJ$25:$BC$747,,MATCH(AP$8,'Калькуляция (МИ)'!$AJ$8:$BC$8,0)),'Калькуляция (МИ)'!$F$25:$F$747,$F161,'Калькуляция (МИ)'!$G$25:$G$747,$G161))))</f>
        <v>142.76</v>
      </c>
      <c r="AQ161" s="899">
        <f>IF(AND(method_reg="Метод индексации",god&lt;&gt;first_year),_xlfn.SUMIFS(INDEX('Калькуляция (МИ корр)'!$AJ$25:$BC$747,,MATCH(AQ$8,'Калькуляция (МИ корр)'!$AJ$8:$BC$8,0)),'Калькуляция (МИ корр)'!$F$25:$F$747,$F161,'Калькуляция (МИ корр)'!$G$25:$G$747,$G161),IF(method_reg="Метод экономически обоснованных расходов",_xlfn.SUMIFS('Калькуляция (МЭОР)'!$AK$25:$AK$452,'Калькуляция (МЭОР)'!$F$25:$F$452,$F161,'Калькуляция (МЭОР)'!$G$25:$G$452,$G161),IF(method_reg="Метод сравнения аналогов",_xlfn.SUMIFS('Калькуляция (МСА)'!$AF$25:$AF$122,'Калькуляция (МСА)'!$F$25:$F$122,$F161,'Калькуляция (МСА)'!$G$25:$G$122,$G161),_xlfn.SUMIFS(INDEX('Калькуляция (МИ)'!$AJ$25:$BC$747,,MATCH(AQ$8,'Калькуляция (МИ)'!$AJ$8:$BC$8,0)),'Калькуляция (МИ)'!$F$25:$F$747,$F161,'Калькуляция (МИ)'!$G$25:$G$747,$G161))))</f>
        <v>142.697936086499</v>
      </c>
      <c r="AR161" s="296">
        <f>IF(AP161=0,0,(AQ161-AP161)/AP161*100)</f>
        <v>-0.0434743019760384</v>
      </c>
      <c r="AS161" s="5239">
        <f>IF(AND(method_reg="Метод индексации",god&lt;&gt;first_year),_xlfn.SUMIFS(INDEX('Калькуляция (МИ корр)'!$AJ$25:$BC$747,,MATCH(AS$8,'Калькуляция (МИ корр)'!$AJ$8:$BC$8,0)),'Калькуляция (МИ корр)'!$F$25:$F$747,$F161,'Калькуляция (МИ корр)'!$G$25:$G$747,$G161),IF(method_reg="Метод экономически обоснованных расходов",_xlfn.SUMIFS('Калькуляция (МЭОР)'!$AJ$25:$AJ$452,'Калькуляция (МЭОР)'!$F$25:$F$452,$F161,'Калькуляция (МЭОР)'!$G$25:$G$452,$G161),IF(method_reg="Метод сравнения аналогов",_xlfn.SUMIFS('Калькуляция (МСА)'!$AE$25:$AE$122,'Калькуляция (МСА)'!$F$25:$F$122,$F161,'Калькуляция (МСА)'!$G$25:$G$122,$G161),_xlfn.SUMIFS(INDEX('Калькуляция (МИ)'!$AJ$25:$BC$747,,MATCH(AS$8,'Калькуляция (МИ)'!$AJ$8:$BC$8,0)),'Калькуляция (МИ)'!$F$25:$F$747,$F161,'Калькуляция (МИ)'!$G$25:$G$747,$G161))))</f>
        <v>0</v>
      </c>
      <c r="AT161" s="5239">
        <f>IF(AND(method_reg="Метод индексации",god&lt;&gt;first_year),_xlfn.SUMIFS(INDEX('Калькуляция (МИ корр)'!$AJ$25:$BC$747,,MATCH(AT$8,'Калькуляция (МИ корр)'!$AJ$8:$BC$8,0)),'Калькуляция (МИ корр)'!$F$25:$F$747,$F161,'Калькуляция (МИ корр)'!$G$25:$G$747,$G161),IF(method_reg="Метод экономически обоснованных расходов",_xlfn.SUMIFS('Калькуляция (МЭОР)'!$AK$25:$AK$452,'Калькуляция (МЭОР)'!$F$25:$F$452,$F161,'Калькуляция (МЭОР)'!$G$25:$G$452,$G161),IF(method_reg="Метод сравнения аналогов",_xlfn.SUMIFS('Калькуляция (МСА)'!$AF$25:$AF$122,'Калькуляция (МСА)'!$F$25:$F$122,$F161,'Калькуляция (МСА)'!$G$25:$G$122,$G161),_xlfn.SUMIFS(INDEX('Калькуляция (МИ)'!$AJ$25:$BC$747,,MATCH(AT$8,'Калькуляция (МИ)'!$AJ$8:$BC$8,0)),'Калькуляция (МИ)'!$F$25:$F$747,$F161,'Калькуляция (МИ)'!$G$25:$G$747,$G161))))</f>
        <v>0</v>
      </c>
      <c r="AU161" s="296">
        <f>IF(AS161=0,0,(AT161-AS161)/AS161*100)</f>
        <v>0</v>
      </c>
      <c r="AV161" s="5239">
        <f>IF(AND(method_reg="Метод индексации",god&lt;&gt;first_year),_xlfn.SUMIFS(INDEX('Калькуляция (МИ корр)'!$AJ$25:$BC$747,,MATCH(AV$8,'Калькуляция (МИ корр)'!$AJ$8:$BC$8,0)),'Калькуляция (МИ корр)'!$F$25:$F$747,$F161,'Калькуляция (МИ корр)'!$G$25:$G$747,$G161),IF(method_reg="Метод экономически обоснованных расходов",_xlfn.SUMIFS('Калькуляция (МЭОР)'!$AJ$25:$AJ$452,'Калькуляция (МЭОР)'!$F$25:$F$452,$F161,'Калькуляция (МЭОР)'!$G$25:$G$452,$G161),IF(method_reg="Метод сравнения аналогов",_xlfn.SUMIFS('Калькуляция (МСА)'!$AE$25:$AE$122,'Калькуляция (МСА)'!$F$25:$F$122,$F161,'Калькуляция (МСА)'!$G$25:$G$122,$G161),_xlfn.SUMIFS(INDEX('Калькуляция (МИ)'!$AJ$25:$BC$747,,MATCH(AV$8,'Калькуляция (МИ)'!$AJ$8:$BC$8,0)),'Калькуляция (МИ)'!$F$25:$F$747,$F161,'Калькуляция (МИ)'!$G$25:$G$747,$G161))))</f>
        <v>0</v>
      </c>
      <c r="AW161" s="5239">
        <f>IF(AND(method_reg="Метод индексации",god&lt;&gt;first_year),_xlfn.SUMIFS(INDEX('Калькуляция (МИ корр)'!$AJ$25:$BC$747,,MATCH(AW$8,'Калькуляция (МИ корр)'!$AJ$8:$BC$8,0)),'Калькуляция (МИ корр)'!$F$25:$F$747,$F161,'Калькуляция (МИ корр)'!$G$25:$G$747,$G161),IF(method_reg="Метод экономически обоснованных расходов",_xlfn.SUMIFS('Калькуляция (МЭОР)'!$AK$25:$AK$452,'Калькуляция (МЭОР)'!$F$25:$F$452,$F161,'Калькуляция (МЭОР)'!$G$25:$G$452,$G161),IF(method_reg="Метод сравнения аналогов",_xlfn.SUMIFS('Калькуляция (МСА)'!$AF$25:$AF$122,'Калькуляция (МСА)'!$F$25:$F$122,$F161,'Калькуляция (МСА)'!$G$25:$G$122,$G161),_xlfn.SUMIFS(INDEX('Калькуляция (МИ)'!$AJ$25:$BC$747,,MATCH(AW$8,'Калькуляция (МИ)'!$AJ$8:$BC$8,0)),'Калькуляция (МИ)'!$F$25:$F$747,$F161,'Калькуляция (МИ)'!$G$25:$G$747,$G161))))</f>
        <v>0</v>
      </c>
      <c r="AX161" s="296">
        <f>IF(AV161=0,0,(AW161-AV161)/AV161*100)</f>
        <v>0</v>
      </c>
      <c r="AY161" s="5239">
        <f>IF(AND(method_reg="Метод индексации",god&lt;&gt;first_year),_xlfn.SUMIFS(INDEX('Калькуляция (МИ корр)'!$AJ$25:$BC$747,,MATCH(AY$8,'Калькуляция (МИ корр)'!$AJ$8:$BC$8,0)),'Калькуляция (МИ корр)'!$F$25:$F$747,$F161,'Калькуляция (МИ корр)'!$G$25:$G$747,$G161),IF(method_reg="Метод экономически обоснованных расходов",_xlfn.SUMIFS('Калькуляция (МЭОР)'!$AJ$25:$AJ$452,'Калькуляция (МЭОР)'!$F$25:$F$452,$F161,'Калькуляция (МЭОР)'!$G$25:$G$452,$G161),IF(method_reg="Метод сравнения аналогов",_xlfn.SUMIFS('Калькуляция (МСА)'!$AE$25:$AE$122,'Калькуляция (МСА)'!$F$25:$F$122,$F161,'Калькуляция (МСА)'!$G$25:$G$122,$G161),_xlfn.SUMIFS(INDEX('Калькуляция (МИ)'!$AJ$25:$BC$747,,MATCH(AY$8,'Калькуляция (МИ)'!$AJ$8:$BC$8,0)),'Калькуляция (МИ)'!$F$25:$F$747,$F161,'Калькуляция (МИ)'!$G$25:$G$747,$G161))))</f>
        <v>0</v>
      </c>
      <c r="AZ161" s="5239">
        <f>IF(AND(method_reg="Метод индексации",god&lt;&gt;first_year),_xlfn.SUMIFS(INDEX('Калькуляция (МИ корр)'!$AJ$25:$BC$747,,MATCH(AZ$8,'Калькуляция (МИ корр)'!$AJ$8:$BC$8,0)),'Калькуляция (МИ корр)'!$F$25:$F$747,$F161,'Калькуляция (МИ корр)'!$G$25:$G$747,$G161),IF(method_reg="Метод экономически обоснованных расходов",_xlfn.SUMIFS('Калькуляция (МЭОР)'!$AK$25:$AK$452,'Калькуляция (МЭОР)'!$F$25:$F$452,$F161,'Калькуляция (МЭОР)'!$G$25:$G$452,$G161),IF(method_reg="Метод сравнения аналогов",_xlfn.SUMIFS('Калькуляция (МСА)'!$AF$25:$AF$122,'Калькуляция (МСА)'!$F$25:$F$122,$F161,'Калькуляция (МСА)'!$G$25:$G$122,$G161),_xlfn.SUMIFS(INDEX('Калькуляция (МИ)'!$AJ$25:$BC$747,,MATCH(AZ$8,'Калькуляция (МИ)'!$AJ$8:$BC$8,0)),'Калькуляция (МИ)'!$F$25:$F$747,$F161,'Калькуляция (МИ)'!$G$25:$G$747,$G161))))</f>
        <v>0</v>
      </c>
      <c r="BA161" s="296">
        <f>IF(AY161=0,0,(AZ161-AY161)/AY161*100)</f>
        <v>0</v>
      </c>
      <c r="BB161" s="5239">
        <f>IF(AND(method_reg="Метод индексации",god&lt;&gt;first_year),_xlfn.SUMIFS(INDEX('Калькуляция (МИ корр)'!$AJ$25:$BC$747,,MATCH(BB$8,'Калькуляция (МИ корр)'!$AJ$8:$BC$8,0)),'Калькуляция (МИ корр)'!$F$25:$F$747,$F161,'Калькуляция (МИ корр)'!$G$25:$G$747,$G161),IF(method_reg="Метод экономически обоснованных расходов",_xlfn.SUMIFS('Калькуляция (МЭОР)'!$AJ$25:$AJ$452,'Калькуляция (МЭОР)'!$F$25:$F$452,$F161,'Калькуляция (МЭОР)'!$G$25:$G$452,$G161),IF(method_reg="Метод сравнения аналогов",_xlfn.SUMIFS('Калькуляция (МСА)'!$AE$25:$AE$122,'Калькуляция (МСА)'!$F$25:$F$122,$F161,'Калькуляция (МСА)'!$G$25:$G$122,$G161),_xlfn.SUMIFS(INDEX('Калькуляция (МИ)'!$AJ$25:$BC$747,,MATCH(BB$8,'Калькуляция (МИ)'!$AJ$8:$BC$8,0)),'Калькуляция (МИ)'!$F$25:$F$747,$F161,'Калькуляция (МИ)'!$G$25:$G$747,$G161))))</f>
        <v>0</v>
      </c>
      <c r="BC161" s="5239">
        <f>IF(AND(method_reg="Метод индексации",god&lt;&gt;first_year),_xlfn.SUMIFS(INDEX('Калькуляция (МИ корр)'!$AJ$25:$BC$747,,MATCH(BC$8,'Калькуляция (МИ корр)'!$AJ$8:$BC$8,0)),'Калькуляция (МИ корр)'!$F$25:$F$747,$F161,'Калькуляция (МИ корр)'!$G$25:$G$747,$G161),IF(method_reg="Метод экономически обоснованных расходов",_xlfn.SUMIFS('Калькуляция (МЭОР)'!$AK$25:$AK$452,'Калькуляция (МЭОР)'!$F$25:$F$452,$F161,'Калькуляция (МЭОР)'!$G$25:$G$452,$G161),IF(method_reg="Метод сравнения аналогов",_xlfn.SUMIFS('Калькуляция (МСА)'!$AF$25:$AF$122,'Калькуляция (МСА)'!$F$25:$F$122,$F161,'Калькуляция (МСА)'!$G$25:$G$122,$G161),_xlfn.SUMIFS(INDEX('Калькуляция (МИ)'!$AJ$25:$BC$747,,MATCH(BC$8,'Калькуляция (МИ)'!$AJ$8:$BC$8,0)),'Калькуляция (МИ)'!$F$25:$F$747,$F161,'Калькуляция (МИ)'!$G$25:$G$747,$G161))))</f>
        <v>0</v>
      </c>
      <c r="BD161" s="296">
        <f>IF(BB161=0,0,(BC161-BB161)/BB161*100)</f>
        <v>0</v>
      </c>
      <c r="BE161" s="5239">
        <f>IF(AND(method_reg="Метод индексации",god&lt;&gt;first_year),_xlfn.SUMIFS(INDEX('Калькуляция (МИ корр)'!$AJ$25:$BC$747,,MATCH(BE$8,'Калькуляция (МИ корр)'!$AJ$8:$BC$8,0)),'Калькуляция (МИ корр)'!$F$25:$F$747,$F161,'Калькуляция (МИ корр)'!$G$25:$G$747,$G161),IF(method_reg="Метод экономически обоснованных расходов",_xlfn.SUMIFS('Калькуляция (МЭОР)'!$AJ$25:$AJ$452,'Калькуляция (МЭОР)'!$F$25:$F$452,$F161,'Калькуляция (МЭОР)'!$G$25:$G$452,$G161),IF(method_reg="Метод сравнения аналогов",_xlfn.SUMIFS('Калькуляция (МСА)'!$AE$25:$AE$122,'Калькуляция (МСА)'!$F$25:$F$122,$F161,'Калькуляция (МСА)'!$G$25:$G$122,$G161),_xlfn.SUMIFS(INDEX('Калькуляция (МИ)'!$AJ$25:$BC$747,,MATCH(BE$8,'Калькуляция (МИ)'!$AJ$8:$BC$8,0)),'Калькуляция (МИ)'!$F$25:$F$747,$F161,'Калькуляция (МИ)'!$G$25:$G$747,$G161))))</f>
        <v>0</v>
      </c>
      <c r="BF161" s="5239">
        <f>IF(AND(method_reg="Метод индексации",god&lt;&gt;first_year),_xlfn.SUMIFS(INDEX('Калькуляция (МИ корр)'!$AJ$25:$BC$747,,MATCH(BF$8,'Калькуляция (МИ корр)'!$AJ$8:$BC$8,0)),'Калькуляция (МИ корр)'!$F$25:$F$747,$F161,'Калькуляция (МИ корр)'!$G$25:$G$747,$G161),IF(method_reg="Метод экономически обоснованных расходов",_xlfn.SUMIFS('Калькуляция (МЭОР)'!$AK$25:$AK$452,'Калькуляция (МЭОР)'!$F$25:$F$452,$F161,'Калькуляция (МЭОР)'!$G$25:$G$452,$G161),IF(method_reg="Метод сравнения аналогов",_xlfn.SUMIFS('Калькуляция (МСА)'!$AF$25:$AF$122,'Калькуляция (МСА)'!$F$25:$F$122,$F161,'Калькуляция (МСА)'!$G$25:$G$122,$G161),_xlfn.SUMIFS(INDEX('Калькуляция (МИ)'!$AJ$25:$BC$747,,MATCH(BF$8,'Калькуляция (МИ)'!$AJ$8:$BC$8,0)),'Калькуляция (МИ)'!$F$25:$F$747,$F161,'Калькуляция (МИ)'!$G$25:$G$747,$G161))))</f>
        <v>0</v>
      </c>
      <c r="BG161" s="296">
        <f>IF(BE161=0,0,(BF161-BE161)/BE161*100)</f>
        <v>0</v>
      </c>
      <c r="BH161" s="5239"/>
      <c r="BI161" s="5239"/>
      <c r="BJ161" s="296">
        <f>IF(BH161=0,0,(BI161-BH161)/BH161*100)</f>
        <v>0</v>
      </c>
      <c r="BK161" s="5239"/>
      <c r="BL161" s="5239"/>
      <c r="BM161" s="296">
        <f>IF(BK161=0,0,(BL161-BK161)/BK161*100)</f>
        <v>0</v>
      </c>
      <c r="BN161" s="5239"/>
      <c r="BO161" s="5239"/>
      <c r="BP161" s="296">
        <f>IF(BN161=0,0,(BO161-BN161)/BN161*100)</f>
        <v>0</v>
      </c>
      <c r="BQ161" s="5239"/>
      <c r="BR161" s="5239"/>
      <c r="BS161" s="296">
        <f>IF(BQ161=0,0,(BR161-BQ161)/BQ161*100)</f>
        <v>0</v>
      </c>
      <c r="BT161" s="5239"/>
      <c r="BU161" s="5239"/>
      <c r="BV161" s="296">
        <f>IF(BT161=0,0,(BU161-BT161)/BT161*100)</f>
        <v>0</v>
      </c>
      <c r="BW161" s="5239"/>
      <c r="BX161" s="5239"/>
      <c r="BY161" s="296">
        <f>IF(BW161=0,0,(BX161-BW161)/BW161*100)</f>
        <v>0</v>
      </c>
      <c r="BZ161" s="5239"/>
      <c r="CA161" s="5239"/>
      <c r="CB161" s="296">
        <f>IF(BZ161=0,0,(CA161-BZ161)/BZ161*100)</f>
        <v>0</v>
      </c>
      <c r="CC161" s="5239"/>
      <c r="CD161" s="5239"/>
      <c r="CE161" s="296">
        <f>IF(CC161=0,0,(CD161-CC161)/CC161*100)</f>
        <v>0</v>
      </c>
      <c r="CF161" s="5239"/>
      <c r="CG161" s="5239"/>
      <c r="CH161" s="296">
        <f>IF(CF161=0,0,(CG161-CF161)/CF161*100)</f>
        <v>0</v>
      </c>
      <c r="CI161" s="5239"/>
      <c r="CJ161" s="5239"/>
      <c r="CK161" s="296">
        <f>IF(CI161=0,0,(CJ161-CI161)/CI161*100)</f>
        <v>0</v>
      </c>
      <c r="CL161" s="5239"/>
      <c r="CM161" s="5239"/>
      <c r="CN161" s="296">
        <f>IF(CL161=0,0,(CM161-CL161)/CL161*100)</f>
        <v>0</v>
      </c>
      <c r="CO161" s="5239"/>
      <c r="CP161" s="5239"/>
      <c r="CQ161" s="296">
        <f>IF(CO161=0,0,(CP161-CO161)/CO161*100)</f>
        <v>0</v>
      </c>
      <c r="CR161" s="5239"/>
      <c r="CS161" s="5239"/>
      <c r="CT161" s="296">
        <f>IF(CR161=0,0,(CS161-CR161)/CR161*100)</f>
        <v>0</v>
      </c>
      <c r="CU161" s="5239"/>
      <c r="CV161" s="5239"/>
      <c r="CW161" s="296">
        <f>IF(CU161=0,0,(CV161-CU161)/CU161*100)</f>
        <v>0</v>
      </c>
      <c r="CX161" s="5239"/>
      <c r="CY161" s="5239"/>
      <c r="CZ161" s="296">
        <f>IF(CX161=0,0,(CY161-CX161)/CX161*100)</f>
        <v>0</v>
      </c>
      <c r="DA161" s="5239"/>
      <c r="DB161" s="5239"/>
      <c r="DC161" s="296">
        <f>IF(DA161=0,0,(DB161-DA161)/DA161*100)</f>
        <v>0</v>
      </c>
      <c r="DD161" s="5239"/>
      <c r="DE161" s="5239"/>
      <c r="DF161" s="296">
        <f>IF(DD161=0,0,(DE161-DD161)/DD161*100)</f>
        <v>0</v>
      </c>
      <c r="DG161" s="5241"/>
      <c r="DH161" s="5241"/>
      <c r="DI161" s="296">
        <f>IF(DG161=0,0,(DH161-DG161)/DG161*100)</f>
        <v>0</v>
      </c>
      <c r="DJ161" s="5241"/>
      <c r="DK161" s="5241"/>
      <c r="DL161" s="296">
        <f>IF(DJ161=0,0,(DK161-DJ161)/DJ161*100)</f>
        <v>0</v>
      </c>
      <c r="DM161" s="5241"/>
      <c r="DN161" s="5241"/>
      <c r="DO161" s="296">
        <f>IF(DM161=0,0,(DN161-DM161)/DM161*100)</f>
        <v>0</v>
      </c>
      <c r="DP161" s="5241"/>
      <c r="DQ161" s="5241"/>
      <c r="DR161" s="296">
        <f>IF(DP161=0,0,(DQ161-DP161)/DP161*100)</f>
        <v>0</v>
      </c>
      <c r="DS161" s="5241"/>
      <c r="DT161" s="5241"/>
      <c r="DU161" s="296">
        <f>IF(DS161=0,0,(DT161-DS161)/DS161*100)</f>
        <v>0</v>
      </c>
      <c r="DV161" s="5241"/>
      <c r="DW161" s="5241"/>
      <c r="DX161" s="296">
        <f>IF(DV161=0,0,(DW161-DV161)/DV161*100)</f>
        <v>0</v>
      </c>
      <c r="DY161" s="5241"/>
      <c r="DZ161" s="5241"/>
      <c r="EA161" s="296">
        <f>IF(DY161=0,0,(DZ161-DY161)/DY161*100)</f>
        <v>0</v>
      </c>
      <c r="EB161" s="5241"/>
      <c r="EC161" s="5241"/>
      <c r="ED161" s="296">
        <f>IF(EB161=0,0,(EC161-EB161)/EB161*100)</f>
        <v>0</v>
      </c>
      <c r="EE161" s="5241"/>
      <c r="EF161" s="5241"/>
      <c r="EG161" s="296">
        <f>IF(EE161=0,0,(EF161-EE161)/EE161*100)</f>
        <v>0</v>
      </c>
      <c r="EH161" s="5241"/>
      <c r="EI161" s="5241"/>
      <c r="EJ161" s="296">
        <f>IF(EH161=0,0,(EI161-EH161)/EH161*100)</f>
        <v>0</v>
      </c>
      <c r="EK161" s="5241"/>
      <c r="EL161" s="5241"/>
      <c r="EM161" s="296">
        <f>IF(EK161=0,0,(EL161-EK161)/EK161*100)</f>
        <v>0</v>
      </c>
      <c r="EN161" s="5241"/>
      <c r="EO161" s="5241"/>
      <c r="EP161" s="296">
        <f>IF(EN161=0,0,(EO161-EN161)/EN161*100)</f>
        <v>0</v>
      </c>
      <c r="EQ161" s="5241"/>
      <c r="ER161" s="5241"/>
      <c r="ES161" s="296">
        <f>IF(EQ161=0,0,(ER161-EQ161)/EQ161*100)</f>
        <v>0</v>
      </c>
      <c r="ET161" s="5241"/>
      <c r="EU161" s="5241"/>
      <c r="EV161" s="296">
        <f>IF(ET161=0,0,(EU161-ET161)/ET161*100)</f>
        <v>0</v>
      </c>
      <c r="EW161" s="5241"/>
      <c r="EX161" s="5241"/>
      <c r="EY161" s="296">
        <f>IF(EW161=0,0,(EX161-EW161)/EW161*100)</f>
        <v>0</v>
      </c>
      <c r="EZ161" s="5241"/>
      <c r="FA161" s="5241"/>
      <c r="FB161" s="296">
        <f>IF(EZ161=0,0,(FA161-EZ161)/EZ161*100)</f>
        <v>0</v>
      </c>
      <c r="FC161" s="5241"/>
      <c r="FD161" s="5241"/>
      <c r="FE161" s="296">
        <f>IF(FC161=0,0,(FD161-FC161)/FC161*100)</f>
        <v>0</v>
      </c>
      <c r="FF161" s="5241"/>
      <c r="FG161" s="5241"/>
      <c r="FH161" s="296">
        <f>IF(FF161=0,0,(FG161-FF161)/FF161*100)</f>
        <v>0</v>
      </c>
      <c r="FI161" s="5241"/>
      <c r="FJ161" s="5241"/>
      <c r="FK161" s="296">
        <f>IF(FI161=0,0,(FJ161-FI161)/FI161*100)</f>
        <v>0</v>
      </c>
      <c r="FL161" s="5241"/>
      <c r="FM161" s="5241"/>
      <c r="FN161" s="296">
        <f>IF(FL161=0,0,(FM161-FL161)/FL161*100)</f>
        <v>0</v>
      </c>
      <c r="FO161" s="5241"/>
      <c r="FP161" s="5241"/>
      <c r="FQ161" s="296">
        <f>IF(FO161=0,0,(FP161-FO161)/FO161*100)</f>
        <v>0</v>
      </c>
      <c r="FR161" s="5241"/>
      <c r="FS161" s="5241"/>
      <c r="FT161" s="296">
        <f>IF(FR161=0,0,(FS161-FR161)/FR161*100)</f>
        <v>0</v>
      </c>
      <c r="FU161" s="5241"/>
      <c r="FV161" s="5241"/>
      <c r="FW161" s="296">
        <f>IF(FU161=0,0,(FV161-FU161)/FU161*100)</f>
        <v>0</v>
      </c>
      <c r="FX161" s="292"/>
      <c r="FY161" s="292"/>
      <c r="FZ161" s="1055" t="s">
        <v>2342</v>
      </c>
      <c r="GA161" s="1055"/>
      <c r="GB161" s="1055"/>
      <c r="GC161" s="1056"/>
      <c r="GD161" s="1056"/>
    </row>
    <row s="1834" customFormat="1" customHeight="1" ht="14.25">
      <c r="A162" s="493"/>
      <c r="B162" s="925" cm="1" t="str">
        <f t="array" ref="B162:B162">B161</f>
        <v>true</v>
      </c>
      <c r="C162" s="493"/>
      <c r="D162" s="493"/>
      <c r="E162" s="840">
        <v>15</v>
      </c>
      <c r="F162" s="50" cm="1" t="str">
        <f t="array" ref="F162:F162">OFFSET(E162,-1,1)</f>
        <v>2</v>
      </c>
      <c r="G162" s="493"/>
      <c r="H162" s="493" t="s">
        <v>1179</v>
      </c>
      <c r="I162" s="493" t="s">
        <v>2343</v>
      </c>
      <c r="J162" s="493"/>
      <c r="K162" s="493"/>
      <c r="L162" s="493"/>
      <c r="M162" s="493"/>
      <c r="N162" s="493"/>
      <c r="O162" s="493"/>
      <c r="P162" s="493"/>
      <c r="Q162" s="493"/>
      <c r="R162" s="493"/>
      <c r="S162" s="493"/>
      <c r="T162" s="465" cm="1" t="str">
        <f t="array" ref="T162:T162">T161</f>
        <v>true</v>
      </c>
      <c r="U162" s="493"/>
      <c r="V162" s="493"/>
      <c r="W162" s="493"/>
      <c r="X162" s="1596"/>
      <c r="Y162" s="493"/>
      <c r="Z162" s="1545"/>
      <c r="AA162" s="493"/>
      <c r="AB162" s="1089" t="s">
        <v>2344</v>
      </c>
      <c r="AC162" s="864" t="s">
        <v>1170</v>
      </c>
      <c r="AD162" s="1092">
        <f>IF(AD160=0,0,AD161/AD160)*100</f>
        <v>109.895297259629</v>
      </c>
      <c r="AE162" s="1092">
        <f>IF(AE160=0,0,AE161/AE160)*100</f>
        <v>109.895292923988</v>
      </c>
      <c r="AF162" s="1093"/>
      <c r="AG162" s="1092">
        <f>IF(AG160=0,0,AG161/AG160)*100</f>
        <v>106.403434639875</v>
      </c>
      <c r="AH162" s="1092">
        <f>IF(AH160=0,0,AH161/AH160)*100</f>
        <v>106.403433648079</v>
      </c>
      <c r="AI162" s="1093"/>
      <c r="AJ162" s="1092">
        <f>IF(AJ160=0,0,AJ161/AJ160)*100</f>
        <v>107.921712246995</v>
      </c>
      <c r="AK162" s="1092">
        <f>IF(AK160=0,0,AK161/AK160)*100</f>
        <v>107.921910176769</v>
      </c>
      <c r="AL162" s="1093"/>
      <c r="AM162" s="1092">
        <f>IF(AM160=0,0,AM161/AM160)*100</f>
        <v>103.520705636119</v>
      </c>
      <c r="AN162" s="1092">
        <f>IF(AN160=0,0,AN161/AN160)*100</f>
        <v>103.520705697266</v>
      </c>
      <c r="AO162" s="1093"/>
      <c r="AP162" s="1092">
        <f>IF(AP160=0,0,AP161/AP160)*100</f>
        <v>103.083255108672</v>
      </c>
      <c r="AQ162" s="1092">
        <f>IF(AQ160=0,0,AQ161/AQ160)*100</f>
        <v>103.038440242126</v>
      </c>
      <c r="AR162" s="1093"/>
      <c r="AS162" s="1092">
        <f>IF(AS160=0,0,AS161/AS160)*100</f>
        <v>0</v>
      </c>
      <c r="AT162" s="1092">
        <f>IF(AT160=0,0,AT161/AT160)*100</f>
        <v>0</v>
      </c>
      <c r="AU162" s="1093"/>
      <c r="AV162" s="1092">
        <f>IF(AV160=0,0,AV161/AV160)*100</f>
        <v>0</v>
      </c>
      <c r="AW162" s="1092">
        <f>IF(AW160=0,0,AW161/AW160)*100</f>
        <v>0</v>
      </c>
      <c r="AX162" s="1093"/>
      <c r="AY162" s="1092">
        <f>IF(AY160=0,0,AY161/AY160)*100</f>
        <v>0</v>
      </c>
      <c r="AZ162" s="1092">
        <f>IF(AZ160=0,0,AZ161/AZ160)*100</f>
        <v>0</v>
      </c>
      <c r="BA162" s="1093"/>
      <c r="BB162" s="1092">
        <f>IF(BB160=0,0,BB161/BB160)*100</f>
        <v>0</v>
      </c>
      <c r="BC162" s="1092">
        <f>IF(BC160=0,0,BC161/BC160)*100</f>
        <v>0</v>
      </c>
      <c r="BD162" s="1093"/>
      <c r="BE162" s="1092">
        <f>IF(BE160=0,0,BE161/BE160)*100</f>
        <v>0</v>
      </c>
      <c r="BF162" s="1092">
        <f>IF(BF160=0,0,BF161/BF160)*100</f>
        <v>0</v>
      </c>
      <c r="BG162" s="1093"/>
      <c r="BH162" s="1092">
        <f>IF(BH160=0,0,BH161/BH160)*100</f>
        <v>0</v>
      </c>
      <c r="BI162" s="1092">
        <f>IF(BI160=0,0,BI161/BI160)*100</f>
        <v>0</v>
      </c>
      <c r="BJ162" s="1093"/>
      <c r="BK162" s="1092">
        <f>IF(BK160=0,0,BK161/BK160)*100</f>
        <v>0</v>
      </c>
      <c r="BL162" s="1092">
        <f>IF(BL160=0,0,BL161/BL160)*100</f>
        <v>0</v>
      </c>
      <c r="BM162" s="1093"/>
      <c r="BN162" s="1092">
        <f>IF(BN160=0,0,BN161/BN160)*100</f>
        <v>0</v>
      </c>
      <c r="BO162" s="1092">
        <f>IF(BO160=0,0,BO161/BO160)*100</f>
        <v>0</v>
      </c>
      <c r="BP162" s="1093"/>
      <c r="BQ162" s="1092">
        <f>IF(BQ160=0,0,BQ161/BQ160)*100</f>
        <v>0</v>
      </c>
      <c r="BR162" s="1092">
        <f>IF(BR160=0,0,BR161/BR160)*100</f>
        <v>0</v>
      </c>
      <c r="BS162" s="1093"/>
      <c r="BT162" s="1092">
        <f>IF(BT160=0,0,BT161/BT160)*100</f>
        <v>0</v>
      </c>
      <c r="BU162" s="1092">
        <f>IF(BU160=0,0,BU161/BU160)*100</f>
        <v>0</v>
      </c>
      <c r="BV162" s="1093"/>
      <c r="BW162" s="1092">
        <f>IF(BW160=0,0,BW161/BW160)*100</f>
        <v>0</v>
      </c>
      <c r="BX162" s="1092">
        <f>IF(BX160=0,0,BX161/BX160)*100</f>
        <v>0</v>
      </c>
      <c r="BY162" s="1093"/>
      <c r="BZ162" s="1092">
        <f>IF(BZ160=0,0,BZ161/BZ160)*100</f>
        <v>0</v>
      </c>
      <c r="CA162" s="1092">
        <f>IF(CA160=0,0,CA161/CA160)*100</f>
        <v>0</v>
      </c>
      <c r="CB162" s="1093"/>
      <c r="CC162" s="1092">
        <f>IF(CC160=0,0,CC161/CC160)*100</f>
        <v>0</v>
      </c>
      <c r="CD162" s="1092">
        <f>IF(CD160=0,0,CD161/CD160)*100</f>
        <v>0</v>
      </c>
      <c r="CE162" s="1093"/>
      <c r="CF162" s="1092">
        <f>IF(CF160=0,0,CF161/CF160)*100</f>
        <v>0</v>
      </c>
      <c r="CG162" s="1092">
        <f>IF(CG160=0,0,CG161/CG160)*100</f>
        <v>0</v>
      </c>
      <c r="CH162" s="1093"/>
      <c r="CI162" s="1092">
        <f>IF(CI160=0,0,CI161/CI160)*100</f>
        <v>0</v>
      </c>
      <c r="CJ162" s="1092">
        <f>IF(CJ160=0,0,CJ161/CJ160)*100</f>
        <v>0</v>
      </c>
      <c r="CK162" s="1093"/>
      <c r="CL162" s="1092">
        <f>IF(CL160=0,0,CL161/CL160)*100</f>
        <v>0</v>
      </c>
      <c r="CM162" s="1092">
        <f>IF(CM160=0,0,CM161/CM160)*100</f>
        <v>0</v>
      </c>
      <c r="CN162" s="1093"/>
      <c r="CO162" s="1092">
        <f>IF(CO160=0,0,CO161/CO160)*100</f>
        <v>0</v>
      </c>
      <c r="CP162" s="1092">
        <f>IF(CP160=0,0,CP161/CP160)*100</f>
        <v>0</v>
      </c>
      <c r="CQ162" s="1093"/>
      <c r="CR162" s="1092">
        <f>IF(CR160=0,0,CR161/CR160)*100</f>
        <v>0</v>
      </c>
      <c r="CS162" s="1092">
        <f>IF(CS160=0,0,CS161/CS160)*100</f>
        <v>0</v>
      </c>
      <c r="CT162" s="1093"/>
      <c r="CU162" s="1092">
        <f>IF(CU160=0,0,CU161/CU160)*100</f>
        <v>0</v>
      </c>
      <c r="CV162" s="1092">
        <f>IF(CV160=0,0,CV161/CV160)*100</f>
        <v>0</v>
      </c>
      <c r="CW162" s="1093"/>
      <c r="CX162" s="1092">
        <f>IF(CX160=0,0,CX161/CX160)*100</f>
        <v>0</v>
      </c>
      <c r="CY162" s="1092">
        <f>IF(CY160=0,0,CY161/CY160)*100</f>
        <v>0</v>
      </c>
      <c r="CZ162" s="1093"/>
      <c r="DA162" s="1092">
        <f>IF(DA160=0,0,DA161/DA160)*100</f>
        <v>0</v>
      </c>
      <c r="DB162" s="1092">
        <f>IF(DB160=0,0,DB161/DB160)*100</f>
        <v>0</v>
      </c>
      <c r="DC162" s="1093"/>
      <c r="DD162" s="1092">
        <f>IF(DD160=0,0,DD161/DD160)*100</f>
        <v>0</v>
      </c>
      <c r="DE162" s="1092">
        <f>IF(DE160=0,0,DE161/DE160)*100</f>
        <v>0</v>
      </c>
      <c r="DF162" s="1093"/>
      <c r="DG162" s="1092">
        <f>IF(DG160=0,0,DG161/DG160)*100</f>
        <v>0</v>
      </c>
      <c r="DH162" s="1092">
        <f>IF(DH160=0,0,DH161/DH160)*100</f>
        <v>0</v>
      </c>
      <c r="DI162" s="1093"/>
      <c r="DJ162" s="1092">
        <f>IF(DJ160=0,0,DJ161/DJ160)*100</f>
        <v>0</v>
      </c>
      <c r="DK162" s="1092">
        <f>IF(DK160=0,0,DK161/DK160)*100</f>
        <v>0</v>
      </c>
      <c r="DL162" s="1093"/>
      <c r="DM162" s="1092">
        <f>IF(DM160=0,0,DM161/DM160)*100</f>
        <v>0</v>
      </c>
      <c r="DN162" s="1092">
        <f>IF(DN160=0,0,DN161/DN160)*100</f>
        <v>0</v>
      </c>
      <c r="DO162" s="1093"/>
      <c r="DP162" s="1092">
        <f>IF(DP160=0,0,DP161/DP160)*100</f>
        <v>0</v>
      </c>
      <c r="DQ162" s="1092">
        <f>IF(DQ160=0,0,DQ161/DQ160)*100</f>
        <v>0</v>
      </c>
      <c r="DR162" s="1093"/>
      <c r="DS162" s="1092">
        <f>IF(DS160=0,0,DS161/DS160)*100</f>
        <v>0</v>
      </c>
      <c r="DT162" s="1092">
        <f>IF(DT160=0,0,DT161/DT160)*100</f>
        <v>0</v>
      </c>
      <c r="DU162" s="1093"/>
      <c r="DV162" s="1092">
        <f>IF(DV160=0,0,DV161/DV160)*100</f>
        <v>0</v>
      </c>
      <c r="DW162" s="1092">
        <f>IF(DW160=0,0,DW161/DW160)*100</f>
        <v>0</v>
      </c>
      <c r="DX162" s="1093"/>
      <c r="DY162" s="1092">
        <f>IF(DY160=0,0,DY161/DY160)*100</f>
        <v>0</v>
      </c>
      <c r="DZ162" s="1092">
        <f>IF(DZ160=0,0,DZ161/DZ160)*100</f>
        <v>0</v>
      </c>
      <c r="EA162" s="1093"/>
      <c r="EB162" s="1092">
        <f>IF(EB160=0,0,EB161/EB160)*100</f>
        <v>0</v>
      </c>
      <c r="EC162" s="1092">
        <f>IF(EC160=0,0,EC161/EC160)*100</f>
        <v>0</v>
      </c>
      <c r="ED162" s="1093"/>
      <c r="EE162" s="1092">
        <f>IF(EE160=0,0,EE161/EE160)*100</f>
        <v>0</v>
      </c>
      <c r="EF162" s="1092">
        <f>IF(EF160=0,0,EF161/EF160)*100</f>
        <v>0</v>
      </c>
      <c r="EG162" s="1093"/>
      <c r="EH162" s="1092">
        <f>IF(EH160=0,0,EH161/EH160)*100</f>
        <v>0</v>
      </c>
      <c r="EI162" s="1092">
        <f>IF(EI160=0,0,EI161/EI160)*100</f>
        <v>0</v>
      </c>
      <c r="EJ162" s="1093"/>
      <c r="EK162" s="1092">
        <f>IF(EK160=0,0,EK161/EK160)*100</f>
        <v>0</v>
      </c>
      <c r="EL162" s="1092">
        <f>IF(EL160=0,0,EL161/EL160)*100</f>
        <v>0</v>
      </c>
      <c r="EM162" s="1093"/>
      <c r="EN162" s="1092">
        <f>IF(EN160=0,0,EN161/EN160)*100</f>
        <v>0</v>
      </c>
      <c r="EO162" s="1092">
        <f>IF(EO160=0,0,EO161/EO160)*100</f>
        <v>0</v>
      </c>
      <c r="EP162" s="1093"/>
      <c r="EQ162" s="1092">
        <f>IF(EQ160=0,0,EQ161/EQ160)*100</f>
        <v>0</v>
      </c>
      <c r="ER162" s="1092">
        <f>IF(ER160=0,0,ER161/ER160)*100</f>
        <v>0</v>
      </c>
      <c r="ES162" s="1093"/>
      <c r="ET162" s="1092">
        <f>IF(ET160=0,0,ET161/ET160)*100</f>
        <v>0</v>
      </c>
      <c r="EU162" s="1092">
        <f>IF(EU160=0,0,EU161/EU160)*100</f>
        <v>0</v>
      </c>
      <c r="EV162" s="1093"/>
      <c r="EW162" s="1092">
        <f>IF(EW160=0,0,EW161/EW160)*100</f>
        <v>0</v>
      </c>
      <c r="EX162" s="1092">
        <f>IF(EX160=0,0,EX161/EX160)*100</f>
        <v>0</v>
      </c>
      <c r="EY162" s="1093"/>
      <c r="EZ162" s="1092">
        <f>IF(EZ160=0,0,EZ161/EZ160)*100</f>
        <v>0</v>
      </c>
      <c r="FA162" s="1092">
        <f>IF(FA160=0,0,FA161/FA160)*100</f>
        <v>0</v>
      </c>
      <c r="FB162" s="1093"/>
      <c r="FC162" s="1092">
        <f>IF(FC160=0,0,FC161/FC160)*100</f>
        <v>0</v>
      </c>
      <c r="FD162" s="1092">
        <f>IF(FD160=0,0,FD161/FD160)*100</f>
        <v>0</v>
      </c>
      <c r="FE162" s="1093"/>
      <c r="FF162" s="1092">
        <f>IF(FF160=0,0,FF161/FF160)*100</f>
        <v>0</v>
      </c>
      <c r="FG162" s="1092">
        <f>IF(FG160=0,0,FG161/FG160)*100</f>
        <v>0</v>
      </c>
      <c r="FH162" s="1093"/>
      <c r="FI162" s="1092">
        <f>IF(FI160=0,0,FI161/FI160)*100</f>
        <v>0</v>
      </c>
      <c r="FJ162" s="1092">
        <f>IF(FJ160=0,0,FJ161/FJ160)*100</f>
        <v>0</v>
      </c>
      <c r="FK162" s="1093"/>
      <c r="FL162" s="1092">
        <f>IF(FL160=0,0,FL161/FL160)*100</f>
        <v>0</v>
      </c>
      <c r="FM162" s="1092">
        <f>IF(FM160=0,0,FM161/FM160)*100</f>
        <v>0</v>
      </c>
      <c r="FN162" s="1093"/>
      <c r="FO162" s="1092">
        <f>IF(FO160=0,0,FO161/FO160)*100</f>
        <v>0</v>
      </c>
      <c r="FP162" s="1092">
        <f>IF(FP160=0,0,FP161/FP160)*100</f>
        <v>0</v>
      </c>
      <c r="FQ162" s="1093"/>
      <c r="FR162" s="1092">
        <f>IF(FR160=0,0,FR161/FR160)*100</f>
        <v>0</v>
      </c>
      <c r="FS162" s="1092">
        <f>IF(FS160=0,0,FS161/FS160)*100</f>
        <v>0</v>
      </c>
      <c r="FT162" s="1093"/>
      <c r="FU162" s="1092">
        <f>IF(FU160=0,0,FU161/FU160)*100</f>
        <v>0</v>
      </c>
      <c r="FV162" s="1092">
        <f>IF(FV160=0,0,FV161/FV160)*100</f>
        <v>0</v>
      </c>
      <c r="FW162" s="1093"/>
      <c r="FX162" s="292"/>
      <c r="FY162" s="1304"/>
      <c r="FZ162" s="1055" t="s">
        <v>2345</v>
      </c>
      <c r="GA162" s="1306"/>
      <c r="GB162" s="1306"/>
      <c r="GC162" s="1305"/>
      <c r="GD162" s="1305"/>
    </row>
    <row s="1834" customFormat="1" customHeight="1" ht="14.25">
      <c r="A163" s="493"/>
      <c r="B163" s="925" cm="1" t="str">
        <f t="array" ref="B163:B163">B162</f>
        <v>true</v>
      </c>
      <c r="C163" s="493"/>
      <c r="D163" s="493"/>
      <c r="E163" s="840">
        <v>15</v>
      </c>
      <c r="F163" s="50" cm="1" t="str">
        <f t="array" ref="F163:F163">OFFSET(E163,-1,1)</f>
        <v>2</v>
      </c>
      <c r="G163" s="107" t="s">
        <v>2346</v>
      </c>
      <c r="H163" s="493" t="s">
        <v>1182</v>
      </c>
      <c r="I163" s="493" t="s">
        <v>2343</v>
      </c>
      <c r="J163" s="493"/>
      <c r="K163" s="493"/>
      <c r="L163" s="493"/>
      <c r="M163" s="493"/>
      <c r="N163" s="493"/>
      <c r="O163" s="493"/>
      <c r="P163" s="493"/>
      <c r="Q163" s="493"/>
      <c r="R163" s="493"/>
      <c r="S163" s="493"/>
      <c r="T163" s="465" cm="1" t="str">
        <f t="array" ref="T163:T163">T162</f>
        <v>true</v>
      </c>
      <c r="U163" s="493"/>
      <c r="V163" s="493"/>
      <c r="W163" s="493"/>
      <c r="X163" s="1596"/>
      <c r="Y163" s="493"/>
      <c r="Z163" s="1545"/>
      <c r="AA163" s="493"/>
      <c r="AB163" s="1089" t="s">
        <v>2347</v>
      </c>
      <c r="AC163" s="864" t="s">
        <v>1247</v>
      </c>
      <c r="AD163" s="1094">
        <f>IF(AND(method_reg="Метод индексации",god&lt;&gt;first_year),_xlfn.SUMIFS(INDEX('Калькуляция (МИ корр)'!$AJ$25:$BC$747,,MATCH(AD$8,'Калькуляция (МИ корр)'!$AJ$8:$BC$8,0)),'Калькуляция (МИ корр)'!$F$25:$F$747,$F163,'Калькуляция (МИ корр)'!$G$25:$G$747,$G163),IF(method_reg="Метод экономически обоснованных расходов",_xlfn.SUMIFS('Калькуляция (МЭОР)'!$AJ$25:$AJ$452,'Калькуляция (МЭОР)'!$F$25:$F$452,$F163,'Калькуляция (МЭОР)'!$G$25:$G$452,$G163),IF(method_reg="Метод сравнения аналогов",_xlfn.SUMIFS('Калькуляция (МСА)'!$AE$25:$AE$122,'Калькуляция (МСА)'!$F$25:$F$122,$F163,'Калькуляция (МСА)'!$G$25:$G$122,$G163),_xlfn.SUMIFS(INDEX('Калькуляция (МИ)'!$AJ$25:$BC$747,,MATCH(AD$8,'Калькуляция (МИ)'!$AJ$8:$BC$8,0)),'Калькуляция (МИ)'!$F$25:$F$747,$F163,'Калькуляция (МИ)'!$G$25:$G$747,$G163))))</f>
        <v>1091.22881</v>
      </c>
      <c r="AE163" s="1094">
        <f>IF(AND(method_reg="Метод индексации",god&lt;&gt;first_year),_xlfn.SUMIFS(INDEX('Калькуляция (МИ корр)'!$AJ$25:$BC$747,,MATCH(AE$8,'Калькуляция (МИ корр)'!$AJ$8:$BC$8,0)),'Калькуляция (МИ корр)'!$F$25:$F$747,$F163,'Калькуляция (МИ корр)'!$G$25:$G$747,$G163),IF(method_reg="Метод экономически обоснованных расходов",_xlfn.SUMIFS('Калькуляция (МЭОР)'!$AK$25:$AK$452,'Калькуляция (МЭОР)'!$F$25:$F$452,$F163,'Калькуляция (МЭОР)'!$G$25:$G$452,$G163),IF(method_reg="Метод сравнения аналогов",_xlfn.SUMIFS('Калькуляция (МСА)'!$AF$25:$AF$122,'Калькуляция (МСА)'!$F$25:$F$122,$F163,'Калькуляция (МСА)'!$G$25:$G$122,$G163),_xlfn.SUMIFS(INDEX('Калькуляция (МИ)'!$AJ$25:$BC$747,,MATCH(AE$8,'Калькуляция (МИ)'!$AJ$8:$BC$8,0)),'Калькуляция (МИ)'!$F$25:$F$747,$F163,'Калькуляция (МИ)'!$G$25:$G$747,$G163))))</f>
        <v>1091.22881</v>
      </c>
      <c r="AF163" s="1095">
        <f>IF(AD163=0,0,(AE163-AD163)/AD163*100)</f>
        <v>0</v>
      </c>
      <c r="AG163" s="1094">
        <f>IF(AND(method_reg="Метод индексации",god&lt;&gt;first_year),_xlfn.SUMIFS(INDEX('Калькуляция (МИ корр)'!$AJ$25:$BC$747,,MATCH(AG$8,'Калькуляция (МИ корр)'!$AJ$8:$BC$8,0)),'Калькуляция (МИ корр)'!$F$25:$F$747,$F163,'Калькуляция (МИ корр)'!$G$25:$G$747,$G163),IF(method_reg="Метод экономически обоснованных расходов",_xlfn.SUMIFS('Калькуляция (МЭОР)'!$AJ$25:$AJ$452,'Калькуляция (МЭОР)'!$F$25:$F$452,$F163,'Калькуляция (МЭОР)'!$G$25:$G$452,$G163),IF(method_reg="Метод сравнения аналогов",_xlfn.SUMIFS('Калькуляция (МСА)'!$AE$25:$AE$122,'Калькуляция (МСА)'!$F$25:$F$122,$F163,'Калькуляция (МСА)'!$G$25:$G$122,$G163),_xlfn.SUMIFS(INDEX('Калькуляция (МИ)'!$AJ$25:$BC$747,,MATCH(AG$8,'Калькуляция (МИ)'!$AJ$8:$BC$8,0)),'Калькуляция (МИ)'!$F$25:$F$747,$F163,'Калькуляция (МИ)'!$G$25:$G$747,$G163))))</f>
        <v>1091.22881</v>
      </c>
      <c r="AH163" s="1094">
        <f>IF(AND(method_reg="Метод индексации",god&lt;&gt;first_year),_xlfn.SUMIFS(INDEX('Калькуляция (МИ корр)'!$AJ$25:$BC$747,,MATCH(AH$8,'Калькуляция (МИ корр)'!$AJ$8:$BC$8,0)),'Калькуляция (МИ корр)'!$F$25:$F$747,$F163,'Калькуляция (МИ корр)'!$G$25:$G$747,$G163),IF(method_reg="Метод экономически обоснованных расходов",_xlfn.SUMIFS('Калькуляция (МЭОР)'!$AK$25:$AK$452,'Калькуляция (МЭОР)'!$F$25:$F$452,$F163,'Калькуляция (МЭОР)'!$G$25:$G$452,$G163),IF(method_reg="Метод сравнения аналогов",_xlfn.SUMIFS('Калькуляция (МСА)'!$AF$25:$AF$122,'Калькуляция (МСА)'!$F$25:$F$122,$F163,'Калькуляция (МСА)'!$G$25:$G$122,$G163),_xlfn.SUMIFS(INDEX('Калькуляция (МИ)'!$AJ$25:$BC$747,,MATCH(AH$8,'Калькуляция (МИ)'!$AJ$8:$BC$8,0)),'Калькуляция (МИ)'!$F$25:$F$747,$F163,'Калькуляция (МИ)'!$G$25:$G$747,$G163))))</f>
        <v>1091.22881</v>
      </c>
      <c r="AI163" s="1095">
        <f>IF(AG163=0,0,(AH163-AG163)/AG163*100)</f>
        <v>0</v>
      </c>
      <c r="AJ163" s="1094">
        <f>IF(AND(method_reg="Метод индексации",god&lt;&gt;first_year),_xlfn.SUMIFS(INDEX('Калькуляция (МИ корр)'!$AJ$25:$BC$747,,MATCH(AJ$8,'Калькуляция (МИ корр)'!$AJ$8:$BC$8,0)),'Калькуляция (МИ корр)'!$F$25:$F$747,$F163,'Калькуляция (МИ корр)'!$G$25:$G$747,$G163),IF(method_reg="Метод экономически обоснованных расходов",_xlfn.SUMIFS('Калькуляция (МЭОР)'!$AJ$25:$AJ$452,'Калькуляция (МЭОР)'!$F$25:$F$452,$F163,'Калькуляция (МЭОР)'!$G$25:$G$452,$G163),IF(method_reg="Метод сравнения аналогов",_xlfn.SUMIFS('Калькуляция (МСА)'!$AE$25:$AE$122,'Калькуляция (МСА)'!$F$25:$F$122,$F163,'Калькуляция (МСА)'!$G$25:$G$122,$G163),_xlfn.SUMIFS(INDEX('Калькуляция (МИ)'!$AJ$25:$BC$747,,MATCH(AJ$8,'Калькуляция (МИ)'!$AJ$8:$BC$8,0)),'Калькуляция (МИ)'!$F$25:$F$747,$F163,'Калькуляция (МИ)'!$G$25:$G$747,$G163))))</f>
        <v>1091.22881</v>
      </c>
      <c r="AK163" s="1094">
        <f>IF(AND(method_reg="Метод индексации",god&lt;&gt;first_year),_xlfn.SUMIFS(INDEX('Калькуляция (МИ корр)'!$AJ$25:$BC$747,,MATCH(AK$8,'Калькуляция (МИ корр)'!$AJ$8:$BC$8,0)),'Калькуляция (МИ корр)'!$F$25:$F$747,$F163,'Калькуляция (МИ корр)'!$G$25:$G$747,$G163),IF(method_reg="Метод экономически обоснованных расходов",_xlfn.SUMIFS('Калькуляция (МЭОР)'!$AK$25:$AK$452,'Калькуляция (МЭОР)'!$F$25:$F$452,$F163,'Калькуляция (МЭОР)'!$G$25:$G$452,$G163),IF(method_reg="Метод сравнения аналогов",_xlfn.SUMIFS('Калькуляция (МСА)'!$AF$25:$AF$122,'Калькуляция (МСА)'!$F$25:$F$122,$F163,'Калькуляция (МСА)'!$G$25:$G$122,$G163),_xlfn.SUMIFS(INDEX('Калькуляция (МИ)'!$AJ$25:$BC$747,,MATCH(AK$8,'Калькуляция (МИ)'!$AJ$8:$BC$8,0)),'Калькуляция (МИ)'!$F$25:$F$747,$F163,'Калькуляция (МИ)'!$G$25:$G$747,$G163))))</f>
        <v>1091.22881</v>
      </c>
      <c r="AL163" s="1095">
        <f>IF(AJ163=0,0,(AK163-AJ163)/AJ163*100)</f>
        <v>0</v>
      </c>
      <c r="AM163" s="1094">
        <f>IF(AND(method_reg="Метод индексации",god&lt;&gt;first_year),_xlfn.SUMIFS(INDEX('Калькуляция (МИ корр)'!$AJ$25:$BC$747,,MATCH(AM$8,'Калькуляция (МИ корр)'!$AJ$8:$BC$8,0)),'Калькуляция (МИ корр)'!$F$25:$F$747,$F163,'Калькуляция (МИ корр)'!$G$25:$G$747,$G163),IF(method_reg="Метод экономически обоснованных расходов",_xlfn.SUMIFS('Калькуляция (МЭОР)'!$AJ$25:$AJ$452,'Калькуляция (МЭОР)'!$F$25:$F$452,$F163,'Калькуляция (МЭОР)'!$G$25:$G$452,$G163),IF(method_reg="Метод сравнения аналогов",_xlfn.SUMIFS('Калькуляция (МСА)'!$AE$25:$AE$122,'Калькуляция (МСА)'!$F$25:$F$122,$F163,'Калькуляция (МСА)'!$G$25:$G$122,$G163),_xlfn.SUMIFS(INDEX('Калькуляция (МИ)'!$AJ$25:$BC$747,,MATCH(AM$8,'Калькуляция (МИ)'!$AJ$8:$BC$8,0)),'Калькуляция (МИ)'!$F$25:$F$747,$F163,'Калькуляция (МИ)'!$G$25:$G$747,$G163))))</f>
        <v>1091.22881</v>
      </c>
      <c r="AN163" s="1094">
        <f>IF(AND(method_reg="Метод индексации",god&lt;&gt;first_year),_xlfn.SUMIFS(INDEX('Калькуляция (МИ корр)'!$AJ$25:$BC$747,,MATCH(AN$8,'Калькуляция (МИ корр)'!$AJ$8:$BC$8,0)),'Калькуляция (МИ корр)'!$F$25:$F$747,$F163,'Калькуляция (МИ корр)'!$G$25:$G$747,$G163),IF(method_reg="Метод экономически обоснованных расходов",_xlfn.SUMIFS('Калькуляция (МЭОР)'!$AK$25:$AK$452,'Калькуляция (МЭОР)'!$F$25:$F$452,$F163,'Калькуляция (МЭОР)'!$G$25:$G$452,$G163),IF(method_reg="Метод сравнения аналогов",_xlfn.SUMIFS('Калькуляция (МСА)'!$AF$25:$AF$122,'Калькуляция (МСА)'!$F$25:$F$122,$F163,'Калькуляция (МСА)'!$G$25:$G$122,$G163),_xlfn.SUMIFS(INDEX('Калькуляция (МИ)'!$AJ$25:$BC$747,,MATCH(AN$8,'Калькуляция (МИ)'!$AJ$8:$BC$8,0)),'Калькуляция (МИ)'!$F$25:$F$747,$F163,'Калькуляция (МИ)'!$G$25:$G$747,$G163))))</f>
        <v>1091.22881</v>
      </c>
      <c r="AO163" s="1095">
        <f>IF(AM163=0,0,(AN163-AM163)/AM163*100)</f>
        <v>0</v>
      </c>
      <c r="AP163" s="1094">
        <f>IF(AND(method_reg="Метод индексации",god&lt;&gt;first_year),_xlfn.SUMIFS(INDEX('Калькуляция (МИ корр)'!$AJ$25:$BC$747,,MATCH(AP$8,'Калькуляция (МИ корр)'!$AJ$8:$BC$8,0)),'Калькуляция (МИ корр)'!$F$25:$F$747,$F163,'Калькуляция (МИ корр)'!$G$25:$G$747,$G163),IF(method_reg="Метод экономически обоснованных расходов",_xlfn.SUMIFS('Калькуляция (МЭОР)'!$AJ$25:$AJ$452,'Калькуляция (МЭОР)'!$F$25:$F$452,$F163,'Калькуляция (МЭОР)'!$G$25:$G$452,$G163),IF(method_reg="Метод сравнения аналогов",_xlfn.SUMIFS('Калькуляция (МСА)'!$AE$25:$AE$122,'Калькуляция (МСА)'!$F$25:$F$122,$F163,'Калькуляция (МСА)'!$G$25:$G$122,$G163),_xlfn.SUMIFS(INDEX('Калькуляция (МИ)'!$AJ$25:$BC$747,,MATCH(AP$8,'Калькуляция (МИ)'!$AJ$8:$BC$8,0)),'Калькуляция (МИ)'!$F$25:$F$747,$F163,'Калькуляция (МИ)'!$G$25:$G$747,$G163))))</f>
        <v>1091.22881</v>
      </c>
      <c r="AQ163" s="1094">
        <f>IF(AND(method_reg="Метод индексации",god&lt;&gt;first_year),_xlfn.SUMIFS(INDEX('Калькуляция (МИ корр)'!$AJ$25:$BC$747,,MATCH(AQ$8,'Калькуляция (МИ корр)'!$AJ$8:$BC$8,0)),'Калькуляция (МИ корр)'!$F$25:$F$747,$F163,'Калькуляция (МИ корр)'!$G$25:$G$747,$G163),IF(method_reg="Метод экономически обоснованных расходов",_xlfn.SUMIFS('Калькуляция (МЭОР)'!$AK$25:$AK$452,'Калькуляция (МЭОР)'!$F$25:$F$452,$F163,'Калькуляция (МЭОР)'!$G$25:$G$452,$G163),IF(method_reg="Метод сравнения аналогов",_xlfn.SUMIFS('Калькуляция (МСА)'!$AF$25:$AF$122,'Калькуляция (МСА)'!$F$25:$F$122,$F163,'Калькуляция (МСА)'!$G$25:$G$122,$G163),_xlfn.SUMIFS(INDEX('Калькуляция (МИ)'!$AJ$25:$BC$747,,MATCH(AQ$8,'Калькуляция (МИ)'!$AJ$8:$BC$8,0)),'Калькуляция (МИ)'!$F$25:$F$747,$F163,'Калькуляция (МИ)'!$G$25:$G$747,$G163))))</f>
        <v>1091.22881</v>
      </c>
      <c r="AR163" s="1095">
        <f>IF(AP163=0,0,(AQ163-AP163)/AP163*100)</f>
        <v>0</v>
      </c>
      <c r="AS163" s="5247">
        <f>IF(AND(method_reg="Метод индексации",god&lt;&gt;first_year),_xlfn.SUMIFS(INDEX('Калькуляция (МИ корр)'!$AJ$25:$BC$747,,MATCH(AS$8,'Калькуляция (МИ корр)'!$AJ$8:$BC$8,0)),'Калькуляция (МИ корр)'!$F$25:$F$747,$F163,'Калькуляция (МИ корр)'!$G$25:$G$747,$G163),IF(method_reg="Метод экономически обоснованных расходов",_xlfn.SUMIFS('Калькуляция (МЭОР)'!$AJ$25:$AJ$452,'Калькуляция (МЭОР)'!$F$25:$F$452,$F163,'Калькуляция (МЭОР)'!$G$25:$G$452,$G163),IF(method_reg="Метод сравнения аналогов",_xlfn.SUMIFS('Калькуляция (МСА)'!$AE$25:$AE$122,'Калькуляция (МСА)'!$F$25:$F$122,$F163,'Калькуляция (МСА)'!$G$25:$G$122,$G163),_xlfn.SUMIFS(INDEX('Калькуляция (МИ)'!$AJ$25:$BC$747,,MATCH(AS$8,'Калькуляция (МИ)'!$AJ$8:$BC$8,0)),'Калькуляция (МИ)'!$F$25:$F$747,$F163,'Калькуляция (МИ)'!$G$25:$G$747,$G163))))</f>
        <v>0</v>
      </c>
      <c r="AT163" s="5247">
        <f>IF(AND(method_reg="Метод индексации",god&lt;&gt;first_year),_xlfn.SUMIFS(INDEX('Калькуляция (МИ корр)'!$AJ$25:$BC$747,,MATCH(AT$8,'Калькуляция (МИ корр)'!$AJ$8:$BC$8,0)),'Калькуляция (МИ корр)'!$F$25:$F$747,$F163,'Калькуляция (МИ корр)'!$G$25:$G$747,$G163),IF(method_reg="Метод экономически обоснованных расходов",_xlfn.SUMIFS('Калькуляция (МЭОР)'!$AK$25:$AK$452,'Калькуляция (МЭОР)'!$F$25:$F$452,$F163,'Калькуляция (МЭОР)'!$G$25:$G$452,$G163),IF(method_reg="Метод сравнения аналогов",_xlfn.SUMIFS('Калькуляция (МСА)'!$AF$25:$AF$122,'Калькуляция (МСА)'!$F$25:$F$122,$F163,'Калькуляция (МСА)'!$G$25:$G$122,$G163),_xlfn.SUMIFS(INDEX('Калькуляция (МИ)'!$AJ$25:$BC$747,,MATCH(AT$8,'Калькуляция (МИ)'!$AJ$8:$BC$8,0)),'Калькуляция (МИ)'!$F$25:$F$747,$F163,'Калькуляция (МИ)'!$G$25:$G$747,$G163))))</f>
        <v>0</v>
      </c>
      <c r="AU163" s="1095">
        <f>IF(AS163=0,0,(AT163-AS163)/AS163*100)</f>
        <v>0</v>
      </c>
      <c r="AV163" s="5247">
        <f>IF(AND(method_reg="Метод индексации",god&lt;&gt;first_year),_xlfn.SUMIFS(INDEX('Калькуляция (МИ корр)'!$AJ$25:$BC$747,,MATCH(AV$8,'Калькуляция (МИ корр)'!$AJ$8:$BC$8,0)),'Калькуляция (МИ корр)'!$F$25:$F$747,$F163,'Калькуляция (МИ корр)'!$G$25:$G$747,$G163),IF(method_reg="Метод экономически обоснованных расходов",_xlfn.SUMIFS('Калькуляция (МЭОР)'!$AJ$25:$AJ$452,'Калькуляция (МЭОР)'!$F$25:$F$452,$F163,'Калькуляция (МЭОР)'!$G$25:$G$452,$G163),IF(method_reg="Метод сравнения аналогов",_xlfn.SUMIFS('Калькуляция (МСА)'!$AE$25:$AE$122,'Калькуляция (МСА)'!$F$25:$F$122,$F163,'Калькуляция (МСА)'!$G$25:$G$122,$G163),_xlfn.SUMIFS(INDEX('Калькуляция (МИ)'!$AJ$25:$BC$747,,MATCH(AV$8,'Калькуляция (МИ)'!$AJ$8:$BC$8,0)),'Калькуляция (МИ)'!$F$25:$F$747,$F163,'Калькуляция (МИ)'!$G$25:$G$747,$G163))))</f>
        <v>0</v>
      </c>
      <c r="AW163" s="5247">
        <f>IF(AND(method_reg="Метод индексации",god&lt;&gt;first_year),_xlfn.SUMIFS(INDEX('Калькуляция (МИ корр)'!$AJ$25:$BC$747,,MATCH(AW$8,'Калькуляция (МИ корр)'!$AJ$8:$BC$8,0)),'Калькуляция (МИ корр)'!$F$25:$F$747,$F163,'Калькуляция (МИ корр)'!$G$25:$G$747,$G163),IF(method_reg="Метод экономически обоснованных расходов",_xlfn.SUMIFS('Калькуляция (МЭОР)'!$AK$25:$AK$452,'Калькуляция (МЭОР)'!$F$25:$F$452,$F163,'Калькуляция (МЭОР)'!$G$25:$G$452,$G163),IF(method_reg="Метод сравнения аналогов",_xlfn.SUMIFS('Калькуляция (МСА)'!$AF$25:$AF$122,'Калькуляция (МСА)'!$F$25:$F$122,$F163,'Калькуляция (МСА)'!$G$25:$G$122,$G163),_xlfn.SUMIFS(INDEX('Калькуляция (МИ)'!$AJ$25:$BC$747,,MATCH(AW$8,'Калькуляция (МИ)'!$AJ$8:$BC$8,0)),'Калькуляция (МИ)'!$F$25:$F$747,$F163,'Калькуляция (МИ)'!$G$25:$G$747,$G163))))</f>
        <v>0</v>
      </c>
      <c r="AX163" s="1095">
        <f>IF(AV163=0,0,(AW163-AV163)/AV163*100)</f>
        <v>0</v>
      </c>
      <c r="AY163" s="5247">
        <f>IF(AND(method_reg="Метод индексации",god&lt;&gt;first_year),_xlfn.SUMIFS(INDEX('Калькуляция (МИ корр)'!$AJ$25:$BC$747,,MATCH(AY$8,'Калькуляция (МИ корр)'!$AJ$8:$BC$8,0)),'Калькуляция (МИ корр)'!$F$25:$F$747,$F163,'Калькуляция (МИ корр)'!$G$25:$G$747,$G163),IF(method_reg="Метод экономически обоснованных расходов",_xlfn.SUMIFS('Калькуляция (МЭОР)'!$AJ$25:$AJ$452,'Калькуляция (МЭОР)'!$F$25:$F$452,$F163,'Калькуляция (МЭОР)'!$G$25:$G$452,$G163),IF(method_reg="Метод сравнения аналогов",_xlfn.SUMIFS('Калькуляция (МСА)'!$AE$25:$AE$122,'Калькуляция (МСА)'!$F$25:$F$122,$F163,'Калькуляция (МСА)'!$G$25:$G$122,$G163),_xlfn.SUMIFS(INDEX('Калькуляция (МИ)'!$AJ$25:$BC$747,,MATCH(AY$8,'Калькуляция (МИ)'!$AJ$8:$BC$8,0)),'Калькуляция (МИ)'!$F$25:$F$747,$F163,'Калькуляция (МИ)'!$G$25:$G$747,$G163))))</f>
        <v>0</v>
      </c>
      <c r="AZ163" s="5247">
        <f>IF(AND(method_reg="Метод индексации",god&lt;&gt;first_year),_xlfn.SUMIFS(INDEX('Калькуляция (МИ корр)'!$AJ$25:$BC$747,,MATCH(AZ$8,'Калькуляция (МИ корр)'!$AJ$8:$BC$8,0)),'Калькуляция (МИ корр)'!$F$25:$F$747,$F163,'Калькуляция (МИ корр)'!$G$25:$G$747,$G163),IF(method_reg="Метод экономически обоснованных расходов",_xlfn.SUMIFS('Калькуляция (МЭОР)'!$AK$25:$AK$452,'Калькуляция (МЭОР)'!$F$25:$F$452,$F163,'Калькуляция (МЭОР)'!$G$25:$G$452,$G163),IF(method_reg="Метод сравнения аналогов",_xlfn.SUMIFS('Калькуляция (МСА)'!$AF$25:$AF$122,'Калькуляция (МСА)'!$F$25:$F$122,$F163,'Калькуляция (МСА)'!$G$25:$G$122,$G163),_xlfn.SUMIFS(INDEX('Калькуляция (МИ)'!$AJ$25:$BC$747,,MATCH(AZ$8,'Калькуляция (МИ)'!$AJ$8:$BC$8,0)),'Калькуляция (МИ)'!$F$25:$F$747,$F163,'Калькуляция (МИ)'!$G$25:$G$747,$G163))))</f>
        <v>0</v>
      </c>
      <c r="BA163" s="1095">
        <f>IF(AY163=0,0,(AZ163-AY163)/AY163*100)</f>
        <v>0</v>
      </c>
      <c r="BB163" s="5247">
        <f>IF(AND(method_reg="Метод индексации",god&lt;&gt;first_year),_xlfn.SUMIFS(INDEX('Калькуляция (МИ корр)'!$AJ$25:$BC$747,,MATCH(BB$8,'Калькуляция (МИ корр)'!$AJ$8:$BC$8,0)),'Калькуляция (МИ корр)'!$F$25:$F$747,$F163,'Калькуляция (МИ корр)'!$G$25:$G$747,$G163),IF(method_reg="Метод экономически обоснованных расходов",_xlfn.SUMIFS('Калькуляция (МЭОР)'!$AJ$25:$AJ$452,'Калькуляция (МЭОР)'!$F$25:$F$452,$F163,'Калькуляция (МЭОР)'!$G$25:$G$452,$G163),IF(method_reg="Метод сравнения аналогов",_xlfn.SUMIFS('Калькуляция (МСА)'!$AE$25:$AE$122,'Калькуляция (МСА)'!$F$25:$F$122,$F163,'Калькуляция (МСА)'!$G$25:$G$122,$G163),_xlfn.SUMIFS(INDEX('Калькуляция (МИ)'!$AJ$25:$BC$747,,MATCH(BB$8,'Калькуляция (МИ)'!$AJ$8:$BC$8,0)),'Калькуляция (МИ)'!$F$25:$F$747,$F163,'Калькуляция (МИ)'!$G$25:$G$747,$G163))))</f>
        <v>0</v>
      </c>
      <c r="BC163" s="5247">
        <f>IF(AND(method_reg="Метод индексации",god&lt;&gt;first_year),_xlfn.SUMIFS(INDEX('Калькуляция (МИ корр)'!$AJ$25:$BC$747,,MATCH(BC$8,'Калькуляция (МИ корр)'!$AJ$8:$BC$8,0)),'Калькуляция (МИ корр)'!$F$25:$F$747,$F163,'Калькуляция (МИ корр)'!$G$25:$G$747,$G163),IF(method_reg="Метод экономически обоснованных расходов",_xlfn.SUMIFS('Калькуляция (МЭОР)'!$AK$25:$AK$452,'Калькуляция (МЭОР)'!$F$25:$F$452,$F163,'Калькуляция (МЭОР)'!$G$25:$G$452,$G163),IF(method_reg="Метод сравнения аналогов",_xlfn.SUMIFS('Калькуляция (МСА)'!$AF$25:$AF$122,'Калькуляция (МСА)'!$F$25:$F$122,$F163,'Калькуляция (МСА)'!$G$25:$G$122,$G163),_xlfn.SUMIFS(INDEX('Калькуляция (МИ)'!$AJ$25:$BC$747,,MATCH(BC$8,'Калькуляция (МИ)'!$AJ$8:$BC$8,0)),'Калькуляция (МИ)'!$F$25:$F$747,$F163,'Калькуляция (МИ)'!$G$25:$G$747,$G163))))</f>
        <v>0</v>
      </c>
      <c r="BD163" s="1095">
        <f>IF(BB163=0,0,(BC163-BB163)/BB163*100)</f>
        <v>0</v>
      </c>
      <c r="BE163" s="5247">
        <f>IF(AND(method_reg="Метод индексации",god&lt;&gt;first_year),_xlfn.SUMIFS(INDEX('Калькуляция (МИ корр)'!$AJ$25:$BC$747,,MATCH(BE$8,'Калькуляция (МИ корр)'!$AJ$8:$BC$8,0)),'Калькуляция (МИ корр)'!$F$25:$F$747,$F163,'Калькуляция (МИ корр)'!$G$25:$G$747,$G163),IF(method_reg="Метод экономически обоснованных расходов",_xlfn.SUMIFS('Калькуляция (МЭОР)'!$AJ$25:$AJ$452,'Калькуляция (МЭОР)'!$F$25:$F$452,$F163,'Калькуляция (МЭОР)'!$G$25:$G$452,$G163),IF(method_reg="Метод сравнения аналогов",_xlfn.SUMIFS('Калькуляция (МСА)'!$AE$25:$AE$122,'Калькуляция (МСА)'!$F$25:$F$122,$F163,'Калькуляция (МСА)'!$G$25:$G$122,$G163),_xlfn.SUMIFS(INDEX('Калькуляция (МИ)'!$AJ$25:$BC$747,,MATCH(BE$8,'Калькуляция (МИ)'!$AJ$8:$BC$8,0)),'Калькуляция (МИ)'!$F$25:$F$747,$F163,'Калькуляция (МИ)'!$G$25:$G$747,$G163))))</f>
        <v>0</v>
      </c>
      <c r="BF163" s="5247">
        <f>IF(AND(method_reg="Метод индексации",god&lt;&gt;first_year),_xlfn.SUMIFS(INDEX('Калькуляция (МИ корр)'!$AJ$25:$BC$747,,MATCH(BF$8,'Калькуляция (МИ корр)'!$AJ$8:$BC$8,0)),'Калькуляция (МИ корр)'!$F$25:$F$747,$F163,'Калькуляция (МИ корр)'!$G$25:$G$747,$G163),IF(method_reg="Метод экономически обоснованных расходов",_xlfn.SUMIFS('Калькуляция (МЭОР)'!$AK$25:$AK$452,'Калькуляция (МЭОР)'!$F$25:$F$452,$F163,'Калькуляция (МЭОР)'!$G$25:$G$452,$G163),IF(method_reg="Метод сравнения аналогов",_xlfn.SUMIFS('Калькуляция (МСА)'!$AF$25:$AF$122,'Калькуляция (МСА)'!$F$25:$F$122,$F163,'Калькуляция (МСА)'!$G$25:$G$122,$G163),_xlfn.SUMIFS(INDEX('Калькуляция (МИ)'!$AJ$25:$BC$747,,MATCH(BF$8,'Калькуляция (МИ)'!$AJ$8:$BC$8,0)),'Калькуляция (МИ)'!$F$25:$F$747,$F163,'Калькуляция (МИ)'!$G$25:$G$747,$G163))))</f>
        <v>0</v>
      </c>
      <c r="BG163" s="1095">
        <f>IF(BE163=0,0,(BF163-BE163)/BE163*100)</f>
        <v>0</v>
      </c>
      <c r="BH163" s="5247"/>
      <c r="BI163" s="5247"/>
      <c r="BJ163" s="1095">
        <f>IF(BH163=0,0,(BI163-BH163)/BH163*100)</f>
        <v>0</v>
      </c>
      <c r="BK163" s="5247"/>
      <c r="BL163" s="5247"/>
      <c r="BM163" s="1095">
        <f>IF(BK163=0,0,(BL163-BK163)/BK163*100)</f>
        <v>0</v>
      </c>
      <c r="BN163" s="5247"/>
      <c r="BO163" s="5247"/>
      <c r="BP163" s="1095">
        <f>IF(BN163=0,0,(BO163-BN163)/BN163*100)</f>
        <v>0</v>
      </c>
      <c r="BQ163" s="5247"/>
      <c r="BR163" s="5247"/>
      <c r="BS163" s="1095">
        <f>IF(BQ163=0,0,(BR163-BQ163)/BQ163*100)</f>
        <v>0</v>
      </c>
      <c r="BT163" s="5247"/>
      <c r="BU163" s="5247"/>
      <c r="BV163" s="1095">
        <f>IF(BT163=0,0,(BU163-BT163)/BT163*100)</f>
        <v>0</v>
      </c>
      <c r="BW163" s="5247"/>
      <c r="BX163" s="5247"/>
      <c r="BY163" s="1095">
        <f>IF(BW163=0,0,(BX163-BW163)/BW163*100)</f>
        <v>0</v>
      </c>
      <c r="BZ163" s="5247"/>
      <c r="CA163" s="5247"/>
      <c r="CB163" s="1095">
        <f>IF(BZ163=0,0,(CA163-BZ163)/BZ163*100)</f>
        <v>0</v>
      </c>
      <c r="CC163" s="5247"/>
      <c r="CD163" s="5247"/>
      <c r="CE163" s="1095">
        <f>IF(CC163=0,0,(CD163-CC163)/CC163*100)</f>
        <v>0</v>
      </c>
      <c r="CF163" s="5247"/>
      <c r="CG163" s="5247"/>
      <c r="CH163" s="1095">
        <f>IF(CF163=0,0,(CG163-CF163)/CF163*100)</f>
        <v>0</v>
      </c>
      <c r="CI163" s="5247"/>
      <c r="CJ163" s="5247"/>
      <c r="CK163" s="1095">
        <f>IF(CI163=0,0,(CJ163-CI163)/CI163*100)</f>
        <v>0</v>
      </c>
      <c r="CL163" s="5247"/>
      <c r="CM163" s="5247"/>
      <c r="CN163" s="1095">
        <f>IF(CL163=0,0,(CM163-CL163)/CL163*100)</f>
        <v>0</v>
      </c>
      <c r="CO163" s="5247"/>
      <c r="CP163" s="5247"/>
      <c r="CQ163" s="1095">
        <f>IF(CO163=0,0,(CP163-CO163)/CO163*100)</f>
        <v>0</v>
      </c>
      <c r="CR163" s="5247"/>
      <c r="CS163" s="5247"/>
      <c r="CT163" s="1095">
        <f>IF(CR163=0,0,(CS163-CR163)/CR163*100)</f>
        <v>0</v>
      </c>
      <c r="CU163" s="5247"/>
      <c r="CV163" s="5247"/>
      <c r="CW163" s="1095">
        <f>IF(CU163=0,0,(CV163-CU163)/CU163*100)</f>
        <v>0</v>
      </c>
      <c r="CX163" s="5247"/>
      <c r="CY163" s="5247"/>
      <c r="CZ163" s="1095">
        <f>IF(CX163=0,0,(CY163-CX163)/CX163*100)</f>
        <v>0</v>
      </c>
      <c r="DA163" s="5247"/>
      <c r="DB163" s="5247"/>
      <c r="DC163" s="1095">
        <f>IF(DA163=0,0,(DB163-DA163)/DA163*100)</f>
        <v>0</v>
      </c>
      <c r="DD163" s="5247"/>
      <c r="DE163" s="5247"/>
      <c r="DF163" s="1095">
        <f>IF(DD163=0,0,(DE163-DD163)/DD163*100)</f>
        <v>0</v>
      </c>
      <c r="DG163" s="5247"/>
      <c r="DH163" s="5247"/>
      <c r="DI163" s="1095">
        <f>IF(DG163=0,0,(DH163-DG163)/DG163*100)</f>
        <v>0</v>
      </c>
      <c r="DJ163" s="5247"/>
      <c r="DK163" s="5247"/>
      <c r="DL163" s="1095">
        <f>IF(DJ163=0,0,(DK163-DJ163)/DJ163*100)</f>
        <v>0</v>
      </c>
      <c r="DM163" s="5247"/>
      <c r="DN163" s="5247"/>
      <c r="DO163" s="1095">
        <f>IF(DM163=0,0,(DN163-DM163)/DM163*100)</f>
        <v>0</v>
      </c>
      <c r="DP163" s="5247"/>
      <c r="DQ163" s="5247"/>
      <c r="DR163" s="1095">
        <f>IF(DP163=0,0,(DQ163-DP163)/DP163*100)</f>
        <v>0</v>
      </c>
      <c r="DS163" s="5247"/>
      <c r="DT163" s="5247"/>
      <c r="DU163" s="1095">
        <f>IF(DS163=0,0,(DT163-DS163)/DS163*100)</f>
        <v>0</v>
      </c>
      <c r="DV163" s="5247"/>
      <c r="DW163" s="5247"/>
      <c r="DX163" s="1095">
        <f>IF(DV163=0,0,(DW163-DV163)/DV163*100)</f>
        <v>0</v>
      </c>
      <c r="DY163" s="5247"/>
      <c r="DZ163" s="5247"/>
      <c r="EA163" s="1095">
        <f>IF(DY163=0,0,(DZ163-DY163)/DY163*100)</f>
        <v>0</v>
      </c>
      <c r="EB163" s="5247"/>
      <c r="EC163" s="5247"/>
      <c r="ED163" s="1095">
        <f>IF(EB163=0,0,(EC163-EB163)/EB163*100)</f>
        <v>0</v>
      </c>
      <c r="EE163" s="5247"/>
      <c r="EF163" s="5247"/>
      <c r="EG163" s="1095">
        <f>IF(EE163=0,0,(EF163-EE163)/EE163*100)</f>
        <v>0</v>
      </c>
      <c r="EH163" s="5247"/>
      <c r="EI163" s="5247"/>
      <c r="EJ163" s="1095">
        <f>IF(EH163=0,0,(EI163-EH163)/EH163*100)</f>
        <v>0</v>
      </c>
      <c r="EK163" s="5247"/>
      <c r="EL163" s="5247"/>
      <c r="EM163" s="1095">
        <f>IF(EK163=0,0,(EL163-EK163)/EK163*100)</f>
        <v>0</v>
      </c>
      <c r="EN163" s="5247"/>
      <c r="EO163" s="5247"/>
      <c r="EP163" s="1095">
        <f>IF(EN163=0,0,(EO163-EN163)/EN163*100)</f>
        <v>0</v>
      </c>
      <c r="EQ163" s="5247"/>
      <c r="ER163" s="5247"/>
      <c r="ES163" s="1095">
        <f>IF(EQ163=0,0,(ER163-EQ163)/EQ163*100)</f>
        <v>0</v>
      </c>
      <c r="ET163" s="5247"/>
      <c r="EU163" s="5247"/>
      <c r="EV163" s="1095">
        <f>IF(ET163=0,0,(EU163-ET163)/ET163*100)</f>
        <v>0</v>
      </c>
      <c r="EW163" s="5247"/>
      <c r="EX163" s="5247"/>
      <c r="EY163" s="1095">
        <f>IF(EW163=0,0,(EX163-EW163)/EW163*100)</f>
        <v>0</v>
      </c>
      <c r="EZ163" s="5247"/>
      <c r="FA163" s="5247"/>
      <c r="FB163" s="1095">
        <f>IF(EZ163=0,0,(FA163-EZ163)/EZ163*100)</f>
        <v>0</v>
      </c>
      <c r="FC163" s="5247"/>
      <c r="FD163" s="5247"/>
      <c r="FE163" s="1095">
        <f>IF(FC163=0,0,(FD163-FC163)/FC163*100)</f>
        <v>0</v>
      </c>
      <c r="FF163" s="5247"/>
      <c r="FG163" s="5247"/>
      <c r="FH163" s="1095">
        <f>IF(FF163=0,0,(FG163-FF163)/FF163*100)</f>
        <v>0</v>
      </c>
      <c r="FI163" s="5247"/>
      <c r="FJ163" s="5247"/>
      <c r="FK163" s="1095">
        <f>IF(FI163=0,0,(FJ163-FI163)/FI163*100)</f>
        <v>0</v>
      </c>
      <c r="FL163" s="5247"/>
      <c r="FM163" s="5247"/>
      <c r="FN163" s="1095">
        <f>IF(FL163=0,0,(FM163-FL163)/FL163*100)</f>
        <v>0</v>
      </c>
      <c r="FO163" s="5247"/>
      <c r="FP163" s="5247"/>
      <c r="FQ163" s="1095">
        <f>IF(FO163=0,0,(FP163-FO163)/FO163*100)</f>
        <v>0</v>
      </c>
      <c r="FR163" s="5247"/>
      <c r="FS163" s="5247"/>
      <c r="FT163" s="1095">
        <f>IF(FR163=0,0,(FS163-FR163)/FR163*100)</f>
        <v>0</v>
      </c>
      <c r="FU163" s="5247"/>
      <c r="FV163" s="5247"/>
      <c r="FW163" s="1095">
        <f>IF(FU163=0,0,(FV163-FU163)/FU163*100)</f>
        <v>0</v>
      </c>
      <c r="FX163" s="292"/>
      <c r="FY163" s="1304"/>
      <c r="FZ163" s="1055" t="s">
        <v>2348</v>
      </c>
      <c r="GA163" s="1306"/>
      <c r="GB163" s="1306"/>
      <c r="GC163" s="1305"/>
      <c r="GD163" s="1305"/>
    </row>
    <row s="5745" customFormat="1" customHeight="1" ht="23.25">
      <c r="A164" s="897"/>
      <c r="B164" s="925" cm="1" t="str">
        <f t="array" ref="B164:B164">B163</f>
        <v>true</v>
      </c>
      <c r="C164" s="897"/>
      <c r="D164" s="897"/>
      <c r="E164" s="898">
        <v>24.5</v>
      </c>
      <c r="F164" s="50" cm="1" t="str">
        <f t="array" ref="F164:F164">OFFSET(E164,-1,1)</f>
        <v>2</v>
      </c>
      <c r="G164" s="107" t="s">
        <v>2349</v>
      </c>
      <c r="H164" s="493" t="s">
        <v>1175</v>
      </c>
      <c r="I164" s="493" t="s">
        <v>2350</v>
      </c>
      <c r="J164" s="897"/>
      <c r="K164" s="897"/>
      <c r="L164" s="493"/>
      <c r="M164" s="897"/>
      <c r="N164" s="897"/>
      <c r="O164" s="897"/>
      <c r="P164" s="897"/>
      <c r="Q164" s="897"/>
      <c r="R164" s="493"/>
      <c r="S164" s="493"/>
      <c r="T164" s="465" cm="1" t="str">
        <f t="array" ref="T164:T164">T163</f>
        <v>true</v>
      </c>
      <c r="U164" s="897"/>
      <c r="V164" s="897"/>
      <c r="W164" s="897"/>
      <c r="X164" s="1596"/>
      <c r="Y164" s="897"/>
      <c r="Z164" s="1545"/>
      <c r="AA164" s="897"/>
      <c r="AB164" s="293" t="s">
        <v>2351</v>
      </c>
      <c r="AC164" s="294" t="s">
        <v>2337</v>
      </c>
      <c r="AD164" s="899">
        <f>IF(AND(method_reg="Метод индексации",god&lt;&gt;first_year),_xlfn.SUMIFS(INDEX('Калькуляция (МИ корр)'!$AJ$25:$BC$747,,MATCH(AD$8,'Калькуляция (МИ корр)'!$AJ$8:$BC$8,0)),'Калькуляция (МИ корр)'!$F$25:$F$747,$F164,'Калькуляция (МИ корр)'!$G$25:$G$747,$G164),IF(method_reg="Метод экономически обоснованных расходов",_xlfn.SUMIFS('Калькуляция (МЭОР)'!$AJ$25:$AJ$452,'Калькуляция (МЭОР)'!$F$25:$F$452,$F164,'Калькуляция (МЭОР)'!$G$25:$G$452,$G164),IF(method_reg="Метод сравнения аналогов",_xlfn.SUMIFS('Калькуляция (МСА)'!$AE$25:$AE$122,'Калькуляция (МСА)'!$F$25:$F$122,$F164,'Калькуляция (МСА)'!$G$25:$G$122,$G164),_xlfn.SUMIFS(INDEX('Калькуляция (МИ)'!$AJ$25:$BC$747,,MATCH(AD$8,'Калькуляция (МИ)'!$AJ$8:$BC$8,0)),'Калькуляция (МИ)'!$F$25:$F$747,$F164,'Калькуляция (МИ)'!$G$25:$G$747,$G164))))</f>
        <v>129.3322</v>
      </c>
      <c r="AE164" s="899">
        <f>IF(AND(method_reg="Метод индексации",god&lt;&gt;first_year),_xlfn.SUMIFS(INDEX('Калькуляция (МИ корр)'!$AJ$25:$BC$747,,MATCH(AE$8,'Калькуляция (МИ корр)'!$AJ$8:$BC$8,0)),'Калькуляция (МИ корр)'!$F$25:$F$747,$F164,'Калькуляция (МИ корр)'!$G$25:$G$747,$G164),IF(method_reg="Метод экономически обоснованных расходов",_xlfn.SUMIFS('Калькуляция (МЭОР)'!$AK$25:$AK$452,'Калькуляция (МЭОР)'!$F$25:$F$452,$F164,'Калькуляция (МЭОР)'!$G$25:$G$452,$G164),IF(method_reg="Метод сравнения аналогов",_xlfn.SUMIFS('Калькуляция (МСА)'!$AF$25:$AF$122,'Калькуляция (МСА)'!$F$25:$F$122,$F164,'Калькуляция (МСА)'!$G$25:$G$122,$G164),_xlfn.SUMIFS(INDEX('Калькуляция (МИ)'!$AJ$25:$BC$747,,MATCH(AE$8,'Калькуляция (МИ)'!$AJ$8:$BC$8,0)),'Калькуляция (МИ)'!$F$25:$F$747,$F164,'Калькуляция (МИ)'!$G$25:$G$747,$G164))))</f>
        <v>129.3322</v>
      </c>
      <c r="AF164" s="296">
        <f>IF(AD164=0,0,(AE164-AD164)/AD164*100)</f>
        <v>0</v>
      </c>
      <c r="AG164" s="899">
        <f>IF(AND(method_reg="Метод индексации",god&lt;&gt;first_year),_xlfn.SUMIFS(INDEX('Калькуляция (МИ корр)'!$AJ$25:$BC$747,,MATCH(AG$8,'Калькуляция (МИ корр)'!$AJ$8:$BC$8,0)),'Калькуляция (МИ корр)'!$F$25:$F$747,$F164,'Калькуляция (МИ корр)'!$G$25:$G$747,$G164),IF(method_reg="Метод экономически обоснованных расходов",_xlfn.SUMIFS('Калькуляция (МЭОР)'!$AJ$25:$AJ$452,'Калькуляция (МЭОР)'!$F$25:$F$452,$F164,'Калькуляция (МЭОР)'!$G$25:$G$452,$G164),IF(method_reg="Метод сравнения аналогов",_xlfn.SUMIFS('Калькуляция (МСА)'!$AE$25:$AE$122,'Калькуляция (МСА)'!$F$25:$F$122,$F164,'Калькуляция (МСА)'!$G$25:$G$122,$G164),_xlfn.SUMIFS(INDEX('Калькуляция (МИ)'!$AJ$25:$BC$747,,MATCH(AG$8,'Калькуляция (МИ)'!$AJ$8:$BC$8,0)),'Калькуляция (МИ)'!$F$25:$F$747,$F164,'Калькуляция (МИ)'!$G$25:$G$747,$G164))))</f>
        <v>142.13</v>
      </c>
      <c r="AH164" s="899">
        <f>IF(AND(method_reg="Метод индексации",god&lt;&gt;first_year),_xlfn.SUMIFS(INDEX('Калькуляция (МИ корр)'!$AJ$25:$BC$747,,MATCH(AH$8,'Калькуляция (МИ корр)'!$AJ$8:$BC$8,0)),'Калькуляция (МИ корр)'!$F$25:$F$747,$F164,'Калькуляция (МИ корр)'!$G$25:$G$747,$G164),IF(method_reg="Метод экономически обоснованных расходов",_xlfn.SUMIFS('Калькуляция (МЭОР)'!$AK$25:$AK$452,'Калькуляция (МЭОР)'!$F$25:$F$452,$F164,'Калькуляция (МЭОР)'!$G$25:$G$452,$G164),IF(method_reg="Метод сравнения аналогов",_xlfn.SUMIFS('Калькуляция (МСА)'!$AF$25:$AF$122,'Калькуляция (МСА)'!$F$25:$F$122,$F164,'Калькуляция (МСА)'!$G$25:$G$122,$G164),_xlfn.SUMIFS(INDEX('Калькуляция (МИ)'!$AJ$25:$BC$747,,MATCH(AH$8,'Калькуляция (МИ)'!$AJ$8:$BC$8,0)),'Калькуляция (МИ)'!$F$25:$F$747,$F164,'Калькуляция (МИ)'!$G$25:$G$747,$G164))))</f>
        <v>142.130000035038</v>
      </c>
      <c r="AI164" s="296">
        <f>IF(AG164=0,0,(AH164-AG164)/AG164*100)</f>
        <v>2.46520784976485e-8</v>
      </c>
      <c r="AJ164" s="899">
        <f>IF(AND(method_reg="Метод индексации",god&lt;&gt;first_year),_xlfn.SUMIFS(INDEX('Калькуляция (МИ корр)'!$AJ$25:$BC$747,,MATCH(AJ$8,'Калькуляция (МИ корр)'!$AJ$8:$BC$8,0)),'Калькуляция (МИ корр)'!$F$25:$F$747,$F164,'Калькуляция (МИ корр)'!$G$25:$G$747,$G164),IF(method_reg="Метод экономически обоснованных расходов",_xlfn.SUMIFS('Калькуляция (МЭОР)'!$AJ$25:$AJ$452,'Калькуляция (МЭОР)'!$F$25:$F$452,$F164,'Калькуляция (МЭОР)'!$G$25:$G$452,$G164),IF(method_reg="Метод сравнения аналогов",_xlfn.SUMIFS('Калькуляция (МСА)'!$AE$25:$AE$122,'Калькуляция (МСА)'!$F$25:$F$122,$F164,'Калькуляция (МСА)'!$G$25:$G$122,$G164),_xlfn.SUMIFS(INDEX('Калькуляция (МИ)'!$AJ$25:$BC$747,,MATCH(AJ$8,'Калькуляция (МИ)'!$AJ$8:$BC$8,0)),'Калькуляция (МИ)'!$F$25:$F$747,$F164,'Калькуляция (МИ)'!$G$25:$G$747,$G164))))</f>
        <v>151.2312</v>
      </c>
      <c r="AK164" s="899">
        <f>IF(AND(method_reg="Метод индексации",god&lt;&gt;first_year),_xlfn.SUMIFS(INDEX('Калькуляция (МИ корр)'!$AJ$25:$BC$747,,MATCH(AK$8,'Калькуляция (МИ корр)'!$AJ$8:$BC$8,0)),'Калькуляция (МИ корр)'!$F$25:$F$747,$F164,'Калькуляция (МИ корр)'!$G$25:$G$747,$G164),IF(method_reg="Метод экономически обоснованных расходов",_xlfn.SUMIFS('Калькуляция (МЭОР)'!$AK$25:$AK$452,'Калькуляция (МЭОР)'!$F$25:$F$452,$F164,'Калькуляция (МЭОР)'!$G$25:$G$452,$G164),IF(method_reg="Метод сравнения аналогов",_xlfn.SUMIFS('Калькуляция (МСА)'!$AF$25:$AF$122,'Калькуляция (МСА)'!$F$25:$F$122,$F164,'Калькуляция (МСА)'!$G$25:$G$122,$G164),_xlfn.SUMIFS(INDEX('Калькуляция (МИ)'!$AJ$25:$BC$747,,MATCH(AK$8,'Калькуляция (МИ)'!$AJ$8:$BC$8,0)),'Калькуляция (МИ)'!$F$25:$F$747,$F164,'Калькуляция (МИ)'!$G$25:$G$747,$G164))))</f>
        <v>151.231200281297</v>
      </c>
      <c r="AL164" s="296">
        <f>IF(AJ164=0,0,(AK164-AJ164)/AJ164*100)</f>
        <v>1.8600460158601e-7</v>
      </c>
      <c r="AM164" s="899">
        <f>IF(AND(method_reg="Метод индексации",god&lt;&gt;first_year),_xlfn.SUMIFS(INDEX('Калькуляция (МИ корр)'!$AJ$25:$BC$747,,MATCH(AM$8,'Калькуляция (МИ корр)'!$AJ$8:$BC$8,0)),'Калькуляция (МИ корр)'!$F$25:$F$747,$F164,'Калькуляция (МИ корр)'!$G$25:$G$747,$G164),IF(method_reg="Метод экономически обоснованных расходов",_xlfn.SUMIFS('Калькуляция (МЭОР)'!$AJ$25:$AJ$452,'Калькуляция (МЭОР)'!$F$25:$F$452,$F164,'Калькуляция (МЭОР)'!$G$25:$G$452,$G164),IF(method_reg="Метод сравнения аналогов",_xlfn.SUMIFS('Калькуляция (МСА)'!$AE$25:$AE$122,'Калькуляция (МСА)'!$F$25:$F$122,$F164,'Калькуляция (МСА)'!$G$25:$G$122,$G164),_xlfn.SUMIFS(INDEX('Калькуляция (МИ)'!$AJ$25:$BC$747,,MATCH(AM$8,'Калькуляция (МИ)'!$AJ$8:$BC$8,0)),'Калькуляция (МИ)'!$F$25:$F$747,$F164,'Калькуляция (МИ)'!$G$25:$G$747,$G164))))</f>
        <v>163.2116</v>
      </c>
      <c r="AN164" s="899">
        <f>IF(AND(method_reg="Метод индексации",god&lt;&gt;first_year),_xlfn.SUMIFS(INDEX('Калькуляция (МИ корр)'!$AJ$25:$BC$747,,MATCH(AN$8,'Калькуляция (МИ корр)'!$AJ$8:$BC$8,0)),'Калькуляция (МИ корр)'!$F$25:$F$747,$F164,'Калькуляция (МИ корр)'!$G$25:$G$747,$G164),IF(method_reg="Метод экономически обоснованных расходов",_xlfn.SUMIFS('Калькуляция (МЭОР)'!$AK$25:$AK$452,'Калькуляция (МЭОР)'!$F$25:$F$452,$F164,'Калькуляция (МЭОР)'!$G$25:$G$452,$G164),IF(method_reg="Метод сравнения аналогов",_xlfn.SUMIFS('Калькуляция (МСА)'!$AF$25:$AF$122,'Калькуляция (МСА)'!$F$25:$F$122,$F164,'Калькуляция (МСА)'!$G$25:$G$122,$G164),_xlfn.SUMIFS(INDEX('Калькуляция (МИ)'!$AJ$25:$BC$747,,MATCH(AN$8,'Калькуляция (МИ)'!$AJ$8:$BC$8,0)),'Калькуляция (МИ)'!$F$25:$F$747,$F164,'Калькуляция (МИ)'!$G$25:$G$747,$G164))))</f>
        <v>163.211600126831</v>
      </c>
      <c r="AO164" s="296">
        <f>IF(AM164=0,0,(AN164-AM164)/AM164*100)</f>
        <v>7.77095483778025e-8</v>
      </c>
      <c r="AP164" s="899">
        <f>IF(AND(method_reg="Метод индексации",god&lt;&gt;first_year),_xlfn.SUMIFS(INDEX('Калькуляция (МИ корр)'!$AJ$25:$BC$747,,MATCH(AP$8,'Калькуляция (МИ корр)'!$AJ$8:$BC$8,0)),'Калькуляция (МИ корр)'!$F$25:$F$747,$F164,'Калькуляция (МИ корр)'!$G$25:$G$747,$G164),IF(method_reg="Метод экономически обоснованных расходов",_xlfn.SUMIFS('Калькуляция (МЭОР)'!$AJ$25:$AJ$452,'Калькуляция (МЭОР)'!$F$25:$F$452,$F164,'Калькуляция (МЭОР)'!$G$25:$G$452,$G164),IF(method_reg="Метод сравнения аналогов",_xlfn.SUMIFS('Калькуляция (МСА)'!$AE$25:$AE$122,'Калькуляция (МСА)'!$F$25:$F$122,$F164,'Калькуляция (МСА)'!$G$25:$G$122,$G164),_xlfn.SUMIFS(INDEX('Калькуляция (МИ)'!$AJ$25:$BC$747,,MATCH(AP$8,'Калькуляция (МИ)'!$AJ$8:$BC$8,0)),'Калькуляция (МИ)'!$F$25:$F$747,$F164,'Калькуляция (МИ)'!$G$25:$G$747,$G164))))</f>
        <v>168.9578</v>
      </c>
      <c r="AQ164" s="899">
        <f>IF(AND(method_reg="Метод индексации",god&lt;&gt;first_year),_xlfn.SUMIFS(INDEX('Калькуляция (МИ корр)'!$AJ$25:$BC$747,,MATCH(AQ$8,'Калькуляция (МИ корр)'!$AJ$8:$BC$8,0)),'Калькуляция (МИ корр)'!$F$25:$F$747,$F164,'Калькуляция (МИ корр)'!$G$25:$G$747,$G164),IF(method_reg="Метод экономически обоснованных расходов",_xlfn.SUMIFS('Калькуляция (МЭОР)'!$AK$25:$AK$452,'Калькуляция (МЭОР)'!$F$25:$F$452,$F164,'Калькуляция (МЭОР)'!$G$25:$G$452,$G164),IF(method_reg="Метод сравнения аналогов",_xlfn.SUMIFS('Калькуляция (МСА)'!$AF$25:$AF$122,'Калькуляция (МСА)'!$F$25:$F$122,$F164,'Калькуляция (МСА)'!$G$25:$G$122,$G164),_xlfn.SUMIFS(INDEX('Калькуляция (МИ)'!$AJ$25:$BC$747,,MATCH(AQ$8,'Калькуляция (МИ)'!$AJ$8:$BC$8,0)),'Калькуляция (МИ)'!$F$25:$F$747,$F164,'Калькуляция (МИ)'!$G$25:$G$747,$G164))))</f>
        <v>168.957800231096</v>
      </c>
      <c r="AR164" s="296">
        <f>IF(AP164=0,0,(AQ164-AP164)/AP164*100)</f>
        <v>1.36777354986815e-7</v>
      </c>
      <c r="AS164" s="5239">
        <f>IF(AND(method_reg="Метод индексации",god&lt;&gt;first_year),_xlfn.SUMIFS(INDEX('Калькуляция (МИ корр)'!$AJ$25:$BC$747,,MATCH(AS$8,'Калькуляция (МИ корр)'!$AJ$8:$BC$8,0)),'Калькуляция (МИ корр)'!$F$25:$F$747,$F164,'Калькуляция (МИ корр)'!$G$25:$G$747,$G164),IF(method_reg="Метод экономически обоснованных расходов",_xlfn.SUMIFS('Калькуляция (МЭОР)'!$AJ$25:$AJ$452,'Калькуляция (МЭОР)'!$F$25:$F$452,$F164,'Калькуляция (МЭОР)'!$G$25:$G$452,$G164),IF(method_reg="Метод сравнения аналогов",_xlfn.SUMIFS('Калькуляция (МСА)'!$AE$25:$AE$122,'Калькуляция (МСА)'!$F$25:$F$122,$F164,'Калькуляция (МСА)'!$G$25:$G$122,$G164),_xlfn.SUMIFS(INDEX('Калькуляция (МИ)'!$AJ$25:$BC$747,,MATCH(AS$8,'Калькуляция (МИ)'!$AJ$8:$BC$8,0)),'Калькуляция (МИ)'!$F$25:$F$747,$F164,'Калькуляция (МИ)'!$G$25:$G$747,$G164))))</f>
        <v>0</v>
      </c>
      <c r="AT164" s="5239">
        <f>IF(AND(method_reg="Метод индексации",god&lt;&gt;first_year),_xlfn.SUMIFS(INDEX('Калькуляция (МИ корр)'!$AJ$25:$BC$747,,MATCH(AT$8,'Калькуляция (МИ корр)'!$AJ$8:$BC$8,0)),'Калькуляция (МИ корр)'!$F$25:$F$747,$F164,'Калькуляция (МИ корр)'!$G$25:$G$747,$G164),IF(method_reg="Метод экономически обоснованных расходов",_xlfn.SUMIFS('Калькуляция (МЭОР)'!$AK$25:$AK$452,'Калькуляция (МЭОР)'!$F$25:$F$452,$F164,'Калькуляция (МЭОР)'!$G$25:$G$452,$G164),IF(method_reg="Метод сравнения аналогов",_xlfn.SUMIFS('Калькуляция (МСА)'!$AF$25:$AF$122,'Калькуляция (МСА)'!$F$25:$F$122,$F164,'Калькуляция (МСА)'!$G$25:$G$122,$G164),_xlfn.SUMIFS(INDEX('Калькуляция (МИ)'!$AJ$25:$BC$747,,MATCH(AT$8,'Калькуляция (МИ)'!$AJ$8:$BC$8,0)),'Калькуляция (МИ)'!$F$25:$F$747,$F164,'Калькуляция (МИ)'!$G$25:$G$747,$G164))))</f>
        <v>0</v>
      </c>
      <c r="AU164" s="296">
        <f>IF(AS164=0,0,(AT164-AS164)/AS164*100)</f>
        <v>0</v>
      </c>
      <c r="AV164" s="5239">
        <f>IF(AND(method_reg="Метод индексации",god&lt;&gt;first_year),_xlfn.SUMIFS(INDEX('Калькуляция (МИ корр)'!$AJ$25:$BC$747,,MATCH(AV$8,'Калькуляция (МИ корр)'!$AJ$8:$BC$8,0)),'Калькуляция (МИ корр)'!$F$25:$F$747,$F164,'Калькуляция (МИ корр)'!$G$25:$G$747,$G164),IF(method_reg="Метод экономически обоснованных расходов",_xlfn.SUMIFS('Калькуляция (МЭОР)'!$AJ$25:$AJ$452,'Калькуляция (МЭОР)'!$F$25:$F$452,$F164,'Калькуляция (МЭОР)'!$G$25:$G$452,$G164),IF(method_reg="Метод сравнения аналогов",_xlfn.SUMIFS('Калькуляция (МСА)'!$AE$25:$AE$122,'Калькуляция (МСА)'!$F$25:$F$122,$F164,'Калькуляция (МСА)'!$G$25:$G$122,$G164),_xlfn.SUMIFS(INDEX('Калькуляция (МИ)'!$AJ$25:$BC$747,,MATCH(AV$8,'Калькуляция (МИ)'!$AJ$8:$BC$8,0)),'Калькуляция (МИ)'!$F$25:$F$747,$F164,'Калькуляция (МИ)'!$G$25:$G$747,$G164))))</f>
        <v>0</v>
      </c>
      <c r="AW164" s="5239">
        <f>IF(AND(method_reg="Метод индексации",god&lt;&gt;first_year),_xlfn.SUMIFS(INDEX('Калькуляция (МИ корр)'!$AJ$25:$BC$747,,MATCH(AW$8,'Калькуляция (МИ корр)'!$AJ$8:$BC$8,0)),'Калькуляция (МИ корр)'!$F$25:$F$747,$F164,'Калькуляция (МИ корр)'!$G$25:$G$747,$G164),IF(method_reg="Метод экономически обоснованных расходов",_xlfn.SUMIFS('Калькуляция (МЭОР)'!$AK$25:$AK$452,'Калькуляция (МЭОР)'!$F$25:$F$452,$F164,'Калькуляция (МЭОР)'!$G$25:$G$452,$G164),IF(method_reg="Метод сравнения аналогов",_xlfn.SUMIFS('Калькуляция (МСА)'!$AF$25:$AF$122,'Калькуляция (МСА)'!$F$25:$F$122,$F164,'Калькуляция (МСА)'!$G$25:$G$122,$G164),_xlfn.SUMIFS(INDEX('Калькуляция (МИ)'!$AJ$25:$BC$747,,MATCH(AW$8,'Калькуляция (МИ)'!$AJ$8:$BC$8,0)),'Калькуляция (МИ)'!$F$25:$F$747,$F164,'Калькуляция (МИ)'!$G$25:$G$747,$G164))))</f>
        <v>0</v>
      </c>
      <c r="AX164" s="296">
        <f>IF(AV164=0,0,(AW164-AV164)/AV164*100)</f>
        <v>0</v>
      </c>
      <c r="AY164" s="5239">
        <f>IF(AND(method_reg="Метод индексации",god&lt;&gt;first_year),_xlfn.SUMIFS(INDEX('Калькуляция (МИ корр)'!$AJ$25:$BC$747,,MATCH(AY$8,'Калькуляция (МИ корр)'!$AJ$8:$BC$8,0)),'Калькуляция (МИ корр)'!$F$25:$F$747,$F164,'Калькуляция (МИ корр)'!$G$25:$G$747,$G164),IF(method_reg="Метод экономически обоснованных расходов",_xlfn.SUMIFS('Калькуляция (МЭОР)'!$AJ$25:$AJ$452,'Калькуляция (МЭОР)'!$F$25:$F$452,$F164,'Калькуляция (МЭОР)'!$G$25:$G$452,$G164),IF(method_reg="Метод сравнения аналогов",_xlfn.SUMIFS('Калькуляция (МСА)'!$AE$25:$AE$122,'Калькуляция (МСА)'!$F$25:$F$122,$F164,'Калькуляция (МСА)'!$G$25:$G$122,$G164),_xlfn.SUMIFS(INDEX('Калькуляция (МИ)'!$AJ$25:$BC$747,,MATCH(AY$8,'Калькуляция (МИ)'!$AJ$8:$BC$8,0)),'Калькуляция (МИ)'!$F$25:$F$747,$F164,'Калькуляция (МИ)'!$G$25:$G$747,$G164))))</f>
        <v>0</v>
      </c>
      <c r="AZ164" s="5239">
        <f>IF(AND(method_reg="Метод индексации",god&lt;&gt;first_year),_xlfn.SUMIFS(INDEX('Калькуляция (МИ корр)'!$AJ$25:$BC$747,,MATCH(AZ$8,'Калькуляция (МИ корр)'!$AJ$8:$BC$8,0)),'Калькуляция (МИ корр)'!$F$25:$F$747,$F164,'Калькуляция (МИ корр)'!$G$25:$G$747,$G164),IF(method_reg="Метод экономически обоснованных расходов",_xlfn.SUMIFS('Калькуляция (МЭОР)'!$AK$25:$AK$452,'Калькуляция (МЭОР)'!$F$25:$F$452,$F164,'Калькуляция (МЭОР)'!$G$25:$G$452,$G164),IF(method_reg="Метод сравнения аналогов",_xlfn.SUMIFS('Калькуляция (МСА)'!$AF$25:$AF$122,'Калькуляция (МСА)'!$F$25:$F$122,$F164,'Калькуляция (МСА)'!$G$25:$G$122,$G164),_xlfn.SUMIFS(INDEX('Калькуляция (МИ)'!$AJ$25:$BC$747,,MATCH(AZ$8,'Калькуляция (МИ)'!$AJ$8:$BC$8,0)),'Калькуляция (МИ)'!$F$25:$F$747,$F164,'Калькуляция (МИ)'!$G$25:$G$747,$G164))))</f>
        <v>0</v>
      </c>
      <c r="BA164" s="296">
        <f>IF(AY164=0,0,(AZ164-AY164)/AY164*100)</f>
        <v>0</v>
      </c>
      <c r="BB164" s="5239">
        <f>IF(AND(method_reg="Метод индексации",god&lt;&gt;first_year),_xlfn.SUMIFS(INDEX('Калькуляция (МИ корр)'!$AJ$25:$BC$747,,MATCH(BB$8,'Калькуляция (МИ корр)'!$AJ$8:$BC$8,0)),'Калькуляция (МИ корр)'!$F$25:$F$747,$F164,'Калькуляция (МИ корр)'!$G$25:$G$747,$G164),IF(method_reg="Метод экономически обоснованных расходов",_xlfn.SUMIFS('Калькуляция (МЭОР)'!$AJ$25:$AJ$452,'Калькуляция (МЭОР)'!$F$25:$F$452,$F164,'Калькуляция (МЭОР)'!$G$25:$G$452,$G164),IF(method_reg="Метод сравнения аналогов",_xlfn.SUMIFS('Калькуляция (МСА)'!$AE$25:$AE$122,'Калькуляция (МСА)'!$F$25:$F$122,$F164,'Калькуляция (МСА)'!$G$25:$G$122,$G164),_xlfn.SUMIFS(INDEX('Калькуляция (МИ)'!$AJ$25:$BC$747,,MATCH(BB$8,'Калькуляция (МИ)'!$AJ$8:$BC$8,0)),'Калькуляция (МИ)'!$F$25:$F$747,$F164,'Калькуляция (МИ)'!$G$25:$G$747,$G164))))</f>
        <v>0</v>
      </c>
      <c r="BC164" s="5239">
        <f>IF(AND(method_reg="Метод индексации",god&lt;&gt;first_year),_xlfn.SUMIFS(INDEX('Калькуляция (МИ корр)'!$AJ$25:$BC$747,,MATCH(BC$8,'Калькуляция (МИ корр)'!$AJ$8:$BC$8,0)),'Калькуляция (МИ корр)'!$F$25:$F$747,$F164,'Калькуляция (МИ корр)'!$G$25:$G$747,$G164),IF(method_reg="Метод экономически обоснованных расходов",_xlfn.SUMIFS('Калькуляция (МЭОР)'!$AK$25:$AK$452,'Калькуляция (МЭОР)'!$F$25:$F$452,$F164,'Калькуляция (МЭОР)'!$G$25:$G$452,$G164),IF(method_reg="Метод сравнения аналогов",_xlfn.SUMIFS('Калькуляция (МСА)'!$AF$25:$AF$122,'Калькуляция (МСА)'!$F$25:$F$122,$F164,'Калькуляция (МСА)'!$G$25:$G$122,$G164),_xlfn.SUMIFS(INDEX('Калькуляция (МИ)'!$AJ$25:$BC$747,,MATCH(BC$8,'Калькуляция (МИ)'!$AJ$8:$BC$8,0)),'Калькуляция (МИ)'!$F$25:$F$747,$F164,'Калькуляция (МИ)'!$G$25:$G$747,$G164))))</f>
        <v>0</v>
      </c>
      <c r="BD164" s="296">
        <f>IF(BB164=0,0,(BC164-BB164)/BB164*100)</f>
        <v>0</v>
      </c>
      <c r="BE164" s="5239">
        <f>IF(AND(method_reg="Метод индексации",god&lt;&gt;first_year),_xlfn.SUMIFS(INDEX('Калькуляция (МИ корр)'!$AJ$25:$BC$747,,MATCH(BE$8,'Калькуляция (МИ корр)'!$AJ$8:$BC$8,0)),'Калькуляция (МИ корр)'!$F$25:$F$747,$F164,'Калькуляция (МИ корр)'!$G$25:$G$747,$G164),IF(method_reg="Метод экономически обоснованных расходов",_xlfn.SUMIFS('Калькуляция (МЭОР)'!$AJ$25:$AJ$452,'Калькуляция (МЭОР)'!$F$25:$F$452,$F164,'Калькуляция (МЭОР)'!$G$25:$G$452,$G164),IF(method_reg="Метод сравнения аналогов",_xlfn.SUMIFS('Калькуляция (МСА)'!$AE$25:$AE$122,'Калькуляция (МСА)'!$F$25:$F$122,$F164,'Калькуляция (МСА)'!$G$25:$G$122,$G164),_xlfn.SUMIFS(INDEX('Калькуляция (МИ)'!$AJ$25:$BC$747,,MATCH(BE$8,'Калькуляция (МИ)'!$AJ$8:$BC$8,0)),'Калькуляция (МИ)'!$F$25:$F$747,$F164,'Калькуляция (МИ)'!$G$25:$G$747,$G164))))</f>
        <v>0</v>
      </c>
      <c r="BF164" s="5239">
        <f>IF(AND(method_reg="Метод индексации",god&lt;&gt;first_year),_xlfn.SUMIFS(INDEX('Калькуляция (МИ корр)'!$AJ$25:$BC$747,,MATCH(BF$8,'Калькуляция (МИ корр)'!$AJ$8:$BC$8,0)),'Калькуляция (МИ корр)'!$F$25:$F$747,$F164,'Калькуляция (МИ корр)'!$G$25:$G$747,$G164),IF(method_reg="Метод экономически обоснованных расходов",_xlfn.SUMIFS('Калькуляция (МЭОР)'!$AK$25:$AK$452,'Калькуляция (МЭОР)'!$F$25:$F$452,$F164,'Калькуляция (МЭОР)'!$G$25:$G$452,$G164),IF(method_reg="Метод сравнения аналогов",_xlfn.SUMIFS('Калькуляция (МСА)'!$AF$25:$AF$122,'Калькуляция (МСА)'!$F$25:$F$122,$F164,'Калькуляция (МСА)'!$G$25:$G$122,$G164),_xlfn.SUMIFS(INDEX('Калькуляция (МИ)'!$AJ$25:$BC$747,,MATCH(BF$8,'Калькуляция (МИ)'!$AJ$8:$BC$8,0)),'Калькуляция (МИ)'!$F$25:$F$747,$F164,'Калькуляция (МИ)'!$G$25:$G$747,$G164))))</f>
        <v>0</v>
      </c>
      <c r="BG164" s="296">
        <f>IF(BE164=0,0,(BF164-BE164)/BE164*100)</f>
        <v>0</v>
      </c>
      <c r="BH164" s="5239"/>
      <c r="BI164" s="5239"/>
      <c r="BJ164" s="296">
        <f>IF(BH164=0,0,(BI164-BH164)/BH164*100)</f>
        <v>0</v>
      </c>
      <c r="BK164" s="5239"/>
      <c r="BL164" s="5239"/>
      <c r="BM164" s="296">
        <f>IF(BK164=0,0,(BL164-BK164)/BK164*100)</f>
        <v>0</v>
      </c>
      <c r="BN164" s="5239"/>
      <c r="BO164" s="5239"/>
      <c r="BP164" s="296">
        <f>IF(BN164=0,0,(BO164-BN164)/BN164*100)</f>
        <v>0</v>
      </c>
      <c r="BQ164" s="5239"/>
      <c r="BR164" s="5239"/>
      <c r="BS164" s="296">
        <f>IF(BQ164=0,0,(BR164-BQ164)/BQ164*100)</f>
        <v>0</v>
      </c>
      <c r="BT164" s="5239"/>
      <c r="BU164" s="5239"/>
      <c r="BV164" s="296">
        <f>IF(BT164=0,0,(BU164-BT164)/BT164*100)</f>
        <v>0</v>
      </c>
      <c r="BW164" s="5239"/>
      <c r="BX164" s="5239"/>
      <c r="BY164" s="296">
        <f>IF(BW164=0,0,(BX164-BW164)/BW164*100)</f>
        <v>0</v>
      </c>
      <c r="BZ164" s="5239"/>
      <c r="CA164" s="5239"/>
      <c r="CB164" s="296">
        <f>IF(BZ164=0,0,(CA164-BZ164)/BZ164*100)</f>
        <v>0</v>
      </c>
      <c r="CC164" s="5239"/>
      <c r="CD164" s="5239"/>
      <c r="CE164" s="296">
        <f>IF(CC164=0,0,(CD164-CC164)/CC164*100)</f>
        <v>0</v>
      </c>
      <c r="CF164" s="5239"/>
      <c r="CG164" s="5239"/>
      <c r="CH164" s="296">
        <f>IF(CF164=0,0,(CG164-CF164)/CF164*100)</f>
        <v>0</v>
      </c>
      <c r="CI164" s="5239"/>
      <c r="CJ164" s="5239"/>
      <c r="CK164" s="296">
        <f>IF(CI164=0,0,(CJ164-CI164)/CI164*100)</f>
        <v>0</v>
      </c>
      <c r="CL164" s="5239"/>
      <c r="CM164" s="5239"/>
      <c r="CN164" s="296">
        <f>IF(CL164=0,0,(CM164-CL164)/CL164*100)</f>
        <v>0</v>
      </c>
      <c r="CO164" s="5239"/>
      <c r="CP164" s="5239"/>
      <c r="CQ164" s="296">
        <f>IF(CO164=0,0,(CP164-CO164)/CO164*100)</f>
        <v>0</v>
      </c>
      <c r="CR164" s="5239"/>
      <c r="CS164" s="5239"/>
      <c r="CT164" s="296">
        <f>IF(CR164=0,0,(CS164-CR164)/CR164*100)</f>
        <v>0</v>
      </c>
      <c r="CU164" s="5239"/>
      <c r="CV164" s="5239"/>
      <c r="CW164" s="296">
        <f>IF(CU164=0,0,(CV164-CU164)/CU164*100)</f>
        <v>0</v>
      </c>
      <c r="CX164" s="5239"/>
      <c r="CY164" s="5239"/>
      <c r="CZ164" s="296">
        <f>IF(CX164=0,0,(CY164-CX164)/CX164*100)</f>
        <v>0</v>
      </c>
      <c r="DA164" s="5239"/>
      <c r="DB164" s="5239"/>
      <c r="DC164" s="296">
        <f>IF(DA164=0,0,(DB164-DA164)/DA164*100)</f>
        <v>0</v>
      </c>
      <c r="DD164" s="5239"/>
      <c r="DE164" s="5239"/>
      <c r="DF164" s="296">
        <f>IF(DD164=0,0,(DE164-DD164)/DD164*100)</f>
        <v>0</v>
      </c>
      <c r="DG164" s="5239"/>
      <c r="DH164" s="5239"/>
      <c r="DI164" s="296">
        <f>IF(DG164=0,0,(DH164-DG164)/DG164*100)</f>
        <v>0</v>
      </c>
      <c r="DJ164" s="5239"/>
      <c r="DK164" s="5239"/>
      <c r="DL164" s="296">
        <f>IF(DJ164=0,0,(DK164-DJ164)/DJ164*100)</f>
        <v>0</v>
      </c>
      <c r="DM164" s="5239"/>
      <c r="DN164" s="5239"/>
      <c r="DO164" s="296">
        <f>IF(DM164=0,0,(DN164-DM164)/DM164*100)</f>
        <v>0</v>
      </c>
      <c r="DP164" s="5239"/>
      <c r="DQ164" s="5239"/>
      <c r="DR164" s="296">
        <f>IF(DP164=0,0,(DQ164-DP164)/DP164*100)</f>
        <v>0</v>
      </c>
      <c r="DS164" s="5239"/>
      <c r="DT164" s="5239"/>
      <c r="DU164" s="296">
        <f>IF(DS164=0,0,(DT164-DS164)/DS164*100)</f>
        <v>0</v>
      </c>
      <c r="DV164" s="5239"/>
      <c r="DW164" s="5239"/>
      <c r="DX164" s="296">
        <f>IF(DV164=0,0,(DW164-DV164)/DV164*100)</f>
        <v>0</v>
      </c>
      <c r="DY164" s="5239"/>
      <c r="DZ164" s="5239"/>
      <c r="EA164" s="296">
        <f>IF(DY164=0,0,(DZ164-DY164)/DY164*100)</f>
        <v>0</v>
      </c>
      <c r="EB164" s="5239"/>
      <c r="EC164" s="5239"/>
      <c r="ED164" s="296">
        <f>IF(EB164=0,0,(EC164-EB164)/EB164*100)</f>
        <v>0</v>
      </c>
      <c r="EE164" s="5239"/>
      <c r="EF164" s="5239"/>
      <c r="EG164" s="296">
        <f>IF(EE164=0,0,(EF164-EE164)/EE164*100)</f>
        <v>0</v>
      </c>
      <c r="EH164" s="5239"/>
      <c r="EI164" s="5239"/>
      <c r="EJ164" s="296">
        <f>IF(EH164=0,0,(EI164-EH164)/EH164*100)</f>
        <v>0</v>
      </c>
      <c r="EK164" s="5239"/>
      <c r="EL164" s="5239"/>
      <c r="EM164" s="296">
        <f>IF(EK164=0,0,(EL164-EK164)/EK164*100)</f>
        <v>0</v>
      </c>
      <c r="EN164" s="5239"/>
      <c r="EO164" s="5239"/>
      <c r="EP164" s="296">
        <f>IF(EN164=0,0,(EO164-EN164)/EN164*100)</f>
        <v>0</v>
      </c>
      <c r="EQ164" s="5239"/>
      <c r="ER164" s="5239"/>
      <c r="ES164" s="296">
        <f>IF(EQ164=0,0,(ER164-EQ164)/EQ164*100)</f>
        <v>0</v>
      </c>
      <c r="ET164" s="5239"/>
      <c r="EU164" s="5239"/>
      <c r="EV164" s="296">
        <f>IF(ET164=0,0,(EU164-ET164)/ET164*100)</f>
        <v>0</v>
      </c>
      <c r="EW164" s="5239"/>
      <c r="EX164" s="5239"/>
      <c r="EY164" s="296">
        <f>IF(EW164=0,0,(EX164-EW164)/EW164*100)</f>
        <v>0</v>
      </c>
      <c r="EZ164" s="5239"/>
      <c r="FA164" s="5239"/>
      <c r="FB164" s="296">
        <f>IF(EZ164=0,0,(FA164-EZ164)/EZ164*100)</f>
        <v>0</v>
      </c>
      <c r="FC164" s="5239"/>
      <c r="FD164" s="5239"/>
      <c r="FE164" s="296">
        <f>IF(FC164=0,0,(FD164-FC164)/FC164*100)</f>
        <v>0</v>
      </c>
      <c r="FF164" s="5239"/>
      <c r="FG164" s="5239"/>
      <c r="FH164" s="296">
        <f>IF(FF164=0,0,(FG164-FF164)/FF164*100)</f>
        <v>0</v>
      </c>
      <c r="FI164" s="5239"/>
      <c r="FJ164" s="5239"/>
      <c r="FK164" s="296">
        <f>IF(FI164=0,0,(FJ164-FI164)/FI164*100)</f>
        <v>0</v>
      </c>
      <c r="FL164" s="5239"/>
      <c r="FM164" s="5239"/>
      <c r="FN164" s="296">
        <f>IF(FL164=0,0,(FM164-FL164)/FL164*100)</f>
        <v>0</v>
      </c>
      <c r="FO164" s="5239"/>
      <c r="FP164" s="5239"/>
      <c r="FQ164" s="296">
        <f>IF(FO164=0,0,(FP164-FO164)/FO164*100)</f>
        <v>0</v>
      </c>
      <c r="FR164" s="5239"/>
      <c r="FS164" s="5239"/>
      <c r="FT164" s="296">
        <f>IF(FR164=0,0,(FS164-FR164)/FR164*100)</f>
        <v>0</v>
      </c>
      <c r="FU164" s="5239"/>
      <c r="FV164" s="5239"/>
      <c r="FW164" s="296">
        <f>IF(FU164=0,0,(FV164-FU164)/FU164*100)</f>
        <v>0</v>
      </c>
      <c r="FX164" s="292"/>
      <c r="FY164" s="292"/>
      <c r="FZ164" s="1055" t="s">
        <v>2352</v>
      </c>
      <c r="GA164" s="1055"/>
      <c r="GB164" s="1055"/>
      <c r="GC164" s="1056"/>
      <c r="GD164" s="1056"/>
    </row>
    <row s="5746" customFormat="1" customHeight="1" ht="23.25">
      <c r="A165" s="897"/>
      <c r="B165" s="925" cm="1" t="str">
        <f t="array" ref="B165:B165">B164</f>
        <v>true</v>
      </c>
      <c r="C165" s="897"/>
      <c r="D165" s="897"/>
      <c r="E165" s="898">
        <v>24.5</v>
      </c>
      <c r="F165" s="50" cm="1" t="str">
        <f t="array" ref="F165:F165">OFFSET(E165,-1,1)</f>
        <v>2</v>
      </c>
      <c r="G165" s="107" t="s">
        <v>2353</v>
      </c>
      <c r="H165" s="493" t="s">
        <v>1175</v>
      </c>
      <c r="I165" s="493" t="s">
        <v>2354</v>
      </c>
      <c r="J165" s="897"/>
      <c r="K165" s="897"/>
      <c r="L165" s="493"/>
      <c r="M165" s="897"/>
      <c r="N165" s="897"/>
      <c r="O165" s="897"/>
      <c r="P165" s="897"/>
      <c r="Q165" s="897"/>
      <c r="R165" s="493"/>
      <c r="S165" s="493"/>
      <c r="T165" s="465" cm="1" t="str">
        <f t="array" ref="T165:T165">T164</f>
        <v>true</v>
      </c>
      <c r="U165" s="897"/>
      <c r="V165" s="897"/>
      <c r="W165" s="897"/>
      <c r="X165" s="1596"/>
      <c r="Y165" s="897"/>
      <c r="Z165" s="1545"/>
      <c r="AA165" s="897"/>
      <c r="AB165" s="1090" t="s">
        <v>2355</v>
      </c>
      <c r="AC165" s="294" t="s">
        <v>2337</v>
      </c>
      <c r="AD165" s="899">
        <f>IF(AND(method_reg="Метод индексации",god&lt;&gt;first_year),_xlfn.SUMIFS(INDEX('Калькуляция (МИ корр)'!$AJ$25:$BC$747,,MATCH(AD$8,'Калькуляция (МИ корр)'!$AJ$8:$BC$8,0)),'Калькуляция (МИ корр)'!$F$25:$F$747,$F165,'Калькуляция (МИ корр)'!$G$25:$G$747,$G165),IF(method_reg="Метод экономически обоснованных расходов",_xlfn.SUMIFS('Калькуляция (МЭОР)'!$AJ$25:$AJ$452,'Калькуляция (МЭОР)'!$F$25:$F$452,$F165,'Калькуляция (МЭОР)'!$G$25:$G$452,$G165),IF(method_reg="Метод сравнения аналогов",_xlfn.SUMIFS('Калькуляция (МСА)'!$AE$25:$AE$122,'Калькуляция (МСА)'!$F$25:$F$122,$F165,'Калькуляция (МСА)'!$G$25:$G$122,$G165),_xlfn.SUMIFS(INDEX('Калькуляция (МИ)'!$AJ$25:$BC$747,,MATCH(AD$8,'Калькуляция (МИ)'!$AJ$8:$BC$8,0)),'Калькуляция (МИ)'!$F$25:$F$747,$F165,'Калькуляция (МИ)'!$G$25:$G$747,$G165))))</f>
        <v>142.130005642418</v>
      </c>
      <c r="AE165" s="899">
        <f>IF(AND(method_reg="Метод индексации",god&lt;&gt;first_year),_xlfn.SUMIFS(INDEX('Калькуляция (МИ корр)'!$AJ$25:$BC$747,,MATCH(AE$8,'Калькуляция (МИ корр)'!$AJ$8:$BC$8,0)),'Калькуляция (МИ корр)'!$F$25:$F$747,$F165,'Калькуляция (МИ корр)'!$G$25:$G$747,$G165),IF(method_reg="Метод экономически обоснованных расходов",_xlfn.SUMIFS('Калькуляция (МЭОР)'!$AK$25:$AK$452,'Калькуляция (МЭОР)'!$F$25:$F$452,$F165,'Калькуляция (МЭОР)'!$G$25:$G$452,$G165),IF(method_reg="Метод сравнения аналогов",_xlfn.SUMIFS('Калькуляция (МСА)'!$AF$25:$AF$122,'Калькуляция (МСА)'!$F$25:$F$122,$F165,'Калькуляция (МСА)'!$G$25:$G$122,$G165),_xlfn.SUMIFS(INDEX('Калькуляция (МИ)'!$AJ$25:$BC$747,,MATCH(AE$8,'Калькуляция (МИ)'!$AJ$8:$BC$8,0)),'Калькуляция (МИ)'!$F$25:$F$747,$F165,'Калькуляция (МИ)'!$G$25:$G$747,$G165))))</f>
        <v>142.130000035038</v>
      </c>
      <c r="AF165" s="296">
        <f>IF(AD165=0,0,(AE165-AD165)/AD165*100)</f>
        <v>-0.00000394524716490804</v>
      </c>
      <c r="AG165" s="899">
        <f>IF(AND(method_reg="Метод индексации",god&lt;&gt;first_year),_xlfn.SUMIFS(INDEX('Калькуляция (МИ корр)'!$AJ$25:$BC$747,,MATCH(AG$8,'Калькуляция (МИ корр)'!$AJ$8:$BC$8,0)),'Калькуляция (МИ корр)'!$F$25:$F$747,$F165,'Калькуляция (МИ корр)'!$G$25:$G$747,$G165),IF(method_reg="Метод экономически обоснованных расходов",_xlfn.SUMIFS('Калькуляция (МЭОР)'!$AJ$25:$AJ$452,'Калькуляция (МЭОР)'!$F$25:$F$452,$F165,'Калькуляция (МЭОР)'!$G$25:$G$452,$G165),IF(method_reg="Метод сравнения аналогов",_xlfn.SUMIFS('Калькуляция (МСА)'!$AE$25:$AE$122,'Калькуляция (МСА)'!$F$25:$F$122,$F165,'Калькуляция (МСА)'!$G$25:$G$122,$G165),_xlfn.SUMIFS(INDEX('Калькуляция (МИ)'!$AJ$25:$BC$747,,MATCH(AG$8,'Калькуляция (МИ)'!$AJ$8:$BC$8,0)),'Калькуляция (МИ)'!$F$25:$F$747,$F165,'Калькуляция (МИ)'!$G$25:$G$747,$G165))))</f>
        <v>151.231201653654</v>
      </c>
      <c r="AH165" s="899">
        <f>IF(AND(method_reg="Метод индексации",god&lt;&gt;first_year),_xlfn.SUMIFS(INDEX('Калькуляция (МИ корр)'!$AJ$25:$BC$747,,MATCH(AH$8,'Калькуляция (МИ корр)'!$AJ$8:$BC$8,0)),'Калькуляция (МИ корр)'!$F$25:$F$747,$F165,'Калькуляция (МИ корр)'!$G$25:$G$747,$G165),IF(method_reg="Метод экономически обоснованных расходов",_xlfn.SUMIFS('Калькуляция (МЭОР)'!$AK$25:$AK$452,'Калькуляция (МЭОР)'!$F$25:$F$452,$F165,'Калькуляция (МЭОР)'!$G$25:$G$452,$G165),IF(method_reg="Метод сравнения аналогов",_xlfn.SUMIFS('Калькуляция (МСА)'!$AF$25:$AF$122,'Калькуляция (МСА)'!$F$25:$F$122,$F165,'Калькуляция (МСА)'!$G$25:$G$122,$G165),_xlfn.SUMIFS(INDEX('Калькуляция (МИ)'!$AJ$25:$BC$747,,MATCH(AH$8,'Калькуляция (МИ)'!$AJ$8:$BC$8,0)),'Калькуляция (МИ)'!$F$25:$F$747,$F165,'Калькуляция (МИ)'!$G$25:$G$747,$G165))))</f>
        <v>151.231200281297</v>
      </c>
      <c r="AI165" s="296">
        <f>IF(AG165=0,0,(AH165-AG165)/AG165*100)</f>
        <v>-9.07456268369076e-7</v>
      </c>
      <c r="AJ165" s="899">
        <f>IF(AND(method_reg="Метод индексации",god&lt;&gt;first_year),_xlfn.SUMIFS(INDEX('Калькуляция (МИ корр)'!$AJ$25:$BC$747,,MATCH(AJ$8,'Калькуляция (МИ корр)'!$AJ$8:$BC$8,0)),'Калькуляция (МИ корр)'!$F$25:$F$747,$F165,'Калькуляция (МИ корр)'!$G$25:$G$747,$G165),IF(method_reg="Метод экономически обоснованных расходов",_xlfn.SUMIFS('Калькуляция (МЭОР)'!$AJ$25:$AJ$452,'Калькуляция (МЭОР)'!$F$25:$F$452,$F165,'Калькуляция (МЭОР)'!$G$25:$G$452,$G165),IF(method_reg="Метод сравнения аналогов",_xlfn.SUMIFS('Калькуляция (МСА)'!$AE$25:$AE$122,'Калькуляция (МСА)'!$F$25:$F$122,$F165,'Калькуляция (МСА)'!$G$25:$G$122,$G165),_xlfn.SUMIFS(INDEX('Калькуляция (МИ)'!$AJ$25:$BC$747,,MATCH(AJ$8,'Калькуляция (МИ)'!$AJ$8:$BC$8,0)),'Калькуляция (МИ)'!$F$25:$F$747,$F165,'Калькуляция (МИ)'!$G$25:$G$747,$G165))))</f>
        <v>163.211300491678</v>
      </c>
      <c r="AK165" s="899">
        <f>IF(AND(method_reg="Метод индексации",god&lt;&gt;first_year),_xlfn.SUMIFS(INDEX('Калькуляция (МИ корр)'!$AJ$25:$BC$747,,MATCH(AK$8,'Калькуляция (МИ корр)'!$AJ$8:$BC$8,0)),'Калькуляция (МИ корр)'!$F$25:$F$747,$F165,'Калькуляция (МИ корр)'!$G$25:$G$747,$G165),IF(method_reg="Метод экономически обоснованных расходов",_xlfn.SUMIFS('Калькуляция (МЭОР)'!$AK$25:$AK$452,'Калькуляция (МЭОР)'!$F$25:$F$452,$F165,'Калькуляция (МЭОР)'!$G$25:$G$452,$G165),IF(method_reg="Метод сравнения аналогов",_xlfn.SUMIFS('Калькуляция (МСА)'!$AF$25:$AF$122,'Калькуляция (МСА)'!$F$25:$F$122,$F165,'Калькуляция (МСА)'!$G$25:$G$122,$G165),_xlfn.SUMIFS(INDEX('Калькуляция (МИ)'!$AJ$25:$BC$747,,MATCH(AK$8,'Калькуляция (МИ)'!$AJ$8:$BC$8,0)),'Калькуляция (МИ)'!$F$25:$F$747,$F165,'Калькуляция (МИ)'!$G$25:$G$747,$G165))))</f>
        <v>163.211600126831</v>
      </c>
      <c r="AL165" s="296">
        <f>IF(AJ165=0,0,(AK165-AJ165)/AJ165*100)</f>
        <v>0.000183587259029265</v>
      </c>
      <c r="AM165" s="899">
        <f>IF(AND(method_reg="Метод индексации",god&lt;&gt;first_year),_xlfn.SUMIFS(INDEX('Калькуляция (МИ корр)'!$AJ$25:$BC$747,,MATCH(AM$8,'Калькуляция (МИ корр)'!$AJ$8:$BC$8,0)),'Калькуляция (МИ корр)'!$F$25:$F$747,$F165,'Калькуляция (МИ корр)'!$G$25:$G$747,$G165),IF(method_reg="Метод экономически обоснованных расходов",_xlfn.SUMIFS('Калькуляция (МЭОР)'!$AJ$25:$AJ$452,'Калькуляция (МЭОР)'!$F$25:$F$452,$F165,'Калькуляция (МЭОР)'!$G$25:$G$452,$G165),IF(method_reg="Метод сравнения аналогов",_xlfn.SUMIFS('Калькуляция (МСА)'!$AE$25:$AE$122,'Калькуляция (МСА)'!$F$25:$F$122,$F165,'Калькуляция (МСА)'!$G$25:$G$122,$G165),_xlfn.SUMIFS(INDEX('Калькуляция (МИ)'!$AJ$25:$BC$747,,MATCH(AM$8,'Калькуляция (МИ)'!$AJ$8:$BC$8,0)),'Калькуляция (МИ)'!$F$25:$F$747,$F165,'Калькуляция (МИ)'!$G$25:$G$747,$G165))))</f>
        <v>168.9578</v>
      </c>
      <c r="AN165" s="899">
        <f>IF(AND(method_reg="Метод индексации",god&lt;&gt;first_year),_xlfn.SUMIFS(INDEX('Калькуляция (МИ корр)'!$AJ$25:$BC$747,,MATCH(AN$8,'Калькуляция (МИ корр)'!$AJ$8:$BC$8,0)),'Калькуляция (МИ корр)'!$F$25:$F$747,$F165,'Калькуляция (МИ корр)'!$G$25:$G$747,$G165),IF(method_reg="Метод экономически обоснованных расходов",_xlfn.SUMIFS('Калькуляция (МЭОР)'!$AK$25:$AK$452,'Калькуляция (МЭОР)'!$F$25:$F$452,$F165,'Калькуляция (МЭОР)'!$G$25:$G$452,$G165),IF(method_reg="Метод сравнения аналогов",_xlfn.SUMIFS('Калькуляция (МСА)'!$AF$25:$AF$122,'Калькуляция (МСА)'!$F$25:$F$122,$F165,'Калькуляция (МСА)'!$G$25:$G$122,$G165),_xlfn.SUMIFS(INDEX('Калькуляция (МИ)'!$AJ$25:$BC$747,,MATCH(AN$8,'Калькуляция (МИ)'!$AJ$8:$BC$8,0)),'Калькуляция (МИ)'!$F$25:$F$747,$F165,'Калькуляция (МИ)'!$G$25:$G$747,$G165))))</f>
        <v>168.957800231096</v>
      </c>
      <c r="AO165" s="296">
        <f>IF(AM165=0,0,(AN165-AM165)/AM165*100)</f>
        <v>1.36777354986815e-7</v>
      </c>
      <c r="AP165" s="899">
        <f>IF(AND(method_reg="Метод индексации",god&lt;&gt;first_year),_xlfn.SUMIFS(INDEX('Калькуляция (МИ корр)'!$AJ$25:$BC$747,,MATCH(AP$8,'Калькуляция (МИ корр)'!$AJ$8:$BC$8,0)),'Калькуляция (МИ корр)'!$F$25:$F$747,$F165,'Калькуляция (МИ корр)'!$G$25:$G$747,$G165),IF(method_reg="Метод экономически обоснованных расходов",_xlfn.SUMIFS('Калькуляция (МЭОР)'!$AJ$25:$AJ$452,'Калькуляция (МЭОР)'!$F$25:$F$452,$F165,'Калькуляция (МЭОР)'!$G$25:$G$452,$G165),IF(method_reg="Метод сравнения аналогов",_xlfn.SUMIFS('Калькуляция (МСА)'!$AE$25:$AE$122,'Калькуляция (МСА)'!$F$25:$F$122,$F165,'Калькуляция (МСА)'!$G$25:$G$122,$G165),_xlfn.SUMIFS(INDEX('Калькуляция (МИ)'!$AJ$25:$BC$747,,MATCH(AP$8,'Калькуляция (МИ)'!$AJ$8:$BC$8,0)),'Калькуляция (МИ)'!$F$25:$F$747,$F165,'Калькуляция (МИ)'!$G$25:$G$747,$G165))))</f>
        <v>174.1672</v>
      </c>
      <c r="AQ165" s="899">
        <f>IF(AND(method_reg="Метод индексации",god&lt;&gt;first_year),_xlfn.SUMIFS(INDEX('Калькуляция (МИ корр)'!$AJ$25:$BC$747,,MATCH(AQ$8,'Калькуляция (МИ корр)'!$AJ$8:$BC$8,0)),'Калькуляция (МИ корр)'!$F$25:$F$747,$F165,'Калькуляция (МИ корр)'!$G$25:$G$747,$G165),IF(method_reg="Метод экономически обоснованных расходов",_xlfn.SUMIFS('Калькуляция (МЭОР)'!$AK$25:$AK$452,'Калькуляция (МЭОР)'!$F$25:$F$452,$F165,'Калькуляция (МЭОР)'!$G$25:$G$452,$G165),IF(method_reg="Метод сравнения аналогов",_xlfn.SUMIFS('Калькуляция (МСА)'!$AF$25:$AF$122,'Калькуляция (МСА)'!$F$25:$F$122,$F165,'Калькуляция (МСА)'!$G$25:$G$122,$G165),_xlfn.SUMIFS(INDEX('Калькуляция (МИ)'!$AJ$25:$BC$747,,MATCH(AQ$8,'Калькуляция (МИ)'!$AJ$8:$BC$8,0)),'Калькуляция (МИ)'!$F$25:$F$747,$F165,'Калькуляция (МИ)'!$G$25:$G$747,$G165))))</f>
        <v>174.091482025529</v>
      </c>
      <c r="AR165" s="296">
        <f>IF(AP165=0,0,(AQ165-AP165)/AP165*100)</f>
        <v>-0.0434743019759281</v>
      </c>
      <c r="AS165" s="5239">
        <f>IF(AND(method_reg="Метод индексации",god&lt;&gt;first_year),_xlfn.SUMIFS(INDEX('Калькуляция (МИ корр)'!$AJ$25:$BC$747,,MATCH(AS$8,'Калькуляция (МИ корр)'!$AJ$8:$BC$8,0)),'Калькуляция (МИ корр)'!$F$25:$F$747,$F165,'Калькуляция (МИ корр)'!$G$25:$G$747,$G165),IF(method_reg="Метод экономически обоснованных расходов",_xlfn.SUMIFS('Калькуляция (МЭОР)'!$AJ$25:$AJ$452,'Калькуляция (МЭОР)'!$F$25:$F$452,$F165,'Калькуляция (МЭОР)'!$G$25:$G$452,$G165),IF(method_reg="Метод сравнения аналогов",_xlfn.SUMIFS('Калькуляция (МСА)'!$AE$25:$AE$122,'Калькуляция (МСА)'!$F$25:$F$122,$F165,'Калькуляция (МСА)'!$G$25:$G$122,$G165),_xlfn.SUMIFS(INDEX('Калькуляция (МИ)'!$AJ$25:$BC$747,,MATCH(AS$8,'Калькуляция (МИ)'!$AJ$8:$BC$8,0)),'Калькуляция (МИ)'!$F$25:$F$747,$F165,'Калькуляция (МИ)'!$G$25:$G$747,$G165))))</f>
        <v>0</v>
      </c>
      <c r="AT165" s="5239">
        <f>IF(AND(method_reg="Метод индексации",god&lt;&gt;first_year),_xlfn.SUMIFS(INDEX('Калькуляция (МИ корр)'!$AJ$25:$BC$747,,MATCH(AT$8,'Калькуляция (МИ корр)'!$AJ$8:$BC$8,0)),'Калькуляция (МИ корр)'!$F$25:$F$747,$F165,'Калькуляция (МИ корр)'!$G$25:$G$747,$G165),IF(method_reg="Метод экономически обоснованных расходов",_xlfn.SUMIFS('Калькуляция (МЭОР)'!$AK$25:$AK$452,'Калькуляция (МЭОР)'!$F$25:$F$452,$F165,'Калькуляция (МЭОР)'!$G$25:$G$452,$G165),IF(method_reg="Метод сравнения аналогов",_xlfn.SUMIFS('Калькуляция (МСА)'!$AF$25:$AF$122,'Калькуляция (МСА)'!$F$25:$F$122,$F165,'Калькуляция (МСА)'!$G$25:$G$122,$G165),_xlfn.SUMIFS(INDEX('Калькуляция (МИ)'!$AJ$25:$BC$747,,MATCH(AT$8,'Калькуляция (МИ)'!$AJ$8:$BC$8,0)),'Калькуляция (МИ)'!$F$25:$F$747,$F165,'Калькуляция (МИ)'!$G$25:$G$747,$G165))))</f>
        <v>0</v>
      </c>
      <c r="AU165" s="296">
        <f>IF(AS165=0,0,(AT165-AS165)/AS165*100)</f>
        <v>0</v>
      </c>
      <c r="AV165" s="5239">
        <f>IF(AND(method_reg="Метод индексации",god&lt;&gt;first_year),_xlfn.SUMIFS(INDEX('Калькуляция (МИ корр)'!$AJ$25:$BC$747,,MATCH(AV$8,'Калькуляция (МИ корр)'!$AJ$8:$BC$8,0)),'Калькуляция (МИ корр)'!$F$25:$F$747,$F165,'Калькуляция (МИ корр)'!$G$25:$G$747,$G165),IF(method_reg="Метод экономически обоснованных расходов",_xlfn.SUMIFS('Калькуляция (МЭОР)'!$AJ$25:$AJ$452,'Калькуляция (МЭОР)'!$F$25:$F$452,$F165,'Калькуляция (МЭОР)'!$G$25:$G$452,$G165),IF(method_reg="Метод сравнения аналогов",_xlfn.SUMIFS('Калькуляция (МСА)'!$AE$25:$AE$122,'Калькуляция (МСА)'!$F$25:$F$122,$F165,'Калькуляция (МСА)'!$G$25:$G$122,$G165),_xlfn.SUMIFS(INDEX('Калькуляция (МИ)'!$AJ$25:$BC$747,,MATCH(AV$8,'Калькуляция (МИ)'!$AJ$8:$BC$8,0)),'Калькуляция (МИ)'!$F$25:$F$747,$F165,'Калькуляция (МИ)'!$G$25:$G$747,$G165))))</f>
        <v>0</v>
      </c>
      <c r="AW165" s="5239">
        <f>IF(AND(method_reg="Метод индексации",god&lt;&gt;first_year),_xlfn.SUMIFS(INDEX('Калькуляция (МИ корр)'!$AJ$25:$BC$747,,MATCH(AW$8,'Калькуляция (МИ корр)'!$AJ$8:$BC$8,0)),'Калькуляция (МИ корр)'!$F$25:$F$747,$F165,'Калькуляция (МИ корр)'!$G$25:$G$747,$G165),IF(method_reg="Метод экономически обоснованных расходов",_xlfn.SUMIFS('Калькуляция (МЭОР)'!$AK$25:$AK$452,'Калькуляция (МЭОР)'!$F$25:$F$452,$F165,'Калькуляция (МЭОР)'!$G$25:$G$452,$G165),IF(method_reg="Метод сравнения аналогов",_xlfn.SUMIFS('Калькуляция (МСА)'!$AF$25:$AF$122,'Калькуляция (МСА)'!$F$25:$F$122,$F165,'Калькуляция (МСА)'!$G$25:$G$122,$G165),_xlfn.SUMIFS(INDEX('Калькуляция (МИ)'!$AJ$25:$BC$747,,MATCH(AW$8,'Калькуляция (МИ)'!$AJ$8:$BC$8,0)),'Калькуляция (МИ)'!$F$25:$F$747,$F165,'Калькуляция (МИ)'!$G$25:$G$747,$G165))))</f>
        <v>0</v>
      </c>
      <c r="AX165" s="296">
        <f>IF(AV165=0,0,(AW165-AV165)/AV165*100)</f>
        <v>0</v>
      </c>
      <c r="AY165" s="5239">
        <f>IF(AND(method_reg="Метод индексации",god&lt;&gt;first_year),_xlfn.SUMIFS(INDEX('Калькуляция (МИ корр)'!$AJ$25:$BC$747,,MATCH(AY$8,'Калькуляция (МИ корр)'!$AJ$8:$BC$8,0)),'Калькуляция (МИ корр)'!$F$25:$F$747,$F165,'Калькуляция (МИ корр)'!$G$25:$G$747,$G165),IF(method_reg="Метод экономически обоснованных расходов",_xlfn.SUMIFS('Калькуляция (МЭОР)'!$AJ$25:$AJ$452,'Калькуляция (МЭОР)'!$F$25:$F$452,$F165,'Калькуляция (МЭОР)'!$G$25:$G$452,$G165),IF(method_reg="Метод сравнения аналогов",_xlfn.SUMIFS('Калькуляция (МСА)'!$AE$25:$AE$122,'Калькуляция (МСА)'!$F$25:$F$122,$F165,'Калькуляция (МСА)'!$G$25:$G$122,$G165),_xlfn.SUMIFS(INDEX('Калькуляция (МИ)'!$AJ$25:$BC$747,,MATCH(AY$8,'Калькуляция (МИ)'!$AJ$8:$BC$8,0)),'Калькуляция (МИ)'!$F$25:$F$747,$F165,'Калькуляция (МИ)'!$G$25:$G$747,$G165))))</f>
        <v>0</v>
      </c>
      <c r="AZ165" s="5239">
        <f>IF(AND(method_reg="Метод индексации",god&lt;&gt;first_year),_xlfn.SUMIFS(INDEX('Калькуляция (МИ корр)'!$AJ$25:$BC$747,,MATCH(AZ$8,'Калькуляция (МИ корр)'!$AJ$8:$BC$8,0)),'Калькуляция (МИ корр)'!$F$25:$F$747,$F165,'Калькуляция (МИ корр)'!$G$25:$G$747,$G165),IF(method_reg="Метод экономически обоснованных расходов",_xlfn.SUMIFS('Калькуляция (МЭОР)'!$AK$25:$AK$452,'Калькуляция (МЭОР)'!$F$25:$F$452,$F165,'Калькуляция (МЭОР)'!$G$25:$G$452,$G165),IF(method_reg="Метод сравнения аналогов",_xlfn.SUMIFS('Калькуляция (МСА)'!$AF$25:$AF$122,'Калькуляция (МСА)'!$F$25:$F$122,$F165,'Калькуляция (МСА)'!$G$25:$G$122,$G165),_xlfn.SUMIFS(INDEX('Калькуляция (МИ)'!$AJ$25:$BC$747,,MATCH(AZ$8,'Калькуляция (МИ)'!$AJ$8:$BC$8,0)),'Калькуляция (МИ)'!$F$25:$F$747,$F165,'Калькуляция (МИ)'!$G$25:$G$747,$G165))))</f>
        <v>0</v>
      </c>
      <c r="BA165" s="296">
        <f>IF(AY165=0,0,(AZ165-AY165)/AY165*100)</f>
        <v>0</v>
      </c>
      <c r="BB165" s="5239">
        <f>IF(AND(method_reg="Метод индексации",god&lt;&gt;first_year),_xlfn.SUMIFS(INDEX('Калькуляция (МИ корр)'!$AJ$25:$BC$747,,MATCH(BB$8,'Калькуляция (МИ корр)'!$AJ$8:$BC$8,0)),'Калькуляция (МИ корр)'!$F$25:$F$747,$F165,'Калькуляция (МИ корр)'!$G$25:$G$747,$G165),IF(method_reg="Метод экономически обоснованных расходов",_xlfn.SUMIFS('Калькуляция (МЭОР)'!$AJ$25:$AJ$452,'Калькуляция (МЭОР)'!$F$25:$F$452,$F165,'Калькуляция (МЭОР)'!$G$25:$G$452,$G165),IF(method_reg="Метод сравнения аналогов",_xlfn.SUMIFS('Калькуляция (МСА)'!$AE$25:$AE$122,'Калькуляция (МСА)'!$F$25:$F$122,$F165,'Калькуляция (МСА)'!$G$25:$G$122,$G165),_xlfn.SUMIFS(INDEX('Калькуляция (МИ)'!$AJ$25:$BC$747,,MATCH(BB$8,'Калькуляция (МИ)'!$AJ$8:$BC$8,0)),'Калькуляция (МИ)'!$F$25:$F$747,$F165,'Калькуляция (МИ)'!$G$25:$G$747,$G165))))</f>
        <v>0</v>
      </c>
      <c r="BC165" s="5239">
        <f>IF(AND(method_reg="Метод индексации",god&lt;&gt;first_year),_xlfn.SUMIFS(INDEX('Калькуляция (МИ корр)'!$AJ$25:$BC$747,,MATCH(BC$8,'Калькуляция (МИ корр)'!$AJ$8:$BC$8,0)),'Калькуляция (МИ корр)'!$F$25:$F$747,$F165,'Калькуляция (МИ корр)'!$G$25:$G$747,$G165),IF(method_reg="Метод экономически обоснованных расходов",_xlfn.SUMIFS('Калькуляция (МЭОР)'!$AK$25:$AK$452,'Калькуляция (МЭОР)'!$F$25:$F$452,$F165,'Калькуляция (МЭОР)'!$G$25:$G$452,$G165),IF(method_reg="Метод сравнения аналогов",_xlfn.SUMIFS('Калькуляция (МСА)'!$AF$25:$AF$122,'Калькуляция (МСА)'!$F$25:$F$122,$F165,'Калькуляция (МСА)'!$G$25:$G$122,$G165),_xlfn.SUMIFS(INDEX('Калькуляция (МИ)'!$AJ$25:$BC$747,,MATCH(BC$8,'Калькуляция (МИ)'!$AJ$8:$BC$8,0)),'Калькуляция (МИ)'!$F$25:$F$747,$F165,'Калькуляция (МИ)'!$G$25:$G$747,$G165))))</f>
        <v>0</v>
      </c>
      <c r="BD165" s="296">
        <f>IF(BB165=0,0,(BC165-BB165)/BB165*100)</f>
        <v>0</v>
      </c>
      <c r="BE165" s="5239">
        <f>IF(AND(method_reg="Метод индексации",god&lt;&gt;first_year),_xlfn.SUMIFS(INDEX('Калькуляция (МИ корр)'!$AJ$25:$BC$747,,MATCH(BE$8,'Калькуляция (МИ корр)'!$AJ$8:$BC$8,0)),'Калькуляция (МИ корр)'!$F$25:$F$747,$F165,'Калькуляция (МИ корр)'!$G$25:$G$747,$G165),IF(method_reg="Метод экономически обоснованных расходов",_xlfn.SUMIFS('Калькуляция (МЭОР)'!$AJ$25:$AJ$452,'Калькуляция (МЭОР)'!$F$25:$F$452,$F165,'Калькуляция (МЭОР)'!$G$25:$G$452,$G165),IF(method_reg="Метод сравнения аналогов",_xlfn.SUMIFS('Калькуляция (МСА)'!$AE$25:$AE$122,'Калькуляция (МСА)'!$F$25:$F$122,$F165,'Калькуляция (МСА)'!$G$25:$G$122,$G165),_xlfn.SUMIFS(INDEX('Калькуляция (МИ)'!$AJ$25:$BC$747,,MATCH(BE$8,'Калькуляция (МИ)'!$AJ$8:$BC$8,0)),'Калькуляция (МИ)'!$F$25:$F$747,$F165,'Калькуляция (МИ)'!$G$25:$G$747,$G165))))</f>
        <v>0</v>
      </c>
      <c r="BF165" s="5239">
        <f>IF(AND(method_reg="Метод индексации",god&lt;&gt;first_year),_xlfn.SUMIFS(INDEX('Калькуляция (МИ корр)'!$AJ$25:$BC$747,,MATCH(BF$8,'Калькуляция (МИ корр)'!$AJ$8:$BC$8,0)),'Калькуляция (МИ корр)'!$F$25:$F$747,$F165,'Калькуляция (МИ корр)'!$G$25:$G$747,$G165),IF(method_reg="Метод экономически обоснованных расходов",_xlfn.SUMIFS('Калькуляция (МЭОР)'!$AK$25:$AK$452,'Калькуляция (МЭОР)'!$F$25:$F$452,$F165,'Калькуляция (МЭОР)'!$G$25:$G$452,$G165),IF(method_reg="Метод сравнения аналогов",_xlfn.SUMIFS('Калькуляция (МСА)'!$AF$25:$AF$122,'Калькуляция (МСА)'!$F$25:$F$122,$F165,'Калькуляция (МСА)'!$G$25:$G$122,$G165),_xlfn.SUMIFS(INDEX('Калькуляция (МИ)'!$AJ$25:$BC$747,,MATCH(BF$8,'Калькуляция (МИ)'!$AJ$8:$BC$8,0)),'Калькуляция (МИ)'!$F$25:$F$747,$F165,'Калькуляция (МИ)'!$G$25:$G$747,$G165))))</f>
        <v>0</v>
      </c>
      <c r="BG165" s="296">
        <f>IF(BE165=0,0,(BF165-BE165)/BE165*100)</f>
        <v>0</v>
      </c>
      <c r="BH165" s="5239"/>
      <c r="BI165" s="5239"/>
      <c r="BJ165" s="296">
        <f>IF(BH165=0,0,(BI165-BH165)/BH165*100)</f>
        <v>0</v>
      </c>
      <c r="BK165" s="5239"/>
      <c r="BL165" s="5239"/>
      <c r="BM165" s="296">
        <f>IF(BK165=0,0,(BL165-BK165)/BK165*100)</f>
        <v>0</v>
      </c>
      <c r="BN165" s="5239"/>
      <c r="BO165" s="5239"/>
      <c r="BP165" s="296">
        <f>IF(BN165=0,0,(BO165-BN165)/BN165*100)</f>
        <v>0</v>
      </c>
      <c r="BQ165" s="5239"/>
      <c r="BR165" s="5239"/>
      <c r="BS165" s="296">
        <f>IF(BQ165=0,0,(BR165-BQ165)/BQ165*100)</f>
        <v>0</v>
      </c>
      <c r="BT165" s="5239"/>
      <c r="BU165" s="5239"/>
      <c r="BV165" s="296">
        <f>IF(BT165=0,0,(BU165-BT165)/BT165*100)</f>
        <v>0</v>
      </c>
      <c r="BW165" s="5239"/>
      <c r="BX165" s="5239"/>
      <c r="BY165" s="296">
        <f>IF(BW165=0,0,(BX165-BW165)/BW165*100)</f>
        <v>0</v>
      </c>
      <c r="BZ165" s="5239"/>
      <c r="CA165" s="5239"/>
      <c r="CB165" s="296">
        <f>IF(BZ165=0,0,(CA165-BZ165)/BZ165*100)</f>
        <v>0</v>
      </c>
      <c r="CC165" s="5239"/>
      <c r="CD165" s="5239"/>
      <c r="CE165" s="296">
        <f>IF(CC165=0,0,(CD165-CC165)/CC165*100)</f>
        <v>0</v>
      </c>
      <c r="CF165" s="5239"/>
      <c r="CG165" s="5239"/>
      <c r="CH165" s="296">
        <f>IF(CF165=0,0,(CG165-CF165)/CF165*100)</f>
        <v>0</v>
      </c>
      <c r="CI165" s="5239"/>
      <c r="CJ165" s="5239"/>
      <c r="CK165" s="296">
        <f>IF(CI165=0,0,(CJ165-CI165)/CI165*100)</f>
        <v>0</v>
      </c>
      <c r="CL165" s="5239"/>
      <c r="CM165" s="5239"/>
      <c r="CN165" s="296">
        <f>IF(CL165=0,0,(CM165-CL165)/CL165*100)</f>
        <v>0</v>
      </c>
      <c r="CO165" s="5239"/>
      <c r="CP165" s="5239"/>
      <c r="CQ165" s="296">
        <f>IF(CO165=0,0,(CP165-CO165)/CO165*100)</f>
        <v>0</v>
      </c>
      <c r="CR165" s="5239"/>
      <c r="CS165" s="5239"/>
      <c r="CT165" s="296">
        <f>IF(CR165=0,0,(CS165-CR165)/CR165*100)</f>
        <v>0</v>
      </c>
      <c r="CU165" s="5239"/>
      <c r="CV165" s="5239"/>
      <c r="CW165" s="296">
        <f>IF(CU165=0,0,(CV165-CU165)/CU165*100)</f>
        <v>0</v>
      </c>
      <c r="CX165" s="5239"/>
      <c r="CY165" s="5239"/>
      <c r="CZ165" s="296">
        <f>IF(CX165=0,0,(CY165-CX165)/CX165*100)</f>
        <v>0</v>
      </c>
      <c r="DA165" s="5239"/>
      <c r="DB165" s="5239"/>
      <c r="DC165" s="296">
        <f>IF(DA165=0,0,(DB165-DA165)/DA165*100)</f>
        <v>0</v>
      </c>
      <c r="DD165" s="5239"/>
      <c r="DE165" s="5239"/>
      <c r="DF165" s="296">
        <f>IF(DD165=0,0,(DE165-DD165)/DD165*100)</f>
        <v>0</v>
      </c>
      <c r="DG165" s="5239"/>
      <c r="DH165" s="5239"/>
      <c r="DI165" s="296">
        <f>IF(DG165=0,0,(DH165-DG165)/DG165*100)</f>
        <v>0</v>
      </c>
      <c r="DJ165" s="5239"/>
      <c r="DK165" s="5239"/>
      <c r="DL165" s="296">
        <f>IF(DJ165=0,0,(DK165-DJ165)/DJ165*100)</f>
        <v>0</v>
      </c>
      <c r="DM165" s="5239"/>
      <c r="DN165" s="5239"/>
      <c r="DO165" s="296">
        <f>IF(DM165=0,0,(DN165-DM165)/DM165*100)</f>
        <v>0</v>
      </c>
      <c r="DP165" s="5239"/>
      <c r="DQ165" s="5239"/>
      <c r="DR165" s="296">
        <f>IF(DP165=0,0,(DQ165-DP165)/DP165*100)</f>
        <v>0</v>
      </c>
      <c r="DS165" s="5239"/>
      <c r="DT165" s="5239"/>
      <c r="DU165" s="296">
        <f>IF(DS165=0,0,(DT165-DS165)/DS165*100)</f>
        <v>0</v>
      </c>
      <c r="DV165" s="5239"/>
      <c r="DW165" s="5239"/>
      <c r="DX165" s="296">
        <f>IF(DV165=0,0,(DW165-DV165)/DV165*100)</f>
        <v>0</v>
      </c>
      <c r="DY165" s="5239"/>
      <c r="DZ165" s="5239"/>
      <c r="EA165" s="296">
        <f>IF(DY165=0,0,(DZ165-DY165)/DY165*100)</f>
        <v>0</v>
      </c>
      <c r="EB165" s="5239"/>
      <c r="EC165" s="5239"/>
      <c r="ED165" s="296">
        <f>IF(EB165=0,0,(EC165-EB165)/EB165*100)</f>
        <v>0</v>
      </c>
      <c r="EE165" s="5239"/>
      <c r="EF165" s="5239"/>
      <c r="EG165" s="296">
        <f>IF(EE165=0,0,(EF165-EE165)/EE165*100)</f>
        <v>0</v>
      </c>
      <c r="EH165" s="5239"/>
      <c r="EI165" s="5239"/>
      <c r="EJ165" s="296">
        <f>IF(EH165=0,0,(EI165-EH165)/EH165*100)</f>
        <v>0</v>
      </c>
      <c r="EK165" s="5239"/>
      <c r="EL165" s="5239"/>
      <c r="EM165" s="296">
        <f>IF(EK165=0,0,(EL165-EK165)/EK165*100)</f>
        <v>0</v>
      </c>
      <c r="EN165" s="5239"/>
      <c r="EO165" s="5239"/>
      <c r="EP165" s="296">
        <f>IF(EN165=0,0,(EO165-EN165)/EN165*100)</f>
        <v>0</v>
      </c>
      <c r="EQ165" s="5239"/>
      <c r="ER165" s="5239"/>
      <c r="ES165" s="296">
        <f>IF(EQ165=0,0,(ER165-EQ165)/EQ165*100)</f>
        <v>0</v>
      </c>
      <c r="ET165" s="5239"/>
      <c r="EU165" s="5239"/>
      <c r="EV165" s="296">
        <f>IF(ET165=0,0,(EU165-ET165)/ET165*100)</f>
        <v>0</v>
      </c>
      <c r="EW165" s="5239"/>
      <c r="EX165" s="5239"/>
      <c r="EY165" s="296">
        <f>IF(EW165=0,0,(EX165-EW165)/EW165*100)</f>
        <v>0</v>
      </c>
      <c r="EZ165" s="5239"/>
      <c r="FA165" s="5239"/>
      <c r="FB165" s="296">
        <f>IF(EZ165=0,0,(FA165-EZ165)/EZ165*100)</f>
        <v>0</v>
      </c>
      <c r="FC165" s="5239"/>
      <c r="FD165" s="5239"/>
      <c r="FE165" s="296">
        <f>IF(FC165=0,0,(FD165-FC165)/FC165*100)</f>
        <v>0</v>
      </c>
      <c r="FF165" s="5239"/>
      <c r="FG165" s="5239"/>
      <c r="FH165" s="296">
        <f>IF(FF165=0,0,(FG165-FF165)/FF165*100)</f>
        <v>0</v>
      </c>
      <c r="FI165" s="5239"/>
      <c r="FJ165" s="5239"/>
      <c r="FK165" s="296">
        <f>IF(FI165=0,0,(FJ165-FI165)/FI165*100)</f>
        <v>0</v>
      </c>
      <c r="FL165" s="5239"/>
      <c r="FM165" s="5239"/>
      <c r="FN165" s="296">
        <f>IF(FL165=0,0,(FM165-FL165)/FL165*100)</f>
        <v>0</v>
      </c>
      <c r="FO165" s="5239"/>
      <c r="FP165" s="5239"/>
      <c r="FQ165" s="296">
        <f>IF(FO165=0,0,(FP165-FO165)/FO165*100)</f>
        <v>0</v>
      </c>
      <c r="FR165" s="5239"/>
      <c r="FS165" s="5239"/>
      <c r="FT165" s="296">
        <f>IF(FR165=0,0,(FS165-FR165)/FR165*100)</f>
        <v>0</v>
      </c>
      <c r="FU165" s="5239"/>
      <c r="FV165" s="5239"/>
      <c r="FW165" s="296">
        <f>IF(FU165=0,0,(FV165-FU165)/FU165*100)</f>
        <v>0</v>
      </c>
      <c r="FX165" s="292"/>
      <c r="FY165" s="292"/>
      <c r="FZ165" s="1055" t="s">
        <v>2356</v>
      </c>
      <c r="GA165" s="1055"/>
      <c r="GB165" s="1055"/>
      <c r="GC165" s="1056"/>
      <c r="GD165" s="1056"/>
    </row>
    <row s="1834" customFormat="1" customHeight="1" ht="14.25">
      <c r="A166" s="493"/>
      <c r="B166" s="925" cm="1" t="str">
        <f t="array" ref="B166:B166">B165</f>
        <v>true</v>
      </c>
      <c r="C166" s="493"/>
      <c r="D166" s="493"/>
      <c r="E166" s="840">
        <v>15</v>
      </c>
      <c r="F166" s="50" cm="1" t="str">
        <f t="array" ref="F166:F166">OFFSET(E166,-1,1)</f>
        <v>2</v>
      </c>
      <c r="G166" s="107"/>
      <c r="H166" s="493" t="s">
        <v>1179</v>
      </c>
      <c r="I166" s="493" t="s">
        <v>2357</v>
      </c>
      <c r="J166" s="493"/>
      <c r="K166" s="493"/>
      <c r="L166" s="493"/>
      <c r="M166" s="493"/>
      <c r="N166" s="493"/>
      <c r="O166" s="493"/>
      <c r="P166" s="493"/>
      <c r="Q166" s="897"/>
      <c r="R166" s="493"/>
      <c r="S166" s="493"/>
      <c r="T166" s="465" cm="1" t="str">
        <f t="array" ref="T166:T166">T165</f>
        <v>true</v>
      </c>
      <c r="U166" s="493"/>
      <c r="V166" s="493"/>
      <c r="W166" s="493"/>
      <c r="X166" s="1596"/>
      <c r="Y166" s="493"/>
      <c r="Z166" s="1545"/>
      <c r="AA166" s="493"/>
      <c r="AB166" s="1089" t="s">
        <v>2344</v>
      </c>
      <c r="AC166" s="864" t="s">
        <v>1170</v>
      </c>
      <c r="AD166" s="1092">
        <f>IF(AD164=0,0,AD165/AD164)*100</f>
        <v>109.895297259629</v>
      </c>
      <c r="AE166" s="1092">
        <f>IF(AE164=0,0,AE165/AE164)*100</f>
        <v>109.895292923988</v>
      </c>
      <c r="AF166" s="1093"/>
      <c r="AG166" s="1092">
        <f>IF(AG164=0,0,AG165/AG164)*100</f>
        <v>106.403434639875</v>
      </c>
      <c r="AH166" s="1092">
        <f>IF(AH164=0,0,AH165/AH164)*100</f>
        <v>106.403433648079</v>
      </c>
      <c r="AI166" s="1093"/>
      <c r="AJ166" s="1092">
        <f>IF(AJ164=0,0,AJ165/AJ164)*100</f>
        <v>107.921712246995</v>
      </c>
      <c r="AK166" s="1092">
        <f>IF(AK164=0,0,AK165/AK164)*100</f>
        <v>107.921910176769</v>
      </c>
      <c r="AL166" s="1093"/>
      <c r="AM166" s="1092">
        <f>IF(AM164=0,0,AM165/AM164)*100</f>
        <v>103.520705636119</v>
      </c>
      <c r="AN166" s="1092">
        <f>IF(AN164=0,0,AN165/AN164)*100</f>
        <v>103.520705697266</v>
      </c>
      <c r="AO166" s="1093"/>
      <c r="AP166" s="1092">
        <f>IF(AP164=0,0,AP165/AP164)*100</f>
        <v>103.083255108672</v>
      </c>
      <c r="AQ166" s="1092">
        <f>IF(AQ164=0,0,AQ165/AQ164)*100</f>
        <v>103.038440242126</v>
      </c>
      <c r="AR166" s="1093"/>
      <c r="AS166" s="1092">
        <f>IF(AS164=0,0,AS165/AS164)*100</f>
        <v>0</v>
      </c>
      <c r="AT166" s="1092">
        <f>IF(AT164=0,0,AT165/AT164)*100</f>
        <v>0</v>
      </c>
      <c r="AU166" s="1093"/>
      <c r="AV166" s="1092">
        <f>IF(AV164=0,0,AV165/AV164)*100</f>
        <v>0</v>
      </c>
      <c r="AW166" s="1092">
        <f>IF(AW164=0,0,AW165/AW164)*100</f>
        <v>0</v>
      </c>
      <c r="AX166" s="1093"/>
      <c r="AY166" s="1092">
        <f>IF(AY164=0,0,AY165/AY164)*100</f>
        <v>0</v>
      </c>
      <c r="AZ166" s="1092">
        <f>IF(AZ164=0,0,AZ165/AZ164)*100</f>
        <v>0</v>
      </c>
      <c r="BA166" s="1093"/>
      <c r="BB166" s="1092">
        <f>IF(BB164=0,0,BB165/BB164)*100</f>
        <v>0</v>
      </c>
      <c r="BC166" s="1092">
        <f>IF(BC164=0,0,BC165/BC164)*100</f>
        <v>0</v>
      </c>
      <c r="BD166" s="1093"/>
      <c r="BE166" s="1092">
        <f>IF(BE164=0,0,BE165/BE164)*100</f>
        <v>0</v>
      </c>
      <c r="BF166" s="1092">
        <f>IF(BF164=0,0,BF165/BF164)*100</f>
        <v>0</v>
      </c>
      <c r="BG166" s="1093"/>
      <c r="BH166" s="1092">
        <f>IF(BH164=0,0,BH165/BH164)*100</f>
        <v>0</v>
      </c>
      <c r="BI166" s="1092">
        <f>IF(BI164=0,0,BI165/BI164)*100</f>
        <v>0</v>
      </c>
      <c r="BJ166" s="1093"/>
      <c r="BK166" s="1092">
        <f>IF(BK164=0,0,BK165/BK164)*100</f>
        <v>0</v>
      </c>
      <c r="BL166" s="1092">
        <f>IF(BL164=0,0,BL165/BL164)*100</f>
        <v>0</v>
      </c>
      <c r="BM166" s="1093"/>
      <c r="BN166" s="1092">
        <f>IF(BN164=0,0,BN165/BN164)*100</f>
        <v>0</v>
      </c>
      <c r="BO166" s="1092">
        <f>IF(BO164=0,0,BO165/BO164)*100</f>
        <v>0</v>
      </c>
      <c r="BP166" s="1093"/>
      <c r="BQ166" s="1092">
        <f>IF(BQ164=0,0,BQ165/BQ164)*100</f>
        <v>0</v>
      </c>
      <c r="BR166" s="1092">
        <f>IF(BR164=0,0,BR165/BR164)*100</f>
        <v>0</v>
      </c>
      <c r="BS166" s="1093"/>
      <c r="BT166" s="1092">
        <f>IF(BT164=0,0,BT165/BT164)*100</f>
        <v>0</v>
      </c>
      <c r="BU166" s="1092">
        <f>IF(BU164=0,0,BU165/BU164)*100</f>
        <v>0</v>
      </c>
      <c r="BV166" s="1093"/>
      <c r="BW166" s="1092">
        <f>IF(BW164=0,0,BW165/BW164)*100</f>
        <v>0</v>
      </c>
      <c r="BX166" s="1092">
        <f>IF(BX164=0,0,BX165/BX164)*100</f>
        <v>0</v>
      </c>
      <c r="BY166" s="1093"/>
      <c r="BZ166" s="1092">
        <f>IF(BZ164=0,0,BZ165/BZ164)*100</f>
        <v>0</v>
      </c>
      <c r="CA166" s="1092">
        <f>IF(CA164=0,0,CA165/CA164)*100</f>
        <v>0</v>
      </c>
      <c r="CB166" s="1093"/>
      <c r="CC166" s="1092">
        <f>IF(CC164=0,0,CC165/CC164)*100</f>
        <v>0</v>
      </c>
      <c r="CD166" s="1092">
        <f>IF(CD164=0,0,CD165/CD164)*100</f>
        <v>0</v>
      </c>
      <c r="CE166" s="1093"/>
      <c r="CF166" s="1092">
        <f>IF(CF164=0,0,CF165/CF164)*100</f>
        <v>0</v>
      </c>
      <c r="CG166" s="1092">
        <f>IF(CG164=0,0,CG165/CG164)*100</f>
        <v>0</v>
      </c>
      <c r="CH166" s="1093"/>
      <c r="CI166" s="1092">
        <f>IF(CI164=0,0,CI165/CI164)*100</f>
        <v>0</v>
      </c>
      <c r="CJ166" s="1092">
        <f>IF(CJ164=0,0,CJ165/CJ164)*100</f>
        <v>0</v>
      </c>
      <c r="CK166" s="1093"/>
      <c r="CL166" s="1092">
        <f>IF(CL164=0,0,CL165/CL164)*100</f>
        <v>0</v>
      </c>
      <c r="CM166" s="1092">
        <f>IF(CM164=0,0,CM165/CM164)*100</f>
        <v>0</v>
      </c>
      <c r="CN166" s="1093"/>
      <c r="CO166" s="1092">
        <f>IF(CO164=0,0,CO165/CO164)*100</f>
        <v>0</v>
      </c>
      <c r="CP166" s="1092">
        <f>IF(CP164=0,0,CP165/CP164)*100</f>
        <v>0</v>
      </c>
      <c r="CQ166" s="1093"/>
      <c r="CR166" s="1092">
        <f>IF(CR164=0,0,CR165/CR164)*100</f>
        <v>0</v>
      </c>
      <c r="CS166" s="1092">
        <f>IF(CS164=0,0,CS165/CS164)*100</f>
        <v>0</v>
      </c>
      <c r="CT166" s="1093"/>
      <c r="CU166" s="1092">
        <f>IF(CU164=0,0,CU165/CU164)*100</f>
        <v>0</v>
      </c>
      <c r="CV166" s="1092">
        <f>IF(CV164=0,0,CV165/CV164)*100</f>
        <v>0</v>
      </c>
      <c r="CW166" s="1093"/>
      <c r="CX166" s="1092">
        <f>IF(CX164=0,0,CX165/CX164)*100</f>
        <v>0</v>
      </c>
      <c r="CY166" s="1092">
        <f>IF(CY164=0,0,CY165/CY164)*100</f>
        <v>0</v>
      </c>
      <c r="CZ166" s="1093"/>
      <c r="DA166" s="1092">
        <f>IF(DA164=0,0,DA165/DA164)*100</f>
        <v>0</v>
      </c>
      <c r="DB166" s="1092">
        <f>IF(DB164=0,0,DB165/DB164)*100</f>
        <v>0</v>
      </c>
      <c r="DC166" s="1093"/>
      <c r="DD166" s="1092">
        <f>IF(DD164=0,0,DD165/DD164)*100</f>
        <v>0</v>
      </c>
      <c r="DE166" s="1092">
        <f>IF(DE164=0,0,DE165/DE164)*100</f>
        <v>0</v>
      </c>
      <c r="DF166" s="1093"/>
      <c r="DG166" s="1092">
        <f>IF(DG164=0,0,DG165/DG164)*100</f>
        <v>0</v>
      </c>
      <c r="DH166" s="1092">
        <f>IF(DH164=0,0,DH165/DH164)*100</f>
        <v>0</v>
      </c>
      <c r="DI166" s="1093"/>
      <c r="DJ166" s="1092">
        <f>IF(DJ164=0,0,DJ165/DJ164)*100</f>
        <v>0</v>
      </c>
      <c r="DK166" s="1092">
        <f>IF(DK164=0,0,DK165/DK164)*100</f>
        <v>0</v>
      </c>
      <c r="DL166" s="1093"/>
      <c r="DM166" s="1092">
        <f>IF(DM164=0,0,DM165/DM164)*100</f>
        <v>0</v>
      </c>
      <c r="DN166" s="1092">
        <f>IF(DN164=0,0,DN165/DN164)*100</f>
        <v>0</v>
      </c>
      <c r="DO166" s="1093"/>
      <c r="DP166" s="1092">
        <f>IF(DP164=0,0,DP165/DP164)*100</f>
        <v>0</v>
      </c>
      <c r="DQ166" s="1092">
        <f>IF(DQ164=0,0,DQ165/DQ164)*100</f>
        <v>0</v>
      </c>
      <c r="DR166" s="1093"/>
      <c r="DS166" s="1092">
        <f>IF(DS164=0,0,DS165/DS164)*100</f>
        <v>0</v>
      </c>
      <c r="DT166" s="1092">
        <f>IF(DT164=0,0,DT165/DT164)*100</f>
        <v>0</v>
      </c>
      <c r="DU166" s="1093"/>
      <c r="DV166" s="1092">
        <f>IF(DV164=0,0,DV165/DV164)*100</f>
        <v>0</v>
      </c>
      <c r="DW166" s="1092">
        <f>IF(DW164=0,0,DW165/DW164)*100</f>
        <v>0</v>
      </c>
      <c r="DX166" s="1093"/>
      <c r="DY166" s="1092">
        <f>IF(DY164=0,0,DY165/DY164)*100</f>
        <v>0</v>
      </c>
      <c r="DZ166" s="1092">
        <f>IF(DZ164=0,0,DZ165/DZ164)*100</f>
        <v>0</v>
      </c>
      <c r="EA166" s="1093"/>
      <c r="EB166" s="1092">
        <f>IF(EB164=0,0,EB165/EB164)*100</f>
        <v>0</v>
      </c>
      <c r="EC166" s="1092">
        <f>IF(EC164=0,0,EC165/EC164)*100</f>
        <v>0</v>
      </c>
      <c r="ED166" s="1093"/>
      <c r="EE166" s="1092">
        <f>IF(EE164=0,0,EE165/EE164)*100</f>
        <v>0</v>
      </c>
      <c r="EF166" s="1092">
        <f>IF(EF164=0,0,EF165/EF164)*100</f>
        <v>0</v>
      </c>
      <c r="EG166" s="1093"/>
      <c r="EH166" s="1092">
        <f>IF(EH164=0,0,EH165/EH164)*100</f>
        <v>0</v>
      </c>
      <c r="EI166" s="1092">
        <f>IF(EI164=0,0,EI165/EI164)*100</f>
        <v>0</v>
      </c>
      <c r="EJ166" s="1093"/>
      <c r="EK166" s="1092">
        <f>IF(EK164=0,0,EK165/EK164)*100</f>
        <v>0</v>
      </c>
      <c r="EL166" s="1092">
        <f>IF(EL164=0,0,EL165/EL164)*100</f>
        <v>0</v>
      </c>
      <c r="EM166" s="1093"/>
      <c r="EN166" s="1092">
        <f>IF(EN164=0,0,EN165/EN164)*100</f>
        <v>0</v>
      </c>
      <c r="EO166" s="1092">
        <f>IF(EO164=0,0,EO165/EO164)*100</f>
        <v>0</v>
      </c>
      <c r="EP166" s="1093"/>
      <c r="EQ166" s="1092">
        <f>IF(EQ164=0,0,EQ165/EQ164)*100</f>
        <v>0</v>
      </c>
      <c r="ER166" s="1092">
        <f>IF(ER164=0,0,ER165/ER164)*100</f>
        <v>0</v>
      </c>
      <c r="ES166" s="1093"/>
      <c r="ET166" s="1092">
        <f>IF(ET164=0,0,ET165/ET164)*100</f>
        <v>0</v>
      </c>
      <c r="EU166" s="1092">
        <f>IF(EU164=0,0,EU165/EU164)*100</f>
        <v>0</v>
      </c>
      <c r="EV166" s="1093"/>
      <c r="EW166" s="1092">
        <f>IF(EW164=0,0,EW165/EW164)*100</f>
        <v>0</v>
      </c>
      <c r="EX166" s="1092">
        <f>IF(EX164=0,0,EX165/EX164)*100</f>
        <v>0</v>
      </c>
      <c r="EY166" s="1093"/>
      <c r="EZ166" s="1092">
        <f>IF(EZ164=0,0,EZ165/EZ164)*100</f>
        <v>0</v>
      </c>
      <c r="FA166" s="1092">
        <f>IF(FA164=0,0,FA165/FA164)*100</f>
        <v>0</v>
      </c>
      <c r="FB166" s="1093"/>
      <c r="FC166" s="1092">
        <f>IF(FC164=0,0,FC165/FC164)*100</f>
        <v>0</v>
      </c>
      <c r="FD166" s="1092">
        <f>IF(FD164=0,0,FD165/FD164)*100</f>
        <v>0</v>
      </c>
      <c r="FE166" s="1093"/>
      <c r="FF166" s="1092">
        <f>IF(FF164=0,0,FF165/FF164)*100</f>
        <v>0</v>
      </c>
      <c r="FG166" s="1092">
        <f>IF(FG164=0,0,FG165/FG164)*100</f>
        <v>0</v>
      </c>
      <c r="FH166" s="1093"/>
      <c r="FI166" s="1092">
        <f>IF(FI164=0,0,FI165/FI164)*100</f>
        <v>0</v>
      </c>
      <c r="FJ166" s="1092">
        <f>IF(FJ164=0,0,FJ165/FJ164)*100</f>
        <v>0</v>
      </c>
      <c r="FK166" s="1093"/>
      <c r="FL166" s="1092">
        <f>IF(FL164=0,0,FL165/FL164)*100</f>
        <v>0</v>
      </c>
      <c r="FM166" s="1092">
        <f>IF(FM164=0,0,FM165/FM164)*100</f>
        <v>0</v>
      </c>
      <c r="FN166" s="1093"/>
      <c r="FO166" s="1092">
        <f>IF(FO164=0,0,FO165/FO164)*100</f>
        <v>0</v>
      </c>
      <c r="FP166" s="1092">
        <f>IF(FP164=0,0,FP165/FP164)*100</f>
        <v>0</v>
      </c>
      <c r="FQ166" s="1093"/>
      <c r="FR166" s="1092">
        <f>IF(FR164=0,0,FR165/FR164)*100</f>
        <v>0</v>
      </c>
      <c r="FS166" s="1092">
        <f>IF(FS164=0,0,FS165/FS164)*100</f>
        <v>0</v>
      </c>
      <c r="FT166" s="1093"/>
      <c r="FU166" s="1092">
        <f>IF(FU164=0,0,FU165/FU164)*100</f>
        <v>0</v>
      </c>
      <c r="FV166" s="1092">
        <f>IF(FV164=0,0,FV165/FV164)*100</f>
        <v>0</v>
      </c>
      <c r="FW166" s="1093"/>
      <c r="FX166" s="292"/>
      <c r="FY166" s="1304"/>
      <c r="FZ166" s="1055" t="s">
        <v>2358</v>
      </c>
      <c r="GA166" s="1306"/>
      <c r="GB166" s="1306"/>
      <c r="GC166" s="1305"/>
      <c r="GD166" s="1305"/>
    </row>
    <row s="1834" customFormat="1" customHeight="1" ht="14.25">
      <c r="A167" s="493"/>
      <c r="B167" s="925" cm="1" t="str">
        <f t="array" ref="B167:B167">B166</f>
        <v>true</v>
      </c>
      <c r="C167" s="493"/>
      <c r="D167" s="493"/>
      <c r="E167" s="840">
        <v>15</v>
      </c>
      <c r="F167" s="50" cm="1" t="str">
        <f t="array" ref="F167:F167">OFFSET(E167,-1,1)</f>
        <v>2</v>
      </c>
      <c r="G167" s="107" t="s">
        <v>2359</v>
      </c>
      <c r="H167" s="493" t="s">
        <v>1182</v>
      </c>
      <c r="I167" s="493" t="s">
        <v>2357</v>
      </c>
      <c r="J167" s="493"/>
      <c r="K167" s="493"/>
      <c r="L167" s="493"/>
      <c r="M167" s="493"/>
      <c r="N167" s="493"/>
      <c r="O167" s="493"/>
      <c r="P167" s="493"/>
      <c r="Q167" s="897"/>
      <c r="R167" s="493"/>
      <c r="S167" s="493"/>
      <c r="T167" s="465" cm="1" t="str">
        <f t="array" ref="T167:T167">T166</f>
        <v>true</v>
      </c>
      <c r="U167" s="493"/>
      <c r="V167" s="493"/>
      <c r="W167" s="493"/>
      <c r="X167" s="1596"/>
      <c r="Y167" s="493"/>
      <c r="Z167" s="1545"/>
      <c r="AA167" s="493"/>
      <c r="AB167" s="900" t="s">
        <v>2360</v>
      </c>
      <c r="AC167" s="864" t="s">
        <v>1247</v>
      </c>
      <c r="AD167" s="1094">
        <f>IF(AND(method_reg="Метод индексации",god&lt;&gt;first_year),_xlfn.SUMIFS(INDEX('Калькуляция (МИ корр)'!$AJ$25:$BC$747,,MATCH(AD$8,'Калькуляция (МИ корр)'!$AJ$8:$BC$8,0)),'Калькуляция (МИ корр)'!$F$25:$F$747,$F167,'Калькуляция (МИ корр)'!$G$25:$G$747,$G167),IF(method_reg="Метод экономически обоснованных расходов",_xlfn.SUMIFS('Калькуляция (МЭОР)'!$AJ$25:$AJ$452,'Калькуляция (МЭОР)'!$F$25:$F$452,$F167,'Калькуляция (МЭОР)'!$G$25:$G$452,$G167),IF(method_reg="Метод сравнения аналогов",_xlfn.SUMIFS('Калькуляция (МСА)'!$AE$25:$AE$122,'Калькуляция (МСА)'!$F$25:$F$122,$F167,'Калькуляция (МСА)'!$G$25:$G$122,$G167),_xlfn.SUMIFS(INDEX('Калькуляция (МИ)'!$AJ$25:$BC$747,,MATCH(AD$8,'Калькуляция (МИ)'!$AJ$8:$BC$8,0)),'Калькуляция (МИ)'!$F$25:$F$747,$F167,'Калькуляция (МИ)'!$G$25:$G$747,$G167))))</f>
        <v>682.78641</v>
      </c>
      <c r="AE167" s="1094">
        <f>IF(AND(method_reg="Метод индексации",god&lt;&gt;first_year),_xlfn.SUMIFS(INDEX('Калькуляция (МИ корр)'!$AJ$25:$BC$747,,MATCH(AE$8,'Калькуляция (МИ корр)'!$AJ$8:$BC$8,0)),'Калькуляция (МИ корр)'!$F$25:$F$747,$F167,'Калькуляция (МИ корр)'!$G$25:$G$747,$G167),IF(method_reg="Метод экономически обоснованных расходов",_xlfn.SUMIFS('Калькуляция (МЭОР)'!$AK$25:$AK$452,'Калькуляция (МЭОР)'!$F$25:$F$452,$F167,'Калькуляция (МЭОР)'!$G$25:$G$452,$G167),IF(method_reg="Метод сравнения аналогов",_xlfn.SUMIFS('Калькуляция (МСА)'!$AF$25:$AF$122,'Калькуляция (МСА)'!$F$25:$F$122,$F167,'Калькуляция (МСА)'!$G$25:$G$122,$G167),_xlfn.SUMIFS(INDEX('Калькуляция (МИ)'!$AJ$25:$BC$747,,MATCH(AE$8,'Калькуляция (МИ)'!$AJ$8:$BC$8,0)),'Калькуляция (МИ)'!$F$25:$F$747,$F167,'Калькуляция (МИ)'!$G$25:$G$747,$G167))))</f>
        <v>682.78641</v>
      </c>
      <c r="AF167" s="1095">
        <f>IF(AD167=0,0,(AE167-AD167)/AD167*100)</f>
        <v>0</v>
      </c>
      <c r="AG167" s="1094">
        <f>IF(AND(method_reg="Метод индексации",god&lt;&gt;first_year),_xlfn.SUMIFS(INDEX('Калькуляция (МИ корр)'!$AJ$25:$BC$747,,MATCH(AG$8,'Калькуляция (МИ корр)'!$AJ$8:$BC$8,0)),'Калькуляция (МИ корр)'!$F$25:$F$747,$F167,'Калькуляция (МИ корр)'!$G$25:$G$747,$G167),IF(method_reg="Метод экономически обоснованных расходов",_xlfn.SUMIFS('Калькуляция (МЭОР)'!$AJ$25:$AJ$452,'Калькуляция (МЭОР)'!$F$25:$F$452,$F167,'Калькуляция (МЭОР)'!$G$25:$G$452,$G167),IF(method_reg="Метод сравнения аналогов",_xlfn.SUMIFS('Калькуляция (МСА)'!$AE$25:$AE$122,'Калькуляция (МСА)'!$F$25:$F$122,$F167,'Калькуляция (МСА)'!$G$25:$G$122,$G167),_xlfn.SUMIFS(INDEX('Калькуляция (МИ)'!$AJ$25:$BC$747,,MATCH(AG$8,'Калькуляция (МИ)'!$AJ$8:$BC$8,0)),'Калькуляция (МИ)'!$F$25:$F$747,$F167,'Калькуляция (МИ)'!$G$25:$G$747,$G167))))</f>
        <v>682.78641</v>
      </c>
      <c r="AH167" s="1094">
        <f>IF(AND(method_reg="Метод индексации",god&lt;&gt;first_year),_xlfn.SUMIFS(INDEX('Калькуляция (МИ корр)'!$AJ$25:$BC$747,,MATCH(AH$8,'Калькуляция (МИ корр)'!$AJ$8:$BC$8,0)),'Калькуляция (МИ корр)'!$F$25:$F$747,$F167,'Калькуляция (МИ корр)'!$G$25:$G$747,$G167),IF(method_reg="Метод экономически обоснованных расходов",_xlfn.SUMIFS('Калькуляция (МЭОР)'!$AK$25:$AK$452,'Калькуляция (МЭОР)'!$F$25:$F$452,$F167,'Калькуляция (МЭОР)'!$G$25:$G$452,$G167),IF(method_reg="Метод сравнения аналогов",_xlfn.SUMIFS('Калькуляция (МСА)'!$AF$25:$AF$122,'Калькуляция (МСА)'!$F$25:$F$122,$F167,'Калькуляция (МСА)'!$G$25:$G$122,$G167),_xlfn.SUMIFS(INDEX('Калькуляция (МИ)'!$AJ$25:$BC$747,,MATCH(AH$8,'Калькуляция (МИ)'!$AJ$8:$BC$8,0)),'Калькуляция (МИ)'!$F$25:$F$747,$F167,'Калькуляция (МИ)'!$G$25:$G$747,$G167))))</f>
        <v>682.78641</v>
      </c>
      <c r="AI167" s="1095">
        <f>IF(AG167=0,0,(AH167-AG167)/AG167*100)</f>
        <v>0</v>
      </c>
      <c r="AJ167" s="1094">
        <f>IF(AND(method_reg="Метод индексации",god&lt;&gt;first_year),_xlfn.SUMIFS(INDEX('Калькуляция (МИ корр)'!$AJ$25:$BC$747,,MATCH(AJ$8,'Калькуляция (МИ корр)'!$AJ$8:$BC$8,0)),'Калькуляция (МИ корр)'!$F$25:$F$747,$F167,'Калькуляция (МИ корр)'!$G$25:$G$747,$G167),IF(method_reg="Метод экономически обоснованных расходов",_xlfn.SUMIFS('Калькуляция (МЭОР)'!$AJ$25:$AJ$452,'Калькуляция (МЭОР)'!$F$25:$F$452,$F167,'Калькуляция (МЭОР)'!$G$25:$G$452,$G167),IF(method_reg="Метод сравнения аналогов",_xlfn.SUMIFS('Калькуляция (МСА)'!$AE$25:$AE$122,'Калькуляция (МСА)'!$F$25:$F$122,$F167,'Калькуляция (МСА)'!$G$25:$G$122,$G167),_xlfn.SUMIFS(INDEX('Калькуляция (МИ)'!$AJ$25:$BC$747,,MATCH(AJ$8,'Калькуляция (МИ)'!$AJ$8:$BC$8,0)),'Калькуляция (МИ)'!$F$25:$F$747,$F167,'Калькуляция (МИ)'!$G$25:$G$747,$G167))))</f>
        <v>682.78641</v>
      </c>
      <c r="AK167" s="1094">
        <f>IF(AND(method_reg="Метод индексации",god&lt;&gt;first_year),_xlfn.SUMIFS(INDEX('Калькуляция (МИ корр)'!$AJ$25:$BC$747,,MATCH(AK$8,'Калькуляция (МИ корр)'!$AJ$8:$BC$8,0)),'Калькуляция (МИ корр)'!$F$25:$F$747,$F167,'Калькуляция (МИ корр)'!$G$25:$G$747,$G167),IF(method_reg="Метод экономически обоснованных расходов",_xlfn.SUMIFS('Калькуляция (МЭОР)'!$AK$25:$AK$452,'Калькуляция (МЭОР)'!$F$25:$F$452,$F167,'Калькуляция (МЭОР)'!$G$25:$G$452,$G167),IF(method_reg="Метод сравнения аналогов",_xlfn.SUMIFS('Калькуляция (МСА)'!$AF$25:$AF$122,'Калькуляция (МСА)'!$F$25:$F$122,$F167,'Калькуляция (МСА)'!$G$25:$G$122,$G167),_xlfn.SUMIFS(INDEX('Калькуляция (МИ)'!$AJ$25:$BC$747,,MATCH(AK$8,'Калькуляция (МИ)'!$AJ$8:$BC$8,0)),'Калькуляция (МИ)'!$F$25:$F$747,$F167,'Калькуляция (МИ)'!$G$25:$G$747,$G167))))</f>
        <v>682.78641</v>
      </c>
      <c r="AL167" s="1095">
        <f>IF(AJ167=0,0,(AK167-AJ167)/AJ167*100)</f>
        <v>0</v>
      </c>
      <c r="AM167" s="1094">
        <f>IF(AND(method_reg="Метод индексации",god&lt;&gt;first_year),_xlfn.SUMIFS(INDEX('Калькуляция (МИ корр)'!$AJ$25:$BC$747,,MATCH(AM$8,'Калькуляция (МИ корр)'!$AJ$8:$BC$8,0)),'Калькуляция (МИ корр)'!$F$25:$F$747,$F167,'Калькуляция (МИ корр)'!$G$25:$G$747,$G167),IF(method_reg="Метод экономически обоснованных расходов",_xlfn.SUMIFS('Калькуляция (МЭОР)'!$AJ$25:$AJ$452,'Калькуляция (МЭОР)'!$F$25:$F$452,$F167,'Калькуляция (МЭОР)'!$G$25:$G$452,$G167),IF(method_reg="Метод сравнения аналогов",_xlfn.SUMIFS('Калькуляция (МСА)'!$AE$25:$AE$122,'Калькуляция (МСА)'!$F$25:$F$122,$F167,'Калькуляция (МСА)'!$G$25:$G$122,$G167),_xlfn.SUMIFS(INDEX('Калькуляция (МИ)'!$AJ$25:$BC$747,,MATCH(AM$8,'Калькуляция (МИ)'!$AJ$8:$BC$8,0)),'Калькуляция (МИ)'!$F$25:$F$747,$F167,'Калькуляция (МИ)'!$G$25:$G$747,$G167))))</f>
        <v>682.78641</v>
      </c>
      <c r="AN167" s="1094">
        <f>IF(AND(method_reg="Метод индексации",god&lt;&gt;first_year),_xlfn.SUMIFS(INDEX('Калькуляция (МИ корр)'!$AJ$25:$BC$747,,MATCH(AN$8,'Калькуляция (МИ корр)'!$AJ$8:$BC$8,0)),'Калькуляция (МИ корр)'!$F$25:$F$747,$F167,'Калькуляция (МИ корр)'!$G$25:$G$747,$G167),IF(method_reg="Метод экономически обоснованных расходов",_xlfn.SUMIFS('Калькуляция (МЭОР)'!$AK$25:$AK$452,'Калькуляция (МЭОР)'!$F$25:$F$452,$F167,'Калькуляция (МЭОР)'!$G$25:$G$452,$G167),IF(method_reg="Метод сравнения аналогов",_xlfn.SUMIFS('Калькуляция (МСА)'!$AF$25:$AF$122,'Калькуляция (МСА)'!$F$25:$F$122,$F167,'Калькуляция (МСА)'!$G$25:$G$122,$G167),_xlfn.SUMIFS(INDEX('Калькуляция (МИ)'!$AJ$25:$BC$747,,MATCH(AN$8,'Калькуляция (МИ)'!$AJ$8:$BC$8,0)),'Калькуляция (МИ)'!$F$25:$F$747,$F167,'Калькуляция (МИ)'!$G$25:$G$747,$G167))))</f>
        <v>682.78641</v>
      </c>
      <c r="AO167" s="1095">
        <f>IF(AM167=0,0,(AN167-AM167)/AM167*100)</f>
        <v>0</v>
      </c>
      <c r="AP167" s="1094">
        <f>IF(AND(method_reg="Метод индексации",god&lt;&gt;first_year),_xlfn.SUMIFS(INDEX('Калькуляция (МИ корр)'!$AJ$25:$BC$747,,MATCH(AP$8,'Калькуляция (МИ корр)'!$AJ$8:$BC$8,0)),'Калькуляция (МИ корр)'!$F$25:$F$747,$F167,'Калькуляция (МИ корр)'!$G$25:$G$747,$G167),IF(method_reg="Метод экономически обоснованных расходов",_xlfn.SUMIFS('Калькуляция (МЭОР)'!$AJ$25:$AJ$452,'Калькуляция (МЭОР)'!$F$25:$F$452,$F167,'Калькуляция (МЭОР)'!$G$25:$G$452,$G167),IF(method_reg="Метод сравнения аналогов",_xlfn.SUMIFS('Калькуляция (МСА)'!$AE$25:$AE$122,'Калькуляция (МСА)'!$F$25:$F$122,$F167,'Калькуляция (МСА)'!$G$25:$G$122,$G167),_xlfn.SUMIFS(INDEX('Калькуляция (МИ)'!$AJ$25:$BC$747,,MATCH(AP$8,'Калькуляция (МИ)'!$AJ$8:$BC$8,0)),'Калькуляция (МИ)'!$F$25:$F$747,$F167,'Калькуляция (МИ)'!$G$25:$G$747,$G167))))</f>
        <v>682.78641</v>
      </c>
      <c r="AQ167" s="1094">
        <f>IF(AND(method_reg="Метод индексации",god&lt;&gt;first_year),_xlfn.SUMIFS(INDEX('Калькуляция (МИ корр)'!$AJ$25:$BC$747,,MATCH(AQ$8,'Калькуляция (МИ корр)'!$AJ$8:$BC$8,0)),'Калькуляция (МИ корр)'!$F$25:$F$747,$F167,'Калькуляция (МИ корр)'!$G$25:$G$747,$G167),IF(method_reg="Метод экономически обоснованных расходов",_xlfn.SUMIFS('Калькуляция (МЭОР)'!$AK$25:$AK$452,'Калькуляция (МЭОР)'!$F$25:$F$452,$F167,'Калькуляция (МЭОР)'!$G$25:$G$452,$G167),IF(method_reg="Метод сравнения аналогов",_xlfn.SUMIFS('Калькуляция (МСА)'!$AF$25:$AF$122,'Калькуляция (МСА)'!$F$25:$F$122,$F167,'Калькуляция (МСА)'!$G$25:$G$122,$G167),_xlfn.SUMIFS(INDEX('Калькуляция (МИ)'!$AJ$25:$BC$747,,MATCH(AQ$8,'Калькуляция (МИ)'!$AJ$8:$BC$8,0)),'Калькуляция (МИ)'!$F$25:$F$747,$F167,'Калькуляция (МИ)'!$G$25:$G$747,$G167))))</f>
        <v>682.78641</v>
      </c>
      <c r="AR167" s="1095">
        <f>IF(AP167=0,0,(AQ167-AP167)/AP167*100)</f>
        <v>0</v>
      </c>
      <c r="AS167" s="5247">
        <f>IF(AND(method_reg="Метод индексации",god&lt;&gt;first_year),_xlfn.SUMIFS(INDEX('Калькуляция (МИ корр)'!$AJ$25:$BC$747,,MATCH(AS$8,'Калькуляция (МИ корр)'!$AJ$8:$BC$8,0)),'Калькуляция (МИ корр)'!$F$25:$F$747,$F167,'Калькуляция (МИ корр)'!$G$25:$G$747,$G167),IF(method_reg="Метод экономически обоснованных расходов",_xlfn.SUMIFS('Калькуляция (МЭОР)'!$AJ$25:$AJ$452,'Калькуляция (МЭОР)'!$F$25:$F$452,$F167,'Калькуляция (МЭОР)'!$G$25:$G$452,$G167),IF(method_reg="Метод сравнения аналогов",_xlfn.SUMIFS('Калькуляция (МСА)'!$AE$25:$AE$122,'Калькуляция (МСА)'!$F$25:$F$122,$F167,'Калькуляция (МСА)'!$G$25:$G$122,$G167),_xlfn.SUMIFS(INDEX('Калькуляция (МИ)'!$AJ$25:$BC$747,,MATCH(AS$8,'Калькуляция (МИ)'!$AJ$8:$BC$8,0)),'Калькуляция (МИ)'!$F$25:$F$747,$F167,'Калькуляция (МИ)'!$G$25:$G$747,$G167))))</f>
        <v>0</v>
      </c>
      <c r="AT167" s="5247">
        <f>IF(AND(method_reg="Метод индексации",god&lt;&gt;first_year),_xlfn.SUMIFS(INDEX('Калькуляция (МИ корр)'!$AJ$25:$BC$747,,MATCH(AT$8,'Калькуляция (МИ корр)'!$AJ$8:$BC$8,0)),'Калькуляция (МИ корр)'!$F$25:$F$747,$F167,'Калькуляция (МИ корр)'!$G$25:$G$747,$G167),IF(method_reg="Метод экономически обоснованных расходов",_xlfn.SUMIFS('Калькуляция (МЭОР)'!$AK$25:$AK$452,'Калькуляция (МЭОР)'!$F$25:$F$452,$F167,'Калькуляция (МЭОР)'!$G$25:$G$452,$G167),IF(method_reg="Метод сравнения аналогов",_xlfn.SUMIFS('Калькуляция (МСА)'!$AF$25:$AF$122,'Калькуляция (МСА)'!$F$25:$F$122,$F167,'Калькуляция (МСА)'!$G$25:$G$122,$G167),_xlfn.SUMIFS(INDEX('Калькуляция (МИ)'!$AJ$25:$BC$747,,MATCH(AT$8,'Калькуляция (МИ)'!$AJ$8:$BC$8,0)),'Калькуляция (МИ)'!$F$25:$F$747,$F167,'Калькуляция (МИ)'!$G$25:$G$747,$G167))))</f>
        <v>0</v>
      </c>
      <c r="AU167" s="1095">
        <f>IF(AS167=0,0,(AT167-AS167)/AS167*100)</f>
        <v>0</v>
      </c>
      <c r="AV167" s="5247">
        <f>IF(AND(method_reg="Метод индексации",god&lt;&gt;first_year),_xlfn.SUMIFS(INDEX('Калькуляция (МИ корр)'!$AJ$25:$BC$747,,MATCH(AV$8,'Калькуляция (МИ корр)'!$AJ$8:$BC$8,0)),'Калькуляция (МИ корр)'!$F$25:$F$747,$F167,'Калькуляция (МИ корр)'!$G$25:$G$747,$G167),IF(method_reg="Метод экономически обоснованных расходов",_xlfn.SUMIFS('Калькуляция (МЭОР)'!$AJ$25:$AJ$452,'Калькуляция (МЭОР)'!$F$25:$F$452,$F167,'Калькуляция (МЭОР)'!$G$25:$G$452,$G167),IF(method_reg="Метод сравнения аналогов",_xlfn.SUMIFS('Калькуляция (МСА)'!$AE$25:$AE$122,'Калькуляция (МСА)'!$F$25:$F$122,$F167,'Калькуляция (МСА)'!$G$25:$G$122,$G167),_xlfn.SUMIFS(INDEX('Калькуляция (МИ)'!$AJ$25:$BC$747,,MATCH(AV$8,'Калькуляция (МИ)'!$AJ$8:$BC$8,0)),'Калькуляция (МИ)'!$F$25:$F$747,$F167,'Калькуляция (МИ)'!$G$25:$G$747,$G167))))</f>
        <v>0</v>
      </c>
      <c r="AW167" s="5247">
        <f>IF(AND(method_reg="Метод индексации",god&lt;&gt;first_year),_xlfn.SUMIFS(INDEX('Калькуляция (МИ корр)'!$AJ$25:$BC$747,,MATCH(AW$8,'Калькуляция (МИ корр)'!$AJ$8:$BC$8,0)),'Калькуляция (МИ корр)'!$F$25:$F$747,$F167,'Калькуляция (МИ корр)'!$G$25:$G$747,$G167),IF(method_reg="Метод экономически обоснованных расходов",_xlfn.SUMIFS('Калькуляция (МЭОР)'!$AK$25:$AK$452,'Калькуляция (МЭОР)'!$F$25:$F$452,$F167,'Калькуляция (МЭОР)'!$G$25:$G$452,$G167),IF(method_reg="Метод сравнения аналогов",_xlfn.SUMIFS('Калькуляция (МСА)'!$AF$25:$AF$122,'Калькуляция (МСА)'!$F$25:$F$122,$F167,'Калькуляция (МСА)'!$G$25:$G$122,$G167),_xlfn.SUMIFS(INDEX('Калькуляция (МИ)'!$AJ$25:$BC$747,,MATCH(AW$8,'Калькуляция (МИ)'!$AJ$8:$BC$8,0)),'Калькуляция (МИ)'!$F$25:$F$747,$F167,'Калькуляция (МИ)'!$G$25:$G$747,$G167))))</f>
        <v>0</v>
      </c>
      <c r="AX167" s="1095">
        <f>IF(AV167=0,0,(AW167-AV167)/AV167*100)</f>
        <v>0</v>
      </c>
      <c r="AY167" s="5247">
        <f>IF(AND(method_reg="Метод индексации",god&lt;&gt;first_year),_xlfn.SUMIFS(INDEX('Калькуляция (МИ корр)'!$AJ$25:$BC$747,,MATCH(AY$8,'Калькуляция (МИ корр)'!$AJ$8:$BC$8,0)),'Калькуляция (МИ корр)'!$F$25:$F$747,$F167,'Калькуляция (МИ корр)'!$G$25:$G$747,$G167),IF(method_reg="Метод экономически обоснованных расходов",_xlfn.SUMIFS('Калькуляция (МЭОР)'!$AJ$25:$AJ$452,'Калькуляция (МЭОР)'!$F$25:$F$452,$F167,'Калькуляция (МЭОР)'!$G$25:$G$452,$G167),IF(method_reg="Метод сравнения аналогов",_xlfn.SUMIFS('Калькуляция (МСА)'!$AE$25:$AE$122,'Калькуляция (МСА)'!$F$25:$F$122,$F167,'Калькуляция (МСА)'!$G$25:$G$122,$G167),_xlfn.SUMIFS(INDEX('Калькуляция (МИ)'!$AJ$25:$BC$747,,MATCH(AY$8,'Калькуляция (МИ)'!$AJ$8:$BC$8,0)),'Калькуляция (МИ)'!$F$25:$F$747,$F167,'Калькуляция (МИ)'!$G$25:$G$747,$G167))))</f>
        <v>0</v>
      </c>
      <c r="AZ167" s="5247">
        <f>IF(AND(method_reg="Метод индексации",god&lt;&gt;first_year),_xlfn.SUMIFS(INDEX('Калькуляция (МИ корр)'!$AJ$25:$BC$747,,MATCH(AZ$8,'Калькуляция (МИ корр)'!$AJ$8:$BC$8,0)),'Калькуляция (МИ корр)'!$F$25:$F$747,$F167,'Калькуляция (МИ корр)'!$G$25:$G$747,$G167),IF(method_reg="Метод экономически обоснованных расходов",_xlfn.SUMIFS('Калькуляция (МЭОР)'!$AK$25:$AK$452,'Калькуляция (МЭОР)'!$F$25:$F$452,$F167,'Калькуляция (МЭОР)'!$G$25:$G$452,$G167),IF(method_reg="Метод сравнения аналогов",_xlfn.SUMIFS('Калькуляция (МСА)'!$AF$25:$AF$122,'Калькуляция (МСА)'!$F$25:$F$122,$F167,'Калькуляция (МСА)'!$G$25:$G$122,$G167),_xlfn.SUMIFS(INDEX('Калькуляция (МИ)'!$AJ$25:$BC$747,,MATCH(AZ$8,'Калькуляция (МИ)'!$AJ$8:$BC$8,0)),'Калькуляция (МИ)'!$F$25:$F$747,$F167,'Калькуляция (МИ)'!$G$25:$G$747,$G167))))</f>
        <v>0</v>
      </c>
      <c r="BA167" s="1095">
        <f>IF(AY167=0,0,(AZ167-AY167)/AY167*100)</f>
        <v>0</v>
      </c>
      <c r="BB167" s="5247">
        <f>IF(AND(method_reg="Метод индексации",god&lt;&gt;first_year),_xlfn.SUMIFS(INDEX('Калькуляция (МИ корр)'!$AJ$25:$BC$747,,MATCH(BB$8,'Калькуляция (МИ корр)'!$AJ$8:$BC$8,0)),'Калькуляция (МИ корр)'!$F$25:$F$747,$F167,'Калькуляция (МИ корр)'!$G$25:$G$747,$G167),IF(method_reg="Метод экономически обоснованных расходов",_xlfn.SUMIFS('Калькуляция (МЭОР)'!$AJ$25:$AJ$452,'Калькуляция (МЭОР)'!$F$25:$F$452,$F167,'Калькуляция (МЭОР)'!$G$25:$G$452,$G167),IF(method_reg="Метод сравнения аналогов",_xlfn.SUMIFS('Калькуляция (МСА)'!$AE$25:$AE$122,'Калькуляция (МСА)'!$F$25:$F$122,$F167,'Калькуляция (МСА)'!$G$25:$G$122,$G167),_xlfn.SUMIFS(INDEX('Калькуляция (МИ)'!$AJ$25:$BC$747,,MATCH(BB$8,'Калькуляция (МИ)'!$AJ$8:$BC$8,0)),'Калькуляция (МИ)'!$F$25:$F$747,$F167,'Калькуляция (МИ)'!$G$25:$G$747,$G167))))</f>
        <v>0</v>
      </c>
      <c r="BC167" s="5247">
        <f>IF(AND(method_reg="Метод индексации",god&lt;&gt;first_year),_xlfn.SUMIFS(INDEX('Калькуляция (МИ корр)'!$AJ$25:$BC$747,,MATCH(BC$8,'Калькуляция (МИ корр)'!$AJ$8:$BC$8,0)),'Калькуляция (МИ корр)'!$F$25:$F$747,$F167,'Калькуляция (МИ корр)'!$G$25:$G$747,$G167),IF(method_reg="Метод экономически обоснованных расходов",_xlfn.SUMIFS('Калькуляция (МЭОР)'!$AK$25:$AK$452,'Калькуляция (МЭОР)'!$F$25:$F$452,$F167,'Калькуляция (МЭОР)'!$G$25:$G$452,$G167),IF(method_reg="Метод сравнения аналогов",_xlfn.SUMIFS('Калькуляция (МСА)'!$AF$25:$AF$122,'Калькуляция (МСА)'!$F$25:$F$122,$F167,'Калькуляция (МСА)'!$G$25:$G$122,$G167),_xlfn.SUMIFS(INDEX('Калькуляция (МИ)'!$AJ$25:$BC$747,,MATCH(BC$8,'Калькуляция (МИ)'!$AJ$8:$BC$8,0)),'Калькуляция (МИ)'!$F$25:$F$747,$F167,'Калькуляция (МИ)'!$G$25:$G$747,$G167))))</f>
        <v>0</v>
      </c>
      <c r="BD167" s="1095">
        <f>IF(BB167=0,0,(BC167-BB167)/BB167*100)</f>
        <v>0</v>
      </c>
      <c r="BE167" s="5247">
        <f>IF(AND(method_reg="Метод индексации",god&lt;&gt;first_year),_xlfn.SUMIFS(INDEX('Калькуляция (МИ корр)'!$AJ$25:$BC$747,,MATCH(BE$8,'Калькуляция (МИ корр)'!$AJ$8:$BC$8,0)),'Калькуляция (МИ корр)'!$F$25:$F$747,$F167,'Калькуляция (МИ корр)'!$G$25:$G$747,$G167),IF(method_reg="Метод экономически обоснованных расходов",_xlfn.SUMIFS('Калькуляция (МЭОР)'!$AJ$25:$AJ$452,'Калькуляция (МЭОР)'!$F$25:$F$452,$F167,'Калькуляция (МЭОР)'!$G$25:$G$452,$G167),IF(method_reg="Метод сравнения аналогов",_xlfn.SUMIFS('Калькуляция (МСА)'!$AE$25:$AE$122,'Калькуляция (МСА)'!$F$25:$F$122,$F167,'Калькуляция (МСА)'!$G$25:$G$122,$G167),_xlfn.SUMIFS(INDEX('Калькуляция (МИ)'!$AJ$25:$BC$747,,MATCH(BE$8,'Калькуляция (МИ)'!$AJ$8:$BC$8,0)),'Калькуляция (МИ)'!$F$25:$F$747,$F167,'Калькуляция (МИ)'!$G$25:$G$747,$G167))))</f>
        <v>0</v>
      </c>
      <c r="BF167" s="5247">
        <f>IF(AND(method_reg="Метод индексации",god&lt;&gt;first_year),_xlfn.SUMIFS(INDEX('Калькуляция (МИ корр)'!$AJ$25:$BC$747,,MATCH(BF$8,'Калькуляция (МИ корр)'!$AJ$8:$BC$8,0)),'Калькуляция (МИ корр)'!$F$25:$F$747,$F167,'Калькуляция (МИ корр)'!$G$25:$G$747,$G167),IF(method_reg="Метод экономически обоснованных расходов",_xlfn.SUMIFS('Калькуляция (МЭОР)'!$AK$25:$AK$452,'Калькуляция (МЭОР)'!$F$25:$F$452,$F167,'Калькуляция (МЭОР)'!$G$25:$G$452,$G167),IF(method_reg="Метод сравнения аналогов",_xlfn.SUMIFS('Калькуляция (МСА)'!$AF$25:$AF$122,'Калькуляция (МСА)'!$F$25:$F$122,$F167,'Калькуляция (МСА)'!$G$25:$G$122,$G167),_xlfn.SUMIFS(INDEX('Калькуляция (МИ)'!$AJ$25:$BC$747,,MATCH(BF$8,'Калькуляция (МИ)'!$AJ$8:$BC$8,0)),'Калькуляция (МИ)'!$F$25:$F$747,$F167,'Калькуляция (МИ)'!$G$25:$G$747,$G167))))</f>
        <v>0</v>
      </c>
      <c r="BG167" s="1095">
        <f>IF(BE167=0,0,(BF167-BE167)/BE167*100)</f>
        <v>0</v>
      </c>
      <c r="BH167" s="5247"/>
      <c r="BI167" s="5247"/>
      <c r="BJ167" s="1095">
        <f>IF(BH167=0,0,(BI167-BH167)/BH167*100)</f>
        <v>0</v>
      </c>
      <c r="BK167" s="5247"/>
      <c r="BL167" s="5247"/>
      <c r="BM167" s="1095">
        <f>IF(BK167=0,0,(BL167-BK167)/BK167*100)</f>
        <v>0</v>
      </c>
      <c r="BN167" s="5247"/>
      <c r="BO167" s="5247"/>
      <c r="BP167" s="1095">
        <f>IF(BN167=0,0,(BO167-BN167)/BN167*100)</f>
        <v>0</v>
      </c>
      <c r="BQ167" s="5247"/>
      <c r="BR167" s="5247"/>
      <c r="BS167" s="1095">
        <f>IF(BQ167=0,0,(BR167-BQ167)/BQ167*100)</f>
        <v>0</v>
      </c>
      <c r="BT167" s="5247"/>
      <c r="BU167" s="5247"/>
      <c r="BV167" s="1095">
        <f>IF(BT167=0,0,(BU167-BT167)/BT167*100)</f>
        <v>0</v>
      </c>
      <c r="BW167" s="5247"/>
      <c r="BX167" s="5247"/>
      <c r="BY167" s="1095">
        <f>IF(BW167=0,0,(BX167-BW167)/BW167*100)</f>
        <v>0</v>
      </c>
      <c r="BZ167" s="5247"/>
      <c r="CA167" s="5247"/>
      <c r="CB167" s="1095">
        <f>IF(BZ167=0,0,(CA167-BZ167)/BZ167*100)</f>
        <v>0</v>
      </c>
      <c r="CC167" s="5247"/>
      <c r="CD167" s="5247"/>
      <c r="CE167" s="1095">
        <f>IF(CC167=0,0,(CD167-CC167)/CC167*100)</f>
        <v>0</v>
      </c>
      <c r="CF167" s="5247"/>
      <c r="CG167" s="5247"/>
      <c r="CH167" s="1095">
        <f>IF(CF167=0,0,(CG167-CF167)/CF167*100)</f>
        <v>0</v>
      </c>
      <c r="CI167" s="5247"/>
      <c r="CJ167" s="5247"/>
      <c r="CK167" s="1095">
        <f>IF(CI167=0,0,(CJ167-CI167)/CI167*100)</f>
        <v>0</v>
      </c>
      <c r="CL167" s="5247"/>
      <c r="CM167" s="5247"/>
      <c r="CN167" s="1095">
        <f>IF(CL167=0,0,(CM167-CL167)/CL167*100)</f>
        <v>0</v>
      </c>
      <c r="CO167" s="5247"/>
      <c r="CP167" s="5247"/>
      <c r="CQ167" s="1095">
        <f>IF(CO167=0,0,(CP167-CO167)/CO167*100)</f>
        <v>0</v>
      </c>
      <c r="CR167" s="5247"/>
      <c r="CS167" s="5247"/>
      <c r="CT167" s="1095">
        <f>IF(CR167=0,0,(CS167-CR167)/CR167*100)</f>
        <v>0</v>
      </c>
      <c r="CU167" s="5247"/>
      <c r="CV167" s="5247"/>
      <c r="CW167" s="1095">
        <f>IF(CU167=0,0,(CV167-CU167)/CU167*100)</f>
        <v>0</v>
      </c>
      <c r="CX167" s="5247"/>
      <c r="CY167" s="5247"/>
      <c r="CZ167" s="1095">
        <f>IF(CX167=0,0,(CY167-CX167)/CX167*100)</f>
        <v>0</v>
      </c>
      <c r="DA167" s="5247"/>
      <c r="DB167" s="5247"/>
      <c r="DC167" s="1095">
        <f>IF(DA167=0,0,(DB167-DA167)/DA167*100)</f>
        <v>0</v>
      </c>
      <c r="DD167" s="5247"/>
      <c r="DE167" s="5247"/>
      <c r="DF167" s="1095">
        <f>IF(DD167=0,0,(DE167-DD167)/DD167*100)</f>
        <v>0</v>
      </c>
      <c r="DG167" s="5247"/>
      <c r="DH167" s="5247"/>
      <c r="DI167" s="1095">
        <f>IF(DG167=0,0,(DH167-DG167)/DG167*100)</f>
        <v>0</v>
      </c>
      <c r="DJ167" s="5247"/>
      <c r="DK167" s="5247"/>
      <c r="DL167" s="1095">
        <f>IF(DJ167=0,0,(DK167-DJ167)/DJ167*100)</f>
        <v>0</v>
      </c>
      <c r="DM167" s="5247"/>
      <c r="DN167" s="5247"/>
      <c r="DO167" s="1095">
        <f>IF(DM167=0,0,(DN167-DM167)/DM167*100)</f>
        <v>0</v>
      </c>
      <c r="DP167" s="5247"/>
      <c r="DQ167" s="5247"/>
      <c r="DR167" s="1095">
        <f>IF(DP167=0,0,(DQ167-DP167)/DP167*100)</f>
        <v>0</v>
      </c>
      <c r="DS167" s="5247"/>
      <c r="DT167" s="5247"/>
      <c r="DU167" s="1095">
        <f>IF(DS167=0,0,(DT167-DS167)/DS167*100)</f>
        <v>0</v>
      </c>
      <c r="DV167" s="5247"/>
      <c r="DW167" s="5247"/>
      <c r="DX167" s="1095">
        <f>IF(DV167=0,0,(DW167-DV167)/DV167*100)</f>
        <v>0</v>
      </c>
      <c r="DY167" s="5247"/>
      <c r="DZ167" s="5247"/>
      <c r="EA167" s="1095">
        <f>IF(DY167=0,0,(DZ167-DY167)/DY167*100)</f>
        <v>0</v>
      </c>
      <c r="EB167" s="5247"/>
      <c r="EC167" s="5247"/>
      <c r="ED167" s="1095">
        <f>IF(EB167=0,0,(EC167-EB167)/EB167*100)</f>
        <v>0</v>
      </c>
      <c r="EE167" s="5247"/>
      <c r="EF167" s="5247"/>
      <c r="EG167" s="1095">
        <f>IF(EE167=0,0,(EF167-EE167)/EE167*100)</f>
        <v>0</v>
      </c>
      <c r="EH167" s="5247"/>
      <c r="EI167" s="5247"/>
      <c r="EJ167" s="1095">
        <f>IF(EH167=0,0,(EI167-EH167)/EH167*100)</f>
        <v>0</v>
      </c>
      <c r="EK167" s="5247"/>
      <c r="EL167" s="5247"/>
      <c r="EM167" s="1095">
        <f>IF(EK167=0,0,(EL167-EK167)/EK167*100)</f>
        <v>0</v>
      </c>
      <c r="EN167" s="5247"/>
      <c r="EO167" s="5247"/>
      <c r="EP167" s="1095">
        <f>IF(EN167=0,0,(EO167-EN167)/EN167*100)</f>
        <v>0</v>
      </c>
      <c r="EQ167" s="5247"/>
      <c r="ER167" s="5247"/>
      <c r="ES167" s="1095">
        <f>IF(EQ167=0,0,(ER167-EQ167)/EQ167*100)</f>
        <v>0</v>
      </c>
      <c r="ET167" s="5247"/>
      <c r="EU167" s="5247"/>
      <c r="EV167" s="1095">
        <f>IF(ET167=0,0,(EU167-ET167)/ET167*100)</f>
        <v>0</v>
      </c>
      <c r="EW167" s="5247"/>
      <c r="EX167" s="5247"/>
      <c r="EY167" s="1095">
        <f>IF(EW167=0,0,(EX167-EW167)/EW167*100)</f>
        <v>0</v>
      </c>
      <c r="EZ167" s="5247"/>
      <c r="FA167" s="5247"/>
      <c r="FB167" s="1095">
        <f>IF(EZ167=0,0,(FA167-EZ167)/EZ167*100)</f>
        <v>0</v>
      </c>
      <c r="FC167" s="5247"/>
      <c r="FD167" s="5247"/>
      <c r="FE167" s="1095">
        <f>IF(FC167=0,0,(FD167-FC167)/FC167*100)</f>
        <v>0</v>
      </c>
      <c r="FF167" s="5247"/>
      <c r="FG167" s="5247"/>
      <c r="FH167" s="1095">
        <f>IF(FF167=0,0,(FG167-FF167)/FF167*100)</f>
        <v>0</v>
      </c>
      <c r="FI167" s="5247"/>
      <c r="FJ167" s="5247"/>
      <c r="FK167" s="1095">
        <f>IF(FI167=0,0,(FJ167-FI167)/FI167*100)</f>
        <v>0</v>
      </c>
      <c r="FL167" s="5247"/>
      <c r="FM167" s="5247"/>
      <c r="FN167" s="1095">
        <f>IF(FL167=0,0,(FM167-FL167)/FL167*100)</f>
        <v>0</v>
      </c>
      <c r="FO167" s="5247"/>
      <c r="FP167" s="5247"/>
      <c r="FQ167" s="1095">
        <f>IF(FO167=0,0,(FP167-FO167)/FO167*100)</f>
        <v>0</v>
      </c>
      <c r="FR167" s="5247"/>
      <c r="FS167" s="5247"/>
      <c r="FT167" s="1095">
        <f>IF(FR167=0,0,(FS167-FR167)/FR167*100)</f>
        <v>0</v>
      </c>
      <c r="FU167" s="5247"/>
      <c r="FV167" s="5247"/>
      <c r="FW167" s="1095">
        <f>IF(FU167=0,0,(FV167-FU167)/FU167*100)</f>
        <v>0</v>
      </c>
      <c r="FX167" s="292"/>
      <c r="FY167" s="1304"/>
      <c r="FZ167" s="1055" t="s">
        <v>2361</v>
      </c>
      <c r="GA167" s="1306"/>
      <c r="GB167" s="1306"/>
      <c r="GC167" s="1305"/>
      <c r="GD167" s="1305"/>
    </row>
    <row s="1834" customFormat="1" customHeight="1" ht="18" hidden="1">
      <c r="A168" s="493"/>
      <c r="B168" s="925" cm="1" t="str">
        <f t="array" ref="B168:B168">B167</f>
        <v>true</v>
      </c>
      <c r="C168" s="493"/>
      <c r="D168" s="493"/>
      <c r="E168" s="840">
        <v>18.75</v>
      </c>
      <c r="F168" s="50" cm="1" t="str">
        <f t="array" ref="F168:F168">OFFSET(E168,-1,1)</f>
        <v>2</v>
      </c>
      <c r="G168" s="493"/>
      <c r="H168" s="493" t="s">
        <v>1175</v>
      </c>
      <c r="I168" s="493" cm="1" t="str">
        <f t="array" ref="I168:I168">AB168</f>
        <v>0</v>
      </c>
      <c r="J168" s="493"/>
      <c r="K168" s="493"/>
      <c r="L168" s="493"/>
      <c r="M168" s="493"/>
      <c r="N168" s="493"/>
      <c r="O168" s="493"/>
      <c r="P168" s="493"/>
      <c r="Q168" s="897"/>
      <c r="R168" s="493"/>
      <c r="S168" s="493"/>
      <c r="T168" s="465">
        <f>AND(F168&gt;0,Y168&gt;0)</f>
        <v>0</v>
      </c>
      <c r="U168" s="493"/>
      <c r="V168" s="493"/>
      <c r="W168" s="493" t="s">
        <v>174</v>
      </c>
      <c r="X168" s="1596"/>
      <c r="Y168" s="1596">
        <v>0</v>
      </c>
      <c r="Z168" s="1545"/>
      <c r="AA168" s="1494" t="s">
        <v>175</v>
      </c>
      <c r="AB168" s="5252"/>
      <c r="AC168" s="864" t="s">
        <v>2337</v>
      </c>
      <c r="AD168" s="2846"/>
      <c r="AE168" s="5253"/>
      <c r="AF168" s="1093">
        <f>IF(AD168=0,0,(AE168-AD168)/AD168*100)</f>
        <v>0</v>
      </c>
      <c r="AG168" s="2846"/>
      <c r="AH168" s="5253"/>
      <c r="AI168" s="1093">
        <f>IF(AG168=0,0,(AH168-AG168)/AG168*100)</f>
        <v>0</v>
      </c>
      <c r="AJ168" s="2846"/>
      <c r="AK168" s="5253"/>
      <c r="AL168" s="1093">
        <f>IF(AJ168=0,0,(AK168-AJ168)/AJ168*100)</f>
        <v>0</v>
      </c>
      <c r="AM168" s="2846"/>
      <c r="AN168" s="5253"/>
      <c r="AO168" s="1093">
        <f>IF(AM168=0,0,(AN168-AM168)/AM168*100)</f>
        <v>0</v>
      </c>
      <c r="AP168" s="2846"/>
      <c r="AQ168" s="5253"/>
      <c r="AR168" s="1093">
        <f>IF(AP168=0,0,(AQ168-AP168)/AP168*100)</f>
        <v>0</v>
      </c>
      <c r="AS168" s="2846"/>
      <c r="AT168" s="5253"/>
      <c r="AU168" s="1093">
        <f>IF(AS168=0,0,(AT168-AS168)/AS168*100)</f>
        <v>0</v>
      </c>
      <c r="AV168" s="2846"/>
      <c r="AW168" s="5253"/>
      <c r="AX168" s="1093">
        <f>IF(AV168=0,0,(AW168-AV168)/AV168*100)</f>
        <v>0</v>
      </c>
      <c r="AY168" s="2846"/>
      <c r="AZ168" s="5253"/>
      <c r="BA168" s="1093">
        <f>IF(AY168=0,0,(AZ168-AY168)/AY168*100)</f>
        <v>0</v>
      </c>
      <c r="BB168" s="2846"/>
      <c r="BC168" s="5253"/>
      <c r="BD168" s="1093">
        <f>IF(BB168=0,0,(BC168-BB168)/BB168*100)</f>
        <v>0</v>
      </c>
      <c r="BE168" s="2846"/>
      <c r="BF168" s="5253"/>
      <c r="BG168" s="1093">
        <f>IF(BE168=0,0,(BF168-BE168)/BE168*100)</f>
        <v>0</v>
      </c>
      <c r="BH168" s="2846"/>
      <c r="BI168" s="5253"/>
      <c r="BJ168" s="1093">
        <f>IF(BH168=0,0,(BI168-BH168)/BH168*100)</f>
        <v>0</v>
      </c>
      <c r="BK168" s="2846"/>
      <c r="BL168" s="5253"/>
      <c r="BM168" s="1093">
        <f>IF(BK168=0,0,(BL168-BK168)/BK168*100)</f>
        <v>0</v>
      </c>
      <c r="BN168" s="2846"/>
      <c r="BO168" s="5253"/>
      <c r="BP168" s="1093">
        <f>IF(BN168=0,0,(BO168-BN168)/BN168*100)</f>
        <v>0</v>
      </c>
      <c r="BQ168" s="2846"/>
      <c r="BR168" s="5253"/>
      <c r="BS168" s="1093">
        <f>IF(BQ168=0,0,(BR168-BQ168)/BQ168*100)</f>
        <v>0</v>
      </c>
      <c r="BT168" s="2846"/>
      <c r="BU168" s="5253"/>
      <c r="BV168" s="1093">
        <f>IF(BT168=0,0,(BU168-BT168)/BT168*100)</f>
        <v>0</v>
      </c>
      <c r="BW168" s="2846"/>
      <c r="BX168" s="5253"/>
      <c r="BY168" s="1093">
        <f>IF(BW168=0,0,(BX168-BW168)/BW168*100)</f>
        <v>0</v>
      </c>
      <c r="BZ168" s="2846"/>
      <c r="CA168" s="5253"/>
      <c r="CB168" s="1093">
        <f>IF(BZ168=0,0,(CA168-BZ168)/BZ168*100)</f>
        <v>0</v>
      </c>
      <c r="CC168" s="2846"/>
      <c r="CD168" s="5253"/>
      <c r="CE168" s="1093">
        <f>IF(CC168=0,0,(CD168-CC168)/CC168*100)</f>
        <v>0</v>
      </c>
      <c r="CF168" s="2846"/>
      <c r="CG168" s="5253"/>
      <c r="CH168" s="1093">
        <f>IF(CF168=0,0,(CG168-CF168)/CF168*100)</f>
        <v>0</v>
      </c>
      <c r="CI168" s="2846"/>
      <c r="CJ168" s="5253"/>
      <c r="CK168" s="1093">
        <f>IF(CI168=0,0,(CJ168-CI168)/CI168*100)</f>
        <v>0</v>
      </c>
      <c r="CL168" s="2846"/>
      <c r="CM168" s="5253"/>
      <c r="CN168" s="1093">
        <f>IF(CL168=0,0,(CM168-CL168)/CL168*100)</f>
        <v>0</v>
      </c>
      <c r="CO168" s="2846"/>
      <c r="CP168" s="5253"/>
      <c r="CQ168" s="1093">
        <f>IF(CO168=0,0,(CP168-CO168)/CO168*100)</f>
        <v>0</v>
      </c>
      <c r="CR168" s="2846"/>
      <c r="CS168" s="5253"/>
      <c r="CT168" s="1093">
        <f>IF(CR168=0,0,(CS168-CR168)/CR168*100)</f>
        <v>0</v>
      </c>
      <c r="CU168" s="2846"/>
      <c r="CV168" s="5253"/>
      <c r="CW168" s="1093">
        <f>IF(CU168=0,0,(CV168-CU168)/CU168*100)</f>
        <v>0</v>
      </c>
      <c r="CX168" s="2846"/>
      <c r="CY168" s="5253"/>
      <c r="CZ168" s="1093">
        <f>IF(CX168=0,0,(CY168-CX168)/CX168*100)</f>
        <v>0</v>
      </c>
      <c r="DA168" s="2846"/>
      <c r="DB168" s="5253"/>
      <c r="DC168" s="1093">
        <f>IF(DA168=0,0,(DB168-DA168)/DA168*100)</f>
        <v>0</v>
      </c>
      <c r="DD168" s="2846"/>
      <c r="DE168" s="5253"/>
      <c r="DF168" s="1093">
        <f>IF(DD168=0,0,(DE168-DD168)/DD168*100)</f>
        <v>0</v>
      </c>
      <c r="DG168" s="2846"/>
      <c r="DH168" s="5253"/>
      <c r="DI168" s="1093">
        <f>IF(DG168=0,0,(DH168-DG168)/DG168*100)</f>
        <v>0</v>
      </c>
      <c r="DJ168" s="2846"/>
      <c r="DK168" s="5253"/>
      <c r="DL168" s="1093">
        <f>IF(DJ168=0,0,(DK168-DJ168)/DJ168*100)</f>
        <v>0</v>
      </c>
      <c r="DM168" s="2846"/>
      <c r="DN168" s="5253"/>
      <c r="DO168" s="1093">
        <f>IF(DM168=0,0,(DN168-DM168)/DM168*100)</f>
        <v>0</v>
      </c>
      <c r="DP168" s="2846"/>
      <c r="DQ168" s="5253"/>
      <c r="DR168" s="1093">
        <f>IF(DP168=0,0,(DQ168-DP168)/DP168*100)</f>
        <v>0</v>
      </c>
      <c r="DS168" s="2846"/>
      <c r="DT168" s="5253"/>
      <c r="DU168" s="1093">
        <f>IF(DS168=0,0,(DT168-DS168)/DS168*100)</f>
        <v>0</v>
      </c>
      <c r="DV168" s="2846"/>
      <c r="DW168" s="5253"/>
      <c r="DX168" s="1093">
        <f>IF(DV168=0,0,(DW168-DV168)/DV168*100)</f>
        <v>0</v>
      </c>
      <c r="DY168" s="2846"/>
      <c r="DZ168" s="5253"/>
      <c r="EA168" s="1093">
        <f>IF(DY168=0,0,(DZ168-DY168)/DY168*100)</f>
        <v>0</v>
      </c>
      <c r="EB168" s="2846"/>
      <c r="EC168" s="5253"/>
      <c r="ED168" s="1093">
        <f>IF(EB168=0,0,(EC168-EB168)/EB168*100)</f>
        <v>0</v>
      </c>
      <c r="EE168" s="2846"/>
      <c r="EF168" s="5253"/>
      <c r="EG168" s="1093">
        <f>IF(EE168=0,0,(EF168-EE168)/EE168*100)</f>
        <v>0</v>
      </c>
      <c r="EH168" s="2846"/>
      <c r="EI168" s="5253"/>
      <c r="EJ168" s="1093">
        <f>IF(EH168=0,0,(EI168-EH168)/EH168*100)</f>
        <v>0</v>
      </c>
      <c r="EK168" s="2846"/>
      <c r="EL168" s="5253"/>
      <c r="EM168" s="1093">
        <f>IF(EK168=0,0,(EL168-EK168)/EK168*100)</f>
        <v>0</v>
      </c>
      <c r="EN168" s="2846"/>
      <c r="EO168" s="5253"/>
      <c r="EP168" s="1093">
        <f>IF(EN168=0,0,(EO168-EN168)/EN168*100)</f>
        <v>0</v>
      </c>
      <c r="EQ168" s="2846"/>
      <c r="ER168" s="5253"/>
      <c r="ES168" s="1093">
        <f>IF(EQ168=0,0,(ER168-EQ168)/EQ168*100)</f>
        <v>0</v>
      </c>
      <c r="ET168" s="2846"/>
      <c r="EU168" s="5253"/>
      <c r="EV168" s="1093">
        <f>IF(ET168=0,0,(EU168-ET168)/ET168*100)</f>
        <v>0</v>
      </c>
      <c r="EW168" s="2846"/>
      <c r="EX168" s="5253"/>
      <c r="EY168" s="1093">
        <f>IF(EW168=0,0,(EX168-EW168)/EW168*100)</f>
        <v>0</v>
      </c>
      <c r="EZ168" s="2846"/>
      <c r="FA168" s="5253"/>
      <c r="FB168" s="1093">
        <f>IF(EZ168=0,0,(FA168-EZ168)/EZ168*100)</f>
        <v>0</v>
      </c>
      <c r="FC168" s="2846"/>
      <c r="FD168" s="5253"/>
      <c r="FE168" s="1093">
        <f>IF(FC168=0,0,(FD168-FC168)/FC168*100)</f>
        <v>0</v>
      </c>
      <c r="FF168" s="2846"/>
      <c r="FG168" s="5253"/>
      <c r="FH168" s="1093">
        <f>IF(FF168=0,0,(FG168-FF168)/FF168*100)</f>
        <v>0</v>
      </c>
      <c r="FI168" s="2846"/>
      <c r="FJ168" s="5253"/>
      <c r="FK168" s="1093">
        <f>IF(FI168=0,0,(FJ168-FI168)/FI168*100)</f>
        <v>0</v>
      </c>
      <c r="FL168" s="2846"/>
      <c r="FM168" s="5253"/>
      <c r="FN168" s="1093">
        <f>IF(FL168=0,0,(FM168-FL168)/FL168*100)</f>
        <v>0</v>
      </c>
      <c r="FO168" s="2846"/>
      <c r="FP168" s="5253"/>
      <c r="FQ168" s="1093">
        <f>IF(FO168=0,0,(FP168-FO168)/FO168*100)</f>
        <v>0</v>
      </c>
      <c r="FR168" s="2846"/>
      <c r="FS168" s="5253"/>
      <c r="FT168" s="1093">
        <f>IF(FR168=0,0,(FS168-FR168)/FR168*100)</f>
        <v>0</v>
      </c>
      <c r="FU168" s="2846"/>
      <c r="FV168" s="5253"/>
      <c r="FW168" s="1093">
        <f>IF(FU168=0,0,(FV168-FU168)/FU168*100)</f>
        <v>0</v>
      </c>
      <c r="FX168" s="292"/>
      <c r="FY168" s="1304"/>
      <c r="FZ168" s="1055" t="s">
        <v>2362</v>
      </c>
      <c r="GA168" s="1015" t="s">
        <v>2363</v>
      </c>
      <c r="GB168" s="1015" cm="1" t="str">
        <f t="array" ref="GB168:GB168">AB168</f>
        <v>0</v>
      </c>
      <c r="GC168" s="1305"/>
      <c r="GD168" s="632" t="b">
        <v>1</v>
      </c>
    </row>
    <row customHeight="1" ht="18.525" hidden="1">
      <c r="A169" s="493"/>
      <c r="B169" s="925" cm="1" t="str">
        <f t="array" ref="B169:B169">B168</f>
        <v>true</v>
      </c>
      <c r="C169" s="493"/>
      <c r="D169" s="493"/>
      <c r="E169" s="840">
        <v>19</v>
      </c>
      <c r="F169" s="50" cm="1" t="str">
        <f t="array" ref="F169:F169">OFFSET(E169,-1,1)</f>
        <v>2</v>
      </c>
      <c r="G169" s="493"/>
      <c r="H169" s="493"/>
      <c r="I169" s="493"/>
      <c r="J169" s="493"/>
      <c r="K169" s="493"/>
      <c r="L169" s="493"/>
      <c r="M169" s="493"/>
      <c r="N169" s="493"/>
      <c r="O169" s="493"/>
      <c r="P169" s="493"/>
      <c r="Q169" s="897"/>
      <c r="R169" s="493"/>
      <c r="S169" s="493"/>
      <c r="T169" s="465" cm="1" t="str">
        <f t="array" ref="T169:T169">T168</f>
        <v>false</v>
      </c>
      <c r="U169" s="493"/>
      <c r="V169" s="493"/>
      <c r="W169" s="493"/>
      <c r="X169" s="1596"/>
      <c r="Y169" s="1596"/>
      <c r="Z169" s="1545"/>
      <c r="AA169" s="1494"/>
      <c r="AB169" s="5252"/>
      <c r="AC169" s="864" t="s">
        <v>2337</v>
      </c>
      <c r="AD169" s="2846"/>
      <c r="AE169" s="5253"/>
      <c r="AF169" s="1093">
        <f>IF(AD169=0,0,(AE169-AD169)/AD169*100)</f>
        <v>0</v>
      </c>
      <c r="AG169" s="2846"/>
      <c r="AH169" s="5253"/>
      <c r="AI169" s="1093">
        <f>IF(AG169=0,0,(AH169-AG169)/AG169*100)</f>
        <v>0</v>
      </c>
      <c r="AJ169" s="2846"/>
      <c r="AK169" s="5253"/>
      <c r="AL169" s="1093">
        <f>IF(AJ169=0,0,(AK169-AJ169)/AJ169*100)</f>
        <v>0</v>
      </c>
      <c r="AM169" s="2846"/>
      <c r="AN169" s="5253"/>
      <c r="AO169" s="1093">
        <f>IF(AM169=0,0,(AN169-AM169)/AM169*100)</f>
        <v>0</v>
      </c>
      <c r="AP169" s="2846"/>
      <c r="AQ169" s="5253"/>
      <c r="AR169" s="1093">
        <f>IF(AP169=0,0,(AQ169-AP169)/AP169*100)</f>
        <v>0</v>
      </c>
      <c r="AS169" s="2846"/>
      <c r="AT169" s="5253"/>
      <c r="AU169" s="1093">
        <f>IF(AS169=0,0,(AT169-AS169)/AS169*100)</f>
        <v>0</v>
      </c>
      <c r="AV169" s="2846"/>
      <c r="AW169" s="5253"/>
      <c r="AX169" s="1093">
        <f>IF(AV169=0,0,(AW169-AV169)/AV169*100)</f>
        <v>0</v>
      </c>
      <c r="AY169" s="2846"/>
      <c r="AZ169" s="5253"/>
      <c r="BA169" s="1093">
        <f>IF(AY169=0,0,(AZ169-AY169)/AY169*100)</f>
        <v>0</v>
      </c>
      <c r="BB169" s="2846"/>
      <c r="BC169" s="5253"/>
      <c r="BD169" s="1093">
        <f>IF(BB169=0,0,(BC169-BB169)/BB169*100)</f>
        <v>0</v>
      </c>
      <c r="BE169" s="2846"/>
      <c r="BF169" s="5253"/>
      <c r="BG169" s="1093">
        <f>IF(BE169=0,0,(BF169-BE169)/BE169*100)</f>
        <v>0</v>
      </c>
      <c r="BH169" s="2846"/>
      <c r="BI169" s="5253"/>
      <c r="BJ169" s="1093">
        <f>IF(BH169=0,0,(BI169-BH169)/BH169*100)</f>
        <v>0</v>
      </c>
      <c r="BK169" s="2846"/>
      <c r="BL169" s="5253"/>
      <c r="BM169" s="1093">
        <f>IF(BK169=0,0,(BL169-BK169)/BK169*100)</f>
        <v>0</v>
      </c>
      <c r="BN169" s="2846"/>
      <c r="BO169" s="5253"/>
      <c r="BP169" s="1093">
        <f>IF(BN169=0,0,(BO169-BN169)/BN169*100)</f>
        <v>0</v>
      </c>
      <c r="BQ169" s="2846"/>
      <c r="BR169" s="5253"/>
      <c r="BS169" s="1093">
        <f>IF(BQ169=0,0,(BR169-BQ169)/BQ169*100)</f>
        <v>0</v>
      </c>
      <c r="BT169" s="2846"/>
      <c r="BU169" s="5253"/>
      <c r="BV169" s="1093">
        <f>IF(BT169=0,0,(BU169-BT169)/BT169*100)</f>
        <v>0</v>
      </c>
      <c r="BW169" s="2846"/>
      <c r="BX169" s="5253"/>
      <c r="BY169" s="1093">
        <f>IF(BW169=0,0,(BX169-BW169)/BW169*100)</f>
        <v>0</v>
      </c>
      <c r="BZ169" s="2846"/>
      <c r="CA169" s="5253"/>
      <c r="CB169" s="1093">
        <f>IF(BZ169=0,0,(CA169-BZ169)/BZ169*100)</f>
        <v>0</v>
      </c>
      <c r="CC169" s="2846"/>
      <c r="CD169" s="5253"/>
      <c r="CE169" s="1093">
        <f>IF(CC169=0,0,(CD169-CC169)/CC169*100)</f>
        <v>0</v>
      </c>
      <c r="CF169" s="2846"/>
      <c r="CG169" s="5253"/>
      <c r="CH169" s="1093">
        <f>IF(CF169=0,0,(CG169-CF169)/CF169*100)</f>
        <v>0</v>
      </c>
      <c r="CI169" s="2846"/>
      <c r="CJ169" s="5253"/>
      <c r="CK169" s="1093">
        <f>IF(CI169=0,0,(CJ169-CI169)/CI169*100)</f>
        <v>0</v>
      </c>
      <c r="CL169" s="2846"/>
      <c r="CM169" s="5253"/>
      <c r="CN169" s="1093">
        <f>IF(CL169=0,0,(CM169-CL169)/CL169*100)</f>
        <v>0</v>
      </c>
      <c r="CO169" s="2846"/>
      <c r="CP169" s="5253"/>
      <c r="CQ169" s="1093">
        <f>IF(CO169=0,0,(CP169-CO169)/CO169*100)</f>
        <v>0</v>
      </c>
      <c r="CR169" s="2846"/>
      <c r="CS169" s="5253"/>
      <c r="CT169" s="1093">
        <f>IF(CR169=0,0,(CS169-CR169)/CR169*100)</f>
        <v>0</v>
      </c>
      <c r="CU169" s="2846"/>
      <c r="CV169" s="5253"/>
      <c r="CW169" s="1093">
        <f>IF(CU169=0,0,(CV169-CU169)/CU169*100)</f>
        <v>0</v>
      </c>
      <c r="CX169" s="2846"/>
      <c r="CY169" s="5253"/>
      <c r="CZ169" s="1093">
        <f>IF(CX169=0,0,(CY169-CX169)/CX169*100)</f>
        <v>0</v>
      </c>
      <c r="DA169" s="2846"/>
      <c r="DB169" s="5253"/>
      <c r="DC169" s="1093">
        <f>IF(DA169=0,0,(DB169-DA169)/DA169*100)</f>
        <v>0</v>
      </c>
      <c r="DD169" s="2846"/>
      <c r="DE169" s="5253"/>
      <c r="DF169" s="1093">
        <f>IF(DD169=0,0,(DE169-DD169)/DD169*100)</f>
        <v>0</v>
      </c>
      <c r="DG169" s="2846"/>
      <c r="DH169" s="5253"/>
      <c r="DI169" s="1093">
        <f>IF(DG169=0,0,(DH169-DG169)/DG169*100)</f>
        <v>0</v>
      </c>
      <c r="DJ169" s="2846"/>
      <c r="DK169" s="5253"/>
      <c r="DL169" s="1093">
        <f>IF(DJ169=0,0,(DK169-DJ169)/DJ169*100)</f>
        <v>0</v>
      </c>
      <c r="DM169" s="2846"/>
      <c r="DN169" s="5253"/>
      <c r="DO169" s="1093">
        <f>IF(DM169=0,0,(DN169-DM169)/DM169*100)</f>
        <v>0</v>
      </c>
      <c r="DP169" s="2846"/>
      <c r="DQ169" s="5253"/>
      <c r="DR169" s="1093">
        <f>IF(DP169=0,0,(DQ169-DP169)/DP169*100)</f>
        <v>0</v>
      </c>
      <c r="DS169" s="2846"/>
      <c r="DT169" s="5253"/>
      <c r="DU169" s="1093">
        <f>IF(DS169=0,0,(DT169-DS169)/DS169*100)</f>
        <v>0</v>
      </c>
      <c r="DV169" s="2846"/>
      <c r="DW169" s="5253"/>
      <c r="DX169" s="1093">
        <f>IF(DV169=0,0,(DW169-DV169)/DV169*100)</f>
        <v>0</v>
      </c>
      <c r="DY169" s="2846"/>
      <c r="DZ169" s="5253"/>
      <c r="EA169" s="1093">
        <f>IF(DY169=0,0,(DZ169-DY169)/DY169*100)</f>
        <v>0</v>
      </c>
      <c r="EB169" s="2846"/>
      <c r="EC169" s="5253"/>
      <c r="ED169" s="1093">
        <f>IF(EB169=0,0,(EC169-EB169)/EB169*100)</f>
        <v>0</v>
      </c>
      <c r="EE169" s="2846"/>
      <c r="EF169" s="5253"/>
      <c r="EG169" s="1093">
        <f>IF(EE169=0,0,(EF169-EE169)/EE169*100)</f>
        <v>0</v>
      </c>
      <c r="EH169" s="2846"/>
      <c r="EI169" s="5253"/>
      <c r="EJ169" s="1093">
        <f>IF(EH169=0,0,(EI169-EH169)/EH169*100)</f>
        <v>0</v>
      </c>
      <c r="EK169" s="2846"/>
      <c r="EL169" s="5253"/>
      <c r="EM169" s="1093">
        <f>IF(EK169=0,0,(EL169-EK169)/EK169*100)</f>
        <v>0</v>
      </c>
      <c r="EN169" s="2846"/>
      <c r="EO169" s="5253"/>
      <c r="EP169" s="1093">
        <f>IF(EN169=0,0,(EO169-EN169)/EN169*100)</f>
        <v>0</v>
      </c>
      <c r="EQ169" s="2846"/>
      <c r="ER169" s="5253"/>
      <c r="ES169" s="1093">
        <f>IF(EQ169=0,0,(ER169-EQ169)/EQ169*100)</f>
        <v>0</v>
      </c>
      <c r="ET169" s="2846"/>
      <c r="EU169" s="5253"/>
      <c r="EV169" s="1093">
        <f>IF(ET169=0,0,(EU169-ET169)/ET169*100)</f>
        <v>0</v>
      </c>
      <c r="EW169" s="2846"/>
      <c r="EX169" s="5253"/>
      <c r="EY169" s="1093">
        <f>IF(EW169=0,0,(EX169-EW169)/EW169*100)</f>
        <v>0</v>
      </c>
      <c r="EZ169" s="2846"/>
      <c r="FA169" s="5253"/>
      <c r="FB169" s="1093">
        <f>IF(EZ169=0,0,(FA169-EZ169)/EZ169*100)</f>
        <v>0</v>
      </c>
      <c r="FC169" s="2846"/>
      <c r="FD169" s="5253"/>
      <c r="FE169" s="1093">
        <f>IF(FC169=0,0,(FD169-FC169)/FC169*100)</f>
        <v>0</v>
      </c>
      <c r="FF169" s="2846"/>
      <c r="FG169" s="5253"/>
      <c r="FH169" s="1093">
        <f>IF(FF169=0,0,(FG169-FF169)/FF169*100)</f>
        <v>0</v>
      </c>
      <c r="FI169" s="2846"/>
      <c r="FJ169" s="5253"/>
      <c r="FK169" s="1093">
        <f>IF(FI169=0,0,(FJ169-FI169)/FI169*100)</f>
        <v>0</v>
      </c>
      <c r="FL169" s="2846"/>
      <c r="FM169" s="5253"/>
      <c r="FN169" s="1093">
        <f>IF(FL169=0,0,(FM169-FL169)/FL169*100)</f>
        <v>0</v>
      </c>
      <c r="FO169" s="2846"/>
      <c r="FP169" s="5253"/>
      <c r="FQ169" s="1093">
        <f>IF(FO169=0,0,(FP169-FO169)/FO169*100)</f>
        <v>0</v>
      </c>
      <c r="FR169" s="2846"/>
      <c r="FS169" s="5253"/>
      <c r="FT169" s="1093">
        <f>IF(FR169=0,0,(FS169-FR169)/FR169*100)</f>
        <v>0</v>
      </c>
      <c r="FU169" s="2846"/>
      <c r="FV169" s="5253"/>
      <c r="FW169" s="1093">
        <f>IF(FU169=0,0,(FV169-FU169)/FU169*100)</f>
        <v>0</v>
      </c>
      <c r="FZ169" s="1306" t="s">
        <v>2364</v>
      </c>
      <c r="GA169" s="1306" t="s">
        <v>2363</v>
      </c>
      <c r="GB169" s="1306" cm="1" t="str">
        <f t="array" ref="GB169:GB169">GB168</f>
        <v>0</v>
      </c>
    </row>
    <row s="1834" customFormat="1" customHeight="1" ht="14.25" hidden="1">
      <c r="A170" s="493"/>
      <c r="B170" s="925" cm="1" t="str">
        <f t="array" ref="B170:B170">B168</f>
        <v>true</v>
      </c>
      <c r="C170" s="493"/>
      <c r="D170" s="493"/>
      <c r="E170" s="840">
        <v>15</v>
      </c>
      <c r="F170" s="50" cm="1" t="str">
        <f t="array" ref="F170:F170">OFFSET(E170,-1,1)</f>
        <v>2</v>
      </c>
      <c r="G170" s="493"/>
      <c r="H170" s="493" t="s">
        <v>1182</v>
      </c>
      <c r="I170" s="493" cm="1" t="str">
        <f t="array" ref="I170:I170">I168</f>
        <v>0</v>
      </c>
      <c r="J170" s="493"/>
      <c r="K170" s="493"/>
      <c r="L170" s="493"/>
      <c r="M170" s="493"/>
      <c r="N170" s="493"/>
      <c r="O170" s="493"/>
      <c r="P170" s="493"/>
      <c r="Q170" s="897"/>
      <c r="R170" s="493"/>
      <c r="S170" s="493"/>
      <c r="T170" s="465" cm="1" t="str">
        <f t="array" ref="T170:T170">T168</f>
        <v>false</v>
      </c>
      <c r="U170" s="493"/>
      <c r="V170" s="493"/>
      <c r="W170" s="493"/>
      <c r="X170" s="1596"/>
      <c r="Y170" s="1596"/>
      <c r="Z170" s="1545"/>
      <c r="AA170" s="1494"/>
      <c r="AB170" s="900" t="s">
        <v>2347</v>
      </c>
      <c r="AC170" s="300" t="s">
        <v>1247</v>
      </c>
      <c r="AD170" s="5247"/>
      <c r="AE170" s="5247"/>
      <c r="AF170" s="1095">
        <f>IF(AD170=0,0,(AE170-AD170)/AD170*100)</f>
        <v>0</v>
      </c>
      <c r="AG170" s="5247"/>
      <c r="AH170" s="5247"/>
      <c r="AI170" s="1095">
        <f>IF(AG170=0,0,(AH170-AG170)/AG170*100)</f>
        <v>0</v>
      </c>
      <c r="AJ170" s="5247"/>
      <c r="AK170" s="5247"/>
      <c r="AL170" s="1095">
        <f>IF(AJ170=0,0,(AK170-AJ170)/AJ170*100)</f>
        <v>0</v>
      </c>
      <c r="AM170" s="5247"/>
      <c r="AN170" s="5247"/>
      <c r="AO170" s="1095">
        <f>IF(AM170=0,0,(AN170-AM170)/AM170*100)</f>
        <v>0</v>
      </c>
      <c r="AP170" s="5247"/>
      <c r="AQ170" s="5247"/>
      <c r="AR170" s="1095">
        <f>IF(AP170=0,0,(AQ170-AP170)/AP170*100)</f>
        <v>0</v>
      </c>
      <c r="AS170" s="5247"/>
      <c r="AT170" s="5247"/>
      <c r="AU170" s="1095">
        <f>IF(AS170=0,0,(AT170-AS170)/AS170*100)</f>
        <v>0</v>
      </c>
      <c r="AV170" s="5247"/>
      <c r="AW170" s="5247"/>
      <c r="AX170" s="1095">
        <f>IF(AV170=0,0,(AW170-AV170)/AV170*100)</f>
        <v>0</v>
      </c>
      <c r="AY170" s="5247"/>
      <c r="AZ170" s="5247"/>
      <c r="BA170" s="1095">
        <f>IF(AY170=0,0,(AZ170-AY170)/AY170*100)</f>
        <v>0</v>
      </c>
      <c r="BB170" s="5247"/>
      <c r="BC170" s="5247"/>
      <c r="BD170" s="1095">
        <f>IF(BB170=0,0,(BC170-BB170)/BB170*100)</f>
        <v>0</v>
      </c>
      <c r="BE170" s="5247"/>
      <c r="BF170" s="5247"/>
      <c r="BG170" s="1095">
        <f>IF(BE170=0,0,(BF170-BE170)/BE170*100)</f>
        <v>0</v>
      </c>
      <c r="BH170" s="5247"/>
      <c r="BI170" s="5247"/>
      <c r="BJ170" s="1095">
        <f>IF(BH170=0,0,(BI170-BH170)/BH170*100)</f>
        <v>0</v>
      </c>
      <c r="BK170" s="5247"/>
      <c r="BL170" s="5247"/>
      <c r="BM170" s="1095">
        <f>IF(BK170=0,0,(BL170-BK170)/BK170*100)</f>
        <v>0</v>
      </c>
      <c r="BN170" s="5247"/>
      <c r="BO170" s="5247"/>
      <c r="BP170" s="1095">
        <f>IF(BN170=0,0,(BO170-BN170)/BN170*100)</f>
        <v>0</v>
      </c>
      <c r="BQ170" s="5247"/>
      <c r="BR170" s="5247"/>
      <c r="BS170" s="1095">
        <f>IF(BQ170=0,0,(BR170-BQ170)/BQ170*100)</f>
        <v>0</v>
      </c>
      <c r="BT170" s="5247"/>
      <c r="BU170" s="5247"/>
      <c r="BV170" s="1095">
        <f>IF(BT170=0,0,(BU170-BT170)/BT170*100)</f>
        <v>0</v>
      </c>
      <c r="BW170" s="5247"/>
      <c r="BX170" s="5247"/>
      <c r="BY170" s="1095">
        <f>IF(BW170=0,0,(BX170-BW170)/BW170*100)</f>
        <v>0</v>
      </c>
      <c r="BZ170" s="5247"/>
      <c r="CA170" s="5247"/>
      <c r="CB170" s="1095">
        <f>IF(BZ170=0,0,(CA170-BZ170)/BZ170*100)</f>
        <v>0</v>
      </c>
      <c r="CC170" s="5247"/>
      <c r="CD170" s="5247"/>
      <c r="CE170" s="1095">
        <f>IF(CC170=0,0,(CD170-CC170)/CC170*100)</f>
        <v>0</v>
      </c>
      <c r="CF170" s="5247"/>
      <c r="CG170" s="5247"/>
      <c r="CH170" s="1095">
        <f>IF(CF170=0,0,(CG170-CF170)/CF170*100)</f>
        <v>0</v>
      </c>
      <c r="CI170" s="5247"/>
      <c r="CJ170" s="5247"/>
      <c r="CK170" s="1095">
        <f>IF(CI170=0,0,(CJ170-CI170)/CI170*100)</f>
        <v>0</v>
      </c>
      <c r="CL170" s="5247"/>
      <c r="CM170" s="5247"/>
      <c r="CN170" s="1095">
        <f>IF(CL170=0,0,(CM170-CL170)/CL170*100)</f>
        <v>0</v>
      </c>
      <c r="CO170" s="5247"/>
      <c r="CP170" s="5247"/>
      <c r="CQ170" s="1095">
        <f>IF(CO170=0,0,(CP170-CO170)/CO170*100)</f>
        <v>0</v>
      </c>
      <c r="CR170" s="5247"/>
      <c r="CS170" s="5247"/>
      <c r="CT170" s="1095">
        <f>IF(CR170=0,0,(CS170-CR170)/CR170*100)</f>
        <v>0</v>
      </c>
      <c r="CU170" s="5247"/>
      <c r="CV170" s="5247"/>
      <c r="CW170" s="1095">
        <f>IF(CU170=0,0,(CV170-CU170)/CU170*100)</f>
        <v>0</v>
      </c>
      <c r="CX170" s="5247"/>
      <c r="CY170" s="5247"/>
      <c r="CZ170" s="1095">
        <f>IF(CX170=0,0,(CY170-CX170)/CX170*100)</f>
        <v>0</v>
      </c>
      <c r="DA170" s="5247"/>
      <c r="DB170" s="5247"/>
      <c r="DC170" s="1095">
        <f>IF(DA170=0,0,(DB170-DA170)/DA170*100)</f>
        <v>0</v>
      </c>
      <c r="DD170" s="5247"/>
      <c r="DE170" s="5247"/>
      <c r="DF170" s="1095">
        <f>IF(DD170=0,0,(DE170-DD170)/DD170*100)</f>
        <v>0</v>
      </c>
      <c r="DG170" s="5247"/>
      <c r="DH170" s="5247"/>
      <c r="DI170" s="1095">
        <f>IF(DG170=0,0,(DH170-DG170)/DG170*100)</f>
        <v>0</v>
      </c>
      <c r="DJ170" s="5247"/>
      <c r="DK170" s="5247"/>
      <c r="DL170" s="1095">
        <f>IF(DJ170=0,0,(DK170-DJ170)/DJ170*100)</f>
        <v>0</v>
      </c>
      <c r="DM170" s="5247"/>
      <c r="DN170" s="5247"/>
      <c r="DO170" s="1095">
        <f>IF(DM170=0,0,(DN170-DM170)/DM170*100)</f>
        <v>0</v>
      </c>
      <c r="DP170" s="5247"/>
      <c r="DQ170" s="5247"/>
      <c r="DR170" s="1095">
        <f>IF(DP170=0,0,(DQ170-DP170)/DP170*100)</f>
        <v>0</v>
      </c>
      <c r="DS170" s="5247"/>
      <c r="DT170" s="5247"/>
      <c r="DU170" s="1095">
        <f>IF(DS170=0,0,(DT170-DS170)/DS170*100)</f>
        <v>0</v>
      </c>
      <c r="DV170" s="5247"/>
      <c r="DW170" s="5247"/>
      <c r="DX170" s="1095">
        <f>IF(DV170=0,0,(DW170-DV170)/DV170*100)</f>
        <v>0</v>
      </c>
      <c r="DY170" s="5247"/>
      <c r="DZ170" s="5247"/>
      <c r="EA170" s="1095">
        <f>IF(DY170=0,0,(DZ170-DY170)/DY170*100)</f>
        <v>0</v>
      </c>
      <c r="EB170" s="5247"/>
      <c r="EC170" s="5247"/>
      <c r="ED170" s="1095">
        <f>IF(EB170=0,0,(EC170-EB170)/EB170*100)</f>
        <v>0</v>
      </c>
      <c r="EE170" s="5247"/>
      <c r="EF170" s="5247"/>
      <c r="EG170" s="1095">
        <f>IF(EE170=0,0,(EF170-EE170)/EE170*100)</f>
        <v>0</v>
      </c>
      <c r="EH170" s="5247"/>
      <c r="EI170" s="5247"/>
      <c r="EJ170" s="1095">
        <f>IF(EH170=0,0,(EI170-EH170)/EH170*100)</f>
        <v>0</v>
      </c>
      <c r="EK170" s="5247"/>
      <c r="EL170" s="5247"/>
      <c r="EM170" s="1095">
        <f>IF(EK170=0,0,(EL170-EK170)/EK170*100)</f>
        <v>0</v>
      </c>
      <c r="EN170" s="5247"/>
      <c r="EO170" s="5247"/>
      <c r="EP170" s="1095">
        <f>IF(EN170=0,0,(EO170-EN170)/EN170*100)</f>
        <v>0</v>
      </c>
      <c r="EQ170" s="5247"/>
      <c r="ER170" s="5247"/>
      <c r="ES170" s="1095">
        <f>IF(EQ170=0,0,(ER170-EQ170)/EQ170*100)</f>
        <v>0</v>
      </c>
      <c r="ET170" s="5247"/>
      <c r="EU170" s="5247"/>
      <c r="EV170" s="1095">
        <f>IF(ET170=0,0,(EU170-ET170)/ET170*100)</f>
        <v>0</v>
      </c>
      <c r="EW170" s="5247"/>
      <c r="EX170" s="5247"/>
      <c r="EY170" s="1095">
        <f>IF(EW170=0,0,(EX170-EW170)/EW170*100)</f>
        <v>0</v>
      </c>
      <c r="EZ170" s="5247"/>
      <c r="FA170" s="5247"/>
      <c r="FB170" s="1095">
        <f>IF(EZ170=0,0,(FA170-EZ170)/EZ170*100)</f>
        <v>0</v>
      </c>
      <c r="FC170" s="5247"/>
      <c r="FD170" s="5247"/>
      <c r="FE170" s="1095">
        <f>IF(FC170=0,0,(FD170-FC170)/FC170*100)</f>
        <v>0</v>
      </c>
      <c r="FF170" s="5247"/>
      <c r="FG170" s="5247"/>
      <c r="FH170" s="1095">
        <f>IF(FF170=0,0,(FG170-FF170)/FF170*100)</f>
        <v>0</v>
      </c>
      <c r="FI170" s="5247"/>
      <c r="FJ170" s="5247"/>
      <c r="FK170" s="1095">
        <f>IF(FI170=0,0,(FJ170-FI170)/FI170*100)</f>
        <v>0</v>
      </c>
      <c r="FL170" s="5247"/>
      <c r="FM170" s="5247"/>
      <c r="FN170" s="1095">
        <f>IF(FL170=0,0,(FM170-FL170)/FL170*100)</f>
        <v>0</v>
      </c>
      <c r="FO170" s="5247"/>
      <c r="FP170" s="5247"/>
      <c r="FQ170" s="1095">
        <f>IF(FO170=0,0,(FP170-FO170)/FO170*100)</f>
        <v>0</v>
      </c>
      <c r="FR170" s="5247"/>
      <c r="FS170" s="5247"/>
      <c r="FT170" s="1095">
        <f>IF(FR170=0,0,(FS170-FR170)/FR170*100)</f>
        <v>0</v>
      </c>
      <c r="FU170" s="5247"/>
      <c r="FV170" s="5247"/>
      <c r="FW170" s="1095">
        <f>IF(FU170=0,0,(FV170-FU170)/FU170*100)</f>
        <v>0</v>
      </c>
      <c r="FX170" s="292"/>
      <c r="FY170" s="1304"/>
      <c r="FZ170" s="1055" t="s">
        <v>2365</v>
      </c>
      <c r="GA170" s="1015" t="s">
        <v>2363</v>
      </c>
      <c r="GB170" s="1015" cm="1" t="str">
        <f t="array" ref="GB170:GB170">GB168</f>
        <v>0</v>
      </c>
      <c r="GC170" s="1305"/>
      <c r="GD170" s="1305"/>
    </row>
    <row s="1834" customFormat="1" customHeight="1" ht="14.25">
      <c r="A171" s="493"/>
      <c r="B171" s="925" cm="1" t="str">
        <f t="array" ref="B171:B171">B170</f>
        <v>true</v>
      </c>
      <c r="C171" s="493"/>
      <c r="D171" s="493"/>
      <c r="E171" s="840">
        <v>15</v>
      </c>
      <c r="F171" s="50" cm="1" t="str">
        <f t="array" ref="F171:F171">OFFSET(E171,-1,1)</f>
        <v>2</v>
      </c>
      <c r="G171" s="493"/>
      <c r="H171" s="493"/>
      <c r="I171" s="98" t="s">
        <v>2366</v>
      </c>
      <c r="J171" s="493"/>
      <c r="K171" s="493"/>
      <c r="L171" s="493"/>
      <c r="M171" s="493"/>
      <c r="N171" s="493"/>
      <c r="O171" s="493"/>
      <c r="P171" s="493"/>
      <c r="Q171" s="493"/>
      <c r="R171" s="85"/>
      <c r="S171" s="493"/>
      <c r="T171" s="465">
        <f>F171&gt;0</f>
        <v>1</v>
      </c>
      <c r="U171" s="493"/>
      <c r="V171" s="1304"/>
      <c r="W171" s="757" t="s">
        <v>2367</v>
      </c>
      <c r="X171" s="1596"/>
      <c r="Y171" s="1304"/>
      <c r="Z171" s="1545"/>
      <c r="AA171" s="1304"/>
      <c r="AB171" s="260" t="s">
        <v>178</v>
      </c>
      <c r="AC171" s="264"/>
      <c r="AD171" s="1098"/>
      <c r="AE171" s="1098"/>
      <c r="AF171" s="1098"/>
      <c r="AG171" s="1098"/>
      <c r="AH171" s="1098"/>
      <c r="AI171" s="1098"/>
      <c r="AJ171" s="1098"/>
      <c r="AK171" s="1098"/>
      <c r="AL171" s="1098"/>
      <c r="AM171" s="1098"/>
      <c r="AN171" s="1098"/>
      <c r="AO171" s="1098"/>
      <c r="AP171" s="1098"/>
      <c r="AQ171" s="1098"/>
      <c r="AR171" s="1098"/>
      <c r="AS171" s="1098"/>
      <c r="AT171" s="1098"/>
      <c r="AU171" s="1098"/>
      <c r="AV171" s="1098"/>
      <c r="AW171" s="1098"/>
      <c r="AX171" s="1098"/>
      <c r="AY171" s="1098"/>
      <c r="AZ171" s="1098"/>
      <c r="BA171" s="1098"/>
      <c r="BB171" s="1098"/>
      <c r="BC171" s="1098"/>
      <c r="BD171" s="1098"/>
      <c r="BE171" s="1098"/>
      <c r="BF171" s="1098"/>
      <c r="BG171" s="1098"/>
      <c r="BH171" s="1098"/>
      <c r="BI171" s="1098"/>
      <c r="BJ171" s="1098"/>
      <c r="BK171" s="1098"/>
      <c r="BL171" s="1098"/>
      <c r="BM171" s="1098"/>
      <c r="BN171" s="1098"/>
      <c r="BO171" s="1098"/>
      <c r="BP171" s="1098"/>
      <c r="BQ171" s="1098"/>
      <c r="BR171" s="1098"/>
      <c r="BS171" s="1098"/>
      <c r="BT171" s="1098"/>
      <c r="BU171" s="1098"/>
      <c r="BV171" s="1098"/>
      <c r="BW171" s="1098"/>
      <c r="BX171" s="1098"/>
      <c r="BY171" s="1098"/>
      <c r="BZ171" s="1098"/>
      <c r="CA171" s="1098"/>
      <c r="CB171" s="1098"/>
      <c r="CC171" s="1098"/>
      <c r="CD171" s="1098"/>
      <c r="CE171" s="1098"/>
      <c r="CF171" s="1098"/>
      <c r="CG171" s="1098"/>
      <c r="CH171" s="1098"/>
      <c r="CI171" s="1098"/>
      <c r="CJ171" s="1098"/>
      <c r="CK171" s="1098"/>
      <c r="CL171" s="1098"/>
      <c r="CM171" s="1098"/>
      <c r="CN171" s="1098"/>
      <c r="CO171" s="1098"/>
      <c r="CP171" s="1098"/>
      <c r="CQ171" s="1098"/>
      <c r="CR171" s="1098"/>
      <c r="CS171" s="1098"/>
      <c r="CT171" s="1098"/>
      <c r="CU171" s="1098"/>
      <c r="CV171" s="1098"/>
      <c r="CW171" s="1098"/>
      <c r="CX171" s="1098"/>
      <c r="CY171" s="1098"/>
      <c r="CZ171" s="1098"/>
      <c r="DA171" s="1098"/>
      <c r="DB171" s="1098"/>
      <c r="DC171" s="1098"/>
      <c r="DD171" s="1098"/>
      <c r="DE171" s="1098"/>
      <c r="DF171" s="1098"/>
      <c r="DG171" s="1098"/>
      <c r="DH171" s="1098"/>
      <c r="DI171" s="1098"/>
      <c r="DJ171" s="1098"/>
      <c r="DK171" s="1098"/>
      <c r="DL171" s="1098"/>
      <c r="DM171" s="1098"/>
      <c r="DN171" s="1098"/>
      <c r="DO171" s="1098"/>
      <c r="DP171" s="1098"/>
      <c r="DQ171" s="1098"/>
      <c r="DR171" s="1098"/>
      <c r="DS171" s="1098"/>
      <c r="DT171" s="1098"/>
      <c r="DU171" s="1098"/>
      <c r="DV171" s="1098"/>
      <c r="DW171" s="1098"/>
      <c r="DX171" s="1098"/>
      <c r="DY171" s="1098"/>
      <c r="DZ171" s="1098"/>
      <c r="EA171" s="1098"/>
      <c r="EB171" s="1098"/>
      <c r="EC171" s="1098"/>
      <c r="ED171" s="1098"/>
      <c r="EE171" s="1098"/>
      <c r="EF171" s="1098"/>
      <c r="EG171" s="1098"/>
      <c r="EH171" s="1098"/>
      <c r="EI171" s="1098"/>
      <c r="EJ171" s="1098"/>
      <c r="EK171" s="1098"/>
      <c r="EL171" s="1098"/>
      <c r="EM171" s="1098"/>
      <c r="EN171" s="1098"/>
      <c r="EO171" s="1098"/>
      <c r="EP171" s="1098"/>
      <c r="EQ171" s="1098"/>
      <c r="ER171" s="1098"/>
      <c r="ES171" s="1098"/>
      <c r="ET171" s="1098"/>
      <c r="EU171" s="1098"/>
      <c r="EV171" s="1098"/>
      <c r="EW171" s="1098"/>
      <c r="EX171" s="1098"/>
      <c r="EY171" s="1098"/>
      <c r="EZ171" s="1098"/>
      <c r="FA171" s="1098"/>
      <c r="FB171" s="1098"/>
      <c r="FC171" s="1098"/>
      <c r="FD171" s="1098"/>
      <c r="FE171" s="1098"/>
      <c r="FF171" s="1098"/>
      <c r="FG171" s="1098"/>
      <c r="FH171" s="1098"/>
      <c r="FI171" s="1098"/>
      <c r="FJ171" s="1098"/>
      <c r="FK171" s="1098"/>
      <c r="FL171" s="1098"/>
      <c r="FM171" s="1098"/>
      <c r="FN171" s="1098"/>
      <c r="FO171" s="1098"/>
      <c r="FP171" s="1098"/>
      <c r="FQ171" s="1098"/>
      <c r="FR171" s="1098"/>
      <c r="FS171" s="1098"/>
      <c r="FT171" s="1098"/>
      <c r="FU171" s="1098"/>
      <c r="FV171" s="1098"/>
      <c r="FW171" s="1099"/>
      <c r="FX171" s="1304"/>
      <c r="FY171" s="1304"/>
      <c r="FZ171" s="1055" t="s">
        <v>227</v>
      </c>
      <c r="GA171" s="1306"/>
      <c r="GB171" s="1306"/>
      <c r="GC171" s="632" t="s">
        <v>2363</v>
      </c>
      <c r="GD171" s="1305"/>
    </row>
    <row s="1834" customFormat="1" customHeight="1" ht="14.25" hidden="1">
      <c r="A172" s="493"/>
      <c r="B172" s="925">
        <f>AND(R155="двухставочный",NOT(S155))</f>
        <v>0</v>
      </c>
      <c r="C172" s="493"/>
      <c r="D172" s="493"/>
      <c r="E172" s="840">
        <v>15</v>
      </c>
      <c r="F172" s="50" cm="1" t="str">
        <f t="array" ref="F172:F172">OFFSET(E172,-1,1)</f>
        <v>2</v>
      </c>
      <c r="G172" s="493"/>
      <c r="H172" s="493"/>
      <c r="I172" s="493"/>
      <c r="J172" s="493"/>
      <c r="K172" s="493"/>
      <c r="L172" s="493"/>
      <c r="M172" s="493"/>
      <c r="N172" s="493"/>
      <c r="O172" s="493"/>
      <c r="P172" s="493"/>
      <c r="Q172" s="493"/>
      <c r="R172" s="85"/>
      <c r="S172" s="493"/>
      <c r="T172" s="465" cm="1" t="str">
        <f t="array" ref="T172:T172">T171</f>
        <v>true</v>
      </c>
      <c r="U172" s="493"/>
      <c r="V172" s="493"/>
      <c r="W172" s="493"/>
      <c r="X172" s="1596"/>
      <c r="Y172" s="493"/>
      <c r="Z172" s="1545"/>
      <c r="AA172" s="493"/>
      <c r="AB172" s="894" t="s">
        <v>2368</v>
      </c>
      <c r="AC172" s="895"/>
      <c r="AD172" s="1100"/>
      <c r="AE172" s="1100"/>
      <c r="AF172" s="1100"/>
      <c r="AG172" s="1100"/>
      <c r="AH172" s="1100"/>
      <c r="AI172" s="1100"/>
      <c r="AJ172" s="1100"/>
      <c r="AK172" s="1100"/>
      <c r="AL172" s="1100"/>
      <c r="AM172" s="1100"/>
      <c r="AN172" s="1100"/>
      <c r="AO172" s="1100"/>
      <c r="AP172" s="1100"/>
      <c r="AQ172" s="1100"/>
      <c r="AR172" s="1100"/>
      <c r="AS172" s="1100"/>
      <c r="AT172" s="1100"/>
      <c r="AU172" s="1100"/>
      <c r="AV172" s="1100"/>
      <c r="AW172" s="1100"/>
      <c r="AX172" s="1100"/>
      <c r="AY172" s="1100"/>
      <c r="AZ172" s="1100"/>
      <c r="BA172" s="1100"/>
      <c r="BB172" s="1100"/>
      <c r="BC172" s="1100"/>
      <c r="BD172" s="1100"/>
      <c r="BE172" s="1100"/>
      <c r="BF172" s="1100"/>
      <c r="BG172" s="1100"/>
      <c r="BH172" s="1100"/>
      <c r="BI172" s="1100"/>
      <c r="BJ172" s="1100"/>
      <c r="BK172" s="1100"/>
      <c r="BL172" s="1100"/>
      <c r="BM172" s="1100"/>
      <c r="BN172" s="1100"/>
      <c r="BO172" s="1100"/>
      <c r="BP172" s="1100"/>
      <c r="BQ172" s="1100"/>
      <c r="BR172" s="1100"/>
      <c r="BS172" s="1100"/>
      <c r="BT172" s="1100"/>
      <c r="BU172" s="1100"/>
      <c r="BV172" s="1100"/>
      <c r="BW172" s="1100"/>
      <c r="BX172" s="1100"/>
      <c r="BY172" s="1100"/>
      <c r="BZ172" s="1100"/>
      <c r="CA172" s="1100"/>
      <c r="CB172" s="1100"/>
      <c r="CC172" s="1100"/>
      <c r="CD172" s="1100"/>
      <c r="CE172" s="1100"/>
      <c r="CF172" s="1100"/>
      <c r="CG172" s="1100"/>
      <c r="CH172" s="1100"/>
      <c r="CI172" s="1100"/>
      <c r="CJ172" s="1100"/>
      <c r="CK172" s="1100"/>
      <c r="CL172" s="1100"/>
      <c r="CM172" s="1100"/>
      <c r="CN172" s="1100"/>
      <c r="CO172" s="1100"/>
      <c r="CP172" s="1100"/>
      <c r="CQ172" s="1100"/>
      <c r="CR172" s="1100"/>
      <c r="CS172" s="1100"/>
      <c r="CT172" s="1100"/>
      <c r="CU172" s="1100"/>
      <c r="CV172" s="1100"/>
      <c r="CW172" s="1100"/>
      <c r="CX172" s="1100"/>
      <c r="CY172" s="1100"/>
      <c r="CZ172" s="1100"/>
      <c r="DA172" s="1100"/>
      <c r="DB172" s="1100"/>
      <c r="DC172" s="1100"/>
      <c r="DD172" s="1100"/>
      <c r="DE172" s="1100"/>
      <c r="DF172" s="1100"/>
      <c r="DG172" s="1100"/>
      <c r="DH172" s="1100"/>
      <c r="DI172" s="1100"/>
      <c r="DJ172" s="1100"/>
      <c r="DK172" s="1100"/>
      <c r="DL172" s="1100"/>
      <c r="DM172" s="1100"/>
      <c r="DN172" s="1100"/>
      <c r="DO172" s="1100"/>
      <c r="DP172" s="1100"/>
      <c r="DQ172" s="1100"/>
      <c r="DR172" s="1100"/>
      <c r="DS172" s="1100"/>
      <c r="DT172" s="1100"/>
      <c r="DU172" s="1100"/>
      <c r="DV172" s="1100"/>
      <c r="DW172" s="1100"/>
      <c r="DX172" s="1100"/>
      <c r="DY172" s="1100"/>
      <c r="DZ172" s="1100"/>
      <c r="EA172" s="1100"/>
      <c r="EB172" s="1100"/>
      <c r="EC172" s="1100"/>
      <c r="ED172" s="1100"/>
      <c r="EE172" s="1100"/>
      <c r="EF172" s="1100"/>
      <c r="EG172" s="1100"/>
      <c r="EH172" s="1100"/>
      <c r="EI172" s="1100"/>
      <c r="EJ172" s="1100"/>
      <c r="EK172" s="1100"/>
      <c r="EL172" s="1100"/>
      <c r="EM172" s="1100"/>
      <c r="EN172" s="1100"/>
      <c r="EO172" s="1100"/>
      <c r="EP172" s="1100"/>
      <c r="EQ172" s="1100"/>
      <c r="ER172" s="1100"/>
      <c r="ES172" s="1100"/>
      <c r="ET172" s="1100"/>
      <c r="EU172" s="1100"/>
      <c r="EV172" s="1100"/>
      <c r="EW172" s="1100"/>
      <c r="EX172" s="1100"/>
      <c r="EY172" s="1100"/>
      <c r="EZ172" s="1100"/>
      <c r="FA172" s="1100"/>
      <c r="FB172" s="1100"/>
      <c r="FC172" s="1100"/>
      <c r="FD172" s="1100"/>
      <c r="FE172" s="1100"/>
      <c r="FF172" s="1100"/>
      <c r="FG172" s="1100"/>
      <c r="FH172" s="1100"/>
      <c r="FI172" s="1100"/>
      <c r="FJ172" s="1100"/>
      <c r="FK172" s="1100"/>
      <c r="FL172" s="1100"/>
      <c r="FM172" s="1100"/>
      <c r="FN172" s="1100"/>
      <c r="FO172" s="1100"/>
      <c r="FP172" s="1100"/>
      <c r="FQ172" s="1100"/>
      <c r="FR172" s="1100"/>
      <c r="FS172" s="1100"/>
      <c r="FT172" s="1100"/>
      <c r="FU172" s="1100"/>
      <c r="FV172" s="1100"/>
      <c r="FW172" s="1101"/>
      <c r="FX172" s="1304"/>
      <c r="FY172" s="1304"/>
      <c r="FZ172" s="1055" t="s">
        <v>227</v>
      </c>
      <c r="GA172" s="1306"/>
      <c r="GB172" s="1306"/>
      <c r="GC172" s="1305"/>
      <c r="GD172" s="1305"/>
    </row>
    <row s="1834" customFormat="1" customHeight="1" ht="23.25" hidden="1">
      <c r="A173" s="493"/>
      <c r="B173" s="925" cm="1" t="str">
        <f t="array" ref="B173:B173">B172</f>
        <v>false</v>
      </c>
      <c r="C173" s="493"/>
      <c r="D173" s="493"/>
      <c r="E173" s="840">
        <v>24.5</v>
      </c>
      <c r="F173" s="50" cm="1" t="str">
        <f t="array" ref="F173:F173">OFFSET(E173,-1,1)</f>
        <v>2</v>
      </c>
      <c r="G173" s="493"/>
      <c r="H173" s="493"/>
      <c r="I173" s="493"/>
      <c r="J173" s="493"/>
      <c r="K173" s="493"/>
      <c r="L173" s="493"/>
      <c r="M173" s="493"/>
      <c r="N173" s="493"/>
      <c r="O173" s="493"/>
      <c r="P173" s="493"/>
      <c r="Q173" s="493"/>
      <c r="R173" s="493"/>
      <c r="S173" s="493"/>
      <c r="T173" s="465" cm="1" t="str">
        <f t="array" ref="T173:T173">T172</f>
        <v>true</v>
      </c>
      <c r="U173" s="493"/>
      <c r="V173" s="493"/>
      <c r="W173" s="493"/>
      <c r="X173" s="1596"/>
      <c r="Y173" s="493"/>
      <c r="Z173" s="1545"/>
      <c r="AA173" s="493"/>
      <c r="AB173" s="293" t="s">
        <v>2369</v>
      </c>
      <c r="AC173" s="903"/>
      <c r="AD173" s="1102"/>
      <c r="AE173" s="1102"/>
      <c r="AF173" s="1102"/>
      <c r="AG173" s="1102"/>
      <c r="AH173" s="1102"/>
      <c r="AI173" s="1102"/>
      <c r="AJ173" s="1102"/>
      <c r="AK173" s="1102"/>
      <c r="AL173" s="1102"/>
      <c r="AM173" s="1102"/>
      <c r="AN173" s="1102"/>
      <c r="AO173" s="1102"/>
      <c r="AP173" s="1102"/>
      <c r="AQ173" s="1102"/>
      <c r="AR173" s="1102"/>
      <c r="AS173" s="1102"/>
      <c r="AT173" s="1102"/>
      <c r="AU173" s="1102"/>
      <c r="AV173" s="1102"/>
      <c r="AW173" s="1102"/>
      <c r="AX173" s="1102"/>
      <c r="AY173" s="1102"/>
      <c r="AZ173" s="1102"/>
      <c r="BA173" s="1102"/>
      <c r="BB173" s="1102"/>
      <c r="BC173" s="1102"/>
      <c r="BD173" s="1102"/>
      <c r="BE173" s="1102"/>
      <c r="BF173" s="1102"/>
      <c r="BG173" s="1102"/>
      <c r="BH173" s="1102"/>
      <c r="BI173" s="1102"/>
      <c r="BJ173" s="1102"/>
      <c r="BK173" s="1102"/>
      <c r="BL173" s="1102"/>
      <c r="BM173" s="1102"/>
      <c r="BN173" s="1102"/>
      <c r="BO173" s="1102"/>
      <c r="BP173" s="1102"/>
      <c r="BQ173" s="1102"/>
      <c r="BR173" s="1102"/>
      <c r="BS173" s="1102"/>
      <c r="BT173" s="1102"/>
      <c r="BU173" s="1102"/>
      <c r="BV173" s="1102"/>
      <c r="BW173" s="1102"/>
      <c r="BX173" s="1102"/>
      <c r="BY173" s="1102"/>
      <c r="BZ173" s="1102"/>
      <c r="CA173" s="1102"/>
      <c r="CB173" s="1102"/>
      <c r="CC173" s="1102"/>
      <c r="CD173" s="1102"/>
      <c r="CE173" s="1102"/>
      <c r="CF173" s="1102"/>
      <c r="CG173" s="1102"/>
      <c r="CH173" s="1102"/>
      <c r="CI173" s="1102"/>
      <c r="CJ173" s="1102"/>
      <c r="CK173" s="1102"/>
      <c r="CL173" s="1102"/>
      <c r="CM173" s="1102"/>
      <c r="CN173" s="1102"/>
      <c r="CO173" s="1102"/>
      <c r="CP173" s="1102"/>
      <c r="CQ173" s="1102"/>
      <c r="CR173" s="1102"/>
      <c r="CS173" s="1102"/>
      <c r="CT173" s="1102"/>
      <c r="CU173" s="1102"/>
      <c r="CV173" s="1102"/>
      <c r="CW173" s="1102"/>
      <c r="CX173" s="1102"/>
      <c r="CY173" s="1102"/>
      <c r="CZ173" s="1102"/>
      <c r="DA173" s="1102"/>
      <c r="DB173" s="1102"/>
      <c r="DC173" s="1102"/>
      <c r="DD173" s="1102"/>
      <c r="DE173" s="1102"/>
      <c r="DF173" s="1102"/>
      <c r="DG173" s="1102"/>
      <c r="DH173" s="1102"/>
      <c r="DI173" s="1102"/>
      <c r="DJ173" s="1102"/>
      <c r="DK173" s="1102"/>
      <c r="DL173" s="1102"/>
      <c r="DM173" s="1102"/>
      <c r="DN173" s="1102"/>
      <c r="DO173" s="1102"/>
      <c r="DP173" s="1102"/>
      <c r="DQ173" s="1102"/>
      <c r="DR173" s="1102"/>
      <c r="DS173" s="1102"/>
      <c r="DT173" s="1102"/>
      <c r="DU173" s="1102"/>
      <c r="DV173" s="1102"/>
      <c r="DW173" s="1102"/>
      <c r="DX173" s="1102"/>
      <c r="DY173" s="1102"/>
      <c r="DZ173" s="1102"/>
      <c r="EA173" s="1102"/>
      <c r="EB173" s="1102"/>
      <c r="EC173" s="1102"/>
      <c r="ED173" s="1102"/>
      <c r="EE173" s="1102"/>
      <c r="EF173" s="1102"/>
      <c r="EG173" s="1102"/>
      <c r="EH173" s="1102"/>
      <c r="EI173" s="1102"/>
      <c r="EJ173" s="1102"/>
      <c r="EK173" s="1102"/>
      <c r="EL173" s="1102"/>
      <c r="EM173" s="1102"/>
      <c r="EN173" s="1102"/>
      <c r="EO173" s="1102"/>
      <c r="EP173" s="1102"/>
      <c r="EQ173" s="1102"/>
      <c r="ER173" s="1102"/>
      <c r="ES173" s="1102"/>
      <c r="ET173" s="1102"/>
      <c r="EU173" s="1102"/>
      <c r="EV173" s="1102"/>
      <c r="EW173" s="1102"/>
      <c r="EX173" s="1102"/>
      <c r="EY173" s="1102"/>
      <c r="EZ173" s="1102"/>
      <c r="FA173" s="1102"/>
      <c r="FB173" s="1102"/>
      <c r="FC173" s="1102"/>
      <c r="FD173" s="1102"/>
      <c r="FE173" s="1102"/>
      <c r="FF173" s="1102"/>
      <c r="FG173" s="1102"/>
      <c r="FH173" s="1102"/>
      <c r="FI173" s="1102"/>
      <c r="FJ173" s="1102"/>
      <c r="FK173" s="1102"/>
      <c r="FL173" s="1102"/>
      <c r="FM173" s="1102"/>
      <c r="FN173" s="1102"/>
      <c r="FO173" s="1102"/>
      <c r="FP173" s="1102"/>
      <c r="FQ173" s="1102"/>
      <c r="FR173" s="1102"/>
      <c r="FS173" s="1102"/>
      <c r="FT173" s="1102"/>
      <c r="FU173" s="1102"/>
      <c r="FV173" s="1102"/>
      <c r="FW173" s="1103"/>
      <c r="FX173" s="1304"/>
      <c r="FY173" s="1304"/>
      <c r="FZ173" s="1055" t="s">
        <v>227</v>
      </c>
      <c r="GA173" s="1306"/>
      <c r="GB173" s="1306"/>
      <c r="GC173" s="1305"/>
      <c r="GD173" s="1305"/>
    </row>
    <row s="1834" customFormat="1" customHeight="1" ht="14.25" hidden="1">
      <c r="A174" s="493"/>
      <c r="B174" s="925" cm="1" t="str">
        <f t="array" ref="B174:B174">B173</f>
        <v>false</v>
      </c>
      <c r="C174" s="493"/>
      <c r="D174" s="493"/>
      <c r="E174" s="840">
        <v>15</v>
      </c>
      <c r="F174" s="50" cm="1" t="str">
        <f t="array" ref="F174:F174">OFFSET(E174,-1,1)</f>
        <v>2</v>
      </c>
      <c r="G174" s="493"/>
      <c r="H174" s="493" t="s">
        <v>2295</v>
      </c>
      <c r="I174" s="493" t="s">
        <v>2335</v>
      </c>
      <c r="J174" s="493"/>
      <c r="K174" s="493"/>
      <c r="L174" s="493"/>
      <c r="M174" s="493"/>
      <c r="N174" s="493"/>
      <c r="O174" s="493"/>
      <c r="P174" s="493"/>
      <c r="Q174" s="493"/>
      <c r="R174" s="493"/>
      <c r="S174" s="493"/>
      <c r="T174" s="465" cm="1" t="str">
        <f t="array" ref="T174:T174">T173</f>
        <v>true</v>
      </c>
      <c r="U174" s="493"/>
      <c r="V174" s="493"/>
      <c r="W174" s="493"/>
      <c r="X174" s="1596"/>
      <c r="Y174" s="493"/>
      <c r="Z174" s="1545"/>
      <c r="AA174" s="493"/>
      <c r="AB174" s="904" t="s">
        <v>2370</v>
      </c>
      <c r="AC174" s="864" t="s">
        <v>2337</v>
      </c>
      <c r="AD174" s="2846">
        <f>IF(AD176=0,0,(AD175*AD176+AD177*AD178*IF(god=2026,9,6))/AD176)</f>
        <v>0</v>
      </c>
      <c r="AE174" s="2846">
        <f>IF(AE176=0,0,(AE175*AE176+AE177*AE178*IF(god=2026,9,6))/AE176)</f>
        <v>0</v>
      </c>
      <c r="AF174" s="1093">
        <f>IF(AD174=0,0,(AE174-AD174)/AD174*100)</f>
        <v>0</v>
      </c>
      <c r="AG174" s="2846">
        <f>IF(AG176=0,0,(AG175*AG176+AG177*AG178*IF(god=2025,9,6))/AG176)</f>
        <v>0</v>
      </c>
      <c r="AH174" s="2846">
        <f>IF(AH176=0,0,(AH175*AH176+AH177*AH178*IF(god=2025,9,6))/AH176)</f>
        <v>0</v>
      </c>
      <c r="AI174" s="1093">
        <f>IF(AG174=0,0,(AH174-AG174)/AG174*100)</f>
        <v>0</v>
      </c>
      <c r="AJ174" s="2846">
        <f>IF(AJ176=0,0,(AJ175*AJ176+AJ177*AJ178*6)/AJ176)</f>
        <v>0</v>
      </c>
      <c r="AK174" s="2846">
        <f>IF(AK176=0,0,(AK175*AK176+AK177*AK178*6)/AK176)</f>
        <v>0</v>
      </c>
      <c r="AL174" s="1093">
        <f>IF(AJ174=0,0,(AK174-AJ174)/AJ174*100)</f>
        <v>0</v>
      </c>
      <c r="AM174" s="2846">
        <f>IF(AM176=0,0,(AM175*AM176+AM177*AM178*6)/AM176)</f>
        <v>0</v>
      </c>
      <c r="AN174" s="2846">
        <f>IF(AN176=0,0,(AN175*AN176+AN177*AN178*6)/AN176)</f>
        <v>0</v>
      </c>
      <c r="AO174" s="1093">
        <f>IF(AM174=0,0,(AN174-AM174)/AM174*100)</f>
        <v>0</v>
      </c>
      <c r="AP174" s="2846">
        <f>IF(AP176=0,0,(AP175*AP176+AP177*AP178*6)/AP176)</f>
        <v>0</v>
      </c>
      <c r="AQ174" s="2846">
        <f>IF(AQ176=0,0,(AQ175*AQ176+AQ177*AQ178*6)/AQ176)</f>
        <v>0</v>
      </c>
      <c r="AR174" s="1093">
        <f>IF(AP174=0,0,(AQ174-AP174)/AP174*100)</f>
        <v>0</v>
      </c>
      <c r="AS174" s="2846">
        <f>IF(AS176=0,0,(AS175*AS176+AS177*AS178*6)/AS176)</f>
        <v>0</v>
      </c>
      <c r="AT174" s="2846">
        <f>IF(AT176=0,0,(AT175*AT176+AT177*AT178*6)/AT176)</f>
        <v>0</v>
      </c>
      <c r="AU174" s="1093">
        <f>IF(AS174=0,0,(AT174-AS174)/AS174*100)</f>
        <v>0</v>
      </c>
      <c r="AV174" s="2846">
        <f>IF(AV176=0,0,(AV175*AV176+AV177*AV178*6)/AV176)</f>
        <v>0</v>
      </c>
      <c r="AW174" s="2846">
        <f>IF(AW176=0,0,(AW175*AW176+AW177*AW178*6)/AW176)</f>
        <v>0</v>
      </c>
      <c r="AX174" s="1093">
        <f>IF(AV174=0,0,(AW174-AV174)/AV174*100)</f>
        <v>0</v>
      </c>
      <c r="AY174" s="2846">
        <f>IF(AY176=0,0,(AY175*AY176+AY177*AY178*6)/AY176)</f>
        <v>0</v>
      </c>
      <c r="AZ174" s="2846">
        <f>IF(AZ176=0,0,(AZ175*AZ176+AZ177*AZ178*6)/AZ176)</f>
        <v>0</v>
      </c>
      <c r="BA174" s="1093">
        <f>IF(AY174=0,0,(AZ174-AY174)/AY174*100)</f>
        <v>0</v>
      </c>
      <c r="BB174" s="2846">
        <f>IF(BB176=0,0,(BB175*BB176+BB177*BB178*6)/BB176)</f>
        <v>0</v>
      </c>
      <c r="BC174" s="2846">
        <f>IF(BC176=0,0,(BC175*BC176+BC177*BC178*6)/BC176)</f>
        <v>0</v>
      </c>
      <c r="BD174" s="1093">
        <f>IF(BB174=0,0,(BC174-BB174)/BB174*100)</f>
        <v>0</v>
      </c>
      <c r="BE174" s="2846">
        <f>IF(BE176=0,0,(BE175*BE176+BE177*BE178*6)/BE176)</f>
        <v>0</v>
      </c>
      <c r="BF174" s="2846">
        <f>IF(BF176=0,0,(BF175*BF176+BF177*BF178*6)/BF176)</f>
        <v>0</v>
      </c>
      <c r="BG174" s="1093">
        <f>IF(BE174=0,0,(BF174-BE174)/BE174*100)</f>
        <v>0</v>
      </c>
      <c r="BH174" s="2846">
        <f>IF(BH176=0,0,(BH175*BH176+BH177*BH178*6)/BH176)</f>
        <v>0</v>
      </c>
      <c r="BI174" s="2846">
        <f>IF(BI176=0,0,(BI175*BI176+BI177*BI178*6)/BI176)</f>
        <v>0</v>
      </c>
      <c r="BJ174" s="1093">
        <f>IF(BH174=0,0,(BI174-BH174)/BH174*100)</f>
        <v>0</v>
      </c>
      <c r="BK174" s="2846">
        <f>IF(BK176=0,0,(BK175*BK176+BK177*BK178*6)/BK176)</f>
        <v>0</v>
      </c>
      <c r="BL174" s="2846">
        <f>IF(BL176=0,0,(BL175*BL176+BL177*BL178*6)/BL176)</f>
        <v>0</v>
      </c>
      <c r="BM174" s="1093">
        <f>IF(BK174=0,0,(BL174-BK174)/BK174*100)</f>
        <v>0</v>
      </c>
      <c r="BN174" s="2846">
        <f>IF(BN176=0,0,(BN175*BN176+BN177*BN178*6)/BN176)</f>
        <v>0</v>
      </c>
      <c r="BO174" s="2846">
        <f>IF(BO176=0,0,(BO175*BO176+BO177*BO178*6)/BO176)</f>
        <v>0</v>
      </c>
      <c r="BP174" s="1093">
        <f>IF(BN174=0,0,(BO174-BN174)/BN174*100)</f>
        <v>0</v>
      </c>
      <c r="BQ174" s="2846">
        <f>IF(BQ176=0,0,(BQ175*BQ176+BQ177*BQ178*6)/BQ176)</f>
        <v>0</v>
      </c>
      <c r="BR174" s="2846">
        <f>IF(BR176=0,0,(BR175*BR176+BR177*BR178*6)/BR176)</f>
        <v>0</v>
      </c>
      <c r="BS174" s="1093">
        <f>IF(BQ174=0,0,(BR174-BQ174)/BQ174*100)</f>
        <v>0</v>
      </c>
      <c r="BT174" s="2846">
        <f>IF(BT176=0,0,(BT175*BT176+BT177*BT178*6)/BT176)</f>
        <v>0</v>
      </c>
      <c r="BU174" s="2846">
        <f>IF(BU176=0,0,(BU175*BU176+BU177*BU178*6)/BU176)</f>
        <v>0</v>
      </c>
      <c r="BV174" s="1093">
        <f>IF(BT174=0,0,(BU174-BT174)/BT174*100)</f>
        <v>0</v>
      </c>
      <c r="BW174" s="2846">
        <f>IF(BW176=0,0,(BW175*BW176+BW177*BW178*6)/BW176)</f>
        <v>0</v>
      </c>
      <c r="BX174" s="2846">
        <f>IF(BX176=0,0,(BX175*BX176+BX177*BX178*6)/BX176)</f>
        <v>0</v>
      </c>
      <c r="BY174" s="1093">
        <f>IF(BW174=0,0,(BX174-BW174)/BW174*100)</f>
        <v>0</v>
      </c>
      <c r="BZ174" s="2846">
        <f>IF(BZ176=0,0,(BZ175*BZ176+BZ177*BZ178*6)/BZ176)</f>
        <v>0</v>
      </c>
      <c r="CA174" s="2846">
        <f>IF(CA176=0,0,(CA175*CA176+CA177*CA178*6)/CA176)</f>
        <v>0</v>
      </c>
      <c r="CB174" s="1093">
        <f>IF(BZ174=0,0,(CA174-BZ174)/BZ174*100)</f>
        <v>0</v>
      </c>
      <c r="CC174" s="2846">
        <f>IF(CC176=0,0,(CC175*CC176+CC177*CC178*6)/CC176)</f>
        <v>0</v>
      </c>
      <c r="CD174" s="2846">
        <f>IF(CD176=0,0,(CD175*CD176+CD177*CD178*6)/CD176)</f>
        <v>0</v>
      </c>
      <c r="CE174" s="1093">
        <f>IF(CC174=0,0,(CD174-CC174)/CC174*100)</f>
        <v>0</v>
      </c>
      <c r="CF174" s="2846">
        <f>IF(CF176=0,0,(CF175*CF176+CF177*CF178*6)/CF176)</f>
        <v>0</v>
      </c>
      <c r="CG174" s="2846">
        <f>IF(CG176=0,0,(CG175*CG176+CG177*CG178*6)/CG176)</f>
        <v>0</v>
      </c>
      <c r="CH174" s="1093">
        <f>IF(CF174=0,0,(CG174-CF174)/CF174*100)</f>
        <v>0</v>
      </c>
      <c r="CI174" s="2846">
        <f>IF(CI176=0,0,(CI175*CI176+CI177*CI178*6)/CI176)</f>
        <v>0</v>
      </c>
      <c r="CJ174" s="2846">
        <f>IF(CJ176=0,0,(CJ175*CJ176+CJ177*CJ178*6)/CJ176)</f>
        <v>0</v>
      </c>
      <c r="CK174" s="1093">
        <f>IF(CI174=0,0,(CJ174-CI174)/CI174*100)</f>
        <v>0</v>
      </c>
      <c r="CL174" s="2846">
        <f>IF(CL176=0,0,(CL175*CL176+CL177*CL178*6)/CL176)</f>
        <v>0</v>
      </c>
      <c r="CM174" s="2846">
        <f>IF(CM176=0,0,(CM175*CM176+CM177*CM178*6)/CM176)</f>
        <v>0</v>
      </c>
      <c r="CN174" s="1093">
        <f>IF(CL174=0,0,(CM174-CL174)/CL174*100)</f>
        <v>0</v>
      </c>
      <c r="CO174" s="2846">
        <f>IF(CO176=0,0,(CO175*CO176+CO177*CO178*6)/CO176)</f>
        <v>0</v>
      </c>
      <c r="CP174" s="2846">
        <f>IF(CP176=0,0,(CP175*CP176+CP177*CP178*6)/CP176)</f>
        <v>0</v>
      </c>
      <c r="CQ174" s="1093">
        <f>IF(CO174=0,0,(CP174-CO174)/CO174*100)</f>
        <v>0</v>
      </c>
      <c r="CR174" s="2846">
        <f>IF(CR176=0,0,(CR175*CR176+CR177*CR178*6)/CR176)</f>
        <v>0</v>
      </c>
      <c r="CS174" s="2846">
        <f>IF(CS176=0,0,(CS175*CS176+CS177*CS178*6)/CS176)</f>
        <v>0</v>
      </c>
      <c r="CT174" s="1093">
        <f>IF(CR174=0,0,(CS174-CR174)/CR174*100)</f>
        <v>0</v>
      </c>
      <c r="CU174" s="2846">
        <f>IF(CU176=0,0,(CU175*CU176+CU177*CU178*6)/CU176)</f>
        <v>0</v>
      </c>
      <c r="CV174" s="2846">
        <f>IF(CV176=0,0,(CV175*CV176+CV177*CV178*6)/CV176)</f>
        <v>0</v>
      </c>
      <c r="CW174" s="1093">
        <f>IF(CU174=0,0,(CV174-CU174)/CU174*100)</f>
        <v>0</v>
      </c>
      <c r="CX174" s="2846">
        <f>IF(CX176=0,0,(CX175*CX176+CX177*CX178*6)/CX176)</f>
        <v>0</v>
      </c>
      <c r="CY174" s="2846">
        <f>IF(CY176=0,0,(CY175*CY176+CY177*CY178*6)/CY176)</f>
        <v>0</v>
      </c>
      <c r="CZ174" s="1093">
        <f>IF(CX174=0,0,(CY174-CX174)/CX174*100)</f>
        <v>0</v>
      </c>
      <c r="DA174" s="2846">
        <f>IF(DA176=0,0,(DA175*DA176+DA177*DA178*6)/DA176)</f>
        <v>0</v>
      </c>
      <c r="DB174" s="2846">
        <f>IF(DB176=0,0,(DB175*DB176+DB177*DB178*6)/DB176)</f>
        <v>0</v>
      </c>
      <c r="DC174" s="1093">
        <f>IF(DA174=0,0,(DB174-DA174)/DA174*100)</f>
        <v>0</v>
      </c>
      <c r="DD174" s="2846">
        <f>IF(DD176=0,0,(DD175*DD176+DD177*DD178*6)/DD176)</f>
        <v>0</v>
      </c>
      <c r="DE174" s="2846">
        <f>IF(DE176=0,0,(DE175*DE176+DE177*DE178*6)/DE176)</f>
        <v>0</v>
      </c>
      <c r="DF174" s="1093">
        <f>IF(DD174=0,0,(DE174-DD174)/DD174*100)</f>
        <v>0</v>
      </c>
      <c r="DG174" s="2846">
        <f>IF(DG176=0,0,(DG175*DG176+DG177*DG178*6)/DG176)</f>
        <v>0</v>
      </c>
      <c r="DH174" s="2846">
        <f>IF(DH176=0,0,(DH175*DH176+DH177*DH178*6)/DH176)</f>
        <v>0</v>
      </c>
      <c r="DI174" s="1093">
        <f>IF(DG174=0,0,(DH174-DG174)/DG174*100)</f>
        <v>0</v>
      </c>
      <c r="DJ174" s="2846">
        <f>IF(DJ176=0,0,(DJ175*DJ176+DJ177*DJ178*6)/DJ176)</f>
        <v>0</v>
      </c>
      <c r="DK174" s="2846">
        <f>IF(DK176=0,0,(DK175*DK176+DK177*DK178*6)/DK176)</f>
        <v>0</v>
      </c>
      <c r="DL174" s="1093">
        <f>IF(DJ174=0,0,(DK174-DJ174)/DJ174*100)</f>
        <v>0</v>
      </c>
      <c r="DM174" s="2846">
        <f>IF(DM176=0,0,(DM175*DM176+DM177*DM178*6)/DM176)</f>
        <v>0</v>
      </c>
      <c r="DN174" s="2846">
        <f>IF(DN176=0,0,(DN175*DN176+DN177*DN178*6)/DN176)</f>
        <v>0</v>
      </c>
      <c r="DO174" s="1093">
        <f>IF(DM174=0,0,(DN174-DM174)/DM174*100)</f>
        <v>0</v>
      </c>
      <c r="DP174" s="2846">
        <f>IF(DP176=0,0,(DP175*DP176+DP177*DP178*6)/DP176)</f>
        <v>0</v>
      </c>
      <c r="DQ174" s="2846">
        <f>IF(DQ176=0,0,(DQ175*DQ176+DQ177*DQ178*6)/DQ176)</f>
        <v>0</v>
      </c>
      <c r="DR174" s="1093">
        <f>IF(DP174=0,0,(DQ174-DP174)/DP174*100)</f>
        <v>0</v>
      </c>
      <c r="DS174" s="2846">
        <f>IF(DS176=0,0,(DS175*DS176+DS177*DS178*6)/DS176)</f>
        <v>0</v>
      </c>
      <c r="DT174" s="2846">
        <f>IF(DT176=0,0,(DT175*DT176+DT177*DT178*6)/DT176)</f>
        <v>0</v>
      </c>
      <c r="DU174" s="1093">
        <f>IF(DS174=0,0,(DT174-DS174)/DS174*100)</f>
        <v>0</v>
      </c>
      <c r="DV174" s="2846">
        <f>IF(DV176=0,0,(DV175*DV176+DV177*DV178*6)/DV176)</f>
        <v>0</v>
      </c>
      <c r="DW174" s="2846">
        <f>IF(DW176=0,0,(DW175*DW176+DW177*DW178*6)/DW176)</f>
        <v>0</v>
      </c>
      <c r="DX174" s="1093">
        <f>IF(DV174=0,0,(DW174-DV174)/DV174*100)</f>
        <v>0</v>
      </c>
      <c r="DY174" s="2846">
        <f>IF(DY176=0,0,(DY175*DY176+DY177*DY178*6)/DY176)</f>
        <v>0</v>
      </c>
      <c r="DZ174" s="2846">
        <f>IF(DZ176=0,0,(DZ175*DZ176+DZ177*DZ178*6)/DZ176)</f>
        <v>0</v>
      </c>
      <c r="EA174" s="1093">
        <f>IF(DY174=0,0,(DZ174-DY174)/DY174*100)</f>
        <v>0</v>
      </c>
      <c r="EB174" s="2846">
        <f>IF(EB176=0,0,(EB175*EB176+EB177*EB178*6)/EB176)</f>
        <v>0</v>
      </c>
      <c r="EC174" s="2846">
        <f>IF(EC176=0,0,(EC175*EC176+EC177*EC178*6)/EC176)</f>
        <v>0</v>
      </c>
      <c r="ED174" s="1093">
        <f>IF(EB174=0,0,(EC174-EB174)/EB174*100)</f>
        <v>0</v>
      </c>
      <c r="EE174" s="2846">
        <f>IF(EE176=0,0,(EE175*EE176+EE177*EE178*6)/EE176)</f>
        <v>0</v>
      </c>
      <c r="EF174" s="2846">
        <f>IF(EF176=0,0,(EF175*EF176+EF177*EF178*6)/EF176)</f>
        <v>0</v>
      </c>
      <c r="EG174" s="1093">
        <f>IF(EE174=0,0,(EF174-EE174)/EE174*100)</f>
        <v>0</v>
      </c>
      <c r="EH174" s="2846">
        <f>IF(EH176=0,0,(EH175*EH176+EH177*EH178*6)/EH176)</f>
        <v>0</v>
      </c>
      <c r="EI174" s="2846">
        <f>IF(EI176=0,0,(EI175*EI176+EI177*EI178*6)/EI176)</f>
        <v>0</v>
      </c>
      <c r="EJ174" s="1093">
        <f>IF(EH174=0,0,(EI174-EH174)/EH174*100)</f>
        <v>0</v>
      </c>
      <c r="EK174" s="2846">
        <f>IF(EK176=0,0,(EK175*EK176+EK177*EK178*6)/EK176)</f>
        <v>0</v>
      </c>
      <c r="EL174" s="2846">
        <f>IF(EL176=0,0,(EL175*EL176+EL177*EL178*6)/EL176)</f>
        <v>0</v>
      </c>
      <c r="EM174" s="1093">
        <f>IF(EK174=0,0,(EL174-EK174)/EK174*100)</f>
        <v>0</v>
      </c>
      <c r="EN174" s="2846">
        <f>IF(EN176=0,0,(EN175*EN176+EN177*EN178*6)/EN176)</f>
        <v>0</v>
      </c>
      <c r="EO174" s="2846">
        <f>IF(EO176=0,0,(EO175*EO176+EO177*EO178*6)/EO176)</f>
        <v>0</v>
      </c>
      <c r="EP174" s="1093">
        <f>IF(EN174=0,0,(EO174-EN174)/EN174*100)</f>
        <v>0</v>
      </c>
      <c r="EQ174" s="2846">
        <f>IF(EQ176=0,0,(EQ175*EQ176+EQ177*EQ178*6)/EQ176)</f>
        <v>0</v>
      </c>
      <c r="ER174" s="2846">
        <f>IF(ER176=0,0,(ER175*ER176+ER177*ER178*6)/ER176)</f>
        <v>0</v>
      </c>
      <c r="ES174" s="1093">
        <f>IF(EQ174=0,0,(ER174-EQ174)/EQ174*100)</f>
        <v>0</v>
      </c>
      <c r="ET174" s="2846">
        <f>IF(ET176=0,0,(ET175*ET176+ET177*ET178*6)/ET176)</f>
        <v>0</v>
      </c>
      <c r="EU174" s="2846">
        <f>IF(EU176=0,0,(EU175*EU176+EU177*EU178*6)/EU176)</f>
        <v>0</v>
      </c>
      <c r="EV174" s="1093">
        <f>IF(ET174=0,0,(EU174-ET174)/ET174*100)</f>
        <v>0</v>
      </c>
      <c r="EW174" s="2846">
        <f>IF(EW176=0,0,(EW175*EW176+EW177*EW178*6)/EW176)</f>
        <v>0</v>
      </c>
      <c r="EX174" s="2846">
        <f>IF(EX176=0,0,(EX175*EX176+EX177*EX178*6)/EX176)</f>
        <v>0</v>
      </c>
      <c r="EY174" s="1093">
        <f>IF(EW174=0,0,(EX174-EW174)/EW174*100)</f>
        <v>0</v>
      </c>
      <c r="EZ174" s="2846">
        <f>IF(EZ176=0,0,(EZ175*EZ176+EZ177*EZ178*6)/EZ176)</f>
        <v>0</v>
      </c>
      <c r="FA174" s="2846">
        <f>IF(FA176=0,0,(FA175*FA176+FA177*FA178*6)/FA176)</f>
        <v>0</v>
      </c>
      <c r="FB174" s="1093">
        <f>IF(EZ174=0,0,(FA174-EZ174)/EZ174*100)</f>
        <v>0</v>
      </c>
      <c r="FC174" s="2846">
        <f>IF(FC176=0,0,(FC175*FC176+FC177*FC178*6)/FC176)</f>
        <v>0</v>
      </c>
      <c r="FD174" s="2846">
        <f>IF(FD176=0,0,(FD175*FD176+FD177*FD178*6)/FD176)</f>
        <v>0</v>
      </c>
      <c r="FE174" s="1093">
        <f>IF(FC174=0,0,(FD174-FC174)/FC174*100)</f>
        <v>0</v>
      </c>
      <c r="FF174" s="2846">
        <f>IF(FF176=0,0,(FF175*FF176+FF177*FF178*6)/FF176)</f>
        <v>0</v>
      </c>
      <c r="FG174" s="2846">
        <f>IF(FG176=0,0,(FG175*FG176+FG177*FG178*6)/FG176)</f>
        <v>0</v>
      </c>
      <c r="FH174" s="1093">
        <f>IF(FF174=0,0,(FG174-FF174)/FF174*100)</f>
        <v>0</v>
      </c>
      <c r="FI174" s="2846">
        <f>IF(FI176=0,0,(FI175*FI176+FI177*FI178*6)/FI176)</f>
        <v>0</v>
      </c>
      <c r="FJ174" s="2846">
        <f>IF(FJ176=0,0,(FJ175*FJ176+FJ177*FJ178*6)/FJ176)</f>
        <v>0</v>
      </c>
      <c r="FK174" s="1093">
        <f>IF(FI174=0,0,(FJ174-FI174)/FI174*100)</f>
        <v>0</v>
      </c>
      <c r="FL174" s="2846">
        <f>IF(FL176=0,0,(FL175*FL176+FL177*FL178*6)/FL176)</f>
        <v>0</v>
      </c>
      <c r="FM174" s="2846">
        <f>IF(FM176=0,0,(FM175*FM176+FM177*FM178*6)/FM176)</f>
        <v>0</v>
      </c>
      <c r="FN174" s="1093">
        <f>IF(FL174=0,0,(FM174-FL174)/FL174*100)</f>
        <v>0</v>
      </c>
      <c r="FO174" s="2846">
        <f>IF(FO176=0,0,(FO175*FO176+FO177*FO178*6)/FO176)</f>
        <v>0</v>
      </c>
      <c r="FP174" s="2846">
        <f>IF(FP176=0,0,(FP175*FP176+FP177*FP178*6)/FP176)</f>
        <v>0</v>
      </c>
      <c r="FQ174" s="1093">
        <f>IF(FO174=0,0,(FP174-FO174)/FO174*100)</f>
        <v>0</v>
      </c>
      <c r="FR174" s="2846">
        <f>IF(FR176=0,0,(FR175*FR176+FR177*FR178*6)/FR176)</f>
        <v>0</v>
      </c>
      <c r="FS174" s="2846">
        <f>IF(FS176=0,0,(FS175*FS176+FS177*FS178*6)/FS176)</f>
        <v>0</v>
      </c>
      <c r="FT174" s="1093">
        <f>IF(FR174=0,0,(FS174-FR174)/FR174*100)</f>
        <v>0</v>
      </c>
      <c r="FU174" s="2846">
        <f>IF(FU176=0,0,(FU175*FU176+FU177*FU178*6)/FU176)</f>
        <v>0</v>
      </c>
      <c r="FV174" s="2846">
        <f>IF(FV176=0,0,(FV175*FV176+FV177*FV178*6)/FV176)</f>
        <v>0</v>
      </c>
      <c r="FW174" s="1093">
        <f>IF(FU174=0,0,(FV174-FU174)/FU174*100)</f>
        <v>0</v>
      </c>
      <c r="FX174" s="1304"/>
      <c r="FY174" s="1304"/>
      <c r="FZ174" s="1055" t="s">
        <v>2371</v>
      </c>
      <c r="GA174" s="1306"/>
      <c r="GB174" s="1306"/>
      <c r="GC174" s="1305"/>
      <c r="GD174" s="1305"/>
    </row>
    <row s="1834" customFormat="1" customHeight="1" ht="14.25" hidden="1">
      <c r="A175" s="493"/>
      <c r="B175" s="925" cm="1" t="str">
        <f t="array" ref="B175:B175">B174</f>
        <v>false</v>
      </c>
      <c r="C175" s="493"/>
      <c r="D175" s="493"/>
      <c r="E175" s="840">
        <v>15</v>
      </c>
      <c r="F175" s="50" cm="1" t="str">
        <f t="array" ref="F175:F175">OFFSET(E175,-1,1)</f>
        <v>2</v>
      </c>
      <c r="G175" s="493"/>
      <c r="H175" s="493" t="s">
        <v>2299</v>
      </c>
      <c r="I175" s="493" t="s">
        <v>2335</v>
      </c>
      <c r="J175" s="493"/>
      <c r="K175" s="493"/>
      <c r="L175" s="493"/>
      <c r="M175" s="493"/>
      <c r="N175" s="493"/>
      <c r="O175" s="493"/>
      <c r="P175" s="493"/>
      <c r="Q175" s="493"/>
      <c r="R175" s="493"/>
      <c r="S175" s="493"/>
      <c r="T175" s="465" cm="1" t="str">
        <f t="array" ref="T175:T175">T174</f>
        <v>true</v>
      </c>
      <c r="U175" s="493"/>
      <c r="V175" s="493"/>
      <c r="W175" s="493"/>
      <c r="X175" s="1596"/>
      <c r="Y175" s="493"/>
      <c r="Z175" s="1545"/>
      <c r="AA175" s="493"/>
      <c r="AB175" s="904" t="str">
        <f>"ставка платы за "&amp;IF(Q155="Водоснабжение","потребление 1 куб.м холодной воды","объем принятых сточных вод")</f>
        <v>ставка платы за потребление 1 куб.м холодной воды</v>
      </c>
      <c r="AC175" s="864" t="s">
        <v>2337</v>
      </c>
      <c r="AD175" s="2846"/>
      <c r="AE175" s="2846"/>
      <c r="AF175" s="1093">
        <f>IF(AD175=0,0,(AE175-AD175)/AD175*100)</f>
        <v>0</v>
      </c>
      <c r="AG175" s="2846"/>
      <c r="AH175" s="2846"/>
      <c r="AI175" s="1093">
        <f>IF(AG175=0,0,(AH175-AG175)/AG175*100)</f>
        <v>0</v>
      </c>
      <c r="AJ175" s="2846"/>
      <c r="AK175" s="2846"/>
      <c r="AL175" s="1093">
        <f>IF(AJ175=0,0,(AK175-AJ175)/AJ175*100)</f>
        <v>0</v>
      </c>
      <c r="AM175" s="2846"/>
      <c r="AN175" s="2846"/>
      <c r="AO175" s="1093">
        <f>IF(AM175=0,0,(AN175-AM175)/AM175*100)</f>
        <v>0</v>
      </c>
      <c r="AP175" s="2846"/>
      <c r="AQ175" s="2846"/>
      <c r="AR175" s="1093">
        <f>IF(AP175=0,0,(AQ175-AP175)/AP175*100)</f>
        <v>0</v>
      </c>
      <c r="AS175" s="2846"/>
      <c r="AT175" s="2846"/>
      <c r="AU175" s="1093">
        <f>IF(AS175=0,0,(AT175-AS175)/AS175*100)</f>
        <v>0</v>
      </c>
      <c r="AV175" s="2846"/>
      <c r="AW175" s="2846"/>
      <c r="AX175" s="1093">
        <f>IF(AV175=0,0,(AW175-AV175)/AV175*100)</f>
        <v>0</v>
      </c>
      <c r="AY175" s="2846"/>
      <c r="AZ175" s="2846"/>
      <c r="BA175" s="1093">
        <f>IF(AY175=0,0,(AZ175-AY175)/AY175*100)</f>
        <v>0</v>
      </c>
      <c r="BB175" s="2846"/>
      <c r="BC175" s="2846"/>
      <c r="BD175" s="1093">
        <f>IF(BB175=0,0,(BC175-BB175)/BB175*100)</f>
        <v>0</v>
      </c>
      <c r="BE175" s="2846"/>
      <c r="BF175" s="2846"/>
      <c r="BG175" s="1093">
        <f>IF(BE175=0,0,(BF175-BE175)/BE175*100)</f>
        <v>0</v>
      </c>
      <c r="BH175" s="2846"/>
      <c r="BI175" s="2846"/>
      <c r="BJ175" s="1093">
        <f>IF(BH175=0,0,(BI175-BH175)/BH175*100)</f>
        <v>0</v>
      </c>
      <c r="BK175" s="2846"/>
      <c r="BL175" s="2846"/>
      <c r="BM175" s="1093">
        <f>IF(BK175=0,0,(BL175-BK175)/BK175*100)</f>
        <v>0</v>
      </c>
      <c r="BN175" s="2846"/>
      <c r="BO175" s="2846"/>
      <c r="BP175" s="1093">
        <f>IF(BN175=0,0,(BO175-BN175)/BN175*100)</f>
        <v>0</v>
      </c>
      <c r="BQ175" s="2846"/>
      <c r="BR175" s="2846"/>
      <c r="BS175" s="1093">
        <f>IF(BQ175=0,0,(BR175-BQ175)/BQ175*100)</f>
        <v>0</v>
      </c>
      <c r="BT175" s="2846"/>
      <c r="BU175" s="2846"/>
      <c r="BV175" s="1093">
        <f>IF(BT175=0,0,(BU175-BT175)/BT175*100)</f>
        <v>0</v>
      </c>
      <c r="BW175" s="2846"/>
      <c r="BX175" s="2846"/>
      <c r="BY175" s="1093">
        <f>IF(BW175=0,0,(BX175-BW175)/BW175*100)</f>
        <v>0</v>
      </c>
      <c r="BZ175" s="2846"/>
      <c r="CA175" s="2846"/>
      <c r="CB175" s="1093">
        <f>IF(BZ175=0,0,(CA175-BZ175)/BZ175*100)</f>
        <v>0</v>
      </c>
      <c r="CC175" s="2846"/>
      <c r="CD175" s="2846"/>
      <c r="CE175" s="1093">
        <f>IF(CC175=0,0,(CD175-CC175)/CC175*100)</f>
        <v>0</v>
      </c>
      <c r="CF175" s="2846"/>
      <c r="CG175" s="2846"/>
      <c r="CH175" s="1093">
        <f>IF(CF175=0,0,(CG175-CF175)/CF175*100)</f>
        <v>0</v>
      </c>
      <c r="CI175" s="2846"/>
      <c r="CJ175" s="2846"/>
      <c r="CK175" s="1093">
        <f>IF(CI175=0,0,(CJ175-CI175)/CI175*100)</f>
        <v>0</v>
      </c>
      <c r="CL175" s="2846"/>
      <c r="CM175" s="2846"/>
      <c r="CN175" s="1093">
        <f>IF(CL175=0,0,(CM175-CL175)/CL175*100)</f>
        <v>0</v>
      </c>
      <c r="CO175" s="2846"/>
      <c r="CP175" s="2846"/>
      <c r="CQ175" s="1093">
        <f>IF(CO175=0,0,(CP175-CO175)/CO175*100)</f>
        <v>0</v>
      </c>
      <c r="CR175" s="2846"/>
      <c r="CS175" s="2846"/>
      <c r="CT175" s="1093">
        <f>IF(CR175=0,0,(CS175-CR175)/CR175*100)</f>
        <v>0</v>
      </c>
      <c r="CU175" s="2846"/>
      <c r="CV175" s="2846"/>
      <c r="CW175" s="1093">
        <f>IF(CU175=0,0,(CV175-CU175)/CU175*100)</f>
        <v>0</v>
      </c>
      <c r="CX175" s="2846"/>
      <c r="CY175" s="2846"/>
      <c r="CZ175" s="1093">
        <f>IF(CX175=0,0,(CY175-CX175)/CX175*100)</f>
        <v>0</v>
      </c>
      <c r="DA175" s="2846"/>
      <c r="DB175" s="2846"/>
      <c r="DC175" s="1093">
        <f>IF(DA175=0,0,(DB175-DA175)/DA175*100)</f>
        <v>0</v>
      </c>
      <c r="DD175" s="2846"/>
      <c r="DE175" s="2846"/>
      <c r="DF175" s="1093">
        <f>IF(DD175=0,0,(DE175-DD175)/DD175*100)</f>
        <v>0</v>
      </c>
      <c r="DG175" s="2846"/>
      <c r="DH175" s="2846"/>
      <c r="DI175" s="1093">
        <f>IF(DG175=0,0,(DH175-DG175)/DG175*100)</f>
        <v>0</v>
      </c>
      <c r="DJ175" s="2846"/>
      <c r="DK175" s="2846"/>
      <c r="DL175" s="1093">
        <f>IF(DJ175=0,0,(DK175-DJ175)/DJ175*100)</f>
        <v>0</v>
      </c>
      <c r="DM175" s="2846"/>
      <c r="DN175" s="2846"/>
      <c r="DO175" s="1093">
        <f>IF(DM175=0,0,(DN175-DM175)/DM175*100)</f>
        <v>0</v>
      </c>
      <c r="DP175" s="2846"/>
      <c r="DQ175" s="2846"/>
      <c r="DR175" s="1093">
        <f>IF(DP175=0,0,(DQ175-DP175)/DP175*100)</f>
        <v>0</v>
      </c>
      <c r="DS175" s="2846"/>
      <c r="DT175" s="2846"/>
      <c r="DU175" s="1093">
        <f>IF(DS175=0,0,(DT175-DS175)/DS175*100)</f>
        <v>0</v>
      </c>
      <c r="DV175" s="2846"/>
      <c r="DW175" s="2846"/>
      <c r="DX175" s="1093">
        <f>IF(DV175=0,0,(DW175-DV175)/DV175*100)</f>
        <v>0</v>
      </c>
      <c r="DY175" s="2846"/>
      <c r="DZ175" s="2846"/>
      <c r="EA175" s="1093">
        <f>IF(DY175=0,0,(DZ175-DY175)/DY175*100)</f>
        <v>0</v>
      </c>
      <c r="EB175" s="2846"/>
      <c r="EC175" s="2846"/>
      <c r="ED175" s="1093">
        <f>IF(EB175=0,0,(EC175-EB175)/EB175*100)</f>
        <v>0</v>
      </c>
      <c r="EE175" s="2846"/>
      <c r="EF175" s="2846"/>
      <c r="EG175" s="1093">
        <f>IF(EE175=0,0,(EF175-EE175)/EE175*100)</f>
        <v>0</v>
      </c>
      <c r="EH175" s="2846"/>
      <c r="EI175" s="2846"/>
      <c r="EJ175" s="1093">
        <f>IF(EH175=0,0,(EI175-EH175)/EH175*100)</f>
        <v>0</v>
      </c>
      <c r="EK175" s="2846"/>
      <c r="EL175" s="2846"/>
      <c r="EM175" s="1093">
        <f>IF(EK175=0,0,(EL175-EK175)/EK175*100)</f>
        <v>0</v>
      </c>
      <c r="EN175" s="2846"/>
      <c r="EO175" s="2846"/>
      <c r="EP175" s="1093">
        <f>IF(EN175=0,0,(EO175-EN175)/EN175*100)</f>
        <v>0</v>
      </c>
      <c r="EQ175" s="2846"/>
      <c r="ER175" s="2846"/>
      <c r="ES175" s="1093">
        <f>IF(EQ175=0,0,(ER175-EQ175)/EQ175*100)</f>
        <v>0</v>
      </c>
      <c r="ET175" s="2846"/>
      <c r="EU175" s="2846"/>
      <c r="EV175" s="1093">
        <f>IF(ET175=0,0,(EU175-ET175)/ET175*100)</f>
        <v>0</v>
      </c>
      <c r="EW175" s="2846"/>
      <c r="EX175" s="2846"/>
      <c r="EY175" s="1093">
        <f>IF(EW175=0,0,(EX175-EW175)/EW175*100)</f>
        <v>0</v>
      </c>
      <c r="EZ175" s="2846"/>
      <c r="FA175" s="2846"/>
      <c r="FB175" s="1093">
        <f>IF(EZ175=0,0,(FA175-EZ175)/EZ175*100)</f>
        <v>0</v>
      </c>
      <c r="FC175" s="2846"/>
      <c r="FD175" s="2846"/>
      <c r="FE175" s="1093">
        <f>IF(FC175=0,0,(FD175-FC175)/FC175*100)</f>
        <v>0</v>
      </c>
      <c r="FF175" s="2846"/>
      <c r="FG175" s="2846"/>
      <c r="FH175" s="1093">
        <f>IF(FF175=0,0,(FG175-FF175)/FF175*100)</f>
        <v>0</v>
      </c>
      <c r="FI175" s="2846"/>
      <c r="FJ175" s="2846"/>
      <c r="FK175" s="1093">
        <f>IF(FI175=0,0,(FJ175-FI175)/FI175*100)</f>
        <v>0</v>
      </c>
      <c r="FL175" s="2846"/>
      <c r="FM175" s="2846"/>
      <c r="FN175" s="1093">
        <f>IF(FL175=0,0,(FM175-FL175)/FL175*100)</f>
        <v>0</v>
      </c>
      <c r="FO175" s="2846"/>
      <c r="FP175" s="2846"/>
      <c r="FQ175" s="1093">
        <f>IF(FO175=0,0,(FP175-FO175)/FO175*100)</f>
        <v>0</v>
      </c>
      <c r="FR175" s="2846"/>
      <c r="FS175" s="2846"/>
      <c r="FT175" s="1093">
        <f>IF(FR175=0,0,(FS175-FR175)/FR175*100)</f>
        <v>0</v>
      </c>
      <c r="FU175" s="2846"/>
      <c r="FV175" s="2846"/>
      <c r="FW175" s="1093">
        <f>IF(FU175=0,0,(FV175-FU175)/FU175*100)</f>
        <v>0</v>
      </c>
      <c r="FX175" s="1304"/>
      <c r="FY175" s="1304"/>
      <c r="FZ175" s="1055" t="s">
        <v>2372</v>
      </c>
      <c r="GA175" s="1306"/>
      <c r="GB175" s="1306"/>
      <c r="GC175" s="1305"/>
      <c r="GD175" s="1305"/>
    </row>
    <row s="1834" customFormat="1" customHeight="1" ht="14.25" hidden="1">
      <c r="A176" s="493"/>
      <c r="B176" s="925" cm="1" t="str">
        <f t="array" ref="B176:B176">B175</f>
        <v>false</v>
      </c>
      <c r="C176" s="493"/>
      <c r="D176" s="493"/>
      <c r="E176" s="840">
        <v>15</v>
      </c>
      <c r="F176" s="50" cm="1" t="str">
        <f t="array" ref="F176:F176">OFFSET(E176,-1,1)</f>
        <v>2</v>
      </c>
      <c r="G176" s="107" t="s">
        <v>2373</v>
      </c>
      <c r="H176" s="493" t="s">
        <v>2374</v>
      </c>
      <c r="I176" s="493" t="s">
        <v>2335</v>
      </c>
      <c r="J176" s="493"/>
      <c r="K176" s="493"/>
      <c r="L176" s="493"/>
      <c r="M176" s="493"/>
      <c r="N176" s="493"/>
      <c r="O176" s="493"/>
      <c r="P176" s="493"/>
      <c r="Q176" s="493"/>
      <c r="R176" s="493"/>
      <c r="S176" s="493"/>
      <c r="T176" s="465" cm="1" t="str">
        <f t="array" ref="T176:T176">T175</f>
        <v>true</v>
      </c>
      <c r="U176" s="493"/>
      <c r="V176" s="493"/>
      <c r="W176" s="493"/>
      <c r="X176" s="1596"/>
      <c r="Y176" s="493"/>
      <c r="Z176" s="1545"/>
      <c r="AA176" s="493"/>
      <c r="AB176" s="904" t="str">
        <f>"объём "&amp;IF(Q155="Водоснабжение","потребления холодной воды","водоотведения")</f>
        <v>объём потребления холодной воды</v>
      </c>
      <c r="AC176" s="864" t="s">
        <v>1247</v>
      </c>
      <c r="AD176" s="5247">
        <f>IF(AND(method_reg="Метод индексации",god&lt;&gt;first_year),_xlfn.SUMIFS(INDEX('Калькуляция (МИ корр)'!$AJ$25:$BC$747,,MATCH(AD$8,'Калькуляция (МИ корр)'!$AJ$8:$BC$8,0)),'Калькуляция (МИ корр)'!$F$25:$F$747,$F176,'Калькуляция (МИ корр)'!$G$25:$G$747,$G176),IF(method_reg="Метод экономически обоснованных расходов",_xlfn.SUMIFS('Калькуляция (МЭОР)'!$AJ$25:$AJ$452,'Калькуляция (МЭОР)'!$F$25:$F$452,$F176,'Калькуляция (МЭОР)'!$G$25:$G$452,$G176),IF(method_reg="Метод сравнения аналогов",_xlfn.SUMIFS('Калькуляция (МСА)'!$AE$25:$AE$122,'Калькуляция (МСА)'!$F$25:$F$122,$F176,'Калькуляция (МСА)'!$G$25:$G$122,$G176),_xlfn.SUMIFS(INDEX('Калькуляция (МИ)'!$AJ$25:$BC$747,,MATCH(AD$8,'Калькуляция (МИ)'!$AJ$8:$BC$8,0)),'Калькуляция (МИ)'!$F$25:$F$747,$F176,'Калькуляция (МИ)'!$G$25:$G$747,$G176))))</f>
        <v>818.4216075</v>
      </c>
      <c r="AE176" s="5247">
        <f>IF(AND(method_reg="Метод индексации",god&lt;&gt;first_year),_xlfn.SUMIFS(INDEX('Калькуляция (МИ корр)'!$AJ$25:$BC$747,,MATCH(AE$8,'Калькуляция (МИ корр)'!$AJ$8:$BC$8,0)),'Калькуляция (МИ корр)'!$F$25:$F$747,$F176,'Калькуляция (МИ корр)'!$G$25:$G$747,$G176),IF(method_reg="Метод экономически обоснованных расходов",_xlfn.SUMIFS('Калькуляция (МЭОР)'!$AK$25:$AK$452,'Калькуляция (МЭОР)'!$F$25:$F$452,$F176,'Калькуляция (МЭОР)'!$G$25:$G$452,$G176),IF(method_reg="Метод сравнения аналогов",_xlfn.SUMIFS('Калькуляция (МСА)'!$AF$25:$AF$122,'Калькуляция (МСА)'!$F$25:$F$122,$F176,'Калькуляция (МСА)'!$G$25:$G$122,$G176),_xlfn.SUMIFS(INDEX('Калькуляция (МИ)'!$AJ$25:$BC$747,,MATCH(AE$8,'Калькуляция (МИ)'!$AJ$8:$BC$8,0)),'Калькуляция (МИ)'!$F$25:$F$747,$F176,'Калькуляция (МИ)'!$G$25:$G$747,$G176))))</f>
        <v>818.4216075</v>
      </c>
      <c r="AF176" s="1095">
        <f>IF(AD176=0,0,(AE176-AD176)/AD176*100)</f>
        <v>0</v>
      </c>
      <c r="AG176" s="5247">
        <f>IF(AND(method_reg="Метод индексации",god&lt;&gt;first_year),_xlfn.SUMIFS(INDEX('Калькуляция (МИ корр)'!$AJ$25:$BC$747,,MATCH(AG$8,'Калькуляция (МИ корр)'!$AJ$8:$BC$8,0)),'Калькуляция (МИ корр)'!$F$25:$F$747,$F176,'Калькуляция (МИ корр)'!$G$25:$G$747,$G176),IF(method_reg="Метод экономически обоснованных расходов",_xlfn.SUMIFS('Калькуляция (МЭОР)'!$AJ$25:$AJ$452,'Калькуляция (МЭОР)'!$F$25:$F$452,$F176,'Калькуляция (МЭОР)'!$G$25:$G$452,$G176),IF(method_reg="Метод сравнения аналогов",_xlfn.SUMIFS('Калькуляция (МСА)'!$AE$25:$AE$122,'Калькуляция (МСА)'!$F$25:$F$122,$F176,'Калькуляция (МСА)'!$G$25:$G$122,$G176),_xlfn.SUMIFS(INDEX('Калькуляция (МИ)'!$AJ$25:$BC$747,,MATCH(AG$8,'Калькуляция (МИ)'!$AJ$8:$BC$8,0)),'Калькуляция (МИ)'!$F$25:$F$747,$F176,'Калькуляция (МИ)'!$G$25:$G$747,$G176))))</f>
        <v>545.614405</v>
      </c>
      <c r="AH176" s="5247">
        <f>IF(AND(method_reg="Метод индексации",god&lt;&gt;first_year),_xlfn.SUMIFS(INDEX('Калькуляция (МИ корр)'!$AJ$25:$BC$747,,MATCH(AH$8,'Калькуляция (МИ корр)'!$AJ$8:$BC$8,0)),'Калькуляция (МИ корр)'!$F$25:$F$747,$F176,'Калькуляция (МИ корр)'!$G$25:$G$747,$G176),IF(method_reg="Метод экономически обоснованных расходов",_xlfn.SUMIFS('Калькуляция (МЭОР)'!$AK$25:$AK$452,'Калькуляция (МЭОР)'!$F$25:$F$452,$F176,'Калькуляция (МЭОР)'!$G$25:$G$452,$G176),IF(method_reg="Метод сравнения аналогов",_xlfn.SUMIFS('Калькуляция (МСА)'!$AF$25:$AF$122,'Калькуляция (МСА)'!$F$25:$F$122,$F176,'Калькуляция (МСА)'!$G$25:$G$122,$G176),_xlfn.SUMIFS(INDEX('Калькуляция (МИ)'!$AJ$25:$BC$747,,MATCH(AH$8,'Калькуляция (МИ)'!$AJ$8:$BC$8,0)),'Калькуляция (МИ)'!$F$25:$F$747,$F176,'Калькуляция (МИ)'!$G$25:$G$747,$G176))))</f>
        <v>545.614405</v>
      </c>
      <c r="AI176" s="1095">
        <f>IF(AG176=0,0,(AH176-AG176)/AG176*100)</f>
        <v>0</v>
      </c>
      <c r="AJ176" s="5247">
        <f>IF(AND(method_reg="Метод индексации",god&lt;&gt;first_year),_xlfn.SUMIFS(INDEX('Калькуляция (МИ корр)'!$AJ$25:$BC$747,,MATCH(AJ$8,'Калькуляция (МИ корр)'!$AJ$8:$BC$8,0)),'Калькуляция (МИ корр)'!$F$25:$F$747,$F176,'Калькуляция (МИ корр)'!$G$25:$G$747,$G176),IF(method_reg="Метод экономически обоснованных расходов",_xlfn.SUMIFS('Калькуляция (МЭОР)'!$AJ$25:$AJ$452,'Калькуляция (МЭОР)'!$F$25:$F$452,$F176,'Калькуляция (МЭОР)'!$G$25:$G$452,$G176),IF(method_reg="Метод сравнения аналогов",_xlfn.SUMIFS('Калькуляция (МСА)'!$AE$25:$AE$122,'Калькуляция (МСА)'!$F$25:$F$122,$F176,'Калькуляция (МСА)'!$G$25:$G$122,$G176),_xlfn.SUMIFS(INDEX('Калькуляция (МИ)'!$AJ$25:$BC$747,,MATCH(AJ$8,'Калькуляция (МИ)'!$AJ$8:$BC$8,0)),'Калькуляция (МИ)'!$F$25:$F$747,$F176,'Калькуляция (МИ)'!$G$25:$G$747,$G176))))</f>
        <v>545.614405</v>
      </c>
      <c r="AK176" s="5247">
        <f>IF(AND(method_reg="Метод индексации",god&lt;&gt;first_year),_xlfn.SUMIFS(INDEX('Калькуляция (МИ корр)'!$AJ$25:$BC$747,,MATCH(AK$8,'Калькуляция (МИ корр)'!$AJ$8:$BC$8,0)),'Калькуляция (МИ корр)'!$F$25:$F$747,$F176,'Калькуляция (МИ корр)'!$G$25:$G$747,$G176),IF(method_reg="Метод экономически обоснованных расходов",_xlfn.SUMIFS('Калькуляция (МЭОР)'!$AK$25:$AK$452,'Калькуляция (МЭОР)'!$F$25:$F$452,$F176,'Калькуляция (МЭОР)'!$G$25:$G$452,$G176),IF(method_reg="Метод сравнения аналогов",_xlfn.SUMIFS('Калькуляция (МСА)'!$AF$25:$AF$122,'Калькуляция (МСА)'!$F$25:$F$122,$F176,'Калькуляция (МСА)'!$G$25:$G$122,$G176),_xlfn.SUMIFS(INDEX('Калькуляция (МИ)'!$AJ$25:$BC$747,,MATCH(AK$8,'Калькуляция (МИ)'!$AJ$8:$BC$8,0)),'Калькуляция (МИ)'!$F$25:$F$747,$F176,'Калькуляция (МИ)'!$G$25:$G$747,$G176))))</f>
        <v>545.614405</v>
      </c>
      <c r="AL176" s="1095">
        <f>IF(AJ176=0,0,(AK176-AJ176)/AJ176*100)</f>
        <v>0</v>
      </c>
      <c r="AM176" s="5247">
        <f>IF(AND(method_reg="Метод индексации",god&lt;&gt;first_year),_xlfn.SUMIFS(INDEX('Калькуляция (МИ корр)'!$AJ$25:$BC$747,,MATCH(AM$8,'Калькуляция (МИ корр)'!$AJ$8:$BC$8,0)),'Калькуляция (МИ корр)'!$F$25:$F$747,$F176,'Калькуляция (МИ корр)'!$G$25:$G$747,$G176),IF(method_reg="Метод экономически обоснованных расходов",_xlfn.SUMIFS('Калькуляция (МЭОР)'!$AJ$25:$AJ$452,'Калькуляция (МЭОР)'!$F$25:$F$452,$F176,'Калькуляция (МЭОР)'!$G$25:$G$452,$G176),IF(method_reg="Метод сравнения аналогов",_xlfn.SUMIFS('Калькуляция (МСА)'!$AE$25:$AE$122,'Калькуляция (МСА)'!$F$25:$F$122,$F176,'Калькуляция (МСА)'!$G$25:$G$122,$G176),_xlfn.SUMIFS(INDEX('Калькуляция (МИ)'!$AJ$25:$BC$747,,MATCH(AM$8,'Калькуляция (МИ)'!$AJ$8:$BC$8,0)),'Калькуляция (МИ)'!$F$25:$F$747,$F176,'Калькуляция (МИ)'!$G$25:$G$747,$G176))))</f>
        <v>545.614405</v>
      </c>
      <c r="AN176" s="5247">
        <f>IF(AND(method_reg="Метод индексации",god&lt;&gt;first_year),_xlfn.SUMIFS(INDEX('Калькуляция (МИ корр)'!$AJ$25:$BC$747,,MATCH(AN$8,'Калькуляция (МИ корр)'!$AJ$8:$BC$8,0)),'Калькуляция (МИ корр)'!$F$25:$F$747,$F176,'Калькуляция (МИ корр)'!$G$25:$G$747,$G176),IF(method_reg="Метод экономически обоснованных расходов",_xlfn.SUMIFS('Калькуляция (МЭОР)'!$AK$25:$AK$452,'Калькуляция (МЭОР)'!$F$25:$F$452,$F176,'Калькуляция (МЭОР)'!$G$25:$G$452,$G176),IF(method_reg="Метод сравнения аналогов",_xlfn.SUMIFS('Калькуляция (МСА)'!$AF$25:$AF$122,'Калькуляция (МСА)'!$F$25:$F$122,$F176,'Калькуляция (МСА)'!$G$25:$G$122,$G176),_xlfn.SUMIFS(INDEX('Калькуляция (МИ)'!$AJ$25:$BC$747,,MATCH(AN$8,'Калькуляция (МИ)'!$AJ$8:$BC$8,0)),'Калькуляция (МИ)'!$F$25:$F$747,$F176,'Калькуляция (МИ)'!$G$25:$G$747,$G176))))</f>
        <v>545.614405</v>
      </c>
      <c r="AO176" s="1095">
        <f>IF(AM176=0,0,(AN176-AM176)/AM176*100)</f>
        <v>0</v>
      </c>
      <c r="AP176" s="5247">
        <f>IF(AND(method_reg="Метод индексации",god&lt;&gt;first_year),_xlfn.SUMIFS(INDEX('Калькуляция (МИ корр)'!$AJ$25:$BC$747,,MATCH(AP$8,'Калькуляция (МИ корр)'!$AJ$8:$BC$8,0)),'Калькуляция (МИ корр)'!$F$25:$F$747,$F176,'Калькуляция (МИ корр)'!$G$25:$G$747,$G176),IF(method_reg="Метод экономически обоснованных расходов",_xlfn.SUMIFS('Калькуляция (МЭОР)'!$AJ$25:$AJ$452,'Калькуляция (МЭОР)'!$F$25:$F$452,$F176,'Калькуляция (МЭОР)'!$G$25:$G$452,$G176),IF(method_reg="Метод сравнения аналогов",_xlfn.SUMIFS('Калькуляция (МСА)'!$AE$25:$AE$122,'Калькуляция (МСА)'!$F$25:$F$122,$F176,'Калькуляция (МСА)'!$G$25:$G$122,$G176),_xlfn.SUMIFS(INDEX('Калькуляция (МИ)'!$AJ$25:$BC$747,,MATCH(AP$8,'Калькуляция (МИ)'!$AJ$8:$BC$8,0)),'Калькуляция (МИ)'!$F$25:$F$747,$F176,'Калькуляция (МИ)'!$G$25:$G$747,$G176))))</f>
        <v>545.614405</v>
      </c>
      <c r="AQ176" s="5247">
        <f>IF(AND(method_reg="Метод индексации",god&lt;&gt;first_year),_xlfn.SUMIFS(INDEX('Калькуляция (МИ корр)'!$AJ$25:$BC$747,,MATCH(AQ$8,'Калькуляция (МИ корр)'!$AJ$8:$BC$8,0)),'Калькуляция (МИ корр)'!$F$25:$F$747,$F176,'Калькуляция (МИ корр)'!$G$25:$G$747,$G176),IF(method_reg="Метод экономически обоснованных расходов",_xlfn.SUMIFS('Калькуляция (МЭОР)'!$AK$25:$AK$452,'Калькуляция (МЭОР)'!$F$25:$F$452,$F176,'Калькуляция (МЭОР)'!$G$25:$G$452,$G176),IF(method_reg="Метод сравнения аналогов",_xlfn.SUMIFS('Калькуляция (МСА)'!$AF$25:$AF$122,'Калькуляция (МСА)'!$F$25:$F$122,$F176,'Калькуляция (МСА)'!$G$25:$G$122,$G176),_xlfn.SUMIFS(INDEX('Калькуляция (МИ)'!$AJ$25:$BC$747,,MATCH(AQ$8,'Калькуляция (МИ)'!$AJ$8:$BC$8,0)),'Калькуляция (МИ)'!$F$25:$F$747,$F176,'Калькуляция (МИ)'!$G$25:$G$747,$G176))))</f>
        <v>545.614405</v>
      </c>
      <c r="AR176" s="1095">
        <f>IF(AP176=0,0,(AQ176-AP176)/AP176*100)</f>
        <v>0</v>
      </c>
      <c r="AS176" s="5247">
        <f>IF(AND(method_reg="Метод индексации",god&lt;&gt;first_year),_xlfn.SUMIFS(INDEX('Калькуляция (МИ корр)'!$AJ$25:$BC$747,,MATCH(AS$8,'Калькуляция (МИ корр)'!$AJ$8:$BC$8,0)),'Калькуляция (МИ корр)'!$F$25:$F$747,$F176,'Калькуляция (МИ корр)'!$G$25:$G$747,$G176),IF(method_reg="Метод экономически обоснованных расходов",_xlfn.SUMIFS('Калькуляция (МЭОР)'!$AJ$25:$AJ$452,'Калькуляция (МЭОР)'!$F$25:$F$452,$F176,'Калькуляция (МЭОР)'!$G$25:$G$452,$G176),IF(method_reg="Метод сравнения аналогов",_xlfn.SUMIFS('Калькуляция (МСА)'!$AE$25:$AE$122,'Калькуляция (МСА)'!$F$25:$F$122,$F176,'Калькуляция (МСА)'!$G$25:$G$122,$G176),_xlfn.SUMIFS(INDEX('Калькуляция (МИ)'!$AJ$25:$BC$747,,MATCH(AS$8,'Калькуляция (МИ)'!$AJ$8:$BC$8,0)),'Калькуляция (МИ)'!$F$25:$F$747,$F176,'Калькуляция (МИ)'!$G$25:$G$747,$G176))))</f>
        <v>0</v>
      </c>
      <c r="AT176" s="5247">
        <f>IF(AND(method_reg="Метод индексации",god&lt;&gt;first_year),_xlfn.SUMIFS(INDEX('Калькуляция (МИ корр)'!$AJ$25:$BC$747,,MATCH(AT$8,'Калькуляция (МИ корр)'!$AJ$8:$BC$8,0)),'Калькуляция (МИ корр)'!$F$25:$F$747,$F176,'Калькуляция (МИ корр)'!$G$25:$G$747,$G176),IF(method_reg="Метод экономически обоснованных расходов",_xlfn.SUMIFS('Калькуляция (МЭОР)'!$AK$25:$AK$452,'Калькуляция (МЭОР)'!$F$25:$F$452,$F176,'Калькуляция (МЭОР)'!$G$25:$G$452,$G176),IF(method_reg="Метод сравнения аналогов",_xlfn.SUMIFS('Калькуляция (МСА)'!$AF$25:$AF$122,'Калькуляция (МСА)'!$F$25:$F$122,$F176,'Калькуляция (МСА)'!$G$25:$G$122,$G176),_xlfn.SUMIFS(INDEX('Калькуляция (МИ)'!$AJ$25:$BC$747,,MATCH(AT$8,'Калькуляция (МИ)'!$AJ$8:$BC$8,0)),'Калькуляция (МИ)'!$F$25:$F$747,$F176,'Калькуляция (МИ)'!$G$25:$G$747,$G176))))</f>
        <v>0</v>
      </c>
      <c r="AU176" s="1095">
        <f>IF(AS176=0,0,(AT176-AS176)/AS176*100)</f>
        <v>0</v>
      </c>
      <c r="AV176" s="5247">
        <f>IF(AND(method_reg="Метод индексации",god&lt;&gt;first_year),_xlfn.SUMIFS(INDEX('Калькуляция (МИ корр)'!$AJ$25:$BC$747,,MATCH(AV$8,'Калькуляция (МИ корр)'!$AJ$8:$BC$8,0)),'Калькуляция (МИ корр)'!$F$25:$F$747,$F176,'Калькуляция (МИ корр)'!$G$25:$G$747,$G176),IF(method_reg="Метод экономически обоснованных расходов",_xlfn.SUMIFS('Калькуляция (МЭОР)'!$AJ$25:$AJ$452,'Калькуляция (МЭОР)'!$F$25:$F$452,$F176,'Калькуляция (МЭОР)'!$G$25:$G$452,$G176),IF(method_reg="Метод сравнения аналогов",_xlfn.SUMIFS('Калькуляция (МСА)'!$AE$25:$AE$122,'Калькуляция (МСА)'!$F$25:$F$122,$F176,'Калькуляция (МСА)'!$G$25:$G$122,$G176),_xlfn.SUMIFS(INDEX('Калькуляция (МИ)'!$AJ$25:$BC$747,,MATCH(AV$8,'Калькуляция (МИ)'!$AJ$8:$BC$8,0)),'Калькуляция (МИ)'!$F$25:$F$747,$F176,'Калькуляция (МИ)'!$G$25:$G$747,$G176))))</f>
        <v>0</v>
      </c>
      <c r="AW176" s="5247">
        <f>IF(AND(method_reg="Метод индексации",god&lt;&gt;first_year),_xlfn.SUMIFS(INDEX('Калькуляция (МИ корр)'!$AJ$25:$BC$747,,MATCH(AW$8,'Калькуляция (МИ корр)'!$AJ$8:$BC$8,0)),'Калькуляция (МИ корр)'!$F$25:$F$747,$F176,'Калькуляция (МИ корр)'!$G$25:$G$747,$G176),IF(method_reg="Метод экономически обоснованных расходов",_xlfn.SUMIFS('Калькуляция (МЭОР)'!$AK$25:$AK$452,'Калькуляция (МЭОР)'!$F$25:$F$452,$F176,'Калькуляция (МЭОР)'!$G$25:$G$452,$G176),IF(method_reg="Метод сравнения аналогов",_xlfn.SUMIFS('Калькуляция (МСА)'!$AF$25:$AF$122,'Калькуляция (МСА)'!$F$25:$F$122,$F176,'Калькуляция (МСА)'!$G$25:$G$122,$G176),_xlfn.SUMIFS(INDEX('Калькуляция (МИ)'!$AJ$25:$BC$747,,MATCH(AW$8,'Калькуляция (МИ)'!$AJ$8:$BC$8,0)),'Калькуляция (МИ)'!$F$25:$F$747,$F176,'Калькуляция (МИ)'!$G$25:$G$747,$G176))))</f>
        <v>0</v>
      </c>
      <c r="AX176" s="1095">
        <f>IF(AV176=0,0,(AW176-AV176)/AV176*100)</f>
        <v>0</v>
      </c>
      <c r="AY176" s="5247">
        <f>IF(AND(method_reg="Метод индексации",god&lt;&gt;first_year),_xlfn.SUMIFS(INDEX('Калькуляция (МИ корр)'!$AJ$25:$BC$747,,MATCH(AY$8,'Калькуляция (МИ корр)'!$AJ$8:$BC$8,0)),'Калькуляция (МИ корр)'!$F$25:$F$747,$F176,'Калькуляция (МИ корр)'!$G$25:$G$747,$G176),IF(method_reg="Метод экономически обоснованных расходов",_xlfn.SUMIFS('Калькуляция (МЭОР)'!$AJ$25:$AJ$452,'Калькуляция (МЭОР)'!$F$25:$F$452,$F176,'Калькуляция (МЭОР)'!$G$25:$G$452,$G176),IF(method_reg="Метод сравнения аналогов",_xlfn.SUMIFS('Калькуляция (МСА)'!$AE$25:$AE$122,'Калькуляция (МСА)'!$F$25:$F$122,$F176,'Калькуляция (МСА)'!$G$25:$G$122,$G176),_xlfn.SUMIFS(INDEX('Калькуляция (МИ)'!$AJ$25:$BC$747,,MATCH(AY$8,'Калькуляция (МИ)'!$AJ$8:$BC$8,0)),'Калькуляция (МИ)'!$F$25:$F$747,$F176,'Калькуляция (МИ)'!$G$25:$G$747,$G176))))</f>
        <v>0</v>
      </c>
      <c r="AZ176" s="5247">
        <f>IF(AND(method_reg="Метод индексации",god&lt;&gt;first_year),_xlfn.SUMIFS(INDEX('Калькуляция (МИ корр)'!$AJ$25:$BC$747,,MATCH(AZ$8,'Калькуляция (МИ корр)'!$AJ$8:$BC$8,0)),'Калькуляция (МИ корр)'!$F$25:$F$747,$F176,'Калькуляция (МИ корр)'!$G$25:$G$747,$G176),IF(method_reg="Метод экономически обоснованных расходов",_xlfn.SUMIFS('Калькуляция (МЭОР)'!$AK$25:$AK$452,'Калькуляция (МЭОР)'!$F$25:$F$452,$F176,'Калькуляция (МЭОР)'!$G$25:$G$452,$G176),IF(method_reg="Метод сравнения аналогов",_xlfn.SUMIFS('Калькуляция (МСА)'!$AF$25:$AF$122,'Калькуляция (МСА)'!$F$25:$F$122,$F176,'Калькуляция (МСА)'!$G$25:$G$122,$G176),_xlfn.SUMIFS(INDEX('Калькуляция (МИ)'!$AJ$25:$BC$747,,MATCH(AZ$8,'Калькуляция (МИ)'!$AJ$8:$BC$8,0)),'Калькуляция (МИ)'!$F$25:$F$747,$F176,'Калькуляция (МИ)'!$G$25:$G$747,$G176))))</f>
        <v>0</v>
      </c>
      <c r="BA176" s="1095">
        <f>IF(AY176=0,0,(AZ176-AY176)/AY176*100)</f>
        <v>0</v>
      </c>
      <c r="BB176" s="5247">
        <f>IF(AND(method_reg="Метод индексации",god&lt;&gt;first_year),_xlfn.SUMIFS(INDEX('Калькуляция (МИ корр)'!$AJ$25:$BC$747,,MATCH(BB$8,'Калькуляция (МИ корр)'!$AJ$8:$BC$8,0)),'Калькуляция (МИ корр)'!$F$25:$F$747,$F176,'Калькуляция (МИ корр)'!$G$25:$G$747,$G176),IF(method_reg="Метод экономически обоснованных расходов",_xlfn.SUMIFS('Калькуляция (МЭОР)'!$AJ$25:$AJ$452,'Калькуляция (МЭОР)'!$F$25:$F$452,$F176,'Калькуляция (МЭОР)'!$G$25:$G$452,$G176),IF(method_reg="Метод сравнения аналогов",_xlfn.SUMIFS('Калькуляция (МСА)'!$AE$25:$AE$122,'Калькуляция (МСА)'!$F$25:$F$122,$F176,'Калькуляция (МСА)'!$G$25:$G$122,$G176),_xlfn.SUMIFS(INDEX('Калькуляция (МИ)'!$AJ$25:$BC$747,,MATCH(BB$8,'Калькуляция (МИ)'!$AJ$8:$BC$8,0)),'Калькуляция (МИ)'!$F$25:$F$747,$F176,'Калькуляция (МИ)'!$G$25:$G$747,$G176))))</f>
        <v>0</v>
      </c>
      <c r="BC176" s="5247">
        <f>IF(AND(method_reg="Метод индексации",god&lt;&gt;first_year),_xlfn.SUMIFS(INDEX('Калькуляция (МИ корр)'!$AJ$25:$BC$747,,MATCH(BC$8,'Калькуляция (МИ корр)'!$AJ$8:$BC$8,0)),'Калькуляция (МИ корр)'!$F$25:$F$747,$F176,'Калькуляция (МИ корр)'!$G$25:$G$747,$G176),IF(method_reg="Метод экономически обоснованных расходов",_xlfn.SUMIFS('Калькуляция (МЭОР)'!$AK$25:$AK$452,'Калькуляция (МЭОР)'!$F$25:$F$452,$F176,'Калькуляция (МЭОР)'!$G$25:$G$452,$G176),IF(method_reg="Метод сравнения аналогов",_xlfn.SUMIFS('Калькуляция (МСА)'!$AF$25:$AF$122,'Калькуляция (МСА)'!$F$25:$F$122,$F176,'Калькуляция (МСА)'!$G$25:$G$122,$G176),_xlfn.SUMIFS(INDEX('Калькуляция (МИ)'!$AJ$25:$BC$747,,MATCH(BC$8,'Калькуляция (МИ)'!$AJ$8:$BC$8,0)),'Калькуляция (МИ)'!$F$25:$F$747,$F176,'Калькуляция (МИ)'!$G$25:$G$747,$G176))))</f>
        <v>0</v>
      </c>
      <c r="BD176" s="1095">
        <f>IF(BB176=0,0,(BC176-BB176)/BB176*100)</f>
        <v>0</v>
      </c>
      <c r="BE176" s="5247">
        <f>IF(AND(method_reg="Метод индексации",god&lt;&gt;first_year),_xlfn.SUMIFS(INDEX('Калькуляция (МИ корр)'!$AJ$25:$BC$747,,MATCH(BE$8,'Калькуляция (МИ корр)'!$AJ$8:$BC$8,0)),'Калькуляция (МИ корр)'!$F$25:$F$747,$F176,'Калькуляция (МИ корр)'!$G$25:$G$747,$G176),IF(method_reg="Метод экономически обоснованных расходов",_xlfn.SUMIFS('Калькуляция (МЭОР)'!$AJ$25:$AJ$452,'Калькуляция (МЭОР)'!$F$25:$F$452,$F176,'Калькуляция (МЭОР)'!$G$25:$G$452,$G176),IF(method_reg="Метод сравнения аналогов",_xlfn.SUMIFS('Калькуляция (МСА)'!$AE$25:$AE$122,'Калькуляция (МСА)'!$F$25:$F$122,$F176,'Калькуляция (МСА)'!$G$25:$G$122,$G176),_xlfn.SUMIFS(INDEX('Калькуляция (МИ)'!$AJ$25:$BC$747,,MATCH(BE$8,'Калькуляция (МИ)'!$AJ$8:$BC$8,0)),'Калькуляция (МИ)'!$F$25:$F$747,$F176,'Калькуляция (МИ)'!$G$25:$G$747,$G176))))</f>
        <v>0</v>
      </c>
      <c r="BF176" s="5247">
        <f>IF(AND(method_reg="Метод индексации",god&lt;&gt;first_year),_xlfn.SUMIFS(INDEX('Калькуляция (МИ корр)'!$AJ$25:$BC$747,,MATCH(BF$8,'Калькуляция (МИ корр)'!$AJ$8:$BC$8,0)),'Калькуляция (МИ корр)'!$F$25:$F$747,$F176,'Калькуляция (МИ корр)'!$G$25:$G$747,$G176),IF(method_reg="Метод экономически обоснованных расходов",_xlfn.SUMIFS('Калькуляция (МЭОР)'!$AK$25:$AK$452,'Калькуляция (МЭОР)'!$F$25:$F$452,$F176,'Калькуляция (МЭОР)'!$G$25:$G$452,$G176),IF(method_reg="Метод сравнения аналогов",_xlfn.SUMIFS('Калькуляция (МСА)'!$AF$25:$AF$122,'Калькуляция (МСА)'!$F$25:$F$122,$F176,'Калькуляция (МСА)'!$G$25:$G$122,$G176),_xlfn.SUMIFS(INDEX('Калькуляция (МИ)'!$AJ$25:$BC$747,,MATCH(BF$8,'Калькуляция (МИ)'!$AJ$8:$BC$8,0)),'Калькуляция (МИ)'!$F$25:$F$747,$F176,'Калькуляция (МИ)'!$G$25:$G$747,$G176))))</f>
        <v>0</v>
      </c>
      <c r="BG176" s="1095">
        <f>IF(BE176=0,0,(BF176-BE176)/BE176*100)</f>
        <v>0</v>
      </c>
      <c r="BH176" s="5247"/>
      <c r="BI176" s="5247"/>
      <c r="BJ176" s="1095">
        <f>IF(BH176=0,0,(BI176-BH176)/BH176*100)</f>
        <v>0</v>
      </c>
      <c r="BK176" s="5247"/>
      <c r="BL176" s="5247"/>
      <c r="BM176" s="1095">
        <f>IF(BK176=0,0,(BL176-BK176)/BK176*100)</f>
        <v>0</v>
      </c>
      <c r="BN176" s="5247"/>
      <c r="BO176" s="5247"/>
      <c r="BP176" s="1095">
        <f>IF(BN176=0,0,(BO176-BN176)/BN176*100)</f>
        <v>0</v>
      </c>
      <c r="BQ176" s="5247"/>
      <c r="BR176" s="5247"/>
      <c r="BS176" s="1095">
        <f>IF(BQ176=0,0,(BR176-BQ176)/BQ176*100)</f>
        <v>0</v>
      </c>
      <c r="BT176" s="5247"/>
      <c r="BU176" s="5247"/>
      <c r="BV176" s="1095">
        <f>IF(BT176=0,0,(BU176-BT176)/BT176*100)</f>
        <v>0</v>
      </c>
      <c r="BW176" s="5247"/>
      <c r="BX176" s="5247"/>
      <c r="BY176" s="1095">
        <f>IF(BW176=0,0,(BX176-BW176)/BW176*100)</f>
        <v>0</v>
      </c>
      <c r="BZ176" s="5247"/>
      <c r="CA176" s="5247"/>
      <c r="CB176" s="1095">
        <f>IF(BZ176=0,0,(CA176-BZ176)/BZ176*100)</f>
        <v>0</v>
      </c>
      <c r="CC176" s="5247"/>
      <c r="CD176" s="5247"/>
      <c r="CE176" s="1095">
        <f>IF(CC176=0,0,(CD176-CC176)/CC176*100)</f>
        <v>0</v>
      </c>
      <c r="CF176" s="5247"/>
      <c r="CG176" s="5247"/>
      <c r="CH176" s="1095">
        <f>IF(CF176=0,0,(CG176-CF176)/CF176*100)</f>
        <v>0</v>
      </c>
      <c r="CI176" s="5247"/>
      <c r="CJ176" s="5247"/>
      <c r="CK176" s="1095">
        <f>IF(CI176=0,0,(CJ176-CI176)/CI176*100)</f>
        <v>0</v>
      </c>
      <c r="CL176" s="5247"/>
      <c r="CM176" s="5247"/>
      <c r="CN176" s="1095">
        <f>IF(CL176=0,0,(CM176-CL176)/CL176*100)</f>
        <v>0</v>
      </c>
      <c r="CO176" s="5247"/>
      <c r="CP176" s="5247"/>
      <c r="CQ176" s="1095">
        <f>IF(CO176=0,0,(CP176-CO176)/CO176*100)</f>
        <v>0</v>
      </c>
      <c r="CR176" s="5247"/>
      <c r="CS176" s="5247"/>
      <c r="CT176" s="1095">
        <f>IF(CR176=0,0,(CS176-CR176)/CR176*100)</f>
        <v>0</v>
      </c>
      <c r="CU176" s="5247"/>
      <c r="CV176" s="5247"/>
      <c r="CW176" s="1095">
        <f>IF(CU176=0,0,(CV176-CU176)/CU176*100)</f>
        <v>0</v>
      </c>
      <c r="CX176" s="5247"/>
      <c r="CY176" s="5247"/>
      <c r="CZ176" s="1095">
        <f>IF(CX176=0,0,(CY176-CX176)/CX176*100)</f>
        <v>0</v>
      </c>
      <c r="DA176" s="5247"/>
      <c r="DB176" s="5247"/>
      <c r="DC176" s="1095">
        <f>IF(DA176=0,0,(DB176-DA176)/DA176*100)</f>
        <v>0</v>
      </c>
      <c r="DD176" s="5247"/>
      <c r="DE176" s="5247"/>
      <c r="DF176" s="1095">
        <f>IF(DD176=0,0,(DE176-DD176)/DD176*100)</f>
        <v>0</v>
      </c>
      <c r="DG176" s="5247"/>
      <c r="DH176" s="5247"/>
      <c r="DI176" s="1095">
        <f>IF(DG176=0,0,(DH176-DG176)/DG176*100)</f>
        <v>0</v>
      </c>
      <c r="DJ176" s="5247"/>
      <c r="DK176" s="5247"/>
      <c r="DL176" s="1095">
        <f>IF(DJ176=0,0,(DK176-DJ176)/DJ176*100)</f>
        <v>0</v>
      </c>
      <c r="DM176" s="5247"/>
      <c r="DN176" s="5247"/>
      <c r="DO176" s="1095">
        <f>IF(DM176=0,0,(DN176-DM176)/DM176*100)</f>
        <v>0</v>
      </c>
      <c r="DP176" s="5247"/>
      <c r="DQ176" s="5247"/>
      <c r="DR176" s="1095">
        <f>IF(DP176=0,0,(DQ176-DP176)/DP176*100)</f>
        <v>0</v>
      </c>
      <c r="DS176" s="5247"/>
      <c r="DT176" s="5247"/>
      <c r="DU176" s="1095">
        <f>IF(DS176=0,0,(DT176-DS176)/DS176*100)</f>
        <v>0</v>
      </c>
      <c r="DV176" s="5247"/>
      <c r="DW176" s="5247"/>
      <c r="DX176" s="1095">
        <f>IF(DV176=0,0,(DW176-DV176)/DV176*100)</f>
        <v>0</v>
      </c>
      <c r="DY176" s="5247"/>
      <c r="DZ176" s="5247"/>
      <c r="EA176" s="1095">
        <f>IF(DY176=0,0,(DZ176-DY176)/DY176*100)</f>
        <v>0</v>
      </c>
      <c r="EB176" s="5247"/>
      <c r="EC176" s="5247"/>
      <c r="ED176" s="1095">
        <f>IF(EB176=0,0,(EC176-EB176)/EB176*100)</f>
        <v>0</v>
      </c>
      <c r="EE176" s="5247"/>
      <c r="EF176" s="5247"/>
      <c r="EG176" s="1095">
        <f>IF(EE176=0,0,(EF176-EE176)/EE176*100)</f>
        <v>0</v>
      </c>
      <c r="EH176" s="5247"/>
      <c r="EI176" s="5247"/>
      <c r="EJ176" s="1095">
        <f>IF(EH176=0,0,(EI176-EH176)/EH176*100)</f>
        <v>0</v>
      </c>
      <c r="EK176" s="5247"/>
      <c r="EL176" s="5247"/>
      <c r="EM176" s="1095">
        <f>IF(EK176=0,0,(EL176-EK176)/EK176*100)</f>
        <v>0</v>
      </c>
      <c r="EN176" s="5247"/>
      <c r="EO176" s="5247"/>
      <c r="EP176" s="1095">
        <f>IF(EN176=0,0,(EO176-EN176)/EN176*100)</f>
        <v>0</v>
      </c>
      <c r="EQ176" s="5247"/>
      <c r="ER176" s="5247"/>
      <c r="ES176" s="1095">
        <f>IF(EQ176=0,0,(ER176-EQ176)/EQ176*100)</f>
        <v>0</v>
      </c>
      <c r="ET176" s="5247"/>
      <c r="EU176" s="5247"/>
      <c r="EV176" s="1095">
        <f>IF(ET176=0,0,(EU176-ET176)/ET176*100)</f>
        <v>0</v>
      </c>
      <c r="EW176" s="5247"/>
      <c r="EX176" s="5247"/>
      <c r="EY176" s="1095">
        <f>IF(EW176=0,0,(EX176-EW176)/EW176*100)</f>
        <v>0</v>
      </c>
      <c r="EZ176" s="5247"/>
      <c r="FA176" s="5247"/>
      <c r="FB176" s="1095">
        <f>IF(EZ176=0,0,(FA176-EZ176)/EZ176*100)</f>
        <v>0</v>
      </c>
      <c r="FC176" s="5247"/>
      <c r="FD176" s="5247"/>
      <c r="FE176" s="1095">
        <f>IF(FC176=0,0,(FD176-FC176)/FC176*100)</f>
        <v>0</v>
      </c>
      <c r="FF176" s="5247"/>
      <c r="FG176" s="5247"/>
      <c r="FH176" s="1095">
        <f>IF(FF176=0,0,(FG176-FF176)/FF176*100)</f>
        <v>0</v>
      </c>
      <c r="FI176" s="5247"/>
      <c r="FJ176" s="5247"/>
      <c r="FK176" s="1095">
        <f>IF(FI176=0,0,(FJ176-FI176)/FI176*100)</f>
        <v>0</v>
      </c>
      <c r="FL176" s="5247"/>
      <c r="FM176" s="5247"/>
      <c r="FN176" s="1095">
        <f>IF(FL176=0,0,(FM176-FL176)/FL176*100)</f>
        <v>0</v>
      </c>
      <c r="FO176" s="5247"/>
      <c r="FP176" s="5247"/>
      <c r="FQ176" s="1095">
        <f>IF(FO176=0,0,(FP176-FO176)/FO176*100)</f>
        <v>0</v>
      </c>
      <c r="FR176" s="5247"/>
      <c r="FS176" s="5247"/>
      <c r="FT176" s="1095">
        <f>IF(FR176=0,0,(FS176-FR176)/FR176*100)</f>
        <v>0</v>
      </c>
      <c r="FU176" s="5247"/>
      <c r="FV176" s="5247"/>
      <c r="FW176" s="1095">
        <f>IF(FU176=0,0,(FV176-FU176)/FU176*100)</f>
        <v>0</v>
      </c>
      <c r="FX176" s="1304"/>
      <c r="FY176" s="1304"/>
      <c r="FZ176" s="1055" t="s">
        <v>2375</v>
      </c>
      <c r="GA176" s="1306"/>
      <c r="GB176" s="1306"/>
      <c r="GC176" s="1305"/>
      <c r="GD176" s="1305"/>
    </row>
    <row s="1834" customFormat="1" customHeight="1" ht="24" hidden="1">
      <c r="A177" s="493"/>
      <c r="B177" s="925" cm="1" t="str">
        <f t="array" ref="B177:B177">B176</f>
        <v>false</v>
      </c>
      <c r="C177" s="493"/>
      <c r="D177" s="493"/>
      <c r="E177" s="840">
        <v>24.75</v>
      </c>
      <c r="F177" s="50" cm="1" t="str">
        <f t="array" ref="F177:F177">OFFSET(E177,-1,1)</f>
        <v>2</v>
      </c>
      <c r="G177" s="493"/>
      <c r="H177" s="493" t="s">
        <v>2376</v>
      </c>
      <c r="I177" s="493" t="s">
        <v>2335</v>
      </c>
      <c r="J177" s="493"/>
      <c r="K177" s="493"/>
      <c r="L177" s="493"/>
      <c r="M177" s="493"/>
      <c r="N177" s="493"/>
      <c r="O177" s="493"/>
      <c r="P177" s="493"/>
      <c r="Q177" s="493"/>
      <c r="R177" s="493"/>
      <c r="S177" s="493"/>
      <c r="T177" s="465" cm="1" t="str">
        <f t="array" ref="T177:T177">T176</f>
        <v>true</v>
      </c>
      <c r="U177" s="493"/>
      <c r="V177" s="493"/>
      <c r="W177" s="493"/>
      <c r="X177" s="1596"/>
      <c r="Y177" s="493"/>
      <c r="Z177" s="1545"/>
      <c r="AA177" s="493"/>
      <c r="AB177" s="904" t="str">
        <f>"ставка платы за содержание системы "&amp;IF(Q155="Водоснабжение","холодного водоснабжения","водоотведения")</f>
        <v>ставка платы за содержание системы холодного водоснабжения</v>
      </c>
      <c r="AC177" s="864" t="s">
        <v>2377</v>
      </c>
      <c r="AD177" s="2846"/>
      <c r="AE177" s="2846"/>
      <c r="AF177" s="1093">
        <f>IF(AD177=0,0,(AE177-AD177)/AD177*100)</f>
        <v>0</v>
      </c>
      <c r="AG177" s="2846"/>
      <c r="AH177" s="2846"/>
      <c r="AI177" s="1093">
        <f>IF(AG177=0,0,(AH177-AG177)/AG177*100)</f>
        <v>0</v>
      </c>
      <c r="AJ177" s="2846"/>
      <c r="AK177" s="2846"/>
      <c r="AL177" s="1093">
        <f>IF(AJ177=0,0,(AK177-AJ177)/AJ177*100)</f>
        <v>0</v>
      </c>
      <c r="AM177" s="2846"/>
      <c r="AN177" s="2846"/>
      <c r="AO177" s="1093">
        <f>IF(AM177=0,0,(AN177-AM177)/AM177*100)</f>
        <v>0</v>
      </c>
      <c r="AP177" s="2846"/>
      <c r="AQ177" s="2846"/>
      <c r="AR177" s="1093">
        <f>IF(AP177=0,0,(AQ177-AP177)/AP177*100)</f>
        <v>0</v>
      </c>
      <c r="AS177" s="2846"/>
      <c r="AT177" s="2846"/>
      <c r="AU177" s="1093">
        <f>IF(AS177=0,0,(AT177-AS177)/AS177*100)</f>
        <v>0</v>
      </c>
      <c r="AV177" s="2846"/>
      <c r="AW177" s="2846"/>
      <c r="AX177" s="1093">
        <f>IF(AV177=0,0,(AW177-AV177)/AV177*100)</f>
        <v>0</v>
      </c>
      <c r="AY177" s="2846"/>
      <c r="AZ177" s="2846"/>
      <c r="BA177" s="1093">
        <f>IF(AY177=0,0,(AZ177-AY177)/AY177*100)</f>
        <v>0</v>
      </c>
      <c r="BB177" s="2846"/>
      <c r="BC177" s="2846"/>
      <c r="BD177" s="1093">
        <f>IF(BB177=0,0,(BC177-BB177)/BB177*100)</f>
        <v>0</v>
      </c>
      <c r="BE177" s="2846"/>
      <c r="BF177" s="2846"/>
      <c r="BG177" s="1093">
        <f>IF(BE177=0,0,(BF177-BE177)/BE177*100)</f>
        <v>0</v>
      </c>
      <c r="BH177" s="2846"/>
      <c r="BI177" s="2846"/>
      <c r="BJ177" s="1093">
        <f>IF(BH177=0,0,(BI177-BH177)/BH177*100)</f>
        <v>0</v>
      </c>
      <c r="BK177" s="2846"/>
      <c r="BL177" s="2846"/>
      <c r="BM177" s="1093">
        <f>IF(BK177=0,0,(BL177-BK177)/BK177*100)</f>
        <v>0</v>
      </c>
      <c r="BN177" s="2846"/>
      <c r="BO177" s="2846"/>
      <c r="BP177" s="1093">
        <f>IF(BN177=0,0,(BO177-BN177)/BN177*100)</f>
        <v>0</v>
      </c>
      <c r="BQ177" s="2846"/>
      <c r="BR177" s="2846"/>
      <c r="BS177" s="1093">
        <f>IF(BQ177=0,0,(BR177-BQ177)/BQ177*100)</f>
        <v>0</v>
      </c>
      <c r="BT177" s="2846"/>
      <c r="BU177" s="2846"/>
      <c r="BV177" s="1093">
        <f>IF(BT177=0,0,(BU177-BT177)/BT177*100)</f>
        <v>0</v>
      </c>
      <c r="BW177" s="2846"/>
      <c r="BX177" s="2846"/>
      <c r="BY177" s="1093">
        <f>IF(BW177=0,0,(BX177-BW177)/BW177*100)</f>
        <v>0</v>
      </c>
      <c r="BZ177" s="2846"/>
      <c r="CA177" s="2846"/>
      <c r="CB177" s="1093">
        <f>IF(BZ177=0,0,(CA177-BZ177)/BZ177*100)</f>
        <v>0</v>
      </c>
      <c r="CC177" s="2846"/>
      <c r="CD177" s="2846"/>
      <c r="CE177" s="1093">
        <f>IF(CC177=0,0,(CD177-CC177)/CC177*100)</f>
        <v>0</v>
      </c>
      <c r="CF177" s="2846"/>
      <c r="CG177" s="2846"/>
      <c r="CH177" s="1093">
        <f>IF(CF177=0,0,(CG177-CF177)/CF177*100)</f>
        <v>0</v>
      </c>
      <c r="CI177" s="2846"/>
      <c r="CJ177" s="2846"/>
      <c r="CK177" s="1093">
        <f>IF(CI177=0,0,(CJ177-CI177)/CI177*100)</f>
        <v>0</v>
      </c>
      <c r="CL177" s="2846"/>
      <c r="CM177" s="2846"/>
      <c r="CN177" s="1093">
        <f>IF(CL177=0,0,(CM177-CL177)/CL177*100)</f>
        <v>0</v>
      </c>
      <c r="CO177" s="2846"/>
      <c r="CP177" s="2846"/>
      <c r="CQ177" s="1093">
        <f>IF(CO177=0,0,(CP177-CO177)/CO177*100)</f>
        <v>0</v>
      </c>
      <c r="CR177" s="2846"/>
      <c r="CS177" s="2846"/>
      <c r="CT177" s="1093">
        <f>IF(CR177=0,0,(CS177-CR177)/CR177*100)</f>
        <v>0</v>
      </c>
      <c r="CU177" s="2846"/>
      <c r="CV177" s="2846"/>
      <c r="CW177" s="1093">
        <f>IF(CU177=0,0,(CV177-CU177)/CU177*100)</f>
        <v>0</v>
      </c>
      <c r="CX177" s="2846"/>
      <c r="CY177" s="2846"/>
      <c r="CZ177" s="1093">
        <f>IF(CX177=0,0,(CY177-CX177)/CX177*100)</f>
        <v>0</v>
      </c>
      <c r="DA177" s="2846"/>
      <c r="DB177" s="2846"/>
      <c r="DC177" s="1093">
        <f>IF(DA177=0,0,(DB177-DA177)/DA177*100)</f>
        <v>0</v>
      </c>
      <c r="DD177" s="2846"/>
      <c r="DE177" s="2846"/>
      <c r="DF177" s="1093">
        <f>IF(DD177=0,0,(DE177-DD177)/DD177*100)</f>
        <v>0</v>
      </c>
      <c r="DG177" s="2846"/>
      <c r="DH177" s="2846"/>
      <c r="DI177" s="1093">
        <f>IF(DG177=0,0,(DH177-DG177)/DG177*100)</f>
        <v>0</v>
      </c>
      <c r="DJ177" s="2846"/>
      <c r="DK177" s="2846"/>
      <c r="DL177" s="1093">
        <f>IF(DJ177=0,0,(DK177-DJ177)/DJ177*100)</f>
        <v>0</v>
      </c>
      <c r="DM177" s="2846"/>
      <c r="DN177" s="2846"/>
      <c r="DO177" s="1093">
        <f>IF(DM177=0,0,(DN177-DM177)/DM177*100)</f>
        <v>0</v>
      </c>
      <c r="DP177" s="2846"/>
      <c r="DQ177" s="2846"/>
      <c r="DR177" s="1093">
        <f>IF(DP177=0,0,(DQ177-DP177)/DP177*100)</f>
        <v>0</v>
      </c>
      <c r="DS177" s="2846"/>
      <c r="DT177" s="2846"/>
      <c r="DU177" s="1093">
        <f>IF(DS177=0,0,(DT177-DS177)/DS177*100)</f>
        <v>0</v>
      </c>
      <c r="DV177" s="2846"/>
      <c r="DW177" s="2846"/>
      <c r="DX177" s="1093">
        <f>IF(DV177=0,0,(DW177-DV177)/DV177*100)</f>
        <v>0</v>
      </c>
      <c r="DY177" s="2846"/>
      <c r="DZ177" s="2846"/>
      <c r="EA177" s="1093">
        <f>IF(DY177=0,0,(DZ177-DY177)/DY177*100)</f>
        <v>0</v>
      </c>
      <c r="EB177" s="2846"/>
      <c r="EC177" s="2846"/>
      <c r="ED177" s="1093">
        <f>IF(EB177=0,0,(EC177-EB177)/EB177*100)</f>
        <v>0</v>
      </c>
      <c r="EE177" s="2846"/>
      <c r="EF177" s="2846"/>
      <c r="EG177" s="1093">
        <f>IF(EE177=0,0,(EF177-EE177)/EE177*100)</f>
        <v>0</v>
      </c>
      <c r="EH177" s="2846"/>
      <c r="EI177" s="2846"/>
      <c r="EJ177" s="1093">
        <f>IF(EH177=0,0,(EI177-EH177)/EH177*100)</f>
        <v>0</v>
      </c>
      <c r="EK177" s="2846"/>
      <c r="EL177" s="2846"/>
      <c r="EM177" s="1093">
        <f>IF(EK177=0,0,(EL177-EK177)/EK177*100)</f>
        <v>0</v>
      </c>
      <c r="EN177" s="2846"/>
      <c r="EO177" s="2846"/>
      <c r="EP177" s="1093">
        <f>IF(EN177=0,0,(EO177-EN177)/EN177*100)</f>
        <v>0</v>
      </c>
      <c r="EQ177" s="2846"/>
      <c r="ER177" s="2846"/>
      <c r="ES177" s="1093">
        <f>IF(EQ177=0,0,(ER177-EQ177)/EQ177*100)</f>
        <v>0</v>
      </c>
      <c r="ET177" s="2846"/>
      <c r="EU177" s="2846"/>
      <c r="EV177" s="1093">
        <f>IF(ET177=0,0,(EU177-ET177)/ET177*100)</f>
        <v>0</v>
      </c>
      <c r="EW177" s="2846"/>
      <c r="EX177" s="2846"/>
      <c r="EY177" s="1093">
        <f>IF(EW177=0,0,(EX177-EW177)/EW177*100)</f>
        <v>0</v>
      </c>
      <c r="EZ177" s="2846"/>
      <c r="FA177" s="2846"/>
      <c r="FB177" s="1093">
        <f>IF(EZ177=0,0,(FA177-EZ177)/EZ177*100)</f>
        <v>0</v>
      </c>
      <c r="FC177" s="2846"/>
      <c r="FD177" s="2846"/>
      <c r="FE177" s="1093">
        <f>IF(FC177=0,0,(FD177-FC177)/FC177*100)</f>
        <v>0</v>
      </c>
      <c r="FF177" s="2846"/>
      <c r="FG177" s="2846"/>
      <c r="FH177" s="1093">
        <f>IF(FF177=0,0,(FG177-FF177)/FF177*100)</f>
        <v>0</v>
      </c>
      <c r="FI177" s="2846"/>
      <c r="FJ177" s="2846"/>
      <c r="FK177" s="1093">
        <f>IF(FI177=0,0,(FJ177-FI177)/FI177*100)</f>
        <v>0</v>
      </c>
      <c r="FL177" s="2846"/>
      <c r="FM177" s="2846"/>
      <c r="FN177" s="1093">
        <f>IF(FL177=0,0,(FM177-FL177)/FL177*100)</f>
        <v>0</v>
      </c>
      <c r="FO177" s="2846"/>
      <c r="FP177" s="2846"/>
      <c r="FQ177" s="1093">
        <f>IF(FO177=0,0,(FP177-FO177)/FO177*100)</f>
        <v>0</v>
      </c>
      <c r="FR177" s="2846"/>
      <c r="FS177" s="2846"/>
      <c r="FT177" s="1093">
        <f>IF(FR177=0,0,(FS177-FR177)/FR177*100)</f>
        <v>0</v>
      </c>
      <c r="FU177" s="2846"/>
      <c r="FV177" s="2846"/>
      <c r="FW177" s="1093">
        <f>IF(FU177=0,0,(FV177-FU177)/FU177*100)</f>
        <v>0</v>
      </c>
      <c r="FX177" s="1304"/>
      <c r="FY177" s="1304"/>
      <c r="FZ177" s="1055" t="s">
        <v>2378</v>
      </c>
      <c r="GA177" s="1306"/>
      <c r="GB177" s="1306"/>
      <c r="GC177" s="1305"/>
      <c r="GD177" s="1305"/>
    </row>
    <row s="1834" customFormat="1" customHeight="1" ht="14.25" hidden="1">
      <c r="A178" s="493"/>
      <c r="B178" s="925" cm="1" t="str">
        <f t="array" ref="B178:B178">B177</f>
        <v>false</v>
      </c>
      <c r="C178" s="493"/>
      <c r="D178" s="493"/>
      <c r="E178" s="840">
        <v>15</v>
      </c>
      <c r="F178" s="50" cm="1" t="str">
        <f t="array" ref="F178:F178">OFFSET(E178,-1,1)</f>
        <v>2</v>
      </c>
      <c r="G178" s="493"/>
      <c r="H178" s="493" t="s">
        <v>2379</v>
      </c>
      <c r="I178" s="493" t="s">
        <v>2335</v>
      </c>
      <c r="J178" s="493"/>
      <c r="K178" s="493"/>
      <c r="L178" s="493"/>
      <c r="M178" s="493"/>
      <c r="N178" s="493"/>
      <c r="O178" s="493"/>
      <c r="P178" s="493"/>
      <c r="Q178" s="493"/>
      <c r="R178" s="493"/>
      <c r="S178" s="493"/>
      <c r="T178" s="465" cm="1" t="str">
        <f t="array" ref="T178:T178">T177</f>
        <v>true</v>
      </c>
      <c r="U178" s="493"/>
      <c r="V178" s="493"/>
      <c r="W178" s="493"/>
      <c r="X178" s="1596"/>
      <c r="Y178" s="493"/>
      <c r="Z178" s="1545"/>
      <c r="AA178" s="493"/>
      <c r="AB178" s="904" t="s">
        <v>2380</v>
      </c>
      <c r="AC178" s="864" t="s">
        <v>2381</v>
      </c>
      <c r="AD178" s="2846"/>
      <c r="AE178" s="2846"/>
      <c r="AF178" s="1093">
        <f>IF(AD178=0,0,(AE178-AD178)/AD178*100)</f>
        <v>0</v>
      </c>
      <c r="AG178" s="2846"/>
      <c r="AH178" s="2846"/>
      <c r="AI178" s="1093">
        <f>IF(AG178=0,0,(AH178-AG178)/AG178*100)</f>
        <v>0</v>
      </c>
      <c r="AJ178" s="2846"/>
      <c r="AK178" s="2846"/>
      <c r="AL178" s="1093">
        <f>IF(AJ178=0,0,(AK178-AJ178)/AJ178*100)</f>
        <v>0</v>
      </c>
      <c r="AM178" s="2846"/>
      <c r="AN178" s="2846"/>
      <c r="AO178" s="1093">
        <f>IF(AM178=0,0,(AN178-AM178)/AM178*100)</f>
        <v>0</v>
      </c>
      <c r="AP178" s="2846"/>
      <c r="AQ178" s="2846"/>
      <c r="AR178" s="1093">
        <f>IF(AP178=0,0,(AQ178-AP178)/AP178*100)</f>
        <v>0</v>
      </c>
      <c r="AS178" s="2846"/>
      <c r="AT178" s="2846"/>
      <c r="AU178" s="1093">
        <f>IF(AS178=0,0,(AT178-AS178)/AS178*100)</f>
        <v>0</v>
      </c>
      <c r="AV178" s="2846"/>
      <c r="AW178" s="2846"/>
      <c r="AX178" s="1093">
        <f>IF(AV178=0,0,(AW178-AV178)/AV178*100)</f>
        <v>0</v>
      </c>
      <c r="AY178" s="2846"/>
      <c r="AZ178" s="2846"/>
      <c r="BA178" s="1093">
        <f>IF(AY178=0,0,(AZ178-AY178)/AY178*100)</f>
        <v>0</v>
      </c>
      <c r="BB178" s="2846"/>
      <c r="BC178" s="2846"/>
      <c r="BD178" s="1093">
        <f>IF(BB178=0,0,(BC178-BB178)/BB178*100)</f>
        <v>0</v>
      </c>
      <c r="BE178" s="2846"/>
      <c r="BF178" s="2846"/>
      <c r="BG178" s="1093">
        <f>IF(BE178=0,0,(BF178-BE178)/BE178*100)</f>
        <v>0</v>
      </c>
      <c r="BH178" s="2846"/>
      <c r="BI178" s="2846"/>
      <c r="BJ178" s="1093">
        <f>IF(BH178=0,0,(BI178-BH178)/BH178*100)</f>
        <v>0</v>
      </c>
      <c r="BK178" s="2846"/>
      <c r="BL178" s="2846"/>
      <c r="BM178" s="1093">
        <f>IF(BK178=0,0,(BL178-BK178)/BK178*100)</f>
        <v>0</v>
      </c>
      <c r="BN178" s="2846"/>
      <c r="BO178" s="2846"/>
      <c r="BP178" s="1093">
        <f>IF(BN178=0,0,(BO178-BN178)/BN178*100)</f>
        <v>0</v>
      </c>
      <c r="BQ178" s="2846"/>
      <c r="BR178" s="2846"/>
      <c r="BS178" s="1093">
        <f>IF(BQ178=0,0,(BR178-BQ178)/BQ178*100)</f>
        <v>0</v>
      </c>
      <c r="BT178" s="2846"/>
      <c r="BU178" s="2846"/>
      <c r="BV178" s="1093">
        <f>IF(BT178=0,0,(BU178-BT178)/BT178*100)</f>
        <v>0</v>
      </c>
      <c r="BW178" s="2846"/>
      <c r="BX178" s="2846"/>
      <c r="BY178" s="1093">
        <f>IF(BW178=0,0,(BX178-BW178)/BW178*100)</f>
        <v>0</v>
      </c>
      <c r="BZ178" s="2846"/>
      <c r="CA178" s="2846"/>
      <c r="CB178" s="1093">
        <f>IF(BZ178=0,0,(CA178-BZ178)/BZ178*100)</f>
        <v>0</v>
      </c>
      <c r="CC178" s="2846"/>
      <c r="CD178" s="2846"/>
      <c r="CE178" s="1093">
        <f>IF(CC178=0,0,(CD178-CC178)/CC178*100)</f>
        <v>0</v>
      </c>
      <c r="CF178" s="2846"/>
      <c r="CG178" s="2846"/>
      <c r="CH178" s="1093">
        <f>IF(CF178=0,0,(CG178-CF178)/CF178*100)</f>
        <v>0</v>
      </c>
      <c r="CI178" s="2846"/>
      <c r="CJ178" s="2846"/>
      <c r="CK178" s="1093">
        <f>IF(CI178=0,0,(CJ178-CI178)/CI178*100)</f>
        <v>0</v>
      </c>
      <c r="CL178" s="2846"/>
      <c r="CM178" s="2846"/>
      <c r="CN178" s="1093">
        <f>IF(CL178=0,0,(CM178-CL178)/CL178*100)</f>
        <v>0</v>
      </c>
      <c r="CO178" s="2846"/>
      <c r="CP178" s="2846"/>
      <c r="CQ178" s="1093">
        <f>IF(CO178=0,0,(CP178-CO178)/CO178*100)</f>
        <v>0</v>
      </c>
      <c r="CR178" s="2846"/>
      <c r="CS178" s="2846"/>
      <c r="CT178" s="1093">
        <f>IF(CR178=0,0,(CS178-CR178)/CR178*100)</f>
        <v>0</v>
      </c>
      <c r="CU178" s="2846"/>
      <c r="CV178" s="2846"/>
      <c r="CW178" s="1093">
        <f>IF(CU178=0,0,(CV178-CU178)/CU178*100)</f>
        <v>0</v>
      </c>
      <c r="CX178" s="2846"/>
      <c r="CY178" s="2846"/>
      <c r="CZ178" s="1093">
        <f>IF(CX178=0,0,(CY178-CX178)/CX178*100)</f>
        <v>0</v>
      </c>
      <c r="DA178" s="2846"/>
      <c r="DB178" s="2846"/>
      <c r="DC178" s="1093">
        <f>IF(DA178=0,0,(DB178-DA178)/DA178*100)</f>
        <v>0</v>
      </c>
      <c r="DD178" s="2846"/>
      <c r="DE178" s="2846"/>
      <c r="DF178" s="1093">
        <f>IF(DD178=0,0,(DE178-DD178)/DD178*100)</f>
        <v>0</v>
      </c>
      <c r="DG178" s="2846"/>
      <c r="DH178" s="2846"/>
      <c r="DI178" s="1093">
        <f>IF(DG178=0,0,(DH178-DG178)/DG178*100)</f>
        <v>0</v>
      </c>
      <c r="DJ178" s="2846"/>
      <c r="DK178" s="2846"/>
      <c r="DL178" s="1093">
        <f>IF(DJ178=0,0,(DK178-DJ178)/DJ178*100)</f>
        <v>0</v>
      </c>
      <c r="DM178" s="2846"/>
      <c r="DN178" s="2846"/>
      <c r="DO178" s="1093">
        <f>IF(DM178=0,0,(DN178-DM178)/DM178*100)</f>
        <v>0</v>
      </c>
      <c r="DP178" s="2846"/>
      <c r="DQ178" s="2846"/>
      <c r="DR178" s="1093">
        <f>IF(DP178=0,0,(DQ178-DP178)/DP178*100)</f>
        <v>0</v>
      </c>
      <c r="DS178" s="2846"/>
      <c r="DT178" s="2846"/>
      <c r="DU178" s="1093">
        <f>IF(DS178=0,0,(DT178-DS178)/DS178*100)</f>
        <v>0</v>
      </c>
      <c r="DV178" s="2846"/>
      <c r="DW178" s="2846"/>
      <c r="DX178" s="1093">
        <f>IF(DV178=0,0,(DW178-DV178)/DV178*100)</f>
        <v>0</v>
      </c>
      <c r="DY178" s="2846"/>
      <c r="DZ178" s="2846"/>
      <c r="EA178" s="1093">
        <f>IF(DY178=0,0,(DZ178-DY178)/DY178*100)</f>
        <v>0</v>
      </c>
      <c r="EB178" s="2846"/>
      <c r="EC178" s="2846"/>
      <c r="ED178" s="1093">
        <f>IF(EB178=0,0,(EC178-EB178)/EB178*100)</f>
        <v>0</v>
      </c>
      <c r="EE178" s="2846"/>
      <c r="EF178" s="2846"/>
      <c r="EG178" s="1093">
        <f>IF(EE178=0,0,(EF178-EE178)/EE178*100)</f>
        <v>0</v>
      </c>
      <c r="EH178" s="2846"/>
      <c r="EI178" s="2846"/>
      <c r="EJ178" s="1093">
        <f>IF(EH178=0,0,(EI178-EH178)/EH178*100)</f>
        <v>0</v>
      </c>
      <c r="EK178" s="2846"/>
      <c r="EL178" s="2846"/>
      <c r="EM178" s="1093">
        <f>IF(EK178=0,0,(EL178-EK178)/EK178*100)</f>
        <v>0</v>
      </c>
      <c r="EN178" s="2846"/>
      <c r="EO178" s="2846"/>
      <c r="EP178" s="1093">
        <f>IF(EN178=0,0,(EO178-EN178)/EN178*100)</f>
        <v>0</v>
      </c>
      <c r="EQ178" s="2846"/>
      <c r="ER178" s="2846"/>
      <c r="ES178" s="1093">
        <f>IF(EQ178=0,0,(ER178-EQ178)/EQ178*100)</f>
        <v>0</v>
      </c>
      <c r="ET178" s="2846"/>
      <c r="EU178" s="2846"/>
      <c r="EV178" s="1093">
        <f>IF(ET178=0,0,(EU178-ET178)/ET178*100)</f>
        <v>0</v>
      </c>
      <c r="EW178" s="2846"/>
      <c r="EX178" s="2846"/>
      <c r="EY178" s="1093">
        <f>IF(EW178=0,0,(EX178-EW178)/EW178*100)</f>
        <v>0</v>
      </c>
      <c r="EZ178" s="2846"/>
      <c r="FA178" s="2846"/>
      <c r="FB178" s="1093">
        <f>IF(EZ178=0,0,(FA178-EZ178)/EZ178*100)</f>
        <v>0</v>
      </c>
      <c r="FC178" s="2846"/>
      <c r="FD178" s="2846"/>
      <c r="FE178" s="1093">
        <f>IF(FC178=0,0,(FD178-FC178)/FC178*100)</f>
        <v>0</v>
      </c>
      <c r="FF178" s="2846"/>
      <c r="FG178" s="2846"/>
      <c r="FH178" s="1093">
        <f>IF(FF178=0,0,(FG178-FF178)/FF178*100)</f>
        <v>0</v>
      </c>
      <c r="FI178" s="2846"/>
      <c r="FJ178" s="2846"/>
      <c r="FK178" s="1093">
        <f>IF(FI178=0,0,(FJ178-FI178)/FI178*100)</f>
        <v>0</v>
      </c>
      <c r="FL178" s="2846"/>
      <c r="FM178" s="2846"/>
      <c r="FN178" s="1093">
        <f>IF(FL178=0,0,(FM178-FL178)/FL178*100)</f>
        <v>0</v>
      </c>
      <c r="FO178" s="2846"/>
      <c r="FP178" s="2846"/>
      <c r="FQ178" s="1093">
        <f>IF(FO178=0,0,(FP178-FO178)/FO178*100)</f>
        <v>0</v>
      </c>
      <c r="FR178" s="2846"/>
      <c r="FS178" s="2846"/>
      <c r="FT178" s="1093">
        <f>IF(FR178=0,0,(FS178-FR178)/FR178*100)</f>
        <v>0</v>
      </c>
      <c r="FU178" s="2846"/>
      <c r="FV178" s="2846"/>
      <c r="FW178" s="1093">
        <f>IF(FU178=0,0,(FV178-FU178)/FU178*100)</f>
        <v>0</v>
      </c>
      <c r="FX178" s="1304"/>
      <c r="FY178" s="1304"/>
      <c r="FZ178" s="1055" t="s">
        <v>2382</v>
      </c>
      <c r="GA178" s="1306"/>
      <c r="GB178" s="1306"/>
      <c r="GC178" s="1305"/>
      <c r="GD178" s="1305"/>
    </row>
    <row s="1834" customFormat="1" customHeight="1" ht="23.25" hidden="1">
      <c r="A179" s="493"/>
      <c r="B179" s="925" cm="1" t="str">
        <f t="array" ref="B179:B179">B178</f>
        <v>false</v>
      </c>
      <c r="C179" s="493"/>
      <c r="D179" s="493"/>
      <c r="E179" s="840">
        <v>24.5</v>
      </c>
      <c r="F179" s="50" cm="1" t="str">
        <f t="array" ref="F179:F179">OFFSET(E179,-1,1)</f>
        <v>2</v>
      </c>
      <c r="G179" s="493"/>
      <c r="H179" s="493"/>
      <c r="I179" s="493"/>
      <c r="J179" s="493"/>
      <c r="K179" s="493"/>
      <c r="L179" s="493"/>
      <c r="M179" s="493"/>
      <c r="N179" s="493"/>
      <c r="O179" s="493"/>
      <c r="P179" s="493"/>
      <c r="Q179" s="493"/>
      <c r="R179" s="493"/>
      <c r="S179" s="493"/>
      <c r="T179" s="465" cm="1" t="str">
        <f t="array" ref="T179:T179">T178</f>
        <v>true</v>
      </c>
      <c r="U179" s="493"/>
      <c r="V179" s="493"/>
      <c r="W179" s="493"/>
      <c r="X179" s="1596"/>
      <c r="Y179" s="493"/>
      <c r="Z179" s="1545"/>
      <c r="AA179" s="493"/>
      <c r="AB179" s="293" t="s">
        <v>2383</v>
      </c>
      <c r="AC179" s="903"/>
      <c r="AD179" s="1102"/>
      <c r="AE179" s="1102"/>
      <c r="AF179" s="1102"/>
      <c r="AG179" s="1102"/>
      <c r="AH179" s="1102"/>
      <c r="AI179" s="1102"/>
      <c r="AJ179" s="1102"/>
      <c r="AK179" s="1102"/>
      <c r="AL179" s="1102"/>
      <c r="AM179" s="1102"/>
      <c r="AN179" s="1102"/>
      <c r="AO179" s="1102"/>
      <c r="AP179" s="1102"/>
      <c r="AQ179" s="1102"/>
      <c r="AR179" s="1102"/>
      <c r="AS179" s="1102"/>
      <c r="AT179" s="1102"/>
      <c r="AU179" s="1102"/>
      <c r="AV179" s="1102"/>
      <c r="AW179" s="1102"/>
      <c r="AX179" s="1102"/>
      <c r="AY179" s="1102"/>
      <c r="AZ179" s="1102"/>
      <c r="BA179" s="1102"/>
      <c r="BB179" s="1102"/>
      <c r="BC179" s="1102"/>
      <c r="BD179" s="1102"/>
      <c r="BE179" s="1102"/>
      <c r="BF179" s="1102"/>
      <c r="BG179" s="1102"/>
      <c r="BH179" s="1102"/>
      <c r="BI179" s="1102"/>
      <c r="BJ179" s="1102"/>
      <c r="BK179" s="1102"/>
      <c r="BL179" s="1102"/>
      <c r="BM179" s="1102"/>
      <c r="BN179" s="1102"/>
      <c r="BO179" s="1102"/>
      <c r="BP179" s="1102"/>
      <c r="BQ179" s="1102"/>
      <c r="BR179" s="1102"/>
      <c r="BS179" s="1102"/>
      <c r="BT179" s="1102"/>
      <c r="BU179" s="1102"/>
      <c r="BV179" s="1102"/>
      <c r="BW179" s="1102"/>
      <c r="BX179" s="1102"/>
      <c r="BY179" s="1102"/>
      <c r="BZ179" s="1102"/>
      <c r="CA179" s="1102"/>
      <c r="CB179" s="1102"/>
      <c r="CC179" s="1102"/>
      <c r="CD179" s="1102"/>
      <c r="CE179" s="1102"/>
      <c r="CF179" s="1102"/>
      <c r="CG179" s="1102"/>
      <c r="CH179" s="1102"/>
      <c r="CI179" s="1102"/>
      <c r="CJ179" s="1102"/>
      <c r="CK179" s="1102"/>
      <c r="CL179" s="1102"/>
      <c r="CM179" s="1102"/>
      <c r="CN179" s="1102"/>
      <c r="CO179" s="1102"/>
      <c r="CP179" s="1102"/>
      <c r="CQ179" s="1102"/>
      <c r="CR179" s="1102"/>
      <c r="CS179" s="1102"/>
      <c r="CT179" s="1102"/>
      <c r="CU179" s="1102"/>
      <c r="CV179" s="1102"/>
      <c r="CW179" s="1102"/>
      <c r="CX179" s="1102"/>
      <c r="CY179" s="1102"/>
      <c r="CZ179" s="1102"/>
      <c r="DA179" s="1102"/>
      <c r="DB179" s="1102"/>
      <c r="DC179" s="1102"/>
      <c r="DD179" s="1102"/>
      <c r="DE179" s="1102"/>
      <c r="DF179" s="1102"/>
      <c r="DG179" s="1102"/>
      <c r="DH179" s="1102"/>
      <c r="DI179" s="1102"/>
      <c r="DJ179" s="1102"/>
      <c r="DK179" s="1102"/>
      <c r="DL179" s="1102"/>
      <c r="DM179" s="1102"/>
      <c r="DN179" s="1102"/>
      <c r="DO179" s="1102"/>
      <c r="DP179" s="1102"/>
      <c r="DQ179" s="1102"/>
      <c r="DR179" s="1102"/>
      <c r="DS179" s="1102"/>
      <c r="DT179" s="1102"/>
      <c r="DU179" s="1102"/>
      <c r="DV179" s="1102"/>
      <c r="DW179" s="1102"/>
      <c r="DX179" s="1102"/>
      <c r="DY179" s="1102"/>
      <c r="DZ179" s="1102"/>
      <c r="EA179" s="1102"/>
      <c r="EB179" s="1102"/>
      <c r="EC179" s="1102"/>
      <c r="ED179" s="1102"/>
      <c r="EE179" s="1102"/>
      <c r="EF179" s="1102"/>
      <c r="EG179" s="1102"/>
      <c r="EH179" s="1102"/>
      <c r="EI179" s="1102"/>
      <c r="EJ179" s="1102"/>
      <c r="EK179" s="1102"/>
      <c r="EL179" s="1102"/>
      <c r="EM179" s="1102"/>
      <c r="EN179" s="1102"/>
      <c r="EO179" s="1102"/>
      <c r="EP179" s="1102"/>
      <c r="EQ179" s="1102"/>
      <c r="ER179" s="1102"/>
      <c r="ES179" s="1102"/>
      <c r="ET179" s="1102"/>
      <c r="EU179" s="1102"/>
      <c r="EV179" s="1102"/>
      <c r="EW179" s="1102"/>
      <c r="EX179" s="1102"/>
      <c r="EY179" s="1102"/>
      <c r="EZ179" s="1102"/>
      <c r="FA179" s="1102"/>
      <c r="FB179" s="1102"/>
      <c r="FC179" s="1102"/>
      <c r="FD179" s="1102"/>
      <c r="FE179" s="1102"/>
      <c r="FF179" s="1102"/>
      <c r="FG179" s="1102"/>
      <c r="FH179" s="1102"/>
      <c r="FI179" s="1102"/>
      <c r="FJ179" s="1102"/>
      <c r="FK179" s="1102"/>
      <c r="FL179" s="1102"/>
      <c r="FM179" s="1102"/>
      <c r="FN179" s="1102"/>
      <c r="FO179" s="1102"/>
      <c r="FP179" s="1102"/>
      <c r="FQ179" s="1102"/>
      <c r="FR179" s="1102"/>
      <c r="FS179" s="1102"/>
      <c r="FT179" s="1102"/>
      <c r="FU179" s="1102"/>
      <c r="FV179" s="1102"/>
      <c r="FW179" s="1103"/>
      <c r="FX179" s="1304"/>
      <c r="FY179" s="1304"/>
      <c r="FZ179" s="1055"/>
      <c r="GA179" s="1306"/>
      <c r="GB179" s="1306"/>
      <c r="GC179" s="1305"/>
      <c r="GD179" s="1305"/>
    </row>
    <row s="1834" customFormat="1" customHeight="1" ht="14.25" hidden="1">
      <c r="A180" s="493"/>
      <c r="B180" s="925" cm="1" t="str">
        <f t="array" ref="B180:B180">B179</f>
        <v>false</v>
      </c>
      <c r="C180" s="493"/>
      <c r="D180" s="493"/>
      <c r="E180" s="840">
        <v>15</v>
      </c>
      <c r="F180" s="50" cm="1" t="str">
        <f t="array" ref="F180:F180">OFFSET(E180,-1,1)</f>
        <v>2</v>
      </c>
      <c r="G180" s="493"/>
      <c r="H180" s="493" t="s">
        <v>2295</v>
      </c>
      <c r="I180" s="493" t="s">
        <v>2340</v>
      </c>
      <c r="J180" s="493"/>
      <c r="K180" s="493"/>
      <c r="L180" s="493"/>
      <c r="M180" s="493"/>
      <c r="N180" s="493"/>
      <c r="O180" s="493"/>
      <c r="P180" s="493"/>
      <c r="Q180" s="493"/>
      <c r="R180" s="493"/>
      <c r="S180" s="493"/>
      <c r="T180" s="465" cm="1" t="str">
        <f t="array" ref="T180:T180">T179</f>
        <v>true</v>
      </c>
      <c r="U180" s="493"/>
      <c r="V180" s="493"/>
      <c r="W180" s="493"/>
      <c r="X180" s="1596"/>
      <c r="Y180" s="493"/>
      <c r="Z180" s="1545"/>
      <c r="AA180" s="493"/>
      <c r="AB180" s="1091" t="s">
        <v>2370</v>
      </c>
      <c r="AC180" s="864" t="s">
        <v>2337</v>
      </c>
      <c r="AD180" s="2846">
        <f>IF(AD182=0,0,(AD181*AD182+AD183*AD184*IF(god=2026,3,6))/AD182)</f>
        <v>0</v>
      </c>
      <c r="AE180" s="2846">
        <f>IF(AE182=0,0,(AE181*AE182+AE183*AE184*IF(god=2026,3,6))/AE182)</f>
        <v>0</v>
      </c>
      <c r="AF180" s="1093">
        <f>IF(AD180=0,0,(AE180-AD180)/AD180*100)</f>
        <v>0</v>
      </c>
      <c r="AG180" s="2846">
        <f>IF(AG182=0,0,(AG181*AG182+AG183*AG184*IF(god=2025,3,6))/AG182)</f>
        <v>0</v>
      </c>
      <c r="AH180" s="2846">
        <f>IF(AH182=0,0,(AH181*AH182+AH183*AH184*IF(god=2025,3,6))/AH182)</f>
        <v>0</v>
      </c>
      <c r="AI180" s="1093">
        <f>IF(AG180=0,0,(AH180-AG180)/AG180*100)</f>
        <v>0</v>
      </c>
      <c r="AJ180" s="2846">
        <f>IF(AJ182=0,0,(AJ181*AJ182+AJ183*AJ184*6)/AJ182)</f>
        <v>0</v>
      </c>
      <c r="AK180" s="2846">
        <f>IF(AK182=0,0,(AK181*AK182+AK183*AK184*6)/AK182)</f>
        <v>0</v>
      </c>
      <c r="AL180" s="1093">
        <f>IF(AJ180=0,0,(AK180-AJ180)/AJ180*100)</f>
        <v>0</v>
      </c>
      <c r="AM180" s="2846">
        <f>IF(AM182=0,0,(AM181*AM182+AM183*AM184*6)/AM182)</f>
        <v>0</v>
      </c>
      <c r="AN180" s="2846">
        <f>IF(AN182=0,0,(AN181*AN182+AN183*AN184*6)/AN182)</f>
        <v>0</v>
      </c>
      <c r="AO180" s="1093">
        <f>IF(AM180=0,0,(AN180-AM180)/AM180*100)</f>
        <v>0</v>
      </c>
      <c r="AP180" s="2846">
        <f>IF(AP182=0,0,(AP181*AP182+AP183*AP184*6)/AP182)</f>
        <v>0</v>
      </c>
      <c r="AQ180" s="2846">
        <f>IF(AQ182=0,0,(AQ181*AQ182+AQ183*AQ184*6)/AQ182)</f>
        <v>0</v>
      </c>
      <c r="AR180" s="1093">
        <f>IF(AP180=0,0,(AQ180-AP180)/AP180*100)</f>
        <v>0</v>
      </c>
      <c r="AS180" s="2846">
        <f>IF(AS182=0,0,(AS181*AS182+AS183*AS184*6)/AS182)</f>
        <v>0</v>
      </c>
      <c r="AT180" s="2846">
        <f>IF(AT182=0,0,(AT181*AT182+AT183*AT184*6)/AT182)</f>
        <v>0</v>
      </c>
      <c r="AU180" s="1093">
        <f>IF(AS180=0,0,(AT180-AS180)/AS180*100)</f>
        <v>0</v>
      </c>
      <c r="AV180" s="2846">
        <f>IF(AV182=0,0,(AV181*AV182+AV183*AV184*6)/AV182)</f>
        <v>0</v>
      </c>
      <c r="AW180" s="2846">
        <f>IF(AW182=0,0,(AW181*AW182+AW183*AW184*6)/AW182)</f>
        <v>0</v>
      </c>
      <c r="AX180" s="1093">
        <f>IF(AV180=0,0,(AW180-AV180)/AV180*100)</f>
        <v>0</v>
      </c>
      <c r="AY180" s="2846">
        <f>IF(AY182=0,0,(AY181*AY182+AY183*AY184*6)/AY182)</f>
        <v>0</v>
      </c>
      <c r="AZ180" s="2846">
        <f>IF(AZ182=0,0,(AZ181*AZ182+AZ183*AZ184*6)/AZ182)</f>
        <v>0</v>
      </c>
      <c r="BA180" s="1093">
        <f>IF(AY180=0,0,(AZ180-AY180)/AY180*100)</f>
        <v>0</v>
      </c>
      <c r="BB180" s="2846">
        <f>IF(BB182=0,0,(BB181*BB182+BB183*BB184*6)/BB182)</f>
        <v>0</v>
      </c>
      <c r="BC180" s="2846">
        <f>IF(BC182=0,0,(BC181*BC182+BC183*BC184*6)/BC182)</f>
        <v>0</v>
      </c>
      <c r="BD180" s="1093">
        <f>IF(BB180=0,0,(BC180-BB180)/BB180*100)</f>
        <v>0</v>
      </c>
      <c r="BE180" s="2846">
        <f>IF(BE182=0,0,(BE181*BE182+BE183*BE184*6)/BE182)</f>
        <v>0</v>
      </c>
      <c r="BF180" s="2846">
        <f>IF(BF182=0,0,(BF181*BF182+BF183*BF184*6)/BF182)</f>
        <v>0</v>
      </c>
      <c r="BG180" s="1093">
        <f>IF(BE180=0,0,(BF180-BE180)/BE180*100)</f>
        <v>0</v>
      </c>
      <c r="BH180" s="2846">
        <f>IF(BH182=0,0,(BH181*BH182+BH183*BH184*6)/BH182)</f>
        <v>0</v>
      </c>
      <c r="BI180" s="2846">
        <f>IF(BI182=0,0,(BI181*BI182+BI183*BI184*6)/BI182)</f>
        <v>0</v>
      </c>
      <c r="BJ180" s="1093">
        <f>IF(BH180=0,0,(BI180-BH180)/BH180*100)</f>
        <v>0</v>
      </c>
      <c r="BK180" s="2846">
        <f>IF(BK182=0,0,(BK181*BK182+BK183*BK184*6)/BK182)</f>
        <v>0</v>
      </c>
      <c r="BL180" s="2846">
        <f>IF(BL182=0,0,(BL181*BL182+BL183*BL184*6)/BL182)</f>
        <v>0</v>
      </c>
      <c r="BM180" s="1093">
        <f>IF(BK180=0,0,(BL180-BK180)/BK180*100)</f>
        <v>0</v>
      </c>
      <c r="BN180" s="2846">
        <f>IF(BN182=0,0,(BN181*BN182+BN183*BN184*6)/BN182)</f>
        <v>0</v>
      </c>
      <c r="BO180" s="2846">
        <f>IF(BO182=0,0,(BO181*BO182+BO183*BO184*6)/BO182)</f>
        <v>0</v>
      </c>
      <c r="BP180" s="1093">
        <f>IF(BN180=0,0,(BO180-BN180)/BN180*100)</f>
        <v>0</v>
      </c>
      <c r="BQ180" s="2846">
        <f>IF(BQ182=0,0,(BQ181*BQ182+BQ183*BQ184*6)/BQ182)</f>
        <v>0</v>
      </c>
      <c r="BR180" s="2846">
        <f>IF(BR182=0,0,(BR181*BR182+BR183*BR184*6)/BR182)</f>
        <v>0</v>
      </c>
      <c r="BS180" s="1093">
        <f>IF(BQ180=0,0,(BR180-BQ180)/BQ180*100)</f>
        <v>0</v>
      </c>
      <c r="BT180" s="2846">
        <f>IF(BT182=0,0,(BT181*BT182+BT183*BT184*6)/BT182)</f>
        <v>0</v>
      </c>
      <c r="BU180" s="2846">
        <f>IF(BU182=0,0,(BU181*BU182+BU183*BU184*6)/BU182)</f>
        <v>0</v>
      </c>
      <c r="BV180" s="1093">
        <f>IF(BT180=0,0,(BU180-BT180)/BT180*100)</f>
        <v>0</v>
      </c>
      <c r="BW180" s="2846">
        <f>IF(BW182=0,0,(BW181*BW182+BW183*BW184*6)/BW182)</f>
        <v>0</v>
      </c>
      <c r="BX180" s="2846">
        <f>IF(BX182=0,0,(BX181*BX182+BX183*BX184*6)/BX182)</f>
        <v>0</v>
      </c>
      <c r="BY180" s="1093">
        <f>IF(BW180=0,0,(BX180-BW180)/BW180*100)</f>
        <v>0</v>
      </c>
      <c r="BZ180" s="2846">
        <f>IF(BZ182=0,0,(BZ181*BZ182+BZ183*BZ184*6)/BZ182)</f>
        <v>0</v>
      </c>
      <c r="CA180" s="2846">
        <f>IF(CA182=0,0,(CA181*CA182+CA183*CA184*6)/CA182)</f>
        <v>0</v>
      </c>
      <c r="CB180" s="1093">
        <f>IF(BZ180=0,0,(CA180-BZ180)/BZ180*100)</f>
        <v>0</v>
      </c>
      <c r="CC180" s="2846">
        <f>IF(CC182=0,0,(CC181*CC182+CC183*CC184*6)/CC182)</f>
        <v>0</v>
      </c>
      <c r="CD180" s="2846">
        <f>IF(CD182=0,0,(CD181*CD182+CD183*CD184*6)/CD182)</f>
        <v>0</v>
      </c>
      <c r="CE180" s="1093">
        <f>IF(CC180=0,0,(CD180-CC180)/CC180*100)</f>
        <v>0</v>
      </c>
      <c r="CF180" s="2846">
        <f>IF(CF182=0,0,(CF181*CF182+CF183*CF184*6)/CF182)</f>
        <v>0</v>
      </c>
      <c r="CG180" s="2846">
        <f>IF(CG182=0,0,(CG181*CG182+CG183*CG184*6)/CG182)</f>
        <v>0</v>
      </c>
      <c r="CH180" s="1093">
        <f>IF(CF180=0,0,(CG180-CF180)/CF180*100)</f>
        <v>0</v>
      </c>
      <c r="CI180" s="2846">
        <f>IF(CI182=0,0,(CI181*CI182+CI183*CI184*6)/CI182)</f>
        <v>0</v>
      </c>
      <c r="CJ180" s="2846">
        <f>IF(CJ182=0,0,(CJ181*CJ182+CJ183*CJ184*6)/CJ182)</f>
        <v>0</v>
      </c>
      <c r="CK180" s="1093">
        <f>IF(CI180=0,0,(CJ180-CI180)/CI180*100)</f>
        <v>0</v>
      </c>
      <c r="CL180" s="2846">
        <f>IF(CL182=0,0,(CL181*CL182+CL183*CL184*6)/CL182)</f>
        <v>0</v>
      </c>
      <c r="CM180" s="2846">
        <f>IF(CM182=0,0,(CM181*CM182+CM183*CM184*6)/CM182)</f>
        <v>0</v>
      </c>
      <c r="CN180" s="1093">
        <f>IF(CL180=0,0,(CM180-CL180)/CL180*100)</f>
        <v>0</v>
      </c>
      <c r="CO180" s="2846">
        <f>IF(CO182=0,0,(CO181*CO182+CO183*CO184*6)/CO182)</f>
        <v>0</v>
      </c>
      <c r="CP180" s="2846">
        <f>IF(CP182=0,0,(CP181*CP182+CP183*CP184*6)/CP182)</f>
        <v>0</v>
      </c>
      <c r="CQ180" s="1093">
        <f>IF(CO180=0,0,(CP180-CO180)/CO180*100)</f>
        <v>0</v>
      </c>
      <c r="CR180" s="2846">
        <f>IF(CR182=0,0,(CR181*CR182+CR183*CR184*6)/CR182)</f>
        <v>0</v>
      </c>
      <c r="CS180" s="2846">
        <f>IF(CS182=0,0,(CS181*CS182+CS183*CS184*6)/CS182)</f>
        <v>0</v>
      </c>
      <c r="CT180" s="1093">
        <f>IF(CR180=0,0,(CS180-CR180)/CR180*100)</f>
        <v>0</v>
      </c>
      <c r="CU180" s="2846">
        <f>IF(CU182=0,0,(CU181*CU182+CU183*CU184*6)/CU182)</f>
        <v>0</v>
      </c>
      <c r="CV180" s="2846">
        <f>IF(CV182=0,0,(CV181*CV182+CV183*CV184*6)/CV182)</f>
        <v>0</v>
      </c>
      <c r="CW180" s="1093">
        <f>IF(CU180=0,0,(CV180-CU180)/CU180*100)</f>
        <v>0</v>
      </c>
      <c r="CX180" s="2846">
        <f>IF(CX182=0,0,(CX181*CX182+CX183*CX184*6)/CX182)</f>
        <v>0</v>
      </c>
      <c r="CY180" s="2846">
        <f>IF(CY182=0,0,(CY181*CY182+CY183*CY184*6)/CY182)</f>
        <v>0</v>
      </c>
      <c r="CZ180" s="1093">
        <f>IF(CX180=0,0,(CY180-CX180)/CX180*100)</f>
        <v>0</v>
      </c>
      <c r="DA180" s="2846">
        <f>IF(DA182=0,0,(DA181*DA182+DA183*DA184*6)/DA182)</f>
        <v>0</v>
      </c>
      <c r="DB180" s="2846">
        <f>IF(DB182=0,0,(DB181*DB182+DB183*DB184*6)/DB182)</f>
        <v>0</v>
      </c>
      <c r="DC180" s="1093">
        <f>IF(DA180=0,0,(DB180-DA180)/DA180*100)</f>
        <v>0</v>
      </c>
      <c r="DD180" s="2846">
        <f>IF(DD182=0,0,(DD181*DD182+DD183*DD184*6)/DD182)</f>
        <v>0</v>
      </c>
      <c r="DE180" s="2846">
        <f>IF(DE182=0,0,(DE181*DE182+DE183*DE184*6)/DE182)</f>
        <v>0</v>
      </c>
      <c r="DF180" s="1093">
        <f>IF(DD180=0,0,(DE180-DD180)/DD180*100)</f>
        <v>0</v>
      </c>
      <c r="DG180" s="2846">
        <f>IF(DG182=0,0,(DG181*DG182+DG183*DG184*6)/DG182)</f>
        <v>0</v>
      </c>
      <c r="DH180" s="2846">
        <f>IF(DH182=0,0,(DH181*DH182+DH183*DH184*6)/DH182)</f>
        <v>0</v>
      </c>
      <c r="DI180" s="1093">
        <f>IF(DG180=0,0,(DH180-DG180)/DG180*100)</f>
        <v>0</v>
      </c>
      <c r="DJ180" s="2846">
        <f>IF(DJ182=0,0,(DJ181*DJ182+DJ183*DJ184*6)/DJ182)</f>
        <v>0</v>
      </c>
      <c r="DK180" s="2846">
        <f>IF(DK182=0,0,(DK181*DK182+DK183*DK184*6)/DK182)</f>
        <v>0</v>
      </c>
      <c r="DL180" s="1093">
        <f>IF(DJ180=0,0,(DK180-DJ180)/DJ180*100)</f>
        <v>0</v>
      </c>
      <c r="DM180" s="2846">
        <f>IF(DM182=0,0,(DM181*DM182+DM183*DM184*6)/DM182)</f>
        <v>0</v>
      </c>
      <c r="DN180" s="2846">
        <f>IF(DN182=0,0,(DN181*DN182+DN183*DN184*6)/DN182)</f>
        <v>0</v>
      </c>
      <c r="DO180" s="1093">
        <f>IF(DM180=0,0,(DN180-DM180)/DM180*100)</f>
        <v>0</v>
      </c>
      <c r="DP180" s="2846">
        <f>IF(DP182=0,0,(DP181*DP182+DP183*DP184*6)/DP182)</f>
        <v>0</v>
      </c>
      <c r="DQ180" s="2846">
        <f>IF(DQ182=0,0,(DQ181*DQ182+DQ183*DQ184*6)/DQ182)</f>
        <v>0</v>
      </c>
      <c r="DR180" s="1093">
        <f>IF(DP180=0,0,(DQ180-DP180)/DP180*100)</f>
        <v>0</v>
      </c>
      <c r="DS180" s="2846">
        <f>IF(DS182=0,0,(DS181*DS182+DS183*DS184*6)/DS182)</f>
        <v>0</v>
      </c>
      <c r="DT180" s="2846">
        <f>IF(DT182=0,0,(DT181*DT182+DT183*DT184*6)/DT182)</f>
        <v>0</v>
      </c>
      <c r="DU180" s="1093">
        <f>IF(DS180=0,0,(DT180-DS180)/DS180*100)</f>
        <v>0</v>
      </c>
      <c r="DV180" s="2846">
        <f>IF(DV182=0,0,(DV181*DV182+DV183*DV184*6)/DV182)</f>
        <v>0</v>
      </c>
      <c r="DW180" s="2846">
        <f>IF(DW182=0,0,(DW181*DW182+DW183*DW184*6)/DW182)</f>
        <v>0</v>
      </c>
      <c r="DX180" s="1093">
        <f>IF(DV180=0,0,(DW180-DV180)/DV180*100)</f>
        <v>0</v>
      </c>
      <c r="DY180" s="2846">
        <f>IF(DY182=0,0,(DY181*DY182+DY183*DY184*6)/DY182)</f>
        <v>0</v>
      </c>
      <c r="DZ180" s="2846">
        <f>IF(DZ182=0,0,(DZ181*DZ182+DZ183*DZ184*6)/DZ182)</f>
        <v>0</v>
      </c>
      <c r="EA180" s="1093">
        <f>IF(DY180=0,0,(DZ180-DY180)/DY180*100)</f>
        <v>0</v>
      </c>
      <c r="EB180" s="2846">
        <f>IF(EB182=0,0,(EB181*EB182+EB183*EB184*6)/EB182)</f>
        <v>0</v>
      </c>
      <c r="EC180" s="2846">
        <f>IF(EC182=0,0,(EC181*EC182+EC183*EC184*6)/EC182)</f>
        <v>0</v>
      </c>
      <c r="ED180" s="1093">
        <f>IF(EB180=0,0,(EC180-EB180)/EB180*100)</f>
        <v>0</v>
      </c>
      <c r="EE180" s="2846">
        <f>IF(EE182=0,0,(EE181*EE182+EE183*EE184*6)/EE182)</f>
        <v>0</v>
      </c>
      <c r="EF180" s="2846">
        <f>IF(EF182=0,0,(EF181*EF182+EF183*EF184*6)/EF182)</f>
        <v>0</v>
      </c>
      <c r="EG180" s="1093">
        <f>IF(EE180=0,0,(EF180-EE180)/EE180*100)</f>
        <v>0</v>
      </c>
      <c r="EH180" s="2846">
        <f>IF(EH182=0,0,(EH181*EH182+EH183*EH184*6)/EH182)</f>
        <v>0</v>
      </c>
      <c r="EI180" s="2846">
        <f>IF(EI182=0,0,(EI181*EI182+EI183*EI184*6)/EI182)</f>
        <v>0</v>
      </c>
      <c r="EJ180" s="1093">
        <f>IF(EH180=0,0,(EI180-EH180)/EH180*100)</f>
        <v>0</v>
      </c>
      <c r="EK180" s="2846">
        <f>IF(EK182=0,0,(EK181*EK182+EK183*EK184*6)/EK182)</f>
        <v>0</v>
      </c>
      <c r="EL180" s="2846">
        <f>IF(EL182=0,0,(EL181*EL182+EL183*EL184*6)/EL182)</f>
        <v>0</v>
      </c>
      <c r="EM180" s="1093">
        <f>IF(EK180=0,0,(EL180-EK180)/EK180*100)</f>
        <v>0</v>
      </c>
      <c r="EN180" s="2846">
        <f>IF(EN182=0,0,(EN181*EN182+EN183*EN184*6)/EN182)</f>
        <v>0</v>
      </c>
      <c r="EO180" s="2846">
        <f>IF(EO182=0,0,(EO181*EO182+EO183*EO184*6)/EO182)</f>
        <v>0</v>
      </c>
      <c r="EP180" s="1093">
        <f>IF(EN180=0,0,(EO180-EN180)/EN180*100)</f>
        <v>0</v>
      </c>
      <c r="EQ180" s="2846">
        <f>IF(EQ182=0,0,(EQ181*EQ182+EQ183*EQ184*6)/EQ182)</f>
        <v>0</v>
      </c>
      <c r="ER180" s="2846">
        <f>IF(ER182=0,0,(ER181*ER182+ER183*ER184*6)/ER182)</f>
        <v>0</v>
      </c>
      <c r="ES180" s="1093">
        <f>IF(EQ180=0,0,(ER180-EQ180)/EQ180*100)</f>
        <v>0</v>
      </c>
      <c r="ET180" s="2846">
        <f>IF(ET182=0,0,(ET181*ET182+ET183*ET184*6)/ET182)</f>
        <v>0</v>
      </c>
      <c r="EU180" s="2846">
        <f>IF(EU182=0,0,(EU181*EU182+EU183*EU184*6)/EU182)</f>
        <v>0</v>
      </c>
      <c r="EV180" s="1093">
        <f>IF(ET180=0,0,(EU180-ET180)/ET180*100)</f>
        <v>0</v>
      </c>
      <c r="EW180" s="2846">
        <f>IF(EW182=0,0,(EW181*EW182+EW183*EW184*6)/EW182)</f>
        <v>0</v>
      </c>
      <c r="EX180" s="2846">
        <f>IF(EX182=0,0,(EX181*EX182+EX183*EX184*6)/EX182)</f>
        <v>0</v>
      </c>
      <c r="EY180" s="1093">
        <f>IF(EW180=0,0,(EX180-EW180)/EW180*100)</f>
        <v>0</v>
      </c>
      <c r="EZ180" s="2846">
        <f>IF(EZ182=0,0,(EZ181*EZ182+EZ183*EZ184*6)/EZ182)</f>
        <v>0</v>
      </c>
      <c r="FA180" s="2846">
        <f>IF(FA182=0,0,(FA181*FA182+FA183*FA184*6)/FA182)</f>
        <v>0</v>
      </c>
      <c r="FB180" s="1093">
        <f>IF(EZ180=0,0,(FA180-EZ180)/EZ180*100)</f>
        <v>0</v>
      </c>
      <c r="FC180" s="2846">
        <f>IF(FC182=0,0,(FC181*FC182+FC183*FC184*6)/FC182)</f>
        <v>0</v>
      </c>
      <c r="FD180" s="2846">
        <f>IF(FD182=0,0,(FD181*FD182+FD183*FD184*6)/FD182)</f>
        <v>0</v>
      </c>
      <c r="FE180" s="1093">
        <f>IF(FC180=0,0,(FD180-FC180)/FC180*100)</f>
        <v>0</v>
      </c>
      <c r="FF180" s="2846">
        <f>IF(FF182=0,0,(FF181*FF182+FF183*FF184*6)/FF182)</f>
        <v>0</v>
      </c>
      <c r="FG180" s="2846">
        <f>IF(FG182=0,0,(FG181*FG182+FG183*FG184*6)/FG182)</f>
        <v>0</v>
      </c>
      <c r="FH180" s="1093">
        <f>IF(FF180=0,0,(FG180-FF180)/FF180*100)</f>
        <v>0</v>
      </c>
      <c r="FI180" s="2846">
        <f>IF(FI182=0,0,(FI181*FI182+FI183*FI184*6)/FI182)</f>
        <v>0</v>
      </c>
      <c r="FJ180" s="2846">
        <f>IF(FJ182=0,0,(FJ181*FJ182+FJ183*FJ184*6)/FJ182)</f>
        <v>0</v>
      </c>
      <c r="FK180" s="1093">
        <f>IF(FI180=0,0,(FJ180-FI180)/FI180*100)</f>
        <v>0</v>
      </c>
      <c r="FL180" s="2846">
        <f>IF(FL182=0,0,(FL181*FL182+FL183*FL184*6)/FL182)</f>
        <v>0</v>
      </c>
      <c r="FM180" s="2846">
        <f>IF(FM182=0,0,(FM181*FM182+FM183*FM184*6)/FM182)</f>
        <v>0</v>
      </c>
      <c r="FN180" s="1093">
        <f>IF(FL180=0,0,(FM180-FL180)/FL180*100)</f>
        <v>0</v>
      </c>
      <c r="FO180" s="2846">
        <f>IF(FO182=0,0,(FO181*FO182+FO183*FO184*6)/FO182)</f>
        <v>0</v>
      </c>
      <c r="FP180" s="2846">
        <f>IF(FP182=0,0,(FP181*FP182+FP183*FP184*6)/FP182)</f>
        <v>0</v>
      </c>
      <c r="FQ180" s="1093">
        <f>IF(FO180=0,0,(FP180-FO180)/FO180*100)</f>
        <v>0</v>
      </c>
      <c r="FR180" s="2846">
        <f>IF(FR182=0,0,(FR181*FR182+FR183*FR184*6)/FR182)</f>
        <v>0</v>
      </c>
      <c r="FS180" s="2846">
        <f>IF(FS182=0,0,(FS181*FS182+FS183*FS184*6)/FS182)</f>
        <v>0</v>
      </c>
      <c r="FT180" s="1093">
        <f>IF(FR180=0,0,(FS180-FR180)/FR180*100)</f>
        <v>0</v>
      </c>
      <c r="FU180" s="2846">
        <f>IF(FU182=0,0,(FU181*FU182+FU183*FU184*6)/FU182)</f>
        <v>0</v>
      </c>
      <c r="FV180" s="2846">
        <f>IF(FV182=0,0,(FV181*FV182+FV183*FV184*6)/FV182)</f>
        <v>0</v>
      </c>
      <c r="FW180" s="1093">
        <f>IF(FU180=0,0,(FV180-FU180)/FU180*100)</f>
        <v>0</v>
      </c>
      <c r="FX180" s="1304"/>
      <c r="FY180" s="1304"/>
      <c r="FZ180" s="1055" t="s">
        <v>2384</v>
      </c>
      <c r="GA180" s="1306"/>
      <c r="GB180" s="1306"/>
      <c r="GC180" s="1305"/>
      <c r="GD180" s="1305"/>
    </row>
    <row s="1834" customFormat="1" customHeight="1" ht="14.25" hidden="1">
      <c r="A181" s="493"/>
      <c r="B181" s="925" cm="1" t="str">
        <f t="array" ref="B181:B181">B180</f>
        <v>false</v>
      </c>
      <c r="C181" s="493"/>
      <c r="D181" s="493"/>
      <c r="E181" s="840">
        <v>15</v>
      </c>
      <c r="F181" s="50" cm="1" t="str">
        <f t="array" ref="F181:F181">OFFSET(E181,-1,1)</f>
        <v>2</v>
      </c>
      <c r="G181" s="493"/>
      <c r="H181" s="493" t="s">
        <v>2299</v>
      </c>
      <c r="I181" s="493" t="s">
        <v>2340</v>
      </c>
      <c r="J181" s="493"/>
      <c r="K181" s="493"/>
      <c r="L181" s="493"/>
      <c r="M181" s="493"/>
      <c r="N181" s="493"/>
      <c r="O181" s="493"/>
      <c r="P181" s="493"/>
      <c r="Q181" s="493"/>
      <c r="R181" s="493"/>
      <c r="S181" s="493"/>
      <c r="T181" s="465" cm="1" t="str">
        <f t="array" ref="T181:T181">T180</f>
        <v>true</v>
      </c>
      <c r="U181" s="493"/>
      <c r="V181" s="493"/>
      <c r="W181" s="493"/>
      <c r="X181" s="1596"/>
      <c r="Y181" s="493"/>
      <c r="Z181" s="1545"/>
      <c r="AA181" s="493"/>
      <c r="AB181" s="1091" t="str">
        <f>"ставка платы за "&amp;IF(Q155="Водоснабжение","потребление 1 куб.м холодной воды","объем принятых сточных вод")</f>
        <v>ставка платы за потребление 1 куб.м холодной воды</v>
      </c>
      <c r="AC181" s="864" t="s">
        <v>2337</v>
      </c>
      <c r="AD181" s="2846"/>
      <c r="AE181" s="2846"/>
      <c r="AF181" s="1093">
        <f>IF(AD181=0,0,(AE181-AD181)/AD181*100)</f>
        <v>0</v>
      </c>
      <c r="AG181" s="2846"/>
      <c r="AH181" s="2846"/>
      <c r="AI181" s="1093">
        <f>IF(AG181=0,0,(AH181-AG181)/AG181*100)</f>
        <v>0</v>
      </c>
      <c r="AJ181" s="2846"/>
      <c r="AK181" s="2846"/>
      <c r="AL181" s="1093">
        <f>IF(AJ181=0,0,(AK181-AJ181)/AJ181*100)</f>
        <v>0</v>
      </c>
      <c r="AM181" s="2846"/>
      <c r="AN181" s="2846"/>
      <c r="AO181" s="1093">
        <f>IF(AM181=0,0,(AN181-AM181)/AM181*100)</f>
        <v>0</v>
      </c>
      <c r="AP181" s="2846"/>
      <c r="AQ181" s="2846"/>
      <c r="AR181" s="1093">
        <f>IF(AP181=0,0,(AQ181-AP181)/AP181*100)</f>
        <v>0</v>
      </c>
      <c r="AS181" s="2846"/>
      <c r="AT181" s="2846"/>
      <c r="AU181" s="1093">
        <f>IF(AS181=0,0,(AT181-AS181)/AS181*100)</f>
        <v>0</v>
      </c>
      <c r="AV181" s="2846"/>
      <c r="AW181" s="2846"/>
      <c r="AX181" s="1093">
        <f>IF(AV181=0,0,(AW181-AV181)/AV181*100)</f>
        <v>0</v>
      </c>
      <c r="AY181" s="2846"/>
      <c r="AZ181" s="2846"/>
      <c r="BA181" s="1093">
        <f>IF(AY181=0,0,(AZ181-AY181)/AY181*100)</f>
        <v>0</v>
      </c>
      <c r="BB181" s="2846"/>
      <c r="BC181" s="2846"/>
      <c r="BD181" s="1093">
        <f>IF(BB181=0,0,(BC181-BB181)/BB181*100)</f>
        <v>0</v>
      </c>
      <c r="BE181" s="2846"/>
      <c r="BF181" s="2846"/>
      <c r="BG181" s="1093">
        <f>IF(BE181=0,0,(BF181-BE181)/BE181*100)</f>
        <v>0</v>
      </c>
      <c r="BH181" s="2846"/>
      <c r="BI181" s="2846"/>
      <c r="BJ181" s="1093">
        <f>IF(BH181=0,0,(BI181-BH181)/BH181*100)</f>
        <v>0</v>
      </c>
      <c r="BK181" s="2846"/>
      <c r="BL181" s="2846"/>
      <c r="BM181" s="1093">
        <f>IF(BK181=0,0,(BL181-BK181)/BK181*100)</f>
        <v>0</v>
      </c>
      <c r="BN181" s="2846"/>
      <c r="BO181" s="2846"/>
      <c r="BP181" s="1093">
        <f>IF(BN181=0,0,(BO181-BN181)/BN181*100)</f>
        <v>0</v>
      </c>
      <c r="BQ181" s="2846"/>
      <c r="BR181" s="2846"/>
      <c r="BS181" s="1093">
        <f>IF(BQ181=0,0,(BR181-BQ181)/BQ181*100)</f>
        <v>0</v>
      </c>
      <c r="BT181" s="2846"/>
      <c r="BU181" s="2846"/>
      <c r="BV181" s="1093">
        <f>IF(BT181=0,0,(BU181-BT181)/BT181*100)</f>
        <v>0</v>
      </c>
      <c r="BW181" s="2846"/>
      <c r="BX181" s="2846"/>
      <c r="BY181" s="1093">
        <f>IF(BW181=0,0,(BX181-BW181)/BW181*100)</f>
        <v>0</v>
      </c>
      <c r="BZ181" s="2846"/>
      <c r="CA181" s="2846"/>
      <c r="CB181" s="1093">
        <f>IF(BZ181=0,0,(CA181-BZ181)/BZ181*100)</f>
        <v>0</v>
      </c>
      <c r="CC181" s="2846"/>
      <c r="CD181" s="2846"/>
      <c r="CE181" s="1093">
        <f>IF(CC181=0,0,(CD181-CC181)/CC181*100)</f>
        <v>0</v>
      </c>
      <c r="CF181" s="2846"/>
      <c r="CG181" s="2846"/>
      <c r="CH181" s="1093">
        <f>IF(CF181=0,0,(CG181-CF181)/CF181*100)</f>
        <v>0</v>
      </c>
      <c r="CI181" s="2846"/>
      <c r="CJ181" s="2846"/>
      <c r="CK181" s="1093">
        <f>IF(CI181=0,0,(CJ181-CI181)/CI181*100)</f>
        <v>0</v>
      </c>
      <c r="CL181" s="2846"/>
      <c r="CM181" s="2846"/>
      <c r="CN181" s="1093">
        <f>IF(CL181=0,0,(CM181-CL181)/CL181*100)</f>
        <v>0</v>
      </c>
      <c r="CO181" s="2846"/>
      <c r="CP181" s="2846"/>
      <c r="CQ181" s="1093">
        <f>IF(CO181=0,0,(CP181-CO181)/CO181*100)</f>
        <v>0</v>
      </c>
      <c r="CR181" s="2846"/>
      <c r="CS181" s="2846"/>
      <c r="CT181" s="1093">
        <f>IF(CR181=0,0,(CS181-CR181)/CR181*100)</f>
        <v>0</v>
      </c>
      <c r="CU181" s="2846"/>
      <c r="CV181" s="2846"/>
      <c r="CW181" s="1093">
        <f>IF(CU181=0,0,(CV181-CU181)/CU181*100)</f>
        <v>0</v>
      </c>
      <c r="CX181" s="2846"/>
      <c r="CY181" s="2846"/>
      <c r="CZ181" s="1093">
        <f>IF(CX181=0,0,(CY181-CX181)/CX181*100)</f>
        <v>0</v>
      </c>
      <c r="DA181" s="2846"/>
      <c r="DB181" s="2846"/>
      <c r="DC181" s="1093">
        <f>IF(DA181=0,0,(DB181-DA181)/DA181*100)</f>
        <v>0</v>
      </c>
      <c r="DD181" s="2846"/>
      <c r="DE181" s="2846"/>
      <c r="DF181" s="1093">
        <f>IF(DD181=0,0,(DE181-DD181)/DD181*100)</f>
        <v>0</v>
      </c>
      <c r="DG181" s="2846"/>
      <c r="DH181" s="2846"/>
      <c r="DI181" s="1093">
        <f>IF(DG181=0,0,(DH181-DG181)/DG181*100)</f>
        <v>0</v>
      </c>
      <c r="DJ181" s="2846"/>
      <c r="DK181" s="2846"/>
      <c r="DL181" s="1093">
        <f>IF(DJ181=0,0,(DK181-DJ181)/DJ181*100)</f>
        <v>0</v>
      </c>
      <c r="DM181" s="2846"/>
      <c r="DN181" s="2846"/>
      <c r="DO181" s="1093">
        <f>IF(DM181=0,0,(DN181-DM181)/DM181*100)</f>
        <v>0</v>
      </c>
      <c r="DP181" s="2846"/>
      <c r="DQ181" s="2846"/>
      <c r="DR181" s="1093">
        <f>IF(DP181=0,0,(DQ181-DP181)/DP181*100)</f>
        <v>0</v>
      </c>
      <c r="DS181" s="2846"/>
      <c r="DT181" s="2846"/>
      <c r="DU181" s="1093">
        <f>IF(DS181=0,0,(DT181-DS181)/DS181*100)</f>
        <v>0</v>
      </c>
      <c r="DV181" s="2846"/>
      <c r="DW181" s="2846"/>
      <c r="DX181" s="1093">
        <f>IF(DV181=0,0,(DW181-DV181)/DV181*100)</f>
        <v>0</v>
      </c>
      <c r="DY181" s="2846"/>
      <c r="DZ181" s="2846"/>
      <c r="EA181" s="1093">
        <f>IF(DY181=0,0,(DZ181-DY181)/DY181*100)</f>
        <v>0</v>
      </c>
      <c r="EB181" s="2846"/>
      <c r="EC181" s="2846"/>
      <c r="ED181" s="1093">
        <f>IF(EB181=0,0,(EC181-EB181)/EB181*100)</f>
        <v>0</v>
      </c>
      <c r="EE181" s="2846"/>
      <c r="EF181" s="2846"/>
      <c r="EG181" s="1093">
        <f>IF(EE181=0,0,(EF181-EE181)/EE181*100)</f>
        <v>0</v>
      </c>
      <c r="EH181" s="2846"/>
      <c r="EI181" s="2846"/>
      <c r="EJ181" s="1093">
        <f>IF(EH181=0,0,(EI181-EH181)/EH181*100)</f>
        <v>0</v>
      </c>
      <c r="EK181" s="2846"/>
      <c r="EL181" s="2846"/>
      <c r="EM181" s="1093">
        <f>IF(EK181=0,0,(EL181-EK181)/EK181*100)</f>
        <v>0</v>
      </c>
      <c r="EN181" s="2846"/>
      <c r="EO181" s="2846"/>
      <c r="EP181" s="1093">
        <f>IF(EN181=0,0,(EO181-EN181)/EN181*100)</f>
        <v>0</v>
      </c>
      <c r="EQ181" s="2846"/>
      <c r="ER181" s="2846"/>
      <c r="ES181" s="1093">
        <f>IF(EQ181=0,0,(ER181-EQ181)/EQ181*100)</f>
        <v>0</v>
      </c>
      <c r="ET181" s="2846"/>
      <c r="EU181" s="2846"/>
      <c r="EV181" s="1093">
        <f>IF(ET181=0,0,(EU181-ET181)/ET181*100)</f>
        <v>0</v>
      </c>
      <c r="EW181" s="2846"/>
      <c r="EX181" s="2846"/>
      <c r="EY181" s="1093">
        <f>IF(EW181=0,0,(EX181-EW181)/EW181*100)</f>
        <v>0</v>
      </c>
      <c r="EZ181" s="2846"/>
      <c r="FA181" s="2846"/>
      <c r="FB181" s="1093">
        <f>IF(EZ181=0,0,(FA181-EZ181)/EZ181*100)</f>
        <v>0</v>
      </c>
      <c r="FC181" s="2846"/>
      <c r="FD181" s="2846"/>
      <c r="FE181" s="1093">
        <f>IF(FC181=0,0,(FD181-FC181)/FC181*100)</f>
        <v>0</v>
      </c>
      <c r="FF181" s="2846"/>
      <c r="FG181" s="2846"/>
      <c r="FH181" s="1093">
        <f>IF(FF181=0,0,(FG181-FF181)/FF181*100)</f>
        <v>0</v>
      </c>
      <c r="FI181" s="2846"/>
      <c r="FJ181" s="2846"/>
      <c r="FK181" s="1093">
        <f>IF(FI181=0,0,(FJ181-FI181)/FI181*100)</f>
        <v>0</v>
      </c>
      <c r="FL181" s="2846"/>
      <c r="FM181" s="2846"/>
      <c r="FN181" s="1093">
        <f>IF(FL181=0,0,(FM181-FL181)/FL181*100)</f>
        <v>0</v>
      </c>
      <c r="FO181" s="2846"/>
      <c r="FP181" s="2846"/>
      <c r="FQ181" s="1093">
        <f>IF(FO181=0,0,(FP181-FO181)/FO181*100)</f>
        <v>0</v>
      </c>
      <c r="FR181" s="2846"/>
      <c r="FS181" s="2846"/>
      <c r="FT181" s="1093">
        <f>IF(FR181=0,0,(FS181-FR181)/FR181*100)</f>
        <v>0</v>
      </c>
      <c r="FU181" s="2846"/>
      <c r="FV181" s="2846"/>
      <c r="FW181" s="1093">
        <f>IF(FU181=0,0,(FV181-FU181)/FU181*100)</f>
        <v>0</v>
      </c>
      <c r="FX181" s="1304"/>
      <c r="FY181" s="1304"/>
      <c r="FZ181" s="1055" t="s">
        <v>2385</v>
      </c>
      <c r="GA181" s="1306"/>
      <c r="GB181" s="1306"/>
      <c r="GC181" s="1305"/>
      <c r="GD181" s="1305"/>
    </row>
    <row s="1834" customFormat="1" customHeight="1" ht="14.25" hidden="1">
      <c r="A182" s="493"/>
      <c r="B182" s="925" cm="1" t="str">
        <f t="array" ref="B182:B182">B181</f>
        <v>false</v>
      </c>
      <c r="C182" s="493"/>
      <c r="D182" s="493"/>
      <c r="E182" s="840">
        <v>15</v>
      </c>
      <c r="F182" s="50" cm="1" t="str">
        <f t="array" ref="F182:F182">OFFSET(E182,-1,1)</f>
        <v>2</v>
      </c>
      <c r="G182" s="107" t="s">
        <v>2386</v>
      </c>
      <c r="H182" s="493" t="s">
        <v>2374</v>
      </c>
      <c r="I182" s="493" t="s">
        <v>2340</v>
      </c>
      <c r="J182" s="493"/>
      <c r="K182" s="493"/>
      <c r="L182" s="493"/>
      <c r="M182" s="493"/>
      <c r="N182" s="493"/>
      <c r="O182" s="493"/>
      <c r="P182" s="493"/>
      <c r="Q182" s="493"/>
      <c r="R182" s="493"/>
      <c r="S182" s="493"/>
      <c r="T182" s="465" cm="1" t="str">
        <f t="array" ref="T182:T182">T181</f>
        <v>true</v>
      </c>
      <c r="U182" s="493"/>
      <c r="V182" s="493"/>
      <c r="W182" s="493"/>
      <c r="X182" s="1596"/>
      <c r="Y182" s="493"/>
      <c r="Z182" s="1545"/>
      <c r="AA182" s="493"/>
      <c r="AB182" s="1091" t="str">
        <f>"объём "&amp;IF(Q155="Водоснабжение","потребления холодной воды","водоотведения")</f>
        <v>объём потребления холодной воды</v>
      </c>
      <c r="AC182" s="864" t="s">
        <v>1247</v>
      </c>
      <c r="AD182" s="5247">
        <f>IF(AND(method_reg="Метод индексации",god&lt;&gt;first_year),_xlfn.SUMIFS(INDEX('Калькуляция (МИ корр)'!$AJ$25:$BC$747,,MATCH(AD$8,'Калькуляция (МИ корр)'!$AJ$8:$BC$8,0)),'Калькуляция (МИ корр)'!$F$25:$F$747,$F182,'Калькуляция (МИ корр)'!$G$25:$G$747,$G182),IF(method_reg="Метод экономически обоснованных расходов",_xlfn.SUMIFS('Калькуляция (МЭОР)'!$AJ$25:$AJ$452,'Калькуляция (МЭОР)'!$F$25:$F$452,$F182,'Калькуляция (МЭОР)'!$G$25:$G$452,$G182),IF(method_reg="Метод сравнения аналогов",_xlfn.SUMIFS('Калькуляция (МСА)'!$AE$25:$AE$122,'Калькуляция (МСА)'!$F$25:$F$122,$F182,'Калькуляция (МСА)'!$G$25:$G$122,$G182),_xlfn.SUMIFS(INDEX('Калькуляция (МИ)'!$AJ$25:$BC$747,,MATCH(AD$8,'Калькуляция (МИ)'!$AJ$8:$BC$8,0)),'Калькуляция (МИ)'!$F$25:$F$747,$F182,'Калькуляция (МИ)'!$G$25:$G$747,$G182))))</f>
        <v>272.8072025</v>
      </c>
      <c r="AE182" s="5247">
        <f>IF(AND(method_reg="Метод индексации",god&lt;&gt;first_year),_xlfn.SUMIFS(INDEX('Калькуляция (МИ корр)'!$AJ$25:$BC$747,,MATCH(AE$8,'Калькуляция (МИ корр)'!$AJ$8:$BC$8,0)),'Калькуляция (МИ корр)'!$F$25:$F$747,$F182,'Калькуляция (МИ корр)'!$G$25:$G$747,$G182),IF(method_reg="Метод экономически обоснованных расходов",_xlfn.SUMIFS('Калькуляция (МЭОР)'!$AK$25:$AK$452,'Калькуляция (МЭОР)'!$F$25:$F$452,$F182,'Калькуляция (МЭОР)'!$G$25:$G$452,$G182),IF(method_reg="Метод сравнения аналогов",_xlfn.SUMIFS('Калькуляция (МСА)'!$AF$25:$AF$122,'Калькуляция (МСА)'!$F$25:$F$122,$F182,'Калькуляция (МСА)'!$G$25:$G$122,$G182),_xlfn.SUMIFS(INDEX('Калькуляция (МИ)'!$AJ$25:$BC$747,,MATCH(AE$8,'Калькуляция (МИ)'!$AJ$8:$BC$8,0)),'Калькуляция (МИ)'!$F$25:$F$747,$F182,'Калькуляция (МИ)'!$G$25:$G$747,$G182))))</f>
        <v>272.8072025</v>
      </c>
      <c r="AF182" s="1095">
        <f>IF(AD182=0,0,(AE182-AD182)/AD182*100)</f>
        <v>0</v>
      </c>
      <c r="AG182" s="5247">
        <f>IF(AND(method_reg="Метод индексации",god&lt;&gt;first_year),_xlfn.SUMIFS(INDEX('Калькуляция (МИ корр)'!$AJ$25:$BC$747,,MATCH(AG$8,'Калькуляция (МИ корр)'!$AJ$8:$BC$8,0)),'Калькуляция (МИ корр)'!$F$25:$F$747,$F182,'Калькуляция (МИ корр)'!$G$25:$G$747,$G182),IF(method_reg="Метод экономически обоснованных расходов",_xlfn.SUMIFS('Калькуляция (МЭОР)'!$AJ$25:$AJ$452,'Калькуляция (МЭОР)'!$F$25:$F$452,$F182,'Калькуляция (МЭОР)'!$G$25:$G$452,$G182),IF(method_reg="Метод сравнения аналогов",_xlfn.SUMIFS('Калькуляция (МСА)'!$AE$25:$AE$122,'Калькуляция (МСА)'!$F$25:$F$122,$F182,'Калькуляция (МСА)'!$G$25:$G$122,$G182),_xlfn.SUMIFS(INDEX('Калькуляция (МИ)'!$AJ$25:$BC$747,,MATCH(AG$8,'Калькуляция (МИ)'!$AJ$8:$BC$8,0)),'Калькуляция (МИ)'!$F$25:$F$747,$F182,'Калькуляция (МИ)'!$G$25:$G$747,$G182))))</f>
        <v>545.614405</v>
      </c>
      <c r="AH182" s="5247">
        <f>IF(AND(method_reg="Метод индексации",god&lt;&gt;first_year),_xlfn.SUMIFS(INDEX('Калькуляция (МИ корр)'!$AJ$25:$BC$747,,MATCH(AH$8,'Калькуляция (МИ корр)'!$AJ$8:$BC$8,0)),'Калькуляция (МИ корр)'!$F$25:$F$747,$F182,'Калькуляция (МИ корр)'!$G$25:$G$747,$G182),IF(method_reg="Метод экономически обоснованных расходов",_xlfn.SUMIFS('Калькуляция (МЭОР)'!$AK$25:$AK$452,'Калькуляция (МЭОР)'!$F$25:$F$452,$F182,'Калькуляция (МЭОР)'!$G$25:$G$452,$G182),IF(method_reg="Метод сравнения аналогов",_xlfn.SUMIFS('Калькуляция (МСА)'!$AF$25:$AF$122,'Калькуляция (МСА)'!$F$25:$F$122,$F182,'Калькуляция (МСА)'!$G$25:$G$122,$G182),_xlfn.SUMIFS(INDEX('Калькуляция (МИ)'!$AJ$25:$BC$747,,MATCH(AH$8,'Калькуляция (МИ)'!$AJ$8:$BC$8,0)),'Калькуляция (МИ)'!$F$25:$F$747,$F182,'Калькуляция (МИ)'!$G$25:$G$747,$G182))))</f>
        <v>545.614405</v>
      </c>
      <c r="AI182" s="1095">
        <f>IF(AG182=0,0,(AH182-AG182)/AG182*100)</f>
        <v>0</v>
      </c>
      <c r="AJ182" s="5247">
        <f>IF(AND(method_reg="Метод индексации",god&lt;&gt;first_year),_xlfn.SUMIFS(INDEX('Калькуляция (МИ корр)'!$AJ$25:$BC$747,,MATCH(AJ$8,'Калькуляция (МИ корр)'!$AJ$8:$BC$8,0)),'Калькуляция (МИ корр)'!$F$25:$F$747,$F182,'Калькуляция (МИ корр)'!$G$25:$G$747,$G182),IF(method_reg="Метод экономически обоснованных расходов",_xlfn.SUMIFS('Калькуляция (МЭОР)'!$AJ$25:$AJ$452,'Калькуляция (МЭОР)'!$F$25:$F$452,$F182,'Калькуляция (МЭОР)'!$G$25:$G$452,$G182),IF(method_reg="Метод сравнения аналогов",_xlfn.SUMIFS('Калькуляция (МСА)'!$AE$25:$AE$122,'Калькуляция (МСА)'!$F$25:$F$122,$F182,'Калькуляция (МСА)'!$G$25:$G$122,$G182),_xlfn.SUMIFS(INDEX('Калькуляция (МИ)'!$AJ$25:$BC$747,,MATCH(AJ$8,'Калькуляция (МИ)'!$AJ$8:$BC$8,0)),'Калькуляция (МИ)'!$F$25:$F$747,$F182,'Калькуляция (МИ)'!$G$25:$G$747,$G182))))</f>
        <v>545.614405</v>
      </c>
      <c r="AK182" s="5247">
        <f>IF(AND(method_reg="Метод индексации",god&lt;&gt;first_year),_xlfn.SUMIFS(INDEX('Калькуляция (МИ корр)'!$AJ$25:$BC$747,,MATCH(AK$8,'Калькуляция (МИ корр)'!$AJ$8:$BC$8,0)),'Калькуляция (МИ корр)'!$F$25:$F$747,$F182,'Калькуляция (МИ корр)'!$G$25:$G$747,$G182),IF(method_reg="Метод экономически обоснованных расходов",_xlfn.SUMIFS('Калькуляция (МЭОР)'!$AK$25:$AK$452,'Калькуляция (МЭОР)'!$F$25:$F$452,$F182,'Калькуляция (МЭОР)'!$G$25:$G$452,$G182),IF(method_reg="Метод сравнения аналогов",_xlfn.SUMIFS('Калькуляция (МСА)'!$AF$25:$AF$122,'Калькуляция (МСА)'!$F$25:$F$122,$F182,'Калькуляция (МСА)'!$G$25:$G$122,$G182),_xlfn.SUMIFS(INDEX('Калькуляция (МИ)'!$AJ$25:$BC$747,,MATCH(AK$8,'Калькуляция (МИ)'!$AJ$8:$BC$8,0)),'Калькуляция (МИ)'!$F$25:$F$747,$F182,'Калькуляция (МИ)'!$G$25:$G$747,$G182))))</f>
        <v>545.614405</v>
      </c>
      <c r="AL182" s="1095">
        <f>IF(AJ182=0,0,(AK182-AJ182)/AJ182*100)</f>
        <v>0</v>
      </c>
      <c r="AM182" s="5247">
        <f>IF(AND(method_reg="Метод индексации",god&lt;&gt;first_year),_xlfn.SUMIFS(INDEX('Калькуляция (МИ корр)'!$AJ$25:$BC$747,,MATCH(AM$8,'Калькуляция (МИ корр)'!$AJ$8:$BC$8,0)),'Калькуляция (МИ корр)'!$F$25:$F$747,$F182,'Калькуляция (МИ корр)'!$G$25:$G$747,$G182),IF(method_reg="Метод экономически обоснованных расходов",_xlfn.SUMIFS('Калькуляция (МЭОР)'!$AJ$25:$AJ$452,'Калькуляция (МЭОР)'!$F$25:$F$452,$F182,'Калькуляция (МЭОР)'!$G$25:$G$452,$G182),IF(method_reg="Метод сравнения аналогов",_xlfn.SUMIFS('Калькуляция (МСА)'!$AE$25:$AE$122,'Калькуляция (МСА)'!$F$25:$F$122,$F182,'Калькуляция (МСА)'!$G$25:$G$122,$G182),_xlfn.SUMIFS(INDEX('Калькуляция (МИ)'!$AJ$25:$BC$747,,MATCH(AM$8,'Калькуляция (МИ)'!$AJ$8:$BC$8,0)),'Калькуляция (МИ)'!$F$25:$F$747,$F182,'Калькуляция (МИ)'!$G$25:$G$747,$G182))))</f>
        <v>545.614405</v>
      </c>
      <c r="AN182" s="5247">
        <f>IF(AND(method_reg="Метод индексации",god&lt;&gt;first_year),_xlfn.SUMIFS(INDEX('Калькуляция (МИ корр)'!$AJ$25:$BC$747,,MATCH(AN$8,'Калькуляция (МИ корр)'!$AJ$8:$BC$8,0)),'Калькуляция (МИ корр)'!$F$25:$F$747,$F182,'Калькуляция (МИ корр)'!$G$25:$G$747,$G182),IF(method_reg="Метод экономически обоснованных расходов",_xlfn.SUMIFS('Калькуляция (МЭОР)'!$AK$25:$AK$452,'Калькуляция (МЭОР)'!$F$25:$F$452,$F182,'Калькуляция (МЭОР)'!$G$25:$G$452,$G182),IF(method_reg="Метод сравнения аналогов",_xlfn.SUMIFS('Калькуляция (МСА)'!$AF$25:$AF$122,'Калькуляция (МСА)'!$F$25:$F$122,$F182,'Калькуляция (МСА)'!$G$25:$G$122,$G182),_xlfn.SUMIFS(INDEX('Калькуляция (МИ)'!$AJ$25:$BC$747,,MATCH(AN$8,'Калькуляция (МИ)'!$AJ$8:$BC$8,0)),'Калькуляция (МИ)'!$F$25:$F$747,$F182,'Калькуляция (МИ)'!$G$25:$G$747,$G182))))</f>
        <v>545.614405</v>
      </c>
      <c r="AO182" s="1095">
        <f>IF(AM182=0,0,(AN182-AM182)/AM182*100)</f>
        <v>0</v>
      </c>
      <c r="AP182" s="5247">
        <f>IF(AND(method_reg="Метод индексации",god&lt;&gt;first_year),_xlfn.SUMIFS(INDEX('Калькуляция (МИ корр)'!$AJ$25:$BC$747,,MATCH(AP$8,'Калькуляция (МИ корр)'!$AJ$8:$BC$8,0)),'Калькуляция (МИ корр)'!$F$25:$F$747,$F182,'Калькуляция (МИ корр)'!$G$25:$G$747,$G182),IF(method_reg="Метод экономически обоснованных расходов",_xlfn.SUMIFS('Калькуляция (МЭОР)'!$AJ$25:$AJ$452,'Калькуляция (МЭОР)'!$F$25:$F$452,$F182,'Калькуляция (МЭОР)'!$G$25:$G$452,$G182),IF(method_reg="Метод сравнения аналогов",_xlfn.SUMIFS('Калькуляция (МСА)'!$AE$25:$AE$122,'Калькуляция (МСА)'!$F$25:$F$122,$F182,'Калькуляция (МСА)'!$G$25:$G$122,$G182),_xlfn.SUMIFS(INDEX('Калькуляция (МИ)'!$AJ$25:$BC$747,,MATCH(AP$8,'Калькуляция (МИ)'!$AJ$8:$BC$8,0)),'Калькуляция (МИ)'!$F$25:$F$747,$F182,'Калькуляция (МИ)'!$G$25:$G$747,$G182))))</f>
        <v>545.614405</v>
      </c>
      <c r="AQ182" s="5247">
        <f>IF(AND(method_reg="Метод индексации",god&lt;&gt;first_year),_xlfn.SUMIFS(INDEX('Калькуляция (МИ корр)'!$AJ$25:$BC$747,,MATCH(AQ$8,'Калькуляция (МИ корр)'!$AJ$8:$BC$8,0)),'Калькуляция (МИ корр)'!$F$25:$F$747,$F182,'Калькуляция (МИ корр)'!$G$25:$G$747,$G182),IF(method_reg="Метод экономически обоснованных расходов",_xlfn.SUMIFS('Калькуляция (МЭОР)'!$AK$25:$AK$452,'Калькуляция (МЭОР)'!$F$25:$F$452,$F182,'Калькуляция (МЭОР)'!$G$25:$G$452,$G182),IF(method_reg="Метод сравнения аналогов",_xlfn.SUMIFS('Калькуляция (МСА)'!$AF$25:$AF$122,'Калькуляция (МСА)'!$F$25:$F$122,$F182,'Калькуляция (МСА)'!$G$25:$G$122,$G182),_xlfn.SUMIFS(INDEX('Калькуляция (МИ)'!$AJ$25:$BC$747,,MATCH(AQ$8,'Калькуляция (МИ)'!$AJ$8:$BC$8,0)),'Калькуляция (МИ)'!$F$25:$F$747,$F182,'Калькуляция (МИ)'!$G$25:$G$747,$G182))))</f>
        <v>545.614405</v>
      </c>
      <c r="AR182" s="1095">
        <f>IF(AP182=0,0,(AQ182-AP182)/AP182*100)</f>
        <v>0</v>
      </c>
      <c r="AS182" s="5247">
        <f>IF(AND(method_reg="Метод индексации",god&lt;&gt;first_year),_xlfn.SUMIFS(INDEX('Калькуляция (МИ корр)'!$AJ$25:$BC$747,,MATCH(AS$8,'Калькуляция (МИ корр)'!$AJ$8:$BC$8,0)),'Калькуляция (МИ корр)'!$F$25:$F$747,$F182,'Калькуляция (МИ корр)'!$G$25:$G$747,$G182),IF(method_reg="Метод экономически обоснованных расходов",_xlfn.SUMIFS('Калькуляция (МЭОР)'!$AJ$25:$AJ$452,'Калькуляция (МЭОР)'!$F$25:$F$452,$F182,'Калькуляция (МЭОР)'!$G$25:$G$452,$G182),IF(method_reg="Метод сравнения аналогов",_xlfn.SUMIFS('Калькуляция (МСА)'!$AE$25:$AE$122,'Калькуляция (МСА)'!$F$25:$F$122,$F182,'Калькуляция (МСА)'!$G$25:$G$122,$G182),_xlfn.SUMIFS(INDEX('Калькуляция (МИ)'!$AJ$25:$BC$747,,MATCH(AS$8,'Калькуляция (МИ)'!$AJ$8:$BC$8,0)),'Калькуляция (МИ)'!$F$25:$F$747,$F182,'Калькуляция (МИ)'!$G$25:$G$747,$G182))))</f>
        <v>0</v>
      </c>
      <c r="AT182" s="5247">
        <f>IF(AND(method_reg="Метод индексации",god&lt;&gt;first_year),_xlfn.SUMIFS(INDEX('Калькуляция (МИ корр)'!$AJ$25:$BC$747,,MATCH(AT$8,'Калькуляция (МИ корр)'!$AJ$8:$BC$8,0)),'Калькуляция (МИ корр)'!$F$25:$F$747,$F182,'Калькуляция (МИ корр)'!$G$25:$G$747,$G182),IF(method_reg="Метод экономически обоснованных расходов",_xlfn.SUMIFS('Калькуляция (МЭОР)'!$AK$25:$AK$452,'Калькуляция (МЭОР)'!$F$25:$F$452,$F182,'Калькуляция (МЭОР)'!$G$25:$G$452,$G182),IF(method_reg="Метод сравнения аналогов",_xlfn.SUMIFS('Калькуляция (МСА)'!$AF$25:$AF$122,'Калькуляция (МСА)'!$F$25:$F$122,$F182,'Калькуляция (МСА)'!$G$25:$G$122,$G182),_xlfn.SUMIFS(INDEX('Калькуляция (МИ)'!$AJ$25:$BC$747,,MATCH(AT$8,'Калькуляция (МИ)'!$AJ$8:$BC$8,0)),'Калькуляция (МИ)'!$F$25:$F$747,$F182,'Калькуляция (МИ)'!$G$25:$G$747,$G182))))</f>
        <v>0</v>
      </c>
      <c r="AU182" s="1095">
        <f>IF(AS182=0,0,(AT182-AS182)/AS182*100)</f>
        <v>0</v>
      </c>
      <c r="AV182" s="5247">
        <f>IF(AND(method_reg="Метод индексации",god&lt;&gt;first_year),_xlfn.SUMIFS(INDEX('Калькуляция (МИ корр)'!$AJ$25:$BC$747,,MATCH(AV$8,'Калькуляция (МИ корр)'!$AJ$8:$BC$8,0)),'Калькуляция (МИ корр)'!$F$25:$F$747,$F182,'Калькуляция (МИ корр)'!$G$25:$G$747,$G182),IF(method_reg="Метод экономически обоснованных расходов",_xlfn.SUMIFS('Калькуляция (МЭОР)'!$AJ$25:$AJ$452,'Калькуляция (МЭОР)'!$F$25:$F$452,$F182,'Калькуляция (МЭОР)'!$G$25:$G$452,$G182),IF(method_reg="Метод сравнения аналогов",_xlfn.SUMIFS('Калькуляция (МСА)'!$AE$25:$AE$122,'Калькуляция (МСА)'!$F$25:$F$122,$F182,'Калькуляция (МСА)'!$G$25:$G$122,$G182),_xlfn.SUMIFS(INDEX('Калькуляция (МИ)'!$AJ$25:$BC$747,,MATCH(AV$8,'Калькуляция (МИ)'!$AJ$8:$BC$8,0)),'Калькуляция (МИ)'!$F$25:$F$747,$F182,'Калькуляция (МИ)'!$G$25:$G$747,$G182))))</f>
        <v>0</v>
      </c>
      <c r="AW182" s="5247">
        <f>IF(AND(method_reg="Метод индексации",god&lt;&gt;first_year),_xlfn.SUMIFS(INDEX('Калькуляция (МИ корр)'!$AJ$25:$BC$747,,MATCH(AW$8,'Калькуляция (МИ корр)'!$AJ$8:$BC$8,0)),'Калькуляция (МИ корр)'!$F$25:$F$747,$F182,'Калькуляция (МИ корр)'!$G$25:$G$747,$G182),IF(method_reg="Метод экономически обоснованных расходов",_xlfn.SUMIFS('Калькуляция (МЭОР)'!$AK$25:$AK$452,'Калькуляция (МЭОР)'!$F$25:$F$452,$F182,'Калькуляция (МЭОР)'!$G$25:$G$452,$G182),IF(method_reg="Метод сравнения аналогов",_xlfn.SUMIFS('Калькуляция (МСА)'!$AF$25:$AF$122,'Калькуляция (МСА)'!$F$25:$F$122,$F182,'Калькуляция (МСА)'!$G$25:$G$122,$G182),_xlfn.SUMIFS(INDEX('Калькуляция (МИ)'!$AJ$25:$BC$747,,MATCH(AW$8,'Калькуляция (МИ)'!$AJ$8:$BC$8,0)),'Калькуляция (МИ)'!$F$25:$F$747,$F182,'Калькуляция (МИ)'!$G$25:$G$747,$G182))))</f>
        <v>0</v>
      </c>
      <c r="AX182" s="1095">
        <f>IF(AV182=0,0,(AW182-AV182)/AV182*100)</f>
        <v>0</v>
      </c>
      <c r="AY182" s="5247">
        <f>IF(AND(method_reg="Метод индексации",god&lt;&gt;first_year),_xlfn.SUMIFS(INDEX('Калькуляция (МИ корр)'!$AJ$25:$BC$747,,MATCH(AY$8,'Калькуляция (МИ корр)'!$AJ$8:$BC$8,0)),'Калькуляция (МИ корр)'!$F$25:$F$747,$F182,'Калькуляция (МИ корр)'!$G$25:$G$747,$G182),IF(method_reg="Метод экономически обоснованных расходов",_xlfn.SUMIFS('Калькуляция (МЭОР)'!$AJ$25:$AJ$452,'Калькуляция (МЭОР)'!$F$25:$F$452,$F182,'Калькуляция (МЭОР)'!$G$25:$G$452,$G182),IF(method_reg="Метод сравнения аналогов",_xlfn.SUMIFS('Калькуляция (МСА)'!$AE$25:$AE$122,'Калькуляция (МСА)'!$F$25:$F$122,$F182,'Калькуляция (МСА)'!$G$25:$G$122,$G182),_xlfn.SUMIFS(INDEX('Калькуляция (МИ)'!$AJ$25:$BC$747,,MATCH(AY$8,'Калькуляция (МИ)'!$AJ$8:$BC$8,0)),'Калькуляция (МИ)'!$F$25:$F$747,$F182,'Калькуляция (МИ)'!$G$25:$G$747,$G182))))</f>
        <v>0</v>
      </c>
      <c r="AZ182" s="5247">
        <f>IF(AND(method_reg="Метод индексации",god&lt;&gt;first_year),_xlfn.SUMIFS(INDEX('Калькуляция (МИ корр)'!$AJ$25:$BC$747,,MATCH(AZ$8,'Калькуляция (МИ корр)'!$AJ$8:$BC$8,0)),'Калькуляция (МИ корр)'!$F$25:$F$747,$F182,'Калькуляция (МИ корр)'!$G$25:$G$747,$G182),IF(method_reg="Метод экономически обоснованных расходов",_xlfn.SUMIFS('Калькуляция (МЭОР)'!$AK$25:$AK$452,'Калькуляция (МЭОР)'!$F$25:$F$452,$F182,'Калькуляция (МЭОР)'!$G$25:$G$452,$G182),IF(method_reg="Метод сравнения аналогов",_xlfn.SUMIFS('Калькуляция (МСА)'!$AF$25:$AF$122,'Калькуляция (МСА)'!$F$25:$F$122,$F182,'Калькуляция (МСА)'!$G$25:$G$122,$G182),_xlfn.SUMIFS(INDEX('Калькуляция (МИ)'!$AJ$25:$BC$747,,MATCH(AZ$8,'Калькуляция (МИ)'!$AJ$8:$BC$8,0)),'Калькуляция (МИ)'!$F$25:$F$747,$F182,'Калькуляция (МИ)'!$G$25:$G$747,$G182))))</f>
        <v>0</v>
      </c>
      <c r="BA182" s="1095">
        <f>IF(AY182=0,0,(AZ182-AY182)/AY182*100)</f>
        <v>0</v>
      </c>
      <c r="BB182" s="5247">
        <f>IF(AND(method_reg="Метод индексации",god&lt;&gt;first_year),_xlfn.SUMIFS(INDEX('Калькуляция (МИ корр)'!$AJ$25:$BC$747,,MATCH(BB$8,'Калькуляция (МИ корр)'!$AJ$8:$BC$8,0)),'Калькуляция (МИ корр)'!$F$25:$F$747,$F182,'Калькуляция (МИ корр)'!$G$25:$G$747,$G182),IF(method_reg="Метод экономически обоснованных расходов",_xlfn.SUMIFS('Калькуляция (МЭОР)'!$AJ$25:$AJ$452,'Калькуляция (МЭОР)'!$F$25:$F$452,$F182,'Калькуляция (МЭОР)'!$G$25:$G$452,$G182),IF(method_reg="Метод сравнения аналогов",_xlfn.SUMIFS('Калькуляция (МСА)'!$AE$25:$AE$122,'Калькуляция (МСА)'!$F$25:$F$122,$F182,'Калькуляция (МСА)'!$G$25:$G$122,$G182),_xlfn.SUMIFS(INDEX('Калькуляция (МИ)'!$AJ$25:$BC$747,,MATCH(BB$8,'Калькуляция (МИ)'!$AJ$8:$BC$8,0)),'Калькуляция (МИ)'!$F$25:$F$747,$F182,'Калькуляция (МИ)'!$G$25:$G$747,$G182))))</f>
        <v>0</v>
      </c>
      <c r="BC182" s="5247">
        <f>IF(AND(method_reg="Метод индексации",god&lt;&gt;first_year),_xlfn.SUMIFS(INDEX('Калькуляция (МИ корр)'!$AJ$25:$BC$747,,MATCH(BC$8,'Калькуляция (МИ корр)'!$AJ$8:$BC$8,0)),'Калькуляция (МИ корр)'!$F$25:$F$747,$F182,'Калькуляция (МИ корр)'!$G$25:$G$747,$G182),IF(method_reg="Метод экономически обоснованных расходов",_xlfn.SUMIFS('Калькуляция (МЭОР)'!$AK$25:$AK$452,'Калькуляция (МЭОР)'!$F$25:$F$452,$F182,'Калькуляция (МЭОР)'!$G$25:$G$452,$G182),IF(method_reg="Метод сравнения аналогов",_xlfn.SUMIFS('Калькуляция (МСА)'!$AF$25:$AF$122,'Калькуляция (МСА)'!$F$25:$F$122,$F182,'Калькуляция (МСА)'!$G$25:$G$122,$G182),_xlfn.SUMIFS(INDEX('Калькуляция (МИ)'!$AJ$25:$BC$747,,MATCH(BC$8,'Калькуляция (МИ)'!$AJ$8:$BC$8,0)),'Калькуляция (МИ)'!$F$25:$F$747,$F182,'Калькуляция (МИ)'!$G$25:$G$747,$G182))))</f>
        <v>0</v>
      </c>
      <c r="BD182" s="1095">
        <f>IF(BB182=0,0,(BC182-BB182)/BB182*100)</f>
        <v>0</v>
      </c>
      <c r="BE182" s="5247">
        <f>IF(AND(method_reg="Метод индексации",god&lt;&gt;first_year),_xlfn.SUMIFS(INDEX('Калькуляция (МИ корр)'!$AJ$25:$BC$747,,MATCH(BE$8,'Калькуляция (МИ корр)'!$AJ$8:$BC$8,0)),'Калькуляция (МИ корр)'!$F$25:$F$747,$F182,'Калькуляция (МИ корр)'!$G$25:$G$747,$G182),IF(method_reg="Метод экономически обоснованных расходов",_xlfn.SUMIFS('Калькуляция (МЭОР)'!$AJ$25:$AJ$452,'Калькуляция (МЭОР)'!$F$25:$F$452,$F182,'Калькуляция (МЭОР)'!$G$25:$G$452,$G182),IF(method_reg="Метод сравнения аналогов",_xlfn.SUMIFS('Калькуляция (МСА)'!$AE$25:$AE$122,'Калькуляция (МСА)'!$F$25:$F$122,$F182,'Калькуляция (МСА)'!$G$25:$G$122,$G182),_xlfn.SUMIFS(INDEX('Калькуляция (МИ)'!$AJ$25:$BC$747,,MATCH(BE$8,'Калькуляция (МИ)'!$AJ$8:$BC$8,0)),'Калькуляция (МИ)'!$F$25:$F$747,$F182,'Калькуляция (МИ)'!$G$25:$G$747,$G182))))</f>
        <v>0</v>
      </c>
      <c r="BF182" s="5247">
        <f>IF(AND(method_reg="Метод индексации",god&lt;&gt;first_year),_xlfn.SUMIFS(INDEX('Калькуляция (МИ корр)'!$AJ$25:$BC$747,,MATCH(BF$8,'Калькуляция (МИ корр)'!$AJ$8:$BC$8,0)),'Калькуляция (МИ корр)'!$F$25:$F$747,$F182,'Калькуляция (МИ корр)'!$G$25:$G$747,$G182),IF(method_reg="Метод экономически обоснованных расходов",_xlfn.SUMIFS('Калькуляция (МЭОР)'!$AK$25:$AK$452,'Калькуляция (МЭОР)'!$F$25:$F$452,$F182,'Калькуляция (МЭОР)'!$G$25:$G$452,$G182),IF(method_reg="Метод сравнения аналогов",_xlfn.SUMIFS('Калькуляция (МСА)'!$AF$25:$AF$122,'Калькуляция (МСА)'!$F$25:$F$122,$F182,'Калькуляция (МСА)'!$G$25:$G$122,$G182),_xlfn.SUMIFS(INDEX('Калькуляция (МИ)'!$AJ$25:$BC$747,,MATCH(BF$8,'Калькуляция (МИ)'!$AJ$8:$BC$8,0)),'Калькуляция (МИ)'!$F$25:$F$747,$F182,'Калькуляция (МИ)'!$G$25:$G$747,$G182))))</f>
        <v>0</v>
      </c>
      <c r="BG182" s="1104">
        <f>IF(BE182=0,0,(BF182-BE182)/BE182*100)</f>
        <v>0</v>
      </c>
      <c r="BH182" s="5247"/>
      <c r="BI182" s="5247"/>
      <c r="BJ182" s="1104">
        <f>IF(BH182=0,0,(BI182-BH182)/BH182*100)</f>
        <v>0</v>
      </c>
      <c r="BK182" s="5247"/>
      <c r="BL182" s="5247"/>
      <c r="BM182" s="1104">
        <f>IF(BK182=0,0,(BL182-BK182)/BK182*100)</f>
        <v>0</v>
      </c>
      <c r="BN182" s="5247"/>
      <c r="BO182" s="5247"/>
      <c r="BP182" s="1104">
        <f>IF(BN182=0,0,(BO182-BN182)/BN182*100)</f>
        <v>0</v>
      </c>
      <c r="BQ182" s="5247"/>
      <c r="BR182" s="5247"/>
      <c r="BS182" s="1104">
        <f>IF(BQ182=0,0,(BR182-BQ182)/BQ182*100)</f>
        <v>0</v>
      </c>
      <c r="BT182" s="5247"/>
      <c r="BU182" s="5247"/>
      <c r="BV182" s="1104">
        <f>IF(BT182=0,0,(BU182-BT182)/BT182*100)</f>
        <v>0</v>
      </c>
      <c r="BW182" s="5247"/>
      <c r="BX182" s="5247"/>
      <c r="BY182" s="1104">
        <f>IF(BW182=0,0,(BX182-BW182)/BW182*100)</f>
        <v>0</v>
      </c>
      <c r="BZ182" s="5247"/>
      <c r="CA182" s="5247"/>
      <c r="CB182" s="1104">
        <f>IF(BZ182=0,0,(CA182-BZ182)/BZ182*100)</f>
        <v>0</v>
      </c>
      <c r="CC182" s="5247"/>
      <c r="CD182" s="5247"/>
      <c r="CE182" s="1104">
        <f>IF(CC182=0,0,(CD182-CC182)/CC182*100)</f>
        <v>0</v>
      </c>
      <c r="CF182" s="5247"/>
      <c r="CG182" s="5247"/>
      <c r="CH182" s="1104">
        <f>IF(CF182=0,0,(CG182-CF182)/CF182*100)</f>
        <v>0</v>
      </c>
      <c r="CI182" s="5247"/>
      <c r="CJ182" s="5247"/>
      <c r="CK182" s="1104">
        <f>IF(CI182=0,0,(CJ182-CI182)/CI182*100)</f>
        <v>0</v>
      </c>
      <c r="CL182" s="5247"/>
      <c r="CM182" s="5247"/>
      <c r="CN182" s="1104">
        <f>IF(CL182=0,0,(CM182-CL182)/CL182*100)</f>
        <v>0</v>
      </c>
      <c r="CO182" s="5247"/>
      <c r="CP182" s="5247"/>
      <c r="CQ182" s="1104">
        <f>IF(CO182=0,0,(CP182-CO182)/CO182*100)</f>
        <v>0</v>
      </c>
      <c r="CR182" s="5247"/>
      <c r="CS182" s="5247"/>
      <c r="CT182" s="1104">
        <f>IF(CR182=0,0,(CS182-CR182)/CR182*100)</f>
        <v>0</v>
      </c>
      <c r="CU182" s="5247"/>
      <c r="CV182" s="5247"/>
      <c r="CW182" s="1104">
        <f>IF(CU182=0,0,(CV182-CU182)/CU182*100)</f>
        <v>0</v>
      </c>
      <c r="CX182" s="5247"/>
      <c r="CY182" s="5247"/>
      <c r="CZ182" s="1104">
        <f>IF(CX182=0,0,(CY182-CX182)/CX182*100)</f>
        <v>0</v>
      </c>
      <c r="DA182" s="5247"/>
      <c r="DB182" s="5247"/>
      <c r="DC182" s="1104">
        <f>IF(DA182=0,0,(DB182-DA182)/DA182*100)</f>
        <v>0</v>
      </c>
      <c r="DD182" s="5247"/>
      <c r="DE182" s="5247"/>
      <c r="DF182" s="1104">
        <f>IF(DD182=0,0,(DE182-DD182)/DD182*100)</f>
        <v>0</v>
      </c>
      <c r="DG182" s="5247"/>
      <c r="DH182" s="5247"/>
      <c r="DI182" s="1104">
        <f>IF(DG182=0,0,(DH182-DG182)/DG182*100)</f>
        <v>0</v>
      </c>
      <c r="DJ182" s="5247"/>
      <c r="DK182" s="5247"/>
      <c r="DL182" s="1104">
        <f>IF(DJ182=0,0,(DK182-DJ182)/DJ182*100)</f>
        <v>0</v>
      </c>
      <c r="DM182" s="5247"/>
      <c r="DN182" s="5247"/>
      <c r="DO182" s="1104">
        <f>IF(DM182=0,0,(DN182-DM182)/DM182*100)</f>
        <v>0</v>
      </c>
      <c r="DP182" s="5247"/>
      <c r="DQ182" s="5247"/>
      <c r="DR182" s="1104">
        <f>IF(DP182=0,0,(DQ182-DP182)/DP182*100)</f>
        <v>0</v>
      </c>
      <c r="DS182" s="5247"/>
      <c r="DT182" s="5247"/>
      <c r="DU182" s="1104">
        <f>IF(DS182=0,0,(DT182-DS182)/DS182*100)</f>
        <v>0</v>
      </c>
      <c r="DV182" s="5247"/>
      <c r="DW182" s="5247"/>
      <c r="DX182" s="1104">
        <f>IF(DV182=0,0,(DW182-DV182)/DV182*100)</f>
        <v>0</v>
      </c>
      <c r="DY182" s="5247"/>
      <c r="DZ182" s="5247"/>
      <c r="EA182" s="1104">
        <f>IF(DY182=0,0,(DZ182-DY182)/DY182*100)</f>
        <v>0</v>
      </c>
      <c r="EB182" s="5247"/>
      <c r="EC182" s="5247"/>
      <c r="ED182" s="1104">
        <f>IF(EB182=0,0,(EC182-EB182)/EB182*100)</f>
        <v>0</v>
      </c>
      <c r="EE182" s="5247"/>
      <c r="EF182" s="5247"/>
      <c r="EG182" s="1104">
        <f>IF(EE182=0,0,(EF182-EE182)/EE182*100)</f>
        <v>0</v>
      </c>
      <c r="EH182" s="5247"/>
      <c r="EI182" s="5247"/>
      <c r="EJ182" s="1104">
        <f>IF(EH182=0,0,(EI182-EH182)/EH182*100)</f>
        <v>0</v>
      </c>
      <c r="EK182" s="5247"/>
      <c r="EL182" s="5247"/>
      <c r="EM182" s="1104">
        <f>IF(EK182=0,0,(EL182-EK182)/EK182*100)</f>
        <v>0</v>
      </c>
      <c r="EN182" s="5247"/>
      <c r="EO182" s="5247"/>
      <c r="EP182" s="1104">
        <f>IF(EN182=0,0,(EO182-EN182)/EN182*100)</f>
        <v>0</v>
      </c>
      <c r="EQ182" s="5247"/>
      <c r="ER182" s="5247"/>
      <c r="ES182" s="1104">
        <f>IF(EQ182=0,0,(ER182-EQ182)/EQ182*100)</f>
        <v>0</v>
      </c>
      <c r="ET182" s="5247"/>
      <c r="EU182" s="5247"/>
      <c r="EV182" s="1104">
        <f>IF(ET182=0,0,(EU182-ET182)/ET182*100)</f>
        <v>0</v>
      </c>
      <c r="EW182" s="5247"/>
      <c r="EX182" s="5247"/>
      <c r="EY182" s="1104">
        <f>IF(EW182=0,0,(EX182-EW182)/EW182*100)</f>
        <v>0</v>
      </c>
      <c r="EZ182" s="5247"/>
      <c r="FA182" s="5247"/>
      <c r="FB182" s="1104">
        <f>IF(EZ182=0,0,(FA182-EZ182)/EZ182*100)</f>
        <v>0</v>
      </c>
      <c r="FC182" s="5247"/>
      <c r="FD182" s="5247"/>
      <c r="FE182" s="1104">
        <f>IF(FC182=0,0,(FD182-FC182)/FC182*100)</f>
        <v>0</v>
      </c>
      <c r="FF182" s="5247"/>
      <c r="FG182" s="5247"/>
      <c r="FH182" s="1104">
        <f>IF(FF182=0,0,(FG182-FF182)/FF182*100)</f>
        <v>0</v>
      </c>
      <c r="FI182" s="5247"/>
      <c r="FJ182" s="5247"/>
      <c r="FK182" s="1104">
        <f>IF(FI182=0,0,(FJ182-FI182)/FI182*100)</f>
        <v>0</v>
      </c>
      <c r="FL182" s="5247"/>
      <c r="FM182" s="5247"/>
      <c r="FN182" s="1104">
        <f>IF(FL182=0,0,(FM182-FL182)/FL182*100)</f>
        <v>0</v>
      </c>
      <c r="FO182" s="5247"/>
      <c r="FP182" s="5247"/>
      <c r="FQ182" s="1104">
        <f>IF(FO182=0,0,(FP182-FO182)/FO182*100)</f>
        <v>0</v>
      </c>
      <c r="FR182" s="5247"/>
      <c r="FS182" s="5247"/>
      <c r="FT182" s="1104">
        <f>IF(FR182=0,0,(FS182-FR182)/FR182*100)</f>
        <v>0</v>
      </c>
      <c r="FU182" s="5247"/>
      <c r="FV182" s="5247"/>
      <c r="FW182" s="1104">
        <f>IF(FU182=0,0,(FV182-FU182)/FU182*100)</f>
        <v>0</v>
      </c>
      <c r="FX182" s="1304"/>
      <c r="FY182" s="1304"/>
      <c r="FZ182" s="1055" t="s">
        <v>2387</v>
      </c>
      <c r="GA182" s="1306"/>
      <c r="GB182" s="1306"/>
      <c r="GC182" s="1305"/>
      <c r="GD182" s="1305"/>
    </row>
    <row s="1834" customFormat="1" customHeight="1" ht="21.75" hidden="1">
      <c r="A183" s="493"/>
      <c r="B183" s="925" cm="1" t="str">
        <f t="array" ref="B183:B183">B182</f>
        <v>false</v>
      </c>
      <c r="C183" s="493"/>
      <c r="D183" s="493"/>
      <c r="E183" s="840">
        <v>22.5</v>
      </c>
      <c r="F183" s="50" cm="1" t="str">
        <f t="array" ref="F183:F183">OFFSET(E183,-1,1)</f>
        <v>2</v>
      </c>
      <c r="G183" s="493"/>
      <c r="H183" s="493" t="s">
        <v>2376</v>
      </c>
      <c r="I183" s="493" t="s">
        <v>2340</v>
      </c>
      <c r="J183" s="493"/>
      <c r="K183" s="493"/>
      <c r="L183" s="493"/>
      <c r="M183" s="493"/>
      <c r="N183" s="493"/>
      <c r="O183" s="493"/>
      <c r="P183" s="493"/>
      <c r="Q183" s="493"/>
      <c r="R183" s="493"/>
      <c r="S183" s="493"/>
      <c r="T183" s="465" cm="1" t="str">
        <f t="array" ref="T183:T183">T182</f>
        <v>true</v>
      </c>
      <c r="U183" s="493"/>
      <c r="V183" s="493"/>
      <c r="W183" s="493"/>
      <c r="X183" s="1596"/>
      <c r="Y183" s="493"/>
      <c r="Z183" s="1545"/>
      <c r="AA183" s="493"/>
      <c r="AB183" s="1091" t="str">
        <f>"ставка платы за содержание системы "&amp;IF(Q155="Водоснабжение","холодного водоснабжения","водоотведения")</f>
        <v>ставка платы за содержание системы холодного водоснабжения</v>
      </c>
      <c r="AC183" s="864" t="s">
        <v>2377</v>
      </c>
      <c r="AD183" s="2846"/>
      <c r="AE183" s="2846"/>
      <c r="AF183" s="1093">
        <f>IF(AD183=0,0,(AE183-AD183)/AD183*100)</f>
        <v>0</v>
      </c>
      <c r="AG183" s="2846"/>
      <c r="AH183" s="2846"/>
      <c r="AI183" s="1093">
        <f>IF(AG183=0,0,(AH183-AG183)/AG183*100)</f>
        <v>0</v>
      </c>
      <c r="AJ183" s="2846"/>
      <c r="AK183" s="2846"/>
      <c r="AL183" s="1093">
        <f>IF(AJ183=0,0,(AK183-AJ183)/AJ183*100)</f>
        <v>0</v>
      </c>
      <c r="AM183" s="2846"/>
      <c r="AN183" s="2846"/>
      <c r="AO183" s="1093">
        <f>IF(AM183=0,0,(AN183-AM183)/AM183*100)</f>
        <v>0</v>
      </c>
      <c r="AP183" s="2846"/>
      <c r="AQ183" s="2846"/>
      <c r="AR183" s="1093">
        <f>IF(AP183=0,0,(AQ183-AP183)/AP183*100)</f>
        <v>0</v>
      </c>
      <c r="AS183" s="2846"/>
      <c r="AT183" s="2846"/>
      <c r="AU183" s="1093">
        <f>IF(AS183=0,0,(AT183-AS183)/AS183*100)</f>
        <v>0</v>
      </c>
      <c r="AV183" s="2846"/>
      <c r="AW183" s="2846"/>
      <c r="AX183" s="1093">
        <f>IF(AV183=0,0,(AW183-AV183)/AV183*100)</f>
        <v>0</v>
      </c>
      <c r="AY183" s="2846"/>
      <c r="AZ183" s="2846"/>
      <c r="BA183" s="1093">
        <f>IF(AY183=0,0,(AZ183-AY183)/AY183*100)</f>
        <v>0</v>
      </c>
      <c r="BB183" s="2846"/>
      <c r="BC183" s="2846"/>
      <c r="BD183" s="1093">
        <f>IF(BB183=0,0,(BC183-BB183)/BB183*100)</f>
        <v>0</v>
      </c>
      <c r="BE183" s="2846"/>
      <c r="BF183" s="2846"/>
      <c r="BG183" s="1093">
        <f>IF(BE183=0,0,(BF183-BE183)/BE183*100)</f>
        <v>0</v>
      </c>
      <c r="BH183" s="2846"/>
      <c r="BI183" s="2846"/>
      <c r="BJ183" s="1093">
        <f>IF(BH183=0,0,(BI183-BH183)/BH183*100)</f>
        <v>0</v>
      </c>
      <c r="BK183" s="2846"/>
      <c r="BL183" s="2846"/>
      <c r="BM183" s="1093">
        <f>IF(BK183=0,0,(BL183-BK183)/BK183*100)</f>
        <v>0</v>
      </c>
      <c r="BN183" s="2846"/>
      <c r="BO183" s="2846"/>
      <c r="BP183" s="1093">
        <f>IF(BN183=0,0,(BO183-BN183)/BN183*100)</f>
        <v>0</v>
      </c>
      <c r="BQ183" s="2846"/>
      <c r="BR183" s="2846"/>
      <c r="BS183" s="1093">
        <f>IF(BQ183=0,0,(BR183-BQ183)/BQ183*100)</f>
        <v>0</v>
      </c>
      <c r="BT183" s="2846"/>
      <c r="BU183" s="2846"/>
      <c r="BV183" s="1093">
        <f>IF(BT183=0,0,(BU183-BT183)/BT183*100)</f>
        <v>0</v>
      </c>
      <c r="BW183" s="2846"/>
      <c r="BX183" s="2846"/>
      <c r="BY183" s="1093">
        <f>IF(BW183=0,0,(BX183-BW183)/BW183*100)</f>
        <v>0</v>
      </c>
      <c r="BZ183" s="2846"/>
      <c r="CA183" s="2846"/>
      <c r="CB183" s="1093">
        <f>IF(BZ183=0,0,(CA183-BZ183)/BZ183*100)</f>
        <v>0</v>
      </c>
      <c r="CC183" s="2846"/>
      <c r="CD183" s="2846"/>
      <c r="CE183" s="1093">
        <f>IF(CC183=0,0,(CD183-CC183)/CC183*100)</f>
        <v>0</v>
      </c>
      <c r="CF183" s="2846"/>
      <c r="CG183" s="2846"/>
      <c r="CH183" s="1093">
        <f>IF(CF183=0,0,(CG183-CF183)/CF183*100)</f>
        <v>0</v>
      </c>
      <c r="CI183" s="2846"/>
      <c r="CJ183" s="2846"/>
      <c r="CK183" s="1093">
        <f>IF(CI183=0,0,(CJ183-CI183)/CI183*100)</f>
        <v>0</v>
      </c>
      <c r="CL183" s="2846"/>
      <c r="CM183" s="2846"/>
      <c r="CN183" s="1093">
        <f>IF(CL183=0,0,(CM183-CL183)/CL183*100)</f>
        <v>0</v>
      </c>
      <c r="CO183" s="2846"/>
      <c r="CP183" s="2846"/>
      <c r="CQ183" s="1093">
        <f>IF(CO183=0,0,(CP183-CO183)/CO183*100)</f>
        <v>0</v>
      </c>
      <c r="CR183" s="2846"/>
      <c r="CS183" s="2846"/>
      <c r="CT183" s="1093">
        <f>IF(CR183=0,0,(CS183-CR183)/CR183*100)</f>
        <v>0</v>
      </c>
      <c r="CU183" s="2846"/>
      <c r="CV183" s="2846"/>
      <c r="CW183" s="1093">
        <f>IF(CU183=0,0,(CV183-CU183)/CU183*100)</f>
        <v>0</v>
      </c>
      <c r="CX183" s="2846"/>
      <c r="CY183" s="2846"/>
      <c r="CZ183" s="1093">
        <f>IF(CX183=0,0,(CY183-CX183)/CX183*100)</f>
        <v>0</v>
      </c>
      <c r="DA183" s="2846"/>
      <c r="DB183" s="2846"/>
      <c r="DC183" s="1093">
        <f>IF(DA183=0,0,(DB183-DA183)/DA183*100)</f>
        <v>0</v>
      </c>
      <c r="DD183" s="2846"/>
      <c r="DE183" s="2846"/>
      <c r="DF183" s="1093">
        <f>IF(DD183=0,0,(DE183-DD183)/DD183*100)</f>
        <v>0</v>
      </c>
      <c r="DG183" s="2846"/>
      <c r="DH183" s="2846"/>
      <c r="DI183" s="1093">
        <f>IF(DG183=0,0,(DH183-DG183)/DG183*100)</f>
        <v>0</v>
      </c>
      <c r="DJ183" s="2846"/>
      <c r="DK183" s="2846"/>
      <c r="DL183" s="1093">
        <f>IF(DJ183=0,0,(DK183-DJ183)/DJ183*100)</f>
        <v>0</v>
      </c>
      <c r="DM183" s="2846"/>
      <c r="DN183" s="2846"/>
      <c r="DO183" s="1093">
        <f>IF(DM183=0,0,(DN183-DM183)/DM183*100)</f>
        <v>0</v>
      </c>
      <c r="DP183" s="2846"/>
      <c r="DQ183" s="2846"/>
      <c r="DR183" s="1093">
        <f>IF(DP183=0,0,(DQ183-DP183)/DP183*100)</f>
        <v>0</v>
      </c>
      <c r="DS183" s="2846"/>
      <c r="DT183" s="2846"/>
      <c r="DU183" s="1093">
        <f>IF(DS183=0,0,(DT183-DS183)/DS183*100)</f>
        <v>0</v>
      </c>
      <c r="DV183" s="2846"/>
      <c r="DW183" s="2846"/>
      <c r="DX183" s="1093">
        <f>IF(DV183=0,0,(DW183-DV183)/DV183*100)</f>
        <v>0</v>
      </c>
      <c r="DY183" s="2846"/>
      <c r="DZ183" s="2846"/>
      <c r="EA183" s="1093">
        <f>IF(DY183=0,0,(DZ183-DY183)/DY183*100)</f>
        <v>0</v>
      </c>
      <c r="EB183" s="2846"/>
      <c r="EC183" s="2846"/>
      <c r="ED183" s="1093">
        <f>IF(EB183=0,0,(EC183-EB183)/EB183*100)</f>
        <v>0</v>
      </c>
      <c r="EE183" s="2846"/>
      <c r="EF183" s="2846"/>
      <c r="EG183" s="1093">
        <f>IF(EE183=0,0,(EF183-EE183)/EE183*100)</f>
        <v>0</v>
      </c>
      <c r="EH183" s="2846"/>
      <c r="EI183" s="2846"/>
      <c r="EJ183" s="1093">
        <f>IF(EH183=0,0,(EI183-EH183)/EH183*100)</f>
        <v>0</v>
      </c>
      <c r="EK183" s="2846"/>
      <c r="EL183" s="2846"/>
      <c r="EM183" s="1093">
        <f>IF(EK183=0,0,(EL183-EK183)/EK183*100)</f>
        <v>0</v>
      </c>
      <c r="EN183" s="2846"/>
      <c r="EO183" s="2846"/>
      <c r="EP183" s="1093">
        <f>IF(EN183=0,0,(EO183-EN183)/EN183*100)</f>
        <v>0</v>
      </c>
      <c r="EQ183" s="2846"/>
      <c r="ER183" s="2846"/>
      <c r="ES183" s="1093">
        <f>IF(EQ183=0,0,(ER183-EQ183)/EQ183*100)</f>
        <v>0</v>
      </c>
      <c r="ET183" s="2846"/>
      <c r="EU183" s="2846"/>
      <c r="EV183" s="1093">
        <f>IF(ET183=0,0,(EU183-ET183)/ET183*100)</f>
        <v>0</v>
      </c>
      <c r="EW183" s="2846"/>
      <c r="EX183" s="2846"/>
      <c r="EY183" s="1093">
        <f>IF(EW183=0,0,(EX183-EW183)/EW183*100)</f>
        <v>0</v>
      </c>
      <c r="EZ183" s="2846"/>
      <c r="FA183" s="2846"/>
      <c r="FB183" s="1093">
        <f>IF(EZ183=0,0,(FA183-EZ183)/EZ183*100)</f>
        <v>0</v>
      </c>
      <c r="FC183" s="2846"/>
      <c r="FD183" s="2846"/>
      <c r="FE183" s="1093">
        <f>IF(FC183=0,0,(FD183-FC183)/FC183*100)</f>
        <v>0</v>
      </c>
      <c r="FF183" s="2846"/>
      <c r="FG183" s="2846"/>
      <c r="FH183" s="1093">
        <f>IF(FF183=0,0,(FG183-FF183)/FF183*100)</f>
        <v>0</v>
      </c>
      <c r="FI183" s="2846"/>
      <c r="FJ183" s="2846"/>
      <c r="FK183" s="1093">
        <f>IF(FI183=0,0,(FJ183-FI183)/FI183*100)</f>
        <v>0</v>
      </c>
      <c r="FL183" s="2846"/>
      <c r="FM183" s="2846"/>
      <c r="FN183" s="1093">
        <f>IF(FL183=0,0,(FM183-FL183)/FL183*100)</f>
        <v>0</v>
      </c>
      <c r="FO183" s="2846"/>
      <c r="FP183" s="2846"/>
      <c r="FQ183" s="1093">
        <f>IF(FO183=0,0,(FP183-FO183)/FO183*100)</f>
        <v>0</v>
      </c>
      <c r="FR183" s="2846"/>
      <c r="FS183" s="2846"/>
      <c r="FT183" s="1093">
        <f>IF(FR183=0,0,(FS183-FR183)/FR183*100)</f>
        <v>0</v>
      </c>
      <c r="FU183" s="2846"/>
      <c r="FV183" s="2846"/>
      <c r="FW183" s="1093">
        <f>IF(FU183=0,0,(FV183-FU183)/FU183*100)</f>
        <v>0</v>
      </c>
      <c r="FX183" s="1304"/>
      <c r="FY183" s="1304"/>
      <c r="FZ183" s="1055" t="s">
        <v>2388</v>
      </c>
      <c r="GA183" s="1306"/>
      <c r="GB183" s="1306"/>
      <c r="GC183" s="1305"/>
      <c r="GD183" s="1305"/>
    </row>
    <row s="1834" customFormat="1" customHeight="1" ht="14.25" hidden="1">
      <c r="A184" s="493"/>
      <c r="B184" s="925" cm="1" t="str">
        <f t="array" ref="B184:B184">B183</f>
        <v>false</v>
      </c>
      <c r="C184" s="493"/>
      <c r="D184" s="493"/>
      <c r="E184" s="840">
        <v>15</v>
      </c>
      <c r="F184" s="50" cm="1" t="str">
        <f t="array" ref="F184:F184">OFFSET(E184,-1,1)</f>
        <v>2</v>
      </c>
      <c r="G184" s="493"/>
      <c r="H184" s="493" t="s">
        <v>2379</v>
      </c>
      <c r="I184" s="493" t="s">
        <v>2340</v>
      </c>
      <c r="J184" s="493"/>
      <c r="K184" s="493"/>
      <c r="L184" s="493"/>
      <c r="M184" s="493"/>
      <c r="N184" s="493"/>
      <c r="O184" s="493"/>
      <c r="P184" s="493"/>
      <c r="Q184" s="493"/>
      <c r="R184" s="493"/>
      <c r="S184" s="493"/>
      <c r="T184" s="465" cm="1" t="str">
        <f t="array" ref="T184:T184">T183</f>
        <v>true</v>
      </c>
      <c r="U184" s="493"/>
      <c r="V184" s="493"/>
      <c r="W184" s="493"/>
      <c r="X184" s="1596"/>
      <c r="Y184" s="493"/>
      <c r="Z184" s="1545"/>
      <c r="AA184" s="493"/>
      <c r="AB184" s="1091" t="s">
        <v>2380</v>
      </c>
      <c r="AC184" s="864" t="s">
        <v>2381</v>
      </c>
      <c r="AD184" s="2846"/>
      <c r="AE184" s="2846"/>
      <c r="AF184" s="1093">
        <f>IF(AD184=0,0,(AE184-AD184)/AD184*100)</f>
        <v>0</v>
      </c>
      <c r="AG184" s="2846"/>
      <c r="AH184" s="2846"/>
      <c r="AI184" s="1093">
        <f>IF(AG184=0,0,(AH184-AG184)/AG184*100)</f>
        <v>0</v>
      </c>
      <c r="AJ184" s="2846"/>
      <c r="AK184" s="2846"/>
      <c r="AL184" s="1093">
        <f>IF(AJ184=0,0,(AK184-AJ184)/AJ184*100)</f>
        <v>0</v>
      </c>
      <c r="AM184" s="2846"/>
      <c r="AN184" s="2846"/>
      <c r="AO184" s="1093">
        <f>IF(AM184=0,0,(AN184-AM184)/AM184*100)</f>
        <v>0</v>
      </c>
      <c r="AP184" s="2846"/>
      <c r="AQ184" s="2846"/>
      <c r="AR184" s="1093">
        <f>IF(AP184=0,0,(AQ184-AP184)/AP184*100)</f>
        <v>0</v>
      </c>
      <c r="AS184" s="2846"/>
      <c r="AT184" s="2846"/>
      <c r="AU184" s="1093">
        <f>IF(AS184=0,0,(AT184-AS184)/AS184*100)</f>
        <v>0</v>
      </c>
      <c r="AV184" s="2846"/>
      <c r="AW184" s="2846"/>
      <c r="AX184" s="1093">
        <f>IF(AV184=0,0,(AW184-AV184)/AV184*100)</f>
        <v>0</v>
      </c>
      <c r="AY184" s="2846"/>
      <c r="AZ184" s="2846"/>
      <c r="BA184" s="1093">
        <f>IF(AY184=0,0,(AZ184-AY184)/AY184*100)</f>
        <v>0</v>
      </c>
      <c r="BB184" s="2846"/>
      <c r="BC184" s="2846"/>
      <c r="BD184" s="1093">
        <f>IF(BB184=0,0,(BC184-BB184)/BB184*100)</f>
        <v>0</v>
      </c>
      <c r="BE184" s="2846"/>
      <c r="BF184" s="2846"/>
      <c r="BG184" s="1093">
        <f>IF(BE184=0,0,(BF184-BE184)/BE184*100)</f>
        <v>0</v>
      </c>
      <c r="BH184" s="2846"/>
      <c r="BI184" s="2846"/>
      <c r="BJ184" s="1093">
        <f>IF(BH184=0,0,(BI184-BH184)/BH184*100)</f>
        <v>0</v>
      </c>
      <c r="BK184" s="2846"/>
      <c r="BL184" s="2846"/>
      <c r="BM184" s="1093">
        <f>IF(BK184=0,0,(BL184-BK184)/BK184*100)</f>
        <v>0</v>
      </c>
      <c r="BN184" s="2846"/>
      <c r="BO184" s="2846"/>
      <c r="BP184" s="1093">
        <f>IF(BN184=0,0,(BO184-BN184)/BN184*100)</f>
        <v>0</v>
      </c>
      <c r="BQ184" s="2846"/>
      <c r="BR184" s="2846"/>
      <c r="BS184" s="1093">
        <f>IF(BQ184=0,0,(BR184-BQ184)/BQ184*100)</f>
        <v>0</v>
      </c>
      <c r="BT184" s="2846"/>
      <c r="BU184" s="2846"/>
      <c r="BV184" s="1093">
        <f>IF(BT184=0,0,(BU184-BT184)/BT184*100)</f>
        <v>0</v>
      </c>
      <c r="BW184" s="2846"/>
      <c r="BX184" s="2846"/>
      <c r="BY184" s="1093">
        <f>IF(BW184=0,0,(BX184-BW184)/BW184*100)</f>
        <v>0</v>
      </c>
      <c r="BZ184" s="2846"/>
      <c r="CA184" s="2846"/>
      <c r="CB184" s="1093">
        <f>IF(BZ184=0,0,(CA184-BZ184)/BZ184*100)</f>
        <v>0</v>
      </c>
      <c r="CC184" s="2846"/>
      <c r="CD184" s="2846"/>
      <c r="CE184" s="1093">
        <f>IF(CC184=0,0,(CD184-CC184)/CC184*100)</f>
        <v>0</v>
      </c>
      <c r="CF184" s="2846"/>
      <c r="CG184" s="2846"/>
      <c r="CH184" s="1093">
        <f>IF(CF184=0,0,(CG184-CF184)/CF184*100)</f>
        <v>0</v>
      </c>
      <c r="CI184" s="2846"/>
      <c r="CJ184" s="2846"/>
      <c r="CK184" s="1093">
        <f>IF(CI184=0,0,(CJ184-CI184)/CI184*100)</f>
        <v>0</v>
      </c>
      <c r="CL184" s="2846"/>
      <c r="CM184" s="2846"/>
      <c r="CN184" s="1093">
        <f>IF(CL184=0,0,(CM184-CL184)/CL184*100)</f>
        <v>0</v>
      </c>
      <c r="CO184" s="2846"/>
      <c r="CP184" s="2846"/>
      <c r="CQ184" s="1093">
        <f>IF(CO184=0,0,(CP184-CO184)/CO184*100)</f>
        <v>0</v>
      </c>
      <c r="CR184" s="2846"/>
      <c r="CS184" s="2846"/>
      <c r="CT184" s="1093">
        <f>IF(CR184=0,0,(CS184-CR184)/CR184*100)</f>
        <v>0</v>
      </c>
      <c r="CU184" s="2846"/>
      <c r="CV184" s="2846"/>
      <c r="CW184" s="1093">
        <f>IF(CU184=0,0,(CV184-CU184)/CU184*100)</f>
        <v>0</v>
      </c>
      <c r="CX184" s="2846"/>
      <c r="CY184" s="2846"/>
      <c r="CZ184" s="1093">
        <f>IF(CX184=0,0,(CY184-CX184)/CX184*100)</f>
        <v>0</v>
      </c>
      <c r="DA184" s="2846"/>
      <c r="DB184" s="2846"/>
      <c r="DC184" s="1093">
        <f>IF(DA184=0,0,(DB184-DA184)/DA184*100)</f>
        <v>0</v>
      </c>
      <c r="DD184" s="2846"/>
      <c r="DE184" s="2846"/>
      <c r="DF184" s="1093">
        <f>IF(DD184=0,0,(DE184-DD184)/DD184*100)</f>
        <v>0</v>
      </c>
      <c r="DG184" s="2846"/>
      <c r="DH184" s="2846"/>
      <c r="DI184" s="1093">
        <f>IF(DG184=0,0,(DH184-DG184)/DG184*100)</f>
        <v>0</v>
      </c>
      <c r="DJ184" s="2846"/>
      <c r="DK184" s="2846"/>
      <c r="DL184" s="1093">
        <f>IF(DJ184=0,0,(DK184-DJ184)/DJ184*100)</f>
        <v>0</v>
      </c>
      <c r="DM184" s="2846"/>
      <c r="DN184" s="2846"/>
      <c r="DO184" s="1093">
        <f>IF(DM184=0,0,(DN184-DM184)/DM184*100)</f>
        <v>0</v>
      </c>
      <c r="DP184" s="2846"/>
      <c r="DQ184" s="2846"/>
      <c r="DR184" s="1093">
        <f>IF(DP184=0,0,(DQ184-DP184)/DP184*100)</f>
        <v>0</v>
      </c>
      <c r="DS184" s="2846"/>
      <c r="DT184" s="2846"/>
      <c r="DU184" s="1093">
        <f>IF(DS184=0,0,(DT184-DS184)/DS184*100)</f>
        <v>0</v>
      </c>
      <c r="DV184" s="2846"/>
      <c r="DW184" s="2846"/>
      <c r="DX184" s="1093">
        <f>IF(DV184=0,0,(DW184-DV184)/DV184*100)</f>
        <v>0</v>
      </c>
      <c r="DY184" s="2846"/>
      <c r="DZ184" s="2846"/>
      <c r="EA184" s="1093">
        <f>IF(DY184=0,0,(DZ184-DY184)/DY184*100)</f>
        <v>0</v>
      </c>
      <c r="EB184" s="2846"/>
      <c r="EC184" s="2846"/>
      <c r="ED184" s="1093">
        <f>IF(EB184=0,0,(EC184-EB184)/EB184*100)</f>
        <v>0</v>
      </c>
      <c r="EE184" s="2846"/>
      <c r="EF184" s="2846"/>
      <c r="EG184" s="1093">
        <f>IF(EE184=0,0,(EF184-EE184)/EE184*100)</f>
        <v>0</v>
      </c>
      <c r="EH184" s="2846"/>
      <c r="EI184" s="2846"/>
      <c r="EJ184" s="1093">
        <f>IF(EH184=0,0,(EI184-EH184)/EH184*100)</f>
        <v>0</v>
      </c>
      <c r="EK184" s="2846"/>
      <c r="EL184" s="2846"/>
      <c r="EM184" s="1093">
        <f>IF(EK184=0,0,(EL184-EK184)/EK184*100)</f>
        <v>0</v>
      </c>
      <c r="EN184" s="2846"/>
      <c r="EO184" s="2846"/>
      <c r="EP184" s="1093">
        <f>IF(EN184=0,0,(EO184-EN184)/EN184*100)</f>
        <v>0</v>
      </c>
      <c r="EQ184" s="2846"/>
      <c r="ER184" s="2846"/>
      <c r="ES184" s="1093">
        <f>IF(EQ184=0,0,(ER184-EQ184)/EQ184*100)</f>
        <v>0</v>
      </c>
      <c r="ET184" s="2846"/>
      <c r="EU184" s="2846"/>
      <c r="EV184" s="1093">
        <f>IF(ET184=0,0,(EU184-ET184)/ET184*100)</f>
        <v>0</v>
      </c>
      <c r="EW184" s="2846"/>
      <c r="EX184" s="2846"/>
      <c r="EY184" s="1093">
        <f>IF(EW184=0,0,(EX184-EW184)/EW184*100)</f>
        <v>0</v>
      </c>
      <c r="EZ184" s="2846"/>
      <c r="FA184" s="2846"/>
      <c r="FB184" s="1093">
        <f>IF(EZ184=0,0,(FA184-EZ184)/EZ184*100)</f>
        <v>0</v>
      </c>
      <c r="FC184" s="2846"/>
      <c r="FD184" s="2846"/>
      <c r="FE184" s="1093">
        <f>IF(FC184=0,0,(FD184-FC184)/FC184*100)</f>
        <v>0</v>
      </c>
      <c r="FF184" s="2846"/>
      <c r="FG184" s="2846"/>
      <c r="FH184" s="1093">
        <f>IF(FF184=0,0,(FG184-FF184)/FF184*100)</f>
        <v>0</v>
      </c>
      <c r="FI184" s="2846"/>
      <c r="FJ184" s="2846"/>
      <c r="FK184" s="1093">
        <f>IF(FI184=0,0,(FJ184-FI184)/FI184*100)</f>
        <v>0</v>
      </c>
      <c r="FL184" s="2846"/>
      <c r="FM184" s="2846"/>
      <c r="FN184" s="1093">
        <f>IF(FL184=0,0,(FM184-FL184)/FL184*100)</f>
        <v>0</v>
      </c>
      <c r="FO184" s="2846"/>
      <c r="FP184" s="2846"/>
      <c r="FQ184" s="1093">
        <f>IF(FO184=0,0,(FP184-FO184)/FO184*100)</f>
        <v>0</v>
      </c>
      <c r="FR184" s="2846"/>
      <c r="FS184" s="2846"/>
      <c r="FT184" s="1093">
        <f>IF(FR184=0,0,(FS184-FR184)/FR184*100)</f>
        <v>0</v>
      </c>
      <c r="FU184" s="2846"/>
      <c r="FV184" s="2846"/>
      <c r="FW184" s="1093">
        <f>IF(FU184=0,0,(FV184-FU184)/FU184*100)</f>
        <v>0</v>
      </c>
      <c r="FX184" s="1304"/>
      <c r="FY184" s="1304"/>
      <c r="FZ184" s="1055" t="s">
        <v>2389</v>
      </c>
      <c r="GA184" s="1306"/>
      <c r="GB184" s="1306"/>
      <c r="GC184" s="1305"/>
      <c r="GD184" s="1305"/>
    </row>
    <row s="1834" customFormat="1" customHeight="1" ht="23.25" hidden="1">
      <c r="A185" s="493"/>
      <c r="B185" s="925" cm="1" t="str">
        <f t="array" ref="B185:B185">B184</f>
        <v>false</v>
      </c>
      <c r="C185" s="493"/>
      <c r="D185" s="493"/>
      <c r="E185" s="840">
        <v>24.5</v>
      </c>
      <c r="F185" s="50" cm="1" t="str">
        <f t="array" ref="F185:F185">OFFSET(E185,-1,1)</f>
        <v>2</v>
      </c>
      <c r="G185" s="493"/>
      <c r="H185" s="493"/>
      <c r="I185" s="493"/>
      <c r="J185" s="493"/>
      <c r="K185" s="493"/>
      <c r="L185" s="493"/>
      <c r="M185" s="493"/>
      <c r="N185" s="493"/>
      <c r="O185" s="493"/>
      <c r="P185" s="493"/>
      <c r="Q185" s="493"/>
      <c r="R185" s="493"/>
      <c r="S185" s="493"/>
      <c r="T185" s="465" cm="1" t="str">
        <f t="array" ref="T185:T185">T184</f>
        <v>true</v>
      </c>
      <c r="U185" s="493"/>
      <c r="V185" s="493"/>
      <c r="W185" s="493"/>
      <c r="X185" s="1596"/>
      <c r="Y185" s="493"/>
      <c r="Z185" s="1545"/>
      <c r="AA185" s="493"/>
      <c r="AB185" s="293" t="s">
        <v>2390</v>
      </c>
      <c r="AC185" s="903"/>
      <c r="AD185" s="1102"/>
      <c r="AE185" s="1102"/>
      <c r="AF185" s="1102"/>
      <c r="AG185" s="1102"/>
      <c r="AH185" s="1102"/>
      <c r="AI185" s="1102"/>
      <c r="AJ185" s="1102"/>
      <c r="AK185" s="1102"/>
      <c r="AL185" s="1102"/>
      <c r="AM185" s="1102"/>
      <c r="AN185" s="1102"/>
      <c r="AO185" s="1102"/>
      <c r="AP185" s="1102"/>
      <c r="AQ185" s="1102"/>
      <c r="AR185" s="1102"/>
      <c r="AS185" s="1102"/>
      <c r="AT185" s="1102"/>
      <c r="AU185" s="1102"/>
      <c r="AV185" s="1102"/>
      <c r="AW185" s="1102"/>
      <c r="AX185" s="1102"/>
      <c r="AY185" s="1102"/>
      <c r="AZ185" s="1102"/>
      <c r="BA185" s="1102"/>
      <c r="BB185" s="1102"/>
      <c r="BC185" s="1102"/>
      <c r="BD185" s="1102"/>
      <c r="BE185" s="1102"/>
      <c r="BF185" s="1102"/>
      <c r="BG185" s="1102"/>
      <c r="BH185" s="1102"/>
      <c r="BI185" s="1102"/>
      <c r="BJ185" s="1102"/>
      <c r="BK185" s="1102"/>
      <c r="BL185" s="1102"/>
      <c r="BM185" s="1102"/>
      <c r="BN185" s="1102"/>
      <c r="BO185" s="1102"/>
      <c r="BP185" s="1102"/>
      <c r="BQ185" s="1102"/>
      <c r="BR185" s="1102"/>
      <c r="BS185" s="1102"/>
      <c r="BT185" s="1102"/>
      <c r="BU185" s="1102"/>
      <c r="BV185" s="1102"/>
      <c r="BW185" s="1102"/>
      <c r="BX185" s="1102"/>
      <c r="BY185" s="1102"/>
      <c r="BZ185" s="1102"/>
      <c r="CA185" s="1102"/>
      <c r="CB185" s="1102"/>
      <c r="CC185" s="1102"/>
      <c r="CD185" s="1102"/>
      <c r="CE185" s="1102"/>
      <c r="CF185" s="1102"/>
      <c r="CG185" s="1102"/>
      <c r="CH185" s="1102"/>
      <c r="CI185" s="1102"/>
      <c r="CJ185" s="1102"/>
      <c r="CK185" s="1102"/>
      <c r="CL185" s="1102"/>
      <c r="CM185" s="1102"/>
      <c r="CN185" s="1102"/>
      <c r="CO185" s="1102"/>
      <c r="CP185" s="1102"/>
      <c r="CQ185" s="1102"/>
      <c r="CR185" s="1102"/>
      <c r="CS185" s="1102"/>
      <c r="CT185" s="1102"/>
      <c r="CU185" s="1102"/>
      <c r="CV185" s="1102"/>
      <c r="CW185" s="1102"/>
      <c r="CX185" s="1102"/>
      <c r="CY185" s="1102"/>
      <c r="CZ185" s="1102"/>
      <c r="DA185" s="1102"/>
      <c r="DB185" s="1102"/>
      <c r="DC185" s="1102"/>
      <c r="DD185" s="1102"/>
      <c r="DE185" s="1102"/>
      <c r="DF185" s="1102"/>
      <c r="DG185" s="1102"/>
      <c r="DH185" s="1102"/>
      <c r="DI185" s="1102"/>
      <c r="DJ185" s="1102"/>
      <c r="DK185" s="1102"/>
      <c r="DL185" s="1102"/>
      <c r="DM185" s="1102"/>
      <c r="DN185" s="1102"/>
      <c r="DO185" s="1102"/>
      <c r="DP185" s="1102"/>
      <c r="DQ185" s="1102"/>
      <c r="DR185" s="1102"/>
      <c r="DS185" s="1102"/>
      <c r="DT185" s="1102"/>
      <c r="DU185" s="1102"/>
      <c r="DV185" s="1102"/>
      <c r="DW185" s="1102"/>
      <c r="DX185" s="1102"/>
      <c r="DY185" s="1102"/>
      <c r="DZ185" s="1102"/>
      <c r="EA185" s="1102"/>
      <c r="EB185" s="1102"/>
      <c r="EC185" s="1102"/>
      <c r="ED185" s="1102"/>
      <c r="EE185" s="1102"/>
      <c r="EF185" s="1102"/>
      <c r="EG185" s="1102"/>
      <c r="EH185" s="1102"/>
      <c r="EI185" s="1102"/>
      <c r="EJ185" s="1102"/>
      <c r="EK185" s="1102"/>
      <c r="EL185" s="1102"/>
      <c r="EM185" s="1102"/>
      <c r="EN185" s="1102"/>
      <c r="EO185" s="1102"/>
      <c r="EP185" s="1102"/>
      <c r="EQ185" s="1102"/>
      <c r="ER185" s="1102"/>
      <c r="ES185" s="1102"/>
      <c r="ET185" s="1102"/>
      <c r="EU185" s="1102"/>
      <c r="EV185" s="1102"/>
      <c r="EW185" s="1102"/>
      <c r="EX185" s="1102"/>
      <c r="EY185" s="1102"/>
      <c r="EZ185" s="1102"/>
      <c r="FA185" s="1102"/>
      <c r="FB185" s="1102"/>
      <c r="FC185" s="1102"/>
      <c r="FD185" s="1102"/>
      <c r="FE185" s="1102"/>
      <c r="FF185" s="1102"/>
      <c r="FG185" s="1102"/>
      <c r="FH185" s="1102"/>
      <c r="FI185" s="1102"/>
      <c r="FJ185" s="1102"/>
      <c r="FK185" s="1102"/>
      <c r="FL185" s="1102"/>
      <c r="FM185" s="1102"/>
      <c r="FN185" s="1102"/>
      <c r="FO185" s="1102"/>
      <c r="FP185" s="1102"/>
      <c r="FQ185" s="1102"/>
      <c r="FR185" s="1102"/>
      <c r="FS185" s="1102"/>
      <c r="FT185" s="1102"/>
      <c r="FU185" s="1102"/>
      <c r="FV185" s="1102"/>
      <c r="FW185" s="1103"/>
      <c r="FX185" s="1304"/>
      <c r="FY185" s="1304"/>
      <c r="FZ185" s="1055"/>
      <c r="GA185" s="1306"/>
      <c r="GB185" s="1306"/>
      <c r="GC185" s="1305"/>
      <c r="GD185" s="1305"/>
    </row>
    <row s="1834" customFormat="1" customHeight="1" ht="14.25" hidden="1">
      <c r="A186" s="493"/>
      <c r="B186" s="925" cm="1" t="str">
        <f t="array" ref="B186:B186">B185</f>
        <v>false</v>
      </c>
      <c r="C186" s="493"/>
      <c r="D186" s="493"/>
      <c r="E186" s="840">
        <v>15</v>
      </c>
      <c r="F186" s="50" cm="1" t="str">
        <f t="array" ref="F186:F186">OFFSET(E186,-1,1)</f>
        <v>2</v>
      </c>
      <c r="G186" s="493"/>
      <c r="H186" s="493" t="s">
        <v>2295</v>
      </c>
      <c r="I186" s="493" t="s">
        <v>2350</v>
      </c>
      <c r="J186" s="493"/>
      <c r="K186" s="493"/>
      <c r="L186" s="493"/>
      <c r="M186" s="493"/>
      <c r="N186" s="493"/>
      <c r="O186" s="493"/>
      <c r="P186" s="493"/>
      <c r="Q186" s="493"/>
      <c r="R186" s="493"/>
      <c r="S186" s="493"/>
      <c r="T186" s="465" cm="1" t="str">
        <f t="array" ref="T186:T186">T185</f>
        <v>true</v>
      </c>
      <c r="U186" s="493"/>
      <c r="V186" s="493"/>
      <c r="W186" s="493"/>
      <c r="X186" s="1596"/>
      <c r="Y186" s="493"/>
      <c r="Z186" s="1545"/>
      <c r="AA186" s="493"/>
      <c r="AB186" s="1091" t="s">
        <v>2370</v>
      </c>
      <c r="AC186" s="864" t="s">
        <v>2337</v>
      </c>
      <c r="AD186" s="2846">
        <f>IF(AD188=0,0,(AD187*AD188+AD189*AD190*IF(god=2026,9,6))/AD188)</f>
        <v>0</v>
      </c>
      <c r="AE186" s="2846">
        <f>IF(AE188=0,0,(AE187*AE188+AE189*AE190*IF(god=2026,9,6))/AE188)</f>
        <v>0</v>
      </c>
      <c r="AF186" s="1093">
        <f>IF(AD186=0,0,(AE186-AD186)/AD186*100)</f>
        <v>0</v>
      </c>
      <c r="AG186" s="2846">
        <f>IF(AG188=0,0,(AG187*AG188+AG189*AG190*IF(god=2025,9,6))/AG188)</f>
        <v>0</v>
      </c>
      <c r="AH186" s="2846">
        <f>IF(AH188=0,0,(AH187*AH188+AH189*AH190*IF(god=2025,9,6))/AH188)</f>
        <v>0</v>
      </c>
      <c r="AI186" s="1093">
        <f>IF(AG186=0,0,(AH186-AG186)/AG186*100)</f>
        <v>0</v>
      </c>
      <c r="AJ186" s="2846">
        <f>IF(AJ188=0,0,(AJ187*AJ188+AJ189*AJ190*6)/AJ188)</f>
        <v>0</v>
      </c>
      <c r="AK186" s="2846">
        <f>IF(AK188=0,0,(AK187*AK188+AK189*AK190*6)/AK188)</f>
        <v>0</v>
      </c>
      <c r="AL186" s="1093">
        <f>IF(AJ186=0,0,(AK186-AJ186)/AJ186*100)</f>
        <v>0</v>
      </c>
      <c r="AM186" s="2846">
        <f>IF(AM188=0,0,(AM187*AM188+AM189*AM190*6)/AM188)</f>
        <v>0</v>
      </c>
      <c r="AN186" s="2846">
        <f>IF(AN188=0,0,(AN187*AN188+AN189*AN190*6)/AN188)</f>
        <v>0</v>
      </c>
      <c r="AO186" s="1093">
        <f>IF(AM186=0,0,(AN186-AM186)/AM186*100)</f>
        <v>0</v>
      </c>
      <c r="AP186" s="2846">
        <f>IF(AP188=0,0,(AP187*AP188+AP189*AP190*6)/AP188)</f>
        <v>0</v>
      </c>
      <c r="AQ186" s="2846">
        <f>IF(AQ188=0,0,(AQ187*AQ188+AQ189*AQ190*6)/AQ188)</f>
        <v>0</v>
      </c>
      <c r="AR186" s="1093">
        <f>IF(AP186=0,0,(AQ186-AP186)/AP186*100)</f>
        <v>0</v>
      </c>
      <c r="AS186" s="2846">
        <f>IF(AS188=0,0,(AS187*AS188+AS189*AS190*6)/AS188)</f>
        <v>0</v>
      </c>
      <c r="AT186" s="2846">
        <f>IF(AT188=0,0,(AT187*AT188+AT189*AT190*6)/AT188)</f>
        <v>0</v>
      </c>
      <c r="AU186" s="1093">
        <f>IF(AS186=0,0,(AT186-AS186)/AS186*100)</f>
        <v>0</v>
      </c>
      <c r="AV186" s="2846">
        <f>IF(AV188=0,0,(AV187*AV188+AV189*AV190*6)/AV188)</f>
        <v>0</v>
      </c>
      <c r="AW186" s="2846">
        <f>IF(AW188=0,0,(AW187*AW188+AW189*AW190*6)/AW188)</f>
        <v>0</v>
      </c>
      <c r="AX186" s="1093">
        <f>IF(AV186=0,0,(AW186-AV186)/AV186*100)</f>
        <v>0</v>
      </c>
      <c r="AY186" s="2846">
        <f>IF(AY188=0,0,(AY187*AY188+AY189*AY190*6)/AY188)</f>
        <v>0</v>
      </c>
      <c r="AZ186" s="2846">
        <f>IF(AZ188=0,0,(AZ187*AZ188+AZ189*AZ190*6)/AZ188)</f>
        <v>0</v>
      </c>
      <c r="BA186" s="1093">
        <f>IF(AY186=0,0,(AZ186-AY186)/AY186*100)</f>
        <v>0</v>
      </c>
      <c r="BB186" s="2846">
        <f>IF(BB188=0,0,(BB187*BB188+BB189*BB190*6)/BB188)</f>
        <v>0</v>
      </c>
      <c r="BC186" s="2846">
        <f>IF(BC188=0,0,(BC187*BC188+BC189*BC190*6)/BC188)</f>
        <v>0</v>
      </c>
      <c r="BD186" s="1093">
        <f>IF(BB186=0,0,(BC186-BB186)/BB186*100)</f>
        <v>0</v>
      </c>
      <c r="BE186" s="2846">
        <f>IF(BE188=0,0,(BE187*BE188+BE189*BE190*6)/BE188)</f>
        <v>0</v>
      </c>
      <c r="BF186" s="2846">
        <f>IF(BF188=0,0,(BF187*BF188+BF189*BF190*6)/BF188)</f>
        <v>0</v>
      </c>
      <c r="BG186" s="1093">
        <f>IF(BE186=0,0,(BF186-BE186)/BE186*100)</f>
        <v>0</v>
      </c>
      <c r="BH186" s="2846">
        <f>IF(BH188=0,0,(BH187*BH188+BH189*BH190*6)/BH188)</f>
        <v>0</v>
      </c>
      <c r="BI186" s="2846">
        <f>IF(BI188=0,0,(BI187*BI188+BI189*BI190*6)/BI188)</f>
        <v>0</v>
      </c>
      <c r="BJ186" s="1093">
        <f>IF(BH186=0,0,(BI186-BH186)/BH186*100)</f>
        <v>0</v>
      </c>
      <c r="BK186" s="2846">
        <f>IF(BK188=0,0,(BK187*BK188+BK189*BK190*6)/BK188)</f>
        <v>0</v>
      </c>
      <c r="BL186" s="2846">
        <f>IF(BL188=0,0,(BL187*BL188+BL189*BL190*6)/BL188)</f>
        <v>0</v>
      </c>
      <c r="BM186" s="1093">
        <f>IF(BK186=0,0,(BL186-BK186)/BK186*100)</f>
        <v>0</v>
      </c>
      <c r="BN186" s="2846">
        <f>IF(BN188=0,0,(BN187*BN188+BN189*BN190*6)/BN188)</f>
        <v>0</v>
      </c>
      <c r="BO186" s="2846">
        <f>IF(BO188=0,0,(BO187*BO188+BO189*BO190*6)/BO188)</f>
        <v>0</v>
      </c>
      <c r="BP186" s="1093">
        <f>IF(BN186=0,0,(BO186-BN186)/BN186*100)</f>
        <v>0</v>
      </c>
      <c r="BQ186" s="2846">
        <f>IF(BQ188=0,0,(BQ187*BQ188+BQ189*BQ190*6)/BQ188)</f>
        <v>0</v>
      </c>
      <c r="BR186" s="2846">
        <f>IF(BR188=0,0,(BR187*BR188+BR189*BR190*6)/BR188)</f>
        <v>0</v>
      </c>
      <c r="BS186" s="1093">
        <f>IF(BQ186=0,0,(BR186-BQ186)/BQ186*100)</f>
        <v>0</v>
      </c>
      <c r="BT186" s="2846">
        <f>IF(BT188=0,0,(BT187*BT188+BT189*BT190*6)/BT188)</f>
        <v>0</v>
      </c>
      <c r="BU186" s="2846">
        <f>IF(BU188=0,0,(BU187*BU188+BU189*BU190*6)/BU188)</f>
        <v>0</v>
      </c>
      <c r="BV186" s="1093">
        <f>IF(BT186=0,0,(BU186-BT186)/BT186*100)</f>
        <v>0</v>
      </c>
      <c r="BW186" s="2846">
        <f>IF(BW188=0,0,(BW187*BW188+BW189*BW190*6)/BW188)</f>
        <v>0</v>
      </c>
      <c r="BX186" s="2846">
        <f>IF(BX188=0,0,(BX187*BX188+BX189*BX190*6)/BX188)</f>
        <v>0</v>
      </c>
      <c r="BY186" s="1093">
        <f>IF(BW186=0,0,(BX186-BW186)/BW186*100)</f>
        <v>0</v>
      </c>
      <c r="BZ186" s="2846">
        <f>IF(BZ188=0,0,(BZ187*BZ188+BZ189*BZ190*6)/BZ188)</f>
        <v>0</v>
      </c>
      <c r="CA186" s="2846">
        <f>IF(CA188=0,0,(CA187*CA188+CA189*CA190*6)/CA188)</f>
        <v>0</v>
      </c>
      <c r="CB186" s="1093">
        <f>IF(BZ186=0,0,(CA186-BZ186)/BZ186*100)</f>
        <v>0</v>
      </c>
      <c r="CC186" s="2846">
        <f>IF(CC188=0,0,(CC187*CC188+CC189*CC190*6)/CC188)</f>
        <v>0</v>
      </c>
      <c r="CD186" s="2846">
        <f>IF(CD188=0,0,(CD187*CD188+CD189*CD190*6)/CD188)</f>
        <v>0</v>
      </c>
      <c r="CE186" s="1093">
        <f>IF(CC186=0,0,(CD186-CC186)/CC186*100)</f>
        <v>0</v>
      </c>
      <c r="CF186" s="2846">
        <f>IF(CF188=0,0,(CF187*CF188+CF189*CF190*6)/CF188)</f>
        <v>0</v>
      </c>
      <c r="CG186" s="2846">
        <f>IF(CG188=0,0,(CG187*CG188+CG189*CG190*6)/CG188)</f>
        <v>0</v>
      </c>
      <c r="CH186" s="1093">
        <f>IF(CF186=0,0,(CG186-CF186)/CF186*100)</f>
        <v>0</v>
      </c>
      <c r="CI186" s="2846">
        <f>IF(CI188=0,0,(CI187*CI188+CI189*CI190*6)/CI188)</f>
        <v>0</v>
      </c>
      <c r="CJ186" s="2846">
        <f>IF(CJ188=0,0,(CJ187*CJ188+CJ189*CJ190*6)/CJ188)</f>
        <v>0</v>
      </c>
      <c r="CK186" s="1093">
        <f>IF(CI186=0,0,(CJ186-CI186)/CI186*100)</f>
        <v>0</v>
      </c>
      <c r="CL186" s="2846">
        <f>IF(CL188=0,0,(CL187*CL188+CL189*CL190*6)/CL188)</f>
        <v>0</v>
      </c>
      <c r="CM186" s="2846">
        <f>IF(CM188=0,0,(CM187*CM188+CM189*CM190*6)/CM188)</f>
        <v>0</v>
      </c>
      <c r="CN186" s="1093">
        <f>IF(CL186=0,0,(CM186-CL186)/CL186*100)</f>
        <v>0</v>
      </c>
      <c r="CO186" s="2846">
        <f>IF(CO188=0,0,(CO187*CO188+CO189*CO190*6)/CO188)</f>
        <v>0</v>
      </c>
      <c r="CP186" s="2846">
        <f>IF(CP188=0,0,(CP187*CP188+CP189*CP190*6)/CP188)</f>
        <v>0</v>
      </c>
      <c r="CQ186" s="1093">
        <f>IF(CO186=0,0,(CP186-CO186)/CO186*100)</f>
        <v>0</v>
      </c>
      <c r="CR186" s="2846">
        <f>IF(CR188=0,0,(CR187*CR188+CR189*CR190*6)/CR188)</f>
        <v>0</v>
      </c>
      <c r="CS186" s="2846">
        <f>IF(CS188=0,0,(CS187*CS188+CS189*CS190*6)/CS188)</f>
        <v>0</v>
      </c>
      <c r="CT186" s="1093">
        <f>IF(CR186=0,0,(CS186-CR186)/CR186*100)</f>
        <v>0</v>
      </c>
      <c r="CU186" s="2846">
        <f>IF(CU188=0,0,(CU187*CU188+CU189*CU190*6)/CU188)</f>
        <v>0</v>
      </c>
      <c r="CV186" s="2846">
        <f>IF(CV188=0,0,(CV187*CV188+CV189*CV190*6)/CV188)</f>
        <v>0</v>
      </c>
      <c r="CW186" s="1093">
        <f>IF(CU186=0,0,(CV186-CU186)/CU186*100)</f>
        <v>0</v>
      </c>
      <c r="CX186" s="2846">
        <f>IF(CX188=0,0,(CX187*CX188+CX189*CX190*6)/CX188)</f>
        <v>0</v>
      </c>
      <c r="CY186" s="2846">
        <f>IF(CY188=0,0,(CY187*CY188+CY189*CY190*6)/CY188)</f>
        <v>0</v>
      </c>
      <c r="CZ186" s="1093">
        <f>IF(CX186=0,0,(CY186-CX186)/CX186*100)</f>
        <v>0</v>
      </c>
      <c r="DA186" s="2846">
        <f>IF(DA188=0,0,(DA187*DA188+DA189*DA190*6)/DA188)</f>
        <v>0</v>
      </c>
      <c r="DB186" s="2846">
        <f>IF(DB188=0,0,(DB187*DB188+DB189*DB190*6)/DB188)</f>
        <v>0</v>
      </c>
      <c r="DC186" s="1093">
        <f>IF(DA186=0,0,(DB186-DA186)/DA186*100)</f>
        <v>0</v>
      </c>
      <c r="DD186" s="2846">
        <f>IF(DD188=0,0,(DD187*DD188+DD189*DD190*6)/DD188)</f>
        <v>0</v>
      </c>
      <c r="DE186" s="2846">
        <f>IF(DE188=0,0,(DE187*DE188+DE189*DE190*6)/DE188)</f>
        <v>0</v>
      </c>
      <c r="DF186" s="1093">
        <f>IF(DD186=0,0,(DE186-DD186)/DD186*100)</f>
        <v>0</v>
      </c>
      <c r="DG186" s="2846">
        <f>IF(DG188=0,0,(DG187*DG188+DG189*DG190*6)/DG188)</f>
        <v>0</v>
      </c>
      <c r="DH186" s="2846">
        <f>IF(DH188=0,0,(DH187*DH188+DH189*DH190*6)/DH188)</f>
        <v>0</v>
      </c>
      <c r="DI186" s="1093">
        <f>IF(DG186=0,0,(DH186-DG186)/DG186*100)</f>
        <v>0</v>
      </c>
      <c r="DJ186" s="2846">
        <f>IF(DJ188=0,0,(DJ187*DJ188+DJ189*DJ190*6)/DJ188)</f>
        <v>0</v>
      </c>
      <c r="DK186" s="2846">
        <f>IF(DK188=0,0,(DK187*DK188+DK189*DK190*6)/DK188)</f>
        <v>0</v>
      </c>
      <c r="DL186" s="1093">
        <f>IF(DJ186=0,0,(DK186-DJ186)/DJ186*100)</f>
        <v>0</v>
      </c>
      <c r="DM186" s="2846">
        <f>IF(DM188=0,0,(DM187*DM188+DM189*DM190*6)/DM188)</f>
        <v>0</v>
      </c>
      <c r="DN186" s="2846">
        <f>IF(DN188=0,0,(DN187*DN188+DN189*DN190*6)/DN188)</f>
        <v>0</v>
      </c>
      <c r="DO186" s="1093">
        <f>IF(DM186=0,0,(DN186-DM186)/DM186*100)</f>
        <v>0</v>
      </c>
      <c r="DP186" s="2846">
        <f>IF(DP188=0,0,(DP187*DP188+DP189*DP190*6)/DP188)</f>
        <v>0</v>
      </c>
      <c r="DQ186" s="2846">
        <f>IF(DQ188=0,0,(DQ187*DQ188+DQ189*DQ190*6)/DQ188)</f>
        <v>0</v>
      </c>
      <c r="DR186" s="1093">
        <f>IF(DP186=0,0,(DQ186-DP186)/DP186*100)</f>
        <v>0</v>
      </c>
      <c r="DS186" s="2846">
        <f>IF(DS188=0,0,(DS187*DS188+DS189*DS190*6)/DS188)</f>
        <v>0</v>
      </c>
      <c r="DT186" s="2846">
        <f>IF(DT188=0,0,(DT187*DT188+DT189*DT190*6)/DT188)</f>
        <v>0</v>
      </c>
      <c r="DU186" s="1093">
        <f>IF(DS186=0,0,(DT186-DS186)/DS186*100)</f>
        <v>0</v>
      </c>
      <c r="DV186" s="2846">
        <f>IF(DV188=0,0,(DV187*DV188+DV189*DV190*6)/DV188)</f>
        <v>0</v>
      </c>
      <c r="DW186" s="2846">
        <f>IF(DW188=0,0,(DW187*DW188+DW189*DW190*6)/DW188)</f>
        <v>0</v>
      </c>
      <c r="DX186" s="1093">
        <f>IF(DV186=0,0,(DW186-DV186)/DV186*100)</f>
        <v>0</v>
      </c>
      <c r="DY186" s="2846">
        <f>IF(DY188=0,0,(DY187*DY188+DY189*DY190*6)/DY188)</f>
        <v>0</v>
      </c>
      <c r="DZ186" s="2846">
        <f>IF(DZ188=0,0,(DZ187*DZ188+DZ189*DZ190*6)/DZ188)</f>
        <v>0</v>
      </c>
      <c r="EA186" s="1093">
        <f>IF(DY186=0,0,(DZ186-DY186)/DY186*100)</f>
        <v>0</v>
      </c>
      <c r="EB186" s="2846">
        <f>IF(EB188=0,0,(EB187*EB188+EB189*EB190*6)/EB188)</f>
        <v>0</v>
      </c>
      <c r="EC186" s="2846">
        <f>IF(EC188=0,0,(EC187*EC188+EC189*EC190*6)/EC188)</f>
        <v>0</v>
      </c>
      <c r="ED186" s="1093">
        <f>IF(EB186=0,0,(EC186-EB186)/EB186*100)</f>
        <v>0</v>
      </c>
      <c r="EE186" s="2846">
        <f>IF(EE188=0,0,(EE187*EE188+EE189*EE190*6)/EE188)</f>
        <v>0</v>
      </c>
      <c r="EF186" s="2846">
        <f>IF(EF188=0,0,(EF187*EF188+EF189*EF190*6)/EF188)</f>
        <v>0</v>
      </c>
      <c r="EG186" s="1093">
        <f>IF(EE186=0,0,(EF186-EE186)/EE186*100)</f>
        <v>0</v>
      </c>
      <c r="EH186" s="2846">
        <f>IF(EH188=0,0,(EH187*EH188+EH189*EH190*6)/EH188)</f>
        <v>0</v>
      </c>
      <c r="EI186" s="2846">
        <f>IF(EI188=0,0,(EI187*EI188+EI189*EI190*6)/EI188)</f>
        <v>0</v>
      </c>
      <c r="EJ186" s="1093">
        <f>IF(EH186=0,0,(EI186-EH186)/EH186*100)</f>
        <v>0</v>
      </c>
      <c r="EK186" s="2846">
        <f>IF(EK188=0,0,(EK187*EK188+EK189*EK190*6)/EK188)</f>
        <v>0</v>
      </c>
      <c r="EL186" s="2846">
        <f>IF(EL188=0,0,(EL187*EL188+EL189*EL190*6)/EL188)</f>
        <v>0</v>
      </c>
      <c r="EM186" s="1093">
        <f>IF(EK186=0,0,(EL186-EK186)/EK186*100)</f>
        <v>0</v>
      </c>
      <c r="EN186" s="2846">
        <f>IF(EN188=0,0,(EN187*EN188+EN189*EN190*6)/EN188)</f>
        <v>0</v>
      </c>
      <c r="EO186" s="2846">
        <f>IF(EO188=0,0,(EO187*EO188+EO189*EO190*6)/EO188)</f>
        <v>0</v>
      </c>
      <c r="EP186" s="1093">
        <f>IF(EN186=0,0,(EO186-EN186)/EN186*100)</f>
        <v>0</v>
      </c>
      <c r="EQ186" s="2846">
        <f>IF(EQ188=0,0,(EQ187*EQ188+EQ189*EQ190*6)/EQ188)</f>
        <v>0</v>
      </c>
      <c r="ER186" s="2846">
        <f>IF(ER188=0,0,(ER187*ER188+ER189*ER190*6)/ER188)</f>
        <v>0</v>
      </c>
      <c r="ES186" s="1093">
        <f>IF(EQ186=0,0,(ER186-EQ186)/EQ186*100)</f>
        <v>0</v>
      </c>
      <c r="ET186" s="2846">
        <f>IF(ET188=0,0,(ET187*ET188+ET189*ET190*6)/ET188)</f>
        <v>0</v>
      </c>
      <c r="EU186" s="2846">
        <f>IF(EU188=0,0,(EU187*EU188+EU189*EU190*6)/EU188)</f>
        <v>0</v>
      </c>
      <c r="EV186" s="1093">
        <f>IF(ET186=0,0,(EU186-ET186)/ET186*100)</f>
        <v>0</v>
      </c>
      <c r="EW186" s="2846">
        <f>IF(EW188=0,0,(EW187*EW188+EW189*EW190*6)/EW188)</f>
        <v>0</v>
      </c>
      <c r="EX186" s="2846">
        <f>IF(EX188=0,0,(EX187*EX188+EX189*EX190*6)/EX188)</f>
        <v>0</v>
      </c>
      <c r="EY186" s="1093">
        <f>IF(EW186=0,0,(EX186-EW186)/EW186*100)</f>
        <v>0</v>
      </c>
      <c r="EZ186" s="2846">
        <f>IF(EZ188=0,0,(EZ187*EZ188+EZ189*EZ190*6)/EZ188)</f>
        <v>0</v>
      </c>
      <c r="FA186" s="2846">
        <f>IF(FA188=0,0,(FA187*FA188+FA189*FA190*6)/FA188)</f>
        <v>0</v>
      </c>
      <c r="FB186" s="1093">
        <f>IF(EZ186=0,0,(FA186-EZ186)/EZ186*100)</f>
        <v>0</v>
      </c>
      <c r="FC186" s="2846">
        <f>IF(FC188=0,0,(FC187*FC188+FC189*FC190*6)/FC188)</f>
        <v>0</v>
      </c>
      <c r="FD186" s="2846">
        <f>IF(FD188=0,0,(FD187*FD188+FD189*FD190*6)/FD188)</f>
        <v>0</v>
      </c>
      <c r="FE186" s="1093">
        <f>IF(FC186=0,0,(FD186-FC186)/FC186*100)</f>
        <v>0</v>
      </c>
      <c r="FF186" s="2846">
        <f>IF(FF188=0,0,(FF187*FF188+FF189*FF190*6)/FF188)</f>
        <v>0</v>
      </c>
      <c r="FG186" s="2846">
        <f>IF(FG188=0,0,(FG187*FG188+FG189*FG190*6)/FG188)</f>
        <v>0</v>
      </c>
      <c r="FH186" s="1093">
        <f>IF(FF186=0,0,(FG186-FF186)/FF186*100)</f>
        <v>0</v>
      </c>
      <c r="FI186" s="2846">
        <f>IF(FI188=0,0,(FI187*FI188+FI189*FI190*6)/FI188)</f>
        <v>0</v>
      </c>
      <c r="FJ186" s="2846">
        <f>IF(FJ188=0,0,(FJ187*FJ188+FJ189*FJ190*6)/FJ188)</f>
        <v>0</v>
      </c>
      <c r="FK186" s="1093">
        <f>IF(FI186=0,0,(FJ186-FI186)/FI186*100)</f>
        <v>0</v>
      </c>
      <c r="FL186" s="2846">
        <f>IF(FL188=0,0,(FL187*FL188+FL189*FL190*6)/FL188)</f>
        <v>0</v>
      </c>
      <c r="FM186" s="2846">
        <f>IF(FM188=0,0,(FM187*FM188+FM189*FM190*6)/FM188)</f>
        <v>0</v>
      </c>
      <c r="FN186" s="1093">
        <f>IF(FL186=0,0,(FM186-FL186)/FL186*100)</f>
        <v>0</v>
      </c>
      <c r="FO186" s="2846">
        <f>IF(FO188=0,0,(FO187*FO188+FO189*FO190*6)/FO188)</f>
        <v>0</v>
      </c>
      <c r="FP186" s="2846">
        <f>IF(FP188=0,0,(FP187*FP188+FP189*FP190*6)/FP188)</f>
        <v>0</v>
      </c>
      <c r="FQ186" s="1093">
        <f>IF(FO186=0,0,(FP186-FO186)/FO186*100)</f>
        <v>0</v>
      </c>
      <c r="FR186" s="2846">
        <f>IF(FR188=0,0,(FR187*FR188+FR189*FR190*6)/FR188)</f>
        <v>0</v>
      </c>
      <c r="FS186" s="2846">
        <f>IF(FS188=0,0,(FS187*FS188+FS189*FS190*6)/FS188)</f>
        <v>0</v>
      </c>
      <c r="FT186" s="1093">
        <f>IF(FR186=0,0,(FS186-FR186)/FR186*100)</f>
        <v>0</v>
      </c>
      <c r="FU186" s="2846">
        <f>IF(FU188=0,0,(FU187*FU188+FU189*FU190*6)/FU188)</f>
        <v>0</v>
      </c>
      <c r="FV186" s="2846">
        <f>IF(FV188=0,0,(FV187*FV188+FV189*FV190*6)/FV188)</f>
        <v>0</v>
      </c>
      <c r="FW186" s="1093">
        <f>IF(FU186=0,0,(FV186-FU186)/FU186*100)</f>
        <v>0</v>
      </c>
      <c r="FX186" s="1304"/>
      <c r="FY186" s="1304"/>
      <c r="FZ186" s="1055" t="s">
        <v>2391</v>
      </c>
      <c r="GA186" s="1306"/>
      <c r="GB186" s="1306"/>
      <c r="GC186" s="1305"/>
      <c r="GD186" s="1305"/>
    </row>
    <row s="1834" customFormat="1" customHeight="1" ht="14.25" hidden="1">
      <c r="A187" s="493"/>
      <c r="B187" s="925" cm="1" t="str">
        <f t="array" ref="B187:B187">B186</f>
        <v>false</v>
      </c>
      <c r="C187" s="493"/>
      <c r="D187" s="493"/>
      <c r="E187" s="840">
        <v>15</v>
      </c>
      <c r="F187" s="50" cm="1" t="str">
        <f t="array" ref="F187:F187">OFFSET(E187,-1,1)</f>
        <v>2</v>
      </c>
      <c r="G187" s="493"/>
      <c r="H187" s="493" t="s">
        <v>2299</v>
      </c>
      <c r="I187" s="493" t="s">
        <v>2350</v>
      </c>
      <c r="J187" s="493"/>
      <c r="K187" s="493"/>
      <c r="L187" s="493"/>
      <c r="M187" s="493"/>
      <c r="N187" s="493"/>
      <c r="O187" s="493"/>
      <c r="P187" s="493"/>
      <c r="Q187" s="493"/>
      <c r="R187" s="493"/>
      <c r="S187" s="493"/>
      <c r="T187" s="465" cm="1" t="str">
        <f t="array" ref="T187:T187">T186</f>
        <v>true</v>
      </c>
      <c r="U187" s="493"/>
      <c r="V187" s="493"/>
      <c r="W187" s="493"/>
      <c r="X187" s="1596"/>
      <c r="Y187" s="493"/>
      <c r="Z187" s="1545"/>
      <c r="AA187" s="493"/>
      <c r="AB187" s="1091" t="str">
        <f>"ставка платы за "&amp;IF(Q155="Водоснабжение","потребление 1 куб.м холодной воды","объем принятых сточных вод")</f>
        <v>ставка платы за потребление 1 куб.м холодной воды</v>
      </c>
      <c r="AC187" s="864" t="s">
        <v>2337</v>
      </c>
      <c r="AD187" s="2846"/>
      <c r="AE187" s="2846"/>
      <c r="AF187" s="1093">
        <f>IF(AD187=0,0,(AE187-AD187)/AD187*100)</f>
        <v>0</v>
      </c>
      <c r="AG187" s="2846"/>
      <c r="AH187" s="2846"/>
      <c r="AI187" s="1093">
        <f>IF(AG187=0,0,(AH187-AG187)/AG187*100)</f>
        <v>0</v>
      </c>
      <c r="AJ187" s="2846"/>
      <c r="AK187" s="2846"/>
      <c r="AL187" s="1093">
        <f>IF(AJ187=0,0,(AK187-AJ187)/AJ187*100)</f>
        <v>0</v>
      </c>
      <c r="AM187" s="2846"/>
      <c r="AN187" s="2846"/>
      <c r="AO187" s="1093">
        <f>IF(AM187=0,0,(AN187-AM187)/AM187*100)</f>
        <v>0</v>
      </c>
      <c r="AP187" s="2846"/>
      <c r="AQ187" s="2846"/>
      <c r="AR187" s="1093">
        <f>IF(AP187=0,0,(AQ187-AP187)/AP187*100)</f>
        <v>0</v>
      </c>
      <c r="AS187" s="2846"/>
      <c r="AT187" s="2846"/>
      <c r="AU187" s="1093">
        <f>IF(AS187=0,0,(AT187-AS187)/AS187*100)</f>
        <v>0</v>
      </c>
      <c r="AV187" s="2846"/>
      <c r="AW187" s="2846"/>
      <c r="AX187" s="1093">
        <f>IF(AV187=0,0,(AW187-AV187)/AV187*100)</f>
        <v>0</v>
      </c>
      <c r="AY187" s="2846"/>
      <c r="AZ187" s="2846"/>
      <c r="BA187" s="1093">
        <f>IF(AY187=0,0,(AZ187-AY187)/AY187*100)</f>
        <v>0</v>
      </c>
      <c r="BB187" s="2846"/>
      <c r="BC187" s="2846"/>
      <c r="BD187" s="1093">
        <f>IF(BB187=0,0,(BC187-BB187)/BB187*100)</f>
        <v>0</v>
      </c>
      <c r="BE187" s="2846"/>
      <c r="BF187" s="2846"/>
      <c r="BG187" s="1093">
        <f>IF(BE187=0,0,(BF187-BE187)/BE187*100)</f>
        <v>0</v>
      </c>
      <c r="BH187" s="2846"/>
      <c r="BI187" s="2846"/>
      <c r="BJ187" s="1093">
        <f>IF(BH187=0,0,(BI187-BH187)/BH187*100)</f>
        <v>0</v>
      </c>
      <c r="BK187" s="2846"/>
      <c r="BL187" s="2846"/>
      <c r="BM187" s="1093">
        <f>IF(BK187=0,0,(BL187-BK187)/BK187*100)</f>
        <v>0</v>
      </c>
      <c r="BN187" s="2846"/>
      <c r="BO187" s="2846"/>
      <c r="BP187" s="1093">
        <f>IF(BN187=0,0,(BO187-BN187)/BN187*100)</f>
        <v>0</v>
      </c>
      <c r="BQ187" s="2846"/>
      <c r="BR187" s="2846"/>
      <c r="BS187" s="1093">
        <f>IF(BQ187=0,0,(BR187-BQ187)/BQ187*100)</f>
        <v>0</v>
      </c>
      <c r="BT187" s="2846"/>
      <c r="BU187" s="2846"/>
      <c r="BV187" s="1093">
        <f>IF(BT187=0,0,(BU187-BT187)/BT187*100)</f>
        <v>0</v>
      </c>
      <c r="BW187" s="2846"/>
      <c r="BX187" s="2846"/>
      <c r="BY187" s="1093">
        <f>IF(BW187=0,0,(BX187-BW187)/BW187*100)</f>
        <v>0</v>
      </c>
      <c r="BZ187" s="2846"/>
      <c r="CA187" s="2846"/>
      <c r="CB187" s="1093">
        <f>IF(BZ187=0,0,(CA187-BZ187)/BZ187*100)</f>
        <v>0</v>
      </c>
      <c r="CC187" s="2846"/>
      <c r="CD187" s="2846"/>
      <c r="CE187" s="1093">
        <f>IF(CC187=0,0,(CD187-CC187)/CC187*100)</f>
        <v>0</v>
      </c>
      <c r="CF187" s="2846"/>
      <c r="CG187" s="2846"/>
      <c r="CH187" s="1093">
        <f>IF(CF187=0,0,(CG187-CF187)/CF187*100)</f>
        <v>0</v>
      </c>
      <c r="CI187" s="2846"/>
      <c r="CJ187" s="2846"/>
      <c r="CK187" s="1093">
        <f>IF(CI187=0,0,(CJ187-CI187)/CI187*100)</f>
        <v>0</v>
      </c>
      <c r="CL187" s="2846"/>
      <c r="CM187" s="2846"/>
      <c r="CN187" s="1093">
        <f>IF(CL187=0,0,(CM187-CL187)/CL187*100)</f>
        <v>0</v>
      </c>
      <c r="CO187" s="2846"/>
      <c r="CP187" s="2846"/>
      <c r="CQ187" s="1093">
        <f>IF(CO187=0,0,(CP187-CO187)/CO187*100)</f>
        <v>0</v>
      </c>
      <c r="CR187" s="2846"/>
      <c r="CS187" s="2846"/>
      <c r="CT187" s="1093">
        <f>IF(CR187=0,0,(CS187-CR187)/CR187*100)</f>
        <v>0</v>
      </c>
      <c r="CU187" s="2846"/>
      <c r="CV187" s="2846"/>
      <c r="CW187" s="1093">
        <f>IF(CU187=0,0,(CV187-CU187)/CU187*100)</f>
        <v>0</v>
      </c>
      <c r="CX187" s="2846"/>
      <c r="CY187" s="2846"/>
      <c r="CZ187" s="1093">
        <f>IF(CX187=0,0,(CY187-CX187)/CX187*100)</f>
        <v>0</v>
      </c>
      <c r="DA187" s="2846"/>
      <c r="DB187" s="2846"/>
      <c r="DC187" s="1093">
        <f>IF(DA187=0,0,(DB187-DA187)/DA187*100)</f>
        <v>0</v>
      </c>
      <c r="DD187" s="2846"/>
      <c r="DE187" s="2846"/>
      <c r="DF187" s="1093">
        <f>IF(DD187=0,0,(DE187-DD187)/DD187*100)</f>
        <v>0</v>
      </c>
      <c r="DG187" s="2846"/>
      <c r="DH187" s="2846"/>
      <c r="DI187" s="1093">
        <f>IF(DG187=0,0,(DH187-DG187)/DG187*100)</f>
        <v>0</v>
      </c>
      <c r="DJ187" s="2846"/>
      <c r="DK187" s="2846"/>
      <c r="DL187" s="1093">
        <f>IF(DJ187=0,0,(DK187-DJ187)/DJ187*100)</f>
        <v>0</v>
      </c>
      <c r="DM187" s="2846"/>
      <c r="DN187" s="2846"/>
      <c r="DO187" s="1093">
        <f>IF(DM187=0,0,(DN187-DM187)/DM187*100)</f>
        <v>0</v>
      </c>
      <c r="DP187" s="2846"/>
      <c r="DQ187" s="2846"/>
      <c r="DR187" s="1093">
        <f>IF(DP187=0,0,(DQ187-DP187)/DP187*100)</f>
        <v>0</v>
      </c>
      <c r="DS187" s="2846"/>
      <c r="DT187" s="2846"/>
      <c r="DU187" s="1093">
        <f>IF(DS187=0,0,(DT187-DS187)/DS187*100)</f>
        <v>0</v>
      </c>
      <c r="DV187" s="2846"/>
      <c r="DW187" s="2846"/>
      <c r="DX187" s="1093">
        <f>IF(DV187=0,0,(DW187-DV187)/DV187*100)</f>
        <v>0</v>
      </c>
      <c r="DY187" s="2846"/>
      <c r="DZ187" s="2846"/>
      <c r="EA187" s="1093">
        <f>IF(DY187=0,0,(DZ187-DY187)/DY187*100)</f>
        <v>0</v>
      </c>
      <c r="EB187" s="2846"/>
      <c r="EC187" s="2846"/>
      <c r="ED187" s="1093">
        <f>IF(EB187=0,0,(EC187-EB187)/EB187*100)</f>
        <v>0</v>
      </c>
      <c r="EE187" s="2846"/>
      <c r="EF187" s="2846"/>
      <c r="EG187" s="1093">
        <f>IF(EE187=0,0,(EF187-EE187)/EE187*100)</f>
        <v>0</v>
      </c>
      <c r="EH187" s="2846"/>
      <c r="EI187" s="2846"/>
      <c r="EJ187" s="1093">
        <f>IF(EH187=0,0,(EI187-EH187)/EH187*100)</f>
        <v>0</v>
      </c>
      <c r="EK187" s="2846"/>
      <c r="EL187" s="2846"/>
      <c r="EM187" s="1093">
        <f>IF(EK187=0,0,(EL187-EK187)/EK187*100)</f>
        <v>0</v>
      </c>
      <c r="EN187" s="2846"/>
      <c r="EO187" s="2846"/>
      <c r="EP187" s="1093">
        <f>IF(EN187=0,0,(EO187-EN187)/EN187*100)</f>
        <v>0</v>
      </c>
      <c r="EQ187" s="2846"/>
      <c r="ER187" s="2846"/>
      <c r="ES187" s="1093">
        <f>IF(EQ187=0,0,(ER187-EQ187)/EQ187*100)</f>
        <v>0</v>
      </c>
      <c r="ET187" s="2846"/>
      <c r="EU187" s="2846"/>
      <c r="EV187" s="1093">
        <f>IF(ET187=0,0,(EU187-ET187)/ET187*100)</f>
        <v>0</v>
      </c>
      <c r="EW187" s="2846"/>
      <c r="EX187" s="2846"/>
      <c r="EY187" s="1093">
        <f>IF(EW187=0,0,(EX187-EW187)/EW187*100)</f>
        <v>0</v>
      </c>
      <c r="EZ187" s="2846"/>
      <c r="FA187" s="2846"/>
      <c r="FB187" s="1093">
        <f>IF(EZ187=0,0,(FA187-EZ187)/EZ187*100)</f>
        <v>0</v>
      </c>
      <c r="FC187" s="2846"/>
      <c r="FD187" s="2846"/>
      <c r="FE187" s="1093">
        <f>IF(FC187=0,0,(FD187-FC187)/FC187*100)</f>
        <v>0</v>
      </c>
      <c r="FF187" s="2846"/>
      <c r="FG187" s="2846"/>
      <c r="FH187" s="1093">
        <f>IF(FF187=0,0,(FG187-FF187)/FF187*100)</f>
        <v>0</v>
      </c>
      <c r="FI187" s="2846"/>
      <c r="FJ187" s="2846"/>
      <c r="FK187" s="1093">
        <f>IF(FI187=0,0,(FJ187-FI187)/FI187*100)</f>
        <v>0</v>
      </c>
      <c r="FL187" s="2846"/>
      <c r="FM187" s="2846"/>
      <c r="FN187" s="1093">
        <f>IF(FL187=0,0,(FM187-FL187)/FL187*100)</f>
        <v>0</v>
      </c>
      <c r="FO187" s="2846"/>
      <c r="FP187" s="2846"/>
      <c r="FQ187" s="1093">
        <f>IF(FO187=0,0,(FP187-FO187)/FO187*100)</f>
        <v>0</v>
      </c>
      <c r="FR187" s="2846"/>
      <c r="FS187" s="2846"/>
      <c r="FT187" s="1093">
        <f>IF(FR187=0,0,(FS187-FR187)/FR187*100)</f>
        <v>0</v>
      </c>
      <c r="FU187" s="2846"/>
      <c r="FV187" s="2846"/>
      <c r="FW187" s="1093">
        <f>IF(FU187=0,0,(FV187-FU187)/FU187*100)</f>
        <v>0</v>
      </c>
      <c r="FX187" s="1304"/>
      <c r="FY187" s="1304"/>
      <c r="FZ187" s="1055" t="s">
        <v>2392</v>
      </c>
      <c r="GA187" s="1306"/>
      <c r="GB187" s="1306"/>
      <c r="GC187" s="1305"/>
      <c r="GD187" s="1305"/>
    </row>
    <row s="1834" customFormat="1" customHeight="1" ht="14.25" hidden="1">
      <c r="A188" s="493"/>
      <c r="B188" s="925" cm="1" t="str">
        <f t="array" ref="B188:B188">B187</f>
        <v>false</v>
      </c>
      <c r="C188" s="493"/>
      <c r="D188" s="493"/>
      <c r="E188" s="840">
        <v>15</v>
      </c>
      <c r="F188" s="50" cm="1" t="str">
        <f t="array" ref="F188:F188">OFFSET(E188,-1,1)</f>
        <v>2</v>
      </c>
      <c r="G188" s="107" t="s">
        <v>2393</v>
      </c>
      <c r="H188" s="493" t="s">
        <v>2374</v>
      </c>
      <c r="I188" s="493" t="s">
        <v>2350</v>
      </c>
      <c r="J188" s="493"/>
      <c r="K188" s="493"/>
      <c r="L188" s="493"/>
      <c r="M188" s="493"/>
      <c r="N188" s="493"/>
      <c r="O188" s="493"/>
      <c r="P188" s="493"/>
      <c r="Q188" s="493"/>
      <c r="R188" s="493"/>
      <c r="S188" s="493"/>
      <c r="T188" s="465" cm="1" t="str">
        <f t="array" ref="T188:T188">T187</f>
        <v>true</v>
      </c>
      <c r="U188" s="493"/>
      <c r="V188" s="493"/>
      <c r="W188" s="493"/>
      <c r="X188" s="1596"/>
      <c r="Y188" s="493"/>
      <c r="Z188" s="1545"/>
      <c r="AA188" s="493"/>
      <c r="AB188" s="1091" t="str">
        <f>"объём "&amp;IF(Q155="Водоснабжение","потребления холодной воды","водоотведения")</f>
        <v>объём потребления холодной воды</v>
      </c>
      <c r="AC188" s="864" t="s">
        <v>1247</v>
      </c>
      <c r="AD188" s="5247">
        <f>IF(AND(method_reg="Метод индексации",god&lt;&gt;first_year),_xlfn.SUMIFS(INDEX('Калькуляция (МИ корр)'!$AJ$25:$BC$747,,MATCH(AD$8,'Калькуляция (МИ корр)'!$AJ$8:$BC$8,0)),'Калькуляция (МИ корр)'!$F$25:$F$747,$F188,'Калькуляция (МИ корр)'!$G$25:$G$747,$G188),IF(method_reg="Метод экономически обоснованных расходов",_xlfn.SUMIFS('Калькуляция (МЭОР)'!$AJ$25:$AJ$452,'Калькуляция (МЭОР)'!$F$25:$F$452,$F188,'Калькуляция (МЭОР)'!$G$25:$G$452,$G188),IF(method_reg="Метод сравнения аналогов",_xlfn.SUMIFS('Калькуляция (МСА)'!$AE$25:$AE$122,'Калькуляция (МСА)'!$F$25:$F$122,$F188,'Калькуляция (МСА)'!$G$25:$G$122,$G188),_xlfn.SUMIFS(INDEX('Калькуляция (МИ)'!$AJ$25:$BC$747,,MATCH(AD$8,'Калькуляция (МИ)'!$AJ$8:$BC$8,0)),'Калькуляция (МИ)'!$F$25:$F$747,$F188,'Калькуляция (МИ)'!$G$25:$G$747,$G188))))</f>
        <v>512.0898075</v>
      </c>
      <c r="AE188" s="5247">
        <f>IF(AND(method_reg="Метод индексации",god&lt;&gt;first_year),_xlfn.SUMIFS(INDEX('Калькуляция (МИ корр)'!$AJ$25:$BC$747,,MATCH(AE$8,'Калькуляция (МИ корр)'!$AJ$8:$BC$8,0)),'Калькуляция (МИ корр)'!$F$25:$F$747,$F188,'Калькуляция (МИ корр)'!$G$25:$G$747,$G188),IF(method_reg="Метод экономически обоснованных расходов",_xlfn.SUMIFS('Калькуляция (МЭОР)'!$AK$25:$AK$452,'Калькуляция (МЭОР)'!$F$25:$F$452,$F188,'Калькуляция (МЭОР)'!$G$25:$G$452,$G188),IF(method_reg="Метод сравнения аналогов",_xlfn.SUMIFS('Калькуляция (МСА)'!$AF$25:$AF$122,'Калькуляция (МСА)'!$F$25:$F$122,$F188,'Калькуляция (МСА)'!$G$25:$G$122,$G188),_xlfn.SUMIFS(INDEX('Калькуляция (МИ)'!$AJ$25:$BC$747,,MATCH(AE$8,'Калькуляция (МИ)'!$AJ$8:$BC$8,0)),'Калькуляция (МИ)'!$F$25:$F$747,$F188,'Калькуляция (МИ)'!$G$25:$G$747,$G188))))</f>
        <v>512.0898075</v>
      </c>
      <c r="AF188" s="1095">
        <f>IF(AD188=0,0,(AE188-AD188)/AD188*100)</f>
        <v>0</v>
      </c>
      <c r="AG188" s="5247">
        <f>IF(AND(method_reg="Метод индексации",god&lt;&gt;first_year),_xlfn.SUMIFS(INDEX('Калькуляция (МИ корр)'!$AJ$25:$BC$747,,MATCH(AG$8,'Калькуляция (МИ корр)'!$AJ$8:$BC$8,0)),'Калькуляция (МИ корр)'!$F$25:$F$747,$F188,'Калькуляция (МИ корр)'!$G$25:$G$747,$G188),IF(method_reg="Метод экономически обоснованных расходов",_xlfn.SUMIFS('Калькуляция (МЭОР)'!$AJ$25:$AJ$452,'Калькуляция (МЭОР)'!$F$25:$F$452,$F188,'Калькуляция (МЭОР)'!$G$25:$G$452,$G188),IF(method_reg="Метод сравнения аналогов",_xlfn.SUMIFS('Калькуляция (МСА)'!$AE$25:$AE$122,'Калькуляция (МСА)'!$F$25:$F$122,$F188,'Калькуляция (МСА)'!$G$25:$G$122,$G188),_xlfn.SUMIFS(INDEX('Калькуляция (МИ)'!$AJ$25:$BC$747,,MATCH(AG$8,'Калькуляция (МИ)'!$AJ$8:$BC$8,0)),'Калькуляция (МИ)'!$F$25:$F$747,$F188,'Калькуляция (МИ)'!$G$25:$G$747,$G188))))</f>
        <v>341.393205</v>
      </c>
      <c r="AH188" s="5247">
        <f>IF(AND(method_reg="Метод индексации",god&lt;&gt;first_year),_xlfn.SUMIFS(INDEX('Калькуляция (МИ корр)'!$AJ$25:$BC$747,,MATCH(AH$8,'Калькуляция (МИ корр)'!$AJ$8:$BC$8,0)),'Калькуляция (МИ корр)'!$F$25:$F$747,$F188,'Калькуляция (МИ корр)'!$G$25:$G$747,$G188),IF(method_reg="Метод экономически обоснованных расходов",_xlfn.SUMIFS('Калькуляция (МЭОР)'!$AK$25:$AK$452,'Калькуляция (МЭОР)'!$F$25:$F$452,$F188,'Калькуляция (МЭОР)'!$G$25:$G$452,$G188),IF(method_reg="Метод сравнения аналогов",_xlfn.SUMIFS('Калькуляция (МСА)'!$AF$25:$AF$122,'Калькуляция (МСА)'!$F$25:$F$122,$F188,'Калькуляция (МСА)'!$G$25:$G$122,$G188),_xlfn.SUMIFS(INDEX('Калькуляция (МИ)'!$AJ$25:$BC$747,,MATCH(AH$8,'Калькуляция (МИ)'!$AJ$8:$BC$8,0)),'Калькуляция (МИ)'!$F$25:$F$747,$F188,'Калькуляция (МИ)'!$G$25:$G$747,$G188))))</f>
        <v>341.393205</v>
      </c>
      <c r="AI188" s="1095">
        <f>IF(AG188=0,0,(AH188-AG188)/AG188*100)</f>
        <v>0</v>
      </c>
      <c r="AJ188" s="5247">
        <f>IF(AND(method_reg="Метод индексации",god&lt;&gt;first_year),_xlfn.SUMIFS(INDEX('Калькуляция (МИ корр)'!$AJ$25:$BC$747,,MATCH(AJ$8,'Калькуляция (МИ корр)'!$AJ$8:$BC$8,0)),'Калькуляция (МИ корр)'!$F$25:$F$747,$F188,'Калькуляция (МИ корр)'!$G$25:$G$747,$G188),IF(method_reg="Метод экономически обоснованных расходов",_xlfn.SUMIFS('Калькуляция (МЭОР)'!$AJ$25:$AJ$452,'Калькуляция (МЭОР)'!$F$25:$F$452,$F188,'Калькуляция (МЭОР)'!$G$25:$G$452,$G188),IF(method_reg="Метод сравнения аналогов",_xlfn.SUMIFS('Калькуляция (МСА)'!$AE$25:$AE$122,'Калькуляция (МСА)'!$F$25:$F$122,$F188,'Калькуляция (МСА)'!$G$25:$G$122,$G188),_xlfn.SUMIFS(INDEX('Калькуляция (МИ)'!$AJ$25:$BC$747,,MATCH(AJ$8,'Калькуляция (МИ)'!$AJ$8:$BC$8,0)),'Калькуляция (МИ)'!$F$25:$F$747,$F188,'Калькуляция (МИ)'!$G$25:$G$747,$G188))))</f>
        <v>341.393205</v>
      </c>
      <c r="AK188" s="5247">
        <f>IF(AND(method_reg="Метод индексации",god&lt;&gt;first_year),_xlfn.SUMIFS(INDEX('Калькуляция (МИ корр)'!$AJ$25:$BC$747,,MATCH(AK$8,'Калькуляция (МИ корр)'!$AJ$8:$BC$8,0)),'Калькуляция (МИ корр)'!$F$25:$F$747,$F188,'Калькуляция (МИ корр)'!$G$25:$G$747,$G188),IF(method_reg="Метод экономически обоснованных расходов",_xlfn.SUMIFS('Калькуляция (МЭОР)'!$AK$25:$AK$452,'Калькуляция (МЭОР)'!$F$25:$F$452,$F188,'Калькуляция (МЭОР)'!$G$25:$G$452,$G188),IF(method_reg="Метод сравнения аналогов",_xlfn.SUMIFS('Калькуляция (МСА)'!$AF$25:$AF$122,'Калькуляция (МСА)'!$F$25:$F$122,$F188,'Калькуляция (МСА)'!$G$25:$G$122,$G188),_xlfn.SUMIFS(INDEX('Калькуляция (МИ)'!$AJ$25:$BC$747,,MATCH(AK$8,'Калькуляция (МИ)'!$AJ$8:$BC$8,0)),'Калькуляция (МИ)'!$F$25:$F$747,$F188,'Калькуляция (МИ)'!$G$25:$G$747,$G188))))</f>
        <v>341.393205</v>
      </c>
      <c r="AL188" s="1095">
        <f>IF(AJ188=0,0,(AK188-AJ188)/AJ188*100)</f>
        <v>0</v>
      </c>
      <c r="AM188" s="5247">
        <f>IF(AND(method_reg="Метод индексации",god&lt;&gt;first_year),_xlfn.SUMIFS(INDEX('Калькуляция (МИ корр)'!$AJ$25:$BC$747,,MATCH(AM$8,'Калькуляция (МИ корр)'!$AJ$8:$BC$8,0)),'Калькуляция (МИ корр)'!$F$25:$F$747,$F188,'Калькуляция (МИ корр)'!$G$25:$G$747,$G188),IF(method_reg="Метод экономически обоснованных расходов",_xlfn.SUMIFS('Калькуляция (МЭОР)'!$AJ$25:$AJ$452,'Калькуляция (МЭОР)'!$F$25:$F$452,$F188,'Калькуляция (МЭОР)'!$G$25:$G$452,$G188),IF(method_reg="Метод сравнения аналогов",_xlfn.SUMIFS('Калькуляция (МСА)'!$AE$25:$AE$122,'Калькуляция (МСА)'!$F$25:$F$122,$F188,'Калькуляция (МСА)'!$G$25:$G$122,$G188),_xlfn.SUMIFS(INDEX('Калькуляция (МИ)'!$AJ$25:$BC$747,,MATCH(AM$8,'Калькуляция (МИ)'!$AJ$8:$BC$8,0)),'Калькуляция (МИ)'!$F$25:$F$747,$F188,'Калькуляция (МИ)'!$G$25:$G$747,$G188))))</f>
        <v>341.393205</v>
      </c>
      <c r="AN188" s="5247">
        <f>IF(AND(method_reg="Метод индексации",god&lt;&gt;first_year),_xlfn.SUMIFS(INDEX('Калькуляция (МИ корр)'!$AJ$25:$BC$747,,MATCH(AN$8,'Калькуляция (МИ корр)'!$AJ$8:$BC$8,0)),'Калькуляция (МИ корр)'!$F$25:$F$747,$F188,'Калькуляция (МИ корр)'!$G$25:$G$747,$G188),IF(method_reg="Метод экономически обоснованных расходов",_xlfn.SUMIFS('Калькуляция (МЭОР)'!$AK$25:$AK$452,'Калькуляция (МЭОР)'!$F$25:$F$452,$F188,'Калькуляция (МЭОР)'!$G$25:$G$452,$G188),IF(method_reg="Метод сравнения аналогов",_xlfn.SUMIFS('Калькуляция (МСА)'!$AF$25:$AF$122,'Калькуляция (МСА)'!$F$25:$F$122,$F188,'Калькуляция (МСА)'!$G$25:$G$122,$G188),_xlfn.SUMIFS(INDEX('Калькуляция (МИ)'!$AJ$25:$BC$747,,MATCH(AN$8,'Калькуляция (МИ)'!$AJ$8:$BC$8,0)),'Калькуляция (МИ)'!$F$25:$F$747,$F188,'Калькуляция (МИ)'!$G$25:$G$747,$G188))))</f>
        <v>341.393205</v>
      </c>
      <c r="AO188" s="1095">
        <f>IF(AM188=0,0,(AN188-AM188)/AM188*100)</f>
        <v>0</v>
      </c>
      <c r="AP188" s="5247">
        <f>IF(AND(method_reg="Метод индексации",god&lt;&gt;first_year),_xlfn.SUMIFS(INDEX('Калькуляция (МИ корр)'!$AJ$25:$BC$747,,MATCH(AP$8,'Калькуляция (МИ корр)'!$AJ$8:$BC$8,0)),'Калькуляция (МИ корр)'!$F$25:$F$747,$F188,'Калькуляция (МИ корр)'!$G$25:$G$747,$G188),IF(method_reg="Метод экономически обоснованных расходов",_xlfn.SUMIFS('Калькуляция (МЭОР)'!$AJ$25:$AJ$452,'Калькуляция (МЭОР)'!$F$25:$F$452,$F188,'Калькуляция (МЭОР)'!$G$25:$G$452,$G188),IF(method_reg="Метод сравнения аналогов",_xlfn.SUMIFS('Калькуляция (МСА)'!$AE$25:$AE$122,'Калькуляция (МСА)'!$F$25:$F$122,$F188,'Калькуляция (МСА)'!$G$25:$G$122,$G188),_xlfn.SUMIFS(INDEX('Калькуляция (МИ)'!$AJ$25:$BC$747,,MATCH(AP$8,'Калькуляция (МИ)'!$AJ$8:$BC$8,0)),'Калькуляция (МИ)'!$F$25:$F$747,$F188,'Калькуляция (МИ)'!$G$25:$G$747,$G188))))</f>
        <v>341.393205</v>
      </c>
      <c r="AQ188" s="5247">
        <f>IF(AND(method_reg="Метод индексации",god&lt;&gt;first_year),_xlfn.SUMIFS(INDEX('Калькуляция (МИ корр)'!$AJ$25:$BC$747,,MATCH(AQ$8,'Калькуляция (МИ корр)'!$AJ$8:$BC$8,0)),'Калькуляция (МИ корр)'!$F$25:$F$747,$F188,'Калькуляция (МИ корр)'!$G$25:$G$747,$G188),IF(method_reg="Метод экономически обоснованных расходов",_xlfn.SUMIFS('Калькуляция (МЭОР)'!$AK$25:$AK$452,'Калькуляция (МЭОР)'!$F$25:$F$452,$F188,'Калькуляция (МЭОР)'!$G$25:$G$452,$G188),IF(method_reg="Метод сравнения аналогов",_xlfn.SUMIFS('Калькуляция (МСА)'!$AF$25:$AF$122,'Калькуляция (МСА)'!$F$25:$F$122,$F188,'Калькуляция (МСА)'!$G$25:$G$122,$G188),_xlfn.SUMIFS(INDEX('Калькуляция (МИ)'!$AJ$25:$BC$747,,MATCH(AQ$8,'Калькуляция (МИ)'!$AJ$8:$BC$8,0)),'Калькуляция (МИ)'!$F$25:$F$747,$F188,'Калькуляция (МИ)'!$G$25:$G$747,$G188))))</f>
        <v>341.393205</v>
      </c>
      <c r="AR188" s="1095">
        <f>IF(AP188=0,0,(AQ188-AP188)/AP188*100)</f>
        <v>0</v>
      </c>
      <c r="AS188" s="5247">
        <f>IF(AND(method_reg="Метод индексации",god&lt;&gt;first_year),_xlfn.SUMIFS(INDEX('Калькуляция (МИ корр)'!$AJ$25:$BC$747,,MATCH(AS$8,'Калькуляция (МИ корр)'!$AJ$8:$BC$8,0)),'Калькуляция (МИ корр)'!$F$25:$F$747,$F188,'Калькуляция (МИ корр)'!$G$25:$G$747,$G188),IF(method_reg="Метод экономически обоснованных расходов",_xlfn.SUMIFS('Калькуляция (МЭОР)'!$AJ$25:$AJ$452,'Калькуляция (МЭОР)'!$F$25:$F$452,$F188,'Калькуляция (МЭОР)'!$G$25:$G$452,$G188),IF(method_reg="Метод сравнения аналогов",_xlfn.SUMIFS('Калькуляция (МСА)'!$AE$25:$AE$122,'Калькуляция (МСА)'!$F$25:$F$122,$F188,'Калькуляция (МСА)'!$G$25:$G$122,$G188),_xlfn.SUMIFS(INDEX('Калькуляция (МИ)'!$AJ$25:$BC$747,,MATCH(AS$8,'Калькуляция (МИ)'!$AJ$8:$BC$8,0)),'Калькуляция (МИ)'!$F$25:$F$747,$F188,'Калькуляция (МИ)'!$G$25:$G$747,$G188))))</f>
        <v>0</v>
      </c>
      <c r="AT188" s="5247">
        <f>IF(AND(method_reg="Метод индексации",god&lt;&gt;first_year),_xlfn.SUMIFS(INDEX('Калькуляция (МИ корр)'!$AJ$25:$BC$747,,MATCH(AT$8,'Калькуляция (МИ корр)'!$AJ$8:$BC$8,0)),'Калькуляция (МИ корр)'!$F$25:$F$747,$F188,'Калькуляция (МИ корр)'!$G$25:$G$747,$G188),IF(method_reg="Метод экономически обоснованных расходов",_xlfn.SUMIFS('Калькуляция (МЭОР)'!$AK$25:$AK$452,'Калькуляция (МЭОР)'!$F$25:$F$452,$F188,'Калькуляция (МЭОР)'!$G$25:$G$452,$G188),IF(method_reg="Метод сравнения аналогов",_xlfn.SUMIFS('Калькуляция (МСА)'!$AF$25:$AF$122,'Калькуляция (МСА)'!$F$25:$F$122,$F188,'Калькуляция (МСА)'!$G$25:$G$122,$G188),_xlfn.SUMIFS(INDEX('Калькуляция (МИ)'!$AJ$25:$BC$747,,MATCH(AT$8,'Калькуляция (МИ)'!$AJ$8:$BC$8,0)),'Калькуляция (МИ)'!$F$25:$F$747,$F188,'Калькуляция (МИ)'!$G$25:$G$747,$G188))))</f>
        <v>0</v>
      </c>
      <c r="AU188" s="1095">
        <f>IF(AS188=0,0,(AT188-AS188)/AS188*100)</f>
        <v>0</v>
      </c>
      <c r="AV188" s="5247">
        <f>IF(AND(method_reg="Метод индексации",god&lt;&gt;first_year),_xlfn.SUMIFS(INDEX('Калькуляция (МИ корр)'!$AJ$25:$BC$747,,MATCH(AV$8,'Калькуляция (МИ корр)'!$AJ$8:$BC$8,0)),'Калькуляция (МИ корр)'!$F$25:$F$747,$F188,'Калькуляция (МИ корр)'!$G$25:$G$747,$G188),IF(method_reg="Метод экономически обоснованных расходов",_xlfn.SUMIFS('Калькуляция (МЭОР)'!$AJ$25:$AJ$452,'Калькуляция (МЭОР)'!$F$25:$F$452,$F188,'Калькуляция (МЭОР)'!$G$25:$G$452,$G188),IF(method_reg="Метод сравнения аналогов",_xlfn.SUMIFS('Калькуляция (МСА)'!$AE$25:$AE$122,'Калькуляция (МСА)'!$F$25:$F$122,$F188,'Калькуляция (МСА)'!$G$25:$G$122,$G188),_xlfn.SUMIFS(INDEX('Калькуляция (МИ)'!$AJ$25:$BC$747,,MATCH(AV$8,'Калькуляция (МИ)'!$AJ$8:$BC$8,0)),'Калькуляция (МИ)'!$F$25:$F$747,$F188,'Калькуляция (МИ)'!$G$25:$G$747,$G188))))</f>
        <v>0</v>
      </c>
      <c r="AW188" s="5247">
        <f>IF(AND(method_reg="Метод индексации",god&lt;&gt;first_year),_xlfn.SUMIFS(INDEX('Калькуляция (МИ корр)'!$AJ$25:$BC$747,,MATCH(AW$8,'Калькуляция (МИ корр)'!$AJ$8:$BC$8,0)),'Калькуляция (МИ корр)'!$F$25:$F$747,$F188,'Калькуляция (МИ корр)'!$G$25:$G$747,$G188),IF(method_reg="Метод экономически обоснованных расходов",_xlfn.SUMIFS('Калькуляция (МЭОР)'!$AK$25:$AK$452,'Калькуляция (МЭОР)'!$F$25:$F$452,$F188,'Калькуляция (МЭОР)'!$G$25:$G$452,$G188),IF(method_reg="Метод сравнения аналогов",_xlfn.SUMIFS('Калькуляция (МСА)'!$AF$25:$AF$122,'Калькуляция (МСА)'!$F$25:$F$122,$F188,'Калькуляция (МСА)'!$G$25:$G$122,$G188),_xlfn.SUMIFS(INDEX('Калькуляция (МИ)'!$AJ$25:$BC$747,,MATCH(AW$8,'Калькуляция (МИ)'!$AJ$8:$BC$8,0)),'Калькуляция (МИ)'!$F$25:$F$747,$F188,'Калькуляция (МИ)'!$G$25:$G$747,$G188))))</f>
        <v>0</v>
      </c>
      <c r="AX188" s="1095">
        <f>IF(AV188=0,0,(AW188-AV188)/AV188*100)</f>
        <v>0</v>
      </c>
      <c r="AY188" s="5247">
        <f>IF(AND(method_reg="Метод индексации",god&lt;&gt;first_year),_xlfn.SUMIFS(INDEX('Калькуляция (МИ корр)'!$AJ$25:$BC$747,,MATCH(AY$8,'Калькуляция (МИ корр)'!$AJ$8:$BC$8,0)),'Калькуляция (МИ корр)'!$F$25:$F$747,$F188,'Калькуляция (МИ корр)'!$G$25:$G$747,$G188),IF(method_reg="Метод экономически обоснованных расходов",_xlfn.SUMIFS('Калькуляция (МЭОР)'!$AJ$25:$AJ$452,'Калькуляция (МЭОР)'!$F$25:$F$452,$F188,'Калькуляция (МЭОР)'!$G$25:$G$452,$G188),IF(method_reg="Метод сравнения аналогов",_xlfn.SUMIFS('Калькуляция (МСА)'!$AE$25:$AE$122,'Калькуляция (МСА)'!$F$25:$F$122,$F188,'Калькуляция (МСА)'!$G$25:$G$122,$G188),_xlfn.SUMIFS(INDEX('Калькуляция (МИ)'!$AJ$25:$BC$747,,MATCH(AY$8,'Калькуляция (МИ)'!$AJ$8:$BC$8,0)),'Калькуляция (МИ)'!$F$25:$F$747,$F188,'Калькуляция (МИ)'!$G$25:$G$747,$G188))))</f>
        <v>0</v>
      </c>
      <c r="AZ188" s="5247">
        <f>IF(AND(method_reg="Метод индексации",god&lt;&gt;first_year),_xlfn.SUMIFS(INDEX('Калькуляция (МИ корр)'!$AJ$25:$BC$747,,MATCH(AZ$8,'Калькуляция (МИ корр)'!$AJ$8:$BC$8,0)),'Калькуляция (МИ корр)'!$F$25:$F$747,$F188,'Калькуляция (МИ корр)'!$G$25:$G$747,$G188),IF(method_reg="Метод экономически обоснованных расходов",_xlfn.SUMIFS('Калькуляция (МЭОР)'!$AK$25:$AK$452,'Калькуляция (МЭОР)'!$F$25:$F$452,$F188,'Калькуляция (МЭОР)'!$G$25:$G$452,$G188),IF(method_reg="Метод сравнения аналогов",_xlfn.SUMIFS('Калькуляция (МСА)'!$AF$25:$AF$122,'Калькуляция (МСА)'!$F$25:$F$122,$F188,'Калькуляция (МСА)'!$G$25:$G$122,$G188),_xlfn.SUMIFS(INDEX('Калькуляция (МИ)'!$AJ$25:$BC$747,,MATCH(AZ$8,'Калькуляция (МИ)'!$AJ$8:$BC$8,0)),'Калькуляция (МИ)'!$F$25:$F$747,$F188,'Калькуляция (МИ)'!$G$25:$G$747,$G188))))</f>
        <v>0</v>
      </c>
      <c r="BA188" s="1095">
        <f>IF(AY188=0,0,(AZ188-AY188)/AY188*100)</f>
        <v>0</v>
      </c>
      <c r="BB188" s="5247">
        <f>IF(AND(method_reg="Метод индексации",god&lt;&gt;first_year),_xlfn.SUMIFS(INDEX('Калькуляция (МИ корр)'!$AJ$25:$BC$747,,MATCH(BB$8,'Калькуляция (МИ корр)'!$AJ$8:$BC$8,0)),'Калькуляция (МИ корр)'!$F$25:$F$747,$F188,'Калькуляция (МИ корр)'!$G$25:$G$747,$G188),IF(method_reg="Метод экономически обоснованных расходов",_xlfn.SUMIFS('Калькуляция (МЭОР)'!$AJ$25:$AJ$452,'Калькуляция (МЭОР)'!$F$25:$F$452,$F188,'Калькуляция (МЭОР)'!$G$25:$G$452,$G188),IF(method_reg="Метод сравнения аналогов",_xlfn.SUMIFS('Калькуляция (МСА)'!$AE$25:$AE$122,'Калькуляция (МСА)'!$F$25:$F$122,$F188,'Калькуляция (МСА)'!$G$25:$G$122,$G188),_xlfn.SUMIFS(INDEX('Калькуляция (МИ)'!$AJ$25:$BC$747,,MATCH(BB$8,'Калькуляция (МИ)'!$AJ$8:$BC$8,0)),'Калькуляция (МИ)'!$F$25:$F$747,$F188,'Калькуляция (МИ)'!$G$25:$G$747,$G188))))</f>
        <v>0</v>
      </c>
      <c r="BC188" s="5247">
        <f>IF(AND(method_reg="Метод индексации",god&lt;&gt;first_year),_xlfn.SUMIFS(INDEX('Калькуляция (МИ корр)'!$AJ$25:$BC$747,,MATCH(BC$8,'Калькуляция (МИ корр)'!$AJ$8:$BC$8,0)),'Калькуляция (МИ корр)'!$F$25:$F$747,$F188,'Калькуляция (МИ корр)'!$G$25:$G$747,$G188),IF(method_reg="Метод экономически обоснованных расходов",_xlfn.SUMIFS('Калькуляция (МЭОР)'!$AK$25:$AK$452,'Калькуляция (МЭОР)'!$F$25:$F$452,$F188,'Калькуляция (МЭОР)'!$G$25:$G$452,$G188),IF(method_reg="Метод сравнения аналогов",_xlfn.SUMIFS('Калькуляция (МСА)'!$AF$25:$AF$122,'Калькуляция (МСА)'!$F$25:$F$122,$F188,'Калькуляция (МСА)'!$G$25:$G$122,$G188),_xlfn.SUMIFS(INDEX('Калькуляция (МИ)'!$AJ$25:$BC$747,,MATCH(BC$8,'Калькуляция (МИ)'!$AJ$8:$BC$8,0)),'Калькуляция (МИ)'!$F$25:$F$747,$F188,'Калькуляция (МИ)'!$G$25:$G$747,$G188))))</f>
        <v>0</v>
      </c>
      <c r="BD188" s="1095">
        <f>IF(BB188=0,0,(BC188-BB188)/BB188*100)</f>
        <v>0</v>
      </c>
      <c r="BE188" s="5247">
        <f>IF(AND(method_reg="Метод индексации",god&lt;&gt;first_year),_xlfn.SUMIFS(INDEX('Калькуляция (МИ корр)'!$AJ$25:$BC$747,,MATCH(BE$8,'Калькуляция (МИ корр)'!$AJ$8:$BC$8,0)),'Калькуляция (МИ корр)'!$F$25:$F$747,$F188,'Калькуляция (МИ корр)'!$G$25:$G$747,$G188),IF(method_reg="Метод экономически обоснованных расходов",_xlfn.SUMIFS('Калькуляция (МЭОР)'!$AJ$25:$AJ$452,'Калькуляция (МЭОР)'!$F$25:$F$452,$F188,'Калькуляция (МЭОР)'!$G$25:$G$452,$G188),IF(method_reg="Метод сравнения аналогов",_xlfn.SUMIFS('Калькуляция (МСА)'!$AE$25:$AE$122,'Калькуляция (МСА)'!$F$25:$F$122,$F188,'Калькуляция (МСА)'!$G$25:$G$122,$G188),_xlfn.SUMIFS(INDEX('Калькуляция (МИ)'!$AJ$25:$BC$747,,MATCH(BE$8,'Калькуляция (МИ)'!$AJ$8:$BC$8,0)),'Калькуляция (МИ)'!$F$25:$F$747,$F188,'Калькуляция (МИ)'!$G$25:$G$747,$G188))))</f>
        <v>0</v>
      </c>
      <c r="BF188" s="5247">
        <f>IF(AND(method_reg="Метод индексации",god&lt;&gt;first_year),_xlfn.SUMIFS(INDEX('Калькуляция (МИ корр)'!$AJ$25:$BC$747,,MATCH(BF$8,'Калькуляция (МИ корр)'!$AJ$8:$BC$8,0)),'Калькуляция (МИ корр)'!$F$25:$F$747,$F188,'Калькуляция (МИ корр)'!$G$25:$G$747,$G188),IF(method_reg="Метод экономически обоснованных расходов",_xlfn.SUMIFS('Калькуляция (МЭОР)'!$AK$25:$AK$452,'Калькуляция (МЭОР)'!$F$25:$F$452,$F188,'Калькуляция (МЭОР)'!$G$25:$G$452,$G188),IF(method_reg="Метод сравнения аналогов",_xlfn.SUMIFS('Калькуляция (МСА)'!$AF$25:$AF$122,'Калькуляция (МСА)'!$F$25:$F$122,$F188,'Калькуляция (МСА)'!$G$25:$G$122,$G188),_xlfn.SUMIFS(INDEX('Калькуляция (МИ)'!$AJ$25:$BC$747,,MATCH(BF$8,'Калькуляция (МИ)'!$AJ$8:$BC$8,0)),'Калькуляция (МИ)'!$F$25:$F$747,$F188,'Калькуляция (МИ)'!$G$25:$G$747,$G188))))</f>
        <v>0</v>
      </c>
      <c r="BG188" s="1095">
        <f>IF(BE188=0,0,(BF188-BE188)/BE188*100)</f>
        <v>0</v>
      </c>
      <c r="BH188" s="5247"/>
      <c r="BI188" s="5247"/>
      <c r="BJ188" s="1095">
        <f>IF(BH188=0,0,(BI188-BH188)/BH188*100)</f>
        <v>0</v>
      </c>
      <c r="BK188" s="5247"/>
      <c r="BL188" s="5247"/>
      <c r="BM188" s="1095">
        <f>IF(BK188=0,0,(BL188-BK188)/BK188*100)</f>
        <v>0</v>
      </c>
      <c r="BN188" s="5247"/>
      <c r="BO188" s="5247"/>
      <c r="BP188" s="1095">
        <f>IF(BN188=0,0,(BO188-BN188)/BN188*100)</f>
        <v>0</v>
      </c>
      <c r="BQ188" s="5247"/>
      <c r="BR188" s="5247"/>
      <c r="BS188" s="1095">
        <f>IF(BQ188=0,0,(BR188-BQ188)/BQ188*100)</f>
        <v>0</v>
      </c>
      <c r="BT188" s="5247"/>
      <c r="BU188" s="5247"/>
      <c r="BV188" s="1095">
        <f>IF(BT188=0,0,(BU188-BT188)/BT188*100)</f>
        <v>0</v>
      </c>
      <c r="BW188" s="5247"/>
      <c r="BX188" s="5247"/>
      <c r="BY188" s="1095">
        <f>IF(BW188=0,0,(BX188-BW188)/BW188*100)</f>
        <v>0</v>
      </c>
      <c r="BZ188" s="5247"/>
      <c r="CA188" s="5247"/>
      <c r="CB188" s="1095">
        <f>IF(BZ188=0,0,(CA188-BZ188)/BZ188*100)</f>
        <v>0</v>
      </c>
      <c r="CC188" s="5247"/>
      <c r="CD188" s="5247"/>
      <c r="CE188" s="1095">
        <f>IF(CC188=0,0,(CD188-CC188)/CC188*100)</f>
        <v>0</v>
      </c>
      <c r="CF188" s="5247"/>
      <c r="CG188" s="5247"/>
      <c r="CH188" s="1095">
        <f>IF(CF188=0,0,(CG188-CF188)/CF188*100)</f>
        <v>0</v>
      </c>
      <c r="CI188" s="5247"/>
      <c r="CJ188" s="5247"/>
      <c r="CK188" s="1095">
        <f>IF(CI188=0,0,(CJ188-CI188)/CI188*100)</f>
        <v>0</v>
      </c>
      <c r="CL188" s="5247"/>
      <c r="CM188" s="5247"/>
      <c r="CN188" s="1095">
        <f>IF(CL188=0,0,(CM188-CL188)/CL188*100)</f>
        <v>0</v>
      </c>
      <c r="CO188" s="5247"/>
      <c r="CP188" s="5247"/>
      <c r="CQ188" s="1095">
        <f>IF(CO188=0,0,(CP188-CO188)/CO188*100)</f>
        <v>0</v>
      </c>
      <c r="CR188" s="5247"/>
      <c r="CS188" s="5247"/>
      <c r="CT188" s="1095">
        <f>IF(CR188=0,0,(CS188-CR188)/CR188*100)</f>
        <v>0</v>
      </c>
      <c r="CU188" s="5247"/>
      <c r="CV188" s="5247"/>
      <c r="CW188" s="1095">
        <f>IF(CU188=0,0,(CV188-CU188)/CU188*100)</f>
        <v>0</v>
      </c>
      <c r="CX188" s="5247"/>
      <c r="CY188" s="5247"/>
      <c r="CZ188" s="1095">
        <f>IF(CX188=0,0,(CY188-CX188)/CX188*100)</f>
        <v>0</v>
      </c>
      <c r="DA188" s="5247"/>
      <c r="DB188" s="5247"/>
      <c r="DC188" s="1095">
        <f>IF(DA188=0,0,(DB188-DA188)/DA188*100)</f>
        <v>0</v>
      </c>
      <c r="DD188" s="5247"/>
      <c r="DE188" s="5247"/>
      <c r="DF188" s="1095">
        <f>IF(DD188=0,0,(DE188-DD188)/DD188*100)</f>
        <v>0</v>
      </c>
      <c r="DG188" s="5247"/>
      <c r="DH188" s="5247"/>
      <c r="DI188" s="1095">
        <f>IF(DG188=0,0,(DH188-DG188)/DG188*100)</f>
        <v>0</v>
      </c>
      <c r="DJ188" s="5247"/>
      <c r="DK188" s="5247"/>
      <c r="DL188" s="1095">
        <f>IF(DJ188=0,0,(DK188-DJ188)/DJ188*100)</f>
        <v>0</v>
      </c>
      <c r="DM188" s="5247"/>
      <c r="DN188" s="5247"/>
      <c r="DO188" s="1095">
        <f>IF(DM188=0,0,(DN188-DM188)/DM188*100)</f>
        <v>0</v>
      </c>
      <c r="DP188" s="5247"/>
      <c r="DQ188" s="5247"/>
      <c r="DR188" s="1095">
        <f>IF(DP188=0,0,(DQ188-DP188)/DP188*100)</f>
        <v>0</v>
      </c>
      <c r="DS188" s="5247"/>
      <c r="DT188" s="5247"/>
      <c r="DU188" s="1095">
        <f>IF(DS188=0,0,(DT188-DS188)/DS188*100)</f>
        <v>0</v>
      </c>
      <c r="DV188" s="5247"/>
      <c r="DW188" s="5247"/>
      <c r="DX188" s="1095">
        <f>IF(DV188=0,0,(DW188-DV188)/DV188*100)</f>
        <v>0</v>
      </c>
      <c r="DY188" s="5247"/>
      <c r="DZ188" s="5247"/>
      <c r="EA188" s="1095">
        <f>IF(DY188=0,0,(DZ188-DY188)/DY188*100)</f>
        <v>0</v>
      </c>
      <c r="EB188" s="5247"/>
      <c r="EC188" s="5247"/>
      <c r="ED188" s="1095">
        <f>IF(EB188=0,0,(EC188-EB188)/EB188*100)</f>
        <v>0</v>
      </c>
      <c r="EE188" s="5247"/>
      <c r="EF188" s="5247"/>
      <c r="EG188" s="1095">
        <f>IF(EE188=0,0,(EF188-EE188)/EE188*100)</f>
        <v>0</v>
      </c>
      <c r="EH188" s="5247"/>
      <c r="EI188" s="5247"/>
      <c r="EJ188" s="1095">
        <f>IF(EH188=0,0,(EI188-EH188)/EH188*100)</f>
        <v>0</v>
      </c>
      <c r="EK188" s="5247"/>
      <c r="EL188" s="5247"/>
      <c r="EM188" s="1095">
        <f>IF(EK188=0,0,(EL188-EK188)/EK188*100)</f>
        <v>0</v>
      </c>
      <c r="EN188" s="5247"/>
      <c r="EO188" s="5247"/>
      <c r="EP188" s="1095">
        <f>IF(EN188=0,0,(EO188-EN188)/EN188*100)</f>
        <v>0</v>
      </c>
      <c r="EQ188" s="5247"/>
      <c r="ER188" s="5247"/>
      <c r="ES188" s="1095">
        <f>IF(EQ188=0,0,(ER188-EQ188)/EQ188*100)</f>
        <v>0</v>
      </c>
      <c r="ET188" s="5247"/>
      <c r="EU188" s="5247"/>
      <c r="EV188" s="1095">
        <f>IF(ET188=0,0,(EU188-ET188)/ET188*100)</f>
        <v>0</v>
      </c>
      <c r="EW188" s="5247"/>
      <c r="EX188" s="5247"/>
      <c r="EY188" s="1095">
        <f>IF(EW188=0,0,(EX188-EW188)/EW188*100)</f>
        <v>0</v>
      </c>
      <c r="EZ188" s="5247"/>
      <c r="FA188" s="5247"/>
      <c r="FB188" s="1095">
        <f>IF(EZ188=0,0,(FA188-EZ188)/EZ188*100)</f>
        <v>0</v>
      </c>
      <c r="FC188" s="5247"/>
      <c r="FD188" s="5247"/>
      <c r="FE188" s="1095">
        <f>IF(FC188=0,0,(FD188-FC188)/FC188*100)</f>
        <v>0</v>
      </c>
      <c r="FF188" s="5247"/>
      <c r="FG188" s="5247"/>
      <c r="FH188" s="1095">
        <f>IF(FF188=0,0,(FG188-FF188)/FF188*100)</f>
        <v>0</v>
      </c>
      <c r="FI188" s="5247"/>
      <c r="FJ188" s="5247"/>
      <c r="FK188" s="1095">
        <f>IF(FI188=0,0,(FJ188-FI188)/FI188*100)</f>
        <v>0</v>
      </c>
      <c r="FL188" s="5247"/>
      <c r="FM188" s="5247"/>
      <c r="FN188" s="1095">
        <f>IF(FL188=0,0,(FM188-FL188)/FL188*100)</f>
        <v>0</v>
      </c>
      <c r="FO188" s="5247"/>
      <c r="FP188" s="5247"/>
      <c r="FQ188" s="1095">
        <f>IF(FO188=0,0,(FP188-FO188)/FO188*100)</f>
        <v>0</v>
      </c>
      <c r="FR188" s="5247"/>
      <c r="FS188" s="5247"/>
      <c r="FT188" s="1095">
        <f>IF(FR188=0,0,(FS188-FR188)/FR188*100)</f>
        <v>0</v>
      </c>
      <c r="FU188" s="5247"/>
      <c r="FV188" s="5247"/>
      <c r="FW188" s="1095">
        <f>IF(FU188=0,0,(FV188-FU188)/FU188*100)</f>
        <v>0</v>
      </c>
      <c r="FX188" s="1304"/>
      <c r="FY188" s="1304"/>
      <c r="FZ188" s="1055" t="s">
        <v>2394</v>
      </c>
      <c r="GA188" s="1306"/>
      <c r="GB188" s="1306"/>
      <c r="GC188" s="1305"/>
      <c r="GD188" s="1305"/>
    </row>
    <row s="1834" customFormat="1" customHeight="1" ht="21.75" hidden="1">
      <c r="A189" s="493"/>
      <c r="B189" s="925" cm="1" t="str">
        <f t="array" ref="B189:B189">B188</f>
        <v>false</v>
      </c>
      <c r="C189" s="493"/>
      <c r="D189" s="493"/>
      <c r="E189" s="840">
        <v>22.5</v>
      </c>
      <c r="F189" s="50" cm="1" t="str">
        <f t="array" ref="F189:F189">OFFSET(E189,-1,1)</f>
        <v>2</v>
      </c>
      <c r="G189" s="493"/>
      <c r="H189" s="493" t="s">
        <v>2376</v>
      </c>
      <c r="I189" s="493" t="s">
        <v>2350</v>
      </c>
      <c r="J189" s="493"/>
      <c r="K189" s="493"/>
      <c r="L189" s="493"/>
      <c r="M189" s="493"/>
      <c r="N189" s="493"/>
      <c r="O189" s="493"/>
      <c r="P189" s="493"/>
      <c r="Q189" s="493"/>
      <c r="R189" s="493"/>
      <c r="S189" s="493"/>
      <c r="T189" s="465" cm="1" t="str">
        <f t="array" ref="T189:T189">T188</f>
        <v>true</v>
      </c>
      <c r="U189" s="493"/>
      <c r="V189" s="493"/>
      <c r="W189" s="493"/>
      <c r="X189" s="1596"/>
      <c r="Y189" s="493"/>
      <c r="Z189" s="1545"/>
      <c r="AA189" s="493"/>
      <c r="AB189" s="1091" t="str">
        <f>"ставка платы за содержание системы "&amp;IF(Q155="Водоснабжение","холодного водоснабжения","водоотведения")</f>
        <v>ставка платы за содержание системы холодного водоснабжения</v>
      </c>
      <c r="AC189" s="864" t="s">
        <v>2377</v>
      </c>
      <c r="AD189" s="2846"/>
      <c r="AE189" s="2846"/>
      <c r="AF189" s="1093">
        <f>IF(AD189=0,0,(AE189-AD189)/AD189*100)</f>
        <v>0</v>
      </c>
      <c r="AG189" s="2846"/>
      <c r="AH189" s="2846"/>
      <c r="AI189" s="1093">
        <f>IF(AG189=0,0,(AH189-AG189)/AG189*100)</f>
        <v>0</v>
      </c>
      <c r="AJ189" s="2846"/>
      <c r="AK189" s="2846"/>
      <c r="AL189" s="1093">
        <f>IF(AJ189=0,0,(AK189-AJ189)/AJ189*100)</f>
        <v>0</v>
      </c>
      <c r="AM189" s="2846"/>
      <c r="AN189" s="2846"/>
      <c r="AO189" s="1093">
        <f>IF(AM189=0,0,(AN189-AM189)/AM189*100)</f>
        <v>0</v>
      </c>
      <c r="AP189" s="2846"/>
      <c r="AQ189" s="2846"/>
      <c r="AR189" s="1093">
        <f>IF(AP189=0,0,(AQ189-AP189)/AP189*100)</f>
        <v>0</v>
      </c>
      <c r="AS189" s="2846"/>
      <c r="AT189" s="2846"/>
      <c r="AU189" s="1093">
        <f>IF(AS189=0,0,(AT189-AS189)/AS189*100)</f>
        <v>0</v>
      </c>
      <c r="AV189" s="2846"/>
      <c r="AW189" s="2846"/>
      <c r="AX189" s="1093">
        <f>IF(AV189=0,0,(AW189-AV189)/AV189*100)</f>
        <v>0</v>
      </c>
      <c r="AY189" s="2846"/>
      <c r="AZ189" s="2846"/>
      <c r="BA189" s="1093">
        <f>IF(AY189=0,0,(AZ189-AY189)/AY189*100)</f>
        <v>0</v>
      </c>
      <c r="BB189" s="2846"/>
      <c r="BC189" s="2846"/>
      <c r="BD189" s="1093">
        <f>IF(BB189=0,0,(BC189-BB189)/BB189*100)</f>
        <v>0</v>
      </c>
      <c r="BE189" s="2846"/>
      <c r="BF189" s="2846"/>
      <c r="BG189" s="1093">
        <f>IF(BE189=0,0,(BF189-BE189)/BE189*100)</f>
        <v>0</v>
      </c>
      <c r="BH189" s="2846"/>
      <c r="BI189" s="2846"/>
      <c r="BJ189" s="1093">
        <f>IF(BH189=0,0,(BI189-BH189)/BH189*100)</f>
        <v>0</v>
      </c>
      <c r="BK189" s="2846"/>
      <c r="BL189" s="2846"/>
      <c r="BM189" s="1093">
        <f>IF(BK189=0,0,(BL189-BK189)/BK189*100)</f>
        <v>0</v>
      </c>
      <c r="BN189" s="2846"/>
      <c r="BO189" s="2846"/>
      <c r="BP189" s="1093">
        <f>IF(BN189=0,0,(BO189-BN189)/BN189*100)</f>
        <v>0</v>
      </c>
      <c r="BQ189" s="2846"/>
      <c r="BR189" s="2846"/>
      <c r="BS189" s="1093">
        <f>IF(BQ189=0,0,(BR189-BQ189)/BQ189*100)</f>
        <v>0</v>
      </c>
      <c r="BT189" s="2846"/>
      <c r="BU189" s="2846"/>
      <c r="BV189" s="1093">
        <f>IF(BT189=0,0,(BU189-BT189)/BT189*100)</f>
        <v>0</v>
      </c>
      <c r="BW189" s="2846"/>
      <c r="BX189" s="2846"/>
      <c r="BY189" s="1093">
        <f>IF(BW189=0,0,(BX189-BW189)/BW189*100)</f>
        <v>0</v>
      </c>
      <c r="BZ189" s="2846"/>
      <c r="CA189" s="2846"/>
      <c r="CB189" s="1093">
        <f>IF(BZ189=0,0,(CA189-BZ189)/BZ189*100)</f>
        <v>0</v>
      </c>
      <c r="CC189" s="2846"/>
      <c r="CD189" s="2846"/>
      <c r="CE189" s="1093">
        <f>IF(CC189=0,0,(CD189-CC189)/CC189*100)</f>
        <v>0</v>
      </c>
      <c r="CF189" s="2846"/>
      <c r="CG189" s="2846"/>
      <c r="CH189" s="1093">
        <f>IF(CF189=0,0,(CG189-CF189)/CF189*100)</f>
        <v>0</v>
      </c>
      <c r="CI189" s="2846"/>
      <c r="CJ189" s="2846"/>
      <c r="CK189" s="1093">
        <f>IF(CI189=0,0,(CJ189-CI189)/CI189*100)</f>
        <v>0</v>
      </c>
      <c r="CL189" s="2846"/>
      <c r="CM189" s="2846"/>
      <c r="CN189" s="1093">
        <f>IF(CL189=0,0,(CM189-CL189)/CL189*100)</f>
        <v>0</v>
      </c>
      <c r="CO189" s="2846"/>
      <c r="CP189" s="2846"/>
      <c r="CQ189" s="1093">
        <f>IF(CO189=0,0,(CP189-CO189)/CO189*100)</f>
        <v>0</v>
      </c>
      <c r="CR189" s="2846"/>
      <c r="CS189" s="2846"/>
      <c r="CT189" s="1093">
        <f>IF(CR189=0,0,(CS189-CR189)/CR189*100)</f>
        <v>0</v>
      </c>
      <c r="CU189" s="2846"/>
      <c r="CV189" s="2846"/>
      <c r="CW189" s="1093">
        <f>IF(CU189=0,0,(CV189-CU189)/CU189*100)</f>
        <v>0</v>
      </c>
      <c r="CX189" s="2846"/>
      <c r="CY189" s="2846"/>
      <c r="CZ189" s="1093">
        <f>IF(CX189=0,0,(CY189-CX189)/CX189*100)</f>
        <v>0</v>
      </c>
      <c r="DA189" s="2846"/>
      <c r="DB189" s="2846"/>
      <c r="DC189" s="1093">
        <f>IF(DA189=0,0,(DB189-DA189)/DA189*100)</f>
        <v>0</v>
      </c>
      <c r="DD189" s="2846"/>
      <c r="DE189" s="2846"/>
      <c r="DF189" s="1093">
        <f>IF(DD189=0,0,(DE189-DD189)/DD189*100)</f>
        <v>0</v>
      </c>
      <c r="DG189" s="2846"/>
      <c r="DH189" s="2846"/>
      <c r="DI189" s="1093">
        <f>IF(DG189=0,0,(DH189-DG189)/DG189*100)</f>
        <v>0</v>
      </c>
      <c r="DJ189" s="2846"/>
      <c r="DK189" s="2846"/>
      <c r="DL189" s="1093">
        <f>IF(DJ189=0,0,(DK189-DJ189)/DJ189*100)</f>
        <v>0</v>
      </c>
      <c r="DM189" s="2846"/>
      <c r="DN189" s="2846"/>
      <c r="DO189" s="1093">
        <f>IF(DM189=0,0,(DN189-DM189)/DM189*100)</f>
        <v>0</v>
      </c>
      <c r="DP189" s="2846"/>
      <c r="DQ189" s="2846"/>
      <c r="DR189" s="1093">
        <f>IF(DP189=0,0,(DQ189-DP189)/DP189*100)</f>
        <v>0</v>
      </c>
      <c r="DS189" s="2846"/>
      <c r="DT189" s="2846"/>
      <c r="DU189" s="1093">
        <f>IF(DS189=0,0,(DT189-DS189)/DS189*100)</f>
        <v>0</v>
      </c>
      <c r="DV189" s="2846"/>
      <c r="DW189" s="2846"/>
      <c r="DX189" s="1093">
        <f>IF(DV189=0,0,(DW189-DV189)/DV189*100)</f>
        <v>0</v>
      </c>
      <c r="DY189" s="2846"/>
      <c r="DZ189" s="2846"/>
      <c r="EA189" s="1093">
        <f>IF(DY189=0,0,(DZ189-DY189)/DY189*100)</f>
        <v>0</v>
      </c>
      <c r="EB189" s="2846"/>
      <c r="EC189" s="2846"/>
      <c r="ED189" s="1093">
        <f>IF(EB189=0,0,(EC189-EB189)/EB189*100)</f>
        <v>0</v>
      </c>
      <c r="EE189" s="2846"/>
      <c r="EF189" s="2846"/>
      <c r="EG189" s="1093">
        <f>IF(EE189=0,0,(EF189-EE189)/EE189*100)</f>
        <v>0</v>
      </c>
      <c r="EH189" s="2846"/>
      <c r="EI189" s="2846"/>
      <c r="EJ189" s="1093">
        <f>IF(EH189=0,0,(EI189-EH189)/EH189*100)</f>
        <v>0</v>
      </c>
      <c r="EK189" s="2846"/>
      <c r="EL189" s="2846"/>
      <c r="EM189" s="1093">
        <f>IF(EK189=0,0,(EL189-EK189)/EK189*100)</f>
        <v>0</v>
      </c>
      <c r="EN189" s="2846"/>
      <c r="EO189" s="2846"/>
      <c r="EP189" s="1093">
        <f>IF(EN189=0,0,(EO189-EN189)/EN189*100)</f>
        <v>0</v>
      </c>
      <c r="EQ189" s="2846"/>
      <c r="ER189" s="2846"/>
      <c r="ES189" s="1093">
        <f>IF(EQ189=0,0,(ER189-EQ189)/EQ189*100)</f>
        <v>0</v>
      </c>
      <c r="ET189" s="2846"/>
      <c r="EU189" s="2846"/>
      <c r="EV189" s="1093">
        <f>IF(ET189=0,0,(EU189-ET189)/ET189*100)</f>
        <v>0</v>
      </c>
      <c r="EW189" s="2846"/>
      <c r="EX189" s="2846"/>
      <c r="EY189" s="1093">
        <f>IF(EW189=0,0,(EX189-EW189)/EW189*100)</f>
        <v>0</v>
      </c>
      <c r="EZ189" s="2846"/>
      <c r="FA189" s="2846"/>
      <c r="FB189" s="1093">
        <f>IF(EZ189=0,0,(FA189-EZ189)/EZ189*100)</f>
        <v>0</v>
      </c>
      <c r="FC189" s="2846"/>
      <c r="FD189" s="2846"/>
      <c r="FE189" s="1093">
        <f>IF(FC189=0,0,(FD189-FC189)/FC189*100)</f>
        <v>0</v>
      </c>
      <c r="FF189" s="2846"/>
      <c r="FG189" s="2846"/>
      <c r="FH189" s="1093">
        <f>IF(FF189=0,0,(FG189-FF189)/FF189*100)</f>
        <v>0</v>
      </c>
      <c r="FI189" s="2846"/>
      <c r="FJ189" s="2846"/>
      <c r="FK189" s="1093">
        <f>IF(FI189=0,0,(FJ189-FI189)/FI189*100)</f>
        <v>0</v>
      </c>
      <c r="FL189" s="2846"/>
      <c r="FM189" s="2846"/>
      <c r="FN189" s="1093">
        <f>IF(FL189=0,0,(FM189-FL189)/FL189*100)</f>
        <v>0</v>
      </c>
      <c r="FO189" s="2846"/>
      <c r="FP189" s="2846"/>
      <c r="FQ189" s="1093">
        <f>IF(FO189=0,0,(FP189-FO189)/FO189*100)</f>
        <v>0</v>
      </c>
      <c r="FR189" s="2846"/>
      <c r="FS189" s="2846"/>
      <c r="FT189" s="1093">
        <f>IF(FR189=0,0,(FS189-FR189)/FR189*100)</f>
        <v>0</v>
      </c>
      <c r="FU189" s="2846"/>
      <c r="FV189" s="2846"/>
      <c r="FW189" s="1093">
        <f>IF(FU189=0,0,(FV189-FU189)/FU189*100)</f>
        <v>0</v>
      </c>
      <c r="FX189" s="1304"/>
      <c r="FY189" s="1304"/>
      <c r="FZ189" s="1055" t="s">
        <v>2395</v>
      </c>
      <c r="GA189" s="1306"/>
      <c r="GB189" s="1306"/>
      <c r="GC189" s="1305"/>
      <c r="GD189" s="1305"/>
    </row>
    <row s="1834" customFormat="1" customHeight="1" ht="14.25" hidden="1">
      <c r="A190" s="493"/>
      <c r="B190" s="925" cm="1" t="str">
        <f t="array" ref="B190:B190">B189</f>
        <v>false</v>
      </c>
      <c r="C190" s="493"/>
      <c r="D190" s="493"/>
      <c r="E190" s="840">
        <v>15</v>
      </c>
      <c r="F190" s="50" cm="1" t="str">
        <f t="array" ref="F190:F190">OFFSET(E190,-1,1)</f>
        <v>2</v>
      </c>
      <c r="G190" s="493"/>
      <c r="H190" s="493" t="s">
        <v>2379</v>
      </c>
      <c r="I190" s="493" t="s">
        <v>2350</v>
      </c>
      <c r="J190" s="493"/>
      <c r="K190" s="493"/>
      <c r="L190" s="493"/>
      <c r="M190" s="493"/>
      <c r="N190" s="493"/>
      <c r="O190" s="493"/>
      <c r="P190" s="493"/>
      <c r="Q190" s="493"/>
      <c r="R190" s="493"/>
      <c r="S190" s="493"/>
      <c r="T190" s="465" cm="1" t="str">
        <f t="array" ref="T190:T190">T189</f>
        <v>true</v>
      </c>
      <c r="U190" s="493"/>
      <c r="V190" s="493"/>
      <c r="W190" s="493"/>
      <c r="X190" s="1596"/>
      <c r="Y190" s="493"/>
      <c r="Z190" s="1545"/>
      <c r="AA190" s="493"/>
      <c r="AB190" s="1091" t="s">
        <v>2380</v>
      </c>
      <c r="AC190" s="864" t="s">
        <v>2381</v>
      </c>
      <c r="AD190" s="2846"/>
      <c r="AE190" s="2846"/>
      <c r="AF190" s="1093">
        <f>IF(AD190=0,0,(AE190-AD190)/AD190*100)</f>
        <v>0</v>
      </c>
      <c r="AG190" s="2846"/>
      <c r="AH190" s="2846"/>
      <c r="AI190" s="1093">
        <f>IF(AG190=0,0,(AH190-AG190)/AG190*100)</f>
        <v>0</v>
      </c>
      <c r="AJ190" s="2846"/>
      <c r="AK190" s="2846"/>
      <c r="AL190" s="1093">
        <f>IF(AJ190=0,0,(AK190-AJ190)/AJ190*100)</f>
        <v>0</v>
      </c>
      <c r="AM190" s="2846"/>
      <c r="AN190" s="2846"/>
      <c r="AO190" s="1093">
        <f>IF(AM190=0,0,(AN190-AM190)/AM190*100)</f>
        <v>0</v>
      </c>
      <c r="AP190" s="2846"/>
      <c r="AQ190" s="2846"/>
      <c r="AR190" s="1093">
        <f>IF(AP190=0,0,(AQ190-AP190)/AP190*100)</f>
        <v>0</v>
      </c>
      <c r="AS190" s="2846"/>
      <c r="AT190" s="2846"/>
      <c r="AU190" s="1093">
        <f>IF(AS190=0,0,(AT190-AS190)/AS190*100)</f>
        <v>0</v>
      </c>
      <c r="AV190" s="2846"/>
      <c r="AW190" s="2846"/>
      <c r="AX190" s="1093">
        <f>IF(AV190=0,0,(AW190-AV190)/AV190*100)</f>
        <v>0</v>
      </c>
      <c r="AY190" s="2846"/>
      <c r="AZ190" s="2846"/>
      <c r="BA190" s="1093">
        <f>IF(AY190=0,0,(AZ190-AY190)/AY190*100)</f>
        <v>0</v>
      </c>
      <c r="BB190" s="2846"/>
      <c r="BC190" s="2846"/>
      <c r="BD190" s="1093">
        <f>IF(BB190=0,0,(BC190-BB190)/BB190*100)</f>
        <v>0</v>
      </c>
      <c r="BE190" s="2846"/>
      <c r="BF190" s="2846"/>
      <c r="BG190" s="1093">
        <f>IF(BE190=0,0,(BF190-BE190)/BE190*100)</f>
        <v>0</v>
      </c>
      <c r="BH190" s="2846"/>
      <c r="BI190" s="2846"/>
      <c r="BJ190" s="1093">
        <f>IF(BH190=0,0,(BI190-BH190)/BH190*100)</f>
        <v>0</v>
      </c>
      <c r="BK190" s="2846"/>
      <c r="BL190" s="2846"/>
      <c r="BM190" s="1093">
        <f>IF(BK190=0,0,(BL190-BK190)/BK190*100)</f>
        <v>0</v>
      </c>
      <c r="BN190" s="2846"/>
      <c r="BO190" s="2846"/>
      <c r="BP190" s="1093">
        <f>IF(BN190=0,0,(BO190-BN190)/BN190*100)</f>
        <v>0</v>
      </c>
      <c r="BQ190" s="2846"/>
      <c r="BR190" s="2846"/>
      <c r="BS190" s="1093">
        <f>IF(BQ190=0,0,(BR190-BQ190)/BQ190*100)</f>
        <v>0</v>
      </c>
      <c r="BT190" s="2846"/>
      <c r="BU190" s="2846"/>
      <c r="BV190" s="1093">
        <f>IF(BT190=0,0,(BU190-BT190)/BT190*100)</f>
        <v>0</v>
      </c>
      <c r="BW190" s="2846"/>
      <c r="BX190" s="2846"/>
      <c r="BY190" s="1093">
        <f>IF(BW190=0,0,(BX190-BW190)/BW190*100)</f>
        <v>0</v>
      </c>
      <c r="BZ190" s="2846"/>
      <c r="CA190" s="2846"/>
      <c r="CB190" s="1093">
        <f>IF(BZ190=0,0,(CA190-BZ190)/BZ190*100)</f>
        <v>0</v>
      </c>
      <c r="CC190" s="2846"/>
      <c r="CD190" s="2846"/>
      <c r="CE190" s="1093">
        <f>IF(CC190=0,0,(CD190-CC190)/CC190*100)</f>
        <v>0</v>
      </c>
      <c r="CF190" s="2846"/>
      <c r="CG190" s="2846"/>
      <c r="CH190" s="1093">
        <f>IF(CF190=0,0,(CG190-CF190)/CF190*100)</f>
        <v>0</v>
      </c>
      <c r="CI190" s="2846"/>
      <c r="CJ190" s="2846"/>
      <c r="CK190" s="1093">
        <f>IF(CI190=0,0,(CJ190-CI190)/CI190*100)</f>
        <v>0</v>
      </c>
      <c r="CL190" s="2846"/>
      <c r="CM190" s="2846"/>
      <c r="CN190" s="1093">
        <f>IF(CL190=0,0,(CM190-CL190)/CL190*100)</f>
        <v>0</v>
      </c>
      <c r="CO190" s="2846"/>
      <c r="CP190" s="2846"/>
      <c r="CQ190" s="1093">
        <f>IF(CO190=0,0,(CP190-CO190)/CO190*100)</f>
        <v>0</v>
      </c>
      <c r="CR190" s="2846"/>
      <c r="CS190" s="2846"/>
      <c r="CT190" s="1093">
        <f>IF(CR190=0,0,(CS190-CR190)/CR190*100)</f>
        <v>0</v>
      </c>
      <c r="CU190" s="2846"/>
      <c r="CV190" s="2846"/>
      <c r="CW190" s="1093">
        <f>IF(CU190=0,0,(CV190-CU190)/CU190*100)</f>
        <v>0</v>
      </c>
      <c r="CX190" s="2846"/>
      <c r="CY190" s="2846"/>
      <c r="CZ190" s="1093">
        <f>IF(CX190=0,0,(CY190-CX190)/CX190*100)</f>
        <v>0</v>
      </c>
      <c r="DA190" s="2846"/>
      <c r="DB190" s="2846"/>
      <c r="DC190" s="1093">
        <f>IF(DA190=0,0,(DB190-DA190)/DA190*100)</f>
        <v>0</v>
      </c>
      <c r="DD190" s="2846"/>
      <c r="DE190" s="2846"/>
      <c r="DF190" s="1093">
        <f>IF(DD190=0,0,(DE190-DD190)/DD190*100)</f>
        <v>0</v>
      </c>
      <c r="DG190" s="2846"/>
      <c r="DH190" s="2846"/>
      <c r="DI190" s="1093">
        <f>IF(DG190=0,0,(DH190-DG190)/DG190*100)</f>
        <v>0</v>
      </c>
      <c r="DJ190" s="2846"/>
      <c r="DK190" s="2846"/>
      <c r="DL190" s="1093">
        <f>IF(DJ190=0,0,(DK190-DJ190)/DJ190*100)</f>
        <v>0</v>
      </c>
      <c r="DM190" s="2846"/>
      <c r="DN190" s="2846"/>
      <c r="DO190" s="1093">
        <f>IF(DM190=0,0,(DN190-DM190)/DM190*100)</f>
        <v>0</v>
      </c>
      <c r="DP190" s="2846"/>
      <c r="DQ190" s="2846"/>
      <c r="DR190" s="1093">
        <f>IF(DP190=0,0,(DQ190-DP190)/DP190*100)</f>
        <v>0</v>
      </c>
      <c r="DS190" s="2846"/>
      <c r="DT190" s="2846"/>
      <c r="DU190" s="1093">
        <f>IF(DS190=0,0,(DT190-DS190)/DS190*100)</f>
        <v>0</v>
      </c>
      <c r="DV190" s="2846"/>
      <c r="DW190" s="2846"/>
      <c r="DX190" s="1093">
        <f>IF(DV190=0,0,(DW190-DV190)/DV190*100)</f>
        <v>0</v>
      </c>
      <c r="DY190" s="2846"/>
      <c r="DZ190" s="2846"/>
      <c r="EA190" s="1093">
        <f>IF(DY190=0,0,(DZ190-DY190)/DY190*100)</f>
        <v>0</v>
      </c>
      <c r="EB190" s="2846"/>
      <c r="EC190" s="2846"/>
      <c r="ED190" s="1093">
        <f>IF(EB190=0,0,(EC190-EB190)/EB190*100)</f>
        <v>0</v>
      </c>
      <c r="EE190" s="2846"/>
      <c r="EF190" s="2846"/>
      <c r="EG190" s="1093">
        <f>IF(EE190=0,0,(EF190-EE190)/EE190*100)</f>
        <v>0</v>
      </c>
      <c r="EH190" s="2846"/>
      <c r="EI190" s="2846"/>
      <c r="EJ190" s="1093">
        <f>IF(EH190=0,0,(EI190-EH190)/EH190*100)</f>
        <v>0</v>
      </c>
      <c r="EK190" s="2846"/>
      <c r="EL190" s="2846"/>
      <c r="EM190" s="1093">
        <f>IF(EK190=0,0,(EL190-EK190)/EK190*100)</f>
        <v>0</v>
      </c>
      <c r="EN190" s="2846"/>
      <c r="EO190" s="2846"/>
      <c r="EP190" s="1093">
        <f>IF(EN190=0,0,(EO190-EN190)/EN190*100)</f>
        <v>0</v>
      </c>
      <c r="EQ190" s="2846"/>
      <c r="ER190" s="2846"/>
      <c r="ES190" s="1093">
        <f>IF(EQ190=0,0,(ER190-EQ190)/EQ190*100)</f>
        <v>0</v>
      </c>
      <c r="ET190" s="2846"/>
      <c r="EU190" s="2846"/>
      <c r="EV190" s="1093">
        <f>IF(ET190=0,0,(EU190-ET190)/ET190*100)</f>
        <v>0</v>
      </c>
      <c r="EW190" s="2846"/>
      <c r="EX190" s="2846"/>
      <c r="EY190" s="1093">
        <f>IF(EW190=0,0,(EX190-EW190)/EW190*100)</f>
        <v>0</v>
      </c>
      <c r="EZ190" s="2846"/>
      <c r="FA190" s="2846"/>
      <c r="FB190" s="1093">
        <f>IF(EZ190=0,0,(FA190-EZ190)/EZ190*100)</f>
        <v>0</v>
      </c>
      <c r="FC190" s="2846"/>
      <c r="FD190" s="2846"/>
      <c r="FE190" s="1093">
        <f>IF(FC190=0,0,(FD190-FC190)/FC190*100)</f>
        <v>0</v>
      </c>
      <c r="FF190" s="2846"/>
      <c r="FG190" s="2846"/>
      <c r="FH190" s="1093">
        <f>IF(FF190=0,0,(FG190-FF190)/FF190*100)</f>
        <v>0</v>
      </c>
      <c r="FI190" s="2846"/>
      <c r="FJ190" s="2846"/>
      <c r="FK190" s="1093">
        <f>IF(FI190=0,0,(FJ190-FI190)/FI190*100)</f>
        <v>0</v>
      </c>
      <c r="FL190" s="2846"/>
      <c r="FM190" s="2846"/>
      <c r="FN190" s="1093">
        <f>IF(FL190=0,0,(FM190-FL190)/FL190*100)</f>
        <v>0</v>
      </c>
      <c r="FO190" s="2846"/>
      <c r="FP190" s="2846"/>
      <c r="FQ190" s="1093">
        <f>IF(FO190=0,0,(FP190-FO190)/FO190*100)</f>
        <v>0</v>
      </c>
      <c r="FR190" s="2846"/>
      <c r="FS190" s="2846"/>
      <c r="FT190" s="1093">
        <f>IF(FR190=0,0,(FS190-FR190)/FR190*100)</f>
        <v>0</v>
      </c>
      <c r="FU190" s="2846"/>
      <c r="FV190" s="2846"/>
      <c r="FW190" s="1093">
        <f>IF(FU190=0,0,(FV190-FU190)/FU190*100)</f>
        <v>0</v>
      </c>
      <c r="FX190" s="1304"/>
      <c r="FY190" s="1304"/>
      <c r="FZ190" s="1055" t="s">
        <v>2396</v>
      </c>
      <c r="GA190" s="1306"/>
      <c r="GB190" s="1306"/>
      <c r="GC190" s="1305"/>
      <c r="GD190" s="1305"/>
    </row>
    <row s="1834" customFormat="1" customHeight="1" ht="23.25" hidden="1">
      <c r="A191" s="493"/>
      <c r="B191" s="925" cm="1" t="str">
        <f t="array" ref="B191:B191">B190</f>
        <v>false</v>
      </c>
      <c r="C191" s="493"/>
      <c r="D191" s="493"/>
      <c r="E191" s="840">
        <v>24.5</v>
      </c>
      <c r="F191" s="50" cm="1" t="str">
        <f t="array" ref="F191:F191">OFFSET(E191,-1,1)</f>
        <v>2</v>
      </c>
      <c r="G191" s="493"/>
      <c r="H191" s="493"/>
      <c r="I191" s="493"/>
      <c r="J191" s="493"/>
      <c r="K191" s="493"/>
      <c r="L191" s="493"/>
      <c r="M191" s="493"/>
      <c r="N191" s="493"/>
      <c r="O191" s="493"/>
      <c r="P191" s="493"/>
      <c r="Q191" s="493"/>
      <c r="R191" s="493"/>
      <c r="S191" s="493"/>
      <c r="T191" s="465" cm="1" t="str">
        <f t="array" ref="T191:T191">T190</f>
        <v>true</v>
      </c>
      <c r="U191" s="493"/>
      <c r="V191" s="493"/>
      <c r="W191" s="493"/>
      <c r="X191" s="1596"/>
      <c r="Y191" s="493"/>
      <c r="Z191" s="1545"/>
      <c r="AA191" s="493"/>
      <c r="AB191" s="293" t="s">
        <v>2397</v>
      </c>
      <c r="AC191" s="903"/>
      <c r="AD191" s="1102"/>
      <c r="AE191" s="1102"/>
      <c r="AF191" s="1102"/>
      <c r="AG191" s="1102"/>
      <c r="AH191" s="1102"/>
      <c r="AI191" s="1102"/>
      <c r="AJ191" s="1102"/>
      <c r="AK191" s="1102"/>
      <c r="AL191" s="1102"/>
      <c r="AM191" s="1102"/>
      <c r="AN191" s="1102"/>
      <c r="AO191" s="1102"/>
      <c r="AP191" s="1102"/>
      <c r="AQ191" s="1102"/>
      <c r="AR191" s="1102"/>
      <c r="AS191" s="1102"/>
      <c r="AT191" s="1102"/>
      <c r="AU191" s="1102"/>
      <c r="AV191" s="1102"/>
      <c r="AW191" s="1102"/>
      <c r="AX191" s="1102"/>
      <c r="AY191" s="1102"/>
      <c r="AZ191" s="1102"/>
      <c r="BA191" s="1102"/>
      <c r="BB191" s="1102"/>
      <c r="BC191" s="1102"/>
      <c r="BD191" s="1102"/>
      <c r="BE191" s="1102"/>
      <c r="BF191" s="1102"/>
      <c r="BG191" s="1102"/>
      <c r="BH191" s="1102"/>
      <c r="BI191" s="1102"/>
      <c r="BJ191" s="1102"/>
      <c r="BK191" s="1102"/>
      <c r="BL191" s="1102"/>
      <c r="BM191" s="1102"/>
      <c r="BN191" s="1102"/>
      <c r="BO191" s="1102"/>
      <c r="BP191" s="1102"/>
      <c r="BQ191" s="1102"/>
      <c r="BR191" s="1102"/>
      <c r="BS191" s="1102"/>
      <c r="BT191" s="1102"/>
      <c r="BU191" s="1102"/>
      <c r="BV191" s="1102"/>
      <c r="BW191" s="1102"/>
      <c r="BX191" s="1102"/>
      <c r="BY191" s="1102"/>
      <c r="BZ191" s="1102"/>
      <c r="CA191" s="1102"/>
      <c r="CB191" s="1102"/>
      <c r="CC191" s="1102"/>
      <c r="CD191" s="1102"/>
      <c r="CE191" s="1102"/>
      <c r="CF191" s="1102"/>
      <c r="CG191" s="1102"/>
      <c r="CH191" s="1102"/>
      <c r="CI191" s="1102"/>
      <c r="CJ191" s="1102"/>
      <c r="CK191" s="1102"/>
      <c r="CL191" s="1102"/>
      <c r="CM191" s="1102"/>
      <c r="CN191" s="1102"/>
      <c r="CO191" s="1102"/>
      <c r="CP191" s="1102"/>
      <c r="CQ191" s="1102"/>
      <c r="CR191" s="1102"/>
      <c r="CS191" s="1102"/>
      <c r="CT191" s="1102"/>
      <c r="CU191" s="1102"/>
      <c r="CV191" s="1102"/>
      <c r="CW191" s="1102"/>
      <c r="CX191" s="1102"/>
      <c r="CY191" s="1102"/>
      <c r="CZ191" s="1102"/>
      <c r="DA191" s="1102"/>
      <c r="DB191" s="1102"/>
      <c r="DC191" s="1102"/>
      <c r="DD191" s="1102"/>
      <c r="DE191" s="1102"/>
      <c r="DF191" s="1102"/>
      <c r="DG191" s="1102"/>
      <c r="DH191" s="1102"/>
      <c r="DI191" s="1102"/>
      <c r="DJ191" s="1102"/>
      <c r="DK191" s="1102"/>
      <c r="DL191" s="1102"/>
      <c r="DM191" s="1102"/>
      <c r="DN191" s="1102"/>
      <c r="DO191" s="1102"/>
      <c r="DP191" s="1102"/>
      <c r="DQ191" s="1102"/>
      <c r="DR191" s="1102"/>
      <c r="DS191" s="1102"/>
      <c r="DT191" s="1102"/>
      <c r="DU191" s="1102"/>
      <c r="DV191" s="1102"/>
      <c r="DW191" s="1102"/>
      <c r="DX191" s="1102"/>
      <c r="DY191" s="1102"/>
      <c r="DZ191" s="1102"/>
      <c r="EA191" s="1102"/>
      <c r="EB191" s="1102"/>
      <c r="EC191" s="1102"/>
      <c r="ED191" s="1102"/>
      <c r="EE191" s="1102"/>
      <c r="EF191" s="1102"/>
      <c r="EG191" s="1102"/>
      <c r="EH191" s="1102"/>
      <c r="EI191" s="1102"/>
      <c r="EJ191" s="1102"/>
      <c r="EK191" s="1102"/>
      <c r="EL191" s="1102"/>
      <c r="EM191" s="1102"/>
      <c r="EN191" s="1102"/>
      <c r="EO191" s="1102"/>
      <c r="EP191" s="1102"/>
      <c r="EQ191" s="1102"/>
      <c r="ER191" s="1102"/>
      <c r="ES191" s="1102"/>
      <c r="ET191" s="1102"/>
      <c r="EU191" s="1102"/>
      <c r="EV191" s="1102"/>
      <c r="EW191" s="1102"/>
      <c r="EX191" s="1102"/>
      <c r="EY191" s="1102"/>
      <c r="EZ191" s="1102"/>
      <c r="FA191" s="1102"/>
      <c r="FB191" s="1102"/>
      <c r="FC191" s="1102"/>
      <c r="FD191" s="1102"/>
      <c r="FE191" s="1102"/>
      <c r="FF191" s="1102"/>
      <c r="FG191" s="1102"/>
      <c r="FH191" s="1102"/>
      <c r="FI191" s="1102"/>
      <c r="FJ191" s="1102"/>
      <c r="FK191" s="1102"/>
      <c r="FL191" s="1102"/>
      <c r="FM191" s="1102"/>
      <c r="FN191" s="1102"/>
      <c r="FO191" s="1102"/>
      <c r="FP191" s="1102"/>
      <c r="FQ191" s="1102"/>
      <c r="FR191" s="1102"/>
      <c r="FS191" s="1102"/>
      <c r="FT191" s="1102"/>
      <c r="FU191" s="1102"/>
      <c r="FV191" s="1102"/>
      <c r="FW191" s="1103"/>
      <c r="FX191" s="1304"/>
      <c r="FY191" s="1304"/>
      <c r="FZ191" s="1055"/>
      <c r="GA191" s="1306"/>
      <c r="GB191" s="1306"/>
      <c r="GC191" s="1305"/>
      <c r="GD191" s="1305"/>
    </row>
    <row s="1834" customFormat="1" customHeight="1" ht="14.25" hidden="1">
      <c r="A192" s="493"/>
      <c r="B192" s="925" cm="1" t="str">
        <f t="array" ref="B192:B192">B191</f>
        <v>false</v>
      </c>
      <c r="C192" s="493"/>
      <c r="D192" s="493"/>
      <c r="E192" s="840">
        <v>15</v>
      </c>
      <c r="F192" s="50" cm="1" t="str">
        <f t="array" ref="F192:F192">OFFSET(E192,-1,1)</f>
        <v>2</v>
      </c>
      <c r="G192" s="493"/>
      <c r="H192" s="493" t="s">
        <v>2295</v>
      </c>
      <c r="I192" s="493" t="s">
        <v>2354</v>
      </c>
      <c r="J192" s="493"/>
      <c r="K192" s="493"/>
      <c r="L192" s="493"/>
      <c r="M192" s="493"/>
      <c r="N192" s="493"/>
      <c r="O192" s="493"/>
      <c r="P192" s="493"/>
      <c r="Q192" s="493"/>
      <c r="R192" s="493"/>
      <c r="S192" s="493"/>
      <c r="T192" s="465" cm="1" t="str">
        <f t="array" ref="T192:T192">T191</f>
        <v>true</v>
      </c>
      <c r="U192" s="493"/>
      <c r="V192" s="493"/>
      <c r="W192" s="493"/>
      <c r="X192" s="1596"/>
      <c r="Y192" s="493"/>
      <c r="Z192" s="1545"/>
      <c r="AA192" s="493"/>
      <c r="AB192" s="1091" t="s">
        <v>2370</v>
      </c>
      <c r="AC192" s="864" t="s">
        <v>2337</v>
      </c>
      <c r="AD192" s="2846">
        <f>IF(AD194=0,0,(AD193*AD194+AD195*AD196*IF(god=2026,3,6))/AD194)</f>
        <v>0</v>
      </c>
      <c r="AE192" s="2846">
        <f>IF(AE194=0,0,(AE193*AE194+AE195*AE196*IF(god=2026,3,6))/AE194)</f>
        <v>0</v>
      </c>
      <c r="AF192" s="1093">
        <f>IF(AD192=0,0,(AE192-AD192)/AD192*100)</f>
        <v>0</v>
      </c>
      <c r="AG192" s="2846">
        <f>IF(AG194=0,0,(AG193*AG194+AG195*AG196*IF(god=2025,3,6))/AG194)</f>
        <v>0</v>
      </c>
      <c r="AH192" s="2846">
        <f>IF(AH194=0,0,(AH193*AH194+AH195*AH196*IF(god=2025,3,6))/AH194)</f>
        <v>0</v>
      </c>
      <c r="AI192" s="1093">
        <f>IF(AG192=0,0,(AH192-AG192)/AG192*100)</f>
        <v>0</v>
      </c>
      <c r="AJ192" s="2846">
        <f>IF(AJ194=0,0,(AJ193*AJ194+AJ195*AJ196*6)/AJ194)</f>
        <v>0</v>
      </c>
      <c r="AK192" s="2846">
        <f>IF(AK194=0,0,(AK193*AK194+AK195*AK196*6)/AK194)</f>
        <v>0</v>
      </c>
      <c r="AL192" s="1093">
        <f>IF(AJ192=0,0,(AK192-AJ192)/AJ192*100)</f>
        <v>0</v>
      </c>
      <c r="AM192" s="2846">
        <f>IF(AM194=0,0,(AM193*AM194+AM195*AM196*6)/AM194)</f>
        <v>0</v>
      </c>
      <c r="AN192" s="2846">
        <f>IF(AN194=0,0,(AN193*AN194+AN195*AN196*6)/AN194)</f>
        <v>0</v>
      </c>
      <c r="AO192" s="1093">
        <f>IF(AM192=0,0,(AN192-AM192)/AM192*100)</f>
        <v>0</v>
      </c>
      <c r="AP192" s="2846">
        <f>IF(AP194=0,0,(AP193*AP194+AP195*AP196*6)/AP194)</f>
        <v>0</v>
      </c>
      <c r="AQ192" s="2846">
        <f>IF(AQ194=0,0,(AQ193*AQ194+AQ195*AQ196*6)/AQ194)</f>
        <v>0</v>
      </c>
      <c r="AR192" s="1093">
        <f>IF(AP192=0,0,(AQ192-AP192)/AP192*100)</f>
        <v>0</v>
      </c>
      <c r="AS192" s="2846">
        <f>IF(AS194=0,0,(AS193*AS194+AS195*AS196*6)/AS194)</f>
        <v>0</v>
      </c>
      <c r="AT192" s="2846">
        <f>IF(AT194=0,0,(AT193*AT194+AT195*AT196*6)/AT194)</f>
        <v>0</v>
      </c>
      <c r="AU192" s="1093">
        <f>IF(AS192=0,0,(AT192-AS192)/AS192*100)</f>
        <v>0</v>
      </c>
      <c r="AV192" s="2846">
        <f>IF(AV194=0,0,(AV193*AV194+AV195*AV196*6)/AV194)</f>
        <v>0</v>
      </c>
      <c r="AW192" s="2846">
        <f>IF(AW194=0,0,(AW193*AW194+AW195*AW196*6)/AW194)</f>
        <v>0</v>
      </c>
      <c r="AX192" s="1093">
        <f>IF(AV192=0,0,(AW192-AV192)/AV192*100)</f>
        <v>0</v>
      </c>
      <c r="AY192" s="2846">
        <f>IF(AY194=0,0,(AY193*AY194+AY195*AY196*6)/AY194)</f>
        <v>0</v>
      </c>
      <c r="AZ192" s="2846">
        <f>IF(AZ194=0,0,(AZ193*AZ194+AZ195*AZ196*6)/AZ194)</f>
        <v>0</v>
      </c>
      <c r="BA192" s="1093">
        <f>IF(AY192=0,0,(AZ192-AY192)/AY192*100)</f>
        <v>0</v>
      </c>
      <c r="BB192" s="2846">
        <f>IF(BB194=0,0,(BB193*BB194+BB195*BB196*6)/BB194)</f>
        <v>0</v>
      </c>
      <c r="BC192" s="2846">
        <f>IF(BC194=0,0,(BC193*BC194+BC195*BC196*6)/BC194)</f>
        <v>0</v>
      </c>
      <c r="BD192" s="1093">
        <f>IF(BB192=0,0,(BC192-BB192)/BB192*100)</f>
        <v>0</v>
      </c>
      <c r="BE192" s="2846">
        <f>IF(BE194=0,0,(BE193*BE194+BE195*BE196*6)/BE194)</f>
        <v>0</v>
      </c>
      <c r="BF192" s="2846">
        <f>IF(BF194=0,0,(BF193*BF194+BF195*BF196*6)/BF194)</f>
        <v>0</v>
      </c>
      <c r="BG192" s="1093">
        <f>IF(BE192=0,0,(BF192-BE192)/BE192*100)</f>
        <v>0</v>
      </c>
      <c r="BH192" s="2846">
        <f>IF(BH194=0,0,(BH193*BH194+BH195*BH196*6)/BH194)</f>
        <v>0</v>
      </c>
      <c r="BI192" s="2846">
        <f>IF(BI194=0,0,(BI193*BI194+BI195*BI196*6)/BI194)</f>
        <v>0</v>
      </c>
      <c r="BJ192" s="1093">
        <f>IF(BH192=0,0,(BI192-BH192)/BH192*100)</f>
        <v>0</v>
      </c>
      <c r="BK192" s="2846">
        <f>IF(BK194=0,0,(BK193*BK194+BK195*BK196*6)/BK194)</f>
        <v>0</v>
      </c>
      <c r="BL192" s="2846">
        <f>IF(BL194=0,0,(BL193*BL194+BL195*BL196*6)/BL194)</f>
        <v>0</v>
      </c>
      <c r="BM192" s="1093">
        <f>IF(BK192=0,0,(BL192-BK192)/BK192*100)</f>
        <v>0</v>
      </c>
      <c r="BN192" s="2846">
        <f>IF(BN194=0,0,(BN193*BN194+BN195*BN196*6)/BN194)</f>
        <v>0</v>
      </c>
      <c r="BO192" s="2846">
        <f>IF(BO194=0,0,(BO193*BO194+BO195*BO196*6)/BO194)</f>
        <v>0</v>
      </c>
      <c r="BP192" s="1093">
        <f>IF(BN192=0,0,(BO192-BN192)/BN192*100)</f>
        <v>0</v>
      </c>
      <c r="BQ192" s="2846">
        <f>IF(BQ194=0,0,(BQ193*BQ194+BQ195*BQ196*6)/BQ194)</f>
        <v>0</v>
      </c>
      <c r="BR192" s="2846">
        <f>IF(BR194=0,0,(BR193*BR194+BR195*BR196*6)/BR194)</f>
        <v>0</v>
      </c>
      <c r="BS192" s="1093">
        <f>IF(BQ192=0,0,(BR192-BQ192)/BQ192*100)</f>
        <v>0</v>
      </c>
      <c r="BT192" s="2846">
        <f>IF(BT194=0,0,(BT193*BT194+BT195*BT196*6)/BT194)</f>
        <v>0</v>
      </c>
      <c r="BU192" s="2846">
        <f>IF(BU194=0,0,(BU193*BU194+BU195*BU196*6)/BU194)</f>
        <v>0</v>
      </c>
      <c r="BV192" s="1093">
        <f>IF(BT192=0,0,(BU192-BT192)/BT192*100)</f>
        <v>0</v>
      </c>
      <c r="BW192" s="2846">
        <f>IF(BW194=0,0,(BW193*BW194+BW195*BW196*6)/BW194)</f>
        <v>0</v>
      </c>
      <c r="BX192" s="2846">
        <f>IF(BX194=0,0,(BX193*BX194+BX195*BX196*6)/BX194)</f>
        <v>0</v>
      </c>
      <c r="BY192" s="1093">
        <f>IF(BW192=0,0,(BX192-BW192)/BW192*100)</f>
        <v>0</v>
      </c>
      <c r="BZ192" s="2846">
        <f>IF(BZ194=0,0,(BZ193*BZ194+BZ195*BZ196*6)/BZ194)</f>
        <v>0</v>
      </c>
      <c r="CA192" s="2846">
        <f>IF(CA194=0,0,(CA193*CA194+CA195*CA196*6)/CA194)</f>
        <v>0</v>
      </c>
      <c r="CB192" s="1093">
        <f>IF(BZ192=0,0,(CA192-BZ192)/BZ192*100)</f>
        <v>0</v>
      </c>
      <c r="CC192" s="2846">
        <f>IF(CC194=0,0,(CC193*CC194+CC195*CC196*6)/CC194)</f>
        <v>0</v>
      </c>
      <c r="CD192" s="2846">
        <f>IF(CD194=0,0,(CD193*CD194+CD195*CD196*6)/CD194)</f>
        <v>0</v>
      </c>
      <c r="CE192" s="1093">
        <f>IF(CC192=0,0,(CD192-CC192)/CC192*100)</f>
        <v>0</v>
      </c>
      <c r="CF192" s="2846">
        <f>IF(CF194=0,0,(CF193*CF194+CF195*CF196*6)/CF194)</f>
        <v>0</v>
      </c>
      <c r="CG192" s="2846">
        <f>IF(CG194=0,0,(CG193*CG194+CG195*CG196*6)/CG194)</f>
        <v>0</v>
      </c>
      <c r="CH192" s="1093">
        <f>IF(CF192=0,0,(CG192-CF192)/CF192*100)</f>
        <v>0</v>
      </c>
      <c r="CI192" s="2846">
        <f>IF(CI194=0,0,(CI193*CI194+CI195*CI196*6)/CI194)</f>
        <v>0</v>
      </c>
      <c r="CJ192" s="2846">
        <f>IF(CJ194=0,0,(CJ193*CJ194+CJ195*CJ196*6)/CJ194)</f>
        <v>0</v>
      </c>
      <c r="CK192" s="1093">
        <f>IF(CI192=0,0,(CJ192-CI192)/CI192*100)</f>
        <v>0</v>
      </c>
      <c r="CL192" s="2846">
        <f>IF(CL194=0,0,(CL193*CL194+CL195*CL196*6)/CL194)</f>
        <v>0</v>
      </c>
      <c r="CM192" s="2846">
        <f>IF(CM194=0,0,(CM193*CM194+CM195*CM196*6)/CM194)</f>
        <v>0</v>
      </c>
      <c r="CN192" s="1093">
        <f>IF(CL192=0,0,(CM192-CL192)/CL192*100)</f>
        <v>0</v>
      </c>
      <c r="CO192" s="2846">
        <f>IF(CO194=0,0,(CO193*CO194+CO195*CO196*6)/CO194)</f>
        <v>0</v>
      </c>
      <c r="CP192" s="2846">
        <f>IF(CP194=0,0,(CP193*CP194+CP195*CP196*6)/CP194)</f>
        <v>0</v>
      </c>
      <c r="CQ192" s="1093">
        <f>IF(CO192=0,0,(CP192-CO192)/CO192*100)</f>
        <v>0</v>
      </c>
      <c r="CR192" s="2846">
        <f>IF(CR194=0,0,(CR193*CR194+CR195*CR196*6)/CR194)</f>
        <v>0</v>
      </c>
      <c r="CS192" s="2846">
        <f>IF(CS194=0,0,(CS193*CS194+CS195*CS196*6)/CS194)</f>
        <v>0</v>
      </c>
      <c r="CT192" s="1093">
        <f>IF(CR192=0,0,(CS192-CR192)/CR192*100)</f>
        <v>0</v>
      </c>
      <c r="CU192" s="2846">
        <f>IF(CU194=0,0,(CU193*CU194+CU195*CU196*6)/CU194)</f>
        <v>0</v>
      </c>
      <c r="CV192" s="2846">
        <f>IF(CV194=0,0,(CV193*CV194+CV195*CV196*6)/CV194)</f>
        <v>0</v>
      </c>
      <c r="CW192" s="1093">
        <f>IF(CU192=0,0,(CV192-CU192)/CU192*100)</f>
        <v>0</v>
      </c>
      <c r="CX192" s="2846">
        <f>IF(CX194=0,0,(CX193*CX194+CX195*CX196*6)/CX194)</f>
        <v>0</v>
      </c>
      <c r="CY192" s="2846">
        <f>IF(CY194=0,0,(CY193*CY194+CY195*CY196*6)/CY194)</f>
        <v>0</v>
      </c>
      <c r="CZ192" s="1093">
        <f>IF(CX192=0,0,(CY192-CX192)/CX192*100)</f>
        <v>0</v>
      </c>
      <c r="DA192" s="2846">
        <f>IF(DA194=0,0,(DA193*DA194+DA195*DA196*6)/DA194)</f>
        <v>0</v>
      </c>
      <c r="DB192" s="2846">
        <f>IF(DB194=0,0,(DB193*DB194+DB195*DB196*6)/DB194)</f>
        <v>0</v>
      </c>
      <c r="DC192" s="1093">
        <f>IF(DA192=0,0,(DB192-DA192)/DA192*100)</f>
        <v>0</v>
      </c>
      <c r="DD192" s="2846">
        <f>IF(DD194=0,0,(DD193*DD194+DD195*DD196*6)/DD194)</f>
        <v>0</v>
      </c>
      <c r="DE192" s="2846">
        <f>IF(DE194=0,0,(DE193*DE194+DE195*DE196*6)/DE194)</f>
        <v>0</v>
      </c>
      <c r="DF192" s="1093">
        <f>IF(DD192=0,0,(DE192-DD192)/DD192*100)</f>
        <v>0</v>
      </c>
      <c r="DG192" s="2846">
        <f>IF(DG194=0,0,(DG193*DG194+DG195*DG196*6)/DG194)</f>
        <v>0</v>
      </c>
      <c r="DH192" s="2846">
        <f>IF(DH194=0,0,(DH193*DH194+DH195*DH196*6)/DH194)</f>
        <v>0</v>
      </c>
      <c r="DI192" s="1093">
        <f>IF(DG192=0,0,(DH192-DG192)/DG192*100)</f>
        <v>0</v>
      </c>
      <c r="DJ192" s="2846">
        <f>IF(DJ194=0,0,(DJ193*DJ194+DJ195*DJ196*6)/DJ194)</f>
        <v>0</v>
      </c>
      <c r="DK192" s="2846">
        <f>IF(DK194=0,0,(DK193*DK194+DK195*DK196*6)/DK194)</f>
        <v>0</v>
      </c>
      <c r="DL192" s="1093">
        <f>IF(DJ192=0,0,(DK192-DJ192)/DJ192*100)</f>
        <v>0</v>
      </c>
      <c r="DM192" s="2846">
        <f>IF(DM194=0,0,(DM193*DM194+DM195*DM196*6)/DM194)</f>
        <v>0</v>
      </c>
      <c r="DN192" s="2846">
        <f>IF(DN194=0,0,(DN193*DN194+DN195*DN196*6)/DN194)</f>
        <v>0</v>
      </c>
      <c r="DO192" s="1093">
        <f>IF(DM192=0,0,(DN192-DM192)/DM192*100)</f>
        <v>0</v>
      </c>
      <c r="DP192" s="2846">
        <f>IF(DP194=0,0,(DP193*DP194+DP195*DP196*6)/DP194)</f>
        <v>0</v>
      </c>
      <c r="DQ192" s="2846">
        <f>IF(DQ194=0,0,(DQ193*DQ194+DQ195*DQ196*6)/DQ194)</f>
        <v>0</v>
      </c>
      <c r="DR192" s="1093">
        <f>IF(DP192=0,0,(DQ192-DP192)/DP192*100)</f>
        <v>0</v>
      </c>
      <c r="DS192" s="2846">
        <f>IF(DS194=0,0,(DS193*DS194+DS195*DS196*6)/DS194)</f>
        <v>0</v>
      </c>
      <c r="DT192" s="2846">
        <f>IF(DT194=0,0,(DT193*DT194+DT195*DT196*6)/DT194)</f>
        <v>0</v>
      </c>
      <c r="DU192" s="1093">
        <f>IF(DS192=0,0,(DT192-DS192)/DS192*100)</f>
        <v>0</v>
      </c>
      <c r="DV192" s="2846">
        <f>IF(DV194=0,0,(DV193*DV194+DV195*DV196*6)/DV194)</f>
        <v>0</v>
      </c>
      <c r="DW192" s="2846">
        <f>IF(DW194=0,0,(DW193*DW194+DW195*DW196*6)/DW194)</f>
        <v>0</v>
      </c>
      <c r="DX192" s="1093">
        <f>IF(DV192=0,0,(DW192-DV192)/DV192*100)</f>
        <v>0</v>
      </c>
      <c r="DY192" s="2846">
        <f>IF(DY194=0,0,(DY193*DY194+DY195*DY196*6)/DY194)</f>
        <v>0</v>
      </c>
      <c r="DZ192" s="2846">
        <f>IF(DZ194=0,0,(DZ193*DZ194+DZ195*DZ196*6)/DZ194)</f>
        <v>0</v>
      </c>
      <c r="EA192" s="1093">
        <f>IF(DY192=0,0,(DZ192-DY192)/DY192*100)</f>
        <v>0</v>
      </c>
      <c r="EB192" s="2846">
        <f>IF(EB194=0,0,(EB193*EB194+EB195*EB196*6)/EB194)</f>
        <v>0</v>
      </c>
      <c r="EC192" s="2846">
        <f>IF(EC194=0,0,(EC193*EC194+EC195*EC196*6)/EC194)</f>
        <v>0</v>
      </c>
      <c r="ED192" s="1093">
        <f>IF(EB192=0,0,(EC192-EB192)/EB192*100)</f>
        <v>0</v>
      </c>
      <c r="EE192" s="2846">
        <f>IF(EE194=0,0,(EE193*EE194+EE195*EE196*6)/EE194)</f>
        <v>0</v>
      </c>
      <c r="EF192" s="2846">
        <f>IF(EF194=0,0,(EF193*EF194+EF195*EF196*6)/EF194)</f>
        <v>0</v>
      </c>
      <c r="EG192" s="1093">
        <f>IF(EE192=0,0,(EF192-EE192)/EE192*100)</f>
        <v>0</v>
      </c>
      <c r="EH192" s="2846">
        <f>IF(EH194=0,0,(EH193*EH194+EH195*EH196*6)/EH194)</f>
        <v>0</v>
      </c>
      <c r="EI192" s="2846">
        <f>IF(EI194=0,0,(EI193*EI194+EI195*EI196*6)/EI194)</f>
        <v>0</v>
      </c>
      <c r="EJ192" s="1093">
        <f>IF(EH192=0,0,(EI192-EH192)/EH192*100)</f>
        <v>0</v>
      </c>
      <c r="EK192" s="2846">
        <f>IF(EK194=0,0,(EK193*EK194+EK195*EK196*6)/EK194)</f>
        <v>0</v>
      </c>
      <c r="EL192" s="2846">
        <f>IF(EL194=0,0,(EL193*EL194+EL195*EL196*6)/EL194)</f>
        <v>0</v>
      </c>
      <c r="EM192" s="1093">
        <f>IF(EK192=0,0,(EL192-EK192)/EK192*100)</f>
        <v>0</v>
      </c>
      <c r="EN192" s="2846">
        <f>IF(EN194=0,0,(EN193*EN194+EN195*EN196*6)/EN194)</f>
        <v>0</v>
      </c>
      <c r="EO192" s="2846">
        <f>IF(EO194=0,0,(EO193*EO194+EO195*EO196*6)/EO194)</f>
        <v>0</v>
      </c>
      <c r="EP192" s="1093">
        <f>IF(EN192=0,0,(EO192-EN192)/EN192*100)</f>
        <v>0</v>
      </c>
      <c r="EQ192" s="2846">
        <f>IF(EQ194=0,0,(EQ193*EQ194+EQ195*EQ196*6)/EQ194)</f>
        <v>0</v>
      </c>
      <c r="ER192" s="2846">
        <f>IF(ER194=0,0,(ER193*ER194+ER195*ER196*6)/ER194)</f>
        <v>0</v>
      </c>
      <c r="ES192" s="1093">
        <f>IF(EQ192=0,0,(ER192-EQ192)/EQ192*100)</f>
        <v>0</v>
      </c>
      <c r="ET192" s="2846">
        <f>IF(ET194=0,0,(ET193*ET194+ET195*ET196*6)/ET194)</f>
        <v>0</v>
      </c>
      <c r="EU192" s="2846">
        <f>IF(EU194=0,0,(EU193*EU194+EU195*EU196*6)/EU194)</f>
        <v>0</v>
      </c>
      <c r="EV192" s="1093">
        <f>IF(ET192=0,0,(EU192-ET192)/ET192*100)</f>
        <v>0</v>
      </c>
      <c r="EW192" s="2846">
        <f>IF(EW194=0,0,(EW193*EW194+EW195*EW196*6)/EW194)</f>
        <v>0</v>
      </c>
      <c r="EX192" s="2846">
        <f>IF(EX194=0,0,(EX193*EX194+EX195*EX196*6)/EX194)</f>
        <v>0</v>
      </c>
      <c r="EY192" s="1093">
        <f>IF(EW192=0,0,(EX192-EW192)/EW192*100)</f>
        <v>0</v>
      </c>
      <c r="EZ192" s="2846">
        <f>IF(EZ194=0,0,(EZ193*EZ194+EZ195*EZ196*6)/EZ194)</f>
        <v>0</v>
      </c>
      <c r="FA192" s="2846">
        <f>IF(FA194=0,0,(FA193*FA194+FA195*FA196*6)/FA194)</f>
        <v>0</v>
      </c>
      <c r="FB192" s="1093">
        <f>IF(EZ192=0,0,(FA192-EZ192)/EZ192*100)</f>
        <v>0</v>
      </c>
      <c r="FC192" s="2846">
        <f>IF(FC194=0,0,(FC193*FC194+FC195*FC196*6)/FC194)</f>
        <v>0</v>
      </c>
      <c r="FD192" s="2846">
        <f>IF(FD194=0,0,(FD193*FD194+FD195*FD196*6)/FD194)</f>
        <v>0</v>
      </c>
      <c r="FE192" s="1093">
        <f>IF(FC192=0,0,(FD192-FC192)/FC192*100)</f>
        <v>0</v>
      </c>
      <c r="FF192" s="2846">
        <f>IF(FF194=0,0,(FF193*FF194+FF195*FF196*6)/FF194)</f>
        <v>0</v>
      </c>
      <c r="FG192" s="2846">
        <f>IF(FG194=0,0,(FG193*FG194+FG195*FG196*6)/FG194)</f>
        <v>0</v>
      </c>
      <c r="FH192" s="1093">
        <f>IF(FF192=0,0,(FG192-FF192)/FF192*100)</f>
        <v>0</v>
      </c>
      <c r="FI192" s="2846">
        <f>IF(FI194=0,0,(FI193*FI194+FI195*FI196*6)/FI194)</f>
        <v>0</v>
      </c>
      <c r="FJ192" s="2846">
        <f>IF(FJ194=0,0,(FJ193*FJ194+FJ195*FJ196*6)/FJ194)</f>
        <v>0</v>
      </c>
      <c r="FK192" s="1093">
        <f>IF(FI192=0,0,(FJ192-FI192)/FI192*100)</f>
        <v>0</v>
      </c>
      <c r="FL192" s="2846">
        <f>IF(FL194=0,0,(FL193*FL194+FL195*FL196*6)/FL194)</f>
        <v>0</v>
      </c>
      <c r="FM192" s="2846">
        <f>IF(FM194=0,0,(FM193*FM194+FM195*FM196*6)/FM194)</f>
        <v>0</v>
      </c>
      <c r="FN192" s="1093">
        <f>IF(FL192=0,0,(FM192-FL192)/FL192*100)</f>
        <v>0</v>
      </c>
      <c r="FO192" s="2846">
        <f>IF(FO194=0,0,(FO193*FO194+FO195*FO196*6)/FO194)</f>
        <v>0</v>
      </c>
      <c r="FP192" s="2846">
        <f>IF(FP194=0,0,(FP193*FP194+FP195*FP196*6)/FP194)</f>
        <v>0</v>
      </c>
      <c r="FQ192" s="1093">
        <f>IF(FO192=0,0,(FP192-FO192)/FO192*100)</f>
        <v>0</v>
      </c>
      <c r="FR192" s="2846">
        <f>IF(FR194=0,0,(FR193*FR194+FR195*FR196*6)/FR194)</f>
        <v>0</v>
      </c>
      <c r="FS192" s="2846">
        <f>IF(FS194=0,0,(FS193*FS194+FS195*FS196*6)/FS194)</f>
        <v>0</v>
      </c>
      <c r="FT192" s="1093">
        <f>IF(FR192=0,0,(FS192-FR192)/FR192*100)</f>
        <v>0</v>
      </c>
      <c r="FU192" s="2846">
        <f>IF(FU194=0,0,(FU193*FU194+FU195*FU196*6)/FU194)</f>
        <v>0</v>
      </c>
      <c r="FV192" s="2846">
        <f>IF(FV194=0,0,(FV193*FV194+FV195*FV196*6)/FV194)</f>
        <v>0</v>
      </c>
      <c r="FW192" s="1093">
        <f>IF(FU192=0,0,(FV192-FU192)/FU192*100)</f>
        <v>0</v>
      </c>
      <c r="FX192" s="1304"/>
      <c r="FY192" s="1304"/>
      <c r="FZ192" s="1055" t="s">
        <v>2398</v>
      </c>
      <c r="GA192" s="1306"/>
      <c r="GB192" s="1306"/>
      <c r="GC192" s="1305"/>
      <c r="GD192" s="1305"/>
    </row>
    <row s="1834" customFormat="1" customHeight="1" ht="14.25" hidden="1">
      <c r="A193" s="493"/>
      <c r="B193" s="925" cm="1" t="str">
        <f t="array" ref="B193:B193">B192</f>
        <v>false</v>
      </c>
      <c r="C193" s="493"/>
      <c r="D193" s="493"/>
      <c r="E193" s="840">
        <v>15</v>
      </c>
      <c r="F193" s="50" cm="1" t="str">
        <f t="array" ref="F193:F193">OFFSET(E193,-1,1)</f>
        <v>2</v>
      </c>
      <c r="G193" s="493"/>
      <c r="H193" s="493" t="s">
        <v>2299</v>
      </c>
      <c r="I193" s="493" t="s">
        <v>2354</v>
      </c>
      <c r="J193" s="493"/>
      <c r="K193" s="493"/>
      <c r="L193" s="493"/>
      <c r="M193" s="493"/>
      <c r="N193" s="493"/>
      <c r="O193" s="493"/>
      <c r="P193" s="493"/>
      <c r="Q193" s="493"/>
      <c r="R193" s="493"/>
      <c r="S193" s="493"/>
      <c r="T193" s="465" cm="1" t="str">
        <f t="array" ref="T193:T193">T192</f>
        <v>true</v>
      </c>
      <c r="U193" s="493"/>
      <c r="V193" s="493"/>
      <c r="W193" s="493"/>
      <c r="X193" s="1596"/>
      <c r="Y193" s="493"/>
      <c r="Z193" s="1545"/>
      <c r="AA193" s="493"/>
      <c r="AB193" s="904" t="str">
        <f>"ставка платы за "&amp;IF(Q155="Водоснабжение","потребление 1 куб.м холодной воды","объем принятых сточных вод")</f>
        <v>ставка платы за потребление 1 куб.м холодной воды</v>
      </c>
      <c r="AC193" s="864" t="s">
        <v>2337</v>
      </c>
      <c r="AD193" s="2846"/>
      <c r="AE193" s="2846"/>
      <c r="AF193" s="1093">
        <f>IF(AD193=0,0,(AE193-AD193)/AD193*100)</f>
        <v>0</v>
      </c>
      <c r="AG193" s="2846"/>
      <c r="AH193" s="2846"/>
      <c r="AI193" s="1093">
        <f>IF(AG193=0,0,(AH193-AG193)/AG193*100)</f>
        <v>0</v>
      </c>
      <c r="AJ193" s="2846"/>
      <c r="AK193" s="2846"/>
      <c r="AL193" s="1093">
        <f>IF(AJ193=0,0,(AK193-AJ193)/AJ193*100)</f>
        <v>0</v>
      </c>
      <c r="AM193" s="2846"/>
      <c r="AN193" s="2846"/>
      <c r="AO193" s="1093">
        <f>IF(AM193=0,0,(AN193-AM193)/AM193*100)</f>
        <v>0</v>
      </c>
      <c r="AP193" s="2846"/>
      <c r="AQ193" s="2846"/>
      <c r="AR193" s="1093">
        <f>IF(AP193=0,0,(AQ193-AP193)/AP193*100)</f>
        <v>0</v>
      </c>
      <c r="AS193" s="2846"/>
      <c r="AT193" s="2846"/>
      <c r="AU193" s="1093">
        <f>IF(AS193=0,0,(AT193-AS193)/AS193*100)</f>
        <v>0</v>
      </c>
      <c r="AV193" s="2846"/>
      <c r="AW193" s="2846"/>
      <c r="AX193" s="1093">
        <f>IF(AV193=0,0,(AW193-AV193)/AV193*100)</f>
        <v>0</v>
      </c>
      <c r="AY193" s="2846"/>
      <c r="AZ193" s="2846"/>
      <c r="BA193" s="1093">
        <f>IF(AY193=0,0,(AZ193-AY193)/AY193*100)</f>
        <v>0</v>
      </c>
      <c r="BB193" s="2846"/>
      <c r="BC193" s="2846"/>
      <c r="BD193" s="1093">
        <f>IF(BB193=0,0,(BC193-BB193)/BB193*100)</f>
        <v>0</v>
      </c>
      <c r="BE193" s="2846"/>
      <c r="BF193" s="2846"/>
      <c r="BG193" s="1093">
        <f>IF(BE193=0,0,(BF193-BE193)/BE193*100)</f>
        <v>0</v>
      </c>
      <c r="BH193" s="2846"/>
      <c r="BI193" s="2846"/>
      <c r="BJ193" s="1093">
        <f>IF(BH193=0,0,(BI193-BH193)/BH193*100)</f>
        <v>0</v>
      </c>
      <c r="BK193" s="2846"/>
      <c r="BL193" s="2846"/>
      <c r="BM193" s="1093">
        <f>IF(BK193=0,0,(BL193-BK193)/BK193*100)</f>
        <v>0</v>
      </c>
      <c r="BN193" s="2846"/>
      <c r="BO193" s="2846"/>
      <c r="BP193" s="1093">
        <f>IF(BN193=0,0,(BO193-BN193)/BN193*100)</f>
        <v>0</v>
      </c>
      <c r="BQ193" s="2846"/>
      <c r="BR193" s="2846"/>
      <c r="BS193" s="1093">
        <f>IF(BQ193=0,0,(BR193-BQ193)/BQ193*100)</f>
        <v>0</v>
      </c>
      <c r="BT193" s="2846"/>
      <c r="BU193" s="2846"/>
      <c r="BV193" s="1093">
        <f>IF(BT193=0,0,(BU193-BT193)/BT193*100)</f>
        <v>0</v>
      </c>
      <c r="BW193" s="2846"/>
      <c r="BX193" s="2846"/>
      <c r="BY193" s="1093">
        <f>IF(BW193=0,0,(BX193-BW193)/BW193*100)</f>
        <v>0</v>
      </c>
      <c r="BZ193" s="2846"/>
      <c r="CA193" s="2846"/>
      <c r="CB193" s="1093">
        <f>IF(BZ193=0,0,(CA193-BZ193)/BZ193*100)</f>
        <v>0</v>
      </c>
      <c r="CC193" s="2846"/>
      <c r="CD193" s="2846"/>
      <c r="CE193" s="1093">
        <f>IF(CC193=0,0,(CD193-CC193)/CC193*100)</f>
        <v>0</v>
      </c>
      <c r="CF193" s="2846"/>
      <c r="CG193" s="2846"/>
      <c r="CH193" s="1093">
        <f>IF(CF193=0,0,(CG193-CF193)/CF193*100)</f>
        <v>0</v>
      </c>
      <c r="CI193" s="2846"/>
      <c r="CJ193" s="2846"/>
      <c r="CK193" s="1093">
        <f>IF(CI193=0,0,(CJ193-CI193)/CI193*100)</f>
        <v>0</v>
      </c>
      <c r="CL193" s="2846"/>
      <c r="CM193" s="2846"/>
      <c r="CN193" s="1093">
        <f>IF(CL193=0,0,(CM193-CL193)/CL193*100)</f>
        <v>0</v>
      </c>
      <c r="CO193" s="2846"/>
      <c r="CP193" s="2846"/>
      <c r="CQ193" s="1093">
        <f>IF(CO193=0,0,(CP193-CO193)/CO193*100)</f>
        <v>0</v>
      </c>
      <c r="CR193" s="2846"/>
      <c r="CS193" s="2846"/>
      <c r="CT193" s="1093">
        <f>IF(CR193=0,0,(CS193-CR193)/CR193*100)</f>
        <v>0</v>
      </c>
      <c r="CU193" s="2846"/>
      <c r="CV193" s="2846"/>
      <c r="CW193" s="1093">
        <f>IF(CU193=0,0,(CV193-CU193)/CU193*100)</f>
        <v>0</v>
      </c>
      <c r="CX193" s="2846"/>
      <c r="CY193" s="2846"/>
      <c r="CZ193" s="1093">
        <f>IF(CX193=0,0,(CY193-CX193)/CX193*100)</f>
        <v>0</v>
      </c>
      <c r="DA193" s="2846"/>
      <c r="DB193" s="2846"/>
      <c r="DC193" s="1093">
        <f>IF(DA193=0,0,(DB193-DA193)/DA193*100)</f>
        <v>0</v>
      </c>
      <c r="DD193" s="2846"/>
      <c r="DE193" s="2846"/>
      <c r="DF193" s="1093">
        <f>IF(DD193=0,0,(DE193-DD193)/DD193*100)</f>
        <v>0</v>
      </c>
      <c r="DG193" s="2846"/>
      <c r="DH193" s="2846"/>
      <c r="DI193" s="1093">
        <f>IF(DG193=0,0,(DH193-DG193)/DG193*100)</f>
        <v>0</v>
      </c>
      <c r="DJ193" s="2846"/>
      <c r="DK193" s="2846"/>
      <c r="DL193" s="1093">
        <f>IF(DJ193=0,0,(DK193-DJ193)/DJ193*100)</f>
        <v>0</v>
      </c>
      <c r="DM193" s="2846"/>
      <c r="DN193" s="2846"/>
      <c r="DO193" s="1093">
        <f>IF(DM193=0,0,(DN193-DM193)/DM193*100)</f>
        <v>0</v>
      </c>
      <c r="DP193" s="2846"/>
      <c r="DQ193" s="2846"/>
      <c r="DR193" s="1093">
        <f>IF(DP193=0,0,(DQ193-DP193)/DP193*100)</f>
        <v>0</v>
      </c>
      <c r="DS193" s="2846"/>
      <c r="DT193" s="2846"/>
      <c r="DU193" s="1093">
        <f>IF(DS193=0,0,(DT193-DS193)/DS193*100)</f>
        <v>0</v>
      </c>
      <c r="DV193" s="2846"/>
      <c r="DW193" s="2846"/>
      <c r="DX193" s="1093">
        <f>IF(DV193=0,0,(DW193-DV193)/DV193*100)</f>
        <v>0</v>
      </c>
      <c r="DY193" s="2846"/>
      <c r="DZ193" s="2846"/>
      <c r="EA193" s="1093">
        <f>IF(DY193=0,0,(DZ193-DY193)/DY193*100)</f>
        <v>0</v>
      </c>
      <c r="EB193" s="2846"/>
      <c r="EC193" s="2846"/>
      <c r="ED193" s="1093">
        <f>IF(EB193=0,0,(EC193-EB193)/EB193*100)</f>
        <v>0</v>
      </c>
      <c r="EE193" s="2846"/>
      <c r="EF193" s="2846"/>
      <c r="EG193" s="1093">
        <f>IF(EE193=0,0,(EF193-EE193)/EE193*100)</f>
        <v>0</v>
      </c>
      <c r="EH193" s="2846"/>
      <c r="EI193" s="2846"/>
      <c r="EJ193" s="1093">
        <f>IF(EH193=0,0,(EI193-EH193)/EH193*100)</f>
        <v>0</v>
      </c>
      <c r="EK193" s="2846"/>
      <c r="EL193" s="2846"/>
      <c r="EM193" s="1093">
        <f>IF(EK193=0,0,(EL193-EK193)/EK193*100)</f>
        <v>0</v>
      </c>
      <c r="EN193" s="2846"/>
      <c r="EO193" s="2846"/>
      <c r="EP193" s="1093">
        <f>IF(EN193=0,0,(EO193-EN193)/EN193*100)</f>
        <v>0</v>
      </c>
      <c r="EQ193" s="2846"/>
      <c r="ER193" s="2846"/>
      <c r="ES193" s="1093">
        <f>IF(EQ193=0,0,(ER193-EQ193)/EQ193*100)</f>
        <v>0</v>
      </c>
      <c r="ET193" s="2846"/>
      <c r="EU193" s="2846"/>
      <c r="EV193" s="1093">
        <f>IF(ET193=0,0,(EU193-ET193)/ET193*100)</f>
        <v>0</v>
      </c>
      <c r="EW193" s="2846"/>
      <c r="EX193" s="2846"/>
      <c r="EY193" s="1093">
        <f>IF(EW193=0,0,(EX193-EW193)/EW193*100)</f>
        <v>0</v>
      </c>
      <c r="EZ193" s="2846"/>
      <c r="FA193" s="2846"/>
      <c r="FB193" s="1093">
        <f>IF(EZ193=0,0,(FA193-EZ193)/EZ193*100)</f>
        <v>0</v>
      </c>
      <c r="FC193" s="2846"/>
      <c r="FD193" s="2846"/>
      <c r="FE193" s="1093">
        <f>IF(FC193=0,0,(FD193-FC193)/FC193*100)</f>
        <v>0</v>
      </c>
      <c r="FF193" s="2846"/>
      <c r="FG193" s="2846"/>
      <c r="FH193" s="1093">
        <f>IF(FF193=0,0,(FG193-FF193)/FF193*100)</f>
        <v>0</v>
      </c>
      <c r="FI193" s="2846"/>
      <c r="FJ193" s="2846"/>
      <c r="FK193" s="1093">
        <f>IF(FI193=0,0,(FJ193-FI193)/FI193*100)</f>
        <v>0</v>
      </c>
      <c r="FL193" s="2846"/>
      <c r="FM193" s="2846"/>
      <c r="FN193" s="1093">
        <f>IF(FL193=0,0,(FM193-FL193)/FL193*100)</f>
        <v>0</v>
      </c>
      <c r="FO193" s="2846"/>
      <c r="FP193" s="2846"/>
      <c r="FQ193" s="1093">
        <f>IF(FO193=0,0,(FP193-FO193)/FO193*100)</f>
        <v>0</v>
      </c>
      <c r="FR193" s="2846"/>
      <c r="FS193" s="2846"/>
      <c r="FT193" s="1093">
        <f>IF(FR193=0,0,(FS193-FR193)/FR193*100)</f>
        <v>0</v>
      </c>
      <c r="FU193" s="2846"/>
      <c r="FV193" s="2846"/>
      <c r="FW193" s="1093">
        <f>IF(FU193=0,0,(FV193-FU193)/FU193*100)</f>
        <v>0</v>
      </c>
      <c r="FX193" s="1304"/>
      <c r="FY193" s="1304"/>
      <c r="FZ193" s="1055" t="s">
        <v>2399</v>
      </c>
      <c r="GA193" s="1306"/>
      <c r="GB193" s="1306"/>
      <c r="GC193" s="1305"/>
      <c r="GD193" s="1305"/>
    </row>
    <row s="1834" customFormat="1" customHeight="1" ht="14.25" hidden="1">
      <c r="A194" s="493"/>
      <c r="B194" s="925" cm="1" t="str">
        <f t="array" ref="B194:B194">B193</f>
        <v>false</v>
      </c>
      <c r="C194" s="493"/>
      <c r="D194" s="493"/>
      <c r="E194" s="840">
        <v>15</v>
      </c>
      <c r="F194" s="50" cm="1" t="str">
        <f t="array" ref="F194:F194">OFFSET(E194,-1,1)</f>
        <v>2</v>
      </c>
      <c r="G194" s="107" t="s">
        <v>2400</v>
      </c>
      <c r="H194" s="493" t="s">
        <v>2374</v>
      </c>
      <c r="I194" s="493" t="s">
        <v>2354</v>
      </c>
      <c r="J194" s="493"/>
      <c r="K194" s="493"/>
      <c r="L194" s="493"/>
      <c r="M194" s="493"/>
      <c r="N194" s="493"/>
      <c r="O194" s="493"/>
      <c r="P194" s="493"/>
      <c r="Q194" s="493"/>
      <c r="R194" s="493"/>
      <c r="S194" s="493"/>
      <c r="T194" s="465" cm="1" t="str">
        <f t="array" ref="T194:T194">T193</f>
        <v>true</v>
      </c>
      <c r="U194" s="493"/>
      <c r="V194" s="493"/>
      <c r="W194" s="493"/>
      <c r="X194" s="1596"/>
      <c r="Y194" s="493"/>
      <c r="Z194" s="1545"/>
      <c r="AA194" s="493"/>
      <c r="AB194" s="904" t="str">
        <f>"объём "&amp;IF(Q155="Водоснабжение","потребления холодной воды","водоотведения")</f>
        <v>объём потребления холодной воды</v>
      </c>
      <c r="AC194" s="864" t="s">
        <v>1247</v>
      </c>
      <c r="AD194" s="5247">
        <f>IF(AND(method_reg="Метод индексации",god&lt;&gt;first_year),_xlfn.SUMIFS(INDEX('Калькуляция (МИ корр)'!$AJ$25:$BC$747,,MATCH(AD$8,'Калькуляция (МИ корр)'!$AJ$8:$BC$8,0)),'Калькуляция (МИ корр)'!$F$25:$F$747,$F194,'Калькуляция (МИ корр)'!$G$25:$G$747,$G194),IF(method_reg="Метод экономически обоснованных расходов",_xlfn.SUMIFS('Калькуляция (МЭОР)'!$AJ$25:$AJ$452,'Калькуляция (МЭОР)'!$F$25:$F$452,$F194,'Калькуляция (МЭОР)'!$G$25:$G$452,$G194),IF(method_reg="Метод сравнения аналогов",_xlfn.SUMIFS('Калькуляция (МСА)'!$AE$25:$AE$122,'Калькуляция (МСА)'!$F$25:$F$122,$F194,'Калькуляция (МСА)'!$G$25:$G$122,$G194),_xlfn.SUMIFS(INDEX('Калькуляция (МИ)'!$AJ$25:$BC$747,,MATCH(AD$8,'Калькуляция (МИ)'!$AJ$8:$BC$8,0)),'Калькуляция (МИ)'!$F$25:$F$747,$F194,'Калькуляция (МИ)'!$G$25:$G$747,$G194))))</f>
        <v>170.6966025</v>
      </c>
      <c r="AE194" s="5247">
        <f>IF(AND(method_reg="Метод индексации",god&lt;&gt;first_year),_xlfn.SUMIFS(INDEX('Калькуляция (МИ корр)'!$AJ$25:$BC$747,,MATCH(AE$8,'Калькуляция (МИ корр)'!$AJ$8:$BC$8,0)),'Калькуляция (МИ корр)'!$F$25:$F$747,$F194,'Калькуляция (МИ корр)'!$G$25:$G$747,$G194),IF(method_reg="Метод экономически обоснованных расходов",_xlfn.SUMIFS('Калькуляция (МЭОР)'!$AK$25:$AK$452,'Калькуляция (МЭОР)'!$F$25:$F$452,$F194,'Калькуляция (МЭОР)'!$G$25:$G$452,$G194),IF(method_reg="Метод сравнения аналогов",_xlfn.SUMIFS('Калькуляция (МСА)'!$AF$25:$AF$122,'Калькуляция (МСА)'!$F$25:$F$122,$F194,'Калькуляция (МСА)'!$G$25:$G$122,$G194),_xlfn.SUMIFS(INDEX('Калькуляция (МИ)'!$AJ$25:$BC$747,,MATCH(AE$8,'Калькуляция (МИ)'!$AJ$8:$BC$8,0)),'Калькуляция (МИ)'!$F$25:$F$747,$F194,'Калькуляция (МИ)'!$G$25:$G$747,$G194))))</f>
        <v>170.6966025</v>
      </c>
      <c r="AF194" s="1095">
        <f>IF(AD194=0,0,(AE194-AD194)/AD194*100)</f>
        <v>0</v>
      </c>
      <c r="AG194" s="5247">
        <f>IF(AND(method_reg="Метод индексации",god&lt;&gt;first_year),_xlfn.SUMIFS(INDEX('Калькуляция (МИ корр)'!$AJ$25:$BC$747,,MATCH(AG$8,'Калькуляция (МИ корр)'!$AJ$8:$BC$8,0)),'Калькуляция (МИ корр)'!$F$25:$F$747,$F194,'Калькуляция (МИ корр)'!$G$25:$G$747,$G194),IF(method_reg="Метод экономически обоснованных расходов",_xlfn.SUMIFS('Калькуляция (МЭОР)'!$AJ$25:$AJ$452,'Калькуляция (МЭОР)'!$F$25:$F$452,$F194,'Калькуляция (МЭОР)'!$G$25:$G$452,$G194),IF(method_reg="Метод сравнения аналогов",_xlfn.SUMIFS('Калькуляция (МСА)'!$AE$25:$AE$122,'Калькуляция (МСА)'!$F$25:$F$122,$F194,'Калькуляция (МСА)'!$G$25:$G$122,$G194),_xlfn.SUMIFS(INDEX('Калькуляция (МИ)'!$AJ$25:$BC$747,,MATCH(AG$8,'Калькуляция (МИ)'!$AJ$8:$BC$8,0)),'Калькуляция (МИ)'!$F$25:$F$747,$F194,'Калькуляция (МИ)'!$G$25:$G$747,$G194))))</f>
        <v>341.393205</v>
      </c>
      <c r="AH194" s="5247">
        <f>IF(AND(method_reg="Метод индексации",god&lt;&gt;first_year),_xlfn.SUMIFS(INDEX('Калькуляция (МИ корр)'!$AJ$25:$BC$747,,MATCH(AH$8,'Калькуляция (МИ корр)'!$AJ$8:$BC$8,0)),'Калькуляция (МИ корр)'!$F$25:$F$747,$F194,'Калькуляция (МИ корр)'!$G$25:$G$747,$G194),IF(method_reg="Метод экономически обоснованных расходов",_xlfn.SUMIFS('Калькуляция (МЭОР)'!$AK$25:$AK$452,'Калькуляция (МЭОР)'!$F$25:$F$452,$F194,'Калькуляция (МЭОР)'!$G$25:$G$452,$G194),IF(method_reg="Метод сравнения аналогов",_xlfn.SUMIFS('Калькуляция (МСА)'!$AF$25:$AF$122,'Калькуляция (МСА)'!$F$25:$F$122,$F194,'Калькуляция (МСА)'!$G$25:$G$122,$G194),_xlfn.SUMIFS(INDEX('Калькуляция (МИ)'!$AJ$25:$BC$747,,MATCH(AH$8,'Калькуляция (МИ)'!$AJ$8:$BC$8,0)),'Калькуляция (МИ)'!$F$25:$F$747,$F194,'Калькуляция (МИ)'!$G$25:$G$747,$G194))))</f>
        <v>341.393205</v>
      </c>
      <c r="AI194" s="1095">
        <f>IF(AG194=0,0,(AH194-AG194)/AG194*100)</f>
        <v>0</v>
      </c>
      <c r="AJ194" s="5247">
        <f>IF(AND(method_reg="Метод индексации",god&lt;&gt;first_year),_xlfn.SUMIFS(INDEX('Калькуляция (МИ корр)'!$AJ$25:$BC$747,,MATCH(AJ$8,'Калькуляция (МИ корр)'!$AJ$8:$BC$8,0)),'Калькуляция (МИ корр)'!$F$25:$F$747,$F194,'Калькуляция (МИ корр)'!$G$25:$G$747,$G194),IF(method_reg="Метод экономически обоснованных расходов",_xlfn.SUMIFS('Калькуляция (МЭОР)'!$AJ$25:$AJ$452,'Калькуляция (МЭОР)'!$F$25:$F$452,$F194,'Калькуляция (МЭОР)'!$G$25:$G$452,$G194),IF(method_reg="Метод сравнения аналогов",_xlfn.SUMIFS('Калькуляция (МСА)'!$AE$25:$AE$122,'Калькуляция (МСА)'!$F$25:$F$122,$F194,'Калькуляция (МСА)'!$G$25:$G$122,$G194),_xlfn.SUMIFS(INDEX('Калькуляция (МИ)'!$AJ$25:$BC$747,,MATCH(AJ$8,'Калькуляция (МИ)'!$AJ$8:$BC$8,0)),'Калькуляция (МИ)'!$F$25:$F$747,$F194,'Калькуляция (МИ)'!$G$25:$G$747,$G194))))</f>
        <v>341.393205</v>
      </c>
      <c r="AK194" s="5247">
        <f>IF(AND(method_reg="Метод индексации",god&lt;&gt;first_year),_xlfn.SUMIFS(INDEX('Калькуляция (МИ корр)'!$AJ$25:$BC$747,,MATCH(AK$8,'Калькуляция (МИ корр)'!$AJ$8:$BC$8,0)),'Калькуляция (МИ корр)'!$F$25:$F$747,$F194,'Калькуляция (МИ корр)'!$G$25:$G$747,$G194),IF(method_reg="Метод экономически обоснованных расходов",_xlfn.SUMIFS('Калькуляция (МЭОР)'!$AK$25:$AK$452,'Калькуляция (МЭОР)'!$F$25:$F$452,$F194,'Калькуляция (МЭОР)'!$G$25:$G$452,$G194),IF(method_reg="Метод сравнения аналогов",_xlfn.SUMIFS('Калькуляция (МСА)'!$AF$25:$AF$122,'Калькуляция (МСА)'!$F$25:$F$122,$F194,'Калькуляция (МСА)'!$G$25:$G$122,$G194),_xlfn.SUMIFS(INDEX('Калькуляция (МИ)'!$AJ$25:$BC$747,,MATCH(AK$8,'Калькуляция (МИ)'!$AJ$8:$BC$8,0)),'Калькуляция (МИ)'!$F$25:$F$747,$F194,'Калькуляция (МИ)'!$G$25:$G$747,$G194))))</f>
        <v>341.393205</v>
      </c>
      <c r="AL194" s="1095">
        <f>IF(AJ194=0,0,(AK194-AJ194)/AJ194*100)</f>
        <v>0</v>
      </c>
      <c r="AM194" s="5247">
        <f>IF(AND(method_reg="Метод индексации",god&lt;&gt;first_year),_xlfn.SUMIFS(INDEX('Калькуляция (МИ корр)'!$AJ$25:$BC$747,,MATCH(AM$8,'Калькуляция (МИ корр)'!$AJ$8:$BC$8,0)),'Калькуляция (МИ корр)'!$F$25:$F$747,$F194,'Калькуляция (МИ корр)'!$G$25:$G$747,$G194),IF(method_reg="Метод экономически обоснованных расходов",_xlfn.SUMIFS('Калькуляция (МЭОР)'!$AJ$25:$AJ$452,'Калькуляция (МЭОР)'!$F$25:$F$452,$F194,'Калькуляция (МЭОР)'!$G$25:$G$452,$G194),IF(method_reg="Метод сравнения аналогов",_xlfn.SUMIFS('Калькуляция (МСА)'!$AE$25:$AE$122,'Калькуляция (МСА)'!$F$25:$F$122,$F194,'Калькуляция (МСА)'!$G$25:$G$122,$G194),_xlfn.SUMIFS(INDEX('Калькуляция (МИ)'!$AJ$25:$BC$747,,MATCH(AM$8,'Калькуляция (МИ)'!$AJ$8:$BC$8,0)),'Калькуляция (МИ)'!$F$25:$F$747,$F194,'Калькуляция (МИ)'!$G$25:$G$747,$G194))))</f>
        <v>341.393205</v>
      </c>
      <c r="AN194" s="5247">
        <f>IF(AND(method_reg="Метод индексации",god&lt;&gt;first_year),_xlfn.SUMIFS(INDEX('Калькуляция (МИ корр)'!$AJ$25:$BC$747,,MATCH(AN$8,'Калькуляция (МИ корр)'!$AJ$8:$BC$8,0)),'Калькуляция (МИ корр)'!$F$25:$F$747,$F194,'Калькуляция (МИ корр)'!$G$25:$G$747,$G194),IF(method_reg="Метод экономически обоснованных расходов",_xlfn.SUMIFS('Калькуляция (МЭОР)'!$AK$25:$AK$452,'Калькуляция (МЭОР)'!$F$25:$F$452,$F194,'Калькуляция (МЭОР)'!$G$25:$G$452,$G194),IF(method_reg="Метод сравнения аналогов",_xlfn.SUMIFS('Калькуляция (МСА)'!$AF$25:$AF$122,'Калькуляция (МСА)'!$F$25:$F$122,$F194,'Калькуляция (МСА)'!$G$25:$G$122,$G194),_xlfn.SUMIFS(INDEX('Калькуляция (МИ)'!$AJ$25:$BC$747,,MATCH(AN$8,'Калькуляция (МИ)'!$AJ$8:$BC$8,0)),'Калькуляция (МИ)'!$F$25:$F$747,$F194,'Калькуляция (МИ)'!$G$25:$G$747,$G194))))</f>
        <v>341.393205</v>
      </c>
      <c r="AO194" s="1095">
        <f>IF(AM194=0,0,(AN194-AM194)/AM194*100)</f>
        <v>0</v>
      </c>
      <c r="AP194" s="5247">
        <f>IF(AND(method_reg="Метод индексации",god&lt;&gt;first_year),_xlfn.SUMIFS(INDEX('Калькуляция (МИ корр)'!$AJ$25:$BC$747,,MATCH(AP$8,'Калькуляция (МИ корр)'!$AJ$8:$BC$8,0)),'Калькуляция (МИ корр)'!$F$25:$F$747,$F194,'Калькуляция (МИ корр)'!$G$25:$G$747,$G194),IF(method_reg="Метод экономически обоснованных расходов",_xlfn.SUMIFS('Калькуляция (МЭОР)'!$AJ$25:$AJ$452,'Калькуляция (МЭОР)'!$F$25:$F$452,$F194,'Калькуляция (МЭОР)'!$G$25:$G$452,$G194),IF(method_reg="Метод сравнения аналогов",_xlfn.SUMIFS('Калькуляция (МСА)'!$AE$25:$AE$122,'Калькуляция (МСА)'!$F$25:$F$122,$F194,'Калькуляция (МСА)'!$G$25:$G$122,$G194),_xlfn.SUMIFS(INDEX('Калькуляция (МИ)'!$AJ$25:$BC$747,,MATCH(AP$8,'Калькуляция (МИ)'!$AJ$8:$BC$8,0)),'Калькуляция (МИ)'!$F$25:$F$747,$F194,'Калькуляция (МИ)'!$G$25:$G$747,$G194))))</f>
        <v>341.393205</v>
      </c>
      <c r="AQ194" s="5247">
        <f>IF(AND(method_reg="Метод индексации",god&lt;&gt;first_year),_xlfn.SUMIFS(INDEX('Калькуляция (МИ корр)'!$AJ$25:$BC$747,,MATCH(AQ$8,'Калькуляция (МИ корр)'!$AJ$8:$BC$8,0)),'Калькуляция (МИ корр)'!$F$25:$F$747,$F194,'Калькуляция (МИ корр)'!$G$25:$G$747,$G194),IF(method_reg="Метод экономически обоснованных расходов",_xlfn.SUMIFS('Калькуляция (МЭОР)'!$AK$25:$AK$452,'Калькуляция (МЭОР)'!$F$25:$F$452,$F194,'Калькуляция (МЭОР)'!$G$25:$G$452,$G194),IF(method_reg="Метод сравнения аналогов",_xlfn.SUMIFS('Калькуляция (МСА)'!$AF$25:$AF$122,'Калькуляция (МСА)'!$F$25:$F$122,$F194,'Калькуляция (МСА)'!$G$25:$G$122,$G194),_xlfn.SUMIFS(INDEX('Калькуляция (МИ)'!$AJ$25:$BC$747,,MATCH(AQ$8,'Калькуляция (МИ)'!$AJ$8:$BC$8,0)),'Калькуляция (МИ)'!$F$25:$F$747,$F194,'Калькуляция (МИ)'!$G$25:$G$747,$G194))))</f>
        <v>341.393205</v>
      </c>
      <c r="AR194" s="1095">
        <f>IF(AP194=0,0,(AQ194-AP194)/AP194*100)</f>
        <v>0</v>
      </c>
      <c r="AS194" s="5247">
        <f>IF(AND(method_reg="Метод индексации",god&lt;&gt;first_year),_xlfn.SUMIFS(INDEX('Калькуляция (МИ корр)'!$AJ$25:$BC$747,,MATCH(AS$8,'Калькуляция (МИ корр)'!$AJ$8:$BC$8,0)),'Калькуляция (МИ корр)'!$F$25:$F$747,$F194,'Калькуляция (МИ корр)'!$G$25:$G$747,$G194),IF(method_reg="Метод экономически обоснованных расходов",_xlfn.SUMIFS('Калькуляция (МЭОР)'!$AJ$25:$AJ$452,'Калькуляция (МЭОР)'!$F$25:$F$452,$F194,'Калькуляция (МЭОР)'!$G$25:$G$452,$G194),IF(method_reg="Метод сравнения аналогов",_xlfn.SUMIFS('Калькуляция (МСА)'!$AE$25:$AE$122,'Калькуляция (МСА)'!$F$25:$F$122,$F194,'Калькуляция (МСА)'!$G$25:$G$122,$G194),_xlfn.SUMIFS(INDEX('Калькуляция (МИ)'!$AJ$25:$BC$747,,MATCH(AS$8,'Калькуляция (МИ)'!$AJ$8:$BC$8,0)),'Калькуляция (МИ)'!$F$25:$F$747,$F194,'Калькуляция (МИ)'!$G$25:$G$747,$G194))))</f>
        <v>0</v>
      </c>
      <c r="AT194" s="5247">
        <f>IF(AND(method_reg="Метод индексации",god&lt;&gt;first_year),_xlfn.SUMIFS(INDEX('Калькуляция (МИ корр)'!$AJ$25:$BC$747,,MATCH(AT$8,'Калькуляция (МИ корр)'!$AJ$8:$BC$8,0)),'Калькуляция (МИ корр)'!$F$25:$F$747,$F194,'Калькуляция (МИ корр)'!$G$25:$G$747,$G194),IF(method_reg="Метод экономически обоснованных расходов",_xlfn.SUMIFS('Калькуляция (МЭОР)'!$AK$25:$AK$452,'Калькуляция (МЭОР)'!$F$25:$F$452,$F194,'Калькуляция (МЭОР)'!$G$25:$G$452,$G194),IF(method_reg="Метод сравнения аналогов",_xlfn.SUMIFS('Калькуляция (МСА)'!$AF$25:$AF$122,'Калькуляция (МСА)'!$F$25:$F$122,$F194,'Калькуляция (МСА)'!$G$25:$G$122,$G194),_xlfn.SUMIFS(INDEX('Калькуляция (МИ)'!$AJ$25:$BC$747,,MATCH(AT$8,'Калькуляция (МИ)'!$AJ$8:$BC$8,0)),'Калькуляция (МИ)'!$F$25:$F$747,$F194,'Калькуляция (МИ)'!$G$25:$G$747,$G194))))</f>
        <v>0</v>
      </c>
      <c r="AU194" s="1095">
        <f>IF(AS194=0,0,(AT194-AS194)/AS194*100)</f>
        <v>0</v>
      </c>
      <c r="AV194" s="5247">
        <f>IF(AND(method_reg="Метод индексации",god&lt;&gt;first_year),_xlfn.SUMIFS(INDEX('Калькуляция (МИ корр)'!$AJ$25:$BC$747,,MATCH(AV$8,'Калькуляция (МИ корр)'!$AJ$8:$BC$8,0)),'Калькуляция (МИ корр)'!$F$25:$F$747,$F194,'Калькуляция (МИ корр)'!$G$25:$G$747,$G194),IF(method_reg="Метод экономически обоснованных расходов",_xlfn.SUMIFS('Калькуляция (МЭОР)'!$AJ$25:$AJ$452,'Калькуляция (МЭОР)'!$F$25:$F$452,$F194,'Калькуляция (МЭОР)'!$G$25:$G$452,$G194),IF(method_reg="Метод сравнения аналогов",_xlfn.SUMIFS('Калькуляция (МСА)'!$AE$25:$AE$122,'Калькуляция (МСА)'!$F$25:$F$122,$F194,'Калькуляция (МСА)'!$G$25:$G$122,$G194),_xlfn.SUMIFS(INDEX('Калькуляция (МИ)'!$AJ$25:$BC$747,,MATCH(AV$8,'Калькуляция (МИ)'!$AJ$8:$BC$8,0)),'Калькуляция (МИ)'!$F$25:$F$747,$F194,'Калькуляция (МИ)'!$G$25:$G$747,$G194))))</f>
        <v>0</v>
      </c>
      <c r="AW194" s="5247">
        <f>IF(AND(method_reg="Метод индексации",god&lt;&gt;first_year),_xlfn.SUMIFS(INDEX('Калькуляция (МИ корр)'!$AJ$25:$BC$747,,MATCH(AW$8,'Калькуляция (МИ корр)'!$AJ$8:$BC$8,0)),'Калькуляция (МИ корр)'!$F$25:$F$747,$F194,'Калькуляция (МИ корр)'!$G$25:$G$747,$G194),IF(method_reg="Метод экономически обоснованных расходов",_xlfn.SUMIFS('Калькуляция (МЭОР)'!$AK$25:$AK$452,'Калькуляция (МЭОР)'!$F$25:$F$452,$F194,'Калькуляция (МЭОР)'!$G$25:$G$452,$G194),IF(method_reg="Метод сравнения аналогов",_xlfn.SUMIFS('Калькуляция (МСА)'!$AF$25:$AF$122,'Калькуляция (МСА)'!$F$25:$F$122,$F194,'Калькуляция (МСА)'!$G$25:$G$122,$G194),_xlfn.SUMIFS(INDEX('Калькуляция (МИ)'!$AJ$25:$BC$747,,MATCH(AW$8,'Калькуляция (МИ)'!$AJ$8:$BC$8,0)),'Калькуляция (МИ)'!$F$25:$F$747,$F194,'Калькуляция (МИ)'!$G$25:$G$747,$G194))))</f>
        <v>0</v>
      </c>
      <c r="AX194" s="1095">
        <f>IF(AV194=0,0,(AW194-AV194)/AV194*100)</f>
        <v>0</v>
      </c>
      <c r="AY194" s="5247">
        <f>IF(AND(method_reg="Метод индексации",god&lt;&gt;first_year),_xlfn.SUMIFS(INDEX('Калькуляция (МИ корр)'!$AJ$25:$BC$747,,MATCH(AY$8,'Калькуляция (МИ корр)'!$AJ$8:$BC$8,0)),'Калькуляция (МИ корр)'!$F$25:$F$747,$F194,'Калькуляция (МИ корр)'!$G$25:$G$747,$G194),IF(method_reg="Метод экономически обоснованных расходов",_xlfn.SUMIFS('Калькуляция (МЭОР)'!$AJ$25:$AJ$452,'Калькуляция (МЭОР)'!$F$25:$F$452,$F194,'Калькуляция (МЭОР)'!$G$25:$G$452,$G194),IF(method_reg="Метод сравнения аналогов",_xlfn.SUMIFS('Калькуляция (МСА)'!$AE$25:$AE$122,'Калькуляция (МСА)'!$F$25:$F$122,$F194,'Калькуляция (МСА)'!$G$25:$G$122,$G194),_xlfn.SUMIFS(INDEX('Калькуляция (МИ)'!$AJ$25:$BC$747,,MATCH(AY$8,'Калькуляция (МИ)'!$AJ$8:$BC$8,0)),'Калькуляция (МИ)'!$F$25:$F$747,$F194,'Калькуляция (МИ)'!$G$25:$G$747,$G194))))</f>
        <v>0</v>
      </c>
      <c r="AZ194" s="5247">
        <f>IF(AND(method_reg="Метод индексации",god&lt;&gt;first_year),_xlfn.SUMIFS(INDEX('Калькуляция (МИ корр)'!$AJ$25:$BC$747,,MATCH(AZ$8,'Калькуляция (МИ корр)'!$AJ$8:$BC$8,0)),'Калькуляция (МИ корр)'!$F$25:$F$747,$F194,'Калькуляция (МИ корр)'!$G$25:$G$747,$G194),IF(method_reg="Метод экономически обоснованных расходов",_xlfn.SUMIFS('Калькуляция (МЭОР)'!$AK$25:$AK$452,'Калькуляция (МЭОР)'!$F$25:$F$452,$F194,'Калькуляция (МЭОР)'!$G$25:$G$452,$G194),IF(method_reg="Метод сравнения аналогов",_xlfn.SUMIFS('Калькуляция (МСА)'!$AF$25:$AF$122,'Калькуляция (МСА)'!$F$25:$F$122,$F194,'Калькуляция (МСА)'!$G$25:$G$122,$G194),_xlfn.SUMIFS(INDEX('Калькуляция (МИ)'!$AJ$25:$BC$747,,MATCH(AZ$8,'Калькуляция (МИ)'!$AJ$8:$BC$8,0)),'Калькуляция (МИ)'!$F$25:$F$747,$F194,'Калькуляция (МИ)'!$G$25:$G$747,$G194))))</f>
        <v>0</v>
      </c>
      <c r="BA194" s="1095">
        <f>IF(AY194=0,0,(AZ194-AY194)/AY194*100)</f>
        <v>0</v>
      </c>
      <c r="BB194" s="5247">
        <f>IF(AND(method_reg="Метод индексации",god&lt;&gt;first_year),_xlfn.SUMIFS(INDEX('Калькуляция (МИ корр)'!$AJ$25:$BC$747,,MATCH(BB$8,'Калькуляция (МИ корр)'!$AJ$8:$BC$8,0)),'Калькуляция (МИ корр)'!$F$25:$F$747,$F194,'Калькуляция (МИ корр)'!$G$25:$G$747,$G194),IF(method_reg="Метод экономически обоснованных расходов",_xlfn.SUMIFS('Калькуляция (МЭОР)'!$AJ$25:$AJ$452,'Калькуляция (МЭОР)'!$F$25:$F$452,$F194,'Калькуляция (МЭОР)'!$G$25:$G$452,$G194),IF(method_reg="Метод сравнения аналогов",_xlfn.SUMIFS('Калькуляция (МСА)'!$AE$25:$AE$122,'Калькуляция (МСА)'!$F$25:$F$122,$F194,'Калькуляция (МСА)'!$G$25:$G$122,$G194),_xlfn.SUMIFS(INDEX('Калькуляция (МИ)'!$AJ$25:$BC$747,,MATCH(BB$8,'Калькуляция (МИ)'!$AJ$8:$BC$8,0)),'Калькуляция (МИ)'!$F$25:$F$747,$F194,'Калькуляция (МИ)'!$G$25:$G$747,$G194))))</f>
        <v>0</v>
      </c>
      <c r="BC194" s="5247">
        <f>IF(AND(method_reg="Метод индексации",god&lt;&gt;first_year),_xlfn.SUMIFS(INDEX('Калькуляция (МИ корр)'!$AJ$25:$BC$747,,MATCH(BC$8,'Калькуляция (МИ корр)'!$AJ$8:$BC$8,0)),'Калькуляция (МИ корр)'!$F$25:$F$747,$F194,'Калькуляция (МИ корр)'!$G$25:$G$747,$G194),IF(method_reg="Метод экономически обоснованных расходов",_xlfn.SUMIFS('Калькуляция (МЭОР)'!$AK$25:$AK$452,'Калькуляция (МЭОР)'!$F$25:$F$452,$F194,'Калькуляция (МЭОР)'!$G$25:$G$452,$G194),IF(method_reg="Метод сравнения аналогов",_xlfn.SUMIFS('Калькуляция (МСА)'!$AF$25:$AF$122,'Калькуляция (МСА)'!$F$25:$F$122,$F194,'Калькуляция (МСА)'!$G$25:$G$122,$G194),_xlfn.SUMIFS(INDEX('Калькуляция (МИ)'!$AJ$25:$BC$747,,MATCH(BC$8,'Калькуляция (МИ)'!$AJ$8:$BC$8,0)),'Калькуляция (МИ)'!$F$25:$F$747,$F194,'Калькуляция (МИ)'!$G$25:$G$747,$G194))))</f>
        <v>0</v>
      </c>
      <c r="BD194" s="1095">
        <f>IF(BB194=0,0,(BC194-BB194)/BB194*100)</f>
        <v>0</v>
      </c>
      <c r="BE194" s="5247">
        <f>IF(AND(method_reg="Метод индексации",god&lt;&gt;first_year),_xlfn.SUMIFS(INDEX('Калькуляция (МИ корр)'!$AJ$25:$BC$747,,MATCH(BE$8,'Калькуляция (МИ корр)'!$AJ$8:$BC$8,0)),'Калькуляция (МИ корр)'!$F$25:$F$747,$F194,'Калькуляция (МИ корр)'!$G$25:$G$747,$G194),IF(method_reg="Метод экономически обоснованных расходов",_xlfn.SUMIFS('Калькуляция (МЭОР)'!$AJ$25:$AJ$452,'Калькуляция (МЭОР)'!$F$25:$F$452,$F194,'Калькуляция (МЭОР)'!$G$25:$G$452,$G194),IF(method_reg="Метод сравнения аналогов",_xlfn.SUMIFS('Калькуляция (МСА)'!$AE$25:$AE$122,'Калькуляция (МСА)'!$F$25:$F$122,$F194,'Калькуляция (МСА)'!$G$25:$G$122,$G194),_xlfn.SUMIFS(INDEX('Калькуляция (МИ)'!$AJ$25:$BC$747,,MATCH(BE$8,'Калькуляция (МИ)'!$AJ$8:$BC$8,0)),'Калькуляция (МИ)'!$F$25:$F$747,$F194,'Калькуляция (МИ)'!$G$25:$G$747,$G194))))</f>
        <v>0</v>
      </c>
      <c r="BF194" s="5247">
        <f>IF(AND(method_reg="Метод индексации",god&lt;&gt;first_year),_xlfn.SUMIFS(INDEX('Калькуляция (МИ корр)'!$AJ$25:$BC$747,,MATCH(BF$8,'Калькуляция (МИ корр)'!$AJ$8:$BC$8,0)),'Калькуляция (МИ корр)'!$F$25:$F$747,$F194,'Калькуляция (МИ корр)'!$G$25:$G$747,$G194),IF(method_reg="Метод экономически обоснованных расходов",_xlfn.SUMIFS('Калькуляция (МЭОР)'!$AK$25:$AK$452,'Калькуляция (МЭОР)'!$F$25:$F$452,$F194,'Калькуляция (МЭОР)'!$G$25:$G$452,$G194),IF(method_reg="Метод сравнения аналогов",_xlfn.SUMIFS('Калькуляция (МСА)'!$AF$25:$AF$122,'Калькуляция (МСА)'!$F$25:$F$122,$F194,'Калькуляция (МСА)'!$G$25:$G$122,$G194),_xlfn.SUMIFS(INDEX('Калькуляция (МИ)'!$AJ$25:$BC$747,,MATCH(BF$8,'Калькуляция (МИ)'!$AJ$8:$BC$8,0)),'Калькуляция (МИ)'!$F$25:$F$747,$F194,'Калькуляция (МИ)'!$G$25:$G$747,$G194))))</f>
        <v>0</v>
      </c>
      <c r="BG194" s="1095">
        <f>IF(BE194=0,0,(BF194-BE194)/BE194*100)</f>
        <v>0</v>
      </c>
      <c r="BH194" s="5247"/>
      <c r="BI194" s="5247"/>
      <c r="BJ194" s="1095">
        <f>IF(BH194=0,0,(BI194-BH194)/BH194*100)</f>
        <v>0</v>
      </c>
      <c r="BK194" s="5247"/>
      <c r="BL194" s="5247"/>
      <c r="BM194" s="1095">
        <f>IF(BK194=0,0,(BL194-BK194)/BK194*100)</f>
        <v>0</v>
      </c>
      <c r="BN194" s="5247"/>
      <c r="BO194" s="5247"/>
      <c r="BP194" s="1095">
        <f>IF(BN194=0,0,(BO194-BN194)/BN194*100)</f>
        <v>0</v>
      </c>
      <c r="BQ194" s="5247"/>
      <c r="BR194" s="5247"/>
      <c r="BS194" s="1095">
        <f>IF(BQ194=0,0,(BR194-BQ194)/BQ194*100)</f>
        <v>0</v>
      </c>
      <c r="BT194" s="5247"/>
      <c r="BU194" s="5247"/>
      <c r="BV194" s="1095">
        <f>IF(BT194=0,0,(BU194-BT194)/BT194*100)</f>
        <v>0</v>
      </c>
      <c r="BW194" s="5247"/>
      <c r="BX194" s="5247"/>
      <c r="BY194" s="1095">
        <f>IF(BW194=0,0,(BX194-BW194)/BW194*100)</f>
        <v>0</v>
      </c>
      <c r="BZ194" s="5247"/>
      <c r="CA194" s="5247"/>
      <c r="CB194" s="1095">
        <f>IF(BZ194=0,0,(CA194-BZ194)/BZ194*100)</f>
        <v>0</v>
      </c>
      <c r="CC194" s="5247"/>
      <c r="CD194" s="5247"/>
      <c r="CE194" s="1095">
        <f>IF(CC194=0,0,(CD194-CC194)/CC194*100)</f>
        <v>0</v>
      </c>
      <c r="CF194" s="5247"/>
      <c r="CG194" s="5247"/>
      <c r="CH194" s="1095">
        <f>IF(CF194=0,0,(CG194-CF194)/CF194*100)</f>
        <v>0</v>
      </c>
      <c r="CI194" s="5247"/>
      <c r="CJ194" s="5247"/>
      <c r="CK194" s="1095">
        <f>IF(CI194=0,0,(CJ194-CI194)/CI194*100)</f>
        <v>0</v>
      </c>
      <c r="CL194" s="5247"/>
      <c r="CM194" s="5247"/>
      <c r="CN194" s="1095">
        <f>IF(CL194=0,0,(CM194-CL194)/CL194*100)</f>
        <v>0</v>
      </c>
      <c r="CO194" s="5247"/>
      <c r="CP194" s="5247"/>
      <c r="CQ194" s="1095">
        <f>IF(CO194=0,0,(CP194-CO194)/CO194*100)</f>
        <v>0</v>
      </c>
      <c r="CR194" s="5247"/>
      <c r="CS194" s="5247"/>
      <c r="CT194" s="1095">
        <f>IF(CR194=0,0,(CS194-CR194)/CR194*100)</f>
        <v>0</v>
      </c>
      <c r="CU194" s="5247"/>
      <c r="CV194" s="5247"/>
      <c r="CW194" s="1095">
        <f>IF(CU194=0,0,(CV194-CU194)/CU194*100)</f>
        <v>0</v>
      </c>
      <c r="CX194" s="5247"/>
      <c r="CY194" s="5247"/>
      <c r="CZ194" s="1095">
        <f>IF(CX194=0,0,(CY194-CX194)/CX194*100)</f>
        <v>0</v>
      </c>
      <c r="DA194" s="5247"/>
      <c r="DB194" s="5247"/>
      <c r="DC194" s="1095">
        <f>IF(DA194=0,0,(DB194-DA194)/DA194*100)</f>
        <v>0</v>
      </c>
      <c r="DD194" s="5247"/>
      <c r="DE194" s="5247"/>
      <c r="DF194" s="1095">
        <f>IF(DD194=0,0,(DE194-DD194)/DD194*100)</f>
        <v>0</v>
      </c>
      <c r="DG194" s="5247"/>
      <c r="DH194" s="5247"/>
      <c r="DI194" s="1095">
        <f>IF(DG194=0,0,(DH194-DG194)/DG194*100)</f>
        <v>0</v>
      </c>
      <c r="DJ194" s="5247"/>
      <c r="DK194" s="5247"/>
      <c r="DL194" s="1095">
        <f>IF(DJ194=0,0,(DK194-DJ194)/DJ194*100)</f>
        <v>0</v>
      </c>
      <c r="DM194" s="5247"/>
      <c r="DN194" s="5247"/>
      <c r="DO194" s="1095">
        <f>IF(DM194=0,0,(DN194-DM194)/DM194*100)</f>
        <v>0</v>
      </c>
      <c r="DP194" s="5247"/>
      <c r="DQ194" s="5247"/>
      <c r="DR194" s="1095">
        <f>IF(DP194=0,0,(DQ194-DP194)/DP194*100)</f>
        <v>0</v>
      </c>
      <c r="DS194" s="5247"/>
      <c r="DT194" s="5247"/>
      <c r="DU194" s="1095">
        <f>IF(DS194=0,0,(DT194-DS194)/DS194*100)</f>
        <v>0</v>
      </c>
      <c r="DV194" s="5247"/>
      <c r="DW194" s="5247"/>
      <c r="DX194" s="1095">
        <f>IF(DV194=0,0,(DW194-DV194)/DV194*100)</f>
        <v>0</v>
      </c>
      <c r="DY194" s="5247"/>
      <c r="DZ194" s="5247"/>
      <c r="EA194" s="1095">
        <f>IF(DY194=0,0,(DZ194-DY194)/DY194*100)</f>
        <v>0</v>
      </c>
      <c r="EB194" s="5247"/>
      <c r="EC194" s="5247"/>
      <c r="ED194" s="1095">
        <f>IF(EB194=0,0,(EC194-EB194)/EB194*100)</f>
        <v>0</v>
      </c>
      <c r="EE194" s="5247"/>
      <c r="EF194" s="5247"/>
      <c r="EG194" s="1095">
        <f>IF(EE194=0,0,(EF194-EE194)/EE194*100)</f>
        <v>0</v>
      </c>
      <c r="EH194" s="5247"/>
      <c r="EI194" s="5247"/>
      <c r="EJ194" s="1095">
        <f>IF(EH194=0,0,(EI194-EH194)/EH194*100)</f>
        <v>0</v>
      </c>
      <c r="EK194" s="5247"/>
      <c r="EL194" s="5247"/>
      <c r="EM194" s="1095">
        <f>IF(EK194=0,0,(EL194-EK194)/EK194*100)</f>
        <v>0</v>
      </c>
      <c r="EN194" s="5247"/>
      <c r="EO194" s="5247"/>
      <c r="EP194" s="1095">
        <f>IF(EN194=0,0,(EO194-EN194)/EN194*100)</f>
        <v>0</v>
      </c>
      <c r="EQ194" s="5247"/>
      <c r="ER194" s="5247"/>
      <c r="ES194" s="1095">
        <f>IF(EQ194=0,0,(ER194-EQ194)/EQ194*100)</f>
        <v>0</v>
      </c>
      <c r="ET194" s="5247"/>
      <c r="EU194" s="5247"/>
      <c r="EV194" s="1095">
        <f>IF(ET194=0,0,(EU194-ET194)/ET194*100)</f>
        <v>0</v>
      </c>
      <c r="EW194" s="5247"/>
      <c r="EX194" s="5247"/>
      <c r="EY194" s="1095">
        <f>IF(EW194=0,0,(EX194-EW194)/EW194*100)</f>
        <v>0</v>
      </c>
      <c r="EZ194" s="5247"/>
      <c r="FA194" s="5247"/>
      <c r="FB194" s="1095">
        <f>IF(EZ194=0,0,(FA194-EZ194)/EZ194*100)</f>
        <v>0</v>
      </c>
      <c r="FC194" s="5247"/>
      <c r="FD194" s="5247"/>
      <c r="FE194" s="1095">
        <f>IF(FC194=0,0,(FD194-FC194)/FC194*100)</f>
        <v>0</v>
      </c>
      <c r="FF194" s="5247"/>
      <c r="FG194" s="5247"/>
      <c r="FH194" s="1095">
        <f>IF(FF194=0,0,(FG194-FF194)/FF194*100)</f>
        <v>0</v>
      </c>
      <c r="FI194" s="5247"/>
      <c r="FJ194" s="5247"/>
      <c r="FK194" s="1095">
        <f>IF(FI194=0,0,(FJ194-FI194)/FI194*100)</f>
        <v>0</v>
      </c>
      <c r="FL194" s="5247"/>
      <c r="FM194" s="5247"/>
      <c r="FN194" s="1095">
        <f>IF(FL194=0,0,(FM194-FL194)/FL194*100)</f>
        <v>0</v>
      </c>
      <c r="FO194" s="5247"/>
      <c r="FP194" s="5247"/>
      <c r="FQ194" s="1095">
        <f>IF(FO194=0,0,(FP194-FO194)/FO194*100)</f>
        <v>0</v>
      </c>
      <c r="FR194" s="5247"/>
      <c r="FS194" s="5247"/>
      <c r="FT194" s="1095">
        <f>IF(FR194=0,0,(FS194-FR194)/FR194*100)</f>
        <v>0</v>
      </c>
      <c r="FU194" s="5247"/>
      <c r="FV194" s="5247"/>
      <c r="FW194" s="1095">
        <f>IF(FU194=0,0,(FV194-FU194)/FU194*100)</f>
        <v>0</v>
      </c>
      <c r="FX194" s="1304"/>
      <c r="FY194" s="1304"/>
      <c r="FZ194" s="1055" t="s">
        <v>2401</v>
      </c>
      <c r="GA194" s="1306"/>
      <c r="GB194" s="1306"/>
      <c r="GC194" s="1305"/>
      <c r="GD194" s="1305"/>
    </row>
    <row s="1834" customFormat="1" customHeight="1" ht="21.75" hidden="1">
      <c r="A195" s="493"/>
      <c r="B195" s="925" cm="1" t="str">
        <f t="array" ref="B195:B195">B194</f>
        <v>false</v>
      </c>
      <c r="C195" s="493"/>
      <c r="D195" s="493"/>
      <c r="E195" s="840">
        <v>22.5</v>
      </c>
      <c r="F195" s="50" cm="1" t="str">
        <f t="array" ref="F195:F195">OFFSET(E195,-1,1)</f>
        <v>2</v>
      </c>
      <c r="G195" s="493"/>
      <c r="H195" s="493" t="s">
        <v>2376</v>
      </c>
      <c r="I195" s="493" t="s">
        <v>2354</v>
      </c>
      <c r="J195" s="493"/>
      <c r="K195" s="493"/>
      <c r="L195" s="493"/>
      <c r="M195" s="493"/>
      <c r="N195" s="493"/>
      <c r="O195" s="493"/>
      <c r="P195" s="493"/>
      <c r="Q195" s="493"/>
      <c r="R195" s="493"/>
      <c r="S195" s="493"/>
      <c r="T195" s="465" cm="1" t="str">
        <f t="array" ref="T195:T195">T194</f>
        <v>true</v>
      </c>
      <c r="U195" s="493"/>
      <c r="V195" s="493"/>
      <c r="W195" s="493"/>
      <c r="X195" s="1596"/>
      <c r="Y195" s="493"/>
      <c r="Z195" s="1545"/>
      <c r="AA195" s="493"/>
      <c r="AB195" s="904" t="str">
        <f>"ставка платы за содержание системы "&amp;IF(Q155="Водоснабжение","холодного водоснабжения","водоотведения")</f>
        <v>ставка платы за содержание системы холодного водоснабжения</v>
      </c>
      <c r="AC195" s="864" t="s">
        <v>2377</v>
      </c>
      <c r="AD195" s="2846"/>
      <c r="AE195" s="2846"/>
      <c r="AF195" s="1093">
        <f>IF(AD195=0,0,(AE195-AD195)/AD195*100)</f>
        <v>0</v>
      </c>
      <c r="AG195" s="2846"/>
      <c r="AH195" s="2846"/>
      <c r="AI195" s="1093">
        <f>IF(AG195=0,0,(AH195-AG195)/AG195*100)</f>
        <v>0</v>
      </c>
      <c r="AJ195" s="2846"/>
      <c r="AK195" s="2846"/>
      <c r="AL195" s="1093">
        <f>IF(AJ195=0,0,(AK195-AJ195)/AJ195*100)</f>
        <v>0</v>
      </c>
      <c r="AM195" s="2846"/>
      <c r="AN195" s="2846"/>
      <c r="AO195" s="1093">
        <f>IF(AM195=0,0,(AN195-AM195)/AM195*100)</f>
        <v>0</v>
      </c>
      <c r="AP195" s="2846"/>
      <c r="AQ195" s="2846"/>
      <c r="AR195" s="1093">
        <f>IF(AP195=0,0,(AQ195-AP195)/AP195*100)</f>
        <v>0</v>
      </c>
      <c r="AS195" s="2846"/>
      <c r="AT195" s="2846"/>
      <c r="AU195" s="1093">
        <f>IF(AS195=0,0,(AT195-AS195)/AS195*100)</f>
        <v>0</v>
      </c>
      <c r="AV195" s="2846"/>
      <c r="AW195" s="2846"/>
      <c r="AX195" s="1093">
        <f>IF(AV195=0,0,(AW195-AV195)/AV195*100)</f>
        <v>0</v>
      </c>
      <c r="AY195" s="2846"/>
      <c r="AZ195" s="2846"/>
      <c r="BA195" s="1093">
        <f>IF(AY195=0,0,(AZ195-AY195)/AY195*100)</f>
        <v>0</v>
      </c>
      <c r="BB195" s="2846"/>
      <c r="BC195" s="2846"/>
      <c r="BD195" s="1093">
        <f>IF(BB195=0,0,(BC195-BB195)/BB195*100)</f>
        <v>0</v>
      </c>
      <c r="BE195" s="2846"/>
      <c r="BF195" s="2846"/>
      <c r="BG195" s="1093">
        <f>IF(BE195=0,0,(BF195-BE195)/BE195*100)</f>
        <v>0</v>
      </c>
      <c r="BH195" s="2846"/>
      <c r="BI195" s="2846"/>
      <c r="BJ195" s="1093">
        <f>IF(BH195=0,0,(BI195-BH195)/BH195*100)</f>
        <v>0</v>
      </c>
      <c r="BK195" s="2846"/>
      <c r="BL195" s="2846"/>
      <c r="BM195" s="1093">
        <f>IF(BK195=0,0,(BL195-BK195)/BK195*100)</f>
        <v>0</v>
      </c>
      <c r="BN195" s="2846"/>
      <c r="BO195" s="2846"/>
      <c r="BP195" s="1093">
        <f>IF(BN195=0,0,(BO195-BN195)/BN195*100)</f>
        <v>0</v>
      </c>
      <c r="BQ195" s="2846"/>
      <c r="BR195" s="2846"/>
      <c r="BS195" s="1093">
        <f>IF(BQ195=0,0,(BR195-BQ195)/BQ195*100)</f>
        <v>0</v>
      </c>
      <c r="BT195" s="2846"/>
      <c r="BU195" s="2846"/>
      <c r="BV195" s="1093">
        <f>IF(BT195=0,0,(BU195-BT195)/BT195*100)</f>
        <v>0</v>
      </c>
      <c r="BW195" s="2846"/>
      <c r="BX195" s="2846"/>
      <c r="BY195" s="1093">
        <f>IF(BW195=0,0,(BX195-BW195)/BW195*100)</f>
        <v>0</v>
      </c>
      <c r="BZ195" s="2846"/>
      <c r="CA195" s="2846"/>
      <c r="CB195" s="1093">
        <f>IF(BZ195=0,0,(CA195-BZ195)/BZ195*100)</f>
        <v>0</v>
      </c>
      <c r="CC195" s="2846"/>
      <c r="CD195" s="2846"/>
      <c r="CE195" s="1093">
        <f>IF(CC195=0,0,(CD195-CC195)/CC195*100)</f>
        <v>0</v>
      </c>
      <c r="CF195" s="2846"/>
      <c r="CG195" s="2846"/>
      <c r="CH195" s="1093">
        <f>IF(CF195=0,0,(CG195-CF195)/CF195*100)</f>
        <v>0</v>
      </c>
      <c r="CI195" s="2846"/>
      <c r="CJ195" s="2846"/>
      <c r="CK195" s="1093">
        <f>IF(CI195=0,0,(CJ195-CI195)/CI195*100)</f>
        <v>0</v>
      </c>
      <c r="CL195" s="2846"/>
      <c r="CM195" s="2846"/>
      <c r="CN195" s="1093">
        <f>IF(CL195=0,0,(CM195-CL195)/CL195*100)</f>
        <v>0</v>
      </c>
      <c r="CO195" s="2846"/>
      <c r="CP195" s="2846"/>
      <c r="CQ195" s="1093">
        <f>IF(CO195=0,0,(CP195-CO195)/CO195*100)</f>
        <v>0</v>
      </c>
      <c r="CR195" s="2846"/>
      <c r="CS195" s="2846"/>
      <c r="CT195" s="1093">
        <f>IF(CR195=0,0,(CS195-CR195)/CR195*100)</f>
        <v>0</v>
      </c>
      <c r="CU195" s="2846"/>
      <c r="CV195" s="2846"/>
      <c r="CW195" s="1093">
        <f>IF(CU195=0,0,(CV195-CU195)/CU195*100)</f>
        <v>0</v>
      </c>
      <c r="CX195" s="2846"/>
      <c r="CY195" s="2846"/>
      <c r="CZ195" s="1093">
        <f>IF(CX195=0,0,(CY195-CX195)/CX195*100)</f>
        <v>0</v>
      </c>
      <c r="DA195" s="2846"/>
      <c r="DB195" s="2846"/>
      <c r="DC195" s="1093">
        <f>IF(DA195=0,0,(DB195-DA195)/DA195*100)</f>
        <v>0</v>
      </c>
      <c r="DD195" s="2846"/>
      <c r="DE195" s="2846"/>
      <c r="DF195" s="1093">
        <f>IF(DD195=0,0,(DE195-DD195)/DD195*100)</f>
        <v>0</v>
      </c>
      <c r="DG195" s="2846"/>
      <c r="DH195" s="2846"/>
      <c r="DI195" s="1093">
        <f>IF(DG195=0,0,(DH195-DG195)/DG195*100)</f>
        <v>0</v>
      </c>
      <c r="DJ195" s="2846"/>
      <c r="DK195" s="2846"/>
      <c r="DL195" s="1093">
        <f>IF(DJ195=0,0,(DK195-DJ195)/DJ195*100)</f>
        <v>0</v>
      </c>
      <c r="DM195" s="2846"/>
      <c r="DN195" s="2846"/>
      <c r="DO195" s="1093">
        <f>IF(DM195=0,0,(DN195-DM195)/DM195*100)</f>
        <v>0</v>
      </c>
      <c r="DP195" s="2846"/>
      <c r="DQ195" s="2846"/>
      <c r="DR195" s="1093">
        <f>IF(DP195=0,0,(DQ195-DP195)/DP195*100)</f>
        <v>0</v>
      </c>
      <c r="DS195" s="2846"/>
      <c r="DT195" s="2846"/>
      <c r="DU195" s="1093">
        <f>IF(DS195=0,0,(DT195-DS195)/DS195*100)</f>
        <v>0</v>
      </c>
      <c r="DV195" s="2846"/>
      <c r="DW195" s="2846"/>
      <c r="DX195" s="1093">
        <f>IF(DV195=0,0,(DW195-DV195)/DV195*100)</f>
        <v>0</v>
      </c>
      <c r="DY195" s="2846"/>
      <c r="DZ195" s="2846"/>
      <c r="EA195" s="1093">
        <f>IF(DY195=0,0,(DZ195-DY195)/DY195*100)</f>
        <v>0</v>
      </c>
      <c r="EB195" s="2846"/>
      <c r="EC195" s="2846"/>
      <c r="ED195" s="1093">
        <f>IF(EB195=0,0,(EC195-EB195)/EB195*100)</f>
        <v>0</v>
      </c>
      <c r="EE195" s="2846"/>
      <c r="EF195" s="2846"/>
      <c r="EG195" s="1093">
        <f>IF(EE195=0,0,(EF195-EE195)/EE195*100)</f>
        <v>0</v>
      </c>
      <c r="EH195" s="2846"/>
      <c r="EI195" s="2846"/>
      <c r="EJ195" s="1093">
        <f>IF(EH195=0,0,(EI195-EH195)/EH195*100)</f>
        <v>0</v>
      </c>
      <c r="EK195" s="2846"/>
      <c r="EL195" s="2846"/>
      <c r="EM195" s="1093">
        <f>IF(EK195=0,0,(EL195-EK195)/EK195*100)</f>
        <v>0</v>
      </c>
      <c r="EN195" s="2846"/>
      <c r="EO195" s="2846"/>
      <c r="EP195" s="1093">
        <f>IF(EN195=0,0,(EO195-EN195)/EN195*100)</f>
        <v>0</v>
      </c>
      <c r="EQ195" s="2846"/>
      <c r="ER195" s="2846"/>
      <c r="ES195" s="1093">
        <f>IF(EQ195=0,0,(ER195-EQ195)/EQ195*100)</f>
        <v>0</v>
      </c>
      <c r="ET195" s="2846"/>
      <c r="EU195" s="2846"/>
      <c r="EV195" s="1093">
        <f>IF(ET195=0,0,(EU195-ET195)/ET195*100)</f>
        <v>0</v>
      </c>
      <c r="EW195" s="2846"/>
      <c r="EX195" s="2846"/>
      <c r="EY195" s="1093">
        <f>IF(EW195=0,0,(EX195-EW195)/EW195*100)</f>
        <v>0</v>
      </c>
      <c r="EZ195" s="2846"/>
      <c r="FA195" s="2846"/>
      <c r="FB195" s="1093">
        <f>IF(EZ195=0,0,(FA195-EZ195)/EZ195*100)</f>
        <v>0</v>
      </c>
      <c r="FC195" s="2846"/>
      <c r="FD195" s="2846"/>
      <c r="FE195" s="1093">
        <f>IF(FC195=0,0,(FD195-FC195)/FC195*100)</f>
        <v>0</v>
      </c>
      <c r="FF195" s="2846"/>
      <c r="FG195" s="2846"/>
      <c r="FH195" s="1093">
        <f>IF(FF195=0,0,(FG195-FF195)/FF195*100)</f>
        <v>0</v>
      </c>
      <c r="FI195" s="2846"/>
      <c r="FJ195" s="2846"/>
      <c r="FK195" s="1093">
        <f>IF(FI195=0,0,(FJ195-FI195)/FI195*100)</f>
        <v>0</v>
      </c>
      <c r="FL195" s="2846"/>
      <c r="FM195" s="2846"/>
      <c r="FN195" s="1093">
        <f>IF(FL195=0,0,(FM195-FL195)/FL195*100)</f>
        <v>0</v>
      </c>
      <c r="FO195" s="2846"/>
      <c r="FP195" s="2846"/>
      <c r="FQ195" s="1093">
        <f>IF(FO195=0,0,(FP195-FO195)/FO195*100)</f>
        <v>0</v>
      </c>
      <c r="FR195" s="2846"/>
      <c r="FS195" s="2846"/>
      <c r="FT195" s="1093">
        <f>IF(FR195=0,0,(FS195-FR195)/FR195*100)</f>
        <v>0</v>
      </c>
      <c r="FU195" s="2846"/>
      <c r="FV195" s="2846"/>
      <c r="FW195" s="1093">
        <f>IF(FU195=0,0,(FV195-FU195)/FU195*100)</f>
        <v>0</v>
      </c>
      <c r="FX195" s="1304"/>
      <c r="FY195" s="1304"/>
      <c r="FZ195" s="1055" t="s">
        <v>2402</v>
      </c>
      <c r="GA195" s="1306"/>
      <c r="GB195" s="1306"/>
      <c r="GC195" s="1305"/>
      <c r="GD195" s="1305"/>
    </row>
    <row s="1834" customFormat="1" customHeight="1" ht="14.25" hidden="1">
      <c r="A196" s="493"/>
      <c r="B196" s="925" cm="1" t="str">
        <f t="array" ref="B196:B196">B195</f>
        <v>false</v>
      </c>
      <c r="C196" s="493"/>
      <c r="D196" s="493"/>
      <c r="E196" s="840">
        <v>15</v>
      </c>
      <c r="F196" s="50" cm="1" t="str">
        <f t="array" ref="F196:F196">OFFSET(E196,-1,1)</f>
        <v>2</v>
      </c>
      <c r="G196" s="493"/>
      <c r="H196" s="493" t="s">
        <v>2379</v>
      </c>
      <c r="I196" s="493" t="s">
        <v>2354</v>
      </c>
      <c r="J196" s="493"/>
      <c r="K196" s="493"/>
      <c r="L196" s="493"/>
      <c r="M196" s="493"/>
      <c r="N196" s="493"/>
      <c r="O196" s="493"/>
      <c r="P196" s="493"/>
      <c r="Q196" s="493"/>
      <c r="R196" s="493"/>
      <c r="S196" s="493"/>
      <c r="T196" s="465" cm="1" t="str">
        <f t="array" ref="T196:T196">T195</f>
        <v>true</v>
      </c>
      <c r="U196" s="493"/>
      <c r="V196" s="493"/>
      <c r="W196" s="493"/>
      <c r="X196" s="1596"/>
      <c r="Y196" s="493"/>
      <c r="Z196" s="1545"/>
      <c r="AA196" s="493"/>
      <c r="AB196" s="904" t="s">
        <v>2380</v>
      </c>
      <c r="AC196" s="864" t="s">
        <v>2381</v>
      </c>
      <c r="AD196" s="2846"/>
      <c r="AE196" s="2846"/>
      <c r="AF196" s="1093">
        <f>IF(AD196=0,0,(AE196-AD196)/AD196*100)</f>
        <v>0</v>
      </c>
      <c r="AG196" s="2846"/>
      <c r="AH196" s="2846"/>
      <c r="AI196" s="1093">
        <f>IF(AG196=0,0,(AH196-AG196)/AG196*100)</f>
        <v>0</v>
      </c>
      <c r="AJ196" s="2846"/>
      <c r="AK196" s="2846"/>
      <c r="AL196" s="1093">
        <f>IF(AJ196=0,0,(AK196-AJ196)/AJ196*100)</f>
        <v>0</v>
      </c>
      <c r="AM196" s="2846"/>
      <c r="AN196" s="2846"/>
      <c r="AO196" s="1093">
        <f>IF(AM196=0,0,(AN196-AM196)/AM196*100)</f>
        <v>0</v>
      </c>
      <c r="AP196" s="2846"/>
      <c r="AQ196" s="2846"/>
      <c r="AR196" s="1093">
        <f>IF(AP196=0,0,(AQ196-AP196)/AP196*100)</f>
        <v>0</v>
      </c>
      <c r="AS196" s="2846"/>
      <c r="AT196" s="2846"/>
      <c r="AU196" s="1093">
        <f>IF(AS196=0,0,(AT196-AS196)/AS196*100)</f>
        <v>0</v>
      </c>
      <c r="AV196" s="2846"/>
      <c r="AW196" s="2846"/>
      <c r="AX196" s="1093">
        <f>IF(AV196=0,0,(AW196-AV196)/AV196*100)</f>
        <v>0</v>
      </c>
      <c r="AY196" s="2846"/>
      <c r="AZ196" s="2846"/>
      <c r="BA196" s="1093">
        <f>IF(AY196=0,0,(AZ196-AY196)/AY196*100)</f>
        <v>0</v>
      </c>
      <c r="BB196" s="2846"/>
      <c r="BC196" s="2846"/>
      <c r="BD196" s="1093">
        <f>IF(BB196=0,0,(BC196-BB196)/BB196*100)</f>
        <v>0</v>
      </c>
      <c r="BE196" s="2846"/>
      <c r="BF196" s="2846"/>
      <c r="BG196" s="1093">
        <f>IF(BE196=0,0,(BF196-BE196)/BE196*100)</f>
        <v>0</v>
      </c>
      <c r="BH196" s="2846"/>
      <c r="BI196" s="2846"/>
      <c r="BJ196" s="1093">
        <f>IF(BH196=0,0,(BI196-BH196)/BH196*100)</f>
        <v>0</v>
      </c>
      <c r="BK196" s="2846"/>
      <c r="BL196" s="2846"/>
      <c r="BM196" s="1093">
        <f>IF(BK196=0,0,(BL196-BK196)/BK196*100)</f>
        <v>0</v>
      </c>
      <c r="BN196" s="2846"/>
      <c r="BO196" s="2846"/>
      <c r="BP196" s="1093">
        <f>IF(BN196=0,0,(BO196-BN196)/BN196*100)</f>
        <v>0</v>
      </c>
      <c r="BQ196" s="2846"/>
      <c r="BR196" s="2846"/>
      <c r="BS196" s="1093">
        <f>IF(BQ196=0,0,(BR196-BQ196)/BQ196*100)</f>
        <v>0</v>
      </c>
      <c r="BT196" s="2846"/>
      <c r="BU196" s="2846"/>
      <c r="BV196" s="1093">
        <f>IF(BT196=0,0,(BU196-BT196)/BT196*100)</f>
        <v>0</v>
      </c>
      <c r="BW196" s="2846"/>
      <c r="BX196" s="2846"/>
      <c r="BY196" s="1093">
        <f>IF(BW196=0,0,(BX196-BW196)/BW196*100)</f>
        <v>0</v>
      </c>
      <c r="BZ196" s="2846"/>
      <c r="CA196" s="2846"/>
      <c r="CB196" s="1093">
        <f>IF(BZ196=0,0,(CA196-BZ196)/BZ196*100)</f>
        <v>0</v>
      </c>
      <c r="CC196" s="2846"/>
      <c r="CD196" s="2846"/>
      <c r="CE196" s="1093">
        <f>IF(CC196=0,0,(CD196-CC196)/CC196*100)</f>
        <v>0</v>
      </c>
      <c r="CF196" s="2846"/>
      <c r="CG196" s="2846"/>
      <c r="CH196" s="1093">
        <f>IF(CF196=0,0,(CG196-CF196)/CF196*100)</f>
        <v>0</v>
      </c>
      <c r="CI196" s="2846"/>
      <c r="CJ196" s="2846"/>
      <c r="CK196" s="1093">
        <f>IF(CI196=0,0,(CJ196-CI196)/CI196*100)</f>
        <v>0</v>
      </c>
      <c r="CL196" s="2846"/>
      <c r="CM196" s="2846"/>
      <c r="CN196" s="1093">
        <f>IF(CL196=0,0,(CM196-CL196)/CL196*100)</f>
        <v>0</v>
      </c>
      <c r="CO196" s="2846"/>
      <c r="CP196" s="2846"/>
      <c r="CQ196" s="1093">
        <f>IF(CO196=0,0,(CP196-CO196)/CO196*100)</f>
        <v>0</v>
      </c>
      <c r="CR196" s="2846"/>
      <c r="CS196" s="2846"/>
      <c r="CT196" s="1093">
        <f>IF(CR196=0,0,(CS196-CR196)/CR196*100)</f>
        <v>0</v>
      </c>
      <c r="CU196" s="2846"/>
      <c r="CV196" s="2846"/>
      <c r="CW196" s="1093">
        <f>IF(CU196=0,0,(CV196-CU196)/CU196*100)</f>
        <v>0</v>
      </c>
      <c r="CX196" s="2846"/>
      <c r="CY196" s="2846"/>
      <c r="CZ196" s="1093">
        <f>IF(CX196=0,0,(CY196-CX196)/CX196*100)</f>
        <v>0</v>
      </c>
      <c r="DA196" s="2846"/>
      <c r="DB196" s="2846"/>
      <c r="DC196" s="1093">
        <f>IF(DA196=0,0,(DB196-DA196)/DA196*100)</f>
        <v>0</v>
      </c>
      <c r="DD196" s="2846"/>
      <c r="DE196" s="2846"/>
      <c r="DF196" s="1093">
        <f>IF(DD196=0,0,(DE196-DD196)/DD196*100)</f>
        <v>0</v>
      </c>
      <c r="DG196" s="2846"/>
      <c r="DH196" s="2846"/>
      <c r="DI196" s="1093">
        <f>IF(DG196=0,0,(DH196-DG196)/DG196*100)</f>
        <v>0</v>
      </c>
      <c r="DJ196" s="2846"/>
      <c r="DK196" s="2846"/>
      <c r="DL196" s="1093">
        <f>IF(DJ196=0,0,(DK196-DJ196)/DJ196*100)</f>
        <v>0</v>
      </c>
      <c r="DM196" s="2846"/>
      <c r="DN196" s="2846"/>
      <c r="DO196" s="1093">
        <f>IF(DM196=0,0,(DN196-DM196)/DM196*100)</f>
        <v>0</v>
      </c>
      <c r="DP196" s="2846"/>
      <c r="DQ196" s="2846"/>
      <c r="DR196" s="1093">
        <f>IF(DP196=0,0,(DQ196-DP196)/DP196*100)</f>
        <v>0</v>
      </c>
      <c r="DS196" s="2846"/>
      <c r="DT196" s="2846"/>
      <c r="DU196" s="1093">
        <f>IF(DS196=0,0,(DT196-DS196)/DS196*100)</f>
        <v>0</v>
      </c>
      <c r="DV196" s="2846"/>
      <c r="DW196" s="2846"/>
      <c r="DX196" s="1093">
        <f>IF(DV196=0,0,(DW196-DV196)/DV196*100)</f>
        <v>0</v>
      </c>
      <c r="DY196" s="2846"/>
      <c r="DZ196" s="2846"/>
      <c r="EA196" s="1093">
        <f>IF(DY196=0,0,(DZ196-DY196)/DY196*100)</f>
        <v>0</v>
      </c>
      <c r="EB196" s="2846"/>
      <c r="EC196" s="2846"/>
      <c r="ED196" s="1093">
        <f>IF(EB196=0,0,(EC196-EB196)/EB196*100)</f>
        <v>0</v>
      </c>
      <c r="EE196" s="2846"/>
      <c r="EF196" s="2846"/>
      <c r="EG196" s="1093">
        <f>IF(EE196=0,0,(EF196-EE196)/EE196*100)</f>
        <v>0</v>
      </c>
      <c r="EH196" s="2846"/>
      <c r="EI196" s="2846"/>
      <c r="EJ196" s="1093">
        <f>IF(EH196=0,0,(EI196-EH196)/EH196*100)</f>
        <v>0</v>
      </c>
      <c r="EK196" s="2846"/>
      <c r="EL196" s="2846"/>
      <c r="EM196" s="1093">
        <f>IF(EK196=0,0,(EL196-EK196)/EK196*100)</f>
        <v>0</v>
      </c>
      <c r="EN196" s="2846"/>
      <c r="EO196" s="2846"/>
      <c r="EP196" s="1093">
        <f>IF(EN196=0,0,(EO196-EN196)/EN196*100)</f>
        <v>0</v>
      </c>
      <c r="EQ196" s="2846"/>
      <c r="ER196" s="2846"/>
      <c r="ES196" s="1093">
        <f>IF(EQ196=0,0,(ER196-EQ196)/EQ196*100)</f>
        <v>0</v>
      </c>
      <c r="ET196" s="2846"/>
      <c r="EU196" s="2846"/>
      <c r="EV196" s="1093">
        <f>IF(ET196=0,0,(EU196-ET196)/ET196*100)</f>
        <v>0</v>
      </c>
      <c r="EW196" s="2846"/>
      <c r="EX196" s="2846"/>
      <c r="EY196" s="1093">
        <f>IF(EW196=0,0,(EX196-EW196)/EW196*100)</f>
        <v>0</v>
      </c>
      <c r="EZ196" s="2846"/>
      <c r="FA196" s="2846"/>
      <c r="FB196" s="1093">
        <f>IF(EZ196=0,0,(FA196-EZ196)/EZ196*100)</f>
        <v>0</v>
      </c>
      <c r="FC196" s="2846"/>
      <c r="FD196" s="2846"/>
      <c r="FE196" s="1093">
        <f>IF(FC196=0,0,(FD196-FC196)/FC196*100)</f>
        <v>0</v>
      </c>
      <c r="FF196" s="2846"/>
      <c r="FG196" s="2846"/>
      <c r="FH196" s="1093">
        <f>IF(FF196=0,0,(FG196-FF196)/FF196*100)</f>
        <v>0</v>
      </c>
      <c r="FI196" s="2846"/>
      <c r="FJ196" s="2846"/>
      <c r="FK196" s="1093">
        <f>IF(FI196=0,0,(FJ196-FI196)/FI196*100)</f>
        <v>0</v>
      </c>
      <c r="FL196" s="2846"/>
      <c r="FM196" s="2846"/>
      <c r="FN196" s="1093">
        <f>IF(FL196=0,0,(FM196-FL196)/FL196*100)</f>
        <v>0</v>
      </c>
      <c r="FO196" s="2846"/>
      <c r="FP196" s="2846"/>
      <c r="FQ196" s="1093">
        <f>IF(FO196=0,0,(FP196-FO196)/FO196*100)</f>
        <v>0</v>
      </c>
      <c r="FR196" s="2846"/>
      <c r="FS196" s="2846"/>
      <c r="FT196" s="1093">
        <f>IF(FR196=0,0,(FS196-FR196)/FR196*100)</f>
        <v>0</v>
      </c>
      <c r="FU196" s="2846"/>
      <c r="FV196" s="2846"/>
      <c r="FW196" s="1093">
        <f>IF(FU196=0,0,(FV196-FU196)/FU196*100)</f>
        <v>0</v>
      </c>
      <c r="FX196" s="1304"/>
      <c r="FY196" s="1304"/>
      <c r="FZ196" s="1055" t="s">
        <v>2403</v>
      </c>
      <c r="GA196" s="1306"/>
      <c r="GB196" s="1306"/>
      <c r="GC196" s="1305"/>
      <c r="GD196" s="1305"/>
    </row>
    <row s="1834" customFormat="1" customHeight="1" ht="18" hidden="1">
      <c r="A197" s="493"/>
      <c r="B197" s="925" cm="1" t="str">
        <f t="array" ref="B197:B197">B196</f>
        <v>false</v>
      </c>
      <c r="C197" s="493"/>
      <c r="D197" s="493"/>
      <c r="E197" s="840">
        <v>18.75</v>
      </c>
      <c r="F197" s="50" cm="1" t="str">
        <f t="array" ref="F197:F197">OFFSET(E197,-1,1)</f>
        <v>2</v>
      </c>
      <c r="G197" s="493"/>
      <c r="H197" s="493"/>
      <c r="I197" s="493"/>
      <c r="J197" s="493"/>
      <c r="K197" s="493"/>
      <c r="L197" s="493"/>
      <c r="M197" s="493"/>
      <c r="N197" s="493"/>
      <c r="O197" s="493"/>
      <c r="P197" s="493"/>
      <c r="Q197" s="493"/>
      <c r="R197" s="493"/>
      <c r="S197" s="493"/>
      <c r="T197" s="465">
        <f>AND(F197&gt;0,Y197&gt;0)</f>
        <v>0</v>
      </c>
      <c r="U197" s="493"/>
      <c r="V197" s="493"/>
      <c r="W197" s="493" t="s">
        <v>174</v>
      </c>
      <c r="X197" s="1596"/>
      <c r="Y197" s="1596">
        <v>0</v>
      </c>
      <c r="Z197" s="1545"/>
      <c r="AA197" s="1494" t="s">
        <v>175</v>
      </c>
      <c r="AB197" s="5252"/>
      <c r="AC197" s="865"/>
      <c r="AD197" s="1105"/>
      <c r="AE197" s="1106"/>
      <c r="AF197" s="1106"/>
      <c r="AG197" s="1105"/>
      <c r="AH197" s="1106"/>
      <c r="AI197" s="1106"/>
      <c r="AJ197" s="1105"/>
      <c r="AK197" s="1106"/>
      <c r="AL197" s="1106"/>
      <c r="AM197" s="1105"/>
      <c r="AN197" s="1106"/>
      <c r="AO197" s="1106"/>
      <c r="AP197" s="1105"/>
      <c r="AQ197" s="1106"/>
      <c r="AR197" s="1106"/>
      <c r="AS197" s="1105"/>
      <c r="AT197" s="1106"/>
      <c r="AU197" s="1106"/>
      <c r="AV197" s="1105"/>
      <c r="AW197" s="1106"/>
      <c r="AX197" s="1106"/>
      <c r="AY197" s="1105"/>
      <c r="AZ197" s="1106"/>
      <c r="BA197" s="1106"/>
      <c r="BB197" s="1105"/>
      <c r="BC197" s="1106"/>
      <c r="BD197" s="1106"/>
      <c r="BE197" s="1105"/>
      <c r="BF197" s="1106"/>
      <c r="BG197" s="1106"/>
      <c r="BH197" s="1105"/>
      <c r="BI197" s="1106"/>
      <c r="BJ197" s="1106"/>
      <c r="BK197" s="1105"/>
      <c r="BL197" s="1106"/>
      <c r="BM197" s="1106"/>
      <c r="BN197" s="1105"/>
      <c r="BO197" s="1106"/>
      <c r="BP197" s="1106"/>
      <c r="BQ197" s="1105"/>
      <c r="BR197" s="1106"/>
      <c r="BS197" s="1106"/>
      <c r="BT197" s="1105"/>
      <c r="BU197" s="1106"/>
      <c r="BV197" s="1106"/>
      <c r="BW197" s="1105"/>
      <c r="BX197" s="1106"/>
      <c r="BY197" s="1106"/>
      <c r="BZ197" s="1105"/>
      <c r="CA197" s="1106"/>
      <c r="CB197" s="1106"/>
      <c r="CC197" s="1105"/>
      <c r="CD197" s="1106"/>
      <c r="CE197" s="1106"/>
      <c r="CF197" s="1105"/>
      <c r="CG197" s="1106"/>
      <c r="CH197" s="1106"/>
      <c r="CI197" s="1105"/>
      <c r="CJ197" s="1106"/>
      <c r="CK197" s="1106"/>
      <c r="CL197" s="1105"/>
      <c r="CM197" s="1106"/>
      <c r="CN197" s="1106"/>
      <c r="CO197" s="1105"/>
      <c r="CP197" s="1106"/>
      <c r="CQ197" s="1106"/>
      <c r="CR197" s="1105"/>
      <c r="CS197" s="1106"/>
      <c r="CT197" s="1106"/>
      <c r="CU197" s="1105"/>
      <c r="CV197" s="1106"/>
      <c r="CW197" s="1106"/>
      <c r="CX197" s="1105"/>
      <c r="CY197" s="1106"/>
      <c r="CZ197" s="1106"/>
      <c r="DA197" s="1105"/>
      <c r="DB197" s="1106"/>
      <c r="DC197" s="1106"/>
      <c r="DD197" s="1105"/>
      <c r="DE197" s="1106"/>
      <c r="DF197" s="1106"/>
      <c r="DG197" s="1105"/>
      <c r="DH197" s="1106"/>
      <c r="DI197" s="1106"/>
      <c r="DJ197" s="1105"/>
      <c r="DK197" s="1106"/>
      <c r="DL197" s="1106"/>
      <c r="DM197" s="1105"/>
      <c r="DN197" s="1106"/>
      <c r="DO197" s="1106"/>
      <c r="DP197" s="1105"/>
      <c r="DQ197" s="1106"/>
      <c r="DR197" s="1106"/>
      <c r="DS197" s="1105"/>
      <c r="DT197" s="1106"/>
      <c r="DU197" s="1106"/>
      <c r="DV197" s="1105"/>
      <c r="DW197" s="1106"/>
      <c r="DX197" s="1106"/>
      <c r="DY197" s="1105"/>
      <c r="DZ197" s="1106"/>
      <c r="EA197" s="1106"/>
      <c r="EB197" s="1105"/>
      <c r="EC197" s="1106"/>
      <c r="ED197" s="1106"/>
      <c r="EE197" s="1105"/>
      <c r="EF197" s="1106"/>
      <c r="EG197" s="1106"/>
      <c r="EH197" s="1105"/>
      <c r="EI197" s="1106"/>
      <c r="EJ197" s="1106"/>
      <c r="EK197" s="1105"/>
      <c r="EL197" s="1106"/>
      <c r="EM197" s="1106"/>
      <c r="EN197" s="1105"/>
      <c r="EO197" s="1106"/>
      <c r="EP197" s="1106"/>
      <c r="EQ197" s="1105"/>
      <c r="ER197" s="1106"/>
      <c r="ES197" s="1106"/>
      <c r="ET197" s="1105"/>
      <c r="EU197" s="1106"/>
      <c r="EV197" s="1106"/>
      <c r="EW197" s="1105"/>
      <c r="EX197" s="1106"/>
      <c r="EY197" s="1106"/>
      <c r="EZ197" s="1105"/>
      <c r="FA197" s="1106"/>
      <c r="FB197" s="1106"/>
      <c r="FC197" s="1105"/>
      <c r="FD197" s="1106"/>
      <c r="FE197" s="1106"/>
      <c r="FF197" s="1105"/>
      <c r="FG197" s="1106"/>
      <c r="FH197" s="1106"/>
      <c r="FI197" s="1105"/>
      <c r="FJ197" s="1106"/>
      <c r="FK197" s="1106"/>
      <c r="FL197" s="1105"/>
      <c r="FM197" s="1106"/>
      <c r="FN197" s="1106"/>
      <c r="FO197" s="1105"/>
      <c r="FP197" s="1106"/>
      <c r="FQ197" s="1106"/>
      <c r="FR197" s="1105"/>
      <c r="FS197" s="1106"/>
      <c r="FT197" s="1106"/>
      <c r="FU197" s="1105"/>
      <c r="FV197" s="1106"/>
      <c r="FW197" s="1107"/>
      <c r="FX197" s="1304"/>
      <c r="FY197" s="1304"/>
      <c r="FZ197" s="1055"/>
      <c r="GA197" s="1306"/>
      <c r="GB197" s="1306"/>
      <c r="GC197" s="1305"/>
      <c r="GD197" s="632" t="b">
        <v>1</v>
      </c>
    </row>
    <row s="1834" customFormat="1" customHeight="1" ht="14.25" hidden="1">
      <c r="A198" s="493"/>
      <c r="B198" s="925" cm="1" t="str">
        <f t="array" ref="B198:B198">B197</f>
        <v>false</v>
      </c>
      <c r="C198" s="493"/>
      <c r="D198" s="493"/>
      <c r="E198" s="840">
        <v>15</v>
      </c>
      <c r="F198" s="50" cm="1" t="str">
        <f t="array" ref="F198:F198">OFFSET(E198,-1,1)</f>
        <v>2</v>
      </c>
      <c r="G198" s="493"/>
      <c r="H198" s="493" t="s">
        <v>2295</v>
      </c>
      <c r="I198" s="493" cm="1" t="str">
        <f t="array" ref="I198:I198">AB197</f>
        <v>0</v>
      </c>
      <c r="J198" s="493"/>
      <c r="K198" s="493"/>
      <c r="L198" s="493"/>
      <c r="M198" s="493"/>
      <c r="N198" s="493"/>
      <c r="O198" s="493"/>
      <c r="P198" s="493"/>
      <c r="Q198" s="493"/>
      <c r="R198" s="493"/>
      <c r="S198" s="493"/>
      <c r="T198" s="465" cm="1" t="str">
        <f t="array" ref="T198:T198">T197</f>
        <v>false</v>
      </c>
      <c r="U198" s="493"/>
      <c r="V198" s="493"/>
      <c r="W198" s="493"/>
      <c r="X198" s="1596"/>
      <c r="Y198" s="1596"/>
      <c r="Z198" s="1545"/>
      <c r="AA198" s="1494"/>
      <c r="AB198" s="904" t="s">
        <v>2370</v>
      </c>
      <c r="AC198" s="864" t="s">
        <v>2337</v>
      </c>
      <c r="AD198" s="2846">
        <f>IF(AD200=0,0,(AD199*AD200+AD201*AD202*IF(god=2026,3,6))/AD200)</f>
        <v>0</v>
      </c>
      <c r="AE198" s="2846">
        <f>IF(AE200=0,0,(AE199*AE200+AE201*AE202*IF(god=2026,3,6))/AE200)</f>
        <v>0</v>
      </c>
      <c r="AF198" s="1093">
        <f>IF(AD198=0,0,(AE198-AD198)/AD198*100)</f>
        <v>0</v>
      </c>
      <c r="AG198" s="2846">
        <f>IF(AG200=0,0,(AG199*AG200+AG201*AG202*IF(god=2025,3,6))/AG200)</f>
        <v>0</v>
      </c>
      <c r="AH198" s="2846">
        <f>IF(AH200=0,0,(AH199*AH200+AH201*AH202*IF(god=2025,3,6))/AH200)</f>
        <v>0</v>
      </c>
      <c r="AI198" s="1093">
        <f>IF(AG198=0,0,(AH198-AG198)/AG198*100)</f>
        <v>0</v>
      </c>
      <c r="AJ198" s="2846">
        <f>IF(AJ200=0,0,(AJ199*AJ200+AJ201*AJ202*6)/AJ200)</f>
        <v>0</v>
      </c>
      <c r="AK198" s="2846">
        <f>IF(AK200=0,0,(AK199*AK200+AK201*AK202*6)/AK200)</f>
        <v>0</v>
      </c>
      <c r="AL198" s="1093">
        <f>IF(AJ198=0,0,(AK198-AJ198)/AJ198*100)</f>
        <v>0</v>
      </c>
      <c r="AM198" s="2846">
        <f>IF(AM200=0,0,(AM199*AM200+AM201*AM202*6)/AM200)</f>
        <v>0</v>
      </c>
      <c r="AN198" s="2846">
        <f>IF(AN200=0,0,(AN199*AN200+AN201*AN202*6)/AN200)</f>
        <v>0</v>
      </c>
      <c r="AO198" s="1093">
        <f>IF(AM198=0,0,(AN198-AM198)/AM198*100)</f>
        <v>0</v>
      </c>
      <c r="AP198" s="2846">
        <f>IF(AP200=0,0,(AP199*AP200+AP201*AP202*6)/AP200)</f>
        <v>0</v>
      </c>
      <c r="AQ198" s="2846">
        <f>IF(AQ200=0,0,(AQ199*AQ200+AQ201*AQ202*6)/AQ200)</f>
        <v>0</v>
      </c>
      <c r="AR198" s="1093">
        <f>IF(AP198=0,0,(AQ198-AP198)/AP198*100)</f>
        <v>0</v>
      </c>
      <c r="AS198" s="2846">
        <f>IF(AS200=0,0,(AS199*AS200+AS201*AS202*6)/AS200)</f>
        <v>0</v>
      </c>
      <c r="AT198" s="2846">
        <f>IF(AT200=0,0,(AT199*AT200+AT201*AT202*6)/AT200)</f>
        <v>0</v>
      </c>
      <c r="AU198" s="1093">
        <f>IF(AS198=0,0,(AT198-AS198)/AS198*100)</f>
        <v>0</v>
      </c>
      <c r="AV198" s="2846">
        <f>IF(AV200=0,0,(AV199*AV200+AV201*AV202*6)/AV200)</f>
        <v>0</v>
      </c>
      <c r="AW198" s="2846">
        <f>IF(AW200=0,0,(AW199*AW200+AW201*AW202*6)/AW200)</f>
        <v>0</v>
      </c>
      <c r="AX198" s="1093">
        <f>IF(AV198=0,0,(AW198-AV198)/AV198*100)</f>
        <v>0</v>
      </c>
      <c r="AY198" s="2846">
        <f>IF(AY200=0,0,(AY199*AY200+AY201*AY202*6)/AY200)</f>
        <v>0</v>
      </c>
      <c r="AZ198" s="2846">
        <f>IF(AZ200=0,0,(AZ199*AZ200+AZ201*AZ202*6)/AZ200)</f>
        <v>0</v>
      </c>
      <c r="BA198" s="1093">
        <f>IF(AY198=0,0,(AZ198-AY198)/AY198*100)</f>
        <v>0</v>
      </c>
      <c r="BB198" s="2846">
        <f>IF(BB200=0,0,(BB199*BB200+BB201*BB202*6)/BB200)</f>
        <v>0</v>
      </c>
      <c r="BC198" s="2846">
        <f>IF(BC200=0,0,(BC199*BC200+BC201*BC202*6)/BC200)</f>
        <v>0</v>
      </c>
      <c r="BD198" s="1093">
        <f>IF(BB198=0,0,(BC198-BB198)/BB198*100)</f>
        <v>0</v>
      </c>
      <c r="BE198" s="2846">
        <f>IF(BE200=0,0,(BE199*BE200+BE201*BE202*6)/BE200)</f>
        <v>0</v>
      </c>
      <c r="BF198" s="2846">
        <f>IF(BF200=0,0,(BF199*BF200+BF201*BF202*6)/BF200)</f>
        <v>0</v>
      </c>
      <c r="BG198" s="1093">
        <f>IF(BE198=0,0,(BF198-BE198)/BE198*100)</f>
        <v>0</v>
      </c>
      <c r="BH198" s="2846">
        <f>IF(BH200=0,0,(BH199*BH200+BH201*BH202*6)/BH200)</f>
        <v>0</v>
      </c>
      <c r="BI198" s="2846">
        <f>IF(BI200=0,0,(BI199*BI200+BI201*BI202*6)/BI200)</f>
        <v>0</v>
      </c>
      <c r="BJ198" s="1093">
        <f>IF(BH198=0,0,(BI198-BH198)/BH198*100)</f>
        <v>0</v>
      </c>
      <c r="BK198" s="2846">
        <f>IF(BK200=0,0,(BK199*BK200+BK201*BK202*6)/BK200)</f>
        <v>0</v>
      </c>
      <c r="BL198" s="2846">
        <f>IF(BL200=0,0,(BL199*BL200+BL201*BL202*6)/BL200)</f>
        <v>0</v>
      </c>
      <c r="BM198" s="1093">
        <f>IF(BK198=0,0,(BL198-BK198)/BK198*100)</f>
        <v>0</v>
      </c>
      <c r="BN198" s="2846">
        <f>IF(BN200=0,0,(BN199*BN200+BN201*BN202*6)/BN200)</f>
        <v>0</v>
      </c>
      <c r="BO198" s="2846">
        <f>IF(BO200=0,0,(BO199*BO200+BO201*BO202*6)/BO200)</f>
        <v>0</v>
      </c>
      <c r="BP198" s="1093">
        <f>IF(BN198=0,0,(BO198-BN198)/BN198*100)</f>
        <v>0</v>
      </c>
      <c r="BQ198" s="2846">
        <f>IF(BQ200=0,0,(BQ199*BQ200+BQ201*BQ202*6)/BQ200)</f>
        <v>0</v>
      </c>
      <c r="BR198" s="2846">
        <f>IF(BR200=0,0,(BR199*BR200+BR201*BR202*6)/BR200)</f>
        <v>0</v>
      </c>
      <c r="BS198" s="1093">
        <f>IF(BQ198=0,0,(BR198-BQ198)/BQ198*100)</f>
        <v>0</v>
      </c>
      <c r="BT198" s="2846">
        <f>IF(BT200=0,0,(BT199*BT200+BT201*BT202*6)/BT200)</f>
        <v>0</v>
      </c>
      <c r="BU198" s="2846">
        <f>IF(BU200=0,0,(BU199*BU200+BU201*BU202*6)/BU200)</f>
        <v>0</v>
      </c>
      <c r="BV198" s="1093">
        <f>IF(BT198=0,0,(BU198-BT198)/BT198*100)</f>
        <v>0</v>
      </c>
      <c r="BW198" s="2846">
        <f>IF(BW200=0,0,(BW199*BW200+BW201*BW202*6)/BW200)</f>
        <v>0</v>
      </c>
      <c r="BX198" s="2846">
        <f>IF(BX200=0,0,(BX199*BX200+BX201*BX202*6)/BX200)</f>
        <v>0</v>
      </c>
      <c r="BY198" s="1093">
        <f>IF(BW198=0,0,(BX198-BW198)/BW198*100)</f>
        <v>0</v>
      </c>
      <c r="BZ198" s="2846">
        <f>IF(BZ200=0,0,(BZ199*BZ200+BZ201*BZ202*6)/BZ200)</f>
        <v>0</v>
      </c>
      <c r="CA198" s="2846">
        <f>IF(CA200=0,0,(CA199*CA200+CA201*CA202*6)/CA200)</f>
        <v>0</v>
      </c>
      <c r="CB198" s="1093">
        <f>IF(BZ198=0,0,(CA198-BZ198)/BZ198*100)</f>
        <v>0</v>
      </c>
      <c r="CC198" s="2846">
        <f>IF(CC200=0,0,(CC199*CC200+CC201*CC202*6)/CC200)</f>
        <v>0</v>
      </c>
      <c r="CD198" s="2846">
        <f>IF(CD200=0,0,(CD199*CD200+CD201*CD202*6)/CD200)</f>
        <v>0</v>
      </c>
      <c r="CE198" s="1093">
        <f>IF(CC198=0,0,(CD198-CC198)/CC198*100)</f>
        <v>0</v>
      </c>
      <c r="CF198" s="2846">
        <f>IF(CF200=0,0,(CF199*CF200+CF201*CF202*6)/CF200)</f>
        <v>0</v>
      </c>
      <c r="CG198" s="2846">
        <f>IF(CG200=0,0,(CG199*CG200+CG201*CG202*6)/CG200)</f>
        <v>0</v>
      </c>
      <c r="CH198" s="1093">
        <f>IF(CF198=0,0,(CG198-CF198)/CF198*100)</f>
        <v>0</v>
      </c>
      <c r="CI198" s="2846">
        <f>IF(CI200=0,0,(CI199*CI200+CI201*CI202*6)/CI200)</f>
        <v>0</v>
      </c>
      <c r="CJ198" s="2846">
        <f>IF(CJ200=0,0,(CJ199*CJ200+CJ201*CJ202*6)/CJ200)</f>
        <v>0</v>
      </c>
      <c r="CK198" s="1093">
        <f>IF(CI198=0,0,(CJ198-CI198)/CI198*100)</f>
        <v>0</v>
      </c>
      <c r="CL198" s="2846">
        <f>IF(CL200=0,0,(CL199*CL200+CL201*CL202*6)/CL200)</f>
        <v>0</v>
      </c>
      <c r="CM198" s="2846">
        <f>IF(CM200=0,0,(CM199*CM200+CM201*CM202*6)/CM200)</f>
        <v>0</v>
      </c>
      <c r="CN198" s="1093">
        <f>IF(CL198=0,0,(CM198-CL198)/CL198*100)</f>
        <v>0</v>
      </c>
      <c r="CO198" s="2846">
        <f>IF(CO200=0,0,(CO199*CO200+CO201*CO202*6)/CO200)</f>
        <v>0</v>
      </c>
      <c r="CP198" s="2846">
        <f>IF(CP200=0,0,(CP199*CP200+CP201*CP202*6)/CP200)</f>
        <v>0</v>
      </c>
      <c r="CQ198" s="1093">
        <f>IF(CO198=0,0,(CP198-CO198)/CO198*100)</f>
        <v>0</v>
      </c>
      <c r="CR198" s="2846">
        <f>IF(CR200=0,0,(CR199*CR200+CR201*CR202*6)/CR200)</f>
        <v>0</v>
      </c>
      <c r="CS198" s="2846">
        <f>IF(CS200=0,0,(CS199*CS200+CS201*CS202*6)/CS200)</f>
        <v>0</v>
      </c>
      <c r="CT198" s="1093">
        <f>IF(CR198=0,0,(CS198-CR198)/CR198*100)</f>
        <v>0</v>
      </c>
      <c r="CU198" s="2846">
        <f>IF(CU200=0,0,(CU199*CU200+CU201*CU202*6)/CU200)</f>
        <v>0</v>
      </c>
      <c r="CV198" s="2846">
        <f>IF(CV200=0,0,(CV199*CV200+CV201*CV202*6)/CV200)</f>
        <v>0</v>
      </c>
      <c r="CW198" s="1093">
        <f>IF(CU198=0,0,(CV198-CU198)/CU198*100)</f>
        <v>0</v>
      </c>
      <c r="CX198" s="2846">
        <f>IF(CX200=0,0,(CX199*CX200+CX201*CX202*6)/CX200)</f>
        <v>0</v>
      </c>
      <c r="CY198" s="2846">
        <f>IF(CY200=0,0,(CY199*CY200+CY201*CY202*6)/CY200)</f>
        <v>0</v>
      </c>
      <c r="CZ198" s="1093">
        <f>IF(CX198=0,0,(CY198-CX198)/CX198*100)</f>
        <v>0</v>
      </c>
      <c r="DA198" s="2846">
        <f>IF(DA200=0,0,(DA199*DA200+DA201*DA202*6)/DA200)</f>
        <v>0</v>
      </c>
      <c r="DB198" s="2846">
        <f>IF(DB200=0,0,(DB199*DB200+DB201*DB202*6)/DB200)</f>
        <v>0</v>
      </c>
      <c r="DC198" s="1093">
        <f>IF(DA198=0,0,(DB198-DA198)/DA198*100)</f>
        <v>0</v>
      </c>
      <c r="DD198" s="2846">
        <f>IF(DD200=0,0,(DD199*DD200+DD201*DD202*6)/DD200)</f>
        <v>0</v>
      </c>
      <c r="DE198" s="2846">
        <f>IF(DE200=0,0,(DE199*DE200+DE201*DE202*6)/DE200)</f>
        <v>0</v>
      </c>
      <c r="DF198" s="1093">
        <f>IF(DD198=0,0,(DE198-DD198)/DD198*100)</f>
        <v>0</v>
      </c>
      <c r="DG198" s="2846">
        <f>IF(DG200=0,0,(DG199*DG200+DG201*DG202*6)/DG200)</f>
        <v>0</v>
      </c>
      <c r="DH198" s="2846">
        <f>IF(DH200=0,0,(DH199*DH200+DH201*DH202*6)/DH200)</f>
        <v>0</v>
      </c>
      <c r="DI198" s="1093">
        <f>IF(DG198=0,0,(DH198-DG198)/DG198*100)</f>
        <v>0</v>
      </c>
      <c r="DJ198" s="2846">
        <f>IF(DJ200=0,0,(DJ199*DJ200+DJ201*DJ202*6)/DJ200)</f>
        <v>0</v>
      </c>
      <c r="DK198" s="2846">
        <f>IF(DK200=0,0,(DK199*DK200+DK201*DK202*6)/DK200)</f>
        <v>0</v>
      </c>
      <c r="DL198" s="1093">
        <f>IF(DJ198=0,0,(DK198-DJ198)/DJ198*100)</f>
        <v>0</v>
      </c>
      <c r="DM198" s="2846">
        <f>IF(DM200=0,0,(DM199*DM200+DM201*DM202*6)/DM200)</f>
        <v>0</v>
      </c>
      <c r="DN198" s="2846">
        <f>IF(DN200=0,0,(DN199*DN200+DN201*DN202*6)/DN200)</f>
        <v>0</v>
      </c>
      <c r="DO198" s="1093">
        <f>IF(DM198=0,0,(DN198-DM198)/DM198*100)</f>
        <v>0</v>
      </c>
      <c r="DP198" s="2846">
        <f>IF(DP200=0,0,(DP199*DP200+DP201*DP202*6)/DP200)</f>
        <v>0</v>
      </c>
      <c r="DQ198" s="2846">
        <f>IF(DQ200=0,0,(DQ199*DQ200+DQ201*DQ202*6)/DQ200)</f>
        <v>0</v>
      </c>
      <c r="DR198" s="1093">
        <f>IF(DP198=0,0,(DQ198-DP198)/DP198*100)</f>
        <v>0</v>
      </c>
      <c r="DS198" s="2846">
        <f>IF(DS200=0,0,(DS199*DS200+DS201*DS202*6)/DS200)</f>
        <v>0</v>
      </c>
      <c r="DT198" s="2846">
        <f>IF(DT200=0,0,(DT199*DT200+DT201*DT202*6)/DT200)</f>
        <v>0</v>
      </c>
      <c r="DU198" s="1093">
        <f>IF(DS198=0,0,(DT198-DS198)/DS198*100)</f>
        <v>0</v>
      </c>
      <c r="DV198" s="2846">
        <f>IF(DV200=0,0,(DV199*DV200+DV201*DV202*6)/DV200)</f>
        <v>0</v>
      </c>
      <c r="DW198" s="2846">
        <f>IF(DW200=0,0,(DW199*DW200+DW201*DW202*6)/DW200)</f>
        <v>0</v>
      </c>
      <c r="DX198" s="1093">
        <f>IF(DV198=0,0,(DW198-DV198)/DV198*100)</f>
        <v>0</v>
      </c>
      <c r="DY198" s="2846">
        <f>IF(DY200=0,0,(DY199*DY200+DY201*DY202*6)/DY200)</f>
        <v>0</v>
      </c>
      <c r="DZ198" s="2846">
        <f>IF(DZ200=0,0,(DZ199*DZ200+DZ201*DZ202*6)/DZ200)</f>
        <v>0</v>
      </c>
      <c r="EA198" s="1093">
        <f>IF(DY198=0,0,(DZ198-DY198)/DY198*100)</f>
        <v>0</v>
      </c>
      <c r="EB198" s="2846">
        <f>IF(EB200=0,0,(EB199*EB200+EB201*EB202*6)/EB200)</f>
        <v>0</v>
      </c>
      <c r="EC198" s="2846">
        <f>IF(EC200=0,0,(EC199*EC200+EC201*EC202*6)/EC200)</f>
        <v>0</v>
      </c>
      <c r="ED198" s="1093">
        <f>IF(EB198=0,0,(EC198-EB198)/EB198*100)</f>
        <v>0</v>
      </c>
      <c r="EE198" s="2846">
        <f>IF(EE200=0,0,(EE199*EE200+EE201*EE202*6)/EE200)</f>
        <v>0</v>
      </c>
      <c r="EF198" s="2846">
        <f>IF(EF200=0,0,(EF199*EF200+EF201*EF202*6)/EF200)</f>
        <v>0</v>
      </c>
      <c r="EG198" s="1093">
        <f>IF(EE198=0,0,(EF198-EE198)/EE198*100)</f>
        <v>0</v>
      </c>
      <c r="EH198" s="2846">
        <f>IF(EH200=0,0,(EH199*EH200+EH201*EH202*6)/EH200)</f>
        <v>0</v>
      </c>
      <c r="EI198" s="2846">
        <f>IF(EI200=0,0,(EI199*EI200+EI201*EI202*6)/EI200)</f>
        <v>0</v>
      </c>
      <c r="EJ198" s="1093">
        <f>IF(EH198=0,0,(EI198-EH198)/EH198*100)</f>
        <v>0</v>
      </c>
      <c r="EK198" s="2846">
        <f>IF(EK200=0,0,(EK199*EK200+EK201*EK202*6)/EK200)</f>
        <v>0</v>
      </c>
      <c r="EL198" s="2846">
        <f>IF(EL200=0,0,(EL199*EL200+EL201*EL202*6)/EL200)</f>
        <v>0</v>
      </c>
      <c r="EM198" s="1093">
        <f>IF(EK198=0,0,(EL198-EK198)/EK198*100)</f>
        <v>0</v>
      </c>
      <c r="EN198" s="2846">
        <f>IF(EN200=0,0,(EN199*EN200+EN201*EN202*6)/EN200)</f>
        <v>0</v>
      </c>
      <c r="EO198" s="2846">
        <f>IF(EO200=0,0,(EO199*EO200+EO201*EO202*6)/EO200)</f>
        <v>0</v>
      </c>
      <c r="EP198" s="1093">
        <f>IF(EN198=0,0,(EO198-EN198)/EN198*100)</f>
        <v>0</v>
      </c>
      <c r="EQ198" s="2846">
        <f>IF(EQ200=0,0,(EQ199*EQ200+EQ201*EQ202*6)/EQ200)</f>
        <v>0</v>
      </c>
      <c r="ER198" s="2846">
        <f>IF(ER200=0,0,(ER199*ER200+ER201*ER202*6)/ER200)</f>
        <v>0</v>
      </c>
      <c r="ES198" s="1093">
        <f>IF(EQ198=0,0,(ER198-EQ198)/EQ198*100)</f>
        <v>0</v>
      </c>
      <c r="ET198" s="2846">
        <f>IF(ET200=0,0,(ET199*ET200+ET201*ET202*6)/ET200)</f>
        <v>0</v>
      </c>
      <c r="EU198" s="2846">
        <f>IF(EU200=0,0,(EU199*EU200+EU201*EU202*6)/EU200)</f>
        <v>0</v>
      </c>
      <c r="EV198" s="1093">
        <f>IF(ET198=0,0,(EU198-ET198)/ET198*100)</f>
        <v>0</v>
      </c>
      <c r="EW198" s="2846">
        <f>IF(EW200=0,0,(EW199*EW200+EW201*EW202*6)/EW200)</f>
        <v>0</v>
      </c>
      <c r="EX198" s="2846">
        <f>IF(EX200=0,0,(EX199*EX200+EX201*EX202*6)/EX200)</f>
        <v>0</v>
      </c>
      <c r="EY198" s="1093">
        <f>IF(EW198=0,0,(EX198-EW198)/EW198*100)</f>
        <v>0</v>
      </c>
      <c r="EZ198" s="2846">
        <f>IF(EZ200=0,0,(EZ199*EZ200+EZ201*EZ202*6)/EZ200)</f>
        <v>0</v>
      </c>
      <c r="FA198" s="2846">
        <f>IF(FA200=0,0,(FA199*FA200+FA201*FA202*6)/FA200)</f>
        <v>0</v>
      </c>
      <c r="FB198" s="1093">
        <f>IF(EZ198=0,0,(FA198-EZ198)/EZ198*100)</f>
        <v>0</v>
      </c>
      <c r="FC198" s="2846">
        <f>IF(FC200=0,0,(FC199*FC200+FC201*FC202*6)/FC200)</f>
        <v>0</v>
      </c>
      <c r="FD198" s="2846">
        <f>IF(FD200=0,0,(FD199*FD200+FD201*FD202*6)/FD200)</f>
        <v>0</v>
      </c>
      <c r="FE198" s="1093">
        <f>IF(FC198=0,0,(FD198-FC198)/FC198*100)</f>
        <v>0</v>
      </c>
      <c r="FF198" s="2846">
        <f>IF(FF200=0,0,(FF199*FF200+FF201*FF202*6)/FF200)</f>
        <v>0</v>
      </c>
      <c r="FG198" s="2846">
        <f>IF(FG200=0,0,(FG199*FG200+FG201*FG202*6)/FG200)</f>
        <v>0</v>
      </c>
      <c r="FH198" s="1093">
        <f>IF(FF198=0,0,(FG198-FF198)/FF198*100)</f>
        <v>0</v>
      </c>
      <c r="FI198" s="2846">
        <f>IF(FI200=0,0,(FI199*FI200+FI201*FI202*6)/FI200)</f>
        <v>0</v>
      </c>
      <c r="FJ198" s="2846">
        <f>IF(FJ200=0,0,(FJ199*FJ200+FJ201*FJ202*6)/FJ200)</f>
        <v>0</v>
      </c>
      <c r="FK198" s="1093">
        <f>IF(FI198=0,0,(FJ198-FI198)/FI198*100)</f>
        <v>0</v>
      </c>
      <c r="FL198" s="2846">
        <f>IF(FL200=0,0,(FL199*FL200+FL201*FL202*6)/FL200)</f>
        <v>0</v>
      </c>
      <c r="FM198" s="2846">
        <f>IF(FM200=0,0,(FM199*FM200+FM201*FM202*6)/FM200)</f>
        <v>0</v>
      </c>
      <c r="FN198" s="1093">
        <f>IF(FL198=0,0,(FM198-FL198)/FL198*100)</f>
        <v>0</v>
      </c>
      <c r="FO198" s="2846">
        <f>IF(FO200=0,0,(FO199*FO200+FO201*FO202*6)/FO200)</f>
        <v>0</v>
      </c>
      <c r="FP198" s="2846">
        <f>IF(FP200=0,0,(FP199*FP200+FP201*FP202*6)/FP200)</f>
        <v>0</v>
      </c>
      <c r="FQ198" s="1093">
        <f>IF(FO198=0,0,(FP198-FO198)/FO198*100)</f>
        <v>0</v>
      </c>
      <c r="FR198" s="2846">
        <f>IF(FR200=0,0,(FR199*FR200+FR201*FR202*6)/FR200)</f>
        <v>0</v>
      </c>
      <c r="FS198" s="2846">
        <f>IF(FS200=0,0,(FS199*FS200+FS201*FS202*6)/FS200)</f>
        <v>0</v>
      </c>
      <c r="FT198" s="1093">
        <f>IF(FR198=0,0,(FS198-FR198)/FR198*100)</f>
        <v>0</v>
      </c>
      <c r="FU198" s="2846">
        <f>IF(FU200=0,0,(FU199*FU200+FU201*FU202*6)/FU200)</f>
        <v>0</v>
      </c>
      <c r="FV198" s="2846">
        <f>IF(FV200=0,0,(FV199*FV200+FV201*FV202*6)/FV200)</f>
        <v>0</v>
      </c>
      <c r="FW198" s="1093">
        <f>IF(FU198=0,0,(FV198-FU198)/FU198*100)</f>
        <v>0</v>
      </c>
      <c r="FX198" s="1304"/>
      <c r="FY198" s="1304"/>
      <c r="FZ198" s="1055" t="s">
        <v>2404</v>
      </c>
      <c r="GA198" s="1015" t="s">
        <v>1594</v>
      </c>
      <c r="GB198" s="1057" cm="1" t="str">
        <f t="array" ref="GB198:GB198">AB197</f>
        <v>0</v>
      </c>
      <c r="GC198" s="1305"/>
      <c r="GD198" s="1305"/>
    </row>
    <row s="1834" customFormat="1" customHeight="1" ht="14.25" hidden="1">
      <c r="A199" s="493"/>
      <c r="B199" s="925" cm="1" t="str">
        <f t="array" ref="B199:B199">B198</f>
        <v>false</v>
      </c>
      <c r="C199" s="493"/>
      <c r="D199" s="493"/>
      <c r="E199" s="840">
        <v>15</v>
      </c>
      <c r="F199" s="50" cm="1" t="str">
        <f t="array" ref="F199:F199">OFFSET(E199,-1,1)</f>
        <v>2</v>
      </c>
      <c r="G199" s="493"/>
      <c r="H199" s="493" t="s">
        <v>2299</v>
      </c>
      <c r="I199" s="493" cm="1" t="str">
        <f t="array" ref="I199:I199">I198</f>
        <v>0</v>
      </c>
      <c r="J199" s="493"/>
      <c r="K199" s="493"/>
      <c r="L199" s="493"/>
      <c r="M199" s="493"/>
      <c r="N199" s="493"/>
      <c r="O199" s="493"/>
      <c r="P199" s="493"/>
      <c r="Q199" s="493"/>
      <c r="R199" s="493"/>
      <c r="S199" s="493"/>
      <c r="T199" s="465" cm="1" t="str">
        <f t="array" ref="T199:T199">T198</f>
        <v>false</v>
      </c>
      <c r="U199" s="493"/>
      <c r="V199" s="493"/>
      <c r="W199" s="493"/>
      <c r="X199" s="1596"/>
      <c r="Y199" s="1596"/>
      <c r="Z199" s="1545"/>
      <c r="AA199" s="1494"/>
      <c r="AB199" s="904" t="str">
        <f>"ставка платы за "&amp;IF(Q155="Водоснабжение","потребление 1 куб.м холодной воды","объем принятых сточных вод")</f>
        <v>ставка платы за потребление 1 куб.м холодной воды</v>
      </c>
      <c r="AC199" s="864" t="s">
        <v>2337</v>
      </c>
      <c r="AD199" s="2846"/>
      <c r="AE199" s="2846"/>
      <c r="AF199" s="1093">
        <f>IF(AD199=0,0,(AE199-AD199)/AD199*100)</f>
        <v>0</v>
      </c>
      <c r="AG199" s="2846"/>
      <c r="AH199" s="2846"/>
      <c r="AI199" s="1093">
        <f>IF(AG199=0,0,(AH199-AG199)/AG199*100)</f>
        <v>0</v>
      </c>
      <c r="AJ199" s="2846"/>
      <c r="AK199" s="2846"/>
      <c r="AL199" s="1093">
        <f>IF(AJ199=0,0,(AK199-AJ199)/AJ199*100)</f>
        <v>0</v>
      </c>
      <c r="AM199" s="2846"/>
      <c r="AN199" s="2846"/>
      <c r="AO199" s="1093">
        <f>IF(AM199=0,0,(AN199-AM199)/AM199*100)</f>
        <v>0</v>
      </c>
      <c r="AP199" s="2846"/>
      <c r="AQ199" s="2846"/>
      <c r="AR199" s="1093">
        <f>IF(AP199=0,0,(AQ199-AP199)/AP199*100)</f>
        <v>0</v>
      </c>
      <c r="AS199" s="2846"/>
      <c r="AT199" s="2846"/>
      <c r="AU199" s="1093">
        <f>IF(AS199=0,0,(AT199-AS199)/AS199*100)</f>
        <v>0</v>
      </c>
      <c r="AV199" s="2846"/>
      <c r="AW199" s="2846"/>
      <c r="AX199" s="1093">
        <f>IF(AV199=0,0,(AW199-AV199)/AV199*100)</f>
        <v>0</v>
      </c>
      <c r="AY199" s="2846"/>
      <c r="AZ199" s="2846"/>
      <c r="BA199" s="1093">
        <f>IF(AY199=0,0,(AZ199-AY199)/AY199*100)</f>
        <v>0</v>
      </c>
      <c r="BB199" s="2846"/>
      <c r="BC199" s="2846"/>
      <c r="BD199" s="1093">
        <f>IF(BB199=0,0,(BC199-BB199)/BB199*100)</f>
        <v>0</v>
      </c>
      <c r="BE199" s="2846"/>
      <c r="BF199" s="2846"/>
      <c r="BG199" s="1093">
        <f>IF(BE199=0,0,(BF199-BE199)/BE199*100)</f>
        <v>0</v>
      </c>
      <c r="BH199" s="2846"/>
      <c r="BI199" s="2846"/>
      <c r="BJ199" s="1093">
        <f>IF(BH199=0,0,(BI199-BH199)/BH199*100)</f>
        <v>0</v>
      </c>
      <c r="BK199" s="2846"/>
      <c r="BL199" s="2846"/>
      <c r="BM199" s="1093">
        <f>IF(BK199=0,0,(BL199-BK199)/BK199*100)</f>
        <v>0</v>
      </c>
      <c r="BN199" s="2846"/>
      <c r="BO199" s="2846"/>
      <c r="BP199" s="1093">
        <f>IF(BN199=0,0,(BO199-BN199)/BN199*100)</f>
        <v>0</v>
      </c>
      <c r="BQ199" s="2846"/>
      <c r="BR199" s="2846"/>
      <c r="BS199" s="1093">
        <f>IF(BQ199=0,0,(BR199-BQ199)/BQ199*100)</f>
        <v>0</v>
      </c>
      <c r="BT199" s="2846"/>
      <c r="BU199" s="2846"/>
      <c r="BV199" s="1093">
        <f>IF(BT199=0,0,(BU199-BT199)/BT199*100)</f>
        <v>0</v>
      </c>
      <c r="BW199" s="2846"/>
      <c r="BX199" s="2846"/>
      <c r="BY199" s="1093">
        <f>IF(BW199=0,0,(BX199-BW199)/BW199*100)</f>
        <v>0</v>
      </c>
      <c r="BZ199" s="2846"/>
      <c r="CA199" s="2846"/>
      <c r="CB199" s="1093">
        <f>IF(BZ199=0,0,(CA199-BZ199)/BZ199*100)</f>
        <v>0</v>
      </c>
      <c r="CC199" s="2846"/>
      <c r="CD199" s="2846"/>
      <c r="CE199" s="1093">
        <f>IF(CC199=0,0,(CD199-CC199)/CC199*100)</f>
        <v>0</v>
      </c>
      <c r="CF199" s="2846"/>
      <c r="CG199" s="2846"/>
      <c r="CH199" s="1093">
        <f>IF(CF199=0,0,(CG199-CF199)/CF199*100)</f>
        <v>0</v>
      </c>
      <c r="CI199" s="2846"/>
      <c r="CJ199" s="2846"/>
      <c r="CK199" s="1093">
        <f>IF(CI199=0,0,(CJ199-CI199)/CI199*100)</f>
        <v>0</v>
      </c>
      <c r="CL199" s="2846"/>
      <c r="CM199" s="2846"/>
      <c r="CN199" s="1093">
        <f>IF(CL199=0,0,(CM199-CL199)/CL199*100)</f>
        <v>0</v>
      </c>
      <c r="CO199" s="2846"/>
      <c r="CP199" s="2846"/>
      <c r="CQ199" s="1093">
        <f>IF(CO199=0,0,(CP199-CO199)/CO199*100)</f>
        <v>0</v>
      </c>
      <c r="CR199" s="2846"/>
      <c r="CS199" s="2846"/>
      <c r="CT199" s="1093">
        <f>IF(CR199=0,0,(CS199-CR199)/CR199*100)</f>
        <v>0</v>
      </c>
      <c r="CU199" s="2846"/>
      <c r="CV199" s="2846"/>
      <c r="CW199" s="1093">
        <f>IF(CU199=0,0,(CV199-CU199)/CU199*100)</f>
        <v>0</v>
      </c>
      <c r="CX199" s="2846"/>
      <c r="CY199" s="2846"/>
      <c r="CZ199" s="1093">
        <f>IF(CX199=0,0,(CY199-CX199)/CX199*100)</f>
        <v>0</v>
      </c>
      <c r="DA199" s="2846"/>
      <c r="DB199" s="2846"/>
      <c r="DC199" s="1093">
        <f>IF(DA199=0,0,(DB199-DA199)/DA199*100)</f>
        <v>0</v>
      </c>
      <c r="DD199" s="2846"/>
      <c r="DE199" s="2846"/>
      <c r="DF199" s="1093">
        <f>IF(DD199=0,0,(DE199-DD199)/DD199*100)</f>
        <v>0</v>
      </c>
      <c r="DG199" s="2846"/>
      <c r="DH199" s="2846"/>
      <c r="DI199" s="1093">
        <f>IF(DG199=0,0,(DH199-DG199)/DG199*100)</f>
        <v>0</v>
      </c>
      <c r="DJ199" s="2846"/>
      <c r="DK199" s="2846"/>
      <c r="DL199" s="1093">
        <f>IF(DJ199=0,0,(DK199-DJ199)/DJ199*100)</f>
        <v>0</v>
      </c>
      <c r="DM199" s="2846"/>
      <c r="DN199" s="2846"/>
      <c r="DO199" s="1093">
        <f>IF(DM199=0,0,(DN199-DM199)/DM199*100)</f>
        <v>0</v>
      </c>
      <c r="DP199" s="2846"/>
      <c r="DQ199" s="2846"/>
      <c r="DR199" s="1093">
        <f>IF(DP199=0,0,(DQ199-DP199)/DP199*100)</f>
        <v>0</v>
      </c>
      <c r="DS199" s="2846"/>
      <c r="DT199" s="2846"/>
      <c r="DU199" s="1093">
        <f>IF(DS199=0,0,(DT199-DS199)/DS199*100)</f>
        <v>0</v>
      </c>
      <c r="DV199" s="2846"/>
      <c r="DW199" s="2846"/>
      <c r="DX199" s="1093">
        <f>IF(DV199=0,0,(DW199-DV199)/DV199*100)</f>
        <v>0</v>
      </c>
      <c r="DY199" s="2846"/>
      <c r="DZ199" s="2846"/>
      <c r="EA199" s="1093">
        <f>IF(DY199=0,0,(DZ199-DY199)/DY199*100)</f>
        <v>0</v>
      </c>
      <c r="EB199" s="2846"/>
      <c r="EC199" s="2846"/>
      <c r="ED199" s="1093">
        <f>IF(EB199=0,0,(EC199-EB199)/EB199*100)</f>
        <v>0</v>
      </c>
      <c r="EE199" s="2846"/>
      <c r="EF199" s="2846"/>
      <c r="EG199" s="1093">
        <f>IF(EE199=0,0,(EF199-EE199)/EE199*100)</f>
        <v>0</v>
      </c>
      <c r="EH199" s="2846"/>
      <c r="EI199" s="2846"/>
      <c r="EJ199" s="1093">
        <f>IF(EH199=0,0,(EI199-EH199)/EH199*100)</f>
        <v>0</v>
      </c>
      <c r="EK199" s="2846"/>
      <c r="EL199" s="2846"/>
      <c r="EM199" s="1093">
        <f>IF(EK199=0,0,(EL199-EK199)/EK199*100)</f>
        <v>0</v>
      </c>
      <c r="EN199" s="2846"/>
      <c r="EO199" s="2846"/>
      <c r="EP199" s="1093">
        <f>IF(EN199=0,0,(EO199-EN199)/EN199*100)</f>
        <v>0</v>
      </c>
      <c r="EQ199" s="2846"/>
      <c r="ER199" s="2846"/>
      <c r="ES199" s="1093">
        <f>IF(EQ199=0,0,(ER199-EQ199)/EQ199*100)</f>
        <v>0</v>
      </c>
      <c r="ET199" s="2846"/>
      <c r="EU199" s="2846"/>
      <c r="EV199" s="1093">
        <f>IF(ET199=0,0,(EU199-ET199)/ET199*100)</f>
        <v>0</v>
      </c>
      <c r="EW199" s="2846"/>
      <c r="EX199" s="2846"/>
      <c r="EY199" s="1093">
        <f>IF(EW199=0,0,(EX199-EW199)/EW199*100)</f>
        <v>0</v>
      </c>
      <c r="EZ199" s="2846"/>
      <c r="FA199" s="2846"/>
      <c r="FB199" s="1093">
        <f>IF(EZ199=0,0,(FA199-EZ199)/EZ199*100)</f>
        <v>0</v>
      </c>
      <c r="FC199" s="2846"/>
      <c r="FD199" s="2846"/>
      <c r="FE199" s="1093">
        <f>IF(FC199=0,0,(FD199-FC199)/FC199*100)</f>
        <v>0</v>
      </c>
      <c r="FF199" s="2846"/>
      <c r="FG199" s="2846"/>
      <c r="FH199" s="1093">
        <f>IF(FF199=0,0,(FG199-FF199)/FF199*100)</f>
        <v>0</v>
      </c>
      <c r="FI199" s="2846"/>
      <c r="FJ199" s="2846"/>
      <c r="FK199" s="1093">
        <f>IF(FI199=0,0,(FJ199-FI199)/FI199*100)</f>
        <v>0</v>
      </c>
      <c r="FL199" s="2846"/>
      <c r="FM199" s="2846"/>
      <c r="FN199" s="1093">
        <f>IF(FL199=0,0,(FM199-FL199)/FL199*100)</f>
        <v>0</v>
      </c>
      <c r="FO199" s="2846"/>
      <c r="FP199" s="2846"/>
      <c r="FQ199" s="1093">
        <f>IF(FO199=0,0,(FP199-FO199)/FO199*100)</f>
        <v>0</v>
      </c>
      <c r="FR199" s="2846"/>
      <c r="FS199" s="2846"/>
      <c r="FT199" s="1093">
        <f>IF(FR199=0,0,(FS199-FR199)/FR199*100)</f>
        <v>0</v>
      </c>
      <c r="FU199" s="2846"/>
      <c r="FV199" s="2846"/>
      <c r="FW199" s="1093">
        <f>IF(FU199=0,0,(FV199-FU199)/FU199*100)</f>
        <v>0</v>
      </c>
      <c r="FX199" s="1304"/>
      <c r="FY199" s="1304"/>
      <c r="FZ199" s="1055" t="s">
        <v>2405</v>
      </c>
      <c r="GA199" s="1015" t="s">
        <v>1594</v>
      </c>
      <c r="GB199" s="1015" cm="1" t="str">
        <f t="array" ref="GB199:GB199">GB198</f>
        <v>0</v>
      </c>
      <c r="GC199" s="1305"/>
      <c r="GD199" s="1305"/>
    </row>
    <row s="1834" customFormat="1" customHeight="1" ht="14.25" hidden="1">
      <c r="A200" s="493"/>
      <c r="B200" s="925" cm="1" t="str">
        <f t="array" ref="B200:B200">B199</f>
        <v>false</v>
      </c>
      <c r="C200" s="493"/>
      <c r="D200" s="493"/>
      <c r="E200" s="840">
        <v>15</v>
      </c>
      <c r="F200" s="50" cm="1" t="str">
        <f t="array" ref="F200:F200">OFFSET(E200,-1,1)</f>
        <v>2</v>
      </c>
      <c r="G200" s="493"/>
      <c r="H200" s="493" t="s">
        <v>2374</v>
      </c>
      <c r="I200" s="493" cm="1" t="str">
        <f t="array" ref="I200:I200">I199</f>
        <v>0</v>
      </c>
      <c r="J200" s="493"/>
      <c r="K200" s="493"/>
      <c r="L200" s="493"/>
      <c r="M200" s="493"/>
      <c r="N200" s="493"/>
      <c r="O200" s="493"/>
      <c r="P200" s="493"/>
      <c r="Q200" s="493"/>
      <c r="R200" s="493"/>
      <c r="S200" s="493"/>
      <c r="T200" s="465" cm="1" t="str">
        <f t="array" ref="T200:T200">T199</f>
        <v>false</v>
      </c>
      <c r="U200" s="493"/>
      <c r="V200" s="493"/>
      <c r="W200" s="493"/>
      <c r="X200" s="1596"/>
      <c r="Y200" s="1596"/>
      <c r="Z200" s="1545"/>
      <c r="AA200" s="1494"/>
      <c r="AB200" s="904" t="str">
        <f>"объём "&amp;IF(Q155="Водоснабжение","потребления холодной воды","водоотведения")</f>
        <v>объём потребления холодной воды</v>
      </c>
      <c r="AC200" s="864" t="s">
        <v>1247</v>
      </c>
      <c r="AD200" s="5247"/>
      <c r="AE200" s="5247"/>
      <c r="AF200" s="1095">
        <f>IF(AD200=0,0,(AE200-AD200)/AD200*100)</f>
        <v>0</v>
      </c>
      <c r="AG200" s="5247"/>
      <c r="AH200" s="5247"/>
      <c r="AI200" s="1095">
        <f>IF(AG200=0,0,(AH200-AG200)/AG200*100)</f>
        <v>0</v>
      </c>
      <c r="AJ200" s="5247"/>
      <c r="AK200" s="5247"/>
      <c r="AL200" s="1095">
        <f>IF(AJ200=0,0,(AK200-AJ200)/AJ200*100)</f>
        <v>0</v>
      </c>
      <c r="AM200" s="5247"/>
      <c r="AN200" s="5247"/>
      <c r="AO200" s="1095">
        <f>IF(AM200=0,0,(AN200-AM200)/AM200*100)</f>
        <v>0</v>
      </c>
      <c r="AP200" s="5247"/>
      <c r="AQ200" s="5247"/>
      <c r="AR200" s="1095">
        <f>IF(AP200=0,0,(AQ200-AP200)/AP200*100)</f>
        <v>0</v>
      </c>
      <c r="AS200" s="5247"/>
      <c r="AT200" s="5247"/>
      <c r="AU200" s="1095">
        <f>IF(AS200=0,0,(AT200-AS200)/AS200*100)</f>
        <v>0</v>
      </c>
      <c r="AV200" s="5247"/>
      <c r="AW200" s="5247"/>
      <c r="AX200" s="1095">
        <f>IF(AV200=0,0,(AW200-AV200)/AV200*100)</f>
        <v>0</v>
      </c>
      <c r="AY200" s="5247"/>
      <c r="AZ200" s="5247"/>
      <c r="BA200" s="1095">
        <f>IF(AY200=0,0,(AZ200-AY200)/AY200*100)</f>
        <v>0</v>
      </c>
      <c r="BB200" s="5247"/>
      <c r="BC200" s="5247"/>
      <c r="BD200" s="1095">
        <f>IF(BB200=0,0,(BC200-BB200)/BB200*100)</f>
        <v>0</v>
      </c>
      <c r="BE200" s="5247"/>
      <c r="BF200" s="5247"/>
      <c r="BG200" s="1095">
        <f>IF(BE200=0,0,(BF200-BE200)/BE200*100)</f>
        <v>0</v>
      </c>
      <c r="BH200" s="5247"/>
      <c r="BI200" s="5247"/>
      <c r="BJ200" s="1095">
        <f>IF(BH200=0,0,(BI200-BH200)/BH200*100)</f>
        <v>0</v>
      </c>
      <c r="BK200" s="5247"/>
      <c r="BL200" s="5247"/>
      <c r="BM200" s="1095">
        <f>IF(BK200=0,0,(BL200-BK200)/BK200*100)</f>
        <v>0</v>
      </c>
      <c r="BN200" s="5247"/>
      <c r="BO200" s="5247"/>
      <c r="BP200" s="1095">
        <f>IF(BN200=0,0,(BO200-BN200)/BN200*100)</f>
        <v>0</v>
      </c>
      <c r="BQ200" s="5247"/>
      <c r="BR200" s="5247"/>
      <c r="BS200" s="1095">
        <f>IF(BQ200=0,0,(BR200-BQ200)/BQ200*100)</f>
        <v>0</v>
      </c>
      <c r="BT200" s="5247"/>
      <c r="BU200" s="5247"/>
      <c r="BV200" s="1095">
        <f>IF(BT200=0,0,(BU200-BT200)/BT200*100)</f>
        <v>0</v>
      </c>
      <c r="BW200" s="5247"/>
      <c r="BX200" s="5247"/>
      <c r="BY200" s="1095">
        <f>IF(BW200=0,0,(BX200-BW200)/BW200*100)</f>
        <v>0</v>
      </c>
      <c r="BZ200" s="5247"/>
      <c r="CA200" s="5247"/>
      <c r="CB200" s="1095">
        <f>IF(BZ200=0,0,(CA200-BZ200)/BZ200*100)</f>
        <v>0</v>
      </c>
      <c r="CC200" s="5247"/>
      <c r="CD200" s="5247"/>
      <c r="CE200" s="1095">
        <f>IF(CC200=0,0,(CD200-CC200)/CC200*100)</f>
        <v>0</v>
      </c>
      <c r="CF200" s="5247"/>
      <c r="CG200" s="5247"/>
      <c r="CH200" s="1095">
        <f>IF(CF200=0,0,(CG200-CF200)/CF200*100)</f>
        <v>0</v>
      </c>
      <c r="CI200" s="5247"/>
      <c r="CJ200" s="5247"/>
      <c r="CK200" s="1095">
        <f>IF(CI200=0,0,(CJ200-CI200)/CI200*100)</f>
        <v>0</v>
      </c>
      <c r="CL200" s="5247"/>
      <c r="CM200" s="5247"/>
      <c r="CN200" s="1095">
        <f>IF(CL200=0,0,(CM200-CL200)/CL200*100)</f>
        <v>0</v>
      </c>
      <c r="CO200" s="5247"/>
      <c r="CP200" s="5247"/>
      <c r="CQ200" s="1095">
        <f>IF(CO200=0,0,(CP200-CO200)/CO200*100)</f>
        <v>0</v>
      </c>
      <c r="CR200" s="5247"/>
      <c r="CS200" s="5247"/>
      <c r="CT200" s="1095">
        <f>IF(CR200=0,0,(CS200-CR200)/CR200*100)</f>
        <v>0</v>
      </c>
      <c r="CU200" s="5247"/>
      <c r="CV200" s="5247"/>
      <c r="CW200" s="1095">
        <f>IF(CU200=0,0,(CV200-CU200)/CU200*100)</f>
        <v>0</v>
      </c>
      <c r="CX200" s="5247"/>
      <c r="CY200" s="5247"/>
      <c r="CZ200" s="1095">
        <f>IF(CX200=0,0,(CY200-CX200)/CX200*100)</f>
        <v>0</v>
      </c>
      <c r="DA200" s="5247"/>
      <c r="DB200" s="5247"/>
      <c r="DC200" s="1095">
        <f>IF(DA200=0,0,(DB200-DA200)/DA200*100)</f>
        <v>0</v>
      </c>
      <c r="DD200" s="5247"/>
      <c r="DE200" s="5247"/>
      <c r="DF200" s="1095">
        <f>IF(DD200=0,0,(DE200-DD200)/DD200*100)</f>
        <v>0</v>
      </c>
      <c r="DG200" s="5247"/>
      <c r="DH200" s="5247"/>
      <c r="DI200" s="1095">
        <f>IF(DG200=0,0,(DH200-DG200)/DG200*100)</f>
        <v>0</v>
      </c>
      <c r="DJ200" s="5247"/>
      <c r="DK200" s="5247"/>
      <c r="DL200" s="1095">
        <f>IF(DJ200=0,0,(DK200-DJ200)/DJ200*100)</f>
        <v>0</v>
      </c>
      <c r="DM200" s="5247"/>
      <c r="DN200" s="5247"/>
      <c r="DO200" s="1095">
        <f>IF(DM200=0,0,(DN200-DM200)/DM200*100)</f>
        <v>0</v>
      </c>
      <c r="DP200" s="5247"/>
      <c r="DQ200" s="5247"/>
      <c r="DR200" s="1095">
        <f>IF(DP200=0,0,(DQ200-DP200)/DP200*100)</f>
        <v>0</v>
      </c>
      <c r="DS200" s="5247"/>
      <c r="DT200" s="5247"/>
      <c r="DU200" s="1095">
        <f>IF(DS200=0,0,(DT200-DS200)/DS200*100)</f>
        <v>0</v>
      </c>
      <c r="DV200" s="5247"/>
      <c r="DW200" s="5247"/>
      <c r="DX200" s="1095">
        <f>IF(DV200=0,0,(DW200-DV200)/DV200*100)</f>
        <v>0</v>
      </c>
      <c r="DY200" s="5247"/>
      <c r="DZ200" s="5247"/>
      <c r="EA200" s="1095">
        <f>IF(DY200=0,0,(DZ200-DY200)/DY200*100)</f>
        <v>0</v>
      </c>
      <c r="EB200" s="5247"/>
      <c r="EC200" s="5247"/>
      <c r="ED200" s="1095">
        <f>IF(EB200=0,0,(EC200-EB200)/EB200*100)</f>
        <v>0</v>
      </c>
      <c r="EE200" s="5247"/>
      <c r="EF200" s="5247"/>
      <c r="EG200" s="1095">
        <f>IF(EE200=0,0,(EF200-EE200)/EE200*100)</f>
        <v>0</v>
      </c>
      <c r="EH200" s="5247"/>
      <c r="EI200" s="5247"/>
      <c r="EJ200" s="1095">
        <f>IF(EH200=0,0,(EI200-EH200)/EH200*100)</f>
        <v>0</v>
      </c>
      <c r="EK200" s="5247"/>
      <c r="EL200" s="5247"/>
      <c r="EM200" s="1095">
        <f>IF(EK200=0,0,(EL200-EK200)/EK200*100)</f>
        <v>0</v>
      </c>
      <c r="EN200" s="5247"/>
      <c r="EO200" s="5247"/>
      <c r="EP200" s="1095">
        <f>IF(EN200=0,0,(EO200-EN200)/EN200*100)</f>
        <v>0</v>
      </c>
      <c r="EQ200" s="5247"/>
      <c r="ER200" s="5247"/>
      <c r="ES200" s="1095">
        <f>IF(EQ200=0,0,(ER200-EQ200)/EQ200*100)</f>
        <v>0</v>
      </c>
      <c r="ET200" s="5247"/>
      <c r="EU200" s="5247"/>
      <c r="EV200" s="1095">
        <f>IF(ET200=0,0,(EU200-ET200)/ET200*100)</f>
        <v>0</v>
      </c>
      <c r="EW200" s="5247"/>
      <c r="EX200" s="5247"/>
      <c r="EY200" s="1095">
        <f>IF(EW200=0,0,(EX200-EW200)/EW200*100)</f>
        <v>0</v>
      </c>
      <c r="EZ200" s="5247"/>
      <c r="FA200" s="5247"/>
      <c r="FB200" s="1095">
        <f>IF(EZ200=0,0,(FA200-EZ200)/EZ200*100)</f>
        <v>0</v>
      </c>
      <c r="FC200" s="5247"/>
      <c r="FD200" s="5247"/>
      <c r="FE200" s="1095">
        <f>IF(FC200=0,0,(FD200-FC200)/FC200*100)</f>
        <v>0</v>
      </c>
      <c r="FF200" s="5247"/>
      <c r="FG200" s="5247"/>
      <c r="FH200" s="1095">
        <f>IF(FF200=0,0,(FG200-FF200)/FF200*100)</f>
        <v>0</v>
      </c>
      <c r="FI200" s="5247"/>
      <c r="FJ200" s="5247"/>
      <c r="FK200" s="1095">
        <f>IF(FI200=0,0,(FJ200-FI200)/FI200*100)</f>
        <v>0</v>
      </c>
      <c r="FL200" s="5247"/>
      <c r="FM200" s="5247"/>
      <c r="FN200" s="1095">
        <f>IF(FL200=0,0,(FM200-FL200)/FL200*100)</f>
        <v>0</v>
      </c>
      <c r="FO200" s="5247"/>
      <c r="FP200" s="5247"/>
      <c r="FQ200" s="1095">
        <f>IF(FO200=0,0,(FP200-FO200)/FO200*100)</f>
        <v>0</v>
      </c>
      <c r="FR200" s="5247"/>
      <c r="FS200" s="5247"/>
      <c r="FT200" s="1095">
        <f>IF(FR200=0,0,(FS200-FR200)/FR200*100)</f>
        <v>0</v>
      </c>
      <c r="FU200" s="5247"/>
      <c r="FV200" s="5247"/>
      <c r="FW200" s="1095">
        <f>IF(FU200=0,0,(FV200-FU200)/FU200*100)</f>
        <v>0</v>
      </c>
      <c r="FX200" s="1304"/>
      <c r="FY200" s="1304"/>
      <c r="FZ200" s="1055" t="s">
        <v>2406</v>
      </c>
      <c r="GA200" s="1015" t="s">
        <v>1594</v>
      </c>
      <c r="GB200" s="1015" cm="1" t="str">
        <f t="array" ref="GB200:GB200">GB199</f>
        <v>0</v>
      </c>
      <c r="GC200" s="1305"/>
      <c r="GD200" s="1305"/>
    </row>
    <row s="1834" customFormat="1" customHeight="1" ht="21.75" hidden="1">
      <c r="A201" s="493"/>
      <c r="B201" s="925" cm="1" t="str">
        <f t="array" ref="B201:B201">B200</f>
        <v>false</v>
      </c>
      <c r="C201" s="493"/>
      <c r="D201" s="493"/>
      <c r="E201" s="840">
        <v>22.5</v>
      </c>
      <c r="F201" s="50" cm="1" t="str">
        <f t="array" ref="F201:F201">OFFSET(E201,-1,1)</f>
        <v>2</v>
      </c>
      <c r="G201" s="493"/>
      <c r="H201" s="493" t="s">
        <v>2376</v>
      </c>
      <c r="I201" s="493" cm="1" t="str">
        <f t="array" ref="I201:I201">I200</f>
        <v>0</v>
      </c>
      <c r="J201" s="493"/>
      <c r="K201" s="493"/>
      <c r="L201" s="493"/>
      <c r="M201" s="493"/>
      <c r="N201" s="493"/>
      <c r="O201" s="493"/>
      <c r="P201" s="493"/>
      <c r="Q201" s="493"/>
      <c r="R201" s="493"/>
      <c r="S201" s="493"/>
      <c r="T201" s="465" cm="1" t="str">
        <f t="array" ref="T201:T201">T200</f>
        <v>false</v>
      </c>
      <c r="U201" s="493"/>
      <c r="V201" s="493"/>
      <c r="W201" s="493"/>
      <c r="X201" s="1596"/>
      <c r="Y201" s="1596"/>
      <c r="Z201" s="1545"/>
      <c r="AA201" s="1494"/>
      <c r="AB201" s="904" t="str">
        <f>"ставка платы за содержание системы "&amp;IF(Q155="Водоснабжение","холодного водоснабжения","водоотведения")</f>
        <v>ставка платы за содержание системы холодного водоснабжения</v>
      </c>
      <c r="AC201" s="864" t="s">
        <v>2377</v>
      </c>
      <c r="AD201" s="2846"/>
      <c r="AE201" s="2846"/>
      <c r="AF201" s="1093">
        <f>IF(AD201=0,0,(AE201-AD201)/AD201*100)</f>
        <v>0</v>
      </c>
      <c r="AG201" s="2846"/>
      <c r="AH201" s="2846"/>
      <c r="AI201" s="1093">
        <f>IF(AG201=0,0,(AH201-AG201)/AG201*100)</f>
        <v>0</v>
      </c>
      <c r="AJ201" s="2846"/>
      <c r="AK201" s="2846"/>
      <c r="AL201" s="1093">
        <f>IF(AJ201=0,0,(AK201-AJ201)/AJ201*100)</f>
        <v>0</v>
      </c>
      <c r="AM201" s="2846"/>
      <c r="AN201" s="2846"/>
      <c r="AO201" s="1093">
        <f>IF(AM201=0,0,(AN201-AM201)/AM201*100)</f>
        <v>0</v>
      </c>
      <c r="AP201" s="2846"/>
      <c r="AQ201" s="2846"/>
      <c r="AR201" s="1093">
        <f>IF(AP201=0,0,(AQ201-AP201)/AP201*100)</f>
        <v>0</v>
      </c>
      <c r="AS201" s="2846"/>
      <c r="AT201" s="2846"/>
      <c r="AU201" s="1093">
        <f>IF(AS201=0,0,(AT201-AS201)/AS201*100)</f>
        <v>0</v>
      </c>
      <c r="AV201" s="2846"/>
      <c r="AW201" s="2846"/>
      <c r="AX201" s="1093">
        <f>IF(AV201=0,0,(AW201-AV201)/AV201*100)</f>
        <v>0</v>
      </c>
      <c r="AY201" s="2846"/>
      <c r="AZ201" s="2846"/>
      <c r="BA201" s="1093">
        <f>IF(AY201=0,0,(AZ201-AY201)/AY201*100)</f>
        <v>0</v>
      </c>
      <c r="BB201" s="2846"/>
      <c r="BC201" s="2846"/>
      <c r="BD201" s="1093">
        <f>IF(BB201=0,0,(BC201-BB201)/BB201*100)</f>
        <v>0</v>
      </c>
      <c r="BE201" s="2846"/>
      <c r="BF201" s="2846"/>
      <c r="BG201" s="1093">
        <f>IF(BE201=0,0,(BF201-BE201)/BE201*100)</f>
        <v>0</v>
      </c>
      <c r="BH201" s="2846"/>
      <c r="BI201" s="2846"/>
      <c r="BJ201" s="1093">
        <f>IF(BH201=0,0,(BI201-BH201)/BH201*100)</f>
        <v>0</v>
      </c>
      <c r="BK201" s="2846"/>
      <c r="BL201" s="2846"/>
      <c r="BM201" s="1093">
        <f>IF(BK201=0,0,(BL201-BK201)/BK201*100)</f>
        <v>0</v>
      </c>
      <c r="BN201" s="2846"/>
      <c r="BO201" s="2846"/>
      <c r="BP201" s="1093">
        <f>IF(BN201=0,0,(BO201-BN201)/BN201*100)</f>
        <v>0</v>
      </c>
      <c r="BQ201" s="2846"/>
      <c r="BR201" s="2846"/>
      <c r="BS201" s="1093">
        <f>IF(BQ201=0,0,(BR201-BQ201)/BQ201*100)</f>
        <v>0</v>
      </c>
      <c r="BT201" s="2846"/>
      <c r="BU201" s="2846"/>
      <c r="BV201" s="1093">
        <f>IF(BT201=0,0,(BU201-BT201)/BT201*100)</f>
        <v>0</v>
      </c>
      <c r="BW201" s="2846"/>
      <c r="BX201" s="2846"/>
      <c r="BY201" s="1093">
        <f>IF(BW201=0,0,(BX201-BW201)/BW201*100)</f>
        <v>0</v>
      </c>
      <c r="BZ201" s="2846"/>
      <c r="CA201" s="2846"/>
      <c r="CB201" s="1093">
        <f>IF(BZ201=0,0,(CA201-BZ201)/BZ201*100)</f>
        <v>0</v>
      </c>
      <c r="CC201" s="2846"/>
      <c r="CD201" s="2846"/>
      <c r="CE201" s="1093">
        <f>IF(CC201=0,0,(CD201-CC201)/CC201*100)</f>
        <v>0</v>
      </c>
      <c r="CF201" s="2846"/>
      <c r="CG201" s="2846"/>
      <c r="CH201" s="1093">
        <f>IF(CF201=0,0,(CG201-CF201)/CF201*100)</f>
        <v>0</v>
      </c>
      <c r="CI201" s="2846"/>
      <c r="CJ201" s="2846"/>
      <c r="CK201" s="1093">
        <f>IF(CI201=0,0,(CJ201-CI201)/CI201*100)</f>
        <v>0</v>
      </c>
      <c r="CL201" s="2846"/>
      <c r="CM201" s="2846"/>
      <c r="CN201" s="1093">
        <f>IF(CL201=0,0,(CM201-CL201)/CL201*100)</f>
        <v>0</v>
      </c>
      <c r="CO201" s="2846"/>
      <c r="CP201" s="2846"/>
      <c r="CQ201" s="1093">
        <f>IF(CO201=0,0,(CP201-CO201)/CO201*100)</f>
        <v>0</v>
      </c>
      <c r="CR201" s="2846"/>
      <c r="CS201" s="2846"/>
      <c r="CT201" s="1093">
        <f>IF(CR201=0,0,(CS201-CR201)/CR201*100)</f>
        <v>0</v>
      </c>
      <c r="CU201" s="2846"/>
      <c r="CV201" s="2846"/>
      <c r="CW201" s="1093">
        <f>IF(CU201=0,0,(CV201-CU201)/CU201*100)</f>
        <v>0</v>
      </c>
      <c r="CX201" s="2846"/>
      <c r="CY201" s="2846"/>
      <c r="CZ201" s="1093">
        <f>IF(CX201=0,0,(CY201-CX201)/CX201*100)</f>
        <v>0</v>
      </c>
      <c r="DA201" s="2846"/>
      <c r="DB201" s="2846"/>
      <c r="DC201" s="1093">
        <f>IF(DA201=0,0,(DB201-DA201)/DA201*100)</f>
        <v>0</v>
      </c>
      <c r="DD201" s="2846"/>
      <c r="DE201" s="2846"/>
      <c r="DF201" s="1093">
        <f>IF(DD201=0,0,(DE201-DD201)/DD201*100)</f>
        <v>0</v>
      </c>
      <c r="DG201" s="2846"/>
      <c r="DH201" s="2846"/>
      <c r="DI201" s="1093">
        <f>IF(DG201=0,0,(DH201-DG201)/DG201*100)</f>
        <v>0</v>
      </c>
      <c r="DJ201" s="2846"/>
      <c r="DK201" s="2846"/>
      <c r="DL201" s="1093">
        <f>IF(DJ201=0,0,(DK201-DJ201)/DJ201*100)</f>
        <v>0</v>
      </c>
      <c r="DM201" s="2846"/>
      <c r="DN201" s="2846"/>
      <c r="DO201" s="1093">
        <f>IF(DM201=0,0,(DN201-DM201)/DM201*100)</f>
        <v>0</v>
      </c>
      <c r="DP201" s="2846"/>
      <c r="DQ201" s="2846"/>
      <c r="DR201" s="1093">
        <f>IF(DP201=0,0,(DQ201-DP201)/DP201*100)</f>
        <v>0</v>
      </c>
      <c r="DS201" s="2846"/>
      <c r="DT201" s="2846"/>
      <c r="DU201" s="1093">
        <f>IF(DS201=0,0,(DT201-DS201)/DS201*100)</f>
        <v>0</v>
      </c>
      <c r="DV201" s="2846"/>
      <c r="DW201" s="2846"/>
      <c r="DX201" s="1093">
        <f>IF(DV201=0,0,(DW201-DV201)/DV201*100)</f>
        <v>0</v>
      </c>
      <c r="DY201" s="2846"/>
      <c r="DZ201" s="2846"/>
      <c r="EA201" s="1093">
        <f>IF(DY201=0,0,(DZ201-DY201)/DY201*100)</f>
        <v>0</v>
      </c>
      <c r="EB201" s="2846"/>
      <c r="EC201" s="2846"/>
      <c r="ED201" s="1093">
        <f>IF(EB201=0,0,(EC201-EB201)/EB201*100)</f>
        <v>0</v>
      </c>
      <c r="EE201" s="2846"/>
      <c r="EF201" s="2846"/>
      <c r="EG201" s="1093">
        <f>IF(EE201=0,0,(EF201-EE201)/EE201*100)</f>
        <v>0</v>
      </c>
      <c r="EH201" s="2846"/>
      <c r="EI201" s="2846"/>
      <c r="EJ201" s="1093">
        <f>IF(EH201=0,0,(EI201-EH201)/EH201*100)</f>
        <v>0</v>
      </c>
      <c r="EK201" s="2846"/>
      <c r="EL201" s="2846"/>
      <c r="EM201" s="1093">
        <f>IF(EK201=0,0,(EL201-EK201)/EK201*100)</f>
        <v>0</v>
      </c>
      <c r="EN201" s="2846"/>
      <c r="EO201" s="2846"/>
      <c r="EP201" s="1093">
        <f>IF(EN201=0,0,(EO201-EN201)/EN201*100)</f>
        <v>0</v>
      </c>
      <c r="EQ201" s="2846"/>
      <c r="ER201" s="2846"/>
      <c r="ES201" s="1093">
        <f>IF(EQ201=0,0,(ER201-EQ201)/EQ201*100)</f>
        <v>0</v>
      </c>
      <c r="ET201" s="2846"/>
      <c r="EU201" s="2846"/>
      <c r="EV201" s="1093">
        <f>IF(ET201=0,0,(EU201-ET201)/ET201*100)</f>
        <v>0</v>
      </c>
      <c r="EW201" s="2846"/>
      <c r="EX201" s="2846"/>
      <c r="EY201" s="1093">
        <f>IF(EW201=0,0,(EX201-EW201)/EW201*100)</f>
        <v>0</v>
      </c>
      <c r="EZ201" s="2846"/>
      <c r="FA201" s="2846"/>
      <c r="FB201" s="1093">
        <f>IF(EZ201=0,0,(FA201-EZ201)/EZ201*100)</f>
        <v>0</v>
      </c>
      <c r="FC201" s="2846"/>
      <c r="FD201" s="2846"/>
      <c r="FE201" s="1093">
        <f>IF(FC201=0,0,(FD201-FC201)/FC201*100)</f>
        <v>0</v>
      </c>
      <c r="FF201" s="2846"/>
      <c r="FG201" s="2846"/>
      <c r="FH201" s="1093">
        <f>IF(FF201=0,0,(FG201-FF201)/FF201*100)</f>
        <v>0</v>
      </c>
      <c r="FI201" s="2846"/>
      <c r="FJ201" s="2846"/>
      <c r="FK201" s="1093">
        <f>IF(FI201=0,0,(FJ201-FI201)/FI201*100)</f>
        <v>0</v>
      </c>
      <c r="FL201" s="2846"/>
      <c r="FM201" s="2846"/>
      <c r="FN201" s="1093">
        <f>IF(FL201=0,0,(FM201-FL201)/FL201*100)</f>
        <v>0</v>
      </c>
      <c r="FO201" s="2846"/>
      <c r="FP201" s="2846"/>
      <c r="FQ201" s="1093">
        <f>IF(FO201=0,0,(FP201-FO201)/FO201*100)</f>
        <v>0</v>
      </c>
      <c r="FR201" s="2846"/>
      <c r="FS201" s="2846"/>
      <c r="FT201" s="1093">
        <f>IF(FR201=0,0,(FS201-FR201)/FR201*100)</f>
        <v>0</v>
      </c>
      <c r="FU201" s="2846"/>
      <c r="FV201" s="2846"/>
      <c r="FW201" s="1093">
        <f>IF(FU201=0,0,(FV201-FU201)/FU201*100)</f>
        <v>0</v>
      </c>
      <c r="FX201" s="1304"/>
      <c r="FY201" s="1304"/>
      <c r="FZ201" s="1055" t="s">
        <v>2407</v>
      </c>
      <c r="GA201" s="1015" t="s">
        <v>1594</v>
      </c>
      <c r="GB201" s="1015" cm="1" t="str">
        <f t="array" ref="GB201:GB201">GB200</f>
        <v>0</v>
      </c>
      <c r="GC201" s="1305"/>
      <c r="GD201" s="1305"/>
    </row>
    <row s="1834" customFormat="1" customHeight="1" ht="14.25" hidden="1">
      <c r="A202" s="493"/>
      <c r="B202" s="925" cm="1" t="str">
        <f t="array" ref="B202:B202">B201</f>
        <v>false</v>
      </c>
      <c r="C202" s="493"/>
      <c r="D202" s="493"/>
      <c r="E202" s="840">
        <v>15</v>
      </c>
      <c r="F202" s="50" cm="1" t="str">
        <f t="array" ref="F202:F202">OFFSET(E202,-1,1)</f>
        <v>2</v>
      </c>
      <c r="G202" s="493"/>
      <c r="H202" s="493" t="s">
        <v>2379</v>
      </c>
      <c r="I202" s="493" cm="1" t="str">
        <f t="array" ref="I202:I202">I201</f>
        <v>0</v>
      </c>
      <c r="J202" s="493"/>
      <c r="K202" s="493"/>
      <c r="L202" s="493"/>
      <c r="M202" s="493"/>
      <c r="N202" s="493"/>
      <c r="O202" s="493"/>
      <c r="P202" s="493"/>
      <c r="Q202" s="493"/>
      <c r="R202" s="493"/>
      <c r="S202" s="493"/>
      <c r="T202" s="465" cm="1" t="str">
        <f t="array" ref="T202:T202">T201</f>
        <v>false</v>
      </c>
      <c r="U202" s="493"/>
      <c r="V202" s="493"/>
      <c r="W202" s="493"/>
      <c r="X202" s="1596"/>
      <c r="Y202" s="1596"/>
      <c r="Z202" s="1545"/>
      <c r="AA202" s="1494"/>
      <c r="AB202" s="904" t="s">
        <v>2380</v>
      </c>
      <c r="AC202" s="864" t="s">
        <v>2381</v>
      </c>
      <c r="AD202" s="2846"/>
      <c r="AE202" s="2846"/>
      <c r="AF202" s="1093">
        <f>IF(AD202=0,0,(AE202-AD202)/AD202*100)</f>
        <v>0</v>
      </c>
      <c r="AG202" s="2846"/>
      <c r="AH202" s="2846"/>
      <c r="AI202" s="1093">
        <f>IF(AG202=0,0,(AH202-AG202)/AG202*100)</f>
        <v>0</v>
      </c>
      <c r="AJ202" s="2846"/>
      <c r="AK202" s="2846"/>
      <c r="AL202" s="1093">
        <f>IF(AJ202=0,0,(AK202-AJ202)/AJ202*100)</f>
        <v>0</v>
      </c>
      <c r="AM202" s="2846"/>
      <c r="AN202" s="2846"/>
      <c r="AO202" s="1093">
        <f>IF(AM202=0,0,(AN202-AM202)/AM202*100)</f>
        <v>0</v>
      </c>
      <c r="AP202" s="2846"/>
      <c r="AQ202" s="2846"/>
      <c r="AR202" s="1093">
        <f>IF(AP202=0,0,(AQ202-AP202)/AP202*100)</f>
        <v>0</v>
      </c>
      <c r="AS202" s="2846"/>
      <c r="AT202" s="2846"/>
      <c r="AU202" s="1093">
        <f>IF(AS202=0,0,(AT202-AS202)/AS202*100)</f>
        <v>0</v>
      </c>
      <c r="AV202" s="2846"/>
      <c r="AW202" s="2846"/>
      <c r="AX202" s="1093">
        <f>IF(AV202=0,0,(AW202-AV202)/AV202*100)</f>
        <v>0</v>
      </c>
      <c r="AY202" s="2846"/>
      <c r="AZ202" s="2846"/>
      <c r="BA202" s="1093">
        <f>IF(AY202=0,0,(AZ202-AY202)/AY202*100)</f>
        <v>0</v>
      </c>
      <c r="BB202" s="2846"/>
      <c r="BC202" s="2846"/>
      <c r="BD202" s="1093">
        <f>IF(BB202=0,0,(BC202-BB202)/BB202*100)</f>
        <v>0</v>
      </c>
      <c r="BE202" s="2846"/>
      <c r="BF202" s="2846"/>
      <c r="BG202" s="1093">
        <f>IF(BE202=0,0,(BF202-BE202)/BE202*100)</f>
        <v>0</v>
      </c>
      <c r="BH202" s="2846"/>
      <c r="BI202" s="2846"/>
      <c r="BJ202" s="1093">
        <f>IF(BH202=0,0,(BI202-BH202)/BH202*100)</f>
        <v>0</v>
      </c>
      <c r="BK202" s="2846"/>
      <c r="BL202" s="2846"/>
      <c r="BM202" s="1093">
        <f>IF(BK202=0,0,(BL202-BK202)/BK202*100)</f>
        <v>0</v>
      </c>
      <c r="BN202" s="2846"/>
      <c r="BO202" s="2846"/>
      <c r="BP202" s="1093">
        <f>IF(BN202=0,0,(BO202-BN202)/BN202*100)</f>
        <v>0</v>
      </c>
      <c r="BQ202" s="2846"/>
      <c r="BR202" s="2846"/>
      <c r="BS202" s="1093">
        <f>IF(BQ202=0,0,(BR202-BQ202)/BQ202*100)</f>
        <v>0</v>
      </c>
      <c r="BT202" s="2846"/>
      <c r="BU202" s="2846"/>
      <c r="BV202" s="1093">
        <f>IF(BT202=0,0,(BU202-BT202)/BT202*100)</f>
        <v>0</v>
      </c>
      <c r="BW202" s="2846"/>
      <c r="BX202" s="2846"/>
      <c r="BY202" s="1093">
        <f>IF(BW202=0,0,(BX202-BW202)/BW202*100)</f>
        <v>0</v>
      </c>
      <c r="BZ202" s="2846"/>
      <c r="CA202" s="2846"/>
      <c r="CB202" s="1093">
        <f>IF(BZ202=0,0,(CA202-BZ202)/BZ202*100)</f>
        <v>0</v>
      </c>
      <c r="CC202" s="2846"/>
      <c r="CD202" s="2846"/>
      <c r="CE202" s="1093">
        <f>IF(CC202=0,0,(CD202-CC202)/CC202*100)</f>
        <v>0</v>
      </c>
      <c r="CF202" s="2846"/>
      <c r="CG202" s="2846"/>
      <c r="CH202" s="1093">
        <f>IF(CF202=0,0,(CG202-CF202)/CF202*100)</f>
        <v>0</v>
      </c>
      <c r="CI202" s="2846"/>
      <c r="CJ202" s="2846"/>
      <c r="CK202" s="1093">
        <f>IF(CI202=0,0,(CJ202-CI202)/CI202*100)</f>
        <v>0</v>
      </c>
      <c r="CL202" s="2846"/>
      <c r="CM202" s="2846"/>
      <c r="CN202" s="1093">
        <f>IF(CL202=0,0,(CM202-CL202)/CL202*100)</f>
        <v>0</v>
      </c>
      <c r="CO202" s="2846"/>
      <c r="CP202" s="2846"/>
      <c r="CQ202" s="1093">
        <f>IF(CO202=0,0,(CP202-CO202)/CO202*100)</f>
        <v>0</v>
      </c>
      <c r="CR202" s="2846"/>
      <c r="CS202" s="2846"/>
      <c r="CT202" s="1093">
        <f>IF(CR202=0,0,(CS202-CR202)/CR202*100)</f>
        <v>0</v>
      </c>
      <c r="CU202" s="2846"/>
      <c r="CV202" s="2846"/>
      <c r="CW202" s="1093">
        <f>IF(CU202=0,0,(CV202-CU202)/CU202*100)</f>
        <v>0</v>
      </c>
      <c r="CX202" s="2846"/>
      <c r="CY202" s="2846"/>
      <c r="CZ202" s="1093">
        <f>IF(CX202=0,0,(CY202-CX202)/CX202*100)</f>
        <v>0</v>
      </c>
      <c r="DA202" s="2846"/>
      <c r="DB202" s="2846"/>
      <c r="DC202" s="1093">
        <f>IF(DA202=0,0,(DB202-DA202)/DA202*100)</f>
        <v>0</v>
      </c>
      <c r="DD202" s="2846"/>
      <c r="DE202" s="2846"/>
      <c r="DF202" s="1093">
        <f>IF(DD202=0,0,(DE202-DD202)/DD202*100)</f>
        <v>0</v>
      </c>
      <c r="DG202" s="2846"/>
      <c r="DH202" s="2846"/>
      <c r="DI202" s="1093">
        <f>IF(DG202=0,0,(DH202-DG202)/DG202*100)</f>
        <v>0</v>
      </c>
      <c r="DJ202" s="2846"/>
      <c r="DK202" s="2846"/>
      <c r="DL202" s="1093">
        <f>IF(DJ202=0,0,(DK202-DJ202)/DJ202*100)</f>
        <v>0</v>
      </c>
      <c r="DM202" s="2846"/>
      <c r="DN202" s="2846"/>
      <c r="DO202" s="1093">
        <f>IF(DM202=0,0,(DN202-DM202)/DM202*100)</f>
        <v>0</v>
      </c>
      <c r="DP202" s="2846"/>
      <c r="DQ202" s="2846"/>
      <c r="DR202" s="1093">
        <f>IF(DP202=0,0,(DQ202-DP202)/DP202*100)</f>
        <v>0</v>
      </c>
      <c r="DS202" s="2846"/>
      <c r="DT202" s="2846"/>
      <c r="DU202" s="1093">
        <f>IF(DS202=0,0,(DT202-DS202)/DS202*100)</f>
        <v>0</v>
      </c>
      <c r="DV202" s="2846"/>
      <c r="DW202" s="2846"/>
      <c r="DX202" s="1093">
        <f>IF(DV202=0,0,(DW202-DV202)/DV202*100)</f>
        <v>0</v>
      </c>
      <c r="DY202" s="2846"/>
      <c r="DZ202" s="2846"/>
      <c r="EA202" s="1093">
        <f>IF(DY202=0,0,(DZ202-DY202)/DY202*100)</f>
        <v>0</v>
      </c>
      <c r="EB202" s="2846"/>
      <c r="EC202" s="2846"/>
      <c r="ED202" s="1093">
        <f>IF(EB202=0,0,(EC202-EB202)/EB202*100)</f>
        <v>0</v>
      </c>
      <c r="EE202" s="2846"/>
      <c r="EF202" s="2846"/>
      <c r="EG202" s="1093">
        <f>IF(EE202=0,0,(EF202-EE202)/EE202*100)</f>
        <v>0</v>
      </c>
      <c r="EH202" s="2846"/>
      <c r="EI202" s="2846"/>
      <c r="EJ202" s="1093">
        <f>IF(EH202=0,0,(EI202-EH202)/EH202*100)</f>
        <v>0</v>
      </c>
      <c r="EK202" s="2846"/>
      <c r="EL202" s="2846"/>
      <c r="EM202" s="1093">
        <f>IF(EK202=0,0,(EL202-EK202)/EK202*100)</f>
        <v>0</v>
      </c>
      <c r="EN202" s="2846"/>
      <c r="EO202" s="2846"/>
      <c r="EP202" s="1093">
        <f>IF(EN202=0,0,(EO202-EN202)/EN202*100)</f>
        <v>0</v>
      </c>
      <c r="EQ202" s="2846"/>
      <c r="ER202" s="2846"/>
      <c r="ES202" s="1093">
        <f>IF(EQ202=0,0,(ER202-EQ202)/EQ202*100)</f>
        <v>0</v>
      </c>
      <c r="ET202" s="2846"/>
      <c r="EU202" s="2846"/>
      <c r="EV202" s="1093">
        <f>IF(ET202=0,0,(EU202-ET202)/ET202*100)</f>
        <v>0</v>
      </c>
      <c r="EW202" s="2846"/>
      <c r="EX202" s="2846"/>
      <c r="EY202" s="1093">
        <f>IF(EW202=0,0,(EX202-EW202)/EW202*100)</f>
        <v>0</v>
      </c>
      <c r="EZ202" s="2846"/>
      <c r="FA202" s="2846"/>
      <c r="FB202" s="1093">
        <f>IF(EZ202=0,0,(FA202-EZ202)/EZ202*100)</f>
        <v>0</v>
      </c>
      <c r="FC202" s="2846"/>
      <c r="FD202" s="2846"/>
      <c r="FE202" s="1093">
        <f>IF(FC202=0,0,(FD202-FC202)/FC202*100)</f>
        <v>0</v>
      </c>
      <c r="FF202" s="2846"/>
      <c r="FG202" s="2846"/>
      <c r="FH202" s="1093">
        <f>IF(FF202=0,0,(FG202-FF202)/FF202*100)</f>
        <v>0</v>
      </c>
      <c r="FI202" s="2846"/>
      <c r="FJ202" s="2846"/>
      <c r="FK202" s="1093">
        <f>IF(FI202=0,0,(FJ202-FI202)/FI202*100)</f>
        <v>0</v>
      </c>
      <c r="FL202" s="2846"/>
      <c r="FM202" s="2846"/>
      <c r="FN202" s="1093">
        <f>IF(FL202=0,0,(FM202-FL202)/FL202*100)</f>
        <v>0</v>
      </c>
      <c r="FO202" s="2846"/>
      <c r="FP202" s="2846"/>
      <c r="FQ202" s="1093">
        <f>IF(FO202=0,0,(FP202-FO202)/FO202*100)</f>
        <v>0</v>
      </c>
      <c r="FR202" s="2846"/>
      <c r="FS202" s="2846"/>
      <c r="FT202" s="1093">
        <f>IF(FR202=0,0,(FS202-FR202)/FR202*100)</f>
        <v>0</v>
      </c>
      <c r="FU202" s="2846"/>
      <c r="FV202" s="2846"/>
      <c r="FW202" s="1093">
        <f>IF(FU202=0,0,(FV202-FU202)/FU202*100)</f>
        <v>0</v>
      </c>
      <c r="FX202" s="1304"/>
      <c r="FY202" s="1304"/>
      <c r="FZ202" s="1055" t="s">
        <v>2408</v>
      </c>
      <c r="GA202" s="1015" t="s">
        <v>1594</v>
      </c>
      <c r="GB202" s="1015" cm="1" t="str">
        <f t="array" ref="GB202:GB202">GB201</f>
        <v>0</v>
      </c>
      <c r="GC202" s="1305"/>
      <c r="GD202" s="1305"/>
    </row>
    <row customHeight="1" ht="18.525" hidden="1">
      <c r="A203" s="493"/>
      <c r="B203" s="925" cm="1" t="str">
        <f t="array" ref="B203:B203">B202</f>
        <v>false</v>
      </c>
      <c r="C203" s="493"/>
      <c r="D203" s="493"/>
      <c r="E203" s="840">
        <v>19</v>
      </c>
      <c r="F203" s="50" cm="1" t="str">
        <f t="array" ref="F203:F203">OFFSET(E203,-1,1)</f>
        <v>2</v>
      </c>
      <c r="G203" s="493"/>
      <c r="H203" s="493"/>
      <c r="I203" s="493"/>
      <c r="J203" s="493"/>
      <c r="K203" s="493"/>
      <c r="L203" s="493"/>
      <c r="M203" s="493"/>
      <c r="N203" s="493"/>
      <c r="O203" s="493"/>
      <c r="P203" s="493"/>
      <c r="Q203" s="493"/>
      <c r="R203" s="493"/>
      <c r="S203" s="493"/>
      <c r="T203" s="465" cm="1" t="str">
        <f t="array" ref="T203:T203">T202</f>
        <v>false</v>
      </c>
      <c r="U203" s="493"/>
      <c r="V203" s="493"/>
      <c r="W203" s="493"/>
      <c r="X203" s="1596"/>
      <c r="Y203" s="1596"/>
      <c r="Z203" s="1545"/>
      <c r="AA203" s="1494"/>
      <c r="AB203" s="5252"/>
      <c r="AC203" s="865"/>
      <c r="AD203" s="1105"/>
      <c r="AE203" s="1106"/>
      <c r="AF203" s="1106"/>
      <c r="AG203" s="1105"/>
      <c r="AH203" s="1106"/>
      <c r="AI203" s="1106"/>
      <c r="AJ203" s="1105"/>
      <c r="AK203" s="1106"/>
      <c r="AL203" s="1106"/>
      <c r="AM203" s="1105"/>
      <c r="AN203" s="1106"/>
      <c r="AO203" s="1106"/>
      <c r="AP203" s="1105"/>
      <c r="AQ203" s="1106"/>
      <c r="AR203" s="1106"/>
      <c r="AS203" s="1105"/>
      <c r="AT203" s="1106"/>
      <c r="AU203" s="1106"/>
      <c r="AV203" s="1105"/>
      <c r="AW203" s="1106"/>
      <c r="AX203" s="1106"/>
      <c r="AY203" s="1105"/>
      <c r="AZ203" s="1106"/>
      <c r="BA203" s="1106"/>
      <c r="BB203" s="1105"/>
      <c r="BC203" s="1106"/>
      <c r="BD203" s="1106"/>
      <c r="BE203" s="1105"/>
      <c r="BF203" s="1106"/>
      <c r="BG203" s="1106"/>
      <c r="BH203" s="1105"/>
      <c r="BI203" s="1106"/>
      <c r="BJ203" s="1106"/>
      <c r="BK203" s="1105"/>
      <c r="BL203" s="1106"/>
      <c r="BM203" s="1106"/>
      <c r="BN203" s="1105"/>
      <c r="BO203" s="1106"/>
      <c r="BP203" s="1106"/>
      <c r="BQ203" s="1105"/>
      <c r="BR203" s="1106"/>
      <c r="BS203" s="1106"/>
      <c r="BT203" s="1105"/>
      <c r="BU203" s="1106"/>
      <c r="BV203" s="1106"/>
      <c r="BW203" s="1105"/>
      <c r="BX203" s="1106"/>
      <c r="BY203" s="1106"/>
      <c r="BZ203" s="1105"/>
      <c r="CA203" s="1106"/>
      <c r="CB203" s="1106"/>
      <c r="CC203" s="1105"/>
      <c r="CD203" s="1106"/>
      <c r="CE203" s="1106"/>
      <c r="CF203" s="1105"/>
      <c r="CG203" s="1106"/>
      <c r="CH203" s="1106"/>
      <c r="CI203" s="1105"/>
      <c r="CJ203" s="1106"/>
      <c r="CK203" s="1106"/>
      <c r="CL203" s="1105"/>
      <c r="CM203" s="1106"/>
      <c r="CN203" s="1106"/>
      <c r="CO203" s="1105"/>
      <c r="CP203" s="1106"/>
      <c r="CQ203" s="1106"/>
      <c r="CR203" s="1105"/>
      <c r="CS203" s="1106"/>
      <c r="CT203" s="1106"/>
      <c r="CU203" s="1105"/>
      <c r="CV203" s="1106"/>
      <c r="CW203" s="1106"/>
      <c r="CX203" s="1105"/>
      <c r="CY203" s="1106"/>
      <c r="CZ203" s="1106"/>
      <c r="DA203" s="1105"/>
      <c r="DB203" s="1106"/>
      <c r="DC203" s="1106"/>
      <c r="DD203" s="1105"/>
      <c r="DE203" s="1106"/>
      <c r="DF203" s="1106"/>
      <c r="DG203" s="1105"/>
      <c r="DH203" s="1106"/>
      <c r="DI203" s="1106"/>
      <c r="DJ203" s="1105"/>
      <c r="DK203" s="1106"/>
      <c r="DL203" s="1106"/>
      <c r="DM203" s="1105"/>
      <c r="DN203" s="1106"/>
      <c r="DO203" s="1106"/>
      <c r="DP203" s="1105"/>
      <c r="DQ203" s="1106"/>
      <c r="DR203" s="1106"/>
      <c r="DS203" s="1105"/>
      <c r="DT203" s="1106"/>
      <c r="DU203" s="1106"/>
      <c r="DV203" s="1105"/>
      <c r="DW203" s="1106"/>
      <c r="DX203" s="1106"/>
      <c r="DY203" s="1105"/>
      <c r="DZ203" s="1106"/>
      <c r="EA203" s="1106"/>
      <c r="EB203" s="1105"/>
      <c r="EC203" s="1106"/>
      <c r="ED203" s="1106"/>
      <c r="EE203" s="1105"/>
      <c r="EF203" s="1106"/>
      <c r="EG203" s="1106"/>
      <c r="EH203" s="1105"/>
      <c r="EI203" s="1106"/>
      <c r="EJ203" s="1106"/>
      <c r="EK203" s="1105"/>
      <c r="EL203" s="1106"/>
      <c r="EM203" s="1106"/>
      <c r="EN203" s="1105"/>
      <c r="EO203" s="1106"/>
      <c r="EP203" s="1106"/>
      <c r="EQ203" s="1105"/>
      <c r="ER203" s="1106"/>
      <c r="ES203" s="1106"/>
      <c r="ET203" s="1105"/>
      <c r="EU203" s="1106"/>
      <c r="EV203" s="1106"/>
      <c r="EW203" s="1105"/>
      <c r="EX203" s="1106"/>
      <c r="EY203" s="1106"/>
      <c r="EZ203" s="1105"/>
      <c r="FA203" s="1106"/>
      <c r="FB203" s="1106"/>
      <c r="FC203" s="1105"/>
      <c r="FD203" s="1106"/>
      <c r="FE203" s="1106"/>
      <c r="FF203" s="1105"/>
      <c r="FG203" s="1106"/>
      <c r="FH203" s="1106"/>
      <c r="FI203" s="1105"/>
      <c r="FJ203" s="1106"/>
      <c r="FK203" s="1106"/>
      <c r="FL203" s="1105"/>
      <c r="FM203" s="1106"/>
      <c r="FN203" s="1106"/>
      <c r="FO203" s="1105"/>
      <c r="FP203" s="1106"/>
      <c r="FQ203" s="1106"/>
      <c r="FR203" s="1105"/>
      <c r="FS203" s="1106"/>
      <c r="FT203" s="1106"/>
      <c r="FU203" s="1105"/>
      <c r="FV203" s="1106"/>
      <c r="FW203" s="1107"/>
      <c r="GA203" s="1306" t="s">
        <v>227</v>
      </c>
      <c r="GB203" s="1306" cm="1" t="str">
        <f t="array" ref="GB203:GB203">GB202</f>
        <v>0</v>
      </c>
    </row>
    <row customHeight="1" ht="18.525" hidden="1">
      <c r="A204" s="493"/>
      <c r="B204" s="925" cm="1" t="str">
        <f t="array" ref="B204:B204">B203</f>
        <v>false</v>
      </c>
      <c r="C204" s="493"/>
      <c r="D204" s="493"/>
      <c r="E204" s="840">
        <v>19</v>
      </c>
      <c r="F204" s="50" cm="1" t="str">
        <f t="array" ref="F204:F204">OFFSET(E204,-1,1)</f>
        <v>2</v>
      </c>
      <c r="G204" s="493"/>
      <c r="H204" s="493"/>
      <c r="I204" s="493"/>
      <c r="J204" s="493"/>
      <c r="K204" s="493"/>
      <c r="L204" s="493"/>
      <c r="M204" s="493"/>
      <c r="N204" s="493"/>
      <c r="O204" s="493"/>
      <c r="P204" s="493"/>
      <c r="Q204" s="493"/>
      <c r="R204" s="493"/>
      <c r="S204" s="493"/>
      <c r="T204" s="465" cm="1" t="str">
        <f t="array" ref="T204:T204">T203</f>
        <v>false</v>
      </c>
      <c r="U204" s="493"/>
      <c r="V204" s="493"/>
      <c r="W204" s="493"/>
      <c r="X204" s="1596"/>
      <c r="Y204" s="1596"/>
      <c r="Z204" s="1545"/>
      <c r="AA204" s="1494"/>
      <c r="AB204" s="904" t="s">
        <v>2370</v>
      </c>
      <c r="AC204" s="864" t="s">
        <v>2337</v>
      </c>
      <c r="AD204" s="2846"/>
      <c r="AE204" s="2846"/>
      <c r="AF204" s="1093">
        <f>IF(AD204=0,0,(AE204-AD204)/AD204*100)</f>
        <v>0</v>
      </c>
      <c r="AG204" s="2846"/>
      <c r="AH204" s="2846"/>
      <c r="AI204" s="1093">
        <f>IF(AG204=0,0,(AH204-AG204)/AG204*100)</f>
        <v>0</v>
      </c>
      <c r="AJ204" s="2846"/>
      <c r="AK204" s="2846"/>
      <c r="AL204" s="1093">
        <f>IF(AJ204=0,0,(AK204-AJ204)/AJ204*100)</f>
        <v>0</v>
      </c>
      <c r="AM204" s="2846"/>
      <c r="AN204" s="2846"/>
      <c r="AO204" s="1093">
        <f>IF(AM204=0,0,(AN204-AM204)/AM204*100)</f>
        <v>0</v>
      </c>
      <c r="AP204" s="2846"/>
      <c r="AQ204" s="2846"/>
      <c r="AR204" s="1093">
        <f>IF(AP204=0,0,(AQ204-AP204)/AP204*100)</f>
        <v>0</v>
      </c>
      <c r="AS204" s="2846"/>
      <c r="AT204" s="2846"/>
      <c r="AU204" s="1093">
        <f>IF(AS204=0,0,(AT204-AS204)/AS204*100)</f>
        <v>0</v>
      </c>
      <c r="AV204" s="2846"/>
      <c r="AW204" s="2846"/>
      <c r="AX204" s="1093">
        <f>IF(AV204=0,0,(AW204-AV204)/AV204*100)</f>
        <v>0</v>
      </c>
      <c r="AY204" s="2846"/>
      <c r="AZ204" s="2846"/>
      <c r="BA204" s="1093">
        <f>IF(AY204=0,0,(AZ204-AY204)/AY204*100)</f>
        <v>0</v>
      </c>
      <c r="BB204" s="2846"/>
      <c r="BC204" s="2846"/>
      <c r="BD204" s="1093">
        <f>IF(BB204=0,0,(BC204-BB204)/BB204*100)</f>
        <v>0</v>
      </c>
      <c r="BE204" s="2846"/>
      <c r="BF204" s="2846"/>
      <c r="BG204" s="1093">
        <f>IF(BE204=0,0,(BF204-BE204)/BE204*100)</f>
        <v>0</v>
      </c>
      <c r="BH204" s="2846"/>
      <c r="BI204" s="2846"/>
      <c r="BJ204" s="1093">
        <f>IF(BH204=0,0,(BI204-BH204)/BH204*100)</f>
        <v>0</v>
      </c>
      <c r="BK204" s="2846"/>
      <c r="BL204" s="2846"/>
      <c r="BM204" s="1093">
        <f>IF(BK204=0,0,(BL204-BK204)/BK204*100)</f>
        <v>0</v>
      </c>
      <c r="BN204" s="2846"/>
      <c r="BO204" s="2846"/>
      <c r="BP204" s="1093">
        <f>IF(BN204=0,0,(BO204-BN204)/BN204*100)</f>
        <v>0</v>
      </c>
      <c r="BQ204" s="2846"/>
      <c r="BR204" s="2846"/>
      <c r="BS204" s="1093">
        <f>IF(BQ204=0,0,(BR204-BQ204)/BQ204*100)</f>
        <v>0</v>
      </c>
      <c r="BT204" s="2846"/>
      <c r="BU204" s="2846"/>
      <c r="BV204" s="1093">
        <f>IF(BT204=0,0,(BU204-BT204)/BT204*100)</f>
        <v>0</v>
      </c>
      <c r="BW204" s="2846"/>
      <c r="BX204" s="2846"/>
      <c r="BY204" s="1093">
        <f>IF(BW204=0,0,(BX204-BW204)/BW204*100)</f>
        <v>0</v>
      </c>
      <c r="BZ204" s="2846"/>
      <c r="CA204" s="2846"/>
      <c r="CB204" s="1093">
        <f>IF(BZ204=0,0,(CA204-BZ204)/BZ204*100)</f>
        <v>0</v>
      </c>
      <c r="CC204" s="2846"/>
      <c r="CD204" s="2846"/>
      <c r="CE204" s="1093">
        <f>IF(CC204=0,0,(CD204-CC204)/CC204*100)</f>
        <v>0</v>
      </c>
      <c r="CF204" s="2846"/>
      <c r="CG204" s="2846"/>
      <c r="CH204" s="1093">
        <f>IF(CF204=0,0,(CG204-CF204)/CF204*100)</f>
        <v>0</v>
      </c>
      <c r="CI204" s="2846"/>
      <c r="CJ204" s="2846"/>
      <c r="CK204" s="1093">
        <f>IF(CI204=0,0,(CJ204-CI204)/CI204*100)</f>
        <v>0</v>
      </c>
      <c r="CL204" s="2846"/>
      <c r="CM204" s="2846"/>
      <c r="CN204" s="1093">
        <f>IF(CL204=0,0,(CM204-CL204)/CL204*100)</f>
        <v>0</v>
      </c>
      <c r="CO204" s="2846"/>
      <c r="CP204" s="2846"/>
      <c r="CQ204" s="1093">
        <f>IF(CO204=0,0,(CP204-CO204)/CO204*100)</f>
        <v>0</v>
      </c>
      <c r="CR204" s="2846"/>
      <c r="CS204" s="2846"/>
      <c r="CT204" s="1093">
        <f>IF(CR204=0,0,(CS204-CR204)/CR204*100)</f>
        <v>0</v>
      </c>
      <c r="CU204" s="2846"/>
      <c r="CV204" s="2846"/>
      <c r="CW204" s="1093">
        <f>IF(CU204=0,0,(CV204-CU204)/CU204*100)</f>
        <v>0</v>
      </c>
      <c r="CX204" s="2846"/>
      <c r="CY204" s="2846"/>
      <c r="CZ204" s="1093">
        <f>IF(CX204=0,0,(CY204-CX204)/CX204*100)</f>
        <v>0</v>
      </c>
      <c r="DA204" s="2846"/>
      <c r="DB204" s="2846"/>
      <c r="DC204" s="1093">
        <f>IF(DA204=0,0,(DB204-DA204)/DA204*100)</f>
        <v>0</v>
      </c>
      <c r="DD204" s="2846"/>
      <c r="DE204" s="2846"/>
      <c r="DF204" s="1093">
        <f>IF(DD204=0,0,(DE204-DD204)/DD204*100)</f>
        <v>0</v>
      </c>
      <c r="DG204" s="2846"/>
      <c r="DH204" s="2846"/>
      <c r="DI204" s="1093">
        <f>IF(DG204=0,0,(DH204-DG204)/DG204*100)</f>
        <v>0</v>
      </c>
      <c r="DJ204" s="2846"/>
      <c r="DK204" s="2846"/>
      <c r="DL204" s="1093">
        <f>IF(DJ204=0,0,(DK204-DJ204)/DJ204*100)</f>
        <v>0</v>
      </c>
      <c r="DM204" s="2846"/>
      <c r="DN204" s="2846"/>
      <c r="DO204" s="1093">
        <f>IF(DM204=0,0,(DN204-DM204)/DM204*100)</f>
        <v>0</v>
      </c>
      <c r="DP204" s="2846"/>
      <c r="DQ204" s="2846"/>
      <c r="DR204" s="1093">
        <f>IF(DP204=0,0,(DQ204-DP204)/DP204*100)</f>
        <v>0</v>
      </c>
      <c r="DS204" s="2846"/>
      <c r="DT204" s="2846"/>
      <c r="DU204" s="1093">
        <f>IF(DS204=0,0,(DT204-DS204)/DS204*100)</f>
        <v>0</v>
      </c>
      <c r="DV204" s="2846"/>
      <c r="DW204" s="2846"/>
      <c r="DX204" s="1093">
        <f>IF(DV204=0,0,(DW204-DV204)/DV204*100)</f>
        <v>0</v>
      </c>
      <c r="DY204" s="2846"/>
      <c r="DZ204" s="2846"/>
      <c r="EA204" s="1093">
        <f>IF(DY204=0,0,(DZ204-DY204)/DY204*100)</f>
        <v>0</v>
      </c>
      <c r="EB204" s="2846"/>
      <c r="EC204" s="2846"/>
      <c r="ED204" s="1093">
        <f>IF(EB204=0,0,(EC204-EB204)/EB204*100)</f>
        <v>0</v>
      </c>
      <c r="EE204" s="2846"/>
      <c r="EF204" s="2846"/>
      <c r="EG204" s="1093">
        <f>IF(EE204=0,0,(EF204-EE204)/EE204*100)</f>
        <v>0</v>
      </c>
      <c r="EH204" s="2846"/>
      <c r="EI204" s="2846"/>
      <c r="EJ204" s="1093">
        <f>IF(EH204=0,0,(EI204-EH204)/EH204*100)</f>
        <v>0</v>
      </c>
      <c r="EK204" s="2846"/>
      <c r="EL204" s="2846"/>
      <c r="EM204" s="1093">
        <f>IF(EK204=0,0,(EL204-EK204)/EK204*100)</f>
        <v>0</v>
      </c>
      <c r="EN204" s="2846"/>
      <c r="EO204" s="2846"/>
      <c r="EP204" s="1093">
        <f>IF(EN204=0,0,(EO204-EN204)/EN204*100)</f>
        <v>0</v>
      </c>
      <c r="EQ204" s="2846"/>
      <c r="ER204" s="2846"/>
      <c r="ES204" s="1093">
        <f>IF(EQ204=0,0,(ER204-EQ204)/EQ204*100)</f>
        <v>0</v>
      </c>
      <c r="ET204" s="2846"/>
      <c r="EU204" s="2846"/>
      <c r="EV204" s="1093">
        <f>IF(ET204=0,0,(EU204-ET204)/ET204*100)</f>
        <v>0</v>
      </c>
      <c r="EW204" s="2846"/>
      <c r="EX204" s="2846"/>
      <c r="EY204" s="1093">
        <f>IF(EW204=0,0,(EX204-EW204)/EW204*100)</f>
        <v>0</v>
      </c>
      <c r="EZ204" s="2846"/>
      <c r="FA204" s="2846"/>
      <c r="FB204" s="1093">
        <f>IF(EZ204=0,0,(FA204-EZ204)/EZ204*100)</f>
        <v>0</v>
      </c>
      <c r="FC204" s="2846"/>
      <c r="FD204" s="2846"/>
      <c r="FE204" s="1093">
        <f>IF(FC204=0,0,(FD204-FC204)/FC204*100)</f>
        <v>0</v>
      </c>
      <c r="FF204" s="2846"/>
      <c r="FG204" s="2846"/>
      <c r="FH204" s="1093">
        <f>IF(FF204=0,0,(FG204-FF204)/FF204*100)</f>
        <v>0</v>
      </c>
      <c r="FI204" s="2846"/>
      <c r="FJ204" s="2846"/>
      <c r="FK204" s="1093">
        <f>IF(FI204=0,0,(FJ204-FI204)/FI204*100)</f>
        <v>0</v>
      </c>
      <c r="FL204" s="2846"/>
      <c r="FM204" s="2846"/>
      <c r="FN204" s="1093">
        <f>IF(FL204=0,0,(FM204-FL204)/FL204*100)</f>
        <v>0</v>
      </c>
      <c r="FO204" s="2846"/>
      <c r="FP204" s="2846"/>
      <c r="FQ204" s="1093">
        <f>IF(FO204=0,0,(FP204-FO204)/FO204*100)</f>
        <v>0</v>
      </c>
      <c r="FR204" s="2846"/>
      <c r="FS204" s="2846"/>
      <c r="FT204" s="1093">
        <f>IF(FR204=0,0,(FS204-FR204)/FR204*100)</f>
        <v>0</v>
      </c>
      <c r="FU204" s="2846"/>
      <c r="FV204" s="2846"/>
      <c r="FW204" s="1093">
        <f>IF(FU204=0,0,(FV204-FU204)/FU204*100)</f>
        <v>0</v>
      </c>
      <c r="FZ204" s="1306" t="s">
        <v>2409</v>
      </c>
      <c r="GA204" s="1306" t="s">
        <v>1594</v>
      </c>
      <c r="GB204" s="1306" cm="1" t="str">
        <f t="array" ref="GB204:GB204">GB203</f>
        <v>0</v>
      </c>
    </row>
    <row customHeight="1" ht="18.525" hidden="1">
      <c r="A205" s="493"/>
      <c r="B205" s="925" cm="1" t="str">
        <f t="array" ref="B205:B205">B204</f>
        <v>false</v>
      </c>
      <c r="C205" s="493"/>
      <c r="D205" s="493"/>
      <c r="E205" s="840">
        <v>19</v>
      </c>
      <c r="F205" s="50" cm="1" t="str">
        <f t="array" ref="F205:F205">OFFSET(E205,-1,1)</f>
        <v>2</v>
      </c>
      <c r="G205" s="493"/>
      <c r="H205" s="493"/>
      <c r="I205" s="493"/>
      <c r="J205" s="493"/>
      <c r="K205" s="493"/>
      <c r="L205" s="493"/>
      <c r="M205" s="493"/>
      <c r="N205" s="493"/>
      <c r="O205" s="493"/>
      <c r="P205" s="493"/>
      <c r="Q205" s="493"/>
      <c r="R205" s="493"/>
      <c r="S205" s="493"/>
      <c r="T205" s="465" cm="1" t="str">
        <f t="array" ref="T205:T205">T204</f>
        <v>false</v>
      </c>
      <c r="U205" s="493"/>
      <c r="V205" s="493"/>
      <c r="W205" s="493"/>
      <c r="X205" s="1596"/>
      <c r="Y205" s="1596"/>
      <c r="Z205" s="1545"/>
      <c r="AA205" s="1494"/>
      <c r="AB205" s="904" t="str">
        <f>"ставка платы за "&amp;IF(Q161="Водоснабжение","потребление 1 куб.м холодной воды","объем принятых сточных вод")</f>
        <v>ставка платы за объем принятых сточных вод</v>
      </c>
      <c r="AC205" s="864" t="s">
        <v>2337</v>
      </c>
      <c r="AD205" s="2846"/>
      <c r="AE205" s="2846"/>
      <c r="AF205" s="1093">
        <f>IF(AD205=0,0,(AE205-AD205)/AD205*100)</f>
        <v>0</v>
      </c>
      <c r="AG205" s="2846"/>
      <c r="AH205" s="2846"/>
      <c r="AI205" s="1093">
        <f>IF(AG205=0,0,(AH205-AG205)/AG205*100)</f>
        <v>0</v>
      </c>
      <c r="AJ205" s="2846"/>
      <c r="AK205" s="2846"/>
      <c r="AL205" s="1093">
        <f>IF(AJ205=0,0,(AK205-AJ205)/AJ205*100)</f>
        <v>0</v>
      </c>
      <c r="AM205" s="2846"/>
      <c r="AN205" s="2846"/>
      <c r="AO205" s="1093">
        <f>IF(AM205=0,0,(AN205-AM205)/AM205*100)</f>
        <v>0</v>
      </c>
      <c r="AP205" s="2846"/>
      <c r="AQ205" s="2846"/>
      <c r="AR205" s="1093">
        <f>IF(AP205=0,0,(AQ205-AP205)/AP205*100)</f>
        <v>0</v>
      </c>
      <c r="AS205" s="2846"/>
      <c r="AT205" s="2846"/>
      <c r="AU205" s="1093">
        <f>IF(AS205=0,0,(AT205-AS205)/AS205*100)</f>
        <v>0</v>
      </c>
      <c r="AV205" s="2846"/>
      <c r="AW205" s="2846"/>
      <c r="AX205" s="1093">
        <f>IF(AV205=0,0,(AW205-AV205)/AV205*100)</f>
        <v>0</v>
      </c>
      <c r="AY205" s="2846"/>
      <c r="AZ205" s="2846"/>
      <c r="BA205" s="1093">
        <f>IF(AY205=0,0,(AZ205-AY205)/AY205*100)</f>
        <v>0</v>
      </c>
      <c r="BB205" s="2846"/>
      <c r="BC205" s="2846"/>
      <c r="BD205" s="1093">
        <f>IF(BB205=0,0,(BC205-BB205)/BB205*100)</f>
        <v>0</v>
      </c>
      <c r="BE205" s="2846"/>
      <c r="BF205" s="2846"/>
      <c r="BG205" s="1093">
        <f>IF(BE205=0,0,(BF205-BE205)/BE205*100)</f>
        <v>0</v>
      </c>
      <c r="BH205" s="2846"/>
      <c r="BI205" s="2846"/>
      <c r="BJ205" s="1093">
        <f>IF(BH205=0,0,(BI205-BH205)/BH205*100)</f>
        <v>0</v>
      </c>
      <c r="BK205" s="2846"/>
      <c r="BL205" s="2846"/>
      <c r="BM205" s="1093">
        <f>IF(BK205=0,0,(BL205-BK205)/BK205*100)</f>
        <v>0</v>
      </c>
      <c r="BN205" s="2846"/>
      <c r="BO205" s="2846"/>
      <c r="BP205" s="1093">
        <f>IF(BN205=0,0,(BO205-BN205)/BN205*100)</f>
        <v>0</v>
      </c>
      <c r="BQ205" s="2846"/>
      <c r="BR205" s="2846"/>
      <c r="BS205" s="1093">
        <f>IF(BQ205=0,0,(BR205-BQ205)/BQ205*100)</f>
        <v>0</v>
      </c>
      <c r="BT205" s="2846"/>
      <c r="BU205" s="2846"/>
      <c r="BV205" s="1093">
        <f>IF(BT205=0,0,(BU205-BT205)/BT205*100)</f>
        <v>0</v>
      </c>
      <c r="BW205" s="2846"/>
      <c r="BX205" s="2846"/>
      <c r="BY205" s="1093">
        <f>IF(BW205=0,0,(BX205-BW205)/BW205*100)</f>
        <v>0</v>
      </c>
      <c r="BZ205" s="2846"/>
      <c r="CA205" s="2846"/>
      <c r="CB205" s="1093">
        <f>IF(BZ205=0,0,(CA205-BZ205)/BZ205*100)</f>
        <v>0</v>
      </c>
      <c r="CC205" s="2846"/>
      <c r="CD205" s="2846"/>
      <c r="CE205" s="1093">
        <f>IF(CC205=0,0,(CD205-CC205)/CC205*100)</f>
        <v>0</v>
      </c>
      <c r="CF205" s="2846"/>
      <c r="CG205" s="2846"/>
      <c r="CH205" s="1093">
        <f>IF(CF205=0,0,(CG205-CF205)/CF205*100)</f>
        <v>0</v>
      </c>
      <c r="CI205" s="2846"/>
      <c r="CJ205" s="2846"/>
      <c r="CK205" s="1093">
        <f>IF(CI205=0,0,(CJ205-CI205)/CI205*100)</f>
        <v>0</v>
      </c>
      <c r="CL205" s="2846"/>
      <c r="CM205" s="2846"/>
      <c r="CN205" s="1093">
        <f>IF(CL205=0,0,(CM205-CL205)/CL205*100)</f>
        <v>0</v>
      </c>
      <c r="CO205" s="2846"/>
      <c r="CP205" s="2846"/>
      <c r="CQ205" s="1093">
        <f>IF(CO205=0,0,(CP205-CO205)/CO205*100)</f>
        <v>0</v>
      </c>
      <c r="CR205" s="2846"/>
      <c r="CS205" s="2846"/>
      <c r="CT205" s="1093">
        <f>IF(CR205=0,0,(CS205-CR205)/CR205*100)</f>
        <v>0</v>
      </c>
      <c r="CU205" s="2846"/>
      <c r="CV205" s="2846"/>
      <c r="CW205" s="1093">
        <f>IF(CU205=0,0,(CV205-CU205)/CU205*100)</f>
        <v>0</v>
      </c>
      <c r="CX205" s="2846"/>
      <c r="CY205" s="2846"/>
      <c r="CZ205" s="1093">
        <f>IF(CX205=0,0,(CY205-CX205)/CX205*100)</f>
        <v>0</v>
      </c>
      <c r="DA205" s="2846"/>
      <c r="DB205" s="2846"/>
      <c r="DC205" s="1093">
        <f>IF(DA205=0,0,(DB205-DA205)/DA205*100)</f>
        <v>0</v>
      </c>
      <c r="DD205" s="2846"/>
      <c r="DE205" s="2846"/>
      <c r="DF205" s="1093">
        <f>IF(DD205=0,0,(DE205-DD205)/DD205*100)</f>
        <v>0</v>
      </c>
      <c r="DG205" s="2846"/>
      <c r="DH205" s="2846"/>
      <c r="DI205" s="1093">
        <f>IF(DG205=0,0,(DH205-DG205)/DG205*100)</f>
        <v>0</v>
      </c>
      <c r="DJ205" s="2846"/>
      <c r="DK205" s="2846"/>
      <c r="DL205" s="1093">
        <f>IF(DJ205=0,0,(DK205-DJ205)/DJ205*100)</f>
        <v>0</v>
      </c>
      <c r="DM205" s="2846"/>
      <c r="DN205" s="2846"/>
      <c r="DO205" s="1093">
        <f>IF(DM205=0,0,(DN205-DM205)/DM205*100)</f>
        <v>0</v>
      </c>
      <c r="DP205" s="2846"/>
      <c r="DQ205" s="2846"/>
      <c r="DR205" s="1093">
        <f>IF(DP205=0,0,(DQ205-DP205)/DP205*100)</f>
        <v>0</v>
      </c>
      <c r="DS205" s="2846"/>
      <c r="DT205" s="2846"/>
      <c r="DU205" s="1093">
        <f>IF(DS205=0,0,(DT205-DS205)/DS205*100)</f>
        <v>0</v>
      </c>
      <c r="DV205" s="2846"/>
      <c r="DW205" s="2846"/>
      <c r="DX205" s="1093">
        <f>IF(DV205=0,0,(DW205-DV205)/DV205*100)</f>
        <v>0</v>
      </c>
      <c r="DY205" s="2846"/>
      <c r="DZ205" s="2846"/>
      <c r="EA205" s="1093">
        <f>IF(DY205=0,0,(DZ205-DY205)/DY205*100)</f>
        <v>0</v>
      </c>
      <c r="EB205" s="2846"/>
      <c r="EC205" s="2846"/>
      <c r="ED205" s="1093">
        <f>IF(EB205=0,0,(EC205-EB205)/EB205*100)</f>
        <v>0</v>
      </c>
      <c r="EE205" s="2846"/>
      <c r="EF205" s="2846"/>
      <c r="EG205" s="1093">
        <f>IF(EE205=0,0,(EF205-EE205)/EE205*100)</f>
        <v>0</v>
      </c>
      <c r="EH205" s="2846"/>
      <c r="EI205" s="2846"/>
      <c r="EJ205" s="1093">
        <f>IF(EH205=0,0,(EI205-EH205)/EH205*100)</f>
        <v>0</v>
      </c>
      <c r="EK205" s="2846"/>
      <c r="EL205" s="2846"/>
      <c r="EM205" s="1093">
        <f>IF(EK205=0,0,(EL205-EK205)/EK205*100)</f>
        <v>0</v>
      </c>
      <c r="EN205" s="2846"/>
      <c r="EO205" s="2846"/>
      <c r="EP205" s="1093">
        <f>IF(EN205=0,0,(EO205-EN205)/EN205*100)</f>
        <v>0</v>
      </c>
      <c r="EQ205" s="2846"/>
      <c r="ER205" s="2846"/>
      <c r="ES205" s="1093">
        <f>IF(EQ205=0,0,(ER205-EQ205)/EQ205*100)</f>
        <v>0</v>
      </c>
      <c r="ET205" s="2846"/>
      <c r="EU205" s="2846"/>
      <c r="EV205" s="1093">
        <f>IF(ET205=0,0,(EU205-ET205)/ET205*100)</f>
        <v>0</v>
      </c>
      <c r="EW205" s="2846"/>
      <c r="EX205" s="2846"/>
      <c r="EY205" s="1093">
        <f>IF(EW205=0,0,(EX205-EW205)/EW205*100)</f>
        <v>0</v>
      </c>
      <c r="EZ205" s="2846"/>
      <c r="FA205" s="2846"/>
      <c r="FB205" s="1093">
        <f>IF(EZ205=0,0,(FA205-EZ205)/EZ205*100)</f>
        <v>0</v>
      </c>
      <c r="FC205" s="2846"/>
      <c r="FD205" s="2846"/>
      <c r="FE205" s="1093">
        <f>IF(FC205=0,0,(FD205-FC205)/FC205*100)</f>
        <v>0</v>
      </c>
      <c r="FF205" s="2846"/>
      <c r="FG205" s="2846"/>
      <c r="FH205" s="1093">
        <f>IF(FF205=0,0,(FG205-FF205)/FF205*100)</f>
        <v>0</v>
      </c>
      <c r="FI205" s="2846"/>
      <c r="FJ205" s="2846"/>
      <c r="FK205" s="1093">
        <f>IF(FI205=0,0,(FJ205-FI205)/FI205*100)</f>
        <v>0</v>
      </c>
      <c r="FL205" s="2846"/>
      <c r="FM205" s="2846"/>
      <c r="FN205" s="1093">
        <f>IF(FL205=0,0,(FM205-FL205)/FL205*100)</f>
        <v>0</v>
      </c>
      <c r="FO205" s="2846"/>
      <c r="FP205" s="2846"/>
      <c r="FQ205" s="1093">
        <f>IF(FO205=0,0,(FP205-FO205)/FO205*100)</f>
        <v>0</v>
      </c>
      <c r="FR205" s="2846"/>
      <c r="FS205" s="2846"/>
      <c r="FT205" s="1093">
        <f>IF(FR205=0,0,(FS205-FR205)/FR205*100)</f>
        <v>0</v>
      </c>
      <c r="FU205" s="2846"/>
      <c r="FV205" s="2846"/>
      <c r="FW205" s="1093">
        <f>IF(FU205=0,0,(FV205-FU205)/FU205*100)</f>
        <v>0</v>
      </c>
      <c r="FZ205" s="1306" t="s">
        <v>2410</v>
      </c>
      <c r="GA205" s="1306" t="s">
        <v>1594</v>
      </c>
      <c r="GB205" s="1306" cm="1" t="str">
        <f t="array" ref="GB205:GB205">GB204</f>
        <v>0</v>
      </c>
    </row>
    <row customHeight="1" ht="18.525" hidden="1">
      <c r="A206" s="493"/>
      <c r="B206" s="925" cm="1" t="str">
        <f t="array" ref="B206:B206">B205</f>
        <v>false</v>
      </c>
      <c r="C206" s="493"/>
      <c r="D206" s="493"/>
      <c r="E206" s="840">
        <v>19</v>
      </c>
      <c r="F206" s="50" cm="1" t="str">
        <f t="array" ref="F206:F206">OFFSET(E206,-1,1)</f>
        <v>2</v>
      </c>
      <c r="G206" s="493"/>
      <c r="H206" s="493"/>
      <c r="I206" s="493"/>
      <c r="J206" s="493"/>
      <c r="K206" s="493"/>
      <c r="L206" s="493"/>
      <c r="M206" s="493"/>
      <c r="N206" s="493"/>
      <c r="O206" s="493"/>
      <c r="P206" s="493"/>
      <c r="Q206" s="493"/>
      <c r="R206" s="493"/>
      <c r="S206" s="493"/>
      <c r="T206" s="465" cm="1" t="str">
        <f t="array" ref="T206:T206">T205</f>
        <v>false</v>
      </c>
      <c r="U206" s="493"/>
      <c r="V206" s="493"/>
      <c r="W206" s="493"/>
      <c r="X206" s="1596"/>
      <c r="Y206" s="1596"/>
      <c r="Z206" s="1545"/>
      <c r="AA206" s="1494"/>
      <c r="AB206" s="904" t="str">
        <f>"объём "&amp;IF(Q161="Водоснабжение","потребления холодной воды","водоотведения")</f>
        <v>объём водоотведения</v>
      </c>
      <c r="AC206" s="864" t="s">
        <v>1247</v>
      </c>
      <c r="AD206" s="5247"/>
      <c r="AE206" s="5247"/>
      <c r="AF206" s="1095">
        <f>IF(AD206=0,0,(AE206-AD206)/AD206*100)</f>
        <v>0</v>
      </c>
      <c r="AG206" s="5247"/>
      <c r="AH206" s="5247"/>
      <c r="AI206" s="1095">
        <f>IF(AG206=0,0,(AH206-AG206)/AG206*100)</f>
        <v>0</v>
      </c>
      <c r="AJ206" s="5247"/>
      <c r="AK206" s="5247"/>
      <c r="AL206" s="1095">
        <f>IF(AJ206=0,0,(AK206-AJ206)/AJ206*100)</f>
        <v>0</v>
      </c>
      <c r="AM206" s="5247"/>
      <c r="AN206" s="5247"/>
      <c r="AO206" s="1095">
        <f>IF(AM206=0,0,(AN206-AM206)/AM206*100)</f>
        <v>0</v>
      </c>
      <c r="AP206" s="5247"/>
      <c r="AQ206" s="5247"/>
      <c r="AR206" s="1095">
        <f>IF(AP206=0,0,(AQ206-AP206)/AP206*100)</f>
        <v>0</v>
      </c>
      <c r="AS206" s="5247"/>
      <c r="AT206" s="5247"/>
      <c r="AU206" s="1095">
        <f>IF(AS206=0,0,(AT206-AS206)/AS206*100)</f>
        <v>0</v>
      </c>
      <c r="AV206" s="5247"/>
      <c r="AW206" s="5247"/>
      <c r="AX206" s="1095">
        <f>IF(AV206=0,0,(AW206-AV206)/AV206*100)</f>
        <v>0</v>
      </c>
      <c r="AY206" s="5247"/>
      <c r="AZ206" s="5247"/>
      <c r="BA206" s="1095">
        <f>IF(AY206=0,0,(AZ206-AY206)/AY206*100)</f>
        <v>0</v>
      </c>
      <c r="BB206" s="5247"/>
      <c r="BC206" s="5247"/>
      <c r="BD206" s="1095">
        <f>IF(BB206=0,0,(BC206-BB206)/BB206*100)</f>
        <v>0</v>
      </c>
      <c r="BE206" s="5247"/>
      <c r="BF206" s="5247"/>
      <c r="BG206" s="1095">
        <f>IF(BE206=0,0,(BF206-BE206)/BE206*100)</f>
        <v>0</v>
      </c>
      <c r="BH206" s="5247"/>
      <c r="BI206" s="5247"/>
      <c r="BJ206" s="1095">
        <f>IF(BH206=0,0,(BI206-BH206)/BH206*100)</f>
        <v>0</v>
      </c>
      <c r="BK206" s="5247"/>
      <c r="BL206" s="5247"/>
      <c r="BM206" s="1095">
        <f>IF(BK206=0,0,(BL206-BK206)/BK206*100)</f>
        <v>0</v>
      </c>
      <c r="BN206" s="5247"/>
      <c r="BO206" s="5247"/>
      <c r="BP206" s="1095">
        <f>IF(BN206=0,0,(BO206-BN206)/BN206*100)</f>
        <v>0</v>
      </c>
      <c r="BQ206" s="5247"/>
      <c r="BR206" s="5247"/>
      <c r="BS206" s="1095">
        <f>IF(BQ206=0,0,(BR206-BQ206)/BQ206*100)</f>
        <v>0</v>
      </c>
      <c r="BT206" s="5247"/>
      <c r="BU206" s="5247"/>
      <c r="BV206" s="1095">
        <f>IF(BT206=0,0,(BU206-BT206)/BT206*100)</f>
        <v>0</v>
      </c>
      <c r="BW206" s="5247"/>
      <c r="BX206" s="5247"/>
      <c r="BY206" s="1095">
        <f>IF(BW206=0,0,(BX206-BW206)/BW206*100)</f>
        <v>0</v>
      </c>
      <c r="BZ206" s="5247"/>
      <c r="CA206" s="5247"/>
      <c r="CB206" s="1095">
        <f>IF(BZ206=0,0,(CA206-BZ206)/BZ206*100)</f>
        <v>0</v>
      </c>
      <c r="CC206" s="5247"/>
      <c r="CD206" s="5247"/>
      <c r="CE206" s="1095">
        <f>IF(CC206=0,0,(CD206-CC206)/CC206*100)</f>
        <v>0</v>
      </c>
      <c r="CF206" s="5247"/>
      <c r="CG206" s="5247"/>
      <c r="CH206" s="1095">
        <f>IF(CF206=0,0,(CG206-CF206)/CF206*100)</f>
        <v>0</v>
      </c>
      <c r="CI206" s="5247"/>
      <c r="CJ206" s="5247"/>
      <c r="CK206" s="1095">
        <f>IF(CI206=0,0,(CJ206-CI206)/CI206*100)</f>
        <v>0</v>
      </c>
      <c r="CL206" s="5247"/>
      <c r="CM206" s="5247"/>
      <c r="CN206" s="1095">
        <f>IF(CL206=0,0,(CM206-CL206)/CL206*100)</f>
        <v>0</v>
      </c>
      <c r="CO206" s="5247"/>
      <c r="CP206" s="5247"/>
      <c r="CQ206" s="1095">
        <f>IF(CO206=0,0,(CP206-CO206)/CO206*100)</f>
        <v>0</v>
      </c>
      <c r="CR206" s="5247"/>
      <c r="CS206" s="5247"/>
      <c r="CT206" s="1095">
        <f>IF(CR206=0,0,(CS206-CR206)/CR206*100)</f>
        <v>0</v>
      </c>
      <c r="CU206" s="5247"/>
      <c r="CV206" s="5247"/>
      <c r="CW206" s="1095">
        <f>IF(CU206=0,0,(CV206-CU206)/CU206*100)</f>
        <v>0</v>
      </c>
      <c r="CX206" s="5247"/>
      <c r="CY206" s="5247"/>
      <c r="CZ206" s="1095">
        <f>IF(CX206=0,0,(CY206-CX206)/CX206*100)</f>
        <v>0</v>
      </c>
      <c r="DA206" s="5247"/>
      <c r="DB206" s="5247"/>
      <c r="DC206" s="1095">
        <f>IF(DA206=0,0,(DB206-DA206)/DA206*100)</f>
        <v>0</v>
      </c>
      <c r="DD206" s="5247"/>
      <c r="DE206" s="5247"/>
      <c r="DF206" s="1095">
        <f>IF(DD206=0,0,(DE206-DD206)/DD206*100)</f>
        <v>0</v>
      </c>
      <c r="DG206" s="5247"/>
      <c r="DH206" s="5247"/>
      <c r="DI206" s="1095">
        <f>IF(DG206=0,0,(DH206-DG206)/DG206*100)</f>
        <v>0</v>
      </c>
      <c r="DJ206" s="5247"/>
      <c r="DK206" s="5247"/>
      <c r="DL206" s="1095">
        <f>IF(DJ206=0,0,(DK206-DJ206)/DJ206*100)</f>
        <v>0</v>
      </c>
      <c r="DM206" s="5247"/>
      <c r="DN206" s="5247"/>
      <c r="DO206" s="1095">
        <f>IF(DM206=0,0,(DN206-DM206)/DM206*100)</f>
        <v>0</v>
      </c>
      <c r="DP206" s="5247"/>
      <c r="DQ206" s="5247"/>
      <c r="DR206" s="1095">
        <f>IF(DP206=0,0,(DQ206-DP206)/DP206*100)</f>
        <v>0</v>
      </c>
      <c r="DS206" s="5247"/>
      <c r="DT206" s="5247"/>
      <c r="DU206" s="1095">
        <f>IF(DS206=0,0,(DT206-DS206)/DS206*100)</f>
        <v>0</v>
      </c>
      <c r="DV206" s="5247"/>
      <c r="DW206" s="5247"/>
      <c r="DX206" s="1095">
        <f>IF(DV206=0,0,(DW206-DV206)/DV206*100)</f>
        <v>0</v>
      </c>
      <c r="DY206" s="5247"/>
      <c r="DZ206" s="5247"/>
      <c r="EA206" s="1095">
        <f>IF(DY206=0,0,(DZ206-DY206)/DY206*100)</f>
        <v>0</v>
      </c>
      <c r="EB206" s="5247"/>
      <c r="EC206" s="5247"/>
      <c r="ED206" s="1095">
        <f>IF(EB206=0,0,(EC206-EB206)/EB206*100)</f>
        <v>0</v>
      </c>
      <c r="EE206" s="5247"/>
      <c r="EF206" s="5247"/>
      <c r="EG206" s="1095">
        <f>IF(EE206=0,0,(EF206-EE206)/EE206*100)</f>
        <v>0</v>
      </c>
      <c r="EH206" s="5247"/>
      <c r="EI206" s="5247"/>
      <c r="EJ206" s="1095">
        <f>IF(EH206=0,0,(EI206-EH206)/EH206*100)</f>
        <v>0</v>
      </c>
      <c r="EK206" s="5247"/>
      <c r="EL206" s="5247"/>
      <c r="EM206" s="1095">
        <f>IF(EK206=0,0,(EL206-EK206)/EK206*100)</f>
        <v>0</v>
      </c>
      <c r="EN206" s="5247"/>
      <c r="EO206" s="5247"/>
      <c r="EP206" s="1095">
        <f>IF(EN206=0,0,(EO206-EN206)/EN206*100)</f>
        <v>0</v>
      </c>
      <c r="EQ206" s="5247"/>
      <c r="ER206" s="5247"/>
      <c r="ES206" s="1095">
        <f>IF(EQ206=0,0,(ER206-EQ206)/EQ206*100)</f>
        <v>0</v>
      </c>
      <c r="ET206" s="5247"/>
      <c r="EU206" s="5247"/>
      <c r="EV206" s="1095">
        <f>IF(ET206=0,0,(EU206-ET206)/ET206*100)</f>
        <v>0</v>
      </c>
      <c r="EW206" s="5247"/>
      <c r="EX206" s="5247"/>
      <c r="EY206" s="1095">
        <f>IF(EW206=0,0,(EX206-EW206)/EW206*100)</f>
        <v>0</v>
      </c>
      <c r="EZ206" s="5247"/>
      <c r="FA206" s="5247"/>
      <c r="FB206" s="1095">
        <f>IF(EZ206=0,0,(FA206-EZ206)/EZ206*100)</f>
        <v>0</v>
      </c>
      <c r="FC206" s="5247"/>
      <c r="FD206" s="5247"/>
      <c r="FE206" s="1095">
        <f>IF(FC206=0,0,(FD206-FC206)/FC206*100)</f>
        <v>0</v>
      </c>
      <c r="FF206" s="5247"/>
      <c r="FG206" s="5247"/>
      <c r="FH206" s="1095">
        <f>IF(FF206=0,0,(FG206-FF206)/FF206*100)</f>
        <v>0</v>
      </c>
      <c r="FI206" s="5247"/>
      <c r="FJ206" s="5247"/>
      <c r="FK206" s="1095">
        <f>IF(FI206=0,0,(FJ206-FI206)/FI206*100)</f>
        <v>0</v>
      </c>
      <c r="FL206" s="5247"/>
      <c r="FM206" s="5247"/>
      <c r="FN206" s="1095">
        <f>IF(FL206=0,0,(FM206-FL206)/FL206*100)</f>
        <v>0</v>
      </c>
      <c r="FO206" s="5247"/>
      <c r="FP206" s="5247"/>
      <c r="FQ206" s="1095">
        <f>IF(FO206=0,0,(FP206-FO206)/FO206*100)</f>
        <v>0</v>
      </c>
      <c r="FR206" s="5247"/>
      <c r="FS206" s="5247"/>
      <c r="FT206" s="1095">
        <f>IF(FR206=0,0,(FS206-FR206)/FR206*100)</f>
        <v>0</v>
      </c>
      <c r="FU206" s="5247"/>
      <c r="FV206" s="5247"/>
      <c r="FW206" s="1095">
        <f>IF(FU206=0,0,(FV206-FU206)/FU206*100)</f>
        <v>0</v>
      </c>
      <c r="FZ206" s="1306" t="s">
        <v>2411</v>
      </c>
      <c r="GA206" s="1306" t="s">
        <v>1594</v>
      </c>
      <c r="GB206" s="1306" cm="1" t="str">
        <f t="array" ref="GB206:GB206">GB205</f>
        <v>0</v>
      </c>
    </row>
    <row customHeight="1" ht="23.25" hidden="1">
      <c r="A207" s="493"/>
      <c r="B207" s="925" cm="1" t="str">
        <f t="array" ref="B207:B207">B206</f>
        <v>false</v>
      </c>
      <c r="C207" s="493"/>
      <c r="D207" s="493"/>
      <c r="E207" s="840">
        <v>19</v>
      </c>
      <c r="F207" s="50" cm="1" t="str">
        <f t="array" ref="F207:F207">OFFSET(E207,-1,1)</f>
        <v>2</v>
      </c>
      <c r="G207" s="493"/>
      <c r="H207" s="493"/>
      <c r="I207" s="493"/>
      <c r="J207" s="493"/>
      <c r="K207" s="493"/>
      <c r="L207" s="493"/>
      <c r="M207" s="493"/>
      <c r="N207" s="493"/>
      <c r="O207" s="493"/>
      <c r="P207" s="493"/>
      <c r="Q207" s="493"/>
      <c r="R207" s="493"/>
      <c r="S207" s="493"/>
      <c r="T207" s="465" cm="1" t="str">
        <f t="array" ref="T207:T207">T206</f>
        <v>false</v>
      </c>
      <c r="U207" s="493"/>
      <c r="V207" s="493"/>
      <c r="W207" s="493"/>
      <c r="X207" s="1596"/>
      <c r="Y207" s="1596"/>
      <c r="Z207" s="1545"/>
      <c r="AA207" s="1494"/>
      <c r="AB207" s="904" t="str">
        <f>"ставка платы за содержание системы "&amp;IF(Q161="Водоснабжение","холодного водоснабжения","водоотведения")</f>
        <v>ставка платы за содержание системы водоотведения</v>
      </c>
      <c r="AC207" s="864" t="s">
        <v>2377</v>
      </c>
      <c r="AD207" s="2846"/>
      <c r="AE207" s="2846"/>
      <c r="AF207" s="1093">
        <f>IF(AD207=0,0,(AE207-AD207)/AD207*100)</f>
        <v>0</v>
      </c>
      <c r="AG207" s="2846"/>
      <c r="AH207" s="2846"/>
      <c r="AI207" s="1093">
        <f>IF(AG207=0,0,(AH207-AG207)/AG207*100)</f>
        <v>0</v>
      </c>
      <c r="AJ207" s="2846"/>
      <c r="AK207" s="2846"/>
      <c r="AL207" s="1093">
        <f>IF(AJ207=0,0,(AK207-AJ207)/AJ207*100)</f>
        <v>0</v>
      </c>
      <c r="AM207" s="2846"/>
      <c r="AN207" s="2846"/>
      <c r="AO207" s="1093">
        <f>IF(AM207=0,0,(AN207-AM207)/AM207*100)</f>
        <v>0</v>
      </c>
      <c r="AP207" s="2846"/>
      <c r="AQ207" s="2846"/>
      <c r="AR207" s="1093">
        <f>IF(AP207=0,0,(AQ207-AP207)/AP207*100)</f>
        <v>0</v>
      </c>
      <c r="AS207" s="2846"/>
      <c r="AT207" s="2846"/>
      <c r="AU207" s="1093">
        <f>IF(AS207=0,0,(AT207-AS207)/AS207*100)</f>
        <v>0</v>
      </c>
      <c r="AV207" s="2846"/>
      <c r="AW207" s="2846"/>
      <c r="AX207" s="1093">
        <f>IF(AV207=0,0,(AW207-AV207)/AV207*100)</f>
        <v>0</v>
      </c>
      <c r="AY207" s="2846"/>
      <c r="AZ207" s="2846"/>
      <c r="BA207" s="1093">
        <f>IF(AY207=0,0,(AZ207-AY207)/AY207*100)</f>
        <v>0</v>
      </c>
      <c r="BB207" s="2846"/>
      <c r="BC207" s="2846"/>
      <c r="BD207" s="1093">
        <f>IF(BB207=0,0,(BC207-BB207)/BB207*100)</f>
        <v>0</v>
      </c>
      <c r="BE207" s="2846"/>
      <c r="BF207" s="2846"/>
      <c r="BG207" s="1093">
        <f>IF(BE207=0,0,(BF207-BE207)/BE207*100)</f>
        <v>0</v>
      </c>
      <c r="BH207" s="2846"/>
      <c r="BI207" s="2846"/>
      <c r="BJ207" s="1093">
        <f>IF(BH207=0,0,(BI207-BH207)/BH207*100)</f>
        <v>0</v>
      </c>
      <c r="BK207" s="2846"/>
      <c r="BL207" s="2846"/>
      <c r="BM207" s="1093">
        <f>IF(BK207=0,0,(BL207-BK207)/BK207*100)</f>
        <v>0</v>
      </c>
      <c r="BN207" s="2846"/>
      <c r="BO207" s="2846"/>
      <c r="BP207" s="1093">
        <f>IF(BN207=0,0,(BO207-BN207)/BN207*100)</f>
        <v>0</v>
      </c>
      <c r="BQ207" s="2846"/>
      <c r="BR207" s="2846"/>
      <c r="BS207" s="1093">
        <f>IF(BQ207=0,0,(BR207-BQ207)/BQ207*100)</f>
        <v>0</v>
      </c>
      <c r="BT207" s="2846"/>
      <c r="BU207" s="2846"/>
      <c r="BV207" s="1093">
        <f>IF(BT207=0,0,(BU207-BT207)/BT207*100)</f>
        <v>0</v>
      </c>
      <c r="BW207" s="2846"/>
      <c r="BX207" s="2846"/>
      <c r="BY207" s="1093">
        <f>IF(BW207=0,0,(BX207-BW207)/BW207*100)</f>
        <v>0</v>
      </c>
      <c r="BZ207" s="2846"/>
      <c r="CA207" s="2846"/>
      <c r="CB207" s="1093">
        <f>IF(BZ207=0,0,(CA207-BZ207)/BZ207*100)</f>
        <v>0</v>
      </c>
      <c r="CC207" s="2846"/>
      <c r="CD207" s="2846"/>
      <c r="CE207" s="1093">
        <f>IF(CC207=0,0,(CD207-CC207)/CC207*100)</f>
        <v>0</v>
      </c>
      <c r="CF207" s="2846"/>
      <c r="CG207" s="2846"/>
      <c r="CH207" s="1093">
        <f>IF(CF207=0,0,(CG207-CF207)/CF207*100)</f>
        <v>0</v>
      </c>
      <c r="CI207" s="2846"/>
      <c r="CJ207" s="2846"/>
      <c r="CK207" s="1093">
        <f>IF(CI207=0,0,(CJ207-CI207)/CI207*100)</f>
        <v>0</v>
      </c>
      <c r="CL207" s="2846"/>
      <c r="CM207" s="2846"/>
      <c r="CN207" s="1093">
        <f>IF(CL207=0,0,(CM207-CL207)/CL207*100)</f>
        <v>0</v>
      </c>
      <c r="CO207" s="2846"/>
      <c r="CP207" s="2846"/>
      <c r="CQ207" s="1093">
        <f>IF(CO207=0,0,(CP207-CO207)/CO207*100)</f>
        <v>0</v>
      </c>
      <c r="CR207" s="2846"/>
      <c r="CS207" s="2846"/>
      <c r="CT207" s="1093">
        <f>IF(CR207=0,0,(CS207-CR207)/CR207*100)</f>
        <v>0</v>
      </c>
      <c r="CU207" s="2846"/>
      <c r="CV207" s="2846"/>
      <c r="CW207" s="1093">
        <f>IF(CU207=0,0,(CV207-CU207)/CU207*100)</f>
        <v>0</v>
      </c>
      <c r="CX207" s="2846"/>
      <c r="CY207" s="2846"/>
      <c r="CZ207" s="1093">
        <f>IF(CX207=0,0,(CY207-CX207)/CX207*100)</f>
        <v>0</v>
      </c>
      <c r="DA207" s="2846"/>
      <c r="DB207" s="2846"/>
      <c r="DC207" s="1093">
        <f>IF(DA207=0,0,(DB207-DA207)/DA207*100)</f>
        <v>0</v>
      </c>
      <c r="DD207" s="2846"/>
      <c r="DE207" s="2846"/>
      <c r="DF207" s="1093">
        <f>IF(DD207=0,0,(DE207-DD207)/DD207*100)</f>
        <v>0</v>
      </c>
      <c r="DG207" s="2846"/>
      <c r="DH207" s="2846"/>
      <c r="DI207" s="1093">
        <f>IF(DG207=0,0,(DH207-DG207)/DG207*100)</f>
        <v>0</v>
      </c>
      <c r="DJ207" s="2846"/>
      <c r="DK207" s="2846"/>
      <c r="DL207" s="1093">
        <f>IF(DJ207=0,0,(DK207-DJ207)/DJ207*100)</f>
        <v>0</v>
      </c>
      <c r="DM207" s="2846"/>
      <c r="DN207" s="2846"/>
      <c r="DO207" s="1093">
        <f>IF(DM207=0,0,(DN207-DM207)/DM207*100)</f>
        <v>0</v>
      </c>
      <c r="DP207" s="2846"/>
      <c r="DQ207" s="2846"/>
      <c r="DR207" s="1093">
        <f>IF(DP207=0,0,(DQ207-DP207)/DP207*100)</f>
        <v>0</v>
      </c>
      <c r="DS207" s="2846"/>
      <c r="DT207" s="2846"/>
      <c r="DU207" s="1093">
        <f>IF(DS207=0,0,(DT207-DS207)/DS207*100)</f>
        <v>0</v>
      </c>
      <c r="DV207" s="2846"/>
      <c r="DW207" s="2846"/>
      <c r="DX207" s="1093">
        <f>IF(DV207=0,0,(DW207-DV207)/DV207*100)</f>
        <v>0</v>
      </c>
      <c r="DY207" s="2846"/>
      <c r="DZ207" s="2846"/>
      <c r="EA207" s="1093">
        <f>IF(DY207=0,0,(DZ207-DY207)/DY207*100)</f>
        <v>0</v>
      </c>
      <c r="EB207" s="2846"/>
      <c r="EC207" s="2846"/>
      <c r="ED207" s="1093">
        <f>IF(EB207=0,0,(EC207-EB207)/EB207*100)</f>
        <v>0</v>
      </c>
      <c r="EE207" s="2846"/>
      <c r="EF207" s="2846"/>
      <c r="EG207" s="1093">
        <f>IF(EE207=0,0,(EF207-EE207)/EE207*100)</f>
        <v>0</v>
      </c>
      <c r="EH207" s="2846"/>
      <c r="EI207" s="2846"/>
      <c r="EJ207" s="1093">
        <f>IF(EH207=0,0,(EI207-EH207)/EH207*100)</f>
        <v>0</v>
      </c>
      <c r="EK207" s="2846"/>
      <c r="EL207" s="2846"/>
      <c r="EM207" s="1093">
        <f>IF(EK207=0,0,(EL207-EK207)/EK207*100)</f>
        <v>0</v>
      </c>
      <c r="EN207" s="2846"/>
      <c r="EO207" s="2846"/>
      <c r="EP207" s="1093">
        <f>IF(EN207=0,0,(EO207-EN207)/EN207*100)</f>
        <v>0</v>
      </c>
      <c r="EQ207" s="2846"/>
      <c r="ER207" s="2846"/>
      <c r="ES207" s="1093">
        <f>IF(EQ207=0,0,(ER207-EQ207)/EQ207*100)</f>
        <v>0</v>
      </c>
      <c r="ET207" s="2846"/>
      <c r="EU207" s="2846"/>
      <c r="EV207" s="1093">
        <f>IF(ET207=0,0,(EU207-ET207)/ET207*100)</f>
        <v>0</v>
      </c>
      <c r="EW207" s="2846"/>
      <c r="EX207" s="2846"/>
      <c r="EY207" s="1093">
        <f>IF(EW207=0,0,(EX207-EW207)/EW207*100)</f>
        <v>0</v>
      </c>
      <c r="EZ207" s="2846"/>
      <c r="FA207" s="2846"/>
      <c r="FB207" s="1093">
        <f>IF(EZ207=0,0,(FA207-EZ207)/EZ207*100)</f>
        <v>0</v>
      </c>
      <c r="FC207" s="2846"/>
      <c r="FD207" s="2846"/>
      <c r="FE207" s="1093">
        <f>IF(FC207=0,0,(FD207-FC207)/FC207*100)</f>
        <v>0</v>
      </c>
      <c r="FF207" s="2846"/>
      <c r="FG207" s="2846"/>
      <c r="FH207" s="1093">
        <f>IF(FF207=0,0,(FG207-FF207)/FF207*100)</f>
        <v>0</v>
      </c>
      <c r="FI207" s="2846"/>
      <c r="FJ207" s="2846"/>
      <c r="FK207" s="1093">
        <f>IF(FI207=0,0,(FJ207-FI207)/FI207*100)</f>
        <v>0</v>
      </c>
      <c r="FL207" s="2846"/>
      <c r="FM207" s="2846"/>
      <c r="FN207" s="1093">
        <f>IF(FL207=0,0,(FM207-FL207)/FL207*100)</f>
        <v>0</v>
      </c>
      <c r="FO207" s="2846"/>
      <c r="FP207" s="2846"/>
      <c r="FQ207" s="1093">
        <f>IF(FO207=0,0,(FP207-FO207)/FO207*100)</f>
        <v>0</v>
      </c>
      <c r="FR207" s="2846"/>
      <c r="FS207" s="2846"/>
      <c r="FT207" s="1093">
        <f>IF(FR207=0,0,(FS207-FR207)/FR207*100)</f>
        <v>0</v>
      </c>
      <c r="FU207" s="2846"/>
      <c r="FV207" s="2846"/>
      <c r="FW207" s="1093">
        <f>IF(FU207=0,0,(FV207-FU207)/FU207*100)</f>
        <v>0</v>
      </c>
      <c r="FZ207" s="1306" t="s">
        <v>2412</v>
      </c>
      <c r="GA207" s="1306" t="s">
        <v>1594</v>
      </c>
      <c r="GB207" s="1306" cm="1" t="str">
        <f t="array" ref="GB207:GB207">GB206</f>
        <v>0</v>
      </c>
    </row>
    <row customHeight="1" ht="18.525" hidden="1">
      <c r="A208" s="493"/>
      <c r="B208" s="925" cm="1" t="str">
        <f t="array" ref="B208:B208">B207</f>
        <v>false</v>
      </c>
      <c r="C208" s="493"/>
      <c r="D208" s="493"/>
      <c r="E208" s="840">
        <v>19</v>
      </c>
      <c r="F208" s="50" cm="1" t="str">
        <f t="array" ref="F208:F208">OFFSET(E208,-1,1)</f>
        <v>2</v>
      </c>
      <c r="G208" s="493"/>
      <c r="H208" s="493"/>
      <c r="I208" s="493"/>
      <c r="J208" s="493"/>
      <c r="K208" s="493"/>
      <c r="L208" s="493"/>
      <c r="M208" s="493"/>
      <c r="N208" s="493"/>
      <c r="O208" s="493"/>
      <c r="P208" s="493"/>
      <c r="Q208" s="493"/>
      <c r="R208" s="493"/>
      <c r="S208" s="493"/>
      <c r="T208" s="465" cm="1" t="str">
        <f t="array" ref="T208:T208">T207</f>
        <v>false</v>
      </c>
      <c r="U208" s="493"/>
      <c r="V208" s="493"/>
      <c r="W208" s="493"/>
      <c r="X208" s="1596"/>
      <c r="Y208" s="1596"/>
      <c r="Z208" s="1545"/>
      <c r="AA208" s="1494"/>
      <c r="AB208" s="904" t="s">
        <v>2380</v>
      </c>
      <c r="AC208" s="864" t="s">
        <v>2381</v>
      </c>
      <c r="AD208" s="2846"/>
      <c r="AE208" s="2846"/>
      <c r="AF208" s="1093">
        <f>IF(AD208=0,0,(AE208-AD208)/AD208*100)</f>
        <v>0</v>
      </c>
      <c r="AG208" s="2846"/>
      <c r="AH208" s="2846"/>
      <c r="AI208" s="1093">
        <f>IF(AG208=0,0,(AH208-AG208)/AG208*100)</f>
        <v>0</v>
      </c>
      <c r="AJ208" s="2846"/>
      <c r="AK208" s="2846"/>
      <c r="AL208" s="1093">
        <f>IF(AJ208=0,0,(AK208-AJ208)/AJ208*100)</f>
        <v>0</v>
      </c>
      <c r="AM208" s="2846"/>
      <c r="AN208" s="2846"/>
      <c r="AO208" s="1093">
        <f>IF(AM208=0,0,(AN208-AM208)/AM208*100)</f>
        <v>0</v>
      </c>
      <c r="AP208" s="2846"/>
      <c r="AQ208" s="2846"/>
      <c r="AR208" s="1093">
        <f>IF(AP208=0,0,(AQ208-AP208)/AP208*100)</f>
        <v>0</v>
      </c>
      <c r="AS208" s="2846"/>
      <c r="AT208" s="2846"/>
      <c r="AU208" s="1093">
        <f>IF(AS208=0,0,(AT208-AS208)/AS208*100)</f>
        <v>0</v>
      </c>
      <c r="AV208" s="2846"/>
      <c r="AW208" s="2846"/>
      <c r="AX208" s="1093">
        <f>IF(AV208=0,0,(AW208-AV208)/AV208*100)</f>
        <v>0</v>
      </c>
      <c r="AY208" s="2846"/>
      <c r="AZ208" s="2846"/>
      <c r="BA208" s="1093">
        <f>IF(AY208=0,0,(AZ208-AY208)/AY208*100)</f>
        <v>0</v>
      </c>
      <c r="BB208" s="2846"/>
      <c r="BC208" s="2846"/>
      <c r="BD208" s="1093">
        <f>IF(BB208=0,0,(BC208-BB208)/BB208*100)</f>
        <v>0</v>
      </c>
      <c r="BE208" s="2846"/>
      <c r="BF208" s="2846"/>
      <c r="BG208" s="1093">
        <f>IF(BE208=0,0,(BF208-BE208)/BE208*100)</f>
        <v>0</v>
      </c>
      <c r="BH208" s="2846"/>
      <c r="BI208" s="2846"/>
      <c r="BJ208" s="1093">
        <f>IF(BH208=0,0,(BI208-BH208)/BH208*100)</f>
        <v>0</v>
      </c>
      <c r="BK208" s="2846"/>
      <c r="BL208" s="2846"/>
      <c r="BM208" s="1093">
        <f>IF(BK208=0,0,(BL208-BK208)/BK208*100)</f>
        <v>0</v>
      </c>
      <c r="BN208" s="2846"/>
      <c r="BO208" s="2846"/>
      <c r="BP208" s="1093">
        <f>IF(BN208=0,0,(BO208-BN208)/BN208*100)</f>
        <v>0</v>
      </c>
      <c r="BQ208" s="2846"/>
      <c r="BR208" s="2846"/>
      <c r="BS208" s="1093">
        <f>IF(BQ208=0,0,(BR208-BQ208)/BQ208*100)</f>
        <v>0</v>
      </c>
      <c r="BT208" s="2846"/>
      <c r="BU208" s="2846"/>
      <c r="BV208" s="1093">
        <f>IF(BT208=0,0,(BU208-BT208)/BT208*100)</f>
        <v>0</v>
      </c>
      <c r="BW208" s="2846"/>
      <c r="BX208" s="2846"/>
      <c r="BY208" s="1093">
        <f>IF(BW208=0,0,(BX208-BW208)/BW208*100)</f>
        <v>0</v>
      </c>
      <c r="BZ208" s="2846"/>
      <c r="CA208" s="2846"/>
      <c r="CB208" s="1093">
        <f>IF(BZ208=0,0,(CA208-BZ208)/BZ208*100)</f>
        <v>0</v>
      </c>
      <c r="CC208" s="2846"/>
      <c r="CD208" s="2846"/>
      <c r="CE208" s="1093">
        <f>IF(CC208=0,0,(CD208-CC208)/CC208*100)</f>
        <v>0</v>
      </c>
      <c r="CF208" s="2846"/>
      <c r="CG208" s="2846"/>
      <c r="CH208" s="1093">
        <f>IF(CF208=0,0,(CG208-CF208)/CF208*100)</f>
        <v>0</v>
      </c>
      <c r="CI208" s="2846"/>
      <c r="CJ208" s="2846"/>
      <c r="CK208" s="1093">
        <f>IF(CI208=0,0,(CJ208-CI208)/CI208*100)</f>
        <v>0</v>
      </c>
      <c r="CL208" s="2846"/>
      <c r="CM208" s="2846"/>
      <c r="CN208" s="1093">
        <f>IF(CL208=0,0,(CM208-CL208)/CL208*100)</f>
        <v>0</v>
      </c>
      <c r="CO208" s="2846"/>
      <c r="CP208" s="2846"/>
      <c r="CQ208" s="1093">
        <f>IF(CO208=0,0,(CP208-CO208)/CO208*100)</f>
        <v>0</v>
      </c>
      <c r="CR208" s="2846"/>
      <c r="CS208" s="2846"/>
      <c r="CT208" s="1093">
        <f>IF(CR208=0,0,(CS208-CR208)/CR208*100)</f>
        <v>0</v>
      </c>
      <c r="CU208" s="2846"/>
      <c r="CV208" s="2846"/>
      <c r="CW208" s="1093">
        <f>IF(CU208=0,0,(CV208-CU208)/CU208*100)</f>
        <v>0</v>
      </c>
      <c r="CX208" s="2846"/>
      <c r="CY208" s="2846"/>
      <c r="CZ208" s="1093">
        <f>IF(CX208=0,0,(CY208-CX208)/CX208*100)</f>
        <v>0</v>
      </c>
      <c r="DA208" s="2846"/>
      <c r="DB208" s="2846"/>
      <c r="DC208" s="1093">
        <f>IF(DA208=0,0,(DB208-DA208)/DA208*100)</f>
        <v>0</v>
      </c>
      <c r="DD208" s="2846"/>
      <c r="DE208" s="2846"/>
      <c r="DF208" s="1093">
        <f>IF(DD208=0,0,(DE208-DD208)/DD208*100)</f>
        <v>0</v>
      </c>
      <c r="DG208" s="2846"/>
      <c r="DH208" s="2846"/>
      <c r="DI208" s="1093">
        <f>IF(DG208=0,0,(DH208-DG208)/DG208*100)</f>
        <v>0</v>
      </c>
      <c r="DJ208" s="2846"/>
      <c r="DK208" s="2846"/>
      <c r="DL208" s="1093">
        <f>IF(DJ208=0,0,(DK208-DJ208)/DJ208*100)</f>
        <v>0</v>
      </c>
      <c r="DM208" s="2846"/>
      <c r="DN208" s="2846"/>
      <c r="DO208" s="1093">
        <f>IF(DM208=0,0,(DN208-DM208)/DM208*100)</f>
        <v>0</v>
      </c>
      <c r="DP208" s="2846"/>
      <c r="DQ208" s="2846"/>
      <c r="DR208" s="1093">
        <f>IF(DP208=0,0,(DQ208-DP208)/DP208*100)</f>
        <v>0</v>
      </c>
      <c r="DS208" s="2846"/>
      <c r="DT208" s="2846"/>
      <c r="DU208" s="1093">
        <f>IF(DS208=0,0,(DT208-DS208)/DS208*100)</f>
        <v>0</v>
      </c>
      <c r="DV208" s="2846"/>
      <c r="DW208" s="2846"/>
      <c r="DX208" s="1093">
        <f>IF(DV208=0,0,(DW208-DV208)/DV208*100)</f>
        <v>0</v>
      </c>
      <c r="DY208" s="2846"/>
      <c r="DZ208" s="2846"/>
      <c r="EA208" s="1093">
        <f>IF(DY208=0,0,(DZ208-DY208)/DY208*100)</f>
        <v>0</v>
      </c>
      <c r="EB208" s="2846"/>
      <c r="EC208" s="2846"/>
      <c r="ED208" s="1093">
        <f>IF(EB208=0,0,(EC208-EB208)/EB208*100)</f>
        <v>0</v>
      </c>
      <c r="EE208" s="2846"/>
      <c r="EF208" s="2846"/>
      <c r="EG208" s="1093">
        <f>IF(EE208=0,0,(EF208-EE208)/EE208*100)</f>
        <v>0</v>
      </c>
      <c r="EH208" s="2846"/>
      <c r="EI208" s="2846"/>
      <c r="EJ208" s="1093">
        <f>IF(EH208=0,0,(EI208-EH208)/EH208*100)</f>
        <v>0</v>
      </c>
      <c r="EK208" s="2846"/>
      <c r="EL208" s="2846"/>
      <c r="EM208" s="1093">
        <f>IF(EK208=0,0,(EL208-EK208)/EK208*100)</f>
        <v>0</v>
      </c>
      <c r="EN208" s="2846"/>
      <c r="EO208" s="2846"/>
      <c r="EP208" s="1093">
        <f>IF(EN208=0,0,(EO208-EN208)/EN208*100)</f>
        <v>0</v>
      </c>
      <c r="EQ208" s="2846"/>
      <c r="ER208" s="2846"/>
      <c r="ES208" s="1093">
        <f>IF(EQ208=0,0,(ER208-EQ208)/EQ208*100)</f>
        <v>0</v>
      </c>
      <c r="ET208" s="2846"/>
      <c r="EU208" s="2846"/>
      <c r="EV208" s="1093">
        <f>IF(ET208=0,0,(EU208-ET208)/ET208*100)</f>
        <v>0</v>
      </c>
      <c r="EW208" s="2846"/>
      <c r="EX208" s="2846"/>
      <c r="EY208" s="1093">
        <f>IF(EW208=0,0,(EX208-EW208)/EW208*100)</f>
        <v>0</v>
      </c>
      <c r="EZ208" s="2846"/>
      <c r="FA208" s="2846"/>
      <c r="FB208" s="1093">
        <f>IF(EZ208=0,0,(FA208-EZ208)/EZ208*100)</f>
        <v>0</v>
      </c>
      <c r="FC208" s="2846"/>
      <c r="FD208" s="2846"/>
      <c r="FE208" s="1093">
        <f>IF(FC208=0,0,(FD208-FC208)/FC208*100)</f>
        <v>0</v>
      </c>
      <c r="FF208" s="2846"/>
      <c r="FG208" s="2846"/>
      <c r="FH208" s="1093">
        <f>IF(FF208=0,0,(FG208-FF208)/FF208*100)</f>
        <v>0</v>
      </c>
      <c r="FI208" s="2846"/>
      <c r="FJ208" s="2846"/>
      <c r="FK208" s="1093">
        <f>IF(FI208=0,0,(FJ208-FI208)/FI208*100)</f>
        <v>0</v>
      </c>
      <c r="FL208" s="2846"/>
      <c r="FM208" s="2846"/>
      <c r="FN208" s="1093">
        <f>IF(FL208=0,0,(FM208-FL208)/FL208*100)</f>
        <v>0</v>
      </c>
      <c r="FO208" s="2846"/>
      <c r="FP208" s="2846"/>
      <c r="FQ208" s="1093">
        <f>IF(FO208=0,0,(FP208-FO208)/FO208*100)</f>
        <v>0</v>
      </c>
      <c r="FR208" s="2846"/>
      <c r="FS208" s="2846"/>
      <c r="FT208" s="1093">
        <f>IF(FR208=0,0,(FS208-FR208)/FR208*100)</f>
        <v>0</v>
      </c>
      <c r="FU208" s="2846"/>
      <c r="FV208" s="2846"/>
      <c r="FW208" s="1093">
        <f>IF(FU208=0,0,(FV208-FU208)/FU208*100)</f>
        <v>0</v>
      </c>
      <c r="FZ208" s="1306" t="s">
        <v>2413</v>
      </c>
      <c r="GA208" s="1306" t="s">
        <v>1594</v>
      </c>
      <c r="GB208" s="1306" cm="1" t="str">
        <f t="array" ref="GB208:GB208">GB207</f>
        <v>0</v>
      </c>
    </row>
    <row s="1834" customFormat="1" customHeight="1" ht="14.25" hidden="1">
      <c r="A209" s="493"/>
      <c r="B209" s="925" cm="1" t="str">
        <f t="array" ref="B209:B209">B202</f>
        <v>false</v>
      </c>
      <c r="C209" s="493"/>
      <c r="D209" s="493"/>
      <c r="E209" s="840">
        <v>15</v>
      </c>
      <c r="F209" s="50" cm="1" t="str">
        <f t="array" ref="F209:F209">OFFSET(E209,-1,1)</f>
        <v>2</v>
      </c>
      <c r="G209" s="493"/>
      <c r="H209" s="493"/>
      <c r="I209" s="98" t="s">
        <v>2414</v>
      </c>
      <c r="J209" s="493"/>
      <c r="K209" s="493"/>
      <c r="L209" s="493"/>
      <c r="M209" s="493"/>
      <c r="N209" s="493"/>
      <c r="O209" s="493"/>
      <c r="P209" s="493"/>
      <c r="Q209" s="493"/>
      <c r="R209" s="493"/>
      <c r="S209" s="493"/>
      <c r="T209" s="465">
        <f>F209&gt;0</f>
        <v>1</v>
      </c>
      <c r="U209" s="493"/>
      <c r="V209" s="1304"/>
      <c r="W209" s="757" t="s">
        <v>2367</v>
      </c>
      <c r="X209" s="1596"/>
      <c r="Y209" s="1304"/>
      <c r="Z209" s="1545"/>
      <c r="AA209" s="1304"/>
      <c r="AB209" s="260" t="s">
        <v>178</v>
      </c>
      <c r="AC209" s="264"/>
      <c r="AD209" s="1098"/>
      <c r="AE209" s="1098"/>
      <c r="AF209" s="1098"/>
      <c r="AG209" s="1098"/>
      <c r="AH209" s="1098"/>
      <c r="AI209" s="1098"/>
      <c r="AJ209" s="1098"/>
      <c r="AK209" s="1098"/>
      <c r="AL209" s="1098"/>
      <c r="AM209" s="1098"/>
      <c r="AN209" s="1098"/>
      <c r="AO209" s="1098"/>
      <c r="AP209" s="1098"/>
      <c r="AQ209" s="1098"/>
      <c r="AR209" s="1098"/>
      <c r="AS209" s="1098"/>
      <c r="AT209" s="1098"/>
      <c r="AU209" s="1098"/>
      <c r="AV209" s="1098"/>
      <c r="AW209" s="1098"/>
      <c r="AX209" s="1098"/>
      <c r="AY209" s="1098"/>
      <c r="AZ209" s="1098"/>
      <c r="BA209" s="1098"/>
      <c r="BB209" s="1098"/>
      <c r="BC209" s="1098"/>
      <c r="BD209" s="1098"/>
      <c r="BE209" s="1098"/>
      <c r="BF209" s="1098"/>
      <c r="BG209" s="1098"/>
      <c r="BH209" s="1098"/>
      <c r="BI209" s="1098"/>
      <c r="BJ209" s="1098"/>
      <c r="BK209" s="1098"/>
      <c r="BL209" s="1098"/>
      <c r="BM209" s="1098"/>
      <c r="BN209" s="1098"/>
      <c r="BO209" s="1098"/>
      <c r="BP209" s="1098"/>
      <c r="BQ209" s="1098"/>
      <c r="BR209" s="1098"/>
      <c r="BS209" s="1098"/>
      <c r="BT209" s="1098"/>
      <c r="BU209" s="1098"/>
      <c r="BV209" s="1098"/>
      <c r="BW209" s="1098"/>
      <c r="BX209" s="1098"/>
      <c r="BY209" s="1098"/>
      <c r="BZ209" s="1098"/>
      <c r="CA209" s="1098"/>
      <c r="CB209" s="1098"/>
      <c r="CC209" s="1098"/>
      <c r="CD209" s="1098"/>
      <c r="CE209" s="1098"/>
      <c r="CF209" s="1098"/>
      <c r="CG209" s="1098"/>
      <c r="CH209" s="1098"/>
      <c r="CI209" s="1098"/>
      <c r="CJ209" s="1098"/>
      <c r="CK209" s="1098"/>
      <c r="CL209" s="1098"/>
      <c r="CM209" s="1098"/>
      <c r="CN209" s="1098"/>
      <c r="CO209" s="1098"/>
      <c r="CP209" s="1098"/>
      <c r="CQ209" s="1098"/>
      <c r="CR209" s="1098"/>
      <c r="CS209" s="1098"/>
      <c r="CT209" s="1098"/>
      <c r="CU209" s="1098"/>
      <c r="CV209" s="1098"/>
      <c r="CW209" s="1098"/>
      <c r="CX209" s="1098"/>
      <c r="CY209" s="1098"/>
      <c r="CZ209" s="1098"/>
      <c r="DA209" s="1098"/>
      <c r="DB209" s="1098"/>
      <c r="DC209" s="1098"/>
      <c r="DD209" s="1098"/>
      <c r="DE209" s="1098"/>
      <c r="DF209" s="1098"/>
      <c r="DG209" s="1098"/>
      <c r="DH209" s="1098"/>
      <c r="DI209" s="1098"/>
      <c r="DJ209" s="1098"/>
      <c r="DK209" s="1098"/>
      <c r="DL209" s="1098"/>
      <c r="DM209" s="1098"/>
      <c r="DN209" s="1098"/>
      <c r="DO209" s="1098"/>
      <c r="DP209" s="1098"/>
      <c r="DQ209" s="1098"/>
      <c r="DR209" s="1098"/>
      <c r="DS209" s="1098"/>
      <c r="DT209" s="1098"/>
      <c r="DU209" s="1098"/>
      <c r="DV209" s="1098"/>
      <c r="DW209" s="1098"/>
      <c r="DX209" s="1098"/>
      <c r="DY209" s="1098"/>
      <c r="DZ209" s="1098"/>
      <c r="EA209" s="1098"/>
      <c r="EB209" s="1098"/>
      <c r="EC209" s="1098"/>
      <c r="ED209" s="1098"/>
      <c r="EE209" s="1098"/>
      <c r="EF209" s="1098"/>
      <c r="EG209" s="1098"/>
      <c r="EH209" s="1098"/>
      <c r="EI209" s="1098"/>
      <c r="EJ209" s="1098"/>
      <c r="EK209" s="1098"/>
      <c r="EL209" s="1098"/>
      <c r="EM209" s="1098"/>
      <c r="EN209" s="1098"/>
      <c r="EO209" s="1098"/>
      <c r="EP209" s="1098"/>
      <c r="EQ209" s="1098"/>
      <c r="ER209" s="1098"/>
      <c r="ES209" s="1098"/>
      <c r="ET209" s="1098"/>
      <c r="EU209" s="1098"/>
      <c r="EV209" s="1098"/>
      <c r="EW209" s="1098"/>
      <c r="EX209" s="1098"/>
      <c r="EY209" s="1098"/>
      <c r="EZ209" s="1098"/>
      <c r="FA209" s="1098"/>
      <c r="FB209" s="1098"/>
      <c r="FC209" s="1098"/>
      <c r="FD209" s="1098"/>
      <c r="FE209" s="1098"/>
      <c r="FF209" s="1098"/>
      <c r="FG209" s="1098"/>
      <c r="FH209" s="1098"/>
      <c r="FI209" s="1098"/>
      <c r="FJ209" s="1098"/>
      <c r="FK209" s="1098"/>
      <c r="FL209" s="1098"/>
      <c r="FM209" s="1098"/>
      <c r="FN209" s="1098"/>
      <c r="FO209" s="1098"/>
      <c r="FP209" s="1098"/>
      <c r="FQ209" s="1098"/>
      <c r="FR209" s="1098"/>
      <c r="FS209" s="1098"/>
      <c r="FT209" s="1098"/>
      <c r="FU209" s="1098"/>
      <c r="FV209" s="1098"/>
      <c r="FW209" s="1099"/>
      <c r="FX209" s="1304"/>
      <c r="FY209" s="1304"/>
      <c r="FZ209" s="1055" t="s">
        <v>227</v>
      </c>
      <c r="GA209" s="1306"/>
      <c r="GB209" s="1306"/>
      <c r="GC209" s="632" t="s">
        <v>1594</v>
      </c>
      <c r="GD209" s="1305"/>
    </row>
    <row s="1834" customFormat="1" customHeight="1" ht="11.25" hidden="1">
      <c r="A210" s="482"/>
      <c r="B210" s="925"/>
      <c r="C210" s="482"/>
      <c r="D210" s="482"/>
      <c r="E210" s="866">
        <v>0</v>
      </c>
      <c r="F210" s="1175" cm="1" t="str">
        <f t="array" ref="F210:F210">OFFSET(E210,-1,1)</f>
        <v>2</v>
      </c>
      <c r="G210" s="482"/>
      <c r="H210" s="482"/>
      <c r="I210" s="482"/>
      <c r="J210" s="482"/>
      <c r="K210" s="482"/>
      <c r="L210" s="482"/>
      <c r="M210" s="482"/>
      <c r="N210" s="482"/>
      <c r="O210" s="482"/>
      <c r="P210" s="482"/>
      <c r="Q210" s="482"/>
      <c r="R210" s="482"/>
      <c r="S210" s="482"/>
      <c r="T210" s="465" t="b">
        <v>0</v>
      </c>
      <c r="U210" s="482"/>
      <c r="V210" s="482"/>
      <c r="W210" s="482"/>
      <c r="X210" s="1596"/>
      <c r="Y210" s="482"/>
      <c r="Z210" s="1545"/>
      <c r="AA210" s="482"/>
      <c r="AB210" s="0"/>
      <c r="AC210" s="482"/>
      <c r="AD210" s="1108"/>
      <c r="AE210" s="1108"/>
      <c r="AF210" s="1108"/>
      <c r="AG210" s="0"/>
      <c r="AH210" s="0"/>
      <c r="AI210" s="0"/>
      <c r="AJ210" s="0"/>
      <c r="AK210" s="0"/>
      <c r="AL210" s="0"/>
      <c r="AM210" s="0"/>
      <c r="AN210" s="0"/>
      <c r="AO210" s="0"/>
      <c r="AP210" s="0"/>
      <c r="AQ210" s="0"/>
      <c r="AR210" s="0"/>
      <c r="AS210" s="0"/>
      <c r="AT210" s="0"/>
      <c r="AU210" s="0"/>
      <c r="AV210" s="0"/>
      <c r="AW210" s="0"/>
      <c r="AX210" s="0"/>
      <c r="AY210" s="0"/>
      <c r="AZ210" s="0"/>
      <c r="BA210" s="0"/>
      <c r="BB210" s="0"/>
      <c r="BC210" s="0"/>
      <c r="BD210" s="0"/>
      <c r="BE210" s="0"/>
      <c r="BF210" s="0"/>
      <c r="BG210" s="0"/>
      <c r="BH210" s="0"/>
      <c r="BI210" s="0"/>
      <c r="BJ210" s="0"/>
      <c r="BK210" s="0"/>
      <c r="BL210" s="0"/>
      <c r="BM210" s="0"/>
      <c r="BN210" s="0"/>
      <c r="BO210" s="0"/>
      <c r="BP210" s="0"/>
      <c r="BQ210" s="0"/>
      <c r="BR210" s="0"/>
      <c r="BS210" s="0"/>
      <c r="BT210" s="0"/>
      <c r="BU210" s="0"/>
      <c r="BV210" s="0"/>
      <c r="BW210" s="0"/>
      <c r="BX210" s="0"/>
      <c r="BY210" s="0"/>
      <c r="BZ210" s="0"/>
      <c r="CA210" s="0"/>
      <c r="CB210" s="0"/>
      <c r="CC210" s="0"/>
      <c r="CD210" s="0"/>
      <c r="CE210" s="0"/>
      <c r="CF210" s="0"/>
      <c r="CG210" s="0"/>
      <c r="CH210" s="0"/>
      <c r="CI210" s="0"/>
      <c r="CJ210" s="0"/>
      <c r="CK210" s="0"/>
      <c r="CL210" s="0"/>
      <c r="CM210" s="0"/>
      <c r="CN210" s="0"/>
      <c r="CO210" s="0"/>
      <c r="CP210" s="0"/>
      <c r="CQ210" s="0"/>
      <c r="CR210" s="0"/>
      <c r="CS210" s="0"/>
      <c r="CT210" s="0"/>
      <c r="CU210" s="0"/>
      <c r="CV210" s="0"/>
      <c r="CW210" s="0"/>
      <c r="CX210" s="0"/>
      <c r="CY210" s="0"/>
      <c r="CZ210" s="0"/>
      <c r="DA210" s="0"/>
      <c r="DB210" s="0"/>
      <c r="DC210" s="0"/>
      <c r="DD210" s="0"/>
      <c r="DE210" s="0"/>
      <c r="DF210" s="0"/>
      <c r="DG210" s="0"/>
      <c r="DH210" s="0"/>
      <c r="DI210" s="0"/>
      <c r="DJ210" s="0"/>
      <c r="DK210" s="0"/>
      <c r="DL210" s="0"/>
      <c r="DM210" s="0"/>
      <c r="DN210" s="0"/>
      <c r="DO210" s="0"/>
      <c r="DP210" s="0"/>
      <c r="DQ210" s="0"/>
      <c r="DR210" s="0"/>
      <c r="DS210" s="0"/>
      <c r="DT210" s="0"/>
      <c r="DU210" s="0"/>
      <c r="DV210" s="0"/>
      <c r="DW210" s="0"/>
      <c r="DX210" s="0"/>
      <c r="DY210" s="0"/>
      <c r="DZ210" s="0"/>
      <c r="EA210" s="0"/>
      <c r="EB210" s="0"/>
      <c r="EC210" s="0"/>
      <c r="ED210" s="0"/>
      <c r="EE210" s="0"/>
      <c r="EF210" s="0"/>
      <c r="EG210" s="0"/>
      <c r="EH210" s="0"/>
      <c r="EI210" s="0"/>
      <c r="EJ210" s="0"/>
      <c r="EK210" s="0"/>
      <c r="EL210" s="0"/>
      <c r="EM210" s="0"/>
      <c r="EN210" s="0"/>
      <c r="EO210" s="0"/>
      <c r="EP210" s="0"/>
      <c r="EQ210" s="0"/>
      <c r="ER210" s="0"/>
      <c r="ES210" s="0"/>
      <c r="ET210" s="0"/>
      <c r="EU210" s="0"/>
      <c r="EV210" s="0"/>
      <c r="EW210" s="0"/>
      <c r="EX210" s="0"/>
      <c r="EY210" s="0"/>
      <c r="EZ210" s="0"/>
      <c r="FA210" s="0"/>
      <c r="FB210" s="0"/>
      <c r="FC210" s="0"/>
      <c r="FD210" s="0"/>
      <c r="FE210" s="0"/>
      <c r="FF210" s="0"/>
      <c r="FG210" s="0"/>
      <c r="FH210" s="0"/>
      <c r="FI210" s="0"/>
      <c r="FJ210" s="0"/>
      <c r="FK210" s="0"/>
      <c r="FL210" s="0"/>
      <c r="FM210" s="0"/>
      <c r="FN210" s="0"/>
      <c r="FO210" s="0"/>
      <c r="FP210" s="0"/>
      <c r="FQ210" s="0"/>
      <c r="FR210" s="0"/>
      <c r="FS210" s="0"/>
      <c r="FT210" s="0"/>
      <c r="FU210" s="0"/>
      <c r="FV210" s="0"/>
      <c r="FW210" s="0"/>
      <c r="FX210" s="1834"/>
      <c r="FY210" s="1834"/>
      <c r="FZ210" s="1055" t="s">
        <v>227</v>
      </c>
      <c r="GA210" s="1019"/>
      <c r="GB210" s="1058"/>
      <c r="GC210" s="686"/>
      <c r="GD210" s="686"/>
    </row>
    <row s="6051" customFormat="1" customHeight="1" ht="23.25" hidden="1">
      <c r="A211" s="897"/>
      <c r="B211" s="925" cm="1" t="str">
        <f t="array" ref="B211:B211">S155</f>
        <v>false</v>
      </c>
      <c r="C211" s="897"/>
      <c r="D211" s="897"/>
      <c r="E211" s="840">
        <v>24.5</v>
      </c>
      <c r="F211" s="50" cm="1" t="str">
        <f t="array" ref="F211:F211">OFFSET(E211,-1,1)</f>
        <v>2</v>
      </c>
      <c r="G211" s="107" t="s">
        <v>2334</v>
      </c>
      <c r="H211" s="493" t="s">
        <v>1175</v>
      </c>
      <c r="I211" s="493" t="s">
        <v>2415</v>
      </c>
      <c r="J211" s="897"/>
      <c r="K211" s="897"/>
      <c r="L211" s="897"/>
      <c r="M211" s="897"/>
      <c r="N211" s="897"/>
      <c r="O211" s="897"/>
      <c r="P211" s="897"/>
      <c r="Q211" s="897"/>
      <c r="R211" s="897"/>
      <c r="S211" s="493"/>
      <c r="T211" s="465" cm="1" t="str">
        <f t="array" ref="T211:T211">T209</f>
        <v>true</v>
      </c>
      <c r="U211" s="897"/>
      <c r="V211" s="897"/>
      <c r="W211" s="897"/>
      <c r="X211" s="1596"/>
      <c r="Y211" s="897"/>
      <c r="Z211" s="1545"/>
      <c r="AA211" s="897"/>
      <c r="AB211" s="219" t="s">
        <v>2416</v>
      </c>
      <c r="AC211" s="234" t="s">
        <v>2337</v>
      </c>
      <c r="AD211" s="5272">
        <f>IF(AND(method_reg="Метод индексации",god&lt;&gt;first_year),_xlfn.SUMIFS(INDEX('Калькуляция (МИ корр)'!$AJ$25:$BC$747,,MATCH(AD$8,'Калькуляция (МИ корр)'!$AJ$8:$BC$8,0)),'Калькуляция (МИ корр)'!$F$25:$F$747,$F211,'Калькуляция (МИ корр)'!$G$25:$G$747,$G211),IF(method_reg="Метод экономически обоснованных расходов",_xlfn.SUMIFS('Калькуляция (МЭОР)'!$AJ$25:$AJ$452,'Калькуляция (МЭОР)'!$F$25:$F$452,$F211,'Калькуляция (МЭОР)'!$G$25:$G$452,$G211),IF(method_reg="Метод сравнения аналогов",_xlfn.SUMIFS('Калькуляция (МСА)'!$AE$25:$AE$122,'Калькуляция (МСА)'!$F$25:$F$122,$F211,'Калькуляция (МСА)'!$G$25:$G$122,$G211),_xlfn.SUMIFS(INDEX('Калькуляция (МИ)'!$AJ$25:$BC$747,,MATCH(AD$8,'Калькуляция (МИ)'!$AJ$8:$BC$8,0)),'Калькуляция (МИ)'!$F$25:$F$747,$F211,'Калькуляция (МИ)'!$G$25:$G$747,$G211))))</f>
        <v>106.01</v>
      </c>
      <c r="AE211" s="5272">
        <f>IF(AND(method_reg="Метод индексации",god&lt;&gt;first_year),_xlfn.SUMIFS(INDEX('Калькуляция (МИ корр)'!$AJ$25:$BC$747,,MATCH(AE$8,'Калькуляция (МИ корр)'!$AJ$8:$BC$8,0)),'Калькуляция (МИ корр)'!$F$25:$F$747,$F211,'Калькуляция (МИ корр)'!$G$25:$G$747,$G211),IF(method_reg="Метод экономически обоснованных расходов",_xlfn.SUMIFS('Калькуляция (МЭОР)'!$AK$25:$AK$452,'Калькуляция (МЭОР)'!$F$25:$F$452,$F211,'Калькуляция (МЭОР)'!$G$25:$G$452,$G211),IF(method_reg="Метод сравнения аналогов",_xlfn.SUMIFS('Калькуляция (МСА)'!$AF$25:$AF$122,'Калькуляция (МСА)'!$F$25:$F$122,$F211,'Калькуляция (МСА)'!$G$25:$G$122,$G211),_xlfn.SUMIFS(INDEX('Калькуляция (МИ)'!$AJ$25:$BC$747,,MATCH(AE$8,'Калькуляция (МИ)'!$AJ$8:$BC$8,0)),'Калькуляция (МИ)'!$F$25:$F$747,$F211,'Калькуляция (МИ)'!$G$25:$G$747,$G211))))</f>
        <v>106.01</v>
      </c>
      <c r="AF211" s="296">
        <f>IF(AD211=0,0,(AE211-AD211)/AD211*100)</f>
        <v>0</v>
      </c>
      <c r="AG211" s="5272">
        <f>IF(AND(method_reg="Метод индексации",god&lt;&gt;first_year),_xlfn.SUMIFS(INDEX('Калькуляция (МИ корр)'!$AJ$25:$BC$747,,MATCH(AG$8,'Калькуляция (МИ корр)'!$AJ$8:$BC$8,0)),'Калькуляция (МИ корр)'!$F$25:$F$747,$F211,'Калькуляция (МИ корр)'!$G$25:$G$747,$G211),IF(method_reg="Метод экономически обоснованных расходов",_xlfn.SUMIFS('Калькуляция (МЭОР)'!$AJ$25:$AJ$452,'Калькуляция (МЭОР)'!$F$25:$F$452,$F211,'Калькуляция (МЭОР)'!$G$25:$G$452,$G211),IF(method_reg="Метод сравнения аналогов",_xlfn.SUMIFS('Калькуляция (МСА)'!$AE$25:$AE$122,'Калькуляция (МСА)'!$F$25:$F$122,$F211,'Калькуляция (МСА)'!$G$25:$G$122,$G211),_xlfn.SUMIFS(INDEX('Калькуляция (МИ)'!$AJ$25:$BC$747,,MATCH(AG$8,'Калькуляция (МИ)'!$AJ$8:$BC$8,0)),'Калькуляция (МИ)'!$F$25:$F$747,$F211,'Калькуляция (МИ)'!$G$25:$G$747,$G211))))</f>
        <v>116.5</v>
      </c>
      <c r="AH211" s="5272">
        <f>IF(AND(method_reg="Метод индексации",god&lt;&gt;first_year),_xlfn.SUMIFS(INDEX('Калькуляция (МИ корр)'!$AJ$25:$BC$747,,MATCH(AH$8,'Калькуляция (МИ корр)'!$AJ$8:$BC$8,0)),'Калькуляция (МИ корр)'!$F$25:$F$747,$F211,'Калькуляция (МИ корр)'!$G$25:$G$747,$G211),IF(method_reg="Метод экономически обоснованных расходов",_xlfn.SUMIFS('Калькуляция (МЭОР)'!$AK$25:$AK$452,'Калькуляция (МЭОР)'!$F$25:$F$452,$F211,'Калькуляция (МЭОР)'!$G$25:$G$452,$G211),IF(method_reg="Метод сравнения аналогов",_xlfn.SUMIFS('Калькуляция (МСА)'!$AF$25:$AF$122,'Калькуляция (МСА)'!$F$25:$F$122,$F211,'Калькуляция (МСА)'!$G$25:$G$122,$G211),_xlfn.SUMIFS(INDEX('Калькуляция (МИ)'!$AJ$25:$BC$747,,MATCH(AH$8,'Калькуляция (МИ)'!$AJ$8:$BC$8,0)),'Калькуляция (МИ)'!$F$25:$F$747,$F211,'Калькуляция (МИ)'!$G$25:$G$747,$G211))))</f>
        <v>116.50000002872</v>
      </c>
      <c r="AI211" s="296">
        <f>IF(AG211=0,0,(AH211-AG211)/AG211*100)</f>
        <v>2.46523564556876e-8</v>
      </c>
      <c r="AJ211" s="5272">
        <f>IF(AND(method_reg="Метод индексации",god&lt;&gt;first_year),_xlfn.SUMIFS(INDEX('Калькуляция (МИ корр)'!$AJ$25:$BC$747,,MATCH(AJ$8,'Калькуляция (МИ корр)'!$AJ$8:$BC$8,0)),'Калькуляция (МИ корр)'!$F$25:$F$747,$F211,'Калькуляция (МИ корр)'!$G$25:$G$747,$G211),IF(method_reg="Метод экономически обоснованных расходов",_xlfn.SUMIFS('Калькуляция (МЭОР)'!$AJ$25:$AJ$452,'Калькуляция (МЭОР)'!$F$25:$F$452,$F211,'Калькуляция (МЭОР)'!$G$25:$G$452,$G211),IF(method_reg="Метод сравнения аналогов",_xlfn.SUMIFS('Калькуляция (МСА)'!$AE$25:$AE$122,'Калькуляция (МСА)'!$F$25:$F$122,$F211,'Калькуляция (МСА)'!$G$25:$G$122,$G211),_xlfn.SUMIFS(INDEX('Калькуляция (МИ)'!$AJ$25:$BC$747,,MATCH(AJ$8,'Калькуляция (МИ)'!$AJ$8:$BC$8,0)),'Калькуляция (МИ)'!$F$25:$F$747,$F211,'Калькуляция (МИ)'!$G$25:$G$747,$G211))))</f>
        <v>123.96</v>
      </c>
      <c r="AK211" s="5272">
        <f>IF(AND(method_reg="Метод индексации",god&lt;&gt;first_year),_xlfn.SUMIFS(INDEX('Калькуляция (МИ корр)'!$AJ$25:$BC$747,,MATCH(AK$8,'Калькуляция (МИ корр)'!$AJ$8:$BC$8,0)),'Калькуляция (МИ корр)'!$F$25:$F$747,$F211,'Калькуляция (МИ корр)'!$G$25:$G$747,$G211),IF(method_reg="Метод экономически обоснованных расходов",_xlfn.SUMIFS('Калькуляция (МЭОР)'!$AK$25:$AK$452,'Калькуляция (МЭОР)'!$F$25:$F$452,$F211,'Калькуляция (МЭОР)'!$G$25:$G$452,$G211),IF(method_reg="Метод сравнения аналогов",_xlfn.SUMIFS('Калькуляция (МСА)'!$AF$25:$AF$122,'Калькуляция (МСА)'!$F$25:$F$122,$F211,'Калькуляция (МСА)'!$G$25:$G$122,$G211),_xlfn.SUMIFS(INDEX('Калькуляция (МИ)'!$AJ$25:$BC$747,,MATCH(AK$8,'Калькуляция (МИ)'!$AJ$8:$BC$8,0)),'Калькуляция (МИ)'!$F$25:$F$747,$F211,'Калькуляция (МИ)'!$G$25:$G$747,$G211))))</f>
        <v>123.960000230571</v>
      </c>
      <c r="AL211" s="296">
        <f>IF(AJ211=0,0,(AK211-AJ211)/AJ211*100)</f>
        <v>1.86004359525101e-7</v>
      </c>
      <c r="AM211" s="5272">
        <f>IF(AND(method_reg="Метод индексации",god&lt;&gt;first_year),_xlfn.SUMIFS(INDEX('Калькуляция (МИ корр)'!$AJ$25:$BC$747,,MATCH(AM$8,'Калькуляция (МИ корр)'!$AJ$8:$BC$8,0)),'Калькуляция (МИ корр)'!$F$25:$F$747,$F211,'Калькуляция (МИ корр)'!$G$25:$G$747,$G211),IF(method_reg="Метод экономически обоснованных расходов",_xlfn.SUMIFS('Калькуляция (МЭОР)'!$AJ$25:$AJ$452,'Калькуляция (МЭОР)'!$F$25:$F$452,$F211,'Калькуляция (МЭОР)'!$G$25:$G$452,$G211),IF(method_reg="Метод сравнения аналогов",_xlfn.SUMIFS('Калькуляция (МСА)'!$AE$25:$AE$122,'Калькуляция (МСА)'!$F$25:$F$122,$F211,'Калькуляция (МСА)'!$G$25:$G$122,$G211),_xlfn.SUMIFS(INDEX('Калькуляция (МИ)'!$AJ$25:$BC$747,,MATCH(AM$8,'Калькуляция (МИ)'!$AJ$8:$BC$8,0)),'Калькуляция (МИ)'!$F$25:$F$747,$F211,'Калькуляция (МИ)'!$G$25:$G$747,$G211))))</f>
        <v>133.78</v>
      </c>
      <c r="AN211" s="5272">
        <f>IF(AND(method_reg="Метод индексации",god&lt;&gt;first_year),_xlfn.SUMIFS(INDEX('Калькуляция (МИ корр)'!$AJ$25:$BC$747,,MATCH(AN$8,'Калькуляция (МИ корр)'!$AJ$8:$BC$8,0)),'Калькуляция (МИ корр)'!$F$25:$F$747,$F211,'Калькуляция (МИ корр)'!$G$25:$G$747,$G211),IF(method_reg="Метод экономически обоснованных расходов",_xlfn.SUMIFS('Калькуляция (МЭОР)'!$AK$25:$AK$452,'Калькуляция (МЭОР)'!$F$25:$F$452,$F211,'Калькуляция (МЭОР)'!$G$25:$G$452,$G211),IF(method_reg="Метод сравнения аналогов",_xlfn.SUMIFS('Калькуляция (МСА)'!$AF$25:$AF$122,'Калькуляция (МСА)'!$F$25:$F$122,$F211,'Калькуляция (МСА)'!$G$25:$G$122,$G211),_xlfn.SUMIFS(INDEX('Калькуляция (МИ)'!$AJ$25:$BC$747,,MATCH(AN$8,'Калькуляция (МИ)'!$AJ$8:$BC$8,0)),'Калькуляция (МИ)'!$F$25:$F$747,$F211,'Калькуляция (МИ)'!$G$25:$G$747,$G211))))</f>
        <v>133.78000010396</v>
      </c>
      <c r="AO211" s="296">
        <f>IF(AM211=0,0,(AN211-AM211)/AM211*100)</f>
        <v>7.77096657483335e-8</v>
      </c>
      <c r="AP211" s="5272">
        <f>IF(AND(method_reg="Метод индексации",god&lt;&gt;first_year),_xlfn.SUMIFS(INDEX('Калькуляция (МИ корр)'!$AJ$25:$BC$747,,MATCH(AP$8,'Калькуляция (МИ корр)'!$AJ$8:$BC$8,0)),'Калькуляция (МИ корр)'!$F$25:$F$747,$F211,'Калькуляция (МИ корр)'!$G$25:$G$747,$G211),IF(method_reg="Метод экономически обоснованных расходов",_xlfn.SUMIFS('Калькуляция (МЭОР)'!$AJ$25:$AJ$452,'Калькуляция (МЭОР)'!$F$25:$F$452,$F211,'Калькуляция (МЭОР)'!$G$25:$G$452,$G211),IF(method_reg="Метод сравнения аналогов",_xlfn.SUMIFS('Калькуляция (МСА)'!$AE$25:$AE$122,'Калькуляция (МСА)'!$F$25:$F$122,$F211,'Калькуляция (МСА)'!$G$25:$G$122,$G211),_xlfn.SUMIFS(INDEX('Калькуляция (МИ)'!$AJ$25:$BC$747,,MATCH(AP$8,'Калькуляция (МИ)'!$AJ$8:$BC$8,0)),'Калькуляция (МИ)'!$F$25:$F$747,$F211,'Калькуляция (МИ)'!$G$25:$G$747,$G211))))</f>
        <v>138.49</v>
      </c>
      <c r="AQ211" s="5272">
        <f>IF(AND(method_reg="Метод индексации",god&lt;&gt;first_year),_xlfn.SUMIFS(INDEX('Калькуляция (МИ корр)'!$AJ$25:$BC$747,,MATCH(AQ$8,'Калькуляция (МИ корр)'!$AJ$8:$BC$8,0)),'Калькуляция (МИ корр)'!$F$25:$F$747,$F211,'Калькуляция (МИ корр)'!$G$25:$G$747,$G211),IF(method_reg="Метод экономически обоснованных расходов",_xlfn.SUMIFS('Калькуляция (МЭОР)'!$AK$25:$AK$452,'Калькуляция (МЭОР)'!$F$25:$F$452,$F211,'Калькуляция (МЭОР)'!$G$25:$G$452,$G211),IF(method_reg="Метод сравнения аналогов",_xlfn.SUMIFS('Калькуляция (МСА)'!$AF$25:$AF$122,'Калькуляция (МСА)'!$F$25:$F$122,$F211,'Калькуляция (МСА)'!$G$25:$G$122,$G211),_xlfn.SUMIFS(INDEX('Калькуляция (МИ)'!$AJ$25:$BC$747,,MATCH(AQ$8,'Калькуляция (МИ)'!$AJ$8:$BC$8,0)),'Калькуляция (МИ)'!$F$25:$F$747,$F211,'Калькуляция (МИ)'!$G$25:$G$747,$G211))))</f>
        <v>138.490000189423</v>
      </c>
      <c r="AR211" s="296">
        <f>IF(AP211=0,0,(AQ211-AP211)/AP211*100)</f>
        <v>1.36777378200872e-7</v>
      </c>
      <c r="AS211" s="5272">
        <f>IF(AND(method_reg="Метод индексации",god&lt;&gt;first_year),_xlfn.SUMIFS(INDEX('Калькуляция (МИ корр)'!$AJ$25:$BC$747,,MATCH(AS$8,'Калькуляция (МИ корр)'!$AJ$8:$BC$8,0)),'Калькуляция (МИ корр)'!$F$25:$F$747,$F211,'Калькуляция (МИ корр)'!$G$25:$G$747,$G211),IF(method_reg="Метод экономически обоснованных расходов",_xlfn.SUMIFS('Калькуляция (МЭОР)'!$AJ$25:$AJ$452,'Калькуляция (МЭОР)'!$F$25:$F$452,$F211,'Калькуляция (МЭОР)'!$G$25:$G$452,$G211),IF(method_reg="Метод сравнения аналогов",_xlfn.SUMIFS('Калькуляция (МСА)'!$AE$25:$AE$122,'Калькуляция (МСА)'!$F$25:$F$122,$F211,'Калькуляция (МСА)'!$G$25:$G$122,$G211),_xlfn.SUMIFS(INDEX('Калькуляция (МИ)'!$AJ$25:$BC$747,,MATCH(AS$8,'Калькуляция (МИ)'!$AJ$8:$BC$8,0)),'Калькуляция (МИ)'!$F$25:$F$747,$F211,'Калькуляция (МИ)'!$G$25:$G$747,$G211))))</f>
        <v>0</v>
      </c>
      <c r="AT211" s="5272">
        <f>IF(AND(method_reg="Метод индексации",god&lt;&gt;first_year),_xlfn.SUMIFS(INDEX('Калькуляция (МИ корр)'!$AJ$25:$BC$747,,MATCH(AT$8,'Калькуляция (МИ корр)'!$AJ$8:$BC$8,0)),'Калькуляция (МИ корр)'!$F$25:$F$747,$F211,'Калькуляция (МИ корр)'!$G$25:$G$747,$G211),IF(method_reg="Метод экономически обоснованных расходов",_xlfn.SUMIFS('Калькуляция (МЭОР)'!$AK$25:$AK$452,'Калькуляция (МЭОР)'!$F$25:$F$452,$F211,'Калькуляция (МЭОР)'!$G$25:$G$452,$G211),IF(method_reg="Метод сравнения аналогов",_xlfn.SUMIFS('Калькуляция (МСА)'!$AF$25:$AF$122,'Калькуляция (МСА)'!$F$25:$F$122,$F211,'Калькуляция (МСА)'!$G$25:$G$122,$G211),_xlfn.SUMIFS(INDEX('Калькуляция (МИ)'!$AJ$25:$BC$747,,MATCH(AT$8,'Калькуляция (МИ)'!$AJ$8:$BC$8,0)),'Калькуляция (МИ)'!$F$25:$F$747,$F211,'Калькуляция (МИ)'!$G$25:$G$747,$G211))))</f>
        <v>142.697936086499</v>
      </c>
      <c r="AU211" s="296">
        <f>IF(AS211=0,0,(AT211-AS211)/AS211*100)</f>
        <v>0</v>
      </c>
      <c r="AV211" s="5272">
        <f>IF(AND(method_reg="Метод индексации",god&lt;&gt;first_year),_xlfn.SUMIFS(INDEX('Калькуляция (МИ корр)'!$AJ$25:$BC$747,,MATCH(AV$8,'Калькуляция (МИ корр)'!$AJ$8:$BC$8,0)),'Калькуляция (МИ корр)'!$F$25:$F$747,$F211,'Калькуляция (МИ корр)'!$G$25:$G$747,$G211),IF(method_reg="Метод экономически обоснованных расходов",_xlfn.SUMIFS('Калькуляция (МЭОР)'!$AJ$25:$AJ$452,'Калькуляция (МЭОР)'!$F$25:$F$452,$F211,'Калькуляция (МЭОР)'!$G$25:$G$452,$G211),IF(method_reg="Метод сравнения аналогов",_xlfn.SUMIFS('Калькуляция (МСА)'!$AE$25:$AE$122,'Калькуляция (МСА)'!$F$25:$F$122,$F211,'Калькуляция (МСА)'!$G$25:$G$122,$G211),_xlfn.SUMIFS(INDEX('Калькуляция (МИ)'!$AJ$25:$BC$747,,MATCH(AV$8,'Калькуляция (МИ)'!$AJ$8:$BC$8,0)),'Калькуляция (МИ)'!$F$25:$F$747,$F211,'Калькуляция (МИ)'!$G$25:$G$747,$G211))))</f>
        <v>0</v>
      </c>
      <c r="AW211" s="5272">
        <f>IF(AND(method_reg="Метод индексации",god&lt;&gt;first_year),_xlfn.SUMIFS(INDEX('Калькуляция (МИ корр)'!$AJ$25:$BC$747,,MATCH(AW$8,'Калькуляция (МИ корр)'!$AJ$8:$BC$8,0)),'Калькуляция (МИ корр)'!$F$25:$F$747,$F211,'Калькуляция (МИ корр)'!$G$25:$G$747,$G211),IF(method_reg="Метод экономически обоснованных расходов",_xlfn.SUMIFS('Калькуляция (МЭОР)'!$AK$25:$AK$452,'Калькуляция (МЭОР)'!$F$25:$F$452,$F211,'Калькуляция (МЭОР)'!$G$25:$G$452,$G211),IF(method_reg="Метод сравнения аналогов",_xlfn.SUMIFS('Калькуляция (МСА)'!$AF$25:$AF$122,'Калькуляция (МСА)'!$F$25:$F$122,$F211,'Калькуляция (МСА)'!$G$25:$G$122,$G211),_xlfn.SUMIFS(INDEX('Калькуляция (МИ)'!$AJ$25:$BC$747,,MATCH(AW$8,'Калькуляция (МИ)'!$AJ$8:$BC$8,0)),'Калькуляция (МИ)'!$F$25:$F$747,$F211,'Калькуляция (МИ)'!$G$25:$G$747,$G211))))</f>
        <v>0</v>
      </c>
      <c r="AX211" s="296">
        <f>IF(AV211=0,0,(AW211-AV211)/AV211*100)</f>
        <v>0</v>
      </c>
      <c r="AY211" s="5272">
        <f>IF(AND(method_reg="Метод индексации",god&lt;&gt;first_year),_xlfn.SUMIFS(INDEX('Калькуляция (МИ корр)'!$AJ$25:$BC$747,,MATCH(AY$8,'Калькуляция (МИ корр)'!$AJ$8:$BC$8,0)),'Калькуляция (МИ корр)'!$F$25:$F$747,$F211,'Калькуляция (МИ корр)'!$G$25:$G$747,$G211),IF(method_reg="Метод экономически обоснованных расходов",_xlfn.SUMIFS('Калькуляция (МЭОР)'!$AJ$25:$AJ$452,'Калькуляция (МЭОР)'!$F$25:$F$452,$F211,'Калькуляция (МЭОР)'!$G$25:$G$452,$G211),IF(method_reg="Метод сравнения аналогов",_xlfn.SUMIFS('Калькуляция (МСА)'!$AE$25:$AE$122,'Калькуляция (МСА)'!$F$25:$F$122,$F211,'Калькуляция (МСА)'!$G$25:$G$122,$G211),_xlfn.SUMIFS(INDEX('Калькуляция (МИ)'!$AJ$25:$BC$747,,MATCH(AY$8,'Калькуляция (МИ)'!$AJ$8:$BC$8,0)),'Калькуляция (МИ)'!$F$25:$F$747,$F211,'Калькуляция (МИ)'!$G$25:$G$747,$G211))))</f>
        <v>0</v>
      </c>
      <c r="AZ211" s="5272">
        <f>IF(AND(method_reg="Метод индексации",god&lt;&gt;first_year),_xlfn.SUMIFS(INDEX('Калькуляция (МИ корр)'!$AJ$25:$BC$747,,MATCH(AZ$8,'Калькуляция (МИ корр)'!$AJ$8:$BC$8,0)),'Калькуляция (МИ корр)'!$F$25:$F$747,$F211,'Калькуляция (МИ корр)'!$G$25:$G$747,$G211),IF(method_reg="Метод экономически обоснованных расходов",_xlfn.SUMIFS('Калькуляция (МЭОР)'!$AK$25:$AK$452,'Калькуляция (МЭОР)'!$F$25:$F$452,$F211,'Калькуляция (МЭОР)'!$G$25:$G$452,$G211),IF(method_reg="Метод сравнения аналогов",_xlfn.SUMIFS('Калькуляция (МСА)'!$AF$25:$AF$122,'Калькуляция (МСА)'!$F$25:$F$122,$F211,'Калькуляция (МСА)'!$G$25:$G$122,$G211),_xlfn.SUMIFS(INDEX('Калькуляция (МИ)'!$AJ$25:$BC$747,,MATCH(AZ$8,'Калькуляция (МИ)'!$AJ$8:$BC$8,0)),'Калькуляция (МИ)'!$F$25:$F$747,$F211,'Калькуляция (МИ)'!$G$25:$G$747,$G211))))</f>
        <v>0</v>
      </c>
      <c r="BA211" s="296">
        <f>IF(AY211=0,0,(AZ211-AY211)/AY211*100)</f>
        <v>0</v>
      </c>
      <c r="BB211" s="5272">
        <f>IF(AND(method_reg="Метод индексации",god&lt;&gt;first_year),_xlfn.SUMIFS(INDEX('Калькуляция (МИ корр)'!$AJ$25:$BC$747,,MATCH(BB$8,'Калькуляция (МИ корр)'!$AJ$8:$BC$8,0)),'Калькуляция (МИ корр)'!$F$25:$F$747,$F211,'Калькуляция (МИ корр)'!$G$25:$G$747,$G211),IF(method_reg="Метод экономически обоснованных расходов",_xlfn.SUMIFS('Калькуляция (МЭОР)'!$AJ$25:$AJ$452,'Калькуляция (МЭОР)'!$F$25:$F$452,$F211,'Калькуляция (МЭОР)'!$G$25:$G$452,$G211),IF(method_reg="Метод сравнения аналогов",_xlfn.SUMIFS('Калькуляция (МСА)'!$AE$25:$AE$122,'Калькуляция (МСА)'!$F$25:$F$122,$F211,'Калькуляция (МСА)'!$G$25:$G$122,$G211),_xlfn.SUMIFS(INDEX('Калькуляция (МИ)'!$AJ$25:$BC$747,,MATCH(BB$8,'Калькуляция (МИ)'!$AJ$8:$BC$8,0)),'Калькуляция (МИ)'!$F$25:$F$747,$F211,'Калькуляция (МИ)'!$G$25:$G$747,$G211))))</f>
        <v>0</v>
      </c>
      <c r="BC211" s="5272">
        <f>IF(AND(method_reg="Метод индексации",god&lt;&gt;first_year),_xlfn.SUMIFS(INDEX('Калькуляция (МИ корр)'!$AJ$25:$BC$747,,MATCH(BC$8,'Калькуляция (МИ корр)'!$AJ$8:$BC$8,0)),'Калькуляция (МИ корр)'!$F$25:$F$747,$F211,'Калькуляция (МИ корр)'!$G$25:$G$747,$G211),IF(method_reg="Метод экономически обоснованных расходов",_xlfn.SUMIFS('Калькуляция (МЭОР)'!$AK$25:$AK$452,'Калькуляция (МЭОР)'!$F$25:$F$452,$F211,'Калькуляция (МЭОР)'!$G$25:$G$452,$G211),IF(method_reg="Метод сравнения аналогов",_xlfn.SUMIFS('Калькуляция (МСА)'!$AF$25:$AF$122,'Калькуляция (МСА)'!$F$25:$F$122,$F211,'Калькуляция (МСА)'!$G$25:$G$122,$G211),_xlfn.SUMIFS(INDEX('Калькуляция (МИ)'!$AJ$25:$BC$747,,MATCH(BC$8,'Калькуляция (МИ)'!$AJ$8:$BC$8,0)),'Калькуляция (МИ)'!$F$25:$F$747,$F211,'Калькуляция (МИ)'!$G$25:$G$747,$G211))))</f>
        <v>0</v>
      </c>
      <c r="BD211" s="296">
        <f>IF(BB211=0,0,(BC211-BB211)/BB211*100)</f>
        <v>0</v>
      </c>
      <c r="BE211" s="5272">
        <f>IF(AND(method_reg="Метод индексации",god&lt;&gt;first_year),_xlfn.SUMIFS(INDEX('Калькуляция (МИ корр)'!$AJ$25:$BC$747,,MATCH(BE$8,'Калькуляция (МИ корр)'!$AJ$8:$BC$8,0)),'Калькуляция (МИ корр)'!$F$25:$F$747,$F211,'Калькуляция (МИ корр)'!$G$25:$G$747,$G211),IF(method_reg="Метод экономически обоснованных расходов",_xlfn.SUMIFS('Калькуляция (МЭОР)'!$AJ$25:$AJ$452,'Калькуляция (МЭОР)'!$F$25:$F$452,$F211,'Калькуляция (МЭОР)'!$G$25:$G$452,$G211),IF(method_reg="Метод сравнения аналогов",_xlfn.SUMIFS('Калькуляция (МСА)'!$AE$25:$AE$122,'Калькуляция (МСА)'!$F$25:$F$122,$F211,'Калькуляция (МСА)'!$G$25:$G$122,$G211),_xlfn.SUMIFS(INDEX('Калькуляция (МИ)'!$AJ$25:$BC$747,,MATCH(BE$8,'Калькуляция (МИ)'!$AJ$8:$BC$8,0)),'Калькуляция (МИ)'!$F$25:$F$747,$F211,'Калькуляция (МИ)'!$G$25:$G$747,$G211))))</f>
        <v>0</v>
      </c>
      <c r="BF211" s="5272">
        <f>IF(AND(method_reg="Метод индексации",god&lt;&gt;first_year),_xlfn.SUMIFS(INDEX('Калькуляция (МИ корр)'!$AJ$25:$BC$747,,MATCH(BF$8,'Калькуляция (МИ корр)'!$AJ$8:$BC$8,0)),'Калькуляция (МИ корр)'!$F$25:$F$747,$F211,'Калькуляция (МИ корр)'!$G$25:$G$747,$G211),IF(method_reg="Метод экономически обоснованных расходов",_xlfn.SUMIFS('Калькуляция (МЭОР)'!$AK$25:$AK$452,'Калькуляция (МЭОР)'!$F$25:$F$452,$F211,'Калькуляция (МЭОР)'!$G$25:$G$452,$G211),IF(method_reg="Метод сравнения аналогов",_xlfn.SUMIFS('Калькуляция (МСА)'!$AF$25:$AF$122,'Калькуляция (МСА)'!$F$25:$F$122,$F211,'Калькуляция (МСА)'!$G$25:$G$122,$G211),_xlfn.SUMIFS(INDEX('Калькуляция (МИ)'!$AJ$25:$BC$747,,MATCH(BF$8,'Калькуляция (МИ)'!$AJ$8:$BC$8,0)),'Калькуляция (МИ)'!$F$25:$F$747,$F211,'Калькуляция (МИ)'!$G$25:$G$747,$G211))))</f>
        <v>0</v>
      </c>
      <c r="BG211" s="296">
        <f>IF(BE211=0,0,(BF211-BE211)/BE211*100)</f>
        <v>0</v>
      </c>
      <c r="BH211" s="5272"/>
      <c r="BI211" s="5272"/>
      <c r="BJ211" s="296">
        <f>IF(BH211=0,0,(BI211-BH211)/BH211*100)</f>
        <v>0</v>
      </c>
      <c r="BK211" s="5272"/>
      <c r="BL211" s="5272"/>
      <c r="BM211" s="296">
        <f>IF(BK211=0,0,(BL211-BK211)/BK211*100)</f>
        <v>0</v>
      </c>
      <c r="BN211" s="5272"/>
      <c r="BO211" s="5272"/>
      <c r="BP211" s="296">
        <f>IF(BN211=0,0,(BO211-BN211)/BN211*100)</f>
        <v>0</v>
      </c>
      <c r="BQ211" s="5272"/>
      <c r="BR211" s="5272"/>
      <c r="BS211" s="296">
        <f>IF(BQ211=0,0,(BR211-BQ211)/BQ211*100)</f>
        <v>0</v>
      </c>
      <c r="BT211" s="5272"/>
      <c r="BU211" s="5272"/>
      <c r="BV211" s="296">
        <f>IF(BT211=0,0,(BU211-BT211)/BT211*100)</f>
        <v>0</v>
      </c>
      <c r="BW211" s="5272"/>
      <c r="BX211" s="5272"/>
      <c r="BY211" s="296">
        <f>IF(BW211=0,0,(BX211-BW211)/BW211*100)</f>
        <v>0</v>
      </c>
      <c r="BZ211" s="5272"/>
      <c r="CA211" s="5272"/>
      <c r="CB211" s="296">
        <f>IF(BZ211=0,0,(CA211-BZ211)/BZ211*100)</f>
        <v>0</v>
      </c>
      <c r="CC211" s="5272"/>
      <c r="CD211" s="5272"/>
      <c r="CE211" s="296">
        <f>IF(CC211=0,0,(CD211-CC211)/CC211*100)</f>
        <v>0</v>
      </c>
      <c r="CF211" s="5272"/>
      <c r="CG211" s="5272"/>
      <c r="CH211" s="296">
        <f>IF(CF211=0,0,(CG211-CF211)/CF211*100)</f>
        <v>0</v>
      </c>
      <c r="CI211" s="5272"/>
      <c r="CJ211" s="5272"/>
      <c r="CK211" s="296">
        <f>IF(CI211=0,0,(CJ211-CI211)/CI211*100)</f>
        <v>0</v>
      </c>
      <c r="CL211" s="5272"/>
      <c r="CM211" s="5272"/>
      <c r="CN211" s="296">
        <f>IF(CL211=0,0,(CM211-CL211)/CL211*100)</f>
        <v>0</v>
      </c>
      <c r="CO211" s="5272"/>
      <c r="CP211" s="5272"/>
      <c r="CQ211" s="296">
        <f>IF(CO211=0,0,(CP211-CO211)/CO211*100)</f>
        <v>0</v>
      </c>
      <c r="CR211" s="5272"/>
      <c r="CS211" s="5272"/>
      <c r="CT211" s="296">
        <f>IF(CR211=0,0,(CS211-CR211)/CR211*100)</f>
        <v>0</v>
      </c>
      <c r="CU211" s="5272"/>
      <c r="CV211" s="5272"/>
      <c r="CW211" s="296">
        <f>IF(CU211=0,0,(CV211-CU211)/CU211*100)</f>
        <v>0</v>
      </c>
      <c r="CX211" s="5272"/>
      <c r="CY211" s="5272"/>
      <c r="CZ211" s="296">
        <f>IF(CX211=0,0,(CY211-CX211)/CX211*100)</f>
        <v>0</v>
      </c>
      <c r="DA211" s="5272"/>
      <c r="DB211" s="5272"/>
      <c r="DC211" s="296">
        <f>IF(DA211=0,0,(DB211-DA211)/DA211*100)</f>
        <v>0</v>
      </c>
      <c r="DD211" s="5272"/>
      <c r="DE211" s="5272"/>
      <c r="DF211" s="296">
        <f>IF(DD211=0,0,(DE211-DD211)/DD211*100)</f>
        <v>0</v>
      </c>
      <c r="DG211" s="5272"/>
      <c r="DH211" s="5272"/>
      <c r="DI211" s="296">
        <f>IF(DG211=0,0,(DH211-DG211)/DG211*100)</f>
        <v>0</v>
      </c>
      <c r="DJ211" s="5272"/>
      <c r="DK211" s="5272"/>
      <c r="DL211" s="296">
        <f>IF(DJ211=0,0,(DK211-DJ211)/DJ211*100)</f>
        <v>0</v>
      </c>
      <c r="DM211" s="5272"/>
      <c r="DN211" s="5272"/>
      <c r="DO211" s="296">
        <f>IF(DM211=0,0,(DN211-DM211)/DM211*100)</f>
        <v>0</v>
      </c>
      <c r="DP211" s="5272"/>
      <c r="DQ211" s="5272"/>
      <c r="DR211" s="296">
        <f>IF(DP211=0,0,(DQ211-DP211)/DP211*100)</f>
        <v>0</v>
      </c>
      <c r="DS211" s="5272"/>
      <c r="DT211" s="5272"/>
      <c r="DU211" s="296">
        <f>IF(DS211=0,0,(DT211-DS211)/DS211*100)</f>
        <v>0</v>
      </c>
      <c r="DV211" s="5272"/>
      <c r="DW211" s="5272"/>
      <c r="DX211" s="296">
        <f>IF(DV211=0,0,(DW211-DV211)/DV211*100)</f>
        <v>0</v>
      </c>
      <c r="DY211" s="5272"/>
      <c r="DZ211" s="5272"/>
      <c r="EA211" s="296">
        <f>IF(DY211=0,0,(DZ211-DY211)/DY211*100)</f>
        <v>0</v>
      </c>
      <c r="EB211" s="5272"/>
      <c r="EC211" s="5272"/>
      <c r="ED211" s="296">
        <f>IF(EB211=0,0,(EC211-EB211)/EB211*100)</f>
        <v>0</v>
      </c>
      <c r="EE211" s="5272"/>
      <c r="EF211" s="5272"/>
      <c r="EG211" s="296">
        <f>IF(EE211=0,0,(EF211-EE211)/EE211*100)</f>
        <v>0</v>
      </c>
      <c r="EH211" s="5272"/>
      <c r="EI211" s="5272"/>
      <c r="EJ211" s="296">
        <f>IF(EH211=0,0,(EI211-EH211)/EH211*100)</f>
        <v>0</v>
      </c>
      <c r="EK211" s="5272"/>
      <c r="EL211" s="5272"/>
      <c r="EM211" s="296">
        <f>IF(EK211=0,0,(EL211-EK211)/EK211*100)</f>
        <v>0</v>
      </c>
      <c r="EN211" s="5272"/>
      <c r="EO211" s="5272"/>
      <c r="EP211" s="296">
        <f>IF(EN211=0,0,(EO211-EN211)/EN211*100)</f>
        <v>0</v>
      </c>
      <c r="EQ211" s="5272"/>
      <c r="ER211" s="5272"/>
      <c r="ES211" s="296">
        <f>IF(EQ211=0,0,(ER211-EQ211)/EQ211*100)</f>
        <v>0</v>
      </c>
      <c r="ET211" s="5272"/>
      <c r="EU211" s="5272"/>
      <c r="EV211" s="296">
        <f>IF(ET211=0,0,(EU211-ET211)/ET211*100)</f>
        <v>0</v>
      </c>
      <c r="EW211" s="5272"/>
      <c r="EX211" s="5272"/>
      <c r="EY211" s="296">
        <f>IF(EW211=0,0,(EX211-EW211)/EW211*100)</f>
        <v>0</v>
      </c>
      <c r="EZ211" s="5272"/>
      <c r="FA211" s="5272"/>
      <c r="FB211" s="296">
        <f>IF(EZ211=0,0,(FA211-EZ211)/EZ211*100)</f>
        <v>0</v>
      </c>
      <c r="FC211" s="5272"/>
      <c r="FD211" s="5272"/>
      <c r="FE211" s="296">
        <f>IF(FC211=0,0,(FD211-FC211)/FC211*100)</f>
        <v>0</v>
      </c>
      <c r="FF211" s="5272"/>
      <c r="FG211" s="5272"/>
      <c r="FH211" s="296">
        <f>IF(FF211=0,0,(FG211-FF211)/FF211*100)</f>
        <v>0</v>
      </c>
      <c r="FI211" s="5272"/>
      <c r="FJ211" s="5272"/>
      <c r="FK211" s="296">
        <f>IF(FI211=0,0,(FJ211-FI211)/FI211*100)</f>
        <v>0</v>
      </c>
      <c r="FL211" s="5272"/>
      <c r="FM211" s="5272"/>
      <c r="FN211" s="296">
        <f>IF(FL211=0,0,(FM211-FL211)/FL211*100)</f>
        <v>0</v>
      </c>
      <c r="FO211" s="5272"/>
      <c r="FP211" s="5272"/>
      <c r="FQ211" s="296">
        <f>IF(FO211=0,0,(FP211-FO211)/FO211*100)</f>
        <v>0</v>
      </c>
      <c r="FR211" s="5272"/>
      <c r="FS211" s="5272"/>
      <c r="FT211" s="296">
        <f>IF(FR211=0,0,(FS211-FR211)/FR211*100)</f>
        <v>0</v>
      </c>
      <c r="FU211" s="5272"/>
      <c r="FV211" s="5272"/>
      <c r="FW211" s="296">
        <f>IF(FU211=0,0,(FV211-FU211)/FU211*100)</f>
        <v>0</v>
      </c>
      <c r="FX211" s="292"/>
      <c r="FY211" s="292"/>
      <c r="FZ211" s="1055" t="s">
        <v>2417</v>
      </c>
      <c r="GA211" s="1055"/>
      <c r="GB211" s="1055"/>
      <c r="GC211" s="1056"/>
      <c r="GD211" s="1056"/>
    </row>
    <row s="6052" customFormat="1" customHeight="1" ht="23.25" hidden="1">
      <c r="A212" s="897"/>
      <c r="B212" s="925" cm="1" t="str">
        <f t="array" ref="B212:B212">B211</f>
        <v>false</v>
      </c>
      <c r="C212" s="897"/>
      <c r="D212" s="897"/>
      <c r="E212" s="840">
        <v>24.5</v>
      </c>
      <c r="F212" s="50" cm="1" t="str">
        <f t="array" ref="F212:F212">OFFSET(E212,-1,1)</f>
        <v>2</v>
      </c>
      <c r="G212" s="107" t="s">
        <v>2339</v>
      </c>
      <c r="H212" s="493" t="s">
        <v>1175</v>
      </c>
      <c r="I212" s="493" t="s">
        <v>2418</v>
      </c>
      <c r="J212" s="897"/>
      <c r="K212" s="897"/>
      <c r="L212" s="897"/>
      <c r="M212" s="897"/>
      <c r="N212" s="897"/>
      <c r="O212" s="897"/>
      <c r="P212" s="897"/>
      <c r="Q212" s="897"/>
      <c r="R212" s="897"/>
      <c r="S212" s="493"/>
      <c r="T212" s="465" cm="1" t="str">
        <f t="array" ref="T212:T212">T211</f>
        <v>true</v>
      </c>
      <c r="U212" s="897"/>
      <c r="V212" s="897"/>
      <c r="W212" s="897"/>
      <c r="X212" s="1596"/>
      <c r="Y212" s="897"/>
      <c r="Z212" s="1545"/>
      <c r="AA212" s="897"/>
      <c r="AB212" s="219" t="s">
        <v>2419</v>
      </c>
      <c r="AC212" s="234" t="s">
        <v>2337</v>
      </c>
      <c r="AD212" s="5272">
        <f>IF(AND(method_reg="Метод индексации",god&lt;&gt;first_year),_xlfn.SUMIFS(INDEX('Калькуляция (МИ корр)'!$AJ$25:$BC$747,,MATCH(AD$8,'Калькуляция (МИ корр)'!$AJ$8:$BC$8,0)),'Калькуляция (МИ корр)'!$F$25:$F$747,$F212,'Калькуляция (МИ корр)'!$G$25:$G$747,$G212),IF(method_reg="Метод экономически обоснованных расходов",_xlfn.SUMIFS('Калькуляция (МЭОР)'!$AJ$25:$AJ$452,'Калькуляция (МЭОР)'!$F$25:$F$452,$F212,'Калькуляция (МЭОР)'!$G$25:$G$452,$G212),IF(method_reg="Метод сравнения аналогов",_xlfn.SUMIFS('Калькуляция (МСА)'!$AE$25:$AE$122,'Калькуляция (МСА)'!$F$25:$F$122,$F212,'Калькуляция (МСА)'!$G$25:$G$122,$G212),_xlfn.SUMIFS(INDEX('Калькуляция (МИ)'!$AJ$25:$BC$747,,MATCH(AD$8,'Калькуляция (МИ)'!$AJ$8:$BC$8,0)),'Калькуляция (МИ)'!$F$25:$F$747,$F212,'Калькуляция (МИ)'!$G$25:$G$747,$G212))))</f>
        <v>116.500004624933</v>
      </c>
      <c r="AE212" s="5272">
        <f>IF(AND(method_reg="Метод индексации",god&lt;&gt;first_year),_xlfn.SUMIFS(INDEX('Калькуляция (МИ корр)'!$AJ$25:$BC$747,,MATCH(AE$8,'Калькуляция (МИ корр)'!$AJ$8:$BC$8,0)),'Калькуляция (МИ корр)'!$F$25:$F$747,$F212,'Калькуляция (МИ корр)'!$G$25:$G$747,$G212),IF(method_reg="Метод экономически обоснованных расходов",_xlfn.SUMIFS('Калькуляция (МЭОР)'!$AK$25:$AK$452,'Калькуляция (МЭОР)'!$F$25:$F$452,$F212,'Калькуляция (МЭОР)'!$G$25:$G$452,$G212),IF(method_reg="Метод сравнения аналогов",_xlfn.SUMIFS('Калькуляция (МСА)'!$AF$25:$AF$122,'Калькуляция (МСА)'!$F$25:$F$122,$F212,'Калькуляция (МСА)'!$G$25:$G$122,$G212),_xlfn.SUMIFS(INDEX('Калькуляция (МИ)'!$AJ$25:$BC$747,,MATCH(AE$8,'Калькуляция (МИ)'!$AJ$8:$BC$8,0)),'Калькуляция (МИ)'!$F$25:$F$747,$F212,'Калькуляция (МИ)'!$G$25:$G$747,$G212))))</f>
        <v>116.50000002872</v>
      </c>
      <c r="AF212" s="296">
        <f>IF(AD212=0,0,(AE212-AD212)/AD212*100)</f>
        <v>-0.00000394524705632443</v>
      </c>
      <c r="AG212" s="5272">
        <f>IF(AND(method_reg="Метод индексации",god&lt;&gt;first_year),_xlfn.SUMIFS(INDEX('Калькуляция (МИ корр)'!$AJ$25:$BC$747,,MATCH(AG$8,'Калькуляция (МИ корр)'!$AJ$8:$BC$8,0)),'Калькуляция (МИ корр)'!$F$25:$F$747,$F212,'Калькуляция (МИ корр)'!$G$25:$G$747,$G212),IF(method_reg="Метод экономически обоснованных расходов",_xlfn.SUMIFS('Калькуляция (МЭОР)'!$AJ$25:$AJ$452,'Калькуляция (МЭОР)'!$F$25:$F$452,$F212,'Калькуляция (МЭОР)'!$G$25:$G$452,$G212),IF(method_reg="Метод сравнения аналогов",_xlfn.SUMIFS('Калькуляция (МСА)'!$AE$25:$AE$122,'Калькуляция (МСА)'!$F$25:$F$122,$F212,'Калькуляция (МСА)'!$G$25:$G$122,$G212),_xlfn.SUMIFS(INDEX('Калькуляция (МИ)'!$AJ$25:$BC$747,,MATCH(AG$8,'Калькуляция (МИ)'!$AJ$8:$BC$8,0)),'Калькуляция (МИ)'!$F$25:$F$747,$F212,'Калькуляция (МИ)'!$G$25:$G$747,$G212))))</f>
        <v>123.960001355454</v>
      </c>
      <c r="AH212" s="5272">
        <f>IF(AND(method_reg="Метод индексации",god&lt;&gt;first_year),_xlfn.SUMIFS(INDEX('Калькуляция (МИ корр)'!$AJ$25:$BC$747,,MATCH(AH$8,'Калькуляция (МИ корр)'!$AJ$8:$BC$8,0)),'Калькуляция (МИ корр)'!$F$25:$F$747,$F212,'Калькуляция (МИ корр)'!$G$25:$G$747,$G212),IF(method_reg="Метод экономически обоснованных расходов",_xlfn.SUMIFS('Калькуляция (МЭОР)'!$AK$25:$AK$452,'Калькуляция (МЭОР)'!$F$25:$F$452,$F212,'Калькуляция (МЭОР)'!$G$25:$G$452,$G212),IF(method_reg="Метод сравнения аналогов",_xlfn.SUMIFS('Калькуляция (МСА)'!$AF$25:$AF$122,'Калькуляция (МСА)'!$F$25:$F$122,$F212,'Калькуляция (МСА)'!$G$25:$G$122,$G212),_xlfn.SUMIFS(INDEX('Калькуляция (МИ)'!$AJ$25:$BC$747,,MATCH(AH$8,'Калькуляция (МИ)'!$AJ$8:$BC$8,0)),'Калькуляция (МИ)'!$F$25:$F$747,$F212,'Калькуляция (МИ)'!$G$25:$G$747,$G212))))</f>
        <v>123.960000230571</v>
      </c>
      <c r="AI212" s="296">
        <f>IF(AG212=0,0,(AH212-AG212)/AG212*100)</f>
        <v>-9.07456426986627e-7</v>
      </c>
      <c r="AJ212" s="5272">
        <f>IF(AND(method_reg="Метод индексации",god&lt;&gt;first_year),_xlfn.SUMIFS(INDEX('Калькуляция (МИ корр)'!$AJ$25:$BC$747,,MATCH(AJ$8,'Калькуляция (МИ корр)'!$AJ$8:$BC$8,0)),'Калькуляция (МИ корр)'!$F$25:$F$747,$F212,'Калькуляция (МИ корр)'!$G$25:$G$747,$G212),IF(method_reg="Метод экономически обоснованных расходов",_xlfn.SUMIFS('Калькуляция (МЭОР)'!$AJ$25:$AJ$452,'Калькуляция (МЭОР)'!$F$25:$F$452,$F212,'Калькуляция (МЭОР)'!$G$25:$G$452,$G212),IF(method_reg="Метод сравнения аналогов",_xlfn.SUMIFS('Калькуляция (МСА)'!$AE$25:$AE$122,'Калькуляция (МСА)'!$F$25:$F$122,$F212,'Калькуляция (МСА)'!$G$25:$G$122,$G212),_xlfn.SUMIFS(INDEX('Калькуляция (МИ)'!$AJ$25:$BC$747,,MATCH(AJ$8,'Калькуляция (МИ)'!$AJ$8:$BC$8,0)),'Калькуляция (МИ)'!$F$25:$F$747,$F212,'Калькуляция (МИ)'!$G$25:$G$747,$G212))))</f>
        <v>133.779754501375</v>
      </c>
      <c r="AK212" s="5272">
        <f>IF(AND(method_reg="Метод индексации",god&lt;&gt;first_year),_xlfn.SUMIFS(INDEX('Калькуляция (МИ корр)'!$AJ$25:$BC$747,,MATCH(AK$8,'Калькуляция (МИ корр)'!$AJ$8:$BC$8,0)),'Калькуляция (МИ корр)'!$F$25:$F$747,$F212,'Калькуляция (МИ корр)'!$G$25:$G$747,$G212),IF(method_reg="Метод экономически обоснованных расходов",_xlfn.SUMIFS('Калькуляция (МЭОР)'!$AK$25:$AK$452,'Калькуляция (МЭОР)'!$F$25:$F$452,$F212,'Калькуляция (МЭОР)'!$G$25:$G$452,$G212),IF(method_reg="Метод сравнения аналогов",_xlfn.SUMIFS('Калькуляция (МСА)'!$AF$25:$AF$122,'Калькуляция (МСА)'!$F$25:$F$122,$F212,'Калькуляция (МСА)'!$G$25:$G$122,$G212),_xlfn.SUMIFS(INDEX('Калькуляция (МИ)'!$AJ$25:$BC$747,,MATCH(AK$8,'Калькуляция (МИ)'!$AJ$8:$BC$8,0)),'Калькуляция (МИ)'!$F$25:$F$747,$F212,'Калькуляция (МИ)'!$G$25:$G$747,$G212))))</f>
        <v>133.78000010396</v>
      </c>
      <c r="AL212" s="296">
        <f>IF(AJ212=0,0,(AK212-AJ212)/AJ212*100)</f>
        <v>0.00018358725944581</v>
      </c>
      <c r="AM212" s="5272">
        <f>IF(AND(method_reg="Метод индексации",god&lt;&gt;first_year),_xlfn.SUMIFS(INDEX('Калькуляция (МИ корр)'!$AJ$25:$BC$747,,MATCH(AM$8,'Калькуляция (МИ корр)'!$AJ$8:$BC$8,0)),'Калькуляция (МИ корр)'!$F$25:$F$747,$F212,'Калькуляция (МИ корр)'!$G$25:$G$747,$G212),IF(method_reg="Метод экономически обоснованных расходов",_xlfn.SUMIFS('Калькуляция (МЭОР)'!$AJ$25:$AJ$452,'Калькуляция (МЭОР)'!$F$25:$F$452,$F212,'Калькуляция (МЭОР)'!$G$25:$G$452,$G212),IF(method_reg="Метод сравнения аналогов",_xlfn.SUMIFS('Калькуляция (МСА)'!$AE$25:$AE$122,'Калькуляция (МСА)'!$F$25:$F$122,$F212,'Калькуляция (МСА)'!$G$25:$G$122,$G212),_xlfn.SUMIFS(INDEX('Калькуляция (МИ)'!$AJ$25:$BC$747,,MATCH(AM$8,'Калькуляция (МИ)'!$AJ$8:$BC$8,0)),'Калькуляция (МИ)'!$F$25:$F$747,$F212,'Калькуляция (МИ)'!$G$25:$G$747,$G212))))</f>
        <v>138.49</v>
      </c>
      <c r="AN212" s="5272">
        <f>IF(AND(method_reg="Метод индексации",god&lt;&gt;first_year),_xlfn.SUMIFS(INDEX('Калькуляция (МИ корр)'!$AJ$25:$BC$747,,MATCH(AN$8,'Калькуляция (МИ корр)'!$AJ$8:$BC$8,0)),'Калькуляция (МИ корр)'!$F$25:$F$747,$F212,'Калькуляция (МИ корр)'!$G$25:$G$747,$G212),IF(method_reg="Метод экономически обоснованных расходов",_xlfn.SUMIFS('Калькуляция (МЭОР)'!$AK$25:$AK$452,'Калькуляция (МЭОР)'!$F$25:$F$452,$F212,'Калькуляция (МЭОР)'!$G$25:$G$452,$G212),IF(method_reg="Метод сравнения аналогов",_xlfn.SUMIFS('Калькуляция (МСА)'!$AF$25:$AF$122,'Калькуляция (МСА)'!$F$25:$F$122,$F212,'Калькуляция (МСА)'!$G$25:$G$122,$G212),_xlfn.SUMIFS(INDEX('Калькуляция (МИ)'!$AJ$25:$BC$747,,MATCH(AN$8,'Калькуляция (МИ)'!$AJ$8:$BC$8,0)),'Калькуляция (МИ)'!$F$25:$F$747,$F212,'Калькуляция (МИ)'!$G$25:$G$747,$G212))))</f>
        <v>138.490000189423</v>
      </c>
      <c r="AO212" s="296">
        <f>IF(AM212=0,0,(AN212-AM212)/AM212*100)</f>
        <v>1.36777378200872e-7</v>
      </c>
      <c r="AP212" s="5272">
        <f>IF(AND(method_reg="Метод индексации",god&lt;&gt;first_year),_xlfn.SUMIFS(INDEX('Калькуляция (МИ корр)'!$AJ$25:$BC$747,,MATCH(AP$8,'Калькуляция (МИ корр)'!$AJ$8:$BC$8,0)),'Калькуляция (МИ корр)'!$F$25:$F$747,$F212,'Калькуляция (МИ корр)'!$G$25:$G$747,$G212),IF(method_reg="Метод экономически обоснованных расходов",_xlfn.SUMIFS('Калькуляция (МЭОР)'!$AJ$25:$AJ$452,'Калькуляция (МЭОР)'!$F$25:$F$452,$F212,'Калькуляция (МЭОР)'!$G$25:$G$452,$G212),IF(method_reg="Метод сравнения аналогов",_xlfn.SUMIFS('Калькуляция (МСА)'!$AE$25:$AE$122,'Калькуляция (МСА)'!$F$25:$F$122,$F212,'Калькуляция (МСА)'!$G$25:$G$122,$G212),_xlfn.SUMIFS(INDEX('Калькуляция (МИ)'!$AJ$25:$BC$747,,MATCH(AP$8,'Калькуляция (МИ)'!$AJ$8:$BC$8,0)),'Калькуляция (МИ)'!$F$25:$F$747,$F212,'Калькуляция (МИ)'!$G$25:$G$747,$G212))))</f>
        <v>142.76</v>
      </c>
      <c r="AQ212" s="5272">
        <f>IF(AND(method_reg="Метод индексации",god&lt;&gt;first_year),_xlfn.SUMIFS(INDEX('Калькуляция (МИ корр)'!$AJ$25:$BC$747,,MATCH(AQ$8,'Калькуляция (МИ корр)'!$AJ$8:$BC$8,0)),'Калькуляция (МИ корр)'!$F$25:$F$747,$F212,'Калькуляция (МИ корр)'!$G$25:$G$747,$G212),IF(method_reg="Метод экономически обоснованных расходов",_xlfn.SUMIFS('Калькуляция (МЭОР)'!$AK$25:$AK$452,'Калькуляция (МЭОР)'!$F$25:$F$452,$F212,'Калькуляция (МЭОР)'!$G$25:$G$452,$G212),IF(method_reg="Метод сравнения аналогов",_xlfn.SUMIFS('Калькуляция (МСА)'!$AF$25:$AF$122,'Калькуляция (МСА)'!$F$25:$F$122,$F212,'Калькуляция (МСА)'!$G$25:$G$122,$G212),_xlfn.SUMIFS(INDEX('Калькуляция (МИ)'!$AJ$25:$BC$747,,MATCH(AQ$8,'Калькуляция (МИ)'!$AJ$8:$BC$8,0)),'Калькуляция (МИ)'!$F$25:$F$747,$F212,'Калькуляция (МИ)'!$G$25:$G$747,$G212))))</f>
        <v>142.697936086499</v>
      </c>
      <c r="AR212" s="296">
        <f>IF(AP212=0,0,(AQ212-AP212)/AP212*100)</f>
        <v>-0.0434743019760384</v>
      </c>
      <c r="AS212" s="5272">
        <f>IF(AND(method_reg="Метод индексации",god&lt;&gt;first_year),_xlfn.SUMIFS(INDEX('Калькуляция (МИ корр)'!$AJ$25:$BC$747,,MATCH(AS$8,'Калькуляция (МИ корр)'!$AJ$8:$BC$8,0)),'Калькуляция (МИ корр)'!$F$25:$F$747,$F212,'Калькуляция (МИ корр)'!$G$25:$G$747,$G212),IF(method_reg="Метод экономически обоснованных расходов",_xlfn.SUMIFS('Калькуляция (МЭОР)'!$AJ$25:$AJ$452,'Калькуляция (МЭОР)'!$F$25:$F$452,$F212,'Калькуляция (МЭОР)'!$G$25:$G$452,$G212),IF(method_reg="Метод сравнения аналогов",_xlfn.SUMIFS('Калькуляция (МСА)'!$AE$25:$AE$122,'Калькуляция (МСА)'!$F$25:$F$122,$F212,'Калькуляция (МСА)'!$G$25:$G$122,$G212),_xlfn.SUMIFS(INDEX('Калькуляция (МИ)'!$AJ$25:$BC$747,,MATCH(AS$8,'Калькуляция (МИ)'!$AJ$8:$BC$8,0)),'Калькуляция (МИ)'!$F$25:$F$747,$F212,'Калькуляция (МИ)'!$G$25:$G$747,$G212))))</f>
        <v>0</v>
      </c>
      <c r="AT212" s="5272">
        <f>IF(AND(method_reg="Метод индексации",god&lt;&gt;first_year),_xlfn.SUMIFS(INDEX('Калькуляция (МИ корр)'!$AJ$25:$BC$747,,MATCH(AT$8,'Калькуляция (МИ корр)'!$AJ$8:$BC$8,0)),'Калькуляция (МИ корр)'!$F$25:$F$747,$F212,'Калькуляция (МИ корр)'!$G$25:$G$747,$G212),IF(method_reg="Метод экономически обоснованных расходов",_xlfn.SUMIFS('Калькуляция (МЭОР)'!$AK$25:$AK$452,'Калькуляция (МЭОР)'!$F$25:$F$452,$F212,'Калькуляция (МЭОР)'!$G$25:$G$452,$G212),IF(method_reg="Метод сравнения аналогов",_xlfn.SUMIFS('Калькуляция (МСА)'!$AF$25:$AF$122,'Калькуляция (МСА)'!$F$25:$F$122,$F212,'Калькуляция (МСА)'!$G$25:$G$122,$G212),_xlfn.SUMIFS(INDEX('Калькуляция (МИ)'!$AJ$25:$BC$747,,MATCH(AT$8,'Калькуляция (МИ)'!$AJ$8:$BC$8,0)),'Калькуляция (МИ)'!$F$25:$F$747,$F212,'Калькуляция (МИ)'!$G$25:$G$747,$G212))))</f>
        <v>0</v>
      </c>
      <c r="AU212" s="296">
        <f>IF(AS212=0,0,(AT212-AS212)/AS212*100)</f>
        <v>0</v>
      </c>
      <c r="AV212" s="5272">
        <f>IF(AND(method_reg="Метод индексации",god&lt;&gt;first_year),_xlfn.SUMIFS(INDEX('Калькуляция (МИ корр)'!$AJ$25:$BC$747,,MATCH(AV$8,'Калькуляция (МИ корр)'!$AJ$8:$BC$8,0)),'Калькуляция (МИ корр)'!$F$25:$F$747,$F212,'Калькуляция (МИ корр)'!$G$25:$G$747,$G212),IF(method_reg="Метод экономически обоснованных расходов",_xlfn.SUMIFS('Калькуляция (МЭОР)'!$AJ$25:$AJ$452,'Калькуляция (МЭОР)'!$F$25:$F$452,$F212,'Калькуляция (МЭОР)'!$G$25:$G$452,$G212),IF(method_reg="Метод сравнения аналогов",_xlfn.SUMIFS('Калькуляция (МСА)'!$AE$25:$AE$122,'Калькуляция (МСА)'!$F$25:$F$122,$F212,'Калькуляция (МСА)'!$G$25:$G$122,$G212),_xlfn.SUMIFS(INDEX('Калькуляция (МИ)'!$AJ$25:$BC$747,,MATCH(AV$8,'Калькуляция (МИ)'!$AJ$8:$BC$8,0)),'Калькуляция (МИ)'!$F$25:$F$747,$F212,'Калькуляция (МИ)'!$G$25:$G$747,$G212))))</f>
        <v>0</v>
      </c>
      <c r="AW212" s="5272">
        <f>IF(AND(method_reg="Метод индексации",god&lt;&gt;first_year),_xlfn.SUMIFS(INDEX('Калькуляция (МИ корр)'!$AJ$25:$BC$747,,MATCH(AW$8,'Калькуляция (МИ корр)'!$AJ$8:$BC$8,0)),'Калькуляция (МИ корр)'!$F$25:$F$747,$F212,'Калькуляция (МИ корр)'!$G$25:$G$747,$G212),IF(method_reg="Метод экономически обоснованных расходов",_xlfn.SUMIFS('Калькуляция (МЭОР)'!$AK$25:$AK$452,'Калькуляция (МЭОР)'!$F$25:$F$452,$F212,'Калькуляция (МЭОР)'!$G$25:$G$452,$G212),IF(method_reg="Метод сравнения аналогов",_xlfn.SUMIFS('Калькуляция (МСА)'!$AF$25:$AF$122,'Калькуляция (МСА)'!$F$25:$F$122,$F212,'Калькуляция (МСА)'!$G$25:$G$122,$G212),_xlfn.SUMIFS(INDEX('Калькуляция (МИ)'!$AJ$25:$BC$747,,MATCH(AW$8,'Калькуляция (МИ)'!$AJ$8:$BC$8,0)),'Калькуляция (МИ)'!$F$25:$F$747,$F212,'Калькуляция (МИ)'!$G$25:$G$747,$G212))))</f>
        <v>0</v>
      </c>
      <c r="AX212" s="296">
        <f>IF(AV212=0,0,(AW212-AV212)/AV212*100)</f>
        <v>0</v>
      </c>
      <c r="AY212" s="5272">
        <f>IF(AND(method_reg="Метод индексации",god&lt;&gt;first_year),_xlfn.SUMIFS(INDEX('Калькуляция (МИ корр)'!$AJ$25:$BC$747,,MATCH(AY$8,'Калькуляция (МИ корр)'!$AJ$8:$BC$8,0)),'Калькуляция (МИ корр)'!$F$25:$F$747,$F212,'Калькуляция (МИ корр)'!$G$25:$G$747,$G212),IF(method_reg="Метод экономически обоснованных расходов",_xlfn.SUMIFS('Калькуляция (МЭОР)'!$AJ$25:$AJ$452,'Калькуляция (МЭОР)'!$F$25:$F$452,$F212,'Калькуляция (МЭОР)'!$G$25:$G$452,$G212),IF(method_reg="Метод сравнения аналогов",_xlfn.SUMIFS('Калькуляция (МСА)'!$AE$25:$AE$122,'Калькуляция (МСА)'!$F$25:$F$122,$F212,'Калькуляция (МСА)'!$G$25:$G$122,$G212),_xlfn.SUMIFS(INDEX('Калькуляция (МИ)'!$AJ$25:$BC$747,,MATCH(AY$8,'Калькуляция (МИ)'!$AJ$8:$BC$8,0)),'Калькуляция (МИ)'!$F$25:$F$747,$F212,'Калькуляция (МИ)'!$G$25:$G$747,$G212))))</f>
        <v>0</v>
      </c>
      <c r="AZ212" s="5272">
        <f>IF(AND(method_reg="Метод индексации",god&lt;&gt;first_year),_xlfn.SUMIFS(INDEX('Калькуляция (МИ корр)'!$AJ$25:$BC$747,,MATCH(AZ$8,'Калькуляция (МИ корр)'!$AJ$8:$BC$8,0)),'Калькуляция (МИ корр)'!$F$25:$F$747,$F212,'Калькуляция (МИ корр)'!$G$25:$G$747,$G212),IF(method_reg="Метод экономически обоснованных расходов",_xlfn.SUMIFS('Калькуляция (МЭОР)'!$AK$25:$AK$452,'Калькуляция (МЭОР)'!$F$25:$F$452,$F212,'Калькуляция (МЭОР)'!$G$25:$G$452,$G212),IF(method_reg="Метод сравнения аналогов",_xlfn.SUMIFS('Калькуляция (МСА)'!$AF$25:$AF$122,'Калькуляция (МСА)'!$F$25:$F$122,$F212,'Калькуляция (МСА)'!$G$25:$G$122,$G212),_xlfn.SUMIFS(INDEX('Калькуляция (МИ)'!$AJ$25:$BC$747,,MATCH(AZ$8,'Калькуляция (МИ)'!$AJ$8:$BC$8,0)),'Калькуляция (МИ)'!$F$25:$F$747,$F212,'Калькуляция (МИ)'!$G$25:$G$747,$G212))))</f>
        <v>0</v>
      </c>
      <c r="BA212" s="296">
        <f>IF(AY212=0,0,(AZ212-AY212)/AY212*100)</f>
        <v>0</v>
      </c>
      <c r="BB212" s="5272">
        <f>IF(AND(method_reg="Метод индексации",god&lt;&gt;first_year),_xlfn.SUMIFS(INDEX('Калькуляция (МИ корр)'!$AJ$25:$BC$747,,MATCH(BB$8,'Калькуляция (МИ корр)'!$AJ$8:$BC$8,0)),'Калькуляция (МИ корр)'!$F$25:$F$747,$F212,'Калькуляция (МИ корр)'!$G$25:$G$747,$G212),IF(method_reg="Метод экономически обоснованных расходов",_xlfn.SUMIFS('Калькуляция (МЭОР)'!$AJ$25:$AJ$452,'Калькуляция (МЭОР)'!$F$25:$F$452,$F212,'Калькуляция (МЭОР)'!$G$25:$G$452,$G212),IF(method_reg="Метод сравнения аналогов",_xlfn.SUMIFS('Калькуляция (МСА)'!$AE$25:$AE$122,'Калькуляция (МСА)'!$F$25:$F$122,$F212,'Калькуляция (МСА)'!$G$25:$G$122,$G212),_xlfn.SUMIFS(INDEX('Калькуляция (МИ)'!$AJ$25:$BC$747,,MATCH(BB$8,'Калькуляция (МИ)'!$AJ$8:$BC$8,0)),'Калькуляция (МИ)'!$F$25:$F$747,$F212,'Калькуляция (МИ)'!$G$25:$G$747,$G212))))</f>
        <v>0</v>
      </c>
      <c r="BC212" s="5272">
        <f>IF(AND(method_reg="Метод индексации",god&lt;&gt;first_year),_xlfn.SUMIFS(INDEX('Калькуляция (МИ корр)'!$AJ$25:$BC$747,,MATCH(BC$8,'Калькуляция (МИ корр)'!$AJ$8:$BC$8,0)),'Калькуляция (МИ корр)'!$F$25:$F$747,$F212,'Калькуляция (МИ корр)'!$G$25:$G$747,$G212),IF(method_reg="Метод экономически обоснованных расходов",_xlfn.SUMIFS('Калькуляция (МЭОР)'!$AK$25:$AK$452,'Калькуляция (МЭОР)'!$F$25:$F$452,$F212,'Калькуляция (МЭОР)'!$G$25:$G$452,$G212),IF(method_reg="Метод сравнения аналогов",_xlfn.SUMIFS('Калькуляция (МСА)'!$AF$25:$AF$122,'Калькуляция (МСА)'!$F$25:$F$122,$F212,'Калькуляция (МСА)'!$G$25:$G$122,$G212),_xlfn.SUMIFS(INDEX('Калькуляция (МИ)'!$AJ$25:$BC$747,,MATCH(BC$8,'Калькуляция (МИ)'!$AJ$8:$BC$8,0)),'Калькуляция (МИ)'!$F$25:$F$747,$F212,'Калькуляция (МИ)'!$G$25:$G$747,$G212))))</f>
        <v>0</v>
      </c>
      <c r="BD212" s="296">
        <f>IF(BB212=0,0,(BC212-BB212)/BB212*100)</f>
        <v>0</v>
      </c>
      <c r="BE212" s="5272">
        <f>IF(AND(method_reg="Метод индексации",god&lt;&gt;first_year),_xlfn.SUMIFS(INDEX('Калькуляция (МИ корр)'!$AJ$25:$BC$747,,MATCH(BE$8,'Калькуляция (МИ корр)'!$AJ$8:$BC$8,0)),'Калькуляция (МИ корр)'!$F$25:$F$747,$F212,'Калькуляция (МИ корр)'!$G$25:$G$747,$G212),IF(method_reg="Метод экономически обоснованных расходов",_xlfn.SUMIFS('Калькуляция (МЭОР)'!$AJ$25:$AJ$452,'Калькуляция (МЭОР)'!$F$25:$F$452,$F212,'Калькуляция (МЭОР)'!$G$25:$G$452,$G212),IF(method_reg="Метод сравнения аналогов",_xlfn.SUMIFS('Калькуляция (МСА)'!$AE$25:$AE$122,'Калькуляция (МСА)'!$F$25:$F$122,$F212,'Калькуляция (МСА)'!$G$25:$G$122,$G212),_xlfn.SUMIFS(INDEX('Калькуляция (МИ)'!$AJ$25:$BC$747,,MATCH(BE$8,'Калькуляция (МИ)'!$AJ$8:$BC$8,0)),'Калькуляция (МИ)'!$F$25:$F$747,$F212,'Калькуляция (МИ)'!$G$25:$G$747,$G212))))</f>
        <v>0</v>
      </c>
      <c r="BF212" s="5272">
        <f>IF(AND(method_reg="Метод индексации",god&lt;&gt;first_year),_xlfn.SUMIFS(INDEX('Калькуляция (МИ корр)'!$AJ$25:$BC$747,,MATCH(BF$8,'Калькуляция (МИ корр)'!$AJ$8:$BC$8,0)),'Калькуляция (МИ корр)'!$F$25:$F$747,$F212,'Калькуляция (МИ корр)'!$G$25:$G$747,$G212),IF(method_reg="Метод экономически обоснованных расходов",_xlfn.SUMIFS('Калькуляция (МЭОР)'!$AK$25:$AK$452,'Калькуляция (МЭОР)'!$F$25:$F$452,$F212,'Калькуляция (МЭОР)'!$G$25:$G$452,$G212),IF(method_reg="Метод сравнения аналогов",_xlfn.SUMIFS('Калькуляция (МСА)'!$AF$25:$AF$122,'Калькуляция (МСА)'!$F$25:$F$122,$F212,'Калькуляция (МСА)'!$G$25:$G$122,$G212),_xlfn.SUMIFS(INDEX('Калькуляция (МИ)'!$AJ$25:$BC$747,,MATCH(BF$8,'Калькуляция (МИ)'!$AJ$8:$BC$8,0)),'Калькуляция (МИ)'!$F$25:$F$747,$F212,'Калькуляция (МИ)'!$G$25:$G$747,$G212))))</f>
        <v>0</v>
      </c>
      <c r="BG212" s="296">
        <f>IF(BE212=0,0,(BF212-BE212)/BE212*100)</f>
        <v>0</v>
      </c>
      <c r="BH212" s="5272"/>
      <c r="BI212" s="5272"/>
      <c r="BJ212" s="296">
        <f>IF(BH212=0,0,(BI212-BH212)/BH212*100)</f>
        <v>0</v>
      </c>
      <c r="BK212" s="5272"/>
      <c r="BL212" s="5272"/>
      <c r="BM212" s="296">
        <f>IF(BK212=0,0,(BL212-BK212)/BK212*100)</f>
        <v>0</v>
      </c>
      <c r="BN212" s="5272"/>
      <c r="BO212" s="5272"/>
      <c r="BP212" s="296">
        <f>IF(BN212=0,0,(BO212-BN212)/BN212*100)</f>
        <v>0</v>
      </c>
      <c r="BQ212" s="5272"/>
      <c r="BR212" s="5272"/>
      <c r="BS212" s="296">
        <f>IF(BQ212=0,0,(BR212-BQ212)/BQ212*100)</f>
        <v>0</v>
      </c>
      <c r="BT212" s="5272"/>
      <c r="BU212" s="5272"/>
      <c r="BV212" s="296">
        <f>IF(BT212=0,0,(BU212-BT212)/BT212*100)</f>
        <v>0</v>
      </c>
      <c r="BW212" s="5272"/>
      <c r="BX212" s="5272"/>
      <c r="BY212" s="296">
        <f>IF(BW212=0,0,(BX212-BW212)/BW212*100)</f>
        <v>0</v>
      </c>
      <c r="BZ212" s="5272"/>
      <c r="CA212" s="5272"/>
      <c r="CB212" s="296">
        <f>IF(BZ212=0,0,(CA212-BZ212)/BZ212*100)</f>
        <v>0</v>
      </c>
      <c r="CC212" s="5272"/>
      <c r="CD212" s="5272"/>
      <c r="CE212" s="296">
        <f>IF(CC212=0,0,(CD212-CC212)/CC212*100)</f>
        <v>0</v>
      </c>
      <c r="CF212" s="5272"/>
      <c r="CG212" s="5272"/>
      <c r="CH212" s="296">
        <f>IF(CF212=0,0,(CG212-CF212)/CF212*100)</f>
        <v>0</v>
      </c>
      <c r="CI212" s="5272"/>
      <c r="CJ212" s="5272"/>
      <c r="CK212" s="296">
        <f>IF(CI212=0,0,(CJ212-CI212)/CI212*100)</f>
        <v>0</v>
      </c>
      <c r="CL212" s="5272"/>
      <c r="CM212" s="5272"/>
      <c r="CN212" s="296">
        <f>IF(CL212=0,0,(CM212-CL212)/CL212*100)</f>
        <v>0</v>
      </c>
      <c r="CO212" s="5272"/>
      <c r="CP212" s="5272"/>
      <c r="CQ212" s="296">
        <f>IF(CO212=0,0,(CP212-CO212)/CO212*100)</f>
        <v>0</v>
      </c>
      <c r="CR212" s="5272"/>
      <c r="CS212" s="5272"/>
      <c r="CT212" s="296">
        <f>IF(CR212=0,0,(CS212-CR212)/CR212*100)</f>
        <v>0</v>
      </c>
      <c r="CU212" s="5272"/>
      <c r="CV212" s="5272"/>
      <c r="CW212" s="296">
        <f>IF(CU212=0,0,(CV212-CU212)/CU212*100)</f>
        <v>0</v>
      </c>
      <c r="CX212" s="5272"/>
      <c r="CY212" s="5272"/>
      <c r="CZ212" s="296">
        <f>IF(CX212=0,0,(CY212-CX212)/CX212*100)</f>
        <v>0</v>
      </c>
      <c r="DA212" s="5272"/>
      <c r="DB212" s="5272"/>
      <c r="DC212" s="296">
        <f>IF(DA212=0,0,(DB212-DA212)/DA212*100)</f>
        <v>0</v>
      </c>
      <c r="DD212" s="5272"/>
      <c r="DE212" s="5272"/>
      <c r="DF212" s="296">
        <f>IF(DD212=0,0,(DE212-DD212)/DD212*100)</f>
        <v>0</v>
      </c>
      <c r="DG212" s="5272"/>
      <c r="DH212" s="5272"/>
      <c r="DI212" s="296">
        <f>IF(DG212=0,0,(DH212-DG212)/DG212*100)</f>
        <v>0</v>
      </c>
      <c r="DJ212" s="5272"/>
      <c r="DK212" s="5272"/>
      <c r="DL212" s="296">
        <f>IF(DJ212=0,0,(DK212-DJ212)/DJ212*100)</f>
        <v>0</v>
      </c>
      <c r="DM212" s="5272"/>
      <c r="DN212" s="5272"/>
      <c r="DO212" s="296">
        <f>IF(DM212=0,0,(DN212-DM212)/DM212*100)</f>
        <v>0</v>
      </c>
      <c r="DP212" s="5272"/>
      <c r="DQ212" s="5272"/>
      <c r="DR212" s="296">
        <f>IF(DP212=0,0,(DQ212-DP212)/DP212*100)</f>
        <v>0</v>
      </c>
      <c r="DS212" s="5272"/>
      <c r="DT212" s="5272"/>
      <c r="DU212" s="296">
        <f>IF(DS212=0,0,(DT212-DS212)/DS212*100)</f>
        <v>0</v>
      </c>
      <c r="DV212" s="5272"/>
      <c r="DW212" s="5272"/>
      <c r="DX212" s="296">
        <f>IF(DV212=0,0,(DW212-DV212)/DV212*100)</f>
        <v>0</v>
      </c>
      <c r="DY212" s="5272"/>
      <c r="DZ212" s="5272"/>
      <c r="EA212" s="296">
        <f>IF(DY212=0,0,(DZ212-DY212)/DY212*100)</f>
        <v>0</v>
      </c>
      <c r="EB212" s="5272"/>
      <c r="EC212" s="5272"/>
      <c r="ED212" s="296">
        <f>IF(EB212=0,0,(EC212-EB212)/EB212*100)</f>
        <v>0</v>
      </c>
      <c r="EE212" s="5272"/>
      <c r="EF212" s="5272"/>
      <c r="EG212" s="296">
        <f>IF(EE212=0,0,(EF212-EE212)/EE212*100)</f>
        <v>0</v>
      </c>
      <c r="EH212" s="5272"/>
      <c r="EI212" s="5272"/>
      <c r="EJ212" s="296">
        <f>IF(EH212=0,0,(EI212-EH212)/EH212*100)</f>
        <v>0</v>
      </c>
      <c r="EK212" s="5272"/>
      <c r="EL212" s="5272"/>
      <c r="EM212" s="296">
        <f>IF(EK212=0,0,(EL212-EK212)/EK212*100)</f>
        <v>0</v>
      </c>
      <c r="EN212" s="5272"/>
      <c r="EO212" s="5272"/>
      <c r="EP212" s="296">
        <f>IF(EN212=0,0,(EO212-EN212)/EN212*100)</f>
        <v>0</v>
      </c>
      <c r="EQ212" s="5272"/>
      <c r="ER212" s="5272"/>
      <c r="ES212" s="296">
        <f>IF(EQ212=0,0,(ER212-EQ212)/EQ212*100)</f>
        <v>0</v>
      </c>
      <c r="ET212" s="5272"/>
      <c r="EU212" s="5272"/>
      <c r="EV212" s="296">
        <f>IF(ET212=0,0,(EU212-ET212)/ET212*100)</f>
        <v>0</v>
      </c>
      <c r="EW212" s="5272"/>
      <c r="EX212" s="5272"/>
      <c r="EY212" s="296">
        <f>IF(EW212=0,0,(EX212-EW212)/EW212*100)</f>
        <v>0</v>
      </c>
      <c r="EZ212" s="5272"/>
      <c r="FA212" s="5272"/>
      <c r="FB212" s="296">
        <f>IF(EZ212=0,0,(FA212-EZ212)/EZ212*100)</f>
        <v>0</v>
      </c>
      <c r="FC212" s="5272"/>
      <c r="FD212" s="5272"/>
      <c r="FE212" s="296">
        <f>IF(FC212=0,0,(FD212-FC212)/FC212*100)</f>
        <v>0</v>
      </c>
      <c r="FF212" s="5272"/>
      <c r="FG212" s="5272"/>
      <c r="FH212" s="296">
        <f>IF(FF212=0,0,(FG212-FF212)/FF212*100)</f>
        <v>0</v>
      </c>
      <c r="FI212" s="5272"/>
      <c r="FJ212" s="5272"/>
      <c r="FK212" s="296">
        <f>IF(FI212=0,0,(FJ212-FI212)/FI212*100)</f>
        <v>0</v>
      </c>
      <c r="FL212" s="5272"/>
      <c r="FM212" s="5272"/>
      <c r="FN212" s="296">
        <f>IF(FL212=0,0,(FM212-FL212)/FL212*100)</f>
        <v>0</v>
      </c>
      <c r="FO212" s="5272"/>
      <c r="FP212" s="5272"/>
      <c r="FQ212" s="296">
        <f>IF(FO212=0,0,(FP212-FO212)/FO212*100)</f>
        <v>0</v>
      </c>
      <c r="FR212" s="5272"/>
      <c r="FS212" s="5272"/>
      <c r="FT212" s="296">
        <f>IF(FR212=0,0,(FS212-FR212)/FR212*100)</f>
        <v>0</v>
      </c>
      <c r="FU212" s="5272"/>
      <c r="FV212" s="5272"/>
      <c r="FW212" s="296">
        <f>IF(FU212=0,0,(FV212-FU212)/FU212*100)</f>
        <v>0</v>
      </c>
      <c r="FX212" s="292"/>
      <c r="FY212" s="292"/>
      <c r="FZ212" s="1055" t="s">
        <v>2420</v>
      </c>
      <c r="GA212" s="1055"/>
      <c r="GB212" s="1055"/>
      <c r="GC212" s="1056"/>
      <c r="GD212" s="1056"/>
    </row>
    <row s="1834" customFormat="1" customHeight="1" ht="14.25" hidden="1">
      <c r="A213" s="493"/>
      <c r="B213" s="925" cm="1" t="str">
        <f t="array" ref="B213:B213">B212</f>
        <v>false</v>
      </c>
      <c r="C213" s="493"/>
      <c r="D213" s="493"/>
      <c r="E213" s="840">
        <v>15</v>
      </c>
      <c r="F213" s="50" cm="1" t="str">
        <f t="array" ref="F213:F213">OFFSET(E213,-1,1)</f>
        <v>2</v>
      </c>
      <c r="G213" s="493"/>
      <c r="H213" s="493" t="s">
        <v>1179</v>
      </c>
      <c r="I213" s="493"/>
      <c r="J213" s="493"/>
      <c r="K213" s="493"/>
      <c r="L213" s="493"/>
      <c r="M213" s="493"/>
      <c r="N213" s="493"/>
      <c r="O213" s="493"/>
      <c r="P213" s="493"/>
      <c r="Q213" s="493"/>
      <c r="R213" s="493"/>
      <c r="S213" s="493"/>
      <c r="T213" s="465" cm="1" t="str">
        <f t="array" ref="T213:T213">T212</f>
        <v>true</v>
      </c>
      <c r="U213" s="493"/>
      <c r="V213" s="493"/>
      <c r="W213" s="493"/>
      <c r="X213" s="1596"/>
      <c r="Y213" s="493"/>
      <c r="Z213" s="1545"/>
      <c r="AA213" s="493"/>
      <c r="AB213" s="1088" t="s">
        <v>2421</v>
      </c>
      <c r="AC213" s="766" t="s">
        <v>1170</v>
      </c>
      <c r="AD213" s="1092">
        <f>IF(AD211=0,0,AD212/AD211)*100</f>
        <v>109.895297259629</v>
      </c>
      <c r="AE213" s="1092">
        <f>IF(AE211=0,0,AE212/AE211)*100</f>
        <v>109.895292923988</v>
      </c>
      <c r="AF213" s="1109"/>
      <c r="AG213" s="1092">
        <f>IF(AG211=0,0,AG212/AG211)*100</f>
        <v>106.403434639875</v>
      </c>
      <c r="AH213" s="1092">
        <f>IF(AH211=0,0,AH212/AH211)*100</f>
        <v>106.403433648079</v>
      </c>
      <c r="AI213" s="1109"/>
      <c r="AJ213" s="1092">
        <f>IF(AJ211=0,0,AJ212/AJ211)*100</f>
        <v>107.921712246995</v>
      </c>
      <c r="AK213" s="1092">
        <f>IF(AK211=0,0,AK212/AK211)*100</f>
        <v>107.921910176769</v>
      </c>
      <c r="AL213" s="1109"/>
      <c r="AM213" s="1092">
        <f>IF(AM211=0,0,AM212/AM211)*100</f>
        <v>103.520705636119</v>
      </c>
      <c r="AN213" s="1092">
        <f>IF(AN211=0,0,AN212/AN211)*100</f>
        <v>103.520705697266</v>
      </c>
      <c r="AO213" s="1109"/>
      <c r="AP213" s="1092">
        <f>IF(AP211=0,0,AP212/AP211)*100</f>
        <v>103.083255108672</v>
      </c>
      <c r="AQ213" s="1092">
        <f>IF(AQ211=0,0,AQ212/AQ211)*100</f>
        <v>103.038440242126</v>
      </c>
      <c r="AR213" s="1109"/>
      <c r="AS213" s="1092">
        <f>IF(AS211=0,0,AS212/AS211)*100</f>
        <v>0</v>
      </c>
      <c r="AT213" s="1092">
        <f>IF(AT211=0,0,AT212/AT211)*100</f>
        <v>0</v>
      </c>
      <c r="AU213" s="1109"/>
      <c r="AV213" s="1092">
        <f>IF(AV211=0,0,AV212/AV211)*100</f>
        <v>0</v>
      </c>
      <c r="AW213" s="1092">
        <f>IF(AW211=0,0,AW212/AW211)*100</f>
        <v>0</v>
      </c>
      <c r="AX213" s="1109"/>
      <c r="AY213" s="1092">
        <f>IF(AY211=0,0,AY212/AY211)*100</f>
        <v>0</v>
      </c>
      <c r="AZ213" s="1092">
        <f>IF(AZ211=0,0,AZ212/AZ211)*100</f>
        <v>0</v>
      </c>
      <c r="BA213" s="1109"/>
      <c r="BB213" s="1092">
        <f>IF(BB211=0,0,BB212/BB211)*100</f>
        <v>0</v>
      </c>
      <c r="BC213" s="1092">
        <f>IF(BC211=0,0,BC212/BC211)*100</f>
        <v>0</v>
      </c>
      <c r="BD213" s="1109"/>
      <c r="BE213" s="1092">
        <f>IF(BE211=0,0,BE212/BE211)*100</f>
        <v>0</v>
      </c>
      <c r="BF213" s="1092">
        <f>IF(BF211=0,0,BF212/BF211)*100</f>
        <v>0</v>
      </c>
      <c r="BG213" s="1109"/>
      <c r="BH213" s="1092">
        <f>IF(BH211=0,0,BH212/BH211)*100</f>
        <v>0</v>
      </c>
      <c r="BI213" s="1092">
        <f>IF(BI211=0,0,BI212/BI211)*100</f>
        <v>0</v>
      </c>
      <c r="BJ213" s="1109"/>
      <c r="BK213" s="1092">
        <f>IF(BK211=0,0,BK212/BK211)*100</f>
        <v>0</v>
      </c>
      <c r="BL213" s="1092">
        <f>IF(BL211=0,0,BL212/BL211)*100</f>
        <v>0</v>
      </c>
      <c r="BM213" s="1109"/>
      <c r="BN213" s="1092">
        <f>IF(BN211=0,0,BN212/BN211)*100</f>
        <v>0</v>
      </c>
      <c r="BO213" s="1092">
        <f>IF(BO211=0,0,BO212/BO211)*100</f>
        <v>0</v>
      </c>
      <c r="BP213" s="1109"/>
      <c r="BQ213" s="1092">
        <f>IF(BQ211=0,0,BQ212/BQ211)*100</f>
        <v>0</v>
      </c>
      <c r="BR213" s="1092">
        <f>IF(BR211=0,0,BR212/BR211)*100</f>
        <v>0</v>
      </c>
      <c r="BS213" s="1109"/>
      <c r="BT213" s="1092">
        <f>IF(BT211=0,0,BT212/BT211)*100</f>
        <v>0</v>
      </c>
      <c r="BU213" s="1092">
        <f>IF(BU211=0,0,BU212/BU211)*100</f>
        <v>0</v>
      </c>
      <c r="BV213" s="1109"/>
      <c r="BW213" s="1092">
        <f>IF(BW211=0,0,BW212/BW211)*100</f>
        <v>0</v>
      </c>
      <c r="BX213" s="1092">
        <f>IF(BX211=0,0,BX212/BX211)*100</f>
        <v>0</v>
      </c>
      <c r="BY213" s="1109"/>
      <c r="BZ213" s="1092">
        <f>IF(BZ211=0,0,BZ212/BZ211)*100</f>
        <v>0</v>
      </c>
      <c r="CA213" s="1092">
        <f>IF(CA211=0,0,CA212/CA211)*100</f>
        <v>0</v>
      </c>
      <c r="CB213" s="1109"/>
      <c r="CC213" s="1092">
        <f>IF(CC211=0,0,CC212/CC211)*100</f>
        <v>0</v>
      </c>
      <c r="CD213" s="1092">
        <f>IF(CD211=0,0,CD212/CD211)*100</f>
        <v>0</v>
      </c>
      <c r="CE213" s="1109"/>
      <c r="CF213" s="1092">
        <f>IF(CF211=0,0,CF212/CF211)*100</f>
        <v>0</v>
      </c>
      <c r="CG213" s="1092">
        <f>IF(CG211=0,0,CG212/CG211)*100</f>
        <v>0</v>
      </c>
      <c r="CH213" s="1109"/>
      <c r="CI213" s="1092">
        <f>IF(CI211=0,0,CI212/CI211)*100</f>
        <v>0</v>
      </c>
      <c r="CJ213" s="1092">
        <f>IF(CJ211=0,0,CJ212/CJ211)*100</f>
        <v>0</v>
      </c>
      <c r="CK213" s="1109"/>
      <c r="CL213" s="1092">
        <f>IF(CL211=0,0,CL212/CL211)*100</f>
        <v>0</v>
      </c>
      <c r="CM213" s="1092">
        <f>IF(CM211=0,0,CM212/CM211)*100</f>
        <v>0</v>
      </c>
      <c r="CN213" s="1109"/>
      <c r="CO213" s="1092">
        <f>IF(CO211=0,0,CO212/CO211)*100</f>
        <v>0</v>
      </c>
      <c r="CP213" s="1092">
        <f>IF(CP211=0,0,CP212/CP211)*100</f>
        <v>0</v>
      </c>
      <c r="CQ213" s="1109"/>
      <c r="CR213" s="1092">
        <f>IF(CR211=0,0,CR212/CR211)*100</f>
        <v>0</v>
      </c>
      <c r="CS213" s="1092">
        <f>IF(CS211=0,0,CS212/CS211)*100</f>
        <v>0</v>
      </c>
      <c r="CT213" s="1109"/>
      <c r="CU213" s="1092">
        <f>IF(CU211=0,0,CU212/CU211)*100</f>
        <v>0</v>
      </c>
      <c r="CV213" s="1092">
        <f>IF(CV211=0,0,CV212/CV211)*100</f>
        <v>0</v>
      </c>
      <c r="CW213" s="1109"/>
      <c r="CX213" s="1092">
        <f>IF(CX211=0,0,CX212/CX211)*100</f>
        <v>0</v>
      </c>
      <c r="CY213" s="1092">
        <f>IF(CY211=0,0,CY212/CY211)*100</f>
        <v>0</v>
      </c>
      <c r="CZ213" s="1109"/>
      <c r="DA213" s="1092">
        <f>IF(DA211=0,0,DA212/DA211)*100</f>
        <v>0</v>
      </c>
      <c r="DB213" s="1092">
        <f>IF(DB211=0,0,DB212/DB211)*100</f>
        <v>0</v>
      </c>
      <c r="DC213" s="1109"/>
      <c r="DD213" s="1092">
        <f>IF(DD211=0,0,DD212/DD211)*100</f>
        <v>0</v>
      </c>
      <c r="DE213" s="1092">
        <f>IF(DE211=0,0,DE212/DE211)*100</f>
        <v>0</v>
      </c>
      <c r="DF213" s="1109"/>
      <c r="DG213" s="1092">
        <f>IF(DG211=0,0,DG212/DG211)*100</f>
        <v>0</v>
      </c>
      <c r="DH213" s="1092">
        <f>IF(DH211=0,0,DH212/DH211)*100</f>
        <v>0</v>
      </c>
      <c r="DI213" s="1109"/>
      <c r="DJ213" s="1092">
        <f>IF(DJ211=0,0,DJ212/DJ211)*100</f>
        <v>0</v>
      </c>
      <c r="DK213" s="1092">
        <f>IF(DK211=0,0,DK212/DK211)*100</f>
        <v>0</v>
      </c>
      <c r="DL213" s="1109"/>
      <c r="DM213" s="1092">
        <f>IF(DM211=0,0,DM212/DM211)*100</f>
        <v>0</v>
      </c>
      <c r="DN213" s="1092">
        <f>IF(DN211=0,0,DN212/DN211)*100</f>
        <v>0</v>
      </c>
      <c r="DO213" s="1109"/>
      <c r="DP213" s="1092">
        <f>IF(DP211=0,0,DP212/DP211)*100</f>
        <v>0</v>
      </c>
      <c r="DQ213" s="1092">
        <f>IF(DQ211=0,0,DQ212/DQ211)*100</f>
        <v>0</v>
      </c>
      <c r="DR213" s="1109"/>
      <c r="DS213" s="1092">
        <f>IF(DS211=0,0,DS212/DS211)*100</f>
        <v>0</v>
      </c>
      <c r="DT213" s="1092">
        <f>IF(DT211=0,0,DT212/DT211)*100</f>
        <v>0</v>
      </c>
      <c r="DU213" s="1109"/>
      <c r="DV213" s="1092">
        <f>IF(DV211=0,0,DV212/DV211)*100</f>
        <v>0</v>
      </c>
      <c r="DW213" s="1092">
        <f>IF(DW211=0,0,DW212/DW211)*100</f>
        <v>0</v>
      </c>
      <c r="DX213" s="1109"/>
      <c r="DY213" s="1092">
        <f>IF(DY211=0,0,DY212/DY211)*100</f>
        <v>0</v>
      </c>
      <c r="DZ213" s="1092">
        <f>IF(DZ211=0,0,DZ212/DZ211)*100</f>
        <v>0</v>
      </c>
      <c r="EA213" s="1109"/>
      <c r="EB213" s="1092">
        <f>IF(EB211=0,0,EB212/EB211)*100</f>
        <v>0</v>
      </c>
      <c r="EC213" s="1092">
        <f>IF(EC211=0,0,EC212/EC211)*100</f>
        <v>0</v>
      </c>
      <c r="ED213" s="1109"/>
      <c r="EE213" s="1092">
        <f>IF(EE211=0,0,EE212/EE211)*100</f>
        <v>0</v>
      </c>
      <c r="EF213" s="1092">
        <f>IF(EF211=0,0,EF212/EF211)*100</f>
        <v>0</v>
      </c>
      <c r="EG213" s="1109"/>
      <c r="EH213" s="1092">
        <f>IF(EH211=0,0,EH212/EH211)*100</f>
        <v>0</v>
      </c>
      <c r="EI213" s="1092">
        <f>IF(EI211=0,0,EI212/EI211)*100</f>
        <v>0</v>
      </c>
      <c r="EJ213" s="1109"/>
      <c r="EK213" s="1092">
        <f>IF(EK211=0,0,EK212/EK211)*100</f>
        <v>0</v>
      </c>
      <c r="EL213" s="1092">
        <f>IF(EL211=0,0,EL212/EL211)*100</f>
        <v>0</v>
      </c>
      <c r="EM213" s="1109"/>
      <c r="EN213" s="1092">
        <f>IF(EN211=0,0,EN212/EN211)*100</f>
        <v>0</v>
      </c>
      <c r="EO213" s="1092">
        <f>IF(EO211=0,0,EO212/EO211)*100</f>
        <v>0</v>
      </c>
      <c r="EP213" s="1109"/>
      <c r="EQ213" s="1092">
        <f>IF(EQ211=0,0,EQ212/EQ211)*100</f>
        <v>0</v>
      </c>
      <c r="ER213" s="1092">
        <f>IF(ER211=0,0,ER212/ER211)*100</f>
        <v>0</v>
      </c>
      <c r="ES213" s="1109"/>
      <c r="ET213" s="1092">
        <f>IF(ET211=0,0,ET212/ET211)*100</f>
        <v>0</v>
      </c>
      <c r="EU213" s="1092">
        <f>IF(EU211=0,0,EU212/EU211)*100</f>
        <v>0</v>
      </c>
      <c r="EV213" s="1109"/>
      <c r="EW213" s="1092">
        <f>IF(EW211=0,0,EW212/EW211)*100</f>
        <v>0</v>
      </c>
      <c r="EX213" s="1092">
        <f>IF(EX211=0,0,EX212/EX211)*100</f>
        <v>0</v>
      </c>
      <c r="EY213" s="1109"/>
      <c r="EZ213" s="1092">
        <f>IF(EZ211=0,0,EZ212/EZ211)*100</f>
        <v>0</v>
      </c>
      <c r="FA213" s="1092">
        <f>IF(FA211=0,0,FA212/FA211)*100</f>
        <v>0</v>
      </c>
      <c r="FB213" s="1109"/>
      <c r="FC213" s="1092">
        <f>IF(FC211=0,0,FC212/FC211)*100</f>
        <v>0</v>
      </c>
      <c r="FD213" s="1092">
        <f>IF(FD211=0,0,FD212/FD211)*100</f>
        <v>0</v>
      </c>
      <c r="FE213" s="1109"/>
      <c r="FF213" s="1092">
        <f>IF(FF211=0,0,FF212/FF211)*100</f>
        <v>0</v>
      </c>
      <c r="FG213" s="1092">
        <f>IF(FG211=0,0,FG212/FG211)*100</f>
        <v>0</v>
      </c>
      <c r="FH213" s="1109"/>
      <c r="FI213" s="1092">
        <f>IF(FI211=0,0,FI212/FI211)*100</f>
        <v>0</v>
      </c>
      <c r="FJ213" s="1092">
        <f>IF(FJ211=0,0,FJ212/FJ211)*100</f>
        <v>0</v>
      </c>
      <c r="FK213" s="1109"/>
      <c r="FL213" s="1092">
        <f>IF(FL211=0,0,FL212/FL211)*100</f>
        <v>0</v>
      </c>
      <c r="FM213" s="1092">
        <f>IF(FM211=0,0,FM212/FM211)*100</f>
        <v>0</v>
      </c>
      <c r="FN213" s="1109"/>
      <c r="FO213" s="1092">
        <f>IF(FO211=0,0,FO212/FO211)*100</f>
        <v>0</v>
      </c>
      <c r="FP213" s="1092">
        <f>IF(FP211=0,0,FP212/FP211)*100</f>
        <v>0</v>
      </c>
      <c r="FQ213" s="1109"/>
      <c r="FR213" s="1092">
        <f>IF(FR211=0,0,FR212/FR211)*100</f>
        <v>0</v>
      </c>
      <c r="FS213" s="1092">
        <f>IF(FS211=0,0,FS212/FS211)*100</f>
        <v>0</v>
      </c>
      <c r="FT213" s="1109"/>
      <c r="FU213" s="1092">
        <f>IF(FU211=0,0,FU212/FU211)*100</f>
        <v>0</v>
      </c>
      <c r="FV213" s="1092">
        <f>IF(FV211=0,0,FV212/FV211)*100</f>
        <v>0</v>
      </c>
      <c r="FW213" s="1110"/>
      <c r="FX213" s="292"/>
      <c r="FY213" s="1304"/>
      <c r="FZ213" s="1055" t="s">
        <v>2422</v>
      </c>
      <c r="GA213" s="1306"/>
      <c r="GB213" s="1306"/>
      <c r="GC213" s="1305"/>
      <c r="GD213" s="1305"/>
    </row>
    <row s="1834" customFormat="1" customHeight="1" ht="14.25" hidden="1">
      <c r="A214" s="493"/>
      <c r="B214" s="925" cm="1" t="str">
        <f t="array" ref="B214:B214">B213</f>
        <v>false</v>
      </c>
      <c r="C214" s="493"/>
      <c r="D214" s="493"/>
      <c r="E214" s="840">
        <v>15</v>
      </c>
      <c r="F214" s="50" cm="1" t="str">
        <f t="array" ref="F214:F214">OFFSET(E214,-1,1)</f>
        <v>2</v>
      </c>
      <c r="G214" s="107" t="s">
        <v>2346</v>
      </c>
      <c r="H214" s="493"/>
      <c r="I214" s="493"/>
      <c r="J214" s="493"/>
      <c r="K214" s="493"/>
      <c r="L214" s="493"/>
      <c r="M214" s="493"/>
      <c r="N214" s="493"/>
      <c r="O214" s="493"/>
      <c r="P214" s="493"/>
      <c r="Q214" s="493"/>
      <c r="R214" s="493"/>
      <c r="S214" s="493"/>
      <c r="T214" s="465" cm="1" t="str">
        <f t="array" ref="T214:T214">T213</f>
        <v>true</v>
      </c>
      <c r="U214" s="493"/>
      <c r="V214" s="493"/>
      <c r="W214" s="493"/>
      <c r="X214" s="1596"/>
      <c r="Y214" s="493"/>
      <c r="Z214" s="1545"/>
      <c r="AA214" s="493"/>
      <c r="AB214" s="900" t="s">
        <v>2347</v>
      </c>
      <c r="AC214" s="864" t="s">
        <v>1247</v>
      </c>
      <c r="AD214" s="5247">
        <f>IF(AND(method_reg="Метод индексации",god&lt;&gt;first_year),_xlfn.SUMIFS(INDEX('Калькуляция (МИ корр)'!$AJ$25:$BC$747,,MATCH(AD$8,'Калькуляция (МИ корр)'!$AJ$8:$BC$8,0)),'Калькуляция (МИ корр)'!$F$25:$F$747,$F214,'Калькуляция (МИ корр)'!$G$25:$G$747,$G214),IF(method_reg="Метод экономически обоснованных расходов",_xlfn.SUMIFS('Калькуляция (МЭОР)'!$AJ$25:$AJ$452,'Калькуляция (МЭОР)'!$F$25:$F$452,$F214,'Калькуляция (МЭОР)'!$G$25:$G$452,$G214),IF(method_reg="Метод сравнения аналогов",_xlfn.SUMIFS('Калькуляция (МСА)'!$AE$25:$AE$122,'Калькуляция (МСА)'!$F$25:$F$122,$F214,'Калькуляция (МСА)'!$G$25:$G$122,$G214),_xlfn.SUMIFS(INDEX('Калькуляция (МИ)'!$AJ$25:$BC$747,,MATCH(AD$8,'Калькуляция (МИ)'!$AJ$8:$BC$8,0)),'Калькуляция (МИ)'!$F$25:$F$747,$F214,'Калькуляция (МИ)'!$G$25:$G$747,$G214))))</f>
        <v>1091.22881</v>
      </c>
      <c r="AE214" s="5247">
        <f>IF(AND(method_reg="Метод индексации",god&lt;&gt;first_year),_xlfn.SUMIFS(INDEX('Калькуляция (МИ корр)'!$AJ$25:$BC$747,,MATCH(AE$8,'Калькуляция (МИ корр)'!$AJ$8:$BC$8,0)),'Калькуляция (МИ корр)'!$F$25:$F$747,$F214,'Калькуляция (МИ корр)'!$G$25:$G$747,$G214),IF(method_reg="Метод экономически обоснованных расходов",_xlfn.SUMIFS('Калькуляция (МЭОР)'!$AK$25:$AK$452,'Калькуляция (МЭОР)'!$F$25:$F$452,$F214,'Калькуляция (МЭОР)'!$G$25:$G$452,$G214),IF(method_reg="Метод сравнения аналогов",_xlfn.SUMIFS('Калькуляция (МСА)'!$AF$25:$AF$122,'Калькуляция (МСА)'!$F$25:$F$122,$F214,'Калькуляция (МСА)'!$G$25:$G$122,$G214),_xlfn.SUMIFS(INDEX('Калькуляция (МИ)'!$AJ$25:$BC$747,,MATCH(AE$8,'Калькуляция (МИ)'!$AJ$8:$BC$8,0)),'Калькуляция (МИ)'!$F$25:$F$747,$F214,'Калькуляция (МИ)'!$G$25:$G$747,$G214))))</f>
        <v>1091.22881</v>
      </c>
      <c r="AF214" s="1095">
        <f>IF(AD214=0,0,(AE214-AD214)/AD214*100)</f>
        <v>0</v>
      </c>
      <c r="AG214" s="5247">
        <f>IF(AND(method_reg="Метод индексации",god&lt;&gt;first_year),_xlfn.SUMIFS(INDEX('Калькуляция (МИ корр)'!$AJ$25:$BC$747,,MATCH(AG$8,'Калькуляция (МИ корр)'!$AJ$8:$BC$8,0)),'Калькуляция (МИ корр)'!$F$25:$F$747,$F214,'Калькуляция (МИ корр)'!$G$25:$G$747,$G214),IF(method_reg="Метод экономически обоснованных расходов",_xlfn.SUMIFS('Калькуляция (МЭОР)'!$AJ$25:$AJ$452,'Калькуляция (МЭОР)'!$F$25:$F$452,$F214,'Калькуляция (МЭОР)'!$G$25:$G$452,$G214),IF(method_reg="Метод сравнения аналогов",_xlfn.SUMIFS('Калькуляция (МСА)'!$AE$25:$AE$122,'Калькуляция (МСА)'!$F$25:$F$122,$F214,'Калькуляция (МСА)'!$G$25:$G$122,$G214),_xlfn.SUMIFS(INDEX('Калькуляция (МИ)'!$AJ$25:$BC$747,,MATCH(AG$8,'Калькуляция (МИ)'!$AJ$8:$BC$8,0)),'Калькуляция (МИ)'!$F$25:$F$747,$F214,'Калькуляция (МИ)'!$G$25:$G$747,$G214))))</f>
        <v>1091.22881</v>
      </c>
      <c r="AH214" s="5247">
        <f>IF(AND(method_reg="Метод индексации",god&lt;&gt;first_year),_xlfn.SUMIFS(INDEX('Калькуляция (МИ корр)'!$AJ$25:$BC$747,,MATCH(AH$8,'Калькуляция (МИ корр)'!$AJ$8:$BC$8,0)),'Калькуляция (МИ корр)'!$F$25:$F$747,$F214,'Калькуляция (МИ корр)'!$G$25:$G$747,$G214),IF(method_reg="Метод экономически обоснованных расходов",_xlfn.SUMIFS('Калькуляция (МЭОР)'!$AK$25:$AK$452,'Калькуляция (МЭОР)'!$F$25:$F$452,$F214,'Калькуляция (МЭОР)'!$G$25:$G$452,$G214),IF(method_reg="Метод сравнения аналогов",_xlfn.SUMIFS('Калькуляция (МСА)'!$AF$25:$AF$122,'Калькуляция (МСА)'!$F$25:$F$122,$F214,'Калькуляция (МСА)'!$G$25:$G$122,$G214),_xlfn.SUMIFS(INDEX('Калькуляция (МИ)'!$AJ$25:$BC$747,,MATCH(AH$8,'Калькуляция (МИ)'!$AJ$8:$BC$8,0)),'Калькуляция (МИ)'!$F$25:$F$747,$F214,'Калькуляция (МИ)'!$G$25:$G$747,$G214))))</f>
        <v>1091.22881</v>
      </c>
      <c r="AI214" s="1095">
        <f>IF(AG214=0,0,(AH214-AG214)/AG214*100)</f>
        <v>0</v>
      </c>
      <c r="AJ214" s="5247">
        <f>IF(AND(method_reg="Метод индексации",god&lt;&gt;first_year),_xlfn.SUMIFS(INDEX('Калькуляция (МИ корр)'!$AJ$25:$BC$747,,MATCH(AJ$8,'Калькуляция (МИ корр)'!$AJ$8:$BC$8,0)),'Калькуляция (МИ корр)'!$F$25:$F$747,$F214,'Калькуляция (МИ корр)'!$G$25:$G$747,$G214),IF(method_reg="Метод экономически обоснованных расходов",_xlfn.SUMIFS('Калькуляция (МЭОР)'!$AJ$25:$AJ$452,'Калькуляция (МЭОР)'!$F$25:$F$452,$F214,'Калькуляция (МЭОР)'!$G$25:$G$452,$G214),IF(method_reg="Метод сравнения аналогов",_xlfn.SUMIFS('Калькуляция (МСА)'!$AE$25:$AE$122,'Калькуляция (МСА)'!$F$25:$F$122,$F214,'Калькуляция (МСА)'!$G$25:$G$122,$G214),_xlfn.SUMIFS(INDEX('Калькуляция (МИ)'!$AJ$25:$BC$747,,MATCH(AJ$8,'Калькуляция (МИ)'!$AJ$8:$BC$8,0)),'Калькуляция (МИ)'!$F$25:$F$747,$F214,'Калькуляция (МИ)'!$G$25:$G$747,$G214))))</f>
        <v>1091.22881</v>
      </c>
      <c r="AK214" s="5247">
        <f>IF(AND(method_reg="Метод индексации",god&lt;&gt;first_year),_xlfn.SUMIFS(INDEX('Калькуляция (МИ корр)'!$AJ$25:$BC$747,,MATCH(AK$8,'Калькуляция (МИ корр)'!$AJ$8:$BC$8,0)),'Калькуляция (МИ корр)'!$F$25:$F$747,$F214,'Калькуляция (МИ корр)'!$G$25:$G$747,$G214),IF(method_reg="Метод экономически обоснованных расходов",_xlfn.SUMIFS('Калькуляция (МЭОР)'!$AK$25:$AK$452,'Калькуляция (МЭОР)'!$F$25:$F$452,$F214,'Калькуляция (МЭОР)'!$G$25:$G$452,$G214),IF(method_reg="Метод сравнения аналогов",_xlfn.SUMIFS('Калькуляция (МСА)'!$AF$25:$AF$122,'Калькуляция (МСА)'!$F$25:$F$122,$F214,'Калькуляция (МСА)'!$G$25:$G$122,$G214),_xlfn.SUMIFS(INDEX('Калькуляция (МИ)'!$AJ$25:$BC$747,,MATCH(AK$8,'Калькуляция (МИ)'!$AJ$8:$BC$8,0)),'Калькуляция (МИ)'!$F$25:$F$747,$F214,'Калькуляция (МИ)'!$G$25:$G$747,$G214))))</f>
        <v>1091.22881</v>
      </c>
      <c r="AL214" s="1095">
        <f>IF(AJ214=0,0,(AK214-AJ214)/AJ214*100)</f>
        <v>0</v>
      </c>
      <c r="AM214" s="5247">
        <f>IF(AND(method_reg="Метод индексации",god&lt;&gt;first_year),_xlfn.SUMIFS(INDEX('Калькуляция (МИ корр)'!$AJ$25:$BC$747,,MATCH(AM$8,'Калькуляция (МИ корр)'!$AJ$8:$BC$8,0)),'Калькуляция (МИ корр)'!$F$25:$F$747,$F214,'Калькуляция (МИ корр)'!$G$25:$G$747,$G214),IF(method_reg="Метод экономически обоснованных расходов",_xlfn.SUMIFS('Калькуляция (МЭОР)'!$AJ$25:$AJ$452,'Калькуляция (МЭОР)'!$F$25:$F$452,$F214,'Калькуляция (МЭОР)'!$G$25:$G$452,$G214),IF(method_reg="Метод сравнения аналогов",_xlfn.SUMIFS('Калькуляция (МСА)'!$AE$25:$AE$122,'Калькуляция (МСА)'!$F$25:$F$122,$F214,'Калькуляция (МСА)'!$G$25:$G$122,$G214),_xlfn.SUMIFS(INDEX('Калькуляция (МИ)'!$AJ$25:$BC$747,,MATCH(AM$8,'Калькуляция (МИ)'!$AJ$8:$BC$8,0)),'Калькуляция (МИ)'!$F$25:$F$747,$F214,'Калькуляция (МИ)'!$G$25:$G$747,$G214))))</f>
        <v>1091.22881</v>
      </c>
      <c r="AN214" s="5247">
        <f>IF(AND(method_reg="Метод индексации",god&lt;&gt;first_year),_xlfn.SUMIFS(INDEX('Калькуляция (МИ корр)'!$AJ$25:$BC$747,,MATCH(AN$8,'Калькуляция (МИ корр)'!$AJ$8:$BC$8,0)),'Калькуляция (МИ корр)'!$F$25:$F$747,$F214,'Калькуляция (МИ корр)'!$G$25:$G$747,$G214),IF(method_reg="Метод экономически обоснованных расходов",_xlfn.SUMIFS('Калькуляция (МЭОР)'!$AK$25:$AK$452,'Калькуляция (МЭОР)'!$F$25:$F$452,$F214,'Калькуляция (МЭОР)'!$G$25:$G$452,$G214),IF(method_reg="Метод сравнения аналогов",_xlfn.SUMIFS('Калькуляция (МСА)'!$AF$25:$AF$122,'Калькуляция (МСА)'!$F$25:$F$122,$F214,'Калькуляция (МСА)'!$G$25:$G$122,$G214),_xlfn.SUMIFS(INDEX('Калькуляция (МИ)'!$AJ$25:$BC$747,,MATCH(AN$8,'Калькуляция (МИ)'!$AJ$8:$BC$8,0)),'Калькуляция (МИ)'!$F$25:$F$747,$F214,'Калькуляция (МИ)'!$G$25:$G$747,$G214))))</f>
        <v>1091.22881</v>
      </c>
      <c r="AO214" s="1095">
        <f>IF(AM214=0,0,(AN214-AM214)/AM214*100)</f>
        <v>0</v>
      </c>
      <c r="AP214" s="5247">
        <f>IF(AND(method_reg="Метод индексации",god&lt;&gt;first_year),_xlfn.SUMIFS(INDEX('Калькуляция (МИ корр)'!$AJ$25:$BC$747,,MATCH(AP$8,'Калькуляция (МИ корр)'!$AJ$8:$BC$8,0)),'Калькуляция (МИ корр)'!$F$25:$F$747,$F214,'Калькуляция (МИ корр)'!$G$25:$G$747,$G214),IF(method_reg="Метод экономически обоснованных расходов",_xlfn.SUMIFS('Калькуляция (МЭОР)'!$AJ$25:$AJ$452,'Калькуляция (МЭОР)'!$F$25:$F$452,$F214,'Калькуляция (МЭОР)'!$G$25:$G$452,$G214),IF(method_reg="Метод сравнения аналогов",_xlfn.SUMIFS('Калькуляция (МСА)'!$AE$25:$AE$122,'Калькуляция (МСА)'!$F$25:$F$122,$F214,'Калькуляция (МСА)'!$G$25:$G$122,$G214),_xlfn.SUMIFS(INDEX('Калькуляция (МИ)'!$AJ$25:$BC$747,,MATCH(AP$8,'Калькуляция (МИ)'!$AJ$8:$BC$8,0)),'Калькуляция (МИ)'!$F$25:$F$747,$F214,'Калькуляция (МИ)'!$G$25:$G$747,$G214))))</f>
        <v>1091.22881</v>
      </c>
      <c r="AQ214" s="5247">
        <f>IF(AND(method_reg="Метод индексации",god&lt;&gt;first_year),_xlfn.SUMIFS(INDEX('Калькуляция (МИ корр)'!$AJ$25:$BC$747,,MATCH(AQ$8,'Калькуляция (МИ корр)'!$AJ$8:$BC$8,0)),'Калькуляция (МИ корр)'!$F$25:$F$747,$F214,'Калькуляция (МИ корр)'!$G$25:$G$747,$G214),IF(method_reg="Метод экономически обоснованных расходов",_xlfn.SUMIFS('Калькуляция (МЭОР)'!$AK$25:$AK$452,'Калькуляция (МЭОР)'!$F$25:$F$452,$F214,'Калькуляция (МЭОР)'!$G$25:$G$452,$G214),IF(method_reg="Метод сравнения аналогов",_xlfn.SUMIFS('Калькуляция (МСА)'!$AF$25:$AF$122,'Калькуляция (МСА)'!$F$25:$F$122,$F214,'Калькуляция (МСА)'!$G$25:$G$122,$G214),_xlfn.SUMIFS(INDEX('Калькуляция (МИ)'!$AJ$25:$BC$747,,MATCH(AQ$8,'Калькуляция (МИ)'!$AJ$8:$BC$8,0)),'Калькуляция (МИ)'!$F$25:$F$747,$F214,'Калькуляция (МИ)'!$G$25:$G$747,$G214))))</f>
        <v>1091.22881</v>
      </c>
      <c r="AR214" s="1095">
        <f>IF(AP214=0,0,(AQ214-AP214)/AP214*100)</f>
        <v>0</v>
      </c>
      <c r="AS214" s="5247">
        <f>IF(AND(method_reg="Метод индексации",god&lt;&gt;first_year),_xlfn.SUMIFS(INDEX('Калькуляция (МИ корр)'!$AJ$25:$BC$747,,MATCH(AS$8,'Калькуляция (МИ корр)'!$AJ$8:$BC$8,0)),'Калькуляция (МИ корр)'!$F$25:$F$747,$F214,'Калькуляция (МИ корр)'!$G$25:$G$747,$G214),IF(method_reg="Метод экономически обоснованных расходов",_xlfn.SUMIFS('Калькуляция (МЭОР)'!$AJ$25:$AJ$452,'Калькуляция (МЭОР)'!$F$25:$F$452,$F214,'Калькуляция (МЭОР)'!$G$25:$G$452,$G214),IF(method_reg="Метод сравнения аналогов",_xlfn.SUMIFS('Калькуляция (МСА)'!$AE$25:$AE$122,'Калькуляция (МСА)'!$F$25:$F$122,$F214,'Калькуляция (МСА)'!$G$25:$G$122,$G214),_xlfn.SUMIFS(INDEX('Калькуляция (МИ)'!$AJ$25:$BC$747,,MATCH(AS$8,'Калькуляция (МИ)'!$AJ$8:$BC$8,0)),'Калькуляция (МИ)'!$F$25:$F$747,$F214,'Калькуляция (МИ)'!$G$25:$G$747,$G214))))</f>
        <v>0</v>
      </c>
      <c r="AT214" s="5247">
        <f>IF(AND(method_reg="Метод индексации",god&lt;&gt;first_year),_xlfn.SUMIFS(INDEX('Калькуляция (МИ корр)'!$AJ$25:$BC$747,,MATCH(AT$8,'Калькуляция (МИ корр)'!$AJ$8:$BC$8,0)),'Калькуляция (МИ корр)'!$F$25:$F$747,$F214,'Калькуляция (МИ корр)'!$G$25:$G$747,$G214),IF(method_reg="Метод экономически обоснованных расходов",_xlfn.SUMIFS('Калькуляция (МЭОР)'!$AK$25:$AK$452,'Калькуляция (МЭОР)'!$F$25:$F$452,$F214,'Калькуляция (МЭОР)'!$G$25:$G$452,$G214),IF(method_reg="Метод сравнения аналогов",_xlfn.SUMIFS('Калькуляция (МСА)'!$AF$25:$AF$122,'Калькуляция (МСА)'!$F$25:$F$122,$F214,'Калькуляция (МСА)'!$G$25:$G$122,$G214),_xlfn.SUMIFS(INDEX('Калькуляция (МИ)'!$AJ$25:$BC$747,,MATCH(AT$8,'Калькуляция (МИ)'!$AJ$8:$BC$8,0)),'Калькуляция (МИ)'!$F$25:$F$747,$F214,'Калькуляция (МИ)'!$G$25:$G$747,$G214))))</f>
        <v>0</v>
      </c>
      <c r="AU214" s="1095">
        <f>IF(AS214=0,0,(AT214-AS214)/AS214*100)</f>
        <v>0</v>
      </c>
      <c r="AV214" s="5247">
        <f>IF(AND(method_reg="Метод индексации",god&lt;&gt;first_year),_xlfn.SUMIFS(INDEX('Калькуляция (МИ корр)'!$AJ$25:$BC$747,,MATCH(AV$8,'Калькуляция (МИ корр)'!$AJ$8:$BC$8,0)),'Калькуляция (МИ корр)'!$F$25:$F$747,$F214,'Калькуляция (МИ корр)'!$G$25:$G$747,$G214),IF(method_reg="Метод экономически обоснованных расходов",_xlfn.SUMIFS('Калькуляция (МЭОР)'!$AJ$25:$AJ$452,'Калькуляция (МЭОР)'!$F$25:$F$452,$F214,'Калькуляция (МЭОР)'!$G$25:$G$452,$G214),IF(method_reg="Метод сравнения аналогов",_xlfn.SUMIFS('Калькуляция (МСА)'!$AE$25:$AE$122,'Калькуляция (МСА)'!$F$25:$F$122,$F214,'Калькуляция (МСА)'!$G$25:$G$122,$G214),_xlfn.SUMIFS(INDEX('Калькуляция (МИ)'!$AJ$25:$BC$747,,MATCH(AV$8,'Калькуляция (МИ)'!$AJ$8:$BC$8,0)),'Калькуляция (МИ)'!$F$25:$F$747,$F214,'Калькуляция (МИ)'!$G$25:$G$747,$G214))))</f>
        <v>0</v>
      </c>
      <c r="AW214" s="5247">
        <f>IF(AND(method_reg="Метод индексации",god&lt;&gt;first_year),_xlfn.SUMIFS(INDEX('Калькуляция (МИ корр)'!$AJ$25:$BC$747,,MATCH(AW$8,'Калькуляция (МИ корр)'!$AJ$8:$BC$8,0)),'Калькуляция (МИ корр)'!$F$25:$F$747,$F214,'Калькуляция (МИ корр)'!$G$25:$G$747,$G214),IF(method_reg="Метод экономически обоснованных расходов",_xlfn.SUMIFS('Калькуляция (МЭОР)'!$AK$25:$AK$452,'Калькуляция (МЭОР)'!$F$25:$F$452,$F214,'Калькуляция (МЭОР)'!$G$25:$G$452,$G214),IF(method_reg="Метод сравнения аналогов",_xlfn.SUMIFS('Калькуляция (МСА)'!$AF$25:$AF$122,'Калькуляция (МСА)'!$F$25:$F$122,$F214,'Калькуляция (МСА)'!$G$25:$G$122,$G214),_xlfn.SUMIFS(INDEX('Калькуляция (МИ)'!$AJ$25:$BC$747,,MATCH(AW$8,'Калькуляция (МИ)'!$AJ$8:$BC$8,0)),'Калькуляция (МИ)'!$F$25:$F$747,$F214,'Калькуляция (МИ)'!$G$25:$G$747,$G214))))</f>
        <v>0</v>
      </c>
      <c r="AX214" s="1095">
        <f>IF(AV214=0,0,(AW214-AV214)/AV214*100)</f>
        <v>0</v>
      </c>
      <c r="AY214" s="5247">
        <f>IF(AND(method_reg="Метод индексации",god&lt;&gt;first_year),_xlfn.SUMIFS(INDEX('Калькуляция (МИ корр)'!$AJ$25:$BC$747,,MATCH(AY$8,'Калькуляция (МИ корр)'!$AJ$8:$BC$8,0)),'Калькуляция (МИ корр)'!$F$25:$F$747,$F214,'Калькуляция (МИ корр)'!$G$25:$G$747,$G214),IF(method_reg="Метод экономически обоснованных расходов",_xlfn.SUMIFS('Калькуляция (МЭОР)'!$AJ$25:$AJ$452,'Калькуляция (МЭОР)'!$F$25:$F$452,$F214,'Калькуляция (МЭОР)'!$G$25:$G$452,$G214),IF(method_reg="Метод сравнения аналогов",_xlfn.SUMIFS('Калькуляция (МСА)'!$AE$25:$AE$122,'Калькуляция (МСА)'!$F$25:$F$122,$F214,'Калькуляция (МСА)'!$G$25:$G$122,$G214),_xlfn.SUMIFS(INDEX('Калькуляция (МИ)'!$AJ$25:$BC$747,,MATCH(AY$8,'Калькуляция (МИ)'!$AJ$8:$BC$8,0)),'Калькуляция (МИ)'!$F$25:$F$747,$F214,'Калькуляция (МИ)'!$G$25:$G$747,$G214))))</f>
        <v>0</v>
      </c>
      <c r="AZ214" s="5247">
        <f>IF(AND(method_reg="Метод индексации",god&lt;&gt;first_year),_xlfn.SUMIFS(INDEX('Калькуляция (МИ корр)'!$AJ$25:$BC$747,,MATCH(AZ$8,'Калькуляция (МИ корр)'!$AJ$8:$BC$8,0)),'Калькуляция (МИ корр)'!$F$25:$F$747,$F214,'Калькуляция (МИ корр)'!$G$25:$G$747,$G214),IF(method_reg="Метод экономически обоснованных расходов",_xlfn.SUMIFS('Калькуляция (МЭОР)'!$AK$25:$AK$452,'Калькуляция (МЭОР)'!$F$25:$F$452,$F214,'Калькуляция (МЭОР)'!$G$25:$G$452,$G214),IF(method_reg="Метод сравнения аналогов",_xlfn.SUMIFS('Калькуляция (МСА)'!$AF$25:$AF$122,'Калькуляция (МСА)'!$F$25:$F$122,$F214,'Калькуляция (МСА)'!$G$25:$G$122,$G214),_xlfn.SUMIFS(INDEX('Калькуляция (МИ)'!$AJ$25:$BC$747,,MATCH(AZ$8,'Калькуляция (МИ)'!$AJ$8:$BC$8,0)),'Калькуляция (МИ)'!$F$25:$F$747,$F214,'Калькуляция (МИ)'!$G$25:$G$747,$G214))))</f>
        <v>0</v>
      </c>
      <c r="BA214" s="1095">
        <f>IF(AY214=0,0,(AZ214-AY214)/AY214*100)</f>
        <v>0</v>
      </c>
      <c r="BB214" s="5247">
        <f>IF(AND(method_reg="Метод индексации",god&lt;&gt;first_year),_xlfn.SUMIFS(INDEX('Калькуляция (МИ корр)'!$AJ$25:$BC$747,,MATCH(BB$8,'Калькуляция (МИ корр)'!$AJ$8:$BC$8,0)),'Калькуляция (МИ корр)'!$F$25:$F$747,$F214,'Калькуляция (МИ корр)'!$G$25:$G$747,$G214),IF(method_reg="Метод экономически обоснованных расходов",_xlfn.SUMIFS('Калькуляция (МЭОР)'!$AJ$25:$AJ$452,'Калькуляция (МЭОР)'!$F$25:$F$452,$F214,'Калькуляция (МЭОР)'!$G$25:$G$452,$G214),IF(method_reg="Метод сравнения аналогов",_xlfn.SUMIFS('Калькуляция (МСА)'!$AE$25:$AE$122,'Калькуляция (МСА)'!$F$25:$F$122,$F214,'Калькуляция (МСА)'!$G$25:$G$122,$G214),_xlfn.SUMIFS(INDEX('Калькуляция (МИ)'!$AJ$25:$BC$747,,MATCH(BB$8,'Калькуляция (МИ)'!$AJ$8:$BC$8,0)),'Калькуляция (МИ)'!$F$25:$F$747,$F214,'Калькуляция (МИ)'!$G$25:$G$747,$G214))))</f>
        <v>0</v>
      </c>
      <c r="BC214" s="5247">
        <f>IF(AND(method_reg="Метод индексации",god&lt;&gt;first_year),_xlfn.SUMIFS(INDEX('Калькуляция (МИ корр)'!$AJ$25:$BC$747,,MATCH(BC$8,'Калькуляция (МИ корр)'!$AJ$8:$BC$8,0)),'Калькуляция (МИ корр)'!$F$25:$F$747,$F214,'Калькуляция (МИ корр)'!$G$25:$G$747,$G214),IF(method_reg="Метод экономически обоснованных расходов",_xlfn.SUMIFS('Калькуляция (МЭОР)'!$AK$25:$AK$452,'Калькуляция (МЭОР)'!$F$25:$F$452,$F214,'Калькуляция (МЭОР)'!$G$25:$G$452,$G214),IF(method_reg="Метод сравнения аналогов",_xlfn.SUMIFS('Калькуляция (МСА)'!$AF$25:$AF$122,'Калькуляция (МСА)'!$F$25:$F$122,$F214,'Калькуляция (МСА)'!$G$25:$G$122,$G214),_xlfn.SUMIFS(INDEX('Калькуляция (МИ)'!$AJ$25:$BC$747,,MATCH(BC$8,'Калькуляция (МИ)'!$AJ$8:$BC$8,0)),'Калькуляция (МИ)'!$F$25:$F$747,$F214,'Калькуляция (МИ)'!$G$25:$G$747,$G214))))</f>
        <v>0</v>
      </c>
      <c r="BD214" s="1095">
        <f>IF(BB214=0,0,(BC214-BB214)/BB214*100)</f>
        <v>0</v>
      </c>
      <c r="BE214" s="5247">
        <f>IF(AND(method_reg="Метод индексации",god&lt;&gt;first_year),_xlfn.SUMIFS(INDEX('Калькуляция (МИ корр)'!$AJ$25:$BC$747,,MATCH(BE$8,'Калькуляция (МИ корр)'!$AJ$8:$BC$8,0)),'Калькуляция (МИ корр)'!$F$25:$F$747,$F214,'Калькуляция (МИ корр)'!$G$25:$G$747,$G214),IF(method_reg="Метод экономически обоснованных расходов",_xlfn.SUMIFS('Калькуляция (МЭОР)'!$AJ$25:$AJ$452,'Калькуляция (МЭОР)'!$F$25:$F$452,$F214,'Калькуляция (МЭОР)'!$G$25:$G$452,$G214),IF(method_reg="Метод сравнения аналогов",_xlfn.SUMIFS('Калькуляция (МСА)'!$AE$25:$AE$122,'Калькуляция (МСА)'!$F$25:$F$122,$F214,'Калькуляция (МСА)'!$G$25:$G$122,$G214),_xlfn.SUMIFS(INDEX('Калькуляция (МИ)'!$AJ$25:$BC$747,,MATCH(BE$8,'Калькуляция (МИ)'!$AJ$8:$BC$8,0)),'Калькуляция (МИ)'!$F$25:$F$747,$F214,'Калькуляция (МИ)'!$G$25:$G$747,$G214))))</f>
        <v>0</v>
      </c>
      <c r="BF214" s="5247">
        <f>IF(AND(method_reg="Метод индексации",god&lt;&gt;first_year),_xlfn.SUMIFS(INDEX('Калькуляция (МИ корр)'!$AJ$25:$BC$747,,MATCH(BF$8,'Калькуляция (МИ корр)'!$AJ$8:$BC$8,0)),'Калькуляция (МИ корр)'!$F$25:$F$747,$F214,'Калькуляция (МИ корр)'!$G$25:$G$747,$G214),IF(method_reg="Метод экономически обоснованных расходов",_xlfn.SUMIFS('Калькуляция (МЭОР)'!$AK$25:$AK$452,'Калькуляция (МЭОР)'!$F$25:$F$452,$F214,'Калькуляция (МЭОР)'!$G$25:$G$452,$G214),IF(method_reg="Метод сравнения аналогов",_xlfn.SUMIFS('Калькуляция (МСА)'!$AF$25:$AF$122,'Калькуляция (МСА)'!$F$25:$F$122,$F214,'Калькуляция (МСА)'!$G$25:$G$122,$G214),_xlfn.SUMIFS(INDEX('Калькуляция (МИ)'!$AJ$25:$BC$747,,MATCH(BF$8,'Калькуляция (МИ)'!$AJ$8:$BC$8,0)),'Калькуляция (МИ)'!$F$25:$F$747,$F214,'Калькуляция (МИ)'!$G$25:$G$747,$G214))))</f>
        <v>0</v>
      </c>
      <c r="BG214" s="1095">
        <f>IF(BE214=0,0,(BF214-BE214)/BE214*100)</f>
        <v>0</v>
      </c>
      <c r="BH214" s="5247"/>
      <c r="BI214" s="5247"/>
      <c r="BJ214" s="1095">
        <f>IF(BH214=0,0,(BI214-BH214)/BH214*100)</f>
        <v>0</v>
      </c>
      <c r="BK214" s="5247"/>
      <c r="BL214" s="5247"/>
      <c r="BM214" s="1095">
        <f>IF(BK214=0,0,(BL214-BK214)/BK214*100)</f>
        <v>0</v>
      </c>
      <c r="BN214" s="5247"/>
      <c r="BO214" s="5247"/>
      <c r="BP214" s="1095">
        <f>IF(BN214=0,0,(BO214-BN214)/BN214*100)</f>
        <v>0</v>
      </c>
      <c r="BQ214" s="5247"/>
      <c r="BR214" s="5247"/>
      <c r="BS214" s="1095">
        <f>IF(BQ214=0,0,(BR214-BQ214)/BQ214*100)</f>
        <v>0</v>
      </c>
      <c r="BT214" s="5247"/>
      <c r="BU214" s="5247"/>
      <c r="BV214" s="1095">
        <f>IF(BT214=0,0,(BU214-BT214)/BT214*100)</f>
        <v>0</v>
      </c>
      <c r="BW214" s="5247"/>
      <c r="BX214" s="5247"/>
      <c r="BY214" s="1095">
        <f>IF(BW214=0,0,(BX214-BW214)/BW214*100)</f>
        <v>0</v>
      </c>
      <c r="BZ214" s="5247"/>
      <c r="CA214" s="5247"/>
      <c r="CB214" s="1095">
        <f>IF(BZ214=0,0,(CA214-BZ214)/BZ214*100)</f>
        <v>0</v>
      </c>
      <c r="CC214" s="5247"/>
      <c r="CD214" s="5247"/>
      <c r="CE214" s="1095">
        <f>IF(CC214=0,0,(CD214-CC214)/CC214*100)</f>
        <v>0</v>
      </c>
      <c r="CF214" s="5247"/>
      <c r="CG214" s="5247"/>
      <c r="CH214" s="1095">
        <f>IF(CF214=0,0,(CG214-CF214)/CF214*100)</f>
        <v>0</v>
      </c>
      <c r="CI214" s="5247"/>
      <c r="CJ214" s="5247"/>
      <c r="CK214" s="1095">
        <f>IF(CI214=0,0,(CJ214-CI214)/CI214*100)</f>
        <v>0</v>
      </c>
      <c r="CL214" s="5247"/>
      <c r="CM214" s="5247"/>
      <c r="CN214" s="1095">
        <f>IF(CL214=0,0,(CM214-CL214)/CL214*100)</f>
        <v>0</v>
      </c>
      <c r="CO214" s="5247"/>
      <c r="CP214" s="5247"/>
      <c r="CQ214" s="1095">
        <f>IF(CO214=0,0,(CP214-CO214)/CO214*100)</f>
        <v>0</v>
      </c>
      <c r="CR214" s="5247"/>
      <c r="CS214" s="5247"/>
      <c r="CT214" s="1095">
        <f>IF(CR214=0,0,(CS214-CR214)/CR214*100)</f>
        <v>0</v>
      </c>
      <c r="CU214" s="5247"/>
      <c r="CV214" s="5247"/>
      <c r="CW214" s="1095">
        <f>IF(CU214=0,0,(CV214-CU214)/CU214*100)</f>
        <v>0</v>
      </c>
      <c r="CX214" s="5247"/>
      <c r="CY214" s="5247"/>
      <c r="CZ214" s="1095">
        <f>IF(CX214=0,0,(CY214-CX214)/CX214*100)</f>
        <v>0</v>
      </c>
      <c r="DA214" s="5247"/>
      <c r="DB214" s="5247"/>
      <c r="DC214" s="1095">
        <f>IF(DA214=0,0,(DB214-DA214)/DA214*100)</f>
        <v>0</v>
      </c>
      <c r="DD214" s="5247"/>
      <c r="DE214" s="5247"/>
      <c r="DF214" s="1095">
        <f>IF(DD214=0,0,(DE214-DD214)/DD214*100)</f>
        <v>0</v>
      </c>
      <c r="DG214" s="5247"/>
      <c r="DH214" s="5247"/>
      <c r="DI214" s="1095">
        <f>IF(DG214=0,0,(DH214-DG214)/DG214*100)</f>
        <v>0</v>
      </c>
      <c r="DJ214" s="5247"/>
      <c r="DK214" s="5247"/>
      <c r="DL214" s="1095">
        <f>IF(DJ214=0,0,(DK214-DJ214)/DJ214*100)</f>
        <v>0</v>
      </c>
      <c r="DM214" s="5247"/>
      <c r="DN214" s="5247"/>
      <c r="DO214" s="1095">
        <f>IF(DM214=0,0,(DN214-DM214)/DM214*100)</f>
        <v>0</v>
      </c>
      <c r="DP214" s="5247"/>
      <c r="DQ214" s="5247"/>
      <c r="DR214" s="1095">
        <f>IF(DP214=0,0,(DQ214-DP214)/DP214*100)</f>
        <v>0</v>
      </c>
      <c r="DS214" s="5247"/>
      <c r="DT214" s="5247"/>
      <c r="DU214" s="1095">
        <f>IF(DS214=0,0,(DT214-DS214)/DS214*100)</f>
        <v>0</v>
      </c>
      <c r="DV214" s="5247"/>
      <c r="DW214" s="5247"/>
      <c r="DX214" s="1095">
        <f>IF(DV214=0,0,(DW214-DV214)/DV214*100)</f>
        <v>0</v>
      </c>
      <c r="DY214" s="5247"/>
      <c r="DZ214" s="5247"/>
      <c r="EA214" s="1095">
        <f>IF(DY214=0,0,(DZ214-DY214)/DY214*100)</f>
        <v>0</v>
      </c>
      <c r="EB214" s="5247"/>
      <c r="EC214" s="5247"/>
      <c r="ED214" s="1095">
        <f>IF(EB214=0,0,(EC214-EB214)/EB214*100)</f>
        <v>0</v>
      </c>
      <c r="EE214" s="5247"/>
      <c r="EF214" s="5247"/>
      <c r="EG214" s="1095">
        <f>IF(EE214=0,0,(EF214-EE214)/EE214*100)</f>
        <v>0</v>
      </c>
      <c r="EH214" s="5247"/>
      <c r="EI214" s="5247"/>
      <c r="EJ214" s="1095">
        <f>IF(EH214=0,0,(EI214-EH214)/EH214*100)</f>
        <v>0</v>
      </c>
      <c r="EK214" s="5247"/>
      <c r="EL214" s="5247"/>
      <c r="EM214" s="1095">
        <f>IF(EK214=0,0,(EL214-EK214)/EK214*100)</f>
        <v>0</v>
      </c>
      <c r="EN214" s="5247"/>
      <c r="EO214" s="5247"/>
      <c r="EP214" s="1095">
        <f>IF(EN214=0,0,(EO214-EN214)/EN214*100)</f>
        <v>0</v>
      </c>
      <c r="EQ214" s="5247"/>
      <c r="ER214" s="5247"/>
      <c r="ES214" s="1095">
        <f>IF(EQ214=0,0,(ER214-EQ214)/EQ214*100)</f>
        <v>0</v>
      </c>
      <c r="ET214" s="5247"/>
      <c r="EU214" s="5247"/>
      <c r="EV214" s="1095">
        <f>IF(ET214=0,0,(EU214-ET214)/ET214*100)</f>
        <v>0</v>
      </c>
      <c r="EW214" s="5247"/>
      <c r="EX214" s="5247"/>
      <c r="EY214" s="1095">
        <f>IF(EW214=0,0,(EX214-EW214)/EW214*100)</f>
        <v>0</v>
      </c>
      <c r="EZ214" s="5247"/>
      <c r="FA214" s="5247"/>
      <c r="FB214" s="1095">
        <f>IF(EZ214=0,0,(FA214-EZ214)/EZ214*100)</f>
        <v>0</v>
      </c>
      <c r="FC214" s="5247"/>
      <c r="FD214" s="5247"/>
      <c r="FE214" s="1095">
        <f>IF(FC214=0,0,(FD214-FC214)/FC214*100)</f>
        <v>0</v>
      </c>
      <c r="FF214" s="5247"/>
      <c r="FG214" s="5247"/>
      <c r="FH214" s="1095">
        <f>IF(FF214=0,0,(FG214-FF214)/FF214*100)</f>
        <v>0</v>
      </c>
      <c r="FI214" s="5247"/>
      <c r="FJ214" s="5247"/>
      <c r="FK214" s="1095">
        <f>IF(FI214=0,0,(FJ214-FI214)/FI214*100)</f>
        <v>0</v>
      </c>
      <c r="FL214" s="5247"/>
      <c r="FM214" s="5247"/>
      <c r="FN214" s="1095">
        <f>IF(FL214=0,0,(FM214-FL214)/FL214*100)</f>
        <v>0</v>
      </c>
      <c r="FO214" s="5247"/>
      <c r="FP214" s="5247"/>
      <c r="FQ214" s="1095">
        <f>IF(FO214=0,0,(FP214-FO214)/FO214*100)</f>
        <v>0</v>
      </c>
      <c r="FR214" s="5247"/>
      <c r="FS214" s="5247"/>
      <c r="FT214" s="1095">
        <f>IF(FR214=0,0,(FS214-FR214)/FR214*100)</f>
        <v>0</v>
      </c>
      <c r="FU214" s="5247"/>
      <c r="FV214" s="5247"/>
      <c r="FW214" s="1095">
        <f>IF(FU214=0,0,(FV214-FU214)/FU214*100)</f>
        <v>0</v>
      </c>
      <c r="FX214" s="292"/>
      <c r="FY214" s="1304"/>
      <c r="FZ214" s="1055" t="s">
        <v>2423</v>
      </c>
      <c r="GA214" s="1306"/>
      <c r="GB214" s="1306"/>
      <c r="GC214" s="1305"/>
      <c r="GD214" s="1305"/>
    </row>
    <row s="1834" customFormat="1" customHeight="1" ht="18" hidden="1">
      <c r="A215" s="493"/>
      <c r="B215" s="925" cm="1" t="str">
        <f t="array" ref="B215:B215">B214</f>
        <v>false</v>
      </c>
      <c r="C215" s="493"/>
      <c r="D215" s="493"/>
      <c r="E215" s="840">
        <v>18.75</v>
      </c>
      <c r="F215" s="50" cm="1" t="str">
        <f t="array" ref="F215:F215">OFFSET(E215,-1,1)</f>
        <v>2</v>
      </c>
      <c r="G215" s="493"/>
      <c r="H215" s="493" t="s">
        <v>1175</v>
      </c>
      <c r="I215" s="493" cm="1" t="str">
        <f t="array" ref="I215:I215">AB215</f>
        <v>0</v>
      </c>
      <c r="J215" s="493"/>
      <c r="K215" s="493"/>
      <c r="L215" s="493"/>
      <c r="M215" s="493"/>
      <c r="N215" s="493"/>
      <c r="O215" s="493"/>
      <c r="P215" s="493"/>
      <c r="Q215" s="493"/>
      <c r="R215" s="493"/>
      <c r="S215" s="493"/>
      <c r="T215" s="465">
        <f>AND(F215&gt;0,Y215&gt;0)</f>
        <v>0</v>
      </c>
      <c r="U215" s="493"/>
      <c r="V215" s="493"/>
      <c r="W215" s="493" t="s">
        <v>174</v>
      </c>
      <c r="X215" s="1596"/>
      <c r="Y215" s="493">
        <v>0</v>
      </c>
      <c r="Z215" s="1545"/>
      <c r="AA215" s="662" t="s">
        <v>175</v>
      </c>
      <c r="AB215" s="2860"/>
      <c r="AC215" s="864" t="s">
        <v>2337</v>
      </c>
      <c r="AD215" s="2846"/>
      <c r="AE215" s="5253"/>
      <c r="AF215" s="1093">
        <f>IF(AD215=0,0,(AE215-AD215)/AD215*100)</f>
        <v>0</v>
      </c>
      <c r="AG215" s="5253"/>
      <c r="AH215" s="5253"/>
      <c r="AI215" s="1093">
        <f>IF(AG215=0,0,(AH215-AG215)/AG215*100)</f>
        <v>0</v>
      </c>
      <c r="AJ215" s="5253"/>
      <c r="AK215" s="5253"/>
      <c r="AL215" s="1093">
        <f>IF(AJ215=0,0,(AK215-AJ215)/AJ215*100)</f>
        <v>0</v>
      </c>
      <c r="AM215" s="5253"/>
      <c r="AN215" s="5253"/>
      <c r="AO215" s="1093">
        <f>IF(AM215=0,0,(AN215-AM215)/AM215*100)</f>
        <v>0</v>
      </c>
      <c r="AP215" s="5253"/>
      <c r="AQ215" s="5253"/>
      <c r="AR215" s="1093">
        <f>IF(AP215=0,0,(AQ215-AP215)/AP215*100)</f>
        <v>0</v>
      </c>
      <c r="AS215" s="5253"/>
      <c r="AT215" s="5253"/>
      <c r="AU215" s="1093">
        <f>IF(AS215=0,0,(AT215-AS215)/AS215*100)</f>
        <v>0</v>
      </c>
      <c r="AV215" s="5253"/>
      <c r="AW215" s="5253"/>
      <c r="AX215" s="1093">
        <f>IF(AV215=0,0,(AW215-AV215)/AV215*100)</f>
        <v>0</v>
      </c>
      <c r="AY215" s="5253"/>
      <c r="AZ215" s="5253"/>
      <c r="BA215" s="1093">
        <f>IF(AY215=0,0,(AZ215-AY215)/AY215*100)</f>
        <v>0</v>
      </c>
      <c r="BB215" s="5253"/>
      <c r="BC215" s="5253"/>
      <c r="BD215" s="1093">
        <f>IF(BB215=0,0,(BC215-BB215)/BB215*100)</f>
        <v>0</v>
      </c>
      <c r="BE215" s="5253"/>
      <c r="BF215" s="5253"/>
      <c r="BG215" s="1093">
        <f>IF(BE215=0,0,(BF215-BE215)/BE215*100)</f>
        <v>0</v>
      </c>
      <c r="BH215" s="5253"/>
      <c r="BI215" s="5253"/>
      <c r="BJ215" s="1093">
        <f>IF(BH215=0,0,(BI215-BH215)/BH215*100)</f>
        <v>0</v>
      </c>
      <c r="BK215" s="5253"/>
      <c r="BL215" s="5253"/>
      <c r="BM215" s="1093">
        <f>IF(BK215=0,0,(BL215-BK215)/BK215*100)</f>
        <v>0</v>
      </c>
      <c r="BN215" s="5253"/>
      <c r="BO215" s="5253"/>
      <c r="BP215" s="1093">
        <f>IF(BN215=0,0,(BO215-BN215)/BN215*100)</f>
        <v>0</v>
      </c>
      <c r="BQ215" s="5253"/>
      <c r="BR215" s="5253"/>
      <c r="BS215" s="1093">
        <f>IF(BQ215=0,0,(BR215-BQ215)/BQ215*100)</f>
        <v>0</v>
      </c>
      <c r="BT215" s="5253"/>
      <c r="BU215" s="5253"/>
      <c r="BV215" s="1093">
        <f>IF(BT215=0,0,(BU215-BT215)/BT215*100)</f>
        <v>0</v>
      </c>
      <c r="BW215" s="5253"/>
      <c r="BX215" s="5253"/>
      <c r="BY215" s="1093">
        <f>IF(BW215=0,0,(BX215-BW215)/BW215*100)</f>
        <v>0</v>
      </c>
      <c r="BZ215" s="5253"/>
      <c r="CA215" s="5253"/>
      <c r="CB215" s="1093">
        <f>IF(BZ215=0,0,(CA215-BZ215)/BZ215*100)</f>
        <v>0</v>
      </c>
      <c r="CC215" s="5253"/>
      <c r="CD215" s="5253"/>
      <c r="CE215" s="1093">
        <f>IF(CC215=0,0,(CD215-CC215)/CC215*100)</f>
        <v>0</v>
      </c>
      <c r="CF215" s="5253"/>
      <c r="CG215" s="5253"/>
      <c r="CH215" s="1093">
        <f>IF(CF215=0,0,(CG215-CF215)/CF215*100)</f>
        <v>0</v>
      </c>
      <c r="CI215" s="5253"/>
      <c r="CJ215" s="5253"/>
      <c r="CK215" s="1093">
        <f>IF(CI215=0,0,(CJ215-CI215)/CI215*100)</f>
        <v>0</v>
      </c>
      <c r="CL215" s="5253"/>
      <c r="CM215" s="5253"/>
      <c r="CN215" s="1093">
        <f>IF(CL215=0,0,(CM215-CL215)/CL215*100)</f>
        <v>0</v>
      </c>
      <c r="CO215" s="5253"/>
      <c r="CP215" s="5253"/>
      <c r="CQ215" s="1093">
        <f>IF(CO215=0,0,(CP215-CO215)/CO215*100)</f>
        <v>0</v>
      </c>
      <c r="CR215" s="5253"/>
      <c r="CS215" s="5253"/>
      <c r="CT215" s="1093">
        <f>IF(CR215=0,0,(CS215-CR215)/CR215*100)</f>
        <v>0</v>
      </c>
      <c r="CU215" s="5253"/>
      <c r="CV215" s="5253"/>
      <c r="CW215" s="1093">
        <f>IF(CU215=0,0,(CV215-CU215)/CU215*100)</f>
        <v>0</v>
      </c>
      <c r="CX215" s="5253"/>
      <c r="CY215" s="5253"/>
      <c r="CZ215" s="1093">
        <f>IF(CX215=0,0,(CY215-CX215)/CX215*100)</f>
        <v>0</v>
      </c>
      <c r="DA215" s="5253"/>
      <c r="DB215" s="5253"/>
      <c r="DC215" s="1093">
        <f>IF(DA215=0,0,(DB215-DA215)/DA215*100)</f>
        <v>0</v>
      </c>
      <c r="DD215" s="5253"/>
      <c r="DE215" s="5253"/>
      <c r="DF215" s="1093">
        <f>IF(DD215=0,0,(DE215-DD215)/DD215*100)</f>
        <v>0</v>
      </c>
      <c r="DG215" s="5253"/>
      <c r="DH215" s="5253"/>
      <c r="DI215" s="1093">
        <f>IF(DG215=0,0,(DH215-DG215)/DG215*100)</f>
        <v>0</v>
      </c>
      <c r="DJ215" s="5253"/>
      <c r="DK215" s="5253"/>
      <c r="DL215" s="1093">
        <f>IF(DJ215=0,0,(DK215-DJ215)/DJ215*100)</f>
        <v>0</v>
      </c>
      <c r="DM215" s="5253"/>
      <c r="DN215" s="5253"/>
      <c r="DO215" s="1093">
        <f>IF(DM215=0,0,(DN215-DM215)/DM215*100)</f>
        <v>0</v>
      </c>
      <c r="DP215" s="5253"/>
      <c r="DQ215" s="5253"/>
      <c r="DR215" s="1093">
        <f>IF(DP215=0,0,(DQ215-DP215)/DP215*100)</f>
        <v>0</v>
      </c>
      <c r="DS215" s="5253"/>
      <c r="DT215" s="5253"/>
      <c r="DU215" s="1093">
        <f>IF(DS215=0,0,(DT215-DS215)/DS215*100)</f>
        <v>0</v>
      </c>
      <c r="DV215" s="5253"/>
      <c r="DW215" s="5253"/>
      <c r="DX215" s="1093">
        <f>IF(DV215=0,0,(DW215-DV215)/DV215*100)</f>
        <v>0</v>
      </c>
      <c r="DY215" s="5253"/>
      <c r="DZ215" s="5253"/>
      <c r="EA215" s="1093">
        <f>IF(DY215=0,0,(DZ215-DY215)/DY215*100)</f>
        <v>0</v>
      </c>
      <c r="EB215" s="5253"/>
      <c r="EC215" s="5253"/>
      <c r="ED215" s="1093">
        <f>IF(EB215=0,0,(EC215-EB215)/EB215*100)</f>
        <v>0</v>
      </c>
      <c r="EE215" s="5253"/>
      <c r="EF215" s="5253"/>
      <c r="EG215" s="1093">
        <f>IF(EE215=0,0,(EF215-EE215)/EE215*100)</f>
        <v>0</v>
      </c>
      <c r="EH215" s="5253"/>
      <c r="EI215" s="5253"/>
      <c r="EJ215" s="1093">
        <f>IF(EH215=0,0,(EI215-EH215)/EH215*100)</f>
        <v>0</v>
      </c>
      <c r="EK215" s="5253"/>
      <c r="EL215" s="5253"/>
      <c r="EM215" s="1093">
        <f>IF(EK215=0,0,(EL215-EK215)/EK215*100)</f>
        <v>0</v>
      </c>
      <c r="EN215" s="5253"/>
      <c r="EO215" s="5253"/>
      <c r="EP215" s="1093">
        <f>IF(EN215=0,0,(EO215-EN215)/EN215*100)</f>
        <v>0</v>
      </c>
      <c r="EQ215" s="5253"/>
      <c r="ER215" s="5253"/>
      <c r="ES215" s="1093">
        <f>IF(EQ215=0,0,(ER215-EQ215)/EQ215*100)</f>
        <v>0</v>
      </c>
      <c r="ET215" s="5253"/>
      <c r="EU215" s="5253"/>
      <c r="EV215" s="1093">
        <f>IF(ET215=0,0,(EU215-ET215)/ET215*100)</f>
        <v>0</v>
      </c>
      <c r="EW215" s="5253"/>
      <c r="EX215" s="5253"/>
      <c r="EY215" s="1093">
        <f>IF(EW215=0,0,(EX215-EW215)/EW215*100)</f>
        <v>0</v>
      </c>
      <c r="EZ215" s="5253"/>
      <c r="FA215" s="5253"/>
      <c r="FB215" s="1093">
        <f>IF(EZ215=0,0,(FA215-EZ215)/EZ215*100)</f>
        <v>0</v>
      </c>
      <c r="FC215" s="5253"/>
      <c r="FD215" s="5253"/>
      <c r="FE215" s="1093">
        <f>IF(FC215=0,0,(FD215-FC215)/FC215*100)</f>
        <v>0</v>
      </c>
      <c r="FF215" s="5253"/>
      <c r="FG215" s="5253"/>
      <c r="FH215" s="1093">
        <f>IF(FF215=0,0,(FG215-FF215)/FF215*100)</f>
        <v>0</v>
      </c>
      <c r="FI215" s="5253"/>
      <c r="FJ215" s="5253"/>
      <c r="FK215" s="1093">
        <f>IF(FI215=0,0,(FJ215-FI215)/FI215*100)</f>
        <v>0</v>
      </c>
      <c r="FL215" s="5253"/>
      <c r="FM215" s="5253"/>
      <c r="FN215" s="1093">
        <f>IF(FL215=0,0,(FM215-FL215)/FL215*100)</f>
        <v>0</v>
      </c>
      <c r="FO215" s="5253"/>
      <c r="FP215" s="5253"/>
      <c r="FQ215" s="1093">
        <f>IF(FO215=0,0,(FP215-FO215)/FO215*100)</f>
        <v>0</v>
      </c>
      <c r="FR215" s="5253"/>
      <c r="FS215" s="5253"/>
      <c r="FT215" s="1093">
        <f>IF(FR215=0,0,(FS215-FR215)/FR215*100)</f>
        <v>0</v>
      </c>
      <c r="FU215" s="5253"/>
      <c r="FV215" s="5253"/>
      <c r="FW215" s="1093">
        <f>IF(FU215=0,0,(FV215-FU215)/FU215*100)</f>
        <v>0</v>
      </c>
      <c r="FX215" s="292"/>
      <c r="FY215" s="1304"/>
      <c r="FZ215" s="1055" t="s">
        <v>2424</v>
      </c>
      <c r="GA215" s="1015" t="s">
        <v>2425</v>
      </c>
      <c r="GB215" s="1015" cm="1" t="str">
        <f t="array" ref="GB215:GB215">AB215</f>
        <v>0</v>
      </c>
      <c r="GC215" s="1305"/>
      <c r="GD215" s="632" t="b">
        <v>1</v>
      </c>
    </row>
    <row s="1834" customFormat="1" customHeight="1" ht="14.25" hidden="1">
      <c r="A216" s="1304"/>
      <c r="B216" s="925" cm="1" t="str">
        <f t="array" ref="B216:B216">B215</f>
        <v>false</v>
      </c>
      <c r="C216" s="1304"/>
      <c r="D216" s="493"/>
      <c r="E216" s="840">
        <v>15</v>
      </c>
      <c r="F216" s="50" cm="1" t="str">
        <f t="array" ref="F216:F216">OFFSET(E216,-1,1)</f>
        <v>2</v>
      </c>
      <c r="G216" s="493"/>
      <c r="H216" s="1304"/>
      <c r="I216" s="98" t="s">
        <v>2426</v>
      </c>
      <c r="J216" s="1304"/>
      <c r="K216" s="1304"/>
      <c r="L216" s="1304"/>
      <c r="M216" s="1304"/>
      <c r="N216" s="1304"/>
      <c r="O216" s="1304"/>
      <c r="P216" s="1304"/>
      <c r="Q216" s="1304"/>
      <c r="R216" s="1304"/>
      <c r="S216" s="1304"/>
      <c r="T216" s="465">
        <f>F216&gt;0</f>
        <v>1</v>
      </c>
      <c r="U216" s="1304"/>
      <c r="V216" s="1304"/>
      <c r="W216" s="757" t="s">
        <v>2367</v>
      </c>
      <c r="X216" s="1596"/>
      <c r="Y216" s="1304"/>
      <c r="Z216" s="1545"/>
      <c r="AA216" s="1304"/>
      <c r="AB216" s="260" t="s">
        <v>178</v>
      </c>
      <c r="AC216" s="264"/>
      <c r="AD216" s="262"/>
      <c r="AE216" s="262"/>
      <c r="AF216" s="262"/>
      <c r="AG216" s="262"/>
      <c r="AH216" s="262"/>
      <c r="AI216" s="262"/>
      <c r="AJ216" s="262"/>
      <c r="AK216" s="262"/>
      <c r="AL216" s="262"/>
      <c r="AM216" s="262"/>
      <c r="AN216" s="262"/>
      <c r="AO216" s="262"/>
      <c r="AP216" s="262"/>
      <c r="AQ216" s="262"/>
      <c r="AR216" s="262"/>
      <c r="AS216" s="262"/>
      <c r="AT216" s="262"/>
      <c r="AU216" s="262"/>
      <c r="AV216" s="262"/>
      <c r="AW216" s="262"/>
      <c r="AX216" s="262"/>
      <c r="AY216" s="262"/>
      <c r="AZ216" s="262"/>
      <c r="BA216" s="262"/>
      <c r="BB216" s="262"/>
      <c r="BC216" s="262"/>
      <c r="BD216" s="262"/>
      <c r="BE216" s="262"/>
      <c r="BF216" s="262"/>
      <c r="BG216" s="262"/>
      <c r="BH216" s="262"/>
      <c r="BI216" s="262"/>
      <c r="BJ216" s="262"/>
      <c r="BK216" s="262"/>
      <c r="BL216" s="262"/>
      <c r="BM216" s="262"/>
      <c r="BN216" s="262"/>
      <c r="BO216" s="262"/>
      <c r="BP216" s="262"/>
      <c r="BQ216" s="262"/>
      <c r="BR216" s="262"/>
      <c r="BS216" s="262"/>
      <c r="BT216" s="262"/>
      <c r="BU216" s="262"/>
      <c r="BV216" s="262"/>
      <c r="BW216" s="262"/>
      <c r="BX216" s="262"/>
      <c r="BY216" s="262"/>
      <c r="BZ216" s="262"/>
      <c r="CA216" s="262"/>
      <c r="CB216" s="262"/>
      <c r="CC216" s="262"/>
      <c r="CD216" s="262"/>
      <c r="CE216" s="262"/>
      <c r="CF216" s="262"/>
      <c r="CG216" s="262"/>
      <c r="CH216" s="262"/>
      <c r="CI216" s="262"/>
      <c r="CJ216" s="262"/>
      <c r="CK216" s="262"/>
      <c r="CL216" s="262"/>
      <c r="CM216" s="262"/>
      <c r="CN216" s="262"/>
      <c r="CO216" s="262"/>
      <c r="CP216" s="262"/>
      <c r="CQ216" s="262"/>
      <c r="CR216" s="262"/>
      <c r="CS216" s="262"/>
      <c r="CT216" s="262"/>
      <c r="CU216" s="262"/>
      <c r="CV216" s="262"/>
      <c r="CW216" s="262"/>
      <c r="CX216" s="262"/>
      <c r="CY216" s="262"/>
      <c r="CZ216" s="262"/>
      <c r="DA216" s="262"/>
      <c r="DB216" s="262"/>
      <c r="DC216" s="262"/>
      <c r="DD216" s="262"/>
      <c r="DE216" s="262"/>
      <c r="DF216" s="262"/>
      <c r="DG216" s="262"/>
      <c r="DH216" s="262"/>
      <c r="DI216" s="262"/>
      <c r="DJ216" s="262"/>
      <c r="DK216" s="262"/>
      <c r="DL216" s="262"/>
      <c r="DM216" s="262"/>
      <c r="DN216" s="262"/>
      <c r="DO216" s="262"/>
      <c r="DP216" s="262"/>
      <c r="DQ216" s="262"/>
      <c r="DR216" s="262"/>
      <c r="DS216" s="262"/>
      <c r="DT216" s="262"/>
      <c r="DU216" s="262"/>
      <c r="DV216" s="262"/>
      <c r="DW216" s="262"/>
      <c r="DX216" s="262"/>
      <c r="DY216" s="262"/>
      <c r="DZ216" s="262"/>
      <c r="EA216" s="262"/>
      <c r="EB216" s="262"/>
      <c r="EC216" s="262"/>
      <c r="ED216" s="262"/>
      <c r="EE216" s="262"/>
      <c r="EF216" s="262"/>
      <c r="EG216" s="262"/>
      <c r="EH216" s="262"/>
      <c r="EI216" s="262"/>
      <c r="EJ216" s="262"/>
      <c r="EK216" s="262"/>
      <c r="EL216" s="262"/>
      <c r="EM216" s="262"/>
      <c r="EN216" s="262"/>
      <c r="EO216" s="262"/>
      <c r="EP216" s="262"/>
      <c r="EQ216" s="262"/>
      <c r="ER216" s="262"/>
      <c r="ES216" s="262"/>
      <c r="ET216" s="262"/>
      <c r="EU216" s="262"/>
      <c r="EV216" s="262"/>
      <c r="EW216" s="262"/>
      <c r="EX216" s="262"/>
      <c r="EY216" s="262"/>
      <c r="EZ216" s="262"/>
      <c r="FA216" s="262"/>
      <c r="FB216" s="262"/>
      <c r="FC216" s="262"/>
      <c r="FD216" s="262"/>
      <c r="FE216" s="262"/>
      <c r="FF216" s="262"/>
      <c r="FG216" s="262"/>
      <c r="FH216" s="262"/>
      <c r="FI216" s="262"/>
      <c r="FJ216" s="262"/>
      <c r="FK216" s="262"/>
      <c r="FL216" s="262"/>
      <c r="FM216" s="262"/>
      <c r="FN216" s="262"/>
      <c r="FO216" s="262"/>
      <c r="FP216" s="262"/>
      <c r="FQ216" s="262"/>
      <c r="FR216" s="262"/>
      <c r="FS216" s="262"/>
      <c r="FT216" s="262"/>
      <c r="FU216" s="262"/>
      <c r="FV216" s="262"/>
      <c r="FW216" s="263"/>
      <c r="FX216" s="1304"/>
      <c r="FY216" s="1304"/>
      <c r="FZ216" s="1306"/>
      <c r="GA216" s="1306"/>
      <c r="GB216" s="1306"/>
      <c r="GC216" s="632" t="s">
        <v>2425</v>
      </c>
      <c r="GD216" s="1305"/>
    </row>
    <row s="1834" customFormat="1" customHeight="1" ht="10.5">
      <c r="A217" s="98"/>
      <c r="B217" s="905"/>
      <c r="C217" s="98"/>
      <c r="D217" s="493"/>
      <c r="E217" s="840">
        <v>11.5</v>
      </c>
      <c r="F217" s="1337"/>
      <c r="G217" s="493"/>
      <c r="H217" s="98"/>
      <c r="I217" s="98"/>
      <c r="J217" s="98"/>
      <c r="K217" s="98"/>
      <c r="L217" s="98"/>
      <c r="M217" s="98"/>
      <c r="N217" s="98"/>
      <c r="O217" s="98"/>
      <c r="P217" s="98"/>
      <c r="Q217" s="98"/>
      <c r="R217" s="98"/>
      <c r="S217" s="98"/>
      <c r="T217" s="465" cm="1" t="str">
        <f t="array" ref="T217:T217">T216</f>
        <v>true</v>
      </c>
      <c r="U217" s="98"/>
      <c r="V217" s="98"/>
      <c r="W217" s="757"/>
      <c r="X217" s="1596"/>
      <c r="Y217" s="98"/>
      <c r="Z217" s="1545"/>
      <c r="AA217" s="98"/>
      <c r="AB217" s="207"/>
      <c r="AC217" s="1446"/>
      <c r="AD217" s="1304"/>
      <c r="AE217" s="1304"/>
      <c r="AF217" s="1304"/>
      <c r="AG217" s="1304"/>
      <c r="AH217" s="1304"/>
      <c r="AI217" s="1304"/>
      <c r="AJ217" s="1304"/>
      <c r="AK217" s="1304"/>
      <c r="AL217" s="1304"/>
      <c r="AM217" s="1304"/>
      <c r="AN217" s="1304"/>
      <c r="AO217" s="1304"/>
      <c r="AP217" s="1304"/>
      <c r="AQ217" s="1304"/>
      <c r="AR217" s="1304"/>
      <c r="AS217" s="1304"/>
      <c r="AT217" s="1304"/>
      <c r="AU217" s="1304"/>
      <c r="AV217" s="1304"/>
      <c r="AW217" s="1304"/>
      <c r="AX217" s="1304"/>
      <c r="AY217" s="1304"/>
      <c r="AZ217" s="1304"/>
      <c r="BA217" s="1304"/>
      <c r="BB217" s="1304"/>
      <c r="BC217" s="1304"/>
      <c r="BD217" s="1304"/>
      <c r="BE217" s="1304"/>
      <c r="BF217" s="1304"/>
      <c r="BG217" s="1304"/>
      <c r="BH217" s="1304"/>
      <c r="BI217" s="1304"/>
      <c r="BJ217" s="1304"/>
      <c r="BK217" s="1304"/>
      <c r="BL217" s="1304"/>
      <c r="BM217" s="1304"/>
      <c r="BN217" s="1304"/>
      <c r="BO217" s="1304"/>
      <c r="BP217" s="1304"/>
      <c r="BQ217" s="1304"/>
      <c r="BR217" s="1304"/>
      <c r="BS217" s="1304"/>
      <c r="BT217" s="1304"/>
      <c r="BU217" s="1304"/>
      <c r="BV217" s="1304"/>
      <c r="BW217" s="1304"/>
      <c r="BX217" s="1304"/>
      <c r="BY217" s="1304"/>
      <c r="BZ217" s="1304"/>
      <c r="CA217" s="1304"/>
      <c r="CB217" s="1304"/>
      <c r="CC217" s="1304"/>
      <c r="CD217" s="1304"/>
      <c r="CE217" s="1304"/>
      <c r="CF217" s="1304"/>
      <c r="CG217" s="1304"/>
      <c r="CH217" s="1304"/>
      <c r="CI217" s="1304"/>
      <c r="CJ217" s="1304"/>
      <c r="CK217" s="1304"/>
      <c r="CL217" s="1304"/>
      <c r="CM217" s="1304"/>
      <c r="CN217" s="1304"/>
      <c r="CO217" s="1304"/>
      <c r="CP217" s="1304"/>
      <c r="CQ217" s="1304"/>
      <c r="CR217" s="1304"/>
      <c r="CS217" s="1304"/>
      <c r="CT217" s="1304"/>
      <c r="CU217" s="1304"/>
      <c r="CV217" s="1304"/>
      <c r="CW217" s="1304"/>
      <c r="CX217" s="1304"/>
      <c r="CY217" s="1304"/>
      <c r="CZ217" s="1304"/>
      <c r="DA217" s="1304"/>
      <c r="DB217" s="1304"/>
      <c r="DC217" s="1304"/>
      <c r="DD217" s="1304"/>
      <c r="DE217" s="1304"/>
      <c r="DF217" s="1304"/>
      <c r="DG217" s="1304"/>
      <c r="DH217" s="1304"/>
      <c r="DI217" s="1304"/>
      <c r="DJ217" s="1304"/>
      <c r="DK217" s="1304"/>
      <c r="DL217" s="1304"/>
      <c r="DM217" s="1304"/>
      <c r="DN217" s="1304"/>
      <c r="DO217" s="1304"/>
      <c r="DP217" s="1304"/>
      <c r="DQ217" s="1304"/>
      <c r="DR217" s="1304"/>
      <c r="DS217" s="1304"/>
      <c r="DT217" s="1304"/>
      <c r="DU217" s="1304"/>
      <c r="DV217" s="1304"/>
      <c r="DW217" s="1304"/>
      <c r="DX217" s="1304"/>
      <c r="DY217" s="1304"/>
      <c r="DZ217" s="1304"/>
      <c r="EA217" s="1304"/>
      <c r="EB217" s="1304"/>
      <c r="EC217" s="1304"/>
      <c r="ED217" s="1304"/>
      <c r="EE217" s="1304"/>
      <c r="EF217" s="1304"/>
      <c r="EG217" s="1304"/>
      <c r="EH217" s="1304"/>
      <c r="EI217" s="1304"/>
      <c r="EJ217" s="1304"/>
      <c r="EK217" s="1304"/>
      <c r="EL217" s="1304"/>
      <c r="EM217" s="1304"/>
      <c r="EN217" s="1304"/>
      <c r="EO217" s="1304"/>
      <c r="EP217" s="1304"/>
      <c r="EQ217" s="1304"/>
      <c r="ER217" s="1304"/>
      <c r="ES217" s="1304"/>
      <c r="ET217" s="1304"/>
      <c r="EU217" s="1304"/>
      <c r="EV217" s="1304"/>
      <c r="EW217" s="1304"/>
      <c r="EX217" s="1304"/>
      <c r="EY217" s="1304"/>
      <c r="EZ217" s="1304"/>
      <c r="FA217" s="1304"/>
      <c r="FB217" s="1304"/>
      <c r="FC217" s="1304"/>
      <c r="FD217" s="1304"/>
      <c r="FE217" s="1304"/>
      <c r="FF217" s="1304"/>
      <c r="FG217" s="1304"/>
      <c r="FH217" s="1304"/>
      <c r="FI217" s="1304"/>
      <c r="FJ217" s="1304"/>
      <c r="FK217" s="1304"/>
      <c r="FL217" s="1304"/>
      <c r="FM217" s="1304"/>
      <c r="FN217" s="1304"/>
      <c r="FO217" s="1304"/>
      <c r="FP217" s="1304"/>
      <c r="FQ217" s="1304"/>
      <c r="FR217" s="1304"/>
      <c r="FS217" s="1304"/>
      <c r="FT217" s="1304"/>
      <c r="FU217" s="1304"/>
      <c r="FV217" s="1304"/>
      <c r="FW217" s="1304"/>
      <c r="FX217" s="1304"/>
      <c r="FY217" s="1304"/>
      <c r="FZ217" s="1006"/>
      <c r="GA217" s="1006"/>
      <c r="GB217" s="1001"/>
      <c r="GC217" s="675"/>
      <c r="GD217" s="675"/>
    </row>
    <row s="1834" customFormat="1" customHeight="1" ht="14.25">
      <c r="A218" s="493"/>
      <c r="B218" s="872"/>
      <c r="C218" s="493"/>
      <c r="D218" s="493"/>
      <c r="E218" s="840">
        <v>15</v>
      </c>
      <c r="F218" s="494" cm="1" t="str">
        <f t="array" ref="F218:F218">X218</f>
        <v>3</v>
      </c>
      <c r="G218" s="493" cm="1" t="str">
        <f t="array" ref="G218:G218">INDEX('Общие сведения'!$AK$179:$AK$250,MATCH($X218,'Общие сведения'!$Z$179:$Z$250,0))</f>
        <v>одноставочный</v>
      </c>
      <c r="H218" s="493"/>
      <c r="I218" s="493"/>
      <c r="J218" s="493"/>
      <c r="K218" s="493"/>
      <c r="L218" s="493"/>
      <c r="M218" s="493"/>
      <c r="N218" s="493"/>
      <c r="O218" s="493"/>
      <c r="P218" s="493"/>
      <c r="Q218" s="493" cm="1" t="str">
        <f t="array" ref="Q218:Q218">INDEX('Общие сведения'!$AE$179:$AE$250,MATCH($X218,'Общие сведения'!$Z$179:$Z$250,0))</f>
        <v>Водоотведение</v>
      </c>
      <c r="R218" s="484" cm="1" t="str">
        <f t="array" ref="R218:R218">INDEX('Общие сведения'!$AK$179:$AK$250,MATCH($X218,'Общие сведения'!$Z$179:$Z$250,0))</f>
        <v>одноставочный</v>
      </c>
      <c r="S218" s="493" cm="1" t="str">
        <f t="array" ref="S218:S218">INDEX('Общие сведения'!$AN$179:$AN$250,MATCH($X218,'Общие сведения'!$Z$179:$Z$250,0))</f>
        <v>false</v>
      </c>
      <c r="T218" s="465">
        <f>X218&gt;0</f>
        <v>1</v>
      </c>
      <c r="U218" s="493"/>
      <c r="V218" s="493" cm="1" t="str">
        <f t="array" ref="V218:V218">'Корректировка НВВ'!$AB$180</f>
        <v>Тариф 3 (Водоотведение) - тариф на водоотведение (Доп. признак не требуется)</v>
      </c>
      <c r="W218" s="493"/>
      <c r="X218" s="1596" t="s">
        <v>289</v>
      </c>
      <c r="Y218" s="493"/>
      <c r="Z218" s="1545"/>
      <c r="AA218" s="493"/>
      <c r="AB218" s="1636" t="s">
        <v>22</v>
      </c>
      <c r="AC218" s="1637"/>
      <c r="AD218" s="893" cm="1" t="str">
        <f t="array" ref="AD218:AD218">'Корректировка НВВ'!$AB$180</f>
        <v>Тариф 3 (Водоотведение) - тариф на водоотведение (Доп. признак не требуется)</v>
      </c>
      <c r="AE218" s="286"/>
      <c r="AF218" s="286"/>
      <c r="AG218" s="286"/>
      <c r="AH218" s="286"/>
      <c r="AI218" s="286"/>
      <c r="AJ218" s="286"/>
      <c r="AK218" s="286"/>
      <c r="AL218" s="286"/>
      <c r="AM218" s="286"/>
      <c r="AN218" s="286"/>
      <c r="AO218" s="286"/>
      <c r="AP218" s="286"/>
      <c r="AQ218" s="286"/>
      <c r="AR218" s="286"/>
      <c r="AS218" s="286"/>
      <c r="AT218" s="286"/>
      <c r="AU218" s="286"/>
      <c r="AV218" s="286"/>
      <c r="AW218" s="286"/>
      <c r="AX218" s="286"/>
      <c r="AY218" s="286"/>
      <c r="AZ218" s="286"/>
      <c r="BA218" s="286"/>
      <c r="BB218" s="286"/>
      <c r="BC218" s="286"/>
      <c r="BD218" s="286"/>
      <c r="BE218" s="286"/>
      <c r="BF218" s="286"/>
      <c r="BG218" s="286"/>
      <c r="BH218" s="286"/>
      <c r="BI218" s="286"/>
      <c r="BJ218" s="286"/>
      <c r="BK218" s="286"/>
      <c r="BL218" s="286"/>
      <c r="BM218" s="286"/>
      <c r="BN218" s="286"/>
      <c r="BO218" s="286"/>
      <c r="BP218" s="286"/>
      <c r="BQ218" s="286"/>
      <c r="BR218" s="286"/>
      <c r="BS218" s="286"/>
      <c r="BT218" s="286"/>
      <c r="BU218" s="286"/>
      <c r="BV218" s="286"/>
      <c r="BW218" s="286"/>
      <c r="BX218" s="286"/>
      <c r="BY218" s="286"/>
      <c r="BZ218" s="286"/>
      <c r="CA218" s="286"/>
      <c r="CB218" s="286"/>
      <c r="CC218" s="286"/>
      <c r="CD218" s="286"/>
      <c r="CE218" s="286"/>
      <c r="CF218" s="286"/>
      <c r="CG218" s="286"/>
      <c r="CH218" s="286"/>
      <c r="CI218" s="286"/>
      <c r="CJ218" s="286"/>
      <c r="CK218" s="286"/>
      <c r="CL218" s="286"/>
      <c r="CM218" s="286"/>
      <c r="CN218" s="286"/>
      <c r="CO218" s="286"/>
      <c r="CP218" s="286"/>
      <c r="CQ218" s="286"/>
      <c r="CR218" s="286"/>
      <c r="CS218" s="286"/>
      <c r="CT218" s="286"/>
      <c r="CU218" s="286"/>
      <c r="CV218" s="286"/>
      <c r="CW218" s="286"/>
      <c r="CX218" s="286"/>
      <c r="CY218" s="286"/>
      <c r="CZ218" s="286"/>
      <c r="DA218" s="286"/>
      <c r="DB218" s="286"/>
      <c r="DC218" s="286"/>
      <c r="DD218" s="286"/>
      <c r="DE218" s="286"/>
      <c r="DF218" s="286"/>
      <c r="DG218" s="286"/>
      <c r="DH218" s="286"/>
      <c r="DI218" s="286"/>
      <c r="DJ218" s="286"/>
      <c r="DK218" s="286"/>
      <c r="DL218" s="286"/>
      <c r="DM218" s="286"/>
      <c r="DN218" s="286"/>
      <c r="DO218" s="286"/>
      <c r="DP218" s="286"/>
      <c r="DQ218" s="286"/>
      <c r="DR218" s="286"/>
      <c r="DS218" s="286"/>
      <c r="DT218" s="286"/>
      <c r="DU218" s="286"/>
      <c r="DV218" s="286"/>
      <c r="DW218" s="286"/>
      <c r="DX218" s="286"/>
      <c r="DY218" s="286"/>
      <c r="DZ218" s="286"/>
      <c r="EA218" s="286"/>
      <c r="EB218" s="286"/>
      <c r="EC218" s="286"/>
      <c r="ED218" s="286"/>
      <c r="EE218" s="286"/>
      <c r="EF218" s="286"/>
      <c r="EG218" s="286"/>
      <c r="EH218" s="286"/>
      <c r="EI218" s="286"/>
      <c r="EJ218" s="286"/>
      <c r="EK218" s="286"/>
      <c r="EL218" s="286"/>
      <c r="EM218" s="286"/>
      <c r="EN218" s="286"/>
      <c r="EO218" s="286"/>
      <c r="EP218" s="286"/>
      <c r="EQ218" s="286"/>
      <c r="ER218" s="286"/>
      <c r="ES218" s="286"/>
      <c r="ET218" s="286"/>
      <c r="EU218" s="286"/>
      <c r="EV218" s="286"/>
      <c r="EW218" s="286"/>
      <c r="EX218" s="286"/>
      <c r="EY218" s="286"/>
      <c r="EZ218" s="286"/>
      <c r="FA218" s="286"/>
      <c r="FB218" s="286"/>
      <c r="FC218" s="286"/>
      <c r="FD218" s="286"/>
      <c r="FE218" s="286"/>
      <c r="FF218" s="286"/>
      <c r="FG218" s="286"/>
      <c r="FH218" s="286"/>
      <c r="FI218" s="286"/>
      <c r="FJ218" s="286"/>
      <c r="FK218" s="286"/>
      <c r="FL218" s="286"/>
      <c r="FM218" s="286"/>
      <c r="FN218" s="286"/>
      <c r="FO218" s="286"/>
      <c r="FP218" s="286"/>
      <c r="FQ218" s="286"/>
      <c r="FR218" s="286"/>
      <c r="FS218" s="286"/>
      <c r="FT218" s="286"/>
      <c r="FU218" s="286"/>
      <c r="FV218" s="286"/>
      <c r="FW218" s="287"/>
      <c r="FX218" s="1304"/>
      <c r="FY218" s="1304"/>
      <c r="FZ218" s="1306"/>
      <c r="GA218" s="1306"/>
      <c r="GB218" s="1306"/>
      <c r="GC218" s="1305"/>
      <c r="GD218" s="1305"/>
    </row>
    <row s="1834" customFormat="1" customHeight="1" ht="14.25">
      <c r="A219" s="493"/>
      <c r="B219" s="872"/>
      <c r="C219" s="493"/>
      <c r="D219" s="493"/>
      <c r="E219" s="840">
        <v>15</v>
      </c>
      <c r="F219" s="50" cm="1" t="str">
        <f t="array" ref="F219:F219">OFFSET(E219,-1,1)</f>
        <v>3</v>
      </c>
      <c r="G219" s="493"/>
      <c r="H219" s="493"/>
      <c r="I219" s="493"/>
      <c r="J219" s="493"/>
      <c r="K219" s="493"/>
      <c r="L219" s="493"/>
      <c r="M219" s="493"/>
      <c r="N219" s="493"/>
      <c r="O219" s="493"/>
      <c r="P219" s="493"/>
      <c r="Q219" s="493"/>
      <c r="R219" s="484"/>
      <c r="S219" s="484"/>
      <c r="T219" s="465" cm="1" t="str">
        <f t="array" ref="T219:T219">T218</f>
        <v>true</v>
      </c>
      <c r="U219" s="493"/>
      <c r="V219" s="493"/>
      <c r="W219" s="493"/>
      <c r="X219" s="1596"/>
      <c r="Y219" s="493"/>
      <c r="Z219" s="1545"/>
      <c r="AA219" s="493"/>
      <c r="AB219" s="1503" t="str">
        <f>"Вид "&amp;IF(ISERROR(SEARCH("Водоснабжение",AD218)),"сточных вод","воды")</f>
        <v>Вид сточных вод</v>
      </c>
      <c r="AC219" s="1505"/>
      <c r="AD219" s="893" cm="1" t="str">
        <f t="array" ref="AD219:AD219">INDEX('Общие сведения'!$AH$179:$AH$250,MATCH($X218,'Общие сведения'!$Z$179:$Z$250,0))</f>
        <v>без дифференциации</v>
      </c>
      <c r="AE219" s="288"/>
      <c r="AF219" s="288"/>
      <c r="AG219" s="288"/>
      <c r="AH219" s="288"/>
      <c r="AI219" s="288"/>
      <c r="AJ219" s="288"/>
      <c r="AK219" s="288"/>
      <c r="AL219" s="288"/>
      <c r="AM219" s="288"/>
      <c r="AN219" s="288"/>
      <c r="AO219" s="288"/>
      <c r="AP219" s="288"/>
      <c r="AQ219" s="288"/>
      <c r="AR219" s="288"/>
      <c r="AS219" s="288"/>
      <c r="AT219" s="288"/>
      <c r="AU219" s="288"/>
      <c r="AV219" s="288"/>
      <c r="AW219" s="288"/>
      <c r="AX219" s="288"/>
      <c r="AY219" s="288"/>
      <c r="AZ219" s="288"/>
      <c r="BA219" s="288"/>
      <c r="BB219" s="288"/>
      <c r="BC219" s="288"/>
      <c r="BD219" s="288"/>
      <c r="BE219" s="288"/>
      <c r="BF219" s="288"/>
      <c r="BG219" s="288"/>
      <c r="BH219" s="288"/>
      <c r="BI219" s="288"/>
      <c r="BJ219" s="288"/>
      <c r="BK219" s="288"/>
      <c r="BL219" s="288"/>
      <c r="BM219" s="288"/>
      <c r="BN219" s="288"/>
      <c r="BO219" s="288"/>
      <c r="BP219" s="288"/>
      <c r="BQ219" s="288"/>
      <c r="BR219" s="288"/>
      <c r="BS219" s="288"/>
      <c r="BT219" s="288"/>
      <c r="BU219" s="288"/>
      <c r="BV219" s="288"/>
      <c r="BW219" s="288"/>
      <c r="BX219" s="288"/>
      <c r="BY219" s="288"/>
      <c r="BZ219" s="288"/>
      <c r="CA219" s="288"/>
      <c r="CB219" s="288"/>
      <c r="CC219" s="288"/>
      <c r="CD219" s="288"/>
      <c r="CE219" s="288"/>
      <c r="CF219" s="288"/>
      <c r="CG219" s="288"/>
      <c r="CH219" s="288"/>
      <c r="CI219" s="288"/>
      <c r="CJ219" s="288"/>
      <c r="CK219" s="288"/>
      <c r="CL219" s="288"/>
      <c r="CM219" s="288"/>
      <c r="CN219" s="288"/>
      <c r="CO219" s="288"/>
      <c r="CP219" s="288"/>
      <c r="CQ219" s="288"/>
      <c r="CR219" s="288"/>
      <c r="CS219" s="288"/>
      <c r="CT219" s="288"/>
      <c r="CU219" s="288"/>
      <c r="CV219" s="288"/>
      <c r="CW219" s="288"/>
      <c r="CX219" s="288"/>
      <c r="CY219" s="288"/>
      <c r="CZ219" s="288"/>
      <c r="DA219" s="288"/>
      <c r="DB219" s="288"/>
      <c r="DC219" s="288"/>
      <c r="DD219" s="288"/>
      <c r="DE219" s="288"/>
      <c r="DF219" s="288"/>
      <c r="DG219" s="288"/>
      <c r="DH219" s="288"/>
      <c r="DI219" s="288"/>
      <c r="DJ219" s="288"/>
      <c r="DK219" s="288"/>
      <c r="DL219" s="288"/>
      <c r="DM219" s="288"/>
      <c r="DN219" s="288"/>
      <c r="DO219" s="288"/>
      <c r="DP219" s="288"/>
      <c r="DQ219" s="288"/>
      <c r="DR219" s="288"/>
      <c r="DS219" s="288"/>
      <c r="DT219" s="288"/>
      <c r="DU219" s="288"/>
      <c r="DV219" s="288"/>
      <c r="DW219" s="288"/>
      <c r="DX219" s="288"/>
      <c r="DY219" s="288"/>
      <c r="DZ219" s="288"/>
      <c r="EA219" s="288"/>
      <c r="EB219" s="288"/>
      <c r="EC219" s="288"/>
      <c r="ED219" s="288"/>
      <c r="EE219" s="288"/>
      <c r="EF219" s="288"/>
      <c r="EG219" s="288"/>
      <c r="EH219" s="288"/>
      <c r="EI219" s="288"/>
      <c r="EJ219" s="288"/>
      <c r="EK219" s="288"/>
      <c r="EL219" s="288"/>
      <c r="EM219" s="288"/>
      <c r="EN219" s="288"/>
      <c r="EO219" s="288"/>
      <c r="EP219" s="288"/>
      <c r="EQ219" s="288"/>
      <c r="ER219" s="288"/>
      <c r="ES219" s="288"/>
      <c r="ET219" s="288"/>
      <c r="EU219" s="288"/>
      <c r="EV219" s="288"/>
      <c r="EW219" s="288"/>
      <c r="EX219" s="288"/>
      <c r="EY219" s="288"/>
      <c r="EZ219" s="288"/>
      <c r="FA219" s="288"/>
      <c r="FB219" s="288"/>
      <c r="FC219" s="288"/>
      <c r="FD219" s="288"/>
      <c r="FE219" s="288"/>
      <c r="FF219" s="288"/>
      <c r="FG219" s="288"/>
      <c r="FH219" s="288"/>
      <c r="FI219" s="288"/>
      <c r="FJ219" s="288"/>
      <c r="FK219" s="288"/>
      <c r="FL219" s="288"/>
      <c r="FM219" s="288"/>
      <c r="FN219" s="288"/>
      <c r="FO219" s="288"/>
      <c r="FP219" s="288"/>
      <c r="FQ219" s="288"/>
      <c r="FR219" s="288"/>
      <c r="FS219" s="288"/>
      <c r="FT219" s="288"/>
      <c r="FU219" s="288"/>
      <c r="FV219" s="288"/>
      <c r="FW219" s="289"/>
      <c r="FX219" s="1304"/>
      <c r="FY219" s="1304"/>
      <c r="FZ219" s="1306"/>
      <c r="GA219" s="1306"/>
      <c r="GB219" s="1306"/>
      <c r="GC219" s="1305"/>
      <c r="GD219" s="1305"/>
    </row>
    <row s="1834" customFormat="1" customHeight="1" ht="14.25">
      <c r="A220" s="493"/>
      <c r="B220" s="872"/>
      <c r="C220" s="493"/>
      <c r="D220" s="493"/>
      <c r="E220" s="840">
        <v>15</v>
      </c>
      <c r="F220" s="50" cm="1" t="str">
        <f t="array" ref="F220:F220">OFFSET(E220,-1,1)</f>
        <v>3</v>
      </c>
      <c r="G220" s="493"/>
      <c r="H220" s="493"/>
      <c r="I220" s="493"/>
      <c r="J220" s="493"/>
      <c r="K220" s="493"/>
      <c r="L220" s="493"/>
      <c r="M220" s="493"/>
      <c r="N220" s="493"/>
      <c r="O220" s="493"/>
      <c r="P220" s="493"/>
      <c r="Q220" s="493"/>
      <c r="R220" s="484"/>
      <c r="S220" s="484"/>
      <c r="T220" s="465" cm="1" t="str">
        <f t="array" ref="T220:T220">T219</f>
        <v>true</v>
      </c>
      <c r="U220" s="493"/>
      <c r="V220" s="493"/>
      <c r="W220" s="493"/>
      <c r="X220" s="1596"/>
      <c r="Y220" s="493"/>
      <c r="Z220" s="1545"/>
      <c r="AA220" s="493"/>
      <c r="AB220" s="1503" t="s">
        <v>2331</v>
      </c>
      <c r="AC220" s="1505"/>
      <c r="AD220" s="893" cm="1" t="str">
        <f t="array" ref="AD220:AD220">INDEX('Общие сведения'!$AI$179:$AI$250,MATCH($X218,'Общие сведения'!$Z$179:$Z$250,0))</f>
        <v>тариф на водоотведение</v>
      </c>
      <c r="AE220" s="288"/>
      <c r="AF220" s="288"/>
      <c r="AG220" s="288"/>
      <c r="AH220" s="288"/>
      <c r="AI220" s="288"/>
      <c r="AJ220" s="288"/>
      <c r="AK220" s="288"/>
      <c r="AL220" s="288"/>
      <c r="AM220" s="288"/>
      <c r="AN220" s="288"/>
      <c r="AO220" s="288"/>
      <c r="AP220" s="288"/>
      <c r="AQ220" s="288"/>
      <c r="AR220" s="288"/>
      <c r="AS220" s="288"/>
      <c r="AT220" s="288"/>
      <c r="AU220" s="288"/>
      <c r="AV220" s="288"/>
      <c r="AW220" s="288"/>
      <c r="AX220" s="288"/>
      <c r="AY220" s="288"/>
      <c r="AZ220" s="288"/>
      <c r="BA220" s="288"/>
      <c r="BB220" s="288"/>
      <c r="BC220" s="288"/>
      <c r="BD220" s="288"/>
      <c r="BE220" s="288"/>
      <c r="BF220" s="288"/>
      <c r="BG220" s="288"/>
      <c r="BH220" s="288"/>
      <c r="BI220" s="288"/>
      <c r="BJ220" s="288"/>
      <c r="BK220" s="288"/>
      <c r="BL220" s="288"/>
      <c r="BM220" s="288"/>
      <c r="BN220" s="288"/>
      <c r="BO220" s="288"/>
      <c r="BP220" s="288"/>
      <c r="BQ220" s="288"/>
      <c r="BR220" s="288"/>
      <c r="BS220" s="288"/>
      <c r="BT220" s="288"/>
      <c r="BU220" s="288"/>
      <c r="BV220" s="288"/>
      <c r="BW220" s="288"/>
      <c r="BX220" s="288"/>
      <c r="BY220" s="288"/>
      <c r="BZ220" s="288"/>
      <c r="CA220" s="288"/>
      <c r="CB220" s="288"/>
      <c r="CC220" s="288"/>
      <c r="CD220" s="288"/>
      <c r="CE220" s="288"/>
      <c r="CF220" s="288"/>
      <c r="CG220" s="288"/>
      <c r="CH220" s="288"/>
      <c r="CI220" s="288"/>
      <c r="CJ220" s="288"/>
      <c r="CK220" s="288"/>
      <c r="CL220" s="288"/>
      <c r="CM220" s="288"/>
      <c r="CN220" s="288"/>
      <c r="CO220" s="288"/>
      <c r="CP220" s="288"/>
      <c r="CQ220" s="288"/>
      <c r="CR220" s="288"/>
      <c r="CS220" s="288"/>
      <c r="CT220" s="288"/>
      <c r="CU220" s="288"/>
      <c r="CV220" s="288"/>
      <c r="CW220" s="288"/>
      <c r="CX220" s="288"/>
      <c r="CY220" s="288"/>
      <c r="CZ220" s="288"/>
      <c r="DA220" s="288"/>
      <c r="DB220" s="288"/>
      <c r="DC220" s="288"/>
      <c r="DD220" s="288"/>
      <c r="DE220" s="288"/>
      <c r="DF220" s="288"/>
      <c r="DG220" s="288"/>
      <c r="DH220" s="288"/>
      <c r="DI220" s="288"/>
      <c r="DJ220" s="288"/>
      <c r="DK220" s="288"/>
      <c r="DL220" s="288"/>
      <c r="DM220" s="288"/>
      <c r="DN220" s="288"/>
      <c r="DO220" s="288"/>
      <c r="DP220" s="288"/>
      <c r="DQ220" s="288"/>
      <c r="DR220" s="288"/>
      <c r="DS220" s="288"/>
      <c r="DT220" s="288"/>
      <c r="DU220" s="288"/>
      <c r="DV220" s="288"/>
      <c r="DW220" s="288"/>
      <c r="DX220" s="288"/>
      <c r="DY220" s="288"/>
      <c r="DZ220" s="288"/>
      <c r="EA220" s="288"/>
      <c r="EB220" s="288"/>
      <c r="EC220" s="288"/>
      <c r="ED220" s="288"/>
      <c r="EE220" s="288"/>
      <c r="EF220" s="288"/>
      <c r="EG220" s="288"/>
      <c r="EH220" s="288"/>
      <c r="EI220" s="288"/>
      <c r="EJ220" s="288"/>
      <c r="EK220" s="288"/>
      <c r="EL220" s="288"/>
      <c r="EM220" s="288"/>
      <c r="EN220" s="288"/>
      <c r="EO220" s="288"/>
      <c r="EP220" s="288"/>
      <c r="EQ220" s="288"/>
      <c r="ER220" s="288"/>
      <c r="ES220" s="288"/>
      <c r="ET220" s="288"/>
      <c r="EU220" s="288"/>
      <c r="EV220" s="288"/>
      <c r="EW220" s="288"/>
      <c r="EX220" s="288"/>
      <c r="EY220" s="288"/>
      <c r="EZ220" s="288"/>
      <c r="FA220" s="288"/>
      <c r="FB220" s="288"/>
      <c r="FC220" s="288"/>
      <c r="FD220" s="288"/>
      <c r="FE220" s="288"/>
      <c r="FF220" s="288"/>
      <c r="FG220" s="288"/>
      <c r="FH220" s="288"/>
      <c r="FI220" s="288"/>
      <c r="FJ220" s="288"/>
      <c r="FK220" s="288"/>
      <c r="FL220" s="288"/>
      <c r="FM220" s="288"/>
      <c r="FN220" s="288"/>
      <c r="FO220" s="288"/>
      <c r="FP220" s="288"/>
      <c r="FQ220" s="288"/>
      <c r="FR220" s="288"/>
      <c r="FS220" s="288"/>
      <c r="FT220" s="288"/>
      <c r="FU220" s="288"/>
      <c r="FV220" s="288"/>
      <c r="FW220" s="289"/>
      <c r="FX220" s="1304"/>
      <c r="FY220" s="1304"/>
      <c r="FZ220" s="1306"/>
      <c r="GA220" s="1306"/>
      <c r="GB220" s="1306"/>
      <c r="GC220" s="1305"/>
      <c r="GD220" s="1305"/>
    </row>
    <row s="1834" customFormat="1" customHeight="1" ht="14.25">
      <c r="A221" s="493"/>
      <c r="B221" s="872"/>
      <c r="C221" s="493"/>
      <c r="D221" s="493"/>
      <c r="E221" s="840">
        <v>15</v>
      </c>
      <c r="F221" s="50" cm="1" t="str">
        <f t="array" ref="F221:F221">OFFSET(E221,-1,1)</f>
        <v>3</v>
      </c>
      <c r="G221" s="493"/>
      <c r="H221" s="493"/>
      <c r="I221" s="493"/>
      <c r="J221" s="493"/>
      <c r="K221" s="493"/>
      <c r="L221" s="493"/>
      <c r="M221" s="493"/>
      <c r="N221" s="493"/>
      <c r="O221" s="493"/>
      <c r="P221" s="493"/>
      <c r="Q221" s="928"/>
      <c r="R221" s="493"/>
      <c r="S221" s="484"/>
      <c r="T221" s="465" cm="1" t="str">
        <f t="array" ref="T221:T221">T220</f>
        <v>true</v>
      </c>
      <c r="U221" s="493"/>
      <c r="V221" s="493"/>
      <c r="W221" s="493"/>
      <c r="X221" s="1596"/>
      <c r="Y221" s="493"/>
      <c r="Z221" s="1545"/>
      <c r="AA221" s="493"/>
      <c r="AB221" s="1503" t="s">
        <v>2332</v>
      </c>
      <c r="AC221" s="1505"/>
      <c r="AD221" s="893" cm="1" t="str">
        <f t="array" ref="AD221:AD221">INDEX('Общие сведения'!$AJ$179:$AJ$250,MATCH($X218,'Общие сведения'!$Z$179:$Z$250,0))</f>
        <v>Доп. признак не требуется</v>
      </c>
      <c r="AE221" s="288"/>
      <c r="AF221" s="288"/>
      <c r="AG221" s="288"/>
      <c r="AH221" s="288"/>
      <c r="AI221" s="288"/>
      <c r="AJ221" s="288"/>
      <c r="AK221" s="288"/>
      <c r="AL221" s="288"/>
      <c r="AM221" s="288"/>
      <c r="AN221" s="288"/>
      <c r="AO221" s="288"/>
      <c r="AP221" s="288"/>
      <c r="AQ221" s="288"/>
      <c r="AR221" s="288"/>
      <c r="AS221" s="288"/>
      <c r="AT221" s="288"/>
      <c r="AU221" s="288"/>
      <c r="AV221" s="288"/>
      <c r="AW221" s="288"/>
      <c r="AX221" s="288"/>
      <c r="AY221" s="288"/>
      <c r="AZ221" s="288"/>
      <c r="BA221" s="288"/>
      <c r="BB221" s="288"/>
      <c r="BC221" s="288"/>
      <c r="BD221" s="288"/>
      <c r="BE221" s="288"/>
      <c r="BF221" s="288"/>
      <c r="BG221" s="288"/>
      <c r="BH221" s="288"/>
      <c r="BI221" s="288"/>
      <c r="BJ221" s="288"/>
      <c r="BK221" s="288"/>
      <c r="BL221" s="288"/>
      <c r="BM221" s="288"/>
      <c r="BN221" s="288"/>
      <c r="BO221" s="288"/>
      <c r="BP221" s="288"/>
      <c r="BQ221" s="288"/>
      <c r="BR221" s="288"/>
      <c r="BS221" s="288"/>
      <c r="BT221" s="288"/>
      <c r="BU221" s="288"/>
      <c r="BV221" s="288"/>
      <c r="BW221" s="288"/>
      <c r="BX221" s="288"/>
      <c r="BY221" s="288"/>
      <c r="BZ221" s="288"/>
      <c r="CA221" s="288"/>
      <c r="CB221" s="288"/>
      <c r="CC221" s="288"/>
      <c r="CD221" s="288"/>
      <c r="CE221" s="288"/>
      <c r="CF221" s="288"/>
      <c r="CG221" s="288"/>
      <c r="CH221" s="288"/>
      <c r="CI221" s="288"/>
      <c r="CJ221" s="288"/>
      <c r="CK221" s="288"/>
      <c r="CL221" s="288"/>
      <c r="CM221" s="288"/>
      <c r="CN221" s="288"/>
      <c r="CO221" s="288"/>
      <c r="CP221" s="288"/>
      <c r="CQ221" s="288"/>
      <c r="CR221" s="288"/>
      <c r="CS221" s="288"/>
      <c r="CT221" s="288"/>
      <c r="CU221" s="288"/>
      <c r="CV221" s="288"/>
      <c r="CW221" s="288"/>
      <c r="CX221" s="288"/>
      <c r="CY221" s="288"/>
      <c r="CZ221" s="288"/>
      <c r="DA221" s="288"/>
      <c r="DB221" s="288"/>
      <c r="DC221" s="288"/>
      <c r="DD221" s="288"/>
      <c r="DE221" s="288"/>
      <c r="DF221" s="288"/>
      <c r="DG221" s="288"/>
      <c r="DH221" s="288"/>
      <c r="DI221" s="288"/>
      <c r="DJ221" s="288"/>
      <c r="DK221" s="288"/>
      <c r="DL221" s="288"/>
      <c r="DM221" s="288"/>
      <c r="DN221" s="288"/>
      <c r="DO221" s="288"/>
      <c r="DP221" s="288"/>
      <c r="DQ221" s="288"/>
      <c r="DR221" s="288"/>
      <c r="DS221" s="288"/>
      <c r="DT221" s="288"/>
      <c r="DU221" s="288"/>
      <c r="DV221" s="288"/>
      <c r="DW221" s="288"/>
      <c r="DX221" s="288"/>
      <c r="DY221" s="288"/>
      <c r="DZ221" s="288"/>
      <c r="EA221" s="288"/>
      <c r="EB221" s="288"/>
      <c r="EC221" s="288"/>
      <c r="ED221" s="288"/>
      <c r="EE221" s="288"/>
      <c r="EF221" s="288"/>
      <c r="EG221" s="288"/>
      <c r="EH221" s="288"/>
      <c r="EI221" s="288"/>
      <c r="EJ221" s="288"/>
      <c r="EK221" s="288"/>
      <c r="EL221" s="288"/>
      <c r="EM221" s="288"/>
      <c r="EN221" s="288"/>
      <c r="EO221" s="288"/>
      <c r="EP221" s="288"/>
      <c r="EQ221" s="288"/>
      <c r="ER221" s="288"/>
      <c r="ES221" s="288"/>
      <c r="ET221" s="288"/>
      <c r="EU221" s="288"/>
      <c r="EV221" s="288"/>
      <c r="EW221" s="288"/>
      <c r="EX221" s="288"/>
      <c r="EY221" s="288"/>
      <c r="EZ221" s="288"/>
      <c r="FA221" s="288"/>
      <c r="FB221" s="288"/>
      <c r="FC221" s="288"/>
      <c r="FD221" s="288"/>
      <c r="FE221" s="288"/>
      <c r="FF221" s="288"/>
      <c r="FG221" s="288"/>
      <c r="FH221" s="288"/>
      <c r="FI221" s="288"/>
      <c r="FJ221" s="288"/>
      <c r="FK221" s="288"/>
      <c r="FL221" s="288"/>
      <c r="FM221" s="288"/>
      <c r="FN221" s="288"/>
      <c r="FO221" s="288"/>
      <c r="FP221" s="288"/>
      <c r="FQ221" s="288"/>
      <c r="FR221" s="288"/>
      <c r="FS221" s="288"/>
      <c r="FT221" s="288"/>
      <c r="FU221" s="288"/>
      <c r="FV221" s="288"/>
      <c r="FW221" s="289"/>
      <c r="FX221" s="1304"/>
      <c r="FY221" s="1304"/>
      <c r="FZ221" s="1306"/>
      <c r="GA221" s="1306"/>
      <c r="GB221" s="1306"/>
      <c r="GC221" s="1305"/>
      <c r="GD221" s="1305"/>
    </row>
    <row s="1834" customFormat="1" customHeight="1" ht="14.25">
      <c r="A222" s="493"/>
      <c r="B222" s="925">
        <f>AND(R218="одноставочный",NOT(S218))</f>
        <v>1</v>
      </c>
      <c r="C222" s="493"/>
      <c r="D222" s="493"/>
      <c r="E222" s="840">
        <v>15</v>
      </c>
      <c r="F222" s="50" cm="1" t="str">
        <f t="array" ref="F222:F222">OFFSET(E222,-1,1)</f>
        <v>3</v>
      </c>
      <c r="G222" s="493"/>
      <c r="H222" s="493"/>
      <c r="I222" s="493"/>
      <c r="J222" s="493"/>
      <c r="K222" s="493"/>
      <c r="L222" s="493"/>
      <c r="M222" s="493"/>
      <c r="N222" s="493"/>
      <c r="O222" s="493"/>
      <c r="P222" s="493"/>
      <c r="Q222" s="493"/>
      <c r="R222" s="493"/>
      <c r="S222" s="493"/>
      <c r="T222" s="465" cm="1" t="str">
        <f t="array" ref="T222:T222">T221</f>
        <v>true</v>
      </c>
      <c r="U222" s="493"/>
      <c r="V222" s="493"/>
      <c r="W222" s="493"/>
      <c r="X222" s="1596"/>
      <c r="Y222" s="493"/>
      <c r="Z222" s="1545"/>
      <c r="AA222" s="493"/>
      <c r="AB222" s="894" t="s">
        <v>2333</v>
      </c>
      <c r="AC222" s="895"/>
      <c r="AD222" s="896"/>
      <c r="AE222" s="896"/>
      <c r="AF222" s="896"/>
      <c r="AG222" s="896"/>
      <c r="AH222" s="896"/>
      <c r="AI222" s="896"/>
      <c r="AJ222" s="896"/>
      <c r="AK222" s="896"/>
      <c r="AL222" s="896"/>
      <c r="AM222" s="896"/>
      <c r="AN222" s="896"/>
      <c r="AO222" s="896"/>
      <c r="AP222" s="896"/>
      <c r="AQ222" s="896"/>
      <c r="AR222" s="896"/>
      <c r="AS222" s="896"/>
      <c r="AT222" s="896"/>
      <c r="AU222" s="896"/>
      <c r="AV222" s="896"/>
      <c r="AW222" s="896"/>
      <c r="AX222" s="896"/>
      <c r="AY222" s="896"/>
      <c r="AZ222" s="896"/>
      <c r="BA222" s="896"/>
      <c r="BB222" s="896"/>
      <c r="BC222" s="896"/>
      <c r="BD222" s="896"/>
      <c r="BE222" s="896"/>
      <c r="BF222" s="896"/>
      <c r="BG222" s="896"/>
      <c r="BH222" s="896"/>
      <c r="BI222" s="896"/>
      <c r="BJ222" s="907"/>
      <c r="BK222" s="896"/>
      <c r="BL222" s="896"/>
      <c r="BM222" s="907"/>
      <c r="BN222" s="896"/>
      <c r="BO222" s="896"/>
      <c r="BP222" s="907"/>
      <c r="BQ222" s="896"/>
      <c r="BR222" s="896"/>
      <c r="BS222" s="907"/>
      <c r="BT222" s="896"/>
      <c r="BU222" s="896"/>
      <c r="BV222" s="907"/>
      <c r="BW222" s="896"/>
      <c r="BX222" s="896"/>
      <c r="BY222" s="907"/>
      <c r="BZ222" s="896"/>
      <c r="CA222" s="896"/>
      <c r="CB222" s="907"/>
      <c r="CC222" s="896"/>
      <c r="CD222" s="896"/>
      <c r="CE222" s="907"/>
      <c r="CF222" s="896"/>
      <c r="CG222" s="896"/>
      <c r="CH222" s="907"/>
      <c r="CI222" s="896"/>
      <c r="CJ222" s="896"/>
      <c r="CK222" s="907"/>
      <c r="CL222" s="896"/>
      <c r="CM222" s="896"/>
      <c r="CN222" s="907"/>
      <c r="CO222" s="896"/>
      <c r="CP222" s="896"/>
      <c r="CQ222" s="907"/>
      <c r="CR222" s="896"/>
      <c r="CS222" s="896"/>
      <c r="CT222" s="907"/>
      <c r="CU222" s="896"/>
      <c r="CV222" s="896"/>
      <c r="CW222" s="907"/>
      <c r="CX222" s="896"/>
      <c r="CY222" s="896"/>
      <c r="CZ222" s="907"/>
      <c r="DA222" s="896"/>
      <c r="DB222" s="896"/>
      <c r="DC222" s="907"/>
      <c r="DD222" s="896"/>
      <c r="DE222" s="896"/>
      <c r="DF222" s="291"/>
      <c r="DG222" s="290"/>
      <c r="DH222" s="290"/>
      <c r="DI222" s="291"/>
      <c r="DJ222" s="290"/>
      <c r="DK222" s="290"/>
      <c r="DL222" s="291"/>
      <c r="DM222" s="290"/>
      <c r="DN222" s="290"/>
      <c r="DO222" s="291"/>
      <c r="DP222" s="290"/>
      <c r="DQ222" s="290"/>
      <c r="DR222" s="291"/>
      <c r="DS222" s="290"/>
      <c r="DT222" s="290"/>
      <c r="DU222" s="291"/>
      <c r="DV222" s="290"/>
      <c r="DW222" s="290"/>
      <c r="DX222" s="291"/>
      <c r="DY222" s="290"/>
      <c r="DZ222" s="290"/>
      <c r="EA222" s="291"/>
      <c r="EB222" s="290"/>
      <c r="EC222" s="290"/>
      <c r="ED222" s="291"/>
      <c r="EE222" s="290"/>
      <c r="EF222" s="290"/>
      <c r="EG222" s="291"/>
      <c r="EH222" s="290"/>
      <c r="EI222" s="290"/>
      <c r="EJ222" s="291"/>
      <c r="EK222" s="290"/>
      <c r="EL222" s="290"/>
      <c r="EM222" s="291"/>
      <c r="EN222" s="290"/>
      <c r="EO222" s="290"/>
      <c r="EP222" s="291"/>
      <c r="EQ222" s="290"/>
      <c r="ER222" s="290"/>
      <c r="ES222" s="291"/>
      <c r="ET222" s="290"/>
      <c r="EU222" s="290"/>
      <c r="EV222" s="291"/>
      <c r="EW222" s="290"/>
      <c r="EX222" s="290"/>
      <c r="EY222" s="291"/>
      <c r="EZ222" s="290"/>
      <c r="FA222" s="290"/>
      <c r="FB222" s="291"/>
      <c r="FC222" s="290"/>
      <c r="FD222" s="290"/>
      <c r="FE222" s="291"/>
      <c r="FF222" s="290"/>
      <c r="FG222" s="290"/>
      <c r="FH222" s="291"/>
      <c r="FI222" s="290"/>
      <c r="FJ222" s="290"/>
      <c r="FK222" s="291"/>
      <c r="FL222" s="290"/>
      <c r="FM222" s="290"/>
      <c r="FN222" s="291"/>
      <c r="FO222" s="290"/>
      <c r="FP222" s="290"/>
      <c r="FQ222" s="291"/>
      <c r="FR222" s="290"/>
      <c r="FS222" s="290"/>
      <c r="FT222" s="291"/>
      <c r="FU222" s="290"/>
      <c r="FV222" s="290"/>
      <c r="FW222" s="291"/>
      <c r="FX222" s="1304"/>
      <c r="FY222" s="1304"/>
      <c r="FZ222" s="1306"/>
      <c r="GA222" s="1306"/>
      <c r="GB222" s="1306"/>
      <c r="GC222" s="1305"/>
      <c r="GD222" s="1305"/>
    </row>
    <row s="6205" customFormat="1" customHeight="1" ht="23.25">
      <c r="A223" s="897"/>
      <c r="B223" s="925" cm="1" t="str">
        <f t="array" ref="B223:B223">B222</f>
        <v>true</v>
      </c>
      <c r="C223" s="897"/>
      <c r="D223" s="897"/>
      <c r="E223" s="898">
        <v>24.5</v>
      </c>
      <c r="F223" s="50" cm="1" t="str">
        <f t="array" ref="F223:F223">OFFSET(E223,-1,1)</f>
        <v>3</v>
      </c>
      <c r="G223" s="493" t="s">
        <v>2334</v>
      </c>
      <c r="H223" s="493" t="s">
        <v>1175</v>
      </c>
      <c r="I223" s="493" t="s">
        <v>2335</v>
      </c>
      <c r="J223" s="897"/>
      <c r="K223" s="897"/>
      <c r="L223" s="493"/>
      <c r="M223" s="897"/>
      <c r="N223" s="897"/>
      <c r="O223" s="897"/>
      <c r="P223" s="897"/>
      <c r="Q223" s="897"/>
      <c r="R223" s="897"/>
      <c r="S223" s="493"/>
      <c r="T223" s="465" cm="1" t="str">
        <f t="array" ref="T223:T223">T222</f>
        <v>true</v>
      </c>
      <c r="U223" s="897"/>
      <c r="V223" s="897"/>
      <c r="W223" s="897"/>
      <c r="X223" s="1596"/>
      <c r="Y223" s="897"/>
      <c r="Z223" s="1545"/>
      <c r="AA223" s="897"/>
      <c r="AB223" s="293" t="s">
        <v>2336</v>
      </c>
      <c r="AC223" s="294" t="s">
        <v>2337</v>
      </c>
      <c r="AD223" s="899">
        <f>IF(AND(method_reg="Метод индексации",god&lt;&gt;first_year),_xlfn.SUMIFS(INDEX('Калькуляция (МИ корр)'!$AJ$25:$BC$747,,MATCH(AD$8,'Калькуляция (МИ корр)'!$AJ$8:$BC$8,0)),'Калькуляция (МИ корр)'!$F$25:$F$747,$F223,'Калькуляция (МИ корр)'!$G$25:$G$747,$G223),IF(method_reg="Метод экономически обоснованных расходов",_xlfn.SUMIFS('Калькуляция (МЭОР)'!$AJ$25:$AJ$452,'Калькуляция (МЭОР)'!$F$25:$F$452,$F223,'Калькуляция (МЭОР)'!$G$25:$G$452,$G223),IF(method_reg="Метод сравнения аналогов",_xlfn.SUMIFS('Калькуляция (МСА)'!$AE$25:$AE$122,'Калькуляция (МСА)'!$F$25:$F$122,$F223,'Калькуляция (МСА)'!$G$25:$G$122,$G223),_xlfn.SUMIFS(INDEX('Калькуляция (МИ)'!$AJ$25:$BC$747,,MATCH(AD$8,'Калькуляция (МИ)'!$AJ$8:$BC$8,0)),'Калькуляция (МИ)'!$F$25:$F$747,$F223,'Калькуляция (МИ)'!$G$25:$G$747,$G223))))</f>
        <v>75.34</v>
      </c>
      <c r="AE223" s="899">
        <f>IF(AND(method_reg="Метод индексации",god&lt;&gt;first_year),_xlfn.SUMIFS(INDEX('Калькуляция (МИ корр)'!$AJ$25:$BC$747,,MATCH(AE$8,'Калькуляция (МИ корр)'!$AJ$8:$BC$8,0)),'Калькуляция (МИ корр)'!$F$25:$F$747,$F223,'Калькуляция (МИ корр)'!$G$25:$G$747,$G223),IF(method_reg="Метод экономически обоснованных расходов",_xlfn.SUMIFS('Калькуляция (МЭОР)'!$AK$25:$AK$452,'Калькуляция (МЭОР)'!$F$25:$F$452,$F223,'Калькуляция (МЭОР)'!$G$25:$G$452,$G223),IF(method_reg="Метод сравнения аналогов",_xlfn.SUMIFS('Калькуляция (МСА)'!$AF$25:$AF$122,'Калькуляция (МСА)'!$F$25:$F$122,$F223,'Калькуляция (МСА)'!$G$25:$G$122,$G223),_xlfn.SUMIFS(INDEX('Калькуляция (МИ)'!$AJ$25:$BC$747,,MATCH(AE$8,'Калькуляция (МИ)'!$AJ$8:$BC$8,0)),'Калькуляция (МИ)'!$F$25:$F$747,$F223,'Калькуляция (МИ)'!$G$25:$G$747,$G223))))</f>
        <v>75.34</v>
      </c>
      <c r="AF223" s="296">
        <f>IF(AD223=0,0,(AE223-AD223)/AD223*100)</f>
        <v>0</v>
      </c>
      <c r="AG223" s="899">
        <f>IF(AND(method_reg="Метод индексации",god&lt;&gt;first_year),_xlfn.SUMIFS(INDEX('Калькуляция (МИ корр)'!$AJ$25:$BC$747,,MATCH(AG$8,'Калькуляция (МИ корр)'!$AJ$8:$BC$8,0)),'Калькуляция (МИ корр)'!$F$25:$F$747,$F223,'Калькуляция (МИ корр)'!$G$25:$G$747,$G223),IF(method_reg="Метод экономически обоснованных расходов",_xlfn.SUMIFS('Калькуляция (МЭОР)'!$AJ$25:$AJ$452,'Калькуляция (МЭОР)'!$F$25:$F$452,$F223,'Калькуляция (МЭОР)'!$G$25:$G$452,$G223),IF(method_reg="Метод сравнения аналогов",_xlfn.SUMIFS('Калькуляция (МСА)'!$AE$25:$AE$122,'Калькуляция (МСА)'!$F$25:$F$122,$F223,'Калькуляция (МСА)'!$G$25:$G$122,$G223),_xlfn.SUMIFS(INDEX('Калькуляция (МИ)'!$AJ$25:$BC$747,,MATCH(AG$8,'Калькуляция (МИ)'!$AJ$8:$BC$8,0)),'Калькуляция (МИ)'!$F$25:$F$747,$F223,'Калькуляция (МИ)'!$G$25:$G$747,$G223))))</f>
        <v>82.87</v>
      </c>
      <c r="AH223" s="899">
        <f>IF(AND(method_reg="Метод индексации",god&lt;&gt;first_year),_xlfn.SUMIFS(INDEX('Калькуляция (МИ корр)'!$AJ$25:$BC$747,,MATCH(AH$8,'Калькуляция (МИ корр)'!$AJ$8:$BC$8,0)),'Калькуляция (МИ корр)'!$F$25:$F$747,$F223,'Калькуляция (МИ корр)'!$G$25:$G$747,$G223),IF(method_reg="Метод экономически обоснованных расходов",_xlfn.SUMIFS('Калькуляция (МЭОР)'!$AK$25:$AK$452,'Калькуляция (МЭОР)'!$F$25:$F$452,$F223,'Калькуляция (МЭОР)'!$G$25:$G$452,$G223),IF(method_reg="Метод сравнения аналогов",_xlfn.SUMIFS('Калькуляция (МСА)'!$AF$25:$AF$122,'Калькуляция (МСА)'!$F$25:$F$122,$F223,'Калькуляция (МСА)'!$G$25:$G$122,$G223),_xlfn.SUMIFS(INDEX('Калькуляция (МИ)'!$AJ$25:$BC$747,,MATCH(AH$8,'Калькуляция (МИ)'!$AJ$8:$BC$8,0)),'Калькуляция (МИ)'!$F$25:$F$747,$F223,'Калькуляция (МИ)'!$G$25:$G$747,$G223))))</f>
        <v>82.8702325351654</v>
      </c>
      <c r="AI223" s="296">
        <f>IF(AG223=0,0,(AH223-AG223)/AG223*100)</f>
        <v>0.000280602347526391</v>
      </c>
      <c r="AJ223" s="899">
        <f>IF(AND(method_reg="Метод индексации",god&lt;&gt;first_year),_xlfn.SUMIFS(INDEX('Калькуляция (МИ корр)'!$AJ$25:$BC$747,,MATCH(AJ$8,'Калькуляция (МИ корр)'!$AJ$8:$BC$8,0)),'Калькуляция (МИ корр)'!$F$25:$F$747,$F223,'Калькуляция (МИ корр)'!$G$25:$G$747,$G223),IF(method_reg="Метод экономически обоснованных расходов",_xlfn.SUMIFS('Калькуляция (МЭОР)'!$AJ$25:$AJ$452,'Калькуляция (МЭОР)'!$F$25:$F$452,$F223,'Калькуляция (МЭОР)'!$G$25:$G$452,$G223),IF(method_reg="Метод сравнения аналогов",_xlfn.SUMIFS('Калькуляция (МСА)'!$AE$25:$AE$122,'Калькуляция (МСА)'!$F$25:$F$122,$F223,'Калькуляция (МСА)'!$G$25:$G$122,$G223),_xlfn.SUMIFS(INDEX('Калькуляция (МИ)'!$AJ$25:$BC$747,,MATCH(AJ$8,'Калькуляция (МИ)'!$AJ$8:$BC$8,0)),'Калькуляция (МИ)'!$F$25:$F$747,$F223,'Калькуляция (МИ)'!$G$25:$G$747,$G223))))</f>
        <v>90.13</v>
      </c>
      <c r="AK223" s="899">
        <f>IF(AND(method_reg="Метод индексации",god&lt;&gt;first_year),_xlfn.SUMIFS(INDEX('Калькуляция (МИ корр)'!$AJ$25:$BC$747,,MATCH(AK$8,'Калькуляция (МИ корр)'!$AJ$8:$BC$8,0)),'Калькуляция (МИ корр)'!$F$25:$F$747,$F223,'Калькуляция (МИ корр)'!$G$25:$G$747,$G223),IF(method_reg="Метод экономически обоснованных расходов",_xlfn.SUMIFS('Калькуляция (МЭОР)'!$AK$25:$AK$452,'Калькуляция (МЭОР)'!$F$25:$F$452,$F223,'Калькуляция (МЭОР)'!$G$25:$G$452,$G223),IF(method_reg="Метод сравнения аналогов",_xlfn.SUMIFS('Калькуляция (МСА)'!$AF$25:$AF$122,'Калькуляция (МСА)'!$F$25:$F$122,$F223,'Калькуляция (МСА)'!$G$25:$G$122,$G223),_xlfn.SUMIFS(INDEX('Калькуляция (МИ)'!$AJ$25:$BC$747,,MATCH(AK$8,'Калькуляция (МИ)'!$AJ$8:$BC$8,0)),'Калькуляция (МИ)'!$F$25:$F$747,$F223,'Калькуляция (МИ)'!$G$25:$G$747,$G223))))</f>
        <v>90.1298893665147</v>
      </c>
      <c r="AL223" s="296">
        <f>IF(AJ223=0,0,(AK223-AJ223)/AJ223*100)</f>
        <v>-0.000122748790959786</v>
      </c>
      <c r="AM223" s="899">
        <f>IF(AND(method_reg="Метод индексации",god&lt;&gt;first_year),_xlfn.SUMIFS(INDEX('Калькуляция (МИ корр)'!$AJ$25:$BC$747,,MATCH(AM$8,'Калькуляция (МИ корр)'!$AJ$8:$BC$8,0)),'Калькуляция (МИ корр)'!$F$25:$F$747,$F223,'Калькуляция (МИ корр)'!$G$25:$G$747,$G223),IF(method_reg="Метод экономически обоснованных расходов",_xlfn.SUMIFS('Калькуляция (МЭОР)'!$AJ$25:$AJ$452,'Калькуляция (МЭОР)'!$F$25:$F$452,$F223,'Калькуляция (МЭОР)'!$G$25:$G$452,$G223),IF(method_reg="Метод сравнения аналогов",_xlfn.SUMIFS('Калькуляция (МСА)'!$AE$25:$AE$122,'Калькуляция (МСА)'!$F$25:$F$122,$F223,'Калькуляция (МСА)'!$G$25:$G$122,$G223),_xlfn.SUMIFS(INDEX('Калькуляция (МИ)'!$AJ$25:$BC$747,,MATCH(AM$8,'Калькуляция (МИ)'!$AJ$8:$BC$8,0)),'Калькуляция (МИ)'!$F$25:$F$747,$F223,'Калькуляция (МИ)'!$G$25:$G$747,$G223))))</f>
        <v>93.98</v>
      </c>
      <c r="AN223" s="899">
        <f>IF(AND(method_reg="Метод индексации",god&lt;&gt;first_year),_xlfn.SUMIFS(INDEX('Калькуляция (МИ корр)'!$AJ$25:$BC$747,,MATCH(AN$8,'Калькуляция (МИ корр)'!$AJ$8:$BC$8,0)),'Калькуляция (МИ корр)'!$F$25:$F$747,$F223,'Калькуляция (МИ корр)'!$G$25:$G$747,$G223),IF(method_reg="Метод экономически обоснованных расходов",_xlfn.SUMIFS('Калькуляция (МЭОР)'!$AK$25:$AK$452,'Калькуляция (МЭОР)'!$F$25:$F$452,$F223,'Калькуляция (МЭОР)'!$G$25:$G$452,$G223),IF(method_reg="Метод сравнения аналогов",_xlfn.SUMIFS('Калькуляция (МСА)'!$AF$25:$AF$122,'Калькуляция (МСА)'!$F$25:$F$122,$F223,'Калькуляция (МСА)'!$G$25:$G$122,$G223),_xlfn.SUMIFS(INDEX('Калькуляция (МИ)'!$AJ$25:$BC$747,,MATCH(AN$8,'Калькуляция (МИ)'!$AJ$8:$BC$8,0)),'Калькуляция (МИ)'!$F$25:$F$747,$F223,'Калькуляция (МИ)'!$G$25:$G$747,$G223))))</f>
        <v>93.9802337396029</v>
      </c>
      <c r="AO223" s="296">
        <f>IF(AM223=0,0,(AN223-AM223)/AM223*100)</f>
        <v>0.000248712069472906</v>
      </c>
      <c r="AP223" s="899">
        <f>IF(AND(method_reg="Метод индексации",god&lt;&gt;first_year),_xlfn.SUMIFS(INDEX('Калькуляция (МИ корр)'!$AJ$25:$BC$747,,MATCH(AP$8,'Калькуляция (МИ корр)'!$AJ$8:$BC$8,0)),'Калькуляция (МИ корр)'!$F$25:$F$747,$F223,'Калькуляция (МИ корр)'!$G$25:$G$747,$G223),IF(method_reg="Метод экономически обоснованных расходов",_xlfn.SUMIFS('Калькуляция (МЭОР)'!$AJ$25:$AJ$452,'Калькуляция (МЭОР)'!$F$25:$F$452,$F223,'Калькуляция (МЭОР)'!$G$25:$G$452,$G223),IF(method_reg="Метод сравнения аналогов",_xlfn.SUMIFS('Калькуляция (МСА)'!$AE$25:$AE$122,'Калькуляция (МСА)'!$F$25:$F$122,$F223,'Калькуляция (МСА)'!$G$25:$G$122,$G223),_xlfn.SUMIFS(INDEX('Калькуляция (МИ)'!$AJ$25:$BC$747,,MATCH(AP$8,'Калькуляция (МИ)'!$AJ$8:$BC$8,0)),'Калькуляция (МИ)'!$F$25:$F$747,$F223,'Калькуляция (МИ)'!$G$25:$G$747,$G223))))</f>
        <v>95</v>
      </c>
      <c r="AQ223" s="899">
        <f>IF(AND(method_reg="Метод индексации",god&lt;&gt;first_year),_xlfn.SUMIFS(INDEX('Калькуляция (МИ корр)'!$AJ$25:$BC$747,,MATCH(AQ$8,'Калькуляция (МИ корр)'!$AJ$8:$BC$8,0)),'Калькуляция (МИ корр)'!$F$25:$F$747,$F223,'Калькуляция (МИ корр)'!$G$25:$G$747,$G223),IF(method_reg="Метод экономически обоснованных расходов",_xlfn.SUMIFS('Калькуляция (МЭОР)'!$AK$25:$AK$452,'Калькуляция (МЭОР)'!$F$25:$F$452,$F223,'Калькуляция (МЭОР)'!$G$25:$G$452,$G223),IF(method_reg="Метод сравнения аналогов",_xlfn.SUMIFS('Калькуляция (МСА)'!$AF$25:$AF$122,'Калькуляция (МСА)'!$F$25:$F$122,$F223,'Калькуляция (МСА)'!$G$25:$G$122,$G223),_xlfn.SUMIFS(INDEX('Калькуляция (МИ)'!$AJ$25:$BC$747,,MATCH(AQ$8,'Калькуляция (МИ)'!$AJ$8:$BC$8,0)),'Калькуляция (МИ)'!$F$25:$F$747,$F223,'Калькуляция (МИ)'!$G$25:$G$747,$G223))))</f>
        <v>94.9998952052032</v>
      </c>
      <c r="AR223" s="296">
        <f>IF(AP223=0,0,(AQ223-AP223)/AP223*100)</f>
        <v>-0.000110310312418517</v>
      </c>
      <c r="AS223" s="5239">
        <f>IF(AND(method_reg="Метод индексации",god&lt;&gt;first_year),_xlfn.SUMIFS(INDEX('Калькуляция (МИ корр)'!$AJ$25:$BC$747,,MATCH(AS$8,'Калькуляция (МИ корр)'!$AJ$8:$BC$8,0)),'Калькуляция (МИ корр)'!$F$25:$F$747,$F223,'Калькуляция (МИ корр)'!$G$25:$G$747,$G223),IF(method_reg="Метод экономически обоснованных расходов",_xlfn.SUMIFS('Калькуляция (МЭОР)'!$AJ$25:$AJ$452,'Калькуляция (МЭОР)'!$F$25:$F$452,$F223,'Калькуляция (МЭОР)'!$G$25:$G$452,$G223),IF(method_reg="Метод сравнения аналогов",_xlfn.SUMIFS('Калькуляция (МСА)'!$AE$25:$AE$122,'Калькуляция (МСА)'!$F$25:$F$122,$F223,'Калькуляция (МСА)'!$G$25:$G$122,$G223),_xlfn.SUMIFS(INDEX('Калькуляция (МИ)'!$AJ$25:$BC$747,,MATCH(AS$8,'Калькуляция (МИ)'!$AJ$8:$BC$8,0)),'Калькуляция (МИ)'!$F$25:$F$747,$F223,'Калькуляция (МИ)'!$G$25:$G$747,$G223))))</f>
        <v>0</v>
      </c>
      <c r="AT223" s="5239">
        <f>IF(AND(method_reg="Метод индексации",god&lt;&gt;first_year),_xlfn.SUMIFS(INDEX('Калькуляция (МИ корр)'!$AJ$25:$BC$747,,MATCH(AT$8,'Калькуляция (МИ корр)'!$AJ$8:$BC$8,0)),'Калькуляция (МИ корр)'!$F$25:$F$747,$F223,'Калькуляция (МИ корр)'!$G$25:$G$747,$G223),IF(method_reg="Метод экономически обоснованных расходов",_xlfn.SUMIFS('Калькуляция (МЭОР)'!$AK$25:$AK$452,'Калькуляция (МЭОР)'!$F$25:$F$452,$F223,'Калькуляция (МЭОР)'!$G$25:$G$452,$G223),IF(method_reg="Метод сравнения аналогов",_xlfn.SUMIFS('Калькуляция (МСА)'!$AF$25:$AF$122,'Калькуляция (МСА)'!$F$25:$F$122,$F223,'Калькуляция (МСА)'!$G$25:$G$122,$G223),_xlfn.SUMIFS(INDEX('Калькуляция (МИ)'!$AJ$25:$BC$747,,MATCH(AT$8,'Калькуляция (МИ)'!$AJ$8:$BC$8,0)),'Калькуляция (МИ)'!$F$25:$F$747,$F223,'Калькуляция (МИ)'!$G$25:$G$747,$G223))))</f>
        <v>96.4961000506092</v>
      </c>
      <c r="AU223" s="296">
        <f>IF(AS223=0,0,(AT223-AS223)/AS223*100)</f>
        <v>0</v>
      </c>
      <c r="AV223" s="5239">
        <f>IF(AND(method_reg="Метод индексации",god&lt;&gt;first_year),_xlfn.SUMIFS(INDEX('Калькуляция (МИ корр)'!$AJ$25:$BC$747,,MATCH(AV$8,'Калькуляция (МИ корр)'!$AJ$8:$BC$8,0)),'Калькуляция (МИ корр)'!$F$25:$F$747,$F223,'Калькуляция (МИ корр)'!$G$25:$G$747,$G223),IF(method_reg="Метод экономически обоснованных расходов",_xlfn.SUMIFS('Калькуляция (МЭОР)'!$AJ$25:$AJ$452,'Калькуляция (МЭОР)'!$F$25:$F$452,$F223,'Калькуляция (МЭОР)'!$G$25:$G$452,$G223),IF(method_reg="Метод сравнения аналогов",_xlfn.SUMIFS('Калькуляция (МСА)'!$AE$25:$AE$122,'Калькуляция (МСА)'!$F$25:$F$122,$F223,'Калькуляция (МСА)'!$G$25:$G$122,$G223),_xlfn.SUMIFS(INDEX('Калькуляция (МИ)'!$AJ$25:$BC$747,,MATCH(AV$8,'Калькуляция (МИ)'!$AJ$8:$BC$8,0)),'Калькуляция (МИ)'!$F$25:$F$747,$F223,'Калькуляция (МИ)'!$G$25:$G$747,$G223))))</f>
        <v>0</v>
      </c>
      <c r="AW223" s="5239">
        <f>IF(AND(method_reg="Метод индексации",god&lt;&gt;first_year),_xlfn.SUMIFS(INDEX('Калькуляция (МИ корр)'!$AJ$25:$BC$747,,MATCH(AW$8,'Калькуляция (МИ корр)'!$AJ$8:$BC$8,0)),'Калькуляция (МИ корр)'!$F$25:$F$747,$F223,'Калькуляция (МИ корр)'!$G$25:$G$747,$G223),IF(method_reg="Метод экономически обоснованных расходов",_xlfn.SUMIFS('Калькуляция (МЭОР)'!$AK$25:$AK$452,'Калькуляция (МЭОР)'!$F$25:$F$452,$F223,'Калькуляция (МЭОР)'!$G$25:$G$452,$G223),IF(method_reg="Метод сравнения аналогов",_xlfn.SUMIFS('Калькуляция (МСА)'!$AF$25:$AF$122,'Калькуляция (МСА)'!$F$25:$F$122,$F223,'Калькуляция (МСА)'!$G$25:$G$122,$G223),_xlfn.SUMIFS(INDEX('Калькуляция (МИ)'!$AJ$25:$BC$747,,MATCH(AW$8,'Калькуляция (МИ)'!$AJ$8:$BC$8,0)),'Калькуляция (МИ)'!$F$25:$F$747,$F223,'Калькуляция (МИ)'!$G$25:$G$747,$G223))))</f>
        <v>0</v>
      </c>
      <c r="AX223" s="296">
        <f>IF(AV223=0,0,(AW223-AV223)/AV223*100)</f>
        <v>0</v>
      </c>
      <c r="AY223" s="5239">
        <f>IF(AND(method_reg="Метод индексации",god&lt;&gt;first_year),_xlfn.SUMIFS(INDEX('Калькуляция (МИ корр)'!$AJ$25:$BC$747,,MATCH(AY$8,'Калькуляция (МИ корр)'!$AJ$8:$BC$8,0)),'Калькуляция (МИ корр)'!$F$25:$F$747,$F223,'Калькуляция (МИ корр)'!$G$25:$G$747,$G223),IF(method_reg="Метод экономически обоснованных расходов",_xlfn.SUMIFS('Калькуляция (МЭОР)'!$AJ$25:$AJ$452,'Калькуляция (МЭОР)'!$F$25:$F$452,$F223,'Калькуляция (МЭОР)'!$G$25:$G$452,$G223),IF(method_reg="Метод сравнения аналогов",_xlfn.SUMIFS('Калькуляция (МСА)'!$AE$25:$AE$122,'Калькуляция (МСА)'!$F$25:$F$122,$F223,'Калькуляция (МСА)'!$G$25:$G$122,$G223),_xlfn.SUMIFS(INDEX('Калькуляция (МИ)'!$AJ$25:$BC$747,,MATCH(AY$8,'Калькуляция (МИ)'!$AJ$8:$BC$8,0)),'Калькуляция (МИ)'!$F$25:$F$747,$F223,'Калькуляция (МИ)'!$G$25:$G$747,$G223))))</f>
        <v>0</v>
      </c>
      <c r="AZ223" s="5239">
        <f>IF(AND(method_reg="Метод индексации",god&lt;&gt;first_year),_xlfn.SUMIFS(INDEX('Калькуляция (МИ корр)'!$AJ$25:$BC$747,,MATCH(AZ$8,'Калькуляция (МИ корр)'!$AJ$8:$BC$8,0)),'Калькуляция (МИ корр)'!$F$25:$F$747,$F223,'Калькуляция (МИ корр)'!$G$25:$G$747,$G223),IF(method_reg="Метод экономически обоснованных расходов",_xlfn.SUMIFS('Калькуляция (МЭОР)'!$AK$25:$AK$452,'Калькуляция (МЭОР)'!$F$25:$F$452,$F223,'Калькуляция (МЭОР)'!$G$25:$G$452,$G223),IF(method_reg="Метод сравнения аналогов",_xlfn.SUMIFS('Калькуляция (МСА)'!$AF$25:$AF$122,'Калькуляция (МСА)'!$F$25:$F$122,$F223,'Калькуляция (МСА)'!$G$25:$G$122,$G223),_xlfn.SUMIFS(INDEX('Калькуляция (МИ)'!$AJ$25:$BC$747,,MATCH(AZ$8,'Калькуляция (МИ)'!$AJ$8:$BC$8,0)),'Калькуляция (МИ)'!$F$25:$F$747,$F223,'Калькуляция (МИ)'!$G$25:$G$747,$G223))))</f>
        <v>0</v>
      </c>
      <c r="BA223" s="296">
        <f>IF(AY223=0,0,(AZ223-AY223)/AY223*100)</f>
        <v>0</v>
      </c>
      <c r="BB223" s="5239">
        <f>IF(AND(method_reg="Метод индексации",god&lt;&gt;first_year),_xlfn.SUMIFS(INDEX('Калькуляция (МИ корр)'!$AJ$25:$BC$747,,MATCH(BB$8,'Калькуляция (МИ корр)'!$AJ$8:$BC$8,0)),'Калькуляция (МИ корр)'!$F$25:$F$747,$F223,'Калькуляция (МИ корр)'!$G$25:$G$747,$G223),IF(method_reg="Метод экономически обоснованных расходов",_xlfn.SUMIFS('Калькуляция (МЭОР)'!$AJ$25:$AJ$452,'Калькуляция (МЭОР)'!$F$25:$F$452,$F223,'Калькуляция (МЭОР)'!$G$25:$G$452,$G223),IF(method_reg="Метод сравнения аналогов",_xlfn.SUMIFS('Калькуляция (МСА)'!$AE$25:$AE$122,'Калькуляция (МСА)'!$F$25:$F$122,$F223,'Калькуляция (МСА)'!$G$25:$G$122,$G223),_xlfn.SUMIFS(INDEX('Калькуляция (МИ)'!$AJ$25:$BC$747,,MATCH(BB$8,'Калькуляция (МИ)'!$AJ$8:$BC$8,0)),'Калькуляция (МИ)'!$F$25:$F$747,$F223,'Калькуляция (МИ)'!$G$25:$G$747,$G223))))</f>
        <v>0</v>
      </c>
      <c r="BC223" s="5239">
        <f>IF(AND(method_reg="Метод индексации",god&lt;&gt;first_year),_xlfn.SUMIFS(INDEX('Калькуляция (МИ корр)'!$AJ$25:$BC$747,,MATCH(BC$8,'Калькуляция (МИ корр)'!$AJ$8:$BC$8,0)),'Калькуляция (МИ корр)'!$F$25:$F$747,$F223,'Калькуляция (МИ корр)'!$G$25:$G$747,$G223),IF(method_reg="Метод экономически обоснованных расходов",_xlfn.SUMIFS('Калькуляция (МЭОР)'!$AK$25:$AK$452,'Калькуляция (МЭОР)'!$F$25:$F$452,$F223,'Калькуляция (МЭОР)'!$G$25:$G$452,$G223),IF(method_reg="Метод сравнения аналогов",_xlfn.SUMIFS('Калькуляция (МСА)'!$AF$25:$AF$122,'Калькуляция (МСА)'!$F$25:$F$122,$F223,'Калькуляция (МСА)'!$G$25:$G$122,$G223),_xlfn.SUMIFS(INDEX('Калькуляция (МИ)'!$AJ$25:$BC$747,,MATCH(BC$8,'Калькуляция (МИ)'!$AJ$8:$BC$8,0)),'Калькуляция (МИ)'!$F$25:$F$747,$F223,'Калькуляция (МИ)'!$G$25:$G$747,$G223))))</f>
        <v>0</v>
      </c>
      <c r="BD223" s="296">
        <f>IF(BB223=0,0,(BC223-BB223)/BB223*100)</f>
        <v>0</v>
      </c>
      <c r="BE223" s="5239">
        <f>IF(AND(method_reg="Метод индексации",god&lt;&gt;first_year),_xlfn.SUMIFS(INDEX('Калькуляция (МИ корр)'!$AJ$25:$BC$747,,MATCH(BE$8,'Калькуляция (МИ корр)'!$AJ$8:$BC$8,0)),'Калькуляция (МИ корр)'!$F$25:$F$747,$F223,'Калькуляция (МИ корр)'!$G$25:$G$747,$G223),IF(method_reg="Метод экономически обоснованных расходов",_xlfn.SUMIFS('Калькуляция (МЭОР)'!$AJ$25:$AJ$452,'Калькуляция (МЭОР)'!$F$25:$F$452,$F223,'Калькуляция (МЭОР)'!$G$25:$G$452,$G223),IF(method_reg="Метод сравнения аналогов",_xlfn.SUMIFS('Калькуляция (МСА)'!$AE$25:$AE$122,'Калькуляция (МСА)'!$F$25:$F$122,$F223,'Калькуляция (МСА)'!$G$25:$G$122,$G223),_xlfn.SUMIFS(INDEX('Калькуляция (МИ)'!$AJ$25:$BC$747,,MATCH(BE$8,'Калькуляция (МИ)'!$AJ$8:$BC$8,0)),'Калькуляция (МИ)'!$F$25:$F$747,$F223,'Калькуляция (МИ)'!$G$25:$G$747,$G223))))</f>
        <v>0</v>
      </c>
      <c r="BF223" s="5239">
        <f>IF(AND(method_reg="Метод индексации",god&lt;&gt;first_year),_xlfn.SUMIFS(INDEX('Калькуляция (МИ корр)'!$AJ$25:$BC$747,,MATCH(BF$8,'Калькуляция (МИ корр)'!$AJ$8:$BC$8,0)),'Калькуляция (МИ корр)'!$F$25:$F$747,$F223,'Калькуляция (МИ корр)'!$G$25:$G$747,$G223),IF(method_reg="Метод экономически обоснованных расходов",_xlfn.SUMIFS('Калькуляция (МЭОР)'!$AK$25:$AK$452,'Калькуляция (МЭОР)'!$F$25:$F$452,$F223,'Калькуляция (МЭОР)'!$G$25:$G$452,$G223),IF(method_reg="Метод сравнения аналогов",_xlfn.SUMIFS('Калькуляция (МСА)'!$AF$25:$AF$122,'Калькуляция (МСА)'!$F$25:$F$122,$F223,'Калькуляция (МСА)'!$G$25:$G$122,$G223),_xlfn.SUMIFS(INDEX('Калькуляция (МИ)'!$AJ$25:$BC$747,,MATCH(BF$8,'Калькуляция (МИ)'!$AJ$8:$BC$8,0)),'Калькуляция (МИ)'!$F$25:$F$747,$F223,'Калькуляция (МИ)'!$G$25:$G$747,$G223))))</f>
        <v>0</v>
      </c>
      <c r="BG223" s="296">
        <f>IF(BE223=0,0,(BF223-BE223)/BE223*100)</f>
        <v>0</v>
      </c>
      <c r="BH223" s="5239"/>
      <c r="BI223" s="5239"/>
      <c r="BJ223" s="296">
        <f>IF(BH223=0,0,(BI223-BH223)/BH223*100)</f>
        <v>0</v>
      </c>
      <c r="BK223" s="5239"/>
      <c r="BL223" s="5239"/>
      <c r="BM223" s="296">
        <f>IF(BK223=0,0,(BL223-BK223)/BK223*100)</f>
        <v>0</v>
      </c>
      <c r="BN223" s="5239"/>
      <c r="BO223" s="5239"/>
      <c r="BP223" s="296">
        <f>IF(BN223=0,0,(BO223-BN223)/BN223*100)</f>
        <v>0</v>
      </c>
      <c r="BQ223" s="5239"/>
      <c r="BR223" s="5239"/>
      <c r="BS223" s="296">
        <f>IF(BQ223=0,0,(BR223-BQ223)/BQ223*100)</f>
        <v>0</v>
      </c>
      <c r="BT223" s="5239"/>
      <c r="BU223" s="5239"/>
      <c r="BV223" s="296">
        <f>IF(BT223=0,0,(BU223-BT223)/BT223*100)</f>
        <v>0</v>
      </c>
      <c r="BW223" s="5239"/>
      <c r="BX223" s="5239"/>
      <c r="BY223" s="296">
        <f>IF(BW223=0,0,(BX223-BW223)/BW223*100)</f>
        <v>0</v>
      </c>
      <c r="BZ223" s="5239"/>
      <c r="CA223" s="5239"/>
      <c r="CB223" s="296">
        <f>IF(BZ223=0,0,(CA223-BZ223)/BZ223*100)</f>
        <v>0</v>
      </c>
      <c r="CC223" s="5239"/>
      <c r="CD223" s="5239"/>
      <c r="CE223" s="296">
        <f>IF(CC223=0,0,(CD223-CC223)/CC223*100)</f>
        <v>0</v>
      </c>
      <c r="CF223" s="5239"/>
      <c r="CG223" s="5239"/>
      <c r="CH223" s="296">
        <f>IF(CF223=0,0,(CG223-CF223)/CF223*100)</f>
        <v>0</v>
      </c>
      <c r="CI223" s="5239"/>
      <c r="CJ223" s="5239"/>
      <c r="CK223" s="296">
        <f>IF(CI223=0,0,(CJ223-CI223)/CI223*100)</f>
        <v>0</v>
      </c>
      <c r="CL223" s="5239"/>
      <c r="CM223" s="5239"/>
      <c r="CN223" s="296">
        <f>IF(CL223=0,0,(CM223-CL223)/CL223*100)</f>
        <v>0</v>
      </c>
      <c r="CO223" s="5239"/>
      <c r="CP223" s="5239"/>
      <c r="CQ223" s="296">
        <f>IF(CO223=0,0,(CP223-CO223)/CO223*100)</f>
        <v>0</v>
      </c>
      <c r="CR223" s="5239"/>
      <c r="CS223" s="5239"/>
      <c r="CT223" s="296">
        <f>IF(CR223=0,0,(CS223-CR223)/CR223*100)</f>
        <v>0</v>
      </c>
      <c r="CU223" s="5239"/>
      <c r="CV223" s="5239"/>
      <c r="CW223" s="296">
        <f>IF(CU223=0,0,(CV223-CU223)/CU223*100)</f>
        <v>0</v>
      </c>
      <c r="CX223" s="5239"/>
      <c r="CY223" s="5239"/>
      <c r="CZ223" s="296">
        <f>IF(CX223=0,0,(CY223-CX223)/CX223*100)</f>
        <v>0</v>
      </c>
      <c r="DA223" s="5239"/>
      <c r="DB223" s="5239"/>
      <c r="DC223" s="296">
        <f>IF(DA223=0,0,(DB223-DA223)/DA223*100)</f>
        <v>0</v>
      </c>
      <c r="DD223" s="5239"/>
      <c r="DE223" s="5239"/>
      <c r="DF223" s="296">
        <f>IF(DD223=0,0,(DE223-DD223)/DD223*100)</f>
        <v>0</v>
      </c>
      <c r="DG223" s="5241"/>
      <c r="DH223" s="5241"/>
      <c r="DI223" s="296">
        <f>IF(DG223=0,0,(DH223-DG223)/DG223*100)</f>
        <v>0</v>
      </c>
      <c r="DJ223" s="5241"/>
      <c r="DK223" s="5241"/>
      <c r="DL223" s="296">
        <f>IF(DJ223=0,0,(DK223-DJ223)/DJ223*100)</f>
        <v>0</v>
      </c>
      <c r="DM223" s="5241"/>
      <c r="DN223" s="5241"/>
      <c r="DO223" s="296">
        <f>IF(DM223=0,0,(DN223-DM223)/DM223*100)</f>
        <v>0</v>
      </c>
      <c r="DP223" s="5241"/>
      <c r="DQ223" s="5241"/>
      <c r="DR223" s="296">
        <f>IF(DP223=0,0,(DQ223-DP223)/DP223*100)</f>
        <v>0</v>
      </c>
      <c r="DS223" s="5241"/>
      <c r="DT223" s="5241"/>
      <c r="DU223" s="296">
        <f>IF(DS223=0,0,(DT223-DS223)/DS223*100)</f>
        <v>0</v>
      </c>
      <c r="DV223" s="5241"/>
      <c r="DW223" s="5241"/>
      <c r="DX223" s="296">
        <f>IF(DV223=0,0,(DW223-DV223)/DV223*100)</f>
        <v>0</v>
      </c>
      <c r="DY223" s="5241"/>
      <c r="DZ223" s="5241"/>
      <c r="EA223" s="296">
        <f>IF(DY223=0,0,(DZ223-DY223)/DY223*100)</f>
        <v>0</v>
      </c>
      <c r="EB223" s="5241"/>
      <c r="EC223" s="5241"/>
      <c r="ED223" s="296">
        <f>IF(EB223=0,0,(EC223-EB223)/EB223*100)</f>
        <v>0</v>
      </c>
      <c r="EE223" s="5241"/>
      <c r="EF223" s="5241"/>
      <c r="EG223" s="296">
        <f>IF(EE223=0,0,(EF223-EE223)/EE223*100)</f>
        <v>0</v>
      </c>
      <c r="EH223" s="5241"/>
      <c r="EI223" s="5241"/>
      <c r="EJ223" s="296">
        <f>IF(EH223=0,0,(EI223-EH223)/EH223*100)</f>
        <v>0</v>
      </c>
      <c r="EK223" s="5241"/>
      <c r="EL223" s="5241"/>
      <c r="EM223" s="296">
        <f>IF(EK223=0,0,(EL223-EK223)/EK223*100)</f>
        <v>0</v>
      </c>
      <c r="EN223" s="5241"/>
      <c r="EO223" s="5241"/>
      <c r="EP223" s="296">
        <f>IF(EN223=0,0,(EO223-EN223)/EN223*100)</f>
        <v>0</v>
      </c>
      <c r="EQ223" s="5241"/>
      <c r="ER223" s="5241"/>
      <c r="ES223" s="296">
        <f>IF(EQ223=0,0,(ER223-EQ223)/EQ223*100)</f>
        <v>0</v>
      </c>
      <c r="ET223" s="5241"/>
      <c r="EU223" s="5241"/>
      <c r="EV223" s="296">
        <f>IF(ET223=0,0,(EU223-ET223)/ET223*100)</f>
        <v>0</v>
      </c>
      <c r="EW223" s="5241"/>
      <c r="EX223" s="5241"/>
      <c r="EY223" s="296">
        <f>IF(EW223=0,0,(EX223-EW223)/EW223*100)</f>
        <v>0</v>
      </c>
      <c r="EZ223" s="5241"/>
      <c r="FA223" s="5241"/>
      <c r="FB223" s="296">
        <f>IF(EZ223=0,0,(FA223-EZ223)/EZ223*100)</f>
        <v>0</v>
      </c>
      <c r="FC223" s="5241"/>
      <c r="FD223" s="5241"/>
      <c r="FE223" s="296">
        <f>IF(FC223=0,0,(FD223-FC223)/FC223*100)</f>
        <v>0</v>
      </c>
      <c r="FF223" s="5241"/>
      <c r="FG223" s="5241"/>
      <c r="FH223" s="296">
        <f>IF(FF223=0,0,(FG223-FF223)/FF223*100)</f>
        <v>0</v>
      </c>
      <c r="FI223" s="5241"/>
      <c r="FJ223" s="5241"/>
      <c r="FK223" s="296">
        <f>IF(FI223=0,0,(FJ223-FI223)/FI223*100)</f>
        <v>0</v>
      </c>
      <c r="FL223" s="5241"/>
      <c r="FM223" s="5241"/>
      <c r="FN223" s="296">
        <f>IF(FL223=0,0,(FM223-FL223)/FL223*100)</f>
        <v>0</v>
      </c>
      <c r="FO223" s="5241"/>
      <c r="FP223" s="5241"/>
      <c r="FQ223" s="296">
        <f>IF(FO223=0,0,(FP223-FO223)/FO223*100)</f>
        <v>0</v>
      </c>
      <c r="FR223" s="5241"/>
      <c r="FS223" s="5241"/>
      <c r="FT223" s="296">
        <f>IF(FR223=0,0,(FS223-FR223)/FR223*100)</f>
        <v>0</v>
      </c>
      <c r="FU223" s="5241"/>
      <c r="FV223" s="5241"/>
      <c r="FW223" s="296">
        <f>IF(FU223=0,0,(FV223-FU223)/FU223*100)</f>
        <v>0</v>
      </c>
      <c r="FX223" s="292"/>
      <c r="FY223" s="292"/>
      <c r="FZ223" s="1055" t="s">
        <v>2338</v>
      </c>
      <c r="GA223" s="1055"/>
      <c r="GB223" s="1055"/>
      <c r="GC223" s="1056"/>
      <c r="GD223" s="1056"/>
    </row>
    <row s="6206" customFormat="1" customHeight="1" ht="23.25">
      <c r="A224" s="897"/>
      <c r="B224" s="925" cm="1" t="str">
        <f t="array" ref="B224:B224">B223</f>
        <v>true</v>
      </c>
      <c r="C224" s="897"/>
      <c r="D224" s="897"/>
      <c r="E224" s="898">
        <v>24.5</v>
      </c>
      <c r="F224" s="50" cm="1" t="str">
        <f t="array" ref="F224:F224">OFFSET(E224,-1,1)</f>
        <v>3</v>
      </c>
      <c r="G224" s="493" t="s">
        <v>2339</v>
      </c>
      <c r="H224" s="493" t="s">
        <v>1175</v>
      </c>
      <c r="I224" s="493" t="s">
        <v>2340</v>
      </c>
      <c r="J224" s="897"/>
      <c r="K224" s="897"/>
      <c r="L224" s="493"/>
      <c r="M224" s="897"/>
      <c r="N224" s="897"/>
      <c r="O224" s="897"/>
      <c r="P224" s="897"/>
      <c r="Q224" s="897"/>
      <c r="R224" s="897"/>
      <c r="S224" s="493"/>
      <c r="T224" s="465" cm="1" t="str">
        <f t="array" ref="T224:T224">T223</f>
        <v>true</v>
      </c>
      <c r="U224" s="897"/>
      <c r="V224" s="897"/>
      <c r="W224" s="897"/>
      <c r="X224" s="1596"/>
      <c r="Y224" s="897"/>
      <c r="Z224" s="1545"/>
      <c r="AA224" s="897"/>
      <c r="AB224" s="293" t="s">
        <v>2341</v>
      </c>
      <c r="AC224" s="294" t="s">
        <v>2337</v>
      </c>
      <c r="AD224" s="899">
        <f>IF(AND(method_reg="Метод индексации",god&lt;&gt;first_year),_xlfn.SUMIFS(INDEX('Калькуляция (МИ корр)'!$AJ$25:$BC$747,,MATCH(AD$8,'Калькуляция (МИ корр)'!$AJ$8:$BC$8,0)),'Калькуляция (МИ корр)'!$F$25:$F$747,$F224,'Калькуляция (МИ корр)'!$G$25:$G$747,$G224),IF(method_reg="Метод экономически обоснованных расходов",_xlfn.SUMIFS('Калькуляция (МЭОР)'!$AJ$25:$AJ$452,'Калькуляция (МЭОР)'!$F$25:$F$452,$F224,'Калькуляция (МЭОР)'!$G$25:$G$452,$G224),IF(method_reg="Метод сравнения аналогов",_xlfn.SUMIFS('Калькуляция (МСА)'!$AE$25:$AE$122,'Калькуляция (МСА)'!$F$25:$F$122,$F224,'Калькуляция (МСА)'!$G$25:$G$122,$G224),_xlfn.SUMIFS(INDEX('Калькуляция (МИ)'!$AJ$25:$BC$747,,MATCH(AD$8,'Калькуляция (МИ)'!$AJ$8:$BC$8,0)),'Калькуляция (МИ)'!$F$25:$F$747,$F224,'Калькуляция (МИ)'!$G$25:$G$747,$G224))))</f>
        <v>82.8700004439396</v>
      </c>
      <c r="AE224" s="899">
        <f>IF(AND(method_reg="Метод индексации",god&lt;&gt;first_year),_xlfn.SUMIFS(INDEX('Калькуляция (МИ корр)'!$AJ$25:$BC$747,,MATCH(AE$8,'Калькуляция (МИ корр)'!$AJ$8:$BC$8,0)),'Калькуляция (МИ корр)'!$F$25:$F$747,$F224,'Калькуляция (МИ корр)'!$G$25:$G$747,$G224),IF(method_reg="Метод экономически обоснованных расходов",_xlfn.SUMIFS('Калькуляция (МЭОР)'!$AK$25:$AK$452,'Калькуляция (МЭОР)'!$F$25:$F$452,$F224,'Калькуляция (МЭОР)'!$G$25:$G$452,$G224),IF(method_reg="Метод сравнения аналогов",_xlfn.SUMIFS('Калькуляция (МСА)'!$AF$25:$AF$122,'Калькуляция (МСА)'!$F$25:$F$122,$F224,'Калькуляция (МСА)'!$G$25:$G$122,$G224),_xlfn.SUMIFS(INDEX('Калькуляция (МИ)'!$AJ$25:$BC$747,,MATCH(AE$8,'Калькуляция (МИ)'!$AJ$8:$BC$8,0)),'Калькуляция (МИ)'!$F$25:$F$747,$F224,'Калькуляция (МИ)'!$G$25:$G$747,$G224))))</f>
        <v>82.8702325351654</v>
      </c>
      <c r="AF224" s="296">
        <f>IF(AD224=0,0,(AE224-AD224)/AD224*100)</f>
        <v>0.000280066639982891</v>
      </c>
      <c r="AG224" s="899">
        <f>IF(AND(method_reg="Метод индексации",god&lt;&gt;first_year),_xlfn.SUMIFS(INDEX('Калькуляция (МИ корр)'!$AJ$25:$BC$747,,MATCH(AG$8,'Калькуляция (МИ корр)'!$AJ$8:$BC$8,0)),'Калькуляция (МИ корр)'!$F$25:$F$747,$F224,'Калькуляция (МИ корр)'!$G$25:$G$747,$G224),IF(method_reg="Метод экономически обоснованных расходов",_xlfn.SUMIFS('Калькуляция (МЭОР)'!$AJ$25:$AJ$452,'Калькуляция (МЭОР)'!$F$25:$F$452,$F224,'Калькуляция (МЭОР)'!$G$25:$G$452,$G224),IF(method_reg="Метод сравнения аналогов",_xlfn.SUMIFS('Калькуляция (МСА)'!$AE$25:$AE$122,'Калькуляция (МСА)'!$F$25:$F$122,$F224,'Калькуляция (МСА)'!$G$25:$G$122,$G224),_xlfn.SUMIFS(INDEX('Калькуляция (МИ)'!$AJ$25:$BC$747,,MATCH(AG$8,'Калькуляция (МИ)'!$AJ$8:$BC$8,0)),'Калькуляция (МИ)'!$F$25:$F$747,$F224,'Калькуляция (МИ)'!$G$25:$G$747,$G224))))</f>
        <v>90.1301145057005</v>
      </c>
      <c r="AH224" s="899">
        <f>IF(AND(method_reg="Метод индексации",god&lt;&gt;first_year),_xlfn.SUMIFS(INDEX('Калькуляция (МИ корр)'!$AJ$25:$BC$747,,MATCH(AH$8,'Калькуляция (МИ корр)'!$AJ$8:$BC$8,0)),'Калькуляция (МИ корр)'!$F$25:$F$747,$F224,'Калькуляция (МИ корр)'!$G$25:$G$747,$G224),IF(method_reg="Метод экономически обоснованных расходов",_xlfn.SUMIFS('Калькуляция (МЭОР)'!$AK$25:$AK$452,'Калькуляция (МЭОР)'!$F$25:$F$452,$F224,'Калькуляция (МЭОР)'!$G$25:$G$452,$G224),IF(method_reg="Метод сравнения аналогов",_xlfn.SUMIFS('Калькуляция (МСА)'!$AF$25:$AF$122,'Калькуляция (МСА)'!$F$25:$F$122,$F224,'Калькуляция (МСА)'!$G$25:$G$122,$G224),_xlfn.SUMIFS(INDEX('Калькуляция (МИ)'!$AJ$25:$BC$747,,MATCH(AH$8,'Калькуляция (МИ)'!$AJ$8:$BC$8,0)),'Калькуляция (МИ)'!$F$25:$F$747,$F224,'Калькуляция (МИ)'!$G$25:$G$747,$G224))))</f>
        <v>90.1298893665147</v>
      </c>
      <c r="AI224" s="296">
        <f>IF(AG224=0,0,(AH224-AG224)/AG224*100)</f>
        <v>-0.000249793520218802</v>
      </c>
      <c r="AJ224" s="899">
        <f>IF(AND(method_reg="Метод индексации",god&lt;&gt;first_year),_xlfn.SUMIFS(INDEX('Калькуляция (МИ корр)'!$AJ$25:$BC$747,,MATCH(AJ$8,'Калькуляция (МИ корр)'!$AJ$8:$BC$8,0)),'Калькуляция (МИ корр)'!$F$25:$F$747,$F224,'Калькуляция (МИ корр)'!$G$25:$G$747,$G224),IF(method_reg="Метод экономически обоснованных расходов",_xlfn.SUMIFS('Калькуляция (МЭОР)'!$AJ$25:$AJ$452,'Калькуляция (МЭОР)'!$F$25:$F$452,$F224,'Калькуляция (МЭОР)'!$G$25:$G$452,$G224),IF(method_reg="Метод сравнения аналогов",_xlfn.SUMIFS('Калькуляция (МСА)'!$AE$25:$AE$122,'Калькуляция (МСА)'!$F$25:$F$122,$F224,'Калькуляция (МСА)'!$G$25:$G$122,$G224),_xlfn.SUMIFS(INDEX('Калькуляция (МИ)'!$AJ$25:$BC$747,,MATCH(AJ$8,'Калькуляция (МИ)'!$AJ$8:$BC$8,0)),'Калькуляция (МИ)'!$F$25:$F$747,$F224,'Калькуляция (МИ)'!$G$25:$G$747,$G224))))</f>
        <v>93.9801166816547</v>
      </c>
      <c r="AK224" s="899">
        <f>IF(AND(method_reg="Метод индексации",god&lt;&gt;first_year),_xlfn.SUMIFS(INDEX('Калькуляция (МИ корр)'!$AJ$25:$BC$747,,MATCH(AK$8,'Калькуляция (МИ корр)'!$AJ$8:$BC$8,0)),'Калькуляция (МИ корр)'!$F$25:$F$747,$F224,'Калькуляция (МИ корр)'!$G$25:$G$747,$G224),IF(method_reg="Метод экономически обоснованных расходов",_xlfn.SUMIFS('Калькуляция (МЭОР)'!$AK$25:$AK$452,'Калькуляция (МЭОР)'!$F$25:$F$452,$F224,'Калькуляция (МЭОР)'!$G$25:$G$452,$G224),IF(method_reg="Метод сравнения аналогов",_xlfn.SUMIFS('Калькуляция (МСА)'!$AF$25:$AF$122,'Калькуляция (МСА)'!$F$25:$F$122,$F224,'Калькуляция (МСА)'!$G$25:$G$122,$G224),_xlfn.SUMIFS(INDEX('Калькуляция (МИ)'!$AJ$25:$BC$747,,MATCH(AK$8,'Калькуляция (МИ)'!$AJ$8:$BC$8,0)),'Калькуляция (МИ)'!$F$25:$F$747,$F224,'Калькуляция (МИ)'!$G$25:$G$747,$G224))))</f>
        <v>93.9802337396029</v>
      </c>
      <c r="AL224" s="296">
        <f>IF(AJ224=0,0,(AK224-AJ224)/AJ224*100)</f>
        <v>0.000124556078797462</v>
      </c>
      <c r="AM224" s="899">
        <f>IF(AND(method_reg="Метод индексации",god&lt;&gt;first_year),_xlfn.SUMIFS(INDEX('Калькуляция (МИ корр)'!$AJ$25:$BC$747,,MATCH(AM$8,'Калькуляция (МИ корр)'!$AJ$8:$BC$8,0)),'Калькуляция (МИ корр)'!$F$25:$F$747,$F224,'Калькуляция (МИ корр)'!$G$25:$G$747,$G224),IF(method_reg="Метод экономически обоснованных расходов",_xlfn.SUMIFS('Калькуляция (МЭОР)'!$AJ$25:$AJ$452,'Калькуляция (МЭОР)'!$F$25:$F$452,$F224,'Калькуляция (МЭОР)'!$G$25:$G$452,$G224),IF(method_reg="Метод сравнения аналогов",_xlfn.SUMIFS('Калькуляция (МСА)'!$AE$25:$AE$122,'Калькуляция (МСА)'!$F$25:$F$122,$F224,'Калькуляция (МСА)'!$G$25:$G$122,$G224),_xlfn.SUMIFS(INDEX('Калькуляция (МИ)'!$AJ$25:$BC$747,,MATCH(AM$8,'Калькуляция (МИ)'!$AJ$8:$BC$8,0)),'Калькуляция (МИ)'!$F$25:$F$747,$F224,'Калькуляция (МИ)'!$G$25:$G$747,$G224))))</f>
        <v>95.0001273145362</v>
      </c>
      <c r="AN224" s="899">
        <f>IF(AND(method_reg="Метод индексации",god&lt;&gt;first_year),_xlfn.SUMIFS(INDEX('Калькуляция (МИ корр)'!$AJ$25:$BC$747,,MATCH(AN$8,'Калькуляция (МИ корр)'!$AJ$8:$BC$8,0)),'Калькуляция (МИ корр)'!$F$25:$F$747,$F224,'Калькуляция (МИ корр)'!$G$25:$G$747,$G224),IF(method_reg="Метод экономически обоснованных расходов",_xlfn.SUMIFS('Калькуляция (МЭОР)'!$AK$25:$AK$452,'Калькуляция (МЭОР)'!$F$25:$F$452,$F224,'Калькуляция (МЭОР)'!$G$25:$G$452,$G224),IF(method_reg="Метод сравнения аналогов",_xlfn.SUMIFS('Калькуляция (МСА)'!$AF$25:$AF$122,'Калькуляция (МСА)'!$F$25:$F$122,$F224,'Калькуляция (МСА)'!$G$25:$G$122,$G224),_xlfn.SUMIFS(INDEX('Калькуляция (МИ)'!$AJ$25:$BC$747,,MATCH(AN$8,'Калькуляция (МИ)'!$AJ$8:$BC$8,0)),'Калькуляция (МИ)'!$F$25:$F$747,$F224,'Калькуляция (МИ)'!$G$25:$G$747,$G224))))</f>
        <v>94.9998952052032</v>
      </c>
      <c r="AO224" s="296">
        <f>IF(AM224=0,0,(AN224-AM224)/AM224*100)</f>
        <v>-0.000244325286249069</v>
      </c>
      <c r="AP224" s="899">
        <f>IF(AND(method_reg="Метод индексации",god&lt;&gt;first_year),_xlfn.SUMIFS(INDEX('Калькуляция (МИ корр)'!$AJ$25:$BC$747,,MATCH(AP$8,'Калькуляция (МИ корр)'!$AJ$8:$BC$8,0)),'Калькуляция (МИ корр)'!$F$25:$F$747,$F224,'Калькуляция (МИ корр)'!$G$25:$G$747,$G224),IF(method_reg="Метод экономически обоснованных расходов",_xlfn.SUMIFS('Калькуляция (МЭОР)'!$AJ$25:$AJ$452,'Калькуляция (МЭОР)'!$F$25:$F$452,$F224,'Калькуляция (МЭОР)'!$G$25:$G$452,$G224),IF(method_reg="Метод сравнения аналогов",_xlfn.SUMIFS('Калькуляция (МСА)'!$AE$25:$AE$122,'Калькуляция (МСА)'!$F$25:$F$122,$F224,'Калькуляция (МСА)'!$G$25:$G$122,$G224),_xlfn.SUMIFS(INDEX('Калькуляция (МИ)'!$AJ$25:$BC$747,,MATCH(AP$8,'Калькуляция (МИ)'!$AJ$8:$BC$8,0)),'Калькуляция (МИ)'!$F$25:$F$747,$F224,'Калькуляция (МИ)'!$G$25:$G$747,$G224))))</f>
        <v>96.4959881871834</v>
      </c>
      <c r="AQ224" s="899">
        <f>IF(AND(method_reg="Метод индексации",god&lt;&gt;first_year),_xlfn.SUMIFS(INDEX('Калькуляция (МИ корр)'!$AJ$25:$BC$747,,MATCH(AQ$8,'Калькуляция (МИ корр)'!$AJ$8:$BC$8,0)),'Калькуляция (МИ корр)'!$F$25:$F$747,$F224,'Калькуляция (МИ корр)'!$G$25:$G$747,$G224),IF(method_reg="Метод экономически обоснованных расходов",_xlfn.SUMIFS('Калькуляция (МЭОР)'!$AK$25:$AK$452,'Калькуляция (МЭОР)'!$F$25:$F$452,$F224,'Калькуляция (МЭОР)'!$G$25:$G$452,$G224),IF(method_reg="Метод сравнения аналогов",_xlfn.SUMIFS('Калькуляция (МСА)'!$AF$25:$AF$122,'Калькуляция (МСА)'!$F$25:$F$122,$F224,'Калькуляция (МСА)'!$G$25:$G$122,$G224),_xlfn.SUMIFS(INDEX('Калькуляция (МИ)'!$AJ$25:$BC$747,,MATCH(AQ$8,'Калькуляция (МИ)'!$AJ$8:$BC$8,0)),'Калькуляция (МИ)'!$F$25:$F$747,$F224,'Калькуляция (МИ)'!$G$25:$G$747,$G224))))</f>
        <v>96.4961000506092</v>
      </c>
      <c r="AR224" s="296">
        <f>IF(AP224=0,0,(AQ224-AP224)/AP224*100)</f>
        <v>0.000115925467889518</v>
      </c>
      <c r="AS224" s="5239">
        <f>IF(AND(method_reg="Метод индексации",god&lt;&gt;first_year),_xlfn.SUMIFS(INDEX('Калькуляция (МИ корр)'!$AJ$25:$BC$747,,MATCH(AS$8,'Калькуляция (МИ корр)'!$AJ$8:$BC$8,0)),'Калькуляция (МИ корр)'!$F$25:$F$747,$F224,'Калькуляция (МИ корр)'!$G$25:$G$747,$G224),IF(method_reg="Метод экономически обоснованных расходов",_xlfn.SUMIFS('Калькуляция (МЭОР)'!$AJ$25:$AJ$452,'Калькуляция (МЭОР)'!$F$25:$F$452,$F224,'Калькуляция (МЭОР)'!$G$25:$G$452,$G224),IF(method_reg="Метод сравнения аналогов",_xlfn.SUMIFS('Калькуляция (МСА)'!$AE$25:$AE$122,'Калькуляция (МСА)'!$F$25:$F$122,$F224,'Калькуляция (МСА)'!$G$25:$G$122,$G224),_xlfn.SUMIFS(INDEX('Калькуляция (МИ)'!$AJ$25:$BC$747,,MATCH(AS$8,'Калькуляция (МИ)'!$AJ$8:$BC$8,0)),'Калькуляция (МИ)'!$F$25:$F$747,$F224,'Калькуляция (МИ)'!$G$25:$G$747,$G224))))</f>
        <v>0</v>
      </c>
      <c r="AT224" s="5239">
        <f>IF(AND(method_reg="Метод индексации",god&lt;&gt;first_year),_xlfn.SUMIFS(INDEX('Калькуляция (МИ корр)'!$AJ$25:$BC$747,,MATCH(AT$8,'Калькуляция (МИ корр)'!$AJ$8:$BC$8,0)),'Калькуляция (МИ корр)'!$F$25:$F$747,$F224,'Калькуляция (МИ корр)'!$G$25:$G$747,$G224),IF(method_reg="Метод экономически обоснованных расходов",_xlfn.SUMIFS('Калькуляция (МЭОР)'!$AK$25:$AK$452,'Калькуляция (МЭОР)'!$F$25:$F$452,$F224,'Калькуляция (МЭОР)'!$G$25:$G$452,$G224),IF(method_reg="Метод сравнения аналогов",_xlfn.SUMIFS('Калькуляция (МСА)'!$AF$25:$AF$122,'Калькуляция (МСА)'!$F$25:$F$122,$F224,'Калькуляция (МСА)'!$G$25:$G$122,$G224),_xlfn.SUMIFS(INDEX('Калькуляция (МИ)'!$AJ$25:$BC$747,,MATCH(AT$8,'Калькуляция (МИ)'!$AJ$8:$BC$8,0)),'Калькуляция (МИ)'!$F$25:$F$747,$F224,'Калькуляция (МИ)'!$G$25:$G$747,$G224))))</f>
        <v>0</v>
      </c>
      <c r="AU224" s="296">
        <f>IF(AS224=0,0,(AT224-AS224)/AS224*100)</f>
        <v>0</v>
      </c>
      <c r="AV224" s="5239">
        <f>IF(AND(method_reg="Метод индексации",god&lt;&gt;first_year),_xlfn.SUMIFS(INDEX('Калькуляция (МИ корр)'!$AJ$25:$BC$747,,MATCH(AV$8,'Калькуляция (МИ корр)'!$AJ$8:$BC$8,0)),'Калькуляция (МИ корр)'!$F$25:$F$747,$F224,'Калькуляция (МИ корр)'!$G$25:$G$747,$G224),IF(method_reg="Метод экономически обоснованных расходов",_xlfn.SUMIFS('Калькуляция (МЭОР)'!$AJ$25:$AJ$452,'Калькуляция (МЭОР)'!$F$25:$F$452,$F224,'Калькуляция (МЭОР)'!$G$25:$G$452,$G224),IF(method_reg="Метод сравнения аналогов",_xlfn.SUMIFS('Калькуляция (МСА)'!$AE$25:$AE$122,'Калькуляция (МСА)'!$F$25:$F$122,$F224,'Калькуляция (МСА)'!$G$25:$G$122,$G224),_xlfn.SUMIFS(INDEX('Калькуляция (МИ)'!$AJ$25:$BC$747,,MATCH(AV$8,'Калькуляция (МИ)'!$AJ$8:$BC$8,0)),'Калькуляция (МИ)'!$F$25:$F$747,$F224,'Калькуляция (МИ)'!$G$25:$G$747,$G224))))</f>
        <v>0</v>
      </c>
      <c r="AW224" s="5239">
        <f>IF(AND(method_reg="Метод индексации",god&lt;&gt;first_year),_xlfn.SUMIFS(INDEX('Калькуляция (МИ корр)'!$AJ$25:$BC$747,,MATCH(AW$8,'Калькуляция (МИ корр)'!$AJ$8:$BC$8,0)),'Калькуляция (МИ корр)'!$F$25:$F$747,$F224,'Калькуляция (МИ корр)'!$G$25:$G$747,$G224),IF(method_reg="Метод экономически обоснованных расходов",_xlfn.SUMIFS('Калькуляция (МЭОР)'!$AK$25:$AK$452,'Калькуляция (МЭОР)'!$F$25:$F$452,$F224,'Калькуляция (МЭОР)'!$G$25:$G$452,$G224),IF(method_reg="Метод сравнения аналогов",_xlfn.SUMIFS('Калькуляция (МСА)'!$AF$25:$AF$122,'Калькуляция (МСА)'!$F$25:$F$122,$F224,'Калькуляция (МСА)'!$G$25:$G$122,$G224),_xlfn.SUMIFS(INDEX('Калькуляция (МИ)'!$AJ$25:$BC$747,,MATCH(AW$8,'Калькуляция (МИ)'!$AJ$8:$BC$8,0)),'Калькуляция (МИ)'!$F$25:$F$747,$F224,'Калькуляция (МИ)'!$G$25:$G$747,$G224))))</f>
        <v>0</v>
      </c>
      <c r="AX224" s="296">
        <f>IF(AV224=0,0,(AW224-AV224)/AV224*100)</f>
        <v>0</v>
      </c>
      <c r="AY224" s="5239">
        <f>IF(AND(method_reg="Метод индексации",god&lt;&gt;first_year),_xlfn.SUMIFS(INDEX('Калькуляция (МИ корр)'!$AJ$25:$BC$747,,MATCH(AY$8,'Калькуляция (МИ корр)'!$AJ$8:$BC$8,0)),'Калькуляция (МИ корр)'!$F$25:$F$747,$F224,'Калькуляция (МИ корр)'!$G$25:$G$747,$G224),IF(method_reg="Метод экономически обоснованных расходов",_xlfn.SUMIFS('Калькуляция (МЭОР)'!$AJ$25:$AJ$452,'Калькуляция (МЭОР)'!$F$25:$F$452,$F224,'Калькуляция (МЭОР)'!$G$25:$G$452,$G224),IF(method_reg="Метод сравнения аналогов",_xlfn.SUMIFS('Калькуляция (МСА)'!$AE$25:$AE$122,'Калькуляция (МСА)'!$F$25:$F$122,$F224,'Калькуляция (МСА)'!$G$25:$G$122,$G224),_xlfn.SUMIFS(INDEX('Калькуляция (МИ)'!$AJ$25:$BC$747,,MATCH(AY$8,'Калькуляция (МИ)'!$AJ$8:$BC$8,0)),'Калькуляция (МИ)'!$F$25:$F$747,$F224,'Калькуляция (МИ)'!$G$25:$G$747,$G224))))</f>
        <v>0</v>
      </c>
      <c r="AZ224" s="5239">
        <f>IF(AND(method_reg="Метод индексации",god&lt;&gt;first_year),_xlfn.SUMIFS(INDEX('Калькуляция (МИ корр)'!$AJ$25:$BC$747,,MATCH(AZ$8,'Калькуляция (МИ корр)'!$AJ$8:$BC$8,0)),'Калькуляция (МИ корр)'!$F$25:$F$747,$F224,'Калькуляция (МИ корр)'!$G$25:$G$747,$G224),IF(method_reg="Метод экономически обоснованных расходов",_xlfn.SUMIFS('Калькуляция (МЭОР)'!$AK$25:$AK$452,'Калькуляция (МЭОР)'!$F$25:$F$452,$F224,'Калькуляция (МЭОР)'!$G$25:$G$452,$G224),IF(method_reg="Метод сравнения аналогов",_xlfn.SUMIFS('Калькуляция (МСА)'!$AF$25:$AF$122,'Калькуляция (МСА)'!$F$25:$F$122,$F224,'Калькуляция (МСА)'!$G$25:$G$122,$G224),_xlfn.SUMIFS(INDEX('Калькуляция (МИ)'!$AJ$25:$BC$747,,MATCH(AZ$8,'Калькуляция (МИ)'!$AJ$8:$BC$8,0)),'Калькуляция (МИ)'!$F$25:$F$747,$F224,'Калькуляция (МИ)'!$G$25:$G$747,$G224))))</f>
        <v>0</v>
      </c>
      <c r="BA224" s="296">
        <f>IF(AY224=0,0,(AZ224-AY224)/AY224*100)</f>
        <v>0</v>
      </c>
      <c r="BB224" s="5239">
        <f>IF(AND(method_reg="Метод индексации",god&lt;&gt;first_year),_xlfn.SUMIFS(INDEX('Калькуляция (МИ корр)'!$AJ$25:$BC$747,,MATCH(BB$8,'Калькуляция (МИ корр)'!$AJ$8:$BC$8,0)),'Калькуляция (МИ корр)'!$F$25:$F$747,$F224,'Калькуляция (МИ корр)'!$G$25:$G$747,$G224),IF(method_reg="Метод экономически обоснованных расходов",_xlfn.SUMIFS('Калькуляция (МЭОР)'!$AJ$25:$AJ$452,'Калькуляция (МЭОР)'!$F$25:$F$452,$F224,'Калькуляция (МЭОР)'!$G$25:$G$452,$G224),IF(method_reg="Метод сравнения аналогов",_xlfn.SUMIFS('Калькуляция (МСА)'!$AE$25:$AE$122,'Калькуляция (МСА)'!$F$25:$F$122,$F224,'Калькуляция (МСА)'!$G$25:$G$122,$G224),_xlfn.SUMIFS(INDEX('Калькуляция (МИ)'!$AJ$25:$BC$747,,MATCH(BB$8,'Калькуляция (МИ)'!$AJ$8:$BC$8,0)),'Калькуляция (МИ)'!$F$25:$F$747,$F224,'Калькуляция (МИ)'!$G$25:$G$747,$G224))))</f>
        <v>0</v>
      </c>
      <c r="BC224" s="5239">
        <f>IF(AND(method_reg="Метод индексации",god&lt;&gt;first_year),_xlfn.SUMIFS(INDEX('Калькуляция (МИ корр)'!$AJ$25:$BC$747,,MATCH(BC$8,'Калькуляция (МИ корр)'!$AJ$8:$BC$8,0)),'Калькуляция (МИ корр)'!$F$25:$F$747,$F224,'Калькуляция (МИ корр)'!$G$25:$G$747,$G224),IF(method_reg="Метод экономически обоснованных расходов",_xlfn.SUMIFS('Калькуляция (МЭОР)'!$AK$25:$AK$452,'Калькуляция (МЭОР)'!$F$25:$F$452,$F224,'Калькуляция (МЭОР)'!$G$25:$G$452,$G224),IF(method_reg="Метод сравнения аналогов",_xlfn.SUMIFS('Калькуляция (МСА)'!$AF$25:$AF$122,'Калькуляция (МСА)'!$F$25:$F$122,$F224,'Калькуляция (МСА)'!$G$25:$G$122,$G224),_xlfn.SUMIFS(INDEX('Калькуляция (МИ)'!$AJ$25:$BC$747,,MATCH(BC$8,'Калькуляция (МИ)'!$AJ$8:$BC$8,0)),'Калькуляция (МИ)'!$F$25:$F$747,$F224,'Калькуляция (МИ)'!$G$25:$G$747,$G224))))</f>
        <v>0</v>
      </c>
      <c r="BD224" s="296">
        <f>IF(BB224=0,0,(BC224-BB224)/BB224*100)</f>
        <v>0</v>
      </c>
      <c r="BE224" s="5239">
        <f>IF(AND(method_reg="Метод индексации",god&lt;&gt;first_year),_xlfn.SUMIFS(INDEX('Калькуляция (МИ корр)'!$AJ$25:$BC$747,,MATCH(BE$8,'Калькуляция (МИ корр)'!$AJ$8:$BC$8,0)),'Калькуляция (МИ корр)'!$F$25:$F$747,$F224,'Калькуляция (МИ корр)'!$G$25:$G$747,$G224),IF(method_reg="Метод экономически обоснованных расходов",_xlfn.SUMIFS('Калькуляция (МЭОР)'!$AJ$25:$AJ$452,'Калькуляция (МЭОР)'!$F$25:$F$452,$F224,'Калькуляция (МЭОР)'!$G$25:$G$452,$G224),IF(method_reg="Метод сравнения аналогов",_xlfn.SUMIFS('Калькуляция (МСА)'!$AE$25:$AE$122,'Калькуляция (МСА)'!$F$25:$F$122,$F224,'Калькуляция (МСА)'!$G$25:$G$122,$G224),_xlfn.SUMIFS(INDEX('Калькуляция (МИ)'!$AJ$25:$BC$747,,MATCH(BE$8,'Калькуляция (МИ)'!$AJ$8:$BC$8,0)),'Калькуляция (МИ)'!$F$25:$F$747,$F224,'Калькуляция (МИ)'!$G$25:$G$747,$G224))))</f>
        <v>0</v>
      </c>
      <c r="BF224" s="5239">
        <f>IF(AND(method_reg="Метод индексации",god&lt;&gt;first_year),_xlfn.SUMIFS(INDEX('Калькуляция (МИ корр)'!$AJ$25:$BC$747,,MATCH(BF$8,'Калькуляция (МИ корр)'!$AJ$8:$BC$8,0)),'Калькуляция (МИ корр)'!$F$25:$F$747,$F224,'Калькуляция (МИ корр)'!$G$25:$G$747,$G224),IF(method_reg="Метод экономически обоснованных расходов",_xlfn.SUMIFS('Калькуляция (МЭОР)'!$AK$25:$AK$452,'Калькуляция (МЭОР)'!$F$25:$F$452,$F224,'Калькуляция (МЭОР)'!$G$25:$G$452,$G224),IF(method_reg="Метод сравнения аналогов",_xlfn.SUMIFS('Калькуляция (МСА)'!$AF$25:$AF$122,'Калькуляция (МСА)'!$F$25:$F$122,$F224,'Калькуляция (МСА)'!$G$25:$G$122,$G224),_xlfn.SUMIFS(INDEX('Калькуляция (МИ)'!$AJ$25:$BC$747,,MATCH(BF$8,'Калькуляция (МИ)'!$AJ$8:$BC$8,0)),'Калькуляция (МИ)'!$F$25:$F$747,$F224,'Калькуляция (МИ)'!$G$25:$G$747,$G224))))</f>
        <v>0</v>
      </c>
      <c r="BG224" s="296">
        <f>IF(BE224=0,0,(BF224-BE224)/BE224*100)</f>
        <v>0</v>
      </c>
      <c r="BH224" s="5239"/>
      <c r="BI224" s="5239"/>
      <c r="BJ224" s="296">
        <f>IF(BH224=0,0,(BI224-BH224)/BH224*100)</f>
        <v>0</v>
      </c>
      <c r="BK224" s="5239"/>
      <c r="BL224" s="5239"/>
      <c r="BM224" s="296">
        <f>IF(BK224=0,0,(BL224-BK224)/BK224*100)</f>
        <v>0</v>
      </c>
      <c r="BN224" s="5239"/>
      <c r="BO224" s="5239"/>
      <c r="BP224" s="296">
        <f>IF(BN224=0,0,(BO224-BN224)/BN224*100)</f>
        <v>0</v>
      </c>
      <c r="BQ224" s="5239"/>
      <c r="BR224" s="5239"/>
      <c r="BS224" s="296">
        <f>IF(BQ224=0,0,(BR224-BQ224)/BQ224*100)</f>
        <v>0</v>
      </c>
      <c r="BT224" s="5239"/>
      <c r="BU224" s="5239"/>
      <c r="BV224" s="296">
        <f>IF(BT224=0,0,(BU224-BT224)/BT224*100)</f>
        <v>0</v>
      </c>
      <c r="BW224" s="5239"/>
      <c r="BX224" s="5239"/>
      <c r="BY224" s="296">
        <f>IF(BW224=0,0,(BX224-BW224)/BW224*100)</f>
        <v>0</v>
      </c>
      <c r="BZ224" s="5239"/>
      <c r="CA224" s="5239"/>
      <c r="CB224" s="296">
        <f>IF(BZ224=0,0,(CA224-BZ224)/BZ224*100)</f>
        <v>0</v>
      </c>
      <c r="CC224" s="5239"/>
      <c r="CD224" s="5239"/>
      <c r="CE224" s="296">
        <f>IF(CC224=0,0,(CD224-CC224)/CC224*100)</f>
        <v>0</v>
      </c>
      <c r="CF224" s="5239"/>
      <c r="CG224" s="5239"/>
      <c r="CH224" s="296">
        <f>IF(CF224=0,0,(CG224-CF224)/CF224*100)</f>
        <v>0</v>
      </c>
      <c r="CI224" s="5239"/>
      <c r="CJ224" s="5239"/>
      <c r="CK224" s="296">
        <f>IF(CI224=0,0,(CJ224-CI224)/CI224*100)</f>
        <v>0</v>
      </c>
      <c r="CL224" s="5239"/>
      <c r="CM224" s="5239"/>
      <c r="CN224" s="296">
        <f>IF(CL224=0,0,(CM224-CL224)/CL224*100)</f>
        <v>0</v>
      </c>
      <c r="CO224" s="5239"/>
      <c r="CP224" s="5239"/>
      <c r="CQ224" s="296">
        <f>IF(CO224=0,0,(CP224-CO224)/CO224*100)</f>
        <v>0</v>
      </c>
      <c r="CR224" s="5239"/>
      <c r="CS224" s="5239"/>
      <c r="CT224" s="296">
        <f>IF(CR224=0,0,(CS224-CR224)/CR224*100)</f>
        <v>0</v>
      </c>
      <c r="CU224" s="5239"/>
      <c r="CV224" s="5239"/>
      <c r="CW224" s="296">
        <f>IF(CU224=0,0,(CV224-CU224)/CU224*100)</f>
        <v>0</v>
      </c>
      <c r="CX224" s="5239"/>
      <c r="CY224" s="5239"/>
      <c r="CZ224" s="296">
        <f>IF(CX224=0,0,(CY224-CX224)/CX224*100)</f>
        <v>0</v>
      </c>
      <c r="DA224" s="5239"/>
      <c r="DB224" s="5239"/>
      <c r="DC224" s="296">
        <f>IF(DA224=0,0,(DB224-DA224)/DA224*100)</f>
        <v>0</v>
      </c>
      <c r="DD224" s="5239"/>
      <c r="DE224" s="5239"/>
      <c r="DF224" s="296">
        <f>IF(DD224=0,0,(DE224-DD224)/DD224*100)</f>
        <v>0</v>
      </c>
      <c r="DG224" s="5241"/>
      <c r="DH224" s="5241"/>
      <c r="DI224" s="296">
        <f>IF(DG224=0,0,(DH224-DG224)/DG224*100)</f>
        <v>0</v>
      </c>
      <c r="DJ224" s="5241"/>
      <c r="DK224" s="5241"/>
      <c r="DL224" s="296">
        <f>IF(DJ224=0,0,(DK224-DJ224)/DJ224*100)</f>
        <v>0</v>
      </c>
      <c r="DM224" s="5241"/>
      <c r="DN224" s="5241"/>
      <c r="DO224" s="296">
        <f>IF(DM224=0,0,(DN224-DM224)/DM224*100)</f>
        <v>0</v>
      </c>
      <c r="DP224" s="5241"/>
      <c r="DQ224" s="5241"/>
      <c r="DR224" s="296">
        <f>IF(DP224=0,0,(DQ224-DP224)/DP224*100)</f>
        <v>0</v>
      </c>
      <c r="DS224" s="5241"/>
      <c r="DT224" s="5241"/>
      <c r="DU224" s="296">
        <f>IF(DS224=0,0,(DT224-DS224)/DS224*100)</f>
        <v>0</v>
      </c>
      <c r="DV224" s="5241"/>
      <c r="DW224" s="5241"/>
      <c r="DX224" s="296">
        <f>IF(DV224=0,0,(DW224-DV224)/DV224*100)</f>
        <v>0</v>
      </c>
      <c r="DY224" s="5241"/>
      <c r="DZ224" s="5241"/>
      <c r="EA224" s="296">
        <f>IF(DY224=0,0,(DZ224-DY224)/DY224*100)</f>
        <v>0</v>
      </c>
      <c r="EB224" s="5241"/>
      <c r="EC224" s="5241"/>
      <c r="ED224" s="296">
        <f>IF(EB224=0,0,(EC224-EB224)/EB224*100)</f>
        <v>0</v>
      </c>
      <c r="EE224" s="5241"/>
      <c r="EF224" s="5241"/>
      <c r="EG224" s="296">
        <f>IF(EE224=0,0,(EF224-EE224)/EE224*100)</f>
        <v>0</v>
      </c>
      <c r="EH224" s="5241"/>
      <c r="EI224" s="5241"/>
      <c r="EJ224" s="296">
        <f>IF(EH224=0,0,(EI224-EH224)/EH224*100)</f>
        <v>0</v>
      </c>
      <c r="EK224" s="5241"/>
      <c r="EL224" s="5241"/>
      <c r="EM224" s="296">
        <f>IF(EK224=0,0,(EL224-EK224)/EK224*100)</f>
        <v>0</v>
      </c>
      <c r="EN224" s="5241"/>
      <c r="EO224" s="5241"/>
      <c r="EP224" s="296">
        <f>IF(EN224=0,0,(EO224-EN224)/EN224*100)</f>
        <v>0</v>
      </c>
      <c r="EQ224" s="5241"/>
      <c r="ER224" s="5241"/>
      <c r="ES224" s="296">
        <f>IF(EQ224=0,0,(ER224-EQ224)/EQ224*100)</f>
        <v>0</v>
      </c>
      <c r="ET224" s="5241"/>
      <c r="EU224" s="5241"/>
      <c r="EV224" s="296">
        <f>IF(ET224=0,0,(EU224-ET224)/ET224*100)</f>
        <v>0</v>
      </c>
      <c r="EW224" s="5241"/>
      <c r="EX224" s="5241"/>
      <c r="EY224" s="296">
        <f>IF(EW224=0,0,(EX224-EW224)/EW224*100)</f>
        <v>0</v>
      </c>
      <c r="EZ224" s="5241"/>
      <c r="FA224" s="5241"/>
      <c r="FB224" s="296">
        <f>IF(EZ224=0,0,(FA224-EZ224)/EZ224*100)</f>
        <v>0</v>
      </c>
      <c r="FC224" s="5241"/>
      <c r="FD224" s="5241"/>
      <c r="FE224" s="296">
        <f>IF(FC224=0,0,(FD224-FC224)/FC224*100)</f>
        <v>0</v>
      </c>
      <c r="FF224" s="5241"/>
      <c r="FG224" s="5241"/>
      <c r="FH224" s="296">
        <f>IF(FF224=0,0,(FG224-FF224)/FF224*100)</f>
        <v>0</v>
      </c>
      <c r="FI224" s="5241"/>
      <c r="FJ224" s="5241"/>
      <c r="FK224" s="296">
        <f>IF(FI224=0,0,(FJ224-FI224)/FI224*100)</f>
        <v>0</v>
      </c>
      <c r="FL224" s="5241"/>
      <c r="FM224" s="5241"/>
      <c r="FN224" s="296">
        <f>IF(FL224=0,0,(FM224-FL224)/FL224*100)</f>
        <v>0</v>
      </c>
      <c r="FO224" s="5241"/>
      <c r="FP224" s="5241"/>
      <c r="FQ224" s="296">
        <f>IF(FO224=0,0,(FP224-FO224)/FO224*100)</f>
        <v>0</v>
      </c>
      <c r="FR224" s="5241"/>
      <c r="FS224" s="5241"/>
      <c r="FT224" s="296">
        <f>IF(FR224=0,0,(FS224-FR224)/FR224*100)</f>
        <v>0</v>
      </c>
      <c r="FU224" s="5241"/>
      <c r="FV224" s="5241"/>
      <c r="FW224" s="296">
        <f>IF(FU224=0,0,(FV224-FU224)/FU224*100)</f>
        <v>0</v>
      </c>
      <c r="FX224" s="292"/>
      <c r="FY224" s="292"/>
      <c r="FZ224" s="1055" t="s">
        <v>2342</v>
      </c>
      <c r="GA224" s="1055"/>
      <c r="GB224" s="1055"/>
      <c r="GC224" s="1056"/>
      <c r="GD224" s="1056"/>
    </row>
    <row s="1834" customFormat="1" customHeight="1" ht="14.25">
      <c r="A225" s="493"/>
      <c r="B225" s="925" cm="1" t="str">
        <f t="array" ref="B225:B225">B224</f>
        <v>true</v>
      </c>
      <c r="C225" s="493"/>
      <c r="D225" s="493"/>
      <c r="E225" s="840">
        <v>15</v>
      </c>
      <c r="F225" s="50" cm="1" t="str">
        <f t="array" ref="F225:F225">OFFSET(E225,-1,1)</f>
        <v>3</v>
      </c>
      <c r="G225" s="493"/>
      <c r="H225" s="493" t="s">
        <v>1179</v>
      </c>
      <c r="I225" s="493" t="s">
        <v>2343</v>
      </c>
      <c r="J225" s="493"/>
      <c r="K225" s="493"/>
      <c r="L225" s="493"/>
      <c r="M225" s="493"/>
      <c r="N225" s="493"/>
      <c r="O225" s="493"/>
      <c r="P225" s="493"/>
      <c r="Q225" s="493"/>
      <c r="R225" s="493"/>
      <c r="S225" s="493"/>
      <c r="T225" s="465" cm="1" t="str">
        <f t="array" ref="T225:T225">T224</f>
        <v>true</v>
      </c>
      <c r="U225" s="493"/>
      <c r="V225" s="493"/>
      <c r="W225" s="493"/>
      <c r="X225" s="1596"/>
      <c r="Y225" s="493"/>
      <c r="Z225" s="1545"/>
      <c r="AA225" s="493"/>
      <c r="AB225" s="1089" t="s">
        <v>2344</v>
      </c>
      <c r="AC225" s="864" t="s">
        <v>1170</v>
      </c>
      <c r="AD225" s="1092">
        <f>IF(AD223=0,0,AD224/AD223)*100</f>
        <v>109.994691324581</v>
      </c>
      <c r="AE225" s="1092">
        <f>IF(AE223=0,0,AE224/AE223)*100</f>
        <v>109.994999383018</v>
      </c>
      <c r="AF225" s="1093"/>
      <c r="AG225" s="1092">
        <f>IF(AG223=0,0,AG224/AG223)*100</f>
        <v>108.760847720165</v>
      </c>
      <c r="AH225" s="1092">
        <f>IF(AH223=0,0,AH224/AH223)*100</f>
        <v>108.760270858741</v>
      </c>
      <c r="AI225" s="1093"/>
      <c r="AJ225" s="1092">
        <f>IF(AJ223=0,0,AJ224/AJ223)*100</f>
        <v>104.271737137085</v>
      </c>
      <c r="AK225" s="1092">
        <f>IF(AK223=0,0,AK224/AK223)*100</f>
        <v>104.271995006485</v>
      </c>
      <c r="AL225" s="1093"/>
      <c r="AM225" s="1092">
        <f>IF(AM223=0,0,AM224/AM223)*100</f>
        <v>101.085472775629</v>
      </c>
      <c r="AN225" s="1092">
        <f>IF(AN223=0,0,AN224/AN223)*100</f>
        <v>101.084974387727</v>
      </c>
      <c r="AO225" s="1093"/>
      <c r="AP225" s="1092">
        <f>IF(AP223=0,0,AP224/AP223)*100</f>
        <v>101.574724407561</v>
      </c>
      <c r="AQ225" s="1092">
        <f>IF(AQ223=0,0,AQ224/AQ223)*100</f>
        <v>101.574954206185</v>
      </c>
      <c r="AR225" s="1093"/>
      <c r="AS225" s="1092">
        <f>IF(AS223=0,0,AS224/AS223)*100</f>
        <v>0</v>
      </c>
      <c r="AT225" s="1092">
        <f>IF(AT223=0,0,AT224/AT223)*100</f>
        <v>0</v>
      </c>
      <c r="AU225" s="1093"/>
      <c r="AV225" s="1092">
        <f>IF(AV223=0,0,AV224/AV223)*100</f>
        <v>0</v>
      </c>
      <c r="AW225" s="1092">
        <f>IF(AW223=0,0,AW224/AW223)*100</f>
        <v>0</v>
      </c>
      <c r="AX225" s="1093"/>
      <c r="AY225" s="1092">
        <f>IF(AY223=0,0,AY224/AY223)*100</f>
        <v>0</v>
      </c>
      <c r="AZ225" s="1092">
        <f>IF(AZ223=0,0,AZ224/AZ223)*100</f>
        <v>0</v>
      </c>
      <c r="BA225" s="1093"/>
      <c r="BB225" s="1092">
        <f>IF(BB223=0,0,BB224/BB223)*100</f>
        <v>0</v>
      </c>
      <c r="BC225" s="1092">
        <f>IF(BC223=0,0,BC224/BC223)*100</f>
        <v>0</v>
      </c>
      <c r="BD225" s="1093"/>
      <c r="BE225" s="1092">
        <f>IF(BE223=0,0,BE224/BE223)*100</f>
        <v>0</v>
      </c>
      <c r="BF225" s="1092">
        <f>IF(BF223=0,0,BF224/BF223)*100</f>
        <v>0</v>
      </c>
      <c r="BG225" s="1093"/>
      <c r="BH225" s="1092">
        <f>IF(BH223=0,0,BH224/BH223)*100</f>
        <v>0</v>
      </c>
      <c r="BI225" s="1092">
        <f>IF(BI223=0,0,BI224/BI223)*100</f>
        <v>0</v>
      </c>
      <c r="BJ225" s="1093"/>
      <c r="BK225" s="1092">
        <f>IF(BK223=0,0,BK224/BK223)*100</f>
        <v>0</v>
      </c>
      <c r="BL225" s="1092">
        <f>IF(BL223=0,0,BL224/BL223)*100</f>
        <v>0</v>
      </c>
      <c r="BM225" s="1093"/>
      <c r="BN225" s="1092">
        <f>IF(BN223=0,0,BN224/BN223)*100</f>
        <v>0</v>
      </c>
      <c r="BO225" s="1092">
        <f>IF(BO223=0,0,BO224/BO223)*100</f>
        <v>0</v>
      </c>
      <c r="BP225" s="1093"/>
      <c r="BQ225" s="1092">
        <f>IF(BQ223=0,0,BQ224/BQ223)*100</f>
        <v>0</v>
      </c>
      <c r="BR225" s="1092">
        <f>IF(BR223=0,0,BR224/BR223)*100</f>
        <v>0</v>
      </c>
      <c r="BS225" s="1093"/>
      <c r="BT225" s="1092">
        <f>IF(BT223=0,0,BT224/BT223)*100</f>
        <v>0</v>
      </c>
      <c r="BU225" s="1092">
        <f>IF(BU223=0,0,BU224/BU223)*100</f>
        <v>0</v>
      </c>
      <c r="BV225" s="1093"/>
      <c r="BW225" s="1092">
        <f>IF(BW223=0,0,BW224/BW223)*100</f>
        <v>0</v>
      </c>
      <c r="BX225" s="1092">
        <f>IF(BX223=0,0,BX224/BX223)*100</f>
        <v>0</v>
      </c>
      <c r="BY225" s="1093"/>
      <c r="BZ225" s="1092">
        <f>IF(BZ223=0,0,BZ224/BZ223)*100</f>
        <v>0</v>
      </c>
      <c r="CA225" s="1092">
        <f>IF(CA223=0,0,CA224/CA223)*100</f>
        <v>0</v>
      </c>
      <c r="CB225" s="1093"/>
      <c r="CC225" s="1092">
        <f>IF(CC223=0,0,CC224/CC223)*100</f>
        <v>0</v>
      </c>
      <c r="CD225" s="1092">
        <f>IF(CD223=0,0,CD224/CD223)*100</f>
        <v>0</v>
      </c>
      <c r="CE225" s="1093"/>
      <c r="CF225" s="1092">
        <f>IF(CF223=0,0,CF224/CF223)*100</f>
        <v>0</v>
      </c>
      <c r="CG225" s="1092">
        <f>IF(CG223=0,0,CG224/CG223)*100</f>
        <v>0</v>
      </c>
      <c r="CH225" s="1093"/>
      <c r="CI225" s="1092">
        <f>IF(CI223=0,0,CI224/CI223)*100</f>
        <v>0</v>
      </c>
      <c r="CJ225" s="1092">
        <f>IF(CJ223=0,0,CJ224/CJ223)*100</f>
        <v>0</v>
      </c>
      <c r="CK225" s="1093"/>
      <c r="CL225" s="1092">
        <f>IF(CL223=0,0,CL224/CL223)*100</f>
        <v>0</v>
      </c>
      <c r="CM225" s="1092">
        <f>IF(CM223=0,0,CM224/CM223)*100</f>
        <v>0</v>
      </c>
      <c r="CN225" s="1093"/>
      <c r="CO225" s="1092">
        <f>IF(CO223=0,0,CO224/CO223)*100</f>
        <v>0</v>
      </c>
      <c r="CP225" s="1092">
        <f>IF(CP223=0,0,CP224/CP223)*100</f>
        <v>0</v>
      </c>
      <c r="CQ225" s="1093"/>
      <c r="CR225" s="1092">
        <f>IF(CR223=0,0,CR224/CR223)*100</f>
        <v>0</v>
      </c>
      <c r="CS225" s="1092">
        <f>IF(CS223=0,0,CS224/CS223)*100</f>
        <v>0</v>
      </c>
      <c r="CT225" s="1093"/>
      <c r="CU225" s="1092">
        <f>IF(CU223=0,0,CU224/CU223)*100</f>
        <v>0</v>
      </c>
      <c r="CV225" s="1092">
        <f>IF(CV223=0,0,CV224/CV223)*100</f>
        <v>0</v>
      </c>
      <c r="CW225" s="1093"/>
      <c r="CX225" s="1092">
        <f>IF(CX223=0,0,CX224/CX223)*100</f>
        <v>0</v>
      </c>
      <c r="CY225" s="1092">
        <f>IF(CY223=0,0,CY224/CY223)*100</f>
        <v>0</v>
      </c>
      <c r="CZ225" s="1093"/>
      <c r="DA225" s="1092">
        <f>IF(DA223=0,0,DA224/DA223)*100</f>
        <v>0</v>
      </c>
      <c r="DB225" s="1092">
        <f>IF(DB223=0,0,DB224/DB223)*100</f>
        <v>0</v>
      </c>
      <c r="DC225" s="1093"/>
      <c r="DD225" s="1092">
        <f>IF(DD223=0,0,DD224/DD223)*100</f>
        <v>0</v>
      </c>
      <c r="DE225" s="1092">
        <f>IF(DE223=0,0,DE224/DE223)*100</f>
        <v>0</v>
      </c>
      <c r="DF225" s="1093"/>
      <c r="DG225" s="1092">
        <f>IF(DG223=0,0,DG224/DG223)*100</f>
        <v>0</v>
      </c>
      <c r="DH225" s="1092">
        <f>IF(DH223=0,0,DH224/DH223)*100</f>
        <v>0</v>
      </c>
      <c r="DI225" s="1093"/>
      <c r="DJ225" s="1092">
        <f>IF(DJ223=0,0,DJ224/DJ223)*100</f>
        <v>0</v>
      </c>
      <c r="DK225" s="1092">
        <f>IF(DK223=0,0,DK224/DK223)*100</f>
        <v>0</v>
      </c>
      <c r="DL225" s="1093"/>
      <c r="DM225" s="1092">
        <f>IF(DM223=0,0,DM224/DM223)*100</f>
        <v>0</v>
      </c>
      <c r="DN225" s="1092">
        <f>IF(DN223=0,0,DN224/DN223)*100</f>
        <v>0</v>
      </c>
      <c r="DO225" s="1093"/>
      <c r="DP225" s="1092">
        <f>IF(DP223=0,0,DP224/DP223)*100</f>
        <v>0</v>
      </c>
      <c r="DQ225" s="1092">
        <f>IF(DQ223=0,0,DQ224/DQ223)*100</f>
        <v>0</v>
      </c>
      <c r="DR225" s="1093"/>
      <c r="DS225" s="1092">
        <f>IF(DS223=0,0,DS224/DS223)*100</f>
        <v>0</v>
      </c>
      <c r="DT225" s="1092">
        <f>IF(DT223=0,0,DT224/DT223)*100</f>
        <v>0</v>
      </c>
      <c r="DU225" s="1093"/>
      <c r="DV225" s="1092">
        <f>IF(DV223=0,0,DV224/DV223)*100</f>
        <v>0</v>
      </c>
      <c r="DW225" s="1092">
        <f>IF(DW223=0,0,DW224/DW223)*100</f>
        <v>0</v>
      </c>
      <c r="DX225" s="1093"/>
      <c r="DY225" s="1092">
        <f>IF(DY223=0,0,DY224/DY223)*100</f>
        <v>0</v>
      </c>
      <c r="DZ225" s="1092">
        <f>IF(DZ223=0,0,DZ224/DZ223)*100</f>
        <v>0</v>
      </c>
      <c r="EA225" s="1093"/>
      <c r="EB225" s="1092">
        <f>IF(EB223=0,0,EB224/EB223)*100</f>
        <v>0</v>
      </c>
      <c r="EC225" s="1092">
        <f>IF(EC223=0,0,EC224/EC223)*100</f>
        <v>0</v>
      </c>
      <c r="ED225" s="1093"/>
      <c r="EE225" s="1092">
        <f>IF(EE223=0,0,EE224/EE223)*100</f>
        <v>0</v>
      </c>
      <c r="EF225" s="1092">
        <f>IF(EF223=0,0,EF224/EF223)*100</f>
        <v>0</v>
      </c>
      <c r="EG225" s="1093"/>
      <c r="EH225" s="1092">
        <f>IF(EH223=0,0,EH224/EH223)*100</f>
        <v>0</v>
      </c>
      <c r="EI225" s="1092">
        <f>IF(EI223=0,0,EI224/EI223)*100</f>
        <v>0</v>
      </c>
      <c r="EJ225" s="1093"/>
      <c r="EK225" s="1092">
        <f>IF(EK223=0,0,EK224/EK223)*100</f>
        <v>0</v>
      </c>
      <c r="EL225" s="1092">
        <f>IF(EL223=0,0,EL224/EL223)*100</f>
        <v>0</v>
      </c>
      <c r="EM225" s="1093"/>
      <c r="EN225" s="1092">
        <f>IF(EN223=0,0,EN224/EN223)*100</f>
        <v>0</v>
      </c>
      <c r="EO225" s="1092">
        <f>IF(EO223=0,0,EO224/EO223)*100</f>
        <v>0</v>
      </c>
      <c r="EP225" s="1093"/>
      <c r="EQ225" s="1092">
        <f>IF(EQ223=0,0,EQ224/EQ223)*100</f>
        <v>0</v>
      </c>
      <c r="ER225" s="1092">
        <f>IF(ER223=0,0,ER224/ER223)*100</f>
        <v>0</v>
      </c>
      <c r="ES225" s="1093"/>
      <c r="ET225" s="1092">
        <f>IF(ET223=0,0,ET224/ET223)*100</f>
        <v>0</v>
      </c>
      <c r="EU225" s="1092">
        <f>IF(EU223=0,0,EU224/EU223)*100</f>
        <v>0</v>
      </c>
      <c r="EV225" s="1093"/>
      <c r="EW225" s="1092">
        <f>IF(EW223=0,0,EW224/EW223)*100</f>
        <v>0</v>
      </c>
      <c r="EX225" s="1092">
        <f>IF(EX223=0,0,EX224/EX223)*100</f>
        <v>0</v>
      </c>
      <c r="EY225" s="1093"/>
      <c r="EZ225" s="1092">
        <f>IF(EZ223=0,0,EZ224/EZ223)*100</f>
        <v>0</v>
      </c>
      <c r="FA225" s="1092">
        <f>IF(FA223=0,0,FA224/FA223)*100</f>
        <v>0</v>
      </c>
      <c r="FB225" s="1093"/>
      <c r="FC225" s="1092">
        <f>IF(FC223=0,0,FC224/FC223)*100</f>
        <v>0</v>
      </c>
      <c r="FD225" s="1092">
        <f>IF(FD223=0,0,FD224/FD223)*100</f>
        <v>0</v>
      </c>
      <c r="FE225" s="1093"/>
      <c r="FF225" s="1092">
        <f>IF(FF223=0,0,FF224/FF223)*100</f>
        <v>0</v>
      </c>
      <c r="FG225" s="1092">
        <f>IF(FG223=0,0,FG224/FG223)*100</f>
        <v>0</v>
      </c>
      <c r="FH225" s="1093"/>
      <c r="FI225" s="1092">
        <f>IF(FI223=0,0,FI224/FI223)*100</f>
        <v>0</v>
      </c>
      <c r="FJ225" s="1092">
        <f>IF(FJ223=0,0,FJ224/FJ223)*100</f>
        <v>0</v>
      </c>
      <c r="FK225" s="1093"/>
      <c r="FL225" s="1092">
        <f>IF(FL223=0,0,FL224/FL223)*100</f>
        <v>0</v>
      </c>
      <c r="FM225" s="1092">
        <f>IF(FM223=0,0,FM224/FM223)*100</f>
        <v>0</v>
      </c>
      <c r="FN225" s="1093"/>
      <c r="FO225" s="1092">
        <f>IF(FO223=0,0,FO224/FO223)*100</f>
        <v>0</v>
      </c>
      <c r="FP225" s="1092">
        <f>IF(FP223=0,0,FP224/FP223)*100</f>
        <v>0</v>
      </c>
      <c r="FQ225" s="1093"/>
      <c r="FR225" s="1092">
        <f>IF(FR223=0,0,FR224/FR223)*100</f>
        <v>0</v>
      </c>
      <c r="FS225" s="1092">
        <f>IF(FS223=0,0,FS224/FS223)*100</f>
        <v>0</v>
      </c>
      <c r="FT225" s="1093"/>
      <c r="FU225" s="1092">
        <f>IF(FU223=0,0,FU224/FU223)*100</f>
        <v>0</v>
      </c>
      <c r="FV225" s="1092">
        <f>IF(FV223=0,0,FV224/FV223)*100</f>
        <v>0</v>
      </c>
      <c r="FW225" s="1093"/>
      <c r="FX225" s="292"/>
      <c r="FY225" s="1304"/>
      <c r="FZ225" s="1055" t="s">
        <v>2345</v>
      </c>
      <c r="GA225" s="1306"/>
      <c r="GB225" s="1306"/>
      <c r="GC225" s="1305"/>
      <c r="GD225" s="1305"/>
    </row>
    <row s="1834" customFormat="1" customHeight="1" ht="14.25">
      <c r="A226" s="493"/>
      <c r="B226" s="925" cm="1" t="str">
        <f t="array" ref="B226:B226">B225</f>
        <v>true</v>
      </c>
      <c r="C226" s="493"/>
      <c r="D226" s="493"/>
      <c r="E226" s="840">
        <v>15</v>
      </c>
      <c r="F226" s="50" cm="1" t="str">
        <f t="array" ref="F226:F226">OFFSET(E226,-1,1)</f>
        <v>3</v>
      </c>
      <c r="G226" s="107" t="s">
        <v>2346</v>
      </c>
      <c r="H226" s="493" t="s">
        <v>1182</v>
      </c>
      <c r="I226" s="493" t="s">
        <v>2343</v>
      </c>
      <c r="J226" s="493"/>
      <c r="K226" s="493"/>
      <c r="L226" s="493"/>
      <c r="M226" s="493"/>
      <c r="N226" s="493"/>
      <c r="O226" s="493"/>
      <c r="P226" s="493"/>
      <c r="Q226" s="493"/>
      <c r="R226" s="493"/>
      <c r="S226" s="493"/>
      <c r="T226" s="465" cm="1" t="str">
        <f t="array" ref="T226:T226">T225</f>
        <v>true</v>
      </c>
      <c r="U226" s="493"/>
      <c r="V226" s="493"/>
      <c r="W226" s="493"/>
      <c r="X226" s="1596"/>
      <c r="Y226" s="493"/>
      <c r="Z226" s="1545"/>
      <c r="AA226" s="493"/>
      <c r="AB226" s="1089" t="s">
        <v>2347</v>
      </c>
      <c r="AC226" s="864" t="s">
        <v>1247</v>
      </c>
      <c r="AD226" s="1094">
        <f>IF(AND(method_reg="Метод индексации",god&lt;&gt;first_year),_xlfn.SUMIFS(INDEX('Калькуляция (МИ корр)'!$AJ$25:$BC$747,,MATCH(AD$8,'Калькуляция (МИ корр)'!$AJ$8:$BC$8,0)),'Калькуляция (МИ корр)'!$F$25:$F$747,$F226,'Калькуляция (МИ корр)'!$G$25:$G$747,$G226),IF(method_reg="Метод экономически обоснованных расходов",_xlfn.SUMIFS('Калькуляция (МЭОР)'!$AJ$25:$AJ$452,'Калькуляция (МЭОР)'!$F$25:$F$452,$F226,'Калькуляция (МЭОР)'!$G$25:$G$452,$G226),IF(method_reg="Метод сравнения аналогов",_xlfn.SUMIFS('Калькуляция (МСА)'!$AE$25:$AE$122,'Калькуляция (МСА)'!$F$25:$F$122,$F226,'Калькуляция (МСА)'!$G$25:$G$122,$G226),_xlfn.SUMIFS(INDEX('Калькуляция (МИ)'!$AJ$25:$BC$747,,MATCH(AD$8,'Калькуляция (МИ)'!$AJ$8:$BC$8,0)),'Калькуляция (МИ)'!$F$25:$F$747,$F226,'Калькуляция (МИ)'!$G$25:$G$747,$G226))))</f>
        <v>1778.84536</v>
      </c>
      <c r="AE226" s="1094">
        <f>IF(AND(method_reg="Метод индексации",god&lt;&gt;first_year),_xlfn.SUMIFS(INDEX('Калькуляция (МИ корр)'!$AJ$25:$BC$747,,MATCH(AE$8,'Калькуляция (МИ корр)'!$AJ$8:$BC$8,0)),'Калькуляция (МИ корр)'!$F$25:$F$747,$F226,'Калькуляция (МИ корр)'!$G$25:$G$747,$G226),IF(method_reg="Метод экономически обоснованных расходов",_xlfn.SUMIFS('Калькуляция (МЭОР)'!$AK$25:$AK$452,'Калькуляция (МЭОР)'!$F$25:$F$452,$F226,'Калькуляция (МЭОР)'!$G$25:$G$452,$G226),IF(method_reg="Метод сравнения аналогов",_xlfn.SUMIFS('Калькуляция (МСА)'!$AF$25:$AF$122,'Калькуляция (МСА)'!$F$25:$F$122,$F226,'Калькуляция (МСА)'!$G$25:$G$122,$G226),_xlfn.SUMIFS(INDEX('Калькуляция (МИ)'!$AJ$25:$BC$747,,MATCH(AE$8,'Калькуляция (МИ)'!$AJ$8:$BC$8,0)),'Калькуляция (МИ)'!$F$25:$F$747,$F226,'Калькуляция (МИ)'!$G$25:$G$747,$G226))))</f>
        <v>1778.84536</v>
      </c>
      <c r="AF226" s="1095">
        <f>IF(AD226=0,0,(AE226-AD226)/AD226*100)</f>
        <v>0</v>
      </c>
      <c r="AG226" s="1094">
        <f>IF(AND(method_reg="Метод индексации",god&lt;&gt;first_year),_xlfn.SUMIFS(INDEX('Калькуляция (МИ корр)'!$AJ$25:$BC$747,,MATCH(AG$8,'Калькуляция (МИ корр)'!$AJ$8:$BC$8,0)),'Калькуляция (МИ корр)'!$F$25:$F$747,$F226,'Калькуляция (МИ корр)'!$G$25:$G$747,$G226),IF(method_reg="Метод экономически обоснованных расходов",_xlfn.SUMIFS('Калькуляция (МЭОР)'!$AJ$25:$AJ$452,'Калькуляция (МЭОР)'!$F$25:$F$452,$F226,'Калькуляция (МЭОР)'!$G$25:$G$452,$G226),IF(method_reg="Метод сравнения аналогов",_xlfn.SUMIFS('Калькуляция (МСА)'!$AE$25:$AE$122,'Калькуляция (МСА)'!$F$25:$F$122,$F226,'Калькуляция (МСА)'!$G$25:$G$122,$G226),_xlfn.SUMIFS(INDEX('Калькуляция (МИ)'!$AJ$25:$BC$747,,MATCH(AG$8,'Калькуляция (МИ)'!$AJ$8:$BC$8,0)),'Калькуляция (МИ)'!$F$25:$F$747,$F226,'Калькуляция (МИ)'!$G$25:$G$747,$G226))))</f>
        <v>1778.84536</v>
      </c>
      <c r="AH226" s="1094">
        <f>IF(AND(method_reg="Метод индексации",god&lt;&gt;first_year),_xlfn.SUMIFS(INDEX('Калькуляция (МИ корр)'!$AJ$25:$BC$747,,MATCH(AH$8,'Калькуляция (МИ корр)'!$AJ$8:$BC$8,0)),'Калькуляция (МИ корр)'!$F$25:$F$747,$F226,'Калькуляция (МИ корр)'!$G$25:$G$747,$G226),IF(method_reg="Метод экономически обоснованных расходов",_xlfn.SUMIFS('Калькуляция (МЭОР)'!$AK$25:$AK$452,'Калькуляция (МЭОР)'!$F$25:$F$452,$F226,'Калькуляция (МЭОР)'!$G$25:$G$452,$G226),IF(method_reg="Метод сравнения аналогов",_xlfn.SUMIFS('Калькуляция (МСА)'!$AF$25:$AF$122,'Калькуляция (МСА)'!$F$25:$F$122,$F226,'Калькуляция (МСА)'!$G$25:$G$122,$G226),_xlfn.SUMIFS(INDEX('Калькуляция (МИ)'!$AJ$25:$BC$747,,MATCH(AH$8,'Калькуляция (МИ)'!$AJ$8:$BC$8,0)),'Калькуляция (МИ)'!$F$25:$F$747,$F226,'Калькуляция (МИ)'!$G$25:$G$747,$G226))))</f>
        <v>1778.84536</v>
      </c>
      <c r="AI226" s="1095">
        <f>IF(AG226=0,0,(AH226-AG226)/AG226*100)</f>
        <v>0</v>
      </c>
      <c r="AJ226" s="1094">
        <f>IF(AND(method_reg="Метод индексации",god&lt;&gt;first_year),_xlfn.SUMIFS(INDEX('Калькуляция (МИ корр)'!$AJ$25:$BC$747,,MATCH(AJ$8,'Калькуляция (МИ корр)'!$AJ$8:$BC$8,0)),'Калькуляция (МИ корр)'!$F$25:$F$747,$F226,'Калькуляция (МИ корр)'!$G$25:$G$747,$G226),IF(method_reg="Метод экономически обоснованных расходов",_xlfn.SUMIFS('Калькуляция (МЭОР)'!$AJ$25:$AJ$452,'Калькуляция (МЭОР)'!$F$25:$F$452,$F226,'Калькуляция (МЭОР)'!$G$25:$G$452,$G226),IF(method_reg="Метод сравнения аналогов",_xlfn.SUMIFS('Калькуляция (МСА)'!$AE$25:$AE$122,'Калькуляция (МСА)'!$F$25:$F$122,$F226,'Калькуляция (МСА)'!$G$25:$G$122,$G226),_xlfn.SUMIFS(INDEX('Калькуляция (МИ)'!$AJ$25:$BC$747,,MATCH(AJ$8,'Калькуляция (МИ)'!$AJ$8:$BC$8,0)),'Калькуляция (МИ)'!$F$25:$F$747,$F226,'Калькуляция (МИ)'!$G$25:$G$747,$G226))))</f>
        <v>1778.84536</v>
      </c>
      <c r="AK226" s="1094">
        <f>IF(AND(method_reg="Метод индексации",god&lt;&gt;first_year),_xlfn.SUMIFS(INDEX('Калькуляция (МИ корр)'!$AJ$25:$BC$747,,MATCH(AK$8,'Калькуляция (МИ корр)'!$AJ$8:$BC$8,0)),'Калькуляция (МИ корр)'!$F$25:$F$747,$F226,'Калькуляция (МИ корр)'!$G$25:$G$747,$G226),IF(method_reg="Метод экономически обоснованных расходов",_xlfn.SUMIFS('Калькуляция (МЭОР)'!$AK$25:$AK$452,'Калькуляция (МЭОР)'!$F$25:$F$452,$F226,'Калькуляция (МЭОР)'!$G$25:$G$452,$G226),IF(method_reg="Метод сравнения аналогов",_xlfn.SUMIFS('Калькуляция (МСА)'!$AF$25:$AF$122,'Калькуляция (МСА)'!$F$25:$F$122,$F226,'Калькуляция (МСА)'!$G$25:$G$122,$G226),_xlfn.SUMIFS(INDEX('Калькуляция (МИ)'!$AJ$25:$BC$747,,MATCH(AK$8,'Калькуляция (МИ)'!$AJ$8:$BC$8,0)),'Калькуляция (МИ)'!$F$25:$F$747,$F226,'Калькуляция (МИ)'!$G$25:$G$747,$G226))))</f>
        <v>1778.84536</v>
      </c>
      <c r="AL226" s="1095">
        <f>IF(AJ226=0,0,(AK226-AJ226)/AJ226*100)</f>
        <v>0</v>
      </c>
      <c r="AM226" s="1094">
        <f>IF(AND(method_reg="Метод индексации",god&lt;&gt;first_year),_xlfn.SUMIFS(INDEX('Калькуляция (МИ корр)'!$AJ$25:$BC$747,,MATCH(AM$8,'Калькуляция (МИ корр)'!$AJ$8:$BC$8,0)),'Калькуляция (МИ корр)'!$F$25:$F$747,$F226,'Калькуляция (МИ корр)'!$G$25:$G$747,$G226),IF(method_reg="Метод экономически обоснованных расходов",_xlfn.SUMIFS('Калькуляция (МЭОР)'!$AJ$25:$AJ$452,'Калькуляция (МЭОР)'!$F$25:$F$452,$F226,'Калькуляция (МЭОР)'!$G$25:$G$452,$G226),IF(method_reg="Метод сравнения аналогов",_xlfn.SUMIFS('Калькуляция (МСА)'!$AE$25:$AE$122,'Калькуляция (МСА)'!$F$25:$F$122,$F226,'Калькуляция (МСА)'!$G$25:$G$122,$G226),_xlfn.SUMIFS(INDEX('Калькуляция (МИ)'!$AJ$25:$BC$747,,MATCH(AM$8,'Калькуляция (МИ)'!$AJ$8:$BC$8,0)),'Калькуляция (МИ)'!$F$25:$F$747,$F226,'Калькуляция (МИ)'!$G$25:$G$747,$G226))))</f>
        <v>1778.84536</v>
      </c>
      <c r="AN226" s="1094">
        <f>IF(AND(method_reg="Метод индексации",god&lt;&gt;first_year),_xlfn.SUMIFS(INDEX('Калькуляция (МИ корр)'!$AJ$25:$BC$747,,MATCH(AN$8,'Калькуляция (МИ корр)'!$AJ$8:$BC$8,0)),'Калькуляция (МИ корр)'!$F$25:$F$747,$F226,'Калькуляция (МИ корр)'!$G$25:$G$747,$G226),IF(method_reg="Метод экономически обоснованных расходов",_xlfn.SUMIFS('Калькуляция (МЭОР)'!$AK$25:$AK$452,'Калькуляция (МЭОР)'!$F$25:$F$452,$F226,'Калькуляция (МЭОР)'!$G$25:$G$452,$G226),IF(method_reg="Метод сравнения аналогов",_xlfn.SUMIFS('Калькуляция (МСА)'!$AF$25:$AF$122,'Калькуляция (МСА)'!$F$25:$F$122,$F226,'Калькуляция (МСА)'!$G$25:$G$122,$G226),_xlfn.SUMIFS(INDEX('Калькуляция (МИ)'!$AJ$25:$BC$747,,MATCH(AN$8,'Калькуляция (МИ)'!$AJ$8:$BC$8,0)),'Калькуляция (МИ)'!$F$25:$F$747,$F226,'Калькуляция (МИ)'!$G$25:$G$747,$G226))))</f>
        <v>1778.84536</v>
      </c>
      <c r="AO226" s="1095">
        <f>IF(AM226=0,0,(AN226-AM226)/AM226*100)</f>
        <v>0</v>
      </c>
      <c r="AP226" s="1094">
        <f>IF(AND(method_reg="Метод индексации",god&lt;&gt;first_year),_xlfn.SUMIFS(INDEX('Калькуляция (МИ корр)'!$AJ$25:$BC$747,,MATCH(AP$8,'Калькуляция (МИ корр)'!$AJ$8:$BC$8,0)),'Калькуляция (МИ корр)'!$F$25:$F$747,$F226,'Калькуляция (МИ корр)'!$G$25:$G$747,$G226),IF(method_reg="Метод экономически обоснованных расходов",_xlfn.SUMIFS('Калькуляция (МЭОР)'!$AJ$25:$AJ$452,'Калькуляция (МЭОР)'!$F$25:$F$452,$F226,'Калькуляция (МЭОР)'!$G$25:$G$452,$G226),IF(method_reg="Метод сравнения аналогов",_xlfn.SUMIFS('Калькуляция (МСА)'!$AE$25:$AE$122,'Калькуляция (МСА)'!$F$25:$F$122,$F226,'Калькуляция (МСА)'!$G$25:$G$122,$G226),_xlfn.SUMIFS(INDEX('Калькуляция (МИ)'!$AJ$25:$BC$747,,MATCH(AP$8,'Калькуляция (МИ)'!$AJ$8:$BC$8,0)),'Калькуляция (МИ)'!$F$25:$F$747,$F226,'Калькуляция (МИ)'!$G$25:$G$747,$G226))))</f>
        <v>1778.84536</v>
      </c>
      <c r="AQ226" s="1094">
        <f>IF(AND(method_reg="Метод индексации",god&lt;&gt;first_year),_xlfn.SUMIFS(INDEX('Калькуляция (МИ корр)'!$AJ$25:$BC$747,,MATCH(AQ$8,'Калькуляция (МИ корр)'!$AJ$8:$BC$8,0)),'Калькуляция (МИ корр)'!$F$25:$F$747,$F226,'Калькуляция (МИ корр)'!$G$25:$G$747,$G226),IF(method_reg="Метод экономически обоснованных расходов",_xlfn.SUMIFS('Калькуляция (МЭОР)'!$AK$25:$AK$452,'Калькуляция (МЭОР)'!$F$25:$F$452,$F226,'Калькуляция (МЭОР)'!$G$25:$G$452,$G226),IF(method_reg="Метод сравнения аналогов",_xlfn.SUMIFS('Калькуляция (МСА)'!$AF$25:$AF$122,'Калькуляция (МСА)'!$F$25:$F$122,$F226,'Калькуляция (МСА)'!$G$25:$G$122,$G226),_xlfn.SUMIFS(INDEX('Калькуляция (МИ)'!$AJ$25:$BC$747,,MATCH(AQ$8,'Калькуляция (МИ)'!$AJ$8:$BC$8,0)),'Калькуляция (МИ)'!$F$25:$F$747,$F226,'Калькуляция (МИ)'!$G$25:$G$747,$G226))))</f>
        <v>1778.84536</v>
      </c>
      <c r="AR226" s="1095">
        <f>IF(AP226=0,0,(AQ226-AP226)/AP226*100)</f>
        <v>0</v>
      </c>
      <c r="AS226" s="5247">
        <f>IF(AND(method_reg="Метод индексации",god&lt;&gt;first_year),_xlfn.SUMIFS(INDEX('Калькуляция (МИ корр)'!$AJ$25:$BC$747,,MATCH(AS$8,'Калькуляция (МИ корр)'!$AJ$8:$BC$8,0)),'Калькуляция (МИ корр)'!$F$25:$F$747,$F226,'Калькуляция (МИ корр)'!$G$25:$G$747,$G226),IF(method_reg="Метод экономически обоснованных расходов",_xlfn.SUMIFS('Калькуляция (МЭОР)'!$AJ$25:$AJ$452,'Калькуляция (МЭОР)'!$F$25:$F$452,$F226,'Калькуляция (МЭОР)'!$G$25:$G$452,$G226),IF(method_reg="Метод сравнения аналогов",_xlfn.SUMIFS('Калькуляция (МСА)'!$AE$25:$AE$122,'Калькуляция (МСА)'!$F$25:$F$122,$F226,'Калькуляция (МСА)'!$G$25:$G$122,$G226),_xlfn.SUMIFS(INDEX('Калькуляция (МИ)'!$AJ$25:$BC$747,,MATCH(AS$8,'Калькуляция (МИ)'!$AJ$8:$BC$8,0)),'Калькуляция (МИ)'!$F$25:$F$747,$F226,'Калькуляция (МИ)'!$G$25:$G$747,$G226))))</f>
        <v>0</v>
      </c>
      <c r="AT226" s="5247">
        <f>IF(AND(method_reg="Метод индексации",god&lt;&gt;first_year),_xlfn.SUMIFS(INDEX('Калькуляция (МИ корр)'!$AJ$25:$BC$747,,MATCH(AT$8,'Калькуляция (МИ корр)'!$AJ$8:$BC$8,0)),'Калькуляция (МИ корр)'!$F$25:$F$747,$F226,'Калькуляция (МИ корр)'!$G$25:$G$747,$G226),IF(method_reg="Метод экономически обоснованных расходов",_xlfn.SUMIFS('Калькуляция (МЭОР)'!$AK$25:$AK$452,'Калькуляция (МЭОР)'!$F$25:$F$452,$F226,'Калькуляция (МЭОР)'!$G$25:$G$452,$G226),IF(method_reg="Метод сравнения аналогов",_xlfn.SUMIFS('Калькуляция (МСА)'!$AF$25:$AF$122,'Калькуляция (МСА)'!$F$25:$F$122,$F226,'Калькуляция (МСА)'!$G$25:$G$122,$G226),_xlfn.SUMIFS(INDEX('Калькуляция (МИ)'!$AJ$25:$BC$747,,MATCH(AT$8,'Калькуляция (МИ)'!$AJ$8:$BC$8,0)),'Калькуляция (МИ)'!$F$25:$F$747,$F226,'Калькуляция (МИ)'!$G$25:$G$747,$G226))))</f>
        <v>0</v>
      </c>
      <c r="AU226" s="1095">
        <f>IF(AS226=0,0,(AT226-AS226)/AS226*100)</f>
        <v>0</v>
      </c>
      <c r="AV226" s="5247">
        <f>IF(AND(method_reg="Метод индексации",god&lt;&gt;first_year),_xlfn.SUMIFS(INDEX('Калькуляция (МИ корр)'!$AJ$25:$BC$747,,MATCH(AV$8,'Калькуляция (МИ корр)'!$AJ$8:$BC$8,0)),'Калькуляция (МИ корр)'!$F$25:$F$747,$F226,'Калькуляция (МИ корр)'!$G$25:$G$747,$G226),IF(method_reg="Метод экономически обоснованных расходов",_xlfn.SUMIFS('Калькуляция (МЭОР)'!$AJ$25:$AJ$452,'Калькуляция (МЭОР)'!$F$25:$F$452,$F226,'Калькуляция (МЭОР)'!$G$25:$G$452,$G226),IF(method_reg="Метод сравнения аналогов",_xlfn.SUMIFS('Калькуляция (МСА)'!$AE$25:$AE$122,'Калькуляция (МСА)'!$F$25:$F$122,$F226,'Калькуляция (МСА)'!$G$25:$G$122,$G226),_xlfn.SUMIFS(INDEX('Калькуляция (МИ)'!$AJ$25:$BC$747,,MATCH(AV$8,'Калькуляция (МИ)'!$AJ$8:$BC$8,0)),'Калькуляция (МИ)'!$F$25:$F$747,$F226,'Калькуляция (МИ)'!$G$25:$G$747,$G226))))</f>
        <v>0</v>
      </c>
      <c r="AW226" s="5247">
        <f>IF(AND(method_reg="Метод индексации",god&lt;&gt;first_year),_xlfn.SUMIFS(INDEX('Калькуляция (МИ корр)'!$AJ$25:$BC$747,,MATCH(AW$8,'Калькуляция (МИ корр)'!$AJ$8:$BC$8,0)),'Калькуляция (МИ корр)'!$F$25:$F$747,$F226,'Калькуляция (МИ корр)'!$G$25:$G$747,$G226),IF(method_reg="Метод экономически обоснованных расходов",_xlfn.SUMIFS('Калькуляция (МЭОР)'!$AK$25:$AK$452,'Калькуляция (МЭОР)'!$F$25:$F$452,$F226,'Калькуляция (МЭОР)'!$G$25:$G$452,$G226),IF(method_reg="Метод сравнения аналогов",_xlfn.SUMIFS('Калькуляция (МСА)'!$AF$25:$AF$122,'Калькуляция (МСА)'!$F$25:$F$122,$F226,'Калькуляция (МСА)'!$G$25:$G$122,$G226),_xlfn.SUMIFS(INDEX('Калькуляция (МИ)'!$AJ$25:$BC$747,,MATCH(AW$8,'Калькуляция (МИ)'!$AJ$8:$BC$8,0)),'Калькуляция (МИ)'!$F$25:$F$747,$F226,'Калькуляция (МИ)'!$G$25:$G$747,$G226))))</f>
        <v>0</v>
      </c>
      <c r="AX226" s="1095">
        <f>IF(AV226=0,0,(AW226-AV226)/AV226*100)</f>
        <v>0</v>
      </c>
      <c r="AY226" s="5247">
        <f>IF(AND(method_reg="Метод индексации",god&lt;&gt;first_year),_xlfn.SUMIFS(INDEX('Калькуляция (МИ корр)'!$AJ$25:$BC$747,,MATCH(AY$8,'Калькуляция (МИ корр)'!$AJ$8:$BC$8,0)),'Калькуляция (МИ корр)'!$F$25:$F$747,$F226,'Калькуляция (МИ корр)'!$G$25:$G$747,$G226),IF(method_reg="Метод экономически обоснованных расходов",_xlfn.SUMIFS('Калькуляция (МЭОР)'!$AJ$25:$AJ$452,'Калькуляция (МЭОР)'!$F$25:$F$452,$F226,'Калькуляция (МЭОР)'!$G$25:$G$452,$G226),IF(method_reg="Метод сравнения аналогов",_xlfn.SUMIFS('Калькуляция (МСА)'!$AE$25:$AE$122,'Калькуляция (МСА)'!$F$25:$F$122,$F226,'Калькуляция (МСА)'!$G$25:$G$122,$G226),_xlfn.SUMIFS(INDEX('Калькуляция (МИ)'!$AJ$25:$BC$747,,MATCH(AY$8,'Калькуляция (МИ)'!$AJ$8:$BC$8,0)),'Калькуляция (МИ)'!$F$25:$F$747,$F226,'Калькуляция (МИ)'!$G$25:$G$747,$G226))))</f>
        <v>0</v>
      </c>
      <c r="AZ226" s="5247">
        <f>IF(AND(method_reg="Метод индексации",god&lt;&gt;first_year),_xlfn.SUMIFS(INDEX('Калькуляция (МИ корр)'!$AJ$25:$BC$747,,MATCH(AZ$8,'Калькуляция (МИ корр)'!$AJ$8:$BC$8,0)),'Калькуляция (МИ корр)'!$F$25:$F$747,$F226,'Калькуляция (МИ корр)'!$G$25:$G$747,$G226),IF(method_reg="Метод экономически обоснованных расходов",_xlfn.SUMIFS('Калькуляция (МЭОР)'!$AK$25:$AK$452,'Калькуляция (МЭОР)'!$F$25:$F$452,$F226,'Калькуляция (МЭОР)'!$G$25:$G$452,$G226),IF(method_reg="Метод сравнения аналогов",_xlfn.SUMIFS('Калькуляция (МСА)'!$AF$25:$AF$122,'Калькуляция (МСА)'!$F$25:$F$122,$F226,'Калькуляция (МСА)'!$G$25:$G$122,$G226),_xlfn.SUMIFS(INDEX('Калькуляция (МИ)'!$AJ$25:$BC$747,,MATCH(AZ$8,'Калькуляция (МИ)'!$AJ$8:$BC$8,0)),'Калькуляция (МИ)'!$F$25:$F$747,$F226,'Калькуляция (МИ)'!$G$25:$G$747,$G226))))</f>
        <v>0</v>
      </c>
      <c r="BA226" s="1095">
        <f>IF(AY226=0,0,(AZ226-AY226)/AY226*100)</f>
        <v>0</v>
      </c>
      <c r="BB226" s="5247">
        <f>IF(AND(method_reg="Метод индексации",god&lt;&gt;first_year),_xlfn.SUMIFS(INDEX('Калькуляция (МИ корр)'!$AJ$25:$BC$747,,MATCH(BB$8,'Калькуляция (МИ корр)'!$AJ$8:$BC$8,0)),'Калькуляция (МИ корр)'!$F$25:$F$747,$F226,'Калькуляция (МИ корр)'!$G$25:$G$747,$G226),IF(method_reg="Метод экономически обоснованных расходов",_xlfn.SUMIFS('Калькуляция (МЭОР)'!$AJ$25:$AJ$452,'Калькуляция (МЭОР)'!$F$25:$F$452,$F226,'Калькуляция (МЭОР)'!$G$25:$G$452,$G226),IF(method_reg="Метод сравнения аналогов",_xlfn.SUMIFS('Калькуляция (МСА)'!$AE$25:$AE$122,'Калькуляция (МСА)'!$F$25:$F$122,$F226,'Калькуляция (МСА)'!$G$25:$G$122,$G226),_xlfn.SUMIFS(INDEX('Калькуляция (МИ)'!$AJ$25:$BC$747,,MATCH(BB$8,'Калькуляция (МИ)'!$AJ$8:$BC$8,0)),'Калькуляция (МИ)'!$F$25:$F$747,$F226,'Калькуляция (МИ)'!$G$25:$G$747,$G226))))</f>
        <v>0</v>
      </c>
      <c r="BC226" s="5247">
        <f>IF(AND(method_reg="Метод индексации",god&lt;&gt;first_year),_xlfn.SUMIFS(INDEX('Калькуляция (МИ корр)'!$AJ$25:$BC$747,,MATCH(BC$8,'Калькуляция (МИ корр)'!$AJ$8:$BC$8,0)),'Калькуляция (МИ корр)'!$F$25:$F$747,$F226,'Калькуляция (МИ корр)'!$G$25:$G$747,$G226),IF(method_reg="Метод экономически обоснованных расходов",_xlfn.SUMIFS('Калькуляция (МЭОР)'!$AK$25:$AK$452,'Калькуляция (МЭОР)'!$F$25:$F$452,$F226,'Калькуляция (МЭОР)'!$G$25:$G$452,$G226),IF(method_reg="Метод сравнения аналогов",_xlfn.SUMIFS('Калькуляция (МСА)'!$AF$25:$AF$122,'Калькуляция (МСА)'!$F$25:$F$122,$F226,'Калькуляция (МСА)'!$G$25:$G$122,$G226),_xlfn.SUMIFS(INDEX('Калькуляция (МИ)'!$AJ$25:$BC$747,,MATCH(BC$8,'Калькуляция (МИ)'!$AJ$8:$BC$8,0)),'Калькуляция (МИ)'!$F$25:$F$747,$F226,'Калькуляция (МИ)'!$G$25:$G$747,$G226))))</f>
        <v>0</v>
      </c>
      <c r="BD226" s="1095">
        <f>IF(BB226=0,0,(BC226-BB226)/BB226*100)</f>
        <v>0</v>
      </c>
      <c r="BE226" s="5247">
        <f>IF(AND(method_reg="Метод индексации",god&lt;&gt;first_year),_xlfn.SUMIFS(INDEX('Калькуляция (МИ корр)'!$AJ$25:$BC$747,,MATCH(BE$8,'Калькуляция (МИ корр)'!$AJ$8:$BC$8,0)),'Калькуляция (МИ корр)'!$F$25:$F$747,$F226,'Калькуляция (МИ корр)'!$G$25:$G$747,$G226),IF(method_reg="Метод экономически обоснованных расходов",_xlfn.SUMIFS('Калькуляция (МЭОР)'!$AJ$25:$AJ$452,'Калькуляция (МЭОР)'!$F$25:$F$452,$F226,'Калькуляция (МЭОР)'!$G$25:$G$452,$G226),IF(method_reg="Метод сравнения аналогов",_xlfn.SUMIFS('Калькуляция (МСА)'!$AE$25:$AE$122,'Калькуляция (МСА)'!$F$25:$F$122,$F226,'Калькуляция (МСА)'!$G$25:$G$122,$G226),_xlfn.SUMIFS(INDEX('Калькуляция (МИ)'!$AJ$25:$BC$747,,MATCH(BE$8,'Калькуляция (МИ)'!$AJ$8:$BC$8,0)),'Калькуляция (МИ)'!$F$25:$F$747,$F226,'Калькуляция (МИ)'!$G$25:$G$747,$G226))))</f>
        <v>0</v>
      </c>
      <c r="BF226" s="5247">
        <f>IF(AND(method_reg="Метод индексации",god&lt;&gt;first_year),_xlfn.SUMIFS(INDEX('Калькуляция (МИ корр)'!$AJ$25:$BC$747,,MATCH(BF$8,'Калькуляция (МИ корр)'!$AJ$8:$BC$8,0)),'Калькуляция (МИ корр)'!$F$25:$F$747,$F226,'Калькуляция (МИ корр)'!$G$25:$G$747,$G226),IF(method_reg="Метод экономически обоснованных расходов",_xlfn.SUMIFS('Калькуляция (МЭОР)'!$AK$25:$AK$452,'Калькуляция (МЭОР)'!$F$25:$F$452,$F226,'Калькуляция (МЭОР)'!$G$25:$G$452,$G226),IF(method_reg="Метод сравнения аналогов",_xlfn.SUMIFS('Калькуляция (МСА)'!$AF$25:$AF$122,'Калькуляция (МСА)'!$F$25:$F$122,$F226,'Калькуляция (МСА)'!$G$25:$G$122,$G226),_xlfn.SUMIFS(INDEX('Калькуляция (МИ)'!$AJ$25:$BC$747,,MATCH(BF$8,'Калькуляция (МИ)'!$AJ$8:$BC$8,0)),'Калькуляция (МИ)'!$F$25:$F$747,$F226,'Калькуляция (МИ)'!$G$25:$G$747,$G226))))</f>
        <v>0</v>
      </c>
      <c r="BG226" s="1095">
        <f>IF(BE226=0,0,(BF226-BE226)/BE226*100)</f>
        <v>0</v>
      </c>
      <c r="BH226" s="5247"/>
      <c r="BI226" s="5247"/>
      <c r="BJ226" s="1095">
        <f>IF(BH226=0,0,(BI226-BH226)/BH226*100)</f>
        <v>0</v>
      </c>
      <c r="BK226" s="5247"/>
      <c r="BL226" s="5247"/>
      <c r="BM226" s="1095">
        <f>IF(BK226=0,0,(BL226-BK226)/BK226*100)</f>
        <v>0</v>
      </c>
      <c r="BN226" s="5247"/>
      <c r="BO226" s="5247"/>
      <c r="BP226" s="1095">
        <f>IF(BN226=0,0,(BO226-BN226)/BN226*100)</f>
        <v>0</v>
      </c>
      <c r="BQ226" s="5247"/>
      <c r="BR226" s="5247"/>
      <c r="BS226" s="1095">
        <f>IF(BQ226=0,0,(BR226-BQ226)/BQ226*100)</f>
        <v>0</v>
      </c>
      <c r="BT226" s="5247"/>
      <c r="BU226" s="5247"/>
      <c r="BV226" s="1095">
        <f>IF(BT226=0,0,(BU226-BT226)/BT226*100)</f>
        <v>0</v>
      </c>
      <c r="BW226" s="5247"/>
      <c r="BX226" s="5247"/>
      <c r="BY226" s="1095">
        <f>IF(BW226=0,0,(BX226-BW226)/BW226*100)</f>
        <v>0</v>
      </c>
      <c r="BZ226" s="5247"/>
      <c r="CA226" s="5247"/>
      <c r="CB226" s="1095">
        <f>IF(BZ226=0,0,(CA226-BZ226)/BZ226*100)</f>
        <v>0</v>
      </c>
      <c r="CC226" s="5247"/>
      <c r="CD226" s="5247"/>
      <c r="CE226" s="1095">
        <f>IF(CC226=0,0,(CD226-CC226)/CC226*100)</f>
        <v>0</v>
      </c>
      <c r="CF226" s="5247"/>
      <c r="CG226" s="5247"/>
      <c r="CH226" s="1095">
        <f>IF(CF226=0,0,(CG226-CF226)/CF226*100)</f>
        <v>0</v>
      </c>
      <c r="CI226" s="5247"/>
      <c r="CJ226" s="5247"/>
      <c r="CK226" s="1095">
        <f>IF(CI226=0,0,(CJ226-CI226)/CI226*100)</f>
        <v>0</v>
      </c>
      <c r="CL226" s="5247"/>
      <c r="CM226" s="5247"/>
      <c r="CN226" s="1095">
        <f>IF(CL226=0,0,(CM226-CL226)/CL226*100)</f>
        <v>0</v>
      </c>
      <c r="CO226" s="5247"/>
      <c r="CP226" s="5247"/>
      <c r="CQ226" s="1095">
        <f>IF(CO226=0,0,(CP226-CO226)/CO226*100)</f>
        <v>0</v>
      </c>
      <c r="CR226" s="5247"/>
      <c r="CS226" s="5247"/>
      <c r="CT226" s="1095">
        <f>IF(CR226=0,0,(CS226-CR226)/CR226*100)</f>
        <v>0</v>
      </c>
      <c r="CU226" s="5247"/>
      <c r="CV226" s="5247"/>
      <c r="CW226" s="1095">
        <f>IF(CU226=0,0,(CV226-CU226)/CU226*100)</f>
        <v>0</v>
      </c>
      <c r="CX226" s="5247"/>
      <c r="CY226" s="5247"/>
      <c r="CZ226" s="1095">
        <f>IF(CX226=0,0,(CY226-CX226)/CX226*100)</f>
        <v>0</v>
      </c>
      <c r="DA226" s="5247"/>
      <c r="DB226" s="5247"/>
      <c r="DC226" s="1095">
        <f>IF(DA226=0,0,(DB226-DA226)/DA226*100)</f>
        <v>0</v>
      </c>
      <c r="DD226" s="5247"/>
      <c r="DE226" s="5247"/>
      <c r="DF226" s="1095">
        <f>IF(DD226=0,0,(DE226-DD226)/DD226*100)</f>
        <v>0</v>
      </c>
      <c r="DG226" s="5247"/>
      <c r="DH226" s="5247"/>
      <c r="DI226" s="1095">
        <f>IF(DG226=0,0,(DH226-DG226)/DG226*100)</f>
        <v>0</v>
      </c>
      <c r="DJ226" s="5247"/>
      <c r="DK226" s="5247"/>
      <c r="DL226" s="1095">
        <f>IF(DJ226=0,0,(DK226-DJ226)/DJ226*100)</f>
        <v>0</v>
      </c>
      <c r="DM226" s="5247"/>
      <c r="DN226" s="5247"/>
      <c r="DO226" s="1095">
        <f>IF(DM226=0,0,(DN226-DM226)/DM226*100)</f>
        <v>0</v>
      </c>
      <c r="DP226" s="5247"/>
      <c r="DQ226" s="5247"/>
      <c r="DR226" s="1095">
        <f>IF(DP226=0,0,(DQ226-DP226)/DP226*100)</f>
        <v>0</v>
      </c>
      <c r="DS226" s="5247"/>
      <c r="DT226" s="5247"/>
      <c r="DU226" s="1095">
        <f>IF(DS226=0,0,(DT226-DS226)/DS226*100)</f>
        <v>0</v>
      </c>
      <c r="DV226" s="5247"/>
      <c r="DW226" s="5247"/>
      <c r="DX226" s="1095">
        <f>IF(DV226=0,0,(DW226-DV226)/DV226*100)</f>
        <v>0</v>
      </c>
      <c r="DY226" s="5247"/>
      <c r="DZ226" s="5247"/>
      <c r="EA226" s="1095">
        <f>IF(DY226=0,0,(DZ226-DY226)/DY226*100)</f>
        <v>0</v>
      </c>
      <c r="EB226" s="5247"/>
      <c r="EC226" s="5247"/>
      <c r="ED226" s="1095">
        <f>IF(EB226=0,0,(EC226-EB226)/EB226*100)</f>
        <v>0</v>
      </c>
      <c r="EE226" s="5247"/>
      <c r="EF226" s="5247"/>
      <c r="EG226" s="1095">
        <f>IF(EE226=0,0,(EF226-EE226)/EE226*100)</f>
        <v>0</v>
      </c>
      <c r="EH226" s="5247"/>
      <c r="EI226" s="5247"/>
      <c r="EJ226" s="1095">
        <f>IF(EH226=0,0,(EI226-EH226)/EH226*100)</f>
        <v>0</v>
      </c>
      <c r="EK226" s="5247"/>
      <c r="EL226" s="5247"/>
      <c r="EM226" s="1095">
        <f>IF(EK226=0,0,(EL226-EK226)/EK226*100)</f>
        <v>0</v>
      </c>
      <c r="EN226" s="5247"/>
      <c r="EO226" s="5247"/>
      <c r="EP226" s="1095">
        <f>IF(EN226=0,0,(EO226-EN226)/EN226*100)</f>
        <v>0</v>
      </c>
      <c r="EQ226" s="5247"/>
      <c r="ER226" s="5247"/>
      <c r="ES226" s="1095">
        <f>IF(EQ226=0,0,(ER226-EQ226)/EQ226*100)</f>
        <v>0</v>
      </c>
      <c r="ET226" s="5247"/>
      <c r="EU226" s="5247"/>
      <c r="EV226" s="1095">
        <f>IF(ET226=0,0,(EU226-ET226)/ET226*100)</f>
        <v>0</v>
      </c>
      <c r="EW226" s="5247"/>
      <c r="EX226" s="5247"/>
      <c r="EY226" s="1095">
        <f>IF(EW226=0,0,(EX226-EW226)/EW226*100)</f>
        <v>0</v>
      </c>
      <c r="EZ226" s="5247"/>
      <c r="FA226" s="5247"/>
      <c r="FB226" s="1095">
        <f>IF(EZ226=0,0,(FA226-EZ226)/EZ226*100)</f>
        <v>0</v>
      </c>
      <c r="FC226" s="5247"/>
      <c r="FD226" s="5247"/>
      <c r="FE226" s="1095">
        <f>IF(FC226=0,0,(FD226-FC226)/FC226*100)</f>
        <v>0</v>
      </c>
      <c r="FF226" s="5247"/>
      <c r="FG226" s="5247"/>
      <c r="FH226" s="1095">
        <f>IF(FF226=0,0,(FG226-FF226)/FF226*100)</f>
        <v>0</v>
      </c>
      <c r="FI226" s="5247"/>
      <c r="FJ226" s="5247"/>
      <c r="FK226" s="1095">
        <f>IF(FI226=0,0,(FJ226-FI226)/FI226*100)</f>
        <v>0</v>
      </c>
      <c r="FL226" s="5247"/>
      <c r="FM226" s="5247"/>
      <c r="FN226" s="1095">
        <f>IF(FL226=0,0,(FM226-FL226)/FL226*100)</f>
        <v>0</v>
      </c>
      <c r="FO226" s="5247"/>
      <c r="FP226" s="5247"/>
      <c r="FQ226" s="1095">
        <f>IF(FO226=0,0,(FP226-FO226)/FO226*100)</f>
        <v>0</v>
      </c>
      <c r="FR226" s="5247"/>
      <c r="FS226" s="5247"/>
      <c r="FT226" s="1095">
        <f>IF(FR226=0,0,(FS226-FR226)/FR226*100)</f>
        <v>0</v>
      </c>
      <c r="FU226" s="5247"/>
      <c r="FV226" s="5247"/>
      <c r="FW226" s="1095">
        <f>IF(FU226=0,0,(FV226-FU226)/FU226*100)</f>
        <v>0</v>
      </c>
      <c r="FX226" s="292"/>
      <c r="FY226" s="1304"/>
      <c r="FZ226" s="1055" t="s">
        <v>2348</v>
      </c>
      <c r="GA226" s="1306"/>
      <c r="GB226" s="1306"/>
      <c r="GC226" s="1305"/>
      <c r="GD226" s="1305"/>
    </row>
    <row s="6207" customFormat="1" customHeight="1" ht="23.25">
      <c r="A227" s="897"/>
      <c r="B227" s="925" cm="1" t="str">
        <f t="array" ref="B227:B227">B226</f>
        <v>true</v>
      </c>
      <c r="C227" s="897"/>
      <c r="D227" s="897"/>
      <c r="E227" s="898">
        <v>24.5</v>
      </c>
      <c r="F227" s="50" cm="1" t="str">
        <f t="array" ref="F227:F227">OFFSET(E227,-1,1)</f>
        <v>3</v>
      </c>
      <c r="G227" s="107" t="s">
        <v>2349</v>
      </c>
      <c r="H227" s="493" t="s">
        <v>1175</v>
      </c>
      <c r="I227" s="493" t="s">
        <v>2350</v>
      </c>
      <c r="J227" s="897"/>
      <c r="K227" s="897"/>
      <c r="L227" s="493"/>
      <c r="M227" s="897"/>
      <c r="N227" s="897"/>
      <c r="O227" s="897"/>
      <c r="P227" s="897"/>
      <c r="Q227" s="897"/>
      <c r="R227" s="493"/>
      <c r="S227" s="493"/>
      <c r="T227" s="465" cm="1" t="str">
        <f t="array" ref="T227:T227">T226</f>
        <v>true</v>
      </c>
      <c r="U227" s="897"/>
      <c r="V227" s="897"/>
      <c r="W227" s="897"/>
      <c r="X227" s="1596"/>
      <c r="Y227" s="897"/>
      <c r="Z227" s="1545"/>
      <c r="AA227" s="897"/>
      <c r="AB227" s="293" t="s">
        <v>2351</v>
      </c>
      <c r="AC227" s="294" t="s">
        <v>2337</v>
      </c>
      <c r="AD227" s="899">
        <f>IF(AND(method_reg="Метод индексации",god&lt;&gt;first_year),_xlfn.SUMIFS(INDEX('Калькуляция (МИ корр)'!$AJ$25:$BC$747,,MATCH(AD$8,'Калькуляция (МИ корр)'!$AJ$8:$BC$8,0)),'Калькуляция (МИ корр)'!$F$25:$F$747,$F227,'Калькуляция (МИ корр)'!$G$25:$G$747,$G227),IF(method_reg="Метод экономически обоснованных расходов",_xlfn.SUMIFS('Калькуляция (МЭОР)'!$AJ$25:$AJ$452,'Калькуляция (МЭОР)'!$F$25:$F$452,$F227,'Калькуляция (МЭОР)'!$G$25:$G$452,$G227),IF(method_reg="Метод сравнения аналогов",_xlfn.SUMIFS('Калькуляция (МСА)'!$AE$25:$AE$122,'Калькуляция (МСА)'!$F$25:$F$122,$F227,'Калькуляция (МСА)'!$G$25:$G$122,$G227),_xlfn.SUMIFS(INDEX('Калькуляция (МИ)'!$AJ$25:$BC$747,,MATCH(AD$8,'Калькуляция (МИ)'!$AJ$8:$BC$8,0)),'Калькуляция (МИ)'!$F$25:$F$747,$F227,'Калькуляция (МИ)'!$G$25:$G$747,$G227))))</f>
        <v>91.9148</v>
      </c>
      <c r="AE227" s="899">
        <f>IF(AND(method_reg="Метод индексации",god&lt;&gt;first_year),_xlfn.SUMIFS(INDEX('Калькуляция (МИ корр)'!$AJ$25:$BC$747,,MATCH(AE$8,'Калькуляция (МИ корр)'!$AJ$8:$BC$8,0)),'Калькуляция (МИ корр)'!$F$25:$F$747,$F227,'Калькуляция (МИ корр)'!$G$25:$G$747,$G227),IF(method_reg="Метод экономически обоснованных расходов",_xlfn.SUMIFS('Калькуляция (МЭОР)'!$AK$25:$AK$452,'Калькуляция (МЭОР)'!$F$25:$F$452,$F227,'Калькуляция (МЭОР)'!$G$25:$G$452,$G227),IF(method_reg="Метод сравнения аналогов",_xlfn.SUMIFS('Калькуляция (МСА)'!$AF$25:$AF$122,'Калькуляция (МСА)'!$F$25:$F$122,$F227,'Калькуляция (МСА)'!$G$25:$G$122,$G227),_xlfn.SUMIFS(INDEX('Калькуляция (МИ)'!$AJ$25:$BC$747,,MATCH(AE$8,'Калькуляция (МИ)'!$AJ$8:$BC$8,0)),'Калькуляция (МИ)'!$F$25:$F$747,$F227,'Калькуляция (МИ)'!$G$25:$G$747,$G227))))</f>
        <v>91.9148</v>
      </c>
      <c r="AF227" s="296">
        <f>IF(AD227=0,0,(AE227-AD227)/AD227*100)</f>
        <v>0</v>
      </c>
      <c r="AG227" s="899">
        <f>IF(AND(method_reg="Метод индексации",god&lt;&gt;first_year),_xlfn.SUMIFS(INDEX('Калькуляция (МИ корр)'!$AJ$25:$BC$747,,MATCH(AG$8,'Калькуляция (МИ корр)'!$AJ$8:$BC$8,0)),'Калькуляция (МИ корр)'!$F$25:$F$747,$F227,'Калькуляция (МИ корр)'!$G$25:$G$747,$G227),IF(method_reg="Метод экономически обоснованных расходов",_xlfn.SUMIFS('Калькуляция (МЭОР)'!$AJ$25:$AJ$452,'Калькуляция (МЭОР)'!$F$25:$F$452,$F227,'Калькуляция (МЭОР)'!$G$25:$G$452,$G227),IF(method_reg="Метод сравнения аналогов",_xlfn.SUMIFS('Калькуляция (МСА)'!$AE$25:$AE$122,'Калькуляция (МСА)'!$F$25:$F$122,$F227,'Калькуляция (МСА)'!$G$25:$G$122,$G227),_xlfn.SUMIFS(INDEX('Калькуляция (МИ)'!$AJ$25:$BC$747,,MATCH(AG$8,'Калькуляция (МИ)'!$AJ$8:$BC$8,0)),'Калькуляция (МИ)'!$F$25:$F$747,$F227,'Калькуляция (МИ)'!$G$25:$G$747,$G227))))</f>
        <v>101.1014</v>
      </c>
      <c r="AH227" s="899">
        <f>IF(AND(method_reg="Метод индексации",god&lt;&gt;first_year),_xlfn.SUMIFS(INDEX('Калькуляция (МИ корр)'!$AJ$25:$BC$747,,MATCH(AH$8,'Калькуляция (МИ корр)'!$AJ$8:$BC$8,0)),'Калькуляция (МИ корр)'!$F$25:$F$747,$F227,'Калькуляция (МИ корр)'!$G$25:$G$747,$G227),IF(method_reg="Метод экономически обоснованных расходов",_xlfn.SUMIFS('Калькуляция (МЭОР)'!$AK$25:$AK$452,'Калькуляция (МЭОР)'!$F$25:$F$452,$F227,'Калькуляция (МЭОР)'!$G$25:$G$452,$G227),IF(method_reg="Метод сравнения аналогов",_xlfn.SUMIFS('Калькуляция (МСА)'!$AF$25:$AF$122,'Калькуляция (МСА)'!$F$25:$F$122,$F227,'Калькуляция (МСА)'!$G$25:$G$122,$G227),_xlfn.SUMIFS(INDEX('Калькуляция (МИ)'!$AJ$25:$BC$747,,MATCH(AH$8,'Калькуляция (МИ)'!$AJ$8:$BC$8,0)),'Калькуляция (МИ)'!$F$25:$F$747,$F227,'Калькуляция (МИ)'!$G$25:$G$747,$G227))))</f>
        <v>101.101683692902</v>
      </c>
      <c r="AI227" s="296">
        <f>IF(AG227=0,0,(AH227-AG227)/AG227*100)</f>
        <v>0.000280602347743978</v>
      </c>
      <c r="AJ227" s="899">
        <f>IF(AND(method_reg="Метод индексации",god&lt;&gt;first_year),_xlfn.SUMIFS(INDEX('Калькуляция (МИ корр)'!$AJ$25:$BC$747,,MATCH(AJ$8,'Калькуляция (МИ корр)'!$AJ$8:$BC$8,0)),'Калькуляция (МИ корр)'!$F$25:$F$747,$F227,'Калькуляция (МИ корр)'!$G$25:$G$747,$G227),IF(method_reg="Метод экономически обоснованных расходов",_xlfn.SUMIFS('Калькуляция (МЭОР)'!$AJ$25:$AJ$452,'Калькуляция (МЭОР)'!$F$25:$F$452,$F227,'Калькуляция (МЭОР)'!$G$25:$G$452,$G227),IF(method_reg="Метод сравнения аналогов",_xlfn.SUMIFS('Калькуляция (МСА)'!$AE$25:$AE$122,'Калькуляция (МСА)'!$F$25:$F$122,$F227,'Калькуляция (МСА)'!$G$25:$G$122,$G227),_xlfn.SUMIFS(INDEX('Калькуляция (МИ)'!$AJ$25:$BC$747,,MATCH(AJ$8,'Калькуляция (МИ)'!$AJ$8:$BC$8,0)),'Калькуляция (МИ)'!$F$25:$F$747,$F227,'Калькуляция (МИ)'!$G$25:$G$747,$G227))))</f>
        <v>109.9586</v>
      </c>
      <c r="AK227" s="899">
        <f>IF(AND(method_reg="Метод индексации",god&lt;&gt;first_year),_xlfn.SUMIFS(INDEX('Калькуляция (МИ корр)'!$AJ$25:$BC$747,,MATCH(AK$8,'Калькуляция (МИ корр)'!$AJ$8:$BC$8,0)),'Калькуляция (МИ корр)'!$F$25:$F$747,$F227,'Калькуляция (МИ корр)'!$G$25:$G$747,$G227),IF(method_reg="Метод экономически обоснованных расходов",_xlfn.SUMIFS('Калькуляция (МЭОР)'!$AK$25:$AK$452,'Калькуляция (МЭОР)'!$F$25:$F$452,$F227,'Калькуляция (МЭОР)'!$G$25:$G$452,$G227),IF(method_reg="Метод сравнения аналогов",_xlfn.SUMIFS('Калькуляция (МСА)'!$AF$25:$AF$122,'Калькуляция (МСА)'!$F$25:$F$122,$F227,'Калькуляция (МСА)'!$G$25:$G$122,$G227),_xlfn.SUMIFS(INDEX('Калькуляция (МИ)'!$AJ$25:$BC$747,,MATCH(AK$8,'Калькуляция (МИ)'!$AJ$8:$BC$8,0)),'Калькуляция (МИ)'!$F$25:$F$747,$F227,'Калькуляция (МИ)'!$G$25:$G$747,$G227))))</f>
        <v>109.958465027148</v>
      </c>
      <c r="AL227" s="296">
        <f>IF(AJ227=0,0,(AK227-AJ227)/AJ227*100)</f>
        <v>-0.000122748790917396</v>
      </c>
      <c r="AM227" s="899">
        <f>IF(AND(method_reg="Метод индексации",god&lt;&gt;first_year),_xlfn.SUMIFS(INDEX('Калькуляция (МИ корр)'!$AJ$25:$BC$747,,MATCH(AM$8,'Калькуляция (МИ корр)'!$AJ$8:$BC$8,0)),'Калькуляция (МИ корр)'!$F$25:$F$747,$F227,'Калькуляция (МИ корр)'!$G$25:$G$747,$G227),IF(method_reg="Метод экономически обоснованных расходов",_xlfn.SUMIFS('Калькуляция (МЭОР)'!$AJ$25:$AJ$452,'Калькуляция (МЭОР)'!$F$25:$F$452,$F227,'Калькуляция (МЭОР)'!$G$25:$G$452,$G227),IF(method_reg="Метод сравнения аналогов",_xlfn.SUMIFS('Калькуляция (МСА)'!$AE$25:$AE$122,'Калькуляция (МСА)'!$F$25:$F$122,$F227,'Калькуляция (МСА)'!$G$25:$G$122,$G227),_xlfn.SUMIFS(INDEX('Калькуляция (МИ)'!$AJ$25:$BC$747,,MATCH(AM$8,'Калькуляция (МИ)'!$AJ$8:$BC$8,0)),'Калькуляция (МИ)'!$F$25:$F$747,$F227,'Калькуляция (МИ)'!$G$25:$G$747,$G227))))</f>
        <v>114.6556</v>
      </c>
      <c r="AN227" s="899">
        <f>IF(AND(method_reg="Метод индексации",god&lt;&gt;first_year),_xlfn.SUMIFS(INDEX('Калькуляция (МИ корр)'!$AJ$25:$BC$747,,MATCH(AN$8,'Калькуляция (МИ корр)'!$AJ$8:$BC$8,0)),'Калькуляция (МИ корр)'!$F$25:$F$747,$F227,'Калькуляция (МИ корр)'!$G$25:$G$747,$G227),IF(method_reg="Метод экономически обоснованных расходов",_xlfn.SUMIFS('Калькуляция (МЭОР)'!$AK$25:$AK$452,'Калькуляция (МЭОР)'!$F$25:$F$452,$F227,'Калькуляция (МЭОР)'!$G$25:$G$452,$G227),IF(method_reg="Метод сравнения аналогов",_xlfn.SUMIFS('Калькуляция (МСА)'!$AF$25:$AF$122,'Калькуляция (МСА)'!$F$25:$F$122,$F227,'Калькуляция (МСА)'!$G$25:$G$122,$G227),_xlfn.SUMIFS(INDEX('Калькуляция (МИ)'!$AJ$25:$BC$747,,MATCH(AN$8,'Калькуляция (МИ)'!$AJ$8:$BC$8,0)),'Калькуляция (МИ)'!$F$25:$F$747,$F227,'Калькуляция (МИ)'!$G$25:$G$747,$G227))))</f>
        <v>114.655885162316</v>
      </c>
      <c r="AO227" s="296">
        <f>IF(AM227=0,0,(AN227-AM227)/AM227*100)</f>
        <v>0.000248712069876963</v>
      </c>
      <c r="AP227" s="899">
        <f>IF(AND(method_reg="Метод индексации",god&lt;&gt;first_year),_xlfn.SUMIFS(INDEX('Калькуляция (МИ корр)'!$AJ$25:$BC$747,,MATCH(AP$8,'Калькуляция (МИ корр)'!$AJ$8:$BC$8,0)),'Калькуляция (МИ корр)'!$F$25:$F$747,$F227,'Калькуляция (МИ корр)'!$G$25:$G$747,$G227),IF(method_reg="Метод экономически обоснованных расходов",_xlfn.SUMIFS('Калькуляция (МЭОР)'!$AJ$25:$AJ$452,'Калькуляция (МЭОР)'!$F$25:$F$452,$F227,'Калькуляция (МЭОР)'!$G$25:$G$452,$G227),IF(method_reg="Метод сравнения аналогов",_xlfn.SUMIFS('Калькуляция (МСА)'!$AE$25:$AE$122,'Калькуляция (МСА)'!$F$25:$F$122,$F227,'Калькуляция (МСА)'!$G$25:$G$122,$G227),_xlfn.SUMIFS(INDEX('Калькуляция (МИ)'!$AJ$25:$BC$747,,MATCH(AP$8,'Калькуляция (МИ)'!$AJ$8:$BC$8,0)),'Калькуляция (МИ)'!$F$25:$F$747,$F227,'Калькуляция (МИ)'!$G$25:$G$747,$G227))))</f>
        <v>115.9</v>
      </c>
      <c r="AQ227" s="899">
        <f>IF(AND(method_reg="Метод индексации",god&lt;&gt;first_year),_xlfn.SUMIFS(INDEX('Калькуляция (МИ корр)'!$AJ$25:$BC$747,,MATCH(AQ$8,'Калькуляция (МИ корр)'!$AJ$8:$BC$8,0)),'Калькуляция (МИ корр)'!$F$25:$F$747,$F227,'Калькуляция (МИ корр)'!$G$25:$G$747,$G227),IF(method_reg="Метод экономически обоснованных расходов",_xlfn.SUMIFS('Калькуляция (МЭОР)'!$AK$25:$AK$452,'Калькуляция (МЭОР)'!$F$25:$F$452,$F227,'Калькуляция (МЭОР)'!$G$25:$G$452,$G227),IF(method_reg="Метод сравнения аналогов",_xlfn.SUMIFS('Калькуляция (МСА)'!$AF$25:$AF$122,'Калькуляция (МСА)'!$F$25:$F$122,$F227,'Калькуляция (МСА)'!$G$25:$G$122,$G227),_xlfn.SUMIFS(INDEX('Калькуляция (МИ)'!$AJ$25:$BC$747,,MATCH(AQ$8,'Калькуляция (МИ)'!$AJ$8:$BC$8,0)),'Калькуляция (МИ)'!$F$25:$F$747,$F227,'Калькуляция (МИ)'!$G$25:$G$747,$G227))))</f>
        <v>115.899872150348</v>
      </c>
      <c r="AR227" s="296">
        <f>IF(AP227=0,0,(AQ227-AP227)/AP227*100)</f>
        <v>-0.000110310312340781</v>
      </c>
      <c r="AS227" s="5239">
        <f>IF(AND(method_reg="Метод индексации",god&lt;&gt;first_year),_xlfn.SUMIFS(INDEX('Калькуляция (МИ корр)'!$AJ$25:$BC$747,,MATCH(AS$8,'Калькуляция (МИ корр)'!$AJ$8:$BC$8,0)),'Калькуляция (МИ корр)'!$F$25:$F$747,$F227,'Калькуляция (МИ корр)'!$G$25:$G$747,$G227),IF(method_reg="Метод экономически обоснованных расходов",_xlfn.SUMIFS('Калькуляция (МЭОР)'!$AJ$25:$AJ$452,'Калькуляция (МЭОР)'!$F$25:$F$452,$F227,'Калькуляция (МЭОР)'!$G$25:$G$452,$G227),IF(method_reg="Метод сравнения аналогов",_xlfn.SUMIFS('Калькуляция (МСА)'!$AE$25:$AE$122,'Калькуляция (МСА)'!$F$25:$F$122,$F227,'Калькуляция (МСА)'!$G$25:$G$122,$G227),_xlfn.SUMIFS(INDEX('Калькуляция (МИ)'!$AJ$25:$BC$747,,MATCH(AS$8,'Калькуляция (МИ)'!$AJ$8:$BC$8,0)),'Калькуляция (МИ)'!$F$25:$F$747,$F227,'Калькуляция (МИ)'!$G$25:$G$747,$G227))))</f>
        <v>0</v>
      </c>
      <c r="AT227" s="5239">
        <f>IF(AND(method_reg="Метод индексации",god&lt;&gt;first_year),_xlfn.SUMIFS(INDEX('Калькуляция (МИ корр)'!$AJ$25:$BC$747,,MATCH(AT$8,'Калькуляция (МИ корр)'!$AJ$8:$BC$8,0)),'Калькуляция (МИ корр)'!$F$25:$F$747,$F227,'Калькуляция (МИ корр)'!$G$25:$G$747,$G227),IF(method_reg="Метод экономически обоснованных расходов",_xlfn.SUMIFS('Калькуляция (МЭОР)'!$AK$25:$AK$452,'Калькуляция (МЭОР)'!$F$25:$F$452,$F227,'Калькуляция (МЭОР)'!$G$25:$G$452,$G227),IF(method_reg="Метод сравнения аналогов",_xlfn.SUMIFS('Калькуляция (МСА)'!$AF$25:$AF$122,'Калькуляция (МСА)'!$F$25:$F$122,$F227,'Калькуляция (МСА)'!$G$25:$G$122,$G227),_xlfn.SUMIFS(INDEX('Калькуляция (МИ)'!$AJ$25:$BC$747,,MATCH(AT$8,'Калькуляция (МИ)'!$AJ$8:$BC$8,0)),'Калькуляция (МИ)'!$F$25:$F$747,$F227,'Калькуляция (МИ)'!$G$25:$G$747,$G227))))</f>
        <v>0</v>
      </c>
      <c r="AU227" s="296">
        <f>IF(AS227=0,0,(AT227-AS227)/AS227*100)</f>
        <v>0</v>
      </c>
      <c r="AV227" s="5239">
        <f>IF(AND(method_reg="Метод индексации",god&lt;&gt;first_year),_xlfn.SUMIFS(INDEX('Калькуляция (МИ корр)'!$AJ$25:$BC$747,,MATCH(AV$8,'Калькуляция (МИ корр)'!$AJ$8:$BC$8,0)),'Калькуляция (МИ корр)'!$F$25:$F$747,$F227,'Калькуляция (МИ корр)'!$G$25:$G$747,$G227),IF(method_reg="Метод экономически обоснованных расходов",_xlfn.SUMIFS('Калькуляция (МЭОР)'!$AJ$25:$AJ$452,'Калькуляция (МЭОР)'!$F$25:$F$452,$F227,'Калькуляция (МЭОР)'!$G$25:$G$452,$G227),IF(method_reg="Метод сравнения аналогов",_xlfn.SUMIFS('Калькуляция (МСА)'!$AE$25:$AE$122,'Калькуляция (МСА)'!$F$25:$F$122,$F227,'Калькуляция (МСА)'!$G$25:$G$122,$G227),_xlfn.SUMIFS(INDEX('Калькуляция (МИ)'!$AJ$25:$BC$747,,MATCH(AV$8,'Калькуляция (МИ)'!$AJ$8:$BC$8,0)),'Калькуляция (МИ)'!$F$25:$F$747,$F227,'Калькуляция (МИ)'!$G$25:$G$747,$G227))))</f>
        <v>0</v>
      </c>
      <c r="AW227" s="5239">
        <f>IF(AND(method_reg="Метод индексации",god&lt;&gt;first_year),_xlfn.SUMIFS(INDEX('Калькуляция (МИ корр)'!$AJ$25:$BC$747,,MATCH(AW$8,'Калькуляция (МИ корр)'!$AJ$8:$BC$8,0)),'Калькуляция (МИ корр)'!$F$25:$F$747,$F227,'Калькуляция (МИ корр)'!$G$25:$G$747,$G227),IF(method_reg="Метод экономически обоснованных расходов",_xlfn.SUMIFS('Калькуляция (МЭОР)'!$AK$25:$AK$452,'Калькуляция (МЭОР)'!$F$25:$F$452,$F227,'Калькуляция (МЭОР)'!$G$25:$G$452,$G227),IF(method_reg="Метод сравнения аналогов",_xlfn.SUMIFS('Калькуляция (МСА)'!$AF$25:$AF$122,'Калькуляция (МСА)'!$F$25:$F$122,$F227,'Калькуляция (МСА)'!$G$25:$G$122,$G227),_xlfn.SUMIFS(INDEX('Калькуляция (МИ)'!$AJ$25:$BC$747,,MATCH(AW$8,'Калькуляция (МИ)'!$AJ$8:$BC$8,0)),'Калькуляция (МИ)'!$F$25:$F$747,$F227,'Калькуляция (МИ)'!$G$25:$G$747,$G227))))</f>
        <v>0</v>
      </c>
      <c r="AX227" s="296">
        <f>IF(AV227=0,0,(AW227-AV227)/AV227*100)</f>
        <v>0</v>
      </c>
      <c r="AY227" s="5239">
        <f>IF(AND(method_reg="Метод индексации",god&lt;&gt;first_year),_xlfn.SUMIFS(INDEX('Калькуляция (МИ корр)'!$AJ$25:$BC$747,,MATCH(AY$8,'Калькуляция (МИ корр)'!$AJ$8:$BC$8,0)),'Калькуляция (МИ корр)'!$F$25:$F$747,$F227,'Калькуляция (МИ корр)'!$G$25:$G$747,$G227),IF(method_reg="Метод экономически обоснованных расходов",_xlfn.SUMIFS('Калькуляция (МЭОР)'!$AJ$25:$AJ$452,'Калькуляция (МЭОР)'!$F$25:$F$452,$F227,'Калькуляция (МЭОР)'!$G$25:$G$452,$G227),IF(method_reg="Метод сравнения аналогов",_xlfn.SUMIFS('Калькуляция (МСА)'!$AE$25:$AE$122,'Калькуляция (МСА)'!$F$25:$F$122,$F227,'Калькуляция (МСА)'!$G$25:$G$122,$G227),_xlfn.SUMIFS(INDEX('Калькуляция (МИ)'!$AJ$25:$BC$747,,MATCH(AY$8,'Калькуляция (МИ)'!$AJ$8:$BC$8,0)),'Калькуляция (МИ)'!$F$25:$F$747,$F227,'Калькуляция (МИ)'!$G$25:$G$747,$G227))))</f>
        <v>0</v>
      </c>
      <c r="AZ227" s="5239">
        <f>IF(AND(method_reg="Метод индексации",god&lt;&gt;first_year),_xlfn.SUMIFS(INDEX('Калькуляция (МИ корр)'!$AJ$25:$BC$747,,MATCH(AZ$8,'Калькуляция (МИ корр)'!$AJ$8:$BC$8,0)),'Калькуляция (МИ корр)'!$F$25:$F$747,$F227,'Калькуляция (МИ корр)'!$G$25:$G$747,$G227),IF(method_reg="Метод экономически обоснованных расходов",_xlfn.SUMIFS('Калькуляция (МЭОР)'!$AK$25:$AK$452,'Калькуляция (МЭОР)'!$F$25:$F$452,$F227,'Калькуляция (МЭОР)'!$G$25:$G$452,$G227),IF(method_reg="Метод сравнения аналогов",_xlfn.SUMIFS('Калькуляция (МСА)'!$AF$25:$AF$122,'Калькуляция (МСА)'!$F$25:$F$122,$F227,'Калькуляция (МСА)'!$G$25:$G$122,$G227),_xlfn.SUMIFS(INDEX('Калькуляция (МИ)'!$AJ$25:$BC$747,,MATCH(AZ$8,'Калькуляция (МИ)'!$AJ$8:$BC$8,0)),'Калькуляция (МИ)'!$F$25:$F$747,$F227,'Калькуляция (МИ)'!$G$25:$G$747,$G227))))</f>
        <v>0</v>
      </c>
      <c r="BA227" s="296">
        <f>IF(AY227=0,0,(AZ227-AY227)/AY227*100)</f>
        <v>0</v>
      </c>
      <c r="BB227" s="5239">
        <f>IF(AND(method_reg="Метод индексации",god&lt;&gt;first_year),_xlfn.SUMIFS(INDEX('Калькуляция (МИ корр)'!$AJ$25:$BC$747,,MATCH(BB$8,'Калькуляция (МИ корр)'!$AJ$8:$BC$8,0)),'Калькуляция (МИ корр)'!$F$25:$F$747,$F227,'Калькуляция (МИ корр)'!$G$25:$G$747,$G227),IF(method_reg="Метод экономически обоснованных расходов",_xlfn.SUMIFS('Калькуляция (МЭОР)'!$AJ$25:$AJ$452,'Калькуляция (МЭОР)'!$F$25:$F$452,$F227,'Калькуляция (МЭОР)'!$G$25:$G$452,$G227),IF(method_reg="Метод сравнения аналогов",_xlfn.SUMIFS('Калькуляция (МСА)'!$AE$25:$AE$122,'Калькуляция (МСА)'!$F$25:$F$122,$F227,'Калькуляция (МСА)'!$G$25:$G$122,$G227),_xlfn.SUMIFS(INDEX('Калькуляция (МИ)'!$AJ$25:$BC$747,,MATCH(BB$8,'Калькуляция (МИ)'!$AJ$8:$BC$8,0)),'Калькуляция (МИ)'!$F$25:$F$747,$F227,'Калькуляция (МИ)'!$G$25:$G$747,$G227))))</f>
        <v>0</v>
      </c>
      <c r="BC227" s="5239">
        <f>IF(AND(method_reg="Метод индексации",god&lt;&gt;first_year),_xlfn.SUMIFS(INDEX('Калькуляция (МИ корр)'!$AJ$25:$BC$747,,MATCH(BC$8,'Калькуляция (МИ корр)'!$AJ$8:$BC$8,0)),'Калькуляция (МИ корр)'!$F$25:$F$747,$F227,'Калькуляция (МИ корр)'!$G$25:$G$747,$G227),IF(method_reg="Метод экономически обоснованных расходов",_xlfn.SUMIFS('Калькуляция (МЭОР)'!$AK$25:$AK$452,'Калькуляция (МЭОР)'!$F$25:$F$452,$F227,'Калькуляция (МЭОР)'!$G$25:$G$452,$G227),IF(method_reg="Метод сравнения аналогов",_xlfn.SUMIFS('Калькуляция (МСА)'!$AF$25:$AF$122,'Калькуляция (МСА)'!$F$25:$F$122,$F227,'Калькуляция (МСА)'!$G$25:$G$122,$G227),_xlfn.SUMIFS(INDEX('Калькуляция (МИ)'!$AJ$25:$BC$747,,MATCH(BC$8,'Калькуляция (МИ)'!$AJ$8:$BC$8,0)),'Калькуляция (МИ)'!$F$25:$F$747,$F227,'Калькуляция (МИ)'!$G$25:$G$747,$G227))))</f>
        <v>0</v>
      </c>
      <c r="BD227" s="296">
        <f>IF(BB227=0,0,(BC227-BB227)/BB227*100)</f>
        <v>0</v>
      </c>
      <c r="BE227" s="5239">
        <f>IF(AND(method_reg="Метод индексации",god&lt;&gt;first_year),_xlfn.SUMIFS(INDEX('Калькуляция (МИ корр)'!$AJ$25:$BC$747,,MATCH(BE$8,'Калькуляция (МИ корр)'!$AJ$8:$BC$8,0)),'Калькуляция (МИ корр)'!$F$25:$F$747,$F227,'Калькуляция (МИ корр)'!$G$25:$G$747,$G227),IF(method_reg="Метод экономически обоснованных расходов",_xlfn.SUMIFS('Калькуляция (МЭОР)'!$AJ$25:$AJ$452,'Калькуляция (МЭОР)'!$F$25:$F$452,$F227,'Калькуляция (МЭОР)'!$G$25:$G$452,$G227),IF(method_reg="Метод сравнения аналогов",_xlfn.SUMIFS('Калькуляция (МСА)'!$AE$25:$AE$122,'Калькуляция (МСА)'!$F$25:$F$122,$F227,'Калькуляция (МСА)'!$G$25:$G$122,$G227),_xlfn.SUMIFS(INDEX('Калькуляция (МИ)'!$AJ$25:$BC$747,,MATCH(BE$8,'Калькуляция (МИ)'!$AJ$8:$BC$8,0)),'Калькуляция (МИ)'!$F$25:$F$747,$F227,'Калькуляция (МИ)'!$G$25:$G$747,$G227))))</f>
        <v>0</v>
      </c>
      <c r="BF227" s="5239">
        <f>IF(AND(method_reg="Метод индексации",god&lt;&gt;first_year),_xlfn.SUMIFS(INDEX('Калькуляция (МИ корр)'!$AJ$25:$BC$747,,MATCH(BF$8,'Калькуляция (МИ корр)'!$AJ$8:$BC$8,0)),'Калькуляция (МИ корр)'!$F$25:$F$747,$F227,'Калькуляция (МИ корр)'!$G$25:$G$747,$G227),IF(method_reg="Метод экономически обоснованных расходов",_xlfn.SUMIFS('Калькуляция (МЭОР)'!$AK$25:$AK$452,'Калькуляция (МЭОР)'!$F$25:$F$452,$F227,'Калькуляция (МЭОР)'!$G$25:$G$452,$G227),IF(method_reg="Метод сравнения аналогов",_xlfn.SUMIFS('Калькуляция (МСА)'!$AF$25:$AF$122,'Калькуляция (МСА)'!$F$25:$F$122,$F227,'Калькуляция (МСА)'!$G$25:$G$122,$G227),_xlfn.SUMIFS(INDEX('Калькуляция (МИ)'!$AJ$25:$BC$747,,MATCH(BF$8,'Калькуляция (МИ)'!$AJ$8:$BC$8,0)),'Калькуляция (МИ)'!$F$25:$F$747,$F227,'Калькуляция (МИ)'!$G$25:$G$747,$G227))))</f>
        <v>0</v>
      </c>
      <c r="BG227" s="296">
        <f>IF(BE227=0,0,(BF227-BE227)/BE227*100)</f>
        <v>0</v>
      </c>
      <c r="BH227" s="5239"/>
      <c r="BI227" s="5239"/>
      <c r="BJ227" s="296">
        <f>IF(BH227=0,0,(BI227-BH227)/BH227*100)</f>
        <v>0</v>
      </c>
      <c r="BK227" s="5239"/>
      <c r="BL227" s="5239"/>
      <c r="BM227" s="296">
        <f>IF(BK227=0,0,(BL227-BK227)/BK227*100)</f>
        <v>0</v>
      </c>
      <c r="BN227" s="5239"/>
      <c r="BO227" s="5239"/>
      <c r="BP227" s="296">
        <f>IF(BN227=0,0,(BO227-BN227)/BN227*100)</f>
        <v>0</v>
      </c>
      <c r="BQ227" s="5239"/>
      <c r="BR227" s="5239"/>
      <c r="BS227" s="296">
        <f>IF(BQ227=0,0,(BR227-BQ227)/BQ227*100)</f>
        <v>0</v>
      </c>
      <c r="BT227" s="5239"/>
      <c r="BU227" s="5239"/>
      <c r="BV227" s="296">
        <f>IF(BT227=0,0,(BU227-BT227)/BT227*100)</f>
        <v>0</v>
      </c>
      <c r="BW227" s="5239"/>
      <c r="BX227" s="5239"/>
      <c r="BY227" s="296">
        <f>IF(BW227=0,0,(BX227-BW227)/BW227*100)</f>
        <v>0</v>
      </c>
      <c r="BZ227" s="5239"/>
      <c r="CA227" s="5239"/>
      <c r="CB227" s="296">
        <f>IF(BZ227=0,0,(CA227-BZ227)/BZ227*100)</f>
        <v>0</v>
      </c>
      <c r="CC227" s="5239"/>
      <c r="CD227" s="5239"/>
      <c r="CE227" s="296">
        <f>IF(CC227=0,0,(CD227-CC227)/CC227*100)</f>
        <v>0</v>
      </c>
      <c r="CF227" s="5239"/>
      <c r="CG227" s="5239"/>
      <c r="CH227" s="296">
        <f>IF(CF227=0,0,(CG227-CF227)/CF227*100)</f>
        <v>0</v>
      </c>
      <c r="CI227" s="5239"/>
      <c r="CJ227" s="5239"/>
      <c r="CK227" s="296">
        <f>IF(CI227=0,0,(CJ227-CI227)/CI227*100)</f>
        <v>0</v>
      </c>
      <c r="CL227" s="5239"/>
      <c r="CM227" s="5239"/>
      <c r="CN227" s="296">
        <f>IF(CL227=0,0,(CM227-CL227)/CL227*100)</f>
        <v>0</v>
      </c>
      <c r="CO227" s="5239"/>
      <c r="CP227" s="5239"/>
      <c r="CQ227" s="296">
        <f>IF(CO227=0,0,(CP227-CO227)/CO227*100)</f>
        <v>0</v>
      </c>
      <c r="CR227" s="5239"/>
      <c r="CS227" s="5239"/>
      <c r="CT227" s="296">
        <f>IF(CR227=0,0,(CS227-CR227)/CR227*100)</f>
        <v>0</v>
      </c>
      <c r="CU227" s="5239"/>
      <c r="CV227" s="5239"/>
      <c r="CW227" s="296">
        <f>IF(CU227=0,0,(CV227-CU227)/CU227*100)</f>
        <v>0</v>
      </c>
      <c r="CX227" s="5239"/>
      <c r="CY227" s="5239"/>
      <c r="CZ227" s="296">
        <f>IF(CX227=0,0,(CY227-CX227)/CX227*100)</f>
        <v>0</v>
      </c>
      <c r="DA227" s="5239"/>
      <c r="DB227" s="5239"/>
      <c r="DC227" s="296">
        <f>IF(DA227=0,0,(DB227-DA227)/DA227*100)</f>
        <v>0</v>
      </c>
      <c r="DD227" s="5239"/>
      <c r="DE227" s="5239"/>
      <c r="DF227" s="296">
        <f>IF(DD227=0,0,(DE227-DD227)/DD227*100)</f>
        <v>0</v>
      </c>
      <c r="DG227" s="5239"/>
      <c r="DH227" s="5239"/>
      <c r="DI227" s="296">
        <f>IF(DG227=0,0,(DH227-DG227)/DG227*100)</f>
        <v>0</v>
      </c>
      <c r="DJ227" s="5239"/>
      <c r="DK227" s="5239"/>
      <c r="DL227" s="296">
        <f>IF(DJ227=0,0,(DK227-DJ227)/DJ227*100)</f>
        <v>0</v>
      </c>
      <c r="DM227" s="5239"/>
      <c r="DN227" s="5239"/>
      <c r="DO227" s="296">
        <f>IF(DM227=0,0,(DN227-DM227)/DM227*100)</f>
        <v>0</v>
      </c>
      <c r="DP227" s="5239"/>
      <c r="DQ227" s="5239"/>
      <c r="DR227" s="296">
        <f>IF(DP227=0,0,(DQ227-DP227)/DP227*100)</f>
        <v>0</v>
      </c>
      <c r="DS227" s="5239"/>
      <c r="DT227" s="5239"/>
      <c r="DU227" s="296">
        <f>IF(DS227=0,0,(DT227-DS227)/DS227*100)</f>
        <v>0</v>
      </c>
      <c r="DV227" s="5239"/>
      <c r="DW227" s="5239"/>
      <c r="DX227" s="296">
        <f>IF(DV227=0,0,(DW227-DV227)/DV227*100)</f>
        <v>0</v>
      </c>
      <c r="DY227" s="5239"/>
      <c r="DZ227" s="5239"/>
      <c r="EA227" s="296">
        <f>IF(DY227=0,0,(DZ227-DY227)/DY227*100)</f>
        <v>0</v>
      </c>
      <c r="EB227" s="5239"/>
      <c r="EC227" s="5239"/>
      <c r="ED227" s="296">
        <f>IF(EB227=0,0,(EC227-EB227)/EB227*100)</f>
        <v>0</v>
      </c>
      <c r="EE227" s="5239"/>
      <c r="EF227" s="5239"/>
      <c r="EG227" s="296">
        <f>IF(EE227=0,0,(EF227-EE227)/EE227*100)</f>
        <v>0</v>
      </c>
      <c r="EH227" s="5239"/>
      <c r="EI227" s="5239"/>
      <c r="EJ227" s="296">
        <f>IF(EH227=0,0,(EI227-EH227)/EH227*100)</f>
        <v>0</v>
      </c>
      <c r="EK227" s="5239"/>
      <c r="EL227" s="5239"/>
      <c r="EM227" s="296">
        <f>IF(EK227=0,0,(EL227-EK227)/EK227*100)</f>
        <v>0</v>
      </c>
      <c r="EN227" s="5239"/>
      <c r="EO227" s="5239"/>
      <c r="EP227" s="296">
        <f>IF(EN227=0,0,(EO227-EN227)/EN227*100)</f>
        <v>0</v>
      </c>
      <c r="EQ227" s="5239"/>
      <c r="ER227" s="5239"/>
      <c r="ES227" s="296">
        <f>IF(EQ227=0,0,(ER227-EQ227)/EQ227*100)</f>
        <v>0</v>
      </c>
      <c r="ET227" s="5239"/>
      <c r="EU227" s="5239"/>
      <c r="EV227" s="296">
        <f>IF(ET227=0,0,(EU227-ET227)/ET227*100)</f>
        <v>0</v>
      </c>
      <c r="EW227" s="5239"/>
      <c r="EX227" s="5239"/>
      <c r="EY227" s="296">
        <f>IF(EW227=0,0,(EX227-EW227)/EW227*100)</f>
        <v>0</v>
      </c>
      <c r="EZ227" s="5239"/>
      <c r="FA227" s="5239"/>
      <c r="FB227" s="296">
        <f>IF(EZ227=0,0,(FA227-EZ227)/EZ227*100)</f>
        <v>0</v>
      </c>
      <c r="FC227" s="5239"/>
      <c r="FD227" s="5239"/>
      <c r="FE227" s="296">
        <f>IF(FC227=0,0,(FD227-FC227)/FC227*100)</f>
        <v>0</v>
      </c>
      <c r="FF227" s="5239"/>
      <c r="FG227" s="5239"/>
      <c r="FH227" s="296">
        <f>IF(FF227=0,0,(FG227-FF227)/FF227*100)</f>
        <v>0</v>
      </c>
      <c r="FI227" s="5239"/>
      <c r="FJ227" s="5239"/>
      <c r="FK227" s="296">
        <f>IF(FI227=0,0,(FJ227-FI227)/FI227*100)</f>
        <v>0</v>
      </c>
      <c r="FL227" s="5239"/>
      <c r="FM227" s="5239"/>
      <c r="FN227" s="296">
        <f>IF(FL227=0,0,(FM227-FL227)/FL227*100)</f>
        <v>0</v>
      </c>
      <c r="FO227" s="5239"/>
      <c r="FP227" s="5239"/>
      <c r="FQ227" s="296">
        <f>IF(FO227=0,0,(FP227-FO227)/FO227*100)</f>
        <v>0</v>
      </c>
      <c r="FR227" s="5239"/>
      <c r="FS227" s="5239"/>
      <c r="FT227" s="296">
        <f>IF(FR227=0,0,(FS227-FR227)/FR227*100)</f>
        <v>0</v>
      </c>
      <c r="FU227" s="5239"/>
      <c r="FV227" s="5239"/>
      <c r="FW227" s="296">
        <f>IF(FU227=0,0,(FV227-FU227)/FU227*100)</f>
        <v>0</v>
      </c>
      <c r="FX227" s="292"/>
      <c r="FY227" s="292"/>
      <c r="FZ227" s="1055" t="s">
        <v>2352</v>
      </c>
      <c r="GA227" s="1055"/>
      <c r="GB227" s="1055"/>
      <c r="GC227" s="1056"/>
      <c r="GD227" s="1056"/>
    </row>
    <row s="6208" customFormat="1" customHeight="1" ht="23.25">
      <c r="A228" s="897"/>
      <c r="B228" s="925" cm="1" t="str">
        <f t="array" ref="B228:B228">B227</f>
        <v>true</v>
      </c>
      <c r="C228" s="897"/>
      <c r="D228" s="897"/>
      <c r="E228" s="898">
        <v>24.5</v>
      </c>
      <c r="F228" s="50" cm="1" t="str">
        <f t="array" ref="F228:F228">OFFSET(E228,-1,1)</f>
        <v>3</v>
      </c>
      <c r="G228" s="107" t="s">
        <v>2353</v>
      </c>
      <c r="H228" s="493" t="s">
        <v>1175</v>
      </c>
      <c r="I228" s="493" t="s">
        <v>2354</v>
      </c>
      <c r="J228" s="897"/>
      <c r="K228" s="897"/>
      <c r="L228" s="493"/>
      <c r="M228" s="897"/>
      <c r="N228" s="897"/>
      <c r="O228" s="897"/>
      <c r="P228" s="897"/>
      <c r="Q228" s="897"/>
      <c r="R228" s="493"/>
      <c r="S228" s="493"/>
      <c r="T228" s="465" cm="1" t="str">
        <f t="array" ref="T228:T228">T227</f>
        <v>true</v>
      </c>
      <c r="U228" s="897"/>
      <c r="V228" s="897"/>
      <c r="W228" s="897"/>
      <c r="X228" s="1596"/>
      <c r="Y228" s="897"/>
      <c r="Z228" s="1545"/>
      <c r="AA228" s="897"/>
      <c r="AB228" s="1090" t="s">
        <v>2355</v>
      </c>
      <c r="AC228" s="294" t="s">
        <v>2337</v>
      </c>
      <c r="AD228" s="899">
        <f>IF(AND(method_reg="Метод индексации",god&lt;&gt;first_year),_xlfn.SUMIFS(INDEX('Калькуляция (МИ корр)'!$AJ$25:$BC$747,,MATCH(AD$8,'Калькуляция (МИ корр)'!$AJ$8:$BC$8,0)),'Калькуляция (МИ корр)'!$F$25:$F$747,$F228,'Калькуляция (МИ корр)'!$G$25:$G$747,$G228),IF(method_reg="Метод экономически обоснованных расходов",_xlfn.SUMIFS('Калькуляция (МЭОР)'!$AJ$25:$AJ$452,'Калькуляция (МЭОР)'!$F$25:$F$452,$F228,'Калькуляция (МЭОР)'!$G$25:$G$452,$G228),IF(method_reg="Метод сравнения аналогов",_xlfn.SUMIFS('Калькуляция (МСА)'!$AE$25:$AE$122,'Калькуляция (МСА)'!$F$25:$F$122,$F228,'Калькуляция (МСА)'!$G$25:$G$122,$G228),_xlfn.SUMIFS(INDEX('Калькуляция (МИ)'!$AJ$25:$BC$747,,MATCH(AD$8,'Калькуляция (МИ)'!$AJ$8:$BC$8,0)),'Калькуляция (МИ)'!$F$25:$F$747,$F228,'Калькуляция (МИ)'!$G$25:$G$747,$G228))))</f>
        <v>101.101400541606</v>
      </c>
      <c r="AE228" s="899">
        <f>IF(AND(method_reg="Метод индексации",god&lt;&gt;first_year),_xlfn.SUMIFS(INDEX('Калькуляция (МИ корр)'!$AJ$25:$BC$747,,MATCH(AE$8,'Калькуляция (МИ корр)'!$AJ$8:$BC$8,0)),'Калькуляция (МИ корр)'!$F$25:$F$747,$F228,'Калькуляция (МИ корр)'!$G$25:$G$747,$G228),IF(method_reg="Метод экономически обоснованных расходов",_xlfn.SUMIFS('Калькуляция (МЭОР)'!$AK$25:$AK$452,'Калькуляция (МЭОР)'!$F$25:$F$452,$F228,'Калькуляция (МЭОР)'!$G$25:$G$452,$G228),IF(method_reg="Метод сравнения аналогов",_xlfn.SUMIFS('Калькуляция (МСА)'!$AF$25:$AF$122,'Калькуляция (МСА)'!$F$25:$F$122,$F228,'Калькуляция (МСА)'!$G$25:$G$122,$G228),_xlfn.SUMIFS(INDEX('Калькуляция (МИ)'!$AJ$25:$BC$747,,MATCH(AE$8,'Калькуляция (МИ)'!$AJ$8:$BC$8,0)),'Калькуляция (МИ)'!$F$25:$F$747,$F228,'Калькуляция (МИ)'!$G$25:$G$747,$G228))))</f>
        <v>101.101683692902</v>
      </c>
      <c r="AF228" s="296">
        <f>IF(AD228=0,0,(AE228-AD228)/AD228*100)</f>
        <v>0.000280066640507463</v>
      </c>
      <c r="AG228" s="899">
        <f>IF(AND(method_reg="Метод индексации",god&lt;&gt;first_year),_xlfn.SUMIFS(INDEX('Калькуляция (МИ корр)'!$AJ$25:$BC$747,,MATCH(AG$8,'Калькуляция (МИ корр)'!$AJ$8:$BC$8,0)),'Калькуляция (МИ корр)'!$F$25:$F$747,$F228,'Калькуляция (МИ корр)'!$G$25:$G$747,$G228),IF(method_reg="Метод экономически обоснованных расходов",_xlfn.SUMIFS('Калькуляция (МЭОР)'!$AJ$25:$AJ$452,'Калькуляция (МЭОР)'!$F$25:$F$452,$F228,'Калькуляция (МЭОР)'!$G$25:$G$452,$G228),IF(method_reg="Метод сравнения аналогов",_xlfn.SUMIFS('Калькуляция (МСА)'!$AE$25:$AE$122,'Калькуляция (МСА)'!$F$25:$F$122,$F228,'Калькуляция (МСА)'!$G$25:$G$122,$G228),_xlfn.SUMIFS(INDEX('Калькуляция (МИ)'!$AJ$25:$BC$747,,MATCH(AG$8,'Калькуляция (МИ)'!$AJ$8:$BC$8,0)),'Калькуляция (МИ)'!$F$25:$F$747,$F228,'Калькуляция (МИ)'!$G$25:$G$747,$G228))))</f>
        <v>109.958739696955</v>
      </c>
      <c r="AH228" s="899">
        <f>IF(AND(method_reg="Метод индексации",god&lt;&gt;first_year),_xlfn.SUMIFS(INDEX('Калькуляция (МИ корр)'!$AJ$25:$BC$747,,MATCH(AH$8,'Калькуляция (МИ корр)'!$AJ$8:$BC$8,0)),'Калькуляция (МИ корр)'!$F$25:$F$747,$F228,'Калькуляция (МИ корр)'!$G$25:$G$747,$G228),IF(method_reg="Метод экономически обоснованных расходов",_xlfn.SUMIFS('Калькуляция (МЭОР)'!$AK$25:$AK$452,'Калькуляция (МЭОР)'!$F$25:$F$452,$F228,'Калькуляция (МЭОР)'!$G$25:$G$452,$G228),IF(method_reg="Метод сравнения аналогов",_xlfn.SUMIFS('Калькуляция (МСА)'!$AF$25:$AF$122,'Калькуляция (МСА)'!$F$25:$F$122,$F228,'Калькуляция (МСА)'!$G$25:$G$122,$G228),_xlfn.SUMIFS(INDEX('Калькуляция (МИ)'!$AJ$25:$BC$747,,MATCH(AH$8,'Калькуляция (МИ)'!$AJ$8:$BC$8,0)),'Калькуляция (МИ)'!$F$25:$F$747,$F228,'Калькуляция (МИ)'!$G$25:$G$747,$G228))))</f>
        <v>109.958465027148</v>
      </c>
      <c r="AI228" s="296">
        <f>IF(AG228=0,0,(AH228-AG228)/AG228*100)</f>
        <v>-0.000249793520523803</v>
      </c>
      <c r="AJ228" s="899">
        <f>IF(AND(method_reg="Метод индексации",god&lt;&gt;first_year),_xlfn.SUMIFS(INDEX('Калькуляция (МИ корр)'!$AJ$25:$BC$747,,MATCH(AJ$8,'Калькуляция (МИ корр)'!$AJ$8:$BC$8,0)),'Калькуляция (МИ корр)'!$F$25:$F$747,$F228,'Калькуляция (МИ корр)'!$G$25:$G$747,$G228),IF(method_reg="Метод экономически обоснованных расходов",_xlfn.SUMIFS('Калькуляция (МЭОР)'!$AJ$25:$AJ$452,'Калькуляция (МЭОР)'!$F$25:$F$452,$F228,'Калькуляция (МЭОР)'!$G$25:$G$452,$G228),IF(method_reg="Метод сравнения аналогов",_xlfn.SUMIFS('Калькуляция (МСА)'!$AE$25:$AE$122,'Калькуляция (МСА)'!$F$25:$F$122,$F228,'Калькуляция (МСА)'!$G$25:$G$122,$G228),_xlfn.SUMIFS(INDEX('Калькуляция (МИ)'!$AJ$25:$BC$747,,MATCH(AJ$8,'Калькуляция (МИ)'!$AJ$8:$BC$8,0)),'Калькуляция (МИ)'!$F$25:$F$747,$F228,'Калькуляция (МИ)'!$G$25:$G$747,$G228))))</f>
        <v>114.655742351619</v>
      </c>
      <c r="AK228" s="899">
        <f>IF(AND(method_reg="Метод индексации",god&lt;&gt;first_year),_xlfn.SUMIFS(INDEX('Калькуляция (МИ корр)'!$AJ$25:$BC$747,,MATCH(AK$8,'Калькуляция (МИ корр)'!$AJ$8:$BC$8,0)),'Калькуляция (МИ корр)'!$F$25:$F$747,$F228,'Калькуляция (МИ корр)'!$G$25:$G$747,$G228),IF(method_reg="Метод экономически обоснованных расходов",_xlfn.SUMIFS('Калькуляция (МЭОР)'!$AK$25:$AK$452,'Калькуляция (МЭОР)'!$F$25:$F$452,$F228,'Калькуляция (МЭОР)'!$G$25:$G$452,$G228),IF(method_reg="Метод сравнения аналогов",_xlfn.SUMIFS('Калькуляция (МСА)'!$AF$25:$AF$122,'Калькуляция (МСА)'!$F$25:$F$122,$F228,'Калькуляция (МСА)'!$G$25:$G$122,$G228),_xlfn.SUMIFS(INDEX('Калькуляция (МИ)'!$AJ$25:$BC$747,,MATCH(AK$8,'Калькуляция (МИ)'!$AJ$8:$BC$8,0)),'Калькуляция (МИ)'!$F$25:$F$747,$F228,'Калькуляция (МИ)'!$G$25:$G$747,$G228))))</f>
        <v>114.655885162316</v>
      </c>
      <c r="AL228" s="296">
        <f>IF(AJ228=0,0,(AK228-AJ228)/AJ228*100)</f>
        <v>0.000124556078980898</v>
      </c>
      <c r="AM228" s="899">
        <f>IF(AND(method_reg="Метод индексации",god&lt;&gt;first_year),_xlfn.SUMIFS(INDEX('Калькуляция (МИ корр)'!$AJ$25:$BC$747,,MATCH(AM$8,'Калькуляция (МИ корр)'!$AJ$8:$BC$8,0)),'Калькуляция (МИ корр)'!$F$25:$F$747,$F228,'Калькуляция (МИ корр)'!$G$25:$G$747,$G228),IF(method_reg="Метод экономически обоснованных расходов",_xlfn.SUMIFS('Калькуляция (МЭОР)'!$AJ$25:$AJ$452,'Калькуляция (МЭОР)'!$F$25:$F$452,$F228,'Калькуляция (МЭОР)'!$G$25:$G$452,$G228),IF(method_reg="Метод сравнения аналогов",_xlfn.SUMIFS('Калькуляция (МСА)'!$AE$25:$AE$122,'Калькуляция (МСА)'!$F$25:$F$122,$F228,'Калькуляция (МСА)'!$G$25:$G$122,$G228),_xlfn.SUMIFS(INDEX('Калькуляция (МИ)'!$AJ$25:$BC$747,,MATCH(AM$8,'Калькуляция (МИ)'!$AJ$8:$BC$8,0)),'Калькуляция (МИ)'!$F$25:$F$747,$F228,'Калькуляция (МИ)'!$G$25:$G$747,$G228))))</f>
        <v>115.900155323734</v>
      </c>
      <c r="AN228" s="899">
        <f>IF(AND(method_reg="Метод индексации",god&lt;&gt;first_year),_xlfn.SUMIFS(INDEX('Калькуляция (МИ корр)'!$AJ$25:$BC$747,,MATCH(AN$8,'Калькуляция (МИ корр)'!$AJ$8:$BC$8,0)),'Калькуляция (МИ корр)'!$F$25:$F$747,$F228,'Калькуляция (МИ корр)'!$G$25:$G$747,$G228),IF(method_reg="Метод экономически обоснованных расходов",_xlfn.SUMIFS('Калькуляция (МЭОР)'!$AK$25:$AK$452,'Калькуляция (МЭОР)'!$F$25:$F$452,$F228,'Калькуляция (МЭОР)'!$G$25:$G$452,$G228),IF(method_reg="Метод сравнения аналогов",_xlfn.SUMIFS('Калькуляция (МСА)'!$AF$25:$AF$122,'Калькуляция (МСА)'!$F$25:$F$122,$F228,'Калькуляция (МСА)'!$G$25:$G$122,$G228),_xlfn.SUMIFS(INDEX('Калькуляция (МИ)'!$AJ$25:$BC$747,,MATCH(AN$8,'Калькуляция (МИ)'!$AJ$8:$BC$8,0)),'Калькуляция (МИ)'!$F$25:$F$747,$F228,'Калькуляция (МИ)'!$G$25:$G$747,$G228))))</f>
        <v>115.899872150348</v>
      </c>
      <c r="AO228" s="296">
        <f>IF(AM228=0,0,(AN228-AM228)/AM228*100)</f>
        <v>-0.000244325286022235</v>
      </c>
      <c r="AP228" s="899">
        <f>IF(AND(method_reg="Метод индексации",god&lt;&gt;first_year),_xlfn.SUMIFS(INDEX('Калькуляция (МИ корр)'!$AJ$25:$BC$747,,MATCH(AP$8,'Калькуляция (МИ корр)'!$AJ$8:$BC$8,0)),'Калькуляция (МИ корр)'!$F$25:$F$747,$F228,'Калькуляция (МИ корр)'!$G$25:$G$747,$G228),IF(method_reg="Метод экономически обоснованных расходов",_xlfn.SUMIFS('Калькуляция (МЭОР)'!$AJ$25:$AJ$452,'Калькуляция (МЭОР)'!$F$25:$F$452,$F228,'Калькуляция (МЭОР)'!$G$25:$G$452,$G228),IF(method_reg="Метод сравнения аналогов",_xlfn.SUMIFS('Калькуляция (МСА)'!$AE$25:$AE$122,'Калькуляция (МСА)'!$F$25:$F$122,$F228,'Калькуляция (МСА)'!$G$25:$G$122,$G228),_xlfn.SUMIFS(INDEX('Калькуляция (МИ)'!$AJ$25:$BC$747,,MATCH(AP$8,'Калькуляция (МИ)'!$AJ$8:$BC$8,0)),'Калькуляция (МИ)'!$F$25:$F$747,$F228,'Калькуляция (МИ)'!$G$25:$G$747,$G228))))</f>
        <v>117.725105588364</v>
      </c>
      <c r="AQ228" s="899">
        <f>IF(AND(method_reg="Метод индексации",god&lt;&gt;first_year),_xlfn.SUMIFS(INDEX('Калькуляция (МИ корр)'!$AJ$25:$BC$747,,MATCH(AQ$8,'Калькуляция (МИ корр)'!$AJ$8:$BC$8,0)),'Калькуляция (МИ корр)'!$F$25:$F$747,$F228,'Калькуляция (МИ корр)'!$G$25:$G$747,$G228),IF(method_reg="Метод экономически обоснованных расходов",_xlfn.SUMIFS('Калькуляция (МЭОР)'!$AK$25:$AK$452,'Калькуляция (МЭОР)'!$F$25:$F$452,$F228,'Калькуляция (МЭОР)'!$G$25:$G$452,$G228),IF(method_reg="Метод сравнения аналогов",_xlfn.SUMIFS('Калькуляция (МСА)'!$AF$25:$AF$122,'Калькуляция (МСА)'!$F$25:$F$122,$F228,'Калькуляция (МСА)'!$G$25:$G$122,$G228),_xlfn.SUMIFS(INDEX('Калькуляция (МИ)'!$AJ$25:$BC$747,,MATCH(AQ$8,'Калькуляция (МИ)'!$AJ$8:$BC$8,0)),'Калькуляция (МИ)'!$F$25:$F$747,$F228,'Калькуляция (МИ)'!$G$25:$G$747,$G228))))</f>
        <v>117.725242061743</v>
      </c>
      <c r="AR228" s="296">
        <f>IF(AP228=0,0,(AQ228-AP228)/AP228*100)</f>
        <v>0.000115925467485615</v>
      </c>
      <c r="AS228" s="5239">
        <f>IF(AND(method_reg="Метод индексации",god&lt;&gt;first_year),_xlfn.SUMIFS(INDEX('Калькуляция (МИ корр)'!$AJ$25:$BC$747,,MATCH(AS$8,'Калькуляция (МИ корр)'!$AJ$8:$BC$8,0)),'Калькуляция (МИ корр)'!$F$25:$F$747,$F228,'Калькуляция (МИ корр)'!$G$25:$G$747,$G228),IF(method_reg="Метод экономически обоснованных расходов",_xlfn.SUMIFS('Калькуляция (МЭОР)'!$AJ$25:$AJ$452,'Калькуляция (МЭОР)'!$F$25:$F$452,$F228,'Калькуляция (МЭОР)'!$G$25:$G$452,$G228),IF(method_reg="Метод сравнения аналогов",_xlfn.SUMIFS('Калькуляция (МСА)'!$AE$25:$AE$122,'Калькуляция (МСА)'!$F$25:$F$122,$F228,'Калькуляция (МСА)'!$G$25:$G$122,$G228),_xlfn.SUMIFS(INDEX('Калькуляция (МИ)'!$AJ$25:$BC$747,,MATCH(AS$8,'Калькуляция (МИ)'!$AJ$8:$BC$8,0)),'Калькуляция (МИ)'!$F$25:$F$747,$F228,'Калькуляция (МИ)'!$G$25:$G$747,$G228))))</f>
        <v>0</v>
      </c>
      <c r="AT228" s="5239">
        <f>IF(AND(method_reg="Метод индексации",god&lt;&gt;first_year),_xlfn.SUMIFS(INDEX('Калькуляция (МИ корр)'!$AJ$25:$BC$747,,MATCH(AT$8,'Калькуляция (МИ корр)'!$AJ$8:$BC$8,0)),'Калькуляция (МИ корр)'!$F$25:$F$747,$F228,'Калькуляция (МИ корр)'!$G$25:$G$747,$G228),IF(method_reg="Метод экономически обоснованных расходов",_xlfn.SUMIFS('Калькуляция (МЭОР)'!$AK$25:$AK$452,'Калькуляция (МЭОР)'!$F$25:$F$452,$F228,'Калькуляция (МЭОР)'!$G$25:$G$452,$G228),IF(method_reg="Метод сравнения аналогов",_xlfn.SUMIFS('Калькуляция (МСА)'!$AF$25:$AF$122,'Калькуляция (МСА)'!$F$25:$F$122,$F228,'Калькуляция (МСА)'!$G$25:$G$122,$G228),_xlfn.SUMIFS(INDEX('Калькуляция (МИ)'!$AJ$25:$BC$747,,MATCH(AT$8,'Калькуляция (МИ)'!$AJ$8:$BC$8,0)),'Калькуляция (МИ)'!$F$25:$F$747,$F228,'Калькуляция (МИ)'!$G$25:$G$747,$G228))))</f>
        <v>0</v>
      </c>
      <c r="AU228" s="296">
        <f>IF(AS228=0,0,(AT228-AS228)/AS228*100)</f>
        <v>0</v>
      </c>
      <c r="AV228" s="5239">
        <f>IF(AND(method_reg="Метод индексации",god&lt;&gt;first_year),_xlfn.SUMIFS(INDEX('Калькуляция (МИ корр)'!$AJ$25:$BC$747,,MATCH(AV$8,'Калькуляция (МИ корр)'!$AJ$8:$BC$8,0)),'Калькуляция (МИ корр)'!$F$25:$F$747,$F228,'Калькуляция (МИ корр)'!$G$25:$G$747,$G228),IF(method_reg="Метод экономически обоснованных расходов",_xlfn.SUMIFS('Калькуляция (МЭОР)'!$AJ$25:$AJ$452,'Калькуляция (МЭОР)'!$F$25:$F$452,$F228,'Калькуляция (МЭОР)'!$G$25:$G$452,$G228),IF(method_reg="Метод сравнения аналогов",_xlfn.SUMIFS('Калькуляция (МСА)'!$AE$25:$AE$122,'Калькуляция (МСА)'!$F$25:$F$122,$F228,'Калькуляция (МСА)'!$G$25:$G$122,$G228),_xlfn.SUMIFS(INDEX('Калькуляция (МИ)'!$AJ$25:$BC$747,,MATCH(AV$8,'Калькуляция (МИ)'!$AJ$8:$BC$8,0)),'Калькуляция (МИ)'!$F$25:$F$747,$F228,'Калькуляция (МИ)'!$G$25:$G$747,$G228))))</f>
        <v>0</v>
      </c>
      <c r="AW228" s="5239">
        <f>IF(AND(method_reg="Метод индексации",god&lt;&gt;first_year),_xlfn.SUMIFS(INDEX('Калькуляция (МИ корр)'!$AJ$25:$BC$747,,MATCH(AW$8,'Калькуляция (МИ корр)'!$AJ$8:$BC$8,0)),'Калькуляция (МИ корр)'!$F$25:$F$747,$F228,'Калькуляция (МИ корр)'!$G$25:$G$747,$G228),IF(method_reg="Метод экономически обоснованных расходов",_xlfn.SUMIFS('Калькуляция (МЭОР)'!$AK$25:$AK$452,'Калькуляция (МЭОР)'!$F$25:$F$452,$F228,'Калькуляция (МЭОР)'!$G$25:$G$452,$G228),IF(method_reg="Метод сравнения аналогов",_xlfn.SUMIFS('Калькуляция (МСА)'!$AF$25:$AF$122,'Калькуляция (МСА)'!$F$25:$F$122,$F228,'Калькуляция (МСА)'!$G$25:$G$122,$G228),_xlfn.SUMIFS(INDEX('Калькуляция (МИ)'!$AJ$25:$BC$747,,MATCH(AW$8,'Калькуляция (МИ)'!$AJ$8:$BC$8,0)),'Калькуляция (МИ)'!$F$25:$F$747,$F228,'Калькуляция (МИ)'!$G$25:$G$747,$G228))))</f>
        <v>0</v>
      </c>
      <c r="AX228" s="296">
        <f>IF(AV228=0,0,(AW228-AV228)/AV228*100)</f>
        <v>0</v>
      </c>
      <c r="AY228" s="5239">
        <f>IF(AND(method_reg="Метод индексации",god&lt;&gt;first_year),_xlfn.SUMIFS(INDEX('Калькуляция (МИ корр)'!$AJ$25:$BC$747,,MATCH(AY$8,'Калькуляция (МИ корр)'!$AJ$8:$BC$8,0)),'Калькуляция (МИ корр)'!$F$25:$F$747,$F228,'Калькуляция (МИ корр)'!$G$25:$G$747,$G228),IF(method_reg="Метод экономически обоснованных расходов",_xlfn.SUMIFS('Калькуляция (МЭОР)'!$AJ$25:$AJ$452,'Калькуляция (МЭОР)'!$F$25:$F$452,$F228,'Калькуляция (МЭОР)'!$G$25:$G$452,$G228),IF(method_reg="Метод сравнения аналогов",_xlfn.SUMIFS('Калькуляция (МСА)'!$AE$25:$AE$122,'Калькуляция (МСА)'!$F$25:$F$122,$F228,'Калькуляция (МСА)'!$G$25:$G$122,$G228),_xlfn.SUMIFS(INDEX('Калькуляция (МИ)'!$AJ$25:$BC$747,,MATCH(AY$8,'Калькуляция (МИ)'!$AJ$8:$BC$8,0)),'Калькуляция (МИ)'!$F$25:$F$747,$F228,'Калькуляция (МИ)'!$G$25:$G$747,$G228))))</f>
        <v>0</v>
      </c>
      <c r="AZ228" s="5239">
        <f>IF(AND(method_reg="Метод индексации",god&lt;&gt;first_year),_xlfn.SUMIFS(INDEX('Калькуляция (МИ корр)'!$AJ$25:$BC$747,,MATCH(AZ$8,'Калькуляция (МИ корр)'!$AJ$8:$BC$8,0)),'Калькуляция (МИ корр)'!$F$25:$F$747,$F228,'Калькуляция (МИ корр)'!$G$25:$G$747,$G228),IF(method_reg="Метод экономически обоснованных расходов",_xlfn.SUMIFS('Калькуляция (МЭОР)'!$AK$25:$AK$452,'Калькуляция (МЭОР)'!$F$25:$F$452,$F228,'Калькуляция (МЭОР)'!$G$25:$G$452,$G228),IF(method_reg="Метод сравнения аналогов",_xlfn.SUMIFS('Калькуляция (МСА)'!$AF$25:$AF$122,'Калькуляция (МСА)'!$F$25:$F$122,$F228,'Калькуляция (МСА)'!$G$25:$G$122,$G228),_xlfn.SUMIFS(INDEX('Калькуляция (МИ)'!$AJ$25:$BC$747,,MATCH(AZ$8,'Калькуляция (МИ)'!$AJ$8:$BC$8,0)),'Калькуляция (МИ)'!$F$25:$F$747,$F228,'Калькуляция (МИ)'!$G$25:$G$747,$G228))))</f>
        <v>0</v>
      </c>
      <c r="BA228" s="296">
        <f>IF(AY228=0,0,(AZ228-AY228)/AY228*100)</f>
        <v>0</v>
      </c>
      <c r="BB228" s="5239">
        <f>IF(AND(method_reg="Метод индексации",god&lt;&gt;first_year),_xlfn.SUMIFS(INDEX('Калькуляция (МИ корр)'!$AJ$25:$BC$747,,MATCH(BB$8,'Калькуляция (МИ корр)'!$AJ$8:$BC$8,0)),'Калькуляция (МИ корр)'!$F$25:$F$747,$F228,'Калькуляция (МИ корр)'!$G$25:$G$747,$G228),IF(method_reg="Метод экономически обоснованных расходов",_xlfn.SUMIFS('Калькуляция (МЭОР)'!$AJ$25:$AJ$452,'Калькуляция (МЭОР)'!$F$25:$F$452,$F228,'Калькуляция (МЭОР)'!$G$25:$G$452,$G228),IF(method_reg="Метод сравнения аналогов",_xlfn.SUMIFS('Калькуляция (МСА)'!$AE$25:$AE$122,'Калькуляция (МСА)'!$F$25:$F$122,$F228,'Калькуляция (МСА)'!$G$25:$G$122,$G228),_xlfn.SUMIFS(INDEX('Калькуляция (МИ)'!$AJ$25:$BC$747,,MATCH(BB$8,'Калькуляция (МИ)'!$AJ$8:$BC$8,0)),'Калькуляция (МИ)'!$F$25:$F$747,$F228,'Калькуляция (МИ)'!$G$25:$G$747,$G228))))</f>
        <v>0</v>
      </c>
      <c r="BC228" s="5239">
        <f>IF(AND(method_reg="Метод индексации",god&lt;&gt;first_year),_xlfn.SUMIFS(INDEX('Калькуляция (МИ корр)'!$AJ$25:$BC$747,,MATCH(BC$8,'Калькуляция (МИ корр)'!$AJ$8:$BC$8,0)),'Калькуляция (МИ корр)'!$F$25:$F$747,$F228,'Калькуляция (МИ корр)'!$G$25:$G$747,$G228),IF(method_reg="Метод экономически обоснованных расходов",_xlfn.SUMIFS('Калькуляция (МЭОР)'!$AK$25:$AK$452,'Калькуляция (МЭОР)'!$F$25:$F$452,$F228,'Калькуляция (МЭОР)'!$G$25:$G$452,$G228),IF(method_reg="Метод сравнения аналогов",_xlfn.SUMIFS('Калькуляция (МСА)'!$AF$25:$AF$122,'Калькуляция (МСА)'!$F$25:$F$122,$F228,'Калькуляция (МСА)'!$G$25:$G$122,$G228),_xlfn.SUMIFS(INDEX('Калькуляция (МИ)'!$AJ$25:$BC$747,,MATCH(BC$8,'Калькуляция (МИ)'!$AJ$8:$BC$8,0)),'Калькуляция (МИ)'!$F$25:$F$747,$F228,'Калькуляция (МИ)'!$G$25:$G$747,$G228))))</f>
        <v>0</v>
      </c>
      <c r="BD228" s="296">
        <f>IF(BB228=0,0,(BC228-BB228)/BB228*100)</f>
        <v>0</v>
      </c>
      <c r="BE228" s="5239">
        <f>IF(AND(method_reg="Метод индексации",god&lt;&gt;first_year),_xlfn.SUMIFS(INDEX('Калькуляция (МИ корр)'!$AJ$25:$BC$747,,MATCH(BE$8,'Калькуляция (МИ корр)'!$AJ$8:$BC$8,0)),'Калькуляция (МИ корр)'!$F$25:$F$747,$F228,'Калькуляция (МИ корр)'!$G$25:$G$747,$G228),IF(method_reg="Метод экономически обоснованных расходов",_xlfn.SUMIFS('Калькуляция (МЭОР)'!$AJ$25:$AJ$452,'Калькуляция (МЭОР)'!$F$25:$F$452,$F228,'Калькуляция (МЭОР)'!$G$25:$G$452,$G228),IF(method_reg="Метод сравнения аналогов",_xlfn.SUMIFS('Калькуляция (МСА)'!$AE$25:$AE$122,'Калькуляция (МСА)'!$F$25:$F$122,$F228,'Калькуляция (МСА)'!$G$25:$G$122,$G228),_xlfn.SUMIFS(INDEX('Калькуляция (МИ)'!$AJ$25:$BC$747,,MATCH(BE$8,'Калькуляция (МИ)'!$AJ$8:$BC$8,0)),'Калькуляция (МИ)'!$F$25:$F$747,$F228,'Калькуляция (МИ)'!$G$25:$G$747,$G228))))</f>
        <v>0</v>
      </c>
      <c r="BF228" s="5239">
        <f>IF(AND(method_reg="Метод индексации",god&lt;&gt;first_year),_xlfn.SUMIFS(INDEX('Калькуляция (МИ корр)'!$AJ$25:$BC$747,,MATCH(BF$8,'Калькуляция (МИ корр)'!$AJ$8:$BC$8,0)),'Калькуляция (МИ корр)'!$F$25:$F$747,$F228,'Калькуляция (МИ корр)'!$G$25:$G$747,$G228),IF(method_reg="Метод экономически обоснованных расходов",_xlfn.SUMIFS('Калькуляция (МЭОР)'!$AK$25:$AK$452,'Калькуляция (МЭОР)'!$F$25:$F$452,$F228,'Калькуляция (МЭОР)'!$G$25:$G$452,$G228),IF(method_reg="Метод сравнения аналогов",_xlfn.SUMIFS('Калькуляция (МСА)'!$AF$25:$AF$122,'Калькуляция (МСА)'!$F$25:$F$122,$F228,'Калькуляция (МСА)'!$G$25:$G$122,$G228),_xlfn.SUMIFS(INDEX('Калькуляция (МИ)'!$AJ$25:$BC$747,,MATCH(BF$8,'Калькуляция (МИ)'!$AJ$8:$BC$8,0)),'Калькуляция (МИ)'!$F$25:$F$747,$F228,'Калькуляция (МИ)'!$G$25:$G$747,$G228))))</f>
        <v>0</v>
      </c>
      <c r="BG228" s="296">
        <f>IF(BE228=0,0,(BF228-BE228)/BE228*100)</f>
        <v>0</v>
      </c>
      <c r="BH228" s="5239"/>
      <c r="BI228" s="5239"/>
      <c r="BJ228" s="296">
        <f>IF(BH228=0,0,(BI228-BH228)/BH228*100)</f>
        <v>0</v>
      </c>
      <c r="BK228" s="5239"/>
      <c r="BL228" s="5239"/>
      <c r="BM228" s="296">
        <f>IF(BK228=0,0,(BL228-BK228)/BK228*100)</f>
        <v>0</v>
      </c>
      <c r="BN228" s="5239"/>
      <c r="BO228" s="5239"/>
      <c r="BP228" s="296">
        <f>IF(BN228=0,0,(BO228-BN228)/BN228*100)</f>
        <v>0</v>
      </c>
      <c r="BQ228" s="5239"/>
      <c r="BR228" s="5239"/>
      <c r="BS228" s="296">
        <f>IF(BQ228=0,0,(BR228-BQ228)/BQ228*100)</f>
        <v>0</v>
      </c>
      <c r="BT228" s="5239"/>
      <c r="BU228" s="5239"/>
      <c r="BV228" s="296">
        <f>IF(BT228=0,0,(BU228-BT228)/BT228*100)</f>
        <v>0</v>
      </c>
      <c r="BW228" s="5239"/>
      <c r="BX228" s="5239"/>
      <c r="BY228" s="296">
        <f>IF(BW228=0,0,(BX228-BW228)/BW228*100)</f>
        <v>0</v>
      </c>
      <c r="BZ228" s="5239"/>
      <c r="CA228" s="5239"/>
      <c r="CB228" s="296">
        <f>IF(BZ228=0,0,(CA228-BZ228)/BZ228*100)</f>
        <v>0</v>
      </c>
      <c r="CC228" s="5239"/>
      <c r="CD228" s="5239"/>
      <c r="CE228" s="296">
        <f>IF(CC228=0,0,(CD228-CC228)/CC228*100)</f>
        <v>0</v>
      </c>
      <c r="CF228" s="5239"/>
      <c r="CG228" s="5239"/>
      <c r="CH228" s="296">
        <f>IF(CF228=0,0,(CG228-CF228)/CF228*100)</f>
        <v>0</v>
      </c>
      <c r="CI228" s="5239"/>
      <c r="CJ228" s="5239"/>
      <c r="CK228" s="296">
        <f>IF(CI228=0,0,(CJ228-CI228)/CI228*100)</f>
        <v>0</v>
      </c>
      <c r="CL228" s="5239"/>
      <c r="CM228" s="5239"/>
      <c r="CN228" s="296">
        <f>IF(CL228=0,0,(CM228-CL228)/CL228*100)</f>
        <v>0</v>
      </c>
      <c r="CO228" s="5239"/>
      <c r="CP228" s="5239"/>
      <c r="CQ228" s="296">
        <f>IF(CO228=0,0,(CP228-CO228)/CO228*100)</f>
        <v>0</v>
      </c>
      <c r="CR228" s="5239"/>
      <c r="CS228" s="5239"/>
      <c r="CT228" s="296">
        <f>IF(CR228=0,0,(CS228-CR228)/CR228*100)</f>
        <v>0</v>
      </c>
      <c r="CU228" s="5239"/>
      <c r="CV228" s="5239"/>
      <c r="CW228" s="296">
        <f>IF(CU228=0,0,(CV228-CU228)/CU228*100)</f>
        <v>0</v>
      </c>
      <c r="CX228" s="5239"/>
      <c r="CY228" s="5239"/>
      <c r="CZ228" s="296">
        <f>IF(CX228=0,0,(CY228-CX228)/CX228*100)</f>
        <v>0</v>
      </c>
      <c r="DA228" s="5239"/>
      <c r="DB228" s="5239"/>
      <c r="DC228" s="296">
        <f>IF(DA228=0,0,(DB228-DA228)/DA228*100)</f>
        <v>0</v>
      </c>
      <c r="DD228" s="5239"/>
      <c r="DE228" s="5239"/>
      <c r="DF228" s="296">
        <f>IF(DD228=0,0,(DE228-DD228)/DD228*100)</f>
        <v>0</v>
      </c>
      <c r="DG228" s="5239"/>
      <c r="DH228" s="5239"/>
      <c r="DI228" s="296">
        <f>IF(DG228=0,0,(DH228-DG228)/DG228*100)</f>
        <v>0</v>
      </c>
      <c r="DJ228" s="5239"/>
      <c r="DK228" s="5239"/>
      <c r="DL228" s="296">
        <f>IF(DJ228=0,0,(DK228-DJ228)/DJ228*100)</f>
        <v>0</v>
      </c>
      <c r="DM228" s="5239"/>
      <c r="DN228" s="5239"/>
      <c r="DO228" s="296">
        <f>IF(DM228=0,0,(DN228-DM228)/DM228*100)</f>
        <v>0</v>
      </c>
      <c r="DP228" s="5239"/>
      <c r="DQ228" s="5239"/>
      <c r="DR228" s="296">
        <f>IF(DP228=0,0,(DQ228-DP228)/DP228*100)</f>
        <v>0</v>
      </c>
      <c r="DS228" s="5239"/>
      <c r="DT228" s="5239"/>
      <c r="DU228" s="296">
        <f>IF(DS228=0,0,(DT228-DS228)/DS228*100)</f>
        <v>0</v>
      </c>
      <c r="DV228" s="5239"/>
      <c r="DW228" s="5239"/>
      <c r="DX228" s="296">
        <f>IF(DV228=0,0,(DW228-DV228)/DV228*100)</f>
        <v>0</v>
      </c>
      <c r="DY228" s="5239"/>
      <c r="DZ228" s="5239"/>
      <c r="EA228" s="296">
        <f>IF(DY228=0,0,(DZ228-DY228)/DY228*100)</f>
        <v>0</v>
      </c>
      <c r="EB228" s="5239"/>
      <c r="EC228" s="5239"/>
      <c r="ED228" s="296">
        <f>IF(EB228=0,0,(EC228-EB228)/EB228*100)</f>
        <v>0</v>
      </c>
      <c r="EE228" s="5239"/>
      <c r="EF228" s="5239"/>
      <c r="EG228" s="296">
        <f>IF(EE228=0,0,(EF228-EE228)/EE228*100)</f>
        <v>0</v>
      </c>
      <c r="EH228" s="5239"/>
      <c r="EI228" s="5239"/>
      <c r="EJ228" s="296">
        <f>IF(EH228=0,0,(EI228-EH228)/EH228*100)</f>
        <v>0</v>
      </c>
      <c r="EK228" s="5239"/>
      <c r="EL228" s="5239"/>
      <c r="EM228" s="296">
        <f>IF(EK228=0,0,(EL228-EK228)/EK228*100)</f>
        <v>0</v>
      </c>
      <c r="EN228" s="5239"/>
      <c r="EO228" s="5239"/>
      <c r="EP228" s="296">
        <f>IF(EN228=0,0,(EO228-EN228)/EN228*100)</f>
        <v>0</v>
      </c>
      <c r="EQ228" s="5239"/>
      <c r="ER228" s="5239"/>
      <c r="ES228" s="296">
        <f>IF(EQ228=0,0,(ER228-EQ228)/EQ228*100)</f>
        <v>0</v>
      </c>
      <c r="ET228" s="5239"/>
      <c r="EU228" s="5239"/>
      <c r="EV228" s="296">
        <f>IF(ET228=0,0,(EU228-ET228)/ET228*100)</f>
        <v>0</v>
      </c>
      <c r="EW228" s="5239"/>
      <c r="EX228" s="5239"/>
      <c r="EY228" s="296">
        <f>IF(EW228=0,0,(EX228-EW228)/EW228*100)</f>
        <v>0</v>
      </c>
      <c r="EZ228" s="5239"/>
      <c r="FA228" s="5239"/>
      <c r="FB228" s="296">
        <f>IF(EZ228=0,0,(FA228-EZ228)/EZ228*100)</f>
        <v>0</v>
      </c>
      <c r="FC228" s="5239"/>
      <c r="FD228" s="5239"/>
      <c r="FE228" s="296">
        <f>IF(FC228=0,0,(FD228-FC228)/FC228*100)</f>
        <v>0</v>
      </c>
      <c r="FF228" s="5239"/>
      <c r="FG228" s="5239"/>
      <c r="FH228" s="296">
        <f>IF(FF228=0,0,(FG228-FF228)/FF228*100)</f>
        <v>0</v>
      </c>
      <c r="FI228" s="5239"/>
      <c r="FJ228" s="5239"/>
      <c r="FK228" s="296">
        <f>IF(FI228=0,0,(FJ228-FI228)/FI228*100)</f>
        <v>0</v>
      </c>
      <c r="FL228" s="5239"/>
      <c r="FM228" s="5239"/>
      <c r="FN228" s="296">
        <f>IF(FL228=0,0,(FM228-FL228)/FL228*100)</f>
        <v>0</v>
      </c>
      <c r="FO228" s="5239"/>
      <c r="FP228" s="5239"/>
      <c r="FQ228" s="296">
        <f>IF(FO228=0,0,(FP228-FO228)/FO228*100)</f>
        <v>0</v>
      </c>
      <c r="FR228" s="5239"/>
      <c r="FS228" s="5239"/>
      <c r="FT228" s="296">
        <f>IF(FR228=0,0,(FS228-FR228)/FR228*100)</f>
        <v>0</v>
      </c>
      <c r="FU228" s="5239"/>
      <c r="FV228" s="5239"/>
      <c r="FW228" s="296">
        <f>IF(FU228=0,0,(FV228-FU228)/FU228*100)</f>
        <v>0</v>
      </c>
      <c r="FX228" s="292"/>
      <c r="FY228" s="292"/>
      <c r="FZ228" s="1055" t="s">
        <v>2356</v>
      </c>
      <c r="GA228" s="1055"/>
      <c r="GB228" s="1055"/>
      <c r="GC228" s="1056"/>
      <c r="GD228" s="1056"/>
    </row>
    <row s="1834" customFormat="1" customHeight="1" ht="14.25">
      <c r="A229" s="493"/>
      <c r="B229" s="925" cm="1" t="str">
        <f t="array" ref="B229:B229">B228</f>
        <v>true</v>
      </c>
      <c r="C229" s="493"/>
      <c r="D229" s="493"/>
      <c r="E229" s="840">
        <v>15</v>
      </c>
      <c r="F229" s="50" cm="1" t="str">
        <f t="array" ref="F229:F229">OFFSET(E229,-1,1)</f>
        <v>3</v>
      </c>
      <c r="G229" s="107"/>
      <c r="H229" s="493" t="s">
        <v>1179</v>
      </c>
      <c r="I229" s="493" t="s">
        <v>2357</v>
      </c>
      <c r="J229" s="493"/>
      <c r="K229" s="493"/>
      <c r="L229" s="493"/>
      <c r="M229" s="493"/>
      <c r="N229" s="493"/>
      <c r="O229" s="493"/>
      <c r="P229" s="493"/>
      <c r="Q229" s="897"/>
      <c r="R229" s="493"/>
      <c r="S229" s="493"/>
      <c r="T229" s="465" cm="1" t="str">
        <f t="array" ref="T229:T229">T228</f>
        <v>true</v>
      </c>
      <c r="U229" s="493"/>
      <c r="V229" s="493"/>
      <c r="W229" s="493"/>
      <c r="X229" s="1596"/>
      <c r="Y229" s="493"/>
      <c r="Z229" s="1545"/>
      <c r="AA229" s="493"/>
      <c r="AB229" s="1089" t="s">
        <v>2344</v>
      </c>
      <c r="AC229" s="864" t="s">
        <v>1170</v>
      </c>
      <c r="AD229" s="1092">
        <f>IF(AD227=0,0,AD228/AD227)*100</f>
        <v>109.994691324581</v>
      </c>
      <c r="AE229" s="1092">
        <f>IF(AE227=0,0,AE228/AE227)*100</f>
        <v>109.994999383018</v>
      </c>
      <c r="AF229" s="1093"/>
      <c r="AG229" s="1092">
        <f>IF(AG227=0,0,AG228/AG227)*100</f>
        <v>108.760847720165</v>
      </c>
      <c r="AH229" s="1092">
        <f>IF(AH227=0,0,AH228/AH227)*100</f>
        <v>108.760270858741</v>
      </c>
      <c r="AI229" s="1093"/>
      <c r="AJ229" s="1092">
        <f>IF(AJ227=0,0,AJ228/AJ227)*100</f>
        <v>104.271737137085</v>
      </c>
      <c r="AK229" s="1092">
        <f>IF(AK227=0,0,AK228/AK227)*100</f>
        <v>104.271995006486</v>
      </c>
      <c r="AL229" s="1093"/>
      <c r="AM229" s="1092">
        <f>IF(AM227=0,0,AM228/AM227)*100</f>
        <v>101.085472775629</v>
      </c>
      <c r="AN229" s="1092">
        <f>IF(AN227=0,0,AN228/AN227)*100</f>
        <v>101.084974387726</v>
      </c>
      <c r="AO229" s="1093"/>
      <c r="AP229" s="1092">
        <f>IF(AP227=0,0,AP228/AP227)*100</f>
        <v>101.574724407562</v>
      </c>
      <c r="AQ229" s="1092">
        <f>IF(AQ227=0,0,AQ228/AQ227)*100</f>
        <v>101.574954206185</v>
      </c>
      <c r="AR229" s="1093"/>
      <c r="AS229" s="1092">
        <f>IF(AS227=0,0,AS228/AS227)*100</f>
        <v>0</v>
      </c>
      <c r="AT229" s="1092">
        <f>IF(AT227=0,0,AT228/AT227)*100</f>
        <v>0</v>
      </c>
      <c r="AU229" s="1093"/>
      <c r="AV229" s="1092">
        <f>IF(AV227=0,0,AV228/AV227)*100</f>
        <v>0</v>
      </c>
      <c r="AW229" s="1092">
        <f>IF(AW227=0,0,AW228/AW227)*100</f>
        <v>0</v>
      </c>
      <c r="AX229" s="1093"/>
      <c r="AY229" s="1092">
        <f>IF(AY227=0,0,AY228/AY227)*100</f>
        <v>0</v>
      </c>
      <c r="AZ229" s="1092">
        <f>IF(AZ227=0,0,AZ228/AZ227)*100</f>
        <v>0</v>
      </c>
      <c r="BA229" s="1093"/>
      <c r="BB229" s="1092">
        <f>IF(BB227=0,0,BB228/BB227)*100</f>
        <v>0</v>
      </c>
      <c r="BC229" s="1092">
        <f>IF(BC227=0,0,BC228/BC227)*100</f>
        <v>0</v>
      </c>
      <c r="BD229" s="1093"/>
      <c r="BE229" s="1092">
        <f>IF(BE227=0,0,BE228/BE227)*100</f>
        <v>0</v>
      </c>
      <c r="BF229" s="1092">
        <f>IF(BF227=0,0,BF228/BF227)*100</f>
        <v>0</v>
      </c>
      <c r="BG229" s="1093"/>
      <c r="BH229" s="1092">
        <f>IF(BH227=0,0,BH228/BH227)*100</f>
        <v>0</v>
      </c>
      <c r="BI229" s="1092">
        <f>IF(BI227=0,0,BI228/BI227)*100</f>
        <v>0</v>
      </c>
      <c r="BJ229" s="1093"/>
      <c r="BK229" s="1092">
        <f>IF(BK227=0,0,BK228/BK227)*100</f>
        <v>0</v>
      </c>
      <c r="BL229" s="1092">
        <f>IF(BL227=0,0,BL228/BL227)*100</f>
        <v>0</v>
      </c>
      <c r="BM229" s="1093"/>
      <c r="BN229" s="1092">
        <f>IF(BN227=0,0,BN228/BN227)*100</f>
        <v>0</v>
      </c>
      <c r="BO229" s="1092">
        <f>IF(BO227=0,0,BO228/BO227)*100</f>
        <v>0</v>
      </c>
      <c r="BP229" s="1093"/>
      <c r="BQ229" s="1092">
        <f>IF(BQ227=0,0,BQ228/BQ227)*100</f>
        <v>0</v>
      </c>
      <c r="BR229" s="1092">
        <f>IF(BR227=0,0,BR228/BR227)*100</f>
        <v>0</v>
      </c>
      <c r="BS229" s="1093"/>
      <c r="BT229" s="1092">
        <f>IF(BT227=0,0,BT228/BT227)*100</f>
        <v>0</v>
      </c>
      <c r="BU229" s="1092">
        <f>IF(BU227=0,0,BU228/BU227)*100</f>
        <v>0</v>
      </c>
      <c r="BV229" s="1093"/>
      <c r="BW229" s="1092">
        <f>IF(BW227=0,0,BW228/BW227)*100</f>
        <v>0</v>
      </c>
      <c r="BX229" s="1092">
        <f>IF(BX227=0,0,BX228/BX227)*100</f>
        <v>0</v>
      </c>
      <c r="BY229" s="1093"/>
      <c r="BZ229" s="1092">
        <f>IF(BZ227=0,0,BZ228/BZ227)*100</f>
        <v>0</v>
      </c>
      <c r="CA229" s="1092">
        <f>IF(CA227=0,0,CA228/CA227)*100</f>
        <v>0</v>
      </c>
      <c r="CB229" s="1093"/>
      <c r="CC229" s="1092">
        <f>IF(CC227=0,0,CC228/CC227)*100</f>
        <v>0</v>
      </c>
      <c r="CD229" s="1092">
        <f>IF(CD227=0,0,CD228/CD227)*100</f>
        <v>0</v>
      </c>
      <c r="CE229" s="1093"/>
      <c r="CF229" s="1092">
        <f>IF(CF227=0,0,CF228/CF227)*100</f>
        <v>0</v>
      </c>
      <c r="CG229" s="1092">
        <f>IF(CG227=0,0,CG228/CG227)*100</f>
        <v>0</v>
      </c>
      <c r="CH229" s="1093"/>
      <c r="CI229" s="1092">
        <f>IF(CI227=0,0,CI228/CI227)*100</f>
        <v>0</v>
      </c>
      <c r="CJ229" s="1092">
        <f>IF(CJ227=0,0,CJ228/CJ227)*100</f>
        <v>0</v>
      </c>
      <c r="CK229" s="1093"/>
      <c r="CL229" s="1092">
        <f>IF(CL227=0,0,CL228/CL227)*100</f>
        <v>0</v>
      </c>
      <c r="CM229" s="1092">
        <f>IF(CM227=0,0,CM228/CM227)*100</f>
        <v>0</v>
      </c>
      <c r="CN229" s="1093"/>
      <c r="CO229" s="1092">
        <f>IF(CO227=0,0,CO228/CO227)*100</f>
        <v>0</v>
      </c>
      <c r="CP229" s="1092">
        <f>IF(CP227=0,0,CP228/CP227)*100</f>
        <v>0</v>
      </c>
      <c r="CQ229" s="1093"/>
      <c r="CR229" s="1092">
        <f>IF(CR227=0,0,CR228/CR227)*100</f>
        <v>0</v>
      </c>
      <c r="CS229" s="1092">
        <f>IF(CS227=0,0,CS228/CS227)*100</f>
        <v>0</v>
      </c>
      <c r="CT229" s="1093"/>
      <c r="CU229" s="1092">
        <f>IF(CU227=0,0,CU228/CU227)*100</f>
        <v>0</v>
      </c>
      <c r="CV229" s="1092">
        <f>IF(CV227=0,0,CV228/CV227)*100</f>
        <v>0</v>
      </c>
      <c r="CW229" s="1093"/>
      <c r="CX229" s="1092">
        <f>IF(CX227=0,0,CX228/CX227)*100</f>
        <v>0</v>
      </c>
      <c r="CY229" s="1092">
        <f>IF(CY227=0,0,CY228/CY227)*100</f>
        <v>0</v>
      </c>
      <c r="CZ229" s="1093"/>
      <c r="DA229" s="1092">
        <f>IF(DA227=0,0,DA228/DA227)*100</f>
        <v>0</v>
      </c>
      <c r="DB229" s="1092">
        <f>IF(DB227=0,0,DB228/DB227)*100</f>
        <v>0</v>
      </c>
      <c r="DC229" s="1093"/>
      <c r="DD229" s="1092">
        <f>IF(DD227=0,0,DD228/DD227)*100</f>
        <v>0</v>
      </c>
      <c r="DE229" s="1092">
        <f>IF(DE227=0,0,DE228/DE227)*100</f>
        <v>0</v>
      </c>
      <c r="DF229" s="1093"/>
      <c r="DG229" s="1092">
        <f>IF(DG227=0,0,DG228/DG227)*100</f>
        <v>0</v>
      </c>
      <c r="DH229" s="1092">
        <f>IF(DH227=0,0,DH228/DH227)*100</f>
        <v>0</v>
      </c>
      <c r="DI229" s="1093"/>
      <c r="DJ229" s="1092">
        <f>IF(DJ227=0,0,DJ228/DJ227)*100</f>
        <v>0</v>
      </c>
      <c r="DK229" s="1092">
        <f>IF(DK227=0,0,DK228/DK227)*100</f>
        <v>0</v>
      </c>
      <c r="DL229" s="1093"/>
      <c r="DM229" s="1092">
        <f>IF(DM227=0,0,DM228/DM227)*100</f>
        <v>0</v>
      </c>
      <c r="DN229" s="1092">
        <f>IF(DN227=0,0,DN228/DN227)*100</f>
        <v>0</v>
      </c>
      <c r="DO229" s="1093"/>
      <c r="DP229" s="1092">
        <f>IF(DP227=0,0,DP228/DP227)*100</f>
        <v>0</v>
      </c>
      <c r="DQ229" s="1092">
        <f>IF(DQ227=0,0,DQ228/DQ227)*100</f>
        <v>0</v>
      </c>
      <c r="DR229" s="1093"/>
      <c r="DS229" s="1092">
        <f>IF(DS227=0,0,DS228/DS227)*100</f>
        <v>0</v>
      </c>
      <c r="DT229" s="1092">
        <f>IF(DT227=0,0,DT228/DT227)*100</f>
        <v>0</v>
      </c>
      <c r="DU229" s="1093"/>
      <c r="DV229" s="1092">
        <f>IF(DV227=0,0,DV228/DV227)*100</f>
        <v>0</v>
      </c>
      <c r="DW229" s="1092">
        <f>IF(DW227=0,0,DW228/DW227)*100</f>
        <v>0</v>
      </c>
      <c r="DX229" s="1093"/>
      <c r="DY229" s="1092">
        <f>IF(DY227=0,0,DY228/DY227)*100</f>
        <v>0</v>
      </c>
      <c r="DZ229" s="1092">
        <f>IF(DZ227=0,0,DZ228/DZ227)*100</f>
        <v>0</v>
      </c>
      <c r="EA229" s="1093"/>
      <c r="EB229" s="1092">
        <f>IF(EB227=0,0,EB228/EB227)*100</f>
        <v>0</v>
      </c>
      <c r="EC229" s="1092">
        <f>IF(EC227=0,0,EC228/EC227)*100</f>
        <v>0</v>
      </c>
      <c r="ED229" s="1093"/>
      <c r="EE229" s="1092">
        <f>IF(EE227=0,0,EE228/EE227)*100</f>
        <v>0</v>
      </c>
      <c r="EF229" s="1092">
        <f>IF(EF227=0,0,EF228/EF227)*100</f>
        <v>0</v>
      </c>
      <c r="EG229" s="1093"/>
      <c r="EH229" s="1092">
        <f>IF(EH227=0,0,EH228/EH227)*100</f>
        <v>0</v>
      </c>
      <c r="EI229" s="1092">
        <f>IF(EI227=0,0,EI228/EI227)*100</f>
        <v>0</v>
      </c>
      <c r="EJ229" s="1093"/>
      <c r="EK229" s="1092">
        <f>IF(EK227=0,0,EK228/EK227)*100</f>
        <v>0</v>
      </c>
      <c r="EL229" s="1092">
        <f>IF(EL227=0,0,EL228/EL227)*100</f>
        <v>0</v>
      </c>
      <c r="EM229" s="1093"/>
      <c r="EN229" s="1092">
        <f>IF(EN227=0,0,EN228/EN227)*100</f>
        <v>0</v>
      </c>
      <c r="EO229" s="1092">
        <f>IF(EO227=0,0,EO228/EO227)*100</f>
        <v>0</v>
      </c>
      <c r="EP229" s="1093"/>
      <c r="EQ229" s="1092">
        <f>IF(EQ227=0,0,EQ228/EQ227)*100</f>
        <v>0</v>
      </c>
      <c r="ER229" s="1092">
        <f>IF(ER227=0,0,ER228/ER227)*100</f>
        <v>0</v>
      </c>
      <c r="ES229" s="1093"/>
      <c r="ET229" s="1092">
        <f>IF(ET227=0,0,ET228/ET227)*100</f>
        <v>0</v>
      </c>
      <c r="EU229" s="1092">
        <f>IF(EU227=0,0,EU228/EU227)*100</f>
        <v>0</v>
      </c>
      <c r="EV229" s="1093"/>
      <c r="EW229" s="1092">
        <f>IF(EW227=0,0,EW228/EW227)*100</f>
        <v>0</v>
      </c>
      <c r="EX229" s="1092">
        <f>IF(EX227=0,0,EX228/EX227)*100</f>
        <v>0</v>
      </c>
      <c r="EY229" s="1093"/>
      <c r="EZ229" s="1092">
        <f>IF(EZ227=0,0,EZ228/EZ227)*100</f>
        <v>0</v>
      </c>
      <c r="FA229" s="1092">
        <f>IF(FA227=0,0,FA228/FA227)*100</f>
        <v>0</v>
      </c>
      <c r="FB229" s="1093"/>
      <c r="FC229" s="1092">
        <f>IF(FC227=0,0,FC228/FC227)*100</f>
        <v>0</v>
      </c>
      <c r="FD229" s="1092">
        <f>IF(FD227=0,0,FD228/FD227)*100</f>
        <v>0</v>
      </c>
      <c r="FE229" s="1093"/>
      <c r="FF229" s="1092">
        <f>IF(FF227=0,0,FF228/FF227)*100</f>
        <v>0</v>
      </c>
      <c r="FG229" s="1092">
        <f>IF(FG227=0,0,FG228/FG227)*100</f>
        <v>0</v>
      </c>
      <c r="FH229" s="1093"/>
      <c r="FI229" s="1092">
        <f>IF(FI227=0,0,FI228/FI227)*100</f>
        <v>0</v>
      </c>
      <c r="FJ229" s="1092">
        <f>IF(FJ227=0,0,FJ228/FJ227)*100</f>
        <v>0</v>
      </c>
      <c r="FK229" s="1093"/>
      <c r="FL229" s="1092">
        <f>IF(FL227=0,0,FL228/FL227)*100</f>
        <v>0</v>
      </c>
      <c r="FM229" s="1092">
        <f>IF(FM227=0,0,FM228/FM227)*100</f>
        <v>0</v>
      </c>
      <c r="FN229" s="1093"/>
      <c r="FO229" s="1092">
        <f>IF(FO227=0,0,FO228/FO227)*100</f>
        <v>0</v>
      </c>
      <c r="FP229" s="1092">
        <f>IF(FP227=0,0,FP228/FP227)*100</f>
        <v>0</v>
      </c>
      <c r="FQ229" s="1093"/>
      <c r="FR229" s="1092">
        <f>IF(FR227=0,0,FR228/FR227)*100</f>
        <v>0</v>
      </c>
      <c r="FS229" s="1092">
        <f>IF(FS227=0,0,FS228/FS227)*100</f>
        <v>0</v>
      </c>
      <c r="FT229" s="1093"/>
      <c r="FU229" s="1092">
        <f>IF(FU227=0,0,FU228/FU227)*100</f>
        <v>0</v>
      </c>
      <c r="FV229" s="1092">
        <f>IF(FV227=0,0,FV228/FV227)*100</f>
        <v>0</v>
      </c>
      <c r="FW229" s="1093"/>
      <c r="FX229" s="292"/>
      <c r="FY229" s="1304"/>
      <c r="FZ229" s="1055" t="s">
        <v>2358</v>
      </c>
      <c r="GA229" s="1306"/>
      <c r="GB229" s="1306"/>
      <c r="GC229" s="1305"/>
      <c r="GD229" s="1305"/>
    </row>
    <row s="1834" customFormat="1" customHeight="1" ht="14.25">
      <c r="A230" s="493"/>
      <c r="B230" s="925" cm="1" t="str">
        <f t="array" ref="B230:B230">B229</f>
        <v>true</v>
      </c>
      <c r="C230" s="493"/>
      <c r="D230" s="493"/>
      <c r="E230" s="840">
        <v>15</v>
      </c>
      <c r="F230" s="50" cm="1" t="str">
        <f t="array" ref="F230:F230">OFFSET(E230,-1,1)</f>
        <v>3</v>
      </c>
      <c r="G230" s="107" t="s">
        <v>2359</v>
      </c>
      <c r="H230" s="493" t="s">
        <v>1182</v>
      </c>
      <c r="I230" s="493" t="s">
        <v>2357</v>
      </c>
      <c r="J230" s="493"/>
      <c r="K230" s="493"/>
      <c r="L230" s="493"/>
      <c r="M230" s="493"/>
      <c r="N230" s="493"/>
      <c r="O230" s="493"/>
      <c r="P230" s="493"/>
      <c r="Q230" s="897"/>
      <c r="R230" s="493"/>
      <c r="S230" s="493"/>
      <c r="T230" s="465" cm="1" t="str">
        <f t="array" ref="T230:T230">T229</f>
        <v>true</v>
      </c>
      <c r="U230" s="493"/>
      <c r="V230" s="493"/>
      <c r="W230" s="493"/>
      <c r="X230" s="1596"/>
      <c r="Y230" s="493"/>
      <c r="Z230" s="1545"/>
      <c r="AA230" s="493"/>
      <c r="AB230" s="900" t="s">
        <v>2360</v>
      </c>
      <c r="AC230" s="864" t="s">
        <v>1247</v>
      </c>
      <c r="AD230" s="1094">
        <f>IF(AND(method_reg="Метод индексации",god&lt;&gt;first_year),_xlfn.SUMIFS(INDEX('Калькуляция (МИ корр)'!$AJ$25:$BC$747,,MATCH(AD$8,'Калькуляция (МИ корр)'!$AJ$8:$BC$8,0)),'Калькуляция (МИ корр)'!$F$25:$F$747,$F230,'Калькуляция (МИ корр)'!$G$25:$G$747,$G230),IF(method_reg="Метод экономически обоснованных расходов",_xlfn.SUMIFS('Калькуляция (МЭОР)'!$AJ$25:$AJ$452,'Калькуляция (МЭОР)'!$F$25:$F$452,$F230,'Калькуляция (МЭОР)'!$G$25:$G$452,$G230),IF(method_reg="Метод сравнения аналогов",_xlfn.SUMIFS('Калькуляция (МСА)'!$AE$25:$AE$122,'Калькуляция (МСА)'!$F$25:$F$122,$F230,'Калькуляция (МСА)'!$G$25:$G$122,$G230),_xlfn.SUMIFS(INDEX('Калькуляция (МИ)'!$AJ$25:$BC$747,,MATCH(AD$8,'Калькуляция (МИ)'!$AJ$8:$BC$8,0)),'Калькуляция (МИ)'!$F$25:$F$747,$F230,'Калькуляция (МИ)'!$G$25:$G$747,$G230))))</f>
        <v>1446.53912</v>
      </c>
      <c r="AE230" s="1094">
        <f>IF(AND(method_reg="Метод индексации",god&lt;&gt;first_year),_xlfn.SUMIFS(INDEX('Калькуляция (МИ корр)'!$AJ$25:$BC$747,,MATCH(AE$8,'Калькуляция (МИ корр)'!$AJ$8:$BC$8,0)),'Калькуляция (МИ корр)'!$F$25:$F$747,$F230,'Калькуляция (МИ корр)'!$G$25:$G$747,$G230),IF(method_reg="Метод экономически обоснованных расходов",_xlfn.SUMIFS('Калькуляция (МЭОР)'!$AK$25:$AK$452,'Калькуляция (МЭОР)'!$F$25:$F$452,$F230,'Калькуляция (МЭОР)'!$G$25:$G$452,$G230),IF(method_reg="Метод сравнения аналогов",_xlfn.SUMIFS('Калькуляция (МСА)'!$AF$25:$AF$122,'Калькуляция (МСА)'!$F$25:$F$122,$F230,'Калькуляция (МСА)'!$G$25:$G$122,$G230),_xlfn.SUMIFS(INDEX('Калькуляция (МИ)'!$AJ$25:$BC$747,,MATCH(AE$8,'Калькуляция (МИ)'!$AJ$8:$BC$8,0)),'Калькуляция (МИ)'!$F$25:$F$747,$F230,'Калькуляция (МИ)'!$G$25:$G$747,$G230))))</f>
        <v>1446.53912</v>
      </c>
      <c r="AF230" s="1095">
        <f>IF(AD230=0,0,(AE230-AD230)/AD230*100)</f>
        <v>0</v>
      </c>
      <c r="AG230" s="1094">
        <f>IF(AND(method_reg="Метод индексации",god&lt;&gt;first_year),_xlfn.SUMIFS(INDEX('Калькуляция (МИ корр)'!$AJ$25:$BC$747,,MATCH(AG$8,'Калькуляция (МИ корр)'!$AJ$8:$BC$8,0)),'Калькуляция (МИ корр)'!$F$25:$F$747,$F230,'Калькуляция (МИ корр)'!$G$25:$G$747,$G230),IF(method_reg="Метод экономически обоснованных расходов",_xlfn.SUMIFS('Калькуляция (МЭОР)'!$AJ$25:$AJ$452,'Калькуляция (МЭОР)'!$F$25:$F$452,$F230,'Калькуляция (МЭОР)'!$G$25:$G$452,$G230),IF(method_reg="Метод сравнения аналогов",_xlfn.SUMIFS('Калькуляция (МСА)'!$AE$25:$AE$122,'Калькуляция (МСА)'!$F$25:$F$122,$F230,'Калькуляция (МСА)'!$G$25:$G$122,$G230),_xlfn.SUMIFS(INDEX('Калькуляция (МИ)'!$AJ$25:$BC$747,,MATCH(AG$8,'Калькуляция (МИ)'!$AJ$8:$BC$8,0)),'Калькуляция (МИ)'!$F$25:$F$747,$F230,'Калькуляция (МИ)'!$G$25:$G$747,$G230))))</f>
        <v>1446.53912</v>
      </c>
      <c r="AH230" s="1094">
        <f>IF(AND(method_reg="Метод индексации",god&lt;&gt;first_year),_xlfn.SUMIFS(INDEX('Калькуляция (МИ корр)'!$AJ$25:$BC$747,,MATCH(AH$8,'Калькуляция (МИ корр)'!$AJ$8:$BC$8,0)),'Калькуляция (МИ корр)'!$F$25:$F$747,$F230,'Калькуляция (МИ корр)'!$G$25:$G$747,$G230),IF(method_reg="Метод экономически обоснованных расходов",_xlfn.SUMIFS('Калькуляция (МЭОР)'!$AK$25:$AK$452,'Калькуляция (МЭОР)'!$F$25:$F$452,$F230,'Калькуляция (МЭОР)'!$G$25:$G$452,$G230),IF(method_reg="Метод сравнения аналогов",_xlfn.SUMIFS('Калькуляция (МСА)'!$AF$25:$AF$122,'Калькуляция (МСА)'!$F$25:$F$122,$F230,'Калькуляция (МСА)'!$G$25:$G$122,$G230),_xlfn.SUMIFS(INDEX('Калькуляция (МИ)'!$AJ$25:$BC$747,,MATCH(AH$8,'Калькуляция (МИ)'!$AJ$8:$BC$8,0)),'Калькуляция (МИ)'!$F$25:$F$747,$F230,'Калькуляция (МИ)'!$G$25:$G$747,$G230))))</f>
        <v>1446.53912</v>
      </c>
      <c r="AI230" s="1095">
        <f>IF(AG230=0,0,(AH230-AG230)/AG230*100)</f>
        <v>0</v>
      </c>
      <c r="AJ230" s="1094">
        <f>IF(AND(method_reg="Метод индексации",god&lt;&gt;first_year),_xlfn.SUMIFS(INDEX('Калькуляция (МИ корр)'!$AJ$25:$BC$747,,MATCH(AJ$8,'Калькуляция (МИ корр)'!$AJ$8:$BC$8,0)),'Калькуляция (МИ корр)'!$F$25:$F$747,$F230,'Калькуляция (МИ корр)'!$G$25:$G$747,$G230),IF(method_reg="Метод экономически обоснованных расходов",_xlfn.SUMIFS('Калькуляция (МЭОР)'!$AJ$25:$AJ$452,'Калькуляция (МЭОР)'!$F$25:$F$452,$F230,'Калькуляция (МЭОР)'!$G$25:$G$452,$G230),IF(method_reg="Метод сравнения аналогов",_xlfn.SUMIFS('Калькуляция (МСА)'!$AE$25:$AE$122,'Калькуляция (МСА)'!$F$25:$F$122,$F230,'Калькуляция (МСА)'!$G$25:$G$122,$G230),_xlfn.SUMIFS(INDEX('Калькуляция (МИ)'!$AJ$25:$BC$747,,MATCH(AJ$8,'Калькуляция (МИ)'!$AJ$8:$BC$8,0)),'Калькуляция (МИ)'!$F$25:$F$747,$F230,'Калькуляция (МИ)'!$G$25:$G$747,$G230))))</f>
        <v>1446.53912</v>
      </c>
      <c r="AK230" s="1094">
        <f>IF(AND(method_reg="Метод индексации",god&lt;&gt;first_year),_xlfn.SUMIFS(INDEX('Калькуляция (МИ корр)'!$AJ$25:$BC$747,,MATCH(AK$8,'Калькуляция (МИ корр)'!$AJ$8:$BC$8,0)),'Калькуляция (МИ корр)'!$F$25:$F$747,$F230,'Калькуляция (МИ корр)'!$G$25:$G$747,$G230),IF(method_reg="Метод экономически обоснованных расходов",_xlfn.SUMIFS('Калькуляция (МЭОР)'!$AK$25:$AK$452,'Калькуляция (МЭОР)'!$F$25:$F$452,$F230,'Калькуляция (МЭОР)'!$G$25:$G$452,$G230),IF(method_reg="Метод сравнения аналогов",_xlfn.SUMIFS('Калькуляция (МСА)'!$AF$25:$AF$122,'Калькуляция (МСА)'!$F$25:$F$122,$F230,'Калькуляция (МСА)'!$G$25:$G$122,$G230),_xlfn.SUMIFS(INDEX('Калькуляция (МИ)'!$AJ$25:$BC$747,,MATCH(AK$8,'Калькуляция (МИ)'!$AJ$8:$BC$8,0)),'Калькуляция (МИ)'!$F$25:$F$747,$F230,'Калькуляция (МИ)'!$G$25:$G$747,$G230))))</f>
        <v>1446.53912</v>
      </c>
      <c r="AL230" s="1095">
        <f>IF(AJ230=0,0,(AK230-AJ230)/AJ230*100)</f>
        <v>0</v>
      </c>
      <c r="AM230" s="1094">
        <f>IF(AND(method_reg="Метод индексации",god&lt;&gt;first_year),_xlfn.SUMIFS(INDEX('Калькуляция (МИ корр)'!$AJ$25:$BC$747,,MATCH(AM$8,'Калькуляция (МИ корр)'!$AJ$8:$BC$8,0)),'Калькуляция (МИ корр)'!$F$25:$F$747,$F230,'Калькуляция (МИ корр)'!$G$25:$G$747,$G230),IF(method_reg="Метод экономически обоснованных расходов",_xlfn.SUMIFS('Калькуляция (МЭОР)'!$AJ$25:$AJ$452,'Калькуляция (МЭОР)'!$F$25:$F$452,$F230,'Калькуляция (МЭОР)'!$G$25:$G$452,$G230),IF(method_reg="Метод сравнения аналогов",_xlfn.SUMIFS('Калькуляция (МСА)'!$AE$25:$AE$122,'Калькуляция (МСА)'!$F$25:$F$122,$F230,'Калькуляция (МСА)'!$G$25:$G$122,$G230),_xlfn.SUMIFS(INDEX('Калькуляция (МИ)'!$AJ$25:$BC$747,,MATCH(AM$8,'Калькуляция (МИ)'!$AJ$8:$BC$8,0)),'Калькуляция (МИ)'!$F$25:$F$747,$F230,'Калькуляция (МИ)'!$G$25:$G$747,$G230))))</f>
        <v>1446.53912</v>
      </c>
      <c r="AN230" s="1094">
        <f>IF(AND(method_reg="Метод индексации",god&lt;&gt;first_year),_xlfn.SUMIFS(INDEX('Калькуляция (МИ корр)'!$AJ$25:$BC$747,,MATCH(AN$8,'Калькуляция (МИ корр)'!$AJ$8:$BC$8,0)),'Калькуляция (МИ корр)'!$F$25:$F$747,$F230,'Калькуляция (МИ корр)'!$G$25:$G$747,$G230),IF(method_reg="Метод экономически обоснованных расходов",_xlfn.SUMIFS('Калькуляция (МЭОР)'!$AK$25:$AK$452,'Калькуляция (МЭОР)'!$F$25:$F$452,$F230,'Калькуляция (МЭОР)'!$G$25:$G$452,$G230),IF(method_reg="Метод сравнения аналогов",_xlfn.SUMIFS('Калькуляция (МСА)'!$AF$25:$AF$122,'Калькуляция (МСА)'!$F$25:$F$122,$F230,'Калькуляция (МСА)'!$G$25:$G$122,$G230),_xlfn.SUMIFS(INDEX('Калькуляция (МИ)'!$AJ$25:$BC$747,,MATCH(AN$8,'Калькуляция (МИ)'!$AJ$8:$BC$8,0)),'Калькуляция (МИ)'!$F$25:$F$747,$F230,'Калькуляция (МИ)'!$G$25:$G$747,$G230))))</f>
        <v>1446.53912</v>
      </c>
      <c r="AO230" s="1095">
        <f>IF(AM230=0,0,(AN230-AM230)/AM230*100)</f>
        <v>0</v>
      </c>
      <c r="AP230" s="1094">
        <f>IF(AND(method_reg="Метод индексации",god&lt;&gt;first_year),_xlfn.SUMIFS(INDEX('Калькуляция (МИ корр)'!$AJ$25:$BC$747,,MATCH(AP$8,'Калькуляция (МИ корр)'!$AJ$8:$BC$8,0)),'Калькуляция (МИ корр)'!$F$25:$F$747,$F230,'Калькуляция (МИ корр)'!$G$25:$G$747,$G230),IF(method_reg="Метод экономически обоснованных расходов",_xlfn.SUMIFS('Калькуляция (МЭОР)'!$AJ$25:$AJ$452,'Калькуляция (МЭОР)'!$F$25:$F$452,$F230,'Калькуляция (МЭОР)'!$G$25:$G$452,$G230),IF(method_reg="Метод сравнения аналогов",_xlfn.SUMIFS('Калькуляция (МСА)'!$AE$25:$AE$122,'Калькуляция (МСА)'!$F$25:$F$122,$F230,'Калькуляция (МСА)'!$G$25:$G$122,$G230),_xlfn.SUMIFS(INDEX('Калькуляция (МИ)'!$AJ$25:$BC$747,,MATCH(AP$8,'Калькуляция (МИ)'!$AJ$8:$BC$8,0)),'Калькуляция (МИ)'!$F$25:$F$747,$F230,'Калькуляция (МИ)'!$G$25:$G$747,$G230))))</f>
        <v>1446.53912</v>
      </c>
      <c r="AQ230" s="1094">
        <f>IF(AND(method_reg="Метод индексации",god&lt;&gt;first_year),_xlfn.SUMIFS(INDEX('Калькуляция (МИ корр)'!$AJ$25:$BC$747,,MATCH(AQ$8,'Калькуляция (МИ корр)'!$AJ$8:$BC$8,0)),'Калькуляция (МИ корр)'!$F$25:$F$747,$F230,'Калькуляция (МИ корр)'!$G$25:$G$747,$G230),IF(method_reg="Метод экономически обоснованных расходов",_xlfn.SUMIFS('Калькуляция (МЭОР)'!$AK$25:$AK$452,'Калькуляция (МЭОР)'!$F$25:$F$452,$F230,'Калькуляция (МЭОР)'!$G$25:$G$452,$G230),IF(method_reg="Метод сравнения аналогов",_xlfn.SUMIFS('Калькуляция (МСА)'!$AF$25:$AF$122,'Калькуляция (МСА)'!$F$25:$F$122,$F230,'Калькуляция (МСА)'!$G$25:$G$122,$G230),_xlfn.SUMIFS(INDEX('Калькуляция (МИ)'!$AJ$25:$BC$747,,MATCH(AQ$8,'Калькуляция (МИ)'!$AJ$8:$BC$8,0)),'Калькуляция (МИ)'!$F$25:$F$747,$F230,'Калькуляция (МИ)'!$G$25:$G$747,$G230))))</f>
        <v>1446.53912</v>
      </c>
      <c r="AR230" s="1095">
        <f>IF(AP230=0,0,(AQ230-AP230)/AP230*100)</f>
        <v>0</v>
      </c>
      <c r="AS230" s="5247">
        <f>IF(AND(method_reg="Метод индексации",god&lt;&gt;first_year),_xlfn.SUMIFS(INDEX('Калькуляция (МИ корр)'!$AJ$25:$BC$747,,MATCH(AS$8,'Калькуляция (МИ корр)'!$AJ$8:$BC$8,0)),'Калькуляция (МИ корр)'!$F$25:$F$747,$F230,'Калькуляция (МИ корр)'!$G$25:$G$747,$G230),IF(method_reg="Метод экономически обоснованных расходов",_xlfn.SUMIFS('Калькуляция (МЭОР)'!$AJ$25:$AJ$452,'Калькуляция (МЭОР)'!$F$25:$F$452,$F230,'Калькуляция (МЭОР)'!$G$25:$G$452,$G230),IF(method_reg="Метод сравнения аналогов",_xlfn.SUMIFS('Калькуляция (МСА)'!$AE$25:$AE$122,'Калькуляция (МСА)'!$F$25:$F$122,$F230,'Калькуляция (МСА)'!$G$25:$G$122,$G230),_xlfn.SUMIFS(INDEX('Калькуляция (МИ)'!$AJ$25:$BC$747,,MATCH(AS$8,'Калькуляция (МИ)'!$AJ$8:$BC$8,0)),'Калькуляция (МИ)'!$F$25:$F$747,$F230,'Калькуляция (МИ)'!$G$25:$G$747,$G230))))</f>
        <v>0</v>
      </c>
      <c r="AT230" s="5247">
        <f>IF(AND(method_reg="Метод индексации",god&lt;&gt;first_year),_xlfn.SUMIFS(INDEX('Калькуляция (МИ корр)'!$AJ$25:$BC$747,,MATCH(AT$8,'Калькуляция (МИ корр)'!$AJ$8:$BC$8,0)),'Калькуляция (МИ корр)'!$F$25:$F$747,$F230,'Калькуляция (МИ корр)'!$G$25:$G$747,$G230),IF(method_reg="Метод экономически обоснованных расходов",_xlfn.SUMIFS('Калькуляция (МЭОР)'!$AK$25:$AK$452,'Калькуляция (МЭОР)'!$F$25:$F$452,$F230,'Калькуляция (МЭОР)'!$G$25:$G$452,$G230),IF(method_reg="Метод сравнения аналогов",_xlfn.SUMIFS('Калькуляция (МСА)'!$AF$25:$AF$122,'Калькуляция (МСА)'!$F$25:$F$122,$F230,'Калькуляция (МСА)'!$G$25:$G$122,$G230),_xlfn.SUMIFS(INDEX('Калькуляция (МИ)'!$AJ$25:$BC$747,,MATCH(AT$8,'Калькуляция (МИ)'!$AJ$8:$BC$8,0)),'Калькуляция (МИ)'!$F$25:$F$747,$F230,'Калькуляция (МИ)'!$G$25:$G$747,$G230))))</f>
        <v>0</v>
      </c>
      <c r="AU230" s="1095">
        <f>IF(AS230=0,0,(AT230-AS230)/AS230*100)</f>
        <v>0</v>
      </c>
      <c r="AV230" s="5247">
        <f>IF(AND(method_reg="Метод индексации",god&lt;&gt;first_year),_xlfn.SUMIFS(INDEX('Калькуляция (МИ корр)'!$AJ$25:$BC$747,,MATCH(AV$8,'Калькуляция (МИ корр)'!$AJ$8:$BC$8,0)),'Калькуляция (МИ корр)'!$F$25:$F$747,$F230,'Калькуляция (МИ корр)'!$G$25:$G$747,$G230),IF(method_reg="Метод экономически обоснованных расходов",_xlfn.SUMIFS('Калькуляция (МЭОР)'!$AJ$25:$AJ$452,'Калькуляция (МЭОР)'!$F$25:$F$452,$F230,'Калькуляция (МЭОР)'!$G$25:$G$452,$G230),IF(method_reg="Метод сравнения аналогов",_xlfn.SUMIFS('Калькуляция (МСА)'!$AE$25:$AE$122,'Калькуляция (МСА)'!$F$25:$F$122,$F230,'Калькуляция (МСА)'!$G$25:$G$122,$G230),_xlfn.SUMIFS(INDEX('Калькуляция (МИ)'!$AJ$25:$BC$747,,MATCH(AV$8,'Калькуляция (МИ)'!$AJ$8:$BC$8,0)),'Калькуляция (МИ)'!$F$25:$F$747,$F230,'Калькуляция (МИ)'!$G$25:$G$747,$G230))))</f>
        <v>0</v>
      </c>
      <c r="AW230" s="5247">
        <f>IF(AND(method_reg="Метод индексации",god&lt;&gt;first_year),_xlfn.SUMIFS(INDEX('Калькуляция (МИ корр)'!$AJ$25:$BC$747,,MATCH(AW$8,'Калькуляция (МИ корр)'!$AJ$8:$BC$8,0)),'Калькуляция (МИ корр)'!$F$25:$F$747,$F230,'Калькуляция (МИ корр)'!$G$25:$G$747,$G230),IF(method_reg="Метод экономически обоснованных расходов",_xlfn.SUMIFS('Калькуляция (МЭОР)'!$AK$25:$AK$452,'Калькуляция (МЭОР)'!$F$25:$F$452,$F230,'Калькуляция (МЭОР)'!$G$25:$G$452,$G230),IF(method_reg="Метод сравнения аналогов",_xlfn.SUMIFS('Калькуляция (МСА)'!$AF$25:$AF$122,'Калькуляция (МСА)'!$F$25:$F$122,$F230,'Калькуляция (МСА)'!$G$25:$G$122,$G230),_xlfn.SUMIFS(INDEX('Калькуляция (МИ)'!$AJ$25:$BC$747,,MATCH(AW$8,'Калькуляция (МИ)'!$AJ$8:$BC$8,0)),'Калькуляция (МИ)'!$F$25:$F$747,$F230,'Калькуляция (МИ)'!$G$25:$G$747,$G230))))</f>
        <v>0</v>
      </c>
      <c r="AX230" s="1095">
        <f>IF(AV230=0,0,(AW230-AV230)/AV230*100)</f>
        <v>0</v>
      </c>
      <c r="AY230" s="5247">
        <f>IF(AND(method_reg="Метод индексации",god&lt;&gt;first_year),_xlfn.SUMIFS(INDEX('Калькуляция (МИ корр)'!$AJ$25:$BC$747,,MATCH(AY$8,'Калькуляция (МИ корр)'!$AJ$8:$BC$8,0)),'Калькуляция (МИ корр)'!$F$25:$F$747,$F230,'Калькуляция (МИ корр)'!$G$25:$G$747,$G230),IF(method_reg="Метод экономически обоснованных расходов",_xlfn.SUMIFS('Калькуляция (МЭОР)'!$AJ$25:$AJ$452,'Калькуляция (МЭОР)'!$F$25:$F$452,$F230,'Калькуляция (МЭОР)'!$G$25:$G$452,$G230),IF(method_reg="Метод сравнения аналогов",_xlfn.SUMIFS('Калькуляция (МСА)'!$AE$25:$AE$122,'Калькуляция (МСА)'!$F$25:$F$122,$F230,'Калькуляция (МСА)'!$G$25:$G$122,$G230),_xlfn.SUMIFS(INDEX('Калькуляция (МИ)'!$AJ$25:$BC$747,,MATCH(AY$8,'Калькуляция (МИ)'!$AJ$8:$BC$8,0)),'Калькуляция (МИ)'!$F$25:$F$747,$F230,'Калькуляция (МИ)'!$G$25:$G$747,$G230))))</f>
        <v>0</v>
      </c>
      <c r="AZ230" s="5247">
        <f>IF(AND(method_reg="Метод индексации",god&lt;&gt;first_year),_xlfn.SUMIFS(INDEX('Калькуляция (МИ корр)'!$AJ$25:$BC$747,,MATCH(AZ$8,'Калькуляция (МИ корр)'!$AJ$8:$BC$8,0)),'Калькуляция (МИ корр)'!$F$25:$F$747,$F230,'Калькуляция (МИ корр)'!$G$25:$G$747,$G230),IF(method_reg="Метод экономически обоснованных расходов",_xlfn.SUMIFS('Калькуляция (МЭОР)'!$AK$25:$AK$452,'Калькуляция (МЭОР)'!$F$25:$F$452,$F230,'Калькуляция (МЭОР)'!$G$25:$G$452,$G230),IF(method_reg="Метод сравнения аналогов",_xlfn.SUMIFS('Калькуляция (МСА)'!$AF$25:$AF$122,'Калькуляция (МСА)'!$F$25:$F$122,$F230,'Калькуляция (МСА)'!$G$25:$G$122,$G230),_xlfn.SUMIFS(INDEX('Калькуляция (МИ)'!$AJ$25:$BC$747,,MATCH(AZ$8,'Калькуляция (МИ)'!$AJ$8:$BC$8,0)),'Калькуляция (МИ)'!$F$25:$F$747,$F230,'Калькуляция (МИ)'!$G$25:$G$747,$G230))))</f>
        <v>0</v>
      </c>
      <c r="BA230" s="1095">
        <f>IF(AY230=0,0,(AZ230-AY230)/AY230*100)</f>
        <v>0</v>
      </c>
      <c r="BB230" s="5247">
        <f>IF(AND(method_reg="Метод индексации",god&lt;&gt;first_year),_xlfn.SUMIFS(INDEX('Калькуляция (МИ корр)'!$AJ$25:$BC$747,,MATCH(BB$8,'Калькуляция (МИ корр)'!$AJ$8:$BC$8,0)),'Калькуляция (МИ корр)'!$F$25:$F$747,$F230,'Калькуляция (МИ корр)'!$G$25:$G$747,$G230),IF(method_reg="Метод экономически обоснованных расходов",_xlfn.SUMIFS('Калькуляция (МЭОР)'!$AJ$25:$AJ$452,'Калькуляция (МЭОР)'!$F$25:$F$452,$F230,'Калькуляция (МЭОР)'!$G$25:$G$452,$G230),IF(method_reg="Метод сравнения аналогов",_xlfn.SUMIFS('Калькуляция (МСА)'!$AE$25:$AE$122,'Калькуляция (МСА)'!$F$25:$F$122,$F230,'Калькуляция (МСА)'!$G$25:$G$122,$G230),_xlfn.SUMIFS(INDEX('Калькуляция (МИ)'!$AJ$25:$BC$747,,MATCH(BB$8,'Калькуляция (МИ)'!$AJ$8:$BC$8,0)),'Калькуляция (МИ)'!$F$25:$F$747,$F230,'Калькуляция (МИ)'!$G$25:$G$747,$G230))))</f>
        <v>0</v>
      </c>
      <c r="BC230" s="5247">
        <f>IF(AND(method_reg="Метод индексации",god&lt;&gt;first_year),_xlfn.SUMIFS(INDEX('Калькуляция (МИ корр)'!$AJ$25:$BC$747,,MATCH(BC$8,'Калькуляция (МИ корр)'!$AJ$8:$BC$8,0)),'Калькуляция (МИ корр)'!$F$25:$F$747,$F230,'Калькуляция (МИ корр)'!$G$25:$G$747,$G230),IF(method_reg="Метод экономически обоснованных расходов",_xlfn.SUMIFS('Калькуляция (МЭОР)'!$AK$25:$AK$452,'Калькуляция (МЭОР)'!$F$25:$F$452,$F230,'Калькуляция (МЭОР)'!$G$25:$G$452,$G230),IF(method_reg="Метод сравнения аналогов",_xlfn.SUMIFS('Калькуляция (МСА)'!$AF$25:$AF$122,'Калькуляция (МСА)'!$F$25:$F$122,$F230,'Калькуляция (МСА)'!$G$25:$G$122,$G230),_xlfn.SUMIFS(INDEX('Калькуляция (МИ)'!$AJ$25:$BC$747,,MATCH(BC$8,'Калькуляция (МИ)'!$AJ$8:$BC$8,0)),'Калькуляция (МИ)'!$F$25:$F$747,$F230,'Калькуляция (МИ)'!$G$25:$G$747,$G230))))</f>
        <v>0</v>
      </c>
      <c r="BD230" s="1095">
        <f>IF(BB230=0,0,(BC230-BB230)/BB230*100)</f>
        <v>0</v>
      </c>
      <c r="BE230" s="5247">
        <f>IF(AND(method_reg="Метод индексации",god&lt;&gt;first_year),_xlfn.SUMIFS(INDEX('Калькуляция (МИ корр)'!$AJ$25:$BC$747,,MATCH(BE$8,'Калькуляция (МИ корр)'!$AJ$8:$BC$8,0)),'Калькуляция (МИ корр)'!$F$25:$F$747,$F230,'Калькуляция (МИ корр)'!$G$25:$G$747,$G230),IF(method_reg="Метод экономически обоснованных расходов",_xlfn.SUMIFS('Калькуляция (МЭОР)'!$AJ$25:$AJ$452,'Калькуляция (МЭОР)'!$F$25:$F$452,$F230,'Калькуляция (МЭОР)'!$G$25:$G$452,$G230),IF(method_reg="Метод сравнения аналогов",_xlfn.SUMIFS('Калькуляция (МСА)'!$AE$25:$AE$122,'Калькуляция (МСА)'!$F$25:$F$122,$F230,'Калькуляция (МСА)'!$G$25:$G$122,$G230),_xlfn.SUMIFS(INDEX('Калькуляция (МИ)'!$AJ$25:$BC$747,,MATCH(BE$8,'Калькуляция (МИ)'!$AJ$8:$BC$8,0)),'Калькуляция (МИ)'!$F$25:$F$747,$F230,'Калькуляция (МИ)'!$G$25:$G$747,$G230))))</f>
        <v>0</v>
      </c>
      <c r="BF230" s="5247">
        <f>IF(AND(method_reg="Метод индексации",god&lt;&gt;first_year),_xlfn.SUMIFS(INDEX('Калькуляция (МИ корр)'!$AJ$25:$BC$747,,MATCH(BF$8,'Калькуляция (МИ корр)'!$AJ$8:$BC$8,0)),'Калькуляция (МИ корр)'!$F$25:$F$747,$F230,'Калькуляция (МИ корр)'!$G$25:$G$747,$G230),IF(method_reg="Метод экономически обоснованных расходов",_xlfn.SUMIFS('Калькуляция (МЭОР)'!$AK$25:$AK$452,'Калькуляция (МЭОР)'!$F$25:$F$452,$F230,'Калькуляция (МЭОР)'!$G$25:$G$452,$G230),IF(method_reg="Метод сравнения аналогов",_xlfn.SUMIFS('Калькуляция (МСА)'!$AF$25:$AF$122,'Калькуляция (МСА)'!$F$25:$F$122,$F230,'Калькуляция (МСА)'!$G$25:$G$122,$G230),_xlfn.SUMIFS(INDEX('Калькуляция (МИ)'!$AJ$25:$BC$747,,MATCH(BF$8,'Калькуляция (МИ)'!$AJ$8:$BC$8,0)),'Калькуляция (МИ)'!$F$25:$F$747,$F230,'Калькуляция (МИ)'!$G$25:$G$747,$G230))))</f>
        <v>0</v>
      </c>
      <c r="BG230" s="1095">
        <f>IF(BE230=0,0,(BF230-BE230)/BE230*100)</f>
        <v>0</v>
      </c>
      <c r="BH230" s="5247"/>
      <c r="BI230" s="5247"/>
      <c r="BJ230" s="1095">
        <f>IF(BH230=0,0,(BI230-BH230)/BH230*100)</f>
        <v>0</v>
      </c>
      <c r="BK230" s="5247"/>
      <c r="BL230" s="5247"/>
      <c r="BM230" s="1095">
        <f>IF(BK230=0,0,(BL230-BK230)/BK230*100)</f>
        <v>0</v>
      </c>
      <c r="BN230" s="5247"/>
      <c r="BO230" s="5247"/>
      <c r="BP230" s="1095">
        <f>IF(BN230=0,0,(BO230-BN230)/BN230*100)</f>
        <v>0</v>
      </c>
      <c r="BQ230" s="5247"/>
      <c r="BR230" s="5247"/>
      <c r="BS230" s="1095">
        <f>IF(BQ230=0,0,(BR230-BQ230)/BQ230*100)</f>
        <v>0</v>
      </c>
      <c r="BT230" s="5247"/>
      <c r="BU230" s="5247"/>
      <c r="BV230" s="1095">
        <f>IF(BT230=0,0,(BU230-BT230)/BT230*100)</f>
        <v>0</v>
      </c>
      <c r="BW230" s="5247"/>
      <c r="BX230" s="5247"/>
      <c r="BY230" s="1095">
        <f>IF(BW230=0,0,(BX230-BW230)/BW230*100)</f>
        <v>0</v>
      </c>
      <c r="BZ230" s="5247"/>
      <c r="CA230" s="5247"/>
      <c r="CB230" s="1095">
        <f>IF(BZ230=0,0,(CA230-BZ230)/BZ230*100)</f>
        <v>0</v>
      </c>
      <c r="CC230" s="5247"/>
      <c r="CD230" s="5247"/>
      <c r="CE230" s="1095">
        <f>IF(CC230=0,0,(CD230-CC230)/CC230*100)</f>
        <v>0</v>
      </c>
      <c r="CF230" s="5247"/>
      <c r="CG230" s="5247"/>
      <c r="CH230" s="1095">
        <f>IF(CF230=0,0,(CG230-CF230)/CF230*100)</f>
        <v>0</v>
      </c>
      <c r="CI230" s="5247"/>
      <c r="CJ230" s="5247"/>
      <c r="CK230" s="1095">
        <f>IF(CI230=0,0,(CJ230-CI230)/CI230*100)</f>
        <v>0</v>
      </c>
      <c r="CL230" s="5247"/>
      <c r="CM230" s="5247"/>
      <c r="CN230" s="1095">
        <f>IF(CL230=0,0,(CM230-CL230)/CL230*100)</f>
        <v>0</v>
      </c>
      <c r="CO230" s="5247"/>
      <c r="CP230" s="5247"/>
      <c r="CQ230" s="1095">
        <f>IF(CO230=0,0,(CP230-CO230)/CO230*100)</f>
        <v>0</v>
      </c>
      <c r="CR230" s="5247"/>
      <c r="CS230" s="5247"/>
      <c r="CT230" s="1095">
        <f>IF(CR230=0,0,(CS230-CR230)/CR230*100)</f>
        <v>0</v>
      </c>
      <c r="CU230" s="5247"/>
      <c r="CV230" s="5247"/>
      <c r="CW230" s="1095">
        <f>IF(CU230=0,0,(CV230-CU230)/CU230*100)</f>
        <v>0</v>
      </c>
      <c r="CX230" s="5247"/>
      <c r="CY230" s="5247"/>
      <c r="CZ230" s="1095">
        <f>IF(CX230=0,0,(CY230-CX230)/CX230*100)</f>
        <v>0</v>
      </c>
      <c r="DA230" s="5247"/>
      <c r="DB230" s="5247"/>
      <c r="DC230" s="1095">
        <f>IF(DA230=0,0,(DB230-DA230)/DA230*100)</f>
        <v>0</v>
      </c>
      <c r="DD230" s="5247"/>
      <c r="DE230" s="5247"/>
      <c r="DF230" s="1095">
        <f>IF(DD230=0,0,(DE230-DD230)/DD230*100)</f>
        <v>0</v>
      </c>
      <c r="DG230" s="5247"/>
      <c r="DH230" s="5247"/>
      <c r="DI230" s="1095">
        <f>IF(DG230=0,0,(DH230-DG230)/DG230*100)</f>
        <v>0</v>
      </c>
      <c r="DJ230" s="5247"/>
      <c r="DK230" s="5247"/>
      <c r="DL230" s="1095">
        <f>IF(DJ230=0,0,(DK230-DJ230)/DJ230*100)</f>
        <v>0</v>
      </c>
      <c r="DM230" s="5247"/>
      <c r="DN230" s="5247"/>
      <c r="DO230" s="1095">
        <f>IF(DM230=0,0,(DN230-DM230)/DM230*100)</f>
        <v>0</v>
      </c>
      <c r="DP230" s="5247"/>
      <c r="DQ230" s="5247"/>
      <c r="DR230" s="1095">
        <f>IF(DP230=0,0,(DQ230-DP230)/DP230*100)</f>
        <v>0</v>
      </c>
      <c r="DS230" s="5247"/>
      <c r="DT230" s="5247"/>
      <c r="DU230" s="1095">
        <f>IF(DS230=0,0,(DT230-DS230)/DS230*100)</f>
        <v>0</v>
      </c>
      <c r="DV230" s="5247"/>
      <c r="DW230" s="5247"/>
      <c r="DX230" s="1095">
        <f>IF(DV230=0,0,(DW230-DV230)/DV230*100)</f>
        <v>0</v>
      </c>
      <c r="DY230" s="5247"/>
      <c r="DZ230" s="5247"/>
      <c r="EA230" s="1095">
        <f>IF(DY230=0,0,(DZ230-DY230)/DY230*100)</f>
        <v>0</v>
      </c>
      <c r="EB230" s="5247"/>
      <c r="EC230" s="5247"/>
      <c r="ED230" s="1095">
        <f>IF(EB230=0,0,(EC230-EB230)/EB230*100)</f>
        <v>0</v>
      </c>
      <c r="EE230" s="5247"/>
      <c r="EF230" s="5247"/>
      <c r="EG230" s="1095">
        <f>IF(EE230=0,0,(EF230-EE230)/EE230*100)</f>
        <v>0</v>
      </c>
      <c r="EH230" s="5247"/>
      <c r="EI230" s="5247"/>
      <c r="EJ230" s="1095">
        <f>IF(EH230=0,0,(EI230-EH230)/EH230*100)</f>
        <v>0</v>
      </c>
      <c r="EK230" s="5247"/>
      <c r="EL230" s="5247"/>
      <c r="EM230" s="1095">
        <f>IF(EK230=0,0,(EL230-EK230)/EK230*100)</f>
        <v>0</v>
      </c>
      <c r="EN230" s="5247"/>
      <c r="EO230" s="5247"/>
      <c r="EP230" s="1095">
        <f>IF(EN230=0,0,(EO230-EN230)/EN230*100)</f>
        <v>0</v>
      </c>
      <c r="EQ230" s="5247"/>
      <c r="ER230" s="5247"/>
      <c r="ES230" s="1095">
        <f>IF(EQ230=0,0,(ER230-EQ230)/EQ230*100)</f>
        <v>0</v>
      </c>
      <c r="ET230" s="5247"/>
      <c r="EU230" s="5247"/>
      <c r="EV230" s="1095">
        <f>IF(ET230=0,0,(EU230-ET230)/ET230*100)</f>
        <v>0</v>
      </c>
      <c r="EW230" s="5247"/>
      <c r="EX230" s="5247"/>
      <c r="EY230" s="1095">
        <f>IF(EW230=0,0,(EX230-EW230)/EW230*100)</f>
        <v>0</v>
      </c>
      <c r="EZ230" s="5247"/>
      <c r="FA230" s="5247"/>
      <c r="FB230" s="1095">
        <f>IF(EZ230=0,0,(FA230-EZ230)/EZ230*100)</f>
        <v>0</v>
      </c>
      <c r="FC230" s="5247"/>
      <c r="FD230" s="5247"/>
      <c r="FE230" s="1095">
        <f>IF(FC230=0,0,(FD230-FC230)/FC230*100)</f>
        <v>0</v>
      </c>
      <c r="FF230" s="5247"/>
      <c r="FG230" s="5247"/>
      <c r="FH230" s="1095">
        <f>IF(FF230=0,0,(FG230-FF230)/FF230*100)</f>
        <v>0</v>
      </c>
      <c r="FI230" s="5247"/>
      <c r="FJ230" s="5247"/>
      <c r="FK230" s="1095">
        <f>IF(FI230=0,0,(FJ230-FI230)/FI230*100)</f>
        <v>0</v>
      </c>
      <c r="FL230" s="5247"/>
      <c r="FM230" s="5247"/>
      <c r="FN230" s="1095">
        <f>IF(FL230=0,0,(FM230-FL230)/FL230*100)</f>
        <v>0</v>
      </c>
      <c r="FO230" s="5247"/>
      <c r="FP230" s="5247"/>
      <c r="FQ230" s="1095">
        <f>IF(FO230=0,0,(FP230-FO230)/FO230*100)</f>
        <v>0</v>
      </c>
      <c r="FR230" s="5247"/>
      <c r="FS230" s="5247"/>
      <c r="FT230" s="1095">
        <f>IF(FR230=0,0,(FS230-FR230)/FR230*100)</f>
        <v>0</v>
      </c>
      <c r="FU230" s="5247"/>
      <c r="FV230" s="5247"/>
      <c r="FW230" s="1095">
        <f>IF(FU230=0,0,(FV230-FU230)/FU230*100)</f>
        <v>0</v>
      </c>
      <c r="FX230" s="292"/>
      <c r="FY230" s="1304"/>
      <c r="FZ230" s="1055" t="s">
        <v>2361</v>
      </c>
      <c r="GA230" s="1306"/>
      <c r="GB230" s="1306"/>
      <c r="GC230" s="1305"/>
      <c r="GD230" s="1305"/>
    </row>
    <row s="1834" customFormat="1" customHeight="1" ht="18" hidden="1">
      <c r="A231" s="493"/>
      <c r="B231" s="925" cm="1" t="str">
        <f t="array" ref="B231:B231">B230</f>
        <v>true</v>
      </c>
      <c r="C231" s="493"/>
      <c r="D231" s="493"/>
      <c r="E231" s="840">
        <v>18.75</v>
      </c>
      <c r="F231" s="50" cm="1" t="str">
        <f t="array" ref="F231:F231">OFFSET(E231,-1,1)</f>
        <v>3</v>
      </c>
      <c r="G231" s="493"/>
      <c r="H231" s="493" t="s">
        <v>1175</v>
      </c>
      <c r="I231" s="493" cm="1" t="str">
        <f t="array" ref="I231:I231">AB231</f>
        <v>0</v>
      </c>
      <c r="J231" s="493"/>
      <c r="K231" s="493"/>
      <c r="L231" s="493"/>
      <c r="M231" s="493"/>
      <c r="N231" s="493"/>
      <c r="O231" s="493"/>
      <c r="P231" s="493"/>
      <c r="Q231" s="897"/>
      <c r="R231" s="493"/>
      <c r="S231" s="493"/>
      <c r="T231" s="465">
        <f>AND(F231&gt;0,Y231&gt;0)</f>
        <v>0</v>
      </c>
      <c r="U231" s="493"/>
      <c r="V231" s="493"/>
      <c r="W231" s="493" t="s">
        <v>174</v>
      </c>
      <c r="X231" s="1596"/>
      <c r="Y231" s="1596">
        <v>0</v>
      </c>
      <c r="Z231" s="1545"/>
      <c r="AA231" s="1494" t="s">
        <v>175</v>
      </c>
      <c r="AB231" s="5252"/>
      <c r="AC231" s="864" t="s">
        <v>2337</v>
      </c>
      <c r="AD231" s="2846"/>
      <c r="AE231" s="5253"/>
      <c r="AF231" s="1093">
        <f>IF(AD231=0,0,(AE231-AD231)/AD231*100)</f>
        <v>0</v>
      </c>
      <c r="AG231" s="2846"/>
      <c r="AH231" s="5253"/>
      <c r="AI231" s="1093">
        <f>IF(AG231=0,0,(AH231-AG231)/AG231*100)</f>
        <v>0</v>
      </c>
      <c r="AJ231" s="2846"/>
      <c r="AK231" s="5253"/>
      <c r="AL231" s="1093">
        <f>IF(AJ231=0,0,(AK231-AJ231)/AJ231*100)</f>
        <v>0</v>
      </c>
      <c r="AM231" s="2846"/>
      <c r="AN231" s="5253"/>
      <c r="AO231" s="1093">
        <f>IF(AM231=0,0,(AN231-AM231)/AM231*100)</f>
        <v>0</v>
      </c>
      <c r="AP231" s="2846"/>
      <c r="AQ231" s="5253"/>
      <c r="AR231" s="1093">
        <f>IF(AP231=0,0,(AQ231-AP231)/AP231*100)</f>
        <v>0</v>
      </c>
      <c r="AS231" s="2846"/>
      <c r="AT231" s="5253"/>
      <c r="AU231" s="1093">
        <f>IF(AS231=0,0,(AT231-AS231)/AS231*100)</f>
        <v>0</v>
      </c>
      <c r="AV231" s="2846"/>
      <c r="AW231" s="5253"/>
      <c r="AX231" s="1093">
        <f>IF(AV231=0,0,(AW231-AV231)/AV231*100)</f>
        <v>0</v>
      </c>
      <c r="AY231" s="2846"/>
      <c r="AZ231" s="5253"/>
      <c r="BA231" s="1093">
        <f>IF(AY231=0,0,(AZ231-AY231)/AY231*100)</f>
        <v>0</v>
      </c>
      <c r="BB231" s="2846"/>
      <c r="BC231" s="5253"/>
      <c r="BD231" s="1093">
        <f>IF(BB231=0,0,(BC231-BB231)/BB231*100)</f>
        <v>0</v>
      </c>
      <c r="BE231" s="2846"/>
      <c r="BF231" s="5253"/>
      <c r="BG231" s="1093">
        <f>IF(BE231=0,0,(BF231-BE231)/BE231*100)</f>
        <v>0</v>
      </c>
      <c r="BH231" s="2846"/>
      <c r="BI231" s="5253"/>
      <c r="BJ231" s="1093">
        <f>IF(BH231=0,0,(BI231-BH231)/BH231*100)</f>
        <v>0</v>
      </c>
      <c r="BK231" s="2846"/>
      <c r="BL231" s="5253"/>
      <c r="BM231" s="1093">
        <f>IF(BK231=0,0,(BL231-BK231)/BK231*100)</f>
        <v>0</v>
      </c>
      <c r="BN231" s="2846"/>
      <c r="BO231" s="5253"/>
      <c r="BP231" s="1093">
        <f>IF(BN231=0,0,(BO231-BN231)/BN231*100)</f>
        <v>0</v>
      </c>
      <c r="BQ231" s="2846"/>
      <c r="BR231" s="5253"/>
      <c r="BS231" s="1093">
        <f>IF(BQ231=0,0,(BR231-BQ231)/BQ231*100)</f>
        <v>0</v>
      </c>
      <c r="BT231" s="2846"/>
      <c r="BU231" s="5253"/>
      <c r="BV231" s="1093">
        <f>IF(BT231=0,0,(BU231-BT231)/BT231*100)</f>
        <v>0</v>
      </c>
      <c r="BW231" s="2846"/>
      <c r="BX231" s="5253"/>
      <c r="BY231" s="1093">
        <f>IF(BW231=0,0,(BX231-BW231)/BW231*100)</f>
        <v>0</v>
      </c>
      <c r="BZ231" s="2846"/>
      <c r="CA231" s="5253"/>
      <c r="CB231" s="1093">
        <f>IF(BZ231=0,0,(CA231-BZ231)/BZ231*100)</f>
        <v>0</v>
      </c>
      <c r="CC231" s="2846"/>
      <c r="CD231" s="5253"/>
      <c r="CE231" s="1093">
        <f>IF(CC231=0,0,(CD231-CC231)/CC231*100)</f>
        <v>0</v>
      </c>
      <c r="CF231" s="2846"/>
      <c r="CG231" s="5253"/>
      <c r="CH231" s="1093">
        <f>IF(CF231=0,0,(CG231-CF231)/CF231*100)</f>
        <v>0</v>
      </c>
      <c r="CI231" s="2846"/>
      <c r="CJ231" s="5253"/>
      <c r="CK231" s="1093">
        <f>IF(CI231=0,0,(CJ231-CI231)/CI231*100)</f>
        <v>0</v>
      </c>
      <c r="CL231" s="2846"/>
      <c r="CM231" s="5253"/>
      <c r="CN231" s="1093">
        <f>IF(CL231=0,0,(CM231-CL231)/CL231*100)</f>
        <v>0</v>
      </c>
      <c r="CO231" s="2846"/>
      <c r="CP231" s="5253"/>
      <c r="CQ231" s="1093">
        <f>IF(CO231=0,0,(CP231-CO231)/CO231*100)</f>
        <v>0</v>
      </c>
      <c r="CR231" s="2846"/>
      <c r="CS231" s="5253"/>
      <c r="CT231" s="1093">
        <f>IF(CR231=0,0,(CS231-CR231)/CR231*100)</f>
        <v>0</v>
      </c>
      <c r="CU231" s="2846"/>
      <c r="CV231" s="5253"/>
      <c r="CW231" s="1093">
        <f>IF(CU231=0,0,(CV231-CU231)/CU231*100)</f>
        <v>0</v>
      </c>
      <c r="CX231" s="2846"/>
      <c r="CY231" s="5253"/>
      <c r="CZ231" s="1093">
        <f>IF(CX231=0,0,(CY231-CX231)/CX231*100)</f>
        <v>0</v>
      </c>
      <c r="DA231" s="2846"/>
      <c r="DB231" s="5253"/>
      <c r="DC231" s="1093">
        <f>IF(DA231=0,0,(DB231-DA231)/DA231*100)</f>
        <v>0</v>
      </c>
      <c r="DD231" s="2846"/>
      <c r="DE231" s="5253"/>
      <c r="DF231" s="1093">
        <f>IF(DD231=0,0,(DE231-DD231)/DD231*100)</f>
        <v>0</v>
      </c>
      <c r="DG231" s="2846"/>
      <c r="DH231" s="5253"/>
      <c r="DI231" s="1093">
        <f>IF(DG231=0,0,(DH231-DG231)/DG231*100)</f>
        <v>0</v>
      </c>
      <c r="DJ231" s="2846"/>
      <c r="DK231" s="5253"/>
      <c r="DL231" s="1093">
        <f>IF(DJ231=0,0,(DK231-DJ231)/DJ231*100)</f>
        <v>0</v>
      </c>
      <c r="DM231" s="2846"/>
      <c r="DN231" s="5253"/>
      <c r="DO231" s="1093">
        <f>IF(DM231=0,0,(DN231-DM231)/DM231*100)</f>
        <v>0</v>
      </c>
      <c r="DP231" s="2846"/>
      <c r="DQ231" s="5253"/>
      <c r="DR231" s="1093">
        <f>IF(DP231=0,0,(DQ231-DP231)/DP231*100)</f>
        <v>0</v>
      </c>
      <c r="DS231" s="2846"/>
      <c r="DT231" s="5253"/>
      <c r="DU231" s="1093">
        <f>IF(DS231=0,0,(DT231-DS231)/DS231*100)</f>
        <v>0</v>
      </c>
      <c r="DV231" s="2846"/>
      <c r="DW231" s="5253"/>
      <c r="DX231" s="1093">
        <f>IF(DV231=0,0,(DW231-DV231)/DV231*100)</f>
        <v>0</v>
      </c>
      <c r="DY231" s="2846"/>
      <c r="DZ231" s="5253"/>
      <c r="EA231" s="1093">
        <f>IF(DY231=0,0,(DZ231-DY231)/DY231*100)</f>
        <v>0</v>
      </c>
      <c r="EB231" s="2846"/>
      <c r="EC231" s="5253"/>
      <c r="ED231" s="1093">
        <f>IF(EB231=0,0,(EC231-EB231)/EB231*100)</f>
        <v>0</v>
      </c>
      <c r="EE231" s="2846"/>
      <c r="EF231" s="5253"/>
      <c r="EG231" s="1093">
        <f>IF(EE231=0,0,(EF231-EE231)/EE231*100)</f>
        <v>0</v>
      </c>
      <c r="EH231" s="2846"/>
      <c r="EI231" s="5253"/>
      <c r="EJ231" s="1093">
        <f>IF(EH231=0,0,(EI231-EH231)/EH231*100)</f>
        <v>0</v>
      </c>
      <c r="EK231" s="2846"/>
      <c r="EL231" s="5253"/>
      <c r="EM231" s="1093">
        <f>IF(EK231=0,0,(EL231-EK231)/EK231*100)</f>
        <v>0</v>
      </c>
      <c r="EN231" s="2846"/>
      <c r="EO231" s="5253"/>
      <c r="EP231" s="1093">
        <f>IF(EN231=0,0,(EO231-EN231)/EN231*100)</f>
        <v>0</v>
      </c>
      <c r="EQ231" s="2846"/>
      <c r="ER231" s="5253"/>
      <c r="ES231" s="1093">
        <f>IF(EQ231=0,0,(ER231-EQ231)/EQ231*100)</f>
        <v>0</v>
      </c>
      <c r="ET231" s="2846"/>
      <c r="EU231" s="5253"/>
      <c r="EV231" s="1093">
        <f>IF(ET231=0,0,(EU231-ET231)/ET231*100)</f>
        <v>0</v>
      </c>
      <c r="EW231" s="2846"/>
      <c r="EX231" s="5253"/>
      <c r="EY231" s="1093">
        <f>IF(EW231=0,0,(EX231-EW231)/EW231*100)</f>
        <v>0</v>
      </c>
      <c r="EZ231" s="2846"/>
      <c r="FA231" s="5253"/>
      <c r="FB231" s="1093">
        <f>IF(EZ231=0,0,(FA231-EZ231)/EZ231*100)</f>
        <v>0</v>
      </c>
      <c r="FC231" s="2846"/>
      <c r="FD231" s="5253"/>
      <c r="FE231" s="1093">
        <f>IF(FC231=0,0,(FD231-FC231)/FC231*100)</f>
        <v>0</v>
      </c>
      <c r="FF231" s="2846"/>
      <c r="FG231" s="5253"/>
      <c r="FH231" s="1093">
        <f>IF(FF231=0,0,(FG231-FF231)/FF231*100)</f>
        <v>0</v>
      </c>
      <c r="FI231" s="2846"/>
      <c r="FJ231" s="5253"/>
      <c r="FK231" s="1093">
        <f>IF(FI231=0,0,(FJ231-FI231)/FI231*100)</f>
        <v>0</v>
      </c>
      <c r="FL231" s="2846"/>
      <c r="FM231" s="5253"/>
      <c r="FN231" s="1093">
        <f>IF(FL231=0,0,(FM231-FL231)/FL231*100)</f>
        <v>0</v>
      </c>
      <c r="FO231" s="2846"/>
      <c r="FP231" s="5253"/>
      <c r="FQ231" s="1093">
        <f>IF(FO231=0,0,(FP231-FO231)/FO231*100)</f>
        <v>0</v>
      </c>
      <c r="FR231" s="2846"/>
      <c r="FS231" s="5253"/>
      <c r="FT231" s="1093">
        <f>IF(FR231=0,0,(FS231-FR231)/FR231*100)</f>
        <v>0</v>
      </c>
      <c r="FU231" s="2846"/>
      <c r="FV231" s="5253"/>
      <c r="FW231" s="1093">
        <f>IF(FU231=0,0,(FV231-FU231)/FU231*100)</f>
        <v>0</v>
      </c>
      <c r="FX231" s="292"/>
      <c r="FY231" s="1304"/>
      <c r="FZ231" s="1055" t="s">
        <v>2362</v>
      </c>
      <c r="GA231" s="1015" t="s">
        <v>2363</v>
      </c>
      <c r="GB231" s="1015" cm="1" t="str">
        <f t="array" ref="GB231:GB231">AB231</f>
        <v>0</v>
      </c>
      <c r="GC231" s="1305"/>
      <c r="GD231" s="632" t="b">
        <v>1</v>
      </c>
    </row>
    <row customHeight="1" ht="18.525" hidden="1">
      <c r="A232" s="493"/>
      <c r="B232" s="925" cm="1" t="str">
        <f t="array" ref="B232:B232">B231</f>
        <v>true</v>
      </c>
      <c r="C232" s="493"/>
      <c r="D232" s="493"/>
      <c r="E232" s="840">
        <v>19</v>
      </c>
      <c r="F232" s="50" cm="1" t="str">
        <f t="array" ref="F232:F232">OFFSET(E232,-1,1)</f>
        <v>3</v>
      </c>
      <c r="G232" s="493"/>
      <c r="H232" s="493"/>
      <c r="I232" s="493"/>
      <c r="J232" s="493"/>
      <c r="K232" s="493"/>
      <c r="L232" s="493"/>
      <c r="M232" s="493"/>
      <c r="N232" s="493"/>
      <c r="O232" s="493"/>
      <c r="P232" s="493"/>
      <c r="Q232" s="897"/>
      <c r="R232" s="493"/>
      <c r="S232" s="493"/>
      <c r="T232" s="465" cm="1" t="str">
        <f t="array" ref="T232:T232">T231</f>
        <v>false</v>
      </c>
      <c r="U232" s="493"/>
      <c r="V232" s="493"/>
      <c r="W232" s="493"/>
      <c r="X232" s="1596"/>
      <c r="Y232" s="1596"/>
      <c r="Z232" s="1545"/>
      <c r="AA232" s="1494"/>
      <c r="AB232" s="5252"/>
      <c r="AC232" s="864" t="s">
        <v>2337</v>
      </c>
      <c r="AD232" s="2846"/>
      <c r="AE232" s="5253"/>
      <c r="AF232" s="1093">
        <f>IF(AD232=0,0,(AE232-AD232)/AD232*100)</f>
        <v>0</v>
      </c>
      <c r="AG232" s="2846"/>
      <c r="AH232" s="5253"/>
      <c r="AI232" s="1093">
        <f>IF(AG232=0,0,(AH232-AG232)/AG232*100)</f>
        <v>0</v>
      </c>
      <c r="AJ232" s="2846"/>
      <c r="AK232" s="5253"/>
      <c r="AL232" s="1093">
        <f>IF(AJ232=0,0,(AK232-AJ232)/AJ232*100)</f>
        <v>0</v>
      </c>
      <c r="AM232" s="2846"/>
      <c r="AN232" s="5253"/>
      <c r="AO232" s="1093">
        <f>IF(AM232=0,0,(AN232-AM232)/AM232*100)</f>
        <v>0</v>
      </c>
      <c r="AP232" s="2846"/>
      <c r="AQ232" s="5253"/>
      <c r="AR232" s="1093">
        <f>IF(AP232=0,0,(AQ232-AP232)/AP232*100)</f>
        <v>0</v>
      </c>
      <c r="AS232" s="2846"/>
      <c r="AT232" s="5253"/>
      <c r="AU232" s="1093">
        <f>IF(AS232=0,0,(AT232-AS232)/AS232*100)</f>
        <v>0</v>
      </c>
      <c r="AV232" s="2846"/>
      <c r="AW232" s="5253"/>
      <c r="AX232" s="1093">
        <f>IF(AV232=0,0,(AW232-AV232)/AV232*100)</f>
        <v>0</v>
      </c>
      <c r="AY232" s="2846"/>
      <c r="AZ232" s="5253"/>
      <c r="BA232" s="1093">
        <f>IF(AY232=0,0,(AZ232-AY232)/AY232*100)</f>
        <v>0</v>
      </c>
      <c r="BB232" s="2846"/>
      <c r="BC232" s="5253"/>
      <c r="BD232" s="1093">
        <f>IF(BB232=0,0,(BC232-BB232)/BB232*100)</f>
        <v>0</v>
      </c>
      <c r="BE232" s="2846"/>
      <c r="BF232" s="5253"/>
      <c r="BG232" s="1093">
        <f>IF(BE232=0,0,(BF232-BE232)/BE232*100)</f>
        <v>0</v>
      </c>
      <c r="BH232" s="2846"/>
      <c r="BI232" s="5253"/>
      <c r="BJ232" s="1093">
        <f>IF(BH232=0,0,(BI232-BH232)/BH232*100)</f>
        <v>0</v>
      </c>
      <c r="BK232" s="2846"/>
      <c r="BL232" s="5253"/>
      <c r="BM232" s="1093">
        <f>IF(BK232=0,0,(BL232-BK232)/BK232*100)</f>
        <v>0</v>
      </c>
      <c r="BN232" s="2846"/>
      <c r="BO232" s="5253"/>
      <c r="BP232" s="1093">
        <f>IF(BN232=0,0,(BO232-BN232)/BN232*100)</f>
        <v>0</v>
      </c>
      <c r="BQ232" s="2846"/>
      <c r="BR232" s="5253"/>
      <c r="BS232" s="1093">
        <f>IF(BQ232=0,0,(BR232-BQ232)/BQ232*100)</f>
        <v>0</v>
      </c>
      <c r="BT232" s="2846"/>
      <c r="BU232" s="5253"/>
      <c r="BV232" s="1093">
        <f>IF(BT232=0,0,(BU232-BT232)/BT232*100)</f>
        <v>0</v>
      </c>
      <c r="BW232" s="2846"/>
      <c r="BX232" s="5253"/>
      <c r="BY232" s="1093">
        <f>IF(BW232=0,0,(BX232-BW232)/BW232*100)</f>
        <v>0</v>
      </c>
      <c r="BZ232" s="2846"/>
      <c r="CA232" s="5253"/>
      <c r="CB232" s="1093">
        <f>IF(BZ232=0,0,(CA232-BZ232)/BZ232*100)</f>
        <v>0</v>
      </c>
      <c r="CC232" s="2846"/>
      <c r="CD232" s="5253"/>
      <c r="CE232" s="1093">
        <f>IF(CC232=0,0,(CD232-CC232)/CC232*100)</f>
        <v>0</v>
      </c>
      <c r="CF232" s="2846"/>
      <c r="CG232" s="5253"/>
      <c r="CH232" s="1093">
        <f>IF(CF232=0,0,(CG232-CF232)/CF232*100)</f>
        <v>0</v>
      </c>
      <c r="CI232" s="2846"/>
      <c r="CJ232" s="5253"/>
      <c r="CK232" s="1093">
        <f>IF(CI232=0,0,(CJ232-CI232)/CI232*100)</f>
        <v>0</v>
      </c>
      <c r="CL232" s="2846"/>
      <c r="CM232" s="5253"/>
      <c r="CN232" s="1093">
        <f>IF(CL232=0,0,(CM232-CL232)/CL232*100)</f>
        <v>0</v>
      </c>
      <c r="CO232" s="2846"/>
      <c r="CP232" s="5253"/>
      <c r="CQ232" s="1093">
        <f>IF(CO232=0,0,(CP232-CO232)/CO232*100)</f>
        <v>0</v>
      </c>
      <c r="CR232" s="2846"/>
      <c r="CS232" s="5253"/>
      <c r="CT232" s="1093">
        <f>IF(CR232=0,0,(CS232-CR232)/CR232*100)</f>
        <v>0</v>
      </c>
      <c r="CU232" s="2846"/>
      <c r="CV232" s="5253"/>
      <c r="CW232" s="1093">
        <f>IF(CU232=0,0,(CV232-CU232)/CU232*100)</f>
        <v>0</v>
      </c>
      <c r="CX232" s="2846"/>
      <c r="CY232" s="5253"/>
      <c r="CZ232" s="1093">
        <f>IF(CX232=0,0,(CY232-CX232)/CX232*100)</f>
        <v>0</v>
      </c>
      <c r="DA232" s="2846"/>
      <c r="DB232" s="5253"/>
      <c r="DC232" s="1093">
        <f>IF(DA232=0,0,(DB232-DA232)/DA232*100)</f>
        <v>0</v>
      </c>
      <c r="DD232" s="2846"/>
      <c r="DE232" s="5253"/>
      <c r="DF232" s="1093">
        <f>IF(DD232=0,0,(DE232-DD232)/DD232*100)</f>
        <v>0</v>
      </c>
      <c r="DG232" s="2846"/>
      <c r="DH232" s="5253"/>
      <c r="DI232" s="1093">
        <f>IF(DG232=0,0,(DH232-DG232)/DG232*100)</f>
        <v>0</v>
      </c>
      <c r="DJ232" s="2846"/>
      <c r="DK232" s="5253"/>
      <c r="DL232" s="1093">
        <f>IF(DJ232=0,0,(DK232-DJ232)/DJ232*100)</f>
        <v>0</v>
      </c>
      <c r="DM232" s="2846"/>
      <c r="DN232" s="5253"/>
      <c r="DO232" s="1093">
        <f>IF(DM232=0,0,(DN232-DM232)/DM232*100)</f>
        <v>0</v>
      </c>
      <c r="DP232" s="2846"/>
      <c r="DQ232" s="5253"/>
      <c r="DR232" s="1093">
        <f>IF(DP232=0,0,(DQ232-DP232)/DP232*100)</f>
        <v>0</v>
      </c>
      <c r="DS232" s="2846"/>
      <c r="DT232" s="5253"/>
      <c r="DU232" s="1093">
        <f>IF(DS232=0,0,(DT232-DS232)/DS232*100)</f>
        <v>0</v>
      </c>
      <c r="DV232" s="2846"/>
      <c r="DW232" s="5253"/>
      <c r="DX232" s="1093">
        <f>IF(DV232=0,0,(DW232-DV232)/DV232*100)</f>
        <v>0</v>
      </c>
      <c r="DY232" s="2846"/>
      <c r="DZ232" s="5253"/>
      <c r="EA232" s="1093">
        <f>IF(DY232=0,0,(DZ232-DY232)/DY232*100)</f>
        <v>0</v>
      </c>
      <c r="EB232" s="2846"/>
      <c r="EC232" s="5253"/>
      <c r="ED232" s="1093">
        <f>IF(EB232=0,0,(EC232-EB232)/EB232*100)</f>
        <v>0</v>
      </c>
      <c r="EE232" s="2846"/>
      <c r="EF232" s="5253"/>
      <c r="EG232" s="1093">
        <f>IF(EE232=0,0,(EF232-EE232)/EE232*100)</f>
        <v>0</v>
      </c>
      <c r="EH232" s="2846"/>
      <c r="EI232" s="5253"/>
      <c r="EJ232" s="1093">
        <f>IF(EH232=0,0,(EI232-EH232)/EH232*100)</f>
        <v>0</v>
      </c>
      <c r="EK232" s="2846"/>
      <c r="EL232" s="5253"/>
      <c r="EM232" s="1093">
        <f>IF(EK232=0,0,(EL232-EK232)/EK232*100)</f>
        <v>0</v>
      </c>
      <c r="EN232" s="2846"/>
      <c r="EO232" s="5253"/>
      <c r="EP232" s="1093">
        <f>IF(EN232=0,0,(EO232-EN232)/EN232*100)</f>
        <v>0</v>
      </c>
      <c r="EQ232" s="2846"/>
      <c r="ER232" s="5253"/>
      <c r="ES232" s="1093">
        <f>IF(EQ232=0,0,(ER232-EQ232)/EQ232*100)</f>
        <v>0</v>
      </c>
      <c r="ET232" s="2846"/>
      <c r="EU232" s="5253"/>
      <c r="EV232" s="1093">
        <f>IF(ET232=0,0,(EU232-ET232)/ET232*100)</f>
        <v>0</v>
      </c>
      <c r="EW232" s="2846"/>
      <c r="EX232" s="5253"/>
      <c r="EY232" s="1093">
        <f>IF(EW232=0,0,(EX232-EW232)/EW232*100)</f>
        <v>0</v>
      </c>
      <c r="EZ232" s="2846"/>
      <c r="FA232" s="5253"/>
      <c r="FB232" s="1093">
        <f>IF(EZ232=0,0,(FA232-EZ232)/EZ232*100)</f>
        <v>0</v>
      </c>
      <c r="FC232" s="2846"/>
      <c r="FD232" s="5253"/>
      <c r="FE232" s="1093">
        <f>IF(FC232=0,0,(FD232-FC232)/FC232*100)</f>
        <v>0</v>
      </c>
      <c r="FF232" s="2846"/>
      <c r="FG232" s="5253"/>
      <c r="FH232" s="1093">
        <f>IF(FF232=0,0,(FG232-FF232)/FF232*100)</f>
        <v>0</v>
      </c>
      <c r="FI232" s="2846"/>
      <c r="FJ232" s="5253"/>
      <c r="FK232" s="1093">
        <f>IF(FI232=0,0,(FJ232-FI232)/FI232*100)</f>
        <v>0</v>
      </c>
      <c r="FL232" s="2846"/>
      <c r="FM232" s="5253"/>
      <c r="FN232" s="1093">
        <f>IF(FL232=0,0,(FM232-FL232)/FL232*100)</f>
        <v>0</v>
      </c>
      <c r="FO232" s="2846"/>
      <c r="FP232" s="5253"/>
      <c r="FQ232" s="1093">
        <f>IF(FO232=0,0,(FP232-FO232)/FO232*100)</f>
        <v>0</v>
      </c>
      <c r="FR232" s="2846"/>
      <c r="FS232" s="5253"/>
      <c r="FT232" s="1093">
        <f>IF(FR232=0,0,(FS232-FR232)/FR232*100)</f>
        <v>0</v>
      </c>
      <c r="FU232" s="2846"/>
      <c r="FV232" s="5253"/>
      <c r="FW232" s="1093">
        <f>IF(FU232=0,0,(FV232-FU232)/FU232*100)</f>
        <v>0</v>
      </c>
      <c r="FZ232" s="1306" t="s">
        <v>2364</v>
      </c>
      <c r="GA232" s="1306" t="s">
        <v>2363</v>
      </c>
      <c r="GB232" s="1306" cm="1" t="str">
        <f t="array" ref="GB232:GB232">GB231</f>
        <v>0</v>
      </c>
    </row>
    <row s="1834" customFormat="1" customHeight="1" ht="14.25" hidden="1">
      <c r="A233" s="493"/>
      <c r="B233" s="925" cm="1" t="str">
        <f t="array" ref="B233:B233">B231</f>
        <v>true</v>
      </c>
      <c r="C233" s="493"/>
      <c r="D233" s="493"/>
      <c r="E233" s="840">
        <v>15</v>
      </c>
      <c r="F233" s="50" cm="1" t="str">
        <f t="array" ref="F233:F233">OFFSET(E233,-1,1)</f>
        <v>3</v>
      </c>
      <c r="G233" s="493"/>
      <c r="H233" s="493" t="s">
        <v>1182</v>
      </c>
      <c r="I233" s="493" cm="1" t="str">
        <f t="array" ref="I233:I233">I231</f>
        <v>0</v>
      </c>
      <c r="J233" s="493"/>
      <c r="K233" s="493"/>
      <c r="L233" s="493"/>
      <c r="M233" s="493"/>
      <c r="N233" s="493"/>
      <c r="O233" s="493"/>
      <c r="P233" s="493"/>
      <c r="Q233" s="897"/>
      <c r="R233" s="493"/>
      <c r="S233" s="493"/>
      <c r="T233" s="465" cm="1" t="str">
        <f t="array" ref="T233:T233">T231</f>
        <v>false</v>
      </c>
      <c r="U233" s="493"/>
      <c r="V233" s="493"/>
      <c r="W233" s="493"/>
      <c r="X233" s="1596"/>
      <c r="Y233" s="1596"/>
      <c r="Z233" s="1545"/>
      <c r="AA233" s="1494"/>
      <c r="AB233" s="900" t="s">
        <v>2347</v>
      </c>
      <c r="AC233" s="300" t="s">
        <v>1247</v>
      </c>
      <c r="AD233" s="5247"/>
      <c r="AE233" s="5247"/>
      <c r="AF233" s="1095">
        <f>IF(AD233=0,0,(AE233-AD233)/AD233*100)</f>
        <v>0</v>
      </c>
      <c r="AG233" s="5247"/>
      <c r="AH233" s="5247"/>
      <c r="AI233" s="1095">
        <f>IF(AG233=0,0,(AH233-AG233)/AG233*100)</f>
        <v>0</v>
      </c>
      <c r="AJ233" s="5247"/>
      <c r="AK233" s="5247"/>
      <c r="AL233" s="1095">
        <f>IF(AJ233=0,0,(AK233-AJ233)/AJ233*100)</f>
        <v>0</v>
      </c>
      <c r="AM233" s="5247"/>
      <c r="AN233" s="5247"/>
      <c r="AO233" s="1095">
        <f>IF(AM233=0,0,(AN233-AM233)/AM233*100)</f>
        <v>0</v>
      </c>
      <c r="AP233" s="5247"/>
      <c r="AQ233" s="5247"/>
      <c r="AR233" s="1095">
        <f>IF(AP233=0,0,(AQ233-AP233)/AP233*100)</f>
        <v>0</v>
      </c>
      <c r="AS233" s="5247"/>
      <c r="AT233" s="5247"/>
      <c r="AU233" s="1095">
        <f>IF(AS233=0,0,(AT233-AS233)/AS233*100)</f>
        <v>0</v>
      </c>
      <c r="AV233" s="5247"/>
      <c r="AW233" s="5247"/>
      <c r="AX233" s="1095">
        <f>IF(AV233=0,0,(AW233-AV233)/AV233*100)</f>
        <v>0</v>
      </c>
      <c r="AY233" s="5247"/>
      <c r="AZ233" s="5247"/>
      <c r="BA233" s="1095">
        <f>IF(AY233=0,0,(AZ233-AY233)/AY233*100)</f>
        <v>0</v>
      </c>
      <c r="BB233" s="5247"/>
      <c r="BC233" s="5247"/>
      <c r="BD233" s="1095">
        <f>IF(BB233=0,0,(BC233-BB233)/BB233*100)</f>
        <v>0</v>
      </c>
      <c r="BE233" s="5247"/>
      <c r="BF233" s="5247"/>
      <c r="BG233" s="1095">
        <f>IF(BE233=0,0,(BF233-BE233)/BE233*100)</f>
        <v>0</v>
      </c>
      <c r="BH233" s="5247"/>
      <c r="BI233" s="5247"/>
      <c r="BJ233" s="1095">
        <f>IF(BH233=0,0,(BI233-BH233)/BH233*100)</f>
        <v>0</v>
      </c>
      <c r="BK233" s="5247"/>
      <c r="BL233" s="5247"/>
      <c r="BM233" s="1095">
        <f>IF(BK233=0,0,(BL233-BK233)/BK233*100)</f>
        <v>0</v>
      </c>
      <c r="BN233" s="5247"/>
      <c r="BO233" s="5247"/>
      <c r="BP233" s="1095">
        <f>IF(BN233=0,0,(BO233-BN233)/BN233*100)</f>
        <v>0</v>
      </c>
      <c r="BQ233" s="5247"/>
      <c r="BR233" s="5247"/>
      <c r="BS233" s="1095">
        <f>IF(BQ233=0,0,(BR233-BQ233)/BQ233*100)</f>
        <v>0</v>
      </c>
      <c r="BT233" s="5247"/>
      <c r="BU233" s="5247"/>
      <c r="BV233" s="1095">
        <f>IF(BT233=0,0,(BU233-BT233)/BT233*100)</f>
        <v>0</v>
      </c>
      <c r="BW233" s="5247"/>
      <c r="BX233" s="5247"/>
      <c r="BY233" s="1095">
        <f>IF(BW233=0,0,(BX233-BW233)/BW233*100)</f>
        <v>0</v>
      </c>
      <c r="BZ233" s="5247"/>
      <c r="CA233" s="5247"/>
      <c r="CB233" s="1095">
        <f>IF(BZ233=0,0,(CA233-BZ233)/BZ233*100)</f>
        <v>0</v>
      </c>
      <c r="CC233" s="5247"/>
      <c r="CD233" s="5247"/>
      <c r="CE233" s="1095">
        <f>IF(CC233=0,0,(CD233-CC233)/CC233*100)</f>
        <v>0</v>
      </c>
      <c r="CF233" s="5247"/>
      <c r="CG233" s="5247"/>
      <c r="CH233" s="1095">
        <f>IF(CF233=0,0,(CG233-CF233)/CF233*100)</f>
        <v>0</v>
      </c>
      <c r="CI233" s="5247"/>
      <c r="CJ233" s="5247"/>
      <c r="CK233" s="1095">
        <f>IF(CI233=0,0,(CJ233-CI233)/CI233*100)</f>
        <v>0</v>
      </c>
      <c r="CL233" s="5247"/>
      <c r="CM233" s="5247"/>
      <c r="CN233" s="1095">
        <f>IF(CL233=0,0,(CM233-CL233)/CL233*100)</f>
        <v>0</v>
      </c>
      <c r="CO233" s="5247"/>
      <c r="CP233" s="5247"/>
      <c r="CQ233" s="1095">
        <f>IF(CO233=0,0,(CP233-CO233)/CO233*100)</f>
        <v>0</v>
      </c>
      <c r="CR233" s="5247"/>
      <c r="CS233" s="5247"/>
      <c r="CT233" s="1095">
        <f>IF(CR233=0,0,(CS233-CR233)/CR233*100)</f>
        <v>0</v>
      </c>
      <c r="CU233" s="5247"/>
      <c r="CV233" s="5247"/>
      <c r="CW233" s="1095">
        <f>IF(CU233=0,0,(CV233-CU233)/CU233*100)</f>
        <v>0</v>
      </c>
      <c r="CX233" s="5247"/>
      <c r="CY233" s="5247"/>
      <c r="CZ233" s="1095">
        <f>IF(CX233=0,0,(CY233-CX233)/CX233*100)</f>
        <v>0</v>
      </c>
      <c r="DA233" s="5247"/>
      <c r="DB233" s="5247"/>
      <c r="DC233" s="1095">
        <f>IF(DA233=0,0,(DB233-DA233)/DA233*100)</f>
        <v>0</v>
      </c>
      <c r="DD233" s="5247"/>
      <c r="DE233" s="5247"/>
      <c r="DF233" s="1095">
        <f>IF(DD233=0,0,(DE233-DD233)/DD233*100)</f>
        <v>0</v>
      </c>
      <c r="DG233" s="5247"/>
      <c r="DH233" s="5247"/>
      <c r="DI233" s="1095">
        <f>IF(DG233=0,0,(DH233-DG233)/DG233*100)</f>
        <v>0</v>
      </c>
      <c r="DJ233" s="5247"/>
      <c r="DK233" s="5247"/>
      <c r="DL233" s="1095">
        <f>IF(DJ233=0,0,(DK233-DJ233)/DJ233*100)</f>
        <v>0</v>
      </c>
      <c r="DM233" s="5247"/>
      <c r="DN233" s="5247"/>
      <c r="DO233" s="1095">
        <f>IF(DM233=0,0,(DN233-DM233)/DM233*100)</f>
        <v>0</v>
      </c>
      <c r="DP233" s="5247"/>
      <c r="DQ233" s="5247"/>
      <c r="DR233" s="1095">
        <f>IF(DP233=0,0,(DQ233-DP233)/DP233*100)</f>
        <v>0</v>
      </c>
      <c r="DS233" s="5247"/>
      <c r="DT233" s="5247"/>
      <c r="DU233" s="1095">
        <f>IF(DS233=0,0,(DT233-DS233)/DS233*100)</f>
        <v>0</v>
      </c>
      <c r="DV233" s="5247"/>
      <c r="DW233" s="5247"/>
      <c r="DX233" s="1095">
        <f>IF(DV233=0,0,(DW233-DV233)/DV233*100)</f>
        <v>0</v>
      </c>
      <c r="DY233" s="5247"/>
      <c r="DZ233" s="5247"/>
      <c r="EA233" s="1095">
        <f>IF(DY233=0,0,(DZ233-DY233)/DY233*100)</f>
        <v>0</v>
      </c>
      <c r="EB233" s="5247"/>
      <c r="EC233" s="5247"/>
      <c r="ED233" s="1095">
        <f>IF(EB233=0,0,(EC233-EB233)/EB233*100)</f>
        <v>0</v>
      </c>
      <c r="EE233" s="5247"/>
      <c r="EF233" s="5247"/>
      <c r="EG233" s="1095">
        <f>IF(EE233=0,0,(EF233-EE233)/EE233*100)</f>
        <v>0</v>
      </c>
      <c r="EH233" s="5247"/>
      <c r="EI233" s="5247"/>
      <c r="EJ233" s="1095">
        <f>IF(EH233=0,0,(EI233-EH233)/EH233*100)</f>
        <v>0</v>
      </c>
      <c r="EK233" s="5247"/>
      <c r="EL233" s="5247"/>
      <c r="EM233" s="1095">
        <f>IF(EK233=0,0,(EL233-EK233)/EK233*100)</f>
        <v>0</v>
      </c>
      <c r="EN233" s="5247"/>
      <c r="EO233" s="5247"/>
      <c r="EP233" s="1095">
        <f>IF(EN233=0,0,(EO233-EN233)/EN233*100)</f>
        <v>0</v>
      </c>
      <c r="EQ233" s="5247"/>
      <c r="ER233" s="5247"/>
      <c r="ES233" s="1095">
        <f>IF(EQ233=0,0,(ER233-EQ233)/EQ233*100)</f>
        <v>0</v>
      </c>
      <c r="ET233" s="5247"/>
      <c r="EU233" s="5247"/>
      <c r="EV233" s="1095">
        <f>IF(ET233=0,0,(EU233-ET233)/ET233*100)</f>
        <v>0</v>
      </c>
      <c r="EW233" s="5247"/>
      <c r="EX233" s="5247"/>
      <c r="EY233" s="1095">
        <f>IF(EW233=0,0,(EX233-EW233)/EW233*100)</f>
        <v>0</v>
      </c>
      <c r="EZ233" s="5247"/>
      <c r="FA233" s="5247"/>
      <c r="FB233" s="1095">
        <f>IF(EZ233=0,0,(FA233-EZ233)/EZ233*100)</f>
        <v>0</v>
      </c>
      <c r="FC233" s="5247"/>
      <c r="FD233" s="5247"/>
      <c r="FE233" s="1095">
        <f>IF(FC233=0,0,(FD233-FC233)/FC233*100)</f>
        <v>0</v>
      </c>
      <c r="FF233" s="5247"/>
      <c r="FG233" s="5247"/>
      <c r="FH233" s="1095">
        <f>IF(FF233=0,0,(FG233-FF233)/FF233*100)</f>
        <v>0</v>
      </c>
      <c r="FI233" s="5247"/>
      <c r="FJ233" s="5247"/>
      <c r="FK233" s="1095">
        <f>IF(FI233=0,0,(FJ233-FI233)/FI233*100)</f>
        <v>0</v>
      </c>
      <c r="FL233" s="5247"/>
      <c r="FM233" s="5247"/>
      <c r="FN233" s="1095">
        <f>IF(FL233=0,0,(FM233-FL233)/FL233*100)</f>
        <v>0</v>
      </c>
      <c r="FO233" s="5247"/>
      <c r="FP233" s="5247"/>
      <c r="FQ233" s="1095">
        <f>IF(FO233=0,0,(FP233-FO233)/FO233*100)</f>
        <v>0</v>
      </c>
      <c r="FR233" s="5247"/>
      <c r="FS233" s="5247"/>
      <c r="FT233" s="1095">
        <f>IF(FR233=0,0,(FS233-FR233)/FR233*100)</f>
        <v>0</v>
      </c>
      <c r="FU233" s="5247"/>
      <c r="FV233" s="5247"/>
      <c r="FW233" s="1095">
        <f>IF(FU233=0,0,(FV233-FU233)/FU233*100)</f>
        <v>0</v>
      </c>
      <c r="FX233" s="292"/>
      <c r="FY233" s="1304"/>
      <c r="FZ233" s="1055" t="s">
        <v>2365</v>
      </c>
      <c r="GA233" s="1015" t="s">
        <v>2363</v>
      </c>
      <c r="GB233" s="1015" cm="1" t="str">
        <f t="array" ref="GB233:GB233">GB231</f>
        <v>0</v>
      </c>
      <c r="GC233" s="1305"/>
      <c r="GD233" s="1305"/>
    </row>
    <row s="1834" customFormat="1" customHeight="1" ht="14.25">
      <c r="A234" s="493"/>
      <c r="B234" s="925" cm="1" t="str">
        <f t="array" ref="B234:B234">B233</f>
        <v>true</v>
      </c>
      <c r="C234" s="493"/>
      <c r="D234" s="493"/>
      <c r="E234" s="840">
        <v>15</v>
      </c>
      <c r="F234" s="50" cm="1" t="str">
        <f t="array" ref="F234:F234">OFFSET(E234,-1,1)</f>
        <v>3</v>
      </c>
      <c r="G234" s="493"/>
      <c r="H234" s="493"/>
      <c r="I234" s="98" t="s">
        <v>2366</v>
      </c>
      <c r="J234" s="493"/>
      <c r="K234" s="493"/>
      <c r="L234" s="493"/>
      <c r="M234" s="493"/>
      <c r="N234" s="493"/>
      <c r="O234" s="493"/>
      <c r="P234" s="493"/>
      <c r="Q234" s="493"/>
      <c r="R234" s="85"/>
      <c r="S234" s="493"/>
      <c r="T234" s="465">
        <f>F234&gt;0</f>
        <v>1</v>
      </c>
      <c r="U234" s="493"/>
      <c r="V234" s="1304"/>
      <c r="W234" s="757" t="s">
        <v>2367</v>
      </c>
      <c r="X234" s="1596"/>
      <c r="Y234" s="1304"/>
      <c r="Z234" s="1545"/>
      <c r="AA234" s="1304"/>
      <c r="AB234" s="260" t="s">
        <v>178</v>
      </c>
      <c r="AC234" s="264"/>
      <c r="AD234" s="1098"/>
      <c r="AE234" s="1098"/>
      <c r="AF234" s="1098"/>
      <c r="AG234" s="1098"/>
      <c r="AH234" s="1098"/>
      <c r="AI234" s="1098"/>
      <c r="AJ234" s="1098"/>
      <c r="AK234" s="1098"/>
      <c r="AL234" s="1098"/>
      <c r="AM234" s="1098"/>
      <c r="AN234" s="1098"/>
      <c r="AO234" s="1098"/>
      <c r="AP234" s="1098"/>
      <c r="AQ234" s="1098"/>
      <c r="AR234" s="1098"/>
      <c r="AS234" s="1098"/>
      <c r="AT234" s="1098"/>
      <c r="AU234" s="1098"/>
      <c r="AV234" s="1098"/>
      <c r="AW234" s="1098"/>
      <c r="AX234" s="1098"/>
      <c r="AY234" s="1098"/>
      <c r="AZ234" s="1098"/>
      <c r="BA234" s="1098"/>
      <c r="BB234" s="1098"/>
      <c r="BC234" s="1098"/>
      <c r="BD234" s="1098"/>
      <c r="BE234" s="1098"/>
      <c r="BF234" s="1098"/>
      <c r="BG234" s="1098"/>
      <c r="BH234" s="1098"/>
      <c r="BI234" s="1098"/>
      <c r="BJ234" s="1098"/>
      <c r="BK234" s="1098"/>
      <c r="BL234" s="1098"/>
      <c r="BM234" s="1098"/>
      <c r="BN234" s="1098"/>
      <c r="BO234" s="1098"/>
      <c r="BP234" s="1098"/>
      <c r="BQ234" s="1098"/>
      <c r="BR234" s="1098"/>
      <c r="BS234" s="1098"/>
      <c r="BT234" s="1098"/>
      <c r="BU234" s="1098"/>
      <c r="BV234" s="1098"/>
      <c r="BW234" s="1098"/>
      <c r="BX234" s="1098"/>
      <c r="BY234" s="1098"/>
      <c r="BZ234" s="1098"/>
      <c r="CA234" s="1098"/>
      <c r="CB234" s="1098"/>
      <c r="CC234" s="1098"/>
      <c r="CD234" s="1098"/>
      <c r="CE234" s="1098"/>
      <c r="CF234" s="1098"/>
      <c r="CG234" s="1098"/>
      <c r="CH234" s="1098"/>
      <c r="CI234" s="1098"/>
      <c r="CJ234" s="1098"/>
      <c r="CK234" s="1098"/>
      <c r="CL234" s="1098"/>
      <c r="CM234" s="1098"/>
      <c r="CN234" s="1098"/>
      <c r="CO234" s="1098"/>
      <c r="CP234" s="1098"/>
      <c r="CQ234" s="1098"/>
      <c r="CR234" s="1098"/>
      <c r="CS234" s="1098"/>
      <c r="CT234" s="1098"/>
      <c r="CU234" s="1098"/>
      <c r="CV234" s="1098"/>
      <c r="CW234" s="1098"/>
      <c r="CX234" s="1098"/>
      <c r="CY234" s="1098"/>
      <c r="CZ234" s="1098"/>
      <c r="DA234" s="1098"/>
      <c r="DB234" s="1098"/>
      <c r="DC234" s="1098"/>
      <c r="DD234" s="1098"/>
      <c r="DE234" s="1098"/>
      <c r="DF234" s="1098"/>
      <c r="DG234" s="1098"/>
      <c r="DH234" s="1098"/>
      <c r="DI234" s="1098"/>
      <c r="DJ234" s="1098"/>
      <c r="DK234" s="1098"/>
      <c r="DL234" s="1098"/>
      <c r="DM234" s="1098"/>
      <c r="DN234" s="1098"/>
      <c r="DO234" s="1098"/>
      <c r="DP234" s="1098"/>
      <c r="DQ234" s="1098"/>
      <c r="DR234" s="1098"/>
      <c r="DS234" s="1098"/>
      <c r="DT234" s="1098"/>
      <c r="DU234" s="1098"/>
      <c r="DV234" s="1098"/>
      <c r="DW234" s="1098"/>
      <c r="DX234" s="1098"/>
      <c r="DY234" s="1098"/>
      <c r="DZ234" s="1098"/>
      <c r="EA234" s="1098"/>
      <c r="EB234" s="1098"/>
      <c r="EC234" s="1098"/>
      <c r="ED234" s="1098"/>
      <c r="EE234" s="1098"/>
      <c r="EF234" s="1098"/>
      <c r="EG234" s="1098"/>
      <c r="EH234" s="1098"/>
      <c r="EI234" s="1098"/>
      <c r="EJ234" s="1098"/>
      <c r="EK234" s="1098"/>
      <c r="EL234" s="1098"/>
      <c r="EM234" s="1098"/>
      <c r="EN234" s="1098"/>
      <c r="EO234" s="1098"/>
      <c r="EP234" s="1098"/>
      <c r="EQ234" s="1098"/>
      <c r="ER234" s="1098"/>
      <c r="ES234" s="1098"/>
      <c r="ET234" s="1098"/>
      <c r="EU234" s="1098"/>
      <c r="EV234" s="1098"/>
      <c r="EW234" s="1098"/>
      <c r="EX234" s="1098"/>
      <c r="EY234" s="1098"/>
      <c r="EZ234" s="1098"/>
      <c r="FA234" s="1098"/>
      <c r="FB234" s="1098"/>
      <c r="FC234" s="1098"/>
      <c r="FD234" s="1098"/>
      <c r="FE234" s="1098"/>
      <c r="FF234" s="1098"/>
      <c r="FG234" s="1098"/>
      <c r="FH234" s="1098"/>
      <c r="FI234" s="1098"/>
      <c r="FJ234" s="1098"/>
      <c r="FK234" s="1098"/>
      <c r="FL234" s="1098"/>
      <c r="FM234" s="1098"/>
      <c r="FN234" s="1098"/>
      <c r="FO234" s="1098"/>
      <c r="FP234" s="1098"/>
      <c r="FQ234" s="1098"/>
      <c r="FR234" s="1098"/>
      <c r="FS234" s="1098"/>
      <c r="FT234" s="1098"/>
      <c r="FU234" s="1098"/>
      <c r="FV234" s="1098"/>
      <c r="FW234" s="1099"/>
      <c r="FX234" s="1304"/>
      <c r="FY234" s="1304"/>
      <c r="FZ234" s="1055" t="s">
        <v>227</v>
      </c>
      <c r="GA234" s="1306"/>
      <c r="GB234" s="1306"/>
      <c r="GC234" s="632" t="s">
        <v>2363</v>
      </c>
      <c r="GD234" s="1305"/>
    </row>
    <row s="1834" customFormat="1" customHeight="1" ht="14.25" hidden="1">
      <c r="A235" s="493"/>
      <c r="B235" s="925">
        <f>AND(R218="двухставочный",NOT(S218))</f>
        <v>0</v>
      </c>
      <c r="C235" s="493"/>
      <c r="D235" s="493"/>
      <c r="E235" s="840">
        <v>15</v>
      </c>
      <c r="F235" s="50" cm="1" t="str">
        <f t="array" ref="F235:F235">OFFSET(E235,-1,1)</f>
        <v>3</v>
      </c>
      <c r="G235" s="493"/>
      <c r="H235" s="493"/>
      <c r="I235" s="493"/>
      <c r="J235" s="493"/>
      <c r="K235" s="493"/>
      <c r="L235" s="493"/>
      <c r="M235" s="493"/>
      <c r="N235" s="493"/>
      <c r="O235" s="493"/>
      <c r="P235" s="493"/>
      <c r="Q235" s="493"/>
      <c r="R235" s="85"/>
      <c r="S235" s="493"/>
      <c r="T235" s="465" cm="1" t="str">
        <f t="array" ref="T235:T235">T234</f>
        <v>true</v>
      </c>
      <c r="U235" s="493"/>
      <c r="V235" s="493"/>
      <c r="W235" s="493"/>
      <c r="X235" s="1596"/>
      <c r="Y235" s="493"/>
      <c r="Z235" s="1545"/>
      <c r="AA235" s="493"/>
      <c r="AB235" s="894" t="s">
        <v>2368</v>
      </c>
      <c r="AC235" s="895"/>
      <c r="AD235" s="1100"/>
      <c r="AE235" s="1100"/>
      <c r="AF235" s="1100"/>
      <c r="AG235" s="1100"/>
      <c r="AH235" s="1100"/>
      <c r="AI235" s="1100"/>
      <c r="AJ235" s="1100"/>
      <c r="AK235" s="1100"/>
      <c r="AL235" s="1100"/>
      <c r="AM235" s="1100"/>
      <c r="AN235" s="1100"/>
      <c r="AO235" s="1100"/>
      <c r="AP235" s="1100"/>
      <c r="AQ235" s="1100"/>
      <c r="AR235" s="1100"/>
      <c r="AS235" s="1100"/>
      <c r="AT235" s="1100"/>
      <c r="AU235" s="1100"/>
      <c r="AV235" s="1100"/>
      <c r="AW235" s="1100"/>
      <c r="AX235" s="1100"/>
      <c r="AY235" s="1100"/>
      <c r="AZ235" s="1100"/>
      <c r="BA235" s="1100"/>
      <c r="BB235" s="1100"/>
      <c r="BC235" s="1100"/>
      <c r="BD235" s="1100"/>
      <c r="BE235" s="1100"/>
      <c r="BF235" s="1100"/>
      <c r="BG235" s="1100"/>
      <c r="BH235" s="1100"/>
      <c r="BI235" s="1100"/>
      <c r="BJ235" s="1100"/>
      <c r="BK235" s="1100"/>
      <c r="BL235" s="1100"/>
      <c r="BM235" s="1100"/>
      <c r="BN235" s="1100"/>
      <c r="BO235" s="1100"/>
      <c r="BP235" s="1100"/>
      <c r="BQ235" s="1100"/>
      <c r="BR235" s="1100"/>
      <c r="BS235" s="1100"/>
      <c r="BT235" s="1100"/>
      <c r="BU235" s="1100"/>
      <c r="BV235" s="1100"/>
      <c r="BW235" s="1100"/>
      <c r="BX235" s="1100"/>
      <c r="BY235" s="1100"/>
      <c r="BZ235" s="1100"/>
      <c r="CA235" s="1100"/>
      <c r="CB235" s="1100"/>
      <c r="CC235" s="1100"/>
      <c r="CD235" s="1100"/>
      <c r="CE235" s="1100"/>
      <c r="CF235" s="1100"/>
      <c r="CG235" s="1100"/>
      <c r="CH235" s="1100"/>
      <c r="CI235" s="1100"/>
      <c r="CJ235" s="1100"/>
      <c r="CK235" s="1100"/>
      <c r="CL235" s="1100"/>
      <c r="CM235" s="1100"/>
      <c r="CN235" s="1100"/>
      <c r="CO235" s="1100"/>
      <c r="CP235" s="1100"/>
      <c r="CQ235" s="1100"/>
      <c r="CR235" s="1100"/>
      <c r="CS235" s="1100"/>
      <c r="CT235" s="1100"/>
      <c r="CU235" s="1100"/>
      <c r="CV235" s="1100"/>
      <c r="CW235" s="1100"/>
      <c r="CX235" s="1100"/>
      <c r="CY235" s="1100"/>
      <c r="CZ235" s="1100"/>
      <c r="DA235" s="1100"/>
      <c r="DB235" s="1100"/>
      <c r="DC235" s="1100"/>
      <c r="DD235" s="1100"/>
      <c r="DE235" s="1100"/>
      <c r="DF235" s="1100"/>
      <c r="DG235" s="1100"/>
      <c r="DH235" s="1100"/>
      <c r="DI235" s="1100"/>
      <c r="DJ235" s="1100"/>
      <c r="DK235" s="1100"/>
      <c r="DL235" s="1100"/>
      <c r="DM235" s="1100"/>
      <c r="DN235" s="1100"/>
      <c r="DO235" s="1100"/>
      <c r="DP235" s="1100"/>
      <c r="DQ235" s="1100"/>
      <c r="DR235" s="1100"/>
      <c r="DS235" s="1100"/>
      <c r="DT235" s="1100"/>
      <c r="DU235" s="1100"/>
      <c r="DV235" s="1100"/>
      <c r="DW235" s="1100"/>
      <c r="DX235" s="1100"/>
      <c r="DY235" s="1100"/>
      <c r="DZ235" s="1100"/>
      <c r="EA235" s="1100"/>
      <c r="EB235" s="1100"/>
      <c r="EC235" s="1100"/>
      <c r="ED235" s="1100"/>
      <c r="EE235" s="1100"/>
      <c r="EF235" s="1100"/>
      <c r="EG235" s="1100"/>
      <c r="EH235" s="1100"/>
      <c r="EI235" s="1100"/>
      <c r="EJ235" s="1100"/>
      <c r="EK235" s="1100"/>
      <c r="EL235" s="1100"/>
      <c r="EM235" s="1100"/>
      <c r="EN235" s="1100"/>
      <c r="EO235" s="1100"/>
      <c r="EP235" s="1100"/>
      <c r="EQ235" s="1100"/>
      <c r="ER235" s="1100"/>
      <c r="ES235" s="1100"/>
      <c r="ET235" s="1100"/>
      <c r="EU235" s="1100"/>
      <c r="EV235" s="1100"/>
      <c r="EW235" s="1100"/>
      <c r="EX235" s="1100"/>
      <c r="EY235" s="1100"/>
      <c r="EZ235" s="1100"/>
      <c r="FA235" s="1100"/>
      <c r="FB235" s="1100"/>
      <c r="FC235" s="1100"/>
      <c r="FD235" s="1100"/>
      <c r="FE235" s="1100"/>
      <c r="FF235" s="1100"/>
      <c r="FG235" s="1100"/>
      <c r="FH235" s="1100"/>
      <c r="FI235" s="1100"/>
      <c r="FJ235" s="1100"/>
      <c r="FK235" s="1100"/>
      <c r="FL235" s="1100"/>
      <c r="FM235" s="1100"/>
      <c r="FN235" s="1100"/>
      <c r="FO235" s="1100"/>
      <c r="FP235" s="1100"/>
      <c r="FQ235" s="1100"/>
      <c r="FR235" s="1100"/>
      <c r="FS235" s="1100"/>
      <c r="FT235" s="1100"/>
      <c r="FU235" s="1100"/>
      <c r="FV235" s="1100"/>
      <c r="FW235" s="1101"/>
      <c r="FX235" s="1304"/>
      <c r="FY235" s="1304"/>
      <c r="FZ235" s="1055" t="s">
        <v>227</v>
      </c>
      <c r="GA235" s="1306"/>
      <c r="GB235" s="1306"/>
      <c r="GC235" s="1305"/>
      <c r="GD235" s="1305"/>
    </row>
    <row s="1834" customFormat="1" customHeight="1" ht="23.25" hidden="1">
      <c r="A236" s="493"/>
      <c r="B236" s="925" cm="1" t="str">
        <f t="array" ref="B236:B236">B235</f>
        <v>false</v>
      </c>
      <c r="C236" s="493"/>
      <c r="D236" s="493"/>
      <c r="E236" s="840">
        <v>24.5</v>
      </c>
      <c r="F236" s="50" cm="1" t="str">
        <f t="array" ref="F236:F236">OFFSET(E236,-1,1)</f>
        <v>3</v>
      </c>
      <c r="G236" s="493"/>
      <c r="H236" s="493"/>
      <c r="I236" s="493"/>
      <c r="J236" s="493"/>
      <c r="K236" s="493"/>
      <c r="L236" s="493"/>
      <c r="M236" s="493"/>
      <c r="N236" s="493"/>
      <c r="O236" s="493"/>
      <c r="P236" s="493"/>
      <c r="Q236" s="493"/>
      <c r="R236" s="493"/>
      <c r="S236" s="493"/>
      <c r="T236" s="465" cm="1" t="str">
        <f t="array" ref="T236:T236">T235</f>
        <v>true</v>
      </c>
      <c r="U236" s="493"/>
      <c r="V236" s="493"/>
      <c r="W236" s="493"/>
      <c r="X236" s="1596"/>
      <c r="Y236" s="493"/>
      <c r="Z236" s="1545"/>
      <c r="AA236" s="493"/>
      <c r="AB236" s="293" t="s">
        <v>2369</v>
      </c>
      <c r="AC236" s="903"/>
      <c r="AD236" s="1102"/>
      <c r="AE236" s="1102"/>
      <c r="AF236" s="1102"/>
      <c r="AG236" s="1102"/>
      <c r="AH236" s="1102"/>
      <c r="AI236" s="1102"/>
      <c r="AJ236" s="1102"/>
      <c r="AK236" s="1102"/>
      <c r="AL236" s="1102"/>
      <c r="AM236" s="1102"/>
      <c r="AN236" s="1102"/>
      <c r="AO236" s="1102"/>
      <c r="AP236" s="1102"/>
      <c r="AQ236" s="1102"/>
      <c r="AR236" s="1102"/>
      <c r="AS236" s="1102"/>
      <c r="AT236" s="1102"/>
      <c r="AU236" s="1102"/>
      <c r="AV236" s="1102"/>
      <c r="AW236" s="1102"/>
      <c r="AX236" s="1102"/>
      <c r="AY236" s="1102"/>
      <c r="AZ236" s="1102"/>
      <c r="BA236" s="1102"/>
      <c r="BB236" s="1102"/>
      <c r="BC236" s="1102"/>
      <c r="BD236" s="1102"/>
      <c r="BE236" s="1102"/>
      <c r="BF236" s="1102"/>
      <c r="BG236" s="1102"/>
      <c r="BH236" s="1102"/>
      <c r="BI236" s="1102"/>
      <c r="BJ236" s="1102"/>
      <c r="BK236" s="1102"/>
      <c r="BL236" s="1102"/>
      <c r="BM236" s="1102"/>
      <c r="BN236" s="1102"/>
      <c r="BO236" s="1102"/>
      <c r="BP236" s="1102"/>
      <c r="BQ236" s="1102"/>
      <c r="BR236" s="1102"/>
      <c r="BS236" s="1102"/>
      <c r="BT236" s="1102"/>
      <c r="BU236" s="1102"/>
      <c r="BV236" s="1102"/>
      <c r="BW236" s="1102"/>
      <c r="BX236" s="1102"/>
      <c r="BY236" s="1102"/>
      <c r="BZ236" s="1102"/>
      <c r="CA236" s="1102"/>
      <c r="CB236" s="1102"/>
      <c r="CC236" s="1102"/>
      <c r="CD236" s="1102"/>
      <c r="CE236" s="1102"/>
      <c r="CF236" s="1102"/>
      <c r="CG236" s="1102"/>
      <c r="CH236" s="1102"/>
      <c r="CI236" s="1102"/>
      <c r="CJ236" s="1102"/>
      <c r="CK236" s="1102"/>
      <c r="CL236" s="1102"/>
      <c r="CM236" s="1102"/>
      <c r="CN236" s="1102"/>
      <c r="CO236" s="1102"/>
      <c r="CP236" s="1102"/>
      <c r="CQ236" s="1102"/>
      <c r="CR236" s="1102"/>
      <c r="CS236" s="1102"/>
      <c r="CT236" s="1102"/>
      <c r="CU236" s="1102"/>
      <c r="CV236" s="1102"/>
      <c r="CW236" s="1102"/>
      <c r="CX236" s="1102"/>
      <c r="CY236" s="1102"/>
      <c r="CZ236" s="1102"/>
      <c r="DA236" s="1102"/>
      <c r="DB236" s="1102"/>
      <c r="DC236" s="1102"/>
      <c r="DD236" s="1102"/>
      <c r="DE236" s="1102"/>
      <c r="DF236" s="1102"/>
      <c r="DG236" s="1102"/>
      <c r="DH236" s="1102"/>
      <c r="DI236" s="1102"/>
      <c r="DJ236" s="1102"/>
      <c r="DK236" s="1102"/>
      <c r="DL236" s="1102"/>
      <c r="DM236" s="1102"/>
      <c r="DN236" s="1102"/>
      <c r="DO236" s="1102"/>
      <c r="DP236" s="1102"/>
      <c r="DQ236" s="1102"/>
      <c r="DR236" s="1102"/>
      <c r="DS236" s="1102"/>
      <c r="DT236" s="1102"/>
      <c r="DU236" s="1102"/>
      <c r="DV236" s="1102"/>
      <c r="DW236" s="1102"/>
      <c r="DX236" s="1102"/>
      <c r="DY236" s="1102"/>
      <c r="DZ236" s="1102"/>
      <c r="EA236" s="1102"/>
      <c r="EB236" s="1102"/>
      <c r="EC236" s="1102"/>
      <c r="ED236" s="1102"/>
      <c r="EE236" s="1102"/>
      <c r="EF236" s="1102"/>
      <c r="EG236" s="1102"/>
      <c r="EH236" s="1102"/>
      <c r="EI236" s="1102"/>
      <c r="EJ236" s="1102"/>
      <c r="EK236" s="1102"/>
      <c r="EL236" s="1102"/>
      <c r="EM236" s="1102"/>
      <c r="EN236" s="1102"/>
      <c r="EO236" s="1102"/>
      <c r="EP236" s="1102"/>
      <c r="EQ236" s="1102"/>
      <c r="ER236" s="1102"/>
      <c r="ES236" s="1102"/>
      <c r="ET236" s="1102"/>
      <c r="EU236" s="1102"/>
      <c r="EV236" s="1102"/>
      <c r="EW236" s="1102"/>
      <c r="EX236" s="1102"/>
      <c r="EY236" s="1102"/>
      <c r="EZ236" s="1102"/>
      <c r="FA236" s="1102"/>
      <c r="FB236" s="1102"/>
      <c r="FC236" s="1102"/>
      <c r="FD236" s="1102"/>
      <c r="FE236" s="1102"/>
      <c r="FF236" s="1102"/>
      <c r="FG236" s="1102"/>
      <c r="FH236" s="1102"/>
      <c r="FI236" s="1102"/>
      <c r="FJ236" s="1102"/>
      <c r="FK236" s="1102"/>
      <c r="FL236" s="1102"/>
      <c r="FM236" s="1102"/>
      <c r="FN236" s="1102"/>
      <c r="FO236" s="1102"/>
      <c r="FP236" s="1102"/>
      <c r="FQ236" s="1102"/>
      <c r="FR236" s="1102"/>
      <c r="FS236" s="1102"/>
      <c r="FT236" s="1102"/>
      <c r="FU236" s="1102"/>
      <c r="FV236" s="1102"/>
      <c r="FW236" s="1103"/>
      <c r="FX236" s="1304"/>
      <c r="FY236" s="1304"/>
      <c r="FZ236" s="1055" t="s">
        <v>227</v>
      </c>
      <c r="GA236" s="1306"/>
      <c r="GB236" s="1306"/>
      <c r="GC236" s="1305"/>
      <c r="GD236" s="1305"/>
    </row>
    <row s="1834" customFormat="1" customHeight="1" ht="14.25" hidden="1">
      <c r="A237" s="493"/>
      <c r="B237" s="925" cm="1" t="str">
        <f t="array" ref="B237:B237">B236</f>
        <v>false</v>
      </c>
      <c r="C237" s="493"/>
      <c r="D237" s="493"/>
      <c r="E237" s="840">
        <v>15</v>
      </c>
      <c r="F237" s="50" cm="1" t="str">
        <f t="array" ref="F237:F237">OFFSET(E237,-1,1)</f>
        <v>3</v>
      </c>
      <c r="G237" s="493"/>
      <c r="H237" s="493" t="s">
        <v>2295</v>
      </c>
      <c r="I237" s="493" t="s">
        <v>2335</v>
      </c>
      <c r="J237" s="493"/>
      <c r="K237" s="493"/>
      <c r="L237" s="493"/>
      <c r="M237" s="493"/>
      <c r="N237" s="493"/>
      <c r="O237" s="493"/>
      <c r="P237" s="493"/>
      <c r="Q237" s="493"/>
      <c r="R237" s="493"/>
      <c r="S237" s="493"/>
      <c r="T237" s="465" cm="1" t="str">
        <f t="array" ref="T237:T237">T236</f>
        <v>true</v>
      </c>
      <c r="U237" s="493"/>
      <c r="V237" s="493"/>
      <c r="W237" s="493"/>
      <c r="X237" s="1596"/>
      <c r="Y237" s="493"/>
      <c r="Z237" s="1545"/>
      <c r="AA237" s="493"/>
      <c r="AB237" s="904" t="s">
        <v>2370</v>
      </c>
      <c r="AC237" s="864" t="s">
        <v>2337</v>
      </c>
      <c r="AD237" s="2846">
        <f>IF(AD239=0,0,(AD238*AD239+AD240*AD241*IF(god=2026,9,6))/AD239)</f>
        <v>0</v>
      </c>
      <c r="AE237" s="2846">
        <f>IF(AE239=0,0,(AE238*AE239+AE240*AE241*IF(god=2026,9,6))/AE239)</f>
        <v>0</v>
      </c>
      <c r="AF237" s="1093">
        <f>IF(AD237=0,0,(AE237-AD237)/AD237*100)</f>
        <v>0</v>
      </c>
      <c r="AG237" s="2846">
        <f>IF(AG239=0,0,(AG238*AG239+AG240*AG241*IF(god=2025,9,6))/AG239)</f>
        <v>0</v>
      </c>
      <c r="AH237" s="2846">
        <f>IF(AH239=0,0,(AH238*AH239+AH240*AH241*IF(god=2025,9,6))/AH239)</f>
        <v>0</v>
      </c>
      <c r="AI237" s="1093">
        <f>IF(AG237=0,0,(AH237-AG237)/AG237*100)</f>
        <v>0</v>
      </c>
      <c r="AJ237" s="2846">
        <f>IF(AJ239=0,0,(AJ238*AJ239+AJ240*AJ241*6)/AJ239)</f>
        <v>0</v>
      </c>
      <c r="AK237" s="2846">
        <f>IF(AK239=0,0,(AK238*AK239+AK240*AK241*6)/AK239)</f>
        <v>0</v>
      </c>
      <c r="AL237" s="1093">
        <f>IF(AJ237=0,0,(AK237-AJ237)/AJ237*100)</f>
        <v>0</v>
      </c>
      <c r="AM237" s="2846">
        <f>IF(AM239=0,0,(AM238*AM239+AM240*AM241*6)/AM239)</f>
        <v>0</v>
      </c>
      <c r="AN237" s="2846">
        <f>IF(AN239=0,0,(AN238*AN239+AN240*AN241*6)/AN239)</f>
        <v>0</v>
      </c>
      <c r="AO237" s="1093">
        <f>IF(AM237=0,0,(AN237-AM237)/AM237*100)</f>
        <v>0</v>
      </c>
      <c r="AP237" s="2846">
        <f>IF(AP239=0,0,(AP238*AP239+AP240*AP241*6)/AP239)</f>
        <v>0</v>
      </c>
      <c r="AQ237" s="2846">
        <f>IF(AQ239=0,0,(AQ238*AQ239+AQ240*AQ241*6)/AQ239)</f>
        <v>0</v>
      </c>
      <c r="AR237" s="1093">
        <f>IF(AP237=0,0,(AQ237-AP237)/AP237*100)</f>
        <v>0</v>
      </c>
      <c r="AS237" s="2846">
        <f>IF(AS239=0,0,(AS238*AS239+AS240*AS241*6)/AS239)</f>
        <v>0</v>
      </c>
      <c r="AT237" s="2846">
        <f>IF(AT239=0,0,(AT238*AT239+AT240*AT241*6)/AT239)</f>
        <v>0</v>
      </c>
      <c r="AU237" s="1093">
        <f>IF(AS237=0,0,(AT237-AS237)/AS237*100)</f>
        <v>0</v>
      </c>
      <c r="AV237" s="2846">
        <f>IF(AV239=0,0,(AV238*AV239+AV240*AV241*6)/AV239)</f>
        <v>0</v>
      </c>
      <c r="AW237" s="2846">
        <f>IF(AW239=0,0,(AW238*AW239+AW240*AW241*6)/AW239)</f>
        <v>0</v>
      </c>
      <c r="AX237" s="1093">
        <f>IF(AV237=0,0,(AW237-AV237)/AV237*100)</f>
        <v>0</v>
      </c>
      <c r="AY237" s="2846">
        <f>IF(AY239=0,0,(AY238*AY239+AY240*AY241*6)/AY239)</f>
        <v>0</v>
      </c>
      <c r="AZ237" s="2846">
        <f>IF(AZ239=0,0,(AZ238*AZ239+AZ240*AZ241*6)/AZ239)</f>
        <v>0</v>
      </c>
      <c r="BA237" s="1093">
        <f>IF(AY237=0,0,(AZ237-AY237)/AY237*100)</f>
        <v>0</v>
      </c>
      <c r="BB237" s="2846">
        <f>IF(BB239=0,0,(BB238*BB239+BB240*BB241*6)/BB239)</f>
        <v>0</v>
      </c>
      <c r="BC237" s="2846">
        <f>IF(BC239=0,0,(BC238*BC239+BC240*BC241*6)/BC239)</f>
        <v>0</v>
      </c>
      <c r="BD237" s="1093">
        <f>IF(BB237=0,0,(BC237-BB237)/BB237*100)</f>
        <v>0</v>
      </c>
      <c r="BE237" s="2846">
        <f>IF(BE239=0,0,(BE238*BE239+BE240*BE241*6)/BE239)</f>
        <v>0</v>
      </c>
      <c r="BF237" s="2846">
        <f>IF(BF239=0,0,(BF238*BF239+BF240*BF241*6)/BF239)</f>
        <v>0</v>
      </c>
      <c r="BG237" s="1093">
        <f>IF(BE237=0,0,(BF237-BE237)/BE237*100)</f>
        <v>0</v>
      </c>
      <c r="BH237" s="2846">
        <f>IF(BH239=0,0,(BH238*BH239+BH240*BH241*6)/BH239)</f>
        <v>0</v>
      </c>
      <c r="BI237" s="2846">
        <f>IF(BI239=0,0,(BI238*BI239+BI240*BI241*6)/BI239)</f>
        <v>0</v>
      </c>
      <c r="BJ237" s="1093">
        <f>IF(BH237=0,0,(BI237-BH237)/BH237*100)</f>
        <v>0</v>
      </c>
      <c r="BK237" s="2846">
        <f>IF(BK239=0,0,(BK238*BK239+BK240*BK241*6)/BK239)</f>
        <v>0</v>
      </c>
      <c r="BL237" s="2846">
        <f>IF(BL239=0,0,(BL238*BL239+BL240*BL241*6)/BL239)</f>
        <v>0</v>
      </c>
      <c r="BM237" s="1093">
        <f>IF(BK237=0,0,(BL237-BK237)/BK237*100)</f>
        <v>0</v>
      </c>
      <c r="BN237" s="2846">
        <f>IF(BN239=0,0,(BN238*BN239+BN240*BN241*6)/BN239)</f>
        <v>0</v>
      </c>
      <c r="BO237" s="2846">
        <f>IF(BO239=0,0,(BO238*BO239+BO240*BO241*6)/BO239)</f>
        <v>0</v>
      </c>
      <c r="BP237" s="1093">
        <f>IF(BN237=0,0,(BO237-BN237)/BN237*100)</f>
        <v>0</v>
      </c>
      <c r="BQ237" s="2846">
        <f>IF(BQ239=0,0,(BQ238*BQ239+BQ240*BQ241*6)/BQ239)</f>
        <v>0</v>
      </c>
      <c r="BR237" s="2846">
        <f>IF(BR239=0,0,(BR238*BR239+BR240*BR241*6)/BR239)</f>
        <v>0</v>
      </c>
      <c r="BS237" s="1093">
        <f>IF(BQ237=0,0,(BR237-BQ237)/BQ237*100)</f>
        <v>0</v>
      </c>
      <c r="BT237" s="2846">
        <f>IF(BT239=0,0,(BT238*BT239+BT240*BT241*6)/BT239)</f>
        <v>0</v>
      </c>
      <c r="BU237" s="2846">
        <f>IF(BU239=0,0,(BU238*BU239+BU240*BU241*6)/BU239)</f>
        <v>0</v>
      </c>
      <c r="BV237" s="1093">
        <f>IF(BT237=0,0,(BU237-BT237)/BT237*100)</f>
        <v>0</v>
      </c>
      <c r="BW237" s="2846">
        <f>IF(BW239=0,0,(BW238*BW239+BW240*BW241*6)/BW239)</f>
        <v>0</v>
      </c>
      <c r="BX237" s="2846">
        <f>IF(BX239=0,0,(BX238*BX239+BX240*BX241*6)/BX239)</f>
        <v>0</v>
      </c>
      <c r="BY237" s="1093">
        <f>IF(BW237=0,0,(BX237-BW237)/BW237*100)</f>
        <v>0</v>
      </c>
      <c r="BZ237" s="2846">
        <f>IF(BZ239=0,0,(BZ238*BZ239+BZ240*BZ241*6)/BZ239)</f>
        <v>0</v>
      </c>
      <c r="CA237" s="2846">
        <f>IF(CA239=0,0,(CA238*CA239+CA240*CA241*6)/CA239)</f>
        <v>0</v>
      </c>
      <c r="CB237" s="1093">
        <f>IF(BZ237=0,0,(CA237-BZ237)/BZ237*100)</f>
        <v>0</v>
      </c>
      <c r="CC237" s="2846">
        <f>IF(CC239=0,0,(CC238*CC239+CC240*CC241*6)/CC239)</f>
        <v>0</v>
      </c>
      <c r="CD237" s="2846">
        <f>IF(CD239=0,0,(CD238*CD239+CD240*CD241*6)/CD239)</f>
        <v>0</v>
      </c>
      <c r="CE237" s="1093">
        <f>IF(CC237=0,0,(CD237-CC237)/CC237*100)</f>
        <v>0</v>
      </c>
      <c r="CF237" s="2846">
        <f>IF(CF239=0,0,(CF238*CF239+CF240*CF241*6)/CF239)</f>
        <v>0</v>
      </c>
      <c r="CG237" s="2846">
        <f>IF(CG239=0,0,(CG238*CG239+CG240*CG241*6)/CG239)</f>
        <v>0</v>
      </c>
      <c r="CH237" s="1093">
        <f>IF(CF237=0,0,(CG237-CF237)/CF237*100)</f>
        <v>0</v>
      </c>
      <c r="CI237" s="2846">
        <f>IF(CI239=0,0,(CI238*CI239+CI240*CI241*6)/CI239)</f>
        <v>0</v>
      </c>
      <c r="CJ237" s="2846">
        <f>IF(CJ239=0,0,(CJ238*CJ239+CJ240*CJ241*6)/CJ239)</f>
        <v>0</v>
      </c>
      <c r="CK237" s="1093">
        <f>IF(CI237=0,0,(CJ237-CI237)/CI237*100)</f>
        <v>0</v>
      </c>
      <c r="CL237" s="2846">
        <f>IF(CL239=0,0,(CL238*CL239+CL240*CL241*6)/CL239)</f>
        <v>0</v>
      </c>
      <c r="CM237" s="2846">
        <f>IF(CM239=0,0,(CM238*CM239+CM240*CM241*6)/CM239)</f>
        <v>0</v>
      </c>
      <c r="CN237" s="1093">
        <f>IF(CL237=0,0,(CM237-CL237)/CL237*100)</f>
        <v>0</v>
      </c>
      <c r="CO237" s="2846">
        <f>IF(CO239=0,0,(CO238*CO239+CO240*CO241*6)/CO239)</f>
        <v>0</v>
      </c>
      <c r="CP237" s="2846">
        <f>IF(CP239=0,0,(CP238*CP239+CP240*CP241*6)/CP239)</f>
        <v>0</v>
      </c>
      <c r="CQ237" s="1093">
        <f>IF(CO237=0,0,(CP237-CO237)/CO237*100)</f>
        <v>0</v>
      </c>
      <c r="CR237" s="2846">
        <f>IF(CR239=0,0,(CR238*CR239+CR240*CR241*6)/CR239)</f>
        <v>0</v>
      </c>
      <c r="CS237" s="2846">
        <f>IF(CS239=0,0,(CS238*CS239+CS240*CS241*6)/CS239)</f>
        <v>0</v>
      </c>
      <c r="CT237" s="1093">
        <f>IF(CR237=0,0,(CS237-CR237)/CR237*100)</f>
        <v>0</v>
      </c>
      <c r="CU237" s="2846">
        <f>IF(CU239=0,0,(CU238*CU239+CU240*CU241*6)/CU239)</f>
        <v>0</v>
      </c>
      <c r="CV237" s="2846">
        <f>IF(CV239=0,0,(CV238*CV239+CV240*CV241*6)/CV239)</f>
        <v>0</v>
      </c>
      <c r="CW237" s="1093">
        <f>IF(CU237=0,0,(CV237-CU237)/CU237*100)</f>
        <v>0</v>
      </c>
      <c r="CX237" s="2846">
        <f>IF(CX239=0,0,(CX238*CX239+CX240*CX241*6)/CX239)</f>
        <v>0</v>
      </c>
      <c r="CY237" s="2846">
        <f>IF(CY239=0,0,(CY238*CY239+CY240*CY241*6)/CY239)</f>
        <v>0</v>
      </c>
      <c r="CZ237" s="1093">
        <f>IF(CX237=0,0,(CY237-CX237)/CX237*100)</f>
        <v>0</v>
      </c>
      <c r="DA237" s="2846">
        <f>IF(DA239=0,0,(DA238*DA239+DA240*DA241*6)/DA239)</f>
        <v>0</v>
      </c>
      <c r="DB237" s="2846">
        <f>IF(DB239=0,0,(DB238*DB239+DB240*DB241*6)/DB239)</f>
        <v>0</v>
      </c>
      <c r="DC237" s="1093">
        <f>IF(DA237=0,0,(DB237-DA237)/DA237*100)</f>
        <v>0</v>
      </c>
      <c r="DD237" s="2846">
        <f>IF(DD239=0,0,(DD238*DD239+DD240*DD241*6)/DD239)</f>
        <v>0</v>
      </c>
      <c r="DE237" s="2846">
        <f>IF(DE239=0,0,(DE238*DE239+DE240*DE241*6)/DE239)</f>
        <v>0</v>
      </c>
      <c r="DF237" s="1093">
        <f>IF(DD237=0,0,(DE237-DD237)/DD237*100)</f>
        <v>0</v>
      </c>
      <c r="DG237" s="2846">
        <f>IF(DG239=0,0,(DG238*DG239+DG240*DG241*6)/DG239)</f>
        <v>0</v>
      </c>
      <c r="DH237" s="2846">
        <f>IF(DH239=0,0,(DH238*DH239+DH240*DH241*6)/DH239)</f>
        <v>0</v>
      </c>
      <c r="DI237" s="1093">
        <f>IF(DG237=0,0,(DH237-DG237)/DG237*100)</f>
        <v>0</v>
      </c>
      <c r="DJ237" s="2846">
        <f>IF(DJ239=0,0,(DJ238*DJ239+DJ240*DJ241*6)/DJ239)</f>
        <v>0</v>
      </c>
      <c r="DK237" s="2846">
        <f>IF(DK239=0,0,(DK238*DK239+DK240*DK241*6)/DK239)</f>
        <v>0</v>
      </c>
      <c r="DL237" s="1093">
        <f>IF(DJ237=0,0,(DK237-DJ237)/DJ237*100)</f>
        <v>0</v>
      </c>
      <c r="DM237" s="2846">
        <f>IF(DM239=0,0,(DM238*DM239+DM240*DM241*6)/DM239)</f>
        <v>0</v>
      </c>
      <c r="DN237" s="2846">
        <f>IF(DN239=0,0,(DN238*DN239+DN240*DN241*6)/DN239)</f>
        <v>0</v>
      </c>
      <c r="DO237" s="1093">
        <f>IF(DM237=0,0,(DN237-DM237)/DM237*100)</f>
        <v>0</v>
      </c>
      <c r="DP237" s="2846">
        <f>IF(DP239=0,0,(DP238*DP239+DP240*DP241*6)/DP239)</f>
        <v>0</v>
      </c>
      <c r="DQ237" s="2846">
        <f>IF(DQ239=0,0,(DQ238*DQ239+DQ240*DQ241*6)/DQ239)</f>
        <v>0</v>
      </c>
      <c r="DR237" s="1093">
        <f>IF(DP237=0,0,(DQ237-DP237)/DP237*100)</f>
        <v>0</v>
      </c>
      <c r="DS237" s="2846">
        <f>IF(DS239=0,0,(DS238*DS239+DS240*DS241*6)/DS239)</f>
        <v>0</v>
      </c>
      <c r="DT237" s="2846">
        <f>IF(DT239=0,0,(DT238*DT239+DT240*DT241*6)/DT239)</f>
        <v>0</v>
      </c>
      <c r="DU237" s="1093">
        <f>IF(DS237=0,0,(DT237-DS237)/DS237*100)</f>
        <v>0</v>
      </c>
      <c r="DV237" s="2846">
        <f>IF(DV239=0,0,(DV238*DV239+DV240*DV241*6)/DV239)</f>
        <v>0</v>
      </c>
      <c r="DW237" s="2846">
        <f>IF(DW239=0,0,(DW238*DW239+DW240*DW241*6)/DW239)</f>
        <v>0</v>
      </c>
      <c r="DX237" s="1093">
        <f>IF(DV237=0,0,(DW237-DV237)/DV237*100)</f>
        <v>0</v>
      </c>
      <c r="DY237" s="2846">
        <f>IF(DY239=0,0,(DY238*DY239+DY240*DY241*6)/DY239)</f>
        <v>0</v>
      </c>
      <c r="DZ237" s="2846">
        <f>IF(DZ239=0,0,(DZ238*DZ239+DZ240*DZ241*6)/DZ239)</f>
        <v>0</v>
      </c>
      <c r="EA237" s="1093">
        <f>IF(DY237=0,0,(DZ237-DY237)/DY237*100)</f>
        <v>0</v>
      </c>
      <c r="EB237" s="2846">
        <f>IF(EB239=0,0,(EB238*EB239+EB240*EB241*6)/EB239)</f>
        <v>0</v>
      </c>
      <c r="EC237" s="2846">
        <f>IF(EC239=0,0,(EC238*EC239+EC240*EC241*6)/EC239)</f>
        <v>0</v>
      </c>
      <c r="ED237" s="1093">
        <f>IF(EB237=0,0,(EC237-EB237)/EB237*100)</f>
        <v>0</v>
      </c>
      <c r="EE237" s="2846">
        <f>IF(EE239=0,0,(EE238*EE239+EE240*EE241*6)/EE239)</f>
        <v>0</v>
      </c>
      <c r="EF237" s="2846">
        <f>IF(EF239=0,0,(EF238*EF239+EF240*EF241*6)/EF239)</f>
        <v>0</v>
      </c>
      <c r="EG237" s="1093">
        <f>IF(EE237=0,0,(EF237-EE237)/EE237*100)</f>
        <v>0</v>
      </c>
      <c r="EH237" s="2846">
        <f>IF(EH239=0,0,(EH238*EH239+EH240*EH241*6)/EH239)</f>
        <v>0</v>
      </c>
      <c r="EI237" s="2846">
        <f>IF(EI239=0,0,(EI238*EI239+EI240*EI241*6)/EI239)</f>
        <v>0</v>
      </c>
      <c r="EJ237" s="1093">
        <f>IF(EH237=0,0,(EI237-EH237)/EH237*100)</f>
        <v>0</v>
      </c>
      <c r="EK237" s="2846">
        <f>IF(EK239=0,0,(EK238*EK239+EK240*EK241*6)/EK239)</f>
        <v>0</v>
      </c>
      <c r="EL237" s="2846">
        <f>IF(EL239=0,0,(EL238*EL239+EL240*EL241*6)/EL239)</f>
        <v>0</v>
      </c>
      <c r="EM237" s="1093">
        <f>IF(EK237=0,0,(EL237-EK237)/EK237*100)</f>
        <v>0</v>
      </c>
      <c r="EN237" s="2846">
        <f>IF(EN239=0,0,(EN238*EN239+EN240*EN241*6)/EN239)</f>
        <v>0</v>
      </c>
      <c r="EO237" s="2846">
        <f>IF(EO239=0,0,(EO238*EO239+EO240*EO241*6)/EO239)</f>
        <v>0</v>
      </c>
      <c r="EP237" s="1093">
        <f>IF(EN237=0,0,(EO237-EN237)/EN237*100)</f>
        <v>0</v>
      </c>
      <c r="EQ237" s="2846">
        <f>IF(EQ239=0,0,(EQ238*EQ239+EQ240*EQ241*6)/EQ239)</f>
        <v>0</v>
      </c>
      <c r="ER237" s="2846">
        <f>IF(ER239=0,0,(ER238*ER239+ER240*ER241*6)/ER239)</f>
        <v>0</v>
      </c>
      <c r="ES237" s="1093">
        <f>IF(EQ237=0,0,(ER237-EQ237)/EQ237*100)</f>
        <v>0</v>
      </c>
      <c r="ET237" s="2846">
        <f>IF(ET239=0,0,(ET238*ET239+ET240*ET241*6)/ET239)</f>
        <v>0</v>
      </c>
      <c r="EU237" s="2846">
        <f>IF(EU239=0,0,(EU238*EU239+EU240*EU241*6)/EU239)</f>
        <v>0</v>
      </c>
      <c r="EV237" s="1093">
        <f>IF(ET237=0,0,(EU237-ET237)/ET237*100)</f>
        <v>0</v>
      </c>
      <c r="EW237" s="2846">
        <f>IF(EW239=0,0,(EW238*EW239+EW240*EW241*6)/EW239)</f>
        <v>0</v>
      </c>
      <c r="EX237" s="2846">
        <f>IF(EX239=0,0,(EX238*EX239+EX240*EX241*6)/EX239)</f>
        <v>0</v>
      </c>
      <c r="EY237" s="1093">
        <f>IF(EW237=0,0,(EX237-EW237)/EW237*100)</f>
        <v>0</v>
      </c>
      <c r="EZ237" s="2846">
        <f>IF(EZ239=0,0,(EZ238*EZ239+EZ240*EZ241*6)/EZ239)</f>
        <v>0</v>
      </c>
      <c r="FA237" s="2846">
        <f>IF(FA239=0,0,(FA238*FA239+FA240*FA241*6)/FA239)</f>
        <v>0</v>
      </c>
      <c r="FB237" s="1093">
        <f>IF(EZ237=0,0,(FA237-EZ237)/EZ237*100)</f>
        <v>0</v>
      </c>
      <c r="FC237" s="2846">
        <f>IF(FC239=0,0,(FC238*FC239+FC240*FC241*6)/FC239)</f>
        <v>0</v>
      </c>
      <c r="FD237" s="2846">
        <f>IF(FD239=0,0,(FD238*FD239+FD240*FD241*6)/FD239)</f>
        <v>0</v>
      </c>
      <c r="FE237" s="1093">
        <f>IF(FC237=0,0,(FD237-FC237)/FC237*100)</f>
        <v>0</v>
      </c>
      <c r="FF237" s="2846">
        <f>IF(FF239=0,0,(FF238*FF239+FF240*FF241*6)/FF239)</f>
        <v>0</v>
      </c>
      <c r="FG237" s="2846">
        <f>IF(FG239=0,0,(FG238*FG239+FG240*FG241*6)/FG239)</f>
        <v>0</v>
      </c>
      <c r="FH237" s="1093">
        <f>IF(FF237=0,0,(FG237-FF237)/FF237*100)</f>
        <v>0</v>
      </c>
      <c r="FI237" s="2846">
        <f>IF(FI239=0,0,(FI238*FI239+FI240*FI241*6)/FI239)</f>
        <v>0</v>
      </c>
      <c r="FJ237" s="2846">
        <f>IF(FJ239=0,0,(FJ238*FJ239+FJ240*FJ241*6)/FJ239)</f>
        <v>0</v>
      </c>
      <c r="FK237" s="1093">
        <f>IF(FI237=0,0,(FJ237-FI237)/FI237*100)</f>
        <v>0</v>
      </c>
      <c r="FL237" s="2846">
        <f>IF(FL239=0,0,(FL238*FL239+FL240*FL241*6)/FL239)</f>
        <v>0</v>
      </c>
      <c r="FM237" s="2846">
        <f>IF(FM239=0,0,(FM238*FM239+FM240*FM241*6)/FM239)</f>
        <v>0</v>
      </c>
      <c r="FN237" s="1093">
        <f>IF(FL237=0,0,(FM237-FL237)/FL237*100)</f>
        <v>0</v>
      </c>
      <c r="FO237" s="2846">
        <f>IF(FO239=0,0,(FO238*FO239+FO240*FO241*6)/FO239)</f>
        <v>0</v>
      </c>
      <c r="FP237" s="2846">
        <f>IF(FP239=0,0,(FP238*FP239+FP240*FP241*6)/FP239)</f>
        <v>0</v>
      </c>
      <c r="FQ237" s="1093">
        <f>IF(FO237=0,0,(FP237-FO237)/FO237*100)</f>
        <v>0</v>
      </c>
      <c r="FR237" s="2846">
        <f>IF(FR239=0,0,(FR238*FR239+FR240*FR241*6)/FR239)</f>
        <v>0</v>
      </c>
      <c r="FS237" s="2846">
        <f>IF(FS239=0,0,(FS238*FS239+FS240*FS241*6)/FS239)</f>
        <v>0</v>
      </c>
      <c r="FT237" s="1093">
        <f>IF(FR237=0,0,(FS237-FR237)/FR237*100)</f>
        <v>0</v>
      </c>
      <c r="FU237" s="2846">
        <f>IF(FU239=0,0,(FU238*FU239+FU240*FU241*6)/FU239)</f>
        <v>0</v>
      </c>
      <c r="FV237" s="2846">
        <f>IF(FV239=0,0,(FV238*FV239+FV240*FV241*6)/FV239)</f>
        <v>0</v>
      </c>
      <c r="FW237" s="1093">
        <f>IF(FU237=0,0,(FV237-FU237)/FU237*100)</f>
        <v>0</v>
      </c>
      <c r="FX237" s="1304"/>
      <c r="FY237" s="1304"/>
      <c r="FZ237" s="1055" t="s">
        <v>2371</v>
      </c>
      <c r="GA237" s="1306"/>
      <c r="GB237" s="1306"/>
      <c r="GC237" s="1305"/>
      <c r="GD237" s="1305"/>
    </row>
    <row s="1834" customFormat="1" customHeight="1" ht="14.25" hidden="1">
      <c r="A238" s="493"/>
      <c r="B238" s="925" cm="1" t="str">
        <f t="array" ref="B238:B238">B237</f>
        <v>false</v>
      </c>
      <c r="C238" s="493"/>
      <c r="D238" s="493"/>
      <c r="E238" s="840">
        <v>15</v>
      </c>
      <c r="F238" s="50" cm="1" t="str">
        <f t="array" ref="F238:F238">OFFSET(E238,-1,1)</f>
        <v>3</v>
      </c>
      <c r="G238" s="493"/>
      <c r="H238" s="493" t="s">
        <v>2299</v>
      </c>
      <c r="I238" s="493" t="s">
        <v>2335</v>
      </c>
      <c r="J238" s="493"/>
      <c r="K238" s="493"/>
      <c r="L238" s="493"/>
      <c r="M238" s="493"/>
      <c r="N238" s="493"/>
      <c r="O238" s="493"/>
      <c r="P238" s="493"/>
      <c r="Q238" s="493"/>
      <c r="R238" s="493"/>
      <c r="S238" s="493"/>
      <c r="T238" s="465" cm="1" t="str">
        <f t="array" ref="T238:T238">T237</f>
        <v>true</v>
      </c>
      <c r="U238" s="493"/>
      <c r="V238" s="493"/>
      <c r="W238" s="493"/>
      <c r="X238" s="1596"/>
      <c r="Y238" s="493"/>
      <c r="Z238" s="1545"/>
      <c r="AA238" s="493"/>
      <c r="AB238" s="904" t="str">
        <f>"ставка платы за "&amp;IF(Q218="Водоснабжение","потребление 1 куб.м холодной воды","объем принятых сточных вод")</f>
        <v>ставка платы за объем принятых сточных вод</v>
      </c>
      <c r="AC238" s="864" t="s">
        <v>2337</v>
      </c>
      <c r="AD238" s="2846"/>
      <c r="AE238" s="2846"/>
      <c r="AF238" s="1093">
        <f>IF(AD238=0,0,(AE238-AD238)/AD238*100)</f>
        <v>0</v>
      </c>
      <c r="AG238" s="2846"/>
      <c r="AH238" s="2846"/>
      <c r="AI238" s="1093">
        <f>IF(AG238=0,0,(AH238-AG238)/AG238*100)</f>
        <v>0</v>
      </c>
      <c r="AJ238" s="2846"/>
      <c r="AK238" s="2846"/>
      <c r="AL238" s="1093">
        <f>IF(AJ238=0,0,(AK238-AJ238)/AJ238*100)</f>
        <v>0</v>
      </c>
      <c r="AM238" s="2846"/>
      <c r="AN238" s="2846"/>
      <c r="AO238" s="1093">
        <f>IF(AM238=0,0,(AN238-AM238)/AM238*100)</f>
        <v>0</v>
      </c>
      <c r="AP238" s="2846"/>
      <c r="AQ238" s="2846"/>
      <c r="AR238" s="1093">
        <f>IF(AP238=0,0,(AQ238-AP238)/AP238*100)</f>
        <v>0</v>
      </c>
      <c r="AS238" s="2846"/>
      <c r="AT238" s="2846"/>
      <c r="AU238" s="1093">
        <f>IF(AS238=0,0,(AT238-AS238)/AS238*100)</f>
        <v>0</v>
      </c>
      <c r="AV238" s="2846"/>
      <c r="AW238" s="2846"/>
      <c r="AX238" s="1093">
        <f>IF(AV238=0,0,(AW238-AV238)/AV238*100)</f>
        <v>0</v>
      </c>
      <c r="AY238" s="2846"/>
      <c r="AZ238" s="2846"/>
      <c r="BA238" s="1093">
        <f>IF(AY238=0,0,(AZ238-AY238)/AY238*100)</f>
        <v>0</v>
      </c>
      <c r="BB238" s="2846"/>
      <c r="BC238" s="2846"/>
      <c r="BD238" s="1093">
        <f>IF(BB238=0,0,(BC238-BB238)/BB238*100)</f>
        <v>0</v>
      </c>
      <c r="BE238" s="2846"/>
      <c r="BF238" s="2846"/>
      <c r="BG238" s="1093">
        <f>IF(BE238=0,0,(BF238-BE238)/BE238*100)</f>
        <v>0</v>
      </c>
      <c r="BH238" s="2846"/>
      <c r="BI238" s="2846"/>
      <c r="BJ238" s="1093">
        <f>IF(BH238=0,0,(BI238-BH238)/BH238*100)</f>
        <v>0</v>
      </c>
      <c r="BK238" s="2846"/>
      <c r="BL238" s="2846"/>
      <c r="BM238" s="1093">
        <f>IF(BK238=0,0,(BL238-BK238)/BK238*100)</f>
        <v>0</v>
      </c>
      <c r="BN238" s="2846"/>
      <c r="BO238" s="2846"/>
      <c r="BP238" s="1093">
        <f>IF(BN238=0,0,(BO238-BN238)/BN238*100)</f>
        <v>0</v>
      </c>
      <c r="BQ238" s="2846"/>
      <c r="BR238" s="2846"/>
      <c r="BS238" s="1093">
        <f>IF(BQ238=0,0,(BR238-BQ238)/BQ238*100)</f>
        <v>0</v>
      </c>
      <c r="BT238" s="2846"/>
      <c r="BU238" s="2846"/>
      <c r="BV238" s="1093">
        <f>IF(BT238=0,0,(BU238-BT238)/BT238*100)</f>
        <v>0</v>
      </c>
      <c r="BW238" s="2846"/>
      <c r="BX238" s="2846"/>
      <c r="BY238" s="1093">
        <f>IF(BW238=0,0,(BX238-BW238)/BW238*100)</f>
        <v>0</v>
      </c>
      <c r="BZ238" s="2846"/>
      <c r="CA238" s="2846"/>
      <c r="CB238" s="1093">
        <f>IF(BZ238=0,0,(CA238-BZ238)/BZ238*100)</f>
        <v>0</v>
      </c>
      <c r="CC238" s="2846"/>
      <c r="CD238" s="2846"/>
      <c r="CE238" s="1093">
        <f>IF(CC238=0,0,(CD238-CC238)/CC238*100)</f>
        <v>0</v>
      </c>
      <c r="CF238" s="2846"/>
      <c r="CG238" s="2846"/>
      <c r="CH238" s="1093">
        <f>IF(CF238=0,0,(CG238-CF238)/CF238*100)</f>
        <v>0</v>
      </c>
      <c r="CI238" s="2846"/>
      <c r="CJ238" s="2846"/>
      <c r="CK238" s="1093">
        <f>IF(CI238=0,0,(CJ238-CI238)/CI238*100)</f>
        <v>0</v>
      </c>
      <c r="CL238" s="2846"/>
      <c r="CM238" s="2846"/>
      <c r="CN238" s="1093">
        <f>IF(CL238=0,0,(CM238-CL238)/CL238*100)</f>
        <v>0</v>
      </c>
      <c r="CO238" s="2846"/>
      <c r="CP238" s="2846"/>
      <c r="CQ238" s="1093">
        <f>IF(CO238=0,0,(CP238-CO238)/CO238*100)</f>
        <v>0</v>
      </c>
      <c r="CR238" s="2846"/>
      <c r="CS238" s="2846"/>
      <c r="CT238" s="1093">
        <f>IF(CR238=0,0,(CS238-CR238)/CR238*100)</f>
        <v>0</v>
      </c>
      <c r="CU238" s="2846"/>
      <c r="CV238" s="2846"/>
      <c r="CW238" s="1093">
        <f>IF(CU238=0,0,(CV238-CU238)/CU238*100)</f>
        <v>0</v>
      </c>
      <c r="CX238" s="2846"/>
      <c r="CY238" s="2846"/>
      <c r="CZ238" s="1093">
        <f>IF(CX238=0,0,(CY238-CX238)/CX238*100)</f>
        <v>0</v>
      </c>
      <c r="DA238" s="2846"/>
      <c r="DB238" s="2846"/>
      <c r="DC238" s="1093">
        <f>IF(DA238=0,0,(DB238-DA238)/DA238*100)</f>
        <v>0</v>
      </c>
      <c r="DD238" s="2846"/>
      <c r="DE238" s="2846"/>
      <c r="DF238" s="1093">
        <f>IF(DD238=0,0,(DE238-DD238)/DD238*100)</f>
        <v>0</v>
      </c>
      <c r="DG238" s="2846"/>
      <c r="DH238" s="2846"/>
      <c r="DI238" s="1093">
        <f>IF(DG238=0,0,(DH238-DG238)/DG238*100)</f>
        <v>0</v>
      </c>
      <c r="DJ238" s="2846"/>
      <c r="DK238" s="2846"/>
      <c r="DL238" s="1093">
        <f>IF(DJ238=0,0,(DK238-DJ238)/DJ238*100)</f>
        <v>0</v>
      </c>
      <c r="DM238" s="2846"/>
      <c r="DN238" s="2846"/>
      <c r="DO238" s="1093">
        <f>IF(DM238=0,0,(DN238-DM238)/DM238*100)</f>
        <v>0</v>
      </c>
      <c r="DP238" s="2846"/>
      <c r="DQ238" s="2846"/>
      <c r="DR238" s="1093">
        <f>IF(DP238=0,0,(DQ238-DP238)/DP238*100)</f>
        <v>0</v>
      </c>
      <c r="DS238" s="2846"/>
      <c r="DT238" s="2846"/>
      <c r="DU238" s="1093">
        <f>IF(DS238=0,0,(DT238-DS238)/DS238*100)</f>
        <v>0</v>
      </c>
      <c r="DV238" s="2846"/>
      <c r="DW238" s="2846"/>
      <c r="DX238" s="1093">
        <f>IF(DV238=0,0,(DW238-DV238)/DV238*100)</f>
        <v>0</v>
      </c>
      <c r="DY238" s="2846"/>
      <c r="DZ238" s="2846"/>
      <c r="EA238" s="1093">
        <f>IF(DY238=0,0,(DZ238-DY238)/DY238*100)</f>
        <v>0</v>
      </c>
      <c r="EB238" s="2846"/>
      <c r="EC238" s="2846"/>
      <c r="ED238" s="1093">
        <f>IF(EB238=0,0,(EC238-EB238)/EB238*100)</f>
        <v>0</v>
      </c>
      <c r="EE238" s="2846"/>
      <c r="EF238" s="2846"/>
      <c r="EG238" s="1093">
        <f>IF(EE238=0,0,(EF238-EE238)/EE238*100)</f>
        <v>0</v>
      </c>
      <c r="EH238" s="2846"/>
      <c r="EI238" s="2846"/>
      <c r="EJ238" s="1093">
        <f>IF(EH238=0,0,(EI238-EH238)/EH238*100)</f>
        <v>0</v>
      </c>
      <c r="EK238" s="2846"/>
      <c r="EL238" s="2846"/>
      <c r="EM238" s="1093">
        <f>IF(EK238=0,0,(EL238-EK238)/EK238*100)</f>
        <v>0</v>
      </c>
      <c r="EN238" s="2846"/>
      <c r="EO238" s="2846"/>
      <c r="EP238" s="1093">
        <f>IF(EN238=0,0,(EO238-EN238)/EN238*100)</f>
        <v>0</v>
      </c>
      <c r="EQ238" s="2846"/>
      <c r="ER238" s="2846"/>
      <c r="ES238" s="1093">
        <f>IF(EQ238=0,0,(ER238-EQ238)/EQ238*100)</f>
        <v>0</v>
      </c>
      <c r="ET238" s="2846"/>
      <c r="EU238" s="2846"/>
      <c r="EV238" s="1093">
        <f>IF(ET238=0,0,(EU238-ET238)/ET238*100)</f>
        <v>0</v>
      </c>
      <c r="EW238" s="2846"/>
      <c r="EX238" s="2846"/>
      <c r="EY238" s="1093">
        <f>IF(EW238=0,0,(EX238-EW238)/EW238*100)</f>
        <v>0</v>
      </c>
      <c r="EZ238" s="2846"/>
      <c r="FA238" s="2846"/>
      <c r="FB238" s="1093">
        <f>IF(EZ238=0,0,(FA238-EZ238)/EZ238*100)</f>
        <v>0</v>
      </c>
      <c r="FC238" s="2846"/>
      <c r="FD238" s="2846"/>
      <c r="FE238" s="1093">
        <f>IF(FC238=0,0,(FD238-FC238)/FC238*100)</f>
        <v>0</v>
      </c>
      <c r="FF238" s="2846"/>
      <c r="FG238" s="2846"/>
      <c r="FH238" s="1093">
        <f>IF(FF238=0,0,(FG238-FF238)/FF238*100)</f>
        <v>0</v>
      </c>
      <c r="FI238" s="2846"/>
      <c r="FJ238" s="2846"/>
      <c r="FK238" s="1093">
        <f>IF(FI238=0,0,(FJ238-FI238)/FI238*100)</f>
        <v>0</v>
      </c>
      <c r="FL238" s="2846"/>
      <c r="FM238" s="2846"/>
      <c r="FN238" s="1093">
        <f>IF(FL238=0,0,(FM238-FL238)/FL238*100)</f>
        <v>0</v>
      </c>
      <c r="FO238" s="2846"/>
      <c r="FP238" s="2846"/>
      <c r="FQ238" s="1093">
        <f>IF(FO238=0,0,(FP238-FO238)/FO238*100)</f>
        <v>0</v>
      </c>
      <c r="FR238" s="2846"/>
      <c r="FS238" s="2846"/>
      <c r="FT238" s="1093">
        <f>IF(FR238=0,0,(FS238-FR238)/FR238*100)</f>
        <v>0</v>
      </c>
      <c r="FU238" s="2846"/>
      <c r="FV238" s="2846"/>
      <c r="FW238" s="1093">
        <f>IF(FU238=0,0,(FV238-FU238)/FU238*100)</f>
        <v>0</v>
      </c>
      <c r="FX238" s="1304"/>
      <c r="FY238" s="1304"/>
      <c r="FZ238" s="1055" t="s">
        <v>2372</v>
      </c>
      <c r="GA238" s="1306"/>
      <c r="GB238" s="1306"/>
      <c r="GC238" s="1305"/>
      <c r="GD238" s="1305"/>
    </row>
    <row s="1834" customFormat="1" customHeight="1" ht="14.25" hidden="1">
      <c r="A239" s="493"/>
      <c r="B239" s="925" cm="1" t="str">
        <f t="array" ref="B239:B239">B238</f>
        <v>false</v>
      </c>
      <c r="C239" s="493"/>
      <c r="D239" s="493"/>
      <c r="E239" s="840">
        <v>15</v>
      </c>
      <c r="F239" s="50" cm="1" t="str">
        <f t="array" ref="F239:F239">OFFSET(E239,-1,1)</f>
        <v>3</v>
      </c>
      <c r="G239" s="107" t="s">
        <v>2373</v>
      </c>
      <c r="H239" s="493" t="s">
        <v>2374</v>
      </c>
      <c r="I239" s="493" t="s">
        <v>2335</v>
      </c>
      <c r="J239" s="493"/>
      <c r="K239" s="493"/>
      <c r="L239" s="493"/>
      <c r="M239" s="493"/>
      <c r="N239" s="493"/>
      <c r="O239" s="493"/>
      <c r="P239" s="493"/>
      <c r="Q239" s="493"/>
      <c r="R239" s="493"/>
      <c r="S239" s="493"/>
      <c r="T239" s="465" cm="1" t="str">
        <f t="array" ref="T239:T239">T238</f>
        <v>true</v>
      </c>
      <c r="U239" s="493"/>
      <c r="V239" s="493"/>
      <c r="W239" s="493"/>
      <c r="X239" s="1596"/>
      <c r="Y239" s="493"/>
      <c r="Z239" s="1545"/>
      <c r="AA239" s="493"/>
      <c r="AB239" s="904" t="str">
        <f>"объём "&amp;IF(Q218="Водоснабжение","потребления холодной воды","водоотведения")</f>
        <v>объём водоотведения</v>
      </c>
      <c r="AC239" s="864" t="s">
        <v>1247</v>
      </c>
      <c r="AD239" s="5247">
        <f>IF(AND(method_reg="Метод индексации",god&lt;&gt;first_year),_xlfn.SUMIFS(INDEX('Калькуляция (МИ корр)'!$AJ$25:$BC$747,,MATCH(AD$8,'Калькуляция (МИ корр)'!$AJ$8:$BC$8,0)),'Калькуляция (МИ корр)'!$F$25:$F$747,$F239,'Калькуляция (МИ корр)'!$G$25:$G$747,$G239),IF(method_reg="Метод экономически обоснованных расходов",_xlfn.SUMIFS('Калькуляция (МЭОР)'!$AJ$25:$AJ$452,'Калькуляция (МЭОР)'!$F$25:$F$452,$F239,'Калькуляция (МЭОР)'!$G$25:$G$452,$G239),IF(method_reg="Метод сравнения аналогов",_xlfn.SUMIFS('Калькуляция (МСА)'!$AE$25:$AE$122,'Калькуляция (МСА)'!$F$25:$F$122,$F239,'Калькуляция (МСА)'!$G$25:$G$122,$G239),_xlfn.SUMIFS(INDEX('Калькуляция (МИ)'!$AJ$25:$BC$747,,MATCH(AD$8,'Калькуляция (МИ)'!$AJ$8:$BC$8,0)),'Калькуляция (МИ)'!$F$25:$F$747,$F239,'Калькуляция (МИ)'!$G$25:$G$747,$G239))))</f>
        <v>1334.13402</v>
      </c>
      <c r="AE239" s="5247">
        <f>IF(AND(method_reg="Метод индексации",god&lt;&gt;first_year),_xlfn.SUMIFS(INDEX('Калькуляция (МИ корр)'!$AJ$25:$BC$747,,MATCH(AE$8,'Калькуляция (МИ корр)'!$AJ$8:$BC$8,0)),'Калькуляция (МИ корр)'!$F$25:$F$747,$F239,'Калькуляция (МИ корр)'!$G$25:$G$747,$G239),IF(method_reg="Метод экономически обоснованных расходов",_xlfn.SUMIFS('Калькуляция (МЭОР)'!$AK$25:$AK$452,'Калькуляция (МЭОР)'!$F$25:$F$452,$F239,'Калькуляция (МЭОР)'!$G$25:$G$452,$G239),IF(method_reg="Метод сравнения аналогов",_xlfn.SUMIFS('Калькуляция (МСА)'!$AF$25:$AF$122,'Калькуляция (МСА)'!$F$25:$F$122,$F239,'Калькуляция (МСА)'!$G$25:$G$122,$G239),_xlfn.SUMIFS(INDEX('Калькуляция (МИ)'!$AJ$25:$BC$747,,MATCH(AE$8,'Калькуляция (МИ)'!$AJ$8:$BC$8,0)),'Калькуляция (МИ)'!$F$25:$F$747,$F239,'Калькуляция (МИ)'!$G$25:$G$747,$G239))))</f>
        <v>1334.13402</v>
      </c>
      <c r="AF239" s="1095">
        <f>IF(AD239=0,0,(AE239-AD239)/AD239*100)</f>
        <v>0</v>
      </c>
      <c r="AG239" s="5247">
        <f>IF(AND(method_reg="Метод индексации",god&lt;&gt;first_year),_xlfn.SUMIFS(INDEX('Калькуляция (МИ корр)'!$AJ$25:$BC$747,,MATCH(AG$8,'Калькуляция (МИ корр)'!$AJ$8:$BC$8,0)),'Калькуляция (МИ корр)'!$F$25:$F$747,$F239,'Калькуляция (МИ корр)'!$G$25:$G$747,$G239),IF(method_reg="Метод экономически обоснованных расходов",_xlfn.SUMIFS('Калькуляция (МЭОР)'!$AJ$25:$AJ$452,'Калькуляция (МЭОР)'!$F$25:$F$452,$F239,'Калькуляция (МЭОР)'!$G$25:$G$452,$G239),IF(method_reg="Метод сравнения аналогов",_xlfn.SUMIFS('Калькуляция (МСА)'!$AE$25:$AE$122,'Калькуляция (МСА)'!$F$25:$F$122,$F239,'Калькуляция (МСА)'!$G$25:$G$122,$G239),_xlfn.SUMIFS(INDEX('Калькуляция (МИ)'!$AJ$25:$BC$747,,MATCH(AG$8,'Калькуляция (МИ)'!$AJ$8:$BC$8,0)),'Калькуляция (МИ)'!$F$25:$F$747,$F239,'Калькуляция (МИ)'!$G$25:$G$747,$G239))))</f>
        <v>889.42268</v>
      </c>
      <c r="AH239" s="5247">
        <f>IF(AND(method_reg="Метод индексации",god&lt;&gt;first_year),_xlfn.SUMIFS(INDEX('Калькуляция (МИ корр)'!$AJ$25:$BC$747,,MATCH(AH$8,'Калькуляция (МИ корр)'!$AJ$8:$BC$8,0)),'Калькуляция (МИ корр)'!$F$25:$F$747,$F239,'Калькуляция (МИ корр)'!$G$25:$G$747,$G239),IF(method_reg="Метод экономически обоснованных расходов",_xlfn.SUMIFS('Калькуляция (МЭОР)'!$AK$25:$AK$452,'Калькуляция (МЭОР)'!$F$25:$F$452,$F239,'Калькуляция (МЭОР)'!$G$25:$G$452,$G239),IF(method_reg="Метод сравнения аналогов",_xlfn.SUMIFS('Калькуляция (МСА)'!$AF$25:$AF$122,'Калькуляция (МСА)'!$F$25:$F$122,$F239,'Калькуляция (МСА)'!$G$25:$G$122,$G239),_xlfn.SUMIFS(INDEX('Калькуляция (МИ)'!$AJ$25:$BC$747,,MATCH(AH$8,'Калькуляция (МИ)'!$AJ$8:$BC$8,0)),'Калькуляция (МИ)'!$F$25:$F$747,$F239,'Калькуляция (МИ)'!$G$25:$G$747,$G239))))</f>
        <v>889.42268</v>
      </c>
      <c r="AI239" s="1095">
        <f>IF(AG239=0,0,(AH239-AG239)/AG239*100)</f>
        <v>0</v>
      </c>
      <c r="AJ239" s="5247">
        <f>IF(AND(method_reg="Метод индексации",god&lt;&gt;first_year),_xlfn.SUMIFS(INDEX('Калькуляция (МИ корр)'!$AJ$25:$BC$747,,MATCH(AJ$8,'Калькуляция (МИ корр)'!$AJ$8:$BC$8,0)),'Калькуляция (МИ корр)'!$F$25:$F$747,$F239,'Калькуляция (МИ корр)'!$G$25:$G$747,$G239),IF(method_reg="Метод экономически обоснованных расходов",_xlfn.SUMIFS('Калькуляция (МЭОР)'!$AJ$25:$AJ$452,'Калькуляция (МЭОР)'!$F$25:$F$452,$F239,'Калькуляция (МЭОР)'!$G$25:$G$452,$G239),IF(method_reg="Метод сравнения аналогов",_xlfn.SUMIFS('Калькуляция (МСА)'!$AE$25:$AE$122,'Калькуляция (МСА)'!$F$25:$F$122,$F239,'Калькуляция (МСА)'!$G$25:$G$122,$G239),_xlfn.SUMIFS(INDEX('Калькуляция (МИ)'!$AJ$25:$BC$747,,MATCH(AJ$8,'Калькуляция (МИ)'!$AJ$8:$BC$8,0)),'Калькуляция (МИ)'!$F$25:$F$747,$F239,'Калькуляция (МИ)'!$G$25:$G$747,$G239))))</f>
        <v>889.42268</v>
      </c>
      <c r="AK239" s="5247">
        <f>IF(AND(method_reg="Метод индексации",god&lt;&gt;first_year),_xlfn.SUMIFS(INDEX('Калькуляция (МИ корр)'!$AJ$25:$BC$747,,MATCH(AK$8,'Калькуляция (МИ корр)'!$AJ$8:$BC$8,0)),'Калькуляция (МИ корр)'!$F$25:$F$747,$F239,'Калькуляция (МИ корр)'!$G$25:$G$747,$G239),IF(method_reg="Метод экономически обоснованных расходов",_xlfn.SUMIFS('Калькуляция (МЭОР)'!$AK$25:$AK$452,'Калькуляция (МЭОР)'!$F$25:$F$452,$F239,'Калькуляция (МЭОР)'!$G$25:$G$452,$G239),IF(method_reg="Метод сравнения аналогов",_xlfn.SUMIFS('Калькуляция (МСА)'!$AF$25:$AF$122,'Калькуляция (МСА)'!$F$25:$F$122,$F239,'Калькуляция (МСА)'!$G$25:$G$122,$G239),_xlfn.SUMIFS(INDEX('Калькуляция (МИ)'!$AJ$25:$BC$747,,MATCH(AK$8,'Калькуляция (МИ)'!$AJ$8:$BC$8,0)),'Калькуляция (МИ)'!$F$25:$F$747,$F239,'Калькуляция (МИ)'!$G$25:$G$747,$G239))))</f>
        <v>889.42268</v>
      </c>
      <c r="AL239" s="1095">
        <f>IF(AJ239=0,0,(AK239-AJ239)/AJ239*100)</f>
        <v>0</v>
      </c>
      <c r="AM239" s="5247">
        <f>IF(AND(method_reg="Метод индексации",god&lt;&gt;first_year),_xlfn.SUMIFS(INDEX('Калькуляция (МИ корр)'!$AJ$25:$BC$747,,MATCH(AM$8,'Калькуляция (МИ корр)'!$AJ$8:$BC$8,0)),'Калькуляция (МИ корр)'!$F$25:$F$747,$F239,'Калькуляция (МИ корр)'!$G$25:$G$747,$G239),IF(method_reg="Метод экономически обоснованных расходов",_xlfn.SUMIFS('Калькуляция (МЭОР)'!$AJ$25:$AJ$452,'Калькуляция (МЭОР)'!$F$25:$F$452,$F239,'Калькуляция (МЭОР)'!$G$25:$G$452,$G239),IF(method_reg="Метод сравнения аналогов",_xlfn.SUMIFS('Калькуляция (МСА)'!$AE$25:$AE$122,'Калькуляция (МСА)'!$F$25:$F$122,$F239,'Калькуляция (МСА)'!$G$25:$G$122,$G239),_xlfn.SUMIFS(INDEX('Калькуляция (МИ)'!$AJ$25:$BC$747,,MATCH(AM$8,'Калькуляция (МИ)'!$AJ$8:$BC$8,0)),'Калькуляция (МИ)'!$F$25:$F$747,$F239,'Калькуляция (МИ)'!$G$25:$G$747,$G239))))</f>
        <v>889.42268</v>
      </c>
      <c r="AN239" s="5247">
        <f>IF(AND(method_reg="Метод индексации",god&lt;&gt;first_year),_xlfn.SUMIFS(INDEX('Калькуляция (МИ корр)'!$AJ$25:$BC$747,,MATCH(AN$8,'Калькуляция (МИ корр)'!$AJ$8:$BC$8,0)),'Калькуляция (МИ корр)'!$F$25:$F$747,$F239,'Калькуляция (МИ корр)'!$G$25:$G$747,$G239),IF(method_reg="Метод экономически обоснованных расходов",_xlfn.SUMIFS('Калькуляция (МЭОР)'!$AK$25:$AK$452,'Калькуляция (МЭОР)'!$F$25:$F$452,$F239,'Калькуляция (МЭОР)'!$G$25:$G$452,$G239),IF(method_reg="Метод сравнения аналогов",_xlfn.SUMIFS('Калькуляция (МСА)'!$AF$25:$AF$122,'Калькуляция (МСА)'!$F$25:$F$122,$F239,'Калькуляция (МСА)'!$G$25:$G$122,$G239),_xlfn.SUMIFS(INDEX('Калькуляция (МИ)'!$AJ$25:$BC$747,,MATCH(AN$8,'Калькуляция (МИ)'!$AJ$8:$BC$8,0)),'Калькуляция (МИ)'!$F$25:$F$747,$F239,'Калькуляция (МИ)'!$G$25:$G$747,$G239))))</f>
        <v>889.42268</v>
      </c>
      <c r="AO239" s="1095">
        <f>IF(AM239=0,0,(AN239-AM239)/AM239*100)</f>
        <v>0</v>
      </c>
      <c r="AP239" s="5247">
        <f>IF(AND(method_reg="Метод индексации",god&lt;&gt;first_year),_xlfn.SUMIFS(INDEX('Калькуляция (МИ корр)'!$AJ$25:$BC$747,,MATCH(AP$8,'Калькуляция (МИ корр)'!$AJ$8:$BC$8,0)),'Калькуляция (МИ корр)'!$F$25:$F$747,$F239,'Калькуляция (МИ корр)'!$G$25:$G$747,$G239),IF(method_reg="Метод экономически обоснованных расходов",_xlfn.SUMIFS('Калькуляция (МЭОР)'!$AJ$25:$AJ$452,'Калькуляция (МЭОР)'!$F$25:$F$452,$F239,'Калькуляция (МЭОР)'!$G$25:$G$452,$G239),IF(method_reg="Метод сравнения аналогов",_xlfn.SUMIFS('Калькуляция (МСА)'!$AE$25:$AE$122,'Калькуляция (МСА)'!$F$25:$F$122,$F239,'Калькуляция (МСА)'!$G$25:$G$122,$G239),_xlfn.SUMIFS(INDEX('Калькуляция (МИ)'!$AJ$25:$BC$747,,MATCH(AP$8,'Калькуляция (МИ)'!$AJ$8:$BC$8,0)),'Калькуляция (МИ)'!$F$25:$F$747,$F239,'Калькуляция (МИ)'!$G$25:$G$747,$G239))))</f>
        <v>889.42268</v>
      </c>
      <c r="AQ239" s="5247">
        <f>IF(AND(method_reg="Метод индексации",god&lt;&gt;first_year),_xlfn.SUMIFS(INDEX('Калькуляция (МИ корр)'!$AJ$25:$BC$747,,MATCH(AQ$8,'Калькуляция (МИ корр)'!$AJ$8:$BC$8,0)),'Калькуляция (МИ корр)'!$F$25:$F$747,$F239,'Калькуляция (МИ корр)'!$G$25:$G$747,$G239),IF(method_reg="Метод экономически обоснованных расходов",_xlfn.SUMIFS('Калькуляция (МЭОР)'!$AK$25:$AK$452,'Калькуляция (МЭОР)'!$F$25:$F$452,$F239,'Калькуляция (МЭОР)'!$G$25:$G$452,$G239),IF(method_reg="Метод сравнения аналогов",_xlfn.SUMIFS('Калькуляция (МСА)'!$AF$25:$AF$122,'Калькуляция (МСА)'!$F$25:$F$122,$F239,'Калькуляция (МСА)'!$G$25:$G$122,$G239),_xlfn.SUMIFS(INDEX('Калькуляция (МИ)'!$AJ$25:$BC$747,,MATCH(AQ$8,'Калькуляция (МИ)'!$AJ$8:$BC$8,0)),'Калькуляция (МИ)'!$F$25:$F$747,$F239,'Калькуляция (МИ)'!$G$25:$G$747,$G239))))</f>
        <v>889.42268</v>
      </c>
      <c r="AR239" s="1095">
        <f>IF(AP239=0,0,(AQ239-AP239)/AP239*100)</f>
        <v>0</v>
      </c>
      <c r="AS239" s="5247">
        <f>IF(AND(method_reg="Метод индексации",god&lt;&gt;first_year),_xlfn.SUMIFS(INDEX('Калькуляция (МИ корр)'!$AJ$25:$BC$747,,MATCH(AS$8,'Калькуляция (МИ корр)'!$AJ$8:$BC$8,0)),'Калькуляция (МИ корр)'!$F$25:$F$747,$F239,'Калькуляция (МИ корр)'!$G$25:$G$747,$G239),IF(method_reg="Метод экономически обоснованных расходов",_xlfn.SUMIFS('Калькуляция (МЭОР)'!$AJ$25:$AJ$452,'Калькуляция (МЭОР)'!$F$25:$F$452,$F239,'Калькуляция (МЭОР)'!$G$25:$G$452,$G239),IF(method_reg="Метод сравнения аналогов",_xlfn.SUMIFS('Калькуляция (МСА)'!$AE$25:$AE$122,'Калькуляция (МСА)'!$F$25:$F$122,$F239,'Калькуляция (МСА)'!$G$25:$G$122,$G239),_xlfn.SUMIFS(INDEX('Калькуляция (МИ)'!$AJ$25:$BC$747,,MATCH(AS$8,'Калькуляция (МИ)'!$AJ$8:$BC$8,0)),'Калькуляция (МИ)'!$F$25:$F$747,$F239,'Калькуляция (МИ)'!$G$25:$G$747,$G239))))</f>
        <v>0</v>
      </c>
      <c r="AT239" s="5247">
        <f>IF(AND(method_reg="Метод индексации",god&lt;&gt;first_year),_xlfn.SUMIFS(INDEX('Калькуляция (МИ корр)'!$AJ$25:$BC$747,,MATCH(AT$8,'Калькуляция (МИ корр)'!$AJ$8:$BC$8,0)),'Калькуляция (МИ корр)'!$F$25:$F$747,$F239,'Калькуляция (МИ корр)'!$G$25:$G$747,$G239),IF(method_reg="Метод экономически обоснованных расходов",_xlfn.SUMIFS('Калькуляция (МЭОР)'!$AK$25:$AK$452,'Калькуляция (МЭОР)'!$F$25:$F$452,$F239,'Калькуляция (МЭОР)'!$G$25:$G$452,$G239),IF(method_reg="Метод сравнения аналогов",_xlfn.SUMIFS('Калькуляция (МСА)'!$AF$25:$AF$122,'Калькуляция (МСА)'!$F$25:$F$122,$F239,'Калькуляция (МСА)'!$G$25:$G$122,$G239),_xlfn.SUMIFS(INDEX('Калькуляция (МИ)'!$AJ$25:$BC$747,,MATCH(AT$8,'Калькуляция (МИ)'!$AJ$8:$BC$8,0)),'Калькуляция (МИ)'!$F$25:$F$747,$F239,'Калькуляция (МИ)'!$G$25:$G$747,$G239))))</f>
        <v>0</v>
      </c>
      <c r="AU239" s="1095">
        <f>IF(AS239=0,0,(AT239-AS239)/AS239*100)</f>
        <v>0</v>
      </c>
      <c r="AV239" s="5247">
        <f>IF(AND(method_reg="Метод индексации",god&lt;&gt;first_year),_xlfn.SUMIFS(INDEX('Калькуляция (МИ корр)'!$AJ$25:$BC$747,,MATCH(AV$8,'Калькуляция (МИ корр)'!$AJ$8:$BC$8,0)),'Калькуляция (МИ корр)'!$F$25:$F$747,$F239,'Калькуляция (МИ корр)'!$G$25:$G$747,$G239),IF(method_reg="Метод экономически обоснованных расходов",_xlfn.SUMIFS('Калькуляция (МЭОР)'!$AJ$25:$AJ$452,'Калькуляция (МЭОР)'!$F$25:$F$452,$F239,'Калькуляция (МЭОР)'!$G$25:$G$452,$G239),IF(method_reg="Метод сравнения аналогов",_xlfn.SUMIFS('Калькуляция (МСА)'!$AE$25:$AE$122,'Калькуляция (МСА)'!$F$25:$F$122,$F239,'Калькуляция (МСА)'!$G$25:$G$122,$G239),_xlfn.SUMIFS(INDEX('Калькуляция (МИ)'!$AJ$25:$BC$747,,MATCH(AV$8,'Калькуляция (МИ)'!$AJ$8:$BC$8,0)),'Калькуляция (МИ)'!$F$25:$F$747,$F239,'Калькуляция (МИ)'!$G$25:$G$747,$G239))))</f>
        <v>0</v>
      </c>
      <c r="AW239" s="5247">
        <f>IF(AND(method_reg="Метод индексации",god&lt;&gt;first_year),_xlfn.SUMIFS(INDEX('Калькуляция (МИ корр)'!$AJ$25:$BC$747,,MATCH(AW$8,'Калькуляция (МИ корр)'!$AJ$8:$BC$8,0)),'Калькуляция (МИ корр)'!$F$25:$F$747,$F239,'Калькуляция (МИ корр)'!$G$25:$G$747,$G239),IF(method_reg="Метод экономически обоснованных расходов",_xlfn.SUMIFS('Калькуляция (МЭОР)'!$AK$25:$AK$452,'Калькуляция (МЭОР)'!$F$25:$F$452,$F239,'Калькуляция (МЭОР)'!$G$25:$G$452,$G239),IF(method_reg="Метод сравнения аналогов",_xlfn.SUMIFS('Калькуляция (МСА)'!$AF$25:$AF$122,'Калькуляция (МСА)'!$F$25:$F$122,$F239,'Калькуляция (МСА)'!$G$25:$G$122,$G239),_xlfn.SUMIFS(INDEX('Калькуляция (МИ)'!$AJ$25:$BC$747,,MATCH(AW$8,'Калькуляция (МИ)'!$AJ$8:$BC$8,0)),'Калькуляция (МИ)'!$F$25:$F$747,$F239,'Калькуляция (МИ)'!$G$25:$G$747,$G239))))</f>
        <v>0</v>
      </c>
      <c r="AX239" s="1095">
        <f>IF(AV239=0,0,(AW239-AV239)/AV239*100)</f>
        <v>0</v>
      </c>
      <c r="AY239" s="5247">
        <f>IF(AND(method_reg="Метод индексации",god&lt;&gt;first_year),_xlfn.SUMIFS(INDEX('Калькуляция (МИ корр)'!$AJ$25:$BC$747,,MATCH(AY$8,'Калькуляция (МИ корр)'!$AJ$8:$BC$8,0)),'Калькуляция (МИ корр)'!$F$25:$F$747,$F239,'Калькуляция (МИ корр)'!$G$25:$G$747,$G239),IF(method_reg="Метод экономически обоснованных расходов",_xlfn.SUMIFS('Калькуляция (МЭОР)'!$AJ$25:$AJ$452,'Калькуляция (МЭОР)'!$F$25:$F$452,$F239,'Калькуляция (МЭОР)'!$G$25:$G$452,$G239),IF(method_reg="Метод сравнения аналогов",_xlfn.SUMIFS('Калькуляция (МСА)'!$AE$25:$AE$122,'Калькуляция (МСА)'!$F$25:$F$122,$F239,'Калькуляция (МСА)'!$G$25:$G$122,$G239),_xlfn.SUMIFS(INDEX('Калькуляция (МИ)'!$AJ$25:$BC$747,,MATCH(AY$8,'Калькуляция (МИ)'!$AJ$8:$BC$8,0)),'Калькуляция (МИ)'!$F$25:$F$747,$F239,'Калькуляция (МИ)'!$G$25:$G$747,$G239))))</f>
        <v>0</v>
      </c>
      <c r="AZ239" s="5247">
        <f>IF(AND(method_reg="Метод индексации",god&lt;&gt;first_year),_xlfn.SUMIFS(INDEX('Калькуляция (МИ корр)'!$AJ$25:$BC$747,,MATCH(AZ$8,'Калькуляция (МИ корр)'!$AJ$8:$BC$8,0)),'Калькуляция (МИ корр)'!$F$25:$F$747,$F239,'Калькуляция (МИ корр)'!$G$25:$G$747,$G239),IF(method_reg="Метод экономически обоснованных расходов",_xlfn.SUMIFS('Калькуляция (МЭОР)'!$AK$25:$AK$452,'Калькуляция (МЭОР)'!$F$25:$F$452,$F239,'Калькуляция (МЭОР)'!$G$25:$G$452,$G239),IF(method_reg="Метод сравнения аналогов",_xlfn.SUMIFS('Калькуляция (МСА)'!$AF$25:$AF$122,'Калькуляция (МСА)'!$F$25:$F$122,$F239,'Калькуляция (МСА)'!$G$25:$G$122,$G239),_xlfn.SUMIFS(INDEX('Калькуляция (МИ)'!$AJ$25:$BC$747,,MATCH(AZ$8,'Калькуляция (МИ)'!$AJ$8:$BC$8,0)),'Калькуляция (МИ)'!$F$25:$F$747,$F239,'Калькуляция (МИ)'!$G$25:$G$747,$G239))))</f>
        <v>0</v>
      </c>
      <c r="BA239" s="1095">
        <f>IF(AY239=0,0,(AZ239-AY239)/AY239*100)</f>
        <v>0</v>
      </c>
      <c r="BB239" s="5247">
        <f>IF(AND(method_reg="Метод индексации",god&lt;&gt;first_year),_xlfn.SUMIFS(INDEX('Калькуляция (МИ корр)'!$AJ$25:$BC$747,,MATCH(BB$8,'Калькуляция (МИ корр)'!$AJ$8:$BC$8,0)),'Калькуляция (МИ корр)'!$F$25:$F$747,$F239,'Калькуляция (МИ корр)'!$G$25:$G$747,$G239),IF(method_reg="Метод экономически обоснованных расходов",_xlfn.SUMIFS('Калькуляция (МЭОР)'!$AJ$25:$AJ$452,'Калькуляция (МЭОР)'!$F$25:$F$452,$F239,'Калькуляция (МЭОР)'!$G$25:$G$452,$G239),IF(method_reg="Метод сравнения аналогов",_xlfn.SUMIFS('Калькуляция (МСА)'!$AE$25:$AE$122,'Калькуляция (МСА)'!$F$25:$F$122,$F239,'Калькуляция (МСА)'!$G$25:$G$122,$G239),_xlfn.SUMIFS(INDEX('Калькуляция (МИ)'!$AJ$25:$BC$747,,MATCH(BB$8,'Калькуляция (МИ)'!$AJ$8:$BC$8,0)),'Калькуляция (МИ)'!$F$25:$F$747,$F239,'Калькуляция (МИ)'!$G$25:$G$747,$G239))))</f>
        <v>0</v>
      </c>
      <c r="BC239" s="5247">
        <f>IF(AND(method_reg="Метод индексации",god&lt;&gt;first_year),_xlfn.SUMIFS(INDEX('Калькуляция (МИ корр)'!$AJ$25:$BC$747,,MATCH(BC$8,'Калькуляция (МИ корр)'!$AJ$8:$BC$8,0)),'Калькуляция (МИ корр)'!$F$25:$F$747,$F239,'Калькуляция (МИ корр)'!$G$25:$G$747,$G239),IF(method_reg="Метод экономически обоснованных расходов",_xlfn.SUMIFS('Калькуляция (МЭОР)'!$AK$25:$AK$452,'Калькуляция (МЭОР)'!$F$25:$F$452,$F239,'Калькуляция (МЭОР)'!$G$25:$G$452,$G239),IF(method_reg="Метод сравнения аналогов",_xlfn.SUMIFS('Калькуляция (МСА)'!$AF$25:$AF$122,'Калькуляция (МСА)'!$F$25:$F$122,$F239,'Калькуляция (МСА)'!$G$25:$G$122,$G239),_xlfn.SUMIFS(INDEX('Калькуляция (МИ)'!$AJ$25:$BC$747,,MATCH(BC$8,'Калькуляция (МИ)'!$AJ$8:$BC$8,0)),'Калькуляция (МИ)'!$F$25:$F$747,$F239,'Калькуляция (МИ)'!$G$25:$G$747,$G239))))</f>
        <v>0</v>
      </c>
      <c r="BD239" s="1095">
        <f>IF(BB239=0,0,(BC239-BB239)/BB239*100)</f>
        <v>0</v>
      </c>
      <c r="BE239" s="5247">
        <f>IF(AND(method_reg="Метод индексации",god&lt;&gt;first_year),_xlfn.SUMIFS(INDEX('Калькуляция (МИ корр)'!$AJ$25:$BC$747,,MATCH(BE$8,'Калькуляция (МИ корр)'!$AJ$8:$BC$8,0)),'Калькуляция (МИ корр)'!$F$25:$F$747,$F239,'Калькуляция (МИ корр)'!$G$25:$G$747,$G239),IF(method_reg="Метод экономически обоснованных расходов",_xlfn.SUMIFS('Калькуляция (МЭОР)'!$AJ$25:$AJ$452,'Калькуляция (МЭОР)'!$F$25:$F$452,$F239,'Калькуляция (МЭОР)'!$G$25:$G$452,$G239),IF(method_reg="Метод сравнения аналогов",_xlfn.SUMIFS('Калькуляция (МСА)'!$AE$25:$AE$122,'Калькуляция (МСА)'!$F$25:$F$122,$F239,'Калькуляция (МСА)'!$G$25:$G$122,$G239),_xlfn.SUMIFS(INDEX('Калькуляция (МИ)'!$AJ$25:$BC$747,,MATCH(BE$8,'Калькуляция (МИ)'!$AJ$8:$BC$8,0)),'Калькуляция (МИ)'!$F$25:$F$747,$F239,'Калькуляция (МИ)'!$G$25:$G$747,$G239))))</f>
        <v>0</v>
      </c>
      <c r="BF239" s="5247">
        <f>IF(AND(method_reg="Метод индексации",god&lt;&gt;first_year),_xlfn.SUMIFS(INDEX('Калькуляция (МИ корр)'!$AJ$25:$BC$747,,MATCH(BF$8,'Калькуляция (МИ корр)'!$AJ$8:$BC$8,0)),'Калькуляция (МИ корр)'!$F$25:$F$747,$F239,'Калькуляция (МИ корр)'!$G$25:$G$747,$G239),IF(method_reg="Метод экономически обоснованных расходов",_xlfn.SUMIFS('Калькуляция (МЭОР)'!$AK$25:$AK$452,'Калькуляция (МЭОР)'!$F$25:$F$452,$F239,'Калькуляция (МЭОР)'!$G$25:$G$452,$G239),IF(method_reg="Метод сравнения аналогов",_xlfn.SUMIFS('Калькуляция (МСА)'!$AF$25:$AF$122,'Калькуляция (МСА)'!$F$25:$F$122,$F239,'Калькуляция (МСА)'!$G$25:$G$122,$G239),_xlfn.SUMIFS(INDEX('Калькуляция (МИ)'!$AJ$25:$BC$747,,MATCH(BF$8,'Калькуляция (МИ)'!$AJ$8:$BC$8,0)),'Калькуляция (МИ)'!$F$25:$F$747,$F239,'Калькуляция (МИ)'!$G$25:$G$747,$G239))))</f>
        <v>0</v>
      </c>
      <c r="BG239" s="1095">
        <f>IF(BE239=0,0,(BF239-BE239)/BE239*100)</f>
        <v>0</v>
      </c>
      <c r="BH239" s="5247"/>
      <c r="BI239" s="5247"/>
      <c r="BJ239" s="1095">
        <f>IF(BH239=0,0,(BI239-BH239)/BH239*100)</f>
        <v>0</v>
      </c>
      <c r="BK239" s="5247"/>
      <c r="BL239" s="5247"/>
      <c r="BM239" s="1095">
        <f>IF(BK239=0,0,(BL239-BK239)/BK239*100)</f>
        <v>0</v>
      </c>
      <c r="BN239" s="5247"/>
      <c r="BO239" s="5247"/>
      <c r="BP239" s="1095">
        <f>IF(BN239=0,0,(BO239-BN239)/BN239*100)</f>
        <v>0</v>
      </c>
      <c r="BQ239" s="5247"/>
      <c r="BR239" s="5247"/>
      <c r="BS239" s="1095">
        <f>IF(BQ239=0,0,(BR239-BQ239)/BQ239*100)</f>
        <v>0</v>
      </c>
      <c r="BT239" s="5247"/>
      <c r="BU239" s="5247"/>
      <c r="BV239" s="1095">
        <f>IF(BT239=0,0,(BU239-BT239)/BT239*100)</f>
        <v>0</v>
      </c>
      <c r="BW239" s="5247"/>
      <c r="BX239" s="5247"/>
      <c r="BY239" s="1095">
        <f>IF(BW239=0,0,(BX239-BW239)/BW239*100)</f>
        <v>0</v>
      </c>
      <c r="BZ239" s="5247"/>
      <c r="CA239" s="5247"/>
      <c r="CB239" s="1095">
        <f>IF(BZ239=0,0,(CA239-BZ239)/BZ239*100)</f>
        <v>0</v>
      </c>
      <c r="CC239" s="5247"/>
      <c r="CD239" s="5247"/>
      <c r="CE239" s="1095">
        <f>IF(CC239=0,0,(CD239-CC239)/CC239*100)</f>
        <v>0</v>
      </c>
      <c r="CF239" s="5247"/>
      <c r="CG239" s="5247"/>
      <c r="CH239" s="1095">
        <f>IF(CF239=0,0,(CG239-CF239)/CF239*100)</f>
        <v>0</v>
      </c>
      <c r="CI239" s="5247"/>
      <c r="CJ239" s="5247"/>
      <c r="CK239" s="1095">
        <f>IF(CI239=0,0,(CJ239-CI239)/CI239*100)</f>
        <v>0</v>
      </c>
      <c r="CL239" s="5247"/>
      <c r="CM239" s="5247"/>
      <c r="CN239" s="1095">
        <f>IF(CL239=0,0,(CM239-CL239)/CL239*100)</f>
        <v>0</v>
      </c>
      <c r="CO239" s="5247"/>
      <c r="CP239" s="5247"/>
      <c r="CQ239" s="1095">
        <f>IF(CO239=0,0,(CP239-CO239)/CO239*100)</f>
        <v>0</v>
      </c>
      <c r="CR239" s="5247"/>
      <c r="CS239" s="5247"/>
      <c r="CT239" s="1095">
        <f>IF(CR239=0,0,(CS239-CR239)/CR239*100)</f>
        <v>0</v>
      </c>
      <c r="CU239" s="5247"/>
      <c r="CV239" s="5247"/>
      <c r="CW239" s="1095">
        <f>IF(CU239=0,0,(CV239-CU239)/CU239*100)</f>
        <v>0</v>
      </c>
      <c r="CX239" s="5247"/>
      <c r="CY239" s="5247"/>
      <c r="CZ239" s="1095">
        <f>IF(CX239=0,0,(CY239-CX239)/CX239*100)</f>
        <v>0</v>
      </c>
      <c r="DA239" s="5247"/>
      <c r="DB239" s="5247"/>
      <c r="DC239" s="1095">
        <f>IF(DA239=0,0,(DB239-DA239)/DA239*100)</f>
        <v>0</v>
      </c>
      <c r="DD239" s="5247"/>
      <c r="DE239" s="5247"/>
      <c r="DF239" s="1095">
        <f>IF(DD239=0,0,(DE239-DD239)/DD239*100)</f>
        <v>0</v>
      </c>
      <c r="DG239" s="5247"/>
      <c r="DH239" s="5247"/>
      <c r="DI239" s="1095">
        <f>IF(DG239=0,0,(DH239-DG239)/DG239*100)</f>
        <v>0</v>
      </c>
      <c r="DJ239" s="5247"/>
      <c r="DK239" s="5247"/>
      <c r="DL239" s="1095">
        <f>IF(DJ239=0,0,(DK239-DJ239)/DJ239*100)</f>
        <v>0</v>
      </c>
      <c r="DM239" s="5247"/>
      <c r="DN239" s="5247"/>
      <c r="DO239" s="1095">
        <f>IF(DM239=0,0,(DN239-DM239)/DM239*100)</f>
        <v>0</v>
      </c>
      <c r="DP239" s="5247"/>
      <c r="DQ239" s="5247"/>
      <c r="DR239" s="1095">
        <f>IF(DP239=0,0,(DQ239-DP239)/DP239*100)</f>
        <v>0</v>
      </c>
      <c r="DS239" s="5247"/>
      <c r="DT239" s="5247"/>
      <c r="DU239" s="1095">
        <f>IF(DS239=0,0,(DT239-DS239)/DS239*100)</f>
        <v>0</v>
      </c>
      <c r="DV239" s="5247"/>
      <c r="DW239" s="5247"/>
      <c r="DX239" s="1095">
        <f>IF(DV239=0,0,(DW239-DV239)/DV239*100)</f>
        <v>0</v>
      </c>
      <c r="DY239" s="5247"/>
      <c r="DZ239" s="5247"/>
      <c r="EA239" s="1095">
        <f>IF(DY239=0,0,(DZ239-DY239)/DY239*100)</f>
        <v>0</v>
      </c>
      <c r="EB239" s="5247"/>
      <c r="EC239" s="5247"/>
      <c r="ED239" s="1095">
        <f>IF(EB239=0,0,(EC239-EB239)/EB239*100)</f>
        <v>0</v>
      </c>
      <c r="EE239" s="5247"/>
      <c r="EF239" s="5247"/>
      <c r="EG239" s="1095">
        <f>IF(EE239=0,0,(EF239-EE239)/EE239*100)</f>
        <v>0</v>
      </c>
      <c r="EH239" s="5247"/>
      <c r="EI239" s="5247"/>
      <c r="EJ239" s="1095">
        <f>IF(EH239=0,0,(EI239-EH239)/EH239*100)</f>
        <v>0</v>
      </c>
      <c r="EK239" s="5247"/>
      <c r="EL239" s="5247"/>
      <c r="EM239" s="1095">
        <f>IF(EK239=0,0,(EL239-EK239)/EK239*100)</f>
        <v>0</v>
      </c>
      <c r="EN239" s="5247"/>
      <c r="EO239" s="5247"/>
      <c r="EP239" s="1095">
        <f>IF(EN239=0,0,(EO239-EN239)/EN239*100)</f>
        <v>0</v>
      </c>
      <c r="EQ239" s="5247"/>
      <c r="ER239" s="5247"/>
      <c r="ES239" s="1095">
        <f>IF(EQ239=0,0,(ER239-EQ239)/EQ239*100)</f>
        <v>0</v>
      </c>
      <c r="ET239" s="5247"/>
      <c r="EU239" s="5247"/>
      <c r="EV239" s="1095">
        <f>IF(ET239=0,0,(EU239-ET239)/ET239*100)</f>
        <v>0</v>
      </c>
      <c r="EW239" s="5247"/>
      <c r="EX239" s="5247"/>
      <c r="EY239" s="1095">
        <f>IF(EW239=0,0,(EX239-EW239)/EW239*100)</f>
        <v>0</v>
      </c>
      <c r="EZ239" s="5247"/>
      <c r="FA239" s="5247"/>
      <c r="FB239" s="1095">
        <f>IF(EZ239=0,0,(FA239-EZ239)/EZ239*100)</f>
        <v>0</v>
      </c>
      <c r="FC239" s="5247"/>
      <c r="FD239" s="5247"/>
      <c r="FE239" s="1095">
        <f>IF(FC239=0,0,(FD239-FC239)/FC239*100)</f>
        <v>0</v>
      </c>
      <c r="FF239" s="5247"/>
      <c r="FG239" s="5247"/>
      <c r="FH239" s="1095">
        <f>IF(FF239=0,0,(FG239-FF239)/FF239*100)</f>
        <v>0</v>
      </c>
      <c r="FI239" s="5247"/>
      <c r="FJ239" s="5247"/>
      <c r="FK239" s="1095">
        <f>IF(FI239=0,0,(FJ239-FI239)/FI239*100)</f>
        <v>0</v>
      </c>
      <c r="FL239" s="5247"/>
      <c r="FM239" s="5247"/>
      <c r="FN239" s="1095">
        <f>IF(FL239=0,0,(FM239-FL239)/FL239*100)</f>
        <v>0</v>
      </c>
      <c r="FO239" s="5247"/>
      <c r="FP239" s="5247"/>
      <c r="FQ239" s="1095">
        <f>IF(FO239=0,0,(FP239-FO239)/FO239*100)</f>
        <v>0</v>
      </c>
      <c r="FR239" s="5247"/>
      <c r="FS239" s="5247"/>
      <c r="FT239" s="1095">
        <f>IF(FR239=0,0,(FS239-FR239)/FR239*100)</f>
        <v>0</v>
      </c>
      <c r="FU239" s="5247"/>
      <c r="FV239" s="5247"/>
      <c r="FW239" s="1095">
        <f>IF(FU239=0,0,(FV239-FU239)/FU239*100)</f>
        <v>0</v>
      </c>
      <c r="FX239" s="1304"/>
      <c r="FY239" s="1304"/>
      <c r="FZ239" s="1055" t="s">
        <v>2375</v>
      </c>
      <c r="GA239" s="1306"/>
      <c r="GB239" s="1306"/>
      <c r="GC239" s="1305"/>
      <c r="GD239" s="1305"/>
    </row>
    <row s="1834" customFormat="1" customHeight="1" ht="24" hidden="1">
      <c r="A240" s="493"/>
      <c r="B240" s="925" cm="1" t="str">
        <f t="array" ref="B240:B240">B239</f>
        <v>false</v>
      </c>
      <c r="C240" s="493"/>
      <c r="D240" s="493"/>
      <c r="E240" s="840">
        <v>24.75</v>
      </c>
      <c r="F240" s="50" cm="1" t="str">
        <f t="array" ref="F240:F240">OFFSET(E240,-1,1)</f>
        <v>3</v>
      </c>
      <c r="G240" s="493"/>
      <c r="H240" s="493" t="s">
        <v>2376</v>
      </c>
      <c r="I240" s="493" t="s">
        <v>2335</v>
      </c>
      <c r="J240" s="493"/>
      <c r="K240" s="493"/>
      <c r="L240" s="493"/>
      <c r="M240" s="493"/>
      <c r="N240" s="493"/>
      <c r="O240" s="493"/>
      <c r="P240" s="493"/>
      <c r="Q240" s="493"/>
      <c r="R240" s="493"/>
      <c r="S240" s="493"/>
      <c r="T240" s="465" cm="1" t="str">
        <f t="array" ref="T240:T240">T239</f>
        <v>true</v>
      </c>
      <c r="U240" s="493"/>
      <c r="V240" s="493"/>
      <c r="W240" s="493"/>
      <c r="X240" s="1596"/>
      <c r="Y240" s="493"/>
      <c r="Z240" s="1545"/>
      <c r="AA240" s="493"/>
      <c r="AB240" s="904" t="str">
        <f>"ставка платы за содержание системы "&amp;IF(Q218="Водоснабжение","холодного водоснабжения","водоотведения")</f>
        <v>ставка платы за содержание системы водоотведения</v>
      </c>
      <c r="AC240" s="864" t="s">
        <v>2377</v>
      </c>
      <c r="AD240" s="2846"/>
      <c r="AE240" s="2846"/>
      <c r="AF240" s="1093">
        <f>IF(AD240=0,0,(AE240-AD240)/AD240*100)</f>
        <v>0</v>
      </c>
      <c r="AG240" s="2846"/>
      <c r="AH240" s="2846"/>
      <c r="AI240" s="1093">
        <f>IF(AG240=0,0,(AH240-AG240)/AG240*100)</f>
        <v>0</v>
      </c>
      <c r="AJ240" s="2846"/>
      <c r="AK240" s="2846"/>
      <c r="AL240" s="1093">
        <f>IF(AJ240=0,0,(AK240-AJ240)/AJ240*100)</f>
        <v>0</v>
      </c>
      <c r="AM240" s="2846"/>
      <c r="AN240" s="2846"/>
      <c r="AO240" s="1093">
        <f>IF(AM240=0,0,(AN240-AM240)/AM240*100)</f>
        <v>0</v>
      </c>
      <c r="AP240" s="2846"/>
      <c r="AQ240" s="2846"/>
      <c r="AR240" s="1093">
        <f>IF(AP240=0,0,(AQ240-AP240)/AP240*100)</f>
        <v>0</v>
      </c>
      <c r="AS240" s="2846"/>
      <c r="AT240" s="2846"/>
      <c r="AU240" s="1093">
        <f>IF(AS240=0,0,(AT240-AS240)/AS240*100)</f>
        <v>0</v>
      </c>
      <c r="AV240" s="2846"/>
      <c r="AW240" s="2846"/>
      <c r="AX240" s="1093">
        <f>IF(AV240=0,0,(AW240-AV240)/AV240*100)</f>
        <v>0</v>
      </c>
      <c r="AY240" s="2846"/>
      <c r="AZ240" s="2846"/>
      <c r="BA240" s="1093">
        <f>IF(AY240=0,0,(AZ240-AY240)/AY240*100)</f>
        <v>0</v>
      </c>
      <c r="BB240" s="2846"/>
      <c r="BC240" s="2846"/>
      <c r="BD240" s="1093">
        <f>IF(BB240=0,0,(BC240-BB240)/BB240*100)</f>
        <v>0</v>
      </c>
      <c r="BE240" s="2846"/>
      <c r="BF240" s="2846"/>
      <c r="BG240" s="1093">
        <f>IF(BE240=0,0,(BF240-BE240)/BE240*100)</f>
        <v>0</v>
      </c>
      <c r="BH240" s="2846"/>
      <c r="BI240" s="2846"/>
      <c r="BJ240" s="1093">
        <f>IF(BH240=0,0,(BI240-BH240)/BH240*100)</f>
        <v>0</v>
      </c>
      <c r="BK240" s="2846"/>
      <c r="BL240" s="2846"/>
      <c r="BM240" s="1093">
        <f>IF(BK240=0,0,(BL240-BK240)/BK240*100)</f>
        <v>0</v>
      </c>
      <c r="BN240" s="2846"/>
      <c r="BO240" s="2846"/>
      <c r="BP240" s="1093">
        <f>IF(BN240=0,0,(BO240-BN240)/BN240*100)</f>
        <v>0</v>
      </c>
      <c r="BQ240" s="2846"/>
      <c r="BR240" s="2846"/>
      <c r="BS240" s="1093">
        <f>IF(BQ240=0,0,(BR240-BQ240)/BQ240*100)</f>
        <v>0</v>
      </c>
      <c r="BT240" s="2846"/>
      <c r="BU240" s="2846"/>
      <c r="BV240" s="1093">
        <f>IF(BT240=0,0,(BU240-BT240)/BT240*100)</f>
        <v>0</v>
      </c>
      <c r="BW240" s="2846"/>
      <c r="BX240" s="2846"/>
      <c r="BY240" s="1093">
        <f>IF(BW240=0,0,(BX240-BW240)/BW240*100)</f>
        <v>0</v>
      </c>
      <c r="BZ240" s="2846"/>
      <c r="CA240" s="2846"/>
      <c r="CB240" s="1093">
        <f>IF(BZ240=0,0,(CA240-BZ240)/BZ240*100)</f>
        <v>0</v>
      </c>
      <c r="CC240" s="2846"/>
      <c r="CD240" s="2846"/>
      <c r="CE240" s="1093">
        <f>IF(CC240=0,0,(CD240-CC240)/CC240*100)</f>
        <v>0</v>
      </c>
      <c r="CF240" s="2846"/>
      <c r="CG240" s="2846"/>
      <c r="CH240" s="1093">
        <f>IF(CF240=0,0,(CG240-CF240)/CF240*100)</f>
        <v>0</v>
      </c>
      <c r="CI240" s="2846"/>
      <c r="CJ240" s="2846"/>
      <c r="CK240" s="1093">
        <f>IF(CI240=0,0,(CJ240-CI240)/CI240*100)</f>
        <v>0</v>
      </c>
      <c r="CL240" s="2846"/>
      <c r="CM240" s="2846"/>
      <c r="CN240" s="1093">
        <f>IF(CL240=0,0,(CM240-CL240)/CL240*100)</f>
        <v>0</v>
      </c>
      <c r="CO240" s="2846"/>
      <c r="CP240" s="2846"/>
      <c r="CQ240" s="1093">
        <f>IF(CO240=0,0,(CP240-CO240)/CO240*100)</f>
        <v>0</v>
      </c>
      <c r="CR240" s="2846"/>
      <c r="CS240" s="2846"/>
      <c r="CT240" s="1093">
        <f>IF(CR240=0,0,(CS240-CR240)/CR240*100)</f>
        <v>0</v>
      </c>
      <c r="CU240" s="2846"/>
      <c r="CV240" s="2846"/>
      <c r="CW240" s="1093">
        <f>IF(CU240=0,0,(CV240-CU240)/CU240*100)</f>
        <v>0</v>
      </c>
      <c r="CX240" s="2846"/>
      <c r="CY240" s="2846"/>
      <c r="CZ240" s="1093">
        <f>IF(CX240=0,0,(CY240-CX240)/CX240*100)</f>
        <v>0</v>
      </c>
      <c r="DA240" s="2846"/>
      <c r="DB240" s="2846"/>
      <c r="DC240" s="1093">
        <f>IF(DA240=0,0,(DB240-DA240)/DA240*100)</f>
        <v>0</v>
      </c>
      <c r="DD240" s="2846"/>
      <c r="DE240" s="2846"/>
      <c r="DF240" s="1093">
        <f>IF(DD240=0,0,(DE240-DD240)/DD240*100)</f>
        <v>0</v>
      </c>
      <c r="DG240" s="2846"/>
      <c r="DH240" s="2846"/>
      <c r="DI240" s="1093">
        <f>IF(DG240=0,0,(DH240-DG240)/DG240*100)</f>
        <v>0</v>
      </c>
      <c r="DJ240" s="2846"/>
      <c r="DK240" s="2846"/>
      <c r="DL240" s="1093">
        <f>IF(DJ240=0,0,(DK240-DJ240)/DJ240*100)</f>
        <v>0</v>
      </c>
      <c r="DM240" s="2846"/>
      <c r="DN240" s="2846"/>
      <c r="DO240" s="1093">
        <f>IF(DM240=0,0,(DN240-DM240)/DM240*100)</f>
        <v>0</v>
      </c>
      <c r="DP240" s="2846"/>
      <c r="DQ240" s="2846"/>
      <c r="DR240" s="1093">
        <f>IF(DP240=0,0,(DQ240-DP240)/DP240*100)</f>
        <v>0</v>
      </c>
      <c r="DS240" s="2846"/>
      <c r="DT240" s="2846"/>
      <c r="DU240" s="1093">
        <f>IF(DS240=0,0,(DT240-DS240)/DS240*100)</f>
        <v>0</v>
      </c>
      <c r="DV240" s="2846"/>
      <c r="DW240" s="2846"/>
      <c r="DX240" s="1093">
        <f>IF(DV240=0,0,(DW240-DV240)/DV240*100)</f>
        <v>0</v>
      </c>
      <c r="DY240" s="2846"/>
      <c r="DZ240" s="2846"/>
      <c r="EA240" s="1093">
        <f>IF(DY240=0,0,(DZ240-DY240)/DY240*100)</f>
        <v>0</v>
      </c>
      <c r="EB240" s="2846"/>
      <c r="EC240" s="2846"/>
      <c r="ED240" s="1093">
        <f>IF(EB240=0,0,(EC240-EB240)/EB240*100)</f>
        <v>0</v>
      </c>
      <c r="EE240" s="2846"/>
      <c r="EF240" s="2846"/>
      <c r="EG240" s="1093">
        <f>IF(EE240=0,0,(EF240-EE240)/EE240*100)</f>
        <v>0</v>
      </c>
      <c r="EH240" s="2846"/>
      <c r="EI240" s="2846"/>
      <c r="EJ240" s="1093">
        <f>IF(EH240=0,0,(EI240-EH240)/EH240*100)</f>
        <v>0</v>
      </c>
      <c r="EK240" s="2846"/>
      <c r="EL240" s="2846"/>
      <c r="EM240" s="1093">
        <f>IF(EK240=0,0,(EL240-EK240)/EK240*100)</f>
        <v>0</v>
      </c>
      <c r="EN240" s="2846"/>
      <c r="EO240" s="2846"/>
      <c r="EP240" s="1093">
        <f>IF(EN240=0,0,(EO240-EN240)/EN240*100)</f>
        <v>0</v>
      </c>
      <c r="EQ240" s="2846"/>
      <c r="ER240" s="2846"/>
      <c r="ES240" s="1093">
        <f>IF(EQ240=0,0,(ER240-EQ240)/EQ240*100)</f>
        <v>0</v>
      </c>
      <c r="ET240" s="2846"/>
      <c r="EU240" s="2846"/>
      <c r="EV240" s="1093">
        <f>IF(ET240=0,0,(EU240-ET240)/ET240*100)</f>
        <v>0</v>
      </c>
      <c r="EW240" s="2846"/>
      <c r="EX240" s="2846"/>
      <c r="EY240" s="1093">
        <f>IF(EW240=0,0,(EX240-EW240)/EW240*100)</f>
        <v>0</v>
      </c>
      <c r="EZ240" s="2846"/>
      <c r="FA240" s="2846"/>
      <c r="FB240" s="1093">
        <f>IF(EZ240=0,0,(FA240-EZ240)/EZ240*100)</f>
        <v>0</v>
      </c>
      <c r="FC240" s="2846"/>
      <c r="FD240" s="2846"/>
      <c r="FE240" s="1093">
        <f>IF(FC240=0,0,(FD240-FC240)/FC240*100)</f>
        <v>0</v>
      </c>
      <c r="FF240" s="2846"/>
      <c r="FG240" s="2846"/>
      <c r="FH240" s="1093">
        <f>IF(FF240=0,0,(FG240-FF240)/FF240*100)</f>
        <v>0</v>
      </c>
      <c r="FI240" s="2846"/>
      <c r="FJ240" s="2846"/>
      <c r="FK240" s="1093">
        <f>IF(FI240=0,0,(FJ240-FI240)/FI240*100)</f>
        <v>0</v>
      </c>
      <c r="FL240" s="2846"/>
      <c r="FM240" s="2846"/>
      <c r="FN240" s="1093">
        <f>IF(FL240=0,0,(FM240-FL240)/FL240*100)</f>
        <v>0</v>
      </c>
      <c r="FO240" s="2846"/>
      <c r="FP240" s="2846"/>
      <c r="FQ240" s="1093">
        <f>IF(FO240=0,0,(FP240-FO240)/FO240*100)</f>
        <v>0</v>
      </c>
      <c r="FR240" s="2846"/>
      <c r="FS240" s="2846"/>
      <c r="FT240" s="1093">
        <f>IF(FR240=0,0,(FS240-FR240)/FR240*100)</f>
        <v>0</v>
      </c>
      <c r="FU240" s="2846"/>
      <c r="FV240" s="2846"/>
      <c r="FW240" s="1093">
        <f>IF(FU240=0,0,(FV240-FU240)/FU240*100)</f>
        <v>0</v>
      </c>
      <c r="FX240" s="1304"/>
      <c r="FY240" s="1304"/>
      <c r="FZ240" s="1055" t="s">
        <v>2378</v>
      </c>
      <c r="GA240" s="1306"/>
      <c r="GB240" s="1306"/>
      <c r="GC240" s="1305"/>
      <c r="GD240" s="1305"/>
    </row>
    <row s="1834" customFormat="1" customHeight="1" ht="14.25" hidden="1">
      <c r="A241" s="493"/>
      <c r="B241" s="925" cm="1" t="str">
        <f t="array" ref="B241:B241">B240</f>
        <v>false</v>
      </c>
      <c r="C241" s="493"/>
      <c r="D241" s="493"/>
      <c r="E241" s="840">
        <v>15</v>
      </c>
      <c r="F241" s="50" cm="1" t="str">
        <f t="array" ref="F241:F241">OFFSET(E241,-1,1)</f>
        <v>3</v>
      </c>
      <c r="G241" s="493"/>
      <c r="H241" s="493" t="s">
        <v>2379</v>
      </c>
      <c r="I241" s="493" t="s">
        <v>2335</v>
      </c>
      <c r="J241" s="493"/>
      <c r="K241" s="493"/>
      <c r="L241" s="493"/>
      <c r="M241" s="493"/>
      <c r="N241" s="493"/>
      <c r="O241" s="493"/>
      <c r="P241" s="493"/>
      <c r="Q241" s="493"/>
      <c r="R241" s="493"/>
      <c r="S241" s="493"/>
      <c r="T241" s="465" cm="1" t="str">
        <f t="array" ref="T241:T241">T240</f>
        <v>true</v>
      </c>
      <c r="U241" s="493"/>
      <c r="V241" s="493"/>
      <c r="W241" s="493"/>
      <c r="X241" s="1596"/>
      <c r="Y241" s="493"/>
      <c r="Z241" s="1545"/>
      <c r="AA241" s="493"/>
      <c r="AB241" s="904" t="s">
        <v>2380</v>
      </c>
      <c r="AC241" s="864" t="s">
        <v>2381</v>
      </c>
      <c r="AD241" s="2846"/>
      <c r="AE241" s="2846"/>
      <c r="AF241" s="1093">
        <f>IF(AD241=0,0,(AE241-AD241)/AD241*100)</f>
        <v>0</v>
      </c>
      <c r="AG241" s="2846"/>
      <c r="AH241" s="2846"/>
      <c r="AI241" s="1093">
        <f>IF(AG241=0,0,(AH241-AG241)/AG241*100)</f>
        <v>0</v>
      </c>
      <c r="AJ241" s="2846"/>
      <c r="AK241" s="2846"/>
      <c r="AL241" s="1093">
        <f>IF(AJ241=0,0,(AK241-AJ241)/AJ241*100)</f>
        <v>0</v>
      </c>
      <c r="AM241" s="2846"/>
      <c r="AN241" s="2846"/>
      <c r="AO241" s="1093">
        <f>IF(AM241=0,0,(AN241-AM241)/AM241*100)</f>
        <v>0</v>
      </c>
      <c r="AP241" s="2846"/>
      <c r="AQ241" s="2846"/>
      <c r="AR241" s="1093">
        <f>IF(AP241=0,0,(AQ241-AP241)/AP241*100)</f>
        <v>0</v>
      </c>
      <c r="AS241" s="2846"/>
      <c r="AT241" s="2846"/>
      <c r="AU241" s="1093">
        <f>IF(AS241=0,0,(AT241-AS241)/AS241*100)</f>
        <v>0</v>
      </c>
      <c r="AV241" s="2846"/>
      <c r="AW241" s="2846"/>
      <c r="AX241" s="1093">
        <f>IF(AV241=0,0,(AW241-AV241)/AV241*100)</f>
        <v>0</v>
      </c>
      <c r="AY241" s="2846"/>
      <c r="AZ241" s="2846"/>
      <c r="BA241" s="1093">
        <f>IF(AY241=0,0,(AZ241-AY241)/AY241*100)</f>
        <v>0</v>
      </c>
      <c r="BB241" s="2846"/>
      <c r="BC241" s="2846"/>
      <c r="BD241" s="1093">
        <f>IF(BB241=0,0,(BC241-BB241)/BB241*100)</f>
        <v>0</v>
      </c>
      <c r="BE241" s="2846"/>
      <c r="BF241" s="2846"/>
      <c r="BG241" s="1093">
        <f>IF(BE241=0,0,(BF241-BE241)/BE241*100)</f>
        <v>0</v>
      </c>
      <c r="BH241" s="2846"/>
      <c r="BI241" s="2846"/>
      <c r="BJ241" s="1093">
        <f>IF(BH241=0,0,(BI241-BH241)/BH241*100)</f>
        <v>0</v>
      </c>
      <c r="BK241" s="2846"/>
      <c r="BL241" s="2846"/>
      <c r="BM241" s="1093">
        <f>IF(BK241=0,0,(BL241-BK241)/BK241*100)</f>
        <v>0</v>
      </c>
      <c r="BN241" s="2846"/>
      <c r="BO241" s="2846"/>
      <c r="BP241" s="1093">
        <f>IF(BN241=0,0,(BO241-BN241)/BN241*100)</f>
        <v>0</v>
      </c>
      <c r="BQ241" s="2846"/>
      <c r="BR241" s="2846"/>
      <c r="BS241" s="1093">
        <f>IF(BQ241=0,0,(BR241-BQ241)/BQ241*100)</f>
        <v>0</v>
      </c>
      <c r="BT241" s="2846"/>
      <c r="BU241" s="2846"/>
      <c r="BV241" s="1093">
        <f>IF(BT241=0,0,(BU241-BT241)/BT241*100)</f>
        <v>0</v>
      </c>
      <c r="BW241" s="2846"/>
      <c r="BX241" s="2846"/>
      <c r="BY241" s="1093">
        <f>IF(BW241=0,0,(BX241-BW241)/BW241*100)</f>
        <v>0</v>
      </c>
      <c r="BZ241" s="2846"/>
      <c r="CA241" s="2846"/>
      <c r="CB241" s="1093">
        <f>IF(BZ241=0,0,(CA241-BZ241)/BZ241*100)</f>
        <v>0</v>
      </c>
      <c r="CC241" s="2846"/>
      <c r="CD241" s="2846"/>
      <c r="CE241" s="1093">
        <f>IF(CC241=0,0,(CD241-CC241)/CC241*100)</f>
        <v>0</v>
      </c>
      <c r="CF241" s="2846"/>
      <c r="CG241" s="2846"/>
      <c r="CH241" s="1093">
        <f>IF(CF241=0,0,(CG241-CF241)/CF241*100)</f>
        <v>0</v>
      </c>
      <c r="CI241" s="2846"/>
      <c r="CJ241" s="2846"/>
      <c r="CK241" s="1093">
        <f>IF(CI241=0,0,(CJ241-CI241)/CI241*100)</f>
        <v>0</v>
      </c>
      <c r="CL241" s="2846"/>
      <c r="CM241" s="2846"/>
      <c r="CN241" s="1093">
        <f>IF(CL241=0,0,(CM241-CL241)/CL241*100)</f>
        <v>0</v>
      </c>
      <c r="CO241" s="2846"/>
      <c r="CP241" s="2846"/>
      <c r="CQ241" s="1093">
        <f>IF(CO241=0,0,(CP241-CO241)/CO241*100)</f>
        <v>0</v>
      </c>
      <c r="CR241" s="2846"/>
      <c r="CS241" s="2846"/>
      <c r="CT241" s="1093">
        <f>IF(CR241=0,0,(CS241-CR241)/CR241*100)</f>
        <v>0</v>
      </c>
      <c r="CU241" s="2846"/>
      <c r="CV241" s="2846"/>
      <c r="CW241" s="1093">
        <f>IF(CU241=0,0,(CV241-CU241)/CU241*100)</f>
        <v>0</v>
      </c>
      <c r="CX241" s="2846"/>
      <c r="CY241" s="2846"/>
      <c r="CZ241" s="1093">
        <f>IF(CX241=0,0,(CY241-CX241)/CX241*100)</f>
        <v>0</v>
      </c>
      <c r="DA241" s="2846"/>
      <c r="DB241" s="2846"/>
      <c r="DC241" s="1093">
        <f>IF(DA241=0,0,(DB241-DA241)/DA241*100)</f>
        <v>0</v>
      </c>
      <c r="DD241" s="2846"/>
      <c r="DE241" s="2846"/>
      <c r="DF241" s="1093">
        <f>IF(DD241=0,0,(DE241-DD241)/DD241*100)</f>
        <v>0</v>
      </c>
      <c r="DG241" s="2846"/>
      <c r="DH241" s="2846"/>
      <c r="DI241" s="1093">
        <f>IF(DG241=0,0,(DH241-DG241)/DG241*100)</f>
        <v>0</v>
      </c>
      <c r="DJ241" s="2846"/>
      <c r="DK241" s="2846"/>
      <c r="DL241" s="1093">
        <f>IF(DJ241=0,0,(DK241-DJ241)/DJ241*100)</f>
        <v>0</v>
      </c>
      <c r="DM241" s="2846"/>
      <c r="DN241" s="2846"/>
      <c r="DO241" s="1093">
        <f>IF(DM241=0,0,(DN241-DM241)/DM241*100)</f>
        <v>0</v>
      </c>
      <c r="DP241" s="2846"/>
      <c r="DQ241" s="2846"/>
      <c r="DR241" s="1093">
        <f>IF(DP241=0,0,(DQ241-DP241)/DP241*100)</f>
        <v>0</v>
      </c>
      <c r="DS241" s="2846"/>
      <c r="DT241" s="2846"/>
      <c r="DU241" s="1093">
        <f>IF(DS241=0,0,(DT241-DS241)/DS241*100)</f>
        <v>0</v>
      </c>
      <c r="DV241" s="2846"/>
      <c r="DW241" s="2846"/>
      <c r="DX241" s="1093">
        <f>IF(DV241=0,0,(DW241-DV241)/DV241*100)</f>
        <v>0</v>
      </c>
      <c r="DY241" s="2846"/>
      <c r="DZ241" s="2846"/>
      <c r="EA241" s="1093">
        <f>IF(DY241=0,0,(DZ241-DY241)/DY241*100)</f>
        <v>0</v>
      </c>
      <c r="EB241" s="2846"/>
      <c r="EC241" s="2846"/>
      <c r="ED241" s="1093">
        <f>IF(EB241=0,0,(EC241-EB241)/EB241*100)</f>
        <v>0</v>
      </c>
      <c r="EE241" s="2846"/>
      <c r="EF241" s="2846"/>
      <c r="EG241" s="1093">
        <f>IF(EE241=0,0,(EF241-EE241)/EE241*100)</f>
        <v>0</v>
      </c>
      <c r="EH241" s="2846"/>
      <c r="EI241" s="2846"/>
      <c r="EJ241" s="1093">
        <f>IF(EH241=0,0,(EI241-EH241)/EH241*100)</f>
        <v>0</v>
      </c>
      <c r="EK241" s="2846"/>
      <c r="EL241" s="2846"/>
      <c r="EM241" s="1093">
        <f>IF(EK241=0,0,(EL241-EK241)/EK241*100)</f>
        <v>0</v>
      </c>
      <c r="EN241" s="2846"/>
      <c r="EO241" s="2846"/>
      <c r="EP241" s="1093">
        <f>IF(EN241=0,0,(EO241-EN241)/EN241*100)</f>
        <v>0</v>
      </c>
      <c r="EQ241" s="2846"/>
      <c r="ER241" s="2846"/>
      <c r="ES241" s="1093">
        <f>IF(EQ241=0,0,(ER241-EQ241)/EQ241*100)</f>
        <v>0</v>
      </c>
      <c r="ET241" s="2846"/>
      <c r="EU241" s="2846"/>
      <c r="EV241" s="1093">
        <f>IF(ET241=0,0,(EU241-ET241)/ET241*100)</f>
        <v>0</v>
      </c>
      <c r="EW241" s="2846"/>
      <c r="EX241" s="2846"/>
      <c r="EY241" s="1093">
        <f>IF(EW241=0,0,(EX241-EW241)/EW241*100)</f>
        <v>0</v>
      </c>
      <c r="EZ241" s="2846"/>
      <c r="FA241" s="2846"/>
      <c r="FB241" s="1093">
        <f>IF(EZ241=0,0,(FA241-EZ241)/EZ241*100)</f>
        <v>0</v>
      </c>
      <c r="FC241" s="2846"/>
      <c r="FD241" s="2846"/>
      <c r="FE241" s="1093">
        <f>IF(FC241=0,0,(FD241-FC241)/FC241*100)</f>
        <v>0</v>
      </c>
      <c r="FF241" s="2846"/>
      <c r="FG241" s="2846"/>
      <c r="FH241" s="1093">
        <f>IF(FF241=0,0,(FG241-FF241)/FF241*100)</f>
        <v>0</v>
      </c>
      <c r="FI241" s="2846"/>
      <c r="FJ241" s="2846"/>
      <c r="FK241" s="1093">
        <f>IF(FI241=0,0,(FJ241-FI241)/FI241*100)</f>
        <v>0</v>
      </c>
      <c r="FL241" s="2846"/>
      <c r="FM241" s="2846"/>
      <c r="FN241" s="1093">
        <f>IF(FL241=0,0,(FM241-FL241)/FL241*100)</f>
        <v>0</v>
      </c>
      <c r="FO241" s="2846"/>
      <c r="FP241" s="2846"/>
      <c r="FQ241" s="1093">
        <f>IF(FO241=0,0,(FP241-FO241)/FO241*100)</f>
        <v>0</v>
      </c>
      <c r="FR241" s="2846"/>
      <c r="FS241" s="2846"/>
      <c r="FT241" s="1093">
        <f>IF(FR241=0,0,(FS241-FR241)/FR241*100)</f>
        <v>0</v>
      </c>
      <c r="FU241" s="2846"/>
      <c r="FV241" s="2846"/>
      <c r="FW241" s="1093">
        <f>IF(FU241=0,0,(FV241-FU241)/FU241*100)</f>
        <v>0</v>
      </c>
      <c r="FX241" s="1304"/>
      <c r="FY241" s="1304"/>
      <c r="FZ241" s="1055" t="s">
        <v>2382</v>
      </c>
      <c r="GA241" s="1306"/>
      <c r="GB241" s="1306"/>
      <c r="GC241" s="1305"/>
      <c r="GD241" s="1305"/>
    </row>
    <row s="1834" customFormat="1" customHeight="1" ht="23.25" hidden="1">
      <c r="A242" s="493"/>
      <c r="B242" s="925" cm="1" t="str">
        <f t="array" ref="B242:B242">B241</f>
        <v>false</v>
      </c>
      <c r="C242" s="493"/>
      <c r="D242" s="493"/>
      <c r="E242" s="840">
        <v>24.5</v>
      </c>
      <c r="F242" s="50" cm="1" t="str">
        <f t="array" ref="F242:F242">OFFSET(E242,-1,1)</f>
        <v>3</v>
      </c>
      <c r="G242" s="493"/>
      <c r="H242" s="493"/>
      <c r="I242" s="493"/>
      <c r="J242" s="493"/>
      <c r="K242" s="493"/>
      <c r="L242" s="493"/>
      <c r="M242" s="493"/>
      <c r="N242" s="493"/>
      <c r="O242" s="493"/>
      <c r="P242" s="493"/>
      <c r="Q242" s="493"/>
      <c r="R242" s="493"/>
      <c r="S242" s="493"/>
      <c r="T242" s="465" cm="1" t="str">
        <f t="array" ref="T242:T242">T241</f>
        <v>true</v>
      </c>
      <c r="U242" s="493"/>
      <c r="V242" s="493"/>
      <c r="W242" s="493"/>
      <c r="X242" s="1596"/>
      <c r="Y242" s="493"/>
      <c r="Z242" s="1545"/>
      <c r="AA242" s="493"/>
      <c r="AB242" s="293" t="s">
        <v>2383</v>
      </c>
      <c r="AC242" s="903"/>
      <c r="AD242" s="1102"/>
      <c r="AE242" s="1102"/>
      <c r="AF242" s="1102"/>
      <c r="AG242" s="1102"/>
      <c r="AH242" s="1102"/>
      <c r="AI242" s="1102"/>
      <c r="AJ242" s="1102"/>
      <c r="AK242" s="1102"/>
      <c r="AL242" s="1102"/>
      <c r="AM242" s="1102"/>
      <c r="AN242" s="1102"/>
      <c r="AO242" s="1102"/>
      <c r="AP242" s="1102"/>
      <c r="AQ242" s="1102"/>
      <c r="AR242" s="1102"/>
      <c r="AS242" s="1102"/>
      <c r="AT242" s="1102"/>
      <c r="AU242" s="1102"/>
      <c r="AV242" s="1102"/>
      <c r="AW242" s="1102"/>
      <c r="AX242" s="1102"/>
      <c r="AY242" s="1102"/>
      <c r="AZ242" s="1102"/>
      <c r="BA242" s="1102"/>
      <c r="BB242" s="1102"/>
      <c r="BC242" s="1102"/>
      <c r="BD242" s="1102"/>
      <c r="BE242" s="1102"/>
      <c r="BF242" s="1102"/>
      <c r="BG242" s="1102"/>
      <c r="BH242" s="1102"/>
      <c r="BI242" s="1102"/>
      <c r="BJ242" s="1102"/>
      <c r="BK242" s="1102"/>
      <c r="BL242" s="1102"/>
      <c r="BM242" s="1102"/>
      <c r="BN242" s="1102"/>
      <c r="BO242" s="1102"/>
      <c r="BP242" s="1102"/>
      <c r="BQ242" s="1102"/>
      <c r="BR242" s="1102"/>
      <c r="BS242" s="1102"/>
      <c r="BT242" s="1102"/>
      <c r="BU242" s="1102"/>
      <c r="BV242" s="1102"/>
      <c r="BW242" s="1102"/>
      <c r="BX242" s="1102"/>
      <c r="BY242" s="1102"/>
      <c r="BZ242" s="1102"/>
      <c r="CA242" s="1102"/>
      <c r="CB242" s="1102"/>
      <c r="CC242" s="1102"/>
      <c r="CD242" s="1102"/>
      <c r="CE242" s="1102"/>
      <c r="CF242" s="1102"/>
      <c r="CG242" s="1102"/>
      <c r="CH242" s="1102"/>
      <c r="CI242" s="1102"/>
      <c r="CJ242" s="1102"/>
      <c r="CK242" s="1102"/>
      <c r="CL242" s="1102"/>
      <c r="CM242" s="1102"/>
      <c r="CN242" s="1102"/>
      <c r="CO242" s="1102"/>
      <c r="CP242" s="1102"/>
      <c r="CQ242" s="1102"/>
      <c r="CR242" s="1102"/>
      <c r="CS242" s="1102"/>
      <c r="CT242" s="1102"/>
      <c r="CU242" s="1102"/>
      <c r="CV242" s="1102"/>
      <c r="CW242" s="1102"/>
      <c r="CX242" s="1102"/>
      <c r="CY242" s="1102"/>
      <c r="CZ242" s="1102"/>
      <c r="DA242" s="1102"/>
      <c r="DB242" s="1102"/>
      <c r="DC242" s="1102"/>
      <c r="DD242" s="1102"/>
      <c r="DE242" s="1102"/>
      <c r="DF242" s="1102"/>
      <c r="DG242" s="1102"/>
      <c r="DH242" s="1102"/>
      <c r="DI242" s="1102"/>
      <c r="DJ242" s="1102"/>
      <c r="DK242" s="1102"/>
      <c r="DL242" s="1102"/>
      <c r="DM242" s="1102"/>
      <c r="DN242" s="1102"/>
      <c r="DO242" s="1102"/>
      <c r="DP242" s="1102"/>
      <c r="DQ242" s="1102"/>
      <c r="DR242" s="1102"/>
      <c r="DS242" s="1102"/>
      <c r="DT242" s="1102"/>
      <c r="DU242" s="1102"/>
      <c r="DV242" s="1102"/>
      <c r="DW242" s="1102"/>
      <c r="DX242" s="1102"/>
      <c r="DY242" s="1102"/>
      <c r="DZ242" s="1102"/>
      <c r="EA242" s="1102"/>
      <c r="EB242" s="1102"/>
      <c r="EC242" s="1102"/>
      <c r="ED242" s="1102"/>
      <c r="EE242" s="1102"/>
      <c r="EF242" s="1102"/>
      <c r="EG242" s="1102"/>
      <c r="EH242" s="1102"/>
      <c r="EI242" s="1102"/>
      <c r="EJ242" s="1102"/>
      <c r="EK242" s="1102"/>
      <c r="EL242" s="1102"/>
      <c r="EM242" s="1102"/>
      <c r="EN242" s="1102"/>
      <c r="EO242" s="1102"/>
      <c r="EP242" s="1102"/>
      <c r="EQ242" s="1102"/>
      <c r="ER242" s="1102"/>
      <c r="ES242" s="1102"/>
      <c r="ET242" s="1102"/>
      <c r="EU242" s="1102"/>
      <c r="EV242" s="1102"/>
      <c r="EW242" s="1102"/>
      <c r="EX242" s="1102"/>
      <c r="EY242" s="1102"/>
      <c r="EZ242" s="1102"/>
      <c r="FA242" s="1102"/>
      <c r="FB242" s="1102"/>
      <c r="FC242" s="1102"/>
      <c r="FD242" s="1102"/>
      <c r="FE242" s="1102"/>
      <c r="FF242" s="1102"/>
      <c r="FG242" s="1102"/>
      <c r="FH242" s="1102"/>
      <c r="FI242" s="1102"/>
      <c r="FJ242" s="1102"/>
      <c r="FK242" s="1102"/>
      <c r="FL242" s="1102"/>
      <c r="FM242" s="1102"/>
      <c r="FN242" s="1102"/>
      <c r="FO242" s="1102"/>
      <c r="FP242" s="1102"/>
      <c r="FQ242" s="1102"/>
      <c r="FR242" s="1102"/>
      <c r="FS242" s="1102"/>
      <c r="FT242" s="1102"/>
      <c r="FU242" s="1102"/>
      <c r="FV242" s="1102"/>
      <c r="FW242" s="1103"/>
      <c r="FX242" s="1304"/>
      <c r="FY242" s="1304"/>
      <c r="FZ242" s="1055"/>
      <c r="GA242" s="1306"/>
      <c r="GB242" s="1306"/>
      <c r="GC242" s="1305"/>
      <c r="GD242" s="1305"/>
    </row>
    <row s="1834" customFormat="1" customHeight="1" ht="14.25" hidden="1">
      <c r="A243" s="493"/>
      <c r="B243" s="925" cm="1" t="str">
        <f t="array" ref="B243:B243">B242</f>
        <v>false</v>
      </c>
      <c r="C243" s="493"/>
      <c r="D243" s="493"/>
      <c r="E243" s="840">
        <v>15</v>
      </c>
      <c r="F243" s="50" cm="1" t="str">
        <f t="array" ref="F243:F243">OFFSET(E243,-1,1)</f>
        <v>3</v>
      </c>
      <c r="G243" s="493"/>
      <c r="H243" s="493" t="s">
        <v>2295</v>
      </c>
      <c r="I243" s="493" t="s">
        <v>2340</v>
      </c>
      <c r="J243" s="493"/>
      <c r="K243" s="493"/>
      <c r="L243" s="493"/>
      <c r="M243" s="493"/>
      <c r="N243" s="493"/>
      <c r="O243" s="493"/>
      <c r="P243" s="493"/>
      <c r="Q243" s="493"/>
      <c r="R243" s="493"/>
      <c r="S243" s="493"/>
      <c r="T243" s="465" cm="1" t="str">
        <f t="array" ref="T243:T243">T242</f>
        <v>true</v>
      </c>
      <c r="U243" s="493"/>
      <c r="V243" s="493"/>
      <c r="W243" s="493"/>
      <c r="X243" s="1596"/>
      <c r="Y243" s="493"/>
      <c r="Z243" s="1545"/>
      <c r="AA243" s="493"/>
      <c r="AB243" s="1091" t="s">
        <v>2370</v>
      </c>
      <c r="AC243" s="864" t="s">
        <v>2337</v>
      </c>
      <c r="AD243" s="2846">
        <f>IF(AD245=0,0,(AD244*AD245+AD246*AD247*IF(god=2026,3,6))/AD245)</f>
        <v>0</v>
      </c>
      <c r="AE243" s="2846">
        <f>IF(AE245=0,0,(AE244*AE245+AE246*AE247*IF(god=2026,3,6))/AE245)</f>
        <v>0</v>
      </c>
      <c r="AF243" s="1093">
        <f>IF(AD243=0,0,(AE243-AD243)/AD243*100)</f>
        <v>0</v>
      </c>
      <c r="AG243" s="2846">
        <f>IF(AG245=0,0,(AG244*AG245+AG246*AG247*IF(god=2025,3,6))/AG245)</f>
        <v>0</v>
      </c>
      <c r="AH243" s="2846">
        <f>IF(AH245=0,0,(AH244*AH245+AH246*AH247*IF(god=2025,3,6))/AH245)</f>
        <v>0</v>
      </c>
      <c r="AI243" s="1093">
        <f>IF(AG243=0,0,(AH243-AG243)/AG243*100)</f>
        <v>0</v>
      </c>
      <c r="AJ243" s="2846">
        <f>IF(AJ245=0,0,(AJ244*AJ245+AJ246*AJ247*6)/AJ245)</f>
        <v>0</v>
      </c>
      <c r="AK243" s="2846">
        <f>IF(AK245=0,0,(AK244*AK245+AK246*AK247*6)/AK245)</f>
        <v>0</v>
      </c>
      <c r="AL243" s="1093">
        <f>IF(AJ243=0,0,(AK243-AJ243)/AJ243*100)</f>
        <v>0</v>
      </c>
      <c r="AM243" s="2846">
        <f>IF(AM245=0,0,(AM244*AM245+AM246*AM247*6)/AM245)</f>
        <v>0</v>
      </c>
      <c r="AN243" s="2846">
        <f>IF(AN245=0,0,(AN244*AN245+AN246*AN247*6)/AN245)</f>
        <v>0</v>
      </c>
      <c r="AO243" s="1093">
        <f>IF(AM243=0,0,(AN243-AM243)/AM243*100)</f>
        <v>0</v>
      </c>
      <c r="AP243" s="2846">
        <f>IF(AP245=0,0,(AP244*AP245+AP246*AP247*6)/AP245)</f>
        <v>0</v>
      </c>
      <c r="AQ243" s="2846">
        <f>IF(AQ245=0,0,(AQ244*AQ245+AQ246*AQ247*6)/AQ245)</f>
        <v>0</v>
      </c>
      <c r="AR243" s="1093">
        <f>IF(AP243=0,0,(AQ243-AP243)/AP243*100)</f>
        <v>0</v>
      </c>
      <c r="AS243" s="2846">
        <f>IF(AS245=0,0,(AS244*AS245+AS246*AS247*6)/AS245)</f>
        <v>0</v>
      </c>
      <c r="AT243" s="2846">
        <f>IF(AT245=0,0,(AT244*AT245+AT246*AT247*6)/AT245)</f>
        <v>0</v>
      </c>
      <c r="AU243" s="1093">
        <f>IF(AS243=0,0,(AT243-AS243)/AS243*100)</f>
        <v>0</v>
      </c>
      <c r="AV243" s="2846">
        <f>IF(AV245=0,0,(AV244*AV245+AV246*AV247*6)/AV245)</f>
        <v>0</v>
      </c>
      <c r="AW243" s="2846">
        <f>IF(AW245=0,0,(AW244*AW245+AW246*AW247*6)/AW245)</f>
        <v>0</v>
      </c>
      <c r="AX243" s="1093">
        <f>IF(AV243=0,0,(AW243-AV243)/AV243*100)</f>
        <v>0</v>
      </c>
      <c r="AY243" s="2846">
        <f>IF(AY245=0,0,(AY244*AY245+AY246*AY247*6)/AY245)</f>
        <v>0</v>
      </c>
      <c r="AZ243" s="2846">
        <f>IF(AZ245=0,0,(AZ244*AZ245+AZ246*AZ247*6)/AZ245)</f>
        <v>0</v>
      </c>
      <c r="BA243" s="1093">
        <f>IF(AY243=0,0,(AZ243-AY243)/AY243*100)</f>
        <v>0</v>
      </c>
      <c r="BB243" s="2846">
        <f>IF(BB245=0,0,(BB244*BB245+BB246*BB247*6)/BB245)</f>
        <v>0</v>
      </c>
      <c r="BC243" s="2846">
        <f>IF(BC245=0,0,(BC244*BC245+BC246*BC247*6)/BC245)</f>
        <v>0</v>
      </c>
      <c r="BD243" s="1093">
        <f>IF(BB243=0,0,(BC243-BB243)/BB243*100)</f>
        <v>0</v>
      </c>
      <c r="BE243" s="2846">
        <f>IF(BE245=0,0,(BE244*BE245+BE246*BE247*6)/BE245)</f>
        <v>0</v>
      </c>
      <c r="BF243" s="2846">
        <f>IF(BF245=0,0,(BF244*BF245+BF246*BF247*6)/BF245)</f>
        <v>0</v>
      </c>
      <c r="BG243" s="1093">
        <f>IF(BE243=0,0,(BF243-BE243)/BE243*100)</f>
        <v>0</v>
      </c>
      <c r="BH243" s="2846">
        <f>IF(BH245=0,0,(BH244*BH245+BH246*BH247*6)/BH245)</f>
        <v>0</v>
      </c>
      <c r="BI243" s="2846">
        <f>IF(BI245=0,0,(BI244*BI245+BI246*BI247*6)/BI245)</f>
        <v>0</v>
      </c>
      <c r="BJ243" s="1093">
        <f>IF(BH243=0,0,(BI243-BH243)/BH243*100)</f>
        <v>0</v>
      </c>
      <c r="BK243" s="2846">
        <f>IF(BK245=0,0,(BK244*BK245+BK246*BK247*6)/BK245)</f>
        <v>0</v>
      </c>
      <c r="BL243" s="2846">
        <f>IF(BL245=0,0,(BL244*BL245+BL246*BL247*6)/BL245)</f>
        <v>0</v>
      </c>
      <c r="BM243" s="1093">
        <f>IF(BK243=0,0,(BL243-BK243)/BK243*100)</f>
        <v>0</v>
      </c>
      <c r="BN243" s="2846">
        <f>IF(BN245=0,0,(BN244*BN245+BN246*BN247*6)/BN245)</f>
        <v>0</v>
      </c>
      <c r="BO243" s="2846">
        <f>IF(BO245=0,0,(BO244*BO245+BO246*BO247*6)/BO245)</f>
        <v>0</v>
      </c>
      <c r="BP243" s="1093">
        <f>IF(BN243=0,0,(BO243-BN243)/BN243*100)</f>
        <v>0</v>
      </c>
      <c r="BQ243" s="2846">
        <f>IF(BQ245=0,0,(BQ244*BQ245+BQ246*BQ247*6)/BQ245)</f>
        <v>0</v>
      </c>
      <c r="BR243" s="2846">
        <f>IF(BR245=0,0,(BR244*BR245+BR246*BR247*6)/BR245)</f>
        <v>0</v>
      </c>
      <c r="BS243" s="1093">
        <f>IF(BQ243=0,0,(BR243-BQ243)/BQ243*100)</f>
        <v>0</v>
      </c>
      <c r="BT243" s="2846">
        <f>IF(BT245=0,0,(BT244*BT245+BT246*BT247*6)/BT245)</f>
        <v>0</v>
      </c>
      <c r="BU243" s="2846">
        <f>IF(BU245=0,0,(BU244*BU245+BU246*BU247*6)/BU245)</f>
        <v>0</v>
      </c>
      <c r="BV243" s="1093">
        <f>IF(BT243=0,0,(BU243-BT243)/BT243*100)</f>
        <v>0</v>
      </c>
      <c r="BW243" s="2846">
        <f>IF(BW245=0,0,(BW244*BW245+BW246*BW247*6)/BW245)</f>
        <v>0</v>
      </c>
      <c r="BX243" s="2846">
        <f>IF(BX245=0,0,(BX244*BX245+BX246*BX247*6)/BX245)</f>
        <v>0</v>
      </c>
      <c r="BY243" s="1093">
        <f>IF(BW243=0,0,(BX243-BW243)/BW243*100)</f>
        <v>0</v>
      </c>
      <c r="BZ243" s="2846">
        <f>IF(BZ245=0,0,(BZ244*BZ245+BZ246*BZ247*6)/BZ245)</f>
        <v>0</v>
      </c>
      <c r="CA243" s="2846">
        <f>IF(CA245=0,0,(CA244*CA245+CA246*CA247*6)/CA245)</f>
        <v>0</v>
      </c>
      <c r="CB243" s="1093">
        <f>IF(BZ243=0,0,(CA243-BZ243)/BZ243*100)</f>
        <v>0</v>
      </c>
      <c r="CC243" s="2846">
        <f>IF(CC245=0,0,(CC244*CC245+CC246*CC247*6)/CC245)</f>
        <v>0</v>
      </c>
      <c r="CD243" s="2846">
        <f>IF(CD245=0,0,(CD244*CD245+CD246*CD247*6)/CD245)</f>
        <v>0</v>
      </c>
      <c r="CE243" s="1093">
        <f>IF(CC243=0,0,(CD243-CC243)/CC243*100)</f>
        <v>0</v>
      </c>
      <c r="CF243" s="2846">
        <f>IF(CF245=0,0,(CF244*CF245+CF246*CF247*6)/CF245)</f>
        <v>0</v>
      </c>
      <c r="CG243" s="2846">
        <f>IF(CG245=0,0,(CG244*CG245+CG246*CG247*6)/CG245)</f>
        <v>0</v>
      </c>
      <c r="CH243" s="1093">
        <f>IF(CF243=0,0,(CG243-CF243)/CF243*100)</f>
        <v>0</v>
      </c>
      <c r="CI243" s="2846">
        <f>IF(CI245=0,0,(CI244*CI245+CI246*CI247*6)/CI245)</f>
        <v>0</v>
      </c>
      <c r="CJ243" s="2846">
        <f>IF(CJ245=0,0,(CJ244*CJ245+CJ246*CJ247*6)/CJ245)</f>
        <v>0</v>
      </c>
      <c r="CK243" s="1093">
        <f>IF(CI243=0,0,(CJ243-CI243)/CI243*100)</f>
        <v>0</v>
      </c>
      <c r="CL243" s="2846">
        <f>IF(CL245=0,0,(CL244*CL245+CL246*CL247*6)/CL245)</f>
        <v>0</v>
      </c>
      <c r="CM243" s="2846">
        <f>IF(CM245=0,0,(CM244*CM245+CM246*CM247*6)/CM245)</f>
        <v>0</v>
      </c>
      <c r="CN243" s="1093">
        <f>IF(CL243=0,0,(CM243-CL243)/CL243*100)</f>
        <v>0</v>
      </c>
      <c r="CO243" s="2846">
        <f>IF(CO245=0,0,(CO244*CO245+CO246*CO247*6)/CO245)</f>
        <v>0</v>
      </c>
      <c r="CP243" s="2846">
        <f>IF(CP245=0,0,(CP244*CP245+CP246*CP247*6)/CP245)</f>
        <v>0</v>
      </c>
      <c r="CQ243" s="1093">
        <f>IF(CO243=0,0,(CP243-CO243)/CO243*100)</f>
        <v>0</v>
      </c>
      <c r="CR243" s="2846">
        <f>IF(CR245=0,0,(CR244*CR245+CR246*CR247*6)/CR245)</f>
        <v>0</v>
      </c>
      <c r="CS243" s="2846">
        <f>IF(CS245=0,0,(CS244*CS245+CS246*CS247*6)/CS245)</f>
        <v>0</v>
      </c>
      <c r="CT243" s="1093">
        <f>IF(CR243=0,0,(CS243-CR243)/CR243*100)</f>
        <v>0</v>
      </c>
      <c r="CU243" s="2846">
        <f>IF(CU245=0,0,(CU244*CU245+CU246*CU247*6)/CU245)</f>
        <v>0</v>
      </c>
      <c r="CV243" s="2846">
        <f>IF(CV245=0,0,(CV244*CV245+CV246*CV247*6)/CV245)</f>
        <v>0</v>
      </c>
      <c r="CW243" s="1093">
        <f>IF(CU243=0,0,(CV243-CU243)/CU243*100)</f>
        <v>0</v>
      </c>
      <c r="CX243" s="2846">
        <f>IF(CX245=0,0,(CX244*CX245+CX246*CX247*6)/CX245)</f>
        <v>0</v>
      </c>
      <c r="CY243" s="2846">
        <f>IF(CY245=0,0,(CY244*CY245+CY246*CY247*6)/CY245)</f>
        <v>0</v>
      </c>
      <c r="CZ243" s="1093">
        <f>IF(CX243=0,0,(CY243-CX243)/CX243*100)</f>
        <v>0</v>
      </c>
      <c r="DA243" s="2846">
        <f>IF(DA245=0,0,(DA244*DA245+DA246*DA247*6)/DA245)</f>
        <v>0</v>
      </c>
      <c r="DB243" s="2846">
        <f>IF(DB245=0,0,(DB244*DB245+DB246*DB247*6)/DB245)</f>
        <v>0</v>
      </c>
      <c r="DC243" s="1093">
        <f>IF(DA243=0,0,(DB243-DA243)/DA243*100)</f>
        <v>0</v>
      </c>
      <c r="DD243" s="2846">
        <f>IF(DD245=0,0,(DD244*DD245+DD246*DD247*6)/DD245)</f>
        <v>0</v>
      </c>
      <c r="DE243" s="2846">
        <f>IF(DE245=0,0,(DE244*DE245+DE246*DE247*6)/DE245)</f>
        <v>0</v>
      </c>
      <c r="DF243" s="1093">
        <f>IF(DD243=0,0,(DE243-DD243)/DD243*100)</f>
        <v>0</v>
      </c>
      <c r="DG243" s="2846">
        <f>IF(DG245=0,0,(DG244*DG245+DG246*DG247*6)/DG245)</f>
        <v>0</v>
      </c>
      <c r="DH243" s="2846">
        <f>IF(DH245=0,0,(DH244*DH245+DH246*DH247*6)/DH245)</f>
        <v>0</v>
      </c>
      <c r="DI243" s="1093">
        <f>IF(DG243=0,0,(DH243-DG243)/DG243*100)</f>
        <v>0</v>
      </c>
      <c r="DJ243" s="2846">
        <f>IF(DJ245=0,0,(DJ244*DJ245+DJ246*DJ247*6)/DJ245)</f>
        <v>0</v>
      </c>
      <c r="DK243" s="2846">
        <f>IF(DK245=0,0,(DK244*DK245+DK246*DK247*6)/DK245)</f>
        <v>0</v>
      </c>
      <c r="DL243" s="1093">
        <f>IF(DJ243=0,0,(DK243-DJ243)/DJ243*100)</f>
        <v>0</v>
      </c>
      <c r="DM243" s="2846">
        <f>IF(DM245=0,0,(DM244*DM245+DM246*DM247*6)/DM245)</f>
        <v>0</v>
      </c>
      <c r="DN243" s="2846">
        <f>IF(DN245=0,0,(DN244*DN245+DN246*DN247*6)/DN245)</f>
        <v>0</v>
      </c>
      <c r="DO243" s="1093">
        <f>IF(DM243=0,0,(DN243-DM243)/DM243*100)</f>
        <v>0</v>
      </c>
      <c r="DP243" s="2846">
        <f>IF(DP245=0,0,(DP244*DP245+DP246*DP247*6)/DP245)</f>
        <v>0</v>
      </c>
      <c r="DQ243" s="2846">
        <f>IF(DQ245=0,0,(DQ244*DQ245+DQ246*DQ247*6)/DQ245)</f>
        <v>0</v>
      </c>
      <c r="DR243" s="1093">
        <f>IF(DP243=0,0,(DQ243-DP243)/DP243*100)</f>
        <v>0</v>
      </c>
      <c r="DS243" s="2846">
        <f>IF(DS245=0,0,(DS244*DS245+DS246*DS247*6)/DS245)</f>
        <v>0</v>
      </c>
      <c r="DT243" s="2846">
        <f>IF(DT245=0,0,(DT244*DT245+DT246*DT247*6)/DT245)</f>
        <v>0</v>
      </c>
      <c r="DU243" s="1093">
        <f>IF(DS243=0,0,(DT243-DS243)/DS243*100)</f>
        <v>0</v>
      </c>
      <c r="DV243" s="2846">
        <f>IF(DV245=0,0,(DV244*DV245+DV246*DV247*6)/DV245)</f>
        <v>0</v>
      </c>
      <c r="DW243" s="2846">
        <f>IF(DW245=0,0,(DW244*DW245+DW246*DW247*6)/DW245)</f>
        <v>0</v>
      </c>
      <c r="DX243" s="1093">
        <f>IF(DV243=0,0,(DW243-DV243)/DV243*100)</f>
        <v>0</v>
      </c>
      <c r="DY243" s="2846">
        <f>IF(DY245=0,0,(DY244*DY245+DY246*DY247*6)/DY245)</f>
        <v>0</v>
      </c>
      <c r="DZ243" s="2846">
        <f>IF(DZ245=0,0,(DZ244*DZ245+DZ246*DZ247*6)/DZ245)</f>
        <v>0</v>
      </c>
      <c r="EA243" s="1093">
        <f>IF(DY243=0,0,(DZ243-DY243)/DY243*100)</f>
        <v>0</v>
      </c>
      <c r="EB243" s="2846">
        <f>IF(EB245=0,0,(EB244*EB245+EB246*EB247*6)/EB245)</f>
        <v>0</v>
      </c>
      <c r="EC243" s="2846">
        <f>IF(EC245=0,0,(EC244*EC245+EC246*EC247*6)/EC245)</f>
        <v>0</v>
      </c>
      <c r="ED243" s="1093">
        <f>IF(EB243=0,0,(EC243-EB243)/EB243*100)</f>
        <v>0</v>
      </c>
      <c r="EE243" s="2846">
        <f>IF(EE245=0,0,(EE244*EE245+EE246*EE247*6)/EE245)</f>
        <v>0</v>
      </c>
      <c r="EF243" s="2846">
        <f>IF(EF245=0,0,(EF244*EF245+EF246*EF247*6)/EF245)</f>
        <v>0</v>
      </c>
      <c r="EG243" s="1093">
        <f>IF(EE243=0,0,(EF243-EE243)/EE243*100)</f>
        <v>0</v>
      </c>
      <c r="EH243" s="2846">
        <f>IF(EH245=0,0,(EH244*EH245+EH246*EH247*6)/EH245)</f>
        <v>0</v>
      </c>
      <c r="EI243" s="2846">
        <f>IF(EI245=0,0,(EI244*EI245+EI246*EI247*6)/EI245)</f>
        <v>0</v>
      </c>
      <c r="EJ243" s="1093">
        <f>IF(EH243=0,0,(EI243-EH243)/EH243*100)</f>
        <v>0</v>
      </c>
      <c r="EK243" s="2846">
        <f>IF(EK245=0,0,(EK244*EK245+EK246*EK247*6)/EK245)</f>
        <v>0</v>
      </c>
      <c r="EL243" s="2846">
        <f>IF(EL245=0,0,(EL244*EL245+EL246*EL247*6)/EL245)</f>
        <v>0</v>
      </c>
      <c r="EM243" s="1093">
        <f>IF(EK243=0,0,(EL243-EK243)/EK243*100)</f>
        <v>0</v>
      </c>
      <c r="EN243" s="2846">
        <f>IF(EN245=0,0,(EN244*EN245+EN246*EN247*6)/EN245)</f>
        <v>0</v>
      </c>
      <c r="EO243" s="2846">
        <f>IF(EO245=0,0,(EO244*EO245+EO246*EO247*6)/EO245)</f>
        <v>0</v>
      </c>
      <c r="EP243" s="1093">
        <f>IF(EN243=0,0,(EO243-EN243)/EN243*100)</f>
        <v>0</v>
      </c>
      <c r="EQ243" s="2846">
        <f>IF(EQ245=0,0,(EQ244*EQ245+EQ246*EQ247*6)/EQ245)</f>
        <v>0</v>
      </c>
      <c r="ER243" s="2846">
        <f>IF(ER245=0,0,(ER244*ER245+ER246*ER247*6)/ER245)</f>
        <v>0</v>
      </c>
      <c r="ES243" s="1093">
        <f>IF(EQ243=0,0,(ER243-EQ243)/EQ243*100)</f>
        <v>0</v>
      </c>
      <c r="ET243" s="2846">
        <f>IF(ET245=0,0,(ET244*ET245+ET246*ET247*6)/ET245)</f>
        <v>0</v>
      </c>
      <c r="EU243" s="2846">
        <f>IF(EU245=0,0,(EU244*EU245+EU246*EU247*6)/EU245)</f>
        <v>0</v>
      </c>
      <c r="EV243" s="1093">
        <f>IF(ET243=0,0,(EU243-ET243)/ET243*100)</f>
        <v>0</v>
      </c>
      <c r="EW243" s="2846">
        <f>IF(EW245=0,0,(EW244*EW245+EW246*EW247*6)/EW245)</f>
        <v>0</v>
      </c>
      <c r="EX243" s="2846">
        <f>IF(EX245=0,0,(EX244*EX245+EX246*EX247*6)/EX245)</f>
        <v>0</v>
      </c>
      <c r="EY243" s="1093">
        <f>IF(EW243=0,0,(EX243-EW243)/EW243*100)</f>
        <v>0</v>
      </c>
      <c r="EZ243" s="2846">
        <f>IF(EZ245=0,0,(EZ244*EZ245+EZ246*EZ247*6)/EZ245)</f>
        <v>0</v>
      </c>
      <c r="FA243" s="2846">
        <f>IF(FA245=0,0,(FA244*FA245+FA246*FA247*6)/FA245)</f>
        <v>0</v>
      </c>
      <c r="FB243" s="1093">
        <f>IF(EZ243=0,0,(FA243-EZ243)/EZ243*100)</f>
        <v>0</v>
      </c>
      <c r="FC243" s="2846">
        <f>IF(FC245=0,0,(FC244*FC245+FC246*FC247*6)/FC245)</f>
        <v>0</v>
      </c>
      <c r="FD243" s="2846">
        <f>IF(FD245=0,0,(FD244*FD245+FD246*FD247*6)/FD245)</f>
        <v>0</v>
      </c>
      <c r="FE243" s="1093">
        <f>IF(FC243=0,0,(FD243-FC243)/FC243*100)</f>
        <v>0</v>
      </c>
      <c r="FF243" s="2846">
        <f>IF(FF245=0,0,(FF244*FF245+FF246*FF247*6)/FF245)</f>
        <v>0</v>
      </c>
      <c r="FG243" s="2846">
        <f>IF(FG245=0,0,(FG244*FG245+FG246*FG247*6)/FG245)</f>
        <v>0</v>
      </c>
      <c r="FH243" s="1093">
        <f>IF(FF243=0,0,(FG243-FF243)/FF243*100)</f>
        <v>0</v>
      </c>
      <c r="FI243" s="2846">
        <f>IF(FI245=0,0,(FI244*FI245+FI246*FI247*6)/FI245)</f>
        <v>0</v>
      </c>
      <c r="FJ243" s="2846">
        <f>IF(FJ245=0,0,(FJ244*FJ245+FJ246*FJ247*6)/FJ245)</f>
        <v>0</v>
      </c>
      <c r="FK243" s="1093">
        <f>IF(FI243=0,0,(FJ243-FI243)/FI243*100)</f>
        <v>0</v>
      </c>
      <c r="FL243" s="2846">
        <f>IF(FL245=0,0,(FL244*FL245+FL246*FL247*6)/FL245)</f>
        <v>0</v>
      </c>
      <c r="FM243" s="2846">
        <f>IF(FM245=0,0,(FM244*FM245+FM246*FM247*6)/FM245)</f>
        <v>0</v>
      </c>
      <c r="FN243" s="1093">
        <f>IF(FL243=0,0,(FM243-FL243)/FL243*100)</f>
        <v>0</v>
      </c>
      <c r="FO243" s="2846">
        <f>IF(FO245=0,0,(FO244*FO245+FO246*FO247*6)/FO245)</f>
        <v>0</v>
      </c>
      <c r="FP243" s="2846">
        <f>IF(FP245=0,0,(FP244*FP245+FP246*FP247*6)/FP245)</f>
        <v>0</v>
      </c>
      <c r="FQ243" s="1093">
        <f>IF(FO243=0,0,(FP243-FO243)/FO243*100)</f>
        <v>0</v>
      </c>
      <c r="FR243" s="2846">
        <f>IF(FR245=0,0,(FR244*FR245+FR246*FR247*6)/FR245)</f>
        <v>0</v>
      </c>
      <c r="FS243" s="2846">
        <f>IF(FS245=0,0,(FS244*FS245+FS246*FS247*6)/FS245)</f>
        <v>0</v>
      </c>
      <c r="FT243" s="1093">
        <f>IF(FR243=0,0,(FS243-FR243)/FR243*100)</f>
        <v>0</v>
      </c>
      <c r="FU243" s="2846">
        <f>IF(FU245=0,0,(FU244*FU245+FU246*FU247*6)/FU245)</f>
        <v>0</v>
      </c>
      <c r="FV243" s="2846">
        <f>IF(FV245=0,0,(FV244*FV245+FV246*FV247*6)/FV245)</f>
        <v>0</v>
      </c>
      <c r="FW243" s="1093">
        <f>IF(FU243=0,0,(FV243-FU243)/FU243*100)</f>
        <v>0</v>
      </c>
      <c r="FX243" s="1304"/>
      <c r="FY243" s="1304"/>
      <c r="FZ243" s="1055" t="s">
        <v>2384</v>
      </c>
      <c r="GA243" s="1306"/>
      <c r="GB243" s="1306"/>
      <c r="GC243" s="1305"/>
      <c r="GD243" s="1305"/>
    </row>
    <row s="1834" customFormat="1" customHeight="1" ht="14.25" hidden="1">
      <c r="A244" s="493"/>
      <c r="B244" s="925" cm="1" t="str">
        <f t="array" ref="B244:B244">B243</f>
        <v>false</v>
      </c>
      <c r="C244" s="493"/>
      <c r="D244" s="493"/>
      <c r="E244" s="840">
        <v>15</v>
      </c>
      <c r="F244" s="50" cm="1" t="str">
        <f t="array" ref="F244:F244">OFFSET(E244,-1,1)</f>
        <v>3</v>
      </c>
      <c r="G244" s="493"/>
      <c r="H244" s="493" t="s">
        <v>2299</v>
      </c>
      <c r="I244" s="493" t="s">
        <v>2340</v>
      </c>
      <c r="J244" s="493"/>
      <c r="K244" s="493"/>
      <c r="L244" s="493"/>
      <c r="M244" s="493"/>
      <c r="N244" s="493"/>
      <c r="O244" s="493"/>
      <c r="P244" s="493"/>
      <c r="Q244" s="493"/>
      <c r="R244" s="493"/>
      <c r="S244" s="493"/>
      <c r="T244" s="465" cm="1" t="str">
        <f t="array" ref="T244:T244">T243</f>
        <v>true</v>
      </c>
      <c r="U244" s="493"/>
      <c r="V244" s="493"/>
      <c r="W244" s="493"/>
      <c r="X244" s="1596"/>
      <c r="Y244" s="493"/>
      <c r="Z244" s="1545"/>
      <c r="AA244" s="493"/>
      <c r="AB244" s="1091" t="str">
        <f>"ставка платы за "&amp;IF(Q218="Водоснабжение","потребление 1 куб.м холодной воды","объем принятых сточных вод")</f>
        <v>ставка платы за объем принятых сточных вод</v>
      </c>
      <c r="AC244" s="864" t="s">
        <v>2337</v>
      </c>
      <c r="AD244" s="2846"/>
      <c r="AE244" s="2846"/>
      <c r="AF244" s="1093">
        <f>IF(AD244=0,0,(AE244-AD244)/AD244*100)</f>
        <v>0</v>
      </c>
      <c r="AG244" s="2846"/>
      <c r="AH244" s="2846"/>
      <c r="AI244" s="1093">
        <f>IF(AG244=0,0,(AH244-AG244)/AG244*100)</f>
        <v>0</v>
      </c>
      <c r="AJ244" s="2846"/>
      <c r="AK244" s="2846"/>
      <c r="AL244" s="1093">
        <f>IF(AJ244=0,0,(AK244-AJ244)/AJ244*100)</f>
        <v>0</v>
      </c>
      <c r="AM244" s="2846"/>
      <c r="AN244" s="2846"/>
      <c r="AO244" s="1093">
        <f>IF(AM244=0,0,(AN244-AM244)/AM244*100)</f>
        <v>0</v>
      </c>
      <c r="AP244" s="2846"/>
      <c r="AQ244" s="2846"/>
      <c r="AR244" s="1093">
        <f>IF(AP244=0,0,(AQ244-AP244)/AP244*100)</f>
        <v>0</v>
      </c>
      <c r="AS244" s="2846"/>
      <c r="AT244" s="2846"/>
      <c r="AU244" s="1093">
        <f>IF(AS244=0,0,(AT244-AS244)/AS244*100)</f>
        <v>0</v>
      </c>
      <c r="AV244" s="2846"/>
      <c r="AW244" s="2846"/>
      <c r="AX244" s="1093">
        <f>IF(AV244=0,0,(AW244-AV244)/AV244*100)</f>
        <v>0</v>
      </c>
      <c r="AY244" s="2846"/>
      <c r="AZ244" s="2846"/>
      <c r="BA244" s="1093">
        <f>IF(AY244=0,0,(AZ244-AY244)/AY244*100)</f>
        <v>0</v>
      </c>
      <c r="BB244" s="2846"/>
      <c r="BC244" s="2846"/>
      <c r="BD244" s="1093">
        <f>IF(BB244=0,0,(BC244-BB244)/BB244*100)</f>
        <v>0</v>
      </c>
      <c r="BE244" s="2846"/>
      <c r="BF244" s="2846"/>
      <c r="BG244" s="1093">
        <f>IF(BE244=0,0,(BF244-BE244)/BE244*100)</f>
        <v>0</v>
      </c>
      <c r="BH244" s="2846"/>
      <c r="BI244" s="2846"/>
      <c r="BJ244" s="1093">
        <f>IF(BH244=0,0,(BI244-BH244)/BH244*100)</f>
        <v>0</v>
      </c>
      <c r="BK244" s="2846"/>
      <c r="BL244" s="2846"/>
      <c r="BM244" s="1093">
        <f>IF(BK244=0,0,(BL244-BK244)/BK244*100)</f>
        <v>0</v>
      </c>
      <c r="BN244" s="2846"/>
      <c r="BO244" s="2846"/>
      <c r="BP244" s="1093">
        <f>IF(BN244=0,0,(BO244-BN244)/BN244*100)</f>
        <v>0</v>
      </c>
      <c r="BQ244" s="2846"/>
      <c r="BR244" s="2846"/>
      <c r="BS244" s="1093">
        <f>IF(BQ244=0,0,(BR244-BQ244)/BQ244*100)</f>
        <v>0</v>
      </c>
      <c r="BT244" s="2846"/>
      <c r="BU244" s="2846"/>
      <c r="BV244" s="1093">
        <f>IF(BT244=0,0,(BU244-BT244)/BT244*100)</f>
        <v>0</v>
      </c>
      <c r="BW244" s="2846"/>
      <c r="BX244" s="2846"/>
      <c r="BY244" s="1093">
        <f>IF(BW244=0,0,(BX244-BW244)/BW244*100)</f>
        <v>0</v>
      </c>
      <c r="BZ244" s="2846"/>
      <c r="CA244" s="2846"/>
      <c r="CB244" s="1093">
        <f>IF(BZ244=0,0,(CA244-BZ244)/BZ244*100)</f>
        <v>0</v>
      </c>
      <c r="CC244" s="2846"/>
      <c r="CD244" s="2846"/>
      <c r="CE244" s="1093">
        <f>IF(CC244=0,0,(CD244-CC244)/CC244*100)</f>
        <v>0</v>
      </c>
      <c r="CF244" s="2846"/>
      <c r="CG244" s="2846"/>
      <c r="CH244" s="1093">
        <f>IF(CF244=0,0,(CG244-CF244)/CF244*100)</f>
        <v>0</v>
      </c>
      <c r="CI244" s="2846"/>
      <c r="CJ244" s="2846"/>
      <c r="CK244" s="1093">
        <f>IF(CI244=0,0,(CJ244-CI244)/CI244*100)</f>
        <v>0</v>
      </c>
      <c r="CL244" s="2846"/>
      <c r="CM244" s="2846"/>
      <c r="CN244" s="1093">
        <f>IF(CL244=0,0,(CM244-CL244)/CL244*100)</f>
        <v>0</v>
      </c>
      <c r="CO244" s="2846"/>
      <c r="CP244" s="2846"/>
      <c r="CQ244" s="1093">
        <f>IF(CO244=0,0,(CP244-CO244)/CO244*100)</f>
        <v>0</v>
      </c>
      <c r="CR244" s="2846"/>
      <c r="CS244" s="2846"/>
      <c r="CT244" s="1093">
        <f>IF(CR244=0,0,(CS244-CR244)/CR244*100)</f>
        <v>0</v>
      </c>
      <c r="CU244" s="2846"/>
      <c r="CV244" s="2846"/>
      <c r="CW244" s="1093">
        <f>IF(CU244=0,0,(CV244-CU244)/CU244*100)</f>
        <v>0</v>
      </c>
      <c r="CX244" s="2846"/>
      <c r="CY244" s="2846"/>
      <c r="CZ244" s="1093">
        <f>IF(CX244=0,0,(CY244-CX244)/CX244*100)</f>
        <v>0</v>
      </c>
      <c r="DA244" s="2846"/>
      <c r="DB244" s="2846"/>
      <c r="DC244" s="1093">
        <f>IF(DA244=0,0,(DB244-DA244)/DA244*100)</f>
        <v>0</v>
      </c>
      <c r="DD244" s="2846"/>
      <c r="DE244" s="2846"/>
      <c r="DF244" s="1093">
        <f>IF(DD244=0,0,(DE244-DD244)/DD244*100)</f>
        <v>0</v>
      </c>
      <c r="DG244" s="2846"/>
      <c r="DH244" s="2846"/>
      <c r="DI244" s="1093">
        <f>IF(DG244=0,0,(DH244-DG244)/DG244*100)</f>
        <v>0</v>
      </c>
      <c r="DJ244" s="2846"/>
      <c r="DK244" s="2846"/>
      <c r="DL244" s="1093">
        <f>IF(DJ244=0,0,(DK244-DJ244)/DJ244*100)</f>
        <v>0</v>
      </c>
      <c r="DM244" s="2846"/>
      <c r="DN244" s="2846"/>
      <c r="DO244" s="1093">
        <f>IF(DM244=0,0,(DN244-DM244)/DM244*100)</f>
        <v>0</v>
      </c>
      <c r="DP244" s="2846"/>
      <c r="DQ244" s="2846"/>
      <c r="DR244" s="1093">
        <f>IF(DP244=0,0,(DQ244-DP244)/DP244*100)</f>
        <v>0</v>
      </c>
      <c r="DS244" s="2846"/>
      <c r="DT244" s="2846"/>
      <c r="DU244" s="1093">
        <f>IF(DS244=0,0,(DT244-DS244)/DS244*100)</f>
        <v>0</v>
      </c>
      <c r="DV244" s="2846"/>
      <c r="DW244" s="2846"/>
      <c r="DX244" s="1093">
        <f>IF(DV244=0,0,(DW244-DV244)/DV244*100)</f>
        <v>0</v>
      </c>
      <c r="DY244" s="2846"/>
      <c r="DZ244" s="2846"/>
      <c r="EA244" s="1093">
        <f>IF(DY244=0,0,(DZ244-DY244)/DY244*100)</f>
        <v>0</v>
      </c>
      <c r="EB244" s="2846"/>
      <c r="EC244" s="2846"/>
      <c r="ED244" s="1093">
        <f>IF(EB244=0,0,(EC244-EB244)/EB244*100)</f>
        <v>0</v>
      </c>
      <c r="EE244" s="2846"/>
      <c r="EF244" s="2846"/>
      <c r="EG244" s="1093">
        <f>IF(EE244=0,0,(EF244-EE244)/EE244*100)</f>
        <v>0</v>
      </c>
      <c r="EH244" s="2846"/>
      <c r="EI244" s="2846"/>
      <c r="EJ244" s="1093">
        <f>IF(EH244=0,0,(EI244-EH244)/EH244*100)</f>
        <v>0</v>
      </c>
      <c r="EK244" s="2846"/>
      <c r="EL244" s="2846"/>
      <c r="EM244" s="1093">
        <f>IF(EK244=0,0,(EL244-EK244)/EK244*100)</f>
        <v>0</v>
      </c>
      <c r="EN244" s="2846"/>
      <c r="EO244" s="2846"/>
      <c r="EP244" s="1093">
        <f>IF(EN244=0,0,(EO244-EN244)/EN244*100)</f>
        <v>0</v>
      </c>
      <c r="EQ244" s="2846"/>
      <c r="ER244" s="2846"/>
      <c r="ES244" s="1093">
        <f>IF(EQ244=0,0,(ER244-EQ244)/EQ244*100)</f>
        <v>0</v>
      </c>
      <c r="ET244" s="2846"/>
      <c r="EU244" s="2846"/>
      <c r="EV244" s="1093">
        <f>IF(ET244=0,0,(EU244-ET244)/ET244*100)</f>
        <v>0</v>
      </c>
      <c r="EW244" s="2846"/>
      <c r="EX244" s="2846"/>
      <c r="EY244" s="1093">
        <f>IF(EW244=0,0,(EX244-EW244)/EW244*100)</f>
        <v>0</v>
      </c>
      <c r="EZ244" s="2846"/>
      <c r="FA244" s="2846"/>
      <c r="FB244" s="1093">
        <f>IF(EZ244=0,0,(FA244-EZ244)/EZ244*100)</f>
        <v>0</v>
      </c>
      <c r="FC244" s="2846"/>
      <c r="FD244" s="2846"/>
      <c r="FE244" s="1093">
        <f>IF(FC244=0,0,(FD244-FC244)/FC244*100)</f>
        <v>0</v>
      </c>
      <c r="FF244" s="2846"/>
      <c r="FG244" s="2846"/>
      <c r="FH244" s="1093">
        <f>IF(FF244=0,0,(FG244-FF244)/FF244*100)</f>
        <v>0</v>
      </c>
      <c r="FI244" s="2846"/>
      <c r="FJ244" s="2846"/>
      <c r="FK244" s="1093">
        <f>IF(FI244=0,0,(FJ244-FI244)/FI244*100)</f>
        <v>0</v>
      </c>
      <c r="FL244" s="2846"/>
      <c r="FM244" s="2846"/>
      <c r="FN244" s="1093">
        <f>IF(FL244=0,0,(FM244-FL244)/FL244*100)</f>
        <v>0</v>
      </c>
      <c r="FO244" s="2846"/>
      <c r="FP244" s="2846"/>
      <c r="FQ244" s="1093">
        <f>IF(FO244=0,0,(FP244-FO244)/FO244*100)</f>
        <v>0</v>
      </c>
      <c r="FR244" s="2846"/>
      <c r="FS244" s="2846"/>
      <c r="FT244" s="1093">
        <f>IF(FR244=0,0,(FS244-FR244)/FR244*100)</f>
        <v>0</v>
      </c>
      <c r="FU244" s="2846"/>
      <c r="FV244" s="2846"/>
      <c r="FW244" s="1093">
        <f>IF(FU244=0,0,(FV244-FU244)/FU244*100)</f>
        <v>0</v>
      </c>
      <c r="FX244" s="1304"/>
      <c r="FY244" s="1304"/>
      <c r="FZ244" s="1055" t="s">
        <v>2385</v>
      </c>
      <c r="GA244" s="1306"/>
      <c r="GB244" s="1306"/>
      <c r="GC244" s="1305"/>
      <c r="GD244" s="1305"/>
    </row>
    <row s="1834" customFormat="1" customHeight="1" ht="14.25" hidden="1">
      <c r="A245" s="493"/>
      <c r="B245" s="925" cm="1" t="str">
        <f t="array" ref="B245:B245">B244</f>
        <v>false</v>
      </c>
      <c r="C245" s="493"/>
      <c r="D245" s="493"/>
      <c r="E245" s="840">
        <v>15</v>
      </c>
      <c r="F245" s="50" cm="1" t="str">
        <f t="array" ref="F245:F245">OFFSET(E245,-1,1)</f>
        <v>3</v>
      </c>
      <c r="G245" s="107" t="s">
        <v>2386</v>
      </c>
      <c r="H245" s="493" t="s">
        <v>2374</v>
      </c>
      <c r="I245" s="493" t="s">
        <v>2340</v>
      </c>
      <c r="J245" s="493"/>
      <c r="K245" s="493"/>
      <c r="L245" s="493"/>
      <c r="M245" s="493"/>
      <c r="N245" s="493"/>
      <c r="O245" s="493"/>
      <c r="P245" s="493"/>
      <c r="Q245" s="493"/>
      <c r="R245" s="493"/>
      <c r="S245" s="493"/>
      <c r="T245" s="465" cm="1" t="str">
        <f t="array" ref="T245:T245">T244</f>
        <v>true</v>
      </c>
      <c r="U245" s="493"/>
      <c r="V245" s="493"/>
      <c r="W245" s="493"/>
      <c r="X245" s="1596"/>
      <c r="Y245" s="493"/>
      <c r="Z245" s="1545"/>
      <c r="AA245" s="493"/>
      <c r="AB245" s="1091" t="str">
        <f>"объём "&amp;IF(Q218="Водоснабжение","потребления холодной воды","водоотведения")</f>
        <v>объём водоотведения</v>
      </c>
      <c r="AC245" s="864" t="s">
        <v>1247</v>
      </c>
      <c r="AD245" s="5247">
        <f>IF(AND(method_reg="Метод индексации",god&lt;&gt;first_year),_xlfn.SUMIFS(INDEX('Калькуляция (МИ корр)'!$AJ$25:$BC$747,,MATCH(AD$8,'Калькуляция (МИ корр)'!$AJ$8:$BC$8,0)),'Калькуляция (МИ корр)'!$F$25:$F$747,$F245,'Калькуляция (МИ корр)'!$G$25:$G$747,$G245),IF(method_reg="Метод экономически обоснованных расходов",_xlfn.SUMIFS('Калькуляция (МЭОР)'!$AJ$25:$AJ$452,'Калькуляция (МЭОР)'!$F$25:$F$452,$F245,'Калькуляция (МЭОР)'!$G$25:$G$452,$G245),IF(method_reg="Метод сравнения аналогов",_xlfn.SUMIFS('Калькуляция (МСА)'!$AE$25:$AE$122,'Калькуляция (МСА)'!$F$25:$F$122,$F245,'Калькуляция (МСА)'!$G$25:$G$122,$G245),_xlfn.SUMIFS(INDEX('Калькуляция (МИ)'!$AJ$25:$BC$747,,MATCH(AD$8,'Калькуляция (МИ)'!$AJ$8:$BC$8,0)),'Калькуляция (МИ)'!$F$25:$F$747,$F245,'Калькуляция (МИ)'!$G$25:$G$747,$G245))))</f>
        <v>444.71134</v>
      </c>
      <c r="AE245" s="5247">
        <f>IF(AND(method_reg="Метод индексации",god&lt;&gt;first_year),_xlfn.SUMIFS(INDEX('Калькуляция (МИ корр)'!$AJ$25:$BC$747,,MATCH(AE$8,'Калькуляция (МИ корр)'!$AJ$8:$BC$8,0)),'Калькуляция (МИ корр)'!$F$25:$F$747,$F245,'Калькуляция (МИ корр)'!$G$25:$G$747,$G245),IF(method_reg="Метод экономически обоснованных расходов",_xlfn.SUMIFS('Калькуляция (МЭОР)'!$AK$25:$AK$452,'Калькуляция (МЭОР)'!$F$25:$F$452,$F245,'Калькуляция (МЭОР)'!$G$25:$G$452,$G245),IF(method_reg="Метод сравнения аналогов",_xlfn.SUMIFS('Калькуляция (МСА)'!$AF$25:$AF$122,'Калькуляция (МСА)'!$F$25:$F$122,$F245,'Калькуляция (МСА)'!$G$25:$G$122,$G245),_xlfn.SUMIFS(INDEX('Калькуляция (МИ)'!$AJ$25:$BC$747,,MATCH(AE$8,'Калькуляция (МИ)'!$AJ$8:$BC$8,0)),'Калькуляция (МИ)'!$F$25:$F$747,$F245,'Калькуляция (МИ)'!$G$25:$G$747,$G245))))</f>
        <v>444.71134</v>
      </c>
      <c r="AF245" s="1095">
        <f>IF(AD245=0,0,(AE245-AD245)/AD245*100)</f>
        <v>0</v>
      </c>
      <c r="AG245" s="5247">
        <f>IF(AND(method_reg="Метод индексации",god&lt;&gt;first_year),_xlfn.SUMIFS(INDEX('Калькуляция (МИ корр)'!$AJ$25:$BC$747,,MATCH(AG$8,'Калькуляция (МИ корр)'!$AJ$8:$BC$8,0)),'Калькуляция (МИ корр)'!$F$25:$F$747,$F245,'Калькуляция (МИ корр)'!$G$25:$G$747,$G245),IF(method_reg="Метод экономически обоснованных расходов",_xlfn.SUMIFS('Калькуляция (МЭОР)'!$AJ$25:$AJ$452,'Калькуляция (МЭОР)'!$F$25:$F$452,$F245,'Калькуляция (МЭОР)'!$G$25:$G$452,$G245),IF(method_reg="Метод сравнения аналогов",_xlfn.SUMIFS('Калькуляция (МСА)'!$AE$25:$AE$122,'Калькуляция (МСА)'!$F$25:$F$122,$F245,'Калькуляция (МСА)'!$G$25:$G$122,$G245),_xlfn.SUMIFS(INDEX('Калькуляция (МИ)'!$AJ$25:$BC$747,,MATCH(AG$8,'Калькуляция (МИ)'!$AJ$8:$BC$8,0)),'Калькуляция (МИ)'!$F$25:$F$747,$F245,'Калькуляция (МИ)'!$G$25:$G$747,$G245))))</f>
        <v>889.42268</v>
      </c>
      <c r="AH245" s="5247">
        <f>IF(AND(method_reg="Метод индексации",god&lt;&gt;first_year),_xlfn.SUMIFS(INDEX('Калькуляция (МИ корр)'!$AJ$25:$BC$747,,MATCH(AH$8,'Калькуляция (МИ корр)'!$AJ$8:$BC$8,0)),'Калькуляция (МИ корр)'!$F$25:$F$747,$F245,'Калькуляция (МИ корр)'!$G$25:$G$747,$G245),IF(method_reg="Метод экономически обоснованных расходов",_xlfn.SUMIFS('Калькуляция (МЭОР)'!$AK$25:$AK$452,'Калькуляция (МЭОР)'!$F$25:$F$452,$F245,'Калькуляция (МЭОР)'!$G$25:$G$452,$G245),IF(method_reg="Метод сравнения аналогов",_xlfn.SUMIFS('Калькуляция (МСА)'!$AF$25:$AF$122,'Калькуляция (МСА)'!$F$25:$F$122,$F245,'Калькуляция (МСА)'!$G$25:$G$122,$G245),_xlfn.SUMIFS(INDEX('Калькуляция (МИ)'!$AJ$25:$BC$747,,MATCH(AH$8,'Калькуляция (МИ)'!$AJ$8:$BC$8,0)),'Калькуляция (МИ)'!$F$25:$F$747,$F245,'Калькуляция (МИ)'!$G$25:$G$747,$G245))))</f>
        <v>889.42268</v>
      </c>
      <c r="AI245" s="1095">
        <f>IF(AG245=0,0,(AH245-AG245)/AG245*100)</f>
        <v>0</v>
      </c>
      <c r="AJ245" s="5247">
        <f>IF(AND(method_reg="Метод индексации",god&lt;&gt;first_year),_xlfn.SUMIFS(INDEX('Калькуляция (МИ корр)'!$AJ$25:$BC$747,,MATCH(AJ$8,'Калькуляция (МИ корр)'!$AJ$8:$BC$8,0)),'Калькуляция (МИ корр)'!$F$25:$F$747,$F245,'Калькуляция (МИ корр)'!$G$25:$G$747,$G245),IF(method_reg="Метод экономически обоснованных расходов",_xlfn.SUMIFS('Калькуляция (МЭОР)'!$AJ$25:$AJ$452,'Калькуляция (МЭОР)'!$F$25:$F$452,$F245,'Калькуляция (МЭОР)'!$G$25:$G$452,$G245),IF(method_reg="Метод сравнения аналогов",_xlfn.SUMIFS('Калькуляция (МСА)'!$AE$25:$AE$122,'Калькуляция (МСА)'!$F$25:$F$122,$F245,'Калькуляция (МСА)'!$G$25:$G$122,$G245),_xlfn.SUMIFS(INDEX('Калькуляция (МИ)'!$AJ$25:$BC$747,,MATCH(AJ$8,'Калькуляция (МИ)'!$AJ$8:$BC$8,0)),'Калькуляция (МИ)'!$F$25:$F$747,$F245,'Калькуляция (МИ)'!$G$25:$G$747,$G245))))</f>
        <v>889.42268</v>
      </c>
      <c r="AK245" s="5247">
        <f>IF(AND(method_reg="Метод индексации",god&lt;&gt;first_year),_xlfn.SUMIFS(INDEX('Калькуляция (МИ корр)'!$AJ$25:$BC$747,,MATCH(AK$8,'Калькуляция (МИ корр)'!$AJ$8:$BC$8,0)),'Калькуляция (МИ корр)'!$F$25:$F$747,$F245,'Калькуляция (МИ корр)'!$G$25:$G$747,$G245),IF(method_reg="Метод экономически обоснованных расходов",_xlfn.SUMIFS('Калькуляция (МЭОР)'!$AK$25:$AK$452,'Калькуляция (МЭОР)'!$F$25:$F$452,$F245,'Калькуляция (МЭОР)'!$G$25:$G$452,$G245),IF(method_reg="Метод сравнения аналогов",_xlfn.SUMIFS('Калькуляция (МСА)'!$AF$25:$AF$122,'Калькуляция (МСА)'!$F$25:$F$122,$F245,'Калькуляция (МСА)'!$G$25:$G$122,$G245),_xlfn.SUMIFS(INDEX('Калькуляция (МИ)'!$AJ$25:$BC$747,,MATCH(AK$8,'Калькуляция (МИ)'!$AJ$8:$BC$8,0)),'Калькуляция (МИ)'!$F$25:$F$747,$F245,'Калькуляция (МИ)'!$G$25:$G$747,$G245))))</f>
        <v>889.42268</v>
      </c>
      <c r="AL245" s="1095">
        <f>IF(AJ245=0,0,(AK245-AJ245)/AJ245*100)</f>
        <v>0</v>
      </c>
      <c r="AM245" s="5247">
        <f>IF(AND(method_reg="Метод индексации",god&lt;&gt;first_year),_xlfn.SUMIFS(INDEX('Калькуляция (МИ корр)'!$AJ$25:$BC$747,,MATCH(AM$8,'Калькуляция (МИ корр)'!$AJ$8:$BC$8,0)),'Калькуляция (МИ корр)'!$F$25:$F$747,$F245,'Калькуляция (МИ корр)'!$G$25:$G$747,$G245),IF(method_reg="Метод экономически обоснованных расходов",_xlfn.SUMIFS('Калькуляция (МЭОР)'!$AJ$25:$AJ$452,'Калькуляция (МЭОР)'!$F$25:$F$452,$F245,'Калькуляция (МЭОР)'!$G$25:$G$452,$G245),IF(method_reg="Метод сравнения аналогов",_xlfn.SUMIFS('Калькуляция (МСА)'!$AE$25:$AE$122,'Калькуляция (МСА)'!$F$25:$F$122,$F245,'Калькуляция (МСА)'!$G$25:$G$122,$G245),_xlfn.SUMIFS(INDEX('Калькуляция (МИ)'!$AJ$25:$BC$747,,MATCH(AM$8,'Калькуляция (МИ)'!$AJ$8:$BC$8,0)),'Калькуляция (МИ)'!$F$25:$F$747,$F245,'Калькуляция (МИ)'!$G$25:$G$747,$G245))))</f>
        <v>889.42268</v>
      </c>
      <c r="AN245" s="5247">
        <f>IF(AND(method_reg="Метод индексации",god&lt;&gt;first_year),_xlfn.SUMIFS(INDEX('Калькуляция (МИ корр)'!$AJ$25:$BC$747,,MATCH(AN$8,'Калькуляция (МИ корр)'!$AJ$8:$BC$8,0)),'Калькуляция (МИ корр)'!$F$25:$F$747,$F245,'Калькуляция (МИ корр)'!$G$25:$G$747,$G245),IF(method_reg="Метод экономически обоснованных расходов",_xlfn.SUMIFS('Калькуляция (МЭОР)'!$AK$25:$AK$452,'Калькуляция (МЭОР)'!$F$25:$F$452,$F245,'Калькуляция (МЭОР)'!$G$25:$G$452,$G245),IF(method_reg="Метод сравнения аналогов",_xlfn.SUMIFS('Калькуляция (МСА)'!$AF$25:$AF$122,'Калькуляция (МСА)'!$F$25:$F$122,$F245,'Калькуляция (МСА)'!$G$25:$G$122,$G245),_xlfn.SUMIFS(INDEX('Калькуляция (МИ)'!$AJ$25:$BC$747,,MATCH(AN$8,'Калькуляция (МИ)'!$AJ$8:$BC$8,0)),'Калькуляция (МИ)'!$F$25:$F$747,$F245,'Калькуляция (МИ)'!$G$25:$G$747,$G245))))</f>
        <v>889.42268</v>
      </c>
      <c r="AO245" s="1095">
        <f>IF(AM245=0,0,(AN245-AM245)/AM245*100)</f>
        <v>0</v>
      </c>
      <c r="AP245" s="5247">
        <f>IF(AND(method_reg="Метод индексации",god&lt;&gt;first_year),_xlfn.SUMIFS(INDEX('Калькуляция (МИ корр)'!$AJ$25:$BC$747,,MATCH(AP$8,'Калькуляция (МИ корр)'!$AJ$8:$BC$8,0)),'Калькуляция (МИ корр)'!$F$25:$F$747,$F245,'Калькуляция (МИ корр)'!$G$25:$G$747,$G245),IF(method_reg="Метод экономически обоснованных расходов",_xlfn.SUMIFS('Калькуляция (МЭОР)'!$AJ$25:$AJ$452,'Калькуляция (МЭОР)'!$F$25:$F$452,$F245,'Калькуляция (МЭОР)'!$G$25:$G$452,$G245),IF(method_reg="Метод сравнения аналогов",_xlfn.SUMIFS('Калькуляция (МСА)'!$AE$25:$AE$122,'Калькуляция (МСА)'!$F$25:$F$122,$F245,'Калькуляция (МСА)'!$G$25:$G$122,$G245),_xlfn.SUMIFS(INDEX('Калькуляция (МИ)'!$AJ$25:$BC$747,,MATCH(AP$8,'Калькуляция (МИ)'!$AJ$8:$BC$8,0)),'Калькуляция (МИ)'!$F$25:$F$747,$F245,'Калькуляция (МИ)'!$G$25:$G$747,$G245))))</f>
        <v>889.42268</v>
      </c>
      <c r="AQ245" s="5247">
        <f>IF(AND(method_reg="Метод индексации",god&lt;&gt;first_year),_xlfn.SUMIFS(INDEX('Калькуляция (МИ корр)'!$AJ$25:$BC$747,,MATCH(AQ$8,'Калькуляция (МИ корр)'!$AJ$8:$BC$8,0)),'Калькуляция (МИ корр)'!$F$25:$F$747,$F245,'Калькуляция (МИ корр)'!$G$25:$G$747,$G245),IF(method_reg="Метод экономически обоснованных расходов",_xlfn.SUMIFS('Калькуляция (МЭОР)'!$AK$25:$AK$452,'Калькуляция (МЭОР)'!$F$25:$F$452,$F245,'Калькуляция (МЭОР)'!$G$25:$G$452,$G245),IF(method_reg="Метод сравнения аналогов",_xlfn.SUMIFS('Калькуляция (МСА)'!$AF$25:$AF$122,'Калькуляция (МСА)'!$F$25:$F$122,$F245,'Калькуляция (МСА)'!$G$25:$G$122,$G245),_xlfn.SUMIFS(INDEX('Калькуляция (МИ)'!$AJ$25:$BC$747,,MATCH(AQ$8,'Калькуляция (МИ)'!$AJ$8:$BC$8,0)),'Калькуляция (МИ)'!$F$25:$F$747,$F245,'Калькуляция (МИ)'!$G$25:$G$747,$G245))))</f>
        <v>889.42268</v>
      </c>
      <c r="AR245" s="1095">
        <f>IF(AP245=0,0,(AQ245-AP245)/AP245*100)</f>
        <v>0</v>
      </c>
      <c r="AS245" s="5247">
        <f>IF(AND(method_reg="Метод индексации",god&lt;&gt;first_year),_xlfn.SUMIFS(INDEX('Калькуляция (МИ корр)'!$AJ$25:$BC$747,,MATCH(AS$8,'Калькуляция (МИ корр)'!$AJ$8:$BC$8,0)),'Калькуляция (МИ корр)'!$F$25:$F$747,$F245,'Калькуляция (МИ корр)'!$G$25:$G$747,$G245),IF(method_reg="Метод экономически обоснованных расходов",_xlfn.SUMIFS('Калькуляция (МЭОР)'!$AJ$25:$AJ$452,'Калькуляция (МЭОР)'!$F$25:$F$452,$F245,'Калькуляция (МЭОР)'!$G$25:$G$452,$G245),IF(method_reg="Метод сравнения аналогов",_xlfn.SUMIFS('Калькуляция (МСА)'!$AE$25:$AE$122,'Калькуляция (МСА)'!$F$25:$F$122,$F245,'Калькуляция (МСА)'!$G$25:$G$122,$G245),_xlfn.SUMIFS(INDEX('Калькуляция (МИ)'!$AJ$25:$BC$747,,MATCH(AS$8,'Калькуляция (МИ)'!$AJ$8:$BC$8,0)),'Калькуляция (МИ)'!$F$25:$F$747,$F245,'Калькуляция (МИ)'!$G$25:$G$747,$G245))))</f>
        <v>0</v>
      </c>
      <c r="AT245" s="5247">
        <f>IF(AND(method_reg="Метод индексации",god&lt;&gt;first_year),_xlfn.SUMIFS(INDEX('Калькуляция (МИ корр)'!$AJ$25:$BC$747,,MATCH(AT$8,'Калькуляция (МИ корр)'!$AJ$8:$BC$8,0)),'Калькуляция (МИ корр)'!$F$25:$F$747,$F245,'Калькуляция (МИ корр)'!$G$25:$G$747,$G245),IF(method_reg="Метод экономически обоснованных расходов",_xlfn.SUMIFS('Калькуляция (МЭОР)'!$AK$25:$AK$452,'Калькуляция (МЭОР)'!$F$25:$F$452,$F245,'Калькуляция (МЭОР)'!$G$25:$G$452,$G245),IF(method_reg="Метод сравнения аналогов",_xlfn.SUMIFS('Калькуляция (МСА)'!$AF$25:$AF$122,'Калькуляция (МСА)'!$F$25:$F$122,$F245,'Калькуляция (МСА)'!$G$25:$G$122,$G245),_xlfn.SUMIFS(INDEX('Калькуляция (МИ)'!$AJ$25:$BC$747,,MATCH(AT$8,'Калькуляция (МИ)'!$AJ$8:$BC$8,0)),'Калькуляция (МИ)'!$F$25:$F$747,$F245,'Калькуляция (МИ)'!$G$25:$G$747,$G245))))</f>
        <v>0</v>
      </c>
      <c r="AU245" s="1095">
        <f>IF(AS245=0,0,(AT245-AS245)/AS245*100)</f>
        <v>0</v>
      </c>
      <c r="AV245" s="5247">
        <f>IF(AND(method_reg="Метод индексации",god&lt;&gt;first_year),_xlfn.SUMIFS(INDEX('Калькуляция (МИ корр)'!$AJ$25:$BC$747,,MATCH(AV$8,'Калькуляция (МИ корр)'!$AJ$8:$BC$8,0)),'Калькуляция (МИ корр)'!$F$25:$F$747,$F245,'Калькуляция (МИ корр)'!$G$25:$G$747,$G245),IF(method_reg="Метод экономически обоснованных расходов",_xlfn.SUMIFS('Калькуляция (МЭОР)'!$AJ$25:$AJ$452,'Калькуляция (МЭОР)'!$F$25:$F$452,$F245,'Калькуляция (МЭОР)'!$G$25:$G$452,$G245),IF(method_reg="Метод сравнения аналогов",_xlfn.SUMIFS('Калькуляция (МСА)'!$AE$25:$AE$122,'Калькуляция (МСА)'!$F$25:$F$122,$F245,'Калькуляция (МСА)'!$G$25:$G$122,$G245),_xlfn.SUMIFS(INDEX('Калькуляция (МИ)'!$AJ$25:$BC$747,,MATCH(AV$8,'Калькуляция (МИ)'!$AJ$8:$BC$8,0)),'Калькуляция (МИ)'!$F$25:$F$747,$F245,'Калькуляция (МИ)'!$G$25:$G$747,$G245))))</f>
        <v>0</v>
      </c>
      <c r="AW245" s="5247">
        <f>IF(AND(method_reg="Метод индексации",god&lt;&gt;first_year),_xlfn.SUMIFS(INDEX('Калькуляция (МИ корр)'!$AJ$25:$BC$747,,MATCH(AW$8,'Калькуляция (МИ корр)'!$AJ$8:$BC$8,0)),'Калькуляция (МИ корр)'!$F$25:$F$747,$F245,'Калькуляция (МИ корр)'!$G$25:$G$747,$G245),IF(method_reg="Метод экономически обоснованных расходов",_xlfn.SUMIFS('Калькуляция (МЭОР)'!$AK$25:$AK$452,'Калькуляция (МЭОР)'!$F$25:$F$452,$F245,'Калькуляция (МЭОР)'!$G$25:$G$452,$G245),IF(method_reg="Метод сравнения аналогов",_xlfn.SUMIFS('Калькуляция (МСА)'!$AF$25:$AF$122,'Калькуляция (МСА)'!$F$25:$F$122,$F245,'Калькуляция (МСА)'!$G$25:$G$122,$G245),_xlfn.SUMIFS(INDEX('Калькуляция (МИ)'!$AJ$25:$BC$747,,MATCH(AW$8,'Калькуляция (МИ)'!$AJ$8:$BC$8,0)),'Калькуляция (МИ)'!$F$25:$F$747,$F245,'Калькуляция (МИ)'!$G$25:$G$747,$G245))))</f>
        <v>0</v>
      </c>
      <c r="AX245" s="1095">
        <f>IF(AV245=0,0,(AW245-AV245)/AV245*100)</f>
        <v>0</v>
      </c>
      <c r="AY245" s="5247">
        <f>IF(AND(method_reg="Метод индексации",god&lt;&gt;first_year),_xlfn.SUMIFS(INDEX('Калькуляция (МИ корр)'!$AJ$25:$BC$747,,MATCH(AY$8,'Калькуляция (МИ корр)'!$AJ$8:$BC$8,0)),'Калькуляция (МИ корр)'!$F$25:$F$747,$F245,'Калькуляция (МИ корр)'!$G$25:$G$747,$G245),IF(method_reg="Метод экономически обоснованных расходов",_xlfn.SUMIFS('Калькуляция (МЭОР)'!$AJ$25:$AJ$452,'Калькуляция (МЭОР)'!$F$25:$F$452,$F245,'Калькуляция (МЭОР)'!$G$25:$G$452,$G245),IF(method_reg="Метод сравнения аналогов",_xlfn.SUMIFS('Калькуляция (МСА)'!$AE$25:$AE$122,'Калькуляция (МСА)'!$F$25:$F$122,$F245,'Калькуляция (МСА)'!$G$25:$G$122,$G245),_xlfn.SUMIFS(INDEX('Калькуляция (МИ)'!$AJ$25:$BC$747,,MATCH(AY$8,'Калькуляция (МИ)'!$AJ$8:$BC$8,0)),'Калькуляция (МИ)'!$F$25:$F$747,$F245,'Калькуляция (МИ)'!$G$25:$G$747,$G245))))</f>
        <v>0</v>
      </c>
      <c r="AZ245" s="5247">
        <f>IF(AND(method_reg="Метод индексации",god&lt;&gt;first_year),_xlfn.SUMIFS(INDEX('Калькуляция (МИ корр)'!$AJ$25:$BC$747,,MATCH(AZ$8,'Калькуляция (МИ корр)'!$AJ$8:$BC$8,0)),'Калькуляция (МИ корр)'!$F$25:$F$747,$F245,'Калькуляция (МИ корр)'!$G$25:$G$747,$G245),IF(method_reg="Метод экономически обоснованных расходов",_xlfn.SUMIFS('Калькуляция (МЭОР)'!$AK$25:$AK$452,'Калькуляция (МЭОР)'!$F$25:$F$452,$F245,'Калькуляция (МЭОР)'!$G$25:$G$452,$G245),IF(method_reg="Метод сравнения аналогов",_xlfn.SUMIFS('Калькуляция (МСА)'!$AF$25:$AF$122,'Калькуляция (МСА)'!$F$25:$F$122,$F245,'Калькуляция (МСА)'!$G$25:$G$122,$G245),_xlfn.SUMIFS(INDEX('Калькуляция (МИ)'!$AJ$25:$BC$747,,MATCH(AZ$8,'Калькуляция (МИ)'!$AJ$8:$BC$8,0)),'Калькуляция (МИ)'!$F$25:$F$747,$F245,'Калькуляция (МИ)'!$G$25:$G$747,$G245))))</f>
        <v>0</v>
      </c>
      <c r="BA245" s="1095">
        <f>IF(AY245=0,0,(AZ245-AY245)/AY245*100)</f>
        <v>0</v>
      </c>
      <c r="BB245" s="5247">
        <f>IF(AND(method_reg="Метод индексации",god&lt;&gt;first_year),_xlfn.SUMIFS(INDEX('Калькуляция (МИ корр)'!$AJ$25:$BC$747,,MATCH(BB$8,'Калькуляция (МИ корр)'!$AJ$8:$BC$8,0)),'Калькуляция (МИ корр)'!$F$25:$F$747,$F245,'Калькуляция (МИ корр)'!$G$25:$G$747,$G245),IF(method_reg="Метод экономически обоснованных расходов",_xlfn.SUMIFS('Калькуляция (МЭОР)'!$AJ$25:$AJ$452,'Калькуляция (МЭОР)'!$F$25:$F$452,$F245,'Калькуляция (МЭОР)'!$G$25:$G$452,$G245),IF(method_reg="Метод сравнения аналогов",_xlfn.SUMIFS('Калькуляция (МСА)'!$AE$25:$AE$122,'Калькуляция (МСА)'!$F$25:$F$122,$F245,'Калькуляция (МСА)'!$G$25:$G$122,$G245),_xlfn.SUMIFS(INDEX('Калькуляция (МИ)'!$AJ$25:$BC$747,,MATCH(BB$8,'Калькуляция (МИ)'!$AJ$8:$BC$8,0)),'Калькуляция (МИ)'!$F$25:$F$747,$F245,'Калькуляция (МИ)'!$G$25:$G$747,$G245))))</f>
        <v>0</v>
      </c>
      <c r="BC245" s="5247">
        <f>IF(AND(method_reg="Метод индексации",god&lt;&gt;first_year),_xlfn.SUMIFS(INDEX('Калькуляция (МИ корр)'!$AJ$25:$BC$747,,MATCH(BC$8,'Калькуляция (МИ корр)'!$AJ$8:$BC$8,0)),'Калькуляция (МИ корр)'!$F$25:$F$747,$F245,'Калькуляция (МИ корр)'!$G$25:$G$747,$G245),IF(method_reg="Метод экономически обоснованных расходов",_xlfn.SUMIFS('Калькуляция (МЭОР)'!$AK$25:$AK$452,'Калькуляция (МЭОР)'!$F$25:$F$452,$F245,'Калькуляция (МЭОР)'!$G$25:$G$452,$G245),IF(method_reg="Метод сравнения аналогов",_xlfn.SUMIFS('Калькуляция (МСА)'!$AF$25:$AF$122,'Калькуляция (МСА)'!$F$25:$F$122,$F245,'Калькуляция (МСА)'!$G$25:$G$122,$G245),_xlfn.SUMIFS(INDEX('Калькуляция (МИ)'!$AJ$25:$BC$747,,MATCH(BC$8,'Калькуляция (МИ)'!$AJ$8:$BC$8,0)),'Калькуляция (МИ)'!$F$25:$F$747,$F245,'Калькуляция (МИ)'!$G$25:$G$747,$G245))))</f>
        <v>0</v>
      </c>
      <c r="BD245" s="1095">
        <f>IF(BB245=0,0,(BC245-BB245)/BB245*100)</f>
        <v>0</v>
      </c>
      <c r="BE245" s="5247">
        <f>IF(AND(method_reg="Метод индексации",god&lt;&gt;first_year),_xlfn.SUMIFS(INDEX('Калькуляция (МИ корр)'!$AJ$25:$BC$747,,MATCH(BE$8,'Калькуляция (МИ корр)'!$AJ$8:$BC$8,0)),'Калькуляция (МИ корр)'!$F$25:$F$747,$F245,'Калькуляция (МИ корр)'!$G$25:$G$747,$G245),IF(method_reg="Метод экономически обоснованных расходов",_xlfn.SUMIFS('Калькуляция (МЭОР)'!$AJ$25:$AJ$452,'Калькуляция (МЭОР)'!$F$25:$F$452,$F245,'Калькуляция (МЭОР)'!$G$25:$G$452,$G245),IF(method_reg="Метод сравнения аналогов",_xlfn.SUMIFS('Калькуляция (МСА)'!$AE$25:$AE$122,'Калькуляция (МСА)'!$F$25:$F$122,$F245,'Калькуляция (МСА)'!$G$25:$G$122,$G245),_xlfn.SUMIFS(INDEX('Калькуляция (МИ)'!$AJ$25:$BC$747,,MATCH(BE$8,'Калькуляция (МИ)'!$AJ$8:$BC$8,0)),'Калькуляция (МИ)'!$F$25:$F$747,$F245,'Калькуляция (МИ)'!$G$25:$G$747,$G245))))</f>
        <v>0</v>
      </c>
      <c r="BF245" s="5247">
        <f>IF(AND(method_reg="Метод индексации",god&lt;&gt;first_year),_xlfn.SUMIFS(INDEX('Калькуляция (МИ корр)'!$AJ$25:$BC$747,,MATCH(BF$8,'Калькуляция (МИ корр)'!$AJ$8:$BC$8,0)),'Калькуляция (МИ корр)'!$F$25:$F$747,$F245,'Калькуляция (МИ корр)'!$G$25:$G$747,$G245),IF(method_reg="Метод экономически обоснованных расходов",_xlfn.SUMIFS('Калькуляция (МЭОР)'!$AK$25:$AK$452,'Калькуляция (МЭОР)'!$F$25:$F$452,$F245,'Калькуляция (МЭОР)'!$G$25:$G$452,$G245),IF(method_reg="Метод сравнения аналогов",_xlfn.SUMIFS('Калькуляция (МСА)'!$AF$25:$AF$122,'Калькуляция (МСА)'!$F$25:$F$122,$F245,'Калькуляция (МСА)'!$G$25:$G$122,$G245),_xlfn.SUMIFS(INDEX('Калькуляция (МИ)'!$AJ$25:$BC$747,,MATCH(BF$8,'Калькуляция (МИ)'!$AJ$8:$BC$8,0)),'Калькуляция (МИ)'!$F$25:$F$747,$F245,'Калькуляция (МИ)'!$G$25:$G$747,$G245))))</f>
        <v>0</v>
      </c>
      <c r="BG245" s="1104">
        <f>IF(BE245=0,0,(BF245-BE245)/BE245*100)</f>
        <v>0</v>
      </c>
      <c r="BH245" s="5247"/>
      <c r="BI245" s="5247"/>
      <c r="BJ245" s="1104">
        <f>IF(BH245=0,0,(BI245-BH245)/BH245*100)</f>
        <v>0</v>
      </c>
      <c r="BK245" s="5247"/>
      <c r="BL245" s="5247"/>
      <c r="BM245" s="1104">
        <f>IF(BK245=0,0,(BL245-BK245)/BK245*100)</f>
        <v>0</v>
      </c>
      <c r="BN245" s="5247"/>
      <c r="BO245" s="5247"/>
      <c r="BP245" s="1104">
        <f>IF(BN245=0,0,(BO245-BN245)/BN245*100)</f>
        <v>0</v>
      </c>
      <c r="BQ245" s="5247"/>
      <c r="BR245" s="5247"/>
      <c r="BS245" s="1104">
        <f>IF(BQ245=0,0,(BR245-BQ245)/BQ245*100)</f>
        <v>0</v>
      </c>
      <c r="BT245" s="5247"/>
      <c r="BU245" s="5247"/>
      <c r="BV245" s="1104">
        <f>IF(BT245=0,0,(BU245-BT245)/BT245*100)</f>
        <v>0</v>
      </c>
      <c r="BW245" s="5247"/>
      <c r="BX245" s="5247"/>
      <c r="BY245" s="1104">
        <f>IF(BW245=0,0,(BX245-BW245)/BW245*100)</f>
        <v>0</v>
      </c>
      <c r="BZ245" s="5247"/>
      <c r="CA245" s="5247"/>
      <c r="CB245" s="1104">
        <f>IF(BZ245=0,0,(CA245-BZ245)/BZ245*100)</f>
        <v>0</v>
      </c>
      <c r="CC245" s="5247"/>
      <c r="CD245" s="5247"/>
      <c r="CE245" s="1104">
        <f>IF(CC245=0,0,(CD245-CC245)/CC245*100)</f>
        <v>0</v>
      </c>
      <c r="CF245" s="5247"/>
      <c r="CG245" s="5247"/>
      <c r="CH245" s="1104">
        <f>IF(CF245=0,0,(CG245-CF245)/CF245*100)</f>
        <v>0</v>
      </c>
      <c r="CI245" s="5247"/>
      <c r="CJ245" s="5247"/>
      <c r="CK245" s="1104">
        <f>IF(CI245=0,0,(CJ245-CI245)/CI245*100)</f>
        <v>0</v>
      </c>
      <c r="CL245" s="5247"/>
      <c r="CM245" s="5247"/>
      <c r="CN245" s="1104">
        <f>IF(CL245=0,0,(CM245-CL245)/CL245*100)</f>
        <v>0</v>
      </c>
      <c r="CO245" s="5247"/>
      <c r="CP245" s="5247"/>
      <c r="CQ245" s="1104">
        <f>IF(CO245=0,0,(CP245-CO245)/CO245*100)</f>
        <v>0</v>
      </c>
      <c r="CR245" s="5247"/>
      <c r="CS245" s="5247"/>
      <c r="CT245" s="1104">
        <f>IF(CR245=0,0,(CS245-CR245)/CR245*100)</f>
        <v>0</v>
      </c>
      <c r="CU245" s="5247"/>
      <c r="CV245" s="5247"/>
      <c r="CW245" s="1104">
        <f>IF(CU245=0,0,(CV245-CU245)/CU245*100)</f>
        <v>0</v>
      </c>
      <c r="CX245" s="5247"/>
      <c r="CY245" s="5247"/>
      <c r="CZ245" s="1104">
        <f>IF(CX245=0,0,(CY245-CX245)/CX245*100)</f>
        <v>0</v>
      </c>
      <c r="DA245" s="5247"/>
      <c r="DB245" s="5247"/>
      <c r="DC245" s="1104">
        <f>IF(DA245=0,0,(DB245-DA245)/DA245*100)</f>
        <v>0</v>
      </c>
      <c r="DD245" s="5247"/>
      <c r="DE245" s="5247"/>
      <c r="DF245" s="1104">
        <f>IF(DD245=0,0,(DE245-DD245)/DD245*100)</f>
        <v>0</v>
      </c>
      <c r="DG245" s="5247"/>
      <c r="DH245" s="5247"/>
      <c r="DI245" s="1104">
        <f>IF(DG245=0,0,(DH245-DG245)/DG245*100)</f>
        <v>0</v>
      </c>
      <c r="DJ245" s="5247"/>
      <c r="DK245" s="5247"/>
      <c r="DL245" s="1104">
        <f>IF(DJ245=0,0,(DK245-DJ245)/DJ245*100)</f>
        <v>0</v>
      </c>
      <c r="DM245" s="5247"/>
      <c r="DN245" s="5247"/>
      <c r="DO245" s="1104">
        <f>IF(DM245=0,0,(DN245-DM245)/DM245*100)</f>
        <v>0</v>
      </c>
      <c r="DP245" s="5247"/>
      <c r="DQ245" s="5247"/>
      <c r="DR245" s="1104">
        <f>IF(DP245=0,0,(DQ245-DP245)/DP245*100)</f>
        <v>0</v>
      </c>
      <c r="DS245" s="5247"/>
      <c r="DT245" s="5247"/>
      <c r="DU245" s="1104">
        <f>IF(DS245=0,0,(DT245-DS245)/DS245*100)</f>
        <v>0</v>
      </c>
      <c r="DV245" s="5247"/>
      <c r="DW245" s="5247"/>
      <c r="DX245" s="1104">
        <f>IF(DV245=0,0,(DW245-DV245)/DV245*100)</f>
        <v>0</v>
      </c>
      <c r="DY245" s="5247"/>
      <c r="DZ245" s="5247"/>
      <c r="EA245" s="1104">
        <f>IF(DY245=0,0,(DZ245-DY245)/DY245*100)</f>
        <v>0</v>
      </c>
      <c r="EB245" s="5247"/>
      <c r="EC245" s="5247"/>
      <c r="ED245" s="1104">
        <f>IF(EB245=0,0,(EC245-EB245)/EB245*100)</f>
        <v>0</v>
      </c>
      <c r="EE245" s="5247"/>
      <c r="EF245" s="5247"/>
      <c r="EG245" s="1104">
        <f>IF(EE245=0,0,(EF245-EE245)/EE245*100)</f>
        <v>0</v>
      </c>
      <c r="EH245" s="5247"/>
      <c r="EI245" s="5247"/>
      <c r="EJ245" s="1104">
        <f>IF(EH245=0,0,(EI245-EH245)/EH245*100)</f>
        <v>0</v>
      </c>
      <c r="EK245" s="5247"/>
      <c r="EL245" s="5247"/>
      <c r="EM245" s="1104">
        <f>IF(EK245=0,0,(EL245-EK245)/EK245*100)</f>
        <v>0</v>
      </c>
      <c r="EN245" s="5247"/>
      <c r="EO245" s="5247"/>
      <c r="EP245" s="1104">
        <f>IF(EN245=0,0,(EO245-EN245)/EN245*100)</f>
        <v>0</v>
      </c>
      <c r="EQ245" s="5247"/>
      <c r="ER245" s="5247"/>
      <c r="ES245" s="1104">
        <f>IF(EQ245=0,0,(ER245-EQ245)/EQ245*100)</f>
        <v>0</v>
      </c>
      <c r="ET245" s="5247"/>
      <c r="EU245" s="5247"/>
      <c r="EV245" s="1104">
        <f>IF(ET245=0,0,(EU245-ET245)/ET245*100)</f>
        <v>0</v>
      </c>
      <c r="EW245" s="5247"/>
      <c r="EX245" s="5247"/>
      <c r="EY245" s="1104">
        <f>IF(EW245=0,0,(EX245-EW245)/EW245*100)</f>
        <v>0</v>
      </c>
      <c r="EZ245" s="5247"/>
      <c r="FA245" s="5247"/>
      <c r="FB245" s="1104">
        <f>IF(EZ245=0,0,(FA245-EZ245)/EZ245*100)</f>
        <v>0</v>
      </c>
      <c r="FC245" s="5247"/>
      <c r="FD245" s="5247"/>
      <c r="FE245" s="1104">
        <f>IF(FC245=0,0,(FD245-FC245)/FC245*100)</f>
        <v>0</v>
      </c>
      <c r="FF245" s="5247"/>
      <c r="FG245" s="5247"/>
      <c r="FH245" s="1104">
        <f>IF(FF245=0,0,(FG245-FF245)/FF245*100)</f>
        <v>0</v>
      </c>
      <c r="FI245" s="5247"/>
      <c r="FJ245" s="5247"/>
      <c r="FK245" s="1104">
        <f>IF(FI245=0,0,(FJ245-FI245)/FI245*100)</f>
        <v>0</v>
      </c>
      <c r="FL245" s="5247"/>
      <c r="FM245" s="5247"/>
      <c r="FN245" s="1104">
        <f>IF(FL245=0,0,(FM245-FL245)/FL245*100)</f>
        <v>0</v>
      </c>
      <c r="FO245" s="5247"/>
      <c r="FP245" s="5247"/>
      <c r="FQ245" s="1104">
        <f>IF(FO245=0,0,(FP245-FO245)/FO245*100)</f>
        <v>0</v>
      </c>
      <c r="FR245" s="5247"/>
      <c r="FS245" s="5247"/>
      <c r="FT245" s="1104">
        <f>IF(FR245=0,0,(FS245-FR245)/FR245*100)</f>
        <v>0</v>
      </c>
      <c r="FU245" s="5247"/>
      <c r="FV245" s="5247"/>
      <c r="FW245" s="1104">
        <f>IF(FU245=0,0,(FV245-FU245)/FU245*100)</f>
        <v>0</v>
      </c>
      <c r="FX245" s="1304"/>
      <c r="FY245" s="1304"/>
      <c r="FZ245" s="1055" t="s">
        <v>2387</v>
      </c>
      <c r="GA245" s="1306"/>
      <c r="GB245" s="1306"/>
      <c r="GC245" s="1305"/>
      <c r="GD245" s="1305"/>
    </row>
    <row s="1834" customFormat="1" customHeight="1" ht="21.75" hidden="1">
      <c r="A246" s="493"/>
      <c r="B246" s="925" cm="1" t="str">
        <f t="array" ref="B246:B246">B245</f>
        <v>false</v>
      </c>
      <c r="C246" s="493"/>
      <c r="D246" s="493"/>
      <c r="E246" s="840">
        <v>22.5</v>
      </c>
      <c r="F246" s="50" cm="1" t="str">
        <f t="array" ref="F246:F246">OFFSET(E246,-1,1)</f>
        <v>3</v>
      </c>
      <c r="G246" s="493"/>
      <c r="H246" s="493" t="s">
        <v>2376</v>
      </c>
      <c r="I246" s="493" t="s">
        <v>2340</v>
      </c>
      <c r="J246" s="493"/>
      <c r="K246" s="493"/>
      <c r="L246" s="493"/>
      <c r="M246" s="493"/>
      <c r="N246" s="493"/>
      <c r="O246" s="493"/>
      <c r="P246" s="493"/>
      <c r="Q246" s="493"/>
      <c r="R246" s="493"/>
      <c r="S246" s="493"/>
      <c r="T246" s="465" cm="1" t="str">
        <f t="array" ref="T246:T246">T245</f>
        <v>true</v>
      </c>
      <c r="U246" s="493"/>
      <c r="V246" s="493"/>
      <c r="W246" s="493"/>
      <c r="X246" s="1596"/>
      <c r="Y246" s="493"/>
      <c r="Z246" s="1545"/>
      <c r="AA246" s="493"/>
      <c r="AB246" s="1091" t="str">
        <f>"ставка платы за содержание системы "&amp;IF(Q218="Водоснабжение","холодного водоснабжения","водоотведения")</f>
        <v>ставка платы за содержание системы водоотведения</v>
      </c>
      <c r="AC246" s="864" t="s">
        <v>2377</v>
      </c>
      <c r="AD246" s="2846"/>
      <c r="AE246" s="2846"/>
      <c r="AF246" s="1093">
        <f>IF(AD246=0,0,(AE246-AD246)/AD246*100)</f>
        <v>0</v>
      </c>
      <c r="AG246" s="2846"/>
      <c r="AH246" s="2846"/>
      <c r="AI246" s="1093">
        <f>IF(AG246=0,0,(AH246-AG246)/AG246*100)</f>
        <v>0</v>
      </c>
      <c r="AJ246" s="2846"/>
      <c r="AK246" s="2846"/>
      <c r="AL246" s="1093">
        <f>IF(AJ246=0,0,(AK246-AJ246)/AJ246*100)</f>
        <v>0</v>
      </c>
      <c r="AM246" s="2846"/>
      <c r="AN246" s="2846"/>
      <c r="AO246" s="1093">
        <f>IF(AM246=0,0,(AN246-AM246)/AM246*100)</f>
        <v>0</v>
      </c>
      <c r="AP246" s="2846"/>
      <c r="AQ246" s="2846"/>
      <c r="AR246" s="1093">
        <f>IF(AP246=0,0,(AQ246-AP246)/AP246*100)</f>
        <v>0</v>
      </c>
      <c r="AS246" s="2846"/>
      <c r="AT246" s="2846"/>
      <c r="AU246" s="1093">
        <f>IF(AS246=0,0,(AT246-AS246)/AS246*100)</f>
        <v>0</v>
      </c>
      <c r="AV246" s="2846"/>
      <c r="AW246" s="2846"/>
      <c r="AX246" s="1093">
        <f>IF(AV246=0,0,(AW246-AV246)/AV246*100)</f>
        <v>0</v>
      </c>
      <c r="AY246" s="2846"/>
      <c r="AZ246" s="2846"/>
      <c r="BA246" s="1093">
        <f>IF(AY246=0,0,(AZ246-AY246)/AY246*100)</f>
        <v>0</v>
      </c>
      <c r="BB246" s="2846"/>
      <c r="BC246" s="2846"/>
      <c r="BD246" s="1093">
        <f>IF(BB246=0,0,(BC246-BB246)/BB246*100)</f>
        <v>0</v>
      </c>
      <c r="BE246" s="2846"/>
      <c r="BF246" s="2846"/>
      <c r="BG246" s="1093">
        <f>IF(BE246=0,0,(BF246-BE246)/BE246*100)</f>
        <v>0</v>
      </c>
      <c r="BH246" s="2846"/>
      <c r="BI246" s="2846"/>
      <c r="BJ246" s="1093">
        <f>IF(BH246=0,0,(BI246-BH246)/BH246*100)</f>
        <v>0</v>
      </c>
      <c r="BK246" s="2846"/>
      <c r="BL246" s="2846"/>
      <c r="BM246" s="1093">
        <f>IF(BK246=0,0,(BL246-BK246)/BK246*100)</f>
        <v>0</v>
      </c>
      <c r="BN246" s="2846"/>
      <c r="BO246" s="2846"/>
      <c r="BP246" s="1093">
        <f>IF(BN246=0,0,(BO246-BN246)/BN246*100)</f>
        <v>0</v>
      </c>
      <c r="BQ246" s="2846"/>
      <c r="BR246" s="2846"/>
      <c r="BS246" s="1093">
        <f>IF(BQ246=0,0,(BR246-BQ246)/BQ246*100)</f>
        <v>0</v>
      </c>
      <c r="BT246" s="2846"/>
      <c r="BU246" s="2846"/>
      <c r="BV246" s="1093">
        <f>IF(BT246=0,0,(BU246-BT246)/BT246*100)</f>
        <v>0</v>
      </c>
      <c r="BW246" s="2846"/>
      <c r="BX246" s="2846"/>
      <c r="BY246" s="1093">
        <f>IF(BW246=0,0,(BX246-BW246)/BW246*100)</f>
        <v>0</v>
      </c>
      <c r="BZ246" s="2846"/>
      <c r="CA246" s="2846"/>
      <c r="CB246" s="1093">
        <f>IF(BZ246=0,0,(CA246-BZ246)/BZ246*100)</f>
        <v>0</v>
      </c>
      <c r="CC246" s="2846"/>
      <c r="CD246" s="2846"/>
      <c r="CE246" s="1093">
        <f>IF(CC246=0,0,(CD246-CC246)/CC246*100)</f>
        <v>0</v>
      </c>
      <c r="CF246" s="2846"/>
      <c r="CG246" s="2846"/>
      <c r="CH246" s="1093">
        <f>IF(CF246=0,0,(CG246-CF246)/CF246*100)</f>
        <v>0</v>
      </c>
      <c r="CI246" s="2846"/>
      <c r="CJ246" s="2846"/>
      <c r="CK246" s="1093">
        <f>IF(CI246=0,0,(CJ246-CI246)/CI246*100)</f>
        <v>0</v>
      </c>
      <c r="CL246" s="2846"/>
      <c r="CM246" s="2846"/>
      <c r="CN246" s="1093">
        <f>IF(CL246=0,0,(CM246-CL246)/CL246*100)</f>
        <v>0</v>
      </c>
      <c r="CO246" s="2846"/>
      <c r="CP246" s="2846"/>
      <c r="CQ246" s="1093">
        <f>IF(CO246=0,0,(CP246-CO246)/CO246*100)</f>
        <v>0</v>
      </c>
      <c r="CR246" s="2846"/>
      <c r="CS246" s="2846"/>
      <c r="CT246" s="1093">
        <f>IF(CR246=0,0,(CS246-CR246)/CR246*100)</f>
        <v>0</v>
      </c>
      <c r="CU246" s="2846"/>
      <c r="CV246" s="2846"/>
      <c r="CW246" s="1093">
        <f>IF(CU246=0,0,(CV246-CU246)/CU246*100)</f>
        <v>0</v>
      </c>
      <c r="CX246" s="2846"/>
      <c r="CY246" s="2846"/>
      <c r="CZ246" s="1093">
        <f>IF(CX246=0,0,(CY246-CX246)/CX246*100)</f>
        <v>0</v>
      </c>
      <c r="DA246" s="2846"/>
      <c r="DB246" s="2846"/>
      <c r="DC246" s="1093">
        <f>IF(DA246=0,0,(DB246-DA246)/DA246*100)</f>
        <v>0</v>
      </c>
      <c r="DD246" s="2846"/>
      <c r="DE246" s="2846"/>
      <c r="DF246" s="1093">
        <f>IF(DD246=0,0,(DE246-DD246)/DD246*100)</f>
        <v>0</v>
      </c>
      <c r="DG246" s="2846"/>
      <c r="DH246" s="2846"/>
      <c r="DI246" s="1093">
        <f>IF(DG246=0,0,(DH246-DG246)/DG246*100)</f>
        <v>0</v>
      </c>
      <c r="DJ246" s="2846"/>
      <c r="DK246" s="2846"/>
      <c r="DL246" s="1093">
        <f>IF(DJ246=0,0,(DK246-DJ246)/DJ246*100)</f>
        <v>0</v>
      </c>
      <c r="DM246" s="2846"/>
      <c r="DN246" s="2846"/>
      <c r="DO246" s="1093">
        <f>IF(DM246=0,0,(DN246-DM246)/DM246*100)</f>
        <v>0</v>
      </c>
      <c r="DP246" s="2846"/>
      <c r="DQ246" s="2846"/>
      <c r="DR246" s="1093">
        <f>IF(DP246=0,0,(DQ246-DP246)/DP246*100)</f>
        <v>0</v>
      </c>
      <c r="DS246" s="2846"/>
      <c r="DT246" s="2846"/>
      <c r="DU246" s="1093">
        <f>IF(DS246=0,0,(DT246-DS246)/DS246*100)</f>
        <v>0</v>
      </c>
      <c r="DV246" s="2846"/>
      <c r="DW246" s="2846"/>
      <c r="DX246" s="1093">
        <f>IF(DV246=0,0,(DW246-DV246)/DV246*100)</f>
        <v>0</v>
      </c>
      <c r="DY246" s="2846"/>
      <c r="DZ246" s="2846"/>
      <c r="EA246" s="1093">
        <f>IF(DY246=0,0,(DZ246-DY246)/DY246*100)</f>
        <v>0</v>
      </c>
      <c r="EB246" s="2846"/>
      <c r="EC246" s="2846"/>
      <c r="ED246" s="1093">
        <f>IF(EB246=0,0,(EC246-EB246)/EB246*100)</f>
        <v>0</v>
      </c>
      <c r="EE246" s="2846"/>
      <c r="EF246" s="2846"/>
      <c r="EG246" s="1093">
        <f>IF(EE246=0,0,(EF246-EE246)/EE246*100)</f>
        <v>0</v>
      </c>
      <c r="EH246" s="2846"/>
      <c r="EI246" s="2846"/>
      <c r="EJ246" s="1093">
        <f>IF(EH246=0,0,(EI246-EH246)/EH246*100)</f>
        <v>0</v>
      </c>
      <c r="EK246" s="2846"/>
      <c r="EL246" s="2846"/>
      <c r="EM246" s="1093">
        <f>IF(EK246=0,0,(EL246-EK246)/EK246*100)</f>
        <v>0</v>
      </c>
      <c r="EN246" s="2846"/>
      <c r="EO246" s="2846"/>
      <c r="EP246" s="1093">
        <f>IF(EN246=0,0,(EO246-EN246)/EN246*100)</f>
        <v>0</v>
      </c>
      <c r="EQ246" s="2846"/>
      <c r="ER246" s="2846"/>
      <c r="ES246" s="1093">
        <f>IF(EQ246=0,0,(ER246-EQ246)/EQ246*100)</f>
        <v>0</v>
      </c>
      <c r="ET246" s="2846"/>
      <c r="EU246" s="2846"/>
      <c r="EV246" s="1093">
        <f>IF(ET246=0,0,(EU246-ET246)/ET246*100)</f>
        <v>0</v>
      </c>
      <c r="EW246" s="2846"/>
      <c r="EX246" s="2846"/>
      <c r="EY246" s="1093">
        <f>IF(EW246=0,0,(EX246-EW246)/EW246*100)</f>
        <v>0</v>
      </c>
      <c r="EZ246" s="2846"/>
      <c r="FA246" s="2846"/>
      <c r="FB246" s="1093">
        <f>IF(EZ246=0,0,(FA246-EZ246)/EZ246*100)</f>
        <v>0</v>
      </c>
      <c r="FC246" s="2846"/>
      <c r="FD246" s="2846"/>
      <c r="FE246" s="1093">
        <f>IF(FC246=0,0,(FD246-FC246)/FC246*100)</f>
        <v>0</v>
      </c>
      <c r="FF246" s="2846"/>
      <c r="FG246" s="2846"/>
      <c r="FH246" s="1093">
        <f>IF(FF246=0,0,(FG246-FF246)/FF246*100)</f>
        <v>0</v>
      </c>
      <c r="FI246" s="2846"/>
      <c r="FJ246" s="2846"/>
      <c r="FK246" s="1093">
        <f>IF(FI246=0,0,(FJ246-FI246)/FI246*100)</f>
        <v>0</v>
      </c>
      <c r="FL246" s="2846"/>
      <c r="FM246" s="2846"/>
      <c r="FN246" s="1093">
        <f>IF(FL246=0,0,(FM246-FL246)/FL246*100)</f>
        <v>0</v>
      </c>
      <c r="FO246" s="2846"/>
      <c r="FP246" s="2846"/>
      <c r="FQ246" s="1093">
        <f>IF(FO246=0,0,(FP246-FO246)/FO246*100)</f>
        <v>0</v>
      </c>
      <c r="FR246" s="2846"/>
      <c r="FS246" s="2846"/>
      <c r="FT246" s="1093">
        <f>IF(FR246=0,0,(FS246-FR246)/FR246*100)</f>
        <v>0</v>
      </c>
      <c r="FU246" s="2846"/>
      <c r="FV246" s="2846"/>
      <c r="FW246" s="1093">
        <f>IF(FU246=0,0,(FV246-FU246)/FU246*100)</f>
        <v>0</v>
      </c>
      <c r="FX246" s="1304"/>
      <c r="FY246" s="1304"/>
      <c r="FZ246" s="1055" t="s">
        <v>2388</v>
      </c>
      <c r="GA246" s="1306"/>
      <c r="GB246" s="1306"/>
      <c r="GC246" s="1305"/>
      <c r="GD246" s="1305"/>
    </row>
    <row s="1834" customFormat="1" customHeight="1" ht="14.25" hidden="1">
      <c r="A247" s="493"/>
      <c r="B247" s="925" cm="1" t="str">
        <f t="array" ref="B247:B247">B246</f>
        <v>false</v>
      </c>
      <c r="C247" s="493"/>
      <c r="D247" s="493"/>
      <c r="E247" s="840">
        <v>15</v>
      </c>
      <c r="F247" s="50" cm="1" t="str">
        <f t="array" ref="F247:F247">OFFSET(E247,-1,1)</f>
        <v>3</v>
      </c>
      <c r="G247" s="493"/>
      <c r="H247" s="493" t="s">
        <v>2379</v>
      </c>
      <c r="I247" s="493" t="s">
        <v>2340</v>
      </c>
      <c r="J247" s="493"/>
      <c r="K247" s="493"/>
      <c r="L247" s="493"/>
      <c r="M247" s="493"/>
      <c r="N247" s="493"/>
      <c r="O247" s="493"/>
      <c r="P247" s="493"/>
      <c r="Q247" s="493"/>
      <c r="R247" s="493"/>
      <c r="S247" s="493"/>
      <c r="T247" s="465" cm="1" t="str">
        <f t="array" ref="T247:T247">T246</f>
        <v>true</v>
      </c>
      <c r="U247" s="493"/>
      <c r="V247" s="493"/>
      <c r="W247" s="493"/>
      <c r="X247" s="1596"/>
      <c r="Y247" s="493"/>
      <c r="Z247" s="1545"/>
      <c r="AA247" s="493"/>
      <c r="AB247" s="1091" t="s">
        <v>2380</v>
      </c>
      <c r="AC247" s="864" t="s">
        <v>2381</v>
      </c>
      <c r="AD247" s="2846"/>
      <c r="AE247" s="2846"/>
      <c r="AF247" s="1093">
        <f>IF(AD247=0,0,(AE247-AD247)/AD247*100)</f>
        <v>0</v>
      </c>
      <c r="AG247" s="2846"/>
      <c r="AH247" s="2846"/>
      <c r="AI247" s="1093">
        <f>IF(AG247=0,0,(AH247-AG247)/AG247*100)</f>
        <v>0</v>
      </c>
      <c r="AJ247" s="2846"/>
      <c r="AK247" s="2846"/>
      <c r="AL247" s="1093">
        <f>IF(AJ247=0,0,(AK247-AJ247)/AJ247*100)</f>
        <v>0</v>
      </c>
      <c r="AM247" s="2846"/>
      <c r="AN247" s="2846"/>
      <c r="AO247" s="1093">
        <f>IF(AM247=0,0,(AN247-AM247)/AM247*100)</f>
        <v>0</v>
      </c>
      <c r="AP247" s="2846"/>
      <c r="AQ247" s="2846"/>
      <c r="AR247" s="1093">
        <f>IF(AP247=0,0,(AQ247-AP247)/AP247*100)</f>
        <v>0</v>
      </c>
      <c r="AS247" s="2846"/>
      <c r="AT247" s="2846"/>
      <c r="AU247" s="1093">
        <f>IF(AS247=0,0,(AT247-AS247)/AS247*100)</f>
        <v>0</v>
      </c>
      <c r="AV247" s="2846"/>
      <c r="AW247" s="2846"/>
      <c r="AX247" s="1093">
        <f>IF(AV247=0,0,(AW247-AV247)/AV247*100)</f>
        <v>0</v>
      </c>
      <c r="AY247" s="2846"/>
      <c r="AZ247" s="2846"/>
      <c r="BA247" s="1093">
        <f>IF(AY247=0,0,(AZ247-AY247)/AY247*100)</f>
        <v>0</v>
      </c>
      <c r="BB247" s="2846"/>
      <c r="BC247" s="2846"/>
      <c r="BD247" s="1093">
        <f>IF(BB247=0,0,(BC247-BB247)/BB247*100)</f>
        <v>0</v>
      </c>
      <c r="BE247" s="2846"/>
      <c r="BF247" s="2846"/>
      <c r="BG247" s="1093">
        <f>IF(BE247=0,0,(BF247-BE247)/BE247*100)</f>
        <v>0</v>
      </c>
      <c r="BH247" s="2846"/>
      <c r="BI247" s="2846"/>
      <c r="BJ247" s="1093">
        <f>IF(BH247=0,0,(BI247-BH247)/BH247*100)</f>
        <v>0</v>
      </c>
      <c r="BK247" s="2846"/>
      <c r="BL247" s="2846"/>
      <c r="BM247" s="1093">
        <f>IF(BK247=0,0,(BL247-BK247)/BK247*100)</f>
        <v>0</v>
      </c>
      <c r="BN247" s="2846"/>
      <c r="BO247" s="2846"/>
      <c r="BP247" s="1093">
        <f>IF(BN247=0,0,(BO247-BN247)/BN247*100)</f>
        <v>0</v>
      </c>
      <c r="BQ247" s="2846"/>
      <c r="BR247" s="2846"/>
      <c r="BS247" s="1093">
        <f>IF(BQ247=0,0,(BR247-BQ247)/BQ247*100)</f>
        <v>0</v>
      </c>
      <c r="BT247" s="2846"/>
      <c r="BU247" s="2846"/>
      <c r="BV247" s="1093">
        <f>IF(BT247=0,0,(BU247-BT247)/BT247*100)</f>
        <v>0</v>
      </c>
      <c r="BW247" s="2846"/>
      <c r="BX247" s="2846"/>
      <c r="BY247" s="1093">
        <f>IF(BW247=0,0,(BX247-BW247)/BW247*100)</f>
        <v>0</v>
      </c>
      <c r="BZ247" s="2846"/>
      <c r="CA247" s="2846"/>
      <c r="CB247" s="1093">
        <f>IF(BZ247=0,0,(CA247-BZ247)/BZ247*100)</f>
        <v>0</v>
      </c>
      <c r="CC247" s="2846"/>
      <c r="CD247" s="2846"/>
      <c r="CE247" s="1093">
        <f>IF(CC247=0,0,(CD247-CC247)/CC247*100)</f>
        <v>0</v>
      </c>
      <c r="CF247" s="2846"/>
      <c r="CG247" s="2846"/>
      <c r="CH247" s="1093">
        <f>IF(CF247=0,0,(CG247-CF247)/CF247*100)</f>
        <v>0</v>
      </c>
      <c r="CI247" s="2846"/>
      <c r="CJ247" s="2846"/>
      <c r="CK247" s="1093">
        <f>IF(CI247=0,0,(CJ247-CI247)/CI247*100)</f>
        <v>0</v>
      </c>
      <c r="CL247" s="2846"/>
      <c r="CM247" s="2846"/>
      <c r="CN247" s="1093">
        <f>IF(CL247=0,0,(CM247-CL247)/CL247*100)</f>
        <v>0</v>
      </c>
      <c r="CO247" s="2846"/>
      <c r="CP247" s="2846"/>
      <c r="CQ247" s="1093">
        <f>IF(CO247=0,0,(CP247-CO247)/CO247*100)</f>
        <v>0</v>
      </c>
      <c r="CR247" s="2846"/>
      <c r="CS247" s="2846"/>
      <c r="CT247" s="1093">
        <f>IF(CR247=0,0,(CS247-CR247)/CR247*100)</f>
        <v>0</v>
      </c>
      <c r="CU247" s="2846"/>
      <c r="CV247" s="2846"/>
      <c r="CW247" s="1093">
        <f>IF(CU247=0,0,(CV247-CU247)/CU247*100)</f>
        <v>0</v>
      </c>
      <c r="CX247" s="2846"/>
      <c r="CY247" s="2846"/>
      <c r="CZ247" s="1093">
        <f>IF(CX247=0,0,(CY247-CX247)/CX247*100)</f>
        <v>0</v>
      </c>
      <c r="DA247" s="2846"/>
      <c r="DB247" s="2846"/>
      <c r="DC247" s="1093">
        <f>IF(DA247=0,0,(DB247-DA247)/DA247*100)</f>
        <v>0</v>
      </c>
      <c r="DD247" s="2846"/>
      <c r="DE247" s="2846"/>
      <c r="DF247" s="1093">
        <f>IF(DD247=0,0,(DE247-DD247)/DD247*100)</f>
        <v>0</v>
      </c>
      <c r="DG247" s="2846"/>
      <c r="DH247" s="2846"/>
      <c r="DI247" s="1093">
        <f>IF(DG247=0,0,(DH247-DG247)/DG247*100)</f>
        <v>0</v>
      </c>
      <c r="DJ247" s="2846"/>
      <c r="DK247" s="2846"/>
      <c r="DL247" s="1093">
        <f>IF(DJ247=0,0,(DK247-DJ247)/DJ247*100)</f>
        <v>0</v>
      </c>
      <c r="DM247" s="2846"/>
      <c r="DN247" s="2846"/>
      <c r="DO247" s="1093">
        <f>IF(DM247=0,0,(DN247-DM247)/DM247*100)</f>
        <v>0</v>
      </c>
      <c r="DP247" s="2846"/>
      <c r="DQ247" s="2846"/>
      <c r="DR247" s="1093">
        <f>IF(DP247=0,0,(DQ247-DP247)/DP247*100)</f>
        <v>0</v>
      </c>
      <c r="DS247" s="2846"/>
      <c r="DT247" s="2846"/>
      <c r="DU247" s="1093">
        <f>IF(DS247=0,0,(DT247-DS247)/DS247*100)</f>
        <v>0</v>
      </c>
      <c r="DV247" s="2846"/>
      <c r="DW247" s="2846"/>
      <c r="DX247" s="1093">
        <f>IF(DV247=0,0,(DW247-DV247)/DV247*100)</f>
        <v>0</v>
      </c>
      <c r="DY247" s="2846"/>
      <c r="DZ247" s="2846"/>
      <c r="EA247" s="1093">
        <f>IF(DY247=0,0,(DZ247-DY247)/DY247*100)</f>
        <v>0</v>
      </c>
      <c r="EB247" s="2846"/>
      <c r="EC247" s="2846"/>
      <c r="ED247" s="1093">
        <f>IF(EB247=0,0,(EC247-EB247)/EB247*100)</f>
        <v>0</v>
      </c>
      <c r="EE247" s="2846"/>
      <c r="EF247" s="2846"/>
      <c r="EG247" s="1093">
        <f>IF(EE247=0,0,(EF247-EE247)/EE247*100)</f>
        <v>0</v>
      </c>
      <c r="EH247" s="2846"/>
      <c r="EI247" s="2846"/>
      <c r="EJ247" s="1093">
        <f>IF(EH247=0,0,(EI247-EH247)/EH247*100)</f>
        <v>0</v>
      </c>
      <c r="EK247" s="2846"/>
      <c r="EL247" s="2846"/>
      <c r="EM247" s="1093">
        <f>IF(EK247=0,0,(EL247-EK247)/EK247*100)</f>
        <v>0</v>
      </c>
      <c r="EN247" s="2846"/>
      <c r="EO247" s="2846"/>
      <c r="EP247" s="1093">
        <f>IF(EN247=0,0,(EO247-EN247)/EN247*100)</f>
        <v>0</v>
      </c>
      <c r="EQ247" s="2846"/>
      <c r="ER247" s="2846"/>
      <c r="ES247" s="1093">
        <f>IF(EQ247=0,0,(ER247-EQ247)/EQ247*100)</f>
        <v>0</v>
      </c>
      <c r="ET247" s="2846"/>
      <c r="EU247" s="2846"/>
      <c r="EV247" s="1093">
        <f>IF(ET247=0,0,(EU247-ET247)/ET247*100)</f>
        <v>0</v>
      </c>
      <c r="EW247" s="2846"/>
      <c r="EX247" s="2846"/>
      <c r="EY247" s="1093">
        <f>IF(EW247=0,0,(EX247-EW247)/EW247*100)</f>
        <v>0</v>
      </c>
      <c r="EZ247" s="2846"/>
      <c r="FA247" s="2846"/>
      <c r="FB247" s="1093">
        <f>IF(EZ247=0,0,(FA247-EZ247)/EZ247*100)</f>
        <v>0</v>
      </c>
      <c r="FC247" s="2846"/>
      <c r="FD247" s="2846"/>
      <c r="FE247" s="1093">
        <f>IF(FC247=0,0,(FD247-FC247)/FC247*100)</f>
        <v>0</v>
      </c>
      <c r="FF247" s="2846"/>
      <c r="FG247" s="2846"/>
      <c r="FH247" s="1093">
        <f>IF(FF247=0,0,(FG247-FF247)/FF247*100)</f>
        <v>0</v>
      </c>
      <c r="FI247" s="2846"/>
      <c r="FJ247" s="2846"/>
      <c r="FK247" s="1093">
        <f>IF(FI247=0,0,(FJ247-FI247)/FI247*100)</f>
        <v>0</v>
      </c>
      <c r="FL247" s="2846"/>
      <c r="FM247" s="2846"/>
      <c r="FN247" s="1093">
        <f>IF(FL247=0,0,(FM247-FL247)/FL247*100)</f>
        <v>0</v>
      </c>
      <c r="FO247" s="2846"/>
      <c r="FP247" s="2846"/>
      <c r="FQ247" s="1093">
        <f>IF(FO247=0,0,(FP247-FO247)/FO247*100)</f>
        <v>0</v>
      </c>
      <c r="FR247" s="2846"/>
      <c r="FS247" s="2846"/>
      <c r="FT247" s="1093">
        <f>IF(FR247=0,0,(FS247-FR247)/FR247*100)</f>
        <v>0</v>
      </c>
      <c r="FU247" s="2846"/>
      <c r="FV247" s="2846"/>
      <c r="FW247" s="1093">
        <f>IF(FU247=0,0,(FV247-FU247)/FU247*100)</f>
        <v>0</v>
      </c>
      <c r="FX247" s="1304"/>
      <c r="FY247" s="1304"/>
      <c r="FZ247" s="1055" t="s">
        <v>2389</v>
      </c>
      <c r="GA247" s="1306"/>
      <c r="GB247" s="1306"/>
      <c r="GC247" s="1305"/>
      <c r="GD247" s="1305"/>
    </row>
    <row s="1834" customFormat="1" customHeight="1" ht="23.25" hidden="1">
      <c r="A248" s="493"/>
      <c r="B248" s="925" cm="1" t="str">
        <f t="array" ref="B248:B248">B247</f>
        <v>false</v>
      </c>
      <c r="C248" s="493"/>
      <c r="D248" s="493"/>
      <c r="E248" s="840">
        <v>24.5</v>
      </c>
      <c r="F248" s="50" cm="1" t="str">
        <f t="array" ref="F248:F248">OFFSET(E248,-1,1)</f>
        <v>3</v>
      </c>
      <c r="G248" s="493"/>
      <c r="H248" s="493"/>
      <c r="I248" s="493"/>
      <c r="J248" s="493"/>
      <c r="K248" s="493"/>
      <c r="L248" s="493"/>
      <c r="M248" s="493"/>
      <c r="N248" s="493"/>
      <c r="O248" s="493"/>
      <c r="P248" s="493"/>
      <c r="Q248" s="493"/>
      <c r="R248" s="493"/>
      <c r="S248" s="493"/>
      <c r="T248" s="465" cm="1" t="str">
        <f t="array" ref="T248:T248">T247</f>
        <v>true</v>
      </c>
      <c r="U248" s="493"/>
      <c r="V248" s="493"/>
      <c r="W248" s="493"/>
      <c r="X248" s="1596"/>
      <c r="Y248" s="493"/>
      <c r="Z248" s="1545"/>
      <c r="AA248" s="493"/>
      <c r="AB248" s="293" t="s">
        <v>2390</v>
      </c>
      <c r="AC248" s="903"/>
      <c r="AD248" s="1102"/>
      <c r="AE248" s="1102"/>
      <c r="AF248" s="1102"/>
      <c r="AG248" s="1102"/>
      <c r="AH248" s="1102"/>
      <c r="AI248" s="1102"/>
      <c r="AJ248" s="1102"/>
      <c r="AK248" s="1102"/>
      <c r="AL248" s="1102"/>
      <c r="AM248" s="1102"/>
      <c r="AN248" s="1102"/>
      <c r="AO248" s="1102"/>
      <c r="AP248" s="1102"/>
      <c r="AQ248" s="1102"/>
      <c r="AR248" s="1102"/>
      <c r="AS248" s="1102"/>
      <c r="AT248" s="1102"/>
      <c r="AU248" s="1102"/>
      <c r="AV248" s="1102"/>
      <c r="AW248" s="1102"/>
      <c r="AX248" s="1102"/>
      <c r="AY248" s="1102"/>
      <c r="AZ248" s="1102"/>
      <c r="BA248" s="1102"/>
      <c r="BB248" s="1102"/>
      <c r="BC248" s="1102"/>
      <c r="BD248" s="1102"/>
      <c r="BE248" s="1102"/>
      <c r="BF248" s="1102"/>
      <c r="BG248" s="1102"/>
      <c r="BH248" s="1102"/>
      <c r="BI248" s="1102"/>
      <c r="BJ248" s="1102"/>
      <c r="BK248" s="1102"/>
      <c r="BL248" s="1102"/>
      <c r="BM248" s="1102"/>
      <c r="BN248" s="1102"/>
      <c r="BO248" s="1102"/>
      <c r="BP248" s="1102"/>
      <c r="BQ248" s="1102"/>
      <c r="BR248" s="1102"/>
      <c r="BS248" s="1102"/>
      <c r="BT248" s="1102"/>
      <c r="BU248" s="1102"/>
      <c r="BV248" s="1102"/>
      <c r="BW248" s="1102"/>
      <c r="BX248" s="1102"/>
      <c r="BY248" s="1102"/>
      <c r="BZ248" s="1102"/>
      <c r="CA248" s="1102"/>
      <c r="CB248" s="1102"/>
      <c r="CC248" s="1102"/>
      <c r="CD248" s="1102"/>
      <c r="CE248" s="1102"/>
      <c r="CF248" s="1102"/>
      <c r="CG248" s="1102"/>
      <c r="CH248" s="1102"/>
      <c r="CI248" s="1102"/>
      <c r="CJ248" s="1102"/>
      <c r="CK248" s="1102"/>
      <c r="CL248" s="1102"/>
      <c r="CM248" s="1102"/>
      <c r="CN248" s="1102"/>
      <c r="CO248" s="1102"/>
      <c r="CP248" s="1102"/>
      <c r="CQ248" s="1102"/>
      <c r="CR248" s="1102"/>
      <c r="CS248" s="1102"/>
      <c r="CT248" s="1102"/>
      <c r="CU248" s="1102"/>
      <c r="CV248" s="1102"/>
      <c r="CW248" s="1102"/>
      <c r="CX248" s="1102"/>
      <c r="CY248" s="1102"/>
      <c r="CZ248" s="1102"/>
      <c r="DA248" s="1102"/>
      <c r="DB248" s="1102"/>
      <c r="DC248" s="1102"/>
      <c r="DD248" s="1102"/>
      <c r="DE248" s="1102"/>
      <c r="DF248" s="1102"/>
      <c r="DG248" s="1102"/>
      <c r="DH248" s="1102"/>
      <c r="DI248" s="1102"/>
      <c r="DJ248" s="1102"/>
      <c r="DK248" s="1102"/>
      <c r="DL248" s="1102"/>
      <c r="DM248" s="1102"/>
      <c r="DN248" s="1102"/>
      <c r="DO248" s="1102"/>
      <c r="DP248" s="1102"/>
      <c r="DQ248" s="1102"/>
      <c r="DR248" s="1102"/>
      <c r="DS248" s="1102"/>
      <c r="DT248" s="1102"/>
      <c r="DU248" s="1102"/>
      <c r="DV248" s="1102"/>
      <c r="DW248" s="1102"/>
      <c r="DX248" s="1102"/>
      <c r="DY248" s="1102"/>
      <c r="DZ248" s="1102"/>
      <c r="EA248" s="1102"/>
      <c r="EB248" s="1102"/>
      <c r="EC248" s="1102"/>
      <c r="ED248" s="1102"/>
      <c r="EE248" s="1102"/>
      <c r="EF248" s="1102"/>
      <c r="EG248" s="1102"/>
      <c r="EH248" s="1102"/>
      <c r="EI248" s="1102"/>
      <c r="EJ248" s="1102"/>
      <c r="EK248" s="1102"/>
      <c r="EL248" s="1102"/>
      <c r="EM248" s="1102"/>
      <c r="EN248" s="1102"/>
      <c r="EO248" s="1102"/>
      <c r="EP248" s="1102"/>
      <c r="EQ248" s="1102"/>
      <c r="ER248" s="1102"/>
      <c r="ES248" s="1102"/>
      <c r="ET248" s="1102"/>
      <c r="EU248" s="1102"/>
      <c r="EV248" s="1102"/>
      <c r="EW248" s="1102"/>
      <c r="EX248" s="1102"/>
      <c r="EY248" s="1102"/>
      <c r="EZ248" s="1102"/>
      <c r="FA248" s="1102"/>
      <c r="FB248" s="1102"/>
      <c r="FC248" s="1102"/>
      <c r="FD248" s="1102"/>
      <c r="FE248" s="1102"/>
      <c r="FF248" s="1102"/>
      <c r="FG248" s="1102"/>
      <c r="FH248" s="1102"/>
      <c r="FI248" s="1102"/>
      <c r="FJ248" s="1102"/>
      <c r="FK248" s="1102"/>
      <c r="FL248" s="1102"/>
      <c r="FM248" s="1102"/>
      <c r="FN248" s="1102"/>
      <c r="FO248" s="1102"/>
      <c r="FP248" s="1102"/>
      <c r="FQ248" s="1102"/>
      <c r="FR248" s="1102"/>
      <c r="FS248" s="1102"/>
      <c r="FT248" s="1102"/>
      <c r="FU248" s="1102"/>
      <c r="FV248" s="1102"/>
      <c r="FW248" s="1103"/>
      <c r="FX248" s="1304"/>
      <c r="FY248" s="1304"/>
      <c r="FZ248" s="1055"/>
      <c r="GA248" s="1306"/>
      <c r="GB248" s="1306"/>
      <c r="GC248" s="1305"/>
      <c r="GD248" s="1305"/>
    </row>
    <row s="1834" customFormat="1" customHeight="1" ht="14.25" hidden="1">
      <c r="A249" s="493"/>
      <c r="B249" s="925" cm="1" t="str">
        <f t="array" ref="B249:B249">B248</f>
        <v>false</v>
      </c>
      <c r="C249" s="493"/>
      <c r="D249" s="493"/>
      <c r="E249" s="840">
        <v>15</v>
      </c>
      <c r="F249" s="50" cm="1" t="str">
        <f t="array" ref="F249:F249">OFFSET(E249,-1,1)</f>
        <v>3</v>
      </c>
      <c r="G249" s="493"/>
      <c r="H249" s="493" t="s">
        <v>2295</v>
      </c>
      <c r="I249" s="493" t="s">
        <v>2350</v>
      </c>
      <c r="J249" s="493"/>
      <c r="K249" s="493"/>
      <c r="L249" s="493"/>
      <c r="M249" s="493"/>
      <c r="N249" s="493"/>
      <c r="O249" s="493"/>
      <c r="P249" s="493"/>
      <c r="Q249" s="493"/>
      <c r="R249" s="493"/>
      <c r="S249" s="493"/>
      <c r="T249" s="465" cm="1" t="str">
        <f t="array" ref="T249:T249">T248</f>
        <v>true</v>
      </c>
      <c r="U249" s="493"/>
      <c r="V249" s="493"/>
      <c r="W249" s="493"/>
      <c r="X249" s="1596"/>
      <c r="Y249" s="493"/>
      <c r="Z249" s="1545"/>
      <c r="AA249" s="493"/>
      <c r="AB249" s="1091" t="s">
        <v>2370</v>
      </c>
      <c r="AC249" s="864" t="s">
        <v>2337</v>
      </c>
      <c r="AD249" s="2846">
        <f>IF(AD251=0,0,(AD250*AD251+AD252*AD253*IF(god=2026,9,6))/AD251)</f>
        <v>0</v>
      </c>
      <c r="AE249" s="2846">
        <f>IF(AE251=0,0,(AE250*AE251+AE252*AE253*IF(god=2026,9,6))/AE251)</f>
        <v>0</v>
      </c>
      <c r="AF249" s="1093">
        <f>IF(AD249=0,0,(AE249-AD249)/AD249*100)</f>
        <v>0</v>
      </c>
      <c r="AG249" s="2846">
        <f>IF(AG251=0,0,(AG250*AG251+AG252*AG253*IF(god=2025,9,6))/AG251)</f>
        <v>0</v>
      </c>
      <c r="AH249" s="2846">
        <f>IF(AH251=0,0,(AH250*AH251+AH252*AH253*IF(god=2025,9,6))/AH251)</f>
        <v>0</v>
      </c>
      <c r="AI249" s="1093">
        <f>IF(AG249=0,0,(AH249-AG249)/AG249*100)</f>
        <v>0</v>
      </c>
      <c r="AJ249" s="2846">
        <f>IF(AJ251=0,0,(AJ250*AJ251+AJ252*AJ253*6)/AJ251)</f>
        <v>0</v>
      </c>
      <c r="AK249" s="2846">
        <f>IF(AK251=0,0,(AK250*AK251+AK252*AK253*6)/AK251)</f>
        <v>0</v>
      </c>
      <c r="AL249" s="1093">
        <f>IF(AJ249=0,0,(AK249-AJ249)/AJ249*100)</f>
        <v>0</v>
      </c>
      <c r="AM249" s="2846">
        <f>IF(AM251=0,0,(AM250*AM251+AM252*AM253*6)/AM251)</f>
        <v>0</v>
      </c>
      <c r="AN249" s="2846">
        <f>IF(AN251=0,0,(AN250*AN251+AN252*AN253*6)/AN251)</f>
        <v>0</v>
      </c>
      <c r="AO249" s="1093">
        <f>IF(AM249=0,0,(AN249-AM249)/AM249*100)</f>
        <v>0</v>
      </c>
      <c r="AP249" s="2846">
        <f>IF(AP251=0,0,(AP250*AP251+AP252*AP253*6)/AP251)</f>
        <v>0</v>
      </c>
      <c r="AQ249" s="2846">
        <f>IF(AQ251=0,0,(AQ250*AQ251+AQ252*AQ253*6)/AQ251)</f>
        <v>0</v>
      </c>
      <c r="AR249" s="1093">
        <f>IF(AP249=0,0,(AQ249-AP249)/AP249*100)</f>
        <v>0</v>
      </c>
      <c r="AS249" s="2846">
        <f>IF(AS251=0,0,(AS250*AS251+AS252*AS253*6)/AS251)</f>
        <v>0</v>
      </c>
      <c r="AT249" s="2846">
        <f>IF(AT251=0,0,(AT250*AT251+AT252*AT253*6)/AT251)</f>
        <v>0</v>
      </c>
      <c r="AU249" s="1093">
        <f>IF(AS249=0,0,(AT249-AS249)/AS249*100)</f>
        <v>0</v>
      </c>
      <c r="AV249" s="2846">
        <f>IF(AV251=0,0,(AV250*AV251+AV252*AV253*6)/AV251)</f>
        <v>0</v>
      </c>
      <c r="AW249" s="2846">
        <f>IF(AW251=0,0,(AW250*AW251+AW252*AW253*6)/AW251)</f>
        <v>0</v>
      </c>
      <c r="AX249" s="1093">
        <f>IF(AV249=0,0,(AW249-AV249)/AV249*100)</f>
        <v>0</v>
      </c>
      <c r="AY249" s="2846">
        <f>IF(AY251=0,0,(AY250*AY251+AY252*AY253*6)/AY251)</f>
        <v>0</v>
      </c>
      <c r="AZ249" s="2846">
        <f>IF(AZ251=0,0,(AZ250*AZ251+AZ252*AZ253*6)/AZ251)</f>
        <v>0</v>
      </c>
      <c r="BA249" s="1093">
        <f>IF(AY249=0,0,(AZ249-AY249)/AY249*100)</f>
        <v>0</v>
      </c>
      <c r="BB249" s="2846">
        <f>IF(BB251=0,0,(BB250*BB251+BB252*BB253*6)/BB251)</f>
        <v>0</v>
      </c>
      <c r="BC249" s="2846">
        <f>IF(BC251=0,0,(BC250*BC251+BC252*BC253*6)/BC251)</f>
        <v>0</v>
      </c>
      <c r="BD249" s="1093">
        <f>IF(BB249=0,0,(BC249-BB249)/BB249*100)</f>
        <v>0</v>
      </c>
      <c r="BE249" s="2846">
        <f>IF(BE251=0,0,(BE250*BE251+BE252*BE253*6)/BE251)</f>
        <v>0</v>
      </c>
      <c r="BF249" s="2846">
        <f>IF(BF251=0,0,(BF250*BF251+BF252*BF253*6)/BF251)</f>
        <v>0</v>
      </c>
      <c r="BG249" s="1093">
        <f>IF(BE249=0,0,(BF249-BE249)/BE249*100)</f>
        <v>0</v>
      </c>
      <c r="BH249" s="2846">
        <f>IF(BH251=0,0,(BH250*BH251+BH252*BH253*6)/BH251)</f>
        <v>0</v>
      </c>
      <c r="BI249" s="2846">
        <f>IF(BI251=0,0,(BI250*BI251+BI252*BI253*6)/BI251)</f>
        <v>0</v>
      </c>
      <c r="BJ249" s="1093">
        <f>IF(BH249=0,0,(BI249-BH249)/BH249*100)</f>
        <v>0</v>
      </c>
      <c r="BK249" s="2846">
        <f>IF(BK251=0,0,(BK250*BK251+BK252*BK253*6)/BK251)</f>
        <v>0</v>
      </c>
      <c r="BL249" s="2846">
        <f>IF(BL251=0,0,(BL250*BL251+BL252*BL253*6)/BL251)</f>
        <v>0</v>
      </c>
      <c r="BM249" s="1093">
        <f>IF(BK249=0,0,(BL249-BK249)/BK249*100)</f>
        <v>0</v>
      </c>
      <c r="BN249" s="2846">
        <f>IF(BN251=0,0,(BN250*BN251+BN252*BN253*6)/BN251)</f>
        <v>0</v>
      </c>
      <c r="BO249" s="2846">
        <f>IF(BO251=0,0,(BO250*BO251+BO252*BO253*6)/BO251)</f>
        <v>0</v>
      </c>
      <c r="BP249" s="1093">
        <f>IF(BN249=0,0,(BO249-BN249)/BN249*100)</f>
        <v>0</v>
      </c>
      <c r="BQ249" s="2846">
        <f>IF(BQ251=0,0,(BQ250*BQ251+BQ252*BQ253*6)/BQ251)</f>
        <v>0</v>
      </c>
      <c r="BR249" s="2846">
        <f>IF(BR251=0,0,(BR250*BR251+BR252*BR253*6)/BR251)</f>
        <v>0</v>
      </c>
      <c r="BS249" s="1093">
        <f>IF(BQ249=0,0,(BR249-BQ249)/BQ249*100)</f>
        <v>0</v>
      </c>
      <c r="BT249" s="2846">
        <f>IF(BT251=0,0,(BT250*BT251+BT252*BT253*6)/BT251)</f>
        <v>0</v>
      </c>
      <c r="BU249" s="2846">
        <f>IF(BU251=0,0,(BU250*BU251+BU252*BU253*6)/BU251)</f>
        <v>0</v>
      </c>
      <c r="BV249" s="1093">
        <f>IF(BT249=0,0,(BU249-BT249)/BT249*100)</f>
        <v>0</v>
      </c>
      <c r="BW249" s="2846">
        <f>IF(BW251=0,0,(BW250*BW251+BW252*BW253*6)/BW251)</f>
        <v>0</v>
      </c>
      <c r="BX249" s="2846">
        <f>IF(BX251=0,0,(BX250*BX251+BX252*BX253*6)/BX251)</f>
        <v>0</v>
      </c>
      <c r="BY249" s="1093">
        <f>IF(BW249=0,0,(BX249-BW249)/BW249*100)</f>
        <v>0</v>
      </c>
      <c r="BZ249" s="2846">
        <f>IF(BZ251=0,0,(BZ250*BZ251+BZ252*BZ253*6)/BZ251)</f>
        <v>0</v>
      </c>
      <c r="CA249" s="2846">
        <f>IF(CA251=0,0,(CA250*CA251+CA252*CA253*6)/CA251)</f>
        <v>0</v>
      </c>
      <c r="CB249" s="1093">
        <f>IF(BZ249=0,0,(CA249-BZ249)/BZ249*100)</f>
        <v>0</v>
      </c>
      <c r="CC249" s="2846">
        <f>IF(CC251=0,0,(CC250*CC251+CC252*CC253*6)/CC251)</f>
        <v>0</v>
      </c>
      <c r="CD249" s="2846">
        <f>IF(CD251=0,0,(CD250*CD251+CD252*CD253*6)/CD251)</f>
        <v>0</v>
      </c>
      <c r="CE249" s="1093">
        <f>IF(CC249=0,0,(CD249-CC249)/CC249*100)</f>
        <v>0</v>
      </c>
      <c r="CF249" s="2846">
        <f>IF(CF251=0,0,(CF250*CF251+CF252*CF253*6)/CF251)</f>
        <v>0</v>
      </c>
      <c r="CG249" s="2846">
        <f>IF(CG251=0,0,(CG250*CG251+CG252*CG253*6)/CG251)</f>
        <v>0</v>
      </c>
      <c r="CH249" s="1093">
        <f>IF(CF249=0,0,(CG249-CF249)/CF249*100)</f>
        <v>0</v>
      </c>
      <c r="CI249" s="2846">
        <f>IF(CI251=0,0,(CI250*CI251+CI252*CI253*6)/CI251)</f>
        <v>0</v>
      </c>
      <c r="CJ249" s="2846">
        <f>IF(CJ251=0,0,(CJ250*CJ251+CJ252*CJ253*6)/CJ251)</f>
        <v>0</v>
      </c>
      <c r="CK249" s="1093">
        <f>IF(CI249=0,0,(CJ249-CI249)/CI249*100)</f>
        <v>0</v>
      </c>
      <c r="CL249" s="2846">
        <f>IF(CL251=0,0,(CL250*CL251+CL252*CL253*6)/CL251)</f>
        <v>0</v>
      </c>
      <c r="CM249" s="2846">
        <f>IF(CM251=0,0,(CM250*CM251+CM252*CM253*6)/CM251)</f>
        <v>0</v>
      </c>
      <c r="CN249" s="1093">
        <f>IF(CL249=0,0,(CM249-CL249)/CL249*100)</f>
        <v>0</v>
      </c>
      <c r="CO249" s="2846">
        <f>IF(CO251=0,0,(CO250*CO251+CO252*CO253*6)/CO251)</f>
        <v>0</v>
      </c>
      <c r="CP249" s="2846">
        <f>IF(CP251=0,0,(CP250*CP251+CP252*CP253*6)/CP251)</f>
        <v>0</v>
      </c>
      <c r="CQ249" s="1093">
        <f>IF(CO249=0,0,(CP249-CO249)/CO249*100)</f>
        <v>0</v>
      </c>
      <c r="CR249" s="2846">
        <f>IF(CR251=0,0,(CR250*CR251+CR252*CR253*6)/CR251)</f>
        <v>0</v>
      </c>
      <c r="CS249" s="2846">
        <f>IF(CS251=0,0,(CS250*CS251+CS252*CS253*6)/CS251)</f>
        <v>0</v>
      </c>
      <c r="CT249" s="1093">
        <f>IF(CR249=0,0,(CS249-CR249)/CR249*100)</f>
        <v>0</v>
      </c>
      <c r="CU249" s="2846">
        <f>IF(CU251=0,0,(CU250*CU251+CU252*CU253*6)/CU251)</f>
        <v>0</v>
      </c>
      <c r="CV249" s="2846">
        <f>IF(CV251=0,0,(CV250*CV251+CV252*CV253*6)/CV251)</f>
        <v>0</v>
      </c>
      <c r="CW249" s="1093">
        <f>IF(CU249=0,0,(CV249-CU249)/CU249*100)</f>
        <v>0</v>
      </c>
      <c r="CX249" s="2846">
        <f>IF(CX251=0,0,(CX250*CX251+CX252*CX253*6)/CX251)</f>
        <v>0</v>
      </c>
      <c r="CY249" s="2846">
        <f>IF(CY251=0,0,(CY250*CY251+CY252*CY253*6)/CY251)</f>
        <v>0</v>
      </c>
      <c r="CZ249" s="1093">
        <f>IF(CX249=0,0,(CY249-CX249)/CX249*100)</f>
        <v>0</v>
      </c>
      <c r="DA249" s="2846">
        <f>IF(DA251=0,0,(DA250*DA251+DA252*DA253*6)/DA251)</f>
        <v>0</v>
      </c>
      <c r="DB249" s="2846">
        <f>IF(DB251=0,0,(DB250*DB251+DB252*DB253*6)/DB251)</f>
        <v>0</v>
      </c>
      <c r="DC249" s="1093">
        <f>IF(DA249=0,0,(DB249-DA249)/DA249*100)</f>
        <v>0</v>
      </c>
      <c r="DD249" s="2846">
        <f>IF(DD251=0,0,(DD250*DD251+DD252*DD253*6)/DD251)</f>
        <v>0</v>
      </c>
      <c r="DE249" s="2846">
        <f>IF(DE251=0,0,(DE250*DE251+DE252*DE253*6)/DE251)</f>
        <v>0</v>
      </c>
      <c r="DF249" s="1093">
        <f>IF(DD249=0,0,(DE249-DD249)/DD249*100)</f>
        <v>0</v>
      </c>
      <c r="DG249" s="2846">
        <f>IF(DG251=0,0,(DG250*DG251+DG252*DG253*6)/DG251)</f>
        <v>0</v>
      </c>
      <c r="DH249" s="2846">
        <f>IF(DH251=0,0,(DH250*DH251+DH252*DH253*6)/DH251)</f>
        <v>0</v>
      </c>
      <c r="DI249" s="1093">
        <f>IF(DG249=0,0,(DH249-DG249)/DG249*100)</f>
        <v>0</v>
      </c>
      <c r="DJ249" s="2846">
        <f>IF(DJ251=0,0,(DJ250*DJ251+DJ252*DJ253*6)/DJ251)</f>
        <v>0</v>
      </c>
      <c r="DK249" s="2846">
        <f>IF(DK251=0,0,(DK250*DK251+DK252*DK253*6)/DK251)</f>
        <v>0</v>
      </c>
      <c r="DL249" s="1093">
        <f>IF(DJ249=0,0,(DK249-DJ249)/DJ249*100)</f>
        <v>0</v>
      </c>
      <c r="DM249" s="2846">
        <f>IF(DM251=0,0,(DM250*DM251+DM252*DM253*6)/DM251)</f>
        <v>0</v>
      </c>
      <c r="DN249" s="2846">
        <f>IF(DN251=0,0,(DN250*DN251+DN252*DN253*6)/DN251)</f>
        <v>0</v>
      </c>
      <c r="DO249" s="1093">
        <f>IF(DM249=0,0,(DN249-DM249)/DM249*100)</f>
        <v>0</v>
      </c>
      <c r="DP249" s="2846">
        <f>IF(DP251=0,0,(DP250*DP251+DP252*DP253*6)/DP251)</f>
        <v>0</v>
      </c>
      <c r="DQ249" s="2846">
        <f>IF(DQ251=0,0,(DQ250*DQ251+DQ252*DQ253*6)/DQ251)</f>
        <v>0</v>
      </c>
      <c r="DR249" s="1093">
        <f>IF(DP249=0,0,(DQ249-DP249)/DP249*100)</f>
        <v>0</v>
      </c>
      <c r="DS249" s="2846">
        <f>IF(DS251=0,0,(DS250*DS251+DS252*DS253*6)/DS251)</f>
        <v>0</v>
      </c>
      <c r="DT249" s="2846">
        <f>IF(DT251=0,0,(DT250*DT251+DT252*DT253*6)/DT251)</f>
        <v>0</v>
      </c>
      <c r="DU249" s="1093">
        <f>IF(DS249=0,0,(DT249-DS249)/DS249*100)</f>
        <v>0</v>
      </c>
      <c r="DV249" s="2846">
        <f>IF(DV251=0,0,(DV250*DV251+DV252*DV253*6)/DV251)</f>
        <v>0</v>
      </c>
      <c r="DW249" s="2846">
        <f>IF(DW251=0,0,(DW250*DW251+DW252*DW253*6)/DW251)</f>
        <v>0</v>
      </c>
      <c r="DX249" s="1093">
        <f>IF(DV249=0,0,(DW249-DV249)/DV249*100)</f>
        <v>0</v>
      </c>
      <c r="DY249" s="2846">
        <f>IF(DY251=0,0,(DY250*DY251+DY252*DY253*6)/DY251)</f>
        <v>0</v>
      </c>
      <c r="DZ249" s="2846">
        <f>IF(DZ251=0,0,(DZ250*DZ251+DZ252*DZ253*6)/DZ251)</f>
        <v>0</v>
      </c>
      <c r="EA249" s="1093">
        <f>IF(DY249=0,0,(DZ249-DY249)/DY249*100)</f>
        <v>0</v>
      </c>
      <c r="EB249" s="2846">
        <f>IF(EB251=0,0,(EB250*EB251+EB252*EB253*6)/EB251)</f>
        <v>0</v>
      </c>
      <c r="EC249" s="2846">
        <f>IF(EC251=0,0,(EC250*EC251+EC252*EC253*6)/EC251)</f>
        <v>0</v>
      </c>
      <c r="ED249" s="1093">
        <f>IF(EB249=0,0,(EC249-EB249)/EB249*100)</f>
        <v>0</v>
      </c>
      <c r="EE249" s="2846">
        <f>IF(EE251=0,0,(EE250*EE251+EE252*EE253*6)/EE251)</f>
        <v>0</v>
      </c>
      <c r="EF249" s="2846">
        <f>IF(EF251=0,0,(EF250*EF251+EF252*EF253*6)/EF251)</f>
        <v>0</v>
      </c>
      <c r="EG249" s="1093">
        <f>IF(EE249=0,0,(EF249-EE249)/EE249*100)</f>
        <v>0</v>
      </c>
      <c r="EH249" s="2846">
        <f>IF(EH251=0,0,(EH250*EH251+EH252*EH253*6)/EH251)</f>
        <v>0</v>
      </c>
      <c r="EI249" s="2846">
        <f>IF(EI251=0,0,(EI250*EI251+EI252*EI253*6)/EI251)</f>
        <v>0</v>
      </c>
      <c r="EJ249" s="1093">
        <f>IF(EH249=0,0,(EI249-EH249)/EH249*100)</f>
        <v>0</v>
      </c>
      <c r="EK249" s="2846">
        <f>IF(EK251=0,0,(EK250*EK251+EK252*EK253*6)/EK251)</f>
        <v>0</v>
      </c>
      <c r="EL249" s="2846">
        <f>IF(EL251=0,0,(EL250*EL251+EL252*EL253*6)/EL251)</f>
        <v>0</v>
      </c>
      <c r="EM249" s="1093">
        <f>IF(EK249=0,0,(EL249-EK249)/EK249*100)</f>
        <v>0</v>
      </c>
      <c r="EN249" s="2846">
        <f>IF(EN251=0,0,(EN250*EN251+EN252*EN253*6)/EN251)</f>
        <v>0</v>
      </c>
      <c r="EO249" s="2846">
        <f>IF(EO251=0,0,(EO250*EO251+EO252*EO253*6)/EO251)</f>
        <v>0</v>
      </c>
      <c r="EP249" s="1093">
        <f>IF(EN249=0,0,(EO249-EN249)/EN249*100)</f>
        <v>0</v>
      </c>
      <c r="EQ249" s="2846">
        <f>IF(EQ251=0,0,(EQ250*EQ251+EQ252*EQ253*6)/EQ251)</f>
        <v>0</v>
      </c>
      <c r="ER249" s="2846">
        <f>IF(ER251=0,0,(ER250*ER251+ER252*ER253*6)/ER251)</f>
        <v>0</v>
      </c>
      <c r="ES249" s="1093">
        <f>IF(EQ249=0,0,(ER249-EQ249)/EQ249*100)</f>
        <v>0</v>
      </c>
      <c r="ET249" s="2846">
        <f>IF(ET251=0,0,(ET250*ET251+ET252*ET253*6)/ET251)</f>
        <v>0</v>
      </c>
      <c r="EU249" s="2846">
        <f>IF(EU251=0,0,(EU250*EU251+EU252*EU253*6)/EU251)</f>
        <v>0</v>
      </c>
      <c r="EV249" s="1093">
        <f>IF(ET249=0,0,(EU249-ET249)/ET249*100)</f>
        <v>0</v>
      </c>
      <c r="EW249" s="2846">
        <f>IF(EW251=0,0,(EW250*EW251+EW252*EW253*6)/EW251)</f>
        <v>0</v>
      </c>
      <c r="EX249" s="2846">
        <f>IF(EX251=0,0,(EX250*EX251+EX252*EX253*6)/EX251)</f>
        <v>0</v>
      </c>
      <c r="EY249" s="1093">
        <f>IF(EW249=0,0,(EX249-EW249)/EW249*100)</f>
        <v>0</v>
      </c>
      <c r="EZ249" s="2846">
        <f>IF(EZ251=0,0,(EZ250*EZ251+EZ252*EZ253*6)/EZ251)</f>
        <v>0</v>
      </c>
      <c r="FA249" s="2846">
        <f>IF(FA251=0,0,(FA250*FA251+FA252*FA253*6)/FA251)</f>
        <v>0</v>
      </c>
      <c r="FB249" s="1093">
        <f>IF(EZ249=0,0,(FA249-EZ249)/EZ249*100)</f>
        <v>0</v>
      </c>
      <c r="FC249" s="2846">
        <f>IF(FC251=0,0,(FC250*FC251+FC252*FC253*6)/FC251)</f>
        <v>0</v>
      </c>
      <c r="FD249" s="2846">
        <f>IF(FD251=0,0,(FD250*FD251+FD252*FD253*6)/FD251)</f>
        <v>0</v>
      </c>
      <c r="FE249" s="1093">
        <f>IF(FC249=0,0,(FD249-FC249)/FC249*100)</f>
        <v>0</v>
      </c>
      <c r="FF249" s="2846">
        <f>IF(FF251=0,0,(FF250*FF251+FF252*FF253*6)/FF251)</f>
        <v>0</v>
      </c>
      <c r="FG249" s="2846">
        <f>IF(FG251=0,0,(FG250*FG251+FG252*FG253*6)/FG251)</f>
        <v>0</v>
      </c>
      <c r="FH249" s="1093">
        <f>IF(FF249=0,0,(FG249-FF249)/FF249*100)</f>
        <v>0</v>
      </c>
      <c r="FI249" s="2846">
        <f>IF(FI251=0,0,(FI250*FI251+FI252*FI253*6)/FI251)</f>
        <v>0</v>
      </c>
      <c r="FJ249" s="2846">
        <f>IF(FJ251=0,0,(FJ250*FJ251+FJ252*FJ253*6)/FJ251)</f>
        <v>0</v>
      </c>
      <c r="FK249" s="1093">
        <f>IF(FI249=0,0,(FJ249-FI249)/FI249*100)</f>
        <v>0</v>
      </c>
      <c r="FL249" s="2846">
        <f>IF(FL251=0,0,(FL250*FL251+FL252*FL253*6)/FL251)</f>
        <v>0</v>
      </c>
      <c r="FM249" s="2846">
        <f>IF(FM251=0,0,(FM250*FM251+FM252*FM253*6)/FM251)</f>
        <v>0</v>
      </c>
      <c r="FN249" s="1093">
        <f>IF(FL249=0,0,(FM249-FL249)/FL249*100)</f>
        <v>0</v>
      </c>
      <c r="FO249" s="2846">
        <f>IF(FO251=0,0,(FO250*FO251+FO252*FO253*6)/FO251)</f>
        <v>0</v>
      </c>
      <c r="FP249" s="2846">
        <f>IF(FP251=0,0,(FP250*FP251+FP252*FP253*6)/FP251)</f>
        <v>0</v>
      </c>
      <c r="FQ249" s="1093">
        <f>IF(FO249=0,0,(FP249-FO249)/FO249*100)</f>
        <v>0</v>
      </c>
      <c r="FR249" s="2846">
        <f>IF(FR251=0,0,(FR250*FR251+FR252*FR253*6)/FR251)</f>
        <v>0</v>
      </c>
      <c r="FS249" s="2846">
        <f>IF(FS251=0,0,(FS250*FS251+FS252*FS253*6)/FS251)</f>
        <v>0</v>
      </c>
      <c r="FT249" s="1093">
        <f>IF(FR249=0,0,(FS249-FR249)/FR249*100)</f>
        <v>0</v>
      </c>
      <c r="FU249" s="2846">
        <f>IF(FU251=0,0,(FU250*FU251+FU252*FU253*6)/FU251)</f>
        <v>0</v>
      </c>
      <c r="FV249" s="2846">
        <f>IF(FV251=0,0,(FV250*FV251+FV252*FV253*6)/FV251)</f>
        <v>0</v>
      </c>
      <c r="FW249" s="1093">
        <f>IF(FU249=0,0,(FV249-FU249)/FU249*100)</f>
        <v>0</v>
      </c>
      <c r="FX249" s="1304"/>
      <c r="FY249" s="1304"/>
      <c r="FZ249" s="1055" t="s">
        <v>2391</v>
      </c>
      <c r="GA249" s="1306"/>
      <c r="GB249" s="1306"/>
      <c r="GC249" s="1305"/>
      <c r="GD249" s="1305"/>
    </row>
    <row s="1834" customFormat="1" customHeight="1" ht="14.25" hidden="1">
      <c r="A250" s="493"/>
      <c r="B250" s="925" cm="1" t="str">
        <f t="array" ref="B250:B250">B249</f>
        <v>false</v>
      </c>
      <c r="C250" s="493"/>
      <c r="D250" s="493"/>
      <c r="E250" s="840">
        <v>15</v>
      </c>
      <c r="F250" s="50" cm="1" t="str">
        <f t="array" ref="F250:F250">OFFSET(E250,-1,1)</f>
        <v>3</v>
      </c>
      <c r="G250" s="493"/>
      <c r="H250" s="493" t="s">
        <v>2299</v>
      </c>
      <c r="I250" s="493" t="s">
        <v>2350</v>
      </c>
      <c r="J250" s="493"/>
      <c r="K250" s="493"/>
      <c r="L250" s="493"/>
      <c r="M250" s="493"/>
      <c r="N250" s="493"/>
      <c r="O250" s="493"/>
      <c r="P250" s="493"/>
      <c r="Q250" s="493"/>
      <c r="R250" s="493"/>
      <c r="S250" s="493"/>
      <c r="T250" s="465" cm="1" t="str">
        <f t="array" ref="T250:T250">T249</f>
        <v>true</v>
      </c>
      <c r="U250" s="493"/>
      <c r="V250" s="493"/>
      <c r="W250" s="493"/>
      <c r="X250" s="1596"/>
      <c r="Y250" s="493"/>
      <c r="Z250" s="1545"/>
      <c r="AA250" s="493"/>
      <c r="AB250" s="1091" t="str">
        <f>"ставка платы за "&amp;IF(Q218="Водоснабжение","потребление 1 куб.м холодной воды","объем принятых сточных вод")</f>
        <v>ставка платы за объем принятых сточных вод</v>
      </c>
      <c r="AC250" s="864" t="s">
        <v>2337</v>
      </c>
      <c r="AD250" s="2846"/>
      <c r="AE250" s="2846"/>
      <c r="AF250" s="1093">
        <f>IF(AD250=0,0,(AE250-AD250)/AD250*100)</f>
        <v>0</v>
      </c>
      <c r="AG250" s="2846"/>
      <c r="AH250" s="2846"/>
      <c r="AI250" s="1093">
        <f>IF(AG250=0,0,(AH250-AG250)/AG250*100)</f>
        <v>0</v>
      </c>
      <c r="AJ250" s="2846"/>
      <c r="AK250" s="2846"/>
      <c r="AL250" s="1093">
        <f>IF(AJ250=0,0,(AK250-AJ250)/AJ250*100)</f>
        <v>0</v>
      </c>
      <c r="AM250" s="2846"/>
      <c r="AN250" s="2846"/>
      <c r="AO250" s="1093">
        <f>IF(AM250=0,0,(AN250-AM250)/AM250*100)</f>
        <v>0</v>
      </c>
      <c r="AP250" s="2846"/>
      <c r="AQ250" s="2846"/>
      <c r="AR250" s="1093">
        <f>IF(AP250=0,0,(AQ250-AP250)/AP250*100)</f>
        <v>0</v>
      </c>
      <c r="AS250" s="2846"/>
      <c r="AT250" s="2846"/>
      <c r="AU250" s="1093">
        <f>IF(AS250=0,0,(AT250-AS250)/AS250*100)</f>
        <v>0</v>
      </c>
      <c r="AV250" s="2846"/>
      <c r="AW250" s="2846"/>
      <c r="AX250" s="1093">
        <f>IF(AV250=0,0,(AW250-AV250)/AV250*100)</f>
        <v>0</v>
      </c>
      <c r="AY250" s="2846"/>
      <c r="AZ250" s="2846"/>
      <c r="BA250" s="1093">
        <f>IF(AY250=0,0,(AZ250-AY250)/AY250*100)</f>
        <v>0</v>
      </c>
      <c r="BB250" s="2846"/>
      <c r="BC250" s="2846"/>
      <c r="BD250" s="1093">
        <f>IF(BB250=0,0,(BC250-BB250)/BB250*100)</f>
        <v>0</v>
      </c>
      <c r="BE250" s="2846"/>
      <c r="BF250" s="2846"/>
      <c r="BG250" s="1093">
        <f>IF(BE250=0,0,(BF250-BE250)/BE250*100)</f>
        <v>0</v>
      </c>
      <c r="BH250" s="2846"/>
      <c r="BI250" s="2846"/>
      <c r="BJ250" s="1093">
        <f>IF(BH250=0,0,(BI250-BH250)/BH250*100)</f>
        <v>0</v>
      </c>
      <c r="BK250" s="2846"/>
      <c r="BL250" s="2846"/>
      <c r="BM250" s="1093">
        <f>IF(BK250=0,0,(BL250-BK250)/BK250*100)</f>
        <v>0</v>
      </c>
      <c r="BN250" s="2846"/>
      <c r="BO250" s="2846"/>
      <c r="BP250" s="1093">
        <f>IF(BN250=0,0,(BO250-BN250)/BN250*100)</f>
        <v>0</v>
      </c>
      <c r="BQ250" s="2846"/>
      <c r="BR250" s="2846"/>
      <c r="BS250" s="1093">
        <f>IF(BQ250=0,0,(BR250-BQ250)/BQ250*100)</f>
        <v>0</v>
      </c>
      <c r="BT250" s="2846"/>
      <c r="BU250" s="2846"/>
      <c r="BV250" s="1093">
        <f>IF(BT250=0,0,(BU250-BT250)/BT250*100)</f>
        <v>0</v>
      </c>
      <c r="BW250" s="2846"/>
      <c r="BX250" s="2846"/>
      <c r="BY250" s="1093">
        <f>IF(BW250=0,0,(BX250-BW250)/BW250*100)</f>
        <v>0</v>
      </c>
      <c r="BZ250" s="2846"/>
      <c r="CA250" s="2846"/>
      <c r="CB250" s="1093">
        <f>IF(BZ250=0,0,(CA250-BZ250)/BZ250*100)</f>
        <v>0</v>
      </c>
      <c r="CC250" s="2846"/>
      <c r="CD250" s="2846"/>
      <c r="CE250" s="1093">
        <f>IF(CC250=0,0,(CD250-CC250)/CC250*100)</f>
        <v>0</v>
      </c>
      <c r="CF250" s="2846"/>
      <c r="CG250" s="2846"/>
      <c r="CH250" s="1093">
        <f>IF(CF250=0,0,(CG250-CF250)/CF250*100)</f>
        <v>0</v>
      </c>
      <c r="CI250" s="2846"/>
      <c r="CJ250" s="2846"/>
      <c r="CK250" s="1093">
        <f>IF(CI250=0,0,(CJ250-CI250)/CI250*100)</f>
        <v>0</v>
      </c>
      <c r="CL250" s="2846"/>
      <c r="CM250" s="2846"/>
      <c r="CN250" s="1093">
        <f>IF(CL250=0,0,(CM250-CL250)/CL250*100)</f>
        <v>0</v>
      </c>
      <c r="CO250" s="2846"/>
      <c r="CP250" s="2846"/>
      <c r="CQ250" s="1093">
        <f>IF(CO250=0,0,(CP250-CO250)/CO250*100)</f>
        <v>0</v>
      </c>
      <c r="CR250" s="2846"/>
      <c r="CS250" s="2846"/>
      <c r="CT250" s="1093">
        <f>IF(CR250=0,0,(CS250-CR250)/CR250*100)</f>
        <v>0</v>
      </c>
      <c r="CU250" s="2846"/>
      <c r="CV250" s="2846"/>
      <c r="CW250" s="1093">
        <f>IF(CU250=0,0,(CV250-CU250)/CU250*100)</f>
        <v>0</v>
      </c>
      <c r="CX250" s="2846"/>
      <c r="CY250" s="2846"/>
      <c r="CZ250" s="1093">
        <f>IF(CX250=0,0,(CY250-CX250)/CX250*100)</f>
        <v>0</v>
      </c>
      <c r="DA250" s="2846"/>
      <c r="DB250" s="2846"/>
      <c r="DC250" s="1093">
        <f>IF(DA250=0,0,(DB250-DA250)/DA250*100)</f>
        <v>0</v>
      </c>
      <c r="DD250" s="2846"/>
      <c r="DE250" s="2846"/>
      <c r="DF250" s="1093">
        <f>IF(DD250=0,0,(DE250-DD250)/DD250*100)</f>
        <v>0</v>
      </c>
      <c r="DG250" s="2846"/>
      <c r="DH250" s="2846"/>
      <c r="DI250" s="1093">
        <f>IF(DG250=0,0,(DH250-DG250)/DG250*100)</f>
        <v>0</v>
      </c>
      <c r="DJ250" s="2846"/>
      <c r="DK250" s="2846"/>
      <c r="DL250" s="1093">
        <f>IF(DJ250=0,0,(DK250-DJ250)/DJ250*100)</f>
        <v>0</v>
      </c>
      <c r="DM250" s="2846"/>
      <c r="DN250" s="2846"/>
      <c r="DO250" s="1093">
        <f>IF(DM250=0,0,(DN250-DM250)/DM250*100)</f>
        <v>0</v>
      </c>
      <c r="DP250" s="2846"/>
      <c r="DQ250" s="2846"/>
      <c r="DR250" s="1093">
        <f>IF(DP250=0,0,(DQ250-DP250)/DP250*100)</f>
        <v>0</v>
      </c>
      <c r="DS250" s="2846"/>
      <c r="DT250" s="2846"/>
      <c r="DU250" s="1093">
        <f>IF(DS250=0,0,(DT250-DS250)/DS250*100)</f>
        <v>0</v>
      </c>
      <c r="DV250" s="2846"/>
      <c r="DW250" s="2846"/>
      <c r="DX250" s="1093">
        <f>IF(DV250=0,0,(DW250-DV250)/DV250*100)</f>
        <v>0</v>
      </c>
      <c r="DY250" s="2846"/>
      <c r="DZ250" s="2846"/>
      <c r="EA250" s="1093">
        <f>IF(DY250=0,0,(DZ250-DY250)/DY250*100)</f>
        <v>0</v>
      </c>
      <c r="EB250" s="2846"/>
      <c r="EC250" s="2846"/>
      <c r="ED250" s="1093">
        <f>IF(EB250=0,0,(EC250-EB250)/EB250*100)</f>
        <v>0</v>
      </c>
      <c r="EE250" s="2846"/>
      <c r="EF250" s="2846"/>
      <c r="EG250" s="1093">
        <f>IF(EE250=0,0,(EF250-EE250)/EE250*100)</f>
        <v>0</v>
      </c>
      <c r="EH250" s="2846"/>
      <c r="EI250" s="2846"/>
      <c r="EJ250" s="1093">
        <f>IF(EH250=0,0,(EI250-EH250)/EH250*100)</f>
        <v>0</v>
      </c>
      <c r="EK250" s="2846"/>
      <c r="EL250" s="2846"/>
      <c r="EM250" s="1093">
        <f>IF(EK250=0,0,(EL250-EK250)/EK250*100)</f>
        <v>0</v>
      </c>
      <c r="EN250" s="2846"/>
      <c r="EO250" s="2846"/>
      <c r="EP250" s="1093">
        <f>IF(EN250=0,0,(EO250-EN250)/EN250*100)</f>
        <v>0</v>
      </c>
      <c r="EQ250" s="2846"/>
      <c r="ER250" s="2846"/>
      <c r="ES250" s="1093">
        <f>IF(EQ250=0,0,(ER250-EQ250)/EQ250*100)</f>
        <v>0</v>
      </c>
      <c r="ET250" s="2846"/>
      <c r="EU250" s="2846"/>
      <c r="EV250" s="1093">
        <f>IF(ET250=0,0,(EU250-ET250)/ET250*100)</f>
        <v>0</v>
      </c>
      <c r="EW250" s="2846"/>
      <c r="EX250" s="2846"/>
      <c r="EY250" s="1093">
        <f>IF(EW250=0,0,(EX250-EW250)/EW250*100)</f>
        <v>0</v>
      </c>
      <c r="EZ250" s="2846"/>
      <c r="FA250" s="2846"/>
      <c r="FB250" s="1093">
        <f>IF(EZ250=0,0,(FA250-EZ250)/EZ250*100)</f>
        <v>0</v>
      </c>
      <c r="FC250" s="2846"/>
      <c r="FD250" s="2846"/>
      <c r="FE250" s="1093">
        <f>IF(FC250=0,0,(FD250-FC250)/FC250*100)</f>
        <v>0</v>
      </c>
      <c r="FF250" s="2846"/>
      <c r="FG250" s="2846"/>
      <c r="FH250" s="1093">
        <f>IF(FF250=0,0,(FG250-FF250)/FF250*100)</f>
        <v>0</v>
      </c>
      <c r="FI250" s="2846"/>
      <c r="FJ250" s="2846"/>
      <c r="FK250" s="1093">
        <f>IF(FI250=0,0,(FJ250-FI250)/FI250*100)</f>
        <v>0</v>
      </c>
      <c r="FL250" s="2846"/>
      <c r="FM250" s="2846"/>
      <c r="FN250" s="1093">
        <f>IF(FL250=0,0,(FM250-FL250)/FL250*100)</f>
        <v>0</v>
      </c>
      <c r="FO250" s="2846"/>
      <c r="FP250" s="2846"/>
      <c r="FQ250" s="1093">
        <f>IF(FO250=0,0,(FP250-FO250)/FO250*100)</f>
        <v>0</v>
      </c>
      <c r="FR250" s="2846"/>
      <c r="FS250" s="2846"/>
      <c r="FT250" s="1093">
        <f>IF(FR250=0,0,(FS250-FR250)/FR250*100)</f>
        <v>0</v>
      </c>
      <c r="FU250" s="2846"/>
      <c r="FV250" s="2846"/>
      <c r="FW250" s="1093">
        <f>IF(FU250=0,0,(FV250-FU250)/FU250*100)</f>
        <v>0</v>
      </c>
      <c r="FX250" s="1304"/>
      <c r="FY250" s="1304"/>
      <c r="FZ250" s="1055" t="s">
        <v>2392</v>
      </c>
      <c r="GA250" s="1306"/>
      <c r="GB250" s="1306"/>
      <c r="GC250" s="1305"/>
      <c r="GD250" s="1305"/>
    </row>
    <row s="1834" customFormat="1" customHeight="1" ht="14.25" hidden="1">
      <c r="A251" s="493"/>
      <c r="B251" s="925" cm="1" t="str">
        <f t="array" ref="B251:B251">B250</f>
        <v>false</v>
      </c>
      <c r="C251" s="493"/>
      <c r="D251" s="493"/>
      <c r="E251" s="840">
        <v>15</v>
      </c>
      <c r="F251" s="50" cm="1" t="str">
        <f t="array" ref="F251:F251">OFFSET(E251,-1,1)</f>
        <v>3</v>
      </c>
      <c r="G251" s="107" t="s">
        <v>2393</v>
      </c>
      <c r="H251" s="493" t="s">
        <v>2374</v>
      </c>
      <c r="I251" s="493" t="s">
        <v>2350</v>
      </c>
      <c r="J251" s="493"/>
      <c r="K251" s="493"/>
      <c r="L251" s="493"/>
      <c r="M251" s="493"/>
      <c r="N251" s="493"/>
      <c r="O251" s="493"/>
      <c r="P251" s="493"/>
      <c r="Q251" s="493"/>
      <c r="R251" s="493"/>
      <c r="S251" s="493"/>
      <c r="T251" s="465" cm="1" t="str">
        <f t="array" ref="T251:T251">T250</f>
        <v>true</v>
      </c>
      <c r="U251" s="493"/>
      <c r="V251" s="493"/>
      <c r="W251" s="493"/>
      <c r="X251" s="1596"/>
      <c r="Y251" s="493"/>
      <c r="Z251" s="1545"/>
      <c r="AA251" s="493"/>
      <c r="AB251" s="1091" t="str">
        <f>"объём "&amp;IF(Q218="Водоснабжение","потребления холодной воды","водоотведения")</f>
        <v>объём водоотведения</v>
      </c>
      <c r="AC251" s="864" t="s">
        <v>1247</v>
      </c>
      <c r="AD251" s="5247">
        <f>IF(AND(method_reg="Метод индексации",god&lt;&gt;first_year),_xlfn.SUMIFS(INDEX('Калькуляция (МИ корр)'!$AJ$25:$BC$747,,MATCH(AD$8,'Калькуляция (МИ корр)'!$AJ$8:$BC$8,0)),'Калькуляция (МИ корр)'!$F$25:$F$747,$F251,'Калькуляция (МИ корр)'!$G$25:$G$747,$G251),IF(method_reg="Метод экономически обоснованных расходов",_xlfn.SUMIFS('Калькуляция (МЭОР)'!$AJ$25:$AJ$452,'Калькуляция (МЭОР)'!$F$25:$F$452,$F251,'Калькуляция (МЭОР)'!$G$25:$G$452,$G251),IF(method_reg="Метод сравнения аналогов",_xlfn.SUMIFS('Калькуляция (МСА)'!$AE$25:$AE$122,'Калькуляция (МСА)'!$F$25:$F$122,$F251,'Калькуляция (МСА)'!$G$25:$G$122,$G251),_xlfn.SUMIFS(INDEX('Калькуляция (МИ)'!$AJ$25:$BC$747,,MATCH(AD$8,'Калькуляция (МИ)'!$AJ$8:$BC$8,0)),'Калькуляция (МИ)'!$F$25:$F$747,$F251,'Калькуляция (МИ)'!$G$25:$G$747,$G251))))</f>
        <v>1084.90434</v>
      </c>
      <c r="AE251" s="5247">
        <f>IF(AND(method_reg="Метод индексации",god&lt;&gt;first_year),_xlfn.SUMIFS(INDEX('Калькуляция (МИ корр)'!$AJ$25:$BC$747,,MATCH(AE$8,'Калькуляция (МИ корр)'!$AJ$8:$BC$8,0)),'Калькуляция (МИ корр)'!$F$25:$F$747,$F251,'Калькуляция (МИ корр)'!$G$25:$G$747,$G251),IF(method_reg="Метод экономически обоснованных расходов",_xlfn.SUMIFS('Калькуляция (МЭОР)'!$AK$25:$AK$452,'Калькуляция (МЭОР)'!$F$25:$F$452,$F251,'Калькуляция (МЭОР)'!$G$25:$G$452,$G251),IF(method_reg="Метод сравнения аналогов",_xlfn.SUMIFS('Калькуляция (МСА)'!$AF$25:$AF$122,'Калькуляция (МСА)'!$F$25:$F$122,$F251,'Калькуляция (МСА)'!$G$25:$G$122,$G251),_xlfn.SUMIFS(INDEX('Калькуляция (МИ)'!$AJ$25:$BC$747,,MATCH(AE$8,'Калькуляция (МИ)'!$AJ$8:$BC$8,0)),'Калькуляция (МИ)'!$F$25:$F$747,$F251,'Калькуляция (МИ)'!$G$25:$G$747,$G251))))</f>
        <v>1084.90434</v>
      </c>
      <c r="AF251" s="1095">
        <f>IF(AD251=0,0,(AE251-AD251)/AD251*100)</f>
        <v>0</v>
      </c>
      <c r="AG251" s="5247">
        <f>IF(AND(method_reg="Метод индексации",god&lt;&gt;first_year),_xlfn.SUMIFS(INDEX('Калькуляция (МИ корр)'!$AJ$25:$BC$747,,MATCH(AG$8,'Калькуляция (МИ корр)'!$AJ$8:$BC$8,0)),'Калькуляция (МИ корр)'!$F$25:$F$747,$F251,'Калькуляция (МИ корр)'!$G$25:$G$747,$G251),IF(method_reg="Метод экономически обоснованных расходов",_xlfn.SUMIFS('Калькуляция (МЭОР)'!$AJ$25:$AJ$452,'Калькуляция (МЭОР)'!$F$25:$F$452,$F251,'Калькуляция (МЭОР)'!$G$25:$G$452,$G251),IF(method_reg="Метод сравнения аналогов",_xlfn.SUMIFS('Калькуляция (МСА)'!$AE$25:$AE$122,'Калькуляция (МСА)'!$F$25:$F$122,$F251,'Калькуляция (МСА)'!$G$25:$G$122,$G251),_xlfn.SUMIFS(INDEX('Калькуляция (МИ)'!$AJ$25:$BC$747,,MATCH(AG$8,'Калькуляция (МИ)'!$AJ$8:$BC$8,0)),'Калькуляция (МИ)'!$F$25:$F$747,$F251,'Калькуляция (МИ)'!$G$25:$G$747,$G251))))</f>
        <v>723.26956</v>
      </c>
      <c r="AH251" s="5247">
        <f>IF(AND(method_reg="Метод индексации",god&lt;&gt;first_year),_xlfn.SUMIFS(INDEX('Калькуляция (МИ корр)'!$AJ$25:$BC$747,,MATCH(AH$8,'Калькуляция (МИ корр)'!$AJ$8:$BC$8,0)),'Калькуляция (МИ корр)'!$F$25:$F$747,$F251,'Калькуляция (МИ корр)'!$G$25:$G$747,$G251),IF(method_reg="Метод экономически обоснованных расходов",_xlfn.SUMIFS('Калькуляция (МЭОР)'!$AK$25:$AK$452,'Калькуляция (МЭОР)'!$F$25:$F$452,$F251,'Калькуляция (МЭОР)'!$G$25:$G$452,$G251),IF(method_reg="Метод сравнения аналогов",_xlfn.SUMIFS('Калькуляция (МСА)'!$AF$25:$AF$122,'Калькуляция (МСА)'!$F$25:$F$122,$F251,'Калькуляция (МСА)'!$G$25:$G$122,$G251),_xlfn.SUMIFS(INDEX('Калькуляция (МИ)'!$AJ$25:$BC$747,,MATCH(AH$8,'Калькуляция (МИ)'!$AJ$8:$BC$8,0)),'Калькуляция (МИ)'!$F$25:$F$747,$F251,'Калькуляция (МИ)'!$G$25:$G$747,$G251))))</f>
        <v>723.26956</v>
      </c>
      <c r="AI251" s="1095">
        <f>IF(AG251=0,0,(AH251-AG251)/AG251*100)</f>
        <v>0</v>
      </c>
      <c r="AJ251" s="5247">
        <f>IF(AND(method_reg="Метод индексации",god&lt;&gt;first_year),_xlfn.SUMIFS(INDEX('Калькуляция (МИ корр)'!$AJ$25:$BC$747,,MATCH(AJ$8,'Калькуляция (МИ корр)'!$AJ$8:$BC$8,0)),'Калькуляция (МИ корр)'!$F$25:$F$747,$F251,'Калькуляция (МИ корр)'!$G$25:$G$747,$G251),IF(method_reg="Метод экономически обоснованных расходов",_xlfn.SUMIFS('Калькуляция (МЭОР)'!$AJ$25:$AJ$452,'Калькуляция (МЭОР)'!$F$25:$F$452,$F251,'Калькуляция (МЭОР)'!$G$25:$G$452,$G251),IF(method_reg="Метод сравнения аналогов",_xlfn.SUMIFS('Калькуляция (МСА)'!$AE$25:$AE$122,'Калькуляция (МСА)'!$F$25:$F$122,$F251,'Калькуляция (МСА)'!$G$25:$G$122,$G251),_xlfn.SUMIFS(INDEX('Калькуляция (МИ)'!$AJ$25:$BC$747,,MATCH(AJ$8,'Калькуляция (МИ)'!$AJ$8:$BC$8,0)),'Калькуляция (МИ)'!$F$25:$F$747,$F251,'Калькуляция (МИ)'!$G$25:$G$747,$G251))))</f>
        <v>723.26956</v>
      </c>
      <c r="AK251" s="5247">
        <f>IF(AND(method_reg="Метод индексации",god&lt;&gt;first_year),_xlfn.SUMIFS(INDEX('Калькуляция (МИ корр)'!$AJ$25:$BC$747,,MATCH(AK$8,'Калькуляция (МИ корр)'!$AJ$8:$BC$8,0)),'Калькуляция (МИ корр)'!$F$25:$F$747,$F251,'Калькуляция (МИ корр)'!$G$25:$G$747,$G251),IF(method_reg="Метод экономически обоснованных расходов",_xlfn.SUMIFS('Калькуляция (МЭОР)'!$AK$25:$AK$452,'Калькуляция (МЭОР)'!$F$25:$F$452,$F251,'Калькуляция (МЭОР)'!$G$25:$G$452,$G251),IF(method_reg="Метод сравнения аналогов",_xlfn.SUMIFS('Калькуляция (МСА)'!$AF$25:$AF$122,'Калькуляция (МСА)'!$F$25:$F$122,$F251,'Калькуляция (МСА)'!$G$25:$G$122,$G251),_xlfn.SUMIFS(INDEX('Калькуляция (МИ)'!$AJ$25:$BC$747,,MATCH(AK$8,'Калькуляция (МИ)'!$AJ$8:$BC$8,0)),'Калькуляция (МИ)'!$F$25:$F$747,$F251,'Калькуляция (МИ)'!$G$25:$G$747,$G251))))</f>
        <v>723.26956</v>
      </c>
      <c r="AL251" s="1095">
        <f>IF(AJ251=0,0,(AK251-AJ251)/AJ251*100)</f>
        <v>0</v>
      </c>
      <c r="AM251" s="5247">
        <f>IF(AND(method_reg="Метод индексации",god&lt;&gt;first_year),_xlfn.SUMIFS(INDEX('Калькуляция (МИ корр)'!$AJ$25:$BC$747,,MATCH(AM$8,'Калькуляция (МИ корр)'!$AJ$8:$BC$8,0)),'Калькуляция (МИ корр)'!$F$25:$F$747,$F251,'Калькуляция (МИ корр)'!$G$25:$G$747,$G251),IF(method_reg="Метод экономически обоснованных расходов",_xlfn.SUMIFS('Калькуляция (МЭОР)'!$AJ$25:$AJ$452,'Калькуляция (МЭОР)'!$F$25:$F$452,$F251,'Калькуляция (МЭОР)'!$G$25:$G$452,$G251),IF(method_reg="Метод сравнения аналогов",_xlfn.SUMIFS('Калькуляция (МСА)'!$AE$25:$AE$122,'Калькуляция (МСА)'!$F$25:$F$122,$F251,'Калькуляция (МСА)'!$G$25:$G$122,$G251),_xlfn.SUMIFS(INDEX('Калькуляция (МИ)'!$AJ$25:$BC$747,,MATCH(AM$8,'Калькуляция (МИ)'!$AJ$8:$BC$8,0)),'Калькуляция (МИ)'!$F$25:$F$747,$F251,'Калькуляция (МИ)'!$G$25:$G$747,$G251))))</f>
        <v>723.26956</v>
      </c>
      <c r="AN251" s="5247">
        <f>IF(AND(method_reg="Метод индексации",god&lt;&gt;first_year),_xlfn.SUMIFS(INDEX('Калькуляция (МИ корр)'!$AJ$25:$BC$747,,MATCH(AN$8,'Калькуляция (МИ корр)'!$AJ$8:$BC$8,0)),'Калькуляция (МИ корр)'!$F$25:$F$747,$F251,'Калькуляция (МИ корр)'!$G$25:$G$747,$G251),IF(method_reg="Метод экономически обоснованных расходов",_xlfn.SUMIFS('Калькуляция (МЭОР)'!$AK$25:$AK$452,'Калькуляция (МЭОР)'!$F$25:$F$452,$F251,'Калькуляция (МЭОР)'!$G$25:$G$452,$G251),IF(method_reg="Метод сравнения аналогов",_xlfn.SUMIFS('Калькуляция (МСА)'!$AF$25:$AF$122,'Калькуляция (МСА)'!$F$25:$F$122,$F251,'Калькуляция (МСА)'!$G$25:$G$122,$G251),_xlfn.SUMIFS(INDEX('Калькуляция (МИ)'!$AJ$25:$BC$747,,MATCH(AN$8,'Калькуляция (МИ)'!$AJ$8:$BC$8,0)),'Калькуляция (МИ)'!$F$25:$F$747,$F251,'Калькуляция (МИ)'!$G$25:$G$747,$G251))))</f>
        <v>723.26956</v>
      </c>
      <c r="AO251" s="1095">
        <f>IF(AM251=0,0,(AN251-AM251)/AM251*100)</f>
        <v>0</v>
      </c>
      <c r="AP251" s="5247">
        <f>IF(AND(method_reg="Метод индексации",god&lt;&gt;first_year),_xlfn.SUMIFS(INDEX('Калькуляция (МИ корр)'!$AJ$25:$BC$747,,MATCH(AP$8,'Калькуляция (МИ корр)'!$AJ$8:$BC$8,0)),'Калькуляция (МИ корр)'!$F$25:$F$747,$F251,'Калькуляция (МИ корр)'!$G$25:$G$747,$G251),IF(method_reg="Метод экономически обоснованных расходов",_xlfn.SUMIFS('Калькуляция (МЭОР)'!$AJ$25:$AJ$452,'Калькуляция (МЭОР)'!$F$25:$F$452,$F251,'Калькуляция (МЭОР)'!$G$25:$G$452,$G251),IF(method_reg="Метод сравнения аналогов",_xlfn.SUMIFS('Калькуляция (МСА)'!$AE$25:$AE$122,'Калькуляция (МСА)'!$F$25:$F$122,$F251,'Калькуляция (МСА)'!$G$25:$G$122,$G251),_xlfn.SUMIFS(INDEX('Калькуляция (МИ)'!$AJ$25:$BC$747,,MATCH(AP$8,'Калькуляция (МИ)'!$AJ$8:$BC$8,0)),'Калькуляция (МИ)'!$F$25:$F$747,$F251,'Калькуляция (МИ)'!$G$25:$G$747,$G251))))</f>
        <v>723.26956</v>
      </c>
      <c r="AQ251" s="5247">
        <f>IF(AND(method_reg="Метод индексации",god&lt;&gt;first_year),_xlfn.SUMIFS(INDEX('Калькуляция (МИ корр)'!$AJ$25:$BC$747,,MATCH(AQ$8,'Калькуляция (МИ корр)'!$AJ$8:$BC$8,0)),'Калькуляция (МИ корр)'!$F$25:$F$747,$F251,'Калькуляция (МИ корр)'!$G$25:$G$747,$G251),IF(method_reg="Метод экономически обоснованных расходов",_xlfn.SUMIFS('Калькуляция (МЭОР)'!$AK$25:$AK$452,'Калькуляция (МЭОР)'!$F$25:$F$452,$F251,'Калькуляция (МЭОР)'!$G$25:$G$452,$G251),IF(method_reg="Метод сравнения аналогов",_xlfn.SUMIFS('Калькуляция (МСА)'!$AF$25:$AF$122,'Калькуляция (МСА)'!$F$25:$F$122,$F251,'Калькуляция (МСА)'!$G$25:$G$122,$G251),_xlfn.SUMIFS(INDEX('Калькуляция (МИ)'!$AJ$25:$BC$747,,MATCH(AQ$8,'Калькуляция (МИ)'!$AJ$8:$BC$8,0)),'Калькуляция (МИ)'!$F$25:$F$747,$F251,'Калькуляция (МИ)'!$G$25:$G$747,$G251))))</f>
        <v>723.26956</v>
      </c>
      <c r="AR251" s="1095">
        <f>IF(AP251=0,0,(AQ251-AP251)/AP251*100)</f>
        <v>0</v>
      </c>
      <c r="AS251" s="5247">
        <f>IF(AND(method_reg="Метод индексации",god&lt;&gt;first_year),_xlfn.SUMIFS(INDEX('Калькуляция (МИ корр)'!$AJ$25:$BC$747,,MATCH(AS$8,'Калькуляция (МИ корр)'!$AJ$8:$BC$8,0)),'Калькуляция (МИ корр)'!$F$25:$F$747,$F251,'Калькуляция (МИ корр)'!$G$25:$G$747,$G251),IF(method_reg="Метод экономически обоснованных расходов",_xlfn.SUMIFS('Калькуляция (МЭОР)'!$AJ$25:$AJ$452,'Калькуляция (МЭОР)'!$F$25:$F$452,$F251,'Калькуляция (МЭОР)'!$G$25:$G$452,$G251),IF(method_reg="Метод сравнения аналогов",_xlfn.SUMIFS('Калькуляция (МСА)'!$AE$25:$AE$122,'Калькуляция (МСА)'!$F$25:$F$122,$F251,'Калькуляция (МСА)'!$G$25:$G$122,$G251),_xlfn.SUMIFS(INDEX('Калькуляция (МИ)'!$AJ$25:$BC$747,,MATCH(AS$8,'Калькуляция (МИ)'!$AJ$8:$BC$8,0)),'Калькуляция (МИ)'!$F$25:$F$747,$F251,'Калькуляция (МИ)'!$G$25:$G$747,$G251))))</f>
        <v>0</v>
      </c>
      <c r="AT251" s="5247">
        <f>IF(AND(method_reg="Метод индексации",god&lt;&gt;first_year),_xlfn.SUMIFS(INDEX('Калькуляция (МИ корр)'!$AJ$25:$BC$747,,MATCH(AT$8,'Калькуляция (МИ корр)'!$AJ$8:$BC$8,0)),'Калькуляция (МИ корр)'!$F$25:$F$747,$F251,'Калькуляция (МИ корр)'!$G$25:$G$747,$G251),IF(method_reg="Метод экономически обоснованных расходов",_xlfn.SUMIFS('Калькуляция (МЭОР)'!$AK$25:$AK$452,'Калькуляция (МЭОР)'!$F$25:$F$452,$F251,'Калькуляция (МЭОР)'!$G$25:$G$452,$G251),IF(method_reg="Метод сравнения аналогов",_xlfn.SUMIFS('Калькуляция (МСА)'!$AF$25:$AF$122,'Калькуляция (МСА)'!$F$25:$F$122,$F251,'Калькуляция (МСА)'!$G$25:$G$122,$G251),_xlfn.SUMIFS(INDEX('Калькуляция (МИ)'!$AJ$25:$BC$747,,MATCH(AT$8,'Калькуляция (МИ)'!$AJ$8:$BC$8,0)),'Калькуляция (МИ)'!$F$25:$F$747,$F251,'Калькуляция (МИ)'!$G$25:$G$747,$G251))))</f>
        <v>0</v>
      </c>
      <c r="AU251" s="1095">
        <f>IF(AS251=0,0,(AT251-AS251)/AS251*100)</f>
        <v>0</v>
      </c>
      <c r="AV251" s="5247">
        <f>IF(AND(method_reg="Метод индексации",god&lt;&gt;first_year),_xlfn.SUMIFS(INDEX('Калькуляция (МИ корр)'!$AJ$25:$BC$747,,MATCH(AV$8,'Калькуляция (МИ корр)'!$AJ$8:$BC$8,0)),'Калькуляция (МИ корр)'!$F$25:$F$747,$F251,'Калькуляция (МИ корр)'!$G$25:$G$747,$G251),IF(method_reg="Метод экономически обоснованных расходов",_xlfn.SUMIFS('Калькуляция (МЭОР)'!$AJ$25:$AJ$452,'Калькуляция (МЭОР)'!$F$25:$F$452,$F251,'Калькуляция (МЭОР)'!$G$25:$G$452,$G251),IF(method_reg="Метод сравнения аналогов",_xlfn.SUMIFS('Калькуляция (МСА)'!$AE$25:$AE$122,'Калькуляция (МСА)'!$F$25:$F$122,$F251,'Калькуляция (МСА)'!$G$25:$G$122,$G251),_xlfn.SUMIFS(INDEX('Калькуляция (МИ)'!$AJ$25:$BC$747,,MATCH(AV$8,'Калькуляция (МИ)'!$AJ$8:$BC$8,0)),'Калькуляция (МИ)'!$F$25:$F$747,$F251,'Калькуляция (МИ)'!$G$25:$G$747,$G251))))</f>
        <v>0</v>
      </c>
      <c r="AW251" s="5247">
        <f>IF(AND(method_reg="Метод индексации",god&lt;&gt;first_year),_xlfn.SUMIFS(INDEX('Калькуляция (МИ корр)'!$AJ$25:$BC$747,,MATCH(AW$8,'Калькуляция (МИ корр)'!$AJ$8:$BC$8,0)),'Калькуляция (МИ корр)'!$F$25:$F$747,$F251,'Калькуляция (МИ корр)'!$G$25:$G$747,$G251),IF(method_reg="Метод экономически обоснованных расходов",_xlfn.SUMIFS('Калькуляция (МЭОР)'!$AK$25:$AK$452,'Калькуляция (МЭОР)'!$F$25:$F$452,$F251,'Калькуляция (МЭОР)'!$G$25:$G$452,$G251),IF(method_reg="Метод сравнения аналогов",_xlfn.SUMIFS('Калькуляция (МСА)'!$AF$25:$AF$122,'Калькуляция (МСА)'!$F$25:$F$122,$F251,'Калькуляция (МСА)'!$G$25:$G$122,$G251),_xlfn.SUMIFS(INDEX('Калькуляция (МИ)'!$AJ$25:$BC$747,,MATCH(AW$8,'Калькуляция (МИ)'!$AJ$8:$BC$8,0)),'Калькуляция (МИ)'!$F$25:$F$747,$F251,'Калькуляция (МИ)'!$G$25:$G$747,$G251))))</f>
        <v>0</v>
      </c>
      <c r="AX251" s="1095">
        <f>IF(AV251=0,0,(AW251-AV251)/AV251*100)</f>
        <v>0</v>
      </c>
      <c r="AY251" s="5247">
        <f>IF(AND(method_reg="Метод индексации",god&lt;&gt;first_year),_xlfn.SUMIFS(INDEX('Калькуляция (МИ корр)'!$AJ$25:$BC$747,,MATCH(AY$8,'Калькуляция (МИ корр)'!$AJ$8:$BC$8,0)),'Калькуляция (МИ корр)'!$F$25:$F$747,$F251,'Калькуляция (МИ корр)'!$G$25:$G$747,$G251),IF(method_reg="Метод экономически обоснованных расходов",_xlfn.SUMIFS('Калькуляция (МЭОР)'!$AJ$25:$AJ$452,'Калькуляция (МЭОР)'!$F$25:$F$452,$F251,'Калькуляция (МЭОР)'!$G$25:$G$452,$G251),IF(method_reg="Метод сравнения аналогов",_xlfn.SUMIFS('Калькуляция (МСА)'!$AE$25:$AE$122,'Калькуляция (МСА)'!$F$25:$F$122,$F251,'Калькуляция (МСА)'!$G$25:$G$122,$G251),_xlfn.SUMIFS(INDEX('Калькуляция (МИ)'!$AJ$25:$BC$747,,MATCH(AY$8,'Калькуляция (МИ)'!$AJ$8:$BC$8,0)),'Калькуляция (МИ)'!$F$25:$F$747,$F251,'Калькуляция (МИ)'!$G$25:$G$747,$G251))))</f>
        <v>0</v>
      </c>
      <c r="AZ251" s="5247">
        <f>IF(AND(method_reg="Метод индексации",god&lt;&gt;first_year),_xlfn.SUMIFS(INDEX('Калькуляция (МИ корр)'!$AJ$25:$BC$747,,MATCH(AZ$8,'Калькуляция (МИ корр)'!$AJ$8:$BC$8,0)),'Калькуляция (МИ корр)'!$F$25:$F$747,$F251,'Калькуляция (МИ корр)'!$G$25:$G$747,$G251),IF(method_reg="Метод экономически обоснованных расходов",_xlfn.SUMIFS('Калькуляция (МЭОР)'!$AK$25:$AK$452,'Калькуляция (МЭОР)'!$F$25:$F$452,$F251,'Калькуляция (МЭОР)'!$G$25:$G$452,$G251),IF(method_reg="Метод сравнения аналогов",_xlfn.SUMIFS('Калькуляция (МСА)'!$AF$25:$AF$122,'Калькуляция (МСА)'!$F$25:$F$122,$F251,'Калькуляция (МСА)'!$G$25:$G$122,$G251),_xlfn.SUMIFS(INDEX('Калькуляция (МИ)'!$AJ$25:$BC$747,,MATCH(AZ$8,'Калькуляция (МИ)'!$AJ$8:$BC$8,0)),'Калькуляция (МИ)'!$F$25:$F$747,$F251,'Калькуляция (МИ)'!$G$25:$G$747,$G251))))</f>
        <v>0</v>
      </c>
      <c r="BA251" s="1095">
        <f>IF(AY251=0,0,(AZ251-AY251)/AY251*100)</f>
        <v>0</v>
      </c>
      <c r="BB251" s="5247">
        <f>IF(AND(method_reg="Метод индексации",god&lt;&gt;first_year),_xlfn.SUMIFS(INDEX('Калькуляция (МИ корр)'!$AJ$25:$BC$747,,MATCH(BB$8,'Калькуляция (МИ корр)'!$AJ$8:$BC$8,0)),'Калькуляция (МИ корр)'!$F$25:$F$747,$F251,'Калькуляция (МИ корр)'!$G$25:$G$747,$G251),IF(method_reg="Метод экономически обоснованных расходов",_xlfn.SUMIFS('Калькуляция (МЭОР)'!$AJ$25:$AJ$452,'Калькуляция (МЭОР)'!$F$25:$F$452,$F251,'Калькуляция (МЭОР)'!$G$25:$G$452,$G251),IF(method_reg="Метод сравнения аналогов",_xlfn.SUMIFS('Калькуляция (МСА)'!$AE$25:$AE$122,'Калькуляция (МСА)'!$F$25:$F$122,$F251,'Калькуляция (МСА)'!$G$25:$G$122,$G251),_xlfn.SUMIFS(INDEX('Калькуляция (МИ)'!$AJ$25:$BC$747,,MATCH(BB$8,'Калькуляция (МИ)'!$AJ$8:$BC$8,0)),'Калькуляция (МИ)'!$F$25:$F$747,$F251,'Калькуляция (МИ)'!$G$25:$G$747,$G251))))</f>
        <v>0</v>
      </c>
      <c r="BC251" s="5247">
        <f>IF(AND(method_reg="Метод индексации",god&lt;&gt;first_year),_xlfn.SUMIFS(INDEX('Калькуляция (МИ корр)'!$AJ$25:$BC$747,,MATCH(BC$8,'Калькуляция (МИ корр)'!$AJ$8:$BC$8,0)),'Калькуляция (МИ корр)'!$F$25:$F$747,$F251,'Калькуляция (МИ корр)'!$G$25:$G$747,$G251),IF(method_reg="Метод экономически обоснованных расходов",_xlfn.SUMIFS('Калькуляция (МЭОР)'!$AK$25:$AK$452,'Калькуляция (МЭОР)'!$F$25:$F$452,$F251,'Калькуляция (МЭОР)'!$G$25:$G$452,$G251),IF(method_reg="Метод сравнения аналогов",_xlfn.SUMIFS('Калькуляция (МСА)'!$AF$25:$AF$122,'Калькуляция (МСА)'!$F$25:$F$122,$F251,'Калькуляция (МСА)'!$G$25:$G$122,$G251),_xlfn.SUMIFS(INDEX('Калькуляция (МИ)'!$AJ$25:$BC$747,,MATCH(BC$8,'Калькуляция (МИ)'!$AJ$8:$BC$8,0)),'Калькуляция (МИ)'!$F$25:$F$747,$F251,'Калькуляция (МИ)'!$G$25:$G$747,$G251))))</f>
        <v>0</v>
      </c>
      <c r="BD251" s="1095">
        <f>IF(BB251=0,0,(BC251-BB251)/BB251*100)</f>
        <v>0</v>
      </c>
      <c r="BE251" s="5247">
        <f>IF(AND(method_reg="Метод индексации",god&lt;&gt;first_year),_xlfn.SUMIFS(INDEX('Калькуляция (МИ корр)'!$AJ$25:$BC$747,,MATCH(BE$8,'Калькуляция (МИ корр)'!$AJ$8:$BC$8,0)),'Калькуляция (МИ корр)'!$F$25:$F$747,$F251,'Калькуляция (МИ корр)'!$G$25:$G$747,$G251),IF(method_reg="Метод экономически обоснованных расходов",_xlfn.SUMIFS('Калькуляция (МЭОР)'!$AJ$25:$AJ$452,'Калькуляция (МЭОР)'!$F$25:$F$452,$F251,'Калькуляция (МЭОР)'!$G$25:$G$452,$G251),IF(method_reg="Метод сравнения аналогов",_xlfn.SUMIFS('Калькуляция (МСА)'!$AE$25:$AE$122,'Калькуляция (МСА)'!$F$25:$F$122,$F251,'Калькуляция (МСА)'!$G$25:$G$122,$G251),_xlfn.SUMIFS(INDEX('Калькуляция (МИ)'!$AJ$25:$BC$747,,MATCH(BE$8,'Калькуляция (МИ)'!$AJ$8:$BC$8,0)),'Калькуляция (МИ)'!$F$25:$F$747,$F251,'Калькуляция (МИ)'!$G$25:$G$747,$G251))))</f>
        <v>0</v>
      </c>
      <c r="BF251" s="5247">
        <f>IF(AND(method_reg="Метод индексации",god&lt;&gt;first_year),_xlfn.SUMIFS(INDEX('Калькуляция (МИ корр)'!$AJ$25:$BC$747,,MATCH(BF$8,'Калькуляция (МИ корр)'!$AJ$8:$BC$8,0)),'Калькуляция (МИ корр)'!$F$25:$F$747,$F251,'Калькуляция (МИ корр)'!$G$25:$G$747,$G251),IF(method_reg="Метод экономически обоснованных расходов",_xlfn.SUMIFS('Калькуляция (МЭОР)'!$AK$25:$AK$452,'Калькуляция (МЭОР)'!$F$25:$F$452,$F251,'Калькуляция (МЭОР)'!$G$25:$G$452,$G251),IF(method_reg="Метод сравнения аналогов",_xlfn.SUMIFS('Калькуляция (МСА)'!$AF$25:$AF$122,'Калькуляция (МСА)'!$F$25:$F$122,$F251,'Калькуляция (МСА)'!$G$25:$G$122,$G251),_xlfn.SUMIFS(INDEX('Калькуляция (МИ)'!$AJ$25:$BC$747,,MATCH(BF$8,'Калькуляция (МИ)'!$AJ$8:$BC$8,0)),'Калькуляция (МИ)'!$F$25:$F$747,$F251,'Калькуляция (МИ)'!$G$25:$G$747,$G251))))</f>
        <v>0</v>
      </c>
      <c r="BG251" s="1095">
        <f>IF(BE251=0,0,(BF251-BE251)/BE251*100)</f>
        <v>0</v>
      </c>
      <c r="BH251" s="5247"/>
      <c r="BI251" s="5247"/>
      <c r="BJ251" s="1095">
        <f>IF(BH251=0,0,(BI251-BH251)/BH251*100)</f>
        <v>0</v>
      </c>
      <c r="BK251" s="5247"/>
      <c r="BL251" s="5247"/>
      <c r="BM251" s="1095">
        <f>IF(BK251=0,0,(BL251-BK251)/BK251*100)</f>
        <v>0</v>
      </c>
      <c r="BN251" s="5247"/>
      <c r="BO251" s="5247"/>
      <c r="BP251" s="1095">
        <f>IF(BN251=0,0,(BO251-BN251)/BN251*100)</f>
        <v>0</v>
      </c>
      <c r="BQ251" s="5247"/>
      <c r="BR251" s="5247"/>
      <c r="BS251" s="1095">
        <f>IF(BQ251=0,0,(BR251-BQ251)/BQ251*100)</f>
        <v>0</v>
      </c>
      <c r="BT251" s="5247"/>
      <c r="BU251" s="5247"/>
      <c r="BV251" s="1095">
        <f>IF(BT251=0,0,(BU251-BT251)/BT251*100)</f>
        <v>0</v>
      </c>
      <c r="BW251" s="5247"/>
      <c r="BX251" s="5247"/>
      <c r="BY251" s="1095">
        <f>IF(BW251=0,0,(BX251-BW251)/BW251*100)</f>
        <v>0</v>
      </c>
      <c r="BZ251" s="5247"/>
      <c r="CA251" s="5247"/>
      <c r="CB251" s="1095">
        <f>IF(BZ251=0,0,(CA251-BZ251)/BZ251*100)</f>
        <v>0</v>
      </c>
      <c r="CC251" s="5247"/>
      <c r="CD251" s="5247"/>
      <c r="CE251" s="1095">
        <f>IF(CC251=0,0,(CD251-CC251)/CC251*100)</f>
        <v>0</v>
      </c>
      <c r="CF251" s="5247"/>
      <c r="CG251" s="5247"/>
      <c r="CH251" s="1095">
        <f>IF(CF251=0,0,(CG251-CF251)/CF251*100)</f>
        <v>0</v>
      </c>
      <c r="CI251" s="5247"/>
      <c r="CJ251" s="5247"/>
      <c r="CK251" s="1095">
        <f>IF(CI251=0,0,(CJ251-CI251)/CI251*100)</f>
        <v>0</v>
      </c>
      <c r="CL251" s="5247"/>
      <c r="CM251" s="5247"/>
      <c r="CN251" s="1095">
        <f>IF(CL251=0,0,(CM251-CL251)/CL251*100)</f>
        <v>0</v>
      </c>
      <c r="CO251" s="5247"/>
      <c r="CP251" s="5247"/>
      <c r="CQ251" s="1095">
        <f>IF(CO251=0,0,(CP251-CO251)/CO251*100)</f>
        <v>0</v>
      </c>
      <c r="CR251" s="5247"/>
      <c r="CS251" s="5247"/>
      <c r="CT251" s="1095">
        <f>IF(CR251=0,0,(CS251-CR251)/CR251*100)</f>
        <v>0</v>
      </c>
      <c r="CU251" s="5247"/>
      <c r="CV251" s="5247"/>
      <c r="CW251" s="1095">
        <f>IF(CU251=0,0,(CV251-CU251)/CU251*100)</f>
        <v>0</v>
      </c>
      <c r="CX251" s="5247"/>
      <c r="CY251" s="5247"/>
      <c r="CZ251" s="1095">
        <f>IF(CX251=0,0,(CY251-CX251)/CX251*100)</f>
        <v>0</v>
      </c>
      <c r="DA251" s="5247"/>
      <c r="DB251" s="5247"/>
      <c r="DC251" s="1095">
        <f>IF(DA251=0,0,(DB251-DA251)/DA251*100)</f>
        <v>0</v>
      </c>
      <c r="DD251" s="5247"/>
      <c r="DE251" s="5247"/>
      <c r="DF251" s="1095">
        <f>IF(DD251=0,0,(DE251-DD251)/DD251*100)</f>
        <v>0</v>
      </c>
      <c r="DG251" s="5247"/>
      <c r="DH251" s="5247"/>
      <c r="DI251" s="1095">
        <f>IF(DG251=0,0,(DH251-DG251)/DG251*100)</f>
        <v>0</v>
      </c>
      <c r="DJ251" s="5247"/>
      <c r="DK251" s="5247"/>
      <c r="DL251" s="1095">
        <f>IF(DJ251=0,0,(DK251-DJ251)/DJ251*100)</f>
        <v>0</v>
      </c>
      <c r="DM251" s="5247"/>
      <c r="DN251" s="5247"/>
      <c r="DO251" s="1095">
        <f>IF(DM251=0,0,(DN251-DM251)/DM251*100)</f>
        <v>0</v>
      </c>
      <c r="DP251" s="5247"/>
      <c r="DQ251" s="5247"/>
      <c r="DR251" s="1095">
        <f>IF(DP251=0,0,(DQ251-DP251)/DP251*100)</f>
        <v>0</v>
      </c>
      <c r="DS251" s="5247"/>
      <c r="DT251" s="5247"/>
      <c r="DU251" s="1095">
        <f>IF(DS251=0,0,(DT251-DS251)/DS251*100)</f>
        <v>0</v>
      </c>
      <c r="DV251" s="5247"/>
      <c r="DW251" s="5247"/>
      <c r="DX251" s="1095">
        <f>IF(DV251=0,0,(DW251-DV251)/DV251*100)</f>
        <v>0</v>
      </c>
      <c r="DY251" s="5247"/>
      <c r="DZ251" s="5247"/>
      <c r="EA251" s="1095">
        <f>IF(DY251=0,0,(DZ251-DY251)/DY251*100)</f>
        <v>0</v>
      </c>
      <c r="EB251" s="5247"/>
      <c r="EC251" s="5247"/>
      <c r="ED251" s="1095">
        <f>IF(EB251=0,0,(EC251-EB251)/EB251*100)</f>
        <v>0</v>
      </c>
      <c r="EE251" s="5247"/>
      <c r="EF251" s="5247"/>
      <c r="EG251" s="1095">
        <f>IF(EE251=0,0,(EF251-EE251)/EE251*100)</f>
        <v>0</v>
      </c>
      <c r="EH251" s="5247"/>
      <c r="EI251" s="5247"/>
      <c r="EJ251" s="1095">
        <f>IF(EH251=0,0,(EI251-EH251)/EH251*100)</f>
        <v>0</v>
      </c>
      <c r="EK251" s="5247"/>
      <c r="EL251" s="5247"/>
      <c r="EM251" s="1095">
        <f>IF(EK251=0,0,(EL251-EK251)/EK251*100)</f>
        <v>0</v>
      </c>
      <c r="EN251" s="5247"/>
      <c r="EO251" s="5247"/>
      <c r="EP251" s="1095">
        <f>IF(EN251=0,0,(EO251-EN251)/EN251*100)</f>
        <v>0</v>
      </c>
      <c r="EQ251" s="5247"/>
      <c r="ER251" s="5247"/>
      <c r="ES251" s="1095">
        <f>IF(EQ251=0,0,(ER251-EQ251)/EQ251*100)</f>
        <v>0</v>
      </c>
      <c r="ET251" s="5247"/>
      <c r="EU251" s="5247"/>
      <c r="EV251" s="1095">
        <f>IF(ET251=0,0,(EU251-ET251)/ET251*100)</f>
        <v>0</v>
      </c>
      <c r="EW251" s="5247"/>
      <c r="EX251" s="5247"/>
      <c r="EY251" s="1095">
        <f>IF(EW251=0,0,(EX251-EW251)/EW251*100)</f>
        <v>0</v>
      </c>
      <c r="EZ251" s="5247"/>
      <c r="FA251" s="5247"/>
      <c r="FB251" s="1095">
        <f>IF(EZ251=0,0,(FA251-EZ251)/EZ251*100)</f>
        <v>0</v>
      </c>
      <c r="FC251" s="5247"/>
      <c r="FD251" s="5247"/>
      <c r="FE251" s="1095">
        <f>IF(FC251=0,0,(FD251-FC251)/FC251*100)</f>
        <v>0</v>
      </c>
      <c r="FF251" s="5247"/>
      <c r="FG251" s="5247"/>
      <c r="FH251" s="1095">
        <f>IF(FF251=0,0,(FG251-FF251)/FF251*100)</f>
        <v>0</v>
      </c>
      <c r="FI251" s="5247"/>
      <c r="FJ251" s="5247"/>
      <c r="FK251" s="1095">
        <f>IF(FI251=0,0,(FJ251-FI251)/FI251*100)</f>
        <v>0</v>
      </c>
      <c r="FL251" s="5247"/>
      <c r="FM251" s="5247"/>
      <c r="FN251" s="1095">
        <f>IF(FL251=0,0,(FM251-FL251)/FL251*100)</f>
        <v>0</v>
      </c>
      <c r="FO251" s="5247"/>
      <c r="FP251" s="5247"/>
      <c r="FQ251" s="1095">
        <f>IF(FO251=0,0,(FP251-FO251)/FO251*100)</f>
        <v>0</v>
      </c>
      <c r="FR251" s="5247"/>
      <c r="FS251" s="5247"/>
      <c r="FT251" s="1095">
        <f>IF(FR251=0,0,(FS251-FR251)/FR251*100)</f>
        <v>0</v>
      </c>
      <c r="FU251" s="5247"/>
      <c r="FV251" s="5247"/>
      <c r="FW251" s="1095">
        <f>IF(FU251=0,0,(FV251-FU251)/FU251*100)</f>
        <v>0</v>
      </c>
      <c r="FX251" s="1304"/>
      <c r="FY251" s="1304"/>
      <c r="FZ251" s="1055" t="s">
        <v>2394</v>
      </c>
      <c r="GA251" s="1306"/>
      <c r="GB251" s="1306"/>
      <c r="GC251" s="1305"/>
      <c r="GD251" s="1305"/>
    </row>
    <row s="1834" customFormat="1" customHeight="1" ht="21.75" hidden="1">
      <c r="A252" s="493"/>
      <c r="B252" s="925" cm="1" t="str">
        <f t="array" ref="B252:B252">B251</f>
        <v>false</v>
      </c>
      <c r="C252" s="493"/>
      <c r="D252" s="493"/>
      <c r="E252" s="840">
        <v>22.5</v>
      </c>
      <c r="F252" s="50" cm="1" t="str">
        <f t="array" ref="F252:F252">OFFSET(E252,-1,1)</f>
        <v>3</v>
      </c>
      <c r="G252" s="493"/>
      <c r="H252" s="493" t="s">
        <v>2376</v>
      </c>
      <c r="I252" s="493" t="s">
        <v>2350</v>
      </c>
      <c r="J252" s="493"/>
      <c r="K252" s="493"/>
      <c r="L252" s="493"/>
      <c r="M252" s="493"/>
      <c r="N252" s="493"/>
      <c r="O252" s="493"/>
      <c r="P252" s="493"/>
      <c r="Q252" s="493"/>
      <c r="R252" s="493"/>
      <c r="S252" s="493"/>
      <c r="T252" s="465" cm="1" t="str">
        <f t="array" ref="T252:T252">T251</f>
        <v>true</v>
      </c>
      <c r="U252" s="493"/>
      <c r="V252" s="493"/>
      <c r="W252" s="493"/>
      <c r="X252" s="1596"/>
      <c r="Y252" s="493"/>
      <c r="Z252" s="1545"/>
      <c r="AA252" s="493"/>
      <c r="AB252" s="1091" t="str">
        <f>"ставка платы за содержание системы "&amp;IF(Q218="Водоснабжение","холодного водоснабжения","водоотведения")</f>
        <v>ставка платы за содержание системы водоотведения</v>
      </c>
      <c r="AC252" s="864" t="s">
        <v>2377</v>
      </c>
      <c r="AD252" s="2846"/>
      <c r="AE252" s="2846"/>
      <c r="AF252" s="1093">
        <f>IF(AD252=0,0,(AE252-AD252)/AD252*100)</f>
        <v>0</v>
      </c>
      <c r="AG252" s="2846"/>
      <c r="AH252" s="2846"/>
      <c r="AI252" s="1093">
        <f>IF(AG252=0,0,(AH252-AG252)/AG252*100)</f>
        <v>0</v>
      </c>
      <c r="AJ252" s="2846"/>
      <c r="AK252" s="2846"/>
      <c r="AL252" s="1093">
        <f>IF(AJ252=0,0,(AK252-AJ252)/AJ252*100)</f>
        <v>0</v>
      </c>
      <c r="AM252" s="2846"/>
      <c r="AN252" s="2846"/>
      <c r="AO252" s="1093">
        <f>IF(AM252=0,0,(AN252-AM252)/AM252*100)</f>
        <v>0</v>
      </c>
      <c r="AP252" s="2846"/>
      <c r="AQ252" s="2846"/>
      <c r="AR252" s="1093">
        <f>IF(AP252=0,0,(AQ252-AP252)/AP252*100)</f>
        <v>0</v>
      </c>
      <c r="AS252" s="2846"/>
      <c r="AT252" s="2846"/>
      <c r="AU252" s="1093">
        <f>IF(AS252=0,0,(AT252-AS252)/AS252*100)</f>
        <v>0</v>
      </c>
      <c r="AV252" s="2846"/>
      <c r="AW252" s="2846"/>
      <c r="AX252" s="1093">
        <f>IF(AV252=0,0,(AW252-AV252)/AV252*100)</f>
        <v>0</v>
      </c>
      <c r="AY252" s="2846"/>
      <c r="AZ252" s="2846"/>
      <c r="BA252" s="1093">
        <f>IF(AY252=0,0,(AZ252-AY252)/AY252*100)</f>
        <v>0</v>
      </c>
      <c r="BB252" s="2846"/>
      <c r="BC252" s="2846"/>
      <c r="BD252" s="1093">
        <f>IF(BB252=0,0,(BC252-BB252)/BB252*100)</f>
        <v>0</v>
      </c>
      <c r="BE252" s="2846"/>
      <c r="BF252" s="2846"/>
      <c r="BG252" s="1093">
        <f>IF(BE252=0,0,(BF252-BE252)/BE252*100)</f>
        <v>0</v>
      </c>
      <c r="BH252" s="2846"/>
      <c r="BI252" s="2846"/>
      <c r="BJ252" s="1093">
        <f>IF(BH252=0,0,(BI252-BH252)/BH252*100)</f>
        <v>0</v>
      </c>
      <c r="BK252" s="2846"/>
      <c r="BL252" s="2846"/>
      <c r="BM252" s="1093">
        <f>IF(BK252=0,0,(BL252-BK252)/BK252*100)</f>
        <v>0</v>
      </c>
      <c r="BN252" s="2846"/>
      <c r="BO252" s="2846"/>
      <c r="BP252" s="1093">
        <f>IF(BN252=0,0,(BO252-BN252)/BN252*100)</f>
        <v>0</v>
      </c>
      <c r="BQ252" s="2846"/>
      <c r="BR252" s="2846"/>
      <c r="BS252" s="1093">
        <f>IF(BQ252=0,0,(BR252-BQ252)/BQ252*100)</f>
        <v>0</v>
      </c>
      <c r="BT252" s="2846"/>
      <c r="BU252" s="2846"/>
      <c r="BV252" s="1093">
        <f>IF(BT252=0,0,(BU252-BT252)/BT252*100)</f>
        <v>0</v>
      </c>
      <c r="BW252" s="2846"/>
      <c r="BX252" s="2846"/>
      <c r="BY252" s="1093">
        <f>IF(BW252=0,0,(BX252-BW252)/BW252*100)</f>
        <v>0</v>
      </c>
      <c r="BZ252" s="2846"/>
      <c r="CA252" s="2846"/>
      <c r="CB252" s="1093">
        <f>IF(BZ252=0,0,(CA252-BZ252)/BZ252*100)</f>
        <v>0</v>
      </c>
      <c r="CC252" s="2846"/>
      <c r="CD252" s="2846"/>
      <c r="CE252" s="1093">
        <f>IF(CC252=0,0,(CD252-CC252)/CC252*100)</f>
        <v>0</v>
      </c>
      <c r="CF252" s="2846"/>
      <c r="CG252" s="2846"/>
      <c r="CH252" s="1093">
        <f>IF(CF252=0,0,(CG252-CF252)/CF252*100)</f>
        <v>0</v>
      </c>
      <c r="CI252" s="2846"/>
      <c r="CJ252" s="2846"/>
      <c r="CK252" s="1093">
        <f>IF(CI252=0,0,(CJ252-CI252)/CI252*100)</f>
        <v>0</v>
      </c>
      <c r="CL252" s="2846"/>
      <c r="CM252" s="2846"/>
      <c r="CN252" s="1093">
        <f>IF(CL252=0,0,(CM252-CL252)/CL252*100)</f>
        <v>0</v>
      </c>
      <c r="CO252" s="2846"/>
      <c r="CP252" s="2846"/>
      <c r="CQ252" s="1093">
        <f>IF(CO252=0,0,(CP252-CO252)/CO252*100)</f>
        <v>0</v>
      </c>
      <c r="CR252" s="2846"/>
      <c r="CS252" s="2846"/>
      <c r="CT252" s="1093">
        <f>IF(CR252=0,0,(CS252-CR252)/CR252*100)</f>
        <v>0</v>
      </c>
      <c r="CU252" s="2846"/>
      <c r="CV252" s="2846"/>
      <c r="CW252" s="1093">
        <f>IF(CU252=0,0,(CV252-CU252)/CU252*100)</f>
        <v>0</v>
      </c>
      <c r="CX252" s="2846"/>
      <c r="CY252" s="2846"/>
      <c r="CZ252" s="1093">
        <f>IF(CX252=0,0,(CY252-CX252)/CX252*100)</f>
        <v>0</v>
      </c>
      <c r="DA252" s="2846"/>
      <c r="DB252" s="2846"/>
      <c r="DC252" s="1093">
        <f>IF(DA252=0,0,(DB252-DA252)/DA252*100)</f>
        <v>0</v>
      </c>
      <c r="DD252" s="2846"/>
      <c r="DE252" s="2846"/>
      <c r="DF252" s="1093">
        <f>IF(DD252=0,0,(DE252-DD252)/DD252*100)</f>
        <v>0</v>
      </c>
      <c r="DG252" s="2846"/>
      <c r="DH252" s="2846"/>
      <c r="DI252" s="1093">
        <f>IF(DG252=0,0,(DH252-DG252)/DG252*100)</f>
        <v>0</v>
      </c>
      <c r="DJ252" s="2846"/>
      <c r="DK252" s="2846"/>
      <c r="DL252" s="1093">
        <f>IF(DJ252=0,0,(DK252-DJ252)/DJ252*100)</f>
        <v>0</v>
      </c>
      <c r="DM252" s="2846"/>
      <c r="DN252" s="2846"/>
      <c r="DO252" s="1093">
        <f>IF(DM252=0,0,(DN252-DM252)/DM252*100)</f>
        <v>0</v>
      </c>
      <c r="DP252" s="2846"/>
      <c r="DQ252" s="2846"/>
      <c r="DR252" s="1093">
        <f>IF(DP252=0,0,(DQ252-DP252)/DP252*100)</f>
        <v>0</v>
      </c>
      <c r="DS252" s="2846"/>
      <c r="DT252" s="2846"/>
      <c r="DU252" s="1093">
        <f>IF(DS252=0,0,(DT252-DS252)/DS252*100)</f>
        <v>0</v>
      </c>
      <c r="DV252" s="2846"/>
      <c r="DW252" s="2846"/>
      <c r="DX252" s="1093">
        <f>IF(DV252=0,0,(DW252-DV252)/DV252*100)</f>
        <v>0</v>
      </c>
      <c r="DY252" s="2846"/>
      <c r="DZ252" s="2846"/>
      <c r="EA252" s="1093">
        <f>IF(DY252=0,0,(DZ252-DY252)/DY252*100)</f>
        <v>0</v>
      </c>
      <c r="EB252" s="2846"/>
      <c r="EC252" s="2846"/>
      <c r="ED252" s="1093">
        <f>IF(EB252=0,0,(EC252-EB252)/EB252*100)</f>
        <v>0</v>
      </c>
      <c r="EE252" s="2846"/>
      <c r="EF252" s="2846"/>
      <c r="EG252" s="1093">
        <f>IF(EE252=0,0,(EF252-EE252)/EE252*100)</f>
        <v>0</v>
      </c>
      <c r="EH252" s="2846"/>
      <c r="EI252" s="2846"/>
      <c r="EJ252" s="1093">
        <f>IF(EH252=0,0,(EI252-EH252)/EH252*100)</f>
        <v>0</v>
      </c>
      <c r="EK252" s="2846"/>
      <c r="EL252" s="2846"/>
      <c r="EM252" s="1093">
        <f>IF(EK252=0,0,(EL252-EK252)/EK252*100)</f>
        <v>0</v>
      </c>
      <c r="EN252" s="2846"/>
      <c r="EO252" s="2846"/>
      <c r="EP252" s="1093">
        <f>IF(EN252=0,0,(EO252-EN252)/EN252*100)</f>
        <v>0</v>
      </c>
      <c r="EQ252" s="2846"/>
      <c r="ER252" s="2846"/>
      <c r="ES252" s="1093">
        <f>IF(EQ252=0,0,(ER252-EQ252)/EQ252*100)</f>
        <v>0</v>
      </c>
      <c r="ET252" s="2846"/>
      <c r="EU252" s="2846"/>
      <c r="EV252" s="1093">
        <f>IF(ET252=0,0,(EU252-ET252)/ET252*100)</f>
        <v>0</v>
      </c>
      <c r="EW252" s="2846"/>
      <c r="EX252" s="2846"/>
      <c r="EY252" s="1093">
        <f>IF(EW252=0,0,(EX252-EW252)/EW252*100)</f>
        <v>0</v>
      </c>
      <c r="EZ252" s="2846"/>
      <c r="FA252" s="2846"/>
      <c r="FB252" s="1093">
        <f>IF(EZ252=0,0,(FA252-EZ252)/EZ252*100)</f>
        <v>0</v>
      </c>
      <c r="FC252" s="2846"/>
      <c r="FD252" s="2846"/>
      <c r="FE252" s="1093">
        <f>IF(FC252=0,0,(FD252-FC252)/FC252*100)</f>
        <v>0</v>
      </c>
      <c r="FF252" s="2846"/>
      <c r="FG252" s="2846"/>
      <c r="FH252" s="1093">
        <f>IF(FF252=0,0,(FG252-FF252)/FF252*100)</f>
        <v>0</v>
      </c>
      <c r="FI252" s="2846"/>
      <c r="FJ252" s="2846"/>
      <c r="FK252" s="1093">
        <f>IF(FI252=0,0,(FJ252-FI252)/FI252*100)</f>
        <v>0</v>
      </c>
      <c r="FL252" s="2846"/>
      <c r="FM252" s="2846"/>
      <c r="FN252" s="1093">
        <f>IF(FL252=0,0,(FM252-FL252)/FL252*100)</f>
        <v>0</v>
      </c>
      <c r="FO252" s="2846"/>
      <c r="FP252" s="2846"/>
      <c r="FQ252" s="1093">
        <f>IF(FO252=0,0,(FP252-FO252)/FO252*100)</f>
        <v>0</v>
      </c>
      <c r="FR252" s="2846"/>
      <c r="FS252" s="2846"/>
      <c r="FT252" s="1093">
        <f>IF(FR252=0,0,(FS252-FR252)/FR252*100)</f>
        <v>0</v>
      </c>
      <c r="FU252" s="2846"/>
      <c r="FV252" s="2846"/>
      <c r="FW252" s="1093">
        <f>IF(FU252=0,0,(FV252-FU252)/FU252*100)</f>
        <v>0</v>
      </c>
      <c r="FX252" s="1304"/>
      <c r="FY252" s="1304"/>
      <c r="FZ252" s="1055" t="s">
        <v>2395</v>
      </c>
      <c r="GA252" s="1306"/>
      <c r="GB252" s="1306"/>
      <c r="GC252" s="1305"/>
      <c r="GD252" s="1305"/>
    </row>
    <row s="1834" customFormat="1" customHeight="1" ht="14.25" hidden="1">
      <c r="A253" s="493"/>
      <c r="B253" s="925" cm="1" t="str">
        <f t="array" ref="B253:B253">B252</f>
        <v>false</v>
      </c>
      <c r="C253" s="493"/>
      <c r="D253" s="493"/>
      <c r="E253" s="840">
        <v>15</v>
      </c>
      <c r="F253" s="50" cm="1" t="str">
        <f t="array" ref="F253:F253">OFFSET(E253,-1,1)</f>
        <v>3</v>
      </c>
      <c r="G253" s="493"/>
      <c r="H253" s="493" t="s">
        <v>2379</v>
      </c>
      <c r="I253" s="493" t="s">
        <v>2350</v>
      </c>
      <c r="J253" s="493"/>
      <c r="K253" s="493"/>
      <c r="L253" s="493"/>
      <c r="M253" s="493"/>
      <c r="N253" s="493"/>
      <c r="O253" s="493"/>
      <c r="P253" s="493"/>
      <c r="Q253" s="493"/>
      <c r="R253" s="493"/>
      <c r="S253" s="493"/>
      <c r="T253" s="465" cm="1" t="str">
        <f t="array" ref="T253:T253">T252</f>
        <v>true</v>
      </c>
      <c r="U253" s="493"/>
      <c r="V253" s="493"/>
      <c r="W253" s="493"/>
      <c r="X253" s="1596"/>
      <c r="Y253" s="493"/>
      <c r="Z253" s="1545"/>
      <c r="AA253" s="493"/>
      <c r="AB253" s="1091" t="s">
        <v>2380</v>
      </c>
      <c r="AC253" s="864" t="s">
        <v>2381</v>
      </c>
      <c r="AD253" s="2846"/>
      <c r="AE253" s="2846"/>
      <c r="AF253" s="1093">
        <f>IF(AD253=0,0,(AE253-AD253)/AD253*100)</f>
        <v>0</v>
      </c>
      <c r="AG253" s="2846"/>
      <c r="AH253" s="2846"/>
      <c r="AI253" s="1093">
        <f>IF(AG253=0,0,(AH253-AG253)/AG253*100)</f>
        <v>0</v>
      </c>
      <c r="AJ253" s="2846"/>
      <c r="AK253" s="2846"/>
      <c r="AL253" s="1093">
        <f>IF(AJ253=0,0,(AK253-AJ253)/AJ253*100)</f>
        <v>0</v>
      </c>
      <c r="AM253" s="2846"/>
      <c r="AN253" s="2846"/>
      <c r="AO253" s="1093">
        <f>IF(AM253=0,0,(AN253-AM253)/AM253*100)</f>
        <v>0</v>
      </c>
      <c r="AP253" s="2846"/>
      <c r="AQ253" s="2846"/>
      <c r="AR253" s="1093">
        <f>IF(AP253=0,0,(AQ253-AP253)/AP253*100)</f>
        <v>0</v>
      </c>
      <c r="AS253" s="2846"/>
      <c r="AT253" s="2846"/>
      <c r="AU253" s="1093">
        <f>IF(AS253=0,0,(AT253-AS253)/AS253*100)</f>
        <v>0</v>
      </c>
      <c r="AV253" s="2846"/>
      <c r="AW253" s="2846"/>
      <c r="AX253" s="1093">
        <f>IF(AV253=0,0,(AW253-AV253)/AV253*100)</f>
        <v>0</v>
      </c>
      <c r="AY253" s="2846"/>
      <c r="AZ253" s="2846"/>
      <c r="BA253" s="1093">
        <f>IF(AY253=0,0,(AZ253-AY253)/AY253*100)</f>
        <v>0</v>
      </c>
      <c r="BB253" s="2846"/>
      <c r="BC253" s="2846"/>
      <c r="BD253" s="1093">
        <f>IF(BB253=0,0,(BC253-BB253)/BB253*100)</f>
        <v>0</v>
      </c>
      <c r="BE253" s="2846"/>
      <c r="BF253" s="2846"/>
      <c r="BG253" s="1093">
        <f>IF(BE253=0,0,(BF253-BE253)/BE253*100)</f>
        <v>0</v>
      </c>
      <c r="BH253" s="2846"/>
      <c r="BI253" s="2846"/>
      <c r="BJ253" s="1093">
        <f>IF(BH253=0,0,(BI253-BH253)/BH253*100)</f>
        <v>0</v>
      </c>
      <c r="BK253" s="2846"/>
      <c r="BL253" s="2846"/>
      <c r="BM253" s="1093">
        <f>IF(BK253=0,0,(BL253-BK253)/BK253*100)</f>
        <v>0</v>
      </c>
      <c r="BN253" s="2846"/>
      <c r="BO253" s="2846"/>
      <c r="BP253" s="1093">
        <f>IF(BN253=0,0,(BO253-BN253)/BN253*100)</f>
        <v>0</v>
      </c>
      <c r="BQ253" s="2846"/>
      <c r="BR253" s="2846"/>
      <c r="BS253" s="1093">
        <f>IF(BQ253=0,0,(BR253-BQ253)/BQ253*100)</f>
        <v>0</v>
      </c>
      <c r="BT253" s="2846"/>
      <c r="BU253" s="2846"/>
      <c r="BV253" s="1093">
        <f>IF(BT253=0,0,(BU253-BT253)/BT253*100)</f>
        <v>0</v>
      </c>
      <c r="BW253" s="2846"/>
      <c r="BX253" s="2846"/>
      <c r="BY253" s="1093">
        <f>IF(BW253=0,0,(BX253-BW253)/BW253*100)</f>
        <v>0</v>
      </c>
      <c r="BZ253" s="2846"/>
      <c r="CA253" s="2846"/>
      <c r="CB253" s="1093">
        <f>IF(BZ253=0,0,(CA253-BZ253)/BZ253*100)</f>
        <v>0</v>
      </c>
      <c r="CC253" s="2846"/>
      <c r="CD253" s="2846"/>
      <c r="CE253" s="1093">
        <f>IF(CC253=0,0,(CD253-CC253)/CC253*100)</f>
        <v>0</v>
      </c>
      <c r="CF253" s="2846"/>
      <c r="CG253" s="2846"/>
      <c r="CH253" s="1093">
        <f>IF(CF253=0,0,(CG253-CF253)/CF253*100)</f>
        <v>0</v>
      </c>
      <c r="CI253" s="2846"/>
      <c r="CJ253" s="2846"/>
      <c r="CK253" s="1093">
        <f>IF(CI253=0,0,(CJ253-CI253)/CI253*100)</f>
        <v>0</v>
      </c>
      <c r="CL253" s="2846"/>
      <c r="CM253" s="2846"/>
      <c r="CN253" s="1093">
        <f>IF(CL253=0,0,(CM253-CL253)/CL253*100)</f>
        <v>0</v>
      </c>
      <c r="CO253" s="2846"/>
      <c r="CP253" s="2846"/>
      <c r="CQ253" s="1093">
        <f>IF(CO253=0,0,(CP253-CO253)/CO253*100)</f>
        <v>0</v>
      </c>
      <c r="CR253" s="2846"/>
      <c r="CS253" s="2846"/>
      <c r="CT253" s="1093">
        <f>IF(CR253=0,0,(CS253-CR253)/CR253*100)</f>
        <v>0</v>
      </c>
      <c r="CU253" s="2846"/>
      <c r="CV253" s="2846"/>
      <c r="CW253" s="1093">
        <f>IF(CU253=0,0,(CV253-CU253)/CU253*100)</f>
        <v>0</v>
      </c>
      <c r="CX253" s="2846"/>
      <c r="CY253" s="2846"/>
      <c r="CZ253" s="1093">
        <f>IF(CX253=0,0,(CY253-CX253)/CX253*100)</f>
        <v>0</v>
      </c>
      <c r="DA253" s="2846"/>
      <c r="DB253" s="2846"/>
      <c r="DC253" s="1093">
        <f>IF(DA253=0,0,(DB253-DA253)/DA253*100)</f>
        <v>0</v>
      </c>
      <c r="DD253" s="2846"/>
      <c r="DE253" s="2846"/>
      <c r="DF253" s="1093">
        <f>IF(DD253=0,0,(DE253-DD253)/DD253*100)</f>
        <v>0</v>
      </c>
      <c r="DG253" s="2846"/>
      <c r="DH253" s="2846"/>
      <c r="DI253" s="1093">
        <f>IF(DG253=0,0,(DH253-DG253)/DG253*100)</f>
        <v>0</v>
      </c>
      <c r="DJ253" s="2846"/>
      <c r="DK253" s="2846"/>
      <c r="DL253" s="1093">
        <f>IF(DJ253=0,0,(DK253-DJ253)/DJ253*100)</f>
        <v>0</v>
      </c>
      <c r="DM253" s="2846"/>
      <c r="DN253" s="2846"/>
      <c r="DO253" s="1093">
        <f>IF(DM253=0,0,(DN253-DM253)/DM253*100)</f>
        <v>0</v>
      </c>
      <c r="DP253" s="2846"/>
      <c r="DQ253" s="2846"/>
      <c r="DR253" s="1093">
        <f>IF(DP253=0,0,(DQ253-DP253)/DP253*100)</f>
        <v>0</v>
      </c>
      <c r="DS253" s="2846"/>
      <c r="DT253" s="2846"/>
      <c r="DU253" s="1093">
        <f>IF(DS253=0,0,(DT253-DS253)/DS253*100)</f>
        <v>0</v>
      </c>
      <c r="DV253" s="2846"/>
      <c r="DW253" s="2846"/>
      <c r="DX253" s="1093">
        <f>IF(DV253=0,0,(DW253-DV253)/DV253*100)</f>
        <v>0</v>
      </c>
      <c r="DY253" s="2846"/>
      <c r="DZ253" s="2846"/>
      <c r="EA253" s="1093">
        <f>IF(DY253=0,0,(DZ253-DY253)/DY253*100)</f>
        <v>0</v>
      </c>
      <c r="EB253" s="2846"/>
      <c r="EC253" s="2846"/>
      <c r="ED253" s="1093">
        <f>IF(EB253=0,0,(EC253-EB253)/EB253*100)</f>
        <v>0</v>
      </c>
      <c r="EE253" s="2846"/>
      <c r="EF253" s="2846"/>
      <c r="EG253" s="1093">
        <f>IF(EE253=0,0,(EF253-EE253)/EE253*100)</f>
        <v>0</v>
      </c>
      <c r="EH253" s="2846"/>
      <c r="EI253" s="2846"/>
      <c r="EJ253" s="1093">
        <f>IF(EH253=0,0,(EI253-EH253)/EH253*100)</f>
        <v>0</v>
      </c>
      <c r="EK253" s="2846"/>
      <c r="EL253" s="2846"/>
      <c r="EM253" s="1093">
        <f>IF(EK253=0,0,(EL253-EK253)/EK253*100)</f>
        <v>0</v>
      </c>
      <c r="EN253" s="2846"/>
      <c r="EO253" s="2846"/>
      <c r="EP253" s="1093">
        <f>IF(EN253=0,0,(EO253-EN253)/EN253*100)</f>
        <v>0</v>
      </c>
      <c r="EQ253" s="2846"/>
      <c r="ER253" s="2846"/>
      <c r="ES253" s="1093">
        <f>IF(EQ253=0,0,(ER253-EQ253)/EQ253*100)</f>
        <v>0</v>
      </c>
      <c r="ET253" s="2846"/>
      <c r="EU253" s="2846"/>
      <c r="EV253" s="1093">
        <f>IF(ET253=0,0,(EU253-ET253)/ET253*100)</f>
        <v>0</v>
      </c>
      <c r="EW253" s="2846"/>
      <c r="EX253" s="2846"/>
      <c r="EY253" s="1093">
        <f>IF(EW253=0,0,(EX253-EW253)/EW253*100)</f>
        <v>0</v>
      </c>
      <c r="EZ253" s="2846"/>
      <c r="FA253" s="2846"/>
      <c r="FB253" s="1093">
        <f>IF(EZ253=0,0,(FA253-EZ253)/EZ253*100)</f>
        <v>0</v>
      </c>
      <c r="FC253" s="2846"/>
      <c r="FD253" s="2846"/>
      <c r="FE253" s="1093">
        <f>IF(FC253=0,0,(FD253-FC253)/FC253*100)</f>
        <v>0</v>
      </c>
      <c r="FF253" s="2846"/>
      <c r="FG253" s="2846"/>
      <c r="FH253" s="1093">
        <f>IF(FF253=0,0,(FG253-FF253)/FF253*100)</f>
        <v>0</v>
      </c>
      <c r="FI253" s="2846"/>
      <c r="FJ253" s="2846"/>
      <c r="FK253" s="1093">
        <f>IF(FI253=0,0,(FJ253-FI253)/FI253*100)</f>
        <v>0</v>
      </c>
      <c r="FL253" s="2846"/>
      <c r="FM253" s="2846"/>
      <c r="FN253" s="1093">
        <f>IF(FL253=0,0,(FM253-FL253)/FL253*100)</f>
        <v>0</v>
      </c>
      <c r="FO253" s="2846"/>
      <c r="FP253" s="2846"/>
      <c r="FQ253" s="1093">
        <f>IF(FO253=0,0,(FP253-FO253)/FO253*100)</f>
        <v>0</v>
      </c>
      <c r="FR253" s="2846"/>
      <c r="FS253" s="2846"/>
      <c r="FT253" s="1093">
        <f>IF(FR253=0,0,(FS253-FR253)/FR253*100)</f>
        <v>0</v>
      </c>
      <c r="FU253" s="2846"/>
      <c r="FV253" s="2846"/>
      <c r="FW253" s="1093">
        <f>IF(FU253=0,0,(FV253-FU253)/FU253*100)</f>
        <v>0</v>
      </c>
      <c r="FX253" s="1304"/>
      <c r="FY253" s="1304"/>
      <c r="FZ253" s="1055" t="s">
        <v>2396</v>
      </c>
      <c r="GA253" s="1306"/>
      <c r="GB253" s="1306"/>
      <c r="GC253" s="1305"/>
      <c r="GD253" s="1305"/>
    </row>
    <row s="1834" customFormat="1" customHeight="1" ht="23.25" hidden="1">
      <c r="A254" s="493"/>
      <c r="B254" s="925" cm="1" t="str">
        <f t="array" ref="B254:B254">B253</f>
        <v>false</v>
      </c>
      <c r="C254" s="493"/>
      <c r="D254" s="493"/>
      <c r="E254" s="840">
        <v>24.5</v>
      </c>
      <c r="F254" s="50" cm="1" t="str">
        <f t="array" ref="F254:F254">OFFSET(E254,-1,1)</f>
        <v>3</v>
      </c>
      <c r="G254" s="493"/>
      <c r="H254" s="493"/>
      <c r="I254" s="493"/>
      <c r="J254" s="493"/>
      <c r="K254" s="493"/>
      <c r="L254" s="493"/>
      <c r="M254" s="493"/>
      <c r="N254" s="493"/>
      <c r="O254" s="493"/>
      <c r="P254" s="493"/>
      <c r="Q254" s="493"/>
      <c r="R254" s="493"/>
      <c r="S254" s="493"/>
      <c r="T254" s="465" cm="1" t="str">
        <f t="array" ref="T254:T254">T253</f>
        <v>true</v>
      </c>
      <c r="U254" s="493"/>
      <c r="V254" s="493"/>
      <c r="W254" s="493"/>
      <c r="X254" s="1596"/>
      <c r="Y254" s="493"/>
      <c r="Z254" s="1545"/>
      <c r="AA254" s="493"/>
      <c r="AB254" s="293" t="s">
        <v>2397</v>
      </c>
      <c r="AC254" s="903"/>
      <c r="AD254" s="1102"/>
      <c r="AE254" s="1102"/>
      <c r="AF254" s="1102"/>
      <c r="AG254" s="1102"/>
      <c r="AH254" s="1102"/>
      <c r="AI254" s="1102"/>
      <c r="AJ254" s="1102"/>
      <c r="AK254" s="1102"/>
      <c r="AL254" s="1102"/>
      <c r="AM254" s="1102"/>
      <c r="AN254" s="1102"/>
      <c r="AO254" s="1102"/>
      <c r="AP254" s="1102"/>
      <c r="AQ254" s="1102"/>
      <c r="AR254" s="1102"/>
      <c r="AS254" s="1102"/>
      <c r="AT254" s="1102"/>
      <c r="AU254" s="1102"/>
      <c r="AV254" s="1102"/>
      <c r="AW254" s="1102"/>
      <c r="AX254" s="1102"/>
      <c r="AY254" s="1102"/>
      <c r="AZ254" s="1102"/>
      <c r="BA254" s="1102"/>
      <c r="BB254" s="1102"/>
      <c r="BC254" s="1102"/>
      <c r="BD254" s="1102"/>
      <c r="BE254" s="1102"/>
      <c r="BF254" s="1102"/>
      <c r="BG254" s="1102"/>
      <c r="BH254" s="1102"/>
      <c r="BI254" s="1102"/>
      <c r="BJ254" s="1102"/>
      <c r="BK254" s="1102"/>
      <c r="BL254" s="1102"/>
      <c r="BM254" s="1102"/>
      <c r="BN254" s="1102"/>
      <c r="BO254" s="1102"/>
      <c r="BP254" s="1102"/>
      <c r="BQ254" s="1102"/>
      <c r="BR254" s="1102"/>
      <c r="BS254" s="1102"/>
      <c r="BT254" s="1102"/>
      <c r="BU254" s="1102"/>
      <c r="BV254" s="1102"/>
      <c r="BW254" s="1102"/>
      <c r="BX254" s="1102"/>
      <c r="BY254" s="1102"/>
      <c r="BZ254" s="1102"/>
      <c r="CA254" s="1102"/>
      <c r="CB254" s="1102"/>
      <c r="CC254" s="1102"/>
      <c r="CD254" s="1102"/>
      <c r="CE254" s="1102"/>
      <c r="CF254" s="1102"/>
      <c r="CG254" s="1102"/>
      <c r="CH254" s="1102"/>
      <c r="CI254" s="1102"/>
      <c r="CJ254" s="1102"/>
      <c r="CK254" s="1102"/>
      <c r="CL254" s="1102"/>
      <c r="CM254" s="1102"/>
      <c r="CN254" s="1102"/>
      <c r="CO254" s="1102"/>
      <c r="CP254" s="1102"/>
      <c r="CQ254" s="1102"/>
      <c r="CR254" s="1102"/>
      <c r="CS254" s="1102"/>
      <c r="CT254" s="1102"/>
      <c r="CU254" s="1102"/>
      <c r="CV254" s="1102"/>
      <c r="CW254" s="1102"/>
      <c r="CX254" s="1102"/>
      <c r="CY254" s="1102"/>
      <c r="CZ254" s="1102"/>
      <c r="DA254" s="1102"/>
      <c r="DB254" s="1102"/>
      <c r="DC254" s="1102"/>
      <c r="DD254" s="1102"/>
      <c r="DE254" s="1102"/>
      <c r="DF254" s="1102"/>
      <c r="DG254" s="1102"/>
      <c r="DH254" s="1102"/>
      <c r="DI254" s="1102"/>
      <c r="DJ254" s="1102"/>
      <c r="DK254" s="1102"/>
      <c r="DL254" s="1102"/>
      <c r="DM254" s="1102"/>
      <c r="DN254" s="1102"/>
      <c r="DO254" s="1102"/>
      <c r="DP254" s="1102"/>
      <c r="DQ254" s="1102"/>
      <c r="DR254" s="1102"/>
      <c r="DS254" s="1102"/>
      <c r="DT254" s="1102"/>
      <c r="DU254" s="1102"/>
      <c r="DV254" s="1102"/>
      <c r="DW254" s="1102"/>
      <c r="DX254" s="1102"/>
      <c r="DY254" s="1102"/>
      <c r="DZ254" s="1102"/>
      <c r="EA254" s="1102"/>
      <c r="EB254" s="1102"/>
      <c r="EC254" s="1102"/>
      <c r="ED254" s="1102"/>
      <c r="EE254" s="1102"/>
      <c r="EF254" s="1102"/>
      <c r="EG254" s="1102"/>
      <c r="EH254" s="1102"/>
      <c r="EI254" s="1102"/>
      <c r="EJ254" s="1102"/>
      <c r="EK254" s="1102"/>
      <c r="EL254" s="1102"/>
      <c r="EM254" s="1102"/>
      <c r="EN254" s="1102"/>
      <c r="EO254" s="1102"/>
      <c r="EP254" s="1102"/>
      <c r="EQ254" s="1102"/>
      <c r="ER254" s="1102"/>
      <c r="ES254" s="1102"/>
      <c r="ET254" s="1102"/>
      <c r="EU254" s="1102"/>
      <c r="EV254" s="1102"/>
      <c r="EW254" s="1102"/>
      <c r="EX254" s="1102"/>
      <c r="EY254" s="1102"/>
      <c r="EZ254" s="1102"/>
      <c r="FA254" s="1102"/>
      <c r="FB254" s="1102"/>
      <c r="FC254" s="1102"/>
      <c r="FD254" s="1102"/>
      <c r="FE254" s="1102"/>
      <c r="FF254" s="1102"/>
      <c r="FG254" s="1102"/>
      <c r="FH254" s="1102"/>
      <c r="FI254" s="1102"/>
      <c r="FJ254" s="1102"/>
      <c r="FK254" s="1102"/>
      <c r="FL254" s="1102"/>
      <c r="FM254" s="1102"/>
      <c r="FN254" s="1102"/>
      <c r="FO254" s="1102"/>
      <c r="FP254" s="1102"/>
      <c r="FQ254" s="1102"/>
      <c r="FR254" s="1102"/>
      <c r="FS254" s="1102"/>
      <c r="FT254" s="1102"/>
      <c r="FU254" s="1102"/>
      <c r="FV254" s="1102"/>
      <c r="FW254" s="1103"/>
      <c r="FX254" s="1304"/>
      <c r="FY254" s="1304"/>
      <c r="FZ254" s="1055"/>
      <c r="GA254" s="1306"/>
      <c r="GB254" s="1306"/>
      <c r="GC254" s="1305"/>
      <c r="GD254" s="1305"/>
    </row>
    <row s="1834" customFormat="1" customHeight="1" ht="14.25" hidden="1">
      <c r="A255" s="493"/>
      <c r="B255" s="925" cm="1" t="str">
        <f t="array" ref="B255:B255">B254</f>
        <v>false</v>
      </c>
      <c r="C255" s="493"/>
      <c r="D255" s="493"/>
      <c r="E255" s="840">
        <v>15</v>
      </c>
      <c r="F255" s="50" cm="1" t="str">
        <f t="array" ref="F255:F255">OFFSET(E255,-1,1)</f>
        <v>3</v>
      </c>
      <c r="G255" s="493"/>
      <c r="H255" s="493" t="s">
        <v>2295</v>
      </c>
      <c r="I255" s="493" t="s">
        <v>2354</v>
      </c>
      <c r="J255" s="493"/>
      <c r="K255" s="493"/>
      <c r="L255" s="493"/>
      <c r="M255" s="493"/>
      <c r="N255" s="493"/>
      <c r="O255" s="493"/>
      <c r="P255" s="493"/>
      <c r="Q255" s="493"/>
      <c r="R255" s="493"/>
      <c r="S255" s="493"/>
      <c r="T255" s="465" cm="1" t="str">
        <f t="array" ref="T255:T255">T254</f>
        <v>true</v>
      </c>
      <c r="U255" s="493"/>
      <c r="V255" s="493"/>
      <c r="W255" s="493"/>
      <c r="X255" s="1596"/>
      <c r="Y255" s="493"/>
      <c r="Z255" s="1545"/>
      <c r="AA255" s="493"/>
      <c r="AB255" s="1091" t="s">
        <v>2370</v>
      </c>
      <c r="AC255" s="864" t="s">
        <v>2337</v>
      </c>
      <c r="AD255" s="2846">
        <f>IF(AD257=0,0,(AD256*AD257+AD258*AD259*IF(god=2026,3,6))/AD257)</f>
        <v>0</v>
      </c>
      <c r="AE255" s="2846">
        <f>IF(AE257=0,0,(AE256*AE257+AE258*AE259*IF(god=2026,3,6))/AE257)</f>
        <v>0</v>
      </c>
      <c r="AF255" s="1093">
        <f>IF(AD255=0,0,(AE255-AD255)/AD255*100)</f>
        <v>0</v>
      </c>
      <c r="AG255" s="2846">
        <f>IF(AG257=0,0,(AG256*AG257+AG258*AG259*IF(god=2025,3,6))/AG257)</f>
        <v>0</v>
      </c>
      <c r="AH255" s="2846">
        <f>IF(AH257=0,0,(AH256*AH257+AH258*AH259*IF(god=2025,3,6))/AH257)</f>
        <v>0</v>
      </c>
      <c r="AI255" s="1093">
        <f>IF(AG255=0,0,(AH255-AG255)/AG255*100)</f>
        <v>0</v>
      </c>
      <c r="AJ255" s="2846">
        <f>IF(AJ257=0,0,(AJ256*AJ257+AJ258*AJ259*6)/AJ257)</f>
        <v>0</v>
      </c>
      <c r="AK255" s="2846">
        <f>IF(AK257=0,0,(AK256*AK257+AK258*AK259*6)/AK257)</f>
        <v>0</v>
      </c>
      <c r="AL255" s="1093">
        <f>IF(AJ255=0,0,(AK255-AJ255)/AJ255*100)</f>
        <v>0</v>
      </c>
      <c r="AM255" s="2846">
        <f>IF(AM257=0,0,(AM256*AM257+AM258*AM259*6)/AM257)</f>
        <v>0</v>
      </c>
      <c r="AN255" s="2846">
        <f>IF(AN257=0,0,(AN256*AN257+AN258*AN259*6)/AN257)</f>
        <v>0</v>
      </c>
      <c r="AO255" s="1093">
        <f>IF(AM255=0,0,(AN255-AM255)/AM255*100)</f>
        <v>0</v>
      </c>
      <c r="AP255" s="2846">
        <f>IF(AP257=0,0,(AP256*AP257+AP258*AP259*6)/AP257)</f>
        <v>0</v>
      </c>
      <c r="AQ255" s="2846">
        <f>IF(AQ257=0,0,(AQ256*AQ257+AQ258*AQ259*6)/AQ257)</f>
        <v>0</v>
      </c>
      <c r="AR255" s="1093">
        <f>IF(AP255=0,0,(AQ255-AP255)/AP255*100)</f>
        <v>0</v>
      </c>
      <c r="AS255" s="2846">
        <f>IF(AS257=0,0,(AS256*AS257+AS258*AS259*6)/AS257)</f>
        <v>0</v>
      </c>
      <c r="AT255" s="2846">
        <f>IF(AT257=0,0,(AT256*AT257+AT258*AT259*6)/AT257)</f>
        <v>0</v>
      </c>
      <c r="AU255" s="1093">
        <f>IF(AS255=0,0,(AT255-AS255)/AS255*100)</f>
        <v>0</v>
      </c>
      <c r="AV255" s="2846">
        <f>IF(AV257=0,0,(AV256*AV257+AV258*AV259*6)/AV257)</f>
        <v>0</v>
      </c>
      <c r="AW255" s="2846">
        <f>IF(AW257=0,0,(AW256*AW257+AW258*AW259*6)/AW257)</f>
        <v>0</v>
      </c>
      <c r="AX255" s="1093">
        <f>IF(AV255=0,0,(AW255-AV255)/AV255*100)</f>
        <v>0</v>
      </c>
      <c r="AY255" s="2846">
        <f>IF(AY257=0,0,(AY256*AY257+AY258*AY259*6)/AY257)</f>
        <v>0</v>
      </c>
      <c r="AZ255" s="2846">
        <f>IF(AZ257=0,0,(AZ256*AZ257+AZ258*AZ259*6)/AZ257)</f>
        <v>0</v>
      </c>
      <c r="BA255" s="1093">
        <f>IF(AY255=0,0,(AZ255-AY255)/AY255*100)</f>
        <v>0</v>
      </c>
      <c r="BB255" s="2846">
        <f>IF(BB257=0,0,(BB256*BB257+BB258*BB259*6)/BB257)</f>
        <v>0</v>
      </c>
      <c r="BC255" s="2846">
        <f>IF(BC257=0,0,(BC256*BC257+BC258*BC259*6)/BC257)</f>
        <v>0</v>
      </c>
      <c r="BD255" s="1093">
        <f>IF(BB255=0,0,(BC255-BB255)/BB255*100)</f>
        <v>0</v>
      </c>
      <c r="BE255" s="2846">
        <f>IF(BE257=0,0,(BE256*BE257+BE258*BE259*6)/BE257)</f>
        <v>0</v>
      </c>
      <c r="BF255" s="2846">
        <f>IF(BF257=0,0,(BF256*BF257+BF258*BF259*6)/BF257)</f>
        <v>0</v>
      </c>
      <c r="BG255" s="1093">
        <f>IF(BE255=0,0,(BF255-BE255)/BE255*100)</f>
        <v>0</v>
      </c>
      <c r="BH255" s="2846">
        <f>IF(BH257=0,0,(BH256*BH257+BH258*BH259*6)/BH257)</f>
        <v>0</v>
      </c>
      <c r="BI255" s="2846">
        <f>IF(BI257=0,0,(BI256*BI257+BI258*BI259*6)/BI257)</f>
        <v>0</v>
      </c>
      <c r="BJ255" s="1093">
        <f>IF(BH255=0,0,(BI255-BH255)/BH255*100)</f>
        <v>0</v>
      </c>
      <c r="BK255" s="2846">
        <f>IF(BK257=0,0,(BK256*BK257+BK258*BK259*6)/BK257)</f>
        <v>0</v>
      </c>
      <c r="BL255" s="2846">
        <f>IF(BL257=0,0,(BL256*BL257+BL258*BL259*6)/BL257)</f>
        <v>0</v>
      </c>
      <c r="BM255" s="1093">
        <f>IF(BK255=0,0,(BL255-BK255)/BK255*100)</f>
        <v>0</v>
      </c>
      <c r="BN255" s="2846">
        <f>IF(BN257=0,0,(BN256*BN257+BN258*BN259*6)/BN257)</f>
        <v>0</v>
      </c>
      <c r="BO255" s="2846">
        <f>IF(BO257=0,0,(BO256*BO257+BO258*BO259*6)/BO257)</f>
        <v>0</v>
      </c>
      <c r="BP255" s="1093">
        <f>IF(BN255=0,0,(BO255-BN255)/BN255*100)</f>
        <v>0</v>
      </c>
      <c r="BQ255" s="2846">
        <f>IF(BQ257=0,0,(BQ256*BQ257+BQ258*BQ259*6)/BQ257)</f>
        <v>0</v>
      </c>
      <c r="BR255" s="2846">
        <f>IF(BR257=0,0,(BR256*BR257+BR258*BR259*6)/BR257)</f>
        <v>0</v>
      </c>
      <c r="BS255" s="1093">
        <f>IF(BQ255=0,0,(BR255-BQ255)/BQ255*100)</f>
        <v>0</v>
      </c>
      <c r="BT255" s="2846">
        <f>IF(BT257=0,0,(BT256*BT257+BT258*BT259*6)/BT257)</f>
        <v>0</v>
      </c>
      <c r="BU255" s="2846">
        <f>IF(BU257=0,0,(BU256*BU257+BU258*BU259*6)/BU257)</f>
        <v>0</v>
      </c>
      <c r="BV255" s="1093">
        <f>IF(BT255=0,0,(BU255-BT255)/BT255*100)</f>
        <v>0</v>
      </c>
      <c r="BW255" s="2846">
        <f>IF(BW257=0,0,(BW256*BW257+BW258*BW259*6)/BW257)</f>
        <v>0</v>
      </c>
      <c r="BX255" s="2846">
        <f>IF(BX257=0,0,(BX256*BX257+BX258*BX259*6)/BX257)</f>
        <v>0</v>
      </c>
      <c r="BY255" s="1093">
        <f>IF(BW255=0,0,(BX255-BW255)/BW255*100)</f>
        <v>0</v>
      </c>
      <c r="BZ255" s="2846">
        <f>IF(BZ257=0,0,(BZ256*BZ257+BZ258*BZ259*6)/BZ257)</f>
        <v>0</v>
      </c>
      <c r="CA255" s="2846">
        <f>IF(CA257=0,0,(CA256*CA257+CA258*CA259*6)/CA257)</f>
        <v>0</v>
      </c>
      <c r="CB255" s="1093">
        <f>IF(BZ255=0,0,(CA255-BZ255)/BZ255*100)</f>
        <v>0</v>
      </c>
      <c r="CC255" s="2846">
        <f>IF(CC257=0,0,(CC256*CC257+CC258*CC259*6)/CC257)</f>
        <v>0</v>
      </c>
      <c r="CD255" s="2846">
        <f>IF(CD257=0,0,(CD256*CD257+CD258*CD259*6)/CD257)</f>
        <v>0</v>
      </c>
      <c r="CE255" s="1093">
        <f>IF(CC255=0,0,(CD255-CC255)/CC255*100)</f>
        <v>0</v>
      </c>
      <c r="CF255" s="2846">
        <f>IF(CF257=0,0,(CF256*CF257+CF258*CF259*6)/CF257)</f>
        <v>0</v>
      </c>
      <c r="CG255" s="2846">
        <f>IF(CG257=0,0,(CG256*CG257+CG258*CG259*6)/CG257)</f>
        <v>0</v>
      </c>
      <c r="CH255" s="1093">
        <f>IF(CF255=0,0,(CG255-CF255)/CF255*100)</f>
        <v>0</v>
      </c>
      <c r="CI255" s="2846">
        <f>IF(CI257=0,0,(CI256*CI257+CI258*CI259*6)/CI257)</f>
        <v>0</v>
      </c>
      <c r="CJ255" s="2846">
        <f>IF(CJ257=0,0,(CJ256*CJ257+CJ258*CJ259*6)/CJ257)</f>
        <v>0</v>
      </c>
      <c r="CK255" s="1093">
        <f>IF(CI255=0,0,(CJ255-CI255)/CI255*100)</f>
        <v>0</v>
      </c>
      <c r="CL255" s="2846">
        <f>IF(CL257=0,0,(CL256*CL257+CL258*CL259*6)/CL257)</f>
        <v>0</v>
      </c>
      <c r="CM255" s="2846">
        <f>IF(CM257=0,0,(CM256*CM257+CM258*CM259*6)/CM257)</f>
        <v>0</v>
      </c>
      <c r="CN255" s="1093">
        <f>IF(CL255=0,0,(CM255-CL255)/CL255*100)</f>
        <v>0</v>
      </c>
      <c r="CO255" s="2846">
        <f>IF(CO257=0,0,(CO256*CO257+CO258*CO259*6)/CO257)</f>
        <v>0</v>
      </c>
      <c r="CP255" s="2846">
        <f>IF(CP257=0,0,(CP256*CP257+CP258*CP259*6)/CP257)</f>
        <v>0</v>
      </c>
      <c r="CQ255" s="1093">
        <f>IF(CO255=0,0,(CP255-CO255)/CO255*100)</f>
        <v>0</v>
      </c>
      <c r="CR255" s="2846">
        <f>IF(CR257=0,0,(CR256*CR257+CR258*CR259*6)/CR257)</f>
        <v>0</v>
      </c>
      <c r="CS255" s="2846">
        <f>IF(CS257=0,0,(CS256*CS257+CS258*CS259*6)/CS257)</f>
        <v>0</v>
      </c>
      <c r="CT255" s="1093">
        <f>IF(CR255=0,0,(CS255-CR255)/CR255*100)</f>
        <v>0</v>
      </c>
      <c r="CU255" s="2846">
        <f>IF(CU257=0,0,(CU256*CU257+CU258*CU259*6)/CU257)</f>
        <v>0</v>
      </c>
      <c r="CV255" s="2846">
        <f>IF(CV257=0,0,(CV256*CV257+CV258*CV259*6)/CV257)</f>
        <v>0</v>
      </c>
      <c r="CW255" s="1093">
        <f>IF(CU255=0,0,(CV255-CU255)/CU255*100)</f>
        <v>0</v>
      </c>
      <c r="CX255" s="2846">
        <f>IF(CX257=0,0,(CX256*CX257+CX258*CX259*6)/CX257)</f>
        <v>0</v>
      </c>
      <c r="CY255" s="2846">
        <f>IF(CY257=0,0,(CY256*CY257+CY258*CY259*6)/CY257)</f>
        <v>0</v>
      </c>
      <c r="CZ255" s="1093">
        <f>IF(CX255=0,0,(CY255-CX255)/CX255*100)</f>
        <v>0</v>
      </c>
      <c r="DA255" s="2846">
        <f>IF(DA257=0,0,(DA256*DA257+DA258*DA259*6)/DA257)</f>
        <v>0</v>
      </c>
      <c r="DB255" s="2846">
        <f>IF(DB257=0,0,(DB256*DB257+DB258*DB259*6)/DB257)</f>
        <v>0</v>
      </c>
      <c r="DC255" s="1093">
        <f>IF(DA255=0,0,(DB255-DA255)/DA255*100)</f>
        <v>0</v>
      </c>
      <c r="DD255" s="2846">
        <f>IF(DD257=0,0,(DD256*DD257+DD258*DD259*6)/DD257)</f>
        <v>0</v>
      </c>
      <c r="DE255" s="2846">
        <f>IF(DE257=0,0,(DE256*DE257+DE258*DE259*6)/DE257)</f>
        <v>0</v>
      </c>
      <c r="DF255" s="1093">
        <f>IF(DD255=0,0,(DE255-DD255)/DD255*100)</f>
        <v>0</v>
      </c>
      <c r="DG255" s="2846">
        <f>IF(DG257=0,0,(DG256*DG257+DG258*DG259*6)/DG257)</f>
        <v>0</v>
      </c>
      <c r="DH255" s="2846">
        <f>IF(DH257=0,0,(DH256*DH257+DH258*DH259*6)/DH257)</f>
        <v>0</v>
      </c>
      <c r="DI255" s="1093">
        <f>IF(DG255=0,0,(DH255-DG255)/DG255*100)</f>
        <v>0</v>
      </c>
      <c r="DJ255" s="2846">
        <f>IF(DJ257=0,0,(DJ256*DJ257+DJ258*DJ259*6)/DJ257)</f>
        <v>0</v>
      </c>
      <c r="DK255" s="2846">
        <f>IF(DK257=0,0,(DK256*DK257+DK258*DK259*6)/DK257)</f>
        <v>0</v>
      </c>
      <c r="DL255" s="1093">
        <f>IF(DJ255=0,0,(DK255-DJ255)/DJ255*100)</f>
        <v>0</v>
      </c>
      <c r="DM255" s="2846">
        <f>IF(DM257=0,0,(DM256*DM257+DM258*DM259*6)/DM257)</f>
        <v>0</v>
      </c>
      <c r="DN255" s="2846">
        <f>IF(DN257=0,0,(DN256*DN257+DN258*DN259*6)/DN257)</f>
        <v>0</v>
      </c>
      <c r="DO255" s="1093">
        <f>IF(DM255=0,0,(DN255-DM255)/DM255*100)</f>
        <v>0</v>
      </c>
      <c r="DP255" s="2846">
        <f>IF(DP257=0,0,(DP256*DP257+DP258*DP259*6)/DP257)</f>
        <v>0</v>
      </c>
      <c r="DQ255" s="2846">
        <f>IF(DQ257=0,0,(DQ256*DQ257+DQ258*DQ259*6)/DQ257)</f>
        <v>0</v>
      </c>
      <c r="DR255" s="1093">
        <f>IF(DP255=0,0,(DQ255-DP255)/DP255*100)</f>
        <v>0</v>
      </c>
      <c r="DS255" s="2846">
        <f>IF(DS257=0,0,(DS256*DS257+DS258*DS259*6)/DS257)</f>
        <v>0</v>
      </c>
      <c r="DT255" s="2846">
        <f>IF(DT257=0,0,(DT256*DT257+DT258*DT259*6)/DT257)</f>
        <v>0</v>
      </c>
      <c r="DU255" s="1093">
        <f>IF(DS255=0,0,(DT255-DS255)/DS255*100)</f>
        <v>0</v>
      </c>
      <c r="DV255" s="2846">
        <f>IF(DV257=0,0,(DV256*DV257+DV258*DV259*6)/DV257)</f>
        <v>0</v>
      </c>
      <c r="DW255" s="2846">
        <f>IF(DW257=0,0,(DW256*DW257+DW258*DW259*6)/DW257)</f>
        <v>0</v>
      </c>
      <c r="DX255" s="1093">
        <f>IF(DV255=0,0,(DW255-DV255)/DV255*100)</f>
        <v>0</v>
      </c>
      <c r="DY255" s="2846">
        <f>IF(DY257=0,0,(DY256*DY257+DY258*DY259*6)/DY257)</f>
        <v>0</v>
      </c>
      <c r="DZ255" s="2846">
        <f>IF(DZ257=0,0,(DZ256*DZ257+DZ258*DZ259*6)/DZ257)</f>
        <v>0</v>
      </c>
      <c r="EA255" s="1093">
        <f>IF(DY255=0,0,(DZ255-DY255)/DY255*100)</f>
        <v>0</v>
      </c>
      <c r="EB255" s="2846">
        <f>IF(EB257=0,0,(EB256*EB257+EB258*EB259*6)/EB257)</f>
        <v>0</v>
      </c>
      <c r="EC255" s="2846">
        <f>IF(EC257=0,0,(EC256*EC257+EC258*EC259*6)/EC257)</f>
        <v>0</v>
      </c>
      <c r="ED255" s="1093">
        <f>IF(EB255=0,0,(EC255-EB255)/EB255*100)</f>
        <v>0</v>
      </c>
      <c r="EE255" s="2846">
        <f>IF(EE257=0,0,(EE256*EE257+EE258*EE259*6)/EE257)</f>
        <v>0</v>
      </c>
      <c r="EF255" s="2846">
        <f>IF(EF257=0,0,(EF256*EF257+EF258*EF259*6)/EF257)</f>
        <v>0</v>
      </c>
      <c r="EG255" s="1093">
        <f>IF(EE255=0,0,(EF255-EE255)/EE255*100)</f>
        <v>0</v>
      </c>
      <c r="EH255" s="2846">
        <f>IF(EH257=0,0,(EH256*EH257+EH258*EH259*6)/EH257)</f>
        <v>0</v>
      </c>
      <c r="EI255" s="2846">
        <f>IF(EI257=0,0,(EI256*EI257+EI258*EI259*6)/EI257)</f>
        <v>0</v>
      </c>
      <c r="EJ255" s="1093">
        <f>IF(EH255=0,0,(EI255-EH255)/EH255*100)</f>
        <v>0</v>
      </c>
      <c r="EK255" s="2846">
        <f>IF(EK257=0,0,(EK256*EK257+EK258*EK259*6)/EK257)</f>
        <v>0</v>
      </c>
      <c r="EL255" s="2846">
        <f>IF(EL257=0,0,(EL256*EL257+EL258*EL259*6)/EL257)</f>
        <v>0</v>
      </c>
      <c r="EM255" s="1093">
        <f>IF(EK255=0,0,(EL255-EK255)/EK255*100)</f>
        <v>0</v>
      </c>
      <c r="EN255" s="2846">
        <f>IF(EN257=0,0,(EN256*EN257+EN258*EN259*6)/EN257)</f>
        <v>0</v>
      </c>
      <c r="EO255" s="2846">
        <f>IF(EO257=0,0,(EO256*EO257+EO258*EO259*6)/EO257)</f>
        <v>0</v>
      </c>
      <c r="EP255" s="1093">
        <f>IF(EN255=0,0,(EO255-EN255)/EN255*100)</f>
        <v>0</v>
      </c>
      <c r="EQ255" s="2846">
        <f>IF(EQ257=0,0,(EQ256*EQ257+EQ258*EQ259*6)/EQ257)</f>
        <v>0</v>
      </c>
      <c r="ER255" s="2846">
        <f>IF(ER257=0,0,(ER256*ER257+ER258*ER259*6)/ER257)</f>
        <v>0</v>
      </c>
      <c r="ES255" s="1093">
        <f>IF(EQ255=0,0,(ER255-EQ255)/EQ255*100)</f>
        <v>0</v>
      </c>
      <c r="ET255" s="2846">
        <f>IF(ET257=0,0,(ET256*ET257+ET258*ET259*6)/ET257)</f>
        <v>0</v>
      </c>
      <c r="EU255" s="2846">
        <f>IF(EU257=0,0,(EU256*EU257+EU258*EU259*6)/EU257)</f>
        <v>0</v>
      </c>
      <c r="EV255" s="1093">
        <f>IF(ET255=0,0,(EU255-ET255)/ET255*100)</f>
        <v>0</v>
      </c>
      <c r="EW255" s="2846">
        <f>IF(EW257=0,0,(EW256*EW257+EW258*EW259*6)/EW257)</f>
        <v>0</v>
      </c>
      <c r="EX255" s="2846">
        <f>IF(EX257=0,0,(EX256*EX257+EX258*EX259*6)/EX257)</f>
        <v>0</v>
      </c>
      <c r="EY255" s="1093">
        <f>IF(EW255=0,0,(EX255-EW255)/EW255*100)</f>
        <v>0</v>
      </c>
      <c r="EZ255" s="2846">
        <f>IF(EZ257=0,0,(EZ256*EZ257+EZ258*EZ259*6)/EZ257)</f>
        <v>0</v>
      </c>
      <c r="FA255" s="2846">
        <f>IF(FA257=0,0,(FA256*FA257+FA258*FA259*6)/FA257)</f>
        <v>0</v>
      </c>
      <c r="FB255" s="1093">
        <f>IF(EZ255=0,0,(FA255-EZ255)/EZ255*100)</f>
        <v>0</v>
      </c>
      <c r="FC255" s="2846">
        <f>IF(FC257=0,0,(FC256*FC257+FC258*FC259*6)/FC257)</f>
        <v>0</v>
      </c>
      <c r="FD255" s="2846">
        <f>IF(FD257=0,0,(FD256*FD257+FD258*FD259*6)/FD257)</f>
        <v>0</v>
      </c>
      <c r="FE255" s="1093">
        <f>IF(FC255=0,0,(FD255-FC255)/FC255*100)</f>
        <v>0</v>
      </c>
      <c r="FF255" s="2846">
        <f>IF(FF257=0,0,(FF256*FF257+FF258*FF259*6)/FF257)</f>
        <v>0</v>
      </c>
      <c r="FG255" s="2846">
        <f>IF(FG257=0,0,(FG256*FG257+FG258*FG259*6)/FG257)</f>
        <v>0</v>
      </c>
      <c r="FH255" s="1093">
        <f>IF(FF255=0,0,(FG255-FF255)/FF255*100)</f>
        <v>0</v>
      </c>
      <c r="FI255" s="2846">
        <f>IF(FI257=0,0,(FI256*FI257+FI258*FI259*6)/FI257)</f>
        <v>0</v>
      </c>
      <c r="FJ255" s="2846">
        <f>IF(FJ257=0,0,(FJ256*FJ257+FJ258*FJ259*6)/FJ257)</f>
        <v>0</v>
      </c>
      <c r="FK255" s="1093">
        <f>IF(FI255=0,0,(FJ255-FI255)/FI255*100)</f>
        <v>0</v>
      </c>
      <c r="FL255" s="2846">
        <f>IF(FL257=0,0,(FL256*FL257+FL258*FL259*6)/FL257)</f>
        <v>0</v>
      </c>
      <c r="FM255" s="2846">
        <f>IF(FM257=0,0,(FM256*FM257+FM258*FM259*6)/FM257)</f>
        <v>0</v>
      </c>
      <c r="FN255" s="1093">
        <f>IF(FL255=0,0,(FM255-FL255)/FL255*100)</f>
        <v>0</v>
      </c>
      <c r="FO255" s="2846">
        <f>IF(FO257=0,0,(FO256*FO257+FO258*FO259*6)/FO257)</f>
        <v>0</v>
      </c>
      <c r="FP255" s="2846">
        <f>IF(FP257=0,0,(FP256*FP257+FP258*FP259*6)/FP257)</f>
        <v>0</v>
      </c>
      <c r="FQ255" s="1093">
        <f>IF(FO255=0,0,(FP255-FO255)/FO255*100)</f>
        <v>0</v>
      </c>
      <c r="FR255" s="2846">
        <f>IF(FR257=0,0,(FR256*FR257+FR258*FR259*6)/FR257)</f>
        <v>0</v>
      </c>
      <c r="FS255" s="2846">
        <f>IF(FS257=0,0,(FS256*FS257+FS258*FS259*6)/FS257)</f>
        <v>0</v>
      </c>
      <c r="FT255" s="1093">
        <f>IF(FR255=0,0,(FS255-FR255)/FR255*100)</f>
        <v>0</v>
      </c>
      <c r="FU255" s="2846">
        <f>IF(FU257=0,0,(FU256*FU257+FU258*FU259*6)/FU257)</f>
        <v>0</v>
      </c>
      <c r="FV255" s="2846">
        <f>IF(FV257=0,0,(FV256*FV257+FV258*FV259*6)/FV257)</f>
        <v>0</v>
      </c>
      <c r="FW255" s="1093">
        <f>IF(FU255=0,0,(FV255-FU255)/FU255*100)</f>
        <v>0</v>
      </c>
      <c r="FX255" s="1304"/>
      <c r="FY255" s="1304"/>
      <c r="FZ255" s="1055" t="s">
        <v>2398</v>
      </c>
      <c r="GA255" s="1306"/>
      <c r="GB255" s="1306"/>
      <c r="GC255" s="1305"/>
      <c r="GD255" s="1305"/>
    </row>
    <row s="1834" customFormat="1" customHeight="1" ht="14.25" hidden="1">
      <c r="A256" s="493"/>
      <c r="B256" s="925" cm="1" t="str">
        <f t="array" ref="B256:B256">B255</f>
        <v>false</v>
      </c>
      <c r="C256" s="493"/>
      <c r="D256" s="493"/>
      <c r="E256" s="840">
        <v>15</v>
      </c>
      <c r="F256" s="50" cm="1" t="str">
        <f t="array" ref="F256:F256">OFFSET(E256,-1,1)</f>
        <v>3</v>
      </c>
      <c r="G256" s="493"/>
      <c r="H256" s="493" t="s">
        <v>2299</v>
      </c>
      <c r="I256" s="493" t="s">
        <v>2354</v>
      </c>
      <c r="J256" s="493"/>
      <c r="K256" s="493"/>
      <c r="L256" s="493"/>
      <c r="M256" s="493"/>
      <c r="N256" s="493"/>
      <c r="O256" s="493"/>
      <c r="P256" s="493"/>
      <c r="Q256" s="493"/>
      <c r="R256" s="493"/>
      <c r="S256" s="493"/>
      <c r="T256" s="465" cm="1" t="str">
        <f t="array" ref="T256:T256">T255</f>
        <v>true</v>
      </c>
      <c r="U256" s="493"/>
      <c r="V256" s="493"/>
      <c r="W256" s="493"/>
      <c r="X256" s="1596"/>
      <c r="Y256" s="493"/>
      <c r="Z256" s="1545"/>
      <c r="AA256" s="493"/>
      <c r="AB256" s="904" t="str">
        <f>"ставка платы за "&amp;IF(Q218="Водоснабжение","потребление 1 куб.м холодной воды","объем принятых сточных вод")</f>
        <v>ставка платы за объем принятых сточных вод</v>
      </c>
      <c r="AC256" s="864" t="s">
        <v>2337</v>
      </c>
      <c r="AD256" s="2846"/>
      <c r="AE256" s="2846"/>
      <c r="AF256" s="1093">
        <f>IF(AD256=0,0,(AE256-AD256)/AD256*100)</f>
        <v>0</v>
      </c>
      <c r="AG256" s="2846"/>
      <c r="AH256" s="2846"/>
      <c r="AI256" s="1093">
        <f>IF(AG256=0,0,(AH256-AG256)/AG256*100)</f>
        <v>0</v>
      </c>
      <c r="AJ256" s="2846"/>
      <c r="AK256" s="2846"/>
      <c r="AL256" s="1093">
        <f>IF(AJ256=0,0,(AK256-AJ256)/AJ256*100)</f>
        <v>0</v>
      </c>
      <c r="AM256" s="2846"/>
      <c r="AN256" s="2846"/>
      <c r="AO256" s="1093">
        <f>IF(AM256=0,0,(AN256-AM256)/AM256*100)</f>
        <v>0</v>
      </c>
      <c r="AP256" s="2846"/>
      <c r="AQ256" s="2846"/>
      <c r="AR256" s="1093">
        <f>IF(AP256=0,0,(AQ256-AP256)/AP256*100)</f>
        <v>0</v>
      </c>
      <c r="AS256" s="2846"/>
      <c r="AT256" s="2846"/>
      <c r="AU256" s="1093">
        <f>IF(AS256=0,0,(AT256-AS256)/AS256*100)</f>
        <v>0</v>
      </c>
      <c r="AV256" s="2846"/>
      <c r="AW256" s="2846"/>
      <c r="AX256" s="1093">
        <f>IF(AV256=0,0,(AW256-AV256)/AV256*100)</f>
        <v>0</v>
      </c>
      <c r="AY256" s="2846"/>
      <c r="AZ256" s="2846"/>
      <c r="BA256" s="1093">
        <f>IF(AY256=0,0,(AZ256-AY256)/AY256*100)</f>
        <v>0</v>
      </c>
      <c r="BB256" s="2846"/>
      <c r="BC256" s="2846"/>
      <c r="BD256" s="1093">
        <f>IF(BB256=0,0,(BC256-BB256)/BB256*100)</f>
        <v>0</v>
      </c>
      <c r="BE256" s="2846"/>
      <c r="BF256" s="2846"/>
      <c r="BG256" s="1093">
        <f>IF(BE256=0,0,(BF256-BE256)/BE256*100)</f>
        <v>0</v>
      </c>
      <c r="BH256" s="2846"/>
      <c r="BI256" s="2846"/>
      <c r="BJ256" s="1093">
        <f>IF(BH256=0,0,(BI256-BH256)/BH256*100)</f>
        <v>0</v>
      </c>
      <c r="BK256" s="2846"/>
      <c r="BL256" s="2846"/>
      <c r="BM256" s="1093">
        <f>IF(BK256=0,0,(BL256-BK256)/BK256*100)</f>
        <v>0</v>
      </c>
      <c r="BN256" s="2846"/>
      <c r="BO256" s="2846"/>
      <c r="BP256" s="1093">
        <f>IF(BN256=0,0,(BO256-BN256)/BN256*100)</f>
        <v>0</v>
      </c>
      <c r="BQ256" s="2846"/>
      <c r="BR256" s="2846"/>
      <c r="BS256" s="1093">
        <f>IF(BQ256=0,0,(BR256-BQ256)/BQ256*100)</f>
        <v>0</v>
      </c>
      <c r="BT256" s="2846"/>
      <c r="BU256" s="2846"/>
      <c r="BV256" s="1093">
        <f>IF(BT256=0,0,(BU256-BT256)/BT256*100)</f>
        <v>0</v>
      </c>
      <c r="BW256" s="2846"/>
      <c r="BX256" s="2846"/>
      <c r="BY256" s="1093">
        <f>IF(BW256=0,0,(BX256-BW256)/BW256*100)</f>
        <v>0</v>
      </c>
      <c r="BZ256" s="2846"/>
      <c r="CA256" s="2846"/>
      <c r="CB256" s="1093">
        <f>IF(BZ256=0,0,(CA256-BZ256)/BZ256*100)</f>
        <v>0</v>
      </c>
      <c r="CC256" s="2846"/>
      <c r="CD256" s="2846"/>
      <c r="CE256" s="1093">
        <f>IF(CC256=0,0,(CD256-CC256)/CC256*100)</f>
        <v>0</v>
      </c>
      <c r="CF256" s="2846"/>
      <c r="CG256" s="2846"/>
      <c r="CH256" s="1093">
        <f>IF(CF256=0,0,(CG256-CF256)/CF256*100)</f>
        <v>0</v>
      </c>
      <c r="CI256" s="2846"/>
      <c r="CJ256" s="2846"/>
      <c r="CK256" s="1093">
        <f>IF(CI256=0,0,(CJ256-CI256)/CI256*100)</f>
        <v>0</v>
      </c>
      <c r="CL256" s="2846"/>
      <c r="CM256" s="2846"/>
      <c r="CN256" s="1093">
        <f>IF(CL256=0,0,(CM256-CL256)/CL256*100)</f>
        <v>0</v>
      </c>
      <c r="CO256" s="2846"/>
      <c r="CP256" s="2846"/>
      <c r="CQ256" s="1093">
        <f>IF(CO256=0,0,(CP256-CO256)/CO256*100)</f>
        <v>0</v>
      </c>
      <c r="CR256" s="2846"/>
      <c r="CS256" s="2846"/>
      <c r="CT256" s="1093">
        <f>IF(CR256=0,0,(CS256-CR256)/CR256*100)</f>
        <v>0</v>
      </c>
      <c r="CU256" s="2846"/>
      <c r="CV256" s="2846"/>
      <c r="CW256" s="1093">
        <f>IF(CU256=0,0,(CV256-CU256)/CU256*100)</f>
        <v>0</v>
      </c>
      <c r="CX256" s="2846"/>
      <c r="CY256" s="2846"/>
      <c r="CZ256" s="1093">
        <f>IF(CX256=0,0,(CY256-CX256)/CX256*100)</f>
        <v>0</v>
      </c>
      <c r="DA256" s="2846"/>
      <c r="DB256" s="2846"/>
      <c r="DC256" s="1093">
        <f>IF(DA256=0,0,(DB256-DA256)/DA256*100)</f>
        <v>0</v>
      </c>
      <c r="DD256" s="2846"/>
      <c r="DE256" s="2846"/>
      <c r="DF256" s="1093">
        <f>IF(DD256=0,0,(DE256-DD256)/DD256*100)</f>
        <v>0</v>
      </c>
      <c r="DG256" s="2846"/>
      <c r="DH256" s="2846"/>
      <c r="DI256" s="1093">
        <f>IF(DG256=0,0,(DH256-DG256)/DG256*100)</f>
        <v>0</v>
      </c>
      <c r="DJ256" s="2846"/>
      <c r="DK256" s="2846"/>
      <c r="DL256" s="1093">
        <f>IF(DJ256=0,0,(DK256-DJ256)/DJ256*100)</f>
        <v>0</v>
      </c>
      <c r="DM256" s="2846"/>
      <c r="DN256" s="2846"/>
      <c r="DO256" s="1093">
        <f>IF(DM256=0,0,(DN256-DM256)/DM256*100)</f>
        <v>0</v>
      </c>
      <c r="DP256" s="2846"/>
      <c r="DQ256" s="2846"/>
      <c r="DR256" s="1093">
        <f>IF(DP256=0,0,(DQ256-DP256)/DP256*100)</f>
        <v>0</v>
      </c>
      <c r="DS256" s="2846"/>
      <c r="DT256" s="2846"/>
      <c r="DU256" s="1093">
        <f>IF(DS256=0,0,(DT256-DS256)/DS256*100)</f>
        <v>0</v>
      </c>
      <c r="DV256" s="2846"/>
      <c r="DW256" s="2846"/>
      <c r="DX256" s="1093">
        <f>IF(DV256=0,0,(DW256-DV256)/DV256*100)</f>
        <v>0</v>
      </c>
      <c r="DY256" s="2846"/>
      <c r="DZ256" s="2846"/>
      <c r="EA256" s="1093">
        <f>IF(DY256=0,0,(DZ256-DY256)/DY256*100)</f>
        <v>0</v>
      </c>
      <c r="EB256" s="2846"/>
      <c r="EC256" s="2846"/>
      <c r="ED256" s="1093">
        <f>IF(EB256=0,0,(EC256-EB256)/EB256*100)</f>
        <v>0</v>
      </c>
      <c r="EE256" s="2846"/>
      <c r="EF256" s="2846"/>
      <c r="EG256" s="1093">
        <f>IF(EE256=0,0,(EF256-EE256)/EE256*100)</f>
        <v>0</v>
      </c>
      <c r="EH256" s="2846"/>
      <c r="EI256" s="2846"/>
      <c r="EJ256" s="1093">
        <f>IF(EH256=0,0,(EI256-EH256)/EH256*100)</f>
        <v>0</v>
      </c>
      <c r="EK256" s="2846"/>
      <c r="EL256" s="2846"/>
      <c r="EM256" s="1093">
        <f>IF(EK256=0,0,(EL256-EK256)/EK256*100)</f>
        <v>0</v>
      </c>
      <c r="EN256" s="2846"/>
      <c r="EO256" s="2846"/>
      <c r="EP256" s="1093">
        <f>IF(EN256=0,0,(EO256-EN256)/EN256*100)</f>
        <v>0</v>
      </c>
      <c r="EQ256" s="2846"/>
      <c r="ER256" s="2846"/>
      <c r="ES256" s="1093">
        <f>IF(EQ256=0,0,(ER256-EQ256)/EQ256*100)</f>
        <v>0</v>
      </c>
      <c r="ET256" s="2846"/>
      <c r="EU256" s="2846"/>
      <c r="EV256" s="1093">
        <f>IF(ET256=0,0,(EU256-ET256)/ET256*100)</f>
        <v>0</v>
      </c>
      <c r="EW256" s="2846"/>
      <c r="EX256" s="2846"/>
      <c r="EY256" s="1093">
        <f>IF(EW256=0,0,(EX256-EW256)/EW256*100)</f>
        <v>0</v>
      </c>
      <c r="EZ256" s="2846"/>
      <c r="FA256" s="2846"/>
      <c r="FB256" s="1093">
        <f>IF(EZ256=0,0,(FA256-EZ256)/EZ256*100)</f>
        <v>0</v>
      </c>
      <c r="FC256" s="2846"/>
      <c r="FD256" s="2846"/>
      <c r="FE256" s="1093">
        <f>IF(FC256=0,0,(FD256-FC256)/FC256*100)</f>
        <v>0</v>
      </c>
      <c r="FF256" s="2846"/>
      <c r="FG256" s="2846"/>
      <c r="FH256" s="1093">
        <f>IF(FF256=0,0,(FG256-FF256)/FF256*100)</f>
        <v>0</v>
      </c>
      <c r="FI256" s="2846"/>
      <c r="FJ256" s="2846"/>
      <c r="FK256" s="1093">
        <f>IF(FI256=0,0,(FJ256-FI256)/FI256*100)</f>
        <v>0</v>
      </c>
      <c r="FL256" s="2846"/>
      <c r="FM256" s="2846"/>
      <c r="FN256" s="1093">
        <f>IF(FL256=0,0,(FM256-FL256)/FL256*100)</f>
        <v>0</v>
      </c>
      <c r="FO256" s="2846"/>
      <c r="FP256" s="2846"/>
      <c r="FQ256" s="1093">
        <f>IF(FO256=0,0,(FP256-FO256)/FO256*100)</f>
        <v>0</v>
      </c>
      <c r="FR256" s="2846"/>
      <c r="FS256" s="2846"/>
      <c r="FT256" s="1093">
        <f>IF(FR256=0,0,(FS256-FR256)/FR256*100)</f>
        <v>0</v>
      </c>
      <c r="FU256" s="2846"/>
      <c r="FV256" s="2846"/>
      <c r="FW256" s="1093">
        <f>IF(FU256=0,0,(FV256-FU256)/FU256*100)</f>
        <v>0</v>
      </c>
      <c r="FX256" s="1304"/>
      <c r="FY256" s="1304"/>
      <c r="FZ256" s="1055" t="s">
        <v>2399</v>
      </c>
      <c r="GA256" s="1306"/>
      <c r="GB256" s="1306"/>
      <c r="GC256" s="1305"/>
      <c r="GD256" s="1305"/>
    </row>
    <row s="1834" customFormat="1" customHeight="1" ht="14.25" hidden="1">
      <c r="A257" s="493"/>
      <c r="B257" s="925" cm="1" t="str">
        <f t="array" ref="B257:B257">B256</f>
        <v>false</v>
      </c>
      <c r="C257" s="493"/>
      <c r="D257" s="493"/>
      <c r="E257" s="840">
        <v>15</v>
      </c>
      <c r="F257" s="50" cm="1" t="str">
        <f t="array" ref="F257:F257">OFFSET(E257,-1,1)</f>
        <v>3</v>
      </c>
      <c r="G257" s="107" t="s">
        <v>2400</v>
      </c>
      <c r="H257" s="493" t="s">
        <v>2374</v>
      </c>
      <c r="I257" s="493" t="s">
        <v>2354</v>
      </c>
      <c r="J257" s="493"/>
      <c r="K257" s="493"/>
      <c r="L257" s="493"/>
      <c r="M257" s="493"/>
      <c r="N257" s="493"/>
      <c r="O257" s="493"/>
      <c r="P257" s="493"/>
      <c r="Q257" s="493"/>
      <c r="R257" s="493"/>
      <c r="S257" s="493"/>
      <c r="T257" s="465" cm="1" t="str">
        <f t="array" ref="T257:T257">T256</f>
        <v>true</v>
      </c>
      <c r="U257" s="493"/>
      <c r="V257" s="493"/>
      <c r="W257" s="493"/>
      <c r="X257" s="1596"/>
      <c r="Y257" s="493"/>
      <c r="Z257" s="1545"/>
      <c r="AA257" s="493"/>
      <c r="AB257" s="904" t="str">
        <f>"объём "&amp;IF(Q218="Водоснабжение","потребления холодной воды","водоотведения")</f>
        <v>объём водоотведения</v>
      </c>
      <c r="AC257" s="864" t="s">
        <v>1247</v>
      </c>
      <c r="AD257" s="5247">
        <f>IF(AND(method_reg="Метод индексации",god&lt;&gt;first_year),_xlfn.SUMIFS(INDEX('Калькуляция (МИ корр)'!$AJ$25:$BC$747,,MATCH(AD$8,'Калькуляция (МИ корр)'!$AJ$8:$BC$8,0)),'Калькуляция (МИ корр)'!$F$25:$F$747,$F257,'Калькуляция (МИ корр)'!$G$25:$G$747,$G257),IF(method_reg="Метод экономически обоснованных расходов",_xlfn.SUMIFS('Калькуляция (МЭОР)'!$AJ$25:$AJ$452,'Калькуляция (МЭОР)'!$F$25:$F$452,$F257,'Калькуляция (МЭОР)'!$G$25:$G$452,$G257),IF(method_reg="Метод сравнения аналогов",_xlfn.SUMIFS('Калькуляция (МСА)'!$AE$25:$AE$122,'Калькуляция (МСА)'!$F$25:$F$122,$F257,'Калькуляция (МСА)'!$G$25:$G$122,$G257),_xlfn.SUMIFS(INDEX('Калькуляция (МИ)'!$AJ$25:$BC$747,,MATCH(AD$8,'Калькуляция (МИ)'!$AJ$8:$BC$8,0)),'Калькуляция (МИ)'!$F$25:$F$747,$F257,'Калькуляция (МИ)'!$G$25:$G$747,$G257))))</f>
        <v>361.63478</v>
      </c>
      <c r="AE257" s="5247">
        <f>IF(AND(method_reg="Метод индексации",god&lt;&gt;first_year),_xlfn.SUMIFS(INDEX('Калькуляция (МИ корр)'!$AJ$25:$BC$747,,MATCH(AE$8,'Калькуляция (МИ корр)'!$AJ$8:$BC$8,0)),'Калькуляция (МИ корр)'!$F$25:$F$747,$F257,'Калькуляция (МИ корр)'!$G$25:$G$747,$G257),IF(method_reg="Метод экономически обоснованных расходов",_xlfn.SUMIFS('Калькуляция (МЭОР)'!$AK$25:$AK$452,'Калькуляция (МЭОР)'!$F$25:$F$452,$F257,'Калькуляция (МЭОР)'!$G$25:$G$452,$G257),IF(method_reg="Метод сравнения аналогов",_xlfn.SUMIFS('Калькуляция (МСА)'!$AF$25:$AF$122,'Калькуляция (МСА)'!$F$25:$F$122,$F257,'Калькуляция (МСА)'!$G$25:$G$122,$G257),_xlfn.SUMIFS(INDEX('Калькуляция (МИ)'!$AJ$25:$BC$747,,MATCH(AE$8,'Калькуляция (МИ)'!$AJ$8:$BC$8,0)),'Калькуляция (МИ)'!$F$25:$F$747,$F257,'Калькуляция (МИ)'!$G$25:$G$747,$G257))))</f>
        <v>361.63478</v>
      </c>
      <c r="AF257" s="1095">
        <f>IF(AD257=0,0,(AE257-AD257)/AD257*100)</f>
        <v>0</v>
      </c>
      <c r="AG257" s="5247">
        <f>IF(AND(method_reg="Метод индексации",god&lt;&gt;first_year),_xlfn.SUMIFS(INDEX('Калькуляция (МИ корр)'!$AJ$25:$BC$747,,MATCH(AG$8,'Калькуляция (МИ корр)'!$AJ$8:$BC$8,0)),'Калькуляция (МИ корр)'!$F$25:$F$747,$F257,'Калькуляция (МИ корр)'!$G$25:$G$747,$G257),IF(method_reg="Метод экономически обоснованных расходов",_xlfn.SUMIFS('Калькуляция (МЭОР)'!$AJ$25:$AJ$452,'Калькуляция (МЭОР)'!$F$25:$F$452,$F257,'Калькуляция (МЭОР)'!$G$25:$G$452,$G257),IF(method_reg="Метод сравнения аналогов",_xlfn.SUMIFS('Калькуляция (МСА)'!$AE$25:$AE$122,'Калькуляция (МСА)'!$F$25:$F$122,$F257,'Калькуляция (МСА)'!$G$25:$G$122,$G257),_xlfn.SUMIFS(INDEX('Калькуляция (МИ)'!$AJ$25:$BC$747,,MATCH(AG$8,'Калькуляция (МИ)'!$AJ$8:$BC$8,0)),'Калькуляция (МИ)'!$F$25:$F$747,$F257,'Калькуляция (МИ)'!$G$25:$G$747,$G257))))</f>
        <v>723.26956</v>
      </c>
      <c r="AH257" s="5247">
        <f>IF(AND(method_reg="Метод индексации",god&lt;&gt;first_year),_xlfn.SUMIFS(INDEX('Калькуляция (МИ корр)'!$AJ$25:$BC$747,,MATCH(AH$8,'Калькуляция (МИ корр)'!$AJ$8:$BC$8,0)),'Калькуляция (МИ корр)'!$F$25:$F$747,$F257,'Калькуляция (МИ корр)'!$G$25:$G$747,$G257),IF(method_reg="Метод экономически обоснованных расходов",_xlfn.SUMIFS('Калькуляция (МЭОР)'!$AK$25:$AK$452,'Калькуляция (МЭОР)'!$F$25:$F$452,$F257,'Калькуляция (МЭОР)'!$G$25:$G$452,$G257),IF(method_reg="Метод сравнения аналогов",_xlfn.SUMIFS('Калькуляция (МСА)'!$AF$25:$AF$122,'Калькуляция (МСА)'!$F$25:$F$122,$F257,'Калькуляция (МСА)'!$G$25:$G$122,$G257),_xlfn.SUMIFS(INDEX('Калькуляция (МИ)'!$AJ$25:$BC$747,,MATCH(AH$8,'Калькуляция (МИ)'!$AJ$8:$BC$8,0)),'Калькуляция (МИ)'!$F$25:$F$747,$F257,'Калькуляция (МИ)'!$G$25:$G$747,$G257))))</f>
        <v>723.26956</v>
      </c>
      <c r="AI257" s="1095">
        <f>IF(AG257=0,0,(AH257-AG257)/AG257*100)</f>
        <v>0</v>
      </c>
      <c r="AJ257" s="5247">
        <f>IF(AND(method_reg="Метод индексации",god&lt;&gt;first_year),_xlfn.SUMIFS(INDEX('Калькуляция (МИ корр)'!$AJ$25:$BC$747,,MATCH(AJ$8,'Калькуляция (МИ корр)'!$AJ$8:$BC$8,0)),'Калькуляция (МИ корр)'!$F$25:$F$747,$F257,'Калькуляция (МИ корр)'!$G$25:$G$747,$G257),IF(method_reg="Метод экономически обоснованных расходов",_xlfn.SUMIFS('Калькуляция (МЭОР)'!$AJ$25:$AJ$452,'Калькуляция (МЭОР)'!$F$25:$F$452,$F257,'Калькуляция (МЭОР)'!$G$25:$G$452,$G257),IF(method_reg="Метод сравнения аналогов",_xlfn.SUMIFS('Калькуляция (МСА)'!$AE$25:$AE$122,'Калькуляция (МСА)'!$F$25:$F$122,$F257,'Калькуляция (МСА)'!$G$25:$G$122,$G257),_xlfn.SUMIFS(INDEX('Калькуляция (МИ)'!$AJ$25:$BC$747,,MATCH(AJ$8,'Калькуляция (МИ)'!$AJ$8:$BC$8,0)),'Калькуляция (МИ)'!$F$25:$F$747,$F257,'Калькуляция (МИ)'!$G$25:$G$747,$G257))))</f>
        <v>723.26956</v>
      </c>
      <c r="AK257" s="5247">
        <f>IF(AND(method_reg="Метод индексации",god&lt;&gt;first_year),_xlfn.SUMIFS(INDEX('Калькуляция (МИ корр)'!$AJ$25:$BC$747,,MATCH(AK$8,'Калькуляция (МИ корр)'!$AJ$8:$BC$8,0)),'Калькуляция (МИ корр)'!$F$25:$F$747,$F257,'Калькуляция (МИ корр)'!$G$25:$G$747,$G257),IF(method_reg="Метод экономически обоснованных расходов",_xlfn.SUMIFS('Калькуляция (МЭОР)'!$AK$25:$AK$452,'Калькуляция (МЭОР)'!$F$25:$F$452,$F257,'Калькуляция (МЭОР)'!$G$25:$G$452,$G257),IF(method_reg="Метод сравнения аналогов",_xlfn.SUMIFS('Калькуляция (МСА)'!$AF$25:$AF$122,'Калькуляция (МСА)'!$F$25:$F$122,$F257,'Калькуляция (МСА)'!$G$25:$G$122,$G257),_xlfn.SUMIFS(INDEX('Калькуляция (МИ)'!$AJ$25:$BC$747,,MATCH(AK$8,'Калькуляция (МИ)'!$AJ$8:$BC$8,0)),'Калькуляция (МИ)'!$F$25:$F$747,$F257,'Калькуляция (МИ)'!$G$25:$G$747,$G257))))</f>
        <v>723.26956</v>
      </c>
      <c r="AL257" s="1095">
        <f>IF(AJ257=0,0,(AK257-AJ257)/AJ257*100)</f>
        <v>0</v>
      </c>
      <c r="AM257" s="5247">
        <f>IF(AND(method_reg="Метод индексации",god&lt;&gt;first_year),_xlfn.SUMIFS(INDEX('Калькуляция (МИ корр)'!$AJ$25:$BC$747,,MATCH(AM$8,'Калькуляция (МИ корр)'!$AJ$8:$BC$8,0)),'Калькуляция (МИ корр)'!$F$25:$F$747,$F257,'Калькуляция (МИ корр)'!$G$25:$G$747,$G257),IF(method_reg="Метод экономически обоснованных расходов",_xlfn.SUMIFS('Калькуляция (МЭОР)'!$AJ$25:$AJ$452,'Калькуляция (МЭОР)'!$F$25:$F$452,$F257,'Калькуляция (МЭОР)'!$G$25:$G$452,$G257),IF(method_reg="Метод сравнения аналогов",_xlfn.SUMIFS('Калькуляция (МСА)'!$AE$25:$AE$122,'Калькуляция (МСА)'!$F$25:$F$122,$F257,'Калькуляция (МСА)'!$G$25:$G$122,$G257),_xlfn.SUMIFS(INDEX('Калькуляция (МИ)'!$AJ$25:$BC$747,,MATCH(AM$8,'Калькуляция (МИ)'!$AJ$8:$BC$8,0)),'Калькуляция (МИ)'!$F$25:$F$747,$F257,'Калькуляция (МИ)'!$G$25:$G$747,$G257))))</f>
        <v>723.26956</v>
      </c>
      <c r="AN257" s="5247">
        <f>IF(AND(method_reg="Метод индексации",god&lt;&gt;first_year),_xlfn.SUMIFS(INDEX('Калькуляция (МИ корр)'!$AJ$25:$BC$747,,MATCH(AN$8,'Калькуляция (МИ корр)'!$AJ$8:$BC$8,0)),'Калькуляция (МИ корр)'!$F$25:$F$747,$F257,'Калькуляция (МИ корр)'!$G$25:$G$747,$G257),IF(method_reg="Метод экономически обоснованных расходов",_xlfn.SUMIFS('Калькуляция (МЭОР)'!$AK$25:$AK$452,'Калькуляция (МЭОР)'!$F$25:$F$452,$F257,'Калькуляция (МЭОР)'!$G$25:$G$452,$G257),IF(method_reg="Метод сравнения аналогов",_xlfn.SUMIFS('Калькуляция (МСА)'!$AF$25:$AF$122,'Калькуляция (МСА)'!$F$25:$F$122,$F257,'Калькуляция (МСА)'!$G$25:$G$122,$G257),_xlfn.SUMIFS(INDEX('Калькуляция (МИ)'!$AJ$25:$BC$747,,MATCH(AN$8,'Калькуляция (МИ)'!$AJ$8:$BC$8,0)),'Калькуляция (МИ)'!$F$25:$F$747,$F257,'Калькуляция (МИ)'!$G$25:$G$747,$G257))))</f>
        <v>723.26956</v>
      </c>
      <c r="AO257" s="1095">
        <f>IF(AM257=0,0,(AN257-AM257)/AM257*100)</f>
        <v>0</v>
      </c>
      <c r="AP257" s="5247">
        <f>IF(AND(method_reg="Метод индексации",god&lt;&gt;first_year),_xlfn.SUMIFS(INDEX('Калькуляция (МИ корр)'!$AJ$25:$BC$747,,MATCH(AP$8,'Калькуляция (МИ корр)'!$AJ$8:$BC$8,0)),'Калькуляция (МИ корр)'!$F$25:$F$747,$F257,'Калькуляция (МИ корр)'!$G$25:$G$747,$G257),IF(method_reg="Метод экономически обоснованных расходов",_xlfn.SUMIFS('Калькуляция (МЭОР)'!$AJ$25:$AJ$452,'Калькуляция (МЭОР)'!$F$25:$F$452,$F257,'Калькуляция (МЭОР)'!$G$25:$G$452,$G257),IF(method_reg="Метод сравнения аналогов",_xlfn.SUMIFS('Калькуляция (МСА)'!$AE$25:$AE$122,'Калькуляция (МСА)'!$F$25:$F$122,$F257,'Калькуляция (МСА)'!$G$25:$G$122,$G257),_xlfn.SUMIFS(INDEX('Калькуляция (МИ)'!$AJ$25:$BC$747,,MATCH(AP$8,'Калькуляция (МИ)'!$AJ$8:$BC$8,0)),'Калькуляция (МИ)'!$F$25:$F$747,$F257,'Калькуляция (МИ)'!$G$25:$G$747,$G257))))</f>
        <v>723.26956</v>
      </c>
      <c r="AQ257" s="5247">
        <f>IF(AND(method_reg="Метод индексации",god&lt;&gt;first_year),_xlfn.SUMIFS(INDEX('Калькуляция (МИ корр)'!$AJ$25:$BC$747,,MATCH(AQ$8,'Калькуляция (МИ корр)'!$AJ$8:$BC$8,0)),'Калькуляция (МИ корр)'!$F$25:$F$747,$F257,'Калькуляция (МИ корр)'!$G$25:$G$747,$G257),IF(method_reg="Метод экономически обоснованных расходов",_xlfn.SUMIFS('Калькуляция (МЭОР)'!$AK$25:$AK$452,'Калькуляция (МЭОР)'!$F$25:$F$452,$F257,'Калькуляция (МЭОР)'!$G$25:$G$452,$G257),IF(method_reg="Метод сравнения аналогов",_xlfn.SUMIFS('Калькуляция (МСА)'!$AF$25:$AF$122,'Калькуляция (МСА)'!$F$25:$F$122,$F257,'Калькуляция (МСА)'!$G$25:$G$122,$G257),_xlfn.SUMIFS(INDEX('Калькуляция (МИ)'!$AJ$25:$BC$747,,MATCH(AQ$8,'Калькуляция (МИ)'!$AJ$8:$BC$8,0)),'Калькуляция (МИ)'!$F$25:$F$747,$F257,'Калькуляция (МИ)'!$G$25:$G$747,$G257))))</f>
        <v>723.26956</v>
      </c>
      <c r="AR257" s="1095">
        <f>IF(AP257=0,0,(AQ257-AP257)/AP257*100)</f>
        <v>0</v>
      </c>
      <c r="AS257" s="5247">
        <f>IF(AND(method_reg="Метод индексации",god&lt;&gt;first_year),_xlfn.SUMIFS(INDEX('Калькуляция (МИ корр)'!$AJ$25:$BC$747,,MATCH(AS$8,'Калькуляция (МИ корр)'!$AJ$8:$BC$8,0)),'Калькуляция (МИ корр)'!$F$25:$F$747,$F257,'Калькуляция (МИ корр)'!$G$25:$G$747,$G257),IF(method_reg="Метод экономически обоснованных расходов",_xlfn.SUMIFS('Калькуляция (МЭОР)'!$AJ$25:$AJ$452,'Калькуляция (МЭОР)'!$F$25:$F$452,$F257,'Калькуляция (МЭОР)'!$G$25:$G$452,$G257),IF(method_reg="Метод сравнения аналогов",_xlfn.SUMIFS('Калькуляция (МСА)'!$AE$25:$AE$122,'Калькуляция (МСА)'!$F$25:$F$122,$F257,'Калькуляция (МСА)'!$G$25:$G$122,$G257),_xlfn.SUMIFS(INDEX('Калькуляция (МИ)'!$AJ$25:$BC$747,,MATCH(AS$8,'Калькуляция (МИ)'!$AJ$8:$BC$8,0)),'Калькуляция (МИ)'!$F$25:$F$747,$F257,'Калькуляция (МИ)'!$G$25:$G$747,$G257))))</f>
        <v>0</v>
      </c>
      <c r="AT257" s="5247">
        <f>IF(AND(method_reg="Метод индексации",god&lt;&gt;first_year),_xlfn.SUMIFS(INDEX('Калькуляция (МИ корр)'!$AJ$25:$BC$747,,MATCH(AT$8,'Калькуляция (МИ корр)'!$AJ$8:$BC$8,0)),'Калькуляция (МИ корр)'!$F$25:$F$747,$F257,'Калькуляция (МИ корр)'!$G$25:$G$747,$G257),IF(method_reg="Метод экономически обоснованных расходов",_xlfn.SUMIFS('Калькуляция (МЭОР)'!$AK$25:$AK$452,'Калькуляция (МЭОР)'!$F$25:$F$452,$F257,'Калькуляция (МЭОР)'!$G$25:$G$452,$G257),IF(method_reg="Метод сравнения аналогов",_xlfn.SUMIFS('Калькуляция (МСА)'!$AF$25:$AF$122,'Калькуляция (МСА)'!$F$25:$F$122,$F257,'Калькуляция (МСА)'!$G$25:$G$122,$G257),_xlfn.SUMIFS(INDEX('Калькуляция (МИ)'!$AJ$25:$BC$747,,MATCH(AT$8,'Калькуляция (МИ)'!$AJ$8:$BC$8,0)),'Калькуляция (МИ)'!$F$25:$F$747,$F257,'Калькуляция (МИ)'!$G$25:$G$747,$G257))))</f>
        <v>0</v>
      </c>
      <c r="AU257" s="1095">
        <f>IF(AS257=0,0,(AT257-AS257)/AS257*100)</f>
        <v>0</v>
      </c>
      <c r="AV257" s="5247">
        <f>IF(AND(method_reg="Метод индексации",god&lt;&gt;first_year),_xlfn.SUMIFS(INDEX('Калькуляция (МИ корр)'!$AJ$25:$BC$747,,MATCH(AV$8,'Калькуляция (МИ корр)'!$AJ$8:$BC$8,0)),'Калькуляция (МИ корр)'!$F$25:$F$747,$F257,'Калькуляция (МИ корр)'!$G$25:$G$747,$G257),IF(method_reg="Метод экономически обоснованных расходов",_xlfn.SUMIFS('Калькуляция (МЭОР)'!$AJ$25:$AJ$452,'Калькуляция (МЭОР)'!$F$25:$F$452,$F257,'Калькуляция (МЭОР)'!$G$25:$G$452,$G257),IF(method_reg="Метод сравнения аналогов",_xlfn.SUMIFS('Калькуляция (МСА)'!$AE$25:$AE$122,'Калькуляция (МСА)'!$F$25:$F$122,$F257,'Калькуляция (МСА)'!$G$25:$G$122,$G257),_xlfn.SUMIFS(INDEX('Калькуляция (МИ)'!$AJ$25:$BC$747,,MATCH(AV$8,'Калькуляция (МИ)'!$AJ$8:$BC$8,0)),'Калькуляция (МИ)'!$F$25:$F$747,$F257,'Калькуляция (МИ)'!$G$25:$G$747,$G257))))</f>
        <v>0</v>
      </c>
      <c r="AW257" s="5247">
        <f>IF(AND(method_reg="Метод индексации",god&lt;&gt;first_year),_xlfn.SUMIFS(INDEX('Калькуляция (МИ корр)'!$AJ$25:$BC$747,,MATCH(AW$8,'Калькуляция (МИ корр)'!$AJ$8:$BC$8,0)),'Калькуляция (МИ корр)'!$F$25:$F$747,$F257,'Калькуляция (МИ корр)'!$G$25:$G$747,$G257),IF(method_reg="Метод экономически обоснованных расходов",_xlfn.SUMIFS('Калькуляция (МЭОР)'!$AK$25:$AK$452,'Калькуляция (МЭОР)'!$F$25:$F$452,$F257,'Калькуляция (МЭОР)'!$G$25:$G$452,$G257),IF(method_reg="Метод сравнения аналогов",_xlfn.SUMIFS('Калькуляция (МСА)'!$AF$25:$AF$122,'Калькуляция (МСА)'!$F$25:$F$122,$F257,'Калькуляция (МСА)'!$G$25:$G$122,$G257),_xlfn.SUMIFS(INDEX('Калькуляция (МИ)'!$AJ$25:$BC$747,,MATCH(AW$8,'Калькуляция (МИ)'!$AJ$8:$BC$8,0)),'Калькуляция (МИ)'!$F$25:$F$747,$F257,'Калькуляция (МИ)'!$G$25:$G$747,$G257))))</f>
        <v>0</v>
      </c>
      <c r="AX257" s="1095">
        <f>IF(AV257=0,0,(AW257-AV257)/AV257*100)</f>
        <v>0</v>
      </c>
      <c r="AY257" s="5247">
        <f>IF(AND(method_reg="Метод индексации",god&lt;&gt;first_year),_xlfn.SUMIFS(INDEX('Калькуляция (МИ корр)'!$AJ$25:$BC$747,,MATCH(AY$8,'Калькуляция (МИ корр)'!$AJ$8:$BC$8,0)),'Калькуляция (МИ корр)'!$F$25:$F$747,$F257,'Калькуляция (МИ корр)'!$G$25:$G$747,$G257),IF(method_reg="Метод экономически обоснованных расходов",_xlfn.SUMIFS('Калькуляция (МЭОР)'!$AJ$25:$AJ$452,'Калькуляция (МЭОР)'!$F$25:$F$452,$F257,'Калькуляция (МЭОР)'!$G$25:$G$452,$G257),IF(method_reg="Метод сравнения аналогов",_xlfn.SUMIFS('Калькуляция (МСА)'!$AE$25:$AE$122,'Калькуляция (МСА)'!$F$25:$F$122,$F257,'Калькуляция (МСА)'!$G$25:$G$122,$G257),_xlfn.SUMIFS(INDEX('Калькуляция (МИ)'!$AJ$25:$BC$747,,MATCH(AY$8,'Калькуляция (МИ)'!$AJ$8:$BC$8,0)),'Калькуляция (МИ)'!$F$25:$F$747,$F257,'Калькуляция (МИ)'!$G$25:$G$747,$G257))))</f>
        <v>0</v>
      </c>
      <c r="AZ257" s="5247">
        <f>IF(AND(method_reg="Метод индексации",god&lt;&gt;first_year),_xlfn.SUMIFS(INDEX('Калькуляция (МИ корр)'!$AJ$25:$BC$747,,MATCH(AZ$8,'Калькуляция (МИ корр)'!$AJ$8:$BC$8,0)),'Калькуляция (МИ корр)'!$F$25:$F$747,$F257,'Калькуляция (МИ корр)'!$G$25:$G$747,$G257),IF(method_reg="Метод экономически обоснованных расходов",_xlfn.SUMIFS('Калькуляция (МЭОР)'!$AK$25:$AK$452,'Калькуляция (МЭОР)'!$F$25:$F$452,$F257,'Калькуляция (МЭОР)'!$G$25:$G$452,$G257),IF(method_reg="Метод сравнения аналогов",_xlfn.SUMIFS('Калькуляция (МСА)'!$AF$25:$AF$122,'Калькуляция (МСА)'!$F$25:$F$122,$F257,'Калькуляция (МСА)'!$G$25:$G$122,$G257),_xlfn.SUMIFS(INDEX('Калькуляция (МИ)'!$AJ$25:$BC$747,,MATCH(AZ$8,'Калькуляция (МИ)'!$AJ$8:$BC$8,0)),'Калькуляция (МИ)'!$F$25:$F$747,$F257,'Калькуляция (МИ)'!$G$25:$G$747,$G257))))</f>
        <v>0</v>
      </c>
      <c r="BA257" s="1095">
        <f>IF(AY257=0,0,(AZ257-AY257)/AY257*100)</f>
        <v>0</v>
      </c>
      <c r="BB257" s="5247">
        <f>IF(AND(method_reg="Метод индексации",god&lt;&gt;first_year),_xlfn.SUMIFS(INDEX('Калькуляция (МИ корр)'!$AJ$25:$BC$747,,MATCH(BB$8,'Калькуляция (МИ корр)'!$AJ$8:$BC$8,0)),'Калькуляция (МИ корр)'!$F$25:$F$747,$F257,'Калькуляция (МИ корр)'!$G$25:$G$747,$G257),IF(method_reg="Метод экономически обоснованных расходов",_xlfn.SUMIFS('Калькуляция (МЭОР)'!$AJ$25:$AJ$452,'Калькуляция (МЭОР)'!$F$25:$F$452,$F257,'Калькуляция (МЭОР)'!$G$25:$G$452,$G257),IF(method_reg="Метод сравнения аналогов",_xlfn.SUMIFS('Калькуляция (МСА)'!$AE$25:$AE$122,'Калькуляция (МСА)'!$F$25:$F$122,$F257,'Калькуляция (МСА)'!$G$25:$G$122,$G257),_xlfn.SUMIFS(INDEX('Калькуляция (МИ)'!$AJ$25:$BC$747,,MATCH(BB$8,'Калькуляция (МИ)'!$AJ$8:$BC$8,0)),'Калькуляция (МИ)'!$F$25:$F$747,$F257,'Калькуляция (МИ)'!$G$25:$G$747,$G257))))</f>
        <v>0</v>
      </c>
      <c r="BC257" s="5247">
        <f>IF(AND(method_reg="Метод индексации",god&lt;&gt;first_year),_xlfn.SUMIFS(INDEX('Калькуляция (МИ корр)'!$AJ$25:$BC$747,,MATCH(BC$8,'Калькуляция (МИ корр)'!$AJ$8:$BC$8,0)),'Калькуляция (МИ корр)'!$F$25:$F$747,$F257,'Калькуляция (МИ корр)'!$G$25:$G$747,$G257),IF(method_reg="Метод экономически обоснованных расходов",_xlfn.SUMIFS('Калькуляция (МЭОР)'!$AK$25:$AK$452,'Калькуляция (МЭОР)'!$F$25:$F$452,$F257,'Калькуляция (МЭОР)'!$G$25:$G$452,$G257),IF(method_reg="Метод сравнения аналогов",_xlfn.SUMIFS('Калькуляция (МСА)'!$AF$25:$AF$122,'Калькуляция (МСА)'!$F$25:$F$122,$F257,'Калькуляция (МСА)'!$G$25:$G$122,$G257),_xlfn.SUMIFS(INDEX('Калькуляция (МИ)'!$AJ$25:$BC$747,,MATCH(BC$8,'Калькуляция (МИ)'!$AJ$8:$BC$8,0)),'Калькуляция (МИ)'!$F$25:$F$747,$F257,'Калькуляция (МИ)'!$G$25:$G$747,$G257))))</f>
        <v>0</v>
      </c>
      <c r="BD257" s="1095">
        <f>IF(BB257=0,0,(BC257-BB257)/BB257*100)</f>
        <v>0</v>
      </c>
      <c r="BE257" s="5247">
        <f>IF(AND(method_reg="Метод индексации",god&lt;&gt;first_year),_xlfn.SUMIFS(INDEX('Калькуляция (МИ корр)'!$AJ$25:$BC$747,,MATCH(BE$8,'Калькуляция (МИ корр)'!$AJ$8:$BC$8,0)),'Калькуляция (МИ корр)'!$F$25:$F$747,$F257,'Калькуляция (МИ корр)'!$G$25:$G$747,$G257),IF(method_reg="Метод экономически обоснованных расходов",_xlfn.SUMIFS('Калькуляция (МЭОР)'!$AJ$25:$AJ$452,'Калькуляция (МЭОР)'!$F$25:$F$452,$F257,'Калькуляция (МЭОР)'!$G$25:$G$452,$G257),IF(method_reg="Метод сравнения аналогов",_xlfn.SUMIFS('Калькуляция (МСА)'!$AE$25:$AE$122,'Калькуляция (МСА)'!$F$25:$F$122,$F257,'Калькуляция (МСА)'!$G$25:$G$122,$G257),_xlfn.SUMIFS(INDEX('Калькуляция (МИ)'!$AJ$25:$BC$747,,MATCH(BE$8,'Калькуляция (МИ)'!$AJ$8:$BC$8,0)),'Калькуляция (МИ)'!$F$25:$F$747,$F257,'Калькуляция (МИ)'!$G$25:$G$747,$G257))))</f>
        <v>0</v>
      </c>
      <c r="BF257" s="5247">
        <f>IF(AND(method_reg="Метод индексации",god&lt;&gt;first_year),_xlfn.SUMIFS(INDEX('Калькуляция (МИ корр)'!$AJ$25:$BC$747,,MATCH(BF$8,'Калькуляция (МИ корр)'!$AJ$8:$BC$8,0)),'Калькуляция (МИ корр)'!$F$25:$F$747,$F257,'Калькуляция (МИ корр)'!$G$25:$G$747,$G257),IF(method_reg="Метод экономически обоснованных расходов",_xlfn.SUMIFS('Калькуляция (МЭОР)'!$AK$25:$AK$452,'Калькуляция (МЭОР)'!$F$25:$F$452,$F257,'Калькуляция (МЭОР)'!$G$25:$G$452,$G257),IF(method_reg="Метод сравнения аналогов",_xlfn.SUMIFS('Калькуляция (МСА)'!$AF$25:$AF$122,'Калькуляция (МСА)'!$F$25:$F$122,$F257,'Калькуляция (МСА)'!$G$25:$G$122,$G257),_xlfn.SUMIFS(INDEX('Калькуляция (МИ)'!$AJ$25:$BC$747,,MATCH(BF$8,'Калькуляция (МИ)'!$AJ$8:$BC$8,0)),'Калькуляция (МИ)'!$F$25:$F$747,$F257,'Калькуляция (МИ)'!$G$25:$G$747,$G257))))</f>
        <v>0</v>
      </c>
      <c r="BG257" s="1095">
        <f>IF(BE257=0,0,(BF257-BE257)/BE257*100)</f>
        <v>0</v>
      </c>
      <c r="BH257" s="5247"/>
      <c r="BI257" s="5247"/>
      <c r="BJ257" s="1095">
        <f>IF(BH257=0,0,(BI257-BH257)/BH257*100)</f>
        <v>0</v>
      </c>
      <c r="BK257" s="5247"/>
      <c r="BL257" s="5247"/>
      <c r="BM257" s="1095">
        <f>IF(BK257=0,0,(BL257-BK257)/BK257*100)</f>
        <v>0</v>
      </c>
      <c r="BN257" s="5247"/>
      <c r="BO257" s="5247"/>
      <c r="BP257" s="1095">
        <f>IF(BN257=0,0,(BO257-BN257)/BN257*100)</f>
        <v>0</v>
      </c>
      <c r="BQ257" s="5247"/>
      <c r="BR257" s="5247"/>
      <c r="BS257" s="1095">
        <f>IF(BQ257=0,0,(BR257-BQ257)/BQ257*100)</f>
        <v>0</v>
      </c>
      <c r="BT257" s="5247"/>
      <c r="BU257" s="5247"/>
      <c r="BV257" s="1095">
        <f>IF(BT257=0,0,(BU257-BT257)/BT257*100)</f>
        <v>0</v>
      </c>
      <c r="BW257" s="5247"/>
      <c r="BX257" s="5247"/>
      <c r="BY257" s="1095">
        <f>IF(BW257=0,0,(BX257-BW257)/BW257*100)</f>
        <v>0</v>
      </c>
      <c r="BZ257" s="5247"/>
      <c r="CA257" s="5247"/>
      <c r="CB257" s="1095">
        <f>IF(BZ257=0,0,(CA257-BZ257)/BZ257*100)</f>
        <v>0</v>
      </c>
      <c r="CC257" s="5247"/>
      <c r="CD257" s="5247"/>
      <c r="CE257" s="1095">
        <f>IF(CC257=0,0,(CD257-CC257)/CC257*100)</f>
        <v>0</v>
      </c>
      <c r="CF257" s="5247"/>
      <c r="CG257" s="5247"/>
      <c r="CH257" s="1095">
        <f>IF(CF257=0,0,(CG257-CF257)/CF257*100)</f>
        <v>0</v>
      </c>
      <c r="CI257" s="5247"/>
      <c r="CJ257" s="5247"/>
      <c r="CK257" s="1095">
        <f>IF(CI257=0,0,(CJ257-CI257)/CI257*100)</f>
        <v>0</v>
      </c>
      <c r="CL257" s="5247"/>
      <c r="CM257" s="5247"/>
      <c r="CN257" s="1095">
        <f>IF(CL257=0,0,(CM257-CL257)/CL257*100)</f>
        <v>0</v>
      </c>
      <c r="CO257" s="5247"/>
      <c r="CP257" s="5247"/>
      <c r="CQ257" s="1095">
        <f>IF(CO257=0,0,(CP257-CO257)/CO257*100)</f>
        <v>0</v>
      </c>
      <c r="CR257" s="5247"/>
      <c r="CS257" s="5247"/>
      <c r="CT257" s="1095">
        <f>IF(CR257=0,0,(CS257-CR257)/CR257*100)</f>
        <v>0</v>
      </c>
      <c r="CU257" s="5247"/>
      <c r="CV257" s="5247"/>
      <c r="CW257" s="1095">
        <f>IF(CU257=0,0,(CV257-CU257)/CU257*100)</f>
        <v>0</v>
      </c>
      <c r="CX257" s="5247"/>
      <c r="CY257" s="5247"/>
      <c r="CZ257" s="1095">
        <f>IF(CX257=0,0,(CY257-CX257)/CX257*100)</f>
        <v>0</v>
      </c>
      <c r="DA257" s="5247"/>
      <c r="DB257" s="5247"/>
      <c r="DC257" s="1095">
        <f>IF(DA257=0,0,(DB257-DA257)/DA257*100)</f>
        <v>0</v>
      </c>
      <c r="DD257" s="5247"/>
      <c r="DE257" s="5247"/>
      <c r="DF257" s="1095">
        <f>IF(DD257=0,0,(DE257-DD257)/DD257*100)</f>
        <v>0</v>
      </c>
      <c r="DG257" s="5247"/>
      <c r="DH257" s="5247"/>
      <c r="DI257" s="1095">
        <f>IF(DG257=0,0,(DH257-DG257)/DG257*100)</f>
        <v>0</v>
      </c>
      <c r="DJ257" s="5247"/>
      <c r="DK257" s="5247"/>
      <c r="DL257" s="1095">
        <f>IF(DJ257=0,0,(DK257-DJ257)/DJ257*100)</f>
        <v>0</v>
      </c>
      <c r="DM257" s="5247"/>
      <c r="DN257" s="5247"/>
      <c r="DO257" s="1095">
        <f>IF(DM257=0,0,(DN257-DM257)/DM257*100)</f>
        <v>0</v>
      </c>
      <c r="DP257" s="5247"/>
      <c r="DQ257" s="5247"/>
      <c r="DR257" s="1095">
        <f>IF(DP257=0,0,(DQ257-DP257)/DP257*100)</f>
        <v>0</v>
      </c>
      <c r="DS257" s="5247"/>
      <c r="DT257" s="5247"/>
      <c r="DU257" s="1095">
        <f>IF(DS257=0,0,(DT257-DS257)/DS257*100)</f>
        <v>0</v>
      </c>
      <c r="DV257" s="5247"/>
      <c r="DW257" s="5247"/>
      <c r="DX257" s="1095">
        <f>IF(DV257=0,0,(DW257-DV257)/DV257*100)</f>
        <v>0</v>
      </c>
      <c r="DY257" s="5247"/>
      <c r="DZ257" s="5247"/>
      <c r="EA257" s="1095">
        <f>IF(DY257=0,0,(DZ257-DY257)/DY257*100)</f>
        <v>0</v>
      </c>
      <c r="EB257" s="5247"/>
      <c r="EC257" s="5247"/>
      <c r="ED257" s="1095">
        <f>IF(EB257=0,0,(EC257-EB257)/EB257*100)</f>
        <v>0</v>
      </c>
      <c r="EE257" s="5247"/>
      <c r="EF257" s="5247"/>
      <c r="EG257" s="1095">
        <f>IF(EE257=0,0,(EF257-EE257)/EE257*100)</f>
        <v>0</v>
      </c>
      <c r="EH257" s="5247"/>
      <c r="EI257" s="5247"/>
      <c r="EJ257" s="1095">
        <f>IF(EH257=0,0,(EI257-EH257)/EH257*100)</f>
        <v>0</v>
      </c>
      <c r="EK257" s="5247"/>
      <c r="EL257" s="5247"/>
      <c r="EM257" s="1095">
        <f>IF(EK257=0,0,(EL257-EK257)/EK257*100)</f>
        <v>0</v>
      </c>
      <c r="EN257" s="5247"/>
      <c r="EO257" s="5247"/>
      <c r="EP257" s="1095">
        <f>IF(EN257=0,0,(EO257-EN257)/EN257*100)</f>
        <v>0</v>
      </c>
      <c r="EQ257" s="5247"/>
      <c r="ER257" s="5247"/>
      <c r="ES257" s="1095">
        <f>IF(EQ257=0,0,(ER257-EQ257)/EQ257*100)</f>
        <v>0</v>
      </c>
      <c r="ET257" s="5247"/>
      <c r="EU257" s="5247"/>
      <c r="EV257" s="1095">
        <f>IF(ET257=0,0,(EU257-ET257)/ET257*100)</f>
        <v>0</v>
      </c>
      <c r="EW257" s="5247"/>
      <c r="EX257" s="5247"/>
      <c r="EY257" s="1095">
        <f>IF(EW257=0,0,(EX257-EW257)/EW257*100)</f>
        <v>0</v>
      </c>
      <c r="EZ257" s="5247"/>
      <c r="FA257" s="5247"/>
      <c r="FB257" s="1095">
        <f>IF(EZ257=0,0,(FA257-EZ257)/EZ257*100)</f>
        <v>0</v>
      </c>
      <c r="FC257" s="5247"/>
      <c r="FD257" s="5247"/>
      <c r="FE257" s="1095">
        <f>IF(FC257=0,0,(FD257-FC257)/FC257*100)</f>
        <v>0</v>
      </c>
      <c r="FF257" s="5247"/>
      <c r="FG257" s="5247"/>
      <c r="FH257" s="1095">
        <f>IF(FF257=0,0,(FG257-FF257)/FF257*100)</f>
        <v>0</v>
      </c>
      <c r="FI257" s="5247"/>
      <c r="FJ257" s="5247"/>
      <c r="FK257" s="1095">
        <f>IF(FI257=0,0,(FJ257-FI257)/FI257*100)</f>
        <v>0</v>
      </c>
      <c r="FL257" s="5247"/>
      <c r="FM257" s="5247"/>
      <c r="FN257" s="1095">
        <f>IF(FL257=0,0,(FM257-FL257)/FL257*100)</f>
        <v>0</v>
      </c>
      <c r="FO257" s="5247"/>
      <c r="FP257" s="5247"/>
      <c r="FQ257" s="1095">
        <f>IF(FO257=0,0,(FP257-FO257)/FO257*100)</f>
        <v>0</v>
      </c>
      <c r="FR257" s="5247"/>
      <c r="FS257" s="5247"/>
      <c r="FT257" s="1095">
        <f>IF(FR257=0,0,(FS257-FR257)/FR257*100)</f>
        <v>0</v>
      </c>
      <c r="FU257" s="5247"/>
      <c r="FV257" s="5247"/>
      <c r="FW257" s="1095">
        <f>IF(FU257=0,0,(FV257-FU257)/FU257*100)</f>
        <v>0</v>
      </c>
      <c r="FX257" s="1304"/>
      <c r="FY257" s="1304"/>
      <c r="FZ257" s="1055" t="s">
        <v>2401</v>
      </c>
      <c r="GA257" s="1306"/>
      <c r="GB257" s="1306"/>
      <c r="GC257" s="1305"/>
      <c r="GD257" s="1305"/>
    </row>
    <row s="1834" customFormat="1" customHeight="1" ht="21.75" hidden="1">
      <c r="A258" s="493"/>
      <c r="B258" s="925" cm="1" t="str">
        <f t="array" ref="B258:B258">B257</f>
        <v>false</v>
      </c>
      <c r="C258" s="493"/>
      <c r="D258" s="493"/>
      <c r="E258" s="840">
        <v>22.5</v>
      </c>
      <c r="F258" s="50" cm="1" t="str">
        <f t="array" ref="F258:F258">OFFSET(E258,-1,1)</f>
        <v>3</v>
      </c>
      <c r="G258" s="493"/>
      <c r="H258" s="493" t="s">
        <v>2376</v>
      </c>
      <c r="I258" s="493" t="s">
        <v>2354</v>
      </c>
      <c r="J258" s="493"/>
      <c r="K258" s="493"/>
      <c r="L258" s="493"/>
      <c r="M258" s="493"/>
      <c r="N258" s="493"/>
      <c r="O258" s="493"/>
      <c r="P258" s="493"/>
      <c r="Q258" s="493"/>
      <c r="R258" s="493"/>
      <c r="S258" s="493"/>
      <c r="T258" s="465" cm="1" t="str">
        <f t="array" ref="T258:T258">T257</f>
        <v>true</v>
      </c>
      <c r="U258" s="493"/>
      <c r="V258" s="493"/>
      <c r="W258" s="493"/>
      <c r="X258" s="1596"/>
      <c r="Y258" s="493"/>
      <c r="Z258" s="1545"/>
      <c r="AA258" s="493"/>
      <c r="AB258" s="904" t="str">
        <f>"ставка платы за содержание системы "&amp;IF(Q218="Водоснабжение","холодного водоснабжения","водоотведения")</f>
        <v>ставка платы за содержание системы водоотведения</v>
      </c>
      <c r="AC258" s="864" t="s">
        <v>2377</v>
      </c>
      <c r="AD258" s="2846"/>
      <c r="AE258" s="2846"/>
      <c r="AF258" s="1093">
        <f>IF(AD258=0,0,(AE258-AD258)/AD258*100)</f>
        <v>0</v>
      </c>
      <c r="AG258" s="2846"/>
      <c r="AH258" s="2846"/>
      <c r="AI258" s="1093">
        <f>IF(AG258=0,0,(AH258-AG258)/AG258*100)</f>
        <v>0</v>
      </c>
      <c r="AJ258" s="2846"/>
      <c r="AK258" s="2846"/>
      <c r="AL258" s="1093">
        <f>IF(AJ258=0,0,(AK258-AJ258)/AJ258*100)</f>
        <v>0</v>
      </c>
      <c r="AM258" s="2846"/>
      <c r="AN258" s="2846"/>
      <c r="AO258" s="1093">
        <f>IF(AM258=0,0,(AN258-AM258)/AM258*100)</f>
        <v>0</v>
      </c>
      <c r="AP258" s="2846"/>
      <c r="AQ258" s="2846"/>
      <c r="AR258" s="1093">
        <f>IF(AP258=0,0,(AQ258-AP258)/AP258*100)</f>
        <v>0</v>
      </c>
      <c r="AS258" s="2846"/>
      <c r="AT258" s="2846"/>
      <c r="AU258" s="1093">
        <f>IF(AS258=0,0,(AT258-AS258)/AS258*100)</f>
        <v>0</v>
      </c>
      <c r="AV258" s="2846"/>
      <c r="AW258" s="2846"/>
      <c r="AX258" s="1093">
        <f>IF(AV258=0,0,(AW258-AV258)/AV258*100)</f>
        <v>0</v>
      </c>
      <c r="AY258" s="2846"/>
      <c r="AZ258" s="2846"/>
      <c r="BA258" s="1093">
        <f>IF(AY258=0,0,(AZ258-AY258)/AY258*100)</f>
        <v>0</v>
      </c>
      <c r="BB258" s="2846"/>
      <c r="BC258" s="2846"/>
      <c r="BD258" s="1093">
        <f>IF(BB258=0,0,(BC258-BB258)/BB258*100)</f>
        <v>0</v>
      </c>
      <c r="BE258" s="2846"/>
      <c r="BF258" s="2846"/>
      <c r="BG258" s="1093">
        <f>IF(BE258=0,0,(BF258-BE258)/BE258*100)</f>
        <v>0</v>
      </c>
      <c r="BH258" s="2846"/>
      <c r="BI258" s="2846"/>
      <c r="BJ258" s="1093">
        <f>IF(BH258=0,0,(BI258-BH258)/BH258*100)</f>
        <v>0</v>
      </c>
      <c r="BK258" s="2846"/>
      <c r="BL258" s="2846"/>
      <c r="BM258" s="1093">
        <f>IF(BK258=0,0,(BL258-BK258)/BK258*100)</f>
        <v>0</v>
      </c>
      <c r="BN258" s="2846"/>
      <c r="BO258" s="2846"/>
      <c r="BP258" s="1093">
        <f>IF(BN258=0,0,(BO258-BN258)/BN258*100)</f>
        <v>0</v>
      </c>
      <c r="BQ258" s="2846"/>
      <c r="BR258" s="2846"/>
      <c r="BS258" s="1093">
        <f>IF(BQ258=0,0,(BR258-BQ258)/BQ258*100)</f>
        <v>0</v>
      </c>
      <c r="BT258" s="2846"/>
      <c r="BU258" s="2846"/>
      <c r="BV258" s="1093">
        <f>IF(BT258=0,0,(BU258-BT258)/BT258*100)</f>
        <v>0</v>
      </c>
      <c r="BW258" s="2846"/>
      <c r="BX258" s="2846"/>
      <c r="BY258" s="1093">
        <f>IF(BW258=0,0,(BX258-BW258)/BW258*100)</f>
        <v>0</v>
      </c>
      <c r="BZ258" s="2846"/>
      <c r="CA258" s="2846"/>
      <c r="CB258" s="1093">
        <f>IF(BZ258=0,0,(CA258-BZ258)/BZ258*100)</f>
        <v>0</v>
      </c>
      <c r="CC258" s="2846"/>
      <c r="CD258" s="2846"/>
      <c r="CE258" s="1093">
        <f>IF(CC258=0,0,(CD258-CC258)/CC258*100)</f>
        <v>0</v>
      </c>
      <c r="CF258" s="2846"/>
      <c r="CG258" s="2846"/>
      <c r="CH258" s="1093">
        <f>IF(CF258=0,0,(CG258-CF258)/CF258*100)</f>
        <v>0</v>
      </c>
      <c r="CI258" s="2846"/>
      <c r="CJ258" s="2846"/>
      <c r="CK258" s="1093">
        <f>IF(CI258=0,0,(CJ258-CI258)/CI258*100)</f>
        <v>0</v>
      </c>
      <c r="CL258" s="2846"/>
      <c r="CM258" s="2846"/>
      <c r="CN258" s="1093">
        <f>IF(CL258=0,0,(CM258-CL258)/CL258*100)</f>
        <v>0</v>
      </c>
      <c r="CO258" s="2846"/>
      <c r="CP258" s="2846"/>
      <c r="CQ258" s="1093">
        <f>IF(CO258=0,0,(CP258-CO258)/CO258*100)</f>
        <v>0</v>
      </c>
      <c r="CR258" s="2846"/>
      <c r="CS258" s="2846"/>
      <c r="CT258" s="1093">
        <f>IF(CR258=0,0,(CS258-CR258)/CR258*100)</f>
        <v>0</v>
      </c>
      <c r="CU258" s="2846"/>
      <c r="CV258" s="2846"/>
      <c r="CW258" s="1093">
        <f>IF(CU258=0,0,(CV258-CU258)/CU258*100)</f>
        <v>0</v>
      </c>
      <c r="CX258" s="2846"/>
      <c r="CY258" s="2846"/>
      <c r="CZ258" s="1093">
        <f>IF(CX258=0,0,(CY258-CX258)/CX258*100)</f>
        <v>0</v>
      </c>
      <c r="DA258" s="2846"/>
      <c r="DB258" s="2846"/>
      <c r="DC258" s="1093">
        <f>IF(DA258=0,0,(DB258-DA258)/DA258*100)</f>
        <v>0</v>
      </c>
      <c r="DD258" s="2846"/>
      <c r="DE258" s="2846"/>
      <c r="DF258" s="1093">
        <f>IF(DD258=0,0,(DE258-DD258)/DD258*100)</f>
        <v>0</v>
      </c>
      <c r="DG258" s="2846"/>
      <c r="DH258" s="2846"/>
      <c r="DI258" s="1093">
        <f>IF(DG258=0,0,(DH258-DG258)/DG258*100)</f>
        <v>0</v>
      </c>
      <c r="DJ258" s="2846"/>
      <c r="DK258" s="2846"/>
      <c r="DL258" s="1093">
        <f>IF(DJ258=0,0,(DK258-DJ258)/DJ258*100)</f>
        <v>0</v>
      </c>
      <c r="DM258" s="2846"/>
      <c r="DN258" s="2846"/>
      <c r="DO258" s="1093">
        <f>IF(DM258=0,0,(DN258-DM258)/DM258*100)</f>
        <v>0</v>
      </c>
      <c r="DP258" s="2846"/>
      <c r="DQ258" s="2846"/>
      <c r="DR258" s="1093">
        <f>IF(DP258=0,0,(DQ258-DP258)/DP258*100)</f>
        <v>0</v>
      </c>
      <c r="DS258" s="2846"/>
      <c r="DT258" s="2846"/>
      <c r="DU258" s="1093">
        <f>IF(DS258=0,0,(DT258-DS258)/DS258*100)</f>
        <v>0</v>
      </c>
      <c r="DV258" s="2846"/>
      <c r="DW258" s="2846"/>
      <c r="DX258" s="1093">
        <f>IF(DV258=0,0,(DW258-DV258)/DV258*100)</f>
        <v>0</v>
      </c>
      <c r="DY258" s="2846"/>
      <c r="DZ258" s="2846"/>
      <c r="EA258" s="1093">
        <f>IF(DY258=0,0,(DZ258-DY258)/DY258*100)</f>
        <v>0</v>
      </c>
      <c r="EB258" s="2846"/>
      <c r="EC258" s="2846"/>
      <c r="ED258" s="1093">
        <f>IF(EB258=0,0,(EC258-EB258)/EB258*100)</f>
        <v>0</v>
      </c>
      <c r="EE258" s="2846"/>
      <c r="EF258" s="2846"/>
      <c r="EG258" s="1093">
        <f>IF(EE258=0,0,(EF258-EE258)/EE258*100)</f>
        <v>0</v>
      </c>
      <c r="EH258" s="2846"/>
      <c r="EI258" s="2846"/>
      <c r="EJ258" s="1093">
        <f>IF(EH258=0,0,(EI258-EH258)/EH258*100)</f>
        <v>0</v>
      </c>
      <c r="EK258" s="2846"/>
      <c r="EL258" s="2846"/>
      <c r="EM258" s="1093">
        <f>IF(EK258=0,0,(EL258-EK258)/EK258*100)</f>
        <v>0</v>
      </c>
      <c r="EN258" s="2846"/>
      <c r="EO258" s="2846"/>
      <c r="EP258" s="1093">
        <f>IF(EN258=0,0,(EO258-EN258)/EN258*100)</f>
        <v>0</v>
      </c>
      <c r="EQ258" s="2846"/>
      <c r="ER258" s="2846"/>
      <c r="ES258" s="1093">
        <f>IF(EQ258=0,0,(ER258-EQ258)/EQ258*100)</f>
        <v>0</v>
      </c>
      <c r="ET258" s="2846"/>
      <c r="EU258" s="2846"/>
      <c r="EV258" s="1093">
        <f>IF(ET258=0,0,(EU258-ET258)/ET258*100)</f>
        <v>0</v>
      </c>
      <c r="EW258" s="2846"/>
      <c r="EX258" s="2846"/>
      <c r="EY258" s="1093">
        <f>IF(EW258=0,0,(EX258-EW258)/EW258*100)</f>
        <v>0</v>
      </c>
      <c r="EZ258" s="2846"/>
      <c r="FA258" s="2846"/>
      <c r="FB258" s="1093">
        <f>IF(EZ258=0,0,(FA258-EZ258)/EZ258*100)</f>
        <v>0</v>
      </c>
      <c r="FC258" s="2846"/>
      <c r="FD258" s="2846"/>
      <c r="FE258" s="1093">
        <f>IF(FC258=0,0,(FD258-FC258)/FC258*100)</f>
        <v>0</v>
      </c>
      <c r="FF258" s="2846"/>
      <c r="FG258" s="2846"/>
      <c r="FH258" s="1093">
        <f>IF(FF258=0,0,(FG258-FF258)/FF258*100)</f>
        <v>0</v>
      </c>
      <c r="FI258" s="2846"/>
      <c r="FJ258" s="2846"/>
      <c r="FK258" s="1093">
        <f>IF(FI258=0,0,(FJ258-FI258)/FI258*100)</f>
        <v>0</v>
      </c>
      <c r="FL258" s="2846"/>
      <c r="FM258" s="2846"/>
      <c r="FN258" s="1093">
        <f>IF(FL258=0,0,(FM258-FL258)/FL258*100)</f>
        <v>0</v>
      </c>
      <c r="FO258" s="2846"/>
      <c r="FP258" s="2846"/>
      <c r="FQ258" s="1093">
        <f>IF(FO258=0,0,(FP258-FO258)/FO258*100)</f>
        <v>0</v>
      </c>
      <c r="FR258" s="2846"/>
      <c r="FS258" s="2846"/>
      <c r="FT258" s="1093">
        <f>IF(FR258=0,0,(FS258-FR258)/FR258*100)</f>
        <v>0</v>
      </c>
      <c r="FU258" s="2846"/>
      <c r="FV258" s="2846"/>
      <c r="FW258" s="1093">
        <f>IF(FU258=0,0,(FV258-FU258)/FU258*100)</f>
        <v>0</v>
      </c>
      <c r="FX258" s="1304"/>
      <c r="FY258" s="1304"/>
      <c r="FZ258" s="1055" t="s">
        <v>2402</v>
      </c>
      <c r="GA258" s="1306"/>
      <c r="GB258" s="1306"/>
      <c r="GC258" s="1305"/>
      <c r="GD258" s="1305"/>
    </row>
    <row s="1834" customFormat="1" customHeight="1" ht="14.25" hidden="1">
      <c r="A259" s="493"/>
      <c r="B259" s="925" cm="1" t="str">
        <f t="array" ref="B259:B259">B258</f>
        <v>false</v>
      </c>
      <c r="C259" s="493"/>
      <c r="D259" s="493"/>
      <c r="E259" s="840">
        <v>15</v>
      </c>
      <c r="F259" s="50" cm="1" t="str">
        <f t="array" ref="F259:F259">OFFSET(E259,-1,1)</f>
        <v>3</v>
      </c>
      <c r="G259" s="493"/>
      <c r="H259" s="493" t="s">
        <v>2379</v>
      </c>
      <c r="I259" s="493" t="s">
        <v>2354</v>
      </c>
      <c r="J259" s="493"/>
      <c r="K259" s="493"/>
      <c r="L259" s="493"/>
      <c r="M259" s="493"/>
      <c r="N259" s="493"/>
      <c r="O259" s="493"/>
      <c r="P259" s="493"/>
      <c r="Q259" s="493"/>
      <c r="R259" s="493"/>
      <c r="S259" s="493"/>
      <c r="T259" s="465" cm="1" t="str">
        <f t="array" ref="T259:T259">T258</f>
        <v>true</v>
      </c>
      <c r="U259" s="493"/>
      <c r="V259" s="493"/>
      <c r="W259" s="493"/>
      <c r="X259" s="1596"/>
      <c r="Y259" s="493"/>
      <c r="Z259" s="1545"/>
      <c r="AA259" s="493"/>
      <c r="AB259" s="904" t="s">
        <v>2380</v>
      </c>
      <c r="AC259" s="864" t="s">
        <v>2381</v>
      </c>
      <c r="AD259" s="2846"/>
      <c r="AE259" s="2846"/>
      <c r="AF259" s="1093">
        <f>IF(AD259=0,0,(AE259-AD259)/AD259*100)</f>
        <v>0</v>
      </c>
      <c r="AG259" s="2846"/>
      <c r="AH259" s="2846"/>
      <c r="AI259" s="1093">
        <f>IF(AG259=0,0,(AH259-AG259)/AG259*100)</f>
        <v>0</v>
      </c>
      <c r="AJ259" s="2846"/>
      <c r="AK259" s="2846"/>
      <c r="AL259" s="1093">
        <f>IF(AJ259=0,0,(AK259-AJ259)/AJ259*100)</f>
        <v>0</v>
      </c>
      <c r="AM259" s="2846"/>
      <c r="AN259" s="2846"/>
      <c r="AO259" s="1093">
        <f>IF(AM259=0,0,(AN259-AM259)/AM259*100)</f>
        <v>0</v>
      </c>
      <c r="AP259" s="2846"/>
      <c r="AQ259" s="2846"/>
      <c r="AR259" s="1093">
        <f>IF(AP259=0,0,(AQ259-AP259)/AP259*100)</f>
        <v>0</v>
      </c>
      <c r="AS259" s="2846"/>
      <c r="AT259" s="2846"/>
      <c r="AU259" s="1093">
        <f>IF(AS259=0,0,(AT259-AS259)/AS259*100)</f>
        <v>0</v>
      </c>
      <c r="AV259" s="2846"/>
      <c r="AW259" s="2846"/>
      <c r="AX259" s="1093">
        <f>IF(AV259=0,0,(AW259-AV259)/AV259*100)</f>
        <v>0</v>
      </c>
      <c r="AY259" s="2846"/>
      <c r="AZ259" s="2846"/>
      <c r="BA259" s="1093">
        <f>IF(AY259=0,0,(AZ259-AY259)/AY259*100)</f>
        <v>0</v>
      </c>
      <c r="BB259" s="2846"/>
      <c r="BC259" s="2846"/>
      <c r="BD259" s="1093">
        <f>IF(BB259=0,0,(BC259-BB259)/BB259*100)</f>
        <v>0</v>
      </c>
      <c r="BE259" s="2846"/>
      <c r="BF259" s="2846"/>
      <c r="BG259" s="1093">
        <f>IF(BE259=0,0,(BF259-BE259)/BE259*100)</f>
        <v>0</v>
      </c>
      <c r="BH259" s="2846"/>
      <c r="BI259" s="2846"/>
      <c r="BJ259" s="1093">
        <f>IF(BH259=0,0,(BI259-BH259)/BH259*100)</f>
        <v>0</v>
      </c>
      <c r="BK259" s="2846"/>
      <c r="BL259" s="2846"/>
      <c r="BM259" s="1093">
        <f>IF(BK259=0,0,(BL259-BK259)/BK259*100)</f>
        <v>0</v>
      </c>
      <c r="BN259" s="2846"/>
      <c r="BO259" s="2846"/>
      <c r="BP259" s="1093">
        <f>IF(BN259=0,0,(BO259-BN259)/BN259*100)</f>
        <v>0</v>
      </c>
      <c r="BQ259" s="2846"/>
      <c r="BR259" s="2846"/>
      <c r="BS259" s="1093">
        <f>IF(BQ259=0,0,(BR259-BQ259)/BQ259*100)</f>
        <v>0</v>
      </c>
      <c r="BT259" s="2846"/>
      <c r="BU259" s="2846"/>
      <c r="BV259" s="1093">
        <f>IF(BT259=0,0,(BU259-BT259)/BT259*100)</f>
        <v>0</v>
      </c>
      <c r="BW259" s="2846"/>
      <c r="BX259" s="2846"/>
      <c r="BY259" s="1093">
        <f>IF(BW259=0,0,(BX259-BW259)/BW259*100)</f>
        <v>0</v>
      </c>
      <c r="BZ259" s="2846"/>
      <c r="CA259" s="2846"/>
      <c r="CB259" s="1093">
        <f>IF(BZ259=0,0,(CA259-BZ259)/BZ259*100)</f>
        <v>0</v>
      </c>
      <c r="CC259" s="2846"/>
      <c r="CD259" s="2846"/>
      <c r="CE259" s="1093">
        <f>IF(CC259=0,0,(CD259-CC259)/CC259*100)</f>
        <v>0</v>
      </c>
      <c r="CF259" s="2846"/>
      <c r="CG259" s="2846"/>
      <c r="CH259" s="1093">
        <f>IF(CF259=0,0,(CG259-CF259)/CF259*100)</f>
        <v>0</v>
      </c>
      <c r="CI259" s="2846"/>
      <c r="CJ259" s="2846"/>
      <c r="CK259" s="1093">
        <f>IF(CI259=0,0,(CJ259-CI259)/CI259*100)</f>
        <v>0</v>
      </c>
      <c r="CL259" s="2846"/>
      <c r="CM259" s="2846"/>
      <c r="CN259" s="1093">
        <f>IF(CL259=0,0,(CM259-CL259)/CL259*100)</f>
        <v>0</v>
      </c>
      <c r="CO259" s="2846"/>
      <c r="CP259" s="2846"/>
      <c r="CQ259" s="1093">
        <f>IF(CO259=0,0,(CP259-CO259)/CO259*100)</f>
        <v>0</v>
      </c>
      <c r="CR259" s="2846"/>
      <c r="CS259" s="2846"/>
      <c r="CT259" s="1093">
        <f>IF(CR259=0,0,(CS259-CR259)/CR259*100)</f>
        <v>0</v>
      </c>
      <c r="CU259" s="2846"/>
      <c r="CV259" s="2846"/>
      <c r="CW259" s="1093">
        <f>IF(CU259=0,0,(CV259-CU259)/CU259*100)</f>
        <v>0</v>
      </c>
      <c r="CX259" s="2846"/>
      <c r="CY259" s="2846"/>
      <c r="CZ259" s="1093">
        <f>IF(CX259=0,0,(CY259-CX259)/CX259*100)</f>
        <v>0</v>
      </c>
      <c r="DA259" s="2846"/>
      <c r="DB259" s="2846"/>
      <c r="DC259" s="1093">
        <f>IF(DA259=0,0,(DB259-DA259)/DA259*100)</f>
        <v>0</v>
      </c>
      <c r="DD259" s="2846"/>
      <c r="DE259" s="2846"/>
      <c r="DF259" s="1093">
        <f>IF(DD259=0,0,(DE259-DD259)/DD259*100)</f>
        <v>0</v>
      </c>
      <c r="DG259" s="2846"/>
      <c r="DH259" s="2846"/>
      <c r="DI259" s="1093">
        <f>IF(DG259=0,0,(DH259-DG259)/DG259*100)</f>
        <v>0</v>
      </c>
      <c r="DJ259" s="2846"/>
      <c r="DK259" s="2846"/>
      <c r="DL259" s="1093">
        <f>IF(DJ259=0,0,(DK259-DJ259)/DJ259*100)</f>
        <v>0</v>
      </c>
      <c r="DM259" s="2846"/>
      <c r="DN259" s="2846"/>
      <c r="DO259" s="1093">
        <f>IF(DM259=0,0,(DN259-DM259)/DM259*100)</f>
        <v>0</v>
      </c>
      <c r="DP259" s="2846"/>
      <c r="DQ259" s="2846"/>
      <c r="DR259" s="1093">
        <f>IF(DP259=0,0,(DQ259-DP259)/DP259*100)</f>
        <v>0</v>
      </c>
      <c r="DS259" s="2846"/>
      <c r="DT259" s="2846"/>
      <c r="DU259" s="1093">
        <f>IF(DS259=0,0,(DT259-DS259)/DS259*100)</f>
        <v>0</v>
      </c>
      <c r="DV259" s="2846"/>
      <c r="DW259" s="2846"/>
      <c r="DX259" s="1093">
        <f>IF(DV259=0,0,(DW259-DV259)/DV259*100)</f>
        <v>0</v>
      </c>
      <c r="DY259" s="2846"/>
      <c r="DZ259" s="2846"/>
      <c r="EA259" s="1093">
        <f>IF(DY259=0,0,(DZ259-DY259)/DY259*100)</f>
        <v>0</v>
      </c>
      <c r="EB259" s="2846"/>
      <c r="EC259" s="2846"/>
      <c r="ED259" s="1093">
        <f>IF(EB259=0,0,(EC259-EB259)/EB259*100)</f>
        <v>0</v>
      </c>
      <c r="EE259" s="2846"/>
      <c r="EF259" s="2846"/>
      <c r="EG259" s="1093">
        <f>IF(EE259=0,0,(EF259-EE259)/EE259*100)</f>
        <v>0</v>
      </c>
      <c r="EH259" s="2846"/>
      <c r="EI259" s="2846"/>
      <c r="EJ259" s="1093">
        <f>IF(EH259=0,0,(EI259-EH259)/EH259*100)</f>
        <v>0</v>
      </c>
      <c r="EK259" s="2846"/>
      <c r="EL259" s="2846"/>
      <c r="EM259" s="1093">
        <f>IF(EK259=0,0,(EL259-EK259)/EK259*100)</f>
        <v>0</v>
      </c>
      <c r="EN259" s="2846"/>
      <c r="EO259" s="2846"/>
      <c r="EP259" s="1093">
        <f>IF(EN259=0,0,(EO259-EN259)/EN259*100)</f>
        <v>0</v>
      </c>
      <c r="EQ259" s="2846"/>
      <c r="ER259" s="2846"/>
      <c r="ES259" s="1093">
        <f>IF(EQ259=0,0,(ER259-EQ259)/EQ259*100)</f>
        <v>0</v>
      </c>
      <c r="ET259" s="2846"/>
      <c r="EU259" s="2846"/>
      <c r="EV259" s="1093">
        <f>IF(ET259=0,0,(EU259-ET259)/ET259*100)</f>
        <v>0</v>
      </c>
      <c r="EW259" s="2846"/>
      <c r="EX259" s="2846"/>
      <c r="EY259" s="1093">
        <f>IF(EW259=0,0,(EX259-EW259)/EW259*100)</f>
        <v>0</v>
      </c>
      <c r="EZ259" s="2846"/>
      <c r="FA259" s="2846"/>
      <c r="FB259" s="1093">
        <f>IF(EZ259=0,0,(FA259-EZ259)/EZ259*100)</f>
        <v>0</v>
      </c>
      <c r="FC259" s="2846"/>
      <c r="FD259" s="2846"/>
      <c r="FE259" s="1093">
        <f>IF(FC259=0,0,(FD259-FC259)/FC259*100)</f>
        <v>0</v>
      </c>
      <c r="FF259" s="2846"/>
      <c r="FG259" s="2846"/>
      <c r="FH259" s="1093">
        <f>IF(FF259=0,0,(FG259-FF259)/FF259*100)</f>
        <v>0</v>
      </c>
      <c r="FI259" s="2846"/>
      <c r="FJ259" s="2846"/>
      <c r="FK259" s="1093">
        <f>IF(FI259=0,0,(FJ259-FI259)/FI259*100)</f>
        <v>0</v>
      </c>
      <c r="FL259" s="2846"/>
      <c r="FM259" s="2846"/>
      <c r="FN259" s="1093">
        <f>IF(FL259=0,0,(FM259-FL259)/FL259*100)</f>
        <v>0</v>
      </c>
      <c r="FO259" s="2846"/>
      <c r="FP259" s="2846"/>
      <c r="FQ259" s="1093">
        <f>IF(FO259=0,0,(FP259-FO259)/FO259*100)</f>
        <v>0</v>
      </c>
      <c r="FR259" s="2846"/>
      <c r="FS259" s="2846"/>
      <c r="FT259" s="1093">
        <f>IF(FR259=0,0,(FS259-FR259)/FR259*100)</f>
        <v>0</v>
      </c>
      <c r="FU259" s="2846"/>
      <c r="FV259" s="2846"/>
      <c r="FW259" s="1093">
        <f>IF(FU259=0,0,(FV259-FU259)/FU259*100)</f>
        <v>0</v>
      </c>
      <c r="FX259" s="1304"/>
      <c r="FY259" s="1304"/>
      <c r="FZ259" s="1055" t="s">
        <v>2403</v>
      </c>
      <c r="GA259" s="1306"/>
      <c r="GB259" s="1306"/>
      <c r="GC259" s="1305"/>
      <c r="GD259" s="1305"/>
    </row>
    <row s="1834" customFormat="1" customHeight="1" ht="18" hidden="1">
      <c r="A260" s="493"/>
      <c r="B260" s="925" cm="1" t="str">
        <f t="array" ref="B260:B260">B259</f>
        <v>false</v>
      </c>
      <c r="C260" s="493"/>
      <c r="D260" s="493"/>
      <c r="E260" s="840">
        <v>18.75</v>
      </c>
      <c r="F260" s="50" cm="1" t="str">
        <f t="array" ref="F260:F260">OFFSET(E260,-1,1)</f>
        <v>3</v>
      </c>
      <c r="G260" s="493"/>
      <c r="H260" s="493"/>
      <c r="I260" s="493"/>
      <c r="J260" s="493"/>
      <c r="K260" s="493"/>
      <c r="L260" s="493"/>
      <c r="M260" s="493"/>
      <c r="N260" s="493"/>
      <c r="O260" s="493"/>
      <c r="P260" s="493"/>
      <c r="Q260" s="493"/>
      <c r="R260" s="493"/>
      <c r="S260" s="493"/>
      <c r="T260" s="465">
        <f>AND(F260&gt;0,Y260&gt;0)</f>
        <v>0</v>
      </c>
      <c r="U260" s="493"/>
      <c r="V260" s="493"/>
      <c r="W260" s="493" t="s">
        <v>174</v>
      </c>
      <c r="X260" s="1596"/>
      <c r="Y260" s="1596">
        <v>0</v>
      </c>
      <c r="Z260" s="1545"/>
      <c r="AA260" s="1494" t="s">
        <v>175</v>
      </c>
      <c r="AB260" s="5252"/>
      <c r="AC260" s="865"/>
      <c r="AD260" s="1105"/>
      <c r="AE260" s="1106"/>
      <c r="AF260" s="1106"/>
      <c r="AG260" s="1105"/>
      <c r="AH260" s="1106"/>
      <c r="AI260" s="1106"/>
      <c r="AJ260" s="1105"/>
      <c r="AK260" s="1106"/>
      <c r="AL260" s="1106"/>
      <c r="AM260" s="1105"/>
      <c r="AN260" s="1106"/>
      <c r="AO260" s="1106"/>
      <c r="AP260" s="1105"/>
      <c r="AQ260" s="1106"/>
      <c r="AR260" s="1106"/>
      <c r="AS260" s="1105"/>
      <c r="AT260" s="1106"/>
      <c r="AU260" s="1106"/>
      <c r="AV260" s="1105"/>
      <c r="AW260" s="1106"/>
      <c r="AX260" s="1106"/>
      <c r="AY260" s="1105"/>
      <c r="AZ260" s="1106"/>
      <c r="BA260" s="1106"/>
      <c r="BB260" s="1105"/>
      <c r="BC260" s="1106"/>
      <c r="BD260" s="1106"/>
      <c r="BE260" s="1105"/>
      <c r="BF260" s="1106"/>
      <c r="BG260" s="1106"/>
      <c r="BH260" s="1105"/>
      <c r="BI260" s="1106"/>
      <c r="BJ260" s="1106"/>
      <c r="BK260" s="1105"/>
      <c r="BL260" s="1106"/>
      <c r="BM260" s="1106"/>
      <c r="BN260" s="1105"/>
      <c r="BO260" s="1106"/>
      <c r="BP260" s="1106"/>
      <c r="BQ260" s="1105"/>
      <c r="BR260" s="1106"/>
      <c r="BS260" s="1106"/>
      <c r="BT260" s="1105"/>
      <c r="BU260" s="1106"/>
      <c r="BV260" s="1106"/>
      <c r="BW260" s="1105"/>
      <c r="BX260" s="1106"/>
      <c r="BY260" s="1106"/>
      <c r="BZ260" s="1105"/>
      <c r="CA260" s="1106"/>
      <c r="CB260" s="1106"/>
      <c r="CC260" s="1105"/>
      <c r="CD260" s="1106"/>
      <c r="CE260" s="1106"/>
      <c r="CF260" s="1105"/>
      <c r="CG260" s="1106"/>
      <c r="CH260" s="1106"/>
      <c r="CI260" s="1105"/>
      <c r="CJ260" s="1106"/>
      <c r="CK260" s="1106"/>
      <c r="CL260" s="1105"/>
      <c r="CM260" s="1106"/>
      <c r="CN260" s="1106"/>
      <c r="CO260" s="1105"/>
      <c r="CP260" s="1106"/>
      <c r="CQ260" s="1106"/>
      <c r="CR260" s="1105"/>
      <c r="CS260" s="1106"/>
      <c r="CT260" s="1106"/>
      <c r="CU260" s="1105"/>
      <c r="CV260" s="1106"/>
      <c r="CW260" s="1106"/>
      <c r="CX260" s="1105"/>
      <c r="CY260" s="1106"/>
      <c r="CZ260" s="1106"/>
      <c r="DA260" s="1105"/>
      <c r="DB260" s="1106"/>
      <c r="DC260" s="1106"/>
      <c r="DD260" s="1105"/>
      <c r="DE260" s="1106"/>
      <c r="DF260" s="1106"/>
      <c r="DG260" s="1105"/>
      <c r="DH260" s="1106"/>
      <c r="DI260" s="1106"/>
      <c r="DJ260" s="1105"/>
      <c r="DK260" s="1106"/>
      <c r="DL260" s="1106"/>
      <c r="DM260" s="1105"/>
      <c r="DN260" s="1106"/>
      <c r="DO260" s="1106"/>
      <c r="DP260" s="1105"/>
      <c r="DQ260" s="1106"/>
      <c r="DR260" s="1106"/>
      <c r="DS260" s="1105"/>
      <c r="DT260" s="1106"/>
      <c r="DU260" s="1106"/>
      <c r="DV260" s="1105"/>
      <c r="DW260" s="1106"/>
      <c r="DX260" s="1106"/>
      <c r="DY260" s="1105"/>
      <c r="DZ260" s="1106"/>
      <c r="EA260" s="1106"/>
      <c r="EB260" s="1105"/>
      <c r="EC260" s="1106"/>
      <c r="ED260" s="1106"/>
      <c r="EE260" s="1105"/>
      <c r="EF260" s="1106"/>
      <c r="EG260" s="1106"/>
      <c r="EH260" s="1105"/>
      <c r="EI260" s="1106"/>
      <c r="EJ260" s="1106"/>
      <c r="EK260" s="1105"/>
      <c r="EL260" s="1106"/>
      <c r="EM260" s="1106"/>
      <c r="EN260" s="1105"/>
      <c r="EO260" s="1106"/>
      <c r="EP260" s="1106"/>
      <c r="EQ260" s="1105"/>
      <c r="ER260" s="1106"/>
      <c r="ES260" s="1106"/>
      <c r="ET260" s="1105"/>
      <c r="EU260" s="1106"/>
      <c r="EV260" s="1106"/>
      <c r="EW260" s="1105"/>
      <c r="EX260" s="1106"/>
      <c r="EY260" s="1106"/>
      <c r="EZ260" s="1105"/>
      <c r="FA260" s="1106"/>
      <c r="FB260" s="1106"/>
      <c r="FC260" s="1105"/>
      <c r="FD260" s="1106"/>
      <c r="FE260" s="1106"/>
      <c r="FF260" s="1105"/>
      <c r="FG260" s="1106"/>
      <c r="FH260" s="1106"/>
      <c r="FI260" s="1105"/>
      <c r="FJ260" s="1106"/>
      <c r="FK260" s="1106"/>
      <c r="FL260" s="1105"/>
      <c r="FM260" s="1106"/>
      <c r="FN260" s="1106"/>
      <c r="FO260" s="1105"/>
      <c r="FP260" s="1106"/>
      <c r="FQ260" s="1106"/>
      <c r="FR260" s="1105"/>
      <c r="FS260" s="1106"/>
      <c r="FT260" s="1106"/>
      <c r="FU260" s="1105"/>
      <c r="FV260" s="1106"/>
      <c r="FW260" s="1107"/>
      <c r="FX260" s="1304"/>
      <c r="FY260" s="1304"/>
      <c r="FZ260" s="1055"/>
      <c r="GA260" s="1306"/>
      <c r="GB260" s="1306"/>
      <c r="GC260" s="1305"/>
      <c r="GD260" s="632" t="b">
        <v>1</v>
      </c>
    </row>
    <row s="1834" customFormat="1" customHeight="1" ht="14.25" hidden="1">
      <c r="A261" s="493"/>
      <c r="B261" s="925" cm="1" t="str">
        <f t="array" ref="B261:B261">B260</f>
        <v>false</v>
      </c>
      <c r="C261" s="493"/>
      <c r="D261" s="493"/>
      <c r="E261" s="840">
        <v>15</v>
      </c>
      <c r="F261" s="50" cm="1" t="str">
        <f t="array" ref="F261:F261">OFFSET(E261,-1,1)</f>
        <v>3</v>
      </c>
      <c r="G261" s="493"/>
      <c r="H261" s="493" t="s">
        <v>2295</v>
      </c>
      <c r="I261" s="493" cm="1" t="str">
        <f t="array" ref="I261:I261">AB260</f>
        <v>0</v>
      </c>
      <c r="J261" s="493"/>
      <c r="K261" s="493"/>
      <c r="L261" s="493"/>
      <c r="M261" s="493"/>
      <c r="N261" s="493"/>
      <c r="O261" s="493"/>
      <c r="P261" s="493"/>
      <c r="Q261" s="493"/>
      <c r="R261" s="493"/>
      <c r="S261" s="493"/>
      <c r="T261" s="465" cm="1" t="str">
        <f t="array" ref="T261:T261">T260</f>
        <v>false</v>
      </c>
      <c r="U261" s="493"/>
      <c r="V261" s="493"/>
      <c r="W261" s="493"/>
      <c r="X261" s="1596"/>
      <c r="Y261" s="1596"/>
      <c r="Z261" s="1545"/>
      <c r="AA261" s="1494"/>
      <c r="AB261" s="904" t="s">
        <v>2370</v>
      </c>
      <c r="AC261" s="864" t="s">
        <v>2337</v>
      </c>
      <c r="AD261" s="2846">
        <f>IF(AD263=0,0,(AD262*AD263+AD264*AD265*IF(god=2026,3,6))/AD263)</f>
        <v>0</v>
      </c>
      <c r="AE261" s="2846">
        <f>IF(AE263=0,0,(AE262*AE263+AE264*AE265*IF(god=2026,3,6))/AE263)</f>
        <v>0</v>
      </c>
      <c r="AF261" s="1093">
        <f>IF(AD261=0,0,(AE261-AD261)/AD261*100)</f>
        <v>0</v>
      </c>
      <c r="AG261" s="2846">
        <f>IF(AG263=0,0,(AG262*AG263+AG264*AG265*IF(god=2025,3,6))/AG263)</f>
        <v>0</v>
      </c>
      <c r="AH261" s="2846">
        <f>IF(AH263=0,0,(AH262*AH263+AH264*AH265*IF(god=2025,3,6))/AH263)</f>
        <v>0</v>
      </c>
      <c r="AI261" s="1093">
        <f>IF(AG261=0,0,(AH261-AG261)/AG261*100)</f>
        <v>0</v>
      </c>
      <c r="AJ261" s="2846">
        <f>IF(AJ263=0,0,(AJ262*AJ263+AJ264*AJ265*6)/AJ263)</f>
        <v>0</v>
      </c>
      <c r="AK261" s="2846">
        <f>IF(AK263=0,0,(AK262*AK263+AK264*AK265*6)/AK263)</f>
        <v>0</v>
      </c>
      <c r="AL261" s="1093">
        <f>IF(AJ261=0,0,(AK261-AJ261)/AJ261*100)</f>
        <v>0</v>
      </c>
      <c r="AM261" s="2846">
        <f>IF(AM263=0,0,(AM262*AM263+AM264*AM265*6)/AM263)</f>
        <v>0</v>
      </c>
      <c r="AN261" s="2846">
        <f>IF(AN263=0,0,(AN262*AN263+AN264*AN265*6)/AN263)</f>
        <v>0</v>
      </c>
      <c r="AO261" s="1093">
        <f>IF(AM261=0,0,(AN261-AM261)/AM261*100)</f>
        <v>0</v>
      </c>
      <c r="AP261" s="2846">
        <f>IF(AP263=0,0,(AP262*AP263+AP264*AP265*6)/AP263)</f>
        <v>0</v>
      </c>
      <c r="AQ261" s="2846">
        <f>IF(AQ263=0,0,(AQ262*AQ263+AQ264*AQ265*6)/AQ263)</f>
        <v>0</v>
      </c>
      <c r="AR261" s="1093">
        <f>IF(AP261=0,0,(AQ261-AP261)/AP261*100)</f>
        <v>0</v>
      </c>
      <c r="AS261" s="2846">
        <f>IF(AS263=0,0,(AS262*AS263+AS264*AS265*6)/AS263)</f>
        <v>0</v>
      </c>
      <c r="AT261" s="2846">
        <f>IF(AT263=0,0,(AT262*AT263+AT264*AT265*6)/AT263)</f>
        <v>0</v>
      </c>
      <c r="AU261" s="1093">
        <f>IF(AS261=0,0,(AT261-AS261)/AS261*100)</f>
        <v>0</v>
      </c>
      <c r="AV261" s="2846">
        <f>IF(AV263=0,0,(AV262*AV263+AV264*AV265*6)/AV263)</f>
        <v>0</v>
      </c>
      <c r="AW261" s="2846">
        <f>IF(AW263=0,0,(AW262*AW263+AW264*AW265*6)/AW263)</f>
        <v>0</v>
      </c>
      <c r="AX261" s="1093">
        <f>IF(AV261=0,0,(AW261-AV261)/AV261*100)</f>
        <v>0</v>
      </c>
      <c r="AY261" s="2846">
        <f>IF(AY263=0,0,(AY262*AY263+AY264*AY265*6)/AY263)</f>
        <v>0</v>
      </c>
      <c r="AZ261" s="2846">
        <f>IF(AZ263=0,0,(AZ262*AZ263+AZ264*AZ265*6)/AZ263)</f>
        <v>0</v>
      </c>
      <c r="BA261" s="1093">
        <f>IF(AY261=0,0,(AZ261-AY261)/AY261*100)</f>
        <v>0</v>
      </c>
      <c r="BB261" s="2846">
        <f>IF(BB263=0,0,(BB262*BB263+BB264*BB265*6)/BB263)</f>
        <v>0</v>
      </c>
      <c r="BC261" s="2846">
        <f>IF(BC263=0,0,(BC262*BC263+BC264*BC265*6)/BC263)</f>
        <v>0</v>
      </c>
      <c r="BD261" s="1093">
        <f>IF(BB261=0,0,(BC261-BB261)/BB261*100)</f>
        <v>0</v>
      </c>
      <c r="BE261" s="2846">
        <f>IF(BE263=0,0,(BE262*BE263+BE264*BE265*6)/BE263)</f>
        <v>0</v>
      </c>
      <c r="BF261" s="2846">
        <f>IF(BF263=0,0,(BF262*BF263+BF264*BF265*6)/BF263)</f>
        <v>0</v>
      </c>
      <c r="BG261" s="1093">
        <f>IF(BE261=0,0,(BF261-BE261)/BE261*100)</f>
        <v>0</v>
      </c>
      <c r="BH261" s="2846">
        <f>IF(BH263=0,0,(BH262*BH263+BH264*BH265*6)/BH263)</f>
        <v>0</v>
      </c>
      <c r="BI261" s="2846">
        <f>IF(BI263=0,0,(BI262*BI263+BI264*BI265*6)/BI263)</f>
        <v>0</v>
      </c>
      <c r="BJ261" s="1093">
        <f>IF(BH261=0,0,(BI261-BH261)/BH261*100)</f>
        <v>0</v>
      </c>
      <c r="BK261" s="2846">
        <f>IF(BK263=0,0,(BK262*BK263+BK264*BK265*6)/BK263)</f>
        <v>0</v>
      </c>
      <c r="BL261" s="2846">
        <f>IF(BL263=0,0,(BL262*BL263+BL264*BL265*6)/BL263)</f>
        <v>0</v>
      </c>
      <c r="BM261" s="1093">
        <f>IF(BK261=0,0,(BL261-BK261)/BK261*100)</f>
        <v>0</v>
      </c>
      <c r="BN261" s="2846">
        <f>IF(BN263=0,0,(BN262*BN263+BN264*BN265*6)/BN263)</f>
        <v>0</v>
      </c>
      <c r="BO261" s="2846">
        <f>IF(BO263=0,0,(BO262*BO263+BO264*BO265*6)/BO263)</f>
        <v>0</v>
      </c>
      <c r="BP261" s="1093">
        <f>IF(BN261=0,0,(BO261-BN261)/BN261*100)</f>
        <v>0</v>
      </c>
      <c r="BQ261" s="2846">
        <f>IF(BQ263=0,0,(BQ262*BQ263+BQ264*BQ265*6)/BQ263)</f>
        <v>0</v>
      </c>
      <c r="BR261" s="2846">
        <f>IF(BR263=0,0,(BR262*BR263+BR264*BR265*6)/BR263)</f>
        <v>0</v>
      </c>
      <c r="BS261" s="1093">
        <f>IF(BQ261=0,0,(BR261-BQ261)/BQ261*100)</f>
        <v>0</v>
      </c>
      <c r="BT261" s="2846">
        <f>IF(BT263=0,0,(BT262*BT263+BT264*BT265*6)/BT263)</f>
        <v>0</v>
      </c>
      <c r="BU261" s="2846">
        <f>IF(BU263=0,0,(BU262*BU263+BU264*BU265*6)/BU263)</f>
        <v>0</v>
      </c>
      <c r="BV261" s="1093">
        <f>IF(BT261=0,0,(BU261-BT261)/BT261*100)</f>
        <v>0</v>
      </c>
      <c r="BW261" s="2846">
        <f>IF(BW263=0,0,(BW262*BW263+BW264*BW265*6)/BW263)</f>
        <v>0</v>
      </c>
      <c r="BX261" s="2846">
        <f>IF(BX263=0,0,(BX262*BX263+BX264*BX265*6)/BX263)</f>
        <v>0</v>
      </c>
      <c r="BY261" s="1093">
        <f>IF(BW261=0,0,(BX261-BW261)/BW261*100)</f>
        <v>0</v>
      </c>
      <c r="BZ261" s="2846">
        <f>IF(BZ263=0,0,(BZ262*BZ263+BZ264*BZ265*6)/BZ263)</f>
        <v>0</v>
      </c>
      <c r="CA261" s="2846">
        <f>IF(CA263=0,0,(CA262*CA263+CA264*CA265*6)/CA263)</f>
        <v>0</v>
      </c>
      <c r="CB261" s="1093">
        <f>IF(BZ261=0,0,(CA261-BZ261)/BZ261*100)</f>
        <v>0</v>
      </c>
      <c r="CC261" s="2846">
        <f>IF(CC263=0,0,(CC262*CC263+CC264*CC265*6)/CC263)</f>
        <v>0</v>
      </c>
      <c r="CD261" s="2846">
        <f>IF(CD263=0,0,(CD262*CD263+CD264*CD265*6)/CD263)</f>
        <v>0</v>
      </c>
      <c r="CE261" s="1093">
        <f>IF(CC261=0,0,(CD261-CC261)/CC261*100)</f>
        <v>0</v>
      </c>
      <c r="CF261" s="2846">
        <f>IF(CF263=0,0,(CF262*CF263+CF264*CF265*6)/CF263)</f>
        <v>0</v>
      </c>
      <c r="CG261" s="2846">
        <f>IF(CG263=0,0,(CG262*CG263+CG264*CG265*6)/CG263)</f>
        <v>0</v>
      </c>
      <c r="CH261" s="1093">
        <f>IF(CF261=0,0,(CG261-CF261)/CF261*100)</f>
        <v>0</v>
      </c>
      <c r="CI261" s="2846">
        <f>IF(CI263=0,0,(CI262*CI263+CI264*CI265*6)/CI263)</f>
        <v>0</v>
      </c>
      <c r="CJ261" s="2846">
        <f>IF(CJ263=0,0,(CJ262*CJ263+CJ264*CJ265*6)/CJ263)</f>
        <v>0</v>
      </c>
      <c r="CK261" s="1093">
        <f>IF(CI261=0,0,(CJ261-CI261)/CI261*100)</f>
        <v>0</v>
      </c>
      <c r="CL261" s="2846">
        <f>IF(CL263=0,0,(CL262*CL263+CL264*CL265*6)/CL263)</f>
        <v>0</v>
      </c>
      <c r="CM261" s="2846">
        <f>IF(CM263=0,0,(CM262*CM263+CM264*CM265*6)/CM263)</f>
        <v>0</v>
      </c>
      <c r="CN261" s="1093">
        <f>IF(CL261=0,0,(CM261-CL261)/CL261*100)</f>
        <v>0</v>
      </c>
      <c r="CO261" s="2846">
        <f>IF(CO263=0,0,(CO262*CO263+CO264*CO265*6)/CO263)</f>
        <v>0</v>
      </c>
      <c r="CP261" s="2846">
        <f>IF(CP263=0,0,(CP262*CP263+CP264*CP265*6)/CP263)</f>
        <v>0</v>
      </c>
      <c r="CQ261" s="1093">
        <f>IF(CO261=0,0,(CP261-CO261)/CO261*100)</f>
        <v>0</v>
      </c>
      <c r="CR261" s="2846">
        <f>IF(CR263=0,0,(CR262*CR263+CR264*CR265*6)/CR263)</f>
        <v>0</v>
      </c>
      <c r="CS261" s="2846">
        <f>IF(CS263=0,0,(CS262*CS263+CS264*CS265*6)/CS263)</f>
        <v>0</v>
      </c>
      <c r="CT261" s="1093">
        <f>IF(CR261=0,0,(CS261-CR261)/CR261*100)</f>
        <v>0</v>
      </c>
      <c r="CU261" s="2846">
        <f>IF(CU263=0,0,(CU262*CU263+CU264*CU265*6)/CU263)</f>
        <v>0</v>
      </c>
      <c r="CV261" s="2846">
        <f>IF(CV263=0,0,(CV262*CV263+CV264*CV265*6)/CV263)</f>
        <v>0</v>
      </c>
      <c r="CW261" s="1093">
        <f>IF(CU261=0,0,(CV261-CU261)/CU261*100)</f>
        <v>0</v>
      </c>
      <c r="CX261" s="2846">
        <f>IF(CX263=0,0,(CX262*CX263+CX264*CX265*6)/CX263)</f>
        <v>0</v>
      </c>
      <c r="CY261" s="2846">
        <f>IF(CY263=0,0,(CY262*CY263+CY264*CY265*6)/CY263)</f>
        <v>0</v>
      </c>
      <c r="CZ261" s="1093">
        <f>IF(CX261=0,0,(CY261-CX261)/CX261*100)</f>
        <v>0</v>
      </c>
      <c r="DA261" s="2846">
        <f>IF(DA263=0,0,(DA262*DA263+DA264*DA265*6)/DA263)</f>
        <v>0</v>
      </c>
      <c r="DB261" s="2846">
        <f>IF(DB263=0,0,(DB262*DB263+DB264*DB265*6)/DB263)</f>
        <v>0</v>
      </c>
      <c r="DC261" s="1093">
        <f>IF(DA261=0,0,(DB261-DA261)/DA261*100)</f>
        <v>0</v>
      </c>
      <c r="DD261" s="2846">
        <f>IF(DD263=0,0,(DD262*DD263+DD264*DD265*6)/DD263)</f>
        <v>0</v>
      </c>
      <c r="DE261" s="2846">
        <f>IF(DE263=0,0,(DE262*DE263+DE264*DE265*6)/DE263)</f>
        <v>0</v>
      </c>
      <c r="DF261" s="1093">
        <f>IF(DD261=0,0,(DE261-DD261)/DD261*100)</f>
        <v>0</v>
      </c>
      <c r="DG261" s="2846">
        <f>IF(DG263=0,0,(DG262*DG263+DG264*DG265*6)/DG263)</f>
        <v>0</v>
      </c>
      <c r="DH261" s="2846">
        <f>IF(DH263=0,0,(DH262*DH263+DH264*DH265*6)/DH263)</f>
        <v>0</v>
      </c>
      <c r="DI261" s="1093">
        <f>IF(DG261=0,0,(DH261-DG261)/DG261*100)</f>
        <v>0</v>
      </c>
      <c r="DJ261" s="2846">
        <f>IF(DJ263=0,0,(DJ262*DJ263+DJ264*DJ265*6)/DJ263)</f>
        <v>0</v>
      </c>
      <c r="DK261" s="2846">
        <f>IF(DK263=0,0,(DK262*DK263+DK264*DK265*6)/DK263)</f>
        <v>0</v>
      </c>
      <c r="DL261" s="1093">
        <f>IF(DJ261=0,0,(DK261-DJ261)/DJ261*100)</f>
        <v>0</v>
      </c>
      <c r="DM261" s="2846">
        <f>IF(DM263=0,0,(DM262*DM263+DM264*DM265*6)/DM263)</f>
        <v>0</v>
      </c>
      <c r="DN261" s="2846">
        <f>IF(DN263=0,0,(DN262*DN263+DN264*DN265*6)/DN263)</f>
        <v>0</v>
      </c>
      <c r="DO261" s="1093">
        <f>IF(DM261=0,0,(DN261-DM261)/DM261*100)</f>
        <v>0</v>
      </c>
      <c r="DP261" s="2846">
        <f>IF(DP263=0,0,(DP262*DP263+DP264*DP265*6)/DP263)</f>
        <v>0</v>
      </c>
      <c r="DQ261" s="2846">
        <f>IF(DQ263=0,0,(DQ262*DQ263+DQ264*DQ265*6)/DQ263)</f>
        <v>0</v>
      </c>
      <c r="DR261" s="1093">
        <f>IF(DP261=0,0,(DQ261-DP261)/DP261*100)</f>
        <v>0</v>
      </c>
      <c r="DS261" s="2846">
        <f>IF(DS263=0,0,(DS262*DS263+DS264*DS265*6)/DS263)</f>
        <v>0</v>
      </c>
      <c r="DT261" s="2846">
        <f>IF(DT263=0,0,(DT262*DT263+DT264*DT265*6)/DT263)</f>
        <v>0</v>
      </c>
      <c r="DU261" s="1093">
        <f>IF(DS261=0,0,(DT261-DS261)/DS261*100)</f>
        <v>0</v>
      </c>
      <c r="DV261" s="2846">
        <f>IF(DV263=0,0,(DV262*DV263+DV264*DV265*6)/DV263)</f>
        <v>0</v>
      </c>
      <c r="DW261" s="2846">
        <f>IF(DW263=0,0,(DW262*DW263+DW264*DW265*6)/DW263)</f>
        <v>0</v>
      </c>
      <c r="DX261" s="1093">
        <f>IF(DV261=0,0,(DW261-DV261)/DV261*100)</f>
        <v>0</v>
      </c>
      <c r="DY261" s="2846">
        <f>IF(DY263=0,0,(DY262*DY263+DY264*DY265*6)/DY263)</f>
        <v>0</v>
      </c>
      <c r="DZ261" s="2846">
        <f>IF(DZ263=0,0,(DZ262*DZ263+DZ264*DZ265*6)/DZ263)</f>
        <v>0</v>
      </c>
      <c r="EA261" s="1093">
        <f>IF(DY261=0,0,(DZ261-DY261)/DY261*100)</f>
        <v>0</v>
      </c>
      <c r="EB261" s="2846">
        <f>IF(EB263=0,0,(EB262*EB263+EB264*EB265*6)/EB263)</f>
        <v>0</v>
      </c>
      <c r="EC261" s="2846">
        <f>IF(EC263=0,0,(EC262*EC263+EC264*EC265*6)/EC263)</f>
        <v>0</v>
      </c>
      <c r="ED261" s="1093">
        <f>IF(EB261=0,0,(EC261-EB261)/EB261*100)</f>
        <v>0</v>
      </c>
      <c r="EE261" s="2846">
        <f>IF(EE263=0,0,(EE262*EE263+EE264*EE265*6)/EE263)</f>
        <v>0</v>
      </c>
      <c r="EF261" s="2846">
        <f>IF(EF263=0,0,(EF262*EF263+EF264*EF265*6)/EF263)</f>
        <v>0</v>
      </c>
      <c r="EG261" s="1093">
        <f>IF(EE261=0,0,(EF261-EE261)/EE261*100)</f>
        <v>0</v>
      </c>
      <c r="EH261" s="2846">
        <f>IF(EH263=0,0,(EH262*EH263+EH264*EH265*6)/EH263)</f>
        <v>0</v>
      </c>
      <c r="EI261" s="2846">
        <f>IF(EI263=0,0,(EI262*EI263+EI264*EI265*6)/EI263)</f>
        <v>0</v>
      </c>
      <c r="EJ261" s="1093">
        <f>IF(EH261=0,0,(EI261-EH261)/EH261*100)</f>
        <v>0</v>
      </c>
      <c r="EK261" s="2846">
        <f>IF(EK263=0,0,(EK262*EK263+EK264*EK265*6)/EK263)</f>
        <v>0</v>
      </c>
      <c r="EL261" s="2846">
        <f>IF(EL263=0,0,(EL262*EL263+EL264*EL265*6)/EL263)</f>
        <v>0</v>
      </c>
      <c r="EM261" s="1093">
        <f>IF(EK261=0,0,(EL261-EK261)/EK261*100)</f>
        <v>0</v>
      </c>
      <c r="EN261" s="2846">
        <f>IF(EN263=0,0,(EN262*EN263+EN264*EN265*6)/EN263)</f>
        <v>0</v>
      </c>
      <c r="EO261" s="2846">
        <f>IF(EO263=0,0,(EO262*EO263+EO264*EO265*6)/EO263)</f>
        <v>0</v>
      </c>
      <c r="EP261" s="1093">
        <f>IF(EN261=0,0,(EO261-EN261)/EN261*100)</f>
        <v>0</v>
      </c>
      <c r="EQ261" s="2846">
        <f>IF(EQ263=0,0,(EQ262*EQ263+EQ264*EQ265*6)/EQ263)</f>
        <v>0</v>
      </c>
      <c r="ER261" s="2846">
        <f>IF(ER263=0,0,(ER262*ER263+ER264*ER265*6)/ER263)</f>
        <v>0</v>
      </c>
      <c r="ES261" s="1093">
        <f>IF(EQ261=0,0,(ER261-EQ261)/EQ261*100)</f>
        <v>0</v>
      </c>
      <c r="ET261" s="2846">
        <f>IF(ET263=0,0,(ET262*ET263+ET264*ET265*6)/ET263)</f>
        <v>0</v>
      </c>
      <c r="EU261" s="2846">
        <f>IF(EU263=0,0,(EU262*EU263+EU264*EU265*6)/EU263)</f>
        <v>0</v>
      </c>
      <c r="EV261" s="1093">
        <f>IF(ET261=0,0,(EU261-ET261)/ET261*100)</f>
        <v>0</v>
      </c>
      <c r="EW261" s="2846">
        <f>IF(EW263=0,0,(EW262*EW263+EW264*EW265*6)/EW263)</f>
        <v>0</v>
      </c>
      <c r="EX261" s="2846">
        <f>IF(EX263=0,0,(EX262*EX263+EX264*EX265*6)/EX263)</f>
        <v>0</v>
      </c>
      <c r="EY261" s="1093">
        <f>IF(EW261=0,0,(EX261-EW261)/EW261*100)</f>
        <v>0</v>
      </c>
      <c r="EZ261" s="2846">
        <f>IF(EZ263=0,0,(EZ262*EZ263+EZ264*EZ265*6)/EZ263)</f>
        <v>0</v>
      </c>
      <c r="FA261" s="2846">
        <f>IF(FA263=0,0,(FA262*FA263+FA264*FA265*6)/FA263)</f>
        <v>0</v>
      </c>
      <c r="FB261" s="1093">
        <f>IF(EZ261=0,0,(FA261-EZ261)/EZ261*100)</f>
        <v>0</v>
      </c>
      <c r="FC261" s="2846">
        <f>IF(FC263=0,0,(FC262*FC263+FC264*FC265*6)/FC263)</f>
        <v>0</v>
      </c>
      <c r="FD261" s="2846">
        <f>IF(FD263=0,0,(FD262*FD263+FD264*FD265*6)/FD263)</f>
        <v>0</v>
      </c>
      <c r="FE261" s="1093">
        <f>IF(FC261=0,0,(FD261-FC261)/FC261*100)</f>
        <v>0</v>
      </c>
      <c r="FF261" s="2846">
        <f>IF(FF263=0,0,(FF262*FF263+FF264*FF265*6)/FF263)</f>
        <v>0</v>
      </c>
      <c r="FG261" s="2846">
        <f>IF(FG263=0,0,(FG262*FG263+FG264*FG265*6)/FG263)</f>
        <v>0</v>
      </c>
      <c r="FH261" s="1093">
        <f>IF(FF261=0,0,(FG261-FF261)/FF261*100)</f>
        <v>0</v>
      </c>
      <c r="FI261" s="2846">
        <f>IF(FI263=0,0,(FI262*FI263+FI264*FI265*6)/FI263)</f>
        <v>0</v>
      </c>
      <c r="FJ261" s="2846">
        <f>IF(FJ263=0,0,(FJ262*FJ263+FJ264*FJ265*6)/FJ263)</f>
        <v>0</v>
      </c>
      <c r="FK261" s="1093">
        <f>IF(FI261=0,0,(FJ261-FI261)/FI261*100)</f>
        <v>0</v>
      </c>
      <c r="FL261" s="2846">
        <f>IF(FL263=0,0,(FL262*FL263+FL264*FL265*6)/FL263)</f>
        <v>0</v>
      </c>
      <c r="FM261" s="2846">
        <f>IF(FM263=0,0,(FM262*FM263+FM264*FM265*6)/FM263)</f>
        <v>0</v>
      </c>
      <c r="FN261" s="1093">
        <f>IF(FL261=0,0,(FM261-FL261)/FL261*100)</f>
        <v>0</v>
      </c>
      <c r="FO261" s="2846">
        <f>IF(FO263=0,0,(FO262*FO263+FO264*FO265*6)/FO263)</f>
        <v>0</v>
      </c>
      <c r="FP261" s="2846">
        <f>IF(FP263=0,0,(FP262*FP263+FP264*FP265*6)/FP263)</f>
        <v>0</v>
      </c>
      <c r="FQ261" s="1093">
        <f>IF(FO261=0,0,(FP261-FO261)/FO261*100)</f>
        <v>0</v>
      </c>
      <c r="FR261" s="2846">
        <f>IF(FR263=0,0,(FR262*FR263+FR264*FR265*6)/FR263)</f>
        <v>0</v>
      </c>
      <c r="FS261" s="2846">
        <f>IF(FS263=0,0,(FS262*FS263+FS264*FS265*6)/FS263)</f>
        <v>0</v>
      </c>
      <c r="FT261" s="1093">
        <f>IF(FR261=0,0,(FS261-FR261)/FR261*100)</f>
        <v>0</v>
      </c>
      <c r="FU261" s="2846">
        <f>IF(FU263=0,0,(FU262*FU263+FU264*FU265*6)/FU263)</f>
        <v>0</v>
      </c>
      <c r="FV261" s="2846">
        <f>IF(FV263=0,0,(FV262*FV263+FV264*FV265*6)/FV263)</f>
        <v>0</v>
      </c>
      <c r="FW261" s="1093">
        <f>IF(FU261=0,0,(FV261-FU261)/FU261*100)</f>
        <v>0</v>
      </c>
      <c r="FX261" s="1304"/>
      <c r="FY261" s="1304"/>
      <c r="FZ261" s="1055" t="s">
        <v>2404</v>
      </c>
      <c r="GA261" s="1015" t="s">
        <v>1594</v>
      </c>
      <c r="GB261" s="1057" cm="1" t="str">
        <f t="array" ref="GB261:GB261">AB260</f>
        <v>0</v>
      </c>
      <c r="GC261" s="1305"/>
      <c r="GD261" s="1305"/>
    </row>
    <row s="1834" customFormat="1" customHeight="1" ht="14.25" hidden="1">
      <c r="A262" s="493"/>
      <c r="B262" s="925" cm="1" t="str">
        <f t="array" ref="B262:B262">B261</f>
        <v>false</v>
      </c>
      <c r="C262" s="493"/>
      <c r="D262" s="493"/>
      <c r="E262" s="840">
        <v>15</v>
      </c>
      <c r="F262" s="50" cm="1" t="str">
        <f t="array" ref="F262:F262">OFFSET(E262,-1,1)</f>
        <v>3</v>
      </c>
      <c r="G262" s="493"/>
      <c r="H262" s="493" t="s">
        <v>2299</v>
      </c>
      <c r="I262" s="493" cm="1" t="str">
        <f t="array" ref="I262:I262">I261</f>
        <v>0</v>
      </c>
      <c r="J262" s="493"/>
      <c r="K262" s="493"/>
      <c r="L262" s="493"/>
      <c r="M262" s="493"/>
      <c r="N262" s="493"/>
      <c r="O262" s="493"/>
      <c r="P262" s="493"/>
      <c r="Q262" s="493"/>
      <c r="R262" s="493"/>
      <c r="S262" s="493"/>
      <c r="T262" s="465" cm="1" t="str">
        <f t="array" ref="T262:T262">T261</f>
        <v>false</v>
      </c>
      <c r="U262" s="493"/>
      <c r="V262" s="493"/>
      <c r="W262" s="493"/>
      <c r="X262" s="1596"/>
      <c r="Y262" s="1596"/>
      <c r="Z262" s="1545"/>
      <c r="AA262" s="1494"/>
      <c r="AB262" s="904" t="str">
        <f>"ставка платы за "&amp;IF(Q218="Водоснабжение","потребление 1 куб.м холодной воды","объем принятых сточных вод")</f>
        <v>ставка платы за объем принятых сточных вод</v>
      </c>
      <c r="AC262" s="864" t="s">
        <v>2337</v>
      </c>
      <c r="AD262" s="2846"/>
      <c r="AE262" s="2846"/>
      <c r="AF262" s="1093">
        <f>IF(AD262=0,0,(AE262-AD262)/AD262*100)</f>
        <v>0</v>
      </c>
      <c r="AG262" s="2846"/>
      <c r="AH262" s="2846"/>
      <c r="AI262" s="1093">
        <f>IF(AG262=0,0,(AH262-AG262)/AG262*100)</f>
        <v>0</v>
      </c>
      <c r="AJ262" s="2846"/>
      <c r="AK262" s="2846"/>
      <c r="AL262" s="1093">
        <f>IF(AJ262=0,0,(AK262-AJ262)/AJ262*100)</f>
        <v>0</v>
      </c>
      <c r="AM262" s="2846"/>
      <c r="AN262" s="2846"/>
      <c r="AO262" s="1093">
        <f>IF(AM262=0,0,(AN262-AM262)/AM262*100)</f>
        <v>0</v>
      </c>
      <c r="AP262" s="2846"/>
      <c r="AQ262" s="2846"/>
      <c r="AR262" s="1093">
        <f>IF(AP262=0,0,(AQ262-AP262)/AP262*100)</f>
        <v>0</v>
      </c>
      <c r="AS262" s="2846"/>
      <c r="AT262" s="2846"/>
      <c r="AU262" s="1093">
        <f>IF(AS262=0,0,(AT262-AS262)/AS262*100)</f>
        <v>0</v>
      </c>
      <c r="AV262" s="2846"/>
      <c r="AW262" s="2846"/>
      <c r="AX262" s="1093">
        <f>IF(AV262=0,0,(AW262-AV262)/AV262*100)</f>
        <v>0</v>
      </c>
      <c r="AY262" s="2846"/>
      <c r="AZ262" s="2846"/>
      <c r="BA262" s="1093">
        <f>IF(AY262=0,0,(AZ262-AY262)/AY262*100)</f>
        <v>0</v>
      </c>
      <c r="BB262" s="2846"/>
      <c r="BC262" s="2846"/>
      <c r="BD262" s="1093">
        <f>IF(BB262=0,0,(BC262-BB262)/BB262*100)</f>
        <v>0</v>
      </c>
      <c r="BE262" s="2846"/>
      <c r="BF262" s="2846"/>
      <c r="BG262" s="1093">
        <f>IF(BE262=0,0,(BF262-BE262)/BE262*100)</f>
        <v>0</v>
      </c>
      <c r="BH262" s="2846"/>
      <c r="BI262" s="2846"/>
      <c r="BJ262" s="1093">
        <f>IF(BH262=0,0,(BI262-BH262)/BH262*100)</f>
        <v>0</v>
      </c>
      <c r="BK262" s="2846"/>
      <c r="BL262" s="2846"/>
      <c r="BM262" s="1093">
        <f>IF(BK262=0,0,(BL262-BK262)/BK262*100)</f>
        <v>0</v>
      </c>
      <c r="BN262" s="2846"/>
      <c r="BO262" s="2846"/>
      <c r="BP262" s="1093">
        <f>IF(BN262=0,0,(BO262-BN262)/BN262*100)</f>
        <v>0</v>
      </c>
      <c r="BQ262" s="2846"/>
      <c r="BR262" s="2846"/>
      <c r="BS262" s="1093">
        <f>IF(BQ262=0,0,(BR262-BQ262)/BQ262*100)</f>
        <v>0</v>
      </c>
      <c r="BT262" s="2846"/>
      <c r="BU262" s="2846"/>
      <c r="BV262" s="1093">
        <f>IF(BT262=0,0,(BU262-BT262)/BT262*100)</f>
        <v>0</v>
      </c>
      <c r="BW262" s="2846"/>
      <c r="BX262" s="2846"/>
      <c r="BY262" s="1093">
        <f>IF(BW262=0,0,(BX262-BW262)/BW262*100)</f>
        <v>0</v>
      </c>
      <c r="BZ262" s="2846"/>
      <c r="CA262" s="2846"/>
      <c r="CB262" s="1093">
        <f>IF(BZ262=0,0,(CA262-BZ262)/BZ262*100)</f>
        <v>0</v>
      </c>
      <c r="CC262" s="2846"/>
      <c r="CD262" s="2846"/>
      <c r="CE262" s="1093">
        <f>IF(CC262=0,0,(CD262-CC262)/CC262*100)</f>
        <v>0</v>
      </c>
      <c r="CF262" s="2846"/>
      <c r="CG262" s="2846"/>
      <c r="CH262" s="1093">
        <f>IF(CF262=0,0,(CG262-CF262)/CF262*100)</f>
        <v>0</v>
      </c>
      <c r="CI262" s="2846"/>
      <c r="CJ262" s="2846"/>
      <c r="CK262" s="1093">
        <f>IF(CI262=0,0,(CJ262-CI262)/CI262*100)</f>
        <v>0</v>
      </c>
      <c r="CL262" s="2846"/>
      <c r="CM262" s="2846"/>
      <c r="CN262" s="1093">
        <f>IF(CL262=0,0,(CM262-CL262)/CL262*100)</f>
        <v>0</v>
      </c>
      <c r="CO262" s="2846"/>
      <c r="CP262" s="2846"/>
      <c r="CQ262" s="1093">
        <f>IF(CO262=0,0,(CP262-CO262)/CO262*100)</f>
        <v>0</v>
      </c>
      <c r="CR262" s="2846"/>
      <c r="CS262" s="2846"/>
      <c r="CT262" s="1093">
        <f>IF(CR262=0,0,(CS262-CR262)/CR262*100)</f>
        <v>0</v>
      </c>
      <c r="CU262" s="2846"/>
      <c r="CV262" s="2846"/>
      <c r="CW262" s="1093">
        <f>IF(CU262=0,0,(CV262-CU262)/CU262*100)</f>
        <v>0</v>
      </c>
      <c r="CX262" s="2846"/>
      <c r="CY262" s="2846"/>
      <c r="CZ262" s="1093">
        <f>IF(CX262=0,0,(CY262-CX262)/CX262*100)</f>
        <v>0</v>
      </c>
      <c r="DA262" s="2846"/>
      <c r="DB262" s="2846"/>
      <c r="DC262" s="1093">
        <f>IF(DA262=0,0,(DB262-DA262)/DA262*100)</f>
        <v>0</v>
      </c>
      <c r="DD262" s="2846"/>
      <c r="DE262" s="2846"/>
      <c r="DF262" s="1093">
        <f>IF(DD262=0,0,(DE262-DD262)/DD262*100)</f>
        <v>0</v>
      </c>
      <c r="DG262" s="2846"/>
      <c r="DH262" s="2846"/>
      <c r="DI262" s="1093">
        <f>IF(DG262=0,0,(DH262-DG262)/DG262*100)</f>
        <v>0</v>
      </c>
      <c r="DJ262" s="2846"/>
      <c r="DK262" s="2846"/>
      <c r="DL262" s="1093">
        <f>IF(DJ262=0,0,(DK262-DJ262)/DJ262*100)</f>
        <v>0</v>
      </c>
      <c r="DM262" s="2846"/>
      <c r="DN262" s="2846"/>
      <c r="DO262" s="1093">
        <f>IF(DM262=0,0,(DN262-DM262)/DM262*100)</f>
        <v>0</v>
      </c>
      <c r="DP262" s="2846"/>
      <c r="DQ262" s="2846"/>
      <c r="DR262" s="1093">
        <f>IF(DP262=0,0,(DQ262-DP262)/DP262*100)</f>
        <v>0</v>
      </c>
      <c r="DS262" s="2846"/>
      <c r="DT262" s="2846"/>
      <c r="DU262" s="1093">
        <f>IF(DS262=0,0,(DT262-DS262)/DS262*100)</f>
        <v>0</v>
      </c>
      <c r="DV262" s="2846"/>
      <c r="DW262" s="2846"/>
      <c r="DX262" s="1093">
        <f>IF(DV262=0,0,(DW262-DV262)/DV262*100)</f>
        <v>0</v>
      </c>
      <c r="DY262" s="2846"/>
      <c r="DZ262" s="2846"/>
      <c r="EA262" s="1093">
        <f>IF(DY262=0,0,(DZ262-DY262)/DY262*100)</f>
        <v>0</v>
      </c>
      <c r="EB262" s="2846"/>
      <c r="EC262" s="2846"/>
      <c r="ED262" s="1093">
        <f>IF(EB262=0,0,(EC262-EB262)/EB262*100)</f>
        <v>0</v>
      </c>
      <c r="EE262" s="2846"/>
      <c r="EF262" s="2846"/>
      <c r="EG262" s="1093">
        <f>IF(EE262=0,0,(EF262-EE262)/EE262*100)</f>
        <v>0</v>
      </c>
      <c r="EH262" s="2846"/>
      <c r="EI262" s="2846"/>
      <c r="EJ262" s="1093">
        <f>IF(EH262=0,0,(EI262-EH262)/EH262*100)</f>
        <v>0</v>
      </c>
      <c r="EK262" s="2846"/>
      <c r="EL262" s="2846"/>
      <c r="EM262" s="1093">
        <f>IF(EK262=0,0,(EL262-EK262)/EK262*100)</f>
        <v>0</v>
      </c>
      <c r="EN262" s="2846"/>
      <c r="EO262" s="2846"/>
      <c r="EP262" s="1093">
        <f>IF(EN262=0,0,(EO262-EN262)/EN262*100)</f>
        <v>0</v>
      </c>
      <c r="EQ262" s="2846"/>
      <c r="ER262" s="2846"/>
      <c r="ES262" s="1093">
        <f>IF(EQ262=0,0,(ER262-EQ262)/EQ262*100)</f>
        <v>0</v>
      </c>
      <c r="ET262" s="2846"/>
      <c r="EU262" s="2846"/>
      <c r="EV262" s="1093">
        <f>IF(ET262=0,0,(EU262-ET262)/ET262*100)</f>
        <v>0</v>
      </c>
      <c r="EW262" s="2846"/>
      <c r="EX262" s="2846"/>
      <c r="EY262" s="1093">
        <f>IF(EW262=0,0,(EX262-EW262)/EW262*100)</f>
        <v>0</v>
      </c>
      <c r="EZ262" s="2846"/>
      <c r="FA262" s="2846"/>
      <c r="FB262" s="1093">
        <f>IF(EZ262=0,0,(FA262-EZ262)/EZ262*100)</f>
        <v>0</v>
      </c>
      <c r="FC262" s="2846"/>
      <c r="FD262" s="2846"/>
      <c r="FE262" s="1093">
        <f>IF(FC262=0,0,(FD262-FC262)/FC262*100)</f>
        <v>0</v>
      </c>
      <c r="FF262" s="2846"/>
      <c r="FG262" s="2846"/>
      <c r="FH262" s="1093">
        <f>IF(FF262=0,0,(FG262-FF262)/FF262*100)</f>
        <v>0</v>
      </c>
      <c r="FI262" s="2846"/>
      <c r="FJ262" s="2846"/>
      <c r="FK262" s="1093">
        <f>IF(FI262=0,0,(FJ262-FI262)/FI262*100)</f>
        <v>0</v>
      </c>
      <c r="FL262" s="2846"/>
      <c r="FM262" s="2846"/>
      <c r="FN262" s="1093">
        <f>IF(FL262=0,0,(FM262-FL262)/FL262*100)</f>
        <v>0</v>
      </c>
      <c r="FO262" s="2846"/>
      <c r="FP262" s="2846"/>
      <c r="FQ262" s="1093">
        <f>IF(FO262=0,0,(FP262-FO262)/FO262*100)</f>
        <v>0</v>
      </c>
      <c r="FR262" s="2846"/>
      <c r="FS262" s="2846"/>
      <c r="FT262" s="1093">
        <f>IF(FR262=0,0,(FS262-FR262)/FR262*100)</f>
        <v>0</v>
      </c>
      <c r="FU262" s="2846"/>
      <c r="FV262" s="2846"/>
      <c r="FW262" s="1093">
        <f>IF(FU262=0,0,(FV262-FU262)/FU262*100)</f>
        <v>0</v>
      </c>
      <c r="FX262" s="1304"/>
      <c r="FY262" s="1304"/>
      <c r="FZ262" s="1055" t="s">
        <v>2405</v>
      </c>
      <c r="GA262" s="1015" t="s">
        <v>1594</v>
      </c>
      <c r="GB262" s="1015" cm="1" t="str">
        <f t="array" ref="GB262:GB262">GB261</f>
        <v>0</v>
      </c>
      <c r="GC262" s="1305"/>
      <c r="GD262" s="1305"/>
    </row>
    <row s="1834" customFormat="1" customHeight="1" ht="14.25" hidden="1">
      <c r="A263" s="493"/>
      <c r="B263" s="925" cm="1" t="str">
        <f t="array" ref="B263:B263">B262</f>
        <v>false</v>
      </c>
      <c r="C263" s="493"/>
      <c r="D263" s="493"/>
      <c r="E263" s="840">
        <v>15</v>
      </c>
      <c r="F263" s="50" cm="1" t="str">
        <f t="array" ref="F263:F263">OFFSET(E263,-1,1)</f>
        <v>3</v>
      </c>
      <c r="G263" s="493"/>
      <c r="H263" s="493" t="s">
        <v>2374</v>
      </c>
      <c r="I263" s="493" cm="1" t="str">
        <f t="array" ref="I263:I263">I262</f>
        <v>0</v>
      </c>
      <c r="J263" s="493"/>
      <c r="K263" s="493"/>
      <c r="L263" s="493"/>
      <c r="M263" s="493"/>
      <c r="N263" s="493"/>
      <c r="O263" s="493"/>
      <c r="P263" s="493"/>
      <c r="Q263" s="493"/>
      <c r="R263" s="493"/>
      <c r="S263" s="493"/>
      <c r="T263" s="465" cm="1" t="str">
        <f t="array" ref="T263:T263">T262</f>
        <v>false</v>
      </c>
      <c r="U263" s="493"/>
      <c r="V263" s="493"/>
      <c r="W263" s="493"/>
      <c r="X263" s="1596"/>
      <c r="Y263" s="1596"/>
      <c r="Z263" s="1545"/>
      <c r="AA263" s="1494"/>
      <c r="AB263" s="904" t="str">
        <f>"объём "&amp;IF(Q218="Водоснабжение","потребления холодной воды","водоотведения")</f>
        <v>объём водоотведения</v>
      </c>
      <c r="AC263" s="864" t="s">
        <v>1247</v>
      </c>
      <c r="AD263" s="5247"/>
      <c r="AE263" s="5247"/>
      <c r="AF263" s="1095">
        <f>IF(AD263=0,0,(AE263-AD263)/AD263*100)</f>
        <v>0</v>
      </c>
      <c r="AG263" s="5247"/>
      <c r="AH263" s="5247"/>
      <c r="AI263" s="1095">
        <f>IF(AG263=0,0,(AH263-AG263)/AG263*100)</f>
        <v>0</v>
      </c>
      <c r="AJ263" s="5247"/>
      <c r="AK263" s="5247"/>
      <c r="AL263" s="1095">
        <f>IF(AJ263=0,0,(AK263-AJ263)/AJ263*100)</f>
        <v>0</v>
      </c>
      <c r="AM263" s="5247"/>
      <c r="AN263" s="5247"/>
      <c r="AO263" s="1095">
        <f>IF(AM263=0,0,(AN263-AM263)/AM263*100)</f>
        <v>0</v>
      </c>
      <c r="AP263" s="5247"/>
      <c r="AQ263" s="5247"/>
      <c r="AR263" s="1095">
        <f>IF(AP263=0,0,(AQ263-AP263)/AP263*100)</f>
        <v>0</v>
      </c>
      <c r="AS263" s="5247"/>
      <c r="AT263" s="5247"/>
      <c r="AU263" s="1095">
        <f>IF(AS263=0,0,(AT263-AS263)/AS263*100)</f>
        <v>0</v>
      </c>
      <c r="AV263" s="5247"/>
      <c r="AW263" s="5247"/>
      <c r="AX263" s="1095">
        <f>IF(AV263=0,0,(AW263-AV263)/AV263*100)</f>
        <v>0</v>
      </c>
      <c r="AY263" s="5247"/>
      <c r="AZ263" s="5247"/>
      <c r="BA263" s="1095">
        <f>IF(AY263=0,0,(AZ263-AY263)/AY263*100)</f>
        <v>0</v>
      </c>
      <c r="BB263" s="5247"/>
      <c r="BC263" s="5247"/>
      <c r="BD263" s="1095">
        <f>IF(BB263=0,0,(BC263-BB263)/BB263*100)</f>
        <v>0</v>
      </c>
      <c r="BE263" s="5247"/>
      <c r="BF263" s="5247"/>
      <c r="BG263" s="1095">
        <f>IF(BE263=0,0,(BF263-BE263)/BE263*100)</f>
        <v>0</v>
      </c>
      <c r="BH263" s="5247"/>
      <c r="BI263" s="5247"/>
      <c r="BJ263" s="1095">
        <f>IF(BH263=0,0,(BI263-BH263)/BH263*100)</f>
        <v>0</v>
      </c>
      <c r="BK263" s="5247"/>
      <c r="BL263" s="5247"/>
      <c r="BM263" s="1095">
        <f>IF(BK263=0,0,(BL263-BK263)/BK263*100)</f>
        <v>0</v>
      </c>
      <c r="BN263" s="5247"/>
      <c r="BO263" s="5247"/>
      <c r="BP263" s="1095">
        <f>IF(BN263=0,0,(BO263-BN263)/BN263*100)</f>
        <v>0</v>
      </c>
      <c r="BQ263" s="5247"/>
      <c r="BR263" s="5247"/>
      <c r="BS263" s="1095">
        <f>IF(BQ263=0,0,(BR263-BQ263)/BQ263*100)</f>
        <v>0</v>
      </c>
      <c r="BT263" s="5247"/>
      <c r="BU263" s="5247"/>
      <c r="BV263" s="1095">
        <f>IF(BT263=0,0,(BU263-BT263)/BT263*100)</f>
        <v>0</v>
      </c>
      <c r="BW263" s="5247"/>
      <c r="BX263" s="5247"/>
      <c r="BY263" s="1095">
        <f>IF(BW263=0,0,(BX263-BW263)/BW263*100)</f>
        <v>0</v>
      </c>
      <c r="BZ263" s="5247"/>
      <c r="CA263" s="5247"/>
      <c r="CB263" s="1095">
        <f>IF(BZ263=0,0,(CA263-BZ263)/BZ263*100)</f>
        <v>0</v>
      </c>
      <c r="CC263" s="5247"/>
      <c r="CD263" s="5247"/>
      <c r="CE263" s="1095">
        <f>IF(CC263=0,0,(CD263-CC263)/CC263*100)</f>
        <v>0</v>
      </c>
      <c r="CF263" s="5247"/>
      <c r="CG263" s="5247"/>
      <c r="CH263" s="1095">
        <f>IF(CF263=0,0,(CG263-CF263)/CF263*100)</f>
        <v>0</v>
      </c>
      <c r="CI263" s="5247"/>
      <c r="CJ263" s="5247"/>
      <c r="CK263" s="1095">
        <f>IF(CI263=0,0,(CJ263-CI263)/CI263*100)</f>
        <v>0</v>
      </c>
      <c r="CL263" s="5247"/>
      <c r="CM263" s="5247"/>
      <c r="CN263" s="1095">
        <f>IF(CL263=0,0,(CM263-CL263)/CL263*100)</f>
        <v>0</v>
      </c>
      <c r="CO263" s="5247"/>
      <c r="CP263" s="5247"/>
      <c r="CQ263" s="1095">
        <f>IF(CO263=0,0,(CP263-CO263)/CO263*100)</f>
        <v>0</v>
      </c>
      <c r="CR263" s="5247"/>
      <c r="CS263" s="5247"/>
      <c r="CT263" s="1095">
        <f>IF(CR263=0,0,(CS263-CR263)/CR263*100)</f>
        <v>0</v>
      </c>
      <c r="CU263" s="5247"/>
      <c r="CV263" s="5247"/>
      <c r="CW263" s="1095">
        <f>IF(CU263=0,0,(CV263-CU263)/CU263*100)</f>
        <v>0</v>
      </c>
      <c r="CX263" s="5247"/>
      <c r="CY263" s="5247"/>
      <c r="CZ263" s="1095">
        <f>IF(CX263=0,0,(CY263-CX263)/CX263*100)</f>
        <v>0</v>
      </c>
      <c r="DA263" s="5247"/>
      <c r="DB263" s="5247"/>
      <c r="DC263" s="1095">
        <f>IF(DA263=0,0,(DB263-DA263)/DA263*100)</f>
        <v>0</v>
      </c>
      <c r="DD263" s="5247"/>
      <c r="DE263" s="5247"/>
      <c r="DF263" s="1095">
        <f>IF(DD263=0,0,(DE263-DD263)/DD263*100)</f>
        <v>0</v>
      </c>
      <c r="DG263" s="5247"/>
      <c r="DH263" s="5247"/>
      <c r="DI263" s="1095">
        <f>IF(DG263=0,0,(DH263-DG263)/DG263*100)</f>
        <v>0</v>
      </c>
      <c r="DJ263" s="5247"/>
      <c r="DK263" s="5247"/>
      <c r="DL263" s="1095">
        <f>IF(DJ263=0,0,(DK263-DJ263)/DJ263*100)</f>
        <v>0</v>
      </c>
      <c r="DM263" s="5247"/>
      <c r="DN263" s="5247"/>
      <c r="DO263" s="1095">
        <f>IF(DM263=0,0,(DN263-DM263)/DM263*100)</f>
        <v>0</v>
      </c>
      <c r="DP263" s="5247"/>
      <c r="DQ263" s="5247"/>
      <c r="DR263" s="1095">
        <f>IF(DP263=0,0,(DQ263-DP263)/DP263*100)</f>
        <v>0</v>
      </c>
      <c r="DS263" s="5247"/>
      <c r="DT263" s="5247"/>
      <c r="DU263" s="1095">
        <f>IF(DS263=0,0,(DT263-DS263)/DS263*100)</f>
        <v>0</v>
      </c>
      <c r="DV263" s="5247"/>
      <c r="DW263" s="5247"/>
      <c r="DX263" s="1095">
        <f>IF(DV263=0,0,(DW263-DV263)/DV263*100)</f>
        <v>0</v>
      </c>
      <c r="DY263" s="5247"/>
      <c r="DZ263" s="5247"/>
      <c r="EA263" s="1095">
        <f>IF(DY263=0,0,(DZ263-DY263)/DY263*100)</f>
        <v>0</v>
      </c>
      <c r="EB263" s="5247"/>
      <c r="EC263" s="5247"/>
      <c r="ED263" s="1095">
        <f>IF(EB263=0,0,(EC263-EB263)/EB263*100)</f>
        <v>0</v>
      </c>
      <c r="EE263" s="5247"/>
      <c r="EF263" s="5247"/>
      <c r="EG263" s="1095">
        <f>IF(EE263=0,0,(EF263-EE263)/EE263*100)</f>
        <v>0</v>
      </c>
      <c r="EH263" s="5247"/>
      <c r="EI263" s="5247"/>
      <c r="EJ263" s="1095">
        <f>IF(EH263=0,0,(EI263-EH263)/EH263*100)</f>
        <v>0</v>
      </c>
      <c r="EK263" s="5247"/>
      <c r="EL263" s="5247"/>
      <c r="EM263" s="1095">
        <f>IF(EK263=0,0,(EL263-EK263)/EK263*100)</f>
        <v>0</v>
      </c>
      <c r="EN263" s="5247"/>
      <c r="EO263" s="5247"/>
      <c r="EP263" s="1095">
        <f>IF(EN263=0,0,(EO263-EN263)/EN263*100)</f>
        <v>0</v>
      </c>
      <c r="EQ263" s="5247"/>
      <c r="ER263" s="5247"/>
      <c r="ES263" s="1095">
        <f>IF(EQ263=0,0,(ER263-EQ263)/EQ263*100)</f>
        <v>0</v>
      </c>
      <c r="ET263" s="5247"/>
      <c r="EU263" s="5247"/>
      <c r="EV263" s="1095">
        <f>IF(ET263=0,0,(EU263-ET263)/ET263*100)</f>
        <v>0</v>
      </c>
      <c r="EW263" s="5247"/>
      <c r="EX263" s="5247"/>
      <c r="EY263" s="1095">
        <f>IF(EW263=0,0,(EX263-EW263)/EW263*100)</f>
        <v>0</v>
      </c>
      <c r="EZ263" s="5247"/>
      <c r="FA263" s="5247"/>
      <c r="FB263" s="1095">
        <f>IF(EZ263=0,0,(FA263-EZ263)/EZ263*100)</f>
        <v>0</v>
      </c>
      <c r="FC263" s="5247"/>
      <c r="FD263" s="5247"/>
      <c r="FE263" s="1095">
        <f>IF(FC263=0,0,(FD263-FC263)/FC263*100)</f>
        <v>0</v>
      </c>
      <c r="FF263" s="5247"/>
      <c r="FG263" s="5247"/>
      <c r="FH263" s="1095">
        <f>IF(FF263=0,0,(FG263-FF263)/FF263*100)</f>
        <v>0</v>
      </c>
      <c r="FI263" s="5247"/>
      <c r="FJ263" s="5247"/>
      <c r="FK263" s="1095">
        <f>IF(FI263=0,0,(FJ263-FI263)/FI263*100)</f>
        <v>0</v>
      </c>
      <c r="FL263" s="5247"/>
      <c r="FM263" s="5247"/>
      <c r="FN263" s="1095">
        <f>IF(FL263=0,0,(FM263-FL263)/FL263*100)</f>
        <v>0</v>
      </c>
      <c r="FO263" s="5247"/>
      <c r="FP263" s="5247"/>
      <c r="FQ263" s="1095">
        <f>IF(FO263=0,0,(FP263-FO263)/FO263*100)</f>
        <v>0</v>
      </c>
      <c r="FR263" s="5247"/>
      <c r="FS263" s="5247"/>
      <c r="FT263" s="1095">
        <f>IF(FR263=0,0,(FS263-FR263)/FR263*100)</f>
        <v>0</v>
      </c>
      <c r="FU263" s="5247"/>
      <c r="FV263" s="5247"/>
      <c r="FW263" s="1095">
        <f>IF(FU263=0,0,(FV263-FU263)/FU263*100)</f>
        <v>0</v>
      </c>
      <c r="FX263" s="1304"/>
      <c r="FY263" s="1304"/>
      <c r="FZ263" s="1055" t="s">
        <v>2406</v>
      </c>
      <c r="GA263" s="1015" t="s">
        <v>1594</v>
      </c>
      <c r="GB263" s="1015" cm="1" t="str">
        <f t="array" ref="GB263:GB263">GB262</f>
        <v>0</v>
      </c>
      <c r="GC263" s="1305"/>
      <c r="GD263" s="1305"/>
    </row>
    <row s="1834" customFormat="1" customHeight="1" ht="21.75" hidden="1">
      <c r="A264" s="493"/>
      <c r="B264" s="925" cm="1" t="str">
        <f t="array" ref="B264:B264">B263</f>
        <v>false</v>
      </c>
      <c r="C264" s="493"/>
      <c r="D264" s="493"/>
      <c r="E264" s="840">
        <v>22.5</v>
      </c>
      <c r="F264" s="50" cm="1" t="str">
        <f t="array" ref="F264:F264">OFFSET(E264,-1,1)</f>
        <v>3</v>
      </c>
      <c r="G264" s="493"/>
      <c r="H264" s="493" t="s">
        <v>2376</v>
      </c>
      <c r="I264" s="493" cm="1" t="str">
        <f t="array" ref="I264:I264">I263</f>
        <v>0</v>
      </c>
      <c r="J264" s="493"/>
      <c r="K264" s="493"/>
      <c r="L264" s="493"/>
      <c r="M264" s="493"/>
      <c r="N264" s="493"/>
      <c r="O264" s="493"/>
      <c r="P264" s="493"/>
      <c r="Q264" s="493"/>
      <c r="R264" s="493"/>
      <c r="S264" s="493"/>
      <c r="T264" s="465" cm="1" t="str">
        <f t="array" ref="T264:T264">T263</f>
        <v>false</v>
      </c>
      <c r="U264" s="493"/>
      <c r="V264" s="493"/>
      <c r="W264" s="493"/>
      <c r="X264" s="1596"/>
      <c r="Y264" s="1596"/>
      <c r="Z264" s="1545"/>
      <c r="AA264" s="1494"/>
      <c r="AB264" s="904" t="str">
        <f>"ставка платы за содержание системы "&amp;IF(Q218="Водоснабжение","холодного водоснабжения","водоотведения")</f>
        <v>ставка платы за содержание системы водоотведения</v>
      </c>
      <c r="AC264" s="864" t="s">
        <v>2377</v>
      </c>
      <c r="AD264" s="2846"/>
      <c r="AE264" s="2846"/>
      <c r="AF264" s="1093">
        <f>IF(AD264=0,0,(AE264-AD264)/AD264*100)</f>
        <v>0</v>
      </c>
      <c r="AG264" s="2846"/>
      <c r="AH264" s="2846"/>
      <c r="AI264" s="1093">
        <f>IF(AG264=0,0,(AH264-AG264)/AG264*100)</f>
        <v>0</v>
      </c>
      <c r="AJ264" s="2846"/>
      <c r="AK264" s="2846"/>
      <c r="AL264" s="1093">
        <f>IF(AJ264=0,0,(AK264-AJ264)/AJ264*100)</f>
        <v>0</v>
      </c>
      <c r="AM264" s="2846"/>
      <c r="AN264" s="2846"/>
      <c r="AO264" s="1093">
        <f>IF(AM264=0,0,(AN264-AM264)/AM264*100)</f>
        <v>0</v>
      </c>
      <c r="AP264" s="2846"/>
      <c r="AQ264" s="2846"/>
      <c r="AR264" s="1093">
        <f>IF(AP264=0,0,(AQ264-AP264)/AP264*100)</f>
        <v>0</v>
      </c>
      <c r="AS264" s="2846"/>
      <c r="AT264" s="2846"/>
      <c r="AU264" s="1093">
        <f>IF(AS264=0,0,(AT264-AS264)/AS264*100)</f>
        <v>0</v>
      </c>
      <c r="AV264" s="2846"/>
      <c r="AW264" s="2846"/>
      <c r="AX264" s="1093">
        <f>IF(AV264=0,0,(AW264-AV264)/AV264*100)</f>
        <v>0</v>
      </c>
      <c r="AY264" s="2846"/>
      <c r="AZ264" s="2846"/>
      <c r="BA264" s="1093">
        <f>IF(AY264=0,0,(AZ264-AY264)/AY264*100)</f>
        <v>0</v>
      </c>
      <c r="BB264" s="2846"/>
      <c r="BC264" s="2846"/>
      <c r="BD264" s="1093">
        <f>IF(BB264=0,0,(BC264-BB264)/BB264*100)</f>
        <v>0</v>
      </c>
      <c r="BE264" s="2846"/>
      <c r="BF264" s="2846"/>
      <c r="BG264" s="1093">
        <f>IF(BE264=0,0,(BF264-BE264)/BE264*100)</f>
        <v>0</v>
      </c>
      <c r="BH264" s="2846"/>
      <c r="BI264" s="2846"/>
      <c r="BJ264" s="1093">
        <f>IF(BH264=0,0,(BI264-BH264)/BH264*100)</f>
        <v>0</v>
      </c>
      <c r="BK264" s="2846"/>
      <c r="BL264" s="2846"/>
      <c r="BM264" s="1093">
        <f>IF(BK264=0,0,(BL264-BK264)/BK264*100)</f>
        <v>0</v>
      </c>
      <c r="BN264" s="2846"/>
      <c r="BO264" s="2846"/>
      <c r="BP264" s="1093">
        <f>IF(BN264=0,0,(BO264-BN264)/BN264*100)</f>
        <v>0</v>
      </c>
      <c r="BQ264" s="2846"/>
      <c r="BR264" s="2846"/>
      <c r="BS264" s="1093">
        <f>IF(BQ264=0,0,(BR264-BQ264)/BQ264*100)</f>
        <v>0</v>
      </c>
      <c r="BT264" s="2846"/>
      <c r="BU264" s="2846"/>
      <c r="BV264" s="1093">
        <f>IF(BT264=0,0,(BU264-BT264)/BT264*100)</f>
        <v>0</v>
      </c>
      <c r="BW264" s="2846"/>
      <c r="BX264" s="2846"/>
      <c r="BY264" s="1093">
        <f>IF(BW264=0,0,(BX264-BW264)/BW264*100)</f>
        <v>0</v>
      </c>
      <c r="BZ264" s="2846"/>
      <c r="CA264" s="2846"/>
      <c r="CB264" s="1093">
        <f>IF(BZ264=0,0,(CA264-BZ264)/BZ264*100)</f>
        <v>0</v>
      </c>
      <c r="CC264" s="2846"/>
      <c r="CD264" s="2846"/>
      <c r="CE264" s="1093">
        <f>IF(CC264=0,0,(CD264-CC264)/CC264*100)</f>
        <v>0</v>
      </c>
      <c r="CF264" s="2846"/>
      <c r="CG264" s="2846"/>
      <c r="CH264" s="1093">
        <f>IF(CF264=0,0,(CG264-CF264)/CF264*100)</f>
        <v>0</v>
      </c>
      <c r="CI264" s="2846"/>
      <c r="CJ264" s="2846"/>
      <c r="CK264" s="1093">
        <f>IF(CI264=0,0,(CJ264-CI264)/CI264*100)</f>
        <v>0</v>
      </c>
      <c r="CL264" s="2846"/>
      <c r="CM264" s="2846"/>
      <c r="CN264" s="1093">
        <f>IF(CL264=0,0,(CM264-CL264)/CL264*100)</f>
        <v>0</v>
      </c>
      <c r="CO264" s="2846"/>
      <c r="CP264" s="2846"/>
      <c r="CQ264" s="1093">
        <f>IF(CO264=0,0,(CP264-CO264)/CO264*100)</f>
        <v>0</v>
      </c>
      <c r="CR264" s="2846"/>
      <c r="CS264" s="2846"/>
      <c r="CT264" s="1093">
        <f>IF(CR264=0,0,(CS264-CR264)/CR264*100)</f>
        <v>0</v>
      </c>
      <c r="CU264" s="2846"/>
      <c r="CV264" s="2846"/>
      <c r="CW264" s="1093">
        <f>IF(CU264=0,0,(CV264-CU264)/CU264*100)</f>
        <v>0</v>
      </c>
      <c r="CX264" s="2846"/>
      <c r="CY264" s="2846"/>
      <c r="CZ264" s="1093">
        <f>IF(CX264=0,0,(CY264-CX264)/CX264*100)</f>
        <v>0</v>
      </c>
      <c r="DA264" s="2846"/>
      <c r="DB264" s="2846"/>
      <c r="DC264" s="1093">
        <f>IF(DA264=0,0,(DB264-DA264)/DA264*100)</f>
        <v>0</v>
      </c>
      <c r="DD264" s="2846"/>
      <c r="DE264" s="2846"/>
      <c r="DF264" s="1093">
        <f>IF(DD264=0,0,(DE264-DD264)/DD264*100)</f>
        <v>0</v>
      </c>
      <c r="DG264" s="2846"/>
      <c r="DH264" s="2846"/>
      <c r="DI264" s="1093">
        <f>IF(DG264=0,0,(DH264-DG264)/DG264*100)</f>
        <v>0</v>
      </c>
      <c r="DJ264" s="2846"/>
      <c r="DK264" s="2846"/>
      <c r="DL264" s="1093">
        <f>IF(DJ264=0,0,(DK264-DJ264)/DJ264*100)</f>
        <v>0</v>
      </c>
      <c r="DM264" s="2846"/>
      <c r="DN264" s="2846"/>
      <c r="DO264" s="1093">
        <f>IF(DM264=0,0,(DN264-DM264)/DM264*100)</f>
        <v>0</v>
      </c>
      <c r="DP264" s="2846"/>
      <c r="DQ264" s="2846"/>
      <c r="DR264" s="1093">
        <f>IF(DP264=0,0,(DQ264-DP264)/DP264*100)</f>
        <v>0</v>
      </c>
      <c r="DS264" s="2846"/>
      <c r="DT264" s="2846"/>
      <c r="DU264" s="1093">
        <f>IF(DS264=0,0,(DT264-DS264)/DS264*100)</f>
        <v>0</v>
      </c>
      <c r="DV264" s="2846"/>
      <c r="DW264" s="2846"/>
      <c r="DX264" s="1093">
        <f>IF(DV264=0,0,(DW264-DV264)/DV264*100)</f>
        <v>0</v>
      </c>
      <c r="DY264" s="2846"/>
      <c r="DZ264" s="2846"/>
      <c r="EA264" s="1093">
        <f>IF(DY264=0,0,(DZ264-DY264)/DY264*100)</f>
        <v>0</v>
      </c>
      <c r="EB264" s="2846"/>
      <c r="EC264" s="2846"/>
      <c r="ED264" s="1093">
        <f>IF(EB264=0,0,(EC264-EB264)/EB264*100)</f>
        <v>0</v>
      </c>
      <c r="EE264" s="2846"/>
      <c r="EF264" s="2846"/>
      <c r="EG264" s="1093">
        <f>IF(EE264=0,0,(EF264-EE264)/EE264*100)</f>
        <v>0</v>
      </c>
      <c r="EH264" s="2846"/>
      <c r="EI264" s="2846"/>
      <c r="EJ264" s="1093">
        <f>IF(EH264=0,0,(EI264-EH264)/EH264*100)</f>
        <v>0</v>
      </c>
      <c r="EK264" s="2846"/>
      <c r="EL264" s="2846"/>
      <c r="EM264" s="1093">
        <f>IF(EK264=0,0,(EL264-EK264)/EK264*100)</f>
        <v>0</v>
      </c>
      <c r="EN264" s="2846"/>
      <c r="EO264" s="2846"/>
      <c r="EP264" s="1093">
        <f>IF(EN264=0,0,(EO264-EN264)/EN264*100)</f>
        <v>0</v>
      </c>
      <c r="EQ264" s="2846"/>
      <c r="ER264" s="2846"/>
      <c r="ES264" s="1093">
        <f>IF(EQ264=0,0,(ER264-EQ264)/EQ264*100)</f>
        <v>0</v>
      </c>
      <c r="ET264" s="2846"/>
      <c r="EU264" s="2846"/>
      <c r="EV264" s="1093">
        <f>IF(ET264=0,0,(EU264-ET264)/ET264*100)</f>
        <v>0</v>
      </c>
      <c r="EW264" s="2846"/>
      <c r="EX264" s="2846"/>
      <c r="EY264" s="1093">
        <f>IF(EW264=0,0,(EX264-EW264)/EW264*100)</f>
        <v>0</v>
      </c>
      <c r="EZ264" s="2846"/>
      <c r="FA264" s="2846"/>
      <c r="FB264" s="1093">
        <f>IF(EZ264=0,0,(FA264-EZ264)/EZ264*100)</f>
        <v>0</v>
      </c>
      <c r="FC264" s="2846"/>
      <c r="FD264" s="2846"/>
      <c r="FE264" s="1093">
        <f>IF(FC264=0,0,(FD264-FC264)/FC264*100)</f>
        <v>0</v>
      </c>
      <c r="FF264" s="2846"/>
      <c r="FG264" s="2846"/>
      <c r="FH264" s="1093">
        <f>IF(FF264=0,0,(FG264-FF264)/FF264*100)</f>
        <v>0</v>
      </c>
      <c r="FI264" s="2846"/>
      <c r="FJ264" s="2846"/>
      <c r="FK264" s="1093">
        <f>IF(FI264=0,0,(FJ264-FI264)/FI264*100)</f>
        <v>0</v>
      </c>
      <c r="FL264" s="2846"/>
      <c r="FM264" s="2846"/>
      <c r="FN264" s="1093">
        <f>IF(FL264=0,0,(FM264-FL264)/FL264*100)</f>
        <v>0</v>
      </c>
      <c r="FO264" s="2846"/>
      <c r="FP264" s="2846"/>
      <c r="FQ264" s="1093">
        <f>IF(FO264=0,0,(FP264-FO264)/FO264*100)</f>
        <v>0</v>
      </c>
      <c r="FR264" s="2846"/>
      <c r="FS264" s="2846"/>
      <c r="FT264" s="1093">
        <f>IF(FR264=0,0,(FS264-FR264)/FR264*100)</f>
        <v>0</v>
      </c>
      <c r="FU264" s="2846"/>
      <c r="FV264" s="2846"/>
      <c r="FW264" s="1093">
        <f>IF(FU264=0,0,(FV264-FU264)/FU264*100)</f>
        <v>0</v>
      </c>
      <c r="FX264" s="1304"/>
      <c r="FY264" s="1304"/>
      <c r="FZ264" s="1055" t="s">
        <v>2407</v>
      </c>
      <c r="GA264" s="1015" t="s">
        <v>1594</v>
      </c>
      <c r="GB264" s="1015" cm="1" t="str">
        <f t="array" ref="GB264:GB264">GB263</f>
        <v>0</v>
      </c>
      <c r="GC264" s="1305"/>
      <c r="GD264" s="1305"/>
    </row>
    <row s="1834" customFormat="1" customHeight="1" ht="14.25" hidden="1">
      <c r="A265" s="493"/>
      <c r="B265" s="925" cm="1" t="str">
        <f t="array" ref="B265:B265">B264</f>
        <v>false</v>
      </c>
      <c r="C265" s="493"/>
      <c r="D265" s="493"/>
      <c r="E265" s="840">
        <v>15</v>
      </c>
      <c r="F265" s="50" cm="1" t="str">
        <f t="array" ref="F265:F265">OFFSET(E265,-1,1)</f>
        <v>3</v>
      </c>
      <c r="G265" s="493"/>
      <c r="H265" s="493" t="s">
        <v>2379</v>
      </c>
      <c r="I265" s="493" cm="1" t="str">
        <f t="array" ref="I265:I265">I264</f>
        <v>0</v>
      </c>
      <c r="J265" s="493"/>
      <c r="K265" s="493"/>
      <c r="L265" s="493"/>
      <c r="M265" s="493"/>
      <c r="N265" s="493"/>
      <c r="O265" s="493"/>
      <c r="P265" s="493"/>
      <c r="Q265" s="493"/>
      <c r="R265" s="493"/>
      <c r="S265" s="493"/>
      <c r="T265" s="465" cm="1" t="str">
        <f t="array" ref="T265:T265">T264</f>
        <v>false</v>
      </c>
      <c r="U265" s="493"/>
      <c r="V265" s="493"/>
      <c r="W265" s="493"/>
      <c r="X265" s="1596"/>
      <c r="Y265" s="1596"/>
      <c r="Z265" s="1545"/>
      <c r="AA265" s="1494"/>
      <c r="AB265" s="904" t="s">
        <v>2380</v>
      </c>
      <c r="AC265" s="864" t="s">
        <v>2381</v>
      </c>
      <c r="AD265" s="2846"/>
      <c r="AE265" s="2846"/>
      <c r="AF265" s="1093">
        <f>IF(AD265=0,0,(AE265-AD265)/AD265*100)</f>
        <v>0</v>
      </c>
      <c r="AG265" s="2846"/>
      <c r="AH265" s="2846"/>
      <c r="AI265" s="1093">
        <f>IF(AG265=0,0,(AH265-AG265)/AG265*100)</f>
        <v>0</v>
      </c>
      <c r="AJ265" s="2846"/>
      <c r="AK265" s="2846"/>
      <c r="AL265" s="1093">
        <f>IF(AJ265=0,0,(AK265-AJ265)/AJ265*100)</f>
        <v>0</v>
      </c>
      <c r="AM265" s="2846"/>
      <c r="AN265" s="2846"/>
      <c r="AO265" s="1093">
        <f>IF(AM265=0,0,(AN265-AM265)/AM265*100)</f>
        <v>0</v>
      </c>
      <c r="AP265" s="2846"/>
      <c r="AQ265" s="2846"/>
      <c r="AR265" s="1093">
        <f>IF(AP265=0,0,(AQ265-AP265)/AP265*100)</f>
        <v>0</v>
      </c>
      <c r="AS265" s="2846"/>
      <c r="AT265" s="2846"/>
      <c r="AU265" s="1093">
        <f>IF(AS265=0,0,(AT265-AS265)/AS265*100)</f>
        <v>0</v>
      </c>
      <c r="AV265" s="2846"/>
      <c r="AW265" s="2846"/>
      <c r="AX265" s="1093">
        <f>IF(AV265=0,0,(AW265-AV265)/AV265*100)</f>
        <v>0</v>
      </c>
      <c r="AY265" s="2846"/>
      <c r="AZ265" s="2846"/>
      <c r="BA265" s="1093">
        <f>IF(AY265=0,0,(AZ265-AY265)/AY265*100)</f>
        <v>0</v>
      </c>
      <c r="BB265" s="2846"/>
      <c r="BC265" s="2846"/>
      <c r="BD265" s="1093">
        <f>IF(BB265=0,0,(BC265-BB265)/BB265*100)</f>
        <v>0</v>
      </c>
      <c r="BE265" s="2846"/>
      <c r="BF265" s="2846"/>
      <c r="BG265" s="1093">
        <f>IF(BE265=0,0,(BF265-BE265)/BE265*100)</f>
        <v>0</v>
      </c>
      <c r="BH265" s="2846"/>
      <c r="BI265" s="2846"/>
      <c r="BJ265" s="1093">
        <f>IF(BH265=0,0,(BI265-BH265)/BH265*100)</f>
        <v>0</v>
      </c>
      <c r="BK265" s="2846"/>
      <c r="BL265" s="2846"/>
      <c r="BM265" s="1093">
        <f>IF(BK265=0,0,(BL265-BK265)/BK265*100)</f>
        <v>0</v>
      </c>
      <c r="BN265" s="2846"/>
      <c r="BO265" s="2846"/>
      <c r="BP265" s="1093">
        <f>IF(BN265=0,0,(BO265-BN265)/BN265*100)</f>
        <v>0</v>
      </c>
      <c r="BQ265" s="2846"/>
      <c r="BR265" s="2846"/>
      <c r="BS265" s="1093">
        <f>IF(BQ265=0,0,(BR265-BQ265)/BQ265*100)</f>
        <v>0</v>
      </c>
      <c r="BT265" s="2846"/>
      <c r="BU265" s="2846"/>
      <c r="BV265" s="1093">
        <f>IF(BT265=0,0,(BU265-BT265)/BT265*100)</f>
        <v>0</v>
      </c>
      <c r="BW265" s="2846"/>
      <c r="BX265" s="2846"/>
      <c r="BY265" s="1093">
        <f>IF(BW265=0,0,(BX265-BW265)/BW265*100)</f>
        <v>0</v>
      </c>
      <c r="BZ265" s="2846"/>
      <c r="CA265" s="2846"/>
      <c r="CB265" s="1093">
        <f>IF(BZ265=0,0,(CA265-BZ265)/BZ265*100)</f>
        <v>0</v>
      </c>
      <c r="CC265" s="2846"/>
      <c r="CD265" s="2846"/>
      <c r="CE265" s="1093">
        <f>IF(CC265=0,0,(CD265-CC265)/CC265*100)</f>
        <v>0</v>
      </c>
      <c r="CF265" s="2846"/>
      <c r="CG265" s="2846"/>
      <c r="CH265" s="1093">
        <f>IF(CF265=0,0,(CG265-CF265)/CF265*100)</f>
        <v>0</v>
      </c>
      <c r="CI265" s="2846"/>
      <c r="CJ265" s="2846"/>
      <c r="CK265" s="1093">
        <f>IF(CI265=0,0,(CJ265-CI265)/CI265*100)</f>
        <v>0</v>
      </c>
      <c r="CL265" s="2846"/>
      <c r="CM265" s="2846"/>
      <c r="CN265" s="1093">
        <f>IF(CL265=0,0,(CM265-CL265)/CL265*100)</f>
        <v>0</v>
      </c>
      <c r="CO265" s="2846"/>
      <c r="CP265" s="2846"/>
      <c r="CQ265" s="1093">
        <f>IF(CO265=0,0,(CP265-CO265)/CO265*100)</f>
        <v>0</v>
      </c>
      <c r="CR265" s="2846"/>
      <c r="CS265" s="2846"/>
      <c r="CT265" s="1093">
        <f>IF(CR265=0,0,(CS265-CR265)/CR265*100)</f>
        <v>0</v>
      </c>
      <c r="CU265" s="2846"/>
      <c r="CV265" s="2846"/>
      <c r="CW265" s="1093">
        <f>IF(CU265=0,0,(CV265-CU265)/CU265*100)</f>
        <v>0</v>
      </c>
      <c r="CX265" s="2846"/>
      <c r="CY265" s="2846"/>
      <c r="CZ265" s="1093">
        <f>IF(CX265=0,0,(CY265-CX265)/CX265*100)</f>
        <v>0</v>
      </c>
      <c r="DA265" s="2846"/>
      <c r="DB265" s="2846"/>
      <c r="DC265" s="1093">
        <f>IF(DA265=0,0,(DB265-DA265)/DA265*100)</f>
        <v>0</v>
      </c>
      <c r="DD265" s="2846"/>
      <c r="DE265" s="2846"/>
      <c r="DF265" s="1093">
        <f>IF(DD265=0,0,(DE265-DD265)/DD265*100)</f>
        <v>0</v>
      </c>
      <c r="DG265" s="2846"/>
      <c r="DH265" s="2846"/>
      <c r="DI265" s="1093">
        <f>IF(DG265=0,0,(DH265-DG265)/DG265*100)</f>
        <v>0</v>
      </c>
      <c r="DJ265" s="2846"/>
      <c r="DK265" s="2846"/>
      <c r="DL265" s="1093">
        <f>IF(DJ265=0,0,(DK265-DJ265)/DJ265*100)</f>
        <v>0</v>
      </c>
      <c r="DM265" s="2846"/>
      <c r="DN265" s="2846"/>
      <c r="DO265" s="1093">
        <f>IF(DM265=0,0,(DN265-DM265)/DM265*100)</f>
        <v>0</v>
      </c>
      <c r="DP265" s="2846"/>
      <c r="DQ265" s="2846"/>
      <c r="DR265" s="1093">
        <f>IF(DP265=0,0,(DQ265-DP265)/DP265*100)</f>
        <v>0</v>
      </c>
      <c r="DS265" s="2846"/>
      <c r="DT265" s="2846"/>
      <c r="DU265" s="1093">
        <f>IF(DS265=0,0,(DT265-DS265)/DS265*100)</f>
        <v>0</v>
      </c>
      <c r="DV265" s="2846"/>
      <c r="DW265" s="2846"/>
      <c r="DX265" s="1093">
        <f>IF(DV265=0,0,(DW265-DV265)/DV265*100)</f>
        <v>0</v>
      </c>
      <c r="DY265" s="2846"/>
      <c r="DZ265" s="2846"/>
      <c r="EA265" s="1093">
        <f>IF(DY265=0,0,(DZ265-DY265)/DY265*100)</f>
        <v>0</v>
      </c>
      <c r="EB265" s="2846"/>
      <c r="EC265" s="2846"/>
      <c r="ED265" s="1093">
        <f>IF(EB265=0,0,(EC265-EB265)/EB265*100)</f>
        <v>0</v>
      </c>
      <c r="EE265" s="2846"/>
      <c r="EF265" s="2846"/>
      <c r="EG265" s="1093">
        <f>IF(EE265=0,0,(EF265-EE265)/EE265*100)</f>
        <v>0</v>
      </c>
      <c r="EH265" s="2846"/>
      <c r="EI265" s="2846"/>
      <c r="EJ265" s="1093">
        <f>IF(EH265=0,0,(EI265-EH265)/EH265*100)</f>
        <v>0</v>
      </c>
      <c r="EK265" s="2846"/>
      <c r="EL265" s="2846"/>
      <c r="EM265" s="1093">
        <f>IF(EK265=0,0,(EL265-EK265)/EK265*100)</f>
        <v>0</v>
      </c>
      <c r="EN265" s="2846"/>
      <c r="EO265" s="2846"/>
      <c r="EP265" s="1093">
        <f>IF(EN265=0,0,(EO265-EN265)/EN265*100)</f>
        <v>0</v>
      </c>
      <c r="EQ265" s="2846"/>
      <c r="ER265" s="2846"/>
      <c r="ES265" s="1093">
        <f>IF(EQ265=0,0,(ER265-EQ265)/EQ265*100)</f>
        <v>0</v>
      </c>
      <c r="ET265" s="2846"/>
      <c r="EU265" s="2846"/>
      <c r="EV265" s="1093">
        <f>IF(ET265=0,0,(EU265-ET265)/ET265*100)</f>
        <v>0</v>
      </c>
      <c r="EW265" s="2846"/>
      <c r="EX265" s="2846"/>
      <c r="EY265" s="1093">
        <f>IF(EW265=0,0,(EX265-EW265)/EW265*100)</f>
        <v>0</v>
      </c>
      <c r="EZ265" s="2846"/>
      <c r="FA265" s="2846"/>
      <c r="FB265" s="1093">
        <f>IF(EZ265=0,0,(FA265-EZ265)/EZ265*100)</f>
        <v>0</v>
      </c>
      <c r="FC265" s="2846"/>
      <c r="FD265" s="2846"/>
      <c r="FE265" s="1093">
        <f>IF(FC265=0,0,(FD265-FC265)/FC265*100)</f>
        <v>0</v>
      </c>
      <c r="FF265" s="2846"/>
      <c r="FG265" s="2846"/>
      <c r="FH265" s="1093">
        <f>IF(FF265=0,0,(FG265-FF265)/FF265*100)</f>
        <v>0</v>
      </c>
      <c r="FI265" s="2846"/>
      <c r="FJ265" s="2846"/>
      <c r="FK265" s="1093">
        <f>IF(FI265=0,0,(FJ265-FI265)/FI265*100)</f>
        <v>0</v>
      </c>
      <c r="FL265" s="2846"/>
      <c r="FM265" s="2846"/>
      <c r="FN265" s="1093">
        <f>IF(FL265=0,0,(FM265-FL265)/FL265*100)</f>
        <v>0</v>
      </c>
      <c r="FO265" s="2846"/>
      <c r="FP265" s="2846"/>
      <c r="FQ265" s="1093">
        <f>IF(FO265=0,0,(FP265-FO265)/FO265*100)</f>
        <v>0</v>
      </c>
      <c r="FR265" s="2846"/>
      <c r="FS265" s="2846"/>
      <c r="FT265" s="1093">
        <f>IF(FR265=0,0,(FS265-FR265)/FR265*100)</f>
        <v>0</v>
      </c>
      <c r="FU265" s="2846"/>
      <c r="FV265" s="2846"/>
      <c r="FW265" s="1093">
        <f>IF(FU265=0,0,(FV265-FU265)/FU265*100)</f>
        <v>0</v>
      </c>
      <c r="FX265" s="1304"/>
      <c r="FY265" s="1304"/>
      <c r="FZ265" s="1055" t="s">
        <v>2408</v>
      </c>
      <c r="GA265" s="1015" t="s">
        <v>1594</v>
      </c>
      <c r="GB265" s="1015" cm="1" t="str">
        <f t="array" ref="GB265:GB265">GB264</f>
        <v>0</v>
      </c>
      <c r="GC265" s="1305"/>
      <c r="GD265" s="1305"/>
    </row>
    <row customHeight="1" ht="18.525" hidden="1">
      <c r="A266" s="493"/>
      <c r="B266" s="925" cm="1" t="str">
        <f t="array" ref="B266:B266">B265</f>
        <v>false</v>
      </c>
      <c r="C266" s="493"/>
      <c r="D266" s="493"/>
      <c r="E266" s="840">
        <v>19</v>
      </c>
      <c r="F266" s="50" cm="1" t="str">
        <f t="array" ref="F266:F266">OFFSET(E266,-1,1)</f>
        <v>3</v>
      </c>
      <c r="G266" s="493"/>
      <c r="H266" s="493"/>
      <c r="I266" s="493"/>
      <c r="J266" s="493"/>
      <c r="K266" s="493"/>
      <c r="L266" s="493"/>
      <c r="M266" s="493"/>
      <c r="N266" s="493"/>
      <c r="O266" s="493"/>
      <c r="P266" s="493"/>
      <c r="Q266" s="493"/>
      <c r="R266" s="493"/>
      <c r="S266" s="493"/>
      <c r="T266" s="465" cm="1" t="str">
        <f t="array" ref="T266:T266">T265</f>
        <v>false</v>
      </c>
      <c r="U266" s="493"/>
      <c r="V266" s="493"/>
      <c r="W266" s="493"/>
      <c r="X266" s="1596"/>
      <c r="Y266" s="1596"/>
      <c r="Z266" s="1545"/>
      <c r="AA266" s="1494"/>
      <c r="AB266" s="5252"/>
      <c r="AC266" s="865"/>
      <c r="AD266" s="1105"/>
      <c r="AE266" s="1106"/>
      <c r="AF266" s="1106"/>
      <c r="AG266" s="1105"/>
      <c r="AH266" s="1106"/>
      <c r="AI266" s="1106"/>
      <c r="AJ266" s="1105"/>
      <c r="AK266" s="1106"/>
      <c r="AL266" s="1106"/>
      <c r="AM266" s="1105"/>
      <c r="AN266" s="1106"/>
      <c r="AO266" s="1106"/>
      <c r="AP266" s="1105"/>
      <c r="AQ266" s="1106"/>
      <c r="AR266" s="1106"/>
      <c r="AS266" s="1105"/>
      <c r="AT266" s="1106"/>
      <c r="AU266" s="1106"/>
      <c r="AV266" s="1105"/>
      <c r="AW266" s="1106"/>
      <c r="AX266" s="1106"/>
      <c r="AY266" s="1105"/>
      <c r="AZ266" s="1106"/>
      <c r="BA266" s="1106"/>
      <c r="BB266" s="1105"/>
      <c r="BC266" s="1106"/>
      <c r="BD266" s="1106"/>
      <c r="BE266" s="1105"/>
      <c r="BF266" s="1106"/>
      <c r="BG266" s="1106"/>
      <c r="BH266" s="1105"/>
      <c r="BI266" s="1106"/>
      <c r="BJ266" s="1106"/>
      <c r="BK266" s="1105"/>
      <c r="BL266" s="1106"/>
      <c r="BM266" s="1106"/>
      <c r="BN266" s="1105"/>
      <c r="BO266" s="1106"/>
      <c r="BP266" s="1106"/>
      <c r="BQ266" s="1105"/>
      <c r="BR266" s="1106"/>
      <c r="BS266" s="1106"/>
      <c r="BT266" s="1105"/>
      <c r="BU266" s="1106"/>
      <c r="BV266" s="1106"/>
      <c r="BW266" s="1105"/>
      <c r="BX266" s="1106"/>
      <c r="BY266" s="1106"/>
      <c r="BZ266" s="1105"/>
      <c r="CA266" s="1106"/>
      <c r="CB266" s="1106"/>
      <c r="CC266" s="1105"/>
      <c r="CD266" s="1106"/>
      <c r="CE266" s="1106"/>
      <c r="CF266" s="1105"/>
      <c r="CG266" s="1106"/>
      <c r="CH266" s="1106"/>
      <c r="CI266" s="1105"/>
      <c r="CJ266" s="1106"/>
      <c r="CK266" s="1106"/>
      <c r="CL266" s="1105"/>
      <c r="CM266" s="1106"/>
      <c r="CN266" s="1106"/>
      <c r="CO266" s="1105"/>
      <c r="CP266" s="1106"/>
      <c r="CQ266" s="1106"/>
      <c r="CR266" s="1105"/>
      <c r="CS266" s="1106"/>
      <c r="CT266" s="1106"/>
      <c r="CU266" s="1105"/>
      <c r="CV266" s="1106"/>
      <c r="CW266" s="1106"/>
      <c r="CX266" s="1105"/>
      <c r="CY266" s="1106"/>
      <c r="CZ266" s="1106"/>
      <c r="DA266" s="1105"/>
      <c r="DB266" s="1106"/>
      <c r="DC266" s="1106"/>
      <c r="DD266" s="1105"/>
      <c r="DE266" s="1106"/>
      <c r="DF266" s="1106"/>
      <c r="DG266" s="1105"/>
      <c r="DH266" s="1106"/>
      <c r="DI266" s="1106"/>
      <c r="DJ266" s="1105"/>
      <c r="DK266" s="1106"/>
      <c r="DL266" s="1106"/>
      <c r="DM266" s="1105"/>
      <c r="DN266" s="1106"/>
      <c r="DO266" s="1106"/>
      <c r="DP266" s="1105"/>
      <c r="DQ266" s="1106"/>
      <c r="DR266" s="1106"/>
      <c r="DS266" s="1105"/>
      <c r="DT266" s="1106"/>
      <c r="DU266" s="1106"/>
      <c r="DV266" s="1105"/>
      <c r="DW266" s="1106"/>
      <c r="DX266" s="1106"/>
      <c r="DY266" s="1105"/>
      <c r="DZ266" s="1106"/>
      <c r="EA266" s="1106"/>
      <c r="EB266" s="1105"/>
      <c r="EC266" s="1106"/>
      <c r="ED266" s="1106"/>
      <c r="EE266" s="1105"/>
      <c r="EF266" s="1106"/>
      <c r="EG266" s="1106"/>
      <c r="EH266" s="1105"/>
      <c r="EI266" s="1106"/>
      <c r="EJ266" s="1106"/>
      <c r="EK266" s="1105"/>
      <c r="EL266" s="1106"/>
      <c r="EM266" s="1106"/>
      <c r="EN266" s="1105"/>
      <c r="EO266" s="1106"/>
      <c r="EP266" s="1106"/>
      <c r="EQ266" s="1105"/>
      <c r="ER266" s="1106"/>
      <c r="ES266" s="1106"/>
      <c r="ET266" s="1105"/>
      <c r="EU266" s="1106"/>
      <c r="EV266" s="1106"/>
      <c r="EW266" s="1105"/>
      <c r="EX266" s="1106"/>
      <c r="EY266" s="1106"/>
      <c r="EZ266" s="1105"/>
      <c r="FA266" s="1106"/>
      <c r="FB266" s="1106"/>
      <c r="FC266" s="1105"/>
      <c r="FD266" s="1106"/>
      <c r="FE266" s="1106"/>
      <c r="FF266" s="1105"/>
      <c r="FG266" s="1106"/>
      <c r="FH266" s="1106"/>
      <c r="FI266" s="1105"/>
      <c r="FJ266" s="1106"/>
      <c r="FK266" s="1106"/>
      <c r="FL266" s="1105"/>
      <c r="FM266" s="1106"/>
      <c r="FN266" s="1106"/>
      <c r="FO266" s="1105"/>
      <c r="FP266" s="1106"/>
      <c r="FQ266" s="1106"/>
      <c r="FR266" s="1105"/>
      <c r="FS266" s="1106"/>
      <c r="FT266" s="1106"/>
      <c r="FU266" s="1105"/>
      <c r="FV266" s="1106"/>
      <c r="FW266" s="1107"/>
      <c r="GA266" s="1306" t="s">
        <v>227</v>
      </c>
      <c r="GB266" s="1306" cm="1" t="str">
        <f t="array" ref="GB266:GB266">GB265</f>
        <v>0</v>
      </c>
    </row>
    <row customHeight="1" ht="18.525" hidden="1">
      <c r="A267" s="493"/>
      <c r="B267" s="925" cm="1" t="str">
        <f t="array" ref="B267:B267">B266</f>
        <v>false</v>
      </c>
      <c r="C267" s="493"/>
      <c r="D267" s="493"/>
      <c r="E267" s="840">
        <v>19</v>
      </c>
      <c r="F267" s="50" cm="1" t="str">
        <f t="array" ref="F267:F267">OFFSET(E267,-1,1)</f>
        <v>3</v>
      </c>
      <c r="G267" s="493"/>
      <c r="H267" s="493"/>
      <c r="I267" s="493"/>
      <c r="J267" s="493"/>
      <c r="K267" s="493"/>
      <c r="L267" s="493"/>
      <c r="M267" s="493"/>
      <c r="N267" s="493"/>
      <c r="O267" s="493"/>
      <c r="P267" s="493"/>
      <c r="Q267" s="493"/>
      <c r="R267" s="493"/>
      <c r="S267" s="493"/>
      <c r="T267" s="465" cm="1" t="str">
        <f t="array" ref="T267:T267">T266</f>
        <v>false</v>
      </c>
      <c r="U267" s="493"/>
      <c r="V267" s="493"/>
      <c r="W267" s="493"/>
      <c r="X267" s="1596"/>
      <c r="Y267" s="1596"/>
      <c r="Z267" s="1545"/>
      <c r="AA267" s="1494"/>
      <c r="AB267" s="904" t="s">
        <v>2370</v>
      </c>
      <c r="AC267" s="864" t="s">
        <v>2337</v>
      </c>
      <c r="AD267" s="2846"/>
      <c r="AE267" s="2846"/>
      <c r="AF267" s="1093">
        <f>IF(AD267=0,0,(AE267-AD267)/AD267*100)</f>
        <v>0</v>
      </c>
      <c r="AG267" s="2846"/>
      <c r="AH267" s="2846"/>
      <c r="AI267" s="1093">
        <f>IF(AG267=0,0,(AH267-AG267)/AG267*100)</f>
        <v>0</v>
      </c>
      <c r="AJ267" s="2846"/>
      <c r="AK267" s="2846"/>
      <c r="AL267" s="1093">
        <f>IF(AJ267=0,0,(AK267-AJ267)/AJ267*100)</f>
        <v>0</v>
      </c>
      <c r="AM267" s="2846"/>
      <c r="AN267" s="2846"/>
      <c r="AO267" s="1093">
        <f>IF(AM267=0,0,(AN267-AM267)/AM267*100)</f>
        <v>0</v>
      </c>
      <c r="AP267" s="2846"/>
      <c r="AQ267" s="2846"/>
      <c r="AR267" s="1093">
        <f>IF(AP267=0,0,(AQ267-AP267)/AP267*100)</f>
        <v>0</v>
      </c>
      <c r="AS267" s="2846"/>
      <c r="AT267" s="2846"/>
      <c r="AU267" s="1093">
        <f>IF(AS267=0,0,(AT267-AS267)/AS267*100)</f>
        <v>0</v>
      </c>
      <c r="AV267" s="2846"/>
      <c r="AW267" s="2846"/>
      <c r="AX267" s="1093">
        <f>IF(AV267=0,0,(AW267-AV267)/AV267*100)</f>
        <v>0</v>
      </c>
      <c r="AY267" s="2846"/>
      <c r="AZ267" s="2846"/>
      <c r="BA267" s="1093">
        <f>IF(AY267=0,0,(AZ267-AY267)/AY267*100)</f>
        <v>0</v>
      </c>
      <c r="BB267" s="2846"/>
      <c r="BC267" s="2846"/>
      <c r="BD267" s="1093">
        <f>IF(BB267=0,0,(BC267-BB267)/BB267*100)</f>
        <v>0</v>
      </c>
      <c r="BE267" s="2846"/>
      <c r="BF267" s="2846"/>
      <c r="BG267" s="1093">
        <f>IF(BE267=0,0,(BF267-BE267)/BE267*100)</f>
        <v>0</v>
      </c>
      <c r="BH267" s="2846"/>
      <c r="BI267" s="2846"/>
      <c r="BJ267" s="1093">
        <f>IF(BH267=0,0,(BI267-BH267)/BH267*100)</f>
        <v>0</v>
      </c>
      <c r="BK267" s="2846"/>
      <c r="BL267" s="2846"/>
      <c r="BM267" s="1093">
        <f>IF(BK267=0,0,(BL267-BK267)/BK267*100)</f>
        <v>0</v>
      </c>
      <c r="BN267" s="2846"/>
      <c r="BO267" s="2846"/>
      <c r="BP267" s="1093">
        <f>IF(BN267=0,0,(BO267-BN267)/BN267*100)</f>
        <v>0</v>
      </c>
      <c r="BQ267" s="2846"/>
      <c r="BR267" s="2846"/>
      <c r="BS267" s="1093">
        <f>IF(BQ267=0,0,(BR267-BQ267)/BQ267*100)</f>
        <v>0</v>
      </c>
      <c r="BT267" s="2846"/>
      <c r="BU267" s="2846"/>
      <c r="BV267" s="1093">
        <f>IF(BT267=0,0,(BU267-BT267)/BT267*100)</f>
        <v>0</v>
      </c>
      <c r="BW267" s="2846"/>
      <c r="BX267" s="2846"/>
      <c r="BY267" s="1093">
        <f>IF(BW267=0,0,(BX267-BW267)/BW267*100)</f>
        <v>0</v>
      </c>
      <c r="BZ267" s="2846"/>
      <c r="CA267" s="2846"/>
      <c r="CB267" s="1093">
        <f>IF(BZ267=0,0,(CA267-BZ267)/BZ267*100)</f>
        <v>0</v>
      </c>
      <c r="CC267" s="2846"/>
      <c r="CD267" s="2846"/>
      <c r="CE267" s="1093">
        <f>IF(CC267=0,0,(CD267-CC267)/CC267*100)</f>
        <v>0</v>
      </c>
      <c r="CF267" s="2846"/>
      <c r="CG267" s="2846"/>
      <c r="CH267" s="1093">
        <f>IF(CF267=0,0,(CG267-CF267)/CF267*100)</f>
        <v>0</v>
      </c>
      <c r="CI267" s="2846"/>
      <c r="CJ267" s="2846"/>
      <c r="CK267" s="1093">
        <f>IF(CI267=0,0,(CJ267-CI267)/CI267*100)</f>
        <v>0</v>
      </c>
      <c r="CL267" s="2846"/>
      <c r="CM267" s="2846"/>
      <c r="CN267" s="1093">
        <f>IF(CL267=0,0,(CM267-CL267)/CL267*100)</f>
        <v>0</v>
      </c>
      <c r="CO267" s="2846"/>
      <c r="CP267" s="2846"/>
      <c r="CQ267" s="1093">
        <f>IF(CO267=0,0,(CP267-CO267)/CO267*100)</f>
        <v>0</v>
      </c>
      <c r="CR267" s="2846"/>
      <c r="CS267" s="2846"/>
      <c r="CT267" s="1093">
        <f>IF(CR267=0,0,(CS267-CR267)/CR267*100)</f>
        <v>0</v>
      </c>
      <c r="CU267" s="2846"/>
      <c r="CV267" s="2846"/>
      <c r="CW267" s="1093">
        <f>IF(CU267=0,0,(CV267-CU267)/CU267*100)</f>
        <v>0</v>
      </c>
      <c r="CX267" s="2846"/>
      <c r="CY267" s="2846"/>
      <c r="CZ267" s="1093">
        <f>IF(CX267=0,0,(CY267-CX267)/CX267*100)</f>
        <v>0</v>
      </c>
      <c r="DA267" s="2846"/>
      <c r="DB267" s="2846"/>
      <c r="DC267" s="1093">
        <f>IF(DA267=0,0,(DB267-DA267)/DA267*100)</f>
        <v>0</v>
      </c>
      <c r="DD267" s="2846"/>
      <c r="DE267" s="2846"/>
      <c r="DF267" s="1093">
        <f>IF(DD267=0,0,(DE267-DD267)/DD267*100)</f>
        <v>0</v>
      </c>
      <c r="DG267" s="2846"/>
      <c r="DH267" s="2846"/>
      <c r="DI267" s="1093">
        <f>IF(DG267=0,0,(DH267-DG267)/DG267*100)</f>
        <v>0</v>
      </c>
      <c r="DJ267" s="2846"/>
      <c r="DK267" s="2846"/>
      <c r="DL267" s="1093">
        <f>IF(DJ267=0,0,(DK267-DJ267)/DJ267*100)</f>
        <v>0</v>
      </c>
      <c r="DM267" s="2846"/>
      <c r="DN267" s="2846"/>
      <c r="DO267" s="1093">
        <f>IF(DM267=0,0,(DN267-DM267)/DM267*100)</f>
        <v>0</v>
      </c>
      <c r="DP267" s="2846"/>
      <c r="DQ267" s="2846"/>
      <c r="DR267" s="1093">
        <f>IF(DP267=0,0,(DQ267-DP267)/DP267*100)</f>
        <v>0</v>
      </c>
      <c r="DS267" s="2846"/>
      <c r="DT267" s="2846"/>
      <c r="DU267" s="1093">
        <f>IF(DS267=0,0,(DT267-DS267)/DS267*100)</f>
        <v>0</v>
      </c>
      <c r="DV267" s="2846"/>
      <c r="DW267" s="2846"/>
      <c r="DX267" s="1093">
        <f>IF(DV267=0,0,(DW267-DV267)/DV267*100)</f>
        <v>0</v>
      </c>
      <c r="DY267" s="2846"/>
      <c r="DZ267" s="2846"/>
      <c r="EA267" s="1093">
        <f>IF(DY267=0,0,(DZ267-DY267)/DY267*100)</f>
        <v>0</v>
      </c>
      <c r="EB267" s="2846"/>
      <c r="EC267" s="2846"/>
      <c r="ED267" s="1093">
        <f>IF(EB267=0,0,(EC267-EB267)/EB267*100)</f>
        <v>0</v>
      </c>
      <c r="EE267" s="2846"/>
      <c r="EF267" s="2846"/>
      <c r="EG267" s="1093">
        <f>IF(EE267=0,0,(EF267-EE267)/EE267*100)</f>
        <v>0</v>
      </c>
      <c r="EH267" s="2846"/>
      <c r="EI267" s="2846"/>
      <c r="EJ267" s="1093">
        <f>IF(EH267=0,0,(EI267-EH267)/EH267*100)</f>
        <v>0</v>
      </c>
      <c r="EK267" s="2846"/>
      <c r="EL267" s="2846"/>
      <c r="EM267" s="1093">
        <f>IF(EK267=0,0,(EL267-EK267)/EK267*100)</f>
        <v>0</v>
      </c>
      <c r="EN267" s="2846"/>
      <c r="EO267" s="2846"/>
      <c r="EP267" s="1093">
        <f>IF(EN267=0,0,(EO267-EN267)/EN267*100)</f>
        <v>0</v>
      </c>
      <c r="EQ267" s="2846"/>
      <c r="ER267" s="2846"/>
      <c r="ES267" s="1093">
        <f>IF(EQ267=0,0,(ER267-EQ267)/EQ267*100)</f>
        <v>0</v>
      </c>
      <c r="ET267" s="2846"/>
      <c r="EU267" s="2846"/>
      <c r="EV267" s="1093">
        <f>IF(ET267=0,0,(EU267-ET267)/ET267*100)</f>
        <v>0</v>
      </c>
      <c r="EW267" s="2846"/>
      <c r="EX267" s="2846"/>
      <c r="EY267" s="1093">
        <f>IF(EW267=0,0,(EX267-EW267)/EW267*100)</f>
        <v>0</v>
      </c>
      <c r="EZ267" s="2846"/>
      <c r="FA267" s="2846"/>
      <c r="FB267" s="1093">
        <f>IF(EZ267=0,0,(FA267-EZ267)/EZ267*100)</f>
        <v>0</v>
      </c>
      <c r="FC267" s="2846"/>
      <c r="FD267" s="2846"/>
      <c r="FE267" s="1093">
        <f>IF(FC267=0,0,(FD267-FC267)/FC267*100)</f>
        <v>0</v>
      </c>
      <c r="FF267" s="2846"/>
      <c r="FG267" s="2846"/>
      <c r="FH267" s="1093">
        <f>IF(FF267=0,0,(FG267-FF267)/FF267*100)</f>
        <v>0</v>
      </c>
      <c r="FI267" s="2846"/>
      <c r="FJ267" s="2846"/>
      <c r="FK267" s="1093">
        <f>IF(FI267=0,0,(FJ267-FI267)/FI267*100)</f>
        <v>0</v>
      </c>
      <c r="FL267" s="2846"/>
      <c r="FM267" s="2846"/>
      <c r="FN267" s="1093">
        <f>IF(FL267=0,0,(FM267-FL267)/FL267*100)</f>
        <v>0</v>
      </c>
      <c r="FO267" s="2846"/>
      <c r="FP267" s="2846"/>
      <c r="FQ267" s="1093">
        <f>IF(FO267=0,0,(FP267-FO267)/FO267*100)</f>
        <v>0</v>
      </c>
      <c r="FR267" s="2846"/>
      <c r="FS267" s="2846"/>
      <c r="FT267" s="1093">
        <f>IF(FR267=0,0,(FS267-FR267)/FR267*100)</f>
        <v>0</v>
      </c>
      <c r="FU267" s="2846"/>
      <c r="FV267" s="2846"/>
      <c r="FW267" s="1093">
        <f>IF(FU267=0,0,(FV267-FU267)/FU267*100)</f>
        <v>0</v>
      </c>
      <c r="FZ267" s="1306" t="s">
        <v>2409</v>
      </c>
      <c r="GA267" s="1306" t="s">
        <v>1594</v>
      </c>
      <c r="GB267" s="1306" cm="1" t="str">
        <f t="array" ref="GB267:GB267">GB266</f>
        <v>0</v>
      </c>
    </row>
    <row customHeight="1" ht="18.525" hidden="1">
      <c r="A268" s="493"/>
      <c r="B268" s="925" cm="1" t="str">
        <f t="array" ref="B268:B268">B267</f>
        <v>false</v>
      </c>
      <c r="C268" s="493"/>
      <c r="D268" s="493"/>
      <c r="E268" s="840">
        <v>19</v>
      </c>
      <c r="F268" s="50" cm="1" t="str">
        <f t="array" ref="F268:F268">OFFSET(E268,-1,1)</f>
        <v>3</v>
      </c>
      <c r="G268" s="493"/>
      <c r="H268" s="493"/>
      <c r="I268" s="493"/>
      <c r="J268" s="493"/>
      <c r="K268" s="493"/>
      <c r="L268" s="493"/>
      <c r="M268" s="493"/>
      <c r="N268" s="493"/>
      <c r="O268" s="493"/>
      <c r="P268" s="493"/>
      <c r="Q268" s="493"/>
      <c r="R268" s="493"/>
      <c r="S268" s="493"/>
      <c r="T268" s="465" cm="1" t="str">
        <f t="array" ref="T268:T268">T267</f>
        <v>false</v>
      </c>
      <c r="U268" s="493"/>
      <c r="V268" s="493"/>
      <c r="W268" s="493"/>
      <c r="X268" s="1596"/>
      <c r="Y268" s="1596"/>
      <c r="Z268" s="1545"/>
      <c r="AA268" s="1494"/>
      <c r="AB268" s="904" t="str">
        <f>"ставка платы за "&amp;IF(Q224="Водоснабжение","потребление 1 куб.м холодной воды","объем принятых сточных вод")</f>
        <v>ставка платы за объем принятых сточных вод</v>
      </c>
      <c r="AC268" s="864" t="s">
        <v>2337</v>
      </c>
      <c r="AD268" s="2846"/>
      <c r="AE268" s="2846"/>
      <c r="AF268" s="1093">
        <f>IF(AD268=0,0,(AE268-AD268)/AD268*100)</f>
        <v>0</v>
      </c>
      <c r="AG268" s="2846"/>
      <c r="AH268" s="2846"/>
      <c r="AI268" s="1093">
        <f>IF(AG268=0,0,(AH268-AG268)/AG268*100)</f>
        <v>0</v>
      </c>
      <c r="AJ268" s="2846"/>
      <c r="AK268" s="2846"/>
      <c r="AL268" s="1093">
        <f>IF(AJ268=0,0,(AK268-AJ268)/AJ268*100)</f>
        <v>0</v>
      </c>
      <c r="AM268" s="2846"/>
      <c r="AN268" s="2846"/>
      <c r="AO268" s="1093">
        <f>IF(AM268=0,0,(AN268-AM268)/AM268*100)</f>
        <v>0</v>
      </c>
      <c r="AP268" s="2846"/>
      <c r="AQ268" s="2846"/>
      <c r="AR268" s="1093">
        <f>IF(AP268=0,0,(AQ268-AP268)/AP268*100)</f>
        <v>0</v>
      </c>
      <c r="AS268" s="2846"/>
      <c r="AT268" s="2846"/>
      <c r="AU268" s="1093">
        <f>IF(AS268=0,0,(AT268-AS268)/AS268*100)</f>
        <v>0</v>
      </c>
      <c r="AV268" s="2846"/>
      <c r="AW268" s="2846"/>
      <c r="AX268" s="1093">
        <f>IF(AV268=0,0,(AW268-AV268)/AV268*100)</f>
        <v>0</v>
      </c>
      <c r="AY268" s="2846"/>
      <c r="AZ268" s="2846"/>
      <c r="BA268" s="1093">
        <f>IF(AY268=0,0,(AZ268-AY268)/AY268*100)</f>
        <v>0</v>
      </c>
      <c r="BB268" s="2846"/>
      <c r="BC268" s="2846"/>
      <c r="BD268" s="1093">
        <f>IF(BB268=0,0,(BC268-BB268)/BB268*100)</f>
        <v>0</v>
      </c>
      <c r="BE268" s="2846"/>
      <c r="BF268" s="2846"/>
      <c r="BG268" s="1093">
        <f>IF(BE268=0,0,(BF268-BE268)/BE268*100)</f>
        <v>0</v>
      </c>
      <c r="BH268" s="2846"/>
      <c r="BI268" s="2846"/>
      <c r="BJ268" s="1093">
        <f>IF(BH268=0,0,(BI268-BH268)/BH268*100)</f>
        <v>0</v>
      </c>
      <c r="BK268" s="2846"/>
      <c r="BL268" s="2846"/>
      <c r="BM268" s="1093">
        <f>IF(BK268=0,0,(BL268-BK268)/BK268*100)</f>
        <v>0</v>
      </c>
      <c r="BN268" s="2846"/>
      <c r="BO268" s="2846"/>
      <c r="BP268" s="1093">
        <f>IF(BN268=0,0,(BO268-BN268)/BN268*100)</f>
        <v>0</v>
      </c>
      <c r="BQ268" s="2846"/>
      <c r="BR268" s="2846"/>
      <c r="BS268" s="1093">
        <f>IF(BQ268=0,0,(BR268-BQ268)/BQ268*100)</f>
        <v>0</v>
      </c>
      <c r="BT268" s="2846"/>
      <c r="BU268" s="2846"/>
      <c r="BV268" s="1093">
        <f>IF(BT268=0,0,(BU268-BT268)/BT268*100)</f>
        <v>0</v>
      </c>
      <c r="BW268" s="2846"/>
      <c r="BX268" s="2846"/>
      <c r="BY268" s="1093">
        <f>IF(BW268=0,0,(BX268-BW268)/BW268*100)</f>
        <v>0</v>
      </c>
      <c r="BZ268" s="2846"/>
      <c r="CA268" s="2846"/>
      <c r="CB268" s="1093">
        <f>IF(BZ268=0,0,(CA268-BZ268)/BZ268*100)</f>
        <v>0</v>
      </c>
      <c r="CC268" s="2846"/>
      <c r="CD268" s="2846"/>
      <c r="CE268" s="1093">
        <f>IF(CC268=0,0,(CD268-CC268)/CC268*100)</f>
        <v>0</v>
      </c>
      <c r="CF268" s="2846"/>
      <c r="CG268" s="2846"/>
      <c r="CH268" s="1093">
        <f>IF(CF268=0,0,(CG268-CF268)/CF268*100)</f>
        <v>0</v>
      </c>
      <c r="CI268" s="2846"/>
      <c r="CJ268" s="2846"/>
      <c r="CK268" s="1093">
        <f>IF(CI268=0,0,(CJ268-CI268)/CI268*100)</f>
        <v>0</v>
      </c>
      <c r="CL268" s="2846"/>
      <c r="CM268" s="2846"/>
      <c r="CN268" s="1093">
        <f>IF(CL268=0,0,(CM268-CL268)/CL268*100)</f>
        <v>0</v>
      </c>
      <c r="CO268" s="2846"/>
      <c r="CP268" s="2846"/>
      <c r="CQ268" s="1093">
        <f>IF(CO268=0,0,(CP268-CO268)/CO268*100)</f>
        <v>0</v>
      </c>
      <c r="CR268" s="2846"/>
      <c r="CS268" s="2846"/>
      <c r="CT268" s="1093">
        <f>IF(CR268=0,0,(CS268-CR268)/CR268*100)</f>
        <v>0</v>
      </c>
      <c r="CU268" s="2846"/>
      <c r="CV268" s="2846"/>
      <c r="CW268" s="1093">
        <f>IF(CU268=0,0,(CV268-CU268)/CU268*100)</f>
        <v>0</v>
      </c>
      <c r="CX268" s="2846"/>
      <c r="CY268" s="2846"/>
      <c r="CZ268" s="1093">
        <f>IF(CX268=0,0,(CY268-CX268)/CX268*100)</f>
        <v>0</v>
      </c>
      <c r="DA268" s="2846"/>
      <c r="DB268" s="2846"/>
      <c r="DC268" s="1093">
        <f>IF(DA268=0,0,(DB268-DA268)/DA268*100)</f>
        <v>0</v>
      </c>
      <c r="DD268" s="2846"/>
      <c r="DE268" s="2846"/>
      <c r="DF268" s="1093">
        <f>IF(DD268=0,0,(DE268-DD268)/DD268*100)</f>
        <v>0</v>
      </c>
      <c r="DG268" s="2846"/>
      <c r="DH268" s="2846"/>
      <c r="DI268" s="1093">
        <f>IF(DG268=0,0,(DH268-DG268)/DG268*100)</f>
        <v>0</v>
      </c>
      <c r="DJ268" s="2846"/>
      <c r="DK268" s="2846"/>
      <c r="DL268" s="1093">
        <f>IF(DJ268=0,0,(DK268-DJ268)/DJ268*100)</f>
        <v>0</v>
      </c>
      <c r="DM268" s="2846"/>
      <c r="DN268" s="2846"/>
      <c r="DO268" s="1093">
        <f>IF(DM268=0,0,(DN268-DM268)/DM268*100)</f>
        <v>0</v>
      </c>
      <c r="DP268" s="2846"/>
      <c r="DQ268" s="2846"/>
      <c r="DR268" s="1093">
        <f>IF(DP268=0,0,(DQ268-DP268)/DP268*100)</f>
        <v>0</v>
      </c>
      <c r="DS268" s="2846"/>
      <c r="DT268" s="2846"/>
      <c r="DU268" s="1093">
        <f>IF(DS268=0,0,(DT268-DS268)/DS268*100)</f>
        <v>0</v>
      </c>
      <c r="DV268" s="2846"/>
      <c r="DW268" s="2846"/>
      <c r="DX268" s="1093">
        <f>IF(DV268=0,0,(DW268-DV268)/DV268*100)</f>
        <v>0</v>
      </c>
      <c r="DY268" s="2846"/>
      <c r="DZ268" s="2846"/>
      <c r="EA268" s="1093">
        <f>IF(DY268=0,0,(DZ268-DY268)/DY268*100)</f>
        <v>0</v>
      </c>
      <c r="EB268" s="2846"/>
      <c r="EC268" s="2846"/>
      <c r="ED268" s="1093">
        <f>IF(EB268=0,0,(EC268-EB268)/EB268*100)</f>
        <v>0</v>
      </c>
      <c r="EE268" s="2846"/>
      <c r="EF268" s="2846"/>
      <c r="EG268" s="1093">
        <f>IF(EE268=0,0,(EF268-EE268)/EE268*100)</f>
        <v>0</v>
      </c>
      <c r="EH268" s="2846"/>
      <c r="EI268" s="2846"/>
      <c r="EJ268" s="1093">
        <f>IF(EH268=0,0,(EI268-EH268)/EH268*100)</f>
        <v>0</v>
      </c>
      <c r="EK268" s="2846"/>
      <c r="EL268" s="2846"/>
      <c r="EM268" s="1093">
        <f>IF(EK268=0,0,(EL268-EK268)/EK268*100)</f>
        <v>0</v>
      </c>
      <c r="EN268" s="2846"/>
      <c r="EO268" s="2846"/>
      <c r="EP268" s="1093">
        <f>IF(EN268=0,0,(EO268-EN268)/EN268*100)</f>
        <v>0</v>
      </c>
      <c r="EQ268" s="2846"/>
      <c r="ER268" s="2846"/>
      <c r="ES268" s="1093">
        <f>IF(EQ268=0,0,(ER268-EQ268)/EQ268*100)</f>
        <v>0</v>
      </c>
      <c r="ET268" s="2846"/>
      <c r="EU268" s="2846"/>
      <c r="EV268" s="1093">
        <f>IF(ET268=0,0,(EU268-ET268)/ET268*100)</f>
        <v>0</v>
      </c>
      <c r="EW268" s="2846"/>
      <c r="EX268" s="2846"/>
      <c r="EY268" s="1093">
        <f>IF(EW268=0,0,(EX268-EW268)/EW268*100)</f>
        <v>0</v>
      </c>
      <c r="EZ268" s="2846"/>
      <c r="FA268" s="2846"/>
      <c r="FB268" s="1093">
        <f>IF(EZ268=0,0,(FA268-EZ268)/EZ268*100)</f>
        <v>0</v>
      </c>
      <c r="FC268" s="2846"/>
      <c r="FD268" s="2846"/>
      <c r="FE268" s="1093">
        <f>IF(FC268=0,0,(FD268-FC268)/FC268*100)</f>
        <v>0</v>
      </c>
      <c r="FF268" s="2846"/>
      <c r="FG268" s="2846"/>
      <c r="FH268" s="1093">
        <f>IF(FF268=0,0,(FG268-FF268)/FF268*100)</f>
        <v>0</v>
      </c>
      <c r="FI268" s="2846"/>
      <c r="FJ268" s="2846"/>
      <c r="FK268" s="1093">
        <f>IF(FI268=0,0,(FJ268-FI268)/FI268*100)</f>
        <v>0</v>
      </c>
      <c r="FL268" s="2846"/>
      <c r="FM268" s="2846"/>
      <c r="FN268" s="1093">
        <f>IF(FL268=0,0,(FM268-FL268)/FL268*100)</f>
        <v>0</v>
      </c>
      <c r="FO268" s="2846"/>
      <c r="FP268" s="2846"/>
      <c r="FQ268" s="1093">
        <f>IF(FO268=0,0,(FP268-FO268)/FO268*100)</f>
        <v>0</v>
      </c>
      <c r="FR268" s="2846"/>
      <c r="FS268" s="2846"/>
      <c r="FT268" s="1093">
        <f>IF(FR268=0,0,(FS268-FR268)/FR268*100)</f>
        <v>0</v>
      </c>
      <c r="FU268" s="2846"/>
      <c r="FV268" s="2846"/>
      <c r="FW268" s="1093">
        <f>IF(FU268=0,0,(FV268-FU268)/FU268*100)</f>
        <v>0</v>
      </c>
      <c r="FZ268" s="1306" t="s">
        <v>2410</v>
      </c>
      <c r="GA268" s="1306" t="s">
        <v>1594</v>
      </c>
      <c r="GB268" s="1306" cm="1" t="str">
        <f t="array" ref="GB268:GB268">GB267</f>
        <v>0</v>
      </c>
    </row>
    <row customHeight="1" ht="18.525" hidden="1">
      <c r="A269" s="493"/>
      <c r="B269" s="925" cm="1" t="str">
        <f t="array" ref="B269:B269">B268</f>
        <v>false</v>
      </c>
      <c r="C269" s="493"/>
      <c r="D269" s="493"/>
      <c r="E269" s="840">
        <v>19</v>
      </c>
      <c r="F269" s="50" cm="1" t="str">
        <f t="array" ref="F269:F269">OFFSET(E269,-1,1)</f>
        <v>3</v>
      </c>
      <c r="G269" s="493"/>
      <c r="H269" s="493"/>
      <c r="I269" s="493"/>
      <c r="J269" s="493"/>
      <c r="K269" s="493"/>
      <c r="L269" s="493"/>
      <c r="M269" s="493"/>
      <c r="N269" s="493"/>
      <c r="O269" s="493"/>
      <c r="P269" s="493"/>
      <c r="Q269" s="493"/>
      <c r="R269" s="493"/>
      <c r="S269" s="493"/>
      <c r="T269" s="465" cm="1" t="str">
        <f t="array" ref="T269:T269">T268</f>
        <v>false</v>
      </c>
      <c r="U269" s="493"/>
      <c r="V269" s="493"/>
      <c r="W269" s="493"/>
      <c r="X269" s="1596"/>
      <c r="Y269" s="1596"/>
      <c r="Z269" s="1545"/>
      <c r="AA269" s="1494"/>
      <c r="AB269" s="904" t="str">
        <f>"объём "&amp;IF(Q224="Водоснабжение","потребления холодной воды","водоотведения")</f>
        <v>объём водоотведения</v>
      </c>
      <c r="AC269" s="864" t="s">
        <v>1247</v>
      </c>
      <c r="AD269" s="5247"/>
      <c r="AE269" s="5247"/>
      <c r="AF269" s="1095">
        <f>IF(AD269=0,0,(AE269-AD269)/AD269*100)</f>
        <v>0</v>
      </c>
      <c r="AG269" s="5247"/>
      <c r="AH269" s="5247"/>
      <c r="AI269" s="1095">
        <f>IF(AG269=0,0,(AH269-AG269)/AG269*100)</f>
        <v>0</v>
      </c>
      <c r="AJ269" s="5247"/>
      <c r="AK269" s="5247"/>
      <c r="AL269" s="1095">
        <f>IF(AJ269=0,0,(AK269-AJ269)/AJ269*100)</f>
        <v>0</v>
      </c>
      <c r="AM269" s="5247"/>
      <c r="AN269" s="5247"/>
      <c r="AO269" s="1095">
        <f>IF(AM269=0,0,(AN269-AM269)/AM269*100)</f>
        <v>0</v>
      </c>
      <c r="AP269" s="5247"/>
      <c r="AQ269" s="5247"/>
      <c r="AR269" s="1095">
        <f>IF(AP269=0,0,(AQ269-AP269)/AP269*100)</f>
        <v>0</v>
      </c>
      <c r="AS269" s="5247"/>
      <c r="AT269" s="5247"/>
      <c r="AU269" s="1095">
        <f>IF(AS269=0,0,(AT269-AS269)/AS269*100)</f>
        <v>0</v>
      </c>
      <c r="AV269" s="5247"/>
      <c r="AW269" s="5247"/>
      <c r="AX269" s="1095">
        <f>IF(AV269=0,0,(AW269-AV269)/AV269*100)</f>
        <v>0</v>
      </c>
      <c r="AY269" s="5247"/>
      <c r="AZ269" s="5247"/>
      <c r="BA269" s="1095">
        <f>IF(AY269=0,0,(AZ269-AY269)/AY269*100)</f>
        <v>0</v>
      </c>
      <c r="BB269" s="5247"/>
      <c r="BC269" s="5247"/>
      <c r="BD269" s="1095">
        <f>IF(BB269=0,0,(BC269-BB269)/BB269*100)</f>
        <v>0</v>
      </c>
      <c r="BE269" s="5247"/>
      <c r="BF269" s="5247"/>
      <c r="BG269" s="1095">
        <f>IF(BE269=0,0,(BF269-BE269)/BE269*100)</f>
        <v>0</v>
      </c>
      <c r="BH269" s="5247"/>
      <c r="BI269" s="5247"/>
      <c r="BJ269" s="1095">
        <f>IF(BH269=0,0,(BI269-BH269)/BH269*100)</f>
        <v>0</v>
      </c>
      <c r="BK269" s="5247"/>
      <c r="BL269" s="5247"/>
      <c r="BM269" s="1095">
        <f>IF(BK269=0,0,(BL269-BK269)/BK269*100)</f>
        <v>0</v>
      </c>
      <c r="BN269" s="5247"/>
      <c r="BO269" s="5247"/>
      <c r="BP269" s="1095">
        <f>IF(BN269=0,0,(BO269-BN269)/BN269*100)</f>
        <v>0</v>
      </c>
      <c r="BQ269" s="5247"/>
      <c r="BR269" s="5247"/>
      <c r="BS269" s="1095">
        <f>IF(BQ269=0,0,(BR269-BQ269)/BQ269*100)</f>
        <v>0</v>
      </c>
      <c r="BT269" s="5247"/>
      <c r="BU269" s="5247"/>
      <c r="BV269" s="1095">
        <f>IF(BT269=0,0,(BU269-BT269)/BT269*100)</f>
        <v>0</v>
      </c>
      <c r="BW269" s="5247"/>
      <c r="BX269" s="5247"/>
      <c r="BY269" s="1095">
        <f>IF(BW269=0,0,(BX269-BW269)/BW269*100)</f>
        <v>0</v>
      </c>
      <c r="BZ269" s="5247"/>
      <c r="CA269" s="5247"/>
      <c r="CB269" s="1095">
        <f>IF(BZ269=0,0,(CA269-BZ269)/BZ269*100)</f>
        <v>0</v>
      </c>
      <c r="CC269" s="5247"/>
      <c r="CD269" s="5247"/>
      <c r="CE269" s="1095">
        <f>IF(CC269=0,0,(CD269-CC269)/CC269*100)</f>
        <v>0</v>
      </c>
      <c r="CF269" s="5247"/>
      <c r="CG269" s="5247"/>
      <c r="CH269" s="1095">
        <f>IF(CF269=0,0,(CG269-CF269)/CF269*100)</f>
        <v>0</v>
      </c>
      <c r="CI269" s="5247"/>
      <c r="CJ269" s="5247"/>
      <c r="CK269" s="1095">
        <f>IF(CI269=0,0,(CJ269-CI269)/CI269*100)</f>
        <v>0</v>
      </c>
      <c r="CL269" s="5247"/>
      <c r="CM269" s="5247"/>
      <c r="CN269" s="1095">
        <f>IF(CL269=0,0,(CM269-CL269)/CL269*100)</f>
        <v>0</v>
      </c>
      <c r="CO269" s="5247"/>
      <c r="CP269" s="5247"/>
      <c r="CQ269" s="1095">
        <f>IF(CO269=0,0,(CP269-CO269)/CO269*100)</f>
        <v>0</v>
      </c>
      <c r="CR269" s="5247"/>
      <c r="CS269" s="5247"/>
      <c r="CT269" s="1095">
        <f>IF(CR269=0,0,(CS269-CR269)/CR269*100)</f>
        <v>0</v>
      </c>
      <c r="CU269" s="5247"/>
      <c r="CV269" s="5247"/>
      <c r="CW269" s="1095">
        <f>IF(CU269=0,0,(CV269-CU269)/CU269*100)</f>
        <v>0</v>
      </c>
      <c r="CX269" s="5247"/>
      <c r="CY269" s="5247"/>
      <c r="CZ269" s="1095">
        <f>IF(CX269=0,0,(CY269-CX269)/CX269*100)</f>
        <v>0</v>
      </c>
      <c r="DA269" s="5247"/>
      <c r="DB269" s="5247"/>
      <c r="DC269" s="1095">
        <f>IF(DA269=0,0,(DB269-DA269)/DA269*100)</f>
        <v>0</v>
      </c>
      <c r="DD269" s="5247"/>
      <c r="DE269" s="5247"/>
      <c r="DF269" s="1095">
        <f>IF(DD269=0,0,(DE269-DD269)/DD269*100)</f>
        <v>0</v>
      </c>
      <c r="DG269" s="5247"/>
      <c r="DH269" s="5247"/>
      <c r="DI269" s="1095">
        <f>IF(DG269=0,0,(DH269-DG269)/DG269*100)</f>
        <v>0</v>
      </c>
      <c r="DJ269" s="5247"/>
      <c r="DK269" s="5247"/>
      <c r="DL269" s="1095">
        <f>IF(DJ269=0,0,(DK269-DJ269)/DJ269*100)</f>
        <v>0</v>
      </c>
      <c r="DM269" s="5247"/>
      <c r="DN269" s="5247"/>
      <c r="DO269" s="1095">
        <f>IF(DM269=0,0,(DN269-DM269)/DM269*100)</f>
        <v>0</v>
      </c>
      <c r="DP269" s="5247"/>
      <c r="DQ269" s="5247"/>
      <c r="DR269" s="1095">
        <f>IF(DP269=0,0,(DQ269-DP269)/DP269*100)</f>
        <v>0</v>
      </c>
      <c r="DS269" s="5247"/>
      <c r="DT269" s="5247"/>
      <c r="DU269" s="1095">
        <f>IF(DS269=0,0,(DT269-DS269)/DS269*100)</f>
        <v>0</v>
      </c>
      <c r="DV269" s="5247"/>
      <c r="DW269" s="5247"/>
      <c r="DX269" s="1095">
        <f>IF(DV269=0,0,(DW269-DV269)/DV269*100)</f>
        <v>0</v>
      </c>
      <c r="DY269" s="5247"/>
      <c r="DZ269" s="5247"/>
      <c r="EA269" s="1095">
        <f>IF(DY269=0,0,(DZ269-DY269)/DY269*100)</f>
        <v>0</v>
      </c>
      <c r="EB269" s="5247"/>
      <c r="EC269" s="5247"/>
      <c r="ED269" s="1095">
        <f>IF(EB269=0,0,(EC269-EB269)/EB269*100)</f>
        <v>0</v>
      </c>
      <c r="EE269" s="5247"/>
      <c r="EF269" s="5247"/>
      <c r="EG269" s="1095">
        <f>IF(EE269=0,0,(EF269-EE269)/EE269*100)</f>
        <v>0</v>
      </c>
      <c r="EH269" s="5247"/>
      <c r="EI269" s="5247"/>
      <c r="EJ269" s="1095">
        <f>IF(EH269=0,0,(EI269-EH269)/EH269*100)</f>
        <v>0</v>
      </c>
      <c r="EK269" s="5247"/>
      <c r="EL269" s="5247"/>
      <c r="EM269" s="1095">
        <f>IF(EK269=0,0,(EL269-EK269)/EK269*100)</f>
        <v>0</v>
      </c>
      <c r="EN269" s="5247"/>
      <c r="EO269" s="5247"/>
      <c r="EP269" s="1095">
        <f>IF(EN269=0,0,(EO269-EN269)/EN269*100)</f>
        <v>0</v>
      </c>
      <c r="EQ269" s="5247"/>
      <c r="ER269" s="5247"/>
      <c r="ES269" s="1095">
        <f>IF(EQ269=0,0,(ER269-EQ269)/EQ269*100)</f>
        <v>0</v>
      </c>
      <c r="ET269" s="5247"/>
      <c r="EU269" s="5247"/>
      <c r="EV269" s="1095">
        <f>IF(ET269=0,0,(EU269-ET269)/ET269*100)</f>
        <v>0</v>
      </c>
      <c r="EW269" s="5247"/>
      <c r="EX269" s="5247"/>
      <c r="EY269" s="1095">
        <f>IF(EW269=0,0,(EX269-EW269)/EW269*100)</f>
        <v>0</v>
      </c>
      <c r="EZ269" s="5247"/>
      <c r="FA269" s="5247"/>
      <c r="FB269" s="1095">
        <f>IF(EZ269=0,0,(FA269-EZ269)/EZ269*100)</f>
        <v>0</v>
      </c>
      <c r="FC269" s="5247"/>
      <c r="FD269" s="5247"/>
      <c r="FE269" s="1095">
        <f>IF(FC269=0,0,(FD269-FC269)/FC269*100)</f>
        <v>0</v>
      </c>
      <c r="FF269" s="5247"/>
      <c r="FG269" s="5247"/>
      <c r="FH269" s="1095">
        <f>IF(FF269=0,0,(FG269-FF269)/FF269*100)</f>
        <v>0</v>
      </c>
      <c r="FI269" s="5247"/>
      <c r="FJ269" s="5247"/>
      <c r="FK269" s="1095">
        <f>IF(FI269=0,0,(FJ269-FI269)/FI269*100)</f>
        <v>0</v>
      </c>
      <c r="FL269" s="5247"/>
      <c r="FM269" s="5247"/>
      <c r="FN269" s="1095">
        <f>IF(FL269=0,0,(FM269-FL269)/FL269*100)</f>
        <v>0</v>
      </c>
      <c r="FO269" s="5247"/>
      <c r="FP269" s="5247"/>
      <c r="FQ269" s="1095">
        <f>IF(FO269=0,0,(FP269-FO269)/FO269*100)</f>
        <v>0</v>
      </c>
      <c r="FR269" s="5247"/>
      <c r="FS269" s="5247"/>
      <c r="FT269" s="1095">
        <f>IF(FR269=0,0,(FS269-FR269)/FR269*100)</f>
        <v>0</v>
      </c>
      <c r="FU269" s="5247"/>
      <c r="FV269" s="5247"/>
      <c r="FW269" s="1095">
        <f>IF(FU269=0,0,(FV269-FU269)/FU269*100)</f>
        <v>0</v>
      </c>
      <c r="FZ269" s="1306" t="s">
        <v>2411</v>
      </c>
      <c r="GA269" s="1306" t="s">
        <v>1594</v>
      </c>
      <c r="GB269" s="1306" cm="1" t="str">
        <f t="array" ref="GB269:GB269">GB268</f>
        <v>0</v>
      </c>
    </row>
    <row customHeight="1" ht="23.25" hidden="1">
      <c r="A270" s="493"/>
      <c r="B270" s="925" cm="1" t="str">
        <f t="array" ref="B270:B270">B269</f>
        <v>false</v>
      </c>
      <c r="C270" s="493"/>
      <c r="D270" s="493"/>
      <c r="E270" s="840">
        <v>19</v>
      </c>
      <c r="F270" s="50" cm="1" t="str">
        <f t="array" ref="F270:F270">OFFSET(E270,-1,1)</f>
        <v>3</v>
      </c>
      <c r="G270" s="493"/>
      <c r="H270" s="493"/>
      <c r="I270" s="493"/>
      <c r="J270" s="493"/>
      <c r="K270" s="493"/>
      <c r="L270" s="493"/>
      <c r="M270" s="493"/>
      <c r="N270" s="493"/>
      <c r="O270" s="493"/>
      <c r="P270" s="493"/>
      <c r="Q270" s="493"/>
      <c r="R270" s="493"/>
      <c r="S270" s="493"/>
      <c r="T270" s="465" cm="1" t="str">
        <f t="array" ref="T270:T270">T269</f>
        <v>false</v>
      </c>
      <c r="U270" s="493"/>
      <c r="V270" s="493"/>
      <c r="W270" s="493"/>
      <c r="X270" s="1596"/>
      <c r="Y270" s="1596"/>
      <c r="Z270" s="1545"/>
      <c r="AA270" s="1494"/>
      <c r="AB270" s="904" t="str">
        <f>"ставка платы за содержание системы "&amp;IF(Q224="Водоснабжение","холодного водоснабжения","водоотведения")</f>
        <v>ставка платы за содержание системы водоотведения</v>
      </c>
      <c r="AC270" s="864" t="s">
        <v>2377</v>
      </c>
      <c r="AD270" s="2846"/>
      <c r="AE270" s="2846"/>
      <c r="AF270" s="1093">
        <f>IF(AD270=0,0,(AE270-AD270)/AD270*100)</f>
        <v>0</v>
      </c>
      <c r="AG270" s="2846"/>
      <c r="AH270" s="2846"/>
      <c r="AI270" s="1093">
        <f>IF(AG270=0,0,(AH270-AG270)/AG270*100)</f>
        <v>0</v>
      </c>
      <c r="AJ270" s="2846"/>
      <c r="AK270" s="2846"/>
      <c r="AL270" s="1093">
        <f>IF(AJ270=0,0,(AK270-AJ270)/AJ270*100)</f>
        <v>0</v>
      </c>
      <c r="AM270" s="2846"/>
      <c r="AN270" s="2846"/>
      <c r="AO270" s="1093">
        <f>IF(AM270=0,0,(AN270-AM270)/AM270*100)</f>
        <v>0</v>
      </c>
      <c r="AP270" s="2846"/>
      <c r="AQ270" s="2846"/>
      <c r="AR270" s="1093">
        <f>IF(AP270=0,0,(AQ270-AP270)/AP270*100)</f>
        <v>0</v>
      </c>
      <c r="AS270" s="2846"/>
      <c r="AT270" s="2846"/>
      <c r="AU270" s="1093">
        <f>IF(AS270=0,0,(AT270-AS270)/AS270*100)</f>
        <v>0</v>
      </c>
      <c r="AV270" s="2846"/>
      <c r="AW270" s="2846"/>
      <c r="AX270" s="1093">
        <f>IF(AV270=0,0,(AW270-AV270)/AV270*100)</f>
        <v>0</v>
      </c>
      <c r="AY270" s="2846"/>
      <c r="AZ270" s="2846"/>
      <c r="BA270" s="1093">
        <f>IF(AY270=0,0,(AZ270-AY270)/AY270*100)</f>
        <v>0</v>
      </c>
      <c r="BB270" s="2846"/>
      <c r="BC270" s="2846"/>
      <c r="BD270" s="1093">
        <f>IF(BB270=0,0,(BC270-BB270)/BB270*100)</f>
        <v>0</v>
      </c>
      <c r="BE270" s="2846"/>
      <c r="BF270" s="2846"/>
      <c r="BG270" s="1093">
        <f>IF(BE270=0,0,(BF270-BE270)/BE270*100)</f>
        <v>0</v>
      </c>
      <c r="BH270" s="2846"/>
      <c r="BI270" s="2846"/>
      <c r="BJ270" s="1093">
        <f>IF(BH270=0,0,(BI270-BH270)/BH270*100)</f>
        <v>0</v>
      </c>
      <c r="BK270" s="2846"/>
      <c r="BL270" s="2846"/>
      <c r="BM270" s="1093">
        <f>IF(BK270=0,0,(BL270-BK270)/BK270*100)</f>
        <v>0</v>
      </c>
      <c r="BN270" s="2846"/>
      <c r="BO270" s="2846"/>
      <c r="BP270" s="1093">
        <f>IF(BN270=0,0,(BO270-BN270)/BN270*100)</f>
        <v>0</v>
      </c>
      <c r="BQ270" s="2846"/>
      <c r="BR270" s="2846"/>
      <c r="BS270" s="1093">
        <f>IF(BQ270=0,0,(BR270-BQ270)/BQ270*100)</f>
        <v>0</v>
      </c>
      <c r="BT270" s="2846"/>
      <c r="BU270" s="2846"/>
      <c r="BV270" s="1093">
        <f>IF(BT270=0,0,(BU270-BT270)/BT270*100)</f>
        <v>0</v>
      </c>
      <c r="BW270" s="2846"/>
      <c r="BX270" s="2846"/>
      <c r="BY270" s="1093">
        <f>IF(BW270=0,0,(BX270-BW270)/BW270*100)</f>
        <v>0</v>
      </c>
      <c r="BZ270" s="2846"/>
      <c r="CA270" s="2846"/>
      <c r="CB270" s="1093">
        <f>IF(BZ270=0,0,(CA270-BZ270)/BZ270*100)</f>
        <v>0</v>
      </c>
      <c r="CC270" s="2846"/>
      <c r="CD270" s="2846"/>
      <c r="CE270" s="1093">
        <f>IF(CC270=0,0,(CD270-CC270)/CC270*100)</f>
        <v>0</v>
      </c>
      <c r="CF270" s="2846"/>
      <c r="CG270" s="2846"/>
      <c r="CH270" s="1093">
        <f>IF(CF270=0,0,(CG270-CF270)/CF270*100)</f>
        <v>0</v>
      </c>
      <c r="CI270" s="2846"/>
      <c r="CJ270" s="2846"/>
      <c r="CK270" s="1093">
        <f>IF(CI270=0,0,(CJ270-CI270)/CI270*100)</f>
        <v>0</v>
      </c>
      <c r="CL270" s="2846"/>
      <c r="CM270" s="2846"/>
      <c r="CN270" s="1093">
        <f>IF(CL270=0,0,(CM270-CL270)/CL270*100)</f>
        <v>0</v>
      </c>
      <c r="CO270" s="2846"/>
      <c r="CP270" s="2846"/>
      <c r="CQ270" s="1093">
        <f>IF(CO270=0,0,(CP270-CO270)/CO270*100)</f>
        <v>0</v>
      </c>
      <c r="CR270" s="2846"/>
      <c r="CS270" s="2846"/>
      <c r="CT270" s="1093">
        <f>IF(CR270=0,0,(CS270-CR270)/CR270*100)</f>
        <v>0</v>
      </c>
      <c r="CU270" s="2846"/>
      <c r="CV270" s="2846"/>
      <c r="CW270" s="1093">
        <f>IF(CU270=0,0,(CV270-CU270)/CU270*100)</f>
        <v>0</v>
      </c>
      <c r="CX270" s="2846"/>
      <c r="CY270" s="2846"/>
      <c r="CZ270" s="1093">
        <f>IF(CX270=0,0,(CY270-CX270)/CX270*100)</f>
        <v>0</v>
      </c>
      <c r="DA270" s="2846"/>
      <c r="DB270" s="2846"/>
      <c r="DC270" s="1093">
        <f>IF(DA270=0,0,(DB270-DA270)/DA270*100)</f>
        <v>0</v>
      </c>
      <c r="DD270" s="2846"/>
      <c r="DE270" s="2846"/>
      <c r="DF270" s="1093">
        <f>IF(DD270=0,0,(DE270-DD270)/DD270*100)</f>
        <v>0</v>
      </c>
      <c r="DG270" s="2846"/>
      <c r="DH270" s="2846"/>
      <c r="DI270" s="1093">
        <f>IF(DG270=0,0,(DH270-DG270)/DG270*100)</f>
        <v>0</v>
      </c>
      <c r="DJ270" s="2846"/>
      <c r="DK270" s="2846"/>
      <c r="DL270" s="1093">
        <f>IF(DJ270=0,0,(DK270-DJ270)/DJ270*100)</f>
        <v>0</v>
      </c>
      <c r="DM270" s="2846"/>
      <c r="DN270" s="2846"/>
      <c r="DO270" s="1093">
        <f>IF(DM270=0,0,(DN270-DM270)/DM270*100)</f>
        <v>0</v>
      </c>
      <c r="DP270" s="2846"/>
      <c r="DQ270" s="2846"/>
      <c r="DR270" s="1093">
        <f>IF(DP270=0,0,(DQ270-DP270)/DP270*100)</f>
        <v>0</v>
      </c>
      <c r="DS270" s="2846"/>
      <c r="DT270" s="2846"/>
      <c r="DU270" s="1093">
        <f>IF(DS270=0,0,(DT270-DS270)/DS270*100)</f>
        <v>0</v>
      </c>
      <c r="DV270" s="2846"/>
      <c r="DW270" s="2846"/>
      <c r="DX270" s="1093">
        <f>IF(DV270=0,0,(DW270-DV270)/DV270*100)</f>
        <v>0</v>
      </c>
      <c r="DY270" s="2846"/>
      <c r="DZ270" s="2846"/>
      <c r="EA270" s="1093">
        <f>IF(DY270=0,0,(DZ270-DY270)/DY270*100)</f>
        <v>0</v>
      </c>
      <c r="EB270" s="2846"/>
      <c r="EC270" s="2846"/>
      <c r="ED270" s="1093">
        <f>IF(EB270=0,0,(EC270-EB270)/EB270*100)</f>
        <v>0</v>
      </c>
      <c r="EE270" s="2846"/>
      <c r="EF270" s="2846"/>
      <c r="EG270" s="1093">
        <f>IF(EE270=0,0,(EF270-EE270)/EE270*100)</f>
        <v>0</v>
      </c>
      <c r="EH270" s="2846"/>
      <c r="EI270" s="2846"/>
      <c r="EJ270" s="1093">
        <f>IF(EH270=0,0,(EI270-EH270)/EH270*100)</f>
        <v>0</v>
      </c>
      <c r="EK270" s="2846"/>
      <c r="EL270" s="2846"/>
      <c r="EM270" s="1093">
        <f>IF(EK270=0,0,(EL270-EK270)/EK270*100)</f>
        <v>0</v>
      </c>
      <c r="EN270" s="2846"/>
      <c r="EO270" s="2846"/>
      <c r="EP270" s="1093">
        <f>IF(EN270=0,0,(EO270-EN270)/EN270*100)</f>
        <v>0</v>
      </c>
      <c r="EQ270" s="2846"/>
      <c r="ER270" s="2846"/>
      <c r="ES270" s="1093">
        <f>IF(EQ270=0,0,(ER270-EQ270)/EQ270*100)</f>
        <v>0</v>
      </c>
      <c r="ET270" s="2846"/>
      <c r="EU270" s="2846"/>
      <c r="EV270" s="1093">
        <f>IF(ET270=0,0,(EU270-ET270)/ET270*100)</f>
        <v>0</v>
      </c>
      <c r="EW270" s="2846"/>
      <c r="EX270" s="2846"/>
      <c r="EY270" s="1093">
        <f>IF(EW270=0,0,(EX270-EW270)/EW270*100)</f>
        <v>0</v>
      </c>
      <c r="EZ270" s="2846"/>
      <c r="FA270" s="2846"/>
      <c r="FB270" s="1093">
        <f>IF(EZ270=0,0,(FA270-EZ270)/EZ270*100)</f>
        <v>0</v>
      </c>
      <c r="FC270" s="2846"/>
      <c r="FD270" s="2846"/>
      <c r="FE270" s="1093">
        <f>IF(FC270=0,0,(FD270-FC270)/FC270*100)</f>
        <v>0</v>
      </c>
      <c r="FF270" s="2846"/>
      <c r="FG270" s="2846"/>
      <c r="FH270" s="1093">
        <f>IF(FF270=0,0,(FG270-FF270)/FF270*100)</f>
        <v>0</v>
      </c>
      <c r="FI270" s="2846"/>
      <c r="FJ270" s="2846"/>
      <c r="FK270" s="1093">
        <f>IF(FI270=0,0,(FJ270-FI270)/FI270*100)</f>
        <v>0</v>
      </c>
      <c r="FL270" s="2846"/>
      <c r="FM270" s="2846"/>
      <c r="FN270" s="1093">
        <f>IF(FL270=0,0,(FM270-FL270)/FL270*100)</f>
        <v>0</v>
      </c>
      <c r="FO270" s="2846"/>
      <c r="FP270" s="2846"/>
      <c r="FQ270" s="1093">
        <f>IF(FO270=0,0,(FP270-FO270)/FO270*100)</f>
        <v>0</v>
      </c>
      <c r="FR270" s="2846"/>
      <c r="FS270" s="2846"/>
      <c r="FT270" s="1093">
        <f>IF(FR270=0,0,(FS270-FR270)/FR270*100)</f>
        <v>0</v>
      </c>
      <c r="FU270" s="2846"/>
      <c r="FV270" s="2846"/>
      <c r="FW270" s="1093">
        <f>IF(FU270=0,0,(FV270-FU270)/FU270*100)</f>
        <v>0</v>
      </c>
      <c r="FZ270" s="1306" t="s">
        <v>2412</v>
      </c>
      <c r="GA270" s="1306" t="s">
        <v>1594</v>
      </c>
      <c r="GB270" s="1306" cm="1" t="str">
        <f t="array" ref="GB270:GB270">GB269</f>
        <v>0</v>
      </c>
    </row>
    <row customHeight="1" ht="18.525" hidden="1">
      <c r="A271" s="493"/>
      <c r="B271" s="925" cm="1" t="str">
        <f t="array" ref="B271:B271">B270</f>
        <v>false</v>
      </c>
      <c r="C271" s="493"/>
      <c r="D271" s="493"/>
      <c r="E271" s="840">
        <v>19</v>
      </c>
      <c r="F271" s="50" cm="1" t="str">
        <f t="array" ref="F271:F271">OFFSET(E271,-1,1)</f>
        <v>3</v>
      </c>
      <c r="G271" s="493"/>
      <c r="H271" s="493"/>
      <c r="I271" s="493"/>
      <c r="J271" s="493"/>
      <c r="K271" s="493"/>
      <c r="L271" s="493"/>
      <c r="M271" s="493"/>
      <c r="N271" s="493"/>
      <c r="O271" s="493"/>
      <c r="P271" s="493"/>
      <c r="Q271" s="493"/>
      <c r="R271" s="493"/>
      <c r="S271" s="493"/>
      <c r="T271" s="465" cm="1" t="str">
        <f t="array" ref="T271:T271">T270</f>
        <v>false</v>
      </c>
      <c r="U271" s="493"/>
      <c r="V271" s="493"/>
      <c r="W271" s="493"/>
      <c r="X271" s="1596"/>
      <c r="Y271" s="1596"/>
      <c r="Z271" s="1545"/>
      <c r="AA271" s="1494"/>
      <c r="AB271" s="904" t="s">
        <v>2380</v>
      </c>
      <c r="AC271" s="864" t="s">
        <v>2381</v>
      </c>
      <c r="AD271" s="2846"/>
      <c r="AE271" s="2846"/>
      <c r="AF271" s="1093">
        <f>IF(AD271=0,0,(AE271-AD271)/AD271*100)</f>
        <v>0</v>
      </c>
      <c r="AG271" s="2846"/>
      <c r="AH271" s="2846"/>
      <c r="AI271" s="1093">
        <f>IF(AG271=0,0,(AH271-AG271)/AG271*100)</f>
        <v>0</v>
      </c>
      <c r="AJ271" s="2846"/>
      <c r="AK271" s="2846"/>
      <c r="AL271" s="1093">
        <f>IF(AJ271=0,0,(AK271-AJ271)/AJ271*100)</f>
        <v>0</v>
      </c>
      <c r="AM271" s="2846"/>
      <c r="AN271" s="2846"/>
      <c r="AO271" s="1093">
        <f>IF(AM271=0,0,(AN271-AM271)/AM271*100)</f>
        <v>0</v>
      </c>
      <c r="AP271" s="2846"/>
      <c r="AQ271" s="2846"/>
      <c r="AR271" s="1093">
        <f>IF(AP271=0,0,(AQ271-AP271)/AP271*100)</f>
        <v>0</v>
      </c>
      <c r="AS271" s="2846"/>
      <c r="AT271" s="2846"/>
      <c r="AU271" s="1093">
        <f>IF(AS271=0,0,(AT271-AS271)/AS271*100)</f>
        <v>0</v>
      </c>
      <c r="AV271" s="2846"/>
      <c r="AW271" s="2846"/>
      <c r="AX271" s="1093">
        <f>IF(AV271=0,0,(AW271-AV271)/AV271*100)</f>
        <v>0</v>
      </c>
      <c r="AY271" s="2846"/>
      <c r="AZ271" s="2846"/>
      <c r="BA271" s="1093">
        <f>IF(AY271=0,0,(AZ271-AY271)/AY271*100)</f>
        <v>0</v>
      </c>
      <c r="BB271" s="2846"/>
      <c r="BC271" s="2846"/>
      <c r="BD271" s="1093">
        <f>IF(BB271=0,0,(BC271-BB271)/BB271*100)</f>
        <v>0</v>
      </c>
      <c r="BE271" s="2846"/>
      <c r="BF271" s="2846"/>
      <c r="BG271" s="1093">
        <f>IF(BE271=0,0,(BF271-BE271)/BE271*100)</f>
        <v>0</v>
      </c>
      <c r="BH271" s="2846"/>
      <c r="BI271" s="2846"/>
      <c r="BJ271" s="1093">
        <f>IF(BH271=0,0,(BI271-BH271)/BH271*100)</f>
        <v>0</v>
      </c>
      <c r="BK271" s="2846"/>
      <c r="BL271" s="2846"/>
      <c r="BM271" s="1093">
        <f>IF(BK271=0,0,(BL271-BK271)/BK271*100)</f>
        <v>0</v>
      </c>
      <c r="BN271" s="2846"/>
      <c r="BO271" s="2846"/>
      <c r="BP271" s="1093">
        <f>IF(BN271=0,0,(BO271-BN271)/BN271*100)</f>
        <v>0</v>
      </c>
      <c r="BQ271" s="2846"/>
      <c r="BR271" s="2846"/>
      <c r="BS271" s="1093">
        <f>IF(BQ271=0,0,(BR271-BQ271)/BQ271*100)</f>
        <v>0</v>
      </c>
      <c r="BT271" s="2846"/>
      <c r="BU271" s="2846"/>
      <c r="BV271" s="1093">
        <f>IF(BT271=0,0,(BU271-BT271)/BT271*100)</f>
        <v>0</v>
      </c>
      <c r="BW271" s="2846"/>
      <c r="BX271" s="2846"/>
      <c r="BY271" s="1093">
        <f>IF(BW271=0,0,(BX271-BW271)/BW271*100)</f>
        <v>0</v>
      </c>
      <c r="BZ271" s="2846"/>
      <c r="CA271" s="2846"/>
      <c r="CB271" s="1093">
        <f>IF(BZ271=0,0,(CA271-BZ271)/BZ271*100)</f>
        <v>0</v>
      </c>
      <c r="CC271" s="2846"/>
      <c r="CD271" s="2846"/>
      <c r="CE271" s="1093">
        <f>IF(CC271=0,0,(CD271-CC271)/CC271*100)</f>
        <v>0</v>
      </c>
      <c r="CF271" s="2846"/>
      <c r="CG271" s="2846"/>
      <c r="CH271" s="1093">
        <f>IF(CF271=0,0,(CG271-CF271)/CF271*100)</f>
        <v>0</v>
      </c>
      <c r="CI271" s="2846"/>
      <c r="CJ271" s="2846"/>
      <c r="CK271" s="1093">
        <f>IF(CI271=0,0,(CJ271-CI271)/CI271*100)</f>
        <v>0</v>
      </c>
      <c r="CL271" s="2846"/>
      <c r="CM271" s="2846"/>
      <c r="CN271" s="1093">
        <f>IF(CL271=0,0,(CM271-CL271)/CL271*100)</f>
        <v>0</v>
      </c>
      <c r="CO271" s="2846"/>
      <c r="CP271" s="2846"/>
      <c r="CQ271" s="1093">
        <f>IF(CO271=0,0,(CP271-CO271)/CO271*100)</f>
        <v>0</v>
      </c>
      <c r="CR271" s="2846"/>
      <c r="CS271" s="2846"/>
      <c r="CT271" s="1093">
        <f>IF(CR271=0,0,(CS271-CR271)/CR271*100)</f>
        <v>0</v>
      </c>
      <c r="CU271" s="2846"/>
      <c r="CV271" s="2846"/>
      <c r="CW271" s="1093">
        <f>IF(CU271=0,0,(CV271-CU271)/CU271*100)</f>
        <v>0</v>
      </c>
      <c r="CX271" s="2846"/>
      <c r="CY271" s="2846"/>
      <c r="CZ271" s="1093">
        <f>IF(CX271=0,0,(CY271-CX271)/CX271*100)</f>
        <v>0</v>
      </c>
      <c r="DA271" s="2846"/>
      <c r="DB271" s="2846"/>
      <c r="DC271" s="1093">
        <f>IF(DA271=0,0,(DB271-DA271)/DA271*100)</f>
        <v>0</v>
      </c>
      <c r="DD271" s="2846"/>
      <c r="DE271" s="2846"/>
      <c r="DF271" s="1093">
        <f>IF(DD271=0,0,(DE271-DD271)/DD271*100)</f>
        <v>0</v>
      </c>
      <c r="DG271" s="2846"/>
      <c r="DH271" s="2846"/>
      <c r="DI271" s="1093">
        <f>IF(DG271=0,0,(DH271-DG271)/DG271*100)</f>
        <v>0</v>
      </c>
      <c r="DJ271" s="2846"/>
      <c r="DK271" s="2846"/>
      <c r="DL271" s="1093">
        <f>IF(DJ271=0,0,(DK271-DJ271)/DJ271*100)</f>
        <v>0</v>
      </c>
      <c r="DM271" s="2846"/>
      <c r="DN271" s="2846"/>
      <c r="DO271" s="1093">
        <f>IF(DM271=0,0,(DN271-DM271)/DM271*100)</f>
        <v>0</v>
      </c>
      <c r="DP271" s="2846"/>
      <c r="DQ271" s="2846"/>
      <c r="DR271" s="1093">
        <f>IF(DP271=0,0,(DQ271-DP271)/DP271*100)</f>
        <v>0</v>
      </c>
      <c r="DS271" s="2846"/>
      <c r="DT271" s="2846"/>
      <c r="DU271" s="1093">
        <f>IF(DS271=0,0,(DT271-DS271)/DS271*100)</f>
        <v>0</v>
      </c>
      <c r="DV271" s="2846"/>
      <c r="DW271" s="2846"/>
      <c r="DX271" s="1093">
        <f>IF(DV271=0,0,(DW271-DV271)/DV271*100)</f>
        <v>0</v>
      </c>
      <c r="DY271" s="2846"/>
      <c r="DZ271" s="2846"/>
      <c r="EA271" s="1093">
        <f>IF(DY271=0,0,(DZ271-DY271)/DY271*100)</f>
        <v>0</v>
      </c>
      <c r="EB271" s="2846"/>
      <c r="EC271" s="2846"/>
      <c r="ED271" s="1093">
        <f>IF(EB271=0,0,(EC271-EB271)/EB271*100)</f>
        <v>0</v>
      </c>
      <c r="EE271" s="2846"/>
      <c r="EF271" s="2846"/>
      <c r="EG271" s="1093">
        <f>IF(EE271=0,0,(EF271-EE271)/EE271*100)</f>
        <v>0</v>
      </c>
      <c r="EH271" s="2846"/>
      <c r="EI271" s="2846"/>
      <c r="EJ271" s="1093">
        <f>IF(EH271=0,0,(EI271-EH271)/EH271*100)</f>
        <v>0</v>
      </c>
      <c r="EK271" s="2846"/>
      <c r="EL271" s="2846"/>
      <c r="EM271" s="1093">
        <f>IF(EK271=0,0,(EL271-EK271)/EK271*100)</f>
        <v>0</v>
      </c>
      <c r="EN271" s="2846"/>
      <c r="EO271" s="2846"/>
      <c r="EP271" s="1093">
        <f>IF(EN271=0,0,(EO271-EN271)/EN271*100)</f>
        <v>0</v>
      </c>
      <c r="EQ271" s="2846"/>
      <c r="ER271" s="2846"/>
      <c r="ES271" s="1093">
        <f>IF(EQ271=0,0,(ER271-EQ271)/EQ271*100)</f>
        <v>0</v>
      </c>
      <c r="ET271" s="2846"/>
      <c r="EU271" s="2846"/>
      <c r="EV271" s="1093">
        <f>IF(ET271=0,0,(EU271-ET271)/ET271*100)</f>
        <v>0</v>
      </c>
      <c r="EW271" s="2846"/>
      <c r="EX271" s="2846"/>
      <c r="EY271" s="1093">
        <f>IF(EW271=0,0,(EX271-EW271)/EW271*100)</f>
        <v>0</v>
      </c>
      <c r="EZ271" s="2846"/>
      <c r="FA271" s="2846"/>
      <c r="FB271" s="1093">
        <f>IF(EZ271=0,0,(FA271-EZ271)/EZ271*100)</f>
        <v>0</v>
      </c>
      <c r="FC271" s="2846"/>
      <c r="FD271" s="2846"/>
      <c r="FE271" s="1093">
        <f>IF(FC271=0,0,(FD271-FC271)/FC271*100)</f>
        <v>0</v>
      </c>
      <c r="FF271" s="2846"/>
      <c r="FG271" s="2846"/>
      <c r="FH271" s="1093">
        <f>IF(FF271=0,0,(FG271-FF271)/FF271*100)</f>
        <v>0</v>
      </c>
      <c r="FI271" s="2846"/>
      <c r="FJ271" s="2846"/>
      <c r="FK271" s="1093">
        <f>IF(FI271=0,0,(FJ271-FI271)/FI271*100)</f>
        <v>0</v>
      </c>
      <c r="FL271" s="2846"/>
      <c r="FM271" s="2846"/>
      <c r="FN271" s="1093">
        <f>IF(FL271=0,0,(FM271-FL271)/FL271*100)</f>
        <v>0</v>
      </c>
      <c r="FO271" s="2846"/>
      <c r="FP271" s="2846"/>
      <c r="FQ271" s="1093">
        <f>IF(FO271=0,0,(FP271-FO271)/FO271*100)</f>
        <v>0</v>
      </c>
      <c r="FR271" s="2846"/>
      <c r="FS271" s="2846"/>
      <c r="FT271" s="1093">
        <f>IF(FR271=0,0,(FS271-FR271)/FR271*100)</f>
        <v>0</v>
      </c>
      <c r="FU271" s="2846"/>
      <c r="FV271" s="2846"/>
      <c r="FW271" s="1093">
        <f>IF(FU271=0,0,(FV271-FU271)/FU271*100)</f>
        <v>0</v>
      </c>
      <c r="FZ271" s="1306" t="s">
        <v>2413</v>
      </c>
      <c r="GA271" s="1306" t="s">
        <v>1594</v>
      </c>
      <c r="GB271" s="1306" cm="1" t="str">
        <f t="array" ref="GB271:GB271">GB270</f>
        <v>0</v>
      </c>
    </row>
    <row s="1834" customFormat="1" customHeight="1" ht="14.25" hidden="1">
      <c r="A272" s="493"/>
      <c r="B272" s="925" cm="1" t="str">
        <f t="array" ref="B272:B272">B265</f>
        <v>false</v>
      </c>
      <c r="C272" s="493"/>
      <c r="D272" s="493"/>
      <c r="E272" s="840">
        <v>15</v>
      </c>
      <c r="F272" s="50" cm="1" t="str">
        <f t="array" ref="F272:F272">OFFSET(E272,-1,1)</f>
        <v>3</v>
      </c>
      <c r="G272" s="493"/>
      <c r="H272" s="493"/>
      <c r="I272" s="98" t="s">
        <v>2414</v>
      </c>
      <c r="J272" s="493"/>
      <c r="K272" s="493"/>
      <c r="L272" s="493"/>
      <c r="M272" s="493"/>
      <c r="N272" s="493"/>
      <c r="O272" s="493"/>
      <c r="P272" s="493"/>
      <c r="Q272" s="493"/>
      <c r="R272" s="493"/>
      <c r="S272" s="493"/>
      <c r="T272" s="465">
        <f>F272&gt;0</f>
        <v>1</v>
      </c>
      <c r="U272" s="493"/>
      <c r="V272" s="1304"/>
      <c r="W272" s="757" t="s">
        <v>2367</v>
      </c>
      <c r="X272" s="1596"/>
      <c r="Y272" s="1304"/>
      <c r="Z272" s="1545"/>
      <c r="AA272" s="1304"/>
      <c r="AB272" s="260" t="s">
        <v>178</v>
      </c>
      <c r="AC272" s="264"/>
      <c r="AD272" s="1098"/>
      <c r="AE272" s="1098"/>
      <c r="AF272" s="1098"/>
      <c r="AG272" s="1098"/>
      <c r="AH272" s="1098"/>
      <c r="AI272" s="1098"/>
      <c r="AJ272" s="1098"/>
      <c r="AK272" s="1098"/>
      <c r="AL272" s="1098"/>
      <c r="AM272" s="1098"/>
      <c r="AN272" s="1098"/>
      <c r="AO272" s="1098"/>
      <c r="AP272" s="1098"/>
      <c r="AQ272" s="1098"/>
      <c r="AR272" s="1098"/>
      <c r="AS272" s="1098"/>
      <c r="AT272" s="1098"/>
      <c r="AU272" s="1098"/>
      <c r="AV272" s="1098"/>
      <c r="AW272" s="1098"/>
      <c r="AX272" s="1098"/>
      <c r="AY272" s="1098"/>
      <c r="AZ272" s="1098"/>
      <c r="BA272" s="1098"/>
      <c r="BB272" s="1098"/>
      <c r="BC272" s="1098"/>
      <c r="BD272" s="1098"/>
      <c r="BE272" s="1098"/>
      <c r="BF272" s="1098"/>
      <c r="BG272" s="1098"/>
      <c r="BH272" s="1098"/>
      <c r="BI272" s="1098"/>
      <c r="BJ272" s="1098"/>
      <c r="BK272" s="1098"/>
      <c r="BL272" s="1098"/>
      <c r="BM272" s="1098"/>
      <c r="BN272" s="1098"/>
      <c r="BO272" s="1098"/>
      <c r="BP272" s="1098"/>
      <c r="BQ272" s="1098"/>
      <c r="BR272" s="1098"/>
      <c r="BS272" s="1098"/>
      <c r="BT272" s="1098"/>
      <c r="BU272" s="1098"/>
      <c r="BV272" s="1098"/>
      <c r="BW272" s="1098"/>
      <c r="BX272" s="1098"/>
      <c r="BY272" s="1098"/>
      <c r="BZ272" s="1098"/>
      <c r="CA272" s="1098"/>
      <c r="CB272" s="1098"/>
      <c r="CC272" s="1098"/>
      <c r="CD272" s="1098"/>
      <c r="CE272" s="1098"/>
      <c r="CF272" s="1098"/>
      <c r="CG272" s="1098"/>
      <c r="CH272" s="1098"/>
      <c r="CI272" s="1098"/>
      <c r="CJ272" s="1098"/>
      <c r="CK272" s="1098"/>
      <c r="CL272" s="1098"/>
      <c r="CM272" s="1098"/>
      <c r="CN272" s="1098"/>
      <c r="CO272" s="1098"/>
      <c r="CP272" s="1098"/>
      <c r="CQ272" s="1098"/>
      <c r="CR272" s="1098"/>
      <c r="CS272" s="1098"/>
      <c r="CT272" s="1098"/>
      <c r="CU272" s="1098"/>
      <c r="CV272" s="1098"/>
      <c r="CW272" s="1098"/>
      <c r="CX272" s="1098"/>
      <c r="CY272" s="1098"/>
      <c r="CZ272" s="1098"/>
      <c r="DA272" s="1098"/>
      <c r="DB272" s="1098"/>
      <c r="DC272" s="1098"/>
      <c r="DD272" s="1098"/>
      <c r="DE272" s="1098"/>
      <c r="DF272" s="1098"/>
      <c r="DG272" s="1098"/>
      <c r="DH272" s="1098"/>
      <c r="DI272" s="1098"/>
      <c r="DJ272" s="1098"/>
      <c r="DK272" s="1098"/>
      <c r="DL272" s="1098"/>
      <c r="DM272" s="1098"/>
      <c r="DN272" s="1098"/>
      <c r="DO272" s="1098"/>
      <c r="DP272" s="1098"/>
      <c r="DQ272" s="1098"/>
      <c r="DR272" s="1098"/>
      <c r="DS272" s="1098"/>
      <c r="DT272" s="1098"/>
      <c r="DU272" s="1098"/>
      <c r="DV272" s="1098"/>
      <c r="DW272" s="1098"/>
      <c r="DX272" s="1098"/>
      <c r="DY272" s="1098"/>
      <c r="DZ272" s="1098"/>
      <c r="EA272" s="1098"/>
      <c r="EB272" s="1098"/>
      <c r="EC272" s="1098"/>
      <c r="ED272" s="1098"/>
      <c r="EE272" s="1098"/>
      <c r="EF272" s="1098"/>
      <c r="EG272" s="1098"/>
      <c r="EH272" s="1098"/>
      <c r="EI272" s="1098"/>
      <c r="EJ272" s="1098"/>
      <c r="EK272" s="1098"/>
      <c r="EL272" s="1098"/>
      <c r="EM272" s="1098"/>
      <c r="EN272" s="1098"/>
      <c r="EO272" s="1098"/>
      <c r="EP272" s="1098"/>
      <c r="EQ272" s="1098"/>
      <c r="ER272" s="1098"/>
      <c r="ES272" s="1098"/>
      <c r="ET272" s="1098"/>
      <c r="EU272" s="1098"/>
      <c r="EV272" s="1098"/>
      <c r="EW272" s="1098"/>
      <c r="EX272" s="1098"/>
      <c r="EY272" s="1098"/>
      <c r="EZ272" s="1098"/>
      <c r="FA272" s="1098"/>
      <c r="FB272" s="1098"/>
      <c r="FC272" s="1098"/>
      <c r="FD272" s="1098"/>
      <c r="FE272" s="1098"/>
      <c r="FF272" s="1098"/>
      <c r="FG272" s="1098"/>
      <c r="FH272" s="1098"/>
      <c r="FI272" s="1098"/>
      <c r="FJ272" s="1098"/>
      <c r="FK272" s="1098"/>
      <c r="FL272" s="1098"/>
      <c r="FM272" s="1098"/>
      <c r="FN272" s="1098"/>
      <c r="FO272" s="1098"/>
      <c r="FP272" s="1098"/>
      <c r="FQ272" s="1098"/>
      <c r="FR272" s="1098"/>
      <c r="FS272" s="1098"/>
      <c r="FT272" s="1098"/>
      <c r="FU272" s="1098"/>
      <c r="FV272" s="1098"/>
      <c r="FW272" s="1099"/>
      <c r="FX272" s="1304"/>
      <c r="FY272" s="1304"/>
      <c r="FZ272" s="1055" t="s">
        <v>227</v>
      </c>
      <c r="GA272" s="1306"/>
      <c r="GB272" s="1306"/>
      <c r="GC272" s="632" t="s">
        <v>1594</v>
      </c>
      <c r="GD272" s="1305"/>
    </row>
    <row s="1834" customFormat="1" customHeight="1" ht="11.25" hidden="1">
      <c r="A273" s="482"/>
      <c r="B273" s="925"/>
      <c r="C273" s="482"/>
      <c r="D273" s="482"/>
      <c r="E273" s="866">
        <v>0</v>
      </c>
      <c r="F273" s="1175" cm="1" t="str">
        <f t="array" ref="F273:F273">OFFSET(E273,-1,1)</f>
        <v>3</v>
      </c>
      <c r="G273" s="482"/>
      <c r="H273" s="482"/>
      <c r="I273" s="482"/>
      <c r="J273" s="482"/>
      <c r="K273" s="482"/>
      <c r="L273" s="482"/>
      <c r="M273" s="482"/>
      <c r="N273" s="482"/>
      <c r="O273" s="482"/>
      <c r="P273" s="482"/>
      <c r="Q273" s="482"/>
      <c r="R273" s="482"/>
      <c r="S273" s="482"/>
      <c r="T273" s="465" t="b">
        <v>0</v>
      </c>
      <c r="U273" s="482"/>
      <c r="V273" s="482"/>
      <c r="W273" s="482"/>
      <c r="X273" s="1596"/>
      <c r="Y273" s="482"/>
      <c r="Z273" s="1545"/>
      <c r="AA273" s="482"/>
      <c r="AB273" s="0"/>
      <c r="AC273" s="482"/>
      <c r="AD273" s="1108"/>
      <c r="AE273" s="1108"/>
      <c r="AF273" s="1108"/>
      <c r="AG273" s="0"/>
      <c r="AH273" s="0"/>
      <c r="AI273" s="0"/>
      <c r="AJ273" s="0"/>
      <c r="AK273" s="0"/>
      <c r="AL273" s="0"/>
      <c r="AM273" s="0"/>
      <c r="AN273" s="0"/>
      <c r="AO273" s="0"/>
      <c r="AP273" s="0"/>
      <c r="AQ273" s="0"/>
      <c r="AR273" s="0"/>
      <c r="AS273" s="0"/>
      <c r="AT273" s="0"/>
      <c r="AU273" s="0"/>
      <c r="AV273" s="0"/>
      <c r="AW273" s="0"/>
      <c r="AX273" s="0"/>
      <c r="AY273" s="0"/>
      <c r="AZ273" s="0"/>
      <c r="BA273" s="0"/>
      <c r="BB273" s="0"/>
      <c r="BC273" s="0"/>
      <c r="BD273" s="0"/>
      <c r="BE273" s="0"/>
      <c r="BF273" s="0"/>
      <c r="BG273" s="0"/>
      <c r="BH273" s="0"/>
      <c r="BI273" s="0"/>
      <c r="BJ273" s="0"/>
      <c r="BK273" s="0"/>
      <c r="BL273" s="0"/>
      <c r="BM273" s="0"/>
      <c r="BN273" s="0"/>
      <c r="BO273" s="0"/>
      <c r="BP273" s="0"/>
      <c r="BQ273" s="0"/>
      <c r="BR273" s="0"/>
      <c r="BS273" s="0"/>
      <c r="BT273" s="0"/>
      <c r="BU273" s="0"/>
      <c r="BV273" s="0"/>
      <c r="BW273" s="0"/>
      <c r="BX273" s="0"/>
      <c r="BY273" s="0"/>
      <c r="BZ273" s="0"/>
      <c r="CA273" s="0"/>
      <c r="CB273" s="0"/>
      <c r="CC273" s="0"/>
      <c r="CD273" s="0"/>
      <c r="CE273" s="0"/>
      <c r="CF273" s="0"/>
      <c r="CG273" s="0"/>
      <c r="CH273" s="0"/>
      <c r="CI273" s="0"/>
      <c r="CJ273" s="0"/>
      <c r="CK273" s="0"/>
      <c r="CL273" s="0"/>
      <c r="CM273" s="0"/>
      <c r="CN273" s="0"/>
      <c r="CO273" s="0"/>
      <c r="CP273" s="0"/>
      <c r="CQ273" s="0"/>
      <c r="CR273" s="0"/>
      <c r="CS273" s="0"/>
      <c r="CT273" s="0"/>
      <c r="CU273" s="0"/>
      <c r="CV273" s="0"/>
      <c r="CW273" s="0"/>
      <c r="CX273" s="0"/>
      <c r="CY273" s="0"/>
      <c r="CZ273" s="0"/>
      <c r="DA273" s="0"/>
      <c r="DB273" s="0"/>
      <c r="DC273" s="0"/>
      <c r="DD273" s="0"/>
      <c r="DE273" s="0"/>
      <c r="DF273" s="0"/>
      <c r="DG273" s="0"/>
      <c r="DH273" s="0"/>
      <c r="DI273" s="0"/>
      <c r="DJ273" s="0"/>
      <c r="DK273" s="0"/>
      <c r="DL273" s="0"/>
      <c r="DM273" s="0"/>
      <c r="DN273" s="0"/>
      <c r="DO273" s="0"/>
      <c r="DP273" s="0"/>
      <c r="DQ273" s="0"/>
      <c r="DR273" s="0"/>
      <c r="DS273" s="0"/>
      <c r="DT273" s="0"/>
      <c r="DU273" s="0"/>
      <c r="DV273" s="0"/>
      <c r="DW273" s="0"/>
      <c r="DX273" s="0"/>
      <c r="DY273" s="0"/>
      <c r="DZ273" s="0"/>
      <c r="EA273" s="0"/>
      <c r="EB273" s="0"/>
      <c r="EC273" s="0"/>
      <c r="ED273" s="0"/>
      <c r="EE273" s="0"/>
      <c r="EF273" s="0"/>
      <c r="EG273" s="0"/>
      <c r="EH273" s="0"/>
      <c r="EI273" s="0"/>
      <c r="EJ273" s="0"/>
      <c r="EK273" s="0"/>
      <c r="EL273" s="0"/>
      <c r="EM273" s="0"/>
      <c r="EN273" s="0"/>
      <c r="EO273" s="0"/>
      <c r="EP273" s="0"/>
      <c r="EQ273" s="0"/>
      <c r="ER273" s="0"/>
      <c r="ES273" s="0"/>
      <c r="ET273" s="0"/>
      <c r="EU273" s="0"/>
      <c r="EV273" s="0"/>
      <c r="EW273" s="0"/>
      <c r="EX273" s="0"/>
      <c r="EY273" s="0"/>
      <c r="EZ273" s="0"/>
      <c r="FA273" s="0"/>
      <c r="FB273" s="0"/>
      <c r="FC273" s="0"/>
      <c r="FD273" s="0"/>
      <c r="FE273" s="0"/>
      <c r="FF273" s="0"/>
      <c r="FG273" s="0"/>
      <c r="FH273" s="0"/>
      <c r="FI273" s="0"/>
      <c r="FJ273" s="0"/>
      <c r="FK273" s="0"/>
      <c r="FL273" s="0"/>
      <c r="FM273" s="0"/>
      <c r="FN273" s="0"/>
      <c r="FO273" s="0"/>
      <c r="FP273" s="0"/>
      <c r="FQ273" s="0"/>
      <c r="FR273" s="0"/>
      <c r="FS273" s="0"/>
      <c r="FT273" s="0"/>
      <c r="FU273" s="0"/>
      <c r="FV273" s="0"/>
      <c r="FW273" s="0"/>
      <c r="FX273" s="1834"/>
      <c r="FY273" s="1834"/>
      <c r="FZ273" s="1055" t="s">
        <v>227</v>
      </c>
      <c r="GA273" s="1019"/>
      <c r="GB273" s="1058"/>
      <c r="GC273" s="686"/>
      <c r="GD273" s="686"/>
    </row>
    <row s="6513" customFormat="1" customHeight="1" ht="23.25" hidden="1">
      <c r="A274" s="897"/>
      <c r="B274" s="925" cm="1" t="str">
        <f t="array" ref="B274:B274">S218</f>
        <v>false</v>
      </c>
      <c r="C274" s="897"/>
      <c r="D274" s="897"/>
      <c r="E274" s="840">
        <v>24.5</v>
      </c>
      <c r="F274" s="50" cm="1" t="str">
        <f t="array" ref="F274:F274">OFFSET(E274,-1,1)</f>
        <v>3</v>
      </c>
      <c r="G274" s="107" t="s">
        <v>2334</v>
      </c>
      <c r="H274" s="493" t="s">
        <v>1175</v>
      </c>
      <c r="I274" s="493" t="s">
        <v>2415</v>
      </c>
      <c r="J274" s="897"/>
      <c r="K274" s="897"/>
      <c r="L274" s="897"/>
      <c r="M274" s="897"/>
      <c r="N274" s="897"/>
      <c r="O274" s="897"/>
      <c r="P274" s="897"/>
      <c r="Q274" s="897"/>
      <c r="R274" s="897"/>
      <c r="S274" s="493"/>
      <c r="T274" s="465" cm="1" t="str">
        <f t="array" ref="T274:T274">T272</f>
        <v>true</v>
      </c>
      <c r="U274" s="897"/>
      <c r="V274" s="897"/>
      <c r="W274" s="897"/>
      <c r="X274" s="1596"/>
      <c r="Y274" s="897"/>
      <c r="Z274" s="1545"/>
      <c r="AA274" s="897"/>
      <c r="AB274" s="219" t="s">
        <v>2416</v>
      </c>
      <c r="AC274" s="234" t="s">
        <v>2337</v>
      </c>
      <c r="AD274" s="5272">
        <f>IF(AND(method_reg="Метод индексации",god&lt;&gt;first_year),_xlfn.SUMIFS(INDEX('Калькуляция (МИ корр)'!$AJ$25:$BC$747,,MATCH(AD$8,'Калькуляция (МИ корр)'!$AJ$8:$BC$8,0)),'Калькуляция (МИ корр)'!$F$25:$F$747,$F274,'Калькуляция (МИ корр)'!$G$25:$G$747,$G274),IF(method_reg="Метод экономически обоснованных расходов",_xlfn.SUMIFS('Калькуляция (МЭОР)'!$AJ$25:$AJ$452,'Калькуляция (МЭОР)'!$F$25:$F$452,$F274,'Калькуляция (МЭОР)'!$G$25:$G$452,$G274),IF(method_reg="Метод сравнения аналогов",_xlfn.SUMIFS('Калькуляция (МСА)'!$AE$25:$AE$122,'Калькуляция (МСА)'!$F$25:$F$122,$F274,'Калькуляция (МСА)'!$G$25:$G$122,$G274),_xlfn.SUMIFS(INDEX('Калькуляция (МИ)'!$AJ$25:$BC$747,,MATCH(AD$8,'Калькуляция (МИ)'!$AJ$8:$BC$8,0)),'Калькуляция (МИ)'!$F$25:$F$747,$F274,'Калькуляция (МИ)'!$G$25:$G$747,$G274))))</f>
        <v>75.34</v>
      </c>
      <c r="AE274" s="5272">
        <f>IF(AND(method_reg="Метод индексации",god&lt;&gt;first_year),_xlfn.SUMIFS(INDEX('Калькуляция (МИ корр)'!$AJ$25:$BC$747,,MATCH(AE$8,'Калькуляция (МИ корр)'!$AJ$8:$BC$8,0)),'Калькуляция (МИ корр)'!$F$25:$F$747,$F274,'Калькуляция (МИ корр)'!$G$25:$G$747,$G274),IF(method_reg="Метод экономически обоснованных расходов",_xlfn.SUMIFS('Калькуляция (МЭОР)'!$AK$25:$AK$452,'Калькуляция (МЭОР)'!$F$25:$F$452,$F274,'Калькуляция (МЭОР)'!$G$25:$G$452,$G274),IF(method_reg="Метод сравнения аналогов",_xlfn.SUMIFS('Калькуляция (МСА)'!$AF$25:$AF$122,'Калькуляция (МСА)'!$F$25:$F$122,$F274,'Калькуляция (МСА)'!$G$25:$G$122,$G274),_xlfn.SUMIFS(INDEX('Калькуляция (МИ)'!$AJ$25:$BC$747,,MATCH(AE$8,'Калькуляция (МИ)'!$AJ$8:$BC$8,0)),'Калькуляция (МИ)'!$F$25:$F$747,$F274,'Калькуляция (МИ)'!$G$25:$G$747,$G274))))</f>
        <v>75.34</v>
      </c>
      <c r="AF274" s="296">
        <f>IF(AD274=0,0,(AE274-AD274)/AD274*100)</f>
        <v>0</v>
      </c>
      <c r="AG274" s="5272">
        <f>IF(AND(method_reg="Метод индексации",god&lt;&gt;first_year),_xlfn.SUMIFS(INDEX('Калькуляция (МИ корр)'!$AJ$25:$BC$747,,MATCH(AG$8,'Калькуляция (МИ корр)'!$AJ$8:$BC$8,0)),'Калькуляция (МИ корр)'!$F$25:$F$747,$F274,'Калькуляция (МИ корр)'!$G$25:$G$747,$G274),IF(method_reg="Метод экономически обоснованных расходов",_xlfn.SUMIFS('Калькуляция (МЭОР)'!$AJ$25:$AJ$452,'Калькуляция (МЭОР)'!$F$25:$F$452,$F274,'Калькуляция (МЭОР)'!$G$25:$G$452,$G274),IF(method_reg="Метод сравнения аналогов",_xlfn.SUMIFS('Калькуляция (МСА)'!$AE$25:$AE$122,'Калькуляция (МСА)'!$F$25:$F$122,$F274,'Калькуляция (МСА)'!$G$25:$G$122,$G274),_xlfn.SUMIFS(INDEX('Калькуляция (МИ)'!$AJ$25:$BC$747,,MATCH(AG$8,'Калькуляция (МИ)'!$AJ$8:$BC$8,0)),'Калькуляция (МИ)'!$F$25:$F$747,$F274,'Калькуляция (МИ)'!$G$25:$G$747,$G274))))</f>
        <v>82.87</v>
      </c>
      <c r="AH274" s="5272">
        <f>IF(AND(method_reg="Метод индексации",god&lt;&gt;first_year),_xlfn.SUMIFS(INDEX('Калькуляция (МИ корр)'!$AJ$25:$BC$747,,MATCH(AH$8,'Калькуляция (МИ корр)'!$AJ$8:$BC$8,0)),'Калькуляция (МИ корр)'!$F$25:$F$747,$F274,'Калькуляция (МИ корр)'!$G$25:$G$747,$G274),IF(method_reg="Метод экономически обоснованных расходов",_xlfn.SUMIFS('Калькуляция (МЭОР)'!$AK$25:$AK$452,'Калькуляция (МЭОР)'!$F$25:$F$452,$F274,'Калькуляция (МЭОР)'!$G$25:$G$452,$G274),IF(method_reg="Метод сравнения аналогов",_xlfn.SUMIFS('Калькуляция (МСА)'!$AF$25:$AF$122,'Калькуляция (МСА)'!$F$25:$F$122,$F274,'Калькуляция (МСА)'!$G$25:$G$122,$G274),_xlfn.SUMIFS(INDEX('Калькуляция (МИ)'!$AJ$25:$BC$747,,MATCH(AH$8,'Калькуляция (МИ)'!$AJ$8:$BC$8,0)),'Калькуляция (МИ)'!$F$25:$F$747,$F274,'Калькуляция (МИ)'!$G$25:$G$747,$G274))))</f>
        <v>82.8702325351654</v>
      </c>
      <c r="AI274" s="296">
        <f>IF(AG274=0,0,(AH274-AG274)/AG274*100)</f>
        <v>0.000280602347526391</v>
      </c>
      <c r="AJ274" s="5272">
        <f>IF(AND(method_reg="Метод индексации",god&lt;&gt;first_year),_xlfn.SUMIFS(INDEX('Калькуляция (МИ корр)'!$AJ$25:$BC$747,,MATCH(AJ$8,'Калькуляция (МИ корр)'!$AJ$8:$BC$8,0)),'Калькуляция (МИ корр)'!$F$25:$F$747,$F274,'Калькуляция (МИ корр)'!$G$25:$G$747,$G274),IF(method_reg="Метод экономически обоснованных расходов",_xlfn.SUMIFS('Калькуляция (МЭОР)'!$AJ$25:$AJ$452,'Калькуляция (МЭОР)'!$F$25:$F$452,$F274,'Калькуляция (МЭОР)'!$G$25:$G$452,$G274),IF(method_reg="Метод сравнения аналогов",_xlfn.SUMIFS('Калькуляция (МСА)'!$AE$25:$AE$122,'Калькуляция (МСА)'!$F$25:$F$122,$F274,'Калькуляция (МСА)'!$G$25:$G$122,$G274),_xlfn.SUMIFS(INDEX('Калькуляция (МИ)'!$AJ$25:$BC$747,,MATCH(AJ$8,'Калькуляция (МИ)'!$AJ$8:$BC$8,0)),'Калькуляция (МИ)'!$F$25:$F$747,$F274,'Калькуляция (МИ)'!$G$25:$G$747,$G274))))</f>
        <v>90.13</v>
      </c>
      <c r="AK274" s="5272">
        <f>IF(AND(method_reg="Метод индексации",god&lt;&gt;first_year),_xlfn.SUMIFS(INDEX('Калькуляция (МИ корр)'!$AJ$25:$BC$747,,MATCH(AK$8,'Калькуляция (МИ корр)'!$AJ$8:$BC$8,0)),'Калькуляция (МИ корр)'!$F$25:$F$747,$F274,'Калькуляция (МИ корр)'!$G$25:$G$747,$G274),IF(method_reg="Метод экономически обоснованных расходов",_xlfn.SUMIFS('Калькуляция (МЭОР)'!$AK$25:$AK$452,'Калькуляция (МЭОР)'!$F$25:$F$452,$F274,'Калькуляция (МЭОР)'!$G$25:$G$452,$G274),IF(method_reg="Метод сравнения аналогов",_xlfn.SUMIFS('Калькуляция (МСА)'!$AF$25:$AF$122,'Калькуляция (МСА)'!$F$25:$F$122,$F274,'Калькуляция (МСА)'!$G$25:$G$122,$G274),_xlfn.SUMIFS(INDEX('Калькуляция (МИ)'!$AJ$25:$BC$747,,MATCH(AK$8,'Калькуляция (МИ)'!$AJ$8:$BC$8,0)),'Калькуляция (МИ)'!$F$25:$F$747,$F274,'Калькуляция (МИ)'!$G$25:$G$747,$G274))))</f>
        <v>90.1298893665147</v>
      </c>
      <c r="AL274" s="296">
        <f>IF(AJ274=0,0,(AK274-AJ274)/AJ274*100)</f>
        <v>-0.000122748790959786</v>
      </c>
      <c r="AM274" s="5272">
        <f>IF(AND(method_reg="Метод индексации",god&lt;&gt;first_year),_xlfn.SUMIFS(INDEX('Калькуляция (МИ корр)'!$AJ$25:$BC$747,,MATCH(AM$8,'Калькуляция (МИ корр)'!$AJ$8:$BC$8,0)),'Калькуляция (МИ корр)'!$F$25:$F$747,$F274,'Калькуляция (МИ корр)'!$G$25:$G$747,$G274),IF(method_reg="Метод экономически обоснованных расходов",_xlfn.SUMIFS('Калькуляция (МЭОР)'!$AJ$25:$AJ$452,'Калькуляция (МЭОР)'!$F$25:$F$452,$F274,'Калькуляция (МЭОР)'!$G$25:$G$452,$G274),IF(method_reg="Метод сравнения аналогов",_xlfn.SUMIFS('Калькуляция (МСА)'!$AE$25:$AE$122,'Калькуляция (МСА)'!$F$25:$F$122,$F274,'Калькуляция (МСА)'!$G$25:$G$122,$G274),_xlfn.SUMIFS(INDEX('Калькуляция (МИ)'!$AJ$25:$BC$747,,MATCH(AM$8,'Калькуляция (МИ)'!$AJ$8:$BC$8,0)),'Калькуляция (МИ)'!$F$25:$F$747,$F274,'Калькуляция (МИ)'!$G$25:$G$747,$G274))))</f>
        <v>93.98</v>
      </c>
      <c r="AN274" s="5272">
        <f>IF(AND(method_reg="Метод индексации",god&lt;&gt;first_year),_xlfn.SUMIFS(INDEX('Калькуляция (МИ корр)'!$AJ$25:$BC$747,,MATCH(AN$8,'Калькуляция (МИ корр)'!$AJ$8:$BC$8,0)),'Калькуляция (МИ корр)'!$F$25:$F$747,$F274,'Калькуляция (МИ корр)'!$G$25:$G$747,$G274),IF(method_reg="Метод экономически обоснованных расходов",_xlfn.SUMIFS('Калькуляция (МЭОР)'!$AK$25:$AK$452,'Калькуляция (МЭОР)'!$F$25:$F$452,$F274,'Калькуляция (МЭОР)'!$G$25:$G$452,$G274),IF(method_reg="Метод сравнения аналогов",_xlfn.SUMIFS('Калькуляция (МСА)'!$AF$25:$AF$122,'Калькуляция (МСА)'!$F$25:$F$122,$F274,'Калькуляция (МСА)'!$G$25:$G$122,$G274),_xlfn.SUMIFS(INDEX('Калькуляция (МИ)'!$AJ$25:$BC$747,,MATCH(AN$8,'Калькуляция (МИ)'!$AJ$8:$BC$8,0)),'Калькуляция (МИ)'!$F$25:$F$747,$F274,'Калькуляция (МИ)'!$G$25:$G$747,$G274))))</f>
        <v>93.9802337396029</v>
      </c>
      <c r="AO274" s="296">
        <f>IF(AM274=0,0,(AN274-AM274)/AM274*100)</f>
        <v>0.000248712069472906</v>
      </c>
      <c r="AP274" s="5272">
        <f>IF(AND(method_reg="Метод индексации",god&lt;&gt;first_year),_xlfn.SUMIFS(INDEX('Калькуляция (МИ корр)'!$AJ$25:$BC$747,,MATCH(AP$8,'Калькуляция (МИ корр)'!$AJ$8:$BC$8,0)),'Калькуляция (МИ корр)'!$F$25:$F$747,$F274,'Калькуляция (МИ корр)'!$G$25:$G$747,$G274),IF(method_reg="Метод экономически обоснованных расходов",_xlfn.SUMIFS('Калькуляция (МЭОР)'!$AJ$25:$AJ$452,'Калькуляция (МЭОР)'!$F$25:$F$452,$F274,'Калькуляция (МЭОР)'!$G$25:$G$452,$G274),IF(method_reg="Метод сравнения аналогов",_xlfn.SUMIFS('Калькуляция (МСА)'!$AE$25:$AE$122,'Калькуляция (МСА)'!$F$25:$F$122,$F274,'Калькуляция (МСА)'!$G$25:$G$122,$G274),_xlfn.SUMIFS(INDEX('Калькуляция (МИ)'!$AJ$25:$BC$747,,MATCH(AP$8,'Калькуляция (МИ)'!$AJ$8:$BC$8,0)),'Калькуляция (МИ)'!$F$25:$F$747,$F274,'Калькуляция (МИ)'!$G$25:$G$747,$G274))))</f>
        <v>95</v>
      </c>
      <c r="AQ274" s="5272">
        <f>IF(AND(method_reg="Метод индексации",god&lt;&gt;first_year),_xlfn.SUMIFS(INDEX('Калькуляция (МИ корр)'!$AJ$25:$BC$747,,MATCH(AQ$8,'Калькуляция (МИ корр)'!$AJ$8:$BC$8,0)),'Калькуляция (МИ корр)'!$F$25:$F$747,$F274,'Калькуляция (МИ корр)'!$G$25:$G$747,$G274),IF(method_reg="Метод экономически обоснованных расходов",_xlfn.SUMIFS('Калькуляция (МЭОР)'!$AK$25:$AK$452,'Калькуляция (МЭОР)'!$F$25:$F$452,$F274,'Калькуляция (МЭОР)'!$G$25:$G$452,$G274),IF(method_reg="Метод сравнения аналогов",_xlfn.SUMIFS('Калькуляция (МСА)'!$AF$25:$AF$122,'Калькуляция (МСА)'!$F$25:$F$122,$F274,'Калькуляция (МСА)'!$G$25:$G$122,$G274),_xlfn.SUMIFS(INDEX('Калькуляция (МИ)'!$AJ$25:$BC$747,,MATCH(AQ$8,'Калькуляция (МИ)'!$AJ$8:$BC$8,0)),'Калькуляция (МИ)'!$F$25:$F$747,$F274,'Калькуляция (МИ)'!$G$25:$G$747,$G274))))</f>
        <v>94.9998952052032</v>
      </c>
      <c r="AR274" s="296">
        <f>IF(AP274=0,0,(AQ274-AP274)/AP274*100)</f>
        <v>-0.000110310312418517</v>
      </c>
      <c r="AS274" s="5272">
        <f>IF(AND(method_reg="Метод индексации",god&lt;&gt;first_year),_xlfn.SUMIFS(INDEX('Калькуляция (МИ корр)'!$AJ$25:$BC$747,,MATCH(AS$8,'Калькуляция (МИ корр)'!$AJ$8:$BC$8,0)),'Калькуляция (МИ корр)'!$F$25:$F$747,$F274,'Калькуляция (МИ корр)'!$G$25:$G$747,$G274),IF(method_reg="Метод экономически обоснованных расходов",_xlfn.SUMIFS('Калькуляция (МЭОР)'!$AJ$25:$AJ$452,'Калькуляция (МЭОР)'!$F$25:$F$452,$F274,'Калькуляция (МЭОР)'!$G$25:$G$452,$G274),IF(method_reg="Метод сравнения аналогов",_xlfn.SUMIFS('Калькуляция (МСА)'!$AE$25:$AE$122,'Калькуляция (МСА)'!$F$25:$F$122,$F274,'Калькуляция (МСА)'!$G$25:$G$122,$G274),_xlfn.SUMIFS(INDEX('Калькуляция (МИ)'!$AJ$25:$BC$747,,MATCH(AS$8,'Калькуляция (МИ)'!$AJ$8:$BC$8,0)),'Калькуляция (МИ)'!$F$25:$F$747,$F274,'Калькуляция (МИ)'!$G$25:$G$747,$G274))))</f>
        <v>0</v>
      </c>
      <c r="AT274" s="5272">
        <f>IF(AND(method_reg="Метод индексации",god&lt;&gt;first_year),_xlfn.SUMIFS(INDEX('Калькуляция (МИ корр)'!$AJ$25:$BC$747,,MATCH(AT$8,'Калькуляция (МИ корр)'!$AJ$8:$BC$8,0)),'Калькуляция (МИ корр)'!$F$25:$F$747,$F274,'Калькуляция (МИ корр)'!$G$25:$G$747,$G274),IF(method_reg="Метод экономически обоснованных расходов",_xlfn.SUMIFS('Калькуляция (МЭОР)'!$AK$25:$AK$452,'Калькуляция (МЭОР)'!$F$25:$F$452,$F274,'Калькуляция (МЭОР)'!$G$25:$G$452,$G274),IF(method_reg="Метод сравнения аналогов",_xlfn.SUMIFS('Калькуляция (МСА)'!$AF$25:$AF$122,'Калькуляция (МСА)'!$F$25:$F$122,$F274,'Калькуляция (МСА)'!$G$25:$G$122,$G274),_xlfn.SUMIFS(INDEX('Калькуляция (МИ)'!$AJ$25:$BC$747,,MATCH(AT$8,'Калькуляция (МИ)'!$AJ$8:$BC$8,0)),'Калькуляция (МИ)'!$F$25:$F$747,$F274,'Калькуляция (МИ)'!$G$25:$G$747,$G274))))</f>
        <v>96.4961000506092</v>
      </c>
      <c r="AU274" s="296">
        <f>IF(AS274=0,0,(AT274-AS274)/AS274*100)</f>
        <v>0</v>
      </c>
      <c r="AV274" s="5272">
        <f>IF(AND(method_reg="Метод индексации",god&lt;&gt;first_year),_xlfn.SUMIFS(INDEX('Калькуляция (МИ корр)'!$AJ$25:$BC$747,,MATCH(AV$8,'Калькуляция (МИ корр)'!$AJ$8:$BC$8,0)),'Калькуляция (МИ корр)'!$F$25:$F$747,$F274,'Калькуляция (МИ корр)'!$G$25:$G$747,$G274),IF(method_reg="Метод экономически обоснованных расходов",_xlfn.SUMIFS('Калькуляция (МЭОР)'!$AJ$25:$AJ$452,'Калькуляция (МЭОР)'!$F$25:$F$452,$F274,'Калькуляция (МЭОР)'!$G$25:$G$452,$G274),IF(method_reg="Метод сравнения аналогов",_xlfn.SUMIFS('Калькуляция (МСА)'!$AE$25:$AE$122,'Калькуляция (МСА)'!$F$25:$F$122,$F274,'Калькуляция (МСА)'!$G$25:$G$122,$G274),_xlfn.SUMIFS(INDEX('Калькуляция (МИ)'!$AJ$25:$BC$747,,MATCH(AV$8,'Калькуляция (МИ)'!$AJ$8:$BC$8,0)),'Калькуляция (МИ)'!$F$25:$F$747,$F274,'Калькуляция (МИ)'!$G$25:$G$747,$G274))))</f>
        <v>0</v>
      </c>
      <c r="AW274" s="5272">
        <f>IF(AND(method_reg="Метод индексации",god&lt;&gt;first_year),_xlfn.SUMIFS(INDEX('Калькуляция (МИ корр)'!$AJ$25:$BC$747,,MATCH(AW$8,'Калькуляция (МИ корр)'!$AJ$8:$BC$8,0)),'Калькуляция (МИ корр)'!$F$25:$F$747,$F274,'Калькуляция (МИ корр)'!$G$25:$G$747,$G274),IF(method_reg="Метод экономически обоснованных расходов",_xlfn.SUMIFS('Калькуляция (МЭОР)'!$AK$25:$AK$452,'Калькуляция (МЭОР)'!$F$25:$F$452,$F274,'Калькуляция (МЭОР)'!$G$25:$G$452,$G274),IF(method_reg="Метод сравнения аналогов",_xlfn.SUMIFS('Калькуляция (МСА)'!$AF$25:$AF$122,'Калькуляция (МСА)'!$F$25:$F$122,$F274,'Калькуляция (МСА)'!$G$25:$G$122,$G274),_xlfn.SUMIFS(INDEX('Калькуляция (МИ)'!$AJ$25:$BC$747,,MATCH(AW$8,'Калькуляция (МИ)'!$AJ$8:$BC$8,0)),'Калькуляция (МИ)'!$F$25:$F$747,$F274,'Калькуляция (МИ)'!$G$25:$G$747,$G274))))</f>
        <v>0</v>
      </c>
      <c r="AX274" s="296">
        <f>IF(AV274=0,0,(AW274-AV274)/AV274*100)</f>
        <v>0</v>
      </c>
      <c r="AY274" s="5272">
        <f>IF(AND(method_reg="Метод индексации",god&lt;&gt;first_year),_xlfn.SUMIFS(INDEX('Калькуляция (МИ корр)'!$AJ$25:$BC$747,,MATCH(AY$8,'Калькуляция (МИ корр)'!$AJ$8:$BC$8,0)),'Калькуляция (МИ корр)'!$F$25:$F$747,$F274,'Калькуляция (МИ корр)'!$G$25:$G$747,$G274),IF(method_reg="Метод экономически обоснованных расходов",_xlfn.SUMIFS('Калькуляция (МЭОР)'!$AJ$25:$AJ$452,'Калькуляция (МЭОР)'!$F$25:$F$452,$F274,'Калькуляция (МЭОР)'!$G$25:$G$452,$G274),IF(method_reg="Метод сравнения аналогов",_xlfn.SUMIFS('Калькуляция (МСА)'!$AE$25:$AE$122,'Калькуляция (МСА)'!$F$25:$F$122,$F274,'Калькуляция (МСА)'!$G$25:$G$122,$G274),_xlfn.SUMIFS(INDEX('Калькуляция (МИ)'!$AJ$25:$BC$747,,MATCH(AY$8,'Калькуляция (МИ)'!$AJ$8:$BC$8,0)),'Калькуляция (МИ)'!$F$25:$F$747,$F274,'Калькуляция (МИ)'!$G$25:$G$747,$G274))))</f>
        <v>0</v>
      </c>
      <c r="AZ274" s="5272">
        <f>IF(AND(method_reg="Метод индексации",god&lt;&gt;first_year),_xlfn.SUMIFS(INDEX('Калькуляция (МИ корр)'!$AJ$25:$BC$747,,MATCH(AZ$8,'Калькуляция (МИ корр)'!$AJ$8:$BC$8,0)),'Калькуляция (МИ корр)'!$F$25:$F$747,$F274,'Калькуляция (МИ корр)'!$G$25:$G$747,$G274),IF(method_reg="Метод экономически обоснованных расходов",_xlfn.SUMIFS('Калькуляция (МЭОР)'!$AK$25:$AK$452,'Калькуляция (МЭОР)'!$F$25:$F$452,$F274,'Калькуляция (МЭОР)'!$G$25:$G$452,$G274),IF(method_reg="Метод сравнения аналогов",_xlfn.SUMIFS('Калькуляция (МСА)'!$AF$25:$AF$122,'Калькуляция (МСА)'!$F$25:$F$122,$F274,'Калькуляция (МСА)'!$G$25:$G$122,$G274),_xlfn.SUMIFS(INDEX('Калькуляция (МИ)'!$AJ$25:$BC$747,,MATCH(AZ$8,'Калькуляция (МИ)'!$AJ$8:$BC$8,0)),'Калькуляция (МИ)'!$F$25:$F$747,$F274,'Калькуляция (МИ)'!$G$25:$G$747,$G274))))</f>
        <v>0</v>
      </c>
      <c r="BA274" s="296">
        <f>IF(AY274=0,0,(AZ274-AY274)/AY274*100)</f>
        <v>0</v>
      </c>
      <c r="BB274" s="5272">
        <f>IF(AND(method_reg="Метод индексации",god&lt;&gt;first_year),_xlfn.SUMIFS(INDEX('Калькуляция (МИ корр)'!$AJ$25:$BC$747,,MATCH(BB$8,'Калькуляция (МИ корр)'!$AJ$8:$BC$8,0)),'Калькуляция (МИ корр)'!$F$25:$F$747,$F274,'Калькуляция (МИ корр)'!$G$25:$G$747,$G274),IF(method_reg="Метод экономически обоснованных расходов",_xlfn.SUMIFS('Калькуляция (МЭОР)'!$AJ$25:$AJ$452,'Калькуляция (МЭОР)'!$F$25:$F$452,$F274,'Калькуляция (МЭОР)'!$G$25:$G$452,$G274),IF(method_reg="Метод сравнения аналогов",_xlfn.SUMIFS('Калькуляция (МСА)'!$AE$25:$AE$122,'Калькуляция (МСА)'!$F$25:$F$122,$F274,'Калькуляция (МСА)'!$G$25:$G$122,$G274),_xlfn.SUMIFS(INDEX('Калькуляция (МИ)'!$AJ$25:$BC$747,,MATCH(BB$8,'Калькуляция (МИ)'!$AJ$8:$BC$8,0)),'Калькуляция (МИ)'!$F$25:$F$747,$F274,'Калькуляция (МИ)'!$G$25:$G$747,$G274))))</f>
        <v>0</v>
      </c>
      <c r="BC274" s="5272">
        <f>IF(AND(method_reg="Метод индексации",god&lt;&gt;first_year),_xlfn.SUMIFS(INDEX('Калькуляция (МИ корр)'!$AJ$25:$BC$747,,MATCH(BC$8,'Калькуляция (МИ корр)'!$AJ$8:$BC$8,0)),'Калькуляция (МИ корр)'!$F$25:$F$747,$F274,'Калькуляция (МИ корр)'!$G$25:$G$747,$G274),IF(method_reg="Метод экономически обоснованных расходов",_xlfn.SUMIFS('Калькуляция (МЭОР)'!$AK$25:$AK$452,'Калькуляция (МЭОР)'!$F$25:$F$452,$F274,'Калькуляция (МЭОР)'!$G$25:$G$452,$G274),IF(method_reg="Метод сравнения аналогов",_xlfn.SUMIFS('Калькуляция (МСА)'!$AF$25:$AF$122,'Калькуляция (МСА)'!$F$25:$F$122,$F274,'Калькуляция (МСА)'!$G$25:$G$122,$G274),_xlfn.SUMIFS(INDEX('Калькуляция (МИ)'!$AJ$25:$BC$747,,MATCH(BC$8,'Калькуляция (МИ)'!$AJ$8:$BC$8,0)),'Калькуляция (МИ)'!$F$25:$F$747,$F274,'Калькуляция (МИ)'!$G$25:$G$747,$G274))))</f>
        <v>0</v>
      </c>
      <c r="BD274" s="296">
        <f>IF(BB274=0,0,(BC274-BB274)/BB274*100)</f>
        <v>0</v>
      </c>
      <c r="BE274" s="5272">
        <f>IF(AND(method_reg="Метод индексации",god&lt;&gt;first_year),_xlfn.SUMIFS(INDEX('Калькуляция (МИ корр)'!$AJ$25:$BC$747,,MATCH(BE$8,'Калькуляция (МИ корр)'!$AJ$8:$BC$8,0)),'Калькуляция (МИ корр)'!$F$25:$F$747,$F274,'Калькуляция (МИ корр)'!$G$25:$G$747,$G274),IF(method_reg="Метод экономически обоснованных расходов",_xlfn.SUMIFS('Калькуляция (МЭОР)'!$AJ$25:$AJ$452,'Калькуляция (МЭОР)'!$F$25:$F$452,$F274,'Калькуляция (МЭОР)'!$G$25:$G$452,$G274),IF(method_reg="Метод сравнения аналогов",_xlfn.SUMIFS('Калькуляция (МСА)'!$AE$25:$AE$122,'Калькуляция (МСА)'!$F$25:$F$122,$F274,'Калькуляция (МСА)'!$G$25:$G$122,$G274),_xlfn.SUMIFS(INDEX('Калькуляция (МИ)'!$AJ$25:$BC$747,,MATCH(BE$8,'Калькуляция (МИ)'!$AJ$8:$BC$8,0)),'Калькуляция (МИ)'!$F$25:$F$747,$F274,'Калькуляция (МИ)'!$G$25:$G$747,$G274))))</f>
        <v>0</v>
      </c>
      <c r="BF274" s="5272">
        <f>IF(AND(method_reg="Метод индексации",god&lt;&gt;first_year),_xlfn.SUMIFS(INDEX('Калькуляция (МИ корр)'!$AJ$25:$BC$747,,MATCH(BF$8,'Калькуляция (МИ корр)'!$AJ$8:$BC$8,0)),'Калькуляция (МИ корр)'!$F$25:$F$747,$F274,'Калькуляция (МИ корр)'!$G$25:$G$747,$G274),IF(method_reg="Метод экономически обоснованных расходов",_xlfn.SUMIFS('Калькуляция (МЭОР)'!$AK$25:$AK$452,'Калькуляция (МЭОР)'!$F$25:$F$452,$F274,'Калькуляция (МЭОР)'!$G$25:$G$452,$G274),IF(method_reg="Метод сравнения аналогов",_xlfn.SUMIFS('Калькуляция (МСА)'!$AF$25:$AF$122,'Калькуляция (МСА)'!$F$25:$F$122,$F274,'Калькуляция (МСА)'!$G$25:$G$122,$G274),_xlfn.SUMIFS(INDEX('Калькуляция (МИ)'!$AJ$25:$BC$747,,MATCH(BF$8,'Калькуляция (МИ)'!$AJ$8:$BC$8,0)),'Калькуляция (МИ)'!$F$25:$F$747,$F274,'Калькуляция (МИ)'!$G$25:$G$747,$G274))))</f>
        <v>0</v>
      </c>
      <c r="BG274" s="296">
        <f>IF(BE274=0,0,(BF274-BE274)/BE274*100)</f>
        <v>0</v>
      </c>
      <c r="BH274" s="5272"/>
      <c r="BI274" s="5272"/>
      <c r="BJ274" s="296">
        <f>IF(BH274=0,0,(BI274-BH274)/BH274*100)</f>
        <v>0</v>
      </c>
      <c r="BK274" s="5272"/>
      <c r="BL274" s="5272"/>
      <c r="BM274" s="296">
        <f>IF(BK274=0,0,(BL274-BK274)/BK274*100)</f>
        <v>0</v>
      </c>
      <c r="BN274" s="5272"/>
      <c r="BO274" s="5272"/>
      <c r="BP274" s="296">
        <f>IF(BN274=0,0,(BO274-BN274)/BN274*100)</f>
        <v>0</v>
      </c>
      <c r="BQ274" s="5272"/>
      <c r="BR274" s="5272"/>
      <c r="BS274" s="296">
        <f>IF(BQ274=0,0,(BR274-BQ274)/BQ274*100)</f>
        <v>0</v>
      </c>
      <c r="BT274" s="5272"/>
      <c r="BU274" s="5272"/>
      <c r="BV274" s="296">
        <f>IF(BT274=0,0,(BU274-BT274)/BT274*100)</f>
        <v>0</v>
      </c>
      <c r="BW274" s="5272"/>
      <c r="BX274" s="5272"/>
      <c r="BY274" s="296">
        <f>IF(BW274=0,0,(BX274-BW274)/BW274*100)</f>
        <v>0</v>
      </c>
      <c r="BZ274" s="5272"/>
      <c r="CA274" s="5272"/>
      <c r="CB274" s="296">
        <f>IF(BZ274=0,0,(CA274-BZ274)/BZ274*100)</f>
        <v>0</v>
      </c>
      <c r="CC274" s="5272"/>
      <c r="CD274" s="5272"/>
      <c r="CE274" s="296">
        <f>IF(CC274=0,0,(CD274-CC274)/CC274*100)</f>
        <v>0</v>
      </c>
      <c r="CF274" s="5272"/>
      <c r="CG274" s="5272"/>
      <c r="CH274" s="296">
        <f>IF(CF274=0,0,(CG274-CF274)/CF274*100)</f>
        <v>0</v>
      </c>
      <c r="CI274" s="5272"/>
      <c r="CJ274" s="5272"/>
      <c r="CK274" s="296">
        <f>IF(CI274=0,0,(CJ274-CI274)/CI274*100)</f>
        <v>0</v>
      </c>
      <c r="CL274" s="5272"/>
      <c r="CM274" s="5272"/>
      <c r="CN274" s="296">
        <f>IF(CL274=0,0,(CM274-CL274)/CL274*100)</f>
        <v>0</v>
      </c>
      <c r="CO274" s="5272"/>
      <c r="CP274" s="5272"/>
      <c r="CQ274" s="296">
        <f>IF(CO274=0,0,(CP274-CO274)/CO274*100)</f>
        <v>0</v>
      </c>
      <c r="CR274" s="5272"/>
      <c r="CS274" s="5272"/>
      <c r="CT274" s="296">
        <f>IF(CR274=0,0,(CS274-CR274)/CR274*100)</f>
        <v>0</v>
      </c>
      <c r="CU274" s="5272"/>
      <c r="CV274" s="5272"/>
      <c r="CW274" s="296">
        <f>IF(CU274=0,0,(CV274-CU274)/CU274*100)</f>
        <v>0</v>
      </c>
      <c r="CX274" s="5272"/>
      <c r="CY274" s="5272"/>
      <c r="CZ274" s="296">
        <f>IF(CX274=0,0,(CY274-CX274)/CX274*100)</f>
        <v>0</v>
      </c>
      <c r="DA274" s="5272"/>
      <c r="DB274" s="5272"/>
      <c r="DC274" s="296">
        <f>IF(DA274=0,0,(DB274-DA274)/DA274*100)</f>
        <v>0</v>
      </c>
      <c r="DD274" s="5272"/>
      <c r="DE274" s="5272"/>
      <c r="DF274" s="296">
        <f>IF(DD274=0,0,(DE274-DD274)/DD274*100)</f>
        <v>0</v>
      </c>
      <c r="DG274" s="5272"/>
      <c r="DH274" s="5272"/>
      <c r="DI274" s="296">
        <f>IF(DG274=0,0,(DH274-DG274)/DG274*100)</f>
        <v>0</v>
      </c>
      <c r="DJ274" s="5272"/>
      <c r="DK274" s="5272"/>
      <c r="DL274" s="296">
        <f>IF(DJ274=0,0,(DK274-DJ274)/DJ274*100)</f>
        <v>0</v>
      </c>
      <c r="DM274" s="5272"/>
      <c r="DN274" s="5272"/>
      <c r="DO274" s="296">
        <f>IF(DM274=0,0,(DN274-DM274)/DM274*100)</f>
        <v>0</v>
      </c>
      <c r="DP274" s="5272"/>
      <c r="DQ274" s="5272"/>
      <c r="DR274" s="296">
        <f>IF(DP274=0,0,(DQ274-DP274)/DP274*100)</f>
        <v>0</v>
      </c>
      <c r="DS274" s="5272"/>
      <c r="DT274" s="5272"/>
      <c r="DU274" s="296">
        <f>IF(DS274=0,0,(DT274-DS274)/DS274*100)</f>
        <v>0</v>
      </c>
      <c r="DV274" s="5272"/>
      <c r="DW274" s="5272"/>
      <c r="DX274" s="296">
        <f>IF(DV274=0,0,(DW274-DV274)/DV274*100)</f>
        <v>0</v>
      </c>
      <c r="DY274" s="5272"/>
      <c r="DZ274" s="5272"/>
      <c r="EA274" s="296">
        <f>IF(DY274=0,0,(DZ274-DY274)/DY274*100)</f>
        <v>0</v>
      </c>
      <c r="EB274" s="5272"/>
      <c r="EC274" s="5272"/>
      <c r="ED274" s="296">
        <f>IF(EB274=0,0,(EC274-EB274)/EB274*100)</f>
        <v>0</v>
      </c>
      <c r="EE274" s="5272"/>
      <c r="EF274" s="5272"/>
      <c r="EG274" s="296">
        <f>IF(EE274=0,0,(EF274-EE274)/EE274*100)</f>
        <v>0</v>
      </c>
      <c r="EH274" s="5272"/>
      <c r="EI274" s="5272"/>
      <c r="EJ274" s="296">
        <f>IF(EH274=0,0,(EI274-EH274)/EH274*100)</f>
        <v>0</v>
      </c>
      <c r="EK274" s="5272"/>
      <c r="EL274" s="5272"/>
      <c r="EM274" s="296">
        <f>IF(EK274=0,0,(EL274-EK274)/EK274*100)</f>
        <v>0</v>
      </c>
      <c r="EN274" s="5272"/>
      <c r="EO274" s="5272"/>
      <c r="EP274" s="296">
        <f>IF(EN274=0,0,(EO274-EN274)/EN274*100)</f>
        <v>0</v>
      </c>
      <c r="EQ274" s="5272"/>
      <c r="ER274" s="5272"/>
      <c r="ES274" s="296">
        <f>IF(EQ274=0,0,(ER274-EQ274)/EQ274*100)</f>
        <v>0</v>
      </c>
      <c r="ET274" s="5272"/>
      <c r="EU274" s="5272"/>
      <c r="EV274" s="296">
        <f>IF(ET274=0,0,(EU274-ET274)/ET274*100)</f>
        <v>0</v>
      </c>
      <c r="EW274" s="5272"/>
      <c r="EX274" s="5272"/>
      <c r="EY274" s="296">
        <f>IF(EW274=0,0,(EX274-EW274)/EW274*100)</f>
        <v>0</v>
      </c>
      <c r="EZ274" s="5272"/>
      <c r="FA274" s="5272"/>
      <c r="FB274" s="296">
        <f>IF(EZ274=0,0,(FA274-EZ274)/EZ274*100)</f>
        <v>0</v>
      </c>
      <c r="FC274" s="5272"/>
      <c r="FD274" s="5272"/>
      <c r="FE274" s="296">
        <f>IF(FC274=0,0,(FD274-FC274)/FC274*100)</f>
        <v>0</v>
      </c>
      <c r="FF274" s="5272"/>
      <c r="FG274" s="5272"/>
      <c r="FH274" s="296">
        <f>IF(FF274=0,0,(FG274-FF274)/FF274*100)</f>
        <v>0</v>
      </c>
      <c r="FI274" s="5272"/>
      <c r="FJ274" s="5272"/>
      <c r="FK274" s="296">
        <f>IF(FI274=0,0,(FJ274-FI274)/FI274*100)</f>
        <v>0</v>
      </c>
      <c r="FL274" s="5272"/>
      <c r="FM274" s="5272"/>
      <c r="FN274" s="296">
        <f>IF(FL274=0,0,(FM274-FL274)/FL274*100)</f>
        <v>0</v>
      </c>
      <c r="FO274" s="5272"/>
      <c r="FP274" s="5272"/>
      <c r="FQ274" s="296">
        <f>IF(FO274=0,0,(FP274-FO274)/FO274*100)</f>
        <v>0</v>
      </c>
      <c r="FR274" s="5272"/>
      <c r="FS274" s="5272"/>
      <c r="FT274" s="296">
        <f>IF(FR274=0,0,(FS274-FR274)/FR274*100)</f>
        <v>0</v>
      </c>
      <c r="FU274" s="5272"/>
      <c r="FV274" s="5272"/>
      <c r="FW274" s="296">
        <f>IF(FU274=0,0,(FV274-FU274)/FU274*100)</f>
        <v>0</v>
      </c>
      <c r="FX274" s="292"/>
      <c r="FY274" s="292"/>
      <c r="FZ274" s="1055" t="s">
        <v>2417</v>
      </c>
      <c r="GA274" s="1055"/>
      <c r="GB274" s="1055"/>
      <c r="GC274" s="1056"/>
      <c r="GD274" s="1056"/>
    </row>
    <row s="6514" customFormat="1" customHeight="1" ht="23.25" hidden="1">
      <c r="A275" s="897"/>
      <c r="B275" s="925" cm="1" t="str">
        <f t="array" ref="B275:B275">B274</f>
        <v>false</v>
      </c>
      <c r="C275" s="897"/>
      <c r="D275" s="897"/>
      <c r="E275" s="840">
        <v>24.5</v>
      </c>
      <c r="F275" s="50" cm="1" t="str">
        <f t="array" ref="F275:F275">OFFSET(E275,-1,1)</f>
        <v>3</v>
      </c>
      <c r="G275" s="107" t="s">
        <v>2339</v>
      </c>
      <c r="H275" s="493" t="s">
        <v>1175</v>
      </c>
      <c r="I275" s="493" t="s">
        <v>2418</v>
      </c>
      <c r="J275" s="897"/>
      <c r="K275" s="897"/>
      <c r="L275" s="897"/>
      <c r="M275" s="897"/>
      <c r="N275" s="897"/>
      <c r="O275" s="897"/>
      <c r="P275" s="897"/>
      <c r="Q275" s="897"/>
      <c r="R275" s="897"/>
      <c r="S275" s="493"/>
      <c r="T275" s="465" cm="1" t="str">
        <f t="array" ref="T275:T275">T274</f>
        <v>true</v>
      </c>
      <c r="U275" s="897"/>
      <c r="V275" s="897"/>
      <c r="W275" s="897"/>
      <c r="X275" s="1596"/>
      <c r="Y275" s="897"/>
      <c r="Z275" s="1545"/>
      <c r="AA275" s="897"/>
      <c r="AB275" s="219" t="s">
        <v>2419</v>
      </c>
      <c r="AC275" s="234" t="s">
        <v>2337</v>
      </c>
      <c r="AD275" s="5272">
        <f>IF(AND(method_reg="Метод индексации",god&lt;&gt;first_year),_xlfn.SUMIFS(INDEX('Калькуляция (МИ корр)'!$AJ$25:$BC$747,,MATCH(AD$8,'Калькуляция (МИ корр)'!$AJ$8:$BC$8,0)),'Калькуляция (МИ корр)'!$F$25:$F$747,$F275,'Калькуляция (МИ корр)'!$G$25:$G$747,$G275),IF(method_reg="Метод экономически обоснованных расходов",_xlfn.SUMIFS('Калькуляция (МЭОР)'!$AJ$25:$AJ$452,'Калькуляция (МЭОР)'!$F$25:$F$452,$F275,'Калькуляция (МЭОР)'!$G$25:$G$452,$G275),IF(method_reg="Метод сравнения аналогов",_xlfn.SUMIFS('Калькуляция (МСА)'!$AE$25:$AE$122,'Калькуляция (МСА)'!$F$25:$F$122,$F275,'Калькуляция (МСА)'!$G$25:$G$122,$G275),_xlfn.SUMIFS(INDEX('Калькуляция (МИ)'!$AJ$25:$BC$747,,MATCH(AD$8,'Калькуляция (МИ)'!$AJ$8:$BC$8,0)),'Калькуляция (МИ)'!$F$25:$F$747,$F275,'Калькуляция (МИ)'!$G$25:$G$747,$G275))))</f>
        <v>82.8700004439396</v>
      </c>
      <c r="AE275" s="5272">
        <f>IF(AND(method_reg="Метод индексации",god&lt;&gt;first_year),_xlfn.SUMIFS(INDEX('Калькуляция (МИ корр)'!$AJ$25:$BC$747,,MATCH(AE$8,'Калькуляция (МИ корр)'!$AJ$8:$BC$8,0)),'Калькуляция (МИ корр)'!$F$25:$F$747,$F275,'Калькуляция (МИ корр)'!$G$25:$G$747,$G275),IF(method_reg="Метод экономически обоснованных расходов",_xlfn.SUMIFS('Калькуляция (МЭОР)'!$AK$25:$AK$452,'Калькуляция (МЭОР)'!$F$25:$F$452,$F275,'Калькуляция (МЭОР)'!$G$25:$G$452,$G275),IF(method_reg="Метод сравнения аналогов",_xlfn.SUMIFS('Калькуляция (МСА)'!$AF$25:$AF$122,'Калькуляция (МСА)'!$F$25:$F$122,$F275,'Калькуляция (МСА)'!$G$25:$G$122,$G275),_xlfn.SUMIFS(INDEX('Калькуляция (МИ)'!$AJ$25:$BC$747,,MATCH(AE$8,'Калькуляция (МИ)'!$AJ$8:$BC$8,0)),'Калькуляция (МИ)'!$F$25:$F$747,$F275,'Калькуляция (МИ)'!$G$25:$G$747,$G275))))</f>
        <v>82.8702325351654</v>
      </c>
      <c r="AF275" s="296">
        <f>IF(AD275=0,0,(AE275-AD275)/AD275*100)</f>
        <v>0.000280066639982891</v>
      </c>
      <c r="AG275" s="5272">
        <f>IF(AND(method_reg="Метод индексации",god&lt;&gt;first_year),_xlfn.SUMIFS(INDEX('Калькуляция (МИ корр)'!$AJ$25:$BC$747,,MATCH(AG$8,'Калькуляция (МИ корр)'!$AJ$8:$BC$8,0)),'Калькуляция (МИ корр)'!$F$25:$F$747,$F275,'Калькуляция (МИ корр)'!$G$25:$G$747,$G275),IF(method_reg="Метод экономически обоснованных расходов",_xlfn.SUMIFS('Калькуляция (МЭОР)'!$AJ$25:$AJ$452,'Калькуляция (МЭОР)'!$F$25:$F$452,$F275,'Калькуляция (МЭОР)'!$G$25:$G$452,$G275),IF(method_reg="Метод сравнения аналогов",_xlfn.SUMIFS('Калькуляция (МСА)'!$AE$25:$AE$122,'Калькуляция (МСА)'!$F$25:$F$122,$F275,'Калькуляция (МСА)'!$G$25:$G$122,$G275),_xlfn.SUMIFS(INDEX('Калькуляция (МИ)'!$AJ$25:$BC$747,,MATCH(AG$8,'Калькуляция (МИ)'!$AJ$8:$BC$8,0)),'Калькуляция (МИ)'!$F$25:$F$747,$F275,'Калькуляция (МИ)'!$G$25:$G$747,$G275))))</f>
        <v>90.1301145057005</v>
      </c>
      <c r="AH275" s="5272">
        <f>IF(AND(method_reg="Метод индексации",god&lt;&gt;first_year),_xlfn.SUMIFS(INDEX('Калькуляция (МИ корр)'!$AJ$25:$BC$747,,MATCH(AH$8,'Калькуляция (МИ корр)'!$AJ$8:$BC$8,0)),'Калькуляция (МИ корр)'!$F$25:$F$747,$F275,'Калькуляция (МИ корр)'!$G$25:$G$747,$G275),IF(method_reg="Метод экономически обоснованных расходов",_xlfn.SUMIFS('Калькуляция (МЭОР)'!$AK$25:$AK$452,'Калькуляция (МЭОР)'!$F$25:$F$452,$F275,'Калькуляция (МЭОР)'!$G$25:$G$452,$G275),IF(method_reg="Метод сравнения аналогов",_xlfn.SUMIFS('Калькуляция (МСА)'!$AF$25:$AF$122,'Калькуляция (МСА)'!$F$25:$F$122,$F275,'Калькуляция (МСА)'!$G$25:$G$122,$G275),_xlfn.SUMIFS(INDEX('Калькуляция (МИ)'!$AJ$25:$BC$747,,MATCH(AH$8,'Калькуляция (МИ)'!$AJ$8:$BC$8,0)),'Калькуляция (МИ)'!$F$25:$F$747,$F275,'Калькуляция (МИ)'!$G$25:$G$747,$G275))))</f>
        <v>90.1298893665147</v>
      </c>
      <c r="AI275" s="296">
        <f>IF(AG275=0,0,(AH275-AG275)/AG275*100)</f>
        <v>-0.000249793520218802</v>
      </c>
      <c r="AJ275" s="5272">
        <f>IF(AND(method_reg="Метод индексации",god&lt;&gt;first_year),_xlfn.SUMIFS(INDEX('Калькуляция (МИ корр)'!$AJ$25:$BC$747,,MATCH(AJ$8,'Калькуляция (МИ корр)'!$AJ$8:$BC$8,0)),'Калькуляция (МИ корр)'!$F$25:$F$747,$F275,'Калькуляция (МИ корр)'!$G$25:$G$747,$G275),IF(method_reg="Метод экономически обоснованных расходов",_xlfn.SUMIFS('Калькуляция (МЭОР)'!$AJ$25:$AJ$452,'Калькуляция (МЭОР)'!$F$25:$F$452,$F275,'Калькуляция (МЭОР)'!$G$25:$G$452,$G275),IF(method_reg="Метод сравнения аналогов",_xlfn.SUMIFS('Калькуляция (МСА)'!$AE$25:$AE$122,'Калькуляция (МСА)'!$F$25:$F$122,$F275,'Калькуляция (МСА)'!$G$25:$G$122,$G275),_xlfn.SUMIFS(INDEX('Калькуляция (МИ)'!$AJ$25:$BC$747,,MATCH(AJ$8,'Калькуляция (МИ)'!$AJ$8:$BC$8,0)),'Калькуляция (МИ)'!$F$25:$F$747,$F275,'Калькуляция (МИ)'!$G$25:$G$747,$G275))))</f>
        <v>93.9801166816547</v>
      </c>
      <c r="AK275" s="5272">
        <f>IF(AND(method_reg="Метод индексации",god&lt;&gt;first_year),_xlfn.SUMIFS(INDEX('Калькуляция (МИ корр)'!$AJ$25:$BC$747,,MATCH(AK$8,'Калькуляция (МИ корр)'!$AJ$8:$BC$8,0)),'Калькуляция (МИ корр)'!$F$25:$F$747,$F275,'Калькуляция (МИ корр)'!$G$25:$G$747,$G275),IF(method_reg="Метод экономически обоснованных расходов",_xlfn.SUMIFS('Калькуляция (МЭОР)'!$AK$25:$AK$452,'Калькуляция (МЭОР)'!$F$25:$F$452,$F275,'Калькуляция (МЭОР)'!$G$25:$G$452,$G275),IF(method_reg="Метод сравнения аналогов",_xlfn.SUMIFS('Калькуляция (МСА)'!$AF$25:$AF$122,'Калькуляция (МСА)'!$F$25:$F$122,$F275,'Калькуляция (МСА)'!$G$25:$G$122,$G275),_xlfn.SUMIFS(INDEX('Калькуляция (МИ)'!$AJ$25:$BC$747,,MATCH(AK$8,'Калькуляция (МИ)'!$AJ$8:$BC$8,0)),'Калькуляция (МИ)'!$F$25:$F$747,$F275,'Калькуляция (МИ)'!$G$25:$G$747,$G275))))</f>
        <v>93.9802337396029</v>
      </c>
      <c r="AL275" s="296">
        <f>IF(AJ275=0,0,(AK275-AJ275)/AJ275*100)</f>
        <v>0.000124556078797462</v>
      </c>
      <c r="AM275" s="5272">
        <f>IF(AND(method_reg="Метод индексации",god&lt;&gt;first_year),_xlfn.SUMIFS(INDEX('Калькуляция (МИ корр)'!$AJ$25:$BC$747,,MATCH(AM$8,'Калькуляция (МИ корр)'!$AJ$8:$BC$8,0)),'Калькуляция (МИ корр)'!$F$25:$F$747,$F275,'Калькуляция (МИ корр)'!$G$25:$G$747,$G275),IF(method_reg="Метод экономически обоснованных расходов",_xlfn.SUMIFS('Калькуляция (МЭОР)'!$AJ$25:$AJ$452,'Калькуляция (МЭОР)'!$F$25:$F$452,$F275,'Калькуляция (МЭОР)'!$G$25:$G$452,$G275),IF(method_reg="Метод сравнения аналогов",_xlfn.SUMIFS('Калькуляция (МСА)'!$AE$25:$AE$122,'Калькуляция (МСА)'!$F$25:$F$122,$F275,'Калькуляция (МСА)'!$G$25:$G$122,$G275),_xlfn.SUMIFS(INDEX('Калькуляция (МИ)'!$AJ$25:$BC$747,,MATCH(AM$8,'Калькуляция (МИ)'!$AJ$8:$BC$8,0)),'Калькуляция (МИ)'!$F$25:$F$747,$F275,'Калькуляция (МИ)'!$G$25:$G$747,$G275))))</f>
        <v>95.0001273145362</v>
      </c>
      <c r="AN275" s="5272">
        <f>IF(AND(method_reg="Метод индексации",god&lt;&gt;first_year),_xlfn.SUMIFS(INDEX('Калькуляция (МИ корр)'!$AJ$25:$BC$747,,MATCH(AN$8,'Калькуляция (МИ корр)'!$AJ$8:$BC$8,0)),'Калькуляция (МИ корр)'!$F$25:$F$747,$F275,'Калькуляция (МИ корр)'!$G$25:$G$747,$G275),IF(method_reg="Метод экономически обоснованных расходов",_xlfn.SUMIFS('Калькуляция (МЭОР)'!$AK$25:$AK$452,'Калькуляция (МЭОР)'!$F$25:$F$452,$F275,'Калькуляция (МЭОР)'!$G$25:$G$452,$G275),IF(method_reg="Метод сравнения аналогов",_xlfn.SUMIFS('Калькуляция (МСА)'!$AF$25:$AF$122,'Калькуляция (МСА)'!$F$25:$F$122,$F275,'Калькуляция (МСА)'!$G$25:$G$122,$G275),_xlfn.SUMIFS(INDEX('Калькуляция (МИ)'!$AJ$25:$BC$747,,MATCH(AN$8,'Калькуляция (МИ)'!$AJ$8:$BC$8,0)),'Калькуляция (МИ)'!$F$25:$F$747,$F275,'Калькуляция (МИ)'!$G$25:$G$747,$G275))))</f>
        <v>94.9998952052032</v>
      </c>
      <c r="AO275" s="296">
        <f>IF(AM275=0,0,(AN275-AM275)/AM275*100)</f>
        <v>-0.000244325286249069</v>
      </c>
      <c r="AP275" s="5272">
        <f>IF(AND(method_reg="Метод индексации",god&lt;&gt;first_year),_xlfn.SUMIFS(INDEX('Калькуляция (МИ корр)'!$AJ$25:$BC$747,,MATCH(AP$8,'Калькуляция (МИ корр)'!$AJ$8:$BC$8,0)),'Калькуляция (МИ корр)'!$F$25:$F$747,$F275,'Калькуляция (МИ корр)'!$G$25:$G$747,$G275),IF(method_reg="Метод экономически обоснованных расходов",_xlfn.SUMIFS('Калькуляция (МЭОР)'!$AJ$25:$AJ$452,'Калькуляция (МЭОР)'!$F$25:$F$452,$F275,'Калькуляция (МЭОР)'!$G$25:$G$452,$G275),IF(method_reg="Метод сравнения аналогов",_xlfn.SUMIFS('Калькуляция (МСА)'!$AE$25:$AE$122,'Калькуляция (МСА)'!$F$25:$F$122,$F275,'Калькуляция (МСА)'!$G$25:$G$122,$G275),_xlfn.SUMIFS(INDEX('Калькуляция (МИ)'!$AJ$25:$BC$747,,MATCH(AP$8,'Калькуляция (МИ)'!$AJ$8:$BC$8,0)),'Калькуляция (МИ)'!$F$25:$F$747,$F275,'Калькуляция (МИ)'!$G$25:$G$747,$G275))))</f>
        <v>96.4959881871834</v>
      </c>
      <c r="AQ275" s="5272">
        <f>IF(AND(method_reg="Метод индексации",god&lt;&gt;first_year),_xlfn.SUMIFS(INDEX('Калькуляция (МИ корр)'!$AJ$25:$BC$747,,MATCH(AQ$8,'Калькуляция (МИ корр)'!$AJ$8:$BC$8,0)),'Калькуляция (МИ корр)'!$F$25:$F$747,$F275,'Калькуляция (МИ корр)'!$G$25:$G$747,$G275),IF(method_reg="Метод экономически обоснованных расходов",_xlfn.SUMIFS('Калькуляция (МЭОР)'!$AK$25:$AK$452,'Калькуляция (МЭОР)'!$F$25:$F$452,$F275,'Калькуляция (МЭОР)'!$G$25:$G$452,$G275),IF(method_reg="Метод сравнения аналогов",_xlfn.SUMIFS('Калькуляция (МСА)'!$AF$25:$AF$122,'Калькуляция (МСА)'!$F$25:$F$122,$F275,'Калькуляция (МСА)'!$G$25:$G$122,$G275),_xlfn.SUMIFS(INDEX('Калькуляция (МИ)'!$AJ$25:$BC$747,,MATCH(AQ$8,'Калькуляция (МИ)'!$AJ$8:$BC$8,0)),'Калькуляция (МИ)'!$F$25:$F$747,$F275,'Калькуляция (МИ)'!$G$25:$G$747,$G275))))</f>
        <v>96.4961000506092</v>
      </c>
      <c r="AR275" s="296">
        <f>IF(AP275=0,0,(AQ275-AP275)/AP275*100)</f>
        <v>0.000115925467889518</v>
      </c>
      <c r="AS275" s="5272">
        <f>IF(AND(method_reg="Метод индексации",god&lt;&gt;first_year),_xlfn.SUMIFS(INDEX('Калькуляция (МИ корр)'!$AJ$25:$BC$747,,MATCH(AS$8,'Калькуляция (МИ корр)'!$AJ$8:$BC$8,0)),'Калькуляция (МИ корр)'!$F$25:$F$747,$F275,'Калькуляция (МИ корр)'!$G$25:$G$747,$G275),IF(method_reg="Метод экономически обоснованных расходов",_xlfn.SUMIFS('Калькуляция (МЭОР)'!$AJ$25:$AJ$452,'Калькуляция (МЭОР)'!$F$25:$F$452,$F275,'Калькуляция (МЭОР)'!$G$25:$G$452,$G275),IF(method_reg="Метод сравнения аналогов",_xlfn.SUMIFS('Калькуляция (МСА)'!$AE$25:$AE$122,'Калькуляция (МСА)'!$F$25:$F$122,$F275,'Калькуляция (МСА)'!$G$25:$G$122,$G275),_xlfn.SUMIFS(INDEX('Калькуляция (МИ)'!$AJ$25:$BC$747,,MATCH(AS$8,'Калькуляция (МИ)'!$AJ$8:$BC$8,0)),'Калькуляция (МИ)'!$F$25:$F$747,$F275,'Калькуляция (МИ)'!$G$25:$G$747,$G275))))</f>
        <v>0</v>
      </c>
      <c r="AT275" s="5272">
        <f>IF(AND(method_reg="Метод индексации",god&lt;&gt;first_year),_xlfn.SUMIFS(INDEX('Калькуляция (МИ корр)'!$AJ$25:$BC$747,,MATCH(AT$8,'Калькуляция (МИ корр)'!$AJ$8:$BC$8,0)),'Калькуляция (МИ корр)'!$F$25:$F$747,$F275,'Калькуляция (МИ корр)'!$G$25:$G$747,$G275),IF(method_reg="Метод экономически обоснованных расходов",_xlfn.SUMIFS('Калькуляция (МЭОР)'!$AK$25:$AK$452,'Калькуляция (МЭОР)'!$F$25:$F$452,$F275,'Калькуляция (МЭОР)'!$G$25:$G$452,$G275),IF(method_reg="Метод сравнения аналогов",_xlfn.SUMIFS('Калькуляция (МСА)'!$AF$25:$AF$122,'Калькуляция (МСА)'!$F$25:$F$122,$F275,'Калькуляция (МСА)'!$G$25:$G$122,$G275),_xlfn.SUMIFS(INDEX('Калькуляция (МИ)'!$AJ$25:$BC$747,,MATCH(AT$8,'Калькуляция (МИ)'!$AJ$8:$BC$8,0)),'Калькуляция (МИ)'!$F$25:$F$747,$F275,'Калькуляция (МИ)'!$G$25:$G$747,$G275))))</f>
        <v>0</v>
      </c>
      <c r="AU275" s="296">
        <f>IF(AS275=0,0,(AT275-AS275)/AS275*100)</f>
        <v>0</v>
      </c>
      <c r="AV275" s="5272">
        <f>IF(AND(method_reg="Метод индексации",god&lt;&gt;first_year),_xlfn.SUMIFS(INDEX('Калькуляция (МИ корр)'!$AJ$25:$BC$747,,MATCH(AV$8,'Калькуляция (МИ корр)'!$AJ$8:$BC$8,0)),'Калькуляция (МИ корр)'!$F$25:$F$747,$F275,'Калькуляция (МИ корр)'!$G$25:$G$747,$G275),IF(method_reg="Метод экономически обоснованных расходов",_xlfn.SUMIFS('Калькуляция (МЭОР)'!$AJ$25:$AJ$452,'Калькуляция (МЭОР)'!$F$25:$F$452,$F275,'Калькуляция (МЭОР)'!$G$25:$G$452,$G275),IF(method_reg="Метод сравнения аналогов",_xlfn.SUMIFS('Калькуляция (МСА)'!$AE$25:$AE$122,'Калькуляция (МСА)'!$F$25:$F$122,$F275,'Калькуляция (МСА)'!$G$25:$G$122,$G275),_xlfn.SUMIFS(INDEX('Калькуляция (МИ)'!$AJ$25:$BC$747,,MATCH(AV$8,'Калькуляция (МИ)'!$AJ$8:$BC$8,0)),'Калькуляция (МИ)'!$F$25:$F$747,$F275,'Калькуляция (МИ)'!$G$25:$G$747,$G275))))</f>
        <v>0</v>
      </c>
      <c r="AW275" s="5272">
        <f>IF(AND(method_reg="Метод индексации",god&lt;&gt;first_year),_xlfn.SUMIFS(INDEX('Калькуляция (МИ корр)'!$AJ$25:$BC$747,,MATCH(AW$8,'Калькуляция (МИ корр)'!$AJ$8:$BC$8,0)),'Калькуляция (МИ корр)'!$F$25:$F$747,$F275,'Калькуляция (МИ корр)'!$G$25:$G$747,$G275),IF(method_reg="Метод экономически обоснованных расходов",_xlfn.SUMIFS('Калькуляция (МЭОР)'!$AK$25:$AK$452,'Калькуляция (МЭОР)'!$F$25:$F$452,$F275,'Калькуляция (МЭОР)'!$G$25:$G$452,$G275),IF(method_reg="Метод сравнения аналогов",_xlfn.SUMIFS('Калькуляция (МСА)'!$AF$25:$AF$122,'Калькуляция (МСА)'!$F$25:$F$122,$F275,'Калькуляция (МСА)'!$G$25:$G$122,$G275),_xlfn.SUMIFS(INDEX('Калькуляция (МИ)'!$AJ$25:$BC$747,,MATCH(AW$8,'Калькуляция (МИ)'!$AJ$8:$BC$8,0)),'Калькуляция (МИ)'!$F$25:$F$747,$F275,'Калькуляция (МИ)'!$G$25:$G$747,$G275))))</f>
        <v>0</v>
      </c>
      <c r="AX275" s="296">
        <f>IF(AV275=0,0,(AW275-AV275)/AV275*100)</f>
        <v>0</v>
      </c>
      <c r="AY275" s="5272">
        <f>IF(AND(method_reg="Метод индексации",god&lt;&gt;first_year),_xlfn.SUMIFS(INDEX('Калькуляция (МИ корр)'!$AJ$25:$BC$747,,MATCH(AY$8,'Калькуляция (МИ корр)'!$AJ$8:$BC$8,0)),'Калькуляция (МИ корр)'!$F$25:$F$747,$F275,'Калькуляция (МИ корр)'!$G$25:$G$747,$G275),IF(method_reg="Метод экономически обоснованных расходов",_xlfn.SUMIFS('Калькуляция (МЭОР)'!$AJ$25:$AJ$452,'Калькуляция (МЭОР)'!$F$25:$F$452,$F275,'Калькуляция (МЭОР)'!$G$25:$G$452,$G275),IF(method_reg="Метод сравнения аналогов",_xlfn.SUMIFS('Калькуляция (МСА)'!$AE$25:$AE$122,'Калькуляция (МСА)'!$F$25:$F$122,$F275,'Калькуляция (МСА)'!$G$25:$G$122,$G275),_xlfn.SUMIFS(INDEX('Калькуляция (МИ)'!$AJ$25:$BC$747,,MATCH(AY$8,'Калькуляция (МИ)'!$AJ$8:$BC$8,0)),'Калькуляция (МИ)'!$F$25:$F$747,$F275,'Калькуляция (МИ)'!$G$25:$G$747,$G275))))</f>
        <v>0</v>
      </c>
      <c r="AZ275" s="5272">
        <f>IF(AND(method_reg="Метод индексации",god&lt;&gt;first_year),_xlfn.SUMIFS(INDEX('Калькуляция (МИ корр)'!$AJ$25:$BC$747,,MATCH(AZ$8,'Калькуляция (МИ корр)'!$AJ$8:$BC$8,0)),'Калькуляция (МИ корр)'!$F$25:$F$747,$F275,'Калькуляция (МИ корр)'!$G$25:$G$747,$G275),IF(method_reg="Метод экономически обоснованных расходов",_xlfn.SUMIFS('Калькуляция (МЭОР)'!$AK$25:$AK$452,'Калькуляция (МЭОР)'!$F$25:$F$452,$F275,'Калькуляция (МЭОР)'!$G$25:$G$452,$G275),IF(method_reg="Метод сравнения аналогов",_xlfn.SUMIFS('Калькуляция (МСА)'!$AF$25:$AF$122,'Калькуляция (МСА)'!$F$25:$F$122,$F275,'Калькуляция (МСА)'!$G$25:$G$122,$G275),_xlfn.SUMIFS(INDEX('Калькуляция (МИ)'!$AJ$25:$BC$747,,MATCH(AZ$8,'Калькуляция (МИ)'!$AJ$8:$BC$8,0)),'Калькуляция (МИ)'!$F$25:$F$747,$F275,'Калькуляция (МИ)'!$G$25:$G$747,$G275))))</f>
        <v>0</v>
      </c>
      <c r="BA275" s="296">
        <f>IF(AY275=0,0,(AZ275-AY275)/AY275*100)</f>
        <v>0</v>
      </c>
      <c r="BB275" s="5272">
        <f>IF(AND(method_reg="Метод индексации",god&lt;&gt;first_year),_xlfn.SUMIFS(INDEX('Калькуляция (МИ корр)'!$AJ$25:$BC$747,,MATCH(BB$8,'Калькуляция (МИ корр)'!$AJ$8:$BC$8,0)),'Калькуляция (МИ корр)'!$F$25:$F$747,$F275,'Калькуляция (МИ корр)'!$G$25:$G$747,$G275),IF(method_reg="Метод экономически обоснованных расходов",_xlfn.SUMIFS('Калькуляция (МЭОР)'!$AJ$25:$AJ$452,'Калькуляция (МЭОР)'!$F$25:$F$452,$F275,'Калькуляция (МЭОР)'!$G$25:$G$452,$G275),IF(method_reg="Метод сравнения аналогов",_xlfn.SUMIFS('Калькуляция (МСА)'!$AE$25:$AE$122,'Калькуляция (МСА)'!$F$25:$F$122,$F275,'Калькуляция (МСА)'!$G$25:$G$122,$G275),_xlfn.SUMIFS(INDEX('Калькуляция (МИ)'!$AJ$25:$BC$747,,MATCH(BB$8,'Калькуляция (МИ)'!$AJ$8:$BC$8,0)),'Калькуляция (МИ)'!$F$25:$F$747,$F275,'Калькуляция (МИ)'!$G$25:$G$747,$G275))))</f>
        <v>0</v>
      </c>
      <c r="BC275" s="5272">
        <f>IF(AND(method_reg="Метод индексации",god&lt;&gt;first_year),_xlfn.SUMIFS(INDEX('Калькуляция (МИ корр)'!$AJ$25:$BC$747,,MATCH(BC$8,'Калькуляция (МИ корр)'!$AJ$8:$BC$8,0)),'Калькуляция (МИ корр)'!$F$25:$F$747,$F275,'Калькуляция (МИ корр)'!$G$25:$G$747,$G275),IF(method_reg="Метод экономически обоснованных расходов",_xlfn.SUMIFS('Калькуляция (МЭОР)'!$AK$25:$AK$452,'Калькуляция (МЭОР)'!$F$25:$F$452,$F275,'Калькуляция (МЭОР)'!$G$25:$G$452,$G275),IF(method_reg="Метод сравнения аналогов",_xlfn.SUMIFS('Калькуляция (МСА)'!$AF$25:$AF$122,'Калькуляция (МСА)'!$F$25:$F$122,$F275,'Калькуляция (МСА)'!$G$25:$G$122,$G275),_xlfn.SUMIFS(INDEX('Калькуляция (МИ)'!$AJ$25:$BC$747,,MATCH(BC$8,'Калькуляция (МИ)'!$AJ$8:$BC$8,0)),'Калькуляция (МИ)'!$F$25:$F$747,$F275,'Калькуляция (МИ)'!$G$25:$G$747,$G275))))</f>
        <v>0</v>
      </c>
      <c r="BD275" s="296">
        <f>IF(BB275=0,0,(BC275-BB275)/BB275*100)</f>
        <v>0</v>
      </c>
      <c r="BE275" s="5272">
        <f>IF(AND(method_reg="Метод индексации",god&lt;&gt;first_year),_xlfn.SUMIFS(INDEX('Калькуляция (МИ корр)'!$AJ$25:$BC$747,,MATCH(BE$8,'Калькуляция (МИ корр)'!$AJ$8:$BC$8,0)),'Калькуляция (МИ корр)'!$F$25:$F$747,$F275,'Калькуляция (МИ корр)'!$G$25:$G$747,$G275),IF(method_reg="Метод экономически обоснованных расходов",_xlfn.SUMIFS('Калькуляция (МЭОР)'!$AJ$25:$AJ$452,'Калькуляция (МЭОР)'!$F$25:$F$452,$F275,'Калькуляция (МЭОР)'!$G$25:$G$452,$G275),IF(method_reg="Метод сравнения аналогов",_xlfn.SUMIFS('Калькуляция (МСА)'!$AE$25:$AE$122,'Калькуляция (МСА)'!$F$25:$F$122,$F275,'Калькуляция (МСА)'!$G$25:$G$122,$G275),_xlfn.SUMIFS(INDEX('Калькуляция (МИ)'!$AJ$25:$BC$747,,MATCH(BE$8,'Калькуляция (МИ)'!$AJ$8:$BC$8,0)),'Калькуляция (МИ)'!$F$25:$F$747,$F275,'Калькуляция (МИ)'!$G$25:$G$747,$G275))))</f>
        <v>0</v>
      </c>
      <c r="BF275" s="5272">
        <f>IF(AND(method_reg="Метод индексации",god&lt;&gt;first_year),_xlfn.SUMIFS(INDEX('Калькуляция (МИ корр)'!$AJ$25:$BC$747,,MATCH(BF$8,'Калькуляция (МИ корр)'!$AJ$8:$BC$8,0)),'Калькуляция (МИ корр)'!$F$25:$F$747,$F275,'Калькуляция (МИ корр)'!$G$25:$G$747,$G275),IF(method_reg="Метод экономически обоснованных расходов",_xlfn.SUMIFS('Калькуляция (МЭОР)'!$AK$25:$AK$452,'Калькуляция (МЭОР)'!$F$25:$F$452,$F275,'Калькуляция (МЭОР)'!$G$25:$G$452,$G275),IF(method_reg="Метод сравнения аналогов",_xlfn.SUMIFS('Калькуляция (МСА)'!$AF$25:$AF$122,'Калькуляция (МСА)'!$F$25:$F$122,$F275,'Калькуляция (МСА)'!$G$25:$G$122,$G275),_xlfn.SUMIFS(INDEX('Калькуляция (МИ)'!$AJ$25:$BC$747,,MATCH(BF$8,'Калькуляция (МИ)'!$AJ$8:$BC$8,0)),'Калькуляция (МИ)'!$F$25:$F$747,$F275,'Калькуляция (МИ)'!$G$25:$G$747,$G275))))</f>
        <v>0</v>
      </c>
      <c r="BG275" s="296">
        <f>IF(BE275=0,0,(BF275-BE275)/BE275*100)</f>
        <v>0</v>
      </c>
      <c r="BH275" s="5272"/>
      <c r="BI275" s="5272"/>
      <c r="BJ275" s="296">
        <f>IF(BH275=0,0,(BI275-BH275)/BH275*100)</f>
        <v>0</v>
      </c>
      <c r="BK275" s="5272"/>
      <c r="BL275" s="5272"/>
      <c r="BM275" s="296">
        <f>IF(BK275=0,0,(BL275-BK275)/BK275*100)</f>
        <v>0</v>
      </c>
      <c r="BN275" s="5272"/>
      <c r="BO275" s="5272"/>
      <c r="BP275" s="296">
        <f>IF(BN275=0,0,(BO275-BN275)/BN275*100)</f>
        <v>0</v>
      </c>
      <c r="BQ275" s="5272"/>
      <c r="BR275" s="5272"/>
      <c r="BS275" s="296">
        <f>IF(BQ275=0,0,(BR275-BQ275)/BQ275*100)</f>
        <v>0</v>
      </c>
      <c r="BT275" s="5272"/>
      <c r="BU275" s="5272"/>
      <c r="BV275" s="296">
        <f>IF(BT275=0,0,(BU275-BT275)/BT275*100)</f>
        <v>0</v>
      </c>
      <c r="BW275" s="5272"/>
      <c r="BX275" s="5272"/>
      <c r="BY275" s="296">
        <f>IF(BW275=0,0,(BX275-BW275)/BW275*100)</f>
        <v>0</v>
      </c>
      <c r="BZ275" s="5272"/>
      <c r="CA275" s="5272"/>
      <c r="CB275" s="296">
        <f>IF(BZ275=0,0,(CA275-BZ275)/BZ275*100)</f>
        <v>0</v>
      </c>
      <c r="CC275" s="5272"/>
      <c r="CD275" s="5272"/>
      <c r="CE275" s="296">
        <f>IF(CC275=0,0,(CD275-CC275)/CC275*100)</f>
        <v>0</v>
      </c>
      <c r="CF275" s="5272"/>
      <c r="CG275" s="5272"/>
      <c r="CH275" s="296">
        <f>IF(CF275=0,0,(CG275-CF275)/CF275*100)</f>
        <v>0</v>
      </c>
      <c r="CI275" s="5272"/>
      <c r="CJ275" s="5272"/>
      <c r="CK275" s="296">
        <f>IF(CI275=0,0,(CJ275-CI275)/CI275*100)</f>
        <v>0</v>
      </c>
      <c r="CL275" s="5272"/>
      <c r="CM275" s="5272"/>
      <c r="CN275" s="296">
        <f>IF(CL275=0,0,(CM275-CL275)/CL275*100)</f>
        <v>0</v>
      </c>
      <c r="CO275" s="5272"/>
      <c r="CP275" s="5272"/>
      <c r="CQ275" s="296">
        <f>IF(CO275=0,0,(CP275-CO275)/CO275*100)</f>
        <v>0</v>
      </c>
      <c r="CR275" s="5272"/>
      <c r="CS275" s="5272"/>
      <c r="CT275" s="296">
        <f>IF(CR275=0,0,(CS275-CR275)/CR275*100)</f>
        <v>0</v>
      </c>
      <c r="CU275" s="5272"/>
      <c r="CV275" s="5272"/>
      <c r="CW275" s="296">
        <f>IF(CU275=0,0,(CV275-CU275)/CU275*100)</f>
        <v>0</v>
      </c>
      <c r="CX275" s="5272"/>
      <c r="CY275" s="5272"/>
      <c r="CZ275" s="296">
        <f>IF(CX275=0,0,(CY275-CX275)/CX275*100)</f>
        <v>0</v>
      </c>
      <c r="DA275" s="5272"/>
      <c r="DB275" s="5272"/>
      <c r="DC275" s="296">
        <f>IF(DA275=0,0,(DB275-DA275)/DA275*100)</f>
        <v>0</v>
      </c>
      <c r="DD275" s="5272"/>
      <c r="DE275" s="5272"/>
      <c r="DF275" s="296">
        <f>IF(DD275=0,0,(DE275-DD275)/DD275*100)</f>
        <v>0</v>
      </c>
      <c r="DG275" s="5272"/>
      <c r="DH275" s="5272"/>
      <c r="DI275" s="296">
        <f>IF(DG275=0,0,(DH275-DG275)/DG275*100)</f>
        <v>0</v>
      </c>
      <c r="DJ275" s="5272"/>
      <c r="DK275" s="5272"/>
      <c r="DL275" s="296">
        <f>IF(DJ275=0,0,(DK275-DJ275)/DJ275*100)</f>
        <v>0</v>
      </c>
      <c r="DM275" s="5272"/>
      <c r="DN275" s="5272"/>
      <c r="DO275" s="296">
        <f>IF(DM275=0,0,(DN275-DM275)/DM275*100)</f>
        <v>0</v>
      </c>
      <c r="DP275" s="5272"/>
      <c r="DQ275" s="5272"/>
      <c r="DR275" s="296">
        <f>IF(DP275=0,0,(DQ275-DP275)/DP275*100)</f>
        <v>0</v>
      </c>
      <c r="DS275" s="5272"/>
      <c r="DT275" s="5272"/>
      <c r="DU275" s="296">
        <f>IF(DS275=0,0,(DT275-DS275)/DS275*100)</f>
        <v>0</v>
      </c>
      <c r="DV275" s="5272"/>
      <c r="DW275" s="5272"/>
      <c r="DX275" s="296">
        <f>IF(DV275=0,0,(DW275-DV275)/DV275*100)</f>
        <v>0</v>
      </c>
      <c r="DY275" s="5272"/>
      <c r="DZ275" s="5272"/>
      <c r="EA275" s="296">
        <f>IF(DY275=0,0,(DZ275-DY275)/DY275*100)</f>
        <v>0</v>
      </c>
      <c r="EB275" s="5272"/>
      <c r="EC275" s="5272"/>
      <c r="ED275" s="296">
        <f>IF(EB275=0,0,(EC275-EB275)/EB275*100)</f>
        <v>0</v>
      </c>
      <c r="EE275" s="5272"/>
      <c r="EF275" s="5272"/>
      <c r="EG275" s="296">
        <f>IF(EE275=0,0,(EF275-EE275)/EE275*100)</f>
        <v>0</v>
      </c>
      <c r="EH275" s="5272"/>
      <c r="EI275" s="5272"/>
      <c r="EJ275" s="296">
        <f>IF(EH275=0,0,(EI275-EH275)/EH275*100)</f>
        <v>0</v>
      </c>
      <c r="EK275" s="5272"/>
      <c r="EL275" s="5272"/>
      <c r="EM275" s="296">
        <f>IF(EK275=0,0,(EL275-EK275)/EK275*100)</f>
        <v>0</v>
      </c>
      <c r="EN275" s="5272"/>
      <c r="EO275" s="5272"/>
      <c r="EP275" s="296">
        <f>IF(EN275=0,0,(EO275-EN275)/EN275*100)</f>
        <v>0</v>
      </c>
      <c r="EQ275" s="5272"/>
      <c r="ER275" s="5272"/>
      <c r="ES275" s="296">
        <f>IF(EQ275=0,0,(ER275-EQ275)/EQ275*100)</f>
        <v>0</v>
      </c>
      <c r="ET275" s="5272"/>
      <c r="EU275" s="5272"/>
      <c r="EV275" s="296">
        <f>IF(ET275=0,0,(EU275-ET275)/ET275*100)</f>
        <v>0</v>
      </c>
      <c r="EW275" s="5272"/>
      <c r="EX275" s="5272"/>
      <c r="EY275" s="296">
        <f>IF(EW275=0,0,(EX275-EW275)/EW275*100)</f>
        <v>0</v>
      </c>
      <c r="EZ275" s="5272"/>
      <c r="FA275" s="5272"/>
      <c r="FB275" s="296">
        <f>IF(EZ275=0,0,(FA275-EZ275)/EZ275*100)</f>
        <v>0</v>
      </c>
      <c r="FC275" s="5272"/>
      <c r="FD275" s="5272"/>
      <c r="FE275" s="296">
        <f>IF(FC275=0,0,(FD275-FC275)/FC275*100)</f>
        <v>0</v>
      </c>
      <c r="FF275" s="5272"/>
      <c r="FG275" s="5272"/>
      <c r="FH275" s="296">
        <f>IF(FF275=0,0,(FG275-FF275)/FF275*100)</f>
        <v>0</v>
      </c>
      <c r="FI275" s="5272"/>
      <c r="FJ275" s="5272"/>
      <c r="FK275" s="296">
        <f>IF(FI275=0,0,(FJ275-FI275)/FI275*100)</f>
        <v>0</v>
      </c>
      <c r="FL275" s="5272"/>
      <c r="FM275" s="5272"/>
      <c r="FN275" s="296">
        <f>IF(FL275=0,0,(FM275-FL275)/FL275*100)</f>
        <v>0</v>
      </c>
      <c r="FO275" s="5272"/>
      <c r="FP275" s="5272"/>
      <c r="FQ275" s="296">
        <f>IF(FO275=0,0,(FP275-FO275)/FO275*100)</f>
        <v>0</v>
      </c>
      <c r="FR275" s="5272"/>
      <c r="FS275" s="5272"/>
      <c r="FT275" s="296">
        <f>IF(FR275=0,0,(FS275-FR275)/FR275*100)</f>
        <v>0</v>
      </c>
      <c r="FU275" s="5272"/>
      <c r="FV275" s="5272"/>
      <c r="FW275" s="296">
        <f>IF(FU275=0,0,(FV275-FU275)/FU275*100)</f>
        <v>0</v>
      </c>
      <c r="FX275" s="292"/>
      <c r="FY275" s="292"/>
      <c r="FZ275" s="1055" t="s">
        <v>2420</v>
      </c>
      <c r="GA275" s="1055"/>
      <c r="GB275" s="1055"/>
      <c r="GC275" s="1056"/>
      <c r="GD275" s="1056"/>
    </row>
    <row s="1834" customFormat="1" customHeight="1" ht="14.25" hidden="1">
      <c r="A276" s="493"/>
      <c r="B276" s="925" cm="1" t="str">
        <f t="array" ref="B276:B276">B275</f>
        <v>false</v>
      </c>
      <c r="C276" s="493"/>
      <c r="D276" s="493"/>
      <c r="E276" s="840">
        <v>15</v>
      </c>
      <c r="F276" s="50" cm="1" t="str">
        <f t="array" ref="F276:F276">OFFSET(E276,-1,1)</f>
        <v>3</v>
      </c>
      <c r="G276" s="493"/>
      <c r="H276" s="493" t="s">
        <v>1179</v>
      </c>
      <c r="I276" s="493"/>
      <c r="J276" s="493"/>
      <c r="K276" s="493"/>
      <c r="L276" s="493"/>
      <c r="M276" s="493"/>
      <c r="N276" s="493"/>
      <c r="O276" s="493"/>
      <c r="P276" s="493"/>
      <c r="Q276" s="493"/>
      <c r="R276" s="493"/>
      <c r="S276" s="493"/>
      <c r="T276" s="465" cm="1" t="str">
        <f t="array" ref="T276:T276">T275</f>
        <v>true</v>
      </c>
      <c r="U276" s="493"/>
      <c r="V276" s="493"/>
      <c r="W276" s="493"/>
      <c r="X276" s="1596"/>
      <c r="Y276" s="493"/>
      <c r="Z276" s="1545"/>
      <c r="AA276" s="493"/>
      <c r="AB276" s="1088" t="s">
        <v>2421</v>
      </c>
      <c r="AC276" s="766" t="s">
        <v>1170</v>
      </c>
      <c r="AD276" s="1092">
        <f>IF(AD274=0,0,AD275/AD274)*100</f>
        <v>109.994691324581</v>
      </c>
      <c r="AE276" s="1092">
        <f>IF(AE274=0,0,AE275/AE274)*100</f>
        <v>109.994999383018</v>
      </c>
      <c r="AF276" s="1109"/>
      <c r="AG276" s="1092">
        <f>IF(AG274=0,0,AG275/AG274)*100</f>
        <v>108.760847720165</v>
      </c>
      <c r="AH276" s="1092">
        <f>IF(AH274=0,0,AH275/AH274)*100</f>
        <v>108.760270858741</v>
      </c>
      <c r="AI276" s="1109"/>
      <c r="AJ276" s="1092">
        <f>IF(AJ274=0,0,AJ275/AJ274)*100</f>
        <v>104.271737137085</v>
      </c>
      <c r="AK276" s="1092">
        <f>IF(AK274=0,0,AK275/AK274)*100</f>
        <v>104.271995006485</v>
      </c>
      <c r="AL276" s="1109"/>
      <c r="AM276" s="1092">
        <f>IF(AM274=0,0,AM275/AM274)*100</f>
        <v>101.085472775629</v>
      </c>
      <c r="AN276" s="1092">
        <f>IF(AN274=0,0,AN275/AN274)*100</f>
        <v>101.084974387727</v>
      </c>
      <c r="AO276" s="1109"/>
      <c r="AP276" s="1092">
        <f>IF(AP274=0,0,AP275/AP274)*100</f>
        <v>101.574724407561</v>
      </c>
      <c r="AQ276" s="1092">
        <f>IF(AQ274=0,0,AQ275/AQ274)*100</f>
        <v>101.574954206185</v>
      </c>
      <c r="AR276" s="1109"/>
      <c r="AS276" s="1092">
        <f>IF(AS274=0,0,AS275/AS274)*100</f>
        <v>0</v>
      </c>
      <c r="AT276" s="1092">
        <f>IF(AT274=0,0,AT275/AT274)*100</f>
        <v>0</v>
      </c>
      <c r="AU276" s="1109"/>
      <c r="AV276" s="1092">
        <f>IF(AV274=0,0,AV275/AV274)*100</f>
        <v>0</v>
      </c>
      <c r="AW276" s="1092">
        <f>IF(AW274=0,0,AW275/AW274)*100</f>
        <v>0</v>
      </c>
      <c r="AX276" s="1109"/>
      <c r="AY276" s="1092">
        <f>IF(AY274=0,0,AY275/AY274)*100</f>
        <v>0</v>
      </c>
      <c r="AZ276" s="1092">
        <f>IF(AZ274=0,0,AZ275/AZ274)*100</f>
        <v>0</v>
      </c>
      <c r="BA276" s="1109"/>
      <c r="BB276" s="1092">
        <f>IF(BB274=0,0,BB275/BB274)*100</f>
        <v>0</v>
      </c>
      <c r="BC276" s="1092">
        <f>IF(BC274=0,0,BC275/BC274)*100</f>
        <v>0</v>
      </c>
      <c r="BD276" s="1109"/>
      <c r="BE276" s="1092">
        <f>IF(BE274=0,0,BE275/BE274)*100</f>
        <v>0</v>
      </c>
      <c r="BF276" s="1092">
        <f>IF(BF274=0,0,BF275/BF274)*100</f>
        <v>0</v>
      </c>
      <c r="BG276" s="1109"/>
      <c r="BH276" s="1092">
        <f>IF(BH274=0,0,BH275/BH274)*100</f>
        <v>0</v>
      </c>
      <c r="BI276" s="1092">
        <f>IF(BI274=0,0,BI275/BI274)*100</f>
        <v>0</v>
      </c>
      <c r="BJ276" s="1109"/>
      <c r="BK276" s="1092">
        <f>IF(BK274=0,0,BK275/BK274)*100</f>
        <v>0</v>
      </c>
      <c r="BL276" s="1092">
        <f>IF(BL274=0,0,BL275/BL274)*100</f>
        <v>0</v>
      </c>
      <c r="BM276" s="1109"/>
      <c r="BN276" s="1092">
        <f>IF(BN274=0,0,BN275/BN274)*100</f>
        <v>0</v>
      </c>
      <c r="BO276" s="1092">
        <f>IF(BO274=0,0,BO275/BO274)*100</f>
        <v>0</v>
      </c>
      <c r="BP276" s="1109"/>
      <c r="BQ276" s="1092">
        <f>IF(BQ274=0,0,BQ275/BQ274)*100</f>
        <v>0</v>
      </c>
      <c r="BR276" s="1092">
        <f>IF(BR274=0,0,BR275/BR274)*100</f>
        <v>0</v>
      </c>
      <c r="BS276" s="1109"/>
      <c r="BT276" s="1092">
        <f>IF(BT274=0,0,BT275/BT274)*100</f>
        <v>0</v>
      </c>
      <c r="BU276" s="1092">
        <f>IF(BU274=0,0,BU275/BU274)*100</f>
        <v>0</v>
      </c>
      <c r="BV276" s="1109"/>
      <c r="BW276" s="1092">
        <f>IF(BW274=0,0,BW275/BW274)*100</f>
        <v>0</v>
      </c>
      <c r="BX276" s="1092">
        <f>IF(BX274=0,0,BX275/BX274)*100</f>
        <v>0</v>
      </c>
      <c r="BY276" s="1109"/>
      <c r="BZ276" s="1092">
        <f>IF(BZ274=0,0,BZ275/BZ274)*100</f>
        <v>0</v>
      </c>
      <c r="CA276" s="1092">
        <f>IF(CA274=0,0,CA275/CA274)*100</f>
        <v>0</v>
      </c>
      <c r="CB276" s="1109"/>
      <c r="CC276" s="1092">
        <f>IF(CC274=0,0,CC275/CC274)*100</f>
        <v>0</v>
      </c>
      <c r="CD276" s="1092">
        <f>IF(CD274=0,0,CD275/CD274)*100</f>
        <v>0</v>
      </c>
      <c r="CE276" s="1109"/>
      <c r="CF276" s="1092">
        <f>IF(CF274=0,0,CF275/CF274)*100</f>
        <v>0</v>
      </c>
      <c r="CG276" s="1092">
        <f>IF(CG274=0,0,CG275/CG274)*100</f>
        <v>0</v>
      </c>
      <c r="CH276" s="1109"/>
      <c r="CI276" s="1092">
        <f>IF(CI274=0,0,CI275/CI274)*100</f>
        <v>0</v>
      </c>
      <c r="CJ276" s="1092">
        <f>IF(CJ274=0,0,CJ275/CJ274)*100</f>
        <v>0</v>
      </c>
      <c r="CK276" s="1109"/>
      <c r="CL276" s="1092">
        <f>IF(CL274=0,0,CL275/CL274)*100</f>
        <v>0</v>
      </c>
      <c r="CM276" s="1092">
        <f>IF(CM274=0,0,CM275/CM274)*100</f>
        <v>0</v>
      </c>
      <c r="CN276" s="1109"/>
      <c r="CO276" s="1092">
        <f>IF(CO274=0,0,CO275/CO274)*100</f>
        <v>0</v>
      </c>
      <c r="CP276" s="1092">
        <f>IF(CP274=0,0,CP275/CP274)*100</f>
        <v>0</v>
      </c>
      <c r="CQ276" s="1109"/>
      <c r="CR276" s="1092">
        <f>IF(CR274=0,0,CR275/CR274)*100</f>
        <v>0</v>
      </c>
      <c r="CS276" s="1092">
        <f>IF(CS274=0,0,CS275/CS274)*100</f>
        <v>0</v>
      </c>
      <c r="CT276" s="1109"/>
      <c r="CU276" s="1092">
        <f>IF(CU274=0,0,CU275/CU274)*100</f>
        <v>0</v>
      </c>
      <c r="CV276" s="1092">
        <f>IF(CV274=0,0,CV275/CV274)*100</f>
        <v>0</v>
      </c>
      <c r="CW276" s="1109"/>
      <c r="CX276" s="1092">
        <f>IF(CX274=0,0,CX275/CX274)*100</f>
        <v>0</v>
      </c>
      <c r="CY276" s="1092">
        <f>IF(CY274=0,0,CY275/CY274)*100</f>
        <v>0</v>
      </c>
      <c r="CZ276" s="1109"/>
      <c r="DA276" s="1092">
        <f>IF(DA274=0,0,DA275/DA274)*100</f>
        <v>0</v>
      </c>
      <c r="DB276" s="1092">
        <f>IF(DB274=0,0,DB275/DB274)*100</f>
        <v>0</v>
      </c>
      <c r="DC276" s="1109"/>
      <c r="DD276" s="1092">
        <f>IF(DD274=0,0,DD275/DD274)*100</f>
        <v>0</v>
      </c>
      <c r="DE276" s="1092">
        <f>IF(DE274=0,0,DE275/DE274)*100</f>
        <v>0</v>
      </c>
      <c r="DF276" s="1109"/>
      <c r="DG276" s="1092">
        <f>IF(DG274=0,0,DG275/DG274)*100</f>
        <v>0</v>
      </c>
      <c r="DH276" s="1092">
        <f>IF(DH274=0,0,DH275/DH274)*100</f>
        <v>0</v>
      </c>
      <c r="DI276" s="1109"/>
      <c r="DJ276" s="1092">
        <f>IF(DJ274=0,0,DJ275/DJ274)*100</f>
        <v>0</v>
      </c>
      <c r="DK276" s="1092">
        <f>IF(DK274=0,0,DK275/DK274)*100</f>
        <v>0</v>
      </c>
      <c r="DL276" s="1109"/>
      <c r="DM276" s="1092">
        <f>IF(DM274=0,0,DM275/DM274)*100</f>
        <v>0</v>
      </c>
      <c r="DN276" s="1092">
        <f>IF(DN274=0,0,DN275/DN274)*100</f>
        <v>0</v>
      </c>
      <c r="DO276" s="1109"/>
      <c r="DP276" s="1092">
        <f>IF(DP274=0,0,DP275/DP274)*100</f>
        <v>0</v>
      </c>
      <c r="DQ276" s="1092">
        <f>IF(DQ274=0,0,DQ275/DQ274)*100</f>
        <v>0</v>
      </c>
      <c r="DR276" s="1109"/>
      <c r="DS276" s="1092">
        <f>IF(DS274=0,0,DS275/DS274)*100</f>
        <v>0</v>
      </c>
      <c r="DT276" s="1092">
        <f>IF(DT274=0,0,DT275/DT274)*100</f>
        <v>0</v>
      </c>
      <c r="DU276" s="1109"/>
      <c r="DV276" s="1092">
        <f>IF(DV274=0,0,DV275/DV274)*100</f>
        <v>0</v>
      </c>
      <c r="DW276" s="1092">
        <f>IF(DW274=0,0,DW275/DW274)*100</f>
        <v>0</v>
      </c>
      <c r="DX276" s="1109"/>
      <c r="DY276" s="1092">
        <f>IF(DY274=0,0,DY275/DY274)*100</f>
        <v>0</v>
      </c>
      <c r="DZ276" s="1092">
        <f>IF(DZ274=0,0,DZ275/DZ274)*100</f>
        <v>0</v>
      </c>
      <c r="EA276" s="1109"/>
      <c r="EB276" s="1092">
        <f>IF(EB274=0,0,EB275/EB274)*100</f>
        <v>0</v>
      </c>
      <c r="EC276" s="1092">
        <f>IF(EC274=0,0,EC275/EC274)*100</f>
        <v>0</v>
      </c>
      <c r="ED276" s="1109"/>
      <c r="EE276" s="1092">
        <f>IF(EE274=0,0,EE275/EE274)*100</f>
        <v>0</v>
      </c>
      <c r="EF276" s="1092">
        <f>IF(EF274=0,0,EF275/EF274)*100</f>
        <v>0</v>
      </c>
      <c r="EG276" s="1109"/>
      <c r="EH276" s="1092">
        <f>IF(EH274=0,0,EH275/EH274)*100</f>
        <v>0</v>
      </c>
      <c r="EI276" s="1092">
        <f>IF(EI274=0,0,EI275/EI274)*100</f>
        <v>0</v>
      </c>
      <c r="EJ276" s="1109"/>
      <c r="EK276" s="1092">
        <f>IF(EK274=0,0,EK275/EK274)*100</f>
        <v>0</v>
      </c>
      <c r="EL276" s="1092">
        <f>IF(EL274=0,0,EL275/EL274)*100</f>
        <v>0</v>
      </c>
      <c r="EM276" s="1109"/>
      <c r="EN276" s="1092">
        <f>IF(EN274=0,0,EN275/EN274)*100</f>
        <v>0</v>
      </c>
      <c r="EO276" s="1092">
        <f>IF(EO274=0,0,EO275/EO274)*100</f>
        <v>0</v>
      </c>
      <c r="EP276" s="1109"/>
      <c r="EQ276" s="1092">
        <f>IF(EQ274=0,0,EQ275/EQ274)*100</f>
        <v>0</v>
      </c>
      <c r="ER276" s="1092">
        <f>IF(ER274=0,0,ER275/ER274)*100</f>
        <v>0</v>
      </c>
      <c r="ES276" s="1109"/>
      <c r="ET276" s="1092">
        <f>IF(ET274=0,0,ET275/ET274)*100</f>
        <v>0</v>
      </c>
      <c r="EU276" s="1092">
        <f>IF(EU274=0,0,EU275/EU274)*100</f>
        <v>0</v>
      </c>
      <c r="EV276" s="1109"/>
      <c r="EW276" s="1092">
        <f>IF(EW274=0,0,EW275/EW274)*100</f>
        <v>0</v>
      </c>
      <c r="EX276" s="1092">
        <f>IF(EX274=0,0,EX275/EX274)*100</f>
        <v>0</v>
      </c>
      <c r="EY276" s="1109"/>
      <c r="EZ276" s="1092">
        <f>IF(EZ274=0,0,EZ275/EZ274)*100</f>
        <v>0</v>
      </c>
      <c r="FA276" s="1092">
        <f>IF(FA274=0,0,FA275/FA274)*100</f>
        <v>0</v>
      </c>
      <c r="FB276" s="1109"/>
      <c r="FC276" s="1092">
        <f>IF(FC274=0,0,FC275/FC274)*100</f>
        <v>0</v>
      </c>
      <c r="FD276" s="1092">
        <f>IF(FD274=0,0,FD275/FD274)*100</f>
        <v>0</v>
      </c>
      <c r="FE276" s="1109"/>
      <c r="FF276" s="1092">
        <f>IF(FF274=0,0,FF275/FF274)*100</f>
        <v>0</v>
      </c>
      <c r="FG276" s="1092">
        <f>IF(FG274=0,0,FG275/FG274)*100</f>
        <v>0</v>
      </c>
      <c r="FH276" s="1109"/>
      <c r="FI276" s="1092">
        <f>IF(FI274=0,0,FI275/FI274)*100</f>
        <v>0</v>
      </c>
      <c r="FJ276" s="1092">
        <f>IF(FJ274=0,0,FJ275/FJ274)*100</f>
        <v>0</v>
      </c>
      <c r="FK276" s="1109"/>
      <c r="FL276" s="1092">
        <f>IF(FL274=0,0,FL275/FL274)*100</f>
        <v>0</v>
      </c>
      <c r="FM276" s="1092">
        <f>IF(FM274=0,0,FM275/FM274)*100</f>
        <v>0</v>
      </c>
      <c r="FN276" s="1109"/>
      <c r="FO276" s="1092">
        <f>IF(FO274=0,0,FO275/FO274)*100</f>
        <v>0</v>
      </c>
      <c r="FP276" s="1092">
        <f>IF(FP274=0,0,FP275/FP274)*100</f>
        <v>0</v>
      </c>
      <c r="FQ276" s="1109"/>
      <c r="FR276" s="1092">
        <f>IF(FR274=0,0,FR275/FR274)*100</f>
        <v>0</v>
      </c>
      <c r="FS276" s="1092">
        <f>IF(FS274=0,0,FS275/FS274)*100</f>
        <v>0</v>
      </c>
      <c r="FT276" s="1109"/>
      <c r="FU276" s="1092">
        <f>IF(FU274=0,0,FU275/FU274)*100</f>
        <v>0</v>
      </c>
      <c r="FV276" s="1092">
        <f>IF(FV274=0,0,FV275/FV274)*100</f>
        <v>0</v>
      </c>
      <c r="FW276" s="1110"/>
      <c r="FX276" s="292"/>
      <c r="FY276" s="1304"/>
      <c r="FZ276" s="1055" t="s">
        <v>2422</v>
      </c>
      <c r="GA276" s="1306"/>
      <c r="GB276" s="1306"/>
      <c r="GC276" s="1305"/>
      <c r="GD276" s="1305"/>
    </row>
    <row s="1834" customFormat="1" customHeight="1" ht="14.25" hidden="1">
      <c r="A277" s="493"/>
      <c r="B277" s="925" cm="1" t="str">
        <f t="array" ref="B277:B277">B276</f>
        <v>false</v>
      </c>
      <c r="C277" s="493"/>
      <c r="D277" s="493"/>
      <c r="E277" s="840">
        <v>15</v>
      </c>
      <c r="F277" s="50" cm="1" t="str">
        <f t="array" ref="F277:F277">OFFSET(E277,-1,1)</f>
        <v>3</v>
      </c>
      <c r="G277" s="107" t="s">
        <v>2346</v>
      </c>
      <c r="H277" s="493"/>
      <c r="I277" s="493"/>
      <c r="J277" s="493"/>
      <c r="K277" s="493"/>
      <c r="L277" s="493"/>
      <c r="M277" s="493"/>
      <c r="N277" s="493"/>
      <c r="O277" s="493"/>
      <c r="P277" s="493"/>
      <c r="Q277" s="493"/>
      <c r="R277" s="493"/>
      <c r="S277" s="493"/>
      <c r="T277" s="465" cm="1" t="str">
        <f t="array" ref="T277:T277">T276</f>
        <v>true</v>
      </c>
      <c r="U277" s="493"/>
      <c r="V277" s="493"/>
      <c r="W277" s="493"/>
      <c r="X277" s="1596"/>
      <c r="Y277" s="493"/>
      <c r="Z277" s="1545"/>
      <c r="AA277" s="493"/>
      <c r="AB277" s="900" t="s">
        <v>2347</v>
      </c>
      <c r="AC277" s="864" t="s">
        <v>1247</v>
      </c>
      <c r="AD277" s="5247">
        <f>IF(AND(method_reg="Метод индексации",god&lt;&gt;first_year),_xlfn.SUMIFS(INDEX('Калькуляция (МИ корр)'!$AJ$25:$BC$747,,MATCH(AD$8,'Калькуляция (МИ корр)'!$AJ$8:$BC$8,0)),'Калькуляция (МИ корр)'!$F$25:$F$747,$F277,'Калькуляция (МИ корр)'!$G$25:$G$747,$G277),IF(method_reg="Метод экономически обоснованных расходов",_xlfn.SUMIFS('Калькуляция (МЭОР)'!$AJ$25:$AJ$452,'Калькуляция (МЭОР)'!$F$25:$F$452,$F277,'Калькуляция (МЭОР)'!$G$25:$G$452,$G277),IF(method_reg="Метод сравнения аналогов",_xlfn.SUMIFS('Калькуляция (МСА)'!$AE$25:$AE$122,'Калькуляция (МСА)'!$F$25:$F$122,$F277,'Калькуляция (МСА)'!$G$25:$G$122,$G277),_xlfn.SUMIFS(INDEX('Калькуляция (МИ)'!$AJ$25:$BC$747,,MATCH(AD$8,'Калькуляция (МИ)'!$AJ$8:$BC$8,0)),'Калькуляция (МИ)'!$F$25:$F$747,$F277,'Калькуляция (МИ)'!$G$25:$G$747,$G277))))</f>
        <v>1778.84536</v>
      </c>
      <c r="AE277" s="5247">
        <f>IF(AND(method_reg="Метод индексации",god&lt;&gt;first_year),_xlfn.SUMIFS(INDEX('Калькуляция (МИ корр)'!$AJ$25:$BC$747,,MATCH(AE$8,'Калькуляция (МИ корр)'!$AJ$8:$BC$8,0)),'Калькуляция (МИ корр)'!$F$25:$F$747,$F277,'Калькуляция (МИ корр)'!$G$25:$G$747,$G277),IF(method_reg="Метод экономически обоснованных расходов",_xlfn.SUMIFS('Калькуляция (МЭОР)'!$AK$25:$AK$452,'Калькуляция (МЭОР)'!$F$25:$F$452,$F277,'Калькуляция (МЭОР)'!$G$25:$G$452,$G277),IF(method_reg="Метод сравнения аналогов",_xlfn.SUMIFS('Калькуляция (МСА)'!$AF$25:$AF$122,'Калькуляция (МСА)'!$F$25:$F$122,$F277,'Калькуляция (МСА)'!$G$25:$G$122,$G277),_xlfn.SUMIFS(INDEX('Калькуляция (МИ)'!$AJ$25:$BC$747,,MATCH(AE$8,'Калькуляция (МИ)'!$AJ$8:$BC$8,0)),'Калькуляция (МИ)'!$F$25:$F$747,$F277,'Калькуляция (МИ)'!$G$25:$G$747,$G277))))</f>
        <v>1778.84536</v>
      </c>
      <c r="AF277" s="1095">
        <f>IF(AD277=0,0,(AE277-AD277)/AD277*100)</f>
        <v>0</v>
      </c>
      <c r="AG277" s="5247">
        <f>IF(AND(method_reg="Метод индексации",god&lt;&gt;first_year),_xlfn.SUMIFS(INDEX('Калькуляция (МИ корр)'!$AJ$25:$BC$747,,MATCH(AG$8,'Калькуляция (МИ корр)'!$AJ$8:$BC$8,0)),'Калькуляция (МИ корр)'!$F$25:$F$747,$F277,'Калькуляция (МИ корр)'!$G$25:$G$747,$G277),IF(method_reg="Метод экономически обоснованных расходов",_xlfn.SUMIFS('Калькуляция (МЭОР)'!$AJ$25:$AJ$452,'Калькуляция (МЭОР)'!$F$25:$F$452,$F277,'Калькуляция (МЭОР)'!$G$25:$G$452,$G277),IF(method_reg="Метод сравнения аналогов",_xlfn.SUMIFS('Калькуляция (МСА)'!$AE$25:$AE$122,'Калькуляция (МСА)'!$F$25:$F$122,$F277,'Калькуляция (МСА)'!$G$25:$G$122,$G277),_xlfn.SUMIFS(INDEX('Калькуляция (МИ)'!$AJ$25:$BC$747,,MATCH(AG$8,'Калькуляция (МИ)'!$AJ$8:$BC$8,0)),'Калькуляция (МИ)'!$F$25:$F$747,$F277,'Калькуляция (МИ)'!$G$25:$G$747,$G277))))</f>
        <v>1778.84536</v>
      </c>
      <c r="AH277" s="5247">
        <f>IF(AND(method_reg="Метод индексации",god&lt;&gt;first_year),_xlfn.SUMIFS(INDEX('Калькуляция (МИ корр)'!$AJ$25:$BC$747,,MATCH(AH$8,'Калькуляция (МИ корр)'!$AJ$8:$BC$8,0)),'Калькуляция (МИ корр)'!$F$25:$F$747,$F277,'Калькуляция (МИ корр)'!$G$25:$G$747,$G277),IF(method_reg="Метод экономически обоснованных расходов",_xlfn.SUMIFS('Калькуляция (МЭОР)'!$AK$25:$AK$452,'Калькуляция (МЭОР)'!$F$25:$F$452,$F277,'Калькуляция (МЭОР)'!$G$25:$G$452,$G277),IF(method_reg="Метод сравнения аналогов",_xlfn.SUMIFS('Калькуляция (МСА)'!$AF$25:$AF$122,'Калькуляция (МСА)'!$F$25:$F$122,$F277,'Калькуляция (МСА)'!$G$25:$G$122,$G277),_xlfn.SUMIFS(INDEX('Калькуляция (МИ)'!$AJ$25:$BC$747,,MATCH(AH$8,'Калькуляция (МИ)'!$AJ$8:$BC$8,0)),'Калькуляция (МИ)'!$F$25:$F$747,$F277,'Калькуляция (МИ)'!$G$25:$G$747,$G277))))</f>
        <v>1778.84536</v>
      </c>
      <c r="AI277" s="1095">
        <f>IF(AG277=0,0,(AH277-AG277)/AG277*100)</f>
        <v>0</v>
      </c>
      <c r="AJ277" s="5247">
        <f>IF(AND(method_reg="Метод индексации",god&lt;&gt;first_year),_xlfn.SUMIFS(INDEX('Калькуляция (МИ корр)'!$AJ$25:$BC$747,,MATCH(AJ$8,'Калькуляция (МИ корр)'!$AJ$8:$BC$8,0)),'Калькуляция (МИ корр)'!$F$25:$F$747,$F277,'Калькуляция (МИ корр)'!$G$25:$G$747,$G277),IF(method_reg="Метод экономически обоснованных расходов",_xlfn.SUMIFS('Калькуляция (МЭОР)'!$AJ$25:$AJ$452,'Калькуляция (МЭОР)'!$F$25:$F$452,$F277,'Калькуляция (МЭОР)'!$G$25:$G$452,$G277),IF(method_reg="Метод сравнения аналогов",_xlfn.SUMIFS('Калькуляция (МСА)'!$AE$25:$AE$122,'Калькуляция (МСА)'!$F$25:$F$122,$F277,'Калькуляция (МСА)'!$G$25:$G$122,$G277),_xlfn.SUMIFS(INDEX('Калькуляция (МИ)'!$AJ$25:$BC$747,,MATCH(AJ$8,'Калькуляция (МИ)'!$AJ$8:$BC$8,0)),'Калькуляция (МИ)'!$F$25:$F$747,$F277,'Калькуляция (МИ)'!$G$25:$G$747,$G277))))</f>
        <v>1778.84536</v>
      </c>
      <c r="AK277" s="5247">
        <f>IF(AND(method_reg="Метод индексации",god&lt;&gt;first_year),_xlfn.SUMIFS(INDEX('Калькуляция (МИ корр)'!$AJ$25:$BC$747,,MATCH(AK$8,'Калькуляция (МИ корр)'!$AJ$8:$BC$8,0)),'Калькуляция (МИ корр)'!$F$25:$F$747,$F277,'Калькуляция (МИ корр)'!$G$25:$G$747,$G277),IF(method_reg="Метод экономически обоснованных расходов",_xlfn.SUMIFS('Калькуляция (МЭОР)'!$AK$25:$AK$452,'Калькуляция (МЭОР)'!$F$25:$F$452,$F277,'Калькуляция (МЭОР)'!$G$25:$G$452,$G277),IF(method_reg="Метод сравнения аналогов",_xlfn.SUMIFS('Калькуляция (МСА)'!$AF$25:$AF$122,'Калькуляция (МСА)'!$F$25:$F$122,$F277,'Калькуляция (МСА)'!$G$25:$G$122,$G277),_xlfn.SUMIFS(INDEX('Калькуляция (МИ)'!$AJ$25:$BC$747,,MATCH(AK$8,'Калькуляция (МИ)'!$AJ$8:$BC$8,0)),'Калькуляция (МИ)'!$F$25:$F$747,$F277,'Калькуляция (МИ)'!$G$25:$G$747,$G277))))</f>
        <v>1778.84536</v>
      </c>
      <c r="AL277" s="1095">
        <f>IF(AJ277=0,0,(AK277-AJ277)/AJ277*100)</f>
        <v>0</v>
      </c>
      <c r="AM277" s="5247">
        <f>IF(AND(method_reg="Метод индексации",god&lt;&gt;first_year),_xlfn.SUMIFS(INDEX('Калькуляция (МИ корр)'!$AJ$25:$BC$747,,MATCH(AM$8,'Калькуляция (МИ корр)'!$AJ$8:$BC$8,0)),'Калькуляция (МИ корр)'!$F$25:$F$747,$F277,'Калькуляция (МИ корр)'!$G$25:$G$747,$G277),IF(method_reg="Метод экономически обоснованных расходов",_xlfn.SUMIFS('Калькуляция (МЭОР)'!$AJ$25:$AJ$452,'Калькуляция (МЭОР)'!$F$25:$F$452,$F277,'Калькуляция (МЭОР)'!$G$25:$G$452,$G277),IF(method_reg="Метод сравнения аналогов",_xlfn.SUMIFS('Калькуляция (МСА)'!$AE$25:$AE$122,'Калькуляция (МСА)'!$F$25:$F$122,$F277,'Калькуляция (МСА)'!$G$25:$G$122,$G277),_xlfn.SUMIFS(INDEX('Калькуляция (МИ)'!$AJ$25:$BC$747,,MATCH(AM$8,'Калькуляция (МИ)'!$AJ$8:$BC$8,0)),'Калькуляция (МИ)'!$F$25:$F$747,$F277,'Калькуляция (МИ)'!$G$25:$G$747,$G277))))</f>
        <v>1778.84536</v>
      </c>
      <c r="AN277" s="5247">
        <f>IF(AND(method_reg="Метод индексации",god&lt;&gt;first_year),_xlfn.SUMIFS(INDEX('Калькуляция (МИ корр)'!$AJ$25:$BC$747,,MATCH(AN$8,'Калькуляция (МИ корр)'!$AJ$8:$BC$8,0)),'Калькуляция (МИ корр)'!$F$25:$F$747,$F277,'Калькуляция (МИ корр)'!$G$25:$G$747,$G277),IF(method_reg="Метод экономически обоснованных расходов",_xlfn.SUMIFS('Калькуляция (МЭОР)'!$AK$25:$AK$452,'Калькуляция (МЭОР)'!$F$25:$F$452,$F277,'Калькуляция (МЭОР)'!$G$25:$G$452,$G277),IF(method_reg="Метод сравнения аналогов",_xlfn.SUMIFS('Калькуляция (МСА)'!$AF$25:$AF$122,'Калькуляция (МСА)'!$F$25:$F$122,$F277,'Калькуляция (МСА)'!$G$25:$G$122,$G277),_xlfn.SUMIFS(INDEX('Калькуляция (МИ)'!$AJ$25:$BC$747,,MATCH(AN$8,'Калькуляция (МИ)'!$AJ$8:$BC$8,0)),'Калькуляция (МИ)'!$F$25:$F$747,$F277,'Калькуляция (МИ)'!$G$25:$G$747,$G277))))</f>
        <v>1778.84536</v>
      </c>
      <c r="AO277" s="1095">
        <f>IF(AM277=0,0,(AN277-AM277)/AM277*100)</f>
        <v>0</v>
      </c>
      <c r="AP277" s="5247">
        <f>IF(AND(method_reg="Метод индексации",god&lt;&gt;first_year),_xlfn.SUMIFS(INDEX('Калькуляция (МИ корр)'!$AJ$25:$BC$747,,MATCH(AP$8,'Калькуляция (МИ корр)'!$AJ$8:$BC$8,0)),'Калькуляция (МИ корр)'!$F$25:$F$747,$F277,'Калькуляция (МИ корр)'!$G$25:$G$747,$G277),IF(method_reg="Метод экономически обоснованных расходов",_xlfn.SUMIFS('Калькуляция (МЭОР)'!$AJ$25:$AJ$452,'Калькуляция (МЭОР)'!$F$25:$F$452,$F277,'Калькуляция (МЭОР)'!$G$25:$G$452,$G277),IF(method_reg="Метод сравнения аналогов",_xlfn.SUMIFS('Калькуляция (МСА)'!$AE$25:$AE$122,'Калькуляция (МСА)'!$F$25:$F$122,$F277,'Калькуляция (МСА)'!$G$25:$G$122,$G277),_xlfn.SUMIFS(INDEX('Калькуляция (МИ)'!$AJ$25:$BC$747,,MATCH(AP$8,'Калькуляция (МИ)'!$AJ$8:$BC$8,0)),'Калькуляция (МИ)'!$F$25:$F$747,$F277,'Калькуляция (МИ)'!$G$25:$G$747,$G277))))</f>
        <v>1778.84536</v>
      </c>
      <c r="AQ277" s="5247">
        <f>IF(AND(method_reg="Метод индексации",god&lt;&gt;first_year),_xlfn.SUMIFS(INDEX('Калькуляция (МИ корр)'!$AJ$25:$BC$747,,MATCH(AQ$8,'Калькуляция (МИ корр)'!$AJ$8:$BC$8,0)),'Калькуляция (МИ корр)'!$F$25:$F$747,$F277,'Калькуляция (МИ корр)'!$G$25:$G$747,$G277),IF(method_reg="Метод экономически обоснованных расходов",_xlfn.SUMIFS('Калькуляция (МЭОР)'!$AK$25:$AK$452,'Калькуляция (МЭОР)'!$F$25:$F$452,$F277,'Калькуляция (МЭОР)'!$G$25:$G$452,$G277),IF(method_reg="Метод сравнения аналогов",_xlfn.SUMIFS('Калькуляция (МСА)'!$AF$25:$AF$122,'Калькуляция (МСА)'!$F$25:$F$122,$F277,'Калькуляция (МСА)'!$G$25:$G$122,$G277),_xlfn.SUMIFS(INDEX('Калькуляция (МИ)'!$AJ$25:$BC$747,,MATCH(AQ$8,'Калькуляция (МИ)'!$AJ$8:$BC$8,0)),'Калькуляция (МИ)'!$F$25:$F$747,$F277,'Калькуляция (МИ)'!$G$25:$G$747,$G277))))</f>
        <v>1778.84536</v>
      </c>
      <c r="AR277" s="1095">
        <f>IF(AP277=0,0,(AQ277-AP277)/AP277*100)</f>
        <v>0</v>
      </c>
      <c r="AS277" s="5247">
        <f>IF(AND(method_reg="Метод индексации",god&lt;&gt;first_year),_xlfn.SUMIFS(INDEX('Калькуляция (МИ корр)'!$AJ$25:$BC$747,,MATCH(AS$8,'Калькуляция (МИ корр)'!$AJ$8:$BC$8,0)),'Калькуляция (МИ корр)'!$F$25:$F$747,$F277,'Калькуляция (МИ корр)'!$G$25:$G$747,$G277),IF(method_reg="Метод экономически обоснованных расходов",_xlfn.SUMIFS('Калькуляция (МЭОР)'!$AJ$25:$AJ$452,'Калькуляция (МЭОР)'!$F$25:$F$452,$F277,'Калькуляция (МЭОР)'!$G$25:$G$452,$G277),IF(method_reg="Метод сравнения аналогов",_xlfn.SUMIFS('Калькуляция (МСА)'!$AE$25:$AE$122,'Калькуляция (МСА)'!$F$25:$F$122,$F277,'Калькуляция (МСА)'!$G$25:$G$122,$G277),_xlfn.SUMIFS(INDEX('Калькуляция (МИ)'!$AJ$25:$BC$747,,MATCH(AS$8,'Калькуляция (МИ)'!$AJ$8:$BC$8,0)),'Калькуляция (МИ)'!$F$25:$F$747,$F277,'Калькуляция (МИ)'!$G$25:$G$747,$G277))))</f>
        <v>0</v>
      </c>
      <c r="AT277" s="5247">
        <f>IF(AND(method_reg="Метод индексации",god&lt;&gt;first_year),_xlfn.SUMIFS(INDEX('Калькуляция (МИ корр)'!$AJ$25:$BC$747,,MATCH(AT$8,'Калькуляция (МИ корр)'!$AJ$8:$BC$8,0)),'Калькуляция (МИ корр)'!$F$25:$F$747,$F277,'Калькуляция (МИ корр)'!$G$25:$G$747,$G277),IF(method_reg="Метод экономически обоснованных расходов",_xlfn.SUMIFS('Калькуляция (МЭОР)'!$AK$25:$AK$452,'Калькуляция (МЭОР)'!$F$25:$F$452,$F277,'Калькуляция (МЭОР)'!$G$25:$G$452,$G277),IF(method_reg="Метод сравнения аналогов",_xlfn.SUMIFS('Калькуляция (МСА)'!$AF$25:$AF$122,'Калькуляция (МСА)'!$F$25:$F$122,$F277,'Калькуляция (МСА)'!$G$25:$G$122,$G277),_xlfn.SUMIFS(INDEX('Калькуляция (МИ)'!$AJ$25:$BC$747,,MATCH(AT$8,'Калькуляция (МИ)'!$AJ$8:$BC$8,0)),'Калькуляция (МИ)'!$F$25:$F$747,$F277,'Калькуляция (МИ)'!$G$25:$G$747,$G277))))</f>
        <v>0</v>
      </c>
      <c r="AU277" s="1095">
        <f>IF(AS277=0,0,(AT277-AS277)/AS277*100)</f>
        <v>0</v>
      </c>
      <c r="AV277" s="5247">
        <f>IF(AND(method_reg="Метод индексации",god&lt;&gt;first_year),_xlfn.SUMIFS(INDEX('Калькуляция (МИ корр)'!$AJ$25:$BC$747,,MATCH(AV$8,'Калькуляция (МИ корр)'!$AJ$8:$BC$8,0)),'Калькуляция (МИ корр)'!$F$25:$F$747,$F277,'Калькуляция (МИ корр)'!$G$25:$G$747,$G277),IF(method_reg="Метод экономически обоснованных расходов",_xlfn.SUMIFS('Калькуляция (МЭОР)'!$AJ$25:$AJ$452,'Калькуляция (МЭОР)'!$F$25:$F$452,$F277,'Калькуляция (МЭОР)'!$G$25:$G$452,$G277),IF(method_reg="Метод сравнения аналогов",_xlfn.SUMIFS('Калькуляция (МСА)'!$AE$25:$AE$122,'Калькуляция (МСА)'!$F$25:$F$122,$F277,'Калькуляция (МСА)'!$G$25:$G$122,$G277),_xlfn.SUMIFS(INDEX('Калькуляция (МИ)'!$AJ$25:$BC$747,,MATCH(AV$8,'Калькуляция (МИ)'!$AJ$8:$BC$8,0)),'Калькуляция (МИ)'!$F$25:$F$747,$F277,'Калькуляция (МИ)'!$G$25:$G$747,$G277))))</f>
        <v>0</v>
      </c>
      <c r="AW277" s="5247">
        <f>IF(AND(method_reg="Метод индексации",god&lt;&gt;first_year),_xlfn.SUMIFS(INDEX('Калькуляция (МИ корр)'!$AJ$25:$BC$747,,MATCH(AW$8,'Калькуляция (МИ корр)'!$AJ$8:$BC$8,0)),'Калькуляция (МИ корр)'!$F$25:$F$747,$F277,'Калькуляция (МИ корр)'!$G$25:$G$747,$G277),IF(method_reg="Метод экономически обоснованных расходов",_xlfn.SUMIFS('Калькуляция (МЭОР)'!$AK$25:$AK$452,'Калькуляция (МЭОР)'!$F$25:$F$452,$F277,'Калькуляция (МЭОР)'!$G$25:$G$452,$G277),IF(method_reg="Метод сравнения аналогов",_xlfn.SUMIFS('Калькуляция (МСА)'!$AF$25:$AF$122,'Калькуляция (МСА)'!$F$25:$F$122,$F277,'Калькуляция (МСА)'!$G$25:$G$122,$G277),_xlfn.SUMIFS(INDEX('Калькуляция (МИ)'!$AJ$25:$BC$747,,MATCH(AW$8,'Калькуляция (МИ)'!$AJ$8:$BC$8,0)),'Калькуляция (МИ)'!$F$25:$F$747,$F277,'Калькуляция (МИ)'!$G$25:$G$747,$G277))))</f>
        <v>0</v>
      </c>
      <c r="AX277" s="1095">
        <f>IF(AV277=0,0,(AW277-AV277)/AV277*100)</f>
        <v>0</v>
      </c>
      <c r="AY277" s="5247">
        <f>IF(AND(method_reg="Метод индексации",god&lt;&gt;first_year),_xlfn.SUMIFS(INDEX('Калькуляция (МИ корр)'!$AJ$25:$BC$747,,MATCH(AY$8,'Калькуляция (МИ корр)'!$AJ$8:$BC$8,0)),'Калькуляция (МИ корр)'!$F$25:$F$747,$F277,'Калькуляция (МИ корр)'!$G$25:$G$747,$G277),IF(method_reg="Метод экономически обоснованных расходов",_xlfn.SUMIFS('Калькуляция (МЭОР)'!$AJ$25:$AJ$452,'Калькуляция (МЭОР)'!$F$25:$F$452,$F277,'Калькуляция (МЭОР)'!$G$25:$G$452,$G277),IF(method_reg="Метод сравнения аналогов",_xlfn.SUMIFS('Калькуляция (МСА)'!$AE$25:$AE$122,'Калькуляция (МСА)'!$F$25:$F$122,$F277,'Калькуляция (МСА)'!$G$25:$G$122,$G277),_xlfn.SUMIFS(INDEX('Калькуляция (МИ)'!$AJ$25:$BC$747,,MATCH(AY$8,'Калькуляция (МИ)'!$AJ$8:$BC$8,0)),'Калькуляция (МИ)'!$F$25:$F$747,$F277,'Калькуляция (МИ)'!$G$25:$G$747,$G277))))</f>
        <v>0</v>
      </c>
      <c r="AZ277" s="5247">
        <f>IF(AND(method_reg="Метод индексации",god&lt;&gt;first_year),_xlfn.SUMIFS(INDEX('Калькуляция (МИ корр)'!$AJ$25:$BC$747,,MATCH(AZ$8,'Калькуляция (МИ корр)'!$AJ$8:$BC$8,0)),'Калькуляция (МИ корр)'!$F$25:$F$747,$F277,'Калькуляция (МИ корр)'!$G$25:$G$747,$G277),IF(method_reg="Метод экономически обоснованных расходов",_xlfn.SUMIFS('Калькуляция (МЭОР)'!$AK$25:$AK$452,'Калькуляция (МЭОР)'!$F$25:$F$452,$F277,'Калькуляция (МЭОР)'!$G$25:$G$452,$G277),IF(method_reg="Метод сравнения аналогов",_xlfn.SUMIFS('Калькуляция (МСА)'!$AF$25:$AF$122,'Калькуляция (МСА)'!$F$25:$F$122,$F277,'Калькуляция (МСА)'!$G$25:$G$122,$G277),_xlfn.SUMIFS(INDEX('Калькуляция (МИ)'!$AJ$25:$BC$747,,MATCH(AZ$8,'Калькуляция (МИ)'!$AJ$8:$BC$8,0)),'Калькуляция (МИ)'!$F$25:$F$747,$F277,'Калькуляция (МИ)'!$G$25:$G$747,$G277))))</f>
        <v>0</v>
      </c>
      <c r="BA277" s="1095">
        <f>IF(AY277=0,0,(AZ277-AY277)/AY277*100)</f>
        <v>0</v>
      </c>
      <c r="BB277" s="5247">
        <f>IF(AND(method_reg="Метод индексации",god&lt;&gt;first_year),_xlfn.SUMIFS(INDEX('Калькуляция (МИ корр)'!$AJ$25:$BC$747,,MATCH(BB$8,'Калькуляция (МИ корр)'!$AJ$8:$BC$8,0)),'Калькуляция (МИ корр)'!$F$25:$F$747,$F277,'Калькуляция (МИ корр)'!$G$25:$G$747,$G277),IF(method_reg="Метод экономически обоснованных расходов",_xlfn.SUMIFS('Калькуляция (МЭОР)'!$AJ$25:$AJ$452,'Калькуляция (МЭОР)'!$F$25:$F$452,$F277,'Калькуляция (МЭОР)'!$G$25:$G$452,$G277),IF(method_reg="Метод сравнения аналогов",_xlfn.SUMIFS('Калькуляция (МСА)'!$AE$25:$AE$122,'Калькуляция (МСА)'!$F$25:$F$122,$F277,'Калькуляция (МСА)'!$G$25:$G$122,$G277),_xlfn.SUMIFS(INDEX('Калькуляция (МИ)'!$AJ$25:$BC$747,,MATCH(BB$8,'Калькуляция (МИ)'!$AJ$8:$BC$8,0)),'Калькуляция (МИ)'!$F$25:$F$747,$F277,'Калькуляция (МИ)'!$G$25:$G$747,$G277))))</f>
        <v>0</v>
      </c>
      <c r="BC277" s="5247">
        <f>IF(AND(method_reg="Метод индексации",god&lt;&gt;first_year),_xlfn.SUMIFS(INDEX('Калькуляция (МИ корр)'!$AJ$25:$BC$747,,MATCH(BC$8,'Калькуляция (МИ корр)'!$AJ$8:$BC$8,0)),'Калькуляция (МИ корр)'!$F$25:$F$747,$F277,'Калькуляция (МИ корр)'!$G$25:$G$747,$G277),IF(method_reg="Метод экономически обоснованных расходов",_xlfn.SUMIFS('Калькуляция (МЭОР)'!$AK$25:$AK$452,'Калькуляция (МЭОР)'!$F$25:$F$452,$F277,'Калькуляция (МЭОР)'!$G$25:$G$452,$G277),IF(method_reg="Метод сравнения аналогов",_xlfn.SUMIFS('Калькуляция (МСА)'!$AF$25:$AF$122,'Калькуляция (МСА)'!$F$25:$F$122,$F277,'Калькуляция (МСА)'!$G$25:$G$122,$G277),_xlfn.SUMIFS(INDEX('Калькуляция (МИ)'!$AJ$25:$BC$747,,MATCH(BC$8,'Калькуляция (МИ)'!$AJ$8:$BC$8,0)),'Калькуляция (МИ)'!$F$25:$F$747,$F277,'Калькуляция (МИ)'!$G$25:$G$747,$G277))))</f>
        <v>0</v>
      </c>
      <c r="BD277" s="1095">
        <f>IF(BB277=0,0,(BC277-BB277)/BB277*100)</f>
        <v>0</v>
      </c>
      <c r="BE277" s="5247">
        <f>IF(AND(method_reg="Метод индексации",god&lt;&gt;first_year),_xlfn.SUMIFS(INDEX('Калькуляция (МИ корр)'!$AJ$25:$BC$747,,MATCH(BE$8,'Калькуляция (МИ корр)'!$AJ$8:$BC$8,0)),'Калькуляция (МИ корр)'!$F$25:$F$747,$F277,'Калькуляция (МИ корр)'!$G$25:$G$747,$G277),IF(method_reg="Метод экономически обоснованных расходов",_xlfn.SUMIFS('Калькуляция (МЭОР)'!$AJ$25:$AJ$452,'Калькуляция (МЭОР)'!$F$25:$F$452,$F277,'Калькуляция (МЭОР)'!$G$25:$G$452,$G277),IF(method_reg="Метод сравнения аналогов",_xlfn.SUMIFS('Калькуляция (МСА)'!$AE$25:$AE$122,'Калькуляция (МСА)'!$F$25:$F$122,$F277,'Калькуляция (МСА)'!$G$25:$G$122,$G277),_xlfn.SUMIFS(INDEX('Калькуляция (МИ)'!$AJ$25:$BC$747,,MATCH(BE$8,'Калькуляция (МИ)'!$AJ$8:$BC$8,0)),'Калькуляция (МИ)'!$F$25:$F$747,$F277,'Калькуляция (МИ)'!$G$25:$G$747,$G277))))</f>
        <v>0</v>
      </c>
      <c r="BF277" s="5247">
        <f>IF(AND(method_reg="Метод индексации",god&lt;&gt;first_year),_xlfn.SUMIFS(INDEX('Калькуляция (МИ корр)'!$AJ$25:$BC$747,,MATCH(BF$8,'Калькуляция (МИ корр)'!$AJ$8:$BC$8,0)),'Калькуляция (МИ корр)'!$F$25:$F$747,$F277,'Калькуляция (МИ корр)'!$G$25:$G$747,$G277),IF(method_reg="Метод экономически обоснованных расходов",_xlfn.SUMIFS('Калькуляция (МЭОР)'!$AK$25:$AK$452,'Калькуляция (МЭОР)'!$F$25:$F$452,$F277,'Калькуляция (МЭОР)'!$G$25:$G$452,$G277),IF(method_reg="Метод сравнения аналогов",_xlfn.SUMIFS('Калькуляция (МСА)'!$AF$25:$AF$122,'Калькуляция (МСА)'!$F$25:$F$122,$F277,'Калькуляция (МСА)'!$G$25:$G$122,$G277),_xlfn.SUMIFS(INDEX('Калькуляция (МИ)'!$AJ$25:$BC$747,,MATCH(BF$8,'Калькуляция (МИ)'!$AJ$8:$BC$8,0)),'Калькуляция (МИ)'!$F$25:$F$747,$F277,'Калькуляция (МИ)'!$G$25:$G$747,$G277))))</f>
        <v>0</v>
      </c>
      <c r="BG277" s="1095">
        <f>IF(BE277=0,0,(BF277-BE277)/BE277*100)</f>
        <v>0</v>
      </c>
      <c r="BH277" s="5247"/>
      <c r="BI277" s="5247"/>
      <c r="BJ277" s="1095">
        <f>IF(BH277=0,0,(BI277-BH277)/BH277*100)</f>
        <v>0</v>
      </c>
      <c r="BK277" s="5247"/>
      <c r="BL277" s="5247"/>
      <c r="BM277" s="1095">
        <f>IF(BK277=0,0,(BL277-BK277)/BK277*100)</f>
        <v>0</v>
      </c>
      <c r="BN277" s="5247"/>
      <c r="BO277" s="5247"/>
      <c r="BP277" s="1095">
        <f>IF(BN277=0,0,(BO277-BN277)/BN277*100)</f>
        <v>0</v>
      </c>
      <c r="BQ277" s="5247"/>
      <c r="BR277" s="5247"/>
      <c r="BS277" s="1095">
        <f>IF(BQ277=0,0,(BR277-BQ277)/BQ277*100)</f>
        <v>0</v>
      </c>
      <c r="BT277" s="5247"/>
      <c r="BU277" s="5247"/>
      <c r="BV277" s="1095">
        <f>IF(BT277=0,0,(BU277-BT277)/BT277*100)</f>
        <v>0</v>
      </c>
      <c r="BW277" s="5247"/>
      <c r="BX277" s="5247"/>
      <c r="BY277" s="1095">
        <f>IF(BW277=0,0,(BX277-BW277)/BW277*100)</f>
        <v>0</v>
      </c>
      <c r="BZ277" s="5247"/>
      <c r="CA277" s="5247"/>
      <c r="CB277" s="1095">
        <f>IF(BZ277=0,0,(CA277-BZ277)/BZ277*100)</f>
        <v>0</v>
      </c>
      <c r="CC277" s="5247"/>
      <c r="CD277" s="5247"/>
      <c r="CE277" s="1095">
        <f>IF(CC277=0,0,(CD277-CC277)/CC277*100)</f>
        <v>0</v>
      </c>
      <c r="CF277" s="5247"/>
      <c r="CG277" s="5247"/>
      <c r="CH277" s="1095">
        <f>IF(CF277=0,0,(CG277-CF277)/CF277*100)</f>
        <v>0</v>
      </c>
      <c r="CI277" s="5247"/>
      <c r="CJ277" s="5247"/>
      <c r="CK277" s="1095">
        <f>IF(CI277=0,0,(CJ277-CI277)/CI277*100)</f>
        <v>0</v>
      </c>
      <c r="CL277" s="5247"/>
      <c r="CM277" s="5247"/>
      <c r="CN277" s="1095">
        <f>IF(CL277=0,0,(CM277-CL277)/CL277*100)</f>
        <v>0</v>
      </c>
      <c r="CO277" s="5247"/>
      <c r="CP277" s="5247"/>
      <c r="CQ277" s="1095">
        <f>IF(CO277=0,0,(CP277-CO277)/CO277*100)</f>
        <v>0</v>
      </c>
      <c r="CR277" s="5247"/>
      <c r="CS277" s="5247"/>
      <c r="CT277" s="1095">
        <f>IF(CR277=0,0,(CS277-CR277)/CR277*100)</f>
        <v>0</v>
      </c>
      <c r="CU277" s="5247"/>
      <c r="CV277" s="5247"/>
      <c r="CW277" s="1095">
        <f>IF(CU277=0,0,(CV277-CU277)/CU277*100)</f>
        <v>0</v>
      </c>
      <c r="CX277" s="5247"/>
      <c r="CY277" s="5247"/>
      <c r="CZ277" s="1095">
        <f>IF(CX277=0,0,(CY277-CX277)/CX277*100)</f>
        <v>0</v>
      </c>
      <c r="DA277" s="5247"/>
      <c r="DB277" s="5247"/>
      <c r="DC277" s="1095">
        <f>IF(DA277=0,0,(DB277-DA277)/DA277*100)</f>
        <v>0</v>
      </c>
      <c r="DD277" s="5247"/>
      <c r="DE277" s="5247"/>
      <c r="DF277" s="1095">
        <f>IF(DD277=0,0,(DE277-DD277)/DD277*100)</f>
        <v>0</v>
      </c>
      <c r="DG277" s="5247"/>
      <c r="DH277" s="5247"/>
      <c r="DI277" s="1095">
        <f>IF(DG277=0,0,(DH277-DG277)/DG277*100)</f>
        <v>0</v>
      </c>
      <c r="DJ277" s="5247"/>
      <c r="DK277" s="5247"/>
      <c r="DL277" s="1095">
        <f>IF(DJ277=0,0,(DK277-DJ277)/DJ277*100)</f>
        <v>0</v>
      </c>
      <c r="DM277" s="5247"/>
      <c r="DN277" s="5247"/>
      <c r="DO277" s="1095">
        <f>IF(DM277=0,0,(DN277-DM277)/DM277*100)</f>
        <v>0</v>
      </c>
      <c r="DP277" s="5247"/>
      <c r="DQ277" s="5247"/>
      <c r="DR277" s="1095">
        <f>IF(DP277=0,0,(DQ277-DP277)/DP277*100)</f>
        <v>0</v>
      </c>
      <c r="DS277" s="5247"/>
      <c r="DT277" s="5247"/>
      <c r="DU277" s="1095">
        <f>IF(DS277=0,0,(DT277-DS277)/DS277*100)</f>
        <v>0</v>
      </c>
      <c r="DV277" s="5247"/>
      <c r="DW277" s="5247"/>
      <c r="DX277" s="1095">
        <f>IF(DV277=0,0,(DW277-DV277)/DV277*100)</f>
        <v>0</v>
      </c>
      <c r="DY277" s="5247"/>
      <c r="DZ277" s="5247"/>
      <c r="EA277" s="1095">
        <f>IF(DY277=0,0,(DZ277-DY277)/DY277*100)</f>
        <v>0</v>
      </c>
      <c r="EB277" s="5247"/>
      <c r="EC277" s="5247"/>
      <c r="ED277" s="1095">
        <f>IF(EB277=0,0,(EC277-EB277)/EB277*100)</f>
        <v>0</v>
      </c>
      <c r="EE277" s="5247"/>
      <c r="EF277" s="5247"/>
      <c r="EG277" s="1095">
        <f>IF(EE277=0,0,(EF277-EE277)/EE277*100)</f>
        <v>0</v>
      </c>
      <c r="EH277" s="5247"/>
      <c r="EI277" s="5247"/>
      <c r="EJ277" s="1095">
        <f>IF(EH277=0,0,(EI277-EH277)/EH277*100)</f>
        <v>0</v>
      </c>
      <c r="EK277" s="5247"/>
      <c r="EL277" s="5247"/>
      <c r="EM277" s="1095">
        <f>IF(EK277=0,0,(EL277-EK277)/EK277*100)</f>
        <v>0</v>
      </c>
      <c r="EN277" s="5247"/>
      <c r="EO277" s="5247"/>
      <c r="EP277" s="1095">
        <f>IF(EN277=0,0,(EO277-EN277)/EN277*100)</f>
        <v>0</v>
      </c>
      <c r="EQ277" s="5247"/>
      <c r="ER277" s="5247"/>
      <c r="ES277" s="1095">
        <f>IF(EQ277=0,0,(ER277-EQ277)/EQ277*100)</f>
        <v>0</v>
      </c>
      <c r="ET277" s="5247"/>
      <c r="EU277" s="5247"/>
      <c r="EV277" s="1095">
        <f>IF(ET277=0,0,(EU277-ET277)/ET277*100)</f>
        <v>0</v>
      </c>
      <c r="EW277" s="5247"/>
      <c r="EX277" s="5247"/>
      <c r="EY277" s="1095">
        <f>IF(EW277=0,0,(EX277-EW277)/EW277*100)</f>
        <v>0</v>
      </c>
      <c r="EZ277" s="5247"/>
      <c r="FA277" s="5247"/>
      <c r="FB277" s="1095">
        <f>IF(EZ277=0,0,(FA277-EZ277)/EZ277*100)</f>
        <v>0</v>
      </c>
      <c r="FC277" s="5247"/>
      <c r="FD277" s="5247"/>
      <c r="FE277" s="1095">
        <f>IF(FC277=0,0,(FD277-FC277)/FC277*100)</f>
        <v>0</v>
      </c>
      <c r="FF277" s="5247"/>
      <c r="FG277" s="5247"/>
      <c r="FH277" s="1095">
        <f>IF(FF277=0,0,(FG277-FF277)/FF277*100)</f>
        <v>0</v>
      </c>
      <c r="FI277" s="5247"/>
      <c r="FJ277" s="5247"/>
      <c r="FK277" s="1095">
        <f>IF(FI277=0,0,(FJ277-FI277)/FI277*100)</f>
        <v>0</v>
      </c>
      <c r="FL277" s="5247"/>
      <c r="FM277" s="5247"/>
      <c r="FN277" s="1095">
        <f>IF(FL277=0,0,(FM277-FL277)/FL277*100)</f>
        <v>0</v>
      </c>
      <c r="FO277" s="5247"/>
      <c r="FP277" s="5247"/>
      <c r="FQ277" s="1095">
        <f>IF(FO277=0,0,(FP277-FO277)/FO277*100)</f>
        <v>0</v>
      </c>
      <c r="FR277" s="5247"/>
      <c r="FS277" s="5247"/>
      <c r="FT277" s="1095">
        <f>IF(FR277=0,0,(FS277-FR277)/FR277*100)</f>
        <v>0</v>
      </c>
      <c r="FU277" s="5247"/>
      <c r="FV277" s="5247"/>
      <c r="FW277" s="1095">
        <f>IF(FU277=0,0,(FV277-FU277)/FU277*100)</f>
        <v>0</v>
      </c>
      <c r="FX277" s="292"/>
      <c r="FY277" s="1304"/>
      <c r="FZ277" s="1055" t="s">
        <v>2423</v>
      </c>
      <c r="GA277" s="1306"/>
      <c r="GB277" s="1306"/>
      <c r="GC277" s="1305"/>
      <c r="GD277" s="1305"/>
    </row>
    <row s="1834" customFormat="1" customHeight="1" ht="18" hidden="1">
      <c r="A278" s="493"/>
      <c r="B278" s="925" cm="1" t="str">
        <f t="array" ref="B278:B278">B277</f>
        <v>false</v>
      </c>
      <c r="C278" s="493"/>
      <c r="D278" s="493"/>
      <c r="E278" s="840">
        <v>18.75</v>
      </c>
      <c r="F278" s="50" cm="1" t="str">
        <f t="array" ref="F278:F278">OFFSET(E278,-1,1)</f>
        <v>3</v>
      </c>
      <c r="G278" s="493"/>
      <c r="H278" s="493" t="s">
        <v>1175</v>
      </c>
      <c r="I278" s="493" cm="1" t="str">
        <f t="array" ref="I278:I278">AB278</f>
        <v>0</v>
      </c>
      <c r="J278" s="493"/>
      <c r="K278" s="493"/>
      <c r="L278" s="493"/>
      <c r="M278" s="493"/>
      <c r="N278" s="493"/>
      <c r="O278" s="493"/>
      <c r="P278" s="493"/>
      <c r="Q278" s="493"/>
      <c r="R278" s="493"/>
      <c r="S278" s="493"/>
      <c r="T278" s="465">
        <f>AND(F278&gt;0,Y278&gt;0)</f>
        <v>0</v>
      </c>
      <c r="U278" s="493"/>
      <c r="V278" s="493"/>
      <c r="W278" s="493" t="s">
        <v>174</v>
      </c>
      <c r="X278" s="1596"/>
      <c r="Y278" s="493">
        <v>0</v>
      </c>
      <c r="Z278" s="1545"/>
      <c r="AA278" s="662" t="s">
        <v>175</v>
      </c>
      <c r="AB278" s="2860"/>
      <c r="AC278" s="864" t="s">
        <v>2337</v>
      </c>
      <c r="AD278" s="2846"/>
      <c r="AE278" s="5253"/>
      <c r="AF278" s="1093">
        <f>IF(AD278=0,0,(AE278-AD278)/AD278*100)</f>
        <v>0</v>
      </c>
      <c r="AG278" s="5253"/>
      <c r="AH278" s="5253"/>
      <c r="AI278" s="1093">
        <f>IF(AG278=0,0,(AH278-AG278)/AG278*100)</f>
        <v>0</v>
      </c>
      <c r="AJ278" s="5253"/>
      <c r="AK278" s="5253"/>
      <c r="AL278" s="1093">
        <f>IF(AJ278=0,0,(AK278-AJ278)/AJ278*100)</f>
        <v>0</v>
      </c>
      <c r="AM278" s="5253"/>
      <c r="AN278" s="5253"/>
      <c r="AO278" s="1093">
        <f>IF(AM278=0,0,(AN278-AM278)/AM278*100)</f>
        <v>0</v>
      </c>
      <c r="AP278" s="5253"/>
      <c r="AQ278" s="5253"/>
      <c r="AR278" s="1093">
        <f>IF(AP278=0,0,(AQ278-AP278)/AP278*100)</f>
        <v>0</v>
      </c>
      <c r="AS278" s="5253"/>
      <c r="AT278" s="5253"/>
      <c r="AU278" s="1093">
        <f>IF(AS278=0,0,(AT278-AS278)/AS278*100)</f>
        <v>0</v>
      </c>
      <c r="AV278" s="5253"/>
      <c r="AW278" s="5253"/>
      <c r="AX278" s="1093">
        <f>IF(AV278=0,0,(AW278-AV278)/AV278*100)</f>
        <v>0</v>
      </c>
      <c r="AY278" s="5253"/>
      <c r="AZ278" s="5253"/>
      <c r="BA278" s="1093">
        <f>IF(AY278=0,0,(AZ278-AY278)/AY278*100)</f>
        <v>0</v>
      </c>
      <c r="BB278" s="5253"/>
      <c r="BC278" s="5253"/>
      <c r="BD278" s="1093">
        <f>IF(BB278=0,0,(BC278-BB278)/BB278*100)</f>
        <v>0</v>
      </c>
      <c r="BE278" s="5253"/>
      <c r="BF278" s="5253"/>
      <c r="BG278" s="1093">
        <f>IF(BE278=0,0,(BF278-BE278)/BE278*100)</f>
        <v>0</v>
      </c>
      <c r="BH278" s="5253"/>
      <c r="BI278" s="5253"/>
      <c r="BJ278" s="1093">
        <f>IF(BH278=0,0,(BI278-BH278)/BH278*100)</f>
        <v>0</v>
      </c>
      <c r="BK278" s="5253"/>
      <c r="BL278" s="5253"/>
      <c r="BM278" s="1093">
        <f>IF(BK278=0,0,(BL278-BK278)/BK278*100)</f>
        <v>0</v>
      </c>
      <c r="BN278" s="5253"/>
      <c r="BO278" s="5253"/>
      <c r="BP278" s="1093">
        <f>IF(BN278=0,0,(BO278-BN278)/BN278*100)</f>
        <v>0</v>
      </c>
      <c r="BQ278" s="5253"/>
      <c r="BR278" s="5253"/>
      <c r="BS278" s="1093">
        <f>IF(BQ278=0,0,(BR278-BQ278)/BQ278*100)</f>
        <v>0</v>
      </c>
      <c r="BT278" s="5253"/>
      <c r="BU278" s="5253"/>
      <c r="BV278" s="1093">
        <f>IF(BT278=0,0,(BU278-BT278)/BT278*100)</f>
        <v>0</v>
      </c>
      <c r="BW278" s="5253"/>
      <c r="BX278" s="5253"/>
      <c r="BY278" s="1093">
        <f>IF(BW278=0,0,(BX278-BW278)/BW278*100)</f>
        <v>0</v>
      </c>
      <c r="BZ278" s="5253"/>
      <c r="CA278" s="5253"/>
      <c r="CB278" s="1093">
        <f>IF(BZ278=0,0,(CA278-BZ278)/BZ278*100)</f>
        <v>0</v>
      </c>
      <c r="CC278" s="5253"/>
      <c r="CD278" s="5253"/>
      <c r="CE278" s="1093">
        <f>IF(CC278=0,0,(CD278-CC278)/CC278*100)</f>
        <v>0</v>
      </c>
      <c r="CF278" s="5253"/>
      <c r="CG278" s="5253"/>
      <c r="CH278" s="1093">
        <f>IF(CF278=0,0,(CG278-CF278)/CF278*100)</f>
        <v>0</v>
      </c>
      <c r="CI278" s="5253"/>
      <c r="CJ278" s="5253"/>
      <c r="CK278" s="1093">
        <f>IF(CI278=0,0,(CJ278-CI278)/CI278*100)</f>
        <v>0</v>
      </c>
      <c r="CL278" s="5253"/>
      <c r="CM278" s="5253"/>
      <c r="CN278" s="1093">
        <f>IF(CL278=0,0,(CM278-CL278)/CL278*100)</f>
        <v>0</v>
      </c>
      <c r="CO278" s="5253"/>
      <c r="CP278" s="5253"/>
      <c r="CQ278" s="1093">
        <f>IF(CO278=0,0,(CP278-CO278)/CO278*100)</f>
        <v>0</v>
      </c>
      <c r="CR278" s="5253"/>
      <c r="CS278" s="5253"/>
      <c r="CT278" s="1093">
        <f>IF(CR278=0,0,(CS278-CR278)/CR278*100)</f>
        <v>0</v>
      </c>
      <c r="CU278" s="5253"/>
      <c r="CV278" s="5253"/>
      <c r="CW278" s="1093">
        <f>IF(CU278=0,0,(CV278-CU278)/CU278*100)</f>
        <v>0</v>
      </c>
      <c r="CX278" s="5253"/>
      <c r="CY278" s="5253"/>
      <c r="CZ278" s="1093">
        <f>IF(CX278=0,0,(CY278-CX278)/CX278*100)</f>
        <v>0</v>
      </c>
      <c r="DA278" s="5253"/>
      <c r="DB278" s="5253"/>
      <c r="DC278" s="1093">
        <f>IF(DA278=0,0,(DB278-DA278)/DA278*100)</f>
        <v>0</v>
      </c>
      <c r="DD278" s="5253"/>
      <c r="DE278" s="5253"/>
      <c r="DF278" s="1093">
        <f>IF(DD278=0,0,(DE278-DD278)/DD278*100)</f>
        <v>0</v>
      </c>
      <c r="DG278" s="5253"/>
      <c r="DH278" s="5253"/>
      <c r="DI278" s="1093">
        <f>IF(DG278=0,0,(DH278-DG278)/DG278*100)</f>
        <v>0</v>
      </c>
      <c r="DJ278" s="5253"/>
      <c r="DK278" s="5253"/>
      <c r="DL278" s="1093">
        <f>IF(DJ278=0,0,(DK278-DJ278)/DJ278*100)</f>
        <v>0</v>
      </c>
      <c r="DM278" s="5253"/>
      <c r="DN278" s="5253"/>
      <c r="DO278" s="1093">
        <f>IF(DM278=0,0,(DN278-DM278)/DM278*100)</f>
        <v>0</v>
      </c>
      <c r="DP278" s="5253"/>
      <c r="DQ278" s="5253"/>
      <c r="DR278" s="1093">
        <f>IF(DP278=0,0,(DQ278-DP278)/DP278*100)</f>
        <v>0</v>
      </c>
      <c r="DS278" s="5253"/>
      <c r="DT278" s="5253"/>
      <c r="DU278" s="1093">
        <f>IF(DS278=0,0,(DT278-DS278)/DS278*100)</f>
        <v>0</v>
      </c>
      <c r="DV278" s="5253"/>
      <c r="DW278" s="5253"/>
      <c r="DX278" s="1093">
        <f>IF(DV278=0,0,(DW278-DV278)/DV278*100)</f>
        <v>0</v>
      </c>
      <c r="DY278" s="5253"/>
      <c r="DZ278" s="5253"/>
      <c r="EA278" s="1093">
        <f>IF(DY278=0,0,(DZ278-DY278)/DY278*100)</f>
        <v>0</v>
      </c>
      <c r="EB278" s="5253"/>
      <c r="EC278" s="5253"/>
      <c r="ED278" s="1093">
        <f>IF(EB278=0,0,(EC278-EB278)/EB278*100)</f>
        <v>0</v>
      </c>
      <c r="EE278" s="5253"/>
      <c r="EF278" s="5253"/>
      <c r="EG278" s="1093">
        <f>IF(EE278=0,0,(EF278-EE278)/EE278*100)</f>
        <v>0</v>
      </c>
      <c r="EH278" s="5253"/>
      <c r="EI278" s="5253"/>
      <c r="EJ278" s="1093">
        <f>IF(EH278=0,0,(EI278-EH278)/EH278*100)</f>
        <v>0</v>
      </c>
      <c r="EK278" s="5253"/>
      <c r="EL278" s="5253"/>
      <c r="EM278" s="1093">
        <f>IF(EK278=0,0,(EL278-EK278)/EK278*100)</f>
        <v>0</v>
      </c>
      <c r="EN278" s="5253"/>
      <c r="EO278" s="5253"/>
      <c r="EP278" s="1093">
        <f>IF(EN278=0,0,(EO278-EN278)/EN278*100)</f>
        <v>0</v>
      </c>
      <c r="EQ278" s="5253"/>
      <c r="ER278" s="5253"/>
      <c r="ES278" s="1093">
        <f>IF(EQ278=0,0,(ER278-EQ278)/EQ278*100)</f>
        <v>0</v>
      </c>
      <c r="ET278" s="5253"/>
      <c r="EU278" s="5253"/>
      <c r="EV278" s="1093">
        <f>IF(ET278=0,0,(EU278-ET278)/ET278*100)</f>
        <v>0</v>
      </c>
      <c r="EW278" s="5253"/>
      <c r="EX278" s="5253"/>
      <c r="EY278" s="1093">
        <f>IF(EW278=0,0,(EX278-EW278)/EW278*100)</f>
        <v>0</v>
      </c>
      <c r="EZ278" s="5253"/>
      <c r="FA278" s="5253"/>
      <c r="FB278" s="1093">
        <f>IF(EZ278=0,0,(FA278-EZ278)/EZ278*100)</f>
        <v>0</v>
      </c>
      <c r="FC278" s="5253"/>
      <c r="FD278" s="5253"/>
      <c r="FE278" s="1093">
        <f>IF(FC278=0,0,(FD278-FC278)/FC278*100)</f>
        <v>0</v>
      </c>
      <c r="FF278" s="5253"/>
      <c r="FG278" s="5253"/>
      <c r="FH278" s="1093">
        <f>IF(FF278=0,0,(FG278-FF278)/FF278*100)</f>
        <v>0</v>
      </c>
      <c r="FI278" s="5253"/>
      <c r="FJ278" s="5253"/>
      <c r="FK278" s="1093">
        <f>IF(FI278=0,0,(FJ278-FI278)/FI278*100)</f>
        <v>0</v>
      </c>
      <c r="FL278" s="5253"/>
      <c r="FM278" s="5253"/>
      <c r="FN278" s="1093">
        <f>IF(FL278=0,0,(FM278-FL278)/FL278*100)</f>
        <v>0</v>
      </c>
      <c r="FO278" s="5253"/>
      <c r="FP278" s="5253"/>
      <c r="FQ278" s="1093">
        <f>IF(FO278=0,0,(FP278-FO278)/FO278*100)</f>
        <v>0</v>
      </c>
      <c r="FR278" s="5253"/>
      <c r="FS278" s="5253"/>
      <c r="FT278" s="1093">
        <f>IF(FR278=0,0,(FS278-FR278)/FR278*100)</f>
        <v>0</v>
      </c>
      <c r="FU278" s="5253"/>
      <c r="FV278" s="5253"/>
      <c r="FW278" s="1093">
        <f>IF(FU278=0,0,(FV278-FU278)/FU278*100)</f>
        <v>0</v>
      </c>
      <c r="FX278" s="292"/>
      <c r="FY278" s="1304"/>
      <c r="FZ278" s="1055" t="s">
        <v>2424</v>
      </c>
      <c r="GA278" s="1015" t="s">
        <v>2425</v>
      </c>
      <c r="GB278" s="1015" cm="1" t="str">
        <f t="array" ref="GB278:GB278">AB278</f>
        <v>0</v>
      </c>
      <c r="GC278" s="1305"/>
      <c r="GD278" s="632" t="b">
        <v>1</v>
      </c>
    </row>
    <row s="1834" customFormat="1" customHeight="1" ht="14.25" hidden="1">
      <c r="A279" s="1304"/>
      <c r="B279" s="925" cm="1" t="str">
        <f t="array" ref="B279:B279">B278</f>
        <v>false</v>
      </c>
      <c r="C279" s="1304"/>
      <c r="D279" s="493"/>
      <c r="E279" s="840">
        <v>15</v>
      </c>
      <c r="F279" s="50" cm="1" t="str">
        <f t="array" ref="F279:F279">OFFSET(E279,-1,1)</f>
        <v>3</v>
      </c>
      <c r="G279" s="493"/>
      <c r="H279" s="1304"/>
      <c r="I279" s="98" t="s">
        <v>2426</v>
      </c>
      <c r="J279" s="1304"/>
      <c r="K279" s="1304"/>
      <c r="L279" s="1304"/>
      <c r="M279" s="1304"/>
      <c r="N279" s="1304"/>
      <c r="O279" s="1304"/>
      <c r="P279" s="1304"/>
      <c r="Q279" s="1304"/>
      <c r="R279" s="1304"/>
      <c r="S279" s="1304"/>
      <c r="T279" s="465">
        <f>F279&gt;0</f>
        <v>1</v>
      </c>
      <c r="U279" s="1304"/>
      <c r="V279" s="1304"/>
      <c r="W279" s="757" t="s">
        <v>2367</v>
      </c>
      <c r="X279" s="1596"/>
      <c r="Y279" s="1304"/>
      <c r="Z279" s="1545"/>
      <c r="AA279" s="1304"/>
      <c r="AB279" s="260" t="s">
        <v>178</v>
      </c>
      <c r="AC279" s="264"/>
      <c r="AD279" s="262"/>
      <c r="AE279" s="262"/>
      <c r="AF279" s="262"/>
      <c r="AG279" s="262"/>
      <c r="AH279" s="262"/>
      <c r="AI279" s="262"/>
      <c r="AJ279" s="262"/>
      <c r="AK279" s="262"/>
      <c r="AL279" s="262"/>
      <c r="AM279" s="262"/>
      <c r="AN279" s="262"/>
      <c r="AO279" s="262"/>
      <c r="AP279" s="262"/>
      <c r="AQ279" s="262"/>
      <c r="AR279" s="262"/>
      <c r="AS279" s="262"/>
      <c r="AT279" s="262"/>
      <c r="AU279" s="262"/>
      <c r="AV279" s="262"/>
      <c r="AW279" s="262"/>
      <c r="AX279" s="262"/>
      <c r="AY279" s="262"/>
      <c r="AZ279" s="262"/>
      <c r="BA279" s="262"/>
      <c r="BB279" s="262"/>
      <c r="BC279" s="262"/>
      <c r="BD279" s="262"/>
      <c r="BE279" s="262"/>
      <c r="BF279" s="262"/>
      <c r="BG279" s="262"/>
      <c r="BH279" s="262"/>
      <c r="BI279" s="262"/>
      <c r="BJ279" s="262"/>
      <c r="BK279" s="262"/>
      <c r="BL279" s="262"/>
      <c r="BM279" s="262"/>
      <c r="BN279" s="262"/>
      <c r="BO279" s="262"/>
      <c r="BP279" s="262"/>
      <c r="BQ279" s="262"/>
      <c r="BR279" s="262"/>
      <c r="BS279" s="262"/>
      <c r="BT279" s="262"/>
      <c r="BU279" s="262"/>
      <c r="BV279" s="262"/>
      <c r="BW279" s="262"/>
      <c r="BX279" s="262"/>
      <c r="BY279" s="262"/>
      <c r="BZ279" s="262"/>
      <c r="CA279" s="262"/>
      <c r="CB279" s="262"/>
      <c r="CC279" s="262"/>
      <c r="CD279" s="262"/>
      <c r="CE279" s="262"/>
      <c r="CF279" s="262"/>
      <c r="CG279" s="262"/>
      <c r="CH279" s="262"/>
      <c r="CI279" s="262"/>
      <c r="CJ279" s="262"/>
      <c r="CK279" s="262"/>
      <c r="CL279" s="262"/>
      <c r="CM279" s="262"/>
      <c r="CN279" s="262"/>
      <c r="CO279" s="262"/>
      <c r="CP279" s="262"/>
      <c r="CQ279" s="262"/>
      <c r="CR279" s="262"/>
      <c r="CS279" s="262"/>
      <c r="CT279" s="262"/>
      <c r="CU279" s="262"/>
      <c r="CV279" s="262"/>
      <c r="CW279" s="262"/>
      <c r="CX279" s="262"/>
      <c r="CY279" s="262"/>
      <c r="CZ279" s="262"/>
      <c r="DA279" s="262"/>
      <c r="DB279" s="262"/>
      <c r="DC279" s="262"/>
      <c r="DD279" s="262"/>
      <c r="DE279" s="262"/>
      <c r="DF279" s="262"/>
      <c r="DG279" s="262"/>
      <c r="DH279" s="262"/>
      <c r="DI279" s="262"/>
      <c r="DJ279" s="262"/>
      <c r="DK279" s="262"/>
      <c r="DL279" s="262"/>
      <c r="DM279" s="262"/>
      <c r="DN279" s="262"/>
      <c r="DO279" s="262"/>
      <c r="DP279" s="262"/>
      <c r="DQ279" s="262"/>
      <c r="DR279" s="262"/>
      <c r="DS279" s="262"/>
      <c r="DT279" s="262"/>
      <c r="DU279" s="262"/>
      <c r="DV279" s="262"/>
      <c r="DW279" s="262"/>
      <c r="DX279" s="262"/>
      <c r="DY279" s="262"/>
      <c r="DZ279" s="262"/>
      <c r="EA279" s="262"/>
      <c r="EB279" s="262"/>
      <c r="EC279" s="262"/>
      <c r="ED279" s="262"/>
      <c r="EE279" s="262"/>
      <c r="EF279" s="262"/>
      <c r="EG279" s="262"/>
      <c r="EH279" s="262"/>
      <c r="EI279" s="262"/>
      <c r="EJ279" s="262"/>
      <c r="EK279" s="262"/>
      <c r="EL279" s="262"/>
      <c r="EM279" s="262"/>
      <c r="EN279" s="262"/>
      <c r="EO279" s="262"/>
      <c r="EP279" s="262"/>
      <c r="EQ279" s="262"/>
      <c r="ER279" s="262"/>
      <c r="ES279" s="262"/>
      <c r="ET279" s="262"/>
      <c r="EU279" s="262"/>
      <c r="EV279" s="262"/>
      <c r="EW279" s="262"/>
      <c r="EX279" s="262"/>
      <c r="EY279" s="262"/>
      <c r="EZ279" s="262"/>
      <c r="FA279" s="262"/>
      <c r="FB279" s="262"/>
      <c r="FC279" s="262"/>
      <c r="FD279" s="262"/>
      <c r="FE279" s="262"/>
      <c r="FF279" s="262"/>
      <c r="FG279" s="262"/>
      <c r="FH279" s="262"/>
      <c r="FI279" s="262"/>
      <c r="FJ279" s="262"/>
      <c r="FK279" s="262"/>
      <c r="FL279" s="262"/>
      <c r="FM279" s="262"/>
      <c r="FN279" s="262"/>
      <c r="FO279" s="262"/>
      <c r="FP279" s="262"/>
      <c r="FQ279" s="262"/>
      <c r="FR279" s="262"/>
      <c r="FS279" s="262"/>
      <c r="FT279" s="262"/>
      <c r="FU279" s="262"/>
      <c r="FV279" s="262"/>
      <c r="FW279" s="263"/>
      <c r="FX279" s="1304"/>
      <c r="FY279" s="1304"/>
      <c r="FZ279" s="1306"/>
      <c r="GA279" s="1306"/>
      <c r="GB279" s="1306"/>
      <c r="GC279" s="632" t="s">
        <v>2425</v>
      </c>
      <c r="GD279" s="1305"/>
    </row>
    <row s="1834" customFormat="1" customHeight="1" ht="10.5">
      <c r="A280" s="98"/>
      <c r="B280" s="905"/>
      <c r="C280" s="98"/>
      <c r="D280" s="493"/>
      <c r="E280" s="840">
        <v>11.5</v>
      </c>
      <c r="F280" s="1337"/>
      <c r="G280" s="493"/>
      <c r="H280" s="98"/>
      <c r="I280" s="98"/>
      <c r="J280" s="98"/>
      <c r="K280" s="98"/>
      <c r="L280" s="98"/>
      <c r="M280" s="98"/>
      <c r="N280" s="98"/>
      <c r="O280" s="98"/>
      <c r="P280" s="98"/>
      <c r="Q280" s="98"/>
      <c r="R280" s="98"/>
      <c r="S280" s="98"/>
      <c r="T280" s="465" cm="1" t="str">
        <f t="array" ref="T280:T280">T279</f>
        <v>true</v>
      </c>
      <c r="U280" s="98"/>
      <c r="V280" s="98"/>
      <c r="W280" s="757"/>
      <c r="X280" s="1596"/>
      <c r="Y280" s="98"/>
      <c r="Z280" s="1545"/>
      <c r="AA280" s="98"/>
      <c r="AB280" s="207"/>
      <c r="AC280" s="1446"/>
      <c r="AD280" s="1304"/>
      <c r="AE280" s="1304"/>
      <c r="AF280" s="1304"/>
      <c r="AG280" s="1304"/>
      <c r="AH280" s="1304"/>
      <c r="AI280" s="1304"/>
      <c r="AJ280" s="1304"/>
      <c r="AK280" s="1304"/>
      <c r="AL280" s="1304"/>
      <c r="AM280" s="1304"/>
      <c r="AN280" s="1304"/>
      <c r="AO280" s="1304"/>
      <c r="AP280" s="1304"/>
      <c r="AQ280" s="1304"/>
      <c r="AR280" s="1304"/>
      <c r="AS280" s="1304"/>
      <c r="AT280" s="1304"/>
      <c r="AU280" s="1304"/>
      <c r="AV280" s="1304"/>
      <c r="AW280" s="1304"/>
      <c r="AX280" s="1304"/>
      <c r="AY280" s="1304"/>
      <c r="AZ280" s="1304"/>
      <c r="BA280" s="1304"/>
      <c r="BB280" s="1304"/>
      <c r="BC280" s="1304"/>
      <c r="BD280" s="1304"/>
      <c r="BE280" s="1304"/>
      <c r="BF280" s="1304"/>
      <c r="BG280" s="1304"/>
      <c r="BH280" s="1304"/>
      <c r="BI280" s="1304"/>
      <c r="BJ280" s="1304"/>
      <c r="BK280" s="1304"/>
      <c r="BL280" s="1304"/>
      <c r="BM280" s="1304"/>
      <c r="BN280" s="1304"/>
      <c r="BO280" s="1304"/>
      <c r="BP280" s="1304"/>
      <c r="BQ280" s="1304"/>
      <c r="BR280" s="1304"/>
      <c r="BS280" s="1304"/>
      <c r="BT280" s="1304"/>
      <c r="BU280" s="1304"/>
      <c r="BV280" s="1304"/>
      <c r="BW280" s="1304"/>
      <c r="BX280" s="1304"/>
      <c r="BY280" s="1304"/>
      <c r="BZ280" s="1304"/>
      <c r="CA280" s="1304"/>
      <c r="CB280" s="1304"/>
      <c r="CC280" s="1304"/>
      <c r="CD280" s="1304"/>
      <c r="CE280" s="1304"/>
      <c r="CF280" s="1304"/>
      <c r="CG280" s="1304"/>
      <c r="CH280" s="1304"/>
      <c r="CI280" s="1304"/>
      <c r="CJ280" s="1304"/>
      <c r="CK280" s="1304"/>
      <c r="CL280" s="1304"/>
      <c r="CM280" s="1304"/>
      <c r="CN280" s="1304"/>
      <c r="CO280" s="1304"/>
      <c r="CP280" s="1304"/>
      <c r="CQ280" s="1304"/>
      <c r="CR280" s="1304"/>
      <c r="CS280" s="1304"/>
      <c r="CT280" s="1304"/>
      <c r="CU280" s="1304"/>
      <c r="CV280" s="1304"/>
      <c r="CW280" s="1304"/>
      <c r="CX280" s="1304"/>
      <c r="CY280" s="1304"/>
      <c r="CZ280" s="1304"/>
      <c r="DA280" s="1304"/>
      <c r="DB280" s="1304"/>
      <c r="DC280" s="1304"/>
      <c r="DD280" s="1304"/>
      <c r="DE280" s="1304"/>
      <c r="DF280" s="1304"/>
      <c r="DG280" s="1304"/>
      <c r="DH280" s="1304"/>
      <c r="DI280" s="1304"/>
      <c r="DJ280" s="1304"/>
      <c r="DK280" s="1304"/>
      <c r="DL280" s="1304"/>
      <c r="DM280" s="1304"/>
      <c r="DN280" s="1304"/>
      <c r="DO280" s="1304"/>
      <c r="DP280" s="1304"/>
      <c r="DQ280" s="1304"/>
      <c r="DR280" s="1304"/>
      <c r="DS280" s="1304"/>
      <c r="DT280" s="1304"/>
      <c r="DU280" s="1304"/>
      <c r="DV280" s="1304"/>
      <c r="DW280" s="1304"/>
      <c r="DX280" s="1304"/>
      <c r="DY280" s="1304"/>
      <c r="DZ280" s="1304"/>
      <c r="EA280" s="1304"/>
      <c r="EB280" s="1304"/>
      <c r="EC280" s="1304"/>
      <c r="ED280" s="1304"/>
      <c r="EE280" s="1304"/>
      <c r="EF280" s="1304"/>
      <c r="EG280" s="1304"/>
      <c r="EH280" s="1304"/>
      <c r="EI280" s="1304"/>
      <c r="EJ280" s="1304"/>
      <c r="EK280" s="1304"/>
      <c r="EL280" s="1304"/>
      <c r="EM280" s="1304"/>
      <c r="EN280" s="1304"/>
      <c r="EO280" s="1304"/>
      <c r="EP280" s="1304"/>
      <c r="EQ280" s="1304"/>
      <c r="ER280" s="1304"/>
      <c r="ES280" s="1304"/>
      <c r="ET280" s="1304"/>
      <c r="EU280" s="1304"/>
      <c r="EV280" s="1304"/>
      <c r="EW280" s="1304"/>
      <c r="EX280" s="1304"/>
      <c r="EY280" s="1304"/>
      <c r="EZ280" s="1304"/>
      <c r="FA280" s="1304"/>
      <c r="FB280" s="1304"/>
      <c r="FC280" s="1304"/>
      <c r="FD280" s="1304"/>
      <c r="FE280" s="1304"/>
      <c r="FF280" s="1304"/>
      <c r="FG280" s="1304"/>
      <c r="FH280" s="1304"/>
      <c r="FI280" s="1304"/>
      <c r="FJ280" s="1304"/>
      <c r="FK280" s="1304"/>
      <c r="FL280" s="1304"/>
      <c r="FM280" s="1304"/>
      <c r="FN280" s="1304"/>
      <c r="FO280" s="1304"/>
      <c r="FP280" s="1304"/>
      <c r="FQ280" s="1304"/>
      <c r="FR280" s="1304"/>
      <c r="FS280" s="1304"/>
      <c r="FT280" s="1304"/>
      <c r="FU280" s="1304"/>
      <c r="FV280" s="1304"/>
      <c r="FW280" s="1304"/>
      <c r="FX280" s="1304"/>
      <c r="FY280" s="1304"/>
      <c r="FZ280" s="1006"/>
      <c r="GA280" s="1006"/>
      <c r="GB280" s="1001"/>
      <c r="GC280" s="675"/>
      <c r="GD280" s="675"/>
    </row>
    <row s="1834" customFormat="1" customHeight="1" ht="14.25">
      <c r="A281" s="493"/>
      <c r="B281" s="872"/>
      <c r="C281" s="493"/>
      <c r="D281" s="493"/>
      <c r="E281" s="840">
        <v>15</v>
      </c>
      <c r="F281" s="494" cm="1" t="str">
        <f t="array" ref="F281:F281">X281</f>
        <v>4</v>
      </c>
      <c r="G281" s="493" cm="1" t="str">
        <f t="array" ref="G281:G281">INDEX('Общие сведения'!$AK$179:$AK$250,MATCH($X281,'Общие сведения'!$Z$179:$Z$250,0))</f>
        <v>одноставочный</v>
      </c>
      <c r="H281" s="493"/>
      <c r="I281" s="493"/>
      <c r="J281" s="493"/>
      <c r="K281" s="493"/>
      <c r="L281" s="493"/>
      <c r="M281" s="493"/>
      <c r="N281" s="493"/>
      <c r="O281" s="493"/>
      <c r="P281" s="493"/>
      <c r="Q281" s="493" cm="1" t="str">
        <f t="array" ref="Q281:Q281">INDEX('Общие сведения'!$AE$179:$AE$250,MATCH($X281,'Общие сведения'!$Z$179:$Z$250,0))</f>
        <v>Водоотведение</v>
      </c>
      <c r="R281" s="484" cm="1" t="str">
        <f t="array" ref="R281:R281">INDEX('Общие сведения'!$AK$179:$AK$250,MATCH($X281,'Общие сведения'!$Z$179:$Z$250,0))</f>
        <v>одноставочный</v>
      </c>
      <c r="S281" s="493" cm="1" t="str">
        <f t="array" ref="S281:S281">INDEX('Общие сведения'!$AN$179:$AN$250,MATCH($X281,'Общие сведения'!$Z$179:$Z$250,0))</f>
        <v>false</v>
      </c>
      <c r="T281" s="465">
        <f>X281&gt;0</f>
        <v>1</v>
      </c>
      <c r="U281" s="493"/>
      <c r="V281" s="493" cm="1" t="str">
        <f t="array" ref="V281:V281">'Корректировка НВВ'!$AB$231</f>
        <v>Тариф 4 (Водоотведение) - тариф на водоотведение (Доп. признак не требуется)</v>
      </c>
      <c r="W281" s="493"/>
      <c r="X281" s="1596" t="s">
        <v>295</v>
      </c>
      <c r="Y281" s="493"/>
      <c r="Z281" s="1545"/>
      <c r="AA281" s="493"/>
      <c r="AB281" s="1636" t="s">
        <v>22</v>
      </c>
      <c r="AC281" s="1637"/>
      <c r="AD281" s="893" cm="1" t="str">
        <f t="array" ref="AD281:AD281">'Корректировка НВВ'!$AB$231</f>
        <v>Тариф 4 (Водоотведение) - тариф на водоотведение (Доп. признак не требуется)</v>
      </c>
      <c r="AE281" s="286"/>
      <c r="AF281" s="286"/>
      <c r="AG281" s="286"/>
      <c r="AH281" s="286"/>
      <c r="AI281" s="286"/>
      <c r="AJ281" s="286"/>
      <c r="AK281" s="286"/>
      <c r="AL281" s="286"/>
      <c r="AM281" s="286"/>
      <c r="AN281" s="286"/>
      <c r="AO281" s="286"/>
      <c r="AP281" s="286"/>
      <c r="AQ281" s="286"/>
      <c r="AR281" s="286"/>
      <c r="AS281" s="286"/>
      <c r="AT281" s="286"/>
      <c r="AU281" s="286"/>
      <c r="AV281" s="286"/>
      <c r="AW281" s="286"/>
      <c r="AX281" s="286"/>
      <c r="AY281" s="286"/>
      <c r="AZ281" s="286"/>
      <c r="BA281" s="286"/>
      <c r="BB281" s="286"/>
      <c r="BC281" s="286"/>
      <c r="BD281" s="286"/>
      <c r="BE281" s="286"/>
      <c r="BF281" s="286"/>
      <c r="BG281" s="286"/>
      <c r="BH281" s="286"/>
      <c r="BI281" s="286"/>
      <c r="BJ281" s="286"/>
      <c r="BK281" s="286"/>
      <c r="BL281" s="286"/>
      <c r="BM281" s="286"/>
      <c r="BN281" s="286"/>
      <c r="BO281" s="286"/>
      <c r="BP281" s="286"/>
      <c r="BQ281" s="286"/>
      <c r="BR281" s="286"/>
      <c r="BS281" s="286"/>
      <c r="BT281" s="286"/>
      <c r="BU281" s="286"/>
      <c r="BV281" s="286"/>
      <c r="BW281" s="286"/>
      <c r="BX281" s="286"/>
      <c r="BY281" s="286"/>
      <c r="BZ281" s="286"/>
      <c r="CA281" s="286"/>
      <c r="CB281" s="286"/>
      <c r="CC281" s="286"/>
      <c r="CD281" s="286"/>
      <c r="CE281" s="286"/>
      <c r="CF281" s="286"/>
      <c r="CG281" s="286"/>
      <c r="CH281" s="286"/>
      <c r="CI281" s="286"/>
      <c r="CJ281" s="286"/>
      <c r="CK281" s="286"/>
      <c r="CL281" s="286"/>
      <c r="CM281" s="286"/>
      <c r="CN281" s="286"/>
      <c r="CO281" s="286"/>
      <c r="CP281" s="286"/>
      <c r="CQ281" s="286"/>
      <c r="CR281" s="286"/>
      <c r="CS281" s="286"/>
      <c r="CT281" s="286"/>
      <c r="CU281" s="286"/>
      <c r="CV281" s="286"/>
      <c r="CW281" s="286"/>
      <c r="CX281" s="286"/>
      <c r="CY281" s="286"/>
      <c r="CZ281" s="286"/>
      <c r="DA281" s="286"/>
      <c r="DB281" s="286"/>
      <c r="DC281" s="286"/>
      <c r="DD281" s="286"/>
      <c r="DE281" s="286"/>
      <c r="DF281" s="286"/>
      <c r="DG281" s="286"/>
      <c r="DH281" s="286"/>
      <c r="DI281" s="286"/>
      <c r="DJ281" s="286"/>
      <c r="DK281" s="286"/>
      <c r="DL281" s="286"/>
      <c r="DM281" s="286"/>
      <c r="DN281" s="286"/>
      <c r="DO281" s="286"/>
      <c r="DP281" s="286"/>
      <c r="DQ281" s="286"/>
      <c r="DR281" s="286"/>
      <c r="DS281" s="286"/>
      <c r="DT281" s="286"/>
      <c r="DU281" s="286"/>
      <c r="DV281" s="286"/>
      <c r="DW281" s="286"/>
      <c r="DX281" s="286"/>
      <c r="DY281" s="286"/>
      <c r="DZ281" s="286"/>
      <c r="EA281" s="286"/>
      <c r="EB281" s="286"/>
      <c r="EC281" s="286"/>
      <c r="ED281" s="286"/>
      <c r="EE281" s="286"/>
      <c r="EF281" s="286"/>
      <c r="EG281" s="286"/>
      <c r="EH281" s="286"/>
      <c r="EI281" s="286"/>
      <c r="EJ281" s="286"/>
      <c r="EK281" s="286"/>
      <c r="EL281" s="286"/>
      <c r="EM281" s="286"/>
      <c r="EN281" s="286"/>
      <c r="EO281" s="286"/>
      <c r="EP281" s="286"/>
      <c r="EQ281" s="286"/>
      <c r="ER281" s="286"/>
      <c r="ES281" s="286"/>
      <c r="ET281" s="286"/>
      <c r="EU281" s="286"/>
      <c r="EV281" s="286"/>
      <c r="EW281" s="286"/>
      <c r="EX281" s="286"/>
      <c r="EY281" s="286"/>
      <c r="EZ281" s="286"/>
      <c r="FA281" s="286"/>
      <c r="FB281" s="286"/>
      <c r="FC281" s="286"/>
      <c r="FD281" s="286"/>
      <c r="FE281" s="286"/>
      <c r="FF281" s="286"/>
      <c r="FG281" s="286"/>
      <c r="FH281" s="286"/>
      <c r="FI281" s="286"/>
      <c r="FJ281" s="286"/>
      <c r="FK281" s="286"/>
      <c r="FL281" s="286"/>
      <c r="FM281" s="286"/>
      <c r="FN281" s="286"/>
      <c r="FO281" s="286"/>
      <c r="FP281" s="286"/>
      <c r="FQ281" s="286"/>
      <c r="FR281" s="286"/>
      <c r="FS281" s="286"/>
      <c r="FT281" s="286"/>
      <c r="FU281" s="286"/>
      <c r="FV281" s="286"/>
      <c r="FW281" s="287"/>
      <c r="FX281" s="1304"/>
      <c r="FY281" s="1304"/>
      <c r="FZ281" s="1306"/>
      <c r="GA281" s="1306"/>
      <c r="GB281" s="1306"/>
      <c r="GC281" s="1305"/>
      <c r="GD281" s="1305"/>
    </row>
    <row s="1834" customFormat="1" customHeight="1" ht="14.25">
      <c r="A282" s="493"/>
      <c r="B282" s="872"/>
      <c r="C282" s="493"/>
      <c r="D282" s="493"/>
      <c r="E282" s="840">
        <v>15</v>
      </c>
      <c r="F282" s="50" cm="1" t="str">
        <f t="array" ref="F282:F282">OFFSET(E282,-1,1)</f>
        <v>4</v>
      </c>
      <c r="G282" s="493"/>
      <c r="H282" s="493"/>
      <c r="I282" s="493"/>
      <c r="J282" s="493"/>
      <c r="K282" s="493"/>
      <c r="L282" s="493"/>
      <c r="M282" s="493"/>
      <c r="N282" s="493"/>
      <c r="O282" s="493"/>
      <c r="P282" s="493"/>
      <c r="Q282" s="493"/>
      <c r="R282" s="484"/>
      <c r="S282" s="484"/>
      <c r="T282" s="465" cm="1" t="str">
        <f t="array" ref="T282:T282">T281</f>
        <v>true</v>
      </c>
      <c r="U282" s="493"/>
      <c r="V282" s="493"/>
      <c r="W282" s="493"/>
      <c r="X282" s="1596"/>
      <c r="Y282" s="493"/>
      <c r="Z282" s="1545"/>
      <c r="AA282" s="493"/>
      <c r="AB282" s="1503" t="str">
        <f>"Вид "&amp;IF(ISERROR(SEARCH("Водоснабжение",AD281)),"сточных вод","воды")</f>
        <v>Вид сточных вод</v>
      </c>
      <c r="AC282" s="1505"/>
      <c r="AD282" s="893" cm="1" t="str">
        <f t="array" ref="AD282:AD282">INDEX('Общие сведения'!$AH$179:$AH$250,MATCH($X281,'Общие сведения'!$Z$179:$Z$250,0))</f>
        <v>без дифференциации</v>
      </c>
      <c r="AE282" s="288"/>
      <c r="AF282" s="288"/>
      <c r="AG282" s="288"/>
      <c r="AH282" s="288"/>
      <c r="AI282" s="288"/>
      <c r="AJ282" s="288"/>
      <c r="AK282" s="288"/>
      <c r="AL282" s="288"/>
      <c r="AM282" s="288"/>
      <c r="AN282" s="288"/>
      <c r="AO282" s="288"/>
      <c r="AP282" s="288"/>
      <c r="AQ282" s="288"/>
      <c r="AR282" s="288"/>
      <c r="AS282" s="288"/>
      <c r="AT282" s="288"/>
      <c r="AU282" s="288"/>
      <c r="AV282" s="288"/>
      <c r="AW282" s="288"/>
      <c r="AX282" s="288"/>
      <c r="AY282" s="288"/>
      <c r="AZ282" s="288"/>
      <c r="BA282" s="288"/>
      <c r="BB282" s="288"/>
      <c r="BC282" s="288"/>
      <c r="BD282" s="288"/>
      <c r="BE282" s="288"/>
      <c r="BF282" s="288"/>
      <c r="BG282" s="288"/>
      <c r="BH282" s="288"/>
      <c r="BI282" s="288"/>
      <c r="BJ282" s="288"/>
      <c r="BK282" s="288"/>
      <c r="BL282" s="288"/>
      <c r="BM282" s="288"/>
      <c r="BN282" s="288"/>
      <c r="BO282" s="288"/>
      <c r="BP282" s="288"/>
      <c r="BQ282" s="288"/>
      <c r="BR282" s="288"/>
      <c r="BS282" s="288"/>
      <c r="BT282" s="288"/>
      <c r="BU282" s="288"/>
      <c r="BV282" s="288"/>
      <c r="BW282" s="288"/>
      <c r="BX282" s="288"/>
      <c r="BY282" s="288"/>
      <c r="BZ282" s="288"/>
      <c r="CA282" s="288"/>
      <c r="CB282" s="288"/>
      <c r="CC282" s="288"/>
      <c r="CD282" s="288"/>
      <c r="CE282" s="288"/>
      <c r="CF282" s="288"/>
      <c r="CG282" s="288"/>
      <c r="CH282" s="288"/>
      <c r="CI282" s="288"/>
      <c r="CJ282" s="288"/>
      <c r="CK282" s="288"/>
      <c r="CL282" s="288"/>
      <c r="CM282" s="288"/>
      <c r="CN282" s="288"/>
      <c r="CO282" s="288"/>
      <c r="CP282" s="288"/>
      <c r="CQ282" s="288"/>
      <c r="CR282" s="288"/>
      <c r="CS282" s="288"/>
      <c r="CT282" s="288"/>
      <c r="CU282" s="288"/>
      <c r="CV282" s="288"/>
      <c r="CW282" s="288"/>
      <c r="CX282" s="288"/>
      <c r="CY282" s="288"/>
      <c r="CZ282" s="288"/>
      <c r="DA282" s="288"/>
      <c r="DB282" s="288"/>
      <c r="DC282" s="288"/>
      <c r="DD282" s="288"/>
      <c r="DE282" s="288"/>
      <c r="DF282" s="288"/>
      <c r="DG282" s="288"/>
      <c r="DH282" s="288"/>
      <c r="DI282" s="288"/>
      <c r="DJ282" s="288"/>
      <c r="DK282" s="288"/>
      <c r="DL282" s="288"/>
      <c r="DM282" s="288"/>
      <c r="DN282" s="288"/>
      <c r="DO282" s="288"/>
      <c r="DP282" s="288"/>
      <c r="DQ282" s="288"/>
      <c r="DR282" s="288"/>
      <c r="DS282" s="288"/>
      <c r="DT282" s="288"/>
      <c r="DU282" s="288"/>
      <c r="DV282" s="288"/>
      <c r="DW282" s="288"/>
      <c r="DX282" s="288"/>
      <c r="DY282" s="288"/>
      <c r="DZ282" s="288"/>
      <c r="EA282" s="288"/>
      <c r="EB282" s="288"/>
      <c r="EC282" s="288"/>
      <c r="ED282" s="288"/>
      <c r="EE282" s="288"/>
      <c r="EF282" s="288"/>
      <c r="EG282" s="288"/>
      <c r="EH282" s="288"/>
      <c r="EI282" s="288"/>
      <c r="EJ282" s="288"/>
      <c r="EK282" s="288"/>
      <c r="EL282" s="288"/>
      <c r="EM282" s="288"/>
      <c r="EN282" s="288"/>
      <c r="EO282" s="288"/>
      <c r="EP282" s="288"/>
      <c r="EQ282" s="288"/>
      <c r="ER282" s="288"/>
      <c r="ES282" s="288"/>
      <c r="ET282" s="288"/>
      <c r="EU282" s="288"/>
      <c r="EV282" s="288"/>
      <c r="EW282" s="288"/>
      <c r="EX282" s="288"/>
      <c r="EY282" s="288"/>
      <c r="EZ282" s="288"/>
      <c r="FA282" s="288"/>
      <c r="FB282" s="288"/>
      <c r="FC282" s="288"/>
      <c r="FD282" s="288"/>
      <c r="FE282" s="288"/>
      <c r="FF282" s="288"/>
      <c r="FG282" s="288"/>
      <c r="FH282" s="288"/>
      <c r="FI282" s="288"/>
      <c r="FJ282" s="288"/>
      <c r="FK282" s="288"/>
      <c r="FL282" s="288"/>
      <c r="FM282" s="288"/>
      <c r="FN282" s="288"/>
      <c r="FO282" s="288"/>
      <c r="FP282" s="288"/>
      <c r="FQ282" s="288"/>
      <c r="FR282" s="288"/>
      <c r="FS282" s="288"/>
      <c r="FT282" s="288"/>
      <c r="FU282" s="288"/>
      <c r="FV282" s="288"/>
      <c r="FW282" s="289"/>
      <c r="FX282" s="1304"/>
      <c r="FY282" s="1304"/>
      <c r="FZ282" s="1306"/>
      <c r="GA282" s="1306"/>
      <c r="GB282" s="1306"/>
      <c r="GC282" s="1305"/>
      <c r="GD282" s="1305"/>
    </row>
    <row s="1834" customFormat="1" customHeight="1" ht="14.25">
      <c r="A283" s="493"/>
      <c r="B283" s="872"/>
      <c r="C283" s="493"/>
      <c r="D283" s="493"/>
      <c r="E283" s="840">
        <v>15</v>
      </c>
      <c r="F283" s="50" cm="1" t="str">
        <f t="array" ref="F283:F283">OFFSET(E283,-1,1)</f>
        <v>4</v>
      </c>
      <c r="G283" s="493"/>
      <c r="H283" s="493"/>
      <c r="I283" s="493"/>
      <c r="J283" s="493"/>
      <c r="K283" s="493"/>
      <c r="L283" s="493"/>
      <c r="M283" s="493"/>
      <c r="N283" s="493"/>
      <c r="O283" s="493"/>
      <c r="P283" s="493"/>
      <c r="Q283" s="493"/>
      <c r="R283" s="484"/>
      <c r="S283" s="484"/>
      <c r="T283" s="465" cm="1" t="str">
        <f t="array" ref="T283:T283">T282</f>
        <v>true</v>
      </c>
      <c r="U283" s="493"/>
      <c r="V283" s="493"/>
      <c r="W283" s="493"/>
      <c r="X283" s="1596"/>
      <c r="Y283" s="493"/>
      <c r="Z283" s="1545"/>
      <c r="AA283" s="493"/>
      <c r="AB283" s="1503" t="s">
        <v>2331</v>
      </c>
      <c r="AC283" s="1505"/>
      <c r="AD283" s="893" cm="1" t="str">
        <f t="array" ref="AD283:AD283">INDEX('Общие сведения'!$AI$179:$AI$250,MATCH($X281,'Общие сведения'!$Z$179:$Z$250,0))</f>
        <v>тариф на водоотведение</v>
      </c>
      <c r="AE283" s="288"/>
      <c r="AF283" s="288"/>
      <c r="AG283" s="288"/>
      <c r="AH283" s="288"/>
      <c r="AI283" s="288"/>
      <c r="AJ283" s="288"/>
      <c r="AK283" s="288"/>
      <c r="AL283" s="288"/>
      <c r="AM283" s="288"/>
      <c r="AN283" s="288"/>
      <c r="AO283" s="288"/>
      <c r="AP283" s="288"/>
      <c r="AQ283" s="288"/>
      <c r="AR283" s="288"/>
      <c r="AS283" s="288"/>
      <c r="AT283" s="288"/>
      <c r="AU283" s="288"/>
      <c r="AV283" s="288"/>
      <c r="AW283" s="288"/>
      <c r="AX283" s="288"/>
      <c r="AY283" s="288"/>
      <c r="AZ283" s="288"/>
      <c r="BA283" s="288"/>
      <c r="BB283" s="288"/>
      <c r="BC283" s="288"/>
      <c r="BD283" s="288"/>
      <c r="BE283" s="288"/>
      <c r="BF283" s="288"/>
      <c r="BG283" s="288"/>
      <c r="BH283" s="288"/>
      <c r="BI283" s="288"/>
      <c r="BJ283" s="288"/>
      <c r="BK283" s="288"/>
      <c r="BL283" s="288"/>
      <c r="BM283" s="288"/>
      <c r="BN283" s="288"/>
      <c r="BO283" s="288"/>
      <c r="BP283" s="288"/>
      <c r="BQ283" s="288"/>
      <c r="BR283" s="288"/>
      <c r="BS283" s="288"/>
      <c r="BT283" s="288"/>
      <c r="BU283" s="288"/>
      <c r="BV283" s="288"/>
      <c r="BW283" s="288"/>
      <c r="BX283" s="288"/>
      <c r="BY283" s="288"/>
      <c r="BZ283" s="288"/>
      <c r="CA283" s="288"/>
      <c r="CB283" s="288"/>
      <c r="CC283" s="288"/>
      <c r="CD283" s="288"/>
      <c r="CE283" s="288"/>
      <c r="CF283" s="288"/>
      <c r="CG283" s="288"/>
      <c r="CH283" s="288"/>
      <c r="CI283" s="288"/>
      <c r="CJ283" s="288"/>
      <c r="CK283" s="288"/>
      <c r="CL283" s="288"/>
      <c r="CM283" s="288"/>
      <c r="CN283" s="288"/>
      <c r="CO283" s="288"/>
      <c r="CP283" s="288"/>
      <c r="CQ283" s="288"/>
      <c r="CR283" s="288"/>
      <c r="CS283" s="288"/>
      <c r="CT283" s="288"/>
      <c r="CU283" s="288"/>
      <c r="CV283" s="288"/>
      <c r="CW283" s="288"/>
      <c r="CX283" s="288"/>
      <c r="CY283" s="288"/>
      <c r="CZ283" s="288"/>
      <c r="DA283" s="288"/>
      <c r="DB283" s="288"/>
      <c r="DC283" s="288"/>
      <c r="DD283" s="288"/>
      <c r="DE283" s="288"/>
      <c r="DF283" s="288"/>
      <c r="DG283" s="288"/>
      <c r="DH283" s="288"/>
      <c r="DI283" s="288"/>
      <c r="DJ283" s="288"/>
      <c r="DK283" s="288"/>
      <c r="DL283" s="288"/>
      <c r="DM283" s="288"/>
      <c r="DN283" s="288"/>
      <c r="DO283" s="288"/>
      <c r="DP283" s="288"/>
      <c r="DQ283" s="288"/>
      <c r="DR283" s="288"/>
      <c r="DS283" s="288"/>
      <c r="DT283" s="288"/>
      <c r="DU283" s="288"/>
      <c r="DV283" s="288"/>
      <c r="DW283" s="288"/>
      <c r="DX283" s="288"/>
      <c r="DY283" s="288"/>
      <c r="DZ283" s="288"/>
      <c r="EA283" s="288"/>
      <c r="EB283" s="288"/>
      <c r="EC283" s="288"/>
      <c r="ED283" s="288"/>
      <c r="EE283" s="288"/>
      <c r="EF283" s="288"/>
      <c r="EG283" s="288"/>
      <c r="EH283" s="288"/>
      <c r="EI283" s="288"/>
      <c r="EJ283" s="288"/>
      <c r="EK283" s="288"/>
      <c r="EL283" s="288"/>
      <c r="EM283" s="288"/>
      <c r="EN283" s="288"/>
      <c r="EO283" s="288"/>
      <c r="EP283" s="288"/>
      <c r="EQ283" s="288"/>
      <c r="ER283" s="288"/>
      <c r="ES283" s="288"/>
      <c r="ET283" s="288"/>
      <c r="EU283" s="288"/>
      <c r="EV283" s="288"/>
      <c r="EW283" s="288"/>
      <c r="EX283" s="288"/>
      <c r="EY283" s="288"/>
      <c r="EZ283" s="288"/>
      <c r="FA283" s="288"/>
      <c r="FB283" s="288"/>
      <c r="FC283" s="288"/>
      <c r="FD283" s="288"/>
      <c r="FE283" s="288"/>
      <c r="FF283" s="288"/>
      <c r="FG283" s="288"/>
      <c r="FH283" s="288"/>
      <c r="FI283" s="288"/>
      <c r="FJ283" s="288"/>
      <c r="FK283" s="288"/>
      <c r="FL283" s="288"/>
      <c r="FM283" s="288"/>
      <c r="FN283" s="288"/>
      <c r="FO283" s="288"/>
      <c r="FP283" s="288"/>
      <c r="FQ283" s="288"/>
      <c r="FR283" s="288"/>
      <c r="FS283" s="288"/>
      <c r="FT283" s="288"/>
      <c r="FU283" s="288"/>
      <c r="FV283" s="288"/>
      <c r="FW283" s="289"/>
      <c r="FX283" s="1304"/>
      <c r="FY283" s="1304"/>
      <c r="FZ283" s="1306"/>
      <c r="GA283" s="1306"/>
      <c r="GB283" s="1306"/>
      <c r="GC283" s="1305"/>
      <c r="GD283" s="1305"/>
    </row>
    <row s="1834" customFormat="1" customHeight="1" ht="14.25">
      <c r="A284" s="493"/>
      <c r="B284" s="872"/>
      <c r="C284" s="493"/>
      <c r="D284" s="493"/>
      <c r="E284" s="840">
        <v>15</v>
      </c>
      <c r="F284" s="50" cm="1" t="str">
        <f t="array" ref="F284:F284">OFFSET(E284,-1,1)</f>
        <v>4</v>
      </c>
      <c r="G284" s="493"/>
      <c r="H284" s="493"/>
      <c r="I284" s="493"/>
      <c r="J284" s="493"/>
      <c r="K284" s="493"/>
      <c r="L284" s="493"/>
      <c r="M284" s="493"/>
      <c r="N284" s="493"/>
      <c r="O284" s="493"/>
      <c r="P284" s="493"/>
      <c r="Q284" s="928"/>
      <c r="R284" s="493"/>
      <c r="S284" s="484"/>
      <c r="T284" s="465" cm="1" t="str">
        <f t="array" ref="T284:T284">T283</f>
        <v>true</v>
      </c>
      <c r="U284" s="493"/>
      <c r="V284" s="493"/>
      <c r="W284" s="493"/>
      <c r="X284" s="1596"/>
      <c r="Y284" s="493"/>
      <c r="Z284" s="1545"/>
      <c r="AA284" s="493"/>
      <c r="AB284" s="1503" t="s">
        <v>2332</v>
      </c>
      <c r="AC284" s="1505"/>
      <c r="AD284" s="893" cm="1" t="str">
        <f t="array" ref="AD284:AD284">INDEX('Общие сведения'!$AJ$179:$AJ$250,MATCH($X281,'Общие сведения'!$Z$179:$Z$250,0))</f>
        <v>Доп. признак не требуется</v>
      </c>
      <c r="AE284" s="288"/>
      <c r="AF284" s="288"/>
      <c r="AG284" s="288"/>
      <c r="AH284" s="288"/>
      <c r="AI284" s="288"/>
      <c r="AJ284" s="288"/>
      <c r="AK284" s="288"/>
      <c r="AL284" s="288"/>
      <c r="AM284" s="288"/>
      <c r="AN284" s="288"/>
      <c r="AO284" s="288"/>
      <c r="AP284" s="288"/>
      <c r="AQ284" s="288"/>
      <c r="AR284" s="288"/>
      <c r="AS284" s="288"/>
      <c r="AT284" s="288"/>
      <c r="AU284" s="288"/>
      <c r="AV284" s="288"/>
      <c r="AW284" s="288"/>
      <c r="AX284" s="288"/>
      <c r="AY284" s="288"/>
      <c r="AZ284" s="288"/>
      <c r="BA284" s="288"/>
      <c r="BB284" s="288"/>
      <c r="BC284" s="288"/>
      <c r="BD284" s="288"/>
      <c r="BE284" s="288"/>
      <c r="BF284" s="288"/>
      <c r="BG284" s="288"/>
      <c r="BH284" s="288"/>
      <c r="BI284" s="288"/>
      <c r="BJ284" s="288"/>
      <c r="BK284" s="288"/>
      <c r="BL284" s="288"/>
      <c r="BM284" s="288"/>
      <c r="BN284" s="288"/>
      <c r="BO284" s="288"/>
      <c r="BP284" s="288"/>
      <c r="BQ284" s="288"/>
      <c r="BR284" s="288"/>
      <c r="BS284" s="288"/>
      <c r="BT284" s="288"/>
      <c r="BU284" s="288"/>
      <c r="BV284" s="288"/>
      <c r="BW284" s="288"/>
      <c r="BX284" s="288"/>
      <c r="BY284" s="288"/>
      <c r="BZ284" s="288"/>
      <c r="CA284" s="288"/>
      <c r="CB284" s="288"/>
      <c r="CC284" s="288"/>
      <c r="CD284" s="288"/>
      <c r="CE284" s="288"/>
      <c r="CF284" s="288"/>
      <c r="CG284" s="288"/>
      <c r="CH284" s="288"/>
      <c r="CI284" s="288"/>
      <c r="CJ284" s="288"/>
      <c r="CK284" s="288"/>
      <c r="CL284" s="288"/>
      <c r="CM284" s="288"/>
      <c r="CN284" s="288"/>
      <c r="CO284" s="288"/>
      <c r="CP284" s="288"/>
      <c r="CQ284" s="288"/>
      <c r="CR284" s="288"/>
      <c r="CS284" s="288"/>
      <c r="CT284" s="288"/>
      <c r="CU284" s="288"/>
      <c r="CV284" s="288"/>
      <c r="CW284" s="288"/>
      <c r="CX284" s="288"/>
      <c r="CY284" s="288"/>
      <c r="CZ284" s="288"/>
      <c r="DA284" s="288"/>
      <c r="DB284" s="288"/>
      <c r="DC284" s="288"/>
      <c r="DD284" s="288"/>
      <c r="DE284" s="288"/>
      <c r="DF284" s="288"/>
      <c r="DG284" s="288"/>
      <c r="DH284" s="288"/>
      <c r="DI284" s="288"/>
      <c r="DJ284" s="288"/>
      <c r="DK284" s="288"/>
      <c r="DL284" s="288"/>
      <c r="DM284" s="288"/>
      <c r="DN284" s="288"/>
      <c r="DO284" s="288"/>
      <c r="DP284" s="288"/>
      <c r="DQ284" s="288"/>
      <c r="DR284" s="288"/>
      <c r="DS284" s="288"/>
      <c r="DT284" s="288"/>
      <c r="DU284" s="288"/>
      <c r="DV284" s="288"/>
      <c r="DW284" s="288"/>
      <c r="DX284" s="288"/>
      <c r="DY284" s="288"/>
      <c r="DZ284" s="288"/>
      <c r="EA284" s="288"/>
      <c r="EB284" s="288"/>
      <c r="EC284" s="288"/>
      <c r="ED284" s="288"/>
      <c r="EE284" s="288"/>
      <c r="EF284" s="288"/>
      <c r="EG284" s="288"/>
      <c r="EH284" s="288"/>
      <c r="EI284" s="288"/>
      <c r="EJ284" s="288"/>
      <c r="EK284" s="288"/>
      <c r="EL284" s="288"/>
      <c r="EM284" s="288"/>
      <c r="EN284" s="288"/>
      <c r="EO284" s="288"/>
      <c r="EP284" s="288"/>
      <c r="EQ284" s="288"/>
      <c r="ER284" s="288"/>
      <c r="ES284" s="288"/>
      <c r="ET284" s="288"/>
      <c r="EU284" s="288"/>
      <c r="EV284" s="288"/>
      <c r="EW284" s="288"/>
      <c r="EX284" s="288"/>
      <c r="EY284" s="288"/>
      <c r="EZ284" s="288"/>
      <c r="FA284" s="288"/>
      <c r="FB284" s="288"/>
      <c r="FC284" s="288"/>
      <c r="FD284" s="288"/>
      <c r="FE284" s="288"/>
      <c r="FF284" s="288"/>
      <c r="FG284" s="288"/>
      <c r="FH284" s="288"/>
      <c r="FI284" s="288"/>
      <c r="FJ284" s="288"/>
      <c r="FK284" s="288"/>
      <c r="FL284" s="288"/>
      <c r="FM284" s="288"/>
      <c r="FN284" s="288"/>
      <c r="FO284" s="288"/>
      <c r="FP284" s="288"/>
      <c r="FQ284" s="288"/>
      <c r="FR284" s="288"/>
      <c r="FS284" s="288"/>
      <c r="FT284" s="288"/>
      <c r="FU284" s="288"/>
      <c r="FV284" s="288"/>
      <c r="FW284" s="289"/>
      <c r="FX284" s="1304"/>
      <c r="FY284" s="1304"/>
      <c r="FZ284" s="1306"/>
      <c r="GA284" s="1306"/>
      <c r="GB284" s="1306"/>
      <c r="GC284" s="1305"/>
      <c r="GD284" s="1305"/>
    </row>
    <row s="1834" customFormat="1" customHeight="1" ht="14.25">
      <c r="A285" s="493"/>
      <c r="B285" s="925">
        <f>AND(R281="одноставочный",NOT(S281))</f>
        <v>1</v>
      </c>
      <c r="C285" s="493"/>
      <c r="D285" s="493"/>
      <c r="E285" s="840">
        <v>15</v>
      </c>
      <c r="F285" s="50" cm="1" t="str">
        <f t="array" ref="F285:F285">OFFSET(E285,-1,1)</f>
        <v>4</v>
      </c>
      <c r="G285" s="493"/>
      <c r="H285" s="493"/>
      <c r="I285" s="493"/>
      <c r="J285" s="493"/>
      <c r="K285" s="493"/>
      <c r="L285" s="493"/>
      <c r="M285" s="493"/>
      <c r="N285" s="493"/>
      <c r="O285" s="493"/>
      <c r="P285" s="493"/>
      <c r="Q285" s="493"/>
      <c r="R285" s="493"/>
      <c r="S285" s="493"/>
      <c r="T285" s="465" cm="1" t="str">
        <f t="array" ref="T285:T285">T284</f>
        <v>true</v>
      </c>
      <c r="U285" s="493"/>
      <c r="V285" s="493"/>
      <c r="W285" s="493"/>
      <c r="X285" s="1596"/>
      <c r="Y285" s="493"/>
      <c r="Z285" s="1545"/>
      <c r="AA285" s="493"/>
      <c r="AB285" s="894" t="s">
        <v>2333</v>
      </c>
      <c r="AC285" s="895"/>
      <c r="AD285" s="896"/>
      <c r="AE285" s="896"/>
      <c r="AF285" s="896"/>
      <c r="AG285" s="896"/>
      <c r="AH285" s="896"/>
      <c r="AI285" s="896"/>
      <c r="AJ285" s="896"/>
      <c r="AK285" s="896"/>
      <c r="AL285" s="896"/>
      <c r="AM285" s="896"/>
      <c r="AN285" s="896"/>
      <c r="AO285" s="896"/>
      <c r="AP285" s="896"/>
      <c r="AQ285" s="896"/>
      <c r="AR285" s="896"/>
      <c r="AS285" s="896"/>
      <c r="AT285" s="896"/>
      <c r="AU285" s="896"/>
      <c r="AV285" s="896"/>
      <c r="AW285" s="896"/>
      <c r="AX285" s="896"/>
      <c r="AY285" s="896"/>
      <c r="AZ285" s="896"/>
      <c r="BA285" s="896"/>
      <c r="BB285" s="896"/>
      <c r="BC285" s="896"/>
      <c r="BD285" s="896"/>
      <c r="BE285" s="896"/>
      <c r="BF285" s="896"/>
      <c r="BG285" s="896"/>
      <c r="BH285" s="896"/>
      <c r="BI285" s="896"/>
      <c r="BJ285" s="907"/>
      <c r="BK285" s="896"/>
      <c r="BL285" s="896"/>
      <c r="BM285" s="907"/>
      <c r="BN285" s="896"/>
      <c r="BO285" s="896"/>
      <c r="BP285" s="907"/>
      <c r="BQ285" s="896"/>
      <c r="BR285" s="896"/>
      <c r="BS285" s="907"/>
      <c r="BT285" s="896"/>
      <c r="BU285" s="896"/>
      <c r="BV285" s="907"/>
      <c r="BW285" s="896"/>
      <c r="BX285" s="896"/>
      <c r="BY285" s="907"/>
      <c r="BZ285" s="896"/>
      <c r="CA285" s="896"/>
      <c r="CB285" s="907"/>
      <c r="CC285" s="896"/>
      <c r="CD285" s="896"/>
      <c r="CE285" s="907"/>
      <c r="CF285" s="896"/>
      <c r="CG285" s="896"/>
      <c r="CH285" s="907"/>
      <c r="CI285" s="896"/>
      <c r="CJ285" s="896"/>
      <c r="CK285" s="907"/>
      <c r="CL285" s="896"/>
      <c r="CM285" s="896"/>
      <c r="CN285" s="907"/>
      <c r="CO285" s="896"/>
      <c r="CP285" s="896"/>
      <c r="CQ285" s="907"/>
      <c r="CR285" s="896"/>
      <c r="CS285" s="896"/>
      <c r="CT285" s="907"/>
      <c r="CU285" s="896"/>
      <c r="CV285" s="896"/>
      <c r="CW285" s="907"/>
      <c r="CX285" s="896"/>
      <c r="CY285" s="896"/>
      <c r="CZ285" s="907"/>
      <c r="DA285" s="896"/>
      <c r="DB285" s="896"/>
      <c r="DC285" s="907"/>
      <c r="DD285" s="896"/>
      <c r="DE285" s="896"/>
      <c r="DF285" s="291"/>
      <c r="DG285" s="290"/>
      <c r="DH285" s="290"/>
      <c r="DI285" s="291"/>
      <c r="DJ285" s="290"/>
      <c r="DK285" s="290"/>
      <c r="DL285" s="291"/>
      <c r="DM285" s="290"/>
      <c r="DN285" s="290"/>
      <c r="DO285" s="291"/>
      <c r="DP285" s="290"/>
      <c r="DQ285" s="290"/>
      <c r="DR285" s="291"/>
      <c r="DS285" s="290"/>
      <c r="DT285" s="290"/>
      <c r="DU285" s="291"/>
      <c r="DV285" s="290"/>
      <c r="DW285" s="290"/>
      <c r="DX285" s="291"/>
      <c r="DY285" s="290"/>
      <c r="DZ285" s="290"/>
      <c r="EA285" s="291"/>
      <c r="EB285" s="290"/>
      <c r="EC285" s="290"/>
      <c r="ED285" s="291"/>
      <c r="EE285" s="290"/>
      <c r="EF285" s="290"/>
      <c r="EG285" s="291"/>
      <c r="EH285" s="290"/>
      <c r="EI285" s="290"/>
      <c r="EJ285" s="291"/>
      <c r="EK285" s="290"/>
      <c r="EL285" s="290"/>
      <c r="EM285" s="291"/>
      <c r="EN285" s="290"/>
      <c r="EO285" s="290"/>
      <c r="EP285" s="291"/>
      <c r="EQ285" s="290"/>
      <c r="ER285" s="290"/>
      <c r="ES285" s="291"/>
      <c r="ET285" s="290"/>
      <c r="EU285" s="290"/>
      <c r="EV285" s="291"/>
      <c r="EW285" s="290"/>
      <c r="EX285" s="290"/>
      <c r="EY285" s="291"/>
      <c r="EZ285" s="290"/>
      <c r="FA285" s="290"/>
      <c r="FB285" s="291"/>
      <c r="FC285" s="290"/>
      <c r="FD285" s="290"/>
      <c r="FE285" s="291"/>
      <c r="FF285" s="290"/>
      <c r="FG285" s="290"/>
      <c r="FH285" s="291"/>
      <c r="FI285" s="290"/>
      <c r="FJ285" s="290"/>
      <c r="FK285" s="291"/>
      <c r="FL285" s="290"/>
      <c r="FM285" s="290"/>
      <c r="FN285" s="291"/>
      <c r="FO285" s="290"/>
      <c r="FP285" s="290"/>
      <c r="FQ285" s="291"/>
      <c r="FR285" s="290"/>
      <c r="FS285" s="290"/>
      <c r="FT285" s="291"/>
      <c r="FU285" s="290"/>
      <c r="FV285" s="290"/>
      <c r="FW285" s="291"/>
      <c r="FX285" s="1304"/>
      <c r="FY285" s="1304"/>
      <c r="FZ285" s="1306"/>
      <c r="GA285" s="1306"/>
      <c r="GB285" s="1306"/>
      <c r="GC285" s="1305"/>
      <c r="GD285" s="1305"/>
    </row>
    <row s="6667" customFormat="1" customHeight="1" ht="23.25">
      <c r="A286" s="897"/>
      <c r="B286" s="925" cm="1" t="str">
        <f t="array" ref="B286:B286">B285</f>
        <v>true</v>
      </c>
      <c r="C286" s="897"/>
      <c r="D286" s="897"/>
      <c r="E286" s="898">
        <v>24.5</v>
      </c>
      <c r="F286" s="50" cm="1" t="str">
        <f t="array" ref="F286:F286">OFFSET(E286,-1,1)</f>
        <v>4</v>
      </c>
      <c r="G286" s="493" t="s">
        <v>2334</v>
      </c>
      <c r="H286" s="493" t="s">
        <v>1175</v>
      </c>
      <c r="I286" s="493" t="s">
        <v>2335</v>
      </c>
      <c r="J286" s="897"/>
      <c r="K286" s="897"/>
      <c r="L286" s="493"/>
      <c r="M286" s="897"/>
      <c r="N286" s="897"/>
      <c r="O286" s="897"/>
      <c r="P286" s="897"/>
      <c r="Q286" s="897"/>
      <c r="R286" s="897"/>
      <c r="S286" s="493"/>
      <c r="T286" s="465" cm="1" t="str">
        <f t="array" ref="T286:T286">T285</f>
        <v>true</v>
      </c>
      <c r="U286" s="897"/>
      <c r="V286" s="897"/>
      <c r="W286" s="897"/>
      <c r="X286" s="1596"/>
      <c r="Y286" s="897"/>
      <c r="Z286" s="1545"/>
      <c r="AA286" s="897"/>
      <c r="AB286" s="293" t="s">
        <v>2336</v>
      </c>
      <c r="AC286" s="294" t="s">
        <v>2337</v>
      </c>
      <c r="AD286" s="899">
        <f>IF(AND(method_reg="Метод индексации",god&lt;&gt;first_year),_xlfn.SUMIFS(INDEX('Калькуляция (МИ корр)'!$AJ$25:$BC$747,,MATCH(AD$8,'Калькуляция (МИ корр)'!$AJ$8:$BC$8,0)),'Калькуляция (МИ корр)'!$F$25:$F$747,$F286,'Калькуляция (МИ корр)'!$G$25:$G$747,$G286),IF(method_reg="Метод экономически обоснованных расходов",_xlfn.SUMIFS('Калькуляция (МЭОР)'!$AJ$25:$AJ$452,'Калькуляция (МЭОР)'!$F$25:$F$452,$F286,'Калькуляция (МЭОР)'!$G$25:$G$452,$G286),IF(method_reg="Метод сравнения аналогов",_xlfn.SUMIFS('Калькуляция (МСА)'!$AE$25:$AE$122,'Калькуляция (МСА)'!$F$25:$F$122,$F286,'Калькуляция (МСА)'!$G$25:$G$122,$G286),_xlfn.SUMIFS(INDEX('Калькуляция (МИ)'!$AJ$25:$BC$747,,MATCH(AD$8,'Калькуляция (МИ)'!$AJ$8:$BC$8,0)),'Калькуляция (МИ)'!$F$25:$F$747,$F286,'Калькуляция (МИ)'!$G$25:$G$747,$G286))))</f>
        <v>127.25</v>
      </c>
      <c r="AE286" s="899">
        <f>IF(AND(method_reg="Метод индексации",god&lt;&gt;first_year),_xlfn.SUMIFS(INDEX('Калькуляция (МИ корр)'!$AJ$25:$BC$747,,MATCH(AE$8,'Калькуляция (МИ корр)'!$AJ$8:$BC$8,0)),'Калькуляция (МИ корр)'!$F$25:$F$747,$F286,'Калькуляция (МИ корр)'!$G$25:$G$747,$G286),IF(method_reg="Метод экономически обоснованных расходов",_xlfn.SUMIFS('Калькуляция (МЭОР)'!$AK$25:$AK$452,'Калькуляция (МЭОР)'!$F$25:$F$452,$F286,'Калькуляция (МЭОР)'!$G$25:$G$452,$G286),IF(method_reg="Метод сравнения аналогов",_xlfn.SUMIFS('Калькуляция (МСА)'!$AF$25:$AF$122,'Калькуляция (МСА)'!$F$25:$F$122,$F286,'Калькуляция (МСА)'!$G$25:$G$122,$G286),_xlfn.SUMIFS(INDEX('Калькуляция (МИ)'!$AJ$25:$BC$747,,MATCH(AE$8,'Калькуляция (МИ)'!$AJ$8:$BC$8,0)),'Калькуляция (МИ)'!$F$25:$F$747,$F286,'Калькуляция (МИ)'!$G$25:$G$747,$G286))))</f>
        <v>127.25</v>
      </c>
      <c r="AF286" s="296">
        <f>IF(AD286=0,0,(AE286-AD286)/AD286*100)</f>
        <v>0</v>
      </c>
      <c r="AG286" s="899">
        <f>IF(AND(method_reg="Метод индексации",god&lt;&gt;first_year),_xlfn.SUMIFS(INDEX('Калькуляция (МИ корр)'!$AJ$25:$BC$747,,MATCH(AG$8,'Калькуляция (МИ корр)'!$AJ$8:$BC$8,0)),'Калькуляция (МИ корр)'!$F$25:$F$747,$F286,'Калькуляция (МИ корр)'!$G$25:$G$747,$G286),IF(method_reg="Метод экономически обоснованных расходов",_xlfn.SUMIFS('Калькуляция (МЭОР)'!$AJ$25:$AJ$452,'Калькуляция (МЭОР)'!$F$25:$F$452,$F286,'Калькуляция (МЭОР)'!$G$25:$G$452,$G286),IF(method_reg="Метод сравнения аналогов",_xlfn.SUMIFS('Калькуляция (МСА)'!$AE$25:$AE$122,'Калькуляция (МСА)'!$F$25:$F$122,$F286,'Калькуляция (МСА)'!$G$25:$G$122,$G286),_xlfn.SUMIFS(INDEX('Калькуляция (МИ)'!$AJ$25:$BC$747,,MATCH(AG$8,'Калькуляция (МИ)'!$AJ$8:$BC$8,0)),'Калькуляция (МИ)'!$F$25:$F$747,$F286,'Калькуляция (МИ)'!$G$25:$G$747,$G286))))</f>
        <v>133.61</v>
      </c>
      <c r="AH286" s="899">
        <f>IF(AND(method_reg="Метод индексации",god&lt;&gt;first_year),_xlfn.SUMIFS(INDEX('Калькуляция (МИ корр)'!$AJ$25:$BC$747,,MATCH(AH$8,'Калькуляция (МИ корр)'!$AJ$8:$BC$8,0)),'Калькуляция (МИ корр)'!$F$25:$F$747,$F286,'Калькуляция (МИ корр)'!$G$25:$G$747,$G286),IF(method_reg="Метод экономически обоснованных расходов",_xlfn.SUMIFS('Калькуляция (МЭОР)'!$AK$25:$AK$452,'Калькуляция (МЭОР)'!$F$25:$F$452,$F286,'Калькуляция (МЭОР)'!$G$25:$G$452,$G286),IF(method_reg="Метод сравнения аналогов",_xlfn.SUMIFS('Калькуляция (МСА)'!$AF$25:$AF$122,'Калькуляция (МСА)'!$F$25:$F$122,$F286,'Калькуляция (МСА)'!$G$25:$G$122,$G286),_xlfn.SUMIFS(INDEX('Калькуляция (МИ)'!$AJ$25:$BC$747,,MATCH(AH$8,'Калькуляция (МИ)'!$AJ$8:$BC$8,0)),'Калькуляция (МИ)'!$F$25:$F$747,$F286,'Калькуляция (МИ)'!$G$25:$G$747,$G286))))</f>
        <v>133.609999656924</v>
      </c>
      <c r="AI286" s="296">
        <f>IF(AG286=0,0,(AH286-AG286)/AG286*100)</f>
        <v>-2.56774201232988e-7</v>
      </c>
      <c r="AJ286" s="899">
        <f>IF(AND(method_reg="Метод индексации",god&lt;&gt;first_year),_xlfn.SUMIFS(INDEX('Калькуляция (МИ корр)'!$AJ$25:$BC$747,,MATCH(AJ$8,'Калькуляция (МИ корр)'!$AJ$8:$BC$8,0)),'Калькуляция (МИ корр)'!$F$25:$F$747,$F286,'Калькуляция (МИ корр)'!$G$25:$G$747,$G286),IF(method_reg="Метод экономически обоснованных расходов",_xlfn.SUMIFS('Калькуляция (МЭОР)'!$AJ$25:$AJ$452,'Калькуляция (МЭОР)'!$F$25:$F$452,$F286,'Калькуляция (МЭОР)'!$G$25:$G$452,$G286),IF(method_reg="Метод сравнения аналогов",_xlfn.SUMIFS('Калькуляция (МСА)'!$AE$25:$AE$122,'Калькуляция (МСА)'!$F$25:$F$122,$F286,'Калькуляция (МСА)'!$G$25:$G$122,$G286),_xlfn.SUMIFS(INDEX('Калькуляция (МИ)'!$AJ$25:$BC$747,,MATCH(AJ$8,'Калькуляция (МИ)'!$AJ$8:$BC$8,0)),'Калькуляция (МИ)'!$F$25:$F$747,$F286,'Калькуляция (МИ)'!$G$25:$G$747,$G286))))</f>
        <v>138</v>
      </c>
      <c r="AK286" s="899">
        <f>IF(AND(method_reg="Метод индексации",god&lt;&gt;first_year),_xlfn.SUMIFS(INDEX('Калькуляция (МИ корр)'!$AJ$25:$BC$747,,MATCH(AK$8,'Калькуляция (МИ корр)'!$AJ$8:$BC$8,0)),'Калькуляция (МИ корр)'!$F$25:$F$747,$F286,'Калькуляция (МИ корр)'!$G$25:$G$747,$G286),IF(method_reg="Метод экономически обоснованных расходов",_xlfn.SUMIFS('Калькуляция (МЭОР)'!$AK$25:$AK$452,'Калькуляция (МЭОР)'!$F$25:$F$452,$F286,'Калькуляция (МЭОР)'!$G$25:$G$452,$G286),IF(method_reg="Метод сравнения аналогов",_xlfn.SUMIFS('Калькуляция (МСА)'!$AF$25:$AF$122,'Калькуляция (МСА)'!$F$25:$F$122,$F286,'Калькуляция (МСА)'!$G$25:$G$122,$G286),_xlfn.SUMIFS(INDEX('Калькуляция (МИ)'!$AJ$25:$BC$747,,MATCH(AK$8,'Калькуляция (МИ)'!$AJ$8:$BC$8,0)),'Калькуляция (МИ)'!$F$25:$F$747,$F286,'Калькуляция (МИ)'!$G$25:$G$747,$G286))))</f>
        <v>137.999997362767</v>
      </c>
      <c r="AL286" s="296">
        <f>IF(AJ286=0,0,(AK286-AJ286)/AJ286*100)</f>
        <v>-0.00000191103840256472</v>
      </c>
      <c r="AM286" s="899">
        <f>IF(AND(method_reg="Метод индексации",god&lt;&gt;first_year),_xlfn.SUMIFS(INDEX('Калькуляция (МИ корр)'!$AJ$25:$BC$747,,MATCH(AM$8,'Калькуляция (МИ корр)'!$AJ$8:$BC$8,0)),'Калькуляция (МИ корр)'!$F$25:$F$747,$F286,'Калькуляция (МИ корр)'!$G$25:$G$747,$G286),IF(method_reg="Метод экономически обоснованных расходов",_xlfn.SUMIFS('Калькуляция (МЭОР)'!$AJ$25:$AJ$452,'Калькуляция (МЭОР)'!$F$25:$F$452,$F286,'Калькуляция (МЭОР)'!$G$25:$G$452,$G286),IF(method_reg="Метод сравнения аналогов",_xlfn.SUMIFS('Калькуляция (МСА)'!$AE$25:$AE$122,'Калькуляция (МСА)'!$F$25:$F$122,$F286,'Калькуляция (МСА)'!$G$25:$G$122,$G286),_xlfn.SUMIFS(INDEX('Калькуляция (МИ)'!$AJ$25:$BC$747,,MATCH(AM$8,'Калькуляция (МИ)'!$AJ$8:$BC$8,0)),'Калькуляция (МИ)'!$F$25:$F$747,$F286,'Калькуляция (МИ)'!$G$25:$G$747,$G286))))</f>
        <v>140.5</v>
      </c>
      <c r="AN286" s="899">
        <f>IF(AND(method_reg="Метод индексации",god&lt;&gt;first_year),_xlfn.SUMIFS(INDEX('Калькуляция (МИ корр)'!$AJ$25:$BC$747,,MATCH(AN$8,'Калькуляция (МИ корр)'!$AJ$8:$BC$8,0)),'Калькуляция (МИ корр)'!$F$25:$F$747,$F286,'Калькуляция (МИ корр)'!$G$25:$G$747,$G286),IF(method_reg="Метод экономически обоснованных расходов",_xlfn.SUMIFS('Калькуляция (МЭОР)'!$AK$25:$AK$452,'Калькуляция (МЭОР)'!$F$25:$F$452,$F286,'Калькуляция (МЭОР)'!$G$25:$G$452,$G286),IF(method_reg="Метод сравнения аналогов",_xlfn.SUMIFS('Калькуляция (МСА)'!$AF$25:$AF$122,'Калькуляция (МСА)'!$F$25:$F$122,$F286,'Калькуляция (МСА)'!$G$25:$G$122,$G286),_xlfn.SUMIFS(INDEX('Калькуляция (МИ)'!$AJ$25:$BC$747,,MATCH(AN$8,'Калькуляция (МИ)'!$AJ$8:$BC$8,0)),'Калькуляция (МИ)'!$F$25:$F$747,$F286,'Калькуляция (МИ)'!$G$25:$G$747,$G286))))</f>
        <v>140.500002614866</v>
      </c>
      <c r="AO286" s="296">
        <f>IF(AM286=0,0,(AN286-AM286)/AM286*100)</f>
        <v>0.00000186111458454845</v>
      </c>
      <c r="AP286" s="899">
        <f>IF(AND(method_reg="Метод индексации",god&lt;&gt;first_year),_xlfn.SUMIFS(INDEX('Калькуляция (МИ корр)'!$AJ$25:$BC$747,,MATCH(AP$8,'Калькуляция (МИ корр)'!$AJ$8:$BC$8,0)),'Калькуляция (МИ корр)'!$F$25:$F$747,$F286,'Калькуляция (МИ корр)'!$G$25:$G$747,$G286),IF(method_reg="Метод экономически обоснованных расходов",_xlfn.SUMIFS('Калькуляция (МЭОР)'!$AJ$25:$AJ$452,'Калькуляция (МЭОР)'!$F$25:$F$452,$F286,'Калькуляция (МЭОР)'!$G$25:$G$452,$G286),IF(method_reg="Метод сравнения аналогов",_xlfn.SUMIFS('Калькуляция (МСА)'!$AE$25:$AE$122,'Калькуляция (МСА)'!$F$25:$F$122,$F286,'Калькуляция (МСА)'!$G$25:$G$122,$G286),_xlfn.SUMIFS(INDEX('Калькуляция (МИ)'!$AJ$25:$BC$747,,MATCH(AP$8,'Калькуляция (МИ)'!$AJ$8:$BC$8,0)),'Калькуляция (МИ)'!$F$25:$F$747,$F286,'Калькуляция (МИ)'!$G$25:$G$747,$G286))))</f>
        <v>144.32</v>
      </c>
      <c r="AQ286" s="899">
        <f>IF(AND(method_reg="Метод индексации",god&lt;&gt;first_year),_xlfn.SUMIFS(INDEX('Калькуляция (МИ корр)'!$AJ$25:$BC$747,,MATCH(AQ$8,'Калькуляция (МИ корр)'!$AJ$8:$BC$8,0)),'Калькуляция (МИ корр)'!$F$25:$F$747,$F286,'Калькуляция (МИ корр)'!$G$25:$G$747,$G286),IF(method_reg="Метод экономически обоснованных расходов",_xlfn.SUMIFS('Калькуляция (МЭОР)'!$AK$25:$AK$452,'Калькуляция (МЭОР)'!$F$25:$F$452,$F286,'Калькуляция (МЭОР)'!$G$25:$G$452,$G286),IF(method_reg="Метод сравнения аналогов",_xlfn.SUMIFS('Калькуляция (МСА)'!$AF$25:$AF$122,'Калькуляция (МСА)'!$F$25:$F$122,$F286,'Калькуляция (МСА)'!$G$25:$G$122,$G286),_xlfn.SUMIFS(INDEX('Калькуляция (МИ)'!$AJ$25:$BC$747,,MATCH(AQ$8,'Калькуляция (МИ)'!$AJ$8:$BC$8,0)),'Калькуляция (МИ)'!$F$25:$F$747,$F286,'Калькуляция (МИ)'!$G$25:$G$747,$G286))))</f>
        <v>144.319997370917</v>
      </c>
      <c r="AR286" s="296">
        <f>IF(AP286=0,0,(AQ286-AP286)/AP286*100)</f>
        <v>-0.00000182170384222215</v>
      </c>
      <c r="AS286" s="5239">
        <f>IF(AND(method_reg="Метод индексации",god&lt;&gt;first_year),_xlfn.SUMIFS(INDEX('Калькуляция (МИ корр)'!$AJ$25:$BC$747,,MATCH(AS$8,'Калькуляция (МИ корр)'!$AJ$8:$BC$8,0)),'Калькуляция (МИ корр)'!$F$25:$F$747,$F286,'Калькуляция (МИ корр)'!$G$25:$G$747,$G286),IF(method_reg="Метод экономически обоснованных расходов",_xlfn.SUMIFS('Калькуляция (МЭОР)'!$AJ$25:$AJ$452,'Калькуляция (МЭОР)'!$F$25:$F$452,$F286,'Калькуляция (МЭОР)'!$G$25:$G$452,$G286),IF(method_reg="Метод сравнения аналогов",_xlfn.SUMIFS('Калькуляция (МСА)'!$AE$25:$AE$122,'Калькуляция (МСА)'!$F$25:$F$122,$F286,'Калькуляция (МСА)'!$G$25:$G$122,$G286),_xlfn.SUMIFS(INDEX('Калькуляция (МИ)'!$AJ$25:$BC$747,,MATCH(AS$8,'Калькуляция (МИ)'!$AJ$8:$BC$8,0)),'Калькуляция (МИ)'!$F$25:$F$747,$F286,'Калькуляция (МИ)'!$G$25:$G$747,$G286))))</f>
        <v>0</v>
      </c>
      <c r="AT286" s="5239">
        <f>IF(AND(method_reg="Метод индексации",god&lt;&gt;first_year),_xlfn.SUMIFS(INDEX('Калькуляция (МИ корр)'!$AJ$25:$BC$747,,MATCH(AT$8,'Калькуляция (МИ корр)'!$AJ$8:$BC$8,0)),'Калькуляция (МИ корр)'!$F$25:$F$747,$F286,'Калькуляция (МИ корр)'!$G$25:$G$747,$G286),IF(method_reg="Метод экономически обоснованных расходов",_xlfn.SUMIFS('Калькуляция (МЭОР)'!$AK$25:$AK$452,'Калькуляция (МЭОР)'!$F$25:$F$452,$F286,'Калькуляция (МЭОР)'!$G$25:$G$452,$G286),IF(method_reg="Метод сравнения аналогов",_xlfn.SUMIFS('Калькуляция (МСА)'!$AF$25:$AF$122,'Калькуляция (МСА)'!$F$25:$F$122,$F286,'Калькуляция (МСА)'!$G$25:$G$122,$G286),_xlfn.SUMIFS(INDEX('Калькуляция (МИ)'!$AJ$25:$BC$747,,MATCH(AT$8,'Калькуляция (МИ)'!$AJ$8:$BC$8,0)),'Калькуляция (МИ)'!$F$25:$F$747,$F286,'Калькуляция (МИ)'!$G$25:$G$747,$G286))))</f>
        <v>150.911543287088</v>
      </c>
      <c r="AU286" s="296">
        <f>IF(AS286=0,0,(AT286-AS286)/AS286*100)</f>
        <v>0</v>
      </c>
      <c r="AV286" s="5239">
        <f>IF(AND(method_reg="Метод индексации",god&lt;&gt;first_year),_xlfn.SUMIFS(INDEX('Калькуляция (МИ корр)'!$AJ$25:$BC$747,,MATCH(AV$8,'Калькуляция (МИ корр)'!$AJ$8:$BC$8,0)),'Калькуляция (МИ корр)'!$F$25:$F$747,$F286,'Калькуляция (МИ корр)'!$G$25:$G$747,$G286),IF(method_reg="Метод экономически обоснованных расходов",_xlfn.SUMIFS('Калькуляция (МЭОР)'!$AJ$25:$AJ$452,'Калькуляция (МЭОР)'!$F$25:$F$452,$F286,'Калькуляция (МЭОР)'!$G$25:$G$452,$G286),IF(method_reg="Метод сравнения аналогов",_xlfn.SUMIFS('Калькуляция (МСА)'!$AE$25:$AE$122,'Калькуляция (МСА)'!$F$25:$F$122,$F286,'Калькуляция (МСА)'!$G$25:$G$122,$G286),_xlfn.SUMIFS(INDEX('Калькуляция (МИ)'!$AJ$25:$BC$747,,MATCH(AV$8,'Калькуляция (МИ)'!$AJ$8:$BC$8,0)),'Калькуляция (МИ)'!$F$25:$F$747,$F286,'Калькуляция (МИ)'!$G$25:$G$747,$G286))))</f>
        <v>0</v>
      </c>
      <c r="AW286" s="5239">
        <f>IF(AND(method_reg="Метод индексации",god&lt;&gt;first_year),_xlfn.SUMIFS(INDEX('Калькуляция (МИ корр)'!$AJ$25:$BC$747,,MATCH(AW$8,'Калькуляция (МИ корр)'!$AJ$8:$BC$8,0)),'Калькуляция (МИ корр)'!$F$25:$F$747,$F286,'Калькуляция (МИ корр)'!$G$25:$G$747,$G286),IF(method_reg="Метод экономически обоснованных расходов",_xlfn.SUMIFS('Калькуляция (МЭОР)'!$AK$25:$AK$452,'Калькуляция (МЭОР)'!$F$25:$F$452,$F286,'Калькуляция (МЭОР)'!$G$25:$G$452,$G286),IF(method_reg="Метод сравнения аналогов",_xlfn.SUMIFS('Калькуляция (МСА)'!$AF$25:$AF$122,'Калькуляция (МСА)'!$F$25:$F$122,$F286,'Калькуляция (МСА)'!$G$25:$G$122,$G286),_xlfn.SUMIFS(INDEX('Калькуляция (МИ)'!$AJ$25:$BC$747,,MATCH(AW$8,'Калькуляция (МИ)'!$AJ$8:$BC$8,0)),'Калькуляция (МИ)'!$F$25:$F$747,$F286,'Калькуляция (МИ)'!$G$25:$G$747,$G286))))</f>
        <v>0</v>
      </c>
      <c r="AX286" s="296">
        <f>IF(AV286=0,0,(AW286-AV286)/AV286*100)</f>
        <v>0</v>
      </c>
      <c r="AY286" s="5239">
        <f>IF(AND(method_reg="Метод индексации",god&lt;&gt;first_year),_xlfn.SUMIFS(INDEX('Калькуляция (МИ корр)'!$AJ$25:$BC$747,,MATCH(AY$8,'Калькуляция (МИ корр)'!$AJ$8:$BC$8,0)),'Калькуляция (МИ корр)'!$F$25:$F$747,$F286,'Калькуляция (МИ корр)'!$G$25:$G$747,$G286),IF(method_reg="Метод экономически обоснованных расходов",_xlfn.SUMIFS('Калькуляция (МЭОР)'!$AJ$25:$AJ$452,'Калькуляция (МЭОР)'!$F$25:$F$452,$F286,'Калькуляция (МЭОР)'!$G$25:$G$452,$G286),IF(method_reg="Метод сравнения аналогов",_xlfn.SUMIFS('Калькуляция (МСА)'!$AE$25:$AE$122,'Калькуляция (МСА)'!$F$25:$F$122,$F286,'Калькуляция (МСА)'!$G$25:$G$122,$G286),_xlfn.SUMIFS(INDEX('Калькуляция (МИ)'!$AJ$25:$BC$747,,MATCH(AY$8,'Калькуляция (МИ)'!$AJ$8:$BC$8,0)),'Калькуляция (МИ)'!$F$25:$F$747,$F286,'Калькуляция (МИ)'!$G$25:$G$747,$G286))))</f>
        <v>0</v>
      </c>
      <c r="AZ286" s="5239">
        <f>IF(AND(method_reg="Метод индексации",god&lt;&gt;first_year),_xlfn.SUMIFS(INDEX('Калькуляция (МИ корр)'!$AJ$25:$BC$747,,MATCH(AZ$8,'Калькуляция (МИ корр)'!$AJ$8:$BC$8,0)),'Калькуляция (МИ корр)'!$F$25:$F$747,$F286,'Калькуляция (МИ корр)'!$G$25:$G$747,$G286),IF(method_reg="Метод экономически обоснованных расходов",_xlfn.SUMIFS('Калькуляция (МЭОР)'!$AK$25:$AK$452,'Калькуляция (МЭОР)'!$F$25:$F$452,$F286,'Калькуляция (МЭОР)'!$G$25:$G$452,$G286),IF(method_reg="Метод сравнения аналогов",_xlfn.SUMIFS('Калькуляция (МСА)'!$AF$25:$AF$122,'Калькуляция (МСА)'!$F$25:$F$122,$F286,'Калькуляция (МСА)'!$G$25:$G$122,$G286),_xlfn.SUMIFS(INDEX('Калькуляция (МИ)'!$AJ$25:$BC$747,,MATCH(AZ$8,'Калькуляция (МИ)'!$AJ$8:$BC$8,0)),'Калькуляция (МИ)'!$F$25:$F$747,$F286,'Калькуляция (МИ)'!$G$25:$G$747,$G286))))</f>
        <v>0</v>
      </c>
      <c r="BA286" s="296">
        <f>IF(AY286=0,0,(AZ286-AY286)/AY286*100)</f>
        <v>0</v>
      </c>
      <c r="BB286" s="5239">
        <f>IF(AND(method_reg="Метод индексации",god&lt;&gt;first_year),_xlfn.SUMIFS(INDEX('Калькуляция (МИ корр)'!$AJ$25:$BC$747,,MATCH(BB$8,'Калькуляция (МИ корр)'!$AJ$8:$BC$8,0)),'Калькуляция (МИ корр)'!$F$25:$F$747,$F286,'Калькуляция (МИ корр)'!$G$25:$G$747,$G286),IF(method_reg="Метод экономически обоснованных расходов",_xlfn.SUMIFS('Калькуляция (МЭОР)'!$AJ$25:$AJ$452,'Калькуляция (МЭОР)'!$F$25:$F$452,$F286,'Калькуляция (МЭОР)'!$G$25:$G$452,$G286),IF(method_reg="Метод сравнения аналогов",_xlfn.SUMIFS('Калькуляция (МСА)'!$AE$25:$AE$122,'Калькуляция (МСА)'!$F$25:$F$122,$F286,'Калькуляция (МСА)'!$G$25:$G$122,$G286),_xlfn.SUMIFS(INDEX('Калькуляция (МИ)'!$AJ$25:$BC$747,,MATCH(BB$8,'Калькуляция (МИ)'!$AJ$8:$BC$8,0)),'Калькуляция (МИ)'!$F$25:$F$747,$F286,'Калькуляция (МИ)'!$G$25:$G$747,$G286))))</f>
        <v>0</v>
      </c>
      <c r="BC286" s="5239">
        <f>IF(AND(method_reg="Метод индексации",god&lt;&gt;first_year),_xlfn.SUMIFS(INDEX('Калькуляция (МИ корр)'!$AJ$25:$BC$747,,MATCH(BC$8,'Калькуляция (МИ корр)'!$AJ$8:$BC$8,0)),'Калькуляция (МИ корр)'!$F$25:$F$747,$F286,'Калькуляция (МИ корр)'!$G$25:$G$747,$G286),IF(method_reg="Метод экономически обоснованных расходов",_xlfn.SUMIFS('Калькуляция (МЭОР)'!$AK$25:$AK$452,'Калькуляция (МЭОР)'!$F$25:$F$452,$F286,'Калькуляция (МЭОР)'!$G$25:$G$452,$G286),IF(method_reg="Метод сравнения аналогов",_xlfn.SUMIFS('Калькуляция (МСА)'!$AF$25:$AF$122,'Калькуляция (МСА)'!$F$25:$F$122,$F286,'Калькуляция (МСА)'!$G$25:$G$122,$G286),_xlfn.SUMIFS(INDEX('Калькуляция (МИ)'!$AJ$25:$BC$747,,MATCH(BC$8,'Калькуляция (МИ)'!$AJ$8:$BC$8,0)),'Калькуляция (МИ)'!$F$25:$F$747,$F286,'Калькуляция (МИ)'!$G$25:$G$747,$G286))))</f>
        <v>0</v>
      </c>
      <c r="BD286" s="296">
        <f>IF(BB286=0,0,(BC286-BB286)/BB286*100)</f>
        <v>0</v>
      </c>
      <c r="BE286" s="5239">
        <f>IF(AND(method_reg="Метод индексации",god&lt;&gt;first_year),_xlfn.SUMIFS(INDEX('Калькуляция (МИ корр)'!$AJ$25:$BC$747,,MATCH(BE$8,'Калькуляция (МИ корр)'!$AJ$8:$BC$8,0)),'Калькуляция (МИ корр)'!$F$25:$F$747,$F286,'Калькуляция (МИ корр)'!$G$25:$G$747,$G286),IF(method_reg="Метод экономически обоснованных расходов",_xlfn.SUMIFS('Калькуляция (МЭОР)'!$AJ$25:$AJ$452,'Калькуляция (МЭОР)'!$F$25:$F$452,$F286,'Калькуляция (МЭОР)'!$G$25:$G$452,$G286),IF(method_reg="Метод сравнения аналогов",_xlfn.SUMIFS('Калькуляция (МСА)'!$AE$25:$AE$122,'Калькуляция (МСА)'!$F$25:$F$122,$F286,'Калькуляция (МСА)'!$G$25:$G$122,$G286),_xlfn.SUMIFS(INDEX('Калькуляция (МИ)'!$AJ$25:$BC$747,,MATCH(BE$8,'Калькуляция (МИ)'!$AJ$8:$BC$8,0)),'Калькуляция (МИ)'!$F$25:$F$747,$F286,'Калькуляция (МИ)'!$G$25:$G$747,$G286))))</f>
        <v>0</v>
      </c>
      <c r="BF286" s="5239">
        <f>IF(AND(method_reg="Метод индексации",god&lt;&gt;first_year),_xlfn.SUMIFS(INDEX('Калькуляция (МИ корр)'!$AJ$25:$BC$747,,MATCH(BF$8,'Калькуляция (МИ корр)'!$AJ$8:$BC$8,0)),'Калькуляция (МИ корр)'!$F$25:$F$747,$F286,'Калькуляция (МИ корр)'!$G$25:$G$747,$G286),IF(method_reg="Метод экономически обоснованных расходов",_xlfn.SUMIFS('Калькуляция (МЭОР)'!$AK$25:$AK$452,'Калькуляция (МЭОР)'!$F$25:$F$452,$F286,'Калькуляция (МЭОР)'!$G$25:$G$452,$G286),IF(method_reg="Метод сравнения аналогов",_xlfn.SUMIFS('Калькуляция (МСА)'!$AF$25:$AF$122,'Калькуляция (МСА)'!$F$25:$F$122,$F286,'Калькуляция (МСА)'!$G$25:$G$122,$G286),_xlfn.SUMIFS(INDEX('Калькуляция (МИ)'!$AJ$25:$BC$747,,MATCH(BF$8,'Калькуляция (МИ)'!$AJ$8:$BC$8,0)),'Калькуляция (МИ)'!$F$25:$F$747,$F286,'Калькуляция (МИ)'!$G$25:$G$747,$G286))))</f>
        <v>0</v>
      </c>
      <c r="BG286" s="296">
        <f>IF(BE286=0,0,(BF286-BE286)/BE286*100)</f>
        <v>0</v>
      </c>
      <c r="BH286" s="5239"/>
      <c r="BI286" s="5239"/>
      <c r="BJ286" s="296">
        <f>IF(BH286=0,0,(BI286-BH286)/BH286*100)</f>
        <v>0</v>
      </c>
      <c r="BK286" s="5239"/>
      <c r="BL286" s="5239"/>
      <c r="BM286" s="296">
        <f>IF(BK286=0,0,(BL286-BK286)/BK286*100)</f>
        <v>0</v>
      </c>
      <c r="BN286" s="5239"/>
      <c r="BO286" s="5239"/>
      <c r="BP286" s="296">
        <f>IF(BN286=0,0,(BO286-BN286)/BN286*100)</f>
        <v>0</v>
      </c>
      <c r="BQ286" s="5239"/>
      <c r="BR286" s="5239"/>
      <c r="BS286" s="296">
        <f>IF(BQ286=0,0,(BR286-BQ286)/BQ286*100)</f>
        <v>0</v>
      </c>
      <c r="BT286" s="5239"/>
      <c r="BU286" s="5239"/>
      <c r="BV286" s="296">
        <f>IF(BT286=0,0,(BU286-BT286)/BT286*100)</f>
        <v>0</v>
      </c>
      <c r="BW286" s="5239"/>
      <c r="BX286" s="5239"/>
      <c r="BY286" s="296">
        <f>IF(BW286=0,0,(BX286-BW286)/BW286*100)</f>
        <v>0</v>
      </c>
      <c r="BZ286" s="5239"/>
      <c r="CA286" s="5239"/>
      <c r="CB286" s="296">
        <f>IF(BZ286=0,0,(CA286-BZ286)/BZ286*100)</f>
        <v>0</v>
      </c>
      <c r="CC286" s="5239"/>
      <c r="CD286" s="5239"/>
      <c r="CE286" s="296">
        <f>IF(CC286=0,0,(CD286-CC286)/CC286*100)</f>
        <v>0</v>
      </c>
      <c r="CF286" s="5239"/>
      <c r="CG286" s="5239"/>
      <c r="CH286" s="296">
        <f>IF(CF286=0,0,(CG286-CF286)/CF286*100)</f>
        <v>0</v>
      </c>
      <c r="CI286" s="5239"/>
      <c r="CJ286" s="5239"/>
      <c r="CK286" s="296">
        <f>IF(CI286=0,0,(CJ286-CI286)/CI286*100)</f>
        <v>0</v>
      </c>
      <c r="CL286" s="5239"/>
      <c r="CM286" s="5239"/>
      <c r="CN286" s="296">
        <f>IF(CL286=0,0,(CM286-CL286)/CL286*100)</f>
        <v>0</v>
      </c>
      <c r="CO286" s="5239"/>
      <c r="CP286" s="5239"/>
      <c r="CQ286" s="296">
        <f>IF(CO286=0,0,(CP286-CO286)/CO286*100)</f>
        <v>0</v>
      </c>
      <c r="CR286" s="5239"/>
      <c r="CS286" s="5239"/>
      <c r="CT286" s="296">
        <f>IF(CR286=0,0,(CS286-CR286)/CR286*100)</f>
        <v>0</v>
      </c>
      <c r="CU286" s="5239"/>
      <c r="CV286" s="5239"/>
      <c r="CW286" s="296">
        <f>IF(CU286=0,0,(CV286-CU286)/CU286*100)</f>
        <v>0</v>
      </c>
      <c r="CX286" s="5239"/>
      <c r="CY286" s="5239"/>
      <c r="CZ286" s="296">
        <f>IF(CX286=0,0,(CY286-CX286)/CX286*100)</f>
        <v>0</v>
      </c>
      <c r="DA286" s="5239"/>
      <c r="DB286" s="5239"/>
      <c r="DC286" s="296">
        <f>IF(DA286=0,0,(DB286-DA286)/DA286*100)</f>
        <v>0</v>
      </c>
      <c r="DD286" s="5239"/>
      <c r="DE286" s="5239"/>
      <c r="DF286" s="296">
        <f>IF(DD286=0,0,(DE286-DD286)/DD286*100)</f>
        <v>0</v>
      </c>
      <c r="DG286" s="5241"/>
      <c r="DH286" s="5241"/>
      <c r="DI286" s="296">
        <f>IF(DG286=0,0,(DH286-DG286)/DG286*100)</f>
        <v>0</v>
      </c>
      <c r="DJ286" s="5241"/>
      <c r="DK286" s="5241"/>
      <c r="DL286" s="296">
        <f>IF(DJ286=0,0,(DK286-DJ286)/DJ286*100)</f>
        <v>0</v>
      </c>
      <c r="DM286" s="5241"/>
      <c r="DN286" s="5241"/>
      <c r="DO286" s="296">
        <f>IF(DM286=0,0,(DN286-DM286)/DM286*100)</f>
        <v>0</v>
      </c>
      <c r="DP286" s="5241"/>
      <c r="DQ286" s="5241"/>
      <c r="DR286" s="296">
        <f>IF(DP286=0,0,(DQ286-DP286)/DP286*100)</f>
        <v>0</v>
      </c>
      <c r="DS286" s="5241"/>
      <c r="DT286" s="5241"/>
      <c r="DU286" s="296">
        <f>IF(DS286=0,0,(DT286-DS286)/DS286*100)</f>
        <v>0</v>
      </c>
      <c r="DV286" s="5241"/>
      <c r="DW286" s="5241"/>
      <c r="DX286" s="296">
        <f>IF(DV286=0,0,(DW286-DV286)/DV286*100)</f>
        <v>0</v>
      </c>
      <c r="DY286" s="5241"/>
      <c r="DZ286" s="5241"/>
      <c r="EA286" s="296">
        <f>IF(DY286=0,0,(DZ286-DY286)/DY286*100)</f>
        <v>0</v>
      </c>
      <c r="EB286" s="5241"/>
      <c r="EC286" s="5241"/>
      <c r="ED286" s="296">
        <f>IF(EB286=0,0,(EC286-EB286)/EB286*100)</f>
        <v>0</v>
      </c>
      <c r="EE286" s="5241"/>
      <c r="EF286" s="5241"/>
      <c r="EG286" s="296">
        <f>IF(EE286=0,0,(EF286-EE286)/EE286*100)</f>
        <v>0</v>
      </c>
      <c r="EH286" s="5241"/>
      <c r="EI286" s="5241"/>
      <c r="EJ286" s="296">
        <f>IF(EH286=0,0,(EI286-EH286)/EH286*100)</f>
        <v>0</v>
      </c>
      <c r="EK286" s="5241"/>
      <c r="EL286" s="5241"/>
      <c r="EM286" s="296">
        <f>IF(EK286=0,0,(EL286-EK286)/EK286*100)</f>
        <v>0</v>
      </c>
      <c r="EN286" s="5241"/>
      <c r="EO286" s="5241"/>
      <c r="EP286" s="296">
        <f>IF(EN286=0,0,(EO286-EN286)/EN286*100)</f>
        <v>0</v>
      </c>
      <c r="EQ286" s="5241"/>
      <c r="ER286" s="5241"/>
      <c r="ES286" s="296">
        <f>IF(EQ286=0,0,(ER286-EQ286)/EQ286*100)</f>
        <v>0</v>
      </c>
      <c r="ET286" s="5241"/>
      <c r="EU286" s="5241"/>
      <c r="EV286" s="296">
        <f>IF(ET286=0,0,(EU286-ET286)/ET286*100)</f>
        <v>0</v>
      </c>
      <c r="EW286" s="5241"/>
      <c r="EX286" s="5241"/>
      <c r="EY286" s="296">
        <f>IF(EW286=0,0,(EX286-EW286)/EW286*100)</f>
        <v>0</v>
      </c>
      <c r="EZ286" s="5241"/>
      <c r="FA286" s="5241"/>
      <c r="FB286" s="296">
        <f>IF(EZ286=0,0,(FA286-EZ286)/EZ286*100)</f>
        <v>0</v>
      </c>
      <c r="FC286" s="5241"/>
      <c r="FD286" s="5241"/>
      <c r="FE286" s="296">
        <f>IF(FC286=0,0,(FD286-FC286)/FC286*100)</f>
        <v>0</v>
      </c>
      <c r="FF286" s="5241"/>
      <c r="FG286" s="5241"/>
      <c r="FH286" s="296">
        <f>IF(FF286=0,0,(FG286-FF286)/FF286*100)</f>
        <v>0</v>
      </c>
      <c r="FI286" s="5241"/>
      <c r="FJ286" s="5241"/>
      <c r="FK286" s="296">
        <f>IF(FI286=0,0,(FJ286-FI286)/FI286*100)</f>
        <v>0</v>
      </c>
      <c r="FL286" s="5241"/>
      <c r="FM286" s="5241"/>
      <c r="FN286" s="296">
        <f>IF(FL286=0,0,(FM286-FL286)/FL286*100)</f>
        <v>0</v>
      </c>
      <c r="FO286" s="5241"/>
      <c r="FP286" s="5241"/>
      <c r="FQ286" s="296">
        <f>IF(FO286=0,0,(FP286-FO286)/FO286*100)</f>
        <v>0</v>
      </c>
      <c r="FR286" s="5241"/>
      <c r="FS286" s="5241"/>
      <c r="FT286" s="296">
        <f>IF(FR286=0,0,(FS286-FR286)/FR286*100)</f>
        <v>0</v>
      </c>
      <c r="FU286" s="5241"/>
      <c r="FV286" s="5241"/>
      <c r="FW286" s="296">
        <f>IF(FU286=0,0,(FV286-FU286)/FU286*100)</f>
        <v>0</v>
      </c>
      <c r="FX286" s="292"/>
      <c r="FY286" s="292"/>
      <c r="FZ286" s="1055" t="s">
        <v>2338</v>
      </c>
      <c r="GA286" s="1055"/>
      <c r="GB286" s="1055"/>
      <c r="GC286" s="1056"/>
      <c r="GD286" s="1056"/>
    </row>
    <row s="6668" customFormat="1" customHeight="1" ht="23.25">
      <c r="A287" s="897"/>
      <c r="B287" s="925" cm="1" t="str">
        <f t="array" ref="B287:B287">B286</f>
        <v>true</v>
      </c>
      <c r="C287" s="897"/>
      <c r="D287" s="897"/>
      <c r="E287" s="898">
        <v>24.5</v>
      </c>
      <c r="F287" s="50" cm="1" t="str">
        <f t="array" ref="F287:F287">OFFSET(E287,-1,1)</f>
        <v>4</v>
      </c>
      <c r="G287" s="493" t="s">
        <v>2339</v>
      </c>
      <c r="H287" s="493" t="s">
        <v>1175</v>
      </c>
      <c r="I287" s="493" t="s">
        <v>2340</v>
      </c>
      <c r="J287" s="897"/>
      <c r="K287" s="897"/>
      <c r="L287" s="493"/>
      <c r="M287" s="897"/>
      <c r="N287" s="897"/>
      <c r="O287" s="897"/>
      <c r="P287" s="897"/>
      <c r="Q287" s="897"/>
      <c r="R287" s="897"/>
      <c r="S287" s="493"/>
      <c r="T287" s="465" cm="1" t="str">
        <f t="array" ref="T287:T287">T286</f>
        <v>true</v>
      </c>
      <c r="U287" s="897"/>
      <c r="V287" s="897"/>
      <c r="W287" s="897"/>
      <c r="X287" s="1596"/>
      <c r="Y287" s="897"/>
      <c r="Z287" s="1545"/>
      <c r="AA287" s="897"/>
      <c r="AB287" s="293" t="s">
        <v>2341</v>
      </c>
      <c r="AC287" s="294" t="s">
        <v>2337</v>
      </c>
      <c r="AD287" s="899">
        <f>IF(AND(method_reg="Метод индексации",god&lt;&gt;first_year),_xlfn.SUMIFS(INDEX('Калькуляция (МИ корр)'!$AJ$25:$BC$747,,MATCH(AD$8,'Калькуляция (МИ корр)'!$AJ$8:$BC$8,0)),'Калькуляция (МИ корр)'!$F$25:$F$747,$F287,'Калькуляция (МИ корр)'!$G$25:$G$747,$G287),IF(method_reg="Метод экономически обоснованных расходов",_xlfn.SUMIFS('Калькуляция (МЭОР)'!$AJ$25:$AJ$452,'Калькуляция (МЭОР)'!$F$25:$F$452,$F287,'Калькуляция (МЭОР)'!$G$25:$G$452,$G287),IF(method_reg="Метод сравнения аналогов",_xlfn.SUMIFS('Калькуляция (МСА)'!$AE$25:$AE$122,'Калькуляция (МСА)'!$F$25:$F$122,$F287,'Калькуляция (МСА)'!$G$25:$G$122,$G287),_xlfn.SUMIFS(INDEX('Калькуляция (МИ)'!$AJ$25:$BC$747,,MATCH(AD$8,'Калькуляция (МИ)'!$AJ$8:$BC$8,0)),'Калькуляция (МИ)'!$F$25:$F$747,$F287,'Калькуляция (МИ)'!$G$25:$G$747,$G287))))</f>
        <v>133.610000827539</v>
      </c>
      <c r="AE287" s="899">
        <f>IF(AND(method_reg="Метод индексации",god&lt;&gt;first_year),_xlfn.SUMIFS(INDEX('Калькуляция (МИ корр)'!$AJ$25:$BC$747,,MATCH(AE$8,'Калькуляция (МИ корр)'!$AJ$8:$BC$8,0)),'Калькуляция (МИ корр)'!$F$25:$F$747,$F287,'Калькуляция (МИ корр)'!$G$25:$G$747,$G287),IF(method_reg="Метод экономически обоснованных расходов",_xlfn.SUMIFS('Калькуляция (МЭОР)'!$AK$25:$AK$452,'Калькуляция (МЭОР)'!$F$25:$F$452,$F287,'Калькуляция (МЭОР)'!$G$25:$G$452,$G287),IF(method_reg="Метод сравнения аналогов",_xlfn.SUMIFS('Калькуляция (МСА)'!$AF$25:$AF$122,'Калькуляция (МСА)'!$F$25:$F$122,$F287,'Калькуляция (МСА)'!$G$25:$G$122,$G287),_xlfn.SUMIFS(INDEX('Калькуляция (МИ)'!$AJ$25:$BC$747,,MATCH(AE$8,'Калькуляция (МИ)'!$AJ$8:$BC$8,0)),'Калькуляция (МИ)'!$F$25:$F$747,$F287,'Калькуляция (МИ)'!$G$25:$G$747,$G287))))</f>
        <v>133.609999656924</v>
      </c>
      <c r="AF287" s="296">
        <f>IF(AD287=0,0,(AE287-AD287)/AD287*100)</f>
        <v>-8.76143253008578e-7</v>
      </c>
      <c r="AG287" s="899">
        <f>IF(AND(method_reg="Метод индексации",god&lt;&gt;first_year),_xlfn.SUMIFS(INDEX('Калькуляция (МИ корр)'!$AJ$25:$BC$747,,MATCH(AG$8,'Калькуляция (МИ корр)'!$AJ$8:$BC$8,0)),'Калькуляция (МИ корр)'!$F$25:$F$747,$F287,'Калькуляция (МИ корр)'!$G$25:$G$747,$G287),IF(method_reg="Метод экономически обоснованных расходов",_xlfn.SUMIFS('Калькуляция (МЭОР)'!$AJ$25:$AJ$452,'Калькуляция (МЭОР)'!$F$25:$F$452,$F287,'Калькуляция (МЭОР)'!$G$25:$G$452,$G287),IF(method_reg="Метод сравнения аналогов",_xlfn.SUMIFS('Калькуляция (МСА)'!$AE$25:$AE$122,'Калькуляция (МСА)'!$F$25:$F$122,$F287,'Калькуляция (МСА)'!$G$25:$G$122,$G287),_xlfn.SUMIFS(INDEX('Калькуляция (МИ)'!$AJ$25:$BC$747,,MATCH(AG$8,'Калькуляция (МИ)'!$AJ$8:$BC$8,0)),'Калькуляция (МИ)'!$F$25:$F$747,$F287,'Калькуляция (МИ)'!$G$25:$G$747,$G287))))</f>
        <v>137.999999556023</v>
      </c>
      <c r="AH287" s="899">
        <f>IF(AND(method_reg="Метод индексации",god&lt;&gt;first_year),_xlfn.SUMIFS(INDEX('Калькуляция (МИ корр)'!$AJ$25:$BC$747,,MATCH(AH$8,'Калькуляция (МИ корр)'!$AJ$8:$BC$8,0)),'Калькуляция (МИ корр)'!$F$25:$F$747,$F287,'Калькуляция (МИ корр)'!$G$25:$G$747,$G287),IF(method_reg="Метод экономически обоснованных расходов",_xlfn.SUMIFS('Калькуляция (МЭОР)'!$AK$25:$AK$452,'Калькуляция (МЭОР)'!$F$25:$F$452,$F287,'Калькуляция (МЭОР)'!$G$25:$G$452,$G287),IF(method_reg="Метод сравнения аналогов",_xlfn.SUMIFS('Калькуляция (МСА)'!$AF$25:$AF$122,'Калькуляция (МСА)'!$F$25:$F$122,$F287,'Калькуляция (МСА)'!$G$25:$G$122,$G287),_xlfn.SUMIFS(INDEX('Калькуляция (МИ)'!$AJ$25:$BC$747,,MATCH(AH$8,'Калькуляция (МИ)'!$AJ$8:$BC$8,0)),'Калькуляция (МИ)'!$F$25:$F$747,$F287,'Калькуляция (МИ)'!$G$25:$G$747,$G287))))</f>
        <v>137.999997362767</v>
      </c>
      <c r="AI287" s="296">
        <f>IF(AG287=0,0,(AH287-AG287)/AG287*100)</f>
        <v>-0.00000158931594322773</v>
      </c>
      <c r="AJ287" s="899">
        <f>IF(AND(method_reg="Метод индексации",god&lt;&gt;first_year),_xlfn.SUMIFS(INDEX('Калькуляция (МИ корр)'!$AJ$25:$BC$747,,MATCH(AJ$8,'Калькуляция (МИ корр)'!$AJ$8:$BC$8,0)),'Калькуляция (МИ корр)'!$F$25:$F$747,$F287,'Калькуляция (МИ корр)'!$G$25:$G$747,$G287),IF(method_reg="Метод экономически обоснованных расходов",_xlfn.SUMIFS('Калькуляция (МЭОР)'!$AJ$25:$AJ$452,'Калькуляция (МЭОР)'!$F$25:$F$452,$F287,'Калькуляция (МЭОР)'!$G$25:$G$452,$G287),IF(method_reg="Метод сравнения аналогов",_xlfn.SUMIFS('Калькуляция (МСА)'!$AE$25:$AE$122,'Калькуляция (МСА)'!$F$25:$F$122,$F287,'Калькуляция (МСА)'!$G$25:$G$122,$G287),_xlfn.SUMIFS(INDEX('Калькуляция (МИ)'!$AJ$25:$BC$747,,MATCH(AJ$8,'Калькуляция (МИ)'!$AJ$8:$BC$8,0)),'Калькуляция (МИ)'!$F$25:$F$747,$F287,'Калькуляция (МИ)'!$G$25:$G$747,$G287))))</f>
        <v>140.500005830706</v>
      </c>
      <c r="AK287" s="899">
        <f>IF(AND(method_reg="Метод индексации",god&lt;&gt;first_year),_xlfn.SUMIFS(INDEX('Калькуляция (МИ корр)'!$AJ$25:$BC$747,,MATCH(AK$8,'Калькуляция (МИ корр)'!$AJ$8:$BC$8,0)),'Калькуляция (МИ корр)'!$F$25:$F$747,$F287,'Калькуляция (МИ корр)'!$G$25:$G$747,$G287),IF(method_reg="Метод экономически обоснованных расходов",_xlfn.SUMIFS('Калькуляция (МЭОР)'!$AK$25:$AK$452,'Калькуляция (МЭОР)'!$F$25:$F$452,$F287,'Калькуляция (МЭОР)'!$G$25:$G$452,$G287),IF(method_reg="Метод сравнения аналогов",_xlfn.SUMIFS('Калькуляция (МСА)'!$AF$25:$AF$122,'Калькуляция (МСА)'!$F$25:$F$122,$F287,'Калькуляция (МСА)'!$G$25:$G$122,$G287),_xlfn.SUMIFS(INDEX('Калькуляция (МИ)'!$AJ$25:$BC$747,,MATCH(AK$8,'Калькуляция (МИ)'!$AJ$8:$BC$8,0)),'Калькуляция (МИ)'!$F$25:$F$747,$F287,'Калькуляция (МИ)'!$G$25:$G$747,$G287))))</f>
        <v>140.500002614866</v>
      </c>
      <c r="AL287" s="296">
        <f>IF(AJ287=0,0,(AK287-AJ287)/AJ287*100)</f>
        <v>-0.00000228885399474534</v>
      </c>
      <c r="AM287" s="899">
        <f>IF(AND(method_reg="Метод индексации",god&lt;&gt;first_year),_xlfn.SUMIFS(INDEX('Калькуляция (МИ корр)'!$AJ$25:$BC$747,,MATCH(AM$8,'Калькуляция (МИ корр)'!$AJ$8:$BC$8,0)),'Калькуляция (МИ корр)'!$F$25:$F$747,$F287,'Калькуляция (МИ корр)'!$G$25:$G$747,$G287),IF(method_reg="Метод экономически обоснованных расходов",_xlfn.SUMIFS('Калькуляция (МЭОР)'!$AJ$25:$AJ$452,'Калькуляция (МЭОР)'!$F$25:$F$452,$F287,'Калькуляция (МЭОР)'!$G$25:$G$452,$G287),IF(method_reg="Метод сравнения аналогов",_xlfn.SUMIFS('Калькуляция (МСА)'!$AE$25:$AE$122,'Калькуляция (МСА)'!$F$25:$F$122,$F287,'Калькуляция (МСА)'!$G$25:$G$122,$G287),_xlfn.SUMIFS(INDEX('Калькуляция (МИ)'!$AJ$25:$BC$747,,MATCH(AM$8,'Калькуляция (МИ)'!$AJ$8:$BC$8,0)),'Калькуляция (МИ)'!$F$25:$F$747,$F287,'Калькуляция (МИ)'!$G$25:$G$747,$G287))))</f>
        <v>144.3200013515</v>
      </c>
      <c r="AN287" s="899">
        <f>IF(AND(method_reg="Метод индексации",god&lt;&gt;first_year),_xlfn.SUMIFS(INDEX('Калькуляция (МИ корр)'!$AJ$25:$BC$747,,MATCH(AN$8,'Калькуляция (МИ корр)'!$AJ$8:$BC$8,0)),'Калькуляция (МИ корр)'!$F$25:$F$747,$F287,'Калькуляция (МИ корр)'!$G$25:$G$747,$G287),IF(method_reg="Метод экономически обоснованных расходов",_xlfn.SUMIFS('Калькуляция (МЭОР)'!$AK$25:$AK$452,'Калькуляция (МЭОР)'!$F$25:$F$452,$F287,'Калькуляция (МЭОР)'!$G$25:$G$452,$G287),IF(method_reg="Метод сравнения аналогов",_xlfn.SUMIFS('Калькуляция (МСА)'!$AF$25:$AF$122,'Калькуляция (МСА)'!$F$25:$F$122,$F287,'Калькуляция (МСА)'!$G$25:$G$122,$G287),_xlfn.SUMIFS(INDEX('Калькуляция (МИ)'!$AJ$25:$BC$747,,MATCH(AN$8,'Калькуляция (МИ)'!$AJ$8:$BC$8,0)),'Калькуляция (МИ)'!$F$25:$F$747,$F287,'Калькуляция (МИ)'!$G$25:$G$747,$G287))))</f>
        <v>144.319997370917</v>
      </c>
      <c r="AO287" s="296">
        <f>IF(AM287=0,0,(AN287-AM287)/AM287*100)</f>
        <v>-0.00000275816446181005</v>
      </c>
      <c r="AP287" s="899">
        <f>IF(AND(method_reg="Метод индексации",god&lt;&gt;first_year),_xlfn.SUMIFS(INDEX('Калькуляция (МИ корр)'!$AJ$25:$BC$747,,MATCH(AP$8,'Калькуляция (МИ корр)'!$AJ$8:$BC$8,0)),'Калькуляция (МИ корр)'!$F$25:$F$747,$F287,'Калькуляция (МИ корр)'!$G$25:$G$747,$G287),IF(method_reg="Метод экономически обоснованных расходов",_xlfn.SUMIFS('Калькуляция (МЭОР)'!$AJ$25:$AJ$452,'Калькуляция (МЭОР)'!$F$25:$F$452,$F287,'Калькуляция (МЭОР)'!$G$25:$G$452,$G287),IF(method_reg="Метод сравнения аналогов",_xlfn.SUMIFS('Калькуляция (МСА)'!$AE$25:$AE$122,'Калькуляция (МСА)'!$F$25:$F$122,$F287,'Калькуляция (МСА)'!$G$25:$G$122,$G287),_xlfn.SUMIFS(INDEX('Калькуляция (МИ)'!$AJ$25:$BC$747,,MATCH(AP$8,'Калькуляция (МИ)'!$AJ$8:$BC$8,0)),'Калькуляция (МИ)'!$F$25:$F$747,$F287,'Калькуляция (МИ)'!$G$25:$G$747,$G287))))</f>
        <v>150.911537926571</v>
      </c>
      <c r="AQ287" s="899">
        <f>IF(AND(method_reg="Метод индексации",god&lt;&gt;first_year),_xlfn.SUMIFS(INDEX('Калькуляция (МИ корр)'!$AJ$25:$BC$747,,MATCH(AQ$8,'Калькуляция (МИ корр)'!$AJ$8:$BC$8,0)),'Калькуляция (МИ корр)'!$F$25:$F$747,$F287,'Калькуляция (МИ корр)'!$G$25:$G$747,$G287),IF(method_reg="Метод экономически обоснованных расходов",_xlfn.SUMIFS('Калькуляция (МЭОР)'!$AK$25:$AK$452,'Калькуляция (МЭОР)'!$F$25:$F$452,$F287,'Калькуляция (МЭОР)'!$G$25:$G$452,$G287),IF(method_reg="Метод сравнения аналогов",_xlfn.SUMIFS('Калькуляция (МСА)'!$AF$25:$AF$122,'Калькуляция (МСА)'!$F$25:$F$122,$F287,'Калькуляция (МСА)'!$G$25:$G$122,$G287),_xlfn.SUMIFS(INDEX('Калькуляция (МИ)'!$AJ$25:$BC$747,,MATCH(AQ$8,'Калькуляция (МИ)'!$AJ$8:$BC$8,0)),'Калькуляция (МИ)'!$F$25:$F$747,$F287,'Калькуляция (МИ)'!$G$25:$G$747,$G287))))</f>
        <v>150.911543287088</v>
      </c>
      <c r="AR287" s="296">
        <f>IF(AP287=0,0,(AQ287-AP287)/AP287*100)</f>
        <v>0.00000355209222681539</v>
      </c>
      <c r="AS287" s="5239">
        <f>IF(AND(method_reg="Метод индексации",god&lt;&gt;first_year),_xlfn.SUMIFS(INDEX('Калькуляция (МИ корр)'!$AJ$25:$BC$747,,MATCH(AS$8,'Калькуляция (МИ корр)'!$AJ$8:$BC$8,0)),'Калькуляция (МИ корр)'!$F$25:$F$747,$F287,'Калькуляция (МИ корр)'!$G$25:$G$747,$G287),IF(method_reg="Метод экономически обоснованных расходов",_xlfn.SUMIFS('Калькуляция (МЭОР)'!$AJ$25:$AJ$452,'Калькуляция (МЭОР)'!$F$25:$F$452,$F287,'Калькуляция (МЭОР)'!$G$25:$G$452,$G287),IF(method_reg="Метод сравнения аналогов",_xlfn.SUMIFS('Калькуляция (МСА)'!$AE$25:$AE$122,'Калькуляция (МСА)'!$F$25:$F$122,$F287,'Калькуляция (МСА)'!$G$25:$G$122,$G287),_xlfn.SUMIFS(INDEX('Калькуляция (МИ)'!$AJ$25:$BC$747,,MATCH(AS$8,'Калькуляция (МИ)'!$AJ$8:$BC$8,0)),'Калькуляция (МИ)'!$F$25:$F$747,$F287,'Калькуляция (МИ)'!$G$25:$G$747,$G287))))</f>
        <v>0</v>
      </c>
      <c r="AT287" s="5239">
        <f>IF(AND(method_reg="Метод индексации",god&lt;&gt;first_year),_xlfn.SUMIFS(INDEX('Калькуляция (МИ корр)'!$AJ$25:$BC$747,,MATCH(AT$8,'Калькуляция (МИ корр)'!$AJ$8:$BC$8,0)),'Калькуляция (МИ корр)'!$F$25:$F$747,$F287,'Калькуляция (МИ корр)'!$G$25:$G$747,$G287),IF(method_reg="Метод экономически обоснованных расходов",_xlfn.SUMIFS('Калькуляция (МЭОР)'!$AK$25:$AK$452,'Калькуляция (МЭОР)'!$F$25:$F$452,$F287,'Калькуляция (МЭОР)'!$G$25:$G$452,$G287),IF(method_reg="Метод сравнения аналогов",_xlfn.SUMIFS('Калькуляция (МСА)'!$AF$25:$AF$122,'Калькуляция (МСА)'!$F$25:$F$122,$F287,'Калькуляция (МСА)'!$G$25:$G$122,$G287),_xlfn.SUMIFS(INDEX('Калькуляция (МИ)'!$AJ$25:$BC$747,,MATCH(AT$8,'Калькуляция (МИ)'!$AJ$8:$BC$8,0)),'Калькуляция (МИ)'!$F$25:$F$747,$F287,'Калькуляция (МИ)'!$G$25:$G$747,$G287))))</f>
        <v>0</v>
      </c>
      <c r="AU287" s="296">
        <f>IF(AS287=0,0,(AT287-AS287)/AS287*100)</f>
        <v>0</v>
      </c>
      <c r="AV287" s="5239">
        <f>IF(AND(method_reg="Метод индексации",god&lt;&gt;first_year),_xlfn.SUMIFS(INDEX('Калькуляция (МИ корр)'!$AJ$25:$BC$747,,MATCH(AV$8,'Калькуляция (МИ корр)'!$AJ$8:$BC$8,0)),'Калькуляция (МИ корр)'!$F$25:$F$747,$F287,'Калькуляция (МИ корр)'!$G$25:$G$747,$G287),IF(method_reg="Метод экономически обоснованных расходов",_xlfn.SUMIFS('Калькуляция (МЭОР)'!$AJ$25:$AJ$452,'Калькуляция (МЭОР)'!$F$25:$F$452,$F287,'Калькуляция (МЭОР)'!$G$25:$G$452,$G287),IF(method_reg="Метод сравнения аналогов",_xlfn.SUMIFS('Калькуляция (МСА)'!$AE$25:$AE$122,'Калькуляция (МСА)'!$F$25:$F$122,$F287,'Калькуляция (МСА)'!$G$25:$G$122,$G287),_xlfn.SUMIFS(INDEX('Калькуляция (МИ)'!$AJ$25:$BC$747,,MATCH(AV$8,'Калькуляция (МИ)'!$AJ$8:$BC$8,0)),'Калькуляция (МИ)'!$F$25:$F$747,$F287,'Калькуляция (МИ)'!$G$25:$G$747,$G287))))</f>
        <v>0</v>
      </c>
      <c r="AW287" s="5239">
        <f>IF(AND(method_reg="Метод индексации",god&lt;&gt;first_year),_xlfn.SUMIFS(INDEX('Калькуляция (МИ корр)'!$AJ$25:$BC$747,,MATCH(AW$8,'Калькуляция (МИ корр)'!$AJ$8:$BC$8,0)),'Калькуляция (МИ корр)'!$F$25:$F$747,$F287,'Калькуляция (МИ корр)'!$G$25:$G$747,$G287),IF(method_reg="Метод экономически обоснованных расходов",_xlfn.SUMIFS('Калькуляция (МЭОР)'!$AK$25:$AK$452,'Калькуляция (МЭОР)'!$F$25:$F$452,$F287,'Калькуляция (МЭОР)'!$G$25:$G$452,$G287),IF(method_reg="Метод сравнения аналогов",_xlfn.SUMIFS('Калькуляция (МСА)'!$AF$25:$AF$122,'Калькуляция (МСА)'!$F$25:$F$122,$F287,'Калькуляция (МСА)'!$G$25:$G$122,$G287),_xlfn.SUMIFS(INDEX('Калькуляция (МИ)'!$AJ$25:$BC$747,,MATCH(AW$8,'Калькуляция (МИ)'!$AJ$8:$BC$8,0)),'Калькуляция (МИ)'!$F$25:$F$747,$F287,'Калькуляция (МИ)'!$G$25:$G$747,$G287))))</f>
        <v>0</v>
      </c>
      <c r="AX287" s="296">
        <f>IF(AV287=0,0,(AW287-AV287)/AV287*100)</f>
        <v>0</v>
      </c>
      <c r="AY287" s="5239">
        <f>IF(AND(method_reg="Метод индексации",god&lt;&gt;first_year),_xlfn.SUMIFS(INDEX('Калькуляция (МИ корр)'!$AJ$25:$BC$747,,MATCH(AY$8,'Калькуляция (МИ корр)'!$AJ$8:$BC$8,0)),'Калькуляция (МИ корр)'!$F$25:$F$747,$F287,'Калькуляция (МИ корр)'!$G$25:$G$747,$G287),IF(method_reg="Метод экономически обоснованных расходов",_xlfn.SUMIFS('Калькуляция (МЭОР)'!$AJ$25:$AJ$452,'Калькуляция (МЭОР)'!$F$25:$F$452,$F287,'Калькуляция (МЭОР)'!$G$25:$G$452,$G287),IF(method_reg="Метод сравнения аналогов",_xlfn.SUMIFS('Калькуляция (МСА)'!$AE$25:$AE$122,'Калькуляция (МСА)'!$F$25:$F$122,$F287,'Калькуляция (МСА)'!$G$25:$G$122,$G287),_xlfn.SUMIFS(INDEX('Калькуляция (МИ)'!$AJ$25:$BC$747,,MATCH(AY$8,'Калькуляция (МИ)'!$AJ$8:$BC$8,0)),'Калькуляция (МИ)'!$F$25:$F$747,$F287,'Калькуляция (МИ)'!$G$25:$G$747,$G287))))</f>
        <v>0</v>
      </c>
      <c r="AZ287" s="5239">
        <f>IF(AND(method_reg="Метод индексации",god&lt;&gt;first_year),_xlfn.SUMIFS(INDEX('Калькуляция (МИ корр)'!$AJ$25:$BC$747,,MATCH(AZ$8,'Калькуляция (МИ корр)'!$AJ$8:$BC$8,0)),'Калькуляция (МИ корр)'!$F$25:$F$747,$F287,'Калькуляция (МИ корр)'!$G$25:$G$747,$G287),IF(method_reg="Метод экономически обоснованных расходов",_xlfn.SUMIFS('Калькуляция (МЭОР)'!$AK$25:$AK$452,'Калькуляция (МЭОР)'!$F$25:$F$452,$F287,'Калькуляция (МЭОР)'!$G$25:$G$452,$G287),IF(method_reg="Метод сравнения аналогов",_xlfn.SUMIFS('Калькуляция (МСА)'!$AF$25:$AF$122,'Калькуляция (МСА)'!$F$25:$F$122,$F287,'Калькуляция (МСА)'!$G$25:$G$122,$G287),_xlfn.SUMIFS(INDEX('Калькуляция (МИ)'!$AJ$25:$BC$747,,MATCH(AZ$8,'Калькуляция (МИ)'!$AJ$8:$BC$8,0)),'Калькуляция (МИ)'!$F$25:$F$747,$F287,'Калькуляция (МИ)'!$G$25:$G$747,$G287))))</f>
        <v>0</v>
      </c>
      <c r="BA287" s="296">
        <f>IF(AY287=0,0,(AZ287-AY287)/AY287*100)</f>
        <v>0</v>
      </c>
      <c r="BB287" s="5239">
        <f>IF(AND(method_reg="Метод индексации",god&lt;&gt;first_year),_xlfn.SUMIFS(INDEX('Калькуляция (МИ корр)'!$AJ$25:$BC$747,,MATCH(BB$8,'Калькуляция (МИ корр)'!$AJ$8:$BC$8,0)),'Калькуляция (МИ корр)'!$F$25:$F$747,$F287,'Калькуляция (МИ корр)'!$G$25:$G$747,$G287),IF(method_reg="Метод экономически обоснованных расходов",_xlfn.SUMIFS('Калькуляция (МЭОР)'!$AJ$25:$AJ$452,'Калькуляция (МЭОР)'!$F$25:$F$452,$F287,'Калькуляция (МЭОР)'!$G$25:$G$452,$G287),IF(method_reg="Метод сравнения аналогов",_xlfn.SUMIFS('Калькуляция (МСА)'!$AE$25:$AE$122,'Калькуляция (МСА)'!$F$25:$F$122,$F287,'Калькуляция (МСА)'!$G$25:$G$122,$G287),_xlfn.SUMIFS(INDEX('Калькуляция (МИ)'!$AJ$25:$BC$747,,MATCH(BB$8,'Калькуляция (МИ)'!$AJ$8:$BC$8,0)),'Калькуляция (МИ)'!$F$25:$F$747,$F287,'Калькуляция (МИ)'!$G$25:$G$747,$G287))))</f>
        <v>0</v>
      </c>
      <c r="BC287" s="5239">
        <f>IF(AND(method_reg="Метод индексации",god&lt;&gt;first_year),_xlfn.SUMIFS(INDEX('Калькуляция (МИ корр)'!$AJ$25:$BC$747,,MATCH(BC$8,'Калькуляция (МИ корр)'!$AJ$8:$BC$8,0)),'Калькуляция (МИ корр)'!$F$25:$F$747,$F287,'Калькуляция (МИ корр)'!$G$25:$G$747,$G287),IF(method_reg="Метод экономически обоснованных расходов",_xlfn.SUMIFS('Калькуляция (МЭОР)'!$AK$25:$AK$452,'Калькуляция (МЭОР)'!$F$25:$F$452,$F287,'Калькуляция (МЭОР)'!$G$25:$G$452,$G287),IF(method_reg="Метод сравнения аналогов",_xlfn.SUMIFS('Калькуляция (МСА)'!$AF$25:$AF$122,'Калькуляция (МСА)'!$F$25:$F$122,$F287,'Калькуляция (МСА)'!$G$25:$G$122,$G287),_xlfn.SUMIFS(INDEX('Калькуляция (МИ)'!$AJ$25:$BC$747,,MATCH(BC$8,'Калькуляция (МИ)'!$AJ$8:$BC$8,0)),'Калькуляция (МИ)'!$F$25:$F$747,$F287,'Калькуляция (МИ)'!$G$25:$G$747,$G287))))</f>
        <v>0</v>
      </c>
      <c r="BD287" s="296">
        <f>IF(BB287=0,0,(BC287-BB287)/BB287*100)</f>
        <v>0</v>
      </c>
      <c r="BE287" s="5239">
        <f>IF(AND(method_reg="Метод индексации",god&lt;&gt;first_year),_xlfn.SUMIFS(INDEX('Калькуляция (МИ корр)'!$AJ$25:$BC$747,,MATCH(BE$8,'Калькуляция (МИ корр)'!$AJ$8:$BC$8,0)),'Калькуляция (МИ корр)'!$F$25:$F$747,$F287,'Калькуляция (МИ корр)'!$G$25:$G$747,$G287),IF(method_reg="Метод экономически обоснованных расходов",_xlfn.SUMIFS('Калькуляция (МЭОР)'!$AJ$25:$AJ$452,'Калькуляция (МЭОР)'!$F$25:$F$452,$F287,'Калькуляция (МЭОР)'!$G$25:$G$452,$G287),IF(method_reg="Метод сравнения аналогов",_xlfn.SUMIFS('Калькуляция (МСА)'!$AE$25:$AE$122,'Калькуляция (МСА)'!$F$25:$F$122,$F287,'Калькуляция (МСА)'!$G$25:$G$122,$G287),_xlfn.SUMIFS(INDEX('Калькуляция (МИ)'!$AJ$25:$BC$747,,MATCH(BE$8,'Калькуляция (МИ)'!$AJ$8:$BC$8,0)),'Калькуляция (МИ)'!$F$25:$F$747,$F287,'Калькуляция (МИ)'!$G$25:$G$747,$G287))))</f>
        <v>0</v>
      </c>
      <c r="BF287" s="5239">
        <f>IF(AND(method_reg="Метод индексации",god&lt;&gt;first_year),_xlfn.SUMIFS(INDEX('Калькуляция (МИ корр)'!$AJ$25:$BC$747,,MATCH(BF$8,'Калькуляция (МИ корр)'!$AJ$8:$BC$8,0)),'Калькуляция (МИ корр)'!$F$25:$F$747,$F287,'Калькуляция (МИ корр)'!$G$25:$G$747,$G287),IF(method_reg="Метод экономически обоснованных расходов",_xlfn.SUMIFS('Калькуляция (МЭОР)'!$AK$25:$AK$452,'Калькуляция (МЭОР)'!$F$25:$F$452,$F287,'Калькуляция (МЭОР)'!$G$25:$G$452,$G287),IF(method_reg="Метод сравнения аналогов",_xlfn.SUMIFS('Калькуляция (МСА)'!$AF$25:$AF$122,'Калькуляция (МСА)'!$F$25:$F$122,$F287,'Калькуляция (МСА)'!$G$25:$G$122,$G287),_xlfn.SUMIFS(INDEX('Калькуляция (МИ)'!$AJ$25:$BC$747,,MATCH(BF$8,'Калькуляция (МИ)'!$AJ$8:$BC$8,0)),'Калькуляция (МИ)'!$F$25:$F$747,$F287,'Калькуляция (МИ)'!$G$25:$G$747,$G287))))</f>
        <v>0</v>
      </c>
      <c r="BG287" s="296">
        <f>IF(BE287=0,0,(BF287-BE287)/BE287*100)</f>
        <v>0</v>
      </c>
      <c r="BH287" s="5239"/>
      <c r="BI287" s="5239"/>
      <c r="BJ287" s="296">
        <f>IF(BH287=0,0,(BI287-BH287)/BH287*100)</f>
        <v>0</v>
      </c>
      <c r="BK287" s="5239"/>
      <c r="BL287" s="5239"/>
      <c r="BM287" s="296">
        <f>IF(BK287=0,0,(BL287-BK287)/BK287*100)</f>
        <v>0</v>
      </c>
      <c r="BN287" s="5239"/>
      <c r="BO287" s="5239"/>
      <c r="BP287" s="296">
        <f>IF(BN287=0,0,(BO287-BN287)/BN287*100)</f>
        <v>0</v>
      </c>
      <c r="BQ287" s="5239"/>
      <c r="BR287" s="5239"/>
      <c r="BS287" s="296">
        <f>IF(BQ287=0,0,(BR287-BQ287)/BQ287*100)</f>
        <v>0</v>
      </c>
      <c r="BT287" s="5239"/>
      <c r="BU287" s="5239"/>
      <c r="BV287" s="296">
        <f>IF(BT287=0,0,(BU287-BT287)/BT287*100)</f>
        <v>0</v>
      </c>
      <c r="BW287" s="5239"/>
      <c r="BX287" s="5239"/>
      <c r="BY287" s="296">
        <f>IF(BW287=0,0,(BX287-BW287)/BW287*100)</f>
        <v>0</v>
      </c>
      <c r="BZ287" s="5239"/>
      <c r="CA287" s="5239"/>
      <c r="CB287" s="296">
        <f>IF(BZ287=0,0,(CA287-BZ287)/BZ287*100)</f>
        <v>0</v>
      </c>
      <c r="CC287" s="5239"/>
      <c r="CD287" s="5239"/>
      <c r="CE287" s="296">
        <f>IF(CC287=0,0,(CD287-CC287)/CC287*100)</f>
        <v>0</v>
      </c>
      <c r="CF287" s="5239"/>
      <c r="CG287" s="5239"/>
      <c r="CH287" s="296">
        <f>IF(CF287=0,0,(CG287-CF287)/CF287*100)</f>
        <v>0</v>
      </c>
      <c r="CI287" s="5239"/>
      <c r="CJ287" s="5239"/>
      <c r="CK287" s="296">
        <f>IF(CI287=0,0,(CJ287-CI287)/CI287*100)</f>
        <v>0</v>
      </c>
      <c r="CL287" s="5239"/>
      <c r="CM287" s="5239"/>
      <c r="CN287" s="296">
        <f>IF(CL287=0,0,(CM287-CL287)/CL287*100)</f>
        <v>0</v>
      </c>
      <c r="CO287" s="5239"/>
      <c r="CP287" s="5239"/>
      <c r="CQ287" s="296">
        <f>IF(CO287=0,0,(CP287-CO287)/CO287*100)</f>
        <v>0</v>
      </c>
      <c r="CR287" s="5239"/>
      <c r="CS287" s="5239"/>
      <c r="CT287" s="296">
        <f>IF(CR287=0,0,(CS287-CR287)/CR287*100)</f>
        <v>0</v>
      </c>
      <c r="CU287" s="5239"/>
      <c r="CV287" s="5239"/>
      <c r="CW287" s="296">
        <f>IF(CU287=0,0,(CV287-CU287)/CU287*100)</f>
        <v>0</v>
      </c>
      <c r="CX287" s="5239"/>
      <c r="CY287" s="5239"/>
      <c r="CZ287" s="296">
        <f>IF(CX287=0,0,(CY287-CX287)/CX287*100)</f>
        <v>0</v>
      </c>
      <c r="DA287" s="5239"/>
      <c r="DB287" s="5239"/>
      <c r="DC287" s="296">
        <f>IF(DA287=0,0,(DB287-DA287)/DA287*100)</f>
        <v>0</v>
      </c>
      <c r="DD287" s="5239"/>
      <c r="DE287" s="5239"/>
      <c r="DF287" s="296">
        <f>IF(DD287=0,0,(DE287-DD287)/DD287*100)</f>
        <v>0</v>
      </c>
      <c r="DG287" s="5241"/>
      <c r="DH287" s="5241"/>
      <c r="DI287" s="296">
        <f>IF(DG287=0,0,(DH287-DG287)/DG287*100)</f>
        <v>0</v>
      </c>
      <c r="DJ287" s="5241"/>
      <c r="DK287" s="5241"/>
      <c r="DL287" s="296">
        <f>IF(DJ287=0,0,(DK287-DJ287)/DJ287*100)</f>
        <v>0</v>
      </c>
      <c r="DM287" s="5241"/>
      <c r="DN287" s="5241"/>
      <c r="DO287" s="296">
        <f>IF(DM287=0,0,(DN287-DM287)/DM287*100)</f>
        <v>0</v>
      </c>
      <c r="DP287" s="5241"/>
      <c r="DQ287" s="5241"/>
      <c r="DR287" s="296">
        <f>IF(DP287=0,0,(DQ287-DP287)/DP287*100)</f>
        <v>0</v>
      </c>
      <c r="DS287" s="5241"/>
      <c r="DT287" s="5241"/>
      <c r="DU287" s="296">
        <f>IF(DS287=0,0,(DT287-DS287)/DS287*100)</f>
        <v>0</v>
      </c>
      <c r="DV287" s="5241"/>
      <c r="DW287" s="5241"/>
      <c r="DX287" s="296">
        <f>IF(DV287=0,0,(DW287-DV287)/DV287*100)</f>
        <v>0</v>
      </c>
      <c r="DY287" s="5241"/>
      <c r="DZ287" s="5241"/>
      <c r="EA287" s="296">
        <f>IF(DY287=0,0,(DZ287-DY287)/DY287*100)</f>
        <v>0</v>
      </c>
      <c r="EB287" s="5241"/>
      <c r="EC287" s="5241"/>
      <c r="ED287" s="296">
        <f>IF(EB287=0,0,(EC287-EB287)/EB287*100)</f>
        <v>0</v>
      </c>
      <c r="EE287" s="5241"/>
      <c r="EF287" s="5241"/>
      <c r="EG287" s="296">
        <f>IF(EE287=0,0,(EF287-EE287)/EE287*100)</f>
        <v>0</v>
      </c>
      <c r="EH287" s="5241"/>
      <c r="EI287" s="5241"/>
      <c r="EJ287" s="296">
        <f>IF(EH287=0,0,(EI287-EH287)/EH287*100)</f>
        <v>0</v>
      </c>
      <c r="EK287" s="5241"/>
      <c r="EL287" s="5241"/>
      <c r="EM287" s="296">
        <f>IF(EK287=0,0,(EL287-EK287)/EK287*100)</f>
        <v>0</v>
      </c>
      <c r="EN287" s="5241"/>
      <c r="EO287" s="5241"/>
      <c r="EP287" s="296">
        <f>IF(EN287=0,0,(EO287-EN287)/EN287*100)</f>
        <v>0</v>
      </c>
      <c r="EQ287" s="5241"/>
      <c r="ER287" s="5241"/>
      <c r="ES287" s="296">
        <f>IF(EQ287=0,0,(ER287-EQ287)/EQ287*100)</f>
        <v>0</v>
      </c>
      <c r="ET287" s="5241"/>
      <c r="EU287" s="5241"/>
      <c r="EV287" s="296">
        <f>IF(ET287=0,0,(EU287-ET287)/ET287*100)</f>
        <v>0</v>
      </c>
      <c r="EW287" s="5241"/>
      <c r="EX287" s="5241"/>
      <c r="EY287" s="296">
        <f>IF(EW287=0,0,(EX287-EW287)/EW287*100)</f>
        <v>0</v>
      </c>
      <c r="EZ287" s="5241"/>
      <c r="FA287" s="5241"/>
      <c r="FB287" s="296">
        <f>IF(EZ287=0,0,(FA287-EZ287)/EZ287*100)</f>
        <v>0</v>
      </c>
      <c r="FC287" s="5241"/>
      <c r="FD287" s="5241"/>
      <c r="FE287" s="296">
        <f>IF(FC287=0,0,(FD287-FC287)/FC287*100)</f>
        <v>0</v>
      </c>
      <c r="FF287" s="5241"/>
      <c r="FG287" s="5241"/>
      <c r="FH287" s="296">
        <f>IF(FF287=0,0,(FG287-FF287)/FF287*100)</f>
        <v>0</v>
      </c>
      <c r="FI287" s="5241"/>
      <c r="FJ287" s="5241"/>
      <c r="FK287" s="296">
        <f>IF(FI287=0,0,(FJ287-FI287)/FI287*100)</f>
        <v>0</v>
      </c>
      <c r="FL287" s="5241"/>
      <c r="FM287" s="5241"/>
      <c r="FN287" s="296">
        <f>IF(FL287=0,0,(FM287-FL287)/FL287*100)</f>
        <v>0</v>
      </c>
      <c r="FO287" s="5241"/>
      <c r="FP287" s="5241"/>
      <c r="FQ287" s="296">
        <f>IF(FO287=0,0,(FP287-FO287)/FO287*100)</f>
        <v>0</v>
      </c>
      <c r="FR287" s="5241"/>
      <c r="FS287" s="5241"/>
      <c r="FT287" s="296">
        <f>IF(FR287=0,0,(FS287-FR287)/FR287*100)</f>
        <v>0</v>
      </c>
      <c r="FU287" s="5241"/>
      <c r="FV287" s="5241"/>
      <c r="FW287" s="296">
        <f>IF(FU287=0,0,(FV287-FU287)/FU287*100)</f>
        <v>0</v>
      </c>
      <c r="FX287" s="292"/>
      <c r="FY287" s="292"/>
      <c r="FZ287" s="1055" t="s">
        <v>2342</v>
      </c>
      <c r="GA287" s="1055"/>
      <c r="GB287" s="1055"/>
      <c r="GC287" s="1056"/>
      <c r="GD287" s="1056"/>
    </row>
    <row s="1834" customFormat="1" customHeight="1" ht="14.25">
      <c r="A288" s="493"/>
      <c r="B288" s="925" cm="1" t="str">
        <f t="array" ref="B288:B288">B287</f>
        <v>true</v>
      </c>
      <c r="C288" s="493"/>
      <c r="D288" s="493"/>
      <c r="E288" s="840">
        <v>15</v>
      </c>
      <c r="F288" s="50" cm="1" t="str">
        <f t="array" ref="F288:F288">OFFSET(E288,-1,1)</f>
        <v>4</v>
      </c>
      <c r="G288" s="493"/>
      <c r="H288" s="493" t="s">
        <v>1179</v>
      </c>
      <c r="I288" s="493" t="s">
        <v>2343</v>
      </c>
      <c r="J288" s="493"/>
      <c r="K288" s="493"/>
      <c r="L288" s="493"/>
      <c r="M288" s="493"/>
      <c r="N288" s="493"/>
      <c r="O288" s="493"/>
      <c r="P288" s="493"/>
      <c r="Q288" s="493"/>
      <c r="R288" s="493"/>
      <c r="S288" s="493"/>
      <c r="T288" s="465" cm="1" t="str">
        <f t="array" ref="T288:T288">T287</f>
        <v>true</v>
      </c>
      <c r="U288" s="493"/>
      <c r="V288" s="493"/>
      <c r="W288" s="493"/>
      <c r="X288" s="1596"/>
      <c r="Y288" s="493"/>
      <c r="Z288" s="1545"/>
      <c r="AA288" s="493"/>
      <c r="AB288" s="1089" t="s">
        <v>2344</v>
      </c>
      <c r="AC288" s="864" t="s">
        <v>1170</v>
      </c>
      <c r="AD288" s="1092">
        <f>IF(AD286=0,0,AD287/AD286)*100</f>
        <v>104.998036013783</v>
      </c>
      <c r="AE288" s="1092">
        <f>IF(AE286=0,0,AE287/AE286)*100</f>
        <v>104.99803509385</v>
      </c>
      <c r="AF288" s="1093"/>
      <c r="AG288" s="1092">
        <f>IF(AG286=0,0,AG287/AG286)*100</f>
        <v>103.285681877122</v>
      </c>
      <c r="AH288" s="1092">
        <f>IF(AH286=0,0,AH287/AH286)*100</f>
        <v>103.285680500797</v>
      </c>
      <c r="AI288" s="1093"/>
      <c r="AJ288" s="1092">
        <f>IF(AJ286=0,0,AJ287/AJ286)*100</f>
        <v>101.811598428048</v>
      </c>
      <c r="AK288" s="1092">
        <f>IF(AK286=0,0,AK287/AK286)*100</f>
        <v>101.811598043388</v>
      </c>
      <c r="AL288" s="1093"/>
      <c r="AM288" s="1092">
        <f>IF(AM286=0,0,AM287/AM286)*100</f>
        <v>102.718862171886</v>
      </c>
      <c r="AN288" s="1092">
        <f>IF(AN286=0,0,AN287/AN286)*100</f>
        <v>102.718857427015</v>
      </c>
      <c r="AO288" s="1093"/>
      <c r="AP288" s="1092">
        <f>IF(AP286=0,0,AP287/AP286)*100</f>
        <v>104.567307321626</v>
      </c>
      <c r="AQ288" s="1092">
        <f>IF(AQ286=0,0,AQ287/AQ286)*100</f>
        <v>104.56731294086</v>
      </c>
      <c r="AR288" s="1093"/>
      <c r="AS288" s="1092">
        <f>IF(AS286=0,0,AS287/AS286)*100</f>
        <v>0</v>
      </c>
      <c r="AT288" s="1092">
        <f>IF(AT286=0,0,AT287/AT286)*100</f>
        <v>0</v>
      </c>
      <c r="AU288" s="1093"/>
      <c r="AV288" s="1092">
        <f>IF(AV286=0,0,AV287/AV286)*100</f>
        <v>0</v>
      </c>
      <c r="AW288" s="1092">
        <f>IF(AW286=0,0,AW287/AW286)*100</f>
        <v>0</v>
      </c>
      <c r="AX288" s="1093"/>
      <c r="AY288" s="1092">
        <f>IF(AY286=0,0,AY287/AY286)*100</f>
        <v>0</v>
      </c>
      <c r="AZ288" s="1092">
        <f>IF(AZ286=0,0,AZ287/AZ286)*100</f>
        <v>0</v>
      </c>
      <c r="BA288" s="1093"/>
      <c r="BB288" s="1092">
        <f>IF(BB286=0,0,BB287/BB286)*100</f>
        <v>0</v>
      </c>
      <c r="BC288" s="1092">
        <f>IF(BC286=0,0,BC287/BC286)*100</f>
        <v>0</v>
      </c>
      <c r="BD288" s="1093"/>
      <c r="BE288" s="1092">
        <f>IF(BE286=0,0,BE287/BE286)*100</f>
        <v>0</v>
      </c>
      <c r="BF288" s="1092">
        <f>IF(BF286=0,0,BF287/BF286)*100</f>
        <v>0</v>
      </c>
      <c r="BG288" s="1093"/>
      <c r="BH288" s="1092">
        <f>IF(BH286=0,0,BH287/BH286)*100</f>
        <v>0</v>
      </c>
      <c r="BI288" s="1092">
        <f>IF(BI286=0,0,BI287/BI286)*100</f>
        <v>0</v>
      </c>
      <c r="BJ288" s="1093"/>
      <c r="BK288" s="1092">
        <f>IF(BK286=0,0,BK287/BK286)*100</f>
        <v>0</v>
      </c>
      <c r="BL288" s="1092">
        <f>IF(BL286=0,0,BL287/BL286)*100</f>
        <v>0</v>
      </c>
      <c r="BM288" s="1093"/>
      <c r="BN288" s="1092">
        <f>IF(BN286=0,0,BN287/BN286)*100</f>
        <v>0</v>
      </c>
      <c r="BO288" s="1092">
        <f>IF(BO286=0,0,BO287/BO286)*100</f>
        <v>0</v>
      </c>
      <c r="BP288" s="1093"/>
      <c r="BQ288" s="1092">
        <f>IF(BQ286=0,0,BQ287/BQ286)*100</f>
        <v>0</v>
      </c>
      <c r="BR288" s="1092">
        <f>IF(BR286=0,0,BR287/BR286)*100</f>
        <v>0</v>
      </c>
      <c r="BS288" s="1093"/>
      <c r="BT288" s="1092">
        <f>IF(BT286=0,0,BT287/BT286)*100</f>
        <v>0</v>
      </c>
      <c r="BU288" s="1092">
        <f>IF(BU286=0,0,BU287/BU286)*100</f>
        <v>0</v>
      </c>
      <c r="BV288" s="1093"/>
      <c r="BW288" s="1092">
        <f>IF(BW286=0,0,BW287/BW286)*100</f>
        <v>0</v>
      </c>
      <c r="BX288" s="1092">
        <f>IF(BX286=0,0,BX287/BX286)*100</f>
        <v>0</v>
      </c>
      <c r="BY288" s="1093"/>
      <c r="BZ288" s="1092">
        <f>IF(BZ286=0,0,BZ287/BZ286)*100</f>
        <v>0</v>
      </c>
      <c r="CA288" s="1092">
        <f>IF(CA286=0,0,CA287/CA286)*100</f>
        <v>0</v>
      </c>
      <c r="CB288" s="1093"/>
      <c r="CC288" s="1092">
        <f>IF(CC286=0,0,CC287/CC286)*100</f>
        <v>0</v>
      </c>
      <c r="CD288" s="1092">
        <f>IF(CD286=0,0,CD287/CD286)*100</f>
        <v>0</v>
      </c>
      <c r="CE288" s="1093"/>
      <c r="CF288" s="1092">
        <f>IF(CF286=0,0,CF287/CF286)*100</f>
        <v>0</v>
      </c>
      <c r="CG288" s="1092">
        <f>IF(CG286=0,0,CG287/CG286)*100</f>
        <v>0</v>
      </c>
      <c r="CH288" s="1093"/>
      <c r="CI288" s="1092">
        <f>IF(CI286=0,0,CI287/CI286)*100</f>
        <v>0</v>
      </c>
      <c r="CJ288" s="1092">
        <f>IF(CJ286=0,0,CJ287/CJ286)*100</f>
        <v>0</v>
      </c>
      <c r="CK288" s="1093"/>
      <c r="CL288" s="1092">
        <f>IF(CL286=0,0,CL287/CL286)*100</f>
        <v>0</v>
      </c>
      <c r="CM288" s="1092">
        <f>IF(CM286=0,0,CM287/CM286)*100</f>
        <v>0</v>
      </c>
      <c r="CN288" s="1093"/>
      <c r="CO288" s="1092">
        <f>IF(CO286=0,0,CO287/CO286)*100</f>
        <v>0</v>
      </c>
      <c r="CP288" s="1092">
        <f>IF(CP286=0,0,CP287/CP286)*100</f>
        <v>0</v>
      </c>
      <c r="CQ288" s="1093"/>
      <c r="CR288" s="1092">
        <f>IF(CR286=0,0,CR287/CR286)*100</f>
        <v>0</v>
      </c>
      <c r="CS288" s="1092">
        <f>IF(CS286=0,0,CS287/CS286)*100</f>
        <v>0</v>
      </c>
      <c r="CT288" s="1093"/>
      <c r="CU288" s="1092">
        <f>IF(CU286=0,0,CU287/CU286)*100</f>
        <v>0</v>
      </c>
      <c r="CV288" s="1092">
        <f>IF(CV286=0,0,CV287/CV286)*100</f>
        <v>0</v>
      </c>
      <c r="CW288" s="1093"/>
      <c r="CX288" s="1092">
        <f>IF(CX286=0,0,CX287/CX286)*100</f>
        <v>0</v>
      </c>
      <c r="CY288" s="1092">
        <f>IF(CY286=0,0,CY287/CY286)*100</f>
        <v>0</v>
      </c>
      <c r="CZ288" s="1093"/>
      <c r="DA288" s="1092">
        <f>IF(DA286=0,0,DA287/DA286)*100</f>
        <v>0</v>
      </c>
      <c r="DB288" s="1092">
        <f>IF(DB286=0,0,DB287/DB286)*100</f>
        <v>0</v>
      </c>
      <c r="DC288" s="1093"/>
      <c r="DD288" s="1092">
        <f>IF(DD286=0,0,DD287/DD286)*100</f>
        <v>0</v>
      </c>
      <c r="DE288" s="1092">
        <f>IF(DE286=0,0,DE287/DE286)*100</f>
        <v>0</v>
      </c>
      <c r="DF288" s="1093"/>
      <c r="DG288" s="1092">
        <f>IF(DG286=0,0,DG287/DG286)*100</f>
        <v>0</v>
      </c>
      <c r="DH288" s="1092">
        <f>IF(DH286=0,0,DH287/DH286)*100</f>
        <v>0</v>
      </c>
      <c r="DI288" s="1093"/>
      <c r="DJ288" s="1092">
        <f>IF(DJ286=0,0,DJ287/DJ286)*100</f>
        <v>0</v>
      </c>
      <c r="DK288" s="1092">
        <f>IF(DK286=0,0,DK287/DK286)*100</f>
        <v>0</v>
      </c>
      <c r="DL288" s="1093"/>
      <c r="DM288" s="1092">
        <f>IF(DM286=0,0,DM287/DM286)*100</f>
        <v>0</v>
      </c>
      <c r="DN288" s="1092">
        <f>IF(DN286=0,0,DN287/DN286)*100</f>
        <v>0</v>
      </c>
      <c r="DO288" s="1093"/>
      <c r="DP288" s="1092">
        <f>IF(DP286=0,0,DP287/DP286)*100</f>
        <v>0</v>
      </c>
      <c r="DQ288" s="1092">
        <f>IF(DQ286=0,0,DQ287/DQ286)*100</f>
        <v>0</v>
      </c>
      <c r="DR288" s="1093"/>
      <c r="DS288" s="1092">
        <f>IF(DS286=0,0,DS287/DS286)*100</f>
        <v>0</v>
      </c>
      <c r="DT288" s="1092">
        <f>IF(DT286=0,0,DT287/DT286)*100</f>
        <v>0</v>
      </c>
      <c r="DU288" s="1093"/>
      <c r="DV288" s="1092">
        <f>IF(DV286=0,0,DV287/DV286)*100</f>
        <v>0</v>
      </c>
      <c r="DW288" s="1092">
        <f>IF(DW286=0,0,DW287/DW286)*100</f>
        <v>0</v>
      </c>
      <c r="DX288" s="1093"/>
      <c r="DY288" s="1092">
        <f>IF(DY286=0,0,DY287/DY286)*100</f>
        <v>0</v>
      </c>
      <c r="DZ288" s="1092">
        <f>IF(DZ286=0,0,DZ287/DZ286)*100</f>
        <v>0</v>
      </c>
      <c r="EA288" s="1093"/>
      <c r="EB288" s="1092">
        <f>IF(EB286=0,0,EB287/EB286)*100</f>
        <v>0</v>
      </c>
      <c r="EC288" s="1092">
        <f>IF(EC286=0,0,EC287/EC286)*100</f>
        <v>0</v>
      </c>
      <c r="ED288" s="1093"/>
      <c r="EE288" s="1092">
        <f>IF(EE286=0,0,EE287/EE286)*100</f>
        <v>0</v>
      </c>
      <c r="EF288" s="1092">
        <f>IF(EF286=0,0,EF287/EF286)*100</f>
        <v>0</v>
      </c>
      <c r="EG288" s="1093"/>
      <c r="EH288" s="1092">
        <f>IF(EH286=0,0,EH287/EH286)*100</f>
        <v>0</v>
      </c>
      <c r="EI288" s="1092">
        <f>IF(EI286=0,0,EI287/EI286)*100</f>
        <v>0</v>
      </c>
      <c r="EJ288" s="1093"/>
      <c r="EK288" s="1092">
        <f>IF(EK286=0,0,EK287/EK286)*100</f>
        <v>0</v>
      </c>
      <c r="EL288" s="1092">
        <f>IF(EL286=0,0,EL287/EL286)*100</f>
        <v>0</v>
      </c>
      <c r="EM288" s="1093"/>
      <c r="EN288" s="1092">
        <f>IF(EN286=0,0,EN287/EN286)*100</f>
        <v>0</v>
      </c>
      <c r="EO288" s="1092">
        <f>IF(EO286=0,0,EO287/EO286)*100</f>
        <v>0</v>
      </c>
      <c r="EP288" s="1093"/>
      <c r="EQ288" s="1092">
        <f>IF(EQ286=0,0,EQ287/EQ286)*100</f>
        <v>0</v>
      </c>
      <c r="ER288" s="1092">
        <f>IF(ER286=0,0,ER287/ER286)*100</f>
        <v>0</v>
      </c>
      <c r="ES288" s="1093"/>
      <c r="ET288" s="1092">
        <f>IF(ET286=0,0,ET287/ET286)*100</f>
        <v>0</v>
      </c>
      <c r="EU288" s="1092">
        <f>IF(EU286=0,0,EU287/EU286)*100</f>
        <v>0</v>
      </c>
      <c r="EV288" s="1093"/>
      <c r="EW288" s="1092">
        <f>IF(EW286=0,0,EW287/EW286)*100</f>
        <v>0</v>
      </c>
      <c r="EX288" s="1092">
        <f>IF(EX286=0,0,EX287/EX286)*100</f>
        <v>0</v>
      </c>
      <c r="EY288" s="1093"/>
      <c r="EZ288" s="1092">
        <f>IF(EZ286=0,0,EZ287/EZ286)*100</f>
        <v>0</v>
      </c>
      <c r="FA288" s="1092">
        <f>IF(FA286=0,0,FA287/FA286)*100</f>
        <v>0</v>
      </c>
      <c r="FB288" s="1093"/>
      <c r="FC288" s="1092">
        <f>IF(FC286=0,0,FC287/FC286)*100</f>
        <v>0</v>
      </c>
      <c r="FD288" s="1092">
        <f>IF(FD286=0,0,FD287/FD286)*100</f>
        <v>0</v>
      </c>
      <c r="FE288" s="1093"/>
      <c r="FF288" s="1092">
        <f>IF(FF286=0,0,FF287/FF286)*100</f>
        <v>0</v>
      </c>
      <c r="FG288" s="1092">
        <f>IF(FG286=0,0,FG287/FG286)*100</f>
        <v>0</v>
      </c>
      <c r="FH288" s="1093"/>
      <c r="FI288" s="1092">
        <f>IF(FI286=0,0,FI287/FI286)*100</f>
        <v>0</v>
      </c>
      <c r="FJ288" s="1092">
        <f>IF(FJ286=0,0,FJ287/FJ286)*100</f>
        <v>0</v>
      </c>
      <c r="FK288" s="1093"/>
      <c r="FL288" s="1092">
        <f>IF(FL286=0,0,FL287/FL286)*100</f>
        <v>0</v>
      </c>
      <c r="FM288" s="1092">
        <f>IF(FM286=0,0,FM287/FM286)*100</f>
        <v>0</v>
      </c>
      <c r="FN288" s="1093"/>
      <c r="FO288" s="1092">
        <f>IF(FO286=0,0,FO287/FO286)*100</f>
        <v>0</v>
      </c>
      <c r="FP288" s="1092">
        <f>IF(FP286=0,0,FP287/FP286)*100</f>
        <v>0</v>
      </c>
      <c r="FQ288" s="1093"/>
      <c r="FR288" s="1092">
        <f>IF(FR286=0,0,FR287/FR286)*100</f>
        <v>0</v>
      </c>
      <c r="FS288" s="1092">
        <f>IF(FS286=0,0,FS287/FS286)*100</f>
        <v>0</v>
      </c>
      <c r="FT288" s="1093"/>
      <c r="FU288" s="1092">
        <f>IF(FU286=0,0,FU287/FU286)*100</f>
        <v>0</v>
      </c>
      <c r="FV288" s="1092">
        <f>IF(FV286=0,0,FV287/FV286)*100</f>
        <v>0</v>
      </c>
      <c r="FW288" s="1093"/>
      <c r="FX288" s="292"/>
      <c r="FY288" s="1304"/>
      <c r="FZ288" s="1055" t="s">
        <v>2345</v>
      </c>
      <c r="GA288" s="1306"/>
      <c r="GB288" s="1306"/>
      <c r="GC288" s="1305"/>
      <c r="GD288" s="1305"/>
    </row>
    <row s="1834" customFormat="1" customHeight="1" ht="14.25">
      <c r="A289" s="493"/>
      <c r="B289" s="925" cm="1" t="str">
        <f t="array" ref="B289:B289">B288</f>
        <v>true</v>
      </c>
      <c r="C289" s="493"/>
      <c r="D289" s="493"/>
      <c r="E289" s="840">
        <v>15</v>
      </c>
      <c r="F289" s="50" cm="1" t="str">
        <f t="array" ref="F289:F289">OFFSET(E289,-1,1)</f>
        <v>4</v>
      </c>
      <c r="G289" s="107" t="s">
        <v>2346</v>
      </c>
      <c r="H289" s="493" t="s">
        <v>1182</v>
      </c>
      <c r="I289" s="493" t="s">
        <v>2343</v>
      </c>
      <c r="J289" s="493"/>
      <c r="K289" s="493"/>
      <c r="L289" s="493"/>
      <c r="M289" s="493"/>
      <c r="N289" s="493"/>
      <c r="O289" s="493"/>
      <c r="P289" s="493"/>
      <c r="Q289" s="493"/>
      <c r="R289" s="493"/>
      <c r="S289" s="493"/>
      <c r="T289" s="465" cm="1" t="str">
        <f t="array" ref="T289:T289">T288</f>
        <v>true</v>
      </c>
      <c r="U289" s="493"/>
      <c r="V289" s="493"/>
      <c r="W289" s="493"/>
      <c r="X289" s="1596"/>
      <c r="Y289" s="493"/>
      <c r="Z289" s="1545"/>
      <c r="AA289" s="493"/>
      <c r="AB289" s="1089" t="s">
        <v>2347</v>
      </c>
      <c r="AC289" s="864" t="s">
        <v>1247</v>
      </c>
      <c r="AD289" s="1094">
        <f>IF(AND(method_reg="Метод индексации",god&lt;&gt;first_year),_xlfn.SUMIFS(INDEX('Калькуляция (МИ корр)'!$AJ$25:$BC$747,,MATCH(AD$8,'Калькуляция (МИ корр)'!$AJ$8:$BC$8,0)),'Калькуляция (МИ корр)'!$F$25:$F$747,$F289,'Калькуляция (МИ корр)'!$G$25:$G$747,$G289),IF(method_reg="Метод экономически обоснованных расходов",_xlfn.SUMIFS('Калькуляция (МЭОР)'!$AJ$25:$AJ$452,'Калькуляция (МЭОР)'!$F$25:$F$452,$F289,'Калькуляция (МЭОР)'!$G$25:$G$452,$G289),IF(method_reg="Метод сравнения аналогов",_xlfn.SUMIFS('Калькуляция (МСА)'!$AE$25:$AE$122,'Калькуляция (МСА)'!$F$25:$F$122,$F289,'Калькуляция (МСА)'!$G$25:$G$122,$G289),_xlfn.SUMIFS(INDEX('Калькуляция (МИ)'!$AJ$25:$BC$747,,MATCH(AD$8,'Калькуляция (МИ)'!$AJ$8:$BC$8,0)),'Калькуляция (МИ)'!$F$25:$F$747,$F289,'Калькуляция (МИ)'!$G$25:$G$747,$G289))))</f>
        <v>1025.10255</v>
      </c>
      <c r="AE289" s="1094">
        <f>IF(AND(method_reg="Метод индексации",god&lt;&gt;first_year),_xlfn.SUMIFS(INDEX('Калькуляция (МИ корр)'!$AJ$25:$BC$747,,MATCH(AE$8,'Калькуляция (МИ корр)'!$AJ$8:$BC$8,0)),'Калькуляция (МИ корр)'!$F$25:$F$747,$F289,'Калькуляция (МИ корр)'!$G$25:$G$747,$G289),IF(method_reg="Метод экономически обоснованных расходов",_xlfn.SUMIFS('Калькуляция (МЭОР)'!$AK$25:$AK$452,'Калькуляция (МЭОР)'!$F$25:$F$452,$F289,'Калькуляция (МЭОР)'!$G$25:$G$452,$G289),IF(method_reg="Метод сравнения аналогов",_xlfn.SUMIFS('Калькуляция (МСА)'!$AF$25:$AF$122,'Калькуляция (МСА)'!$F$25:$F$122,$F289,'Калькуляция (МСА)'!$G$25:$G$122,$G289),_xlfn.SUMIFS(INDEX('Калькуляция (МИ)'!$AJ$25:$BC$747,,MATCH(AE$8,'Калькуляция (МИ)'!$AJ$8:$BC$8,0)),'Калькуляция (МИ)'!$F$25:$F$747,$F289,'Калькуляция (МИ)'!$G$25:$G$747,$G289))))</f>
        <v>1025.10255</v>
      </c>
      <c r="AF289" s="1095">
        <f>IF(AD289=0,0,(AE289-AD289)/AD289*100)</f>
        <v>0</v>
      </c>
      <c r="AG289" s="1094">
        <f>IF(AND(method_reg="Метод индексации",god&lt;&gt;first_year),_xlfn.SUMIFS(INDEX('Калькуляция (МИ корр)'!$AJ$25:$BC$747,,MATCH(AG$8,'Калькуляция (МИ корр)'!$AJ$8:$BC$8,0)),'Калькуляция (МИ корр)'!$F$25:$F$747,$F289,'Калькуляция (МИ корр)'!$G$25:$G$747,$G289),IF(method_reg="Метод экономически обоснованных расходов",_xlfn.SUMIFS('Калькуляция (МЭОР)'!$AJ$25:$AJ$452,'Калькуляция (МЭОР)'!$F$25:$F$452,$F289,'Калькуляция (МЭОР)'!$G$25:$G$452,$G289),IF(method_reg="Метод сравнения аналогов",_xlfn.SUMIFS('Калькуляция (МСА)'!$AE$25:$AE$122,'Калькуляция (МСА)'!$F$25:$F$122,$F289,'Калькуляция (МСА)'!$G$25:$G$122,$G289),_xlfn.SUMIFS(INDEX('Калькуляция (МИ)'!$AJ$25:$BC$747,,MATCH(AG$8,'Калькуляция (МИ)'!$AJ$8:$BC$8,0)),'Калькуляция (МИ)'!$F$25:$F$747,$F289,'Калькуляция (МИ)'!$G$25:$G$747,$G289))))</f>
        <v>1025.10255</v>
      </c>
      <c r="AH289" s="1094">
        <f>IF(AND(method_reg="Метод индексации",god&lt;&gt;first_year),_xlfn.SUMIFS(INDEX('Калькуляция (МИ корр)'!$AJ$25:$BC$747,,MATCH(AH$8,'Калькуляция (МИ корр)'!$AJ$8:$BC$8,0)),'Калькуляция (МИ корр)'!$F$25:$F$747,$F289,'Калькуляция (МИ корр)'!$G$25:$G$747,$G289),IF(method_reg="Метод экономически обоснованных расходов",_xlfn.SUMIFS('Калькуляция (МЭОР)'!$AK$25:$AK$452,'Калькуляция (МЭОР)'!$F$25:$F$452,$F289,'Калькуляция (МЭОР)'!$G$25:$G$452,$G289),IF(method_reg="Метод сравнения аналогов",_xlfn.SUMIFS('Калькуляция (МСА)'!$AF$25:$AF$122,'Калькуляция (МСА)'!$F$25:$F$122,$F289,'Калькуляция (МСА)'!$G$25:$G$122,$G289),_xlfn.SUMIFS(INDEX('Калькуляция (МИ)'!$AJ$25:$BC$747,,MATCH(AH$8,'Калькуляция (МИ)'!$AJ$8:$BC$8,0)),'Калькуляция (МИ)'!$F$25:$F$747,$F289,'Калькуляция (МИ)'!$G$25:$G$747,$G289))))</f>
        <v>1025.10255</v>
      </c>
      <c r="AI289" s="1095">
        <f>IF(AG289=0,0,(AH289-AG289)/AG289*100)</f>
        <v>0</v>
      </c>
      <c r="AJ289" s="1094">
        <f>IF(AND(method_reg="Метод индексации",god&lt;&gt;first_year),_xlfn.SUMIFS(INDEX('Калькуляция (МИ корр)'!$AJ$25:$BC$747,,MATCH(AJ$8,'Калькуляция (МИ корр)'!$AJ$8:$BC$8,0)),'Калькуляция (МИ корр)'!$F$25:$F$747,$F289,'Калькуляция (МИ корр)'!$G$25:$G$747,$G289),IF(method_reg="Метод экономически обоснованных расходов",_xlfn.SUMIFS('Калькуляция (МЭОР)'!$AJ$25:$AJ$452,'Калькуляция (МЭОР)'!$F$25:$F$452,$F289,'Калькуляция (МЭОР)'!$G$25:$G$452,$G289),IF(method_reg="Метод сравнения аналогов",_xlfn.SUMIFS('Калькуляция (МСА)'!$AE$25:$AE$122,'Калькуляция (МСА)'!$F$25:$F$122,$F289,'Калькуляция (МСА)'!$G$25:$G$122,$G289),_xlfn.SUMIFS(INDEX('Калькуляция (МИ)'!$AJ$25:$BC$747,,MATCH(AJ$8,'Калькуляция (МИ)'!$AJ$8:$BC$8,0)),'Калькуляция (МИ)'!$F$25:$F$747,$F289,'Калькуляция (МИ)'!$G$25:$G$747,$G289))))</f>
        <v>1025.10255</v>
      </c>
      <c r="AK289" s="1094">
        <f>IF(AND(method_reg="Метод индексации",god&lt;&gt;first_year),_xlfn.SUMIFS(INDEX('Калькуляция (МИ корр)'!$AJ$25:$BC$747,,MATCH(AK$8,'Калькуляция (МИ корр)'!$AJ$8:$BC$8,0)),'Калькуляция (МИ корр)'!$F$25:$F$747,$F289,'Калькуляция (МИ корр)'!$G$25:$G$747,$G289),IF(method_reg="Метод экономически обоснованных расходов",_xlfn.SUMIFS('Калькуляция (МЭОР)'!$AK$25:$AK$452,'Калькуляция (МЭОР)'!$F$25:$F$452,$F289,'Калькуляция (МЭОР)'!$G$25:$G$452,$G289),IF(method_reg="Метод сравнения аналогов",_xlfn.SUMIFS('Калькуляция (МСА)'!$AF$25:$AF$122,'Калькуляция (МСА)'!$F$25:$F$122,$F289,'Калькуляция (МСА)'!$G$25:$G$122,$G289),_xlfn.SUMIFS(INDEX('Калькуляция (МИ)'!$AJ$25:$BC$747,,MATCH(AK$8,'Калькуляция (МИ)'!$AJ$8:$BC$8,0)),'Калькуляция (МИ)'!$F$25:$F$747,$F289,'Калькуляция (МИ)'!$G$25:$G$747,$G289))))</f>
        <v>1025.10255</v>
      </c>
      <c r="AL289" s="1095">
        <f>IF(AJ289=0,0,(AK289-AJ289)/AJ289*100)</f>
        <v>0</v>
      </c>
      <c r="AM289" s="1094">
        <f>IF(AND(method_reg="Метод индексации",god&lt;&gt;first_year),_xlfn.SUMIFS(INDEX('Калькуляция (МИ корр)'!$AJ$25:$BC$747,,MATCH(AM$8,'Калькуляция (МИ корр)'!$AJ$8:$BC$8,0)),'Калькуляция (МИ корр)'!$F$25:$F$747,$F289,'Калькуляция (МИ корр)'!$G$25:$G$747,$G289),IF(method_reg="Метод экономически обоснованных расходов",_xlfn.SUMIFS('Калькуляция (МЭОР)'!$AJ$25:$AJ$452,'Калькуляция (МЭОР)'!$F$25:$F$452,$F289,'Калькуляция (МЭОР)'!$G$25:$G$452,$G289),IF(method_reg="Метод сравнения аналогов",_xlfn.SUMIFS('Калькуляция (МСА)'!$AE$25:$AE$122,'Калькуляция (МСА)'!$F$25:$F$122,$F289,'Калькуляция (МСА)'!$G$25:$G$122,$G289),_xlfn.SUMIFS(INDEX('Калькуляция (МИ)'!$AJ$25:$BC$747,,MATCH(AM$8,'Калькуляция (МИ)'!$AJ$8:$BC$8,0)),'Калькуляция (МИ)'!$F$25:$F$747,$F289,'Калькуляция (МИ)'!$G$25:$G$747,$G289))))</f>
        <v>1025.10255</v>
      </c>
      <c r="AN289" s="1094">
        <f>IF(AND(method_reg="Метод индексации",god&lt;&gt;first_year),_xlfn.SUMIFS(INDEX('Калькуляция (МИ корр)'!$AJ$25:$BC$747,,MATCH(AN$8,'Калькуляция (МИ корр)'!$AJ$8:$BC$8,0)),'Калькуляция (МИ корр)'!$F$25:$F$747,$F289,'Калькуляция (МИ корр)'!$G$25:$G$747,$G289),IF(method_reg="Метод экономически обоснованных расходов",_xlfn.SUMIFS('Калькуляция (МЭОР)'!$AK$25:$AK$452,'Калькуляция (МЭОР)'!$F$25:$F$452,$F289,'Калькуляция (МЭОР)'!$G$25:$G$452,$G289),IF(method_reg="Метод сравнения аналогов",_xlfn.SUMIFS('Калькуляция (МСА)'!$AF$25:$AF$122,'Калькуляция (МСА)'!$F$25:$F$122,$F289,'Калькуляция (МСА)'!$G$25:$G$122,$G289),_xlfn.SUMIFS(INDEX('Калькуляция (МИ)'!$AJ$25:$BC$747,,MATCH(AN$8,'Калькуляция (МИ)'!$AJ$8:$BC$8,0)),'Калькуляция (МИ)'!$F$25:$F$747,$F289,'Калькуляция (МИ)'!$G$25:$G$747,$G289))))</f>
        <v>1025.10255</v>
      </c>
      <c r="AO289" s="1095">
        <f>IF(AM289=0,0,(AN289-AM289)/AM289*100)</f>
        <v>0</v>
      </c>
      <c r="AP289" s="1094">
        <f>IF(AND(method_reg="Метод индексации",god&lt;&gt;first_year),_xlfn.SUMIFS(INDEX('Калькуляция (МИ корр)'!$AJ$25:$BC$747,,MATCH(AP$8,'Калькуляция (МИ корр)'!$AJ$8:$BC$8,0)),'Калькуляция (МИ корр)'!$F$25:$F$747,$F289,'Калькуляция (МИ корр)'!$G$25:$G$747,$G289),IF(method_reg="Метод экономически обоснованных расходов",_xlfn.SUMIFS('Калькуляция (МЭОР)'!$AJ$25:$AJ$452,'Калькуляция (МЭОР)'!$F$25:$F$452,$F289,'Калькуляция (МЭОР)'!$G$25:$G$452,$G289),IF(method_reg="Метод сравнения аналогов",_xlfn.SUMIFS('Калькуляция (МСА)'!$AE$25:$AE$122,'Калькуляция (МСА)'!$F$25:$F$122,$F289,'Калькуляция (МСА)'!$G$25:$G$122,$G289),_xlfn.SUMIFS(INDEX('Калькуляция (МИ)'!$AJ$25:$BC$747,,MATCH(AP$8,'Калькуляция (МИ)'!$AJ$8:$BC$8,0)),'Калькуляция (МИ)'!$F$25:$F$747,$F289,'Калькуляция (МИ)'!$G$25:$G$747,$G289))))</f>
        <v>1025.10255</v>
      </c>
      <c r="AQ289" s="1094">
        <f>IF(AND(method_reg="Метод индексации",god&lt;&gt;first_year),_xlfn.SUMIFS(INDEX('Калькуляция (МИ корр)'!$AJ$25:$BC$747,,MATCH(AQ$8,'Калькуляция (МИ корр)'!$AJ$8:$BC$8,0)),'Калькуляция (МИ корр)'!$F$25:$F$747,$F289,'Калькуляция (МИ корр)'!$G$25:$G$747,$G289),IF(method_reg="Метод экономически обоснованных расходов",_xlfn.SUMIFS('Калькуляция (МЭОР)'!$AK$25:$AK$452,'Калькуляция (МЭОР)'!$F$25:$F$452,$F289,'Калькуляция (МЭОР)'!$G$25:$G$452,$G289),IF(method_reg="Метод сравнения аналогов",_xlfn.SUMIFS('Калькуляция (МСА)'!$AF$25:$AF$122,'Калькуляция (МСА)'!$F$25:$F$122,$F289,'Калькуляция (МСА)'!$G$25:$G$122,$G289),_xlfn.SUMIFS(INDEX('Калькуляция (МИ)'!$AJ$25:$BC$747,,MATCH(AQ$8,'Калькуляция (МИ)'!$AJ$8:$BC$8,0)),'Калькуляция (МИ)'!$F$25:$F$747,$F289,'Калькуляция (МИ)'!$G$25:$G$747,$G289))))</f>
        <v>1025.10255</v>
      </c>
      <c r="AR289" s="1095">
        <f>IF(AP289=0,0,(AQ289-AP289)/AP289*100)</f>
        <v>0</v>
      </c>
      <c r="AS289" s="5247">
        <f>IF(AND(method_reg="Метод индексации",god&lt;&gt;first_year),_xlfn.SUMIFS(INDEX('Калькуляция (МИ корр)'!$AJ$25:$BC$747,,MATCH(AS$8,'Калькуляция (МИ корр)'!$AJ$8:$BC$8,0)),'Калькуляция (МИ корр)'!$F$25:$F$747,$F289,'Калькуляция (МИ корр)'!$G$25:$G$747,$G289),IF(method_reg="Метод экономически обоснованных расходов",_xlfn.SUMIFS('Калькуляция (МЭОР)'!$AJ$25:$AJ$452,'Калькуляция (МЭОР)'!$F$25:$F$452,$F289,'Калькуляция (МЭОР)'!$G$25:$G$452,$G289),IF(method_reg="Метод сравнения аналогов",_xlfn.SUMIFS('Калькуляция (МСА)'!$AE$25:$AE$122,'Калькуляция (МСА)'!$F$25:$F$122,$F289,'Калькуляция (МСА)'!$G$25:$G$122,$G289),_xlfn.SUMIFS(INDEX('Калькуляция (МИ)'!$AJ$25:$BC$747,,MATCH(AS$8,'Калькуляция (МИ)'!$AJ$8:$BC$8,0)),'Калькуляция (МИ)'!$F$25:$F$747,$F289,'Калькуляция (МИ)'!$G$25:$G$747,$G289))))</f>
        <v>0</v>
      </c>
      <c r="AT289" s="5247">
        <f>IF(AND(method_reg="Метод индексации",god&lt;&gt;first_year),_xlfn.SUMIFS(INDEX('Калькуляция (МИ корр)'!$AJ$25:$BC$747,,MATCH(AT$8,'Калькуляция (МИ корр)'!$AJ$8:$BC$8,0)),'Калькуляция (МИ корр)'!$F$25:$F$747,$F289,'Калькуляция (МИ корр)'!$G$25:$G$747,$G289),IF(method_reg="Метод экономически обоснованных расходов",_xlfn.SUMIFS('Калькуляция (МЭОР)'!$AK$25:$AK$452,'Калькуляция (МЭОР)'!$F$25:$F$452,$F289,'Калькуляция (МЭОР)'!$G$25:$G$452,$G289),IF(method_reg="Метод сравнения аналогов",_xlfn.SUMIFS('Калькуляция (МСА)'!$AF$25:$AF$122,'Калькуляция (МСА)'!$F$25:$F$122,$F289,'Калькуляция (МСА)'!$G$25:$G$122,$G289),_xlfn.SUMIFS(INDEX('Калькуляция (МИ)'!$AJ$25:$BC$747,,MATCH(AT$8,'Калькуляция (МИ)'!$AJ$8:$BC$8,0)),'Калькуляция (МИ)'!$F$25:$F$747,$F289,'Калькуляция (МИ)'!$G$25:$G$747,$G289))))</f>
        <v>0</v>
      </c>
      <c r="AU289" s="1095">
        <f>IF(AS289=0,0,(AT289-AS289)/AS289*100)</f>
        <v>0</v>
      </c>
      <c r="AV289" s="5247">
        <f>IF(AND(method_reg="Метод индексации",god&lt;&gt;first_year),_xlfn.SUMIFS(INDEX('Калькуляция (МИ корр)'!$AJ$25:$BC$747,,MATCH(AV$8,'Калькуляция (МИ корр)'!$AJ$8:$BC$8,0)),'Калькуляция (МИ корр)'!$F$25:$F$747,$F289,'Калькуляция (МИ корр)'!$G$25:$G$747,$G289),IF(method_reg="Метод экономически обоснованных расходов",_xlfn.SUMIFS('Калькуляция (МЭОР)'!$AJ$25:$AJ$452,'Калькуляция (МЭОР)'!$F$25:$F$452,$F289,'Калькуляция (МЭОР)'!$G$25:$G$452,$G289),IF(method_reg="Метод сравнения аналогов",_xlfn.SUMIFS('Калькуляция (МСА)'!$AE$25:$AE$122,'Калькуляция (МСА)'!$F$25:$F$122,$F289,'Калькуляция (МСА)'!$G$25:$G$122,$G289),_xlfn.SUMIFS(INDEX('Калькуляция (МИ)'!$AJ$25:$BC$747,,MATCH(AV$8,'Калькуляция (МИ)'!$AJ$8:$BC$8,0)),'Калькуляция (МИ)'!$F$25:$F$747,$F289,'Калькуляция (МИ)'!$G$25:$G$747,$G289))))</f>
        <v>0</v>
      </c>
      <c r="AW289" s="5247">
        <f>IF(AND(method_reg="Метод индексации",god&lt;&gt;first_year),_xlfn.SUMIFS(INDEX('Калькуляция (МИ корр)'!$AJ$25:$BC$747,,MATCH(AW$8,'Калькуляция (МИ корр)'!$AJ$8:$BC$8,0)),'Калькуляция (МИ корр)'!$F$25:$F$747,$F289,'Калькуляция (МИ корр)'!$G$25:$G$747,$G289),IF(method_reg="Метод экономически обоснованных расходов",_xlfn.SUMIFS('Калькуляция (МЭОР)'!$AK$25:$AK$452,'Калькуляция (МЭОР)'!$F$25:$F$452,$F289,'Калькуляция (МЭОР)'!$G$25:$G$452,$G289),IF(method_reg="Метод сравнения аналогов",_xlfn.SUMIFS('Калькуляция (МСА)'!$AF$25:$AF$122,'Калькуляция (МСА)'!$F$25:$F$122,$F289,'Калькуляция (МСА)'!$G$25:$G$122,$G289),_xlfn.SUMIFS(INDEX('Калькуляция (МИ)'!$AJ$25:$BC$747,,MATCH(AW$8,'Калькуляция (МИ)'!$AJ$8:$BC$8,0)),'Калькуляция (МИ)'!$F$25:$F$747,$F289,'Калькуляция (МИ)'!$G$25:$G$747,$G289))))</f>
        <v>0</v>
      </c>
      <c r="AX289" s="1095">
        <f>IF(AV289=0,0,(AW289-AV289)/AV289*100)</f>
        <v>0</v>
      </c>
      <c r="AY289" s="5247">
        <f>IF(AND(method_reg="Метод индексации",god&lt;&gt;first_year),_xlfn.SUMIFS(INDEX('Калькуляция (МИ корр)'!$AJ$25:$BC$747,,MATCH(AY$8,'Калькуляция (МИ корр)'!$AJ$8:$BC$8,0)),'Калькуляция (МИ корр)'!$F$25:$F$747,$F289,'Калькуляция (МИ корр)'!$G$25:$G$747,$G289),IF(method_reg="Метод экономически обоснованных расходов",_xlfn.SUMIFS('Калькуляция (МЭОР)'!$AJ$25:$AJ$452,'Калькуляция (МЭОР)'!$F$25:$F$452,$F289,'Калькуляция (МЭОР)'!$G$25:$G$452,$G289),IF(method_reg="Метод сравнения аналогов",_xlfn.SUMIFS('Калькуляция (МСА)'!$AE$25:$AE$122,'Калькуляция (МСА)'!$F$25:$F$122,$F289,'Калькуляция (МСА)'!$G$25:$G$122,$G289),_xlfn.SUMIFS(INDEX('Калькуляция (МИ)'!$AJ$25:$BC$747,,MATCH(AY$8,'Калькуляция (МИ)'!$AJ$8:$BC$8,0)),'Калькуляция (МИ)'!$F$25:$F$747,$F289,'Калькуляция (МИ)'!$G$25:$G$747,$G289))))</f>
        <v>0</v>
      </c>
      <c r="AZ289" s="5247">
        <f>IF(AND(method_reg="Метод индексации",god&lt;&gt;first_year),_xlfn.SUMIFS(INDEX('Калькуляция (МИ корр)'!$AJ$25:$BC$747,,MATCH(AZ$8,'Калькуляция (МИ корр)'!$AJ$8:$BC$8,0)),'Калькуляция (МИ корр)'!$F$25:$F$747,$F289,'Калькуляция (МИ корр)'!$G$25:$G$747,$G289),IF(method_reg="Метод экономически обоснованных расходов",_xlfn.SUMIFS('Калькуляция (МЭОР)'!$AK$25:$AK$452,'Калькуляция (МЭОР)'!$F$25:$F$452,$F289,'Калькуляция (МЭОР)'!$G$25:$G$452,$G289),IF(method_reg="Метод сравнения аналогов",_xlfn.SUMIFS('Калькуляция (МСА)'!$AF$25:$AF$122,'Калькуляция (МСА)'!$F$25:$F$122,$F289,'Калькуляция (МСА)'!$G$25:$G$122,$G289),_xlfn.SUMIFS(INDEX('Калькуляция (МИ)'!$AJ$25:$BC$747,,MATCH(AZ$8,'Калькуляция (МИ)'!$AJ$8:$BC$8,0)),'Калькуляция (МИ)'!$F$25:$F$747,$F289,'Калькуляция (МИ)'!$G$25:$G$747,$G289))))</f>
        <v>0</v>
      </c>
      <c r="BA289" s="1095">
        <f>IF(AY289=0,0,(AZ289-AY289)/AY289*100)</f>
        <v>0</v>
      </c>
      <c r="BB289" s="5247">
        <f>IF(AND(method_reg="Метод индексации",god&lt;&gt;first_year),_xlfn.SUMIFS(INDEX('Калькуляция (МИ корр)'!$AJ$25:$BC$747,,MATCH(BB$8,'Калькуляция (МИ корр)'!$AJ$8:$BC$8,0)),'Калькуляция (МИ корр)'!$F$25:$F$747,$F289,'Калькуляция (МИ корр)'!$G$25:$G$747,$G289),IF(method_reg="Метод экономически обоснованных расходов",_xlfn.SUMIFS('Калькуляция (МЭОР)'!$AJ$25:$AJ$452,'Калькуляция (МЭОР)'!$F$25:$F$452,$F289,'Калькуляция (МЭОР)'!$G$25:$G$452,$G289),IF(method_reg="Метод сравнения аналогов",_xlfn.SUMIFS('Калькуляция (МСА)'!$AE$25:$AE$122,'Калькуляция (МСА)'!$F$25:$F$122,$F289,'Калькуляция (МСА)'!$G$25:$G$122,$G289),_xlfn.SUMIFS(INDEX('Калькуляция (МИ)'!$AJ$25:$BC$747,,MATCH(BB$8,'Калькуляция (МИ)'!$AJ$8:$BC$8,0)),'Калькуляция (МИ)'!$F$25:$F$747,$F289,'Калькуляция (МИ)'!$G$25:$G$747,$G289))))</f>
        <v>0</v>
      </c>
      <c r="BC289" s="5247">
        <f>IF(AND(method_reg="Метод индексации",god&lt;&gt;first_year),_xlfn.SUMIFS(INDEX('Калькуляция (МИ корр)'!$AJ$25:$BC$747,,MATCH(BC$8,'Калькуляция (МИ корр)'!$AJ$8:$BC$8,0)),'Калькуляция (МИ корр)'!$F$25:$F$747,$F289,'Калькуляция (МИ корр)'!$G$25:$G$747,$G289),IF(method_reg="Метод экономически обоснованных расходов",_xlfn.SUMIFS('Калькуляция (МЭОР)'!$AK$25:$AK$452,'Калькуляция (МЭОР)'!$F$25:$F$452,$F289,'Калькуляция (МЭОР)'!$G$25:$G$452,$G289),IF(method_reg="Метод сравнения аналогов",_xlfn.SUMIFS('Калькуляция (МСА)'!$AF$25:$AF$122,'Калькуляция (МСА)'!$F$25:$F$122,$F289,'Калькуляция (МСА)'!$G$25:$G$122,$G289),_xlfn.SUMIFS(INDEX('Калькуляция (МИ)'!$AJ$25:$BC$747,,MATCH(BC$8,'Калькуляция (МИ)'!$AJ$8:$BC$8,0)),'Калькуляция (МИ)'!$F$25:$F$747,$F289,'Калькуляция (МИ)'!$G$25:$G$747,$G289))))</f>
        <v>0</v>
      </c>
      <c r="BD289" s="1095">
        <f>IF(BB289=0,0,(BC289-BB289)/BB289*100)</f>
        <v>0</v>
      </c>
      <c r="BE289" s="5247">
        <f>IF(AND(method_reg="Метод индексации",god&lt;&gt;first_year),_xlfn.SUMIFS(INDEX('Калькуляция (МИ корр)'!$AJ$25:$BC$747,,MATCH(BE$8,'Калькуляция (МИ корр)'!$AJ$8:$BC$8,0)),'Калькуляция (МИ корр)'!$F$25:$F$747,$F289,'Калькуляция (МИ корр)'!$G$25:$G$747,$G289),IF(method_reg="Метод экономически обоснованных расходов",_xlfn.SUMIFS('Калькуляция (МЭОР)'!$AJ$25:$AJ$452,'Калькуляция (МЭОР)'!$F$25:$F$452,$F289,'Калькуляция (МЭОР)'!$G$25:$G$452,$G289),IF(method_reg="Метод сравнения аналогов",_xlfn.SUMIFS('Калькуляция (МСА)'!$AE$25:$AE$122,'Калькуляция (МСА)'!$F$25:$F$122,$F289,'Калькуляция (МСА)'!$G$25:$G$122,$G289),_xlfn.SUMIFS(INDEX('Калькуляция (МИ)'!$AJ$25:$BC$747,,MATCH(BE$8,'Калькуляция (МИ)'!$AJ$8:$BC$8,0)),'Калькуляция (МИ)'!$F$25:$F$747,$F289,'Калькуляция (МИ)'!$G$25:$G$747,$G289))))</f>
        <v>0</v>
      </c>
      <c r="BF289" s="5247">
        <f>IF(AND(method_reg="Метод индексации",god&lt;&gt;first_year),_xlfn.SUMIFS(INDEX('Калькуляция (МИ корр)'!$AJ$25:$BC$747,,MATCH(BF$8,'Калькуляция (МИ корр)'!$AJ$8:$BC$8,0)),'Калькуляция (МИ корр)'!$F$25:$F$747,$F289,'Калькуляция (МИ корр)'!$G$25:$G$747,$G289),IF(method_reg="Метод экономически обоснованных расходов",_xlfn.SUMIFS('Калькуляция (МЭОР)'!$AK$25:$AK$452,'Калькуляция (МЭОР)'!$F$25:$F$452,$F289,'Калькуляция (МЭОР)'!$G$25:$G$452,$G289),IF(method_reg="Метод сравнения аналогов",_xlfn.SUMIFS('Калькуляция (МСА)'!$AF$25:$AF$122,'Калькуляция (МСА)'!$F$25:$F$122,$F289,'Калькуляция (МСА)'!$G$25:$G$122,$G289),_xlfn.SUMIFS(INDEX('Калькуляция (МИ)'!$AJ$25:$BC$747,,MATCH(BF$8,'Калькуляция (МИ)'!$AJ$8:$BC$8,0)),'Калькуляция (МИ)'!$F$25:$F$747,$F289,'Калькуляция (МИ)'!$G$25:$G$747,$G289))))</f>
        <v>0</v>
      </c>
      <c r="BG289" s="1095">
        <f>IF(BE289=0,0,(BF289-BE289)/BE289*100)</f>
        <v>0</v>
      </c>
      <c r="BH289" s="5247"/>
      <c r="BI289" s="5247"/>
      <c r="BJ289" s="1095">
        <f>IF(BH289=0,0,(BI289-BH289)/BH289*100)</f>
        <v>0</v>
      </c>
      <c r="BK289" s="5247"/>
      <c r="BL289" s="5247"/>
      <c r="BM289" s="1095">
        <f>IF(BK289=0,0,(BL289-BK289)/BK289*100)</f>
        <v>0</v>
      </c>
      <c r="BN289" s="5247"/>
      <c r="BO289" s="5247"/>
      <c r="BP289" s="1095">
        <f>IF(BN289=0,0,(BO289-BN289)/BN289*100)</f>
        <v>0</v>
      </c>
      <c r="BQ289" s="5247"/>
      <c r="BR289" s="5247"/>
      <c r="BS289" s="1095">
        <f>IF(BQ289=0,0,(BR289-BQ289)/BQ289*100)</f>
        <v>0</v>
      </c>
      <c r="BT289" s="5247"/>
      <c r="BU289" s="5247"/>
      <c r="BV289" s="1095">
        <f>IF(BT289=0,0,(BU289-BT289)/BT289*100)</f>
        <v>0</v>
      </c>
      <c r="BW289" s="5247"/>
      <c r="BX289" s="5247"/>
      <c r="BY289" s="1095">
        <f>IF(BW289=0,0,(BX289-BW289)/BW289*100)</f>
        <v>0</v>
      </c>
      <c r="BZ289" s="5247"/>
      <c r="CA289" s="5247"/>
      <c r="CB289" s="1095">
        <f>IF(BZ289=0,0,(CA289-BZ289)/BZ289*100)</f>
        <v>0</v>
      </c>
      <c r="CC289" s="5247"/>
      <c r="CD289" s="5247"/>
      <c r="CE289" s="1095">
        <f>IF(CC289=0,0,(CD289-CC289)/CC289*100)</f>
        <v>0</v>
      </c>
      <c r="CF289" s="5247"/>
      <c r="CG289" s="5247"/>
      <c r="CH289" s="1095">
        <f>IF(CF289=0,0,(CG289-CF289)/CF289*100)</f>
        <v>0</v>
      </c>
      <c r="CI289" s="5247"/>
      <c r="CJ289" s="5247"/>
      <c r="CK289" s="1095">
        <f>IF(CI289=0,0,(CJ289-CI289)/CI289*100)</f>
        <v>0</v>
      </c>
      <c r="CL289" s="5247"/>
      <c r="CM289" s="5247"/>
      <c r="CN289" s="1095">
        <f>IF(CL289=0,0,(CM289-CL289)/CL289*100)</f>
        <v>0</v>
      </c>
      <c r="CO289" s="5247"/>
      <c r="CP289" s="5247"/>
      <c r="CQ289" s="1095">
        <f>IF(CO289=0,0,(CP289-CO289)/CO289*100)</f>
        <v>0</v>
      </c>
      <c r="CR289" s="5247"/>
      <c r="CS289" s="5247"/>
      <c r="CT289" s="1095">
        <f>IF(CR289=0,0,(CS289-CR289)/CR289*100)</f>
        <v>0</v>
      </c>
      <c r="CU289" s="5247"/>
      <c r="CV289" s="5247"/>
      <c r="CW289" s="1095">
        <f>IF(CU289=0,0,(CV289-CU289)/CU289*100)</f>
        <v>0</v>
      </c>
      <c r="CX289" s="5247"/>
      <c r="CY289" s="5247"/>
      <c r="CZ289" s="1095">
        <f>IF(CX289=0,0,(CY289-CX289)/CX289*100)</f>
        <v>0</v>
      </c>
      <c r="DA289" s="5247"/>
      <c r="DB289" s="5247"/>
      <c r="DC289" s="1095">
        <f>IF(DA289=0,0,(DB289-DA289)/DA289*100)</f>
        <v>0</v>
      </c>
      <c r="DD289" s="5247"/>
      <c r="DE289" s="5247"/>
      <c r="DF289" s="1095">
        <f>IF(DD289=0,0,(DE289-DD289)/DD289*100)</f>
        <v>0</v>
      </c>
      <c r="DG289" s="5247"/>
      <c r="DH289" s="5247"/>
      <c r="DI289" s="1095">
        <f>IF(DG289=0,0,(DH289-DG289)/DG289*100)</f>
        <v>0</v>
      </c>
      <c r="DJ289" s="5247"/>
      <c r="DK289" s="5247"/>
      <c r="DL289" s="1095">
        <f>IF(DJ289=0,0,(DK289-DJ289)/DJ289*100)</f>
        <v>0</v>
      </c>
      <c r="DM289" s="5247"/>
      <c r="DN289" s="5247"/>
      <c r="DO289" s="1095">
        <f>IF(DM289=0,0,(DN289-DM289)/DM289*100)</f>
        <v>0</v>
      </c>
      <c r="DP289" s="5247"/>
      <c r="DQ289" s="5247"/>
      <c r="DR289" s="1095">
        <f>IF(DP289=0,0,(DQ289-DP289)/DP289*100)</f>
        <v>0</v>
      </c>
      <c r="DS289" s="5247"/>
      <c r="DT289" s="5247"/>
      <c r="DU289" s="1095">
        <f>IF(DS289=0,0,(DT289-DS289)/DS289*100)</f>
        <v>0</v>
      </c>
      <c r="DV289" s="5247"/>
      <c r="DW289" s="5247"/>
      <c r="DX289" s="1095">
        <f>IF(DV289=0,0,(DW289-DV289)/DV289*100)</f>
        <v>0</v>
      </c>
      <c r="DY289" s="5247"/>
      <c r="DZ289" s="5247"/>
      <c r="EA289" s="1095">
        <f>IF(DY289=0,0,(DZ289-DY289)/DY289*100)</f>
        <v>0</v>
      </c>
      <c r="EB289" s="5247"/>
      <c r="EC289" s="5247"/>
      <c r="ED289" s="1095">
        <f>IF(EB289=0,0,(EC289-EB289)/EB289*100)</f>
        <v>0</v>
      </c>
      <c r="EE289" s="5247"/>
      <c r="EF289" s="5247"/>
      <c r="EG289" s="1095">
        <f>IF(EE289=0,0,(EF289-EE289)/EE289*100)</f>
        <v>0</v>
      </c>
      <c r="EH289" s="5247"/>
      <c r="EI289" s="5247"/>
      <c r="EJ289" s="1095">
        <f>IF(EH289=0,0,(EI289-EH289)/EH289*100)</f>
        <v>0</v>
      </c>
      <c r="EK289" s="5247"/>
      <c r="EL289" s="5247"/>
      <c r="EM289" s="1095">
        <f>IF(EK289=0,0,(EL289-EK289)/EK289*100)</f>
        <v>0</v>
      </c>
      <c r="EN289" s="5247"/>
      <c r="EO289" s="5247"/>
      <c r="EP289" s="1095">
        <f>IF(EN289=0,0,(EO289-EN289)/EN289*100)</f>
        <v>0</v>
      </c>
      <c r="EQ289" s="5247"/>
      <c r="ER289" s="5247"/>
      <c r="ES289" s="1095">
        <f>IF(EQ289=0,0,(ER289-EQ289)/EQ289*100)</f>
        <v>0</v>
      </c>
      <c r="ET289" s="5247"/>
      <c r="EU289" s="5247"/>
      <c r="EV289" s="1095">
        <f>IF(ET289=0,0,(EU289-ET289)/ET289*100)</f>
        <v>0</v>
      </c>
      <c r="EW289" s="5247"/>
      <c r="EX289" s="5247"/>
      <c r="EY289" s="1095">
        <f>IF(EW289=0,0,(EX289-EW289)/EW289*100)</f>
        <v>0</v>
      </c>
      <c r="EZ289" s="5247"/>
      <c r="FA289" s="5247"/>
      <c r="FB289" s="1095">
        <f>IF(EZ289=0,0,(FA289-EZ289)/EZ289*100)</f>
        <v>0</v>
      </c>
      <c r="FC289" s="5247"/>
      <c r="FD289" s="5247"/>
      <c r="FE289" s="1095">
        <f>IF(FC289=0,0,(FD289-FC289)/FC289*100)</f>
        <v>0</v>
      </c>
      <c r="FF289" s="5247"/>
      <c r="FG289" s="5247"/>
      <c r="FH289" s="1095">
        <f>IF(FF289=0,0,(FG289-FF289)/FF289*100)</f>
        <v>0</v>
      </c>
      <c r="FI289" s="5247"/>
      <c r="FJ289" s="5247"/>
      <c r="FK289" s="1095">
        <f>IF(FI289=0,0,(FJ289-FI289)/FI289*100)</f>
        <v>0</v>
      </c>
      <c r="FL289" s="5247"/>
      <c r="FM289" s="5247"/>
      <c r="FN289" s="1095">
        <f>IF(FL289=0,0,(FM289-FL289)/FL289*100)</f>
        <v>0</v>
      </c>
      <c r="FO289" s="5247"/>
      <c r="FP289" s="5247"/>
      <c r="FQ289" s="1095">
        <f>IF(FO289=0,0,(FP289-FO289)/FO289*100)</f>
        <v>0</v>
      </c>
      <c r="FR289" s="5247"/>
      <c r="FS289" s="5247"/>
      <c r="FT289" s="1095">
        <f>IF(FR289=0,0,(FS289-FR289)/FR289*100)</f>
        <v>0</v>
      </c>
      <c r="FU289" s="5247"/>
      <c r="FV289" s="5247"/>
      <c r="FW289" s="1095">
        <f>IF(FU289=0,0,(FV289-FU289)/FU289*100)</f>
        <v>0</v>
      </c>
      <c r="FX289" s="292"/>
      <c r="FY289" s="1304"/>
      <c r="FZ289" s="1055" t="s">
        <v>2348</v>
      </c>
      <c r="GA289" s="1306"/>
      <c r="GB289" s="1306"/>
      <c r="GC289" s="1305"/>
      <c r="GD289" s="1305"/>
    </row>
    <row s="6669" customFormat="1" customHeight="1" ht="23.25">
      <c r="A290" s="897"/>
      <c r="B290" s="925" cm="1" t="str">
        <f t="array" ref="B290:B290">B289</f>
        <v>true</v>
      </c>
      <c r="C290" s="897"/>
      <c r="D290" s="897"/>
      <c r="E290" s="898">
        <v>24.5</v>
      </c>
      <c r="F290" s="50" cm="1" t="str">
        <f t="array" ref="F290:F290">OFFSET(E290,-1,1)</f>
        <v>4</v>
      </c>
      <c r="G290" s="107" t="s">
        <v>2349</v>
      </c>
      <c r="H290" s="493" t="s">
        <v>1175</v>
      </c>
      <c r="I290" s="493" t="s">
        <v>2350</v>
      </c>
      <c r="J290" s="897"/>
      <c r="K290" s="897"/>
      <c r="L290" s="493"/>
      <c r="M290" s="897"/>
      <c r="N290" s="897"/>
      <c r="O290" s="897"/>
      <c r="P290" s="897"/>
      <c r="Q290" s="897"/>
      <c r="R290" s="493"/>
      <c r="S290" s="493"/>
      <c r="T290" s="465" cm="1" t="str">
        <f t="array" ref="T290:T290">T289</f>
        <v>true</v>
      </c>
      <c r="U290" s="897"/>
      <c r="V290" s="897"/>
      <c r="W290" s="897"/>
      <c r="X290" s="1596"/>
      <c r="Y290" s="897"/>
      <c r="Z290" s="1545"/>
      <c r="AA290" s="897"/>
      <c r="AB290" s="293" t="s">
        <v>2351</v>
      </c>
      <c r="AC290" s="294" t="s">
        <v>2337</v>
      </c>
      <c r="AD290" s="899">
        <f>IF(AND(method_reg="Метод индексации",god&lt;&gt;first_year),_xlfn.SUMIFS(INDEX('Калькуляция (МИ корр)'!$AJ$25:$BC$747,,MATCH(AD$8,'Калькуляция (МИ корр)'!$AJ$8:$BC$8,0)),'Калькуляция (МИ корр)'!$F$25:$F$747,$F290,'Калькуляция (МИ корр)'!$G$25:$G$747,$G290),IF(method_reg="Метод экономически обоснованных расходов",_xlfn.SUMIFS('Калькуляция (МЭОР)'!$AJ$25:$AJ$452,'Калькуляция (МЭОР)'!$F$25:$F$452,$F290,'Калькуляция (МЭОР)'!$G$25:$G$452,$G290),IF(method_reg="Метод сравнения аналогов",_xlfn.SUMIFS('Калькуляция (МСА)'!$AE$25:$AE$122,'Калькуляция (МСА)'!$F$25:$F$122,$F290,'Калькуляция (МСА)'!$G$25:$G$122,$G290),_xlfn.SUMIFS(INDEX('Калькуляция (МИ)'!$AJ$25:$BC$747,,MATCH(AD$8,'Калькуляция (МИ)'!$AJ$8:$BC$8,0)),'Калькуляция (МИ)'!$F$25:$F$747,$F290,'Калькуляция (МИ)'!$G$25:$G$747,$G290))))</f>
        <v>155.245</v>
      </c>
      <c r="AE290" s="899">
        <f>IF(AND(method_reg="Метод индексации",god&lt;&gt;first_year),_xlfn.SUMIFS(INDEX('Калькуляция (МИ корр)'!$AJ$25:$BC$747,,MATCH(AE$8,'Калькуляция (МИ корр)'!$AJ$8:$BC$8,0)),'Калькуляция (МИ корр)'!$F$25:$F$747,$F290,'Калькуляция (МИ корр)'!$G$25:$G$747,$G290),IF(method_reg="Метод экономически обоснованных расходов",_xlfn.SUMIFS('Калькуляция (МЭОР)'!$AK$25:$AK$452,'Калькуляция (МЭОР)'!$F$25:$F$452,$F290,'Калькуляция (МЭОР)'!$G$25:$G$452,$G290),IF(method_reg="Метод сравнения аналогов",_xlfn.SUMIFS('Калькуляция (МСА)'!$AF$25:$AF$122,'Калькуляция (МСА)'!$F$25:$F$122,$F290,'Калькуляция (МСА)'!$G$25:$G$122,$G290),_xlfn.SUMIFS(INDEX('Калькуляция (МИ)'!$AJ$25:$BC$747,,MATCH(AE$8,'Калькуляция (МИ)'!$AJ$8:$BC$8,0)),'Калькуляция (МИ)'!$F$25:$F$747,$F290,'Калькуляция (МИ)'!$G$25:$G$747,$G290))))</f>
        <v>155.245</v>
      </c>
      <c r="AF290" s="296">
        <f>IF(AD290=0,0,(AE290-AD290)/AD290*100)</f>
        <v>0</v>
      </c>
      <c r="AG290" s="899">
        <f>IF(AND(method_reg="Метод индексации",god&lt;&gt;first_year),_xlfn.SUMIFS(INDEX('Калькуляция (МИ корр)'!$AJ$25:$BC$747,,MATCH(AG$8,'Калькуляция (МИ корр)'!$AJ$8:$BC$8,0)),'Калькуляция (МИ корр)'!$F$25:$F$747,$F290,'Калькуляция (МИ корр)'!$G$25:$G$747,$G290),IF(method_reg="Метод экономически обоснованных расходов",_xlfn.SUMIFS('Калькуляция (МЭОР)'!$AJ$25:$AJ$452,'Калькуляция (МЭОР)'!$F$25:$F$452,$F290,'Калькуляция (МЭОР)'!$G$25:$G$452,$G290),IF(method_reg="Метод сравнения аналогов",_xlfn.SUMIFS('Калькуляция (МСА)'!$AE$25:$AE$122,'Калькуляция (МСА)'!$F$25:$F$122,$F290,'Калькуляция (МСА)'!$G$25:$G$122,$G290),_xlfn.SUMIFS(INDEX('Калькуляция (МИ)'!$AJ$25:$BC$747,,MATCH(AG$8,'Калькуляция (МИ)'!$AJ$8:$BC$8,0)),'Калькуляция (МИ)'!$F$25:$F$747,$F290,'Калькуляция (МИ)'!$G$25:$G$747,$G290))))</f>
        <v>163.0042</v>
      </c>
      <c r="AH290" s="899">
        <f>IF(AND(method_reg="Метод индексации",god&lt;&gt;first_year),_xlfn.SUMIFS(INDEX('Калькуляция (МИ корр)'!$AJ$25:$BC$747,,MATCH(AH$8,'Калькуляция (МИ корр)'!$AJ$8:$BC$8,0)),'Калькуляция (МИ корр)'!$F$25:$F$747,$F290,'Калькуляция (МИ корр)'!$G$25:$G$747,$G290),IF(method_reg="Метод экономически обоснованных расходов",_xlfn.SUMIFS('Калькуляция (МЭОР)'!$AK$25:$AK$452,'Калькуляция (МЭОР)'!$F$25:$F$452,$F290,'Калькуляция (МЭОР)'!$G$25:$G$452,$G290),IF(method_reg="Метод сравнения аналогов",_xlfn.SUMIFS('Калькуляция (МСА)'!$AF$25:$AF$122,'Калькуляция (МСА)'!$F$25:$F$122,$F290,'Калькуляция (МСА)'!$G$25:$G$122,$G290),_xlfn.SUMIFS(INDEX('Калькуляция (МИ)'!$AJ$25:$BC$747,,MATCH(AH$8,'Калькуляция (МИ)'!$AJ$8:$BC$8,0)),'Калькуляция (МИ)'!$F$25:$F$747,$F290,'Калькуляция (МИ)'!$G$25:$G$747,$G290))))</f>
        <v>163.004199581447</v>
      </c>
      <c r="AI290" s="296">
        <f>IF(AG290=0,0,(AH290-AG290)/AG290*100)</f>
        <v>-2.56774356763734e-7</v>
      </c>
      <c r="AJ290" s="899">
        <f>IF(AND(method_reg="Метод индексации",god&lt;&gt;first_year),_xlfn.SUMIFS(INDEX('Калькуляция (МИ корр)'!$AJ$25:$BC$747,,MATCH(AJ$8,'Калькуляция (МИ корр)'!$AJ$8:$BC$8,0)),'Калькуляция (МИ корр)'!$F$25:$F$747,$F290,'Калькуляция (МИ корр)'!$G$25:$G$747,$G290),IF(method_reg="Метод экономически обоснованных расходов",_xlfn.SUMIFS('Калькуляция (МЭОР)'!$AJ$25:$AJ$452,'Калькуляция (МЭОР)'!$F$25:$F$452,$F290,'Калькуляция (МЭОР)'!$G$25:$G$452,$G290),IF(method_reg="Метод сравнения аналогов",_xlfn.SUMIFS('Калькуляция (МСА)'!$AE$25:$AE$122,'Калькуляция (МСА)'!$F$25:$F$122,$F290,'Калькуляция (МСА)'!$G$25:$G$122,$G290),_xlfn.SUMIFS(INDEX('Калькуляция (МИ)'!$AJ$25:$BC$747,,MATCH(AJ$8,'Калькуляция (МИ)'!$AJ$8:$BC$8,0)),'Калькуляция (МИ)'!$F$25:$F$747,$F290,'Калькуляция (МИ)'!$G$25:$G$747,$G290))))</f>
        <v>168.36</v>
      </c>
      <c r="AK290" s="899">
        <f>IF(AND(method_reg="Метод индексации",god&lt;&gt;first_year),_xlfn.SUMIFS(INDEX('Калькуляция (МИ корр)'!$AJ$25:$BC$747,,MATCH(AK$8,'Калькуляция (МИ корр)'!$AJ$8:$BC$8,0)),'Калькуляция (МИ корр)'!$F$25:$F$747,$F290,'Калькуляция (МИ корр)'!$G$25:$G$747,$G290),IF(method_reg="Метод экономически обоснованных расходов",_xlfn.SUMIFS('Калькуляция (МЭОР)'!$AK$25:$AK$452,'Калькуляция (МЭОР)'!$F$25:$F$452,$F290,'Калькуляция (МЭОР)'!$G$25:$G$452,$G290),IF(method_reg="Метод сравнения аналогов",_xlfn.SUMIFS('Калькуляция (МСА)'!$AF$25:$AF$122,'Калькуляция (МСА)'!$F$25:$F$122,$F290,'Калькуляция (МСА)'!$G$25:$G$122,$G290),_xlfn.SUMIFS(INDEX('Калькуляция (МИ)'!$AJ$25:$BC$747,,MATCH(AK$8,'Калькуляция (МИ)'!$AJ$8:$BC$8,0)),'Калькуляция (МИ)'!$F$25:$F$747,$F290,'Калькуляция (МИ)'!$G$25:$G$747,$G290))))</f>
        <v>168.359996782576</v>
      </c>
      <c r="AL290" s="296">
        <f>IF(AJ290=0,0,(AK290-AJ290)/AJ290*100)</f>
        <v>-0.00000191103826514923</v>
      </c>
      <c r="AM290" s="899">
        <f>IF(AND(method_reg="Метод индексации",god&lt;&gt;first_year),_xlfn.SUMIFS(INDEX('Калькуляция (МИ корр)'!$AJ$25:$BC$747,,MATCH(AM$8,'Калькуляция (МИ корр)'!$AJ$8:$BC$8,0)),'Калькуляция (МИ корр)'!$F$25:$F$747,$F290,'Калькуляция (МИ корр)'!$G$25:$G$747,$G290),IF(method_reg="Метод экономически обоснованных расходов",_xlfn.SUMIFS('Калькуляция (МЭОР)'!$AJ$25:$AJ$452,'Калькуляция (МЭОР)'!$F$25:$F$452,$F290,'Калькуляция (МЭОР)'!$G$25:$G$452,$G290),IF(method_reg="Метод сравнения аналогов",_xlfn.SUMIFS('Калькуляция (МСА)'!$AE$25:$AE$122,'Калькуляция (МСА)'!$F$25:$F$122,$F290,'Калькуляция (МСА)'!$G$25:$G$122,$G290),_xlfn.SUMIFS(INDEX('Калькуляция (МИ)'!$AJ$25:$BC$747,,MATCH(AM$8,'Калькуляция (МИ)'!$AJ$8:$BC$8,0)),'Калькуляция (МИ)'!$F$25:$F$747,$F290,'Калькуляция (МИ)'!$G$25:$G$747,$G290))))</f>
        <v>171.41</v>
      </c>
      <c r="AN290" s="899">
        <f>IF(AND(method_reg="Метод индексации",god&lt;&gt;first_year),_xlfn.SUMIFS(INDEX('Калькуляция (МИ корр)'!$AJ$25:$BC$747,,MATCH(AN$8,'Калькуляция (МИ корр)'!$AJ$8:$BC$8,0)),'Калькуляция (МИ корр)'!$F$25:$F$747,$F290,'Калькуляция (МИ корр)'!$G$25:$G$747,$G290),IF(method_reg="Метод экономически обоснованных расходов",_xlfn.SUMIFS('Калькуляция (МЭОР)'!$AK$25:$AK$452,'Калькуляция (МЭОР)'!$F$25:$F$452,$F290,'Калькуляция (МЭОР)'!$G$25:$G$452,$G290),IF(method_reg="Метод сравнения аналогов",_xlfn.SUMIFS('Калькуляция (МСА)'!$AF$25:$AF$122,'Калькуляция (МСА)'!$F$25:$F$122,$F290,'Калькуляция (МСА)'!$G$25:$G$122,$G290),_xlfn.SUMIFS(INDEX('Калькуляция (МИ)'!$AJ$25:$BC$747,,MATCH(AN$8,'Калькуляция (МИ)'!$AJ$8:$BC$8,0)),'Калькуляция (МИ)'!$F$25:$F$747,$F290,'Калькуляция (МИ)'!$G$25:$G$747,$G290))))</f>
        <v>171.410003190137</v>
      </c>
      <c r="AO290" s="296">
        <f>IF(AM290=0,0,(AN290-AM290)/AM290*100)</f>
        <v>0.00000186111486709085</v>
      </c>
      <c r="AP290" s="899">
        <f>IF(AND(method_reg="Метод индексации",god&lt;&gt;first_year),_xlfn.SUMIFS(INDEX('Калькуляция (МИ корр)'!$AJ$25:$BC$747,,MATCH(AP$8,'Калькуляция (МИ корр)'!$AJ$8:$BC$8,0)),'Калькуляция (МИ корр)'!$F$25:$F$747,$F290,'Калькуляция (МИ корр)'!$G$25:$G$747,$G290),IF(method_reg="Метод экономически обоснованных расходов",_xlfn.SUMIFS('Калькуляция (МЭОР)'!$AJ$25:$AJ$452,'Калькуляция (МЭОР)'!$F$25:$F$452,$F290,'Калькуляция (МЭОР)'!$G$25:$G$452,$G290),IF(method_reg="Метод сравнения аналогов",_xlfn.SUMIFS('Калькуляция (МСА)'!$AE$25:$AE$122,'Калькуляция (МСА)'!$F$25:$F$122,$F290,'Калькуляция (МСА)'!$G$25:$G$122,$G290),_xlfn.SUMIFS(INDEX('Калькуляция (МИ)'!$AJ$25:$BC$747,,MATCH(AP$8,'Калькуляция (МИ)'!$AJ$8:$BC$8,0)),'Калькуляция (МИ)'!$F$25:$F$747,$F290,'Калькуляция (МИ)'!$G$25:$G$747,$G290))))</f>
        <v>176.0704</v>
      </c>
      <c r="AQ290" s="899">
        <f>IF(AND(method_reg="Метод индексации",god&lt;&gt;first_year),_xlfn.SUMIFS(INDEX('Калькуляция (МИ корр)'!$AJ$25:$BC$747,,MATCH(AQ$8,'Калькуляция (МИ корр)'!$AJ$8:$BC$8,0)),'Калькуляция (МИ корр)'!$F$25:$F$747,$F290,'Калькуляция (МИ корр)'!$G$25:$G$747,$G290),IF(method_reg="Метод экономически обоснованных расходов",_xlfn.SUMIFS('Калькуляция (МЭОР)'!$AK$25:$AK$452,'Калькуляция (МЭОР)'!$F$25:$F$452,$F290,'Калькуляция (МЭОР)'!$G$25:$G$452,$G290),IF(method_reg="Метод сравнения аналогов",_xlfn.SUMIFS('Калькуляция (МСА)'!$AF$25:$AF$122,'Калькуляция (МСА)'!$F$25:$F$122,$F290,'Калькуляция (МСА)'!$G$25:$G$122,$G290),_xlfn.SUMIFS(INDEX('Калькуляция (МИ)'!$AJ$25:$BC$747,,MATCH(AQ$8,'Калькуляция (МИ)'!$AJ$8:$BC$8,0)),'Калькуляция (МИ)'!$F$25:$F$747,$F290,'Калькуляция (МИ)'!$G$25:$G$747,$G290))))</f>
        <v>176.070396792519</v>
      </c>
      <c r="AR290" s="296">
        <f>IF(AP290=0,0,(AQ290-AP290)/AP290*100)</f>
        <v>-0.00000182170370533594</v>
      </c>
      <c r="AS290" s="5239">
        <f>IF(AND(method_reg="Метод индексации",god&lt;&gt;first_year),_xlfn.SUMIFS(INDEX('Калькуляция (МИ корр)'!$AJ$25:$BC$747,,MATCH(AS$8,'Калькуляция (МИ корр)'!$AJ$8:$BC$8,0)),'Калькуляция (МИ корр)'!$F$25:$F$747,$F290,'Калькуляция (МИ корр)'!$G$25:$G$747,$G290),IF(method_reg="Метод экономически обоснованных расходов",_xlfn.SUMIFS('Калькуляция (МЭОР)'!$AJ$25:$AJ$452,'Калькуляция (МЭОР)'!$F$25:$F$452,$F290,'Калькуляция (МЭОР)'!$G$25:$G$452,$G290),IF(method_reg="Метод сравнения аналогов",_xlfn.SUMIFS('Калькуляция (МСА)'!$AE$25:$AE$122,'Калькуляция (МСА)'!$F$25:$F$122,$F290,'Калькуляция (МСА)'!$G$25:$G$122,$G290),_xlfn.SUMIFS(INDEX('Калькуляция (МИ)'!$AJ$25:$BC$747,,MATCH(AS$8,'Калькуляция (МИ)'!$AJ$8:$BC$8,0)),'Калькуляция (МИ)'!$F$25:$F$747,$F290,'Калькуляция (МИ)'!$G$25:$G$747,$G290))))</f>
        <v>0</v>
      </c>
      <c r="AT290" s="5239">
        <f>IF(AND(method_reg="Метод индексации",god&lt;&gt;first_year),_xlfn.SUMIFS(INDEX('Калькуляция (МИ корр)'!$AJ$25:$BC$747,,MATCH(AT$8,'Калькуляция (МИ корр)'!$AJ$8:$BC$8,0)),'Калькуляция (МИ корр)'!$F$25:$F$747,$F290,'Калькуляция (МИ корр)'!$G$25:$G$747,$G290),IF(method_reg="Метод экономически обоснованных расходов",_xlfn.SUMIFS('Калькуляция (МЭОР)'!$AK$25:$AK$452,'Калькуляция (МЭОР)'!$F$25:$F$452,$F290,'Калькуляция (МЭОР)'!$G$25:$G$452,$G290),IF(method_reg="Метод сравнения аналогов",_xlfn.SUMIFS('Калькуляция (МСА)'!$AF$25:$AF$122,'Калькуляция (МСА)'!$F$25:$F$122,$F290,'Калькуляция (МСА)'!$G$25:$G$122,$G290),_xlfn.SUMIFS(INDEX('Калькуляция (МИ)'!$AJ$25:$BC$747,,MATCH(AT$8,'Калькуляция (МИ)'!$AJ$8:$BC$8,0)),'Калькуляция (МИ)'!$F$25:$F$747,$F290,'Калькуляция (МИ)'!$G$25:$G$747,$G290))))</f>
        <v>0</v>
      </c>
      <c r="AU290" s="296">
        <f>IF(AS290=0,0,(AT290-AS290)/AS290*100)</f>
        <v>0</v>
      </c>
      <c r="AV290" s="5239">
        <f>IF(AND(method_reg="Метод индексации",god&lt;&gt;first_year),_xlfn.SUMIFS(INDEX('Калькуляция (МИ корр)'!$AJ$25:$BC$747,,MATCH(AV$8,'Калькуляция (МИ корр)'!$AJ$8:$BC$8,0)),'Калькуляция (МИ корр)'!$F$25:$F$747,$F290,'Калькуляция (МИ корр)'!$G$25:$G$747,$G290),IF(method_reg="Метод экономически обоснованных расходов",_xlfn.SUMIFS('Калькуляция (МЭОР)'!$AJ$25:$AJ$452,'Калькуляция (МЭОР)'!$F$25:$F$452,$F290,'Калькуляция (МЭОР)'!$G$25:$G$452,$G290),IF(method_reg="Метод сравнения аналогов",_xlfn.SUMIFS('Калькуляция (МСА)'!$AE$25:$AE$122,'Калькуляция (МСА)'!$F$25:$F$122,$F290,'Калькуляция (МСА)'!$G$25:$G$122,$G290),_xlfn.SUMIFS(INDEX('Калькуляция (МИ)'!$AJ$25:$BC$747,,MATCH(AV$8,'Калькуляция (МИ)'!$AJ$8:$BC$8,0)),'Калькуляция (МИ)'!$F$25:$F$747,$F290,'Калькуляция (МИ)'!$G$25:$G$747,$G290))))</f>
        <v>0</v>
      </c>
      <c r="AW290" s="5239">
        <f>IF(AND(method_reg="Метод индексации",god&lt;&gt;first_year),_xlfn.SUMIFS(INDEX('Калькуляция (МИ корр)'!$AJ$25:$BC$747,,MATCH(AW$8,'Калькуляция (МИ корр)'!$AJ$8:$BC$8,0)),'Калькуляция (МИ корр)'!$F$25:$F$747,$F290,'Калькуляция (МИ корр)'!$G$25:$G$747,$G290),IF(method_reg="Метод экономически обоснованных расходов",_xlfn.SUMIFS('Калькуляция (МЭОР)'!$AK$25:$AK$452,'Калькуляция (МЭОР)'!$F$25:$F$452,$F290,'Калькуляция (МЭОР)'!$G$25:$G$452,$G290),IF(method_reg="Метод сравнения аналогов",_xlfn.SUMIFS('Калькуляция (МСА)'!$AF$25:$AF$122,'Калькуляция (МСА)'!$F$25:$F$122,$F290,'Калькуляция (МСА)'!$G$25:$G$122,$G290),_xlfn.SUMIFS(INDEX('Калькуляция (МИ)'!$AJ$25:$BC$747,,MATCH(AW$8,'Калькуляция (МИ)'!$AJ$8:$BC$8,0)),'Калькуляция (МИ)'!$F$25:$F$747,$F290,'Калькуляция (МИ)'!$G$25:$G$747,$G290))))</f>
        <v>0</v>
      </c>
      <c r="AX290" s="296">
        <f>IF(AV290=0,0,(AW290-AV290)/AV290*100)</f>
        <v>0</v>
      </c>
      <c r="AY290" s="5239">
        <f>IF(AND(method_reg="Метод индексации",god&lt;&gt;first_year),_xlfn.SUMIFS(INDEX('Калькуляция (МИ корр)'!$AJ$25:$BC$747,,MATCH(AY$8,'Калькуляция (МИ корр)'!$AJ$8:$BC$8,0)),'Калькуляция (МИ корр)'!$F$25:$F$747,$F290,'Калькуляция (МИ корр)'!$G$25:$G$747,$G290),IF(method_reg="Метод экономически обоснованных расходов",_xlfn.SUMIFS('Калькуляция (МЭОР)'!$AJ$25:$AJ$452,'Калькуляция (МЭОР)'!$F$25:$F$452,$F290,'Калькуляция (МЭОР)'!$G$25:$G$452,$G290),IF(method_reg="Метод сравнения аналогов",_xlfn.SUMIFS('Калькуляция (МСА)'!$AE$25:$AE$122,'Калькуляция (МСА)'!$F$25:$F$122,$F290,'Калькуляция (МСА)'!$G$25:$G$122,$G290),_xlfn.SUMIFS(INDEX('Калькуляция (МИ)'!$AJ$25:$BC$747,,MATCH(AY$8,'Калькуляция (МИ)'!$AJ$8:$BC$8,0)),'Калькуляция (МИ)'!$F$25:$F$747,$F290,'Калькуляция (МИ)'!$G$25:$G$747,$G290))))</f>
        <v>0</v>
      </c>
      <c r="AZ290" s="5239">
        <f>IF(AND(method_reg="Метод индексации",god&lt;&gt;first_year),_xlfn.SUMIFS(INDEX('Калькуляция (МИ корр)'!$AJ$25:$BC$747,,MATCH(AZ$8,'Калькуляция (МИ корр)'!$AJ$8:$BC$8,0)),'Калькуляция (МИ корр)'!$F$25:$F$747,$F290,'Калькуляция (МИ корр)'!$G$25:$G$747,$G290),IF(method_reg="Метод экономически обоснованных расходов",_xlfn.SUMIFS('Калькуляция (МЭОР)'!$AK$25:$AK$452,'Калькуляция (МЭОР)'!$F$25:$F$452,$F290,'Калькуляция (МЭОР)'!$G$25:$G$452,$G290),IF(method_reg="Метод сравнения аналогов",_xlfn.SUMIFS('Калькуляция (МСА)'!$AF$25:$AF$122,'Калькуляция (МСА)'!$F$25:$F$122,$F290,'Калькуляция (МСА)'!$G$25:$G$122,$G290),_xlfn.SUMIFS(INDEX('Калькуляция (МИ)'!$AJ$25:$BC$747,,MATCH(AZ$8,'Калькуляция (МИ)'!$AJ$8:$BC$8,0)),'Калькуляция (МИ)'!$F$25:$F$747,$F290,'Калькуляция (МИ)'!$G$25:$G$747,$G290))))</f>
        <v>0</v>
      </c>
      <c r="BA290" s="296">
        <f>IF(AY290=0,0,(AZ290-AY290)/AY290*100)</f>
        <v>0</v>
      </c>
      <c r="BB290" s="5239">
        <f>IF(AND(method_reg="Метод индексации",god&lt;&gt;first_year),_xlfn.SUMIFS(INDEX('Калькуляция (МИ корр)'!$AJ$25:$BC$747,,MATCH(BB$8,'Калькуляция (МИ корр)'!$AJ$8:$BC$8,0)),'Калькуляция (МИ корр)'!$F$25:$F$747,$F290,'Калькуляция (МИ корр)'!$G$25:$G$747,$G290),IF(method_reg="Метод экономически обоснованных расходов",_xlfn.SUMIFS('Калькуляция (МЭОР)'!$AJ$25:$AJ$452,'Калькуляция (МЭОР)'!$F$25:$F$452,$F290,'Калькуляция (МЭОР)'!$G$25:$G$452,$G290),IF(method_reg="Метод сравнения аналогов",_xlfn.SUMIFS('Калькуляция (МСА)'!$AE$25:$AE$122,'Калькуляция (МСА)'!$F$25:$F$122,$F290,'Калькуляция (МСА)'!$G$25:$G$122,$G290),_xlfn.SUMIFS(INDEX('Калькуляция (МИ)'!$AJ$25:$BC$747,,MATCH(BB$8,'Калькуляция (МИ)'!$AJ$8:$BC$8,0)),'Калькуляция (МИ)'!$F$25:$F$747,$F290,'Калькуляция (МИ)'!$G$25:$G$747,$G290))))</f>
        <v>0</v>
      </c>
      <c r="BC290" s="5239">
        <f>IF(AND(method_reg="Метод индексации",god&lt;&gt;first_year),_xlfn.SUMIFS(INDEX('Калькуляция (МИ корр)'!$AJ$25:$BC$747,,MATCH(BC$8,'Калькуляция (МИ корр)'!$AJ$8:$BC$8,0)),'Калькуляция (МИ корр)'!$F$25:$F$747,$F290,'Калькуляция (МИ корр)'!$G$25:$G$747,$G290),IF(method_reg="Метод экономически обоснованных расходов",_xlfn.SUMIFS('Калькуляция (МЭОР)'!$AK$25:$AK$452,'Калькуляция (МЭОР)'!$F$25:$F$452,$F290,'Калькуляция (МЭОР)'!$G$25:$G$452,$G290),IF(method_reg="Метод сравнения аналогов",_xlfn.SUMIFS('Калькуляция (МСА)'!$AF$25:$AF$122,'Калькуляция (МСА)'!$F$25:$F$122,$F290,'Калькуляция (МСА)'!$G$25:$G$122,$G290),_xlfn.SUMIFS(INDEX('Калькуляция (МИ)'!$AJ$25:$BC$747,,MATCH(BC$8,'Калькуляция (МИ)'!$AJ$8:$BC$8,0)),'Калькуляция (МИ)'!$F$25:$F$747,$F290,'Калькуляция (МИ)'!$G$25:$G$747,$G290))))</f>
        <v>0</v>
      </c>
      <c r="BD290" s="296">
        <f>IF(BB290=0,0,(BC290-BB290)/BB290*100)</f>
        <v>0</v>
      </c>
      <c r="BE290" s="5239">
        <f>IF(AND(method_reg="Метод индексации",god&lt;&gt;first_year),_xlfn.SUMIFS(INDEX('Калькуляция (МИ корр)'!$AJ$25:$BC$747,,MATCH(BE$8,'Калькуляция (МИ корр)'!$AJ$8:$BC$8,0)),'Калькуляция (МИ корр)'!$F$25:$F$747,$F290,'Калькуляция (МИ корр)'!$G$25:$G$747,$G290),IF(method_reg="Метод экономически обоснованных расходов",_xlfn.SUMIFS('Калькуляция (МЭОР)'!$AJ$25:$AJ$452,'Калькуляция (МЭОР)'!$F$25:$F$452,$F290,'Калькуляция (МЭОР)'!$G$25:$G$452,$G290),IF(method_reg="Метод сравнения аналогов",_xlfn.SUMIFS('Калькуляция (МСА)'!$AE$25:$AE$122,'Калькуляция (МСА)'!$F$25:$F$122,$F290,'Калькуляция (МСА)'!$G$25:$G$122,$G290),_xlfn.SUMIFS(INDEX('Калькуляция (МИ)'!$AJ$25:$BC$747,,MATCH(BE$8,'Калькуляция (МИ)'!$AJ$8:$BC$8,0)),'Калькуляция (МИ)'!$F$25:$F$747,$F290,'Калькуляция (МИ)'!$G$25:$G$747,$G290))))</f>
        <v>0</v>
      </c>
      <c r="BF290" s="5239">
        <f>IF(AND(method_reg="Метод индексации",god&lt;&gt;first_year),_xlfn.SUMIFS(INDEX('Калькуляция (МИ корр)'!$AJ$25:$BC$747,,MATCH(BF$8,'Калькуляция (МИ корр)'!$AJ$8:$BC$8,0)),'Калькуляция (МИ корр)'!$F$25:$F$747,$F290,'Калькуляция (МИ корр)'!$G$25:$G$747,$G290),IF(method_reg="Метод экономически обоснованных расходов",_xlfn.SUMIFS('Калькуляция (МЭОР)'!$AK$25:$AK$452,'Калькуляция (МЭОР)'!$F$25:$F$452,$F290,'Калькуляция (МЭОР)'!$G$25:$G$452,$G290),IF(method_reg="Метод сравнения аналогов",_xlfn.SUMIFS('Калькуляция (МСА)'!$AF$25:$AF$122,'Калькуляция (МСА)'!$F$25:$F$122,$F290,'Калькуляция (МСА)'!$G$25:$G$122,$G290),_xlfn.SUMIFS(INDEX('Калькуляция (МИ)'!$AJ$25:$BC$747,,MATCH(BF$8,'Калькуляция (МИ)'!$AJ$8:$BC$8,0)),'Калькуляция (МИ)'!$F$25:$F$747,$F290,'Калькуляция (МИ)'!$G$25:$G$747,$G290))))</f>
        <v>0</v>
      </c>
      <c r="BG290" s="296">
        <f>IF(BE290=0,0,(BF290-BE290)/BE290*100)</f>
        <v>0</v>
      </c>
      <c r="BH290" s="5239"/>
      <c r="BI290" s="5239"/>
      <c r="BJ290" s="296">
        <f>IF(BH290=0,0,(BI290-BH290)/BH290*100)</f>
        <v>0</v>
      </c>
      <c r="BK290" s="5239"/>
      <c r="BL290" s="5239"/>
      <c r="BM290" s="296">
        <f>IF(BK290=0,0,(BL290-BK290)/BK290*100)</f>
        <v>0</v>
      </c>
      <c r="BN290" s="5239"/>
      <c r="BO290" s="5239"/>
      <c r="BP290" s="296">
        <f>IF(BN290=0,0,(BO290-BN290)/BN290*100)</f>
        <v>0</v>
      </c>
      <c r="BQ290" s="5239"/>
      <c r="BR290" s="5239"/>
      <c r="BS290" s="296">
        <f>IF(BQ290=0,0,(BR290-BQ290)/BQ290*100)</f>
        <v>0</v>
      </c>
      <c r="BT290" s="5239"/>
      <c r="BU290" s="5239"/>
      <c r="BV290" s="296">
        <f>IF(BT290=0,0,(BU290-BT290)/BT290*100)</f>
        <v>0</v>
      </c>
      <c r="BW290" s="5239"/>
      <c r="BX290" s="5239"/>
      <c r="BY290" s="296">
        <f>IF(BW290=0,0,(BX290-BW290)/BW290*100)</f>
        <v>0</v>
      </c>
      <c r="BZ290" s="5239"/>
      <c r="CA290" s="5239"/>
      <c r="CB290" s="296">
        <f>IF(BZ290=0,0,(CA290-BZ290)/BZ290*100)</f>
        <v>0</v>
      </c>
      <c r="CC290" s="5239"/>
      <c r="CD290" s="5239"/>
      <c r="CE290" s="296">
        <f>IF(CC290=0,0,(CD290-CC290)/CC290*100)</f>
        <v>0</v>
      </c>
      <c r="CF290" s="5239"/>
      <c r="CG290" s="5239"/>
      <c r="CH290" s="296">
        <f>IF(CF290=0,0,(CG290-CF290)/CF290*100)</f>
        <v>0</v>
      </c>
      <c r="CI290" s="5239"/>
      <c r="CJ290" s="5239"/>
      <c r="CK290" s="296">
        <f>IF(CI290=0,0,(CJ290-CI290)/CI290*100)</f>
        <v>0</v>
      </c>
      <c r="CL290" s="5239"/>
      <c r="CM290" s="5239"/>
      <c r="CN290" s="296">
        <f>IF(CL290=0,0,(CM290-CL290)/CL290*100)</f>
        <v>0</v>
      </c>
      <c r="CO290" s="5239"/>
      <c r="CP290" s="5239"/>
      <c r="CQ290" s="296">
        <f>IF(CO290=0,0,(CP290-CO290)/CO290*100)</f>
        <v>0</v>
      </c>
      <c r="CR290" s="5239"/>
      <c r="CS290" s="5239"/>
      <c r="CT290" s="296">
        <f>IF(CR290=0,0,(CS290-CR290)/CR290*100)</f>
        <v>0</v>
      </c>
      <c r="CU290" s="5239"/>
      <c r="CV290" s="5239"/>
      <c r="CW290" s="296">
        <f>IF(CU290=0,0,(CV290-CU290)/CU290*100)</f>
        <v>0</v>
      </c>
      <c r="CX290" s="5239"/>
      <c r="CY290" s="5239"/>
      <c r="CZ290" s="296">
        <f>IF(CX290=0,0,(CY290-CX290)/CX290*100)</f>
        <v>0</v>
      </c>
      <c r="DA290" s="5239"/>
      <c r="DB290" s="5239"/>
      <c r="DC290" s="296">
        <f>IF(DA290=0,0,(DB290-DA290)/DA290*100)</f>
        <v>0</v>
      </c>
      <c r="DD290" s="5239"/>
      <c r="DE290" s="5239"/>
      <c r="DF290" s="296">
        <f>IF(DD290=0,0,(DE290-DD290)/DD290*100)</f>
        <v>0</v>
      </c>
      <c r="DG290" s="5239"/>
      <c r="DH290" s="5239"/>
      <c r="DI290" s="296">
        <f>IF(DG290=0,0,(DH290-DG290)/DG290*100)</f>
        <v>0</v>
      </c>
      <c r="DJ290" s="5239"/>
      <c r="DK290" s="5239"/>
      <c r="DL290" s="296">
        <f>IF(DJ290=0,0,(DK290-DJ290)/DJ290*100)</f>
        <v>0</v>
      </c>
      <c r="DM290" s="5239"/>
      <c r="DN290" s="5239"/>
      <c r="DO290" s="296">
        <f>IF(DM290=0,0,(DN290-DM290)/DM290*100)</f>
        <v>0</v>
      </c>
      <c r="DP290" s="5239"/>
      <c r="DQ290" s="5239"/>
      <c r="DR290" s="296">
        <f>IF(DP290=0,0,(DQ290-DP290)/DP290*100)</f>
        <v>0</v>
      </c>
      <c r="DS290" s="5239"/>
      <c r="DT290" s="5239"/>
      <c r="DU290" s="296">
        <f>IF(DS290=0,0,(DT290-DS290)/DS290*100)</f>
        <v>0</v>
      </c>
      <c r="DV290" s="5239"/>
      <c r="DW290" s="5239"/>
      <c r="DX290" s="296">
        <f>IF(DV290=0,0,(DW290-DV290)/DV290*100)</f>
        <v>0</v>
      </c>
      <c r="DY290" s="5239"/>
      <c r="DZ290" s="5239"/>
      <c r="EA290" s="296">
        <f>IF(DY290=0,0,(DZ290-DY290)/DY290*100)</f>
        <v>0</v>
      </c>
      <c r="EB290" s="5239"/>
      <c r="EC290" s="5239"/>
      <c r="ED290" s="296">
        <f>IF(EB290=0,0,(EC290-EB290)/EB290*100)</f>
        <v>0</v>
      </c>
      <c r="EE290" s="5239"/>
      <c r="EF290" s="5239"/>
      <c r="EG290" s="296">
        <f>IF(EE290=0,0,(EF290-EE290)/EE290*100)</f>
        <v>0</v>
      </c>
      <c r="EH290" s="5239"/>
      <c r="EI290" s="5239"/>
      <c r="EJ290" s="296">
        <f>IF(EH290=0,0,(EI290-EH290)/EH290*100)</f>
        <v>0</v>
      </c>
      <c r="EK290" s="5239"/>
      <c r="EL290" s="5239"/>
      <c r="EM290" s="296">
        <f>IF(EK290=0,0,(EL290-EK290)/EK290*100)</f>
        <v>0</v>
      </c>
      <c r="EN290" s="5239"/>
      <c r="EO290" s="5239"/>
      <c r="EP290" s="296">
        <f>IF(EN290=0,0,(EO290-EN290)/EN290*100)</f>
        <v>0</v>
      </c>
      <c r="EQ290" s="5239"/>
      <c r="ER290" s="5239"/>
      <c r="ES290" s="296">
        <f>IF(EQ290=0,0,(ER290-EQ290)/EQ290*100)</f>
        <v>0</v>
      </c>
      <c r="ET290" s="5239"/>
      <c r="EU290" s="5239"/>
      <c r="EV290" s="296">
        <f>IF(ET290=0,0,(EU290-ET290)/ET290*100)</f>
        <v>0</v>
      </c>
      <c r="EW290" s="5239"/>
      <c r="EX290" s="5239"/>
      <c r="EY290" s="296">
        <f>IF(EW290=0,0,(EX290-EW290)/EW290*100)</f>
        <v>0</v>
      </c>
      <c r="EZ290" s="5239"/>
      <c r="FA290" s="5239"/>
      <c r="FB290" s="296">
        <f>IF(EZ290=0,0,(FA290-EZ290)/EZ290*100)</f>
        <v>0</v>
      </c>
      <c r="FC290" s="5239"/>
      <c r="FD290" s="5239"/>
      <c r="FE290" s="296">
        <f>IF(FC290=0,0,(FD290-FC290)/FC290*100)</f>
        <v>0</v>
      </c>
      <c r="FF290" s="5239"/>
      <c r="FG290" s="5239"/>
      <c r="FH290" s="296">
        <f>IF(FF290=0,0,(FG290-FF290)/FF290*100)</f>
        <v>0</v>
      </c>
      <c r="FI290" s="5239"/>
      <c r="FJ290" s="5239"/>
      <c r="FK290" s="296">
        <f>IF(FI290=0,0,(FJ290-FI290)/FI290*100)</f>
        <v>0</v>
      </c>
      <c r="FL290" s="5239"/>
      <c r="FM290" s="5239"/>
      <c r="FN290" s="296">
        <f>IF(FL290=0,0,(FM290-FL290)/FL290*100)</f>
        <v>0</v>
      </c>
      <c r="FO290" s="5239"/>
      <c r="FP290" s="5239"/>
      <c r="FQ290" s="296">
        <f>IF(FO290=0,0,(FP290-FO290)/FO290*100)</f>
        <v>0</v>
      </c>
      <c r="FR290" s="5239"/>
      <c r="FS290" s="5239"/>
      <c r="FT290" s="296">
        <f>IF(FR290=0,0,(FS290-FR290)/FR290*100)</f>
        <v>0</v>
      </c>
      <c r="FU290" s="5239"/>
      <c r="FV290" s="5239"/>
      <c r="FW290" s="296">
        <f>IF(FU290=0,0,(FV290-FU290)/FU290*100)</f>
        <v>0</v>
      </c>
      <c r="FX290" s="292"/>
      <c r="FY290" s="292"/>
      <c r="FZ290" s="1055" t="s">
        <v>2352</v>
      </c>
      <c r="GA290" s="1055"/>
      <c r="GB290" s="1055"/>
      <c r="GC290" s="1056"/>
      <c r="GD290" s="1056"/>
    </row>
    <row s="6670" customFormat="1" customHeight="1" ht="23.25">
      <c r="A291" s="897"/>
      <c r="B291" s="925" cm="1" t="str">
        <f t="array" ref="B291:B291">B290</f>
        <v>true</v>
      </c>
      <c r="C291" s="897"/>
      <c r="D291" s="897"/>
      <c r="E291" s="898">
        <v>24.5</v>
      </c>
      <c r="F291" s="50" cm="1" t="str">
        <f t="array" ref="F291:F291">OFFSET(E291,-1,1)</f>
        <v>4</v>
      </c>
      <c r="G291" s="107" t="s">
        <v>2353</v>
      </c>
      <c r="H291" s="493" t="s">
        <v>1175</v>
      </c>
      <c r="I291" s="493" t="s">
        <v>2354</v>
      </c>
      <c r="J291" s="897"/>
      <c r="K291" s="897"/>
      <c r="L291" s="493"/>
      <c r="M291" s="897"/>
      <c r="N291" s="897"/>
      <c r="O291" s="897"/>
      <c r="P291" s="897"/>
      <c r="Q291" s="897"/>
      <c r="R291" s="493"/>
      <c r="S291" s="493"/>
      <c r="T291" s="465" cm="1" t="str">
        <f t="array" ref="T291:T291">T290</f>
        <v>true</v>
      </c>
      <c r="U291" s="897"/>
      <c r="V291" s="897"/>
      <c r="W291" s="897"/>
      <c r="X291" s="1596"/>
      <c r="Y291" s="897"/>
      <c r="Z291" s="1545"/>
      <c r="AA291" s="897"/>
      <c r="AB291" s="1090" t="s">
        <v>2355</v>
      </c>
      <c r="AC291" s="294" t="s">
        <v>2337</v>
      </c>
      <c r="AD291" s="899">
        <f>IF(AND(method_reg="Метод индексации",god&lt;&gt;first_year),_xlfn.SUMIFS(INDEX('Калькуляция (МИ корр)'!$AJ$25:$BC$747,,MATCH(AD$8,'Калькуляция (МИ корр)'!$AJ$8:$BC$8,0)),'Калькуляция (МИ корр)'!$F$25:$F$747,$F291,'Калькуляция (МИ корр)'!$G$25:$G$747,$G291),IF(method_reg="Метод экономически обоснованных расходов",_xlfn.SUMIFS('Калькуляция (МЭОР)'!$AJ$25:$AJ$452,'Калькуляция (МЭОР)'!$F$25:$F$452,$F291,'Калькуляция (МЭОР)'!$G$25:$G$452,$G291),IF(method_reg="Метод сравнения аналогов",_xlfn.SUMIFS('Калькуляция (МСА)'!$AE$25:$AE$122,'Калькуляция (МСА)'!$F$25:$F$122,$F291,'Калькуляция (МСА)'!$G$25:$G$122,$G291),_xlfn.SUMIFS(INDEX('Калькуляция (МИ)'!$AJ$25:$BC$747,,MATCH(AD$8,'Калькуляция (МИ)'!$AJ$8:$BC$8,0)),'Калькуляция (МИ)'!$F$25:$F$747,$F291,'Калькуляция (МИ)'!$G$25:$G$747,$G291))))</f>
        <v>163.004201009598</v>
      </c>
      <c r="AE291" s="899">
        <f>IF(AND(method_reg="Метод индексации",god&lt;&gt;first_year),_xlfn.SUMIFS(INDEX('Калькуляция (МИ корр)'!$AJ$25:$BC$747,,MATCH(AE$8,'Калькуляция (МИ корр)'!$AJ$8:$BC$8,0)),'Калькуляция (МИ корр)'!$F$25:$F$747,$F291,'Калькуляция (МИ корр)'!$G$25:$G$747,$G291),IF(method_reg="Метод экономически обоснованных расходов",_xlfn.SUMIFS('Калькуляция (МЭОР)'!$AK$25:$AK$452,'Калькуляция (МЭОР)'!$F$25:$F$452,$F291,'Калькуляция (МЭОР)'!$G$25:$G$452,$G291),IF(method_reg="Метод сравнения аналогов",_xlfn.SUMIFS('Калькуляция (МСА)'!$AF$25:$AF$122,'Калькуляция (МСА)'!$F$25:$F$122,$F291,'Калькуляция (МСА)'!$G$25:$G$122,$G291),_xlfn.SUMIFS(INDEX('Калькуляция (МИ)'!$AJ$25:$BC$747,,MATCH(AE$8,'Калькуляция (МИ)'!$AJ$8:$BC$8,0)),'Калькуляция (МИ)'!$F$25:$F$747,$F291,'Калькуляция (МИ)'!$G$25:$G$747,$G291))))</f>
        <v>163.004199581447</v>
      </c>
      <c r="AF291" s="296">
        <f>IF(AD291=0,0,(AE291-AD291)/AD291*100)</f>
        <v>-8.7614367356929e-7</v>
      </c>
      <c r="AG291" s="899">
        <f>IF(AND(method_reg="Метод индексации",god&lt;&gt;first_year),_xlfn.SUMIFS(INDEX('Калькуляция (МИ корр)'!$AJ$25:$BC$747,,MATCH(AG$8,'Калькуляция (МИ корр)'!$AJ$8:$BC$8,0)),'Калькуляция (МИ корр)'!$F$25:$F$747,$F291,'Калькуляция (МИ корр)'!$G$25:$G$747,$G291),IF(method_reg="Метод экономически обоснованных расходов",_xlfn.SUMIFS('Калькуляция (МЭОР)'!$AJ$25:$AJ$452,'Калькуляция (МЭОР)'!$F$25:$F$452,$F291,'Калькуляция (МЭОР)'!$G$25:$G$452,$G291),IF(method_reg="Метод сравнения аналогов",_xlfn.SUMIFS('Калькуляция (МСА)'!$AE$25:$AE$122,'Калькуляция (МСА)'!$F$25:$F$122,$F291,'Калькуляция (МСА)'!$G$25:$G$122,$G291),_xlfn.SUMIFS(INDEX('Калькуляция (МИ)'!$AJ$25:$BC$747,,MATCH(AG$8,'Калькуляция (МИ)'!$AJ$8:$BC$8,0)),'Калькуляция (МИ)'!$F$25:$F$747,$F291,'Калькуляция (МИ)'!$G$25:$G$747,$G291))))</f>
        <v>168.359999458348</v>
      </c>
      <c r="AH291" s="899">
        <f>IF(AND(method_reg="Метод индексации",god&lt;&gt;first_year),_xlfn.SUMIFS(INDEX('Калькуляция (МИ корр)'!$AJ$25:$BC$747,,MATCH(AH$8,'Калькуляция (МИ корр)'!$AJ$8:$BC$8,0)),'Калькуляция (МИ корр)'!$F$25:$F$747,$F291,'Калькуляция (МИ корр)'!$G$25:$G$747,$G291),IF(method_reg="Метод экономически обоснованных расходов",_xlfn.SUMIFS('Калькуляция (МЭОР)'!$AK$25:$AK$452,'Калькуляция (МЭОР)'!$F$25:$F$452,$F291,'Калькуляция (МЭОР)'!$G$25:$G$452,$G291),IF(method_reg="Метод сравнения аналогов",_xlfn.SUMIFS('Калькуляция (МСА)'!$AF$25:$AF$122,'Калькуляция (МСА)'!$F$25:$F$122,$F291,'Калькуляция (МСА)'!$G$25:$G$122,$G291),_xlfn.SUMIFS(INDEX('Калькуляция (МИ)'!$AJ$25:$BC$747,,MATCH(AH$8,'Калькуляция (МИ)'!$AJ$8:$BC$8,0)),'Калькуляция (МИ)'!$F$25:$F$747,$F291,'Калькуляция (МИ)'!$G$25:$G$747,$G291))))</f>
        <v>168.359996782576</v>
      </c>
      <c r="AI291" s="296">
        <f>IF(AG291=0,0,(AH291-AG291)/AG291*100)</f>
        <v>-0.00000158931576259558</v>
      </c>
      <c r="AJ291" s="899">
        <f>IF(AND(method_reg="Метод индексации",god&lt;&gt;first_year),_xlfn.SUMIFS(INDEX('Калькуляция (МИ корр)'!$AJ$25:$BC$747,,MATCH(AJ$8,'Калькуляция (МИ корр)'!$AJ$8:$BC$8,0)),'Калькуляция (МИ корр)'!$F$25:$F$747,$F291,'Калькуляция (МИ корр)'!$G$25:$G$747,$G291),IF(method_reg="Метод экономически обоснованных расходов",_xlfn.SUMIFS('Калькуляция (МЭОР)'!$AJ$25:$AJ$452,'Калькуляция (МЭОР)'!$F$25:$F$452,$F291,'Калькуляция (МЭОР)'!$G$25:$G$452,$G291),IF(method_reg="Метод сравнения аналогов",_xlfn.SUMIFS('Калькуляция (МСА)'!$AE$25:$AE$122,'Калькуляция (МСА)'!$F$25:$F$122,$F291,'Калькуляция (МСА)'!$G$25:$G$122,$G291),_xlfn.SUMIFS(INDEX('Калькуляция (МИ)'!$AJ$25:$BC$747,,MATCH(AJ$8,'Калькуляция (МИ)'!$AJ$8:$BC$8,0)),'Калькуляция (МИ)'!$F$25:$F$747,$F291,'Калькуляция (МИ)'!$G$25:$G$747,$G291))))</f>
        <v>171.410007113461</v>
      </c>
      <c r="AK291" s="899">
        <f>IF(AND(method_reg="Метод индексации",god&lt;&gt;first_year),_xlfn.SUMIFS(INDEX('Калькуляция (МИ корр)'!$AJ$25:$BC$747,,MATCH(AK$8,'Калькуляция (МИ корр)'!$AJ$8:$BC$8,0)),'Калькуляция (МИ корр)'!$F$25:$F$747,$F291,'Калькуляция (МИ корр)'!$G$25:$G$747,$G291),IF(method_reg="Метод экономически обоснованных расходов",_xlfn.SUMIFS('Калькуляция (МЭОР)'!$AK$25:$AK$452,'Калькуляция (МЭОР)'!$F$25:$F$452,$F291,'Калькуляция (МЭОР)'!$G$25:$G$452,$G291),IF(method_reg="Метод сравнения аналогов",_xlfn.SUMIFS('Калькуляция (МСА)'!$AF$25:$AF$122,'Калькуляция (МСА)'!$F$25:$F$122,$F291,'Калькуляция (МСА)'!$G$25:$G$122,$G291),_xlfn.SUMIFS(INDEX('Калькуляция (МИ)'!$AJ$25:$BC$747,,MATCH(AK$8,'Калькуляция (МИ)'!$AJ$8:$BC$8,0)),'Калькуляция (МИ)'!$F$25:$F$747,$F291,'Калькуляция (МИ)'!$G$25:$G$747,$G291))))</f>
        <v>171.410003190137</v>
      </c>
      <c r="AL291" s="296">
        <f>IF(AJ291=0,0,(AK291-AJ291)/AJ291*100)</f>
        <v>-0.00000228885354009087</v>
      </c>
      <c r="AM291" s="899">
        <f>IF(AND(method_reg="Метод индексации",god&lt;&gt;first_year),_xlfn.SUMIFS(INDEX('Калькуляция (МИ корр)'!$AJ$25:$BC$747,,MATCH(AM$8,'Калькуляция (МИ корр)'!$AJ$8:$BC$8,0)),'Калькуляция (МИ корр)'!$F$25:$F$747,$F291,'Калькуляция (МИ корр)'!$G$25:$G$747,$G291),IF(method_reg="Метод экономически обоснованных расходов",_xlfn.SUMIFS('Калькуляция (МЭОР)'!$AJ$25:$AJ$452,'Калькуляция (МЭОР)'!$F$25:$F$452,$F291,'Калькуляция (МЭОР)'!$G$25:$G$452,$G291),IF(method_reg="Метод сравнения аналогов",_xlfn.SUMIFS('Калькуляция (МСА)'!$AE$25:$AE$122,'Калькуляция (МСА)'!$F$25:$F$122,$F291,'Калькуляция (МСА)'!$G$25:$G$122,$G291),_xlfn.SUMIFS(INDEX('Калькуляция (МИ)'!$AJ$25:$BC$747,,MATCH(AM$8,'Калькуляция (МИ)'!$AJ$8:$BC$8,0)),'Калькуляция (МИ)'!$F$25:$F$747,$F291,'Калькуляция (МИ)'!$G$25:$G$747,$G291))))</f>
        <v>176.07040164883</v>
      </c>
      <c r="AN291" s="899">
        <f>IF(AND(method_reg="Метод индексации",god&lt;&gt;first_year),_xlfn.SUMIFS(INDEX('Калькуляция (МИ корр)'!$AJ$25:$BC$747,,MATCH(AN$8,'Калькуляция (МИ корр)'!$AJ$8:$BC$8,0)),'Калькуляция (МИ корр)'!$F$25:$F$747,$F291,'Калькуляция (МИ корр)'!$G$25:$G$747,$G291),IF(method_reg="Метод экономически обоснованных расходов",_xlfn.SUMIFS('Калькуляция (МЭОР)'!$AK$25:$AK$452,'Калькуляция (МЭОР)'!$F$25:$F$452,$F291,'Калькуляция (МЭОР)'!$G$25:$G$452,$G291),IF(method_reg="Метод сравнения аналогов",_xlfn.SUMIFS('Калькуляция (МСА)'!$AF$25:$AF$122,'Калькуляция (МСА)'!$F$25:$F$122,$F291,'Калькуляция (МСА)'!$G$25:$G$122,$G291),_xlfn.SUMIFS(INDEX('Калькуляция (МИ)'!$AJ$25:$BC$747,,MATCH(AN$8,'Калькуляция (МИ)'!$AJ$8:$BC$8,0)),'Калькуляция (МИ)'!$F$25:$F$747,$F291,'Калькуляция (МИ)'!$G$25:$G$747,$G291))))</f>
        <v>176.070396792519</v>
      </c>
      <c r="AO291" s="296">
        <f>IF(AM291=0,0,(AN291-AM291)/AM291*100)</f>
        <v>-0.00000275816431878979</v>
      </c>
      <c r="AP291" s="899">
        <f>IF(AND(method_reg="Метод индексации",god&lt;&gt;first_year),_xlfn.SUMIFS(INDEX('Калькуляция (МИ корр)'!$AJ$25:$BC$747,,MATCH(AP$8,'Калькуляция (МИ корр)'!$AJ$8:$BC$8,0)),'Калькуляция (МИ корр)'!$F$25:$F$747,$F291,'Калькуляция (МИ корр)'!$G$25:$G$747,$G291),IF(method_reg="Метод экономически обоснованных расходов",_xlfn.SUMIFS('Калькуляция (МЭОР)'!$AJ$25:$AJ$452,'Калькуляция (МЭОР)'!$F$25:$F$452,$F291,'Калькуляция (МЭОР)'!$G$25:$G$452,$G291),IF(method_reg="Метод сравнения аналогов",_xlfn.SUMIFS('Калькуляция (МСА)'!$AE$25:$AE$122,'Калькуляция (МСА)'!$F$25:$F$122,$F291,'Калькуляция (МСА)'!$G$25:$G$122,$G291),_xlfn.SUMIFS(INDEX('Калькуляция (МИ)'!$AJ$25:$BC$747,,MATCH(AP$8,'Калькуляция (МИ)'!$AJ$8:$BC$8,0)),'Калькуляция (МИ)'!$F$25:$F$747,$F291,'Калькуляция (МИ)'!$G$25:$G$747,$G291))))</f>
        <v>184.112076270417</v>
      </c>
      <c r="AQ291" s="899">
        <f>IF(AND(method_reg="Метод индексации",god&lt;&gt;first_year),_xlfn.SUMIFS(INDEX('Калькуляция (МИ корр)'!$AJ$25:$BC$747,,MATCH(AQ$8,'Калькуляция (МИ корр)'!$AJ$8:$BC$8,0)),'Калькуляция (МИ корр)'!$F$25:$F$747,$F291,'Калькуляция (МИ корр)'!$G$25:$G$747,$G291),IF(method_reg="Метод экономически обоснованных расходов",_xlfn.SUMIFS('Калькуляция (МЭОР)'!$AK$25:$AK$452,'Калькуляция (МЭОР)'!$F$25:$F$452,$F291,'Калькуляция (МЭОР)'!$G$25:$G$452,$G291),IF(method_reg="Метод сравнения аналогов",_xlfn.SUMIFS('Калькуляция (МСА)'!$AF$25:$AF$122,'Калькуляция (МСА)'!$F$25:$F$122,$F291,'Калькуляция (МСА)'!$G$25:$G$122,$G291),_xlfn.SUMIFS(INDEX('Калькуляция (МИ)'!$AJ$25:$BC$747,,MATCH(AQ$8,'Калькуляция (МИ)'!$AJ$8:$BC$8,0)),'Калькуляция (МИ)'!$F$25:$F$747,$F291,'Калькуляция (МИ)'!$G$25:$G$747,$G291))))</f>
        <v>184.112082810247</v>
      </c>
      <c r="AR291" s="296">
        <f>IF(AP291=0,0,(AQ291-AP291)/AP291*100)</f>
        <v>0.00000355209181773016</v>
      </c>
      <c r="AS291" s="5239">
        <f>IF(AND(method_reg="Метод индексации",god&lt;&gt;first_year),_xlfn.SUMIFS(INDEX('Калькуляция (МИ корр)'!$AJ$25:$BC$747,,MATCH(AS$8,'Калькуляция (МИ корр)'!$AJ$8:$BC$8,0)),'Калькуляция (МИ корр)'!$F$25:$F$747,$F291,'Калькуляция (МИ корр)'!$G$25:$G$747,$G291),IF(method_reg="Метод экономически обоснованных расходов",_xlfn.SUMIFS('Калькуляция (МЭОР)'!$AJ$25:$AJ$452,'Калькуляция (МЭОР)'!$F$25:$F$452,$F291,'Калькуляция (МЭОР)'!$G$25:$G$452,$G291),IF(method_reg="Метод сравнения аналогов",_xlfn.SUMIFS('Калькуляция (МСА)'!$AE$25:$AE$122,'Калькуляция (МСА)'!$F$25:$F$122,$F291,'Калькуляция (МСА)'!$G$25:$G$122,$G291),_xlfn.SUMIFS(INDEX('Калькуляция (МИ)'!$AJ$25:$BC$747,,MATCH(AS$8,'Калькуляция (МИ)'!$AJ$8:$BC$8,0)),'Калькуляция (МИ)'!$F$25:$F$747,$F291,'Калькуляция (МИ)'!$G$25:$G$747,$G291))))</f>
        <v>0</v>
      </c>
      <c r="AT291" s="5239">
        <f>IF(AND(method_reg="Метод индексации",god&lt;&gt;first_year),_xlfn.SUMIFS(INDEX('Калькуляция (МИ корр)'!$AJ$25:$BC$747,,MATCH(AT$8,'Калькуляция (МИ корр)'!$AJ$8:$BC$8,0)),'Калькуляция (МИ корр)'!$F$25:$F$747,$F291,'Калькуляция (МИ корр)'!$G$25:$G$747,$G291),IF(method_reg="Метод экономически обоснованных расходов",_xlfn.SUMIFS('Калькуляция (МЭОР)'!$AK$25:$AK$452,'Калькуляция (МЭОР)'!$F$25:$F$452,$F291,'Калькуляция (МЭОР)'!$G$25:$G$452,$G291),IF(method_reg="Метод сравнения аналогов",_xlfn.SUMIFS('Калькуляция (МСА)'!$AF$25:$AF$122,'Калькуляция (МСА)'!$F$25:$F$122,$F291,'Калькуляция (МСА)'!$G$25:$G$122,$G291),_xlfn.SUMIFS(INDEX('Калькуляция (МИ)'!$AJ$25:$BC$747,,MATCH(AT$8,'Калькуляция (МИ)'!$AJ$8:$BC$8,0)),'Калькуляция (МИ)'!$F$25:$F$747,$F291,'Калькуляция (МИ)'!$G$25:$G$747,$G291))))</f>
        <v>0</v>
      </c>
      <c r="AU291" s="296">
        <f>IF(AS291=0,0,(AT291-AS291)/AS291*100)</f>
        <v>0</v>
      </c>
      <c r="AV291" s="5239">
        <f>IF(AND(method_reg="Метод индексации",god&lt;&gt;first_year),_xlfn.SUMIFS(INDEX('Калькуляция (МИ корр)'!$AJ$25:$BC$747,,MATCH(AV$8,'Калькуляция (МИ корр)'!$AJ$8:$BC$8,0)),'Калькуляция (МИ корр)'!$F$25:$F$747,$F291,'Калькуляция (МИ корр)'!$G$25:$G$747,$G291),IF(method_reg="Метод экономически обоснованных расходов",_xlfn.SUMIFS('Калькуляция (МЭОР)'!$AJ$25:$AJ$452,'Калькуляция (МЭОР)'!$F$25:$F$452,$F291,'Калькуляция (МЭОР)'!$G$25:$G$452,$G291),IF(method_reg="Метод сравнения аналогов",_xlfn.SUMIFS('Калькуляция (МСА)'!$AE$25:$AE$122,'Калькуляция (МСА)'!$F$25:$F$122,$F291,'Калькуляция (МСА)'!$G$25:$G$122,$G291),_xlfn.SUMIFS(INDEX('Калькуляция (МИ)'!$AJ$25:$BC$747,,MATCH(AV$8,'Калькуляция (МИ)'!$AJ$8:$BC$8,0)),'Калькуляция (МИ)'!$F$25:$F$747,$F291,'Калькуляция (МИ)'!$G$25:$G$747,$G291))))</f>
        <v>0</v>
      </c>
      <c r="AW291" s="5239">
        <f>IF(AND(method_reg="Метод индексации",god&lt;&gt;first_year),_xlfn.SUMIFS(INDEX('Калькуляция (МИ корр)'!$AJ$25:$BC$747,,MATCH(AW$8,'Калькуляция (МИ корр)'!$AJ$8:$BC$8,0)),'Калькуляция (МИ корр)'!$F$25:$F$747,$F291,'Калькуляция (МИ корр)'!$G$25:$G$747,$G291),IF(method_reg="Метод экономически обоснованных расходов",_xlfn.SUMIFS('Калькуляция (МЭОР)'!$AK$25:$AK$452,'Калькуляция (МЭОР)'!$F$25:$F$452,$F291,'Калькуляция (МЭОР)'!$G$25:$G$452,$G291),IF(method_reg="Метод сравнения аналогов",_xlfn.SUMIFS('Калькуляция (МСА)'!$AF$25:$AF$122,'Калькуляция (МСА)'!$F$25:$F$122,$F291,'Калькуляция (МСА)'!$G$25:$G$122,$G291),_xlfn.SUMIFS(INDEX('Калькуляция (МИ)'!$AJ$25:$BC$747,,MATCH(AW$8,'Калькуляция (МИ)'!$AJ$8:$BC$8,0)),'Калькуляция (МИ)'!$F$25:$F$747,$F291,'Калькуляция (МИ)'!$G$25:$G$747,$G291))))</f>
        <v>0</v>
      </c>
      <c r="AX291" s="296">
        <f>IF(AV291=0,0,(AW291-AV291)/AV291*100)</f>
        <v>0</v>
      </c>
      <c r="AY291" s="5239">
        <f>IF(AND(method_reg="Метод индексации",god&lt;&gt;first_year),_xlfn.SUMIFS(INDEX('Калькуляция (МИ корр)'!$AJ$25:$BC$747,,MATCH(AY$8,'Калькуляция (МИ корр)'!$AJ$8:$BC$8,0)),'Калькуляция (МИ корр)'!$F$25:$F$747,$F291,'Калькуляция (МИ корр)'!$G$25:$G$747,$G291),IF(method_reg="Метод экономически обоснованных расходов",_xlfn.SUMIFS('Калькуляция (МЭОР)'!$AJ$25:$AJ$452,'Калькуляция (МЭОР)'!$F$25:$F$452,$F291,'Калькуляция (МЭОР)'!$G$25:$G$452,$G291),IF(method_reg="Метод сравнения аналогов",_xlfn.SUMIFS('Калькуляция (МСА)'!$AE$25:$AE$122,'Калькуляция (МСА)'!$F$25:$F$122,$F291,'Калькуляция (МСА)'!$G$25:$G$122,$G291),_xlfn.SUMIFS(INDEX('Калькуляция (МИ)'!$AJ$25:$BC$747,,MATCH(AY$8,'Калькуляция (МИ)'!$AJ$8:$BC$8,0)),'Калькуляция (МИ)'!$F$25:$F$747,$F291,'Калькуляция (МИ)'!$G$25:$G$747,$G291))))</f>
        <v>0</v>
      </c>
      <c r="AZ291" s="5239">
        <f>IF(AND(method_reg="Метод индексации",god&lt;&gt;first_year),_xlfn.SUMIFS(INDEX('Калькуляция (МИ корр)'!$AJ$25:$BC$747,,MATCH(AZ$8,'Калькуляция (МИ корр)'!$AJ$8:$BC$8,0)),'Калькуляция (МИ корр)'!$F$25:$F$747,$F291,'Калькуляция (МИ корр)'!$G$25:$G$747,$G291),IF(method_reg="Метод экономически обоснованных расходов",_xlfn.SUMIFS('Калькуляция (МЭОР)'!$AK$25:$AK$452,'Калькуляция (МЭОР)'!$F$25:$F$452,$F291,'Калькуляция (МЭОР)'!$G$25:$G$452,$G291),IF(method_reg="Метод сравнения аналогов",_xlfn.SUMIFS('Калькуляция (МСА)'!$AF$25:$AF$122,'Калькуляция (МСА)'!$F$25:$F$122,$F291,'Калькуляция (МСА)'!$G$25:$G$122,$G291),_xlfn.SUMIFS(INDEX('Калькуляция (МИ)'!$AJ$25:$BC$747,,MATCH(AZ$8,'Калькуляция (МИ)'!$AJ$8:$BC$8,0)),'Калькуляция (МИ)'!$F$25:$F$747,$F291,'Калькуляция (МИ)'!$G$25:$G$747,$G291))))</f>
        <v>0</v>
      </c>
      <c r="BA291" s="296">
        <f>IF(AY291=0,0,(AZ291-AY291)/AY291*100)</f>
        <v>0</v>
      </c>
      <c r="BB291" s="5239">
        <f>IF(AND(method_reg="Метод индексации",god&lt;&gt;first_year),_xlfn.SUMIFS(INDEX('Калькуляция (МИ корр)'!$AJ$25:$BC$747,,MATCH(BB$8,'Калькуляция (МИ корр)'!$AJ$8:$BC$8,0)),'Калькуляция (МИ корр)'!$F$25:$F$747,$F291,'Калькуляция (МИ корр)'!$G$25:$G$747,$G291),IF(method_reg="Метод экономически обоснованных расходов",_xlfn.SUMIFS('Калькуляция (МЭОР)'!$AJ$25:$AJ$452,'Калькуляция (МЭОР)'!$F$25:$F$452,$F291,'Калькуляция (МЭОР)'!$G$25:$G$452,$G291),IF(method_reg="Метод сравнения аналогов",_xlfn.SUMIFS('Калькуляция (МСА)'!$AE$25:$AE$122,'Калькуляция (МСА)'!$F$25:$F$122,$F291,'Калькуляция (МСА)'!$G$25:$G$122,$G291),_xlfn.SUMIFS(INDEX('Калькуляция (МИ)'!$AJ$25:$BC$747,,MATCH(BB$8,'Калькуляция (МИ)'!$AJ$8:$BC$8,0)),'Калькуляция (МИ)'!$F$25:$F$747,$F291,'Калькуляция (МИ)'!$G$25:$G$747,$G291))))</f>
        <v>0</v>
      </c>
      <c r="BC291" s="5239">
        <f>IF(AND(method_reg="Метод индексации",god&lt;&gt;first_year),_xlfn.SUMIFS(INDEX('Калькуляция (МИ корр)'!$AJ$25:$BC$747,,MATCH(BC$8,'Калькуляция (МИ корр)'!$AJ$8:$BC$8,0)),'Калькуляция (МИ корр)'!$F$25:$F$747,$F291,'Калькуляция (МИ корр)'!$G$25:$G$747,$G291),IF(method_reg="Метод экономически обоснованных расходов",_xlfn.SUMIFS('Калькуляция (МЭОР)'!$AK$25:$AK$452,'Калькуляция (МЭОР)'!$F$25:$F$452,$F291,'Калькуляция (МЭОР)'!$G$25:$G$452,$G291),IF(method_reg="Метод сравнения аналогов",_xlfn.SUMIFS('Калькуляция (МСА)'!$AF$25:$AF$122,'Калькуляция (МСА)'!$F$25:$F$122,$F291,'Калькуляция (МСА)'!$G$25:$G$122,$G291),_xlfn.SUMIFS(INDEX('Калькуляция (МИ)'!$AJ$25:$BC$747,,MATCH(BC$8,'Калькуляция (МИ)'!$AJ$8:$BC$8,0)),'Калькуляция (МИ)'!$F$25:$F$747,$F291,'Калькуляция (МИ)'!$G$25:$G$747,$G291))))</f>
        <v>0</v>
      </c>
      <c r="BD291" s="296">
        <f>IF(BB291=0,0,(BC291-BB291)/BB291*100)</f>
        <v>0</v>
      </c>
      <c r="BE291" s="5239">
        <f>IF(AND(method_reg="Метод индексации",god&lt;&gt;first_year),_xlfn.SUMIFS(INDEX('Калькуляция (МИ корр)'!$AJ$25:$BC$747,,MATCH(BE$8,'Калькуляция (МИ корр)'!$AJ$8:$BC$8,0)),'Калькуляция (МИ корр)'!$F$25:$F$747,$F291,'Калькуляция (МИ корр)'!$G$25:$G$747,$G291),IF(method_reg="Метод экономически обоснованных расходов",_xlfn.SUMIFS('Калькуляция (МЭОР)'!$AJ$25:$AJ$452,'Калькуляция (МЭОР)'!$F$25:$F$452,$F291,'Калькуляция (МЭОР)'!$G$25:$G$452,$G291),IF(method_reg="Метод сравнения аналогов",_xlfn.SUMIFS('Калькуляция (МСА)'!$AE$25:$AE$122,'Калькуляция (МСА)'!$F$25:$F$122,$F291,'Калькуляция (МСА)'!$G$25:$G$122,$G291),_xlfn.SUMIFS(INDEX('Калькуляция (МИ)'!$AJ$25:$BC$747,,MATCH(BE$8,'Калькуляция (МИ)'!$AJ$8:$BC$8,0)),'Калькуляция (МИ)'!$F$25:$F$747,$F291,'Калькуляция (МИ)'!$G$25:$G$747,$G291))))</f>
        <v>0</v>
      </c>
      <c r="BF291" s="5239">
        <f>IF(AND(method_reg="Метод индексации",god&lt;&gt;first_year),_xlfn.SUMIFS(INDEX('Калькуляция (МИ корр)'!$AJ$25:$BC$747,,MATCH(BF$8,'Калькуляция (МИ корр)'!$AJ$8:$BC$8,0)),'Калькуляция (МИ корр)'!$F$25:$F$747,$F291,'Калькуляция (МИ корр)'!$G$25:$G$747,$G291),IF(method_reg="Метод экономически обоснованных расходов",_xlfn.SUMIFS('Калькуляция (МЭОР)'!$AK$25:$AK$452,'Калькуляция (МЭОР)'!$F$25:$F$452,$F291,'Калькуляция (МЭОР)'!$G$25:$G$452,$G291),IF(method_reg="Метод сравнения аналогов",_xlfn.SUMIFS('Калькуляция (МСА)'!$AF$25:$AF$122,'Калькуляция (МСА)'!$F$25:$F$122,$F291,'Калькуляция (МСА)'!$G$25:$G$122,$G291),_xlfn.SUMIFS(INDEX('Калькуляция (МИ)'!$AJ$25:$BC$747,,MATCH(BF$8,'Калькуляция (МИ)'!$AJ$8:$BC$8,0)),'Калькуляция (МИ)'!$F$25:$F$747,$F291,'Калькуляция (МИ)'!$G$25:$G$747,$G291))))</f>
        <v>0</v>
      </c>
      <c r="BG291" s="296">
        <f>IF(BE291=0,0,(BF291-BE291)/BE291*100)</f>
        <v>0</v>
      </c>
      <c r="BH291" s="5239"/>
      <c r="BI291" s="5239"/>
      <c r="BJ291" s="296">
        <f>IF(BH291=0,0,(BI291-BH291)/BH291*100)</f>
        <v>0</v>
      </c>
      <c r="BK291" s="5239"/>
      <c r="BL291" s="5239"/>
      <c r="BM291" s="296">
        <f>IF(BK291=0,0,(BL291-BK291)/BK291*100)</f>
        <v>0</v>
      </c>
      <c r="BN291" s="5239"/>
      <c r="BO291" s="5239"/>
      <c r="BP291" s="296">
        <f>IF(BN291=0,0,(BO291-BN291)/BN291*100)</f>
        <v>0</v>
      </c>
      <c r="BQ291" s="5239"/>
      <c r="BR291" s="5239"/>
      <c r="BS291" s="296">
        <f>IF(BQ291=0,0,(BR291-BQ291)/BQ291*100)</f>
        <v>0</v>
      </c>
      <c r="BT291" s="5239"/>
      <c r="BU291" s="5239"/>
      <c r="BV291" s="296">
        <f>IF(BT291=0,0,(BU291-BT291)/BT291*100)</f>
        <v>0</v>
      </c>
      <c r="BW291" s="5239"/>
      <c r="BX291" s="5239"/>
      <c r="BY291" s="296">
        <f>IF(BW291=0,0,(BX291-BW291)/BW291*100)</f>
        <v>0</v>
      </c>
      <c r="BZ291" s="5239"/>
      <c r="CA291" s="5239"/>
      <c r="CB291" s="296">
        <f>IF(BZ291=0,0,(CA291-BZ291)/BZ291*100)</f>
        <v>0</v>
      </c>
      <c r="CC291" s="5239"/>
      <c r="CD291" s="5239"/>
      <c r="CE291" s="296">
        <f>IF(CC291=0,0,(CD291-CC291)/CC291*100)</f>
        <v>0</v>
      </c>
      <c r="CF291" s="5239"/>
      <c r="CG291" s="5239"/>
      <c r="CH291" s="296">
        <f>IF(CF291=0,0,(CG291-CF291)/CF291*100)</f>
        <v>0</v>
      </c>
      <c r="CI291" s="5239"/>
      <c r="CJ291" s="5239"/>
      <c r="CK291" s="296">
        <f>IF(CI291=0,0,(CJ291-CI291)/CI291*100)</f>
        <v>0</v>
      </c>
      <c r="CL291" s="5239"/>
      <c r="CM291" s="5239"/>
      <c r="CN291" s="296">
        <f>IF(CL291=0,0,(CM291-CL291)/CL291*100)</f>
        <v>0</v>
      </c>
      <c r="CO291" s="5239"/>
      <c r="CP291" s="5239"/>
      <c r="CQ291" s="296">
        <f>IF(CO291=0,0,(CP291-CO291)/CO291*100)</f>
        <v>0</v>
      </c>
      <c r="CR291" s="5239"/>
      <c r="CS291" s="5239"/>
      <c r="CT291" s="296">
        <f>IF(CR291=0,0,(CS291-CR291)/CR291*100)</f>
        <v>0</v>
      </c>
      <c r="CU291" s="5239"/>
      <c r="CV291" s="5239"/>
      <c r="CW291" s="296">
        <f>IF(CU291=0,0,(CV291-CU291)/CU291*100)</f>
        <v>0</v>
      </c>
      <c r="CX291" s="5239"/>
      <c r="CY291" s="5239"/>
      <c r="CZ291" s="296">
        <f>IF(CX291=0,0,(CY291-CX291)/CX291*100)</f>
        <v>0</v>
      </c>
      <c r="DA291" s="5239"/>
      <c r="DB291" s="5239"/>
      <c r="DC291" s="296">
        <f>IF(DA291=0,0,(DB291-DA291)/DA291*100)</f>
        <v>0</v>
      </c>
      <c r="DD291" s="5239"/>
      <c r="DE291" s="5239"/>
      <c r="DF291" s="296">
        <f>IF(DD291=0,0,(DE291-DD291)/DD291*100)</f>
        <v>0</v>
      </c>
      <c r="DG291" s="5239"/>
      <c r="DH291" s="5239"/>
      <c r="DI291" s="296">
        <f>IF(DG291=0,0,(DH291-DG291)/DG291*100)</f>
        <v>0</v>
      </c>
      <c r="DJ291" s="5239"/>
      <c r="DK291" s="5239"/>
      <c r="DL291" s="296">
        <f>IF(DJ291=0,0,(DK291-DJ291)/DJ291*100)</f>
        <v>0</v>
      </c>
      <c r="DM291" s="5239"/>
      <c r="DN291" s="5239"/>
      <c r="DO291" s="296">
        <f>IF(DM291=0,0,(DN291-DM291)/DM291*100)</f>
        <v>0</v>
      </c>
      <c r="DP291" s="5239"/>
      <c r="DQ291" s="5239"/>
      <c r="DR291" s="296">
        <f>IF(DP291=0,0,(DQ291-DP291)/DP291*100)</f>
        <v>0</v>
      </c>
      <c r="DS291" s="5239"/>
      <c r="DT291" s="5239"/>
      <c r="DU291" s="296">
        <f>IF(DS291=0,0,(DT291-DS291)/DS291*100)</f>
        <v>0</v>
      </c>
      <c r="DV291" s="5239"/>
      <c r="DW291" s="5239"/>
      <c r="DX291" s="296">
        <f>IF(DV291=0,0,(DW291-DV291)/DV291*100)</f>
        <v>0</v>
      </c>
      <c r="DY291" s="5239"/>
      <c r="DZ291" s="5239"/>
      <c r="EA291" s="296">
        <f>IF(DY291=0,0,(DZ291-DY291)/DY291*100)</f>
        <v>0</v>
      </c>
      <c r="EB291" s="5239"/>
      <c r="EC291" s="5239"/>
      <c r="ED291" s="296">
        <f>IF(EB291=0,0,(EC291-EB291)/EB291*100)</f>
        <v>0</v>
      </c>
      <c r="EE291" s="5239"/>
      <c r="EF291" s="5239"/>
      <c r="EG291" s="296">
        <f>IF(EE291=0,0,(EF291-EE291)/EE291*100)</f>
        <v>0</v>
      </c>
      <c r="EH291" s="5239"/>
      <c r="EI291" s="5239"/>
      <c r="EJ291" s="296">
        <f>IF(EH291=0,0,(EI291-EH291)/EH291*100)</f>
        <v>0</v>
      </c>
      <c r="EK291" s="5239"/>
      <c r="EL291" s="5239"/>
      <c r="EM291" s="296">
        <f>IF(EK291=0,0,(EL291-EK291)/EK291*100)</f>
        <v>0</v>
      </c>
      <c r="EN291" s="5239"/>
      <c r="EO291" s="5239"/>
      <c r="EP291" s="296">
        <f>IF(EN291=0,0,(EO291-EN291)/EN291*100)</f>
        <v>0</v>
      </c>
      <c r="EQ291" s="5239"/>
      <c r="ER291" s="5239"/>
      <c r="ES291" s="296">
        <f>IF(EQ291=0,0,(ER291-EQ291)/EQ291*100)</f>
        <v>0</v>
      </c>
      <c r="ET291" s="5239"/>
      <c r="EU291" s="5239"/>
      <c r="EV291" s="296">
        <f>IF(ET291=0,0,(EU291-ET291)/ET291*100)</f>
        <v>0</v>
      </c>
      <c r="EW291" s="5239"/>
      <c r="EX291" s="5239"/>
      <c r="EY291" s="296">
        <f>IF(EW291=0,0,(EX291-EW291)/EW291*100)</f>
        <v>0</v>
      </c>
      <c r="EZ291" s="5239"/>
      <c r="FA291" s="5239"/>
      <c r="FB291" s="296">
        <f>IF(EZ291=0,0,(FA291-EZ291)/EZ291*100)</f>
        <v>0</v>
      </c>
      <c r="FC291" s="5239"/>
      <c r="FD291" s="5239"/>
      <c r="FE291" s="296">
        <f>IF(FC291=0,0,(FD291-FC291)/FC291*100)</f>
        <v>0</v>
      </c>
      <c r="FF291" s="5239"/>
      <c r="FG291" s="5239"/>
      <c r="FH291" s="296">
        <f>IF(FF291=0,0,(FG291-FF291)/FF291*100)</f>
        <v>0</v>
      </c>
      <c r="FI291" s="5239"/>
      <c r="FJ291" s="5239"/>
      <c r="FK291" s="296">
        <f>IF(FI291=0,0,(FJ291-FI291)/FI291*100)</f>
        <v>0</v>
      </c>
      <c r="FL291" s="5239"/>
      <c r="FM291" s="5239"/>
      <c r="FN291" s="296">
        <f>IF(FL291=0,0,(FM291-FL291)/FL291*100)</f>
        <v>0</v>
      </c>
      <c r="FO291" s="5239"/>
      <c r="FP291" s="5239"/>
      <c r="FQ291" s="296">
        <f>IF(FO291=0,0,(FP291-FO291)/FO291*100)</f>
        <v>0</v>
      </c>
      <c r="FR291" s="5239"/>
      <c r="FS291" s="5239"/>
      <c r="FT291" s="296">
        <f>IF(FR291=0,0,(FS291-FR291)/FR291*100)</f>
        <v>0</v>
      </c>
      <c r="FU291" s="5239"/>
      <c r="FV291" s="5239"/>
      <c r="FW291" s="296">
        <f>IF(FU291=0,0,(FV291-FU291)/FU291*100)</f>
        <v>0</v>
      </c>
      <c r="FX291" s="292"/>
      <c r="FY291" s="292"/>
      <c r="FZ291" s="1055" t="s">
        <v>2356</v>
      </c>
      <c r="GA291" s="1055"/>
      <c r="GB291" s="1055"/>
      <c r="GC291" s="1056"/>
      <c r="GD291" s="1056"/>
    </row>
    <row s="1834" customFormat="1" customHeight="1" ht="14.25">
      <c r="A292" s="493"/>
      <c r="B292" s="925" cm="1" t="str">
        <f t="array" ref="B292:B292">B291</f>
        <v>true</v>
      </c>
      <c r="C292" s="493"/>
      <c r="D292" s="493"/>
      <c r="E292" s="840">
        <v>15</v>
      </c>
      <c r="F292" s="50" cm="1" t="str">
        <f t="array" ref="F292:F292">OFFSET(E292,-1,1)</f>
        <v>4</v>
      </c>
      <c r="G292" s="107"/>
      <c r="H292" s="493" t="s">
        <v>1179</v>
      </c>
      <c r="I292" s="493" t="s">
        <v>2357</v>
      </c>
      <c r="J292" s="493"/>
      <c r="K292" s="493"/>
      <c r="L292" s="493"/>
      <c r="M292" s="493"/>
      <c r="N292" s="493"/>
      <c r="O292" s="493"/>
      <c r="P292" s="493"/>
      <c r="Q292" s="897"/>
      <c r="R292" s="493"/>
      <c r="S292" s="493"/>
      <c r="T292" s="465" cm="1" t="str">
        <f t="array" ref="T292:T292">T291</f>
        <v>true</v>
      </c>
      <c r="U292" s="493"/>
      <c r="V292" s="493"/>
      <c r="W292" s="493"/>
      <c r="X292" s="1596"/>
      <c r="Y292" s="493"/>
      <c r="Z292" s="1545"/>
      <c r="AA292" s="493"/>
      <c r="AB292" s="1089" t="s">
        <v>2344</v>
      </c>
      <c r="AC292" s="864" t="s">
        <v>1170</v>
      </c>
      <c r="AD292" s="1092">
        <f>IF(AD290=0,0,AD291/AD290)*100</f>
        <v>104.998036013783</v>
      </c>
      <c r="AE292" s="1092">
        <f>IF(AE290=0,0,AE291/AE290)*100</f>
        <v>104.99803509385</v>
      </c>
      <c r="AF292" s="1093"/>
      <c r="AG292" s="1092">
        <f>IF(AG290=0,0,AG291/AG290)*100</f>
        <v>103.285681877122</v>
      </c>
      <c r="AH292" s="1092">
        <f>IF(AH290=0,0,AH291/AH290)*100</f>
        <v>103.285680500798</v>
      </c>
      <c r="AI292" s="1093"/>
      <c r="AJ292" s="1092">
        <f>IF(AJ290=0,0,AJ291/AJ290)*100</f>
        <v>101.811598428048</v>
      </c>
      <c r="AK292" s="1092">
        <f>IF(AK290=0,0,AK291/AK290)*100</f>
        <v>101.811598043388</v>
      </c>
      <c r="AL292" s="1093"/>
      <c r="AM292" s="1092">
        <f>IF(AM290=0,0,AM291/AM290)*100</f>
        <v>102.718862171886</v>
      </c>
      <c r="AN292" s="1092">
        <f>IF(AN290=0,0,AN291/AN290)*100</f>
        <v>102.718857427015</v>
      </c>
      <c r="AO292" s="1093"/>
      <c r="AP292" s="1092">
        <f>IF(AP290=0,0,AP291/AP290)*100</f>
        <v>104.567307321626</v>
      </c>
      <c r="AQ292" s="1092">
        <f>IF(AQ290=0,0,AQ291/AQ290)*100</f>
        <v>104.56731294086</v>
      </c>
      <c r="AR292" s="1093"/>
      <c r="AS292" s="1092">
        <f>IF(AS290=0,0,AS291/AS290)*100</f>
        <v>0</v>
      </c>
      <c r="AT292" s="1092">
        <f>IF(AT290=0,0,AT291/AT290)*100</f>
        <v>0</v>
      </c>
      <c r="AU292" s="1093"/>
      <c r="AV292" s="1092">
        <f>IF(AV290=0,0,AV291/AV290)*100</f>
        <v>0</v>
      </c>
      <c r="AW292" s="1092">
        <f>IF(AW290=0,0,AW291/AW290)*100</f>
        <v>0</v>
      </c>
      <c r="AX292" s="1093"/>
      <c r="AY292" s="1092">
        <f>IF(AY290=0,0,AY291/AY290)*100</f>
        <v>0</v>
      </c>
      <c r="AZ292" s="1092">
        <f>IF(AZ290=0,0,AZ291/AZ290)*100</f>
        <v>0</v>
      </c>
      <c r="BA292" s="1093"/>
      <c r="BB292" s="1092">
        <f>IF(BB290=0,0,BB291/BB290)*100</f>
        <v>0</v>
      </c>
      <c r="BC292" s="1092">
        <f>IF(BC290=0,0,BC291/BC290)*100</f>
        <v>0</v>
      </c>
      <c r="BD292" s="1093"/>
      <c r="BE292" s="1092">
        <f>IF(BE290=0,0,BE291/BE290)*100</f>
        <v>0</v>
      </c>
      <c r="BF292" s="1092">
        <f>IF(BF290=0,0,BF291/BF290)*100</f>
        <v>0</v>
      </c>
      <c r="BG292" s="1093"/>
      <c r="BH292" s="1092">
        <f>IF(BH290=0,0,BH291/BH290)*100</f>
        <v>0</v>
      </c>
      <c r="BI292" s="1092">
        <f>IF(BI290=0,0,BI291/BI290)*100</f>
        <v>0</v>
      </c>
      <c r="BJ292" s="1093"/>
      <c r="BK292" s="1092">
        <f>IF(BK290=0,0,BK291/BK290)*100</f>
        <v>0</v>
      </c>
      <c r="BL292" s="1092">
        <f>IF(BL290=0,0,BL291/BL290)*100</f>
        <v>0</v>
      </c>
      <c r="BM292" s="1093"/>
      <c r="BN292" s="1092">
        <f>IF(BN290=0,0,BN291/BN290)*100</f>
        <v>0</v>
      </c>
      <c r="BO292" s="1092">
        <f>IF(BO290=0,0,BO291/BO290)*100</f>
        <v>0</v>
      </c>
      <c r="BP292" s="1093"/>
      <c r="BQ292" s="1092">
        <f>IF(BQ290=0,0,BQ291/BQ290)*100</f>
        <v>0</v>
      </c>
      <c r="BR292" s="1092">
        <f>IF(BR290=0,0,BR291/BR290)*100</f>
        <v>0</v>
      </c>
      <c r="BS292" s="1093"/>
      <c r="BT292" s="1092">
        <f>IF(BT290=0,0,BT291/BT290)*100</f>
        <v>0</v>
      </c>
      <c r="BU292" s="1092">
        <f>IF(BU290=0,0,BU291/BU290)*100</f>
        <v>0</v>
      </c>
      <c r="BV292" s="1093"/>
      <c r="BW292" s="1092">
        <f>IF(BW290=0,0,BW291/BW290)*100</f>
        <v>0</v>
      </c>
      <c r="BX292" s="1092">
        <f>IF(BX290=0,0,BX291/BX290)*100</f>
        <v>0</v>
      </c>
      <c r="BY292" s="1093"/>
      <c r="BZ292" s="1092">
        <f>IF(BZ290=0,0,BZ291/BZ290)*100</f>
        <v>0</v>
      </c>
      <c r="CA292" s="1092">
        <f>IF(CA290=0,0,CA291/CA290)*100</f>
        <v>0</v>
      </c>
      <c r="CB292" s="1093"/>
      <c r="CC292" s="1092">
        <f>IF(CC290=0,0,CC291/CC290)*100</f>
        <v>0</v>
      </c>
      <c r="CD292" s="1092">
        <f>IF(CD290=0,0,CD291/CD290)*100</f>
        <v>0</v>
      </c>
      <c r="CE292" s="1093"/>
      <c r="CF292" s="1092">
        <f>IF(CF290=0,0,CF291/CF290)*100</f>
        <v>0</v>
      </c>
      <c r="CG292" s="1092">
        <f>IF(CG290=0,0,CG291/CG290)*100</f>
        <v>0</v>
      </c>
      <c r="CH292" s="1093"/>
      <c r="CI292" s="1092">
        <f>IF(CI290=0,0,CI291/CI290)*100</f>
        <v>0</v>
      </c>
      <c r="CJ292" s="1092">
        <f>IF(CJ290=0,0,CJ291/CJ290)*100</f>
        <v>0</v>
      </c>
      <c r="CK292" s="1093"/>
      <c r="CL292" s="1092">
        <f>IF(CL290=0,0,CL291/CL290)*100</f>
        <v>0</v>
      </c>
      <c r="CM292" s="1092">
        <f>IF(CM290=0,0,CM291/CM290)*100</f>
        <v>0</v>
      </c>
      <c r="CN292" s="1093"/>
      <c r="CO292" s="1092">
        <f>IF(CO290=0,0,CO291/CO290)*100</f>
        <v>0</v>
      </c>
      <c r="CP292" s="1092">
        <f>IF(CP290=0,0,CP291/CP290)*100</f>
        <v>0</v>
      </c>
      <c r="CQ292" s="1093"/>
      <c r="CR292" s="1092">
        <f>IF(CR290=0,0,CR291/CR290)*100</f>
        <v>0</v>
      </c>
      <c r="CS292" s="1092">
        <f>IF(CS290=0,0,CS291/CS290)*100</f>
        <v>0</v>
      </c>
      <c r="CT292" s="1093"/>
      <c r="CU292" s="1092">
        <f>IF(CU290=0,0,CU291/CU290)*100</f>
        <v>0</v>
      </c>
      <c r="CV292" s="1092">
        <f>IF(CV290=0,0,CV291/CV290)*100</f>
        <v>0</v>
      </c>
      <c r="CW292" s="1093"/>
      <c r="CX292" s="1092">
        <f>IF(CX290=0,0,CX291/CX290)*100</f>
        <v>0</v>
      </c>
      <c r="CY292" s="1092">
        <f>IF(CY290=0,0,CY291/CY290)*100</f>
        <v>0</v>
      </c>
      <c r="CZ292" s="1093"/>
      <c r="DA292" s="1092">
        <f>IF(DA290=0,0,DA291/DA290)*100</f>
        <v>0</v>
      </c>
      <c r="DB292" s="1092">
        <f>IF(DB290=0,0,DB291/DB290)*100</f>
        <v>0</v>
      </c>
      <c r="DC292" s="1093"/>
      <c r="DD292" s="1092">
        <f>IF(DD290=0,0,DD291/DD290)*100</f>
        <v>0</v>
      </c>
      <c r="DE292" s="1092">
        <f>IF(DE290=0,0,DE291/DE290)*100</f>
        <v>0</v>
      </c>
      <c r="DF292" s="1093"/>
      <c r="DG292" s="1092">
        <f>IF(DG290=0,0,DG291/DG290)*100</f>
        <v>0</v>
      </c>
      <c r="DH292" s="1092">
        <f>IF(DH290=0,0,DH291/DH290)*100</f>
        <v>0</v>
      </c>
      <c r="DI292" s="1093"/>
      <c r="DJ292" s="1092">
        <f>IF(DJ290=0,0,DJ291/DJ290)*100</f>
        <v>0</v>
      </c>
      <c r="DK292" s="1092">
        <f>IF(DK290=0,0,DK291/DK290)*100</f>
        <v>0</v>
      </c>
      <c r="DL292" s="1093"/>
      <c r="DM292" s="1092">
        <f>IF(DM290=0,0,DM291/DM290)*100</f>
        <v>0</v>
      </c>
      <c r="DN292" s="1092">
        <f>IF(DN290=0,0,DN291/DN290)*100</f>
        <v>0</v>
      </c>
      <c r="DO292" s="1093"/>
      <c r="DP292" s="1092">
        <f>IF(DP290=0,0,DP291/DP290)*100</f>
        <v>0</v>
      </c>
      <c r="DQ292" s="1092">
        <f>IF(DQ290=0,0,DQ291/DQ290)*100</f>
        <v>0</v>
      </c>
      <c r="DR292" s="1093"/>
      <c r="DS292" s="1092">
        <f>IF(DS290=0,0,DS291/DS290)*100</f>
        <v>0</v>
      </c>
      <c r="DT292" s="1092">
        <f>IF(DT290=0,0,DT291/DT290)*100</f>
        <v>0</v>
      </c>
      <c r="DU292" s="1093"/>
      <c r="DV292" s="1092">
        <f>IF(DV290=0,0,DV291/DV290)*100</f>
        <v>0</v>
      </c>
      <c r="DW292" s="1092">
        <f>IF(DW290=0,0,DW291/DW290)*100</f>
        <v>0</v>
      </c>
      <c r="DX292" s="1093"/>
      <c r="DY292" s="1092">
        <f>IF(DY290=0,0,DY291/DY290)*100</f>
        <v>0</v>
      </c>
      <c r="DZ292" s="1092">
        <f>IF(DZ290=0,0,DZ291/DZ290)*100</f>
        <v>0</v>
      </c>
      <c r="EA292" s="1093"/>
      <c r="EB292" s="1092">
        <f>IF(EB290=0,0,EB291/EB290)*100</f>
        <v>0</v>
      </c>
      <c r="EC292" s="1092">
        <f>IF(EC290=0,0,EC291/EC290)*100</f>
        <v>0</v>
      </c>
      <c r="ED292" s="1093"/>
      <c r="EE292" s="1092">
        <f>IF(EE290=0,0,EE291/EE290)*100</f>
        <v>0</v>
      </c>
      <c r="EF292" s="1092">
        <f>IF(EF290=0,0,EF291/EF290)*100</f>
        <v>0</v>
      </c>
      <c r="EG292" s="1093"/>
      <c r="EH292" s="1092">
        <f>IF(EH290=0,0,EH291/EH290)*100</f>
        <v>0</v>
      </c>
      <c r="EI292" s="1092">
        <f>IF(EI290=0,0,EI291/EI290)*100</f>
        <v>0</v>
      </c>
      <c r="EJ292" s="1093"/>
      <c r="EK292" s="1092">
        <f>IF(EK290=0,0,EK291/EK290)*100</f>
        <v>0</v>
      </c>
      <c r="EL292" s="1092">
        <f>IF(EL290=0,0,EL291/EL290)*100</f>
        <v>0</v>
      </c>
      <c r="EM292" s="1093"/>
      <c r="EN292" s="1092">
        <f>IF(EN290=0,0,EN291/EN290)*100</f>
        <v>0</v>
      </c>
      <c r="EO292" s="1092">
        <f>IF(EO290=0,0,EO291/EO290)*100</f>
        <v>0</v>
      </c>
      <c r="EP292" s="1093"/>
      <c r="EQ292" s="1092">
        <f>IF(EQ290=0,0,EQ291/EQ290)*100</f>
        <v>0</v>
      </c>
      <c r="ER292" s="1092">
        <f>IF(ER290=0,0,ER291/ER290)*100</f>
        <v>0</v>
      </c>
      <c r="ES292" s="1093"/>
      <c r="ET292" s="1092">
        <f>IF(ET290=0,0,ET291/ET290)*100</f>
        <v>0</v>
      </c>
      <c r="EU292" s="1092">
        <f>IF(EU290=0,0,EU291/EU290)*100</f>
        <v>0</v>
      </c>
      <c r="EV292" s="1093"/>
      <c r="EW292" s="1092">
        <f>IF(EW290=0,0,EW291/EW290)*100</f>
        <v>0</v>
      </c>
      <c r="EX292" s="1092">
        <f>IF(EX290=0,0,EX291/EX290)*100</f>
        <v>0</v>
      </c>
      <c r="EY292" s="1093"/>
      <c r="EZ292" s="1092">
        <f>IF(EZ290=0,0,EZ291/EZ290)*100</f>
        <v>0</v>
      </c>
      <c r="FA292" s="1092">
        <f>IF(FA290=0,0,FA291/FA290)*100</f>
        <v>0</v>
      </c>
      <c r="FB292" s="1093"/>
      <c r="FC292" s="1092">
        <f>IF(FC290=0,0,FC291/FC290)*100</f>
        <v>0</v>
      </c>
      <c r="FD292" s="1092">
        <f>IF(FD290=0,0,FD291/FD290)*100</f>
        <v>0</v>
      </c>
      <c r="FE292" s="1093"/>
      <c r="FF292" s="1092">
        <f>IF(FF290=0,0,FF291/FF290)*100</f>
        <v>0</v>
      </c>
      <c r="FG292" s="1092">
        <f>IF(FG290=0,0,FG291/FG290)*100</f>
        <v>0</v>
      </c>
      <c r="FH292" s="1093"/>
      <c r="FI292" s="1092">
        <f>IF(FI290=0,0,FI291/FI290)*100</f>
        <v>0</v>
      </c>
      <c r="FJ292" s="1092">
        <f>IF(FJ290=0,0,FJ291/FJ290)*100</f>
        <v>0</v>
      </c>
      <c r="FK292" s="1093"/>
      <c r="FL292" s="1092">
        <f>IF(FL290=0,0,FL291/FL290)*100</f>
        <v>0</v>
      </c>
      <c r="FM292" s="1092">
        <f>IF(FM290=0,0,FM291/FM290)*100</f>
        <v>0</v>
      </c>
      <c r="FN292" s="1093"/>
      <c r="FO292" s="1092">
        <f>IF(FO290=0,0,FO291/FO290)*100</f>
        <v>0</v>
      </c>
      <c r="FP292" s="1092">
        <f>IF(FP290=0,0,FP291/FP290)*100</f>
        <v>0</v>
      </c>
      <c r="FQ292" s="1093"/>
      <c r="FR292" s="1092">
        <f>IF(FR290=0,0,FR291/FR290)*100</f>
        <v>0</v>
      </c>
      <c r="FS292" s="1092">
        <f>IF(FS290=0,0,FS291/FS290)*100</f>
        <v>0</v>
      </c>
      <c r="FT292" s="1093"/>
      <c r="FU292" s="1092">
        <f>IF(FU290=0,0,FU291/FU290)*100</f>
        <v>0</v>
      </c>
      <c r="FV292" s="1092">
        <f>IF(FV290=0,0,FV291/FV290)*100</f>
        <v>0</v>
      </c>
      <c r="FW292" s="1093"/>
      <c r="FX292" s="292"/>
      <c r="FY292" s="1304"/>
      <c r="FZ292" s="1055" t="s">
        <v>2358</v>
      </c>
      <c r="GA292" s="1306"/>
      <c r="GB292" s="1306"/>
      <c r="GC292" s="1305"/>
      <c r="GD292" s="1305"/>
    </row>
    <row s="1834" customFormat="1" customHeight="1" ht="14.25">
      <c r="A293" s="493"/>
      <c r="B293" s="925" cm="1" t="str">
        <f t="array" ref="B293:B293">B292</f>
        <v>true</v>
      </c>
      <c r="C293" s="493"/>
      <c r="D293" s="493"/>
      <c r="E293" s="840">
        <v>15</v>
      </c>
      <c r="F293" s="50" cm="1" t="str">
        <f t="array" ref="F293:F293">OFFSET(E293,-1,1)</f>
        <v>4</v>
      </c>
      <c r="G293" s="107" t="s">
        <v>2359</v>
      </c>
      <c r="H293" s="493" t="s">
        <v>1182</v>
      </c>
      <c r="I293" s="493" t="s">
        <v>2357</v>
      </c>
      <c r="J293" s="493"/>
      <c r="K293" s="493"/>
      <c r="L293" s="493"/>
      <c r="M293" s="493"/>
      <c r="N293" s="493"/>
      <c r="O293" s="493"/>
      <c r="P293" s="493"/>
      <c r="Q293" s="897"/>
      <c r="R293" s="493"/>
      <c r="S293" s="493"/>
      <c r="T293" s="465" cm="1" t="str">
        <f t="array" ref="T293:T293">T292</f>
        <v>true</v>
      </c>
      <c r="U293" s="493"/>
      <c r="V293" s="493"/>
      <c r="W293" s="493"/>
      <c r="X293" s="1596"/>
      <c r="Y293" s="493"/>
      <c r="Z293" s="1545"/>
      <c r="AA293" s="493"/>
      <c r="AB293" s="900" t="s">
        <v>2360</v>
      </c>
      <c r="AC293" s="864" t="s">
        <v>1247</v>
      </c>
      <c r="AD293" s="1094">
        <f>IF(AND(method_reg="Метод индексации",god&lt;&gt;first_year),_xlfn.SUMIFS(INDEX('Калькуляция (МИ корр)'!$AJ$25:$BC$747,,MATCH(AD$8,'Калькуляция (МИ корр)'!$AJ$8:$BC$8,0)),'Калькуляция (МИ корр)'!$F$25:$F$747,$F293,'Калькуляция (МИ корр)'!$G$25:$G$747,$G293),IF(method_reg="Метод экономически обоснованных расходов",_xlfn.SUMIFS('Калькуляция (МЭОР)'!$AJ$25:$AJ$452,'Калькуляция (МЭОР)'!$F$25:$F$452,$F293,'Калькуляция (МЭОР)'!$G$25:$G$452,$G293),IF(method_reg="Метод сравнения аналогов",_xlfn.SUMIFS('Калькуляция (МСА)'!$AE$25:$AE$122,'Калькуляция (МСА)'!$F$25:$F$122,$F293,'Калькуляция (МСА)'!$G$25:$G$122,$G293),_xlfn.SUMIFS(INDEX('Калькуляция (МИ)'!$AJ$25:$BC$747,,MATCH(AD$8,'Калькуляция (МИ)'!$AJ$8:$BC$8,0)),'Калькуляция (МИ)'!$F$25:$F$747,$F293,'Калькуляция (МИ)'!$G$25:$G$747,$G293))))</f>
        <v>768.77244</v>
      </c>
      <c r="AE293" s="1094">
        <f>IF(AND(method_reg="Метод индексации",god&lt;&gt;first_year),_xlfn.SUMIFS(INDEX('Калькуляция (МИ корр)'!$AJ$25:$BC$747,,MATCH(AE$8,'Калькуляция (МИ корр)'!$AJ$8:$BC$8,0)),'Калькуляция (МИ корр)'!$F$25:$F$747,$F293,'Калькуляция (МИ корр)'!$G$25:$G$747,$G293),IF(method_reg="Метод экономически обоснованных расходов",_xlfn.SUMIFS('Калькуляция (МЭОР)'!$AK$25:$AK$452,'Калькуляция (МЭОР)'!$F$25:$F$452,$F293,'Калькуляция (МЭОР)'!$G$25:$G$452,$G293),IF(method_reg="Метод сравнения аналогов",_xlfn.SUMIFS('Калькуляция (МСА)'!$AF$25:$AF$122,'Калькуляция (МСА)'!$F$25:$F$122,$F293,'Калькуляция (МСА)'!$G$25:$G$122,$G293),_xlfn.SUMIFS(INDEX('Калькуляция (МИ)'!$AJ$25:$BC$747,,MATCH(AE$8,'Калькуляция (МИ)'!$AJ$8:$BC$8,0)),'Калькуляция (МИ)'!$F$25:$F$747,$F293,'Калькуляция (МИ)'!$G$25:$G$747,$G293))))</f>
        <v>768.77244</v>
      </c>
      <c r="AF293" s="1095">
        <f>IF(AD293=0,0,(AE293-AD293)/AD293*100)</f>
        <v>0</v>
      </c>
      <c r="AG293" s="1094">
        <f>IF(AND(method_reg="Метод индексации",god&lt;&gt;first_year),_xlfn.SUMIFS(INDEX('Калькуляция (МИ корр)'!$AJ$25:$BC$747,,MATCH(AG$8,'Калькуляция (МИ корр)'!$AJ$8:$BC$8,0)),'Калькуляция (МИ корр)'!$F$25:$F$747,$F293,'Калькуляция (МИ корр)'!$G$25:$G$747,$G293),IF(method_reg="Метод экономически обоснованных расходов",_xlfn.SUMIFS('Калькуляция (МЭОР)'!$AJ$25:$AJ$452,'Калькуляция (МЭОР)'!$F$25:$F$452,$F293,'Калькуляция (МЭОР)'!$G$25:$G$452,$G293),IF(method_reg="Метод сравнения аналогов",_xlfn.SUMIFS('Калькуляция (МСА)'!$AE$25:$AE$122,'Калькуляция (МСА)'!$F$25:$F$122,$F293,'Калькуляция (МСА)'!$G$25:$G$122,$G293),_xlfn.SUMIFS(INDEX('Калькуляция (МИ)'!$AJ$25:$BC$747,,MATCH(AG$8,'Калькуляция (МИ)'!$AJ$8:$BC$8,0)),'Калькуляция (МИ)'!$F$25:$F$747,$F293,'Калькуляция (МИ)'!$G$25:$G$747,$G293))))</f>
        <v>768.77244</v>
      </c>
      <c r="AH293" s="1094">
        <f>IF(AND(method_reg="Метод индексации",god&lt;&gt;first_year),_xlfn.SUMIFS(INDEX('Калькуляция (МИ корр)'!$AJ$25:$BC$747,,MATCH(AH$8,'Калькуляция (МИ корр)'!$AJ$8:$BC$8,0)),'Калькуляция (МИ корр)'!$F$25:$F$747,$F293,'Калькуляция (МИ корр)'!$G$25:$G$747,$G293),IF(method_reg="Метод экономически обоснованных расходов",_xlfn.SUMIFS('Калькуляция (МЭОР)'!$AK$25:$AK$452,'Калькуляция (МЭОР)'!$F$25:$F$452,$F293,'Калькуляция (МЭОР)'!$G$25:$G$452,$G293),IF(method_reg="Метод сравнения аналогов",_xlfn.SUMIFS('Калькуляция (МСА)'!$AF$25:$AF$122,'Калькуляция (МСА)'!$F$25:$F$122,$F293,'Калькуляция (МСА)'!$G$25:$G$122,$G293),_xlfn.SUMIFS(INDEX('Калькуляция (МИ)'!$AJ$25:$BC$747,,MATCH(AH$8,'Калькуляция (МИ)'!$AJ$8:$BC$8,0)),'Калькуляция (МИ)'!$F$25:$F$747,$F293,'Калькуляция (МИ)'!$G$25:$G$747,$G293))))</f>
        <v>768.77244</v>
      </c>
      <c r="AI293" s="1095">
        <f>IF(AG293=0,0,(AH293-AG293)/AG293*100)</f>
        <v>0</v>
      </c>
      <c r="AJ293" s="1094">
        <f>IF(AND(method_reg="Метод индексации",god&lt;&gt;first_year),_xlfn.SUMIFS(INDEX('Калькуляция (МИ корр)'!$AJ$25:$BC$747,,MATCH(AJ$8,'Калькуляция (МИ корр)'!$AJ$8:$BC$8,0)),'Калькуляция (МИ корр)'!$F$25:$F$747,$F293,'Калькуляция (МИ корр)'!$G$25:$G$747,$G293),IF(method_reg="Метод экономически обоснованных расходов",_xlfn.SUMIFS('Калькуляция (МЭОР)'!$AJ$25:$AJ$452,'Калькуляция (МЭОР)'!$F$25:$F$452,$F293,'Калькуляция (МЭОР)'!$G$25:$G$452,$G293),IF(method_reg="Метод сравнения аналогов",_xlfn.SUMIFS('Калькуляция (МСА)'!$AE$25:$AE$122,'Калькуляция (МСА)'!$F$25:$F$122,$F293,'Калькуляция (МСА)'!$G$25:$G$122,$G293),_xlfn.SUMIFS(INDEX('Калькуляция (МИ)'!$AJ$25:$BC$747,,MATCH(AJ$8,'Калькуляция (МИ)'!$AJ$8:$BC$8,0)),'Калькуляция (МИ)'!$F$25:$F$747,$F293,'Калькуляция (МИ)'!$G$25:$G$747,$G293))))</f>
        <v>768.77244</v>
      </c>
      <c r="AK293" s="1094">
        <f>IF(AND(method_reg="Метод индексации",god&lt;&gt;first_year),_xlfn.SUMIFS(INDEX('Калькуляция (МИ корр)'!$AJ$25:$BC$747,,MATCH(AK$8,'Калькуляция (МИ корр)'!$AJ$8:$BC$8,0)),'Калькуляция (МИ корр)'!$F$25:$F$747,$F293,'Калькуляция (МИ корр)'!$G$25:$G$747,$G293),IF(method_reg="Метод экономически обоснованных расходов",_xlfn.SUMIFS('Калькуляция (МЭОР)'!$AK$25:$AK$452,'Калькуляция (МЭОР)'!$F$25:$F$452,$F293,'Калькуляция (МЭОР)'!$G$25:$G$452,$G293),IF(method_reg="Метод сравнения аналогов",_xlfn.SUMIFS('Калькуляция (МСА)'!$AF$25:$AF$122,'Калькуляция (МСА)'!$F$25:$F$122,$F293,'Калькуляция (МСА)'!$G$25:$G$122,$G293),_xlfn.SUMIFS(INDEX('Калькуляция (МИ)'!$AJ$25:$BC$747,,MATCH(AK$8,'Калькуляция (МИ)'!$AJ$8:$BC$8,0)),'Калькуляция (МИ)'!$F$25:$F$747,$F293,'Калькуляция (МИ)'!$G$25:$G$747,$G293))))</f>
        <v>768.77244</v>
      </c>
      <c r="AL293" s="1095">
        <f>IF(AJ293=0,0,(AK293-AJ293)/AJ293*100)</f>
        <v>0</v>
      </c>
      <c r="AM293" s="1094">
        <f>IF(AND(method_reg="Метод индексации",god&lt;&gt;first_year),_xlfn.SUMIFS(INDEX('Калькуляция (МИ корр)'!$AJ$25:$BC$747,,MATCH(AM$8,'Калькуляция (МИ корр)'!$AJ$8:$BC$8,0)),'Калькуляция (МИ корр)'!$F$25:$F$747,$F293,'Калькуляция (МИ корр)'!$G$25:$G$747,$G293),IF(method_reg="Метод экономически обоснованных расходов",_xlfn.SUMIFS('Калькуляция (МЭОР)'!$AJ$25:$AJ$452,'Калькуляция (МЭОР)'!$F$25:$F$452,$F293,'Калькуляция (МЭОР)'!$G$25:$G$452,$G293),IF(method_reg="Метод сравнения аналогов",_xlfn.SUMIFS('Калькуляция (МСА)'!$AE$25:$AE$122,'Калькуляция (МСА)'!$F$25:$F$122,$F293,'Калькуляция (МСА)'!$G$25:$G$122,$G293),_xlfn.SUMIFS(INDEX('Калькуляция (МИ)'!$AJ$25:$BC$747,,MATCH(AM$8,'Калькуляция (МИ)'!$AJ$8:$BC$8,0)),'Калькуляция (МИ)'!$F$25:$F$747,$F293,'Калькуляция (МИ)'!$G$25:$G$747,$G293))))</f>
        <v>768.77244</v>
      </c>
      <c r="AN293" s="1094">
        <f>IF(AND(method_reg="Метод индексации",god&lt;&gt;first_year),_xlfn.SUMIFS(INDEX('Калькуляция (МИ корр)'!$AJ$25:$BC$747,,MATCH(AN$8,'Калькуляция (МИ корр)'!$AJ$8:$BC$8,0)),'Калькуляция (МИ корр)'!$F$25:$F$747,$F293,'Калькуляция (МИ корр)'!$G$25:$G$747,$G293),IF(method_reg="Метод экономически обоснованных расходов",_xlfn.SUMIFS('Калькуляция (МЭОР)'!$AK$25:$AK$452,'Калькуляция (МЭОР)'!$F$25:$F$452,$F293,'Калькуляция (МЭОР)'!$G$25:$G$452,$G293),IF(method_reg="Метод сравнения аналогов",_xlfn.SUMIFS('Калькуляция (МСА)'!$AF$25:$AF$122,'Калькуляция (МСА)'!$F$25:$F$122,$F293,'Калькуляция (МСА)'!$G$25:$G$122,$G293),_xlfn.SUMIFS(INDEX('Калькуляция (МИ)'!$AJ$25:$BC$747,,MATCH(AN$8,'Калькуляция (МИ)'!$AJ$8:$BC$8,0)),'Калькуляция (МИ)'!$F$25:$F$747,$F293,'Калькуляция (МИ)'!$G$25:$G$747,$G293))))</f>
        <v>768.77244</v>
      </c>
      <c r="AO293" s="1095">
        <f>IF(AM293=0,0,(AN293-AM293)/AM293*100)</f>
        <v>0</v>
      </c>
      <c r="AP293" s="1094">
        <f>IF(AND(method_reg="Метод индексации",god&lt;&gt;first_year),_xlfn.SUMIFS(INDEX('Калькуляция (МИ корр)'!$AJ$25:$BC$747,,MATCH(AP$8,'Калькуляция (МИ корр)'!$AJ$8:$BC$8,0)),'Калькуляция (МИ корр)'!$F$25:$F$747,$F293,'Калькуляция (МИ корр)'!$G$25:$G$747,$G293),IF(method_reg="Метод экономически обоснованных расходов",_xlfn.SUMIFS('Калькуляция (МЭОР)'!$AJ$25:$AJ$452,'Калькуляция (МЭОР)'!$F$25:$F$452,$F293,'Калькуляция (МЭОР)'!$G$25:$G$452,$G293),IF(method_reg="Метод сравнения аналогов",_xlfn.SUMIFS('Калькуляция (МСА)'!$AE$25:$AE$122,'Калькуляция (МСА)'!$F$25:$F$122,$F293,'Калькуляция (МСА)'!$G$25:$G$122,$G293),_xlfn.SUMIFS(INDEX('Калькуляция (МИ)'!$AJ$25:$BC$747,,MATCH(AP$8,'Калькуляция (МИ)'!$AJ$8:$BC$8,0)),'Калькуляция (МИ)'!$F$25:$F$747,$F293,'Калькуляция (МИ)'!$G$25:$G$747,$G293))))</f>
        <v>768.77244</v>
      </c>
      <c r="AQ293" s="1094">
        <f>IF(AND(method_reg="Метод индексации",god&lt;&gt;first_year),_xlfn.SUMIFS(INDEX('Калькуляция (МИ корр)'!$AJ$25:$BC$747,,MATCH(AQ$8,'Калькуляция (МИ корр)'!$AJ$8:$BC$8,0)),'Калькуляция (МИ корр)'!$F$25:$F$747,$F293,'Калькуляция (МИ корр)'!$G$25:$G$747,$G293),IF(method_reg="Метод экономически обоснованных расходов",_xlfn.SUMIFS('Калькуляция (МЭОР)'!$AK$25:$AK$452,'Калькуляция (МЭОР)'!$F$25:$F$452,$F293,'Калькуляция (МЭОР)'!$G$25:$G$452,$G293),IF(method_reg="Метод сравнения аналогов",_xlfn.SUMIFS('Калькуляция (МСА)'!$AF$25:$AF$122,'Калькуляция (МСА)'!$F$25:$F$122,$F293,'Калькуляция (МСА)'!$G$25:$G$122,$G293),_xlfn.SUMIFS(INDEX('Калькуляция (МИ)'!$AJ$25:$BC$747,,MATCH(AQ$8,'Калькуляция (МИ)'!$AJ$8:$BC$8,0)),'Калькуляция (МИ)'!$F$25:$F$747,$F293,'Калькуляция (МИ)'!$G$25:$G$747,$G293))))</f>
        <v>768.77244</v>
      </c>
      <c r="AR293" s="1095">
        <f>IF(AP293=0,0,(AQ293-AP293)/AP293*100)</f>
        <v>0</v>
      </c>
      <c r="AS293" s="5247">
        <f>IF(AND(method_reg="Метод индексации",god&lt;&gt;first_year),_xlfn.SUMIFS(INDEX('Калькуляция (МИ корр)'!$AJ$25:$BC$747,,MATCH(AS$8,'Калькуляция (МИ корр)'!$AJ$8:$BC$8,0)),'Калькуляция (МИ корр)'!$F$25:$F$747,$F293,'Калькуляция (МИ корр)'!$G$25:$G$747,$G293),IF(method_reg="Метод экономически обоснованных расходов",_xlfn.SUMIFS('Калькуляция (МЭОР)'!$AJ$25:$AJ$452,'Калькуляция (МЭОР)'!$F$25:$F$452,$F293,'Калькуляция (МЭОР)'!$G$25:$G$452,$G293),IF(method_reg="Метод сравнения аналогов",_xlfn.SUMIFS('Калькуляция (МСА)'!$AE$25:$AE$122,'Калькуляция (МСА)'!$F$25:$F$122,$F293,'Калькуляция (МСА)'!$G$25:$G$122,$G293),_xlfn.SUMIFS(INDEX('Калькуляция (МИ)'!$AJ$25:$BC$747,,MATCH(AS$8,'Калькуляция (МИ)'!$AJ$8:$BC$8,0)),'Калькуляция (МИ)'!$F$25:$F$747,$F293,'Калькуляция (МИ)'!$G$25:$G$747,$G293))))</f>
        <v>0</v>
      </c>
      <c r="AT293" s="5247">
        <f>IF(AND(method_reg="Метод индексации",god&lt;&gt;first_year),_xlfn.SUMIFS(INDEX('Калькуляция (МИ корр)'!$AJ$25:$BC$747,,MATCH(AT$8,'Калькуляция (МИ корр)'!$AJ$8:$BC$8,0)),'Калькуляция (МИ корр)'!$F$25:$F$747,$F293,'Калькуляция (МИ корр)'!$G$25:$G$747,$G293),IF(method_reg="Метод экономически обоснованных расходов",_xlfn.SUMIFS('Калькуляция (МЭОР)'!$AK$25:$AK$452,'Калькуляция (МЭОР)'!$F$25:$F$452,$F293,'Калькуляция (МЭОР)'!$G$25:$G$452,$G293),IF(method_reg="Метод сравнения аналогов",_xlfn.SUMIFS('Калькуляция (МСА)'!$AF$25:$AF$122,'Калькуляция (МСА)'!$F$25:$F$122,$F293,'Калькуляция (МСА)'!$G$25:$G$122,$G293),_xlfn.SUMIFS(INDEX('Калькуляция (МИ)'!$AJ$25:$BC$747,,MATCH(AT$8,'Калькуляция (МИ)'!$AJ$8:$BC$8,0)),'Калькуляция (МИ)'!$F$25:$F$747,$F293,'Калькуляция (МИ)'!$G$25:$G$747,$G293))))</f>
        <v>0</v>
      </c>
      <c r="AU293" s="1095">
        <f>IF(AS293=0,0,(AT293-AS293)/AS293*100)</f>
        <v>0</v>
      </c>
      <c r="AV293" s="5247">
        <f>IF(AND(method_reg="Метод индексации",god&lt;&gt;first_year),_xlfn.SUMIFS(INDEX('Калькуляция (МИ корр)'!$AJ$25:$BC$747,,MATCH(AV$8,'Калькуляция (МИ корр)'!$AJ$8:$BC$8,0)),'Калькуляция (МИ корр)'!$F$25:$F$747,$F293,'Калькуляция (МИ корр)'!$G$25:$G$747,$G293),IF(method_reg="Метод экономически обоснованных расходов",_xlfn.SUMIFS('Калькуляция (МЭОР)'!$AJ$25:$AJ$452,'Калькуляция (МЭОР)'!$F$25:$F$452,$F293,'Калькуляция (МЭОР)'!$G$25:$G$452,$G293),IF(method_reg="Метод сравнения аналогов",_xlfn.SUMIFS('Калькуляция (МСА)'!$AE$25:$AE$122,'Калькуляция (МСА)'!$F$25:$F$122,$F293,'Калькуляция (МСА)'!$G$25:$G$122,$G293),_xlfn.SUMIFS(INDEX('Калькуляция (МИ)'!$AJ$25:$BC$747,,MATCH(AV$8,'Калькуляция (МИ)'!$AJ$8:$BC$8,0)),'Калькуляция (МИ)'!$F$25:$F$747,$F293,'Калькуляция (МИ)'!$G$25:$G$747,$G293))))</f>
        <v>0</v>
      </c>
      <c r="AW293" s="5247">
        <f>IF(AND(method_reg="Метод индексации",god&lt;&gt;first_year),_xlfn.SUMIFS(INDEX('Калькуляция (МИ корр)'!$AJ$25:$BC$747,,MATCH(AW$8,'Калькуляция (МИ корр)'!$AJ$8:$BC$8,0)),'Калькуляция (МИ корр)'!$F$25:$F$747,$F293,'Калькуляция (МИ корр)'!$G$25:$G$747,$G293),IF(method_reg="Метод экономически обоснованных расходов",_xlfn.SUMIFS('Калькуляция (МЭОР)'!$AK$25:$AK$452,'Калькуляция (МЭОР)'!$F$25:$F$452,$F293,'Калькуляция (МЭОР)'!$G$25:$G$452,$G293),IF(method_reg="Метод сравнения аналогов",_xlfn.SUMIFS('Калькуляция (МСА)'!$AF$25:$AF$122,'Калькуляция (МСА)'!$F$25:$F$122,$F293,'Калькуляция (МСА)'!$G$25:$G$122,$G293),_xlfn.SUMIFS(INDEX('Калькуляция (МИ)'!$AJ$25:$BC$747,,MATCH(AW$8,'Калькуляция (МИ)'!$AJ$8:$BC$8,0)),'Калькуляция (МИ)'!$F$25:$F$747,$F293,'Калькуляция (МИ)'!$G$25:$G$747,$G293))))</f>
        <v>0</v>
      </c>
      <c r="AX293" s="1095">
        <f>IF(AV293=0,0,(AW293-AV293)/AV293*100)</f>
        <v>0</v>
      </c>
      <c r="AY293" s="5247">
        <f>IF(AND(method_reg="Метод индексации",god&lt;&gt;first_year),_xlfn.SUMIFS(INDEX('Калькуляция (МИ корр)'!$AJ$25:$BC$747,,MATCH(AY$8,'Калькуляция (МИ корр)'!$AJ$8:$BC$8,0)),'Калькуляция (МИ корр)'!$F$25:$F$747,$F293,'Калькуляция (МИ корр)'!$G$25:$G$747,$G293),IF(method_reg="Метод экономически обоснованных расходов",_xlfn.SUMIFS('Калькуляция (МЭОР)'!$AJ$25:$AJ$452,'Калькуляция (МЭОР)'!$F$25:$F$452,$F293,'Калькуляция (МЭОР)'!$G$25:$G$452,$G293),IF(method_reg="Метод сравнения аналогов",_xlfn.SUMIFS('Калькуляция (МСА)'!$AE$25:$AE$122,'Калькуляция (МСА)'!$F$25:$F$122,$F293,'Калькуляция (МСА)'!$G$25:$G$122,$G293),_xlfn.SUMIFS(INDEX('Калькуляция (МИ)'!$AJ$25:$BC$747,,MATCH(AY$8,'Калькуляция (МИ)'!$AJ$8:$BC$8,0)),'Калькуляция (МИ)'!$F$25:$F$747,$F293,'Калькуляция (МИ)'!$G$25:$G$747,$G293))))</f>
        <v>0</v>
      </c>
      <c r="AZ293" s="5247">
        <f>IF(AND(method_reg="Метод индексации",god&lt;&gt;first_year),_xlfn.SUMIFS(INDEX('Калькуляция (МИ корр)'!$AJ$25:$BC$747,,MATCH(AZ$8,'Калькуляция (МИ корр)'!$AJ$8:$BC$8,0)),'Калькуляция (МИ корр)'!$F$25:$F$747,$F293,'Калькуляция (МИ корр)'!$G$25:$G$747,$G293),IF(method_reg="Метод экономически обоснованных расходов",_xlfn.SUMIFS('Калькуляция (МЭОР)'!$AK$25:$AK$452,'Калькуляция (МЭОР)'!$F$25:$F$452,$F293,'Калькуляция (МЭОР)'!$G$25:$G$452,$G293),IF(method_reg="Метод сравнения аналогов",_xlfn.SUMIFS('Калькуляция (МСА)'!$AF$25:$AF$122,'Калькуляция (МСА)'!$F$25:$F$122,$F293,'Калькуляция (МСА)'!$G$25:$G$122,$G293),_xlfn.SUMIFS(INDEX('Калькуляция (МИ)'!$AJ$25:$BC$747,,MATCH(AZ$8,'Калькуляция (МИ)'!$AJ$8:$BC$8,0)),'Калькуляция (МИ)'!$F$25:$F$747,$F293,'Калькуляция (МИ)'!$G$25:$G$747,$G293))))</f>
        <v>0</v>
      </c>
      <c r="BA293" s="1095">
        <f>IF(AY293=0,0,(AZ293-AY293)/AY293*100)</f>
        <v>0</v>
      </c>
      <c r="BB293" s="5247">
        <f>IF(AND(method_reg="Метод индексации",god&lt;&gt;first_year),_xlfn.SUMIFS(INDEX('Калькуляция (МИ корр)'!$AJ$25:$BC$747,,MATCH(BB$8,'Калькуляция (МИ корр)'!$AJ$8:$BC$8,0)),'Калькуляция (МИ корр)'!$F$25:$F$747,$F293,'Калькуляция (МИ корр)'!$G$25:$G$747,$G293),IF(method_reg="Метод экономически обоснованных расходов",_xlfn.SUMIFS('Калькуляция (МЭОР)'!$AJ$25:$AJ$452,'Калькуляция (МЭОР)'!$F$25:$F$452,$F293,'Калькуляция (МЭОР)'!$G$25:$G$452,$G293),IF(method_reg="Метод сравнения аналогов",_xlfn.SUMIFS('Калькуляция (МСА)'!$AE$25:$AE$122,'Калькуляция (МСА)'!$F$25:$F$122,$F293,'Калькуляция (МСА)'!$G$25:$G$122,$G293),_xlfn.SUMIFS(INDEX('Калькуляция (МИ)'!$AJ$25:$BC$747,,MATCH(BB$8,'Калькуляция (МИ)'!$AJ$8:$BC$8,0)),'Калькуляция (МИ)'!$F$25:$F$747,$F293,'Калькуляция (МИ)'!$G$25:$G$747,$G293))))</f>
        <v>0</v>
      </c>
      <c r="BC293" s="5247">
        <f>IF(AND(method_reg="Метод индексации",god&lt;&gt;first_year),_xlfn.SUMIFS(INDEX('Калькуляция (МИ корр)'!$AJ$25:$BC$747,,MATCH(BC$8,'Калькуляция (МИ корр)'!$AJ$8:$BC$8,0)),'Калькуляция (МИ корр)'!$F$25:$F$747,$F293,'Калькуляция (МИ корр)'!$G$25:$G$747,$G293),IF(method_reg="Метод экономически обоснованных расходов",_xlfn.SUMIFS('Калькуляция (МЭОР)'!$AK$25:$AK$452,'Калькуляция (МЭОР)'!$F$25:$F$452,$F293,'Калькуляция (МЭОР)'!$G$25:$G$452,$G293),IF(method_reg="Метод сравнения аналогов",_xlfn.SUMIFS('Калькуляция (МСА)'!$AF$25:$AF$122,'Калькуляция (МСА)'!$F$25:$F$122,$F293,'Калькуляция (МСА)'!$G$25:$G$122,$G293),_xlfn.SUMIFS(INDEX('Калькуляция (МИ)'!$AJ$25:$BC$747,,MATCH(BC$8,'Калькуляция (МИ)'!$AJ$8:$BC$8,0)),'Калькуляция (МИ)'!$F$25:$F$747,$F293,'Калькуляция (МИ)'!$G$25:$G$747,$G293))))</f>
        <v>0</v>
      </c>
      <c r="BD293" s="1095">
        <f>IF(BB293=0,0,(BC293-BB293)/BB293*100)</f>
        <v>0</v>
      </c>
      <c r="BE293" s="5247">
        <f>IF(AND(method_reg="Метод индексации",god&lt;&gt;first_year),_xlfn.SUMIFS(INDEX('Калькуляция (МИ корр)'!$AJ$25:$BC$747,,MATCH(BE$8,'Калькуляция (МИ корр)'!$AJ$8:$BC$8,0)),'Калькуляция (МИ корр)'!$F$25:$F$747,$F293,'Калькуляция (МИ корр)'!$G$25:$G$747,$G293),IF(method_reg="Метод экономически обоснованных расходов",_xlfn.SUMIFS('Калькуляция (МЭОР)'!$AJ$25:$AJ$452,'Калькуляция (МЭОР)'!$F$25:$F$452,$F293,'Калькуляция (МЭОР)'!$G$25:$G$452,$G293),IF(method_reg="Метод сравнения аналогов",_xlfn.SUMIFS('Калькуляция (МСА)'!$AE$25:$AE$122,'Калькуляция (МСА)'!$F$25:$F$122,$F293,'Калькуляция (МСА)'!$G$25:$G$122,$G293),_xlfn.SUMIFS(INDEX('Калькуляция (МИ)'!$AJ$25:$BC$747,,MATCH(BE$8,'Калькуляция (МИ)'!$AJ$8:$BC$8,0)),'Калькуляция (МИ)'!$F$25:$F$747,$F293,'Калькуляция (МИ)'!$G$25:$G$747,$G293))))</f>
        <v>0</v>
      </c>
      <c r="BF293" s="5247">
        <f>IF(AND(method_reg="Метод индексации",god&lt;&gt;first_year),_xlfn.SUMIFS(INDEX('Калькуляция (МИ корр)'!$AJ$25:$BC$747,,MATCH(BF$8,'Калькуляция (МИ корр)'!$AJ$8:$BC$8,0)),'Калькуляция (МИ корр)'!$F$25:$F$747,$F293,'Калькуляция (МИ корр)'!$G$25:$G$747,$G293),IF(method_reg="Метод экономически обоснованных расходов",_xlfn.SUMIFS('Калькуляция (МЭОР)'!$AK$25:$AK$452,'Калькуляция (МЭОР)'!$F$25:$F$452,$F293,'Калькуляция (МЭОР)'!$G$25:$G$452,$G293),IF(method_reg="Метод сравнения аналогов",_xlfn.SUMIFS('Калькуляция (МСА)'!$AF$25:$AF$122,'Калькуляция (МСА)'!$F$25:$F$122,$F293,'Калькуляция (МСА)'!$G$25:$G$122,$G293),_xlfn.SUMIFS(INDEX('Калькуляция (МИ)'!$AJ$25:$BC$747,,MATCH(BF$8,'Калькуляция (МИ)'!$AJ$8:$BC$8,0)),'Калькуляция (МИ)'!$F$25:$F$747,$F293,'Калькуляция (МИ)'!$G$25:$G$747,$G293))))</f>
        <v>0</v>
      </c>
      <c r="BG293" s="1095">
        <f>IF(BE293=0,0,(BF293-BE293)/BE293*100)</f>
        <v>0</v>
      </c>
      <c r="BH293" s="5247"/>
      <c r="BI293" s="5247"/>
      <c r="BJ293" s="1095">
        <f>IF(BH293=0,0,(BI293-BH293)/BH293*100)</f>
        <v>0</v>
      </c>
      <c r="BK293" s="5247"/>
      <c r="BL293" s="5247"/>
      <c r="BM293" s="1095">
        <f>IF(BK293=0,0,(BL293-BK293)/BK293*100)</f>
        <v>0</v>
      </c>
      <c r="BN293" s="5247"/>
      <c r="BO293" s="5247"/>
      <c r="BP293" s="1095">
        <f>IF(BN293=0,0,(BO293-BN293)/BN293*100)</f>
        <v>0</v>
      </c>
      <c r="BQ293" s="5247"/>
      <c r="BR293" s="5247"/>
      <c r="BS293" s="1095">
        <f>IF(BQ293=0,0,(BR293-BQ293)/BQ293*100)</f>
        <v>0</v>
      </c>
      <c r="BT293" s="5247"/>
      <c r="BU293" s="5247"/>
      <c r="BV293" s="1095">
        <f>IF(BT293=0,0,(BU293-BT293)/BT293*100)</f>
        <v>0</v>
      </c>
      <c r="BW293" s="5247"/>
      <c r="BX293" s="5247"/>
      <c r="BY293" s="1095">
        <f>IF(BW293=0,0,(BX293-BW293)/BW293*100)</f>
        <v>0</v>
      </c>
      <c r="BZ293" s="5247"/>
      <c r="CA293" s="5247"/>
      <c r="CB293" s="1095">
        <f>IF(BZ293=0,0,(CA293-BZ293)/BZ293*100)</f>
        <v>0</v>
      </c>
      <c r="CC293" s="5247"/>
      <c r="CD293" s="5247"/>
      <c r="CE293" s="1095">
        <f>IF(CC293=0,0,(CD293-CC293)/CC293*100)</f>
        <v>0</v>
      </c>
      <c r="CF293" s="5247"/>
      <c r="CG293" s="5247"/>
      <c r="CH293" s="1095">
        <f>IF(CF293=0,0,(CG293-CF293)/CF293*100)</f>
        <v>0</v>
      </c>
      <c r="CI293" s="5247"/>
      <c r="CJ293" s="5247"/>
      <c r="CK293" s="1095">
        <f>IF(CI293=0,0,(CJ293-CI293)/CI293*100)</f>
        <v>0</v>
      </c>
      <c r="CL293" s="5247"/>
      <c r="CM293" s="5247"/>
      <c r="CN293" s="1095">
        <f>IF(CL293=0,0,(CM293-CL293)/CL293*100)</f>
        <v>0</v>
      </c>
      <c r="CO293" s="5247"/>
      <c r="CP293" s="5247"/>
      <c r="CQ293" s="1095">
        <f>IF(CO293=0,0,(CP293-CO293)/CO293*100)</f>
        <v>0</v>
      </c>
      <c r="CR293" s="5247"/>
      <c r="CS293" s="5247"/>
      <c r="CT293" s="1095">
        <f>IF(CR293=0,0,(CS293-CR293)/CR293*100)</f>
        <v>0</v>
      </c>
      <c r="CU293" s="5247"/>
      <c r="CV293" s="5247"/>
      <c r="CW293" s="1095">
        <f>IF(CU293=0,0,(CV293-CU293)/CU293*100)</f>
        <v>0</v>
      </c>
      <c r="CX293" s="5247"/>
      <c r="CY293" s="5247"/>
      <c r="CZ293" s="1095">
        <f>IF(CX293=0,0,(CY293-CX293)/CX293*100)</f>
        <v>0</v>
      </c>
      <c r="DA293" s="5247"/>
      <c r="DB293" s="5247"/>
      <c r="DC293" s="1095">
        <f>IF(DA293=0,0,(DB293-DA293)/DA293*100)</f>
        <v>0</v>
      </c>
      <c r="DD293" s="5247"/>
      <c r="DE293" s="5247"/>
      <c r="DF293" s="1095">
        <f>IF(DD293=0,0,(DE293-DD293)/DD293*100)</f>
        <v>0</v>
      </c>
      <c r="DG293" s="5247"/>
      <c r="DH293" s="5247"/>
      <c r="DI293" s="1095">
        <f>IF(DG293=0,0,(DH293-DG293)/DG293*100)</f>
        <v>0</v>
      </c>
      <c r="DJ293" s="5247"/>
      <c r="DK293" s="5247"/>
      <c r="DL293" s="1095">
        <f>IF(DJ293=0,0,(DK293-DJ293)/DJ293*100)</f>
        <v>0</v>
      </c>
      <c r="DM293" s="5247"/>
      <c r="DN293" s="5247"/>
      <c r="DO293" s="1095">
        <f>IF(DM293=0,0,(DN293-DM293)/DM293*100)</f>
        <v>0</v>
      </c>
      <c r="DP293" s="5247"/>
      <c r="DQ293" s="5247"/>
      <c r="DR293" s="1095">
        <f>IF(DP293=0,0,(DQ293-DP293)/DP293*100)</f>
        <v>0</v>
      </c>
      <c r="DS293" s="5247"/>
      <c r="DT293" s="5247"/>
      <c r="DU293" s="1095">
        <f>IF(DS293=0,0,(DT293-DS293)/DS293*100)</f>
        <v>0</v>
      </c>
      <c r="DV293" s="5247"/>
      <c r="DW293" s="5247"/>
      <c r="DX293" s="1095">
        <f>IF(DV293=0,0,(DW293-DV293)/DV293*100)</f>
        <v>0</v>
      </c>
      <c r="DY293" s="5247"/>
      <c r="DZ293" s="5247"/>
      <c r="EA293" s="1095">
        <f>IF(DY293=0,0,(DZ293-DY293)/DY293*100)</f>
        <v>0</v>
      </c>
      <c r="EB293" s="5247"/>
      <c r="EC293" s="5247"/>
      <c r="ED293" s="1095">
        <f>IF(EB293=0,0,(EC293-EB293)/EB293*100)</f>
        <v>0</v>
      </c>
      <c r="EE293" s="5247"/>
      <c r="EF293" s="5247"/>
      <c r="EG293" s="1095">
        <f>IF(EE293=0,0,(EF293-EE293)/EE293*100)</f>
        <v>0</v>
      </c>
      <c r="EH293" s="5247"/>
      <c r="EI293" s="5247"/>
      <c r="EJ293" s="1095">
        <f>IF(EH293=0,0,(EI293-EH293)/EH293*100)</f>
        <v>0</v>
      </c>
      <c r="EK293" s="5247"/>
      <c r="EL293" s="5247"/>
      <c r="EM293" s="1095">
        <f>IF(EK293=0,0,(EL293-EK293)/EK293*100)</f>
        <v>0</v>
      </c>
      <c r="EN293" s="5247"/>
      <c r="EO293" s="5247"/>
      <c r="EP293" s="1095">
        <f>IF(EN293=0,0,(EO293-EN293)/EN293*100)</f>
        <v>0</v>
      </c>
      <c r="EQ293" s="5247"/>
      <c r="ER293" s="5247"/>
      <c r="ES293" s="1095">
        <f>IF(EQ293=0,0,(ER293-EQ293)/EQ293*100)</f>
        <v>0</v>
      </c>
      <c r="ET293" s="5247"/>
      <c r="EU293" s="5247"/>
      <c r="EV293" s="1095">
        <f>IF(ET293=0,0,(EU293-ET293)/ET293*100)</f>
        <v>0</v>
      </c>
      <c r="EW293" s="5247"/>
      <c r="EX293" s="5247"/>
      <c r="EY293" s="1095">
        <f>IF(EW293=0,0,(EX293-EW293)/EW293*100)</f>
        <v>0</v>
      </c>
      <c r="EZ293" s="5247"/>
      <c r="FA293" s="5247"/>
      <c r="FB293" s="1095">
        <f>IF(EZ293=0,0,(FA293-EZ293)/EZ293*100)</f>
        <v>0</v>
      </c>
      <c r="FC293" s="5247"/>
      <c r="FD293" s="5247"/>
      <c r="FE293" s="1095">
        <f>IF(FC293=0,0,(FD293-FC293)/FC293*100)</f>
        <v>0</v>
      </c>
      <c r="FF293" s="5247"/>
      <c r="FG293" s="5247"/>
      <c r="FH293" s="1095">
        <f>IF(FF293=0,0,(FG293-FF293)/FF293*100)</f>
        <v>0</v>
      </c>
      <c r="FI293" s="5247"/>
      <c r="FJ293" s="5247"/>
      <c r="FK293" s="1095">
        <f>IF(FI293=0,0,(FJ293-FI293)/FI293*100)</f>
        <v>0</v>
      </c>
      <c r="FL293" s="5247"/>
      <c r="FM293" s="5247"/>
      <c r="FN293" s="1095">
        <f>IF(FL293=0,0,(FM293-FL293)/FL293*100)</f>
        <v>0</v>
      </c>
      <c r="FO293" s="5247"/>
      <c r="FP293" s="5247"/>
      <c r="FQ293" s="1095">
        <f>IF(FO293=0,0,(FP293-FO293)/FO293*100)</f>
        <v>0</v>
      </c>
      <c r="FR293" s="5247"/>
      <c r="FS293" s="5247"/>
      <c r="FT293" s="1095">
        <f>IF(FR293=0,0,(FS293-FR293)/FR293*100)</f>
        <v>0</v>
      </c>
      <c r="FU293" s="5247"/>
      <c r="FV293" s="5247"/>
      <c r="FW293" s="1095">
        <f>IF(FU293=0,0,(FV293-FU293)/FU293*100)</f>
        <v>0</v>
      </c>
      <c r="FX293" s="292"/>
      <c r="FY293" s="1304"/>
      <c r="FZ293" s="1055" t="s">
        <v>2361</v>
      </c>
      <c r="GA293" s="1306"/>
      <c r="GB293" s="1306"/>
      <c r="GC293" s="1305"/>
      <c r="GD293" s="1305"/>
    </row>
    <row s="1834" customFormat="1" customHeight="1" ht="18" hidden="1">
      <c r="A294" s="493"/>
      <c r="B294" s="925" cm="1" t="str">
        <f t="array" ref="B294:B294">B293</f>
        <v>true</v>
      </c>
      <c r="C294" s="493"/>
      <c r="D294" s="493"/>
      <c r="E294" s="840">
        <v>18.75</v>
      </c>
      <c r="F294" s="50" cm="1" t="str">
        <f t="array" ref="F294:F294">OFFSET(E294,-1,1)</f>
        <v>4</v>
      </c>
      <c r="G294" s="493"/>
      <c r="H294" s="493" t="s">
        <v>1175</v>
      </c>
      <c r="I294" s="493" cm="1" t="str">
        <f t="array" ref="I294:I294">AB294</f>
        <v>0</v>
      </c>
      <c r="J294" s="493"/>
      <c r="K294" s="493"/>
      <c r="L294" s="493"/>
      <c r="M294" s="493"/>
      <c r="N294" s="493"/>
      <c r="O294" s="493"/>
      <c r="P294" s="493"/>
      <c r="Q294" s="897"/>
      <c r="R294" s="493"/>
      <c r="S294" s="493"/>
      <c r="T294" s="465">
        <f>AND(F294&gt;0,Y294&gt;0)</f>
        <v>0</v>
      </c>
      <c r="U294" s="493"/>
      <c r="V294" s="493"/>
      <c r="W294" s="493" t="s">
        <v>174</v>
      </c>
      <c r="X294" s="1596"/>
      <c r="Y294" s="1596">
        <v>0</v>
      </c>
      <c r="Z294" s="1545"/>
      <c r="AA294" s="1494" t="s">
        <v>175</v>
      </c>
      <c r="AB294" s="5252"/>
      <c r="AC294" s="864" t="s">
        <v>2337</v>
      </c>
      <c r="AD294" s="2846"/>
      <c r="AE294" s="5253"/>
      <c r="AF294" s="1093">
        <f>IF(AD294=0,0,(AE294-AD294)/AD294*100)</f>
        <v>0</v>
      </c>
      <c r="AG294" s="2846"/>
      <c r="AH294" s="5253"/>
      <c r="AI294" s="1093">
        <f>IF(AG294=0,0,(AH294-AG294)/AG294*100)</f>
        <v>0</v>
      </c>
      <c r="AJ294" s="2846"/>
      <c r="AK294" s="5253"/>
      <c r="AL294" s="1093">
        <f>IF(AJ294=0,0,(AK294-AJ294)/AJ294*100)</f>
        <v>0</v>
      </c>
      <c r="AM294" s="2846"/>
      <c r="AN294" s="5253"/>
      <c r="AO294" s="1093">
        <f>IF(AM294=0,0,(AN294-AM294)/AM294*100)</f>
        <v>0</v>
      </c>
      <c r="AP294" s="2846"/>
      <c r="AQ294" s="5253"/>
      <c r="AR294" s="1093">
        <f>IF(AP294=0,0,(AQ294-AP294)/AP294*100)</f>
        <v>0</v>
      </c>
      <c r="AS294" s="2846"/>
      <c r="AT294" s="5253"/>
      <c r="AU294" s="1093">
        <f>IF(AS294=0,0,(AT294-AS294)/AS294*100)</f>
        <v>0</v>
      </c>
      <c r="AV294" s="2846"/>
      <c r="AW294" s="5253"/>
      <c r="AX294" s="1093">
        <f>IF(AV294=0,0,(AW294-AV294)/AV294*100)</f>
        <v>0</v>
      </c>
      <c r="AY294" s="2846"/>
      <c r="AZ294" s="5253"/>
      <c r="BA294" s="1093">
        <f>IF(AY294=0,0,(AZ294-AY294)/AY294*100)</f>
        <v>0</v>
      </c>
      <c r="BB294" s="2846"/>
      <c r="BC294" s="5253"/>
      <c r="BD294" s="1093">
        <f>IF(BB294=0,0,(BC294-BB294)/BB294*100)</f>
        <v>0</v>
      </c>
      <c r="BE294" s="2846"/>
      <c r="BF294" s="5253"/>
      <c r="BG294" s="1093">
        <f>IF(BE294=0,0,(BF294-BE294)/BE294*100)</f>
        <v>0</v>
      </c>
      <c r="BH294" s="2846"/>
      <c r="BI294" s="5253"/>
      <c r="BJ294" s="1093">
        <f>IF(BH294=0,0,(BI294-BH294)/BH294*100)</f>
        <v>0</v>
      </c>
      <c r="BK294" s="2846"/>
      <c r="BL294" s="5253"/>
      <c r="BM294" s="1093">
        <f>IF(BK294=0,0,(BL294-BK294)/BK294*100)</f>
        <v>0</v>
      </c>
      <c r="BN294" s="2846"/>
      <c r="BO294" s="5253"/>
      <c r="BP294" s="1093">
        <f>IF(BN294=0,0,(BO294-BN294)/BN294*100)</f>
        <v>0</v>
      </c>
      <c r="BQ294" s="2846"/>
      <c r="BR294" s="5253"/>
      <c r="BS294" s="1093">
        <f>IF(BQ294=0,0,(BR294-BQ294)/BQ294*100)</f>
        <v>0</v>
      </c>
      <c r="BT294" s="2846"/>
      <c r="BU294" s="5253"/>
      <c r="BV294" s="1093">
        <f>IF(BT294=0,0,(BU294-BT294)/BT294*100)</f>
        <v>0</v>
      </c>
      <c r="BW294" s="2846"/>
      <c r="BX294" s="5253"/>
      <c r="BY294" s="1093">
        <f>IF(BW294=0,0,(BX294-BW294)/BW294*100)</f>
        <v>0</v>
      </c>
      <c r="BZ294" s="2846"/>
      <c r="CA294" s="5253"/>
      <c r="CB294" s="1093">
        <f>IF(BZ294=0,0,(CA294-BZ294)/BZ294*100)</f>
        <v>0</v>
      </c>
      <c r="CC294" s="2846"/>
      <c r="CD294" s="5253"/>
      <c r="CE294" s="1093">
        <f>IF(CC294=0,0,(CD294-CC294)/CC294*100)</f>
        <v>0</v>
      </c>
      <c r="CF294" s="2846"/>
      <c r="CG294" s="5253"/>
      <c r="CH294" s="1093">
        <f>IF(CF294=0,0,(CG294-CF294)/CF294*100)</f>
        <v>0</v>
      </c>
      <c r="CI294" s="2846"/>
      <c r="CJ294" s="5253"/>
      <c r="CK294" s="1093">
        <f>IF(CI294=0,0,(CJ294-CI294)/CI294*100)</f>
        <v>0</v>
      </c>
      <c r="CL294" s="2846"/>
      <c r="CM294" s="5253"/>
      <c r="CN294" s="1093">
        <f>IF(CL294=0,0,(CM294-CL294)/CL294*100)</f>
        <v>0</v>
      </c>
      <c r="CO294" s="2846"/>
      <c r="CP294" s="5253"/>
      <c r="CQ294" s="1093">
        <f>IF(CO294=0,0,(CP294-CO294)/CO294*100)</f>
        <v>0</v>
      </c>
      <c r="CR294" s="2846"/>
      <c r="CS294" s="5253"/>
      <c r="CT294" s="1093">
        <f>IF(CR294=0,0,(CS294-CR294)/CR294*100)</f>
        <v>0</v>
      </c>
      <c r="CU294" s="2846"/>
      <c r="CV294" s="5253"/>
      <c r="CW294" s="1093">
        <f>IF(CU294=0,0,(CV294-CU294)/CU294*100)</f>
        <v>0</v>
      </c>
      <c r="CX294" s="2846"/>
      <c r="CY294" s="5253"/>
      <c r="CZ294" s="1093">
        <f>IF(CX294=0,0,(CY294-CX294)/CX294*100)</f>
        <v>0</v>
      </c>
      <c r="DA294" s="2846"/>
      <c r="DB294" s="5253"/>
      <c r="DC294" s="1093">
        <f>IF(DA294=0,0,(DB294-DA294)/DA294*100)</f>
        <v>0</v>
      </c>
      <c r="DD294" s="2846"/>
      <c r="DE294" s="5253"/>
      <c r="DF294" s="1093">
        <f>IF(DD294=0,0,(DE294-DD294)/DD294*100)</f>
        <v>0</v>
      </c>
      <c r="DG294" s="2846"/>
      <c r="DH294" s="5253"/>
      <c r="DI294" s="1093">
        <f>IF(DG294=0,0,(DH294-DG294)/DG294*100)</f>
        <v>0</v>
      </c>
      <c r="DJ294" s="2846"/>
      <c r="DK294" s="5253"/>
      <c r="DL294" s="1093">
        <f>IF(DJ294=0,0,(DK294-DJ294)/DJ294*100)</f>
        <v>0</v>
      </c>
      <c r="DM294" s="2846"/>
      <c r="DN294" s="5253"/>
      <c r="DO294" s="1093">
        <f>IF(DM294=0,0,(DN294-DM294)/DM294*100)</f>
        <v>0</v>
      </c>
      <c r="DP294" s="2846"/>
      <c r="DQ294" s="5253"/>
      <c r="DR294" s="1093">
        <f>IF(DP294=0,0,(DQ294-DP294)/DP294*100)</f>
        <v>0</v>
      </c>
      <c r="DS294" s="2846"/>
      <c r="DT294" s="5253"/>
      <c r="DU294" s="1093">
        <f>IF(DS294=0,0,(DT294-DS294)/DS294*100)</f>
        <v>0</v>
      </c>
      <c r="DV294" s="2846"/>
      <c r="DW294" s="5253"/>
      <c r="DX294" s="1093">
        <f>IF(DV294=0,0,(DW294-DV294)/DV294*100)</f>
        <v>0</v>
      </c>
      <c r="DY294" s="2846"/>
      <c r="DZ294" s="5253"/>
      <c r="EA294" s="1093">
        <f>IF(DY294=0,0,(DZ294-DY294)/DY294*100)</f>
        <v>0</v>
      </c>
      <c r="EB294" s="2846"/>
      <c r="EC294" s="5253"/>
      <c r="ED294" s="1093">
        <f>IF(EB294=0,0,(EC294-EB294)/EB294*100)</f>
        <v>0</v>
      </c>
      <c r="EE294" s="2846"/>
      <c r="EF294" s="5253"/>
      <c r="EG294" s="1093">
        <f>IF(EE294=0,0,(EF294-EE294)/EE294*100)</f>
        <v>0</v>
      </c>
      <c r="EH294" s="2846"/>
      <c r="EI294" s="5253"/>
      <c r="EJ294" s="1093">
        <f>IF(EH294=0,0,(EI294-EH294)/EH294*100)</f>
        <v>0</v>
      </c>
      <c r="EK294" s="2846"/>
      <c r="EL294" s="5253"/>
      <c r="EM294" s="1093">
        <f>IF(EK294=0,0,(EL294-EK294)/EK294*100)</f>
        <v>0</v>
      </c>
      <c r="EN294" s="2846"/>
      <c r="EO294" s="5253"/>
      <c r="EP294" s="1093">
        <f>IF(EN294=0,0,(EO294-EN294)/EN294*100)</f>
        <v>0</v>
      </c>
      <c r="EQ294" s="2846"/>
      <c r="ER294" s="5253"/>
      <c r="ES294" s="1093">
        <f>IF(EQ294=0,0,(ER294-EQ294)/EQ294*100)</f>
        <v>0</v>
      </c>
      <c r="ET294" s="2846"/>
      <c r="EU294" s="5253"/>
      <c r="EV294" s="1093">
        <f>IF(ET294=0,0,(EU294-ET294)/ET294*100)</f>
        <v>0</v>
      </c>
      <c r="EW294" s="2846"/>
      <c r="EX294" s="5253"/>
      <c r="EY294" s="1093">
        <f>IF(EW294=0,0,(EX294-EW294)/EW294*100)</f>
        <v>0</v>
      </c>
      <c r="EZ294" s="2846"/>
      <c r="FA294" s="5253"/>
      <c r="FB294" s="1093">
        <f>IF(EZ294=0,0,(FA294-EZ294)/EZ294*100)</f>
        <v>0</v>
      </c>
      <c r="FC294" s="2846"/>
      <c r="FD294" s="5253"/>
      <c r="FE294" s="1093">
        <f>IF(FC294=0,0,(FD294-FC294)/FC294*100)</f>
        <v>0</v>
      </c>
      <c r="FF294" s="2846"/>
      <c r="FG294" s="5253"/>
      <c r="FH294" s="1093">
        <f>IF(FF294=0,0,(FG294-FF294)/FF294*100)</f>
        <v>0</v>
      </c>
      <c r="FI294" s="2846"/>
      <c r="FJ294" s="5253"/>
      <c r="FK294" s="1093">
        <f>IF(FI294=0,0,(FJ294-FI294)/FI294*100)</f>
        <v>0</v>
      </c>
      <c r="FL294" s="2846"/>
      <c r="FM294" s="5253"/>
      <c r="FN294" s="1093">
        <f>IF(FL294=0,0,(FM294-FL294)/FL294*100)</f>
        <v>0</v>
      </c>
      <c r="FO294" s="2846"/>
      <c r="FP294" s="5253"/>
      <c r="FQ294" s="1093">
        <f>IF(FO294=0,0,(FP294-FO294)/FO294*100)</f>
        <v>0</v>
      </c>
      <c r="FR294" s="2846"/>
      <c r="FS294" s="5253"/>
      <c r="FT294" s="1093">
        <f>IF(FR294=0,0,(FS294-FR294)/FR294*100)</f>
        <v>0</v>
      </c>
      <c r="FU294" s="2846"/>
      <c r="FV294" s="5253"/>
      <c r="FW294" s="1093">
        <f>IF(FU294=0,0,(FV294-FU294)/FU294*100)</f>
        <v>0</v>
      </c>
      <c r="FX294" s="292"/>
      <c r="FY294" s="1304"/>
      <c r="FZ294" s="1055" t="s">
        <v>2362</v>
      </c>
      <c r="GA294" s="1015" t="s">
        <v>2363</v>
      </c>
      <c r="GB294" s="1015" cm="1" t="str">
        <f t="array" ref="GB294:GB294">AB294</f>
        <v>0</v>
      </c>
      <c r="GC294" s="1305"/>
      <c r="GD294" s="632" t="b">
        <v>1</v>
      </c>
    </row>
    <row customHeight="1" ht="18.525" hidden="1">
      <c r="A295" s="493"/>
      <c r="B295" s="925" cm="1" t="str">
        <f t="array" ref="B295:B295">B294</f>
        <v>true</v>
      </c>
      <c r="C295" s="493"/>
      <c r="D295" s="493"/>
      <c r="E295" s="840">
        <v>19</v>
      </c>
      <c r="F295" s="50" cm="1" t="str">
        <f t="array" ref="F295:F295">OFFSET(E295,-1,1)</f>
        <v>4</v>
      </c>
      <c r="G295" s="493"/>
      <c r="H295" s="493"/>
      <c r="I295" s="493"/>
      <c r="J295" s="493"/>
      <c r="K295" s="493"/>
      <c r="L295" s="493"/>
      <c r="M295" s="493"/>
      <c r="N295" s="493"/>
      <c r="O295" s="493"/>
      <c r="P295" s="493"/>
      <c r="Q295" s="897"/>
      <c r="R295" s="493"/>
      <c r="S295" s="493"/>
      <c r="T295" s="465" cm="1" t="str">
        <f t="array" ref="T295:T295">T294</f>
        <v>false</v>
      </c>
      <c r="U295" s="493"/>
      <c r="V295" s="493"/>
      <c r="W295" s="493"/>
      <c r="X295" s="1596"/>
      <c r="Y295" s="1596"/>
      <c r="Z295" s="1545"/>
      <c r="AA295" s="1494"/>
      <c r="AB295" s="5252"/>
      <c r="AC295" s="864" t="s">
        <v>2337</v>
      </c>
      <c r="AD295" s="2846"/>
      <c r="AE295" s="5253"/>
      <c r="AF295" s="1093">
        <f>IF(AD295=0,0,(AE295-AD295)/AD295*100)</f>
        <v>0</v>
      </c>
      <c r="AG295" s="2846"/>
      <c r="AH295" s="5253"/>
      <c r="AI295" s="1093">
        <f>IF(AG295=0,0,(AH295-AG295)/AG295*100)</f>
        <v>0</v>
      </c>
      <c r="AJ295" s="2846"/>
      <c r="AK295" s="5253"/>
      <c r="AL295" s="1093">
        <f>IF(AJ295=0,0,(AK295-AJ295)/AJ295*100)</f>
        <v>0</v>
      </c>
      <c r="AM295" s="2846"/>
      <c r="AN295" s="5253"/>
      <c r="AO295" s="1093">
        <f>IF(AM295=0,0,(AN295-AM295)/AM295*100)</f>
        <v>0</v>
      </c>
      <c r="AP295" s="2846"/>
      <c r="AQ295" s="5253"/>
      <c r="AR295" s="1093">
        <f>IF(AP295=0,0,(AQ295-AP295)/AP295*100)</f>
        <v>0</v>
      </c>
      <c r="AS295" s="2846"/>
      <c r="AT295" s="5253"/>
      <c r="AU295" s="1093">
        <f>IF(AS295=0,0,(AT295-AS295)/AS295*100)</f>
        <v>0</v>
      </c>
      <c r="AV295" s="2846"/>
      <c r="AW295" s="5253"/>
      <c r="AX295" s="1093">
        <f>IF(AV295=0,0,(AW295-AV295)/AV295*100)</f>
        <v>0</v>
      </c>
      <c r="AY295" s="2846"/>
      <c r="AZ295" s="5253"/>
      <c r="BA295" s="1093">
        <f>IF(AY295=0,0,(AZ295-AY295)/AY295*100)</f>
        <v>0</v>
      </c>
      <c r="BB295" s="2846"/>
      <c r="BC295" s="5253"/>
      <c r="BD295" s="1093">
        <f>IF(BB295=0,0,(BC295-BB295)/BB295*100)</f>
        <v>0</v>
      </c>
      <c r="BE295" s="2846"/>
      <c r="BF295" s="5253"/>
      <c r="BG295" s="1093">
        <f>IF(BE295=0,0,(BF295-BE295)/BE295*100)</f>
        <v>0</v>
      </c>
      <c r="BH295" s="2846"/>
      <c r="BI295" s="5253"/>
      <c r="BJ295" s="1093">
        <f>IF(BH295=0,0,(BI295-BH295)/BH295*100)</f>
        <v>0</v>
      </c>
      <c r="BK295" s="2846"/>
      <c r="BL295" s="5253"/>
      <c r="BM295" s="1093">
        <f>IF(BK295=0,0,(BL295-BK295)/BK295*100)</f>
        <v>0</v>
      </c>
      <c r="BN295" s="2846"/>
      <c r="BO295" s="5253"/>
      <c r="BP295" s="1093">
        <f>IF(BN295=0,0,(BO295-BN295)/BN295*100)</f>
        <v>0</v>
      </c>
      <c r="BQ295" s="2846"/>
      <c r="BR295" s="5253"/>
      <c r="BS295" s="1093">
        <f>IF(BQ295=0,0,(BR295-BQ295)/BQ295*100)</f>
        <v>0</v>
      </c>
      <c r="BT295" s="2846"/>
      <c r="BU295" s="5253"/>
      <c r="BV295" s="1093">
        <f>IF(BT295=0,0,(BU295-BT295)/BT295*100)</f>
        <v>0</v>
      </c>
      <c r="BW295" s="2846"/>
      <c r="BX295" s="5253"/>
      <c r="BY295" s="1093">
        <f>IF(BW295=0,0,(BX295-BW295)/BW295*100)</f>
        <v>0</v>
      </c>
      <c r="BZ295" s="2846"/>
      <c r="CA295" s="5253"/>
      <c r="CB295" s="1093">
        <f>IF(BZ295=0,0,(CA295-BZ295)/BZ295*100)</f>
        <v>0</v>
      </c>
      <c r="CC295" s="2846"/>
      <c r="CD295" s="5253"/>
      <c r="CE295" s="1093">
        <f>IF(CC295=0,0,(CD295-CC295)/CC295*100)</f>
        <v>0</v>
      </c>
      <c r="CF295" s="2846"/>
      <c r="CG295" s="5253"/>
      <c r="CH295" s="1093">
        <f>IF(CF295=0,0,(CG295-CF295)/CF295*100)</f>
        <v>0</v>
      </c>
      <c r="CI295" s="2846"/>
      <c r="CJ295" s="5253"/>
      <c r="CK295" s="1093">
        <f>IF(CI295=0,0,(CJ295-CI295)/CI295*100)</f>
        <v>0</v>
      </c>
      <c r="CL295" s="2846"/>
      <c r="CM295" s="5253"/>
      <c r="CN295" s="1093">
        <f>IF(CL295=0,0,(CM295-CL295)/CL295*100)</f>
        <v>0</v>
      </c>
      <c r="CO295" s="2846"/>
      <c r="CP295" s="5253"/>
      <c r="CQ295" s="1093">
        <f>IF(CO295=0,0,(CP295-CO295)/CO295*100)</f>
        <v>0</v>
      </c>
      <c r="CR295" s="2846"/>
      <c r="CS295" s="5253"/>
      <c r="CT295" s="1093">
        <f>IF(CR295=0,0,(CS295-CR295)/CR295*100)</f>
        <v>0</v>
      </c>
      <c r="CU295" s="2846"/>
      <c r="CV295" s="5253"/>
      <c r="CW295" s="1093">
        <f>IF(CU295=0,0,(CV295-CU295)/CU295*100)</f>
        <v>0</v>
      </c>
      <c r="CX295" s="2846"/>
      <c r="CY295" s="5253"/>
      <c r="CZ295" s="1093">
        <f>IF(CX295=0,0,(CY295-CX295)/CX295*100)</f>
        <v>0</v>
      </c>
      <c r="DA295" s="2846"/>
      <c r="DB295" s="5253"/>
      <c r="DC295" s="1093">
        <f>IF(DA295=0,0,(DB295-DA295)/DA295*100)</f>
        <v>0</v>
      </c>
      <c r="DD295" s="2846"/>
      <c r="DE295" s="5253"/>
      <c r="DF295" s="1093">
        <f>IF(DD295=0,0,(DE295-DD295)/DD295*100)</f>
        <v>0</v>
      </c>
      <c r="DG295" s="2846"/>
      <c r="DH295" s="5253"/>
      <c r="DI295" s="1093">
        <f>IF(DG295=0,0,(DH295-DG295)/DG295*100)</f>
        <v>0</v>
      </c>
      <c r="DJ295" s="2846"/>
      <c r="DK295" s="5253"/>
      <c r="DL295" s="1093">
        <f>IF(DJ295=0,0,(DK295-DJ295)/DJ295*100)</f>
        <v>0</v>
      </c>
      <c r="DM295" s="2846"/>
      <c r="DN295" s="5253"/>
      <c r="DO295" s="1093">
        <f>IF(DM295=0,0,(DN295-DM295)/DM295*100)</f>
        <v>0</v>
      </c>
      <c r="DP295" s="2846"/>
      <c r="DQ295" s="5253"/>
      <c r="DR295" s="1093">
        <f>IF(DP295=0,0,(DQ295-DP295)/DP295*100)</f>
        <v>0</v>
      </c>
      <c r="DS295" s="2846"/>
      <c r="DT295" s="5253"/>
      <c r="DU295" s="1093">
        <f>IF(DS295=0,0,(DT295-DS295)/DS295*100)</f>
        <v>0</v>
      </c>
      <c r="DV295" s="2846"/>
      <c r="DW295" s="5253"/>
      <c r="DX295" s="1093">
        <f>IF(DV295=0,0,(DW295-DV295)/DV295*100)</f>
        <v>0</v>
      </c>
      <c r="DY295" s="2846"/>
      <c r="DZ295" s="5253"/>
      <c r="EA295" s="1093">
        <f>IF(DY295=0,0,(DZ295-DY295)/DY295*100)</f>
        <v>0</v>
      </c>
      <c r="EB295" s="2846"/>
      <c r="EC295" s="5253"/>
      <c r="ED295" s="1093">
        <f>IF(EB295=0,0,(EC295-EB295)/EB295*100)</f>
        <v>0</v>
      </c>
      <c r="EE295" s="2846"/>
      <c r="EF295" s="5253"/>
      <c r="EG295" s="1093">
        <f>IF(EE295=0,0,(EF295-EE295)/EE295*100)</f>
        <v>0</v>
      </c>
      <c r="EH295" s="2846"/>
      <c r="EI295" s="5253"/>
      <c r="EJ295" s="1093">
        <f>IF(EH295=0,0,(EI295-EH295)/EH295*100)</f>
        <v>0</v>
      </c>
      <c r="EK295" s="2846"/>
      <c r="EL295" s="5253"/>
      <c r="EM295" s="1093">
        <f>IF(EK295=0,0,(EL295-EK295)/EK295*100)</f>
        <v>0</v>
      </c>
      <c r="EN295" s="2846"/>
      <c r="EO295" s="5253"/>
      <c r="EP295" s="1093">
        <f>IF(EN295=0,0,(EO295-EN295)/EN295*100)</f>
        <v>0</v>
      </c>
      <c r="EQ295" s="2846"/>
      <c r="ER295" s="5253"/>
      <c r="ES295" s="1093">
        <f>IF(EQ295=0,0,(ER295-EQ295)/EQ295*100)</f>
        <v>0</v>
      </c>
      <c r="ET295" s="2846"/>
      <c r="EU295" s="5253"/>
      <c r="EV295" s="1093">
        <f>IF(ET295=0,0,(EU295-ET295)/ET295*100)</f>
        <v>0</v>
      </c>
      <c r="EW295" s="2846"/>
      <c r="EX295" s="5253"/>
      <c r="EY295" s="1093">
        <f>IF(EW295=0,0,(EX295-EW295)/EW295*100)</f>
        <v>0</v>
      </c>
      <c r="EZ295" s="2846"/>
      <c r="FA295" s="5253"/>
      <c r="FB295" s="1093">
        <f>IF(EZ295=0,0,(FA295-EZ295)/EZ295*100)</f>
        <v>0</v>
      </c>
      <c r="FC295" s="2846"/>
      <c r="FD295" s="5253"/>
      <c r="FE295" s="1093">
        <f>IF(FC295=0,0,(FD295-FC295)/FC295*100)</f>
        <v>0</v>
      </c>
      <c r="FF295" s="2846"/>
      <c r="FG295" s="5253"/>
      <c r="FH295" s="1093">
        <f>IF(FF295=0,0,(FG295-FF295)/FF295*100)</f>
        <v>0</v>
      </c>
      <c r="FI295" s="2846"/>
      <c r="FJ295" s="5253"/>
      <c r="FK295" s="1093">
        <f>IF(FI295=0,0,(FJ295-FI295)/FI295*100)</f>
        <v>0</v>
      </c>
      <c r="FL295" s="2846"/>
      <c r="FM295" s="5253"/>
      <c r="FN295" s="1093">
        <f>IF(FL295=0,0,(FM295-FL295)/FL295*100)</f>
        <v>0</v>
      </c>
      <c r="FO295" s="2846"/>
      <c r="FP295" s="5253"/>
      <c r="FQ295" s="1093">
        <f>IF(FO295=0,0,(FP295-FO295)/FO295*100)</f>
        <v>0</v>
      </c>
      <c r="FR295" s="2846"/>
      <c r="FS295" s="5253"/>
      <c r="FT295" s="1093">
        <f>IF(FR295=0,0,(FS295-FR295)/FR295*100)</f>
        <v>0</v>
      </c>
      <c r="FU295" s="2846"/>
      <c r="FV295" s="5253"/>
      <c r="FW295" s="1093">
        <f>IF(FU295=0,0,(FV295-FU295)/FU295*100)</f>
        <v>0</v>
      </c>
      <c r="FZ295" s="1306" t="s">
        <v>2364</v>
      </c>
      <c r="GA295" s="1306" t="s">
        <v>2363</v>
      </c>
      <c r="GB295" s="1306" cm="1" t="str">
        <f t="array" ref="GB295:GB295">GB294</f>
        <v>0</v>
      </c>
    </row>
    <row s="1834" customFormat="1" customHeight="1" ht="14.25" hidden="1">
      <c r="A296" s="493"/>
      <c r="B296" s="925" cm="1" t="str">
        <f t="array" ref="B296:B296">B294</f>
        <v>true</v>
      </c>
      <c r="C296" s="493"/>
      <c r="D296" s="493"/>
      <c r="E296" s="840">
        <v>15</v>
      </c>
      <c r="F296" s="50" cm="1" t="str">
        <f t="array" ref="F296:F296">OFFSET(E296,-1,1)</f>
        <v>4</v>
      </c>
      <c r="G296" s="493"/>
      <c r="H296" s="493" t="s">
        <v>1182</v>
      </c>
      <c r="I296" s="493" cm="1" t="str">
        <f t="array" ref="I296:I296">I294</f>
        <v>0</v>
      </c>
      <c r="J296" s="493"/>
      <c r="K296" s="493"/>
      <c r="L296" s="493"/>
      <c r="M296" s="493"/>
      <c r="N296" s="493"/>
      <c r="O296" s="493"/>
      <c r="P296" s="493"/>
      <c r="Q296" s="897"/>
      <c r="R296" s="493"/>
      <c r="S296" s="493"/>
      <c r="T296" s="465" cm="1" t="str">
        <f t="array" ref="T296:T296">T294</f>
        <v>false</v>
      </c>
      <c r="U296" s="493"/>
      <c r="V296" s="493"/>
      <c r="W296" s="493"/>
      <c r="X296" s="1596"/>
      <c r="Y296" s="1596"/>
      <c r="Z296" s="1545"/>
      <c r="AA296" s="1494"/>
      <c r="AB296" s="900" t="s">
        <v>2347</v>
      </c>
      <c r="AC296" s="300" t="s">
        <v>1247</v>
      </c>
      <c r="AD296" s="5247"/>
      <c r="AE296" s="5247"/>
      <c r="AF296" s="1095">
        <f>IF(AD296=0,0,(AE296-AD296)/AD296*100)</f>
        <v>0</v>
      </c>
      <c r="AG296" s="5247"/>
      <c r="AH296" s="5247"/>
      <c r="AI296" s="1095">
        <f>IF(AG296=0,0,(AH296-AG296)/AG296*100)</f>
        <v>0</v>
      </c>
      <c r="AJ296" s="5247"/>
      <c r="AK296" s="5247"/>
      <c r="AL296" s="1095">
        <f>IF(AJ296=0,0,(AK296-AJ296)/AJ296*100)</f>
        <v>0</v>
      </c>
      <c r="AM296" s="5247"/>
      <c r="AN296" s="5247"/>
      <c r="AO296" s="1095">
        <f>IF(AM296=0,0,(AN296-AM296)/AM296*100)</f>
        <v>0</v>
      </c>
      <c r="AP296" s="5247"/>
      <c r="AQ296" s="5247"/>
      <c r="AR296" s="1095">
        <f>IF(AP296=0,0,(AQ296-AP296)/AP296*100)</f>
        <v>0</v>
      </c>
      <c r="AS296" s="5247"/>
      <c r="AT296" s="5247"/>
      <c r="AU296" s="1095">
        <f>IF(AS296=0,0,(AT296-AS296)/AS296*100)</f>
        <v>0</v>
      </c>
      <c r="AV296" s="5247"/>
      <c r="AW296" s="5247"/>
      <c r="AX296" s="1095">
        <f>IF(AV296=0,0,(AW296-AV296)/AV296*100)</f>
        <v>0</v>
      </c>
      <c r="AY296" s="5247"/>
      <c r="AZ296" s="5247"/>
      <c r="BA296" s="1095">
        <f>IF(AY296=0,0,(AZ296-AY296)/AY296*100)</f>
        <v>0</v>
      </c>
      <c r="BB296" s="5247"/>
      <c r="BC296" s="5247"/>
      <c r="BD296" s="1095">
        <f>IF(BB296=0,0,(BC296-BB296)/BB296*100)</f>
        <v>0</v>
      </c>
      <c r="BE296" s="5247"/>
      <c r="BF296" s="5247"/>
      <c r="BG296" s="1095">
        <f>IF(BE296=0,0,(BF296-BE296)/BE296*100)</f>
        <v>0</v>
      </c>
      <c r="BH296" s="5247"/>
      <c r="BI296" s="5247"/>
      <c r="BJ296" s="1095">
        <f>IF(BH296=0,0,(BI296-BH296)/BH296*100)</f>
        <v>0</v>
      </c>
      <c r="BK296" s="5247"/>
      <c r="BL296" s="5247"/>
      <c r="BM296" s="1095">
        <f>IF(BK296=0,0,(BL296-BK296)/BK296*100)</f>
        <v>0</v>
      </c>
      <c r="BN296" s="5247"/>
      <c r="BO296" s="5247"/>
      <c r="BP296" s="1095">
        <f>IF(BN296=0,0,(BO296-BN296)/BN296*100)</f>
        <v>0</v>
      </c>
      <c r="BQ296" s="5247"/>
      <c r="BR296" s="5247"/>
      <c r="BS296" s="1095">
        <f>IF(BQ296=0,0,(BR296-BQ296)/BQ296*100)</f>
        <v>0</v>
      </c>
      <c r="BT296" s="5247"/>
      <c r="BU296" s="5247"/>
      <c r="BV296" s="1095">
        <f>IF(BT296=0,0,(BU296-BT296)/BT296*100)</f>
        <v>0</v>
      </c>
      <c r="BW296" s="5247"/>
      <c r="BX296" s="5247"/>
      <c r="BY296" s="1095">
        <f>IF(BW296=0,0,(BX296-BW296)/BW296*100)</f>
        <v>0</v>
      </c>
      <c r="BZ296" s="5247"/>
      <c r="CA296" s="5247"/>
      <c r="CB296" s="1095">
        <f>IF(BZ296=0,0,(CA296-BZ296)/BZ296*100)</f>
        <v>0</v>
      </c>
      <c r="CC296" s="5247"/>
      <c r="CD296" s="5247"/>
      <c r="CE296" s="1095">
        <f>IF(CC296=0,0,(CD296-CC296)/CC296*100)</f>
        <v>0</v>
      </c>
      <c r="CF296" s="5247"/>
      <c r="CG296" s="5247"/>
      <c r="CH296" s="1095">
        <f>IF(CF296=0,0,(CG296-CF296)/CF296*100)</f>
        <v>0</v>
      </c>
      <c r="CI296" s="5247"/>
      <c r="CJ296" s="5247"/>
      <c r="CK296" s="1095">
        <f>IF(CI296=0,0,(CJ296-CI296)/CI296*100)</f>
        <v>0</v>
      </c>
      <c r="CL296" s="5247"/>
      <c r="CM296" s="5247"/>
      <c r="CN296" s="1095">
        <f>IF(CL296=0,0,(CM296-CL296)/CL296*100)</f>
        <v>0</v>
      </c>
      <c r="CO296" s="5247"/>
      <c r="CP296" s="5247"/>
      <c r="CQ296" s="1095">
        <f>IF(CO296=0,0,(CP296-CO296)/CO296*100)</f>
        <v>0</v>
      </c>
      <c r="CR296" s="5247"/>
      <c r="CS296" s="5247"/>
      <c r="CT296" s="1095">
        <f>IF(CR296=0,0,(CS296-CR296)/CR296*100)</f>
        <v>0</v>
      </c>
      <c r="CU296" s="5247"/>
      <c r="CV296" s="5247"/>
      <c r="CW296" s="1095">
        <f>IF(CU296=0,0,(CV296-CU296)/CU296*100)</f>
        <v>0</v>
      </c>
      <c r="CX296" s="5247"/>
      <c r="CY296" s="5247"/>
      <c r="CZ296" s="1095">
        <f>IF(CX296=0,0,(CY296-CX296)/CX296*100)</f>
        <v>0</v>
      </c>
      <c r="DA296" s="5247"/>
      <c r="DB296" s="5247"/>
      <c r="DC296" s="1095">
        <f>IF(DA296=0,0,(DB296-DA296)/DA296*100)</f>
        <v>0</v>
      </c>
      <c r="DD296" s="5247"/>
      <c r="DE296" s="5247"/>
      <c r="DF296" s="1095">
        <f>IF(DD296=0,0,(DE296-DD296)/DD296*100)</f>
        <v>0</v>
      </c>
      <c r="DG296" s="5247"/>
      <c r="DH296" s="5247"/>
      <c r="DI296" s="1095">
        <f>IF(DG296=0,0,(DH296-DG296)/DG296*100)</f>
        <v>0</v>
      </c>
      <c r="DJ296" s="5247"/>
      <c r="DK296" s="5247"/>
      <c r="DL296" s="1095">
        <f>IF(DJ296=0,0,(DK296-DJ296)/DJ296*100)</f>
        <v>0</v>
      </c>
      <c r="DM296" s="5247"/>
      <c r="DN296" s="5247"/>
      <c r="DO296" s="1095">
        <f>IF(DM296=0,0,(DN296-DM296)/DM296*100)</f>
        <v>0</v>
      </c>
      <c r="DP296" s="5247"/>
      <c r="DQ296" s="5247"/>
      <c r="DR296" s="1095">
        <f>IF(DP296=0,0,(DQ296-DP296)/DP296*100)</f>
        <v>0</v>
      </c>
      <c r="DS296" s="5247"/>
      <c r="DT296" s="5247"/>
      <c r="DU296" s="1095">
        <f>IF(DS296=0,0,(DT296-DS296)/DS296*100)</f>
        <v>0</v>
      </c>
      <c r="DV296" s="5247"/>
      <c r="DW296" s="5247"/>
      <c r="DX296" s="1095">
        <f>IF(DV296=0,0,(DW296-DV296)/DV296*100)</f>
        <v>0</v>
      </c>
      <c r="DY296" s="5247"/>
      <c r="DZ296" s="5247"/>
      <c r="EA296" s="1095">
        <f>IF(DY296=0,0,(DZ296-DY296)/DY296*100)</f>
        <v>0</v>
      </c>
      <c r="EB296" s="5247"/>
      <c r="EC296" s="5247"/>
      <c r="ED296" s="1095">
        <f>IF(EB296=0,0,(EC296-EB296)/EB296*100)</f>
        <v>0</v>
      </c>
      <c r="EE296" s="5247"/>
      <c r="EF296" s="5247"/>
      <c r="EG296" s="1095">
        <f>IF(EE296=0,0,(EF296-EE296)/EE296*100)</f>
        <v>0</v>
      </c>
      <c r="EH296" s="5247"/>
      <c r="EI296" s="5247"/>
      <c r="EJ296" s="1095">
        <f>IF(EH296=0,0,(EI296-EH296)/EH296*100)</f>
        <v>0</v>
      </c>
      <c r="EK296" s="5247"/>
      <c r="EL296" s="5247"/>
      <c r="EM296" s="1095">
        <f>IF(EK296=0,0,(EL296-EK296)/EK296*100)</f>
        <v>0</v>
      </c>
      <c r="EN296" s="5247"/>
      <c r="EO296" s="5247"/>
      <c r="EP296" s="1095">
        <f>IF(EN296=0,0,(EO296-EN296)/EN296*100)</f>
        <v>0</v>
      </c>
      <c r="EQ296" s="5247"/>
      <c r="ER296" s="5247"/>
      <c r="ES296" s="1095">
        <f>IF(EQ296=0,0,(ER296-EQ296)/EQ296*100)</f>
        <v>0</v>
      </c>
      <c r="ET296" s="5247"/>
      <c r="EU296" s="5247"/>
      <c r="EV296" s="1095">
        <f>IF(ET296=0,0,(EU296-ET296)/ET296*100)</f>
        <v>0</v>
      </c>
      <c r="EW296" s="5247"/>
      <c r="EX296" s="5247"/>
      <c r="EY296" s="1095">
        <f>IF(EW296=0,0,(EX296-EW296)/EW296*100)</f>
        <v>0</v>
      </c>
      <c r="EZ296" s="5247"/>
      <c r="FA296" s="5247"/>
      <c r="FB296" s="1095">
        <f>IF(EZ296=0,0,(FA296-EZ296)/EZ296*100)</f>
        <v>0</v>
      </c>
      <c r="FC296" s="5247"/>
      <c r="FD296" s="5247"/>
      <c r="FE296" s="1095">
        <f>IF(FC296=0,0,(FD296-FC296)/FC296*100)</f>
        <v>0</v>
      </c>
      <c r="FF296" s="5247"/>
      <c r="FG296" s="5247"/>
      <c r="FH296" s="1095">
        <f>IF(FF296=0,0,(FG296-FF296)/FF296*100)</f>
        <v>0</v>
      </c>
      <c r="FI296" s="5247"/>
      <c r="FJ296" s="5247"/>
      <c r="FK296" s="1095">
        <f>IF(FI296=0,0,(FJ296-FI296)/FI296*100)</f>
        <v>0</v>
      </c>
      <c r="FL296" s="5247"/>
      <c r="FM296" s="5247"/>
      <c r="FN296" s="1095">
        <f>IF(FL296=0,0,(FM296-FL296)/FL296*100)</f>
        <v>0</v>
      </c>
      <c r="FO296" s="5247"/>
      <c r="FP296" s="5247"/>
      <c r="FQ296" s="1095">
        <f>IF(FO296=0,0,(FP296-FO296)/FO296*100)</f>
        <v>0</v>
      </c>
      <c r="FR296" s="5247"/>
      <c r="FS296" s="5247"/>
      <c r="FT296" s="1095">
        <f>IF(FR296=0,0,(FS296-FR296)/FR296*100)</f>
        <v>0</v>
      </c>
      <c r="FU296" s="5247"/>
      <c r="FV296" s="5247"/>
      <c r="FW296" s="1095">
        <f>IF(FU296=0,0,(FV296-FU296)/FU296*100)</f>
        <v>0</v>
      </c>
      <c r="FX296" s="292"/>
      <c r="FY296" s="1304"/>
      <c r="FZ296" s="1055" t="s">
        <v>2365</v>
      </c>
      <c r="GA296" s="1015" t="s">
        <v>2363</v>
      </c>
      <c r="GB296" s="1015" cm="1" t="str">
        <f t="array" ref="GB296:GB296">GB294</f>
        <v>0</v>
      </c>
      <c r="GC296" s="1305"/>
      <c r="GD296" s="1305"/>
    </row>
    <row s="1834" customFormat="1" customHeight="1" ht="14.25">
      <c r="A297" s="493"/>
      <c r="B297" s="925" cm="1" t="str">
        <f t="array" ref="B297:B297">B296</f>
        <v>true</v>
      </c>
      <c r="C297" s="493"/>
      <c r="D297" s="493"/>
      <c r="E297" s="840">
        <v>15</v>
      </c>
      <c r="F297" s="50" cm="1" t="str">
        <f t="array" ref="F297:F297">OFFSET(E297,-1,1)</f>
        <v>4</v>
      </c>
      <c r="G297" s="493"/>
      <c r="H297" s="493"/>
      <c r="I297" s="98" t="s">
        <v>2366</v>
      </c>
      <c r="J297" s="493"/>
      <c r="K297" s="493"/>
      <c r="L297" s="493"/>
      <c r="M297" s="493"/>
      <c r="N297" s="493"/>
      <c r="O297" s="493"/>
      <c r="P297" s="493"/>
      <c r="Q297" s="493"/>
      <c r="R297" s="85"/>
      <c r="S297" s="493"/>
      <c r="T297" s="465">
        <f>F297&gt;0</f>
        <v>1</v>
      </c>
      <c r="U297" s="493"/>
      <c r="V297" s="1304"/>
      <c r="W297" s="757" t="s">
        <v>2367</v>
      </c>
      <c r="X297" s="1596"/>
      <c r="Y297" s="1304"/>
      <c r="Z297" s="1545"/>
      <c r="AA297" s="1304"/>
      <c r="AB297" s="260" t="s">
        <v>178</v>
      </c>
      <c r="AC297" s="264"/>
      <c r="AD297" s="1098"/>
      <c r="AE297" s="1098"/>
      <c r="AF297" s="1098"/>
      <c r="AG297" s="1098"/>
      <c r="AH297" s="1098"/>
      <c r="AI297" s="1098"/>
      <c r="AJ297" s="1098"/>
      <c r="AK297" s="1098"/>
      <c r="AL297" s="1098"/>
      <c r="AM297" s="1098"/>
      <c r="AN297" s="1098"/>
      <c r="AO297" s="1098"/>
      <c r="AP297" s="1098"/>
      <c r="AQ297" s="1098"/>
      <c r="AR297" s="1098"/>
      <c r="AS297" s="1098"/>
      <c r="AT297" s="1098"/>
      <c r="AU297" s="1098"/>
      <c r="AV297" s="1098"/>
      <c r="AW297" s="1098"/>
      <c r="AX297" s="1098"/>
      <c r="AY297" s="1098"/>
      <c r="AZ297" s="1098"/>
      <c r="BA297" s="1098"/>
      <c r="BB297" s="1098"/>
      <c r="BC297" s="1098"/>
      <c r="BD297" s="1098"/>
      <c r="BE297" s="1098"/>
      <c r="BF297" s="1098"/>
      <c r="BG297" s="1098"/>
      <c r="BH297" s="1098"/>
      <c r="BI297" s="1098"/>
      <c r="BJ297" s="1098"/>
      <c r="BK297" s="1098"/>
      <c r="BL297" s="1098"/>
      <c r="BM297" s="1098"/>
      <c r="BN297" s="1098"/>
      <c r="BO297" s="1098"/>
      <c r="BP297" s="1098"/>
      <c r="BQ297" s="1098"/>
      <c r="BR297" s="1098"/>
      <c r="BS297" s="1098"/>
      <c r="BT297" s="1098"/>
      <c r="BU297" s="1098"/>
      <c r="BV297" s="1098"/>
      <c r="BW297" s="1098"/>
      <c r="BX297" s="1098"/>
      <c r="BY297" s="1098"/>
      <c r="BZ297" s="1098"/>
      <c r="CA297" s="1098"/>
      <c r="CB297" s="1098"/>
      <c r="CC297" s="1098"/>
      <c r="CD297" s="1098"/>
      <c r="CE297" s="1098"/>
      <c r="CF297" s="1098"/>
      <c r="CG297" s="1098"/>
      <c r="CH297" s="1098"/>
      <c r="CI297" s="1098"/>
      <c r="CJ297" s="1098"/>
      <c r="CK297" s="1098"/>
      <c r="CL297" s="1098"/>
      <c r="CM297" s="1098"/>
      <c r="CN297" s="1098"/>
      <c r="CO297" s="1098"/>
      <c r="CP297" s="1098"/>
      <c r="CQ297" s="1098"/>
      <c r="CR297" s="1098"/>
      <c r="CS297" s="1098"/>
      <c r="CT297" s="1098"/>
      <c r="CU297" s="1098"/>
      <c r="CV297" s="1098"/>
      <c r="CW297" s="1098"/>
      <c r="CX297" s="1098"/>
      <c r="CY297" s="1098"/>
      <c r="CZ297" s="1098"/>
      <c r="DA297" s="1098"/>
      <c r="DB297" s="1098"/>
      <c r="DC297" s="1098"/>
      <c r="DD297" s="1098"/>
      <c r="DE297" s="1098"/>
      <c r="DF297" s="1098"/>
      <c r="DG297" s="1098"/>
      <c r="DH297" s="1098"/>
      <c r="DI297" s="1098"/>
      <c r="DJ297" s="1098"/>
      <c r="DK297" s="1098"/>
      <c r="DL297" s="1098"/>
      <c r="DM297" s="1098"/>
      <c r="DN297" s="1098"/>
      <c r="DO297" s="1098"/>
      <c r="DP297" s="1098"/>
      <c r="DQ297" s="1098"/>
      <c r="DR297" s="1098"/>
      <c r="DS297" s="1098"/>
      <c r="DT297" s="1098"/>
      <c r="DU297" s="1098"/>
      <c r="DV297" s="1098"/>
      <c r="DW297" s="1098"/>
      <c r="DX297" s="1098"/>
      <c r="DY297" s="1098"/>
      <c r="DZ297" s="1098"/>
      <c r="EA297" s="1098"/>
      <c r="EB297" s="1098"/>
      <c r="EC297" s="1098"/>
      <c r="ED297" s="1098"/>
      <c r="EE297" s="1098"/>
      <c r="EF297" s="1098"/>
      <c r="EG297" s="1098"/>
      <c r="EH297" s="1098"/>
      <c r="EI297" s="1098"/>
      <c r="EJ297" s="1098"/>
      <c r="EK297" s="1098"/>
      <c r="EL297" s="1098"/>
      <c r="EM297" s="1098"/>
      <c r="EN297" s="1098"/>
      <c r="EO297" s="1098"/>
      <c r="EP297" s="1098"/>
      <c r="EQ297" s="1098"/>
      <c r="ER297" s="1098"/>
      <c r="ES297" s="1098"/>
      <c r="ET297" s="1098"/>
      <c r="EU297" s="1098"/>
      <c r="EV297" s="1098"/>
      <c r="EW297" s="1098"/>
      <c r="EX297" s="1098"/>
      <c r="EY297" s="1098"/>
      <c r="EZ297" s="1098"/>
      <c r="FA297" s="1098"/>
      <c r="FB297" s="1098"/>
      <c r="FC297" s="1098"/>
      <c r="FD297" s="1098"/>
      <c r="FE297" s="1098"/>
      <c r="FF297" s="1098"/>
      <c r="FG297" s="1098"/>
      <c r="FH297" s="1098"/>
      <c r="FI297" s="1098"/>
      <c r="FJ297" s="1098"/>
      <c r="FK297" s="1098"/>
      <c r="FL297" s="1098"/>
      <c r="FM297" s="1098"/>
      <c r="FN297" s="1098"/>
      <c r="FO297" s="1098"/>
      <c r="FP297" s="1098"/>
      <c r="FQ297" s="1098"/>
      <c r="FR297" s="1098"/>
      <c r="FS297" s="1098"/>
      <c r="FT297" s="1098"/>
      <c r="FU297" s="1098"/>
      <c r="FV297" s="1098"/>
      <c r="FW297" s="1099"/>
      <c r="FX297" s="1304"/>
      <c r="FY297" s="1304"/>
      <c r="FZ297" s="1055" t="s">
        <v>227</v>
      </c>
      <c r="GA297" s="1306"/>
      <c r="GB297" s="1306"/>
      <c r="GC297" s="632" t="s">
        <v>2363</v>
      </c>
      <c r="GD297" s="1305"/>
    </row>
    <row s="1834" customFormat="1" customHeight="1" ht="14.25" hidden="1">
      <c r="A298" s="493"/>
      <c r="B298" s="925">
        <f>AND(R281="двухставочный",NOT(S281))</f>
        <v>0</v>
      </c>
      <c r="C298" s="493"/>
      <c r="D298" s="493"/>
      <c r="E298" s="840">
        <v>15</v>
      </c>
      <c r="F298" s="50" cm="1" t="str">
        <f t="array" ref="F298:F298">OFFSET(E298,-1,1)</f>
        <v>4</v>
      </c>
      <c r="G298" s="493"/>
      <c r="H298" s="493"/>
      <c r="I298" s="493"/>
      <c r="J298" s="493"/>
      <c r="K298" s="493"/>
      <c r="L298" s="493"/>
      <c r="M298" s="493"/>
      <c r="N298" s="493"/>
      <c r="O298" s="493"/>
      <c r="P298" s="493"/>
      <c r="Q298" s="493"/>
      <c r="R298" s="85"/>
      <c r="S298" s="493"/>
      <c r="T298" s="465" cm="1" t="str">
        <f t="array" ref="T298:T298">T297</f>
        <v>true</v>
      </c>
      <c r="U298" s="493"/>
      <c r="V298" s="493"/>
      <c r="W298" s="493"/>
      <c r="X298" s="1596"/>
      <c r="Y298" s="493"/>
      <c r="Z298" s="1545"/>
      <c r="AA298" s="493"/>
      <c r="AB298" s="894" t="s">
        <v>2368</v>
      </c>
      <c r="AC298" s="895"/>
      <c r="AD298" s="1100"/>
      <c r="AE298" s="1100"/>
      <c r="AF298" s="1100"/>
      <c r="AG298" s="1100"/>
      <c r="AH298" s="1100"/>
      <c r="AI298" s="1100"/>
      <c r="AJ298" s="1100"/>
      <c r="AK298" s="1100"/>
      <c r="AL298" s="1100"/>
      <c r="AM298" s="1100"/>
      <c r="AN298" s="1100"/>
      <c r="AO298" s="1100"/>
      <c r="AP298" s="1100"/>
      <c r="AQ298" s="1100"/>
      <c r="AR298" s="1100"/>
      <c r="AS298" s="1100"/>
      <c r="AT298" s="1100"/>
      <c r="AU298" s="1100"/>
      <c r="AV298" s="1100"/>
      <c r="AW298" s="1100"/>
      <c r="AX298" s="1100"/>
      <c r="AY298" s="1100"/>
      <c r="AZ298" s="1100"/>
      <c r="BA298" s="1100"/>
      <c r="BB298" s="1100"/>
      <c r="BC298" s="1100"/>
      <c r="BD298" s="1100"/>
      <c r="BE298" s="1100"/>
      <c r="BF298" s="1100"/>
      <c r="BG298" s="1100"/>
      <c r="BH298" s="1100"/>
      <c r="BI298" s="1100"/>
      <c r="BJ298" s="1100"/>
      <c r="BK298" s="1100"/>
      <c r="BL298" s="1100"/>
      <c r="BM298" s="1100"/>
      <c r="BN298" s="1100"/>
      <c r="BO298" s="1100"/>
      <c r="BP298" s="1100"/>
      <c r="BQ298" s="1100"/>
      <c r="BR298" s="1100"/>
      <c r="BS298" s="1100"/>
      <c r="BT298" s="1100"/>
      <c r="BU298" s="1100"/>
      <c r="BV298" s="1100"/>
      <c r="BW298" s="1100"/>
      <c r="BX298" s="1100"/>
      <c r="BY298" s="1100"/>
      <c r="BZ298" s="1100"/>
      <c r="CA298" s="1100"/>
      <c r="CB298" s="1100"/>
      <c r="CC298" s="1100"/>
      <c r="CD298" s="1100"/>
      <c r="CE298" s="1100"/>
      <c r="CF298" s="1100"/>
      <c r="CG298" s="1100"/>
      <c r="CH298" s="1100"/>
      <c r="CI298" s="1100"/>
      <c r="CJ298" s="1100"/>
      <c r="CK298" s="1100"/>
      <c r="CL298" s="1100"/>
      <c r="CM298" s="1100"/>
      <c r="CN298" s="1100"/>
      <c r="CO298" s="1100"/>
      <c r="CP298" s="1100"/>
      <c r="CQ298" s="1100"/>
      <c r="CR298" s="1100"/>
      <c r="CS298" s="1100"/>
      <c r="CT298" s="1100"/>
      <c r="CU298" s="1100"/>
      <c r="CV298" s="1100"/>
      <c r="CW298" s="1100"/>
      <c r="CX298" s="1100"/>
      <c r="CY298" s="1100"/>
      <c r="CZ298" s="1100"/>
      <c r="DA298" s="1100"/>
      <c r="DB298" s="1100"/>
      <c r="DC298" s="1100"/>
      <c r="DD298" s="1100"/>
      <c r="DE298" s="1100"/>
      <c r="DF298" s="1100"/>
      <c r="DG298" s="1100"/>
      <c r="DH298" s="1100"/>
      <c r="DI298" s="1100"/>
      <c r="DJ298" s="1100"/>
      <c r="DK298" s="1100"/>
      <c r="DL298" s="1100"/>
      <c r="DM298" s="1100"/>
      <c r="DN298" s="1100"/>
      <c r="DO298" s="1100"/>
      <c r="DP298" s="1100"/>
      <c r="DQ298" s="1100"/>
      <c r="DR298" s="1100"/>
      <c r="DS298" s="1100"/>
      <c r="DT298" s="1100"/>
      <c r="DU298" s="1100"/>
      <c r="DV298" s="1100"/>
      <c r="DW298" s="1100"/>
      <c r="DX298" s="1100"/>
      <c r="DY298" s="1100"/>
      <c r="DZ298" s="1100"/>
      <c r="EA298" s="1100"/>
      <c r="EB298" s="1100"/>
      <c r="EC298" s="1100"/>
      <c r="ED298" s="1100"/>
      <c r="EE298" s="1100"/>
      <c r="EF298" s="1100"/>
      <c r="EG298" s="1100"/>
      <c r="EH298" s="1100"/>
      <c r="EI298" s="1100"/>
      <c r="EJ298" s="1100"/>
      <c r="EK298" s="1100"/>
      <c r="EL298" s="1100"/>
      <c r="EM298" s="1100"/>
      <c r="EN298" s="1100"/>
      <c r="EO298" s="1100"/>
      <c r="EP298" s="1100"/>
      <c r="EQ298" s="1100"/>
      <c r="ER298" s="1100"/>
      <c r="ES298" s="1100"/>
      <c r="ET298" s="1100"/>
      <c r="EU298" s="1100"/>
      <c r="EV298" s="1100"/>
      <c r="EW298" s="1100"/>
      <c r="EX298" s="1100"/>
      <c r="EY298" s="1100"/>
      <c r="EZ298" s="1100"/>
      <c r="FA298" s="1100"/>
      <c r="FB298" s="1100"/>
      <c r="FC298" s="1100"/>
      <c r="FD298" s="1100"/>
      <c r="FE298" s="1100"/>
      <c r="FF298" s="1100"/>
      <c r="FG298" s="1100"/>
      <c r="FH298" s="1100"/>
      <c r="FI298" s="1100"/>
      <c r="FJ298" s="1100"/>
      <c r="FK298" s="1100"/>
      <c r="FL298" s="1100"/>
      <c r="FM298" s="1100"/>
      <c r="FN298" s="1100"/>
      <c r="FO298" s="1100"/>
      <c r="FP298" s="1100"/>
      <c r="FQ298" s="1100"/>
      <c r="FR298" s="1100"/>
      <c r="FS298" s="1100"/>
      <c r="FT298" s="1100"/>
      <c r="FU298" s="1100"/>
      <c r="FV298" s="1100"/>
      <c r="FW298" s="1101"/>
      <c r="FX298" s="1304"/>
      <c r="FY298" s="1304"/>
      <c r="FZ298" s="1055" t="s">
        <v>227</v>
      </c>
      <c r="GA298" s="1306"/>
      <c r="GB298" s="1306"/>
      <c r="GC298" s="1305"/>
      <c r="GD298" s="1305"/>
    </row>
    <row s="1834" customFormat="1" customHeight="1" ht="23.25" hidden="1">
      <c r="A299" s="493"/>
      <c r="B299" s="925" cm="1" t="str">
        <f t="array" ref="B299:B299">B298</f>
        <v>false</v>
      </c>
      <c r="C299" s="493"/>
      <c r="D299" s="493"/>
      <c r="E299" s="840">
        <v>24.5</v>
      </c>
      <c r="F299" s="50" cm="1" t="str">
        <f t="array" ref="F299:F299">OFFSET(E299,-1,1)</f>
        <v>4</v>
      </c>
      <c r="G299" s="493"/>
      <c r="H299" s="493"/>
      <c r="I299" s="493"/>
      <c r="J299" s="493"/>
      <c r="K299" s="493"/>
      <c r="L299" s="493"/>
      <c r="M299" s="493"/>
      <c r="N299" s="493"/>
      <c r="O299" s="493"/>
      <c r="P299" s="493"/>
      <c r="Q299" s="493"/>
      <c r="R299" s="493"/>
      <c r="S299" s="493"/>
      <c r="T299" s="465" cm="1" t="str">
        <f t="array" ref="T299:T299">T298</f>
        <v>true</v>
      </c>
      <c r="U299" s="493"/>
      <c r="V299" s="493"/>
      <c r="W299" s="493"/>
      <c r="X299" s="1596"/>
      <c r="Y299" s="493"/>
      <c r="Z299" s="1545"/>
      <c r="AA299" s="493"/>
      <c r="AB299" s="293" t="s">
        <v>2369</v>
      </c>
      <c r="AC299" s="903"/>
      <c r="AD299" s="1102"/>
      <c r="AE299" s="1102"/>
      <c r="AF299" s="1102"/>
      <c r="AG299" s="1102"/>
      <c r="AH299" s="1102"/>
      <c r="AI299" s="1102"/>
      <c r="AJ299" s="1102"/>
      <c r="AK299" s="1102"/>
      <c r="AL299" s="1102"/>
      <c r="AM299" s="1102"/>
      <c r="AN299" s="1102"/>
      <c r="AO299" s="1102"/>
      <c r="AP299" s="1102"/>
      <c r="AQ299" s="1102"/>
      <c r="AR299" s="1102"/>
      <c r="AS299" s="1102"/>
      <c r="AT299" s="1102"/>
      <c r="AU299" s="1102"/>
      <c r="AV299" s="1102"/>
      <c r="AW299" s="1102"/>
      <c r="AX299" s="1102"/>
      <c r="AY299" s="1102"/>
      <c r="AZ299" s="1102"/>
      <c r="BA299" s="1102"/>
      <c r="BB299" s="1102"/>
      <c r="BC299" s="1102"/>
      <c r="BD299" s="1102"/>
      <c r="BE299" s="1102"/>
      <c r="BF299" s="1102"/>
      <c r="BG299" s="1102"/>
      <c r="BH299" s="1102"/>
      <c r="BI299" s="1102"/>
      <c r="BJ299" s="1102"/>
      <c r="BK299" s="1102"/>
      <c r="BL299" s="1102"/>
      <c r="BM299" s="1102"/>
      <c r="BN299" s="1102"/>
      <c r="BO299" s="1102"/>
      <c r="BP299" s="1102"/>
      <c r="BQ299" s="1102"/>
      <c r="BR299" s="1102"/>
      <c r="BS299" s="1102"/>
      <c r="BT299" s="1102"/>
      <c r="BU299" s="1102"/>
      <c r="BV299" s="1102"/>
      <c r="BW299" s="1102"/>
      <c r="BX299" s="1102"/>
      <c r="BY299" s="1102"/>
      <c r="BZ299" s="1102"/>
      <c r="CA299" s="1102"/>
      <c r="CB299" s="1102"/>
      <c r="CC299" s="1102"/>
      <c r="CD299" s="1102"/>
      <c r="CE299" s="1102"/>
      <c r="CF299" s="1102"/>
      <c r="CG299" s="1102"/>
      <c r="CH299" s="1102"/>
      <c r="CI299" s="1102"/>
      <c r="CJ299" s="1102"/>
      <c r="CK299" s="1102"/>
      <c r="CL299" s="1102"/>
      <c r="CM299" s="1102"/>
      <c r="CN299" s="1102"/>
      <c r="CO299" s="1102"/>
      <c r="CP299" s="1102"/>
      <c r="CQ299" s="1102"/>
      <c r="CR299" s="1102"/>
      <c r="CS299" s="1102"/>
      <c r="CT299" s="1102"/>
      <c r="CU299" s="1102"/>
      <c r="CV299" s="1102"/>
      <c r="CW299" s="1102"/>
      <c r="CX299" s="1102"/>
      <c r="CY299" s="1102"/>
      <c r="CZ299" s="1102"/>
      <c r="DA299" s="1102"/>
      <c r="DB299" s="1102"/>
      <c r="DC299" s="1102"/>
      <c r="DD299" s="1102"/>
      <c r="DE299" s="1102"/>
      <c r="DF299" s="1102"/>
      <c r="DG299" s="1102"/>
      <c r="DH299" s="1102"/>
      <c r="DI299" s="1102"/>
      <c r="DJ299" s="1102"/>
      <c r="DK299" s="1102"/>
      <c r="DL299" s="1102"/>
      <c r="DM299" s="1102"/>
      <c r="DN299" s="1102"/>
      <c r="DO299" s="1102"/>
      <c r="DP299" s="1102"/>
      <c r="DQ299" s="1102"/>
      <c r="DR299" s="1102"/>
      <c r="DS299" s="1102"/>
      <c r="DT299" s="1102"/>
      <c r="DU299" s="1102"/>
      <c r="DV299" s="1102"/>
      <c r="DW299" s="1102"/>
      <c r="DX299" s="1102"/>
      <c r="DY299" s="1102"/>
      <c r="DZ299" s="1102"/>
      <c r="EA299" s="1102"/>
      <c r="EB299" s="1102"/>
      <c r="EC299" s="1102"/>
      <c r="ED299" s="1102"/>
      <c r="EE299" s="1102"/>
      <c r="EF299" s="1102"/>
      <c r="EG299" s="1102"/>
      <c r="EH299" s="1102"/>
      <c r="EI299" s="1102"/>
      <c r="EJ299" s="1102"/>
      <c r="EK299" s="1102"/>
      <c r="EL299" s="1102"/>
      <c r="EM299" s="1102"/>
      <c r="EN299" s="1102"/>
      <c r="EO299" s="1102"/>
      <c r="EP299" s="1102"/>
      <c r="EQ299" s="1102"/>
      <c r="ER299" s="1102"/>
      <c r="ES299" s="1102"/>
      <c r="ET299" s="1102"/>
      <c r="EU299" s="1102"/>
      <c r="EV299" s="1102"/>
      <c r="EW299" s="1102"/>
      <c r="EX299" s="1102"/>
      <c r="EY299" s="1102"/>
      <c r="EZ299" s="1102"/>
      <c r="FA299" s="1102"/>
      <c r="FB299" s="1102"/>
      <c r="FC299" s="1102"/>
      <c r="FD299" s="1102"/>
      <c r="FE299" s="1102"/>
      <c r="FF299" s="1102"/>
      <c r="FG299" s="1102"/>
      <c r="FH299" s="1102"/>
      <c r="FI299" s="1102"/>
      <c r="FJ299" s="1102"/>
      <c r="FK299" s="1102"/>
      <c r="FL299" s="1102"/>
      <c r="FM299" s="1102"/>
      <c r="FN299" s="1102"/>
      <c r="FO299" s="1102"/>
      <c r="FP299" s="1102"/>
      <c r="FQ299" s="1102"/>
      <c r="FR299" s="1102"/>
      <c r="FS299" s="1102"/>
      <c r="FT299" s="1102"/>
      <c r="FU299" s="1102"/>
      <c r="FV299" s="1102"/>
      <c r="FW299" s="1103"/>
      <c r="FX299" s="1304"/>
      <c r="FY299" s="1304"/>
      <c r="FZ299" s="1055" t="s">
        <v>227</v>
      </c>
      <c r="GA299" s="1306"/>
      <c r="GB299" s="1306"/>
      <c r="GC299" s="1305"/>
      <c r="GD299" s="1305"/>
    </row>
    <row s="1834" customFormat="1" customHeight="1" ht="14.25" hidden="1">
      <c r="A300" s="493"/>
      <c r="B300" s="925" cm="1" t="str">
        <f t="array" ref="B300:B300">B299</f>
        <v>false</v>
      </c>
      <c r="C300" s="493"/>
      <c r="D300" s="493"/>
      <c r="E300" s="840">
        <v>15</v>
      </c>
      <c r="F300" s="50" cm="1" t="str">
        <f t="array" ref="F300:F300">OFFSET(E300,-1,1)</f>
        <v>4</v>
      </c>
      <c r="G300" s="493"/>
      <c r="H300" s="493" t="s">
        <v>2295</v>
      </c>
      <c r="I300" s="493" t="s">
        <v>2335</v>
      </c>
      <c r="J300" s="493"/>
      <c r="K300" s="493"/>
      <c r="L300" s="493"/>
      <c r="M300" s="493"/>
      <c r="N300" s="493"/>
      <c r="O300" s="493"/>
      <c r="P300" s="493"/>
      <c r="Q300" s="493"/>
      <c r="R300" s="493"/>
      <c r="S300" s="493"/>
      <c r="T300" s="465" cm="1" t="str">
        <f t="array" ref="T300:T300">T299</f>
        <v>true</v>
      </c>
      <c r="U300" s="493"/>
      <c r="V300" s="493"/>
      <c r="W300" s="493"/>
      <c r="X300" s="1596"/>
      <c r="Y300" s="493"/>
      <c r="Z300" s="1545"/>
      <c r="AA300" s="493"/>
      <c r="AB300" s="904" t="s">
        <v>2370</v>
      </c>
      <c r="AC300" s="864" t="s">
        <v>2337</v>
      </c>
      <c r="AD300" s="2846">
        <f>IF(AD302=0,0,(AD301*AD302+AD303*AD304*IF(god=2026,9,6))/AD302)</f>
        <v>0</v>
      </c>
      <c r="AE300" s="2846">
        <f>IF(AE302=0,0,(AE301*AE302+AE303*AE304*IF(god=2026,9,6))/AE302)</f>
        <v>0</v>
      </c>
      <c r="AF300" s="1093">
        <f>IF(AD300=0,0,(AE300-AD300)/AD300*100)</f>
        <v>0</v>
      </c>
      <c r="AG300" s="2846">
        <f>IF(AG302=0,0,(AG301*AG302+AG303*AG304*IF(god=2025,9,6))/AG302)</f>
        <v>0</v>
      </c>
      <c r="AH300" s="2846">
        <f>IF(AH302=0,0,(AH301*AH302+AH303*AH304*IF(god=2025,9,6))/AH302)</f>
        <v>0</v>
      </c>
      <c r="AI300" s="1093">
        <f>IF(AG300=0,0,(AH300-AG300)/AG300*100)</f>
        <v>0</v>
      </c>
      <c r="AJ300" s="2846">
        <f>IF(AJ302=0,0,(AJ301*AJ302+AJ303*AJ304*6)/AJ302)</f>
        <v>0</v>
      </c>
      <c r="AK300" s="2846">
        <f>IF(AK302=0,0,(AK301*AK302+AK303*AK304*6)/AK302)</f>
        <v>0</v>
      </c>
      <c r="AL300" s="1093">
        <f>IF(AJ300=0,0,(AK300-AJ300)/AJ300*100)</f>
        <v>0</v>
      </c>
      <c r="AM300" s="2846">
        <f>IF(AM302=0,0,(AM301*AM302+AM303*AM304*6)/AM302)</f>
        <v>0</v>
      </c>
      <c r="AN300" s="2846">
        <f>IF(AN302=0,0,(AN301*AN302+AN303*AN304*6)/AN302)</f>
        <v>0</v>
      </c>
      <c r="AO300" s="1093">
        <f>IF(AM300=0,0,(AN300-AM300)/AM300*100)</f>
        <v>0</v>
      </c>
      <c r="AP300" s="2846">
        <f>IF(AP302=0,0,(AP301*AP302+AP303*AP304*6)/AP302)</f>
        <v>0</v>
      </c>
      <c r="AQ300" s="2846">
        <f>IF(AQ302=0,0,(AQ301*AQ302+AQ303*AQ304*6)/AQ302)</f>
        <v>0</v>
      </c>
      <c r="AR300" s="1093">
        <f>IF(AP300=0,0,(AQ300-AP300)/AP300*100)</f>
        <v>0</v>
      </c>
      <c r="AS300" s="2846">
        <f>IF(AS302=0,0,(AS301*AS302+AS303*AS304*6)/AS302)</f>
        <v>0</v>
      </c>
      <c r="AT300" s="2846">
        <f>IF(AT302=0,0,(AT301*AT302+AT303*AT304*6)/AT302)</f>
        <v>0</v>
      </c>
      <c r="AU300" s="1093">
        <f>IF(AS300=0,0,(AT300-AS300)/AS300*100)</f>
        <v>0</v>
      </c>
      <c r="AV300" s="2846">
        <f>IF(AV302=0,0,(AV301*AV302+AV303*AV304*6)/AV302)</f>
        <v>0</v>
      </c>
      <c r="AW300" s="2846">
        <f>IF(AW302=0,0,(AW301*AW302+AW303*AW304*6)/AW302)</f>
        <v>0</v>
      </c>
      <c r="AX300" s="1093">
        <f>IF(AV300=0,0,(AW300-AV300)/AV300*100)</f>
        <v>0</v>
      </c>
      <c r="AY300" s="2846">
        <f>IF(AY302=0,0,(AY301*AY302+AY303*AY304*6)/AY302)</f>
        <v>0</v>
      </c>
      <c r="AZ300" s="2846">
        <f>IF(AZ302=0,0,(AZ301*AZ302+AZ303*AZ304*6)/AZ302)</f>
        <v>0</v>
      </c>
      <c r="BA300" s="1093">
        <f>IF(AY300=0,0,(AZ300-AY300)/AY300*100)</f>
        <v>0</v>
      </c>
      <c r="BB300" s="2846">
        <f>IF(BB302=0,0,(BB301*BB302+BB303*BB304*6)/BB302)</f>
        <v>0</v>
      </c>
      <c r="BC300" s="2846">
        <f>IF(BC302=0,0,(BC301*BC302+BC303*BC304*6)/BC302)</f>
        <v>0</v>
      </c>
      <c r="BD300" s="1093">
        <f>IF(BB300=0,0,(BC300-BB300)/BB300*100)</f>
        <v>0</v>
      </c>
      <c r="BE300" s="2846">
        <f>IF(BE302=0,0,(BE301*BE302+BE303*BE304*6)/BE302)</f>
        <v>0</v>
      </c>
      <c r="BF300" s="2846">
        <f>IF(BF302=0,0,(BF301*BF302+BF303*BF304*6)/BF302)</f>
        <v>0</v>
      </c>
      <c r="BG300" s="1093">
        <f>IF(BE300=0,0,(BF300-BE300)/BE300*100)</f>
        <v>0</v>
      </c>
      <c r="BH300" s="2846">
        <f>IF(BH302=0,0,(BH301*BH302+BH303*BH304*6)/BH302)</f>
        <v>0</v>
      </c>
      <c r="BI300" s="2846">
        <f>IF(BI302=0,0,(BI301*BI302+BI303*BI304*6)/BI302)</f>
        <v>0</v>
      </c>
      <c r="BJ300" s="1093">
        <f>IF(BH300=0,0,(BI300-BH300)/BH300*100)</f>
        <v>0</v>
      </c>
      <c r="BK300" s="2846">
        <f>IF(BK302=0,0,(BK301*BK302+BK303*BK304*6)/BK302)</f>
        <v>0</v>
      </c>
      <c r="BL300" s="2846">
        <f>IF(BL302=0,0,(BL301*BL302+BL303*BL304*6)/BL302)</f>
        <v>0</v>
      </c>
      <c r="BM300" s="1093">
        <f>IF(BK300=0,0,(BL300-BK300)/BK300*100)</f>
        <v>0</v>
      </c>
      <c r="BN300" s="2846">
        <f>IF(BN302=0,0,(BN301*BN302+BN303*BN304*6)/BN302)</f>
        <v>0</v>
      </c>
      <c r="BO300" s="2846">
        <f>IF(BO302=0,0,(BO301*BO302+BO303*BO304*6)/BO302)</f>
        <v>0</v>
      </c>
      <c r="BP300" s="1093">
        <f>IF(BN300=0,0,(BO300-BN300)/BN300*100)</f>
        <v>0</v>
      </c>
      <c r="BQ300" s="2846">
        <f>IF(BQ302=0,0,(BQ301*BQ302+BQ303*BQ304*6)/BQ302)</f>
        <v>0</v>
      </c>
      <c r="BR300" s="2846">
        <f>IF(BR302=0,0,(BR301*BR302+BR303*BR304*6)/BR302)</f>
        <v>0</v>
      </c>
      <c r="BS300" s="1093">
        <f>IF(BQ300=0,0,(BR300-BQ300)/BQ300*100)</f>
        <v>0</v>
      </c>
      <c r="BT300" s="2846">
        <f>IF(BT302=0,0,(BT301*BT302+BT303*BT304*6)/BT302)</f>
        <v>0</v>
      </c>
      <c r="BU300" s="2846">
        <f>IF(BU302=0,0,(BU301*BU302+BU303*BU304*6)/BU302)</f>
        <v>0</v>
      </c>
      <c r="BV300" s="1093">
        <f>IF(BT300=0,0,(BU300-BT300)/BT300*100)</f>
        <v>0</v>
      </c>
      <c r="BW300" s="2846">
        <f>IF(BW302=0,0,(BW301*BW302+BW303*BW304*6)/BW302)</f>
        <v>0</v>
      </c>
      <c r="BX300" s="2846">
        <f>IF(BX302=0,0,(BX301*BX302+BX303*BX304*6)/BX302)</f>
        <v>0</v>
      </c>
      <c r="BY300" s="1093">
        <f>IF(BW300=0,0,(BX300-BW300)/BW300*100)</f>
        <v>0</v>
      </c>
      <c r="BZ300" s="2846">
        <f>IF(BZ302=0,0,(BZ301*BZ302+BZ303*BZ304*6)/BZ302)</f>
        <v>0</v>
      </c>
      <c r="CA300" s="2846">
        <f>IF(CA302=0,0,(CA301*CA302+CA303*CA304*6)/CA302)</f>
        <v>0</v>
      </c>
      <c r="CB300" s="1093">
        <f>IF(BZ300=0,0,(CA300-BZ300)/BZ300*100)</f>
        <v>0</v>
      </c>
      <c r="CC300" s="2846">
        <f>IF(CC302=0,0,(CC301*CC302+CC303*CC304*6)/CC302)</f>
        <v>0</v>
      </c>
      <c r="CD300" s="2846">
        <f>IF(CD302=0,0,(CD301*CD302+CD303*CD304*6)/CD302)</f>
        <v>0</v>
      </c>
      <c r="CE300" s="1093">
        <f>IF(CC300=0,0,(CD300-CC300)/CC300*100)</f>
        <v>0</v>
      </c>
      <c r="CF300" s="2846">
        <f>IF(CF302=0,0,(CF301*CF302+CF303*CF304*6)/CF302)</f>
        <v>0</v>
      </c>
      <c r="CG300" s="2846">
        <f>IF(CG302=0,0,(CG301*CG302+CG303*CG304*6)/CG302)</f>
        <v>0</v>
      </c>
      <c r="CH300" s="1093">
        <f>IF(CF300=0,0,(CG300-CF300)/CF300*100)</f>
        <v>0</v>
      </c>
      <c r="CI300" s="2846">
        <f>IF(CI302=0,0,(CI301*CI302+CI303*CI304*6)/CI302)</f>
        <v>0</v>
      </c>
      <c r="CJ300" s="2846">
        <f>IF(CJ302=0,0,(CJ301*CJ302+CJ303*CJ304*6)/CJ302)</f>
        <v>0</v>
      </c>
      <c r="CK300" s="1093">
        <f>IF(CI300=0,0,(CJ300-CI300)/CI300*100)</f>
        <v>0</v>
      </c>
      <c r="CL300" s="2846">
        <f>IF(CL302=0,0,(CL301*CL302+CL303*CL304*6)/CL302)</f>
        <v>0</v>
      </c>
      <c r="CM300" s="2846">
        <f>IF(CM302=0,0,(CM301*CM302+CM303*CM304*6)/CM302)</f>
        <v>0</v>
      </c>
      <c r="CN300" s="1093">
        <f>IF(CL300=0,0,(CM300-CL300)/CL300*100)</f>
        <v>0</v>
      </c>
      <c r="CO300" s="2846">
        <f>IF(CO302=0,0,(CO301*CO302+CO303*CO304*6)/CO302)</f>
        <v>0</v>
      </c>
      <c r="CP300" s="2846">
        <f>IF(CP302=0,0,(CP301*CP302+CP303*CP304*6)/CP302)</f>
        <v>0</v>
      </c>
      <c r="CQ300" s="1093">
        <f>IF(CO300=0,0,(CP300-CO300)/CO300*100)</f>
        <v>0</v>
      </c>
      <c r="CR300" s="2846">
        <f>IF(CR302=0,0,(CR301*CR302+CR303*CR304*6)/CR302)</f>
        <v>0</v>
      </c>
      <c r="CS300" s="2846">
        <f>IF(CS302=0,0,(CS301*CS302+CS303*CS304*6)/CS302)</f>
        <v>0</v>
      </c>
      <c r="CT300" s="1093">
        <f>IF(CR300=0,0,(CS300-CR300)/CR300*100)</f>
        <v>0</v>
      </c>
      <c r="CU300" s="2846">
        <f>IF(CU302=0,0,(CU301*CU302+CU303*CU304*6)/CU302)</f>
        <v>0</v>
      </c>
      <c r="CV300" s="2846">
        <f>IF(CV302=0,0,(CV301*CV302+CV303*CV304*6)/CV302)</f>
        <v>0</v>
      </c>
      <c r="CW300" s="1093">
        <f>IF(CU300=0,0,(CV300-CU300)/CU300*100)</f>
        <v>0</v>
      </c>
      <c r="CX300" s="2846">
        <f>IF(CX302=0,0,(CX301*CX302+CX303*CX304*6)/CX302)</f>
        <v>0</v>
      </c>
      <c r="CY300" s="2846">
        <f>IF(CY302=0,0,(CY301*CY302+CY303*CY304*6)/CY302)</f>
        <v>0</v>
      </c>
      <c r="CZ300" s="1093">
        <f>IF(CX300=0,0,(CY300-CX300)/CX300*100)</f>
        <v>0</v>
      </c>
      <c r="DA300" s="2846">
        <f>IF(DA302=0,0,(DA301*DA302+DA303*DA304*6)/DA302)</f>
        <v>0</v>
      </c>
      <c r="DB300" s="2846">
        <f>IF(DB302=0,0,(DB301*DB302+DB303*DB304*6)/DB302)</f>
        <v>0</v>
      </c>
      <c r="DC300" s="1093">
        <f>IF(DA300=0,0,(DB300-DA300)/DA300*100)</f>
        <v>0</v>
      </c>
      <c r="DD300" s="2846">
        <f>IF(DD302=0,0,(DD301*DD302+DD303*DD304*6)/DD302)</f>
        <v>0</v>
      </c>
      <c r="DE300" s="2846">
        <f>IF(DE302=0,0,(DE301*DE302+DE303*DE304*6)/DE302)</f>
        <v>0</v>
      </c>
      <c r="DF300" s="1093">
        <f>IF(DD300=0,0,(DE300-DD300)/DD300*100)</f>
        <v>0</v>
      </c>
      <c r="DG300" s="2846">
        <f>IF(DG302=0,0,(DG301*DG302+DG303*DG304*6)/DG302)</f>
        <v>0</v>
      </c>
      <c r="DH300" s="2846">
        <f>IF(DH302=0,0,(DH301*DH302+DH303*DH304*6)/DH302)</f>
        <v>0</v>
      </c>
      <c r="DI300" s="1093">
        <f>IF(DG300=0,0,(DH300-DG300)/DG300*100)</f>
        <v>0</v>
      </c>
      <c r="DJ300" s="2846">
        <f>IF(DJ302=0,0,(DJ301*DJ302+DJ303*DJ304*6)/DJ302)</f>
        <v>0</v>
      </c>
      <c r="DK300" s="2846">
        <f>IF(DK302=0,0,(DK301*DK302+DK303*DK304*6)/DK302)</f>
        <v>0</v>
      </c>
      <c r="DL300" s="1093">
        <f>IF(DJ300=0,0,(DK300-DJ300)/DJ300*100)</f>
        <v>0</v>
      </c>
      <c r="DM300" s="2846">
        <f>IF(DM302=0,0,(DM301*DM302+DM303*DM304*6)/DM302)</f>
        <v>0</v>
      </c>
      <c r="DN300" s="2846">
        <f>IF(DN302=0,0,(DN301*DN302+DN303*DN304*6)/DN302)</f>
        <v>0</v>
      </c>
      <c r="DO300" s="1093">
        <f>IF(DM300=0,0,(DN300-DM300)/DM300*100)</f>
        <v>0</v>
      </c>
      <c r="DP300" s="2846">
        <f>IF(DP302=0,0,(DP301*DP302+DP303*DP304*6)/DP302)</f>
        <v>0</v>
      </c>
      <c r="DQ300" s="2846">
        <f>IF(DQ302=0,0,(DQ301*DQ302+DQ303*DQ304*6)/DQ302)</f>
        <v>0</v>
      </c>
      <c r="DR300" s="1093">
        <f>IF(DP300=0,0,(DQ300-DP300)/DP300*100)</f>
        <v>0</v>
      </c>
      <c r="DS300" s="2846">
        <f>IF(DS302=0,0,(DS301*DS302+DS303*DS304*6)/DS302)</f>
        <v>0</v>
      </c>
      <c r="DT300" s="2846">
        <f>IF(DT302=0,0,(DT301*DT302+DT303*DT304*6)/DT302)</f>
        <v>0</v>
      </c>
      <c r="DU300" s="1093">
        <f>IF(DS300=0,0,(DT300-DS300)/DS300*100)</f>
        <v>0</v>
      </c>
      <c r="DV300" s="2846">
        <f>IF(DV302=0,0,(DV301*DV302+DV303*DV304*6)/DV302)</f>
        <v>0</v>
      </c>
      <c r="DW300" s="2846">
        <f>IF(DW302=0,0,(DW301*DW302+DW303*DW304*6)/DW302)</f>
        <v>0</v>
      </c>
      <c r="DX300" s="1093">
        <f>IF(DV300=0,0,(DW300-DV300)/DV300*100)</f>
        <v>0</v>
      </c>
      <c r="DY300" s="2846">
        <f>IF(DY302=0,0,(DY301*DY302+DY303*DY304*6)/DY302)</f>
        <v>0</v>
      </c>
      <c r="DZ300" s="2846">
        <f>IF(DZ302=0,0,(DZ301*DZ302+DZ303*DZ304*6)/DZ302)</f>
        <v>0</v>
      </c>
      <c r="EA300" s="1093">
        <f>IF(DY300=0,0,(DZ300-DY300)/DY300*100)</f>
        <v>0</v>
      </c>
      <c r="EB300" s="2846">
        <f>IF(EB302=0,0,(EB301*EB302+EB303*EB304*6)/EB302)</f>
        <v>0</v>
      </c>
      <c r="EC300" s="2846">
        <f>IF(EC302=0,0,(EC301*EC302+EC303*EC304*6)/EC302)</f>
        <v>0</v>
      </c>
      <c r="ED300" s="1093">
        <f>IF(EB300=0,0,(EC300-EB300)/EB300*100)</f>
        <v>0</v>
      </c>
      <c r="EE300" s="2846">
        <f>IF(EE302=0,0,(EE301*EE302+EE303*EE304*6)/EE302)</f>
        <v>0</v>
      </c>
      <c r="EF300" s="2846">
        <f>IF(EF302=0,0,(EF301*EF302+EF303*EF304*6)/EF302)</f>
        <v>0</v>
      </c>
      <c r="EG300" s="1093">
        <f>IF(EE300=0,0,(EF300-EE300)/EE300*100)</f>
        <v>0</v>
      </c>
      <c r="EH300" s="2846">
        <f>IF(EH302=0,0,(EH301*EH302+EH303*EH304*6)/EH302)</f>
        <v>0</v>
      </c>
      <c r="EI300" s="2846">
        <f>IF(EI302=0,0,(EI301*EI302+EI303*EI304*6)/EI302)</f>
        <v>0</v>
      </c>
      <c r="EJ300" s="1093">
        <f>IF(EH300=0,0,(EI300-EH300)/EH300*100)</f>
        <v>0</v>
      </c>
      <c r="EK300" s="2846">
        <f>IF(EK302=0,0,(EK301*EK302+EK303*EK304*6)/EK302)</f>
        <v>0</v>
      </c>
      <c r="EL300" s="2846">
        <f>IF(EL302=0,0,(EL301*EL302+EL303*EL304*6)/EL302)</f>
        <v>0</v>
      </c>
      <c r="EM300" s="1093">
        <f>IF(EK300=0,0,(EL300-EK300)/EK300*100)</f>
        <v>0</v>
      </c>
      <c r="EN300" s="2846">
        <f>IF(EN302=0,0,(EN301*EN302+EN303*EN304*6)/EN302)</f>
        <v>0</v>
      </c>
      <c r="EO300" s="2846">
        <f>IF(EO302=0,0,(EO301*EO302+EO303*EO304*6)/EO302)</f>
        <v>0</v>
      </c>
      <c r="EP300" s="1093">
        <f>IF(EN300=0,0,(EO300-EN300)/EN300*100)</f>
        <v>0</v>
      </c>
      <c r="EQ300" s="2846">
        <f>IF(EQ302=0,0,(EQ301*EQ302+EQ303*EQ304*6)/EQ302)</f>
        <v>0</v>
      </c>
      <c r="ER300" s="2846">
        <f>IF(ER302=0,0,(ER301*ER302+ER303*ER304*6)/ER302)</f>
        <v>0</v>
      </c>
      <c r="ES300" s="1093">
        <f>IF(EQ300=0,0,(ER300-EQ300)/EQ300*100)</f>
        <v>0</v>
      </c>
      <c r="ET300" s="2846">
        <f>IF(ET302=0,0,(ET301*ET302+ET303*ET304*6)/ET302)</f>
        <v>0</v>
      </c>
      <c r="EU300" s="2846">
        <f>IF(EU302=0,0,(EU301*EU302+EU303*EU304*6)/EU302)</f>
        <v>0</v>
      </c>
      <c r="EV300" s="1093">
        <f>IF(ET300=0,0,(EU300-ET300)/ET300*100)</f>
        <v>0</v>
      </c>
      <c r="EW300" s="2846">
        <f>IF(EW302=0,0,(EW301*EW302+EW303*EW304*6)/EW302)</f>
        <v>0</v>
      </c>
      <c r="EX300" s="2846">
        <f>IF(EX302=0,0,(EX301*EX302+EX303*EX304*6)/EX302)</f>
        <v>0</v>
      </c>
      <c r="EY300" s="1093">
        <f>IF(EW300=0,0,(EX300-EW300)/EW300*100)</f>
        <v>0</v>
      </c>
      <c r="EZ300" s="2846">
        <f>IF(EZ302=0,0,(EZ301*EZ302+EZ303*EZ304*6)/EZ302)</f>
        <v>0</v>
      </c>
      <c r="FA300" s="2846">
        <f>IF(FA302=0,0,(FA301*FA302+FA303*FA304*6)/FA302)</f>
        <v>0</v>
      </c>
      <c r="FB300" s="1093">
        <f>IF(EZ300=0,0,(FA300-EZ300)/EZ300*100)</f>
        <v>0</v>
      </c>
      <c r="FC300" s="2846">
        <f>IF(FC302=0,0,(FC301*FC302+FC303*FC304*6)/FC302)</f>
        <v>0</v>
      </c>
      <c r="FD300" s="2846">
        <f>IF(FD302=0,0,(FD301*FD302+FD303*FD304*6)/FD302)</f>
        <v>0</v>
      </c>
      <c r="FE300" s="1093">
        <f>IF(FC300=0,0,(FD300-FC300)/FC300*100)</f>
        <v>0</v>
      </c>
      <c r="FF300" s="2846">
        <f>IF(FF302=0,0,(FF301*FF302+FF303*FF304*6)/FF302)</f>
        <v>0</v>
      </c>
      <c r="FG300" s="2846">
        <f>IF(FG302=0,0,(FG301*FG302+FG303*FG304*6)/FG302)</f>
        <v>0</v>
      </c>
      <c r="FH300" s="1093">
        <f>IF(FF300=0,0,(FG300-FF300)/FF300*100)</f>
        <v>0</v>
      </c>
      <c r="FI300" s="2846">
        <f>IF(FI302=0,0,(FI301*FI302+FI303*FI304*6)/FI302)</f>
        <v>0</v>
      </c>
      <c r="FJ300" s="2846">
        <f>IF(FJ302=0,0,(FJ301*FJ302+FJ303*FJ304*6)/FJ302)</f>
        <v>0</v>
      </c>
      <c r="FK300" s="1093">
        <f>IF(FI300=0,0,(FJ300-FI300)/FI300*100)</f>
        <v>0</v>
      </c>
      <c r="FL300" s="2846">
        <f>IF(FL302=0,0,(FL301*FL302+FL303*FL304*6)/FL302)</f>
        <v>0</v>
      </c>
      <c r="FM300" s="2846">
        <f>IF(FM302=0,0,(FM301*FM302+FM303*FM304*6)/FM302)</f>
        <v>0</v>
      </c>
      <c r="FN300" s="1093">
        <f>IF(FL300=0,0,(FM300-FL300)/FL300*100)</f>
        <v>0</v>
      </c>
      <c r="FO300" s="2846">
        <f>IF(FO302=0,0,(FO301*FO302+FO303*FO304*6)/FO302)</f>
        <v>0</v>
      </c>
      <c r="FP300" s="2846">
        <f>IF(FP302=0,0,(FP301*FP302+FP303*FP304*6)/FP302)</f>
        <v>0</v>
      </c>
      <c r="FQ300" s="1093">
        <f>IF(FO300=0,0,(FP300-FO300)/FO300*100)</f>
        <v>0</v>
      </c>
      <c r="FR300" s="2846">
        <f>IF(FR302=0,0,(FR301*FR302+FR303*FR304*6)/FR302)</f>
        <v>0</v>
      </c>
      <c r="FS300" s="2846">
        <f>IF(FS302=0,0,(FS301*FS302+FS303*FS304*6)/FS302)</f>
        <v>0</v>
      </c>
      <c r="FT300" s="1093">
        <f>IF(FR300=0,0,(FS300-FR300)/FR300*100)</f>
        <v>0</v>
      </c>
      <c r="FU300" s="2846">
        <f>IF(FU302=0,0,(FU301*FU302+FU303*FU304*6)/FU302)</f>
        <v>0</v>
      </c>
      <c r="FV300" s="2846">
        <f>IF(FV302=0,0,(FV301*FV302+FV303*FV304*6)/FV302)</f>
        <v>0</v>
      </c>
      <c r="FW300" s="1093">
        <f>IF(FU300=0,0,(FV300-FU300)/FU300*100)</f>
        <v>0</v>
      </c>
      <c r="FX300" s="1304"/>
      <c r="FY300" s="1304"/>
      <c r="FZ300" s="1055" t="s">
        <v>2371</v>
      </c>
      <c r="GA300" s="1306"/>
      <c r="GB300" s="1306"/>
      <c r="GC300" s="1305"/>
      <c r="GD300" s="1305"/>
    </row>
    <row s="1834" customFormat="1" customHeight="1" ht="14.25" hidden="1">
      <c r="A301" s="493"/>
      <c r="B301" s="925" cm="1" t="str">
        <f t="array" ref="B301:B301">B300</f>
        <v>false</v>
      </c>
      <c r="C301" s="493"/>
      <c r="D301" s="493"/>
      <c r="E301" s="840">
        <v>15</v>
      </c>
      <c r="F301" s="50" cm="1" t="str">
        <f t="array" ref="F301:F301">OFFSET(E301,-1,1)</f>
        <v>4</v>
      </c>
      <c r="G301" s="493"/>
      <c r="H301" s="493" t="s">
        <v>2299</v>
      </c>
      <c r="I301" s="493" t="s">
        <v>2335</v>
      </c>
      <c r="J301" s="493"/>
      <c r="K301" s="493"/>
      <c r="L301" s="493"/>
      <c r="M301" s="493"/>
      <c r="N301" s="493"/>
      <c r="O301" s="493"/>
      <c r="P301" s="493"/>
      <c r="Q301" s="493"/>
      <c r="R301" s="493"/>
      <c r="S301" s="493"/>
      <c r="T301" s="465" cm="1" t="str">
        <f t="array" ref="T301:T301">T300</f>
        <v>true</v>
      </c>
      <c r="U301" s="493"/>
      <c r="V301" s="493"/>
      <c r="W301" s="493"/>
      <c r="X301" s="1596"/>
      <c r="Y301" s="493"/>
      <c r="Z301" s="1545"/>
      <c r="AA301" s="493"/>
      <c r="AB301" s="904" t="str">
        <f>"ставка платы за "&amp;IF(Q281="Водоснабжение","потребление 1 куб.м холодной воды","объем принятых сточных вод")</f>
        <v>ставка платы за объем принятых сточных вод</v>
      </c>
      <c r="AC301" s="864" t="s">
        <v>2337</v>
      </c>
      <c r="AD301" s="2846"/>
      <c r="AE301" s="2846"/>
      <c r="AF301" s="1093">
        <f>IF(AD301=0,0,(AE301-AD301)/AD301*100)</f>
        <v>0</v>
      </c>
      <c r="AG301" s="2846"/>
      <c r="AH301" s="2846"/>
      <c r="AI301" s="1093">
        <f>IF(AG301=0,0,(AH301-AG301)/AG301*100)</f>
        <v>0</v>
      </c>
      <c r="AJ301" s="2846"/>
      <c r="AK301" s="2846"/>
      <c r="AL301" s="1093">
        <f>IF(AJ301=0,0,(AK301-AJ301)/AJ301*100)</f>
        <v>0</v>
      </c>
      <c r="AM301" s="2846"/>
      <c r="AN301" s="2846"/>
      <c r="AO301" s="1093">
        <f>IF(AM301=0,0,(AN301-AM301)/AM301*100)</f>
        <v>0</v>
      </c>
      <c r="AP301" s="2846"/>
      <c r="AQ301" s="2846"/>
      <c r="AR301" s="1093">
        <f>IF(AP301=0,0,(AQ301-AP301)/AP301*100)</f>
        <v>0</v>
      </c>
      <c r="AS301" s="2846"/>
      <c r="AT301" s="2846"/>
      <c r="AU301" s="1093">
        <f>IF(AS301=0,0,(AT301-AS301)/AS301*100)</f>
        <v>0</v>
      </c>
      <c r="AV301" s="2846"/>
      <c r="AW301" s="2846"/>
      <c r="AX301" s="1093">
        <f>IF(AV301=0,0,(AW301-AV301)/AV301*100)</f>
        <v>0</v>
      </c>
      <c r="AY301" s="2846"/>
      <c r="AZ301" s="2846"/>
      <c r="BA301" s="1093">
        <f>IF(AY301=0,0,(AZ301-AY301)/AY301*100)</f>
        <v>0</v>
      </c>
      <c r="BB301" s="2846"/>
      <c r="BC301" s="2846"/>
      <c r="BD301" s="1093">
        <f>IF(BB301=0,0,(BC301-BB301)/BB301*100)</f>
        <v>0</v>
      </c>
      <c r="BE301" s="2846"/>
      <c r="BF301" s="2846"/>
      <c r="BG301" s="1093">
        <f>IF(BE301=0,0,(BF301-BE301)/BE301*100)</f>
        <v>0</v>
      </c>
      <c r="BH301" s="2846"/>
      <c r="BI301" s="2846"/>
      <c r="BJ301" s="1093">
        <f>IF(BH301=0,0,(BI301-BH301)/BH301*100)</f>
        <v>0</v>
      </c>
      <c r="BK301" s="2846"/>
      <c r="BL301" s="2846"/>
      <c r="BM301" s="1093">
        <f>IF(BK301=0,0,(BL301-BK301)/BK301*100)</f>
        <v>0</v>
      </c>
      <c r="BN301" s="2846"/>
      <c r="BO301" s="2846"/>
      <c r="BP301" s="1093">
        <f>IF(BN301=0,0,(BO301-BN301)/BN301*100)</f>
        <v>0</v>
      </c>
      <c r="BQ301" s="2846"/>
      <c r="BR301" s="2846"/>
      <c r="BS301" s="1093">
        <f>IF(BQ301=0,0,(BR301-BQ301)/BQ301*100)</f>
        <v>0</v>
      </c>
      <c r="BT301" s="2846"/>
      <c r="BU301" s="2846"/>
      <c r="BV301" s="1093">
        <f>IF(BT301=0,0,(BU301-BT301)/BT301*100)</f>
        <v>0</v>
      </c>
      <c r="BW301" s="2846"/>
      <c r="BX301" s="2846"/>
      <c r="BY301" s="1093">
        <f>IF(BW301=0,0,(BX301-BW301)/BW301*100)</f>
        <v>0</v>
      </c>
      <c r="BZ301" s="2846"/>
      <c r="CA301" s="2846"/>
      <c r="CB301" s="1093">
        <f>IF(BZ301=0,0,(CA301-BZ301)/BZ301*100)</f>
        <v>0</v>
      </c>
      <c r="CC301" s="2846"/>
      <c r="CD301" s="2846"/>
      <c r="CE301" s="1093">
        <f>IF(CC301=0,0,(CD301-CC301)/CC301*100)</f>
        <v>0</v>
      </c>
      <c r="CF301" s="2846"/>
      <c r="CG301" s="2846"/>
      <c r="CH301" s="1093">
        <f>IF(CF301=0,0,(CG301-CF301)/CF301*100)</f>
        <v>0</v>
      </c>
      <c r="CI301" s="2846"/>
      <c r="CJ301" s="2846"/>
      <c r="CK301" s="1093">
        <f>IF(CI301=0,0,(CJ301-CI301)/CI301*100)</f>
        <v>0</v>
      </c>
      <c r="CL301" s="2846"/>
      <c r="CM301" s="2846"/>
      <c r="CN301" s="1093">
        <f>IF(CL301=0,0,(CM301-CL301)/CL301*100)</f>
        <v>0</v>
      </c>
      <c r="CO301" s="2846"/>
      <c r="CP301" s="2846"/>
      <c r="CQ301" s="1093">
        <f>IF(CO301=0,0,(CP301-CO301)/CO301*100)</f>
        <v>0</v>
      </c>
      <c r="CR301" s="2846"/>
      <c r="CS301" s="2846"/>
      <c r="CT301" s="1093">
        <f>IF(CR301=0,0,(CS301-CR301)/CR301*100)</f>
        <v>0</v>
      </c>
      <c r="CU301" s="2846"/>
      <c r="CV301" s="2846"/>
      <c r="CW301" s="1093">
        <f>IF(CU301=0,0,(CV301-CU301)/CU301*100)</f>
        <v>0</v>
      </c>
      <c r="CX301" s="2846"/>
      <c r="CY301" s="2846"/>
      <c r="CZ301" s="1093">
        <f>IF(CX301=0,0,(CY301-CX301)/CX301*100)</f>
        <v>0</v>
      </c>
      <c r="DA301" s="2846"/>
      <c r="DB301" s="2846"/>
      <c r="DC301" s="1093">
        <f>IF(DA301=0,0,(DB301-DA301)/DA301*100)</f>
        <v>0</v>
      </c>
      <c r="DD301" s="2846"/>
      <c r="DE301" s="2846"/>
      <c r="DF301" s="1093">
        <f>IF(DD301=0,0,(DE301-DD301)/DD301*100)</f>
        <v>0</v>
      </c>
      <c r="DG301" s="2846"/>
      <c r="DH301" s="2846"/>
      <c r="DI301" s="1093">
        <f>IF(DG301=0,0,(DH301-DG301)/DG301*100)</f>
        <v>0</v>
      </c>
      <c r="DJ301" s="2846"/>
      <c r="DK301" s="2846"/>
      <c r="DL301" s="1093">
        <f>IF(DJ301=0,0,(DK301-DJ301)/DJ301*100)</f>
        <v>0</v>
      </c>
      <c r="DM301" s="2846"/>
      <c r="DN301" s="2846"/>
      <c r="DO301" s="1093">
        <f>IF(DM301=0,0,(DN301-DM301)/DM301*100)</f>
        <v>0</v>
      </c>
      <c r="DP301" s="2846"/>
      <c r="DQ301" s="2846"/>
      <c r="DR301" s="1093">
        <f>IF(DP301=0,0,(DQ301-DP301)/DP301*100)</f>
        <v>0</v>
      </c>
      <c r="DS301" s="2846"/>
      <c r="DT301" s="2846"/>
      <c r="DU301" s="1093">
        <f>IF(DS301=0,0,(DT301-DS301)/DS301*100)</f>
        <v>0</v>
      </c>
      <c r="DV301" s="2846"/>
      <c r="DW301" s="2846"/>
      <c r="DX301" s="1093">
        <f>IF(DV301=0,0,(DW301-DV301)/DV301*100)</f>
        <v>0</v>
      </c>
      <c r="DY301" s="2846"/>
      <c r="DZ301" s="2846"/>
      <c r="EA301" s="1093">
        <f>IF(DY301=0,0,(DZ301-DY301)/DY301*100)</f>
        <v>0</v>
      </c>
      <c r="EB301" s="2846"/>
      <c r="EC301" s="2846"/>
      <c r="ED301" s="1093">
        <f>IF(EB301=0,0,(EC301-EB301)/EB301*100)</f>
        <v>0</v>
      </c>
      <c r="EE301" s="2846"/>
      <c r="EF301" s="2846"/>
      <c r="EG301" s="1093">
        <f>IF(EE301=0,0,(EF301-EE301)/EE301*100)</f>
        <v>0</v>
      </c>
      <c r="EH301" s="2846"/>
      <c r="EI301" s="2846"/>
      <c r="EJ301" s="1093">
        <f>IF(EH301=0,0,(EI301-EH301)/EH301*100)</f>
        <v>0</v>
      </c>
      <c r="EK301" s="2846"/>
      <c r="EL301" s="2846"/>
      <c r="EM301" s="1093">
        <f>IF(EK301=0,0,(EL301-EK301)/EK301*100)</f>
        <v>0</v>
      </c>
      <c r="EN301" s="2846"/>
      <c r="EO301" s="2846"/>
      <c r="EP301" s="1093">
        <f>IF(EN301=0,0,(EO301-EN301)/EN301*100)</f>
        <v>0</v>
      </c>
      <c r="EQ301" s="2846"/>
      <c r="ER301" s="2846"/>
      <c r="ES301" s="1093">
        <f>IF(EQ301=0,0,(ER301-EQ301)/EQ301*100)</f>
        <v>0</v>
      </c>
      <c r="ET301" s="2846"/>
      <c r="EU301" s="2846"/>
      <c r="EV301" s="1093">
        <f>IF(ET301=0,0,(EU301-ET301)/ET301*100)</f>
        <v>0</v>
      </c>
      <c r="EW301" s="2846"/>
      <c r="EX301" s="2846"/>
      <c r="EY301" s="1093">
        <f>IF(EW301=0,0,(EX301-EW301)/EW301*100)</f>
        <v>0</v>
      </c>
      <c r="EZ301" s="2846"/>
      <c r="FA301" s="2846"/>
      <c r="FB301" s="1093">
        <f>IF(EZ301=0,0,(FA301-EZ301)/EZ301*100)</f>
        <v>0</v>
      </c>
      <c r="FC301" s="2846"/>
      <c r="FD301" s="2846"/>
      <c r="FE301" s="1093">
        <f>IF(FC301=0,0,(FD301-FC301)/FC301*100)</f>
        <v>0</v>
      </c>
      <c r="FF301" s="2846"/>
      <c r="FG301" s="2846"/>
      <c r="FH301" s="1093">
        <f>IF(FF301=0,0,(FG301-FF301)/FF301*100)</f>
        <v>0</v>
      </c>
      <c r="FI301" s="2846"/>
      <c r="FJ301" s="2846"/>
      <c r="FK301" s="1093">
        <f>IF(FI301=0,0,(FJ301-FI301)/FI301*100)</f>
        <v>0</v>
      </c>
      <c r="FL301" s="2846"/>
      <c r="FM301" s="2846"/>
      <c r="FN301" s="1093">
        <f>IF(FL301=0,0,(FM301-FL301)/FL301*100)</f>
        <v>0</v>
      </c>
      <c r="FO301" s="2846"/>
      <c r="FP301" s="2846"/>
      <c r="FQ301" s="1093">
        <f>IF(FO301=0,0,(FP301-FO301)/FO301*100)</f>
        <v>0</v>
      </c>
      <c r="FR301" s="2846"/>
      <c r="FS301" s="2846"/>
      <c r="FT301" s="1093">
        <f>IF(FR301=0,0,(FS301-FR301)/FR301*100)</f>
        <v>0</v>
      </c>
      <c r="FU301" s="2846"/>
      <c r="FV301" s="2846"/>
      <c r="FW301" s="1093">
        <f>IF(FU301=0,0,(FV301-FU301)/FU301*100)</f>
        <v>0</v>
      </c>
      <c r="FX301" s="1304"/>
      <c r="FY301" s="1304"/>
      <c r="FZ301" s="1055" t="s">
        <v>2372</v>
      </c>
      <c r="GA301" s="1306"/>
      <c r="GB301" s="1306"/>
      <c r="GC301" s="1305"/>
      <c r="GD301" s="1305"/>
    </row>
    <row s="1834" customFormat="1" customHeight="1" ht="14.25" hidden="1">
      <c r="A302" s="493"/>
      <c r="B302" s="925" cm="1" t="str">
        <f t="array" ref="B302:B302">B301</f>
        <v>false</v>
      </c>
      <c r="C302" s="493"/>
      <c r="D302" s="493"/>
      <c r="E302" s="840">
        <v>15</v>
      </c>
      <c r="F302" s="50" cm="1" t="str">
        <f t="array" ref="F302:F302">OFFSET(E302,-1,1)</f>
        <v>4</v>
      </c>
      <c r="G302" s="107" t="s">
        <v>2373</v>
      </c>
      <c r="H302" s="493" t="s">
        <v>2374</v>
      </c>
      <c r="I302" s="493" t="s">
        <v>2335</v>
      </c>
      <c r="J302" s="493"/>
      <c r="K302" s="493"/>
      <c r="L302" s="493"/>
      <c r="M302" s="493"/>
      <c r="N302" s="493"/>
      <c r="O302" s="493"/>
      <c r="P302" s="493"/>
      <c r="Q302" s="493"/>
      <c r="R302" s="493"/>
      <c r="S302" s="493"/>
      <c r="T302" s="465" cm="1" t="str">
        <f t="array" ref="T302:T302">T301</f>
        <v>true</v>
      </c>
      <c r="U302" s="493"/>
      <c r="V302" s="493"/>
      <c r="W302" s="493"/>
      <c r="X302" s="1596"/>
      <c r="Y302" s="493"/>
      <c r="Z302" s="1545"/>
      <c r="AA302" s="493"/>
      <c r="AB302" s="904" t="str">
        <f>"объём "&amp;IF(Q281="Водоснабжение","потребления холодной воды","водоотведения")</f>
        <v>объём водоотведения</v>
      </c>
      <c r="AC302" s="864" t="s">
        <v>1247</v>
      </c>
      <c r="AD302" s="5247">
        <f>IF(AND(method_reg="Метод индексации",god&lt;&gt;first_year),_xlfn.SUMIFS(INDEX('Калькуляция (МИ корр)'!$AJ$25:$BC$747,,MATCH(AD$8,'Калькуляция (МИ корр)'!$AJ$8:$BC$8,0)),'Калькуляция (МИ корр)'!$F$25:$F$747,$F302,'Калькуляция (МИ корр)'!$G$25:$G$747,$G302),IF(method_reg="Метод экономически обоснованных расходов",_xlfn.SUMIFS('Калькуляция (МЭОР)'!$AJ$25:$AJ$452,'Калькуляция (МЭОР)'!$F$25:$F$452,$F302,'Калькуляция (МЭОР)'!$G$25:$G$452,$G302),IF(method_reg="Метод сравнения аналогов",_xlfn.SUMIFS('Калькуляция (МСА)'!$AE$25:$AE$122,'Калькуляция (МСА)'!$F$25:$F$122,$F302,'Калькуляция (МСА)'!$G$25:$G$122,$G302),_xlfn.SUMIFS(INDEX('Калькуляция (МИ)'!$AJ$25:$BC$747,,MATCH(AD$8,'Калькуляция (МИ)'!$AJ$8:$BC$8,0)),'Калькуляция (МИ)'!$F$25:$F$747,$F302,'Калькуляция (МИ)'!$G$25:$G$747,$G302))))</f>
        <v>768.8269125</v>
      </c>
      <c r="AE302" s="5247">
        <f>IF(AND(method_reg="Метод индексации",god&lt;&gt;first_year),_xlfn.SUMIFS(INDEX('Калькуляция (МИ корр)'!$AJ$25:$BC$747,,MATCH(AE$8,'Калькуляция (МИ корр)'!$AJ$8:$BC$8,0)),'Калькуляция (МИ корр)'!$F$25:$F$747,$F302,'Калькуляция (МИ корр)'!$G$25:$G$747,$G302),IF(method_reg="Метод экономически обоснованных расходов",_xlfn.SUMIFS('Калькуляция (МЭОР)'!$AK$25:$AK$452,'Калькуляция (МЭОР)'!$F$25:$F$452,$F302,'Калькуляция (МЭОР)'!$G$25:$G$452,$G302),IF(method_reg="Метод сравнения аналогов",_xlfn.SUMIFS('Калькуляция (МСА)'!$AF$25:$AF$122,'Калькуляция (МСА)'!$F$25:$F$122,$F302,'Калькуляция (МСА)'!$G$25:$G$122,$G302),_xlfn.SUMIFS(INDEX('Калькуляция (МИ)'!$AJ$25:$BC$747,,MATCH(AE$8,'Калькуляция (МИ)'!$AJ$8:$BC$8,0)),'Калькуляция (МИ)'!$F$25:$F$747,$F302,'Калькуляция (МИ)'!$G$25:$G$747,$G302))))</f>
        <v>768.8269125</v>
      </c>
      <c r="AF302" s="1095">
        <f>IF(AD302=0,0,(AE302-AD302)/AD302*100)</f>
        <v>0</v>
      </c>
      <c r="AG302" s="5247">
        <f>IF(AND(method_reg="Метод индексации",god&lt;&gt;first_year),_xlfn.SUMIFS(INDEX('Калькуляция (МИ корр)'!$AJ$25:$BC$747,,MATCH(AG$8,'Калькуляция (МИ корр)'!$AJ$8:$BC$8,0)),'Калькуляция (МИ корр)'!$F$25:$F$747,$F302,'Калькуляция (МИ корр)'!$G$25:$G$747,$G302),IF(method_reg="Метод экономически обоснованных расходов",_xlfn.SUMIFS('Калькуляция (МЭОР)'!$AJ$25:$AJ$452,'Калькуляция (МЭОР)'!$F$25:$F$452,$F302,'Калькуляция (МЭОР)'!$G$25:$G$452,$G302),IF(method_reg="Метод сравнения аналогов",_xlfn.SUMIFS('Калькуляция (МСА)'!$AE$25:$AE$122,'Калькуляция (МСА)'!$F$25:$F$122,$F302,'Калькуляция (МСА)'!$G$25:$G$122,$G302),_xlfn.SUMIFS(INDEX('Калькуляция (МИ)'!$AJ$25:$BC$747,,MATCH(AG$8,'Калькуляция (МИ)'!$AJ$8:$BC$8,0)),'Калькуляция (МИ)'!$F$25:$F$747,$F302,'Калькуляция (МИ)'!$G$25:$G$747,$G302))))</f>
        <v>512.551275</v>
      </c>
      <c r="AH302" s="5247">
        <f>IF(AND(method_reg="Метод индексации",god&lt;&gt;first_year),_xlfn.SUMIFS(INDEX('Калькуляция (МИ корр)'!$AJ$25:$BC$747,,MATCH(AH$8,'Калькуляция (МИ корр)'!$AJ$8:$BC$8,0)),'Калькуляция (МИ корр)'!$F$25:$F$747,$F302,'Калькуляция (МИ корр)'!$G$25:$G$747,$G302),IF(method_reg="Метод экономически обоснованных расходов",_xlfn.SUMIFS('Калькуляция (МЭОР)'!$AK$25:$AK$452,'Калькуляция (МЭОР)'!$F$25:$F$452,$F302,'Калькуляция (МЭОР)'!$G$25:$G$452,$G302),IF(method_reg="Метод сравнения аналогов",_xlfn.SUMIFS('Калькуляция (МСА)'!$AF$25:$AF$122,'Калькуляция (МСА)'!$F$25:$F$122,$F302,'Калькуляция (МСА)'!$G$25:$G$122,$G302),_xlfn.SUMIFS(INDEX('Калькуляция (МИ)'!$AJ$25:$BC$747,,MATCH(AH$8,'Калькуляция (МИ)'!$AJ$8:$BC$8,0)),'Калькуляция (МИ)'!$F$25:$F$747,$F302,'Калькуляция (МИ)'!$G$25:$G$747,$G302))))</f>
        <v>512.551275</v>
      </c>
      <c r="AI302" s="1095">
        <f>IF(AG302=0,0,(AH302-AG302)/AG302*100)</f>
        <v>0</v>
      </c>
      <c r="AJ302" s="5247">
        <f>IF(AND(method_reg="Метод индексации",god&lt;&gt;first_year),_xlfn.SUMIFS(INDEX('Калькуляция (МИ корр)'!$AJ$25:$BC$747,,MATCH(AJ$8,'Калькуляция (МИ корр)'!$AJ$8:$BC$8,0)),'Калькуляция (МИ корр)'!$F$25:$F$747,$F302,'Калькуляция (МИ корр)'!$G$25:$G$747,$G302),IF(method_reg="Метод экономически обоснованных расходов",_xlfn.SUMIFS('Калькуляция (МЭОР)'!$AJ$25:$AJ$452,'Калькуляция (МЭОР)'!$F$25:$F$452,$F302,'Калькуляция (МЭОР)'!$G$25:$G$452,$G302),IF(method_reg="Метод сравнения аналогов",_xlfn.SUMIFS('Калькуляция (МСА)'!$AE$25:$AE$122,'Калькуляция (МСА)'!$F$25:$F$122,$F302,'Калькуляция (МСА)'!$G$25:$G$122,$G302),_xlfn.SUMIFS(INDEX('Калькуляция (МИ)'!$AJ$25:$BC$747,,MATCH(AJ$8,'Калькуляция (МИ)'!$AJ$8:$BC$8,0)),'Калькуляция (МИ)'!$F$25:$F$747,$F302,'Калькуляция (МИ)'!$G$25:$G$747,$G302))))</f>
        <v>512.551275</v>
      </c>
      <c r="AK302" s="5247">
        <f>IF(AND(method_reg="Метод индексации",god&lt;&gt;first_year),_xlfn.SUMIFS(INDEX('Калькуляция (МИ корр)'!$AJ$25:$BC$747,,MATCH(AK$8,'Калькуляция (МИ корр)'!$AJ$8:$BC$8,0)),'Калькуляция (МИ корр)'!$F$25:$F$747,$F302,'Калькуляция (МИ корр)'!$G$25:$G$747,$G302),IF(method_reg="Метод экономически обоснованных расходов",_xlfn.SUMIFS('Калькуляция (МЭОР)'!$AK$25:$AK$452,'Калькуляция (МЭОР)'!$F$25:$F$452,$F302,'Калькуляция (МЭОР)'!$G$25:$G$452,$G302),IF(method_reg="Метод сравнения аналогов",_xlfn.SUMIFS('Калькуляция (МСА)'!$AF$25:$AF$122,'Калькуляция (МСА)'!$F$25:$F$122,$F302,'Калькуляция (МСА)'!$G$25:$G$122,$G302),_xlfn.SUMIFS(INDEX('Калькуляция (МИ)'!$AJ$25:$BC$747,,MATCH(AK$8,'Калькуляция (МИ)'!$AJ$8:$BC$8,0)),'Калькуляция (МИ)'!$F$25:$F$747,$F302,'Калькуляция (МИ)'!$G$25:$G$747,$G302))))</f>
        <v>512.551275</v>
      </c>
      <c r="AL302" s="1095">
        <f>IF(AJ302=0,0,(AK302-AJ302)/AJ302*100)</f>
        <v>0</v>
      </c>
      <c r="AM302" s="5247">
        <f>IF(AND(method_reg="Метод индексации",god&lt;&gt;first_year),_xlfn.SUMIFS(INDEX('Калькуляция (МИ корр)'!$AJ$25:$BC$747,,MATCH(AM$8,'Калькуляция (МИ корр)'!$AJ$8:$BC$8,0)),'Калькуляция (МИ корр)'!$F$25:$F$747,$F302,'Калькуляция (МИ корр)'!$G$25:$G$747,$G302),IF(method_reg="Метод экономически обоснованных расходов",_xlfn.SUMIFS('Калькуляция (МЭОР)'!$AJ$25:$AJ$452,'Калькуляция (МЭОР)'!$F$25:$F$452,$F302,'Калькуляция (МЭОР)'!$G$25:$G$452,$G302),IF(method_reg="Метод сравнения аналогов",_xlfn.SUMIFS('Калькуляция (МСА)'!$AE$25:$AE$122,'Калькуляция (МСА)'!$F$25:$F$122,$F302,'Калькуляция (МСА)'!$G$25:$G$122,$G302),_xlfn.SUMIFS(INDEX('Калькуляция (МИ)'!$AJ$25:$BC$747,,MATCH(AM$8,'Калькуляция (МИ)'!$AJ$8:$BC$8,0)),'Калькуляция (МИ)'!$F$25:$F$747,$F302,'Калькуляция (МИ)'!$G$25:$G$747,$G302))))</f>
        <v>512.551275</v>
      </c>
      <c r="AN302" s="5247">
        <f>IF(AND(method_reg="Метод индексации",god&lt;&gt;first_year),_xlfn.SUMIFS(INDEX('Калькуляция (МИ корр)'!$AJ$25:$BC$747,,MATCH(AN$8,'Калькуляция (МИ корр)'!$AJ$8:$BC$8,0)),'Калькуляция (МИ корр)'!$F$25:$F$747,$F302,'Калькуляция (МИ корр)'!$G$25:$G$747,$G302),IF(method_reg="Метод экономически обоснованных расходов",_xlfn.SUMIFS('Калькуляция (МЭОР)'!$AK$25:$AK$452,'Калькуляция (МЭОР)'!$F$25:$F$452,$F302,'Калькуляция (МЭОР)'!$G$25:$G$452,$G302),IF(method_reg="Метод сравнения аналогов",_xlfn.SUMIFS('Калькуляция (МСА)'!$AF$25:$AF$122,'Калькуляция (МСА)'!$F$25:$F$122,$F302,'Калькуляция (МСА)'!$G$25:$G$122,$G302),_xlfn.SUMIFS(INDEX('Калькуляция (МИ)'!$AJ$25:$BC$747,,MATCH(AN$8,'Калькуляция (МИ)'!$AJ$8:$BC$8,0)),'Калькуляция (МИ)'!$F$25:$F$747,$F302,'Калькуляция (МИ)'!$G$25:$G$747,$G302))))</f>
        <v>512.551275</v>
      </c>
      <c r="AO302" s="1095">
        <f>IF(AM302=0,0,(AN302-AM302)/AM302*100)</f>
        <v>0</v>
      </c>
      <c r="AP302" s="5247">
        <f>IF(AND(method_reg="Метод индексации",god&lt;&gt;first_year),_xlfn.SUMIFS(INDEX('Калькуляция (МИ корр)'!$AJ$25:$BC$747,,MATCH(AP$8,'Калькуляция (МИ корр)'!$AJ$8:$BC$8,0)),'Калькуляция (МИ корр)'!$F$25:$F$747,$F302,'Калькуляция (МИ корр)'!$G$25:$G$747,$G302),IF(method_reg="Метод экономически обоснованных расходов",_xlfn.SUMIFS('Калькуляция (МЭОР)'!$AJ$25:$AJ$452,'Калькуляция (МЭОР)'!$F$25:$F$452,$F302,'Калькуляция (МЭОР)'!$G$25:$G$452,$G302),IF(method_reg="Метод сравнения аналогов",_xlfn.SUMIFS('Калькуляция (МСА)'!$AE$25:$AE$122,'Калькуляция (МСА)'!$F$25:$F$122,$F302,'Калькуляция (МСА)'!$G$25:$G$122,$G302),_xlfn.SUMIFS(INDEX('Калькуляция (МИ)'!$AJ$25:$BC$747,,MATCH(AP$8,'Калькуляция (МИ)'!$AJ$8:$BC$8,0)),'Калькуляция (МИ)'!$F$25:$F$747,$F302,'Калькуляция (МИ)'!$G$25:$G$747,$G302))))</f>
        <v>512.551275</v>
      </c>
      <c r="AQ302" s="5247">
        <f>IF(AND(method_reg="Метод индексации",god&lt;&gt;first_year),_xlfn.SUMIFS(INDEX('Калькуляция (МИ корр)'!$AJ$25:$BC$747,,MATCH(AQ$8,'Калькуляция (МИ корр)'!$AJ$8:$BC$8,0)),'Калькуляция (МИ корр)'!$F$25:$F$747,$F302,'Калькуляция (МИ корр)'!$G$25:$G$747,$G302),IF(method_reg="Метод экономически обоснованных расходов",_xlfn.SUMIFS('Калькуляция (МЭОР)'!$AK$25:$AK$452,'Калькуляция (МЭОР)'!$F$25:$F$452,$F302,'Калькуляция (МЭОР)'!$G$25:$G$452,$G302),IF(method_reg="Метод сравнения аналогов",_xlfn.SUMIFS('Калькуляция (МСА)'!$AF$25:$AF$122,'Калькуляция (МСА)'!$F$25:$F$122,$F302,'Калькуляция (МСА)'!$G$25:$G$122,$G302),_xlfn.SUMIFS(INDEX('Калькуляция (МИ)'!$AJ$25:$BC$747,,MATCH(AQ$8,'Калькуляция (МИ)'!$AJ$8:$BC$8,0)),'Калькуляция (МИ)'!$F$25:$F$747,$F302,'Калькуляция (МИ)'!$G$25:$G$747,$G302))))</f>
        <v>512.551275</v>
      </c>
      <c r="AR302" s="1095">
        <f>IF(AP302=0,0,(AQ302-AP302)/AP302*100)</f>
        <v>0</v>
      </c>
      <c r="AS302" s="5247">
        <f>IF(AND(method_reg="Метод индексации",god&lt;&gt;first_year),_xlfn.SUMIFS(INDEX('Калькуляция (МИ корр)'!$AJ$25:$BC$747,,MATCH(AS$8,'Калькуляция (МИ корр)'!$AJ$8:$BC$8,0)),'Калькуляция (МИ корр)'!$F$25:$F$747,$F302,'Калькуляция (МИ корр)'!$G$25:$G$747,$G302),IF(method_reg="Метод экономически обоснованных расходов",_xlfn.SUMIFS('Калькуляция (МЭОР)'!$AJ$25:$AJ$452,'Калькуляция (МЭОР)'!$F$25:$F$452,$F302,'Калькуляция (МЭОР)'!$G$25:$G$452,$G302),IF(method_reg="Метод сравнения аналогов",_xlfn.SUMIFS('Калькуляция (МСА)'!$AE$25:$AE$122,'Калькуляция (МСА)'!$F$25:$F$122,$F302,'Калькуляция (МСА)'!$G$25:$G$122,$G302),_xlfn.SUMIFS(INDEX('Калькуляция (МИ)'!$AJ$25:$BC$747,,MATCH(AS$8,'Калькуляция (МИ)'!$AJ$8:$BC$8,0)),'Калькуляция (МИ)'!$F$25:$F$747,$F302,'Калькуляция (МИ)'!$G$25:$G$747,$G302))))</f>
        <v>0</v>
      </c>
      <c r="AT302" s="5247">
        <f>IF(AND(method_reg="Метод индексации",god&lt;&gt;first_year),_xlfn.SUMIFS(INDEX('Калькуляция (МИ корр)'!$AJ$25:$BC$747,,MATCH(AT$8,'Калькуляция (МИ корр)'!$AJ$8:$BC$8,0)),'Калькуляция (МИ корр)'!$F$25:$F$747,$F302,'Калькуляция (МИ корр)'!$G$25:$G$747,$G302),IF(method_reg="Метод экономически обоснованных расходов",_xlfn.SUMIFS('Калькуляция (МЭОР)'!$AK$25:$AK$452,'Калькуляция (МЭОР)'!$F$25:$F$452,$F302,'Калькуляция (МЭОР)'!$G$25:$G$452,$G302),IF(method_reg="Метод сравнения аналогов",_xlfn.SUMIFS('Калькуляция (МСА)'!$AF$25:$AF$122,'Калькуляция (МСА)'!$F$25:$F$122,$F302,'Калькуляция (МСА)'!$G$25:$G$122,$G302),_xlfn.SUMIFS(INDEX('Калькуляция (МИ)'!$AJ$25:$BC$747,,MATCH(AT$8,'Калькуляция (МИ)'!$AJ$8:$BC$8,0)),'Калькуляция (МИ)'!$F$25:$F$747,$F302,'Калькуляция (МИ)'!$G$25:$G$747,$G302))))</f>
        <v>0</v>
      </c>
      <c r="AU302" s="1095">
        <f>IF(AS302=0,0,(AT302-AS302)/AS302*100)</f>
        <v>0</v>
      </c>
      <c r="AV302" s="5247">
        <f>IF(AND(method_reg="Метод индексации",god&lt;&gt;first_year),_xlfn.SUMIFS(INDEX('Калькуляция (МИ корр)'!$AJ$25:$BC$747,,MATCH(AV$8,'Калькуляция (МИ корр)'!$AJ$8:$BC$8,0)),'Калькуляция (МИ корр)'!$F$25:$F$747,$F302,'Калькуляция (МИ корр)'!$G$25:$G$747,$G302),IF(method_reg="Метод экономически обоснованных расходов",_xlfn.SUMIFS('Калькуляция (МЭОР)'!$AJ$25:$AJ$452,'Калькуляция (МЭОР)'!$F$25:$F$452,$F302,'Калькуляция (МЭОР)'!$G$25:$G$452,$G302),IF(method_reg="Метод сравнения аналогов",_xlfn.SUMIFS('Калькуляция (МСА)'!$AE$25:$AE$122,'Калькуляция (МСА)'!$F$25:$F$122,$F302,'Калькуляция (МСА)'!$G$25:$G$122,$G302),_xlfn.SUMIFS(INDEX('Калькуляция (МИ)'!$AJ$25:$BC$747,,MATCH(AV$8,'Калькуляция (МИ)'!$AJ$8:$BC$8,0)),'Калькуляция (МИ)'!$F$25:$F$747,$F302,'Калькуляция (МИ)'!$G$25:$G$747,$G302))))</f>
        <v>0</v>
      </c>
      <c r="AW302" s="5247">
        <f>IF(AND(method_reg="Метод индексации",god&lt;&gt;first_year),_xlfn.SUMIFS(INDEX('Калькуляция (МИ корр)'!$AJ$25:$BC$747,,MATCH(AW$8,'Калькуляция (МИ корр)'!$AJ$8:$BC$8,0)),'Калькуляция (МИ корр)'!$F$25:$F$747,$F302,'Калькуляция (МИ корр)'!$G$25:$G$747,$G302),IF(method_reg="Метод экономически обоснованных расходов",_xlfn.SUMIFS('Калькуляция (МЭОР)'!$AK$25:$AK$452,'Калькуляция (МЭОР)'!$F$25:$F$452,$F302,'Калькуляция (МЭОР)'!$G$25:$G$452,$G302),IF(method_reg="Метод сравнения аналогов",_xlfn.SUMIFS('Калькуляция (МСА)'!$AF$25:$AF$122,'Калькуляция (МСА)'!$F$25:$F$122,$F302,'Калькуляция (МСА)'!$G$25:$G$122,$G302),_xlfn.SUMIFS(INDEX('Калькуляция (МИ)'!$AJ$25:$BC$747,,MATCH(AW$8,'Калькуляция (МИ)'!$AJ$8:$BC$8,0)),'Калькуляция (МИ)'!$F$25:$F$747,$F302,'Калькуляция (МИ)'!$G$25:$G$747,$G302))))</f>
        <v>0</v>
      </c>
      <c r="AX302" s="1095">
        <f>IF(AV302=0,0,(AW302-AV302)/AV302*100)</f>
        <v>0</v>
      </c>
      <c r="AY302" s="5247">
        <f>IF(AND(method_reg="Метод индексации",god&lt;&gt;first_year),_xlfn.SUMIFS(INDEX('Калькуляция (МИ корр)'!$AJ$25:$BC$747,,MATCH(AY$8,'Калькуляция (МИ корр)'!$AJ$8:$BC$8,0)),'Калькуляция (МИ корр)'!$F$25:$F$747,$F302,'Калькуляция (МИ корр)'!$G$25:$G$747,$G302),IF(method_reg="Метод экономически обоснованных расходов",_xlfn.SUMIFS('Калькуляция (МЭОР)'!$AJ$25:$AJ$452,'Калькуляция (МЭОР)'!$F$25:$F$452,$F302,'Калькуляция (МЭОР)'!$G$25:$G$452,$G302),IF(method_reg="Метод сравнения аналогов",_xlfn.SUMIFS('Калькуляция (МСА)'!$AE$25:$AE$122,'Калькуляция (МСА)'!$F$25:$F$122,$F302,'Калькуляция (МСА)'!$G$25:$G$122,$G302),_xlfn.SUMIFS(INDEX('Калькуляция (МИ)'!$AJ$25:$BC$747,,MATCH(AY$8,'Калькуляция (МИ)'!$AJ$8:$BC$8,0)),'Калькуляция (МИ)'!$F$25:$F$747,$F302,'Калькуляция (МИ)'!$G$25:$G$747,$G302))))</f>
        <v>0</v>
      </c>
      <c r="AZ302" s="5247">
        <f>IF(AND(method_reg="Метод индексации",god&lt;&gt;first_year),_xlfn.SUMIFS(INDEX('Калькуляция (МИ корр)'!$AJ$25:$BC$747,,MATCH(AZ$8,'Калькуляция (МИ корр)'!$AJ$8:$BC$8,0)),'Калькуляция (МИ корр)'!$F$25:$F$747,$F302,'Калькуляция (МИ корр)'!$G$25:$G$747,$G302),IF(method_reg="Метод экономически обоснованных расходов",_xlfn.SUMIFS('Калькуляция (МЭОР)'!$AK$25:$AK$452,'Калькуляция (МЭОР)'!$F$25:$F$452,$F302,'Калькуляция (МЭОР)'!$G$25:$G$452,$G302),IF(method_reg="Метод сравнения аналогов",_xlfn.SUMIFS('Калькуляция (МСА)'!$AF$25:$AF$122,'Калькуляция (МСА)'!$F$25:$F$122,$F302,'Калькуляция (МСА)'!$G$25:$G$122,$G302),_xlfn.SUMIFS(INDEX('Калькуляция (МИ)'!$AJ$25:$BC$747,,MATCH(AZ$8,'Калькуляция (МИ)'!$AJ$8:$BC$8,0)),'Калькуляция (МИ)'!$F$25:$F$747,$F302,'Калькуляция (МИ)'!$G$25:$G$747,$G302))))</f>
        <v>0</v>
      </c>
      <c r="BA302" s="1095">
        <f>IF(AY302=0,0,(AZ302-AY302)/AY302*100)</f>
        <v>0</v>
      </c>
      <c r="BB302" s="5247">
        <f>IF(AND(method_reg="Метод индексации",god&lt;&gt;first_year),_xlfn.SUMIFS(INDEX('Калькуляция (МИ корр)'!$AJ$25:$BC$747,,MATCH(BB$8,'Калькуляция (МИ корр)'!$AJ$8:$BC$8,0)),'Калькуляция (МИ корр)'!$F$25:$F$747,$F302,'Калькуляция (МИ корр)'!$G$25:$G$747,$G302),IF(method_reg="Метод экономически обоснованных расходов",_xlfn.SUMIFS('Калькуляция (МЭОР)'!$AJ$25:$AJ$452,'Калькуляция (МЭОР)'!$F$25:$F$452,$F302,'Калькуляция (МЭОР)'!$G$25:$G$452,$G302),IF(method_reg="Метод сравнения аналогов",_xlfn.SUMIFS('Калькуляция (МСА)'!$AE$25:$AE$122,'Калькуляция (МСА)'!$F$25:$F$122,$F302,'Калькуляция (МСА)'!$G$25:$G$122,$G302),_xlfn.SUMIFS(INDEX('Калькуляция (МИ)'!$AJ$25:$BC$747,,MATCH(BB$8,'Калькуляция (МИ)'!$AJ$8:$BC$8,0)),'Калькуляция (МИ)'!$F$25:$F$747,$F302,'Калькуляция (МИ)'!$G$25:$G$747,$G302))))</f>
        <v>0</v>
      </c>
      <c r="BC302" s="5247">
        <f>IF(AND(method_reg="Метод индексации",god&lt;&gt;first_year),_xlfn.SUMIFS(INDEX('Калькуляция (МИ корр)'!$AJ$25:$BC$747,,MATCH(BC$8,'Калькуляция (МИ корр)'!$AJ$8:$BC$8,0)),'Калькуляция (МИ корр)'!$F$25:$F$747,$F302,'Калькуляция (МИ корр)'!$G$25:$G$747,$G302),IF(method_reg="Метод экономически обоснованных расходов",_xlfn.SUMIFS('Калькуляция (МЭОР)'!$AK$25:$AK$452,'Калькуляция (МЭОР)'!$F$25:$F$452,$F302,'Калькуляция (МЭОР)'!$G$25:$G$452,$G302),IF(method_reg="Метод сравнения аналогов",_xlfn.SUMIFS('Калькуляция (МСА)'!$AF$25:$AF$122,'Калькуляция (МСА)'!$F$25:$F$122,$F302,'Калькуляция (МСА)'!$G$25:$G$122,$G302),_xlfn.SUMIFS(INDEX('Калькуляция (МИ)'!$AJ$25:$BC$747,,MATCH(BC$8,'Калькуляция (МИ)'!$AJ$8:$BC$8,0)),'Калькуляция (МИ)'!$F$25:$F$747,$F302,'Калькуляция (МИ)'!$G$25:$G$747,$G302))))</f>
        <v>0</v>
      </c>
      <c r="BD302" s="1095">
        <f>IF(BB302=0,0,(BC302-BB302)/BB302*100)</f>
        <v>0</v>
      </c>
      <c r="BE302" s="5247">
        <f>IF(AND(method_reg="Метод индексации",god&lt;&gt;first_year),_xlfn.SUMIFS(INDEX('Калькуляция (МИ корр)'!$AJ$25:$BC$747,,MATCH(BE$8,'Калькуляция (МИ корр)'!$AJ$8:$BC$8,0)),'Калькуляция (МИ корр)'!$F$25:$F$747,$F302,'Калькуляция (МИ корр)'!$G$25:$G$747,$G302),IF(method_reg="Метод экономически обоснованных расходов",_xlfn.SUMIFS('Калькуляция (МЭОР)'!$AJ$25:$AJ$452,'Калькуляция (МЭОР)'!$F$25:$F$452,$F302,'Калькуляция (МЭОР)'!$G$25:$G$452,$G302),IF(method_reg="Метод сравнения аналогов",_xlfn.SUMIFS('Калькуляция (МСА)'!$AE$25:$AE$122,'Калькуляция (МСА)'!$F$25:$F$122,$F302,'Калькуляция (МСА)'!$G$25:$G$122,$G302),_xlfn.SUMIFS(INDEX('Калькуляция (МИ)'!$AJ$25:$BC$747,,MATCH(BE$8,'Калькуляция (МИ)'!$AJ$8:$BC$8,0)),'Калькуляция (МИ)'!$F$25:$F$747,$F302,'Калькуляция (МИ)'!$G$25:$G$747,$G302))))</f>
        <v>0</v>
      </c>
      <c r="BF302" s="5247">
        <f>IF(AND(method_reg="Метод индексации",god&lt;&gt;first_year),_xlfn.SUMIFS(INDEX('Калькуляция (МИ корр)'!$AJ$25:$BC$747,,MATCH(BF$8,'Калькуляция (МИ корр)'!$AJ$8:$BC$8,0)),'Калькуляция (МИ корр)'!$F$25:$F$747,$F302,'Калькуляция (МИ корр)'!$G$25:$G$747,$G302),IF(method_reg="Метод экономически обоснованных расходов",_xlfn.SUMIFS('Калькуляция (МЭОР)'!$AK$25:$AK$452,'Калькуляция (МЭОР)'!$F$25:$F$452,$F302,'Калькуляция (МЭОР)'!$G$25:$G$452,$G302),IF(method_reg="Метод сравнения аналогов",_xlfn.SUMIFS('Калькуляция (МСА)'!$AF$25:$AF$122,'Калькуляция (МСА)'!$F$25:$F$122,$F302,'Калькуляция (МСА)'!$G$25:$G$122,$G302),_xlfn.SUMIFS(INDEX('Калькуляция (МИ)'!$AJ$25:$BC$747,,MATCH(BF$8,'Калькуляция (МИ)'!$AJ$8:$BC$8,0)),'Калькуляция (МИ)'!$F$25:$F$747,$F302,'Калькуляция (МИ)'!$G$25:$G$747,$G302))))</f>
        <v>0</v>
      </c>
      <c r="BG302" s="1095">
        <f>IF(BE302=0,0,(BF302-BE302)/BE302*100)</f>
        <v>0</v>
      </c>
      <c r="BH302" s="5247"/>
      <c r="BI302" s="5247"/>
      <c r="BJ302" s="1095">
        <f>IF(BH302=0,0,(BI302-BH302)/BH302*100)</f>
        <v>0</v>
      </c>
      <c r="BK302" s="5247"/>
      <c r="BL302" s="5247"/>
      <c r="BM302" s="1095">
        <f>IF(BK302=0,0,(BL302-BK302)/BK302*100)</f>
        <v>0</v>
      </c>
      <c r="BN302" s="5247"/>
      <c r="BO302" s="5247"/>
      <c r="BP302" s="1095">
        <f>IF(BN302=0,0,(BO302-BN302)/BN302*100)</f>
        <v>0</v>
      </c>
      <c r="BQ302" s="5247"/>
      <c r="BR302" s="5247"/>
      <c r="BS302" s="1095">
        <f>IF(BQ302=0,0,(BR302-BQ302)/BQ302*100)</f>
        <v>0</v>
      </c>
      <c r="BT302" s="5247"/>
      <c r="BU302" s="5247"/>
      <c r="BV302" s="1095">
        <f>IF(BT302=0,0,(BU302-BT302)/BT302*100)</f>
        <v>0</v>
      </c>
      <c r="BW302" s="5247"/>
      <c r="BX302" s="5247"/>
      <c r="BY302" s="1095">
        <f>IF(BW302=0,0,(BX302-BW302)/BW302*100)</f>
        <v>0</v>
      </c>
      <c r="BZ302" s="5247"/>
      <c r="CA302" s="5247"/>
      <c r="CB302" s="1095">
        <f>IF(BZ302=0,0,(CA302-BZ302)/BZ302*100)</f>
        <v>0</v>
      </c>
      <c r="CC302" s="5247"/>
      <c r="CD302" s="5247"/>
      <c r="CE302" s="1095">
        <f>IF(CC302=0,0,(CD302-CC302)/CC302*100)</f>
        <v>0</v>
      </c>
      <c r="CF302" s="5247"/>
      <c r="CG302" s="5247"/>
      <c r="CH302" s="1095">
        <f>IF(CF302=0,0,(CG302-CF302)/CF302*100)</f>
        <v>0</v>
      </c>
      <c r="CI302" s="5247"/>
      <c r="CJ302" s="5247"/>
      <c r="CK302" s="1095">
        <f>IF(CI302=0,0,(CJ302-CI302)/CI302*100)</f>
        <v>0</v>
      </c>
      <c r="CL302" s="5247"/>
      <c r="CM302" s="5247"/>
      <c r="CN302" s="1095">
        <f>IF(CL302=0,0,(CM302-CL302)/CL302*100)</f>
        <v>0</v>
      </c>
      <c r="CO302" s="5247"/>
      <c r="CP302" s="5247"/>
      <c r="CQ302" s="1095">
        <f>IF(CO302=0,0,(CP302-CO302)/CO302*100)</f>
        <v>0</v>
      </c>
      <c r="CR302" s="5247"/>
      <c r="CS302" s="5247"/>
      <c r="CT302" s="1095">
        <f>IF(CR302=0,0,(CS302-CR302)/CR302*100)</f>
        <v>0</v>
      </c>
      <c r="CU302" s="5247"/>
      <c r="CV302" s="5247"/>
      <c r="CW302" s="1095">
        <f>IF(CU302=0,0,(CV302-CU302)/CU302*100)</f>
        <v>0</v>
      </c>
      <c r="CX302" s="5247"/>
      <c r="CY302" s="5247"/>
      <c r="CZ302" s="1095">
        <f>IF(CX302=0,0,(CY302-CX302)/CX302*100)</f>
        <v>0</v>
      </c>
      <c r="DA302" s="5247"/>
      <c r="DB302" s="5247"/>
      <c r="DC302" s="1095">
        <f>IF(DA302=0,0,(DB302-DA302)/DA302*100)</f>
        <v>0</v>
      </c>
      <c r="DD302" s="5247"/>
      <c r="DE302" s="5247"/>
      <c r="DF302" s="1095">
        <f>IF(DD302=0,0,(DE302-DD302)/DD302*100)</f>
        <v>0</v>
      </c>
      <c r="DG302" s="5247"/>
      <c r="DH302" s="5247"/>
      <c r="DI302" s="1095">
        <f>IF(DG302=0,0,(DH302-DG302)/DG302*100)</f>
        <v>0</v>
      </c>
      <c r="DJ302" s="5247"/>
      <c r="DK302" s="5247"/>
      <c r="DL302" s="1095">
        <f>IF(DJ302=0,0,(DK302-DJ302)/DJ302*100)</f>
        <v>0</v>
      </c>
      <c r="DM302" s="5247"/>
      <c r="DN302" s="5247"/>
      <c r="DO302" s="1095">
        <f>IF(DM302=0,0,(DN302-DM302)/DM302*100)</f>
        <v>0</v>
      </c>
      <c r="DP302" s="5247"/>
      <c r="DQ302" s="5247"/>
      <c r="DR302" s="1095">
        <f>IF(DP302=0,0,(DQ302-DP302)/DP302*100)</f>
        <v>0</v>
      </c>
      <c r="DS302" s="5247"/>
      <c r="DT302" s="5247"/>
      <c r="DU302" s="1095">
        <f>IF(DS302=0,0,(DT302-DS302)/DS302*100)</f>
        <v>0</v>
      </c>
      <c r="DV302" s="5247"/>
      <c r="DW302" s="5247"/>
      <c r="DX302" s="1095">
        <f>IF(DV302=0,0,(DW302-DV302)/DV302*100)</f>
        <v>0</v>
      </c>
      <c r="DY302" s="5247"/>
      <c r="DZ302" s="5247"/>
      <c r="EA302" s="1095">
        <f>IF(DY302=0,0,(DZ302-DY302)/DY302*100)</f>
        <v>0</v>
      </c>
      <c r="EB302" s="5247"/>
      <c r="EC302" s="5247"/>
      <c r="ED302" s="1095">
        <f>IF(EB302=0,0,(EC302-EB302)/EB302*100)</f>
        <v>0</v>
      </c>
      <c r="EE302" s="5247"/>
      <c r="EF302" s="5247"/>
      <c r="EG302" s="1095">
        <f>IF(EE302=0,0,(EF302-EE302)/EE302*100)</f>
        <v>0</v>
      </c>
      <c r="EH302" s="5247"/>
      <c r="EI302" s="5247"/>
      <c r="EJ302" s="1095">
        <f>IF(EH302=0,0,(EI302-EH302)/EH302*100)</f>
        <v>0</v>
      </c>
      <c r="EK302" s="5247"/>
      <c r="EL302" s="5247"/>
      <c r="EM302" s="1095">
        <f>IF(EK302=0,0,(EL302-EK302)/EK302*100)</f>
        <v>0</v>
      </c>
      <c r="EN302" s="5247"/>
      <c r="EO302" s="5247"/>
      <c r="EP302" s="1095">
        <f>IF(EN302=0,0,(EO302-EN302)/EN302*100)</f>
        <v>0</v>
      </c>
      <c r="EQ302" s="5247"/>
      <c r="ER302" s="5247"/>
      <c r="ES302" s="1095">
        <f>IF(EQ302=0,0,(ER302-EQ302)/EQ302*100)</f>
        <v>0</v>
      </c>
      <c r="ET302" s="5247"/>
      <c r="EU302" s="5247"/>
      <c r="EV302" s="1095">
        <f>IF(ET302=0,0,(EU302-ET302)/ET302*100)</f>
        <v>0</v>
      </c>
      <c r="EW302" s="5247"/>
      <c r="EX302" s="5247"/>
      <c r="EY302" s="1095">
        <f>IF(EW302=0,0,(EX302-EW302)/EW302*100)</f>
        <v>0</v>
      </c>
      <c r="EZ302" s="5247"/>
      <c r="FA302" s="5247"/>
      <c r="FB302" s="1095">
        <f>IF(EZ302=0,0,(FA302-EZ302)/EZ302*100)</f>
        <v>0</v>
      </c>
      <c r="FC302" s="5247"/>
      <c r="FD302" s="5247"/>
      <c r="FE302" s="1095">
        <f>IF(FC302=0,0,(FD302-FC302)/FC302*100)</f>
        <v>0</v>
      </c>
      <c r="FF302" s="5247"/>
      <c r="FG302" s="5247"/>
      <c r="FH302" s="1095">
        <f>IF(FF302=0,0,(FG302-FF302)/FF302*100)</f>
        <v>0</v>
      </c>
      <c r="FI302" s="5247"/>
      <c r="FJ302" s="5247"/>
      <c r="FK302" s="1095">
        <f>IF(FI302=0,0,(FJ302-FI302)/FI302*100)</f>
        <v>0</v>
      </c>
      <c r="FL302" s="5247"/>
      <c r="FM302" s="5247"/>
      <c r="FN302" s="1095">
        <f>IF(FL302=0,0,(FM302-FL302)/FL302*100)</f>
        <v>0</v>
      </c>
      <c r="FO302" s="5247"/>
      <c r="FP302" s="5247"/>
      <c r="FQ302" s="1095">
        <f>IF(FO302=0,0,(FP302-FO302)/FO302*100)</f>
        <v>0</v>
      </c>
      <c r="FR302" s="5247"/>
      <c r="FS302" s="5247"/>
      <c r="FT302" s="1095">
        <f>IF(FR302=0,0,(FS302-FR302)/FR302*100)</f>
        <v>0</v>
      </c>
      <c r="FU302" s="5247"/>
      <c r="FV302" s="5247"/>
      <c r="FW302" s="1095">
        <f>IF(FU302=0,0,(FV302-FU302)/FU302*100)</f>
        <v>0</v>
      </c>
      <c r="FX302" s="1304"/>
      <c r="FY302" s="1304"/>
      <c r="FZ302" s="1055" t="s">
        <v>2375</v>
      </c>
      <c r="GA302" s="1306"/>
      <c r="GB302" s="1306"/>
      <c r="GC302" s="1305"/>
      <c r="GD302" s="1305"/>
    </row>
    <row s="1834" customFormat="1" customHeight="1" ht="24" hidden="1">
      <c r="A303" s="493"/>
      <c r="B303" s="925" cm="1" t="str">
        <f t="array" ref="B303:B303">B302</f>
        <v>false</v>
      </c>
      <c r="C303" s="493"/>
      <c r="D303" s="493"/>
      <c r="E303" s="840">
        <v>24.75</v>
      </c>
      <c r="F303" s="50" cm="1" t="str">
        <f t="array" ref="F303:F303">OFFSET(E303,-1,1)</f>
        <v>4</v>
      </c>
      <c r="G303" s="493"/>
      <c r="H303" s="493" t="s">
        <v>2376</v>
      </c>
      <c r="I303" s="493" t="s">
        <v>2335</v>
      </c>
      <c r="J303" s="493"/>
      <c r="K303" s="493"/>
      <c r="L303" s="493"/>
      <c r="M303" s="493"/>
      <c r="N303" s="493"/>
      <c r="O303" s="493"/>
      <c r="P303" s="493"/>
      <c r="Q303" s="493"/>
      <c r="R303" s="493"/>
      <c r="S303" s="493"/>
      <c r="T303" s="465" cm="1" t="str">
        <f t="array" ref="T303:T303">T302</f>
        <v>true</v>
      </c>
      <c r="U303" s="493"/>
      <c r="V303" s="493"/>
      <c r="W303" s="493"/>
      <c r="X303" s="1596"/>
      <c r="Y303" s="493"/>
      <c r="Z303" s="1545"/>
      <c r="AA303" s="493"/>
      <c r="AB303" s="904" t="str">
        <f>"ставка платы за содержание системы "&amp;IF(Q281="Водоснабжение","холодного водоснабжения","водоотведения")</f>
        <v>ставка платы за содержание системы водоотведения</v>
      </c>
      <c r="AC303" s="864" t="s">
        <v>2377</v>
      </c>
      <c r="AD303" s="2846"/>
      <c r="AE303" s="2846"/>
      <c r="AF303" s="1093">
        <f>IF(AD303=0,0,(AE303-AD303)/AD303*100)</f>
        <v>0</v>
      </c>
      <c r="AG303" s="2846"/>
      <c r="AH303" s="2846"/>
      <c r="AI303" s="1093">
        <f>IF(AG303=0,0,(AH303-AG303)/AG303*100)</f>
        <v>0</v>
      </c>
      <c r="AJ303" s="2846"/>
      <c r="AK303" s="2846"/>
      <c r="AL303" s="1093">
        <f>IF(AJ303=0,0,(AK303-AJ303)/AJ303*100)</f>
        <v>0</v>
      </c>
      <c r="AM303" s="2846"/>
      <c r="AN303" s="2846"/>
      <c r="AO303" s="1093">
        <f>IF(AM303=0,0,(AN303-AM303)/AM303*100)</f>
        <v>0</v>
      </c>
      <c r="AP303" s="2846"/>
      <c r="AQ303" s="2846"/>
      <c r="AR303" s="1093">
        <f>IF(AP303=0,0,(AQ303-AP303)/AP303*100)</f>
        <v>0</v>
      </c>
      <c r="AS303" s="2846"/>
      <c r="AT303" s="2846"/>
      <c r="AU303" s="1093">
        <f>IF(AS303=0,0,(AT303-AS303)/AS303*100)</f>
        <v>0</v>
      </c>
      <c r="AV303" s="2846"/>
      <c r="AW303" s="2846"/>
      <c r="AX303" s="1093">
        <f>IF(AV303=0,0,(AW303-AV303)/AV303*100)</f>
        <v>0</v>
      </c>
      <c r="AY303" s="2846"/>
      <c r="AZ303" s="2846"/>
      <c r="BA303" s="1093">
        <f>IF(AY303=0,0,(AZ303-AY303)/AY303*100)</f>
        <v>0</v>
      </c>
      <c r="BB303" s="2846"/>
      <c r="BC303" s="2846"/>
      <c r="BD303" s="1093">
        <f>IF(BB303=0,0,(BC303-BB303)/BB303*100)</f>
        <v>0</v>
      </c>
      <c r="BE303" s="2846"/>
      <c r="BF303" s="2846"/>
      <c r="BG303" s="1093">
        <f>IF(BE303=0,0,(BF303-BE303)/BE303*100)</f>
        <v>0</v>
      </c>
      <c r="BH303" s="2846"/>
      <c r="BI303" s="2846"/>
      <c r="BJ303" s="1093">
        <f>IF(BH303=0,0,(BI303-BH303)/BH303*100)</f>
        <v>0</v>
      </c>
      <c r="BK303" s="2846"/>
      <c r="BL303" s="2846"/>
      <c r="BM303" s="1093">
        <f>IF(BK303=0,0,(BL303-BK303)/BK303*100)</f>
        <v>0</v>
      </c>
      <c r="BN303" s="2846"/>
      <c r="BO303" s="2846"/>
      <c r="BP303" s="1093">
        <f>IF(BN303=0,0,(BO303-BN303)/BN303*100)</f>
        <v>0</v>
      </c>
      <c r="BQ303" s="2846"/>
      <c r="BR303" s="2846"/>
      <c r="BS303" s="1093">
        <f>IF(BQ303=0,0,(BR303-BQ303)/BQ303*100)</f>
        <v>0</v>
      </c>
      <c r="BT303" s="2846"/>
      <c r="BU303" s="2846"/>
      <c r="BV303" s="1093">
        <f>IF(BT303=0,0,(BU303-BT303)/BT303*100)</f>
        <v>0</v>
      </c>
      <c r="BW303" s="2846"/>
      <c r="BX303" s="2846"/>
      <c r="BY303" s="1093">
        <f>IF(BW303=0,0,(BX303-BW303)/BW303*100)</f>
        <v>0</v>
      </c>
      <c r="BZ303" s="2846"/>
      <c r="CA303" s="2846"/>
      <c r="CB303" s="1093">
        <f>IF(BZ303=0,0,(CA303-BZ303)/BZ303*100)</f>
        <v>0</v>
      </c>
      <c r="CC303" s="2846"/>
      <c r="CD303" s="2846"/>
      <c r="CE303" s="1093">
        <f>IF(CC303=0,0,(CD303-CC303)/CC303*100)</f>
        <v>0</v>
      </c>
      <c r="CF303" s="2846"/>
      <c r="CG303" s="2846"/>
      <c r="CH303" s="1093">
        <f>IF(CF303=0,0,(CG303-CF303)/CF303*100)</f>
        <v>0</v>
      </c>
      <c r="CI303" s="2846"/>
      <c r="CJ303" s="2846"/>
      <c r="CK303" s="1093">
        <f>IF(CI303=0,0,(CJ303-CI303)/CI303*100)</f>
        <v>0</v>
      </c>
      <c r="CL303" s="2846"/>
      <c r="CM303" s="2846"/>
      <c r="CN303" s="1093">
        <f>IF(CL303=0,0,(CM303-CL303)/CL303*100)</f>
        <v>0</v>
      </c>
      <c r="CO303" s="2846"/>
      <c r="CP303" s="2846"/>
      <c r="CQ303" s="1093">
        <f>IF(CO303=0,0,(CP303-CO303)/CO303*100)</f>
        <v>0</v>
      </c>
      <c r="CR303" s="2846"/>
      <c r="CS303" s="2846"/>
      <c r="CT303" s="1093">
        <f>IF(CR303=0,0,(CS303-CR303)/CR303*100)</f>
        <v>0</v>
      </c>
      <c r="CU303" s="2846"/>
      <c r="CV303" s="2846"/>
      <c r="CW303" s="1093">
        <f>IF(CU303=0,0,(CV303-CU303)/CU303*100)</f>
        <v>0</v>
      </c>
      <c r="CX303" s="2846"/>
      <c r="CY303" s="2846"/>
      <c r="CZ303" s="1093">
        <f>IF(CX303=0,0,(CY303-CX303)/CX303*100)</f>
        <v>0</v>
      </c>
      <c r="DA303" s="2846"/>
      <c r="DB303" s="2846"/>
      <c r="DC303" s="1093">
        <f>IF(DA303=0,0,(DB303-DA303)/DA303*100)</f>
        <v>0</v>
      </c>
      <c r="DD303" s="2846"/>
      <c r="DE303" s="2846"/>
      <c r="DF303" s="1093">
        <f>IF(DD303=0,0,(DE303-DD303)/DD303*100)</f>
        <v>0</v>
      </c>
      <c r="DG303" s="2846"/>
      <c r="DH303" s="2846"/>
      <c r="DI303" s="1093">
        <f>IF(DG303=0,0,(DH303-DG303)/DG303*100)</f>
        <v>0</v>
      </c>
      <c r="DJ303" s="2846"/>
      <c r="DK303" s="2846"/>
      <c r="DL303" s="1093">
        <f>IF(DJ303=0,0,(DK303-DJ303)/DJ303*100)</f>
        <v>0</v>
      </c>
      <c r="DM303" s="2846"/>
      <c r="DN303" s="2846"/>
      <c r="DO303" s="1093">
        <f>IF(DM303=0,0,(DN303-DM303)/DM303*100)</f>
        <v>0</v>
      </c>
      <c r="DP303" s="2846"/>
      <c r="DQ303" s="2846"/>
      <c r="DR303" s="1093">
        <f>IF(DP303=0,0,(DQ303-DP303)/DP303*100)</f>
        <v>0</v>
      </c>
      <c r="DS303" s="2846"/>
      <c r="DT303" s="2846"/>
      <c r="DU303" s="1093">
        <f>IF(DS303=0,0,(DT303-DS303)/DS303*100)</f>
        <v>0</v>
      </c>
      <c r="DV303" s="2846"/>
      <c r="DW303" s="2846"/>
      <c r="DX303" s="1093">
        <f>IF(DV303=0,0,(DW303-DV303)/DV303*100)</f>
        <v>0</v>
      </c>
      <c r="DY303" s="2846"/>
      <c r="DZ303" s="2846"/>
      <c r="EA303" s="1093">
        <f>IF(DY303=0,0,(DZ303-DY303)/DY303*100)</f>
        <v>0</v>
      </c>
      <c r="EB303" s="2846"/>
      <c r="EC303" s="2846"/>
      <c r="ED303" s="1093">
        <f>IF(EB303=0,0,(EC303-EB303)/EB303*100)</f>
        <v>0</v>
      </c>
      <c r="EE303" s="2846"/>
      <c r="EF303" s="2846"/>
      <c r="EG303" s="1093">
        <f>IF(EE303=0,0,(EF303-EE303)/EE303*100)</f>
        <v>0</v>
      </c>
      <c r="EH303" s="2846"/>
      <c r="EI303" s="2846"/>
      <c r="EJ303" s="1093">
        <f>IF(EH303=0,0,(EI303-EH303)/EH303*100)</f>
        <v>0</v>
      </c>
      <c r="EK303" s="2846"/>
      <c r="EL303" s="2846"/>
      <c r="EM303" s="1093">
        <f>IF(EK303=0,0,(EL303-EK303)/EK303*100)</f>
        <v>0</v>
      </c>
      <c r="EN303" s="2846"/>
      <c r="EO303" s="2846"/>
      <c r="EP303" s="1093">
        <f>IF(EN303=0,0,(EO303-EN303)/EN303*100)</f>
        <v>0</v>
      </c>
      <c r="EQ303" s="2846"/>
      <c r="ER303" s="2846"/>
      <c r="ES303" s="1093">
        <f>IF(EQ303=0,0,(ER303-EQ303)/EQ303*100)</f>
        <v>0</v>
      </c>
      <c r="ET303" s="2846"/>
      <c r="EU303" s="2846"/>
      <c r="EV303" s="1093">
        <f>IF(ET303=0,0,(EU303-ET303)/ET303*100)</f>
        <v>0</v>
      </c>
      <c r="EW303" s="2846"/>
      <c r="EX303" s="2846"/>
      <c r="EY303" s="1093">
        <f>IF(EW303=0,0,(EX303-EW303)/EW303*100)</f>
        <v>0</v>
      </c>
      <c r="EZ303" s="2846"/>
      <c r="FA303" s="2846"/>
      <c r="FB303" s="1093">
        <f>IF(EZ303=0,0,(FA303-EZ303)/EZ303*100)</f>
        <v>0</v>
      </c>
      <c r="FC303" s="2846"/>
      <c r="FD303" s="2846"/>
      <c r="FE303" s="1093">
        <f>IF(FC303=0,0,(FD303-FC303)/FC303*100)</f>
        <v>0</v>
      </c>
      <c r="FF303" s="2846"/>
      <c r="FG303" s="2846"/>
      <c r="FH303" s="1093">
        <f>IF(FF303=0,0,(FG303-FF303)/FF303*100)</f>
        <v>0</v>
      </c>
      <c r="FI303" s="2846"/>
      <c r="FJ303" s="2846"/>
      <c r="FK303" s="1093">
        <f>IF(FI303=0,0,(FJ303-FI303)/FI303*100)</f>
        <v>0</v>
      </c>
      <c r="FL303" s="2846"/>
      <c r="FM303" s="2846"/>
      <c r="FN303" s="1093">
        <f>IF(FL303=0,0,(FM303-FL303)/FL303*100)</f>
        <v>0</v>
      </c>
      <c r="FO303" s="2846"/>
      <c r="FP303" s="2846"/>
      <c r="FQ303" s="1093">
        <f>IF(FO303=0,0,(FP303-FO303)/FO303*100)</f>
        <v>0</v>
      </c>
      <c r="FR303" s="2846"/>
      <c r="FS303" s="2846"/>
      <c r="FT303" s="1093">
        <f>IF(FR303=0,0,(FS303-FR303)/FR303*100)</f>
        <v>0</v>
      </c>
      <c r="FU303" s="2846"/>
      <c r="FV303" s="2846"/>
      <c r="FW303" s="1093">
        <f>IF(FU303=0,0,(FV303-FU303)/FU303*100)</f>
        <v>0</v>
      </c>
      <c r="FX303" s="1304"/>
      <c r="FY303" s="1304"/>
      <c r="FZ303" s="1055" t="s">
        <v>2378</v>
      </c>
      <c r="GA303" s="1306"/>
      <c r="GB303" s="1306"/>
      <c r="GC303" s="1305"/>
      <c r="GD303" s="1305"/>
    </row>
    <row s="1834" customFormat="1" customHeight="1" ht="14.25" hidden="1">
      <c r="A304" s="493"/>
      <c r="B304" s="925" cm="1" t="str">
        <f t="array" ref="B304:B304">B303</f>
        <v>false</v>
      </c>
      <c r="C304" s="493"/>
      <c r="D304" s="493"/>
      <c r="E304" s="840">
        <v>15</v>
      </c>
      <c r="F304" s="50" cm="1" t="str">
        <f t="array" ref="F304:F304">OFFSET(E304,-1,1)</f>
        <v>4</v>
      </c>
      <c r="G304" s="493"/>
      <c r="H304" s="493" t="s">
        <v>2379</v>
      </c>
      <c r="I304" s="493" t="s">
        <v>2335</v>
      </c>
      <c r="J304" s="493"/>
      <c r="K304" s="493"/>
      <c r="L304" s="493"/>
      <c r="M304" s="493"/>
      <c r="N304" s="493"/>
      <c r="O304" s="493"/>
      <c r="P304" s="493"/>
      <c r="Q304" s="493"/>
      <c r="R304" s="493"/>
      <c r="S304" s="493"/>
      <c r="T304" s="465" cm="1" t="str">
        <f t="array" ref="T304:T304">T303</f>
        <v>true</v>
      </c>
      <c r="U304" s="493"/>
      <c r="V304" s="493"/>
      <c r="W304" s="493"/>
      <c r="X304" s="1596"/>
      <c r="Y304" s="493"/>
      <c r="Z304" s="1545"/>
      <c r="AA304" s="493"/>
      <c r="AB304" s="904" t="s">
        <v>2380</v>
      </c>
      <c r="AC304" s="864" t="s">
        <v>2381</v>
      </c>
      <c r="AD304" s="2846"/>
      <c r="AE304" s="2846"/>
      <c r="AF304" s="1093">
        <f>IF(AD304=0,0,(AE304-AD304)/AD304*100)</f>
        <v>0</v>
      </c>
      <c r="AG304" s="2846"/>
      <c r="AH304" s="2846"/>
      <c r="AI304" s="1093">
        <f>IF(AG304=0,0,(AH304-AG304)/AG304*100)</f>
        <v>0</v>
      </c>
      <c r="AJ304" s="2846"/>
      <c r="AK304" s="2846"/>
      <c r="AL304" s="1093">
        <f>IF(AJ304=0,0,(AK304-AJ304)/AJ304*100)</f>
        <v>0</v>
      </c>
      <c r="AM304" s="2846"/>
      <c r="AN304" s="2846"/>
      <c r="AO304" s="1093">
        <f>IF(AM304=0,0,(AN304-AM304)/AM304*100)</f>
        <v>0</v>
      </c>
      <c r="AP304" s="2846"/>
      <c r="AQ304" s="2846"/>
      <c r="AR304" s="1093">
        <f>IF(AP304=0,0,(AQ304-AP304)/AP304*100)</f>
        <v>0</v>
      </c>
      <c r="AS304" s="2846"/>
      <c r="AT304" s="2846"/>
      <c r="AU304" s="1093">
        <f>IF(AS304=0,0,(AT304-AS304)/AS304*100)</f>
        <v>0</v>
      </c>
      <c r="AV304" s="2846"/>
      <c r="AW304" s="2846"/>
      <c r="AX304" s="1093">
        <f>IF(AV304=0,0,(AW304-AV304)/AV304*100)</f>
        <v>0</v>
      </c>
      <c r="AY304" s="2846"/>
      <c r="AZ304" s="2846"/>
      <c r="BA304" s="1093">
        <f>IF(AY304=0,0,(AZ304-AY304)/AY304*100)</f>
        <v>0</v>
      </c>
      <c r="BB304" s="2846"/>
      <c r="BC304" s="2846"/>
      <c r="BD304" s="1093">
        <f>IF(BB304=0,0,(BC304-BB304)/BB304*100)</f>
        <v>0</v>
      </c>
      <c r="BE304" s="2846"/>
      <c r="BF304" s="2846"/>
      <c r="BG304" s="1093">
        <f>IF(BE304=0,0,(BF304-BE304)/BE304*100)</f>
        <v>0</v>
      </c>
      <c r="BH304" s="2846"/>
      <c r="BI304" s="2846"/>
      <c r="BJ304" s="1093">
        <f>IF(BH304=0,0,(BI304-BH304)/BH304*100)</f>
        <v>0</v>
      </c>
      <c r="BK304" s="2846"/>
      <c r="BL304" s="2846"/>
      <c r="BM304" s="1093">
        <f>IF(BK304=0,0,(BL304-BK304)/BK304*100)</f>
        <v>0</v>
      </c>
      <c r="BN304" s="2846"/>
      <c r="BO304" s="2846"/>
      <c r="BP304" s="1093">
        <f>IF(BN304=0,0,(BO304-BN304)/BN304*100)</f>
        <v>0</v>
      </c>
      <c r="BQ304" s="2846"/>
      <c r="BR304" s="2846"/>
      <c r="BS304" s="1093">
        <f>IF(BQ304=0,0,(BR304-BQ304)/BQ304*100)</f>
        <v>0</v>
      </c>
      <c r="BT304" s="2846"/>
      <c r="BU304" s="2846"/>
      <c r="BV304" s="1093">
        <f>IF(BT304=0,0,(BU304-BT304)/BT304*100)</f>
        <v>0</v>
      </c>
      <c r="BW304" s="2846"/>
      <c r="BX304" s="2846"/>
      <c r="BY304" s="1093">
        <f>IF(BW304=0,0,(BX304-BW304)/BW304*100)</f>
        <v>0</v>
      </c>
      <c r="BZ304" s="2846"/>
      <c r="CA304" s="2846"/>
      <c r="CB304" s="1093">
        <f>IF(BZ304=0,0,(CA304-BZ304)/BZ304*100)</f>
        <v>0</v>
      </c>
      <c r="CC304" s="2846"/>
      <c r="CD304" s="2846"/>
      <c r="CE304" s="1093">
        <f>IF(CC304=0,0,(CD304-CC304)/CC304*100)</f>
        <v>0</v>
      </c>
      <c r="CF304" s="2846"/>
      <c r="CG304" s="2846"/>
      <c r="CH304" s="1093">
        <f>IF(CF304=0,0,(CG304-CF304)/CF304*100)</f>
        <v>0</v>
      </c>
      <c r="CI304" s="2846"/>
      <c r="CJ304" s="2846"/>
      <c r="CK304" s="1093">
        <f>IF(CI304=0,0,(CJ304-CI304)/CI304*100)</f>
        <v>0</v>
      </c>
      <c r="CL304" s="2846"/>
      <c r="CM304" s="2846"/>
      <c r="CN304" s="1093">
        <f>IF(CL304=0,0,(CM304-CL304)/CL304*100)</f>
        <v>0</v>
      </c>
      <c r="CO304" s="2846"/>
      <c r="CP304" s="2846"/>
      <c r="CQ304" s="1093">
        <f>IF(CO304=0,0,(CP304-CO304)/CO304*100)</f>
        <v>0</v>
      </c>
      <c r="CR304" s="2846"/>
      <c r="CS304" s="2846"/>
      <c r="CT304" s="1093">
        <f>IF(CR304=0,0,(CS304-CR304)/CR304*100)</f>
        <v>0</v>
      </c>
      <c r="CU304" s="2846"/>
      <c r="CV304" s="2846"/>
      <c r="CW304" s="1093">
        <f>IF(CU304=0,0,(CV304-CU304)/CU304*100)</f>
        <v>0</v>
      </c>
      <c r="CX304" s="2846"/>
      <c r="CY304" s="2846"/>
      <c r="CZ304" s="1093">
        <f>IF(CX304=0,0,(CY304-CX304)/CX304*100)</f>
        <v>0</v>
      </c>
      <c r="DA304" s="2846"/>
      <c r="DB304" s="2846"/>
      <c r="DC304" s="1093">
        <f>IF(DA304=0,0,(DB304-DA304)/DA304*100)</f>
        <v>0</v>
      </c>
      <c r="DD304" s="2846"/>
      <c r="DE304" s="2846"/>
      <c r="DF304" s="1093">
        <f>IF(DD304=0,0,(DE304-DD304)/DD304*100)</f>
        <v>0</v>
      </c>
      <c r="DG304" s="2846"/>
      <c r="DH304" s="2846"/>
      <c r="DI304" s="1093">
        <f>IF(DG304=0,0,(DH304-DG304)/DG304*100)</f>
        <v>0</v>
      </c>
      <c r="DJ304" s="2846"/>
      <c r="DK304" s="2846"/>
      <c r="DL304" s="1093">
        <f>IF(DJ304=0,0,(DK304-DJ304)/DJ304*100)</f>
        <v>0</v>
      </c>
      <c r="DM304" s="2846"/>
      <c r="DN304" s="2846"/>
      <c r="DO304" s="1093">
        <f>IF(DM304=0,0,(DN304-DM304)/DM304*100)</f>
        <v>0</v>
      </c>
      <c r="DP304" s="2846"/>
      <c r="DQ304" s="2846"/>
      <c r="DR304" s="1093">
        <f>IF(DP304=0,0,(DQ304-DP304)/DP304*100)</f>
        <v>0</v>
      </c>
      <c r="DS304" s="2846"/>
      <c r="DT304" s="2846"/>
      <c r="DU304" s="1093">
        <f>IF(DS304=0,0,(DT304-DS304)/DS304*100)</f>
        <v>0</v>
      </c>
      <c r="DV304" s="2846"/>
      <c r="DW304" s="2846"/>
      <c r="DX304" s="1093">
        <f>IF(DV304=0,0,(DW304-DV304)/DV304*100)</f>
        <v>0</v>
      </c>
      <c r="DY304" s="2846"/>
      <c r="DZ304" s="2846"/>
      <c r="EA304" s="1093">
        <f>IF(DY304=0,0,(DZ304-DY304)/DY304*100)</f>
        <v>0</v>
      </c>
      <c r="EB304" s="2846"/>
      <c r="EC304" s="2846"/>
      <c r="ED304" s="1093">
        <f>IF(EB304=0,0,(EC304-EB304)/EB304*100)</f>
        <v>0</v>
      </c>
      <c r="EE304" s="2846"/>
      <c r="EF304" s="2846"/>
      <c r="EG304" s="1093">
        <f>IF(EE304=0,0,(EF304-EE304)/EE304*100)</f>
        <v>0</v>
      </c>
      <c r="EH304" s="2846"/>
      <c r="EI304" s="2846"/>
      <c r="EJ304" s="1093">
        <f>IF(EH304=0,0,(EI304-EH304)/EH304*100)</f>
        <v>0</v>
      </c>
      <c r="EK304" s="2846"/>
      <c r="EL304" s="2846"/>
      <c r="EM304" s="1093">
        <f>IF(EK304=0,0,(EL304-EK304)/EK304*100)</f>
        <v>0</v>
      </c>
      <c r="EN304" s="2846"/>
      <c r="EO304" s="2846"/>
      <c r="EP304" s="1093">
        <f>IF(EN304=0,0,(EO304-EN304)/EN304*100)</f>
        <v>0</v>
      </c>
      <c r="EQ304" s="2846"/>
      <c r="ER304" s="2846"/>
      <c r="ES304" s="1093">
        <f>IF(EQ304=0,0,(ER304-EQ304)/EQ304*100)</f>
        <v>0</v>
      </c>
      <c r="ET304" s="2846"/>
      <c r="EU304" s="2846"/>
      <c r="EV304" s="1093">
        <f>IF(ET304=0,0,(EU304-ET304)/ET304*100)</f>
        <v>0</v>
      </c>
      <c r="EW304" s="2846"/>
      <c r="EX304" s="2846"/>
      <c r="EY304" s="1093">
        <f>IF(EW304=0,0,(EX304-EW304)/EW304*100)</f>
        <v>0</v>
      </c>
      <c r="EZ304" s="2846"/>
      <c r="FA304" s="2846"/>
      <c r="FB304" s="1093">
        <f>IF(EZ304=0,0,(FA304-EZ304)/EZ304*100)</f>
        <v>0</v>
      </c>
      <c r="FC304" s="2846"/>
      <c r="FD304" s="2846"/>
      <c r="FE304" s="1093">
        <f>IF(FC304=0,0,(FD304-FC304)/FC304*100)</f>
        <v>0</v>
      </c>
      <c r="FF304" s="2846"/>
      <c r="FG304" s="2846"/>
      <c r="FH304" s="1093">
        <f>IF(FF304=0,0,(FG304-FF304)/FF304*100)</f>
        <v>0</v>
      </c>
      <c r="FI304" s="2846"/>
      <c r="FJ304" s="2846"/>
      <c r="FK304" s="1093">
        <f>IF(FI304=0,0,(FJ304-FI304)/FI304*100)</f>
        <v>0</v>
      </c>
      <c r="FL304" s="2846"/>
      <c r="FM304" s="2846"/>
      <c r="FN304" s="1093">
        <f>IF(FL304=0,0,(FM304-FL304)/FL304*100)</f>
        <v>0</v>
      </c>
      <c r="FO304" s="2846"/>
      <c r="FP304" s="2846"/>
      <c r="FQ304" s="1093">
        <f>IF(FO304=0,0,(FP304-FO304)/FO304*100)</f>
        <v>0</v>
      </c>
      <c r="FR304" s="2846"/>
      <c r="FS304" s="2846"/>
      <c r="FT304" s="1093">
        <f>IF(FR304=0,0,(FS304-FR304)/FR304*100)</f>
        <v>0</v>
      </c>
      <c r="FU304" s="2846"/>
      <c r="FV304" s="2846"/>
      <c r="FW304" s="1093">
        <f>IF(FU304=0,0,(FV304-FU304)/FU304*100)</f>
        <v>0</v>
      </c>
      <c r="FX304" s="1304"/>
      <c r="FY304" s="1304"/>
      <c r="FZ304" s="1055" t="s">
        <v>2382</v>
      </c>
      <c r="GA304" s="1306"/>
      <c r="GB304" s="1306"/>
      <c r="GC304" s="1305"/>
      <c r="GD304" s="1305"/>
    </row>
    <row s="1834" customFormat="1" customHeight="1" ht="23.25" hidden="1">
      <c r="A305" s="493"/>
      <c r="B305" s="925" cm="1" t="str">
        <f t="array" ref="B305:B305">B304</f>
        <v>false</v>
      </c>
      <c r="C305" s="493"/>
      <c r="D305" s="493"/>
      <c r="E305" s="840">
        <v>24.5</v>
      </c>
      <c r="F305" s="50" cm="1" t="str">
        <f t="array" ref="F305:F305">OFFSET(E305,-1,1)</f>
        <v>4</v>
      </c>
      <c r="G305" s="493"/>
      <c r="H305" s="493"/>
      <c r="I305" s="493"/>
      <c r="J305" s="493"/>
      <c r="K305" s="493"/>
      <c r="L305" s="493"/>
      <c r="M305" s="493"/>
      <c r="N305" s="493"/>
      <c r="O305" s="493"/>
      <c r="P305" s="493"/>
      <c r="Q305" s="493"/>
      <c r="R305" s="493"/>
      <c r="S305" s="493"/>
      <c r="T305" s="465" cm="1" t="str">
        <f t="array" ref="T305:T305">T304</f>
        <v>true</v>
      </c>
      <c r="U305" s="493"/>
      <c r="V305" s="493"/>
      <c r="W305" s="493"/>
      <c r="X305" s="1596"/>
      <c r="Y305" s="493"/>
      <c r="Z305" s="1545"/>
      <c r="AA305" s="493"/>
      <c r="AB305" s="293" t="s">
        <v>2383</v>
      </c>
      <c r="AC305" s="903"/>
      <c r="AD305" s="1102"/>
      <c r="AE305" s="1102"/>
      <c r="AF305" s="1102"/>
      <c r="AG305" s="1102"/>
      <c r="AH305" s="1102"/>
      <c r="AI305" s="1102"/>
      <c r="AJ305" s="1102"/>
      <c r="AK305" s="1102"/>
      <c r="AL305" s="1102"/>
      <c r="AM305" s="1102"/>
      <c r="AN305" s="1102"/>
      <c r="AO305" s="1102"/>
      <c r="AP305" s="1102"/>
      <c r="AQ305" s="1102"/>
      <c r="AR305" s="1102"/>
      <c r="AS305" s="1102"/>
      <c r="AT305" s="1102"/>
      <c r="AU305" s="1102"/>
      <c r="AV305" s="1102"/>
      <c r="AW305" s="1102"/>
      <c r="AX305" s="1102"/>
      <c r="AY305" s="1102"/>
      <c r="AZ305" s="1102"/>
      <c r="BA305" s="1102"/>
      <c r="BB305" s="1102"/>
      <c r="BC305" s="1102"/>
      <c r="BD305" s="1102"/>
      <c r="BE305" s="1102"/>
      <c r="BF305" s="1102"/>
      <c r="BG305" s="1102"/>
      <c r="BH305" s="1102"/>
      <c r="BI305" s="1102"/>
      <c r="BJ305" s="1102"/>
      <c r="BK305" s="1102"/>
      <c r="BL305" s="1102"/>
      <c r="BM305" s="1102"/>
      <c r="BN305" s="1102"/>
      <c r="BO305" s="1102"/>
      <c r="BP305" s="1102"/>
      <c r="BQ305" s="1102"/>
      <c r="BR305" s="1102"/>
      <c r="BS305" s="1102"/>
      <c r="BT305" s="1102"/>
      <c r="BU305" s="1102"/>
      <c r="BV305" s="1102"/>
      <c r="BW305" s="1102"/>
      <c r="BX305" s="1102"/>
      <c r="BY305" s="1102"/>
      <c r="BZ305" s="1102"/>
      <c r="CA305" s="1102"/>
      <c r="CB305" s="1102"/>
      <c r="CC305" s="1102"/>
      <c r="CD305" s="1102"/>
      <c r="CE305" s="1102"/>
      <c r="CF305" s="1102"/>
      <c r="CG305" s="1102"/>
      <c r="CH305" s="1102"/>
      <c r="CI305" s="1102"/>
      <c r="CJ305" s="1102"/>
      <c r="CK305" s="1102"/>
      <c r="CL305" s="1102"/>
      <c r="CM305" s="1102"/>
      <c r="CN305" s="1102"/>
      <c r="CO305" s="1102"/>
      <c r="CP305" s="1102"/>
      <c r="CQ305" s="1102"/>
      <c r="CR305" s="1102"/>
      <c r="CS305" s="1102"/>
      <c r="CT305" s="1102"/>
      <c r="CU305" s="1102"/>
      <c r="CV305" s="1102"/>
      <c r="CW305" s="1102"/>
      <c r="CX305" s="1102"/>
      <c r="CY305" s="1102"/>
      <c r="CZ305" s="1102"/>
      <c r="DA305" s="1102"/>
      <c r="DB305" s="1102"/>
      <c r="DC305" s="1102"/>
      <c r="DD305" s="1102"/>
      <c r="DE305" s="1102"/>
      <c r="DF305" s="1102"/>
      <c r="DG305" s="1102"/>
      <c r="DH305" s="1102"/>
      <c r="DI305" s="1102"/>
      <c r="DJ305" s="1102"/>
      <c r="DK305" s="1102"/>
      <c r="DL305" s="1102"/>
      <c r="DM305" s="1102"/>
      <c r="DN305" s="1102"/>
      <c r="DO305" s="1102"/>
      <c r="DP305" s="1102"/>
      <c r="DQ305" s="1102"/>
      <c r="DR305" s="1102"/>
      <c r="DS305" s="1102"/>
      <c r="DT305" s="1102"/>
      <c r="DU305" s="1102"/>
      <c r="DV305" s="1102"/>
      <c r="DW305" s="1102"/>
      <c r="DX305" s="1102"/>
      <c r="DY305" s="1102"/>
      <c r="DZ305" s="1102"/>
      <c r="EA305" s="1102"/>
      <c r="EB305" s="1102"/>
      <c r="EC305" s="1102"/>
      <c r="ED305" s="1102"/>
      <c r="EE305" s="1102"/>
      <c r="EF305" s="1102"/>
      <c r="EG305" s="1102"/>
      <c r="EH305" s="1102"/>
      <c r="EI305" s="1102"/>
      <c r="EJ305" s="1102"/>
      <c r="EK305" s="1102"/>
      <c r="EL305" s="1102"/>
      <c r="EM305" s="1102"/>
      <c r="EN305" s="1102"/>
      <c r="EO305" s="1102"/>
      <c r="EP305" s="1102"/>
      <c r="EQ305" s="1102"/>
      <c r="ER305" s="1102"/>
      <c r="ES305" s="1102"/>
      <c r="ET305" s="1102"/>
      <c r="EU305" s="1102"/>
      <c r="EV305" s="1102"/>
      <c r="EW305" s="1102"/>
      <c r="EX305" s="1102"/>
      <c r="EY305" s="1102"/>
      <c r="EZ305" s="1102"/>
      <c r="FA305" s="1102"/>
      <c r="FB305" s="1102"/>
      <c r="FC305" s="1102"/>
      <c r="FD305" s="1102"/>
      <c r="FE305" s="1102"/>
      <c r="FF305" s="1102"/>
      <c r="FG305" s="1102"/>
      <c r="FH305" s="1102"/>
      <c r="FI305" s="1102"/>
      <c r="FJ305" s="1102"/>
      <c r="FK305" s="1102"/>
      <c r="FL305" s="1102"/>
      <c r="FM305" s="1102"/>
      <c r="FN305" s="1102"/>
      <c r="FO305" s="1102"/>
      <c r="FP305" s="1102"/>
      <c r="FQ305" s="1102"/>
      <c r="FR305" s="1102"/>
      <c r="FS305" s="1102"/>
      <c r="FT305" s="1102"/>
      <c r="FU305" s="1102"/>
      <c r="FV305" s="1102"/>
      <c r="FW305" s="1103"/>
      <c r="FX305" s="1304"/>
      <c r="FY305" s="1304"/>
      <c r="FZ305" s="1055"/>
      <c r="GA305" s="1306"/>
      <c r="GB305" s="1306"/>
      <c r="GC305" s="1305"/>
      <c r="GD305" s="1305"/>
    </row>
    <row s="1834" customFormat="1" customHeight="1" ht="14.25" hidden="1">
      <c r="A306" s="493"/>
      <c r="B306" s="925" cm="1" t="str">
        <f t="array" ref="B306:B306">B305</f>
        <v>false</v>
      </c>
      <c r="C306" s="493"/>
      <c r="D306" s="493"/>
      <c r="E306" s="840">
        <v>15</v>
      </c>
      <c r="F306" s="50" cm="1" t="str">
        <f t="array" ref="F306:F306">OFFSET(E306,-1,1)</f>
        <v>4</v>
      </c>
      <c r="G306" s="493"/>
      <c r="H306" s="493" t="s">
        <v>2295</v>
      </c>
      <c r="I306" s="493" t="s">
        <v>2340</v>
      </c>
      <c r="J306" s="493"/>
      <c r="K306" s="493"/>
      <c r="L306" s="493"/>
      <c r="M306" s="493"/>
      <c r="N306" s="493"/>
      <c r="O306" s="493"/>
      <c r="P306" s="493"/>
      <c r="Q306" s="493"/>
      <c r="R306" s="493"/>
      <c r="S306" s="493"/>
      <c r="T306" s="465" cm="1" t="str">
        <f t="array" ref="T306:T306">T305</f>
        <v>true</v>
      </c>
      <c r="U306" s="493"/>
      <c r="V306" s="493"/>
      <c r="W306" s="493"/>
      <c r="X306" s="1596"/>
      <c r="Y306" s="493"/>
      <c r="Z306" s="1545"/>
      <c r="AA306" s="493"/>
      <c r="AB306" s="1091" t="s">
        <v>2370</v>
      </c>
      <c r="AC306" s="864" t="s">
        <v>2337</v>
      </c>
      <c r="AD306" s="2846">
        <f>IF(AD308=0,0,(AD307*AD308+AD309*AD310*IF(god=2026,3,6))/AD308)</f>
        <v>0</v>
      </c>
      <c r="AE306" s="2846">
        <f>IF(AE308=0,0,(AE307*AE308+AE309*AE310*IF(god=2026,3,6))/AE308)</f>
        <v>0</v>
      </c>
      <c r="AF306" s="1093">
        <f>IF(AD306=0,0,(AE306-AD306)/AD306*100)</f>
        <v>0</v>
      </c>
      <c r="AG306" s="2846">
        <f>IF(AG308=0,0,(AG307*AG308+AG309*AG310*IF(god=2025,3,6))/AG308)</f>
        <v>0</v>
      </c>
      <c r="AH306" s="2846">
        <f>IF(AH308=0,0,(AH307*AH308+AH309*AH310*IF(god=2025,3,6))/AH308)</f>
        <v>0</v>
      </c>
      <c r="AI306" s="1093">
        <f>IF(AG306=0,0,(AH306-AG306)/AG306*100)</f>
        <v>0</v>
      </c>
      <c r="AJ306" s="2846">
        <f>IF(AJ308=0,0,(AJ307*AJ308+AJ309*AJ310*6)/AJ308)</f>
        <v>0</v>
      </c>
      <c r="AK306" s="2846">
        <f>IF(AK308=0,0,(AK307*AK308+AK309*AK310*6)/AK308)</f>
        <v>0</v>
      </c>
      <c r="AL306" s="1093">
        <f>IF(AJ306=0,0,(AK306-AJ306)/AJ306*100)</f>
        <v>0</v>
      </c>
      <c r="AM306" s="2846">
        <f>IF(AM308=0,0,(AM307*AM308+AM309*AM310*6)/AM308)</f>
        <v>0</v>
      </c>
      <c r="AN306" s="2846">
        <f>IF(AN308=0,0,(AN307*AN308+AN309*AN310*6)/AN308)</f>
        <v>0</v>
      </c>
      <c r="AO306" s="1093">
        <f>IF(AM306=0,0,(AN306-AM306)/AM306*100)</f>
        <v>0</v>
      </c>
      <c r="AP306" s="2846">
        <f>IF(AP308=0,0,(AP307*AP308+AP309*AP310*6)/AP308)</f>
        <v>0</v>
      </c>
      <c r="AQ306" s="2846">
        <f>IF(AQ308=0,0,(AQ307*AQ308+AQ309*AQ310*6)/AQ308)</f>
        <v>0</v>
      </c>
      <c r="AR306" s="1093">
        <f>IF(AP306=0,0,(AQ306-AP306)/AP306*100)</f>
        <v>0</v>
      </c>
      <c r="AS306" s="2846">
        <f>IF(AS308=0,0,(AS307*AS308+AS309*AS310*6)/AS308)</f>
        <v>0</v>
      </c>
      <c r="AT306" s="2846">
        <f>IF(AT308=0,0,(AT307*AT308+AT309*AT310*6)/AT308)</f>
        <v>0</v>
      </c>
      <c r="AU306" s="1093">
        <f>IF(AS306=0,0,(AT306-AS306)/AS306*100)</f>
        <v>0</v>
      </c>
      <c r="AV306" s="2846">
        <f>IF(AV308=0,0,(AV307*AV308+AV309*AV310*6)/AV308)</f>
        <v>0</v>
      </c>
      <c r="AW306" s="2846">
        <f>IF(AW308=0,0,(AW307*AW308+AW309*AW310*6)/AW308)</f>
        <v>0</v>
      </c>
      <c r="AX306" s="1093">
        <f>IF(AV306=0,0,(AW306-AV306)/AV306*100)</f>
        <v>0</v>
      </c>
      <c r="AY306" s="2846">
        <f>IF(AY308=0,0,(AY307*AY308+AY309*AY310*6)/AY308)</f>
        <v>0</v>
      </c>
      <c r="AZ306" s="2846">
        <f>IF(AZ308=0,0,(AZ307*AZ308+AZ309*AZ310*6)/AZ308)</f>
        <v>0</v>
      </c>
      <c r="BA306" s="1093">
        <f>IF(AY306=0,0,(AZ306-AY306)/AY306*100)</f>
        <v>0</v>
      </c>
      <c r="BB306" s="2846">
        <f>IF(BB308=0,0,(BB307*BB308+BB309*BB310*6)/BB308)</f>
        <v>0</v>
      </c>
      <c r="BC306" s="2846">
        <f>IF(BC308=0,0,(BC307*BC308+BC309*BC310*6)/BC308)</f>
        <v>0</v>
      </c>
      <c r="BD306" s="1093">
        <f>IF(BB306=0,0,(BC306-BB306)/BB306*100)</f>
        <v>0</v>
      </c>
      <c r="BE306" s="2846">
        <f>IF(BE308=0,0,(BE307*BE308+BE309*BE310*6)/BE308)</f>
        <v>0</v>
      </c>
      <c r="BF306" s="2846">
        <f>IF(BF308=0,0,(BF307*BF308+BF309*BF310*6)/BF308)</f>
        <v>0</v>
      </c>
      <c r="BG306" s="1093">
        <f>IF(BE306=0,0,(BF306-BE306)/BE306*100)</f>
        <v>0</v>
      </c>
      <c r="BH306" s="2846">
        <f>IF(BH308=0,0,(BH307*BH308+BH309*BH310*6)/BH308)</f>
        <v>0</v>
      </c>
      <c r="BI306" s="2846">
        <f>IF(BI308=0,0,(BI307*BI308+BI309*BI310*6)/BI308)</f>
        <v>0</v>
      </c>
      <c r="BJ306" s="1093">
        <f>IF(BH306=0,0,(BI306-BH306)/BH306*100)</f>
        <v>0</v>
      </c>
      <c r="BK306" s="2846">
        <f>IF(BK308=0,0,(BK307*BK308+BK309*BK310*6)/BK308)</f>
        <v>0</v>
      </c>
      <c r="BL306" s="2846">
        <f>IF(BL308=0,0,(BL307*BL308+BL309*BL310*6)/BL308)</f>
        <v>0</v>
      </c>
      <c r="BM306" s="1093">
        <f>IF(BK306=0,0,(BL306-BK306)/BK306*100)</f>
        <v>0</v>
      </c>
      <c r="BN306" s="2846">
        <f>IF(BN308=0,0,(BN307*BN308+BN309*BN310*6)/BN308)</f>
        <v>0</v>
      </c>
      <c r="BO306" s="2846">
        <f>IF(BO308=0,0,(BO307*BO308+BO309*BO310*6)/BO308)</f>
        <v>0</v>
      </c>
      <c r="BP306" s="1093">
        <f>IF(BN306=0,0,(BO306-BN306)/BN306*100)</f>
        <v>0</v>
      </c>
      <c r="BQ306" s="2846">
        <f>IF(BQ308=0,0,(BQ307*BQ308+BQ309*BQ310*6)/BQ308)</f>
        <v>0</v>
      </c>
      <c r="BR306" s="2846">
        <f>IF(BR308=0,0,(BR307*BR308+BR309*BR310*6)/BR308)</f>
        <v>0</v>
      </c>
      <c r="BS306" s="1093">
        <f>IF(BQ306=0,0,(BR306-BQ306)/BQ306*100)</f>
        <v>0</v>
      </c>
      <c r="BT306" s="2846">
        <f>IF(BT308=0,0,(BT307*BT308+BT309*BT310*6)/BT308)</f>
        <v>0</v>
      </c>
      <c r="BU306" s="2846">
        <f>IF(BU308=0,0,(BU307*BU308+BU309*BU310*6)/BU308)</f>
        <v>0</v>
      </c>
      <c r="BV306" s="1093">
        <f>IF(BT306=0,0,(BU306-BT306)/BT306*100)</f>
        <v>0</v>
      </c>
      <c r="BW306" s="2846">
        <f>IF(BW308=0,0,(BW307*BW308+BW309*BW310*6)/BW308)</f>
        <v>0</v>
      </c>
      <c r="BX306" s="2846">
        <f>IF(BX308=0,0,(BX307*BX308+BX309*BX310*6)/BX308)</f>
        <v>0</v>
      </c>
      <c r="BY306" s="1093">
        <f>IF(BW306=0,0,(BX306-BW306)/BW306*100)</f>
        <v>0</v>
      </c>
      <c r="BZ306" s="2846">
        <f>IF(BZ308=0,0,(BZ307*BZ308+BZ309*BZ310*6)/BZ308)</f>
        <v>0</v>
      </c>
      <c r="CA306" s="2846">
        <f>IF(CA308=0,0,(CA307*CA308+CA309*CA310*6)/CA308)</f>
        <v>0</v>
      </c>
      <c r="CB306" s="1093">
        <f>IF(BZ306=0,0,(CA306-BZ306)/BZ306*100)</f>
        <v>0</v>
      </c>
      <c r="CC306" s="2846">
        <f>IF(CC308=0,0,(CC307*CC308+CC309*CC310*6)/CC308)</f>
        <v>0</v>
      </c>
      <c r="CD306" s="2846">
        <f>IF(CD308=0,0,(CD307*CD308+CD309*CD310*6)/CD308)</f>
        <v>0</v>
      </c>
      <c r="CE306" s="1093">
        <f>IF(CC306=0,0,(CD306-CC306)/CC306*100)</f>
        <v>0</v>
      </c>
      <c r="CF306" s="2846">
        <f>IF(CF308=0,0,(CF307*CF308+CF309*CF310*6)/CF308)</f>
        <v>0</v>
      </c>
      <c r="CG306" s="2846">
        <f>IF(CG308=0,0,(CG307*CG308+CG309*CG310*6)/CG308)</f>
        <v>0</v>
      </c>
      <c r="CH306" s="1093">
        <f>IF(CF306=0,0,(CG306-CF306)/CF306*100)</f>
        <v>0</v>
      </c>
      <c r="CI306" s="2846">
        <f>IF(CI308=0,0,(CI307*CI308+CI309*CI310*6)/CI308)</f>
        <v>0</v>
      </c>
      <c r="CJ306" s="2846">
        <f>IF(CJ308=0,0,(CJ307*CJ308+CJ309*CJ310*6)/CJ308)</f>
        <v>0</v>
      </c>
      <c r="CK306" s="1093">
        <f>IF(CI306=0,0,(CJ306-CI306)/CI306*100)</f>
        <v>0</v>
      </c>
      <c r="CL306" s="2846">
        <f>IF(CL308=0,0,(CL307*CL308+CL309*CL310*6)/CL308)</f>
        <v>0</v>
      </c>
      <c r="CM306" s="2846">
        <f>IF(CM308=0,0,(CM307*CM308+CM309*CM310*6)/CM308)</f>
        <v>0</v>
      </c>
      <c r="CN306" s="1093">
        <f>IF(CL306=0,0,(CM306-CL306)/CL306*100)</f>
        <v>0</v>
      </c>
      <c r="CO306" s="2846">
        <f>IF(CO308=0,0,(CO307*CO308+CO309*CO310*6)/CO308)</f>
        <v>0</v>
      </c>
      <c r="CP306" s="2846">
        <f>IF(CP308=0,0,(CP307*CP308+CP309*CP310*6)/CP308)</f>
        <v>0</v>
      </c>
      <c r="CQ306" s="1093">
        <f>IF(CO306=0,0,(CP306-CO306)/CO306*100)</f>
        <v>0</v>
      </c>
      <c r="CR306" s="2846">
        <f>IF(CR308=0,0,(CR307*CR308+CR309*CR310*6)/CR308)</f>
        <v>0</v>
      </c>
      <c r="CS306" s="2846">
        <f>IF(CS308=0,0,(CS307*CS308+CS309*CS310*6)/CS308)</f>
        <v>0</v>
      </c>
      <c r="CT306" s="1093">
        <f>IF(CR306=0,0,(CS306-CR306)/CR306*100)</f>
        <v>0</v>
      </c>
      <c r="CU306" s="2846">
        <f>IF(CU308=0,0,(CU307*CU308+CU309*CU310*6)/CU308)</f>
        <v>0</v>
      </c>
      <c r="CV306" s="2846">
        <f>IF(CV308=0,0,(CV307*CV308+CV309*CV310*6)/CV308)</f>
        <v>0</v>
      </c>
      <c r="CW306" s="1093">
        <f>IF(CU306=0,0,(CV306-CU306)/CU306*100)</f>
        <v>0</v>
      </c>
      <c r="CX306" s="2846">
        <f>IF(CX308=0,0,(CX307*CX308+CX309*CX310*6)/CX308)</f>
        <v>0</v>
      </c>
      <c r="CY306" s="2846">
        <f>IF(CY308=0,0,(CY307*CY308+CY309*CY310*6)/CY308)</f>
        <v>0</v>
      </c>
      <c r="CZ306" s="1093">
        <f>IF(CX306=0,0,(CY306-CX306)/CX306*100)</f>
        <v>0</v>
      </c>
      <c r="DA306" s="2846">
        <f>IF(DA308=0,0,(DA307*DA308+DA309*DA310*6)/DA308)</f>
        <v>0</v>
      </c>
      <c r="DB306" s="2846">
        <f>IF(DB308=0,0,(DB307*DB308+DB309*DB310*6)/DB308)</f>
        <v>0</v>
      </c>
      <c r="DC306" s="1093">
        <f>IF(DA306=0,0,(DB306-DA306)/DA306*100)</f>
        <v>0</v>
      </c>
      <c r="DD306" s="2846">
        <f>IF(DD308=0,0,(DD307*DD308+DD309*DD310*6)/DD308)</f>
        <v>0</v>
      </c>
      <c r="DE306" s="2846">
        <f>IF(DE308=0,0,(DE307*DE308+DE309*DE310*6)/DE308)</f>
        <v>0</v>
      </c>
      <c r="DF306" s="1093">
        <f>IF(DD306=0,0,(DE306-DD306)/DD306*100)</f>
        <v>0</v>
      </c>
      <c r="DG306" s="2846">
        <f>IF(DG308=0,0,(DG307*DG308+DG309*DG310*6)/DG308)</f>
        <v>0</v>
      </c>
      <c r="DH306" s="2846">
        <f>IF(DH308=0,0,(DH307*DH308+DH309*DH310*6)/DH308)</f>
        <v>0</v>
      </c>
      <c r="DI306" s="1093">
        <f>IF(DG306=0,0,(DH306-DG306)/DG306*100)</f>
        <v>0</v>
      </c>
      <c r="DJ306" s="2846">
        <f>IF(DJ308=0,0,(DJ307*DJ308+DJ309*DJ310*6)/DJ308)</f>
        <v>0</v>
      </c>
      <c r="DK306" s="2846">
        <f>IF(DK308=0,0,(DK307*DK308+DK309*DK310*6)/DK308)</f>
        <v>0</v>
      </c>
      <c r="DL306" s="1093">
        <f>IF(DJ306=0,0,(DK306-DJ306)/DJ306*100)</f>
        <v>0</v>
      </c>
      <c r="DM306" s="2846">
        <f>IF(DM308=0,0,(DM307*DM308+DM309*DM310*6)/DM308)</f>
        <v>0</v>
      </c>
      <c r="DN306" s="2846">
        <f>IF(DN308=0,0,(DN307*DN308+DN309*DN310*6)/DN308)</f>
        <v>0</v>
      </c>
      <c r="DO306" s="1093">
        <f>IF(DM306=0,0,(DN306-DM306)/DM306*100)</f>
        <v>0</v>
      </c>
      <c r="DP306" s="2846">
        <f>IF(DP308=0,0,(DP307*DP308+DP309*DP310*6)/DP308)</f>
        <v>0</v>
      </c>
      <c r="DQ306" s="2846">
        <f>IF(DQ308=0,0,(DQ307*DQ308+DQ309*DQ310*6)/DQ308)</f>
        <v>0</v>
      </c>
      <c r="DR306" s="1093">
        <f>IF(DP306=0,0,(DQ306-DP306)/DP306*100)</f>
        <v>0</v>
      </c>
      <c r="DS306" s="2846">
        <f>IF(DS308=0,0,(DS307*DS308+DS309*DS310*6)/DS308)</f>
        <v>0</v>
      </c>
      <c r="DT306" s="2846">
        <f>IF(DT308=0,0,(DT307*DT308+DT309*DT310*6)/DT308)</f>
        <v>0</v>
      </c>
      <c r="DU306" s="1093">
        <f>IF(DS306=0,0,(DT306-DS306)/DS306*100)</f>
        <v>0</v>
      </c>
      <c r="DV306" s="2846">
        <f>IF(DV308=0,0,(DV307*DV308+DV309*DV310*6)/DV308)</f>
        <v>0</v>
      </c>
      <c r="DW306" s="2846">
        <f>IF(DW308=0,0,(DW307*DW308+DW309*DW310*6)/DW308)</f>
        <v>0</v>
      </c>
      <c r="DX306" s="1093">
        <f>IF(DV306=0,0,(DW306-DV306)/DV306*100)</f>
        <v>0</v>
      </c>
      <c r="DY306" s="2846">
        <f>IF(DY308=0,0,(DY307*DY308+DY309*DY310*6)/DY308)</f>
        <v>0</v>
      </c>
      <c r="DZ306" s="2846">
        <f>IF(DZ308=0,0,(DZ307*DZ308+DZ309*DZ310*6)/DZ308)</f>
        <v>0</v>
      </c>
      <c r="EA306" s="1093">
        <f>IF(DY306=0,0,(DZ306-DY306)/DY306*100)</f>
        <v>0</v>
      </c>
      <c r="EB306" s="2846">
        <f>IF(EB308=0,0,(EB307*EB308+EB309*EB310*6)/EB308)</f>
        <v>0</v>
      </c>
      <c r="EC306" s="2846">
        <f>IF(EC308=0,0,(EC307*EC308+EC309*EC310*6)/EC308)</f>
        <v>0</v>
      </c>
      <c r="ED306" s="1093">
        <f>IF(EB306=0,0,(EC306-EB306)/EB306*100)</f>
        <v>0</v>
      </c>
      <c r="EE306" s="2846">
        <f>IF(EE308=0,0,(EE307*EE308+EE309*EE310*6)/EE308)</f>
        <v>0</v>
      </c>
      <c r="EF306" s="2846">
        <f>IF(EF308=0,0,(EF307*EF308+EF309*EF310*6)/EF308)</f>
        <v>0</v>
      </c>
      <c r="EG306" s="1093">
        <f>IF(EE306=0,0,(EF306-EE306)/EE306*100)</f>
        <v>0</v>
      </c>
      <c r="EH306" s="2846">
        <f>IF(EH308=0,0,(EH307*EH308+EH309*EH310*6)/EH308)</f>
        <v>0</v>
      </c>
      <c r="EI306" s="2846">
        <f>IF(EI308=0,0,(EI307*EI308+EI309*EI310*6)/EI308)</f>
        <v>0</v>
      </c>
      <c r="EJ306" s="1093">
        <f>IF(EH306=0,0,(EI306-EH306)/EH306*100)</f>
        <v>0</v>
      </c>
      <c r="EK306" s="2846">
        <f>IF(EK308=0,0,(EK307*EK308+EK309*EK310*6)/EK308)</f>
        <v>0</v>
      </c>
      <c r="EL306" s="2846">
        <f>IF(EL308=0,0,(EL307*EL308+EL309*EL310*6)/EL308)</f>
        <v>0</v>
      </c>
      <c r="EM306" s="1093">
        <f>IF(EK306=0,0,(EL306-EK306)/EK306*100)</f>
        <v>0</v>
      </c>
      <c r="EN306" s="2846">
        <f>IF(EN308=0,0,(EN307*EN308+EN309*EN310*6)/EN308)</f>
        <v>0</v>
      </c>
      <c r="EO306" s="2846">
        <f>IF(EO308=0,0,(EO307*EO308+EO309*EO310*6)/EO308)</f>
        <v>0</v>
      </c>
      <c r="EP306" s="1093">
        <f>IF(EN306=0,0,(EO306-EN306)/EN306*100)</f>
        <v>0</v>
      </c>
      <c r="EQ306" s="2846">
        <f>IF(EQ308=0,0,(EQ307*EQ308+EQ309*EQ310*6)/EQ308)</f>
        <v>0</v>
      </c>
      <c r="ER306" s="2846">
        <f>IF(ER308=0,0,(ER307*ER308+ER309*ER310*6)/ER308)</f>
        <v>0</v>
      </c>
      <c r="ES306" s="1093">
        <f>IF(EQ306=0,0,(ER306-EQ306)/EQ306*100)</f>
        <v>0</v>
      </c>
      <c r="ET306" s="2846">
        <f>IF(ET308=0,0,(ET307*ET308+ET309*ET310*6)/ET308)</f>
        <v>0</v>
      </c>
      <c r="EU306" s="2846">
        <f>IF(EU308=0,0,(EU307*EU308+EU309*EU310*6)/EU308)</f>
        <v>0</v>
      </c>
      <c r="EV306" s="1093">
        <f>IF(ET306=0,0,(EU306-ET306)/ET306*100)</f>
        <v>0</v>
      </c>
      <c r="EW306" s="2846">
        <f>IF(EW308=0,0,(EW307*EW308+EW309*EW310*6)/EW308)</f>
        <v>0</v>
      </c>
      <c r="EX306" s="2846">
        <f>IF(EX308=0,0,(EX307*EX308+EX309*EX310*6)/EX308)</f>
        <v>0</v>
      </c>
      <c r="EY306" s="1093">
        <f>IF(EW306=0,0,(EX306-EW306)/EW306*100)</f>
        <v>0</v>
      </c>
      <c r="EZ306" s="2846">
        <f>IF(EZ308=0,0,(EZ307*EZ308+EZ309*EZ310*6)/EZ308)</f>
        <v>0</v>
      </c>
      <c r="FA306" s="2846">
        <f>IF(FA308=0,0,(FA307*FA308+FA309*FA310*6)/FA308)</f>
        <v>0</v>
      </c>
      <c r="FB306" s="1093">
        <f>IF(EZ306=0,0,(FA306-EZ306)/EZ306*100)</f>
        <v>0</v>
      </c>
      <c r="FC306" s="2846">
        <f>IF(FC308=0,0,(FC307*FC308+FC309*FC310*6)/FC308)</f>
        <v>0</v>
      </c>
      <c r="FD306" s="2846">
        <f>IF(FD308=0,0,(FD307*FD308+FD309*FD310*6)/FD308)</f>
        <v>0</v>
      </c>
      <c r="FE306" s="1093">
        <f>IF(FC306=0,0,(FD306-FC306)/FC306*100)</f>
        <v>0</v>
      </c>
      <c r="FF306" s="2846">
        <f>IF(FF308=0,0,(FF307*FF308+FF309*FF310*6)/FF308)</f>
        <v>0</v>
      </c>
      <c r="FG306" s="2846">
        <f>IF(FG308=0,0,(FG307*FG308+FG309*FG310*6)/FG308)</f>
        <v>0</v>
      </c>
      <c r="FH306" s="1093">
        <f>IF(FF306=0,0,(FG306-FF306)/FF306*100)</f>
        <v>0</v>
      </c>
      <c r="FI306" s="2846">
        <f>IF(FI308=0,0,(FI307*FI308+FI309*FI310*6)/FI308)</f>
        <v>0</v>
      </c>
      <c r="FJ306" s="2846">
        <f>IF(FJ308=0,0,(FJ307*FJ308+FJ309*FJ310*6)/FJ308)</f>
        <v>0</v>
      </c>
      <c r="FK306" s="1093">
        <f>IF(FI306=0,0,(FJ306-FI306)/FI306*100)</f>
        <v>0</v>
      </c>
      <c r="FL306" s="2846">
        <f>IF(FL308=0,0,(FL307*FL308+FL309*FL310*6)/FL308)</f>
        <v>0</v>
      </c>
      <c r="FM306" s="2846">
        <f>IF(FM308=0,0,(FM307*FM308+FM309*FM310*6)/FM308)</f>
        <v>0</v>
      </c>
      <c r="FN306" s="1093">
        <f>IF(FL306=0,0,(FM306-FL306)/FL306*100)</f>
        <v>0</v>
      </c>
      <c r="FO306" s="2846">
        <f>IF(FO308=0,0,(FO307*FO308+FO309*FO310*6)/FO308)</f>
        <v>0</v>
      </c>
      <c r="FP306" s="2846">
        <f>IF(FP308=0,0,(FP307*FP308+FP309*FP310*6)/FP308)</f>
        <v>0</v>
      </c>
      <c r="FQ306" s="1093">
        <f>IF(FO306=0,0,(FP306-FO306)/FO306*100)</f>
        <v>0</v>
      </c>
      <c r="FR306" s="2846">
        <f>IF(FR308=0,0,(FR307*FR308+FR309*FR310*6)/FR308)</f>
        <v>0</v>
      </c>
      <c r="FS306" s="2846">
        <f>IF(FS308=0,0,(FS307*FS308+FS309*FS310*6)/FS308)</f>
        <v>0</v>
      </c>
      <c r="FT306" s="1093">
        <f>IF(FR306=0,0,(FS306-FR306)/FR306*100)</f>
        <v>0</v>
      </c>
      <c r="FU306" s="2846">
        <f>IF(FU308=0,0,(FU307*FU308+FU309*FU310*6)/FU308)</f>
        <v>0</v>
      </c>
      <c r="FV306" s="2846">
        <f>IF(FV308=0,0,(FV307*FV308+FV309*FV310*6)/FV308)</f>
        <v>0</v>
      </c>
      <c r="FW306" s="1093">
        <f>IF(FU306=0,0,(FV306-FU306)/FU306*100)</f>
        <v>0</v>
      </c>
      <c r="FX306" s="1304"/>
      <c r="FY306" s="1304"/>
      <c r="FZ306" s="1055" t="s">
        <v>2384</v>
      </c>
      <c r="GA306" s="1306"/>
      <c r="GB306" s="1306"/>
      <c r="GC306" s="1305"/>
      <c r="GD306" s="1305"/>
    </row>
    <row s="1834" customFormat="1" customHeight="1" ht="14.25" hidden="1">
      <c r="A307" s="493"/>
      <c r="B307" s="925" cm="1" t="str">
        <f t="array" ref="B307:B307">B306</f>
        <v>false</v>
      </c>
      <c r="C307" s="493"/>
      <c r="D307" s="493"/>
      <c r="E307" s="840">
        <v>15</v>
      </c>
      <c r="F307" s="50" cm="1" t="str">
        <f t="array" ref="F307:F307">OFFSET(E307,-1,1)</f>
        <v>4</v>
      </c>
      <c r="G307" s="493"/>
      <c r="H307" s="493" t="s">
        <v>2299</v>
      </c>
      <c r="I307" s="493" t="s">
        <v>2340</v>
      </c>
      <c r="J307" s="493"/>
      <c r="K307" s="493"/>
      <c r="L307" s="493"/>
      <c r="M307" s="493"/>
      <c r="N307" s="493"/>
      <c r="O307" s="493"/>
      <c r="P307" s="493"/>
      <c r="Q307" s="493"/>
      <c r="R307" s="493"/>
      <c r="S307" s="493"/>
      <c r="T307" s="465" cm="1" t="str">
        <f t="array" ref="T307:T307">T306</f>
        <v>true</v>
      </c>
      <c r="U307" s="493"/>
      <c r="V307" s="493"/>
      <c r="W307" s="493"/>
      <c r="X307" s="1596"/>
      <c r="Y307" s="493"/>
      <c r="Z307" s="1545"/>
      <c r="AA307" s="493"/>
      <c r="AB307" s="1091" t="str">
        <f>"ставка платы за "&amp;IF(Q281="Водоснабжение","потребление 1 куб.м холодной воды","объем принятых сточных вод")</f>
        <v>ставка платы за объем принятых сточных вод</v>
      </c>
      <c r="AC307" s="864" t="s">
        <v>2337</v>
      </c>
      <c r="AD307" s="2846"/>
      <c r="AE307" s="2846"/>
      <c r="AF307" s="1093">
        <f>IF(AD307=0,0,(AE307-AD307)/AD307*100)</f>
        <v>0</v>
      </c>
      <c r="AG307" s="2846"/>
      <c r="AH307" s="2846"/>
      <c r="AI307" s="1093">
        <f>IF(AG307=0,0,(AH307-AG307)/AG307*100)</f>
        <v>0</v>
      </c>
      <c r="AJ307" s="2846"/>
      <c r="AK307" s="2846"/>
      <c r="AL307" s="1093">
        <f>IF(AJ307=0,0,(AK307-AJ307)/AJ307*100)</f>
        <v>0</v>
      </c>
      <c r="AM307" s="2846"/>
      <c r="AN307" s="2846"/>
      <c r="AO307" s="1093">
        <f>IF(AM307=0,0,(AN307-AM307)/AM307*100)</f>
        <v>0</v>
      </c>
      <c r="AP307" s="2846"/>
      <c r="AQ307" s="2846"/>
      <c r="AR307" s="1093">
        <f>IF(AP307=0,0,(AQ307-AP307)/AP307*100)</f>
        <v>0</v>
      </c>
      <c r="AS307" s="2846"/>
      <c r="AT307" s="2846"/>
      <c r="AU307" s="1093">
        <f>IF(AS307=0,0,(AT307-AS307)/AS307*100)</f>
        <v>0</v>
      </c>
      <c r="AV307" s="2846"/>
      <c r="AW307" s="2846"/>
      <c r="AX307" s="1093">
        <f>IF(AV307=0,0,(AW307-AV307)/AV307*100)</f>
        <v>0</v>
      </c>
      <c r="AY307" s="2846"/>
      <c r="AZ307" s="2846"/>
      <c r="BA307" s="1093">
        <f>IF(AY307=0,0,(AZ307-AY307)/AY307*100)</f>
        <v>0</v>
      </c>
      <c r="BB307" s="2846"/>
      <c r="BC307" s="2846"/>
      <c r="BD307" s="1093">
        <f>IF(BB307=0,0,(BC307-BB307)/BB307*100)</f>
        <v>0</v>
      </c>
      <c r="BE307" s="2846"/>
      <c r="BF307" s="2846"/>
      <c r="BG307" s="1093">
        <f>IF(BE307=0,0,(BF307-BE307)/BE307*100)</f>
        <v>0</v>
      </c>
      <c r="BH307" s="2846"/>
      <c r="BI307" s="2846"/>
      <c r="BJ307" s="1093">
        <f>IF(BH307=0,0,(BI307-BH307)/BH307*100)</f>
        <v>0</v>
      </c>
      <c r="BK307" s="2846"/>
      <c r="BL307" s="2846"/>
      <c r="BM307" s="1093">
        <f>IF(BK307=0,0,(BL307-BK307)/BK307*100)</f>
        <v>0</v>
      </c>
      <c r="BN307" s="2846"/>
      <c r="BO307" s="2846"/>
      <c r="BP307" s="1093">
        <f>IF(BN307=0,0,(BO307-BN307)/BN307*100)</f>
        <v>0</v>
      </c>
      <c r="BQ307" s="2846"/>
      <c r="BR307" s="2846"/>
      <c r="BS307" s="1093">
        <f>IF(BQ307=0,0,(BR307-BQ307)/BQ307*100)</f>
        <v>0</v>
      </c>
      <c r="BT307" s="2846"/>
      <c r="BU307" s="2846"/>
      <c r="BV307" s="1093">
        <f>IF(BT307=0,0,(BU307-BT307)/BT307*100)</f>
        <v>0</v>
      </c>
      <c r="BW307" s="2846"/>
      <c r="BX307" s="2846"/>
      <c r="BY307" s="1093">
        <f>IF(BW307=0,0,(BX307-BW307)/BW307*100)</f>
        <v>0</v>
      </c>
      <c r="BZ307" s="2846"/>
      <c r="CA307" s="2846"/>
      <c r="CB307" s="1093">
        <f>IF(BZ307=0,0,(CA307-BZ307)/BZ307*100)</f>
        <v>0</v>
      </c>
      <c r="CC307" s="2846"/>
      <c r="CD307" s="2846"/>
      <c r="CE307" s="1093">
        <f>IF(CC307=0,0,(CD307-CC307)/CC307*100)</f>
        <v>0</v>
      </c>
      <c r="CF307" s="2846"/>
      <c r="CG307" s="2846"/>
      <c r="CH307" s="1093">
        <f>IF(CF307=0,0,(CG307-CF307)/CF307*100)</f>
        <v>0</v>
      </c>
      <c r="CI307" s="2846"/>
      <c r="CJ307" s="2846"/>
      <c r="CK307" s="1093">
        <f>IF(CI307=0,0,(CJ307-CI307)/CI307*100)</f>
        <v>0</v>
      </c>
      <c r="CL307" s="2846"/>
      <c r="CM307" s="2846"/>
      <c r="CN307" s="1093">
        <f>IF(CL307=0,0,(CM307-CL307)/CL307*100)</f>
        <v>0</v>
      </c>
      <c r="CO307" s="2846"/>
      <c r="CP307" s="2846"/>
      <c r="CQ307" s="1093">
        <f>IF(CO307=0,0,(CP307-CO307)/CO307*100)</f>
        <v>0</v>
      </c>
      <c r="CR307" s="2846"/>
      <c r="CS307" s="2846"/>
      <c r="CT307" s="1093">
        <f>IF(CR307=0,0,(CS307-CR307)/CR307*100)</f>
        <v>0</v>
      </c>
      <c r="CU307" s="2846"/>
      <c r="CV307" s="2846"/>
      <c r="CW307" s="1093">
        <f>IF(CU307=0,0,(CV307-CU307)/CU307*100)</f>
        <v>0</v>
      </c>
      <c r="CX307" s="2846"/>
      <c r="CY307" s="2846"/>
      <c r="CZ307" s="1093">
        <f>IF(CX307=0,0,(CY307-CX307)/CX307*100)</f>
        <v>0</v>
      </c>
      <c r="DA307" s="2846"/>
      <c r="DB307" s="2846"/>
      <c r="DC307" s="1093">
        <f>IF(DA307=0,0,(DB307-DA307)/DA307*100)</f>
        <v>0</v>
      </c>
      <c r="DD307" s="2846"/>
      <c r="DE307" s="2846"/>
      <c r="DF307" s="1093">
        <f>IF(DD307=0,0,(DE307-DD307)/DD307*100)</f>
        <v>0</v>
      </c>
      <c r="DG307" s="2846"/>
      <c r="DH307" s="2846"/>
      <c r="DI307" s="1093">
        <f>IF(DG307=0,0,(DH307-DG307)/DG307*100)</f>
        <v>0</v>
      </c>
      <c r="DJ307" s="2846"/>
      <c r="DK307" s="2846"/>
      <c r="DL307" s="1093">
        <f>IF(DJ307=0,0,(DK307-DJ307)/DJ307*100)</f>
        <v>0</v>
      </c>
      <c r="DM307" s="2846"/>
      <c r="DN307" s="2846"/>
      <c r="DO307" s="1093">
        <f>IF(DM307=0,0,(DN307-DM307)/DM307*100)</f>
        <v>0</v>
      </c>
      <c r="DP307" s="2846"/>
      <c r="DQ307" s="2846"/>
      <c r="DR307" s="1093">
        <f>IF(DP307=0,0,(DQ307-DP307)/DP307*100)</f>
        <v>0</v>
      </c>
      <c r="DS307" s="2846"/>
      <c r="DT307" s="2846"/>
      <c r="DU307" s="1093">
        <f>IF(DS307=0,0,(DT307-DS307)/DS307*100)</f>
        <v>0</v>
      </c>
      <c r="DV307" s="2846"/>
      <c r="DW307" s="2846"/>
      <c r="DX307" s="1093">
        <f>IF(DV307=0,0,(DW307-DV307)/DV307*100)</f>
        <v>0</v>
      </c>
      <c r="DY307" s="2846"/>
      <c r="DZ307" s="2846"/>
      <c r="EA307" s="1093">
        <f>IF(DY307=0,0,(DZ307-DY307)/DY307*100)</f>
        <v>0</v>
      </c>
      <c r="EB307" s="2846"/>
      <c r="EC307" s="2846"/>
      <c r="ED307" s="1093">
        <f>IF(EB307=0,0,(EC307-EB307)/EB307*100)</f>
        <v>0</v>
      </c>
      <c r="EE307" s="2846"/>
      <c r="EF307" s="2846"/>
      <c r="EG307" s="1093">
        <f>IF(EE307=0,0,(EF307-EE307)/EE307*100)</f>
        <v>0</v>
      </c>
      <c r="EH307" s="2846"/>
      <c r="EI307" s="2846"/>
      <c r="EJ307" s="1093">
        <f>IF(EH307=0,0,(EI307-EH307)/EH307*100)</f>
        <v>0</v>
      </c>
      <c r="EK307" s="2846"/>
      <c r="EL307" s="2846"/>
      <c r="EM307" s="1093">
        <f>IF(EK307=0,0,(EL307-EK307)/EK307*100)</f>
        <v>0</v>
      </c>
      <c r="EN307" s="2846"/>
      <c r="EO307" s="2846"/>
      <c r="EP307" s="1093">
        <f>IF(EN307=0,0,(EO307-EN307)/EN307*100)</f>
        <v>0</v>
      </c>
      <c r="EQ307" s="2846"/>
      <c r="ER307" s="2846"/>
      <c r="ES307" s="1093">
        <f>IF(EQ307=0,0,(ER307-EQ307)/EQ307*100)</f>
        <v>0</v>
      </c>
      <c r="ET307" s="2846"/>
      <c r="EU307" s="2846"/>
      <c r="EV307" s="1093">
        <f>IF(ET307=0,0,(EU307-ET307)/ET307*100)</f>
        <v>0</v>
      </c>
      <c r="EW307" s="2846"/>
      <c r="EX307" s="2846"/>
      <c r="EY307" s="1093">
        <f>IF(EW307=0,0,(EX307-EW307)/EW307*100)</f>
        <v>0</v>
      </c>
      <c r="EZ307" s="2846"/>
      <c r="FA307" s="2846"/>
      <c r="FB307" s="1093">
        <f>IF(EZ307=0,0,(FA307-EZ307)/EZ307*100)</f>
        <v>0</v>
      </c>
      <c r="FC307" s="2846"/>
      <c r="FD307" s="2846"/>
      <c r="FE307" s="1093">
        <f>IF(FC307=0,0,(FD307-FC307)/FC307*100)</f>
        <v>0</v>
      </c>
      <c r="FF307" s="2846"/>
      <c r="FG307" s="2846"/>
      <c r="FH307" s="1093">
        <f>IF(FF307=0,0,(FG307-FF307)/FF307*100)</f>
        <v>0</v>
      </c>
      <c r="FI307" s="2846"/>
      <c r="FJ307" s="2846"/>
      <c r="FK307" s="1093">
        <f>IF(FI307=0,0,(FJ307-FI307)/FI307*100)</f>
        <v>0</v>
      </c>
      <c r="FL307" s="2846"/>
      <c r="FM307" s="2846"/>
      <c r="FN307" s="1093">
        <f>IF(FL307=0,0,(FM307-FL307)/FL307*100)</f>
        <v>0</v>
      </c>
      <c r="FO307" s="2846"/>
      <c r="FP307" s="2846"/>
      <c r="FQ307" s="1093">
        <f>IF(FO307=0,0,(FP307-FO307)/FO307*100)</f>
        <v>0</v>
      </c>
      <c r="FR307" s="2846"/>
      <c r="FS307" s="2846"/>
      <c r="FT307" s="1093">
        <f>IF(FR307=0,0,(FS307-FR307)/FR307*100)</f>
        <v>0</v>
      </c>
      <c r="FU307" s="2846"/>
      <c r="FV307" s="2846"/>
      <c r="FW307" s="1093">
        <f>IF(FU307=0,0,(FV307-FU307)/FU307*100)</f>
        <v>0</v>
      </c>
      <c r="FX307" s="1304"/>
      <c r="FY307" s="1304"/>
      <c r="FZ307" s="1055" t="s">
        <v>2385</v>
      </c>
      <c r="GA307" s="1306"/>
      <c r="GB307" s="1306"/>
      <c r="GC307" s="1305"/>
      <c r="GD307" s="1305"/>
    </row>
    <row s="1834" customFormat="1" customHeight="1" ht="14.25" hidden="1">
      <c r="A308" s="493"/>
      <c r="B308" s="925" cm="1" t="str">
        <f t="array" ref="B308:B308">B307</f>
        <v>false</v>
      </c>
      <c r="C308" s="493"/>
      <c r="D308" s="493"/>
      <c r="E308" s="840">
        <v>15</v>
      </c>
      <c r="F308" s="50" cm="1" t="str">
        <f t="array" ref="F308:F308">OFFSET(E308,-1,1)</f>
        <v>4</v>
      </c>
      <c r="G308" s="107" t="s">
        <v>2386</v>
      </c>
      <c r="H308" s="493" t="s">
        <v>2374</v>
      </c>
      <c r="I308" s="493" t="s">
        <v>2340</v>
      </c>
      <c r="J308" s="493"/>
      <c r="K308" s="493"/>
      <c r="L308" s="493"/>
      <c r="M308" s="493"/>
      <c r="N308" s="493"/>
      <c r="O308" s="493"/>
      <c r="P308" s="493"/>
      <c r="Q308" s="493"/>
      <c r="R308" s="493"/>
      <c r="S308" s="493"/>
      <c r="T308" s="465" cm="1" t="str">
        <f t="array" ref="T308:T308">T307</f>
        <v>true</v>
      </c>
      <c r="U308" s="493"/>
      <c r="V308" s="493"/>
      <c r="W308" s="493"/>
      <c r="X308" s="1596"/>
      <c r="Y308" s="493"/>
      <c r="Z308" s="1545"/>
      <c r="AA308" s="493"/>
      <c r="AB308" s="1091" t="str">
        <f>"объём "&amp;IF(Q281="Водоснабжение","потребления холодной воды","водоотведения")</f>
        <v>объём водоотведения</v>
      </c>
      <c r="AC308" s="864" t="s">
        <v>1247</v>
      </c>
      <c r="AD308" s="5247">
        <f>IF(AND(method_reg="Метод индексации",god&lt;&gt;first_year),_xlfn.SUMIFS(INDEX('Калькуляция (МИ корр)'!$AJ$25:$BC$747,,MATCH(AD$8,'Калькуляция (МИ корр)'!$AJ$8:$BC$8,0)),'Калькуляция (МИ корр)'!$F$25:$F$747,$F308,'Калькуляция (МИ корр)'!$G$25:$G$747,$G308),IF(method_reg="Метод экономически обоснованных расходов",_xlfn.SUMIFS('Калькуляция (МЭОР)'!$AJ$25:$AJ$452,'Калькуляция (МЭОР)'!$F$25:$F$452,$F308,'Калькуляция (МЭОР)'!$G$25:$G$452,$G308),IF(method_reg="Метод сравнения аналогов",_xlfn.SUMIFS('Калькуляция (МСА)'!$AE$25:$AE$122,'Калькуляция (МСА)'!$F$25:$F$122,$F308,'Калькуляция (МСА)'!$G$25:$G$122,$G308),_xlfn.SUMIFS(INDEX('Калькуляция (МИ)'!$AJ$25:$BC$747,,MATCH(AD$8,'Калькуляция (МИ)'!$AJ$8:$BC$8,0)),'Калькуляция (МИ)'!$F$25:$F$747,$F308,'Калькуляция (МИ)'!$G$25:$G$747,$G308))))</f>
        <v>256.2756375</v>
      </c>
      <c r="AE308" s="5247">
        <f>IF(AND(method_reg="Метод индексации",god&lt;&gt;first_year),_xlfn.SUMIFS(INDEX('Калькуляция (МИ корр)'!$AJ$25:$BC$747,,MATCH(AE$8,'Калькуляция (МИ корр)'!$AJ$8:$BC$8,0)),'Калькуляция (МИ корр)'!$F$25:$F$747,$F308,'Калькуляция (МИ корр)'!$G$25:$G$747,$G308),IF(method_reg="Метод экономически обоснованных расходов",_xlfn.SUMIFS('Калькуляция (МЭОР)'!$AK$25:$AK$452,'Калькуляция (МЭОР)'!$F$25:$F$452,$F308,'Калькуляция (МЭОР)'!$G$25:$G$452,$G308),IF(method_reg="Метод сравнения аналогов",_xlfn.SUMIFS('Калькуляция (МСА)'!$AF$25:$AF$122,'Калькуляция (МСА)'!$F$25:$F$122,$F308,'Калькуляция (МСА)'!$G$25:$G$122,$G308),_xlfn.SUMIFS(INDEX('Калькуляция (МИ)'!$AJ$25:$BC$747,,MATCH(AE$8,'Калькуляция (МИ)'!$AJ$8:$BC$8,0)),'Калькуляция (МИ)'!$F$25:$F$747,$F308,'Калькуляция (МИ)'!$G$25:$G$747,$G308))))</f>
        <v>256.2756375</v>
      </c>
      <c r="AF308" s="1095">
        <f>IF(AD308=0,0,(AE308-AD308)/AD308*100)</f>
        <v>0</v>
      </c>
      <c r="AG308" s="5247">
        <f>IF(AND(method_reg="Метод индексации",god&lt;&gt;first_year),_xlfn.SUMIFS(INDEX('Калькуляция (МИ корр)'!$AJ$25:$BC$747,,MATCH(AG$8,'Калькуляция (МИ корр)'!$AJ$8:$BC$8,0)),'Калькуляция (МИ корр)'!$F$25:$F$747,$F308,'Калькуляция (МИ корр)'!$G$25:$G$747,$G308),IF(method_reg="Метод экономически обоснованных расходов",_xlfn.SUMIFS('Калькуляция (МЭОР)'!$AJ$25:$AJ$452,'Калькуляция (МЭОР)'!$F$25:$F$452,$F308,'Калькуляция (МЭОР)'!$G$25:$G$452,$G308),IF(method_reg="Метод сравнения аналогов",_xlfn.SUMIFS('Калькуляция (МСА)'!$AE$25:$AE$122,'Калькуляция (МСА)'!$F$25:$F$122,$F308,'Калькуляция (МСА)'!$G$25:$G$122,$G308),_xlfn.SUMIFS(INDEX('Калькуляция (МИ)'!$AJ$25:$BC$747,,MATCH(AG$8,'Калькуляция (МИ)'!$AJ$8:$BC$8,0)),'Калькуляция (МИ)'!$F$25:$F$747,$F308,'Калькуляция (МИ)'!$G$25:$G$747,$G308))))</f>
        <v>512.551275</v>
      </c>
      <c r="AH308" s="5247">
        <f>IF(AND(method_reg="Метод индексации",god&lt;&gt;first_year),_xlfn.SUMIFS(INDEX('Калькуляция (МИ корр)'!$AJ$25:$BC$747,,MATCH(AH$8,'Калькуляция (МИ корр)'!$AJ$8:$BC$8,0)),'Калькуляция (МИ корр)'!$F$25:$F$747,$F308,'Калькуляция (МИ корр)'!$G$25:$G$747,$G308),IF(method_reg="Метод экономически обоснованных расходов",_xlfn.SUMIFS('Калькуляция (МЭОР)'!$AK$25:$AK$452,'Калькуляция (МЭОР)'!$F$25:$F$452,$F308,'Калькуляция (МЭОР)'!$G$25:$G$452,$G308),IF(method_reg="Метод сравнения аналогов",_xlfn.SUMIFS('Калькуляция (МСА)'!$AF$25:$AF$122,'Калькуляция (МСА)'!$F$25:$F$122,$F308,'Калькуляция (МСА)'!$G$25:$G$122,$G308),_xlfn.SUMIFS(INDEX('Калькуляция (МИ)'!$AJ$25:$BC$747,,MATCH(AH$8,'Калькуляция (МИ)'!$AJ$8:$BC$8,0)),'Калькуляция (МИ)'!$F$25:$F$747,$F308,'Калькуляция (МИ)'!$G$25:$G$747,$G308))))</f>
        <v>512.551275</v>
      </c>
      <c r="AI308" s="1095">
        <f>IF(AG308=0,0,(AH308-AG308)/AG308*100)</f>
        <v>0</v>
      </c>
      <c r="AJ308" s="5247">
        <f>IF(AND(method_reg="Метод индексации",god&lt;&gt;first_year),_xlfn.SUMIFS(INDEX('Калькуляция (МИ корр)'!$AJ$25:$BC$747,,MATCH(AJ$8,'Калькуляция (МИ корр)'!$AJ$8:$BC$8,0)),'Калькуляция (МИ корр)'!$F$25:$F$747,$F308,'Калькуляция (МИ корр)'!$G$25:$G$747,$G308),IF(method_reg="Метод экономически обоснованных расходов",_xlfn.SUMIFS('Калькуляция (МЭОР)'!$AJ$25:$AJ$452,'Калькуляция (МЭОР)'!$F$25:$F$452,$F308,'Калькуляция (МЭОР)'!$G$25:$G$452,$G308),IF(method_reg="Метод сравнения аналогов",_xlfn.SUMIFS('Калькуляция (МСА)'!$AE$25:$AE$122,'Калькуляция (МСА)'!$F$25:$F$122,$F308,'Калькуляция (МСА)'!$G$25:$G$122,$G308),_xlfn.SUMIFS(INDEX('Калькуляция (МИ)'!$AJ$25:$BC$747,,MATCH(AJ$8,'Калькуляция (МИ)'!$AJ$8:$BC$8,0)),'Калькуляция (МИ)'!$F$25:$F$747,$F308,'Калькуляция (МИ)'!$G$25:$G$747,$G308))))</f>
        <v>512.551275</v>
      </c>
      <c r="AK308" s="5247">
        <f>IF(AND(method_reg="Метод индексации",god&lt;&gt;first_year),_xlfn.SUMIFS(INDEX('Калькуляция (МИ корр)'!$AJ$25:$BC$747,,MATCH(AK$8,'Калькуляция (МИ корр)'!$AJ$8:$BC$8,0)),'Калькуляция (МИ корр)'!$F$25:$F$747,$F308,'Калькуляция (МИ корр)'!$G$25:$G$747,$G308),IF(method_reg="Метод экономически обоснованных расходов",_xlfn.SUMIFS('Калькуляция (МЭОР)'!$AK$25:$AK$452,'Калькуляция (МЭОР)'!$F$25:$F$452,$F308,'Калькуляция (МЭОР)'!$G$25:$G$452,$G308),IF(method_reg="Метод сравнения аналогов",_xlfn.SUMIFS('Калькуляция (МСА)'!$AF$25:$AF$122,'Калькуляция (МСА)'!$F$25:$F$122,$F308,'Калькуляция (МСА)'!$G$25:$G$122,$G308),_xlfn.SUMIFS(INDEX('Калькуляция (МИ)'!$AJ$25:$BC$747,,MATCH(AK$8,'Калькуляция (МИ)'!$AJ$8:$BC$8,0)),'Калькуляция (МИ)'!$F$25:$F$747,$F308,'Калькуляция (МИ)'!$G$25:$G$747,$G308))))</f>
        <v>512.551275</v>
      </c>
      <c r="AL308" s="1095">
        <f>IF(AJ308=0,0,(AK308-AJ308)/AJ308*100)</f>
        <v>0</v>
      </c>
      <c r="AM308" s="5247">
        <f>IF(AND(method_reg="Метод индексации",god&lt;&gt;first_year),_xlfn.SUMIFS(INDEX('Калькуляция (МИ корр)'!$AJ$25:$BC$747,,MATCH(AM$8,'Калькуляция (МИ корр)'!$AJ$8:$BC$8,0)),'Калькуляция (МИ корр)'!$F$25:$F$747,$F308,'Калькуляция (МИ корр)'!$G$25:$G$747,$G308),IF(method_reg="Метод экономически обоснованных расходов",_xlfn.SUMIFS('Калькуляция (МЭОР)'!$AJ$25:$AJ$452,'Калькуляция (МЭОР)'!$F$25:$F$452,$F308,'Калькуляция (МЭОР)'!$G$25:$G$452,$G308),IF(method_reg="Метод сравнения аналогов",_xlfn.SUMIFS('Калькуляция (МСА)'!$AE$25:$AE$122,'Калькуляция (МСА)'!$F$25:$F$122,$F308,'Калькуляция (МСА)'!$G$25:$G$122,$G308),_xlfn.SUMIFS(INDEX('Калькуляция (МИ)'!$AJ$25:$BC$747,,MATCH(AM$8,'Калькуляция (МИ)'!$AJ$8:$BC$8,0)),'Калькуляция (МИ)'!$F$25:$F$747,$F308,'Калькуляция (МИ)'!$G$25:$G$747,$G308))))</f>
        <v>512.551275</v>
      </c>
      <c r="AN308" s="5247">
        <f>IF(AND(method_reg="Метод индексации",god&lt;&gt;first_year),_xlfn.SUMIFS(INDEX('Калькуляция (МИ корр)'!$AJ$25:$BC$747,,MATCH(AN$8,'Калькуляция (МИ корр)'!$AJ$8:$BC$8,0)),'Калькуляция (МИ корр)'!$F$25:$F$747,$F308,'Калькуляция (МИ корр)'!$G$25:$G$747,$G308),IF(method_reg="Метод экономически обоснованных расходов",_xlfn.SUMIFS('Калькуляция (МЭОР)'!$AK$25:$AK$452,'Калькуляция (МЭОР)'!$F$25:$F$452,$F308,'Калькуляция (МЭОР)'!$G$25:$G$452,$G308),IF(method_reg="Метод сравнения аналогов",_xlfn.SUMIFS('Калькуляция (МСА)'!$AF$25:$AF$122,'Калькуляция (МСА)'!$F$25:$F$122,$F308,'Калькуляция (МСА)'!$G$25:$G$122,$G308),_xlfn.SUMIFS(INDEX('Калькуляция (МИ)'!$AJ$25:$BC$747,,MATCH(AN$8,'Калькуляция (МИ)'!$AJ$8:$BC$8,0)),'Калькуляция (МИ)'!$F$25:$F$747,$F308,'Калькуляция (МИ)'!$G$25:$G$747,$G308))))</f>
        <v>512.551275</v>
      </c>
      <c r="AO308" s="1095">
        <f>IF(AM308=0,0,(AN308-AM308)/AM308*100)</f>
        <v>0</v>
      </c>
      <c r="AP308" s="5247">
        <f>IF(AND(method_reg="Метод индексации",god&lt;&gt;first_year),_xlfn.SUMIFS(INDEX('Калькуляция (МИ корр)'!$AJ$25:$BC$747,,MATCH(AP$8,'Калькуляция (МИ корр)'!$AJ$8:$BC$8,0)),'Калькуляция (МИ корр)'!$F$25:$F$747,$F308,'Калькуляция (МИ корр)'!$G$25:$G$747,$G308),IF(method_reg="Метод экономически обоснованных расходов",_xlfn.SUMIFS('Калькуляция (МЭОР)'!$AJ$25:$AJ$452,'Калькуляция (МЭОР)'!$F$25:$F$452,$F308,'Калькуляция (МЭОР)'!$G$25:$G$452,$G308),IF(method_reg="Метод сравнения аналогов",_xlfn.SUMIFS('Калькуляция (МСА)'!$AE$25:$AE$122,'Калькуляция (МСА)'!$F$25:$F$122,$F308,'Калькуляция (МСА)'!$G$25:$G$122,$G308),_xlfn.SUMIFS(INDEX('Калькуляция (МИ)'!$AJ$25:$BC$747,,MATCH(AP$8,'Калькуляция (МИ)'!$AJ$8:$BC$8,0)),'Калькуляция (МИ)'!$F$25:$F$747,$F308,'Калькуляция (МИ)'!$G$25:$G$747,$G308))))</f>
        <v>512.551275</v>
      </c>
      <c r="AQ308" s="5247">
        <f>IF(AND(method_reg="Метод индексации",god&lt;&gt;first_year),_xlfn.SUMIFS(INDEX('Калькуляция (МИ корр)'!$AJ$25:$BC$747,,MATCH(AQ$8,'Калькуляция (МИ корр)'!$AJ$8:$BC$8,0)),'Калькуляция (МИ корр)'!$F$25:$F$747,$F308,'Калькуляция (МИ корр)'!$G$25:$G$747,$G308),IF(method_reg="Метод экономически обоснованных расходов",_xlfn.SUMIFS('Калькуляция (МЭОР)'!$AK$25:$AK$452,'Калькуляция (МЭОР)'!$F$25:$F$452,$F308,'Калькуляция (МЭОР)'!$G$25:$G$452,$G308),IF(method_reg="Метод сравнения аналогов",_xlfn.SUMIFS('Калькуляция (МСА)'!$AF$25:$AF$122,'Калькуляция (МСА)'!$F$25:$F$122,$F308,'Калькуляция (МСА)'!$G$25:$G$122,$G308),_xlfn.SUMIFS(INDEX('Калькуляция (МИ)'!$AJ$25:$BC$747,,MATCH(AQ$8,'Калькуляция (МИ)'!$AJ$8:$BC$8,0)),'Калькуляция (МИ)'!$F$25:$F$747,$F308,'Калькуляция (МИ)'!$G$25:$G$747,$G308))))</f>
        <v>512.551275</v>
      </c>
      <c r="AR308" s="1095">
        <f>IF(AP308=0,0,(AQ308-AP308)/AP308*100)</f>
        <v>0</v>
      </c>
      <c r="AS308" s="5247">
        <f>IF(AND(method_reg="Метод индексации",god&lt;&gt;first_year),_xlfn.SUMIFS(INDEX('Калькуляция (МИ корр)'!$AJ$25:$BC$747,,MATCH(AS$8,'Калькуляция (МИ корр)'!$AJ$8:$BC$8,0)),'Калькуляция (МИ корр)'!$F$25:$F$747,$F308,'Калькуляция (МИ корр)'!$G$25:$G$747,$G308),IF(method_reg="Метод экономически обоснованных расходов",_xlfn.SUMIFS('Калькуляция (МЭОР)'!$AJ$25:$AJ$452,'Калькуляция (МЭОР)'!$F$25:$F$452,$F308,'Калькуляция (МЭОР)'!$G$25:$G$452,$G308),IF(method_reg="Метод сравнения аналогов",_xlfn.SUMIFS('Калькуляция (МСА)'!$AE$25:$AE$122,'Калькуляция (МСА)'!$F$25:$F$122,$F308,'Калькуляция (МСА)'!$G$25:$G$122,$G308),_xlfn.SUMIFS(INDEX('Калькуляция (МИ)'!$AJ$25:$BC$747,,MATCH(AS$8,'Калькуляция (МИ)'!$AJ$8:$BC$8,0)),'Калькуляция (МИ)'!$F$25:$F$747,$F308,'Калькуляция (МИ)'!$G$25:$G$747,$G308))))</f>
        <v>0</v>
      </c>
      <c r="AT308" s="5247">
        <f>IF(AND(method_reg="Метод индексации",god&lt;&gt;first_year),_xlfn.SUMIFS(INDEX('Калькуляция (МИ корр)'!$AJ$25:$BC$747,,MATCH(AT$8,'Калькуляция (МИ корр)'!$AJ$8:$BC$8,0)),'Калькуляция (МИ корр)'!$F$25:$F$747,$F308,'Калькуляция (МИ корр)'!$G$25:$G$747,$G308),IF(method_reg="Метод экономически обоснованных расходов",_xlfn.SUMIFS('Калькуляция (МЭОР)'!$AK$25:$AK$452,'Калькуляция (МЭОР)'!$F$25:$F$452,$F308,'Калькуляция (МЭОР)'!$G$25:$G$452,$G308),IF(method_reg="Метод сравнения аналогов",_xlfn.SUMIFS('Калькуляция (МСА)'!$AF$25:$AF$122,'Калькуляция (МСА)'!$F$25:$F$122,$F308,'Калькуляция (МСА)'!$G$25:$G$122,$G308),_xlfn.SUMIFS(INDEX('Калькуляция (МИ)'!$AJ$25:$BC$747,,MATCH(AT$8,'Калькуляция (МИ)'!$AJ$8:$BC$8,0)),'Калькуляция (МИ)'!$F$25:$F$747,$F308,'Калькуляция (МИ)'!$G$25:$G$747,$G308))))</f>
        <v>0</v>
      </c>
      <c r="AU308" s="1095">
        <f>IF(AS308=0,0,(AT308-AS308)/AS308*100)</f>
        <v>0</v>
      </c>
      <c r="AV308" s="5247">
        <f>IF(AND(method_reg="Метод индексации",god&lt;&gt;first_year),_xlfn.SUMIFS(INDEX('Калькуляция (МИ корр)'!$AJ$25:$BC$747,,MATCH(AV$8,'Калькуляция (МИ корр)'!$AJ$8:$BC$8,0)),'Калькуляция (МИ корр)'!$F$25:$F$747,$F308,'Калькуляция (МИ корр)'!$G$25:$G$747,$G308),IF(method_reg="Метод экономически обоснованных расходов",_xlfn.SUMIFS('Калькуляция (МЭОР)'!$AJ$25:$AJ$452,'Калькуляция (МЭОР)'!$F$25:$F$452,$F308,'Калькуляция (МЭОР)'!$G$25:$G$452,$G308),IF(method_reg="Метод сравнения аналогов",_xlfn.SUMIFS('Калькуляция (МСА)'!$AE$25:$AE$122,'Калькуляция (МСА)'!$F$25:$F$122,$F308,'Калькуляция (МСА)'!$G$25:$G$122,$G308),_xlfn.SUMIFS(INDEX('Калькуляция (МИ)'!$AJ$25:$BC$747,,MATCH(AV$8,'Калькуляция (МИ)'!$AJ$8:$BC$8,0)),'Калькуляция (МИ)'!$F$25:$F$747,$F308,'Калькуляция (МИ)'!$G$25:$G$747,$G308))))</f>
        <v>0</v>
      </c>
      <c r="AW308" s="5247">
        <f>IF(AND(method_reg="Метод индексации",god&lt;&gt;first_year),_xlfn.SUMIFS(INDEX('Калькуляция (МИ корр)'!$AJ$25:$BC$747,,MATCH(AW$8,'Калькуляция (МИ корр)'!$AJ$8:$BC$8,0)),'Калькуляция (МИ корр)'!$F$25:$F$747,$F308,'Калькуляция (МИ корр)'!$G$25:$G$747,$G308),IF(method_reg="Метод экономически обоснованных расходов",_xlfn.SUMIFS('Калькуляция (МЭОР)'!$AK$25:$AK$452,'Калькуляция (МЭОР)'!$F$25:$F$452,$F308,'Калькуляция (МЭОР)'!$G$25:$G$452,$G308),IF(method_reg="Метод сравнения аналогов",_xlfn.SUMIFS('Калькуляция (МСА)'!$AF$25:$AF$122,'Калькуляция (МСА)'!$F$25:$F$122,$F308,'Калькуляция (МСА)'!$G$25:$G$122,$G308),_xlfn.SUMIFS(INDEX('Калькуляция (МИ)'!$AJ$25:$BC$747,,MATCH(AW$8,'Калькуляция (МИ)'!$AJ$8:$BC$8,0)),'Калькуляция (МИ)'!$F$25:$F$747,$F308,'Калькуляция (МИ)'!$G$25:$G$747,$G308))))</f>
        <v>0</v>
      </c>
      <c r="AX308" s="1095">
        <f>IF(AV308=0,0,(AW308-AV308)/AV308*100)</f>
        <v>0</v>
      </c>
      <c r="AY308" s="5247">
        <f>IF(AND(method_reg="Метод индексации",god&lt;&gt;first_year),_xlfn.SUMIFS(INDEX('Калькуляция (МИ корр)'!$AJ$25:$BC$747,,MATCH(AY$8,'Калькуляция (МИ корр)'!$AJ$8:$BC$8,0)),'Калькуляция (МИ корр)'!$F$25:$F$747,$F308,'Калькуляция (МИ корр)'!$G$25:$G$747,$G308),IF(method_reg="Метод экономически обоснованных расходов",_xlfn.SUMIFS('Калькуляция (МЭОР)'!$AJ$25:$AJ$452,'Калькуляция (МЭОР)'!$F$25:$F$452,$F308,'Калькуляция (МЭОР)'!$G$25:$G$452,$G308),IF(method_reg="Метод сравнения аналогов",_xlfn.SUMIFS('Калькуляция (МСА)'!$AE$25:$AE$122,'Калькуляция (МСА)'!$F$25:$F$122,$F308,'Калькуляция (МСА)'!$G$25:$G$122,$G308),_xlfn.SUMIFS(INDEX('Калькуляция (МИ)'!$AJ$25:$BC$747,,MATCH(AY$8,'Калькуляция (МИ)'!$AJ$8:$BC$8,0)),'Калькуляция (МИ)'!$F$25:$F$747,$F308,'Калькуляция (МИ)'!$G$25:$G$747,$G308))))</f>
        <v>0</v>
      </c>
      <c r="AZ308" s="5247">
        <f>IF(AND(method_reg="Метод индексации",god&lt;&gt;first_year),_xlfn.SUMIFS(INDEX('Калькуляция (МИ корр)'!$AJ$25:$BC$747,,MATCH(AZ$8,'Калькуляция (МИ корр)'!$AJ$8:$BC$8,0)),'Калькуляция (МИ корр)'!$F$25:$F$747,$F308,'Калькуляция (МИ корр)'!$G$25:$G$747,$G308),IF(method_reg="Метод экономически обоснованных расходов",_xlfn.SUMIFS('Калькуляция (МЭОР)'!$AK$25:$AK$452,'Калькуляция (МЭОР)'!$F$25:$F$452,$F308,'Калькуляция (МЭОР)'!$G$25:$G$452,$G308),IF(method_reg="Метод сравнения аналогов",_xlfn.SUMIFS('Калькуляция (МСА)'!$AF$25:$AF$122,'Калькуляция (МСА)'!$F$25:$F$122,$F308,'Калькуляция (МСА)'!$G$25:$G$122,$G308),_xlfn.SUMIFS(INDEX('Калькуляция (МИ)'!$AJ$25:$BC$747,,MATCH(AZ$8,'Калькуляция (МИ)'!$AJ$8:$BC$8,0)),'Калькуляция (МИ)'!$F$25:$F$747,$F308,'Калькуляция (МИ)'!$G$25:$G$747,$G308))))</f>
        <v>0</v>
      </c>
      <c r="BA308" s="1095">
        <f>IF(AY308=0,0,(AZ308-AY308)/AY308*100)</f>
        <v>0</v>
      </c>
      <c r="BB308" s="5247">
        <f>IF(AND(method_reg="Метод индексации",god&lt;&gt;first_year),_xlfn.SUMIFS(INDEX('Калькуляция (МИ корр)'!$AJ$25:$BC$747,,MATCH(BB$8,'Калькуляция (МИ корр)'!$AJ$8:$BC$8,0)),'Калькуляция (МИ корр)'!$F$25:$F$747,$F308,'Калькуляция (МИ корр)'!$G$25:$G$747,$G308),IF(method_reg="Метод экономически обоснованных расходов",_xlfn.SUMIFS('Калькуляция (МЭОР)'!$AJ$25:$AJ$452,'Калькуляция (МЭОР)'!$F$25:$F$452,$F308,'Калькуляция (МЭОР)'!$G$25:$G$452,$G308),IF(method_reg="Метод сравнения аналогов",_xlfn.SUMIFS('Калькуляция (МСА)'!$AE$25:$AE$122,'Калькуляция (МСА)'!$F$25:$F$122,$F308,'Калькуляция (МСА)'!$G$25:$G$122,$G308),_xlfn.SUMIFS(INDEX('Калькуляция (МИ)'!$AJ$25:$BC$747,,MATCH(BB$8,'Калькуляция (МИ)'!$AJ$8:$BC$8,0)),'Калькуляция (МИ)'!$F$25:$F$747,$F308,'Калькуляция (МИ)'!$G$25:$G$747,$G308))))</f>
        <v>0</v>
      </c>
      <c r="BC308" s="5247">
        <f>IF(AND(method_reg="Метод индексации",god&lt;&gt;first_year),_xlfn.SUMIFS(INDEX('Калькуляция (МИ корр)'!$AJ$25:$BC$747,,MATCH(BC$8,'Калькуляция (МИ корр)'!$AJ$8:$BC$8,0)),'Калькуляция (МИ корр)'!$F$25:$F$747,$F308,'Калькуляция (МИ корр)'!$G$25:$G$747,$G308),IF(method_reg="Метод экономически обоснованных расходов",_xlfn.SUMIFS('Калькуляция (МЭОР)'!$AK$25:$AK$452,'Калькуляция (МЭОР)'!$F$25:$F$452,$F308,'Калькуляция (МЭОР)'!$G$25:$G$452,$G308),IF(method_reg="Метод сравнения аналогов",_xlfn.SUMIFS('Калькуляция (МСА)'!$AF$25:$AF$122,'Калькуляция (МСА)'!$F$25:$F$122,$F308,'Калькуляция (МСА)'!$G$25:$G$122,$G308),_xlfn.SUMIFS(INDEX('Калькуляция (МИ)'!$AJ$25:$BC$747,,MATCH(BC$8,'Калькуляция (МИ)'!$AJ$8:$BC$8,0)),'Калькуляция (МИ)'!$F$25:$F$747,$F308,'Калькуляция (МИ)'!$G$25:$G$747,$G308))))</f>
        <v>0</v>
      </c>
      <c r="BD308" s="1095">
        <f>IF(BB308=0,0,(BC308-BB308)/BB308*100)</f>
        <v>0</v>
      </c>
      <c r="BE308" s="5247">
        <f>IF(AND(method_reg="Метод индексации",god&lt;&gt;first_year),_xlfn.SUMIFS(INDEX('Калькуляция (МИ корр)'!$AJ$25:$BC$747,,MATCH(BE$8,'Калькуляция (МИ корр)'!$AJ$8:$BC$8,0)),'Калькуляция (МИ корр)'!$F$25:$F$747,$F308,'Калькуляция (МИ корр)'!$G$25:$G$747,$G308),IF(method_reg="Метод экономически обоснованных расходов",_xlfn.SUMIFS('Калькуляция (МЭОР)'!$AJ$25:$AJ$452,'Калькуляция (МЭОР)'!$F$25:$F$452,$F308,'Калькуляция (МЭОР)'!$G$25:$G$452,$G308),IF(method_reg="Метод сравнения аналогов",_xlfn.SUMIFS('Калькуляция (МСА)'!$AE$25:$AE$122,'Калькуляция (МСА)'!$F$25:$F$122,$F308,'Калькуляция (МСА)'!$G$25:$G$122,$G308),_xlfn.SUMIFS(INDEX('Калькуляция (МИ)'!$AJ$25:$BC$747,,MATCH(BE$8,'Калькуляция (МИ)'!$AJ$8:$BC$8,0)),'Калькуляция (МИ)'!$F$25:$F$747,$F308,'Калькуляция (МИ)'!$G$25:$G$747,$G308))))</f>
        <v>0</v>
      </c>
      <c r="BF308" s="5247">
        <f>IF(AND(method_reg="Метод индексации",god&lt;&gt;first_year),_xlfn.SUMIFS(INDEX('Калькуляция (МИ корр)'!$AJ$25:$BC$747,,MATCH(BF$8,'Калькуляция (МИ корр)'!$AJ$8:$BC$8,0)),'Калькуляция (МИ корр)'!$F$25:$F$747,$F308,'Калькуляция (МИ корр)'!$G$25:$G$747,$G308),IF(method_reg="Метод экономически обоснованных расходов",_xlfn.SUMIFS('Калькуляция (МЭОР)'!$AK$25:$AK$452,'Калькуляция (МЭОР)'!$F$25:$F$452,$F308,'Калькуляция (МЭОР)'!$G$25:$G$452,$G308),IF(method_reg="Метод сравнения аналогов",_xlfn.SUMIFS('Калькуляция (МСА)'!$AF$25:$AF$122,'Калькуляция (МСА)'!$F$25:$F$122,$F308,'Калькуляция (МСА)'!$G$25:$G$122,$G308),_xlfn.SUMIFS(INDEX('Калькуляция (МИ)'!$AJ$25:$BC$747,,MATCH(BF$8,'Калькуляция (МИ)'!$AJ$8:$BC$8,0)),'Калькуляция (МИ)'!$F$25:$F$747,$F308,'Калькуляция (МИ)'!$G$25:$G$747,$G308))))</f>
        <v>0</v>
      </c>
      <c r="BG308" s="1104">
        <f>IF(BE308=0,0,(BF308-BE308)/BE308*100)</f>
        <v>0</v>
      </c>
      <c r="BH308" s="5247"/>
      <c r="BI308" s="5247"/>
      <c r="BJ308" s="1104">
        <f>IF(BH308=0,0,(BI308-BH308)/BH308*100)</f>
        <v>0</v>
      </c>
      <c r="BK308" s="5247"/>
      <c r="BL308" s="5247"/>
      <c r="BM308" s="1104">
        <f>IF(BK308=0,0,(BL308-BK308)/BK308*100)</f>
        <v>0</v>
      </c>
      <c r="BN308" s="5247"/>
      <c r="BO308" s="5247"/>
      <c r="BP308" s="1104">
        <f>IF(BN308=0,0,(BO308-BN308)/BN308*100)</f>
        <v>0</v>
      </c>
      <c r="BQ308" s="5247"/>
      <c r="BR308" s="5247"/>
      <c r="BS308" s="1104">
        <f>IF(BQ308=0,0,(BR308-BQ308)/BQ308*100)</f>
        <v>0</v>
      </c>
      <c r="BT308" s="5247"/>
      <c r="BU308" s="5247"/>
      <c r="BV308" s="1104">
        <f>IF(BT308=0,0,(BU308-BT308)/BT308*100)</f>
        <v>0</v>
      </c>
      <c r="BW308" s="5247"/>
      <c r="BX308" s="5247"/>
      <c r="BY308" s="1104">
        <f>IF(BW308=0,0,(BX308-BW308)/BW308*100)</f>
        <v>0</v>
      </c>
      <c r="BZ308" s="5247"/>
      <c r="CA308" s="5247"/>
      <c r="CB308" s="1104">
        <f>IF(BZ308=0,0,(CA308-BZ308)/BZ308*100)</f>
        <v>0</v>
      </c>
      <c r="CC308" s="5247"/>
      <c r="CD308" s="5247"/>
      <c r="CE308" s="1104">
        <f>IF(CC308=0,0,(CD308-CC308)/CC308*100)</f>
        <v>0</v>
      </c>
      <c r="CF308" s="5247"/>
      <c r="CG308" s="5247"/>
      <c r="CH308" s="1104">
        <f>IF(CF308=0,0,(CG308-CF308)/CF308*100)</f>
        <v>0</v>
      </c>
      <c r="CI308" s="5247"/>
      <c r="CJ308" s="5247"/>
      <c r="CK308" s="1104">
        <f>IF(CI308=0,0,(CJ308-CI308)/CI308*100)</f>
        <v>0</v>
      </c>
      <c r="CL308" s="5247"/>
      <c r="CM308" s="5247"/>
      <c r="CN308" s="1104">
        <f>IF(CL308=0,0,(CM308-CL308)/CL308*100)</f>
        <v>0</v>
      </c>
      <c r="CO308" s="5247"/>
      <c r="CP308" s="5247"/>
      <c r="CQ308" s="1104">
        <f>IF(CO308=0,0,(CP308-CO308)/CO308*100)</f>
        <v>0</v>
      </c>
      <c r="CR308" s="5247"/>
      <c r="CS308" s="5247"/>
      <c r="CT308" s="1104">
        <f>IF(CR308=0,0,(CS308-CR308)/CR308*100)</f>
        <v>0</v>
      </c>
      <c r="CU308" s="5247"/>
      <c r="CV308" s="5247"/>
      <c r="CW308" s="1104">
        <f>IF(CU308=0,0,(CV308-CU308)/CU308*100)</f>
        <v>0</v>
      </c>
      <c r="CX308" s="5247"/>
      <c r="CY308" s="5247"/>
      <c r="CZ308" s="1104">
        <f>IF(CX308=0,0,(CY308-CX308)/CX308*100)</f>
        <v>0</v>
      </c>
      <c r="DA308" s="5247"/>
      <c r="DB308" s="5247"/>
      <c r="DC308" s="1104">
        <f>IF(DA308=0,0,(DB308-DA308)/DA308*100)</f>
        <v>0</v>
      </c>
      <c r="DD308" s="5247"/>
      <c r="DE308" s="5247"/>
      <c r="DF308" s="1104">
        <f>IF(DD308=0,0,(DE308-DD308)/DD308*100)</f>
        <v>0</v>
      </c>
      <c r="DG308" s="5247"/>
      <c r="DH308" s="5247"/>
      <c r="DI308" s="1104">
        <f>IF(DG308=0,0,(DH308-DG308)/DG308*100)</f>
        <v>0</v>
      </c>
      <c r="DJ308" s="5247"/>
      <c r="DK308" s="5247"/>
      <c r="DL308" s="1104">
        <f>IF(DJ308=0,0,(DK308-DJ308)/DJ308*100)</f>
        <v>0</v>
      </c>
      <c r="DM308" s="5247"/>
      <c r="DN308" s="5247"/>
      <c r="DO308" s="1104">
        <f>IF(DM308=0,0,(DN308-DM308)/DM308*100)</f>
        <v>0</v>
      </c>
      <c r="DP308" s="5247"/>
      <c r="DQ308" s="5247"/>
      <c r="DR308" s="1104">
        <f>IF(DP308=0,0,(DQ308-DP308)/DP308*100)</f>
        <v>0</v>
      </c>
      <c r="DS308" s="5247"/>
      <c r="DT308" s="5247"/>
      <c r="DU308" s="1104">
        <f>IF(DS308=0,0,(DT308-DS308)/DS308*100)</f>
        <v>0</v>
      </c>
      <c r="DV308" s="5247"/>
      <c r="DW308" s="5247"/>
      <c r="DX308" s="1104">
        <f>IF(DV308=0,0,(DW308-DV308)/DV308*100)</f>
        <v>0</v>
      </c>
      <c r="DY308" s="5247"/>
      <c r="DZ308" s="5247"/>
      <c r="EA308" s="1104">
        <f>IF(DY308=0,0,(DZ308-DY308)/DY308*100)</f>
        <v>0</v>
      </c>
      <c r="EB308" s="5247"/>
      <c r="EC308" s="5247"/>
      <c r="ED308" s="1104">
        <f>IF(EB308=0,0,(EC308-EB308)/EB308*100)</f>
        <v>0</v>
      </c>
      <c r="EE308" s="5247"/>
      <c r="EF308" s="5247"/>
      <c r="EG308" s="1104">
        <f>IF(EE308=0,0,(EF308-EE308)/EE308*100)</f>
        <v>0</v>
      </c>
      <c r="EH308" s="5247"/>
      <c r="EI308" s="5247"/>
      <c r="EJ308" s="1104">
        <f>IF(EH308=0,0,(EI308-EH308)/EH308*100)</f>
        <v>0</v>
      </c>
      <c r="EK308" s="5247"/>
      <c r="EL308" s="5247"/>
      <c r="EM308" s="1104">
        <f>IF(EK308=0,0,(EL308-EK308)/EK308*100)</f>
        <v>0</v>
      </c>
      <c r="EN308" s="5247"/>
      <c r="EO308" s="5247"/>
      <c r="EP308" s="1104">
        <f>IF(EN308=0,0,(EO308-EN308)/EN308*100)</f>
        <v>0</v>
      </c>
      <c r="EQ308" s="5247"/>
      <c r="ER308" s="5247"/>
      <c r="ES308" s="1104">
        <f>IF(EQ308=0,0,(ER308-EQ308)/EQ308*100)</f>
        <v>0</v>
      </c>
      <c r="ET308" s="5247"/>
      <c r="EU308" s="5247"/>
      <c r="EV308" s="1104">
        <f>IF(ET308=0,0,(EU308-ET308)/ET308*100)</f>
        <v>0</v>
      </c>
      <c r="EW308" s="5247"/>
      <c r="EX308" s="5247"/>
      <c r="EY308" s="1104">
        <f>IF(EW308=0,0,(EX308-EW308)/EW308*100)</f>
        <v>0</v>
      </c>
      <c r="EZ308" s="5247"/>
      <c r="FA308" s="5247"/>
      <c r="FB308" s="1104">
        <f>IF(EZ308=0,0,(FA308-EZ308)/EZ308*100)</f>
        <v>0</v>
      </c>
      <c r="FC308" s="5247"/>
      <c r="FD308" s="5247"/>
      <c r="FE308" s="1104">
        <f>IF(FC308=0,0,(FD308-FC308)/FC308*100)</f>
        <v>0</v>
      </c>
      <c r="FF308" s="5247"/>
      <c r="FG308" s="5247"/>
      <c r="FH308" s="1104">
        <f>IF(FF308=0,0,(FG308-FF308)/FF308*100)</f>
        <v>0</v>
      </c>
      <c r="FI308" s="5247"/>
      <c r="FJ308" s="5247"/>
      <c r="FK308" s="1104">
        <f>IF(FI308=0,0,(FJ308-FI308)/FI308*100)</f>
        <v>0</v>
      </c>
      <c r="FL308" s="5247"/>
      <c r="FM308" s="5247"/>
      <c r="FN308" s="1104">
        <f>IF(FL308=0,0,(FM308-FL308)/FL308*100)</f>
        <v>0</v>
      </c>
      <c r="FO308" s="5247"/>
      <c r="FP308" s="5247"/>
      <c r="FQ308" s="1104">
        <f>IF(FO308=0,0,(FP308-FO308)/FO308*100)</f>
        <v>0</v>
      </c>
      <c r="FR308" s="5247"/>
      <c r="FS308" s="5247"/>
      <c r="FT308" s="1104">
        <f>IF(FR308=0,0,(FS308-FR308)/FR308*100)</f>
        <v>0</v>
      </c>
      <c r="FU308" s="5247"/>
      <c r="FV308" s="5247"/>
      <c r="FW308" s="1104">
        <f>IF(FU308=0,0,(FV308-FU308)/FU308*100)</f>
        <v>0</v>
      </c>
      <c r="FX308" s="1304"/>
      <c r="FY308" s="1304"/>
      <c r="FZ308" s="1055" t="s">
        <v>2387</v>
      </c>
      <c r="GA308" s="1306"/>
      <c r="GB308" s="1306"/>
      <c r="GC308" s="1305"/>
      <c r="GD308" s="1305"/>
    </row>
    <row s="1834" customFormat="1" customHeight="1" ht="21.75" hidden="1">
      <c r="A309" s="493"/>
      <c r="B309" s="925" cm="1" t="str">
        <f t="array" ref="B309:B309">B308</f>
        <v>false</v>
      </c>
      <c r="C309" s="493"/>
      <c r="D309" s="493"/>
      <c r="E309" s="840">
        <v>22.5</v>
      </c>
      <c r="F309" s="50" cm="1" t="str">
        <f t="array" ref="F309:F309">OFFSET(E309,-1,1)</f>
        <v>4</v>
      </c>
      <c r="G309" s="493"/>
      <c r="H309" s="493" t="s">
        <v>2376</v>
      </c>
      <c r="I309" s="493" t="s">
        <v>2340</v>
      </c>
      <c r="J309" s="493"/>
      <c r="K309" s="493"/>
      <c r="L309" s="493"/>
      <c r="M309" s="493"/>
      <c r="N309" s="493"/>
      <c r="O309" s="493"/>
      <c r="P309" s="493"/>
      <c r="Q309" s="493"/>
      <c r="R309" s="493"/>
      <c r="S309" s="493"/>
      <c r="T309" s="465" cm="1" t="str">
        <f t="array" ref="T309:T309">T308</f>
        <v>true</v>
      </c>
      <c r="U309" s="493"/>
      <c r="V309" s="493"/>
      <c r="W309" s="493"/>
      <c r="X309" s="1596"/>
      <c r="Y309" s="493"/>
      <c r="Z309" s="1545"/>
      <c r="AA309" s="493"/>
      <c r="AB309" s="1091" t="str">
        <f>"ставка платы за содержание системы "&amp;IF(Q281="Водоснабжение","холодного водоснабжения","водоотведения")</f>
        <v>ставка платы за содержание системы водоотведения</v>
      </c>
      <c r="AC309" s="864" t="s">
        <v>2377</v>
      </c>
      <c r="AD309" s="2846"/>
      <c r="AE309" s="2846"/>
      <c r="AF309" s="1093">
        <f>IF(AD309=0,0,(AE309-AD309)/AD309*100)</f>
        <v>0</v>
      </c>
      <c r="AG309" s="2846"/>
      <c r="AH309" s="2846"/>
      <c r="AI309" s="1093">
        <f>IF(AG309=0,0,(AH309-AG309)/AG309*100)</f>
        <v>0</v>
      </c>
      <c r="AJ309" s="2846"/>
      <c r="AK309" s="2846"/>
      <c r="AL309" s="1093">
        <f>IF(AJ309=0,0,(AK309-AJ309)/AJ309*100)</f>
        <v>0</v>
      </c>
      <c r="AM309" s="2846"/>
      <c r="AN309" s="2846"/>
      <c r="AO309" s="1093">
        <f>IF(AM309=0,0,(AN309-AM309)/AM309*100)</f>
        <v>0</v>
      </c>
      <c r="AP309" s="2846"/>
      <c r="AQ309" s="2846"/>
      <c r="AR309" s="1093">
        <f>IF(AP309=0,0,(AQ309-AP309)/AP309*100)</f>
        <v>0</v>
      </c>
      <c r="AS309" s="2846"/>
      <c r="AT309" s="2846"/>
      <c r="AU309" s="1093">
        <f>IF(AS309=0,0,(AT309-AS309)/AS309*100)</f>
        <v>0</v>
      </c>
      <c r="AV309" s="2846"/>
      <c r="AW309" s="2846"/>
      <c r="AX309" s="1093">
        <f>IF(AV309=0,0,(AW309-AV309)/AV309*100)</f>
        <v>0</v>
      </c>
      <c r="AY309" s="2846"/>
      <c r="AZ309" s="2846"/>
      <c r="BA309" s="1093">
        <f>IF(AY309=0,0,(AZ309-AY309)/AY309*100)</f>
        <v>0</v>
      </c>
      <c r="BB309" s="2846"/>
      <c r="BC309" s="2846"/>
      <c r="BD309" s="1093">
        <f>IF(BB309=0,0,(BC309-BB309)/BB309*100)</f>
        <v>0</v>
      </c>
      <c r="BE309" s="2846"/>
      <c r="BF309" s="2846"/>
      <c r="BG309" s="1093">
        <f>IF(BE309=0,0,(BF309-BE309)/BE309*100)</f>
        <v>0</v>
      </c>
      <c r="BH309" s="2846"/>
      <c r="BI309" s="2846"/>
      <c r="BJ309" s="1093">
        <f>IF(BH309=0,0,(BI309-BH309)/BH309*100)</f>
        <v>0</v>
      </c>
      <c r="BK309" s="2846"/>
      <c r="BL309" s="2846"/>
      <c r="BM309" s="1093">
        <f>IF(BK309=0,0,(BL309-BK309)/BK309*100)</f>
        <v>0</v>
      </c>
      <c r="BN309" s="2846"/>
      <c r="BO309" s="2846"/>
      <c r="BP309" s="1093">
        <f>IF(BN309=0,0,(BO309-BN309)/BN309*100)</f>
        <v>0</v>
      </c>
      <c r="BQ309" s="2846"/>
      <c r="BR309" s="2846"/>
      <c r="BS309" s="1093">
        <f>IF(BQ309=0,0,(BR309-BQ309)/BQ309*100)</f>
        <v>0</v>
      </c>
      <c r="BT309" s="2846"/>
      <c r="BU309" s="2846"/>
      <c r="BV309" s="1093">
        <f>IF(BT309=0,0,(BU309-BT309)/BT309*100)</f>
        <v>0</v>
      </c>
      <c r="BW309" s="2846"/>
      <c r="BX309" s="2846"/>
      <c r="BY309" s="1093">
        <f>IF(BW309=0,0,(BX309-BW309)/BW309*100)</f>
        <v>0</v>
      </c>
      <c r="BZ309" s="2846"/>
      <c r="CA309" s="2846"/>
      <c r="CB309" s="1093">
        <f>IF(BZ309=0,0,(CA309-BZ309)/BZ309*100)</f>
        <v>0</v>
      </c>
      <c r="CC309" s="2846"/>
      <c r="CD309" s="2846"/>
      <c r="CE309" s="1093">
        <f>IF(CC309=0,0,(CD309-CC309)/CC309*100)</f>
        <v>0</v>
      </c>
      <c r="CF309" s="2846"/>
      <c r="CG309" s="2846"/>
      <c r="CH309" s="1093">
        <f>IF(CF309=0,0,(CG309-CF309)/CF309*100)</f>
        <v>0</v>
      </c>
      <c r="CI309" s="2846"/>
      <c r="CJ309" s="2846"/>
      <c r="CK309" s="1093">
        <f>IF(CI309=0,0,(CJ309-CI309)/CI309*100)</f>
        <v>0</v>
      </c>
      <c r="CL309" s="2846"/>
      <c r="CM309" s="2846"/>
      <c r="CN309" s="1093">
        <f>IF(CL309=0,0,(CM309-CL309)/CL309*100)</f>
        <v>0</v>
      </c>
      <c r="CO309" s="2846"/>
      <c r="CP309" s="2846"/>
      <c r="CQ309" s="1093">
        <f>IF(CO309=0,0,(CP309-CO309)/CO309*100)</f>
        <v>0</v>
      </c>
      <c r="CR309" s="2846"/>
      <c r="CS309" s="2846"/>
      <c r="CT309" s="1093">
        <f>IF(CR309=0,0,(CS309-CR309)/CR309*100)</f>
        <v>0</v>
      </c>
      <c r="CU309" s="2846"/>
      <c r="CV309" s="2846"/>
      <c r="CW309" s="1093">
        <f>IF(CU309=0,0,(CV309-CU309)/CU309*100)</f>
        <v>0</v>
      </c>
      <c r="CX309" s="2846"/>
      <c r="CY309" s="2846"/>
      <c r="CZ309" s="1093">
        <f>IF(CX309=0,0,(CY309-CX309)/CX309*100)</f>
        <v>0</v>
      </c>
      <c r="DA309" s="2846"/>
      <c r="DB309" s="2846"/>
      <c r="DC309" s="1093">
        <f>IF(DA309=0,0,(DB309-DA309)/DA309*100)</f>
        <v>0</v>
      </c>
      <c r="DD309" s="2846"/>
      <c r="DE309" s="2846"/>
      <c r="DF309" s="1093">
        <f>IF(DD309=0,0,(DE309-DD309)/DD309*100)</f>
        <v>0</v>
      </c>
      <c r="DG309" s="2846"/>
      <c r="DH309" s="2846"/>
      <c r="DI309" s="1093">
        <f>IF(DG309=0,0,(DH309-DG309)/DG309*100)</f>
        <v>0</v>
      </c>
      <c r="DJ309" s="2846"/>
      <c r="DK309" s="2846"/>
      <c r="DL309" s="1093">
        <f>IF(DJ309=0,0,(DK309-DJ309)/DJ309*100)</f>
        <v>0</v>
      </c>
      <c r="DM309" s="2846"/>
      <c r="DN309" s="2846"/>
      <c r="DO309" s="1093">
        <f>IF(DM309=0,0,(DN309-DM309)/DM309*100)</f>
        <v>0</v>
      </c>
      <c r="DP309" s="2846"/>
      <c r="DQ309" s="2846"/>
      <c r="DR309" s="1093">
        <f>IF(DP309=0,0,(DQ309-DP309)/DP309*100)</f>
        <v>0</v>
      </c>
      <c r="DS309" s="2846"/>
      <c r="DT309" s="2846"/>
      <c r="DU309" s="1093">
        <f>IF(DS309=0,0,(DT309-DS309)/DS309*100)</f>
        <v>0</v>
      </c>
      <c r="DV309" s="2846"/>
      <c r="DW309" s="2846"/>
      <c r="DX309" s="1093">
        <f>IF(DV309=0,0,(DW309-DV309)/DV309*100)</f>
        <v>0</v>
      </c>
      <c r="DY309" s="2846"/>
      <c r="DZ309" s="2846"/>
      <c r="EA309" s="1093">
        <f>IF(DY309=0,0,(DZ309-DY309)/DY309*100)</f>
        <v>0</v>
      </c>
      <c r="EB309" s="2846"/>
      <c r="EC309" s="2846"/>
      <c r="ED309" s="1093">
        <f>IF(EB309=0,0,(EC309-EB309)/EB309*100)</f>
        <v>0</v>
      </c>
      <c r="EE309" s="2846"/>
      <c r="EF309" s="2846"/>
      <c r="EG309" s="1093">
        <f>IF(EE309=0,0,(EF309-EE309)/EE309*100)</f>
        <v>0</v>
      </c>
      <c r="EH309" s="2846"/>
      <c r="EI309" s="2846"/>
      <c r="EJ309" s="1093">
        <f>IF(EH309=0,0,(EI309-EH309)/EH309*100)</f>
        <v>0</v>
      </c>
      <c r="EK309" s="2846"/>
      <c r="EL309" s="2846"/>
      <c r="EM309" s="1093">
        <f>IF(EK309=0,0,(EL309-EK309)/EK309*100)</f>
        <v>0</v>
      </c>
      <c r="EN309" s="2846"/>
      <c r="EO309" s="2846"/>
      <c r="EP309" s="1093">
        <f>IF(EN309=0,0,(EO309-EN309)/EN309*100)</f>
        <v>0</v>
      </c>
      <c r="EQ309" s="2846"/>
      <c r="ER309" s="2846"/>
      <c r="ES309" s="1093">
        <f>IF(EQ309=0,0,(ER309-EQ309)/EQ309*100)</f>
        <v>0</v>
      </c>
      <c r="ET309" s="2846"/>
      <c r="EU309" s="2846"/>
      <c r="EV309" s="1093">
        <f>IF(ET309=0,0,(EU309-ET309)/ET309*100)</f>
        <v>0</v>
      </c>
      <c r="EW309" s="2846"/>
      <c r="EX309" s="2846"/>
      <c r="EY309" s="1093">
        <f>IF(EW309=0,0,(EX309-EW309)/EW309*100)</f>
        <v>0</v>
      </c>
      <c r="EZ309" s="2846"/>
      <c r="FA309" s="2846"/>
      <c r="FB309" s="1093">
        <f>IF(EZ309=0,0,(FA309-EZ309)/EZ309*100)</f>
        <v>0</v>
      </c>
      <c r="FC309" s="2846"/>
      <c r="FD309" s="2846"/>
      <c r="FE309" s="1093">
        <f>IF(FC309=0,0,(FD309-FC309)/FC309*100)</f>
        <v>0</v>
      </c>
      <c r="FF309" s="2846"/>
      <c r="FG309" s="2846"/>
      <c r="FH309" s="1093">
        <f>IF(FF309=0,0,(FG309-FF309)/FF309*100)</f>
        <v>0</v>
      </c>
      <c r="FI309" s="2846"/>
      <c r="FJ309" s="2846"/>
      <c r="FK309" s="1093">
        <f>IF(FI309=0,0,(FJ309-FI309)/FI309*100)</f>
        <v>0</v>
      </c>
      <c r="FL309" s="2846"/>
      <c r="FM309" s="2846"/>
      <c r="FN309" s="1093">
        <f>IF(FL309=0,0,(FM309-FL309)/FL309*100)</f>
        <v>0</v>
      </c>
      <c r="FO309" s="2846"/>
      <c r="FP309" s="2846"/>
      <c r="FQ309" s="1093">
        <f>IF(FO309=0,0,(FP309-FO309)/FO309*100)</f>
        <v>0</v>
      </c>
      <c r="FR309" s="2846"/>
      <c r="FS309" s="2846"/>
      <c r="FT309" s="1093">
        <f>IF(FR309=0,0,(FS309-FR309)/FR309*100)</f>
        <v>0</v>
      </c>
      <c r="FU309" s="2846"/>
      <c r="FV309" s="2846"/>
      <c r="FW309" s="1093">
        <f>IF(FU309=0,0,(FV309-FU309)/FU309*100)</f>
        <v>0</v>
      </c>
      <c r="FX309" s="1304"/>
      <c r="FY309" s="1304"/>
      <c r="FZ309" s="1055" t="s">
        <v>2388</v>
      </c>
      <c r="GA309" s="1306"/>
      <c r="GB309" s="1306"/>
      <c r="GC309" s="1305"/>
      <c r="GD309" s="1305"/>
    </row>
    <row s="1834" customFormat="1" customHeight="1" ht="14.25" hidden="1">
      <c r="A310" s="493"/>
      <c r="B310" s="925" cm="1" t="str">
        <f t="array" ref="B310:B310">B309</f>
        <v>false</v>
      </c>
      <c r="C310" s="493"/>
      <c r="D310" s="493"/>
      <c r="E310" s="840">
        <v>15</v>
      </c>
      <c r="F310" s="50" cm="1" t="str">
        <f t="array" ref="F310:F310">OFFSET(E310,-1,1)</f>
        <v>4</v>
      </c>
      <c r="G310" s="493"/>
      <c r="H310" s="493" t="s">
        <v>2379</v>
      </c>
      <c r="I310" s="493" t="s">
        <v>2340</v>
      </c>
      <c r="J310" s="493"/>
      <c r="K310" s="493"/>
      <c r="L310" s="493"/>
      <c r="M310" s="493"/>
      <c r="N310" s="493"/>
      <c r="O310" s="493"/>
      <c r="P310" s="493"/>
      <c r="Q310" s="493"/>
      <c r="R310" s="493"/>
      <c r="S310" s="493"/>
      <c r="T310" s="465" cm="1" t="str">
        <f t="array" ref="T310:T310">T309</f>
        <v>true</v>
      </c>
      <c r="U310" s="493"/>
      <c r="V310" s="493"/>
      <c r="W310" s="493"/>
      <c r="X310" s="1596"/>
      <c r="Y310" s="493"/>
      <c r="Z310" s="1545"/>
      <c r="AA310" s="493"/>
      <c r="AB310" s="1091" t="s">
        <v>2380</v>
      </c>
      <c r="AC310" s="864" t="s">
        <v>2381</v>
      </c>
      <c r="AD310" s="2846"/>
      <c r="AE310" s="2846"/>
      <c r="AF310" s="1093">
        <f>IF(AD310=0,0,(AE310-AD310)/AD310*100)</f>
        <v>0</v>
      </c>
      <c r="AG310" s="2846"/>
      <c r="AH310" s="2846"/>
      <c r="AI310" s="1093">
        <f>IF(AG310=0,0,(AH310-AG310)/AG310*100)</f>
        <v>0</v>
      </c>
      <c r="AJ310" s="2846"/>
      <c r="AK310" s="2846"/>
      <c r="AL310" s="1093">
        <f>IF(AJ310=0,0,(AK310-AJ310)/AJ310*100)</f>
        <v>0</v>
      </c>
      <c r="AM310" s="2846"/>
      <c r="AN310" s="2846"/>
      <c r="AO310" s="1093">
        <f>IF(AM310=0,0,(AN310-AM310)/AM310*100)</f>
        <v>0</v>
      </c>
      <c r="AP310" s="2846"/>
      <c r="AQ310" s="2846"/>
      <c r="AR310" s="1093">
        <f>IF(AP310=0,0,(AQ310-AP310)/AP310*100)</f>
        <v>0</v>
      </c>
      <c r="AS310" s="2846"/>
      <c r="AT310" s="2846"/>
      <c r="AU310" s="1093">
        <f>IF(AS310=0,0,(AT310-AS310)/AS310*100)</f>
        <v>0</v>
      </c>
      <c r="AV310" s="2846"/>
      <c r="AW310" s="2846"/>
      <c r="AX310" s="1093">
        <f>IF(AV310=0,0,(AW310-AV310)/AV310*100)</f>
        <v>0</v>
      </c>
      <c r="AY310" s="2846"/>
      <c r="AZ310" s="2846"/>
      <c r="BA310" s="1093">
        <f>IF(AY310=0,0,(AZ310-AY310)/AY310*100)</f>
        <v>0</v>
      </c>
      <c r="BB310" s="2846"/>
      <c r="BC310" s="2846"/>
      <c r="BD310" s="1093">
        <f>IF(BB310=0,0,(BC310-BB310)/BB310*100)</f>
        <v>0</v>
      </c>
      <c r="BE310" s="2846"/>
      <c r="BF310" s="2846"/>
      <c r="BG310" s="1093">
        <f>IF(BE310=0,0,(BF310-BE310)/BE310*100)</f>
        <v>0</v>
      </c>
      <c r="BH310" s="2846"/>
      <c r="BI310" s="2846"/>
      <c r="BJ310" s="1093">
        <f>IF(BH310=0,0,(BI310-BH310)/BH310*100)</f>
        <v>0</v>
      </c>
      <c r="BK310" s="2846"/>
      <c r="BL310" s="2846"/>
      <c r="BM310" s="1093">
        <f>IF(BK310=0,0,(BL310-BK310)/BK310*100)</f>
        <v>0</v>
      </c>
      <c r="BN310" s="2846"/>
      <c r="BO310" s="2846"/>
      <c r="BP310" s="1093">
        <f>IF(BN310=0,0,(BO310-BN310)/BN310*100)</f>
        <v>0</v>
      </c>
      <c r="BQ310" s="2846"/>
      <c r="BR310" s="2846"/>
      <c r="BS310" s="1093">
        <f>IF(BQ310=0,0,(BR310-BQ310)/BQ310*100)</f>
        <v>0</v>
      </c>
      <c r="BT310" s="2846"/>
      <c r="BU310" s="2846"/>
      <c r="BV310" s="1093">
        <f>IF(BT310=0,0,(BU310-BT310)/BT310*100)</f>
        <v>0</v>
      </c>
      <c r="BW310" s="2846"/>
      <c r="BX310" s="2846"/>
      <c r="BY310" s="1093">
        <f>IF(BW310=0,0,(BX310-BW310)/BW310*100)</f>
        <v>0</v>
      </c>
      <c r="BZ310" s="2846"/>
      <c r="CA310" s="2846"/>
      <c r="CB310" s="1093">
        <f>IF(BZ310=0,0,(CA310-BZ310)/BZ310*100)</f>
        <v>0</v>
      </c>
      <c r="CC310" s="2846"/>
      <c r="CD310" s="2846"/>
      <c r="CE310" s="1093">
        <f>IF(CC310=0,0,(CD310-CC310)/CC310*100)</f>
        <v>0</v>
      </c>
      <c r="CF310" s="2846"/>
      <c r="CG310" s="2846"/>
      <c r="CH310" s="1093">
        <f>IF(CF310=0,0,(CG310-CF310)/CF310*100)</f>
        <v>0</v>
      </c>
      <c r="CI310" s="2846"/>
      <c r="CJ310" s="2846"/>
      <c r="CK310" s="1093">
        <f>IF(CI310=0,0,(CJ310-CI310)/CI310*100)</f>
        <v>0</v>
      </c>
      <c r="CL310" s="2846"/>
      <c r="CM310" s="2846"/>
      <c r="CN310" s="1093">
        <f>IF(CL310=0,0,(CM310-CL310)/CL310*100)</f>
        <v>0</v>
      </c>
      <c r="CO310" s="2846"/>
      <c r="CP310" s="2846"/>
      <c r="CQ310" s="1093">
        <f>IF(CO310=0,0,(CP310-CO310)/CO310*100)</f>
        <v>0</v>
      </c>
      <c r="CR310" s="2846"/>
      <c r="CS310" s="2846"/>
      <c r="CT310" s="1093">
        <f>IF(CR310=0,0,(CS310-CR310)/CR310*100)</f>
        <v>0</v>
      </c>
      <c r="CU310" s="2846"/>
      <c r="CV310" s="2846"/>
      <c r="CW310" s="1093">
        <f>IF(CU310=0,0,(CV310-CU310)/CU310*100)</f>
        <v>0</v>
      </c>
      <c r="CX310" s="2846"/>
      <c r="CY310" s="2846"/>
      <c r="CZ310" s="1093">
        <f>IF(CX310=0,0,(CY310-CX310)/CX310*100)</f>
        <v>0</v>
      </c>
      <c r="DA310" s="2846"/>
      <c r="DB310" s="2846"/>
      <c r="DC310" s="1093">
        <f>IF(DA310=0,0,(DB310-DA310)/DA310*100)</f>
        <v>0</v>
      </c>
      <c r="DD310" s="2846"/>
      <c r="DE310" s="2846"/>
      <c r="DF310" s="1093">
        <f>IF(DD310=0,0,(DE310-DD310)/DD310*100)</f>
        <v>0</v>
      </c>
      <c r="DG310" s="2846"/>
      <c r="DH310" s="2846"/>
      <c r="DI310" s="1093">
        <f>IF(DG310=0,0,(DH310-DG310)/DG310*100)</f>
        <v>0</v>
      </c>
      <c r="DJ310" s="2846"/>
      <c r="DK310" s="2846"/>
      <c r="DL310" s="1093">
        <f>IF(DJ310=0,0,(DK310-DJ310)/DJ310*100)</f>
        <v>0</v>
      </c>
      <c r="DM310" s="2846"/>
      <c r="DN310" s="2846"/>
      <c r="DO310" s="1093">
        <f>IF(DM310=0,0,(DN310-DM310)/DM310*100)</f>
        <v>0</v>
      </c>
      <c r="DP310" s="2846"/>
      <c r="DQ310" s="2846"/>
      <c r="DR310" s="1093">
        <f>IF(DP310=0,0,(DQ310-DP310)/DP310*100)</f>
        <v>0</v>
      </c>
      <c r="DS310" s="2846"/>
      <c r="DT310" s="2846"/>
      <c r="DU310" s="1093">
        <f>IF(DS310=0,0,(DT310-DS310)/DS310*100)</f>
        <v>0</v>
      </c>
      <c r="DV310" s="2846"/>
      <c r="DW310" s="2846"/>
      <c r="DX310" s="1093">
        <f>IF(DV310=0,0,(DW310-DV310)/DV310*100)</f>
        <v>0</v>
      </c>
      <c r="DY310" s="2846"/>
      <c r="DZ310" s="2846"/>
      <c r="EA310" s="1093">
        <f>IF(DY310=0,0,(DZ310-DY310)/DY310*100)</f>
        <v>0</v>
      </c>
      <c r="EB310" s="2846"/>
      <c r="EC310" s="2846"/>
      <c r="ED310" s="1093">
        <f>IF(EB310=0,0,(EC310-EB310)/EB310*100)</f>
        <v>0</v>
      </c>
      <c r="EE310" s="2846"/>
      <c r="EF310" s="2846"/>
      <c r="EG310" s="1093">
        <f>IF(EE310=0,0,(EF310-EE310)/EE310*100)</f>
        <v>0</v>
      </c>
      <c r="EH310" s="2846"/>
      <c r="EI310" s="2846"/>
      <c r="EJ310" s="1093">
        <f>IF(EH310=0,0,(EI310-EH310)/EH310*100)</f>
        <v>0</v>
      </c>
      <c r="EK310" s="2846"/>
      <c r="EL310" s="2846"/>
      <c r="EM310" s="1093">
        <f>IF(EK310=0,0,(EL310-EK310)/EK310*100)</f>
        <v>0</v>
      </c>
      <c r="EN310" s="2846"/>
      <c r="EO310" s="2846"/>
      <c r="EP310" s="1093">
        <f>IF(EN310=0,0,(EO310-EN310)/EN310*100)</f>
        <v>0</v>
      </c>
      <c r="EQ310" s="2846"/>
      <c r="ER310" s="2846"/>
      <c r="ES310" s="1093">
        <f>IF(EQ310=0,0,(ER310-EQ310)/EQ310*100)</f>
        <v>0</v>
      </c>
      <c r="ET310" s="2846"/>
      <c r="EU310" s="2846"/>
      <c r="EV310" s="1093">
        <f>IF(ET310=0,0,(EU310-ET310)/ET310*100)</f>
        <v>0</v>
      </c>
      <c r="EW310" s="2846"/>
      <c r="EX310" s="2846"/>
      <c r="EY310" s="1093">
        <f>IF(EW310=0,0,(EX310-EW310)/EW310*100)</f>
        <v>0</v>
      </c>
      <c r="EZ310" s="2846"/>
      <c r="FA310" s="2846"/>
      <c r="FB310" s="1093">
        <f>IF(EZ310=0,0,(FA310-EZ310)/EZ310*100)</f>
        <v>0</v>
      </c>
      <c r="FC310" s="2846"/>
      <c r="FD310" s="2846"/>
      <c r="FE310" s="1093">
        <f>IF(FC310=0,0,(FD310-FC310)/FC310*100)</f>
        <v>0</v>
      </c>
      <c r="FF310" s="2846"/>
      <c r="FG310" s="2846"/>
      <c r="FH310" s="1093">
        <f>IF(FF310=0,0,(FG310-FF310)/FF310*100)</f>
        <v>0</v>
      </c>
      <c r="FI310" s="2846"/>
      <c r="FJ310" s="2846"/>
      <c r="FK310" s="1093">
        <f>IF(FI310=0,0,(FJ310-FI310)/FI310*100)</f>
        <v>0</v>
      </c>
      <c r="FL310" s="2846"/>
      <c r="FM310" s="2846"/>
      <c r="FN310" s="1093">
        <f>IF(FL310=0,0,(FM310-FL310)/FL310*100)</f>
        <v>0</v>
      </c>
      <c r="FO310" s="2846"/>
      <c r="FP310" s="2846"/>
      <c r="FQ310" s="1093">
        <f>IF(FO310=0,0,(FP310-FO310)/FO310*100)</f>
        <v>0</v>
      </c>
      <c r="FR310" s="2846"/>
      <c r="FS310" s="2846"/>
      <c r="FT310" s="1093">
        <f>IF(FR310=0,0,(FS310-FR310)/FR310*100)</f>
        <v>0</v>
      </c>
      <c r="FU310" s="2846"/>
      <c r="FV310" s="2846"/>
      <c r="FW310" s="1093">
        <f>IF(FU310=0,0,(FV310-FU310)/FU310*100)</f>
        <v>0</v>
      </c>
      <c r="FX310" s="1304"/>
      <c r="FY310" s="1304"/>
      <c r="FZ310" s="1055" t="s">
        <v>2389</v>
      </c>
      <c r="GA310" s="1306"/>
      <c r="GB310" s="1306"/>
      <c r="GC310" s="1305"/>
      <c r="GD310" s="1305"/>
    </row>
    <row s="1834" customFormat="1" customHeight="1" ht="23.25" hidden="1">
      <c r="A311" s="493"/>
      <c r="B311" s="925" cm="1" t="str">
        <f t="array" ref="B311:B311">B310</f>
        <v>false</v>
      </c>
      <c r="C311" s="493"/>
      <c r="D311" s="493"/>
      <c r="E311" s="840">
        <v>24.5</v>
      </c>
      <c r="F311" s="50" cm="1" t="str">
        <f t="array" ref="F311:F311">OFFSET(E311,-1,1)</f>
        <v>4</v>
      </c>
      <c r="G311" s="493"/>
      <c r="H311" s="493"/>
      <c r="I311" s="493"/>
      <c r="J311" s="493"/>
      <c r="K311" s="493"/>
      <c r="L311" s="493"/>
      <c r="M311" s="493"/>
      <c r="N311" s="493"/>
      <c r="O311" s="493"/>
      <c r="P311" s="493"/>
      <c r="Q311" s="493"/>
      <c r="R311" s="493"/>
      <c r="S311" s="493"/>
      <c r="T311" s="465" cm="1" t="str">
        <f t="array" ref="T311:T311">T310</f>
        <v>true</v>
      </c>
      <c r="U311" s="493"/>
      <c r="V311" s="493"/>
      <c r="W311" s="493"/>
      <c r="X311" s="1596"/>
      <c r="Y311" s="493"/>
      <c r="Z311" s="1545"/>
      <c r="AA311" s="493"/>
      <c r="AB311" s="293" t="s">
        <v>2390</v>
      </c>
      <c r="AC311" s="903"/>
      <c r="AD311" s="1102"/>
      <c r="AE311" s="1102"/>
      <c r="AF311" s="1102"/>
      <c r="AG311" s="1102"/>
      <c r="AH311" s="1102"/>
      <c r="AI311" s="1102"/>
      <c r="AJ311" s="1102"/>
      <c r="AK311" s="1102"/>
      <c r="AL311" s="1102"/>
      <c r="AM311" s="1102"/>
      <c r="AN311" s="1102"/>
      <c r="AO311" s="1102"/>
      <c r="AP311" s="1102"/>
      <c r="AQ311" s="1102"/>
      <c r="AR311" s="1102"/>
      <c r="AS311" s="1102"/>
      <c r="AT311" s="1102"/>
      <c r="AU311" s="1102"/>
      <c r="AV311" s="1102"/>
      <c r="AW311" s="1102"/>
      <c r="AX311" s="1102"/>
      <c r="AY311" s="1102"/>
      <c r="AZ311" s="1102"/>
      <c r="BA311" s="1102"/>
      <c r="BB311" s="1102"/>
      <c r="BC311" s="1102"/>
      <c r="BD311" s="1102"/>
      <c r="BE311" s="1102"/>
      <c r="BF311" s="1102"/>
      <c r="BG311" s="1102"/>
      <c r="BH311" s="1102"/>
      <c r="BI311" s="1102"/>
      <c r="BJ311" s="1102"/>
      <c r="BK311" s="1102"/>
      <c r="BL311" s="1102"/>
      <c r="BM311" s="1102"/>
      <c r="BN311" s="1102"/>
      <c r="BO311" s="1102"/>
      <c r="BP311" s="1102"/>
      <c r="BQ311" s="1102"/>
      <c r="BR311" s="1102"/>
      <c r="BS311" s="1102"/>
      <c r="BT311" s="1102"/>
      <c r="BU311" s="1102"/>
      <c r="BV311" s="1102"/>
      <c r="BW311" s="1102"/>
      <c r="BX311" s="1102"/>
      <c r="BY311" s="1102"/>
      <c r="BZ311" s="1102"/>
      <c r="CA311" s="1102"/>
      <c r="CB311" s="1102"/>
      <c r="CC311" s="1102"/>
      <c r="CD311" s="1102"/>
      <c r="CE311" s="1102"/>
      <c r="CF311" s="1102"/>
      <c r="CG311" s="1102"/>
      <c r="CH311" s="1102"/>
      <c r="CI311" s="1102"/>
      <c r="CJ311" s="1102"/>
      <c r="CK311" s="1102"/>
      <c r="CL311" s="1102"/>
      <c r="CM311" s="1102"/>
      <c r="CN311" s="1102"/>
      <c r="CO311" s="1102"/>
      <c r="CP311" s="1102"/>
      <c r="CQ311" s="1102"/>
      <c r="CR311" s="1102"/>
      <c r="CS311" s="1102"/>
      <c r="CT311" s="1102"/>
      <c r="CU311" s="1102"/>
      <c r="CV311" s="1102"/>
      <c r="CW311" s="1102"/>
      <c r="CX311" s="1102"/>
      <c r="CY311" s="1102"/>
      <c r="CZ311" s="1102"/>
      <c r="DA311" s="1102"/>
      <c r="DB311" s="1102"/>
      <c r="DC311" s="1102"/>
      <c r="DD311" s="1102"/>
      <c r="DE311" s="1102"/>
      <c r="DF311" s="1102"/>
      <c r="DG311" s="1102"/>
      <c r="DH311" s="1102"/>
      <c r="DI311" s="1102"/>
      <c r="DJ311" s="1102"/>
      <c r="DK311" s="1102"/>
      <c r="DL311" s="1102"/>
      <c r="DM311" s="1102"/>
      <c r="DN311" s="1102"/>
      <c r="DO311" s="1102"/>
      <c r="DP311" s="1102"/>
      <c r="DQ311" s="1102"/>
      <c r="DR311" s="1102"/>
      <c r="DS311" s="1102"/>
      <c r="DT311" s="1102"/>
      <c r="DU311" s="1102"/>
      <c r="DV311" s="1102"/>
      <c r="DW311" s="1102"/>
      <c r="DX311" s="1102"/>
      <c r="DY311" s="1102"/>
      <c r="DZ311" s="1102"/>
      <c r="EA311" s="1102"/>
      <c r="EB311" s="1102"/>
      <c r="EC311" s="1102"/>
      <c r="ED311" s="1102"/>
      <c r="EE311" s="1102"/>
      <c r="EF311" s="1102"/>
      <c r="EG311" s="1102"/>
      <c r="EH311" s="1102"/>
      <c r="EI311" s="1102"/>
      <c r="EJ311" s="1102"/>
      <c r="EK311" s="1102"/>
      <c r="EL311" s="1102"/>
      <c r="EM311" s="1102"/>
      <c r="EN311" s="1102"/>
      <c r="EO311" s="1102"/>
      <c r="EP311" s="1102"/>
      <c r="EQ311" s="1102"/>
      <c r="ER311" s="1102"/>
      <c r="ES311" s="1102"/>
      <c r="ET311" s="1102"/>
      <c r="EU311" s="1102"/>
      <c r="EV311" s="1102"/>
      <c r="EW311" s="1102"/>
      <c r="EX311" s="1102"/>
      <c r="EY311" s="1102"/>
      <c r="EZ311" s="1102"/>
      <c r="FA311" s="1102"/>
      <c r="FB311" s="1102"/>
      <c r="FC311" s="1102"/>
      <c r="FD311" s="1102"/>
      <c r="FE311" s="1102"/>
      <c r="FF311" s="1102"/>
      <c r="FG311" s="1102"/>
      <c r="FH311" s="1102"/>
      <c r="FI311" s="1102"/>
      <c r="FJ311" s="1102"/>
      <c r="FK311" s="1102"/>
      <c r="FL311" s="1102"/>
      <c r="FM311" s="1102"/>
      <c r="FN311" s="1102"/>
      <c r="FO311" s="1102"/>
      <c r="FP311" s="1102"/>
      <c r="FQ311" s="1102"/>
      <c r="FR311" s="1102"/>
      <c r="FS311" s="1102"/>
      <c r="FT311" s="1102"/>
      <c r="FU311" s="1102"/>
      <c r="FV311" s="1102"/>
      <c r="FW311" s="1103"/>
      <c r="FX311" s="1304"/>
      <c r="FY311" s="1304"/>
      <c r="FZ311" s="1055"/>
      <c r="GA311" s="1306"/>
      <c r="GB311" s="1306"/>
      <c r="GC311" s="1305"/>
      <c r="GD311" s="1305"/>
    </row>
    <row s="1834" customFormat="1" customHeight="1" ht="14.25" hidden="1">
      <c r="A312" s="493"/>
      <c r="B312" s="925" cm="1" t="str">
        <f t="array" ref="B312:B312">B311</f>
        <v>false</v>
      </c>
      <c r="C312" s="493"/>
      <c r="D312" s="493"/>
      <c r="E312" s="840">
        <v>15</v>
      </c>
      <c r="F312" s="50" cm="1" t="str">
        <f t="array" ref="F312:F312">OFFSET(E312,-1,1)</f>
        <v>4</v>
      </c>
      <c r="G312" s="493"/>
      <c r="H312" s="493" t="s">
        <v>2295</v>
      </c>
      <c r="I312" s="493" t="s">
        <v>2350</v>
      </c>
      <c r="J312" s="493"/>
      <c r="K312" s="493"/>
      <c r="L312" s="493"/>
      <c r="M312" s="493"/>
      <c r="N312" s="493"/>
      <c r="O312" s="493"/>
      <c r="P312" s="493"/>
      <c r="Q312" s="493"/>
      <c r="R312" s="493"/>
      <c r="S312" s="493"/>
      <c r="T312" s="465" cm="1" t="str">
        <f t="array" ref="T312:T312">T311</f>
        <v>true</v>
      </c>
      <c r="U312" s="493"/>
      <c r="V312" s="493"/>
      <c r="W312" s="493"/>
      <c r="X312" s="1596"/>
      <c r="Y312" s="493"/>
      <c r="Z312" s="1545"/>
      <c r="AA312" s="493"/>
      <c r="AB312" s="1091" t="s">
        <v>2370</v>
      </c>
      <c r="AC312" s="864" t="s">
        <v>2337</v>
      </c>
      <c r="AD312" s="2846">
        <f>IF(AD314=0,0,(AD313*AD314+AD315*AD316*IF(god=2026,9,6))/AD314)</f>
        <v>0</v>
      </c>
      <c r="AE312" s="2846">
        <f>IF(AE314=0,0,(AE313*AE314+AE315*AE316*IF(god=2026,9,6))/AE314)</f>
        <v>0</v>
      </c>
      <c r="AF312" s="1093">
        <f>IF(AD312=0,0,(AE312-AD312)/AD312*100)</f>
        <v>0</v>
      </c>
      <c r="AG312" s="2846">
        <f>IF(AG314=0,0,(AG313*AG314+AG315*AG316*IF(god=2025,9,6))/AG314)</f>
        <v>0</v>
      </c>
      <c r="AH312" s="2846">
        <f>IF(AH314=0,0,(AH313*AH314+AH315*AH316*IF(god=2025,9,6))/AH314)</f>
        <v>0</v>
      </c>
      <c r="AI312" s="1093">
        <f>IF(AG312=0,0,(AH312-AG312)/AG312*100)</f>
        <v>0</v>
      </c>
      <c r="AJ312" s="2846">
        <f>IF(AJ314=0,0,(AJ313*AJ314+AJ315*AJ316*6)/AJ314)</f>
        <v>0</v>
      </c>
      <c r="AK312" s="2846">
        <f>IF(AK314=0,0,(AK313*AK314+AK315*AK316*6)/AK314)</f>
        <v>0</v>
      </c>
      <c r="AL312" s="1093">
        <f>IF(AJ312=0,0,(AK312-AJ312)/AJ312*100)</f>
        <v>0</v>
      </c>
      <c r="AM312" s="2846">
        <f>IF(AM314=0,0,(AM313*AM314+AM315*AM316*6)/AM314)</f>
        <v>0</v>
      </c>
      <c r="AN312" s="2846">
        <f>IF(AN314=0,0,(AN313*AN314+AN315*AN316*6)/AN314)</f>
        <v>0</v>
      </c>
      <c r="AO312" s="1093">
        <f>IF(AM312=0,0,(AN312-AM312)/AM312*100)</f>
        <v>0</v>
      </c>
      <c r="AP312" s="2846">
        <f>IF(AP314=0,0,(AP313*AP314+AP315*AP316*6)/AP314)</f>
        <v>0</v>
      </c>
      <c r="AQ312" s="2846">
        <f>IF(AQ314=0,0,(AQ313*AQ314+AQ315*AQ316*6)/AQ314)</f>
        <v>0</v>
      </c>
      <c r="AR312" s="1093">
        <f>IF(AP312=0,0,(AQ312-AP312)/AP312*100)</f>
        <v>0</v>
      </c>
      <c r="AS312" s="2846">
        <f>IF(AS314=0,0,(AS313*AS314+AS315*AS316*6)/AS314)</f>
        <v>0</v>
      </c>
      <c r="AT312" s="2846">
        <f>IF(AT314=0,0,(AT313*AT314+AT315*AT316*6)/AT314)</f>
        <v>0</v>
      </c>
      <c r="AU312" s="1093">
        <f>IF(AS312=0,0,(AT312-AS312)/AS312*100)</f>
        <v>0</v>
      </c>
      <c r="AV312" s="2846">
        <f>IF(AV314=0,0,(AV313*AV314+AV315*AV316*6)/AV314)</f>
        <v>0</v>
      </c>
      <c r="AW312" s="2846">
        <f>IF(AW314=0,0,(AW313*AW314+AW315*AW316*6)/AW314)</f>
        <v>0</v>
      </c>
      <c r="AX312" s="1093">
        <f>IF(AV312=0,0,(AW312-AV312)/AV312*100)</f>
        <v>0</v>
      </c>
      <c r="AY312" s="2846">
        <f>IF(AY314=0,0,(AY313*AY314+AY315*AY316*6)/AY314)</f>
        <v>0</v>
      </c>
      <c r="AZ312" s="2846">
        <f>IF(AZ314=0,0,(AZ313*AZ314+AZ315*AZ316*6)/AZ314)</f>
        <v>0</v>
      </c>
      <c r="BA312" s="1093">
        <f>IF(AY312=0,0,(AZ312-AY312)/AY312*100)</f>
        <v>0</v>
      </c>
      <c r="BB312" s="2846">
        <f>IF(BB314=0,0,(BB313*BB314+BB315*BB316*6)/BB314)</f>
        <v>0</v>
      </c>
      <c r="BC312" s="2846">
        <f>IF(BC314=0,0,(BC313*BC314+BC315*BC316*6)/BC314)</f>
        <v>0</v>
      </c>
      <c r="BD312" s="1093">
        <f>IF(BB312=0,0,(BC312-BB312)/BB312*100)</f>
        <v>0</v>
      </c>
      <c r="BE312" s="2846">
        <f>IF(BE314=0,0,(BE313*BE314+BE315*BE316*6)/BE314)</f>
        <v>0</v>
      </c>
      <c r="BF312" s="2846">
        <f>IF(BF314=0,0,(BF313*BF314+BF315*BF316*6)/BF314)</f>
        <v>0</v>
      </c>
      <c r="BG312" s="1093">
        <f>IF(BE312=0,0,(BF312-BE312)/BE312*100)</f>
        <v>0</v>
      </c>
      <c r="BH312" s="2846">
        <f>IF(BH314=0,0,(BH313*BH314+BH315*BH316*6)/BH314)</f>
        <v>0</v>
      </c>
      <c r="BI312" s="2846">
        <f>IF(BI314=0,0,(BI313*BI314+BI315*BI316*6)/BI314)</f>
        <v>0</v>
      </c>
      <c r="BJ312" s="1093">
        <f>IF(BH312=0,0,(BI312-BH312)/BH312*100)</f>
        <v>0</v>
      </c>
      <c r="BK312" s="2846">
        <f>IF(BK314=0,0,(BK313*BK314+BK315*BK316*6)/BK314)</f>
        <v>0</v>
      </c>
      <c r="BL312" s="2846">
        <f>IF(BL314=0,0,(BL313*BL314+BL315*BL316*6)/BL314)</f>
        <v>0</v>
      </c>
      <c r="BM312" s="1093">
        <f>IF(BK312=0,0,(BL312-BK312)/BK312*100)</f>
        <v>0</v>
      </c>
      <c r="BN312" s="2846">
        <f>IF(BN314=0,0,(BN313*BN314+BN315*BN316*6)/BN314)</f>
        <v>0</v>
      </c>
      <c r="BO312" s="2846">
        <f>IF(BO314=0,0,(BO313*BO314+BO315*BO316*6)/BO314)</f>
        <v>0</v>
      </c>
      <c r="BP312" s="1093">
        <f>IF(BN312=0,0,(BO312-BN312)/BN312*100)</f>
        <v>0</v>
      </c>
      <c r="BQ312" s="2846">
        <f>IF(BQ314=0,0,(BQ313*BQ314+BQ315*BQ316*6)/BQ314)</f>
        <v>0</v>
      </c>
      <c r="BR312" s="2846">
        <f>IF(BR314=0,0,(BR313*BR314+BR315*BR316*6)/BR314)</f>
        <v>0</v>
      </c>
      <c r="BS312" s="1093">
        <f>IF(BQ312=0,0,(BR312-BQ312)/BQ312*100)</f>
        <v>0</v>
      </c>
      <c r="BT312" s="2846">
        <f>IF(BT314=0,0,(BT313*BT314+BT315*BT316*6)/BT314)</f>
        <v>0</v>
      </c>
      <c r="BU312" s="2846">
        <f>IF(BU314=0,0,(BU313*BU314+BU315*BU316*6)/BU314)</f>
        <v>0</v>
      </c>
      <c r="BV312" s="1093">
        <f>IF(BT312=0,0,(BU312-BT312)/BT312*100)</f>
        <v>0</v>
      </c>
      <c r="BW312" s="2846">
        <f>IF(BW314=0,0,(BW313*BW314+BW315*BW316*6)/BW314)</f>
        <v>0</v>
      </c>
      <c r="BX312" s="2846">
        <f>IF(BX314=0,0,(BX313*BX314+BX315*BX316*6)/BX314)</f>
        <v>0</v>
      </c>
      <c r="BY312" s="1093">
        <f>IF(BW312=0,0,(BX312-BW312)/BW312*100)</f>
        <v>0</v>
      </c>
      <c r="BZ312" s="2846">
        <f>IF(BZ314=0,0,(BZ313*BZ314+BZ315*BZ316*6)/BZ314)</f>
        <v>0</v>
      </c>
      <c r="CA312" s="2846">
        <f>IF(CA314=0,0,(CA313*CA314+CA315*CA316*6)/CA314)</f>
        <v>0</v>
      </c>
      <c r="CB312" s="1093">
        <f>IF(BZ312=0,0,(CA312-BZ312)/BZ312*100)</f>
        <v>0</v>
      </c>
      <c r="CC312" s="2846">
        <f>IF(CC314=0,0,(CC313*CC314+CC315*CC316*6)/CC314)</f>
        <v>0</v>
      </c>
      <c r="CD312" s="2846">
        <f>IF(CD314=0,0,(CD313*CD314+CD315*CD316*6)/CD314)</f>
        <v>0</v>
      </c>
      <c r="CE312" s="1093">
        <f>IF(CC312=0,0,(CD312-CC312)/CC312*100)</f>
        <v>0</v>
      </c>
      <c r="CF312" s="2846">
        <f>IF(CF314=0,0,(CF313*CF314+CF315*CF316*6)/CF314)</f>
        <v>0</v>
      </c>
      <c r="CG312" s="2846">
        <f>IF(CG314=0,0,(CG313*CG314+CG315*CG316*6)/CG314)</f>
        <v>0</v>
      </c>
      <c r="CH312" s="1093">
        <f>IF(CF312=0,0,(CG312-CF312)/CF312*100)</f>
        <v>0</v>
      </c>
      <c r="CI312" s="2846">
        <f>IF(CI314=0,0,(CI313*CI314+CI315*CI316*6)/CI314)</f>
        <v>0</v>
      </c>
      <c r="CJ312" s="2846">
        <f>IF(CJ314=0,0,(CJ313*CJ314+CJ315*CJ316*6)/CJ314)</f>
        <v>0</v>
      </c>
      <c r="CK312" s="1093">
        <f>IF(CI312=0,0,(CJ312-CI312)/CI312*100)</f>
        <v>0</v>
      </c>
      <c r="CL312" s="2846">
        <f>IF(CL314=0,0,(CL313*CL314+CL315*CL316*6)/CL314)</f>
        <v>0</v>
      </c>
      <c r="CM312" s="2846">
        <f>IF(CM314=0,0,(CM313*CM314+CM315*CM316*6)/CM314)</f>
        <v>0</v>
      </c>
      <c r="CN312" s="1093">
        <f>IF(CL312=0,0,(CM312-CL312)/CL312*100)</f>
        <v>0</v>
      </c>
      <c r="CO312" s="2846">
        <f>IF(CO314=0,0,(CO313*CO314+CO315*CO316*6)/CO314)</f>
        <v>0</v>
      </c>
      <c r="CP312" s="2846">
        <f>IF(CP314=0,0,(CP313*CP314+CP315*CP316*6)/CP314)</f>
        <v>0</v>
      </c>
      <c r="CQ312" s="1093">
        <f>IF(CO312=0,0,(CP312-CO312)/CO312*100)</f>
        <v>0</v>
      </c>
      <c r="CR312" s="2846">
        <f>IF(CR314=0,0,(CR313*CR314+CR315*CR316*6)/CR314)</f>
        <v>0</v>
      </c>
      <c r="CS312" s="2846">
        <f>IF(CS314=0,0,(CS313*CS314+CS315*CS316*6)/CS314)</f>
        <v>0</v>
      </c>
      <c r="CT312" s="1093">
        <f>IF(CR312=0,0,(CS312-CR312)/CR312*100)</f>
        <v>0</v>
      </c>
      <c r="CU312" s="2846">
        <f>IF(CU314=0,0,(CU313*CU314+CU315*CU316*6)/CU314)</f>
        <v>0</v>
      </c>
      <c r="CV312" s="2846">
        <f>IF(CV314=0,0,(CV313*CV314+CV315*CV316*6)/CV314)</f>
        <v>0</v>
      </c>
      <c r="CW312" s="1093">
        <f>IF(CU312=0,0,(CV312-CU312)/CU312*100)</f>
        <v>0</v>
      </c>
      <c r="CX312" s="2846">
        <f>IF(CX314=0,0,(CX313*CX314+CX315*CX316*6)/CX314)</f>
        <v>0</v>
      </c>
      <c r="CY312" s="2846">
        <f>IF(CY314=0,0,(CY313*CY314+CY315*CY316*6)/CY314)</f>
        <v>0</v>
      </c>
      <c r="CZ312" s="1093">
        <f>IF(CX312=0,0,(CY312-CX312)/CX312*100)</f>
        <v>0</v>
      </c>
      <c r="DA312" s="2846">
        <f>IF(DA314=0,0,(DA313*DA314+DA315*DA316*6)/DA314)</f>
        <v>0</v>
      </c>
      <c r="DB312" s="2846">
        <f>IF(DB314=0,0,(DB313*DB314+DB315*DB316*6)/DB314)</f>
        <v>0</v>
      </c>
      <c r="DC312" s="1093">
        <f>IF(DA312=0,0,(DB312-DA312)/DA312*100)</f>
        <v>0</v>
      </c>
      <c r="DD312" s="2846">
        <f>IF(DD314=0,0,(DD313*DD314+DD315*DD316*6)/DD314)</f>
        <v>0</v>
      </c>
      <c r="DE312" s="2846">
        <f>IF(DE314=0,0,(DE313*DE314+DE315*DE316*6)/DE314)</f>
        <v>0</v>
      </c>
      <c r="DF312" s="1093">
        <f>IF(DD312=0,0,(DE312-DD312)/DD312*100)</f>
        <v>0</v>
      </c>
      <c r="DG312" s="2846">
        <f>IF(DG314=0,0,(DG313*DG314+DG315*DG316*6)/DG314)</f>
        <v>0</v>
      </c>
      <c r="DH312" s="2846">
        <f>IF(DH314=0,0,(DH313*DH314+DH315*DH316*6)/DH314)</f>
        <v>0</v>
      </c>
      <c r="DI312" s="1093">
        <f>IF(DG312=0,0,(DH312-DG312)/DG312*100)</f>
        <v>0</v>
      </c>
      <c r="DJ312" s="2846">
        <f>IF(DJ314=0,0,(DJ313*DJ314+DJ315*DJ316*6)/DJ314)</f>
        <v>0</v>
      </c>
      <c r="DK312" s="2846">
        <f>IF(DK314=0,0,(DK313*DK314+DK315*DK316*6)/DK314)</f>
        <v>0</v>
      </c>
      <c r="DL312" s="1093">
        <f>IF(DJ312=0,0,(DK312-DJ312)/DJ312*100)</f>
        <v>0</v>
      </c>
      <c r="DM312" s="2846">
        <f>IF(DM314=0,0,(DM313*DM314+DM315*DM316*6)/DM314)</f>
        <v>0</v>
      </c>
      <c r="DN312" s="2846">
        <f>IF(DN314=0,0,(DN313*DN314+DN315*DN316*6)/DN314)</f>
        <v>0</v>
      </c>
      <c r="DO312" s="1093">
        <f>IF(DM312=0,0,(DN312-DM312)/DM312*100)</f>
        <v>0</v>
      </c>
      <c r="DP312" s="2846">
        <f>IF(DP314=0,0,(DP313*DP314+DP315*DP316*6)/DP314)</f>
        <v>0</v>
      </c>
      <c r="DQ312" s="2846">
        <f>IF(DQ314=0,0,(DQ313*DQ314+DQ315*DQ316*6)/DQ314)</f>
        <v>0</v>
      </c>
      <c r="DR312" s="1093">
        <f>IF(DP312=0,0,(DQ312-DP312)/DP312*100)</f>
        <v>0</v>
      </c>
      <c r="DS312" s="2846">
        <f>IF(DS314=0,0,(DS313*DS314+DS315*DS316*6)/DS314)</f>
        <v>0</v>
      </c>
      <c r="DT312" s="2846">
        <f>IF(DT314=0,0,(DT313*DT314+DT315*DT316*6)/DT314)</f>
        <v>0</v>
      </c>
      <c r="DU312" s="1093">
        <f>IF(DS312=0,0,(DT312-DS312)/DS312*100)</f>
        <v>0</v>
      </c>
      <c r="DV312" s="2846">
        <f>IF(DV314=0,0,(DV313*DV314+DV315*DV316*6)/DV314)</f>
        <v>0</v>
      </c>
      <c r="DW312" s="2846">
        <f>IF(DW314=0,0,(DW313*DW314+DW315*DW316*6)/DW314)</f>
        <v>0</v>
      </c>
      <c r="DX312" s="1093">
        <f>IF(DV312=0,0,(DW312-DV312)/DV312*100)</f>
        <v>0</v>
      </c>
      <c r="DY312" s="2846">
        <f>IF(DY314=0,0,(DY313*DY314+DY315*DY316*6)/DY314)</f>
        <v>0</v>
      </c>
      <c r="DZ312" s="2846">
        <f>IF(DZ314=0,0,(DZ313*DZ314+DZ315*DZ316*6)/DZ314)</f>
        <v>0</v>
      </c>
      <c r="EA312" s="1093">
        <f>IF(DY312=0,0,(DZ312-DY312)/DY312*100)</f>
        <v>0</v>
      </c>
      <c r="EB312" s="2846">
        <f>IF(EB314=0,0,(EB313*EB314+EB315*EB316*6)/EB314)</f>
        <v>0</v>
      </c>
      <c r="EC312" s="2846">
        <f>IF(EC314=0,0,(EC313*EC314+EC315*EC316*6)/EC314)</f>
        <v>0</v>
      </c>
      <c r="ED312" s="1093">
        <f>IF(EB312=0,0,(EC312-EB312)/EB312*100)</f>
        <v>0</v>
      </c>
      <c r="EE312" s="2846">
        <f>IF(EE314=0,0,(EE313*EE314+EE315*EE316*6)/EE314)</f>
        <v>0</v>
      </c>
      <c r="EF312" s="2846">
        <f>IF(EF314=0,0,(EF313*EF314+EF315*EF316*6)/EF314)</f>
        <v>0</v>
      </c>
      <c r="EG312" s="1093">
        <f>IF(EE312=0,0,(EF312-EE312)/EE312*100)</f>
        <v>0</v>
      </c>
      <c r="EH312" s="2846">
        <f>IF(EH314=0,0,(EH313*EH314+EH315*EH316*6)/EH314)</f>
        <v>0</v>
      </c>
      <c r="EI312" s="2846">
        <f>IF(EI314=0,0,(EI313*EI314+EI315*EI316*6)/EI314)</f>
        <v>0</v>
      </c>
      <c r="EJ312" s="1093">
        <f>IF(EH312=0,0,(EI312-EH312)/EH312*100)</f>
        <v>0</v>
      </c>
      <c r="EK312" s="2846">
        <f>IF(EK314=0,0,(EK313*EK314+EK315*EK316*6)/EK314)</f>
        <v>0</v>
      </c>
      <c r="EL312" s="2846">
        <f>IF(EL314=0,0,(EL313*EL314+EL315*EL316*6)/EL314)</f>
        <v>0</v>
      </c>
      <c r="EM312" s="1093">
        <f>IF(EK312=0,0,(EL312-EK312)/EK312*100)</f>
        <v>0</v>
      </c>
      <c r="EN312" s="2846">
        <f>IF(EN314=0,0,(EN313*EN314+EN315*EN316*6)/EN314)</f>
        <v>0</v>
      </c>
      <c r="EO312" s="2846">
        <f>IF(EO314=0,0,(EO313*EO314+EO315*EO316*6)/EO314)</f>
        <v>0</v>
      </c>
      <c r="EP312" s="1093">
        <f>IF(EN312=0,0,(EO312-EN312)/EN312*100)</f>
        <v>0</v>
      </c>
      <c r="EQ312" s="2846">
        <f>IF(EQ314=0,0,(EQ313*EQ314+EQ315*EQ316*6)/EQ314)</f>
        <v>0</v>
      </c>
      <c r="ER312" s="2846">
        <f>IF(ER314=0,0,(ER313*ER314+ER315*ER316*6)/ER314)</f>
        <v>0</v>
      </c>
      <c r="ES312" s="1093">
        <f>IF(EQ312=0,0,(ER312-EQ312)/EQ312*100)</f>
        <v>0</v>
      </c>
      <c r="ET312" s="2846">
        <f>IF(ET314=0,0,(ET313*ET314+ET315*ET316*6)/ET314)</f>
        <v>0</v>
      </c>
      <c r="EU312" s="2846">
        <f>IF(EU314=0,0,(EU313*EU314+EU315*EU316*6)/EU314)</f>
        <v>0</v>
      </c>
      <c r="EV312" s="1093">
        <f>IF(ET312=0,0,(EU312-ET312)/ET312*100)</f>
        <v>0</v>
      </c>
      <c r="EW312" s="2846">
        <f>IF(EW314=0,0,(EW313*EW314+EW315*EW316*6)/EW314)</f>
        <v>0</v>
      </c>
      <c r="EX312" s="2846">
        <f>IF(EX314=0,0,(EX313*EX314+EX315*EX316*6)/EX314)</f>
        <v>0</v>
      </c>
      <c r="EY312" s="1093">
        <f>IF(EW312=0,0,(EX312-EW312)/EW312*100)</f>
        <v>0</v>
      </c>
      <c r="EZ312" s="2846">
        <f>IF(EZ314=0,0,(EZ313*EZ314+EZ315*EZ316*6)/EZ314)</f>
        <v>0</v>
      </c>
      <c r="FA312" s="2846">
        <f>IF(FA314=0,0,(FA313*FA314+FA315*FA316*6)/FA314)</f>
        <v>0</v>
      </c>
      <c r="FB312" s="1093">
        <f>IF(EZ312=0,0,(FA312-EZ312)/EZ312*100)</f>
        <v>0</v>
      </c>
      <c r="FC312" s="2846">
        <f>IF(FC314=0,0,(FC313*FC314+FC315*FC316*6)/FC314)</f>
        <v>0</v>
      </c>
      <c r="FD312" s="2846">
        <f>IF(FD314=0,0,(FD313*FD314+FD315*FD316*6)/FD314)</f>
        <v>0</v>
      </c>
      <c r="FE312" s="1093">
        <f>IF(FC312=0,0,(FD312-FC312)/FC312*100)</f>
        <v>0</v>
      </c>
      <c r="FF312" s="2846">
        <f>IF(FF314=0,0,(FF313*FF314+FF315*FF316*6)/FF314)</f>
        <v>0</v>
      </c>
      <c r="FG312" s="2846">
        <f>IF(FG314=0,0,(FG313*FG314+FG315*FG316*6)/FG314)</f>
        <v>0</v>
      </c>
      <c r="FH312" s="1093">
        <f>IF(FF312=0,0,(FG312-FF312)/FF312*100)</f>
        <v>0</v>
      </c>
      <c r="FI312" s="2846">
        <f>IF(FI314=0,0,(FI313*FI314+FI315*FI316*6)/FI314)</f>
        <v>0</v>
      </c>
      <c r="FJ312" s="2846">
        <f>IF(FJ314=0,0,(FJ313*FJ314+FJ315*FJ316*6)/FJ314)</f>
        <v>0</v>
      </c>
      <c r="FK312" s="1093">
        <f>IF(FI312=0,0,(FJ312-FI312)/FI312*100)</f>
        <v>0</v>
      </c>
      <c r="FL312" s="2846">
        <f>IF(FL314=0,0,(FL313*FL314+FL315*FL316*6)/FL314)</f>
        <v>0</v>
      </c>
      <c r="FM312" s="2846">
        <f>IF(FM314=0,0,(FM313*FM314+FM315*FM316*6)/FM314)</f>
        <v>0</v>
      </c>
      <c r="FN312" s="1093">
        <f>IF(FL312=0,0,(FM312-FL312)/FL312*100)</f>
        <v>0</v>
      </c>
      <c r="FO312" s="2846">
        <f>IF(FO314=0,0,(FO313*FO314+FO315*FO316*6)/FO314)</f>
        <v>0</v>
      </c>
      <c r="FP312" s="2846">
        <f>IF(FP314=0,0,(FP313*FP314+FP315*FP316*6)/FP314)</f>
        <v>0</v>
      </c>
      <c r="FQ312" s="1093">
        <f>IF(FO312=0,0,(FP312-FO312)/FO312*100)</f>
        <v>0</v>
      </c>
      <c r="FR312" s="2846">
        <f>IF(FR314=0,0,(FR313*FR314+FR315*FR316*6)/FR314)</f>
        <v>0</v>
      </c>
      <c r="FS312" s="2846">
        <f>IF(FS314=0,0,(FS313*FS314+FS315*FS316*6)/FS314)</f>
        <v>0</v>
      </c>
      <c r="FT312" s="1093">
        <f>IF(FR312=0,0,(FS312-FR312)/FR312*100)</f>
        <v>0</v>
      </c>
      <c r="FU312" s="2846">
        <f>IF(FU314=0,0,(FU313*FU314+FU315*FU316*6)/FU314)</f>
        <v>0</v>
      </c>
      <c r="FV312" s="2846">
        <f>IF(FV314=0,0,(FV313*FV314+FV315*FV316*6)/FV314)</f>
        <v>0</v>
      </c>
      <c r="FW312" s="1093">
        <f>IF(FU312=0,0,(FV312-FU312)/FU312*100)</f>
        <v>0</v>
      </c>
      <c r="FX312" s="1304"/>
      <c r="FY312" s="1304"/>
      <c r="FZ312" s="1055" t="s">
        <v>2391</v>
      </c>
      <c r="GA312" s="1306"/>
      <c r="GB312" s="1306"/>
      <c r="GC312" s="1305"/>
      <c r="GD312" s="1305"/>
    </row>
    <row s="1834" customFormat="1" customHeight="1" ht="14.25" hidden="1">
      <c r="A313" s="493"/>
      <c r="B313" s="925" cm="1" t="str">
        <f t="array" ref="B313:B313">B312</f>
        <v>false</v>
      </c>
      <c r="C313" s="493"/>
      <c r="D313" s="493"/>
      <c r="E313" s="840">
        <v>15</v>
      </c>
      <c r="F313" s="50" cm="1" t="str">
        <f t="array" ref="F313:F313">OFFSET(E313,-1,1)</f>
        <v>4</v>
      </c>
      <c r="G313" s="493"/>
      <c r="H313" s="493" t="s">
        <v>2299</v>
      </c>
      <c r="I313" s="493" t="s">
        <v>2350</v>
      </c>
      <c r="J313" s="493"/>
      <c r="K313" s="493"/>
      <c r="L313" s="493"/>
      <c r="M313" s="493"/>
      <c r="N313" s="493"/>
      <c r="O313" s="493"/>
      <c r="P313" s="493"/>
      <c r="Q313" s="493"/>
      <c r="R313" s="493"/>
      <c r="S313" s="493"/>
      <c r="T313" s="465" cm="1" t="str">
        <f t="array" ref="T313:T313">T312</f>
        <v>true</v>
      </c>
      <c r="U313" s="493"/>
      <c r="V313" s="493"/>
      <c r="W313" s="493"/>
      <c r="X313" s="1596"/>
      <c r="Y313" s="493"/>
      <c r="Z313" s="1545"/>
      <c r="AA313" s="493"/>
      <c r="AB313" s="1091" t="str">
        <f>"ставка платы за "&amp;IF(Q281="Водоснабжение","потребление 1 куб.м холодной воды","объем принятых сточных вод")</f>
        <v>ставка платы за объем принятых сточных вод</v>
      </c>
      <c r="AC313" s="864" t="s">
        <v>2337</v>
      </c>
      <c r="AD313" s="2846"/>
      <c r="AE313" s="2846"/>
      <c r="AF313" s="1093">
        <f>IF(AD313=0,0,(AE313-AD313)/AD313*100)</f>
        <v>0</v>
      </c>
      <c r="AG313" s="2846"/>
      <c r="AH313" s="2846"/>
      <c r="AI313" s="1093">
        <f>IF(AG313=0,0,(AH313-AG313)/AG313*100)</f>
        <v>0</v>
      </c>
      <c r="AJ313" s="2846"/>
      <c r="AK313" s="2846"/>
      <c r="AL313" s="1093">
        <f>IF(AJ313=0,0,(AK313-AJ313)/AJ313*100)</f>
        <v>0</v>
      </c>
      <c r="AM313" s="2846"/>
      <c r="AN313" s="2846"/>
      <c r="AO313" s="1093">
        <f>IF(AM313=0,0,(AN313-AM313)/AM313*100)</f>
        <v>0</v>
      </c>
      <c r="AP313" s="2846"/>
      <c r="AQ313" s="2846"/>
      <c r="AR313" s="1093">
        <f>IF(AP313=0,0,(AQ313-AP313)/AP313*100)</f>
        <v>0</v>
      </c>
      <c r="AS313" s="2846"/>
      <c r="AT313" s="2846"/>
      <c r="AU313" s="1093">
        <f>IF(AS313=0,0,(AT313-AS313)/AS313*100)</f>
        <v>0</v>
      </c>
      <c r="AV313" s="2846"/>
      <c r="AW313" s="2846"/>
      <c r="AX313" s="1093">
        <f>IF(AV313=0,0,(AW313-AV313)/AV313*100)</f>
        <v>0</v>
      </c>
      <c r="AY313" s="2846"/>
      <c r="AZ313" s="2846"/>
      <c r="BA313" s="1093">
        <f>IF(AY313=0,0,(AZ313-AY313)/AY313*100)</f>
        <v>0</v>
      </c>
      <c r="BB313" s="2846"/>
      <c r="BC313" s="2846"/>
      <c r="BD313" s="1093">
        <f>IF(BB313=0,0,(BC313-BB313)/BB313*100)</f>
        <v>0</v>
      </c>
      <c r="BE313" s="2846"/>
      <c r="BF313" s="2846"/>
      <c r="BG313" s="1093">
        <f>IF(BE313=0,0,(BF313-BE313)/BE313*100)</f>
        <v>0</v>
      </c>
      <c r="BH313" s="2846"/>
      <c r="BI313" s="2846"/>
      <c r="BJ313" s="1093">
        <f>IF(BH313=0,0,(BI313-BH313)/BH313*100)</f>
        <v>0</v>
      </c>
      <c r="BK313" s="2846"/>
      <c r="BL313" s="2846"/>
      <c r="BM313" s="1093">
        <f>IF(BK313=0,0,(BL313-BK313)/BK313*100)</f>
        <v>0</v>
      </c>
      <c r="BN313" s="2846"/>
      <c r="BO313" s="2846"/>
      <c r="BP313" s="1093">
        <f>IF(BN313=0,0,(BO313-BN313)/BN313*100)</f>
        <v>0</v>
      </c>
      <c r="BQ313" s="2846"/>
      <c r="BR313" s="2846"/>
      <c r="BS313" s="1093">
        <f>IF(BQ313=0,0,(BR313-BQ313)/BQ313*100)</f>
        <v>0</v>
      </c>
      <c r="BT313" s="2846"/>
      <c r="BU313" s="2846"/>
      <c r="BV313" s="1093">
        <f>IF(BT313=0,0,(BU313-BT313)/BT313*100)</f>
        <v>0</v>
      </c>
      <c r="BW313" s="2846"/>
      <c r="BX313" s="2846"/>
      <c r="BY313" s="1093">
        <f>IF(BW313=0,0,(BX313-BW313)/BW313*100)</f>
        <v>0</v>
      </c>
      <c r="BZ313" s="2846"/>
      <c r="CA313" s="2846"/>
      <c r="CB313" s="1093">
        <f>IF(BZ313=0,0,(CA313-BZ313)/BZ313*100)</f>
        <v>0</v>
      </c>
      <c r="CC313" s="2846"/>
      <c r="CD313" s="2846"/>
      <c r="CE313" s="1093">
        <f>IF(CC313=0,0,(CD313-CC313)/CC313*100)</f>
        <v>0</v>
      </c>
      <c r="CF313" s="2846"/>
      <c r="CG313" s="2846"/>
      <c r="CH313" s="1093">
        <f>IF(CF313=0,0,(CG313-CF313)/CF313*100)</f>
        <v>0</v>
      </c>
      <c r="CI313" s="2846"/>
      <c r="CJ313" s="2846"/>
      <c r="CK313" s="1093">
        <f>IF(CI313=0,0,(CJ313-CI313)/CI313*100)</f>
        <v>0</v>
      </c>
      <c r="CL313" s="2846"/>
      <c r="CM313" s="2846"/>
      <c r="CN313" s="1093">
        <f>IF(CL313=0,0,(CM313-CL313)/CL313*100)</f>
        <v>0</v>
      </c>
      <c r="CO313" s="2846"/>
      <c r="CP313" s="2846"/>
      <c r="CQ313" s="1093">
        <f>IF(CO313=0,0,(CP313-CO313)/CO313*100)</f>
        <v>0</v>
      </c>
      <c r="CR313" s="2846"/>
      <c r="CS313" s="2846"/>
      <c r="CT313" s="1093">
        <f>IF(CR313=0,0,(CS313-CR313)/CR313*100)</f>
        <v>0</v>
      </c>
      <c r="CU313" s="2846"/>
      <c r="CV313" s="2846"/>
      <c r="CW313" s="1093">
        <f>IF(CU313=0,0,(CV313-CU313)/CU313*100)</f>
        <v>0</v>
      </c>
      <c r="CX313" s="2846"/>
      <c r="CY313" s="2846"/>
      <c r="CZ313" s="1093">
        <f>IF(CX313=0,0,(CY313-CX313)/CX313*100)</f>
        <v>0</v>
      </c>
      <c r="DA313" s="2846"/>
      <c r="DB313" s="2846"/>
      <c r="DC313" s="1093">
        <f>IF(DA313=0,0,(DB313-DA313)/DA313*100)</f>
        <v>0</v>
      </c>
      <c r="DD313" s="2846"/>
      <c r="DE313" s="2846"/>
      <c r="DF313" s="1093">
        <f>IF(DD313=0,0,(DE313-DD313)/DD313*100)</f>
        <v>0</v>
      </c>
      <c r="DG313" s="2846"/>
      <c r="DH313" s="2846"/>
      <c r="DI313" s="1093">
        <f>IF(DG313=0,0,(DH313-DG313)/DG313*100)</f>
        <v>0</v>
      </c>
      <c r="DJ313" s="2846"/>
      <c r="DK313" s="2846"/>
      <c r="DL313" s="1093">
        <f>IF(DJ313=0,0,(DK313-DJ313)/DJ313*100)</f>
        <v>0</v>
      </c>
      <c r="DM313" s="2846"/>
      <c r="DN313" s="2846"/>
      <c r="DO313" s="1093">
        <f>IF(DM313=0,0,(DN313-DM313)/DM313*100)</f>
        <v>0</v>
      </c>
      <c r="DP313" s="2846"/>
      <c r="DQ313" s="2846"/>
      <c r="DR313" s="1093">
        <f>IF(DP313=0,0,(DQ313-DP313)/DP313*100)</f>
        <v>0</v>
      </c>
      <c r="DS313" s="2846"/>
      <c r="DT313" s="2846"/>
      <c r="DU313" s="1093">
        <f>IF(DS313=0,0,(DT313-DS313)/DS313*100)</f>
        <v>0</v>
      </c>
      <c r="DV313" s="2846"/>
      <c r="DW313" s="2846"/>
      <c r="DX313" s="1093">
        <f>IF(DV313=0,0,(DW313-DV313)/DV313*100)</f>
        <v>0</v>
      </c>
      <c r="DY313" s="2846"/>
      <c r="DZ313" s="2846"/>
      <c r="EA313" s="1093">
        <f>IF(DY313=0,0,(DZ313-DY313)/DY313*100)</f>
        <v>0</v>
      </c>
      <c r="EB313" s="2846"/>
      <c r="EC313" s="2846"/>
      <c r="ED313" s="1093">
        <f>IF(EB313=0,0,(EC313-EB313)/EB313*100)</f>
        <v>0</v>
      </c>
      <c r="EE313" s="2846"/>
      <c r="EF313" s="2846"/>
      <c r="EG313" s="1093">
        <f>IF(EE313=0,0,(EF313-EE313)/EE313*100)</f>
        <v>0</v>
      </c>
      <c r="EH313" s="2846"/>
      <c r="EI313" s="2846"/>
      <c r="EJ313" s="1093">
        <f>IF(EH313=0,0,(EI313-EH313)/EH313*100)</f>
        <v>0</v>
      </c>
      <c r="EK313" s="2846"/>
      <c r="EL313" s="2846"/>
      <c r="EM313" s="1093">
        <f>IF(EK313=0,0,(EL313-EK313)/EK313*100)</f>
        <v>0</v>
      </c>
      <c r="EN313" s="2846"/>
      <c r="EO313" s="2846"/>
      <c r="EP313" s="1093">
        <f>IF(EN313=0,0,(EO313-EN313)/EN313*100)</f>
        <v>0</v>
      </c>
      <c r="EQ313" s="2846"/>
      <c r="ER313" s="2846"/>
      <c r="ES313" s="1093">
        <f>IF(EQ313=0,0,(ER313-EQ313)/EQ313*100)</f>
        <v>0</v>
      </c>
      <c r="ET313" s="2846"/>
      <c r="EU313" s="2846"/>
      <c r="EV313" s="1093">
        <f>IF(ET313=0,0,(EU313-ET313)/ET313*100)</f>
        <v>0</v>
      </c>
      <c r="EW313" s="2846"/>
      <c r="EX313" s="2846"/>
      <c r="EY313" s="1093">
        <f>IF(EW313=0,0,(EX313-EW313)/EW313*100)</f>
        <v>0</v>
      </c>
      <c r="EZ313" s="2846"/>
      <c r="FA313" s="2846"/>
      <c r="FB313" s="1093">
        <f>IF(EZ313=0,0,(FA313-EZ313)/EZ313*100)</f>
        <v>0</v>
      </c>
      <c r="FC313" s="2846"/>
      <c r="FD313" s="2846"/>
      <c r="FE313" s="1093">
        <f>IF(FC313=0,0,(FD313-FC313)/FC313*100)</f>
        <v>0</v>
      </c>
      <c r="FF313" s="2846"/>
      <c r="FG313" s="2846"/>
      <c r="FH313" s="1093">
        <f>IF(FF313=0,0,(FG313-FF313)/FF313*100)</f>
        <v>0</v>
      </c>
      <c r="FI313" s="2846"/>
      <c r="FJ313" s="2846"/>
      <c r="FK313" s="1093">
        <f>IF(FI313=0,0,(FJ313-FI313)/FI313*100)</f>
        <v>0</v>
      </c>
      <c r="FL313" s="2846"/>
      <c r="FM313" s="2846"/>
      <c r="FN313" s="1093">
        <f>IF(FL313=0,0,(FM313-FL313)/FL313*100)</f>
        <v>0</v>
      </c>
      <c r="FO313" s="2846"/>
      <c r="FP313" s="2846"/>
      <c r="FQ313" s="1093">
        <f>IF(FO313=0,0,(FP313-FO313)/FO313*100)</f>
        <v>0</v>
      </c>
      <c r="FR313" s="2846"/>
      <c r="FS313" s="2846"/>
      <c r="FT313" s="1093">
        <f>IF(FR313=0,0,(FS313-FR313)/FR313*100)</f>
        <v>0</v>
      </c>
      <c r="FU313" s="2846"/>
      <c r="FV313" s="2846"/>
      <c r="FW313" s="1093">
        <f>IF(FU313=0,0,(FV313-FU313)/FU313*100)</f>
        <v>0</v>
      </c>
      <c r="FX313" s="1304"/>
      <c r="FY313" s="1304"/>
      <c r="FZ313" s="1055" t="s">
        <v>2392</v>
      </c>
      <c r="GA313" s="1306"/>
      <c r="GB313" s="1306"/>
      <c r="GC313" s="1305"/>
      <c r="GD313" s="1305"/>
    </row>
    <row s="1834" customFormat="1" customHeight="1" ht="14.25" hidden="1">
      <c r="A314" s="493"/>
      <c r="B314" s="925" cm="1" t="str">
        <f t="array" ref="B314:B314">B313</f>
        <v>false</v>
      </c>
      <c r="C314" s="493"/>
      <c r="D314" s="493"/>
      <c r="E314" s="840">
        <v>15</v>
      </c>
      <c r="F314" s="50" cm="1" t="str">
        <f t="array" ref="F314:F314">OFFSET(E314,-1,1)</f>
        <v>4</v>
      </c>
      <c r="G314" s="107" t="s">
        <v>2393</v>
      </c>
      <c r="H314" s="493" t="s">
        <v>2374</v>
      </c>
      <c r="I314" s="493" t="s">
        <v>2350</v>
      </c>
      <c r="J314" s="493"/>
      <c r="K314" s="493"/>
      <c r="L314" s="493"/>
      <c r="M314" s="493"/>
      <c r="N314" s="493"/>
      <c r="O314" s="493"/>
      <c r="P314" s="493"/>
      <c r="Q314" s="493"/>
      <c r="R314" s="493"/>
      <c r="S314" s="493"/>
      <c r="T314" s="465" cm="1" t="str">
        <f t="array" ref="T314:T314">T313</f>
        <v>true</v>
      </c>
      <c r="U314" s="493"/>
      <c r="V314" s="493"/>
      <c r="W314" s="493"/>
      <c r="X314" s="1596"/>
      <c r="Y314" s="493"/>
      <c r="Z314" s="1545"/>
      <c r="AA314" s="493"/>
      <c r="AB314" s="1091" t="str">
        <f>"объём "&amp;IF(Q281="Водоснабжение","потребления холодной воды","водоотведения")</f>
        <v>объём водоотведения</v>
      </c>
      <c r="AC314" s="864" t="s">
        <v>1247</v>
      </c>
      <c r="AD314" s="5247">
        <f>IF(AND(method_reg="Метод индексации",god&lt;&gt;first_year),_xlfn.SUMIFS(INDEX('Калькуляция (МИ корр)'!$AJ$25:$BC$747,,MATCH(AD$8,'Калькуляция (МИ корр)'!$AJ$8:$BC$8,0)),'Калькуляция (МИ корр)'!$F$25:$F$747,$F314,'Калькуляция (МИ корр)'!$G$25:$G$747,$G314),IF(method_reg="Метод экономически обоснованных расходов",_xlfn.SUMIFS('Калькуляция (МЭОР)'!$AJ$25:$AJ$452,'Калькуляция (МЭОР)'!$F$25:$F$452,$F314,'Калькуляция (МЭОР)'!$G$25:$G$452,$G314),IF(method_reg="Метод сравнения аналогов",_xlfn.SUMIFS('Калькуляция (МСА)'!$AE$25:$AE$122,'Калькуляция (МСА)'!$F$25:$F$122,$F314,'Калькуляция (МСА)'!$G$25:$G$122,$G314),_xlfn.SUMIFS(INDEX('Калькуляция (МИ)'!$AJ$25:$BC$747,,MATCH(AD$8,'Калькуляция (МИ)'!$AJ$8:$BC$8,0)),'Калькуляция (МИ)'!$F$25:$F$747,$F314,'Калькуляция (МИ)'!$G$25:$G$747,$G314))))</f>
        <v>576.57933</v>
      </c>
      <c r="AE314" s="5247">
        <f>IF(AND(method_reg="Метод индексации",god&lt;&gt;first_year),_xlfn.SUMIFS(INDEX('Калькуляция (МИ корр)'!$AJ$25:$BC$747,,MATCH(AE$8,'Калькуляция (МИ корр)'!$AJ$8:$BC$8,0)),'Калькуляция (МИ корр)'!$F$25:$F$747,$F314,'Калькуляция (МИ корр)'!$G$25:$G$747,$G314),IF(method_reg="Метод экономически обоснованных расходов",_xlfn.SUMIFS('Калькуляция (МЭОР)'!$AK$25:$AK$452,'Калькуляция (МЭОР)'!$F$25:$F$452,$F314,'Калькуляция (МЭОР)'!$G$25:$G$452,$G314),IF(method_reg="Метод сравнения аналогов",_xlfn.SUMIFS('Калькуляция (МСА)'!$AF$25:$AF$122,'Калькуляция (МСА)'!$F$25:$F$122,$F314,'Калькуляция (МСА)'!$G$25:$G$122,$G314),_xlfn.SUMIFS(INDEX('Калькуляция (МИ)'!$AJ$25:$BC$747,,MATCH(AE$8,'Калькуляция (МИ)'!$AJ$8:$BC$8,0)),'Калькуляция (МИ)'!$F$25:$F$747,$F314,'Калькуляция (МИ)'!$G$25:$G$747,$G314))))</f>
        <v>576.57933</v>
      </c>
      <c r="AF314" s="1095">
        <f>IF(AD314=0,0,(AE314-AD314)/AD314*100)</f>
        <v>0</v>
      </c>
      <c r="AG314" s="5247">
        <f>IF(AND(method_reg="Метод индексации",god&lt;&gt;first_year),_xlfn.SUMIFS(INDEX('Калькуляция (МИ корр)'!$AJ$25:$BC$747,,MATCH(AG$8,'Калькуляция (МИ корр)'!$AJ$8:$BC$8,0)),'Калькуляция (МИ корр)'!$F$25:$F$747,$F314,'Калькуляция (МИ корр)'!$G$25:$G$747,$G314),IF(method_reg="Метод экономически обоснованных расходов",_xlfn.SUMIFS('Калькуляция (МЭОР)'!$AJ$25:$AJ$452,'Калькуляция (МЭОР)'!$F$25:$F$452,$F314,'Калькуляция (МЭОР)'!$G$25:$G$452,$G314),IF(method_reg="Метод сравнения аналогов",_xlfn.SUMIFS('Калькуляция (МСА)'!$AE$25:$AE$122,'Калькуляция (МСА)'!$F$25:$F$122,$F314,'Калькуляция (МСА)'!$G$25:$G$122,$G314),_xlfn.SUMIFS(INDEX('Калькуляция (МИ)'!$AJ$25:$BC$747,,MATCH(AG$8,'Калькуляция (МИ)'!$AJ$8:$BC$8,0)),'Калькуляция (МИ)'!$F$25:$F$747,$F314,'Калькуляция (МИ)'!$G$25:$G$747,$G314))))</f>
        <v>384.38622</v>
      </c>
      <c r="AH314" s="5247">
        <f>IF(AND(method_reg="Метод индексации",god&lt;&gt;first_year),_xlfn.SUMIFS(INDEX('Калькуляция (МИ корр)'!$AJ$25:$BC$747,,MATCH(AH$8,'Калькуляция (МИ корр)'!$AJ$8:$BC$8,0)),'Калькуляция (МИ корр)'!$F$25:$F$747,$F314,'Калькуляция (МИ корр)'!$G$25:$G$747,$G314),IF(method_reg="Метод экономически обоснованных расходов",_xlfn.SUMIFS('Калькуляция (МЭОР)'!$AK$25:$AK$452,'Калькуляция (МЭОР)'!$F$25:$F$452,$F314,'Калькуляция (МЭОР)'!$G$25:$G$452,$G314),IF(method_reg="Метод сравнения аналогов",_xlfn.SUMIFS('Калькуляция (МСА)'!$AF$25:$AF$122,'Калькуляция (МСА)'!$F$25:$F$122,$F314,'Калькуляция (МСА)'!$G$25:$G$122,$G314),_xlfn.SUMIFS(INDEX('Калькуляция (МИ)'!$AJ$25:$BC$747,,MATCH(AH$8,'Калькуляция (МИ)'!$AJ$8:$BC$8,0)),'Калькуляция (МИ)'!$F$25:$F$747,$F314,'Калькуляция (МИ)'!$G$25:$G$747,$G314))))</f>
        <v>384.38622</v>
      </c>
      <c r="AI314" s="1095">
        <f>IF(AG314=0,0,(AH314-AG314)/AG314*100)</f>
        <v>0</v>
      </c>
      <c r="AJ314" s="5247">
        <f>IF(AND(method_reg="Метод индексации",god&lt;&gt;first_year),_xlfn.SUMIFS(INDEX('Калькуляция (МИ корр)'!$AJ$25:$BC$747,,MATCH(AJ$8,'Калькуляция (МИ корр)'!$AJ$8:$BC$8,0)),'Калькуляция (МИ корр)'!$F$25:$F$747,$F314,'Калькуляция (МИ корр)'!$G$25:$G$747,$G314),IF(method_reg="Метод экономически обоснованных расходов",_xlfn.SUMIFS('Калькуляция (МЭОР)'!$AJ$25:$AJ$452,'Калькуляция (МЭОР)'!$F$25:$F$452,$F314,'Калькуляция (МЭОР)'!$G$25:$G$452,$G314),IF(method_reg="Метод сравнения аналогов",_xlfn.SUMIFS('Калькуляция (МСА)'!$AE$25:$AE$122,'Калькуляция (МСА)'!$F$25:$F$122,$F314,'Калькуляция (МСА)'!$G$25:$G$122,$G314),_xlfn.SUMIFS(INDEX('Калькуляция (МИ)'!$AJ$25:$BC$747,,MATCH(AJ$8,'Калькуляция (МИ)'!$AJ$8:$BC$8,0)),'Калькуляция (МИ)'!$F$25:$F$747,$F314,'Калькуляция (МИ)'!$G$25:$G$747,$G314))))</f>
        <v>384.38622</v>
      </c>
      <c r="AK314" s="5247">
        <f>IF(AND(method_reg="Метод индексации",god&lt;&gt;first_year),_xlfn.SUMIFS(INDEX('Калькуляция (МИ корр)'!$AJ$25:$BC$747,,MATCH(AK$8,'Калькуляция (МИ корр)'!$AJ$8:$BC$8,0)),'Калькуляция (МИ корр)'!$F$25:$F$747,$F314,'Калькуляция (МИ корр)'!$G$25:$G$747,$G314),IF(method_reg="Метод экономически обоснованных расходов",_xlfn.SUMIFS('Калькуляция (МЭОР)'!$AK$25:$AK$452,'Калькуляция (МЭОР)'!$F$25:$F$452,$F314,'Калькуляция (МЭОР)'!$G$25:$G$452,$G314),IF(method_reg="Метод сравнения аналогов",_xlfn.SUMIFS('Калькуляция (МСА)'!$AF$25:$AF$122,'Калькуляция (МСА)'!$F$25:$F$122,$F314,'Калькуляция (МСА)'!$G$25:$G$122,$G314),_xlfn.SUMIFS(INDEX('Калькуляция (МИ)'!$AJ$25:$BC$747,,MATCH(AK$8,'Калькуляция (МИ)'!$AJ$8:$BC$8,0)),'Калькуляция (МИ)'!$F$25:$F$747,$F314,'Калькуляция (МИ)'!$G$25:$G$747,$G314))))</f>
        <v>384.38622</v>
      </c>
      <c r="AL314" s="1095">
        <f>IF(AJ314=0,0,(AK314-AJ314)/AJ314*100)</f>
        <v>0</v>
      </c>
      <c r="AM314" s="5247">
        <f>IF(AND(method_reg="Метод индексации",god&lt;&gt;first_year),_xlfn.SUMIFS(INDEX('Калькуляция (МИ корр)'!$AJ$25:$BC$747,,MATCH(AM$8,'Калькуляция (МИ корр)'!$AJ$8:$BC$8,0)),'Калькуляция (МИ корр)'!$F$25:$F$747,$F314,'Калькуляция (МИ корр)'!$G$25:$G$747,$G314),IF(method_reg="Метод экономически обоснованных расходов",_xlfn.SUMIFS('Калькуляция (МЭОР)'!$AJ$25:$AJ$452,'Калькуляция (МЭОР)'!$F$25:$F$452,$F314,'Калькуляция (МЭОР)'!$G$25:$G$452,$G314),IF(method_reg="Метод сравнения аналогов",_xlfn.SUMIFS('Калькуляция (МСА)'!$AE$25:$AE$122,'Калькуляция (МСА)'!$F$25:$F$122,$F314,'Калькуляция (МСА)'!$G$25:$G$122,$G314),_xlfn.SUMIFS(INDEX('Калькуляция (МИ)'!$AJ$25:$BC$747,,MATCH(AM$8,'Калькуляция (МИ)'!$AJ$8:$BC$8,0)),'Калькуляция (МИ)'!$F$25:$F$747,$F314,'Калькуляция (МИ)'!$G$25:$G$747,$G314))))</f>
        <v>384.38622</v>
      </c>
      <c r="AN314" s="5247">
        <f>IF(AND(method_reg="Метод индексации",god&lt;&gt;first_year),_xlfn.SUMIFS(INDEX('Калькуляция (МИ корр)'!$AJ$25:$BC$747,,MATCH(AN$8,'Калькуляция (МИ корр)'!$AJ$8:$BC$8,0)),'Калькуляция (МИ корр)'!$F$25:$F$747,$F314,'Калькуляция (МИ корр)'!$G$25:$G$747,$G314),IF(method_reg="Метод экономически обоснованных расходов",_xlfn.SUMIFS('Калькуляция (МЭОР)'!$AK$25:$AK$452,'Калькуляция (МЭОР)'!$F$25:$F$452,$F314,'Калькуляция (МЭОР)'!$G$25:$G$452,$G314),IF(method_reg="Метод сравнения аналогов",_xlfn.SUMIFS('Калькуляция (МСА)'!$AF$25:$AF$122,'Калькуляция (МСА)'!$F$25:$F$122,$F314,'Калькуляция (МСА)'!$G$25:$G$122,$G314),_xlfn.SUMIFS(INDEX('Калькуляция (МИ)'!$AJ$25:$BC$747,,MATCH(AN$8,'Калькуляция (МИ)'!$AJ$8:$BC$8,0)),'Калькуляция (МИ)'!$F$25:$F$747,$F314,'Калькуляция (МИ)'!$G$25:$G$747,$G314))))</f>
        <v>384.38622</v>
      </c>
      <c r="AO314" s="1095">
        <f>IF(AM314=0,0,(AN314-AM314)/AM314*100)</f>
        <v>0</v>
      </c>
      <c r="AP314" s="5247">
        <f>IF(AND(method_reg="Метод индексации",god&lt;&gt;first_year),_xlfn.SUMIFS(INDEX('Калькуляция (МИ корр)'!$AJ$25:$BC$747,,MATCH(AP$8,'Калькуляция (МИ корр)'!$AJ$8:$BC$8,0)),'Калькуляция (МИ корр)'!$F$25:$F$747,$F314,'Калькуляция (МИ корр)'!$G$25:$G$747,$G314),IF(method_reg="Метод экономически обоснованных расходов",_xlfn.SUMIFS('Калькуляция (МЭОР)'!$AJ$25:$AJ$452,'Калькуляция (МЭОР)'!$F$25:$F$452,$F314,'Калькуляция (МЭОР)'!$G$25:$G$452,$G314),IF(method_reg="Метод сравнения аналогов",_xlfn.SUMIFS('Калькуляция (МСА)'!$AE$25:$AE$122,'Калькуляция (МСА)'!$F$25:$F$122,$F314,'Калькуляция (МСА)'!$G$25:$G$122,$G314),_xlfn.SUMIFS(INDEX('Калькуляция (МИ)'!$AJ$25:$BC$747,,MATCH(AP$8,'Калькуляция (МИ)'!$AJ$8:$BC$8,0)),'Калькуляция (МИ)'!$F$25:$F$747,$F314,'Калькуляция (МИ)'!$G$25:$G$747,$G314))))</f>
        <v>384.38622</v>
      </c>
      <c r="AQ314" s="5247">
        <f>IF(AND(method_reg="Метод индексации",god&lt;&gt;first_year),_xlfn.SUMIFS(INDEX('Калькуляция (МИ корр)'!$AJ$25:$BC$747,,MATCH(AQ$8,'Калькуляция (МИ корр)'!$AJ$8:$BC$8,0)),'Калькуляция (МИ корр)'!$F$25:$F$747,$F314,'Калькуляция (МИ корр)'!$G$25:$G$747,$G314),IF(method_reg="Метод экономически обоснованных расходов",_xlfn.SUMIFS('Калькуляция (МЭОР)'!$AK$25:$AK$452,'Калькуляция (МЭОР)'!$F$25:$F$452,$F314,'Калькуляция (МЭОР)'!$G$25:$G$452,$G314),IF(method_reg="Метод сравнения аналогов",_xlfn.SUMIFS('Калькуляция (МСА)'!$AF$25:$AF$122,'Калькуляция (МСА)'!$F$25:$F$122,$F314,'Калькуляция (МСА)'!$G$25:$G$122,$G314),_xlfn.SUMIFS(INDEX('Калькуляция (МИ)'!$AJ$25:$BC$747,,MATCH(AQ$8,'Калькуляция (МИ)'!$AJ$8:$BC$8,0)),'Калькуляция (МИ)'!$F$25:$F$747,$F314,'Калькуляция (МИ)'!$G$25:$G$747,$G314))))</f>
        <v>384.38622</v>
      </c>
      <c r="AR314" s="1095">
        <f>IF(AP314=0,0,(AQ314-AP314)/AP314*100)</f>
        <v>0</v>
      </c>
      <c r="AS314" s="5247">
        <f>IF(AND(method_reg="Метод индексации",god&lt;&gt;first_year),_xlfn.SUMIFS(INDEX('Калькуляция (МИ корр)'!$AJ$25:$BC$747,,MATCH(AS$8,'Калькуляция (МИ корр)'!$AJ$8:$BC$8,0)),'Калькуляция (МИ корр)'!$F$25:$F$747,$F314,'Калькуляция (МИ корр)'!$G$25:$G$747,$G314),IF(method_reg="Метод экономически обоснованных расходов",_xlfn.SUMIFS('Калькуляция (МЭОР)'!$AJ$25:$AJ$452,'Калькуляция (МЭОР)'!$F$25:$F$452,$F314,'Калькуляция (МЭОР)'!$G$25:$G$452,$G314),IF(method_reg="Метод сравнения аналогов",_xlfn.SUMIFS('Калькуляция (МСА)'!$AE$25:$AE$122,'Калькуляция (МСА)'!$F$25:$F$122,$F314,'Калькуляция (МСА)'!$G$25:$G$122,$G314),_xlfn.SUMIFS(INDEX('Калькуляция (МИ)'!$AJ$25:$BC$747,,MATCH(AS$8,'Калькуляция (МИ)'!$AJ$8:$BC$8,0)),'Калькуляция (МИ)'!$F$25:$F$747,$F314,'Калькуляция (МИ)'!$G$25:$G$747,$G314))))</f>
        <v>0</v>
      </c>
      <c r="AT314" s="5247">
        <f>IF(AND(method_reg="Метод индексации",god&lt;&gt;first_year),_xlfn.SUMIFS(INDEX('Калькуляция (МИ корр)'!$AJ$25:$BC$747,,MATCH(AT$8,'Калькуляция (МИ корр)'!$AJ$8:$BC$8,0)),'Калькуляция (МИ корр)'!$F$25:$F$747,$F314,'Калькуляция (МИ корр)'!$G$25:$G$747,$G314),IF(method_reg="Метод экономически обоснованных расходов",_xlfn.SUMIFS('Калькуляция (МЭОР)'!$AK$25:$AK$452,'Калькуляция (МЭОР)'!$F$25:$F$452,$F314,'Калькуляция (МЭОР)'!$G$25:$G$452,$G314),IF(method_reg="Метод сравнения аналогов",_xlfn.SUMIFS('Калькуляция (МСА)'!$AF$25:$AF$122,'Калькуляция (МСА)'!$F$25:$F$122,$F314,'Калькуляция (МСА)'!$G$25:$G$122,$G314),_xlfn.SUMIFS(INDEX('Калькуляция (МИ)'!$AJ$25:$BC$747,,MATCH(AT$8,'Калькуляция (МИ)'!$AJ$8:$BC$8,0)),'Калькуляция (МИ)'!$F$25:$F$747,$F314,'Калькуляция (МИ)'!$G$25:$G$747,$G314))))</f>
        <v>0</v>
      </c>
      <c r="AU314" s="1095">
        <f>IF(AS314=0,0,(AT314-AS314)/AS314*100)</f>
        <v>0</v>
      </c>
      <c r="AV314" s="5247">
        <f>IF(AND(method_reg="Метод индексации",god&lt;&gt;first_year),_xlfn.SUMIFS(INDEX('Калькуляция (МИ корр)'!$AJ$25:$BC$747,,MATCH(AV$8,'Калькуляция (МИ корр)'!$AJ$8:$BC$8,0)),'Калькуляция (МИ корр)'!$F$25:$F$747,$F314,'Калькуляция (МИ корр)'!$G$25:$G$747,$G314),IF(method_reg="Метод экономически обоснованных расходов",_xlfn.SUMIFS('Калькуляция (МЭОР)'!$AJ$25:$AJ$452,'Калькуляция (МЭОР)'!$F$25:$F$452,$F314,'Калькуляция (МЭОР)'!$G$25:$G$452,$G314),IF(method_reg="Метод сравнения аналогов",_xlfn.SUMIFS('Калькуляция (МСА)'!$AE$25:$AE$122,'Калькуляция (МСА)'!$F$25:$F$122,$F314,'Калькуляция (МСА)'!$G$25:$G$122,$G314),_xlfn.SUMIFS(INDEX('Калькуляция (МИ)'!$AJ$25:$BC$747,,MATCH(AV$8,'Калькуляция (МИ)'!$AJ$8:$BC$8,0)),'Калькуляция (МИ)'!$F$25:$F$747,$F314,'Калькуляция (МИ)'!$G$25:$G$747,$G314))))</f>
        <v>0</v>
      </c>
      <c r="AW314" s="5247">
        <f>IF(AND(method_reg="Метод индексации",god&lt;&gt;first_year),_xlfn.SUMIFS(INDEX('Калькуляция (МИ корр)'!$AJ$25:$BC$747,,MATCH(AW$8,'Калькуляция (МИ корр)'!$AJ$8:$BC$8,0)),'Калькуляция (МИ корр)'!$F$25:$F$747,$F314,'Калькуляция (МИ корр)'!$G$25:$G$747,$G314),IF(method_reg="Метод экономически обоснованных расходов",_xlfn.SUMIFS('Калькуляция (МЭОР)'!$AK$25:$AK$452,'Калькуляция (МЭОР)'!$F$25:$F$452,$F314,'Калькуляция (МЭОР)'!$G$25:$G$452,$G314),IF(method_reg="Метод сравнения аналогов",_xlfn.SUMIFS('Калькуляция (МСА)'!$AF$25:$AF$122,'Калькуляция (МСА)'!$F$25:$F$122,$F314,'Калькуляция (МСА)'!$G$25:$G$122,$G314),_xlfn.SUMIFS(INDEX('Калькуляция (МИ)'!$AJ$25:$BC$747,,MATCH(AW$8,'Калькуляция (МИ)'!$AJ$8:$BC$8,0)),'Калькуляция (МИ)'!$F$25:$F$747,$F314,'Калькуляция (МИ)'!$G$25:$G$747,$G314))))</f>
        <v>0</v>
      </c>
      <c r="AX314" s="1095">
        <f>IF(AV314=0,0,(AW314-AV314)/AV314*100)</f>
        <v>0</v>
      </c>
      <c r="AY314" s="5247">
        <f>IF(AND(method_reg="Метод индексации",god&lt;&gt;first_year),_xlfn.SUMIFS(INDEX('Калькуляция (МИ корр)'!$AJ$25:$BC$747,,MATCH(AY$8,'Калькуляция (МИ корр)'!$AJ$8:$BC$8,0)),'Калькуляция (МИ корр)'!$F$25:$F$747,$F314,'Калькуляция (МИ корр)'!$G$25:$G$747,$G314),IF(method_reg="Метод экономически обоснованных расходов",_xlfn.SUMIFS('Калькуляция (МЭОР)'!$AJ$25:$AJ$452,'Калькуляция (МЭОР)'!$F$25:$F$452,$F314,'Калькуляция (МЭОР)'!$G$25:$G$452,$G314),IF(method_reg="Метод сравнения аналогов",_xlfn.SUMIFS('Калькуляция (МСА)'!$AE$25:$AE$122,'Калькуляция (МСА)'!$F$25:$F$122,$F314,'Калькуляция (МСА)'!$G$25:$G$122,$G314),_xlfn.SUMIFS(INDEX('Калькуляция (МИ)'!$AJ$25:$BC$747,,MATCH(AY$8,'Калькуляция (МИ)'!$AJ$8:$BC$8,0)),'Калькуляция (МИ)'!$F$25:$F$747,$F314,'Калькуляция (МИ)'!$G$25:$G$747,$G314))))</f>
        <v>0</v>
      </c>
      <c r="AZ314" s="5247">
        <f>IF(AND(method_reg="Метод индексации",god&lt;&gt;first_year),_xlfn.SUMIFS(INDEX('Калькуляция (МИ корр)'!$AJ$25:$BC$747,,MATCH(AZ$8,'Калькуляция (МИ корр)'!$AJ$8:$BC$8,0)),'Калькуляция (МИ корр)'!$F$25:$F$747,$F314,'Калькуляция (МИ корр)'!$G$25:$G$747,$G314),IF(method_reg="Метод экономически обоснованных расходов",_xlfn.SUMIFS('Калькуляция (МЭОР)'!$AK$25:$AK$452,'Калькуляция (МЭОР)'!$F$25:$F$452,$F314,'Калькуляция (МЭОР)'!$G$25:$G$452,$G314),IF(method_reg="Метод сравнения аналогов",_xlfn.SUMIFS('Калькуляция (МСА)'!$AF$25:$AF$122,'Калькуляция (МСА)'!$F$25:$F$122,$F314,'Калькуляция (МСА)'!$G$25:$G$122,$G314),_xlfn.SUMIFS(INDEX('Калькуляция (МИ)'!$AJ$25:$BC$747,,MATCH(AZ$8,'Калькуляция (МИ)'!$AJ$8:$BC$8,0)),'Калькуляция (МИ)'!$F$25:$F$747,$F314,'Калькуляция (МИ)'!$G$25:$G$747,$G314))))</f>
        <v>0</v>
      </c>
      <c r="BA314" s="1095">
        <f>IF(AY314=0,0,(AZ314-AY314)/AY314*100)</f>
        <v>0</v>
      </c>
      <c r="BB314" s="5247">
        <f>IF(AND(method_reg="Метод индексации",god&lt;&gt;first_year),_xlfn.SUMIFS(INDEX('Калькуляция (МИ корр)'!$AJ$25:$BC$747,,MATCH(BB$8,'Калькуляция (МИ корр)'!$AJ$8:$BC$8,0)),'Калькуляция (МИ корр)'!$F$25:$F$747,$F314,'Калькуляция (МИ корр)'!$G$25:$G$747,$G314),IF(method_reg="Метод экономически обоснованных расходов",_xlfn.SUMIFS('Калькуляция (МЭОР)'!$AJ$25:$AJ$452,'Калькуляция (МЭОР)'!$F$25:$F$452,$F314,'Калькуляция (МЭОР)'!$G$25:$G$452,$G314),IF(method_reg="Метод сравнения аналогов",_xlfn.SUMIFS('Калькуляция (МСА)'!$AE$25:$AE$122,'Калькуляция (МСА)'!$F$25:$F$122,$F314,'Калькуляция (МСА)'!$G$25:$G$122,$G314),_xlfn.SUMIFS(INDEX('Калькуляция (МИ)'!$AJ$25:$BC$747,,MATCH(BB$8,'Калькуляция (МИ)'!$AJ$8:$BC$8,0)),'Калькуляция (МИ)'!$F$25:$F$747,$F314,'Калькуляция (МИ)'!$G$25:$G$747,$G314))))</f>
        <v>0</v>
      </c>
      <c r="BC314" s="5247">
        <f>IF(AND(method_reg="Метод индексации",god&lt;&gt;first_year),_xlfn.SUMIFS(INDEX('Калькуляция (МИ корр)'!$AJ$25:$BC$747,,MATCH(BC$8,'Калькуляция (МИ корр)'!$AJ$8:$BC$8,0)),'Калькуляция (МИ корр)'!$F$25:$F$747,$F314,'Калькуляция (МИ корр)'!$G$25:$G$747,$G314),IF(method_reg="Метод экономически обоснованных расходов",_xlfn.SUMIFS('Калькуляция (МЭОР)'!$AK$25:$AK$452,'Калькуляция (МЭОР)'!$F$25:$F$452,$F314,'Калькуляция (МЭОР)'!$G$25:$G$452,$G314),IF(method_reg="Метод сравнения аналогов",_xlfn.SUMIFS('Калькуляция (МСА)'!$AF$25:$AF$122,'Калькуляция (МСА)'!$F$25:$F$122,$F314,'Калькуляция (МСА)'!$G$25:$G$122,$G314),_xlfn.SUMIFS(INDEX('Калькуляция (МИ)'!$AJ$25:$BC$747,,MATCH(BC$8,'Калькуляция (МИ)'!$AJ$8:$BC$8,0)),'Калькуляция (МИ)'!$F$25:$F$747,$F314,'Калькуляция (МИ)'!$G$25:$G$747,$G314))))</f>
        <v>0</v>
      </c>
      <c r="BD314" s="1095">
        <f>IF(BB314=0,0,(BC314-BB314)/BB314*100)</f>
        <v>0</v>
      </c>
      <c r="BE314" s="5247">
        <f>IF(AND(method_reg="Метод индексации",god&lt;&gt;first_year),_xlfn.SUMIFS(INDEX('Калькуляция (МИ корр)'!$AJ$25:$BC$747,,MATCH(BE$8,'Калькуляция (МИ корр)'!$AJ$8:$BC$8,0)),'Калькуляция (МИ корр)'!$F$25:$F$747,$F314,'Калькуляция (МИ корр)'!$G$25:$G$747,$G314),IF(method_reg="Метод экономически обоснованных расходов",_xlfn.SUMIFS('Калькуляция (МЭОР)'!$AJ$25:$AJ$452,'Калькуляция (МЭОР)'!$F$25:$F$452,$F314,'Калькуляция (МЭОР)'!$G$25:$G$452,$G314),IF(method_reg="Метод сравнения аналогов",_xlfn.SUMIFS('Калькуляция (МСА)'!$AE$25:$AE$122,'Калькуляция (МСА)'!$F$25:$F$122,$F314,'Калькуляция (МСА)'!$G$25:$G$122,$G314),_xlfn.SUMIFS(INDEX('Калькуляция (МИ)'!$AJ$25:$BC$747,,MATCH(BE$8,'Калькуляция (МИ)'!$AJ$8:$BC$8,0)),'Калькуляция (МИ)'!$F$25:$F$747,$F314,'Калькуляция (МИ)'!$G$25:$G$747,$G314))))</f>
        <v>0</v>
      </c>
      <c r="BF314" s="5247">
        <f>IF(AND(method_reg="Метод индексации",god&lt;&gt;first_year),_xlfn.SUMIFS(INDEX('Калькуляция (МИ корр)'!$AJ$25:$BC$747,,MATCH(BF$8,'Калькуляция (МИ корр)'!$AJ$8:$BC$8,0)),'Калькуляция (МИ корр)'!$F$25:$F$747,$F314,'Калькуляция (МИ корр)'!$G$25:$G$747,$G314),IF(method_reg="Метод экономически обоснованных расходов",_xlfn.SUMIFS('Калькуляция (МЭОР)'!$AK$25:$AK$452,'Калькуляция (МЭОР)'!$F$25:$F$452,$F314,'Калькуляция (МЭОР)'!$G$25:$G$452,$G314),IF(method_reg="Метод сравнения аналогов",_xlfn.SUMIFS('Калькуляция (МСА)'!$AF$25:$AF$122,'Калькуляция (МСА)'!$F$25:$F$122,$F314,'Калькуляция (МСА)'!$G$25:$G$122,$G314),_xlfn.SUMIFS(INDEX('Калькуляция (МИ)'!$AJ$25:$BC$747,,MATCH(BF$8,'Калькуляция (МИ)'!$AJ$8:$BC$8,0)),'Калькуляция (МИ)'!$F$25:$F$747,$F314,'Калькуляция (МИ)'!$G$25:$G$747,$G314))))</f>
        <v>0</v>
      </c>
      <c r="BG314" s="1095">
        <f>IF(BE314=0,0,(BF314-BE314)/BE314*100)</f>
        <v>0</v>
      </c>
      <c r="BH314" s="5247"/>
      <c r="BI314" s="5247"/>
      <c r="BJ314" s="1095">
        <f>IF(BH314=0,0,(BI314-BH314)/BH314*100)</f>
        <v>0</v>
      </c>
      <c r="BK314" s="5247"/>
      <c r="BL314" s="5247"/>
      <c r="BM314" s="1095">
        <f>IF(BK314=0,0,(BL314-BK314)/BK314*100)</f>
        <v>0</v>
      </c>
      <c r="BN314" s="5247"/>
      <c r="BO314" s="5247"/>
      <c r="BP314" s="1095">
        <f>IF(BN314=0,0,(BO314-BN314)/BN314*100)</f>
        <v>0</v>
      </c>
      <c r="BQ314" s="5247"/>
      <c r="BR314" s="5247"/>
      <c r="BS314" s="1095">
        <f>IF(BQ314=0,0,(BR314-BQ314)/BQ314*100)</f>
        <v>0</v>
      </c>
      <c r="BT314" s="5247"/>
      <c r="BU314" s="5247"/>
      <c r="BV314" s="1095">
        <f>IF(BT314=0,0,(BU314-BT314)/BT314*100)</f>
        <v>0</v>
      </c>
      <c r="BW314" s="5247"/>
      <c r="BX314" s="5247"/>
      <c r="BY314" s="1095">
        <f>IF(BW314=0,0,(BX314-BW314)/BW314*100)</f>
        <v>0</v>
      </c>
      <c r="BZ314" s="5247"/>
      <c r="CA314" s="5247"/>
      <c r="CB314" s="1095">
        <f>IF(BZ314=0,0,(CA314-BZ314)/BZ314*100)</f>
        <v>0</v>
      </c>
      <c r="CC314" s="5247"/>
      <c r="CD314" s="5247"/>
      <c r="CE314" s="1095">
        <f>IF(CC314=0,0,(CD314-CC314)/CC314*100)</f>
        <v>0</v>
      </c>
      <c r="CF314" s="5247"/>
      <c r="CG314" s="5247"/>
      <c r="CH314" s="1095">
        <f>IF(CF314=0,0,(CG314-CF314)/CF314*100)</f>
        <v>0</v>
      </c>
      <c r="CI314" s="5247"/>
      <c r="CJ314" s="5247"/>
      <c r="CK314" s="1095">
        <f>IF(CI314=0,0,(CJ314-CI314)/CI314*100)</f>
        <v>0</v>
      </c>
      <c r="CL314" s="5247"/>
      <c r="CM314" s="5247"/>
      <c r="CN314" s="1095">
        <f>IF(CL314=0,0,(CM314-CL314)/CL314*100)</f>
        <v>0</v>
      </c>
      <c r="CO314" s="5247"/>
      <c r="CP314" s="5247"/>
      <c r="CQ314" s="1095">
        <f>IF(CO314=0,0,(CP314-CO314)/CO314*100)</f>
        <v>0</v>
      </c>
      <c r="CR314" s="5247"/>
      <c r="CS314" s="5247"/>
      <c r="CT314" s="1095">
        <f>IF(CR314=0,0,(CS314-CR314)/CR314*100)</f>
        <v>0</v>
      </c>
      <c r="CU314" s="5247"/>
      <c r="CV314" s="5247"/>
      <c r="CW314" s="1095">
        <f>IF(CU314=0,0,(CV314-CU314)/CU314*100)</f>
        <v>0</v>
      </c>
      <c r="CX314" s="5247"/>
      <c r="CY314" s="5247"/>
      <c r="CZ314" s="1095">
        <f>IF(CX314=0,0,(CY314-CX314)/CX314*100)</f>
        <v>0</v>
      </c>
      <c r="DA314" s="5247"/>
      <c r="DB314" s="5247"/>
      <c r="DC314" s="1095">
        <f>IF(DA314=0,0,(DB314-DA314)/DA314*100)</f>
        <v>0</v>
      </c>
      <c r="DD314" s="5247"/>
      <c r="DE314" s="5247"/>
      <c r="DF314" s="1095">
        <f>IF(DD314=0,0,(DE314-DD314)/DD314*100)</f>
        <v>0</v>
      </c>
      <c r="DG314" s="5247"/>
      <c r="DH314" s="5247"/>
      <c r="DI314" s="1095">
        <f>IF(DG314=0,0,(DH314-DG314)/DG314*100)</f>
        <v>0</v>
      </c>
      <c r="DJ314" s="5247"/>
      <c r="DK314" s="5247"/>
      <c r="DL314" s="1095">
        <f>IF(DJ314=0,0,(DK314-DJ314)/DJ314*100)</f>
        <v>0</v>
      </c>
      <c r="DM314" s="5247"/>
      <c r="DN314" s="5247"/>
      <c r="DO314" s="1095">
        <f>IF(DM314=0,0,(DN314-DM314)/DM314*100)</f>
        <v>0</v>
      </c>
      <c r="DP314" s="5247"/>
      <c r="DQ314" s="5247"/>
      <c r="DR314" s="1095">
        <f>IF(DP314=0,0,(DQ314-DP314)/DP314*100)</f>
        <v>0</v>
      </c>
      <c r="DS314" s="5247"/>
      <c r="DT314" s="5247"/>
      <c r="DU314" s="1095">
        <f>IF(DS314=0,0,(DT314-DS314)/DS314*100)</f>
        <v>0</v>
      </c>
      <c r="DV314" s="5247"/>
      <c r="DW314" s="5247"/>
      <c r="DX314" s="1095">
        <f>IF(DV314=0,0,(DW314-DV314)/DV314*100)</f>
        <v>0</v>
      </c>
      <c r="DY314" s="5247"/>
      <c r="DZ314" s="5247"/>
      <c r="EA314" s="1095">
        <f>IF(DY314=0,0,(DZ314-DY314)/DY314*100)</f>
        <v>0</v>
      </c>
      <c r="EB314" s="5247"/>
      <c r="EC314" s="5247"/>
      <c r="ED314" s="1095">
        <f>IF(EB314=0,0,(EC314-EB314)/EB314*100)</f>
        <v>0</v>
      </c>
      <c r="EE314" s="5247"/>
      <c r="EF314" s="5247"/>
      <c r="EG314" s="1095">
        <f>IF(EE314=0,0,(EF314-EE314)/EE314*100)</f>
        <v>0</v>
      </c>
      <c r="EH314" s="5247"/>
      <c r="EI314" s="5247"/>
      <c r="EJ314" s="1095">
        <f>IF(EH314=0,0,(EI314-EH314)/EH314*100)</f>
        <v>0</v>
      </c>
      <c r="EK314" s="5247"/>
      <c r="EL314" s="5247"/>
      <c r="EM314" s="1095">
        <f>IF(EK314=0,0,(EL314-EK314)/EK314*100)</f>
        <v>0</v>
      </c>
      <c r="EN314" s="5247"/>
      <c r="EO314" s="5247"/>
      <c r="EP314" s="1095">
        <f>IF(EN314=0,0,(EO314-EN314)/EN314*100)</f>
        <v>0</v>
      </c>
      <c r="EQ314" s="5247"/>
      <c r="ER314" s="5247"/>
      <c r="ES314" s="1095">
        <f>IF(EQ314=0,0,(ER314-EQ314)/EQ314*100)</f>
        <v>0</v>
      </c>
      <c r="ET314" s="5247"/>
      <c r="EU314" s="5247"/>
      <c r="EV314" s="1095">
        <f>IF(ET314=0,0,(EU314-ET314)/ET314*100)</f>
        <v>0</v>
      </c>
      <c r="EW314" s="5247"/>
      <c r="EX314" s="5247"/>
      <c r="EY314" s="1095">
        <f>IF(EW314=0,0,(EX314-EW314)/EW314*100)</f>
        <v>0</v>
      </c>
      <c r="EZ314" s="5247"/>
      <c r="FA314" s="5247"/>
      <c r="FB314" s="1095">
        <f>IF(EZ314=0,0,(FA314-EZ314)/EZ314*100)</f>
        <v>0</v>
      </c>
      <c r="FC314" s="5247"/>
      <c r="FD314" s="5247"/>
      <c r="FE314" s="1095">
        <f>IF(FC314=0,0,(FD314-FC314)/FC314*100)</f>
        <v>0</v>
      </c>
      <c r="FF314" s="5247"/>
      <c r="FG314" s="5247"/>
      <c r="FH314" s="1095">
        <f>IF(FF314=0,0,(FG314-FF314)/FF314*100)</f>
        <v>0</v>
      </c>
      <c r="FI314" s="5247"/>
      <c r="FJ314" s="5247"/>
      <c r="FK314" s="1095">
        <f>IF(FI314=0,0,(FJ314-FI314)/FI314*100)</f>
        <v>0</v>
      </c>
      <c r="FL314" s="5247"/>
      <c r="FM314" s="5247"/>
      <c r="FN314" s="1095">
        <f>IF(FL314=0,0,(FM314-FL314)/FL314*100)</f>
        <v>0</v>
      </c>
      <c r="FO314" s="5247"/>
      <c r="FP314" s="5247"/>
      <c r="FQ314" s="1095">
        <f>IF(FO314=0,0,(FP314-FO314)/FO314*100)</f>
        <v>0</v>
      </c>
      <c r="FR314" s="5247"/>
      <c r="FS314" s="5247"/>
      <c r="FT314" s="1095">
        <f>IF(FR314=0,0,(FS314-FR314)/FR314*100)</f>
        <v>0</v>
      </c>
      <c r="FU314" s="5247"/>
      <c r="FV314" s="5247"/>
      <c r="FW314" s="1095">
        <f>IF(FU314=0,0,(FV314-FU314)/FU314*100)</f>
        <v>0</v>
      </c>
      <c r="FX314" s="1304"/>
      <c r="FY314" s="1304"/>
      <c r="FZ314" s="1055" t="s">
        <v>2394</v>
      </c>
      <c r="GA314" s="1306"/>
      <c r="GB314" s="1306"/>
      <c r="GC314" s="1305"/>
      <c r="GD314" s="1305"/>
    </row>
    <row s="1834" customFormat="1" customHeight="1" ht="21.75" hidden="1">
      <c r="A315" s="493"/>
      <c r="B315" s="925" cm="1" t="str">
        <f t="array" ref="B315:B315">B314</f>
        <v>false</v>
      </c>
      <c r="C315" s="493"/>
      <c r="D315" s="493"/>
      <c r="E315" s="840">
        <v>22.5</v>
      </c>
      <c r="F315" s="50" cm="1" t="str">
        <f t="array" ref="F315:F315">OFFSET(E315,-1,1)</f>
        <v>4</v>
      </c>
      <c r="G315" s="493"/>
      <c r="H315" s="493" t="s">
        <v>2376</v>
      </c>
      <c r="I315" s="493" t="s">
        <v>2350</v>
      </c>
      <c r="J315" s="493"/>
      <c r="K315" s="493"/>
      <c r="L315" s="493"/>
      <c r="M315" s="493"/>
      <c r="N315" s="493"/>
      <c r="O315" s="493"/>
      <c r="P315" s="493"/>
      <c r="Q315" s="493"/>
      <c r="R315" s="493"/>
      <c r="S315" s="493"/>
      <c r="T315" s="465" cm="1" t="str">
        <f t="array" ref="T315:T315">T314</f>
        <v>true</v>
      </c>
      <c r="U315" s="493"/>
      <c r="V315" s="493"/>
      <c r="W315" s="493"/>
      <c r="X315" s="1596"/>
      <c r="Y315" s="493"/>
      <c r="Z315" s="1545"/>
      <c r="AA315" s="493"/>
      <c r="AB315" s="1091" t="str">
        <f>"ставка платы за содержание системы "&amp;IF(Q281="Водоснабжение","холодного водоснабжения","водоотведения")</f>
        <v>ставка платы за содержание системы водоотведения</v>
      </c>
      <c r="AC315" s="864" t="s">
        <v>2377</v>
      </c>
      <c r="AD315" s="2846"/>
      <c r="AE315" s="2846"/>
      <c r="AF315" s="1093">
        <f>IF(AD315=0,0,(AE315-AD315)/AD315*100)</f>
        <v>0</v>
      </c>
      <c r="AG315" s="2846"/>
      <c r="AH315" s="2846"/>
      <c r="AI315" s="1093">
        <f>IF(AG315=0,0,(AH315-AG315)/AG315*100)</f>
        <v>0</v>
      </c>
      <c r="AJ315" s="2846"/>
      <c r="AK315" s="2846"/>
      <c r="AL315" s="1093">
        <f>IF(AJ315=0,0,(AK315-AJ315)/AJ315*100)</f>
        <v>0</v>
      </c>
      <c r="AM315" s="2846"/>
      <c r="AN315" s="2846"/>
      <c r="AO315" s="1093">
        <f>IF(AM315=0,0,(AN315-AM315)/AM315*100)</f>
        <v>0</v>
      </c>
      <c r="AP315" s="2846"/>
      <c r="AQ315" s="2846"/>
      <c r="AR315" s="1093">
        <f>IF(AP315=0,0,(AQ315-AP315)/AP315*100)</f>
        <v>0</v>
      </c>
      <c r="AS315" s="2846"/>
      <c r="AT315" s="2846"/>
      <c r="AU315" s="1093">
        <f>IF(AS315=0,0,(AT315-AS315)/AS315*100)</f>
        <v>0</v>
      </c>
      <c r="AV315" s="2846"/>
      <c r="AW315" s="2846"/>
      <c r="AX315" s="1093">
        <f>IF(AV315=0,0,(AW315-AV315)/AV315*100)</f>
        <v>0</v>
      </c>
      <c r="AY315" s="2846"/>
      <c r="AZ315" s="2846"/>
      <c r="BA315" s="1093">
        <f>IF(AY315=0,0,(AZ315-AY315)/AY315*100)</f>
        <v>0</v>
      </c>
      <c r="BB315" s="2846"/>
      <c r="BC315" s="2846"/>
      <c r="BD315" s="1093">
        <f>IF(BB315=0,0,(BC315-BB315)/BB315*100)</f>
        <v>0</v>
      </c>
      <c r="BE315" s="2846"/>
      <c r="BF315" s="2846"/>
      <c r="BG315" s="1093">
        <f>IF(BE315=0,0,(BF315-BE315)/BE315*100)</f>
        <v>0</v>
      </c>
      <c r="BH315" s="2846"/>
      <c r="BI315" s="2846"/>
      <c r="BJ315" s="1093">
        <f>IF(BH315=0,0,(BI315-BH315)/BH315*100)</f>
        <v>0</v>
      </c>
      <c r="BK315" s="2846"/>
      <c r="BL315" s="2846"/>
      <c r="BM315" s="1093">
        <f>IF(BK315=0,0,(BL315-BK315)/BK315*100)</f>
        <v>0</v>
      </c>
      <c r="BN315" s="2846"/>
      <c r="BO315" s="2846"/>
      <c r="BP315" s="1093">
        <f>IF(BN315=0,0,(BO315-BN315)/BN315*100)</f>
        <v>0</v>
      </c>
      <c r="BQ315" s="2846"/>
      <c r="BR315" s="2846"/>
      <c r="BS315" s="1093">
        <f>IF(BQ315=0,0,(BR315-BQ315)/BQ315*100)</f>
        <v>0</v>
      </c>
      <c r="BT315" s="2846"/>
      <c r="BU315" s="2846"/>
      <c r="BV315" s="1093">
        <f>IF(BT315=0,0,(BU315-BT315)/BT315*100)</f>
        <v>0</v>
      </c>
      <c r="BW315" s="2846"/>
      <c r="BX315" s="2846"/>
      <c r="BY315" s="1093">
        <f>IF(BW315=0,0,(BX315-BW315)/BW315*100)</f>
        <v>0</v>
      </c>
      <c r="BZ315" s="2846"/>
      <c r="CA315" s="2846"/>
      <c r="CB315" s="1093">
        <f>IF(BZ315=0,0,(CA315-BZ315)/BZ315*100)</f>
        <v>0</v>
      </c>
      <c r="CC315" s="2846"/>
      <c r="CD315" s="2846"/>
      <c r="CE315" s="1093">
        <f>IF(CC315=0,0,(CD315-CC315)/CC315*100)</f>
        <v>0</v>
      </c>
      <c r="CF315" s="2846"/>
      <c r="CG315" s="2846"/>
      <c r="CH315" s="1093">
        <f>IF(CF315=0,0,(CG315-CF315)/CF315*100)</f>
        <v>0</v>
      </c>
      <c r="CI315" s="2846"/>
      <c r="CJ315" s="2846"/>
      <c r="CK315" s="1093">
        <f>IF(CI315=0,0,(CJ315-CI315)/CI315*100)</f>
        <v>0</v>
      </c>
      <c r="CL315" s="2846"/>
      <c r="CM315" s="2846"/>
      <c r="CN315" s="1093">
        <f>IF(CL315=0,0,(CM315-CL315)/CL315*100)</f>
        <v>0</v>
      </c>
      <c r="CO315" s="2846"/>
      <c r="CP315" s="2846"/>
      <c r="CQ315" s="1093">
        <f>IF(CO315=0,0,(CP315-CO315)/CO315*100)</f>
        <v>0</v>
      </c>
      <c r="CR315" s="2846"/>
      <c r="CS315" s="2846"/>
      <c r="CT315" s="1093">
        <f>IF(CR315=0,0,(CS315-CR315)/CR315*100)</f>
        <v>0</v>
      </c>
      <c r="CU315" s="2846"/>
      <c r="CV315" s="2846"/>
      <c r="CW315" s="1093">
        <f>IF(CU315=0,0,(CV315-CU315)/CU315*100)</f>
        <v>0</v>
      </c>
      <c r="CX315" s="2846"/>
      <c r="CY315" s="2846"/>
      <c r="CZ315" s="1093">
        <f>IF(CX315=0,0,(CY315-CX315)/CX315*100)</f>
        <v>0</v>
      </c>
      <c r="DA315" s="2846"/>
      <c r="DB315" s="2846"/>
      <c r="DC315" s="1093">
        <f>IF(DA315=0,0,(DB315-DA315)/DA315*100)</f>
        <v>0</v>
      </c>
      <c r="DD315" s="2846"/>
      <c r="DE315" s="2846"/>
      <c r="DF315" s="1093">
        <f>IF(DD315=0,0,(DE315-DD315)/DD315*100)</f>
        <v>0</v>
      </c>
      <c r="DG315" s="2846"/>
      <c r="DH315" s="2846"/>
      <c r="DI315" s="1093">
        <f>IF(DG315=0,0,(DH315-DG315)/DG315*100)</f>
        <v>0</v>
      </c>
      <c r="DJ315" s="2846"/>
      <c r="DK315" s="2846"/>
      <c r="DL315" s="1093">
        <f>IF(DJ315=0,0,(DK315-DJ315)/DJ315*100)</f>
        <v>0</v>
      </c>
      <c r="DM315" s="2846"/>
      <c r="DN315" s="2846"/>
      <c r="DO315" s="1093">
        <f>IF(DM315=0,0,(DN315-DM315)/DM315*100)</f>
        <v>0</v>
      </c>
      <c r="DP315" s="2846"/>
      <c r="DQ315" s="2846"/>
      <c r="DR315" s="1093">
        <f>IF(DP315=0,0,(DQ315-DP315)/DP315*100)</f>
        <v>0</v>
      </c>
      <c r="DS315" s="2846"/>
      <c r="DT315" s="2846"/>
      <c r="DU315" s="1093">
        <f>IF(DS315=0,0,(DT315-DS315)/DS315*100)</f>
        <v>0</v>
      </c>
      <c r="DV315" s="2846"/>
      <c r="DW315" s="2846"/>
      <c r="DX315" s="1093">
        <f>IF(DV315=0,0,(DW315-DV315)/DV315*100)</f>
        <v>0</v>
      </c>
      <c r="DY315" s="2846"/>
      <c r="DZ315" s="2846"/>
      <c r="EA315" s="1093">
        <f>IF(DY315=0,0,(DZ315-DY315)/DY315*100)</f>
        <v>0</v>
      </c>
      <c r="EB315" s="2846"/>
      <c r="EC315" s="2846"/>
      <c r="ED315" s="1093">
        <f>IF(EB315=0,0,(EC315-EB315)/EB315*100)</f>
        <v>0</v>
      </c>
      <c r="EE315" s="2846"/>
      <c r="EF315" s="2846"/>
      <c r="EG315" s="1093">
        <f>IF(EE315=0,0,(EF315-EE315)/EE315*100)</f>
        <v>0</v>
      </c>
      <c r="EH315" s="2846"/>
      <c r="EI315" s="2846"/>
      <c r="EJ315" s="1093">
        <f>IF(EH315=0,0,(EI315-EH315)/EH315*100)</f>
        <v>0</v>
      </c>
      <c r="EK315" s="2846"/>
      <c r="EL315" s="2846"/>
      <c r="EM315" s="1093">
        <f>IF(EK315=0,0,(EL315-EK315)/EK315*100)</f>
        <v>0</v>
      </c>
      <c r="EN315" s="2846"/>
      <c r="EO315" s="2846"/>
      <c r="EP315" s="1093">
        <f>IF(EN315=0,0,(EO315-EN315)/EN315*100)</f>
        <v>0</v>
      </c>
      <c r="EQ315" s="2846"/>
      <c r="ER315" s="2846"/>
      <c r="ES315" s="1093">
        <f>IF(EQ315=0,0,(ER315-EQ315)/EQ315*100)</f>
        <v>0</v>
      </c>
      <c r="ET315" s="2846"/>
      <c r="EU315" s="2846"/>
      <c r="EV315" s="1093">
        <f>IF(ET315=0,0,(EU315-ET315)/ET315*100)</f>
        <v>0</v>
      </c>
      <c r="EW315" s="2846"/>
      <c r="EX315" s="2846"/>
      <c r="EY315" s="1093">
        <f>IF(EW315=0,0,(EX315-EW315)/EW315*100)</f>
        <v>0</v>
      </c>
      <c r="EZ315" s="2846"/>
      <c r="FA315" s="2846"/>
      <c r="FB315" s="1093">
        <f>IF(EZ315=0,0,(FA315-EZ315)/EZ315*100)</f>
        <v>0</v>
      </c>
      <c r="FC315" s="2846"/>
      <c r="FD315" s="2846"/>
      <c r="FE315" s="1093">
        <f>IF(FC315=0,0,(FD315-FC315)/FC315*100)</f>
        <v>0</v>
      </c>
      <c r="FF315" s="2846"/>
      <c r="FG315" s="2846"/>
      <c r="FH315" s="1093">
        <f>IF(FF315=0,0,(FG315-FF315)/FF315*100)</f>
        <v>0</v>
      </c>
      <c r="FI315" s="2846"/>
      <c r="FJ315" s="2846"/>
      <c r="FK315" s="1093">
        <f>IF(FI315=0,0,(FJ315-FI315)/FI315*100)</f>
        <v>0</v>
      </c>
      <c r="FL315" s="2846"/>
      <c r="FM315" s="2846"/>
      <c r="FN315" s="1093">
        <f>IF(FL315=0,0,(FM315-FL315)/FL315*100)</f>
        <v>0</v>
      </c>
      <c r="FO315" s="2846"/>
      <c r="FP315" s="2846"/>
      <c r="FQ315" s="1093">
        <f>IF(FO315=0,0,(FP315-FO315)/FO315*100)</f>
        <v>0</v>
      </c>
      <c r="FR315" s="2846"/>
      <c r="FS315" s="2846"/>
      <c r="FT315" s="1093">
        <f>IF(FR315=0,0,(FS315-FR315)/FR315*100)</f>
        <v>0</v>
      </c>
      <c r="FU315" s="2846"/>
      <c r="FV315" s="2846"/>
      <c r="FW315" s="1093">
        <f>IF(FU315=0,0,(FV315-FU315)/FU315*100)</f>
        <v>0</v>
      </c>
      <c r="FX315" s="1304"/>
      <c r="FY315" s="1304"/>
      <c r="FZ315" s="1055" t="s">
        <v>2395</v>
      </c>
      <c r="GA315" s="1306"/>
      <c r="GB315" s="1306"/>
      <c r="GC315" s="1305"/>
      <c r="GD315" s="1305"/>
    </row>
    <row s="1834" customFormat="1" customHeight="1" ht="14.25" hidden="1">
      <c r="A316" s="493"/>
      <c r="B316" s="925" cm="1" t="str">
        <f t="array" ref="B316:B316">B315</f>
        <v>false</v>
      </c>
      <c r="C316" s="493"/>
      <c r="D316" s="493"/>
      <c r="E316" s="840">
        <v>15</v>
      </c>
      <c r="F316" s="50" cm="1" t="str">
        <f t="array" ref="F316:F316">OFFSET(E316,-1,1)</f>
        <v>4</v>
      </c>
      <c r="G316" s="493"/>
      <c r="H316" s="493" t="s">
        <v>2379</v>
      </c>
      <c r="I316" s="493" t="s">
        <v>2350</v>
      </c>
      <c r="J316" s="493"/>
      <c r="K316" s="493"/>
      <c r="L316" s="493"/>
      <c r="M316" s="493"/>
      <c r="N316" s="493"/>
      <c r="O316" s="493"/>
      <c r="P316" s="493"/>
      <c r="Q316" s="493"/>
      <c r="R316" s="493"/>
      <c r="S316" s="493"/>
      <c r="T316" s="465" cm="1" t="str">
        <f t="array" ref="T316:T316">T315</f>
        <v>true</v>
      </c>
      <c r="U316" s="493"/>
      <c r="V316" s="493"/>
      <c r="W316" s="493"/>
      <c r="X316" s="1596"/>
      <c r="Y316" s="493"/>
      <c r="Z316" s="1545"/>
      <c r="AA316" s="493"/>
      <c r="AB316" s="1091" t="s">
        <v>2380</v>
      </c>
      <c r="AC316" s="864" t="s">
        <v>2381</v>
      </c>
      <c r="AD316" s="2846"/>
      <c r="AE316" s="2846"/>
      <c r="AF316" s="1093">
        <f>IF(AD316=0,0,(AE316-AD316)/AD316*100)</f>
        <v>0</v>
      </c>
      <c r="AG316" s="2846"/>
      <c r="AH316" s="2846"/>
      <c r="AI316" s="1093">
        <f>IF(AG316=0,0,(AH316-AG316)/AG316*100)</f>
        <v>0</v>
      </c>
      <c r="AJ316" s="2846"/>
      <c r="AK316" s="2846"/>
      <c r="AL316" s="1093">
        <f>IF(AJ316=0,0,(AK316-AJ316)/AJ316*100)</f>
        <v>0</v>
      </c>
      <c r="AM316" s="2846"/>
      <c r="AN316" s="2846"/>
      <c r="AO316" s="1093">
        <f>IF(AM316=0,0,(AN316-AM316)/AM316*100)</f>
        <v>0</v>
      </c>
      <c r="AP316" s="2846"/>
      <c r="AQ316" s="2846"/>
      <c r="AR316" s="1093">
        <f>IF(AP316=0,0,(AQ316-AP316)/AP316*100)</f>
        <v>0</v>
      </c>
      <c r="AS316" s="2846"/>
      <c r="AT316" s="2846"/>
      <c r="AU316" s="1093">
        <f>IF(AS316=0,0,(AT316-AS316)/AS316*100)</f>
        <v>0</v>
      </c>
      <c r="AV316" s="2846"/>
      <c r="AW316" s="2846"/>
      <c r="AX316" s="1093">
        <f>IF(AV316=0,0,(AW316-AV316)/AV316*100)</f>
        <v>0</v>
      </c>
      <c r="AY316" s="2846"/>
      <c r="AZ316" s="2846"/>
      <c r="BA316" s="1093">
        <f>IF(AY316=0,0,(AZ316-AY316)/AY316*100)</f>
        <v>0</v>
      </c>
      <c r="BB316" s="2846"/>
      <c r="BC316" s="2846"/>
      <c r="BD316" s="1093">
        <f>IF(BB316=0,0,(BC316-BB316)/BB316*100)</f>
        <v>0</v>
      </c>
      <c r="BE316" s="2846"/>
      <c r="BF316" s="2846"/>
      <c r="BG316" s="1093">
        <f>IF(BE316=0,0,(BF316-BE316)/BE316*100)</f>
        <v>0</v>
      </c>
      <c r="BH316" s="2846"/>
      <c r="BI316" s="2846"/>
      <c r="BJ316" s="1093">
        <f>IF(BH316=0,0,(BI316-BH316)/BH316*100)</f>
        <v>0</v>
      </c>
      <c r="BK316" s="2846"/>
      <c r="BL316" s="2846"/>
      <c r="BM316" s="1093">
        <f>IF(BK316=0,0,(BL316-BK316)/BK316*100)</f>
        <v>0</v>
      </c>
      <c r="BN316" s="2846"/>
      <c r="BO316" s="2846"/>
      <c r="BP316" s="1093">
        <f>IF(BN316=0,0,(BO316-BN316)/BN316*100)</f>
        <v>0</v>
      </c>
      <c r="BQ316" s="2846"/>
      <c r="BR316" s="2846"/>
      <c r="BS316" s="1093">
        <f>IF(BQ316=0,0,(BR316-BQ316)/BQ316*100)</f>
        <v>0</v>
      </c>
      <c r="BT316" s="2846"/>
      <c r="BU316" s="2846"/>
      <c r="BV316" s="1093">
        <f>IF(BT316=0,0,(BU316-BT316)/BT316*100)</f>
        <v>0</v>
      </c>
      <c r="BW316" s="2846"/>
      <c r="BX316" s="2846"/>
      <c r="BY316" s="1093">
        <f>IF(BW316=0,0,(BX316-BW316)/BW316*100)</f>
        <v>0</v>
      </c>
      <c r="BZ316" s="2846"/>
      <c r="CA316" s="2846"/>
      <c r="CB316" s="1093">
        <f>IF(BZ316=0,0,(CA316-BZ316)/BZ316*100)</f>
        <v>0</v>
      </c>
      <c r="CC316" s="2846"/>
      <c r="CD316" s="2846"/>
      <c r="CE316" s="1093">
        <f>IF(CC316=0,0,(CD316-CC316)/CC316*100)</f>
        <v>0</v>
      </c>
      <c r="CF316" s="2846"/>
      <c r="CG316" s="2846"/>
      <c r="CH316" s="1093">
        <f>IF(CF316=0,0,(CG316-CF316)/CF316*100)</f>
        <v>0</v>
      </c>
      <c r="CI316" s="2846"/>
      <c r="CJ316" s="2846"/>
      <c r="CK316" s="1093">
        <f>IF(CI316=0,0,(CJ316-CI316)/CI316*100)</f>
        <v>0</v>
      </c>
      <c r="CL316" s="2846"/>
      <c r="CM316" s="2846"/>
      <c r="CN316" s="1093">
        <f>IF(CL316=0,0,(CM316-CL316)/CL316*100)</f>
        <v>0</v>
      </c>
      <c r="CO316" s="2846"/>
      <c r="CP316" s="2846"/>
      <c r="CQ316" s="1093">
        <f>IF(CO316=0,0,(CP316-CO316)/CO316*100)</f>
        <v>0</v>
      </c>
      <c r="CR316" s="2846"/>
      <c r="CS316" s="2846"/>
      <c r="CT316" s="1093">
        <f>IF(CR316=0,0,(CS316-CR316)/CR316*100)</f>
        <v>0</v>
      </c>
      <c r="CU316" s="2846"/>
      <c r="CV316" s="2846"/>
      <c r="CW316" s="1093">
        <f>IF(CU316=0,0,(CV316-CU316)/CU316*100)</f>
        <v>0</v>
      </c>
      <c r="CX316" s="2846"/>
      <c r="CY316" s="2846"/>
      <c r="CZ316" s="1093">
        <f>IF(CX316=0,0,(CY316-CX316)/CX316*100)</f>
        <v>0</v>
      </c>
      <c r="DA316" s="2846"/>
      <c r="DB316" s="2846"/>
      <c r="DC316" s="1093">
        <f>IF(DA316=0,0,(DB316-DA316)/DA316*100)</f>
        <v>0</v>
      </c>
      <c r="DD316" s="2846"/>
      <c r="DE316" s="2846"/>
      <c r="DF316" s="1093">
        <f>IF(DD316=0,0,(DE316-DD316)/DD316*100)</f>
        <v>0</v>
      </c>
      <c r="DG316" s="2846"/>
      <c r="DH316" s="2846"/>
      <c r="DI316" s="1093">
        <f>IF(DG316=0,0,(DH316-DG316)/DG316*100)</f>
        <v>0</v>
      </c>
      <c r="DJ316" s="2846"/>
      <c r="DK316" s="2846"/>
      <c r="DL316" s="1093">
        <f>IF(DJ316=0,0,(DK316-DJ316)/DJ316*100)</f>
        <v>0</v>
      </c>
      <c r="DM316" s="2846"/>
      <c r="DN316" s="2846"/>
      <c r="DO316" s="1093">
        <f>IF(DM316=0,0,(DN316-DM316)/DM316*100)</f>
        <v>0</v>
      </c>
      <c r="DP316" s="2846"/>
      <c r="DQ316" s="2846"/>
      <c r="DR316" s="1093">
        <f>IF(DP316=0,0,(DQ316-DP316)/DP316*100)</f>
        <v>0</v>
      </c>
      <c r="DS316" s="2846"/>
      <c r="DT316" s="2846"/>
      <c r="DU316" s="1093">
        <f>IF(DS316=0,0,(DT316-DS316)/DS316*100)</f>
        <v>0</v>
      </c>
      <c r="DV316" s="2846"/>
      <c r="DW316" s="2846"/>
      <c r="DX316" s="1093">
        <f>IF(DV316=0,0,(DW316-DV316)/DV316*100)</f>
        <v>0</v>
      </c>
      <c r="DY316" s="2846"/>
      <c r="DZ316" s="2846"/>
      <c r="EA316" s="1093">
        <f>IF(DY316=0,0,(DZ316-DY316)/DY316*100)</f>
        <v>0</v>
      </c>
      <c r="EB316" s="2846"/>
      <c r="EC316" s="2846"/>
      <c r="ED316" s="1093">
        <f>IF(EB316=0,0,(EC316-EB316)/EB316*100)</f>
        <v>0</v>
      </c>
      <c r="EE316" s="2846"/>
      <c r="EF316" s="2846"/>
      <c r="EG316" s="1093">
        <f>IF(EE316=0,0,(EF316-EE316)/EE316*100)</f>
        <v>0</v>
      </c>
      <c r="EH316" s="2846"/>
      <c r="EI316" s="2846"/>
      <c r="EJ316" s="1093">
        <f>IF(EH316=0,0,(EI316-EH316)/EH316*100)</f>
        <v>0</v>
      </c>
      <c r="EK316" s="2846"/>
      <c r="EL316" s="2846"/>
      <c r="EM316" s="1093">
        <f>IF(EK316=0,0,(EL316-EK316)/EK316*100)</f>
        <v>0</v>
      </c>
      <c r="EN316" s="2846"/>
      <c r="EO316" s="2846"/>
      <c r="EP316" s="1093">
        <f>IF(EN316=0,0,(EO316-EN316)/EN316*100)</f>
        <v>0</v>
      </c>
      <c r="EQ316" s="2846"/>
      <c r="ER316" s="2846"/>
      <c r="ES316" s="1093">
        <f>IF(EQ316=0,0,(ER316-EQ316)/EQ316*100)</f>
        <v>0</v>
      </c>
      <c r="ET316" s="2846"/>
      <c r="EU316" s="2846"/>
      <c r="EV316" s="1093">
        <f>IF(ET316=0,0,(EU316-ET316)/ET316*100)</f>
        <v>0</v>
      </c>
      <c r="EW316" s="2846"/>
      <c r="EX316" s="2846"/>
      <c r="EY316" s="1093">
        <f>IF(EW316=0,0,(EX316-EW316)/EW316*100)</f>
        <v>0</v>
      </c>
      <c r="EZ316" s="2846"/>
      <c r="FA316" s="2846"/>
      <c r="FB316" s="1093">
        <f>IF(EZ316=0,0,(FA316-EZ316)/EZ316*100)</f>
        <v>0</v>
      </c>
      <c r="FC316" s="2846"/>
      <c r="FD316" s="2846"/>
      <c r="FE316" s="1093">
        <f>IF(FC316=0,0,(FD316-FC316)/FC316*100)</f>
        <v>0</v>
      </c>
      <c r="FF316" s="2846"/>
      <c r="FG316" s="2846"/>
      <c r="FH316" s="1093">
        <f>IF(FF316=0,0,(FG316-FF316)/FF316*100)</f>
        <v>0</v>
      </c>
      <c r="FI316" s="2846"/>
      <c r="FJ316" s="2846"/>
      <c r="FK316" s="1093">
        <f>IF(FI316=0,0,(FJ316-FI316)/FI316*100)</f>
        <v>0</v>
      </c>
      <c r="FL316" s="2846"/>
      <c r="FM316" s="2846"/>
      <c r="FN316" s="1093">
        <f>IF(FL316=0,0,(FM316-FL316)/FL316*100)</f>
        <v>0</v>
      </c>
      <c r="FO316" s="2846"/>
      <c r="FP316" s="2846"/>
      <c r="FQ316" s="1093">
        <f>IF(FO316=0,0,(FP316-FO316)/FO316*100)</f>
        <v>0</v>
      </c>
      <c r="FR316" s="2846"/>
      <c r="FS316" s="2846"/>
      <c r="FT316" s="1093">
        <f>IF(FR316=0,0,(FS316-FR316)/FR316*100)</f>
        <v>0</v>
      </c>
      <c r="FU316" s="2846"/>
      <c r="FV316" s="2846"/>
      <c r="FW316" s="1093">
        <f>IF(FU316=0,0,(FV316-FU316)/FU316*100)</f>
        <v>0</v>
      </c>
      <c r="FX316" s="1304"/>
      <c r="FY316" s="1304"/>
      <c r="FZ316" s="1055" t="s">
        <v>2396</v>
      </c>
      <c r="GA316" s="1306"/>
      <c r="GB316" s="1306"/>
      <c r="GC316" s="1305"/>
      <c r="GD316" s="1305"/>
    </row>
    <row s="1834" customFormat="1" customHeight="1" ht="23.25" hidden="1">
      <c r="A317" s="493"/>
      <c r="B317" s="925" cm="1" t="str">
        <f t="array" ref="B317:B317">B316</f>
        <v>false</v>
      </c>
      <c r="C317" s="493"/>
      <c r="D317" s="493"/>
      <c r="E317" s="840">
        <v>24.5</v>
      </c>
      <c r="F317" s="50" cm="1" t="str">
        <f t="array" ref="F317:F317">OFFSET(E317,-1,1)</f>
        <v>4</v>
      </c>
      <c r="G317" s="493"/>
      <c r="H317" s="493"/>
      <c r="I317" s="493"/>
      <c r="J317" s="493"/>
      <c r="K317" s="493"/>
      <c r="L317" s="493"/>
      <c r="M317" s="493"/>
      <c r="N317" s="493"/>
      <c r="O317" s="493"/>
      <c r="P317" s="493"/>
      <c r="Q317" s="493"/>
      <c r="R317" s="493"/>
      <c r="S317" s="493"/>
      <c r="T317" s="465" cm="1" t="str">
        <f t="array" ref="T317:T317">T316</f>
        <v>true</v>
      </c>
      <c r="U317" s="493"/>
      <c r="V317" s="493"/>
      <c r="W317" s="493"/>
      <c r="X317" s="1596"/>
      <c r="Y317" s="493"/>
      <c r="Z317" s="1545"/>
      <c r="AA317" s="493"/>
      <c r="AB317" s="293" t="s">
        <v>2397</v>
      </c>
      <c r="AC317" s="903"/>
      <c r="AD317" s="1102"/>
      <c r="AE317" s="1102"/>
      <c r="AF317" s="1102"/>
      <c r="AG317" s="1102"/>
      <c r="AH317" s="1102"/>
      <c r="AI317" s="1102"/>
      <c r="AJ317" s="1102"/>
      <c r="AK317" s="1102"/>
      <c r="AL317" s="1102"/>
      <c r="AM317" s="1102"/>
      <c r="AN317" s="1102"/>
      <c r="AO317" s="1102"/>
      <c r="AP317" s="1102"/>
      <c r="AQ317" s="1102"/>
      <c r="AR317" s="1102"/>
      <c r="AS317" s="1102"/>
      <c r="AT317" s="1102"/>
      <c r="AU317" s="1102"/>
      <c r="AV317" s="1102"/>
      <c r="AW317" s="1102"/>
      <c r="AX317" s="1102"/>
      <c r="AY317" s="1102"/>
      <c r="AZ317" s="1102"/>
      <c r="BA317" s="1102"/>
      <c r="BB317" s="1102"/>
      <c r="BC317" s="1102"/>
      <c r="BD317" s="1102"/>
      <c r="BE317" s="1102"/>
      <c r="BF317" s="1102"/>
      <c r="BG317" s="1102"/>
      <c r="BH317" s="1102"/>
      <c r="BI317" s="1102"/>
      <c r="BJ317" s="1102"/>
      <c r="BK317" s="1102"/>
      <c r="BL317" s="1102"/>
      <c r="BM317" s="1102"/>
      <c r="BN317" s="1102"/>
      <c r="BO317" s="1102"/>
      <c r="BP317" s="1102"/>
      <c r="BQ317" s="1102"/>
      <c r="BR317" s="1102"/>
      <c r="BS317" s="1102"/>
      <c r="BT317" s="1102"/>
      <c r="BU317" s="1102"/>
      <c r="BV317" s="1102"/>
      <c r="BW317" s="1102"/>
      <c r="BX317" s="1102"/>
      <c r="BY317" s="1102"/>
      <c r="BZ317" s="1102"/>
      <c r="CA317" s="1102"/>
      <c r="CB317" s="1102"/>
      <c r="CC317" s="1102"/>
      <c r="CD317" s="1102"/>
      <c r="CE317" s="1102"/>
      <c r="CF317" s="1102"/>
      <c r="CG317" s="1102"/>
      <c r="CH317" s="1102"/>
      <c r="CI317" s="1102"/>
      <c r="CJ317" s="1102"/>
      <c r="CK317" s="1102"/>
      <c r="CL317" s="1102"/>
      <c r="CM317" s="1102"/>
      <c r="CN317" s="1102"/>
      <c r="CO317" s="1102"/>
      <c r="CP317" s="1102"/>
      <c r="CQ317" s="1102"/>
      <c r="CR317" s="1102"/>
      <c r="CS317" s="1102"/>
      <c r="CT317" s="1102"/>
      <c r="CU317" s="1102"/>
      <c r="CV317" s="1102"/>
      <c r="CW317" s="1102"/>
      <c r="CX317" s="1102"/>
      <c r="CY317" s="1102"/>
      <c r="CZ317" s="1102"/>
      <c r="DA317" s="1102"/>
      <c r="DB317" s="1102"/>
      <c r="DC317" s="1102"/>
      <c r="DD317" s="1102"/>
      <c r="DE317" s="1102"/>
      <c r="DF317" s="1102"/>
      <c r="DG317" s="1102"/>
      <c r="DH317" s="1102"/>
      <c r="DI317" s="1102"/>
      <c r="DJ317" s="1102"/>
      <c r="DK317" s="1102"/>
      <c r="DL317" s="1102"/>
      <c r="DM317" s="1102"/>
      <c r="DN317" s="1102"/>
      <c r="DO317" s="1102"/>
      <c r="DP317" s="1102"/>
      <c r="DQ317" s="1102"/>
      <c r="DR317" s="1102"/>
      <c r="DS317" s="1102"/>
      <c r="DT317" s="1102"/>
      <c r="DU317" s="1102"/>
      <c r="DV317" s="1102"/>
      <c r="DW317" s="1102"/>
      <c r="DX317" s="1102"/>
      <c r="DY317" s="1102"/>
      <c r="DZ317" s="1102"/>
      <c r="EA317" s="1102"/>
      <c r="EB317" s="1102"/>
      <c r="EC317" s="1102"/>
      <c r="ED317" s="1102"/>
      <c r="EE317" s="1102"/>
      <c r="EF317" s="1102"/>
      <c r="EG317" s="1102"/>
      <c r="EH317" s="1102"/>
      <c r="EI317" s="1102"/>
      <c r="EJ317" s="1102"/>
      <c r="EK317" s="1102"/>
      <c r="EL317" s="1102"/>
      <c r="EM317" s="1102"/>
      <c r="EN317" s="1102"/>
      <c r="EO317" s="1102"/>
      <c r="EP317" s="1102"/>
      <c r="EQ317" s="1102"/>
      <c r="ER317" s="1102"/>
      <c r="ES317" s="1102"/>
      <c r="ET317" s="1102"/>
      <c r="EU317" s="1102"/>
      <c r="EV317" s="1102"/>
      <c r="EW317" s="1102"/>
      <c r="EX317" s="1102"/>
      <c r="EY317" s="1102"/>
      <c r="EZ317" s="1102"/>
      <c r="FA317" s="1102"/>
      <c r="FB317" s="1102"/>
      <c r="FC317" s="1102"/>
      <c r="FD317" s="1102"/>
      <c r="FE317" s="1102"/>
      <c r="FF317" s="1102"/>
      <c r="FG317" s="1102"/>
      <c r="FH317" s="1102"/>
      <c r="FI317" s="1102"/>
      <c r="FJ317" s="1102"/>
      <c r="FK317" s="1102"/>
      <c r="FL317" s="1102"/>
      <c r="FM317" s="1102"/>
      <c r="FN317" s="1102"/>
      <c r="FO317" s="1102"/>
      <c r="FP317" s="1102"/>
      <c r="FQ317" s="1102"/>
      <c r="FR317" s="1102"/>
      <c r="FS317" s="1102"/>
      <c r="FT317" s="1102"/>
      <c r="FU317" s="1102"/>
      <c r="FV317" s="1102"/>
      <c r="FW317" s="1103"/>
      <c r="FX317" s="1304"/>
      <c r="FY317" s="1304"/>
      <c r="FZ317" s="1055"/>
      <c r="GA317" s="1306"/>
      <c r="GB317" s="1306"/>
      <c r="GC317" s="1305"/>
      <c r="GD317" s="1305"/>
    </row>
    <row s="1834" customFormat="1" customHeight="1" ht="14.25" hidden="1">
      <c r="A318" s="493"/>
      <c r="B318" s="925" cm="1" t="str">
        <f t="array" ref="B318:B318">B317</f>
        <v>false</v>
      </c>
      <c r="C318" s="493"/>
      <c r="D318" s="493"/>
      <c r="E318" s="840">
        <v>15</v>
      </c>
      <c r="F318" s="50" cm="1" t="str">
        <f t="array" ref="F318:F318">OFFSET(E318,-1,1)</f>
        <v>4</v>
      </c>
      <c r="G318" s="493"/>
      <c r="H318" s="493" t="s">
        <v>2295</v>
      </c>
      <c r="I318" s="493" t="s">
        <v>2354</v>
      </c>
      <c r="J318" s="493"/>
      <c r="K318" s="493"/>
      <c r="L318" s="493"/>
      <c r="M318" s="493"/>
      <c r="N318" s="493"/>
      <c r="O318" s="493"/>
      <c r="P318" s="493"/>
      <c r="Q318" s="493"/>
      <c r="R318" s="493"/>
      <c r="S318" s="493"/>
      <c r="T318" s="465" cm="1" t="str">
        <f t="array" ref="T318:T318">T317</f>
        <v>true</v>
      </c>
      <c r="U318" s="493"/>
      <c r="V318" s="493"/>
      <c r="W318" s="493"/>
      <c r="X318" s="1596"/>
      <c r="Y318" s="493"/>
      <c r="Z318" s="1545"/>
      <c r="AA318" s="493"/>
      <c r="AB318" s="1091" t="s">
        <v>2370</v>
      </c>
      <c r="AC318" s="864" t="s">
        <v>2337</v>
      </c>
      <c r="AD318" s="2846">
        <f>IF(AD320=0,0,(AD319*AD320+AD321*AD322*IF(god=2026,3,6))/AD320)</f>
        <v>0</v>
      </c>
      <c r="AE318" s="2846">
        <f>IF(AE320=0,0,(AE319*AE320+AE321*AE322*IF(god=2026,3,6))/AE320)</f>
        <v>0</v>
      </c>
      <c r="AF318" s="1093">
        <f>IF(AD318=0,0,(AE318-AD318)/AD318*100)</f>
        <v>0</v>
      </c>
      <c r="AG318" s="2846">
        <f>IF(AG320=0,0,(AG319*AG320+AG321*AG322*IF(god=2025,3,6))/AG320)</f>
        <v>0</v>
      </c>
      <c r="AH318" s="2846">
        <f>IF(AH320=0,0,(AH319*AH320+AH321*AH322*IF(god=2025,3,6))/AH320)</f>
        <v>0</v>
      </c>
      <c r="AI318" s="1093">
        <f>IF(AG318=0,0,(AH318-AG318)/AG318*100)</f>
        <v>0</v>
      </c>
      <c r="AJ318" s="2846">
        <f>IF(AJ320=0,0,(AJ319*AJ320+AJ321*AJ322*6)/AJ320)</f>
        <v>0</v>
      </c>
      <c r="AK318" s="2846">
        <f>IF(AK320=0,0,(AK319*AK320+AK321*AK322*6)/AK320)</f>
        <v>0</v>
      </c>
      <c r="AL318" s="1093">
        <f>IF(AJ318=0,0,(AK318-AJ318)/AJ318*100)</f>
        <v>0</v>
      </c>
      <c r="AM318" s="2846">
        <f>IF(AM320=0,0,(AM319*AM320+AM321*AM322*6)/AM320)</f>
        <v>0</v>
      </c>
      <c r="AN318" s="2846">
        <f>IF(AN320=0,0,(AN319*AN320+AN321*AN322*6)/AN320)</f>
        <v>0</v>
      </c>
      <c r="AO318" s="1093">
        <f>IF(AM318=0,0,(AN318-AM318)/AM318*100)</f>
        <v>0</v>
      </c>
      <c r="AP318" s="2846">
        <f>IF(AP320=0,0,(AP319*AP320+AP321*AP322*6)/AP320)</f>
        <v>0</v>
      </c>
      <c r="AQ318" s="2846">
        <f>IF(AQ320=0,0,(AQ319*AQ320+AQ321*AQ322*6)/AQ320)</f>
        <v>0</v>
      </c>
      <c r="AR318" s="1093">
        <f>IF(AP318=0,0,(AQ318-AP318)/AP318*100)</f>
        <v>0</v>
      </c>
      <c r="AS318" s="2846">
        <f>IF(AS320=0,0,(AS319*AS320+AS321*AS322*6)/AS320)</f>
        <v>0</v>
      </c>
      <c r="AT318" s="2846">
        <f>IF(AT320=0,0,(AT319*AT320+AT321*AT322*6)/AT320)</f>
        <v>0</v>
      </c>
      <c r="AU318" s="1093">
        <f>IF(AS318=0,0,(AT318-AS318)/AS318*100)</f>
        <v>0</v>
      </c>
      <c r="AV318" s="2846">
        <f>IF(AV320=0,0,(AV319*AV320+AV321*AV322*6)/AV320)</f>
        <v>0</v>
      </c>
      <c r="AW318" s="2846">
        <f>IF(AW320=0,0,(AW319*AW320+AW321*AW322*6)/AW320)</f>
        <v>0</v>
      </c>
      <c r="AX318" s="1093">
        <f>IF(AV318=0,0,(AW318-AV318)/AV318*100)</f>
        <v>0</v>
      </c>
      <c r="AY318" s="2846">
        <f>IF(AY320=0,0,(AY319*AY320+AY321*AY322*6)/AY320)</f>
        <v>0</v>
      </c>
      <c r="AZ318" s="2846">
        <f>IF(AZ320=0,0,(AZ319*AZ320+AZ321*AZ322*6)/AZ320)</f>
        <v>0</v>
      </c>
      <c r="BA318" s="1093">
        <f>IF(AY318=0,0,(AZ318-AY318)/AY318*100)</f>
        <v>0</v>
      </c>
      <c r="BB318" s="2846">
        <f>IF(BB320=0,0,(BB319*BB320+BB321*BB322*6)/BB320)</f>
        <v>0</v>
      </c>
      <c r="BC318" s="2846">
        <f>IF(BC320=0,0,(BC319*BC320+BC321*BC322*6)/BC320)</f>
        <v>0</v>
      </c>
      <c r="BD318" s="1093">
        <f>IF(BB318=0,0,(BC318-BB318)/BB318*100)</f>
        <v>0</v>
      </c>
      <c r="BE318" s="2846">
        <f>IF(BE320=0,0,(BE319*BE320+BE321*BE322*6)/BE320)</f>
        <v>0</v>
      </c>
      <c r="BF318" s="2846">
        <f>IF(BF320=0,0,(BF319*BF320+BF321*BF322*6)/BF320)</f>
        <v>0</v>
      </c>
      <c r="BG318" s="1093">
        <f>IF(BE318=0,0,(BF318-BE318)/BE318*100)</f>
        <v>0</v>
      </c>
      <c r="BH318" s="2846">
        <f>IF(BH320=0,0,(BH319*BH320+BH321*BH322*6)/BH320)</f>
        <v>0</v>
      </c>
      <c r="BI318" s="2846">
        <f>IF(BI320=0,0,(BI319*BI320+BI321*BI322*6)/BI320)</f>
        <v>0</v>
      </c>
      <c r="BJ318" s="1093">
        <f>IF(BH318=0,0,(BI318-BH318)/BH318*100)</f>
        <v>0</v>
      </c>
      <c r="BK318" s="2846">
        <f>IF(BK320=0,0,(BK319*BK320+BK321*BK322*6)/BK320)</f>
        <v>0</v>
      </c>
      <c r="BL318" s="2846">
        <f>IF(BL320=0,0,(BL319*BL320+BL321*BL322*6)/BL320)</f>
        <v>0</v>
      </c>
      <c r="BM318" s="1093">
        <f>IF(BK318=0,0,(BL318-BK318)/BK318*100)</f>
        <v>0</v>
      </c>
      <c r="BN318" s="2846">
        <f>IF(BN320=0,0,(BN319*BN320+BN321*BN322*6)/BN320)</f>
        <v>0</v>
      </c>
      <c r="BO318" s="2846">
        <f>IF(BO320=0,0,(BO319*BO320+BO321*BO322*6)/BO320)</f>
        <v>0</v>
      </c>
      <c r="BP318" s="1093">
        <f>IF(BN318=0,0,(BO318-BN318)/BN318*100)</f>
        <v>0</v>
      </c>
      <c r="BQ318" s="2846">
        <f>IF(BQ320=0,0,(BQ319*BQ320+BQ321*BQ322*6)/BQ320)</f>
        <v>0</v>
      </c>
      <c r="BR318" s="2846">
        <f>IF(BR320=0,0,(BR319*BR320+BR321*BR322*6)/BR320)</f>
        <v>0</v>
      </c>
      <c r="BS318" s="1093">
        <f>IF(BQ318=0,0,(BR318-BQ318)/BQ318*100)</f>
        <v>0</v>
      </c>
      <c r="BT318" s="2846">
        <f>IF(BT320=0,0,(BT319*BT320+BT321*BT322*6)/BT320)</f>
        <v>0</v>
      </c>
      <c r="BU318" s="2846">
        <f>IF(BU320=0,0,(BU319*BU320+BU321*BU322*6)/BU320)</f>
        <v>0</v>
      </c>
      <c r="BV318" s="1093">
        <f>IF(BT318=0,0,(BU318-BT318)/BT318*100)</f>
        <v>0</v>
      </c>
      <c r="BW318" s="2846">
        <f>IF(BW320=0,0,(BW319*BW320+BW321*BW322*6)/BW320)</f>
        <v>0</v>
      </c>
      <c r="BX318" s="2846">
        <f>IF(BX320=0,0,(BX319*BX320+BX321*BX322*6)/BX320)</f>
        <v>0</v>
      </c>
      <c r="BY318" s="1093">
        <f>IF(BW318=0,0,(BX318-BW318)/BW318*100)</f>
        <v>0</v>
      </c>
      <c r="BZ318" s="2846">
        <f>IF(BZ320=0,0,(BZ319*BZ320+BZ321*BZ322*6)/BZ320)</f>
        <v>0</v>
      </c>
      <c r="CA318" s="2846">
        <f>IF(CA320=0,0,(CA319*CA320+CA321*CA322*6)/CA320)</f>
        <v>0</v>
      </c>
      <c r="CB318" s="1093">
        <f>IF(BZ318=0,0,(CA318-BZ318)/BZ318*100)</f>
        <v>0</v>
      </c>
      <c r="CC318" s="2846">
        <f>IF(CC320=0,0,(CC319*CC320+CC321*CC322*6)/CC320)</f>
        <v>0</v>
      </c>
      <c r="CD318" s="2846">
        <f>IF(CD320=0,0,(CD319*CD320+CD321*CD322*6)/CD320)</f>
        <v>0</v>
      </c>
      <c r="CE318" s="1093">
        <f>IF(CC318=0,0,(CD318-CC318)/CC318*100)</f>
        <v>0</v>
      </c>
      <c r="CF318" s="2846">
        <f>IF(CF320=0,0,(CF319*CF320+CF321*CF322*6)/CF320)</f>
        <v>0</v>
      </c>
      <c r="CG318" s="2846">
        <f>IF(CG320=0,0,(CG319*CG320+CG321*CG322*6)/CG320)</f>
        <v>0</v>
      </c>
      <c r="CH318" s="1093">
        <f>IF(CF318=0,0,(CG318-CF318)/CF318*100)</f>
        <v>0</v>
      </c>
      <c r="CI318" s="2846">
        <f>IF(CI320=0,0,(CI319*CI320+CI321*CI322*6)/CI320)</f>
        <v>0</v>
      </c>
      <c r="CJ318" s="2846">
        <f>IF(CJ320=0,0,(CJ319*CJ320+CJ321*CJ322*6)/CJ320)</f>
        <v>0</v>
      </c>
      <c r="CK318" s="1093">
        <f>IF(CI318=0,0,(CJ318-CI318)/CI318*100)</f>
        <v>0</v>
      </c>
      <c r="CL318" s="2846">
        <f>IF(CL320=0,0,(CL319*CL320+CL321*CL322*6)/CL320)</f>
        <v>0</v>
      </c>
      <c r="CM318" s="2846">
        <f>IF(CM320=0,0,(CM319*CM320+CM321*CM322*6)/CM320)</f>
        <v>0</v>
      </c>
      <c r="CN318" s="1093">
        <f>IF(CL318=0,0,(CM318-CL318)/CL318*100)</f>
        <v>0</v>
      </c>
      <c r="CO318" s="2846">
        <f>IF(CO320=0,0,(CO319*CO320+CO321*CO322*6)/CO320)</f>
        <v>0</v>
      </c>
      <c r="CP318" s="2846">
        <f>IF(CP320=0,0,(CP319*CP320+CP321*CP322*6)/CP320)</f>
        <v>0</v>
      </c>
      <c r="CQ318" s="1093">
        <f>IF(CO318=0,0,(CP318-CO318)/CO318*100)</f>
        <v>0</v>
      </c>
      <c r="CR318" s="2846">
        <f>IF(CR320=0,0,(CR319*CR320+CR321*CR322*6)/CR320)</f>
        <v>0</v>
      </c>
      <c r="CS318" s="2846">
        <f>IF(CS320=0,0,(CS319*CS320+CS321*CS322*6)/CS320)</f>
        <v>0</v>
      </c>
      <c r="CT318" s="1093">
        <f>IF(CR318=0,0,(CS318-CR318)/CR318*100)</f>
        <v>0</v>
      </c>
      <c r="CU318" s="2846">
        <f>IF(CU320=0,0,(CU319*CU320+CU321*CU322*6)/CU320)</f>
        <v>0</v>
      </c>
      <c r="CV318" s="2846">
        <f>IF(CV320=0,0,(CV319*CV320+CV321*CV322*6)/CV320)</f>
        <v>0</v>
      </c>
      <c r="CW318" s="1093">
        <f>IF(CU318=0,0,(CV318-CU318)/CU318*100)</f>
        <v>0</v>
      </c>
      <c r="CX318" s="2846">
        <f>IF(CX320=0,0,(CX319*CX320+CX321*CX322*6)/CX320)</f>
        <v>0</v>
      </c>
      <c r="CY318" s="2846">
        <f>IF(CY320=0,0,(CY319*CY320+CY321*CY322*6)/CY320)</f>
        <v>0</v>
      </c>
      <c r="CZ318" s="1093">
        <f>IF(CX318=0,0,(CY318-CX318)/CX318*100)</f>
        <v>0</v>
      </c>
      <c r="DA318" s="2846">
        <f>IF(DA320=0,0,(DA319*DA320+DA321*DA322*6)/DA320)</f>
        <v>0</v>
      </c>
      <c r="DB318" s="2846">
        <f>IF(DB320=0,0,(DB319*DB320+DB321*DB322*6)/DB320)</f>
        <v>0</v>
      </c>
      <c r="DC318" s="1093">
        <f>IF(DA318=0,0,(DB318-DA318)/DA318*100)</f>
        <v>0</v>
      </c>
      <c r="DD318" s="2846">
        <f>IF(DD320=0,0,(DD319*DD320+DD321*DD322*6)/DD320)</f>
        <v>0</v>
      </c>
      <c r="DE318" s="2846">
        <f>IF(DE320=0,0,(DE319*DE320+DE321*DE322*6)/DE320)</f>
        <v>0</v>
      </c>
      <c r="DF318" s="1093">
        <f>IF(DD318=0,0,(DE318-DD318)/DD318*100)</f>
        <v>0</v>
      </c>
      <c r="DG318" s="2846">
        <f>IF(DG320=0,0,(DG319*DG320+DG321*DG322*6)/DG320)</f>
        <v>0</v>
      </c>
      <c r="DH318" s="2846">
        <f>IF(DH320=0,0,(DH319*DH320+DH321*DH322*6)/DH320)</f>
        <v>0</v>
      </c>
      <c r="DI318" s="1093">
        <f>IF(DG318=0,0,(DH318-DG318)/DG318*100)</f>
        <v>0</v>
      </c>
      <c r="DJ318" s="2846">
        <f>IF(DJ320=0,0,(DJ319*DJ320+DJ321*DJ322*6)/DJ320)</f>
        <v>0</v>
      </c>
      <c r="DK318" s="2846">
        <f>IF(DK320=0,0,(DK319*DK320+DK321*DK322*6)/DK320)</f>
        <v>0</v>
      </c>
      <c r="DL318" s="1093">
        <f>IF(DJ318=0,0,(DK318-DJ318)/DJ318*100)</f>
        <v>0</v>
      </c>
      <c r="DM318" s="2846">
        <f>IF(DM320=0,0,(DM319*DM320+DM321*DM322*6)/DM320)</f>
        <v>0</v>
      </c>
      <c r="DN318" s="2846">
        <f>IF(DN320=0,0,(DN319*DN320+DN321*DN322*6)/DN320)</f>
        <v>0</v>
      </c>
      <c r="DO318" s="1093">
        <f>IF(DM318=0,0,(DN318-DM318)/DM318*100)</f>
        <v>0</v>
      </c>
      <c r="DP318" s="2846">
        <f>IF(DP320=0,0,(DP319*DP320+DP321*DP322*6)/DP320)</f>
        <v>0</v>
      </c>
      <c r="DQ318" s="2846">
        <f>IF(DQ320=0,0,(DQ319*DQ320+DQ321*DQ322*6)/DQ320)</f>
        <v>0</v>
      </c>
      <c r="DR318" s="1093">
        <f>IF(DP318=0,0,(DQ318-DP318)/DP318*100)</f>
        <v>0</v>
      </c>
      <c r="DS318" s="2846">
        <f>IF(DS320=0,0,(DS319*DS320+DS321*DS322*6)/DS320)</f>
        <v>0</v>
      </c>
      <c r="DT318" s="2846">
        <f>IF(DT320=0,0,(DT319*DT320+DT321*DT322*6)/DT320)</f>
        <v>0</v>
      </c>
      <c r="DU318" s="1093">
        <f>IF(DS318=0,0,(DT318-DS318)/DS318*100)</f>
        <v>0</v>
      </c>
      <c r="DV318" s="2846">
        <f>IF(DV320=0,0,(DV319*DV320+DV321*DV322*6)/DV320)</f>
        <v>0</v>
      </c>
      <c r="DW318" s="2846">
        <f>IF(DW320=0,0,(DW319*DW320+DW321*DW322*6)/DW320)</f>
        <v>0</v>
      </c>
      <c r="DX318" s="1093">
        <f>IF(DV318=0,0,(DW318-DV318)/DV318*100)</f>
        <v>0</v>
      </c>
      <c r="DY318" s="2846">
        <f>IF(DY320=0,0,(DY319*DY320+DY321*DY322*6)/DY320)</f>
        <v>0</v>
      </c>
      <c r="DZ318" s="2846">
        <f>IF(DZ320=0,0,(DZ319*DZ320+DZ321*DZ322*6)/DZ320)</f>
        <v>0</v>
      </c>
      <c r="EA318" s="1093">
        <f>IF(DY318=0,0,(DZ318-DY318)/DY318*100)</f>
        <v>0</v>
      </c>
      <c r="EB318" s="2846">
        <f>IF(EB320=0,0,(EB319*EB320+EB321*EB322*6)/EB320)</f>
        <v>0</v>
      </c>
      <c r="EC318" s="2846">
        <f>IF(EC320=0,0,(EC319*EC320+EC321*EC322*6)/EC320)</f>
        <v>0</v>
      </c>
      <c r="ED318" s="1093">
        <f>IF(EB318=0,0,(EC318-EB318)/EB318*100)</f>
        <v>0</v>
      </c>
      <c r="EE318" s="2846">
        <f>IF(EE320=0,0,(EE319*EE320+EE321*EE322*6)/EE320)</f>
        <v>0</v>
      </c>
      <c r="EF318" s="2846">
        <f>IF(EF320=0,0,(EF319*EF320+EF321*EF322*6)/EF320)</f>
        <v>0</v>
      </c>
      <c r="EG318" s="1093">
        <f>IF(EE318=0,0,(EF318-EE318)/EE318*100)</f>
        <v>0</v>
      </c>
      <c r="EH318" s="2846">
        <f>IF(EH320=0,0,(EH319*EH320+EH321*EH322*6)/EH320)</f>
        <v>0</v>
      </c>
      <c r="EI318" s="2846">
        <f>IF(EI320=0,0,(EI319*EI320+EI321*EI322*6)/EI320)</f>
        <v>0</v>
      </c>
      <c r="EJ318" s="1093">
        <f>IF(EH318=0,0,(EI318-EH318)/EH318*100)</f>
        <v>0</v>
      </c>
      <c r="EK318" s="2846">
        <f>IF(EK320=0,0,(EK319*EK320+EK321*EK322*6)/EK320)</f>
        <v>0</v>
      </c>
      <c r="EL318" s="2846">
        <f>IF(EL320=0,0,(EL319*EL320+EL321*EL322*6)/EL320)</f>
        <v>0</v>
      </c>
      <c r="EM318" s="1093">
        <f>IF(EK318=0,0,(EL318-EK318)/EK318*100)</f>
        <v>0</v>
      </c>
      <c r="EN318" s="2846">
        <f>IF(EN320=0,0,(EN319*EN320+EN321*EN322*6)/EN320)</f>
        <v>0</v>
      </c>
      <c r="EO318" s="2846">
        <f>IF(EO320=0,0,(EO319*EO320+EO321*EO322*6)/EO320)</f>
        <v>0</v>
      </c>
      <c r="EP318" s="1093">
        <f>IF(EN318=0,0,(EO318-EN318)/EN318*100)</f>
        <v>0</v>
      </c>
      <c r="EQ318" s="2846">
        <f>IF(EQ320=0,0,(EQ319*EQ320+EQ321*EQ322*6)/EQ320)</f>
        <v>0</v>
      </c>
      <c r="ER318" s="2846">
        <f>IF(ER320=0,0,(ER319*ER320+ER321*ER322*6)/ER320)</f>
        <v>0</v>
      </c>
      <c r="ES318" s="1093">
        <f>IF(EQ318=0,0,(ER318-EQ318)/EQ318*100)</f>
        <v>0</v>
      </c>
      <c r="ET318" s="2846">
        <f>IF(ET320=0,0,(ET319*ET320+ET321*ET322*6)/ET320)</f>
        <v>0</v>
      </c>
      <c r="EU318" s="2846">
        <f>IF(EU320=0,0,(EU319*EU320+EU321*EU322*6)/EU320)</f>
        <v>0</v>
      </c>
      <c r="EV318" s="1093">
        <f>IF(ET318=0,0,(EU318-ET318)/ET318*100)</f>
        <v>0</v>
      </c>
      <c r="EW318" s="2846">
        <f>IF(EW320=0,0,(EW319*EW320+EW321*EW322*6)/EW320)</f>
        <v>0</v>
      </c>
      <c r="EX318" s="2846">
        <f>IF(EX320=0,0,(EX319*EX320+EX321*EX322*6)/EX320)</f>
        <v>0</v>
      </c>
      <c r="EY318" s="1093">
        <f>IF(EW318=0,0,(EX318-EW318)/EW318*100)</f>
        <v>0</v>
      </c>
      <c r="EZ318" s="2846">
        <f>IF(EZ320=0,0,(EZ319*EZ320+EZ321*EZ322*6)/EZ320)</f>
        <v>0</v>
      </c>
      <c r="FA318" s="2846">
        <f>IF(FA320=0,0,(FA319*FA320+FA321*FA322*6)/FA320)</f>
        <v>0</v>
      </c>
      <c r="FB318" s="1093">
        <f>IF(EZ318=0,0,(FA318-EZ318)/EZ318*100)</f>
        <v>0</v>
      </c>
      <c r="FC318" s="2846">
        <f>IF(FC320=0,0,(FC319*FC320+FC321*FC322*6)/FC320)</f>
        <v>0</v>
      </c>
      <c r="FD318" s="2846">
        <f>IF(FD320=0,0,(FD319*FD320+FD321*FD322*6)/FD320)</f>
        <v>0</v>
      </c>
      <c r="FE318" s="1093">
        <f>IF(FC318=0,0,(FD318-FC318)/FC318*100)</f>
        <v>0</v>
      </c>
      <c r="FF318" s="2846">
        <f>IF(FF320=0,0,(FF319*FF320+FF321*FF322*6)/FF320)</f>
        <v>0</v>
      </c>
      <c r="FG318" s="2846">
        <f>IF(FG320=0,0,(FG319*FG320+FG321*FG322*6)/FG320)</f>
        <v>0</v>
      </c>
      <c r="FH318" s="1093">
        <f>IF(FF318=0,0,(FG318-FF318)/FF318*100)</f>
        <v>0</v>
      </c>
      <c r="FI318" s="2846">
        <f>IF(FI320=0,0,(FI319*FI320+FI321*FI322*6)/FI320)</f>
        <v>0</v>
      </c>
      <c r="FJ318" s="2846">
        <f>IF(FJ320=0,0,(FJ319*FJ320+FJ321*FJ322*6)/FJ320)</f>
        <v>0</v>
      </c>
      <c r="FK318" s="1093">
        <f>IF(FI318=0,0,(FJ318-FI318)/FI318*100)</f>
        <v>0</v>
      </c>
      <c r="FL318" s="2846">
        <f>IF(FL320=0,0,(FL319*FL320+FL321*FL322*6)/FL320)</f>
        <v>0</v>
      </c>
      <c r="FM318" s="2846">
        <f>IF(FM320=0,0,(FM319*FM320+FM321*FM322*6)/FM320)</f>
        <v>0</v>
      </c>
      <c r="FN318" s="1093">
        <f>IF(FL318=0,0,(FM318-FL318)/FL318*100)</f>
        <v>0</v>
      </c>
      <c r="FO318" s="2846">
        <f>IF(FO320=0,0,(FO319*FO320+FO321*FO322*6)/FO320)</f>
        <v>0</v>
      </c>
      <c r="FP318" s="2846">
        <f>IF(FP320=0,0,(FP319*FP320+FP321*FP322*6)/FP320)</f>
        <v>0</v>
      </c>
      <c r="FQ318" s="1093">
        <f>IF(FO318=0,0,(FP318-FO318)/FO318*100)</f>
        <v>0</v>
      </c>
      <c r="FR318" s="2846">
        <f>IF(FR320=0,0,(FR319*FR320+FR321*FR322*6)/FR320)</f>
        <v>0</v>
      </c>
      <c r="FS318" s="2846">
        <f>IF(FS320=0,0,(FS319*FS320+FS321*FS322*6)/FS320)</f>
        <v>0</v>
      </c>
      <c r="FT318" s="1093">
        <f>IF(FR318=0,0,(FS318-FR318)/FR318*100)</f>
        <v>0</v>
      </c>
      <c r="FU318" s="2846">
        <f>IF(FU320=0,0,(FU319*FU320+FU321*FU322*6)/FU320)</f>
        <v>0</v>
      </c>
      <c r="FV318" s="2846">
        <f>IF(FV320=0,0,(FV319*FV320+FV321*FV322*6)/FV320)</f>
        <v>0</v>
      </c>
      <c r="FW318" s="1093">
        <f>IF(FU318=0,0,(FV318-FU318)/FU318*100)</f>
        <v>0</v>
      </c>
      <c r="FX318" s="1304"/>
      <c r="FY318" s="1304"/>
      <c r="FZ318" s="1055" t="s">
        <v>2398</v>
      </c>
      <c r="GA318" s="1306"/>
      <c r="GB318" s="1306"/>
      <c r="GC318" s="1305"/>
      <c r="GD318" s="1305"/>
    </row>
    <row s="1834" customFormat="1" customHeight="1" ht="14.25" hidden="1">
      <c r="A319" s="493"/>
      <c r="B319" s="925" cm="1" t="str">
        <f t="array" ref="B319:B319">B318</f>
        <v>false</v>
      </c>
      <c r="C319" s="493"/>
      <c r="D319" s="493"/>
      <c r="E319" s="840">
        <v>15</v>
      </c>
      <c r="F319" s="50" cm="1" t="str">
        <f t="array" ref="F319:F319">OFFSET(E319,-1,1)</f>
        <v>4</v>
      </c>
      <c r="G319" s="493"/>
      <c r="H319" s="493" t="s">
        <v>2299</v>
      </c>
      <c r="I319" s="493" t="s">
        <v>2354</v>
      </c>
      <c r="J319" s="493"/>
      <c r="K319" s="493"/>
      <c r="L319" s="493"/>
      <c r="M319" s="493"/>
      <c r="N319" s="493"/>
      <c r="O319" s="493"/>
      <c r="P319" s="493"/>
      <c r="Q319" s="493"/>
      <c r="R319" s="493"/>
      <c r="S319" s="493"/>
      <c r="T319" s="465" cm="1" t="str">
        <f t="array" ref="T319:T319">T318</f>
        <v>true</v>
      </c>
      <c r="U319" s="493"/>
      <c r="V319" s="493"/>
      <c r="W319" s="493"/>
      <c r="X319" s="1596"/>
      <c r="Y319" s="493"/>
      <c r="Z319" s="1545"/>
      <c r="AA319" s="493"/>
      <c r="AB319" s="904" t="str">
        <f>"ставка платы за "&amp;IF(Q281="Водоснабжение","потребление 1 куб.м холодной воды","объем принятых сточных вод")</f>
        <v>ставка платы за объем принятых сточных вод</v>
      </c>
      <c r="AC319" s="864" t="s">
        <v>2337</v>
      </c>
      <c r="AD319" s="2846"/>
      <c r="AE319" s="2846"/>
      <c r="AF319" s="1093">
        <f>IF(AD319=0,0,(AE319-AD319)/AD319*100)</f>
        <v>0</v>
      </c>
      <c r="AG319" s="2846"/>
      <c r="AH319" s="2846"/>
      <c r="AI319" s="1093">
        <f>IF(AG319=0,0,(AH319-AG319)/AG319*100)</f>
        <v>0</v>
      </c>
      <c r="AJ319" s="2846"/>
      <c r="AK319" s="2846"/>
      <c r="AL319" s="1093">
        <f>IF(AJ319=0,0,(AK319-AJ319)/AJ319*100)</f>
        <v>0</v>
      </c>
      <c r="AM319" s="2846"/>
      <c r="AN319" s="2846"/>
      <c r="AO319" s="1093">
        <f>IF(AM319=0,0,(AN319-AM319)/AM319*100)</f>
        <v>0</v>
      </c>
      <c r="AP319" s="2846"/>
      <c r="AQ319" s="2846"/>
      <c r="AR319" s="1093">
        <f>IF(AP319=0,0,(AQ319-AP319)/AP319*100)</f>
        <v>0</v>
      </c>
      <c r="AS319" s="2846"/>
      <c r="AT319" s="2846"/>
      <c r="AU319" s="1093">
        <f>IF(AS319=0,0,(AT319-AS319)/AS319*100)</f>
        <v>0</v>
      </c>
      <c r="AV319" s="2846"/>
      <c r="AW319" s="2846"/>
      <c r="AX319" s="1093">
        <f>IF(AV319=0,0,(AW319-AV319)/AV319*100)</f>
        <v>0</v>
      </c>
      <c r="AY319" s="2846"/>
      <c r="AZ319" s="2846"/>
      <c r="BA319" s="1093">
        <f>IF(AY319=0,0,(AZ319-AY319)/AY319*100)</f>
        <v>0</v>
      </c>
      <c r="BB319" s="2846"/>
      <c r="BC319" s="2846"/>
      <c r="BD319" s="1093">
        <f>IF(BB319=0,0,(BC319-BB319)/BB319*100)</f>
        <v>0</v>
      </c>
      <c r="BE319" s="2846"/>
      <c r="BF319" s="2846"/>
      <c r="BG319" s="1093">
        <f>IF(BE319=0,0,(BF319-BE319)/BE319*100)</f>
        <v>0</v>
      </c>
      <c r="BH319" s="2846"/>
      <c r="BI319" s="2846"/>
      <c r="BJ319" s="1093">
        <f>IF(BH319=0,0,(BI319-BH319)/BH319*100)</f>
        <v>0</v>
      </c>
      <c r="BK319" s="2846"/>
      <c r="BL319" s="2846"/>
      <c r="BM319" s="1093">
        <f>IF(BK319=0,0,(BL319-BK319)/BK319*100)</f>
        <v>0</v>
      </c>
      <c r="BN319" s="2846"/>
      <c r="BO319" s="2846"/>
      <c r="BP319" s="1093">
        <f>IF(BN319=0,0,(BO319-BN319)/BN319*100)</f>
        <v>0</v>
      </c>
      <c r="BQ319" s="2846"/>
      <c r="BR319" s="2846"/>
      <c r="BS319" s="1093">
        <f>IF(BQ319=0,0,(BR319-BQ319)/BQ319*100)</f>
        <v>0</v>
      </c>
      <c r="BT319" s="2846"/>
      <c r="BU319" s="2846"/>
      <c r="BV319" s="1093">
        <f>IF(BT319=0,0,(BU319-BT319)/BT319*100)</f>
        <v>0</v>
      </c>
      <c r="BW319" s="2846"/>
      <c r="BX319" s="2846"/>
      <c r="BY319" s="1093">
        <f>IF(BW319=0,0,(BX319-BW319)/BW319*100)</f>
        <v>0</v>
      </c>
      <c r="BZ319" s="2846"/>
      <c r="CA319" s="2846"/>
      <c r="CB319" s="1093">
        <f>IF(BZ319=0,0,(CA319-BZ319)/BZ319*100)</f>
        <v>0</v>
      </c>
      <c r="CC319" s="2846"/>
      <c r="CD319" s="2846"/>
      <c r="CE319" s="1093">
        <f>IF(CC319=0,0,(CD319-CC319)/CC319*100)</f>
        <v>0</v>
      </c>
      <c r="CF319" s="2846"/>
      <c r="CG319" s="2846"/>
      <c r="CH319" s="1093">
        <f>IF(CF319=0,0,(CG319-CF319)/CF319*100)</f>
        <v>0</v>
      </c>
      <c r="CI319" s="2846"/>
      <c r="CJ319" s="2846"/>
      <c r="CK319" s="1093">
        <f>IF(CI319=0,0,(CJ319-CI319)/CI319*100)</f>
        <v>0</v>
      </c>
      <c r="CL319" s="2846"/>
      <c r="CM319" s="2846"/>
      <c r="CN319" s="1093">
        <f>IF(CL319=0,0,(CM319-CL319)/CL319*100)</f>
        <v>0</v>
      </c>
      <c r="CO319" s="2846"/>
      <c r="CP319" s="2846"/>
      <c r="CQ319" s="1093">
        <f>IF(CO319=0,0,(CP319-CO319)/CO319*100)</f>
        <v>0</v>
      </c>
      <c r="CR319" s="2846"/>
      <c r="CS319" s="2846"/>
      <c r="CT319" s="1093">
        <f>IF(CR319=0,0,(CS319-CR319)/CR319*100)</f>
        <v>0</v>
      </c>
      <c r="CU319" s="2846"/>
      <c r="CV319" s="2846"/>
      <c r="CW319" s="1093">
        <f>IF(CU319=0,0,(CV319-CU319)/CU319*100)</f>
        <v>0</v>
      </c>
      <c r="CX319" s="2846"/>
      <c r="CY319" s="2846"/>
      <c r="CZ319" s="1093">
        <f>IF(CX319=0,0,(CY319-CX319)/CX319*100)</f>
        <v>0</v>
      </c>
      <c r="DA319" s="2846"/>
      <c r="DB319" s="2846"/>
      <c r="DC319" s="1093">
        <f>IF(DA319=0,0,(DB319-DA319)/DA319*100)</f>
        <v>0</v>
      </c>
      <c r="DD319" s="2846"/>
      <c r="DE319" s="2846"/>
      <c r="DF319" s="1093">
        <f>IF(DD319=0,0,(DE319-DD319)/DD319*100)</f>
        <v>0</v>
      </c>
      <c r="DG319" s="2846"/>
      <c r="DH319" s="2846"/>
      <c r="DI319" s="1093">
        <f>IF(DG319=0,0,(DH319-DG319)/DG319*100)</f>
        <v>0</v>
      </c>
      <c r="DJ319" s="2846"/>
      <c r="DK319" s="2846"/>
      <c r="DL319" s="1093">
        <f>IF(DJ319=0,0,(DK319-DJ319)/DJ319*100)</f>
        <v>0</v>
      </c>
      <c r="DM319" s="2846"/>
      <c r="DN319" s="2846"/>
      <c r="DO319" s="1093">
        <f>IF(DM319=0,0,(DN319-DM319)/DM319*100)</f>
        <v>0</v>
      </c>
      <c r="DP319" s="2846"/>
      <c r="DQ319" s="2846"/>
      <c r="DR319" s="1093">
        <f>IF(DP319=0,0,(DQ319-DP319)/DP319*100)</f>
        <v>0</v>
      </c>
      <c r="DS319" s="2846"/>
      <c r="DT319" s="2846"/>
      <c r="DU319" s="1093">
        <f>IF(DS319=0,0,(DT319-DS319)/DS319*100)</f>
        <v>0</v>
      </c>
      <c r="DV319" s="2846"/>
      <c r="DW319" s="2846"/>
      <c r="DX319" s="1093">
        <f>IF(DV319=0,0,(DW319-DV319)/DV319*100)</f>
        <v>0</v>
      </c>
      <c r="DY319" s="2846"/>
      <c r="DZ319" s="2846"/>
      <c r="EA319" s="1093">
        <f>IF(DY319=0,0,(DZ319-DY319)/DY319*100)</f>
        <v>0</v>
      </c>
      <c r="EB319" s="2846"/>
      <c r="EC319" s="2846"/>
      <c r="ED319" s="1093">
        <f>IF(EB319=0,0,(EC319-EB319)/EB319*100)</f>
        <v>0</v>
      </c>
      <c r="EE319" s="2846"/>
      <c r="EF319" s="2846"/>
      <c r="EG319" s="1093">
        <f>IF(EE319=0,0,(EF319-EE319)/EE319*100)</f>
        <v>0</v>
      </c>
      <c r="EH319" s="2846"/>
      <c r="EI319" s="2846"/>
      <c r="EJ319" s="1093">
        <f>IF(EH319=0,0,(EI319-EH319)/EH319*100)</f>
        <v>0</v>
      </c>
      <c r="EK319" s="2846"/>
      <c r="EL319" s="2846"/>
      <c r="EM319" s="1093">
        <f>IF(EK319=0,0,(EL319-EK319)/EK319*100)</f>
        <v>0</v>
      </c>
      <c r="EN319" s="2846"/>
      <c r="EO319" s="2846"/>
      <c r="EP319" s="1093">
        <f>IF(EN319=0,0,(EO319-EN319)/EN319*100)</f>
        <v>0</v>
      </c>
      <c r="EQ319" s="2846"/>
      <c r="ER319" s="2846"/>
      <c r="ES319" s="1093">
        <f>IF(EQ319=0,0,(ER319-EQ319)/EQ319*100)</f>
        <v>0</v>
      </c>
      <c r="ET319" s="2846"/>
      <c r="EU319" s="2846"/>
      <c r="EV319" s="1093">
        <f>IF(ET319=0,0,(EU319-ET319)/ET319*100)</f>
        <v>0</v>
      </c>
      <c r="EW319" s="2846"/>
      <c r="EX319" s="2846"/>
      <c r="EY319" s="1093">
        <f>IF(EW319=0,0,(EX319-EW319)/EW319*100)</f>
        <v>0</v>
      </c>
      <c r="EZ319" s="2846"/>
      <c r="FA319" s="2846"/>
      <c r="FB319" s="1093">
        <f>IF(EZ319=0,0,(FA319-EZ319)/EZ319*100)</f>
        <v>0</v>
      </c>
      <c r="FC319" s="2846"/>
      <c r="FD319" s="2846"/>
      <c r="FE319" s="1093">
        <f>IF(FC319=0,0,(FD319-FC319)/FC319*100)</f>
        <v>0</v>
      </c>
      <c r="FF319" s="2846"/>
      <c r="FG319" s="2846"/>
      <c r="FH319" s="1093">
        <f>IF(FF319=0,0,(FG319-FF319)/FF319*100)</f>
        <v>0</v>
      </c>
      <c r="FI319" s="2846"/>
      <c r="FJ319" s="2846"/>
      <c r="FK319" s="1093">
        <f>IF(FI319=0,0,(FJ319-FI319)/FI319*100)</f>
        <v>0</v>
      </c>
      <c r="FL319" s="2846"/>
      <c r="FM319" s="2846"/>
      <c r="FN319" s="1093">
        <f>IF(FL319=0,0,(FM319-FL319)/FL319*100)</f>
        <v>0</v>
      </c>
      <c r="FO319" s="2846"/>
      <c r="FP319" s="2846"/>
      <c r="FQ319" s="1093">
        <f>IF(FO319=0,0,(FP319-FO319)/FO319*100)</f>
        <v>0</v>
      </c>
      <c r="FR319" s="2846"/>
      <c r="FS319" s="2846"/>
      <c r="FT319" s="1093">
        <f>IF(FR319=0,0,(FS319-FR319)/FR319*100)</f>
        <v>0</v>
      </c>
      <c r="FU319" s="2846"/>
      <c r="FV319" s="2846"/>
      <c r="FW319" s="1093">
        <f>IF(FU319=0,0,(FV319-FU319)/FU319*100)</f>
        <v>0</v>
      </c>
      <c r="FX319" s="1304"/>
      <c r="FY319" s="1304"/>
      <c r="FZ319" s="1055" t="s">
        <v>2399</v>
      </c>
      <c r="GA319" s="1306"/>
      <c r="GB319" s="1306"/>
      <c r="GC319" s="1305"/>
      <c r="GD319" s="1305"/>
    </row>
    <row s="1834" customFormat="1" customHeight="1" ht="14.25" hidden="1">
      <c r="A320" s="493"/>
      <c r="B320" s="925" cm="1" t="str">
        <f t="array" ref="B320:B320">B319</f>
        <v>false</v>
      </c>
      <c r="C320" s="493"/>
      <c r="D320" s="493"/>
      <c r="E320" s="840">
        <v>15</v>
      </c>
      <c r="F320" s="50" cm="1" t="str">
        <f t="array" ref="F320:F320">OFFSET(E320,-1,1)</f>
        <v>4</v>
      </c>
      <c r="G320" s="107" t="s">
        <v>2400</v>
      </c>
      <c r="H320" s="493" t="s">
        <v>2374</v>
      </c>
      <c r="I320" s="493" t="s">
        <v>2354</v>
      </c>
      <c r="J320" s="493"/>
      <c r="K320" s="493"/>
      <c r="L320" s="493"/>
      <c r="M320" s="493"/>
      <c r="N320" s="493"/>
      <c r="O320" s="493"/>
      <c r="P320" s="493"/>
      <c r="Q320" s="493"/>
      <c r="R320" s="493"/>
      <c r="S320" s="493"/>
      <c r="T320" s="465" cm="1" t="str">
        <f t="array" ref="T320:T320">T319</f>
        <v>true</v>
      </c>
      <c r="U320" s="493"/>
      <c r="V320" s="493"/>
      <c r="W320" s="493"/>
      <c r="X320" s="1596"/>
      <c r="Y320" s="493"/>
      <c r="Z320" s="1545"/>
      <c r="AA320" s="493"/>
      <c r="AB320" s="904" t="str">
        <f>"объём "&amp;IF(Q281="Водоснабжение","потребления холодной воды","водоотведения")</f>
        <v>объём водоотведения</v>
      </c>
      <c r="AC320" s="864" t="s">
        <v>1247</v>
      </c>
      <c r="AD320" s="5247">
        <f>IF(AND(method_reg="Метод индексации",god&lt;&gt;first_year),_xlfn.SUMIFS(INDEX('Калькуляция (МИ корр)'!$AJ$25:$BC$747,,MATCH(AD$8,'Калькуляция (МИ корр)'!$AJ$8:$BC$8,0)),'Калькуляция (МИ корр)'!$F$25:$F$747,$F320,'Калькуляция (МИ корр)'!$G$25:$G$747,$G320),IF(method_reg="Метод экономически обоснованных расходов",_xlfn.SUMIFS('Калькуляция (МЭОР)'!$AJ$25:$AJ$452,'Калькуляция (МЭОР)'!$F$25:$F$452,$F320,'Калькуляция (МЭОР)'!$G$25:$G$452,$G320),IF(method_reg="Метод сравнения аналогов",_xlfn.SUMIFS('Калькуляция (МСА)'!$AE$25:$AE$122,'Калькуляция (МСА)'!$F$25:$F$122,$F320,'Калькуляция (МСА)'!$G$25:$G$122,$G320),_xlfn.SUMIFS(INDEX('Калькуляция (МИ)'!$AJ$25:$BC$747,,MATCH(AD$8,'Калькуляция (МИ)'!$AJ$8:$BC$8,0)),'Калькуляция (МИ)'!$F$25:$F$747,$F320,'Калькуляция (МИ)'!$G$25:$G$747,$G320))))</f>
        <v>192.19311</v>
      </c>
      <c r="AE320" s="5247">
        <f>IF(AND(method_reg="Метод индексации",god&lt;&gt;first_year),_xlfn.SUMIFS(INDEX('Калькуляция (МИ корр)'!$AJ$25:$BC$747,,MATCH(AE$8,'Калькуляция (МИ корр)'!$AJ$8:$BC$8,0)),'Калькуляция (МИ корр)'!$F$25:$F$747,$F320,'Калькуляция (МИ корр)'!$G$25:$G$747,$G320),IF(method_reg="Метод экономически обоснованных расходов",_xlfn.SUMIFS('Калькуляция (МЭОР)'!$AK$25:$AK$452,'Калькуляция (МЭОР)'!$F$25:$F$452,$F320,'Калькуляция (МЭОР)'!$G$25:$G$452,$G320),IF(method_reg="Метод сравнения аналогов",_xlfn.SUMIFS('Калькуляция (МСА)'!$AF$25:$AF$122,'Калькуляция (МСА)'!$F$25:$F$122,$F320,'Калькуляция (МСА)'!$G$25:$G$122,$G320),_xlfn.SUMIFS(INDEX('Калькуляция (МИ)'!$AJ$25:$BC$747,,MATCH(AE$8,'Калькуляция (МИ)'!$AJ$8:$BC$8,0)),'Калькуляция (МИ)'!$F$25:$F$747,$F320,'Калькуляция (МИ)'!$G$25:$G$747,$G320))))</f>
        <v>192.19311</v>
      </c>
      <c r="AF320" s="1095">
        <f>IF(AD320=0,0,(AE320-AD320)/AD320*100)</f>
        <v>0</v>
      </c>
      <c r="AG320" s="5247">
        <f>IF(AND(method_reg="Метод индексации",god&lt;&gt;first_year),_xlfn.SUMIFS(INDEX('Калькуляция (МИ корр)'!$AJ$25:$BC$747,,MATCH(AG$8,'Калькуляция (МИ корр)'!$AJ$8:$BC$8,0)),'Калькуляция (МИ корр)'!$F$25:$F$747,$F320,'Калькуляция (МИ корр)'!$G$25:$G$747,$G320),IF(method_reg="Метод экономически обоснованных расходов",_xlfn.SUMIFS('Калькуляция (МЭОР)'!$AJ$25:$AJ$452,'Калькуляция (МЭОР)'!$F$25:$F$452,$F320,'Калькуляция (МЭОР)'!$G$25:$G$452,$G320),IF(method_reg="Метод сравнения аналогов",_xlfn.SUMIFS('Калькуляция (МСА)'!$AE$25:$AE$122,'Калькуляция (МСА)'!$F$25:$F$122,$F320,'Калькуляция (МСА)'!$G$25:$G$122,$G320),_xlfn.SUMIFS(INDEX('Калькуляция (МИ)'!$AJ$25:$BC$747,,MATCH(AG$8,'Калькуляция (МИ)'!$AJ$8:$BC$8,0)),'Калькуляция (МИ)'!$F$25:$F$747,$F320,'Калькуляция (МИ)'!$G$25:$G$747,$G320))))</f>
        <v>384.38622</v>
      </c>
      <c r="AH320" s="5247">
        <f>IF(AND(method_reg="Метод индексации",god&lt;&gt;first_year),_xlfn.SUMIFS(INDEX('Калькуляция (МИ корр)'!$AJ$25:$BC$747,,MATCH(AH$8,'Калькуляция (МИ корр)'!$AJ$8:$BC$8,0)),'Калькуляция (МИ корр)'!$F$25:$F$747,$F320,'Калькуляция (МИ корр)'!$G$25:$G$747,$G320),IF(method_reg="Метод экономически обоснованных расходов",_xlfn.SUMIFS('Калькуляция (МЭОР)'!$AK$25:$AK$452,'Калькуляция (МЭОР)'!$F$25:$F$452,$F320,'Калькуляция (МЭОР)'!$G$25:$G$452,$G320),IF(method_reg="Метод сравнения аналогов",_xlfn.SUMIFS('Калькуляция (МСА)'!$AF$25:$AF$122,'Калькуляция (МСА)'!$F$25:$F$122,$F320,'Калькуляция (МСА)'!$G$25:$G$122,$G320),_xlfn.SUMIFS(INDEX('Калькуляция (МИ)'!$AJ$25:$BC$747,,MATCH(AH$8,'Калькуляция (МИ)'!$AJ$8:$BC$8,0)),'Калькуляция (МИ)'!$F$25:$F$747,$F320,'Калькуляция (МИ)'!$G$25:$G$747,$G320))))</f>
        <v>384.38622</v>
      </c>
      <c r="AI320" s="1095">
        <f>IF(AG320=0,0,(AH320-AG320)/AG320*100)</f>
        <v>0</v>
      </c>
      <c r="AJ320" s="5247">
        <f>IF(AND(method_reg="Метод индексации",god&lt;&gt;first_year),_xlfn.SUMIFS(INDEX('Калькуляция (МИ корр)'!$AJ$25:$BC$747,,MATCH(AJ$8,'Калькуляция (МИ корр)'!$AJ$8:$BC$8,0)),'Калькуляция (МИ корр)'!$F$25:$F$747,$F320,'Калькуляция (МИ корр)'!$G$25:$G$747,$G320),IF(method_reg="Метод экономически обоснованных расходов",_xlfn.SUMIFS('Калькуляция (МЭОР)'!$AJ$25:$AJ$452,'Калькуляция (МЭОР)'!$F$25:$F$452,$F320,'Калькуляция (МЭОР)'!$G$25:$G$452,$G320),IF(method_reg="Метод сравнения аналогов",_xlfn.SUMIFS('Калькуляция (МСА)'!$AE$25:$AE$122,'Калькуляция (МСА)'!$F$25:$F$122,$F320,'Калькуляция (МСА)'!$G$25:$G$122,$G320),_xlfn.SUMIFS(INDEX('Калькуляция (МИ)'!$AJ$25:$BC$747,,MATCH(AJ$8,'Калькуляция (МИ)'!$AJ$8:$BC$8,0)),'Калькуляция (МИ)'!$F$25:$F$747,$F320,'Калькуляция (МИ)'!$G$25:$G$747,$G320))))</f>
        <v>384.38622</v>
      </c>
      <c r="AK320" s="5247">
        <f>IF(AND(method_reg="Метод индексации",god&lt;&gt;first_year),_xlfn.SUMIFS(INDEX('Калькуляция (МИ корр)'!$AJ$25:$BC$747,,MATCH(AK$8,'Калькуляция (МИ корр)'!$AJ$8:$BC$8,0)),'Калькуляция (МИ корр)'!$F$25:$F$747,$F320,'Калькуляция (МИ корр)'!$G$25:$G$747,$G320),IF(method_reg="Метод экономически обоснованных расходов",_xlfn.SUMIFS('Калькуляция (МЭОР)'!$AK$25:$AK$452,'Калькуляция (МЭОР)'!$F$25:$F$452,$F320,'Калькуляция (МЭОР)'!$G$25:$G$452,$G320),IF(method_reg="Метод сравнения аналогов",_xlfn.SUMIFS('Калькуляция (МСА)'!$AF$25:$AF$122,'Калькуляция (МСА)'!$F$25:$F$122,$F320,'Калькуляция (МСА)'!$G$25:$G$122,$G320),_xlfn.SUMIFS(INDEX('Калькуляция (МИ)'!$AJ$25:$BC$747,,MATCH(AK$8,'Калькуляция (МИ)'!$AJ$8:$BC$8,0)),'Калькуляция (МИ)'!$F$25:$F$747,$F320,'Калькуляция (МИ)'!$G$25:$G$747,$G320))))</f>
        <v>384.38622</v>
      </c>
      <c r="AL320" s="1095">
        <f>IF(AJ320=0,0,(AK320-AJ320)/AJ320*100)</f>
        <v>0</v>
      </c>
      <c r="AM320" s="5247">
        <f>IF(AND(method_reg="Метод индексации",god&lt;&gt;first_year),_xlfn.SUMIFS(INDEX('Калькуляция (МИ корр)'!$AJ$25:$BC$747,,MATCH(AM$8,'Калькуляция (МИ корр)'!$AJ$8:$BC$8,0)),'Калькуляция (МИ корр)'!$F$25:$F$747,$F320,'Калькуляция (МИ корр)'!$G$25:$G$747,$G320),IF(method_reg="Метод экономически обоснованных расходов",_xlfn.SUMIFS('Калькуляция (МЭОР)'!$AJ$25:$AJ$452,'Калькуляция (МЭОР)'!$F$25:$F$452,$F320,'Калькуляция (МЭОР)'!$G$25:$G$452,$G320),IF(method_reg="Метод сравнения аналогов",_xlfn.SUMIFS('Калькуляция (МСА)'!$AE$25:$AE$122,'Калькуляция (МСА)'!$F$25:$F$122,$F320,'Калькуляция (МСА)'!$G$25:$G$122,$G320),_xlfn.SUMIFS(INDEX('Калькуляция (МИ)'!$AJ$25:$BC$747,,MATCH(AM$8,'Калькуляция (МИ)'!$AJ$8:$BC$8,0)),'Калькуляция (МИ)'!$F$25:$F$747,$F320,'Калькуляция (МИ)'!$G$25:$G$747,$G320))))</f>
        <v>384.38622</v>
      </c>
      <c r="AN320" s="5247">
        <f>IF(AND(method_reg="Метод индексации",god&lt;&gt;first_year),_xlfn.SUMIFS(INDEX('Калькуляция (МИ корр)'!$AJ$25:$BC$747,,MATCH(AN$8,'Калькуляция (МИ корр)'!$AJ$8:$BC$8,0)),'Калькуляция (МИ корр)'!$F$25:$F$747,$F320,'Калькуляция (МИ корр)'!$G$25:$G$747,$G320),IF(method_reg="Метод экономически обоснованных расходов",_xlfn.SUMIFS('Калькуляция (МЭОР)'!$AK$25:$AK$452,'Калькуляция (МЭОР)'!$F$25:$F$452,$F320,'Калькуляция (МЭОР)'!$G$25:$G$452,$G320),IF(method_reg="Метод сравнения аналогов",_xlfn.SUMIFS('Калькуляция (МСА)'!$AF$25:$AF$122,'Калькуляция (МСА)'!$F$25:$F$122,$F320,'Калькуляция (МСА)'!$G$25:$G$122,$G320),_xlfn.SUMIFS(INDEX('Калькуляция (МИ)'!$AJ$25:$BC$747,,MATCH(AN$8,'Калькуляция (МИ)'!$AJ$8:$BC$8,0)),'Калькуляция (МИ)'!$F$25:$F$747,$F320,'Калькуляция (МИ)'!$G$25:$G$747,$G320))))</f>
        <v>384.38622</v>
      </c>
      <c r="AO320" s="1095">
        <f>IF(AM320=0,0,(AN320-AM320)/AM320*100)</f>
        <v>0</v>
      </c>
      <c r="AP320" s="5247">
        <f>IF(AND(method_reg="Метод индексации",god&lt;&gt;first_year),_xlfn.SUMIFS(INDEX('Калькуляция (МИ корр)'!$AJ$25:$BC$747,,MATCH(AP$8,'Калькуляция (МИ корр)'!$AJ$8:$BC$8,0)),'Калькуляция (МИ корр)'!$F$25:$F$747,$F320,'Калькуляция (МИ корр)'!$G$25:$G$747,$G320),IF(method_reg="Метод экономически обоснованных расходов",_xlfn.SUMIFS('Калькуляция (МЭОР)'!$AJ$25:$AJ$452,'Калькуляция (МЭОР)'!$F$25:$F$452,$F320,'Калькуляция (МЭОР)'!$G$25:$G$452,$G320),IF(method_reg="Метод сравнения аналогов",_xlfn.SUMIFS('Калькуляция (МСА)'!$AE$25:$AE$122,'Калькуляция (МСА)'!$F$25:$F$122,$F320,'Калькуляция (МСА)'!$G$25:$G$122,$G320),_xlfn.SUMIFS(INDEX('Калькуляция (МИ)'!$AJ$25:$BC$747,,MATCH(AP$8,'Калькуляция (МИ)'!$AJ$8:$BC$8,0)),'Калькуляция (МИ)'!$F$25:$F$747,$F320,'Калькуляция (МИ)'!$G$25:$G$747,$G320))))</f>
        <v>384.38622</v>
      </c>
      <c r="AQ320" s="5247">
        <f>IF(AND(method_reg="Метод индексации",god&lt;&gt;first_year),_xlfn.SUMIFS(INDEX('Калькуляция (МИ корр)'!$AJ$25:$BC$747,,MATCH(AQ$8,'Калькуляция (МИ корр)'!$AJ$8:$BC$8,0)),'Калькуляция (МИ корр)'!$F$25:$F$747,$F320,'Калькуляция (МИ корр)'!$G$25:$G$747,$G320),IF(method_reg="Метод экономически обоснованных расходов",_xlfn.SUMIFS('Калькуляция (МЭОР)'!$AK$25:$AK$452,'Калькуляция (МЭОР)'!$F$25:$F$452,$F320,'Калькуляция (МЭОР)'!$G$25:$G$452,$G320),IF(method_reg="Метод сравнения аналогов",_xlfn.SUMIFS('Калькуляция (МСА)'!$AF$25:$AF$122,'Калькуляция (МСА)'!$F$25:$F$122,$F320,'Калькуляция (МСА)'!$G$25:$G$122,$G320),_xlfn.SUMIFS(INDEX('Калькуляция (МИ)'!$AJ$25:$BC$747,,MATCH(AQ$8,'Калькуляция (МИ)'!$AJ$8:$BC$8,0)),'Калькуляция (МИ)'!$F$25:$F$747,$F320,'Калькуляция (МИ)'!$G$25:$G$747,$G320))))</f>
        <v>384.38622</v>
      </c>
      <c r="AR320" s="1095">
        <f>IF(AP320=0,0,(AQ320-AP320)/AP320*100)</f>
        <v>0</v>
      </c>
      <c r="AS320" s="5247">
        <f>IF(AND(method_reg="Метод индексации",god&lt;&gt;first_year),_xlfn.SUMIFS(INDEX('Калькуляция (МИ корр)'!$AJ$25:$BC$747,,MATCH(AS$8,'Калькуляция (МИ корр)'!$AJ$8:$BC$8,0)),'Калькуляция (МИ корр)'!$F$25:$F$747,$F320,'Калькуляция (МИ корр)'!$G$25:$G$747,$G320),IF(method_reg="Метод экономически обоснованных расходов",_xlfn.SUMIFS('Калькуляция (МЭОР)'!$AJ$25:$AJ$452,'Калькуляция (МЭОР)'!$F$25:$F$452,$F320,'Калькуляция (МЭОР)'!$G$25:$G$452,$G320),IF(method_reg="Метод сравнения аналогов",_xlfn.SUMIFS('Калькуляция (МСА)'!$AE$25:$AE$122,'Калькуляция (МСА)'!$F$25:$F$122,$F320,'Калькуляция (МСА)'!$G$25:$G$122,$G320),_xlfn.SUMIFS(INDEX('Калькуляция (МИ)'!$AJ$25:$BC$747,,MATCH(AS$8,'Калькуляция (МИ)'!$AJ$8:$BC$8,0)),'Калькуляция (МИ)'!$F$25:$F$747,$F320,'Калькуляция (МИ)'!$G$25:$G$747,$G320))))</f>
        <v>0</v>
      </c>
      <c r="AT320" s="5247">
        <f>IF(AND(method_reg="Метод индексации",god&lt;&gt;first_year),_xlfn.SUMIFS(INDEX('Калькуляция (МИ корр)'!$AJ$25:$BC$747,,MATCH(AT$8,'Калькуляция (МИ корр)'!$AJ$8:$BC$8,0)),'Калькуляция (МИ корр)'!$F$25:$F$747,$F320,'Калькуляция (МИ корр)'!$G$25:$G$747,$G320),IF(method_reg="Метод экономически обоснованных расходов",_xlfn.SUMIFS('Калькуляция (МЭОР)'!$AK$25:$AK$452,'Калькуляция (МЭОР)'!$F$25:$F$452,$F320,'Калькуляция (МЭОР)'!$G$25:$G$452,$G320),IF(method_reg="Метод сравнения аналогов",_xlfn.SUMIFS('Калькуляция (МСА)'!$AF$25:$AF$122,'Калькуляция (МСА)'!$F$25:$F$122,$F320,'Калькуляция (МСА)'!$G$25:$G$122,$G320),_xlfn.SUMIFS(INDEX('Калькуляция (МИ)'!$AJ$25:$BC$747,,MATCH(AT$8,'Калькуляция (МИ)'!$AJ$8:$BC$8,0)),'Калькуляция (МИ)'!$F$25:$F$747,$F320,'Калькуляция (МИ)'!$G$25:$G$747,$G320))))</f>
        <v>0</v>
      </c>
      <c r="AU320" s="1095">
        <f>IF(AS320=0,0,(AT320-AS320)/AS320*100)</f>
        <v>0</v>
      </c>
      <c r="AV320" s="5247">
        <f>IF(AND(method_reg="Метод индексации",god&lt;&gt;first_year),_xlfn.SUMIFS(INDEX('Калькуляция (МИ корр)'!$AJ$25:$BC$747,,MATCH(AV$8,'Калькуляция (МИ корр)'!$AJ$8:$BC$8,0)),'Калькуляция (МИ корр)'!$F$25:$F$747,$F320,'Калькуляция (МИ корр)'!$G$25:$G$747,$G320),IF(method_reg="Метод экономически обоснованных расходов",_xlfn.SUMIFS('Калькуляция (МЭОР)'!$AJ$25:$AJ$452,'Калькуляция (МЭОР)'!$F$25:$F$452,$F320,'Калькуляция (МЭОР)'!$G$25:$G$452,$G320),IF(method_reg="Метод сравнения аналогов",_xlfn.SUMIFS('Калькуляция (МСА)'!$AE$25:$AE$122,'Калькуляция (МСА)'!$F$25:$F$122,$F320,'Калькуляция (МСА)'!$G$25:$G$122,$G320),_xlfn.SUMIFS(INDEX('Калькуляция (МИ)'!$AJ$25:$BC$747,,MATCH(AV$8,'Калькуляция (МИ)'!$AJ$8:$BC$8,0)),'Калькуляция (МИ)'!$F$25:$F$747,$F320,'Калькуляция (МИ)'!$G$25:$G$747,$G320))))</f>
        <v>0</v>
      </c>
      <c r="AW320" s="5247">
        <f>IF(AND(method_reg="Метод индексации",god&lt;&gt;first_year),_xlfn.SUMIFS(INDEX('Калькуляция (МИ корр)'!$AJ$25:$BC$747,,MATCH(AW$8,'Калькуляция (МИ корр)'!$AJ$8:$BC$8,0)),'Калькуляция (МИ корр)'!$F$25:$F$747,$F320,'Калькуляция (МИ корр)'!$G$25:$G$747,$G320),IF(method_reg="Метод экономически обоснованных расходов",_xlfn.SUMIFS('Калькуляция (МЭОР)'!$AK$25:$AK$452,'Калькуляция (МЭОР)'!$F$25:$F$452,$F320,'Калькуляция (МЭОР)'!$G$25:$G$452,$G320),IF(method_reg="Метод сравнения аналогов",_xlfn.SUMIFS('Калькуляция (МСА)'!$AF$25:$AF$122,'Калькуляция (МСА)'!$F$25:$F$122,$F320,'Калькуляция (МСА)'!$G$25:$G$122,$G320),_xlfn.SUMIFS(INDEX('Калькуляция (МИ)'!$AJ$25:$BC$747,,MATCH(AW$8,'Калькуляция (МИ)'!$AJ$8:$BC$8,0)),'Калькуляция (МИ)'!$F$25:$F$747,$F320,'Калькуляция (МИ)'!$G$25:$G$747,$G320))))</f>
        <v>0</v>
      </c>
      <c r="AX320" s="1095">
        <f>IF(AV320=0,0,(AW320-AV320)/AV320*100)</f>
        <v>0</v>
      </c>
      <c r="AY320" s="5247">
        <f>IF(AND(method_reg="Метод индексации",god&lt;&gt;first_year),_xlfn.SUMIFS(INDEX('Калькуляция (МИ корр)'!$AJ$25:$BC$747,,MATCH(AY$8,'Калькуляция (МИ корр)'!$AJ$8:$BC$8,0)),'Калькуляция (МИ корр)'!$F$25:$F$747,$F320,'Калькуляция (МИ корр)'!$G$25:$G$747,$G320),IF(method_reg="Метод экономически обоснованных расходов",_xlfn.SUMIFS('Калькуляция (МЭОР)'!$AJ$25:$AJ$452,'Калькуляция (МЭОР)'!$F$25:$F$452,$F320,'Калькуляция (МЭОР)'!$G$25:$G$452,$G320),IF(method_reg="Метод сравнения аналогов",_xlfn.SUMIFS('Калькуляция (МСА)'!$AE$25:$AE$122,'Калькуляция (МСА)'!$F$25:$F$122,$F320,'Калькуляция (МСА)'!$G$25:$G$122,$G320),_xlfn.SUMIFS(INDEX('Калькуляция (МИ)'!$AJ$25:$BC$747,,MATCH(AY$8,'Калькуляция (МИ)'!$AJ$8:$BC$8,0)),'Калькуляция (МИ)'!$F$25:$F$747,$F320,'Калькуляция (МИ)'!$G$25:$G$747,$G320))))</f>
        <v>0</v>
      </c>
      <c r="AZ320" s="5247">
        <f>IF(AND(method_reg="Метод индексации",god&lt;&gt;first_year),_xlfn.SUMIFS(INDEX('Калькуляция (МИ корр)'!$AJ$25:$BC$747,,MATCH(AZ$8,'Калькуляция (МИ корр)'!$AJ$8:$BC$8,0)),'Калькуляция (МИ корр)'!$F$25:$F$747,$F320,'Калькуляция (МИ корр)'!$G$25:$G$747,$G320),IF(method_reg="Метод экономически обоснованных расходов",_xlfn.SUMIFS('Калькуляция (МЭОР)'!$AK$25:$AK$452,'Калькуляция (МЭОР)'!$F$25:$F$452,$F320,'Калькуляция (МЭОР)'!$G$25:$G$452,$G320),IF(method_reg="Метод сравнения аналогов",_xlfn.SUMIFS('Калькуляция (МСА)'!$AF$25:$AF$122,'Калькуляция (МСА)'!$F$25:$F$122,$F320,'Калькуляция (МСА)'!$G$25:$G$122,$G320),_xlfn.SUMIFS(INDEX('Калькуляция (МИ)'!$AJ$25:$BC$747,,MATCH(AZ$8,'Калькуляция (МИ)'!$AJ$8:$BC$8,0)),'Калькуляция (МИ)'!$F$25:$F$747,$F320,'Калькуляция (МИ)'!$G$25:$G$747,$G320))))</f>
        <v>0</v>
      </c>
      <c r="BA320" s="1095">
        <f>IF(AY320=0,0,(AZ320-AY320)/AY320*100)</f>
        <v>0</v>
      </c>
      <c r="BB320" s="5247">
        <f>IF(AND(method_reg="Метод индексации",god&lt;&gt;first_year),_xlfn.SUMIFS(INDEX('Калькуляция (МИ корр)'!$AJ$25:$BC$747,,MATCH(BB$8,'Калькуляция (МИ корр)'!$AJ$8:$BC$8,0)),'Калькуляция (МИ корр)'!$F$25:$F$747,$F320,'Калькуляция (МИ корр)'!$G$25:$G$747,$G320),IF(method_reg="Метод экономически обоснованных расходов",_xlfn.SUMIFS('Калькуляция (МЭОР)'!$AJ$25:$AJ$452,'Калькуляция (МЭОР)'!$F$25:$F$452,$F320,'Калькуляция (МЭОР)'!$G$25:$G$452,$G320),IF(method_reg="Метод сравнения аналогов",_xlfn.SUMIFS('Калькуляция (МСА)'!$AE$25:$AE$122,'Калькуляция (МСА)'!$F$25:$F$122,$F320,'Калькуляция (МСА)'!$G$25:$G$122,$G320),_xlfn.SUMIFS(INDEX('Калькуляция (МИ)'!$AJ$25:$BC$747,,MATCH(BB$8,'Калькуляция (МИ)'!$AJ$8:$BC$8,0)),'Калькуляция (МИ)'!$F$25:$F$747,$F320,'Калькуляция (МИ)'!$G$25:$G$747,$G320))))</f>
        <v>0</v>
      </c>
      <c r="BC320" s="5247">
        <f>IF(AND(method_reg="Метод индексации",god&lt;&gt;first_year),_xlfn.SUMIFS(INDEX('Калькуляция (МИ корр)'!$AJ$25:$BC$747,,MATCH(BC$8,'Калькуляция (МИ корр)'!$AJ$8:$BC$8,0)),'Калькуляция (МИ корр)'!$F$25:$F$747,$F320,'Калькуляция (МИ корр)'!$G$25:$G$747,$G320),IF(method_reg="Метод экономически обоснованных расходов",_xlfn.SUMIFS('Калькуляция (МЭОР)'!$AK$25:$AK$452,'Калькуляция (МЭОР)'!$F$25:$F$452,$F320,'Калькуляция (МЭОР)'!$G$25:$G$452,$G320),IF(method_reg="Метод сравнения аналогов",_xlfn.SUMIFS('Калькуляция (МСА)'!$AF$25:$AF$122,'Калькуляция (МСА)'!$F$25:$F$122,$F320,'Калькуляция (МСА)'!$G$25:$G$122,$G320),_xlfn.SUMIFS(INDEX('Калькуляция (МИ)'!$AJ$25:$BC$747,,MATCH(BC$8,'Калькуляция (МИ)'!$AJ$8:$BC$8,0)),'Калькуляция (МИ)'!$F$25:$F$747,$F320,'Калькуляция (МИ)'!$G$25:$G$747,$G320))))</f>
        <v>0</v>
      </c>
      <c r="BD320" s="1095">
        <f>IF(BB320=0,0,(BC320-BB320)/BB320*100)</f>
        <v>0</v>
      </c>
      <c r="BE320" s="5247">
        <f>IF(AND(method_reg="Метод индексации",god&lt;&gt;first_year),_xlfn.SUMIFS(INDEX('Калькуляция (МИ корр)'!$AJ$25:$BC$747,,MATCH(BE$8,'Калькуляция (МИ корр)'!$AJ$8:$BC$8,0)),'Калькуляция (МИ корр)'!$F$25:$F$747,$F320,'Калькуляция (МИ корр)'!$G$25:$G$747,$G320),IF(method_reg="Метод экономически обоснованных расходов",_xlfn.SUMIFS('Калькуляция (МЭОР)'!$AJ$25:$AJ$452,'Калькуляция (МЭОР)'!$F$25:$F$452,$F320,'Калькуляция (МЭОР)'!$G$25:$G$452,$G320),IF(method_reg="Метод сравнения аналогов",_xlfn.SUMIFS('Калькуляция (МСА)'!$AE$25:$AE$122,'Калькуляция (МСА)'!$F$25:$F$122,$F320,'Калькуляция (МСА)'!$G$25:$G$122,$G320),_xlfn.SUMIFS(INDEX('Калькуляция (МИ)'!$AJ$25:$BC$747,,MATCH(BE$8,'Калькуляция (МИ)'!$AJ$8:$BC$8,0)),'Калькуляция (МИ)'!$F$25:$F$747,$F320,'Калькуляция (МИ)'!$G$25:$G$747,$G320))))</f>
        <v>0</v>
      </c>
      <c r="BF320" s="5247">
        <f>IF(AND(method_reg="Метод индексации",god&lt;&gt;first_year),_xlfn.SUMIFS(INDEX('Калькуляция (МИ корр)'!$AJ$25:$BC$747,,MATCH(BF$8,'Калькуляция (МИ корр)'!$AJ$8:$BC$8,0)),'Калькуляция (МИ корр)'!$F$25:$F$747,$F320,'Калькуляция (МИ корр)'!$G$25:$G$747,$G320),IF(method_reg="Метод экономически обоснованных расходов",_xlfn.SUMIFS('Калькуляция (МЭОР)'!$AK$25:$AK$452,'Калькуляция (МЭОР)'!$F$25:$F$452,$F320,'Калькуляция (МЭОР)'!$G$25:$G$452,$G320),IF(method_reg="Метод сравнения аналогов",_xlfn.SUMIFS('Калькуляция (МСА)'!$AF$25:$AF$122,'Калькуляция (МСА)'!$F$25:$F$122,$F320,'Калькуляция (МСА)'!$G$25:$G$122,$G320),_xlfn.SUMIFS(INDEX('Калькуляция (МИ)'!$AJ$25:$BC$747,,MATCH(BF$8,'Калькуляция (МИ)'!$AJ$8:$BC$8,0)),'Калькуляция (МИ)'!$F$25:$F$747,$F320,'Калькуляция (МИ)'!$G$25:$G$747,$G320))))</f>
        <v>0</v>
      </c>
      <c r="BG320" s="1095">
        <f>IF(BE320=0,0,(BF320-BE320)/BE320*100)</f>
        <v>0</v>
      </c>
      <c r="BH320" s="5247"/>
      <c r="BI320" s="5247"/>
      <c r="BJ320" s="1095">
        <f>IF(BH320=0,0,(BI320-BH320)/BH320*100)</f>
        <v>0</v>
      </c>
      <c r="BK320" s="5247"/>
      <c r="BL320" s="5247"/>
      <c r="BM320" s="1095">
        <f>IF(BK320=0,0,(BL320-BK320)/BK320*100)</f>
        <v>0</v>
      </c>
      <c r="BN320" s="5247"/>
      <c r="BO320" s="5247"/>
      <c r="BP320" s="1095">
        <f>IF(BN320=0,0,(BO320-BN320)/BN320*100)</f>
        <v>0</v>
      </c>
      <c r="BQ320" s="5247"/>
      <c r="BR320" s="5247"/>
      <c r="BS320" s="1095">
        <f>IF(BQ320=0,0,(BR320-BQ320)/BQ320*100)</f>
        <v>0</v>
      </c>
      <c r="BT320" s="5247"/>
      <c r="BU320" s="5247"/>
      <c r="BV320" s="1095">
        <f>IF(BT320=0,0,(BU320-BT320)/BT320*100)</f>
        <v>0</v>
      </c>
      <c r="BW320" s="5247"/>
      <c r="BX320" s="5247"/>
      <c r="BY320" s="1095">
        <f>IF(BW320=0,0,(BX320-BW320)/BW320*100)</f>
        <v>0</v>
      </c>
      <c r="BZ320" s="5247"/>
      <c r="CA320" s="5247"/>
      <c r="CB320" s="1095">
        <f>IF(BZ320=0,0,(CA320-BZ320)/BZ320*100)</f>
        <v>0</v>
      </c>
      <c r="CC320" s="5247"/>
      <c r="CD320" s="5247"/>
      <c r="CE320" s="1095">
        <f>IF(CC320=0,0,(CD320-CC320)/CC320*100)</f>
        <v>0</v>
      </c>
      <c r="CF320" s="5247"/>
      <c r="CG320" s="5247"/>
      <c r="CH320" s="1095">
        <f>IF(CF320=0,0,(CG320-CF320)/CF320*100)</f>
        <v>0</v>
      </c>
      <c r="CI320" s="5247"/>
      <c r="CJ320" s="5247"/>
      <c r="CK320" s="1095">
        <f>IF(CI320=0,0,(CJ320-CI320)/CI320*100)</f>
        <v>0</v>
      </c>
      <c r="CL320" s="5247"/>
      <c r="CM320" s="5247"/>
      <c r="CN320" s="1095">
        <f>IF(CL320=0,0,(CM320-CL320)/CL320*100)</f>
        <v>0</v>
      </c>
      <c r="CO320" s="5247"/>
      <c r="CP320" s="5247"/>
      <c r="CQ320" s="1095">
        <f>IF(CO320=0,0,(CP320-CO320)/CO320*100)</f>
        <v>0</v>
      </c>
      <c r="CR320" s="5247"/>
      <c r="CS320" s="5247"/>
      <c r="CT320" s="1095">
        <f>IF(CR320=0,0,(CS320-CR320)/CR320*100)</f>
        <v>0</v>
      </c>
      <c r="CU320" s="5247"/>
      <c r="CV320" s="5247"/>
      <c r="CW320" s="1095">
        <f>IF(CU320=0,0,(CV320-CU320)/CU320*100)</f>
        <v>0</v>
      </c>
      <c r="CX320" s="5247"/>
      <c r="CY320" s="5247"/>
      <c r="CZ320" s="1095">
        <f>IF(CX320=0,0,(CY320-CX320)/CX320*100)</f>
        <v>0</v>
      </c>
      <c r="DA320" s="5247"/>
      <c r="DB320" s="5247"/>
      <c r="DC320" s="1095">
        <f>IF(DA320=0,0,(DB320-DA320)/DA320*100)</f>
        <v>0</v>
      </c>
      <c r="DD320" s="5247"/>
      <c r="DE320" s="5247"/>
      <c r="DF320" s="1095">
        <f>IF(DD320=0,0,(DE320-DD320)/DD320*100)</f>
        <v>0</v>
      </c>
      <c r="DG320" s="5247"/>
      <c r="DH320" s="5247"/>
      <c r="DI320" s="1095">
        <f>IF(DG320=0,0,(DH320-DG320)/DG320*100)</f>
        <v>0</v>
      </c>
      <c r="DJ320" s="5247"/>
      <c r="DK320" s="5247"/>
      <c r="DL320" s="1095">
        <f>IF(DJ320=0,0,(DK320-DJ320)/DJ320*100)</f>
        <v>0</v>
      </c>
      <c r="DM320" s="5247"/>
      <c r="DN320" s="5247"/>
      <c r="DO320" s="1095">
        <f>IF(DM320=0,0,(DN320-DM320)/DM320*100)</f>
        <v>0</v>
      </c>
      <c r="DP320" s="5247"/>
      <c r="DQ320" s="5247"/>
      <c r="DR320" s="1095">
        <f>IF(DP320=0,0,(DQ320-DP320)/DP320*100)</f>
        <v>0</v>
      </c>
      <c r="DS320" s="5247"/>
      <c r="DT320" s="5247"/>
      <c r="DU320" s="1095">
        <f>IF(DS320=0,0,(DT320-DS320)/DS320*100)</f>
        <v>0</v>
      </c>
      <c r="DV320" s="5247"/>
      <c r="DW320" s="5247"/>
      <c r="DX320" s="1095">
        <f>IF(DV320=0,0,(DW320-DV320)/DV320*100)</f>
        <v>0</v>
      </c>
      <c r="DY320" s="5247"/>
      <c r="DZ320" s="5247"/>
      <c r="EA320" s="1095">
        <f>IF(DY320=0,0,(DZ320-DY320)/DY320*100)</f>
        <v>0</v>
      </c>
      <c r="EB320" s="5247"/>
      <c r="EC320" s="5247"/>
      <c r="ED320" s="1095">
        <f>IF(EB320=0,0,(EC320-EB320)/EB320*100)</f>
        <v>0</v>
      </c>
      <c r="EE320" s="5247"/>
      <c r="EF320" s="5247"/>
      <c r="EG320" s="1095">
        <f>IF(EE320=0,0,(EF320-EE320)/EE320*100)</f>
        <v>0</v>
      </c>
      <c r="EH320" s="5247"/>
      <c r="EI320" s="5247"/>
      <c r="EJ320" s="1095">
        <f>IF(EH320=0,0,(EI320-EH320)/EH320*100)</f>
        <v>0</v>
      </c>
      <c r="EK320" s="5247"/>
      <c r="EL320" s="5247"/>
      <c r="EM320" s="1095">
        <f>IF(EK320=0,0,(EL320-EK320)/EK320*100)</f>
        <v>0</v>
      </c>
      <c r="EN320" s="5247"/>
      <c r="EO320" s="5247"/>
      <c r="EP320" s="1095">
        <f>IF(EN320=0,0,(EO320-EN320)/EN320*100)</f>
        <v>0</v>
      </c>
      <c r="EQ320" s="5247"/>
      <c r="ER320" s="5247"/>
      <c r="ES320" s="1095">
        <f>IF(EQ320=0,0,(ER320-EQ320)/EQ320*100)</f>
        <v>0</v>
      </c>
      <c r="ET320" s="5247"/>
      <c r="EU320" s="5247"/>
      <c r="EV320" s="1095">
        <f>IF(ET320=0,0,(EU320-ET320)/ET320*100)</f>
        <v>0</v>
      </c>
      <c r="EW320" s="5247"/>
      <c r="EX320" s="5247"/>
      <c r="EY320" s="1095">
        <f>IF(EW320=0,0,(EX320-EW320)/EW320*100)</f>
        <v>0</v>
      </c>
      <c r="EZ320" s="5247"/>
      <c r="FA320" s="5247"/>
      <c r="FB320" s="1095">
        <f>IF(EZ320=0,0,(FA320-EZ320)/EZ320*100)</f>
        <v>0</v>
      </c>
      <c r="FC320" s="5247"/>
      <c r="FD320" s="5247"/>
      <c r="FE320" s="1095">
        <f>IF(FC320=0,0,(FD320-FC320)/FC320*100)</f>
        <v>0</v>
      </c>
      <c r="FF320" s="5247"/>
      <c r="FG320" s="5247"/>
      <c r="FH320" s="1095">
        <f>IF(FF320=0,0,(FG320-FF320)/FF320*100)</f>
        <v>0</v>
      </c>
      <c r="FI320" s="5247"/>
      <c r="FJ320" s="5247"/>
      <c r="FK320" s="1095">
        <f>IF(FI320=0,0,(FJ320-FI320)/FI320*100)</f>
        <v>0</v>
      </c>
      <c r="FL320" s="5247"/>
      <c r="FM320" s="5247"/>
      <c r="FN320" s="1095">
        <f>IF(FL320=0,0,(FM320-FL320)/FL320*100)</f>
        <v>0</v>
      </c>
      <c r="FO320" s="5247"/>
      <c r="FP320" s="5247"/>
      <c r="FQ320" s="1095">
        <f>IF(FO320=0,0,(FP320-FO320)/FO320*100)</f>
        <v>0</v>
      </c>
      <c r="FR320" s="5247"/>
      <c r="FS320" s="5247"/>
      <c r="FT320" s="1095">
        <f>IF(FR320=0,0,(FS320-FR320)/FR320*100)</f>
        <v>0</v>
      </c>
      <c r="FU320" s="5247"/>
      <c r="FV320" s="5247"/>
      <c r="FW320" s="1095">
        <f>IF(FU320=0,0,(FV320-FU320)/FU320*100)</f>
        <v>0</v>
      </c>
      <c r="FX320" s="1304"/>
      <c r="FY320" s="1304"/>
      <c r="FZ320" s="1055" t="s">
        <v>2401</v>
      </c>
      <c r="GA320" s="1306"/>
      <c r="GB320" s="1306"/>
      <c r="GC320" s="1305"/>
      <c r="GD320" s="1305"/>
    </row>
    <row s="1834" customFormat="1" customHeight="1" ht="21.75" hidden="1">
      <c r="A321" s="493"/>
      <c r="B321" s="925" cm="1" t="str">
        <f t="array" ref="B321:B321">B320</f>
        <v>false</v>
      </c>
      <c r="C321" s="493"/>
      <c r="D321" s="493"/>
      <c r="E321" s="840">
        <v>22.5</v>
      </c>
      <c r="F321" s="50" cm="1" t="str">
        <f t="array" ref="F321:F321">OFFSET(E321,-1,1)</f>
        <v>4</v>
      </c>
      <c r="G321" s="493"/>
      <c r="H321" s="493" t="s">
        <v>2376</v>
      </c>
      <c r="I321" s="493" t="s">
        <v>2354</v>
      </c>
      <c r="J321" s="493"/>
      <c r="K321" s="493"/>
      <c r="L321" s="493"/>
      <c r="M321" s="493"/>
      <c r="N321" s="493"/>
      <c r="O321" s="493"/>
      <c r="P321" s="493"/>
      <c r="Q321" s="493"/>
      <c r="R321" s="493"/>
      <c r="S321" s="493"/>
      <c r="T321" s="465" cm="1" t="str">
        <f t="array" ref="T321:T321">T320</f>
        <v>true</v>
      </c>
      <c r="U321" s="493"/>
      <c r="V321" s="493"/>
      <c r="W321" s="493"/>
      <c r="X321" s="1596"/>
      <c r="Y321" s="493"/>
      <c r="Z321" s="1545"/>
      <c r="AA321" s="493"/>
      <c r="AB321" s="904" t="str">
        <f>"ставка платы за содержание системы "&amp;IF(Q281="Водоснабжение","холодного водоснабжения","водоотведения")</f>
        <v>ставка платы за содержание системы водоотведения</v>
      </c>
      <c r="AC321" s="864" t="s">
        <v>2377</v>
      </c>
      <c r="AD321" s="2846"/>
      <c r="AE321" s="2846"/>
      <c r="AF321" s="1093">
        <f>IF(AD321=0,0,(AE321-AD321)/AD321*100)</f>
        <v>0</v>
      </c>
      <c r="AG321" s="2846"/>
      <c r="AH321" s="2846"/>
      <c r="AI321" s="1093">
        <f>IF(AG321=0,0,(AH321-AG321)/AG321*100)</f>
        <v>0</v>
      </c>
      <c r="AJ321" s="2846"/>
      <c r="AK321" s="2846"/>
      <c r="AL321" s="1093">
        <f>IF(AJ321=0,0,(AK321-AJ321)/AJ321*100)</f>
        <v>0</v>
      </c>
      <c r="AM321" s="2846"/>
      <c r="AN321" s="2846"/>
      <c r="AO321" s="1093">
        <f>IF(AM321=0,0,(AN321-AM321)/AM321*100)</f>
        <v>0</v>
      </c>
      <c r="AP321" s="2846"/>
      <c r="AQ321" s="2846"/>
      <c r="AR321" s="1093">
        <f>IF(AP321=0,0,(AQ321-AP321)/AP321*100)</f>
        <v>0</v>
      </c>
      <c r="AS321" s="2846"/>
      <c r="AT321" s="2846"/>
      <c r="AU321" s="1093">
        <f>IF(AS321=0,0,(AT321-AS321)/AS321*100)</f>
        <v>0</v>
      </c>
      <c r="AV321" s="2846"/>
      <c r="AW321" s="2846"/>
      <c r="AX321" s="1093">
        <f>IF(AV321=0,0,(AW321-AV321)/AV321*100)</f>
        <v>0</v>
      </c>
      <c r="AY321" s="2846"/>
      <c r="AZ321" s="2846"/>
      <c r="BA321" s="1093">
        <f>IF(AY321=0,0,(AZ321-AY321)/AY321*100)</f>
        <v>0</v>
      </c>
      <c r="BB321" s="2846"/>
      <c r="BC321" s="2846"/>
      <c r="BD321" s="1093">
        <f>IF(BB321=0,0,(BC321-BB321)/BB321*100)</f>
        <v>0</v>
      </c>
      <c r="BE321" s="2846"/>
      <c r="BF321" s="2846"/>
      <c r="BG321" s="1093">
        <f>IF(BE321=0,0,(BF321-BE321)/BE321*100)</f>
        <v>0</v>
      </c>
      <c r="BH321" s="2846"/>
      <c r="BI321" s="2846"/>
      <c r="BJ321" s="1093">
        <f>IF(BH321=0,0,(BI321-BH321)/BH321*100)</f>
        <v>0</v>
      </c>
      <c r="BK321" s="2846"/>
      <c r="BL321" s="2846"/>
      <c r="BM321" s="1093">
        <f>IF(BK321=0,0,(BL321-BK321)/BK321*100)</f>
        <v>0</v>
      </c>
      <c r="BN321" s="2846"/>
      <c r="BO321" s="2846"/>
      <c r="BP321" s="1093">
        <f>IF(BN321=0,0,(BO321-BN321)/BN321*100)</f>
        <v>0</v>
      </c>
      <c r="BQ321" s="2846"/>
      <c r="BR321" s="2846"/>
      <c r="BS321" s="1093">
        <f>IF(BQ321=0,0,(BR321-BQ321)/BQ321*100)</f>
        <v>0</v>
      </c>
      <c r="BT321" s="2846"/>
      <c r="BU321" s="2846"/>
      <c r="BV321" s="1093">
        <f>IF(BT321=0,0,(BU321-BT321)/BT321*100)</f>
        <v>0</v>
      </c>
      <c r="BW321" s="2846"/>
      <c r="BX321" s="2846"/>
      <c r="BY321" s="1093">
        <f>IF(BW321=0,0,(BX321-BW321)/BW321*100)</f>
        <v>0</v>
      </c>
      <c r="BZ321" s="2846"/>
      <c r="CA321" s="2846"/>
      <c r="CB321" s="1093">
        <f>IF(BZ321=0,0,(CA321-BZ321)/BZ321*100)</f>
        <v>0</v>
      </c>
      <c r="CC321" s="2846"/>
      <c r="CD321" s="2846"/>
      <c r="CE321" s="1093">
        <f>IF(CC321=0,0,(CD321-CC321)/CC321*100)</f>
        <v>0</v>
      </c>
      <c r="CF321" s="2846"/>
      <c r="CG321" s="2846"/>
      <c r="CH321" s="1093">
        <f>IF(CF321=0,0,(CG321-CF321)/CF321*100)</f>
        <v>0</v>
      </c>
      <c r="CI321" s="2846"/>
      <c r="CJ321" s="2846"/>
      <c r="CK321" s="1093">
        <f>IF(CI321=0,0,(CJ321-CI321)/CI321*100)</f>
        <v>0</v>
      </c>
      <c r="CL321" s="2846"/>
      <c r="CM321" s="2846"/>
      <c r="CN321" s="1093">
        <f>IF(CL321=0,0,(CM321-CL321)/CL321*100)</f>
        <v>0</v>
      </c>
      <c r="CO321" s="2846"/>
      <c r="CP321" s="2846"/>
      <c r="CQ321" s="1093">
        <f>IF(CO321=0,0,(CP321-CO321)/CO321*100)</f>
        <v>0</v>
      </c>
      <c r="CR321" s="2846"/>
      <c r="CS321" s="2846"/>
      <c r="CT321" s="1093">
        <f>IF(CR321=0,0,(CS321-CR321)/CR321*100)</f>
        <v>0</v>
      </c>
      <c r="CU321" s="2846"/>
      <c r="CV321" s="2846"/>
      <c r="CW321" s="1093">
        <f>IF(CU321=0,0,(CV321-CU321)/CU321*100)</f>
        <v>0</v>
      </c>
      <c r="CX321" s="2846"/>
      <c r="CY321" s="2846"/>
      <c r="CZ321" s="1093">
        <f>IF(CX321=0,0,(CY321-CX321)/CX321*100)</f>
        <v>0</v>
      </c>
      <c r="DA321" s="2846"/>
      <c r="DB321" s="2846"/>
      <c r="DC321" s="1093">
        <f>IF(DA321=0,0,(DB321-DA321)/DA321*100)</f>
        <v>0</v>
      </c>
      <c r="DD321" s="2846"/>
      <c r="DE321" s="2846"/>
      <c r="DF321" s="1093">
        <f>IF(DD321=0,0,(DE321-DD321)/DD321*100)</f>
        <v>0</v>
      </c>
      <c r="DG321" s="2846"/>
      <c r="DH321" s="2846"/>
      <c r="DI321" s="1093">
        <f>IF(DG321=0,0,(DH321-DG321)/DG321*100)</f>
        <v>0</v>
      </c>
      <c r="DJ321" s="2846"/>
      <c r="DK321" s="2846"/>
      <c r="DL321" s="1093">
        <f>IF(DJ321=0,0,(DK321-DJ321)/DJ321*100)</f>
        <v>0</v>
      </c>
      <c r="DM321" s="2846"/>
      <c r="DN321" s="2846"/>
      <c r="DO321" s="1093">
        <f>IF(DM321=0,0,(DN321-DM321)/DM321*100)</f>
        <v>0</v>
      </c>
      <c r="DP321" s="2846"/>
      <c r="DQ321" s="2846"/>
      <c r="DR321" s="1093">
        <f>IF(DP321=0,0,(DQ321-DP321)/DP321*100)</f>
        <v>0</v>
      </c>
      <c r="DS321" s="2846"/>
      <c r="DT321" s="2846"/>
      <c r="DU321" s="1093">
        <f>IF(DS321=0,0,(DT321-DS321)/DS321*100)</f>
        <v>0</v>
      </c>
      <c r="DV321" s="2846"/>
      <c r="DW321" s="2846"/>
      <c r="DX321" s="1093">
        <f>IF(DV321=0,0,(DW321-DV321)/DV321*100)</f>
        <v>0</v>
      </c>
      <c r="DY321" s="2846"/>
      <c r="DZ321" s="2846"/>
      <c r="EA321" s="1093">
        <f>IF(DY321=0,0,(DZ321-DY321)/DY321*100)</f>
        <v>0</v>
      </c>
      <c r="EB321" s="2846"/>
      <c r="EC321" s="2846"/>
      <c r="ED321" s="1093">
        <f>IF(EB321=0,0,(EC321-EB321)/EB321*100)</f>
        <v>0</v>
      </c>
      <c r="EE321" s="2846"/>
      <c r="EF321" s="2846"/>
      <c r="EG321" s="1093">
        <f>IF(EE321=0,0,(EF321-EE321)/EE321*100)</f>
        <v>0</v>
      </c>
      <c r="EH321" s="2846"/>
      <c r="EI321" s="2846"/>
      <c r="EJ321" s="1093">
        <f>IF(EH321=0,0,(EI321-EH321)/EH321*100)</f>
        <v>0</v>
      </c>
      <c r="EK321" s="2846"/>
      <c r="EL321" s="2846"/>
      <c r="EM321" s="1093">
        <f>IF(EK321=0,0,(EL321-EK321)/EK321*100)</f>
        <v>0</v>
      </c>
      <c r="EN321" s="2846"/>
      <c r="EO321" s="2846"/>
      <c r="EP321" s="1093">
        <f>IF(EN321=0,0,(EO321-EN321)/EN321*100)</f>
        <v>0</v>
      </c>
      <c r="EQ321" s="2846"/>
      <c r="ER321" s="2846"/>
      <c r="ES321" s="1093">
        <f>IF(EQ321=0,0,(ER321-EQ321)/EQ321*100)</f>
        <v>0</v>
      </c>
      <c r="ET321" s="2846"/>
      <c r="EU321" s="2846"/>
      <c r="EV321" s="1093">
        <f>IF(ET321=0,0,(EU321-ET321)/ET321*100)</f>
        <v>0</v>
      </c>
      <c r="EW321" s="2846"/>
      <c r="EX321" s="2846"/>
      <c r="EY321" s="1093">
        <f>IF(EW321=0,0,(EX321-EW321)/EW321*100)</f>
        <v>0</v>
      </c>
      <c r="EZ321" s="2846"/>
      <c r="FA321" s="2846"/>
      <c r="FB321" s="1093">
        <f>IF(EZ321=0,0,(FA321-EZ321)/EZ321*100)</f>
        <v>0</v>
      </c>
      <c r="FC321" s="2846"/>
      <c r="FD321" s="2846"/>
      <c r="FE321" s="1093">
        <f>IF(FC321=0,0,(FD321-FC321)/FC321*100)</f>
        <v>0</v>
      </c>
      <c r="FF321" s="2846"/>
      <c r="FG321" s="2846"/>
      <c r="FH321" s="1093">
        <f>IF(FF321=0,0,(FG321-FF321)/FF321*100)</f>
        <v>0</v>
      </c>
      <c r="FI321" s="2846"/>
      <c r="FJ321" s="2846"/>
      <c r="FK321" s="1093">
        <f>IF(FI321=0,0,(FJ321-FI321)/FI321*100)</f>
        <v>0</v>
      </c>
      <c r="FL321" s="2846"/>
      <c r="FM321" s="2846"/>
      <c r="FN321" s="1093">
        <f>IF(FL321=0,0,(FM321-FL321)/FL321*100)</f>
        <v>0</v>
      </c>
      <c r="FO321" s="2846"/>
      <c r="FP321" s="2846"/>
      <c r="FQ321" s="1093">
        <f>IF(FO321=0,0,(FP321-FO321)/FO321*100)</f>
        <v>0</v>
      </c>
      <c r="FR321" s="2846"/>
      <c r="FS321" s="2846"/>
      <c r="FT321" s="1093">
        <f>IF(FR321=0,0,(FS321-FR321)/FR321*100)</f>
        <v>0</v>
      </c>
      <c r="FU321" s="2846"/>
      <c r="FV321" s="2846"/>
      <c r="FW321" s="1093">
        <f>IF(FU321=0,0,(FV321-FU321)/FU321*100)</f>
        <v>0</v>
      </c>
      <c r="FX321" s="1304"/>
      <c r="FY321" s="1304"/>
      <c r="FZ321" s="1055" t="s">
        <v>2402</v>
      </c>
      <c r="GA321" s="1306"/>
      <c r="GB321" s="1306"/>
      <c r="GC321" s="1305"/>
      <c r="GD321" s="1305"/>
    </row>
    <row s="1834" customFormat="1" customHeight="1" ht="14.25" hidden="1">
      <c r="A322" s="493"/>
      <c r="B322" s="925" cm="1" t="str">
        <f t="array" ref="B322:B322">B321</f>
        <v>false</v>
      </c>
      <c r="C322" s="493"/>
      <c r="D322" s="493"/>
      <c r="E322" s="840">
        <v>15</v>
      </c>
      <c r="F322" s="50" cm="1" t="str">
        <f t="array" ref="F322:F322">OFFSET(E322,-1,1)</f>
        <v>4</v>
      </c>
      <c r="G322" s="493"/>
      <c r="H322" s="493" t="s">
        <v>2379</v>
      </c>
      <c r="I322" s="493" t="s">
        <v>2354</v>
      </c>
      <c r="J322" s="493"/>
      <c r="K322" s="493"/>
      <c r="L322" s="493"/>
      <c r="M322" s="493"/>
      <c r="N322" s="493"/>
      <c r="O322" s="493"/>
      <c r="P322" s="493"/>
      <c r="Q322" s="493"/>
      <c r="R322" s="493"/>
      <c r="S322" s="493"/>
      <c r="T322" s="465" cm="1" t="str">
        <f t="array" ref="T322:T322">T321</f>
        <v>true</v>
      </c>
      <c r="U322" s="493"/>
      <c r="V322" s="493"/>
      <c r="W322" s="493"/>
      <c r="X322" s="1596"/>
      <c r="Y322" s="493"/>
      <c r="Z322" s="1545"/>
      <c r="AA322" s="493"/>
      <c r="AB322" s="904" t="s">
        <v>2380</v>
      </c>
      <c r="AC322" s="864" t="s">
        <v>2381</v>
      </c>
      <c r="AD322" s="2846"/>
      <c r="AE322" s="2846"/>
      <c r="AF322" s="1093">
        <f>IF(AD322=0,0,(AE322-AD322)/AD322*100)</f>
        <v>0</v>
      </c>
      <c r="AG322" s="2846"/>
      <c r="AH322" s="2846"/>
      <c r="AI322" s="1093">
        <f>IF(AG322=0,0,(AH322-AG322)/AG322*100)</f>
        <v>0</v>
      </c>
      <c r="AJ322" s="2846"/>
      <c r="AK322" s="2846"/>
      <c r="AL322" s="1093">
        <f>IF(AJ322=0,0,(AK322-AJ322)/AJ322*100)</f>
        <v>0</v>
      </c>
      <c r="AM322" s="2846"/>
      <c r="AN322" s="2846"/>
      <c r="AO322" s="1093">
        <f>IF(AM322=0,0,(AN322-AM322)/AM322*100)</f>
        <v>0</v>
      </c>
      <c r="AP322" s="2846"/>
      <c r="AQ322" s="2846"/>
      <c r="AR322" s="1093">
        <f>IF(AP322=0,0,(AQ322-AP322)/AP322*100)</f>
        <v>0</v>
      </c>
      <c r="AS322" s="2846"/>
      <c r="AT322" s="2846"/>
      <c r="AU322" s="1093">
        <f>IF(AS322=0,0,(AT322-AS322)/AS322*100)</f>
        <v>0</v>
      </c>
      <c r="AV322" s="2846"/>
      <c r="AW322" s="2846"/>
      <c r="AX322" s="1093">
        <f>IF(AV322=0,0,(AW322-AV322)/AV322*100)</f>
        <v>0</v>
      </c>
      <c r="AY322" s="2846"/>
      <c r="AZ322" s="2846"/>
      <c r="BA322" s="1093">
        <f>IF(AY322=0,0,(AZ322-AY322)/AY322*100)</f>
        <v>0</v>
      </c>
      <c r="BB322" s="2846"/>
      <c r="BC322" s="2846"/>
      <c r="BD322" s="1093">
        <f>IF(BB322=0,0,(BC322-BB322)/BB322*100)</f>
        <v>0</v>
      </c>
      <c r="BE322" s="2846"/>
      <c r="BF322" s="2846"/>
      <c r="BG322" s="1093">
        <f>IF(BE322=0,0,(BF322-BE322)/BE322*100)</f>
        <v>0</v>
      </c>
      <c r="BH322" s="2846"/>
      <c r="BI322" s="2846"/>
      <c r="BJ322" s="1093">
        <f>IF(BH322=0,0,(BI322-BH322)/BH322*100)</f>
        <v>0</v>
      </c>
      <c r="BK322" s="2846"/>
      <c r="BL322" s="2846"/>
      <c r="BM322" s="1093">
        <f>IF(BK322=0,0,(BL322-BK322)/BK322*100)</f>
        <v>0</v>
      </c>
      <c r="BN322" s="2846"/>
      <c r="BO322" s="2846"/>
      <c r="BP322" s="1093">
        <f>IF(BN322=0,0,(BO322-BN322)/BN322*100)</f>
        <v>0</v>
      </c>
      <c r="BQ322" s="2846"/>
      <c r="BR322" s="2846"/>
      <c r="BS322" s="1093">
        <f>IF(BQ322=0,0,(BR322-BQ322)/BQ322*100)</f>
        <v>0</v>
      </c>
      <c r="BT322" s="2846"/>
      <c r="BU322" s="2846"/>
      <c r="BV322" s="1093">
        <f>IF(BT322=0,0,(BU322-BT322)/BT322*100)</f>
        <v>0</v>
      </c>
      <c r="BW322" s="2846"/>
      <c r="BX322" s="2846"/>
      <c r="BY322" s="1093">
        <f>IF(BW322=0,0,(BX322-BW322)/BW322*100)</f>
        <v>0</v>
      </c>
      <c r="BZ322" s="2846"/>
      <c r="CA322" s="2846"/>
      <c r="CB322" s="1093">
        <f>IF(BZ322=0,0,(CA322-BZ322)/BZ322*100)</f>
        <v>0</v>
      </c>
      <c r="CC322" s="2846"/>
      <c r="CD322" s="2846"/>
      <c r="CE322" s="1093">
        <f>IF(CC322=0,0,(CD322-CC322)/CC322*100)</f>
        <v>0</v>
      </c>
      <c r="CF322" s="2846"/>
      <c r="CG322" s="2846"/>
      <c r="CH322" s="1093">
        <f>IF(CF322=0,0,(CG322-CF322)/CF322*100)</f>
        <v>0</v>
      </c>
      <c r="CI322" s="2846"/>
      <c r="CJ322" s="2846"/>
      <c r="CK322" s="1093">
        <f>IF(CI322=0,0,(CJ322-CI322)/CI322*100)</f>
        <v>0</v>
      </c>
      <c r="CL322" s="2846"/>
      <c r="CM322" s="2846"/>
      <c r="CN322" s="1093">
        <f>IF(CL322=0,0,(CM322-CL322)/CL322*100)</f>
        <v>0</v>
      </c>
      <c r="CO322" s="2846"/>
      <c r="CP322" s="2846"/>
      <c r="CQ322" s="1093">
        <f>IF(CO322=0,0,(CP322-CO322)/CO322*100)</f>
        <v>0</v>
      </c>
      <c r="CR322" s="2846"/>
      <c r="CS322" s="2846"/>
      <c r="CT322" s="1093">
        <f>IF(CR322=0,0,(CS322-CR322)/CR322*100)</f>
        <v>0</v>
      </c>
      <c r="CU322" s="2846"/>
      <c r="CV322" s="2846"/>
      <c r="CW322" s="1093">
        <f>IF(CU322=0,0,(CV322-CU322)/CU322*100)</f>
        <v>0</v>
      </c>
      <c r="CX322" s="2846"/>
      <c r="CY322" s="2846"/>
      <c r="CZ322" s="1093">
        <f>IF(CX322=0,0,(CY322-CX322)/CX322*100)</f>
        <v>0</v>
      </c>
      <c r="DA322" s="2846"/>
      <c r="DB322" s="2846"/>
      <c r="DC322" s="1093">
        <f>IF(DA322=0,0,(DB322-DA322)/DA322*100)</f>
        <v>0</v>
      </c>
      <c r="DD322" s="2846"/>
      <c r="DE322" s="2846"/>
      <c r="DF322" s="1093">
        <f>IF(DD322=0,0,(DE322-DD322)/DD322*100)</f>
        <v>0</v>
      </c>
      <c r="DG322" s="2846"/>
      <c r="DH322" s="2846"/>
      <c r="DI322" s="1093">
        <f>IF(DG322=0,0,(DH322-DG322)/DG322*100)</f>
        <v>0</v>
      </c>
      <c r="DJ322" s="2846"/>
      <c r="DK322" s="2846"/>
      <c r="DL322" s="1093">
        <f>IF(DJ322=0,0,(DK322-DJ322)/DJ322*100)</f>
        <v>0</v>
      </c>
      <c r="DM322" s="2846"/>
      <c r="DN322" s="2846"/>
      <c r="DO322" s="1093">
        <f>IF(DM322=0,0,(DN322-DM322)/DM322*100)</f>
        <v>0</v>
      </c>
      <c r="DP322" s="2846"/>
      <c r="DQ322" s="2846"/>
      <c r="DR322" s="1093">
        <f>IF(DP322=0,0,(DQ322-DP322)/DP322*100)</f>
        <v>0</v>
      </c>
      <c r="DS322" s="2846"/>
      <c r="DT322" s="2846"/>
      <c r="DU322" s="1093">
        <f>IF(DS322=0,0,(DT322-DS322)/DS322*100)</f>
        <v>0</v>
      </c>
      <c r="DV322" s="2846"/>
      <c r="DW322" s="2846"/>
      <c r="DX322" s="1093">
        <f>IF(DV322=0,0,(DW322-DV322)/DV322*100)</f>
        <v>0</v>
      </c>
      <c r="DY322" s="2846"/>
      <c r="DZ322" s="2846"/>
      <c r="EA322" s="1093">
        <f>IF(DY322=0,0,(DZ322-DY322)/DY322*100)</f>
        <v>0</v>
      </c>
      <c r="EB322" s="2846"/>
      <c r="EC322" s="2846"/>
      <c r="ED322" s="1093">
        <f>IF(EB322=0,0,(EC322-EB322)/EB322*100)</f>
        <v>0</v>
      </c>
      <c r="EE322" s="2846"/>
      <c r="EF322" s="2846"/>
      <c r="EG322" s="1093">
        <f>IF(EE322=0,0,(EF322-EE322)/EE322*100)</f>
        <v>0</v>
      </c>
      <c r="EH322" s="2846"/>
      <c r="EI322" s="2846"/>
      <c r="EJ322" s="1093">
        <f>IF(EH322=0,0,(EI322-EH322)/EH322*100)</f>
        <v>0</v>
      </c>
      <c r="EK322" s="2846"/>
      <c r="EL322" s="2846"/>
      <c r="EM322" s="1093">
        <f>IF(EK322=0,0,(EL322-EK322)/EK322*100)</f>
        <v>0</v>
      </c>
      <c r="EN322" s="2846"/>
      <c r="EO322" s="2846"/>
      <c r="EP322" s="1093">
        <f>IF(EN322=0,0,(EO322-EN322)/EN322*100)</f>
        <v>0</v>
      </c>
      <c r="EQ322" s="2846"/>
      <c r="ER322" s="2846"/>
      <c r="ES322" s="1093">
        <f>IF(EQ322=0,0,(ER322-EQ322)/EQ322*100)</f>
        <v>0</v>
      </c>
      <c r="ET322" s="2846"/>
      <c r="EU322" s="2846"/>
      <c r="EV322" s="1093">
        <f>IF(ET322=0,0,(EU322-ET322)/ET322*100)</f>
        <v>0</v>
      </c>
      <c r="EW322" s="2846"/>
      <c r="EX322" s="2846"/>
      <c r="EY322" s="1093">
        <f>IF(EW322=0,0,(EX322-EW322)/EW322*100)</f>
        <v>0</v>
      </c>
      <c r="EZ322" s="2846"/>
      <c r="FA322" s="2846"/>
      <c r="FB322" s="1093">
        <f>IF(EZ322=0,0,(FA322-EZ322)/EZ322*100)</f>
        <v>0</v>
      </c>
      <c r="FC322" s="2846"/>
      <c r="FD322" s="2846"/>
      <c r="FE322" s="1093">
        <f>IF(FC322=0,0,(FD322-FC322)/FC322*100)</f>
        <v>0</v>
      </c>
      <c r="FF322" s="2846"/>
      <c r="FG322" s="2846"/>
      <c r="FH322" s="1093">
        <f>IF(FF322=0,0,(FG322-FF322)/FF322*100)</f>
        <v>0</v>
      </c>
      <c r="FI322" s="2846"/>
      <c r="FJ322" s="2846"/>
      <c r="FK322" s="1093">
        <f>IF(FI322=0,0,(FJ322-FI322)/FI322*100)</f>
        <v>0</v>
      </c>
      <c r="FL322" s="2846"/>
      <c r="FM322" s="2846"/>
      <c r="FN322" s="1093">
        <f>IF(FL322=0,0,(FM322-FL322)/FL322*100)</f>
        <v>0</v>
      </c>
      <c r="FO322" s="2846"/>
      <c r="FP322" s="2846"/>
      <c r="FQ322" s="1093">
        <f>IF(FO322=0,0,(FP322-FO322)/FO322*100)</f>
        <v>0</v>
      </c>
      <c r="FR322" s="2846"/>
      <c r="FS322" s="2846"/>
      <c r="FT322" s="1093">
        <f>IF(FR322=0,0,(FS322-FR322)/FR322*100)</f>
        <v>0</v>
      </c>
      <c r="FU322" s="2846"/>
      <c r="FV322" s="2846"/>
      <c r="FW322" s="1093">
        <f>IF(FU322=0,0,(FV322-FU322)/FU322*100)</f>
        <v>0</v>
      </c>
      <c r="FX322" s="1304"/>
      <c r="FY322" s="1304"/>
      <c r="FZ322" s="1055" t="s">
        <v>2403</v>
      </c>
      <c r="GA322" s="1306"/>
      <c r="GB322" s="1306"/>
      <c r="GC322" s="1305"/>
      <c r="GD322" s="1305"/>
    </row>
    <row s="1834" customFormat="1" customHeight="1" ht="18" hidden="1">
      <c r="A323" s="493"/>
      <c r="B323" s="925" cm="1" t="str">
        <f t="array" ref="B323:B323">B322</f>
        <v>false</v>
      </c>
      <c r="C323" s="493"/>
      <c r="D323" s="493"/>
      <c r="E323" s="840">
        <v>18.75</v>
      </c>
      <c r="F323" s="50" cm="1" t="str">
        <f t="array" ref="F323:F323">OFFSET(E323,-1,1)</f>
        <v>4</v>
      </c>
      <c r="G323" s="493"/>
      <c r="H323" s="493"/>
      <c r="I323" s="493"/>
      <c r="J323" s="493"/>
      <c r="K323" s="493"/>
      <c r="L323" s="493"/>
      <c r="M323" s="493"/>
      <c r="N323" s="493"/>
      <c r="O323" s="493"/>
      <c r="P323" s="493"/>
      <c r="Q323" s="493"/>
      <c r="R323" s="493"/>
      <c r="S323" s="493"/>
      <c r="T323" s="465">
        <f>AND(F323&gt;0,Y323&gt;0)</f>
        <v>0</v>
      </c>
      <c r="U323" s="493"/>
      <c r="V323" s="493"/>
      <c r="W323" s="493" t="s">
        <v>174</v>
      </c>
      <c r="X323" s="1596"/>
      <c r="Y323" s="1596">
        <v>0</v>
      </c>
      <c r="Z323" s="1545"/>
      <c r="AA323" s="1494" t="s">
        <v>175</v>
      </c>
      <c r="AB323" s="5252"/>
      <c r="AC323" s="865"/>
      <c r="AD323" s="1105"/>
      <c r="AE323" s="1106"/>
      <c r="AF323" s="1106"/>
      <c r="AG323" s="1105"/>
      <c r="AH323" s="1106"/>
      <c r="AI323" s="1106"/>
      <c r="AJ323" s="1105"/>
      <c r="AK323" s="1106"/>
      <c r="AL323" s="1106"/>
      <c r="AM323" s="1105"/>
      <c r="AN323" s="1106"/>
      <c r="AO323" s="1106"/>
      <c r="AP323" s="1105"/>
      <c r="AQ323" s="1106"/>
      <c r="AR323" s="1106"/>
      <c r="AS323" s="1105"/>
      <c r="AT323" s="1106"/>
      <c r="AU323" s="1106"/>
      <c r="AV323" s="1105"/>
      <c r="AW323" s="1106"/>
      <c r="AX323" s="1106"/>
      <c r="AY323" s="1105"/>
      <c r="AZ323" s="1106"/>
      <c r="BA323" s="1106"/>
      <c r="BB323" s="1105"/>
      <c r="BC323" s="1106"/>
      <c r="BD323" s="1106"/>
      <c r="BE323" s="1105"/>
      <c r="BF323" s="1106"/>
      <c r="BG323" s="1106"/>
      <c r="BH323" s="1105"/>
      <c r="BI323" s="1106"/>
      <c r="BJ323" s="1106"/>
      <c r="BK323" s="1105"/>
      <c r="BL323" s="1106"/>
      <c r="BM323" s="1106"/>
      <c r="BN323" s="1105"/>
      <c r="BO323" s="1106"/>
      <c r="BP323" s="1106"/>
      <c r="BQ323" s="1105"/>
      <c r="BR323" s="1106"/>
      <c r="BS323" s="1106"/>
      <c r="BT323" s="1105"/>
      <c r="BU323" s="1106"/>
      <c r="BV323" s="1106"/>
      <c r="BW323" s="1105"/>
      <c r="BX323" s="1106"/>
      <c r="BY323" s="1106"/>
      <c r="BZ323" s="1105"/>
      <c r="CA323" s="1106"/>
      <c r="CB323" s="1106"/>
      <c r="CC323" s="1105"/>
      <c r="CD323" s="1106"/>
      <c r="CE323" s="1106"/>
      <c r="CF323" s="1105"/>
      <c r="CG323" s="1106"/>
      <c r="CH323" s="1106"/>
      <c r="CI323" s="1105"/>
      <c r="CJ323" s="1106"/>
      <c r="CK323" s="1106"/>
      <c r="CL323" s="1105"/>
      <c r="CM323" s="1106"/>
      <c r="CN323" s="1106"/>
      <c r="CO323" s="1105"/>
      <c r="CP323" s="1106"/>
      <c r="CQ323" s="1106"/>
      <c r="CR323" s="1105"/>
      <c r="CS323" s="1106"/>
      <c r="CT323" s="1106"/>
      <c r="CU323" s="1105"/>
      <c r="CV323" s="1106"/>
      <c r="CW323" s="1106"/>
      <c r="CX323" s="1105"/>
      <c r="CY323" s="1106"/>
      <c r="CZ323" s="1106"/>
      <c r="DA323" s="1105"/>
      <c r="DB323" s="1106"/>
      <c r="DC323" s="1106"/>
      <c r="DD323" s="1105"/>
      <c r="DE323" s="1106"/>
      <c r="DF323" s="1106"/>
      <c r="DG323" s="1105"/>
      <c r="DH323" s="1106"/>
      <c r="DI323" s="1106"/>
      <c r="DJ323" s="1105"/>
      <c r="DK323" s="1106"/>
      <c r="DL323" s="1106"/>
      <c r="DM323" s="1105"/>
      <c r="DN323" s="1106"/>
      <c r="DO323" s="1106"/>
      <c r="DP323" s="1105"/>
      <c r="DQ323" s="1106"/>
      <c r="DR323" s="1106"/>
      <c r="DS323" s="1105"/>
      <c r="DT323" s="1106"/>
      <c r="DU323" s="1106"/>
      <c r="DV323" s="1105"/>
      <c r="DW323" s="1106"/>
      <c r="DX323" s="1106"/>
      <c r="DY323" s="1105"/>
      <c r="DZ323" s="1106"/>
      <c r="EA323" s="1106"/>
      <c r="EB323" s="1105"/>
      <c r="EC323" s="1106"/>
      <c r="ED323" s="1106"/>
      <c r="EE323" s="1105"/>
      <c r="EF323" s="1106"/>
      <c r="EG323" s="1106"/>
      <c r="EH323" s="1105"/>
      <c r="EI323" s="1106"/>
      <c r="EJ323" s="1106"/>
      <c r="EK323" s="1105"/>
      <c r="EL323" s="1106"/>
      <c r="EM323" s="1106"/>
      <c r="EN323" s="1105"/>
      <c r="EO323" s="1106"/>
      <c r="EP323" s="1106"/>
      <c r="EQ323" s="1105"/>
      <c r="ER323" s="1106"/>
      <c r="ES323" s="1106"/>
      <c r="ET323" s="1105"/>
      <c r="EU323" s="1106"/>
      <c r="EV323" s="1106"/>
      <c r="EW323" s="1105"/>
      <c r="EX323" s="1106"/>
      <c r="EY323" s="1106"/>
      <c r="EZ323" s="1105"/>
      <c r="FA323" s="1106"/>
      <c r="FB323" s="1106"/>
      <c r="FC323" s="1105"/>
      <c r="FD323" s="1106"/>
      <c r="FE323" s="1106"/>
      <c r="FF323" s="1105"/>
      <c r="FG323" s="1106"/>
      <c r="FH323" s="1106"/>
      <c r="FI323" s="1105"/>
      <c r="FJ323" s="1106"/>
      <c r="FK323" s="1106"/>
      <c r="FL323" s="1105"/>
      <c r="FM323" s="1106"/>
      <c r="FN323" s="1106"/>
      <c r="FO323" s="1105"/>
      <c r="FP323" s="1106"/>
      <c r="FQ323" s="1106"/>
      <c r="FR323" s="1105"/>
      <c r="FS323" s="1106"/>
      <c r="FT323" s="1106"/>
      <c r="FU323" s="1105"/>
      <c r="FV323" s="1106"/>
      <c r="FW323" s="1107"/>
      <c r="FX323" s="1304"/>
      <c r="FY323" s="1304"/>
      <c r="FZ323" s="1055"/>
      <c r="GA323" s="1306"/>
      <c r="GB323" s="1306"/>
      <c r="GC323" s="1305"/>
      <c r="GD323" s="632" t="b">
        <v>1</v>
      </c>
    </row>
    <row s="1834" customFormat="1" customHeight="1" ht="14.25" hidden="1">
      <c r="A324" s="493"/>
      <c r="B324" s="925" cm="1" t="str">
        <f t="array" ref="B324:B324">B323</f>
        <v>false</v>
      </c>
      <c r="C324" s="493"/>
      <c r="D324" s="493"/>
      <c r="E324" s="840">
        <v>15</v>
      </c>
      <c r="F324" s="50" cm="1" t="str">
        <f t="array" ref="F324:F324">OFFSET(E324,-1,1)</f>
        <v>4</v>
      </c>
      <c r="G324" s="493"/>
      <c r="H324" s="493" t="s">
        <v>2295</v>
      </c>
      <c r="I324" s="493" cm="1" t="str">
        <f t="array" ref="I324:I324">AB323</f>
        <v>0</v>
      </c>
      <c r="J324" s="493"/>
      <c r="K324" s="493"/>
      <c r="L324" s="493"/>
      <c r="M324" s="493"/>
      <c r="N324" s="493"/>
      <c r="O324" s="493"/>
      <c r="P324" s="493"/>
      <c r="Q324" s="493"/>
      <c r="R324" s="493"/>
      <c r="S324" s="493"/>
      <c r="T324" s="465" cm="1" t="str">
        <f t="array" ref="T324:T324">T323</f>
        <v>false</v>
      </c>
      <c r="U324" s="493"/>
      <c r="V324" s="493"/>
      <c r="W324" s="493"/>
      <c r="X324" s="1596"/>
      <c r="Y324" s="1596"/>
      <c r="Z324" s="1545"/>
      <c r="AA324" s="1494"/>
      <c r="AB324" s="904" t="s">
        <v>2370</v>
      </c>
      <c r="AC324" s="864" t="s">
        <v>2337</v>
      </c>
      <c r="AD324" s="2846">
        <f>IF(AD326=0,0,(AD325*AD326+AD327*AD328*IF(god=2026,3,6))/AD326)</f>
        <v>0</v>
      </c>
      <c r="AE324" s="2846">
        <f>IF(AE326=0,0,(AE325*AE326+AE327*AE328*IF(god=2026,3,6))/AE326)</f>
        <v>0</v>
      </c>
      <c r="AF324" s="1093">
        <f>IF(AD324=0,0,(AE324-AD324)/AD324*100)</f>
        <v>0</v>
      </c>
      <c r="AG324" s="2846">
        <f>IF(AG326=0,0,(AG325*AG326+AG327*AG328*IF(god=2025,3,6))/AG326)</f>
        <v>0</v>
      </c>
      <c r="AH324" s="2846">
        <f>IF(AH326=0,0,(AH325*AH326+AH327*AH328*IF(god=2025,3,6))/AH326)</f>
        <v>0</v>
      </c>
      <c r="AI324" s="1093">
        <f>IF(AG324=0,0,(AH324-AG324)/AG324*100)</f>
        <v>0</v>
      </c>
      <c r="AJ324" s="2846">
        <f>IF(AJ326=0,0,(AJ325*AJ326+AJ327*AJ328*6)/AJ326)</f>
        <v>0</v>
      </c>
      <c r="AK324" s="2846">
        <f>IF(AK326=0,0,(AK325*AK326+AK327*AK328*6)/AK326)</f>
        <v>0</v>
      </c>
      <c r="AL324" s="1093">
        <f>IF(AJ324=0,0,(AK324-AJ324)/AJ324*100)</f>
        <v>0</v>
      </c>
      <c r="AM324" s="2846">
        <f>IF(AM326=0,0,(AM325*AM326+AM327*AM328*6)/AM326)</f>
        <v>0</v>
      </c>
      <c r="AN324" s="2846">
        <f>IF(AN326=0,0,(AN325*AN326+AN327*AN328*6)/AN326)</f>
        <v>0</v>
      </c>
      <c r="AO324" s="1093">
        <f>IF(AM324=0,0,(AN324-AM324)/AM324*100)</f>
        <v>0</v>
      </c>
      <c r="AP324" s="2846">
        <f>IF(AP326=0,0,(AP325*AP326+AP327*AP328*6)/AP326)</f>
        <v>0</v>
      </c>
      <c r="AQ324" s="2846">
        <f>IF(AQ326=0,0,(AQ325*AQ326+AQ327*AQ328*6)/AQ326)</f>
        <v>0</v>
      </c>
      <c r="AR324" s="1093">
        <f>IF(AP324=0,0,(AQ324-AP324)/AP324*100)</f>
        <v>0</v>
      </c>
      <c r="AS324" s="2846">
        <f>IF(AS326=0,0,(AS325*AS326+AS327*AS328*6)/AS326)</f>
        <v>0</v>
      </c>
      <c r="AT324" s="2846">
        <f>IF(AT326=0,0,(AT325*AT326+AT327*AT328*6)/AT326)</f>
        <v>0</v>
      </c>
      <c r="AU324" s="1093">
        <f>IF(AS324=0,0,(AT324-AS324)/AS324*100)</f>
        <v>0</v>
      </c>
      <c r="AV324" s="2846">
        <f>IF(AV326=0,0,(AV325*AV326+AV327*AV328*6)/AV326)</f>
        <v>0</v>
      </c>
      <c r="AW324" s="2846">
        <f>IF(AW326=0,0,(AW325*AW326+AW327*AW328*6)/AW326)</f>
        <v>0</v>
      </c>
      <c r="AX324" s="1093">
        <f>IF(AV324=0,0,(AW324-AV324)/AV324*100)</f>
        <v>0</v>
      </c>
      <c r="AY324" s="2846">
        <f>IF(AY326=0,0,(AY325*AY326+AY327*AY328*6)/AY326)</f>
        <v>0</v>
      </c>
      <c r="AZ324" s="2846">
        <f>IF(AZ326=0,0,(AZ325*AZ326+AZ327*AZ328*6)/AZ326)</f>
        <v>0</v>
      </c>
      <c r="BA324" s="1093">
        <f>IF(AY324=0,0,(AZ324-AY324)/AY324*100)</f>
        <v>0</v>
      </c>
      <c r="BB324" s="2846">
        <f>IF(BB326=0,0,(BB325*BB326+BB327*BB328*6)/BB326)</f>
        <v>0</v>
      </c>
      <c r="BC324" s="2846">
        <f>IF(BC326=0,0,(BC325*BC326+BC327*BC328*6)/BC326)</f>
        <v>0</v>
      </c>
      <c r="BD324" s="1093">
        <f>IF(BB324=0,0,(BC324-BB324)/BB324*100)</f>
        <v>0</v>
      </c>
      <c r="BE324" s="2846">
        <f>IF(BE326=0,0,(BE325*BE326+BE327*BE328*6)/BE326)</f>
        <v>0</v>
      </c>
      <c r="BF324" s="2846">
        <f>IF(BF326=0,0,(BF325*BF326+BF327*BF328*6)/BF326)</f>
        <v>0</v>
      </c>
      <c r="BG324" s="1093">
        <f>IF(BE324=0,0,(BF324-BE324)/BE324*100)</f>
        <v>0</v>
      </c>
      <c r="BH324" s="2846">
        <f>IF(BH326=0,0,(BH325*BH326+BH327*BH328*6)/BH326)</f>
        <v>0</v>
      </c>
      <c r="BI324" s="2846">
        <f>IF(BI326=0,0,(BI325*BI326+BI327*BI328*6)/BI326)</f>
        <v>0</v>
      </c>
      <c r="BJ324" s="1093">
        <f>IF(BH324=0,0,(BI324-BH324)/BH324*100)</f>
        <v>0</v>
      </c>
      <c r="BK324" s="2846">
        <f>IF(BK326=0,0,(BK325*BK326+BK327*BK328*6)/BK326)</f>
        <v>0</v>
      </c>
      <c r="BL324" s="2846">
        <f>IF(BL326=0,0,(BL325*BL326+BL327*BL328*6)/BL326)</f>
        <v>0</v>
      </c>
      <c r="BM324" s="1093">
        <f>IF(BK324=0,0,(BL324-BK324)/BK324*100)</f>
        <v>0</v>
      </c>
      <c r="BN324" s="2846">
        <f>IF(BN326=0,0,(BN325*BN326+BN327*BN328*6)/BN326)</f>
        <v>0</v>
      </c>
      <c r="BO324" s="2846">
        <f>IF(BO326=0,0,(BO325*BO326+BO327*BO328*6)/BO326)</f>
        <v>0</v>
      </c>
      <c r="BP324" s="1093">
        <f>IF(BN324=0,0,(BO324-BN324)/BN324*100)</f>
        <v>0</v>
      </c>
      <c r="BQ324" s="2846">
        <f>IF(BQ326=0,0,(BQ325*BQ326+BQ327*BQ328*6)/BQ326)</f>
        <v>0</v>
      </c>
      <c r="BR324" s="2846">
        <f>IF(BR326=0,0,(BR325*BR326+BR327*BR328*6)/BR326)</f>
        <v>0</v>
      </c>
      <c r="BS324" s="1093">
        <f>IF(BQ324=0,0,(BR324-BQ324)/BQ324*100)</f>
        <v>0</v>
      </c>
      <c r="BT324" s="2846">
        <f>IF(BT326=0,0,(BT325*BT326+BT327*BT328*6)/BT326)</f>
        <v>0</v>
      </c>
      <c r="BU324" s="2846">
        <f>IF(BU326=0,0,(BU325*BU326+BU327*BU328*6)/BU326)</f>
        <v>0</v>
      </c>
      <c r="BV324" s="1093">
        <f>IF(BT324=0,0,(BU324-BT324)/BT324*100)</f>
        <v>0</v>
      </c>
      <c r="BW324" s="2846">
        <f>IF(BW326=0,0,(BW325*BW326+BW327*BW328*6)/BW326)</f>
        <v>0</v>
      </c>
      <c r="BX324" s="2846">
        <f>IF(BX326=0,0,(BX325*BX326+BX327*BX328*6)/BX326)</f>
        <v>0</v>
      </c>
      <c r="BY324" s="1093">
        <f>IF(BW324=0,0,(BX324-BW324)/BW324*100)</f>
        <v>0</v>
      </c>
      <c r="BZ324" s="2846">
        <f>IF(BZ326=0,0,(BZ325*BZ326+BZ327*BZ328*6)/BZ326)</f>
        <v>0</v>
      </c>
      <c r="CA324" s="2846">
        <f>IF(CA326=0,0,(CA325*CA326+CA327*CA328*6)/CA326)</f>
        <v>0</v>
      </c>
      <c r="CB324" s="1093">
        <f>IF(BZ324=0,0,(CA324-BZ324)/BZ324*100)</f>
        <v>0</v>
      </c>
      <c r="CC324" s="2846">
        <f>IF(CC326=0,0,(CC325*CC326+CC327*CC328*6)/CC326)</f>
        <v>0</v>
      </c>
      <c r="CD324" s="2846">
        <f>IF(CD326=0,0,(CD325*CD326+CD327*CD328*6)/CD326)</f>
        <v>0</v>
      </c>
      <c r="CE324" s="1093">
        <f>IF(CC324=0,0,(CD324-CC324)/CC324*100)</f>
        <v>0</v>
      </c>
      <c r="CF324" s="2846">
        <f>IF(CF326=0,0,(CF325*CF326+CF327*CF328*6)/CF326)</f>
        <v>0</v>
      </c>
      <c r="CG324" s="2846">
        <f>IF(CG326=0,0,(CG325*CG326+CG327*CG328*6)/CG326)</f>
        <v>0</v>
      </c>
      <c r="CH324" s="1093">
        <f>IF(CF324=0,0,(CG324-CF324)/CF324*100)</f>
        <v>0</v>
      </c>
      <c r="CI324" s="2846">
        <f>IF(CI326=0,0,(CI325*CI326+CI327*CI328*6)/CI326)</f>
        <v>0</v>
      </c>
      <c r="CJ324" s="2846">
        <f>IF(CJ326=0,0,(CJ325*CJ326+CJ327*CJ328*6)/CJ326)</f>
        <v>0</v>
      </c>
      <c r="CK324" s="1093">
        <f>IF(CI324=0,0,(CJ324-CI324)/CI324*100)</f>
        <v>0</v>
      </c>
      <c r="CL324" s="2846">
        <f>IF(CL326=0,0,(CL325*CL326+CL327*CL328*6)/CL326)</f>
        <v>0</v>
      </c>
      <c r="CM324" s="2846">
        <f>IF(CM326=0,0,(CM325*CM326+CM327*CM328*6)/CM326)</f>
        <v>0</v>
      </c>
      <c r="CN324" s="1093">
        <f>IF(CL324=0,0,(CM324-CL324)/CL324*100)</f>
        <v>0</v>
      </c>
      <c r="CO324" s="2846">
        <f>IF(CO326=0,0,(CO325*CO326+CO327*CO328*6)/CO326)</f>
        <v>0</v>
      </c>
      <c r="CP324" s="2846">
        <f>IF(CP326=0,0,(CP325*CP326+CP327*CP328*6)/CP326)</f>
        <v>0</v>
      </c>
      <c r="CQ324" s="1093">
        <f>IF(CO324=0,0,(CP324-CO324)/CO324*100)</f>
        <v>0</v>
      </c>
      <c r="CR324" s="2846">
        <f>IF(CR326=0,0,(CR325*CR326+CR327*CR328*6)/CR326)</f>
        <v>0</v>
      </c>
      <c r="CS324" s="2846">
        <f>IF(CS326=0,0,(CS325*CS326+CS327*CS328*6)/CS326)</f>
        <v>0</v>
      </c>
      <c r="CT324" s="1093">
        <f>IF(CR324=0,0,(CS324-CR324)/CR324*100)</f>
        <v>0</v>
      </c>
      <c r="CU324" s="2846">
        <f>IF(CU326=0,0,(CU325*CU326+CU327*CU328*6)/CU326)</f>
        <v>0</v>
      </c>
      <c r="CV324" s="2846">
        <f>IF(CV326=0,0,(CV325*CV326+CV327*CV328*6)/CV326)</f>
        <v>0</v>
      </c>
      <c r="CW324" s="1093">
        <f>IF(CU324=0,0,(CV324-CU324)/CU324*100)</f>
        <v>0</v>
      </c>
      <c r="CX324" s="2846">
        <f>IF(CX326=0,0,(CX325*CX326+CX327*CX328*6)/CX326)</f>
        <v>0</v>
      </c>
      <c r="CY324" s="2846">
        <f>IF(CY326=0,0,(CY325*CY326+CY327*CY328*6)/CY326)</f>
        <v>0</v>
      </c>
      <c r="CZ324" s="1093">
        <f>IF(CX324=0,0,(CY324-CX324)/CX324*100)</f>
        <v>0</v>
      </c>
      <c r="DA324" s="2846">
        <f>IF(DA326=0,0,(DA325*DA326+DA327*DA328*6)/DA326)</f>
        <v>0</v>
      </c>
      <c r="DB324" s="2846">
        <f>IF(DB326=0,0,(DB325*DB326+DB327*DB328*6)/DB326)</f>
        <v>0</v>
      </c>
      <c r="DC324" s="1093">
        <f>IF(DA324=0,0,(DB324-DA324)/DA324*100)</f>
        <v>0</v>
      </c>
      <c r="DD324" s="2846">
        <f>IF(DD326=0,0,(DD325*DD326+DD327*DD328*6)/DD326)</f>
        <v>0</v>
      </c>
      <c r="DE324" s="2846">
        <f>IF(DE326=0,0,(DE325*DE326+DE327*DE328*6)/DE326)</f>
        <v>0</v>
      </c>
      <c r="DF324" s="1093">
        <f>IF(DD324=0,0,(DE324-DD324)/DD324*100)</f>
        <v>0</v>
      </c>
      <c r="DG324" s="2846">
        <f>IF(DG326=0,0,(DG325*DG326+DG327*DG328*6)/DG326)</f>
        <v>0</v>
      </c>
      <c r="DH324" s="2846">
        <f>IF(DH326=0,0,(DH325*DH326+DH327*DH328*6)/DH326)</f>
        <v>0</v>
      </c>
      <c r="DI324" s="1093">
        <f>IF(DG324=0,0,(DH324-DG324)/DG324*100)</f>
        <v>0</v>
      </c>
      <c r="DJ324" s="2846">
        <f>IF(DJ326=0,0,(DJ325*DJ326+DJ327*DJ328*6)/DJ326)</f>
        <v>0</v>
      </c>
      <c r="DK324" s="2846">
        <f>IF(DK326=0,0,(DK325*DK326+DK327*DK328*6)/DK326)</f>
        <v>0</v>
      </c>
      <c r="DL324" s="1093">
        <f>IF(DJ324=0,0,(DK324-DJ324)/DJ324*100)</f>
        <v>0</v>
      </c>
      <c r="DM324" s="2846">
        <f>IF(DM326=0,0,(DM325*DM326+DM327*DM328*6)/DM326)</f>
        <v>0</v>
      </c>
      <c r="DN324" s="2846">
        <f>IF(DN326=0,0,(DN325*DN326+DN327*DN328*6)/DN326)</f>
        <v>0</v>
      </c>
      <c r="DO324" s="1093">
        <f>IF(DM324=0,0,(DN324-DM324)/DM324*100)</f>
        <v>0</v>
      </c>
      <c r="DP324" s="2846">
        <f>IF(DP326=0,0,(DP325*DP326+DP327*DP328*6)/DP326)</f>
        <v>0</v>
      </c>
      <c r="DQ324" s="2846">
        <f>IF(DQ326=0,0,(DQ325*DQ326+DQ327*DQ328*6)/DQ326)</f>
        <v>0</v>
      </c>
      <c r="DR324" s="1093">
        <f>IF(DP324=0,0,(DQ324-DP324)/DP324*100)</f>
        <v>0</v>
      </c>
      <c r="DS324" s="2846">
        <f>IF(DS326=0,0,(DS325*DS326+DS327*DS328*6)/DS326)</f>
        <v>0</v>
      </c>
      <c r="DT324" s="2846">
        <f>IF(DT326=0,0,(DT325*DT326+DT327*DT328*6)/DT326)</f>
        <v>0</v>
      </c>
      <c r="DU324" s="1093">
        <f>IF(DS324=0,0,(DT324-DS324)/DS324*100)</f>
        <v>0</v>
      </c>
      <c r="DV324" s="2846">
        <f>IF(DV326=0,0,(DV325*DV326+DV327*DV328*6)/DV326)</f>
        <v>0</v>
      </c>
      <c r="DW324" s="2846">
        <f>IF(DW326=0,0,(DW325*DW326+DW327*DW328*6)/DW326)</f>
        <v>0</v>
      </c>
      <c r="DX324" s="1093">
        <f>IF(DV324=0,0,(DW324-DV324)/DV324*100)</f>
        <v>0</v>
      </c>
      <c r="DY324" s="2846">
        <f>IF(DY326=0,0,(DY325*DY326+DY327*DY328*6)/DY326)</f>
        <v>0</v>
      </c>
      <c r="DZ324" s="2846">
        <f>IF(DZ326=0,0,(DZ325*DZ326+DZ327*DZ328*6)/DZ326)</f>
        <v>0</v>
      </c>
      <c r="EA324" s="1093">
        <f>IF(DY324=0,0,(DZ324-DY324)/DY324*100)</f>
        <v>0</v>
      </c>
      <c r="EB324" s="2846">
        <f>IF(EB326=0,0,(EB325*EB326+EB327*EB328*6)/EB326)</f>
        <v>0</v>
      </c>
      <c r="EC324" s="2846">
        <f>IF(EC326=0,0,(EC325*EC326+EC327*EC328*6)/EC326)</f>
        <v>0</v>
      </c>
      <c r="ED324" s="1093">
        <f>IF(EB324=0,0,(EC324-EB324)/EB324*100)</f>
        <v>0</v>
      </c>
      <c r="EE324" s="2846">
        <f>IF(EE326=0,0,(EE325*EE326+EE327*EE328*6)/EE326)</f>
        <v>0</v>
      </c>
      <c r="EF324" s="2846">
        <f>IF(EF326=0,0,(EF325*EF326+EF327*EF328*6)/EF326)</f>
        <v>0</v>
      </c>
      <c r="EG324" s="1093">
        <f>IF(EE324=0,0,(EF324-EE324)/EE324*100)</f>
        <v>0</v>
      </c>
      <c r="EH324" s="2846">
        <f>IF(EH326=0,0,(EH325*EH326+EH327*EH328*6)/EH326)</f>
        <v>0</v>
      </c>
      <c r="EI324" s="2846">
        <f>IF(EI326=0,0,(EI325*EI326+EI327*EI328*6)/EI326)</f>
        <v>0</v>
      </c>
      <c r="EJ324" s="1093">
        <f>IF(EH324=0,0,(EI324-EH324)/EH324*100)</f>
        <v>0</v>
      </c>
      <c r="EK324" s="2846">
        <f>IF(EK326=0,0,(EK325*EK326+EK327*EK328*6)/EK326)</f>
        <v>0</v>
      </c>
      <c r="EL324" s="2846">
        <f>IF(EL326=0,0,(EL325*EL326+EL327*EL328*6)/EL326)</f>
        <v>0</v>
      </c>
      <c r="EM324" s="1093">
        <f>IF(EK324=0,0,(EL324-EK324)/EK324*100)</f>
        <v>0</v>
      </c>
      <c r="EN324" s="2846">
        <f>IF(EN326=0,0,(EN325*EN326+EN327*EN328*6)/EN326)</f>
        <v>0</v>
      </c>
      <c r="EO324" s="2846">
        <f>IF(EO326=0,0,(EO325*EO326+EO327*EO328*6)/EO326)</f>
        <v>0</v>
      </c>
      <c r="EP324" s="1093">
        <f>IF(EN324=0,0,(EO324-EN324)/EN324*100)</f>
        <v>0</v>
      </c>
      <c r="EQ324" s="2846">
        <f>IF(EQ326=0,0,(EQ325*EQ326+EQ327*EQ328*6)/EQ326)</f>
        <v>0</v>
      </c>
      <c r="ER324" s="2846">
        <f>IF(ER326=0,0,(ER325*ER326+ER327*ER328*6)/ER326)</f>
        <v>0</v>
      </c>
      <c r="ES324" s="1093">
        <f>IF(EQ324=0,0,(ER324-EQ324)/EQ324*100)</f>
        <v>0</v>
      </c>
      <c r="ET324" s="2846">
        <f>IF(ET326=0,0,(ET325*ET326+ET327*ET328*6)/ET326)</f>
        <v>0</v>
      </c>
      <c r="EU324" s="2846">
        <f>IF(EU326=0,0,(EU325*EU326+EU327*EU328*6)/EU326)</f>
        <v>0</v>
      </c>
      <c r="EV324" s="1093">
        <f>IF(ET324=0,0,(EU324-ET324)/ET324*100)</f>
        <v>0</v>
      </c>
      <c r="EW324" s="2846">
        <f>IF(EW326=0,0,(EW325*EW326+EW327*EW328*6)/EW326)</f>
        <v>0</v>
      </c>
      <c r="EX324" s="2846">
        <f>IF(EX326=0,0,(EX325*EX326+EX327*EX328*6)/EX326)</f>
        <v>0</v>
      </c>
      <c r="EY324" s="1093">
        <f>IF(EW324=0,0,(EX324-EW324)/EW324*100)</f>
        <v>0</v>
      </c>
      <c r="EZ324" s="2846">
        <f>IF(EZ326=0,0,(EZ325*EZ326+EZ327*EZ328*6)/EZ326)</f>
        <v>0</v>
      </c>
      <c r="FA324" s="2846">
        <f>IF(FA326=0,0,(FA325*FA326+FA327*FA328*6)/FA326)</f>
        <v>0</v>
      </c>
      <c r="FB324" s="1093">
        <f>IF(EZ324=0,0,(FA324-EZ324)/EZ324*100)</f>
        <v>0</v>
      </c>
      <c r="FC324" s="2846">
        <f>IF(FC326=0,0,(FC325*FC326+FC327*FC328*6)/FC326)</f>
        <v>0</v>
      </c>
      <c r="FD324" s="2846">
        <f>IF(FD326=0,0,(FD325*FD326+FD327*FD328*6)/FD326)</f>
        <v>0</v>
      </c>
      <c r="FE324" s="1093">
        <f>IF(FC324=0,0,(FD324-FC324)/FC324*100)</f>
        <v>0</v>
      </c>
      <c r="FF324" s="2846">
        <f>IF(FF326=0,0,(FF325*FF326+FF327*FF328*6)/FF326)</f>
        <v>0</v>
      </c>
      <c r="FG324" s="2846">
        <f>IF(FG326=0,0,(FG325*FG326+FG327*FG328*6)/FG326)</f>
        <v>0</v>
      </c>
      <c r="FH324" s="1093">
        <f>IF(FF324=0,0,(FG324-FF324)/FF324*100)</f>
        <v>0</v>
      </c>
      <c r="FI324" s="2846">
        <f>IF(FI326=0,0,(FI325*FI326+FI327*FI328*6)/FI326)</f>
        <v>0</v>
      </c>
      <c r="FJ324" s="2846">
        <f>IF(FJ326=0,0,(FJ325*FJ326+FJ327*FJ328*6)/FJ326)</f>
        <v>0</v>
      </c>
      <c r="FK324" s="1093">
        <f>IF(FI324=0,0,(FJ324-FI324)/FI324*100)</f>
        <v>0</v>
      </c>
      <c r="FL324" s="2846">
        <f>IF(FL326=0,0,(FL325*FL326+FL327*FL328*6)/FL326)</f>
        <v>0</v>
      </c>
      <c r="FM324" s="2846">
        <f>IF(FM326=0,0,(FM325*FM326+FM327*FM328*6)/FM326)</f>
        <v>0</v>
      </c>
      <c r="FN324" s="1093">
        <f>IF(FL324=0,0,(FM324-FL324)/FL324*100)</f>
        <v>0</v>
      </c>
      <c r="FO324" s="2846">
        <f>IF(FO326=0,0,(FO325*FO326+FO327*FO328*6)/FO326)</f>
        <v>0</v>
      </c>
      <c r="FP324" s="2846">
        <f>IF(FP326=0,0,(FP325*FP326+FP327*FP328*6)/FP326)</f>
        <v>0</v>
      </c>
      <c r="FQ324" s="1093">
        <f>IF(FO324=0,0,(FP324-FO324)/FO324*100)</f>
        <v>0</v>
      </c>
      <c r="FR324" s="2846">
        <f>IF(FR326=0,0,(FR325*FR326+FR327*FR328*6)/FR326)</f>
        <v>0</v>
      </c>
      <c r="FS324" s="2846">
        <f>IF(FS326=0,0,(FS325*FS326+FS327*FS328*6)/FS326)</f>
        <v>0</v>
      </c>
      <c r="FT324" s="1093">
        <f>IF(FR324=0,0,(FS324-FR324)/FR324*100)</f>
        <v>0</v>
      </c>
      <c r="FU324" s="2846">
        <f>IF(FU326=0,0,(FU325*FU326+FU327*FU328*6)/FU326)</f>
        <v>0</v>
      </c>
      <c r="FV324" s="2846">
        <f>IF(FV326=0,0,(FV325*FV326+FV327*FV328*6)/FV326)</f>
        <v>0</v>
      </c>
      <c r="FW324" s="1093">
        <f>IF(FU324=0,0,(FV324-FU324)/FU324*100)</f>
        <v>0</v>
      </c>
      <c r="FX324" s="1304"/>
      <c r="FY324" s="1304"/>
      <c r="FZ324" s="1055" t="s">
        <v>2404</v>
      </c>
      <c r="GA324" s="1015" t="s">
        <v>1594</v>
      </c>
      <c r="GB324" s="1057" cm="1" t="str">
        <f t="array" ref="GB324:GB324">AB323</f>
        <v>0</v>
      </c>
      <c r="GC324" s="1305"/>
      <c r="GD324" s="1305"/>
    </row>
    <row s="1834" customFormat="1" customHeight="1" ht="14.25" hidden="1">
      <c r="A325" s="493"/>
      <c r="B325" s="925" cm="1" t="str">
        <f t="array" ref="B325:B325">B324</f>
        <v>false</v>
      </c>
      <c r="C325" s="493"/>
      <c r="D325" s="493"/>
      <c r="E325" s="840">
        <v>15</v>
      </c>
      <c r="F325" s="50" cm="1" t="str">
        <f t="array" ref="F325:F325">OFFSET(E325,-1,1)</f>
        <v>4</v>
      </c>
      <c r="G325" s="493"/>
      <c r="H325" s="493" t="s">
        <v>2299</v>
      </c>
      <c r="I325" s="493" cm="1" t="str">
        <f t="array" ref="I325:I325">I324</f>
        <v>0</v>
      </c>
      <c r="J325" s="493"/>
      <c r="K325" s="493"/>
      <c r="L325" s="493"/>
      <c r="M325" s="493"/>
      <c r="N325" s="493"/>
      <c r="O325" s="493"/>
      <c r="P325" s="493"/>
      <c r="Q325" s="493"/>
      <c r="R325" s="493"/>
      <c r="S325" s="493"/>
      <c r="T325" s="465" cm="1" t="str">
        <f t="array" ref="T325:T325">T324</f>
        <v>false</v>
      </c>
      <c r="U325" s="493"/>
      <c r="V325" s="493"/>
      <c r="W325" s="493"/>
      <c r="X325" s="1596"/>
      <c r="Y325" s="1596"/>
      <c r="Z325" s="1545"/>
      <c r="AA325" s="1494"/>
      <c r="AB325" s="904" t="str">
        <f>"ставка платы за "&amp;IF(Q281="Водоснабжение","потребление 1 куб.м холодной воды","объем принятых сточных вод")</f>
        <v>ставка платы за объем принятых сточных вод</v>
      </c>
      <c r="AC325" s="864" t="s">
        <v>2337</v>
      </c>
      <c r="AD325" s="2846"/>
      <c r="AE325" s="2846"/>
      <c r="AF325" s="1093">
        <f>IF(AD325=0,0,(AE325-AD325)/AD325*100)</f>
        <v>0</v>
      </c>
      <c r="AG325" s="2846"/>
      <c r="AH325" s="2846"/>
      <c r="AI325" s="1093">
        <f>IF(AG325=0,0,(AH325-AG325)/AG325*100)</f>
        <v>0</v>
      </c>
      <c r="AJ325" s="2846"/>
      <c r="AK325" s="2846"/>
      <c r="AL325" s="1093">
        <f>IF(AJ325=0,0,(AK325-AJ325)/AJ325*100)</f>
        <v>0</v>
      </c>
      <c r="AM325" s="2846"/>
      <c r="AN325" s="2846"/>
      <c r="AO325" s="1093">
        <f>IF(AM325=0,0,(AN325-AM325)/AM325*100)</f>
        <v>0</v>
      </c>
      <c r="AP325" s="2846"/>
      <c r="AQ325" s="2846"/>
      <c r="AR325" s="1093">
        <f>IF(AP325=0,0,(AQ325-AP325)/AP325*100)</f>
        <v>0</v>
      </c>
      <c r="AS325" s="2846"/>
      <c r="AT325" s="2846"/>
      <c r="AU325" s="1093">
        <f>IF(AS325=0,0,(AT325-AS325)/AS325*100)</f>
        <v>0</v>
      </c>
      <c r="AV325" s="2846"/>
      <c r="AW325" s="2846"/>
      <c r="AX325" s="1093">
        <f>IF(AV325=0,0,(AW325-AV325)/AV325*100)</f>
        <v>0</v>
      </c>
      <c r="AY325" s="2846"/>
      <c r="AZ325" s="2846"/>
      <c r="BA325" s="1093">
        <f>IF(AY325=0,0,(AZ325-AY325)/AY325*100)</f>
        <v>0</v>
      </c>
      <c r="BB325" s="2846"/>
      <c r="BC325" s="2846"/>
      <c r="BD325" s="1093">
        <f>IF(BB325=0,0,(BC325-BB325)/BB325*100)</f>
        <v>0</v>
      </c>
      <c r="BE325" s="2846"/>
      <c r="BF325" s="2846"/>
      <c r="BG325" s="1093">
        <f>IF(BE325=0,0,(BF325-BE325)/BE325*100)</f>
        <v>0</v>
      </c>
      <c r="BH325" s="2846"/>
      <c r="BI325" s="2846"/>
      <c r="BJ325" s="1093">
        <f>IF(BH325=0,0,(BI325-BH325)/BH325*100)</f>
        <v>0</v>
      </c>
      <c r="BK325" s="2846"/>
      <c r="BL325" s="2846"/>
      <c r="BM325" s="1093">
        <f>IF(BK325=0,0,(BL325-BK325)/BK325*100)</f>
        <v>0</v>
      </c>
      <c r="BN325" s="2846"/>
      <c r="BO325" s="2846"/>
      <c r="BP325" s="1093">
        <f>IF(BN325=0,0,(BO325-BN325)/BN325*100)</f>
        <v>0</v>
      </c>
      <c r="BQ325" s="2846"/>
      <c r="BR325" s="2846"/>
      <c r="BS325" s="1093">
        <f>IF(BQ325=0,0,(BR325-BQ325)/BQ325*100)</f>
        <v>0</v>
      </c>
      <c r="BT325" s="2846"/>
      <c r="BU325" s="2846"/>
      <c r="BV325" s="1093">
        <f>IF(BT325=0,0,(BU325-BT325)/BT325*100)</f>
        <v>0</v>
      </c>
      <c r="BW325" s="2846"/>
      <c r="BX325" s="2846"/>
      <c r="BY325" s="1093">
        <f>IF(BW325=0,0,(BX325-BW325)/BW325*100)</f>
        <v>0</v>
      </c>
      <c r="BZ325" s="2846"/>
      <c r="CA325" s="2846"/>
      <c r="CB325" s="1093">
        <f>IF(BZ325=0,0,(CA325-BZ325)/BZ325*100)</f>
        <v>0</v>
      </c>
      <c r="CC325" s="2846"/>
      <c r="CD325" s="2846"/>
      <c r="CE325" s="1093">
        <f>IF(CC325=0,0,(CD325-CC325)/CC325*100)</f>
        <v>0</v>
      </c>
      <c r="CF325" s="2846"/>
      <c r="CG325" s="2846"/>
      <c r="CH325" s="1093">
        <f>IF(CF325=0,0,(CG325-CF325)/CF325*100)</f>
        <v>0</v>
      </c>
      <c r="CI325" s="2846"/>
      <c r="CJ325" s="2846"/>
      <c r="CK325" s="1093">
        <f>IF(CI325=0,0,(CJ325-CI325)/CI325*100)</f>
        <v>0</v>
      </c>
      <c r="CL325" s="2846"/>
      <c r="CM325" s="2846"/>
      <c r="CN325" s="1093">
        <f>IF(CL325=0,0,(CM325-CL325)/CL325*100)</f>
        <v>0</v>
      </c>
      <c r="CO325" s="2846"/>
      <c r="CP325" s="2846"/>
      <c r="CQ325" s="1093">
        <f>IF(CO325=0,0,(CP325-CO325)/CO325*100)</f>
        <v>0</v>
      </c>
      <c r="CR325" s="2846"/>
      <c r="CS325" s="2846"/>
      <c r="CT325" s="1093">
        <f>IF(CR325=0,0,(CS325-CR325)/CR325*100)</f>
        <v>0</v>
      </c>
      <c r="CU325" s="2846"/>
      <c r="CV325" s="2846"/>
      <c r="CW325" s="1093">
        <f>IF(CU325=0,0,(CV325-CU325)/CU325*100)</f>
        <v>0</v>
      </c>
      <c r="CX325" s="2846"/>
      <c r="CY325" s="2846"/>
      <c r="CZ325" s="1093">
        <f>IF(CX325=0,0,(CY325-CX325)/CX325*100)</f>
        <v>0</v>
      </c>
      <c r="DA325" s="2846"/>
      <c r="DB325" s="2846"/>
      <c r="DC325" s="1093">
        <f>IF(DA325=0,0,(DB325-DA325)/DA325*100)</f>
        <v>0</v>
      </c>
      <c r="DD325" s="2846"/>
      <c r="DE325" s="2846"/>
      <c r="DF325" s="1093">
        <f>IF(DD325=0,0,(DE325-DD325)/DD325*100)</f>
        <v>0</v>
      </c>
      <c r="DG325" s="2846"/>
      <c r="DH325" s="2846"/>
      <c r="DI325" s="1093">
        <f>IF(DG325=0,0,(DH325-DG325)/DG325*100)</f>
        <v>0</v>
      </c>
      <c r="DJ325" s="2846"/>
      <c r="DK325" s="2846"/>
      <c r="DL325" s="1093">
        <f>IF(DJ325=0,0,(DK325-DJ325)/DJ325*100)</f>
        <v>0</v>
      </c>
      <c r="DM325" s="2846"/>
      <c r="DN325" s="2846"/>
      <c r="DO325" s="1093">
        <f>IF(DM325=0,0,(DN325-DM325)/DM325*100)</f>
        <v>0</v>
      </c>
      <c r="DP325" s="2846"/>
      <c r="DQ325" s="2846"/>
      <c r="DR325" s="1093">
        <f>IF(DP325=0,0,(DQ325-DP325)/DP325*100)</f>
        <v>0</v>
      </c>
      <c r="DS325" s="2846"/>
      <c r="DT325" s="2846"/>
      <c r="DU325" s="1093">
        <f>IF(DS325=0,0,(DT325-DS325)/DS325*100)</f>
        <v>0</v>
      </c>
      <c r="DV325" s="2846"/>
      <c r="DW325" s="2846"/>
      <c r="DX325" s="1093">
        <f>IF(DV325=0,0,(DW325-DV325)/DV325*100)</f>
        <v>0</v>
      </c>
      <c r="DY325" s="2846"/>
      <c r="DZ325" s="2846"/>
      <c r="EA325" s="1093">
        <f>IF(DY325=0,0,(DZ325-DY325)/DY325*100)</f>
        <v>0</v>
      </c>
      <c r="EB325" s="2846"/>
      <c r="EC325" s="2846"/>
      <c r="ED325" s="1093">
        <f>IF(EB325=0,0,(EC325-EB325)/EB325*100)</f>
        <v>0</v>
      </c>
      <c r="EE325" s="2846"/>
      <c r="EF325" s="2846"/>
      <c r="EG325" s="1093">
        <f>IF(EE325=0,0,(EF325-EE325)/EE325*100)</f>
        <v>0</v>
      </c>
      <c r="EH325" s="2846"/>
      <c r="EI325" s="2846"/>
      <c r="EJ325" s="1093">
        <f>IF(EH325=0,0,(EI325-EH325)/EH325*100)</f>
        <v>0</v>
      </c>
      <c r="EK325" s="2846"/>
      <c r="EL325" s="2846"/>
      <c r="EM325" s="1093">
        <f>IF(EK325=0,0,(EL325-EK325)/EK325*100)</f>
        <v>0</v>
      </c>
      <c r="EN325" s="2846"/>
      <c r="EO325" s="2846"/>
      <c r="EP325" s="1093">
        <f>IF(EN325=0,0,(EO325-EN325)/EN325*100)</f>
        <v>0</v>
      </c>
      <c r="EQ325" s="2846"/>
      <c r="ER325" s="2846"/>
      <c r="ES325" s="1093">
        <f>IF(EQ325=0,0,(ER325-EQ325)/EQ325*100)</f>
        <v>0</v>
      </c>
      <c r="ET325" s="2846"/>
      <c r="EU325" s="2846"/>
      <c r="EV325" s="1093">
        <f>IF(ET325=0,0,(EU325-ET325)/ET325*100)</f>
        <v>0</v>
      </c>
      <c r="EW325" s="2846"/>
      <c r="EX325" s="2846"/>
      <c r="EY325" s="1093">
        <f>IF(EW325=0,0,(EX325-EW325)/EW325*100)</f>
        <v>0</v>
      </c>
      <c r="EZ325" s="2846"/>
      <c r="FA325" s="2846"/>
      <c r="FB325" s="1093">
        <f>IF(EZ325=0,0,(FA325-EZ325)/EZ325*100)</f>
        <v>0</v>
      </c>
      <c r="FC325" s="2846"/>
      <c r="FD325" s="2846"/>
      <c r="FE325" s="1093">
        <f>IF(FC325=0,0,(FD325-FC325)/FC325*100)</f>
        <v>0</v>
      </c>
      <c r="FF325" s="2846"/>
      <c r="FG325" s="2846"/>
      <c r="FH325" s="1093">
        <f>IF(FF325=0,0,(FG325-FF325)/FF325*100)</f>
        <v>0</v>
      </c>
      <c r="FI325" s="2846"/>
      <c r="FJ325" s="2846"/>
      <c r="FK325" s="1093">
        <f>IF(FI325=0,0,(FJ325-FI325)/FI325*100)</f>
        <v>0</v>
      </c>
      <c r="FL325" s="2846"/>
      <c r="FM325" s="2846"/>
      <c r="FN325" s="1093">
        <f>IF(FL325=0,0,(FM325-FL325)/FL325*100)</f>
        <v>0</v>
      </c>
      <c r="FO325" s="2846"/>
      <c r="FP325" s="2846"/>
      <c r="FQ325" s="1093">
        <f>IF(FO325=0,0,(FP325-FO325)/FO325*100)</f>
        <v>0</v>
      </c>
      <c r="FR325" s="2846"/>
      <c r="FS325" s="2846"/>
      <c r="FT325" s="1093">
        <f>IF(FR325=0,0,(FS325-FR325)/FR325*100)</f>
        <v>0</v>
      </c>
      <c r="FU325" s="2846"/>
      <c r="FV325" s="2846"/>
      <c r="FW325" s="1093">
        <f>IF(FU325=0,0,(FV325-FU325)/FU325*100)</f>
        <v>0</v>
      </c>
      <c r="FX325" s="1304"/>
      <c r="FY325" s="1304"/>
      <c r="FZ325" s="1055" t="s">
        <v>2405</v>
      </c>
      <c r="GA325" s="1015" t="s">
        <v>1594</v>
      </c>
      <c r="GB325" s="1015" cm="1" t="str">
        <f t="array" ref="GB325:GB325">GB324</f>
        <v>0</v>
      </c>
      <c r="GC325" s="1305"/>
      <c r="GD325" s="1305"/>
    </row>
    <row s="1834" customFormat="1" customHeight="1" ht="14.25" hidden="1">
      <c r="A326" s="493"/>
      <c r="B326" s="925" cm="1" t="str">
        <f t="array" ref="B326:B326">B325</f>
        <v>false</v>
      </c>
      <c r="C326" s="493"/>
      <c r="D326" s="493"/>
      <c r="E326" s="840">
        <v>15</v>
      </c>
      <c r="F326" s="50" cm="1" t="str">
        <f t="array" ref="F326:F326">OFFSET(E326,-1,1)</f>
        <v>4</v>
      </c>
      <c r="G326" s="493"/>
      <c r="H326" s="493" t="s">
        <v>2374</v>
      </c>
      <c r="I326" s="493" cm="1" t="str">
        <f t="array" ref="I326:I326">I325</f>
        <v>0</v>
      </c>
      <c r="J326" s="493"/>
      <c r="K326" s="493"/>
      <c r="L326" s="493"/>
      <c r="M326" s="493"/>
      <c r="N326" s="493"/>
      <c r="O326" s="493"/>
      <c r="P326" s="493"/>
      <c r="Q326" s="493"/>
      <c r="R326" s="493"/>
      <c r="S326" s="493"/>
      <c r="T326" s="465" cm="1" t="str">
        <f t="array" ref="T326:T326">T325</f>
        <v>false</v>
      </c>
      <c r="U326" s="493"/>
      <c r="V326" s="493"/>
      <c r="W326" s="493"/>
      <c r="X326" s="1596"/>
      <c r="Y326" s="1596"/>
      <c r="Z326" s="1545"/>
      <c r="AA326" s="1494"/>
      <c r="AB326" s="904" t="str">
        <f>"объём "&amp;IF(Q281="Водоснабжение","потребления холодной воды","водоотведения")</f>
        <v>объём водоотведения</v>
      </c>
      <c r="AC326" s="864" t="s">
        <v>1247</v>
      </c>
      <c r="AD326" s="5247"/>
      <c r="AE326" s="5247"/>
      <c r="AF326" s="1095">
        <f>IF(AD326=0,0,(AE326-AD326)/AD326*100)</f>
        <v>0</v>
      </c>
      <c r="AG326" s="5247"/>
      <c r="AH326" s="5247"/>
      <c r="AI326" s="1095">
        <f>IF(AG326=0,0,(AH326-AG326)/AG326*100)</f>
        <v>0</v>
      </c>
      <c r="AJ326" s="5247"/>
      <c r="AK326" s="5247"/>
      <c r="AL326" s="1095">
        <f>IF(AJ326=0,0,(AK326-AJ326)/AJ326*100)</f>
        <v>0</v>
      </c>
      <c r="AM326" s="5247"/>
      <c r="AN326" s="5247"/>
      <c r="AO326" s="1095">
        <f>IF(AM326=0,0,(AN326-AM326)/AM326*100)</f>
        <v>0</v>
      </c>
      <c r="AP326" s="5247"/>
      <c r="AQ326" s="5247"/>
      <c r="AR326" s="1095">
        <f>IF(AP326=0,0,(AQ326-AP326)/AP326*100)</f>
        <v>0</v>
      </c>
      <c r="AS326" s="5247"/>
      <c r="AT326" s="5247"/>
      <c r="AU326" s="1095">
        <f>IF(AS326=0,0,(AT326-AS326)/AS326*100)</f>
        <v>0</v>
      </c>
      <c r="AV326" s="5247"/>
      <c r="AW326" s="5247"/>
      <c r="AX326" s="1095">
        <f>IF(AV326=0,0,(AW326-AV326)/AV326*100)</f>
        <v>0</v>
      </c>
      <c r="AY326" s="5247"/>
      <c r="AZ326" s="5247"/>
      <c r="BA326" s="1095">
        <f>IF(AY326=0,0,(AZ326-AY326)/AY326*100)</f>
        <v>0</v>
      </c>
      <c r="BB326" s="5247"/>
      <c r="BC326" s="5247"/>
      <c r="BD326" s="1095">
        <f>IF(BB326=0,0,(BC326-BB326)/BB326*100)</f>
        <v>0</v>
      </c>
      <c r="BE326" s="5247"/>
      <c r="BF326" s="5247"/>
      <c r="BG326" s="1095">
        <f>IF(BE326=0,0,(BF326-BE326)/BE326*100)</f>
        <v>0</v>
      </c>
      <c r="BH326" s="5247"/>
      <c r="BI326" s="5247"/>
      <c r="BJ326" s="1095">
        <f>IF(BH326=0,0,(BI326-BH326)/BH326*100)</f>
        <v>0</v>
      </c>
      <c r="BK326" s="5247"/>
      <c r="BL326" s="5247"/>
      <c r="BM326" s="1095">
        <f>IF(BK326=0,0,(BL326-BK326)/BK326*100)</f>
        <v>0</v>
      </c>
      <c r="BN326" s="5247"/>
      <c r="BO326" s="5247"/>
      <c r="BP326" s="1095">
        <f>IF(BN326=0,0,(BO326-BN326)/BN326*100)</f>
        <v>0</v>
      </c>
      <c r="BQ326" s="5247"/>
      <c r="BR326" s="5247"/>
      <c r="BS326" s="1095">
        <f>IF(BQ326=0,0,(BR326-BQ326)/BQ326*100)</f>
        <v>0</v>
      </c>
      <c r="BT326" s="5247"/>
      <c r="BU326" s="5247"/>
      <c r="BV326" s="1095">
        <f>IF(BT326=0,0,(BU326-BT326)/BT326*100)</f>
        <v>0</v>
      </c>
      <c r="BW326" s="5247"/>
      <c r="BX326" s="5247"/>
      <c r="BY326" s="1095">
        <f>IF(BW326=0,0,(BX326-BW326)/BW326*100)</f>
        <v>0</v>
      </c>
      <c r="BZ326" s="5247"/>
      <c r="CA326" s="5247"/>
      <c r="CB326" s="1095">
        <f>IF(BZ326=0,0,(CA326-BZ326)/BZ326*100)</f>
        <v>0</v>
      </c>
      <c r="CC326" s="5247"/>
      <c r="CD326" s="5247"/>
      <c r="CE326" s="1095">
        <f>IF(CC326=0,0,(CD326-CC326)/CC326*100)</f>
        <v>0</v>
      </c>
      <c r="CF326" s="5247"/>
      <c r="CG326" s="5247"/>
      <c r="CH326" s="1095">
        <f>IF(CF326=0,0,(CG326-CF326)/CF326*100)</f>
        <v>0</v>
      </c>
      <c r="CI326" s="5247"/>
      <c r="CJ326" s="5247"/>
      <c r="CK326" s="1095">
        <f>IF(CI326=0,0,(CJ326-CI326)/CI326*100)</f>
        <v>0</v>
      </c>
      <c r="CL326" s="5247"/>
      <c r="CM326" s="5247"/>
      <c r="CN326" s="1095">
        <f>IF(CL326=0,0,(CM326-CL326)/CL326*100)</f>
        <v>0</v>
      </c>
      <c r="CO326" s="5247"/>
      <c r="CP326" s="5247"/>
      <c r="CQ326" s="1095">
        <f>IF(CO326=0,0,(CP326-CO326)/CO326*100)</f>
        <v>0</v>
      </c>
      <c r="CR326" s="5247"/>
      <c r="CS326" s="5247"/>
      <c r="CT326" s="1095">
        <f>IF(CR326=0,0,(CS326-CR326)/CR326*100)</f>
        <v>0</v>
      </c>
      <c r="CU326" s="5247"/>
      <c r="CV326" s="5247"/>
      <c r="CW326" s="1095">
        <f>IF(CU326=0,0,(CV326-CU326)/CU326*100)</f>
        <v>0</v>
      </c>
      <c r="CX326" s="5247"/>
      <c r="CY326" s="5247"/>
      <c r="CZ326" s="1095">
        <f>IF(CX326=0,0,(CY326-CX326)/CX326*100)</f>
        <v>0</v>
      </c>
      <c r="DA326" s="5247"/>
      <c r="DB326" s="5247"/>
      <c r="DC326" s="1095">
        <f>IF(DA326=0,0,(DB326-DA326)/DA326*100)</f>
        <v>0</v>
      </c>
      <c r="DD326" s="5247"/>
      <c r="DE326" s="5247"/>
      <c r="DF326" s="1095">
        <f>IF(DD326=0,0,(DE326-DD326)/DD326*100)</f>
        <v>0</v>
      </c>
      <c r="DG326" s="5247"/>
      <c r="DH326" s="5247"/>
      <c r="DI326" s="1095">
        <f>IF(DG326=0,0,(DH326-DG326)/DG326*100)</f>
        <v>0</v>
      </c>
      <c r="DJ326" s="5247"/>
      <c r="DK326" s="5247"/>
      <c r="DL326" s="1095">
        <f>IF(DJ326=0,0,(DK326-DJ326)/DJ326*100)</f>
        <v>0</v>
      </c>
      <c r="DM326" s="5247"/>
      <c r="DN326" s="5247"/>
      <c r="DO326" s="1095">
        <f>IF(DM326=0,0,(DN326-DM326)/DM326*100)</f>
        <v>0</v>
      </c>
      <c r="DP326" s="5247"/>
      <c r="DQ326" s="5247"/>
      <c r="DR326" s="1095">
        <f>IF(DP326=0,0,(DQ326-DP326)/DP326*100)</f>
        <v>0</v>
      </c>
      <c r="DS326" s="5247"/>
      <c r="DT326" s="5247"/>
      <c r="DU326" s="1095">
        <f>IF(DS326=0,0,(DT326-DS326)/DS326*100)</f>
        <v>0</v>
      </c>
      <c r="DV326" s="5247"/>
      <c r="DW326" s="5247"/>
      <c r="DX326" s="1095">
        <f>IF(DV326=0,0,(DW326-DV326)/DV326*100)</f>
        <v>0</v>
      </c>
      <c r="DY326" s="5247"/>
      <c r="DZ326" s="5247"/>
      <c r="EA326" s="1095">
        <f>IF(DY326=0,0,(DZ326-DY326)/DY326*100)</f>
        <v>0</v>
      </c>
      <c r="EB326" s="5247"/>
      <c r="EC326" s="5247"/>
      <c r="ED326" s="1095">
        <f>IF(EB326=0,0,(EC326-EB326)/EB326*100)</f>
        <v>0</v>
      </c>
      <c r="EE326" s="5247"/>
      <c r="EF326" s="5247"/>
      <c r="EG326" s="1095">
        <f>IF(EE326=0,0,(EF326-EE326)/EE326*100)</f>
        <v>0</v>
      </c>
      <c r="EH326" s="5247"/>
      <c r="EI326" s="5247"/>
      <c r="EJ326" s="1095">
        <f>IF(EH326=0,0,(EI326-EH326)/EH326*100)</f>
        <v>0</v>
      </c>
      <c r="EK326" s="5247"/>
      <c r="EL326" s="5247"/>
      <c r="EM326" s="1095">
        <f>IF(EK326=0,0,(EL326-EK326)/EK326*100)</f>
        <v>0</v>
      </c>
      <c r="EN326" s="5247"/>
      <c r="EO326" s="5247"/>
      <c r="EP326" s="1095">
        <f>IF(EN326=0,0,(EO326-EN326)/EN326*100)</f>
        <v>0</v>
      </c>
      <c r="EQ326" s="5247"/>
      <c r="ER326" s="5247"/>
      <c r="ES326" s="1095">
        <f>IF(EQ326=0,0,(ER326-EQ326)/EQ326*100)</f>
        <v>0</v>
      </c>
      <c r="ET326" s="5247"/>
      <c r="EU326" s="5247"/>
      <c r="EV326" s="1095">
        <f>IF(ET326=0,0,(EU326-ET326)/ET326*100)</f>
        <v>0</v>
      </c>
      <c r="EW326" s="5247"/>
      <c r="EX326" s="5247"/>
      <c r="EY326" s="1095">
        <f>IF(EW326=0,0,(EX326-EW326)/EW326*100)</f>
        <v>0</v>
      </c>
      <c r="EZ326" s="5247"/>
      <c r="FA326" s="5247"/>
      <c r="FB326" s="1095">
        <f>IF(EZ326=0,0,(FA326-EZ326)/EZ326*100)</f>
        <v>0</v>
      </c>
      <c r="FC326" s="5247"/>
      <c r="FD326" s="5247"/>
      <c r="FE326" s="1095">
        <f>IF(FC326=0,0,(FD326-FC326)/FC326*100)</f>
        <v>0</v>
      </c>
      <c r="FF326" s="5247"/>
      <c r="FG326" s="5247"/>
      <c r="FH326" s="1095">
        <f>IF(FF326=0,0,(FG326-FF326)/FF326*100)</f>
        <v>0</v>
      </c>
      <c r="FI326" s="5247"/>
      <c r="FJ326" s="5247"/>
      <c r="FK326" s="1095">
        <f>IF(FI326=0,0,(FJ326-FI326)/FI326*100)</f>
        <v>0</v>
      </c>
      <c r="FL326" s="5247"/>
      <c r="FM326" s="5247"/>
      <c r="FN326" s="1095">
        <f>IF(FL326=0,0,(FM326-FL326)/FL326*100)</f>
        <v>0</v>
      </c>
      <c r="FO326" s="5247"/>
      <c r="FP326" s="5247"/>
      <c r="FQ326" s="1095">
        <f>IF(FO326=0,0,(FP326-FO326)/FO326*100)</f>
        <v>0</v>
      </c>
      <c r="FR326" s="5247"/>
      <c r="FS326" s="5247"/>
      <c r="FT326" s="1095">
        <f>IF(FR326=0,0,(FS326-FR326)/FR326*100)</f>
        <v>0</v>
      </c>
      <c r="FU326" s="5247"/>
      <c r="FV326" s="5247"/>
      <c r="FW326" s="1095">
        <f>IF(FU326=0,0,(FV326-FU326)/FU326*100)</f>
        <v>0</v>
      </c>
      <c r="FX326" s="1304"/>
      <c r="FY326" s="1304"/>
      <c r="FZ326" s="1055" t="s">
        <v>2406</v>
      </c>
      <c r="GA326" s="1015" t="s">
        <v>1594</v>
      </c>
      <c r="GB326" s="1015" cm="1" t="str">
        <f t="array" ref="GB326:GB326">GB325</f>
        <v>0</v>
      </c>
      <c r="GC326" s="1305"/>
      <c r="GD326" s="1305"/>
    </row>
    <row s="1834" customFormat="1" customHeight="1" ht="21.75" hidden="1">
      <c r="A327" s="493"/>
      <c r="B327" s="925" cm="1" t="str">
        <f t="array" ref="B327:B327">B326</f>
        <v>false</v>
      </c>
      <c r="C327" s="493"/>
      <c r="D327" s="493"/>
      <c r="E327" s="840">
        <v>22.5</v>
      </c>
      <c r="F327" s="50" cm="1" t="str">
        <f t="array" ref="F327:F327">OFFSET(E327,-1,1)</f>
        <v>4</v>
      </c>
      <c r="G327" s="493"/>
      <c r="H327" s="493" t="s">
        <v>2376</v>
      </c>
      <c r="I327" s="493" cm="1" t="str">
        <f t="array" ref="I327:I327">I326</f>
        <v>0</v>
      </c>
      <c r="J327" s="493"/>
      <c r="K327" s="493"/>
      <c r="L327" s="493"/>
      <c r="M327" s="493"/>
      <c r="N327" s="493"/>
      <c r="O327" s="493"/>
      <c r="P327" s="493"/>
      <c r="Q327" s="493"/>
      <c r="R327" s="493"/>
      <c r="S327" s="493"/>
      <c r="T327" s="465" cm="1" t="str">
        <f t="array" ref="T327:T327">T326</f>
        <v>false</v>
      </c>
      <c r="U327" s="493"/>
      <c r="V327" s="493"/>
      <c r="W327" s="493"/>
      <c r="X327" s="1596"/>
      <c r="Y327" s="1596"/>
      <c r="Z327" s="1545"/>
      <c r="AA327" s="1494"/>
      <c r="AB327" s="904" t="str">
        <f>"ставка платы за содержание системы "&amp;IF(Q281="Водоснабжение","холодного водоснабжения","водоотведения")</f>
        <v>ставка платы за содержание системы водоотведения</v>
      </c>
      <c r="AC327" s="864" t="s">
        <v>2377</v>
      </c>
      <c r="AD327" s="2846"/>
      <c r="AE327" s="2846"/>
      <c r="AF327" s="1093">
        <f>IF(AD327=0,0,(AE327-AD327)/AD327*100)</f>
        <v>0</v>
      </c>
      <c r="AG327" s="2846"/>
      <c r="AH327" s="2846"/>
      <c r="AI327" s="1093">
        <f>IF(AG327=0,0,(AH327-AG327)/AG327*100)</f>
        <v>0</v>
      </c>
      <c r="AJ327" s="2846"/>
      <c r="AK327" s="2846"/>
      <c r="AL327" s="1093">
        <f>IF(AJ327=0,0,(AK327-AJ327)/AJ327*100)</f>
        <v>0</v>
      </c>
      <c r="AM327" s="2846"/>
      <c r="AN327" s="2846"/>
      <c r="AO327" s="1093">
        <f>IF(AM327=0,0,(AN327-AM327)/AM327*100)</f>
        <v>0</v>
      </c>
      <c r="AP327" s="2846"/>
      <c r="AQ327" s="2846"/>
      <c r="AR327" s="1093">
        <f>IF(AP327=0,0,(AQ327-AP327)/AP327*100)</f>
        <v>0</v>
      </c>
      <c r="AS327" s="2846"/>
      <c r="AT327" s="2846"/>
      <c r="AU327" s="1093">
        <f>IF(AS327=0,0,(AT327-AS327)/AS327*100)</f>
        <v>0</v>
      </c>
      <c r="AV327" s="2846"/>
      <c r="AW327" s="2846"/>
      <c r="AX327" s="1093">
        <f>IF(AV327=0,0,(AW327-AV327)/AV327*100)</f>
        <v>0</v>
      </c>
      <c r="AY327" s="2846"/>
      <c r="AZ327" s="2846"/>
      <c r="BA327" s="1093">
        <f>IF(AY327=0,0,(AZ327-AY327)/AY327*100)</f>
        <v>0</v>
      </c>
      <c r="BB327" s="2846"/>
      <c r="BC327" s="2846"/>
      <c r="BD327" s="1093">
        <f>IF(BB327=0,0,(BC327-BB327)/BB327*100)</f>
        <v>0</v>
      </c>
      <c r="BE327" s="2846"/>
      <c r="BF327" s="2846"/>
      <c r="BG327" s="1093">
        <f>IF(BE327=0,0,(BF327-BE327)/BE327*100)</f>
        <v>0</v>
      </c>
      <c r="BH327" s="2846"/>
      <c r="BI327" s="2846"/>
      <c r="BJ327" s="1093">
        <f>IF(BH327=0,0,(BI327-BH327)/BH327*100)</f>
        <v>0</v>
      </c>
      <c r="BK327" s="2846"/>
      <c r="BL327" s="2846"/>
      <c r="BM327" s="1093">
        <f>IF(BK327=0,0,(BL327-BK327)/BK327*100)</f>
        <v>0</v>
      </c>
      <c r="BN327" s="2846"/>
      <c r="BO327" s="2846"/>
      <c r="BP327" s="1093">
        <f>IF(BN327=0,0,(BO327-BN327)/BN327*100)</f>
        <v>0</v>
      </c>
      <c r="BQ327" s="2846"/>
      <c r="BR327" s="2846"/>
      <c r="BS327" s="1093">
        <f>IF(BQ327=0,0,(BR327-BQ327)/BQ327*100)</f>
        <v>0</v>
      </c>
      <c r="BT327" s="2846"/>
      <c r="BU327" s="2846"/>
      <c r="BV327" s="1093">
        <f>IF(BT327=0,0,(BU327-BT327)/BT327*100)</f>
        <v>0</v>
      </c>
      <c r="BW327" s="2846"/>
      <c r="BX327" s="2846"/>
      <c r="BY327" s="1093">
        <f>IF(BW327=0,0,(BX327-BW327)/BW327*100)</f>
        <v>0</v>
      </c>
      <c r="BZ327" s="2846"/>
      <c r="CA327" s="2846"/>
      <c r="CB327" s="1093">
        <f>IF(BZ327=0,0,(CA327-BZ327)/BZ327*100)</f>
        <v>0</v>
      </c>
      <c r="CC327" s="2846"/>
      <c r="CD327" s="2846"/>
      <c r="CE327" s="1093">
        <f>IF(CC327=0,0,(CD327-CC327)/CC327*100)</f>
        <v>0</v>
      </c>
      <c r="CF327" s="2846"/>
      <c r="CG327" s="2846"/>
      <c r="CH327" s="1093">
        <f>IF(CF327=0,0,(CG327-CF327)/CF327*100)</f>
        <v>0</v>
      </c>
      <c r="CI327" s="2846"/>
      <c r="CJ327" s="2846"/>
      <c r="CK327" s="1093">
        <f>IF(CI327=0,0,(CJ327-CI327)/CI327*100)</f>
        <v>0</v>
      </c>
      <c r="CL327" s="2846"/>
      <c r="CM327" s="2846"/>
      <c r="CN327" s="1093">
        <f>IF(CL327=0,0,(CM327-CL327)/CL327*100)</f>
        <v>0</v>
      </c>
      <c r="CO327" s="2846"/>
      <c r="CP327" s="2846"/>
      <c r="CQ327" s="1093">
        <f>IF(CO327=0,0,(CP327-CO327)/CO327*100)</f>
        <v>0</v>
      </c>
      <c r="CR327" s="2846"/>
      <c r="CS327" s="2846"/>
      <c r="CT327" s="1093">
        <f>IF(CR327=0,0,(CS327-CR327)/CR327*100)</f>
        <v>0</v>
      </c>
      <c r="CU327" s="2846"/>
      <c r="CV327" s="2846"/>
      <c r="CW327" s="1093">
        <f>IF(CU327=0,0,(CV327-CU327)/CU327*100)</f>
        <v>0</v>
      </c>
      <c r="CX327" s="2846"/>
      <c r="CY327" s="2846"/>
      <c r="CZ327" s="1093">
        <f>IF(CX327=0,0,(CY327-CX327)/CX327*100)</f>
        <v>0</v>
      </c>
      <c r="DA327" s="2846"/>
      <c r="DB327" s="2846"/>
      <c r="DC327" s="1093">
        <f>IF(DA327=0,0,(DB327-DA327)/DA327*100)</f>
        <v>0</v>
      </c>
      <c r="DD327" s="2846"/>
      <c r="DE327" s="2846"/>
      <c r="DF327" s="1093">
        <f>IF(DD327=0,0,(DE327-DD327)/DD327*100)</f>
        <v>0</v>
      </c>
      <c r="DG327" s="2846"/>
      <c r="DH327" s="2846"/>
      <c r="DI327" s="1093">
        <f>IF(DG327=0,0,(DH327-DG327)/DG327*100)</f>
        <v>0</v>
      </c>
      <c r="DJ327" s="2846"/>
      <c r="DK327" s="2846"/>
      <c r="DL327" s="1093">
        <f>IF(DJ327=0,0,(DK327-DJ327)/DJ327*100)</f>
        <v>0</v>
      </c>
      <c r="DM327" s="2846"/>
      <c r="DN327" s="2846"/>
      <c r="DO327" s="1093">
        <f>IF(DM327=0,0,(DN327-DM327)/DM327*100)</f>
        <v>0</v>
      </c>
      <c r="DP327" s="2846"/>
      <c r="DQ327" s="2846"/>
      <c r="DR327" s="1093">
        <f>IF(DP327=0,0,(DQ327-DP327)/DP327*100)</f>
        <v>0</v>
      </c>
      <c r="DS327" s="2846"/>
      <c r="DT327" s="2846"/>
      <c r="DU327" s="1093">
        <f>IF(DS327=0,0,(DT327-DS327)/DS327*100)</f>
        <v>0</v>
      </c>
      <c r="DV327" s="2846"/>
      <c r="DW327" s="2846"/>
      <c r="DX327" s="1093">
        <f>IF(DV327=0,0,(DW327-DV327)/DV327*100)</f>
        <v>0</v>
      </c>
      <c r="DY327" s="2846"/>
      <c r="DZ327" s="2846"/>
      <c r="EA327" s="1093">
        <f>IF(DY327=0,0,(DZ327-DY327)/DY327*100)</f>
        <v>0</v>
      </c>
      <c r="EB327" s="2846"/>
      <c r="EC327" s="2846"/>
      <c r="ED327" s="1093">
        <f>IF(EB327=0,0,(EC327-EB327)/EB327*100)</f>
        <v>0</v>
      </c>
      <c r="EE327" s="2846"/>
      <c r="EF327" s="2846"/>
      <c r="EG327" s="1093">
        <f>IF(EE327=0,0,(EF327-EE327)/EE327*100)</f>
        <v>0</v>
      </c>
      <c r="EH327" s="2846"/>
      <c r="EI327" s="2846"/>
      <c r="EJ327" s="1093">
        <f>IF(EH327=0,0,(EI327-EH327)/EH327*100)</f>
        <v>0</v>
      </c>
      <c r="EK327" s="2846"/>
      <c r="EL327" s="2846"/>
      <c r="EM327" s="1093">
        <f>IF(EK327=0,0,(EL327-EK327)/EK327*100)</f>
        <v>0</v>
      </c>
      <c r="EN327" s="2846"/>
      <c r="EO327" s="2846"/>
      <c r="EP327" s="1093">
        <f>IF(EN327=0,0,(EO327-EN327)/EN327*100)</f>
        <v>0</v>
      </c>
      <c r="EQ327" s="2846"/>
      <c r="ER327" s="2846"/>
      <c r="ES327" s="1093">
        <f>IF(EQ327=0,0,(ER327-EQ327)/EQ327*100)</f>
        <v>0</v>
      </c>
      <c r="ET327" s="2846"/>
      <c r="EU327" s="2846"/>
      <c r="EV327" s="1093">
        <f>IF(ET327=0,0,(EU327-ET327)/ET327*100)</f>
        <v>0</v>
      </c>
      <c r="EW327" s="2846"/>
      <c r="EX327" s="2846"/>
      <c r="EY327" s="1093">
        <f>IF(EW327=0,0,(EX327-EW327)/EW327*100)</f>
        <v>0</v>
      </c>
      <c r="EZ327" s="2846"/>
      <c r="FA327" s="2846"/>
      <c r="FB327" s="1093">
        <f>IF(EZ327=0,0,(FA327-EZ327)/EZ327*100)</f>
        <v>0</v>
      </c>
      <c r="FC327" s="2846"/>
      <c r="FD327" s="2846"/>
      <c r="FE327" s="1093">
        <f>IF(FC327=0,0,(FD327-FC327)/FC327*100)</f>
        <v>0</v>
      </c>
      <c r="FF327" s="2846"/>
      <c r="FG327" s="2846"/>
      <c r="FH327" s="1093">
        <f>IF(FF327=0,0,(FG327-FF327)/FF327*100)</f>
        <v>0</v>
      </c>
      <c r="FI327" s="2846"/>
      <c r="FJ327" s="2846"/>
      <c r="FK327" s="1093">
        <f>IF(FI327=0,0,(FJ327-FI327)/FI327*100)</f>
        <v>0</v>
      </c>
      <c r="FL327" s="2846"/>
      <c r="FM327" s="2846"/>
      <c r="FN327" s="1093">
        <f>IF(FL327=0,0,(FM327-FL327)/FL327*100)</f>
        <v>0</v>
      </c>
      <c r="FO327" s="2846"/>
      <c r="FP327" s="2846"/>
      <c r="FQ327" s="1093">
        <f>IF(FO327=0,0,(FP327-FO327)/FO327*100)</f>
        <v>0</v>
      </c>
      <c r="FR327" s="2846"/>
      <c r="FS327" s="2846"/>
      <c r="FT327" s="1093">
        <f>IF(FR327=0,0,(FS327-FR327)/FR327*100)</f>
        <v>0</v>
      </c>
      <c r="FU327" s="2846"/>
      <c r="FV327" s="2846"/>
      <c r="FW327" s="1093">
        <f>IF(FU327=0,0,(FV327-FU327)/FU327*100)</f>
        <v>0</v>
      </c>
      <c r="FX327" s="1304"/>
      <c r="FY327" s="1304"/>
      <c r="FZ327" s="1055" t="s">
        <v>2407</v>
      </c>
      <c r="GA327" s="1015" t="s">
        <v>1594</v>
      </c>
      <c r="GB327" s="1015" cm="1" t="str">
        <f t="array" ref="GB327:GB327">GB326</f>
        <v>0</v>
      </c>
      <c r="GC327" s="1305"/>
      <c r="GD327" s="1305"/>
    </row>
    <row s="1834" customFormat="1" customHeight="1" ht="14.25" hidden="1">
      <c r="A328" s="493"/>
      <c r="B328" s="925" cm="1" t="str">
        <f t="array" ref="B328:B328">B327</f>
        <v>false</v>
      </c>
      <c r="C328" s="493"/>
      <c r="D328" s="493"/>
      <c r="E328" s="840">
        <v>15</v>
      </c>
      <c r="F328" s="50" cm="1" t="str">
        <f t="array" ref="F328:F328">OFFSET(E328,-1,1)</f>
        <v>4</v>
      </c>
      <c r="G328" s="493"/>
      <c r="H328" s="493" t="s">
        <v>2379</v>
      </c>
      <c r="I328" s="493" cm="1" t="str">
        <f t="array" ref="I328:I328">I327</f>
        <v>0</v>
      </c>
      <c r="J328" s="493"/>
      <c r="K328" s="493"/>
      <c r="L328" s="493"/>
      <c r="M328" s="493"/>
      <c r="N328" s="493"/>
      <c r="O328" s="493"/>
      <c r="P328" s="493"/>
      <c r="Q328" s="493"/>
      <c r="R328" s="493"/>
      <c r="S328" s="493"/>
      <c r="T328" s="465" cm="1" t="str">
        <f t="array" ref="T328:T328">T327</f>
        <v>false</v>
      </c>
      <c r="U328" s="493"/>
      <c r="V328" s="493"/>
      <c r="W328" s="493"/>
      <c r="X328" s="1596"/>
      <c r="Y328" s="1596"/>
      <c r="Z328" s="1545"/>
      <c r="AA328" s="1494"/>
      <c r="AB328" s="904" t="s">
        <v>2380</v>
      </c>
      <c r="AC328" s="864" t="s">
        <v>2381</v>
      </c>
      <c r="AD328" s="2846"/>
      <c r="AE328" s="2846"/>
      <c r="AF328" s="1093">
        <f>IF(AD328=0,0,(AE328-AD328)/AD328*100)</f>
        <v>0</v>
      </c>
      <c r="AG328" s="2846"/>
      <c r="AH328" s="2846"/>
      <c r="AI328" s="1093">
        <f>IF(AG328=0,0,(AH328-AG328)/AG328*100)</f>
        <v>0</v>
      </c>
      <c r="AJ328" s="2846"/>
      <c r="AK328" s="2846"/>
      <c r="AL328" s="1093">
        <f>IF(AJ328=0,0,(AK328-AJ328)/AJ328*100)</f>
        <v>0</v>
      </c>
      <c r="AM328" s="2846"/>
      <c r="AN328" s="2846"/>
      <c r="AO328" s="1093">
        <f>IF(AM328=0,0,(AN328-AM328)/AM328*100)</f>
        <v>0</v>
      </c>
      <c r="AP328" s="2846"/>
      <c r="AQ328" s="2846"/>
      <c r="AR328" s="1093">
        <f>IF(AP328=0,0,(AQ328-AP328)/AP328*100)</f>
        <v>0</v>
      </c>
      <c r="AS328" s="2846"/>
      <c r="AT328" s="2846"/>
      <c r="AU328" s="1093">
        <f>IF(AS328=0,0,(AT328-AS328)/AS328*100)</f>
        <v>0</v>
      </c>
      <c r="AV328" s="2846"/>
      <c r="AW328" s="2846"/>
      <c r="AX328" s="1093">
        <f>IF(AV328=0,0,(AW328-AV328)/AV328*100)</f>
        <v>0</v>
      </c>
      <c r="AY328" s="2846"/>
      <c r="AZ328" s="2846"/>
      <c r="BA328" s="1093">
        <f>IF(AY328=0,0,(AZ328-AY328)/AY328*100)</f>
        <v>0</v>
      </c>
      <c r="BB328" s="2846"/>
      <c r="BC328" s="2846"/>
      <c r="BD328" s="1093">
        <f>IF(BB328=0,0,(BC328-BB328)/BB328*100)</f>
        <v>0</v>
      </c>
      <c r="BE328" s="2846"/>
      <c r="BF328" s="2846"/>
      <c r="BG328" s="1093">
        <f>IF(BE328=0,0,(BF328-BE328)/BE328*100)</f>
        <v>0</v>
      </c>
      <c r="BH328" s="2846"/>
      <c r="BI328" s="2846"/>
      <c r="BJ328" s="1093">
        <f>IF(BH328=0,0,(BI328-BH328)/BH328*100)</f>
        <v>0</v>
      </c>
      <c r="BK328" s="2846"/>
      <c r="BL328" s="2846"/>
      <c r="BM328" s="1093">
        <f>IF(BK328=0,0,(BL328-BK328)/BK328*100)</f>
        <v>0</v>
      </c>
      <c r="BN328" s="2846"/>
      <c r="BO328" s="2846"/>
      <c r="BP328" s="1093">
        <f>IF(BN328=0,0,(BO328-BN328)/BN328*100)</f>
        <v>0</v>
      </c>
      <c r="BQ328" s="2846"/>
      <c r="BR328" s="2846"/>
      <c r="BS328" s="1093">
        <f>IF(BQ328=0,0,(BR328-BQ328)/BQ328*100)</f>
        <v>0</v>
      </c>
      <c r="BT328" s="2846"/>
      <c r="BU328" s="2846"/>
      <c r="BV328" s="1093">
        <f>IF(BT328=0,0,(BU328-BT328)/BT328*100)</f>
        <v>0</v>
      </c>
      <c r="BW328" s="2846"/>
      <c r="BX328" s="2846"/>
      <c r="BY328" s="1093">
        <f>IF(BW328=0,0,(BX328-BW328)/BW328*100)</f>
        <v>0</v>
      </c>
      <c r="BZ328" s="2846"/>
      <c r="CA328" s="2846"/>
      <c r="CB328" s="1093">
        <f>IF(BZ328=0,0,(CA328-BZ328)/BZ328*100)</f>
        <v>0</v>
      </c>
      <c r="CC328" s="2846"/>
      <c r="CD328" s="2846"/>
      <c r="CE328" s="1093">
        <f>IF(CC328=0,0,(CD328-CC328)/CC328*100)</f>
        <v>0</v>
      </c>
      <c r="CF328" s="2846"/>
      <c r="CG328" s="2846"/>
      <c r="CH328" s="1093">
        <f>IF(CF328=0,0,(CG328-CF328)/CF328*100)</f>
        <v>0</v>
      </c>
      <c r="CI328" s="2846"/>
      <c r="CJ328" s="2846"/>
      <c r="CK328" s="1093">
        <f>IF(CI328=0,0,(CJ328-CI328)/CI328*100)</f>
        <v>0</v>
      </c>
      <c r="CL328" s="2846"/>
      <c r="CM328" s="2846"/>
      <c r="CN328" s="1093">
        <f>IF(CL328=0,0,(CM328-CL328)/CL328*100)</f>
        <v>0</v>
      </c>
      <c r="CO328" s="2846"/>
      <c r="CP328" s="2846"/>
      <c r="CQ328" s="1093">
        <f>IF(CO328=0,0,(CP328-CO328)/CO328*100)</f>
        <v>0</v>
      </c>
      <c r="CR328" s="2846"/>
      <c r="CS328" s="2846"/>
      <c r="CT328" s="1093">
        <f>IF(CR328=0,0,(CS328-CR328)/CR328*100)</f>
        <v>0</v>
      </c>
      <c r="CU328" s="2846"/>
      <c r="CV328" s="2846"/>
      <c r="CW328" s="1093">
        <f>IF(CU328=0,0,(CV328-CU328)/CU328*100)</f>
        <v>0</v>
      </c>
      <c r="CX328" s="2846"/>
      <c r="CY328" s="2846"/>
      <c r="CZ328" s="1093">
        <f>IF(CX328=0,0,(CY328-CX328)/CX328*100)</f>
        <v>0</v>
      </c>
      <c r="DA328" s="2846"/>
      <c r="DB328" s="2846"/>
      <c r="DC328" s="1093">
        <f>IF(DA328=0,0,(DB328-DA328)/DA328*100)</f>
        <v>0</v>
      </c>
      <c r="DD328" s="2846"/>
      <c r="DE328" s="2846"/>
      <c r="DF328" s="1093">
        <f>IF(DD328=0,0,(DE328-DD328)/DD328*100)</f>
        <v>0</v>
      </c>
      <c r="DG328" s="2846"/>
      <c r="DH328" s="2846"/>
      <c r="DI328" s="1093">
        <f>IF(DG328=0,0,(DH328-DG328)/DG328*100)</f>
        <v>0</v>
      </c>
      <c r="DJ328" s="2846"/>
      <c r="DK328" s="2846"/>
      <c r="DL328" s="1093">
        <f>IF(DJ328=0,0,(DK328-DJ328)/DJ328*100)</f>
        <v>0</v>
      </c>
      <c r="DM328" s="2846"/>
      <c r="DN328" s="2846"/>
      <c r="DO328" s="1093">
        <f>IF(DM328=0,0,(DN328-DM328)/DM328*100)</f>
        <v>0</v>
      </c>
      <c r="DP328" s="2846"/>
      <c r="DQ328" s="2846"/>
      <c r="DR328" s="1093">
        <f>IF(DP328=0,0,(DQ328-DP328)/DP328*100)</f>
        <v>0</v>
      </c>
      <c r="DS328" s="2846"/>
      <c r="DT328" s="2846"/>
      <c r="DU328" s="1093">
        <f>IF(DS328=0,0,(DT328-DS328)/DS328*100)</f>
        <v>0</v>
      </c>
      <c r="DV328" s="2846"/>
      <c r="DW328" s="2846"/>
      <c r="DX328" s="1093">
        <f>IF(DV328=0,0,(DW328-DV328)/DV328*100)</f>
        <v>0</v>
      </c>
      <c r="DY328" s="2846"/>
      <c r="DZ328" s="2846"/>
      <c r="EA328" s="1093">
        <f>IF(DY328=0,0,(DZ328-DY328)/DY328*100)</f>
        <v>0</v>
      </c>
      <c r="EB328" s="2846"/>
      <c r="EC328" s="2846"/>
      <c r="ED328" s="1093">
        <f>IF(EB328=0,0,(EC328-EB328)/EB328*100)</f>
        <v>0</v>
      </c>
      <c r="EE328" s="2846"/>
      <c r="EF328" s="2846"/>
      <c r="EG328" s="1093">
        <f>IF(EE328=0,0,(EF328-EE328)/EE328*100)</f>
        <v>0</v>
      </c>
      <c r="EH328" s="2846"/>
      <c r="EI328" s="2846"/>
      <c r="EJ328" s="1093">
        <f>IF(EH328=0,0,(EI328-EH328)/EH328*100)</f>
        <v>0</v>
      </c>
      <c r="EK328" s="2846"/>
      <c r="EL328" s="2846"/>
      <c r="EM328" s="1093">
        <f>IF(EK328=0,0,(EL328-EK328)/EK328*100)</f>
        <v>0</v>
      </c>
      <c r="EN328" s="2846"/>
      <c r="EO328" s="2846"/>
      <c r="EP328" s="1093">
        <f>IF(EN328=0,0,(EO328-EN328)/EN328*100)</f>
        <v>0</v>
      </c>
      <c r="EQ328" s="2846"/>
      <c r="ER328" s="2846"/>
      <c r="ES328" s="1093">
        <f>IF(EQ328=0,0,(ER328-EQ328)/EQ328*100)</f>
        <v>0</v>
      </c>
      <c r="ET328" s="2846"/>
      <c r="EU328" s="2846"/>
      <c r="EV328" s="1093">
        <f>IF(ET328=0,0,(EU328-ET328)/ET328*100)</f>
        <v>0</v>
      </c>
      <c r="EW328" s="2846"/>
      <c r="EX328" s="2846"/>
      <c r="EY328" s="1093">
        <f>IF(EW328=0,0,(EX328-EW328)/EW328*100)</f>
        <v>0</v>
      </c>
      <c r="EZ328" s="2846"/>
      <c r="FA328" s="2846"/>
      <c r="FB328" s="1093">
        <f>IF(EZ328=0,0,(FA328-EZ328)/EZ328*100)</f>
        <v>0</v>
      </c>
      <c r="FC328" s="2846"/>
      <c r="FD328" s="2846"/>
      <c r="FE328" s="1093">
        <f>IF(FC328=0,0,(FD328-FC328)/FC328*100)</f>
        <v>0</v>
      </c>
      <c r="FF328" s="2846"/>
      <c r="FG328" s="2846"/>
      <c r="FH328" s="1093">
        <f>IF(FF328=0,0,(FG328-FF328)/FF328*100)</f>
        <v>0</v>
      </c>
      <c r="FI328" s="2846"/>
      <c r="FJ328" s="2846"/>
      <c r="FK328" s="1093">
        <f>IF(FI328=0,0,(FJ328-FI328)/FI328*100)</f>
        <v>0</v>
      </c>
      <c r="FL328" s="2846"/>
      <c r="FM328" s="2846"/>
      <c r="FN328" s="1093">
        <f>IF(FL328=0,0,(FM328-FL328)/FL328*100)</f>
        <v>0</v>
      </c>
      <c r="FO328" s="2846"/>
      <c r="FP328" s="2846"/>
      <c r="FQ328" s="1093">
        <f>IF(FO328=0,0,(FP328-FO328)/FO328*100)</f>
        <v>0</v>
      </c>
      <c r="FR328" s="2846"/>
      <c r="FS328" s="2846"/>
      <c r="FT328" s="1093">
        <f>IF(FR328=0,0,(FS328-FR328)/FR328*100)</f>
        <v>0</v>
      </c>
      <c r="FU328" s="2846"/>
      <c r="FV328" s="2846"/>
      <c r="FW328" s="1093">
        <f>IF(FU328=0,0,(FV328-FU328)/FU328*100)</f>
        <v>0</v>
      </c>
      <c r="FX328" s="1304"/>
      <c r="FY328" s="1304"/>
      <c r="FZ328" s="1055" t="s">
        <v>2408</v>
      </c>
      <c r="GA328" s="1015" t="s">
        <v>1594</v>
      </c>
      <c r="GB328" s="1015" cm="1" t="str">
        <f t="array" ref="GB328:GB328">GB327</f>
        <v>0</v>
      </c>
      <c r="GC328" s="1305"/>
      <c r="GD328" s="1305"/>
    </row>
    <row customHeight="1" ht="18.525" hidden="1">
      <c r="A329" s="493"/>
      <c r="B329" s="925" cm="1" t="str">
        <f t="array" ref="B329:B329">B328</f>
        <v>false</v>
      </c>
      <c r="C329" s="493"/>
      <c r="D329" s="493"/>
      <c r="E329" s="840">
        <v>19</v>
      </c>
      <c r="F329" s="50" cm="1" t="str">
        <f t="array" ref="F329:F329">OFFSET(E329,-1,1)</f>
        <v>4</v>
      </c>
      <c r="G329" s="493"/>
      <c r="H329" s="493"/>
      <c r="I329" s="493"/>
      <c r="J329" s="493"/>
      <c r="K329" s="493"/>
      <c r="L329" s="493"/>
      <c r="M329" s="493"/>
      <c r="N329" s="493"/>
      <c r="O329" s="493"/>
      <c r="P329" s="493"/>
      <c r="Q329" s="493"/>
      <c r="R329" s="493"/>
      <c r="S329" s="493"/>
      <c r="T329" s="465" cm="1" t="str">
        <f t="array" ref="T329:T329">T328</f>
        <v>false</v>
      </c>
      <c r="U329" s="493"/>
      <c r="V329" s="493"/>
      <c r="W329" s="493"/>
      <c r="X329" s="1596"/>
      <c r="Y329" s="1596"/>
      <c r="Z329" s="1545"/>
      <c r="AA329" s="1494"/>
      <c r="AB329" s="5252"/>
      <c r="AC329" s="865"/>
      <c r="AD329" s="1105"/>
      <c r="AE329" s="1106"/>
      <c r="AF329" s="1106"/>
      <c r="AG329" s="1105"/>
      <c r="AH329" s="1106"/>
      <c r="AI329" s="1106"/>
      <c r="AJ329" s="1105"/>
      <c r="AK329" s="1106"/>
      <c r="AL329" s="1106"/>
      <c r="AM329" s="1105"/>
      <c r="AN329" s="1106"/>
      <c r="AO329" s="1106"/>
      <c r="AP329" s="1105"/>
      <c r="AQ329" s="1106"/>
      <c r="AR329" s="1106"/>
      <c r="AS329" s="1105"/>
      <c r="AT329" s="1106"/>
      <c r="AU329" s="1106"/>
      <c r="AV329" s="1105"/>
      <c r="AW329" s="1106"/>
      <c r="AX329" s="1106"/>
      <c r="AY329" s="1105"/>
      <c r="AZ329" s="1106"/>
      <c r="BA329" s="1106"/>
      <c r="BB329" s="1105"/>
      <c r="BC329" s="1106"/>
      <c r="BD329" s="1106"/>
      <c r="BE329" s="1105"/>
      <c r="BF329" s="1106"/>
      <c r="BG329" s="1106"/>
      <c r="BH329" s="1105"/>
      <c r="BI329" s="1106"/>
      <c r="BJ329" s="1106"/>
      <c r="BK329" s="1105"/>
      <c r="BL329" s="1106"/>
      <c r="BM329" s="1106"/>
      <c r="BN329" s="1105"/>
      <c r="BO329" s="1106"/>
      <c r="BP329" s="1106"/>
      <c r="BQ329" s="1105"/>
      <c r="BR329" s="1106"/>
      <c r="BS329" s="1106"/>
      <c r="BT329" s="1105"/>
      <c r="BU329" s="1106"/>
      <c r="BV329" s="1106"/>
      <c r="BW329" s="1105"/>
      <c r="BX329" s="1106"/>
      <c r="BY329" s="1106"/>
      <c r="BZ329" s="1105"/>
      <c r="CA329" s="1106"/>
      <c r="CB329" s="1106"/>
      <c r="CC329" s="1105"/>
      <c r="CD329" s="1106"/>
      <c r="CE329" s="1106"/>
      <c r="CF329" s="1105"/>
      <c r="CG329" s="1106"/>
      <c r="CH329" s="1106"/>
      <c r="CI329" s="1105"/>
      <c r="CJ329" s="1106"/>
      <c r="CK329" s="1106"/>
      <c r="CL329" s="1105"/>
      <c r="CM329" s="1106"/>
      <c r="CN329" s="1106"/>
      <c r="CO329" s="1105"/>
      <c r="CP329" s="1106"/>
      <c r="CQ329" s="1106"/>
      <c r="CR329" s="1105"/>
      <c r="CS329" s="1106"/>
      <c r="CT329" s="1106"/>
      <c r="CU329" s="1105"/>
      <c r="CV329" s="1106"/>
      <c r="CW329" s="1106"/>
      <c r="CX329" s="1105"/>
      <c r="CY329" s="1106"/>
      <c r="CZ329" s="1106"/>
      <c r="DA329" s="1105"/>
      <c r="DB329" s="1106"/>
      <c r="DC329" s="1106"/>
      <c r="DD329" s="1105"/>
      <c r="DE329" s="1106"/>
      <c r="DF329" s="1106"/>
      <c r="DG329" s="1105"/>
      <c r="DH329" s="1106"/>
      <c r="DI329" s="1106"/>
      <c r="DJ329" s="1105"/>
      <c r="DK329" s="1106"/>
      <c r="DL329" s="1106"/>
      <c r="DM329" s="1105"/>
      <c r="DN329" s="1106"/>
      <c r="DO329" s="1106"/>
      <c r="DP329" s="1105"/>
      <c r="DQ329" s="1106"/>
      <c r="DR329" s="1106"/>
      <c r="DS329" s="1105"/>
      <c r="DT329" s="1106"/>
      <c r="DU329" s="1106"/>
      <c r="DV329" s="1105"/>
      <c r="DW329" s="1106"/>
      <c r="DX329" s="1106"/>
      <c r="DY329" s="1105"/>
      <c r="DZ329" s="1106"/>
      <c r="EA329" s="1106"/>
      <c r="EB329" s="1105"/>
      <c r="EC329" s="1106"/>
      <c r="ED329" s="1106"/>
      <c r="EE329" s="1105"/>
      <c r="EF329" s="1106"/>
      <c r="EG329" s="1106"/>
      <c r="EH329" s="1105"/>
      <c r="EI329" s="1106"/>
      <c r="EJ329" s="1106"/>
      <c r="EK329" s="1105"/>
      <c r="EL329" s="1106"/>
      <c r="EM329" s="1106"/>
      <c r="EN329" s="1105"/>
      <c r="EO329" s="1106"/>
      <c r="EP329" s="1106"/>
      <c r="EQ329" s="1105"/>
      <c r="ER329" s="1106"/>
      <c r="ES329" s="1106"/>
      <c r="ET329" s="1105"/>
      <c r="EU329" s="1106"/>
      <c r="EV329" s="1106"/>
      <c r="EW329" s="1105"/>
      <c r="EX329" s="1106"/>
      <c r="EY329" s="1106"/>
      <c r="EZ329" s="1105"/>
      <c r="FA329" s="1106"/>
      <c r="FB329" s="1106"/>
      <c r="FC329" s="1105"/>
      <c r="FD329" s="1106"/>
      <c r="FE329" s="1106"/>
      <c r="FF329" s="1105"/>
      <c r="FG329" s="1106"/>
      <c r="FH329" s="1106"/>
      <c r="FI329" s="1105"/>
      <c r="FJ329" s="1106"/>
      <c r="FK329" s="1106"/>
      <c r="FL329" s="1105"/>
      <c r="FM329" s="1106"/>
      <c r="FN329" s="1106"/>
      <c r="FO329" s="1105"/>
      <c r="FP329" s="1106"/>
      <c r="FQ329" s="1106"/>
      <c r="FR329" s="1105"/>
      <c r="FS329" s="1106"/>
      <c r="FT329" s="1106"/>
      <c r="FU329" s="1105"/>
      <c r="FV329" s="1106"/>
      <c r="FW329" s="1107"/>
      <c r="GA329" s="1306" t="s">
        <v>227</v>
      </c>
      <c r="GB329" s="1306" cm="1" t="str">
        <f t="array" ref="GB329:GB329">GB328</f>
        <v>0</v>
      </c>
    </row>
    <row customHeight="1" ht="18.525" hidden="1">
      <c r="A330" s="493"/>
      <c r="B330" s="925" cm="1" t="str">
        <f t="array" ref="B330:B330">B329</f>
        <v>false</v>
      </c>
      <c r="C330" s="493"/>
      <c r="D330" s="493"/>
      <c r="E330" s="840">
        <v>19</v>
      </c>
      <c r="F330" s="50" cm="1" t="str">
        <f t="array" ref="F330:F330">OFFSET(E330,-1,1)</f>
        <v>4</v>
      </c>
      <c r="G330" s="493"/>
      <c r="H330" s="493"/>
      <c r="I330" s="493"/>
      <c r="J330" s="493"/>
      <c r="K330" s="493"/>
      <c r="L330" s="493"/>
      <c r="M330" s="493"/>
      <c r="N330" s="493"/>
      <c r="O330" s="493"/>
      <c r="P330" s="493"/>
      <c r="Q330" s="493"/>
      <c r="R330" s="493"/>
      <c r="S330" s="493"/>
      <c r="T330" s="465" cm="1" t="str">
        <f t="array" ref="T330:T330">T329</f>
        <v>false</v>
      </c>
      <c r="U330" s="493"/>
      <c r="V330" s="493"/>
      <c r="W330" s="493"/>
      <c r="X330" s="1596"/>
      <c r="Y330" s="1596"/>
      <c r="Z330" s="1545"/>
      <c r="AA330" s="1494"/>
      <c r="AB330" s="904" t="s">
        <v>2370</v>
      </c>
      <c r="AC330" s="864" t="s">
        <v>2337</v>
      </c>
      <c r="AD330" s="2846"/>
      <c r="AE330" s="2846"/>
      <c r="AF330" s="1093">
        <f>IF(AD330=0,0,(AE330-AD330)/AD330*100)</f>
        <v>0</v>
      </c>
      <c r="AG330" s="2846"/>
      <c r="AH330" s="2846"/>
      <c r="AI330" s="1093">
        <f>IF(AG330=0,0,(AH330-AG330)/AG330*100)</f>
        <v>0</v>
      </c>
      <c r="AJ330" s="2846"/>
      <c r="AK330" s="2846"/>
      <c r="AL330" s="1093">
        <f>IF(AJ330=0,0,(AK330-AJ330)/AJ330*100)</f>
        <v>0</v>
      </c>
      <c r="AM330" s="2846"/>
      <c r="AN330" s="2846"/>
      <c r="AO330" s="1093">
        <f>IF(AM330=0,0,(AN330-AM330)/AM330*100)</f>
        <v>0</v>
      </c>
      <c r="AP330" s="2846"/>
      <c r="AQ330" s="2846"/>
      <c r="AR330" s="1093">
        <f>IF(AP330=0,0,(AQ330-AP330)/AP330*100)</f>
        <v>0</v>
      </c>
      <c r="AS330" s="2846"/>
      <c r="AT330" s="2846"/>
      <c r="AU330" s="1093">
        <f>IF(AS330=0,0,(AT330-AS330)/AS330*100)</f>
        <v>0</v>
      </c>
      <c r="AV330" s="2846"/>
      <c r="AW330" s="2846"/>
      <c r="AX330" s="1093">
        <f>IF(AV330=0,0,(AW330-AV330)/AV330*100)</f>
        <v>0</v>
      </c>
      <c r="AY330" s="2846"/>
      <c r="AZ330" s="2846"/>
      <c r="BA330" s="1093">
        <f>IF(AY330=0,0,(AZ330-AY330)/AY330*100)</f>
        <v>0</v>
      </c>
      <c r="BB330" s="2846"/>
      <c r="BC330" s="2846"/>
      <c r="BD330" s="1093">
        <f>IF(BB330=0,0,(BC330-BB330)/BB330*100)</f>
        <v>0</v>
      </c>
      <c r="BE330" s="2846"/>
      <c r="BF330" s="2846"/>
      <c r="BG330" s="1093">
        <f>IF(BE330=0,0,(BF330-BE330)/BE330*100)</f>
        <v>0</v>
      </c>
      <c r="BH330" s="2846"/>
      <c r="BI330" s="2846"/>
      <c r="BJ330" s="1093">
        <f>IF(BH330=0,0,(BI330-BH330)/BH330*100)</f>
        <v>0</v>
      </c>
      <c r="BK330" s="2846"/>
      <c r="BL330" s="2846"/>
      <c r="BM330" s="1093">
        <f>IF(BK330=0,0,(BL330-BK330)/BK330*100)</f>
        <v>0</v>
      </c>
      <c r="BN330" s="2846"/>
      <c r="BO330" s="2846"/>
      <c r="BP330" s="1093">
        <f>IF(BN330=0,0,(BO330-BN330)/BN330*100)</f>
        <v>0</v>
      </c>
      <c r="BQ330" s="2846"/>
      <c r="BR330" s="2846"/>
      <c r="BS330" s="1093">
        <f>IF(BQ330=0,0,(BR330-BQ330)/BQ330*100)</f>
        <v>0</v>
      </c>
      <c r="BT330" s="2846"/>
      <c r="BU330" s="2846"/>
      <c r="BV330" s="1093">
        <f>IF(BT330=0,0,(BU330-BT330)/BT330*100)</f>
        <v>0</v>
      </c>
      <c r="BW330" s="2846"/>
      <c r="BX330" s="2846"/>
      <c r="BY330" s="1093">
        <f>IF(BW330=0,0,(BX330-BW330)/BW330*100)</f>
        <v>0</v>
      </c>
      <c r="BZ330" s="2846"/>
      <c r="CA330" s="2846"/>
      <c r="CB330" s="1093">
        <f>IF(BZ330=0,0,(CA330-BZ330)/BZ330*100)</f>
        <v>0</v>
      </c>
      <c r="CC330" s="2846"/>
      <c r="CD330" s="2846"/>
      <c r="CE330" s="1093">
        <f>IF(CC330=0,0,(CD330-CC330)/CC330*100)</f>
        <v>0</v>
      </c>
      <c r="CF330" s="2846"/>
      <c r="CG330" s="2846"/>
      <c r="CH330" s="1093">
        <f>IF(CF330=0,0,(CG330-CF330)/CF330*100)</f>
        <v>0</v>
      </c>
      <c r="CI330" s="2846"/>
      <c r="CJ330" s="2846"/>
      <c r="CK330" s="1093">
        <f>IF(CI330=0,0,(CJ330-CI330)/CI330*100)</f>
        <v>0</v>
      </c>
      <c r="CL330" s="2846"/>
      <c r="CM330" s="2846"/>
      <c r="CN330" s="1093">
        <f>IF(CL330=0,0,(CM330-CL330)/CL330*100)</f>
        <v>0</v>
      </c>
      <c r="CO330" s="2846"/>
      <c r="CP330" s="2846"/>
      <c r="CQ330" s="1093">
        <f>IF(CO330=0,0,(CP330-CO330)/CO330*100)</f>
        <v>0</v>
      </c>
      <c r="CR330" s="2846"/>
      <c r="CS330" s="2846"/>
      <c r="CT330" s="1093">
        <f>IF(CR330=0,0,(CS330-CR330)/CR330*100)</f>
        <v>0</v>
      </c>
      <c r="CU330" s="2846"/>
      <c r="CV330" s="2846"/>
      <c r="CW330" s="1093">
        <f>IF(CU330=0,0,(CV330-CU330)/CU330*100)</f>
        <v>0</v>
      </c>
      <c r="CX330" s="2846"/>
      <c r="CY330" s="2846"/>
      <c r="CZ330" s="1093">
        <f>IF(CX330=0,0,(CY330-CX330)/CX330*100)</f>
        <v>0</v>
      </c>
      <c r="DA330" s="2846"/>
      <c r="DB330" s="2846"/>
      <c r="DC330" s="1093">
        <f>IF(DA330=0,0,(DB330-DA330)/DA330*100)</f>
        <v>0</v>
      </c>
      <c r="DD330" s="2846"/>
      <c r="DE330" s="2846"/>
      <c r="DF330" s="1093">
        <f>IF(DD330=0,0,(DE330-DD330)/DD330*100)</f>
        <v>0</v>
      </c>
      <c r="DG330" s="2846"/>
      <c r="DH330" s="2846"/>
      <c r="DI330" s="1093">
        <f>IF(DG330=0,0,(DH330-DG330)/DG330*100)</f>
        <v>0</v>
      </c>
      <c r="DJ330" s="2846"/>
      <c r="DK330" s="2846"/>
      <c r="DL330" s="1093">
        <f>IF(DJ330=0,0,(DK330-DJ330)/DJ330*100)</f>
        <v>0</v>
      </c>
      <c r="DM330" s="2846"/>
      <c r="DN330" s="2846"/>
      <c r="DO330" s="1093">
        <f>IF(DM330=0,0,(DN330-DM330)/DM330*100)</f>
        <v>0</v>
      </c>
      <c r="DP330" s="2846"/>
      <c r="DQ330" s="2846"/>
      <c r="DR330" s="1093">
        <f>IF(DP330=0,0,(DQ330-DP330)/DP330*100)</f>
        <v>0</v>
      </c>
      <c r="DS330" s="2846"/>
      <c r="DT330" s="2846"/>
      <c r="DU330" s="1093">
        <f>IF(DS330=0,0,(DT330-DS330)/DS330*100)</f>
        <v>0</v>
      </c>
      <c r="DV330" s="2846"/>
      <c r="DW330" s="2846"/>
      <c r="DX330" s="1093">
        <f>IF(DV330=0,0,(DW330-DV330)/DV330*100)</f>
        <v>0</v>
      </c>
      <c r="DY330" s="2846"/>
      <c r="DZ330" s="2846"/>
      <c r="EA330" s="1093">
        <f>IF(DY330=0,0,(DZ330-DY330)/DY330*100)</f>
        <v>0</v>
      </c>
      <c r="EB330" s="2846"/>
      <c r="EC330" s="2846"/>
      <c r="ED330" s="1093">
        <f>IF(EB330=0,0,(EC330-EB330)/EB330*100)</f>
        <v>0</v>
      </c>
      <c r="EE330" s="2846"/>
      <c r="EF330" s="2846"/>
      <c r="EG330" s="1093">
        <f>IF(EE330=0,0,(EF330-EE330)/EE330*100)</f>
        <v>0</v>
      </c>
      <c r="EH330" s="2846"/>
      <c r="EI330" s="2846"/>
      <c r="EJ330" s="1093">
        <f>IF(EH330=0,0,(EI330-EH330)/EH330*100)</f>
        <v>0</v>
      </c>
      <c r="EK330" s="2846"/>
      <c r="EL330" s="2846"/>
      <c r="EM330" s="1093">
        <f>IF(EK330=0,0,(EL330-EK330)/EK330*100)</f>
        <v>0</v>
      </c>
      <c r="EN330" s="2846"/>
      <c r="EO330" s="2846"/>
      <c r="EP330" s="1093">
        <f>IF(EN330=0,0,(EO330-EN330)/EN330*100)</f>
        <v>0</v>
      </c>
      <c r="EQ330" s="2846"/>
      <c r="ER330" s="2846"/>
      <c r="ES330" s="1093">
        <f>IF(EQ330=0,0,(ER330-EQ330)/EQ330*100)</f>
        <v>0</v>
      </c>
      <c r="ET330" s="2846"/>
      <c r="EU330" s="2846"/>
      <c r="EV330" s="1093">
        <f>IF(ET330=0,0,(EU330-ET330)/ET330*100)</f>
        <v>0</v>
      </c>
      <c r="EW330" s="2846"/>
      <c r="EX330" s="2846"/>
      <c r="EY330" s="1093">
        <f>IF(EW330=0,0,(EX330-EW330)/EW330*100)</f>
        <v>0</v>
      </c>
      <c r="EZ330" s="2846"/>
      <c r="FA330" s="2846"/>
      <c r="FB330" s="1093">
        <f>IF(EZ330=0,0,(FA330-EZ330)/EZ330*100)</f>
        <v>0</v>
      </c>
      <c r="FC330" s="2846"/>
      <c r="FD330" s="2846"/>
      <c r="FE330" s="1093">
        <f>IF(FC330=0,0,(FD330-FC330)/FC330*100)</f>
        <v>0</v>
      </c>
      <c r="FF330" s="2846"/>
      <c r="FG330" s="2846"/>
      <c r="FH330" s="1093">
        <f>IF(FF330=0,0,(FG330-FF330)/FF330*100)</f>
        <v>0</v>
      </c>
      <c r="FI330" s="2846"/>
      <c r="FJ330" s="2846"/>
      <c r="FK330" s="1093">
        <f>IF(FI330=0,0,(FJ330-FI330)/FI330*100)</f>
        <v>0</v>
      </c>
      <c r="FL330" s="2846"/>
      <c r="FM330" s="2846"/>
      <c r="FN330" s="1093">
        <f>IF(FL330=0,0,(FM330-FL330)/FL330*100)</f>
        <v>0</v>
      </c>
      <c r="FO330" s="2846"/>
      <c r="FP330" s="2846"/>
      <c r="FQ330" s="1093">
        <f>IF(FO330=0,0,(FP330-FO330)/FO330*100)</f>
        <v>0</v>
      </c>
      <c r="FR330" s="2846"/>
      <c r="FS330" s="2846"/>
      <c r="FT330" s="1093">
        <f>IF(FR330=0,0,(FS330-FR330)/FR330*100)</f>
        <v>0</v>
      </c>
      <c r="FU330" s="2846"/>
      <c r="FV330" s="2846"/>
      <c r="FW330" s="1093">
        <f>IF(FU330=0,0,(FV330-FU330)/FU330*100)</f>
        <v>0</v>
      </c>
      <c r="FZ330" s="1306" t="s">
        <v>2409</v>
      </c>
      <c r="GA330" s="1306" t="s">
        <v>1594</v>
      </c>
      <c r="GB330" s="1306" cm="1" t="str">
        <f t="array" ref="GB330:GB330">GB329</f>
        <v>0</v>
      </c>
    </row>
    <row customHeight="1" ht="18.525" hidden="1">
      <c r="A331" s="493"/>
      <c r="B331" s="925" cm="1" t="str">
        <f t="array" ref="B331:B331">B330</f>
        <v>false</v>
      </c>
      <c r="C331" s="493"/>
      <c r="D331" s="493"/>
      <c r="E331" s="840">
        <v>19</v>
      </c>
      <c r="F331" s="50" cm="1" t="str">
        <f t="array" ref="F331:F331">OFFSET(E331,-1,1)</f>
        <v>4</v>
      </c>
      <c r="G331" s="493"/>
      <c r="H331" s="493"/>
      <c r="I331" s="493"/>
      <c r="J331" s="493"/>
      <c r="K331" s="493"/>
      <c r="L331" s="493"/>
      <c r="M331" s="493"/>
      <c r="N331" s="493"/>
      <c r="O331" s="493"/>
      <c r="P331" s="493"/>
      <c r="Q331" s="493"/>
      <c r="R331" s="493"/>
      <c r="S331" s="493"/>
      <c r="T331" s="465" cm="1" t="str">
        <f t="array" ref="T331:T331">T330</f>
        <v>false</v>
      </c>
      <c r="U331" s="493"/>
      <c r="V331" s="493"/>
      <c r="W331" s="493"/>
      <c r="X331" s="1596"/>
      <c r="Y331" s="1596"/>
      <c r="Z331" s="1545"/>
      <c r="AA331" s="1494"/>
      <c r="AB331" s="904" t="str">
        <f>"ставка платы за "&amp;IF(Q287="Водоснабжение","потребление 1 куб.м холодной воды","объем принятых сточных вод")</f>
        <v>ставка платы за объем принятых сточных вод</v>
      </c>
      <c r="AC331" s="864" t="s">
        <v>2337</v>
      </c>
      <c r="AD331" s="2846"/>
      <c r="AE331" s="2846"/>
      <c r="AF331" s="1093">
        <f>IF(AD331=0,0,(AE331-AD331)/AD331*100)</f>
        <v>0</v>
      </c>
      <c r="AG331" s="2846"/>
      <c r="AH331" s="2846"/>
      <c r="AI331" s="1093">
        <f>IF(AG331=0,0,(AH331-AG331)/AG331*100)</f>
        <v>0</v>
      </c>
      <c r="AJ331" s="2846"/>
      <c r="AK331" s="2846"/>
      <c r="AL331" s="1093">
        <f>IF(AJ331=0,0,(AK331-AJ331)/AJ331*100)</f>
        <v>0</v>
      </c>
      <c r="AM331" s="2846"/>
      <c r="AN331" s="2846"/>
      <c r="AO331" s="1093">
        <f>IF(AM331=0,0,(AN331-AM331)/AM331*100)</f>
        <v>0</v>
      </c>
      <c r="AP331" s="2846"/>
      <c r="AQ331" s="2846"/>
      <c r="AR331" s="1093">
        <f>IF(AP331=0,0,(AQ331-AP331)/AP331*100)</f>
        <v>0</v>
      </c>
      <c r="AS331" s="2846"/>
      <c r="AT331" s="2846"/>
      <c r="AU331" s="1093">
        <f>IF(AS331=0,0,(AT331-AS331)/AS331*100)</f>
        <v>0</v>
      </c>
      <c r="AV331" s="2846"/>
      <c r="AW331" s="2846"/>
      <c r="AX331" s="1093">
        <f>IF(AV331=0,0,(AW331-AV331)/AV331*100)</f>
        <v>0</v>
      </c>
      <c r="AY331" s="2846"/>
      <c r="AZ331" s="2846"/>
      <c r="BA331" s="1093">
        <f>IF(AY331=0,0,(AZ331-AY331)/AY331*100)</f>
        <v>0</v>
      </c>
      <c r="BB331" s="2846"/>
      <c r="BC331" s="2846"/>
      <c r="BD331" s="1093">
        <f>IF(BB331=0,0,(BC331-BB331)/BB331*100)</f>
        <v>0</v>
      </c>
      <c r="BE331" s="2846"/>
      <c r="BF331" s="2846"/>
      <c r="BG331" s="1093">
        <f>IF(BE331=0,0,(BF331-BE331)/BE331*100)</f>
        <v>0</v>
      </c>
      <c r="BH331" s="2846"/>
      <c r="BI331" s="2846"/>
      <c r="BJ331" s="1093">
        <f>IF(BH331=0,0,(BI331-BH331)/BH331*100)</f>
        <v>0</v>
      </c>
      <c r="BK331" s="2846"/>
      <c r="BL331" s="2846"/>
      <c r="BM331" s="1093">
        <f>IF(BK331=0,0,(BL331-BK331)/BK331*100)</f>
        <v>0</v>
      </c>
      <c r="BN331" s="2846"/>
      <c r="BO331" s="2846"/>
      <c r="BP331" s="1093">
        <f>IF(BN331=0,0,(BO331-BN331)/BN331*100)</f>
        <v>0</v>
      </c>
      <c r="BQ331" s="2846"/>
      <c r="BR331" s="2846"/>
      <c r="BS331" s="1093">
        <f>IF(BQ331=0,0,(BR331-BQ331)/BQ331*100)</f>
        <v>0</v>
      </c>
      <c r="BT331" s="2846"/>
      <c r="BU331" s="2846"/>
      <c r="BV331" s="1093">
        <f>IF(BT331=0,0,(BU331-BT331)/BT331*100)</f>
        <v>0</v>
      </c>
      <c r="BW331" s="2846"/>
      <c r="BX331" s="2846"/>
      <c r="BY331" s="1093">
        <f>IF(BW331=0,0,(BX331-BW331)/BW331*100)</f>
        <v>0</v>
      </c>
      <c r="BZ331" s="2846"/>
      <c r="CA331" s="2846"/>
      <c r="CB331" s="1093">
        <f>IF(BZ331=0,0,(CA331-BZ331)/BZ331*100)</f>
        <v>0</v>
      </c>
      <c r="CC331" s="2846"/>
      <c r="CD331" s="2846"/>
      <c r="CE331" s="1093">
        <f>IF(CC331=0,0,(CD331-CC331)/CC331*100)</f>
        <v>0</v>
      </c>
      <c r="CF331" s="2846"/>
      <c r="CG331" s="2846"/>
      <c r="CH331" s="1093">
        <f>IF(CF331=0,0,(CG331-CF331)/CF331*100)</f>
        <v>0</v>
      </c>
      <c r="CI331" s="2846"/>
      <c r="CJ331" s="2846"/>
      <c r="CK331" s="1093">
        <f>IF(CI331=0,0,(CJ331-CI331)/CI331*100)</f>
        <v>0</v>
      </c>
      <c r="CL331" s="2846"/>
      <c r="CM331" s="2846"/>
      <c r="CN331" s="1093">
        <f>IF(CL331=0,0,(CM331-CL331)/CL331*100)</f>
        <v>0</v>
      </c>
      <c r="CO331" s="2846"/>
      <c r="CP331" s="2846"/>
      <c r="CQ331" s="1093">
        <f>IF(CO331=0,0,(CP331-CO331)/CO331*100)</f>
        <v>0</v>
      </c>
      <c r="CR331" s="2846"/>
      <c r="CS331" s="2846"/>
      <c r="CT331" s="1093">
        <f>IF(CR331=0,0,(CS331-CR331)/CR331*100)</f>
        <v>0</v>
      </c>
      <c r="CU331" s="2846"/>
      <c r="CV331" s="2846"/>
      <c r="CW331" s="1093">
        <f>IF(CU331=0,0,(CV331-CU331)/CU331*100)</f>
        <v>0</v>
      </c>
      <c r="CX331" s="2846"/>
      <c r="CY331" s="2846"/>
      <c r="CZ331" s="1093">
        <f>IF(CX331=0,0,(CY331-CX331)/CX331*100)</f>
        <v>0</v>
      </c>
      <c r="DA331" s="2846"/>
      <c r="DB331" s="2846"/>
      <c r="DC331" s="1093">
        <f>IF(DA331=0,0,(DB331-DA331)/DA331*100)</f>
        <v>0</v>
      </c>
      <c r="DD331" s="2846"/>
      <c r="DE331" s="2846"/>
      <c r="DF331" s="1093">
        <f>IF(DD331=0,0,(DE331-DD331)/DD331*100)</f>
        <v>0</v>
      </c>
      <c r="DG331" s="2846"/>
      <c r="DH331" s="2846"/>
      <c r="DI331" s="1093">
        <f>IF(DG331=0,0,(DH331-DG331)/DG331*100)</f>
        <v>0</v>
      </c>
      <c r="DJ331" s="2846"/>
      <c r="DK331" s="2846"/>
      <c r="DL331" s="1093">
        <f>IF(DJ331=0,0,(DK331-DJ331)/DJ331*100)</f>
        <v>0</v>
      </c>
      <c r="DM331" s="2846"/>
      <c r="DN331" s="2846"/>
      <c r="DO331" s="1093">
        <f>IF(DM331=0,0,(DN331-DM331)/DM331*100)</f>
        <v>0</v>
      </c>
      <c r="DP331" s="2846"/>
      <c r="DQ331" s="2846"/>
      <c r="DR331" s="1093">
        <f>IF(DP331=0,0,(DQ331-DP331)/DP331*100)</f>
        <v>0</v>
      </c>
      <c r="DS331" s="2846"/>
      <c r="DT331" s="2846"/>
      <c r="DU331" s="1093">
        <f>IF(DS331=0,0,(DT331-DS331)/DS331*100)</f>
        <v>0</v>
      </c>
      <c r="DV331" s="2846"/>
      <c r="DW331" s="2846"/>
      <c r="DX331" s="1093">
        <f>IF(DV331=0,0,(DW331-DV331)/DV331*100)</f>
        <v>0</v>
      </c>
      <c r="DY331" s="2846"/>
      <c r="DZ331" s="2846"/>
      <c r="EA331" s="1093">
        <f>IF(DY331=0,0,(DZ331-DY331)/DY331*100)</f>
        <v>0</v>
      </c>
      <c r="EB331" s="2846"/>
      <c r="EC331" s="2846"/>
      <c r="ED331" s="1093">
        <f>IF(EB331=0,0,(EC331-EB331)/EB331*100)</f>
        <v>0</v>
      </c>
      <c r="EE331" s="2846"/>
      <c r="EF331" s="2846"/>
      <c r="EG331" s="1093">
        <f>IF(EE331=0,0,(EF331-EE331)/EE331*100)</f>
        <v>0</v>
      </c>
      <c r="EH331" s="2846"/>
      <c r="EI331" s="2846"/>
      <c r="EJ331" s="1093">
        <f>IF(EH331=0,0,(EI331-EH331)/EH331*100)</f>
        <v>0</v>
      </c>
      <c r="EK331" s="2846"/>
      <c r="EL331" s="2846"/>
      <c r="EM331" s="1093">
        <f>IF(EK331=0,0,(EL331-EK331)/EK331*100)</f>
        <v>0</v>
      </c>
      <c r="EN331" s="2846"/>
      <c r="EO331" s="2846"/>
      <c r="EP331" s="1093">
        <f>IF(EN331=0,0,(EO331-EN331)/EN331*100)</f>
        <v>0</v>
      </c>
      <c r="EQ331" s="2846"/>
      <c r="ER331" s="2846"/>
      <c r="ES331" s="1093">
        <f>IF(EQ331=0,0,(ER331-EQ331)/EQ331*100)</f>
        <v>0</v>
      </c>
      <c r="ET331" s="2846"/>
      <c r="EU331" s="2846"/>
      <c r="EV331" s="1093">
        <f>IF(ET331=0,0,(EU331-ET331)/ET331*100)</f>
        <v>0</v>
      </c>
      <c r="EW331" s="2846"/>
      <c r="EX331" s="2846"/>
      <c r="EY331" s="1093">
        <f>IF(EW331=0,0,(EX331-EW331)/EW331*100)</f>
        <v>0</v>
      </c>
      <c r="EZ331" s="2846"/>
      <c r="FA331" s="2846"/>
      <c r="FB331" s="1093">
        <f>IF(EZ331=0,0,(FA331-EZ331)/EZ331*100)</f>
        <v>0</v>
      </c>
      <c r="FC331" s="2846"/>
      <c r="FD331" s="2846"/>
      <c r="FE331" s="1093">
        <f>IF(FC331=0,0,(FD331-FC331)/FC331*100)</f>
        <v>0</v>
      </c>
      <c r="FF331" s="2846"/>
      <c r="FG331" s="2846"/>
      <c r="FH331" s="1093">
        <f>IF(FF331=0,0,(FG331-FF331)/FF331*100)</f>
        <v>0</v>
      </c>
      <c r="FI331" s="2846"/>
      <c r="FJ331" s="2846"/>
      <c r="FK331" s="1093">
        <f>IF(FI331=0,0,(FJ331-FI331)/FI331*100)</f>
        <v>0</v>
      </c>
      <c r="FL331" s="2846"/>
      <c r="FM331" s="2846"/>
      <c r="FN331" s="1093">
        <f>IF(FL331=0,0,(FM331-FL331)/FL331*100)</f>
        <v>0</v>
      </c>
      <c r="FO331" s="2846"/>
      <c r="FP331" s="2846"/>
      <c r="FQ331" s="1093">
        <f>IF(FO331=0,0,(FP331-FO331)/FO331*100)</f>
        <v>0</v>
      </c>
      <c r="FR331" s="2846"/>
      <c r="FS331" s="2846"/>
      <c r="FT331" s="1093">
        <f>IF(FR331=0,0,(FS331-FR331)/FR331*100)</f>
        <v>0</v>
      </c>
      <c r="FU331" s="2846"/>
      <c r="FV331" s="2846"/>
      <c r="FW331" s="1093">
        <f>IF(FU331=0,0,(FV331-FU331)/FU331*100)</f>
        <v>0</v>
      </c>
      <c r="FZ331" s="1306" t="s">
        <v>2410</v>
      </c>
      <c r="GA331" s="1306" t="s">
        <v>1594</v>
      </c>
      <c r="GB331" s="1306" cm="1" t="str">
        <f t="array" ref="GB331:GB331">GB330</f>
        <v>0</v>
      </c>
    </row>
    <row customHeight="1" ht="18.525" hidden="1">
      <c r="A332" s="493"/>
      <c r="B332" s="925" cm="1" t="str">
        <f t="array" ref="B332:B332">B331</f>
        <v>false</v>
      </c>
      <c r="C332" s="493"/>
      <c r="D332" s="493"/>
      <c r="E332" s="840">
        <v>19</v>
      </c>
      <c r="F332" s="50" cm="1" t="str">
        <f t="array" ref="F332:F332">OFFSET(E332,-1,1)</f>
        <v>4</v>
      </c>
      <c r="G332" s="493"/>
      <c r="H332" s="493"/>
      <c r="I332" s="493"/>
      <c r="J332" s="493"/>
      <c r="K332" s="493"/>
      <c r="L332" s="493"/>
      <c r="M332" s="493"/>
      <c r="N332" s="493"/>
      <c r="O332" s="493"/>
      <c r="P332" s="493"/>
      <c r="Q332" s="493"/>
      <c r="R332" s="493"/>
      <c r="S332" s="493"/>
      <c r="T332" s="465" cm="1" t="str">
        <f t="array" ref="T332:T332">T331</f>
        <v>false</v>
      </c>
      <c r="U332" s="493"/>
      <c r="V332" s="493"/>
      <c r="W332" s="493"/>
      <c r="X332" s="1596"/>
      <c r="Y332" s="1596"/>
      <c r="Z332" s="1545"/>
      <c r="AA332" s="1494"/>
      <c r="AB332" s="904" t="str">
        <f>"объём "&amp;IF(Q287="Водоснабжение","потребления холодной воды","водоотведения")</f>
        <v>объём водоотведения</v>
      </c>
      <c r="AC332" s="864" t="s">
        <v>1247</v>
      </c>
      <c r="AD332" s="5247"/>
      <c r="AE332" s="5247"/>
      <c r="AF332" s="1095">
        <f>IF(AD332=0,0,(AE332-AD332)/AD332*100)</f>
        <v>0</v>
      </c>
      <c r="AG332" s="5247"/>
      <c r="AH332" s="5247"/>
      <c r="AI332" s="1095">
        <f>IF(AG332=0,0,(AH332-AG332)/AG332*100)</f>
        <v>0</v>
      </c>
      <c r="AJ332" s="5247"/>
      <c r="AK332" s="5247"/>
      <c r="AL332" s="1095">
        <f>IF(AJ332=0,0,(AK332-AJ332)/AJ332*100)</f>
        <v>0</v>
      </c>
      <c r="AM332" s="5247"/>
      <c r="AN332" s="5247"/>
      <c r="AO332" s="1095">
        <f>IF(AM332=0,0,(AN332-AM332)/AM332*100)</f>
        <v>0</v>
      </c>
      <c r="AP332" s="5247"/>
      <c r="AQ332" s="5247"/>
      <c r="AR332" s="1095">
        <f>IF(AP332=0,0,(AQ332-AP332)/AP332*100)</f>
        <v>0</v>
      </c>
      <c r="AS332" s="5247"/>
      <c r="AT332" s="5247"/>
      <c r="AU332" s="1095">
        <f>IF(AS332=0,0,(AT332-AS332)/AS332*100)</f>
        <v>0</v>
      </c>
      <c r="AV332" s="5247"/>
      <c r="AW332" s="5247"/>
      <c r="AX332" s="1095">
        <f>IF(AV332=0,0,(AW332-AV332)/AV332*100)</f>
        <v>0</v>
      </c>
      <c r="AY332" s="5247"/>
      <c r="AZ332" s="5247"/>
      <c r="BA332" s="1095">
        <f>IF(AY332=0,0,(AZ332-AY332)/AY332*100)</f>
        <v>0</v>
      </c>
      <c r="BB332" s="5247"/>
      <c r="BC332" s="5247"/>
      <c r="BD332" s="1095">
        <f>IF(BB332=0,0,(BC332-BB332)/BB332*100)</f>
        <v>0</v>
      </c>
      <c r="BE332" s="5247"/>
      <c r="BF332" s="5247"/>
      <c r="BG332" s="1095">
        <f>IF(BE332=0,0,(BF332-BE332)/BE332*100)</f>
        <v>0</v>
      </c>
      <c r="BH332" s="5247"/>
      <c r="BI332" s="5247"/>
      <c r="BJ332" s="1095">
        <f>IF(BH332=0,0,(BI332-BH332)/BH332*100)</f>
        <v>0</v>
      </c>
      <c r="BK332" s="5247"/>
      <c r="BL332" s="5247"/>
      <c r="BM332" s="1095">
        <f>IF(BK332=0,0,(BL332-BK332)/BK332*100)</f>
        <v>0</v>
      </c>
      <c r="BN332" s="5247"/>
      <c r="BO332" s="5247"/>
      <c r="BP332" s="1095">
        <f>IF(BN332=0,0,(BO332-BN332)/BN332*100)</f>
        <v>0</v>
      </c>
      <c r="BQ332" s="5247"/>
      <c r="BR332" s="5247"/>
      <c r="BS332" s="1095">
        <f>IF(BQ332=0,0,(BR332-BQ332)/BQ332*100)</f>
        <v>0</v>
      </c>
      <c r="BT332" s="5247"/>
      <c r="BU332" s="5247"/>
      <c r="BV332" s="1095">
        <f>IF(BT332=0,0,(BU332-BT332)/BT332*100)</f>
        <v>0</v>
      </c>
      <c r="BW332" s="5247"/>
      <c r="BX332" s="5247"/>
      <c r="BY332" s="1095">
        <f>IF(BW332=0,0,(BX332-BW332)/BW332*100)</f>
        <v>0</v>
      </c>
      <c r="BZ332" s="5247"/>
      <c r="CA332" s="5247"/>
      <c r="CB332" s="1095">
        <f>IF(BZ332=0,0,(CA332-BZ332)/BZ332*100)</f>
        <v>0</v>
      </c>
      <c r="CC332" s="5247"/>
      <c r="CD332" s="5247"/>
      <c r="CE332" s="1095">
        <f>IF(CC332=0,0,(CD332-CC332)/CC332*100)</f>
        <v>0</v>
      </c>
      <c r="CF332" s="5247"/>
      <c r="CG332" s="5247"/>
      <c r="CH332" s="1095">
        <f>IF(CF332=0,0,(CG332-CF332)/CF332*100)</f>
        <v>0</v>
      </c>
      <c r="CI332" s="5247"/>
      <c r="CJ332" s="5247"/>
      <c r="CK332" s="1095">
        <f>IF(CI332=0,0,(CJ332-CI332)/CI332*100)</f>
        <v>0</v>
      </c>
      <c r="CL332" s="5247"/>
      <c r="CM332" s="5247"/>
      <c r="CN332" s="1095">
        <f>IF(CL332=0,0,(CM332-CL332)/CL332*100)</f>
        <v>0</v>
      </c>
      <c r="CO332" s="5247"/>
      <c r="CP332" s="5247"/>
      <c r="CQ332" s="1095">
        <f>IF(CO332=0,0,(CP332-CO332)/CO332*100)</f>
        <v>0</v>
      </c>
      <c r="CR332" s="5247"/>
      <c r="CS332" s="5247"/>
      <c r="CT332" s="1095">
        <f>IF(CR332=0,0,(CS332-CR332)/CR332*100)</f>
        <v>0</v>
      </c>
      <c r="CU332" s="5247"/>
      <c r="CV332" s="5247"/>
      <c r="CW332" s="1095">
        <f>IF(CU332=0,0,(CV332-CU332)/CU332*100)</f>
        <v>0</v>
      </c>
      <c r="CX332" s="5247"/>
      <c r="CY332" s="5247"/>
      <c r="CZ332" s="1095">
        <f>IF(CX332=0,0,(CY332-CX332)/CX332*100)</f>
        <v>0</v>
      </c>
      <c r="DA332" s="5247"/>
      <c r="DB332" s="5247"/>
      <c r="DC332" s="1095">
        <f>IF(DA332=0,0,(DB332-DA332)/DA332*100)</f>
        <v>0</v>
      </c>
      <c r="DD332" s="5247"/>
      <c r="DE332" s="5247"/>
      <c r="DF332" s="1095">
        <f>IF(DD332=0,0,(DE332-DD332)/DD332*100)</f>
        <v>0</v>
      </c>
      <c r="DG332" s="5247"/>
      <c r="DH332" s="5247"/>
      <c r="DI332" s="1095">
        <f>IF(DG332=0,0,(DH332-DG332)/DG332*100)</f>
        <v>0</v>
      </c>
      <c r="DJ332" s="5247"/>
      <c r="DK332" s="5247"/>
      <c r="DL332" s="1095">
        <f>IF(DJ332=0,0,(DK332-DJ332)/DJ332*100)</f>
        <v>0</v>
      </c>
      <c r="DM332" s="5247"/>
      <c r="DN332" s="5247"/>
      <c r="DO332" s="1095">
        <f>IF(DM332=0,0,(DN332-DM332)/DM332*100)</f>
        <v>0</v>
      </c>
      <c r="DP332" s="5247"/>
      <c r="DQ332" s="5247"/>
      <c r="DR332" s="1095">
        <f>IF(DP332=0,0,(DQ332-DP332)/DP332*100)</f>
        <v>0</v>
      </c>
      <c r="DS332" s="5247"/>
      <c r="DT332" s="5247"/>
      <c r="DU332" s="1095">
        <f>IF(DS332=0,0,(DT332-DS332)/DS332*100)</f>
        <v>0</v>
      </c>
      <c r="DV332" s="5247"/>
      <c r="DW332" s="5247"/>
      <c r="DX332" s="1095">
        <f>IF(DV332=0,0,(DW332-DV332)/DV332*100)</f>
        <v>0</v>
      </c>
      <c r="DY332" s="5247"/>
      <c r="DZ332" s="5247"/>
      <c r="EA332" s="1095">
        <f>IF(DY332=0,0,(DZ332-DY332)/DY332*100)</f>
        <v>0</v>
      </c>
      <c r="EB332" s="5247"/>
      <c r="EC332" s="5247"/>
      <c r="ED332" s="1095">
        <f>IF(EB332=0,0,(EC332-EB332)/EB332*100)</f>
        <v>0</v>
      </c>
      <c r="EE332" s="5247"/>
      <c r="EF332" s="5247"/>
      <c r="EG332" s="1095">
        <f>IF(EE332=0,0,(EF332-EE332)/EE332*100)</f>
        <v>0</v>
      </c>
      <c r="EH332" s="5247"/>
      <c r="EI332" s="5247"/>
      <c r="EJ332" s="1095">
        <f>IF(EH332=0,0,(EI332-EH332)/EH332*100)</f>
        <v>0</v>
      </c>
      <c r="EK332" s="5247"/>
      <c r="EL332" s="5247"/>
      <c r="EM332" s="1095">
        <f>IF(EK332=0,0,(EL332-EK332)/EK332*100)</f>
        <v>0</v>
      </c>
      <c r="EN332" s="5247"/>
      <c r="EO332" s="5247"/>
      <c r="EP332" s="1095">
        <f>IF(EN332=0,0,(EO332-EN332)/EN332*100)</f>
        <v>0</v>
      </c>
      <c r="EQ332" s="5247"/>
      <c r="ER332" s="5247"/>
      <c r="ES332" s="1095">
        <f>IF(EQ332=0,0,(ER332-EQ332)/EQ332*100)</f>
        <v>0</v>
      </c>
      <c r="ET332" s="5247"/>
      <c r="EU332" s="5247"/>
      <c r="EV332" s="1095">
        <f>IF(ET332=0,0,(EU332-ET332)/ET332*100)</f>
        <v>0</v>
      </c>
      <c r="EW332" s="5247"/>
      <c r="EX332" s="5247"/>
      <c r="EY332" s="1095">
        <f>IF(EW332=0,0,(EX332-EW332)/EW332*100)</f>
        <v>0</v>
      </c>
      <c r="EZ332" s="5247"/>
      <c r="FA332" s="5247"/>
      <c r="FB332" s="1095">
        <f>IF(EZ332=0,0,(FA332-EZ332)/EZ332*100)</f>
        <v>0</v>
      </c>
      <c r="FC332" s="5247"/>
      <c r="FD332" s="5247"/>
      <c r="FE332" s="1095">
        <f>IF(FC332=0,0,(FD332-FC332)/FC332*100)</f>
        <v>0</v>
      </c>
      <c r="FF332" s="5247"/>
      <c r="FG332" s="5247"/>
      <c r="FH332" s="1095">
        <f>IF(FF332=0,0,(FG332-FF332)/FF332*100)</f>
        <v>0</v>
      </c>
      <c r="FI332" s="5247"/>
      <c r="FJ332" s="5247"/>
      <c r="FK332" s="1095">
        <f>IF(FI332=0,0,(FJ332-FI332)/FI332*100)</f>
        <v>0</v>
      </c>
      <c r="FL332" s="5247"/>
      <c r="FM332" s="5247"/>
      <c r="FN332" s="1095">
        <f>IF(FL332=0,0,(FM332-FL332)/FL332*100)</f>
        <v>0</v>
      </c>
      <c r="FO332" s="5247"/>
      <c r="FP332" s="5247"/>
      <c r="FQ332" s="1095">
        <f>IF(FO332=0,0,(FP332-FO332)/FO332*100)</f>
        <v>0</v>
      </c>
      <c r="FR332" s="5247"/>
      <c r="FS332" s="5247"/>
      <c r="FT332" s="1095">
        <f>IF(FR332=0,0,(FS332-FR332)/FR332*100)</f>
        <v>0</v>
      </c>
      <c r="FU332" s="5247"/>
      <c r="FV332" s="5247"/>
      <c r="FW332" s="1095">
        <f>IF(FU332=0,0,(FV332-FU332)/FU332*100)</f>
        <v>0</v>
      </c>
      <c r="FZ332" s="1306" t="s">
        <v>2411</v>
      </c>
      <c r="GA332" s="1306" t="s">
        <v>1594</v>
      </c>
      <c r="GB332" s="1306" cm="1" t="str">
        <f t="array" ref="GB332:GB332">GB331</f>
        <v>0</v>
      </c>
    </row>
    <row customHeight="1" ht="23.25" hidden="1">
      <c r="A333" s="493"/>
      <c r="B333" s="925" cm="1" t="str">
        <f t="array" ref="B333:B333">B332</f>
        <v>false</v>
      </c>
      <c r="C333" s="493"/>
      <c r="D333" s="493"/>
      <c r="E333" s="840">
        <v>19</v>
      </c>
      <c r="F333" s="50" cm="1" t="str">
        <f t="array" ref="F333:F333">OFFSET(E333,-1,1)</f>
        <v>4</v>
      </c>
      <c r="G333" s="493"/>
      <c r="H333" s="493"/>
      <c r="I333" s="493"/>
      <c r="J333" s="493"/>
      <c r="K333" s="493"/>
      <c r="L333" s="493"/>
      <c r="M333" s="493"/>
      <c r="N333" s="493"/>
      <c r="O333" s="493"/>
      <c r="P333" s="493"/>
      <c r="Q333" s="493"/>
      <c r="R333" s="493"/>
      <c r="S333" s="493"/>
      <c r="T333" s="465" cm="1" t="str">
        <f t="array" ref="T333:T333">T332</f>
        <v>false</v>
      </c>
      <c r="U333" s="493"/>
      <c r="V333" s="493"/>
      <c r="W333" s="493"/>
      <c r="X333" s="1596"/>
      <c r="Y333" s="1596"/>
      <c r="Z333" s="1545"/>
      <c r="AA333" s="1494"/>
      <c r="AB333" s="904" t="str">
        <f>"ставка платы за содержание системы "&amp;IF(Q287="Водоснабжение","холодного водоснабжения","водоотведения")</f>
        <v>ставка платы за содержание системы водоотведения</v>
      </c>
      <c r="AC333" s="864" t="s">
        <v>2377</v>
      </c>
      <c r="AD333" s="2846"/>
      <c r="AE333" s="2846"/>
      <c r="AF333" s="1093">
        <f>IF(AD333=0,0,(AE333-AD333)/AD333*100)</f>
        <v>0</v>
      </c>
      <c r="AG333" s="2846"/>
      <c r="AH333" s="2846"/>
      <c r="AI333" s="1093">
        <f>IF(AG333=0,0,(AH333-AG333)/AG333*100)</f>
        <v>0</v>
      </c>
      <c r="AJ333" s="2846"/>
      <c r="AK333" s="2846"/>
      <c r="AL333" s="1093">
        <f>IF(AJ333=0,0,(AK333-AJ333)/AJ333*100)</f>
        <v>0</v>
      </c>
      <c r="AM333" s="2846"/>
      <c r="AN333" s="2846"/>
      <c r="AO333" s="1093">
        <f>IF(AM333=0,0,(AN333-AM333)/AM333*100)</f>
        <v>0</v>
      </c>
      <c r="AP333" s="2846"/>
      <c r="AQ333" s="2846"/>
      <c r="AR333" s="1093">
        <f>IF(AP333=0,0,(AQ333-AP333)/AP333*100)</f>
        <v>0</v>
      </c>
      <c r="AS333" s="2846"/>
      <c r="AT333" s="2846"/>
      <c r="AU333" s="1093">
        <f>IF(AS333=0,0,(AT333-AS333)/AS333*100)</f>
        <v>0</v>
      </c>
      <c r="AV333" s="2846"/>
      <c r="AW333" s="2846"/>
      <c r="AX333" s="1093">
        <f>IF(AV333=0,0,(AW333-AV333)/AV333*100)</f>
        <v>0</v>
      </c>
      <c r="AY333" s="2846"/>
      <c r="AZ333" s="2846"/>
      <c r="BA333" s="1093">
        <f>IF(AY333=0,0,(AZ333-AY333)/AY333*100)</f>
        <v>0</v>
      </c>
      <c r="BB333" s="2846"/>
      <c r="BC333" s="2846"/>
      <c r="BD333" s="1093">
        <f>IF(BB333=0,0,(BC333-BB333)/BB333*100)</f>
        <v>0</v>
      </c>
      <c r="BE333" s="2846"/>
      <c r="BF333" s="2846"/>
      <c r="BG333" s="1093">
        <f>IF(BE333=0,0,(BF333-BE333)/BE333*100)</f>
        <v>0</v>
      </c>
      <c r="BH333" s="2846"/>
      <c r="BI333" s="2846"/>
      <c r="BJ333" s="1093">
        <f>IF(BH333=0,0,(BI333-BH333)/BH333*100)</f>
        <v>0</v>
      </c>
      <c r="BK333" s="2846"/>
      <c r="BL333" s="2846"/>
      <c r="BM333" s="1093">
        <f>IF(BK333=0,0,(BL333-BK333)/BK333*100)</f>
        <v>0</v>
      </c>
      <c r="BN333" s="2846"/>
      <c r="BO333" s="2846"/>
      <c r="BP333" s="1093">
        <f>IF(BN333=0,0,(BO333-BN333)/BN333*100)</f>
        <v>0</v>
      </c>
      <c r="BQ333" s="2846"/>
      <c r="BR333" s="2846"/>
      <c r="BS333" s="1093">
        <f>IF(BQ333=0,0,(BR333-BQ333)/BQ333*100)</f>
        <v>0</v>
      </c>
      <c r="BT333" s="2846"/>
      <c r="BU333" s="2846"/>
      <c r="BV333" s="1093">
        <f>IF(BT333=0,0,(BU333-BT333)/BT333*100)</f>
        <v>0</v>
      </c>
      <c r="BW333" s="2846"/>
      <c r="BX333" s="2846"/>
      <c r="BY333" s="1093">
        <f>IF(BW333=0,0,(BX333-BW333)/BW333*100)</f>
        <v>0</v>
      </c>
      <c r="BZ333" s="2846"/>
      <c r="CA333" s="2846"/>
      <c r="CB333" s="1093">
        <f>IF(BZ333=0,0,(CA333-BZ333)/BZ333*100)</f>
        <v>0</v>
      </c>
      <c r="CC333" s="2846"/>
      <c r="CD333" s="2846"/>
      <c r="CE333" s="1093">
        <f>IF(CC333=0,0,(CD333-CC333)/CC333*100)</f>
        <v>0</v>
      </c>
      <c r="CF333" s="2846"/>
      <c r="CG333" s="2846"/>
      <c r="CH333" s="1093">
        <f>IF(CF333=0,0,(CG333-CF333)/CF333*100)</f>
        <v>0</v>
      </c>
      <c r="CI333" s="2846"/>
      <c r="CJ333" s="2846"/>
      <c r="CK333" s="1093">
        <f>IF(CI333=0,0,(CJ333-CI333)/CI333*100)</f>
        <v>0</v>
      </c>
      <c r="CL333" s="2846"/>
      <c r="CM333" s="2846"/>
      <c r="CN333" s="1093">
        <f>IF(CL333=0,0,(CM333-CL333)/CL333*100)</f>
        <v>0</v>
      </c>
      <c r="CO333" s="2846"/>
      <c r="CP333" s="2846"/>
      <c r="CQ333" s="1093">
        <f>IF(CO333=0,0,(CP333-CO333)/CO333*100)</f>
        <v>0</v>
      </c>
      <c r="CR333" s="2846"/>
      <c r="CS333" s="2846"/>
      <c r="CT333" s="1093">
        <f>IF(CR333=0,0,(CS333-CR333)/CR333*100)</f>
        <v>0</v>
      </c>
      <c r="CU333" s="2846"/>
      <c r="CV333" s="2846"/>
      <c r="CW333" s="1093">
        <f>IF(CU333=0,0,(CV333-CU333)/CU333*100)</f>
        <v>0</v>
      </c>
      <c r="CX333" s="2846"/>
      <c r="CY333" s="2846"/>
      <c r="CZ333" s="1093">
        <f>IF(CX333=0,0,(CY333-CX333)/CX333*100)</f>
        <v>0</v>
      </c>
      <c r="DA333" s="2846"/>
      <c r="DB333" s="2846"/>
      <c r="DC333" s="1093">
        <f>IF(DA333=0,0,(DB333-DA333)/DA333*100)</f>
        <v>0</v>
      </c>
      <c r="DD333" s="2846"/>
      <c r="DE333" s="2846"/>
      <c r="DF333" s="1093">
        <f>IF(DD333=0,0,(DE333-DD333)/DD333*100)</f>
        <v>0</v>
      </c>
      <c r="DG333" s="2846"/>
      <c r="DH333" s="2846"/>
      <c r="DI333" s="1093">
        <f>IF(DG333=0,0,(DH333-DG333)/DG333*100)</f>
        <v>0</v>
      </c>
      <c r="DJ333" s="2846"/>
      <c r="DK333" s="2846"/>
      <c r="DL333" s="1093">
        <f>IF(DJ333=0,0,(DK333-DJ333)/DJ333*100)</f>
        <v>0</v>
      </c>
      <c r="DM333" s="2846"/>
      <c r="DN333" s="2846"/>
      <c r="DO333" s="1093">
        <f>IF(DM333=0,0,(DN333-DM333)/DM333*100)</f>
        <v>0</v>
      </c>
      <c r="DP333" s="2846"/>
      <c r="DQ333" s="2846"/>
      <c r="DR333" s="1093">
        <f>IF(DP333=0,0,(DQ333-DP333)/DP333*100)</f>
        <v>0</v>
      </c>
      <c r="DS333" s="2846"/>
      <c r="DT333" s="2846"/>
      <c r="DU333" s="1093">
        <f>IF(DS333=0,0,(DT333-DS333)/DS333*100)</f>
        <v>0</v>
      </c>
      <c r="DV333" s="2846"/>
      <c r="DW333" s="2846"/>
      <c r="DX333" s="1093">
        <f>IF(DV333=0,0,(DW333-DV333)/DV333*100)</f>
        <v>0</v>
      </c>
      <c r="DY333" s="2846"/>
      <c r="DZ333" s="2846"/>
      <c r="EA333" s="1093">
        <f>IF(DY333=0,0,(DZ333-DY333)/DY333*100)</f>
        <v>0</v>
      </c>
      <c r="EB333" s="2846"/>
      <c r="EC333" s="2846"/>
      <c r="ED333" s="1093">
        <f>IF(EB333=0,0,(EC333-EB333)/EB333*100)</f>
        <v>0</v>
      </c>
      <c r="EE333" s="2846"/>
      <c r="EF333" s="2846"/>
      <c r="EG333" s="1093">
        <f>IF(EE333=0,0,(EF333-EE333)/EE333*100)</f>
        <v>0</v>
      </c>
      <c r="EH333" s="2846"/>
      <c r="EI333" s="2846"/>
      <c r="EJ333" s="1093">
        <f>IF(EH333=0,0,(EI333-EH333)/EH333*100)</f>
        <v>0</v>
      </c>
      <c r="EK333" s="2846"/>
      <c r="EL333" s="2846"/>
      <c r="EM333" s="1093">
        <f>IF(EK333=0,0,(EL333-EK333)/EK333*100)</f>
        <v>0</v>
      </c>
      <c r="EN333" s="2846"/>
      <c r="EO333" s="2846"/>
      <c r="EP333" s="1093">
        <f>IF(EN333=0,0,(EO333-EN333)/EN333*100)</f>
        <v>0</v>
      </c>
      <c r="EQ333" s="2846"/>
      <c r="ER333" s="2846"/>
      <c r="ES333" s="1093">
        <f>IF(EQ333=0,0,(ER333-EQ333)/EQ333*100)</f>
        <v>0</v>
      </c>
      <c r="ET333" s="2846"/>
      <c r="EU333" s="2846"/>
      <c r="EV333" s="1093">
        <f>IF(ET333=0,0,(EU333-ET333)/ET333*100)</f>
        <v>0</v>
      </c>
      <c r="EW333" s="2846"/>
      <c r="EX333" s="2846"/>
      <c r="EY333" s="1093">
        <f>IF(EW333=0,0,(EX333-EW333)/EW333*100)</f>
        <v>0</v>
      </c>
      <c r="EZ333" s="2846"/>
      <c r="FA333" s="2846"/>
      <c r="FB333" s="1093">
        <f>IF(EZ333=0,0,(FA333-EZ333)/EZ333*100)</f>
        <v>0</v>
      </c>
      <c r="FC333" s="2846"/>
      <c r="FD333" s="2846"/>
      <c r="FE333" s="1093">
        <f>IF(FC333=0,0,(FD333-FC333)/FC333*100)</f>
        <v>0</v>
      </c>
      <c r="FF333" s="2846"/>
      <c r="FG333" s="2846"/>
      <c r="FH333" s="1093">
        <f>IF(FF333=0,0,(FG333-FF333)/FF333*100)</f>
        <v>0</v>
      </c>
      <c r="FI333" s="2846"/>
      <c r="FJ333" s="2846"/>
      <c r="FK333" s="1093">
        <f>IF(FI333=0,0,(FJ333-FI333)/FI333*100)</f>
        <v>0</v>
      </c>
      <c r="FL333" s="2846"/>
      <c r="FM333" s="2846"/>
      <c r="FN333" s="1093">
        <f>IF(FL333=0,0,(FM333-FL333)/FL333*100)</f>
        <v>0</v>
      </c>
      <c r="FO333" s="2846"/>
      <c r="FP333" s="2846"/>
      <c r="FQ333" s="1093">
        <f>IF(FO333=0,0,(FP333-FO333)/FO333*100)</f>
        <v>0</v>
      </c>
      <c r="FR333" s="2846"/>
      <c r="FS333" s="2846"/>
      <c r="FT333" s="1093">
        <f>IF(FR333=0,0,(FS333-FR333)/FR333*100)</f>
        <v>0</v>
      </c>
      <c r="FU333" s="2846"/>
      <c r="FV333" s="2846"/>
      <c r="FW333" s="1093">
        <f>IF(FU333=0,0,(FV333-FU333)/FU333*100)</f>
        <v>0</v>
      </c>
      <c r="FZ333" s="1306" t="s">
        <v>2412</v>
      </c>
      <c r="GA333" s="1306" t="s">
        <v>1594</v>
      </c>
      <c r="GB333" s="1306" cm="1" t="str">
        <f t="array" ref="GB333:GB333">GB332</f>
        <v>0</v>
      </c>
    </row>
    <row customHeight="1" ht="18.525" hidden="1">
      <c r="A334" s="493"/>
      <c r="B334" s="925" cm="1" t="str">
        <f t="array" ref="B334:B334">B333</f>
        <v>false</v>
      </c>
      <c r="C334" s="493"/>
      <c r="D334" s="493"/>
      <c r="E334" s="840">
        <v>19</v>
      </c>
      <c r="F334" s="50" cm="1" t="str">
        <f t="array" ref="F334:F334">OFFSET(E334,-1,1)</f>
        <v>4</v>
      </c>
      <c r="G334" s="493"/>
      <c r="H334" s="493"/>
      <c r="I334" s="493"/>
      <c r="J334" s="493"/>
      <c r="K334" s="493"/>
      <c r="L334" s="493"/>
      <c r="M334" s="493"/>
      <c r="N334" s="493"/>
      <c r="O334" s="493"/>
      <c r="P334" s="493"/>
      <c r="Q334" s="493"/>
      <c r="R334" s="493"/>
      <c r="S334" s="493"/>
      <c r="T334" s="465" cm="1" t="str">
        <f t="array" ref="T334:T334">T333</f>
        <v>false</v>
      </c>
      <c r="U334" s="493"/>
      <c r="V334" s="493"/>
      <c r="W334" s="493"/>
      <c r="X334" s="1596"/>
      <c r="Y334" s="1596"/>
      <c r="Z334" s="1545"/>
      <c r="AA334" s="1494"/>
      <c r="AB334" s="904" t="s">
        <v>2380</v>
      </c>
      <c r="AC334" s="864" t="s">
        <v>2381</v>
      </c>
      <c r="AD334" s="2846"/>
      <c r="AE334" s="2846"/>
      <c r="AF334" s="1093">
        <f>IF(AD334=0,0,(AE334-AD334)/AD334*100)</f>
        <v>0</v>
      </c>
      <c r="AG334" s="2846"/>
      <c r="AH334" s="2846"/>
      <c r="AI334" s="1093">
        <f>IF(AG334=0,0,(AH334-AG334)/AG334*100)</f>
        <v>0</v>
      </c>
      <c r="AJ334" s="2846"/>
      <c r="AK334" s="2846"/>
      <c r="AL334" s="1093">
        <f>IF(AJ334=0,0,(AK334-AJ334)/AJ334*100)</f>
        <v>0</v>
      </c>
      <c r="AM334" s="2846"/>
      <c r="AN334" s="2846"/>
      <c r="AO334" s="1093">
        <f>IF(AM334=0,0,(AN334-AM334)/AM334*100)</f>
        <v>0</v>
      </c>
      <c r="AP334" s="2846"/>
      <c r="AQ334" s="2846"/>
      <c r="AR334" s="1093">
        <f>IF(AP334=0,0,(AQ334-AP334)/AP334*100)</f>
        <v>0</v>
      </c>
      <c r="AS334" s="2846"/>
      <c r="AT334" s="2846"/>
      <c r="AU334" s="1093">
        <f>IF(AS334=0,0,(AT334-AS334)/AS334*100)</f>
        <v>0</v>
      </c>
      <c r="AV334" s="2846"/>
      <c r="AW334" s="2846"/>
      <c r="AX334" s="1093">
        <f>IF(AV334=0,0,(AW334-AV334)/AV334*100)</f>
        <v>0</v>
      </c>
      <c r="AY334" s="2846"/>
      <c r="AZ334" s="2846"/>
      <c r="BA334" s="1093">
        <f>IF(AY334=0,0,(AZ334-AY334)/AY334*100)</f>
        <v>0</v>
      </c>
      <c r="BB334" s="2846"/>
      <c r="BC334" s="2846"/>
      <c r="BD334" s="1093">
        <f>IF(BB334=0,0,(BC334-BB334)/BB334*100)</f>
        <v>0</v>
      </c>
      <c r="BE334" s="2846"/>
      <c r="BF334" s="2846"/>
      <c r="BG334" s="1093">
        <f>IF(BE334=0,0,(BF334-BE334)/BE334*100)</f>
        <v>0</v>
      </c>
      <c r="BH334" s="2846"/>
      <c r="BI334" s="2846"/>
      <c r="BJ334" s="1093">
        <f>IF(BH334=0,0,(BI334-BH334)/BH334*100)</f>
        <v>0</v>
      </c>
      <c r="BK334" s="2846"/>
      <c r="BL334" s="2846"/>
      <c r="BM334" s="1093">
        <f>IF(BK334=0,0,(BL334-BK334)/BK334*100)</f>
        <v>0</v>
      </c>
      <c r="BN334" s="2846"/>
      <c r="BO334" s="2846"/>
      <c r="BP334" s="1093">
        <f>IF(BN334=0,0,(BO334-BN334)/BN334*100)</f>
        <v>0</v>
      </c>
      <c r="BQ334" s="2846"/>
      <c r="BR334" s="2846"/>
      <c r="BS334" s="1093">
        <f>IF(BQ334=0,0,(BR334-BQ334)/BQ334*100)</f>
        <v>0</v>
      </c>
      <c r="BT334" s="2846"/>
      <c r="BU334" s="2846"/>
      <c r="BV334" s="1093">
        <f>IF(BT334=0,0,(BU334-BT334)/BT334*100)</f>
        <v>0</v>
      </c>
      <c r="BW334" s="2846"/>
      <c r="BX334" s="2846"/>
      <c r="BY334" s="1093">
        <f>IF(BW334=0,0,(BX334-BW334)/BW334*100)</f>
        <v>0</v>
      </c>
      <c r="BZ334" s="2846"/>
      <c r="CA334" s="2846"/>
      <c r="CB334" s="1093">
        <f>IF(BZ334=0,0,(CA334-BZ334)/BZ334*100)</f>
        <v>0</v>
      </c>
      <c r="CC334" s="2846"/>
      <c r="CD334" s="2846"/>
      <c r="CE334" s="1093">
        <f>IF(CC334=0,0,(CD334-CC334)/CC334*100)</f>
        <v>0</v>
      </c>
      <c r="CF334" s="2846"/>
      <c r="CG334" s="2846"/>
      <c r="CH334" s="1093">
        <f>IF(CF334=0,0,(CG334-CF334)/CF334*100)</f>
        <v>0</v>
      </c>
      <c r="CI334" s="2846"/>
      <c r="CJ334" s="2846"/>
      <c r="CK334" s="1093">
        <f>IF(CI334=0,0,(CJ334-CI334)/CI334*100)</f>
        <v>0</v>
      </c>
      <c r="CL334" s="2846"/>
      <c r="CM334" s="2846"/>
      <c r="CN334" s="1093">
        <f>IF(CL334=0,0,(CM334-CL334)/CL334*100)</f>
        <v>0</v>
      </c>
      <c r="CO334" s="2846"/>
      <c r="CP334" s="2846"/>
      <c r="CQ334" s="1093">
        <f>IF(CO334=0,0,(CP334-CO334)/CO334*100)</f>
        <v>0</v>
      </c>
      <c r="CR334" s="2846"/>
      <c r="CS334" s="2846"/>
      <c r="CT334" s="1093">
        <f>IF(CR334=0,0,(CS334-CR334)/CR334*100)</f>
        <v>0</v>
      </c>
      <c r="CU334" s="2846"/>
      <c r="CV334" s="2846"/>
      <c r="CW334" s="1093">
        <f>IF(CU334=0,0,(CV334-CU334)/CU334*100)</f>
        <v>0</v>
      </c>
      <c r="CX334" s="2846"/>
      <c r="CY334" s="2846"/>
      <c r="CZ334" s="1093">
        <f>IF(CX334=0,0,(CY334-CX334)/CX334*100)</f>
        <v>0</v>
      </c>
      <c r="DA334" s="2846"/>
      <c r="DB334" s="2846"/>
      <c r="DC334" s="1093">
        <f>IF(DA334=0,0,(DB334-DA334)/DA334*100)</f>
        <v>0</v>
      </c>
      <c r="DD334" s="2846"/>
      <c r="DE334" s="2846"/>
      <c r="DF334" s="1093">
        <f>IF(DD334=0,0,(DE334-DD334)/DD334*100)</f>
        <v>0</v>
      </c>
      <c r="DG334" s="2846"/>
      <c r="DH334" s="2846"/>
      <c r="DI334" s="1093">
        <f>IF(DG334=0,0,(DH334-DG334)/DG334*100)</f>
        <v>0</v>
      </c>
      <c r="DJ334" s="2846"/>
      <c r="DK334" s="2846"/>
      <c r="DL334" s="1093">
        <f>IF(DJ334=0,0,(DK334-DJ334)/DJ334*100)</f>
        <v>0</v>
      </c>
      <c r="DM334" s="2846"/>
      <c r="DN334" s="2846"/>
      <c r="DO334" s="1093">
        <f>IF(DM334=0,0,(DN334-DM334)/DM334*100)</f>
        <v>0</v>
      </c>
      <c r="DP334" s="2846"/>
      <c r="DQ334" s="2846"/>
      <c r="DR334" s="1093">
        <f>IF(DP334=0,0,(DQ334-DP334)/DP334*100)</f>
        <v>0</v>
      </c>
      <c r="DS334" s="2846"/>
      <c r="DT334" s="2846"/>
      <c r="DU334" s="1093">
        <f>IF(DS334=0,0,(DT334-DS334)/DS334*100)</f>
        <v>0</v>
      </c>
      <c r="DV334" s="2846"/>
      <c r="DW334" s="2846"/>
      <c r="DX334" s="1093">
        <f>IF(DV334=0,0,(DW334-DV334)/DV334*100)</f>
        <v>0</v>
      </c>
      <c r="DY334" s="2846"/>
      <c r="DZ334" s="2846"/>
      <c r="EA334" s="1093">
        <f>IF(DY334=0,0,(DZ334-DY334)/DY334*100)</f>
        <v>0</v>
      </c>
      <c r="EB334" s="2846"/>
      <c r="EC334" s="2846"/>
      <c r="ED334" s="1093">
        <f>IF(EB334=0,0,(EC334-EB334)/EB334*100)</f>
        <v>0</v>
      </c>
      <c r="EE334" s="2846"/>
      <c r="EF334" s="2846"/>
      <c r="EG334" s="1093">
        <f>IF(EE334=0,0,(EF334-EE334)/EE334*100)</f>
        <v>0</v>
      </c>
      <c r="EH334" s="2846"/>
      <c r="EI334" s="2846"/>
      <c r="EJ334" s="1093">
        <f>IF(EH334=0,0,(EI334-EH334)/EH334*100)</f>
        <v>0</v>
      </c>
      <c r="EK334" s="2846"/>
      <c r="EL334" s="2846"/>
      <c r="EM334" s="1093">
        <f>IF(EK334=0,0,(EL334-EK334)/EK334*100)</f>
        <v>0</v>
      </c>
      <c r="EN334" s="2846"/>
      <c r="EO334" s="2846"/>
      <c r="EP334" s="1093">
        <f>IF(EN334=0,0,(EO334-EN334)/EN334*100)</f>
        <v>0</v>
      </c>
      <c r="EQ334" s="2846"/>
      <c r="ER334" s="2846"/>
      <c r="ES334" s="1093">
        <f>IF(EQ334=0,0,(ER334-EQ334)/EQ334*100)</f>
        <v>0</v>
      </c>
      <c r="ET334" s="2846"/>
      <c r="EU334" s="2846"/>
      <c r="EV334" s="1093">
        <f>IF(ET334=0,0,(EU334-ET334)/ET334*100)</f>
        <v>0</v>
      </c>
      <c r="EW334" s="2846"/>
      <c r="EX334" s="2846"/>
      <c r="EY334" s="1093">
        <f>IF(EW334=0,0,(EX334-EW334)/EW334*100)</f>
        <v>0</v>
      </c>
      <c r="EZ334" s="2846"/>
      <c r="FA334" s="2846"/>
      <c r="FB334" s="1093">
        <f>IF(EZ334=0,0,(FA334-EZ334)/EZ334*100)</f>
        <v>0</v>
      </c>
      <c r="FC334" s="2846"/>
      <c r="FD334" s="2846"/>
      <c r="FE334" s="1093">
        <f>IF(FC334=0,0,(FD334-FC334)/FC334*100)</f>
        <v>0</v>
      </c>
      <c r="FF334" s="2846"/>
      <c r="FG334" s="2846"/>
      <c r="FH334" s="1093">
        <f>IF(FF334=0,0,(FG334-FF334)/FF334*100)</f>
        <v>0</v>
      </c>
      <c r="FI334" s="2846"/>
      <c r="FJ334" s="2846"/>
      <c r="FK334" s="1093">
        <f>IF(FI334=0,0,(FJ334-FI334)/FI334*100)</f>
        <v>0</v>
      </c>
      <c r="FL334" s="2846"/>
      <c r="FM334" s="2846"/>
      <c r="FN334" s="1093">
        <f>IF(FL334=0,0,(FM334-FL334)/FL334*100)</f>
        <v>0</v>
      </c>
      <c r="FO334" s="2846"/>
      <c r="FP334" s="2846"/>
      <c r="FQ334" s="1093">
        <f>IF(FO334=0,0,(FP334-FO334)/FO334*100)</f>
        <v>0</v>
      </c>
      <c r="FR334" s="2846"/>
      <c r="FS334" s="2846"/>
      <c r="FT334" s="1093">
        <f>IF(FR334=0,0,(FS334-FR334)/FR334*100)</f>
        <v>0</v>
      </c>
      <c r="FU334" s="2846"/>
      <c r="FV334" s="2846"/>
      <c r="FW334" s="1093">
        <f>IF(FU334=0,0,(FV334-FU334)/FU334*100)</f>
        <v>0</v>
      </c>
      <c r="FZ334" s="1306" t="s">
        <v>2413</v>
      </c>
      <c r="GA334" s="1306" t="s">
        <v>1594</v>
      </c>
      <c r="GB334" s="1306" cm="1" t="str">
        <f t="array" ref="GB334:GB334">GB333</f>
        <v>0</v>
      </c>
    </row>
    <row s="1834" customFormat="1" customHeight="1" ht="14.25" hidden="1">
      <c r="A335" s="493"/>
      <c r="B335" s="925" cm="1" t="str">
        <f t="array" ref="B335:B335">B328</f>
        <v>false</v>
      </c>
      <c r="C335" s="493"/>
      <c r="D335" s="493"/>
      <c r="E335" s="840">
        <v>15</v>
      </c>
      <c r="F335" s="50" cm="1" t="str">
        <f t="array" ref="F335:F335">OFFSET(E335,-1,1)</f>
        <v>4</v>
      </c>
      <c r="G335" s="493"/>
      <c r="H335" s="493"/>
      <c r="I335" s="98" t="s">
        <v>2414</v>
      </c>
      <c r="J335" s="493"/>
      <c r="K335" s="493"/>
      <c r="L335" s="493"/>
      <c r="M335" s="493"/>
      <c r="N335" s="493"/>
      <c r="O335" s="493"/>
      <c r="P335" s="493"/>
      <c r="Q335" s="493"/>
      <c r="R335" s="493"/>
      <c r="S335" s="493"/>
      <c r="T335" s="465">
        <f>F335&gt;0</f>
        <v>1</v>
      </c>
      <c r="U335" s="493"/>
      <c r="V335" s="1304"/>
      <c r="W335" s="757" t="s">
        <v>2367</v>
      </c>
      <c r="X335" s="1596"/>
      <c r="Y335" s="1304"/>
      <c r="Z335" s="1545"/>
      <c r="AA335" s="1304"/>
      <c r="AB335" s="260" t="s">
        <v>178</v>
      </c>
      <c r="AC335" s="264"/>
      <c r="AD335" s="1098"/>
      <c r="AE335" s="1098"/>
      <c r="AF335" s="1098"/>
      <c r="AG335" s="1098"/>
      <c r="AH335" s="1098"/>
      <c r="AI335" s="1098"/>
      <c r="AJ335" s="1098"/>
      <c r="AK335" s="1098"/>
      <c r="AL335" s="1098"/>
      <c r="AM335" s="1098"/>
      <c r="AN335" s="1098"/>
      <c r="AO335" s="1098"/>
      <c r="AP335" s="1098"/>
      <c r="AQ335" s="1098"/>
      <c r="AR335" s="1098"/>
      <c r="AS335" s="1098"/>
      <c r="AT335" s="1098"/>
      <c r="AU335" s="1098"/>
      <c r="AV335" s="1098"/>
      <c r="AW335" s="1098"/>
      <c r="AX335" s="1098"/>
      <c r="AY335" s="1098"/>
      <c r="AZ335" s="1098"/>
      <c r="BA335" s="1098"/>
      <c r="BB335" s="1098"/>
      <c r="BC335" s="1098"/>
      <c r="BD335" s="1098"/>
      <c r="BE335" s="1098"/>
      <c r="BF335" s="1098"/>
      <c r="BG335" s="1098"/>
      <c r="BH335" s="1098"/>
      <c r="BI335" s="1098"/>
      <c r="BJ335" s="1098"/>
      <c r="BK335" s="1098"/>
      <c r="BL335" s="1098"/>
      <c r="BM335" s="1098"/>
      <c r="BN335" s="1098"/>
      <c r="BO335" s="1098"/>
      <c r="BP335" s="1098"/>
      <c r="BQ335" s="1098"/>
      <c r="BR335" s="1098"/>
      <c r="BS335" s="1098"/>
      <c r="BT335" s="1098"/>
      <c r="BU335" s="1098"/>
      <c r="BV335" s="1098"/>
      <c r="BW335" s="1098"/>
      <c r="BX335" s="1098"/>
      <c r="BY335" s="1098"/>
      <c r="BZ335" s="1098"/>
      <c r="CA335" s="1098"/>
      <c r="CB335" s="1098"/>
      <c r="CC335" s="1098"/>
      <c r="CD335" s="1098"/>
      <c r="CE335" s="1098"/>
      <c r="CF335" s="1098"/>
      <c r="CG335" s="1098"/>
      <c r="CH335" s="1098"/>
      <c r="CI335" s="1098"/>
      <c r="CJ335" s="1098"/>
      <c r="CK335" s="1098"/>
      <c r="CL335" s="1098"/>
      <c r="CM335" s="1098"/>
      <c r="CN335" s="1098"/>
      <c r="CO335" s="1098"/>
      <c r="CP335" s="1098"/>
      <c r="CQ335" s="1098"/>
      <c r="CR335" s="1098"/>
      <c r="CS335" s="1098"/>
      <c r="CT335" s="1098"/>
      <c r="CU335" s="1098"/>
      <c r="CV335" s="1098"/>
      <c r="CW335" s="1098"/>
      <c r="CX335" s="1098"/>
      <c r="CY335" s="1098"/>
      <c r="CZ335" s="1098"/>
      <c r="DA335" s="1098"/>
      <c r="DB335" s="1098"/>
      <c r="DC335" s="1098"/>
      <c r="DD335" s="1098"/>
      <c r="DE335" s="1098"/>
      <c r="DF335" s="1098"/>
      <c r="DG335" s="1098"/>
      <c r="DH335" s="1098"/>
      <c r="DI335" s="1098"/>
      <c r="DJ335" s="1098"/>
      <c r="DK335" s="1098"/>
      <c r="DL335" s="1098"/>
      <c r="DM335" s="1098"/>
      <c r="DN335" s="1098"/>
      <c r="DO335" s="1098"/>
      <c r="DP335" s="1098"/>
      <c r="DQ335" s="1098"/>
      <c r="DR335" s="1098"/>
      <c r="DS335" s="1098"/>
      <c r="DT335" s="1098"/>
      <c r="DU335" s="1098"/>
      <c r="DV335" s="1098"/>
      <c r="DW335" s="1098"/>
      <c r="DX335" s="1098"/>
      <c r="DY335" s="1098"/>
      <c r="DZ335" s="1098"/>
      <c r="EA335" s="1098"/>
      <c r="EB335" s="1098"/>
      <c r="EC335" s="1098"/>
      <c r="ED335" s="1098"/>
      <c r="EE335" s="1098"/>
      <c r="EF335" s="1098"/>
      <c r="EG335" s="1098"/>
      <c r="EH335" s="1098"/>
      <c r="EI335" s="1098"/>
      <c r="EJ335" s="1098"/>
      <c r="EK335" s="1098"/>
      <c r="EL335" s="1098"/>
      <c r="EM335" s="1098"/>
      <c r="EN335" s="1098"/>
      <c r="EO335" s="1098"/>
      <c r="EP335" s="1098"/>
      <c r="EQ335" s="1098"/>
      <c r="ER335" s="1098"/>
      <c r="ES335" s="1098"/>
      <c r="ET335" s="1098"/>
      <c r="EU335" s="1098"/>
      <c r="EV335" s="1098"/>
      <c r="EW335" s="1098"/>
      <c r="EX335" s="1098"/>
      <c r="EY335" s="1098"/>
      <c r="EZ335" s="1098"/>
      <c r="FA335" s="1098"/>
      <c r="FB335" s="1098"/>
      <c r="FC335" s="1098"/>
      <c r="FD335" s="1098"/>
      <c r="FE335" s="1098"/>
      <c r="FF335" s="1098"/>
      <c r="FG335" s="1098"/>
      <c r="FH335" s="1098"/>
      <c r="FI335" s="1098"/>
      <c r="FJ335" s="1098"/>
      <c r="FK335" s="1098"/>
      <c r="FL335" s="1098"/>
      <c r="FM335" s="1098"/>
      <c r="FN335" s="1098"/>
      <c r="FO335" s="1098"/>
      <c r="FP335" s="1098"/>
      <c r="FQ335" s="1098"/>
      <c r="FR335" s="1098"/>
      <c r="FS335" s="1098"/>
      <c r="FT335" s="1098"/>
      <c r="FU335" s="1098"/>
      <c r="FV335" s="1098"/>
      <c r="FW335" s="1099"/>
      <c r="FX335" s="1304"/>
      <c r="FY335" s="1304"/>
      <c r="FZ335" s="1055" t="s">
        <v>227</v>
      </c>
      <c r="GA335" s="1306"/>
      <c r="GB335" s="1306"/>
      <c r="GC335" s="632" t="s">
        <v>1594</v>
      </c>
      <c r="GD335" s="1305"/>
    </row>
    <row s="1834" customFormat="1" customHeight="1" ht="11.25" hidden="1">
      <c r="A336" s="482"/>
      <c r="B336" s="925"/>
      <c r="C336" s="482"/>
      <c r="D336" s="482"/>
      <c r="E336" s="866">
        <v>0</v>
      </c>
      <c r="F336" s="1175" cm="1" t="str">
        <f t="array" ref="F336:F336">OFFSET(E336,-1,1)</f>
        <v>4</v>
      </c>
      <c r="G336" s="482"/>
      <c r="H336" s="482"/>
      <c r="I336" s="482"/>
      <c r="J336" s="482"/>
      <c r="K336" s="482"/>
      <c r="L336" s="482"/>
      <c r="M336" s="482"/>
      <c r="N336" s="482"/>
      <c r="O336" s="482"/>
      <c r="P336" s="482"/>
      <c r="Q336" s="482"/>
      <c r="R336" s="482"/>
      <c r="S336" s="482"/>
      <c r="T336" s="465" t="b">
        <v>0</v>
      </c>
      <c r="U336" s="482"/>
      <c r="V336" s="482"/>
      <c r="W336" s="482"/>
      <c r="X336" s="1596"/>
      <c r="Y336" s="482"/>
      <c r="Z336" s="1545"/>
      <c r="AA336" s="482"/>
      <c r="AB336" s="0"/>
      <c r="AC336" s="482"/>
      <c r="AD336" s="1108"/>
      <c r="AE336" s="1108"/>
      <c r="AF336" s="1108"/>
      <c r="AG336" s="0"/>
      <c r="AH336" s="0"/>
      <c r="AI336" s="0"/>
      <c r="AJ336" s="0"/>
      <c r="AK336" s="0"/>
      <c r="AL336" s="0"/>
      <c r="AM336" s="0"/>
      <c r="AN336" s="0"/>
      <c r="AO336" s="0"/>
      <c r="AP336" s="0"/>
      <c r="AQ336" s="0"/>
      <c r="AR336" s="0"/>
      <c r="AS336" s="0"/>
      <c r="AT336" s="0"/>
      <c r="AU336" s="0"/>
      <c r="AV336" s="0"/>
      <c r="AW336" s="0"/>
      <c r="AX336" s="0"/>
      <c r="AY336" s="0"/>
      <c r="AZ336" s="0"/>
      <c r="BA336" s="0"/>
      <c r="BB336" s="0"/>
      <c r="BC336" s="0"/>
      <c r="BD336" s="0"/>
      <c r="BE336" s="0"/>
      <c r="BF336" s="0"/>
      <c r="BG336" s="0"/>
      <c r="BH336" s="0"/>
      <c r="BI336" s="0"/>
      <c r="BJ336" s="0"/>
      <c r="BK336" s="0"/>
      <c r="BL336" s="0"/>
      <c r="BM336" s="0"/>
      <c r="BN336" s="0"/>
      <c r="BO336" s="0"/>
      <c r="BP336" s="0"/>
      <c r="BQ336" s="0"/>
      <c r="BR336" s="0"/>
      <c r="BS336" s="0"/>
      <c r="BT336" s="0"/>
      <c r="BU336" s="0"/>
      <c r="BV336" s="0"/>
      <c r="BW336" s="0"/>
      <c r="BX336" s="0"/>
      <c r="BY336" s="0"/>
      <c r="BZ336" s="0"/>
      <c r="CA336" s="0"/>
      <c r="CB336" s="0"/>
      <c r="CC336" s="0"/>
      <c r="CD336" s="0"/>
      <c r="CE336" s="0"/>
      <c r="CF336" s="0"/>
      <c r="CG336" s="0"/>
      <c r="CH336" s="0"/>
      <c r="CI336" s="0"/>
      <c r="CJ336" s="0"/>
      <c r="CK336" s="0"/>
      <c r="CL336" s="0"/>
      <c r="CM336" s="0"/>
      <c r="CN336" s="0"/>
      <c r="CO336" s="0"/>
      <c r="CP336" s="0"/>
      <c r="CQ336" s="0"/>
      <c r="CR336" s="0"/>
      <c r="CS336" s="0"/>
      <c r="CT336" s="0"/>
      <c r="CU336" s="0"/>
      <c r="CV336" s="0"/>
      <c r="CW336" s="0"/>
      <c r="CX336" s="0"/>
      <c r="CY336" s="0"/>
      <c r="CZ336" s="0"/>
      <c r="DA336" s="0"/>
      <c r="DB336" s="0"/>
      <c r="DC336" s="0"/>
      <c r="DD336" s="0"/>
      <c r="DE336" s="0"/>
      <c r="DF336" s="0"/>
      <c r="DG336" s="0"/>
      <c r="DH336" s="0"/>
      <c r="DI336" s="0"/>
      <c r="DJ336" s="0"/>
      <c r="DK336" s="0"/>
      <c r="DL336" s="0"/>
      <c r="DM336" s="0"/>
      <c r="DN336" s="0"/>
      <c r="DO336" s="0"/>
      <c r="DP336" s="0"/>
      <c r="DQ336" s="0"/>
      <c r="DR336" s="0"/>
      <c r="DS336" s="0"/>
      <c r="DT336" s="0"/>
      <c r="DU336" s="0"/>
      <c r="DV336" s="0"/>
      <c r="DW336" s="0"/>
      <c r="DX336" s="0"/>
      <c r="DY336" s="0"/>
      <c r="DZ336" s="0"/>
      <c r="EA336" s="0"/>
      <c r="EB336" s="0"/>
      <c r="EC336" s="0"/>
      <c r="ED336" s="0"/>
      <c r="EE336" s="0"/>
      <c r="EF336" s="0"/>
      <c r="EG336" s="0"/>
      <c r="EH336" s="0"/>
      <c r="EI336" s="0"/>
      <c r="EJ336" s="0"/>
      <c r="EK336" s="0"/>
      <c r="EL336" s="0"/>
      <c r="EM336" s="0"/>
      <c r="EN336" s="0"/>
      <c r="EO336" s="0"/>
      <c r="EP336" s="0"/>
      <c r="EQ336" s="0"/>
      <c r="ER336" s="0"/>
      <c r="ES336" s="0"/>
      <c r="ET336" s="0"/>
      <c r="EU336" s="0"/>
      <c r="EV336" s="0"/>
      <c r="EW336" s="0"/>
      <c r="EX336" s="0"/>
      <c r="EY336" s="0"/>
      <c r="EZ336" s="0"/>
      <c r="FA336" s="0"/>
      <c r="FB336" s="0"/>
      <c r="FC336" s="0"/>
      <c r="FD336" s="0"/>
      <c r="FE336" s="0"/>
      <c r="FF336" s="0"/>
      <c r="FG336" s="0"/>
      <c r="FH336" s="0"/>
      <c r="FI336" s="0"/>
      <c r="FJ336" s="0"/>
      <c r="FK336" s="0"/>
      <c r="FL336" s="0"/>
      <c r="FM336" s="0"/>
      <c r="FN336" s="0"/>
      <c r="FO336" s="0"/>
      <c r="FP336" s="0"/>
      <c r="FQ336" s="0"/>
      <c r="FR336" s="0"/>
      <c r="FS336" s="0"/>
      <c r="FT336" s="0"/>
      <c r="FU336" s="0"/>
      <c r="FV336" s="0"/>
      <c r="FW336" s="0"/>
      <c r="FX336" s="1834"/>
      <c r="FY336" s="1834"/>
      <c r="FZ336" s="1055" t="s">
        <v>227</v>
      </c>
      <c r="GA336" s="1019"/>
      <c r="GB336" s="1058"/>
      <c r="GC336" s="686"/>
      <c r="GD336" s="686"/>
    </row>
    <row s="6975" customFormat="1" customHeight="1" ht="23.25" hidden="1">
      <c r="A337" s="897"/>
      <c r="B337" s="925" cm="1" t="str">
        <f t="array" ref="B337:B337">S281</f>
        <v>false</v>
      </c>
      <c r="C337" s="897"/>
      <c r="D337" s="897"/>
      <c r="E337" s="840">
        <v>24.5</v>
      </c>
      <c r="F337" s="50" cm="1" t="str">
        <f t="array" ref="F337:F337">OFFSET(E337,-1,1)</f>
        <v>4</v>
      </c>
      <c r="G337" s="107" t="s">
        <v>2334</v>
      </c>
      <c r="H337" s="493" t="s">
        <v>1175</v>
      </c>
      <c r="I337" s="493" t="s">
        <v>2415</v>
      </c>
      <c r="J337" s="897"/>
      <c r="K337" s="897"/>
      <c r="L337" s="897"/>
      <c r="M337" s="897"/>
      <c r="N337" s="897"/>
      <c r="O337" s="897"/>
      <c r="P337" s="897"/>
      <c r="Q337" s="897"/>
      <c r="R337" s="897"/>
      <c r="S337" s="493"/>
      <c r="T337" s="465" cm="1" t="str">
        <f t="array" ref="T337:T337">T335</f>
        <v>true</v>
      </c>
      <c r="U337" s="897"/>
      <c r="V337" s="897"/>
      <c r="W337" s="897"/>
      <c r="X337" s="1596"/>
      <c r="Y337" s="897"/>
      <c r="Z337" s="1545"/>
      <c r="AA337" s="897"/>
      <c r="AB337" s="219" t="s">
        <v>2416</v>
      </c>
      <c r="AC337" s="234" t="s">
        <v>2337</v>
      </c>
      <c r="AD337" s="5272">
        <f>IF(AND(method_reg="Метод индексации",god&lt;&gt;first_year),_xlfn.SUMIFS(INDEX('Калькуляция (МИ корр)'!$AJ$25:$BC$747,,MATCH(AD$8,'Калькуляция (МИ корр)'!$AJ$8:$BC$8,0)),'Калькуляция (МИ корр)'!$F$25:$F$747,$F337,'Калькуляция (МИ корр)'!$G$25:$G$747,$G337),IF(method_reg="Метод экономически обоснованных расходов",_xlfn.SUMIFS('Калькуляция (МЭОР)'!$AJ$25:$AJ$452,'Калькуляция (МЭОР)'!$F$25:$F$452,$F337,'Калькуляция (МЭОР)'!$G$25:$G$452,$G337),IF(method_reg="Метод сравнения аналогов",_xlfn.SUMIFS('Калькуляция (МСА)'!$AE$25:$AE$122,'Калькуляция (МСА)'!$F$25:$F$122,$F337,'Калькуляция (МСА)'!$G$25:$G$122,$G337),_xlfn.SUMIFS(INDEX('Калькуляция (МИ)'!$AJ$25:$BC$747,,MATCH(AD$8,'Калькуляция (МИ)'!$AJ$8:$BC$8,0)),'Калькуляция (МИ)'!$F$25:$F$747,$F337,'Калькуляция (МИ)'!$G$25:$G$747,$G337))))</f>
        <v>127.25</v>
      </c>
      <c r="AE337" s="5272">
        <f>IF(AND(method_reg="Метод индексации",god&lt;&gt;first_year),_xlfn.SUMIFS(INDEX('Калькуляция (МИ корр)'!$AJ$25:$BC$747,,MATCH(AE$8,'Калькуляция (МИ корр)'!$AJ$8:$BC$8,0)),'Калькуляция (МИ корр)'!$F$25:$F$747,$F337,'Калькуляция (МИ корр)'!$G$25:$G$747,$G337),IF(method_reg="Метод экономически обоснованных расходов",_xlfn.SUMIFS('Калькуляция (МЭОР)'!$AK$25:$AK$452,'Калькуляция (МЭОР)'!$F$25:$F$452,$F337,'Калькуляция (МЭОР)'!$G$25:$G$452,$G337),IF(method_reg="Метод сравнения аналогов",_xlfn.SUMIFS('Калькуляция (МСА)'!$AF$25:$AF$122,'Калькуляция (МСА)'!$F$25:$F$122,$F337,'Калькуляция (МСА)'!$G$25:$G$122,$G337),_xlfn.SUMIFS(INDEX('Калькуляция (МИ)'!$AJ$25:$BC$747,,MATCH(AE$8,'Калькуляция (МИ)'!$AJ$8:$BC$8,0)),'Калькуляция (МИ)'!$F$25:$F$747,$F337,'Калькуляция (МИ)'!$G$25:$G$747,$G337))))</f>
        <v>127.25</v>
      </c>
      <c r="AF337" s="296">
        <f>IF(AD337=0,0,(AE337-AD337)/AD337*100)</f>
        <v>0</v>
      </c>
      <c r="AG337" s="5272">
        <f>IF(AND(method_reg="Метод индексации",god&lt;&gt;first_year),_xlfn.SUMIFS(INDEX('Калькуляция (МИ корр)'!$AJ$25:$BC$747,,MATCH(AG$8,'Калькуляция (МИ корр)'!$AJ$8:$BC$8,0)),'Калькуляция (МИ корр)'!$F$25:$F$747,$F337,'Калькуляция (МИ корр)'!$G$25:$G$747,$G337),IF(method_reg="Метод экономически обоснованных расходов",_xlfn.SUMIFS('Калькуляция (МЭОР)'!$AJ$25:$AJ$452,'Калькуляция (МЭОР)'!$F$25:$F$452,$F337,'Калькуляция (МЭОР)'!$G$25:$G$452,$G337),IF(method_reg="Метод сравнения аналогов",_xlfn.SUMIFS('Калькуляция (МСА)'!$AE$25:$AE$122,'Калькуляция (МСА)'!$F$25:$F$122,$F337,'Калькуляция (МСА)'!$G$25:$G$122,$G337),_xlfn.SUMIFS(INDEX('Калькуляция (МИ)'!$AJ$25:$BC$747,,MATCH(AG$8,'Калькуляция (МИ)'!$AJ$8:$BC$8,0)),'Калькуляция (МИ)'!$F$25:$F$747,$F337,'Калькуляция (МИ)'!$G$25:$G$747,$G337))))</f>
        <v>133.61</v>
      </c>
      <c r="AH337" s="5272">
        <f>IF(AND(method_reg="Метод индексации",god&lt;&gt;first_year),_xlfn.SUMIFS(INDEX('Калькуляция (МИ корр)'!$AJ$25:$BC$747,,MATCH(AH$8,'Калькуляция (МИ корр)'!$AJ$8:$BC$8,0)),'Калькуляция (МИ корр)'!$F$25:$F$747,$F337,'Калькуляция (МИ корр)'!$G$25:$G$747,$G337),IF(method_reg="Метод экономически обоснованных расходов",_xlfn.SUMIFS('Калькуляция (МЭОР)'!$AK$25:$AK$452,'Калькуляция (МЭОР)'!$F$25:$F$452,$F337,'Калькуляция (МЭОР)'!$G$25:$G$452,$G337),IF(method_reg="Метод сравнения аналогов",_xlfn.SUMIFS('Калькуляция (МСА)'!$AF$25:$AF$122,'Калькуляция (МСА)'!$F$25:$F$122,$F337,'Калькуляция (МСА)'!$G$25:$G$122,$G337),_xlfn.SUMIFS(INDEX('Калькуляция (МИ)'!$AJ$25:$BC$747,,MATCH(AH$8,'Калькуляция (МИ)'!$AJ$8:$BC$8,0)),'Калькуляция (МИ)'!$F$25:$F$747,$F337,'Калькуляция (МИ)'!$G$25:$G$747,$G337))))</f>
        <v>133.609999656924</v>
      </c>
      <c r="AI337" s="296">
        <f>IF(AG337=0,0,(AH337-AG337)/AG337*100)</f>
        <v>-2.56774201232988e-7</v>
      </c>
      <c r="AJ337" s="5272">
        <f>IF(AND(method_reg="Метод индексации",god&lt;&gt;first_year),_xlfn.SUMIFS(INDEX('Калькуляция (МИ корр)'!$AJ$25:$BC$747,,MATCH(AJ$8,'Калькуляция (МИ корр)'!$AJ$8:$BC$8,0)),'Калькуляция (МИ корр)'!$F$25:$F$747,$F337,'Калькуляция (МИ корр)'!$G$25:$G$747,$G337),IF(method_reg="Метод экономически обоснованных расходов",_xlfn.SUMIFS('Калькуляция (МЭОР)'!$AJ$25:$AJ$452,'Калькуляция (МЭОР)'!$F$25:$F$452,$F337,'Калькуляция (МЭОР)'!$G$25:$G$452,$G337),IF(method_reg="Метод сравнения аналогов",_xlfn.SUMIFS('Калькуляция (МСА)'!$AE$25:$AE$122,'Калькуляция (МСА)'!$F$25:$F$122,$F337,'Калькуляция (МСА)'!$G$25:$G$122,$G337),_xlfn.SUMIFS(INDEX('Калькуляция (МИ)'!$AJ$25:$BC$747,,MATCH(AJ$8,'Калькуляция (МИ)'!$AJ$8:$BC$8,0)),'Калькуляция (МИ)'!$F$25:$F$747,$F337,'Калькуляция (МИ)'!$G$25:$G$747,$G337))))</f>
        <v>138</v>
      </c>
      <c r="AK337" s="5272">
        <f>IF(AND(method_reg="Метод индексации",god&lt;&gt;first_year),_xlfn.SUMIFS(INDEX('Калькуляция (МИ корр)'!$AJ$25:$BC$747,,MATCH(AK$8,'Калькуляция (МИ корр)'!$AJ$8:$BC$8,0)),'Калькуляция (МИ корр)'!$F$25:$F$747,$F337,'Калькуляция (МИ корр)'!$G$25:$G$747,$G337),IF(method_reg="Метод экономически обоснованных расходов",_xlfn.SUMIFS('Калькуляция (МЭОР)'!$AK$25:$AK$452,'Калькуляция (МЭОР)'!$F$25:$F$452,$F337,'Калькуляция (МЭОР)'!$G$25:$G$452,$G337),IF(method_reg="Метод сравнения аналогов",_xlfn.SUMIFS('Калькуляция (МСА)'!$AF$25:$AF$122,'Калькуляция (МСА)'!$F$25:$F$122,$F337,'Калькуляция (МСА)'!$G$25:$G$122,$G337),_xlfn.SUMIFS(INDEX('Калькуляция (МИ)'!$AJ$25:$BC$747,,MATCH(AK$8,'Калькуляция (МИ)'!$AJ$8:$BC$8,0)),'Калькуляция (МИ)'!$F$25:$F$747,$F337,'Калькуляция (МИ)'!$G$25:$G$747,$G337))))</f>
        <v>137.999997362767</v>
      </c>
      <c r="AL337" s="296">
        <f>IF(AJ337=0,0,(AK337-AJ337)/AJ337*100)</f>
        <v>-0.00000191103840256472</v>
      </c>
      <c r="AM337" s="5272">
        <f>IF(AND(method_reg="Метод индексации",god&lt;&gt;first_year),_xlfn.SUMIFS(INDEX('Калькуляция (МИ корр)'!$AJ$25:$BC$747,,MATCH(AM$8,'Калькуляция (МИ корр)'!$AJ$8:$BC$8,0)),'Калькуляция (МИ корр)'!$F$25:$F$747,$F337,'Калькуляция (МИ корр)'!$G$25:$G$747,$G337),IF(method_reg="Метод экономически обоснованных расходов",_xlfn.SUMIFS('Калькуляция (МЭОР)'!$AJ$25:$AJ$452,'Калькуляция (МЭОР)'!$F$25:$F$452,$F337,'Калькуляция (МЭОР)'!$G$25:$G$452,$G337),IF(method_reg="Метод сравнения аналогов",_xlfn.SUMIFS('Калькуляция (МСА)'!$AE$25:$AE$122,'Калькуляция (МСА)'!$F$25:$F$122,$F337,'Калькуляция (МСА)'!$G$25:$G$122,$G337),_xlfn.SUMIFS(INDEX('Калькуляция (МИ)'!$AJ$25:$BC$747,,MATCH(AM$8,'Калькуляция (МИ)'!$AJ$8:$BC$8,0)),'Калькуляция (МИ)'!$F$25:$F$747,$F337,'Калькуляция (МИ)'!$G$25:$G$747,$G337))))</f>
        <v>140.5</v>
      </c>
      <c r="AN337" s="5272">
        <f>IF(AND(method_reg="Метод индексации",god&lt;&gt;first_year),_xlfn.SUMIFS(INDEX('Калькуляция (МИ корр)'!$AJ$25:$BC$747,,MATCH(AN$8,'Калькуляция (МИ корр)'!$AJ$8:$BC$8,0)),'Калькуляция (МИ корр)'!$F$25:$F$747,$F337,'Калькуляция (МИ корр)'!$G$25:$G$747,$G337),IF(method_reg="Метод экономически обоснованных расходов",_xlfn.SUMIFS('Калькуляция (МЭОР)'!$AK$25:$AK$452,'Калькуляция (МЭОР)'!$F$25:$F$452,$F337,'Калькуляция (МЭОР)'!$G$25:$G$452,$G337),IF(method_reg="Метод сравнения аналогов",_xlfn.SUMIFS('Калькуляция (МСА)'!$AF$25:$AF$122,'Калькуляция (МСА)'!$F$25:$F$122,$F337,'Калькуляция (МСА)'!$G$25:$G$122,$G337),_xlfn.SUMIFS(INDEX('Калькуляция (МИ)'!$AJ$25:$BC$747,,MATCH(AN$8,'Калькуляция (МИ)'!$AJ$8:$BC$8,0)),'Калькуляция (МИ)'!$F$25:$F$747,$F337,'Калькуляция (МИ)'!$G$25:$G$747,$G337))))</f>
        <v>140.500002614866</v>
      </c>
      <c r="AO337" s="296">
        <f>IF(AM337=0,0,(AN337-AM337)/AM337*100)</f>
        <v>0.00000186111458454845</v>
      </c>
      <c r="AP337" s="5272">
        <f>IF(AND(method_reg="Метод индексации",god&lt;&gt;first_year),_xlfn.SUMIFS(INDEX('Калькуляция (МИ корр)'!$AJ$25:$BC$747,,MATCH(AP$8,'Калькуляция (МИ корр)'!$AJ$8:$BC$8,0)),'Калькуляция (МИ корр)'!$F$25:$F$747,$F337,'Калькуляция (МИ корр)'!$G$25:$G$747,$G337),IF(method_reg="Метод экономически обоснованных расходов",_xlfn.SUMIFS('Калькуляция (МЭОР)'!$AJ$25:$AJ$452,'Калькуляция (МЭОР)'!$F$25:$F$452,$F337,'Калькуляция (МЭОР)'!$G$25:$G$452,$G337),IF(method_reg="Метод сравнения аналогов",_xlfn.SUMIFS('Калькуляция (МСА)'!$AE$25:$AE$122,'Калькуляция (МСА)'!$F$25:$F$122,$F337,'Калькуляция (МСА)'!$G$25:$G$122,$G337),_xlfn.SUMIFS(INDEX('Калькуляция (МИ)'!$AJ$25:$BC$747,,MATCH(AP$8,'Калькуляция (МИ)'!$AJ$8:$BC$8,0)),'Калькуляция (МИ)'!$F$25:$F$747,$F337,'Калькуляция (МИ)'!$G$25:$G$747,$G337))))</f>
        <v>144.32</v>
      </c>
      <c r="AQ337" s="5272">
        <f>IF(AND(method_reg="Метод индексации",god&lt;&gt;first_year),_xlfn.SUMIFS(INDEX('Калькуляция (МИ корр)'!$AJ$25:$BC$747,,MATCH(AQ$8,'Калькуляция (МИ корр)'!$AJ$8:$BC$8,0)),'Калькуляция (МИ корр)'!$F$25:$F$747,$F337,'Калькуляция (МИ корр)'!$G$25:$G$747,$G337),IF(method_reg="Метод экономически обоснованных расходов",_xlfn.SUMIFS('Калькуляция (МЭОР)'!$AK$25:$AK$452,'Калькуляция (МЭОР)'!$F$25:$F$452,$F337,'Калькуляция (МЭОР)'!$G$25:$G$452,$G337),IF(method_reg="Метод сравнения аналогов",_xlfn.SUMIFS('Калькуляция (МСА)'!$AF$25:$AF$122,'Калькуляция (МСА)'!$F$25:$F$122,$F337,'Калькуляция (МСА)'!$G$25:$G$122,$G337),_xlfn.SUMIFS(INDEX('Калькуляция (МИ)'!$AJ$25:$BC$747,,MATCH(AQ$8,'Калькуляция (МИ)'!$AJ$8:$BC$8,0)),'Калькуляция (МИ)'!$F$25:$F$747,$F337,'Калькуляция (МИ)'!$G$25:$G$747,$G337))))</f>
        <v>144.319997370917</v>
      </c>
      <c r="AR337" s="296">
        <f>IF(AP337=0,0,(AQ337-AP337)/AP337*100)</f>
        <v>-0.00000182170384222215</v>
      </c>
      <c r="AS337" s="5272">
        <f>IF(AND(method_reg="Метод индексации",god&lt;&gt;first_year),_xlfn.SUMIFS(INDEX('Калькуляция (МИ корр)'!$AJ$25:$BC$747,,MATCH(AS$8,'Калькуляция (МИ корр)'!$AJ$8:$BC$8,0)),'Калькуляция (МИ корр)'!$F$25:$F$747,$F337,'Калькуляция (МИ корр)'!$G$25:$G$747,$G337),IF(method_reg="Метод экономически обоснованных расходов",_xlfn.SUMIFS('Калькуляция (МЭОР)'!$AJ$25:$AJ$452,'Калькуляция (МЭОР)'!$F$25:$F$452,$F337,'Калькуляция (МЭОР)'!$G$25:$G$452,$G337),IF(method_reg="Метод сравнения аналогов",_xlfn.SUMIFS('Калькуляция (МСА)'!$AE$25:$AE$122,'Калькуляция (МСА)'!$F$25:$F$122,$F337,'Калькуляция (МСА)'!$G$25:$G$122,$G337),_xlfn.SUMIFS(INDEX('Калькуляция (МИ)'!$AJ$25:$BC$747,,MATCH(AS$8,'Калькуляция (МИ)'!$AJ$8:$BC$8,0)),'Калькуляция (МИ)'!$F$25:$F$747,$F337,'Калькуляция (МИ)'!$G$25:$G$747,$G337))))</f>
        <v>0</v>
      </c>
      <c r="AT337" s="5272">
        <f>IF(AND(method_reg="Метод индексации",god&lt;&gt;first_year),_xlfn.SUMIFS(INDEX('Калькуляция (МИ корр)'!$AJ$25:$BC$747,,MATCH(AT$8,'Калькуляция (МИ корр)'!$AJ$8:$BC$8,0)),'Калькуляция (МИ корр)'!$F$25:$F$747,$F337,'Калькуляция (МИ корр)'!$G$25:$G$747,$G337),IF(method_reg="Метод экономически обоснованных расходов",_xlfn.SUMIFS('Калькуляция (МЭОР)'!$AK$25:$AK$452,'Калькуляция (МЭОР)'!$F$25:$F$452,$F337,'Калькуляция (МЭОР)'!$G$25:$G$452,$G337),IF(method_reg="Метод сравнения аналогов",_xlfn.SUMIFS('Калькуляция (МСА)'!$AF$25:$AF$122,'Калькуляция (МСА)'!$F$25:$F$122,$F337,'Калькуляция (МСА)'!$G$25:$G$122,$G337),_xlfn.SUMIFS(INDEX('Калькуляция (МИ)'!$AJ$25:$BC$747,,MATCH(AT$8,'Калькуляция (МИ)'!$AJ$8:$BC$8,0)),'Калькуляция (МИ)'!$F$25:$F$747,$F337,'Калькуляция (МИ)'!$G$25:$G$747,$G337))))</f>
        <v>150.911543287088</v>
      </c>
      <c r="AU337" s="296">
        <f>IF(AS337=0,0,(AT337-AS337)/AS337*100)</f>
        <v>0</v>
      </c>
      <c r="AV337" s="5272">
        <f>IF(AND(method_reg="Метод индексации",god&lt;&gt;first_year),_xlfn.SUMIFS(INDEX('Калькуляция (МИ корр)'!$AJ$25:$BC$747,,MATCH(AV$8,'Калькуляция (МИ корр)'!$AJ$8:$BC$8,0)),'Калькуляция (МИ корр)'!$F$25:$F$747,$F337,'Калькуляция (МИ корр)'!$G$25:$G$747,$G337),IF(method_reg="Метод экономически обоснованных расходов",_xlfn.SUMIFS('Калькуляция (МЭОР)'!$AJ$25:$AJ$452,'Калькуляция (МЭОР)'!$F$25:$F$452,$F337,'Калькуляция (МЭОР)'!$G$25:$G$452,$G337),IF(method_reg="Метод сравнения аналогов",_xlfn.SUMIFS('Калькуляция (МСА)'!$AE$25:$AE$122,'Калькуляция (МСА)'!$F$25:$F$122,$F337,'Калькуляция (МСА)'!$G$25:$G$122,$G337),_xlfn.SUMIFS(INDEX('Калькуляция (МИ)'!$AJ$25:$BC$747,,MATCH(AV$8,'Калькуляция (МИ)'!$AJ$8:$BC$8,0)),'Калькуляция (МИ)'!$F$25:$F$747,$F337,'Калькуляция (МИ)'!$G$25:$G$747,$G337))))</f>
        <v>0</v>
      </c>
      <c r="AW337" s="5272">
        <f>IF(AND(method_reg="Метод индексации",god&lt;&gt;first_year),_xlfn.SUMIFS(INDEX('Калькуляция (МИ корр)'!$AJ$25:$BC$747,,MATCH(AW$8,'Калькуляция (МИ корр)'!$AJ$8:$BC$8,0)),'Калькуляция (МИ корр)'!$F$25:$F$747,$F337,'Калькуляция (МИ корр)'!$G$25:$G$747,$G337),IF(method_reg="Метод экономически обоснованных расходов",_xlfn.SUMIFS('Калькуляция (МЭОР)'!$AK$25:$AK$452,'Калькуляция (МЭОР)'!$F$25:$F$452,$F337,'Калькуляция (МЭОР)'!$G$25:$G$452,$G337),IF(method_reg="Метод сравнения аналогов",_xlfn.SUMIFS('Калькуляция (МСА)'!$AF$25:$AF$122,'Калькуляция (МСА)'!$F$25:$F$122,$F337,'Калькуляция (МСА)'!$G$25:$G$122,$G337),_xlfn.SUMIFS(INDEX('Калькуляция (МИ)'!$AJ$25:$BC$747,,MATCH(AW$8,'Калькуляция (МИ)'!$AJ$8:$BC$8,0)),'Калькуляция (МИ)'!$F$25:$F$747,$F337,'Калькуляция (МИ)'!$G$25:$G$747,$G337))))</f>
        <v>0</v>
      </c>
      <c r="AX337" s="296">
        <f>IF(AV337=0,0,(AW337-AV337)/AV337*100)</f>
        <v>0</v>
      </c>
      <c r="AY337" s="5272">
        <f>IF(AND(method_reg="Метод индексации",god&lt;&gt;first_year),_xlfn.SUMIFS(INDEX('Калькуляция (МИ корр)'!$AJ$25:$BC$747,,MATCH(AY$8,'Калькуляция (МИ корр)'!$AJ$8:$BC$8,0)),'Калькуляция (МИ корр)'!$F$25:$F$747,$F337,'Калькуляция (МИ корр)'!$G$25:$G$747,$G337),IF(method_reg="Метод экономически обоснованных расходов",_xlfn.SUMIFS('Калькуляция (МЭОР)'!$AJ$25:$AJ$452,'Калькуляция (МЭОР)'!$F$25:$F$452,$F337,'Калькуляция (МЭОР)'!$G$25:$G$452,$G337),IF(method_reg="Метод сравнения аналогов",_xlfn.SUMIFS('Калькуляция (МСА)'!$AE$25:$AE$122,'Калькуляция (МСА)'!$F$25:$F$122,$F337,'Калькуляция (МСА)'!$G$25:$G$122,$G337),_xlfn.SUMIFS(INDEX('Калькуляция (МИ)'!$AJ$25:$BC$747,,MATCH(AY$8,'Калькуляция (МИ)'!$AJ$8:$BC$8,0)),'Калькуляция (МИ)'!$F$25:$F$747,$F337,'Калькуляция (МИ)'!$G$25:$G$747,$G337))))</f>
        <v>0</v>
      </c>
      <c r="AZ337" s="5272">
        <f>IF(AND(method_reg="Метод индексации",god&lt;&gt;first_year),_xlfn.SUMIFS(INDEX('Калькуляция (МИ корр)'!$AJ$25:$BC$747,,MATCH(AZ$8,'Калькуляция (МИ корр)'!$AJ$8:$BC$8,0)),'Калькуляция (МИ корр)'!$F$25:$F$747,$F337,'Калькуляция (МИ корр)'!$G$25:$G$747,$G337),IF(method_reg="Метод экономически обоснованных расходов",_xlfn.SUMIFS('Калькуляция (МЭОР)'!$AK$25:$AK$452,'Калькуляция (МЭОР)'!$F$25:$F$452,$F337,'Калькуляция (МЭОР)'!$G$25:$G$452,$G337),IF(method_reg="Метод сравнения аналогов",_xlfn.SUMIFS('Калькуляция (МСА)'!$AF$25:$AF$122,'Калькуляция (МСА)'!$F$25:$F$122,$F337,'Калькуляция (МСА)'!$G$25:$G$122,$G337),_xlfn.SUMIFS(INDEX('Калькуляция (МИ)'!$AJ$25:$BC$747,,MATCH(AZ$8,'Калькуляция (МИ)'!$AJ$8:$BC$8,0)),'Калькуляция (МИ)'!$F$25:$F$747,$F337,'Калькуляция (МИ)'!$G$25:$G$747,$G337))))</f>
        <v>0</v>
      </c>
      <c r="BA337" s="296">
        <f>IF(AY337=0,0,(AZ337-AY337)/AY337*100)</f>
        <v>0</v>
      </c>
      <c r="BB337" s="5272">
        <f>IF(AND(method_reg="Метод индексации",god&lt;&gt;first_year),_xlfn.SUMIFS(INDEX('Калькуляция (МИ корр)'!$AJ$25:$BC$747,,MATCH(BB$8,'Калькуляция (МИ корр)'!$AJ$8:$BC$8,0)),'Калькуляция (МИ корр)'!$F$25:$F$747,$F337,'Калькуляция (МИ корр)'!$G$25:$G$747,$G337),IF(method_reg="Метод экономически обоснованных расходов",_xlfn.SUMIFS('Калькуляция (МЭОР)'!$AJ$25:$AJ$452,'Калькуляция (МЭОР)'!$F$25:$F$452,$F337,'Калькуляция (МЭОР)'!$G$25:$G$452,$G337),IF(method_reg="Метод сравнения аналогов",_xlfn.SUMIFS('Калькуляция (МСА)'!$AE$25:$AE$122,'Калькуляция (МСА)'!$F$25:$F$122,$F337,'Калькуляция (МСА)'!$G$25:$G$122,$G337),_xlfn.SUMIFS(INDEX('Калькуляция (МИ)'!$AJ$25:$BC$747,,MATCH(BB$8,'Калькуляция (МИ)'!$AJ$8:$BC$8,0)),'Калькуляция (МИ)'!$F$25:$F$747,$F337,'Калькуляция (МИ)'!$G$25:$G$747,$G337))))</f>
        <v>0</v>
      </c>
      <c r="BC337" s="5272">
        <f>IF(AND(method_reg="Метод индексации",god&lt;&gt;first_year),_xlfn.SUMIFS(INDEX('Калькуляция (МИ корр)'!$AJ$25:$BC$747,,MATCH(BC$8,'Калькуляция (МИ корр)'!$AJ$8:$BC$8,0)),'Калькуляция (МИ корр)'!$F$25:$F$747,$F337,'Калькуляция (МИ корр)'!$G$25:$G$747,$G337),IF(method_reg="Метод экономически обоснованных расходов",_xlfn.SUMIFS('Калькуляция (МЭОР)'!$AK$25:$AK$452,'Калькуляция (МЭОР)'!$F$25:$F$452,$F337,'Калькуляция (МЭОР)'!$G$25:$G$452,$G337),IF(method_reg="Метод сравнения аналогов",_xlfn.SUMIFS('Калькуляция (МСА)'!$AF$25:$AF$122,'Калькуляция (МСА)'!$F$25:$F$122,$F337,'Калькуляция (МСА)'!$G$25:$G$122,$G337),_xlfn.SUMIFS(INDEX('Калькуляция (МИ)'!$AJ$25:$BC$747,,MATCH(BC$8,'Калькуляция (МИ)'!$AJ$8:$BC$8,0)),'Калькуляция (МИ)'!$F$25:$F$747,$F337,'Калькуляция (МИ)'!$G$25:$G$747,$G337))))</f>
        <v>0</v>
      </c>
      <c r="BD337" s="296">
        <f>IF(BB337=0,0,(BC337-BB337)/BB337*100)</f>
        <v>0</v>
      </c>
      <c r="BE337" s="5272">
        <f>IF(AND(method_reg="Метод индексации",god&lt;&gt;first_year),_xlfn.SUMIFS(INDEX('Калькуляция (МИ корр)'!$AJ$25:$BC$747,,MATCH(BE$8,'Калькуляция (МИ корр)'!$AJ$8:$BC$8,0)),'Калькуляция (МИ корр)'!$F$25:$F$747,$F337,'Калькуляция (МИ корр)'!$G$25:$G$747,$G337),IF(method_reg="Метод экономически обоснованных расходов",_xlfn.SUMIFS('Калькуляция (МЭОР)'!$AJ$25:$AJ$452,'Калькуляция (МЭОР)'!$F$25:$F$452,$F337,'Калькуляция (МЭОР)'!$G$25:$G$452,$G337),IF(method_reg="Метод сравнения аналогов",_xlfn.SUMIFS('Калькуляция (МСА)'!$AE$25:$AE$122,'Калькуляция (МСА)'!$F$25:$F$122,$F337,'Калькуляция (МСА)'!$G$25:$G$122,$G337),_xlfn.SUMIFS(INDEX('Калькуляция (МИ)'!$AJ$25:$BC$747,,MATCH(BE$8,'Калькуляция (МИ)'!$AJ$8:$BC$8,0)),'Калькуляция (МИ)'!$F$25:$F$747,$F337,'Калькуляция (МИ)'!$G$25:$G$747,$G337))))</f>
        <v>0</v>
      </c>
      <c r="BF337" s="5272">
        <f>IF(AND(method_reg="Метод индексации",god&lt;&gt;first_year),_xlfn.SUMIFS(INDEX('Калькуляция (МИ корр)'!$AJ$25:$BC$747,,MATCH(BF$8,'Калькуляция (МИ корр)'!$AJ$8:$BC$8,0)),'Калькуляция (МИ корр)'!$F$25:$F$747,$F337,'Калькуляция (МИ корр)'!$G$25:$G$747,$G337),IF(method_reg="Метод экономически обоснованных расходов",_xlfn.SUMIFS('Калькуляция (МЭОР)'!$AK$25:$AK$452,'Калькуляция (МЭОР)'!$F$25:$F$452,$F337,'Калькуляция (МЭОР)'!$G$25:$G$452,$G337),IF(method_reg="Метод сравнения аналогов",_xlfn.SUMIFS('Калькуляция (МСА)'!$AF$25:$AF$122,'Калькуляция (МСА)'!$F$25:$F$122,$F337,'Калькуляция (МСА)'!$G$25:$G$122,$G337),_xlfn.SUMIFS(INDEX('Калькуляция (МИ)'!$AJ$25:$BC$747,,MATCH(BF$8,'Калькуляция (МИ)'!$AJ$8:$BC$8,0)),'Калькуляция (МИ)'!$F$25:$F$747,$F337,'Калькуляция (МИ)'!$G$25:$G$747,$G337))))</f>
        <v>0</v>
      </c>
      <c r="BG337" s="296">
        <f>IF(BE337=0,0,(BF337-BE337)/BE337*100)</f>
        <v>0</v>
      </c>
      <c r="BH337" s="5272"/>
      <c r="BI337" s="5272"/>
      <c r="BJ337" s="296">
        <f>IF(BH337=0,0,(BI337-BH337)/BH337*100)</f>
        <v>0</v>
      </c>
      <c r="BK337" s="5272"/>
      <c r="BL337" s="5272"/>
      <c r="BM337" s="296">
        <f>IF(BK337=0,0,(BL337-BK337)/BK337*100)</f>
        <v>0</v>
      </c>
      <c r="BN337" s="5272"/>
      <c r="BO337" s="5272"/>
      <c r="BP337" s="296">
        <f>IF(BN337=0,0,(BO337-BN337)/BN337*100)</f>
        <v>0</v>
      </c>
      <c r="BQ337" s="5272"/>
      <c r="BR337" s="5272"/>
      <c r="BS337" s="296">
        <f>IF(BQ337=0,0,(BR337-BQ337)/BQ337*100)</f>
        <v>0</v>
      </c>
      <c r="BT337" s="5272"/>
      <c r="BU337" s="5272"/>
      <c r="BV337" s="296">
        <f>IF(BT337=0,0,(BU337-BT337)/BT337*100)</f>
        <v>0</v>
      </c>
      <c r="BW337" s="5272"/>
      <c r="BX337" s="5272"/>
      <c r="BY337" s="296">
        <f>IF(BW337=0,0,(BX337-BW337)/BW337*100)</f>
        <v>0</v>
      </c>
      <c r="BZ337" s="5272"/>
      <c r="CA337" s="5272"/>
      <c r="CB337" s="296">
        <f>IF(BZ337=0,0,(CA337-BZ337)/BZ337*100)</f>
        <v>0</v>
      </c>
      <c r="CC337" s="5272"/>
      <c r="CD337" s="5272"/>
      <c r="CE337" s="296">
        <f>IF(CC337=0,0,(CD337-CC337)/CC337*100)</f>
        <v>0</v>
      </c>
      <c r="CF337" s="5272"/>
      <c r="CG337" s="5272"/>
      <c r="CH337" s="296">
        <f>IF(CF337=0,0,(CG337-CF337)/CF337*100)</f>
        <v>0</v>
      </c>
      <c r="CI337" s="5272"/>
      <c r="CJ337" s="5272"/>
      <c r="CK337" s="296">
        <f>IF(CI337=0,0,(CJ337-CI337)/CI337*100)</f>
        <v>0</v>
      </c>
      <c r="CL337" s="5272"/>
      <c r="CM337" s="5272"/>
      <c r="CN337" s="296">
        <f>IF(CL337=0,0,(CM337-CL337)/CL337*100)</f>
        <v>0</v>
      </c>
      <c r="CO337" s="5272"/>
      <c r="CP337" s="5272"/>
      <c r="CQ337" s="296">
        <f>IF(CO337=0,0,(CP337-CO337)/CO337*100)</f>
        <v>0</v>
      </c>
      <c r="CR337" s="5272"/>
      <c r="CS337" s="5272"/>
      <c r="CT337" s="296">
        <f>IF(CR337=0,0,(CS337-CR337)/CR337*100)</f>
        <v>0</v>
      </c>
      <c r="CU337" s="5272"/>
      <c r="CV337" s="5272"/>
      <c r="CW337" s="296">
        <f>IF(CU337=0,0,(CV337-CU337)/CU337*100)</f>
        <v>0</v>
      </c>
      <c r="CX337" s="5272"/>
      <c r="CY337" s="5272"/>
      <c r="CZ337" s="296">
        <f>IF(CX337=0,0,(CY337-CX337)/CX337*100)</f>
        <v>0</v>
      </c>
      <c r="DA337" s="5272"/>
      <c r="DB337" s="5272"/>
      <c r="DC337" s="296">
        <f>IF(DA337=0,0,(DB337-DA337)/DA337*100)</f>
        <v>0</v>
      </c>
      <c r="DD337" s="5272"/>
      <c r="DE337" s="5272"/>
      <c r="DF337" s="296">
        <f>IF(DD337=0,0,(DE337-DD337)/DD337*100)</f>
        <v>0</v>
      </c>
      <c r="DG337" s="5272"/>
      <c r="DH337" s="5272"/>
      <c r="DI337" s="296">
        <f>IF(DG337=0,0,(DH337-DG337)/DG337*100)</f>
        <v>0</v>
      </c>
      <c r="DJ337" s="5272"/>
      <c r="DK337" s="5272"/>
      <c r="DL337" s="296">
        <f>IF(DJ337=0,0,(DK337-DJ337)/DJ337*100)</f>
        <v>0</v>
      </c>
      <c r="DM337" s="5272"/>
      <c r="DN337" s="5272"/>
      <c r="DO337" s="296">
        <f>IF(DM337=0,0,(DN337-DM337)/DM337*100)</f>
        <v>0</v>
      </c>
      <c r="DP337" s="5272"/>
      <c r="DQ337" s="5272"/>
      <c r="DR337" s="296">
        <f>IF(DP337=0,0,(DQ337-DP337)/DP337*100)</f>
        <v>0</v>
      </c>
      <c r="DS337" s="5272"/>
      <c r="DT337" s="5272"/>
      <c r="DU337" s="296">
        <f>IF(DS337=0,0,(DT337-DS337)/DS337*100)</f>
        <v>0</v>
      </c>
      <c r="DV337" s="5272"/>
      <c r="DW337" s="5272"/>
      <c r="DX337" s="296">
        <f>IF(DV337=0,0,(DW337-DV337)/DV337*100)</f>
        <v>0</v>
      </c>
      <c r="DY337" s="5272"/>
      <c r="DZ337" s="5272"/>
      <c r="EA337" s="296">
        <f>IF(DY337=0,0,(DZ337-DY337)/DY337*100)</f>
        <v>0</v>
      </c>
      <c r="EB337" s="5272"/>
      <c r="EC337" s="5272"/>
      <c r="ED337" s="296">
        <f>IF(EB337=0,0,(EC337-EB337)/EB337*100)</f>
        <v>0</v>
      </c>
      <c r="EE337" s="5272"/>
      <c r="EF337" s="5272"/>
      <c r="EG337" s="296">
        <f>IF(EE337=0,0,(EF337-EE337)/EE337*100)</f>
        <v>0</v>
      </c>
      <c r="EH337" s="5272"/>
      <c r="EI337" s="5272"/>
      <c r="EJ337" s="296">
        <f>IF(EH337=0,0,(EI337-EH337)/EH337*100)</f>
        <v>0</v>
      </c>
      <c r="EK337" s="5272"/>
      <c r="EL337" s="5272"/>
      <c r="EM337" s="296">
        <f>IF(EK337=0,0,(EL337-EK337)/EK337*100)</f>
        <v>0</v>
      </c>
      <c r="EN337" s="5272"/>
      <c r="EO337" s="5272"/>
      <c r="EP337" s="296">
        <f>IF(EN337=0,0,(EO337-EN337)/EN337*100)</f>
        <v>0</v>
      </c>
      <c r="EQ337" s="5272"/>
      <c r="ER337" s="5272"/>
      <c r="ES337" s="296">
        <f>IF(EQ337=0,0,(ER337-EQ337)/EQ337*100)</f>
        <v>0</v>
      </c>
      <c r="ET337" s="5272"/>
      <c r="EU337" s="5272"/>
      <c r="EV337" s="296">
        <f>IF(ET337=0,0,(EU337-ET337)/ET337*100)</f>
        <v>0</v>
      </c>
      <c r="EW337" s="5272"/>
      <c r="EX337" s="5272"/>
      <c r="EY337" s="296">
        <f>IF(EW337=0,0,(EX337-EW337)/EW337*100)</f>
        <v>0</v>
      </c>
      <c r="EZ337" s="5272"/>
      <c r="FA337" s="5272"/>
      <c r="FB337" s="296">
        <f>IF(EZ337=0,0,(FA337-EZ337)/EZ337*100)</f>
        <v>0</v>
      </c>
      <c r="FC337" s="5272"/>
      <c r="FD337" s="5272"/>
      <c r="FE337" s="296">
        <f>IF(FC337=0,0,(FD337-FC337)/FC337*100)</f>
        <v>0</v>
      </c>
      <c r="FF337" s="5272"/>
      <c r="FG337" s="5272"/>
      <c r="FH337" s="296">
        <f>IF(FF337=0,0,(FG337-FF337)/FF337*100)</f>
        <v>0</v>
      </c>
      <c r="FI337" s="5272"/>
      <c r="FJ337" s="5272"/>
      <c r="FK337" s="296">
        <f>IF(FI337=0,0,(FJ337-FI337)/FI337*100)</f>
        <v>0</v>
      </c>
      <c r="FL337" s="5272"/>
      <c r="FM337" s="5272"/>
      <c r="FN337" s="296">
        <f>IF(FL337=0,0,(FM337-FL337)/FL337*100)</f>
        <v>0</v>
      </c>
      <c r="FO337" s="5272"/>
      <c r="FP337" s="5272"/>
      <c r="FQ337" s="296">
        <f>IF(FO337=0,0,(FP337-FO337)/FO337*100)</f>
        <v>0</v>
      </c>
      <c r="FR337" s="5272"/>
      <c r="FS337" s="5272"/>
      <c r="FT337" s="296">
        <f>IF(FR337=0,0,(FS337-FR337)/FR337*100)</f>
        <v>0</v>
      </c>
      <c r="FU337" s="5272"/>
      <c r="FV337" s="5272"/>
      <c r="FW337" s="296">
        <f>IF(FU337=0,0,(FV337-FU337)/FU337*100)</f>
        <v>0</v>
      </c>
      <c r="FX337" s="292"/>
      <c r="FY337" s="292"/>
      <c r="FZ337" s="1055" t="s">
        <v>2417</v>
      </c>
      <c r="GA337" s="1055"/>
      <c r="GB337" s="1055"/>
      <c r="GC337" s="1056"/>
      <c r="GD337" s="1056"/>
    </row>
    <row s="6976" customFormat="1" customHeight="1" ht="23.25" hidden="1">
      <c r="A338" s="897"/>
      <c r="B338" s="925" cm="1" t="str">
        <f t="array" ref="B338:B338">B337</f>
        <v>false</v>
      </c>
      <c r="C338" s="897"/>
      <c r="D338" s="897"/>
      <c r="E338" s="840">
        <v>24.5</v>
      </c>
      <c r="F338" s="50" cm="1" t="str">
        <f t="array" ref="F338:F338">OFFSET(E338,-1,1)</f>
        <v>4</v>
      </c>
      <c r="G338" s="107" t="s">
        <v>2339</v>
      </c>
      <c r="H338" s="493" t="s">
        <v>1175</v>
      </c>
      <c r="I338" s="493" t="s">
        <v>2418</v>
      </c>
      <c r="J338" s="897"/>
      <c r="K338" s="897"/>
      <c r="L338" s="897"/>
      <c r="M338" s="897"/>
      <c r="N338" s="897"/>
      <c r="O338" s="897"/>
      <c r="P338" s="897"/>
      <c r="Q338" s="897"/>
      <c r="R338" s="897"/>
      <c r="S338" s="493"/>
      <c r="T338" s="465" cm="1" t="str">
        <f t="array" ref="T338:T338">T337</f>
        <v>true</v>
      </c>
      <c r="U338" s="897"/>
      <c r="V338" s="897"/>
      <c r="W338" s="897"/>
      <c r="X338" s="1596"/>
      <c r="Y338" s="897"/>
      <c r="Z338" s="1545"/>
      <c r="AA338" s="897"/>
      <c r="AB338" s="219" t="s">
        <v>2419</v>
      </c>
      <c r="AC338" s="234" t="s">
        <v>2337</v>
      </c>
      <c r="AD338" s="5272">
        <f>IF(AND(method_reg="Метод индексации",god&lt;&gt;first_year),_xlfn.SUMIFS(INDEX('Калькуляция (МИ корр)'!$AJ$25:$BC$747,,MATCH(AD$8,'Калькуляция (МИ корр)'!$AJ$8:$BC$8,0)),'Калькуляция (МИ корр)'!$F$25:$F$747,$F338,'Калькуляция (МИ корр)'!$G$25:$G$747,$G338),IF(method_reg="Метод экономически обоснованных расходов",_xlfn.SUMIFS('Калькуляция (МЭОР)'!$AJ$25:$AJ$452,'Калькуляция (МЭОР)'!$F$25:$F$452,$F338,'Калькуляция (МЭОР)'!$G$25:$G$452,$G338),IF(method_reg="Метод сравнения аналогов",_xlfn.SUMIFS('Калькуляция (МСА)'!$AE$25:$AE$122,'Калькуляция (МСА)'!$F$25:$F$122,$F338,'Калькуляция (МСА)'!$G$25:$G$122,$G338),_xlfn.SUMIFS(INDEX('Калькуляция (МИ)'!$AJ$25:$BC$747,,MATCH(AD$8,'Калькуляция (МИ)'!$AJ$8:$BC$8,0)),'Калькуляция (МИ)'!$F$25:$F$747,$F338,'Калькуляция (МИ)'!$G$25:$G$747,$G338))))</f>
        <v>133.610000827539</v>
      </c>
      <c r="AE338" s="5272">
        <f>IF(AND(method_reg="Метод индексации",god&lt;&gt;first_year),_xlfn.SUMIFS(INDEX('Калькуляция (МИ корр)'!$AJ$25:$BC$747,,MATCH(AE$8,'Калькуляция (МИ корр)'!$AJ$8:$BC$8,0)),'Калькуляция (МИ корр)'!$F$25:$F$747,$F338,'Калькуляция (МИ корр)'!$G$25:$G$747,$G338),IF(method_reg="Метод экономически обоснованных расходов",_xlfn.SUMIFS('Калькуляция (МЭОР)'!$AK$25:$AK$452,'Калькуляция (МЭОР)'!$F$25:$F$452,$F338,'Калькуляция (МЭОР)'!$G$25:$G$452,$G338),IF(method_reg="Метод сравнения аналогов",_xlfn.SUMIFS('Калькуляция (МСА)'!$AF$25:$AF$122,'Калькуляция (МСА)'!$F$25:$F$122,$F338,'Калькуляция (МСА)'!$G$25:$G$122,$G338),_xlfn.SUMIFS(INDEX('Калькуляция (МИ)'!$AJ$25:$BC$747,,MATCH(AE$8,'Калькуляция (МИ)'!$AJ$8:$BC$8,0)),'Калькуляция (МИ)'!$F$25:$F$747,$F338,'Калькуляция (МИ)'!$G$25:$G$747,$G338))))</f>
        <v>133.609999656924</v>
      </c>
      <c r="AF338" s="296">
        <f>IF(AD338=0,0,(AE338-AD338)/AD338*100)</f>
        <v>-8.76143253008578e-7</v>
      </c>
      <c r="AG338" s="5272">
        <f>IF(AND(method_reg="Метод индексации",god&lt;&gt;first_year),_xlfn.SUMIFS(INDEX('Калькуляция (МИ корр)'!$AJ$25:$BC$747,,MATCH(AG$8,'Калькуляция (МИ корр)'!$AJ$8:$BC$8,0)),'Калькуляция (МИ корр)'!$F$25:$F$747,$F338,'Калькуляция (МИ корр)'!$G$25:$G$747,$G338),IF(method_reg="Метод экономически обоснованных расходов",_xlfn.SUMIFS('Калькуляция (МЭОР)'!$AJ$25:$AJ$452,'Калькуляция (МЭОР)'!$F$25:$F$452,$F338,'Калькуляция (МЭОР)'!$G$25:$G$452,$G338),IF(method_reg="Метод сравнения аналогов",_xlfn.SUMIFS('Калькуляция (МСА)'!$AE$25:$AE$122,'Калькуляция (МСА)'!$F$25:$F$122,$F338,'Калькуляция (МСА)'!$G$25:$G$122,$G338),_xlfn.SUMIFS(INDEX('Калькуляция (МИ)'!$AJ$25:$BC$747,,MATCH(AG$8,'Калькуляция (МИ)'!$AJ$8:$BC$8,0)),'Калькуляция (МИ)'!$F$25:$F$747,$F338,'Калькуляция (МИ)'!$G$25:$G$747,$G338))))</f>
        <v>137.999999556023</v>
      </c>
      <c r="AH338" s="5272">
        <f>IF(AND(method_reg="Метод индексации",god&lt;&gt;first_year),_xlfn.SUMIFS(INDEX('Калькуляция (МИ корр)'!$AJ$25:$BC$747,,MATCH(AH$8,'Калькуляция (МИ корр)'!$AJ$8:$BC$8,0)),'Калькуляция (МИ корр)'!$F$25:$F$747,$F338,'Калькуляция (МИ корр)'!$G$25:$G$747,$G338),IF(method_reg="Метод экономически обоснованных расходов",_xlfn.SUMIFS('Калькуляция (МЭОР)'!$AK$25:$AK$452,'Калькуляция (МЭОР)'!$F$25:$F$452,$F338,'Калькуляция (МЭОР)'!$G$25:$G$452,$G338),IF(method_reg="Метод сравнения аналогов",_xlfn.SUMIFS('Калькуляция (МСА)'!$AF$25:$AF$122,'Калькуляция (МСА)'!$F$25:$F$122,$F338,'Калькуляция (МСА)'!$G$25:$G$122,$G338),_xlfn.SUMIFS(INDEX('Калькуляция (МИ)'!$AJ$25:$BC$747,,MATCH(AH$8,'Калькуляция (МИ)'!$AJ$8:$BC$8,0)),'Калькуляция (МИ)'!$F$25:$F$747,$F338,'Калькуляция (МИ)'!$G$25:$G$747,$G338))))</f>
        <v>137.999997362767</v>
      </c>
      <c r="AI338" s="296">
        <f>IF(AG338=0,0,(AH338-AG338)/AG338*100)</f>
        <v>-0.00000158931594322773</v>
      </c>
      <c r="AJ338" s="5272">
        <f>IF(AND(method_reg="Метод индексации",god&lt;&gt;first_year),_xlfn.SUMIFS(INDEX('Калькуляция (МИ корр)'!$AJ$25:$BC$747,,MATCH(AJ$8,'Калькуляция (МИ корр)'!$AJ$8:$BC$8,0)),'Калькуляция (МИ корр)'!$F$25:$F$747,$F338,'Калькуляция (МИ корр)'!$G$25:$G$747,$G338),IF(method_reg="Метод экономически обоснованных расходов",_xlfn.SUMIFS('Калькуляция (МЭОР)'!$AJ$25:$AJ$452,'Калькуляция (МЭОР)'!$F$25:$F$452,$F338,'Калькуляция (МЭОР)'!$G$25:$G$452,$G338),IF(method_reg="Метод сравнения аналогов",_xlfn.SUMIFS('Калькуляция (МСА)'!$AE$25:$AE$122,'Калькуляция (МСА)'!$F$25:$F$122,$F338,'Калькуляция (МСА)'!$G$25:$G$122,$G338),_xlfn.SUMIFS(INDEX('Калькуляция (МИ)'!$AJ$25:$BC$747,,MATCH(AJ$8,'Калькуляция (МИ)'!$AJ$8:$BC$8,0)),'Калькуляция (МИ)'!$F$25:$F$747,$F338,'Калькуляция (МИ)'!$G$25:$G$747,$G338))))</f>
        <v>140.500005830706</v>
      </c>
      <c r="AK338" s="5272">
        <f>IF(AND(method_reg="Метод индексации",god&lt;&gt;first_year),_xlfn.SUMIFS(INDEX('Калькуляция (МИ корр)'!$AJ$25:$BC$747,,MATCH(AK$8,'Калькуляция (МИ корр)'!$AJ$8:$BC$8,0)),'Калькуляция (МИ корр)'!$F$25:$F$747,$F338,'Калькуляция (МИ корр)'!$G$25:$G$747,$G338),IF(method_reg="Метод экономически обоснованных расходов",_xlfn.SUMIFS('Калькуляция (МЭОР)'!$AK$25:$AK$452,'Калькуляция (МЭОР)'!$F$25:$F$452,$F338,'Калькуляция (МЭОР)'!$G$25:$G$452,$G338),IF(method_reg="Метод сравнения аналогов",_xlfn.SUMIFS('Калькуляция (МСА)'!$AF$25:$AF$122,'Калькуляция (МСА)'!$F$25:$F$122,$F338,'Калькуляция (МСА)'!$G$25:$G$122,$G338),_xlfn.SUMIFS(INDEX('Калькуляция (МИ)'!$AJ$25:$BC$747,,MATCH(AK$8,'Калькуляция (МИ)'!$AJ$8:$BC$8,0)),'Калькуляция (МИ)'!$F$25:$F$747,$F338,'Калькуляция (МИ)'!$G$25:$G$747,$G338))))</f>
        <v>140.500002614866</v>
      </c>
      <c r="AL338" s="296">
        <f>IF(AJ338=0,0,(AK338-AJ338)/AJ338*100)</f>
        <v>-0.00000228885399474534</v>
      </c>
      <c r="AM338" s="5272">
        <f>IF(AND(method_reg="Метод индексации",god&lt;&gt;first_year),_xlfn.SUMIFS(INDEX('Калькуляция (МИ корр)'!$AJ$25:$BC$747,,MATCH(AM$8,'Калькуляция (МИ корр)'!$AJ$8:$BC$8,0)),'Калькуляция (МИ корр)'!$F$25:$F$747,$F338,'Калькуляция (МИ корр)'!$G$25:$G$747,$G338),IF(method_reg="Метод экономически обоснованных расходов",_xlfn.SUMIFS('Калькуляция (МЭОР)'!$AJ$25:$AJ$452,'Калькуляция (МЭОР)'!$F$25:$F$452,$F338,'Калькуляция (МЭОР)'!$G$25:$G$452,$G338),IF(method_reg="Метод сравнения аналогов",_xlfn.SUMIFS('Калькуляция (МСА)'!$AE$25:$AE$122,'Калькуляция (МСА)'!$F$25:$F$122,$F338,'Калькуляция (МСА)'!$G$25:$G$122,$G338),_xlfn.SUMIFS(INDEX('Калькуляция (МИ)'!$AJ$25:$BC$747,,MATCH(AM$8,'Калькуляция (МИ)'!$AJ$8:$BC$8,0)),'Калькуляция (МИ)'!$F$25:$F$747,$F338,'Калькуляция (МИ)'!$G$25:$G$747,$G338))))</f>
        <v>144.3200013515</v>
      </c>
      <c r="AN338" s="5272">
        <f>IF(AND(method_reg="Метод индексации",god&lt;&gt;first_year),_xlfn.SUMIFS(INDEX('Калькуляция (МИ корр)'!$AJ$25:$BC$747,,MATCH(AN$8,'Калькуляция (МИ корр)'!$AJ$8:$BC$8,0)),'Калькуляция (МИ корр)'!$F$25:$F$747,$F338,'Калькуляция (МИ корр)'!$G$25:$G$747,$G338),IF(method_reg="Метод экономически обоснованных расходов",_xlfn.SUMIFS('Калькуляция (МЭОР)'!$AK$25:$AK$452,'Калькуляция (МЭОР)'!$F$25:$F$452,$F338,'Калькуляция (МЭОР)'!$G$25:$G$452,$G338),IF(method_reg="Метод сравнения аналогов",_xlfn.SUMIFS('Калькуляция (МСА)'!$AF$25:$AF$122,'Калькуляция (МСА)'!$F$25:$F$122,$F338,'Калькуляция (МСА)'!$G$25:$G$122,$G338),_xlfn.SUMIFS(INDEX('Калькуляция (МИ)'!$AJ$25:$BC$747,,MATCH(AN$8,'Калькуляция (МИ)'!$AJ$8:$BC$8,0)),'Калькуляция (МИ)'!$F$25:$F$747,$F338,'Калькуляция (МИ)'!$G$25:$G$747,$G338))))</f>
        <v>144.319997370917</v>
      </c>
      <c r="AO338" s="296">
        <f>IF(AM338=0,0,(AN338-AM338)/AM338*100)</f>
        <v>-0.00000275816446181005</v>
      </c>
      <c r="AP338" s="5272">
        <f>IF(AND(method_reg="Метод индексации",god&lt;&gt;first_year),_xlfn.SUMIFS(INDEX('Калькуляция (МИ корр)'!$AJ$25:$BC$747,,MATCH(AP$8,'Калькуляция (МИ корр)'!$AJ$8:$BC$8,0)),'Калькуляция (МИ корр)'!$F$25:$F$747,$F338,'Калькуляция (МИ корр)'!$G$25:$G$747,$G338),IF(method_reg="Метод экономически обоснованных расходов",_xlfn.SUMIFS('Калькуляция (МЭОР)'!$AJ$25:$AJ$452,'Калькуляция (МЭОР)'!$F$25:$F$452,$F338,'Калькуляция (МЭОР)'!$G$25:$G$452,$G338),IF(method_reg="Метод сравнения аналогов",_xlfn.SUMIFS('Калькуляция (МСА)'!$AE$25:$AE$122,'Калькуляция (МСА)'!$F$25:$F$122,$F338,'Калькуляция (МСА)'!$G$25:$G$122,$G338),_xlfn.SUMIFS(INDEX('Калькуляция (МИ)'!$AJ$25:$BC$747,,MATCH(AP$8,'Калькуляция (МИ)'!$AJ$8:$BC$8,0)),'Калькуляция (МИ)'!$F$25:$F$747,$F338,'Калькуляция (МИ)'!$G$25:$G$747,$G338))))</f>
        <v>150.911537926571</v>
      </c>
      <c r="AQ338" s="5272">
        <f>IF(AND(method_reg="Метод индексации",god&lt;&gt;first_year),_xlfn.SUMIFS(INDEX('Калькуляция (МИ корр)'!$AJ$25:$BC$747,,MATCH(AQ$8,'Калькуляция (МИ корр)'!$AJ$8:$BC$8,0)),'Калькуляция (МИ корр)'!$F$25:$F$747,$F338,'Калькуляция (МИ корр)'!$G$25:$G$747,$G338),IF(method_reg="Метод экономически обоснованных расходов",_xlfn.SUMIFS('Калькуляция (МЭОР)'!$AK$25:$AK$452,'Калькуляция (МЭОР)'!$F$25:$F$452,$F338,'Калькуляция (МЭОР)'!$G$25:$G$452,$G338),IF(method_reg="Метод сравнения аналогов",_xlfn.SUMIFS('Калькуляция (МСА)'!$AF$25:$AF$122,'Калькуляция (МСА)'!$F$25:$F$122,$F338,'Калькуляция (МСА)'!$G$25:$G$122,$G338),_xlfn.SUMIFS(INDEX('Калькуляция (МИ)'!$AJ$25:$BC$747,,MATCH(AQ$8,'Калькуляция (МИ)'!$AJ$8:$BC$8,0)),'Калькуляция (МИ)'!$F$25:$F$747,$F338,'Калькуляция (МИ)'!$G$25:$G$747,$G338))))</f>
        <v>150.911543287088</v>
      </c>
      <c r="AR338" s="296">
        <f>IF(AP338=0,0,(AQ338-AP338)/AP338*100)</f>
        <v>0.00000355209222681539</v>
      </c>
      <c r="AS338" s="5272">
        <f>IF(AND(method_reg="Метод индексации",god&lt;&gt;first_year),_xlfn.SUMIFS(INDEX('Калькуляция (МИ корр)'!$AJ$25:$BC$747,,MATCH(AS$8,'Калькуляция (МИ корр)'!$AJ$8:$BC$8,0)),'Калькуляция (МИ корр)'!$F$25:$F$747,$F338,'Калькуляция (МИ корр)'!$G$25:$G$747,$G338),IF(method_reg="Метод экономически обоснованных расходов",_xlfn.SUMIFS('Калькуляция (МЭОР)'!$AJ$25:$AJ$452,'Калькуляция (МЭОР)'!$F$25:$F$452,$F338,'Калькуляция (МЭОР)'!$G$25:$G$452,$G338),IF(method_reg="Метод сравнения аналогов",_xlfn.SUMIFS('Калькуляция (МСА)'!$AE$25:$AE$122,'Калькуляция (МСА)'!$F$25:$F$122,$F338,'Калькуляция (МСА)'!$G$25:$G$122,$G338),_xlfn.SUMIFS(INDEX('Калькуляция (МИ)'!$AJ$25:$BC$747,,MATCH(AS$8,'Калькуляция (МИ)'!$AJ$8:$BC$8,0)),'Калькуляция (МИ)'!$F$25:$F$747,$F338,'Калькуляция (МИ)'!$G$25:$G$747,$G338))))</f>
        <v>0</v>
      </c>
      <c r="AT338" s="5272">
        <f>IF(AND(method_reg="Метод индексации",god&lt;&gt;first_year),_xlfn.SUMIFS(INDEX('Калькуляция (МИ корр)'!$AJ$25:$BC$747,,MATCH(AT$8,'Калькуляция (МИ корр)'!$AJ$8:$BC$8,0)),'Калькуляция (МИ корр)'!$F$25:$F$747,$F338,'Калькуляция (МИ корр)'!$G$25:$G$747,$G338),IF(method_reg="Метод экономически обоснованных расходов",_xlfn.SUMIFS('Калькуляция (МЭОР)'!$AK$25:$AK$452,'Калькуляция (МЭОР)'!$F$25:$F$452,$F338,'Калькуляция (МЭОР)'!$G$25:$G$452,$G338),IF(method_reg="Метод сравнения аналогов",_xlfn.SUMIFS('Калькуляция (МСА)'!$AF$25:$AF$122,'Калькуляция (МСА)'!$F$25:$F$122,$F338,'Калькуляция (МСА)'!$G$25:$G$122,$G338),_xlfn.SUMIFS(INDEX('Калькуляция (МИ)'!$AJ$25:$BC$747,,MATCH(AT$8,'Калькуляция (МИ)'!$AJ$8:$BC$8,0)),'Калькуляция (МИ)'!$F$25:$F$747,$F338,'Калькуляция (МИ)'!$G$25:$G$747,$G338))))</f>
        <v>0</v>
      </c>
      <c r="AU338" s="296">
        <f>IF(AS338=0,0,(AT338-AS338)/AS338*100)</f>
        <v>0</v>
      </c>
      <c r="AV338" s="5272">
        <f>IF(AND(method_reg="Метод индексации",god&lt;&gt;first_year),_xlfn.SUMIFS(INDEX('Калькуляция (МИ корр)'!$AJ$25:$BC$747,,MATCH(AV$8,'Калькуляция (МИ корр)'!$AJ$8:$BC$8,0)),'Калькуляция (МИ корр)'!$F$25:$F$747,$F338,'Калькуляция (МИ корр)'!$G$25:$G$747,$G338),IF(method_reg="Метод экономически обоснованных расходов",_xlfn.SUMIFS('Калькуляция (МЭОР)'!$AJ$25:$AJ$452,'Калькуляция (МЭОР)'!$F$25:$F$452,$F338,'Калькуляция (МЭОР)'!$G$25:$G$452,$G338),IF(method_reg="Метод сравнения аналогов",_xlfn.SUMIFS('Калькуляция (МСА)'!$AE$25:$AE$122,'Калькуляция (МСА)'!$F$25:$F$122,$F338,'Калькуляция (МСА)'!$G$25:$G$122,$G338),_xlfn.SUMIFS(INDEX('Калькуляция (МИ)'!$AJ$25:$BC$747,,MATCH(AV$8,'Калькуляция (МИ)'!$AJ$8:$BC$8,0)),'Калькуляция (МИ)'!$F$25:$F$747,$F338,'Калькуляция (МИ)'!$G$25:$G$747,$G338))))</f>
        <v>0</v>
      </c>
      <c r="AW338" s="5272">
        <f>IF(AND(method_reg="Метод индексации",god&lt;&gt;first_year),_xlfn.SUMIFS(INDEX('Калькуляция (МИ корр)'!$AJ$25:$BC$747,,MATCH(AW$8,'Калькуляция (МИ корр)'!$AJ$8:$BC$8,0)),'Калькуляция (МИ корр)'!$F$25:$F$747,$F338,'Калькуляция (МИ корр)'!$G$25:$G$747,$G338),IF(method_reg="Метод экономически обоснованных расходов",_xlfn.SUMIFS('Калькуляция (МЭОР)'!$AK$25:$AK$452,'Калькуляция (МЭОР)'!$F$25:$F$452,$F338,'Калькуляция (МЭОР)'!$G$25:$G$452,$G338),IF(method_reg="Метод сравнения аналогов",_xlfn.SUMIFS('Калькуляция (МСА)'!$AF$25:$AF$122,'Калькуляция (МСА)'!$F$25:$F$122,$F338,'Калькуляция (МСА)'!$G$25:$G$122,$G338),_xlfn.SUMIFS(INDEX('Калькуляция (МИ)'!$AJ$25:$BC$747,,MATCH(AW$8,'Калькуляция (МИ)'!$AJ$8:$BC$8,0)),'Калькуляция (МИ)'!$F$25:$F$747,$F338,'Калькуляция (МИ)'!$G$25:$G$747,$G338))))</f>
        <v>0</v>
      </c>
      <c r="AX338" s="296">
        <f>IF(AV338=0,0,(AW338-AV338)/AV338*100)</f>
        <v>0</v>
      </c>
      <c r="AY338" s="5272">
        <f>IF(AND(method_reg="Метод индексации",god&lt;&gt;first_year),_xlfn.SUMIFS(INDEX('Калькуляция (МИ корр)'!$AJ$25:$BC$747,,MATCH(AY$8,'Калькуляция (МИ корр)'!$AJ$8:$BC$8,0)),'Калькуляция (МИ корр)'!$F$25:$F$747,$F338,'Калькуляция (МИ корр)'!$G$25:$G$747,$G338),IF(method_reg="Метод экономически обоснованных расходов",_xlfn.SUMIFS('Калькуляция (МЭОР)'!$AJ$25:$AJ$452,'Калькуляция (МЭОР)'!$F$25:$F$452,$F338,'Калькуляция (МЭОР)'!$G$25:$G$452,$G338),IF(method_reg="Метод сравнения аналогов",_xlfn.SUMIFS('Калькуляция (МСА)'!$AE$25:$AE$122,'Калькуляция (МСА)'!$F$25:$F$122,$F338,'Калькуляция (МСА)'!$G$25:$G$122,$G338),_xlfn.SUMIFS(INDEX('Калькуляция (МИ)'!$AJ$25:$BC$747,,MATCH(AY$8,'Калькуляция (МИ)'!$AJ$8:$BC$8,0)),'Калькуляция (МИ)'!$F$25:$F$747,$F338,'Калькуляция (МИ)'!$G$25:$G$747,$G338))))</f>
        <v>0</v>
      </c>
      <c r="AZ338" s="5272">
        <f>IF(AND(method_reg="Метод индексации",god&lt;&gt;first_year),_xlfn.SUMIFS(INDEX('Калькуляция (МИ корр)'!$AJ$25:$BC$747,,MATCH(AZ$8,'Калькуляция (МИ корр)'!$AJ$8:$BC$8,0)),'Калькуляция (МИ корр)'!$F$25:$F$747,$F338,'Калькуляция (МИ корр)'!$G$25:$G$747,$G338),IF(method_reg="Метод экономически обоснованных расходов",_xlfn.SUMIFS('Калькуляция (МЭОР)'!$AK$25:$AK$452,'Калькуляция (МЭОР)'!$F$25:$F$452,$F338,'Калькуляция (МЭОР)'!$G$25:$G$452,$G338),IF(method_reg="Метод сравнения аналогов",_xlfn.SUMIFS('Калькуляция (МСА)'!$AF$25:$AF$122,'Калькуляция (МСА)'!$F$25:$F$122,$F338,'Калькуляция (МСА)'!$G$25:$G$122,$G338),_xlfn.SUMIFS(INDEX('Калькуляция (МИ)'!$AJ$25:$BC$747,,MATCH(AZ$8,'Калькуляция (МИ)'!$AJ$8:$BC$8,0)),'Калькуляция (МИ)'!$F$25:$F$747,$F338,'Калькуляция (МИ)'!$G$25:$G$747,$G338))))</f>
        <v>0</v>
      </c>
      <c r="BA338" s="296">
        <f>IF(AY338=0,0,(AZ338-AY338)/AY338*100)</f>
        <v>0</v>
      </c>
      <c r="BB338" s="5272">
        <f>IF(AND(method_reg="Метод индексации",god&lt;&gt;first_year),_xlfn.SUMIFS(INDEX('Калькуляция (МИ корр)'!$AJ$25:$BC$747,,MATCH(BB$8,'Калькуляция (МИ корр)'!$AJ$8:$BC$8,0)),'Калькуляция (МИ корр)'!$F$25:$F$747,$F338,'Калькуляция (МИ корр)'!$G$25:$G$747,$G338),IF(method_reg="Метод экономически обоснованных расходов",_xlfn.SUMIFS('Калькуляция (МЭОР)'!$AJ$25:$AJ$452,'Калькуляция (МЭОР)'!$F$25:$F$452,$F338,'Калькуляция (МЭОР)'!$G$25:$G$452,$G338),IF(method_reg="Метод сравнения аналогов",_xlfn.SUMIFS('Калькуляция (МСА)'!$AE$25:$AE$122,'Калькуляция (МСА)'!$F$25:$F$122,$F338,'Калькуляция (МСА)'!$G$25:$G$122,$G338),_xlfn.SUMIFS(INDEX('Калькуляция (МИ)'!$AJ$25:$BC$747,,MATCH(BB$8,'Калькуляция (МИ)'!$AJ$8:$BC$8,0)),'Калькуляция (МИ)'!$F$25:$F$747,$F338,'Калькуляция (МИ)'!$G$25:$G$747,$G338))))</f>
        <v>0</v>
      </c>
      <c r="BC338" s="5272">
        <f>IF(AND(method_reg="Метод индексации",god&lt;&gt;first_year),_xlfn.SUMIFS(INDEX('Калькуляция (МИ корр)'!$AJ$25:$BC$747,,MATCH(BC$8,'Калькуляция (МИ корр)'!$AJ$8:$BC$8,0)),'Калькуляция (МИ корр)'!$F$25:$F$747,$F338,'Калькуляция (МИ корр)'!$G$25:$G$747,$G338),IF(method_reg="Метод экономически обоснованных расходов",_xlfn.SUMIFS('Калькуляция (МЭОР)'!$AK$25:$AK$452,'Калькуляция (МЭОР)'!$F$25:$F$452,$F338,'Калькуляция (МЭОР)'!$G$25:$G$452,$G338),IF(method_reg="Метод сравнения аналогов",_xlfn.SUMIFS('Калькуляция (МСА)'!$AF$25:$AF$122,'Калькуляция (МСА)'!$F$25:$F$122,$F338,'Калькуляция (МСА)'!$G$25:$G$122,$G338),_xlfn.SUMIFS(INDEX('Калькуляция (МИ)'!$AJ$25:$BC$747,,MATCH(BC$8,'Калькуляция (МИ)'!$AJ$8:$BC$8,0)),'Калькуляция (МИ)'!$F$25:$F$747,$F338,'Калькуляция (МИ)'!$G$25:$G$747,$G338))))</f>
        <v>0</v>
      </c>
      <c r="BD338" s="296">
        <f>IF(BB338=0,0,(BC338-BB338)/BB338*100)</f>
        <v>0</v>
      </c>
      <c r="BE338" s="5272">
        <f>IF(AND(method_reg="Метод индексации",god&lt;&gt;first_year),_xlfn.SUMIFS(INDEX('Калькуляция (МИ корр)'!$AJ$25:$BC$747,,MATCH(BE$8,'Калькуляция (МИ корр)'!$AJ$8:$BC$8,0)),'Калькуляция (МИ корр)'!$F$25:$F$747,$F338,'Калькуляция (МИ корр)'!$G$25:$G$747,$G338),IF(method_reg="Метод экономически обоснованных расходов",_xlfn.SUMIFS('Калькуляция (МЭОР)'!$AJ$25:$AJ$452,'Калькуляция (МЭОР)'!$F$25:$F$452,$F338,'Калькуляция (МЭОР)'!$G$25:$G$452,$G338),IF(method_reg="Метод сравнения аналогов",_xlfn.SUMIFS('Калькуляция (МСА)'!$AE$25:$AE$122,'Калькуляция (МСА)'!$F$25:$F$122,$F338,'Калькуляция (МСА)'!$G$25:$G$122,$G338),_xlfn.SUMIFS(INDEX('Калькуляция (МИ)'!$AJ$25:$BC$747,,MATCH(BE$8,'Калькуляция (МИ)'!$AJ$8:$BC$8,0)),'Калькуляция (МИ)'!$F$25:$F$747,$F338,'Калькуляция (МИ)'!$G$25:$G$747,$G338))))</f>
        <v>0</v>
      </c>
      <c r="BF338" s="5272">
        <f>IF(AND(method_reg="Метод индексации",god&lt;&gt;first_year),_xlfn.SUMIFS(INDEX('Калькуляция (МИ корр)'!$AJ$25:$BC$747,,MATCH(BF$8,'Калькуляция (МИ корр)'!$AJ$8:$BC$8,0)),'Калькуляция (МИ корр)'!$F$25:$F$747,$F338,'Калькуляция (МИ корр)'!$G$25:$G$747,$G338),IF(method_reg="Метод экономически обоснованных расходов",_xlfn.SUMIFS('Калькуляция (МЭОР)'!$AK$25:$AK$452,'Калькуляция (МЭОР)'!$F$25:$F$452,$F338,'Калькуляция (МЭОР)'!$G$25:$G$452,$G338),IF(method_reg="Метод сравнения аналогов",_xlfn.SUMIFS('Калькуляция (МСА)'!$AF$25:$AF$122,'Калькуляция (МСА)'!$F$25:$F$122,$F338,'Калькуляция (МСА)'!$G$25:$G$122,$G338),_xlfn.SUMIFS(INDEX('Калькуляция (МИ)'!$AJ$25:$BC$747,,MATCH(BF$8,'Калькуляция (МИ)'!$AJ$8:$BC$8,0)),'Калькуляция (МИ)'!$F$25:$F$747,$F338,'Калькуляция (МИ)'!$G$25:$G$747,$G338))))</f>
        <v>0</v>
      </c>
      <c r="BG338" s="296">
        <f>IF(BE338=0,0,(BF338-BE338)/BE338*100)</f>
        <v>0</v>
      </c>
      <c r="BH338" s="5272"/>
      <c r="BI338" s="5272"/>
      <c r="BJ338" s="296">
        <f>IF(BH338=0,0,(BI338-BH338)/BH338*100)</f>
        <v>0</v>
      </c>
      <c r="BK338" s="5272"/>
      <c r="BL338" s="5272"/>
      <c r="BM338" s="296">
        <f>IF(BK338=0,0,(BL338-BK338)/BK338*100)</f>
        <v>0</v>
      </c>
      <c r="BN338" s="5272"/>
      <c r="BO338" s="5272"/>
      <c r="BP338" s="296">
        <f>IF(BN338=0,0,(BO338-BN338)/BN338*100)</f>
        <v>0</v>
      </c>
      <c r="BQ338" s="5272"/>
      <c r="BR338" s="5272"/>
      <c r="BS338" s="296">
        <f>IF(BQ338=0,0,(BR338-BQ338)/BQ338*100)</f>
        <v>0</v>
      </c>
      <c r="BT338" s="5272"/>
      <c r="BU338" s="5272"/>
      <c r="BV338" s="296">
        <f>IF(BT338=0,0,(BU338-BT338)/BT338*100)</f>
        <v>0</v>
      </c>
      <c r="BW338" s="5272"/>
      <c r="BX338" s="5272"/>
      <c r="BY338" s="296">
        <f>IF(BW338=0,0,(BX338-BW338)/BW338*100)</f>
        <v>0</v>
      </c>
      <c r="BZ338" s="5272"/>
      <c r="CA338" s="5272"/>
      <c r="CB338" s="296">
        <f>IF(BZ338=0,0,(CA338-BZ338)/BZ338*100)</f>
        <v>0</v>
      </c>
      <c r="CC338" s="5272"/>
      <c r="CD338" s="5272"/>
      <c r="CE338" s="296">
        <f>IF(CC338=0,0,(CD338-CC338)/CC338*100)</f>
        <v>0</v>
      </c>
      <c r="CF338" s="5272"/>
      <c r="CG338" s="5272"/>
      <c r="CH338" s="296">
        <f>IF(CF338=0,0,(CG338-CF338)/CF338*100)</f>
        <v>0</v>
      </c>
      <c r="CI338" s="5272"/>
      <c r="CJ338" s="5272"/>
      <c r="CK338" s="296">
        <f>IF(CI338=0,0,(CJ338-CI338)/CI338*100)</f>
        <v>0</v>
      </c>
      <c r="CL338" s="5272"/>
      <c r="CM338" s="5272"/>
      <c r="CN338" s="296">
        <f>IF(CL338=0,0,(CM338-CL338)/CL338*100)</f>
        <v>0</v>
      </c>
      <c r="CO338" s="5272"/>
      <c r="CP338" s="5272"/>
      <c r="CQ338" s="296">
        <f>IF(CO338=0,0,(CP338-CO338)/CO338*100)</f>
        <v>0</v>
      </c>
      <c r="CR338" s="5272"/>
      <c r="CS338" s="5272"/>
      <c r="CT338" s="296">
        <f>IF(CR338=0,0,(CS338-CR338)/CR338*100)</f>
        <v>0</v>
      </c>
      <c r="CU338" s="5272"/>
      <c r="CV338" s="5272"/>
      <c r="CW338" s="296">
        <f>IF(CU338=0,0,(CV338-CU338)/CU338*100)</f>
        <v>0</v>
      </c>
      <c r="CX338" s="5272"/>
      <c r="CY338" s="5272"/>
      <c r="CZ338" s="296">
        <f>IF(CX338=0,0,(CY338-CX338)/CX338*100)</f>
        <v>0</v>
      </c>
      <c r="DA338" s="5272"/>
      <c r="DB338" s="5272"/>
      <c r="DC338" s="296">
        <f>IF(DA338=0,0,(DB338-DA338)/DA338*100)</f>
        <v>0</v>
      </c>
      <c r="DD338" s="5272"/>
      <c r="DE338" s="5272"/>
      <c r="DF338" s="296">
        <f>IF(DD338=0,0,(DE338-DD338)/DD338*100)</f>
        <v>0</v>
      </c>
      <c r="DG338" s="5272"/>
      <c r="DH338" s="5272"/>
      <c r="DI338" s="296">
        <f>IF(DG338=0,0,(DH338-DG338)/DG338*100)</f>
        <v>0</v>
      </c>
      <c r="DJ338" s="5272"/>
      <c r="DK338" s="5272"/>
      <c r="DL338" s="296">
        <f>IF(DJ338=0,0,(DK338-DJ338)/DJ338*100)</f>
        <v>0</v>
      </c>
      <c r="DM338" s="5272"/>
      <c r="DN338" s="5272"/>
      <c r="DO338" s="296">
        <f>IF(DM338=0,0,(DN338-DM338)/DM338*100)</f>
        <v>0</v>
      </c>
      <c r="DP338" s="5272"/>
      <c r="DQ338" s="5272"/>
      <c r="DR338" s="296">
        <f>IF(DP338=0,0,(DQ338-DP338)/DP338*100)</f>
        <v>0</v>
      </c>
      <c r="DS338" s="5272"/>
      <c r="DT338" s="5272"/>
      <c r="DU338" s="296">
        <f>IF(DS338=0,0,(DT338-DS338)/DS338*100)</f>
        <v>0</v>
      </c>
      <c r="DV338" s="5272"/>
      <c r="DW338" s="5272"/>
      <c r="DX338" s="296">
        <f>IF(DV338=0,0,(DW338-DV338)/DV338*100)</f>
        <v>0</v>
      </c>
      <c r="DY338" s="5272"/>
      <c r="DZ338" s="5272"/>
      <c r="EA338" s="296">
        <f>IF(DY338=0,0,(DZ338-DY338)/DY338*100)</f>
        <v>0</v>
      </c>
      <c r="EB338" s="5272"/>
      <c r="EC338" s="5272"/>
      <c r="ED338" s="296">
        <f>IF(EB338=0,0,(EC338-EB338)/EB338*100)</f>
        <v>0</v>
      </c>
      <c r="EE338" s="5272"/>
      <c r="EF338" s="5272"/>
      <c r="EG338" s="296">
        <f>IF(EE338=0,0,(EF338-EE338)/EE338*100)</f>
        <v>0</v>
      </c>
      <c r="EH338" s="5272"/>
      <c r="EI338" s="5272"/>
      <c r="EJ338" s="296">
        <f>IF(EH338=0,0,(EI338-EH338)/EH338*100)</f>
        <v>0</v>
      </c>
      <c r="EK338" s="5272"/>
      <c r="EL338" s="5272"/>
      <c r="EM338" s="296">
        <f>IF(EK338=0,0,(EL338-EK338)/EK338*100)</f>
        <v>0</v>
      </c>
      <c r="EN338" s="5272"/>
      <c r="EO338" s="5272"/>
      <c r="EP338" s="296">
        <f>IF(EN338=0,0,(EO338-EN338)/EN338*100)</f>
        <v>0</v>
      </c>
      <c r="EQ338" s="5272"/>
      <c r="ER338" s="5272"/>
      <c r="ES338" s="296">
        <f>IF(EQ338=0,0,(ER338-EQ338)/EQ338*100)</f>
        <v>0</v>
      </c>
      <c r="ET338" s="5272"/>
      <c r="EU338" s="5272"/>
      <c r="EV338" s="296">
        <f>IF(ET338=0,0,(EU338-ET338)/ET338*100)</f>
        <v>0</v>
      </c>
      <c r="EW338" s="5272"/>
      <c r="EX338" s="5272"/>
      <c r="EY338" s="296">
        <f>IF(EW338=0,0,(EX338-EW338)/EW338*100)</f>
        <v>0</v>
      </c>
      <c r="EZ338" s="5272"/>
      <c r="FA338" s="5272"/>
      <c r="FB338" s="296">
        <f>IF(EZ338=0,0,(FA338-EZ338)/EZ338*100)</f>
        <v>0</v>
      </c>
      <c r="FC338" s="5272"/>
      <c r="FD338" s="5272"/>
      <c r="FE338" s="296">
        <f>IF(FC338=0,0,(FD338-FC338)/FC338*100)</f>
        <v>0</v>
      </c>
      <c r="FF338" s="5272"/>
      <c r="FG338" s="5272"/>
      <c r="FH338" s="296">
        <f>IF(FF338=0,0,(FG338-FF338)/FF338*100)</f>
        <v>0</v>
      </c>
      <c r="FI338" s="5272"/>
      <c r="FJ338" s="5272"/>
      <c r="FK338" s="296">
        <f>IF(FI338=0,0,(FJ338-FI338)/FI338*100)</f>
        <v>0</v>
      </c>
      <c r="FL338" s="5272"/>
      <c r="FM338" s="5272"/>
      <c r="FN338" s="296">
        <f>IF(FL338=0,0,(FM338-FL338)/FL338*100)</f>
        <v>0</v>
      </c>
      <c r="FO338" s="5272"/>
      <c r="FP338" s="5272"/>
      <c r="FQ338" s="296">
        <f>IF(FO338=0,0,(FP338-FO338)/FO338*100)</f>
        <v>0</v>
      </c>
      <c r="FR338" s="5272"/>
      <c r="FS338" s="5272"/>
      <c r="FT338" s="296">
        <f>IF(FR338=0,0,(FS338-FR338)/FR338*100)</f>
        <v>0</v>
      </c>
      <c r="FU338" s="5272"/>
      <c r="FV338" s="5272"/>
      <c r="FW338" s="296">
        <f>IF(FU338=0,0,(FV338-FU338)/FU338*100)</f>
        <v>0</v>
      </c>
      <c r="FX338" s="292"/>
      <c r="FY338" s="292"/>
      <c r="FZ338" s="1055" t="s">
        <v>2420</v>
      </c>
      <c r="GA338" s="1055"/>
      <c r="GB338" s="1055"/>
      <c r="GC338" s="1056"/>
      <c r="GD338" s="1056"/>
    </row>
    <row s="1834" customFormat="1" customHeight="1" ht="14.25" hidden="1">
      <c r="A339" s="493"/>
      <c r="B339" s="925" cm="1" t="str">
        <f t="array" ref="B339:B339">B338</f>
        <v>false</v>
      </c>
      <c r="C339" s="493"/>
      <c r="D339" s="493"/>
      <c r="E339" s="840">
        <v>15</v>
      </c>
      <c r="F339" s="50" cm="1" t="str">
        <f t="array" ref="F339:F339">OFFSET(E339,-1,1)</f>
        <v>4</v>
      </c>
      <c r="G339" s="493"/>
      <c r="H339" s="493" t="s">
        <v>1179</v>
      </c>
      <c r="I339" s="493"/>
      <c r="J339" s="493"/>
      <c r="K339" s="493"/>
      <c r="L339" s="493"/>
      <c r="M339" s="493"/>
      <c r="N339" s="493"/>
      <c r="O339" s="493"/>
      <c r="P339" s="493"/>
      <c r="Q339" s="493"/>
      <c r="R339" s="493"/>
      <c r="S339" s="493"/>
      <c r="T339" s="465" cm="1" t="str">
        <f t="array" ref="T339:T339">T338</f>
        <v>true</v>
      </c>
      <c r="U339" s="493"/>
      <c r="V339" s="493"/>
      <c r="W339" s="493"/>
      <c r="X339" s="1596"/>
      <c r="Y339" s="493"/>
      <c r="Z339" s="1545"/>
      <c r="AA339" s="493"/>
      <c r="AB339" s="1088" t="s">
        <v>2421</v>
      </c>
      <c r="AC339" s="766" t="s">
        <v>1170</v>
      </c>
      <c r="AD339" s="1092">
        <f>IF(AD337=0,0,AD338/AD337)*100</f>
        <v>104.998036013783</v>
      </c>
      <c r="AE339" s="1092">
        <f>IF(AE337=0,0,AE338/AE337)*100</f>
        <v>104.99803509385</v>
      </c>
      <c r="AF339" s="1109"/>
      <c r="AG339" s="1092">
        <f>IF(AG337=0,0,AG338/AG337)*100</f>
        <v>103.285681877122</v>
      </c>
      <c r="AH339" s="1092">
        <f>IF(AH337=0,0,AH338/AH337)*100</f>
        <v>103.285680500797</v>
      </c>
      <c r="AI339" s="1109"/>
      <c r="AJ339" s="1092">
        <f>IF(AJ337=0,0,AJ338/AJ337)*100</f>
        <v>101.811598428048</v>
      </c>
      <c r="AK339" s="1092">
        <f>IF(AK337=0,0,AK338/AK337)*100</f>
        <v>101.811598043388</v>
      </c>
      <c r="AL339" s="1109"/>
      <c r="AM339" s="1092">
        <f>IF(AM337=0,0,AM338/AM337)*100</f>
        <v>102.718862171886</v>
      </c>
      <c r="AN339" s="1092">
        <f>IF(AN337=0,0,AN338/AN337)*100</f>
        <v>102.718857427015</v>
      </c>
      <c r="AO339" s="1109"/>
      <c r="AP339" s="1092">
        <f>IF(AP337=0,0,AP338/AP337)*100</f>
        <v>104.567307321626</v>
      </c>
      <c r="AQ339" s="1092">
        <f>IF(AQ337=0,0,AQ338/AQ337)*100</f>
        <v>104.56731294086</v>
      </c>
      <c r="AR339" s="1109"/>
      <c r="AS339" s="1092">
        <f>IF(AS337=0,0,AS338/AS337)*100</f>
        <v>0</v>
      </c>
      <c r="AT339" s="1092">
        <f>IF(AT337=0,0,AT338/AT337)*100</f>
        <v>0</v>
      </c>
      <c r="AU339" s="1109"/>
      <c r="AV339" s="1092">
        <f>IF(AV337=0,0,AV338/AV337)*100</f>
        <v>0</v>
      </c>
      <c r="AW339" s="1092">
        <f>IF(AW337=0,0,AW338/AW337)*100</f>
        <v>0</v>
      </c>
      <c r="AX339" s="1109"/>
      <c r="AY339" s="1092">
        <f>IF(AY337=0,0,AY338/AY337)*100</f>
        <v>0</v>
      </c>
      <c r="AZ339" s="1092">
        <f>IF(AZ337=0,0,AZ338/AZ337)*100</f>
        <v>0</v>
      </c>
      <c r="BA339" s="1109"/>
      <c r="BB339" s="1092">
        <f>IF(BB337=0,0,BB338/BB337)*100</f>
        <v>0</v>
      </c>
      <c r="BC339" s="1092">
        <f>IF(BC337=0,0,BC338/BC337)*100</f>
        <v>0</v>
      </c>
      <c r="BD339" s="1109"/>
      <c r="BE339" s="1092">
        <f>IF(BE337=0,0,BE338/BE337)*100</f>
        <v>0</v>
      </c>
      <c r="BF339" s="1092">
        <f>IF(BF337=0,0,BF338/BF337)*100</f>
        <v>0</v>
      </c>
      <c r="BG339" s="1109"/>
      <c r="BH339" s="1092">
        <f>IF(BH337=0,0,BH338/BH337)*100</f>
        <v>0</v>
      </c>
      <c r="BI339" s="1092">
        <f>IF(BI337=0,0,BI338/BI337)*100</f>
        <v>0</v>
      </c>
      <c r="BJ339" s="1109"/>
      <c r="BK339" s="1092">
        <f>IF(BK337=0,0,BK338/BK337)*100</f>
        <v>0</v>
      </c>
      <c r="BL339" s="1092">
        <f>IF(BL337=0,0,BL338/BL337)*100</f>
        <v>0</v>
      </c>
      <c r="BM339" s="1109"/>
      <c r="BN339" s="1092">
        <f>IF(BN337=0,0,BN338/BN337)*100</f>
        <v>0</v>
      </c>
      <c r="BO339" s="1092">
        <f>IF(BO337=0,0,BO338/BO337)*100</f>
        <v>0</v>
      </c>
      <c r="BP339" s="1109"/>
      <c r="BQ339" s="1092">
        <f>IF(BQ337=0,0,BQ338/BQ337)*100</f>
        <v>0</v>
      </c>
      <c r="BR339" s="1092">
        <f>IF(BR337=0,0,BR338/BR337)*100</f>
        <v>0</v>
      </c>
      <c r="BS339" s="1109"/>
      <c r="BT339" s="1092">
        <f>IF(BT337=0,0,BT338/BT337)*100</f>
        <v>0</v>
      </c>
      <c r="BU339" s="1092">
        <f>IF(BU337=0,0,BU338/BU337)*100</f>
        <v>0</v>
      </c>
      <c r="BV339" s="1109"/>
      <c r="BW339" s="1092">
        <f>IF(BW337=0,0,BW338/BW337)*100</f>
        <v>0</v>
      </c>
      <c r="BX339" s="1092">
        <f>IF(BX337=0,0,BX338/BX337)*100</f>
        <v>0</v>
      </c>
      <c r="BY339" s="1109"/>
      <c r="BZ339" s="1092">
        <f>IF(BZ337=0,0,BZ338/BZ337)*100</f>
        <v>0</v>
      </c>
      <c r="CA339" s="1092">
        <f>IF(CA337=0,0,CA338/CA337)*100</f>
        <v>0</v>
      </c>
      <c r="CB339" s="1109"/>
      <c r="CC339" s="1092">
        <f>IF(CC337=0,0,CC338/CC337)*100</f>
        <v>0</v>
      </c>
      <c r="CD339" s="1092">
        <f>IF(CD337=0,0,CD338/CD337)*100</f>
        <v>0</v>
      </c>
      <c r="CE339" s="1109"/>
      <c r="CF339" s="1092">
        <f>IF(CF337=0,0,CF338/CF337)*100</f>
        <v>0</v>
      </c>
      <c r="CG339" s="1092">
        <f>IF(CG337=0,0,CG338/CG337)*100</f>
        <v>0</v>
      </c>
      <c r="CH339" s="1109"/>
      <c r="CI339" s="1092">
        <f>IF(CI337=0,0,CI338/CI337)*100</f>
        <v>0</v>
      </c>
      <c r="CJ339" s="1092">
        <f>IF(CJ337=0,0,CJ338/CJ337)*100</f>
        <v>0</v>
      </c>
      <c r="CK339" s="1109"/>
      <c r="CL339" s="1092">
        <f>IF(CL337=0,0,CL338/CL337)*100</f>
        <v>0</v>
      </c>
      <c r="CM339" s="1092">
        <f>IF(CM337=0,0,CM338/CM337)*100</f>
        <v>0</v>
      </c>
      <c r="CN339" s="1109"/>
      <c r="CO339" s="1092">
        <f>IF(CO337=0,0,CO338/CO337)*100</f>
        <v>0</v>
      </c>
      <c r="CP339" s="1092">
        <f>IF(CP337=0,0,CP338/CP337)*100</f>
        <v>0</v>
      </c>
      <c r="CQ339" s="1109"/>
      <c r="CR339" s="1092">
        <f>IF(CR337=0,0,CR338/CR337)*100</f>
        <v>0</v>
      </c>
      <c r="CS339" s="1092">
        <f>IF(CS337=0,0,CS338/CS337)*100</f>
        <v>0</v>
      </c>
      <c r="CT339" s="1109"/>
      <c r="CU339" s="1092">
        <f>IF(CU337=0,0,CU338/CU337)*100</f>
        <v>0</v>
      </c>
      <c r="CV339" s="1092">
        <f>IF(CV337=0,0,CV338/CV337)*100</f>
        <v>0</v>
      </c>
      <c r="CW339" s="1109"/>
      <c r="CX339" s="1092">
        <f>IF(CX337=0,0,CX338/CX337)*100</f>
        <v>0</v>
      </c>
      <c r="CY339" s="1092">
        <f>IF(CY337=0,0,CY338/CY337)*100</f>
        <v>0</v>
      </c>
      <c r="CZ339" s="1109"/>
      <c r="DA339" s="1092">
        <f>IF(DA337=0,0,DA338/DA337)*100</f>
        <v>0</v>
      </c>
      <c r="DB339" s="1092">
        <f>IF(DB337=0,0,DB338/DB337)*100</f>
        <v>0</v>
      </c>
      <c r="DC339" s="1109"/>
      <c r="DD339" s="1092">
        <f>IF(DD337=0,0,DD338/DD337)*100</f>
        <v>0</v>
      </c>
      <c r="DE339" s="1092">
        <f>IF(DE337=0,0,DE338/DE337)*100</f>
        <v>0</v>
      </c>
      <c r="DF339" s="1109"/>
      <c r="DG339" s="1092">
        <f>IF(DG337=0,0,DG338/DG337)*100</f>
        <v>0</v>
      </c>
      <c r="DH339" s="1092">
        <f>IF(DH337=0,0,DH338/DH337)*100</f>
        <v>0</v>
      </c>
      <c r="DI339" s="1109"/>
      <c r="DJ339" s="1092">
        <f>IF(DJ337=0,0,DJ338/DJ337)*100</f>
        <v>0</v>
      </c>
      <c r="DK339" s="1092">
        <f>IF(DK337=0,0,DK338/DK337)*100</f>
        <v>0</v>
      </c>
      <c r="DL339" s="1109"/>
      <c r="DM339" s="1092">
        <f>IF(DM337=0,0,DM338/DM337)*100</f>
        <v>0</v>
      </c>
      <c r="DN339" s="1092">
        <f>IF(DN337=0,0,DN338/DN337)*100</f>
        <v>0</v>
      </c>
      <c r="DO339" s="1109"/>
      <c r="DP339" s="1092">
        <f>IF(DP337=0,0,DP338/DP337)*100</f>
        <v>0</v>
      </c>
      <c r="DQ339" s="1092">
        <f>IF(DQ337=0,0,DQ338/DQ337)*100</f>
        <v>0</v>
      </c>
      <c r="DR339" s="1109"/>
      <c r="DS339" s="1092">
        <f>IF(DS337=0,0,DS338/DS337)*100</f>
        <v>0</v>
      </c>
      <c r="DT339" s="1092">
        <f>IF(DT337=0,0,DT338/DT337)*100</f>
        <v>0</v>
      </c>
      <c r="DU339" s="1109"/>
      <c r="DV339" s="1092">
        <f>IF(DV337=0,0,DV338/DV337)*100</f>
        <v>0</v>
      </c>
      <c r="DW339" s="1092">
        <f>IF(DW337=0,0,DW338/DW337)*100</f>
        <v>0</v>
      </c>
      <c r="DX339" s="1109"/>
      <c r="DY339" s="1092">
        <f>IF(DY337=0,0,DY338/DY337)*100</f>
        <v>0</v>
      </c>
      <c r="DZ339" s="1092">
        <f>IF(DZ337=0,0,DZ338/DZ337)*100</f>
        <v>0</v>
      </c>
      <c r="EA339" s="1109"/>
      <c r="EB339" s="1092">
        <f>IF(EB337=0,0,EB338/EB337)*100</f>
        <v>0</v>
      </c>
      <c r="EC339" s="1092">
        <f>IF(EC337=0,0,EC338/EC337)*100</f>
        <v>0</v>
      </c>
      <c r="ED339" s="1109"/>
      <c r="EE339" s="1092">
        <f>IF(EE337=0,0,EE338/EE337)*100</f>
        <v>0</v>
      </c>
      <c r="EF339" s="1092">
        <f>IF(EF337=0,0,EF338/EF337)*100</f>
        <v>0</v>
      </c>
      <c r="EG339" s="1109"/>
      <c r="EH339" s="1092">
        <f>IF(EH337=0,0,EH338/EH337)*100</f>
        <v>0</v>
      </c>
      <c r="EI339" s="1092">
        <f>IF(EI337=0,0,EI338/EI337)*100</f>
        <v>0</v>
      </c>
      <c r="EJ339" s="1109"/>
      <c r="EK339" s="1092">
        <f>IF(EK337=0,0,EK338/EK337)*100</f>
        <v>0</v>
      </c>
      <c r="EL339" s="1092">
        <f>IF(EL337=0,0,EL338/EL337)*100</f>
        <v>0</v>
      </c>
      <c r="EM339" s="1109"/>
      <c r="EN339" s="1092">
        <f>IF(EN337=0,0,EN338/EN337)*100</f>
        <v>0</v>
      </c>
      <c r="EO339" s="1092">
        <f>IF(EO337=0,0,EO338/EO337)*100</f>
        <v>0</v>
      </c>
      <c r="EP339" s="1109"/>
      <c r="EQ339" s="1092">
        <f>IF(EQ337=0,0,EQ338/EQ337)*100</f>
        <v>0</v>
      </c>
      <c r="ER339" s="1092">
        <f>IF(ER337=0,0,ER338/ER337)*100</f>
        <v>0</v>
      </c>
      <c r="ES339" s="1109"/>
      <c r="ET339" s="1092">
        <f>IF(ET337=0,0,ET338/ET337)*100</f>
        <v>0</v>
      </c>
      <c r="EU339" s="1092">
        <f>IF(EU337=0,0,EU338/EU337)*100</f>
        <v>0</v>
      </c>
      <c r="EV339" s="1109"/>
      <c r="EW339" s="1092">
        <f>IF(EW337=0,0,EW338/EW337)*100</f>
        <v>0</v>
      </c>
      <c r="EX339" s="1092">
        <f>IF(EX337=0,0,EX338/EX337)*100</f>
        <v>0</v>
      </c>
      <c r="EY339" s="1109"/>
      <c r="EZ339" s="1092">
        <f>IF(EZ337=0,0,EZ338/EZ337)*100</f>
        <v>0</v>
      </c>
      <c r="FA339" s="1092">
        <f>IF(FA337=0,0,FA338/FA337)*100</f>
        <v>0</v>
      </c>
      <c r="FB339" s="1109"/>
      <c r="FC339" s="1092">
        <f>IF(FC337=0,0,FC338/FC337)*100</f>
        <v>0</v>
      </c>
      <c r="FD339" s="1092">
        <f>IF(FD337=0,0,FD338/FD337)*100</f>
        <v>0</v>
      </c>
      <c r="FE339" s="1109"/>
      <c r="FF339" s="1092">
        <f>IF(FF337=0,0,FF338/FF337)*100</f>
        <v>0</v>
      </c>
      <c r="FG339" s="1092">
        <f>IF(FG337=0,0,FG338/FG337)*100</f>
        <v>0</v>
      </c>
      <c r="FH339" s="1109"/>
      <c r="FI339" s="1092">
        <f>IF(FI337=0,0,FI338/FI337)*100</f>
        <v>0</v>
      </c>
      <c r="FJ339" s="1092">
        <f>IF(FJ337=0,0,FJ338/FJ337)*100</f>
        <v>0</v>
      </c>
      <c r="FK339" s="1109"/>
      <c r="FL339" s="1092">
        <f>IF(FL337=0,0,FL338/FL337)*100</f>
        <v>0</v>
      </c>
      <c r="FM339" s="1092">
        <f>IF(FM337=0,0,FM338/FM337)*100</f>
        <v>0</v>
      </c>
      <c r="FN339" s="1109"/>
      <c r="FO339" s="1092">
        <f>IF(FO337=0,0,FO338/FO337)*100</f>
        <v>0</v>
      </c>
      <c r="FP339" s="1092">
        <f>IF(FP337=0,0,FP338/FP337)*100</f>
        <v>0</v>
      </c>
      <c r="FQ339" s="1109"/>
      <c r="FR339" s="1092">
        <f>IF(FR337=0,0,FR338/FR337)*100</f>
        <v>0</v>
      </c>
      <c r="FS339" s="1092">
        <f>IF(FS337=0,0,FS338/FS337)*100</f>
        <v>0</v>
      </c>
      <c r="FT339" s="1109"/>
      <c r="FU339" s="1092">
        <f>IF(FU337=0,0,FU338/FU337)*100</f>
        <v>0</v>
      </c>
      <c r="FV339" s="1092">
        <f>IF(FV337=0,0,FV338/FV337)*100</f>
        <v>0</v>
      </c>
      <c r="FW339" s="1110"/>
      <c r="FX339" s="292"/>
      <c r="FY339" s="1304"/>
      <c r="FZ339" s="1055" t="s">
        <v>2422</v>
      </c>
      <c r="GA339" s="1306"/>
      <c r="GB339" s="1306"/>
      <c r="GC339" s="1305"/>
      <c r="GD339" s="1305"/>
    </row>
    <row s="1834" customFormat="1" customHeight="1" ht="14.25" hidden="1">
      <c r="A340" s="493"/>
      <c r="B340" s="925" cm="1" t="str">
        <f t="array" ref="B340:B340">B339</f>
        <v>false</v>
      </c>
      <c r="C340" s="493"/>
      <c r="D340" s="493"/>
      <c r="E340" s="840">
        <v>15</v>
      </c>
      <c r="F340" s="50" cm="1" t="str">
        <f t="array" ref="F340:F340">OFFSET(E340,-1,1)</f>
        <v>4</v>
      </c>
      <c r="G340" s="107" t="s">
        <v>2346</v>
      </c>
      <c r="H340" s="493"/>
      <c r="I340" s="493"/>
      <c r="J340" s="493"/>
      <c r="K340" s="493"/>
      <c r="L340" s="493"/>
      <c r="M340" s="493"/>
      <c r="N340" s="493"/>
      <c r="O340" s="493"/>
      <c r="P340" s="493"/>
      <c r="Q340" s="493"/>
      <c r="R340" s="493"/>
      <c r="S340" s="493"/>
      <c r="T340" s="465" cm="1" t="str">
        <f t="array" ref="T340:T340">T339</f>
        <v>true</v>
      </c>
      <c r="U340" s="493"/>
      <c r="V340" s="493"/>
      <c r="W340" s="493"/>
      <c r="X340" s="1596"/>
      <c r="Y340" s="493"/>
      <c r="Z340" s="1545"/>
      <c r="AA340" s="493"/>
      <c r="AB340" s="900" t="s">
        <v>2347</v>
      </c>
      <c r="AC340" s="864" t="s">
        <v>1247</v>
      </c>
      <c r="AD340" s="5247">
        <f>IF(AND(method_reg="Метод индексации",god&lt;&gt;first_year),_xlfn.SUMIFS(INDEX('Калькуляция (МИ корр)'!$AJ$25:$BC$747,,MATCH(AD$8,'Калькуляция (МИ корр)'!$AJ$8:$BC$8,0)),'Калькуляция (МИ корр)'!$F$25:$F$747,$F340,'Калькуляция (МИ корр)'!$G$25:$G$747,$G340),IF(method_reg="Метод экономически обоснованных расходов",_xlfn.SUMIFS('Калькуляция (МЭОР)'!$AJ$25:$AJ$452,'Калькуляция (МЭОР)'!$F$25:$F$452,$F340,'Калькуляция (МЭОР)'!$G$25:$G$452,$G340),IF(method_reg="Метод сравнения аналогов",_xlfn.SUMIFS('Калькуляция (МСА)'!$AE$25:$AE$122,'Калькуляция (МСА)'!$F$25:$F$122,$F340,'Калькуляция (МСА)'!$G$25:$G$122,$G340),_xlfn.SUMIFS(INDEX('Калькуляция (МИ)'!$AJ$25:$BC$747,,MATCH(AD$8,'Калькуляция (МИ)'!$AJ$8:$BC$8,0)),'Калькуляция (МИ)'!$F$25:$F$747,$F340,'Калькуляция (МИ)'!$G$25:$G$747,$G340))))</f>
        <v>1025.10255</v>
      </c>
      <c r="AE340" s="5247">
        <f>IF(AND(method_reg="Метод индексации",god&lt;&gt;first_year),_xlfn.SUMIFS(INDEX('Калькуляция (МИ корр)'!$AJ$25:$BC$747,,MATCH(AE$8,'Калькуляция (МИ корр)'!$AJ$8:$BC$8,0)),'Калькуляция (МИ корр)'!$F$25:$F$747,$F340,'Калькуляция (МИ корр)'!$G$25:$G$747,$G340),IF(method_reg="Метод экономически обоснованных расходов",_xlfn.SUMIFS('Калькуляция (МЭОР)'!$AK$25:$AK$452,'Калькуляция (МЭОР)'!$F$25:$F$452,$F340,'Калькуляция (МЭОР)'!$G$25:$G$452,$G340),IF(method_reg="Метод сравнения аналогов",_xlfn.SUMIFS('Калькуляция (МСА)'!$AF$25:$AF$122,'Калькуляция (МСА)'!$F$25:$F$122,$F340,'Калькуляция (МСА)'!$G$25:$G$122,$G340),_xlfn.SUMIFS(INDEX('Калькуляция (МИ)'!$AJ$25:$BC$747,,MATCH(AE$8,'Калькуляция (МИ)'!$AJ$8:$BC$8,0)),'Калькуляция (МИ)'!$F$25:$F$747,$F340,'Калькуляция (МИ)'!$G$25:$G$747,$G340))))</f>
        <v>1025.10255</v>
      </c>
      <c r="AF340" s="1095">
        <f>IF(AD340=0,0,(AE340-AD340)/AD340*100)</f>
        <v>0</v>
      </c>
      <c r="AG340" s="5247">
        <f>IF(AND(method_reg="Метод индексации",god&lt;&gt;first_year),_xlfn.SUMIFS(INDEX('Калькуляция (МИ корр)'!$AJ$25:$BC$747,,MATCH(AG$8,'Калькуляция (МИ корр)'!$AJ$8:$BC$8,0)),'Калькуляция (МИ корр)'!$F$25:$F$747,$F340,'Калькуляция (МИ корр)'!$G$25:$G$747,$G340),IF(method_reg="Метод экономически обоснованных расходов",_xlfn.SUMIFS('Калькуляция (МЭОР)'!$AJ$25:$AJ$452,'Калькуляция (МЭОР)'!$F$25:$F$452,$F340,'Калькуляция (МЭОР)'!$G$25:$G$452,$G340),IF(method_reg="Метод сравнения аналогов",_xlfn.SUMIFS('Калькуляция (МСА)'!$AE$25:$AE$122,'Калькуляция (МСА)'!$F$25:$F$122,$F340,'Калькуляция (МСА)'!$G$25:$G$122,$G340),_xlfn.SUMIFS(INDEX('Калькуляция (МИ)'!$AJ$25:$BC$747,,MATCH(AG$8,'Калькуляция (МИ)'!$AJ$8:$BC$8,0)),'Калькуляция (МИ)'!$F$25:$F$747,$F340,'Калькуляция (МИ)'!$G$25:$G$747,$G340))))</f>
        <v>1025.10255</v>
      </c>
      <c r="AH340" s="5247">
        <f>IF(AND(method_reg="Метод индексации",god&lt;&gt;first_year),_xlfn.SUMIFS(INDEX('Калькуляция (МИ корр)'!$AJ$25:$BC$747,,MATCH(AH$8,'Калькуляция (МИ корр)'!$AJ$8:$BC$8,0)),'Калькуляция (МИ корр)'!$F$25:$F$747,$F340,'Калькуляция (МИ корр)'!$G$25:$G$747,$G340),IF(method_reg="Метод экономически обоснованных расходов",_xlfn.SUMIFS('Калькуляция (МЭОР)'!$AK$25:$AK$452,'Калькуляция (МЭОР)'!$F$25:$F$452,$F340,'Калькуляция (МЭОР)'!$G$25:$G$452,$G340),IF(method_reg="Метод сравнения аналогов",_xlfn.SUMIFS('Калькуляция (МСА)'!$AF$25:$AF$122,'Калькуляция (МСА)'!$F$25:$F$122,$F340,'Калькуляция (МСА)'!$G$25:$G$122,$G340),_xlfn.SUMIFS(INDEX('Калькуляция (МИ)'!$AJ$25:$BC$747,,MATCH(AH$8,'Калькуляция (МИ)'!$AJ$8:$BC$8,0)),'Калькуляция (МИ)'!$F$25:$F$747,$F340,'Калькуляция (МИ)'!$G$25:$G$747,$G340))))</f>
        <v>1025.10255</v>
      </c>
      <c r="AI340" s="1095">
        <f>IF(AG340=0,0,(AH340-AG340)/AG340*100)</f>
        <v>0</v>
      </c>
      <c r="AJ340" s="5247">
        <f>IF(AND(method_reg="Метод индексации",god&lt;&gt;first_year),_xlfn.SUMIFS(INDEX('Калькуляция (МИ корр)'!$AJ$25:$BC$747,,MATCH(AJ$8,'Калькуляция (МИ корр)'!$AJ$8:$BC$8,0)),'Калькуляция (МИ корр)'!$F$25:$F$747,$F340,'Калькуляция (МИ корр)'!$G$25:$G$747,$G340),IF(method_reg="Метод экономически обоснованных расходов",_xlfn.SUMIFS('Калькуляция (МЭОР)'!$AJ$25:$AJ$452,'Калькуляция (МЭОР)'!$F$25:$F$452,$F340,'Калькуляция (МЭОР)'!$G$25:$G$452,$G340),IF(method_reg="Метод сравнения аналогов",_xlfn.SUMIFS('Калькуляция (МСА)'!$AE$25:$AE$122,'Калькуляция (МСА)'!$F$25:$F$122,$F340,'Калькуляция (МСА)'!$G$25:$G$122,$G340),_xlfn.SUMIFS(INDEX('Калькуляция (МИ)'!$AJ$25:$BC$747,,MATCH(AJ$8,'Калькуляция (МИ)'!$AJ$8:$BC$8,0)),'Калькуляция (МИ)'!$F$25:$F$747,$F340,'Калькуляция (МИ)'!$G$25:$G$747,$G340))))</f>
        <v>1025.10255</v>
      </c>
      <c r="AK340" s="5247">
        <f>IF(AND(method_reg="Метод индексации",god&lt;&gt;first_year),_xlfn.SUMIFS(INDEX('Калькуляция (МИ корр)'!$AJ$25:$BC$747,,MATCH(AK$8,'Калькуляция (МИ корр)'!$AJ$8:$BC$8,0)),'Калькуляция (МИ корр)'!$F$25:$F$747,$F340,'Калькуляция (МИ корр)'!$G$25:$G$747,$G340),IF(method_reg="Метод экономически обоснованных расходов",_xlfn.SUMIFS('Калькуляция (МЭОР)'!$AK$25:$AK$452,'Калькуляция (МЭОР)'!$F$25:$F$452,$F340,'Калькуляция (МЭОР)'!$G$25:$G$452,$G340),IF(method_reg="Метод сравнения аналогов",_xlfn.SUMIFS('Калькуляция (МСА)'!$AF$25:$AF$122,'Калькуляция (МСА)'!$F$25:$F$122,$F340,'Калькуляция (МСА)'!$G$25:$G$122,$G340),_xlfn.SUMIFS(INDEX('Калькуляция (МИ)'!$AJ$25:$BC$747,,MATCH(AK$8,'Калькуляция (МИ)'!$AJ$8:$BC$8,0)),'Калькуляция (МИ)'!$F$25:$F$747,$F340,'Калькуляция (МИ)'!$G$25:$G$747,$G340))))</f>
        <v>1025.10255</v>
      </c>
      <c r="AL340" s="1095">
        <f>IF(AJ340=0,0,(AK340-AJ340)/AJ340*100)</f>
        <v>0</v>
      </c>
      <c r="AM340" s="5247">
        <f>IF(AND(method_reg="Метод индексации",god&lt;&gt;first_year),_xlfn.SUMIFS(INDEX('Калькуляция (МИ корр)'!$AJ$25:$BC$747,,MATCH(AM$8,'Калькуляция (МИ корр)'!$AJ$8:$BC$8,0)),'Калькуляция (МИ корр)'!$F$25:$F$747,$F340,'Калькуляция (МИ корр)'!$G$25:$G$747,$G340),IF(method_reg="Метод экономически обоснованных расходов",_xlfn.SUMIFS('Калькуляция (МЭОР)'!$AJ$25:$AJ$452,'Калькуляция (МЭОР)'!$F$25:$F$452,$F340,'Калькуляция (МЭОР)'!$G$25:$G$452,$G340),IF(method_reg="Метод сравнения аналогов",_xlfn.SUMIFS('Калькуляция (МСА)'!$AE$25:$AE$122,'Калькуляция (МСА)'!$F$25:$F$122,$F340,'Калькуляция (МСА)'!$G$25:$G$122,$G340),_xlfn.SUMIFS(INDEX('Калькуляция (МИ)'!$AJ$25:$BC$747,,MATCH(AM$8,'Калькуляция (МИ)'!$AJ$8:$BC$8,0)),'Калькуляция (МИ)'!$F$25:$F$747,$F340,'Калькуляция (МИ)'!$G$25:$G$747,$G340))))</f>
        <v>1025.10255</v>
      </c>
      <c r="AN340" s="5247">
        <f>IF(AND(method_reg="Метод индексации",god&lt;&gt;first_year),_xlfn.SUMIFS(INDEX('Калькуляция (МИ корр)'!$AJ$25:$BC$747,,MATCH(AN$8,'Калькуляция (МИ корр)'!$AJ$8:$BC$8,0)),'Калькуляция (МИ корр)'!$F$25:$F$747,$F340,'Калькуляция (МИ корр)'!$G$25:$G$747,$G340),IF(method_reg="Метод экономически обоснованных расходов",_xlfn.SUMIFS('Калькуляция (МЭОР)'!$AK$25:$AK$452,'Калькуляция (МЭОР)'!$F$25:$F$452,$F340,'Калькуляция (МЭОР)'!$G$25:$G$452,$G340),IF(method_reg="Метод сравнения аналогов",_xlfn.SUMIFS('Калькуляция (МСА)'!$AF$25:$AF$122,'Калькуляция (МСА)'!$F$25:$F$122,$F340,'Калькуляция (МСА)'!$G$25:$G$122,$G340),_xlfn.SUMIFS(INDEX('Калькуляция (МИ)'!$AJ$25:$BC$747,,MATCH(AN$8,'Калькуляция (МИ)'!$AJ$8:$BC$8,0)),'Калькуляция (МИ)'!$F$25:$F$747,$F340,'Калькуляция (МИ)'!$G$25:$G$747,$G340))))</f>
        <v>1025.10255</v>
      </c>
      <c r="AO340" s="1095">
        <f>IF(AM340=0,0,(AN340-AM340)/AM340*100)</f>
        <v>0</v>
      </c>
      <c r="AP340" s="5247">
        <f>IF(AND(method_reg="Метод индексации",god&lt;&gt;first_year),_xlfn.SUMIFS(INDEX('Калькуляция (МИ корр)'!$AJ$25:$BC$747,,MATCH(AP$8,'Калькуляция (МИ корр)'!$AJ$8:$BC$8,0)),'Калькуляция (МИ корр)'!$F$25:$F$747,$F340,'Калькуляция (МИ корр)'!$G$25:$G$747,$G340),IF(method_reg="Метод экономически обоснованных расходов",_xlfn.SUMIFS('Калькуляция (МЭОР)'!$AJ$25:$AJ$452,'Калькуляция (МЭОР)'!$F$25:$F$452,$F340,'Калькуляция (МЭОР)'!$G$25:$G$452,$G340),IF(method_reg="Метод сравнения аналогов",_xlfn.SUMIFS('Калькуляция (МСА)'!$AE$25:$AE$122,'Калькуляция (МСА)'!$F$25:$F$122,$F340,'Калькуляция (МСА)'!$G$25:$G$122,$G340),_xlfn.SUMIFS(INDEX('Калькуляция (МИ)'!$AJ$25:$BC$747,,MATCH(AP$8,'Калькуляция (МИ)'!$AJ$8:$BC$8,0)),'Калькуляция (МИ)'!$F$25:$F$747,$F340,'Калькуляция (МИ)'!$G$25:$G$747,$G340))))</f>
        <v>1025.10255</v>
      </c>
      <c r="AQ340" s="5247">
        <f>IF(AND(method_reg="Метод индексации",god&lt;&gt;first_year),_xlfn.SUMIFS(INDEX('Калькуляция (МИ корр)'!$AJ$25:$BC$747,,MATCH(AQ$8,'Калькуляция (МИ корр)'!$AJ$8:$BC$8,0)),'Калькуляция (МИ корр)'!$F$25:$F$747,$F340,'Калькуляция (МИ корр)'!$G$25:$G$747,$G340),IF(method_reg="Метод экономически обоснованных расходов",_xlfn.SUMIFS('Калькуляция (МЭОР)'!$AK$25:$AK$452,'Калькуляция (МЭОР)'!$F$25:$F$452,$F340,'Калькуляция (МЭОР)'!$G$25:$G$452,$G340),IF(method_reg="Метод сравнения аналогов",_xlfn.SUMIFS('Калькуляция (МСА)'!$AF$25:$AF$122,'Калькуляция (МСА)'!$F$25:$F$122,$F340,'Калькуляция (МСА)'!$G$25:$G$122,$G340),_xlfn.SUMIFS(INDEX('Калькуляция (МИ)'!$AJ$25:$BC$747,,MATCH(AQ$8,'Калькуляция (МИ)'!$AJ$8:$BC$8,0)),'Калькуляция (МИ)'!$F$25:$F$747,$F340,'Калькуляция (МИ)'!$G$25:$G$747,$G340))))</f>
        <v>1025.10255</v>
      </c>
      <c r="AR340" s="1095">
        <f>IF(AP340=0,0,(AQ340-AP340)/AP340*100)</f>
        <v>0</v>
      </c>
      <c r="AS340" s="5247">
        <f>IF(AND(method_reg="Метод индексации",god&lt;&gt;first_year),_xlfn.SUMIFS(INDEX('Калькуляция (МИ корр)'!$AJ$25:$BC$747,,MATCH(AS$8,'Калькуляция (МИ корр)'!$AJ$8:$BC$8,0)),'Калькуляция (МИ корр)'!$F$25:$F$747,$F340,'Калькуляция (МИ корр)'!$G$25:$G$747,$G340),IF(method_reg="Метод экономически обоснованных расходов",_xlfn.SUMIFS('Калькуляция (МЭОР)'!$AJ$25:$AJ$452,'Калькуляция (МЭОР)'!$F$25:$F$452,$F340,'Калькуляция (МЭОР)'!$G$25:$G$452,$G340),IF(method_reg="Метод сравнения аналогов",_xlfn.SUMIFS('Калькуляция (МСА)'!$AE$25:$AE$122,'Калькуляция (МСА)'!$F$25:$F$122,$F340,'Калькуляция (МСА)'!$G$25:$G$122,$G340),_xlfn.SUMIFS(INDEX('Калькуляция (МИ)'!$AJ$25:$BC$747,,MATCH(AS$8,'Калькуляция (МИ)'!$AJ$8:$BC$8,0)),'Калькуляция (МИ)'!$F$25:$F$747,$F340,'Калькуляция (МИ)'!$G$25:$G$747,$G340))))</f>
        <v>0</v>
      </c>
      <c r="AT340" s="5247">
        <f>IF(AND(method_reg="Метод индексации",god&lt;&gt;first_year),_xlfn.SUMIFS(INDEX('Калькуляция (МИ корр)'!$AJ$25:$BC$747,,MATCH(AT$8,'Калькуляция (МИ корр)'!$AJ$8:$BC$8,0)),'Калькуляция (МИ корр)'!$F$25:$F$747,$F340,'Калькуляция (МИ корр)'!$G$25:$G$747,$G340),IF(method_reg="Метод экономически обоснованных расходов",_xlfn.SUMIFS('Калькуляция (МЭОР)'!$AK$25:$AK$452,'Калькуляция (МЭОР)'!$F$25:$F$452,$F340,'Калькуляция (МЭОР)'!$G$25:$G$452,$G340),IF(method_reg="Метод сравнения аналогов",_xlfn.SUMIFS('Калькуляция (МСА)'!$AF$25:$AF$122,'Калькуляция (МСА)'!$F$25:$F$122,$F340,'Калькуляция (МСА)'!$G$25:$G$122,$G340),_xlfn.SUMIFS(INDEX('Калькуляция (МИ)'!$AJ$25:$BC$747,,MATCH(AT$8,'Калькуляция (МИ)'!$AJ$8:$BC$8,0)),'Калькуляция (МИ)'!$F$25:$F$747,$F340,'Калькуляция (МИ)'!$G$25:$G$747,$G340))))</f>
        <v>0</v>
      </c>
      <c r="AU340" s="1095">
        <f>IF(AS340=0,0,(AT340-AS340)/AS340*100)</f>
        <v>0</v>
      </c>
      <c r="AV340" s="5247">
        <f>IF(AND(method_reg="Метод индексации",god&lt;&gt;first_year),_xlfn.SUMIFS(INDEX('Калькуляция (МИ корр)'!$AJ$25:$BC$747,,MATCH(AV$8,'Калькуляция (МИ корр)'!$AJ$8:$BC$8,0)),'Калькуляция (МИ корр)'!$F$25:$F$747,$F340,'Калькуляция (МИ корр)'!$G$25:$G$747,$G340),IF(method_reg="Метод экономически обоснованных расходов",_xlfn.SUMIFS('Калькуляция (МЭОР)'!$AJ$25:$AJ$452,'Калькуляция (МЭОР)'!$F$25:$F$452,$F340,'Калькуляция (МЭОР)'!$G$25:$G$452,$G340),IF(method_reg="Метод сравнения аналогов",_xlfn.SUMIFS('Калькуляция (МСА)'!$AE$25:$AE$122,'Калькуляция (МСА)'!$F$25:$F$122,$F340,'Калькуляция (МСА)'!$G$25:$G$122,$G340),_xlfn.SUMIFS(INDEX('Калькуляция (МИ)'!$AJ$25:$BC$747,,MATCH(AV$8,'Калькуляция (МИ)'!$AJ$8:$BC$8,0)),'Калькуляция (МИ)'!$F$25:$F$747,$F340,'Калькуляция (МИ)'!$G$25:$G$747,$G340))))</f>
        <v>0</v>
      </c>
      <c r="AW340" s="5247">
        <f>IF(AND(method_reg="Метод индексации",god&lt;&gt;first_year),_xlfn.SUMIFS(INDEX('Калькуляция (МИ корр)'!$AJ$25:$BC$747,,MATCH(AW$8,'Калькуляция (МИ корр)'!$AJ$8:$BC$8,0)),'Калькуляция (МИ корр)'!$F$25:$F$747,$F340,'Калькуляция (МИ корр)'!$G$25:$G$747,$G340),IF(method_reg="Метод экономически обоснованных расходов",_xlfn.SUMIFS('Калькуляция (МЭОР)'!$AK$25:$AK$452,'Калькуляция (МЭОР)'!$F$25:$F$452,$F340,'Калькуляция (МЭОР)'!$G$25:$G$452,$G340),IF(method_reg="Метод сравнения аналогов",_xlfn.SUMIFS('Калькуляция (МСА)'!$AF$25:$AF$122,'Калькуляция (МСА)'!$F$25:$F$122,$F340,'Калькуляция (МСА)'!$G$25:$G$122,$G340),_xlfn.SUMIFS(INDEX('Калькуляция (МИ)'!$AJ$25:$BC$747,,MATCH(AW$8,'Калькуляция (МИ)'!$AJ$8:$BC$8,0)),'Калькуляция (МИ)'!$F$25:$F$747,$F340,'Калькуляция (МИ)'!$G$25:$G$747,$G340))))</f>
        <v>0</v>
      </c>
      <c r="AX340" s="1095">
        <f>IF(AV340=0,0,(AW340-AV340)/AV340*100)</f>
        <v>0</v>
      </c>
      <c r="AY340" s="5247">
        <f>IF(AND(method_reg="Метод индексации",god&lt;&gt;first_year),_xlfn.SUMIFS(INDEX('Калькуляция (МИ корр)'!$AJ$25:$BC$747,,MATCH(AY$8,'Калькуляция (МИ корр)'!$AJ$8:$BC$8,0)),'Калькуляция (МИ корр)'!$F$25:$F$747,$F340,'Калькуляция (МИ корр)'!$G$25:$G$747,$G340),IF(method_reg="Метод экономически обоснованных расходов",_xlfn.SUMIFS('Калькуляция (МЭОР)'!$AJ$25:$AJ$452,'Калькуляция (МЭОР)'!$F$25:$F$452,$F340,'Калькуляция (МЭОР)'!$G$25:$G$452,$G340),IF(method_reg="Метод сравнения аналогов",_xlfn.SUMIFS('Калькуляция (МСА)'!$AE$25:$AE$122,'Калькуляция (МСА)'!$F$25:$F$122,$F340,'Калькуляция (МСА)'!$G$25:$G$122,$G340),_xlfn.SUMIFS(INDEX('Калькуляция (МИ)'!$AJ$25:$BC$747,,MATCH(AY$8,'Калькуляция (МИ)'!$AJ$8:$BC$8,0)),'Калькуляция (МИ)'!$F$25:$F$747,$F340,'Калькуляция (МИ)'!$G$25:$G$747,$G340))))</f>
        <v>0</v>
      </c>
      <c r="AZ340" s="5247">
        <f>IF(AND(method_reg="Метод индексации",god&lt;&gt;first_year),_xlfn.SUMIFS(INDEX('Калькуляция (МИ корр)'!$AJ$25:$BC$747,,MATCH(AZ$8,'Калькуляция (МИ корр)'!$AJ$8:$BC$8,0)),'Калькуляция (МИ корр)'!$F$25:$F$747,$F340,'Калькуляция (МИ корр)'!$G$25:$G$747,$G340),IF(method_reg="Метод экономически обоснованных расходов",_xlfn.SUMIFS('Калькуляция (МЭОР)'!$AK$25:$AK$452,'Калькуляция (МЭОР)'!$F$25:$F$452,$F340,'Калькуляция (МЭОР)'!$G$25:$G$452,$G340),IF(method_reg="Метод сравнения аналогов",_xlfn.SUMIFS('Калькуляция (МСА)'!$AF$25:$AF$122,'Калькуляция (МСА)'!$F$25:$F$122,$F340,'Калькуляция (МСА)'!$G$25:$G$122,$G340),_xlfn.SUMIFS(INDEX('Калькуляция (МИ)'!$AJ$25:$BC$747,,MATCH(AZ$8,'Калькуляция (МИ)'!$AJ$8:$BC$8,0)),'Калькуляция (МИ)'!$F$25:$F$747,$F340,'Калькуляция (МИ)'!$G$25:$G$747,$G340))))</f>
        <v>0</v>
      </c>
      <c r="BA340" s="1095">
        <f>IF(AY340=0,0,(AZ340-AY340)/AY340*100)</f>
        <v>0</v>
      </c>
      <c r="BB340" s="5247">
        <f>IF(AND(method_reg="Метод индексации",god&lt;&gt;first_year),_xlfn.SUMIFS(INDEX('Калькуляция (МИ корр)'!$AJ$25:$BC$747,,MATCH(BB$8,'Калькуляция (МИ корр)'!$AJ$8:$BC$8,0)),'Калькуляция (МИ корр)'!$F$25:$F$747,$F340,'Калькуляция (МИ корр)'!$G$25:$G$747,$G340),IF(method_reg="Метод экономически обоснованных расходов",_xlfn.SUMIFS('Калькуляция (МЭОР)'!$AJ$25:$AJ$452,'Калькуляция (МЭОР)'!$F$25:$F$452,$F340,'Калькуляция (МЭОР)'!$G$25:$G$452,$G340),IF(method_reg="Метод сравнения аналогов",_xlfn.SUMIFS('Калькуляция (МСА)'!$AE$25:$AE$122,'Калькуляция (МСА)'!$F$25:$F$122,$F340,'Калькуляция (МСА)'!$G$25:$G$122,$G340),_xlfn.SUMIFS(INDEX('Калькуляция (МИ)'!$AJ$25:$BC$747,,MATCH(BB$8,'Калькуляция (МИ)'!$AJ$8:$BC$8,0)),'Калькуляция (МИ)'!$F$25:$F$747,$F340,'Калькуляция (МИ)'!$G$25:$G$747,$G340))))</f>
        <v>0</v>
      </c>
      <c r="BC340" s="5247">
        <f>IF(AND(method_reg="Метод индексации",god&lt;&gt;first_year),_xlfn.SUMIFS(INDEX('Калькуляция (МИ корр)'!$AJ$25:$BC$747,,MATCH(BC$8,'Калькуляция (МИ корр)'!$AJ$8:$BC$8,0)),'Калькуляция (МИ корр)'!$F$25:$F$747,$F340,'Калькуляция (МИ корр)'!$G$25:$G$747,$G340),IF(method_reg="Метод экономически обоснованных расходов",_xlfn.SUMIFS('Калькуляция (МЭОР)'!$AK$25:$AK$452,'Калькуляция (МЭОР)'!$F$25:$F$452,$F340,'Калькуляция (МЭОР)'!$G$25:$G$452,$G340),IF(method_reg="Метод сравнения аналогов",_xlfn.SUMIFS('Калькуляция (МСА)'!$AF$25:$AF$122,'Калькуляция (МСА)'!$F$25:$F$122,$F340,'Калькуляция (МСА)'!$G$25:$G$122,$G340),_xlfn.SUMIFS(INDEX('Калькуляция (МИ)'!$AJ$25:$BC$747,,MATCH(BC$8,'Калькуляция (МИ)'!$AJ$8:$BC$8,0)),'Калькуляция (МИ)'!$F$25:$F$747,$F340,'Калькуляция (МИ)'!$G$25:$G$747,$G340))))</f>
        <v>0</v>
      </c>
      <c r="BD340" s="1095">
        <f>IF(BB340=0,0,(BC340-BB340)/BB340*100)</f>
        <v>0</v>
      </c>
      <c r="BE340" s="5247">
        <f>IF(AND(method_reg="Метод индексации",god&lt;&gt;first_year),_xlfn.SUMIFS(INDEX('Калькуляция (МИ корр)'!$AJ$25:$BC$747,,MATCH(BE$8,'Калькуляция (МИ корр)'!$AJ$8:$BC$8,0)),'Калькуляция (МИ корр)'!$F$25:$F$747,$F340,'Калькуляция (МИ корр)'!$G$25:$G$747,$G340),IF(method_reg="Метод экономически обоснованных расходов",_xlfn.SUMIFS('Калькуляция (МЭОР)'!$AJ$25:$AJ$452,'Калькуляция (МЭОР)'!$F$25:$F$452,$F340,'Калькуляция (МЭОР)'!$G$25:$G$452,$G340),IF(method_reg="Метод сравнения аналогов",_xlfn.SUMIFS('Калькуляция (МСА)'!$AE$25:$AE$122,'Калькуляция (МСА)'!$F$25:$F$122,$F340,'Калькуляция (МСА)'!$G$25:$G$122,$G340),_xlfn.SUMIFS(INDEX('Калькуляция (МИ)'!$AJ$25:$BC$747,,MATCH(BE$8,'Калькуляция (МИ)'!$AJ$8:$BC$8,0)),'Калькуляция (МИ)'!$F$25:$F$747,$F340,'Калькуляция (МИ)'!$G$25:$G$747,$G340))))</f>
        <v>0</v>
      </c>
      <c r="BF340" s="5247">
        <f>IF(AND(method_reg="Метод индексации",god&lt;&gt;first_year),_xlfn.SUMIFS(INDEX('Калькуляция (МИ корр)'!$AJ$25:$BC$747,,MATCH(BF$8,'Калькуляция (МИ корр)'!$AJ$8:$BC$8,0)),'Калькуляция (МИ корр)'!$F$25:$F$747,$F340,'Калькуляция (МИ корр)'!$G$25:$G$747,$G340),IF(method_reg="Метод экономически обоснованных расходов",_xlfn.SUMIFS('Калькуляция (МЭОР)'!$AK$25:$AK$452,'Калькуляция (МЭОР)'!$F$25:$F$452,$F340,'Калькуляция (МЭОР)'!$G$25:$G$452,$G340),IF(method_reg="Метод сравнения аналогов",_xlfn.SUMIFS('Калькуляция (МСА)'!$AF$25:$AF$122,'Калькуляция (МСА)'!$F$25:$F$122,$F340,'Калькуляция (МСА)'!$G$25:$G$122,$G340),_xlfn.SUMIFS(INDEX('Калькуляция (МИ)'!$AJ$25:$BC$747,,MATCH(BF$8,'Калькуляция (МИ)'!$AJ$8:$BC$8,0)),'Калькуляция (МИ)'!$F$25:$F$747,$F340,'Калькуляция (МИ)'!$G$25:$G$747,$G340))))</f>
        <v>0</v>
      </c>
      <c r="BG340" s="1095">
        <f>IF(BE340=0,0,(BF340-BE340)/BE340*100)</f>
        <v>0</v>
      </c>
      <c r="BH340" s="5247"/>
      <c r="BI340" s="5247"/>
      <c r="BJ340" s="1095">
        <f>IF(BH340=0,0,(BI340-BH340)/BH340*100)</f>
        <v>0</v>
      </c>
      <c r="BK340" s="5247"/>
      <c r="BL340" s="5247"/>
      <c r="BM340" s="1095">
        <f>IF(BK340=0,0,(BL340-BK340)/BK340*100)</f>
        <v>0</v>
      </c>
      <c r="BN340" s="5247"/>
      <c r="BO340" s="5247"/>
      <c r="BP340" s="1095">
        <f>IF(BN340=0,0,(BO340-BN340)/BN340*100)</f>
        <v>0</v>
      </c>
      <c r="BQ340" s="5247"/>
      <c r="BR340" s="5247"/>
      <c r="BS340" s="1095">
        <f>IF(BQ340=0,0,(BR340-BQ340)/BQ340*100)</f>
        <v>0</v>
      </c>
      <c r="BT340" s="5247"/>
      <c r="BU340" s="5247"/>
      <c r="BV340" s="1095">
        <f>IF(BT340=0,0,(BU340-BT340)/BT340*100)</f>
        <v>0</v>
      </c>
      <c r="BW340" s="5247"/>
      <c r="BX340" s="5247"/>
      <c r="BY340" s="1095">
        <f>IF(BW340=0,0,(BX340-BW340)/BW340*100)</f>
        <v>0</v>
      </c>
      <c r="BZ340" s="5247"/>
      <c r="CA340" s="5247"/>
      <c r="CB340" s="1095">
        <f>IF(BZ340=0,0,(CA340-BZ340)/BZ340*100)</f>
        <v>0</v>
      </c>
      <c r="CC340" s="5247"/>
      <c r="CD340" s="5247"/>
      <c r="CE340" s="1095">
        <f>IF(CC340=0,0,(CD340-CC340)/CC340*100)</f>
        <v>0</v>
      </c>
      <c r="CF340" s="5247"/>
      <c r="CG340" s="5247"/>
      <c r="CH340" s="1095">
        <f>IF(CF340=0,0,(CG340-CF340)/CF340*100)</f>
        <v>0</v>
      </c>
      <c r="CI340" s="5247"/>
      <c r="CJ340" s="5247"/>
      <c r="CK340" s="1095">
        <f>IF(CI340=0,0,(CJ340-CI340)/CI340*100)</f>
        <v>0</v>
      </c>
      <c r="CL340" s="5247"/>
      <c r="CM340" s="5247"/>
      <c r="CN340" s="1095">
        <f>IF(CL340=0,0,(CM340-CL340)/CL340*100)</f>
        <v>0</v>
      </c>
      <c r="CO340" s="5247"/>
      <c r="CP340" s="5247"/>
      <c r="CQ340" s="1095">
        <f>IF(CO340=0,0,(CP340-CO340)/CO340*100)</f>
        <v>0</v>
      </c>
      <c r="CR340" s="5247"/>
      <c r="CS340" s="5247"/>
      <c r="CT340" s="1095">
        <f>IF(CR340=0,0,(CS340-CR340)/CR340*100)</f>
        <v>0</v>
      </c>
      <c r="CU340" s="5247"/>
      <c r="CV340" s="5247"/>
      <c r="CW340" s="1095">
        <f>IF(CU340=0,0,(CV340-CU340)/CU340*100)</f>
        <v>0</v>
      </c>
      <c r="CX340" s="5247"/>
      <c r="CY340" s="5247"/>
      <c r="CZ340" s="1095">
        <f>IF(CX340=0,0,(CY340-CX340)/CX340*100)</f>
        <v>0</v>
      </c>
      <c r="DA340" s="5247"/>
      <c r="DB340" s="5247"/>
      <c r="DC340" s="1095">
        <f>IF(DA340=0,0,(DB340-DA340)/DA340*100)</f>
        <v>0</v>
      </c>
      <c r="DD340" s="5247"/>
      <c r="DE340" s="5247"/>
      <c r="DF340" s="1095">
        <f>IF(DD340=0,0,(DE340-DD340)/DD340*100)</f>
        <v>0</v>
      </c>
      <c r="DG340" s="5247"/>
      <c r="DH340" s="5247"/>
      <c r="DI340" s="1095">
        <f>IF(DG340=0,0,(DH340-DG340)/DG340*100)</f>
        <v>0</v>
      </c>
      <c r="DJ340" s="5247"/>
      <c r="DK340" s="5247"/>
      <c r="DL340" s="1095">
        <f>IF(DJ340=0,0,(DK340-DJ340)/DJ340*100)</f>
        <v>0</v>
      </c>
      <c r="DM340" s="5247"/>
      <c r="DN340" s="5247"/>
      <c r="DO340" s="1095">
        <f>IF(DM340=0,0,(DN340-DM340)/DM340*100)</f>
        <v>0</v>
      </c>
      <c r="DP340" s="5247"/>
      <c r="DQ340" s="5247"/>
      <c r="DR340" s="1095">
        <f>IF(DP340=0,0,(DQ340-DP340)/DP340*100)</f>
        <v>0</v>
      </c>
      <c r="DS340" s="5247"/>
      <c r="DT340" s="5247"/>
      <c r="DU340" s="1095">
        <f>IF(DS340=0,0,(DT340-DS340)/DS340*100)</f>
        <v>0</v>
      </c>
      <c r="DV340" s="5247"/>
      <c r="DW340" s="5247"/>
      <c r="DX340" s="1095">
        <f>IF(DV340=0,0,(DW340-DV340)/DV340*100)</f>
        <v>0</v>
      </c>
      <c r="DY340" s="5247"/>
      <c r="DZ340" s="5247"/>
      <c r="EA340" s="1095">
        <f>IF(DY340=0,0,(DZ340-DY340)/DY340*100)</f>
        <v>0</v>
      </c>
      <c r="EB340" s="5247"/>
      <c r="EC340" s="5247"/>
      <c r="ED340" s="1095">
        <f>IF(EB340=0,0,(EC340-EB340)/EB340*100)</f>
        <v>0</v>
      </c>
      <c r="EE340" s="5247"/>
      <c r="EF340" s="5247"/>
      <c r="EG340" s="1095">
        <f>IF(EE340=0,0,(EF340-EE340)/EE340*100)</f>
        <v>0</v>
      </c>
      <c r="EH340" s="5247"/>
      <c r="EI340" s="5247"/>
      <c r="EJ340" s="1095">
        <f>IF(EH340=0,0,(EI340-EH340)/EH340*100)</f>
        <v>0</v>
      </c>
      <c r="EK340" s="5247"/>
      <c r="EL340" s="5247"/>
      <c r="EM340" s="1095">
        <f>IF(EK340=0,0,(EL340-EK340)/EK340*100)</f>
        <v>0</v>
      </c>
      <c r="EN340" s="5247"/>
      <c r="EO340" s="5247"/>
      <c r="EP340" s="1095">
        <f>IF(EN340=0,0,(EO340-EN340)/EN340*100)</f>
        <v>0</v>
      </c>
      <c r="EQ340" s="5247"/>
      <c r="ER340" s="5247"/>
      <c r="ES340" s="1095">
        <f>IF(EQ340=0,0,(ER340-EQ340)/EQ340*100)</f>
        <v>0</v>
      </c>
      <c r="ET340" s="5247"/>
      <c r="EU340" s="5247"/>
      <c r="EV340" s="1095">
        <f>IF(ET340=0,0,(EU340-ET340)/ET340*100)</f>
        <v>0</v>
      </c>
      <c r="EW340" s="5247"/>
      <c r="EX340" s="5247"/>
      <c r="EY340" s="1095">
        <f>IF(EW340=0,0,(EX340-EW340)/EW340*100)</f>
        <v>0</v>
      </c>
      <c r="EZ340" s="5247"/>
      <c r="FA340" s="5247"/>
      <c r="FB340" s="1095">
        <f>IF(EZ340=0,0,(FA340-EZ340)/EZ340*100)</f>
        <v>0</v>
      </c>
      <c r="FC340" s="5247"/>
      <c r="FD340" s="5247"/>
      <c r="FE340" s="1095">
        <f>IF(FC340=0,0,(FD340-FC340)/FC340*100)</f>
        <v>0</v>
      </c>
      <c r="FF340" s="5247"/>
      <c r="FG340" s="5247"/>
      <c r="FH340" s="1095">
        <f>IF(FF340=0,0,(FG340-FF340)/FF340*100)</f>
        <v>0</v>
      </c>
      <c r="FI340" s="5247"/>
      <c r="FJ340" s="5247"/>
      <c r="FK340" s="1095">
        <f>IF(FI340=0,0,(FJ340-FI340)/FI340*100)</f>
        <v>0</v>
      </c>
      <c r="FL340" s="5247"/>
      <c r="FM340" s="5247"/>
      <c r="FN340" s="1095">
        <f>IF(FL340=0,0,(FM340-FL340)/FL340*100)</f>
        <v>0</v>
      </c>
      <c r="FO340" s="5247"/>
      <c r="FP340" s="5247"/>
      <c r="FQ340" s="1095">
        <f>IF(FO340=0,0,(FP340-FO340)/FO340*100)</f>
        <v>0</v>
      </c>
      <c r="FR340" s="5247"/>
      <c r="FS340" s="5247"/>
      <c r="FT340" s="1095">
        <f>IF(FR340=0,0,(FS340-FR340)/FR340*100)</f>
        <v>0</v>
      </c>
      <c r="FU340" s="5247"/>
      <c r="FV340" s="5247"/>
      <c r="FW340" s="1095">
        <f>IF(FU340=0,0,(FV340-FU340)/FU340*100)</f>
        <v>0</v>
      </c>
      <c r="FX340" s="292"/>
      <c r="FY340" s="1304"/>
      <c r="FZ340" s="1055" t="s">
        <v>2423</v>
      </c>
      <c r="GA340" s="1306"/>
      <c r="GB340" s="1306"/>
      <c r="GC340" s="1305"/>
      <c r="GD340" s="1305"/>
    </row>
    <row s="1834" customFormat="1" customHeight="1" ht="18" hidden="1">
      <c r="A341" s="493"/>
      <c r="B341" s="925" cm="1" t="str">
        <f t="array" ref="B341:B341">B340</f>
        <v>false</v>
      </c>
      <c r="C341" s="493"/>
      <c r="D341" s="493"/>
      <c r="E341" s="840">
        <v>18.75</v>
      </c>
      <c r="F341" s="50" cm="1" t="str">
        <f t="array" ref="F341:F341">OFFSET(E341,-1,1)</f>
        <v>4</v>
      </c>
      <c r="G341" s="493"/>
      <c r="H341" s="493" t="s">
        <v>1175</v>
      </c>
      <c r="I341" s="493" cm="1" t="str">
        <f t="array" ref="I341:I341">AB341</f>
        <v>0</v>
      </c>
      <c r="J341" s="493"/>
      <c r="K341" s="493"/>
      <c r="L341" s="493"/>
      <c r="M341" s="493"/>
      <c r="N341" s="493"/>
      <c r="O341" s="493"/>
      <c r="P341" s="493"/>
      <c r="Q341" s="493"/>
      <c r="R341" s="493"/>
      <c r="S341" s="493"/>
      <c r="T341" s="465">
        <f>AND(F341&gt;0,Y341&gt;0)</f>
        <v>0</v>
      </c>
      <c r="U341" s="493"/>
      <c r="V341" s="493"/>
      <c r="W341" s="493" t="s">
        <v>174</v>
      </c>
      <c r="X341" s="1596"/>
      <c r="Y341" s="493">
        <v>0</v>
      </c>
      <c r="Z341" s="1545"/>
      <c r="AA341" s="662" t="s">
        <v>175</v>
      </c>
      <c r="AB341" s="2860"/>
      <c r="AC341" s="864" t="s">
        <v>2337</v>
      </c>
      <c r="AD341" s="2846"/>
      <c r="AE341" s="5253"/>
      <c r="AF341" s="1093">
        <f>IF(AD341=0,0,(AE341-AD341)/AD341*100)</f>
        <v>0</v>
      </c>
      <c r="AG341" s="5253"/>
      <c r="AH341" s="5253"/>
      <c r="AI341" s="1093">
        <f>IF(AG341=0,0,(AH341-AG341)/AG341*100)</f>
        <v>0</v>
      </c>
      <c r="AJ341" s="5253"/>
      <c r="AK341" s="5253"/>
      <c r="AL341" s="1093">
        <f>IF(AJ341=0,0,(AK341-AJ341)/AJ341*100)</f>
        <v>0</v>
      </c>
      <c r="AM341" s="5253"/>
      <c r="AN341" s="5253"/>
      <c r="AO341" s="1093">
        <f>IF(AM341=0,0,(AN341-AM341)/AM341*100)</f>
        <v>0</v>
      </c>
      <c r="AP341" s="5253"/>
      <c r="AQ341" s="5253"/>
      <c r="AR341" s="1093">
        <f>IF(AP341=0,0,(AQ341-AP341)/AP341*100)</f>
        <v>0</v>
      </c>
      <c r="AS341" s="5253"/>
      <c r="AT341" s="5253"/>
      <c r="AU341" s="1093">
        <f>IF(AS341=0,0,(AT341-AS341)/AS341*100)</f>
        <v>0</v>
      </c>
      <c r="AV341" s="5253"/>
      <c r="AW341" s="5253"/>
      <c r="AX341" s="1093">
        <f>IF(AV341=0,0,(AW341-AV341)/AV341*100)</f>
        <v>0</v>
      </c>
      <c r="AY341" s="5253"/>
      <c r="AZ341" s="5253"/>
      <c r="BA341" s="1093">
        <f>IF(AY341=0,0,(AZ341-AY341)/AY341*100)</f>
        <v>0</v>
      </c>
      <c r="BB341" s="5253"/>
      <c r="BC341" s="5253"/>
      <c r="BD341" s="1093">
        <f>IF(BB341=0,0,(BC341-BB341)/BB341*100)</f>
        <v>0</v>
      </c>
      <c r="BE341" s="5253"/>
      <c r="BF341" s="5253"/>
      <c r="BG341" s="1093">
        <f>IF(BE341=0,0,(BF341-BE341)/BE341*100)</f>
        <v>0</v>
      </c>
      <c r="BH341" s="5253"/>
      <c r="BI341" s="5253"/>
      <c r="BJ341" s="1093">
        <f>IF(BH341=0,0,(BI341-BH341)/BH341*100)</f>
        <v>0</v>
      </c>
      <c r="BK341" s="5253"/>
      <c r="BL341" s="5253"/>
      <c r="BM341" s="1093">
        <f>IF(BK341=0,0,(BL341-BK341)/BK341*100)</f>
        <v>0</v>
      </c>
      <c r="BN341" s="5253"/>
      <c r="BO341" s="5253"/>
      <c r="BP341" s="1093">
        <f>IF(BN341=0,0,(BO341-BN341)/BN341*100)</f>
        <v>0</v>
      </c>
      <c r="BQ341" s="5253"/>
      <c r="BR341" s="5253"/>
      <c r="BS341" s="1093">
        <f>IF(BQ341=0,0,(BR341-BQ341)/BQ341*100)</f>
        <v>0</v>
      </c>
      <c r="BT341" s="5253"/>
      <c r="BU341" s="5253"/>
      <c r="BV341" s="1093">
        <f>IF(BT341=0,0,(BU341-BT341)/BT341*100)</f>
        <v>0</v>
      </c>
      <c r="BW341" s="5253"/>
      <c r="BX341" s="5253"/>
      <c r="BY341" s="1093">
        <f>IF(BW341=0,0,(BX341-BW341)/BW341*100)</f>
        <v>0</v>
      </c>
      <c r="BZ341" s="5253"/>
      <c r="CA341" s="5253"/>
      <c r="CB341" s="1093">
        <f>IF(BZ341=0,0,(CA341-BZ341)/BZ341*100)</f>
        <v>0</v>
      </c>
      <c r="CC341" s="5253"/>
      <c r="CD341" s="5253"/>
      <c r="CE341" s="1093">
        <f>IF(CC341=0,0,(CD341-CC341)/CC341*100)</f>
        <v>0</v>
      </c>
      <c r="CF341" s="5253"/>
      <c r="CG341" s="5253"/>
      <c r="CH341" s="1093">
        <f>IF(CF341=0,0,(CG341-CF341)/CF341*100)</f>
        <v>0</v>
      </c>
      <c r="CI341" s="5253"/>
      <c r="CJ341" s="5253"/>
      <c r="CK341" s="1093">
        <f>IF(CI341=0,0,(CJ341-CI341)/CI341*100)</f>
        <v>0</v>
      </c>
      <c r="CL341" s="5253"/>
      <c r="CM341" s="5253"/>
      <c r="CN341" s="1093">
        <f>IF(CL341=0,0,(CM341-CL341)/CL341*100)</f>
        <v>0</v>
      </c>
      <c r="CO341" s="5253"/>
      <c r="CP341" s="5253"/>
      <c r="CQ341" s="1093">
        <f>IF(CO341=0,0,(CP341-CO341)/CO341*100)</f>
        <v>0</v>
      </c>
      <c r="CR341" s="5253"/>
      <c r="CS341" s="5253"/>
      <c r="CT341" s="1093">
        <f>IF(CR341=0,0,(CS341-CR341)/CR341*100)</f>
        <v>0</v>
      </c>
      <c r="CU341" s="5253"/>
      <c r="CV341" s="5253"/>
      <c r="CW341" s="1093">
        <f>IF(CU341=0,0,(CV341-CU341)/CU341*100)</f>
        <v>0</v>
      </c>
      <c r="CX341" s="5253"/>
      <c r="CY341" s="5253"/>
      <c r="CZ341" s="1093">
        <f>IF(CX341=0,0,(CY341-CX341)/CX341*100)</f>
        <v>0</v>
      </c>
      <c r="DA341" s="5253"/>
      <c r="DB341" s="5253"/>
      <c r="DC341" s="1093">
        <f>IF(DA341=0,0,(DB341-DA341)/DA341*100)</f>
        <v>0</v>
      </c>
      <c r="DD341" s="5253"/>
      <c r="DE341" s="5253"/>
      <c r="DF341" s="1093">
        <f>IF(DD341=0,0,(DE341-DD341)/DD341*100)</f>
        <v>0</v>
      </c>
      <c r="DG341" s="5253"/>
      <c r="DH341" s="5253"/>
      <c r="DI341" s="1093">
        <f>IF(DG341=0,0,(DH341-DG341)/DG341*100)</f>
        <v>0</v>
      </c>
      <c r="DJ341" s="5253"/>
      <c r="DK341" s="5253"/>
      <c r="DL341" s="1093">
        <f>IF(DJ341=0,0,(DK341-DJ341)/DJ341*100)</f>
        <v>0</v>
      </c>
      <c r="DM341" s="5253"/>
      <c r="DN341" s="5253"/>
      <c r="DO341" s="1093">
        <f>IF(DM341=0,0,(DN341-DM341)/DM341*100)</f>
        <v>0</v>
      </c>
      <c r="DP341" s="5253"/>
      <c r="DQ341" s="5253"/>
      <c r="DR341" s="1093">
        <f>IF(DP341=0,0,(DQ341-DP341)/DP341*100)</f>
        <v>0</v>
      </c>
      <c r="DS341" s="5253"/>
      <c r="DT341" s="5253"/>
      <c r="DU341" s="1093">
        <f>IF(DS341=0,0,(DT341-DS341)/DS341*100)</f>
        <v>0</v>
      </c>
      <c r="DV341" s="5253"/>
      <c r="DW341" s="5253"/>
      <c r="DX341" s="1093">
        <f>IF(DV341=0,0,(DW341-DV341)/DV341*100)</f>
        <v>0</v>
      </c>
      <c r="DY341" s="5253"/>
      <c r="DZ341" s="5253"/>
      <c r="EA341" s="1093">
        <f>IF(DY341=0,0,(DZ341-DY341)/DY341*100)</f>
        <v>0</v>
      </c>
      <c r="EB341" s="5253"/>
      <c r="EC341" s="5253"/>
      <c r="ED341" s="1093">
        <f>IF(EB341=0,0,(EC341-EB341)/EB341*100)</f>
        <v>0</v>
      </c>
      <c r="EE341" s="5253"/>
      <c r="EF341" s="5253"/>
      <c r="EG341" s="1093">
        <f>IF(EE341=0,0,(EF341-EE341)/EE341*100)</f>
        <v>0</v>
      </c>
      <c r="EH341" s="5253"/>
      <c r="EI341" s="5253"/>
      <c r="EJ341" s="1093">
        <f>IF(EH341=0,0,(EI341-EH341)/EH341*100)</f>
        <v>0</v>
      </c>
      <c r="EK341" s="5253"/>
      <c r="EL341" s="5253"/>
      <c r="EM341" s="1093">
        <f>IF(EK341=0,0,(EL341-EK341)/EK341*100)</f>
        <v>0</v>
      </c>
      <c r="EN341" s="5253"/>
      <c r="EO341" s="5253"/>
      <c r="EP341" s="1093">
        <f>IF(EN341=0,0,(EO341-EN341)/EN341*100)</f>
        <v>0</v>
      </c>
      <c r="EQ341" s="5253"/>
      <c r="ER341" s="5253"/>
      <c r="ES341" s="1093">
        <f>IF(EQ341=0,0,(ER341-EQ341)/EQ341*100)</f>
        <v>0</v>
      </c>
      <c r="ET341" s="5253"/>
      <c r="EU341" s="5253"/>
      <c r="EV341" s="1093">
        <f>IF(ET341=0,0,(EU341-ET341)/ET341*100)</f>
        <v>0</v>
      </c>
      <c r="EW341" s="5253"/>
      <c r="EX341" s="5253"/>
      <c r="EY341" s="1093">
        <f>IF(EW341=0,0,(EX341-EW341)/EW341*100)</f>
        <v>0</v>
      </c>
      <c r="EZ341" s="5253"/>
      <c r="FA341" s="5253"/>
      <c r="FB341" s="1093">
        <f>IF(EZ341=0,0,(FA341-EZ341)/EZ341*100)</f>
        <v>0</v>
      </c>
      <c r="FC341" s="5253"/>
      <c r="FD341" s="5253"/>
      <c r="FE341" s="1093">
        <f>IF(FC341=0,0,(FD341-FC341)/FC341*100)</f>
        <v>0</v>
      </c>
      <c r="FF341" s="5253"/>
      <c r="FG341" s="5253"/>
      <c r="FH341" s="1093">
        <f>IF(FF341=0,0,(FG341-FF341)/FF341*100)</f>
        <v>0</v>
      </c>
      <c r="FI341" s="5253"/>
      <c r="FJ341" s="5253"/>
      <c r="FK341" s="1093">
        <f>IF(FI341=0,0,(FJ341-FI341)/FI341*100)</f>
        <v>0</v>
      </c>
      <c r="FL341" s="5253"/>
      <c r="FM341" s="5253"/>
      <c r="FN341" s="1093">
        <f>IF(FL341=0,0,(FM341-FL341)/FL341*100)</f>
        <v>0</v>
      </c>
      <c r="FO341" s="5253"/>
      <c r="FP341" s="5253"/>
      <c r="FQ341" s="1093">
        <f>IF(FO341=0,0,(FP341-FO341)/FO341*100)</f>
        <v>0</v>
      </c>
      <c r="FR341" s="5253"/>
      <c r="FS341" s="5253"/>
      <c r="FT341" s="1093">
        <f>IF(FR341=0,0,(FS341-FR341)/FR341*100)</f>
        <v>0</v>
      </c>
      <c r="FU341" s="5253"/>
      <c r="FV341" s="5253"/>
      <c r="FW341" s="1093">
        <f>IF(FU341=0,0,(FV341-FU341)/FU341*100)</f>
        <v>0</v>
      </c>
      <c r="FX341" s="292"/>
      <c r="FY341" s="1304"/>
      <c r="FZ341" s="1055" t="s">
        <v>2424</v>
      </c>
      <c r="GA341" s="1015" t="s">
        <v>2425</v>
      </c>
      <c r="GB341" s="1015" cm="1" t="str">
        <f t="array" ref="GB341:GB341">AB341</f>
        <v>0</v>
      </c>
      <c r="GC341" s="1305"/>
      <c r="GD341" s="632" t="b">
        <v>1</v>
      </c>
    </row>
    <row s="1834" customFormat="1" customHeight="1" ht="14.25" hidden="1">
      <c r="A342" s="1304"/>
      <c r="B342" s="925" cm="1" t="str">
        <f t="array" ref="B342:B342">B341</f>
        <v>false</v>
      </c>
      <c r="C342" s="1304"/>
      <c r="D342" s="493"/>
      <c r="E342" s="840">
        <v>15</v>
      </c>
      <c r="F342" s="50" cm="1" t="str">
        <f t="array" ref="F342:F342">OFFSET(E342,-1,1)</f>
        <v>4</v>
      </c>
      <c r="G342" s="493"/>
      <c r="H342" s="1304"/>
      <c r="I342" s="98" t="s">
        <v>2426</v>
      </c>
      <c r="J342" s="1304"/>
      <c r="K342" s="1304"/>
      <c r="L342" s="1304"/>
      <c r="M342" s="1304"/>
      <c r="N342" s="1304"/>
      <c r="O342" s="1304"/>
      <c r="P342" s="1304"/>
      <c r="Q342" s="1304"/>
      <c r="R342" s="1304"/>
      <c r="S342" s="1304"/>
      <c r="T342" s="465">
        <f>F342&gt;0</f>
        <v>1</v>
      </c>
      <c r="U342" s="1304"/>
      <c r="V342" s="1304"/>
      <c r="W342" s="757" t="s">
        <v>2367</v>
      </c>
      <c r="X342" s="1596"/>
      <c r="Y342" s="1304"/>
      <c r="Z342" s="1545"/>
      <c r="AA342" s="1304"/>
      <c r="AB342" s="260" t="s">
        <v>178</v>
      </c>
      <c r="AC342" s="264"/>
      <c r="AD342" s="262"/>
      <c r="AE342" s="262"/>
      <c r="AF342" s="262"/>
      <c r="AG342" s="262"/>
      <c r="AH342" s="262"/>
      <c r="AI342" s="262"/>
      <c r="AJ342" s="262"/>
      <c r="AK342" s="262"/>
      <c r="AL342" s="262"/>
      <c r="AM342" s="262"/>
      <c r="AN342" s="262"/>
      <c r="AO342" s="262"/>
      <c r="AP342" s="262"/>
      <c r="AQ342" s="262"/>
      <c r="AR342" s="262"/>
      <c r="AS342" s="262"/>
      <c r="AT342" s="262"/>
      <c r="AU342" s="262"/>
      <c r="AV342" s="262"/>
      <c r="AW342" s="262"/>
      <c r="AX342" s="262"/>
      <c r="AY342" s="262"/>
      <c r="AZ342" s="262"/>
      <c r="BA342" s="262"/>
      <c r="BB342" s="262"/>
      <c r="BC342" s="262"/>
      <c r="BD342" s="262"/>
      <c r="BE342" s="262"/>
      <c r="BF342" s="262"/>
      <c r="BG342" s="262"/>
      <c r="BH342" s="262"/>
      <c r="BI342" s="262"/>
      <c r="BJ342" s="262"/>
      <c r="BK342" s="262"/>
      <c r="BL342" s="262"/>
      <c r="BM342" s="262"/>
      <c r="BN342" s="262"/>
      <c r="BO342" s="262"/>
      <c r="BP342" s="262"/>
      <c r="BQ342" s="262"/>
      <c r="BR342" s="262"/>
      <c r="BS342" s="262"/>
      <c r="BT342" s="262"/>
      <c r="BU342" s="262"/>
      <c r="BV342" s="262"/>
      <c r="BW342" s="262"/>
      <c r="BX342" s="262"/>
      <c r="BY342" s="262"/>
      <c r="BZ342" s="262"/>
      <c r="CA342" s="262"/>
      <c r="CB342" s="262"/>
      <c r="CC342" s="262"/>
      <c r="CD342" s="262"/>
      <c r="CE342" s="262"/>
      <c r="CF342" s="262"/>
      <c r="CG342" s="262"/>
      <c r="CH342" s="262"/>
      <c r="CI342" s="262"/>
      <c r="CJ342" s="262"/>
      <c r="CK342" s="262"/>
      <c r="CL342" s="262"/>
      <c r="CM342" s="262"/>
      <c r="CN342" s="262"/>
      <c r="CO342" s="262"/>
      <c r="CP342" s="262"/>
      <c r="CQ342" s="262"/>
      <c r="CR342" s="262"/>
      <c r="CS342" s="262"/>
      <c r="CT342" s="262"/>
      <c r="CU342" s="262"/>
      <c r="CV342" s="262"/>
      <c r="CW342" s="262"/>
      <c r="CX342" s="262"/>
      <c r="CY342" s="262"/>
      <c r="CZ342" s="262"/>
      <c r="DA342" s="262"/>
      <c r="DB342" s="262"/>
      <c r="DC342" s="262"/>
      <c r="DD342" s="262"/>
      <c r="DE342" s="262"/>
      <c r="DF342" s="262"/>
      <c r="DG342" s="262"/>
      <c r="DH342" s="262"/>
      <c r="DI342" s="262"/>
      <c r="DJ342" s="262"/>
      <c r="DK342" s="262"/>
      <c r="DL342" s="262"/>
      <c r="DM342" s="262"/>
      <c r="DN342" s="262"/>
      <c r="DO342" s="262"/>
      <c r="DP342" s="262"/>
      <c r="DQ342" s="262"/>
      <c r="DR342" s="262"/>
      <c r="DS342" s="262"/>
      <c r="DT342" s="262"/>
      <c r="DU342" s="262"/>
      <c r="DV342" s="262"/>
      <c r="DW342" s="262"/>
      <c r="DX342" s="262"/>
      <c r="DY342" s="262"/>
      <c r="DZ342" s="262"/>
      <c r="EA342" s="262"/>
      <c r="EB342" s="262"/>
      <c r="EC342" s="262"/>
      <c r="ED342" s="262"/>
      <c r="EE342" s="262"/>
      <c r="EF342" s="262"/>
      <c r="EG342" s="262"/>
      <c r="EH342" s="262"/>
      <c r="EI342" s="262"/>
      <c r="EJ342" s="262"/>
      <c r="EK342" s="262"/>
      <c r="EL342" s="262"/>
      <c r="EM342" s="262"/>
      <c r="EN342" s="262"/>
      <c r="EO342" s="262"/>
      <c r="EP342" s="262"/>
      <c r="EQ342" s="262"/>
      <c r="ER342" s="262"/>
      <c r="ES342" s="262"/>
      <c r="ET342" s="262"/>
      <c r="EU342" s="262"/>
      <c r="EV342" s="262"/>
      <c r="EW342" s="262"/>
      <c r="EX342" s="262"/>
      <c r="EY342" s="262"/>
      <c r="EZ342" s="262"/>
      <c r="FA342" s="262"/>
      <c r="FB342" s="262"/>
      <c r="FC342" s="262"/>
      <c r="FD342" s="262"/>
      <c r="FE342" s="262"/>
      <c r="FF342" s="262"/>
      <c r="FG342" s="262"/>
      <c r="FH342" s="262"/>
      <c r="FI342" s="262"/>
      <c r="FJ342" s="262"/>
      <c r="FK342" s="262"/>
      <c r="FL342" s="262"/>
      <c r="FM342" s="262"/>
      <c r="FN342" s="262"/>
      <c r="FO342" s="262"/>
      <c r="FP342" s="262"/>
      <c r="FQ342" s="262"/>
      <c r="FR342" s="262"/>
      <c r="FS342" s="262"/>
      <c r="FT342" s="262"/>
      <c r="FU342" s="262"/>
      <c r="FV342" s="262"/>
      <c r="FW342" s="263"/>
      <c r="FX342" s="1304"/>
      <c r="FY342" s="1304"/>
      <c r="FZ342" s="1306"/>
      <c r="GA342" s="1306"/>
      <c r="GB342" s="1306"/>
      <c r="GC342" s="632" t="s">
        <v>2425</v>
      </c>
      <c r="GD342" s="1305"/>
    </row>
    <row s="1834" customFormat="1" customHeight="1" ht="10.5">
      <c r="A343" s="98"/>
      <c r="B343" s="905"/>
      <c r="C343" s="98"/>
      <c r="D343" s="493"/>
      <c r="E343" s="840">
        <v>11.5</v>
      </c>
      <c r="F343" s="1337"/>
      <c r="G343" s="493"/>
      <c r="H343" s="98"/>
      <c r="I343" s="98"/>
      <c r="J343" s="98"/>
      <c r="K343" s="98"/>
      <c r="L343" s="98"/>
      <c r="M343" s="98"/>
      <c r="N343" s="98"/>
      <c r="O343" s="98"/>
      <c r="P343" s="98"/>
      <c r="Q343" s="98"/>
      <c r="R343" s="98"/>
      <c r="S343" s="98"/>
      <c r="T343" s="465" cm="1" t="str">
        <f t="array" ref="T343:T343">T342</f>
        <v>true</v>
      </c>
      <c r="U343" s="98"/>
      <c r="V343" s="98"/>
      <c r="W343" s="757"/>
      <c r="X343" s="1596"/>
      <c r="Y343" s="98"/>
      <c r="Z343" s="1545"/>
      <c r="AA343" s="98"/>
      <c r="AB343" s="207"/>
      <c r="AC343" s="1446"/>
      <c r="AD343" s="1304"/>
      <c r="AE343" s="1304"/>
      <c r="AF343" s="1304"/>
      <c r="AG343" s="1304"/>
      <c r="AH343" s="1304"/>
      <c r="AI343" s="1304"/>
      <c r="AJ343" s="1304"/>
      <c r="AK343" s="1304"/>
      <c r="AL343" s="1304"/>
      <c r="AM343" s="1304"/>
      <c r="AN343" s="1304"/>
      <c r="AO343" s="1304"/>
      <c r="AP343" s="1304"/>
      <c r="AQ343" s="1304"/>
      <c r="AR343" s="1304"/>
      <c r="AS343" s="1304"/>
      <c r="AT343" s="1304"/>
      <c r="AU343" s="1304"/>
      <c r="AV343" s="1304"/>
      <c r="AW343" s="1304"/>
      <c r="AX343" s="1304"/>
      <c r="AY343" s="1304"/>
      <c r="AZ343" s="1304"/>
      <c r="BA343" s="1304"/>
      <c r="BB343" s="1304"/>
      <c r="BC343" s="1304"/>
      <c r="BD343" s="1304"/>
      <c r="BE343" s="1304"/>
      <c r="BF343" s="1304"/>
      <c r="BG343" s="1304"/>
      <c r="BH343" s="1304"/>
      <c r="BI343" s="1304"/>
      <c r="BJ343" s="1304"/>
      <c r="BK343" s="1304"/>
      <c r="BL343" s="1304"/>
      <c r="BM343" s="1304"/>
      <c r="BN343" s="1304"/>
      <c r="BO343" s="1304"/>
      <c r="BP343" s="1304"/>
      <c r="BQ343" s="1304"/>
      <c r="BR343" s="1304"/>
      <c r="BS343" s="1304"/>
      <c r="BT343" s="1304"/>
      <c r="BU343" s="1304"/>
      <c r="BV343" s="1304"/>
      <c r="BW343" s="1304"/>
      <c r="BX343" s="1304"/>
      <c r="BY343" s="1304"/>
      <c r="BZ343" s="1304"/>
      <c r="CA343" s="1304"/>
      <c r="CB343" s="1304"/>
      <c r="CC343" s="1304"/>
      <c r="CD343" s="1304"/>
      <c r="CE343" s="1304"/>
      <c r="CF343" s="1304"/>
      <c r="CG343" s="1304"/>
      <c r="CH343" s="1304"/>
      <c r="CI343" s="1304"/>
      <c r="CJ343" s="1304"/>
      <c r="CK343" s="1304"/>
      <c r="CL343" s="1304"/>
      <c r="CM343" s="1304"/>
      <c r="CN343" s="1304"/>
      <c r="CO343" s="1304"/>
      <c r="CP343" s="1304"/>
      <c r="CQ343" s="1304"/>
      <c r="CR343" s="1304"/>
      <c r="CS343" s="1304"/>
      <c r="CT343" s="1304"/>
      <c r="CU343" s="1304"/>
      <c r="CV343" s="1304"/>
      <c r="CW343" s="1304"/>
      <c r="CX343" s="1304"/>
      <c r="CY343" s="1304"/>
      <c r="CZ343" s="1304"/>
      <c r="DA343" s="1304"/>
      <c r="DB343" s="1304"/>
      <c r="DC343" s="1304"/>
      <c r="DD343" s="1304"/>
      <c r="DE343" s="1304"/>
      <c r="DF343" s="1304"/>
      <c r="DG343" s="1304"/>
      <c r="DH343" s="1304"/>
      <c r="DI343" s="1304"/>
      <c r="DJ343" s="1304"/>
      <c r="DK343" s="1304"/>
      <c r="DL343" s="1304"/>
      <c r="DM343" s="1304"/>
      <c r="DN343" s="1304"/>
      <c r="DO343" s="1304"/>
      <c r="DP343" s="1304"/>
      <c r="DQ343" s="1304"/>
      <c r="DR343" s="1304"/>
      <c r="DS343" s="1304"/>
      <c r="DT343" s="1304"/>
      <c r="DU343" s="1304"/>
      <c r="DV343" s="1304"/>
      <c r="DW343" s="1304"/>
      <c r="DX343" s="1304"/>
      <c r="DY343" s="1304"/>
      <c r="DZ343" s="1304"/>
      <c r="EA343" s="1304"/>
      <c r="EB343" s="1304"/>
      <c r="EC343" s="1304"/>
      <c r="ED343" s="1304"/>
      <c r="EE343" s="1304"/>
      <c r="EF343" s="1304"/>
      <c r="EG343" s="1304"/>
      <c r="EH343" s="1304"/>
      <c r="EI343" s="1304"/>
      <c r="EJ343" s="1304"/>
      <c r="EK343" s="1304"/>
      <c r="EL343" s="1304"/>
      <c r="EM343" s="1304"/>
      <c r="EN343" s="1304"/>
      <c r="EO343" s="1304"/>
      <c r="EP343" s="1304"/>
      <c r="EQ343" s="1304"/>
      <c r="ER343" s="1304"/>
      <c r="ES343" s="1304"/>
      <c r="ET343" s="1304"/>
      <c r="EU343" s="1304"/>
      <c r="EV343" s="1304"/>
      <c r="EW343" s="1304"/>
      <c r="EX343" s="1304"/>
      <c r="EY343" s="1304"/>
      <c r="EZ343" s="1304"/>
      <c r="FA343" s="1304"/>
      <c r="FB343" s="1304"/>
      <c r="FC343" s="1304"/>
      <c r="FD343" s="1304"/>
      <c r="FE343" s="1304"/>
      <c r="FF343" s="1304"/>
      <c r="FG343" s="1304"/>
      <c r="FH343" s="1304"/>
      <c r="FI343" s="1304"/>
      <c r="FJ343" s="1304"/>
      <c r="FK343" s="1304"/>
      <c r="FL343" s="1304"/>
      <c r="FM343" s="1304"/>
      <c r="FN343" s="1304"/>
      <c r="FO343" s="1304"/>
      <c r="FP343" s="1304"/>
      <c r="FQ343" s="1304"/>
      <c r="FR343" s="1304"/>
      <c r="FS343" s="1304"/>
      <c r="FT343" s="1304"/>
      <c r="FU343" s="1304"/>
      <c r="FV343" s="1304"/>
      <c r="FW343" s="1304"/>
      <c r="FX343" s="1304"/>
      <c r="FY343" s="1304"/>
      <c r="FZ343" s="1006"/>
      <c r="GA343" s="1006"/>
      <c r="GB343" s="1001"/>
      <c r="GC343" s="675"/>
      <c r="GD343" s="675"/>
    </row>
    <row s="1834" customFormat="1" customHeight="1" ht="10.96875">
      <c r="A344" s="469"/>
      <c r="B344" s="926"/>
      <c r="C344" s="469"/>
      <c r="D344" s="482"/>
      <c r="E344" s="866">
        <v>11.25</v>
      </c>
      <c r="F344" s="929"/>
      <c r="G344" s="482"/>
      <c r="H344" s="469"/>
      <c r="I344" s="469"/>
      <c r="J344" s="469"/>
      <c r="K344" s="469"/>
      <c r="L344" s="469"/>
      <c r="M344" s="469"/>
      <c r="N344" s="469"/>
      <c r="O344" s="469"/>
      <c r="P344" s="469"/>
      <c r="Q344" s="469"/>
      <c r="R344" s="469"/>
      <c r="S344" s="482"/>
      <c r="T344" s="469"/>
      <c r="U344" s="469" t="s">
        <v>178</v>
      </c>
      <c r="V344" s="140" t="s">
        <v>2427</v>
      </c>
      <c r="W344" s="469"/>
      <c r="X344" s="469"/>
      <c r="Y344" s="469"/>
      <c r="Z344" s="469"/>
      <c r="AA344" s="469"/>
      <c r="AC344" s="100"/>
      <c r="AD344" s="100"/>
      <c r="AE344" s="100"/>
      <c r="AF344" s="100"/>
      <c r="AG344" s="1834"/>
      <c r="AH344" s="1834"/>
      <c r="AI344" s="1834"/>
      <c r="AJ344" s="1834"/>
      <c r="AK344" s="1834"/>
      <c r="AL344" s="1834"/>
      <c r="AM344" s="1834"/>
      <c r="AN344" s="1834"/>
      <c r="AO344" s="1834"/>
      <c r="AP344" s="1834"/>
      <c r="AQ344" s="101"/>
      <c r="AR344" s="1834"/>
      <c r="AS344" s="1834"/>
      <c r="AT344" s="1834"/>
      <c r="AU344" s="1834"/>
      <c r="AV344" s="1834"/>
      <c r="AW344" s="1834"/>
      <c r="AX344" s="1834"/>
      <c r="AY344" s="1834"/>
      <c r="AZ344" s="1834"/>
      <c r="BA344" s="1834"/>
      <c r="BB344" s="1834"/>
      <c r="BC344" s="1834"/>
      <c r="BD344" s="1834"/>
      <c r="BE344" s="1834"/>
      <c r="BF344" s="1834"/>
      <c r="BG344" s="1834"/>
      <c r="BH344" s="1834"/>
      <c r="BI344" s="1834"/>
      <c r="BJ344" s="1834"/>
      <c r="BK344" s="1834"/>
      <c r="BL344" s="1834"/>
      <c r="BM344" s="1834"/>
      <c r="BN344" s="1834"/>
      <c r="BO344" s="1834"/>
      <c r="BP344" s="1834"/>
      <c r="BQ344" s="1834"/>
      <c r="BR344" s="1834"/>
      <c r="BS344" s="1834"/>
      <c r="BT344" s="1834"/>
      <c r="BU344" s="1834"/>
      <c r="BV344" s="1834"/>
      <c r="BW344" s="1834"/>
      <c r="BX344" s="1834"/>
      <c r="BY344" s="1834"/>
      <c r="BZ344" s="1834"/>
      <c r="CA344" s="1834"/>
      <c r="CB344" s="1834"/>
      <c r="CC344" s="1834"/>
      <c r="CD344" s="1834"/>
      <c r="CE344" s="1834"/>
      <c r="CF344" s="1834"/>
      <c r="CG344" s="1834"/>
      <c r="CH344" s="1834"/>
      <c r="CI344" s="1834"/>
      <c r="CJ344" s="1834"/>
      <c r="CK344" s="1834"/>
      <c r="CL344" s="1834"/>
      <c r="CM344" s="1834"/>
      <c r="CN344" s="1834"/>
      <c r="CO344" s="1834"/>
      <c r="CP344" s="1834"/>
      <c r="CQ344" s="1834"/>
      <c r="CR344" s="1834"/>
      <c r="CS344" s="1834"/>
      <c r="CT344" s="1834"/>
      <c r="CU344" s="1834"/>
      <c r="CV344" s="1834"/>
      <c r="CW344" s="1834"/>
      <c r="CX344" s="1834"/>
      <c r="CY344" s="1834"/>
      <c r="CZ344" s="1834"/>
      <c r="DA344" s="1834"/>
      <c r="DB344" s="1834"/>
      <c r="DC344" s="1834"/>
      <c r="DD344" s="1834"/>
      <c r="DE344" s="1834"/>
      <c r="DF344" s="1834"/>
      <c r="DG344" s="1834"/>
      <c r="DH344" s="1834"/>
      <c r="DI344" s="1834"/>
      <c r="DJ344" s="1834"/>
      <c r="DK344" s="1834"/>
      <c r="DL344" s="1834"/>
      <c r="DM344" s="1834"/>
      <c r="DN344" s="1834"/>
      <c r="DO344" s="1834"/>
      <c r="DP344" s="1834"/>
      <c r="DQ344" s="1834"/>
      <c r="DR344" s="1834"/>
      <c r="DS344" s="1834"/>
      <c r="DT344" s="1834"/>
      <c r="DU344" s="1834"/>
      <c r="DV344" s="1834"/>
      <c r="DW344" s="1834"/>
      <c r="DX344" s="1834"/>
      <c r="DY344" s="1834"/>
      <c r="DZ344" s="1834"/>
      <c r="EA344" s="1834"/>
      <c r="EB344" s="1834"/>
      <c r="EC344" s="1834"/>
      <c r="ED344" s="1834"/>
      <c r="EE344" s="1834"/>
      <c r="EF344" s="1834"/>
      <c r="EG344" s="1834"/>
      <c r="EH344" s="1834"/>
      <c r="EI344" s="1834"/>
      <c r="EJ344" s="1834"/>
      <c r="EK344" s="1834"/>
      <c r="EL344" s="1834"/>
      <c r="EM344" s="1834"/>
      <c r="EN344" s="1834"/>
      <c r="EO344" s="1834"/>
      <c r="EP344" s="1834"/>
      <c r="EQ344" s="1834"/>
      <c r="ER344" s="1834"/>
      <c r="ES344" s="1834"/>
      <c r="ET344" s="1834"/>
      <c r="EU344" s="1834"/>
      <c r="EV344" s="1834"/>
      <c r="EW344" s="1834"/>
      <c r="EX344" s="1834"/>
      <c r="EY344" s="1834"/>
      <c r="EZ344" s="1834"/>
      <c r="FA344" s="1834"/>
      <c r="FB344" s="1834"/>
      <c r="FC344" s="1834"/>
      <c r="FD344" s="1834"/>
      <c r="FE344" s="1834"/>
      <c r="FF344" s="1834"/>
      <c r="FG344" s="1834"/>
      <c r="FH344" s="1834"/>
      <c r="FI344" s="1834"/>
      <c r="FJ344" s="1834"/>
      <c r="FK344" s="1834"/>
      <c r="FL344" s="1834"/>
      <c r="FM344" s="1834"/>
      <c r="FN344" s="1834"/>
      <c r="FO344" s="1834"/>
      <c r="FP344" s="1834"/>
      <c r="FQ344" s="1834"/>
      <c r="FR344" s="1834"/>
      <c r="FS344" s="1834"/>
      <c r="FT344" s="1834"/>
      <c r="FU344" s="1834"/>
      <c r="FV344" s="1834"/>
      <c r="FW344" s="1834"/>
      <c r="FZ344" s="1019"/>
      <c r="GA344" s="1019"/>
      <c r="GB344" s="1058"/>
      <c r="GC344" s="686"/>
      <c r="GD344" s="686"/>
    </row>
    <row customHeight="1" ht="14.625">
      <c r="E345" s="632">
        <v>15</v>
      </c>
      <c r="AB345" s="1577" t="s">
        <v>407</v>
      </c>
      <c r="AC345" s="1577"/>
      <c r="AD345" s="1577"/>
      <c r="AE345" s="1577"/>
      <c r="AF345" s="1577"/>
      <c r="AG345" s="1577"/>
      <c r="AH345" s="1577"/>
      <c r="AI345" s="1577"/>
      <c r="AJ345" s="1577"/>
      <c r="AK345" s="1577"/>
      <c r="AL345" s="1577"/>
      <c r="AM345" s="1577"/>
      <c r="AN345" s="1577"/>
      <c r="AO345" s="1577"/>
      <c r="AP345" s="1577"/>
      <c r="AQ345" s="1577"/>
      <c r="AR345" s="1577"/>
      <c r="AS345" s="1577"/>
      <c r="AT345" s="1577"/>
      <c r="AU345" s="1577"/>
      <c r="AV345" s="1577"/>
      <c r="AW345" s="1577"/>
      <c r="AX345" s="1577"/>
      <c r="AY345" s="1577"/>
      <c r="AZ345" s="1577"/>
      <c r="BA345" s="1577"/>
      <c r="BB345" s="1577"/>
      <c r="BC345" s="1577"/>
      <c r="BD345" s="1577"/>
      <c r="BE345" s="1577"/>
      <c r="BF345" s="1577"/>
      <c r="BG345" s="1577"/>
      <c r="BH345" s="1304"/>
      <c r="BI345" s="1304"/>
      <c r="BJ345" s="1304"/>
      <c r="BK345" s="1304"/>
      <c r="BL345" s="1304"/>
      <c r="BM345" s="1304"/>
      <c r="BN345" s="1304"/>
      <c r="BO345" s="1304"/>
      <c r="BP345" s="1304"/>
      <c r="BQ345" s="1304"/>
      <c r="BR345" s="1304"/>
      <c r="BS345" s="1304"/>
      <c r="BT345" s="1304"/>
      <c r="BU345" s="1304"/>
      <c r="BV345" s="1304"/>
      <c r="BW345" s="1304"/>
      <c r="BX345" s="1304"/>
      <c r="BY345" s="1304"/>
      <c r="BZ345" s="1304"/>
      <c r="CA345" s="1304"/>
      <c r="CB345" s="1304"/>
      <c r="CC345" s="1304"/>
      <c r="CD345" s="1304"/>
      <c r="CE345" s="1304"/>
      <c r="CF345" s="1304"/>
      <c r="CG345" s="1304"/>
      <c r="CH345" s="1304"/>
      <c r="CI345" s="1304"/>
      <c r="CJ345" s="1304"/>
      <c r="CK345" s="1304"/>
      <c r="CL345" s="1304"/>
      <c r="CM345" s="1304"/>
      <c r="CN345" s="1304"/>
      <c r="CO345" s="1304"/>
      <c r="CP345" s="1304"/>
      <c r="CQ345" s="1304"/>
      <c r="CR345" s="1304"/>
      <c r="CS345" s="1304"/>
      <c r="CT345" s="1304"/>
      <c r="CU345" s="1304"/>
      <c r="CV345" s="1304"/>
      <c r="CW345" s="1304"/>
      <c r="CX345" s="1304"/>
      <c r="CY345" s="1304"/>
      <c r="CZ345" s="1304"/>
      <c r="DA345" s="1304"/>
      <c r="DB345" s="1304"/>
      <c r="DC345" s="1304"/>
      <c r="DD345" s="1304"/>
      <c r="DE345" s="1304"/>
      <c r="DF345" s="1304"/>
      <c r="DG345" s="1304"/>
      <c r="DH345" s="1304"/>
      <c r="DI345" s="1304"/>
      <c r="DJ345" s="1304"/>
      <c r="DK345" s="1304"/>
      <c r="DL345" s="1304"/>
      <c r="DM345" s="1304"/>
      <c r="DN345" s="1304"/>
      <c r="DO345" s="1304"/>
      <c r="DP345" s="1304"/>
      <c r="DQ345" s="1304"/>
      <c r="DR345" s="1304"/>
      <c r="DS345" s="1304"/>
      <c r="DT345" s="1304"/>
      <c r="DU345" s="1304"/>
      <c r="DV345" s="1304"/>
      <c r="DW345" s="1304"/>
      <c r="DX345" s="1304"/>
      <c r="DY345" s="1304"/>
      <c r="DZ345" s="1304"/>
      <c r="EA345" s="1304"/>
      <c r="EB345" s="1304"/>
      <c r="EC345" s="1304"/>
      <c r="ED345" s="1304"/>
      <c r="EE345" s="1304"/>
      <c r="EF345" s="1304"/>
      <c r="EG345" s="1304"/>
      <c r="EH345" s="1304"/>
      <c r="EI345" s="1304"/>
      <c r="EJ345" s="1304"/>
      <c r="EK345" s="1304"/>
      <c r="EL345" s="1304"/>
      <c r="EM345" s="1304"/>
      <c r="EN345" s="1304"/>
      <c r="EO345" s="1304"/>
      <c r="EP345" s="1304"/>
      <c r="EQ345" s="1304"/>
      <c r="ER345" s="1304"/>
      <c r="ES345" s="1304"/>
      <c r="ET345" s="1304"/>
      <c r="EU345" s="1304"/>
      <c r="EV345" s="1304"/>
      <c r="EW345" s="1304"/>
      <c r="EX345" s="1304"/>
      <c r="EY345" s="1304"/>
      <c r="EZ345" s="1304"/>
      <c r="FA345" s="1304"/>
      <c r="FB345" s="1304"/>
      <c r="FC345" s="1304"/>
      <c r="FD345" s="1304"/>
      <c r="FE345" s="1304"/>
      <c r="FF345" s="1304"/>
      <c r="FG345" s="1304"/>
      <c r="FH345" s="1304"/>
      <c r="FI345" s="1304"/>
      <c r="FJ345" s="1304"/>
      <c r="FK345" s="1304"/>
      <c r="FL345" s="1304"/>
      <c r="FM345" s="1304"/>
      <c r="FN345" s="1304"/>
      <c r="FO345" s="1304"/>
      <c r="FP345" s="1304"/>
      <c r="FQ345" s="1304"/>
      <c r="FR345" s="1304"/>
      <c r="FS345" s="1304"/>
      <c r="FT345" s="1304"/>
      <c r="FU345" s="1304"/>
      <c r="FV345" s="1304"/>
      <c r="FW345" s="1304"/>
    </row>
    <row customHeight="1" ht="14.625">
      <c r="E346" s="632">
        <v>15</v>
      </c>
      <c r="AA346" s="661"/>
      <c r="AB346" s="1640"/>
      <c r="AC346" s="1640"/>
      <c r="AD346" s="1640"/>
      <c r="AE346" s="1640"/>
      <c r="AF346" s="1640"/>
      <c r="AG346" s="7129"/>
      <c r="AH346" s="7129"/>
      <c r="AI346" s="7129"/>
      <c r="AJ346" s="7129"/>
      <c r="AK346" s="7129"/>
      <c r="AL346" s="7129"/>
      <c r="AM346" s="7129"/>
      <c r="AN346" s="7129"/>
      <c r="AO346" s="7129"/>
      <c r="AP346" s="7129"/>
      <c r="AQ346" s="7129"/>
      <c r="AR346" s="7129"/>
      <c r="AS346" s="7129"/>
      <c r="AT346" s="7129"/>
      <c r="AU346" s="7129"/>
      <c r="AV346" s="7129"/>
      <c r="AW346" s="7129"/>
      <c r="AX346" s="7129"/>
      <c r="AY346" s="7129"/>
      <c r="AZ346" s="7129"/>
      <c r="BA346" s="7129"/>
      <c r="BB346" s="7129"/>
      <c r="BC346" s="7129"/>
      <c r="BD346" s="7129"/>
      <c r="BE346" s="7129"/>
      <c r="BF346" s="7129"/>
      <c r="BG346" s="7129"/>
      <c r="BH346" s="1304"/>
      <c r="BI346" s="1304"/>
      <c r="BJ346" s="1304"/>
      <c r="BK346" s="1304"/>
      <c r="BL346" s="1304"/>
      <c r="BM346" s="1304"/>
      <c r="BN346" s="1304"/>
      <c r="BO346" s="1304"/>
      <c r="BP346" s="1304"/>
      <c r="BQ346" s="1304"/>
      <c r="BR346" s="1304"/>
      <c r="BS346" s="1304"/>
      <c r="BT346" s="1304"/>
      <c r="BU346" s="1304"/>
      <c r="BV346" s="1304"/>
      <c r="BW346" s="1304"/>
      <c r="BX346" s="1304"/>
      <c r="BY346" s="1304"/>
      <c r="BZ346" s="1304"/>
      <c r="CA346" s="1304"/>
      <c r="CB346" s="1304"/>
      <c r="CC346" s="1304"/>
      <c r="CD346" s="1304"/>
      <c r="CE346" s="1304"/>
      <c r="CF346" s="1304"/>
      <c r="CG346" s="1304"/>
      <c r="CH346" s="1304"/>
      <c r="CI346" s="1304"/>
      <c r="CJ346" s="1304"/>
      <c r="CK346" s="1304"/>
      <c r="CL346" s="1304"/>
      <c r="CM346" s="1304"/>
      <c r="CN346" s="1304"/>
      <c r="CO346" s="1304"/>
      <c r="CP346" s="1304"/>
      <c r="CQ346" s="1304"/>
      <c r="CR346" s="1304"/>
      <c r="CS346" s="1304"/>
      <c r="CT346" s="1304"/>
      <c r="CU346" s="1304"/>
      <c r="CV346" s="1304"/>
      <c r="CW346" s="1304"/>
      <c r="CX346" s="1304"/>
      <c r="CY346" s="1304"/>
      <c r="CZ346" s="1304"/>
      <c r="DA346" s="1304"/>
      <c r="DB346" s="1304"/>
      <c r="DC346" s="1304"/>
      <c r="DD346" s="1304"/>
      <c r="DE346" s="1304"/>
      <c r="DF346" s="1304"/>
      <c r="DG346" s="1304"/>
      <c r="DH346" s="1304"/>
      <c r="DI346" s="1304"/>
      <c r="DJ346" s="1304"/>
      <c r="DK346" s="1304"/>
      <c r="DL346" s="1304"/>
      <c r="DM346" s="1304"/>
      <c r="DN346" s="1304"/>
      <c r="DO346" s="1304"/>
      <c r="DP346" s="1304"/>
      <c r="DQ346" s="1304"/>
      <c r="DR346" s="1304"/>
      <c r="DS346" s="1304"/>
      <c r="DT346" s="1304"/>
      <c r="DU346" s="1304"/>
      <c r="DV346" s="1304"/>
      <c r="DW346" s="1304"/>
      <c r="DX346" s="1304"/>
      <c r="DY346" s="1304"/>
      <c r="DZ346" s="1304"/>
      <c r="EA346" s="1304"/>
      <c r="EB346" s="1304"/>
      <c r="EC346" s="1304"/>
      <c r="ED346" s="1304"/>
      <c r="EE346" s="1304"/>
      <c r="EF346" s="1304"/>
      <c r="EG346" s="1304"/>
      <c r="EH346" s="1304"/>
      <c r="EI346" s="1304"/>
      <c r="EJ346" s="1304"/>
      <c r="EK346" s="1304"/>
      <c r="EL346" s="1304"/>
      <c r="EM346" s="1304"/>
      <c r="EN346" s="1304"/>
      <c r="EO346" s="1304"/>
      <c r="EP346" s="1304"/>
      <c r="EQ346" s="1304"/>
      <c r="ER346" s="1304"/>
      <c r="ES346" s="1304"/>
      <c r="ET346" s="1304"/>
      <c r="EU346" s="1304"/>
      <c r="EV346" s="1304"/>
      <c r="EW346" s="1304"/>
      <c r="EX346" s="1304"/>
      <c r="EY346" s="1304"/>
      <c r="EZ346" s="1304"/>
      <c r="FA346" s="1304"/>
      <c r="FB346" s="1304"/>
      <c r="FC346" s="1304"/>
      <c r="FD346" s="1304"/>
      <c r="FE346" s="1304"/>
      <c r="FF346" s="1304"/>
      <c r="FG346" s="1304"/>
      <c r="FH346" s="1304"/>
      <c r="FI346" s="1304"/>
      <c r="FJ346" s="1304"/>
      <c r="FK346" s="1304"/>
      <c r="FL346" s="1304"/>
      <c r="FM346" s="1304"/>
      <c r="FN346" s="1304"/>
      <c r="FO346" s="1304"/>
      <c r="FP346" s="1304"/>
      <c r="FQ346" s="1304"/>
      <c r="FR346" s="1304"/>
      <c r="FS346" s="1304"/>
      <c r="FT346" s="1304"/>
      <c r="FU346" s="1304"/>
      <c r="FV346" s="1304"/>
      <c r="FW346" s="1304"/>
    </row>
    <row customHeight="1" ht="14.625" hidden="1">
      <c r="A347" s="1304"/>
      <c r="B347" s="872"/>
      <c r="C347" s="1304"/>
      <c r="D347" s="1304"/>
      <c r="E347" s="632">
        <v>15</v>
      </c>
      <c r="F347" s="1337"/>
      <c r="G347" s="1304"/>
      <c r="H347" s="1304"/>
      <c r="I347" s="1304"/>
      <c r="J347" s="1304"/>
      <c r="K347" s="1304"/>
      <c r="L347" s="1304"/>
      <c r="M347" s="1304"/>
      <c r="N347" s="1304"/>
      <c r="O347" s="1304"/>
      <c r="P347" s="1304"/>
      <c r="Q347" s="1304"/>
      <c r="R347" s="1304"/>
      <c r="S347" s="1304"/>
      <c r="T347" s="465">
        <f>ROW(W347)&gt;ROW(W$347)</f>
        <v>0</v>
      </c>
      <c r="U347" s="1304"/>
      <c r="V347" s="1304"/>
      <c r="W347" s="98" t="s">
        <v>174</v>
      </c>
      <c r="X347" s="1304"/>
      <c r="Y347" s="1304"/>
      <c r="Z347" s="1304"/>
      <c r="AA347" s="662" t="s">
        <v>175</v>
      </c>
      <c r="AB347" s="2816"/>
      <c r="AC347" s="1999"/>
      <c r="AD347" s="1999"/>
      <c r="AE347" s="1999"/>
      <c r="AF347" s="1999"/>
      <c r="AG347" s="1999"/>
      <c r="AH347" s="1999"/>
      <c r="AI347" s="1999"/>
      <c r="AJ347" s="1999"/>
      <c r="AK347" s="1999"/>
      <c r="AL347" s="1999"/>
      <c r="AM347" s="1999"/>
      <c r="AN347" s="1999"/>
      <c r="AO347" s="1999"/>
      <c r="AP347" s="1999"/>
      <c r="AQ347" s="1999"/>
      <c r="AR347" s="1999"/>
      <c r="AS347" s="1999"/>
      <c r="AT347" s="1999"/>
      <c r="AU347" s="1999"/>
      <c r="AV347" s="1999"/>
      <c r="AW347" s="1999"/>
      <c r="AX347" s="1999"/>
      <c r="AY347" s="1999"/>
      <c r="AZ347" s="1999"/>
      <c r="BA347" s="1999"/>
      <c r="BB347" s="1999"/>
      <c r="BC347" s="1999"/>
      <c r="BD347" s="1999"/>
      <c r="BE347" s="1999"/>
      <c r="BF347" s="1999"/>
      <c r="BG347" s="2817"/>
      <c r="BH347" s="1304"/>
      <c r="BI347" s="1304"/>
      <c r="BJ347" s="1304"/>
      <c r="BK347" s="1304"/>
      <c r="BL347" s="1304"/>
      <c r="BM347" s="1304"/>
      <c r="BN347" s="1304"/>
      <c r="BO347" s="1304"/>
      <c r="BP347" s="1304"/>
      <c r="BQ347" s="1304"/>
      <c r="BR347" s="1304"/>
      <c r="BS347" s="1304"/>
      <c r="BT347" s="1304"/>
      <c r="BU347" s="1304"/>
      <c r="BV347" s="1304"/>
      <c r="BW347" s="1304"/>
      <c r="BX347" s="1304"/>
      <c r="BY347" s="1304"/>
      <c r="BZ347" s="1304"/>
      <c r="CA347" s="1304"/>
      <c r="CB347" s="1304"/>
      <c r="CC347" s="1304"/>
      <c r="CD347" s="1304"/>
      <c r="CE347" s="1304"/>
      <c r="CF347" s="1304"/>
      <c r="CG347" s="1304"/>
      <c r="CH347" s="1304"/>
      <c r="CI347" s="1304"/>
      <c r="CJ347" s="1304"/>
      <c r="CK347" s="1304"/>
      <c r="CL347" s="1304"/>
      <c r="CM347" s="1304"/>
      <c r="CN347" s="1304"/>
      <c r="CO347" s="1304"/>
      <c r="CP347" s="1304"/>
      <c r="CQ347" s="1304"/>
      <c r="CR347" s="1304"/>
      <c r="CS347" s="1304"/>
      <c r="CT347" s="1304"/>
      <c r="CU347" s="1304"/>
      <c r="CV347" s="1304"/>
      <c r="CW347" s="1304"/>
      <c r="CX347" s="1304"/>
      <c r="CY347" s="1304"/>
      <c r="CZ347" s="1304"/>
      <c r="DA347" s="1304"/>
      <c r="DB347" s="1304"/>
      <c r="DC347" s="1304"/>
      <c r="DD347" s="1304"/>
      <c r="DE347" s="1304"/>
      <c r="DF347" s="1304"/>
      <c r="DG347" s="1304"/>
      <c r="DH347" s="1304"/>
      <c r="DI347" s="1304"/>
      <c r="DJ347" s="1304"/>
      <c r="DK347" s="1304"/>
      <c r="DL347" s="1304"/>
      <c r="DM347" s="1304"/>
      <c r="DN347" s="1304"/>
      <c r="DO347" s="1304"/>
      <c r="DP347" s="1304"/>
      <c r="DQ347" s="1304"/>
      <c r="DR347" s="1304"/>
      <c r="DS347" s="1304"/>
      <c r="DT347" s="1304"/>
      <c r="DU347" s="1304"/>
      <c r="DV347" s="1304"/>
      <c r="DW347" s="1304"/>
      <c r="DX347" s="1304"/>
      <c r="DY347" s="1304"/>
      <c r="DZ347" s="1304"/>
      <c r="EA347" s="1304"/>
      <c r="EB347" s="1304"/>
      <c r="EC347" s="1304"/>
      <c r="ED347" s="1304"/>
      <c r="EE347" s="1304"/>
      <c r="EF347" s="1304"/>
      <c r="EG347" s="1304"/>
      <c r="EH347" s="1304"/>
      <c r="EI347" s="1304"/>
      <c r="EJ347" s="1304"/>
      <c r="EK347" s="1304"/>
      <c r="EL347" s="1304"/>
      <c r="EM347" s="1304"/>
      <c r="EN347" s="1304"/>
      <c r="EO347" s="1304"/>
      <c r="EP347" s="1304"/>
      <c r="EQ347" s="1304"/>
      <c r="ER347" s="1304"/>
      <c r="ES347" s="1304"/>
      <c r="ET347" s="1304"/>
      <c r="EU347" s="1304"/>
      <c r="EV347" s="1304"/>
      <c r="EW347" s="1304"/>
      <c r="EX347" s="1304"/>
      <c r="EY347" s="1304"/>
      <c r="EZ347" s="1304"/>
      <c r="FA347" s="1304"/>
      <c r="FB347" s="1304"/>
      <c r="FC347" s="1304"/>
      <c r="FD347" s="1304"/>
      <c r="FE347" s="1304"/>
      <c r="FF347" s="1304"/>
      <c r="FG347" s="1304"/>
      <c r="FH347" s="1304"/>
      <c r="FI347" s="1304"/>
      <c r="FJ347" s="1304"/>
      <c r="FK347" s="1304"/>
      <c r="FL347" s="1304"/>
      <c r="FM347" s="1304"/>
      <c r="FN347" s="1304"/>
      <c r="FO347" s="1304"/>
      <c r="FP347" s="1304"/>
      <c r="FQ347" s="1304"/>
      <c r="FR347" s="1304"/>
      <c r="FS347" s="1304"/>
      <c r="FT347" s="1304"/>
      <c r="FU347" s="1304"/>
      <c r="FV347" s="1304"/>
      <c r="FW347" s="1304"/>
      <c r="FX347" s="1304"/>
      <c r="FY347" s="1304"/>
      <c r="FZ347" s="1306"/>
      <c r="GA347" s="1306"/>
      <c r="GB347" s="1306"/>
      <c r="GC347" s="1305"/>
      <c r="GD347" s="1305"/>
    </row>
    <row customHeight="1" ht="14.625">
      <c r="E348" s="632">
        <v>15</v>
      </c>
      <c r="W348" s="757" t="s">
        <v>408</v>
      </c>
      <c r="AB348" s="1638" t="s">
        <v>409</v>
      </c>
      <c r="AC348" s="1639"/>
      <c r="AD348" s="310"/>
      <c r="AE348" s="310"/>
      <c r="AF348" s="310"/>
      <c r="AG348" s="310"/>
      <c r="AH348" s="310"/>
      <c r="AI348" s="310"/>
      <c r="AJ348" s="310"/>
      <c r="AK348" s="310"/>
      <c r="AL348" s="310"/>
      <c r="AM348" s="310"/>
      <c r="AN348" s="310"/>
      <c r="AO348" s="310"/>
      <c r="AP348" s="310"/>
      <c r="AQ348" s="310"/>
      <c r="AR348" s="310"/>
      <c r="AS348" s="310"/>
      <c r="AT348" s="310"/>
      <c r="AU348" s="310"/>
      <c r="AV348" s="310"/>
      <c r="AW348" s="310"/>
      <c r="AX348" s="310"/>
      <c r="AY348" s="310"/>
      <c r="AZ348" s="310"/>
      <c r="BA348" s="310"/>
      <c r="BB348" s="310"/>
      <c r="BC348" s="310"/>
      <c r="BD348" s="310"/>
      <c r="BE348" s="310"/>
      <c r="BF348" s="310"/>
      <c r="BG348" s="275"/>
      <c r="BH348" s="1304"/>
      <c r="BI348" s="1304"/>
      <c r="BJ348" s="1304"/>
      <c r="BK348" s="1304"/>
      <c r="BL348" s="1304"/>
      <c r="BM348" s="1304"/>
      <c r="BN348" s="1304"/>
      <c r="BO348" s="1304"/>
      <c r="BP348" s="1304"/>
      <c r="BQ348" s="1304"/>
      <c r="BR348" s="1304"/>
      <c r="BS348" s="1304"/>
      <c r="BT348" s="1304"/>
      <c r="BU348" s="1304"/>
      <c r="BV348" s="1304"/>
      <c r="BW348" s="1304"/>
      <c r="BX348" s="1304"/>
      <c r="BY348" s="1304"/>
      <c r="BZ348" s="1304"/>
      <c r="CA348" s="1304"/>
      <c r="CB348" s="1304"/>
      <c r="CC348" s="1304"/>
      <c r="CD348" s="1304"/>
      <c r="CE348" s="1304"/>
      <c r="CF348" s="1304"/>
      <c r="CG348" s="1304"/>
      <c r="CH348" s="1304"/>
      <c r="CI348" s="1304"/>
      <c r="CJ348" s="1304"/>
      <c r="CK348" s="1304"/>
      <c r="CL348" s="1304"/>
      <c r="CM348" s="1304"/>
      <c r="CN348" s="1304"/>
      <c r="CO348" s="1304"/>
      <c r="CP348" s="1304"/>
      <c r="CQ348" s="1304"/>
      <c r="CR348" s="1304"/>
      <c r="CS348" s="1304"/>
      <c r="CT348" s="1304"/>
      <c r="CU348" s="1304"/>
      <c r="CV348" s="1304"/>
      <c r="CW348" s="1304"/>
      <c r="CX348" s="1304"/>
      <c r="CY348" s="1304"/>
      <c r="CZ348" s="1304"/>
      <c r="DA348" s="1304"/>
      <c r="DB348" s="1304"/>
      <c r="DC348" s="1304"/>
      <c r="DD348" s="1304"/>
      <c r="DE348" s="1304"/>
      <c r="DF348" s="1304"/>
      <c r="DG348" s="1304"/>
      <c r="DH348" s="1304"/>
      <c r="DI348" s="1304"/>
      <c r="DJ348" s="1304"/>
      <c r="DK348" s="1304"/>
      <c r="DL348" s="1304"/>
      <c r="DM348" s="1304"/>
      <c r="DN348" s="1304"/>
      <c r="DO348" s="1304"/>
      <c r="DP348" s="1304"/>
      <c r="DQ348" s="1304"/>
      <c r="DR348" s="1304"/>
      <c r="DS348" s="1304"/>
      <c r="DT348" s="1304"/>
      <c r="DU348" s="1304"/>
      <c r="DV348" s="1304"/>
      <c r="DW348" s="1304"/>
      <c r="DX348" s="1304"/>
      <c r="DY348" s="1304"/>
      <c r="DZ348" s="1304"/>
      <c r="EA348" s="1304"/>
      <c r="EB348" s="1304"/>
      <c r="EC348" s="1304"/>
      <c r="ED348" s="1304"/>
      <c r="EE348" s="1304"/>
      <c r="EF348" s="1304"/>
      <c r="EG348" s="1304"/>
      <c r="EH348" s="1304"/>
      <c r="EI348" s="1304"/>
      <c r="EJ348" s="1304"/>
      <c r="EK348" s="1304"/>
      <c r="EL348" s="1304"/>
      <c r="EM348" s="1304"/>
      <c r="EN348" s="1304"/>
      <c r="EO348" s="1304"/>
      <c r="EP348" s="1304"/>
      <c r="EQ348" s="1304"/>
      <c r="ER348" s="1304"/>
      <c r="ES348" s="1304"/>
      <c r="ET348" s="1304"/>
      <c r="EU348" s="1304"/>
      <c r="EV348" s="1304"/>
      <c r="EW348" s="1304"/>
      <c r="EX348" s="1304"/>
      <c r="EY348" s="1304"/>
      <c r="EZ348" s="1304"/>
      <c r="FA348" s="1304"/>
      <c r="FB348" s="1304"/>
      <c r="FC348" s="1304"/>
      <c r="FD348" s="1304"/>
      <c r="FE348" s="1304"/>
      <c r="FF348" s="1304"/>
      <c r="FG348" s="1304"/>
      <c r="FH348" s="1304"/>
      <c r="FI348" s="1304"/>
      <c r="FJ348" s="1304"/>
      <c r="FK348" s="1304"/>
      <c r="FL348" s="1304"/>
      <c r="FM348" s="1304"/>
      <c r="FN348" s="1304"/>
      <c r="FO348" s="1304"/>
      <c r="FP348" s="1304"/>
      <c r="FQ348" s="1304"/>
      <c r="FR348" s="1304"/>
      <c r="FS348" s="1304"/>
      <c r="FT348" s="1304"/>
      <c r="FU348" s="1304"/>
      <c r="FV348" s="1304"/>
      <c r="FW348" s="1304"/>
    </row>
    <row customHeight="1" ht="10.96875">
      <c r="E349" s="632">
        <v>11.25</v>
      </c>
      <c r="AG349" s="1304"/>
      <c r="AH349" s="1304"/>
      <c r="AI349" s="1304"/>
      <c r="AJ349" s="1304"/>
      <c r="AK349" s="1304"/>
      <c r="AL349" s="1304"/>
      <c r="AM349" s="1304"/>
      <c r="AN349" s="1304"/>
      <c r="AO349" s="1304"/>
      <c r="AP349" s="1304"/>
      <c r="AQ349" s="1304"/>
      <c r="AR349" s="1304"/>
      <c r="AS349" s="1304"/>
      <c r="AT349" s="1304"/>
      <c r="AU349" s="1304"/>
      <c r="AV349" s="1304"/>
      <c r="AW349" s="1304"/>
      <c r="AX349" s="1304"/>
      <c r="AY349" s="1304"/>
      <c r="AZ349" s="1304"/>
      <c r="BA349" s="1304"/>
      <c r="BB349" s="1304"/>
      <c r="BC349" s="1304"/>
      <c r="BD349" s="1304"/>
      <c r="BE349" s="1304"/>
      <c r="BF349" s="1304"/>
      <c r="BG349" s="1304"/>
      <c r="BH349" s="1304"/>
      <c r="BI349" s="1304"/>
      <c r="BJ349" s="1304"/>
      <c r="BK349" s="1304"/>
      <c r="BL349" s="1304"/>
      <c r="BM349" s="1304"/>
      <c r="BN349" s="1304"/>
      <c r="BO349" s="1304"/>
      <c r="BP349" s="1304"/>
      <c r="BQ349" s="1304"/>
      <c r="BR349" s="1304"/>
      <c r="BS349" s="1304"/>
      <c r="BT349" s="1304"/>
      <c r="BU349" s="1304"/>
      <c r="BV349" s="1304"/>
      <c r="BW349" s="1304"/>
      <c r="BX349" s="1304"/>
      <c r="BY349" s="1304"/>
      <c r="BZ349" s="1304"/>
      <c r="CA349" s="1304"/>
      <c r="CB349" s="1304"/>
      <c r="CC349" s="1304"/>
      <c r="CD349" s="1304"/>
      <c r="CE349" s="1304"/>
      <c r="CF349" s="1304"/>
      <c r="CG349" s="1304"/>
      <c r="CH349" s="1304"/>
      <c r="CI349" s="1304"/>
      <c r="CJ349" s="1304"/>
      <c r="CK349" s="1304"/>
      <c r="CL349" s="1304"/>
      <c r="CM349" s="1304"/>
      <c r="CN349" s="1304"/>
      <c r="CO349" s="1304"/>
      <c r="CP349" s="1304"/>
      <c r="CQ349" s="1304"/>
      <c r="CR349" s="1304"/>
      <c r="CS349" s="1304"/>
      <c r="CT349" s="1304"/>
      <c r="CU349" s="1304"/>
      <c r="CV349" s="1304"/>
      <c r="CW349" s="1304"/>
      <c r="CX349" s="1304"/>
      <c r="CY349" s="1304"/>
      <c r="CZ349" s="1304"/>
      <c r="DA349" s="1304"/>
      <c r="DB349" s="1304"/>
      <c r="DC349" s="1304"/>
      <c r="DD349" s="1304"/>
      <c r="DE349" s="1304"/>
      <c r="DF349" s="1304"/>
      <c r="DG349" s="1304"/>
      <c r="DH349" s="1304"/>
      <c r="DI349" s="1304"/>
      <c r="DJ349" s="1304"/>
      <c r="DK349" s="1304"/>
      <c r="DL349" s="1304"/>
      <c r="DM349" s="1304"/>
      <c r="DN349" s="1304"/>
      <c r="DO349" s="1304"/>
      <c r="DP349" s="1304"/>
      <c r="DQ349" s="1304"/>
      <c r="DR349" s="1304"/>
      <c r="DS349" s="1304"/>
      <c r="DT349" s="1304"/>
      <c r="DU349" s="1304"/>
      <c r="DV349" s="1304"/>
      <c r="DW349" s="1304"/>
      <c r="DX349" s="1304"/>
      <c r="DY349" s="1304"/>
      <c r="DZ349" s="1304"/>
      <c r="EA349" s="1304"/>
      <c r="EB349" s="1304"/>
      <c r="EC349" s="1304"/>
      <c r="ED349" s="1304"/>
      <c r="EE349" s="1304"/>
      <c r="EF349" s="1304"/>
      <c r="EG349" s="1304"/>
      <c r="EH349" s="1304"/>
      <c r="EI349" s="1304"/>
      <c r="EJ349" s="1304"/>
      <c r="EK349" s="1304"/>
      <c r="EL349" s="1304"/>
      <c r="EM349" s="1304"/>
      <c r="EN349" s="1304"/>
      <c r="EO349" s="1304"/>
      <c r="EP349" s="1304"/>
      <c r="EQ349" s="1304"/>
      <c r="ER349" s="1304"/>
      <c r="ES349" s="1304"/>
      <c r="ET349" s="1304"/>
      <c r="EU349" s="1304"/>
      <c r="EV349" s="1304"/>
      <c r="EW349" s="1304"/>
      <c r="EX349" s="1304"/>
      <c r="EY349" s="1304"/>
      <c r="EZ349" s="1304"/>
      <c r="FA349" s="1304"/>
      <c r="FB349" s="1304"/>
      <c r="FC349" s="1304"/>
      <c r="FD349" s="1304"/>
      <c r="FE349" s="1304"/>
      <c r="FF349" s="1304"/>
      <c r="FG349" s="1304"/>
      <c r="FH349" s="1304"/>
      <c r="FI349" s="1304"/>
      <c r="FJ349" s="1304"/>
      <c r="FK349" s="1304"/>
      <c r="FL349" s="1304"/>
      <c r="FM349" s="1304"/>
      <c r="FN349" s="1304"/>
      <c r="FO349" s="1304"/>
      <c r="FP349" s="1304"/>
      <c r="FQ349" s="1304"/>
      <c r="FR349" s="1304"/>
      <c r="FS349" s="1304"/>
      <c r="FT349" s="1304"/>
      <c r="FU349" s="1304"/>
      <c r="FV349" s="1304"/>
      <c r="FW349" s="1304"/>
      <c r="FX349" s="426"/>
    </row>
  </sheetData>
  <sheetProtection formatColumns="0" formatRows="0" insertRows="0" deleteColumns="0" deleteRows="0" sort="0" autoFilter="0" insertColumns="1"/>
  <mergeCells count="126">
    <mergeCell ref="DS25:DU25"/>
    <mergeCell ref="DV25:DX25"/>
    <mergeCell ref="DY25:EA25"/>
    <mergeCell ref="EB25:ED25"/>
    <mergeCell ref="EE25:EG25"/>
    <mergeCell ref="EH25:EJ25"/>
    <mergeCell ref="EK25:EM25"/>
    <mergeCell ref="EN25:EP25"/>
    <mergeCell ref="EQ25:ES25"/>
    <mergeCell ref="ET25:EV25"/>
    <mergeCell ref="FU25:FW25"/>
    <mergeCell ref="EW25:EY25"/>
    <mergeCell ref="EZ25:FB25"/>
    <mergeCell ref="FC25:FE25"/>
    <mergeCell ref="FF25:FH25"/>
    <mergeCell ref="FI25:FK25"/>
    <mergeCell ref="FL25:FN25"/>
    <mergeCell ref="FO25:FQ25"/>
    <mergeCell ref="FR25:FT25"/>
    <mergeCell ref="DG25:DI25"/>
    <mergeCell ref="DJ25:DL25"/>
    <mergeCell ref="DM25:DO25"/>
    <mergeCell ref="DP25:DR25"/>
    <mergeCell ref="CO25:CQ25"/>
    <mergeCell ref="CR25:CT25"/>
    <mergeCell ref="CU25:CW25"/>
    <mergeCell ref="CX25:CZ25"/>
    <mergeCell ref="DA25:DC25"/>
    <mergeCell ref="DD25:DF25"/>
    <mergeCell ref="BZ25:CB25"/>
    <mergeCell ref="CC25:CE25"/>
    <mergeCell ref="CF25:CH25"/>
    <mergeCell ref="CI25:CK25"/>
    <mergeCell ref="CL25:CN25"/>
    <mergeCell ref="BK25:BM25"/>
    <mergeCell ref="BN25:BP25"/>
    <mergeCell ref="BQ25:BS25"/>
    <mergeCell ref="BT25:BV25"/>
    <mergeCell ref="BW25:BY25"/>
    <mergeCell ref="AB348:AC348"/>
    <mergeCell ref="AB346:BG346"/>
    <mergeCell ref="AB345:BG345"/>
    <mergeCell ref="AB347:BG347"/>
    <mergeCell ref="Y42:Y44"/>
    <mergeCell ref="AB29:AC29"/>
    <mergeCell ref="AB30:AC30"/>
    <mergeCell ref="AB31:AC31"/>
    <mergeCell ref="AB32:AC32"/>
    <mergeCell ref="X29:X91"/>
    <mergeCell ref="Z29:Z91"/>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AA42:AA44"/>
    <mergeCell ref="AD29:FW29"/>
    <mergeCell ref="AD30:FW30"/>
    <mergeCell ref="AD31:FW31"/>
    <mergeCell ref="AD32:FW32"/>
    <mergeCell ref="Y105:Y107"/>
    <mergeCell ref="AB92:AC92"/>
    <mergeCell ref="AB93:AC93"/>
    <mergeCell ref="AB94:AC94"/>
    <mergeCell ref="AB95:AC95"/>
    <mergeCell ref="X92:X154"/>
    <mergeCell ref="Z92:Z154"/>
    <mergeCell ref="AA105:AA107"/>
    <mergeCell ref="AD92:FW92"/>
    <mergeCell ref="AD93:FW93"/>
    <mergeCell ref="AD94:FW94"/>
    <mergeCell ref="AD95:FW95"/>
    <mergeCell ref="Y168:Y170"/>
    <mergeCell ref="AB155:AC155"/>
    <mergeCell ref="AB156:AC156"/>
    <mergeCell ref="AB157:AC157"/>
    <mergeCell ref="AB158:AC158"/>
    <mergeCell ref="X155:X217"/>
    <mergeCell ref="Z155:Z217"/>
    <mergeCell ref="AA168:AA170"/>
    <mergeCell ref="AD155:FW155"/>
    <mergeCell ref="AD156:FW156"/>
    <mergeCell ref="AD157:FW157"/>
    <mergeCell ref="AD158:FW158"/>
    <mergeCell ref="Y231:Y233"/>
    <mergeCell ref="AB218:AC218"/>
    <mergeCell ref="AB219:AC219"/>
    <mergeCell ref="AB220:AC220"/>
    <mergeCell ref="AB221:AC221"/>
    <mergeCell ref="X218:X280"/>
    <mergeCell ref="Z218:Z280"/>
    <mergeCell ref="AA231:AA233"/>
    <mergeCell ref="AD218:FW218"/>
    <mergeCell ref="AD219:FW219"/>
    <mergeCell ref="AD220:FW220"/>
    <mergeCell ref="AD221:FW221"/>
    <mergeCell ref="Y294:Y296"/>
    <mergeCell ref="AB281:AC281"/>
    <mergeCell ref="AB282:AC282"/>
    <mergeCell ref="AB283:AC283"/>
    <mergeCell ref="AB284:AC284"/>
    <mergeCell ref="X281:X343"/>
    <mergeCell ref="Z281:Z343"/>
    <mergeCell ref="AA294:AA296"/>
    <mergeCell ref="AD281:FW281"/>
    <mergeCell ref="AD282:FW282"/>
    <mergeCell ref="AD283:FW283"/>
    <mergeCell ref="AD284:FW284"/>
    <mergeCell ref="Y323:Y334"/>
    <mergeCell ref="AA323:AA334"/>
    <mergeCell ref="Y260:Y271"/>
    <mergeCell ref="AA260:AA271"/>
    <mergeCell ref="Y197:Y208"/>
    <mergeCell ref="AA197:AA208"/>
    <mergeCell ref="Y134:Y145"/>
    <mergeCell ref="AA134:AA145"/>
    <mergeCell ref="Y71:Y82"/>
    <mergeCell ref="AA71:AA82"/>
  </mergeCells>
  <dataValidations count="1">
    <dataValidation type="decimal" allowBlank="1" showErrorMessage="1" errorTitle="Ошибка" error="Допускается ввод только неотрицательных чисел!" sqref="BE85:BF86 BB85:BC86 AY85:AZ86 AV85:AW86 AS85:AT86 AP85:AQ86 AM85:AN86 AJ85:AK86 AG85:AH86 FU89:FV89 AD60:AE61 AY51:AZ52 AV51:AW52 AS51:AT52 AP51:AQ52 AM51:AN52 AJ51:AK52 AG51:AH52 AG60:AH61 AD51:AE52 AG57:AH58 BB51:BC52 AY57:AZ58 AV57:AW58 AS57:AT58 AP57:AQ58 AM57:AN58 AJ57:AK58 BB60:BC61 AD57:AE58 BB57:BC58 AY60:AZ61 AV60:AW61 AS60:AT61 AP60:AQ61 AM60:AN61 AJ60:AK61 AD54:AE55 AD69:AE73 BE60:BF61 AD85:AE86 BB48:BC49 AY48:AZ49 AV48:AW49 AS48:AT49 AP48:AQ49 AM48:AN49 AJ48:AK49 BB69:BC73 AY69:AZ73 AV69:AW73 AS69:AT73 AP69:AQ73 AM69:AN73 AJ69:AK73 BE69:BF73 AG66:AH67 AY54:AZ55 AV54:AW55 AS54:AT55 AP54:AQ55 AM54:AN55 AJ54:AK55 AG48:AH49 AD48:AE49 BE54:BF55 AD63:AE64 BB63:BC64 AY63:AZ64 AV63:AW64 AS63:AT64 AP63:AQ64 AM63:AN64 AJ63:AK64 AG63:AH64 AJ66:AK67 AM66:AN67 AP66:AQ67 AS66:AT67 AV66:AW67 AY66:AZ67 BB66:BC67 BE66:BF67 AG54:AH55 BE51:BF52 BE57:BF58 BB54:BC55 BE48:BF49 BE63:BF64 FU85:FV86 BH69:BI73 BH60:BI61 BK69:BL73 BH54:BI55 BH66:BI67 BH51:BI52 BH57:BI58 BH48:BI49 BH63:BI64 BK60:BL61 BN60:BO61 BQ60:BR61 BT60:BU61 BW60:BX61 BZ60:CA61 CC60:CD61 CF60:CG61 CI60:CJ61 CL60:CM61 CO60:CP61 CR60:CS61 CU60:CV61 CX60:CY61 DA60:DB61 DD60:DE61 DG60:DH61 DJ60:DK61 DM60:DN61 DP60:DQ61 DS60:DT61 DV60:DW61 DY60:DZ61 EB60:EC61 EE60:EF61 EH60:EI61 EK60:EL61 EN60:EO61 EQ60:ER61 ET60:EU61 EW60:EX61 EZ60:FA61 FC60:FD61 FF60:FG61 FI60:FJ61 FL60:FM61 FO60:FP61 FR60:FS61 FU60:FV61 BN69:BO73 BQ69:BR73 BT69:BU73 BW69:BX73 BZ69:CA73 CC69:CD73 CF69:CG73 CI69:CJ73 CL69:CM73 CO69:CP73 CR69:CS73 CU69:CV73 CX69:CY73 DA69:DB73 DD69:DE73 DG69:DH73 DJ69:DK73 DM69:DN73 DP69:DQ73 DS69:DT73 DV69:DW73 DY69:DZ73 EB69:EC73 EE69:EF73 EH69:EI73 EK69:EL73 EN69:EO73 EQ69:ER73 ET69:EU73 EW69:EX73 EZ69:FA73 FC69:FD73 FF69:FG73 FI69:FJ73 FL69:FM73 FO69:FP73 FR69:FS73 FU69:FV73 FU42:FV43 BK54:BL55 BN54:BO55 BQ54:BR55 BT54:BU55 BW54:BX55 BZ54:CA55 CC54:CD55 CF54:CG55 CI54:CJ55 CL54:CM55 CO54:CP55 CR54:CS55 CU54:CV55 CX54:CY55 DA54:DB55 DD54:DE55 DG54:DH55 DJ54:DK55 DM54:DN55 DP54:DQ55 DS54:DT55 DV54:DW55 DY54:DZ55 EB54:EC55 EE54:EF55 EH54:EI55 EK54:EL55 EN54:EO55 EQ54:ER55 ET54:EU55 EW54:EX55 EZ54:FA55 FC54:FD55 FF54:FG55 FI54:FJ55 FL54:FM55 FO54:FP55 FR54:FS55 FU54:FV55 BK66:BL67 BN66:BO67 BQ66:BR67 BT66:BU67 BW66:BX67 BZ66:CA67 CC66:CD67 CF66:CG67 CI66:CJ67 CL66:CM67 CO66:CP67 CR66:CS67 CU66:CV67 CX66:CY67 DA66:DB67 DD66:DE67 DG66:DH67 DJ66:DK67 DM66:DN67 DP66:DQ67 DS66:DT67 DV66:DW67 DY66:DZ67 EB66:EC67 EE66:EF67 EH66:EI67 EK66:EL67 EN66:EO67 EQ66:ER67 ET66:EU67 EW66:EX67 EZ66:FA67 FC66:FD67 FF66:FG67 FI66:FJ67 FL66:FM67 FO66:FP67 FR66:FS67 FU66:FV67 BK51:BL52 BN51:BO52 BQ51:BR52 BT51:BU52 BW51:BX52 BZ51:CA52 CC51:CD52 CF51:CG52 CI51:CJ52 CL51:CM52 CO51:CP52 CR51:CS52 CU51:CV52 CX51:CY52 DA51:DB52 DD51:DE52 DG51:DH52 DJ51:DK52 DM51:DN52 DP51:DQ52 DS51:DT52 DV51:DW52 DY51:DZ52 EB51:EC52 EE51:EF52 EH51:EI52 EK51:EL52 EN51:EO52 EQ51:ER52 ET51:EU52 EW51:EX52 EZ51:FA52 FC51:FD52 FF51:FG52 FI51:FJ52 FL51:FM52 FO51:FP52 FR51:FS52 FU51:FV52 BK57:BL58 BN57:BO58 BQ57:BR58 BT57:BU58 BW57:BX58 BZ57:CA58 CC57:CD58 CF57:CG58 CI57:CJ58 CL57:CM58 CO57:CP58 CR57:CS58 CU57:CV58 CX57:CY58 DA57:DB58 DD57:DE58 DG57:DH58 DJ57:DK58 DM57:DN58 DP57:DQ58 DS57:DT58 DV57:DW58 DY57:DZ58 EB57:EC58 EE57:EF58 EH57:EI58 EK57:EL58 EN57:EO58 EQ57:ER58 ET57:EU58 EW57:EX58 EZ57:FA58 FC57:FD58 FF57:FG58 FI57:FJ58 FL57:FM58 FO57:FP58 FR57:FS58 FU57:FV58 BK48:BL49 BN48:BO49 BQ48:BR49 BT48:BU49 BW48:BX49 BZ48:CA49 CC48:CD49 CF48:CG49 CI48:CJ49 CL48:CM49 CO48:CP49 CR48:CS49 CU48:CV49 CX48:CY49 DA48:DB49 DD48:DE49 DG48:DH49 DJ48:DK49 DM48:DN49 DP48:DQ49 DS48:DT49 DV48:DW49 DY48:DZ49 EB48:EC49 EE48:EF49 EH48:EI49 EK48:EL49 EN48:EO49 EQ48:ER49 ET48:EU49 EW48:EX49 EZ48:FA49 FC48:FD49 FF48:FG49 FI48:FJ49 FL48:FM49 FO48:FP49 FR48:FS49 FU48:FV49 BK63:BL64 BN63:BO64 BQ63:BR64 BT63:BU64 BW63:BX64 BZ63:CA64 CC63:CD64 CF63:CG64 CI63:CJ64 CL63:CM64 CO63:CP64 CR63:CS64 CU63:CV64 CX63:CY64 DA63:DB64 DD63:DE64 DG63:DH64 DJ63:DK64 DM63:DN64 DP63:DQ64 DS63:DT64 DV63:DW64 DY63:DZ64 EB63:EC64 EE63:EF64 EH63:EI64 EK63:EL64 EN63:EO64 EQ63:ER64 ET63:EU64 EW63:EX64 EZ63:FA64 FC63:FD64 FF63:FG64 FI63:FJ64 FL63:FM64 FO63:FP64 FR63:FS64 FU63:FV64 BH85:BI86 BK85:BL86 BN85:BO86 BQ85:BR86 BT85:BU86 BW85:BX86 BZ85:CA86 CC85:CD86 CF85:CG86 CI85:CJ86 CL85:CM86 CO85:CP86 CR85:CS86 CU85:CV86 CX85:CY86 DA85:DB86 DD85:DE86 DG85:DH86 DJ85:DK86 DM85:DN86 DP85:DQ86 DS85:DT86 DV85:DW86 DY85:DZ86 EB85:EC86 EE85:EF86 EH85:EI86 EK85:EL86 EN85:EO86 EQ85:ER86 ET85:EU86 EW85:EX86 EZ85:FA86 FC85:FD86 FF85:FG86 FI85:FJ86 FL85:FM86 FO85:FP86 FR85:FS86 AD42:AE43 AG42:AH43 AJ42:AK43 AM42:AN43 AP42:AQ43 AS42:AT43 AV42:AW43 AY42:AZ43 BB42:BC43 BE42:BF43 BH42:BI43 BK42:BL43 BN42:BO43 BQ42:BR43 BT42:BU43 BW42:BX43 BZ42:CA43 CC42:CD43 CF42:CG43 CI42:CJ43 CL42:CM43 CO42:CP43 CR42:CS43 CU42:CV43 CX42:CY43 DA42:DB43 DD42:DE43 DG42:DH43 DJ42:DK43 DM42:DN43 DP42:DQ43 DS42:DT43 DV42:DW43 DY42:DZ43 EB42:EC43 EE42:EF43 EH42:EI43 EK42:EL43 EN42:EO43 EQ42:ER43 ET42:EU43 EW42:EX43 EZ42:FA43 FC42:FD43 FF42:FG43 FI42:FJ43 FL42:FM43 FO42:FP43 FR42:FS43 AD66:AE67 AD75:AE82 AG75:AH82 AJ75:AK82 AM75:AN82 AP75:AQ82 AS75:AT82 AV75:AW82 AY75:AZ82 BB75:BC82 BE75:BF82 BH75:BI82 BK75:BL82 BN75:BO82 BQ75:BR82 BT75:BU82 BW75:BX82 BZ75:CA82 CC75:CD82 CF75:CG82 CI75:CJ82 CL75:CM82 CO75:CP82 CR75:CS82 CU75:CV82 CX75:CY82 DA75:DB82 DD75:DE82 DG75:DH82 DJ75:DK82 DM75:DN82 DP75:DQ82 DS75:DT82 DV75:DW82 DY75:DZ82 EB75:EC82 EE75:EF82 EH75:EI82 EK75:EL82 EN75:EO82 EQ75:ER82 ET75:EU82 EW75:EX82 EZ75:FA82 FC75:FD82 FF75:FG82 FI75:FJ82 FL75:FM82 FO75:FP82 FR75:FS82 FU75:FV82 BE89:BF89 BB89:BC89 AY89:AZ89 AV89:AW89 AS89:AT89 AP89:AQ89 AM89:AN89 AJ89:AK89 AG89:AH89 AD89:AE89 BH89:BI89 BK89:BL89 BN89:BO89 BQ89:BR89 BT89:BU89 BW89:BX89 BZ89:CA89 CC89:CD89 CF89:CG89 CI89:CJ89 CL89:CM89 CO89:CP89 CR89:CS89 CU89:CV89 CX89:CY89 DA89:DB89 DD89:DE89 DG89:DH89 DJ89:DK89 DM89:DN89 DP89:DQ89 DS89:DT89 DV89:DW89 DY89:DZ89 EB89:EC89 EE89:EF89 EH89:EI89 EK89:EL89 EN89:EO89 EQ89:ER89 ET89:EU89 EW89:EX89 EZ89:FA89 FC89:FD89 FF89:FG89 FI89:FJ89 FL89:FM89 FO89:FP89 FR89:FS89 AG69:AH73 AD105:AD106 AE105:AE106 AG105:AG106 AH105:AH106 AJ105:AJ106 AK105:AK106 AM105:AM106 AN105:AN106 AP105:AP106 AQ105:AQ106 AS105:AS106 AT105:AT106 AV105:AV106 AW105:AW106 AY105:AY106 AZ105:AZ106 BB105:BB106 BC105:BC106 BE105:BE106 BF105:BF106 BH105:BH106 BI105:BI106 BK105:BK106 BL105:BL106 BN105:BN106 BO105:BO106 BQ105:BQ106 BR105:BR106 BT105:BT106 BU105:BU106 BW105:BW106 BX105:BX106 BZ105:BZ106 CA105:CA106 CC105:CC106 CD105:CD106 CF105:CF106 CG105:CG106 CI105:CI106 CJ105:CJ106 CL105:CL106 CM105:CM106 CO105:CO106 CP105:CP106 CR105:CR106 CS105:CS106 CU105:CU106 CV105:CV106 CX105:CX106 CY105:CY106 DA105:DA106 DB105:DB106 DD105:DD106 DE105:DE106 DG105:DG106 DH105:DH106 DJ105:DJ106 DK105:DK106 DM105:DM106 DN105:DN106 DP105:DP106 DQ105:DQ106 DS105:DS106 DT105:DT106 DV105:DV106 DW105:DW106 DY105:DY106 DZ105:DZ106 EB105:EB106 EC105:EC106 EE105:EE106 EF105:EF106 EH105:EH106 EI105:EI106 EK105:EK106 EL105:EL106 EN105:EN106 EO105:EO106 EQ105:EQ106 ER105:ER106 ET105:ET106 EU105:EU106 EW105:EW106 EX105:EX106 EZ105:EZ106 FA105:FA106 FC105:FC106 FD105:FD106 FF105:FF106 FG105:FG106 FI105:FI106 FJ105:FJ106 FL105:FL106 FM105:FM106 FO105:FO106 FP105:FP106 FR105:FR106 FS105:FS106 FU105:FU106 FV105:FV106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AD120 AE120 AG120 AH120 AJ120 AK120 AM120 AN120 AP120 AQ120 AS120 AT120 AV120 AW120 AY120 AZ120 BB120 BC120 BE120 BF120 BH120 BI120 BK120 BL120 BN120 BO120 BQ120 BR120 BT120 BU120 BW120 BX120 BZ120 CA120 CC120 CD120 CF120 CG120 CI120 CJ120 CL120 CM120 CO120 CP120 CR120 CS120 CU120 CV120 CX120 CY120 DA120 DB120 DD120 DE120 DG120 DH120 DJ120 DK120 DM120 DN120 DP120 DQ120 DS120 DT120 DV120 DW120 DY120 DZ120 EB120 EC120 EE120 EF120 EH120 EI120 EK120 EL120 EN120 EO120 EQ120 ER120 ET120 EU120 EW120 EX120 EZ120 FA120 FC120 FD120 FF120 FG120 FI120 FJ120 FL120 FM120 FO120 FP120 FR120 FS120 FU120 FV120 AD121 AE121 AG121 AH121 AJ121 AK121 AM121 AN121 AP121 AQ121 AS121 AT121 AV121 AW121 AY121 AZ121 BB121 BC121 BE121 BF121 BH121 BI121 BK121 BL121 BN121 BO121 BQ121 BR121 BT121 BU121 BW121 BX121 BZ121 CA121 CC121 CD121 CF121 CG121 CI121 CJ121 CL121 CM121 CO121 CP121 CR121 CS121 CU121 CV121 CX121 CY121 DA121 DB121 DD121 DE121 DG121 DH121 DJ121 DK121 DM121 DN121 DP121 DQ121 DS121 DT121 DV121 DW121 DY121 DZ121 EB121 EC121 EE121 EF121 EH121 EI121 EK121 EL121 EN121 EO121 EQ121 ER121 ET121 EU121 EW121 EX121 EZ121 FA121 FC121 FD121 FF121 FG121 FI121 FJ121 FL121 FM121 FO121 FP121 FR121 FS121 FU121 FV121 AD123 AE123 AG123 AH123 AJ123 AK123 AM123 AN123 AP123 AQ123 AS123 AT123 AV123 AW123 AY123 AZ123 BB123 BC123 BE123 BF123 BH123 BI123 BK123 BL123 BN123 BO123 BQ123 BR123 BT123 BU123 BW123 BX123 BZ123 CA123 CC123 CD123 CF123 CG123 CI123 CJ123 CL123 CM123 CO123 CP123 CR123 CS123 CU123 CV123 CX123 CY123 DA123 DB123 DD123 DE123 DG123 DH123 DJ123 DK123 DM123 DN123 DP123 DQ123 DS123 DT123 DV123 DW123 DY123 DZ123 EB123 EC123 EE123 EF123 EH123 EI123 EK123 EL123 EN123 EO123 EQ123 ER123 ET123 EU123 EW123 EX123 EZ123 FA123 FC123 FD123 FF123 FG123 FI123 FJ123 FL123 FM123 FO123 FP123 FR123 FS123 FU123 FV123 AD124 AE124 AG124 AH124 AJ124 AK124 AM124 AN124 AP124 AQ124 AS124 AT124 AV124 AW124 AY124 AZ124 BB124 BC124 BE124 BF124 BH124 BI124 BK124 BL124 BN124 BO124 BQ124 BR124 BT124 BU124 BW124 BX124 BZ124 CA124 CC124 CD124 CF124 CG124 CI124 CJ124 CL124 CM124 CO124 CP124 CR124 CS124 CU124 CV124 CX124 CY124 DA124 DB124 DD124 DE124 DG124 DH124 DJ124 DK124 DM124 DN124 DP124 DQ124 DS124 DT124 DV124 DW124 DY124 DZ124 EB124 EC124 EE124 EF124 EH124 EI124 EK124 EL124 EN124 EO124 EQ124 ER124 ET124 EU124 EW124 EX124 EZ124 FA124 FC124 FD124 FF124 FG124 FI124 FJ124 FL124 FM124 FO124 FP124 FR124 FS124 FU124 FV124 AD126 AE126 AG126 AH126 AJ126 AK126 AM126 AN126 AP126 AQ126 AS126 AT126 AV126 AW126 AY126 AZ126 BB126 BC126 BE126 BF126 BH126 BI126 BK126 BL126 BN126 BO126 BQ126 BR126 BT126 BU126 BW126 BX126 BZ126 CA126 CC126 CD126 CF126 CG126 CI126 CJ126 CL126 CM126 CO126 CP126 CR126 CS126 CU126 CV126 CX126 CY126 DA126 DB126 DD126 DE126 DG126 DH126 DJ126 DK126 DM126 DN126 DP126 DQ126 DS126 DT126 DV126 DW126 DY126 DZ126 EB126 EC126 EE126 EF126 EH126 EI126 EK126 EL126 EN126 EO126 EQ126 ER126 ET126 EU126 EW126 EX126 EZ126 FA126 FC126 FD126 FF126 FG126 FI126 FJ126 FL126 FM126 FO126 FP126 FR126 FS126 FU126 FV126 AD127 AE127 AG127 AH127 AJ127 AK127 AM127 AN127 AP127 AQ127 AS127 AT127 AV127 AW127 AY127 AZ127 BB127 BC127 BE127 BF127 BH127 BI127 BK127 BL127 BN127 BO127 BQ127 BR127 BT127 BU127 BW127 BX127 BZ127 CA127 CC127 CD127 CF127 CG127 CI127 CJ127 CL127 CM127 CO127 CP127 CR127 CS127 CU127 CV127 CX127 CY127 DA127 DB127 DD127 DE127 DG127 DH127 DJ127 DK127 DM127 DN127 DP127 DQ127 DS127 DT127 DV127 DW127 DY127 DZ127 EB127 EC127 EE127 EF127 EH127 EI127 EK127 EL127 EN127 EO127 EQ127 ER127 ET127 EU127 EW127 EX127 EZ127 FA127 FC127 FD127 FF127 FG127 FI127 FJ127 FL127 FM127 FO127 FP127 FR127 FS127 FU127 FV127 AD129 AE129 AG129 AH129 AJ129 AK129 AM129 AN129 AP129 AQ129 AS129 AT129 AV129 AW129 AY129 AZ129 BB129 BC129 BE129 BF129 BH129 BI129 BK129 BL129 BN129 BO129 BQ129 BR129 BT129 BU129 BW129 BX129 BZ129 CA129 CC129 CD129 CF129 CG129 CI129 CJ129 CL129 CM129 CO129 CP129 CR129 CS129 CU129 CV129 CX129 CY129 DA129 DB129 DD129 DE129 DG129 DH129 DJ129 DK129 DM129 DN129 DP129 DQ129 DS129 DT129 DV129 DW129 DY129 DZ129 EB129 EC129 EE129 EF129 EH129 EI129 EK129 EL129 EN129 EO129 EQ129 ER129 ET129 EU129 EW129 EX129 EZ129 FA129 FC129 FD129 FF129 FG129 FI129 FJ129 FL129 FM129 FO129 FP129 FR129 FS129 FU129 FV129 AD130 AE130 AG130 AH130 AJ130 AK130 AM130 AN130 AP130 AQ130 AS130 AT130 AV130 AW130 AY130 AZ130 BB130 BC130 BE130 BF130 BH130 BI130 BK130 BL130 BN130 BO130 BQ130 BR130 BT130 BU130 BW130 BX130 BZ130 CA130 CC130 CD130 CF130 CG130 CI130 CJ130 CL130 CM130 CO130 CP130 CR130 CS130 CU130 CV130 CX130 CY130 DA130 DB130 DD130 DE130 DG130 DH130 DJ130 DK130 DM130 DN130 DP130 DQ130 DS130 DT130 DV130 DW130 DY130 DZ130 EB130 EC130 EE130 EF130 EH130 EI130 EK130 EL130 EN130 EO130 EQ130 ER130 ET130 EU130 EW130 EX130 EZ130 FA130 FC130 FD130 FF130 FG130 FI130 FJ130 FL130 FM130 FO130 FP130 FR130 FS130 FU130 FV130 AD132 AE132 AG132 AH132 AJ132 AK132 AM132 AN132 AP132 AQ132 AS132 AT132 AV132 AW132 AY132 AZ132 BB132 BC132 BE132 BF132 BH132 BI132 BK132 BL132 BN132 BO132 BQ132 BR132 BT132 BU132 BW132 BX132 BZ132 CA132 CC132 CD132 CF132 CG132 CI132 CJ132 CL132 CM132 CO132 CP132 CR132 CS132 CU132 CV132 CX132 CY132 DA132 DB132 DD132 DE132 DG132 DH132 DJ132 DK132 DM132 DN132 DP132 DQ132 DS132 DT132 DV132 DW132 DY132 DZ132 EB132 EC132 EE132 EF132 EH132 EI132 EK132 EL132 EN132 EO132 EQ132 ER132 ET132 EU132 EW132 EX132 EZ132 FA132 FC132 FD132 FF132 FG132 FI132 FJ132 FL132 FM132 FO132 FP132 FR132 FS132 FU132 FV132 AD133 AE133 AG133 AH133 AJ133 AK133 AM133 AN133 AP133 AQ133 AS133 AT133 AV133 AW133 AY133 AZ133 BB133 BC133 BE133 BF133 BH133 BI133 BK133 BL133 BN133 BO133 BQ133 BR133 BT133 BU133 BW133 BX133 BZ133 CA133 CC133 CD133 CF133 CG133 CI133 CJ133 CL133 CM133 CO133 CP133 CR133 CS133 CU133 CV133 CX133 CY133 DA133 DB133 DD133 DE133 DG133 DH133 DJ133 DK133 DM133 DN133 DP133 DQ133 DS133 DT133 DV133 DW133 DY133 DZ133 EB133 EC133 EE133 EF133 EH133 EI133 EK133 EL133 EN133 EO133 EQ133 ER133 ET133 EU133 EW133 EX133 EZ133 FA133 FC133 FD133 FF133 FG133 FI133 FJ133 FL133 FM133 FO133 FP133 FR133 FS133 FU133 FV133 AD134 AE134 AG134 AH134 AJ134 AK134 AM134 AN134 AP134 AQ134 AS134 AT134 AV134 AW134 AY134 AZ134 BB134 BC134 BE134 BF134 BH134 BI134 BK134 BL134 BN134 BO134 BQ134 BR134 BT134 BU134 BW134 BX134 BZ134 CA134 CC134 CD134 CF134 CG134 CI134 CJ134 CL134 CM134 CO134 CP134 CR134 CS134 CU134 CV134 CX134 CY134 DA134 DB134 DD134 DE134 DG134 DH134 DJ134 DK134 DM134 DN134 DP134 DQ134 DS134 DT134 DV134 DW134 DY134 DZ134 EB134 EC134 EE134 EF134 EH134 EI134 EK134 EL134 EN134 EO134 EQ134 ER134 ET134 EU134 EW134 EX134 EZ134 FA134 FC134 FD134 FF134 FG134 FI134 FJ134 FL134 FM134 FO134 FP134 FR134 FS134 FU134 FV134 AD135 AE135 AG135 AH135 AJ135 AK135 AM135 AN135 AP135 AQ135 AS135 AT135 AV135 AW135 AY135 AZ135 BB135 BC135 BE135 BF135 BH135 BI135 BK135 BL135 BN135 BO135 BQ135 BR135 BT135 BU135 BW135 BX135 BZ135 CA135 CC135 CD135 CF135 CG135 CI135 CJ135 CL135 CM135 CO135 CP135 CR135 CS135 CU135 CV135 CX135 CY135 DA135 DB135 DD135 DE135 DG135 DH135 DJ135 DK135 DM135 DN135 DP135 DQ135 DS135 DT135 DV135 DW135 DY135 DZ135 EB135 EC135 EE135 EF135 EH135 EI135 EK135 EL135 EN135 EO135 EQ135 ER135 ET135 EU135 EW135 EX135 EZ135 FA135 FC135 FD135 FF135 FG135 FI135 FJ135 FL135 FM135 FO135 FP135 FR135 FS135 FU135 FV135 AD136 AE136 AG136 AH136 AJ136 AK136 AM136 AN136 AP136 AQ136 AS136 AT136 AV136 AW136 AY136 AZ136 BB136 BC136 BE136 BF136 BH136 BI136 BK136 BL136 BN136 BO136 BQ136 BR136 BT136 BU136 BW136 BX136 BZ136 CA136 CC136 CD136 CF136 CG136 CI136 CJ136 CL136 CM136 CO136 CP136 CR136 CS136 CU136 CV136 CX136 CY136 DA136 DB136 DD136 DE136 DG136 DH136 DJ136 DK136 DM136 DN136 DP136 DQ136 DS136 DT136 DV136 DW136 DY136 DZ136 EB136 EC136 EE136 EF136 EH136 EI136 EK136 EL136 EN136 EO136 EQ136 ER136 ET136 EU136 EW136 EX136 EZ136 FA136 FC136 FD136 FF136 FG136 FI136 FJ136 FL136 FM136 FO136 FP136 FR136 FS136 FU136 FV136 AD138 AE138 AG138 AH138 AJ138 AK138 AM138 AN138 AP138 AQ138 AS138 AT138 AV138 AW138 AY138 AZ138 BB138 BC138 BE138 BF138 BH138 BI138 BK138 BL138 BN138 BO138 BQ138 BR138 BT138 BU138 BW138 BX138 BZ138 CA138 CC138 CD138 CF138 CG138 CI138 CJ138 CL138 CM138 CO138 CP138 CR138 CS138 CU138 CV138 CX138 CY138 DA138 DB138 DD138 DE138 DG138 DH138 DJ138 DK138 DM138 DN138 DP138 DQ138 DS138 DT138 DV138 DW138 DY138 DZ138 EB138 EC138 EE138 EF138 EH138 EI138 EK138 EL138 EN138 EO138 EQ138 ER138 ET138 EU138 EW138 EX138 EZ138 FA138 FC138 FD138 FF138 FG138 FI138 FJ138 FL138 FM138 FO138 FP138 FR138 FS138 FU138 FV138 AD139:AD145 AE139:AE145 AG139:AG145 AH139:AH145 AJ139:AJ145 AK139:AK145 AM139:AM145 AN139:AN145 AP139:AP145 AQ139:AQ145 AS139:AS145 AT139:AT145 AV139:AV145 AW139:AW145 AY139:AY145 AZ139:AZ145 BB139:BB145 BC139:BC145 BE139:BE145 BF139:BF145 BH139:BH145 BI139:BI145 BK139:BK145 BL139:BL145 BN139:BN145 BO139:BO145 BQ139:BQ145 BR139:BR145 BT139:BT145 BU139:BU145 BW139:BW145 BX139:BX145 BZ139:BZ145 CA139:CA145 CC139:CC145 CD139:CD145 CF139:CF145 CG139:CG145 CI139:CI145 CJ139:CJ145 CL139:CL145 CM139:CM145 CO139:CO145 CP139:CP145 CR139:CR145 CS139:CS145 CU139:CU145 CV139:CV145 CX139:CX145 CY139:CY145 DA139:DA145 DB139:DB145 DD139:DD145 DE139:DE145 DG139:DG145 DH139:DH145 DJ139:DJ145 DK139:DK145 DM139:DM145 DN139:DN145 DP139:DP145 DQ139:DQ145 DS139:DS145 DT139:DT145 DV139:DV145 DW139:DW145 DY139:DY145 DZ139:DZ145 EB139:EB145 EC139:EC145 EE139:EE145 EF139:EF145 EH139:EH145 EI139:EI145 EK139:EK145 EL139:EL145 EN139:EN145 EO139:EO145 EQ139:EQ145 ER139:ER145 ET139:ET145 EU139:EU145 EW139:EW145 EX139:EX145 EZ139:EZ145 FA139:FA145 FC139:FC145 FD139:FD145 FF139:FF145 FG139:FG145 FI139:FI145 FJ139:FJ145 FL139:FL145 FM139:FM145 FO139:FO145 FP139:FP145 FR139:FR145 FS139:FS145 FU139:FU145 FV139:FV145 AD148 AE148 AG148 AH148 AJ148 AK148 AM148 AN148 AP148 AQ148 AS148 AT148 AV148 AW148 AY148 AZ148 BB148 BC148 BE148 BF148 BH148 BI148 BK148 BL148 BN148 BO148 BQ148 BR148 BT148 BU148 BW148 BX148 BZ148 CA148 CC148 CD148 CF148 CG148 CI148 CJ148 CL148 CM148 CO148 CP148 CR148 CS148 CU148 CV148 CX148 CY148 DA148 DB148 DD148 DE148 DG148 DH148 DJ148 DK148 DM148 DN148 DP148 DQ148 DS148 DT148 DV148 DW148 DY148 DZ148 EB148 EC148 EE148 EF148 EH148 EI148 EK148 EL148 EN148 EO148 EQ148 ER148 ET148 EU148 EW148 EX148 EZ148 FA148 FC148 FD148 FF148 FG148 FI148 FJ148 FL148 FM148 FO148 FP148 FR148 FS148 FU148 FV148 AD149 AE149 AG149 AH149 AJ149 AK149 AM149 AN149 AP149 AQ149 AS149 AT149 AV149 AW149 AY149 AZ149 BB149 BC149 BE149 BF149 BH149 BI149 BK149 BL149 BN149 BO149 BQ149 BR149 BT149 BU149 BW149 BX149 BZ149 CA149 CC149 CD149 CF149 CG149 CI149 CJ149 CL149 CM149 CO149 CP149 CR149 CS149 CU149 CV149 CX149 CY149 DA149 DB149 DD149 DE149 DG149 DH149 DJ149 DK149 DM149 DN149 DP149 DQ149 DS149 DT149 DV149 DW149 DY149 DZ149 EB149 EC149 EE149 EF149 EH149 EI149 EK149 EL149 EN149 EO149 EQ149 ER149 ET149 EU149 EW149 EX149 EZ149 FA149 FC149 FD149 FF149 FG149 FI149 FJ149 FL149 FM149 FO149 FP149 FR149 FS149 FU149 FV149 AD152 AE152 AG152 AH152 AJ152 AK152 AM152 AN152 AP152 AQ152 AS152 AT152 AV152 AW152 AY152 AZ152 BB152 BC152 BE152 BF152 BH152 BI152 BK152 BL152 BN152 BO152 BQ152 BR152 BT152 BU152 BW152 BX152 BZ152 CA152 CC152 CD152 CF152 CG152 CI152 CJ152 CL152 CM152 CO152 CP152 CR152 CS152 CU152 CV152 CX152 CY152 DA152 DB152 DD152 DE152 DG152 DH152 DJ152 DK152 DM152 DN152 DP152 DQ152 DS152 DT152 DV152 DW152 DY152 DZ152 EB152 EC152 EE152 EF152 EH152 EI152 EK152 EL152 EN152 EO152 EQ152 ER152 ET152 EU152 EW152 EX152 EZ152 FA152 FC152 FD152 FF152 FG152 FI152 FJ152 FL152 FM152 FO152 FP152 FR152 FS152 FU152 FV152 AD168:AD169 AE168:AE169 AG168:AG169 AH168:AH169 AJ168:AJ169 AK168:AK169 AM168:AM169 AN168:AN169 AP168:AP169 AQ168:AQ169 AS168:AS169 AT168:AT169 AV168:AV169 AW168:AW169 AY168:AY169 AZ168:AZ169 BB168:BB169 BC168:BC169 BE168:BE169 BF168:BF169 BH168:BH169 BI168:BI169 BK168:BK169 BL168:BL169 BN168:BN169 BO168:BO169 BQ168:BQ169 BR168:BR169 BT168:BT169 BU168:BU169 BW168:BW169 BX168:BX169 BZ168:BZ169 CA168:CA169 CC168:CC169 CD168:CD169 CF168:CF169 CG168:CG169 CI168:CI169 CJ168:CJ169 CL168:CL169 CM168:CM169 CO168:CO169 CP168:CP169 CR168:CR169 CS168:CS169 CU168:CU169 CV168:CV169 CX168:CX169 CY168:CY169 DA168:DA169 DB168:DB169 DD168:DD169 DE168:DE169 DG168:DG169 DH168:DH169 DJ168:DJ169 DK168:DK169 DM168:DM169 DN168:DN169 DP168:DP169 DQ168:DQ169 DS168:DS169 DT168:DT169 DV168:DV169 DW168:DW169 DY168:DY169 DZ168:DZ169 EB168:EB169 EC168:EC169 EE168:EE169 EF168:EF169 EH168:EH169 EI168:EI169 EK168:EK169 EL168:EL169 EN168:EN169 EO168:EO169 EQ168:EQ169 ER168:ER169 ET168:ET169 EU168:EU169 EW168:EW169 EX168:EX169 EZ168:EZ169 FA168:FA169 FC168:FC169 FD168:FD169 FF168:FF169 FG168:FG169 FI168:FI169 FJ168:FJ169 FL168:FL169 FM168:FM169 FO168:FO169 FP168:FP169 FR168:FR169 FS168:FS169 FU168:FU169 FV168:FV169 AD174 AE174 AG174 AH174 AJ174 AK174 AM174 AN174 AP174 AQ174 AS174 AT174 AV174 AW174 AY174 AZ174 BB174 BC174 BE174 BF174 BH174 BI174 BK174 BL174 BN174 BO174 BQ174 BR174 BT174 BU174 BW174 BX174 BZ174 CA174 CC174 CD174 CF174 CG174 CI174 CJ174 CL174 CM174 CO174 CP174 CR174 CS174 CU174 CV174 CX174 CY174 DA174 DB174 DD174 DE174 DG174 DH174 DJ174 DK174 DM174 DN174 DP174 DQ174 DS174 DT174 DV174 DW174 DY174 DZ174 EB174 EC174 EE174 EF174 EH174 EI174 EK174 EL174 EN174 EO174 EQ174 ER174 ET174 EU174 EW174 EX174 EZ174 FA174 FC174 FD174 FF174 FG174 FI174 FJ174 FL174 FM174 FO174 FP174 FR174 FS174 FU174 FV174 AD175 AE175 AG175 AH175 AJ175 AK175 AM175 AN175 AP175 AQ175 AS175 AT175 AV175 AW175 AY175 AZ175 BB175 BC175 BE175 BF175 BH175 BI175 BK175 BL175 BN175 BO175 BQ175 BR175 BT175 BU175 BW175 BX175 BZ175 CA175 CC175 CD175 CF175 CG175 CI175 CJ175 CL175 CM175 CO175 CP175 CR175 CS175 CU175 CV175 CX175 CY175 DA175 DB175 DD175 DE175 DG175 DH175 DJ175 DK175 DM175 DN175 DP175 DQ175 DS175 DT175 DV175 DW175 DY175 DZ175 EB175 EC175 EE175 EF175 EH175 EI175 EK175 EL175 EN175 EO175 EQ175 ER175 ET175 EU175 EW175 EX175 EZ175 FA175 FC175 FD175 FF175 FG175 FI175 FJ175 FL175 FM175 FO175 FP175 FR175 FS175 FU175 FV175 AD177 AE177 AG177 AH177 AJ177 AK177 AM177 AN177 AP177 AQ177 AS177 AT177 AV177 AW177 AY177 AZ177 BB177 BC177 BE177 BF177 BH177 BI177 BK177 BL177 BN177 BO177 BQ177 BR177 BT177 BU177 BW177 BX177 BZ177 CA177 CC177 CD177 CF177 CG177 CI177 CJ177 CL177 CM177 CO177 CP177 CR177 CS177 CU177 CV177 CX177 CY177 DA177 DB177 DD177 DE177 DG177 DH177 DJ177 DK177 DM177 DN177 DP177 DQ177 DS177 DT177 DV177 DW177 DY177 DZ177 EB177 EC177 EE177 EF177 EH177 EI177 EK177 EL177 EN177 EO177 EQ177 ER177 ET177 EU177 EW177 EX177 EZ177 FA177 FC177 FD177 FF177 FG177 FI177 FJ177 FL177 FM177 FO177 FP177 FR177 FS177 FU177 FV177 AD178 AE178 AG178 AH178 AJ178 AK178 AM178 AN178 AP178 AQ178 AS178 AT178 AV178 AW178 AY178 AZ178 BB178 BC178 BE178 BF178 BH178 BI178 BK178 BL178 BN178 BO178 BQ178 BR178 BT178 BU178 BW178 BX178 BZ178 CA178 CC178 CD178 CF178 CG178 CI178 CJ178 CL178 CM178 CO178 CP178 CR178 CS178 CU178 CV178 CX178 CY178 DA178 DB178 DD178 DE178 DG178 DH178 DJ178 DK178 DM178 DN178 DP178 DQ178 DS178 DT178 DV178 DW178 DY178 DZ178 EB178 EC178 EE178 EF178 EH178 EI178 EK178 EL178 EN178 EO178 EQ178 ER178 ET178 EU178 EW178 EX178 EZ178 FA178 FC178 FD178 FF178 FG178 FI178 FJ178 FL178 FM178 FO178 FP178 FR178 FS178 FU178 FV178 AD180 AE180 AG180 AH180 AJ180 AK180 AM180 AN180 AP180 AQ180 AS180 AT180 AV180 AW180 AY180 AZ180 BB180 BC180 BE180 BF180 BH180 BI180 BK180 BL180 BN180 BO180 BQ180 BR180 BT180 BU180 BW180 BX180 BZ180 CA180 CC180 CD180 CF180 CG180 CI180 CJ180 CL180 CM180 CO180 CP180 CR180 CS180 CU180 CV180 CX180 CY180 DA180 DB180 DD180 DE180 DG180 DH180 DJ180 DK180 DM180 DN180 DP180 DQ180 DS180 DT180 DV180 DW180 DY180 DZ180 EB180 EC180 EE180 EF180 EH180 EI180 EK180 EL180 EN180 EO180 EQ180 ER180 ET180 EU180 EW180 EX180 EZ180 FA180 FC180 FD180 FF180 FG180 FI180 FJ180 FL180 FM180 FO180 FP180 FR180 FS180 FU180 FV180 AD181 AE181 AG181 AH181 AJ181 AK181 AM181 AN181 AP181 AQ181 AS181 AT181 AV181 AW181 AY181 AZ181 BB181 BC181 BE181 BF181 BH181 BI181 BK181 BL181 BN181 BO181 BQ181 BR181 BT181 BU181 BW181 BX181 BZ181 CA181 CC181 CD181 CF181 CG181 CI181 CJ181 CL181 CM181 CO181 CP181 CR181 CS181 CU181 CV181 CX181 CY181 DA181 DB181 DD181 DE181 DG181 DH181 DJ181 DK181 DM181 DN181 DP181 DQ181 DS181 DT181 DV181 DW181 DY181 DZ181 EB181 EC181 EE181 EF181 EH181 EI181 EK181 EL181 EN181 EO181 EQ181 ER181 ET181 EU181 EW181 EX181 EZ181 FA181 FC181 FD181 FF181 FG181 FI181 FJ181 FL181 FM181 FO181 FP181 FR181 FS181 FU181 FV181 AD183 AE183 AG183 AH183 AJ183 AK183 AM183 AN183 AP183 AQ183 AS183 AT183 AV183 AW183 AY183 AZ183 BB183 BC183 BE183 BF183 BH183 BI183 BK183 BL183 BN183 BO183 BQ183 BR183 BT183 BU183 BW183 BX183 BZ183 CA183 CC183 CD183 CF183 CG183 CI183 CJ183 CL183 CM183 CO183 CP183 CR183 CS183 CU183 CV183 CX183 CY183 DA183 DB183 DD183 DE183 DG183 DH183 DJ183 DK183 DM183 DN183 DP183 DQ183 DS183 DT183 DV183 DW183 DY183 DZ183 EB183 EC183 EE183 EF183 EH183 EI183 EK183 EL183 EN183 EO183 EQ183 ER183 ET183 EU183 EW183 EX183 EZ183 FA183 FC183 FD183 FF183 FG183 FI183 FJ183 FL183 FM183 FO183 FP183 FR183 FS183 FU183 FV183 AD184 AE184 AG184 AH184 AJ184 AK184 AM184 AN184 AP184 AQ184 AS184 AT184 AV184 AW184 AY184 AZ184 BB184 BC184 BE184 BF184 BH184 BI184 BK184 BL184 BN184 BO184 BQ184 BR184 BT184 BU184 BW184 BX184 BZ184 CA184 CC184 CD184 CF184 CG184 CI184 CJ184 CL184 CM184 CO184 CP184 CR184 CS184 CU184 CV184 CX184 CY184 DA184 DB184 DD184 DE184 DG184 DH184 DJ184 DK184 DM184 DN184 DP184 DQ184 DS184 DT184 DV184 DW184 DY184 DZ184 EB184 EC184 EE184 EF184 EH184 EI184 EK184 EL184 EN184 EO184 EQ184 ER184 ET184 EU184 EW184 EX184 EZ184 FA184 FC184 FD184 FF184 FG184 FI184 FJ184 FL184 FM184 FO184 FP184 FR184 FS184 FU184 FV184 AD186 AE186 AG186 AH186 AJ186 AK186 AM186 AN186 AP186 AQ186 AS186 AT186 AV186 AW186 AY186 AZ186 BB186 BC186 BE186 BF186 BH186 BI186 BK186 BL186 BN186 BO186 BQ186 BR186 BT186 BU186 BW186 BX186 BZ186 CA186 CC186 CD186 CF186 CG186 CI186 CJ186 CL186 CM186 CO186 CP186 CR186 CS186 CU186 CV186 CX186 CY186 DA186 DB186 DD186 DE186 DG186 DH186 DJ186 DK186 DM186 DN186 DP186 DQ186 DS186 DT186 DV186 DW186 DY186 DZ186 EB186 EC186 EE186 EF186 EH186 EI186 EK186 EL186 EN186 EO186 EQ186 ER186 ET186 EU186 EW186 EX186 EZ186 FA186 FC186 FD186 FF186 FG186 FI186 FJ186 FL186 FM186 FO186 FP186 FR186 FS186 FU186 FV186 AD187 AE187 AG187 AH187 AJ187 AK187 AM187 AN187 AP187 AQ187 AS187 AT187 AV187 AW187 AY187 AZ187 BB187 BC187 BE187 BF187 BH187 BI187 BK187 BL187 BN187 BO187 BQ187 BR187 BT187 BU187 BW187 BX187 BZ187 CA187 CC187 CD187 CF187 CG187 CI187 CJ187 CL187 CM187 CO187 CP187 CR187 CS187 CU187 CV187 CX187 CY187 DA187 DB187 DD187 DE187 DG187 DH187 DJ187 DK187 DM187 DN187 DP187 DQ187 DS187 DT187 DV187 DW187 DY187 DZ187 EB187 EC187 EE187 EF187 EH187 EI187 EK187 EL187 EN187 EO187 EQ187 ER187 ET187 EU187 EW187 EX187 EZ187 FA187 FC187 FD187 FF187 FG187 FI187 FJ187 FL187 FM187 FO187 FP187 FR187 FS187 FU187 FV187 AD189 AE189 AG189 AH189 AJ189 AK189 AM189 AN189 AP189 AQ189 AS189 AT189 AV189 AW189 AY189 AZ189 BB189 BC189 BE189 BF189 BH189 BI189 BK189 BL189 BN189 BO189 BQ189 BR189 BT189 BU189 BW189 BX189 BZ189 CA189 CC189 CD189 CF189 CG189 CI189 CJ189 CL189 CM189 CO189 CP189 CR189 CS189 CU189 CV189 CX189 CY189 DA189 DB189 DD189 DE189 DG189 DH189 DJ189 DK189 DM189 DN189 DP189 DQ189 DS189 DT189 DV189 DW189 DY189 DZ189 EB189 EC189 EE189 EF189 EH189 EI189 EK189 EL189 EN189 EO189 EQ189 ER189 ET189 EU189 EW189 EX189 EZ189 FA189 FC189 FD189 FF189 FG189 FI189 FJ189 FL189 FM189 FO189 FP189 FR189 FS189 FU189 FV189 AD190 AE190 AG190 AH190 AJ190 AK190 AM190 AN190 AP190 AQ190 AS190 AT190 AV190 AW190 AY190 AZ190 BB190 BC190 BE190 BF190 BH190 BI190 BK190 BL190 BN190 BO190 BQ190 BR190 BT190 BU190 BW190 BX190 BZ190 CA190 CC190 CD190 CF190 CG190 CI190 CJ190 CL190 CM190 CO190 CP190 CR190 CS190 CU190 CV190 CX190 CY190 DA190 DB190 DD190 DE190 DG190 DH190 DJ190 DK190 DM190 DN190 DP190 DQ190 DS190 DT190 DV190 DW190 DY190 DZ190 EB190 EC190 EE190 EF190 EH190 EI190 EK190 EL190 EN190 EO190 EQ190 ER190 ET190 EU190 EW190 EX190 EZ190 FA190 FC190 FD190 FF190 FG190 FI190 FJ190 FL190 FM190 FO190 FP190 FR190 FS190 FU190 FV190 AD192 AE192 AG192 AH192 AJ192 AK192 AM192 AN192 AP192 AQ192 AS192 AT192 AV192 AW192 AY192 AZ192 BB192 BC192 BE192 BF192 BH192 BI192 BK192 BL192 BN192 BO192 BQ192 BR192 BT192 BU192 BW192 BX192 BZ192 CA192 CC192 CD192 CF192 CG192 CI192 CJ192 CL192 CM192 CO192 CP192 CR192 CS192 CU192 CV192 CX192 CY192 DA192 DB192 DD192 DE192 DG192 DH192 DJ192 DK192 DM192 DN192 DP192 DQ192 DS192 DT192 DV192 DW192 DY192 DZ192 EB192 EC192 EE192 EF192 EH192 EI192 EK192 EL192 EN192 EO192 EQ192 ER192 ET192 EU192 EW192 EX192 EZ192 FA192 FC192 FD192 FF192 FG192 FI192 FJ192 FL192 FM192 FO192 FP192 FR192 FS192 FU192 FV192 AD193 AE193 AG193 AH193 AJ193 AK193 AM193 AN193 AP193 AQ193 AS193 AT193 AV193 AW193 AY193 AZ193 BB193 BC193 BE193 BF193 BH193 BI193 BK193 BL193 BN193 BO193 BQ193 BR193 BT193 BU193 BW193 BX193 BZ193 CA193 CC193 CD193 CF193 CG193 CI193 CJ193 CL193 CM193 CO193 CP193 CR193 CS193 CU193 CV193 CX193 CY193 DA193 DB193 DD193 DE193 DG193 DH193 DJ193 DK193 DM193 DN193 DP193 DQ193 DS193 DT193 DV193 DW193 DY193 DZ193 EB193 EC193 EE193 EF193 EH193 EI193 EK193 EL193 EN193 EO193 EQ193 ER193 ET193 EU193 EW193 EX193 EZ193 FA193 FC193 FD193 FF193 FG193 FI193 FJ193 FL193 FM193 FO193 FP193 FR193 FS193 FU193 FV193 AD195 AE195 AG195 AH195 AJ195 AK195 AM195 AN195 AP195 AQ195 AS195 AT195 AV195 AW195 AY195 AZ195 BB195 BC195 BE195 BF195 BH195 BI195 BK195 BL195 BN195 BO195 BQ195 BR195 BT195 BU195 BW195 BX195 BZ195 CA195 CC195 CD195 CF195 CG195 CI195 CJ195 CL195 CM195 CO195 CP195 CR195 CS195 CU195 CV195 CX195 CY195 DA195 DB195 DD195 DE195 DG195 DH195 DJ195 DK195 DM195 DN195 DP195 DQ195 DS195 DT195 DV195 DW195 DY195 DZ195 EB195 EC195 EE195 EF195 EH195 EI195 EK195 EL195 EN195 EO195 EQ195 ER195 ET195 EU195 EW195 EX195 EZ195 FA195 FC195 FD195 FF195 FG195 FI195 FJ195 FL195 FM195 FO195 FP195 FR195 FS195 FU195 FV195 AD196 AE196 AG196 AH196 AJ196 AK196 AM196 AN196 AP196 AQ196 AS196 AT196 AV196 AW196 AY196 AZ196 BB196 BC196 BE196 BF196 BH196 BI196 BK196 BL196 BN196 BO196 BQ196 BR196 BT196 BU196 BW196 BX196 BZ196 CA196 CC196 CD196 CF196 CG196 CI196 CJ196 CL196 CM196 CO196 CP196 CR196 CS196 CU196 CV196 CX196 CY196 DA196 DB196 DD196 DE196 DG196 DH196 DJ196 DK196 DM196 DN196 DP196 DQ196 DS196 DT196 DV196 DW196 DY196 DZ196 EB196 EC196 EE196 EF196 EH196 EI196 EK196 EL196 EN196 EO196 EQ196 ER196 ET196 EU196 EW196 EX196 EZ196 FA196 FC196 FD196 FF196 FG196 FI196 FJ196 FL196 FM196 FO196 FP196 FR196 FS196 FU196 FV196 AD197 AE197 AG197 AH197 AJ197 AK197 AM197 AN197 AP197 AQ197 AS197 AT197 AV197 AW197 AY197 AZ197 BB197 BC197 BE197 BF197 BH197 BI197 BK197 BL197 BN197 BO197 BQ197 BR197 BT197 BU197 BW197 BX197 BZ197 CA197 CC197 CD197 CF197 CG197 CI197 CJ197 CL197 CM197 CO197 CP197 CR197 CS197 CU197 CV197 CX197 CY197 DA197 DB197 DD197 DE197 DG197 DH197 DJ197 DK197 DM197 DN197 DP197 DQ197 DS197 DT197 DV197 DW197 DY197 DZ197 EB197 EC197 EE197 EF197 EH197 EI197 EK197 EL197 EN197 EO197 EQ197 ER197 ET197 EU197 EW197 EX197 EZ197 FA197 FC197 FD197 FF197 FG197 FI197 FJ197 FL197 FM197 FO197 FP197 FR197 FS197 FU197 FV197 AD198 AE198 AG198 AH198 AJ198 AK198 AM198 AN198 AP198 AQ198 AS198 AT198 AV198 AW198 AY198 AZ198 BB198 BC198 BE198 BF198 BH198 BI198 BK198 BL198 BN198 BO198 BQ198 BR198 BT198 BU198 BW198 BX198 BZ198 CA198 CC198 CD198 CF198 CG198 CI198 CJ198 CL198 CM198 CO198 CP198 CR198 CS198 CU198 CV198 CX198 CY198 DA198 DB198 DD198 DE198 DG198 DH198 DJ198 DK198 DM198 DN198 DP198 DQ198 DS198 DT198 DV198 DW198 DY198 DZ198 EB198 EC198 EE198 EF198 EH198 EI198 EK198 EL198 EN198 EO198 EQ198 ER198 ET198 EU198 EW198 EX198 EZ198 FA198 FC198 FD198 FF198 FG198 FI198 FJ198 FL198 FM198 FO198 FP198 FR198 FS198 FU198 FV198 AD199 AE199 AG199 AH199 AJ199 AK199 AM199 AN199 AP199 AQ199 AS199 AT199 AV199 AW199 AY199 AZ199 BB199 BC199 BE199 BF199 BH199 BI199 BK199 BL199 BN199 BO199 BQ199 BR199 BT199 BU199 BW199 BX199 BZ199 CA199 CC199 CD199 CF199 CG199 CI199 CJ199 CL199 CM199 CO199 CP199 CR199 CS199 CU199 CV199 CX199 CY199 DA199 DB199 DD199 DE199 DG199 DH199 DJ199 DK199 DM199 DN199 DP199 DQ199 DS199 DT199 DV199 DW199 DY199 DZ199 EB199 EC199 EE199 EF199 EH199 EI199 EK199 EL199 EN199 EO199 EQ199 ER199 ET199 EU199 EW199 EX199 EZ199 FA199 FC199 FD199 FF199 FG199 FI199 FJ199 FL199 FM199 FO199 FP199 FR199 FS199 FU199 FV199 AD201 AE201 AG201 AH201 AJ201 AK201 AM201 AN201 AP201 AQ201 AS201 AT201 AV201 AW201 AY201 AZ201 BB201 BC201 BE201 BF201 BH201 BI201 BK201 BL201 BN201 BO201 BQ201 BR201 BT201 BU201 BW201 BX201 BZ201 CA201 CC201 CD201 CF201 CG201 CI201 CJ201 CL201 CM201 CO201 CP201 CR201 CS201 CU201 CV201 CX201 CY201 DA201 DB201 DD201 DE201 DG201 DH201 DJ201 DK201 DM201 DN201 DP201 DQ201 DS201 DT201 DV201 DW201 DY201 DZ201 EB201 EC201 EE201 EF201 EH201 EI201 EK201 EL201 EN201 EO201 EQ201 ER201 ET201 EU201 EW201 EX201 EZ201 FA201 FC201 FD201 FF201 FG201 FI201 FJ201 FL201 FM201 FO201 FP201 FR201 FS201 FU201 FV201 AD202:AD208 AE202:AE208 AG202:AG208 AH202:AH208 AJ202:AJ208 AK202:AK208 AM202:AM208 AN202:AN208 AP202:AP208 AQ202:AQ208 AS202:AS208 AT202:AT208 AV202:AV208 AW202:AW208 AY202:AY208 AZ202:AZ208 BB202:BB208 BC202:BC208 BE202:BE208 BF202:BF208 BH202:BH208 BI202:BI208 BK202:BK208 BL202:BL208 BN202:BN208 BO202:BO208 BQ202:BQ208 BR202:BR208 BT202:BT208 BU202:BU208 BW202:BW208 BX202:BX208 BZ202:BZ208 CA202:CA208 CC202:CC208 CD202:CD208 CF202:CF208 CG202:CG208 CI202:CI208 CJ202:CJ208 CL202:CL208 CM202:CM208 CO202:CO208 CP202:CP208 CR202:CR208 CS202:CS208 CU202:CU208 CV202:CV208 CX202:CX208 CY202:CY208 DA202:DA208 DB202:DB208 DD202:DD208 DE202:DE208 DG202:DG208 DH202:DH208 DJ202:DJ208 DK202:DK208 DM202:DM208 DN202:DN208 DP202:DP208 DQ202:DQ208 DS202:DS208 DT202:DT208 DV202:DV208 DW202:DW208 DY202:DY208 DZ202:DZ208 EB202:EB208 EC202:EC208 EE202:EE208 EF202:EF208 EH202:EH208 EI202:EI208 EK202:EK208 EL202:EL208 EN202:EN208 EO202:EO208 EQ202:EQ208 ER202:ER208 ET202:ET208 EU202:EU208 EW202:EW208 EX202:EX208 EZ202:EZ208 FA202:FA208 FC202:FC208 FD202:FD208 FF202:FF208 FG202:FG208 FI202:FI208 FJ202:FJ208 FL202:FL208 FM202:FM208 FO202:FO208 FP202:FP208 FR202:FR208 FS202:FS208 FU202:FU208 FV202:FV208 AD211 AE211 AG211 AH211 AJ211 AK211 AM211 AN211 AP211 AQ211 AS211 AT211 AV211 AW211 AY211 AZ211 BB211 BC211 BE211 BF211 BH211 BI211 BK211 BL211 BN211 BO211 BQ211 BR211 BT211 BU211 BW211 BX211 BZ211 CA211 CC211 CD211 CF211 CG211 CI211 CJ211 CL211 CM211 CO211 CP211 CR211 CS211 CU211 CV211 CX211 CY211 DA211 DB211 DD211 DE211 DG211 DH211 DJ211 DK211 DM211 DN211 DP211 DQ211 DS211 DT211 DV211 DW211 DY211 DZ211 EB211 EC211 EE211 EF211 EH211 EI211 EK211 EL211 EN211 EO211 EQ211 ER211 ET211 EU211 EW211 EX211 EZ211 FA211 FC211 FD211 FF211 FG211 FI211 FJ211 FL211 FM211 FO211 FP211 FR211 FS211 FU211 FV211 AD212 AE212 AG212 AH212 AJ212 AK212 AM212 AN212 AP212 AQ212 AS212 AT212 AV212 AW212 AY212 AZ212 BB212 BC212 BE212 BF212 BH212 BI212 BK212 BL212 BN212 BO212 BQ212 BR212 BT212 BU212 BW212 BX212 BZ212 CA212 CC212 CD212 CF212 CG212 CI212 CJ212 CL212 CM212 CO212 CP212 CR212 CS212 CU212 CV212 CX212 CY212 DA212 DB212 DD212 DE212 DG212 DH212 DJ212 DK212 DM212 DN212 DP212 DQ212 DS212 DT212 DV212 DW212 DY212 DZ212 EB212 EC212 EE212 EF212 EH212 EI212 EK212 EL212 EN212 EO212 EQ212 ER212 ET212 EU212 EW212 EX212 EZ212 FA212 FC212 FD212 FF212 FG212 FI212 FJ212 FL212 FM212 FO212 FP212 FR212 FS212 FU212 FV212 AD215 AE215 AG215 AH215 AJ215 AK215 AM215 AN215 AP215 AQ215 AS215 AT215 AV215 AW215 AY215 AZ215 BB215 BC215 BE215 BF215 BH215 BI215 BK215 BL215 BN215 BO215 BQ215 BR215 BT215 BU215 BW215 BX215 BZ215 CA215 CC215 CD215 CF215 CG215 CI215 CJ215 CL215 CM215 CO215 CP215 CR215 CS215 CU215 CV215 CX215 CY215 DA215 DB215 DD215 DE215 DG215 DH215 DJ215 DK215 DM215 DN215 DP215 DQ215 DS215 DT215 DV215 DW215 DY215 DZ215 EB215 EC215 EE215 EF215 EH215 EI215 EK215 EL215 EN215 EO215 EQ215 ER215 ET215 EU215 EW215 EX215 EZ215 FA215 FC215 FD215 FF215 FG215 FI215 FJ215 FL215 FM215 FO215 FP215 FR215 FS215 FU215 FV215 AD231:AD232 AE231:AE232 AG231:AG232 AH231:AH232 AJ231:AJ232 AK231:AK232 AM231:AM232 AN231:AN232 AP231:AP232 AQ231:AQ232 AS231:AS232 AT231:AT232 AV231:AV232 AW231:AW232 AY231:AY232 AZ231:AZ232 BB231:BB232 BC231:BC232 BE231:BE232 BF231:BF232 BH231:BH232 BI231:BI232 BK231:BK232 BL231:BL232 BN231:BN232 BO231:BO232 BQ231:BQ232 BR231:BR232 BT231:BT232 BU231:BU232 BW231:BW232 BX231:BX232 BZ231:BZ232 CA231:CA232 CC231:CC232 CD231:CD232 CF231:CF232 CG231:CG232 CI231:CI232 CJ231:CJ232 CL231:CL232 CM231:CM232 CO231:CO232 CP231:CP232 CR231:CR232 CS231:CS232 CU231:CU232 CV231:CV232 CX231:CX232 CY231:CY232 DA231:DA232 DB231:DB232 DD231:DD232 DE231:DE232 DG231:DG232 DH231:DH232 DJ231:DJ232 DK231:DK232 DM231:DM232 DN231:DN232 DP231:DP232 DQ231:DQ232 DS231:DS232 DT231:DT232 DV231:DV232 DW231:DW232 DY231:DY232 DZ231:DZ232 EB231:EB232 EC231:EC232 EE231:EE232 EF231:EF232 EH231:EH232 EI231:EI232 EK231:EK232 EL231:EL232 EN231:EN232 EO231:EO232 EQ231:EQ232 ER231:ER232 ET231:ET232 EU231:EU232 EW231:EW232 EX231:EX232 EZ231:EZ232 FA231:FA232 FC231:FC232 FD231:FD232 FF231:FF232 FG231:FG232 FI231:FI232 FJ231:FJ232 FL231:FL232 FM231:FM232 FO231:FO232 FP231:FP232 FR231:FR232 FS231:FS232 FU231:FU232 FV231:FV232 AD237 AE237 AG237 AH237 AJ237 AK237 AM237 AN237 AP237 AQ237 AS237 AT237 AV237 AW237 AY237 AZ237 BB237 BC237 BE237 BF237 BH237 BI237 BK237 BL237 BN237 BO237 BQ237 BR237 BT237 BU237 BW237 BX237 BZ237 CA237 CC237 CD237 CF237 CG237 CI237 CJ237 CL237 CM237 CO237 CP237 CR237 CS237 CU237 CV237 CX237 CY237 DA237 DB237 DD237 DE237 DG237 DH237 DJ237 DK237 DM237 DN237 DP237 DQ237 DS237 DT237 DV237 DW237 DY237 DZ237 EB237 EC237 EE237 EF237 EH237 EI237 EK237 EL237 EN237 EO237 EQ237 ER237 ET237 EU237 EW237 EX237 EZ237 FA237 FC237 FD237 FF237 FG237 FI237 FJ237 FL237 FM237 FO237 FP237 FR237 FS237 FU237 FV237 AD238 AE238 AG238 AH238 AJ238 AK238 AM238 AN238 AP238 AQ238 AS238 AT238 AV238 AW238 AY238 AZ238 BB238 BC238 BE238 BF238 BH238 BI238 BK238 BL238 BN238 BO238 BQ238 BR238 BT238 BU238 BW238 BX238 BZ238 CA238 CC238 CD238 CF238 CG238 CI238 CJ238 CL238 CM238 CO238 CP238 CR238 CS238 CU238 CV238 CX238 CY238 DA238 DB238 DD238 DE238 DG238 DH238 DJ238 DK238 DM238 DN238 DP238 DQ238 DS238 DT238 DV238 DW238 DY238 DZ238 EB238 EC238 EE238 EF238 EH238 EI238 EK238 EL238 EN238 EO238 EQ238 ER238 ET238 EU238 EW238 EX238 EZ238 FA238 FC238 FD238 FF238 FG238 FI238 FJ238 FL238 FM238 FO238 FP238 FR238 FS238 FU238 FV238 AD240 AE240 AG240 AH240 AJ240 AK240 AM240 AN240 AP240 AQ240 AS240 AT240 AV240 AW240 AY240 AZ240 BB240 BC240 BE240 BF240 BH240 BI240 BK240 BL240 BN240 BO240 BQ240 BR240 BT240 BU240 BW240 BX240 BZ240 CA240 CC240 CD240 CF240 CG240 CI240 CJ240 CL240 CM240 CO240 CP240 CR240 CS240 CU240 CV240 CX240 CY240 DA240 DB240 DD240 DE240 DG240 DH240 DJ240 DK240 DM240 DN240 DP240 DQ240 DS240 DT240 DV240 DW240 DY240 DZ240 EB240 EC240 EE240 EF240 EH240 EI240 EK240 EL240 EN240 EO240 EQ240 ER240 ET240 EU240 EW240 EX240 EZ240 FA240 FC240 FD240 FF240 FG240 FI240 FJ240 FL240 FM240 FO240 FP240 FR240 FS240 FU240 FV240 AD241 AE241 AG241 AH241 AJ241 AK241 AM241 AN241 AP241 AQ241 AS241 AT241 AV241 AW241 AY241 AZ241 BB241 BC241 BE241 BF241 BH241 BI241 BK241 BL241 BN241 BO241 BQ241 BR241 BT241 BU241 BW241 BX241 BZ241 CA241 CC241 CD241 CF241 CG241 CI241 CJ241 CL241 CM241 CO241 CP241 CR241 CS241 CU241 CV241 CX241 CY241 DA241 DB241 DD241 DE241 DG241 DH241 DJ241 DK241 DM241 DN241 DP241 DQ241 DS241 DT241 DV241 DW241 DY241 DZ241 EB241 EC241 EE241 EF241 EH241 EI241 EK241 EL241 EN241 EO241 EQ241 ER241 ET241 EU241 EW241 EX241 EZ241 FA241 FC241 FD241 FF241 FG241 FI241 FJ241 FL241 FM241 FO241 FP241 FR241 FS241 FU241 FV241 AD243 AE243 AG243 AH243 AJ243 AK243 AM243 AN243 AP243 AQ243 AS243 AT243 AV243 AW243 AY243 AZ243 BB243 BC243 BE243 BF243 BH243 BI243 BK243 BL243 BN243 BO243 BQ243 BR243 BT243 BU243 BW243 BX243 BZ243 CA243 CC243 CD243 CF243 CG243 CI243 CJ243 CL243 CM243 CO243 CP243 CR243 CS243 CU243 CV243 CX243 CY243 DA243 DB243 DD243 DE243 DG243 DH243 DJ243 DK243 DM243 DN243 DP243 DQ243 DS243 DT243 DV243 DW243 DY243 DZ243 EB243 EC243 EE243 EF243 EH243 EI243 EK243 EL243 EN243 EO243 EQ243 ER243 ET243 EU243 EW243 EX243 EZ243 FA243 FC243 FD243 FF243 FG243 FI243 FJ243 FL243 FM243 FO243 FP243 FR243 FS243 FU243 FV243 AD244 AE244 AG244 AH244 AJ244 AK244 AM244 AN244 AP244 AQ244 AS244 AT244 AV244 AW244 AY244 AZ244 BB244 BC244 BE244 BF244 BH244 BI244 BK244 BL244 BN244 BO244 BQ244 BR244 BT244 BU244 BW244 BX244 BZ244 CA244 CC244 CD244 CF244 CG244 CI244 CJ244 CL244 CM244 CO244 CP244 CR244 CS244 CU244 CV244 CX244 CY244 DA244 DB244 DD244 DE244 DG244 DH244 DJ244 DK244 DM244 DN244 DP244 DQ244 DS244 DT244 DV244 DW244 DY244 DZ244 EB244 EC244 EE244 EF244 EH244 EI244 EK244 EL244 EN244 EO244 EQ244 ER244 ET244 EU244 EW244 EX244 EZ244 FA244 FC244 FD244 FF244 FG244 FI244 FJ244 FL244 FM244 FO244 FP244 FR244 FS244 FU244 FV244 AD246 AE246 AG246 AH246 AJ246 AK246 AM246 AN246 AP246 AQ246 AS246 AT246 AV246 AW246 AY246 AZ246 BB246 BC246 BE246 BF246 BH246 BI246 BK246 BL246 BN246 BO246 BQ246 BR246 BT246 BU246 BW246 BX246 BZ246 CA246 CC246 CD246 CF246 CG246 CI246 CJ246 CL246 CM246 CO246 CP246 CR246 CS246 CU246 CV246 CX246 CY246 DA246 DB246 DD246 DE246 DG246 DH246 DJ246 DK246 DM246 DN246 DP246 DQ246 DS246 DT246 DV246 DW246 DY246 DZ246 EB246 EC246 EE246 EF246 EH246 EI246 EK246 EL246 EN246 EO246 EQ246 ER246 ET246 EU246 EW246 EX246 EZ246 FA246 FC246 FD246 FF246 FG246 FI246 FJ246 FL246 FM246 FO246 FP246 FR246 FS246 FU246 FV246 AD247 AE247 AG247 AH247 AJ247 AK247 AM247 AN247 AP247 AQ247 AS247 AT247 AV247 AW247 AY247 AZ247 BB247 BC247 BE247 BF247 BH247 BI247 BK247 BL247 BN247 BO247 BQ247 BR247 BT247 BU247 BW247 BX247 BZ247 CA247 CC247 CD247 CF247 CG247 CI247 CJ247 CL247 CM247 CO247 CP247 CR247 CS247 CU247 CV247 CX247 CY247 DA247 DB247 DD247 DE247 DG247 DH247 DJ247 DK247 DM247 DN247 DP247 DQ247 DS247 DT247 DV247 DW247 DY247 DZ247 EB247 EC247 EE247 EF247 EH247 EI247 EK247 EL247 EN247 EO247 EQ247 ER247 ET247 EU247 EW247 EX247 EZ247 FA247 FC247 FD247 FF247 FG247 FI247 FJ247 FL247 FM247 FO247 FP247 FR247 FS247 FU247 FV247 AD249 AE249 AG249 AH249 AJ249 AK249 AM249 AN249 AP249 AQ249 AS249 AT249 AV249 AW249 AY249 AZ249 BB249 BC249 BE249 BF249 BH249 BI249 BK249 BL249 BN249 BO249 BQ249 BR249 BT249 BU249 BW249 BX249 BZ249 CA249 CC249 CD249 CF249 CG249 CI249 CJ249 CL249 CM249 CO249 CP249 CR249 CS249 CU249 CV249 CX249 CY249 DA249 DB249 DD249 DE249 DG249 DH249 DJ249 DK249 DM249 DN249 DP249 DQ249 DS249 DT249 DV249 DW249 DY249 DZ249 EB249 EC249 EE249 EF249 EH249 EI249 EK249 EL249 EN249 EO249 EQ249 ER249 ET249 EU249 EW249 EX249 EZ249 FA249 FC249 FD249 FF249 FG249 FI249 FJ249 FL249 FM249 FO249 FP249 FR249 FS249 FU249 FV249 AD250 AE250 AG250 AH250 AJ250 AK250 AM250 AN250 AP250 AQ250 AS250 AT250 AV250 AW250 AY250 AZ250 BB250 BC250 BE250 BF250 BH250 BI250 BK250 BL250 BN250 BO250 BQ250 BR250 BT250 BU250 BW250 BX250 BZ250 CA250 CC250 CD250 CF250 CG250 CI250 CJ250 CL250 CM250 CO250 CP250 CR250 CS250 CU250 CV250 CX250 CY250 DA250 DB250 DD250 DE250 DG250 DH250 DJ250 DK250 DM250 DN250 DP250 DQ250 DS250 DT250 DV250 DW250 DY250 DZ250 EB250 EC250 EE250 EF250 EH250 EI250 EK250 EL250 EN250 EO250 EQ250 ER250 ET250 EU250 EW250 EX250 EZ250 FA250 FC250 FD250 FF250 FG250 FI250 FJ250 FL250 FM250 FO250 FP250 FR250 FS250 FU250 FV250 AD252 AE252 AG252 AH252 AJ252 AK252 AM252 AN252 AP252 AQ252 AS252 AT252 AV252 AW252 AY252 AZ252 BB252 BC252 BE252 BF252 BH252 BI252 BK252 BL252 BN252 BO252 BQ252 BR252 BT252 BU252 BW252 BX252 BZ252 CA252 CC252 CD252 CF252 CG252 CI252 CJ252 CL252 CM252 CO252 CP252 CR252 CS252 CU252 CV252 CX252 CY252 DA252 DB252 DD252 DE252 DG252 DH252 DJ252 DK252 DM252 DN252 DP252 DQ252 DS252 DT252 DV252 DW252 DY252 DZ252 EB252 EC252 EE252 EF252 EH252 EI252 EK252 EL252 EN252 EO252 EQ252 ER252 ET252 EU252 EW252 EX252 EZ252 FA252 FC252 FD252 FF252 FG252 FI252 FJ252 FL252 FM252 FO252 FP252 FR252 FS252 FU252 FV252 AD253 AE253 AG253 AH253 AJ253 AK253 AM253 AN253 AP253 AQ253 AS253 AT253 AV253 AW253 AY253 AZ253 BB253 BC253 BE253 BF253 BH253 BI253 BK253 BL253 BN253 BO253 BQ253 BR253 BT253 BU253 BW253 BX253 BZ253 CA253 CC253 CD253 CF253 CG253 CI253 CJ253 CL253 CM253 CO253 CP253 CR253 CS253 CU253 CV253 CX253 CY253 DA253 DB253 DD253 DE253 DG253 DH253 DJ253 DK253 DM253 DN253 DP253 DQ253 DS253 DT253 DV253 DW253 DY253 DZ253 EB253 EC253 EE253 EF253 EH253 EI253 EK253 EL253 EN253 EO253 EQ253 ER253 ET253 EU253 EW253 EX253 EZ253 FA253 FC253 FD253 FF253 FG253 FI253 FJ253 FL253 FM253 FO253 FP253 FR253 FS253 FU253 FV253 AD255 AE255 AG255 AH255 AJ255 AK255 AM255 AN255 AP255 AQ255 AS255 AT255 AV255 AW255 AY255 AZ255 BB255 BC255 BE255 BF255 BH255 BI255 BK255 BL255 BN255 BO255 BQ255 BR255 BT255 BU255 BW255 BX255 BZ255 CA255 CC255 CD255 CF255 CG255 CI255 CJ255 CL255 CM255 CO255 CP255 CR255 CS255 CU255 CV255 CX255 CY255 DA255 DB255 DD255 DE255 DG255 DH255 DJ255 DK255 DM255 DN255 DP255 DQ255 DS255 DT255 DV255 DW255 DY255 DZ255 EB255 EC255 EE255 EF255 EH255 EI255 EK255 EL255 EN255 EO255 EQ255 ER255 ET255 EU255 EW255 EX255 EZ255 FA255 FC255 FD255 FF255 FG255 FI255 FJ255 FL255 FM255 FO255 FP255 FR255 FS255 FU255 FV255 AD256 AE256 AG256 AH256 AJ256 AK256 AM256 AN256 AP256 AQ256 AS256 AT256 AV256 AW256 AY256 AZ256 BB256 BC256 BE256 BF256 BH256 BI256 BK256 BL256 BN256 BO256 BQ256 BR256 BT256 BU256 BW256 BX256 BZ256 CA256 CC256 CD256 CF256 CG256 CI256 CJ256 CL256 CM256 CO256 CP256 CR256 CS256 CU256 CV256 CX256 CY256 DA256 DB256 DD256 DE256 DG256 DH256 DJ256 DK256 DM256 DN256 DP256 DQ256 DS256 DT256 DV256 DW256 DY256 DZ256 EB256 EC256 EE256 EF256 EH256 EI256 EK256 EL256 EN256 EO256 EQ256 ER256 ET256 EU256 EW256 EX256 EZ256 FA256 FC256 FD256 FF256 FG256 FI256 FJ256 FL256 FM256 FO256 FP256 FR256 FS256 FU256 FV256 AD258 AE258 AG258 AH258 AJ258 AK258 AM258 AN258 AP258 AQ258 AS258 AT258 AV258 AW258 AY258 AZ258 BB258 BC258 BE258 BF258 BH258 BI258 BK258 BL258 BN258 BO258 BQ258 BR258 BT258 BU258 BW258 BX258 BZ258 CA258 CC258 CD258 CF258 CG258 CI258 CJ258 CL258 CM258 CO258 CP258 CR258 CS258 CU258 CV258 CX258 CY258 DA258 DB258 DD258 DE258 DG258 DH258 DJ258 DK258 DM258 DN258 DP258 DQ258 DS258 DT258 DV258 DW258 DY258 DZ258 EB258 EC258 EE258 EF258 EH258 EI258 EK258 EL258 EN258 EO258 EQ258 ER258 ET258 EU258 EW258 EX258 EZ258 FA258 FC258 FD258 FF258 FG258 FI258 FJ258 FL258 FM258 FO258 FP258 FR258 FS258 FU258 FV258 AD259 AE259 AG259 AH259 AJ259 AK259 AM259 AN259 AP259 AQ259 AS259 AT259 AV259 AW259 AY259 AZ259 BB259 BC259 BE259 BF259 BH259 BI259 BK259 BL259 BN259 BO259 BQ259 BR259 BT259 BU259 BW259 BX259 BZ259 CA259 CC259 CD259 CF259 CG259 CI259 CJ259 CL259 CM259 CO259 CP259 CR259 CS259 CU259 CV259 CX259 CY259 DA259 DB259 DD259 DE259 DG259 DH259 DJ259 DK259 DM259 DN259 DP259 DQ259 DS259 DT259 DV259 DW259 DY259 DZ259 EB259 EC259 EE259 EF259 EH259 EI259 EK259 EL259 EN259 EO259 EQ259 ER259 ET259 EU259 EW259 EX259 EZ259 FA259 FC259 FD259 FF259 FG259 FI259 FJ259 FL259 FM259 FO259 FP259 FR259 FS259 FU259 FV259 AD260 AE260 AG260 AH260 AJ260 AK260 AM260 AN260 AP260 AQ260 AS260 AT260 AV260 AW260 AY260 AZ260 BB260 BC260 BE260 BF260 BH260 BI260 BK260 BL260 BN260 BO260 BQ260 BR260 BT260 BU260 BW260 BX260 BZ260 CA260 CC260 CD260 CF260 CG260 CI260 CJ260 CL260 CM260 CO260 CP260 CR260 CS260 CU260 CV260 CX260 CY260 DA260 DB260 DD260 DE260 DG260 DH260 DJ260 DK260 DM260 DN260 DP260 DQ260 DS260 DT260 DV260 DW260 DY260 DZ260 EB260 EC260 EE260 EF260 EH260 EI260 EK260 EL260 EN260 EO260 EQ260 ER260 ET260 EU260 EW260 EX260 EZ260 FA260 FC260 FD260 FF260 FG260 FI260 FJ260 FL260 FM260 FO260 FP260 FR260 FS260 FU260 FV260 AD261 AE261 AG261 AH261 AJ261 AK261 AM261 AN261 AP261 AQ261 AS261 AT261 AV261 AW261 AY261 AZ261 BB261 BC261 BE261 BF261 BH261 BI261 BK261 BL261 BN261 BO261 BQ261 BR261 BT261 BU261 BW261 BX261 BZ261 CA261 CC261 CD261 CF261 CG261 CI261 CJ261 CL261 CM261 CO261 CP261 CR261 CS261 CU261 CV261 CX261 CY261 DA261 DB261 DD261 DE261 DG261 DH261 DJ261 DK261 DM261 DN261 DP261 DQ261 DS261 DT261 DV261 DW261 DY261 DZ261 EB261 EC261 EE261 EF261 EH261 EI261 EK261 EL261 EN261 EO261 EQ261 ER261 ET261 EU261 EW261 EX261 EZ261 FA261 FC261 FD261 FF261 FG261 FI261 FJ261 FL261 FM261 FO261 FP261 FR261 FS261 FU261 FV261 AD262 AE262 AG262 AH262 AJ262 AK262 AM262 AN262 AP262 AQ262 AS262 AT262 AV262 AW262 AY262 AZ262 BB262 BC262 BE262 BF262 BH262 BI262 BK262 BL262 BN262 BO262 BQ262 BR262 BT262 BU262 BW262 BX262 BZ262 CA262 CC262 CD262 CF262 CG262 CI262 CJ262 CL262 CM262 CO262 CP262 CR262 CS262 CU262 CV262 CX262 CY262 DA262 DB262 DD262 DE262 DG262 DH262 DJ262 DK262 DM262 DN262 DP262 DQ262 DS262 DT262 DV262 DW262 DY262 DZ262 EB262 EC262 EE262 EF262 EH262 EI262 EK262 EL262 EN262 EO262 EQ262 ER262 ET262 EU262 EW262 EX262 EZ262 FA262 FC262 FD262 FF262 FG262 FI262 FJ262 FL262 FM262 FO262 FP262 FR262 FS262 FU262 FV262 AD264 AE264 AG264 AH264 AJ264 AK264 AM264 AN264 AP264 AQ264 AS264 AT264 AV264 AW264 AY264 AZ264 BB264 BC264 BE264 BF264 BH264 BI264 BK264 BL264 BN264 BO264 BQ264 BR264 BT264 BU264 BW264 BX264 BZ264 CA264 CC264 CD264 CF264 CG264 CI264 CJ264 CL264 CM264 CO264 CP264 CR264 CS264 CU264 CV264 CX264 CY264 DA264 DB264 DD264 DE264 DG264 DH264 DJ264 DK264 DM264 DN264 DP264 DQ264 DS264 DT264 DV264 DW264 DY264 DZ264 EB264 EC264 EE264 EF264 EH264 EI264 EK264 EL264 EN264 EO264 EQ264 ER264 ET264 EU264 EW264 EX264 EZ264 FA264 FC264 FD264 FF264 FG264 FI264 FJ264 FL264 FM264 FO264 FP264 FR264 FS264 FU264 FV264 AD265:AD271 AE265:AE271 AG265:AG271 AH265:AH271 AJ265:AJ271 AK265:AK271 AM265:AM271 AN265:AN271 AP265:AP271 AQ265:AQ271 AS265:AS271 AT265:AT271 AV265:AV271 AW265:AW271 AY265:AY271 AZ265:AZ271 BB265:BB271 BC265:BC271 BE265:BE271 BF265:BF271 BH265:BH271 BI265:BI271 BK265:BK271 BL265:BL271 BN265:BN271 BO265:BO271 BQ265:BQ271 BR265:BR271 BT265:BT271 BU265:BU271 BW265:BW271 BX265:BX271 BZ265:BZ271 CA265:CA271 CC265:CC271 CD265:CD271 CF265:CF271 CG265:CG271 CI265:CI271 CJ265:CJ271 CL265:CL271 CM265:CM271 CO265:CO271 CP265:CP271 CR265:CR271 CS265:CS271 CU265:CU271 CV265:CV271 CX265:CX271 CY265:CY271 DA265:DA271 DB265:DB271 DD265:DD271 DE265:DE271 DG265:DG271 DH265:DH271 DJ265:DJ271 DK265:DK271 DM265:DM271 DN265:DN271 DP265:DP271 DQ265:DQ271 DS265:DS271 DT265:DT271 DV265:DV271 DW265:DW271 DY265:DY271 DZ265:DZ271 EB265:EB271 EC265:EC271 EE265:EE271 EF265:EF271 EH265:EH271 EI265:EI271 EK265:EK271 EL265:EL271 EN265:EN271 EO265:EO271 EQ265:EQ271 ER265:ER271 ET265:ET271 EU265:EU271 EW265:EW271 EX265:EX271 EZ265:EZ271 FA265:FA271 FC265:FC271 FD265:FD271 FF265:FF271 FG265:FG271 FI265:FI271 FJ265:FJ271 FL265:FL271 FM265:FM271 FO265:FO271 FP265:FP271 FR265:FR271 FS265:FS271 FU265:FU271 FV265:FV271 AD274 AE274 AG274 AH274 AJ274 AK274 AM274 AN274 AP274 AQ274 AS274 AT274 AV274 AW274 AY274 AZ274 BB274 BC274 BE274 BF274 BH274 BI274 BK274 BL274 BN274 BO274 BQ274 BR274 BT274 BU274 BW274 BX274 BZ274 CA274 CC274 CD274 CF274 CG274 CI274 CJ274 CL274 CM274 CO274 CP274 CR274 CS274 CU274 CV274 CX274 CY274 DA274 DB274 DD274 DE274 DG274 DH274 DJ274 DK274 DM274 DN274 DP274 DQ274 DS274 DT274 DV274 DW274 DY274 DZ274 EB274 EC274 EE274 EF274 EH274 EI274 EK274 EL274 EN274 EO274 EQ274 ER274 ET274 EU274 EW274 EX274 EZ274 FA274 FC274 FD274 FF274 FG274 FI274 FJ274 FL274 FM274 FO274 FP274 FR274 FS274 FU274 FV274 AD275 AE275 AG275 AH275 AJ275 AK275 AM275 AN275 AP275 AQ275 AS275 AT275 AV275 AW275 AY275 AZ275 BB275 BC275 BE275 BF275 BH275 BI275 BK275 BL275 BN275 BO275 BQ275 BR275 BT275 BU275 BW275 BX275 BZ275 CA275 CC275 CD275 CF275 CG275 CI275 CJ275 CL275 CM275 CO275 CP275 CR275 CS275 CU275 CV275 CX275 CY275 DA275 DB275 DD275 DE275 DG275 DH275 DJ275 DK275 DM275 DN275 DP275 DQ275 DS275 DT275 DV275 DW275 DY275 DZ275 EB275 EC275 EE275 EF275 EH275 EI275 EK275 EL275 EN275 EO275 EQ275 ER275 ET275 EU275 EW275 EX275 EZ275 FA275 FC275 FD275 FF275 FG275 FI275 FJ275 FL275 FM275 FO275 FP275 FR275 FS275 FU275 FV275 AD278 AE278 AG278 AH278 AJ278 AK278 AM278 AN278 AP278 AQ278 AS278 AT278 AV278 AW278 AY278 AZ278 BB278 BC278 BE278 BF278 BH278 BI278 BK278 BL278 BN278 BO278 BQ278 BR278 BT278 BU278 BW278 BX278 BZ278 CA278 CC278 CD278 CF278 CG278 CI278 CJ278 CL278 CM278 CO278 CP278 CR278 CS278 CU278 CV278 CX278 CY278 DA278 DB278 DD278 DE278 DG278 DH278 DJ278 DK278 DM278 DN278 DP278 DQ278 DS278 DT278 DV278 DW278 DY278 DZ278 EB278 EC278 EE278 EF278 EH278 EI278 EK278 EL278 EN278 EO278 EQ278 ER278 ET278 EU278 EW278 EX278 EZ278 FA278 FC278 FD278 FF278 FG278 FI278 FJ278 FL278 FM278 FO278 FP278 FR278 FS278 FU278 FV278 AD294:AD295 AE294:AE295 AG294:AG295 AH294:AH295 AJ294:AJ295 AK294:AK295 AM294:AM295 AN294:AN295 AP294:AP295 AQ294:AQ295 AS294:AS295 AT294:AT295 AV294:AV295 AW294:AW295 AY294:AY295 AZ294:AZ295 BB294:BB295 BC294:BC295 BE294:BE295 BF294:BF295 BH294:BH295 BI294:BI295 BK294:BK295 BL294:BL295 BN294:BN295 BO294:BO295 BQ294:BQ295 BR294:BR295 BT294:BT295 BU294:BU295 BW294:BW295 BX294:BX295 BZ294:BZ295 CA294:CA295 CC294:CC295 CD294:CD295 CF294:CF295 CG294:CG295 CI294:CI295 CJ294:CJ295 CL294:CL295 CM294:CM295 CO294:CO295 CP294:CP295 CR294:CR295 CS294:CS295 CU294:CU295 CV294:CV295 CX294:CX295 CY294:CY295 DA294:DA295 DB294:DB295 DD294:DD295 DE294:DE295 DG294:DG295 DH294:DH295 DJ294:DJ295 DK294:DK295 DM294:DM295 DN294:DN295 DP294:DP295 DQ294:DQ295 DS294:DS295 DT294:DT295 DV294:DV295 DW294:DW295 DY294:DY295 DZ294:DZ295 EB294:EB295 EC294:EC295 EE294:EE295 EF294:EF295 EH294:EH295 EI294:EI295 EK294:EK295 EL294:EL295 EN294:EN295 EO294:EO295 EQ294:EQ295 ER294:ER295 ET294:ET295 EU294:EU295 EW294:EW295 EX294:EX295 EZ294:EZ295 FA294:FA295 FC294:FC295 FD294:FD295 FF294:FF295 FG294:FG295 FI294:FI295 FJ294:FJ295 FL294:FL295 FM294:FM295 FO294:FO295 FP294:FP295 FR294:FR295 FS294:FS295 FU294:FU295 FV294:FV295 AD300 AE300 AG300 AH300 AJ300 AK300 AM300 AN300 AP300 AQ300 AS300 AT300 AV300 AW300 AY300 AZ300 BB300 BC300 BE300 BF300 BH300 BI300 BK300 BL300 BN300 BO300 BQ300 BR300 BT300 BU300 BW300 BX300 BZ300 CA300 CC300 CD300 CF300 CG300 CI300 CJ300 CL300 CM300 CO300 CP300 CR300 CS300 CU300 CV300 CX300 CY300 DA300 DB300 DD300 DE300 DG300 DH300 DJ300 DK300 DM300 DN300 DP300 DQ300 DS300 DT300 DV300 DW300 DY300 DZ300 EB300 EC300 EE300 EF300 EH300 EI300 EK300 EL300 EN300 EO300 EQ300 ER300 ET300 EU300 EW300 EX300 EZ300 FA300 FC300 FD300 FF300 FG300 FI300 FJ300 FL300 FM300 FO300 FP300 FR300 FS300 FU300 FV300 AD301 AE301 AG301 AH301 AJ301 AK301 AM301 AN301 AP301 AQ301 AS301 AT301 AV301 AW301 AY301 AZ301 BB301 BC301 BE301 BF301 BH301 BI301 BK301 BL301 BN301 BO301 BQ301 BR301 BT301 BU301 BW301 BX301 BZ301 CA301 CC301 CD301 CF301 CG301 CI301 CJ301 CL301 CM301 CO301 CP301 CR301 CS301 CU301 CV301 CX301 CY301 DA301 DB301 DD301 DE301 DG301 DH301 DJ301 DK301 DM301 DN301 DP301 DQ301 DS301 DT301 DV301 DW301 DY301 DZ301 EB301 EC301 EE301 EF301 EH301 EI301 EK301 EL301 EN301 EO301 EQ301 ER301 ET301 EU301 EW301 EX301 EZ301 FA301 FC301 FD301 FF301 FG301 FI301 FJ301 FL301 FM301 FO301 FP301 FR301 FS301 FU301 FV301 AD303 AE303 AG303 AH303 AJ303 AK303 AM303 AN303 AP303 AQ303 AS303 AT303 AV303 AW303 AY303 AZ303 BB303 BC303 BE303 BF303 BH303 BI303 BK303 BL303 BN303 BO303 BQ303 BR303 BT303 BU303 BW303 BX303 BZ303 CA303 CC303 CD303 CF303 CG303 CI303 CJ303 CL303 CM303 CO303 CP303 CR303 CS303 CU303 CV303 CX303 CY303 DA303 DB303 DD303 DE303 DG303 DH303 DJ303 DK303 DM303 DN303 DP303 DQ303 DS303 DT303 DV303 DW303 DY303 DZ303 EB303 EC303 EE303 EF303 EH303 EI303 EK303 EL303 EN303 EO303 EQ303 ER303 ET303 EU303 EW303 EX303 EZ303 FA303 FC303 FD303 FF303 FG303 FI303 FJ303 FL303 FM303 FO303 FP303 FR303 FS303 FU303 FV303 AD304 AE304 AG304 AH304 AJ304 AK304 AM304 AN304 AP304 AQ304 AS304 AT304 AV304 AW304 AY304 AZ304 BB304 BC304 BE304 BF304 BH304 BI304 BK304 BL304 BN304 BO304 BQ304 BR304 BT304 BU304 BW304 BX304 BZ304 CA304 CC304 CD304 CF304 CG304 CI304 CJ304 CL304 CM304 CO304 CP304 CR304 CS304 CU304 CV304 CX304 CY304 DA304 DB304 DD304 DE304 DG304 DH304 DJ304 DK304 DM304 DN304 DP304 DQ304 DS304 DT304 DV304 DW304 DY304 DZ304 EB304 EC304 EE304 EF304 EH304 EI304 EK304 EL304 EN304 EO304 EQ304 ER304 ET304 EU304 EW304 EX304 EZ304 FA304 FC304 FD304 FF304 FG304 FI304 FJ304 FL304 FM304 FO304 FP304 FR304 FS304 FU304 FV304 AD306 AE306 AG306 AH306 AJ306 AK306 AM306 AN306 AP306 AQ306 AS306 AT306 AV306 AW306 AY306 AZ306 BB306 BC306 BE306 BF306 BH306 BI306 BK306 BL306 BN306 BO306 BQ306 BR306 BT306 BU306 BW306 BX306 BZ306 CA306 CC306 CD306 CF306 CG306 CI306 CJ306 CL306 CM306 CO306 CP306 CR306 CS306 CU306 CV306 CX306 CY306 DA306 DB306 DD306 DE306 DG306 DH306 DJ306 DK306 DM306 DN306 DP306 DQ306 DS306 DT306 DV306 DW306 DY306 DZ306 EB306 EC306 EE306 EF306 EH306 EI306 EK306 EL306 EN306 EO306 EQ306 ER306 ET306 EU306 EW306 EX306 EZ306 FA306 FC306 FD306 FF306 FG306 FI306 FJ306 FL306 FM306 FO306 FP306 FR306 FS306 FU306 FV306 AD307 AE307 AG307 AH307 AJ307 AK307 AM307 AN307 AP307 AQ307 AS307 AT307 AV307 AW307 AY307 AZ307 BB307 BC307 BE307 BF307 BH307 BI307 BK307 BL307 BN307 BO307 BQ307 BR307 BT307 BU307 BW307 BX307 BZ307 CA307 CC307 CD307 CF307 CG307 CI307 CJ307 CL307 CM307 CO307 CP307 CR307 CS307 CU307 CV307 CX307 CY307 DA307 DB307 DD307 DE307 DG307 DH307 DJ307 DK307 DM307 DN307 DP307 DQ307 DS307 DT307 DV307 DW307 DY307 DZ307 EB307 EC307 EE307 EF307 EH307 EI307 EK307 EL307 EN307 EO307 EQ307 ER307 ET307 EU307 EW307 EX307 EZ307 FA307 FC307 FD307 FF307 FG307 FI307 FJ307 FL307 FM307 FO307 FP307 FR307 FS307 FU307 FV307 AD309 AE309 AG309 AH309 AJ309 AK309 AM309 AN309 AP309 AQ309 AS309 AT309 AV309 AW309 AY309 AZ309 BB309 BC309 BE309 BF309 BH309 BI309 BK309 BL309 BN309 BO309 BQ309 BR309 BT309 BU309 BW309 BX309 BZ309 CA309 CC309 CD309 CF309 CG309 CI309 CJ309 CL309 CM309 CO309 CP309 CR309 CS309 CU309 CV309 CX309 CY309 DA309 DB309 DD309 DE309 DG309 DH309 DJ309 DK309 DM309 DN309 DP309 DQ309 DS309 DT309 DV309 DW309 DY309 DZ309 EB309 EC309 EE309 EF309 EH309 EI309 EK309 EL309 EN309 EO309 EQ309 ER309 ET309 EU309 EW309 EX309 EZ309 FA309 FC309 FD309 FF309 FG309 FI309 FJ309 FL309 FM309 FO309 FP309 FR309 FS309 FU309 FV309 AD310 AE310 AG310 AH310 AJ310 AK310 AM310 AN310 AP310 AQ310 AS310 AT310 AV310 AW310 AY310 AZ310 BB310 BC310 BE310 BF310 BH310 BI310 BK310 BL310 BN310 BO310 BQ310 BR310 BT310 BU310 BW310 BX310 BZ310 CA310 CC310 CD310 CF310 CG310 CI310 CJ310 CL310 CM310 CO310 CP310 CR310 CS310 CU310 CV310 CX310 CY310 DA310 DB310 DD310 DE310 DG310 DH310 DJ310 DK310 DM310 DN310 DP310 DQ310 DS310 DT310 DV310 DW310 DY310 DZ310 EB310 EC310 EE310 EF310 EH310 EI310 EK310 EL310 EN310 EO310 EQ310 ER310 ET310 EU310 EW310 EX310 EZ310 FA310 FC310 FD310 FF310 FG310 FI310 FJ310 FL310 FM310 FO310 FP310 FR310 FS310 FU310 FV310 AD312 AE312 AG312 AH312 AJ312 AK312 AM312 AN312 AP312 AQ312 AS312 AT312 AV312 AW312 AY312 AZ312 BB312 BC312 BE312 BF312 BH312 BI312 BK312 BL312 BN312 BO312 BQ312 BR312 BT312 BU312 BW312 BX312 BZ312 CA312 CC312 CD312 CF312 CG312 CI312 CJ312 CL312 CM312 CO312 CP312 CR312 CS312 CU312 CV312 CX312 CY312 DA312 DB312 DD312 DE312 DG312 DH312 DJ312 DK312 DM312 DN312 DP312 DQ312 DS312 DT312 DV312 DW312 DY312 DZ312 EB312 EC312 EE312 EF312 EH312 EI312 EK312 EL312 EN312 EO312 EQ312 ER312 ET312 EU312 EW312 EX312 EZ312 FA312 FC312 FD312 FF312 FG312 FI312 FJ312 FL312 FM312 FO312 FP312 FR312 FS312 FU312 FV312 AD313 AE313 AG313 AH313 AJ313 AK313 AM313 AN313 AP313 AQ313 AS313 AT313 AV313 AW313 AY313 AZ313 BB313 BC313 BE313 BF313 BH313 BI313 BK313 BL313 BN313 BO313 BQ313 BR313 BT313 BU313 BW313 BX313 BZ313 CA313 CC313 CD313 CF313 CG313 CI313 CJ313 CL313 CM313 CO313 CP313 CR313 CS313 CU313 CV313 CX313 CY313 DA313 DB313 DD313 DE313 DG313 DH313 DJ313 DK313 DM313 DN313 DP313 DQ313 DS313 DT313 DV313 DW313 DY313 DZ313 EB313 EC313 EE313 EF313 EH313 EI313 EK313 EL313 EN313 EO313 EQ313 ER313 ET313 EU313 EW313 EX313 EZ313 FA313 FC313 FD313 FF313 FG313 FI313 FJ313 FL313 FM313 FO313 FP313 FR313 FS313 FU313 FV313 AD315 AE315 AG315 AH315 AJ315 AK315 AM315 AN315 AP315 AQ315 AS315 AT315 AV315 AW315 AY315 AZ315 BB315 BC315 BE315 BF315 BH315 BI315 BK315 BL315 BN315 BO315 BQ315 BR315 BT315 BU315 BW315 BX315 BZ315 CA315 CC315 CD315 CF315 CG315 CI315 CJ315 CL315 CM315 CO315 CP315 CR315 CS315 CU315 CV315 CX315 CY315 DA315 DB315 DD315 DE315 DG315 DH315 DJ315 DK315 DM315 DN315 DP315 DQ315 DS315 DT315 DV315 DW315 DY315 DZ315 EB315 EC315 EE315 EF315 EH315 EI315 EK315 EL315 EN315 EO315 EQ315 ER315 ET315 EU315 EW315 EX315 EZ315 FA315 FC315 FD315 FF315 FG315 FI315 FJ315 FL315 FM315 FO315 FP315 FR315 FS315 FU315 FV315 AD316 AE316 AG316 AH316 AJ316 AK316 AM316 AN316 AP316 AQ316 AS316 AT316 AV316 AW316 AY316 AZ316 BB316 BC316 BE316 BF316 BH316 BI316 BK316 BL316 BN316 BO316 BQ316 BR316 BT316 BU316 BW316 BX316 BZ316 CA316 CC316 CD316 CF316 CG316 CI316 CJ316 CL316 CM316 CO316 CP316 CR316 CS316 CU316 CV316 CX316 CY316 DA316 DB316 DD316 DE316 DG316 DH316 DJ316 DK316 DM316 DN316 DP316 DQ316 DS316 DT316 DV316 DW316 DY316 DZ316 EB316 EC316 EE316 EF316 EH316 EI316 EK316 EL316 EN316 EO316 EQ316 ER316 ET316 EU316 EW316 EX316 EZ316 FA316 FC316 FD316 FF316 FG316 FI316 FJ316 FL316 FM316 FO316 FP316 FR316 FS316 FU316 FV316 AD318 AE318 AG318 AH318 AJ318 AK318 AM318 AN318 AP318 AQ318 AS318 AT318 AV318 AW318 AY318 AZ318 BB318 BC318 BE318 BF318 BH318 BI318 BK318 BL318 BN318 BO318 BQ318 BR318 BT318 BU318 BW318 BX318 BZ318 CA318 CC318 CD318 CF318 CG318 CI318 CJ318 CL318 CM318 CO318 CP318 CR318 CS318 CU318 CV318 CX318 CY318 DA318 DB318 DD318 DE318 DG318 DH318 DJ318 DK318 DM318 DN318 DP318 DQ318 DS318 DT318 DV318 DW318 DY318 DZ318 EB318 EC318 EE318 EF318 EH318 EI318 EK318 EL318 EN318 EO318 EQ318 ER318 ET318 EU318 EW318 EX318 EZ318 FA318 FC318 FD318 FF318 FG318 FI318 FJ318 FL318 FM318 FO318 FP318 FR318 FS318 FU318 FV318 AD319 AE319 AG319 AH319 AJ319 AK319 AM319 AN319 AP319 AQ319 AS319 AT319 AV319 AW319 AY319 AZ319 BB319 BC319 BE319 BF319 BH319 BI319 BK319 BL319 BN319 BO319 BQ319 BR319 BT319 BU319 BW319 BX319 BZ319 CA319 CC319 CD319 CF319 CG319 CI319 CJ319 CL319 CM319 CO319 CP319 CR319 CS319 CU319 CV319 CX319 CY319 DA319 DB319 DD319 DE319 DG319 DH319 DJ319 DK319 DM319 DN319 DP319 DQ319 DS319 DT319 DV319 DW319 DY319 DZ319 EB319 EC319 EE319 EF319 EH319 EI319 EK319 EL319 EN319 EO319 EQ319 ER319 ET319 EU319 EW319 EX319 EZ319 FA319 FC319 FD319 FF319 FG319 FI319 FJ319 FL319 FM319 FO319 FP319 FR319 FS319 FU319 FV319 AD321 AE321 AG321 AH321 AJ321 AK321 AM321 AN321 AP321 AQ321 AS321 AT321 AV321 AW321 AY321 AZ321 BB321 BC321 BE321 BF321 BH321 BI321 BK321 BL321 BN321 BO321 BQ321 BR321 BT321 BU321 BW321 BX321 BZ321 CA321 CC321 CD321 CF321 CG321 CI321 CJ321 CL321 CM321 CO321 CP321 CR321 CS321 CU321 CV321 CX321 CY321 DA321 DB321 DD321 DE321 DG321 DH321 DJ321 DK321 DM321 DN321 DP321 DQ321 DS321 DT321 DV321 DW321 DY321 DZ321 EB321 EC321 EE321 EF321 EH321 EI321 EK321 EL321 EN321 EO321 EQ321 ER321 ET321 EU321 EW321 EX321 EZ321 FA321 FC321 FD321 FF321 FG321 FI321 FJ321 FL321 FM321 FO321 FP321 FR321 FS321 FU321 FV321 AD322 AE322 AG322 AH322 AJ322 AK322 AM322 AN322 AP322 AQ322 AS322 AT322 AV322 AW322 AY322 AZ322 BB322 BC322 BE322 BF322 BH322 BI322 BK322 BL322 BN322 BO322 BQ322 BR322 BT322 BU322 BW322 BX322 BZ322 CA322 CC322 CD322 CF322 CG322 CI322 CJ322 CL322 CM322 CO322 CP322 CR322 CS322 CU322 CV322 CX322 CY322 DA322 DB322 DD322 DE322 DG322 DH322 DJ322 DK322 DM322 DN322 DP322 DQ322 DS322 DT322 DV322 DW322 DY322 DZ322 EB322 EC322 EE322 EF322 EH322 EI322 EK322 EL322 EN322 EO322 EQ322 ER322 ET322 EU322 EW322 EX322 EZ322 FA322 FC322 FD322 FF322 FG322 FI322 FJ322 FL322 FM322 FO322 FP322 FR322 FS322 FU322 FV322 AD323 AE323 AG323 AH323 AJ323 AK323 AM323 AN323 AP323 AQ323 AS323 AT323 AV323 AW323 AY323 AZ323 BB323 BC323 BE323 BF323 BH323 BI323 BK323 BL323 BN323 BO323 BQ323 BR323 BT323 BU323 BW323 BX323 BZ323 CA323 CC323 CD323 CF323 CG323 CI323 CJ323 CL323 CM323 CO323 CP323 CR323 CS323 CU323 CV323 CX323 CY323 DA323 DB323 DD323 DE323 DG323 DH323 DJ323 DK323 DM323 DN323 DP323 DQ323 DS323 DT323 DV323 DW323 DY323 DZ323 EB323 EC323 EE323 EF323 EH323 EI323 EK323 EL323 EN323 EO323 EQ323 ER323 ET323 EU323 EW323 EX323 EZ323 FA323 FC323 FD323 FF323 FG323 FI323 FJ323 FL323 FM323 FO323 FP323 FR323 FS323 FU323 FV323 AD324 AE324 AG324 AH324 AJ324 AK324 AM324 AN324 AP324 AQ324 AS324 AT324 AV324 AW324 AY324 AZ324 BB324 BC324 BE324 BF324 BH324 BI324 BK324 BL324 BN324 BO324 BQ324 BR324 BT324 BU324 BW324 BX324 BZ324 CA324 CC324 CD324 CF324 CG324 CI324 CJ324 CL324 CM324 CO324 CP324 CR324 CS324 CU324 CV324 CX324 CY324 DA324 DB324 DD324 DE324 DG324 DH324 DJ324 DK324 DM324 DN324 DP324 DQ324 DS324 DT324 DV324 DW324 DY324 DZ324 EB324 EC324 EE324 EF324 EH324 EI324 EK324 EL324 EN324 EO324 EQ324 ER324 ET324 EU324 EW324 EX324 EZ324 FA324 FC324 FD324 FF324 FG324 FI324 FJ324 FL324 FM324 FO324 FP324 FR324 FS324 FU324 FV324 AD325 AE325 AG325 AH325 AJ325 AK325 AM325 AN325 AP325 AQ325 AS325 AT325 AV325 AW325 AY325 AZ325 BB325 BC325 BE325 BF325 BH325 BI325 BK325 BL325 BN325 BO325 BQ325 BR325 BT325 BU325 BW325 BX325 BZ325 CA325 CC325 CD325 CF325 CG325 CI325 CJ325 CL325 CM325 CO325 CP325 CR325 CS325 CU325 CV325 CX325 CY325 DA325 DB325 DD325 DE325 DG325 DH325 DJ325 DK325 DM325 DN325 DP325 DQ325 DS325 DT325 DV325 DW325 DY325 DZ325 EB325 EC325 EE325 EF325 EH325 EI325 EK325 EL325 EN325 EO325 EQ325 ER325 ET325 EU325 EW325 EX325 EZ325 FA325 FC325 FD325 FF325 FG325 FI325 FJ325 FL325 FM325 FO325 FP325 FR325 FS325 FU325 FV325 AD327 AE327 AG327 AH327 AJ327 AK327 AM327 AN327 AP327 AQ327 AS327 AT327 AV327 AW327 AY327 AZ327 BB327 BC327 BE327 BF327 BH327 BI327 BK327 BL327 BN327 BO327 BQ327 BR327 BT327 BU327 BW327 BX327 BZ327 CA327 CC327 CD327 CF327 CG327 CI327 CJ327 CL327 CM327 CO327 CP327 CR327 CS327 CU327 CV327 CX327 CY327 DA327 DB327 DD327 DE327 DG327 DH327 DJ327 DK327 DM327 DN327 DP327 DQ327 DS327 DT327 DV327 DW327 DY327 DZ327 EB327 EC327 EE327 EF327 EH327 EI327 EK327 EL327 EN327 EO327 EQ327 ER327 ET327 EU327 EW327 EX327 EZ327 FA327 FC327 FD327 FF327 FG327 FI327 FJ327 FL327 FM327 FO327 FP327 FR327 FS327 FU327 FV327 AD328:AD334 AE328:AE334 AG328:AG334 AH328:AH334 AJ328:AJ334 AK328:AK334 AM328:AM334 AN328:AN334 AP328:AP334 AQ328:AQ334 AS328:AS334 AT328:AT334 AV328:AV334 AW328:AW334 AY328:AY334 AZ328:AZ334 BB328:BB334 BC328:BC334 BE328:BE334 BF328:BF334 BH328:BH334 BI328:BI334 BK328:BK334 BL328:BL334 BN328:BN334 BO328:BO334 BQ328:BQ334 BR328:BR334 BT328:BT334 BU328:BU334 BW328:BW334 BX328:BX334 BZ328:BZ334 CA328:CA334 CC328:CC334 CD328:CD334 CF328:CF334 CG328:CG334 CI328:CI334 CJ328:CJ334 CL328:CL334 CM328:CM334 CO328:CO334 CP328:CP334 CR328:CR334 CS328:CS334 CU328:CU334 CV328:CV334 CX328:CX334 CY328:CY334 DA328:DA334 DB328:DB334 DD328:DD334 DE328:DE334 DG328:DG334 DH328:DH334 DJ328:DJ334 DK328:DK334 DM328:DM334 DN328:DN334 DP328:DP334 DQ328:DQ334 DS328:DS334 DT328:DT334 DV328:DV334 DW328:DW334 DY328:DY334 DZ328:DZ334 EB328:EB334 EC328:EC334 EE328:EE334 EF328:EF334 EH328:EH334 EI328:EI334 EK328:EK334 EL328:EL334 EN328:EN334 EO328:EO334 EQ328:EQ334 ER328:ER334 ET328:ET334 EU328:EU334 EW328:EW334 EX328:EX334 EZ328:EZ334 FA328:FA334 FC328:FC334 FD328:FD334 FF328:FF334 FG328:FG334 FI328:FI334 FJ328:FJ334 FL328:FL334 FM328:FM334 FO328:FO334 FP328:FP334 FR328:FR334 FS328:FS334 FU328:FU334 FV328:FV334 AD337 AE337 AG337 AH337 AJ337 AK337 AM337 AN337 AP337 AQ337 AS337 AT337 AV337 AW337 AY337 AZ337 BB337 BC337 BE337 BF337 BH337 BI337 BK337 BL337 BN337 BO337 BQ337 BR337 BT337 BU337 BW337 BX337 BZ337 CA337 CC337 CD337 CF337 CG337 CI337 CJ337 CL337 CM337 CO337 CP337 CR337 CS337 CU337 CV337 CX337 CY337 DA337 DB337 DD337 DE337 DG337 DH337 DJ337 DK337 DM337 DN337 DP337 DQ337 DS337 DT337 DV337 DW337 DY337 DZ337 EB337 EC337 EE337 EF337 EH337 EI337 EK337 EL337 EN337 EO337 EQ337 ER337 ET337 EU337 EW337 EX337 EZ337 FA337 FC337 FD337 FF337 FG337 FI337 FJ337 FL337 FM337 FO337 FP337 FR337 FS337 FU337 FV337 AD338 AE338 AG338 AH338 AJ338 AK338 AM338 AN338 AP338 AQ338 AS338 AT338 AV338 AW338 AY338 AZ338 BB338 BC338 BE338 BF338 BH338 BI338 BK338 BL338 BN338 BO338 BQ338 BR338 BT338 BU338 BW338 BX338 BZ338 CA338 CC338 CD338 CF338 CG338 CI338 CJ338 CL338 CM338 CO338 CP338 CR338 CS338 CU338 CV338 CX338 CY338 DA338 DB338 DD338 DE338 DG338 DH338 DJ338 DK338 DM338 DN338 DP338 DQ338 DS338 DT338 DV338 DW338 DY338 DZ338 EB338 EC338 EE338 EF338 EH338 EI338 EK338 EL338 EN338 EO338 EQ338 ER338 ET338 EU338 EW338 EX338 EZ338 FA338 FC338 FD338 FF338 FG338 FI338 FJ338 FL338 FM338 FO338 FP338 FR338 FS338 FU338 FV338 AD341 AE341 AG341 AH341 AJ341 AK341 AM341 AN341 AP341 AQ341 AS341 AT341 AV341 AW341 AY341 AZ341 BB341 BC341 BE341 BF341 BH341 BI341 BK341 BL341 BN341 BO341 BQ341 BR341 BT341 BU341 BW341 BX341 BZ341 CA341 CC341 CD341 CF341 CG341 CI341 CJ341 CL341 CM341 CO341 CP341 CR341 CS341 CU341 CV341 CX341 CY341 DA341 DB341 DD341 DE341 DG341 DH341 DJ341 DK341 DM341 DN341 DP341 DQ341 DS341 DT341 DV341 DW341 DY341 DZ341 EB341 EC341 EE341 EF341 EH341 EI341 EK341 EL341 EN341 EO341 EQ341 ER341 ET341 EU341 EW341 EX341 EZ341 FA341 FC341 FD341 FF341 FG341 FI341 FJ341 FL341 FM341 FO341 FP341 FR341 FS341 FU341 FV341">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7A21CE-71B2-20A8-5675-FE8EC337AB99}" mc:Ignorable="x14ac xr xr2 xr3">
  <sheetPr>
    <tabColor rgb="FF92D050"/>
    <outlinePr summaryBelow="0"/>
  </sheetPr>
  <dimension ref="A1:AV45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5"/>
  <cols>
    <col min="1" max="1" style="1741" width="4.00390625" hidden="1" customWidth="1"/>
    <col min="2" max="2" style="1741" width="11.00390625" hidden="1" customWidth="1"/>
    <col min="3" max="4" style="1741" width="4.00390625" hidden="1" customWidth="1"/>
    <col min="5" max="5" style="1059" width="4.00390625" hidden="1" customWidth="1"/>
    <col min="6" max="6" style="1741" width="4.00390625" hidden="1" customWidth="1"/>
    <col min="7" max="7" style="1741" width="10.140625" hidden="1" customWidth="1"/>
    <col min="8" max="8" style="1741" width="10.421875" hidden="1" customWidth="1"/>
    <col min="9" max="15" style="1741" width="4.00390625" hidden="1" customWidth="1"/>
    <col min="16" max="16" style="1741" width="3.7109375" hidden="1" customWidth="1"/>
    <col min="17" max="19" style="1741" width="4.00390625" hidden="1" customWidth="1"/>
    <col min="20" max="20" style="1741" width="8.57421875" hidden="1" customWidth="1"/>
    <col min="21" max="21" style="1741" width="5.8515625" hidden="1" customWidth="1"/>
    <col min="22" max="23" style="1741" width="6.140625" hidden="1" customWidth="1"/>
    <col min="24" max="24" style="1741" width="5.7109375" hidden="1" customWidth="1"/>
    <col min="25" max="25" style="1741" width="5.57421875" hidden="1" customWidth="1"/>
    <col min="26" max="26" style="1741" width="5.28125" hidden="1" customWidth="1"/>
    <col min="27" max="27" style="1741" width="3.00390625" customWidth="1"/>
    <col min="28" max="28" style="1741" width="11.00390625" customWidth="1"/>
    <col min="29" max="29" style="1741" width="75.00390625" customWidth="1"/>
    <col min="30" max="30" style="1741" width="11.29296875" customWidth="1"/>
    <col min="31" max="33" style="1741" width="13.00390625" hidden="1" customWidth="1"/>
    <col min="34" max="34" style="1741" width="15.140625" hidden="1" customWidth="1"/>
    <col min="35" max="35" style="1741" width="13.00390625" hidden="1" customWidth="1"/>
    <col min="36" max="37" style="1741" width="13.00390625" customWidth="1"/>
    <col min="38" max="38" style="1741" width="23.57421875" customWidth="1"/>
    <col min="39" max="40" style="1741" width="20.00390625" customWidth="1"/>
    <col min="41" max="41" style="1741" width="32.7109375" customWidth="1"/>
    <col min="42" max="42" style="1741" width="3.00390625" customWidth="1"/>
    <col min="43" max="43" style="1741" width="9.140625" hidden="1"/>
    <col min="44" max="46" style="1062" width="9.140625" hidden="1"/>
    <col min="47" max="48" style="1059" width="9.140625" hidden="1"/>
  </cols>
  <sheetData>
    <row customHeight="1" ht="15" hidden="1">
      <c r="E1" s="577"/>
      <c r="F1" s="971" t="s">
        <v>321</v>
      </c>
      <c r="I1" s="971" t="s">
        <v>331</v>
      </c>
      <c r="J1" s="971" t="s">
        <v>357</v>
      </c>
      <c r="T1" s="465" t="s">
        <v>93</v>
      </c>
      <c r="U1" s="465" t="s">
        <v>98</v>
      </c>
      <c r="V1" s="465" t="s">
        <v>94</v>
      </c>
      <c r="W1" s="465" t="s">
        <v>95</v>
      </c>
      <c r="X1" s="465" t="s">
        <v>96</v>
      </c>
      <c r="Y1" s="467" t="s">
        <v>323</v>
      </c>
      <c r="Z1" s="465" t="s">
        <v>100</v>
      </c>
      <c r="AA1" s="467" t="s">
        <v>97</v>
      </c>
      <c r="AC1" s="466" t="s">
        <v>99</v>
      </c>
      <c r="AE1" s="1741"/>
      <c r="AF1" s="1741"/>
      <c r="AG1" s="1741"/>
      <c r="AH1" s="1741"/>
      <c r="AI1" s="1741"/>
      <c r="AR1" s="1062" t="s">
        <v>324</v>
      </c>
      <c r="AS1" s="1062" t="s">
        <v>325</v>
      </c>
      <c r="AT1" s="1062" t="s">
        <v>326</v>
      </c>
      <c r="AU1" s="1059" t="s">
        <v>329</v>
      </c>
      <c r="AV1" s="1059" t="s">
        <v>330</v>
      </c>
    </row>
    <row customHeight="1" ht="15" hidden="1">
      <c r="B2" s="1225" t="s">
        <v>19</v>
      </c>
      <c r="E2" s="577"/>
      <c r="AE2" s="579">
        <f>FIRST_TIME_REG="нет"</f>
        <v>0</v>
      </c>
      <c r="AF2" s="579">
        <f>AND(FIRST_TIME_REG="нет",isOrgDeclare)</f>
        <v>0</v>
      </c>
      <c r="AG2" s="579">
        <f>FIRST_TIME_REG="нет"</f>
        <v>0</v>
      </c>
      <c r="AH2" s="579">
        <f>AND(FIRST_TIME_REG="нет",isOrgDeclare)</f>
        <v>0</v>
      </c>
      <c r="AI2" s="579">
        <f>FIRST_TIME_REG="нет"</f>
        <v>0</v>
      </c>
      <c r="AJ2" s="1385" cm="1" t="str">
        <f t="array" ref="AJ2:AJ2">isOrgDeclare</f>
        <v>true</v>
      </c>
    </row>
    <row customHeight="1" ht="15" hidden="1">
      <c r="E3" s="577"/>
      <c r="AE3" s="1741"/>
      <c r="AF3" s="1741"/>
      <c r="AG3" s="1741"/>
      <c r="AH3" s="1741"/>
      <c r="AI3" s="1741"/>
    </row>
    <row customHeight="1" ht="15" hidden="1">
      <c r="E4" s="577"/>
      <c r="AE4" s="1741"/>
      <c r="AF4" s="1741"/>
      <c r="AG4" s="1741"/>
      <c r="AH4" s="1741"/>
      <c r="AI4" s="1741"/>
    </row>
    <row s="1059" customFormat="1" customHeight="1" ht="15" hidden="1">
      <c r="A5" s="577"/>
      <c r="B5" s="577"/>
      <c r="C5" s="577"/>
      <c r="D5" s="577"/>
      <c r="E5" s="695" t="s">
        <v>20</v>
      </c>
      <c r="AA5" s="695">
        <v>3</v>
      </c>
      <c r="AB5" s="695">
        <v>11</v>
      </c>
      <c r="AC5" s="695">
        <v>75</v>
      </c>
      <c r="AD5" s="695">
        <v>11.29</v>
      </c>
      <c r="AE5" s="695">
        <v>13</v>
      </c>
      <c r="AF5" s="695">
        <v>13</v>
      </c>
      <c r="AG5" s="695">
        <v>13</v>
      </c>
      <c r="AH5" s="695">
        <v>15.14</v>
      </c>
      <c r="AI5" s="695">
        <v>13</v>
      </c>
      <c r="AJ5" s="695">
        <v>13</v>
      </c>
      <c r="AK5" s="695">
        <v>13</v>
      </c>
      <c r="AL5" s="695">
        <v>23.57</v>
      </c>
      <c r="AM5" s="695">
        <v>20</v>
      </c>
      <c r="AN5" s="695">
        <v>20</v>
      </c>
      <c r="AO5" s="695">
        <v>32.71</v>
      </c>
      <c r="AP5" s="695">
        <v>3</v>
      </c>
      <c r="AR5" s="1060"/>
      <c r="AS5" s="1060"/>
      <c r="AT5" s="1060"/>
    </row>
    <row customHeight="1" ht="11.25" hidden="1">
      <c r="A6" s="1081" t="s">
        <v>2428</v>
      </c>
      <c r="AE6" s="1741"/>
      <c r="AF6" s="1741"/>
      <c r="AG6" s="1741"/>
      <c r="AH6" s="1741"/>
      <c r="AI6" s="1741"/>
      <c r="AM6" s="577" cm="1" t="str">
        <f t="array" ref="AM6:AM6">AM24</f>
        <v>Указание на подтверждающие документы / URL-ссылка на копии подтверждающих документов</v>
      </c>
      <c r="AN6" s="577" cm="1" t="str">
        <f t="array" ref="AN6:AN6">AN24</f>
        <v>Ссылка на правовую норму (основание для принятия показателя в расчет тарифа)</v>
      </c>
      <c r="AO6" s="577" cm="1" t="str">
        <f t="array" ref="AO6:AO6">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customHeight="1" ht="11.25" hidden="1">
      <c r="A7" s="971" t="s">
        <v>360</v>
      </c>
      <c r="AE7" s="578">
        <f>god-2</f>
        <v>2024</v>
      </c>
      <c r="AF7" s="578">
        <f>god-2</f>
        <v>2024</v>
      </c>
      <c r="AG7" s="578">
        <f>god-2</f>
        <v>2024</v>
      </c>
      <c r="AH7" s="578">
        <f>god-2</f>
        <v>2024</v>
      </c>
      <c r="AI7" s="579">
        <f>god-1</f>
        <v>2025</v>
      </c>
      <c r="AJ7" s="579" cm="1" t="str">
        <f t="array" ref="AJ7:AJ7">god</f>
        <v>2026</v>
      </c>
      <c r="AK7" s="579" cm="1" t="str">
        <f t="array" ref="AK7:AK7">god</f>
        <v>2026</v>
      </c>
    </row>
    <row customHeight="1" ht="11.25" hidden="1">
      <c r="A8" s="971" t="s">
        <v>361</v>
      </c>
      <c r="AE8" s="579" cm="1" t="str">
        <f t="array" ref="AE8:AE8">AE25</f>
        <v>Принято органом регулирования</v>
      </c>
      <c r="AF8" s="579" cm="1" t="str">
        <f t="array" ref="AF8:AF8">AF25</f>
        <v>Факт по данным организации</v>
      </c>
      <c r="AG8" s="579" cm="1" t="str">
        <f t="array" ref="AG8:AG8">AG25</f>
        <v>Факт, принятый органом регулирования</v>
      </c>
      <c r="AH8" s="579" cm="1" t="str">
        <f t="array" ref="AH8:AH8">AH25</f>
        <v>отклонение факта по данным организации к факту принятому органом регулирования</v>
      </c>
      <c r="AI8" s="579" cm="1" t="str">
        <f t="array" ref="AI8:AI8">AI25</f>
        <v>Принято органом регулирования</v>
      </c>
      <c r="AJ8" s="579" cm="1" t="str">
        <f t="array" ref="AJ8:AJ8">AJ25</f>
        <v>Предложение организации</v>
      </c>
      <c r="AK8" s="579" cm="1" t="str">
        <f t="array" ref="AK8:AK8">AK25</f>
        <v>Принято органом регулирования</v>
      </c>
    </row>
    <row customHeight="1" ht="11.25" hidden="1">
      <c r="AE9" s="579" t="str">
        <f>AE7&amp;AE8</f>
        <v>2024Принято органом регулирования</v>
      </c>
      <c r="AF9" s="579" t="str">
        <f>AF7&amp;AF8</f>
        <v>2024Факт по данным организации</v>
      </c>
      <c r="AG9" s="579" t="str">
        <f>AG7&amp;AG8</f>
        <v>2024Факт, принятый органом регулирования</v>
      </c>
      <c r="AH9" s="579" t="str">
        <f>AH7&amp;AH8</f>
        <v>2024отклонение факта по данным организации к факту принятому органом регулирования</v>
      </c>
      <c r="AI9" s="579" t="str">
        <f>AI7&amp;AI8</f>
        <v>2025Принято органом регулирования</v>
      </c>
      <c r="AJ9" s="579" t="str">
        <f>AJ7&amp;AJ8</f>
        <v>2026Предложение организации</v>
      </c>
      <c r="AK9" s="579" t="str">
        <f>AK7&amp;AK8</f>
        <v>2026Принято органом регулирования</v>
      </c>
    </row>
    <row s="1062" customFormat="1" customHeight="1" ht="11.25" hidden="1">
      <c r="A10" s="1226" t="s">
        <v>365</v>
      </c>
      <c r="AE10" s="1061" cm="1" t="str">
        <f t="array" ref="AE10:AE10">AE7</f>
        <v>2024</v>
      </c>
      <c r="AF10" s="1061" cm="1" t="str">
        <f t="array" ref="AF10:AF10">AF7</f>
        <v>2024</v>
      </c>
      <c r="AG10" s="1061" cm="1" t="str">
        <f t="array" ref="AG10:AG10">AG7</f>
        <v>2024</v>
      </c>
      <c r="AH10" s="1061" cm="1" t="str">
        <f t="array" ref="AH10:AH10">AH7</f>
        <v>2024</v>
      </c>
      <c r="AI10" s="1061" cm="1" t="str">
        <f t="array" ref="AI10:AI10">AI7</f>
        <v>2025</v>
      </c>
      <c r="AJ10" s="1061" cm="1" t="str">
        <f t="array" ref="AJ10:AJ10">AJ7</f>
        <v>2026</v>
      </c>
      <c r="AK10" s="1061" cm="1" t="str">
        <f t="array" ref="AK10:AK10">AK7</f>
        <v>2026</v>
      </c>
      <c r="AL10" s="1061"/>
      <c r="AU10" s="695"/>
      <c r="AV10" s="695"/>
    </row>
    <row s="1062" customFormat="1" customHeight="1" ht="11.25" hidden="1">
      <c r="A11" s="997" t="s">
        <v>366</v>
      </c>
      <c r="AE11" s="1061" cm="1" t="str">
        <f t="array" ref="AE11:AE11">AE25</f>
        <v>Принято органом регулирования</v>
      </c>
      <c r="AF11" s="1061" cm="1" t="str">
        <f t="array" ref="AF11:AF11">AF25</f>
        <v>Факт по данным организации</v>
      </c>
      <c r="AG11" s="1061" cm="1" t="str">
        <f t="array" ref="AG11:AG11">AG25</f>
        <v>Факт, принятый органом регулирования</v>
      </c>
      <c r="AH11" s="1061" cm="1" t="str">
        <f t="array" ref="AH11:AH11">AH25</f>
        <v>отклонение факта по данным организации к факту принятому органом регулирования</v>
      </c>
      <c r="AI11" s="1061" cm="1" t="str">
        <f t="array" ref="AI11:AI11">AI25</f>
        <v>Принято органом регулирования</v>
      </c>
      <c r="AJ11" s="1061" cm="1" t="str">
        <f t="array" ref="AJ11:AJ11">AJ25</f>
        <v>Предложение организации</v>
      </c>
      <c r="AK11" s="1061" cm="1" t="str">
        <f t="array" ref="AK11:AK11">AK25</f>
        <v>Принято органом регулирования</v>
      </c>
      <c r="AL11" s="1061" cm="1" t="str">
        <f t="array" ref="AL11:AL11">AL24</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1" s="695"/>
      <c r="AV11" s="695"/>
    </row>
    <row s="1062" customFormat="1" customHeight="1" ht="11.25" hidden="1">
      <c r="A12" s="997" t="s">
        <v>367</v>
      </c>
      <c r="AE12" s="1061"/>
      <c r="AF12" s="1061"/>
      <c r="AG12" s="1061"/>
      <c r="AH12" s="1061"/>
      <c r="AI12" s="1061"/>
      <c r="AJ12" s="1061"/>
      <c r="AK12" s="1061"/>
      <c r="AM12" s="1060" cm="1" t="str">
        <f t="array" ref="AM12:AM12">AM24</f>
        <v>Указание на подтверждающие документы / URL-ссылка на копии подтверждающих документов</v>
      </c>
      <c r="AN12" s="1060" cm="1" t="str">
        <f t="array" ref="AN12:AN12">AN24</f>
        <v>Ссылка на правовую норму (основание для принятия показателя в расчет тарифа)</v>
      </c>
      <c r="AO12" s="1060" cm="1" t="str">
        <f t="array" ref="AO12:AO12">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2" s="695"/>
      <c r="AV12" s="695"/>
    </row>
    <row s="1062" customFormat="1" customHeight="1" ht="11.25" hidden="1">
      <c r="A13" s="1062" t="s">
        <v>338</v>
      </c>
      <c r="AC13" s="1062" t="s">
        <v>326</v>
      </c>
      <c r="AE13" s="1061"/>
      <c r="AF13" s="1061"/>
      <c r="AG13" s="1061"/>
      <c r="AH13" s="1061"/>
      <c r="AI13" s="1061"/>
      <c r="AJ13" s="1061"/>
      <c r="AK13" s="1061"/>
      <c r="AU13" s="695"/>
      <c r="AV13" s="695"/>
    </row>
    <row customHeight="1" ht="11.25" hidden="1">
      <c r="AE14" s="1741"/>
      <c r="AF14" s="1741"/>
      <c r="AG14" s="1741"/>
      <c r="AH14" s="1741"/>
      <c r="AI14" s="1741"/>
    </row>
    <row customHeight="1" ht="11.25" hidden="1">
      <c r="AE15" s="1741"/>
      <c r="AF15" s="1741"/>
      <c r="AG15" s="1741"/>
      <c r="AH15" s="1741"/>
      <c r="AI15" s="1741"/>
    </row>
    <row customHeight="1" ht="11.25" hidden="1">
      <c r="AE16" s="1741"/>
      <c r="AF16" s="1741"/>
      <c r="AG16" s="1741"/>
      <c r="AH16" s="1741"/>
      <c r="AI16" s="1741"/>
    </row>
    <row customHeight="1" ht="11.25" hidden="1">
      <c r="AE17" s="1741"/>
      <c r="AF17" s="1741"/>
      <c r="AG17" s="1741"/>
      <c r="AH17" s="1741"/>
      <c r="AI17" s="1741"/>
      <c r="AJ17" s="517"/>
    </row>
    <row customHeight="1" ht="11.25" hidden="1">
      <c r="A18" s="729" t="s">
        <v>368</v>
      </c>
      <c r="AC18" s="729" t="s">
        <v>369</v>
      </c>
      <c r="AE18" s="1741"/>
      <c r="AF18" s="1741"/>
      <c r="AG18" s="1741"/>
      <c r="AH18" s="1741"/>
      <c r="AI18" s="1741"/>
    </row>
    <row customHeight="1" ht="11.25" hidden="1">
      <c r="AE19" s="1741"/>
      <c r="AF19" s="1741"/>
      <c r="AG19" s="1741"/>
      <c r="AH19" s="1741"/>
      <c r="AI19" s="1741"/>
    </row>
    <row customHeight="1" ht="11.25" hidden="1">
      <c r="AE20" s="1741"/>
      <c r="AF20" s="1741"/>
      <c r="AG20" s="1741"/>
      <c r="AH20" s="1741"/>
      <c r="AI20" s="1741"/>
    </row>
    <row customHeight="1" ht="14.625">
      <c r="E21" s="695">
        <v>15</v>
      </c>
      <c r="AA21" s="694"/>
      <c r="AC21" s="580" cm="1" t="str">
        <f t="array" ref="AC21:AC21">tpl_title</f>
        <v>Кемеровская область / 2026 / ООО "Теплоэнерго" (ИНН:4214046200, КПП:421401001) / ДПР: 2026-2030</v>
      </c>
      <c r="AE21" s="1741"/>
      <c r="AF21" s="1741"/>
      <c r="AG21" s="1741"/>
      <c r="AH21" s="1741"/>
      <c r="AI21" s="1741"/>
    </row>
    <row customHeight="1" ht="19.5">
      <c r="E22" s="695">
        <v>20</v>
      </c>
      <c r="AB22" s="581" t="s">
        <v>2429</v>
      </c>
      <c r="AC22" s="582"/>
      <c r="AD22" s="582"/>
      <c r="AE22" s="582"/>
      <c r="AF22" s="582"/>
      <c r="AG22" s="582"/>
      <c r="AH22" s="582"/>
      <c r="AI22" s="582"/>
      <c r="AJ22" s="582"/>
      <c r="AK22" s="582"/>
      <c r="AL22" s="582"/>
      <c r="AM22" s="582"/>
      <c r="AN22" s="582"/>
      <c r="AO22" s="582"/>
    </row>
    <row customHeight="1" ht="14.625">
      <c r="E23" s="695">
        <v>15</v>
      </c>
      <c r="AB23" s="583"/>
      <c r="AC23" s="583"/>
      <c r="AD23" s="583"/>
      <c r="AE23" s="583"/>
      <c r="AF23" s="583"/>
      <c r="AG23" s="583"/>
      <c r="AH23" s="583"/>
      <c r="AI23" s="583"/>
      <c r="AJ23" s="583"/>
      <c r="AK23" s="583"/>
      <c r="AL23" s="583"/>
      <c r="AM23" s="583"/>
      <c r="AN23" s="583"/>
      <c r="AO23" s="583"/>
    </row>
    <row customHeight="1" ht="25.59375">
      <c r="E24" s="695">
        <v>26.25</v>
      </c>
      <c r="AB24" s="1580" t="s">
        <v>22</v>
      </c>
      <c r="AC24" s="1580" t="s">
        <v>369</v>
      </c>
      <c r="AD24" s="1580" t="s">
        <v>370</v>
      </c>
      <c r="AE24" s="584" t="str">
        <f>god-2&amp;" год"</f>
        <v>2024 год</v>
      </c>
      <c r="AF24" s="1127" t="str">
        <f>god-2&amp;" год"</f>
        <v>2024 год</v>
      </c>
      <c r="AG24" s="584" t="str">
        <f>god-2&amp;" год"</f>
        <v>2024 год</v>
      </c>
      <c r="AH24" s="584" t="str">
        <f>god-2&amp;" год"</f>
        <v>2024 год</v>
      </c>
      <c r="AI24" s="585" t="str">
        <f>god-1&amp;" год"</f>
        <v>2025 год</v>
      </c>
      <c r="AJ24" s="1129" t="str">
        <f>god&amp;" год"</f>
        <v>2026 год</v>
      </c>
      <c r="AK24" s="584" t="str">
        <f>god&amp;" год"</f>
        <v>2026 год</v>
      </c>
      <c r="AL24" s="1577" t="s">
        <v>2430</v>
      </c>
      <c r="AM24" s="1592" t="s">
        <v>2431</v>
      </c>
      <c r="AN24" s="1590" t="s">
        <v>1242</v>
      </c>
      <c r="AO24" s="1590" t="s">
        <v>2432</v>
      </c>
    </row>
    <row customHeight="1" ht="77.5125">
      <c r="E25" s="695">
        <v>79.5</v>
      </c>
      <c r="AB25" s="1580"/>
      <c r="AC25" s="1580"/>
      <c r="AD25" s="1580"/>
      <c r="AE25" s="585" t="s">
        <v>362</v>
      </c>
      <c r="AF25" s="1128" t="s">
        <v>1164</v>
      </c>
      <c r="AG25" s="585" t="s">
        <v>1165</v>
      </c>
      <c r="AH25" s="584" t="s">
        <v>2433</v>
      </c>
      <c r="AI25" s="585" t="s">
        <v>362</v>
      </c>
      <c r="AJ25" s="1130" t="s">
        <v>363</v>
      </c>
      <c r="AK25" s="584" t="s">
        <v>362</v>
      </c>
      <c r="AL25" s="1577"/>
      <c r="AM25" s="1592"/>
      <c r="AN25" s="1590"/>
      <c r="AO25" s="1590"/>
    </row>
    <row customHeight="1" ht="11.25" hidden="1">
      <c r="E26" s="695">
        <v>0</v>
      </c>
      <c r="AB26" s="739"/>
      <c r="AC26" s="740"/>
      <c r="AD26" s="740"/>
      <c r="AE26" s="741"/>
      <c r="AF26" s="741"/>
      <c r="AG26" s="741"/>
      <c r="AH26" s="742"/>
      <c r="AI26" s="741"/>
      <c r="AJ26" s="742"/>
      <c r="AK26" s="742"/>
      <c r="AL26" s="743"/>
      <c r="AM26" s="742"/>
      <c r="AN26" s="742"/>
      <c r="AO26" s="742"/>
    </row>
    <row customHeight="1" ht="14.625" hidden="1">
      <c r="A27" s="1741"/>
      <c r="B27" s="1741"/>
      <c r="C27" s="1741"/>
      <c r="D27" s="1741"/>
      <c r="E27" s="695">
        <v>15</v>
      </c>
      <c r="F27" s="579" cm="1" t="str">
        <f t="array" ref="F27:F27">X27</f>
        <v>0</v>
      </c>
      <c r="G27" s="696" cm="1" t="str">
        <f t="array" ref="G27:G27">INDEX('Общие сведения'!$AK$179:$AK$250,MATCH($X27,'Общие сведения'!$Z$179:$Z$250,0))</f>
        <v>0</v>
      </c>
      <c r="H27" s="1741"/>
      <c r="I27" s="1741"/>
      <c r="J27" s="1741"/>
      <c r="K27" s="1741"/>
      <c r="L27" s="1741"/>
      <c r="M27" s="1741"/>
      <c r="N27" s="1741"/>
      <c r="O27" s="1741"/>
      <c r="P27" s="1741"/>
      <c r="Q27" s="1741"/>
      <c r="R27" s="1741"/>
      <c r="S27" s="1741"/>
      <c r="T27" s="465">
        <f>X27&gt;0</f>
        <v>0</v>
      </c>
      <c r="U27" s="1741"/>
      <c r="V27" s="694" t="s">
        <v>265</v>
      </c>
      <c r="W27" s="1741"/>
      <c r="X27" s="1641">
        <v>0</v>
      </c>
      <c r="Y27" s="1741"/>
      <c r="Z27" s="1642"/>
      <c r="AA27" s="1741"/>
      <c r="AB27" s="1227" cm="1" t="str">
        <f t="array" ref="AB27:AB27">INDEX('Общие сведения'!$AG$179:$AG$250,MATCH($X27,'Общие сведения'!$Z$179:$Z$250,0))</f>
        <v>Тариф 0 () - </v>
      </c>
      <c r="AC27" s="586"/>
      <c r="AD27" s="586"/>
      <c r="AE27" s="586"/>
      <c r="AF27" s="586"/>
      <c r="AG27" s="586"/>
      <c r="AH27" s="586"/>
      <c r="AI27" s="586"/>
      <c r="AJ27" s="586"/>
      <c r="AK27" s="586"/>
      <c r="AL27" s="586"/>
      <c r="AM27" s="586"/>
      <c r="AN27" s="586"/>
      <c r="AO27" s="586"/>
      <c r="AP27" s="1741"/>
      <c r="AQ27" s="1741"/>
      <c r="AR27" s="1062"/>
      <c r="AS27" s="1062"/>
      <c r="AT27" s="1062"/>
      <c r="AU27" s="1059"/>
      <c r="AV27" s="1059"/>
    </row>
    <row customHeight="1" ht="14.625" hidden="1">
      <c r="A28" s="1741"/>
      <c r="B28" s="1741"/>
      <c r="C28" s="1741"/>
      <c r="D28" s="1741"/>
      <c r="E28" s="695">
        <v>15</v>
      </c>
      <c r="F28" s="50" cm="1" t="str">
        <f t="array" ref="F28:F28">OFFSET(E28,-1,1)</f>
        <v>0</v>
      </c>
      <c r="G28" s="1741"/>
      <c r="H28" s="1741"/>
      <c r="I28" s="587" t="s">
        <v>332</v>
      </c>
      <c r="J28" s="587"/>
      <c r="K28" s="587"/>
      <c r="L28" s="587"/>
      <c r="M28" s="587"/>
      <c r="N28" s="587"/>
      <c r="O28" s="587"/>
      <c r="P28" s="587"/>
      <c r="Q28" s="587"/>
      <c r="R28" s="587"/>
      <c r="S28" s="587"/>
      <c r="T28" s="465" cm="1" t="str">
        <f t="array" ref="T28:T28">T27</f>
        <v>false</v>
      </c>
      <c r="U28" s="1741"/>
      <c r="V28" s="1741"/>
      <c r="W28" s="1741"/>
      <c r="X28" s="1641"/>
      <c r="Y28" s="1741"/>
      <c r="Z28" s="1642"/>
      <c r="AA28" s="1741"/>
      <c r="AB28" s="799" t="s">
        <v>276</v>
      </c>
      <c r="AC28" s="800" t="s">
        <v>2434</v>
      </c>
      <c r="AD28" s="759" t="s">
        <v>1514</v>
      </c>
      <c r="AE28" s="801">
        <f>AE29+AE33+AE43+AE44+AE47+AE48+AE49</f>
        <v>0</v>
      </c>
      <c r="AF28" s="801">
        <f>AF29+AF33+AF43+AF44+AF47+AF48+AF49</f>
        <v>0</v>
      </c>
      <c r="AG28" s="801">
        <f>AG29+AG33+AG43+AG44+AG47+AG48+AG49</f>
        <v>0</v>
      </c>
      <c r="AH28" s="801">
        <f>AG28-AF28</f>
        <v>0</v>
      </c>
      <c r="AI28" s="801">
        <f>AI29+AI33+AI43+AI44+AI47+AI48+AI49</f>
        <v>0</v>
      </c>
      <c r="AJ28" s="801">
        <f>AJ29+AJ33+AJ43+AJ44+AJ47+AJ48+AJ49</f>
        <v>0</v>
      </c>
      <c r="AK28" s="801">
        <f>AK29+AK33+AK43+AK44+AK47+AK48+AK49</f>
        <v>0</v>
      </c>
      <c r="AL28" s="802">
        <f>IF(AI28=0,0,(AK28-AI28)/AI28*100)</f>
        <v>0</v>
      </c>
      <c r="AM28" s="7153"/>
      <c r="AN28" s="7154"/>
      <c r="AO28" s="7153"/>
      <c r="AP28" s="1741"/>
      <c r="AQ28" s="1741"/>
      <c r="AR28" s="1062" t="s">
        <v>1230</v>
      </c>
      <c r="AS28" s="1062"/>
      <c r="AT28" s="1062"/>
      <c r="AU28" s="1059"/>
      <c r="AV28" s="1059"/>
    </row>
    <row s="588" customFormat="1" customHeight="1" ht="21.9375" hidden="1">
      <c r="A29" s="588"/>
      <c r="B29" s="588"/>
      <c r="C29" s="588"/>
      <c r="D29" s="588"/>
      <c r="E29" s="697">
        <v>22.5</v>
      </c>
      <c r="F29" s="50" cm="1" t="str">
        <f t="array" ref="F29:F29">OFFSET(E29,-1,1)</f>
        <v>0</v>
      </c>
      <c r="G29" s="588"/>
      <c r="H29" s="588"/>
      <c r="I29" s="698" t="s">
        <v>1175</v>
      </c>
      <c r="J29" s="698"/>
      <c r="K29" s="698"/>
      <c r="L29" s="698"/>
      <c r="M29" s="698"/>
      <c r="N29" s="698"/>
      <c r="O29" s="698"/>
      <c r="P29" s="698"/>
      <c r="Q29" s="698"/>
      <c r="R29" s="698"/>
      <c r="S29" s="698"/>
      <c r="T29" s="465" cm="1" t="str">
        <f t="array" ref="T29:T29">T28</f>
        <v>false</v>
      </c>
      <c r="U29" s="588"/>
      <c r="V29" s="588"/>
      <c r="W29" s="588"/>
      <c r="X29" s="1641"/>
      <c r="Y29" s="588"/>
      <c r="Z29" s="1642"/>
      <c r="AA29" s="588"/>
      <c r="AB29" s="804" t="s">
        <v>1628</v>
      </c>
      <c r="AC29" s="805" t="s">
        <v>2435</v>
      </c>
      <c r="AD29" s="590" t="s">
        <v>1514</v>
      </c>
      <c r="AE29" s="801">
        <f>SUM(AE30:AE32)</f>
        <v>0</v>
      </c>
      <c r="AF29" s="801">
        <f>SUM(AF30:AF32)</f>
        <v>0</v>
      </c>
      <c r="AG29" s="801">
        <f>SUM(AG30:AG32)</f>
        <v>0</v>
      </c>
      <c r="AH29" s="801">
        <f>AG29-AF29</f>
        <v>0</v>
      </c>
      <c r="AI29" s="801">
        <f>SUM(AI30:AI32)</f>
        <v>0</v>
      </c>
      <c r="AJ29" s="801">
        <f>SUM(AJ30:AJ32)</f>
        <v>0</v>
      </c>
      <c r="AK29" s="801">
        <f>SUM(AK30:AK32)</f>
        <v>0</v>
      </c>
      <c r="AL29" s="801">
        <f>IF(AI29=0,0,(AK29-AI29)/AI29*100)</f>
        <v>0</v>
      </c>
      <c r="AM29" s="7159"/>
      <c r="AN29" s="7159"/>
      <c r="AO29" s="7159"/>
      <c r="AP29" s="588"/>
      <c r="AQ29" s="588"/>
      <c r="AR29" s="1063" t="s">
        <v>2436</v>
      </c>
      <c r="AS29" s="1063"/>
      <c r="AT29" s="1063"/>
      <c r="AU29" s="697"/>
      <c r="AV29" s="697"/>
    </row>
    <row customHeight="1" ht="14.625" hidden="1">
      <c r="A30" s="1741"/>
      <c r="B30" s="1741"/>
      <c r="C30" s="1741"/>
      <c r="D30" s="1741"/>
      <c r="E30" s="695">
        <v>15</v>
      </c>
      <c r="F30" s="50" cm="1" t="str">
        <f t="array" ref="F30:F30">OFFSET(E30,-1,1)</f>
        <v>0</v>
      </c>
      <c r="G30" s="1741"/>
      <c r="H30" s="1741"/>
      <c r="I30" s="587" t="s">
        <v>1735</v>
      </c>
      <c r="J30" s="587"/>
      <c r="K30" s="587"/>
      <c r="L30" s="587"/>
      <c r="M30" s="587"/>
      <c r="N30" s="587"/>
      <c r="O30" s="587"/>
      <c r="P30" s="587"/>
      <c r="Q30" s="587"/>
      <c r="R30" s="587"/>
      <c r="S30" s="587"/>
      <c r="T30" s="465" cm="1" t="str">
        <f t="array" ref="T30:T30">T29</f>
        <v>false</v>
      </c>
      <c r="U30" s="1741"/>
      <c r="V30" s="1741"/>
      <c r="W30" s="1741"/>
      <c r="X30" s="1641"/>
      <c r="Y30" s="1741"/>
      <c r="Z30" s="1642"/>
      <c r="AA30" s="1741"/>
      <c r="AB30" s="807" t="s">
        <v>1736</v>
      </c>
      <c r="AC30" s="808" t="s">
        <v>2437</v>
      </c>
      <c r="AD30" s="759" t="s">
        <v>1514</v>
      </c>
      <c r="AE30" s="802">
        <f>_xlfn.SUMIFS('Сырье и материалы'!AE$25:AE$162,'Сырье и материалы'!$F$25:$F$162,$F30,'Сырье и материалы'!$I$25:$I$162,"Реагенты")</f>
        <v>0</v>
      </c>
      <c r="AF30" s="802">
        <f>_xlfn.SUMIFS('Сырье и материалы'!AF$25:AF$162,'Сырье и материалы'!$F$25:$F$162,$F30,'Сырье и материалы'!$I$25:$I$162,"Реагенты")</f>
        <v>0</v>
      </c>
      <c r="AG30" s="802">
        <f>_xlfn.SUMIFS('Сырье и материалы'!AG$25:AG$162,'Сырье и материалы'!$F$25:$F$162,$F30,'Сырье и материалы'!$I$25:$I$162,"Реагенты")</f>
        <v>0</v>
      </c>
      <c r="AH30" s="802">
        <f>AG30-AF30</f>
        <v>0</v>
      </c>
      <c r="AI30" s="802">
        <f>_xlfn.SUMIFS('Сырье и материалы'!AH$25:AH$162,'Сырье и материалы'!$F$25:$F$162,$F30,'Сырье и материалы'!$I$25:$I$162,"Реагенты")</f>
        <v>0</v>
      </c>
      <c r="AJ30" s="802">
        <f>_xlfn.SUMIFS('Сырье и материалы'!AI$25:AI$162,'Сырье и материалы'!$F$25:$F$162,$F30,'Сырье и материалы'!$I$25:$I$162,"Реагенты")</f>
        <v>0</v>
      </c>
      <c r="AK30" s="802">
        <f>_xlfn.SUMIFS('Сырье и материалы'!AS$25:AS$162,'Сырье и материалы'!$F$25:$F$162,$F30,'Сырье и материалы'!$I$25:$I$162,"Реагенты")</f>
        <v>0</v>
      </c>
      <c r="AL30" s="802">
        <f>IF(AI30=0,0,(AK30-AI30)/AI30*100)</f>
        <v>0</v>
      </c>
      <c r="AM30" s="7153"/>
      <c r="AN30" s="7154" t="str">
        <f>IF(_xlfn.IFERROR(INDEX('Сырье и материалы'!$K$26:$L$162,MATCH($F30&amp;"komm",'Сырье и материалы'!$K$26:$K$162,0),2),"")=0,"",_xlfn.IFERROR(INDEX('Сырье и материалы'!$K$26:$L$162,MATCH($F30&amp;"komm",'Сырье и материалы'!$K$26:$K$162,0),2),""))</f>
        <v/>
      </c>
      <c r="AO30" s="7153"/>
      <c r="AP30" s="1741"/>
      <c r="AQ30" s="1741"/>
      <c r="AR30" s="1062" t="s">
        <v>2438</v>
      </c>
      <c r="AS30" s="1062"/>
      <c r="AT30" s="1062"/>
      <c r="AU30" s="1059"/>
      <c r="AV30" s="1059"/>
    </row>
    <row customHeight="1" ht="14.625" hidden="1">
      <c r="A31" s="1741"/>
      <c r="B31" s="1741"/>
      <c r="C31" s="1741"/>
      <c r="D31" s="1741"/>
      <c r="E31" s="695">
        <v>15</v>
      </c>
      <c r="F31" s="50" cm="1" t="str">
        <f t="array" ref="F31:F31">OFFSET(E31,-1,1)</f>
        <v>0</v>
      </c>
      <c r="G31" s="1741"/>
      <c r="H31" s="1741"/>
      <c r="I31" s="587" t="s">
        <v>1739</v>
      </c>
      <c r="J31" s="587"/>
      <c r="K31" s="587"/>
      <c r="L31" s="587"/>
      <c r="M31" s="587"/>
      <c r="N31" s="587"/>
      <c r="O31" s="587"/>
      <c r="P31" s="587"/>
      <c r="Q31" s="587"/>
      <c r="R31" s="587"/>
      <c r="S31" s="587"/>
      <c r="T31" s="465" cm="1" t="str">
        <f t="array" ref="T31:T31">T30</f>
        <v>false</v>
      </c>
      <c r="U31" s="1741"/>
      <c r="V31" s="1741"/>
      <c r="W31" s="1741"/>
      <c r="X31" s="1641"/>
      <c r="Y31" s="1741"/>
      <c r="Z31" s="1642"/>
      <c r="AA31" s="1741"/>
      <c r="AB31" s="807" t="s">
        <v>1740</v>
      </c>
      <c r="AC31" s="808" t="s">
        <v>2439</v>
      </c>
      <c r="AD31" s="759" t="s">
        <v>1514</v>
      </c>
      <c r="AE31" s="1742">
        <f>_xlfn.SUMIFS('Сырье и материалы'!AE$25:AE$162,'Сырье и материалы'!$F$25:$F$162,$F31,'Сырье и материалы'!$I$25:$I$162,"Горюче-смазочные материалы")</f>
        <v>0</v>
      </c>
      <c r="AF31" s="1742">
        <f>_xlfn.SUMIFS('Сырье и материалы'!AF$25:AF$162,'Сырье и материалы'!$F$25:$F$162,$F31,'Сырье и материалы'!$I$25:$I$162,"Горюче-смазочные материалы")</f>
        <v>0</v>
      </c>
      <c r="AG31" s="1742">
        <f>_xlfn.SUMIFS('Сырье и материалы'!AG$25:AG$162,'Сырье и материалы'!$F$25:$F$162,$F31,'Сырье и материалы'!$I$25:$I$162,"Горюче-смазочные материалы")</f>
        <v>0</v>
      </c>
      <c r="AH31" s="802">
        <f>AG31-AF31</f>
        <v>0</v>
      </c>
      <c r="AI31" s="1742">
        <f>_xlfn.SUMIFS('Сырье и материалы'!AH$25:AH$162,'Сырье и материалы'!$F$25:$F$162,$F31,'Сырье и материалы'!$I$25:$I$162,"Горюче-смазочные материалы")</f>
        <v>0</v>
      </c>
      <c r="AJ31" s="1742">
        <f>_xlfn.SUMIFS('Сырье и материалы'!AI$25:AI$162,'Сырье и материалы'!$F$25:$F$162,$F31,'Сырье и материалы'!$I$25:$I$162,"Горюче-смазочные материалы")</f>
        <v>0</v>
      </c>
      <c r="AK31" s="1742">
        <f>_xlfn.SUMIFS('Сырье и материалы'!AS$25:AS$162,'Сырье и материалы'!$F$25:$F$162,$F31,'Сырье и материалы'!$I$25:$I$162,"Горюче-смазочные материалы")</f>
        <v>0</v>
      </c>
      <c r="AL31" s="802">
        <f>IF(AI31=0,0,(AK31-AI31)/AI31*100)</f>
        <v>0</v>
      </c>
      <c r="AM31" s="7153"/>
      <c r="AN31" s="7153"/>
      <c r="AO31" s="7153"/>
      <c r="AP31" s="1741"/>
      <c r="AQ31" s="1741"/>
      <c r="AR31" s="1062" t="s">
        <v>2440</v>
      </c>
      <c r="AS31" s="1062"/>
      <c r="AT31" s="1062"/>
      <c r="AU31" s="1059"/>
      <c r="AV31" s="1059"/>
    </row>
    <row customHeight="1" ht="14.625" hidden="1">
      <c r="A32" s="1741"/>
      <c r="B32" s="1741"/>
      <c r="C32" s="1741"/>
      <c r="D32" s="1741"/>
      <c r="E32" s="695">
        <v>15</v>
      </c>
      <c r="F32" s="50" cm="1" t="str">
        <f t="array" ref="F32:F32">OFFSET(E32,-1,1)</f>
        <v>0</v>
      </c>
      <c r="G32" s="1741"/>
      <c r="H32" s="1741"/>
      <c r="I32" s="587" t="s">
        <v>2043</v>
      </c>
      <c r="J32" s="587"/>
      <c r="K32" s="587"/>
      <c r="L32" s="587"/>
      <c r="M32" s="587"/>
      <c r="N32" s="587"/>
      <c r="O32" s="587"/>
      <c r="P32" s="587"/>
      <c r="Q32" s="587"/>
      <c r="R32" s="587"/>
      <c r="S32" s="587"/>
      <c r="T32" s="465" cm="1" t="str">
        <f t="array" ref="T32:T32">T31</f>
        <v>false</v>
      </c>
      <c r="U32" s="1741"/>
      <c r="V32" s="1741"/>
      <c r="W32" s="1741"/>
      <c r="X32" s="1641"/>
      <c r="Y32" s="1741"/>
      <c r="Z32" s="1642"/>
      <c r="AA32" s="1741"/>
      <c r="AB32" s="807" t="s">
        <v>2044</v>
      </c>
      <c r="AC32" s="808" t="s">
        <v>2441</v>
      </c>
      <c r="AD32" s="759" t="s">
        <v>1514</v>
      </c>
      <c r="AE32" s="1742">
        <f>_xlfn.SUMIFS('Сырье и материалы'!AE$25:AE$162,'Сырье и материалы'!$F$25:$F$162,$F32,'Сырье и материалы'!$I$25:$I$162,"Материалы")</f>
        <v>0</v>
      </c>
      <c r="AF32" s="1742">
        <f>_xlfn.SUMIFS('Сырье и материалы'!AF$25:AF$162,'Сырье и материалы'!$F$25:$F$162,$F32,'Сырье и материалы'!$I$25:$I$162,"Материалы")</f>
        <v>0</v>
      </c>
      <c r="AG32" s="1742">
        <f>_xlfn.SUMIFS('Сырье и материалы'!AG$25:AG$162,'Сырье и материалы'!$F$25:$F$162,$F32,'Сырье и материалы'!$I$25:$I$162,"Материалы")</f>
        <v>0</v>
      </c>
      <c r="AH32" s="802">
        <f>AG32-AF32</f>
        <v>0</v>
      </c>
      <c r="AI32" s="1742">
        <f>_xlfn.SUMIFS('Сырье и материалы'!AH$25:AH$162,'Сырье и материалы'!$F$25:$F$162,$F32,'Сырье и материалы'!$I$25:$I$162,"Материалы")</f>
        <v>0</v>
      </c>
      <c r="AJ32" s="1742">
        <f>_xlfn.SUMIFS('Сырье и материалы'!AI$25:AI$162,'Сырье и материалы'!$F$25:$F$162,$F32,'Сырье и материалы'!$I$25:$I$162,"Материалы")</f>
        <v>0</v>
      </c>
      <c r="AK32" s="1742">
        <f>_xlfn.SUMIFS('Сырье и материалы'!AS$25:AS$162,'Сырье и материалы'!$F$25:$F$162,$F32,'Сырье и материалы'!$I$25:$I$162,"Материалы")</f>
        <v>0</v>
      </c>
      <c r="AL32" s="802">
        <f>IF(AI32=0,0,(AK32-AI32)/AI32*100)</f>
        <v>0</v>
      </c>
      <c r="AM32" s="7153"/>
      <c r="AN32" s="7153"/>
      <c r="AO32" s="7153"/>
      <c r="AP32" s="1741"/>
      <c r="AQ32" s="1741"/>
      <c r="AR32" s="1062" t="s">
        <v>2442</v>
      </c>
      <c r="AS32" s="1062"/>
      <c r="AT32" s="1062"/>
      <c r="AU32" s="1059"/>
      <c r="AV32" s="1059"/>
    </row>
    <row s="588" customFormat="1" customHeight="1" ht="21.9375" hidden="1">
      <c r="A33" s="588"/>
      <c r="B33" s="588"/>
      <c r="C33" s="588"/>
      <c r="D33" s="588"/>
      <c r="E33" s="697">
        <v>22.5</v>
      </c>
      <c r="F33" s="50" cm="1" t="str">
        <f t="array" ref="F33:F33">OFFSET(E33,-1,1)</f>
        <v>0</v>
      </c>
      <c r="G33" s="588"/>
      <c r="H33" s="588"/>
      <c r="I33" s="698" t="s">
        <v>1179</v>
      </c>
      <c r="J33" s="698"/>
      <c r="K33" s="698"/>
      <c r="L33" s="698"/>
      <c r="M33" s="698"/>
      <c r="N33" s="698"/>
      <c r="O33" s="698"/>
      <c r="P33" s="698"/>
      <c r="Q33" s="698"/>
      <c r="R33" s="698"/>
      <c r="S33" s="698"/>
      <c r="T33" s="465" cm="1" t="str">
        <f t="array" ref="T33:T33">T32</f>
        <v>false</v>
      </c>
      <c r="U33" s="588"/>
      <c r="V33" s="588"/>
      <c r="W33" s="588"/>
      <c r="X33" s="1641"/>
      <c r="Y33" s="588"/>
      <c r="Z33" s="1642"/>
      <c r="AA33" s="588"/>
      <c r="AB33" s="804" t="s">
        <v>1631</v>
      </c>
      <c r="AC33" s="805" t="s">
        <v>2443</v>
      </c>
      <c r="AD33" s="590" t="s">
        <v>1514</v>
      </c>
      <c r="AE33" s="801">
        <f>SUM(AE34:AE42)</f>
        <v>0</v>
      </c>
      <c r="AF33" s="801">
        <f>SUM(AF34:AF42)</f>
        <v>0</v>
      </c>
      <c r="AG33" s="801">
        <f>SUM(AG34:AG42)</f>
        <v>0</v>
      </c>
      <c r="AH33" s="801">
        <f>AG33-AF33</f>
        <v>0</v>
      </c>
      <c r="AI33" s="801">
        <f>SUM(AI34:AI42)</f>
        <v>0</v>
      </c>
      <c r="AJ33" s="801">
        <f>SUM(AJ34:AJ42)</f>
        <v>0</v>
      </c>
      <c r="AK33" s="801">
        <f>SUM(AK34:AK42)</f>
        <v>0</v>
      </c>
      <c r="AL33" s="801">
        <f>IF(AI33=0,0,(AK33-AI33)/AI33*100)</f>
        <v>0</v>
      </c>
      <c r="AM33" s="7159"/>
      <c r="AN33" s="7159"/>
      <c r="AO33" s="7159"/>
      <c r="AP33" s="588"/>
      <c r="AQ33" s="588"/>
      <c r="AR33" s="1063" t="s">
        <v>2444</v>
      </c>
      <c r="AS33" s="1063"/>
      <c r="AT33" s="1063"/>
      <c r="AU33" s="697"/>
      <c r="AV33" s="697"/>
    </row>
    <row customHeight="1" ht="14.625" hidden="1">
      <c r="A34" s="1741"/>
      <c r="B34" s="1741"/>
      <c r="C34" s="1741"/>
      <c r="D34" s="1741"/>
      <c r="E34" s="695">
        <v>15</v>
      </c>
      <c r="F34" s="50" cm="1" t="str">
        <f t="array" ref="F34:F34">OFFSET(E34,-1,1)</f>
        <v>0</v>
      </c>
      <c r="G34" s="1741"/>
      <c r="H34" s="1741"/>
      <c r="I34" s="587" t="s">
        <v>2068</v>
      </c>
      <c r="J34" s="587"/>
      <c r="K34" s="587"/>
      <c r="L34" s="587"/>
      <c r="M34" s="587"/>
      <c r="N34" s="587"/>
      <c r="O34" s="587"/>
      <c r="P34" s="587"/>
      <c r="Q34" s="587"/>
      <c r="R34" s="587"/>
      <c r="S34" s="587"/>
      <c r="T34" s="465" cm="1" t="str">
        <f t="array" ref="T34:T34">T33</f>
        <v>false</v>
      </c>
      <c r="U34" s="1741"/>
      <c r="V34" s="1741"/>
      <c r="W34" s="1741"/>
      <c r="X34" s="1641"/>
      <c r="Y34" s="1741"/>
      <c r="Z34" s="1642"/>
      <c r="AA34" s="1741"/>
      <c r="AB34" s="807" t="s">
        <v>2069</v>
      </c>
      <c r="AC34" s="808" t="s">
        <v>2445</v>
      </c>
      <c r="AD34" s="759" t="s">
        <v>1514</v>
      </c>
      <c r="AE34" s="802">
        <f>_xlfn.SUMIFS(ЭЭ!AE$25:AE$189,ЭЭ!$F$25:$F$189,$F34,ЭЭ!$AC$25:$AC$189,"Всего по тарифу")</f>
        <v>0</v>
      </c>
      <c r="AF34" s="802">
        <f>_xlfn.SUMIFS(ЭЭ!AF$25:AF$189,ЭЭ!$F$25:$F$189,$F34,ЭЭ!$AC$25:$AC$189,"Всего по тарифу")</f>
        <v>0</v>
      </c>
      <c r="AG34" s="802">
        <f>_xlfn.SUMIFS(ЭЭ!AG$25:AG$189,ЭЭ!$F$25:$F$189,$F34,ЭЭ!$AC$25:$AC$189,"Всего по тарифу")</f>
        <v>0</v>
      </c>
      <c r="AH34" s="802">
        <f>AG34-AF34</f>
        <v>0</v>
      </c>
      <c r="AI34" s="802">
        <f>_xlfn.SUMIFS(ЭЭ!AH$25:AH$189,ЭЭ!$F$25:$F$189,$F34,ЭЭ!$AC$25:$AC$189,"Всего по тарифу")</f>
        <v>0</v>
      </c>
      <c r="AJ34" s="802">
        <f>_xlfn.SUMIFS(ЭЭ!AI$25:AI$189,ЭЭ!$F$25:$F$189,$F34,ЭЭ!$AC$25:$AC$189,"Всего по тарифу")</f>
        <v>0</v>
      </c>
      <c r="AK34" s="802">
        <f>_xlfn.SUMIFS(ЭЭ!AS$25:AS$189,ЭЭ!$F$25:$F$189,$F34,ЭЭ!$AC$25:$AC$189,"Всего по тарифу")</f>
        <v>0</v>
      </c>
      <c r="AL34" s="802">
        <f>IF(AI34=0,0,(AK34-AI34)/AI34*100)</f>
        <v>0</v>
      </c>
      <c r="AM34" s="7153"/>
      <c r="AN34" s="7154" t="str">
        <f>IF(_xlfn.IFERROR(INDEX(ЭЭ!$K$26:$L$189,MATCH($F34&amp;"komm",ЭЭ!$K$26:$K$189,0),2),"")=0,"",_xlfn.IFERROR(INDEX(ЭЭ!$K$26:$L$189,MATCH($F34&amp;"komm",ЭЭ!$K$26:$K$189,0),2),""))</f>
        <v/>
      </c>
      <c r="AO34" s="7153"/>
      <c r="AP34" s="1741"/>
      <c r="AQ34" s="1741"/>
      <c r="AR34" s="1062" t="s">
        <v>2446</v>
      </c>
      <c r="AS34" s="1062"/>
      <c r="AT34" s="1062"/>
      <c r="AU34" s="1059"/>
      <c r="AV34" s="1059"/>
    </row>
    <row customHeight="1" ht="14.625" hidden="1">
      <c r="A35" s="1741"/>
      <c r="B35" s="1741"/>
      <c r="C35" s="1741"/>
      <c r="D35" s="1741"/>
      <c r="E35" s="695">
        <v>15</v>
      </c>
      <c r="F35" s="50" cm="1" t="str">
        <f t="array" ref="F35:F35">OFFSET(E35,-1,1)</f>
        <v>0</v>
      </c>
      <c r="G35" s="577" t="s">
        <v>1819</v>
      </c>
      <c r="H35" s="1741"/>
      <c r="I35" s="587" t="s">
        <v>2071</v>
      </c>
      <c r="J35" s="587"/>
      <c r="K35" s="587"/>
      <c r="L35" s="587"/>
      <c r="M35" s="587"/>
      <c r="N35" s="587"/>
      <c r="O35" s="587"/>
      <c r="P35" s="587"/>
      <c r="Q35" s="587"/>
      <c r="R35" s="587"/>
      <c r="S35" s="587"/>
      <c r="T35" s="465" cm="1" t="str">
        <f t="array" ref="T35:T35">T34</f>
        <v>false</v>
      </c>
      <c r="U35" s="1741"/>
      <c r="V35" s="1741"/>
      <c r="W35" s="1741"/>
      <c r="X35" s="1641"/>
      <c r="Y35" s="1741"/>
      <c r="Z35" s="1642"/>
      <c r="AA35" s="1741"/>
      <c r="AB35" s="807" t="s">
        <v>2072</v>
      </c>
      <c r="AC35" s="808" t="s">
        <v>2447</v>
      </c>
      <c r="AD35" s="759" t="s">
        <v>1514</v>
      </c>
      <c r="AE35" s="802">
        <f>_xlfn.SUMIFS(Покупка!AE$25:AE$372,Покупка!$F$25:$F$372,$F35,Покупка!$AC$25:$AC$372,$G35)</f>
        <v>0</v>
      </c>
      <c r="AF35" s="802">
        <f>_xlfn.SUMIFS(Покупка!AF$25:AF$372,Покупка!$F$25:$F$372,$F35,Покупка!$AC$25:$AC$372,$G35)</f>
        <v>0</v>
      </c>
      <c r="AG35" s="802">
        <f>_xlfn.SUMIFS(Покупка!AG$25:AG$372,Покупка!$F$25:$F$372,$F35,Покупка!$AC$25:$AC$372,$G35)</f>
        <v>0</v>
      </c>
      <c r="AH35" s="802">
        <f>AG35-AF35</f>
        <v>0</v>
      </c>
      <c r="AI35" s="802">
        <f>_xlfn.SUMIFS(Покупка!AH$25:AH$372,Покупка!$F$25:$F$372,$F35,Покупка!$AC$25:$AC$372,$G35)</f>
        <v>0</v>
      </c>
      <c r="AJ35" s="802">
        <f>_xlfn.SUMIFS(Покупка!AI$25:AI$372,Покупка!$F$25:$F$372,$F35,Покупка!$AC$25:$AC$372,$G35)</f>
        <v>0</v>
      </c>
      <c r="AK35" s="802">
        <f>_xlfn.SUMIFS(Покупка!AS$25:AS$372,Покупка!$F$25:$F$372,$F35,Покупка!$AC$25:$AC$372,$G35)</f>
        <v>0</v>
      </c>
      <c r="AL35" s="802">
        <f>IF(AI35=0,0,(AK35-AI35)/AI35*100)</f>
        <v>0</v>
      </c>
      <c r="AM35" s="7153"/>
      <c r="AN35" s="7154" t="str">
        <f>IF(_xlfn.IFERROR(INDEX(Покупка!$K$26:$L$372,MATCH($F35&amp;"6komm",Покупка!$K$26:$K$372,0),2),"")=0,"",_xlfn.IFERROR(INDEX(Покупка!$K$26:$L$372,MATCH($F35&amp;"6komm",Покупка!$K$26:$K$372,0),2),""))</f>
        <v/>
      </c>
      <c r="AO35" s="7153"/>
      <c r="AP35" s="1741"/>
      <c r="AQ35" s="1741"/>
      <c r="AR35" s="1062" t="s">
        <v>1820</v>
      </c>
      <c r="AS35" s="1062"/>
      <c r="AT35" s="1062"/>
      <c r="AU35" s="1059"/>
      <c r="AV35" s="1059"/>
    </row>
    <row customHeight="1" ht="14.625" hidden="1">
      <c r="A36" s="1741"/>
      <c r="B36" s="1741"/>
      <c r="C36" s="1741"/>
      <c r="D36" s="1741"/>
      <c r="E36" s="695">
        <v>15</v>
      </c>
      <c r="F36" s="50" cm="1" t="str">
        <f t="array" ref="F36:F36">OFFSET(E36,-1,1)</f>
        <v>0</v>
      </c>
      <c r="G36" s="577" t="s">
        <v>1841</v>
      </c>
      <c r="H36" s="1741"/>
      <c r="I36" s="587" t="s">
        <v>2075</v>
      </c>
      <c r="J36" s="587"/>
      <c r="K36" s="587"/>
      <c r="L36" s="587"/>
      <c r="M36" s="587"/>
      <c r="N36" s="587"/>
      <c r="O36" s="587"/>
      <c r="P36" s="587"/>
      <c r="Q36" s="587"/>
      <c r="R36" s="587"/>
      <c r="S36" s="587"/>
      <c r="T36" s="465" cm="1" t="str">
        <f t="array" ref="T36:T36">T35</f>
        <v>false</v>
      </c>
      <c r="U36" s="1741"/>
      <c r="V36" s="1741"/>
      <c r="W36" s="1741"/>
      <c r="X36" s="1641"/>
      <c r="Y36" s="1741"/>
      <c r="Z36" s="1642"/>
      <c r="AA36" s="1741"/>
      <c r="AB36" s="807" t="s">
        <v>2076</v>
      </c>
      <c r="AC36" s="808" t="s">
        <v>2448</v>
      </c>
      <c r="AD36" s="759" t="s">
        <v>1514</v>
      </c>
      <c r="AE36" s="802">
        <f>_xlfn.SUMIFS(Покупка!AE$25:AE$372,Покупка!$F$25:$F$372,$F36,Покупка!$AC$25:$AC$372,$G36)</f>
        <v>0</v>
      </c>
      <c r="AF36" s="802">
        <f>_xlfn.SUMIFS(Покупка!AF$25:AF$372,Покупка!$F$25:$F$372,$F36,Покупка!$AC$25:$AC$372,$G36)</f>
        <v>0</v>
      </c>
      <c r="AG36" s="802">
        <f>_xlfn.SUMIFS(Покупка!AG$25:AG$372,Покупка!$F$25:$F$372,$F36,Покупка!$AC$25:$AC$372,$G36)</f>
        <v>0</v>
      </c>
      <c r="AH36" s="802">
        <f>AG36-AF36</f>
        <v>0</v>
      </c>
      <c r="AI36" s="802">
        <f>_xlfn.SUMIFS(Покупка!AH$25:AH$372,Покупка!$F$25:$F$372,$F36,Покупка!$AC$25:$AC$372,$G36)</f>
        <v>0</v>
      </c>
      <c r="AJ36" s="802">
        <f>_xlfn.SUMIFS(Покупка!AI$25:AI$372,Покупка!$F$25:$F$372,$F36,Покупка!$AC$25:$AC$372,$G36)</f>
        <v>0</v>
      </c>
      <c r="AK36" s="802">
        <f>_xlfn.SUMIFS(Покупка!AS$25:AS$372,Покупка!$F$25:$F$372,$F36,Покупка!$AC$25:$AC$372,$G36)</f>
        <v>0</v>
      </c>
      <c r="AL36" s="802">
        <f>IF(AI36=0,0,(AK36-AI36)/AI36*100)</f>
        <v>0</v>
      </c>
      <c r="AM36" s="7153"/>
      <c r="AN36" s="7154" t="str">
        <f>IF(_xlfn.IFERROR(INDEX(Покупка!$K$26:$L$372,MATCH($F36&amp;"7komm",Покупка!$K$26:$K$372,0),2),"")=0,"",_xlfn.IFERROR(INDEX(Покупка!$K$26:$L$372,MATCH($F36&amp;"7komm",Покупка!$K$26:$K$372,0),2),""))</f>
        <v/>
      </c>
      <c r="AO36" s="7153"/>
      <c r="AP36" s="1741"/>
      <c r="AQ36" s="1741"/>
      <c r="AR36" s="1062" t="s">
        <v>1842</v>
      </c>
      <c r="AS36" s="1062"/>
      <c r="AT36" s="1062"/>
      <c r="AU36" s="1059"/>
      <c r="AV36" s="1059"/>
    </row>
    <row customHeight="1" ht="14.625" hidden="1">
      <c r="A37" s="1741"/>
      <c r="B37" s="1741"/>
      <c r="C37" s="1741"/>
      <c r="D37" s="1741"/>
      <c r="E37" s="695">
        <v>15</v>
      </c>
      <c r="F37" s="50" cm="1" t="str">
        <f t="array" ref="F37:F37">OFFSET(E37,-1,1)</f>
        <v>0</v>
      </c>
      <c r="G37" s="752" t="s">
        <v>1853</v>
      </c>
      <c r="H37" s="1741"/>
      <c r="I37" s="587" t="s">
        <v>2235</v>
      </c>
      <c r="J37" s="587"/>
      <c r="K37" s="587"/>
      <c r="L37" s="587"/>
      <c r="M37" s="587"/>
      <c r="N37" s="587"/>
      <c r="O37" s="587"/>
      <c r="P37" s="587"/>
      <c r="Q37" s="587"/>
      <c r="R37" s="587"/>
      <c r="S37" s="587"/>
      <c r="T37" s="465" cm="1" t="str">
        <f t="array" ref="T37:T37">T36</f>
        <v>false</v>
      </c>
      <c r="U37" s="1741"/>
      <c r="V37" s="1741"/>
      <c r="W37" s="1741"/>
      <c r="X37" s="1641"/>
      <c r="Y37" s="1741"/>
      <c r="Z37" s="1642"/>
      <c r="AA37" s="1741"/>
      <c r="AB37" s="807" t="s">
        <v>2449</v>
      </c>
      <c r="AC37" s="808" t="s">
        <v>2450</v>
      </c>
      <c r="AD37" s="759" t="s">
        <v>1514</v>
      </c>
      <c r="AE37" s="802">
        <f>_xlfn.SUMIFS(Покупка!AE$25:AE$372,Покупка!$F$25:$F$372,$F37,Покупка!$AC$25:$AC$372,$G37)</f>
        <v>0</v>
      </c>
      <c r="AF37" s="802">
        <f>_xlfn.SUMIFS(Покупка!AF$25:AF$372,Покупка!$F$25:$F$372,$F37,Покупка!$AC$25:$AC$372,$G37)</f>
        <v>0</v>
      </c>
      <c r="AG37" s="802">
        <f>_xlfn.SUMIFS(Покупка!AG$25:AG$372,Покупка!$F$25:$F$372,$F37,Покупка!$AC$25:$AC$372,$G37)</f>
        <v>0</v>
      </c>
      <c r="AH37" s="802">
        <f>AG37-AF37</f>
        <v>0</v>
      </c>
      <c r="AI37" s="802">
        <f>_xlfn.SUMIFS(Покупка!AH$25:AH$372,Покупка!$F$25:$F$372,$F37,Покупка!$AC$25:$AC$372,$G37)</f>
        <v>0</v>
      </c>
      <c r="AJ37" s="802">
        <f>_xlfn.SUMIFS(Покупка!AI$25:AI$372,Покупка!$F$25:$F$372,$F37,Покупка!$AC$25:$AC$372,$G37)</f>
        <v>0</v>
      </c>
      <c r="AK37" s="802">
        <f>_xlfn.SUMIFS(Покупка!AS$25:AS$372,Покупка!$F$25:$F$372,$F37,Покупка!$AC$25:$AC$372,$G37)</f>
        <v>0</v>
      </c>
      <c r="AL37" s="802">
        <f>IF(AI37=0,0,(AK37-AI37)/AI37*100)</f>
        <v>0</v>
      </c>
      <c r="AM37" s="7153"/>
      <c r="AN37" s="7154" t="str">
        <f>IF(_xlfn.IFERROR(INDEX(Покупка!$K$26:$L$372,MATCH($F37&amp;"9komm",Покупка!$K$26:$K$372,0),2),"")=0,"",_xlfn.IFERROR(INDEX(Покупка!$K$26:$L$372,MATCH($F37&amp;"9komm",Покупка!$K$26:$K$372,0),2),""))</f>
        <v/>
      </c>
      <c r="AO37" s="7153"/>
      <c r="AP37" s="1741"/>
      <c r="AQ37" s="1741"/>
      <c r="AR37" s="1062" t="s">
        <v>1854</v>
      </c>
      <c r="AS37" s="1062"/>
      <c r="AT37" s="1062"/>
      <c r="AU37" s="1059"/>
      <c r="AV37" s="1059"/>
    </row>
    <row customHeight="1" ht="14.625" hidden="1">
      <c r="A38" s="1741"/>
      <c r="B38" s="1741"/>
      <c r="C38" s="1741"/>
      <c r="D38" s="1741"/>
      <c r="E38" s="695">
        <v>15</v>
      </c>
      <c r="F38" s="50" cm="1" t="str">
        <f t="array" ref="F38:F38">OFFSET(E38,-1,1)</f>
        <v>0</v>
      </c>
      <c r="G38" s="577" t="s">
        <v>1780</v>
      </c>
      <c r="H38" s="1741"/>
      <c r="I38" s="587" t="s">
        <v>2239</v>
      </c>
      <c r="J38" s="587"/>
      <c r="K38" s="587"/>
      <c r="L38" s="587"/>
      <c r="M38" s="587"/>
      <c r="N38" s="587"/>
      <c r="O38" s="587"/>
      <c r="P38" s="587"/>
      <c r="Q38" s="587"/>
      <c r="R38" s="587"/>
      <c r="S38" s="587"/>
      <c r="T38" s="465" cm="1" t="str">
        <f t="array" ref="T38:T38">T37</f>
        <v>false</v>
      </c>
      <c r="U38" s="1741"/>
      <c r="V38" s="1741"/>
      <c r="W38" s="1741"/>
      <c r="X38" s="1641"/>
      <c r="Y38" s="1741"/>
      <c r="Z38" s="1642"/>
      <c r="AA38" s="1741"/>
      <c r="AB38" s="807" t="s">
        <v>2451</v>
      </c>
      <c r="AC38" s="808" t="s">
        <v>2452</v>
      </c>
      <c r="AD38" s="759" t="s">
        <v>1514</v>
      </c>
      <c r="AE38" s="802">
        <f>_xlfn.SUMIFS(Покупка!AE$25:AE$372,Покупка!$F$25:$F$372,$F38,Покупка!$AC$25:$AC$372,$G38)</f>
        <v>0</v>
      </c>
      <c r="AF38" s="802">
        <f>_xlfn.SUMIFS(Покупка!AF$25:AF$372,Покупка!$F$25:$F$372,$F38,Покупка!$AC$25:$AC$372,$G38)</f>
        <v>0</v>
      </c>
      <c r="AG38" s="802">
        <f>_xlfn.SUMIFS(Покупка!AG$25:AG$372,Покупка!$F$25:$F$372,$F38,Покупка!$AC$25:$AC$372,$G38)</f>
        <v>0</v>
      </c>
      <c r="AH38" s="802">
        <f>AG38-AF38</f>
        <v>0</v>
      </c>
      <c r="AI38" s="802">
        <f>_xlfn.SUMIFS(Покупка!AH$25:AH$372,Покупка!$F$25:$F$372,$F38,Покупка!$AC$25:$AC$372,$G38)</f>
        <v>0</v>
      </c>
      <c r="AJ38" s="802">
        <f>_xlfn.SUMIFS(Покупка!AI$25:AI$372,Покупка!$F$25:$F$372,$F38,Покупка!$AC$25:$AC$372,$G38)</f>
        <v>0</v>
      </c>
      <c r="AK38" s="802">
        <f>_xlfn.SUMIFS(Покупка!AS$25:AS$372,Покупка!$F$25:$F$372,$F38,Покупка!$AC$25:$AC$372,$G38)</f>
        <v>0</v>
      </c>
      <c r="AL38" s="802">
        <f>IF(AI38=0,0,(AK38-AI38)/AI38*100)</f>
        <v>0</v>
      </c>
      <c r="AM38" s="7153"/>
      <c r="AN38" s="7154" t="str">
        <f>IF(_xlfn.IFERROR(INDEX(Покупка!$K$26:$L$372,MATCH($F38&amp;"1komm",Покупка!$K$26:$K$372,0),2),"")=0,"",_xlfn.IFERROR(INDEX(Покупка!$K$26:$L$372,MATCH($F38&amp;"1komm",Покупка!$K$26:$K$372,0),2),""))</f>
        <v/>
      </c>
      <c r="AO38" s="7153"/>
      <c r="AP38" s="1741"/>
      <c r="AQ38" s="1741"/>
      <c r="AR38" s="1062" t="s">
        <v>2453</v>
      </c>
      <c r="AS38" s="1062"/>
      <c r="AT38" s="1062"/>
      <c r="AU38" s="1059"/>
      <c r="AV38" s="1059"/>
    </row>
    <row customHeight="1" ht="14.625" hidden="1">
      <c r="A39" s="1741"/>
      <c r="B39" s="1741"/>
      <c r="C39" s="1741"/>
      <c r="D39" s="1741"/>
      <c r="E39" s="695">
        <v>15</v>
      </c>
      <c r="F39" s="50" cm="1" t="str">
        <f t="array" ref="F39:F39">OFFSET(E39,-1,1)</f>
        <v>0</v>
      </c>
      <c r="G39" s="577" t="s">
        <v>1793</v>
      </c>
      <c r="H39" s="1741"/>
      <c r="I39" s="587" t="s">
        <v>2244</v>
      </c>
      <c r="J39" s="587"/>
      <c r="K39" s="587"/>
      <c r="L39" s="587"/>
      <c r="M39" s="587"/>
      <c r="N39" s="587"/>
      <c r="O39" s="587"/>
      <c r="P39" s="587"/>
      <c r="Q39" s="587"/>
      <c r="R39" s="587"/>
      <c r="S39" s="587"/>
      <c r="T39" s="465" cm="1" t="str">
        <f t="array" ref="T39:T39">T38</f>
        <v>false</v>
      </c>
      <c r="U39" s="1741"/>
      <c r="V39" s="1741"/>
      <c r="W39" s="1741"/>
      <c r="X39" s="1641"/>
      <c r="Y39" s="1741"/>
      <c r="Z39" s="1642"/>
      <c r="AA39" s="1741"/>
      <c r="AB39" s="807" t="s">
        <v>2454</v>
      </c>
      <c r="AC39" s="808" t="s">
        <v>2455</v>
      </c>
      <c r="AD39" s="759" t="s">
        <v>1514</v>
      </c>
      <c r="AE39" s="802">
        <f>_xlfn.SUMIFS(Покупка!AE$25:AE$372,Покупка!$F$25:$F$372,$F39,Покупка!$AC$25:$AC$372,$G39)</f>
        <v>0</v>
      </c>
      <c r="AF39" s="802">
        <f>_xlfn.SUMIFS(Покупка!AF$25:AF$372,Покупка!$F$25:$F$372,$F39,Покупка!$AC$25:$AC$372,$G39)</f>
        <v>0</v>
      </c>
      <c r="AG39" s="802">
        <f>_xlfn.SUMIFS(Покупка!AG$25:AG$372,Покупка!$F$25:$F$372,$F39,Покупка!$AC$25:$AC$372,$G39)</f>
        <v>0</v>
      </c>
      <c r="AH39" s="802">
        <f>AG39-AF39</f>
        <v>0</v>
      </c>
      <c r="AI39" s="802">
        <f>_xlfn.SUMIFS(Покупка!AH$25:AH$372,Покупка!$F$25:$F$372,$F39,Покупка!$AC$25:$AC$372,$G39)</f>
        <v>0</v>
      </c>
      <c r="AJ39" s="802">
        <f>_xlfn.SUMIFS(Покупка!AI$25:AI$372,Покупка!$F$25:$F$372,$F39,Покупка!$AC$25:$AC$372,$G39)</f>
        <v>0</v>
      </c>
      <c r="AK39" s="802">
        <f>_xlfn.SUMIFS(Покупка!AS$25:AS$372,Покупка!$F$25:$F$372,$F39,Покупка!$AC$25:$AC$372,$G39)</f>
        <v>0</v>
      </c>
      <c r="AL39" s="802">
        <f>IF(AI39=0,0,(AK39-AI39)/AI39*100)</f>
        <v>0</v>
      </c>
      <c r="AM39" s="7153"/>
      <c r="AN39" s="7154" t="str">
        <f>IF(_xlfn.IFERROR(INDEX(Покупка!$K$26:$L$372,MATCH($F39&amp;"2komm",Покупка!$K$26:$K$372,0),2),"")=0,"",_xlfn.IFERROR(INDEX(Покупка!$K$26:$L$372,MATCH($F39&amp;"2komm",Покупка!$K$26:$K$372,0),2),""))</f>
        <v/>
      </c>
      <c r="AO39" s="7153"/>
      <c r="AP39" s="1741"/>
      <c r="AQ39" s="1741"/>
      <c r="AR39" s="1062" t="s">
        <v>2456</v>
      </c>
      <c r="AS39" s="1062"/>
      <c r="AT39" s="1062"/>
      <c r="AU39" s="1059"/>
      <c r="AV39" s="1059"/>
    </row>
    <row customHeight="1" ht="14.625" hidden="1">
      <c r="A40" s="1741"/>
      <c r="B40" s="1741"/>
      <c r="C40" s="1741"/>
      <c r="D40" s="1741"/>
      <c r="E40" s="695">
        <v>15</v>
      </c>
      <c r="F40" s="50" cm="1" t="str">
        <f t="array" ref="F40:F40">OFFSET(E40,-1,1)</f>
        <v>0</v>
      </c>
      <c r="G40" s="577" t="s">
        <v>1799</v>
      </c>
      <c r="H40" s="1741"/>
      <c r="I40" s="587" t="s">
        <v>2253</v>
      </c>
      <c r="J40" s="587"/>
      <c r="K40" s="587"/>
      <c r="L40" s="587"/>
      <c r="M40" s="587"/>
      <c r="N40" s="587"/>
      <c r="O40" s="587"/>
      <c r="P40" s="587"/>
      <c r="Q40" s="587"/>
      <c r="R40" s="587"/>
      <c r="S40" s="587"/>
      <c r="T40" s="465" cm="1" t="str">
        <f t="array" ref="T40:T40">T39</f>
        <v>false</v>
      </c>
      <c r="U40" s="1741"/>
      <c r="V40" s="1741"/>
      <c r="W40" s="1741"/>
      <c r="X40" s="1641"/>
      <c r="Y40" s="1741"/>
      <c r="Z40" s="1642"/>
      <c r="AA40" s="1741"/>
      <c r="AB40" s="807" t="s">
        <v>2457</v>
      </c>
      <c r="AC40" s="808" t="s">
        <v>2458</v>
      </c>
      <c r="AD40" s="759" t="s">
        <v>1514</v>
      </c>
      <c r="AE40" s="802">
        <f>_xlfn.SUMIFS(Покупка!AE$25:AE$372,Покупка!$F$25:$F$372,$F40,Покупка!$AC$25:$AC$372,$G40)</f>
        <v>0</v>
      </c>
      <c r="AF40" s="802">
        <f>_xlfn.SUMIFS(Покупка!AF$25:AF$372,Покупка!$F$25:$F$372,$F40,Покупка!$AC$25:$AC$372,$G40)</f>
        <v>0</v>
      </c>
      <c r="AG40" s="802">
        <f>_xlfn.SUMIFS(Покупка!AG$25:AG$372,Покупка!$F$25:$F$372,$F40,Покупка!$AC$25:$AC$372,$G40)</f>
        <v>0</v>
      </c>
      <c r="AH40" s="802">
        <f>AG40-AF40</f>
        <v>0</v>
      </c>
      <c r="AI40" s="802">
        <f>_xlfn.SUMIFS(Покупка!AH$25:AH$372,Покупка!$F$25:$F$372,$F40,Покупка!$AC$25:$AC$372,$G40)</f>
        <v>0</v>
      </c>
      <c r="AJ40" s="802">
        <f>_xlfn.SUMIFS(Покупка!AI$25:AI$372,Покупка!$F$25:$F$372,$F40,Покупка!$AC$25:$AC$372,$G40)</f>
        <v>0</v>
      </c>
      <c r="AK40" s="802">
        <f>_xlfn.SUMIFS(Покупка!AS$25:AS$372,Покупка!$F$25:$F$372,$F40,Покупка!$AC$25:$AC$372,$G40)</f>
        <v>0</v>
      </c>
      <c r="AL40" s="802">
        <f>IF(AI40=0,0,(AK40-AI40)/AI40*100)</f>
        <v>0</v>
      </c>
      <c r="AM40" s="7153"/>
      <c r="AN40" s="7154" t="str">
        <f>IF(_xlfn.IFERROR(INDEX(Покупка!$K$26:$L$372,MATCH($F40&amp;"3komm",Покупка!$K$26:$K$372,0),2),"")=0,"",_xlfn.IFERROR(INDEX(Покупка!$K$26:$L$372,MATCH($F40&amp;"3komm",Покупка!$K$26:$K$372,0),2),""))</f>
        <v/>
      </c>
      <c r="AO40" s="7153"/>
      <c r="AP40" s="1741"/>
      <c r="AQ40" s="1741"/>
      <c r="AR40" s="1062" t="s">
        <v>2459</v>
      </c>
      <c r="AS40" s="1062"/>
      <c r="AT40" s="1062"/>
      <c r="AU40" s="1059"/>
      <c r="AV40" s="1059"/>
    </row>
    <row customHeight="1" ht="14.625" hidden="1">
      <c r="A41" s="1741"/>
      <c r="B41" s="1741"/>
      <c r="C41" s="1741"/>
      <c r="D41" s="1741"/>
      <c r="E41" s="695">
        <v>15</v>
      </c>
      <c r="F41" s="50" cm="1" t="str">
        <f t="array" ref="F41:F41">OFFSET(E41,-1,1)</f>
        <v>0</v>
      </c>
      <c r="G41" s="577" t="s">
        <v>1805</v>
      </c>
      <c r="H41" s="1741"/>
      <c r="I41" s="587" t="s">
        <v>2258</v>
      </c>
      <c r="J41" s="587"/>
      <c r="K41" s="587"/>
      <c r="L41" s="587"/>
      <c r="M41" s="587"/>
      <c r="N41" s="587"/>
      <c r="O41" s="587"/>
      <c r="P41" s="587"/>
      <c r="Q41" s="587"/>
      <c r="R41" s="587"/>
      <c r="S41" s="587"/>
      <c r="T41" s="465" cm="1" t="str">
        <f t="array" ref="T41:T41">T40</f>
        <v>false</v>
      </c>
      <c r="U41" s="1741"/>
      <c r="V41" s="1741"/>
      <c r="W41" s="1741"/>
      <c r="X41" s="1641"/>
      <c r="Y41" s="1741"/>
      <c r="Z41" s="1642"/>
      <c r="AA41" s="1741"/>
      <c r="AB41" s="807" t="s">
        <v>2460</v>
      </c>
      <c r="AC41" s="808" t="s">
        <v>2461</v>
      </c>
      <c r="AD41" s="759" t="s">
        <v>1514</v>
      </c>
      <c r="AE41" s="802">
        <f>_xlfn.SUMIFS(Покупка!AE$25:AE$372,Покупка!$F$25:$F$372,$F41,Покупка!$AC$25:$AC$372,$G41)</f>
        <v>0</v>
      </c>
      <c r="AF41" s="802">
        <f>_xlfn.SUMIFS(Покупка!AF$25:AF$372,Покупка!$F$25:$F$372,$F41,Покупка!$AC$25:$AC$372,$G41)</f>
        <v>0</v>
      </c>
      <c r="AG41" s="802">
        <f>_xlfn.SUMIFS(Покупка!AG$25:AG$372,Покупка!$F$25:$F$372,$F41,Покупка!$AC$25:$AC$372,$G41)</f>
        <v>0</v>
      </c>
      <c r="AH41" s="802">
        <f>AG41-AF41</f>
        <v>0</v>
      </c>
      <c r="AI41" s="802">
        <f>_xlfn.SUMIFS(Покупка!AH$25:AH$372,Покупка!$F$25:$F$372,$F41,Покупка!$AC$25:$AC$372,$G41)</f>
        <v>0</v>
      </c>
      <c r="AJ41" s="802">
        <f>_xlfn.SUMIFS(Покупка!AI$25:AI$372,Покупка!$F$25:$F$372,$F41,Покупка!$AC$25:$AC$372,$G41)</f>
        <v>0</v>
      </c>
      <c r="AK41" s="802">
        <f>_xlfn.SUMIFS(Покупка!AS$25:AS$372,Покупка!$F$25:$F$372,$F41,Покупка!$AC$25:$AC$372,$G41)</f>
        <v>0</v>
      </c>
      <c r="AL41" s="802">
        <f>IF(AI41=0,0,(AK41-AI41)/AI41*100)</f>
        <v>0</v>
      </c>
      <c r="AM41" s="7153"/>
      <c r="AN41" s="7154" t="str">
        <f>IF(_xlfn.IFERROR(INDEX(Покупка!$K$26:$L$372,MATCH($F41&amp;"4komm",Покупка!$K$26:$K$372,0),2),"")=0,"",_xlfn.IFERROR(INDEX(Покупка!$K$26:$L$372,MATCH($F41&amp;"4komm",Покупка!$K$26:$K$372,0),2),""))</f>
        <v/>
      </c>
      <c r="AO41" s="7153"/>
      <c r="AP41" s="1741"/>
      <c r="AQ41" s="1741"/>
      <c r="AR41" s="1062" t="s">
        <v>2462</v>
      </c>
      <c r="AS41" s="1062"/>
      <c r="AT41" s="1062"/>
      <c r="AU41" s="1059"/>
      <c r="AV41" s="1059"/>
    </row>
    <row customHeight="1" ht="14.625" hidden="1">
      <c r="A42" s="1741"/>
      <c r="B42" s="1741"/>
      <c r="C42" s="1741"/>
      <c r="D42" s="1741"/>
      <c r="E42" s="695">
        <v>15</v>
      </c>
      <c r="F42" s="50" cm="1" t="str">
        <f t="array" ref="F42:F42">OFFSET(E42,-1,1)</f>
        <v>0</v>
      </c>
      <c r="G42" s="577" t="s">
        <v>1812</v>
      </c>
      <c r="H42" s="1741"/>
      <c r="I42" s="587" t="s">
        <v>2268</v>
      </c>
      <c r="J42" s="587"/>
      <c r="K42" s="587"/>
      <c r="L42" s="587"/>
      <c r="M42" s="587"/>
      <c r="N42" s="587"/>
      <c r="O42" s="587"/>
      <c r="P42" s="587"/>
      <c r="Q42" s="587"/>
      <c r="R42" s="587"/>
      <c r="S42" s="587"/>
      <c r="T42" s="465" cm="1" t="str">
        <f t="array" ref="T42:T42">T41</f>
        <v>false</v>
      </c>
      <c r="U42" s="1741"/>
      <c r="V42" s="1741"/>
      <c r="W42" s="1741"/>
      <c r="X42" s="1641"/>
      <c r="Y42" s="1741"/>
      <c r="Z42" s="1642"/>
      <c r="AA42" s="1741"/>
      <c r="AB42" s="807" t="s">
        <v>2463</v>
      </c>
      <c r="AC42" s="808" t="s">
        <v>2464</v>
      </c>
      <c r="AD42" s="759" t="s">
        <v>1514</v>
      </c>
      <c r="AE42" s="802">
        <f>_xlfn.SUMIFS(Покупка!AE$25:AE$372,Покупка!$F$25:$F$372,$F42,Покупка!$AC$25:$AC$372,$G42)</f>
        <v>0</v>
      </c>
      <c r="AF42" s="802">
        <f>_xlfn.SUMIFS(Покупка!AF$25:AF$372,Покупка!$F$25:$F$372,$F42,Покупка!$AC$25:$AC$372,$G42)</f>
        <v>0</v>
      </c>
      <c r="AG42" s="802">
        <f>_xlfn.SUMIFS(Покупка!AG$25:AG$372,Покупка!$F$25:$F$372,$F42,Покупка!$AC$25:$AC$372,$G42)</f>
        <v>0</v>
      </c>
      <c r="AH42" s="802">
        <f>AG42-AF42</f>
        <v>0</v>
      </c>
      <c r="AI42" s="802">
        <f>_xlfn.SUMIFS(Покупка!AH$25:AH$372,Покупка!$F$25:$F$372,$F42,Покупка!$AC$25:$AC$372,$G42)</f>
        <v>0</v>
      </c>
      <c r="AJ42" s="802">
        <f>_xlfn.SUMIFS(Покупка!AI$25:AI$372,Покупка!$F$25:$F$372,$F42,Покупка!$AC$25:$AC$372,$G42)</f>
        <v>0</v>
      </c>
      <c r="AK42" s="802">
        <f>_xlfn.SUMIFS(Покупка!AS$25:AS$372,Покупка!$F$25:$F$372,$F42,Покупка!$AC$25:$AC$372,$G42)</f>
        <v>0</v>
      </c>
      <c r="AL42" s="802">
        <f>IF(AI42=0,0,(AK42-AI42)/AI42*100)</f>
        <v>0</v>
      </c>
      <c r="AM42" s="7153"/>
      <c r="AN42" s="7154" t="str">
        <f>IF(_xlfn.IFERROR(INDEX(Покупка!$K$26:$L$372,MATCH($F42&amp;"5komm",Покупка!$K$26:$K$372,0),2),"")=0,"",_xlfn.IFERROR(INDEX(Покупка!$K$26:$L$372,MATCH($F42&amp;"5komm",Покупка!$K$26:$K$372,0),2),""))</f>
        <v/>
      </c>
      <c r="AO42" s="7153"/>
      <c r="AP42" s="1741"/>
      <c r="AQ42" s="1741"/>
      <c r="AR42" s="1062" t="s">
        <v>2465</v>
      </c>
      <c r="AS42" s="1062"/>
      <c r="AT42" s="1062"/>
      <c r="AU42" s="1059"/>
      <c r="AV42" s="1059"/>
    </row>
    <row s="588" customFormat="1" customHeight="1" ht="43.875" hidden="1">
      <c r="A43" s="588"/>
      <c r="B43" s="588"/>
      <c r="C43" s="588"/>
      <c r="D43" s="588"/>
      <c r="E43" s="697">
        <v>45</v>
      </c>
      <c r="F43" s="50" cm="1" t="str">
        <f t="array" ref="F43:F43">OFFSET(E43,-1,1)</f>
        <v>0</v>
      </c>
      <c r="G43" s="588"/>
      <c r="H43" s="588"/>
      <c r="I43" s="698" t="s">
        <v>1182</v>
      </c>
      <c r="J43" s="698"/>
      <c r="K43" s="698"/>
      <c r="L43" s="698"/>
      <c r="M43" s="698"/>
      <c r="N43" s="698"/>
      <c r="O43" s="698"/>
      <c r="P43" s="698"/>
      <c r="Q43" s="698"/>
      <c r="R43" s="698"/>
      <c r="S43" s="698"/>
      <c r="T43" s="465" cm="1" t="str">
        <f t="array" ref="T43:T43">T42</f>
        <v>false</v>
      </c>
      <c r="U43" s="588"/>
      <c r="V43" s="588"/>
      <c r="W43" s="588"/>
      <c r="X43" s="1641"/>
      <c r="Y43" s="588"/>
      <c r="Z43" s="1642"/>
      <c r="AA43" s="588"/>
      <c r="AB43" s="804" t="s">
        <v>1634</v>
      </c>
      <c r="AC43" s="805" t="s">
        <v>2466</v>
      </c>
      <c r="AD43" s="590" t="s">
        <v>1514</v>
      </c>
      <c r="AE43" s="7165"/>
      <c r="AF43" s="7165"/>
      <c r="AG43" s="7165"/>
      <c r="AH43" s="801">
        <f>AG43-AF43</f>
        <v>0</v>
      </c>
      <c r="AI43" s="7165"/>
      <c r="AJ43" s="7165"/>
      <c r="AK43" s="7165"/>
      <c r="AL43" s="801">
        <f>IF(AI43=0,0,(AK43-AI43)/AI43*100)</f>
        <v>0</v>
      </c>
      <c r="AM43" s="7159"/>
      <c r="AN43" s="7159"/>
      <c r="AO43" s="7159"/>
      <c r="AP43" s="588"/>
      <c r="AQ43" s="588"/>
      <c r="AR43" s="1063" t="s">
        <v>2467</v>
      </c>
      <c r="AS43" s="1063"/>
      <c r="AT43" s="1063"/>
      <c r="AU43" s="697"/>
      <c r="AV43" s="697"/>
    </row>
    <row s="588" customFormat="1" customHeight="1" ht="43.875" hidden="1">
      <c r="A44" s="588"/>
      <c r="B44" s="588"/>
      <c r="C44" s="588"/>
      <c r="D44" s="588"/>
      <c r="E44" s="697">
        <v>45</v>
      </c>
      <c r="F44" s="50" cm="1" t="str">
        <f t="array" ref="F44:F44">OFFSET(E44,-1,1)</f>
        <v>0</v>
      </c>
      <c r="G44" s="588"/>
      <c r="H44" s="588"/>
      <c r="I44" s="698" t="s">
        <v>1186</v>
      </c>
      <c r="J44" s="698"/>
      <c r="K44" s="698"/>
      <c r="L44" s="698"/>
      <c r="M44" s="698"/>
      <c r="N44" s="698"/>
      <c r="O44" s="698"/>
      <c r="P44" s="698"/>
      <c r="Q44" s="698"/>
      <c r="R44" s="698"/>
      <c r="S44" s="698"/>
      <c r="T44" s="465" cm="1" t="str">
        <f t="array" ref="T44:T44">T43</f>
        <v>false</v>
      </c>
      <c r="U44" s="588"/>
      <c r="V44" s="588"/>
      <c r="W44" s="588"/>
      <c r="X44" s="1641"/>
      <c r="Y44" s="588"/>
      <c r="Z44" s="1642"/>
      <c r="AA44" s="588"/>
      <c r="AB44" s="804" t="s">
        <v>1637</v>
      </c>
      <c r="AC44" s="805" t="s">
        <v>2468</v>
      </c>
      <c r="AD44" s="590" t="s">
        <v>1514</v>
      </c>
      <c r="AE44" s="801">
        <f>AE45+AE46</f>
        <v>0</v>
      </c>
      <c r="AF44" s="801">
        <f>AF45+AF46</f>
        <v>0</v>
      </c>
      <c r="AG44" s="801">
        <f>AG45+AG46</f>
        <v>0</v>
      </c>
      <c r="AH44" s="801">
        <f>AG44-AF44</f>
        <v>0</v>
      </c>
      <c r="AI44" s="801">
        <f>AI45+AI46</f>
        <v>0</v>
      </c>
      <c r="AJ44" s="801">
        <f>AJ45+AJ46</f>
        <v>0</v>
      </c>
      <c r="AK44" s="801">
        <f>AK45+AK46</f>
        <v>0</v>
      </c>
      <c r="AL44" s="801">
        <f>IF(AI44=0,0,(AK44-AI44)/AI44*100)</f>
        <v>0</v>
      </c>
      <c r="AM44" s="7159"/>
      <c r="AN44" s="7159"/>
      <c r="AO44" s="7159"/>
      <c r="AP44" s="588"/>
      <c r="AQ44" s="588"/>
      <c r="AR44" s="1063" t="s">
        <v>2469</v>
      </c>
      <c r="AS44" s="1063"/>
      <c r="AT44" s="1063"/>
      <c r="AU44" s="697"/>
      <c r="AV44" s="697"/>
    </row>
    <row customHeight="1" ht="14.625" hidden="1">
      <c r="A45" s="1741"/>
      <c r="B45" s="1741"/>
      <c r="C45" s="1741"/>
      <c r="D45" s="1741"/>
      <c r="E45" s="695">
        <v>15</v>
      </c>
      <c r="F45" s="50" cm="1" t="str">
        <f t="array" ref="F45:F45">OFFSET(E45,-1,1)</f>
        <v>0</v>
      </c>
      <c r="G45" s="699" t="s">
        <v>1866</v>
      </c>
      <c r="H45" s="1741"/>
      <c r="I45" s="587" t="s">
        <v>2095</v>
      </c>
      <c r="J45" s="587"/>
      <c r="K45" s="587"/>
      <c r="L45" s="587"/>
      <c r="M45" s="587"/>
      <c r="N45" s="587"/>
      <c r="O45" s="587"/>
      <c r="P45" s="698"/>
      <c r="Q45" s="587"/>
      <c r="R45" s="587"/>
      <c r="S45" s="587"/>
      <c r="T45" s="465" cm="1" t="str">
        <f t="array" ref="T45:T45">T44</f>
        <v>false</v>
      </c>
      <c r="U45" s="1741"/>
      <c r="V45" s="1741"/>
      <c r="W45" s="1741"/>
      <c r="X45" s="1641"/>
      <c r="Y45" s="1741"/>
      <c r="Z45" s="1642"/>
      <c r="AA45" s="1741"/>
      <c r="AB45" s="807" t="s">
        <v>1752</v>
      </c>
      <c r="AC45" s="808" t="s">
        <v>2470</v>
      </c>
      <c r="AD45" s="759" t="s">
        <v>1514</v>
      </c>
      <c r="AE45" s="802">
        <f>_xlfn.SUMIFS(ФОТ!AE$25:AE$188,ФОТ!$F$25:$F$188,$F45,ФОТ!$G$25:$G$188,$G45)</f>
        <v>0</v>
      </c>
      <c r="AF45" s="802">
        <f>_xlfn.SUMIFS(ФОТ!AF$25:AF$188,ФОТ!$F$25:$F$188,$F45,ФОТ!$G$25:$G$188,$G45)</f>
        <v>0</v>
      </c>
      <c r="AG45" s="802">
        <f>_xlfn.SUMIFS(ФОТ!AG$25:AG$188,ФОТ!$F$25:$F$188,$F45,ФОТ!$G$25:$G$188,$G45)</f>
        <v>0</v>
      </c>
      <c r="AH45" s="802">
        <f>AG45-AF45</f>
        <v>0</v>
      </c>
      <c r="AI45" s="802">
        <f>_xlfn.SUMIFS(ФОТ!AH$25:AH$188,ФОТ!$F$25:$F$188,$F45,ФОТ!$G$25:$G$188,$G45)</f>
        <v>0</v>
      </c>
      <c r="AJ45" s="802">
        <f>_xlfn.SUMIFS(ФОТ!AI$25:AI$188,ФОТ!$F$25:$F$188,$F45,ФОТ!$G$25:$G$188,$G45)</f>
        <v>0</v>
      </c>
      <c r="AK45" s="802">
        <f>_xlfn.SUMIFS(ФОТ!AJ$25:AJ$188,ФОТ!$F$25:$F$188,$F45,ФОТ!$G$25:$G$188,$G45)</f>
        <v>0</v>
      </c>
      <c r="AL45" s="802">
        <f>IF(AI45=0,0,(AK45-AI45)/AI45*100)</f>
        <v>0</v>
      </c>
      <c r="AM45" s="7153"/>
      <c r="AN45" s="7154" t="str">
        <f>IF(_xlfn.IFERROR(INDEX(ФОТ!$K$26:$L$188,MATCH($F45&amp;"1komm",ФОТ!$K$26:$K$188,0),2),"")=0,"",_xlfn.IFERROR(INDEX(ФОТ!$K$26:$L$188,MATCH($F45&amp;"1komm",ФОТ!$K$26:$K$188,0),2),""))</f>
        <v/>
      </c>
      <c r="AO45" s="7153"/>
      <c r="AP45" s="1741"/>
      <c r="AQ45" s="1741"/>
      <c r="AR45" s="1062" t="s">
        <v>2471</v>
      </c>
      <c r="AS45" s="1062"/>
      <c r="AT45" s="1062"/>
      <c r="AU45" s="1059"/>
      <c r="AV45" s="1059"/>
    </row>
    <row customHeight="1" ht="21.9375" hidden="1">
      <c r="A46" s="1741"/>
      <c r="B46" s="1741"/>
      <c r="C46" s="1741"/>
      <c r="D46" s="1741"/>
      <c r="E46" s="695">
        <v>22.5</v>
      </c>
      <c r="F46" s="50" cm="1" t="str">
        <f t="array" ref="F46:F46">OFFSET(E46,-1,1)</f>
        <v>0</v>
      </c>
      <c r="G46" s="699" t="s">
        <v>1878</v>
      </c>
      <c r="H46" s="1741"/>
      <c r="I46" s="587" t="s">
        <v>2096</v>
      </c>
      <c r="J46" s="587"/>
      <c r="K46" s="587"/>
      <c r="L46" s="587"/>
      <c r="M46" s="587"/>
      <c r="N46" s="587"/>
      <c r="O46" s="587"/>
      <c r="P46" s="698"/>
      <c r="Q46" s="587"/>
      <c r="R46" s="587"/>
      <c r="S46" s="587"/>
      <c r="T46" s="465" cm="1" t="str">
        <f t="array" ref="T46:T46">T45</f>
        <v>false</v>
      </c>
      <c r="U46" s="1741"/>
      <c r="V46" s="1741"/>
      <c r="W46" s="1741"/>
      <c r="X46" s="1641"/>
      <c r="Y46" s="1741"/>
      <c r="Z46" s="1642"/>
      <c r="AA46" s="1741"/>
      <c r="AB46" s="807" t="s">
        <v>1755</v>
      </c>
      <c r="AC46" s="808" t="s">
        <v>2472</v>
      </c>
      <c r="AD46" s="759" t="s">
        <v>1514</v>
      </c>
      <c r="AE46" s="802">
        <f>_xlfn.SUMIFS(ФОТ!AE$25:AE$188,ФОТ!$F$25:$F$188,$F46,ФОТ!$G$25:$G$188,$G46)</f>
        <v>0</v>
      </c>
      <c r="AF46" s="802">
        <f>_xlfn.SUMIFS(ФОТ!AF$25:AF$188,ФОТ!$F$25:$F$188,$F46,ФОТ!$G$25:$G$188,$G46)</f>
        <v>0</v>
      </c>
      <c r="AG46" s="802">
        <f>_xlfn.SUMIFS(ФОТ!AG$25:AG$188,ФОТ!$F$25:$F$188,$F46,ФОТ!$G$25:$G$188,$G46)</f>
        <v>0</v>
      </c>
      <c r="AH46" s="802">
        <f>AG46-AF46</f>
        <v>0</v>
      </c>
      <c r="AI46" s="802">
        <f>_xlfn.SUMIFS(ФОТ!AH$25:AH$188,ФОТ!$F$25:$F$188,$F46,ФОТ!$G$25:$G$188,$G46)</f>
        <v>0</v>
      </c>
      <c r="AJ46" s="802">
        <f>_xlfn.SUMIFS(ФОТ!AI$25:AI$188,ФОТ!$F$25:$F$188,$F46,ФОТ!$G$25:$G$188,$G46)</f>
        <v>0</v>
      </c>
      <c r="AK46" s="802">
        <f>_xlfn.SUMIFS(ФОТ!AJ$25:AJ$188,ФОТ!$F$25:$F$188,$F46,ФОТ!$G$25:$G$188,$G46)</f>
        <v>0</v>
      </c>
      <c r="AL46" s="802">
        <f>IF(AI46=0,0,(AK46-AI46)/AI46*100)</f>
        <v>0</v>
      </c>
      <c r="AM46" s="7153"/>
      <c r="AN46" s="7154" t="str">
        <f>IF(_xlfn.IFERROR(INDEX(ФОТ!$K$26:$L$188,MATCH($F46&amp;"2komm",ФОТ!$K$26:$K$188,0),2),"")=0,"",_xlfn.IFERROR(INDEX(ФОТ!$K$26:$L$188,MATCH($F46&amp;"2komm",ФОТ!$K$26:$K$188,0),2),""))</f>
        <v/>
      </c>
      <c r="AO46" s="7153"/>
      <c r="AP46" s="1741"/>
      <c r="AQ46" s="1741"/>
      <c r="AR46" s="1062" t="s">
        <v>2473</v>
      </c>
      <c r="AS46" s="1062"/>
      <c r="AT46" s="1062"/>
      <c r="AU46" s="1059"/>
      <c r="AV46" s="1059"/>
    </row>
    <row s="588" customFormat="1" customHeight="1" ht="14.625" hidden="1">
      <c r="A47" s="588"/>
      <c r="B47" s="588"/>
      <c r="C47" s="588"/>
      <c r="D47" s="588"/>
      <c r="E47" s="697">
        <v>15</v>
      </c>
      <c r="F47" s="50" cm="1" t="str">
        <f t="array" ref="F47:F47">OFFSET(E47,-1,1)</f>
        <v>0</v>
      </c>
      <c r="G47" s="588"/>
      <c r="H47" s="588"/>
      <c r="I47" s="698" t="s">
        <v>1640</v>
      </c>
      <c r="J47" s="698"/>
      <c r="K47" s="698"/>
      <c r="L47" s="698"/>
      <c r="M47" s="698"/>
      <c r="N47" s="698"/>
      <c r="O47" s="698"/>
      <c r="P47" s="698"/>
      <c r="Q47" s="698"/>
      <c r="R47" s="698"/>
      <c r="S47" s="698"/>
      <c r="T47" s="465" cm="1" t="str">
        <f t="array" ref="T47:T47">T46</f>
        <v>false</v>
      </c>
      <c r="U47" s="588"/>
      <c r="V47" s="588"/>
      <c r="W47" s="588"/>
      <c r="X47" s="1641"/>
      <c r="Y47" s="588"/>
      <c r="Z47" s="1642"/>
      <c r="AA47" s="588"/>
      <c r="AB47" s="804" t="s">
        <v>1641</v>
      </c>
      <c r="AC47" s="805" t="s">
        <v>2474</v>
      </c>
      <c r="AD47" s="590" t="s">
        <v>1514</v>
      </c>
      <c r="AE47" s="7165"/>
      <c r="AF47" s="7165"/>
      <c r="AG47" s="7165"/>
      <c r="AH47" s="801">
        <f>AG47-AF47</f>
        <v>0</v>
      </c>
      <c r="AI47" s="7165"/>
      <c r="AJ47" s="7165"/>
      <c r="AK47" s="7165"/>
      <c r="AL47" s="801">
        <f>IF(AI47=0,0,(AK47-AI47)/AI47*100)</f>
        <v>0</v>
      </c>
      <c r="AM47" s="7159"/>
      <c r="AN47" s="7159"/>
      <c r="AO47" s="7159"/>
      <c r="AP47" s="588"/>
      <c r="AQ47" s="588"/>
      <c r="AR47" s="1063" t="s">
        <v>2074</v>
      </c>
      <c r="AS47" s="1063"/>
      <c r="AT47" s="1063"/>
      <c r="AU47" s="697"/>
      <c r="AV47" s="697"/>
    </row>
    <row s="588" customFormat="1" customHeight="1" ht="14.625" hidden="1">
      <c r="A48" s="588"/>
      <c r="B48" s="588"/>
      <c r="C48" s="588"/>
      <c r="D48" s="588"/>
      <c r="E48" s="697">
        <v>15</v>
      </c>
      <c r="F48" s="50" cm="1" t="str">
        <f t="array" ref="F48:F48">OFFSET(E48,-1,1)</f>
        <v>0</v>
      </c>
      <c r="G48" s="588"/>
      <c r="H48" s="588"/>
      <c r="I48" s="698" t="s">
        <v>2475</v>
      </c>
      <c r="J48" s="698"/>
      <c r="K48" s="698"/>
      <c r="L48" s="698"/>
      <c r="M48" s="698"/>
      <c r="N48" s="698"/>
      <c r="O48" s="698"/>
      <c r="P48" s="698"/>
      <c r="Q48" s="698"/>
      <c r="R48" s="698"/>
      <c r="S48" s="698"/>
      <c r="T48" s="465" cm="1" t="str">
        <f t="array" ref="T48:T48">T47</f>
        <v>false</v>
      </c>
      <c r="U48" s="588"/>
      <c r="V48" s="588"/>
      <c r="W48" s="588"/>
      <c r="X48" s="1641"/>
      <c r="Y48" s="588"/>
      <c r="Z48" s="1642"/>
      <c r="AA48" s="588"/>
      <c r="AB48" s="804" t="s">
        <v>2476</v>
      </c>
      <c r="AC48" s="805" t="s">
        <v>2477</v>
      </c>
      <c r="AD48" s="590" t="s">
        <v>1514</v>
      </c>
      <c r="AE48" s="7165"/>
      <c r="AF48" s="7165"/>
      <c r="AG48" s="7165"/>
      <c r="AH48" s="801">
        <f>AG48-AF48</f>
        <v>0</v>
      </c>
      <c r="AI48" s="7165"/>
      <c r="AJ48" s="7165"/>
      <c r="AK48" s="7165"/>
      <c r="AL48" s="801">
        <f>IF(AI48=0,0,(AK48-AI48)/AI48*100)</f>
        <v>0</v>
      </c>
      <c r="AM48" s="7159"/>
      <c r="AN48" s="7159"/>
      <c r="AO48" s="7159"/>
      <c r="AP48" s="588"/>
      <c r="AQ48" s="588"/>
      <c r="AR48" s="1063" t="s">
        <v>2478</v>
      </c>
      <c r="AS48" s="1063"/>
      <c r="AT48" s="1063"/>
      <c r="AU48" s="697"/>
      <c r="AV48" s="697"/>
    </row>
    <row s="588" customFormat="1" customHeight="1" ht="14.625" hidden="1">
      <c r="A49" s="588"/>
      <c r="B49" s="588"/>
      <c r="C49" s="588"/>
      <c r="D49" s="588"/>
      <c r="E49" s="697">
        <v>15</v>
      </c>
      <c r="F49" s="50" cm="1" t="str">
        <f t="array" ref="F49:F49">OFFSET(E49,-1,1)</f>
        <v>0</v>
      </c>
      <c r="G49" s="588"/>
      <c r="H49" s="588"/>
      <c r="I49" s="698" t="s">
        <v>2479</v>
      </c>
      <c r="J49" s="698"/>
      <c r="K49" s="698"/>
      <c r="L49" s="698"/>
      <c r="M49" s="698"/>
      <c r="N49" s="698"/>
      <c r="O49" s="698"/>
      <c r="P49" s="698"/>
      <c r="Q49" s="698"/>
      <c r="R49" s="698"/>
      <c r="S49" s="698"/>
      <c r="T49" s="465" cm="1" t="str">
        <f t="array" ref="T49:T49">T48</f>
        <v>false</v>
      </c>
      <c r="U49" s="588"/>
      <c r="V49" s="588"/>
      <c r="W49" s="588"/>
      <c r="X49" s="1641"/>
      <c r="Y49" s="588"/>
      <c r="Z49" s="1642"/>
      <c r="AA49" s="588"/>
      <c r="AB49" s="804" t="s">
        <v>2480</v>
      </c>
      <c r="AC49" s="805" t="s">
        <v>2481</v>
      </c>
      <c r="AD49" s="590" t="s">
        <v>1514</v>
      </c>
      <c r="AE49" s="801">
        <f>SUM(AE50:AE55)</f>
        <v>0</v>
      </c>
      <c r="AF49" s="801">
        <f>SUM(AF50:AF55)</f>
        <v>0</v>
      </c>
      <c r="AG49" s="801">
        <f>SUM(AG50:AG55)</f>
        <v>0</v>
      </c>
      <c r="AH49" s="801">
        <f>AG49-AF49</f>
        <v>0</v>
      </c>
      <c r="AI49" s="801">
        <f>SUM(AI50:AI55)</f>
        <v>0</v>
      </c>
      <c r="AJ49" s="801">
        <f>SUM(AJ50:AJ55)</f>
        <v>0</v>
      </c>
      <c r="AK49" s="801">
        <f>SUM(AK50:AK55)</f>
        <v>0</v>
      </c>
      <c r="AL49" s="801">
        <f>IF(AI49=0,0,(AK49-AI49)/AI49*100)</f>
        <v>0</v>
      </c>
      <c r="AM49" s="7159"/>
      <c r="AN49" s="7159"/>
      <c r="AO49" s="7159"/>
      <c r="AP49" s="588"/>
      <c r="AQ49" s="588"/>
      <c r="AR49" s="1063" t="s">
        <v>2482</v>
      </c>
      <c r="AS49" s="1063"/>
      <c r="AT49" s="1063"/>
      <c r="AU49" s="697"/>
      <c r="AV49" s="697"/>
    </row>
    <row customHeight="1" ht="14.625" hidden="1">
      <c r="A50" s="1741"/>
      <c r="B50" s="1741"/>
      <c r="C50" s="1741"/>
      <c r="D50" s="1741"/>
      <c r="E50" s="695">
        <v>15</v>
      </c>
      <c r="F50" s="50" cm="1" t="str">
        <f t="array" ref="F50:F50">OFFSET(E50,-1,1)</f>
        <v>0</v>
      </c>
      <c r="G50" s="1741"/>
      <c r="H50" s="1741"/>
      <c r="I50" s="587" t="s">
        <v>2479</v>
      </c>
      <c r="J50" s="986" t="s">
        <v>2483</v>
      </c>
      <c r="K50" s="1741"/>
      <c r="L50" s="587"/>
      <c r="M50" s="587"/>
      <c r="N50" s="587"/>
      <c r="O50" s="587"/>
      <c r="P50" s="587"/>
      <c r="Q50" s="587"/>
      <c r="R50" s="587"/>
      <c r="S50" s="587"/>
      <c r="T50" s="465" cm="1" t="str">
        <f t="array" ref="T50:T50">T49</f>
        <v>false</v>
      </c>
      <c r="U50" s="1741"/>
      <c r="V50" s="1741"/>
      <c r="W50" s="1741"/>
      <c r="X50" s="1641"/>
      <c r="Y50" s="1741"/>
      <c r="Z50" s="1642"/>
      <c r="AA50" s="1741"/>
      <c r="AB50" s="807" t="s">
        <v>2484</v>
      </c>
      <c r="AC50" s="808" t="s">
        <v>2485</v>
      </c>
      <c r="AD50" s="759" t="s">
        <v>1514</v>
      </c>
      <c r="AE50" s="7168"/>
      <c r="AF50" s="7168"/>
      <c r="AG50" s="7168"/>
      <c r="AH50" s="802">
        <f>AG50-AF50</f>
        <v>0</v>
      </c>
      <c r="AI50" s="7168"/>
      <c r="AJ50" s="7168"/>
      <c r="AK50" s="7168"/>
      <c r="AL50" s="802">
        <f>IF(AI50=0,0,(AK50-AI50)/AI50*100)</f>
        <v>0</v>
      </c>
      <c r="AM50" s="7153"/>
      <c r="AN50" s="7153"/>
      <c r="AO50" s="7153"/>
      <c r="AP50" s="1741"/>
      <c r="AQ50" s="1741"/>
      <c r="AR50" s="1062" t="s">
        <v>2486</v>
      </c>
      <c r="AS50" s="1062"/>
      <c r="AT50" s="1062"/>
      <c r="AU50" s="1059"/>
      <c r="AV50" s="1059"/>
    </row>
    <row customHeight="1" ht="14.625" hidden="1">
      <c r="A51" s="1741"/>
      <c r="B51" s="1741"/>
      <c r="C51" s="1741"/>
      <c r="D51" s="1741"/>
      <c r="E51" s="695">
        <v>15</v>
      </c>
      <c r="F51" s="50" cm="1" t="str">
        <f t="array" ref="F51:F51">OFFSET(E51,-1,1)</f>
        <v>0</v>
      </c>
      <c r="G51" s="1741"/>
      <c r="H51" s="1741"/>
      <c r="I51" s="587" t="s">
        <v>2479</v>
      </c>
      <c r="J51" s="986" t="s">
        <v>2487</v>
      </c>
      <c r="K51" s="1741"/>
      <c r="L51" s="587"/>
      <c r="M51" s="587"/>
      <c r="N51" s="587"/>
      <c r="O51" s="587"/>
      <c r="P51" s="587"/>
      <c r="Q51" s="587"/>
      <c r="R51" s="587"/>
      <c r="S51" s="587"/>
      <c r="T51" s="465" cm="1" t="str">
        <f t="array" ref="T51:T51">T50</f>
        <v>false</v>
      </c>
      <c r="U51" s="1741"/>
      <c r="V51" s="1741"/>
      <c r="W51" s="1741"/>
      <c r="X51" s="1641"/>
      <c r="Y51" s="1741"/>
      <c r="Z51" s="1642"/>
      <c r="AA51" s="1741"/>
      <c r="AB51" s="807" t="s">
        <v>2488</v>
      </c>
      <c r="AC51" s="808" t="s">
        <v>2489</v>
      </c>
      <c r="AD51" s="759" t="s">
        <v>1514</v>
      </c>
      <c r="AE51" s="7168"/>
      <c r="AF51" s="7168"/>
      <c r="AG51" s="7168"/>
      <c r="AH51" s="802">
        <f>AG51-AF51</f>
        <v>0</v>
      </c>
      <c r="AI51" s="7168"/>
      <c r="AJ51" s="7168"/>
      <c r="AK51" s="7168"/>
      <c r="AL51" s="802">
        <f>IF(AI51=0,0,(AK51-AI51)/AI51*100)</f>
        <v>0</v>
      </c>
      <c r="AM51" s="7153"/>
      <c r="AN51" s="7153"/>
      <c r="AO51" s="7153"/>
      <c r="AP51" s="1741"/>
      <c r="AQ51" s="1741"/>
      <c r="AR51" s="1062" t="s">
        <v>2490</v>
      </c>
      <c r="AS51" s="1062"/>
      <c r="AT51" s="1062"/>
      <c r="AU51" s="1059"/>
      <c r="AV51" s="1059"/>
    </row>
    <row customHeight="1" ht="14.625" hidden="1">
      <c r="A52" s="1741"/>
      <c r="B52" s="1741"/>
      <c r="C52" s="1741"/>
      <c r="D52" s="1741"/>
      <c r="E52" s="695">
        <v>15</v>
      </c>
      <c r="F52" s="50" cm="1" t="str">
        <f t="array" ref="F52:F52">OFFSET(E52,-1,1)</f>
        <v>0</v>
      </c>
      <c r="G52" s="1741"/>
      <c r="H52" s="1741"/>
      <c r="I52" s="587" t="s">
        <v>2479</v>
      </c>
      <c r="J52" s="986" t="s">
        <v>2491</v>
      </c>
      <c r="K52" s="1741"/>
      <c r="L52" s="587"/>
      <c r="M52" s="587"/>
      <c r="N52" s="587"/>
      <c r="O52" s="587"/>
      <c r="P52" s="587"/>
      <c r="Q52" s="587"/>
      <c r="R52" s="587"/>
      <c r="S52" s="587"/>
      <c r="T52" s="465" cm="1" t="str">
        <f t="array" ref="T52:T52">T51</f>
        <v>false</v>
      </c>
      <c r="U52" s="1741"/>
      <c r="V52" s="1741"/>
      <c r="W52" s="1741"/>
      <c r="X52" s="1641"/>
      <c r="Y52" s="1741"/>
      <c r="Z52" s="1642"/>
      <c r="AA52" s="1741"/>
      <c r="AB52" s="807" t="s">
        <v>2492</v>
      </c>
      <c r="AC52" s="808" t="s">
        <v>2493</v>
      </c>
      <c r="AD52" s="759" t="s">
        <v>1514</v>
      </c>
      <c r="AE52" s="7168"/>
      <c r="AF52" s="7168"/>
      <c r="AG52" s="7168"/>
      <c r="AH52" s="802">
        <f>AG52-AF52</f>
        <v>0</v>
      </c>
      <c r="AI52" s="7168"/>
      <c r="AJ52" s="7168"/>
      <c r="AK52" s="7168"/>
      <c r="AL52" s="802">
        <f>IF(AI52=0,0,(AK52-AI52)/AI52*100)</f>
        <v>0</v>
      </c>
      <c r="AM52" s="7153"/>
      <c r="AN52" s="7153"/>
      <c r="AO52" s="7153"/>
      <c r="AP52" s="1741"/>
      <c r="AQ52" s="1741"/>
      <c r="AR52" s="1062" t="s">
        <v>2494</v>
      </c>
      <c r="AS52" s="1062"/>
      <c r="AT52" s="1062"/>
      <c r="AU52" s="1059"/>
      <c r="AV52" s="1059"/>
    </row>
    <row customHeight="1" ht="14.625" hidden="1">
      <c r="A53" s="1741"/>
      <c r="B53" s="1741"/>
      <c r="C53" s="1741"/>
      <c r="D53" s="1741"/>
      <c r="E53" s="695">
        <v>15</v>
      </c>
      <c r="F53" s="50" cm="1" t="str">
        <f t="array" ref="F53:F53">OFFSET(E53,-1,1)</f>
        <v>0</v>
      </c>
      <c r="G53" s="1741"/>
      <c r="H53" s="1741"/>
      <c r="I53" s="587" t="s">
        <v>2479</v>
      </c>
      <c r="J53" s="986" t="s">
        <v>2495</v>
      </c>
      <c r="K53" s="1741"/>
      <c r="L53" s="587"/>
      <c r="M53" s="587"/>
      <c r="N53" s="587"/>
      <c r="O53" s="587"/>
      <c r="P53" s="587"/>
      <c r="Q53" s="587"/>
      <c r="R53" s="587"/>
      <c r="S53" s="587"/>
      <c r="T53" s="465" cm="1" t="str">
        <f t="array" ref="T53:T53">T52</f>
        <v>false</v>
      </c>
      <c r="U53" s="1741"/>
      <c r="V53" s="1741"/>
      <c r="W53" s="1741"/>
      <c r="X53" s="1641"/>
      <c r="Y53" s="1741"/>
      <c r="Z53" s="1642"/>
      <c r="AA53" s="1741"/>
      <c r="AB53" s="807" t="s">
        <v>2496</v>
      </c>
      <c r="AC53" s="808" t="s">
        <v>2497</v>
      </c>
      <c r="AD53" s="759" t="s">
        <v>1514</v>
      </c>
      <c r="AE53" s="7168"/>
      <c r="AF53" s="7168"/>
      <c r="AG53" s="7168"/>
      <c r="AH53" s="802">
        <f>AG53-AF53</f>
        <v>0</v>
      </c>
      <c r="AI53" s="7168"/>
      <c r="AJ53" s="7168"/>
      <c r="AK53" s="7168"/>
      <c r="AL53" s="802">
        <f>IF(AI53=0,0,(AK53-AI53)/AI53*100)</f>
        <v>0</v>
      </c>
      <c r="AM53" s="7153"/>
      <c r="AN53" s="7153"/>
      <c r="AO53" s="7153"/>
      <c r="AP53" s="1741"/>
      <c r="AQ53" s="1741"/>
      <c r="AR53" s="1062" t="s">
        <v>2498</v>
      </c>
      <c r="AS53" s="1062"/>
      <c r="AT53" s="1062"/>
      <c r="AU53" s="1059"/>
      <c r="AV53" s="1059"/>
    </row>
    <row customHeight="1" ht="14.625" hidden="1">
      <c r="A54" s="1741"/>
      <c r="B54" s="1741"/>
      <c r="C54" s="1741"/>
      <c r="D54" s="1741"/>
      <c r="E54" s="695">
        <v>15</v>
      </c>
      <c r="F54" s="50" cm="1" t="str">
        <f t="array" ref="F54:F54">OFFSET(E54,-1,1)</f>
        <v>0</v>
      </c>
      <c r="G54" s="1741"/>
      <c r="H54" s="1741"/>
      <c r="I54" s="587" t="s">
        <v>2479</v>
      </c>
      <c r="J54" s="577" cm="1" t="str">
        <f t="array" ref="J54:J54">AC54</f>
        <v>0</v>
      </c>
      <c r="K54" s="1741"/>
      <c r="L54" s="587"/>
      <c r="M54" s="587"/>
      <c r="N54" s="587"/>
      <c r="O54" s="587"/>
      <c r="P54" s="587"/>
      <c r="Q54" s="587"/>
      <c r="R54" s="587"/>
      <c r="S54" s="587"/>
      <c r="T54" s="465">
        <f>AND(F54&gt;0,Y54&gt;4)</f>
        <v>0</v>
      </c>
      <c r="U54" s="1741"/>
      <c r="V54" s="1741"/>
      <c r="W54" s="757" t="s">
        <v>174</v>
      </c>
      <c r="X54" s="1641"/>
      <c r="Y54" s="577">
        <v>4</v>
      </c>
      <c r="Z54" s="1642"/>
      <c r="AA54" s="1228" t="s">
        <v>175</v>
      </c>
      <c r="AB54" s="701" t="str">
        <f>"1.7."&amp;Y54</f>
        <v>1.7.4</v>
      </c>
      <c r="AC54" s="7171"/>
      <c r="AD54" s="759" t="s">
        <v>1514</v>
      </c>
      <c r="AE54" s="7168"/>
      <c r="AF54" s="7168"/>
      <c r="AG54" s="7168"/>
      <c r="AH54" s="802">
        <f>AG54-AF54</f>
        <v>0</v>
      </c>
      <c r="AI54" s="7168"/>
      <c r="AJ54" s="7172"/>
      <c r="AK54" s="7172"/>
      <c r="AL54" s="802">
        <f>IF(AI54=0,0,(AK54-AI54)/AI54*100)</f>
        <v>0</v>
      </c>
      <c r="AM54" s="5154"/>
      <c r="AN54" s="5154"/>
      <c r="AO54" s="5154"/>
      <c r="AP54" s="1741"/>
      <c r="AQ54" s="1741"/>
      <c r="AR54" s="1062" t="s">
        <v>2499</v>
      </c>
      <c r="AS54" s="1062" t="s">
        <v>1855</v>
      </c>
      <c r="AT54" s="1060" cm="1" t="str">
        <f t="array" ref="AT54:AT54">AC54</f>
        <v>0</v>
      </c>
      <c r="AU54" s="1059"/>
      <c r="AV54" s="695" t="b">
        <v>1</v>
      </c>
    </row>
    <row customHeight="1" ht="14.625" hidden="1">
      <c r="A55" s="1741"/>
      <c r="B55" s="1741"/>
      <c r="C55" s="1741"/>
      <c r="D55" s="1741"/>
      <c r="E55" s="695">
        <v>15</v>
      </c>
      <c r="F55" s="50" cm="1" t="str">
        <f t="array" ref="F55:F55">OFFSET(E55,-1,1)</f>
        <v>0</v>
      </c>
      <c r="G55" s="1741"/>
      <c r="H55" s="1741"/>
      <c r="I55" s="696"/>
      <c r="J55" s="696" t="s">
        <v>2500</v>
      </c>
      <c r="K55" s="696"/>
      <c r="L55" s="696"/>
      <c r="M55" s="696"/>
      <c r="N55" s="696"/>
      <c r="O55" s="696"/>
      <c r="P55" s="696"/>
      <c r="Q55" s="696"/>
      <c r="R55" s="696"/>
      <c r="S55" s="696"/>
      <c r="T55" s="465">
        <f>F55&gt;0</f>
        <v>0</v>
      </c>
      <c r="U55" s="1741"/>
      <c r="V55" s="1741"/>
      <c r="W55" s="829" t="s">
        <v>399</v>
      </c>
      <c r="X55" s="1641"/>
      <c r="Y55" s="1741"/>
      <c r="Z55" s="1642"/>
      <c r="AA55" s="1741"/>
      <c r="AB55" s="1229"/>
      <c r="AC55" s="1230" t="s">
        <v>178</v>
      </c>
      <c r="AD55" s="1231"/>
      <c r="AE55" s="1231"/>
      <c r="AF55" s="1231"/>
      <c r="AG55" s="1231"/>
      <c r="AH55" s="1231"/>
      <c r="AI55" s="1231"/>
      <c r="AJ55" s="1231"/>
      <c r="AK55" s="1231"/>
      <c r="AL55" s="1231"/>
      <c r="AM55" s="1231"/>
      <c r="AN55" s="1231"/>
      <c r="AO55" s="1232"/>
      <c r="AP55" s="1741"/>
      <c r="AQ55" s="1741"/>
      <c r="AR55" s="1062"/>
      <c r="AS55" s="1062"/>
      <c r="AT55" s="1062"/>
      <c r="AU55" s="1059" t="s">
        <v>1855</v>
      </c>
      <c r="AV55" s="1059"/>
    </row>
    <row s="588" customFormat="1" customHeight="1" ht="14.625" hidden="1">
      <c r="A56" s="588"/>
      <c r="B56" s="588"/>
      <c r="C56" s="588"/>
      <c r="D56" s="588"/>
      <c r="E56" s="697">
        <v>15</v>
      </c>
      <c r="F56" s="50" cm="1" t="str">
        <f t="array" ref="F56:F56">OFFSET(E56,-1,1)</f>
        <v>0</v>
      </c>
      <c r="G56" s="588"/>
      <c r="H56" s="588"/>
      <c r="I56" s="698" t="s">
        <v>333</v>
      </c>
      <c r="J56" s="698"/>
      <c r="K56" s="698"/>
      <c r="L56" s="698"/>
      <c r="M56" s="698"/>
      <c r="N56" s="698"/>
      <c r="O56" s="698"/>
      <c r="P56" s="698"/>
      <c r="Q56" s="698"/>
      <c r="R56" s="698"/>
      <c r="S56" s="698"/>
      <c r="T56" s="465" cm="1" t="str">
        <f t="array" ref="T56:T56">T55</f>
        <v>false</v>
      </c>
      <c r="U56" s="588"/>
      <c r="V56" s="588"/>
      <c r="W56" s="588"/>
      <c r="X56" s="1641"/>
      <c r="Y56" s="588"/>
      <c r="Z56" s="1642"/>
      <c r="AA56" s="588"/>
      <c r="AB56" s="804" t="s">
        <v>285</v>
      </c>
      <c r="AC56" s="800" t="s">
        <v>2501</v>
      </c>
      <c r="AD56" s="812" t="s">
        <v>1514</v>
      </c>
      <c r="AE56" s="788">
        <f>AE57+AE58</f>
        <v>0</v>
      </c>
      <c r="AF56" s="788">
        <f>AF57+AF58</f>
        <v>0</v>
      </c>
      <c r="AG56" s="788">
        <f>AG57+AG58</f>
        <v>0</v>
      </c>
      <c r="AH56" s="801">
        <f>AG56-AF56</f>
        <v>0</v>
      </c>
      <c r="AI56" s="788">
        <f>AI57+AI58</f>
        <v>0</v>
      </c>
      <c r="AJ56" s="788">
        <f>AJ57+AJ58</f>
        <v>0</v>
      </c>
      <c r="AK56" s="788">
        <f>AK57+AK58</f>
        <v>0</v>
      </c>
      <c r="AL56" s="801">
        <f>IF(AI56=0,0,(AK56-AI56)/AI56*100)</f>
        <v>0</v>
      </c>
      <c r="AM56" s="7159"/>
      <c r="AN56" s="7159"/>
      <c r="AO56" s="7159"/>
      <c r="AP56" s="588"/>
      <c r="AQ56" s="588"/>
      <c r="AR56" s="1063" t="s">
        <v>2502</v>
      </c>
      <c r="AS56" s="1063"/>
      <c r="AT56" s="1063"/>
      <c r="AU56" s="697"/>
      <c r="AV56" s="697"/>
    </row>
    <row customHeight="1" ht="32.90625" hidden="1">
      <c r="A57" s="1741"/>
      <c r="B57" s="1741"/>
      <c r="C57" s="1741"/>
      <c r="D57" s="1741"/>
      <c r="E57" s="695">
        <v>33.75</v>
      </c>
      <c r="F57" s="50" cm="1" t="str">
        <f t="array" ref="F57:F57">OFFSET(E57,-1,1)</f>
        <v>0</v>
      </c>
      <c r="G57" s="1741"/>
      <c r="H57" s="1741"/>
      <c r="I57" s="587" t="s">
        <v>1193</v>
      </c>
      <c r="J57" s="587"/>
      <c r="K57" s="587"/>
      <c r="L57" s="587"/>
      <c r="M57" s="587"/>
      <c r="N57" s="587"/>
      <c r="O57" s="587"/>
      <c r="P57" s="587"/>
      <c r="Q57" s="587"/>
      <c r="R57" s="587"/>
      <c r="S57" s="587"/>
      <c r="T57" s="465" cm="1" t="str">
        <f t="array" ref="T57:T57">T56</f>
        <v>false</v>
      </c>
      <c r="U57" s="1741"/>
      <c r="V57" s="1741"/>
      <c r="W57" s="1741"/>
      <c r="X57" s="1641"/>
      <c r="Y57" s="1741"/>
      <c r="Z57" s="1642"/>
      <c r="AA57" s="1741"/>
      <c r="AB57" s="807" t="s">
        <v>1250</v>
      </c>
      <c r="AC57" s="813" t="s">
        <v>2503</v>
      </c>
      <c r="AD57" s="814" t="s">
        <v>1514</v>
      </c>
      <c r="AE57" s="7168"/>
      <c r="AF57" s="7168"/>
      <c r="AG57" s="7168"/>
      <c r="AH57" s="802">
        <f>AG57-AF57</f>
        <v>0</v>
      </c>
      <c r="AI57" s="7168"/>
      <c r="AJ57" s="7168"/>
      <c r="AK57" s="7168"/>
      <c r="AL57" s="802">
        <f>IF(AI57=0,0,(AK57-AI57)/AI57*100)</f>
        <v>0</v>
      </c>
      <c r="AM57" s="7153"/>
      <c r="AN57" s="7153"/>
      <c r="AO57" s="7153"/>
      <c r="AP57" s="1741"/>
      <c r="AQ57" s="1741"/>
      <c r="AR57" s="1062" t="s">
        <v>2504</v>
      </c>
      <c r="AS57" s="1062"/>
      <c r="AT57" s="1062"/>
      <c r="AU57" s="1059"/>
      <c r="AV57" s="1059"/>
    </row>
    <row customHeight="1" ht="35.1" hidden="1">
      <c r="A58" s="1741"/>
      <c r="B58" s="1741"/>
      <c r="C58" s="1741"/>
      <c r="D58" s="1741"/>
      <c r="E58" s="695">
        <v>36</v>
      </c>
      <c r="F58" s="50" cm="1" t="str">
        <f t="array" ref="F58:F58">OFFSET(E58,-1,1)</f>
        <v>0</v>
      </c>
      <c r="G58" s="1741"/>
      <c r="H58" s="1741"/>
      <c r="I58" s="587" t="s">
        <v>1196</v>
      </c>
      <c r="J58" s="587"/>
      <c r="K58" s="587"/>
      <c r="L58" s="587"/>
      <c r="M58" s="587"/>
      <c r="N58" s="587"/>
      <c r="O58" s="587"/>
      <c r="P58" s="587"/>
      <c r="Q58" s="587"/>
      <c r="R58" s="587"/>
      <c r="S58" s="587"/>
      <c r="T58" s="465" cm="1" t="str">
        <f t="array" ref="T58:T58">T57</f>
        <v>false</v>
      </c>
      <c r="U58" s="1741"/>
      <c r="V58" s="1741"/>
      <c r="W58" s="1741"/>
      <c r="X58" s="1641"/>
      <c r="Y58" s="1741"/>
      <c r="Z58" s="1642"/>
      <c r="AA58" s="1741"/>
      <c r="AB58" s="807" t="s">
        <v>1254</v>
      </c>
      <c r="AC58" s="813" t="s">
        <v>2505</v>
      </c>
      <c r="AD58" s="814" t="s">
        <v>1514</v>
      </c>
      <c r="AE58" s="815">
        <f>AE59+AE60</f>
        <v>0</v>
      </c>
      <c r="AF58" s="815">
        <f>AF59+AF60</f>
        <v>0</v>
      </c>
      <c r="AG58" s="815">
        <f>AG59+AG60</f>
        <v>0</v>
      </c>
      <c r="AH58" s="802">
        <f>AG58-AF58</f>
        <v>0</v>
      </c>
      <c r="AI58" s="815">
        <f>AI59+AI60</f>
        <v>0</v>
      </c>
      <c r="AJ58" s="815">
        <f>AJ59+AJ60</f>
        <v>0</v>
      </c>
      <c r="AK58" s="815">
        <f>AK59+AK60</f>
        <v>0</v>
      </c>
      <c r="AL58" s="802">
        <f>IF(AI58=0,0,(AK58-AI58)/AI58*100)</f>
        <v>0</v>
      </c>
      <c r="AM58" s="7153"/>
      <c r="AN58" s="7153"/>
      <c r="AO58" s="7153"/>
      <c r="AP58" s="1741"/>
      <c r="AQ58" s="1741"/>
      <c r="AR58" s="1062" t="s">
        <v>2506</v>
      </c>
      <c r="AS58" s="1062"/>
      <c r="AT58" s="1062"/>
      <c r="AU58" s="1059"/>
      <c r="AV58" s="1059"/>
    </row>
    <row customHeight="1" ht="14.625" hidden="1">
      <c r="A59" s="1741"/>
      <c r="B59" s="1741"/>
      <c r="C59" s="1741"/>
      <c r="D59" s="1741"/>
      <c r="E59" s="695">
        <v>15</v>
      </c>
      <c r="F59" s="50" cm="1" t="str">
        <f t="array" ref="F59:F59">OFFSET(E59,-1,1)</f>
        <v>0</v>
      </c>
      <c r="G59" s="577" t="s">
        <v>1881</v>
      </c>
      <c r="H59" s="1741"/>
      <c r="I59" s="587" t="s">
        <v>2507</v>
      </c>
      <c r="J59" s="587"/>
      <c r="K59" s="587"/>
      <c r="L59" s="587"/>
      <c r="M59" s="587"/>
      <c r="N59" s="587"/>
      <c r="O59" s="587"/>
      <c r="P59" s="587"/>
      <c r="Q59" s="587"/>
      <c r="R59" s="587"/>
      <c r="S59" s="587"/>
      <c r="T59" s="465" cm="1" t="str">
        <f t="array" ref="T59:T59">T58</f>
        <v>false</v>
      </c>
      <c r="U59" s="1741"/>
      <c r="V59" s="1741"/>
      <c r="W59" s="1741"/>
      <c r="X59" s="1641"/>
      <c r="Y59" s="1741"/>
      <c r="Z59" s="1642"/>
      <c r="AA59" s="1741"/>
      <c r="AB59" s="807" t="s">
        <v>1207</v>
      </c>
      <c r="AC59" s="808" t="s">
        <v>2508</v>
      </c>
      <c r="AD59" s="814" t="s">
        <v>1514</v>
      </c>
      <c r="AE59" s="802">
        <f>_xlfn.SUMIFS(ФОТ!AE$25:AE$188,ФОТ!$F$25:$F$188,$F59,ФОТ!$G$25:$G$188,$G59)</f>
        <v>0</v>
      </c>
      <c r="AF59" s="802">
        <f>_xlfn.SUMIFS(ФОТ!AF$25:AF$188,ФОТ!$F$25:$F$188,$F59,ФОТ!$G$25:$G$188,$G59)</f>
        <v>0</v>
      </c>
      <c r="AG59" s="802">
        <f>_xlfn.SUMIFS(ФОТ!AG$25:AG$188,ФОТ!$F$25:$F$188,$F59,ФОТ!$G$25:$G$188,$G59)</f>
        <v>0</v>
      </c>
      <c r="AH59" s="802">
        <f>AG59-AF59</f>
        <v>0</v>
      </c>
      <c r="AI59" s="802">
        <f>_xlfn.SUMIFS(ФОТ!AH$25:AH$188,ФОТ!$F$25:$F$188,$F59,ФОТ!$G$25:$G$188,$G59)</f>
        <v>0</v>
      </c>
      <c r="AJ59" s="802">
        <f>_xlfn.SUMIFS(ФОТ!AI$25:AI$188,ФОТ!$F$25:$F$188,$F59,ФОТ!$G$25:$G$188,$G59)</f>
        <v>0</v>
      </c>
      <c r="AK59" s="802">
        <f>_xlfn.SUMIFS(ФОТ!AJ$25:AJ$188,ФОТ!$F$25:$F$188,$F59,ФОТ!$G$25:$G$188,$G59)</f>
        <v>0</v>
      </c>
      <c r="AL59" s="802">
        <f>IF(AI59=0,0,(AK59-AI59)/AI59*100)</f>
        <v>0</v>
      </c>
      <c r="AM59" s="7153"/>
      <c r="AN59" s="7154" t="str">
        <f>IF(_xlfn.IFERROR(INDEX(ФОТ!$K$26:$L$188,MATCH($F59&amp;"3komm",ФОТ!$K$26:$K$188,0),2),"")=0,"",_xlfn.IFERROR(INDEX(ФОТ!$K$26:$L$188,MATCH($F59&amp;"3komm",ФОТ!$K$26:$K$188,0),2),""))</f>
        <v/>
      </c>
      <c r="AO59" s="7153"/>
      <c r="AP59" s="1741"/>
      <c r="AQ59" s="1741"/>
      <c r="AR59" s="1062" t="s">
        <v>2509</v>
      </c>
      <c r="AS59" s="1062"/>
      <c r="AT59" s="1062"/>
      <c r="AU59" s="1059"/>
      <c r="AV59" s="1059"/>
    </row>
    <row customHeight="1" ht="21.9375" hidden="1">
      <c r="A60" s="1741"/>
      <c r="B60" s="1741"/>
      <c r="C60" s="1741"/>
      <c r="D60" s="1741"/>
      <c r="E60" s="695">
        <v>22.5</v>
      </c>
      <c r="F60" s="50" cm="1" t="str">
        <f t="array" ref="F60:F60">OFFSET(E60,-1,1)</f>
        <v>0</v>
      </c>
      <c r="G60" s="577" t="s">
        <v>1886</v>
      </c>
      <c r="H60" s="1741"/>
      <c r="I60" s="587" t="s">
        <v>2510</v>
      </c>
      <c r="J60" s="587"/>
      <c r="K60" s="587"/>
      <c r="L60" s="587"/>
      <c r="M60" s="587"/>
      <c r="N60" s="587"/>
      <c r="O60" s="587"/>
      <c r="P60" s="587"/>
      <c r="Q60" s="587"/>
      <c r="R60" s="587"/>
      <c r="S60" s="587"/>
      <c r="T60" s="465" cm="1" t="str">
        <f t="array" ref="T60:T60">T59</f>
        <v>false</v>
      </c>
      <c r="U60" s="1741"/>
      <c r="V60" s="1741"/>
      <c r="W60" s="1741"/>
      <c r="X60" s="1641"/>
      <c r="Y60" s="1741"/>
      <c r="Z60" s="1642"/>
      <c r="AA60" s="1741"/>
      <c r="AB60" s="807" t="s">
        <v>2171</v>
      </c>
      <c r="AC60" s="808" t="s">
        <v>2511</v>
      </c>
      <c r="AD60" s="814" t="s">
        <v>1514</v>
      </c>
      <c r="AE60" s="802">
        <f>_xlfn.SUMIFS(ФОТ!AE$25:AE$188,ФОТ!$F$25:$F$188,$F60,ФОТ!$G$25:$G$188,$G60)</f>
        <v>0</v>
      </c>
      <c r="AF60" s="802">
        <f>_xlfn.SUMIFS(ФОТ!AF$25:AF$188,ФОТ!$F$25:$F$188,$F60,ФОТ!$G$25:$G$188,$G60)</f>
        <v>0</v>
      </c>
      <c r="AG60" s="802">
        <f>_xlfn.SUMIFS(ФОТ!AG$25:AG$188,ФОТ!$F$25:$F$188,$F60,ФОТ!$G$25:$G$188,$G60)</f>
        <v>0</v>
      </c>
      <c r="AH60" s="802">
        <f>AG60-AF60</f>
        <v>0</v>
      </c>
      <c r="AI60" s="802">
        <f>_xlfn.SUMIFS(ФОТ!AH$25:AH$188,ФОТ!$F$25:$F$188,$F60,ФОТ!$G$25:$G$188,$G60)</f>
        <v>0</v>
      </c>
      <c r="AJ60" s="802">
        <f>_xlfn.SUMIFS(ФОТ!AI$25:AI$188,ФОТ!$F$25:$F$188,$F60,ФОТ!$G$25:$G$188,$G60)</f>
        <v>0</v>
      </c>
      <c r="AK60" s="802">
        <f>_xlfn.SUMIFS(ФОТ!AJ$25:AJ$188,ФОТ!$F$25:$F$188,$F60,ФОТ!$G$25:$G$188,$G60)</f>
        <v>0</v>
      </c>
      <c r="AL60" s="802">
        <f>IF(AI60=0,0,(AK60-AI60)/AI60*100)</f>
        <v>0</v>
      </c>
      <c r="AM60" s="7153"/>
      <c r="AN60" s="7154" t="str">
        <f>IF(_xlfn.IFERROR(INDEX(ФОТ!$K$26:$L$188,MATCH($F60&amp;"4komm",ФОТ!$K$26:$K$188,0),2),"")=0,"",_xlfn.IFERROR(INDEX(ФОТ!$K$26:$L$188,MATCH($F60&amp;"4komm",ФОТ!$K$26:$K$188,0),2),""))</f>
        <v/>
      </c>
      <c r="AO60" s="7153"/>
      <c r="AP60" s="1741"/>
      <c r="AQ60" s="1741"/>
      <c r="AR60" s="1062" t="s">
        <v>2512</v>
      </c>
      <c r="AS60" s="1062"/>
      <c r="AT60" s="1062"/>
      <c r="AU60" s="1059"/>
      <c r="AV60" s="1059"/>
    </row>
    <row s="588" customFormat="1" customHeight="1" ht="14.625" hidden="1">
      <c r="A61" s="588"/>
      <c r="B61" s="588"/>
      <c r="C61" s="588"/>
      <c r="D61" s="588"/>
      <c r="E61" s="697">
        <v>15</v>
      </c>
      <c r="F61" s="50" cm="1" t="str">
        <f t="array" ref="F61:F61">OFFSET(E61,-1,1)</f>
        <v>0</v>
      </c>
      <c r="G61" s="588"/>
      <c r="H61" s="588"/>
      <c r="I61" s="698" t="s">
        <v>334</v>
      </c>
      <c r="J61" s="698"/>
      <c r="K61" s="698"/>
      <c r="L61" s="698"/>
      <c r="M61" s="698"/>
      <c r="N61" s="698"/>
      <c r="O61" s="698"/>
      <c r="P61" s="698"/>
      <c r="Q61" s="698"/>
      <c r="R61" s="698"/>
      <c r="S61" s="698"/>
      <c r="T61" s="465" cm="1" t="str">
        <f t="array" ref="T61:T61">T60</f>
        <v>false</v>
      </c>
      <c r="U61" s="588"/>
      <c r="V61" s="588"/>
      <c r="W61" s="588"/>
      <c r="X61" s="1641"/>
      <c r="Y61" s="588"/>
      <c r="Z61" s="1642"/>
      <c r="AA61" s="588"/>
      <c r="AB61" s="804" t="s">
        <v>289</v>
      </c>
      <c r="AC61" s="800" t="s">
        <v>2513</v>
      </c>
      <c r="AD61" s="812" t="s">
        <v>1514</v>
      </c>
      <c r="AE61" s="801">
        <f>AE62+AE63+AE66+AE67+AE68+AE69+AE70</f>
        <v>0</v>
      </c>
      <c r="AF61" s="801">
        <f>AF62+AF63+AF66+AF67+AF68+AF69+AF70</f>
        <v>0</v>
      </c>
      <c r="AG61" s="801">
        <f>AG62+AG63+AG66+AG67+AG68+AG69+AG70</f>
        <v>0</v>
      </c>
      <c r="AH61" s="801">
        <f>AG61-AF61</f>
        <v>0</v>
      </c>
      <c r="AI61" s="801">
        <f>AI62+AI63+AI66+AI67+AI68+AI69+AI70</f>
        <v>0</v>
      </c>
      <c r="AJ61" s="801">
        <f>AJ62+AJ63+AJ66+AJ67+AJ68+AJ69+AJ70</f>
        <v>0</v>
      </c>
      <c r="AK61" s="801">
        <f>AK62+AK63+AK66+AK67+AK68+AK69+AK70</f>
        <v>0</v>
      </c>
      <c r="AL61" s="801">
        <f>IF(AI61=0,0,(AK61-AI61)/AI61*100)</f>
        <v>0</v>
      </c>
      <c r="AM61" s="7159"/>
      <c r="AN61" s="7159"/>
      <c r="AO61" s="7159"/>
      <c r="AP61" s="588"/>
      <c r="AQ61" s="588"/>
      <c r="AR61" s="1063" t="s">
        <v>2514</v>
      </c>
      <c r="AS61" s="1063"/>
      <c r="AT61" s="1063"/>
      <c r="AU61" s="697"/>
      <c r="AV61" s="697"/>
    </row>
    <row customHeight="1" ht="21.9375" hidden="1">
      <c r="A62" s="1741"/>
      <c r="B62" s="1741"/>
      <c r="C62" s="1741"/>
      <c r="D62" s="1741"/>
      <c r="E62" s="695">
        <v>22.5</v>
      </c>
      <c r="F62" s="50" cm="1" t="str">
        <f t="array" ref="F62:F62">OFFSET(E62,-1,1)</f>
        <v>0</v>
      </c>
      <c r="G62" s="577" t="s">
        <v>1916</v>
      </c>
      <c r="H62" s="1741"/>
      <c r="I62" s="587" t="s">
        <v>1658</v>
      </c>
      <c r="J62" s="587"/>
      <c r="K62" s="587"/>
      <c r="L62" s="587"/>
      <c r="M62" s="587"/>
      <c r="N62" s="587"/>
      <c r="O62" s="587"/>
      <c r="P62" s="587"/>
      <c r="Q62" s="587"/>
      <c r="R62" s="587"/>
      <c r="S62" s="587"/>
      <c r="T62" s="465" cm="1" t="str">
        <f t="array" ref="T62:T62">T61</f>
        <v>false</v>
      </c>
      <c r="U62" s="1741"/>
      <c r="V62" s="1741"/>
      <c r="W62" s="1741"/>
      <c r="X62" s="1641"/>
      <c r="Y62" s="1741"/>
      <c r="Z62" s="1642"/>
      <c r="AA62" s="1741"/>
      <c r="AB62" s="807" t="s">
        <v>1264</v>
      </c>
      <c r="AC62" s="813" t="s">
        <v>2515</v>
      </c>
      <c r="AD62" s="814" t="s">
        <v>1514</v>
      </c>
      <c r="AE62" s="259">
        <f>_xlfn.SUMIFS(Административные!AE$25:AE$122,Административные!$F$25:$F$122,$F62,Административные!$G$25:$G$122,$G62)</f>
        <v>0</v>
      </c>
      <c r="AF62" s="259">
        <f>_xlfn.SUMIFS(Административные!AF$25:AF$122,Административные!$F$25:$F$122,$F62,Административные!$G$25:$G$122,$G62)</f>
        <v>0</v>
      </c>
      <c r="AG62" s="259">
        <f>_xlfn.SUMIFS(Административные!AG$25:AG$122,Административные!$F$25:$F$122,$F62,Административные!$G$25:$G$122,$G62)</f>
        <v>0</v>
      </c>
      <c r="AH62" s="802">
        <f>AG62-AF62</f>
        <v>0</v>
      </c>
      <c r="AI62" s="259">
        <f>_xlfn.SUMIFS(Административные!AH$25:AH$122,Административные!$F$25:$F$122,$F62,Административные!$G$25:$G$122,$G62)</f>
        <v>0</v>
      </c>
      <c r="AJ62" s="259">
        <f>_xlfn.SUMIFS(Административные!AI$25:AI$122,Административные!$F$25:$F$122,$F62,Административные!$G$25:$G$122,$G62)</f>
        <v>0</v>
      </c>
      <c r="AK62" s="259">
        <f>_xlfn.SUMIFS(Административные!AJ$25:AJ$122,Административные!$F$25:$F$122,$F62,Административные!$G$25:$G$122,$G62)</f>
        <v>0</v>
      </c>
      <c r="AL62" s="802">
        <f>IF(AI62=0,0,(AK62-AI62)/AI62*100)</f>
        <v>0</v>
      </c>
      <c r="AM62" s="7153"/>
      <c r="AN62" s="7154" t="str">
        <f>IF(_xlfn.IFERROR(INDEX(Административные!$K$26:$L$122,MATCH($F62&amp;"17komm",Административные!$K$26:$K$122,0),2),"")=0,"",_xlfn.IFERROR(INDEX(Административные!$K$26:$L$122,MATCH($F62&amp;"17komm",Административные!$K$26:$K$122,0),2),""))</f>
        <v/>
      </c>
      <c r="AO62" s="7153"/>
      <c r="AP62" s="1741"/>
      <c r="AQ62" s="1741"/>
      <c r="AR62" s="1062" t="s">
        <v>1918</v>
      </c>
      <c r="AS62" s="1062"/>
      <c r="AT62" s="1062"/>
      <c r="AU62" s="1059"/>
      <c r="AV62" s="1059"/>
    </row>
    <row customHeight="1" ht="32.90625" hidden="1">
      <c r="A63" s="1741"/>
      <c r="B63" s="1741"/>
      <c r="C63" s="1741"/>
      <c r="D63" s="1741"/>
      <c r="E63" s="695">
        <v>33.75</v>
      </c>
      <c r="F63" s="50" cm="1" t="str">
        <f t="array" ref="F63:F63">OFFSET(E63,-1,1)</f>
        <v>0</v>
      </c>
      <c r="G63" s="1741"/>
      <c r="H63" s="1741"/>
      <c r="I63" s="587" t="s">
        <v>1660</v>
      </c>
      <c r="J63" s="587"/>
      <c r="K63" s="587"/>
      <c r="L63" s="587"/>
      <c r="M63" s="587"/>
      <c r="N63" s="587"/>
      <c r="O63" s="587"/>
      <c r="P63" s="587"/>
      <c r="Q63" s="587"/>
      <c r="R63" s="587"/>
      <c r="S63" s="587"/>
      <c r="T63" s="465" cm="1" t="str">
        <f t="array" ref="T63:T63">T62</f>
        <v>false</v>
      </c>
      <c r="U63" s="1741"/>
      <c r="V63" s="1741"/>
      <c r="W63" s="1741"/>
      <c r="X63" s="1641"/>
      <c r="Y63" s="1741"/>
      <c r="Z63" s="1642"/>
      <c r="AA63" s="1741"/>
      <c r="AB63" s="807" t="s">
        <v>1268</v>
      </c>
      <c r="AC63" s="813" t="s">
        <v>2516</v>
      </c>
      <c r="AD63" s="814" t="s">
        <v>1514</v>
      </c>
      <c r="AE63" s="802">
        <f>AE64+AE65</f>
        <v>0</v>
      </c>
      <c r="AF63" s="802">
        <f>AF64+AF65</f>
        <v>0</v>
      </c>
      <c r="AG63" s="802">
        <f>AG64+AG65</f>
        <v>0</v>
      </c>
      <c r="AH63" s="802">
        <f>AG63-AF63</f>
        <v>0</v>
      </c>
      <c r="AI63" s="802">
        <f>AI64+AI65</f>
        <v>0</v>
      </c>
      <c r="AJ63" s="802">
        <f>AJ64+AJ65</f>
        <v>0</v>
      </c>
      <c r="AK63" s="802">
        <f>AK64+AK65</f>
        <v>0</v>
      </c>
      <c r="AL63" s="802">
        <f>IF(AI63=0,0,(AK63-AI63)/AI63*100)</f>
        <v>0</v>
      </c>
      <c r="AM63" s="7153"/>
      <c r="AN63" s="7153"/>
      <c r="AO63" s="7153"/>
      <c r="AP63" s="1741"/>
      <c r="AQ63" s="1741"/>
      <c r="AR63" s="1062" t="s">
        <v>2517</v>
      </c>
      <c r="AS63" s="1062"/>
      <c r="AT63" s="1062"/>
      <c r="AU63" s="1059"/>
      <c r="AV63" s="1059"/>
    </row>
    <row customHeight="1" ht="21.9375" hidden="1">
      <c r="A64" s="1741"/>
      <c r="B64" s="1741"/>
      <c r="C64" s="1741"/>
      <c r="D64" s="1741"/>
      <c r="E64" s="695">
        <v>22.5</v>
      </c>
      <c r="F64" s="50" cm="1" t="str">
        <f t="array" ref="F64:F64">OFFSET(E64,-1,1)</f>
        <v>0</v>
      </c>
      <c r="G64" s="1233" t="s">
        <v>1889</v>
      </c>
      <c r="H64" s="1741"/>
      <c r="I64" s="587" t="s">
        <v>1211</v>
      </c>
      <c r="J64" s="587"/>
      <c r="K64" s="587"/>
      <c r="L64" s="587"/>
      <c r="M64" s="587"/>
      <c r="N64" s="587"/>
      <c r="O64" s="587"/>
      <c r="P64" s="587"/>
      <c r="Q64" s="587"/>
      <c r="R64" s="587"/>
      <c r="S64" s="587"/>
      <c r="T64" s="465" cm="1" t="str">
        <f t="array" ref="T64:T64">T63</f>
        <v>false</v>
      </c>
      <c r="U64" s="1741"/>
      <c r="V64" s="1741"/>
      <c r="W64" s="1741"/>
      <c r="X64" s="1641"/>
      <c r="Y64" s="1741"/>
      <c r="Z64" s="1642"/>
      <c r="AA64" s="1741"/>
      <c r="AB64" s="807" t="s">
        <v>1474</v>
      </c>
      <c r="AC64" s="808" t="s">
        <v>2518</v>
      </c>
      <c r="AD64" s="814" t="s">
        <v>1514</v>
      </c>
      <c r="AE64" s="802">
        <f>_xlfn.SUMIFS(ФОТ!AE$25:AE$188,ФОТ!$F$25:$F$188,$F64,ФОТ!$G$25:$G$188,$G64)</f>
        <v>0</v>
      </c>
      <c r="AF64" s="802">
        <f>_xlfn.SUMIFS(ФОТ!AF$25:AF$188,ФОТ!$F$25:$F$188,$F64,ФОТ!$G$25:$G$188,$G64)</f>
        <v>0</v>
      </c>
      <c r="AG64" s="802">
        <f>_xlfn.SUMIFS(ФОТ!AG$25:AG$188,ФОТ!$F$25:$F$188,$F64,ФОТ!$G$25:$G$188,$G64)</f>
        <v>0</v>
      </c>
      <c r="AH64" s="802">
        <f>AG64-AF64</f>
        <v>0</v>
      </c>
      <c r="AI64" s="802">
        <f>_xlfn.SUMIFS(ФОТ!AH$25:AH$188,ФОТ!$F$25:$F$188,$F64,ФОТ!$G$25:$G$188,$G64)</f>
        <v>0</v>
      </c>
      <c r="AJ64" s="802">
        <f>_xlfn.SUMIFS(ФОТ!AI$25:AI$188,ФОТ!$F$25:$F$188,$F64,ФОТ!$G$25:$G$188,$G64)</f>
        <v>0</v>
      </c>
      <c r="AK64" s="802">
        <f>_xlfn.SUMIFS(ФОТ!AJ$25:AJ$188,ФОТ!$F$25:$F$188,$F64,ФОТ!$G$25:$G$188,$G64)</f>
        <v>0</v>
      </c>
      <c r="AL64" s="802">
        <f>IF(AI64=0,0,(AK64-AI64)/AI64*100)</f>
        <v>0</v>
      </c>
      <c r="AM64" s="7153"/>
      <c r="AN64" s="7154" t="str">
        <f>IF(_xlfn.IFERROR(INDEX(ФОТ!$K$26:$L$188,MATCH($F64&amp;"5komm",ФОТ!$K$26:$K$188,0),2),"")=0,"",_xlfn.IFERROR(INDEX(ФОТ!$K$26:$L$188,MATCH($F64&amp;"5komm",ФОТ!$K$26:$K$188,0),2),""))</f>
        <v/>
      </c>
      <c r="AO64" s="7153"/>
      <c r="AP64" s="1741"/>
      <c r="AQ64" s="1741"/>
      <c r="AR64" s="1062" t="s">
        <v>1915</v>
      </c>
      <c r="AS64" s="1062"/>
      <c r="AT64" s="1062"/>
      <c r="AU64" s="1059"/>
      <c r="AV64" s="1059"/>
    </row>
    <row customHeight="1" ht="32.90625" hidden="1">
      <c r="A65" s="1741"/>
      <c r="B65" s="1741"/>
      <c r="C65" s="1741"/>
      <c r="D65" s="1741"/>
      <c r="E65" s="695">
        <v>33.75</v>
      </c>
      <c r="F65" s="50" cm="1" t="str">
        <f t="array" ref="F65:F65">OFFSET(E65,-1,1)</f>
        <v>0</v>
      </c>
      <c r="G65" s="498" t="s">
        <v>1894</v>
      </c>
      <c r="H65" s="1741"/>
      <c r="I65" s="587" t="s">
        <v>1216</v>
      </c>
      <c r="J65" s="587"/>
      <c r="K65" s="587"/>
      <c r="L65" s="587"/>
      <c r="M65" s="587"/>
      <c r="N65" s="587"/>
      <c r="O65" s="587"/>
      <c r="P65" s="587"/>
      <c r="Q65" s="587"/>
      <c r="R65" s="587"/>
      <c r="S65" s="587"/>
      <c r="T65" s="465" cm="1" t="str">
        <f t="array" ref="T65:T65">T64</f>
        <v>false</v>
      </c>
      <c r="U65" s="1741"/>
      <c r="V65" s="1741"/>
      <c r="W65" s="1741"/>
      <c r="X65" s="1641"/>
      <c r="Y65" s="1741"/>
      <c r="Z65" s="1642"/>
      <c r="AA65" s="1741"/>
      <c r="AB65" s="807" t="s">
        <v>1477</v>
      </c>
      <c r="AC65" s="808" t="s">
        <v>2519</v>
      </c>
      <c r="AD65" s="814" t="s">
        <v>1514</v>
      </c>
      <c r="AE65" s="802">
        <f>_xlfn.SUMIFS(ФОТ!AE$25:AE$188,ФОТ!$F$25:$F$188,$F65,ФОТ!$G$25:$G$188,$G65)</f>
        <v>0</v>
      </c>
      <c r="AF65" s="802">
        <f>_xlfn.SUMIFS(ФОТ!AF$25:AF$188,ФОТ!$F$25:$F$188,$F65,ФОТ!$G$25:$G$188,$G65)</f>
        <v>0</v>
      </c>
      <c r="AG65" s="802">
        <f>_xlfn.SUMIFS(ФОТ!AG$25:AG$188,ФОТ!$F$25:$F$188,$F65,ФОТ!$G$25:$G$188,$G65)</f>
        <v>0</v>
      </c>
      <c r="AH65" s="802">
        <f>AG65-AF65</f>
        <v>0</v>
      </c>
      <c r="AI65" s="802">
        <f>_xlfn.SUMIFS(ФОТ!AH$25:AH$188,ФОТ!$F$25:$F$188,$F65,ФОТ!$G$25:$G$188,$G65)</f>
        <v>0</v>
      </c>
      <c r="AJ65" s="802">
        <f>_xlfn.SUMIFS(ФОТ!AI$25:AI$188,ФОТ!$F$25:$F$188,$F65,ФОТ!$G$25:$G$188,$G65)</f>
        <v>0</v>
      </c>
      <c r="AK65" s="802">
        <f>_xlfn.SUMIFS(ФОТ!AJ$25:AJ$188,ФОТ!$F$25:$F$188,$F65,ФОТ!$G$25:$G$188,$G65)</f>
        <v>0</v>
      </c>
      <c r="AL65" s="802">
        <f>IF(AI65=0,0,(AK65-AI65)/AI65*100)</f>
        <v>0</v>
      </c>
      <c r="AM65" s="7153"/>
      <c r="AN65" s="7154" t="str">
        <f>IF(_xlfn.IFERROR(INDEX(ФОТ!$K$26:$L$188,MATCH($F65&amp;"6komm",ФОТ!$K$26:$K$188,0),2),"")=0,"",_xlfn.IFERROR(INDEX(ФОТ!$K$26:$L$188,MATCH($F65&amp;"6komm",ФОТ!$K$26:$K$188,0),2),""))</f>
        <v/>
      </c>
      <c r="AO65" s="7153"/>
      <c r="AP65" s="1741"/>
      <c r="AQ65" s="1741"/>
      <c r="AR65" s="1062" t="s">
        <v>2520</v>
      </c>
      <c r="AS65" s="1062"/>
      <c r="AT65" s="1062"/>
      <c r="AU65" s="1059"/>
      <c r="AV65" s="1059"/>
    </row>
    <row customHeight="1" ht="32.90625" hidden="1">
      <c r="A66" s="1741"/>
      <c r="B66" s="1741"/>
      <c r="C66" s="1741"/>
      <c r="D66" s="1741"/>
      <c r="E66" s="695">
        <v>33.75</v>
      </c>
      <c r="F66" s="50" cm="1" t="str">
        <f t="array" ref="F66:F66">OFFSET(E66,-1,1)</f>
        <v>0</v>
      </c>
      <c r="G66" s="577" t="s">
        <v>1944</v>
      </c>
      <c r="H66" s="1741"/>
      <c r="I66" s="587" t="s">
        <v>1662</v>
      </c>
      <c r="J66" s="587"/>
      <c r="K66" s="587"/>
      <c r="L66" s="587"/>
      <c r="M66" s="587"/>
      <c r="N66" s="587"/>
      <c r="O66" s="587"/>
      <c r="P66" s="587"/>
      <c r="Q66" s="587"/>
      <c r="R66" s="587"/>
      <c r="S66" s="587"/>
      <c r="T66" s="465" cm="1" t="str">
        <f t="array" ref="T66:T66">T65</f>
        <v>false</v>
      </c>
      <c r="U66" s="1741"/>
      <c r="V66" s="1741"/>
      <c r="W66" s="1741"/>
      <c r="X66" s="1641"/>
      <c r="Y66" s="1741"/>
      <c r="Z66" s="1642"/>
      <c r="AA66" s="1741"/>
      <c r="AB66" s="807" t="s">
        <v>1480</v>
      </c>
      <c r="AC66" s="813" t="s">
        <v>2521</v>
      </c>
      <c r="AD66" s="814" t="s">
        <v>1514</v>
      </c>
      <c r="AE66" s="802">
        <f>_xlfn.SUMIFS(Административные!AE$25:AE$122,Административные!$F$25:$F$122,$F66,Административные!$G$25:$G$122,$G66)</f>
        <v>0</v>
      </c>
      <c r="AF66" s="802">
        <f>_xlfn.SUMIFS(Административные!AF$25:AF$122,Административные!$F$25:$F$122,$F66,Административные!$G$25:$G$122,$G66)</f>
        <v>0</v>
      </c>
      <c r="AG66" s="802">
        <f>_xlfn.SUMIFS(Административные!AG$25:AG$122,Административные!$F$25:$F$122,$F66,Административные!$G$25:$G$122,$G66)</f>
        <v>0</v>
      </c>
      <c r="AH66" s="802">
        <f>AG66-AF66</f>
        <v>0</v>
      </c>
      <c r="AI66" s="802">
        <f>_xlfn.SUMIFS(Административные!AH$25:AH$122,Административные!$F$25:$F$122,$F66,Административные!$G$25:$G$122,$G66)</f>
        <v>0</v>
      </c>
      <c r="AJ66" s="802">
        <f>_xlfn.SUMIFS(Административные!AI$25:AI$122,Административные!$F$25:$F$122,$F66,Административные!$G$25:$G$122,$G66)</f>
        <v>0</v>
      </c>
      <c r="AK66" s="802">
        <f>_xlfn.SUMIFS(Административные!AJ$25:AJ$122,Административные!$F$25:$F$122,$F66,Административные!$G$25:$G$122,$G66)</f>
        <v>0</v>
      </c>
      <c r="AL66" s="802">
        <f>IF(AI66=0,0,(AK66-AI66)/AI66*100)</f>
        <v>0</v>
      </c>
      <c r="AM66" s="7153"/>
      <c r="AN66" s="7154" t="str">
        <f>IF(_xlfn.IFERROR(INDEX(Административные!$K$26:$L$122,MATCH($F66&amp;"2komm",Административные!$K$26:$K$122,0),2),"")=0,"",_xlfn.IFERROR(INDEX(Административные!$K$26:$L$122,MATCH($F66&amp;"2komm",Административные!$K$26:$K$122,0),2),""))</f>
        <v/>
      </c>
      <c r="AO66" s="7153"/>
      <c r="AP66" s="1741"/>
      <c r="AQ66" s="1741"/>
      <c r="AR66" s="1062" t="s">
        <v>1946</v>
      </c>
      <c r="AS66" s="1062"/>
      <c r="AT66" s="1062"/>
      <c r="AU66" s="1059"/>
      <c r="AV66" s="1059"/>
    </row>
    <row customHeight="1" ht="14.625" hidden="1">
      <c r="A67" s="1741"/>
      <c r="B67" s="1741"/>
      <c r="C67" s="1741"/>
      <c r="D67" s="1741"/>
      <c r="E67" s="695">
        <v>15</v>
      </c>
      <c r="F67" s="50" cm="1" t="str">
        <f t="array" ref="F67:F67">OFFSET(E67,-1,1)</f>
        <v>0</v>
      </c>
      <c r="G67" s="577" t="s">
        <v>1947</v>
      </c>
      <c r="H67" s="1741"/>
      <c r="I67" s="587" t="s">
        <v>1664</v>
      </c>
      <c r="J67" s="587"/>
      <c r="K67" s="587"/>
      <c r="L67" s="587"/>
      <c r="M67" s="587"/>
      <c r="N67" s="587"/>
      <c r="O67" s="587"/>
      <c r="P67" s="587"/>
      <c r="Q67" s="587"/>
      <c r="R67" s="587"/>
      <c r="S67" s="587"/>
      <c r="T67" s="465" cm="1" t="str">
        <f t="array" ref="T67:T67">T66</f>
        <v>false</v>
      </c>
      <c r="U67" s="1741"/>
      <c r="V67" s="1741"/>
      <c r="W67" s="1741"/>
      <c r="X67" s="1641"/>
      <c r="Y67" s="1741"/>
      <c r="Z67" s="1642"/>
      <c r="AA67" s="1741"/>
      <c r="AB67" s="807" t="s">
        <v>1665</v>
      </c>
      <c r="AC67" s="813" t="s">
        <v>1948</v>
      </c>
      <c r="AD67" s="814" t="s">
        <v>1514</v>
      </c>
      <c r="AE67" s="802">
        <f>_xlfn.SUMIFS(Административные!AE$25:AE$122,Административные!$F$25:$F$122,$F67,Административные!$G$25:$G$122,$G67)</f>
        <v>0</v>
      </c>
      <c r="AF67" s="802">
        <f>_xlfn.SUMIFS(Административные!AF$25:AF$122,Административные!$F$25:$F$122,$F67,Административные!$G$25:$G$122,$G67)</f>
        <v>0</v>
      </c>
      <c r="AG67" s="802">
        <f>_xlfn.SUMIFS(Административные!AG$25:AG$122,Административные!$F$25:$F$122,$F67,Административные!$G$25:$G$122,$G67)</f>
        <v>0</v>
      </c>
      <c r="AH67" s="802">
        <f>AG67-AF67</f>
        <v>0</v>
      </c>
      <c r="AI67" s="802">
        <f>_xlfn.SUMIFS(Административные!AH$25:AH$122,Административные!$F$25:$F$122,$F67,Административные!$G$25:$G$122,$G67)</f>
        <v>0</v>
      </c>
      <c r="AJ67" s="802">
        <f>_xlfn.SUMIFS(Административные!AI$25:AI$122,Административные!$F$25:$F$122,$F67,Административные!$G$25:$G$122,$G67)</f>
        <v>0</v>
      </c>
      <c r="AK67" s="802">
        <f>_xlfn.SUMIFS(Административные!AJ$25:AJ$122,Административные!$F$25:$F$122,$F67,Административные!$G$25:$G$122,$G67)</f>
        <v>0</v>
      </c>
      <c r="AL67" s="802">
        <f>IF(AI67=0,0,(AK67-AI67)/AI67*100)</f>
        <v>0</v>
      </c>
      <c r="AM67" s="7153"/>
      <c r="AN67" s="7154" t="str">
        <f>IF(_xlfn.IFERROR(INDEX(Административные!$K$26:$L$122,MATCH($F67&amp;"3komm",Административные!$K$26:$K$122,0),2),"")=0,"",_xlfn.IFERROR(INDEX(Административные!$K$26:$L$122,MATCH($F67&amp;"3komm",Административные!$K$26:$K$122,0),2),""))</f>
        <v/>
      </c>
      <c r="AO67" s="7153"/>
      <c r="AP67" s="1741"/>
      <c r="AQ67" s="1741"/>
      <c r="AR67" s="1062" t="s">
        <v>1949</v>
      </c>
      <c r="AS67" s="1062"/>
      <c r="AT67" s="1062"/>
      <c r="AU67" s="1059"/>
      <c r="AV67" s="1059"/>
    </row>
    <row customHeight="1" ht="14.625" hidden="1">
      <c r="A68" s="1741"/>
      <c r="B68" s="1741"/>
      <c r="C68" s="1741"/>
      <c r="D68" s="1741"/>
      <c r="E68" s="695">
        <v>15</v>
      </c>
      <c r="F68" s="50" cm="1" t="str">
        <f t="array" ref="F68:F68">OFFSET(E68,-1,1)</f>
        <v>0</v>
      </c>
      <c r="G68" s="577" t="s">
        <v>1950</v>
      </c>
      <c r="H68" s="1741"/>
      <c r="I68" s="587" t="s">
        <v>1667</v>
      </c>
      <c r="J68" s="587"/>
      <c r="K68" s="587"/>
      <c r="L68" s="587"/>
      <c r="M68" s="587"/>
      <c r="N68" s="587"/>
      <c r="O68" s="587"/>
      <c r="P68" s="587"/>
      <c r="Q68" s="587"/>
      <c r="R68" s="587"/>
      <c r="S68" s="587"/>
      <c r="T68" s="465" cm="1" t="str">
        <f t="array" ref="T68:T68">T67</f>
        <v>false</v>
      </c>
      <c r="U68" s="1741"/>
      <c r="V68" s="1741"/>
      <c r="W68" s="1741"/>
      <c r="X68" s="1641"/>
      <c r="Y68" s="1741"/>
      <c r="Z68" s="1642"/>
      <c r="AA68" s="1741"/>
      <c r="AB68" s="807" t="s">
        <v>1668</v>
      </c>
      <c r="AC68" s="813" t="s">
        <v>1951</v>
      </c>
      <c r="AD68" s="814" t="s">
        <v>1514</v>
      </c>
      <c r="AE68" s="802">
        <f>_xlfn.SUMIFS(Административные!AE$25:AE$122,Административные!$F$25:$F$122,$F68,Административные!$G$25:$G$122,$G68)</f>
        <v>0</v>
      </c>
      <c r="AF68" s="802">
        <f>_xlfn.SUMIFS(Административные!AF$25:AF$122,Административные!$F$25:$F$122,$F68,Административные!$G$25:$G$122,$G68)</f>
        <v>0</v>
      </c>
      <c r="AG68" s="802">
        <f>_xlfn.SUMIFS(Административные!AG$25:AG$122,Административные!$F$25:$F$122,$F68,Административные!$G$25:$G$122,$G68)</f>
        <v>0</v>
      </c>
      <c r="AH68" s="802">
        <f>AG68-AF68</f>
        <v>0</v>
      </c>
      <c r="AI68" s="802">
        <f>_xlfn.SUMIFS(Административные!AH$25:AH$122,Административные!$F$25:$F$122,$F68,Административные!$G$25:$G$122,$G68)</f>
        <v>0</v>
      </c>
      <c r="AJ68" s="802">
        <f>_xlfn.SUMIFS(Административные!AI$25:AI$122,Административные!$F$25:$F$122,$F68,Административные!$G$25:$G$122,$G68)</f>
        <v>0</v>
      </c>
      <c r="AK68" s="802">
        <f>_xlfn.SUMIFS(Административные!AJ$25:AJ$122,Административные!$F$25:$F$122,$F68,Административные!$G$25:$G$122,$G68)</f>
        <v>0</v>
      </c>
      <c r="AL68" s="802">
        <f>IF(AI68=0,0,(AK68-AI68)/AI68*100)</f>
        <v>0</v>
      </c>
      <c r="AM68" s="7153"/>
      <c r="AN68" s="7154" t="str">
        <f>IF(_xlfn.IFERROR(INDEX(Административные!$K$26:$L$122,MATCH($F68&amp;"4komm",Административные!$K$26:$K$122,0),2),"")=0,"",_xlfn.IFERROR(INDEX(Административные!$K$26:$L$122,MATCH($F68&amp;"4komm",Административные!$K$26:$K$122,0),2),""))</f>
        <v/>
      </c>
      <c r="AO68" s="7153"/>
      <c r="AP68" s="1741"/>
      <c r="AQ68" s="1741"/>
      <c r="AR68" s="1062" t="s">
        <v>1952</v>
      </c>
      <c r="AS68" s="1062"/>
      <c r="AT68" s="1062"/>
      <c r="AU68" s="1059"/>
      <c r="AV68" s="1059"/>
    </row>
    <row customHeight="1" ht="14.625" hidden="1">
      <c r="A69" s="1741"/>
      <c r="B69" s="1741"/>
      <c r="C69" s="1741"/>
      <c r="D69" s="1741"/>
      <c r="E69" s="695">
        <v>15</v>
      </c>
      <c r="F69" s="50" cm="1" t="str">
        <f t="array" ref="F69:F69">OFFSET(E69,-1,1)</f>
        <v>0</v>
      </c>
      <c r="G69" s="577" t="s">
        <v>1953</v>
      </c>
      <c r="H69" s="1741"/>
      <c r="I69" s="587" t="s">
        <v>1935</v>
      </c>
      <c r="J69" s="587"/>
      <c r="K69" s="587"/>
      <c r="L69" s="587"/>
      <c r="M69" s="587"/>
      <c r="N69" s="587"/>
      <c r="O69" s="587"/>
      <c r="P69" s="587"/>
      <c r="Q69" s="587"/>
      <c r="R69" s="587"/>
      <c r="S69" s="587"/>
      <c r="T69" s="465" cm="1" t="str">
        <f t="array" ref="T69:T69">T68</f>
        <v>false</v>
      </c>
      <c r="U69" s="1741"/>
      <c r="V69" s="1741"/>
      <c r="W69" s="1741"/>
      <c r="X69" s="1641"/>
      <c r="Y69" s="1741"/>
      <c r="Z69" s="1642"/>
      <c r="AA69" s="1741"/>
      <c r="AB69" s="807" t="s">
        <v>1936</v>
      </c>
      <c r="AC69" s="813" t="s">
        <v>1954</v>
      </c>
      <c r="AD69" s="814" t="s">
        <v>1514</v>
      </c>
      <c r="AE69" s="802">
        <f>_xlfn.SUMIFS(Административные!AE$25:AE$122,Административные!$F$25:$F$122,$F69,Административные!$G$25:$G$122,$G69)</f>
        <v>0</v>
      </c>
      <c r="AF69" s="802">
        <f>_xlfn.SUMIFS(Административные!AF$25:AF$122,Административные!$F$25:$F$122,$F69,Административные!$G$25:$G$122,$G69)</f>
        <v>0</v>
      </c>
      <c r="AG69" s="802">
        <f>_xlfn.SUMIFS(Административные!AG$25:AG$122,Административные!$F$25:$F$122,$F69,Административные!$G$25:$G$122,$G69)</f>
        <v>0</v>
      </c>
      <c r="AH69" s="802">
        <f>AG69-AF69</f>
        <v>0</v>
      </c>
      <c r="AI69" s="802">
        <f>_xlfn.SUMIFS(Административные!AH$25:AH$122,Административные!$F$25:$F$122,$F69,Административные!$G$25:$G$122,$G69)</f>
        <v>0</v>
      </c>
      <c r="AJ69" s="802">
        <f>_xlfn.SUMIFS(Административные!AI$25:AI$122,Административные!$F$25:$F$122,$F69,Административные!$G$25:$G$122,$G69)</f>
        <v>0</v>
      </c>
      <c r="AK69" s="802">
        <f>_xlfn.SUMIFS(Административные!AJ$25:AJ$122,Административные!$F$25:$F$122,$F69,Административные!$G$25:$G$122,$G69)</f>
        <v>0</v>
      </c>
      <c r="AL69" s="802">
        <f>IF(AI69=0,0,(AK69-AI69)/AI69*100)</f>
        <v>0</v>
      </c>
      <c r="AM69" s="7153"/>
      <c r="AN69" s="7154" t="str">
        <f>IF(_xlfn.IFERROR(INDEX(Административные!$K$26:$L$122,MATCH($F65&amp;"5komm",Административные!$K$26:$K$122,0),2),"")=0,"",_xlfn.IFERROR(INDEX(Административные!$K$26:$L$122,MATCH($F65&amp;"5komm",Административные!$K$26:$K$122,0),2),""))</f>
        <v/>
      </c>
      <c r="AO69" s="7153"/>
      <c r="AP69" s="1741"/>
      <c r="AQ69" s="1741"/>
      <c r="AR69" s="1062" t="s">
        <v>2522</v>
      </c>
      <c r="AS69" s="1062"/>
      <c r="AT69" s="1062"/>
      <c r="AU69" s="1059"/>
      <c r="AV69" s="1059"/>
    </row>
    <row customHeight="1" ht="14.625" hidden="1">
      <c r="A70" s="1741"/>
      <c r="B70" s="1741"/>
      <c r="C70" s="1741"/>
      <c r="D70" s="1741"/>
      <c r="E70" s="695">
        <v>15</v>
      </c>
      <c r="F70" s="50" cm="1" t="str">
        <f t="array" ref="F70:F70">OFFSET(E70,-1,1)</f>
        <v>0</v>
      </c>
      <c r="G70" s="577" t="s">
        <v>1956</v>
      </c>
      <c r="H70" s="1741"/>
      <c r="I70" s="587" t="s">
        <v>1940</v>
      </c>
      <c r="J70" s="587"/>
      <c r="K70" s="587"/>
      <c r="L70" s="587"/>
      <c r="M70" s="587"/>
      <c r="N70" s="587"/>
      <c r="O70" s="587"/>
      <c r="P70" s="587"/>
      <c r="Q70" s="587"/>
      <c r="R70" s="587"/>
      <c r="S70" s="587"/>
      <c r="T70" s="465" cm="1" t="str">
        <f t="array" ref="T70:T70">T69</f>
        <v>false</v>
      </c>
      <c r="U70" s="1741"/>
      <c r="V70" s="1741"/>
      <c r="W70" s="1741"/>
      <c r="X70" s="1641"/>
      <c r="Y70" s="1741"/>
      <c r="Z70" s="1642"/>
      <c r="AA70" s="1741"/>
      <c r="AB70" s="807" t="s">
        <v>1941</v>
      </c>
      <c r="AC70" s="813" t="s">
        <v>2523</v>
      </c>
      <c r="AD70" s="814" t="s">
        <v>1514</v>
      </c>
      <c r="AE70" s="802">
        <f>_xlfn.SUMIFS(Административные!AE$25:AE$122,Административные!$F$25:$F$122,$F70,Административные!$G$25:$G$122,$G70)</f>
        <v>0</v>
      </c>
      <c r="AF70" s="802">
        <f>_xlfn.SUMIFS(Административные!AF$25:AF$122,Административные!$F$25:$F$122,$F70,Административные!$G$25:$G$122,$G70)</f>
        <v>0</v>
      </c>
      <c r="AG70" s="802">
        <f>_xlfn.SUMIFS(Административные!AG$25:AG$122,Административные!$F$25:$F$122,$F70,Административные!$G$25:$G$122,$G70)</f>
        <v>0</v>
      </c>
      <c r="AH70" s="802">
        <f>AG70-AF70</f>
        <v>0</v>
      </c>
      <c r="AI70" s="802">
        <f>_xlfn.SUMIFS(Административные!AH$25:AH$122,Административные!$F$25:$F$122,$F70,Административные!$G$25:$G$122,$G70)</f>
        <v>0</v>
      </c>
      <c r="AJ70" s="802">
        <f>_xlfn.SUMIFS(Административные!AI$25:AI$122,Административные!$F$25:$F$122,$F70,Административные!$G$25:$G$122,$G70)</f>
        <v>0</v>
      </c>
      <c r="AK70" s="802">
        <f>_xlfn.SUMIFS(Административные!AJ$25:AJ$122,Административные!$F$25:$F$122,$F70,Административные!$G$25:$G$122,$G70)</f>
        <v>0</v>
      </c>
      <c r="AL70" s="802">
        <f>IF(AI70=0,0,(AK70-AI70)/AI70*100)</f>
        <v>0</v>
      </c>
      <c r="AM70" s="7153"/>
      <c r="AN70" s="7154" t="str">
        <f>IF(_xlfn.IFERROR(INDEX(Административные!$K$26:$L$122,MATCH($F70&amp;"6komm",Административные!$K$26:$K$122,0),2),"")=0,"",_xlfn.IFERROR(INDEX(Административные!$K$26:$L$122,MATCH($F65&amp;"6komm",Административные!$K$26:$K$122,0),2),""))</f>
        <v/>
      </c>
      <c r="AO70" s="7153"/>
      <c r="AP70" s="1741"/>
      <c r="AQ70" s="1741"/>
      <c r="AR70" s="1062" t="s">
        <v>2524</v>
      </c>
      <c r="AS70" s="1062"/>
      <c r="AT70" s="1062"/>
      <c r="AU70" s="1059"/>
      <c r="AV70" s="1059"/>
    </row>
    <row customHeight="1" ht="14.625" hidden="1">
      <c r="A71" s="1741"/>
      <c r="B71" s="1741"/>
      <c r="C71" s="1741"/>
      <c r="D71" s="1741"/>
      <c r="E71" s="695">
        <v>15</v>
      </c>
      <c r="F71" s="50" cm="1" t="str">
        <f t="array" ref="F71:F71">OFFSET(E71,-1,1)</f>
        <v>0</v>
      </c>
      <c r="G71" s="577" t="s">
        <v>1958</v>
      </c>
      <c r="H71" s="1741"/>
      <c r="I71" s="587" t="s">
        <v>2525</v>
      </c>
      <c r="J71" s="587"/>
      <c r="K71" s="587"/>
      <c r="L71" s="587"/>
      <c r="M71" s="587"/>
      <c r="N71" s="587"/>
      <c r="O71" s="587"/>
      <c r="P71" s="587"/>
      <c r="Q71" s="587"/>
      <c r="R71" s="587"/>
      <c r="S71" s="587"/>
      <c r="T71" s="465" cm="1" t="str">
        <f t="array" ref="T71:T71">T70</f>
        <v>false</v>
      </c>
      <c r="U71" s="1741"/>
      <c r="V71" s="1741"/>
      <c r="W71" s="1741"/>
      <c r="X71" s="1641"/>
      <c r="Y71" s="1741"/>
      <c r="Z71" s="1642"/>
      <c r="AA71" s="1741"/>
      <c r="AB71" s="807" t="s">
        <v>2526</v>
      </c>
      <c r="AC71" s="808" t="s">
        <v>2527</v>
      </c>
      <c r="AD71" s="814" t="s">
        <v>1514</v>
      </c>
      <c r="AE71" s="802">
        <f>_xlfn.SUMIFS(Административные!AE$25:AE$122,Административные!$F$25:$F$122,$F71,Административные!$G$25:$G$122,$G71)</f>
        <v>0</v>
      </c>
      <c r="AF71" s="802">
        <f>_xlfn.SUMIFS(Административные!AF$25:AF$122,Административные!$F$25:$F$122,$F71,Административные!$G$25:$G$122,$G71)</f>
        <v>0</v>
      </c>
      <c r="AG71" s="802">
        <f>_xlfn.SUMIFS(Административные!AG$25:AG$122,Административные!$F$25:$F$122,$F71,Административные!$G$25:$G$122,$G71)</f>
        <v>0</v>
      </c>
      <c r="AH71" s="802">
        <f>AG71-AF71</f>
        <v>0</v>
      </c>
      <c r="AI71" s="802">
        <f>_xlfn.SUMIFS(Административные!AH$25:AH$122,Административные!$F$25:$F$122,$F71,Административные!$G$25:$G$122,$G71)</f>
        <v>0</v>
      </c>
      <c r="AJ71" s="802">
        <f>_xlfn.SUMIFS(Административные!AI$25:AI$122,Административные!$F$25:$F$122,$F71,Административные!$G$25:$G$122,$G71)</f>
        <v>0</v>
      </c>
      <c r="AK71" s="802">
        <f>_xlfn.SUMIFS(Административные!AJ$25:AJ$122,Административные!$F$25:$F$122,$F71,Административные!$G$25:$G$122,$G71)</f>
        <v>0</v>
      </c>
      <c r="AL71" s="802">
        <f>IF(AI71=0,0,(AK71-AI71)/AI71*100)</f>
        <v>0</v>
      </c>
      <c r="AM71" s="7153"/>
      <c r="AN71" s="7154" t="str">
        <f>IF(_xlfn.IFERROR(INDEX(Административные!$K$26:$L$122,MATCH($F71&amp;"7komm",Административные!$K$26:$K$122,0),2),"")=0,"",_xlfn.IFERROR(INDEX(Административные!$K$26:$L$122,MATCH($F66&amp;"7komm",Административные!$K$26:$K$122,0),2),""))</f>
        <v/>
      </c>
      <c r="AO71" s="7153"/>
      <c r="AP71" s="1741"/>
      <c r="AQ71" s="1741"/>
      <c r="AR71" s="1062" t="s">
        <v>2528</v>
      </c>
      <c r="AS71" s="1062"/>
      <c r="AT71" s="1062"/>
      <c r="AU71" s="1059"/>
      <c r="AV71" s="1059"/>
    </row>
    <row customHeight="1" ht="43.875" hidden="1">
      <c r="A72" s="1741"/>
      <c r="B72" s="1741"/>
      <c r="C72" s="1741"/>
      <c r="D72" s="1741"/>
      <c r="E72" s="695">
        <v>45</v>
      </c>
      <c r="F72" s="50" cm="1" t="str">
        <f t="array" ref="F72:F72">OFFSET(E72,-1,1)</f>
        <v>0</v>
      </c>
      <c r="G72" s="577" t="s">
        <v>1961</v>
      </c>
      <c r="H72" s="1741"/>
      <c r="I72" s="587" t="s">
        <v>2529</v>
      </c>
      <c r="J72" s="587"/>
      <c r="K72" s="587"/>
      <c r="L72" s="587"/>
      <c r="M72" s="587"/>
      <c r="N72" s="587"/>
      <c r="O72" s="587"/>
      <c r="P72" s="587"/>
      <c r="Q72" s="587"/>
      <c r="R72" s="587"/>
      <c r="S72" s="587"/>
      <c r="T72" s="465" cm="1" t="str">
        <f t="array" ref="T72:T72">T71</f>
        <v>false</v>
      </c>
      <c r="U72" s="1741"/>
      <c r="V72" s="1741"/>
      <c r="W72" s="1741"/>
      <c r="X72" s="1641"/>
      <c r="Y72" s="1741"/>
      <c r="Z72" s="1642"/>
      <c r="AA72" s="1741"/>
      <c r="AB72" s="807" t="s">
        <v>2530</v>
      </c>
      <c r="AC72" s="762" t="s">
        <v>1962</v>
      </c>
      <c r="AD72" s="814" t="s">
        <v>1514</v>
      </c>
      <c r="AE72" s="802">
        <f>_xlfn.SUMIFS(Административные!AE$25:AE$122,Административные!$F$25:$F$122,$F72,Административные!$G$25:$G$122,$G72)</f>
        <v>0</v>
      </c>
      <c r="AF72" s="802">
        <f>_xlfn.SUMIFS(Административные!AF$25:AF$122,Административные!$F$25:$F$122,$F72,Административные!$G$25:$G$122,$G72)</f>
        <v>0</v>
      </c>
      <c r="AG72" s="802">
        <f>_xlfn.SUMIFS(Административные!AG$25:AG$122,Административные!$F$25:$F$122,$F72,Административные!$G$25:$G$122,$G72)</f>
        <v>0</v>
      </c>
      <c r="AH72" s="802">
        <f>AG72-AF72</f>
        <v>0</v>
      </c>
      <c r="AI72" s="802">
        <f>_xlfn.SUMIFS(Административные!AH$25:AH$122,Административные!$F$25:$F$122,$F72,Административные!$G$25:$G$122,$G72)</f>
        <v>0</v>
      </c>
      <c r="AJ72" s="802">
        <f>_xlfn.SUMIFS(Административные!AI$25:AI$122,Административные!$F$25:$F$122,$F72,Административные!$G$25:$G$122,$G72)</f>
        <v>0</v>
      </c>
      <c r="AK72" s="802">
        <f>_xlfn.SUMIFS(Административные!AJ$25:AJ$122,Административные!$F$25:$F$122,$F72,Административные!$G$25:$G$122,$G72)</f>
        <v>0</v>
      </c>
      <c r="AL72" s="802">
        <f>IF(AI72=0,0,(AK72-AI72)/AI72*100)</f>
        <v>0</v>
      </c>
      <c r="AM72" s="7153"/>
      <c r="AN72" s="7154" t="str">
        <f>IF(_xlfn.IFERROR(INDEX(Административные!$K$26:$L$122,MATCH($F72&amp;"8komm",Административные!$K$26:$K$122,0),2),"")=0,"",_xlfn.IFERROR(INDEX(Административные!$K$26:$L$122,MATCH($F67&amp;"8komm",Административные!$K$26:$K$122,0),2),""))</f>
        <v/>
      </c>
      <c r="AO72" s="7153"/>
      <c r="AP72" s="1741"/>
      <c r="AQ72" s="1741"/>
      <c r="AR72" s="1062" t="s">
        <v>2531</v>
      </c>
      <c r="AS72" s="1062"/>
      <c r="AT72" s="1062"/>
      <c r="AU72" s="1059"/>
      <c r="AV72" s="1059"/>
    </row>
    <row customHeight="1" ht="14.625" hidden="1">
      <c r="A73" s="1741"/>
      <c r="B73" s="1741"/>
      <c r="C73" s="1741"/>
      <c r="D73" s="1741"/>
      <c r="E73" s="695">
        <v>15</v>
      </c>
      <c r="F73" s="50" cm="1" t="str">
        <f t="array" ref="F73:F73">OFFSET(E73,-1,1)</f>
        <v>0</v>
      </c>
      <c r="G73" s="577" t="s">
        <v>1964</v>
      </c>
      <c r="H73" s="1741"/>
      <c r="I73" s="587" t="s">
        <v>2532</v>
      </c>
      <c r="J73" s="587"/>
      <c r="K73" s="587"/>
      <c r="L73" s="587"/>
      <c r="M73" s="587"/>
      <c r="N73" s="587"/>
      <c r="O73" s="587"/>
      <c r="P73" s="587"/>
      <c r="Q73" s="587"/>
      <c r="R73" s="587"/>
      <c r="S73" s="587"/>
      <c r="T73" s="465" cm="1" t="str">
        <f t="array" ref="T73:T73">T72</f>
        <v>false</v>
      </c>
      <c r="U73" s="1741"/>
      <c r="V73" s="1741"/>
      <c r="W73" s="1741"/>
      <c r="X73" s="1641"/>
      <c r="Y73" s="1741"/>
      <c r="Z73" s="1642"/>
      <c r="AA73" s="1741"/>
      <c r="AB73" s="807" t="s">
        <v>2533</v>
      </c>
      <c r="AC73" s="808" t="s">
        <v>1965</v>
      </c>
      <c r="AD73" s="814" t="s">
        <v>1514</v>
      </c>
      <c r="AE73" s="802">
        <f>_xlfn.SUMIFS(Административные!AE$25:AE$122,Административные!$F$25:$F$122,$F73,Административные!$G$25:$G$122,$G73)</f>
        <v>0</v>
      </c>
      <c r="AF73" s="802">
        <f>_xlfn.SUMIFS(Административные!AF$25:AF$122,Административные!$F$25:$F$122,$F73,Административные!$G$25:$G$122,$G73)</f>
        <v>0</v>
      </c>
      <c r="AG73" s="802">
        <f>_xlfn.SUMIFS(Административные!AG$25:AG$122,Административные!$F$25:$F$122,$F73,Административные!$G$25:$G$122,$G73)</f>
        <v>0</v>
      </c>
      <c r="AH73" s="802">
        <f>AG73-AF73</f>
        <v>0</v>
      </c>
      <c r="AI73" s="802">
        <f>_xlfn.SUMIFS(Административные!AH$25:AH$122,Административные!$F$25:$F$122,$F73,Административные!$G$25:$G$122,$G73)</f>
        <v>0</v>
      </c>
      <c r="AJ73" s="1116">
        <f>_xlfn.SUMIFS(Административные!AI$25:AI$122,Административные!$F$25:$F$122,$F73,Административные!$G$25:$G$122,$G73)</f>
        <v>0</v>
      </c>
      <c r="AK73" s="1116">
        <f>_xlfn.SUMIFS(Административные!AJ$25:AJ$122,Административные!$F$25:$F$122,$F73,Административные!$G$25:$G$122,$G73)</f>
        <v>0</v>
      </c>
      <c r="AL73" s="802">
        <f>IF(AI73=0,0,(AK73-AI73)/AI73*100)</f>
        <v>0</v>
      </c>
      <c r="AM73" s="7153"/>
      <c r="AN73" s="7154" t="str">
        <f>IF(_xlfn.IFERROR(INDEX(Административные!$K$26:$L$122,MATCH($F73&amp;"9komm",Административные!$K$26:$K$122,0),2),"")=0,"",_xlfn.IFERROR(INDEX(Административные!$K$26:$L$122,MATCH($F68&amp;"9komm",Административные!$K$26:$K$122,0),2),""))</f>
        <v/>
      </c>
      <c r="AO73" s="7153"/>
      <c r="AP73" s="1741"/>
      <c r="AQ73" s="1741"/>
      <c r="AR73" s="1062" t="s">
        <v>2534</v>
      </c>
      <c r="AS73" s="1062"/>
      <c r="AT73" s="1062"/>
      <c r="AU73" s="1059"/>
      <c r="AV73" s="1059"/>
    </row>
    <row s="588" customFormat="1" customHeight="1" ht="14.625" hidden="1">
      <c r="A74" s="588"/>
      <c r="B74" s="588">
        <f>STATUS_GO="да"</f>
        <v>1</v>
      </c>
      <c r="C74" s="588"/>
      <c r="D74" s="588"/>
      <c r="E74" s="697">
        <v>15</v>
      </c>
      <c r="F74" s="50" cm="1" t="str">
        <f t="array" ref="F74:F74">OFFSET(E74,-1,1)</f>
        <v>0</v>
      </c>
      <c r="G74" s="588"/>
      <c r="H74" s="588"/>
      <c r="I74" s="698" t="s">
        <v>336</v>
      </c>
      <c r="J74" s="698"/>
      <c r="K74" s="698"/>
      <c r="L74" s="698"/>
      <c r="M74" s="698"/>
      <c r="N74" s="698"/>
      <c r="O74" s="698"/>
      <c r="P74" s="698"/>
      <c r="Q74" s="698"/>
      <c r="R74" s="698"/>
      <c r="S74" s="698"/>
      <c r="T74" s="465" cm="1" t="str">
        <f t="array" ref="T74:T74">T73</f>
        <v>false</v>
      </c>
      <c r="U74" s="588"/>
      <c r="V74" s="588"/>
      <c r="W74" s="588"/>
      <c r="X74" s="1641"/>
      <c r="Y74" s="588"/>
      <c r="Z74" s="1642"/>
      <c r="AA74" s="588"/>
      <c r="AB74" s="804" t="s">
        <v>295</v>
      </c>
      <c r="AC74" s="800" t="s">
        <v>2535</v>
      </c>
      <c r="AD74" s="812" t="s">
        <v>1514</v>
      </c>
      <c r="AE74" s="801">
        <f>_xlfn.SUMIFS('Сбытовые расходы ГО'!AE$25:AE$87,'Сбытовые расходы ГО'!$F$25:$F$87,$F74,'Сбытовые расходы ГО'!$G$25:$G$87,"l0")</f>
        <v>0</v>
      </c>
      <c r="AF74" s="801">
        <f>_xlfn.SUMIFS('Сбытовые расходы ГО'!AF$25:AF$87,'Сбытовые расходы ГО'!$F$25:$F$87,$F74,'Сбытовые расходы ГО'!$G$25:$G$87,"l0")</f>
        <v>0</v>
      </c>
      <c r="AG74" s="801">
        <f>_xlfn.SUMIFS('Сбытовые расходы ГО'!AG$25:AG$87,'Сбытовые расходы ГО'!$F$25:$F$87,$F74,'Сбытовые расходы ГО'!$G$25:$G$87,"l0")</f>
        <v>0</v>
      </c>
      <c r="AH74" s="801">
        <f>AG74-AF74</f>
        <v>0</v>
      </c>
      <c r="AI74" s="801">
        <f>_xlfn.SUMIFS('Сбытовые расходы ГО'!AH$25:AH$87,'Сбытовые расходы ГО'!$F$25:$F$87,$F74,'Сбытовые расходы ГО'!$G$25:$G$87,"l0")</f>
        <v>0</v>
      </c>
      <c r="AJ74" s="801">
        <f>_xlfn.SUMIFS('Сбытовые расходы ГО'!AI$25:AI$87,'Сбытовые расходы ГО'!$F$25:$F$87,$F74,'Сбытовые расходы ГО'!$G$25:$G$87,"l0")</f>
        <v>0</v>
      </c>
      <c r="AK74" s="801">
        <f>_xlfn.SUMIFS('Сбытовые расходы ГО'!AJ$25:AJ$87,'Сбытовые расходы ГО'!$F$25:$F$87,$F74,'Сбытовые расходы ГО'!$G$25:$G$87,"l0")</f>
        <v>0</v>
      </c>
      <c r="AL74" s="801">
        <f>IF(AI74=0,0,(AK74-AI74)/AI74*100)</f>
        <v>0</v>
      </c>
      <c r="AM74" s="7159"/>
      <c r="AN74" s="7154"/>
      <c r="AO74" s="7159"/>
      <c r="AP74" s="588"/>
      <c r="AQ74" s="588"/>
      <c r="AR74" s="1063" t="s">
        <v>2536</v>
      </c>
      <c r="AS74" s="1063"/>
      <c r="AT74" s="1063"/>
      <c r="AU74" s="697"/>
      <c r="AV74" s="697"/>
    </row>
    <row s="588" customFormat="1" customHeight="1" ht="14.625" hidden="1">
      <c r="A75" s="588"/>
      <c r="B75" s="588"/>
      <c r="C75" s="588"/>
      <c r="D75" s="588"/>
      <c r="E75" s="697">
        <v>15</v>
      </c>
      <c r="F75" s="50" cm="1" t="str">
        <f t="array" ref="F75:F75">OFFSET(E75,-1,1)</f>
        <v>0</v>
      </c>
      <c r="G75" s="588"/>
      <c r="H75" s="588"/>
      <c r="I75" s="698" t="s">
        <v>335</v>
      </c>
      <c r="J75" s="698"/>
      <c r="K75" s="698"/>
      <c r="L75" s="698"/>
      <c r="M75" s="698"/>
      <c r="N75" s="698"/>
      <c r="O75" s="698"/>
      <c r="P75" s="698"/>
      <c r="Q75" s="698"/>
      <c r="R75" s="698"/>
      <c r="S75" s="698"/>
      <c r="T75" s="465" cm="1" t="str">
        <f t="array" ref="T75:T75">T74</f>
        <v>false</v>
      </c>
      <c r="U75" s="588"/>
      <c r="V75" s="588"/>
      <c r="W75" s="588"/>
      <c r="X75" s="1641"/>
      <c r="Y75" s="588"/>
      <c r="Z75" s="1642"/>
      <c r="AA75" s="588"/>
      <c r="AB75" s="804" t="s">
        <v>443</v>
      </c>
      <c r="AC75" s="589" t="s">
        <v>2537</v>
      </c>
      <c r="AD75" s="812" t="s">
        <v>1514</v>
      </c>
      <c r="AE75" s="801">
        <f>_xlfn.SUMIFS(Амортизация!AE$25:AE$272,Амортизация!$F$25:$F$272,$F75,Амортизация!$AC$25:$AC$272,"Сумма амортизационных отчислений")</f>
        <v>0</v>
      </c>
      <c r="AF75" s="801">
        <f>_xlfn.SUMIFS(Амортизация!AF$25:AF$272,Амортизация!$F$25:$F$272,$F75,Амортизация!$AC$25:$AC$272,"Сумма амортизационных отчислений")</f>
        <v>0</v>
      </c>
      <c r="AG75" s="801">
        <f>_xlfn.SUMIFS(Амортизация!AG$25:AG$272,Амортизация!$F$25:$F$272,$F75,Амортизация!$AC$25:$AC$272,"Сумма амортизационных отчислений")</f>
        <v>0</v>
      </c>
      <c r="AH75" s="801">
        <f>AG75-AF75</f>
        <v>0</v>
      </c>
      <c r="AI75" s="801">
        <f>_xlfn.SUMIFS(Амортизация!AH$25:AH$272,Амортизация!$F$25:$F$272,$F75,Амортизация!$AC$25:$AC$272,"Сумма амортизационных отчислений")</f>
        <v>0</v>
      </c>
      <c r="AJ75" s="801">
        <f>_xlfn.SUMIFS(Амортизация!AI$25:AI$272,Амортизация!$F$25:$F$272,$F75,Амортизация!$AC$25:$AC$272,"Сумма амортизационных отчислений")</f>
        <v>0</v>
      </c>
      <c r="AK75" s="801">
        <f>_xlfn.SUMIFS(Амортизация!AS$25:AS$272,Амортизация!$F$25:$F$272,$F75,Амортизация!$AC$25:$AC$272,"Сумма амортизационных отчислений")</f>
        <v>0</v>
      </c>
      <c r="AL75" s="801">
        <f>IF(AI75=0,0,(AK75-AI75)/AI75*100)</f>
        <v>0</v>
      </c>
      <c r="AM75" s="7159"/>
      <c r="AN75" s="7154" t="str">
        <f>IF(_xlfn.IFERROR(INDEX(Амортизация!$K$26:$L$272,MATCH($F75&amp;"komm",Амортизация!$K$26:$K$675,0),2),"")=0,"",_xlfn.IFERROR(INDEX(Амортизация!$K$26:$L$272,MATCH($F75&amp;"komm",Амортизация!$K$26:$K$675,0),2),""))</f>
        <v/>
      </c>
      <c r="AO75" s="7159"/>
      <c r="AP75" s="588"/>
      <c r="AQ75" s="588"/>
      <c r="AR75" s="1063" t="s">
        <v>1960</v>
      </c>
      <c r="AS75" s="1063"/>
      <c r="AT75" s="1063"/>
      <c r="AU75" s="697"/>
      <c r="AV75" s="697"/>
    </row>
    <row customHeight="1" ht="14.625" hidden="1">
      <c r="A76" s="1741"/>
      <c r="B76" s="1741"/>
      <c r="C76" s="1741"/>
      <c r="D76" s="1741"/>
      <c r="E76" s="695">
        <v>15</v>
      </c>
      <c r="F76" s="50" cm="1" t="str">
        <f t="array" ref="F76:F76">OFFSET(E76,-1,1)</f>
        <v>0</v>
      </c>
      <c r="G76" s="1741"/>
      <c r="H76" s="1741"/>
      <c r="I76" s="587" t="s">
        <v>1263</v>
      </c>
      <c r="J76" s="587"/>
      <c r="K76" s="587"/>
      <c r="L76" s="587"/>
      <c r="M76" s="587"/>
      <c r="N76" s="587"/>
      <c r="O76" s="587"/>
      <c r="P76" s="587"/>
      <c r="Q76" s="587"/>
      <c r="R76" s="587"/>
      <c r="S76" s="587"/>
      <c r="T76" s="465" cm="1" t="str">
        <f t="array" ref="T76:T76">T75</f>
        <v>false</v>
      </c>
      <c r="U76" s="1741"/>
      <c r="V76" s="1741"/>
      <c r="W76" s="1741"/>
      <c r="X76" s="1641"/>
      <c r="Y76" s="1741"/>
      <c r="Z76" s="1642"/>
      <c r="AA76" s="1741"/>
      <c r="AB76" s="807" t="s">
        <v>1391</v>
      </c>
      <c r="AC76" s="813" t="s">
        <v>2538</v>
      </c>
      <c r="AD76" s="814" t="s">
        <v>1514</v>
      </c>
      <c r="AE76" s="7168">
        <f>_xlfn.SUMIFS('ИП + источники'!AF$27:AF$203,'ИП + источники'!$F$27:$F$203,$F76,'ИП + источники'!$AC$27:$AC$203,"Амортизационные отчисления")+_xlfn.SUMIFS('ИП + источники'!AF$27:AF$203,'ИП + источники'!$F$27:$F$203,$F76,'ИП + источники'!$AC$27:$AC$203,"погашение займов и кредитов из амортизации")</f>
        <v>0</v>
      </c>
      <c r="AF76" s="7168">
        <f>_xlfn.SUMIFS('ИП + источники'!AG$27:AG$203,'ИП + источники'!$F$27:$F$203,$F76,'ИП + источники'!$AC$27:$AC$203,"Амортизационные отчисления")+_xlfn.SUMIFS('ИП + источники'!AG$27:AG$203,'ИП + источники'!$F$27:$F$203,$F76,'ИП + источники'!$AC$27:$AC$203,"погашение займов и кредитов из амортизации")</f>
        <v>0</v>
      </c>
      <c r="AG76" s="7168">
        <f>_xlfn.SUMIFS('ИП + источники'!AH$27:AH$203,'ИП + источники'!$F$27:$F$203,$F76,'ИП + источники'!$AC$27:$AC$203,"Амортизационные отчисления")+_xlfn.SUMIFS('ИП + источники'!AH$27:AH$203,'ИП + источники'!$F$27:$F$203,$F76,'ИП + источники'!$AC$27:$AC$203,"погашение займов и кредитов из амортизации")</f>
        <v>0</v>
      </c>
      <c r="AH76" s="802">
        <f>AG76-AF76</f>
        <v>0</v>
      </c>
      <c r="AI76" s="7168">
        <f>_xlfn.SUMIFS('ИП + источники'!AH$27:AH$203,'ИП + источники'!$F$27:$F$203,$F76,'ИП + источники'!$AC$27:$AC$203,"Амортизационные отчисления")+_xlfn.SUMIFS('ИП + источники'!AH$27:AH$203,'ИП + источники'!$F$27:$F$203,$F76,'ИП + источники'!$AC$27:$AC$203,"погашение займов и кредитов из амортизации")</f>
        <v>0</v>
      </c>
      <c r="AJ76" s="7168">
        <f>_xlfn.SUMIFS('ИП + источники'!AI$27:AI$203,'ИП + источники'!$F$27:$F$203,$F76,'ИП + источники'!$AC$27:$AC$203,"Амортизационные отчисления")+_xlfn.SUMIFS('ИП + источники'!AI$27:AI$203,'ИП + источники'!$F$27:$F$203,$F76,'ИП + источники'!$AC$27:$AC$203,"погашение займов и кредитов из амортизации")</f>
        <v>0</v>
      </c>
      <c r="AK76" s="7168">
        <f>_xlfn.SUMIFS('ИП + источники'!AJ$27:AJ$203,'ИП + источники'!$F$27:$F$203,$F76,'ИП + источники'!$AC$27:$AC$203,"Амортизационные отчисления")+_xlfn.SUMIFS('ИП + источники'!AJ$27:AJ$203,'ИП + источники'!$F$27:$F$203,$F76,'ИП + источники'!$AC$27:$AC$203,"погашение займов и кредитов из амортизации")</f>
        <v>0</v>
      </c>
      <c r="AL76" s="802">
        <f>IF(AI76=0,0,(AK76-AI76)/AI76*100)</f>
        <v>0</v>
      </c>
      <c r="AM76" s="7153"/>
      <c r="AN76" s="7153"/>
      <c r="AO76" s="7153"/>
      <c r="AP76" s="1741"/>
      <c r="AQ76" s="1741"/>
      <c r="AR76" s="1062" t="s">
        <v>2539</v>
      </c>
      <c r="AS76" s="1062"/>
      <c r="AT76" s="1062"/>
      <c r="AU76" s="1059"/>
      <c r="AV76" s="1059"/>
    </row>
    <row s="588" customFormat="1" customHeight="1" ht="21.9375" hidden="1">
      <c r="A77" s="588"/>
      <c r="B77" s="588"/>
      <c r="C77" s="588"/>
      <c r="D77" s="588"/>
      <c r="E77" s="697">
        <v>22.5</v>
      </c>
      <c r="F77" s="50" cm="1" t="str">
        <f t="array" ref="F77:F77">OFFSET(E77,-1,1)</f>
        <v>0</v>
      </c>
      <c r="G77" s="588"/>
      <c r="H77" s="588"/>
      <c r="I77" s="698" t="s">
        <v>1225</v>
      </c>
      <c r="J77" s="698"/>
      <c r="K77" s="698"/>
      <c r="L77" s="698"/>
      <c r="M77" s="698"/>
      <c r="N77" s="698"/>
      <c r="O77" s="698"/>
      <c r="P77" s="698"/>
      <c r="Q77" s="698"/>
      <c r="R77" s="698"/>
      <c r="S77" s="698"/>
      <c r="T77" s="465" cm="1" t="str">
        <f t="array" ref="T77:T77">T76</f>
        <v>false</v>
      </c>
      <c r="U77" s="588"/>
      <c r="V77" s="588"/>
      <c r="W77" s="588"/>
      <c r="X77" s="1641"/>
      <c r="Y77" s="588"/>
      <c r="Z77" s="1642"/>
      <c r="AA77" s="588"/>
      <c r="AB77" s="804" t="s">
        <v>446</v>
      </c>
      <c r="AC77" s="589" t="s">
        <v>2540</v>
      </c>
      <c r="AD77" s="812" t="s">
        <v>1514</v>
      </c>
      <c r="AE77" s="801">
        <f>_xlfn.SUMIFS(Аренда!AE$25:AE$77,Аренда!$F$25:$F$77,$F77,Аренда!$G$25:$G$77,"Арендная и концессионная плата, лизинговые платежи")</f>
        <v>0</v>
      </c>
      <c r="AF77" s="801">
        <f>_xlfn.SUMIFS(Аренда!AF$25:AF$77,Аренда!$F$25:$F$77,$F77,Аренда!$G$25:$G$77,"Арендная и концессионная плата, лизинговые платежи")</f>
        <v>0</v>
      </c>
      <c r="AG77" s="801">
        <f>_xlfn.SUMIFS(Аренда!AG$25:AG$77,Аренда!$F$25:$F$77,$F77,Аренда!$G$25:$G$77,"Арендная и концессионная плата, лизинговые платежи")</f>
        <v>0</v>
      </c>
      <c r="AH77" s="801">
        <f>AG77-AF77</f>
        <v>0</v>
      </c>
      <c r="AI77" s="801">
        <f>_xlfn.SUMIFS(Аренда!AH$25:AH$77,Аренда!$F$25:$F$77,$F77,Аренда!$G$25:$G$77,"Арендная и концессионная плата, лизинговые платежи")</f>
        <v>0</v>
      </c>
      <c r="AJ77" s="801">
        <f>_xlfn.SUMIFS(Аренда!AI$25:AI$77,Аренда!$F$25:$F$77,$F77,Аренда!$G$25:$G$77,"Арендная и концессионная плата, лизинговые платежи")</f>
        <v>0</v>
      </c>
      <c r="AK77" s="801">
        <f>_xlfn.SUMIFS(Аренда!AS$25:AS$77,Аренда!$F$25:$F$77,$F77,Аренда!$G$25:$G$77,"Арендная и концессионная плата, лизинговые платежи")</f>
        <v>0</v>
      </c>
      <c r="AL77" s="801">
        <f>IF(AI77=0,0,(AK77-AI77)/AI77*100)</f>
        <v>0</v>
      </c>
      <c r="AM77" s="7159"/>
      <c r="AN77" s="7154" t="str">
        <f>IF(_xlfn.IFERROR(INDEX(Аренда!$K$26:$L$77,MATCH($F77&amp;"komm",Аренда!$K$26:$K$77,0),2),"")=0,"",_xlfn.IFERROR(INDEX(Аренда!$K$26:$L$77,MATCH($F77&amp;"komm",Аренда!$K$26:$K$77,0),2),""))</f>
        <v/>
      </c>
      <c r="AO77" s="7159"/>
      <c r="AP77" s="588"/>
      <c r="AQ77" s="588"/>
      <c r="AR77" s="1063" t="s">
        <v>2541</v>
      </c>
      <c r="AS77" s="1063"/>
      <c r="AT77" s="1063"/>
      <c r="AU77" s="697"/>
      <c r="AV77" s="697"/>
    </row>
    <row s="588" customFormat="1" customHeight="1" ht="14.625" hidden="1">
      <c r="A78" s="588"/>
      <c r="B78" s="588"/>
      <c r="C78" s="588"/>
      <c r="D78" s="588"/>
      <c r="E78" s="697">
        <v>15</v>
      </c>
      <c r="F78" s="50" cm="1" t="str">
        <f t="array" ref="F78:F78">OFFSET(E78,-1,1)</f>
        <v>0</v>
      </c>
      <c r="G78" s="588"/>
      <c r="H78" s="588"/>
      <c r="I78" s="698" t="s">
        <v>1228</v>
      </c>
      <c r="J78" s="698"/>
      <c r="K78" s="698"/>
      <c r="L78" s="698"/>
      <c r="M78" s="698"/>
      <c r="N78" s="698"/>
      <c r="O78" s="698"/>
      <c r="P78" s="698"/>
      <c r="Q78" s="698"/>
      <c r="R78" s="698"/>
      <c r="S78" s="698"/>
      <c r="T78" s="465" cm="1" t="str">
        <f t="array" ref="T78:T78">T77</f>
        <v>false</v>
      </c>
      <c r="U78" s="588"/>
      <c r="V78" s="588"/>
      <c r="W78" s="588"/>
      <c r="X78" s="1641"/>
      <c r="Y78" s="588"/>
      <c r="Z78" s="1642"/>
      <c r="AA78" s="588"/>
      <c r="AB78" s="804" t="s">
        <v>449</v>
      </c>
      <c r="AC78" s="589" t="s">
        <v>2542</v>
      </c>
      <c r="AD78" s="812" t="s">
        <v>1514</v>
      </c>
      <c r="AE78" s="801">
        <f>_xlfn.SUMIFS(Налоги!AE$25:AE$101,Налоги!$F$25:$F$101,$F78,Налоги!$AC$25:$AC$101,"Налоги и платежи, относимые на указанный вид деятельности")</f>
        <v>0</v>
      </c>
      <c r="AF78" s="801">
        <f>_xlfn.SUMIFS(Налоги!AF$25:AF$101,Налоги!$F$25:$F$101,$F78,Налоги!$AC$25:$AC$101,"Налоги и платежи, относимые на указанный вид деятельности")</f>
        <v>0</v>
      </c>
      <c r="AG78" s="801">
        <f>_xlfn.SUMIFS(Налоги!AG$25:AG$101,Налоги!$F$25:$F$101,$F78,Налоги!$AC$25:$AC$101,"Налоги и платежи, относимые на указанный вид деятельности")</f>
        <v>0</v>
      </c>
      <c r="AH78" s="801">
        <f>AG78-AF78</f>
        <v>0</v>
      </c>
      <c r="AI78" s="801">
        <f>_xlfn.SUMIFS(Налоги!AH$25:AH$101,Налоги!$F$25:$F$101,$F78,Налоги!$AC$25:$AC$101,"Налоги и платежи, относимые на указанный вид деятельности")</f>
        <v>0</v>
      </c>
      <c r="AJ78" s="801">
        <f>_xlfn.SUMIFS(Налоги!AI$25:AI$101,Налоги!$F$25:$F$101,$F78,Налоги!$AC$25:$AC$101,"Налоги и платежи, относимые на указанный вид деятельности")</f>
        <v>0</v>
      </c>
      <c r="AK78" s="801">
        <f>_xlfn.SUMIFS(Налоги!AS$25:AS$101,Налоги!$F$25:$F$101,$F78,Налоги!$AC$25:$AC$101,"Налоги и платежи, относимые на указанный вид деятельности")</f>
        <v>0</v>
      </c>
      <c r="AL78" s="801">
        <f>IF(AI78=0,0,(AK78-AI78)/AI78*100)</f>
        <v>0</v>
      </c>
      <c r="AM78" s="7159"/>
      <c r="AN78" s="7154" t="str">
        <f>IF(_xlfn.IFERROR(INDEX(Налоги!$K$26:$L$101,MATCH($F78&amp;"komm",Налоги!$K$26:$K$101,0),2),"")=0,"",_xlfn.IFERROR(INDEX(Налоги!$K$26:$L$101,MATCH($F78&amp;"komm",Налоги!$K$26:$K$101,0),2),""))</f>
        <v/>
      </c>
      <c r="AO78" s="7159"/>
      <c r="AP78" s="588"/>
      <c r="AQ78" s="588"/>
      <c r="AR78" s="1063" t="s">
        <v>1999</v>
      </c>
      <c r="AS78" s="1063"/>
      <c r="AT78" s="1063"/>
      <c r="AU78" s="697"/>
      <c r="AV78" s="697"/>
    </row>
    <row s="588" customFormat="1" customHeight="1" ht="14.625" hidden="1">
      <c r="A79" s="588"/>
      <c r="B79" s="588"/>
      <c r="C79" s="588"/>
      <c r="D79" s="588"/>
      <c r="E79" s="697">
        <v>15</v>
      </c>
      <c r="F79" s="50" cm="1" t="str">
        <f t="array" ref="F79:F79">OFFSET(E79,-1,1)</f>
        <v>0</v>
      </c>
      <c r="G79" s="588"/>
      <c r="H79" s="588"/>
      <c r="I79" s="698" t="s">
        <v>1275</v>
      </c>
      <c r="J79" s="698"/>
      <c r="K79" s="698"/>
      <c r="L79" s="698"/>
      <c r="M79" s="698"/>
      <c r="N79" s="698"/>
      <c r="O79" s="698"/>
      <c r="P79" s="698"/>
      <c r="Q79" s="698"/>
      <c r="R79" s="698"/>
      <c r="S79" s="698"/>
      <c r="T79" s="465" cm="1" t="str">
        <f t="array" ref="T79:T79">T78</f>
        <v>false</v>
      </c>
      <c r="U79" s="588"/>
      <c r="V79" s="588"/>
      <c r="W79" s="588"/>
      <c r="X79" s="1641"/>
      <c r="Y79" s="588"/>
      <c r="Z79" s="1642"/>
      <c r="AA79" s="588"/>
      <c r="AB79" s="804" t="s">
        <v>452</v>
      </c>
      <c r="AC79" s="589" t="s">
        <v>2543</v>
      </c>
      <c r="AD79" s="590" t="s">
        <v>1514</v>
      </c>
      <c r="AE79" s="788">
        <f>AE80+AE81+AE82</f>
        <v>0</v>
      </c>
      <c r="AF79" s="788">
        <f>AF80+AF81+AF82</f>
        <v>0</v>
      </c>
      <c r="AG79" s="788">
        <f>AG80+AG81+AG82</f>
        <v>0</v>
      </c>
      <c r="AH79" s="788">
        <f>AG79-AF79</f>
        <v>0</v>
      </c>
      <c r="AI79" s="788">
        <f>AI80+AI81+AI82</f>
        <v>0</v>
      </c>
      <c r="AJ79" s="788">
        <f>AJ80+AJ81+AJ82</f>
        <v>0</v>
      </c>
      <c r="AK79" s="788">
        <f>AK80+AK81+AK82</f>
        <v>0</v>
      </c>
      <c r="AL79" s="801">
        <f>IF(AI79=0,0,(AK79-AI79)/AI79*100)</f>
        <v>0</v>
      </c>
      <c r="AM79" s="7159"/>
      <c r="AN79" s="7154"/>
      <c r="AO79" s="7159"/>
      <c r="AP79" s="588"/>
      <c r="AQ79" s="588"/>
      <c r="AR79" s="1063" t="s">
        <v>2242</v>
      </c>
      <c r="AS79" s="1063"/>
      <c r="AT79" s="1063"/>
      <c r="AU79" s="697"/>
      <c r="AV79" s="697"/>
    </row>
    <row customHeight="1" ht="14.625" hidden="1">
      <c r="A80" s="1741"/>
      <c r="B80" s="1741"/>
      <c r="C80" s="1741"/>
      <c r="D80" s="1741"/>
      <c r="E80" s="695">
        <v>15</v>
      </c>
      <c r="F80" s="50" cm="1" t="str">
        <f t="array" ref="F80:F80">OFFSET(E80,-1,1)</f>
        <v>0</v>
      </c>
      <c r="G80" s="1741"/>
      <c r="H80" s="1741"/>
      <c r="I80" s="587" t="s">
        <v>1278</v>
      </c>
      <c r="J80" s="587"/>
      <c r="K80" s="587"/>
      <c r="L80" s="587"/>
      <c r="M80" s="587"/>
      <c r="N80" s="587"/>
      <c r="O80" s="587"/>
      <c r="P80" s="587"/>
      <c r="Q80" s="587"/>
      <c r="R80" s="587"/>
      <c r="S80" s="587"/>
      <c r="T80" s="465" cm="1" t="str">
        <f t="array" ref="T80:T80">T79</f>
        <v>false</v>
      </c>
      <c r="U80" s="1741"/>
      <c r="V80" s="1741"/>
      <c r="W80" s="1741"/>
      <c r="X80" s="1641"/>
      <c r="Y80" s="1741"/>
      <c r="Z80" s="1642"/>
      <c r="AA80" s="1741"/>
      <c r="AB80" s="807" t="s">
        <v>1301</v>
      </c>
      <c r="AC80" s="813" t="s">
        <v>2544</v>
      </c>
      <c r="AD80" s="814" t="s">
        <v>1514</v>
      </c>
      <c r="AE80" s="7168">
        <f>_xlfn.SUMIFS('ИП + источники'!AF$26:AF$203,'ИП + источники'!$F$26:$F$203,$F80,'ИП + источники'!$AC$26:$AC$203,"погашение займов и кредитов из нормативной прибыли")+_xlfn.SUMIFS('ИП + источники'!AF$26:AF$203,'ИП + источники'!$F$26:$F$203,$F80,'ИП + источники'!$AC$26:$AC$203,"уплата процентов по кредитам из нормативной прибыли")</f>
        <v>0</v>
      </c>
      <c r="AF80" s="7168">
        <f>_xlfn.SUMIFS('ИП + источники'!AG$26:AG$203,'ИП + источники'!$F$26:$F$203,$F80,'ИП + источники'!$AC$26:$AC$203,"погашение займов и кредитов из нормативной прибыли")+_xlfn.SUMIFS('ИП + источники'!AG$26:AG$203,'ИП + источники'!$F$26:$F$203,$F80,'ИП + источники'!$AC$26:$AC$203,"уплата процентов по кредитам из нормативной прибыли")</f>
        <v>0</v>
      </c>
      <c r="AG80" s="7168">
        <f>_xlfn.SUMIFS('ИП + источники'!AH$26:AH$203,'ИП + источники'!$F$26:$F$203,$F80,'ИП + источники'!$AC$26:$AC$203,"погашение займов и кредитов из нормативной прибыли")+_xlfn.SUMIFS('ИП + источники'!AH$26:AH$203,'ИП + источники'!$F$26:$F$203,$F80,'ИП + источники'!$AC$26:$AC$203,"уплата процентов по кредитам из нормативной прибыли")</f>
        <v>0</v>
      </c>
      <c r="AH80" s="802">
        <f>AG80-AF80</f>
        <v>0</v>
      </c>
      <c r="AI80" s="7168">
        <f>_xlfn.SUMIFS('ИП + источники'!AJ$26:AJ$203,'ИП + источники'!$F$26:$F$203,$F80,'ИП + источники'!$AC$26:$AC$203,"погашение займов и кредитов из нормативной прибыли")+_xlfn.SUMIFS('ИП + источники'!AJ$26:AJ$203,'ИП + источники'!$F$26:$F$203,$F80,'ИП + источники'!$AC$26:$AC$203,"уплата процентов по кредитам из нормативной прибыли")</f>
        <v>0</v>
      </c>
      <c r="AJ80" s="7168">
        <f>_xlfn.SUMIFS('ИП + источники'!AK$26:AK$203,'ИП + источники'!$F$26:$F$203,$F80,'ИП + источники'!$AC$26:$AC$203,"погашение займов и кредитов из нормативной прибыли")+_xlfn.SUMIFS('ИП + источники'!AK$26:AK$203,'ИП + источники'!$F$26:$F$203,$F80,'ИП + источники'!$AC$26:$AC$203,"уплата процентов по кредитам из нормативной прибыли")</f>
        <v>0</v>
      </c>
      <c r="AK80" s="7168">
        <f>_xlfn.SUMIFS('ИП + источники'!AU$26:AU$203,'ИП + источники'!$F$26:$F$203,$F80,'ИП + источники'!$AC$26:$AC$203,"погашение займов и кредитов из нормативной прибыли")+_xlfn.SUMIFS('ИП + источники'!AU$26:AU$203,'ИП + источники'!$F$26:$F$203,$F80,'ИП + источники'!$AC$26:$AC$203,"уплата процентов по кредитам из нормативной прибыли")</f>
        <v>0</v>
      </c>
      <c r="AL80" s="802">
        <f>IF(AI80=0,0,(AK80-AI80)/AI80*100)</f>
        <v>0</v>
      </c>
      <c r="AM80" s="7153"/>
      <c r="AN80" s="7154" t="str">
        <f>IF(_xlfn.IFERROR(INDEX('ИП + источники'!$K$57:$L$203,MATCH($F80&amp;"1komm",'ИП + источники'!$K$57:$K$203,0),2),"")=0,"",_xlfn.IFERROR(INDEX('ИП + источники'!$K$57:$L$203,MATCH($F80&amp;"1komm",'ИП + источники'!$K$57:$K$203,0),2),""))</f>
        <v/>
      </c>
      <c r="AO80" s="7153"/>
      <c r="AP80" s="1741"/>
      <c r="AQ80" s="1741"/>
      <c r="AR80" s="1062" t="s">
        <v>1991</v>
      </c>
      <c r="AS80" s="1062"/>
      <c r="AT80" s="1062"/>
      <c r="AU80" s="1059"/>
      <c r="AV80" s="1059"/>
    </row>
    <row customHeight="1" ht="14.625" hidden="1">
      <c r="A81" s="1741"/>
      <c r="B81" s="1741"/>
      <c r="C81" s="1741"/>
      <c r="D81" s="1741"/>
      <c r="E81" s="695">
        <v>15</v>
      </c>
      <c r="F81" s="50" cm="1" t="str">
        <f t="array" ref="F81:F81">OFFSET(E81,-1,1)</f>
        <v>0</v>
      </c>
      <c r="G81" s="1741"/>
      <c r="H81" s="1741"/>
      <c r="I81" s="587" t="s">
        <v>1282</v>
      </c>
      <c r="J81" s="587"/>
      <c r="K81" s="587"/>
      <c r="L81" s="587"/>
      <c r="M81" s="587"/>
      <c r="N81" s="587"/>
      <c r="O81" s="587"/>
      <c r="P81" s="587"/>
      <c r="Q81" s="587"/>
      <c r="R81" s="587"/>
      <c r="S81" s="587"/>
      <c r="T81" s="465" cm="1" t="str">
        <f t="array" ref="T81:T81">T80</f>
        <v>false</v>
      </c>
      <c r="U81" s="1741"/>
      <c r="V81" s="1741"/>
      <c r="W81" s="1741"/>
      <c r="X81" s="1641"/>
      <c r="Y81" s="1741"/>
      <c r="Z81" s="1642"/>
      <c r="AA81" s="1741"/>
      <c r="AB81" s="807" t="s">
        <v>1318</v>
      </c>
      <c r="AC81" s="813" t="s">
        <v>2545</v>
      </c>
      <c r="AD81" s="814" t="s">
        <v>1514</v>
      </c>
      <c r="AE81" s="7168">
        <f>_xlfn.SUMIFS('ИП + источники'!AF$27:AF$203,'ИП + источники'!$F$27:$F$203,$F81,'ИП + источники'!$AC$27:$AC$203,"Прибыль на капвложения")</f>
        <v>0</v>
      </c>
      <c r="AF81" s="7168">
        <f>_xlfn.SUMIFS('ИП + источники'!AG$27:AG$203,'ИП + источники'!$F$27:$F$203,$F81,'ИП + источники'!$AC$27:$AC$203,"Прибыль на капвложения")</f>
        <v>0</v>
      </c>
      <c r="AG81" s="7168">
        <f>_xlfn.SUMIFS('ИП + источники'!AH$27:AH$203,'ИП + источники'!$F$27:$F$203,$F81,'ИП + источники'!$AC$27:$AC$203,"Прибыль на капвложения")</f>
        <v>0</v>
      </c>
      <c r="AH81" s="802">
        <f>AG81-AF81</f>
        <v>0</v>
      </c>
      <c r="AI81" s="7168">
        <f>_xlfn.SUMIFS('ИП + источники'!AJ$27:AJ$203,'ИП + источники'!$F$27:$F$203,$F81,'ИП + источники'!$AC$27:$AC$203,"Прибыль на капвложения")</f>
        <v>0</v>
      </c>
      <c r="AJ81" s="7168">
        <f>_xlfn.SUMIFS('ИП + источники'!AK$27:AK$203,'ИП + источники'!$F$27:$F$203,$F81,'ИП + источники'!$AC$27:$AC$203,"Прибыль на капвложения")</f>
        <v>0</v>
      </c>
      <c r="AK81" s="7168">
        <f>_xlfn.SUMIFS('ИП + источники'!AU$27:AU$203,'ИП + источники'!$F$27:$F$203,$F81,'ИП + источники'!$AC$27:$AC$203,"Прибыль на капвложения")</f>
        <v>0</v>
      </c>
      <c r="AL81" s="802">
        <f>IF(AI81=0,0,(AK81-AI81)/AI81*100)</f>
        <v>0</v>
      </c>
      <c r="AM81" s="7153"/>
      <c r="AN81" s="7154" t="str">
        <f>IF(_xlfn.IFERROR(INDEX('ИП + источники'!$K$57:$L$203,MATCH($F81&amp;"2komm",'ИП + источники'!$K$57:$K$203,0),2),"")=0,"",_xlfn.IFERROR(INDEX('ИП + источники'!$K$57:$L$203,MATCH($F81&amp;"2komm",'ИП + источники'!$K$57:$K$203,0),2),""))</f>
        <v/>
      </c>
      <c r="AO81" s="7153"/>
      <c r="AP81" s="1741"/>
      <c r="AQ81" s="1741"/>
      <c r="AR81" s="1062" t="s">
        <v>2546</v>
      </c>
      <c r="AS81" s="1062"/>
      <c r="AT81" s="1062"/>
      <c r="AU81" s="1059"/>
      <c r="AV81" s="1059"/>
    </row>
    <row customHeight="1" ht="21.9375" hidden="1">
      <c r="A82" s="1741"/>
      <c r="B82" s="1741"/>
      <c r="C82" s="1741"/>
      <c r="D82" s="1741"/>
      <c r="E82" s="695">
        <v>22.5</v>
      </c>
      <c r="F82" s="50" cm="1" t="str">
        <f t="array" ref="F82:F82">OFFSET(E82,-1,1)</f>
        <v>0</v>
      </c>
      <c r="G82" s="1741"/>
      <c r="H82" s="1741"/>
      <c r="I82" s="587" t="s">
        <v>1286</v>
      </c>
      <c r="J82" s="587"/>
      <c r="K82" s="587"/>
      <c r="L82" s="587"/>
      <c r="M82" s="587"/>
      <c r="N82" s="587"/>
      <c r="O82" s="587"/>
      <c r="P82" s="587"/>
      <c r="Q82" s="587"/>
      <c r="R82" s="587"/>
      <c r="S82" s="587"/>
      <c r="T82" s="465" cm="1" t="str">
        <f t="array" ref="T82:T82">T81</f>
        <v>false</v>
      </c>
      <c r="U82" s="1741"/>
      <c r="V82" s="1741"/>
      <c r="W82" s="1741"/>
      <c r="X82" s="1641"/>
      <c r="Y82" s="1741"/>
      <c r="Z82" s="1642"/>
      <c r="AA82" s="1741"/>
      <c r="AB82" s="807" t="s">
        <v>1330</v>
      </c>
      <c r="AC82" s="813" t="s">
        <v>2547</v>
      </c>
      <c r="AD82" s="814" t="s">
        <v>1514</v>
      </c>
      <c r="AE82" s="7168"/>
      <c r="AF82" s="7168"/>
      <c r="AG82" s="7168"/>
      <c r="AH82" s="802"/>
      <c r="AI82" s="7168"/>
      <c r="AJ82" s="7168"/>
      <c r="AK82" s="7168"/>
      <c r="AL82" s="802">
        <f>IF(AI82=0,0,(AK82-AI82)/AI82*100)</f>
        <v>0</v>
      </c>
      <c r="AM82" s="7153"/>
      <c r="AN82" s="7153"/>
      <c r="AO82" s="7153"/>
      <c r="AP82" s="1741"/>
      <c r="AQ82" s="1741"/>
      <c r="AR82" s="1062" t="s">
        <v>2548</v>
      </c>
      <c r="AS82" s="1062"/>
      <c r="AT82" s="1062"/>
      <c r="AU82" s="1059"/>
      <c r="AV82" s="1059"/>
    </row>
    <row s="588" customFormat="1" customHeight="1" ht="21.9375" hidden="1">
      <c r="A83" s="588"/>
      <c r="B83" s="588">
        <f>STATUS_GO="да"</f>
        <v>1</v>
      </c>
      <c r="C83" s="588"/>
      <c r="D83" s="588"/>
      <c r="E83" s="697">
        <v>22.5</v>
      </c>
      <c r="F83" s="50" cm="1" t="str">
        <f t="array" ref="F83:F83">OFFSET(E83,-1,1)</f>
        <v>0</v>
      </c>
      <c r="G83" s="588"/>
      <c r="H83" s="588"/>
      <c r="I83" s="698" t="s">
        <v>1290</v>
      </c>
      <c r="J83" s="698"/>
      <c r="K83" s="698"/>
      <c r="L83" s="698"/>
      <c r="M83" s="698"/>
      <c r="N83" s="698"/>
      <c r="O83" s="698"/>
      <c r="P83" s="698"/>
      <c r="Q83" s="698"/>
      <c r="R83" s="698"/>
      <c r="S83" s="698"/>
      <c r="T83" s="465" cm="1" t="str">
        <f t="array" ref="T83:T83">T82</f>
        <v>false</v>
      </c>
      <c r="U83" s="588"/>
      <c r="V83" s="588"/>
      <c r="W83" s="588"/>
      <c r="X83" s="1641"/>
      <c r="Y83" s="588"/>
      <c r="Z83" s="1642"/>
      <c r="AA83" s="588"/>
      <c r="AB83" s="804" t="s">
        <v>455</v>
      </c>
      <c r="AC83" s="800" t="s">
        <v>2549</v>
      </c>
      <c r="AD83" s="812" t="s">
        <v>1514</v>
      </c>
      <c r="AE83" s="7165"/>
      <c r="AF83" s="7165"/>
      <c r="AG83" s="7165"/>
      <c r="AH83" s="801">
        <f>AG83-AF83</f>
        <v>0</v>
      </c>
      <c r="AI83" s="7165"/>
      <c r="AJ83" s="7165"/>
      <c r="AK83" s="7165"/>
      <c r="AL83" s="801">
        <f>IF(AI83=0,0,(AK83-AI83)/AI83*100)</f>
        <v>0</v>
      </c>
      <c r="AM83" s="7159"/>
      <c r="AN83" s="7159"/>
      <c r="AO83" s="7159"/>
      <c r="AP83" s="588"/>
      <c r="AQ83" s="588"/>
      <c r="AR83" s="1063" t="s">
        <v>2550</v>
      </c>
      <c r="AS83" s="1063"/>
      <c r="AT83" s="1063"/>
      <c r="AU83" s="697"/>
      <c r="AV83" s="697"/>
    </row>
    <row customHeight="1" ht="14.625" hidden="1">
      <c r="A84" s="1741"/>
      <c r="B84" s="1741"/>
      <c r="C84" s="1741"/>
      <c r="D84" s="1741"/>
      <c r="E84" s="695">
        <v>15</v>
      </c>
      <c r="F84" s="50" cm="1" t="str">
        <f t="array" ref="F84:F84">OFFSET(E84,-1,1)</f>
        <v>0</v>
      </c>
      <c r="G84" s="1741"/>
      <c r="H84" s="1741"/>
      <c r="I84" s="587" t="s">
        <v>1297</v>
      </c>
      <c r="J84" s="587"/>
      <c r="K84" s="587"/>
      <c r="L84" s="587"/>
      <c r="M84" s="587"/>
      <c r="N84" s="587"/>
      <c r="O84" s="587"/>
      <c r="P84" s="587"/>
      <c r="Q84" s="587"/>
      <c r="R84" s="587"/>
      <c r="S84" s="587"/>
      <c r="T84" s="465" cm="1" t="str">
        <f t="array" ref="T84:T84">T83</f>
        <v>false</v>
      </c>
      <c r="U84" s="1741"/>
      <c r="V84" s="1741"/>
      <c r="W84" s="1741"/>
      <c r="X84" s="1641"/>
      <c r="Y84" s="1741"/>
      <c r="Z84" s="1642"/>
      <c r="AA84" s="1741"/>
      <c r="AB84" s="807" t="s">
        <v>458</v>
      </c>
      <c r="AC84" s="816" t="s">
        <v>2197</v>
      </c>
      <c r="AD84" s="814" t="s">
        <v>1514</v>
      </c>
      <c r="AE84" s="7168"/>
      <c r="AF84" s="7168"/>
      <c r="AG84" s="7168"/>
      <c r="AH84" s="802"/>
      <c r="AI84" s="7189"/>
      <c r="AJ84" s="7189"/>
      <c r="AK84" s="7189"/>
      <c r="AL84" s="802">
        <f>IF(AI84=0,0,(AK84-AI84)/AI84*100)</f>
        <v>0</v>
      </c>
      <c r="AM84" s="7153"/>
      <c r="AN84" s="7153"/>
      <c r="AO84" s="7153"/>
      <c r="AP84" s="1741"/>
      <c r="AQ84" s="1741"/>
      <c r="AR84" s="1062" t="s">
        <v>2551</v>
      </c>
      <c r="AS84" s="1062"/>
      <c r="AT84" s="1062"/>
      <c r="AU84" s="1059"/>
      <c r="AV84" s="1059"/>
    </row>
    <row customHeight="1" ht="101.25" hidden="1">
      <c r="A85" s="1741"/>
      <c r="B85" s="1741"/>
      <c r="C85" s="1741"/>
      <c r="D85" s="1741"/>
      <c r="E85" s="695">
        <v>0</v>
      </c>
      <c r="F85" s="50" cm="1" t="str">
        <f t="array" ref="F85:F85">OFFSET(E85,-1,1)</f>
        <v>0</v>
      </c>
      <c r="G85" s="1741"/>
      <c r="H85" s="517">
        <f>ISERR(SEARCH("Водоснабжение",AB27))</f>
        <v>1</v>
      </c>
      <c r="I85" s="587" t="s">
        <v>1454</v>
      </c>
      <c r="J85" s="587"/>
      <c r="K85" s="587"/>
      <c r="L85" s="587"/>
      <c r="M85" s="587"/>
      <c r="N85" s="587"/>
      <c r="O85" s="587"/>
      <c r="P85" s="587"/>
      <c r="Q85" s="587"/>
      <c r="R85" s="587"/>
      <c r="S85" s="587"/>
      <c r="T85" s="465" cm="1" t="str">
        <f t="array" ref="T85:T85">T84</f>
        <v>false</v>
      </c>
      <c r="U85" s="1741"/>
      <c r="V85" s="1741"/>
      <c r="W85" s="1741"/>
      <c r="X85" s="1641"/>
      <c r="Y85" s="1741"/>
      <c r="Z85" s="1642"/>
      <c r="AA85" s="1741"/>
      <c r="AB85" s="807" t="s">
        <v>461</v>
      </c>
      <c r="AC85" s="816" t="s">
        <v>2552</v>
      </c>
      <c r="AD85" s="759" t="s">
        <v>1514</v>
      </c>
      <c r="AE85" s="7168"/>
      <c r="AF85" s="7168"/>
      <c r="AG85" s="7168"/>
      <c r="AH85" s="802">
        <f>AG85-AF85</f>
        <v>0</v>
      </c>
      <c r="AI85" s="7168"/>
      <c r="AJ85" s="7168"/>
      <c r="AK85" s="7168">
        <f>_xlfn.IFERROR(_xlfn.SUMIFS('Плата за негативное возд'!$AL$25:$AL$41,'Плата за негативное возд'!$F$25:$F$41,F85,'Плата за негативное возд'!$G$25:$G$41,"1"),0)</f>
        <v>0</v>
      </c>
      <c r="AL85" s="802">
        <f>IF(AI85=0,0,(AK85-AI85)/AI85*100)</f>
        <v>0</v>
      </c>
      <c r="AM85" s="7153"/>
      <c r="AN85" s="7153"/>
      <c r="AO85" s="7153"/>
      <c r="AP85" s="1741"/>
      <c r="AQ85" s="1741"/>
      <c r="AR85" s="1062" t="s">
        <v>2098</v>
      </c>
      <c r="AS85" s="1062"/>
      <c r="AT85" s="1062"/>
      <c r="AU85" s="1059"/>
      <c r="AV85" s="1059"/>
    </row>
    <row customHeight="1" ht="67.5" hidden="1">
      <c r="A86" s="1741"/>
      <c r="B86" s="1741"/>
      <c r="C86" s="1741"/>
      <c r="D86" s="1741"/>
      <c r="E86" s="695">
        <v>0</v>
      </c>
      <c r="F86" s="50" cm="1" t="str">
        <f t="array" ref="F86:F86">OFFSET(E86,-1,1)</f>
        <v>0</v>
      </c>
      <c r="G86" s="1741"/>
      <c r="H86" s="517">
        <f>ISERR(SEARCH("Водоснабжение",AB27))</f>
        <v>1</v>
      </c>
      <c r="I86" s="587" t="s">
        <v>1456</v>
      </c>
      <c r="J86" s="587"/>
      <c r="K86" s="587"/>
      <c r="L86" s="587"/>
      <c r="M86" s="587"/>
      <c r="N86" s="587"/>
      <c r="O86" s="587"/>
      <c r="P86" s="587"/>
      <c r="Q86" s="587"/>
      <c r="R86" s="587"/>
      <c r="S86" s="587"/>
      <c r="T86" s="465" cm="1" t="str">
        <f t="array" ref="T86:T86">T85</f>
        <v>false</v>
      </c>
      <c r="U86" s="1741"/>
      <c r="V86" s="1741"/>
      <c r="W86" s="1741"/>
      <c r="X86" s="1641"/>
      <c r="Y86" s="1741"/>
      <c r="Z86" s="1642"/>
      <c r="AA86" s="1741"/>
      <c r="AB86" s="807" t="s">
        <v>463</v>
      </c>
      <c r="AC86" s="816" t="s">
        <v>2553</v>
      </c>
      <c r="AD86" s="759" t="s">
        <v>1514</v>
      </c>
      <c r="AE86" s="7168"/>
      <c r="AF86" s="7168"/>
      <c r="AG86" s="7168"/>
      <c r="AH86" s="802">
        <f>AG86-AF86</f>
        <v>0</v>
      </c>
      <c r="AI86" s="7168"/>
      <c r="AJ86" s="7168"/>
      <c r="AK86" s="7168">
        <f>_xlfn.IFERROR(_xlfn.SUMIFS('Плата за негативное возд'!$AL$25:$AL$41,'Плата за негативное возд'!$F$25:$F$41,F86,'Плата за негативное возд'!$G$25:$G$41,"2"),0)</f>
        <v>0</v>
      </c>
      <c r="AL86" s="802">
        <f>IF(AI86=0,0,(AK86-AI86)/AI86*100)</f>
        <v>0</v>
      </c>
      <c r="AM86" s="7153"/>
      <c r="AN86" s="7153"/>
      <c r="AO86" s="7153"/>
      <c r="AP86" s="1741"/>
      <c r="AQ86" s="1741"/>
      <c r="AR86" s="1062" t="s">
        <v>2102</v>
      </c>
      <c r="AS86" s="1062"/>
      <c r="AT86" s="1062"/>
      <c r="AU86" s="1059"/>
      <c r="AV86" s="1059"/>
    </row>
    <row customHeight="1" ht="14.625" hidden="1">
      <c r="A87" s="1741"/>
      <c r="B87" s="1741"/>
      <c r="C87" s="1741"/>
      <c r="D87" s="1741"/>
      <c r="E87" s="695">
        <v>15</v>
      </c>
      <c r="F87" s="50" cm="1" t="str">
        <f t="array" ref="F87:F87">OFFSET(E87,-1,1)</f>
        <v>0</v>
      </c>
      <c r="G87" s="1741"/>
      <c r="H87" s="1741"/>
      <c r="I87" s="587" t="s">
        <v>1492</v>
      </c>
      <c r="J87" s="587"/>
      <c r="K87" s="587"/>
      <c r="L87" s="587"/>
      <c r="M87" s="587"/>
      <c r="N87" s="587"/>
      <c r="O87" s="587"/>
      <c r="P87" s="587"/>
      <c r="Q87" s="587"/>
      <c r="R87" s="587"/>
      <c r="S87" s="587"/>
      <c r="T87" s="465" cm="1" t="str">
        <f t="array" ref="T87:T87">T86</f>
        <v>false</v>
      </c>
      <c r="U87" s="1741"/>
      <c r="V87" s="1741"/>
      <c r="W87" s="1741"/>
      <c r="X87" s="1641"/>
      <c r="Y87" s="1741"/>
      <c r="Z87" s="1642"/>
      <c r="AA87" s="1741"/>
      <c r="AB87" s="807" t="s">
        <v>465</v>
      </c>
      <c r="AC87" s="818" t="s">
        <v>2554</v>
      </c>
      <c r="AD87" s="814" t="s">
        <v>1514</v>
      </c>
      <c r="AE87" s="7168"/>
      <c r="AF87" s="7168"/>
      <c r="AG87" s="7168"/>
      <c r="AH87" s="802">
        <f>AG87-AF87</f>
        <v>0</v>
      </c>
      <c r="AI87" s="7168"/>
      <c r="AJ87" s="7168"/>
      <c r="AK87" s="7168"/>
      <c r="AL87" s="802">
        <f>IF(AI87=0,0,(AK87-AI87)/AI87*100)</f>
        <v>0</v>
      </c>
      <c r="AM87" s="7153"/>
      <c r="AN87" s="7153"/>
      <c r="AO87" s="7153"/>
      <c r="AP87" s="1741"/>
      <c r="AQ87" s="1741"/>
      <c r="AR87" s="1062" t="s">
        <v>1966</v>
      </c>
      <c r="AS87" s="1062"/>
      <c r="AT87" s="1062"/>
      <c r="AU87" s="1059"/>
      <c r="AV87" s="1059"/>
    </row>
    <row s="588" customFormat="1" customHeight="1" ht="21.9375" hidden="1">
      <c r="A88" s="588"/>
      <c r="B88" s="588"/>
      <c r="C88" s="588"/>
      <c r="D88" s="588"/>
      <c r="E88" s="697">
        <v>22.5</v>
      </c>
      <c r="F88" s="50" cm="1" t="str">
        <f t="array" ref="F88:F88">OFFSET(E88,-1,1)</f>
        <v>0</v>
      </c>
      <c r="G88" s="588"/>
      <c r="H88" s="588"/>
      <c r="I88" s="698" t="s">
        <v>1493</v>
      </c>
      <c r="J88" s="698"/>
      <c r="K88" s="698"/>
      <c r="L88" s="698"/>
      <c r="M88" s="698"/>
      <c r="N88" s="698"/>
      <c r="O88" s="698"/>
      <c r="P88" s="698"/>
      <c r="Q88" s="698"/>
      <c r="R88" s="698"/>
      <c r="S88" s="698"/>
      <c r="T88" s="465" cm="1" t="str">
        <f t="array" ref="T88:T88">T87</f>
        <v>false</v>
      </c>
      <c r="U88" s="588"/>
      <c r="V88" s="588"/>
      <c r="W88" s="588"/>
      <c r="X88" s="1641"/>
      <c r="Y88" s="588"/>
      <c r="Z88" s="1642"/>
      <c r="AA88" s="588"/>
      <c r="AB88" s="804" t="s">
        <v>467</v>
      </c>
      <c r="AC88" s="589" t="s">
        <v>2555</v>
      </c>
      <c r="AD88" s="812" t="s">
        <v>1514</v>
      </c>
      <c r="AE88" s="788">
        <f>AE89+AE90</f>
        <v>0</v>
      </c>
      <c r="AF88" s="788">
        <f>AF89+AF90</f>
        <v>0</v>
      </c>
      <c r="AG88" s="788">
        <f>AG89+AG90</f>
        <v>0</v>
      </c>
      <c r="AH88" s="801">
        <f>AG88-AF88</f>
        <v>0</v>
      </c>
      <c r="AI88" s="788">
        <f>AI89+AI90</f>
        <v>0</v>
      </c>
      <c r="AJ88" s="788">
        <f>AJ89+AJ90</f>
        <v>0</v>
      </c>
      <c r="AK88" s="788">
        <f>AK89+AK90</f>
        <v>0</v>
      </c>
      <c r="AL88" s="801">
        <f>IF(AI88=0,0,(AK88-AI88)/AI88*100)</f>
        <v>0</v>
      </c>
      <c r="AM88" s="7159"/>
      <c r="AN88" s="7159"/>
      <c r="AO88" s="7159"/>
      <c r="AP88" s="588"/>
      <c r="AQ88" s="588"/>
      <c r="AR88" s="1063" t="s">
        <v>2280</v>
      </c>
      <c r="AS88" s="1063"/>
      <c r="AT88" s="1063"/>
      <c r="AU88" s="697"/>
      <c r="AV88" s="697"/>
    </row>
    <row customHeight="1" ht="21.9375" hidden="1">
      <c r="A89" s="1741"/>
      <c r="B89" s="1741"/>
      <c r="C89" s="1741"/>
      <c r="D89" s="1741"/>
      <c r="E89" s="695">
        <v>22.5</v>
      </c>
      <c r="F89" s="50" cm="1" t="str">
        <f t="array" ref="F89:F89">OFFSET(E89,-1,1)</f>
        <v>0</v>
      </c>
      <c r="G89" s="1741"/>
      <c r="H89" s="1741"/>
      <c r="I89" s="587" t="s">
        <v>2556</v>
      </c>
      <c r="J89" s="587"/>
      <c r="K89" s="587"/>
      <c r="L89" s="587"/>
      <c r="M89" s="587"/>
      <c r="N89" s="587"/>
      <c r="O89" s="587"/>
      <c r="P89" s="587"/>
      <c r="Q89" s="587"/>
      <c r="R89" s="587"/>
      <c r="S89" s="587"/>
      <c r="T89" s="465" cm="1" t="str">
        <f t="array" ref="T89:T89">T88</f>
        <v>false</v>
      </c>
      <c r="U89" s="1741"/>
      <c r="V89" s="1741"/>
      <c r="W89" s="1741"/>
      <c r="X89" s="1641"/>
      <c r="Y89" s="1741"/>
      <c r="Z89" s="1642"/>
      <c r="AA89" s="1741"/>
      <c r="AB89" s="807" t="s">
        <v>2557</v>
      </c>
      <c r="AC89" s="819" t="s">
        <v>2281</v>
      </c>
      <c r="AD89" s="814" t="s">
        <v>1514</v>
      </c>
      <c r="AE89" s="7168"/>
      <c r="AF89" s="7168"/>
      <c r="AG89" s="7168"/>
      <c r="AH89" s="802">
        <f>AG89-AF89</f>
        <v>0</v>
      </c>
      <c r="AI89" s="7168"/>
      <c r="AJ89" s="7168"/>
      <c r="AK89" s="7168"/>
      <c r="AL89" s="802">
        <f>IF(AI89=0,0,(AK89-AI89)/AI89*100)</f>
        <v>0</v>
      </c>
      <c r="AM89" s="7153"/>
      <c r="AN89" s="7153"/>
      <c r="AO89" s="7153"/>
      <c r="AP89" s="1741"/>
      <c r="AQ89" s="1741"/>
      <c r="AR89" s="1062" t="s">
        <v>2319</v>
      </c>
      <c r="AS89" s="1062"/>
      <c r="AT89" s="1062"/>
      <c r="AU89" s="1059"/>
      <c r="AV89" s="1059"/>
    </row>
    <row customHeight="1" ht="21.9375" hidden="1">
      <c r="A90" s="1741"/>
      <c r="B90" s="1741"/>
      <c r="C90" s="1741"/>
      <c r="D90" s="1741"/>
      <c r="E90" s="695">
        <v>22.5</v>
      </c>
      <c r="F90" s="50" cm="1" t="str">
        <f t="array" ref="F90:F90">OFFSET(E90,-1,1)</f>
        <v>0</v>
      </c>
      <c r="G90" s="1741"/>
      <c r="H90" s="1741"/>
      <c r="I90" s="587" t="s">
        <v>2558</v>
      </c>
      <c r="J90" s="587"/>
      <c r="K90" s="587"/>
      <c r="L90" s="587"/>
      <c r="M90" s="587"/>
      <c r="N90" s="587"/>
      <c r="O90" s="587"/>
      <c r="P90" s="587"/>
      <c r="Q90" s="587"/>
      <c r="R90" s="587"/>
      <c r="S90" s="587"/>
      <c r="T90" s="465" cm="1" t="str">
        <f t="array" ref="T90:T90">T89</f>
        <v>false</v>
      </c>
      <c r="U90" s="1741"/>
      <c r="V90" s="1741"/>
      <c r="W90" s="1741"/>
      <c r="X90" s="1641"/>
      <c r="Y90" s="1741"/>
      <c r="Z90" s="1642"/>
      <c r="AA90" s="1741"/>
      <c r="AB90" s="807" t="s">
        <v>2559</v>
      </c>
      <c r="AC90" s="819" t="s">
        <v>2283</v>
      </c>
      <c r="AD90" s="814" t="s">
        <v>1514</v>
      </c>
      <c r="AE90" s="7168"/>
      <c r="AF90" s="7168"/>
      <c r="AG90" s="7168"/>
      <c r="AH90" s="802">
        <f>AG90-AF90</f>
        <v>0</v>
      </c>
      <c r="AI90" s="7168"/>
      <c r="AJ90" s="7168"/>
      <c r="AK90" s="7168"/>
      <c r="AL90" s="802">
        <f>IF(AI90=0,0,(AK90-AI90)/AI90*100)</f>
        <v>0</v>
      </c>
      <c r="AM90" s="7153"/>
      <c r="AN90" s="7153"/>
      <c r="AO90" s="7153"/>
      <c r="AP90" s="1741"/>
      <c r="AQ90" s="1741"/>
      <c r="AR90" s="1062" t="s">
        <v>2560</v>
      </c>
      <c r="AS90" s="1062"/>
      <c r="AT90" s="1062"/>
      <c r="AU90" s="1059"/>
      <c r="AV90" s="1059"/>
    </row>
    <row customHeight="1" ht="14.625" hidden="1">
      <c r="A91" s="1741"/>
      <c r="B91" s="1741"/>
      <c r="C91" s="1741"/>
      <c r="D91" s="1741"/>
      <c r="E91" s="695">
        <v>15</v>
      </c>
      <c r="F91" s="50" cm="1" t="str">
        <f t="array" ref="F91:F91">OFFSET(E91,-1,1)</f>
        <v>0</v>
      </c>
      <c r="G91" s="1741"/>
      <c r="H91" s="1741"/>
      <c r="I91" s="587" t="s">
        <v>2561</v>
      </c>
      <c r="J91" s="587"/>
      <c r="K91" s="587"/>
      <c r="L91" s="587"/>
      <c r="M91" s="587"/>
      <c r="N91" s="587"/>
      <c r="O91" s="587"/>
      <c r="P91" s="587"/>
      <c r="Q91" s="587"/>
      <c r="R91" s="587"/>
      <c r="S91" s="587"/>
      <c r="T91" s="465" cm="1" t="str">
        <f t="array" ref="T91:T91">T90</f>
        <v>false</v>
      </c>
      <c r="U91" s="1741"/>
      <c r="V91" s="1741"/>
      <c r="W91" s="1741"/>
      <c r="X91" s="1641"/>
      <c r="Y91" s="1741"/>
      <c r="Z91" s="1642"/>
      <c r="AA91" s="1741"/>
      <c r="AB91" s="820" t="s">
        <v>341</v>
      </c>
      <c r="AC91" s="821" t="s">
        <v>2285</v>
      </c>
      <c r="AD91" s="814" t="s">
        <v>1514</v>
      </c>
      <c r="AE91" s="7168"/>
      <c r="AF91" s="7168"/>
      <c r="AG91" s="7168"/>
      <c r="AH91" s="802">
        <f>AG91-AF91</f>
        <v>0</v>
      </c>
      <c r="AI91" s="7168"/>
      <c r="AJ91" s="7168"/>
      <c r="AK91" s="7168"/>
      <c r="AL91" s="802">
        <f>IF(AI91=0,0,(AK91-AI91)/AI91*100)</f>
        <v>0</v>
      </c>
      <c r="AM91" s="7153"/>
      <c r="AN91" s="7153"/>
      <c r="AO91" s="7153"/>
      <c r="AP91" s="1741"/>
      <c r="AQ91" s="1741"/>
      <c r="AR91" s="1062" t="s">
        <v>2286</v>
      </c>
      <c r="AS91" s="1062"/>
      <c r="AT91" s="1062"/>
      <c r="AU91" s="1059"/>
      <c r="AV91" s="1059"/>
    </row>
    <row customHeight="1" ht="14.625" hidden="1">
      <c r="A92" s="1741"/>
      <c r="B92" s="1741"/>
      <c r="C92" s="1741"/>
      <c r="D92" s="1741"/>
      <c r="E92" s="695">
        <v>15</v>
      </c>
      <c r="F92" s="50" cm="1" t="str">
        <f t="array" ref="F92:F92">OFFSET(E92,-1,1)</f>
        <v>0</v>
      </c>
      <c r="G92" s="1741"/>
      <c r="H92" s="1741"/>
      <c r="I92" s="587" t="s">
        <v>2562</v>
      </c>
      <c r="J92" s="587"/>
      <c r="K92" s="587"/>
      <c r="L92" s="587"/>
      <c r="M92" s="587"/>
      <c r="N92" s="587"/>
      <c r="O92" s="587"/>
      <c r="P92" s="587"/>
      <c r="Q92" s="587"/>
      <c r="R92" s="587"/>
      <c r="S92" s="587"/>
      <c r="T92" s="465" cm="1" t="str">
        <f t="array" ref="T92:T92">T91</f>
        <v>false</v>
      </c>
      <c r="U92" s="1741"/>
      <c r="V92" s="1741"/>
      <c r="W92" s="1741"/>
      <c r="X92" s="1641"/>
      <c r="Y92" s="1741"/>
      <c r="Z92" s="1642"/>
      <c r="AA92" s="1741"/>
      <c r="AB92" s="820" t="s">
        <v>502</v>
      </c>
      <c r="AC92" s="821" t="s">
        <v>2287</v>
      </c>
      <c r="AD92" s="814" t="s">
        <v>1514</v>
      </c>
      <c r="AE92" s="7168"/>
      <c r="AF92" s="7168"/>
      <c r="AG92" s="7168"/>
      <c r="AH92" s="802">
        <f>AG92-AF92</f>
        <v>0</v>
      </c>
      <c r="AI92" s="7168"/>
      <c r="AJ92" s="7168"/>
      <c r="AK92" s="7168"/>
      <c r="AL92" s="802">
        <f>IF(AI92=0,0,(AK92-AI92)/AI92*100)</f>
        <v>0</v>
      </c>
      <c r="AM92" s="7153"/>
      <c r="AN92" s="7153"/>
      <c r="AO92" s="7153"/>
      <c r="AP92" s="1741"/>
      <c r="AQ92" s="1741"/>
      <c r="AR92" s="1062" t="s">
        <v>2288</v>
      </c>
      <c r="AS92" s="1062"/>
      <c r="AT92" s="1062"/>
      <c r="AU92" s="1059"/>
      <c r="AV92" s="1059"/>
    </row>
    <row s="588" customFormat="1" customHeight="1" ht="14.625" hidden="1">
      <c r="A93" s="588"/>
      <c r="B93" s="588"/>
      <c r="C93" s="588"/>
      <c r="D93" s="588"/>
      <c r="E93" s="697">
        <v>15</v>
      </c>
      <c r="F93" s="50" cm="1" t="str">
        <f t="array" ref="F93:F93">OFFSET(E93,-1,1)</f>
        <v>0</v>
      </c>
      <c r="G93" s="588"/>
      <c r="H93" s="588"/>
      <c r="I93" s="698" t="s">
        <v>2563</v>
      </c>
      <c r="J93" s="698"/>
      <c r="K93" s="698"/>
      <c r="L93" s="698"/>
      <c r="M93" s="698"/>
      <c r="N93" s="698"/>
      <c r="O93" s="698"/>
      <c r="P93" s="698"/>
      <c r="Q93" s="698"/>
      <c r="R93" s="698"/>
      <c r="S93" s="698"/>
      <c r="T93" s="465" cm="1" t="str">
        <f t="array" ref="T93:T93">T92</f>
        <v>false</v>
      </c>
      <c r="U93" s="588"/>
      <c r="V93" s="588"/>
      <c r="W93" s="588"/>
      <c r="X93" s="1641"/>
      <c r="Y93" s="588"/>
      <c r="Z93" s="1642"/>
      <c r="AA93" s="588"/>
      <c r="AB93" s="804" t="s">
        <v>505</v>
      </c>
      <c r="AC93" s="589" t="s">
        <v>2564</v>
      </c>
      <c r="AD93" s="812" t="s">
        <v>1514</v>
      </c>
      <c r="AE93" s="788">
        <f>AE28+AE56+AE61+AE74+AE75+AE77+AE78+AE79+AE83+AE84-AE85-AE86+AE87-AE88+AE91+AE92</f>
        <v>0</v>
      </c>
      <c r="AF93" s="788">
        <f>AF28+AF56+AF61+AF74+AF75+AF77+AF78+AF79+AF83+AF84-AF85-AF86+AF87-AF88+AF91+AF92</f>
        <v>0</v>
      </c>
      <c r="AG93" s="788">
        <f>AG28+AG56+AG61+AG74+AG75+AG77+AG78+AG79+AG83+AG84-AG85-AG86+AG87-AG88+AG91+AG92</f>
        <v>0</v>
      </c>
      <c r="AH93" s="801">
        <f>AG93-AF93</f>
        <v>0</v>
      </c>
      <c r="AI93" s="788">
        <f>AI28+AI56+AI61+AI74+AI75+AI77+AI78+AI79+AI83+AI84-AI85-AI86+AI87-AI88+AI91+AI92</f>
        <v>0</v>
      </c>
      <c r="AJ93" s="788">
        <f>AJ28+AJ56+AJ61+AJ74+AJ75+AJ77+AJ78+AJ79+AJ83+AJ84-AJ85-AJ86+AJ87-AJ88+AJ91+AJ92</f>
        <v>0</v>
      </c>
      <c r="AK93" s="788">
        <f>AK28+AK56+AK61+AK74+AK75+AK77+AK78+AK79+AK83+AK84-AK85-AK86+AK87-AK88+AK91+AK92</f>
        <v>0</v>
      </c>
      <c r="AL93" s="801">
        <f>IF(AI93=0,0,(AK93-AI93)/AI93*100)</f>
        <v>0</v>
      </c>
      <c r="AM93" s="7159"/>
      <c r="AN93" s="7159"/>
      <c r="AO93" s="7159"/>
      <c r="AP93" s="588"/>
      <c r="AQ93" s="588"/>
      <c r="AR93" s="1063" t="s">
        <v>2565</v>
      </c>
      <c r="AS93" s="1063"/>
      <c r="AT93" s="1063"/>
      <c r="AU93" s="697"/>
      <c r="AV93" s="697"/>
    </row>
    <row customHeight="1" ht="15" hidden="1">
      <c r="A94" s="1741"/>
      <c r="B94" s="577">
        <f>G27="двухставочный"</f>
        <v>0</v>
      </c>
      <c r="C94" s="1741"/>
      <c r="D94" s="1741"/>
      <c r="E94" s="695">
        <v>0</v>
      </c>
      <c r="F94" s="50" cm="1" t="str">
        <f t="array" ref="F94:F94">OFFSET(E94,-1,1)</f>
        <v>0</v>
      </c>
      <c r="G94" s="1741"/>
      <c r="H94" s="1741"/>
      <c r="I94" s="587" t="s">
        <v>2566</v>
      </c>
      <c r="J94" s="587"/>
      <c r="K94" s="587"/>
      <c r="L94" s="587"/>
      <c r="M94" s="587"/>
      <c r="N94" s="587"/>
      <c r="O94" s="587"/>
      <c r="P94" s="587"/>
      <c r="Q94" s="587"/>
      <c r="R94" s="587"/>
      <c r="S94" s="587"/>
      <c r="T94" s="465" cm="1" t="str">
        <f t="array" ref="T94:T94">T93</f>
        <v>false</v>
      </c>
      <c r="U94" s="1741"/>
      <c r="V94" s="1741"/>
      <c r="W94" s="1741"/>
      <c r="X94" s="1641"/>
      <c r="Y94" s="1741"/>
      <c r="Z94" s="1642"/>
      <c r="AA94" s="1741"/>
      <c r="AB94" s="807" t="s">
        <v>2567</v>
      </c>
      <c r="AC94" s="819" t="s">
        <v>2568</v>
      </c>
      <c r="AD94" s="814" t="s">
        <v>1514</v>
      </c>
      <c r="AE94" s="7168"/>
      <c r="AF94" s="7168"/>
      <c r="AG94" s="7168"/>
      <c r="AH94" s="802">
        <f>AG94-AF94</f>
        <v>0</v>
      </c>
      <c r="AI94" s="7168"/>
      <c r="AJ94" s="7168"/>
      <c r="AK94" s="7168"/>
      <c r="AL94" s="802">
        <f>IF(AI94=0,0,(AK94-AI94)/AI94*100)</f>
        <v>0</v>
      </c>
      <c r="AM94" s="7153"/>
      <c r="AN94" s="7153"/>
      <c r="AO94" s="7153"/>
      <c r="AP94" s="1741"/>
      <c r="AQ94" s="1741"/>
      <c r="AR94" s="1062" t="s">
        <v>2569</v>
      </c>
      <c r="AS94" s="1062"/>
      <c r="AT94" s="1062"/>
      <c r="AU94" s="1059"/>
      <c r="AV94" s="1059"/>
    </row>
    <row customHeight="1" ht="15" hidden="1">
      <c r="A95" s="1741"/>
      <c r="B95" s="577">
        <f>G27="двухставочный"</f>
        <v>0</v>
      </c>
      <c r="C95" s="1741"/>
      <c r="D95" s="1741"/>
      <c r="E95" s="695">
        <v>0</v>
      </c>
      <c r="F95" s="50" cm="1" t="str">
        <f t="array" ref="F95:F95">OFFSET(E95,-1,1)</f>
        <v>0</v>
      </c>
      <c r="G95" s="1741"/>
      <c r="H95" s="1741"/>
      <c r="I95" s="587" t="s">
        <v>2570</v>
      </c>
      <c r="J95" s="587"/>
      <c r="K95" s="587"/>
      <c r="L95" s="587"/>
      <c r="M95" s="587"/>
      <c r="N95" s="587"/>
      <c r="O95" s="587"/>
      <c r="P95" s="587"/>
      <c r="Q95" s="587"/>
      <c r="R95" s="587"/>
      <c r="S95" s="587"/>
      <c r="T95" s="465" cm="1" t="str">
        <f t="array" ref="T95:T95">T94</f>
        <v>false</v>
      </c>
      <c r="U95" s="1741"/>
      <c r="V95" s="1741"/>
      <c r="W95" s="1741"/>
      <c r="X95" s="1641"/>
      <c r="Y95" s="1741"/>
      <c r="Z95" s="1642"/>
      <c r="AA95" s="1741"/>
      <c r="AB95" s="807" t="s">
        <v>2571</v>
      </c>
      <c r="AC95" s="819" t="s">
        <v>2572</v>
      </c>
      <c r="AD95" s="814" t="s">
        <v>1514</v>
      </c>
      <c r="AE95" s="7168"/>
      <c r="AF95" s="7168"/>
      <c r="AG95" s="7168"/>
      <c r="AH95" s="802">
        <f>AG95-AF95</f>
        <v>0</v>
      </c>
      <c r="AI95" s="7168"/>
      <c r="AJ95" s="7168"/>
      <c r="AK95" s="7168"/>
      <c r="AL95" s="802">
        <f>IF(AI95=0,0,(AK95-AI95)/AI95*100)</f>
        <v>0</v>
      </c>
      <c r="AM95" s="7153"/>
      <c r="AN95" s="7153"/>
      <c r="AO95" s="7153"/>
      <c r="AP95" s="1741"/>
      <c r="AQ95" s="1741"/>
      <c r="AR95" s="1062" t="s">
        <v>2573</v>
      </c>
      <c r="AS95" s="1062"/>
      <c r="AT95" s="1062"/>
      <c r="AU95" s="1059"/>
      <c r="AV95" s="1059"/>
    </row>
    <row s="588" customFormat="1" customHeight="1" ht="14.625" hidden="1">
      <c r="A96" s="588"/>
      <c r="B96" s="588"/>
      <c r="C96" s="588"/>
      <c r="D96" s="588"/>
      <c r="E96" s="697">
        <v>15</v>
      </c>
      <c r="F96" s="50" cm="1" t="str">
        <f t="array" ref="F96:F96">OFFSET(E96,-1,1)</f>
        <v>0</v>
      </c>
      <c r="G96" s="578" t="s">
        <v>2346</v>
      </c>
      <c r="H96" s="588"/>
      <c r="I96" s="698" t="s">
        <v>2574</v>
      </c>
      <c r="J96" s="698"/>
      <c r="K96" s="698"/>
      <c r="L96" s="698"/>
      <c r="M96" s="698"/>
      <c r="N96" s="698"/>
      <c r="O96" s="698"/>
      <c r="P96" s="698"/>
      <c r="Q96" s="698"/>
      <c r="R96" s="698"/>
      <c r="S96" s="698"/>
      <c r="T96" s="465" cm="1" t="str">
        <f t="array" ref="T96:T96">T95</f>
        <v>false</v>
      </c>
      <c r="U96" s="588"/>
      <c r="V96" s="588"/>
      <c r="W96" s="588"/>
      <c r="X96" s="1641"/>
      <c r="Y96" s="588"/>
      <c r="Z96" s="1642"/>
      <c r="AA96" s="588"/>
      <c r="AB96" s="804" t="s">
        <v>508</v>
      </c>
      <c r="AC96" s="589" t="s">
        <v>2575</v>
      </c>
      <c r="AD96" s="812" t="s">
        <v>1247</v>
      </c>
      <c r="AE96" s="822">
        <f>_xlfn.SUMIFS(Баланс!AE$26:AE$482,Баланс!$F$26:$F$482,$F96,Баланс!$G$26:$G$482,"ПО")</f>
        <v>0</v>
      </c>
      <c r="AF96" s="822">
        <f>_xlfn.SUMIFS(Баланс!AF$26:AF$482,Баланс!$F$26:$F$482,$F96,Баланс!$G$26:$G$482,"ПО")</f>
        <v>0</v>
      </c>
      <c r="AG96" s="822">
        <f>_xlfn.SUMIFS(Баланс!AG$26:AG$482,Баланс!$F$26:$F$482,$F96,Баланс!$G$26:$G$482,"ПО")</f>
        <v>0</v>
      </c>
      <c r="AH96" s="822">
        <f>AG96-AF96</f>
        <v>0</v>
      </c>
      <c r="AI96" s="822">
        <f>_xlfn.SUMIFS(Баланс!AH$26:AH$482,Баланс!$F$26:$F$482,$F96,Баланс!$G$26:$G$482,"ПО")</f>
        <v>0</v>
      </c>
      <c r="AJ96" s="822">
        <f>_xlfn.SUMIFS(Баланс!AI$26:AI$482,Баланс!$F$26:$F$482,$F96,Баланс!$G$26:$G$482,"ПО")</f>
        <v>0</v>
      </c>
      <c r="AK96" s="822">
        <f>_xlfn.SUMIFS(Баланс!AS$26:AS$482,Баланс!$F$26:$F$482,$F96,Баланс!$G$26:$G$482,"ПО")</f>
        <v>0</v>
      </c>
      <c r="AL96" s="823"/>
      <c r="AM96" s="7159"/>
      <c r="AN96" s="7159"/>
      <c r="AO96" s="7159"/>
      <c r="AP96" s="588"/>
      <c r="AQ96" s="588"/>
      <c r="AR96" s="1063" t="s">
        <v>2576</v>
      </c>
      <c r="AS96" s="1063"/>
      <c r="AT96" s="1063"/>
      <c r="AU96" s="697"/>
      <c r="AV96" s="697"/>
    </row>
    <row customHeight="1" ht="14.625" hidden="1">
      <c r="A97" s="1741"/>
      <c r="B97" s="1741"/>
      <c r="C97" s="1741"/>
      <c r="D97" s="1741"/>
      <c r="E97" s="695">
        <v>15</v>
      </c>
      <c r="F97" s="50" cm="1" t="str">
        <f t="array" ref="F97:F97">OFFSET(E97,-1,1)</f>
        <v>0</v>
      </c>
      <c r="G97" s="578" t="s">
        <v>2373</v>
      </c>
      <c r="H97" s="1741"/>
      <c r="I97" s="587" t="s">
        <v>2577</v>
      </c>
      <c r="J97" s="587"/>
      <c r="K97" s="587"/>
      <c r="L97" s="587"/>
      <c r="M97" s="587"/>
      <c r="N97" s="587"/>
      <c r="O97" s="587"/>
      <c r="P97" s="587"/>
      <c r="Q97" s="587"/>
      <c r="R97" s="587"/>
      <c r="S97" s="587"/>
      <c r="T97" s="465" cm="1" t="str">
        <f t="array" ref="T97:T97">T96</f>
        <v>false</v>
      </c>
      <c r="U97" s="1741"/>
      <c r="V97" s="1741"/>
      <c r="W97" s="1741"/>
      <c r="X97" s="1641"/>
      <c r="Y97" s="1741"/>
      <c r="Z97" s="1642"/>
      <c r="AA97" s="1741"/>
      <c r="AB97" s="807" t="s">
        <v>2578</v>
      </c>
      <c r="AC97" s="1111" t="s">
        <v>2579</v>
      </c>
      <c r="AD97" s="814" t="s">
        <v>1247</v>
      </c>
      <c r="AE97" s="7197">
        <f>IF(AE$24="2026 год",AE96/12*9,AE96/2)</f>
        <v>0</v>
      </c>
      <c r="AF97" s="7197">
        <f>IF(AF$24="2026 год",AF96/12*9,AF96/2)</f>
        <v>0</v>
      </c>
      <c r="AG97" s="7197">
        <f>IF(AG$24="2026 год",AG96/12*9,AG96/2)</f>
        <v>0</v>
      </c>
      <c r="AH97" s="825">
        <f>AG97-AF97</f>
        <v>0</v>
      </c>
      <c r="AI97" s="7197">
        <f>IF(AI$24="2026 год",AI96/12*9,AI96/2)</f>
        <v>0</v>
      </c>
      <c r="AJ97" s="7197">
        <f>IF(AJ$24="2026 год",AJ96/12*9,AJ96/2)</f>
        <v>0</v>
      </c>
      <c r="AK97" s="7197">
        <f>IF(AK$24="2026 год",AK96/12*9,AK96/2)</f>
        <v>0</v>
      </c>
      <c r="AL97" s="817"/>
      <c r="AM97" s="7153"/>
      <c r="AN97" s="7153"/>
      <c r="AO97" s="7153"/>
      <c r="AP97" s="1741"/>
      <c r="AQ97" s="1741"/>
      <c r="AR97" s="1062" t="s">
        <v>2580</v>
      </c>
      <c r="AS97" s="1062"/>
      <c r="AT97" s="1062"/>
      <c r="AU97" s="1059"/>
      <c r="AV97" s="1059"/>
    </row>
    <row customHeight="1" ht="14.625" hidden="1">
      <c r="A98" s="1741"/>
      <c r="B98" s="1741"/>
      <c r="C98" s="1741"/>
      <c r="D98" s="1741"/>
      <c r="E98" s="695">
        <v>15</v>
      </c>
      <c r="F98" s="50" cm="1" t="str">
        <f t="array" ref="F98:F98">OFFSET(E98,-1,1)</f>
        <v>0</v>
      </c>
      <c r="G98" s="578" t="s">
        <v>2334</v>
      </c>
      <c r="H98" s="1741"/>
      <c r="I98" s="587" t="s">
        <v>2581</v>
      </c>
      <c r="J98" s="587"/>
      <c r="K98" s="587"/>
      <c r="L98" s="587"/>
      <c r="M98" s="587"/>
      <c r="N98" s="587"/>
      <c r="O98" s="587"/>
      <c r="P98" s="587"/>
      <c r="Q98" s="587"/>
      <c r="R98" s="587"/>
      <c r="S98" s="587"/>
      <c r="T98" s="465" cm="1" t="str">
        <f t="array" ref="T98:T98">T97</f>
        <v>false</v>
      </c>
      <c r="U98" s="1741"/>
      <c r="V98" s="1741"/>
      <c r="W98" s="1741"/>
      <c r="X98" s="1641"/>
      <c r="Y98" s="1741"/>
      <c r="Z98" s="1642"/>
      <c r="AA98" s="1741"/>
      <c r="AB98" s="807" t="s">
        <v>2582</v>
      </c>
      <c r="AC98" s="1111" t="s">
        <v>2583</v>
      </c>
      <c r="AD98" s="814" t="s">
        <v>2337</v>
      </c>
      <c r="AE98" s="7168"/>
      <c r="AF98" s="7168"/>
      <c r="AG98" s="7168"/>
      <c r="AH98" s="802">
        <f>AG98-AF98</f>
        <v>0</v>
      </c>
      <c r="AI98" s="7168"/>
      <c r="AJ98" s="7168"/>
      <c r="AK98" s="7168"/>
      <c r="AL98" s="817"/>
      <c r="AM98" s="7153"/>
      <c r="AN98" s="7153"/>
      <c r="AO98" s="7153"/>
      <c r="AP98" s="1741"/>
      <c r="AQ98" s="1741"/>
      <c r="AR98" s="1062" t="s">
        <v>2584</v>
      </c>
      <c r="AS98" s="1062"/>
      <c r="AT98" s="1062"/>
      <c r="AU98" s="1059"/>
      <c r="AV98" s="1059"/>
    </row>
    <row customHeight="1" ht="14.625" hidden="1">
      <c r="A99" s="1741"/>
      <c r="B99" s="1741"/>
      <c r="C99" s="1741"/>
      <c r="D99" s="1741"/>
      <c r="E99" s="695">
        <v>15</v>
      </c>
      <c r="F99" s="50" cm="1" t="str">
        <f t="array" ref="F99:F99">OFFSET(E99,-1,1)</f>
        <v>0</v>
      </c>
      <c r="G99" s="578" t="s">
        <v>2386</v>
      </c>
      <c r="H99" s="1741"/>
      <c r="I99" s="587" t="s">
        <v>2585</v>
      </c>
      <c r="J99" s="587"/>
      <c r="K99" s="587"/>
      <c r="L99" s="587"/>
      <c r="M99" s="587"/>
      <c r="N99" s="587"/>
      <c r="O99" s="587"/>
      <c r="P99" s="587"/>
      <c r="Q99" s="587"/>
      <c r="R99" s="587"/>
      <c r="S99" s="587"/>
      <c r="T99" s="465" cm="1" t="str">
        <f t="array" ref="T99:T99">T98</f>
        <v>false</v>
      </c>
      <c r="U99" s="1741"/>
      <c r="V99" s="1741"/>
      <c r="W99" s="1741"/>
      <c r="X99" s="1641"/>
      <c r="Y99" s="1741"/>
      <c r="Z99" s="1642"/>
      <c r="AA99" s="1741"/>
      <c r="AB99" s="807" t="s">
        <v>2586</v>
      </c>
      <c r="AC99" s="1111" t="s">
        <v>2587</v>
      </c>
      <c r="AD99" s="814" t="s">
        <v>1247</v>
      </c>
      <c r="AE99" s="825">
        <f>AE96-AE97</f>
        <v>0</v>
      </c>
      <c r="AF99" s="825">
        <f>AF96-AF97</f>
        <v>0</v>
      </c>
      <c r="AG99" s="825">
        <f>AG96-AG97</f>
        <v>0</v>
      </c>
      <c r="AH99" s="825">
        <f>AG99-AF99</f>
        <v>0</v>
      </c>
      <c r="AI99" s="825">
        <f>AI96-AI97</f>
        <v>0</v>
      </c>
      <c r="AJ99" s="825">
        <f>AJ96-AJ97</f>
        <v>0</v>
      </c>
      <c r="AK99" s="825">
        <f>AK96-AK97</f>
        <v>0</v>
      </c>
      <c r="AL99" s="817"/>
      <c r="AM99" s="7153"/>
      <c r="AN99" s="7153"/>
      <c r="AO99" s="7153"/>
      <c r="AP99" s="1741"/>
      <c r="AQ99" s="1741"/>
      <c r="AR99" s="1062" t="s">
        <v>2588</v>
      </c>
      <c r="AS99" s="1062"/>
      <c r="AT99" s="1062"/>
      <c r="AU99" s="1059"/>
      <c r="AV99" s="1059"/>
    </row>
    <row customHeight="1" ht="14.625" hidden="1">
      <c r="A100" s="1741"/>
      <c r="B100" s="1741"/>
      <c r="C100" s="1741"/>
      <c r="D100" s="1741"/>
      <c r="E100" s="695">
        <v>15</v>
      </c>
      <c r="F100" s="50" cm="1" t="str">
        <f t="array" ref="F100:F100">OFFSET(E100,-1,1)</f>
        <v>0</v>
      </c>
      <c r="G100" s="578" t="s">
        <v>2339</v>
      </c>
      <c r="H100" s="1741"/>
      <c r="I100" s="587" t="s">
        <v>2589</v>
      </c>
      <c r="J100" s="587"/>
      <c r="K100" s="587"/>
      <c r="L100" s="587"/>
      <c r="M100" s="587"/>
      <c r="N100" s="587"/>
      <c r="O100" s="587"/>
      <c r="P100" s="587"/>
      <c r="Q100" s="587"/>
      <c r="R100" s="587"/>
      <c r="S100" s="587"/>
      <c r="T100" s="465" cm="1" t="str">
        <f t="array" ref="T100:T100">T99</f>
        <v>false</v>
      </c>
      <c r="U100" s="1741"/>
      <c r="V100" s="1741"/>
      <c r="W100" s="1741"/>
      <c r="X100" s="1641"/>
      <c r="Y100" s="1741"/>
      <c r="Z100" s="1642"/>
      <c r="AA100" s="1741"/>
      <c r="AB100" s="807" t="s">
        <v>2590</v>
      </c>
      <c r="AC100" s="1111" t="s">
        <v>2591</v>
      </c>
      <c r="AD100" s="814" t="s">
        <v>2337</v>
      </c>
      <c r="AE100" s="7168">
        <f>IF(AE99=0,0,(AE93-AE97*AE98)/AE99)</f>
        <v>0</v>
      </c>
      <c r="AF100" s="7168">
        <f>IF(AF99=0,0,(AF93-AF97*AF98)/AF99)</f>
        <v>0</v>
      </c>
      <c r="AG100" s="7168">
        <f>IF(AG99=0,0,(AG93-AG97*AG98)/AG99)</f>
        <v>0</v>
      </c>
      <c r="AH100" s="802">
        <f>AG100-AF100</f>
        <v>0</v>
      </c>
      <c r="AI100" s="7168">
        <f>IF(AI99=0,0,(AI93-AI97*AI98)/AI99)</f>
        <v>0</v>
      </c>
      <c r="AJ100" s="7168">
        <f>IF(AJ99=0,0,(AJ93-AJ97*AJ98)/AJ99)</f>
        <v>0</v>
      </c>
      <c r="AK100" s="7168">
        <f>IF(AK99=0,0,(AK93-AK97*AK98)/AK99)</f>
        <v>0</v>
      </c>
      <c r="AL100" s="817"/>
      <c r="AM100" s="7153"/>
      <c r="AN100" s="7153"/>
      <c r="AO100" s="7153"/>
      <c r="AP100" s="1741"/>
      <c r="AQ100" s="1741"/>
      <c r="AR100" s="1062" t="s">
        <v>2592</v>
      </c>
      <c r="AS100" s="1062"/>
      <c r="AT100" s="1062"/>
      <c r="AU100" s="1059"/>
      <c r="AV100" s="1059"/>
    </row>
    <row customHeight="1" ht="14.625" hidden="1">
      <c r="A101" s="1741"/>
      <c r="B101" s="1741"/>
      <c r="C101" s="1741"/>
      <c r="D101" s="1741"/>
      <c r="E101" s="695">
        <v>15</v>
      </c>
      <c r="F101" s="50" cm="1" t="str">
        <f t="array" ref="F101:F101">OFFSET(E101,-1,1)</f>
        <v>0</v>
      </c>
      <c r="G101" s="578"/>
      <c r="H101" s="1741"/>
      <c r="I101" s="587" t="s">
        <v>2593</v>
      </c>
      <c r="J101" s="587"/>
      <c r="K101" s="587"/>
      <c r="L101" s="587"/>
      <c r="M101" s="587"/>
      <c r="N101" s="587"/>
      <c r="O101" s="587"/>
      <c r="P101" s="587"/>
      <c r="Q101" s="587"/>
      <c r="R101" s="587"/>
      <c r="S101" s="587"/>
      <c r="T101" s="465" cm="1" t="str">
        <f t="array" ref="T101:T101">T100</f>
        <v>false</v>
      </c>
      <c r="U101" s="1741"/>
      <c r="V101" s="1741"/>
      <c r="W101" s="1741"/>
      <c r="X101" s="1641"/>
      <c r="Y101" s="1741"/>
      <c r="Z101" s="1642"/>
      <c r="AA101" s="1741"/>
      <c r="AB101" s="807" t="s">
        <v>2594</v>
      </c>
      <c r="AC101" s="1111" t="s">
        <v>2595</v>
      </c>
      <c r="AD101" s="814" t="s">
        <v>1170</v>
      </c>
      <c r="AE101" s="802">
        <f>IF(AE98=0,0,AE100/AE98*100)</f>
        <v>0</v>
      </c>
      <c r="AF101" s="802">
        <f>IF(AF98=0,0,AF100/AF98*100)</f>
        <v>0</v>
      </c>
      <c r="AG101" s="802">
        <f>IF(AG98=0,0,AG100/AG98*100)</f>
        <v>0</v>
      </c>
      <c r="AH101" s="817"/>
      <c r="AI101" s="802">
        <f>IF(AI98=0,0,AI100/AI98*100)</f>
        <v>0</v>
      </c>
      <c r="AJ101" s="802">
        <f>IF(AJ98=0,0,AJ100/AJ98*100)</f>
        <v>0</v>
      </c>
      <c r="AK101" s="802">
        <f>IF(AK98=0,0,AK100/AK98*100)</f>
        <v>0</v>
      </c>
      <c r="AL101" s="817"/>
      <c r="AM101" s="7153"/>
      <c r="AN101" s="7153"/>
      <c r="AO101" s="7153"/>
      <c r="AP101" s="1741"/>
      <c r="AQ101" s="1741"/>
      <c r="AR101" s="1062" t="s">
        <v>2596</v>
      </c>
      <c r="AS101" s="1062"/>
      <c r="AT101" s="1062"/>
      <c r="AU101" s="1059"/>
      <c r="AV101" s="1059"/>
    </row>
    <row customHeight="1" ht="14.625" hidden="1">
      <c r="A102" s="1741"/>
      <c r="B102" s="1741"/>
      <c r="C102" s="1741"/>
      <c r="D102" s="1741"/>
      <c r="E102" s="695">
        <v>15</v>
      </c>
      <c r="F102" s="50" cm="1" t="str">
        <f t="array" ref="F102:F102">OFFSET(E102,-1,1)</f>
        <v>0</v>
      </c>
      <c r="G102" s="578"/>
      <c r="H102" s="1741"/>
      <c r="I102" s="587" t="s">
        <v>2597</v>
      </c>
      <c r="J102" s="587"/>
      <c r="K102" s="587"/>
      <c r="L102" s="587"/>
      <c r="M102" s="587"/>
      <c r="N102" s="587"/>
      <c r="O102" s="587"/>
      <c r="P102" s="587"/>
      <c r="Q102" s="587"/>
      <c r="R102" s="587"/>
      <c r="S102" s="587"/>
      <c r="T102" s="465" cm="1" t="str">
        <f t="array" ref="T102:T102">T101</f>
        <v>false</v>
      </c>
      <c r="U102" s="1741"/>
      <c r="V102" s="1741"/>
      <c r="W102" s="1741"/>
      <c r="X102" s="1641"/>
      <c r="Y102" s="1741"/>
      <c r="Z102" s="1642"/>
      <c r="AA102" s="1741"/>
      <c r="AB102" s="807" t="s">
        <v>2598</v>
      </c>
      <c r="AC102" s="1111" t="s">
        <v>2599</v>
      </c>
      <c r="AD102" s="814" t="s">
        <v>2337</v>
      </c>
      <c r="AE102" s="7168">
        <f>IF(AE96=0,0,AE93/AE96)</f>
        <v>0</v>
      </c>
      <c r="AF102" s="7168">
        <f>IF(AF96=0,0,AF93/AF96)</f>
        <v>0</v>
      </c>
      <c r="AG102" s="7168">
        <f>IF(AG96=0,0,AG93/AG96)</f>
        <v>0</v>
      </c>
      <c r="AH102" s="802">
        <f>AG102-AF102</f>
        <v>0</v>
      </c>
      <c r="AI102" s="7168">
        <f>IF(AI96=0,0,AI93/AI96)</f>
        <v>0</v>
      </c>
      <c r="AJ102" s="7168">
        <f>IF(AJ96=0,0,AJ93/AJ96)</f>
        <v>0</v>
      </c>
      <c r="AK102" s="7168">
        <f>IF(AK96=0,0,AK93/AK96)</f>
        <v>0</v>
      </c>
      <c r="AL102" s="817"/>
      <c r="AM102" s="7153"/>
      <c r="AN102" s="7153"/>
      <c r="AO102" s="7153"/>
      <c r="AP102" s="1741"/>
      <c r="AQ102" s="1741"/>
      <c r="AR102" s="1062" t="s">
        <v>2600</v>
      </c>
      <c r="AS102" s="1062"/>
      <c r="AT102" s="1062"/>
      <c r="AU102" s="1059"/>
      <c r="AV102" s="1059"/>
    </row>
    <row s="588" customFormat="1" customHeight="1" ht="14.625" hidden="1">
      <c r="A103" s="588"/>
      <c r="B103" s="588"/>
      <c r="C103" s="588"/>
      <c r="D103" s="588"/>
      <c r="E103" s="697">
        <v>15</v>
      </c>
      <c r="F103" s="50" cm="1" t="str">
        <f t="array" ref="F103:F103">OFFSET(E103,-1,1)</f>
        <v>0</v>
      </c>
      <c r="G103" s="700"/>
      <c r="H103" s="588"/>
      <c r="I103" s="698" t="s">
        <v>2601</v>
      </c>
      <c r="J103" s="698"/>
      <c r="K103" s="698"/>
      <c r="L103" s="698"/>
      <c r="M103" s="698"/>
      <c r="N103" s="698"/>
      <c r="O103" s="698"/>
      <c r="P103" s="698"/>
      <c r="Q103" s="698"/>
      <c r="R103" s="698"/>
      <c r="S103" s="698"/>
      <c r="T103" s="465" cm="1" t="str">
        <f t="array" ref="T103:T103">T102</f>
        <v>false</v>
      </c>
      <c r="U103" s="588"/>
      <c r="V103" s="588"/>
      <c r="W103" s="588"/>
      <c r="X103" s="1641"/>
      <c r="Y103" s="588"/>
      <c r="Z103" s="1642"/>
      <c r="AA103" s="588"/>
      <c r="AB103" s="804" t="s">
        <v>511</v>
      </c>
      <c r="AC103" s="212" t="s">
        <v>2602</v>
      </c>
      <c r="AD103" s="812" t="s">
        <v>1514</v>
      </c>
      <c r="AE103" s="7201">
        <f>IF(AE96=0,0,AE93/AE96*AE104)</f>
        <v>0</v>
      </c>
      <c r="AF103" s="7201">
        <f>IF(AF96=0,0,AF93/AF96*AF104)</f>
        <v>0</v>
      </c>
      <c r="AG103" s="7201">
        <f>IF(AG96=0,0,AG93/AG96*AG104)</f>
        <v>0</v>
      </c>
      <c r="AH103" s="788">
        <f>AH105*AH106+AH107*AH108</f>
        <v>0</v>
      </c>
      <c r="AI103" s="7201">
        <f>IF(AI96=0,0,AI93/AI96*AI104)</f>
        <v>0</v>
      </c>
      <c r="AJ103" s="7201">
        <f>IF(AJ96=0,0,AJ93/AJ96*AJ104)</f>
        <v>0</v>
      </c>
      <c r="AK103" s="7201">
        <f>IF(AK96=0,0,AK93/AK96*AK104)</f>
        <v>0</v>
      </c>
      <c r="AL103" s="801">
        <f>IF(AI103=0,0,(AK103-AI103)/AI103*100)</f>
        <v>0</v>
      </c>
      <c r="AM103" s="7159"/>
      <c r="AN103" s="7159"/>
      <c r="AO103" s="7159"/>
      <c r="AP103" s="588"/>
      <c r="AQ103" s="588"/>
      <c r="AR103" s="1063" t="s">
        <v>2603</v>
      </c>
      <c r="AS103" s="1063"/>
      <c r="AT103" s="1063"/>
      <c r="AU103" s="697"/>
      <c r="AV103" s="697"/>
    </row>
    <row s="588" customFormat="1" customHeight="1" ht="14.625" hidden="1">
      <c r="A104" s="588"/>
      <c r="B104" s="588"/>
      <c r="C104" s="588"/>
      <c r="D104" s="588"/>
      <c r="E104" s="697">
        <v>15</v>
      </c>
      <c r="F104" s="50" cm="1" t="str">
        <f t="array" ref="F104:F104">OFFSET(E104,-1,1)</f>
        <v>0</v>
      </c>
      <c r="G104" s="578" t="s">
        <v>2359</v>
      </c>
      <c r="H104" s="588"/>
      <c r="I104" s="698" t="s">
        <v>2604</v>
      </c>
      <c r="J104" s="698"/>
      <c r="K104" s="698"/>
      <c r="L104" s="698"/>
      <c r="M104" s="698"/>
      <c r="N104" s="698"/>
      <c r="O104" s="698"/>
      <c r="P104" s="698"/>
      <c r="Q104" s="698"/>
      <c r="R104" s="698"/>
      <c r="S104" s="698"/>
      <c r="T104" s="465" cm="1" t="str">
        <f t="array" ref="T104:T104">T103</f>
        <v>false</v>
      </c>
      <c r="U104" s="588"/>
      <c r="V104" s="588"/>
      <c r="W104" s="588"/>
      <c r="X104" s="1641"/>
      <c r="Y104" s="588"/>
      <c r="Z104" s="1642"/>
      <c r="AA104" s="588"/>
      <c r="AB104" s="804" t="s">
        <v>514</v>
      </c>
      <c r="AC104" s="212" t="s">
        <v>2605</v>
      </c>
      <c r="AD104" s="812" t="s">
        <v>1247</v>
      </c>
      <c r="AE104" s="822">
        <f>_xlfn.SUMIFS(Баланс!AE$26:AE$482,Баланс!$F$26:$F$482,$F104,Баланс!$G$26:$G$482,"население")</f>
        <v>0</v>
      </c>
      <c r="AF104" s="822">
        <f>_xlfn.SUMIFS(Баланс!AF$26:AF$482,Баланс!$F$26:$F$482,$F104,Баланс!$G$26:$G$482,"население")</f>
        <v>0</v>
      </c>
      <c r="AG104" s="822">
        <f>_xlfn.SUMIFS(Баланс!AG$26:AG$482,Баланс!$F$26:$F$482,$F104,Баланс!$G$26:$G$482,"население")</f>
        <v>0</v>
      </c>
      <c r="AH104" s="822">
        <f>AG104-AF104</f>
        <v>0</v>
      </c>
      <c r="AI104" s="822">
        <f>_xlfn.SUMIFS(Баланс!AH$26:AH$482,Баланс!$F$26:$F$482,$F104,Баланс!$G$26:$G$482,"население")</f>
        <v>0</v>
      </c>
      <c r="AJ104" s="822">
        <f>_xlfn.SUMIFS(Баланс!AI$26:AI$482,Баланс!$F$26:$F$482,$F104,Баланс!$G$26:$G$482,"население")</f>
        <v>0</v>
      </c>
      <c r="AK104" s="822">
        <f>_xlfn.SUMIFS(Баланс!AS$26:AS$482,Баланс!$F$26:$F$482,$F104,Баланс!$G$26:$G$482,"население")</f>
        <v>0</v>
      </c>
      <c r="AL104" s="823"/>
      <c r="AM104" s="7159"/>
      <c r="AN104" s="7159"/>
      <c r="AO104" s="7159"/>
      <c r="AP104" s="588"/>
      <c r="AQ104" s="588"/>
      <c r="AR104" s="1063" t="s">
        <v>2606</v>
      </c>
      <c r="AS104" s="1063"/>
      <c r="AT104" s="1063"/>
      <c r="AU104" s="697"/>
      <c r="AV104" s="697"/>
    </row>
    <row customHeight="1" ht="14.625" hidden="1">
      <c r="A105" s="1741"/>
      <c r="B105" s="1741"/>
      <c r="C105" s="1741"/>
      <c r="D105" s="1741"/>
      <c r="E105" s="695">
        <v>15</v>
      </c>
      <c r="F105" s="50" cm="1" t="str">
        <f t="array" ref="F105:F105">OFFSET(E105,-1,1)</f>
        <v>0</v>
      </c>
      <c r="G105" s="578" t="s">
        <v>2393</v>
      </c>
      <c r="H105" s="1741"/>
      <c r="I105" s="587" t="s">
        <v>2607</v>
      </c>
      <c r="J105" s="587"/>
      <c r="K105" s="587"/>
      <c r="L105" s="587"/>
      <c r="M105" s="587"/>
      <c r="N105" s="587"/>
      <c r="O105" s="587"/>
      <c r="P105" s="587"/>
      <c r="Q105" s="587"/>
      <c r="R105" s="587"/>
      <c r="S105" s="587"/>
      <c r="T105" s="465" cm="1" t="str">
        <f t="array" ref="T105:T105">T104</f>
        <v>false</v>
      </c>
      <c r="U105" s="1741"/>
      <c r="V105" s="1741"/>
      <c r="W105" s="1741"/>
      <c r="X105" s="1641"/>
      <c r="Y105" s="1741"/>
      <c r="Z105" s="1642"/>
      <c r="AA105" s="1741"/>
      <c r="AB105" s="807" t="s">
        <v>2608</v>
      </c>
      <c r="AC105" s="1111" t="s">
        <v>2609</v>
      </c>
      <c r="AD105" s="814" t="s">
        <v>1247</v>
      </c>
      <c r="AE105" s="7197">
        <f>IF(AE$24="2026 год",AE104/12*9,AE104/2)</f>
        <v>0</v>
      </c>
      <c r="AF105" s="7197">
        <f>IF(AF$24="2026 год",AF104/12*9,AF104/2)</f>
        <v>0</v>
      </c>
      <c r="AG105" s="7197">
        <f>IF(AG$24="2026 год",AG104/12*9,AG104/2)</f>
        <v>0</v>
      </c>
      <c r="AH105" s="825">
        <f>AG105-AF105</f>
        <v>0</v>
      </c>
      <c r="AI105" s="7197">
        <f>IF(AI$24="2026 год",AI104/12*9,AI104/2)</f>
        <v>0</v>
      </c>
      <c r="AJ105" s="7197">
        <f>IF(AJ$24="2026 год",AJ104/12*9,AJ104/2)</f>
        <v>0</v>
      </c>
      <c r="AK105" s="7197">
        <f>IF(AK$24="2026 год",AK104/12*9,AK104/2)</f>
        <v>0</v>
      </c>
      <c r="AL105" s="817"/>
      <c r="AM105" s="7153"/>
      <c r="AN105" s="7153"/>
      <c r="AO105" s="7153"/>
      <c r="AP105" s="1741"/>
      <c r="AQ105" s="1741"/>
      <c r="AR105" s="1062" t="s">
        <v>2610</v>
      </c>
      <c r="AS105" s="1062"/>
      <c r="AT105" s="1062"/>
      <c r="AU105" s="1059"/>
      <c r="AV105" s="1059"/>
    </row>
    <row customHeight="1" ht="14.625" hidden="1">
      <c r="A106" s="1741"/>
      <c r="B106" s="1741"/>
      <c r="C106" s="1741"/>
      <c r="D106" s="1741"/>
      <c r="E106" s="695">
        <v>15</v>
      </c>
      <c r="F106" s="50" cm="1" t="str">
        <f t="array" ref="F106:F106">OFFSET(E106,-1,1)</f>
        <v>0</v>
      </c>
      <c r="G106" s="578" t="s">
        <v>2349</v>
      </c>
      <c r="H106" s="1741"/>
      <c r="I106" s="587" t="s">
        <v>2611</v>
      </c>
      <c r="J106" s="587"/>
      <c r="K106" s="587"/>
      <c r="L106" s="587"/>
      <c r="M106" s="587"/>
      <c r="N106" s="587"/>
      <c r="O106" s="587"/>
      <c r="P106" s="587"/>
      <c r="Q106" s="587"/>
      <c r="R106" s="587"/>
      <c r="S106" s="587"/>
      <c r="T106" s="465" cm="1" t="str">
        <f t="array" ref="T106:T106">T105</f>
        <v>false</v>
      </c>
      <c r="U106" s="1741"/>
      <c r="V106" s="1741"/>
      <c r="W106" s="1741"/>
      <c r="X106" s="1641"/>
      <c r="Y106" s="1741"/>
      <c r="Z106" s="1642"/>
      <c r="AA106" s="1741"/>
      <c r="AB106" s="807" t="s">
        <v>2612</v>
      </c>
      <c r="AC106" s="1111" t="s">
        <v>2613</v>
      </c>
      <c r="AD106" s="814" t="s">
        <v>2337</v>
      </c>
      <c r="AE106" s="7202">
        <f>IF(AE104=0,0,AE98*(1+Сценарии!AE$26/100))</f>
        <v>0</v>
      </c>
      <c r="AF106" s="7202">
        <f>IF(AF104=0,0,AF98*(1+Сценарии!AF$26/100))</f>
        <v>0</v>
      </c>
      <c r="AG106" s="7202">
        <f>IF(AG104=0,0,AG98*(1+Сценарии!AG$26/100))</f>
        <v>0</v>
      </c>
      <c r="AH106" s="802">
        <f>AG106-AF106</f>
        <v>0</v>
      </c>
      <c r="AI106" s="7202">
        <f>IF(AI104=0,0,AI98*(1+Сценарии!AI$26/100))</f>
        <v>0</v>
      </c>
      <c r="AJ106" s="7202">
        <f>IF(AJ104=0,0,AJ98*(1+Сценарии!AJ$26/100))</f>
        <v>0</v>
      </c>
      <c r="AK106" s="7202">
        <f>IF(AK104=0,0,AK98*(1+Сценарии!AK$26/100))</f>
        <v>0</v>
      </c>
      <c r="AL106" s="817"/>
      <c r="AM106" s="7153"/>
      <c r="AN106" s="7153"/>
      <c r="AO106" s="7153"/>
      <c r="AP106" s="1741"/>
      <c r="AQ106" s="1741"/>
      <c r="AR106" s="1062" t="s">
        <v>2614</v>
      </c>
      <c r="AS106" s="1062"/>
      <c r="AT106" s="1062"/>
      <c r="AU106" s="1059"/>
      <c r="AV106" s="1059"/>
    </row>
    <row customHeight="1" ht="14.625" hidden="1">
      <c r="A107" s="1741"/>
      <c r="B107" s="1741"/>
      <c r="C107" s="1741"/>
      <c r="D107" s="1741"/>
      <c r="E107" s="695">
        <v>15</v>
      </c>
      <c r="F107" s="50" cm="1" t="str">
        <f t="array" ref="F107:F107">OFFSET(E107,-1,1)</f>
        <v>0</v>
      </c>
      <c r="G107" s="578" t="s">
        <v>2400</v>
      </c>
      <c r="H107" s="1741"/>
      <c r="I107" s="587" t="s">
        <v>2615</v>
      </c>
      <c r="J107" s="587"/>
      <c r="K107" s="587"/>
      <c r="L107" s="587"/>
      <c r="M107" s="587"/>
      <c r="N107" s="587"/>
      <c r="O107" s="587"/>
      <c r="P107" s="587"/>
      <c r="Q107" s="587"/>
      <c r="R107" s="587"/>
      <c r="S107" s="587"/>
      <c r="T107" s="465" cm="1" t="str">
        <f t="array" ref="T107:T107">T106</f>
        <v>false</v>
      </c>
      <c r="U107" s="1741"/>
      <c r="V107" s="1741"/>
      <c r="W107" s="1741"/>
      <c r="X107" s="1641"/>
      <c r="Y107" s="1741"/>
      <c r="Z107" s="1642"/>
      <c r="AA107" s="1741"/>
      <c r="AB107" s="807" t="s">
        <v>2616</v>
      </c>
      <c r="AC107" s="1111" t="s">
        <v>2587</v>
      </c>
      <c r="AD107" s="814" t="s">
        <v>1247</v>
      </c>
      <c r="AE107" s="825">
        <f>AE104-AE105</f>
        <v>0</v>
      </c>
      <c r="AF107" s="825">
        <f>AF104-AF105</f>
        <v>0</v>
      </c>
      <c r="AG107" s="825">
        <f>AG104-AG105</f>
        <v>0</v>
      </c>
      <c r="AH107" s="825">
        <f>AG107-AF107</f>
        <v>0</v>
      </c>
      <c r="AI107" s="825">
        <f>AI104-AI105</f>
        <v>0</v>
      </c>
      <c r="AJ107" s="825">
        <f>AJ104-AJ105</f>
        <v>0</v>
      </c>
      <c r="AK107" s="825">
        <f>AK104-AK105</f>
        <v>0</v>
      </c>
      <c r="AL107" s="817"/>
      <c r="AM107" s="7153"/>
      <c r="AN107" s="7153"/>
      <c r="AO107" s="7153"/>
      <c r="AP107" s="1741"/>
      <c r="AQ107" s="1741"/>
      <c r="AR107" s="1062" t="s">
        <v>2617</v>
      </c>
      <c r="AS107" s="1062"/>
      <c r="AT107" s="1062"/>
      <c r="AU107" s="1059"/>
      <c r="AV107" s="1059"/>
    </row>
    <row customHeight="1" ht="14.625" hidden="1">
      <c r="A108" s="1741"/>
      <c r="B108" s="1741"/>
      <c r="C108" s="1741"/>
      <c r="D108" s="1741"/>
      <c r="E108" s="695">
        <v>15</v>
      </c>
      <c r="F108" s="50" cm="1" t="str">
        <f t="array" ref="F108:F108">OFFSET(E108,-1,1)</f>
        <v>0</v>
      </c>
      <c r="G108" s="578" t="s">
        <v>2353</v>
      </c>
      <c r="H108" s="1741"/>
      <c r="I108" s="587" t="s">
        <v>2618</v>
      </c>
      <c r="J108" s="587"/>
      <c r="K108" s="587"/>
      <c r="L108" s="587"/>
      <c r="M108" s="587"/>
      <c r="N108" s="587"/>
      <c r="O108" s="587"/>
      <c r="P108" s="587"/>
      <c r="Q108" s="587"/>
      <c r="R108" s="587"/>
      <c r="S108" s="587"/>
      <c r="T108" s="465" cm="1" t="str">
        <f t="array" ref="T108:T108">T107</f>
        <v>false</v>
      </c>
      <c r="U108" s="1741"/>
      <c r="V108" s="1741"/>
      <c r="W108" s="1741"/>
      <c r="X108" s="1641"/>
      <c r="Y108" s="1741"/>
      <c r="Z108" s="1642"/>
      <c r="AA108" s="1741"/>
      <c r="AB108" s="807" t="s">
        <v>2619</v>
      </c>
      <c r="AC108" s="1111" t="s">
        <v>2620</v>
      </c>
      <c r="AD108" s="814" t="s">
        <v>2337</v>
      </c>
      <c r="AE108" s="7168">
        <f>IF(AE104=0,0,AE100*(1+Сценарии!AE$26/100))</f>
        <v>0</v>
      </c>
      <c r="AF108" s="7168">
        <f>IF(AF104=0,0,AF100*(1+Сценарии!AF$26/100))</f>
        <v>0</v>
      </c>
      <c r="AG108" s="7168">
        <f>IF(AG104=0,0,AG100*(1+Сценарии!AG$26/100))</f>
        <v>0</v>
      </c>
      <c r="AH108" s="802">
        <f>AG108-AF108</f>
        <v>0</v>
      </c>
      <c r="AI108" s="7168">
        <f>IF(AI104=0,0,AI100*(1+Сценарии!AI$26/100))</f>
        <v>0</v>
      </c>
      <c r="AJ108" s="7168">
        <f>IF(AJ104=0,0,AJ100*(1+Сценарии!AJ$26/100))</f>
        <v>0</v>
      </c>
      <c r="AK108" s="7168">
        <f>IF(AK104=0,0,AK100*(1+Сценарии!AK$26/100))</f>
        <v>0</v>
      </c>
      <c r="AL108" s="817"/>
      <c r="AM108" s="7153"/>
      <c r="AN108" s="7153"/>
      <c r="AO108" s="7153"/>
      <c r="AP108" s="1741"/>
      <c r="AQ108" s="1741"/>
      <c r="AR108" s="1062" t="s">
        <v>2621</v>
      </c>
      <c r="AS108" s="1062"/>
      <c r="AT108" s="1062"/>
      <c r="AU108" s="1059"/>
      <c r="AV108" s="1059"/>
    </row>
    <row customHeight="1" ht="14.625" hidden="1">
      <c r="A109" s="1741"/>
      <c r="B109" s="1741"/>
      <c r="C109" s="1741"/>
      <c r="D109" s="1741"/>
      <c r="E109" s="695">
        <v>15</v>
      </c>
      <c r="F109" s="50" cm="1" t="str">
        <f t="array" ref="F109:F109">OFFSET(E109,-1,1)</f>
        <v>0</v>
      </c>
      <c r="G109" s="578"/>
      <c r="H109" s="1741"/>
      <c r="I109" s="587"/>
      <c r="J109" s="587"/>
      <c r="K109" s="587"/>
      <c r="L109" s="587"/>
      <c r="M109" s="587"/>
      <c r="N109" s="587"/>
      <c r="O109" s="587"/>
      <c r="P109" s="587"/>
      <c r="Q109" s="587"/>
      <c r="R109" s="587"/>
      <c r="S109" s="587"/>
      <c r="T109" s="465" cm="1" t="str">
        <f t="array" ref="T109:T109">T108</f>
        <v>false</v>
      </c>
      <c r="U109" s="1741"/>
      <c r="V109" s="1741"/>
      <c r="W109" s="1741"/>
      <c r="X109" s="1641"/>
      <c r="Y109" s="1741"/>
      <c r="Z109" s="1642"/>
      <c r="AA109" s="1741"/>
      <c r="AB109" s="218" t="s">
        <v>517</v>
      </c>
      <c r="AC109" s="212" t="s">
        <v>2622</v>
      </c>
      <c r="AD109" s="211" t="s">
        <v>1514</v>
      </c>
      <c r="AE109" s="7168"/>
      <c r="AF109" s="7168"/>
      <c r="AG109" s="7168"/>
      <c r="AH109" s="802">
        <f>AG109-AF109</f>
        <v>0</v>
      </c>
      <c r="AI109" s="7168"/>
      <c r="AJ109" s="7168"/>
      <c r="AK109" s="7168"/>
      <c r="AL109" s="817"/>
      <c r="AM109" s="7153"/>
      <c r="AN109" s="7153"/>
      <c r="AO109" s="7153"/>
      <c r="AP109" s="1741"/>
      <c r="AQ109" s="1741"/>
      <c r="AR109" s="1062" t="s">
        <v>2623</v>
      </c>
      <c r="AS109" s="1062"/>
      <c r="AT109" s="1062"/>
      <c r="AU109" s="1059"/>
      <c r="AV109" s="1059"/>
    </row>
    <row customHeight="1" ht="21.9375" hidden="1">
      <c r="A110" s="1741"/>
      <c r="B110" s="1741"/>
      <c r="C110" s="1741"/>
      <c r="D110" s="1741"/>
      <c r="E110" s="695">
        <v>22.5</v>
      </c>
      <c r="F110" s="50" cm="1" t="str">
        <f t="array" ref="F110:F110">OFFSET(E110,-1,1)</f>
        <v>0</v>
      </c>
      <c r="G110" s="578"/>
      <c r="H110" s="1741"/>
      <c r="I110" s="587"/>
      <c r="J110" s="587"/>
      <c r="K110" s="587"/>
      <c r="L110" s="587"/>
      <c r="M110" s="587"/>
      <c r="N110" s="587"/>
      <c r="O110" s="587"/>
      <c r="P110" s="587"/>
      <c r="Q110" s="587"/>
      <c r="R110" s="587"/>
      <c r="S110" s="587"/>
      <c r="T110" s="465" cm="1" t="str">
        <f t="array" ref="T110:T110">T109</f>
        <v>false</v>
      </c>
      <c r="U110" s="1741"/>
      <c r="V110" s="1741"/>
      <c r="W110" s="1741"/>
      <c r="X110" s="1641"/>
      <c r="Y110" s="1741"/>
      <c r="Z110" s="1642"/>
      <c r="AA110" s="1741"/>
      <c r="AB110" s="299" t="s">
        <v>2624</v>
      </c>
      <c r="AC110" s="762" t="s">
        <v>2625</v>
      </c>
      <c r="AD110" s="300" t="s">
        <v>1514</v>
      </c>
      <c r="AE110" s="7168"/>
      <c r="AF110" s="7168"/>
      <c r="AG110" s="7168"/>
      <c r="AH110" s="802">
        <f>AG110-AF110</f>
        <v>0</v>
      </c>
      <c r="AI110" s="7168"/>
      <c r="AJ110" s="7168"/>
      <c r="AK110" s="7168"/>
      <c r="AL110" s="817"/>
      <c r="AM110" s="7153"/>
      <c r="AN110" s="7153"/>
      <c r="AO110" s="7153"/>
      <c r="AP110" s="1741"/>
      <c r="AQ110" s="1741"/>
      <c r="AR110" s="1062" t="s">
        <v>2626</v>
      </c>
      <c r="AS110" s="1062"/>
      <c r="AT110" s="1062"/>
      <c r="AU110" s="1059"/>
      <c r="AV110" s="1059"/>
    </row>
    <row customHeight="1" ht="70.2" hidden="1">
      <c r="A111" s="1741"/>
      <c r="B111" s="1741"/>
      <c r="C111" s="1741"/>
      <c r="D111" s="1741"/>
      <c r="E111" s="695">
        <v>72</v>
      </c>
      <c r="F111" s="50" cm="1" t="str">
        <f t="array" ref="F111:F111">OFFSET(E111,-1,1)</f>
        <v>0</v>
      </c>
      <c r="G111" s="578"/>
      <c r="H111" s="1741"/>
      <c r="I111" s="587"/>
      <c r="J111" s="587"/>
      <c r="K111" s="587"/>
      <c r="L111" s="587"/>
      <c r="M111" s="587"/>
      <c r="N111" s="587"/>
      <c r="O111" s="587"/>
      <c r="P111" s="587"/>
      <c r="Q111" s="587"/>
      <c r="R111" s="587"/>
      <c r="S111" s="587"/>
      <c r="T111" s="465" cm="1" t="str">
        <f t="array" ref="T111:T111">T110</f>
        <v>false</v>
      </c>
      <c r="U111" s="1741"/>
      <c r="V111" s="1741"/>
      <c r="W111" s="1741"/>
      <c r="X111" s="1641"/>
      <c r="Y111" s="1741"/>
      <c r="Z111" s="1642"/>
      <c r="AA111" s="1741"/>
      <c r="AB111" s="299" t="s">
        <v>2627</v>
      </c>
      <c r="AC111" s="762" t="s">
        <v>2628</v>
      </c>
      <c r="AD111" s="300" t="s">
        <v>1514</v>
      </c>
      <c r="AE111" s="7168"/>
      <c r="AF111" s="7168"/>
      <c r="AG111" s="7168"/>
      <c r="AH111" s="802">
        <f>AG111-AF111</f>
        <v>0</v>
      </c>
      <c r="AI111" s="7168"/>
      <c r="AJ111" s="7168"/>
      <c r="AK111" s="7168"/>
      <c r="AL111" s="817"/>
      <c r="AM111" s="7153"/>
      <c r="AN111" s="7153"/>
      <c r="AO111" s="7153"/>
      <c r="AP111" s="1741"/>
      <c r="AQ111" s="1741"/>
      <c r="AR111" s="1062" t="s">
        <v>2629</v>
      </c>
      <c r="AS111" s="1062"/>
      <c r="AT111" s="1062"/>
      <c r="AU111" s="1059"/>
      <c r="AV111" s="1059"/>
    </row>
    <row s="1834" customFormat="1" customHeight="1" ht="14.25">
      <c r="A112" s="1741"/>
      <c r="B112" s="1741"/>
      <c r="C112" s="1741"/>
      <c r="D112" s="1741"/>
      <c r="E112" s="695">
        <v>15</v>
      </c>
      <c r="F112" s="579" cm="1" t="str">
        <f t="array" ref="F112:F112">X112</f>
        <v>1</v>
      </c>
      <c r="G112" s="696" cm="1" t="str">
        <f t="array" ref="G112:G112">INDEX('Общие сведения'!$AK$179:$AK$250,MATCH($X112,'Общие сведения'!$Z$179:$Z$250,0))</f>
        <v>одноставочный</v>
      </c>
      <c r="H112" s="1741"/>
      <c r="I112" s="1741"/>
      <c r="J112" s="1741"/>
      <c r="K112" s="1741"/>
      <c r="L112" s="1741"/>
      <c r="M112" s="1741"/>
      <c r="N112" s="1741"/>
      <c r="O112" s="1741"/>
      <c r="P112" s="1741"/>
      <c r="Q112" s="1741"/>
      <c r="R112" s="1741"/>
      <c r="S112" s="1741"/>
      <c r="T112" s="465">
        <f>X112&gt;0</f>
        <v>1</v>
      </c>
      <c r="U112" s="1741"/>
      <c r="V112" s="694" cm="1" t="str">
        <f t="array" ref="V112:V112">ТМ!$AD$92</f>
        <v>Тариф 1 (Водоснабжение) - тариф на питьевую воду (Доп. признак не требуется)</v>
      </c>
      <c r="W112" s="1741"/>
      <c r="X112" s="1641" t="s">
        <v>276</v>
      </c>
      <c r="Y112" s="1741"/>
      <c r="Z112" s="1642"/>
      <c r="AA112" s="1741"/>
      <c r="AB112" s="1227" cm="1" t="str">
        <f t="array" ref="AB112:AB112">ТМ!$AD$92</f>
        <v>Тариф 1 (Водоснабжение) - тариф на питьевую воду (Доп. признак не требуется)</v>
      </c>
      <c r="AC112" s="586"/>
      <c r="AD112" s="586"/>
      <c r="AE112" s="586"/>
      <c r="AF112" s="586"/>
      <c r="AG112" s="586"/>
      <c r="AH112" s="586"/>
      <c r="AI112" s="586"/>
      <c r="AJ112" s="586"/>
      <c r="AK112" s="586"/>
      <c r="AL112" s="586"/>
      <c r="AM112" s="586"/>
      <c r="AN112" s="586"/>
      <c r="AO112" s="586"/>
      <c r="AP112" s="1741"/>
      <c r="AQ112" s="1741"/>
      <c r="AR112" s="1062"/>
      <c r="AS112" s="1062"/>
      <c r="AT112" s="1062"/>
      <c r="AU112" s="1059"/>
      <c r="AV112" s="1059"/>
    </row>
    <row s="1834" customFormat="1" customHeight="1" ht="14.25">
      <c r="A113" s="1741"/>
      <c r="B113" s="1741"/>
      <c r="C113" s="1741"/>
      <c r="D113" s="1741"/>
      <c r="E113" s="695">
        <v>15</v>
      </c>
      <c r="F113" s="50" cm="1" t="str">
        <f t="array" ref="F113:F113">OFFSET(E113,-1,1)</f>
        <v>1</v>
      </c>
      <c r="G113" s="1741"/>
      <c r="H113" s="1741"/>
      <c r="I113" s="587" t="s">
        <v>332</v>
      </c>
      <c r="J113" s="587"/>
      <c r="K113" s="587"/>
      <c r="L113" s="587"/>
      <c r="M113" s="587"/>
      <c r="N113" s="587"/>
      <c r="O113" s="587"/>
      <c r="P113" s="587"/>
      <c r="Q113" s="587"/>
      <c r="R113" s="587"/>
      <c r="S113" s="587"/>
      <c r="T113" s="465" cm="1" t="str">
        <f t="array" ref="T113:T113">T112</f>
        <v>true</v>
      </c>
      <c r="U113" s="1741"/>
      <c r="V113" s="1741"/>
      <c r="W113" s="1741"/>
      <c r="X113" s="1641"/>
      <c r="Y113" s="1741"/>
      <c r="Z113" s="1642"/>
      <c r="AA113" s="1741"/>
      <c r="AB113" s="799" t="s">
        <v>276</v>
      </c>
      <c r="AC113" s="800" t="s">
        <v>2434</v>
      </c>
      <c r="AD113" s="759" t="s">
        <v>1514</v>
      </c>
      <c r="AE113" s="801">
        <f>AE114+AE118+AE128+AE129+AE132+AE133+AE134</f>
        <v>0</v>
      </c>
      <c r="AF113" s="801">
        <f>AF114+AF118+AF128+AF129+AF132+AF133+AF134</f>
        <v>0</v>
      </c>
      <c r="AG113" s="801">
        <f>AG114+AG118+AG128+AG129+AG132+AG133+AG134</f>
        <v>0</v>
      </c>
      <c r="AH113" s="801">
        <f>AG113-AF113</f>
        <v>0</v>
      </c>
      <c r="AI113" s="801">
        <f>AI114+AI118+AI128+AI129+AI132+AI133+AI134</f>
        <v>0</v>
      </c>
      <c r="AJ113" s="801">
        <f>AJ114+AJ118+AJ128+AJ129+AJ132+AJ133+AJ134</f>
        <v>165394.592994105</v>
      </c>
      <c r="AK113" s="801">
        <f>AK114+AK118+AK128+AK129+AK132+AK133+AK134</f>
        <v>165497.757374036</v>
      </c>
      <c r="AL113" s="802">
        <f>IF(AI113=0,0,(AK113-AI113)/AI113*100)</f>
        <v>0</v>
      </c>
      <c r="AM113" s="803"/>
      <c r="AN113" s="910"/>
      <c r="AO113" s="803"/>
      <c r="AP113" s="1741"/>
      <c r="AQ113" s="1741"/>
      <c r="AR113" s="1062" t="s">
        <v>1230</v>
      </c>
      <c r="AS113" s="1062"/>
      <c r="AT113" s="1062"/>
      <c r="AU113" s="1059"/>
      <c r="AV113" s="1059"/>
    </row>
    <row s="7205" customFormat="1" customHeight="1" ht="21.75">
      <c r="A114" s="588"/>
      <c r="B114" s="588"/>
      <c r="C114" s="588"/>
      <c r="D114" s="588"/>
      <c r="E114" s="697">
        <v>22.5</v>
      </c>
      <c r="F114" s="50" cm="1" t="str">
        <f t="array" ref="F114:F114">OFFSET(E114,-1,1)</f>
        <v>1</v>
      </c>
      <c r="G114" s="588"/>
      <c r="H114" s="588"/>
      <c r="I114" s="698" t="s">
        <v>1175</v>
      </c>
      <c r="J114" s="698"/>
      <c r="K114" s="698"/>
      <c r="L114" s="698"/>
      <c r="M114" s="698"/>
      <c r="N114" s="698"/>
      <c r="O114" s="698"/>
      <c r="P114" s="698"/>
      <c r="Q114" s="698"/>
      <c r="R114" s="698"/>
      <c r="S114" s="698"/>
      <c r="T114" s="465" cm="1" t="str">
        <f t="array" ref="T114:T114">T113</f>
        <v>true</v>
      </c>
      <c r="U114" s="588"/>
      <c r="V114" s="588"/>
      <c r="W114" s="588"/>
      <c r="X114" s="1641"/>
      <c r="Y114" s="588"/>
      <c r="Z114" s="1642"/>
      <c r="AA114" s="588"/>
      <c r="AB114" s="804" t="s">
        <v>1628</v>
      </c>
      <c r="AC114" s="805" t="s">
        <v>2435</v>
      </c>
      <c r="AD114" s="590" t="s">
        <v>1514</v>
      </c>
      <c r="AE114" s="801">
        <f>SUM(AE115:AE117)</f>
        <v>0</v>
      </c>
      <c r="AF114" s="801">
        <f>SUM(AF115:AF117)</f>
        <v>0</v>
      </c>
      <c r="AG114" s="801">
        <f>SUM(AG115:AG117)</f>
        <v>0</v>
      </c>
      <c r="AH114" s="801">
        <f>AG114-AF114</f>
        <v>0</v>
      </c>
      <c r="AI114" s="801">
        <f>SUM(AI115:AI117)</f>
        <v>0</v>
      </c>
      <c r="AJ114" s="801">
        <f>SUM(AJ115:AJ117)</f>
        <v>13674.9829130815</v>
      </c>
      <c r="AK114" s="801">
        <f>SUM(AK115:AK117)</f>
        <v>13674.9829130815</v>
      </c>
      <c r="AL114" s="801">
        <f>IF(AI114=0,0,(AK114-AI114)/AI114*100)</f>
        <v>0</v>
      </c>
      <c r="AM114" s="806"/>
      <c r="AN114" s="806"/>
      <c r="AO114" s="806"/>
      <c r="AP114" s="588"/>
      <c r="AQ114" s="588"/>
      <c r="AR114" s="1063" t="s">
        <v>2436</v>
      </c>
      <c r="AS114" s="1063"/>
      <c r="AT114" s="1063"/>
      <c r="AU114" s="697"/>
      <c r="AV114" s="697"/>
    </row>
    <row s="1834" customFormat="1" customHeight="1" ht="14.25">
      <c r="A115" s="1741"/>
      <c r="B115" s="1741"/>
      <c r="C115" s="1741"/>
      <c r="D115" s="1741"/>
      <c r="E115" s="695">
        <v>15</v>
      </c>
      <c r="F115" s="50" cm="1" t="str">
        <f t="array" ref="F115:F115">OFFSET(E115,-1,1)</f>
        <v>1</v>
      </c>
      <c r="G115" s="1741"/>
      <c r="H115" s="1741"/>
      <c r="I115" s="587" t="s">
        <v>1735</v>
      </c>
      <c r="J115" s="587"/>
      <c r="K115" s="587"/>
      <c r="L115" s="587"/>
      <c r="M115" s="587"/>
      <c r="N115" s="587"/>
      <c r="O115" s="587"/>
      <c r="P115" s="587"/>
      <c r="Q115" s="587"/>
      <c r="R115" s="587"/>
      <c r="S115" s="587"/>
      <c r="T115" s="465" cm="1" t="str">
        <f t="array" ref="T115:T115">T114</f>
        <v>true</v>
      </c>
      <c r="U115" s="1741"/>
      <c r="V115" s="1741"/>
      <c r="W115" s="1741"/>
      <c r="X115" s="1641"/>
      <c r="Y115" s="1741"/>
      <c r="Z115" s="1642"/>
      <c r="AA115" s="1741"/>
      <c r="AB115" s="807" t="s">
        <v>1736</v>
      </c>
      <c r="AC115" s="808" t="s">
        <v>2437</v>
      </c>
      <c r="AD115" s="759" t="s">
        <v>1514</v>
      </c>
      <c r="AE115" s="802">
        <f>_xlfn.SUMIFS('Сырье и материалы'!AE$25:AE$162,'Сырье и материалы'!$F$25:$F$162,$F115,'Сырье и материалы'!$I$25:$I$162,"Реагенты")</f>
        <v>0</v>
      </c>
      <c r="AF115" s="802">
        <f>_xlfn.SUMIFS('Сырье и материалы'!AF$25:AF$162,'Сырье и материалы'!$F$25:$F$162,$F115,'Сырье и материалы'!$I$25:$I$162,"Реагенты")</f>
        <v>0</v>
      </c>
      <c r="AG115" s="802">
        <f>_xlfn.SUMIFS('Сырье и материалы'!AG$25:AG$162,'Сырье и материалы'!$F$25:$F$162,$F115,'Сырье и материалы'!$I$25:$I$162,"Реагенты")</f>
        <v>0</v>
      </c>
      <c r="AH115" s="802">
        <f>AG115-AF115</f>
        <v>0</v>
      </c>
      <c r="AI115" s="802">
        <f>_xlfn.SUMIFS('Сырье и материалы'!AH$25:AH$162,'Сырье и материалы'!$F$25:$F$162,$F115,'Сырье и материалы'!$I$25:$I$162,"Реагенты")</f>
        <v>0</v>
      </c>
      <c r="AJ115" s="802">
        <f>_xlfn.SUMIFS('Сырье и материалы'!AI$25:AI$162,'Сырье и материалы'!$F$25:$F$162,$F115,'Сырье и материалы'!$I$25:$I$162,"Реагенты")</f>
        <v>9724.63032008149</v>
      </c>
      <c r="AK115" s="802">
        <f>_xlfn.SUMIFS('Сырье и материалы'!AS$25:AS$162,'Сырье и материалы'!$F$25:$F$162,$F115,'Сырье и материалы'!$I$25:$I$162,"Реагенты")</f>
        <v>9724.63032008149</v>
      </c>
      <c r="AL115" s="802">
        <f>IF(AI115=0,0,(AK115-AI115)/AI115*100)</f>
        <v>0</v>
      </c>
      <c r="AM115" s="803"/>
      <c r="AN115" s="910" t="str">
        <f>IF(_xlfn.IFERROR(INDEX('Сырье и материалы'!$K$26:$L$162,MATCH($F115&amp;"komm",'Сырье и материалы'!$K$26:$K$162,0),2),"")=0,"",_xlfn.IFERROR(INDEX('Сырье и материалы'!$K$26:$L$162,MATCH($F115&amp;"komm",'Сырье и материалы'!$K$26:$K$162,0),2),""))</f>
        <v/>
      </c>
      <c r="AO115" s="803"/>
      <c r="AP115" s="1741"/>
      <c r="AQ115" s="1741"/>
      <c r="AR115" s="1062" t="s">
        <v>2438</v>
      </c>
      <c r="AS115" s="1062"/>
      <c r="AT115" s="1062"/>
      <c r="AU115" s="1059"/>
      <c r="AV115" s="1059"/>
    </row>
    <row s="1834" customFormat="1" customHeight="1" ht="14.25">
      <c r="A116" s="1741"/>
      <c r="B116" s="1741"/>
      <c r="C116" s="1741"/>
      <c r="D116" s="1741"/>
      <c r="E116" s="695">
        <v>15</v>
      </c>
      <c r="F116" s="50" cm="1" t="str">
        <f t="array" ref="F116:F116">OFFSET(E116,-1,1)</f>
        <v>1</v>
      </c>
      <c r="G116" s="1741"/>
      <c r="H116" s="1741"/>
      <c r="I116" s="587" t="s">
        <v>1739</v>
      </c>
      <c r="J116" s="587"/>
      <c r="K116" s="587"/>
      <c r="L116" s="587"/>
      <c r="M116" s="587"/>
      <c r="N116" s="587"/>
      <c r="O116" s="587"/>
      <c r="P116" s="587"/>
      <c r="Q116" s="587"/>
      <c r="R116" s="587"/>
      <c r="S116" s="587"/>
      <c r="T116" s="465" cm="1" t="str">
        <f t="array" ref="T116:T116">T115</f>
        <v>true</v>
      </c>
      <c r="U116" s="1741"/>
      <c r="V116" s="1741"/>
      <c r="W116" s="1741"/>
      <c r="X116" s="1641"/>
      <c r="Y116" s="1741"/>
      <c r="Z116" s="1642"/>
      <c r="AA116" s="1741"/>
      <c r="AB116" s="807" t="s">
        <v>1740</v>
      </c>
      <c r="AC116" s="808" t="s">
        <v>2439</v>
      </c>
      <c r="AD116" s="759" t="s">
        <v>1514</v>
      </c>
      <c r="AE116" s="1742">
        <f>_xlfn.SUMIFS('Сырье и материалы'!AE$25:AE$162,'Сырье и материалы'!$F$25:$F$162,$F116,'Сырье и материалы'!$I$25:$I$162,"Горюче-смазочные материалы")</f>
        <v>0</v>
      </c>
      <c r="AF116" s="1742">
        <f>_xlfn.SUMIFS('Сырье и материалы'!AF$25:AF$162,'Сырье и материалы'!$F$25:$F$162,$F116,'Сырье и материалы'!$I$25:$I$162,"Горюче-смазочные материалы")</f>
        <v>0</v>
      </c>
      <c r="AG116" s="1742">
        <f>_xlfn.SUMIFS('Сырье и материалы'!AG$25:AG$162,'Сырье и материалы'!$F$25:$F$162,$F116,'Сырье и материалы'!$I$25:$I$162,"Горюче-смазочные материалы")</f>
        <v>0</v>
      </c>
      <c r="AH116" s="802">
        <f>AG116-AF116</f>
        <v>0</v>
      </c>
      <c r="AI116" s="1742">
        <f>_xlfn.SUMIFS('Сырье и материалы'!AH$25:AH$162,'Сырье и материалы'!$F$25:$F$162,$F116,'Сырье и материалы'!$I$25:$I$162,"Горюче-смазочные материалы")</f>
        <v>0</v>
      </c>
      <c r="AJ116" s="1742">
        <f>_xlfn.SUMIFS('Сырье и материалы'!AI$25:AI$162,'Сырье и материалы'!$F$25:$F$162,$F116,'Сырье и материалы'!$I$25:$I$162,"Горюче-смазочные материалы")</f>
        <v>863</v>
      </c>
      <c r="AK116" s="1742">
        <f>_xlfn.SUMIFS('Сырье и материалы'!AS$25:AS$162,'Сырье и материалы'!$F$25:$F$162,$F116,'Сырье и материалы'!$I$25:$I$162,"Горюче-смазочные материалы")</f>
        <v>863</v>
      </c>
      <c r="AL116" s="802">
        <f>IF(AI116=0,0,(AK116-AI116)/AI116*100)</f>
        <v>0</v>
      </c>
      <c r="AM116" s="803"/>
      <c r="AN116" s="803"/>
      <c r="AO116" s="803"/>
      <c r="AP116" s="1741"/>
      <c r="AQ116" s="1741"/>
      <c r="AR116" s="1062" t="s">
        <v>2440</v>
      </c>
      <c r="AS116" s="1062"/>
      <c r="AT116" s="1062"/>
      <c r="AU116" s="1059"/>
      <c r="AV116" s="1059"/>
    </row>
    <row s="1834" customFormat="1" customHeight="1" ht="14.25">
      <c r="A117" s="1741"/>
      <c r="B117" s="1741"/>
      <c r="C117" s="1741"/>
      <c r="D117" s="1741"/>
      <c r="E117" s="695">
        <v>15</v>
      </c>
      <c r="F117" s="50" cm="1" t="str">
        <f t="array" ref="F117:F117">OFFSET(E117,-1,1)</f>
        <v>1</v>
      </c>
      <c r="G117" s="1741"/>
      <c r="H117" s="1741"/>
      <c r="I117" s="587" t="s">
        <v>2043</v>
      </c>
      <c r="J117" s="587"/>
      <c r="K117" s="587"/>
      <c r="L117" s="587"/>
      <c r="M117" s="587"/>
      <c r="N117" s="587"/>
      <c r="O117" s="587"/>
      <c r="P117" s="587"/>
      <c r="Q117" s="587"/>
      <c r="R117" s="587"/>
      <c r="S117" s="587"/>
      <c r="T117" s="465" cm="1" t="str">
        <f t="array" ref="T117:T117">T116</f>
        <v>true</v>
      </c>
      <c r="U117" s="1741"/>
      <c r="V117" s="1741"/>
      <c r="W117" s="1741"/>
      <c r="X117" s="1641"/>
      <c r="Y117" s="1741"/>
      <c r="Z117" s="1642"/>
      <c r="AA117" s="1741"/>
      <c r="AB117" s="807" t="s">
        <v>2044</v>
      </c>
      <c r="AC117" s="808" t="s">
        <v>2441</v>
      </c>
      <c r="AD117" s="759" t="s">
        <v>1514</v>
      </c>
      <c r="AE117" s="1742">
        <f>_xlfn.SUMIFS('Сырье и материалы'!AE$25:AE$162,'Сырье и материалы'!$F$25:$F$162,$F117,'Сырье и материалы'!$I$25:$I$162,"Материалы")</f>
        <v>0</v>
      </c>
      <c r="AF117" s="1742">
        <f>_xlfn.SUMIFS('Сырье и материалы'!AF$25:AF$162,'Сырье и материалы'!$F$25:$F$162,$F117,'Сырье и материалы'!$I$25:$I$162,"Материалы")</f>
        <v>0</v>
      </c>
      <c r="AG117" s="1742">
        <f>_xlfn.SUMIFS('Сырье и материалы'!AG$25:AG$162,'Сырье и материалы'!$F$25:$F$162,$F117,'Сырье и материалы'!$I$25:$I$162,"Материалы")</f>
        <v>0</v>
      </c>
      <c r="AH117" s="802">
        <f>AG117-AF117</f>
        <v>0</v>
      </c>
      <c r="AI117" s="1742">
        <f>_xlfn.SUMIFS('Сырье и материалы'!AH$25:AH$162,'Сырье и материалы'!$F$25:$F$162,$F117,'Сырье и материалы'!$I$25:$I$162,"Материалы")</f>
        <v>0</v>
      </c>
      <c r="AJ117" s="1742">
        <f>_xlfn.SUMIFS('Сырье и материалы'!AI$25:AI$162,'Сырье и материалы'!$F$25:$F$162,$F117,'Сырье и материалы'!$I$25:$I$162,"Материалы")</f>
        <v>3087.352593</v>
      </c>
      <c r="AK117" s="1742">
        <f>_xlfn.SUMIFS('Сырье и материалы'!AS$25:AS$162,'Сырье и материалы'!$F$25:$F$162,$F117,'Сырье и материалы'!$I$25:$I$162,"Материалы")</f>
        <v>3087.352593</v>
      </c>
      <c r="AL117" s="802">
        <f>IF(AI117=0,0,(AK117-AI117)/AI117*100)</f>
        <v>0</v>
      </c>
      <c r="AM117" s="803"/>
      <c r="AN117" s="803"/>
      <c r="AO117" s="803"/>
      <c r="AP117" s="1741"/>
      <c r="AQ117" s="1741"/>
      <c r="AR117" s="1062" t="s">
        <v>2442</v>
      </c>
      <c r="AS117" s="1062"/>
      <c r="AT117" s="1062"/>
      <c r="AU117" s="1059"/>
      <c r="AV117" s="1059"/>
    </row>
    <row s="7207" customFormat="1" customHeight="1" ht="21.75">
      <c r="A118" s="588"/>
      <c r="B118" s="588"/>
      <c r="C118" s="588"/>
      <c r="D118" s="588"/>
      <c r="E118" s="697">
        <v>22.5</v>
      </c>
      <c r="F118" s="50" cm="1" t="str">
        <f t="array" ref="F118:F118">OFFSET(E118,-1,1)</f>
        <v>1</v>
      </c>
      <c r="G118" s="588"/>
      <c r="H118" s="588"/>
      <c r="I118" s="698" t="s">
        <v>1179</v>
      </c>
      <c r="J118" s="698"/>
      <c r="K118" s="698"/>
      <c r="L118" s="698"/>
      <c r="M118" s="698"/>
      <c r="N118" s="698"/>
      <c r="O118" s="698"/>
      <c r="P118" s="698"/>
      <c r="Q118" s="698"/>
      <c r="R118" s="698"/>
      <c r="S118" s="698"/>
      <c r="T118" s="465" cm="1" t="str">
        <f t="array" ref="T118:T118">T117</f>
        <v>true</v>
      </c>
      <c r="U118" s="588"/>
      <c r="V118" s="588"/>
      <c r="W118" s="588"/>
      <c r="X118" s="1641"/>
      <c r="Y118" s="588"/>
      <c r="Z118" s="1642"/>
      <c r="AA118" s="588"/>
      <c r="AB118" s="804" t="s">
        <v>1631</v>
      </c>
      <c r="AC118" s="805" t="s">
        <v>2443</v>
      </c>
      <c r="AD118" s="590" t="s">
        <v>1514</v>
      </c>
      <c r="AE118" s="801">
        <f>SUM(AE119:AE127)</f>
        <v>0</v>
      </c>
      <c r="AF118" s="801">
        <f>SUM(AF119:AF127)</f>
        <v>0</v>
      </c>
      <c r="AG118" s="801">
        <f>SUM(AG119:AG127)</f>
        <v>0</v>
      </c>
      <c r="AH118" s="801">
        <f>AG118-AF118</f>
        <v>0</v>
      </c>
      <c r="AI118" s="801">
        <f>SUM(AI119:AI127)</f>
        <v>0</v>
      </c>
      <c r="AJ118" s="801">
        <f>SUM(AJ119:AJ127)</f>
        <v>48401.99</v>
      </c>
      <c r="AK118" s="801">
        <f>SUM(AK119:AK127)</f>
        <v>48505.1543799309</v>
      </c>
      <c r="AL118" s="801">
        <f>IF(AI118=0,0,(AK118-AI118)/AI118*100)</f>
        <v>0</v>
      </c>
      <c r="AM118" s="806"/>
      <c r="AN118" s="806"/>
      <c r="AO118" s="806"/>
      <c r="AP118" s="588"/>
      <c r="AQ118" s="588"/>
      <c r="AR118" s="1063" t="s">
        <v>2444</v>
      </c>
      <c r="AS118" s="1063"/>
      <c r="AT118" s="1063"/>
      <c r="AU118" s="697"/>
      <c r="AV118" s="697"/>
    </row>
    <row s="1834" customFormat="1" customHeight="1" ht="14.25">
      <c r="A119" s="1741"/>
      <c r="B119" s="1741"/>
      <c r="C119" s="1741"/>
      <c r="D119" s="1741"/>
      <c r="E119" s="695">
        <v>15</v>
      </c>
      <c r="F119" s="50" cm="1" t="str">
        <f t="array" ref="F119:F119">OFFSET(E119,-1,1)</f>
        <v>1</v>
      </c>
      <c r="G119" s="1741"/>
      <c r="H119" s="1741"/>
      <c r="I119" s="587" t="s">
        <v>2068</v>
      </c>
      <c r="J119" s="587"/>
      <c r="K119" s="587"/>
      <c r="L119" s="587"/>
      <c r="M119" s="587"/>
      <c r="N119" s="587"/>
      <c r="O119" s="587"/>
      <c r="P119" s="587"/>
      <c r="Q119" s="587"/>
      <c r="R119" s="587"/>
      <c r="S119" s="587"/>
      <c r="T119" s="465" cm="1" t="str">
        <f t="array" ref="T119:T119">T118</f>
        <v>true</v>
      </c>
      <c r="U119" s="1741"/>
      <c r="V119" s="1741"/>
      <c r="W119" s="1741"/>
      <c r="X119" s="1641"/>
      <c r="Y119" s="1741"/>
      <c r="Z119" s="1642"/>
      <c r="AA119" s="1741"/>
      <c r="AB119" s="807" t="s">
        <v>2069</v>
      </c>
      <c r="AC119" s="808" t="s">
        <v>2445</v>
      </c>
      <c r="AD119" s="759" t="s">
        <v>1514</v>
      </c>
      <c r="AE119" s="802">
        <f>_xlfn.SUMIFS(ЭЭ!AE$25:AE$189,ЭЭ!$F$25:$F$189,$F119,ЭЭ!$AC$25:$AC$189,"Всего по тарифу")</f>
        <v>0</v>
      </c>
      <c r="AF119" s="802">
        <f>_xlfn.SUMIFS(ЭЭ!AF$25:AF$189,ЭЭ!$F$25:$F$189,$F119,ЭЭ!$AC$25:$AC$189,"Всего по тарифу")</f>
        <v>0</v>
      </c>
      <c r="AG119" s="802">
        <f>_xlfn.SUMIFS(ЭЭ!AG$25:AG$189,ЭЭ!$F$25:$F$189,$F119,ЭЭ!$AC$25:$AC$189,"Всего по тарифу")</f>
        <v>0</v>
      </c>
      <c r="AH119" s="802">
        <f>AG119-AF119</f>
        <v>0</v>
      </c>
      <c r="AI119" s="802">
        <f>_xlfn.SUMIFS(ЭЭ!AH$25:AH$189,ЭЭ!$F$25:$F$189,$F119,ЭЭ!$AC$25:$AC$189,"Всего по тарифу")</f>
        <v>0</v>
      </c>
      <c r="AJ119" s="802">
        <f>_xlfn.SUMIFS(ЭЭ!AI$25:AI$189,ЭЭ!$F$25:$F$189,$F119,ЭЭ!$AC$25:$AC$189,"Всего по тарифу")</f>
        <v>48401.99</v>
      </c>
      <c r="AK119" s="802">
        <f>_xlfn.SUMIFS(ЭЭ!AS$25:AS$189,ЭЭ!$F$25:$F$189,$F119,ЭЭ!$AC$25:$AC$189,"Всего по тарифу")</f>
        <v>48505.1543799309</v>
      </c>
      <c r="AL119" s="802">
        <f>IF(AI119=0,0,(AK119-AI119)/AI119*100)</f>
        <v>0</v>
      </c>
      <c r="AM119" s="803"/>
      <c r="AN119" s="910" t="str">
        <f>IF(_xlfn.IFERROR(INDEX(ЭЭ!$K$26:$L$189,MATCH($F119&amp;"komm",ЭЭ!$K$26:$K$189,0),2),"")=0,"",_xlfn.IFERROR(INDEX(ЭЭ!$K$26:$L$189,MATCH($F119&amp;"komm",ЭЭ!$K$26:$K$189,0),2),""))</f>
        <v>В соответствии с п. 20 Методических указаний расходы регулируемой организации на приобретаемые электрическую энергию (мощность), тепловую энергию (мощность), другие виды энергетических ресурсов, холодную воду, теплоноситель определяются как сумма произведений расчетных экономически (технологически, технически) обоснованных объемов приобретаемых электрической энергии (мощности), тепловой энергии (мощности), других видов энергетических ресурсов холодной воды на соответственно плановые (расчетные) цены (тарифы) на электрическую энергию (мощность), тепловую энергию (мощность), другие виды энергетических ресурсов, холодную воду. Объемы приобретаемой электрической энергии (мощности), тепловой энергии (мощности) определяются с учетом показателей надежности, качества, энергетической эффективности в сфере водоснабжения и (или) водоотведения, определенных в установленном порядке.</v>
      </c>
      <c r="AO119" s="803"/>
      <c r="AP119" s="1741"/>
      <c r="AQ119" s="1741"/>
      <c r="AR119" s="1062" t="s">
        <v>2446</v>
      </c>
      <c r="AS119" s="1062"/>
      <c r="AT119" s="1062"/>
      <c r="AU119" s="1059"/>
      <c r="AV119" s="1059"/>
    </row>
    <row s="1834" customFormat="1" customHeight="1" ht="14.25">
      <c r="A120" s="1741"/>
      <c r="B120" s="1741"/>
      <c r="C120" s="1741"/>
      <c r="D120" s="1741"/>
      <c r="E120" s="695">
        <v>15</v>
      </c>
      <c r="F120" s="50" cm="1" t="str">
        <f t="array" ref="F120:F120">OFFSET(E120,-1,1)</f>
        <v>1</v>
      </c>
      <c r="G120" s="577" t="s">
        <v>1819</v>
      </c>
      <c r="H120" s="1741"/>
      <c r="I120" s="587" t="s">
        <v>2071</v>
      </c>
      <c r="J120" s="587"/>
      <c r="K120" s="587"/>
      <c r="L120" s="587"/>
      <c r="M120" s="587"/>
      <c r="N120" s="587"/>
      <c r="O120" s="587"/>
      <c r="P120" s="587"/>
      <c r="Q120" s="587"/>
      <c r="R120" s="587"/>
      <c r="S120" s="587"/>
      <c r="T120" s="465" cm="1" t="str">
        <f t="array" ref="T120:T120">T119</f>
        <v>true</v>
      </c>
      <c r="U120" s="1741"/>
      <c r="V120" s="1741"/>
      <c r="W120" s="1741"/>
      <c r="X120" s="1641"/>
      <c r="Y120" s="1741"/>
      <c r="Z120" s="1642"/>
      <c r="AA120" s="1741"/>
      <c r="AB120" s="807" t="s">
        <v>2072</v>
      </c>
      <c r="AC120" s="808" t="s">
        <v>2447</v>
      </c>
      <c r="AD120" s="759" t="s">
        <v>1514</v>
      </c>
      <c r="AE120" s="802">
        <f>_xlfn.SUMIFS(Покупка!AE$25:AE$372,Покупка!$F$25:$F$372,$F120,Покупка!$AC$25:$AC$372,$G120)</f>
        <v>0</v>
      </c>
      <c r="AF120" s="802">
        <f>_xlfn.SUMIFS(Покупка!AF$25:AF$372,Покупка!$F$25:$F$372,$F120,Покупка!$AC$25:$AC$372,$G120)</f>
        <v>0</v>
      </c>
      <c r="AG120" s="802">
        <f>_xlfn.SUMIFS(Покупка!AG$25:AG$372,Покупка!$F$25:$F$372,$F120,Покупка!$AC$25:$AC$372,$G120)</f>
        <v>0</v>
      </c>
      <c r="AH120" s="802">
        <f>AG120-AF120</f>
        <v>0</v>
      </c>
      <c r="AI120" s="802">
        <f>_xlfn.SUMIFS(Покупка!AH$25:AH$372,Покупка!$F$25:$F$372,$F120,Покупка!$AC$25:$AC$372,$G120)</f>
        <v>0</v>
      </c>
      <c r="AJ120" s="802">
        <f>_xlfn.SUMIFS(Покупка!AI$25:AI$372,Покупка!$F$25:$F$372,$F120,Покупка!$AC$25:$AC$372,$G120)</f>
        <v>0</v>
      </c>
      <c r="AK120" s="802">
        <f>_xlfn.SUMIFS(Покупка!AS$25:AS$372,Покупка!$F$25:$F$372,$F120,Покупка!$AC$25:$AC$372,$G120)</f>
        <v>0</v>
      </c>
      <c r="AL120" s="802">
        <f>IF(AI120=0,0,(AK120-AI120)/AI120*100)</f>
        <v>0</v>
      </c>
      <c r="AM120" s="803"/>
      <c r="AN120" s="910" t="str">
        <f>IF(_xlfn.IFERROR(INDEX(Покупка!$K$26:$L$372,MATCH($F120&amp;"6komm",Покупка!$K$26:$K$372,0),2),"")=0,"",_xlfn.IFERROR(INDEX(Покупка!$K$26:$L$372,MATCH($F120&amp;"6komm",Покупка!$K$26:$K$372,0),2),""))</f>
        <v/>
      </c>
      <c r="AO120" s="803"/>
      <c r="AP120" s="1741"/>
      <c r="AQ120" s="1741"/>
      <c r="AR120" s="1062" t="s">
        <v>1820</v>
      </c>
      <c r="AS120" s="1062"/>
      <c r="AT120" s="1062"/>
      <c r="AU120" s="1059"/>
      <c r="AV120" s="1059"/>
    </row>
    <row s="1834" customFormat="1" customHeight="1" ht="14.25">
      <c r="A121" s="1741"/>
      <c r="B121" s="1741"/>
      <c r="C121" s="1741"/>
      <c r="D121" s="1741"/>
      <c r="E121" s="695">
        <v>15</v>
      </c>
      <c r="F121" s="50" cm="1" t="str">
        <f t="array" ref="F121:F121">OFFSET(E121,-1,1)</f>
        <v>1</v>
      </c>
      <c r="G121" s="577" t="s">
        <v>1841</v>
      </c>
      <c r="H121" s="1741"/>
      <c r="I121" s="587" t="s">
        <v>2075</v>
      </c>
      <c r="J121" s="587"/>
      <c r="K121" s="587"/>
      <c r="L121" s="587"/>
      <c r="M121" s="587"/>
      <c r="N121" s="587"/>
      <c r="O121" s="587"/>
      <c r="P121" s="587"/>
      <c r="Q121" s="587"/>
      <c r="R121" s="587"/>
      <c r="S121" s="587"/>
      <c r="T121" s="465" cm="1" t="str">
        <f t="array" ref="T121:T121">T120</f>
        <v>true</v>
      </c>
      <c r="U121" s="1741"/>
      <c r="V121" s="1741"/>
      <c r="W121" s="1741"/>
      <c r="X121" s="1641"/>
      <c r="Y121" s="1741"/>
      <c r="Z121" s="1642"/>
      <c r="AA121" s="1741"/>
      <c r="AB121" s="807" t="s">
        <v>2076</v>
      </c>
      <c r="AC121" s="808" t="s">
        <v>2448</v>
      </c>
      <c r="AD121" s="759" t="s">
        <v>1514</v>
      </c>
      <c r="AE121" s="802">
        <f>_xlfn.SUMIFS(Покупка!AE$25:AE$372,Покупка!$F$25:$F$372,$F121,Покупка!$AC$25:$AC$372,$G121)</f>
        <v>0</v>
      </c>
      <c r="AF121" s="802">
        <f>_xlfn.SUMIFS(Покупка!AF$25:AF$372,Покупка!$F$25:$F$372,$F121,Покупка!$AC$25:$AC$372,$G121)</f>
        <v>0</v>
      </c>
      <c r="AG121" s="802">
        <f>_xlfn.SUMIFS(Покупка!AG$25:AG$372,Покупка!$F$25:$F$372,$F121,Покупка!$AC$25:$AC$372,$G121)</f>
        <v>0</v>
      </c>
      <c r="AH121" s="802">
        <f>AG121-AF121</f>
        <v>0</v>
      </c>
      <c r="AI121" s="802">
        <f>_xlfn.SUMIFS(Покупка!AH$25:AH$372,Покупка!$F$25:$F$372,$F121,Покупка!$AC$25:$AC$372,$G121)</f>
        <v>0</v>
      </c>
      <c r="AJ121" s="802">
        <f>_xlfn.SUMIFS(Покупка!AI$25:AI$372,Покупка!$F$25:$F$372,$F121,Покупка!$AC$25:$AC$372,$G121)</f>
        <v>0</v>
      </c>
      <c r="AK121" s="802">
        <f>_xlfn.SUMIFS(Покупка!AS$25:AS$372,Покупка!$F$25:$F$372,$F121,Покупка!$AC$25:$AC$372,$G121)</f>
        <v>0</v>
      </c>
      <c r="AL121" s="802">
        <f>IF(AI121=0,0,(AK121-AI121)/AI121*100)</f>
        <v>0</v>
      </c>
      <c r="AM121" s="803"/>
      <c r="AN121" s="910" t="str">
        <f>IF(_xlfn.IFERROR(INDEX(Покупка!$K$26:$L$372,MATCH($F121&amp;"7komm",Покупка!$K$26:$K$372,0),2),"")=0,"",_xlfn.IFERROR(INDEX(Покупка!$K$26:$L$372,MATCH($F121&amp;"7komm",Покупка!$K$26:$K$372,0),2),""))</f>
        <v/>
      </c>
      <c r="AO121" s="803"/>
      <c r="AP121" s="1741"/>
      <c r="AQ121" s="1741"/>
      <c r="AR121" s="1062" t="s">
        <v>1842</v>
      </c>
      <c r="AS121" s="1062"/>
      <c r="AT121" s="1062"/>
      <c r="AU121" s="1059"/>
      <c r="AV121" s="1059"/>
    </row>
    <row s="1834" customFormat="1" customHeight="1" ht="14.25">
      <c r="A122" s="1741"/>
      <c r="B122" s="1741"/>
      <c r="C122" s="1741"/>
      <c r="D122" s="1741"/>
      <c r="E122" s="695">
        <v>15</v>
      </c>
      <c r="F122" s="50" cm="1" t="str">
        <f t="array" ref="F122:F122">OFFSET(E122,-1,1)</f>
        <v>1</v>
      </c>
      <c r="G122" s="752" t="s">
        <v>1853</v>
      </c>
      <c r="H122" s="1741"/>
      <c r="I122" s="587" t="s">
        <v>2235</v>
      </c>
      <c r="J122" s="587"/>
      <c r="K122" s="587"/>
      <c r="L122" s="587"/>
      <c r="M122" s="587"/>
      <c r="N122" s="587"/>
      <c r="O122" s="587"/>
      <c r="P122" s="587"/>
      <c r="Q122" s="587"/>
      <c r="R122" s="587"/>
      <c r="S122" s="587"/>
      <c r="T122" s="465" cm="1" t="str">
        <f t="array" ref="T122:T122">T121</f>
        <v>true</v>
      </c>
      <c r="U122" s="1741"/>
      <c r="V122" s="1741"/>
      <c r="W122" s="1741"/>
      <c r="X122" s="1641"/>
      <c r="Y122" s="1741"/>
      <c r="Z122" s="1642"/>
      <c r="AA122" s="1741"/>
      <c r="AB122" s="807" t="s">
        <v>2449</v>
      </c>
      <c r="AC122" s="808" t="s">
        <v>2450</v>
      </c>
      <c r="AD122" s="759" t="s">
        <v>1514</v>
      </c>
      <c r="AE122" s="802">
        <f>_xlfn.SUMIFS(Покупка!AE$25:AE$372,Покупка!$F$25:$F$372,$F122,Покупка!$AC$25:$AC$372,$G122)</f>
        <v>0</v>
      </c>
      <c r="AF122" s="802">
        <f>_xlfn.SUMIFS(Покупка!AF$25:AF$372,Покупка!$F$25:$F$372,$F122,Покупка!$AC$25:$AC$372,$G122)</f>
        <v>0</v>
      </c>
      <c r="AG122" s="802">
        <f>_xlfn.SUMIFS(Покупка!AG$25:AG$372,Покупка!$F$25:$F$372,$F122,Покупка!$AC$25:$AC$372,$G122)</f>
        <v>0</v>
      </c>
      <c r="AH122" s="802">
        <f>AG122-AF122</f>
        <v>0</v>
      </c>
      <c r="AI122" s="802">
        <f>_xlfn.SUMIFS(Покупка!AH$25:AH$372,Покупка!$F$25:$F$372,$F122,Покупка!$AC$25:$AC$372,$G122)</f>
        <v>0</v>
      </c>
      <c r="AJ122" s="802">
        <f>_xlfn.SUMIFS(Покупка!AI$25:AI$372,Покупка!$F$25:$F$372,$F122,Покупка!$AC$25:$AC$372,$G122)</f>
        <v>0</v>
      </c>
      <c r="AK122" s="802">
        <f>_xlfn.SUMIFS(Покупка!AS$25:AS$372,Покупка!$F$25:$F$372,$F122,Покупка!$AC$25:$AC$372,$G122)</f>
        <v>0</v>
      </c>
      <c r="AL122" s="802">
        <f>IF(AI122=0,0,(AK122-AI122)/AI122*100)</f>
        <v>0</v>
      </c>
      <c r="AM122" s="803"/>
      <c r="AN122" s="910" t="str">
        <f>IF(_xlfn.IFERROR(INDEX(Покупка!$K$26:$L$372,MATCH($F122&amp;"9komm",Покупка!$K$26:$K$372,0),2),"")=0,"",_xlfn.IFERROR(INDEX(Покупка!$K$26:$L$372,MATCH($F122&amp;"9komm",Покупка!$K$26:$K$372,0),2),""))</f>
        <v/>
      </c>
      <c r="AO122" s="803"/>
      <c r="AP122" s="1741"/>
      <c r="AQ122" s="1741"/>
      <c r="AR122" s="1062" t="s">
        <v>1854</v>
      </c>
      <c r="AS122" s="1062"/>
      <c r="AT122" s="1062"/>
      <c r="AU122" s="1059"/>
      <c r="AV122" s="1059"/>
    </row>
    <row s="1834" customFormat="1" customHeight="1" ht="14.25">
      <c r="A123" s="1741"/>
      <c r="B123" s="1741"/>
      <c r="C123" s="1741"/>
      <c r="D123" s="1741"/>
      <c r="E123" s="695">
        <v>15</v>
      </c>
      <c r="F123" s="50" cm="1" t="str">
        <f t="array" ref="F123:F123">OFFSET(E123,-1,1)</f>
        <v>1</v>
      </c>
      <c r="G123" s="577" t="s">
        <v>1780</v>
      </c>
      <c r="H123" s="1741"/>
      <c r="I123" s="587" t="s">
        <v>2239</v>
      </c>
      <c r="J123" s="587"/>
      <c r="K123" s="587"/>
      <c r="L123" s="587"/>
      <c r="M123" s="587"/>
      <c r="N123" s="587"/>
      <c r="O123" s="587"/>
      <c r="P123" s="587"/>
      <c r="Q123" s="587"/>
      <c r="R123" s="587"/>
      <c r="S123" s="587"/>
      <c r="T123" s="465" cm="1" t="str">
        <f t="array" ref="T123:T123">T122</f>
        <v>true</v>
      </c>
      <c r="U123" s="1741"/>
      <c r="V123" s="1741"/>
      <c r="W123" s="1741"/>
      <c r="X123" s="1641"/>
      <c r="Y123" s="1741"/>
      <c r="Z123" s="1642"/>
      <c r="AA123" s="1741"/>
      <c r="AB123" s="807" t="s">
        <v>2451</v>
      </c>
      <c r="AC123" s="808" t="s">
        <v>2452</v>
      </c>
      <c r="AD123" s="759" t="s">
        <v>1514</v>
      </c>
      <c r="AE123" s="802">
        <f>_xlfn.SUMIFS(Покупка!AE$25:AE$372,Покупка!$F$25:$F$372,$F123,Покупка!$AC$25:$AC$372,$G123)</f>
        <v>0</v>
      </c>
      <c r="AF123" s="802">
        <f>_xlfn.SUMIFS(Покупка!AF$25:AF$372,Покупка!$F$25:$F$372,$F123,Покупка!$AC$25:$AC$372,$G123)</f>
        <v>0</v>
      </c>
      <c r="AG123" s="802">
        <f>_xlfn.SUMIFS(Покупка!AG$25:AG$372,Покупка!$F$25:$F$372,$F123,Покупка!$AC$25:$AC$372,$G123)</f>
        <v>0</v>
      </c>
      <c r="AH123" s="802">
        <f>AG123-AF123</f>
        <v>0</v>
      </c>
      <c r="AI123" s="802">
        <f>_xlfn.SUMIFS(Покупка!AH$25:AH$372,Покупка!$F$25:$F$372,$F123,Покупка!$AC$25:$AC$372,$G123)</f>
        <v>0</v>
      </c>
      <c r="AJ123" s="802">
        <f>_xlfn.SUMIFS(Покупка!AI$25:AI$372,Покупка!$F$25:$F$372,$F123,Покупка!$AC$25:$AC$372,$G123)</f>
        <v>0</v>
      </c>
      <c r="AK123" s="802">
        <f>_xlfn.SUMIFS(Покупка!AS$25:AS$372,Покупка!$F$25:$F$372,$F123,Покупка!$AC$25:$AC$372,$G123)</f>
        <v>0</v>
      </c>
      <c r="AL123" s="802">
        <f>IF(AI123=0,0,(AK123-AI123)/AI123*100)</f>
        <v>0</v>
      </c>
      <c r="AM123" s="803"/>
      <c r="AN123" s="910" t="str">
        <f>IF(_xlfn.IFERROR(INDEX(Покупка!$K$26:$L$372,MATCH($F123&amp;"1komm",Покупка!$K$26:$K$372,0),2),"")=0,"",_xlfn.IFERROR(INDEX(Покупка!$K$26:$L$372,MATCH($F123&amp;"1komm",Покупка!$K$26:$K$372,0),2),""))</f>
        <v/>
      </c>
      <c r="AO123" s="803"/>
      <c r="AP123" s="1741"/>
      <c r="AQ123" s="1741"/>
      <c r="AR123" s="1062" t="s">
        <v>2453</v>
      </c>
      <c r="AS123" s="1062"/>
      <c r="AT123" s="1062"/>
      <c r="AU123" s="1059"/>
      <c r="AV123" s="1059"/>
    </row>
    <row s="1834" customFormat="1" customHeight="1" ht="14.25">
      <c r="A124" s="1741"/>
      <c r="B124" s="1741"/>
      <c r="C124" s="1741"/>
      <c r="D124" s="1741"/>
      <c r="E124" s="695">
        <v>15</v>
      </c>
      <c r="F124" s="50" cm="1" t="str">
        <f t="array" ref="F124:F124">OFFSET(E124,-1,1)</f>
        <v>1</v>
      </c>
      <c r="G124" s="577" t="s">
        <v>1793</v>
      </c>
      <c r="H124" s="1741"/>
      <c r="I124" s="587" t="s">
        <v>2244</v>
      </c>
      <c r="J124" s="587"/>
      <c r="K124" s="587"/>
      <c r="L124" s="587"/>
      <c r="M124" s="587"/>
      <c r="N124" s="587"/>
      <c r="O124" s="587"/>
      <c r="P124" s="587"/>
      <c r="Q124" s="587"/>
      <c r="R124" s="587"/>
      <c r="S124" s="587"/>
      <c r="T124" s="465" cm="1" t="str">
        <f t="array" ref="T124:T124">T123</f>
        <v>true</v>
      </c>
      <c r="U124" s="1741"/>
      <c r="V124" s="1741"/>
      <c r="W124" s="1741"/>
      <c r="X124" s="1641"/>
      <c r="Y124" s="1741"/>
      <c r="Z124" s="1642"/>
      <c r="AA124" s="1741"/>
      <c r="AB124" s="807" t="s">
        <v>2454</v>
      </c>
      <c r="AC124" s="808" t="s">
        <v>2455</v>
      </c>
      <c r="AD124" s="759" t="s">
        <v>1514</v>
      </c>
      <c r="AE124" s="802">
        <f>_xlfn.SUMIFS(Покупка!AE$25:AE$372,Покупка!$F$25:$F$372,$F124,Покупка!$AC$25:$AC$372,$G124)</f>
        <v>0</v>
      </c>
      <c r="AF124" s="802">
        <f>_xlfn.SUMIFS(Покупка!AF$25:AF$372,Покупка!$F$25:$F$372,$F124,Покупка!$AC$25:$AC$372,$G124)</f>
        <v>0</v>
      </c>
      <c r="AG124" s="802">
        <f>_xlfn.SUMIFS(Покупка!AG$25:AG$372,Покупка!$F$25:$F$372,$F124,Покупка!$AC$25:$AC$372,$G124)</f>
        <v>0</v>
      </c>
      <c r="AH124" s="802">
        <f>AG124-AF124</f>
        <v>0</v>
      </c>
      <c r="AI124" s="802">
        <f>_xlfn.SUMIFS(Покупка!AH$25:AH$372,Покупка!$F$25:$F$372,$F124,Покупка!$AC$25:$AC$372,$G124)</f>
        <v>0</v>
      </c>
      <c r="AJ124" s="802">
        <f>_xlfn.SUMIFS(Покупка!AI$25:AI$372,Покупка!$F$25:$F$372,$F124,Покупка!$AC$25:$AC$372,$G124)</f>
        <v>0</v>
      </c>
      <c r="AK124" s="802">
        <f>_xlfn.SUMIFS(Покупка!AS$25:AS$372,Покупка!$F$25:$F$372,$F124,Покупка!$AC$25:$AC$372,$G124)</f>
        <v>0</v>
      </c>
      <c r="AL124" s="802">
        <f>IF(AI124=0,0,(AK124-AI124)/AI124*100)</f>
        <v>0</v>
      </c>
      <c r="AM124" s="803"/>
      <c r="AN124" s="910" t="str">
        <f>IF(_xlfn.IFERROR(INDEX(Покупка!$K$26:$L$372,MATCH($F124&amp;"2komm",Покупка!$K$26:$K$372,0),2),"")=0,"",_xlfn.IFERROR(INDEX(Покупка!$K$26:$L$372,MATCH($F124&amp;"2komm",Покупка!$K$26:$K$372,0),2),""))</f>
        <v/>
      </c>
      <c r="AO124" s="803"/>
      <c r="AP124" s="1741"/>
      <c r="AQ124" s="1741"/>
      <c r="AR124" s="1062" t="s">
        <v>2456</v>
      </c>
      <c r="AS124" s="1062"/>
      <c r="AT124" s="1062"/>
      <c r="AU124" s="1059"/>
      <c r="AV124" s="1059"/>
    </row>
    <row s="1834" customFormat="1" customHeight="1" ht="14.25">
      <c r="A125" s="1741"/>
      <c r="B125" s="1741"/>
      <c r="C125" s="1741"/>
      <c r="D125" s="1741"/>
      <c r="E125" s="695">
        <v>15</v>
      </c>
      <c r="F125" s="50" cm="1" t="str">
        <f t="array" ref="F125:F125">OFFSET(E125,-1,1)</f>
        <v>1</v>
      </c>
      <c r="G125" s="577" t="s">
        <v>1799</v>
      </c>
      <c r="H125" s="1741"/>
      <c r="I125" s="587" t="s">
        <v>2253</v>
      </c>
      <c r="J125" s="587"/>
      <c r="K125" s="587"/>
      <c r="L125" s="587"/>
      <c r="M125" s="587"/>
      <c r="N125" s="587"/>
      <c r="O125" s="587"/>
      <c r="P125" s="587"/>
      <c r="Q125" s="587"/>
      <c r="R125" s="587"/>
      <c r="S125" s="587"/>
      <c r="T125" s="465" cm="1" t="str">
        <f t="array" ref="T125:T125">T124</f>
        <v>true</v>
      </c>
      <c r="U125" s="1741"/>
      <c r="V125" s="1741"/>
      <c r="W125" s="1741"/>
      <c r="X125" s="1641"/>
      <c r="Y125" s="1741"/>
      <c r="Z125" s="1642"/>
      <c r="AA125" s="1741"/>
      <c r="AB125" s="807" t="s">
        <v>2457</v>
      </c>
      <c r="AC125" s="808" t="s">
        <v>2458</v>
      </c>
      <c r="AD125" s="759" t="s">
        <v>1514</v>
      </c>
      <c r="AE125" s="802">
        <f>_xlfn.SUMIFS(Покупка!AE$25:AE$372,Покупка!$F$25:$F$372,$F125,Покупка!$AC$25:$AC$372,$G125)</f>
        <v>0</v>
      </c>
      <c r="AF125" s="802">
        <f>_xlfn.SUMIFS(Покупка!AF$25:AF$372,Покупка!$F$25:$F$372,$F125,Покупка!$AC$25:$AC$372,$G125)</f>
        <v>0</v>
      </c>
      <c r="AG125" s="802">
        <f>_xlfn.SUMIFS(Покупка!AG$25:AG$372,Покупка!$F$25:$F$372,$F125,Покупка!$AC$25:$AC$372,$G125)</f>
        <v>0</v>
      </c>
      <c r="AH125" s="802">
        <f>AG125-AF125</f>
        <v>0</v>
      </c>
      <c r="AI125" s="802">
        <f>_xlfn.SUMIFS(Покупка!AH$25:AH$372,Покупка!$F$25:$F$372,$F125,Покупка!$AC$25:$AC$372,$G125)</f>
        <v>0</v>
      </c>
      <c r="AJ125" s="802">
        <f>_xlfn.SUMIFS(Покупка!AI$25:AI$372,Покупка!$F$25:$F$372,$F125,Покупка!$AC$25:$AC$372,$G125)</f>
        <v>0</v>
      </c>
      <c r="AK125" s="802">
        <f>_xlfn.SUMIFS(Покупка!AS$25:AS$372,Покупка!$F$25:$F$372,$F125,Покупка!$AC$25:$AC$372,$G125)</f>
        <v>0</v>
      </c>
      <c r="AL125" s="802">
        <f>IF(AI125=0,0,(AK125-AI125)/AI125*100)</f>
        <v>0</v>
      </c>
      <c r="AM125" s="803"/>
      <c r="AN125" s="910" t="str">
        <f>IF(_xlfn.IFERROR(INDEX(Покупка!$K$26:$L$372,MATCH($F125&amp;"3komm",Покупка!$K$26:$K$372,0),2),"")=0,"",_xlfn.IFERROR(INDEX(Покупка!$K$26:$L$372,MATCH($F125&amp;"3komm",Покупка!$K$26:$K$372,0),2),""))</f>
        <v/>
      </c>
      <c r="AO125" s="803"/>
      <c r="AP125" s="1741"/>
      <c r="AQ125" s="1741"/>
      <c r="AR125" s="1062" t="s">
        <v>2459</v>
      </c>
      <c r="AS125" s="1062"/>
      <c r="AT125" s="1062"/>
      <c r="AU125" s="1059"/>
      <c r="AV125" s="1059"/>
    </row>
    <row s="1834" customFormat="1" customHeight="1" ht="14.25">
      <c r="A126" s="1741"/>
      <c r="B126" s="1741"/>
      <c r="C126" s="1741"/>
      <c r="D126" s="1741"/>
      <c r="E126" s="695">
        <v>15</v>
      </c>
      <c r="F126" s="50" cm="1" t="str">
        <f t="array" ref="F126:F126">OFFSET(E126,-1,1)</f>
        <v>1</v>
      </c>
      <c r="G126" s="577" t="s">
        <v>1805</v>
      </c>
      <c r="H126" s="1741"/>
      <c r="I126" s="587" t="s">
        <v>2258</v>
      </c>
      <c r="J126" s="587"/>
      <c r="K126" s="587"/>
      <c r="L126" s="587"/>
      <c r="M126" s="587"/>
      <c r="N126" s="587"/>
      <c r="O126" s="587"/>
      <c r="P126" s="587"/>
      <c r="Q126" s="587"/>
      <c r="R126" s="587"/>
      <c r="S126" s="587"/>
      <c r="T126" s="465" cm="1" t="str">
        <f t="array" ref="T126:T126">T125</f>
        <v>true</v>
      </c>
      <c r="U126" s="1741"/>
      <c r="V126" s="1741"/>
      <c r="W126" s="1741"/>
      <c r="X126" s="1641"/>
      <c r="Y126" s="1741"/>
      <c r="Z126" s="1642"/>
      <c r="AA126" s="1741"/>
      <c r="AB126" s="807" t="s">
        <v>2460</v>
      </c>
      <c r="AC126" s="808" t="s">
        <v>2461</v>
      </c>
      <c r="AD126" s="759" t="s">
        <v>1514</v>
      </c>
      <c r="AE126" s="802">
        <f>_xlfn.SUMIFS(Покупка!AE$25:AE$372,Покупка!$F$25:$F$372,$F126,Покупка!$AC$25:$AC$372,$G126)</f>
        <v>0</v>
      </c>
      <c r="AF126" s="802">
        <f>_xlfn.SUMIFS(Покупка!AF$25:AF$372,Покупка!$F$25:$F$372,$F126,Покупка!$AC$25:$AC$372,$G126)</f>
        <v>0</v>
      </c>
      <c r="AG126" s="802">
        <f>_xlfn.SUMIFS(Покупка!AG$25:AG$372,Покупка!$F$25:$F$372,$F126,Покупка!$AC$25:$AC$372,$G126)</f>
        <v>0</v>
      </c>
      <c r="AH126" s="802">
        <f>AG126-AF126</f>
        <v>0</v>
      </c>
      <c r="AI126" s="802">
        <f>_xlfn.SUMIFS(Покупка!AH$25:AH$372,Покупка!$F$25:$F$372,$F126,Покупка!$AC$25:$AC$372,$G126)</f>
        <v>0</v>
      </c>
      <c r="AJ126" s="802">
        <f>_xlfn.SUMIFS(Покупка!AI$25:AI$372,Покупка!$F$25:$F$372,$F126,Покупка!$AC$25:$AC$372,$G126)</f>
        <v>0</v>
      </c>
      <c r="AK126" s="802">
        <f>_xlfn.SUMIFS(Покупка!AS$25:AS$372,Покупка!$F$25:$F$372,$F126,Покупка!$AC$25:$AC$372,$G126)</f>
        <v>0</v>
      </c>
      <c r="AL126" s="802">
        <f>IF(AI126=0,0,(AK126-AI126)/AI126*100)</f>
        <v>0</v>
      </c>
      <c r="AM126" s="803"/>
      <c r="AN126" s="910" t="str">
        <f>IF(_xlfn.IFERROR(INDEX(Покупка!$K$26:$L$372,MATCH($F126&amp;"4komm",Покупка!$K$26:$K$372,0),2),"")=0,"",_xlfn.IFERROR(INDEX(Покупка!$K$26:$L$372,MATCH($F126&amp;"4komm",Покупка!$K$26:$K$372,0),2),""))</f>
        <v/>
      </c>
      <c r="AO126" s="803"/>
      <c r="AP126" s="1741"/>
      <c r="AQ126" s="1741"/>
      <c r="AR126" s="1062" t="s">
        <v>2462</v>
      </c>
      <c r="AS126" s="1062"/>
      <c r="AT126" s="1062"/>
      <c r="AU126" s="1059"/>
      <c r="AV126" s="1059"/>
    </row>
    <row s="1834" customFormat="1" customHeight="1" ht="14.25">
      <c r="A127" s="1741"/>
      <c r="B127" s="1741"/>
      <c r="C127" s="1741"/>
      <c r="D127" s="1741"/>
      <c r="E127" s="695">
        <v>15</v>
      </c>
      <c r="F127" s="50" cm="1" t="str">
        <f t="array" ref="F127:F127">OFFSET(E127,-1,1)</f>
        <v>1</v>
      </c>
      <c r="G127" s="577" t="s">
        <v>1812</v>
      </c>
      <c r="H127" s="1741"/>
      <c r="I127" s="587" t="s">
        <v>2268</v>
      </c>
      <c r="J127" s="587"/>
      <c r="K127" s="587"/>
      <c r="L127" s="587"/>
      <c r="M127" s="587"/>
      <c r="N127" s="587"/>
      <c r="O127" s="587"/>
      <c r="P127" s="587"/>
      <c r="Q127" s="587"/>
      <c r="R127" s="587"/>
      <c r="S127" s="587"/>
      <c r="T127" s="465" cm="1" t="str">
        <f t="array" ref="T127:T127">T126</f>
        <v>true</v>
      </c>
      <c r="U127" s="1741"/>
      <c r="V127" s="1741"/>
      <c r="W127" s="1741"/>
      <c r="X127" s="1641"/>
      <c r="Y127" s="1741"/>
      <c r="Z127" s="1642"/>
      <c r="AA127" s="1741"/>
      <c r="AB127" s="807" t="s">
        <v>2463</v>
      </c>
      <c r="AC127" s="808" t="s">
        <v>2464</v>
      </c>
      <c r="AD127" s="759" t="s">
        <v>1514</v>
      </c>
      <c r="AE127" s="802">
        <f>_xlfn.SUMIFS(Покупка!AE$25:AE$372,Покупка!$F$25:$F$372,$F127,Покупка!$AC$25:$AC$372,$G127)</f>
        <v>0</v>
      </c>
      <c r="AF127" s="802">
        <f>_xlfn.SUMIFS(Покупка!AF$25:AF$372,Покупка!$F$25:$F$372,$F127,Покупка!$AC$25:$AC$372,$G127)</f>
        <v>0</v>
      </c>
      <c r="AG127" s="802">
        <f>_xlfn.SUMIFS(Покупка!AG$25:AG$372,Покупка!$F$25:$F$372,$F127,Покупка!$AC$25:$AC$372,$G127)</f>
        <v>0</v>
      </c>
      <c r="AH127" s="802">
        <f>AG127-AF127</f>
        <v>0</v>
      </c>
      <c r="AI127" s="802">
        <f>_xlfn.SUMIFS(Покупка!AH$25:AH$372,Покупка!$F$25:$F$372,$F127,Покупка!$AC$25:$AC$372,$G127)</f>
        <v>0</v>
      </c>
      <c r="AJ127" s="802">
        <f>_xlfn.SUMIFS(Покупка!AI$25:AI$372,Покупка!$F$25:$F$372,$F127,Покупка!$AC$25:$AC$372,$G127)</f>
        <v>0</v>
      </c>
      <c r="AK127" s="802">
        <f>_xlfn.SUMIFS(Покупка!AS$25:AS$372,Покупка!$F$25:$F$372,$F127,Покупка!$AC$25:$AC$372,$G127)</f>
        <v>0</v>
      </c>
      <c r="AL127" s="802">
        <f>IF(AI127=0,0,(AK127-AI127)/AI127*100)</f>
        <v>0</v>
      </c>
      <c r="AM127" s="803"/>
      <c r="AN127" s="910" t="str">
        <f>IF(_xlfn.IFERROR(INDEX(Покупка!$K$26:$L$372,MATCH($F127&amp;"5komm",Покупка!$K$26:$K$372,0),2),"")=0,"",_xlfn.IFERROR(INDEX(Покупка!$K$26:$L$372,MATCH($F127&amp;"5komm",Покупка!$K$26:$K$372,0),2),""))</f>
        <v/>
      </c>
      <c r="AO127" s="803"/>
      <c r="AP127" s="1741"/>
      <c r="AQ127" s="1741"/>
      <c r="AR127" s="1062" t="s">
        <v>2465</v>
      </c>
      <c r="AS127" s="1062"/>
      <c r="AT127" s="1062"/>
      <c r="AU127" s="1059"/>
      <c r="AV127" s="1059"/>
    </row>
    <row s="7208" customFormat="1" customHeight="1" ht="43.5">
      <c r="A128" s="588"/>
      <c r="B128" s="588"/>
      <c r="C128" s="588"/>
      <c r="D128" s="588"/>
      <c r="E128" s="697">
        <v>45</v>
      </c>
      <c r="F128" s="50" cm="1" t="str">
        <f t="array" ref="F128:F128">OFFSET(E128,-1,1)</f>
        <v>1</v>
      </c>
      <c r="G128" s="588"/>
      <c r="H128" s="588"/>
      <c r="I128" s="698" t="s">
        <v>1182</v>
      </c>
      <c r="J128" s="698"/>
      <c r="K128" s="698"/>
      <c r="L128" s="698"/>
      <c r="M128" s="698"/>
      <c r="N128" s="698"/>
      <c r="O128" s="698"/>
      <c r="P128" s="698"/>
      <c r="Q128" s="698"/>
      <c r="R128" s="698"/>
      <c r="S128" s="698"/>
      <c r="T128" s="465" cm="1" t="str">
        <f t="array" ref="T128:T128">T127</f>
        <v>true</v>
      </c>
      <c r="U128" s="588"/>
      <c r="V128" s="588"/>
      <c r="W128" s="588"/>
      <c r="X128" s="1641"/>
      <c r="Y128" s="588"/>
      <c r="Z128" s="1642"/>
      <c r="AA128" s="588"/>
      <c r="AB128" s="804" t="s">
        <v>1634</v>
      </c>
      <c r="AC128" s="805" t="s">
        <v>2466</v>
      </c>
      <c r="AD128" s="590" t="s">
        <v>1514</v>
      </c>
      <c r="AE128" s="7165"/>
      <c r="AF128" s="7165"/>
      <c r="AG128" s="7165"/>
      <c r="AH128" s="801">
        <f>AG128-AF128</f>
        <v>0</v>
      </c>
      <c r="AI128" s="7165"/>
      <c r="AJ128" s="810"/>
      <c r="AK128" s="810"/>
      <c r="AL128" s="801">
        <f>IF(AI128=0,0,(AK128-AI128)/AI128*100)</f>
        <v>0</v>
      </c>
      <c r="AM128" s="806"/>
      <c r="AN128" s="806"/>
      <c r="AO128" s="806"/>
      <c r="AP128" s="588"/>
      <c r="AQ128" s="588"/>
      <c r="AR128" s="1063" t="s">
        <v>2467</v>
      </c>
      <c r="AS128" s="1063"/>
      <c r="AT128" s="1063"/>
      <c r="AU128" s="697"/>
      <c r="AV128" s="697"/>
    </row>
    <row s="7210" customFormat="1" customHeight="1" ht="43.5">
      <c r="A129" s="588"/>
      <c r="B129" s="588"/>
      <c r="C129" s="588"/>
      <c r="D129" s="588"/>
      <c r="E129" s="697">
        <v>45</v>
      </c>
      <c r="F129" s="50" cm="1" t="str">
        <f t="array" ref="F129:F129">OFFSET(E129,-1,1)</f>
        <v>1</v>
      </c>
      <c r="G129" s="588"/>
      <c r="H129" s="588"/>
      <c r="I129" s="698" t="s">
        <v>1186</v>
      </c>
      <c r="J129" s="698"/>
      <c r="K129" s="698"/>
      <c r="L129" s="698"/>
      <c r="M129" s="698"/>
      <c r="N129" s="698"/>
      <c r="O129" s="698"/>
      <c r="P129" s="698"/>
      <c r="Q129" s="698"/>
      <c r="R129" s="698"/>
      <c r="S129" s="698"/>
      <c r="T129" s="465" cm="1" t="str">
        <f t="array" ref="T129:T129">T128</f>
        <v>true</v>
      </c>
      <c r="U129" s="588"/>
      <c r="V129" s="588"/>
      <c r="W129" s="588"/>
      <c r="X129" s="1641"/>
      <c r="Y129" s="588"/>
      <c r="Z129" s="1642"/>
      <c r="AA129" s="588"/>
      <c r="AB129" s="804" t="s">
        <v>1637</v>
      </c>
      <c r="AC129" s="805" t="s">
        <v>2468</v>
      </c>
      <c r="AD129" s="590" t="s">
        <v>1514</v>
      </c>
      <c r="AE129" s="801">
        <f>AE130+AE131</f>
        <v>0</v>
      </c>
      <c r="AF129" s="801">
        <f>AF130+AF131</f>
        <v>0</v>
      </c>
      <c r="AG129" s="801">
        <f>AG130+AG131</f>
        <v>0</v>
      </c>
      <c r="AH129" s="801">
        <f>AG129-AF129</f>
        <v>0</v>
      </c>
      <c r="AI129" s="801">
        <f>AI130+AI131</f>
        <v>0</v>
      </c>
      <c r="AJ129" s="801">
        <f>AJ130+AJ131</f>
        <v>103317.620081024</v>
      </c>
      <c r="AK129" s="801">
        <f>AK130+AK131</f>
        <v>103317.620081024</v>
      </c>
      <c r="AL129" s="801">
        <f>IF(AI129=0,0,(AK129-AI129)/AI129*100)</f>
        <v>0</v>
      </c>
      <c r="AM129" s="806"/>
      <c r="AN129" s="806"/>
      <c r="AO129" s="806"/>
      <c r="AP129" s="588"/>
      <c r="AQ129" s="588"/>
      <c r="AR129" s="1063" t="s">
        <v>2469</v>
      </c>
      <c r="AS129" s="1063"/>
      <c r="AT129" s="1063"/>
      <c r="AU129" s="697"/>
      <c r="AV129" s="697"/>
    </row>
    <row s="1834" customFormat="1" customHeight="1" ht="14.25">
      <c r="A130" s="1741"/>
      <c r="B130" s="1741"/>
      <c r="C130" s="1741"/>
      <c r="D130" s="1741"/>
      <c r="E130" s="695">
        <v>15</v>
      </c>
      <c r="F130" s="50" cm="1" t="str">
        <f t="array" ref="F130:F130">OFFSET(E130,-1,1)</f>
        <v>1</v>
      </c>
      <c r="G130" s="699" t="s">
        <v>1866</v>
      </c>
      <c r="H130" s="1741"/>
      <c r="I130" s="587" t="s">
        <v>2095</v>
      </c>
      <c r="J130" s="587"/>
      <c r="K130" s="587"/>
      <c r="L130" s="587"/>
      <c r="M130" s="587"/>
      <c r="N130" s="587"/>
      <c r="O130" s="587"/>
      <c r="P130" s="698"/>
      <c r="Q130" s="587"/>
      <c r="R130" s="587"/>
      <c r="S130" s="587"/>
      <c r="T130" s="465" cm="1" t="str">
        <f t="array" ref="T130:T130">T129</f>
        <v>true</v>
      </c>
      <c r="U130" s="1741"/>
      <c r="V130" s="1741"/>
      <c r="W130" s="1741"/>
      <c r="X130" s="1641"/>
      <c r="Y130" s="1741"/>
      <c r="Z130" s="1642"/>
      <c r="AA130" s="1741"/>
      <c r="AB130" s="807" t="s">
        <v>1752</v>
      </c>
      <c r="AC130" s="808" t="s">
        <v>2470</v>
      </c>
      <c r="AD130" s="759" t="s">
        <v>1514</v>
      </c>
      <c r="AE130" s="802">
        <f>_xlfn.SUMIFS(ФОТ!AE$25:AE$188,ФОТ!$F$25:$F$188,$F130,ФОТ!$G$25:$G$188,$G130)</f>
        <v>0</v>
      </c>
      <c r="AF130" s="802">
        <f>_xlfn.SUMIFS(ФОТ!AF$25:AF$188,ФОТ!$F$25:$F$188,$F130,ФОТ!$G$25:$G$188,$G130)</f>
        <v>0</v>
      </c>
      <c r="AG130" s="802">
        <f>_xlfn.SUMIFS(ФОТ!AG$25:AG$188,ФОТ!$F$25:$F$188,$F130,ФОТ!$G$25:$G$188,$G130)</f>
        <v>0</v>
      </c>
      <c r="AH130" s="802">
        <f>AG130-AF130</f>
        <v>0</v>
      </c>
      <c r="AI130" s="802">
        <f>_xlfn.SUMIFS(ФОТ!AH$25:AH$188,ФОТ!$F$25:$F$188,$F130,ФОТ!$G$25:$G$188,$G130)</f>
        <v>0</v>
      </c>
      <c r="AJ130" s="802">
        <f>_xlfn.SUMIFS(ФОТ!AI$25:AI$188,ФОТ!$F$25:$F$188,$F130,ФОТ!$G$25:$G$188,$G130)</f>
        <v>79353.0108149184</v>
      </c>
      <c r="AK130" s="802">
        <f>_xlfn.SUMIFS(ФОТ!AJ$25:AJ$188,ФОТ!$F$25:$F$188,$F130,ФОТ!$G$25:$G$188,$G130)</f>
        <v>79353.0108149184</v>
      </c>
      <c r="AL130" s="802">
        <f>IF(AI130=0,0,(AK130-AI130)/AI130*100)</f>
        <v>0</v>
      </c>
      <c r="AM130" s="803"/>
      <c r="AN130" s="910" t="str">
        <f>IF(_xlfn.IFERROR(INDEX(ФОТ!$K$26:$L$188,MATCH($F130&amp;"1komm",ФОТ!$K$26:$K$188,0),2),"")=0,"",_xlfn.IFERROR(INDEX(ФОТ!$K$26:$L$188,MATCH($F130&amp;"1komm",ФОТ!$K$26:$K$188,0),2),""))</f>
        <v>по предложению организации в соответствии со штатным расписанием.</v>
      </c>
      <c r="AO130" s="803"/>
      <c r="AP130" s="1741"/>
      <c r="AQ130" s="1741"/>
      <c r="AR130" s="1062" t="s">
        <v>2471</v>
      </c>
      <c r="AS130" s="1062"/>
      <c r="AT130" s="1062"/>
      <c r="AU130" s="1059"/>
      <c r="AV130" s="1059"/>
    </row>
    <row s="1834" customFormat="1" customHeight="1" ht="21.75">
      <c r="A131" s="1741"/>
      <c r="B131" s="1741"/>
      <c r="C131" s="1741"/>
      <c r="D131" s="1741"/>
      <c r="E131" s="695">
        <v>22.5</v>
      </c>
      <c r="F131" s="50" cm="1" t="str">
        <f t="array" ref="F131:F131">OFFSET(E131,-1,1)</f>
        <v>1</v>
      </c>
      <c r="G131" s="699" t="s">
        <v>1878</v>
      </c>
      <c r="H131" s="1741"/>
      <c r="I131" s="587" t="s">
        <v>2096</v>
      </c>
      <c r="J131" s="587"/>
      <c r="K131" s="587"/>
      <c r="L131" s="587"/>
      <c r="M131" s="587"/>
      <c r="N131" s="587"/>
      <c r="O131" s="587"/>
      <c r="P131" s="698"/>
      <c r="Q131" s="587"/>
      <c r="R131" s="587"/>
      <c r="S131" s="587"/>
      <c r="T131" s="465" cm="1" t="str">
        <f t="array" ref="T131:T131">T130</f>
        <v>true</v>
      </c>
      <c r="U131" s="1741"/>
      <c r="V131" s="1741"/>
      <c r="W131" s="1741"/>
      <c r="X131" s="1641"/>
      <c r="Y131" s="1741"/>
      <c r="Z131" s="1642"/>
      <c r="AA131" s="1741"/>
      <c r="AB131" s="807" t="s">
        <v>1755</v>
      </c>
      <c r="AC131" s="808" t="s">
        <v>2472</v>
      </c>
      <c r="AD131" s="759" t="s">
        <v>1514</v>
      </c>
      <c r="AE131" s="802">
        <f>_xlfn.SUMIFS(ФОТ!AE$25:AE$188,ФОТ!$F$25:$F$188,$F131,ФОТ!$G$25:$G$188,$G131)</f>
        <v>0</v>
      </c>
      <c r="AF131" s="802">
        <f>_xlfn.SUMIFS(ФОТ!AF$25:AF$188,ФОТ!$F$25:$F$188,$F131,ФОТ!$G$25:$G$188,$G131)</f>
        <v>0</v>
      </c>
      <c r="AG131" s="802">
        <f>_xlfn.SUMIFS(ФОТ!AG$25:AG$188,ФОТ!$F$25:$F$188,$F131,ФОТ!$G$25:$G$188,$G131)</f>
        <v>0</v>
      </c>
      <c r="AH131" s="802">
        <f>AG131-AF131</f>
        <v>0</v>
      </c>
      <c r="AI131" s="802">
        <f>_xlfn.SUMIFS(ФОТ!AH$25:AH$188,ФОТ!$F$25:$F$188,$F131,ФОТ!$G$25:$G$188,$G131)</f>
        <v>0</v>
      </c>
      <c r="AJ131" s="802">
        <f>_xlfn.SUMIFS(ФОТ!AI$25:AI$188,ФОТ!$F$25:$F$188,$F131,ФОТ!$G$25:$G$188,$G131)</f>
        <v>23964.6092661054</v>
      </c>
      <c r="AK131" s="802">
        <f>_xlfn.SUMIFS(ФОТ!AJ$25:AJ$188,ФОТ!$F$25:$F$188,$F131,ФОТ!$G$25:$G$188,$G131)</f>
        <v>23964.6092661054</v>
      </c>
      <c r="AL131" s="802">
        <f>IF(AI131=0,0,(AK131-AI131)/AI131*100)</f>
        <v>0</v>
      </c>
      <c r="AM131" s="803"/>
      <c r="AN131" s="910" t="str">
        <f>IF(_xlfn.IFERROR(INDEX(ФОТ!$K$26:$L$188,MATCH($F131&amp;"2komm",ФОТ!$K$26:$K$188,0),2),"")=0,"",_xlfn.IFERROR(INDEX(ФОТ!$K$26:$L$188,MATCH($F131&amp;"2komm",ФОТ!$K$26:$K$188,0),2),""))</f>
        <v>на основании Налогового кодекса РФ (часть вторая) от 05.08.2000 № 117-ФЗ в размере 30%, а также в соответствии с Федеральным законом от 24.07.1998 № 125 – ФЗ (0,20%).</v>
      </c>
      <c r="AO131" s="803"/>
      <c r="AP131" s="1741"/>
      <c r="AQ131" s="1741"/>
      <c r="AR131" s="1062" t="s">
        <v>2473</v>
      </c>
      <c r="AS131" s="1062"/>
      <c r="AT131" s="1062"/>
      <c r="AU131" s="1059"/>
      <c r="AV131" s="1059"/>
    </row>
    <row s="7211" customFormat="1" customHeight="1" ht="14.25">
      <c r="A132" s="588"/>
      <c r="B132" s="588"/>
      <c r="C132" s="588"/>
      <c r="D132" s="588"/>
      <c r="E132" s="697">
        <v>15</v>
      </c>
      <c r="F132" s="50" cm="1" t="str">
        <f t="array" ref="F132:F132">OFFSET(E132,-1,1)</f>
        <v>1</v>
      </c>
      <c r="G132" s="588"/>
      <c r="H132" s="588"/>
      <c r="I132" s="698" t="s">
        <v>1640</v>
      </c>
      <c r="J132" s="698"/>
      <c r="K132" s="698"/>
      <c r="L132" s="698"/>
      <c r="M132" s="698"/>
      <c r="N132" s="698"/>
      <c r="O132" s="698"/>
      <c r="P132" s="698"/>
      <c r="Q132" s="698"/>
      <c r="R132" s="698"/>
      <c r="S132" s="698"/>
      <c r="T132" s="465" cm="1" t="str">
        <f t="array" ref="T132:T132">T131</f>
        <v>true</v>
      </c>
      <c r="U132" s="588"/>
      <c r="V132" s="588"/>
      <c r="W132" s="588"/>
      <c r="X132" s="1641"/>
      <c r="Y132" s="588"/>
      <c r="Z132" s="1642"/>
      <c r="AA132" s="588"/>
      <c r="AB132" s="804" t="s">
        <v>1641</v>
      </c>
      <c r="AC132" s="805" t="s">
        <v>2474</v>
      </c>
      <c r="AD132" s="590" t="s">
        <v>1514</v>
      </c>
      <c r="AE132" s="7165"/>
      <c r="AF132" s="7165"/>
      <c r="AG132" s="7165"/>
      <c r="AH132" s="801">
        <f>AG132-AF132</f>
        <v>0</v>
      </c>
      <c r="AI132" s="7165"/>
      <c r="AJ132" s="810"/>
      <c r="AK132" s="810"/>
      <c r="AL132" s="801">
        <f>IF(AI132=0,0,(AK132-AI132)/AI132*100)</f>
        <v>0</v>
      </c>
      <c r="AM132" s="806"/>
      <c r="AN132" s="806"/>
      <c r="AO132" s="806"/>
      <c r="AP132" s="588"/>
      <c r="AQ132" s="588"/>
      <c r="AR132" s="1063" t="s">
        <v>2074</v>
      </c>
      <c r="AS132" s="1063"/>
      <c r="AT132" s="1063"/>
      <c r="AU132" s="697"/>
      <c r="AV132" s="697"/>
    </row>
    <row s="7212" customFormat="1" customHeight="1" ht="14.25">
      <c r="A133" s="588"/>
      <c r="B133" s="588"/>
      <c r="C133" s="588"/>
      <c r="D133" s="588"/>
      <c r="E133" s="697">
        <v>15</v>
      </c>
      <c r="F133" s="50" cm="1" t="str">
        <f t="array" ref="F133:F133">OFFSET(E133,-1,1)</f>
        <v>1</v>
      </c>
      <c r="G133" s="588"/>
      <c r="H133" s="588"/>
      <c r="I133" s="698" t="s">
        <v>2475</v>
      </c>
      <c r="J133" s="698"/>
      <c r="K133" s="698"/>
      <c r="L133" s="698"/>
      <c r="M133" s="698"/>
      <c r="N133" s="698"/>
      <c r="O133" s="698"/>
      <c r="P133" s="698"/>
      <c r="Q133" s="698"/>
      <c r="R133" s="698"/>
      <c r="S133" s="698"/>
      <c r="T133" s="465" cm="1" t="str">
        <f t="array" ref="T133:T133">T132</f>
        <v>true</v>
      </c>
      <c r="U133" s="588"/>
      <c r="V133" s="588"/>
      <c r="W133" s="588"/>
      <c r="X133" s="1641"/>
      <c r="Y133" s="588"/>
      <c r="Z133" s="1642"/>
      <c r="AA133" s="588"/>
      <c r="AB133" s="804" t="s">
        <v>2476</v>
      </c>
      <c r="AC133" s="805" t="s">
        <v>2477</v>
      </c>
      <c r="AD133" s="590" t="s">
        <v>1514</v>
      </c>
      <c r="AE133" s="7165"/>
      <c r="AF133" s="7165"/>
      <c r="AG133" s="7165"/>
      <c r="AH133" s="801">
        <f>AG133-AF133</f>
        <v>0</v>
      </c>
      <c r="AI133" s="7165"/>
      <c r="AJ133" s="810"/>
      <c r="AK133" s="810"/>
      <c r="AL133" s="801">
        <f>IF(AI133=0,0,(AK133-AI133)/AI133*100)</f>
        <v>0</v>
      </c>
      <c r="AM133" s="806"/>
      <c r="AN133" s="806"/>
      <c r="AO133" s="806"/>
      <c r="AP133" s="588"/>
      <c r="AQ133" s="588"/>
      <c r="AR133" s="1063" t="s">
        <v>2478</v>
      </c>
      <c r="AS133" s="1063"/>
      <c r="AT133" s="1063"/>
      <c r="AU133" s="697"/>
      <c r="AV133" s="697"/>
    </row>
    <row s="7213" customFormat="1" customHeight="1" ht="14.25">
      <c r="A134" s="588"/>
      <c r="B134" s="588"/>
      <c r="C134" s="588"/>
      <c r="D134" s="588"/>
      <c r="E134" s="697">
        <v>15</v>
      </c>
      <c r="F134" s="50" cm="1" t="str">
        <f t="array" ref="F134:F134">OFFSET(E134,-1,1)</f>
        <v>1</v>
      </c>
      <c r="G134" s="588"/>
      <c r="H134" s="588"/>
      <c r="I134" s="698" t="s">
        <v>2479</v>
      </c>
      <c r="J134" s="698"/>
      <c r="K134" s="698"/>
      <c r="L134" s="698"/>
      <c r="M134" s="698"/>
      <c r="N134" s="698"/>
      <c r="O134" s="698"/>
      <c r="P134" s="698"/>
      <c r="Q134" s="698"/>
      <c r="R134" s="698"/>
      <c r="S134" s="698"/>
      <c r="T134" s="465" cm="1" t="str">
        <f t="array" ref="T134:T134">T133</f>
        <v>true</v>
      </c>
      <c r="U134" s="588"/>
      <c r="V134" s="588"/>
      <c r="W134" s="588"/>
      <c r="X134" s="1641"/>
      <c r="Y134" s="588"/>
      <c r="Z134" s="1642"/>
      <c r="AA134" s="588"/>
      <c r="AB134" s="804" t="s">
        <v>2480</v>
      </c>
      <c r="AC134" s="805" t="s">
        <v>2481</v>
      </c>
      <c r="AD134" s="590" t="s">
        <v>1514</v>
      </c>
      <c r="AE134" s="801">
        <f>SUM(AE135:AE140)</f>
        <v>0</v>
      </c>
      <c r="AF134" s="801">
        <f>SUM(AF135:AF140)</f>
        <v>0</v>
      </c>
      <c r="AG134" s="801">
        <f>SUM(AG135:AG140)</f>
        <v>0</v>
      </c>
      <c r="AH134" s="801">
        <f>AG134-AF134</f>
        <v>0</v>
      </c>
      <c r="AI134" s="801">
        <f>SUM(AI135:AI140)</f>
        <v>0</v>
      </c>
      <c r="AJ134" s="801">
        <f>SUM(AJ135:AJ140)</f>
        <v>0</v>
      </c>
      <c r="AK134" s="801">
        <f>SUM(AK135:AK140)</f>
        <v>0</v>
      </c>
      <c r="AL134" s="801">
        <f>IF(AI134=0,0,(AK134-AI134)/AI134*100)</f>
        <v>0</v>
      </c>
      <c r="AM134" s="806"/>
      <c r="AN134" s="806"/>
      <c r="AO134" s="806"/>
      <c r="AP134" s="588"/>
      <c r="AQ134" s="588"/>
      <c r="AR134" s="1063" t="s">
        <v>2482</v>
      </c>
      <c r="AS134" s="1063"/>
      <c r="AT134" s="1063"/>
      <c r="AU134" s="697"/>
      <c r="AV134" s="697"/>
    </row>
    <row s="1834" customFormat="1" customHeight="1" ht="14.25">
      <c r="A135" s="1741"/>
      <c r="B135" s="1741"/>
      <c r="C135" s="1741"/>
      <c r="D135" s="1741"/>
      <c r="E135" s="695">
        <v>15</v>
      </c>
      <c r="F135" s="50" cm="1" t="str">
        <f t="array" ref="F135:F135">OFFSET(E135,-1,1)</f>
        <v>1</v>
      </c>
      <c r="G135" s="1741"/>
      <c r="H135" s="1741"/>
      <c r="I135" s="587" t="s">
        <v>2479</v>
      </c>
      <c r="J135" s="986" t="s">
        <v>2483</v>
      </c>
      <c r="K135" s="1741"/>
      <c r="L135" s="587"/>
      <c r="M135" s="587"/>
      <c r="N135" s="587"/>
      <c r="O135" s="587"/>
      <c r="P135" s="587"/>
      <c r="Q135" s="587"/>
      <c r="R135" s="587"/>
      <c r="S135" s="587"/>
      <c r="T135" s="465" cm="1" t="str">
        <f t="array" ref="T135:T135">T134</f>
        <v>true</v>
      </c>
      <c r="U135" s="1741"/>
      <c r="V135" s="1741"/>
      <c r="W135" s="1741"/>
      <c r="X135" s="1641"/>
      <c r="Y135" s="1741"/>
      <c r="Z135" s="1642"/>
      <c r="AA135" s="1741"/>
      <c r="AB135" s="807" t="s">
        <v>2484</v>
      </c>
      <c r="AC135" s="808" t="s">
        <v>2485</v>
      </c>
      <c r="AD135" s="759" t="s">
        <v>1514</v>
      </c>
      <c r="AE135" s="7168"/>
      <c r="AF135" s="7168"/>
      <c r="AG135" s="7168"/>
      <c r="AH135" s="802">
        <f>AG135-AF135</f>
        <v>0</v>
      </c>
      <c r="AI135" s="7168"/>
      <c r="AJ135" s="809"/>
      <c r="AK135" s="809"/>
      <c r="AL135" s="802">
        <f>IF(AI135=0,0,(AK135-AI135)/AI135*100)</f>
        <v>0</v>
      </c>
      <c r="AM135" s="803"/>
      <c r="AN135" s="803"/>
      <c r="AO135" s="803"/>
      <c r="AP135" s="1741"/>
      <c r="AQ135" s="1741"/>
      <c r="AR135" s="1062" t="s">
        <v>2486</v>
      </c>
      <c r="AS135" s="1062"/>
      <c r="AT135" s="1062"/>
      <c r="AU135" s="1059"/>
      <c r="AV135" s="1059"/>
    </row>
    <row s="1834" customFormat="1" customHeight="1" ht="14.25">
      <c r="A136" s="1741"/>
      <c r="B136" s="1741"/>
      <c r="C136" s="1741"/>
      <c r="D136" s="1741"/>
      <c r="E136" s="695">
        <v>15</v>
      </c>
      <c r="F136" s="50" cm="1" t="str">
        <f t="array" ref="F136:F136">OFFSET(E136,-1,1)</f>
        <v>1</v>
      </c>
      <c r="G136" s="1741"/>
      <c r="H136" s="1741"/>
      <c r="I136" s="587" t="s">
        <v>2479</v>
      </c>
      <c r="J136" s="986" t="s">
        <v>2487</v>
      </c>
      <c r="K136" s="1741"/>
      <c r="L136" s="587"/>
      <c r="M136" s="587"/>
      <c r="N136" s="587"/>
      <c r="O136" s="587"/>
      <c r="P136" s="587"/>
      <c r="Q136" s="587"/>
      <c r="R136" s="587"/>
      <c r="S136" s="587"/>
      <c r="T136" s="465" cm="1" t="str">
        <f t="array" ref="T136:T136">T135</f>
        <v>true</v>
      </c>
      <c r="U136" s="1741"/>
      <c r="V136" s="1741"/>
      <c r="W136" s="1741"/>
      <c r="X136" s="1641"/>
      <c r="Y136" s="1741"/>
      <c r="Z136" s="1642"/>
      <c r="AA136" s="1741"/>
      <c r="AB136" s="807" t="s">
        <v>2488</v>
      </c>
      <c r="AC136" s="808" t="s">
        <v>2489</v>
      </c>
      <c r="AD136" s="759" t="s">
        <v>1514</v>
      </c>
      <c r="AE136" s="7168"/>
      <c r="AF136" s="7168"/>
      <c r="AG136" s="7168"/>
      <c r="AH136" s="802">
        <f>AG136-AF136</f>
        <v>0</v>
      </c>
      <c r="AI136" s="7168"/>
      <c r="AJ136" s="809"/>
      <c r="AK136" s="809"/>
      <c r="AL136" s="802">
        <f>IF(AI136=0,0,(AK136-AI136)/AI136*100)</f>
        <v>0</v>
      </c>
      <c r="AM136" s="803"/>
      <c r="AN136" s="803"/>
      <c r="AO136" s="803"/>
      <c r="AP136" s="1741"/>
      <c r="AQ136" s="1741"/>
      <c r="AR136" s="1062" t="s">
        <v>2490</v>
      </c>
      <c r="AS136" s="1062"/>
      <c r="AT136" s="1062"/>
      <c r="AU136" s="1059"/>
      <c r="AV136" s="1059"/>
    </row>
    <row s="1834" customFormat="1" customHeight="1" ht="14.25">
      <c r="A137" s="1741"/>
      <c r="B137" s="1741"/>
      <c r="C137" s="1741"/>
      <c r="D137" s="1741"/>
      <c r="E137" s="695">
        <v>15</v>
      </c>
      <c r="F137" s="50" cm="1" t="str">
        <f t="array" ref="F137:F137">OFFSET(E137,-1,1)</f>
        <v>1</v>
      </c>
      <c r="G137" s="1741"/>
      <c r="H137" s="1741"/>
      <c r="I137" s="587" t="s">
        <v>2479</v>
      </c>
      <c r="J137" s="986" t="s">
        <v>2491</v>
      </c>
      <c r="K137" s="1741"/>
      <c r="L137" s="587"/>
      <c r="M137" s="587"/>
      <c r="N137" s="587"/>
      <c r="O137" s="587"/>
      <c r="P137" s="587"/>
      <c r="Q137" s="587"/>
      <c r="R137" s="587"/>
      <c r="S137" s="587"/>
      <c r="T137" s="465" cm="1" t="str">
        <f t="array" ref="T137:T137">T136</f>
        <v>true</v>
      </c>
      <c r="U137" s="1741"/>
      <c r="V137" s="1741"/>
      <c r="W137" s="1741"/>
      <c r="X137" s="1641"/>
      <c r="Y137" s="1741"/>
      <c r="Z137" s="1642"/>
      <c r="AA137" s="1741"/>
      <c r="AB137" s="807" t="s">
        <v>2492</v>
      </c>
      <c r="AC137" s="808" t="s">
        <v>2493</v>
      </c>
      <c r="AD137" s="759" t="s">
        <v>1514</v>
      </c>
      <c r="AE137" s="7168"/>
      <c r="AF137" s="7168"/>
      <c r="AG137" s="7168"/>
      <c r="AH137" s="802">
        <f>AG137-AF137</f>
        <v>0</v>
      </c>
      <c r="AI137" s="7168"/>
      <c r="AJ137" s="809"/>
      <c r="AK137" s="809"/>
      <c r="AL137" s="802">
        <f>IF(AI137=0,0,(AK137-AI137)/AI137*100)</f>
        <v>0</v>
      </c>
      <c r="AM137" s="803"/>
      <c r="AN137" s="803"/>
      <c r="AO137" s="803"/>
      <c r="AP137" s="1741"/>
      <c r="AQ137" s="1741"/>
      <c r="AR137" s="1062" t="s">
        <v>2494</v>
      </c>
      <c r="AS137" s="1062"/>
      <c r="AT137" s="1062"/>
      <c r="AU137" s="1059"/>
      <c r="AV137" s="1059"/>
    </row>
    <row s="1834" customFormat="1" customHeight="1" ht="14.25">
      <c r="A138" s="1741"/>
      <c r="B138" s="1741"/>
      <c r="C138" s="1741"/>
      <c r="D138" s="1741"/>
      <c r="E138" s="695">
        <v>15</v>
      </c>
      <c r="F138" s="50" cm="1" t="str">
        <f t="array" ref="F138:F138">OFFSET(E138,-1,1)</f>
        <v>1</v>
      </c>
      <c r="G138" s="1741"/>
      <c r="H138" s="1741"/>
      <c r="I138" s="587" t="s">
        <v>2479</v>
      </c>
      <c r="J138" s="986" t="s">
        <v>2495</v>
      </c>
      <c r="K138" s="1741"/>
      <c r="L138" s="587"/>
      <c r="M138" s="587"/>
      <c r="N138" s="587"/>
      <c r="O138" s="587"/>
      <c r="P138" s="587"/>
      <c r="Q138" s="587"/>
      <c r="R138" s="587"/>
      <c r="S138" s="587"/>
      <c r="T138" s="465" cm="1" t="str">
        <f t="array" ref="T138:T138">T137</f>
        <v>true</v>
      </c>
      <c r="U138" s="1741"/>
      <c r="V138" s="1741"/>
      <c r="W138" s="1741"/>
      <c r="X138" s="1641"/>
      <c r="Y138" s="1741"/>
      <c r="Z138" s="1642"/>
      <c r="AA138" s="1741"/>
      <c r="AB138" s="807" t="s">
        <v>2496</v>
      </c>
      <c r="AC138" s="808" t="s">
        <v>2497</v>
      </c>
      <c r="AD138" s="759" t="s">
        <v>1514</v>
      </c>
      <c r="AE138" s="7168"/>
      <c r="AF138" s="7168"/>
      <c r="AG138" s="7168"/>
      <c r="AH138" s="802">
        <f>AG138-AF138</f>
        <v>0</v>
      </c>
      <c r="AI138" s="7168"/>
      <c r="AJ138" s="809"/>
      <c r="AK138" s="809"/>
      <c r="AL138" s="802">
        <f>IF(AI138=0,0,(AK138-AI138)/AI138*100)</f>
        <v>0</v>
      </c>
      <c r="AM138" s="803"/>
      <c r="AN138" s="803"/>
      <c r="AO138" s="803"/>
      <c r="AP138" s="1741"/>
      <c r="AQ138" s="1741"/>
      <c r="AR138" s="1062" t="s">
        <v>2498</v>
      </c>
      <c r="AS138" s="1062"/>
      <c r="AT138" s="1062"/>
      <c r="AU138" s="1059"/>
      <c r="AV138" s="1059"/>
    </row>
    <row s="1834" customFormat="1" customHeight="1" ht="14.25" hidden="1">
      <c r="A139" s="1741"/>
      <c r="B139" s="1741"/>
      <c r="C139" s="1741"/>
      <c r="D139" s="1741"/>
      <c r="E139" s="695">
        <v>15</v>
      </c>
      <c r="F139" s="50" cm="1" t="str">
        <f t="array" ref="F139:F139">OFFSET(E139,-1,1)</f>
        <v>1</v>
      </c>
      <c r="G139" s="1741"/>
      <c r="H139" s="1741"/>
      <c r="I139" s="587" t="s">
        <v>2479</v>
      </c>
      <c r="J139" s="577" cm="1" t="str">
        <f t="array" ref="J139:J139">AC139</f>
        <v>0</v>
      </c>
      <c r="K139" s="1741"/>
      <c r="L139" s="587"/>
      <c r="M139" s="587"/>
      <c r="N139" s="587"/>
      <c r="O139" s="587"/>
      <c r="P139" s="587"/>
      <c r="Q139" s="587"/>
      <c r="R139" s="587"/>
      <c r="S139" s="587"/>
      <c r="T139" s="465">
        <f>AND(F139&gt;0,Y139&gt;4)</f>
        <v>0</v>
      </c>
      <c r="U139" s="1741"/>
      <c r="V139" s="1741"/>
      <c r="W139" s="757" t="s">
        <v>174</v>
      </c>
      <c r="X139" s="1641"/>
      <c r="Y139" s="577">
        <v>4</v>
      </c>
      <c r="Z139" s="1642"/>
      <c r="AA139" s="1228" t="s">
        <v>175</v>
      </c>
      <c r="AB139" s="701" t="str">
        <f>"1.7."&amp;Y139</f>
        <v>1.7.4</v>
      </c>
      <c r="AC139" s="7171"/>
      <c r="AD139" s="759" t="s">
        <v>1514</v>
      </c>
      <c r="AE139" s="7168"/>
      <c r="AF139" s="7168"/>
      <c r="AG139" s="7168"/>
      <c r="AH139" s="802">
        <f>AG139-AF139</f>
        <v>0</v>
      </c>
      <c r="AI139" s="7168"/>
      <c r="AJ139" s="7172"/>
      <c r="AK139" s="7172"/>
      <c r="AL139" s="802">
        <f>IF(AI139=0,0,(AK139-AI139)/AI139*100)</f>
        <v>0</v>
      </c>
      <c r="AM139" s="5154"/>
      <c r="AN139" s="5154"/>
      <c r="AO139" s="5154"/>
      <c r="AP139" s="1741"/>
      <c r="AQ139" s="1741"/>
      <c r="AR139" s="1062" t="s">
        <v>2499</v>
      </c>
      <c r="AS139" s="1062" t="s">
        <v>1855</v>
      </c>
      <c r="AT139" s="1060" cm="1" t="str">
        <f t="array" ref="AT139:AT139">AC139</f>
        <v>0</v>
      </c>
      <c r="AU139" s="1059"/>
      <c r="AV139" s="695" t="b">
        <v>1</v>
      </c>
    </row>
    <row s="1834" customFormat="1" customHeight="1" ht="14.25">
      <c r="A140" s="1741"/>
      <c r="B140" s="1741"/>
      <c r="C140" s="1741"/>
      <c r="D140" s="1741"/>
      <c r="E140" s="695">
        <v>15</v>
      </c>
      <c r="F140" s="50" cm="1" t="str">
        <f t="array" ref="F140:F140">OFFSET(E140,-1,1)</f>
        <v>1</v>
      </c>
      <c r="G140" s="1741"/>
      <c r="H140" s="1741"/>
      <c r="I140" s="696"/>
      <c r="J140" s="696" t="s">
        <v>2500</v>
      </c>
      <c r="K140" s="696"/>
      <c r="L140" s="696"/>
      <c r="M140" s="696"/>
      <c r="N140" s="696"/>
      <c r="O140" s="696"/>
      <c r="P140" s="696"/>
      <c r="Q140" s="696"/>
      <c r="R140" s="696"/>
      <c r="S140" s="696"/>
      <c r="T140" s="465">
        <f>F140&gt;0</f>
        <v>1</v>
      </c>
      <c r="U140" s="1741"/>
      <c r="V140" s="1741"/>
      <c r="W140" s="829" t="s">
        <v>399</v>
      </c>
      <c r="X140" s="1641"/>
      <c r="Y140" s="1741"/>
      <c r="Z140" s="1642"/>
      <c r="AA140" s="1741"/>
      <c r="AB140" s="1229"/>
      <c r="AC140" s="1230" t="s">
        <v>178</v>
      </c>
      <c r="AD140" s="1231"/>
      <c r="AE140" s="1231"/>
      <c r="AF140" s="1231"/>
      <c r="AG140" s="1231"/>
      <c r="AH140" s="1231"/>
      <c r="AI140" s="1231"/>
      <c r="AJ140" s="1231"/>
      <c r="AK140" s="1231"/>
      <c r="AL140" s="1231"/>
      <c r="AM140" s="1231"/>
      <c r="AN140" s="1231"/>
      <c r="AO140" s="1232"/>
      <c r="AP140" s="1741"/>
      <c r="AQ140" s="1741"/>
      <c r="AR140" s="1062"/>
      <c r="AS140" s="1062"/>
      <c r="AT140" s="1062"/>
      <c r="AU140" s="1059" t="s">
        <v>1855</v>
      </c>
      <c r="AV140" s="1059"/>
    </row>
    <row s="7229" customFormat="1" customHeight="1" ht="14.25">
      <c r="A141" s="588"/>
      <c r="B141" s="588"/>
      <c r="C141" s="588"/>
      <c r="D141" s="588"/>
      <c r="E141" s="697">
        <v>15</v>
      </c>
      <c r="F141" s="50" cm="1" t="str">
        <f t="array" ref="F141:F141">OFFSET(E141,-1,1)</f>
        <v>1</v>
      </c>
      <c r="G141" s="588"/>
      <c r="H141" s="588"/>
      <c r="I141" s="698" t="s">
        <v>333</v>
      </c>
      <c r="J141" s="698"/>
      <c r="K141" s="698"/>
      <c r="L141" s="698"/>
      <c r="M141" s="698"/>
      <c r="N141" s="698"/>
      <c r="O141" s="698"/>
      <c r="P141" s="698"/>
      <c r="Q141" s="698"/>
      <c r="R141" s="698"/>
      <c r="S141" s="698"/>
      <c r="T141" s="465" cm="1" t="str">
        <f t="array" ref="T141:T141">T140</f>
        <v>true</v>
      </c>
      <c r="U141" s="588"/>
      <c r="V141" s="588"/>
      <c r="W141" s="588"/>
      <c r="X141" s="1641"/>
      <c r="Y141" s="588"/>
      <c r="Z141" s="1642"/>
      <c r="AA141" s="588"/>
      <c r="AB141" s="804" t="s">
        <v>285</v>
      </c>
      <c r="AC141" s="800" t="s">
        <v>2501</v>
      </c>
      <c r="AD141" s="812" t="s">
        <v>1514</v>
      </c>
      <c r="AE141" s="788">
        <f>AE142+AE143</f>
        <v>0</v>
      </c>
      <c r="AF141" s="788">
        <f>AF142+AF143</f>
        <v>0</v>
      </c>
      <c r="AG141" s="788">
        <f>AG142+AG143</f>
        <v>0</v>
      </c>
      <c r="AH141" s="801">
        <f>AG141-AF141</f>
        <v>0</v>
      </c>
      <c r="AI141" s="788">
        <f>AI142+AI143</f>
        <v>0</v>
      </c>
      <c r="AJ141" s="788">
        <f>AJ142+AJ143</f>
        <v>0</v>
      </c>
      <c r="AK141" s="788">
        <f>AK142+AK143</f>
        <v>0</v>
      </c>
      <c r="AL141" s="801">
        <f>IF(AI141=0,0,(AK141-AI141)/AI141*100)</f>
        <v>0</v>
      </c>
      <c r="AM141" s="806"/>
      <c r="AN141" s="806"/>
      <c r="AO141" s="806"/>
      <c r="AP141" s="588"/>
      <c r="AQ141" s="588"/>
      <c r="AR141" s="1063" t="s">
        <v>2502</v>
      </c>
      <c r="AS141" s="1063"/>
      <c r="AT141" s="1063"/>
      <c r="AU141" s="697"/>
      <c r="AV141" s="697"/>
    </row>
    <row s="1834" customFormat="1" customHeight="1" ht="32.25">
      <c r="A142" s="1741"/>
      <c r="B142" s="1741"/>
      <c r="C142" s="1741"/>
      <c r="D142" s="1741"/>
      <c r="E142" s="695">
        <v>33.75</v>
      </c>
      <c r="F142" s="50" cm="1" t="str">
        <f t="array" ref="F142:F142">OFFSET(E142,-1,1)</f>
        <v>1</v>
      </c>
      <c r="G142" s="1741"/>
      <c r="H142" s="1741"/>
      <c r="I142" s="587" t="s">
        <v>1193</v>
      </c>
      <c r="J142" s="587"/>
      <c r="K142" s="587"/>
      <c r="L142" s="587"/>
      <c r="M142" s="587"/>
      <c r="N142" s="587"/>
      <c r="O142" s="587"/>
      <c r="P142" s="587"/>
      <c r="Q142" s="587"/>
      <c r="R142" s="587"/>
      <c r="S142" s="587"/>
      <c r="T142" s="465" cm="1" t="str">
        <f t="array" ref="T142:T142">T141</f>
        <v>true</v>
      </c>
      <c r="U142" s="1741"/>
      <c r="V142" s="1741"/>
      <c r="W142" s="1741"/>
      <c r="X142" s="1641"/>
      <c r="Y142" s="1741"/>
      <c r="Z142" s="1642"/>
      <c r="AA142" s="1741"/>
      <c r="AB142" s="807" t="s">
        <v>1250</v>
      </c>
      <c r="AC142" s="813" t="s">
        <v>2503</v>
      </c>
      <c r="AD142" s="814" t="s">
        <v>1514</v>
      </c>
      <c r="AE142" s="7168"/>
      <c r="AF142" s="7168"/>
      <c r="AG142" s="7168"/>
      <c r="AH142" s="802">
        <f>AG142-AF142</f>
        <v>0</v>
      </c>
      <c r="AI142" s="7168"/>
      <c r="AJ142" s="809"/>
      <c r="AK142" s="809"/>
      <c r="AL142" s="802">
        <f>IF(AI142=0,0,(AK142-AI142)/AI142*100)</f>
        <v>0</v>
      </c>
      <c r="AM142" s="803"/>
      <c r="AN142" s="803"/>
      <c r="AO142" s="803"/>
      <c r="AP142" s="1741"/>
      <c r="AQ142" s="1741"/>
      <c r="AR142" s="1062" t="s">
        <v>2504</v>
      </c>
      <c r="AS142" s="1062"/>
      <c r="AT142" s="1062"/>
      <c r="AU142" s="1059"/>
      <c r="AV142" s="1059"/>
    </row>
    <row s="1834" customFormat="1" customHeight="1" ht="34.5">
      <c r="A143" s="1741"/>
      <c r="B143" s="1741"/>
      <c r="C143" s="1741"/>
      <c r="D143" s="1741"/>
      <c r="E143" s="695">
        <v>36</v>
      </c>
      <c r="F143" s="50" cm="1" t="str">
        <f t="array" ref="F143:F143">OFFSET(E143,-1,1)</f>
        <v>1</v>
      </c>
      <c r="G143" s="1741"/>
      <c r="H143" s="1741"/>
      <c r="I143" s="587" t="s">
        <v>1196</v>
      </c>
      <c r="J143" s="587"/>
      <c r="K143" s="587"/>
      <c r="L143" s="587"/>
      <c r="M143" s="587"/>
      <c r="N143" s="587"/>
      <c r="O143" s="587"/>
      <c r="P143" s="587"/>
      <c r="Q143" s="587"/>
      <c r="R143" s="587"/>
      <c r="S143" s="587"/>
      <c r="T143" s="465" cm="1" t="str">
        <f t="array" ref="T143:T143">T142</f>
        <v>true</v>
      </c>
      <c r="U143" s="1741"/>
      <c r="V143" s="1741"/>
      <c r="W143" s="1741"/>
      <c r="X143" s="1641"/>
      <c r="Y143" s="1741"/>
      <c r="Z143" s="1642"/>
      <c r="AA143" s="1741"/>
      <c r="AB143" s="807" t="s">
        <v>1254</v>
      </c>
      <c r="AC143" s="813" t="s">
        <v>2505</v>
      </c>
      <c r="AD143" s="814" t="s">
        <v>1514</v>
      </c>
      <c r="AE143" s="815">
        <f>AE144+AE145</f>
        <v>0</v>
      </c>
      <c r="AF143" s="815">
        <f>AF144+AF145</f>
        <v>0</v>
      </c>
      <c r="AG143" s="815">
        <f>AG144+AG145</f>
        <v>0</v>
      </c>
      <c r="AH143" s="802">
        <f>AG143-AF143</f>
        <v>0</v>
      </c>
      <c r="AI143" s="815">
        <f>AI144+AI145</f>
        <v>0</v>
      </c>
      <c r="AJ143" s="815">
        <f>AJ144+AJ145</f>
        <v>0</v>
      </c>
      <c r="AK143" s="815">
        <f>AK144+AK145</f>
        <v>0</v>
      </c>
      <c r="AL143" s="802">
        <f>IF(AI143=0,0,(AK143-AI143)/AI143*100)</f>
        <v>0</v>
      </c>
      <c r="AM143" s="803"/>
      <c r="AN143" s="803"/>
      <c r="AO143" s="803"/>
      <c r="AP143" s="1741"/>
      <c r="AQ143" s="1741"/>
      <c r="AR143" s="1062" t="s">
        <v>2506</v>
      </c>
      <c r="AS143" s="1062"/>
      <c r="AT143" s="1062"/>
      <c r="AU143" s="1059"/>
      <c r="AV143" s="1059"/>
    </row>
    <row s="1834" customFormat="1" customHeight="1" ht="14.25">
      <c r="A144" s="1741"/>
      <c r="B144" s="1741"/>
      <c r="C144" s="1741"/>
      <c r="D144" s="1741"/>
      <c r="E144" s="695">
        <v>15</v>
      </c>
      <c r="F144" s="50" cm="1" t="str">
        <f t="array" ref="F144:F144">OFFSET(E144,-1,1)</f>
        <v>1</v>
      </c>
      <c r="G144" s="577" t="s">
        <v>1881</v>
      </c>
      <c r="H144" s="1741"/>
      <c r="I144" s="587" t="s">
        <v>2507</v>
      </c>
      <c r="J144" s="587"/>
      <c r="K144" s="587"/>
      <c r="L144" s="587"/>
      <c r="M144" s="587"/>
      <c r="N144" s="587"/>
      <c r="O144" s="587"/>
      <c r="P144" s="587"/>
      <c r="Q144" s="587"/>
      <c r="R144" s="587"/>
      <c r="S144" s="587"/>
      <c r="T144" s="465" cm="1" t="str">
        <f t="array" ref="T144:T144">T143</f>
        <v>true</v>
      </c>
      <c r="U144" s="1741"/>
      <c r="V144" s="1741"/>
      <c r="W144" s="1741"/>
      <c r="X144" s="1641"/>
      <c r="Y144" s="1741"/>
      <c r="Z144" s="1642"/>
      <c r="AA144" s="1741"/>
      <c r="AB144" s="807" t="s">
        <v>1207</v>
      </c>
      <c r="AC144" s="808" t="s">
        <v>2508</v>
      </c>
      <c r="AD144" s="814" t="s">
        <v>1514</v>
      </c>
      <c r="AE144" s="802">
        <f>_xlfn.SUMIFS(ФОТ!AE$25:AE$188,ФОТ!$F$25:$F$188,$F144,ФОТ!$G$25:$G$188,$G144)</f>
        <v>0</v>
      </c>
      <c r="AF144" s="802">
        <f>_xlfn.SUMIFS(ФОТ!AF$25:AF$188,ФОТ!$F$25:$F$188,$F144,ФОТ!$G$25:$G$188,$G144)</f>
        <v>0</v>
      </c>
      <c r="AG144" s="802">
        <f>_xlfn.SUMIFS(ФОТ!AG$25:AG$188,ФОТ!$F$25:$F$188,$F144,ФОТ!$G$25:$G$188,$G144)</f>
        <v>0</v>
      </c>
      <c r="AH144" s="802">
        <f>AG144-AF144</f>
        <v>0</v>
      </c>
      <c r="AI144" s="802">
        <f>_xlfn.SUMIFS(ФОТ!AH$25:AH$188,ФОТ!$F$25:$F$188,$F144,ФОТ!$G$25:$G$188,$G144)</f>
        <v>0</v>
      </c>
      <c r="AJ144" s="802">
        <f>_xlfn.SUMIFS(ФОТ!AI$25:AI$188,ФОТ!$F$25:$F$188,$F144,ФОТ!$G$25:$G$188,$G144)</f>
        <v>0</v>
      </c>
      <c r="AK144" s="802">
        <f>_xlfn.SUMIFS(ФОТ!AJ$25:AJ$188,ФОТ!$F$25:$F$188,$F144,ФОТ!$G$25:$G$188,$G144)</f>
        <v>0</v>
      </c>
      <c r="AL144" s="802">
        <f>IF(AI144=0,0,(AK144-AI144)/AI144*100)</f>
        <v>0</v>
      </c>
      <c r="AM144" s="803"/>
      <c r="AN144" s="910" t="str">
        <f>IF(_xlfn.IFERROR(INDEX(ФОТ!$K$26:$L$188,MATCH($F144&amp;"3komm",ФОТ!$K$26:$K$188,0),2),"")=0,"",_xlfn.IFERROR(INDEX(ФОТ!$K$26:$L$188,MATCH($F144&amp;"3komm",ФОТ!$K$26:$K$188,0),2),""))</f>
        <v/>
      </c>
      <c r="AO144" s="803"/>
      <c r="AP144" s="1741"/>
      <c r="AQ144" s="1741"/>
      <c r="AR144" s="1062" t="s">
        <v>2509</v>
      </c>
      <c r="AS144" s="1062"/>
      <c r="AT144" s="1062"/>
      <c r="AU144" s="1059"/>
      <c r="AV144" s="1059"/>
    </row>
    <row s="1834" customFormat="1" customHeight="1" ht="21.75">
      <c r="A145" s="1741"/>
      <c r="B145" s="1741"/>
      <c r="C145" s="1741"/>
      <c r="D145" s="1741"/>
      <c r="E145" s="695">
        <v>22.5</v>
      </c>
      <c r="F145" s="50" cm="1" t="str">
        <f t="array" ref="F145:F145">OFFSET(E145,-1,1)</f>
        <v>1</v>
      </c>
      <c r="G145" s="577" t="s">
        <v>1886</v>
      </c>
      <c r="H145" s="1741"/>
      <c r="I145" s="587" t="s">
        <v>2510</v>
      </c>
      <c r="J145" s="587"/>
      <c r="K145" s="587"/>
      <c r="L145" s="587"/>
      <c r="M145" s="587"/>
      <c r="N145" s="587"/>
      <c r="O145" s="587"/>
      <c r="P145" s="587"/>
      <c r="Q145" s="587"/>
      <c r="R145" s="587"/>
      <c r="S145" s="587"/>
      <c r="T145" s="465" cm="1" t="str">
        <f t="array" ref="T145:T145">T144</f>
        <v>true</v>
      </c>
      <c r="U145" s="1741"/>
      <c r="V145" s="1741"/>
      <c r="W145" s="1741"/>
      <c r="X145" s="1641"/>
      <c r="Y145" s="1741"/>
      <c r="Z145" s="1642"/>
      <c r="AA145" s="1741"/>
      <c r="AB145" s="807" t="s">
        <v>2171</v>
      </c>
      <c r="AC145" s="808" t="s">
        <v>2511</v>
      </c>
      <c r="AD145" s="814" t="s">
        <v>1514</v>
      </c>
      <c r="AE145" s="802">
        <f>_xlfn.SUMIFS(ФОТ!AE$25:AE$188,ФОТ!$F$25:$F$188,$F145,ФОТ!$G$25:$G$188,$G145)</f>
        <v>0</v>
      </c>
      <c r="AF145" s="802">
        <f>_xlfn.SUMIFS(ФОТ!AF$25:AF$188,ФОТ!$F$25:$F$188,$F145,ФОТ!$G$25:$G$188,$G145)</f>
        <v>0</v>
      </c>
      <c r="AG145" s="802">
        <f>_xlfn.SUMIFS(ФОТ!AG$25:AG$188,ФОТ!$F$25:$F$188,$F145,ФОТ!$G$25:$G$188,$G145)</f>
        <v>0</v>
      </c>
      <c r="AH145" s="802">
        <f>AG145-AF145</f>
        <v>0</v>
      </c>
      <c r="AI145" s="802">
        <f>_xlfn.SUMIFS(ФОТ!AH$25:AH$188,ФОТ!$F$25:$F$188,$F145,ФОТ!$G$25:$G$188,$G145)</f>
        <v>0</v>
      </c>
      <c r="AJ145" s="802">
        <f>_xlfn.SUMIFS(ФОТ!AI$25:AI$188,ФОТ!$F$25:$F$188,$F145,ФОТ!$G$25:$G$188,$G145)</f>
        <v>0</v>
      </c>
      <c r="AK145" s="802">
        <f>_xlfn.SUMIFS(ФОТ!AJ$25:AJ$188,ФОТ!$F$25:$F$188,$F145,ФОТ!$G$25:$G$188,$G145)</f>
        <v>0</v>
      </c>
      <c r="AL145" s="802">
        <f>IF(AI145=0,0,(AK145-AI145)/AI145*100)</f>
        <v>0</v>
      </c>
      <c r="AM145" s="803"/>
      <c r="AN145" s="910" t="str">
        <f>IF(_xlfn.IFERROR(INDEX(ФОТ!$K$26:$L$188,MATCH($F145&amp;"4komm",ФОТ!$K$26:$K$188,0),2),"")=0,"",_xlfn.IFERROR(INDEX(ФОТ!$K$26:$L$188,MATCH($F145&amp;"4komm",ФОТ!$K$26:$K$188,0),2),""))</f>
        <v/>
      </c>
      <c r="AO145" s="803"/>
      <c r="AP145" s="1741"/>
      <c r="AQ145" s="1741"/>
      <c r="AR145" s="1062" t="s">
        <v>2512</v>
      </c>
      <c r="AS145" s="1062"/>
      <c r="AT145" s="1062"/>
      <c r="AU145" s="1059"/>
      <c r="AV145" s="1059"/>
    </row>
    <row s="7230" customFormat="1" customHeight="1" ht="14.25">
      <c r="A146" s="588"/>
      <c r="B146" s="588"/>
      <c r="C146" s="588"/>
      <c r="D146" s="588"/>
      <c r="E146" s="697">
        <v>15</v>
      </c>
      <c r="F146" s="50" cm="1" t="str">
        <f t="array" ref="F146:F146">OFFSET(E146,-1,1)</f>
        <v>1</v>
      </c>
      <c r="G146" s="588"/>
      <c r="H146" s="588"/>
      <c r="I146" s="698" t="s">
        <v>334</v>
      </c>
      <c r="J146" s="698"/>
      <c r="K146" s="698"/>
      <c r="L146" s="698"/>
      <c r="M146" s="698"/>
      <c r="N146" s="698"/>
      <c r="O146" s="698"/>
      <c r="P146" s="698"/>
      <c r="Q146" s="698"/>
      <c r="R146" s="698"/>
      <c r="S146" s="698"/>
      <c r="T146" s="465" cm="1" t="str">
        <f t="array" ref="T146:T146">T145</f>
        <v>true</v>
      </c>
      <c r="U146" s="588"/>
      <c r="V146" s="588"/>
      <c r="W146" s="588"/>
      <c r="X146" s="1641"/>
      <c r="Y146" s="588"/>
      <c r="Z146" s="1642"/>
      <c r="AA146" s="588"/>
      <c r="AB146" s="804" t="s">
        <v>289</v>
      </c>
      <c r="AC146" s="800" t="s">
        <v>2513</v>
      </c>
      <c r="AD146" s="812" t="s">
        <v>1514</v>
      </c>
      <c r="AE146" s="801">
        <f>AE147+AE148+AE151+AE152+AE153+AE154+AE155</f>
        <v>0</v>
      </c>
      <c r="AF146" s="801">
        <f>AF147+AF148+AF151+AF152+AF153+AF154+AF155</f>
        <v>0</v>
      </c>
      <c r="AG146" s="801">
        <f>AG147+AG148+AG151+AG152+AG153+AG154+AG155</f>
        <v>0</v>
      </c>
      <c r="AH146" s="801">
        <f>AG146-AF146</f>
        <v>0</v>
      </c>
      <c r="AI146" s="801">
        <f>AI147+AI148+AI151+AI152+AI153+AI154+AI155</f>
        <v>0</v>
      </c>
      <c r="AJ146" s="801">
        <f>AJ147+AJ148+AJ151+AJ152+AJ153+AJ154+AJ155</f>
        <v>22950.5069349292</v>
      </c>
      <c r="AK146" s="801">
        <f>AK147+AK148+AK151+AK152+AK153+AK154+AK155</f>
        <v>22950.5069349292</v>
      </c>
      <c r="AL146" s="801">
        <f>IF(AI146=0,0,(AK146-AI146)/AI146*100)</f>
        <v>0</v>
      </c>
      <c r="AM146" s="806"/>
      <c r="AN146" s="806"/>
      <c r="AO146" s="806"/>
      <c r="AP146" s="588"/>
      <c r="AQ146" s="588"/>
      <c r="AR146" s="1063" t="s">
        <v>2514</v>
      </c>
      <c r="AS146" s="1063"/>
      <c r="AT146" s="1063"/>
      <c r="AU146" s="697"/>
      <c r="AV146" s="697"/>
    </row>
    <row s="1834" customFormat="1" customHeight="1" ht="21.75">
      <c r="A147" s="1741"/>
      <c r="B147" s="1741"/>
      <c r="C147" s="1741"/>
      <c r="D147" s="1741"/>
      <c r="E147" s="695">
        <v>22.5</v>
      </c>
      <c r="F147" s="50" cm="1" t="str">
        <f t="array" ref="F147:F147">OFFSET(E147,-1,1)</f>
        <v>1</v>
      </c>
      <c r="G147" s="577" t="s">
        <v>1916</v>
      </c>
      <c r="H147" s="1741"/>
      <c r="I147" s="587" t="s">
        <v>1658</v>
      </c>
      <c r="J147" s="587"/>
      <c r="K147" s="587"/>
      <c r="L147" s="587"/>
      <c r="M147" s="587"/>
      <c r="N147" s="587"/>
      <c r="O147" s="587"/>
      <c r="P147" s="587"/>
      <c r="Q147" s="587"/>
      <c r="R147" s="587"/>
      <c r="S147" s="587"/>
      <c r="T147" s="465" cm="1" t="str">
        <f t="array" ref="T147:T147">T146</f>
        <v>true</v>
      </c>
      <c r="U147" s="1741"/>
      <c r="V147" s="1741"/>
      <c r="W147" s="1741"/>
      <c r="X147" s="1641"/>
      <c r="Y147" s="1741"/>
      <c r="Z147" s="1642"/>
      <c r="AA147" s="1741"/>
      <c r="AB147" s="807" t="s">
        <v>1264</v>
      </c>
      <c r="AC147" s="813" t="s">
        <v>2515</v>
      </c>
      <c r="AD147" s="814" t="s">
        <v>1514</v>
      </c>
      <c r="AE147" s="259">
        <f>_xlfn.SUMIFS(Административные!AE$25:AE$122,Административные!$F$25:$F$122,$F147,Административные!$G$25:$G$122,$G147)</f>
        <v>0</v>
      </c>
      <c r="AF147" s="259">
        <f>_xlfn.SUMIFS(Административные!AF$25:AF$122,Административные!$F$25:$F$122,$F147,Административные!$G$25:$G$122,$G147)</f>
        <v>0</v>
      </c>
      <c r="AG147" s="259">
        <f>_xlfn.SUMIFS(Административные!AG$25:AG$122,Административные!$F$25:$F$122,$F147,Административные!$G$25:$G$122,$G147)</f>
        <v>0</v>
      </c>
      <c r="AH147" s="802">
        <f>AG147-AF147</f>
        <v>0</v>
      </c>
      <c r="AI147" s="259">
        <f>_xlfn.SUMIFS(Административные!AH$25:AH$122,Административные!$F$25:$F$122,$F147,Административные!$G$25:$G$122,$G147)</f>
        <v>0</v>
      </c>
      <c r="AJ147" s="259">
        <f>_xlfn.SUMIFS(Административные!AI$25:AI$122,Административные!$F$25:$F$122,$F147,Административные!$G$25:$G$122,$G147)</f>
        <v>3201.9486069</v>
      </c>
      <c r="AK147" s="259">
        <f>_xlfn.SUMIFS(Административные!AJ$25:AJ$122,Административные!$F$25:$F$122,$F147,Административные!$G$25:$G$122,$G147)</f>
        <v>3201.9486069</v>
      </c>
      <c r="AL147" s="802">
        <f>IF(AI147=0,0,(AK147-AI147)/AI147*100)</f>
        <v>0</v>
      </c>
      <c r="AM147" s="803"/>
      <c r="AN147" s="910" t="str">
        <f>IF(_xlfn.IFERROR(INDEX(Административные!$K$26:$L$122,MATCH($F147&amp;"17komm",Административные!$K$26:$K$122,0),2),"")=0,"",_xlfn.IFERROR(INDEX(Административные!$K$26:$L$122,MATCH($F147&amp;"17komm",Административные!$K$26:$K$122,0),2),""))</f>
        <v>Учтены расходы по выданным долгосрочным параметрам и соответствуют предложению организации.</v>
      </c>
      <c r="AO147" s="803"/>
      <c r="AP147" s="1741"/>
      <c r="AQ147" s="1741"/>
      <c r="AR147" s="1062" t="s">
        <v>1918</v>
      </c>
      <c r="AS147" s="1062"/>
      <c r="AT147" s="1062"/>
      <c r="AU147" s="1059"/>
      <c r="AV147" s="1059"/>
    </row>
    <row s="1834" customFormat="1" customHeight="1" ht="32.25">
      <c r="A148" s="1741"/>
      <c r="B148" s="1741"/>
      <c r="C148" s="1741"/>
      <c r="D148" s="1741"/>
      <c r="E148" s="695">
        <v>33.75</v>
      </c>
      <c r="F148" s="50" cm="1" t="str">
        <f t="array" ref="F148:F148">OFFSET(E148,-1,1)</f>
        <v>1</v>
      </c>
      <c r="G148" s="1741"/>
      <c r="H148" s="1741"/>
      <c r="I148" s="587" t="s">
        <v>1660</v>
      </c>
      <c r="J148" s="587"/>
      <c r="K148" s="587"/>
      <c r="L148" s="587"/>
      <c r="M148" s="587"/>
      <c r="N148" s="587"/>
      <c r="O148" s="587"/>
      <c r="P148" s="587"/>
      <c r="Q148" s="587"/>
      <c r="R148" s="587"/>
      <c r="S148" s="587"/>
      <c r="T148" s="465" cm="1" t="str">
        <f t="array" ref="T148:T148">T147</f>
        <v>true</v>
      </c>
      <c r="U148" s="1741"/>
      <c r="V148" s="1741"/>
      <c r="W148" s="1741"/>
      <c r="X148" s="1641"/>
      <c r="Y148" s="1741"/>
      <c r="Z148" s="1642"/>
      <c r="AA148" s="1741"/>
      <c r="AB148" s="807" t="s">
        <v>1268</v>
      </c>
      <c r="AC148" s="813" t="s">
        <v>2516</v>
      </c>
      <c r="AD148" s="814" t="s">
        <v>1514</v>
      </c>
      <c r="AE148" s="802">
        <f>AE149+AE150</f>
        <v>0</v>
      </c>
      <c r="AF148" s="802">
        <f>AF149+AF150</f>
        <v>0</v>
      </c>
      <c r="AG148" s="802">
        <f>AG149+AG150</f>
        <v>0</v>
      </c>
      <c r="AH148" s="802">
        <f>AG148-AF148</f>
        <v>0</v>
      </c>
      <c r="AI148" s="802">
        <f>AI149+AI150</f>
        <v>0</v>
      </c>
      <c r="AJ148" s="802">
        <f>AJ149+AJ150</f>
        <v>19745.7777780292</v>
      </c>
      <c r="AK148" s="802">
        <f>AK149+AK150</f>
        <v>19745.7777780292</v>
      </c>
      <c r="AL148" s="802">
        <f>IF(AI148=0,0,(AK148-AI148)/AI148*100)</f>
        <v>0</v>
      </c>
      <c r="AM148" s="803"/>
      <c r="AN148" s="803"/>
      <c r="AO148" s="803"/>
      <c r="AP148" s="1741"/>
      <c r="AQ148" s="1741"/>
      <c r="AR148" s="1062" t="s">
        <v>2517</v>
      </c>
      <c r="AS148" s="1062"/>
      <c r="AT148" s="1062"/>
      <c r="AU148" s="1059"/>
      <c r="AV148" s="1059"/>
    </row>
    <row s="1834" customFormat="1" customHeight="1" ht="21.75">
      <c r="A149" s="1741"/>
      <c r="B149" s="1741"/>
      <c r="C149" s="1741"/>
      <c r="D149" s="1741"/>
      <c r="E149" s="695">
        <v>22.5</v>
      </c>
      <c r="F149" s="50" cm="1" t="str">
        <f t="array" ref="F149:F149">OFFSET(E149,-1,1)</f>
        <v>1</v>
      </c>
      <c r="G149" s="1233" t="s">
        <v>1889</v>
      </c>
      <c r="H149" s="1741"/>
      <c r="I149" s="587" t="s">
        <v>1211</v>
      </c>
      <c r="J149" s="587"/>
      <c r="K149" s="587"/>
      <c r="L149" s="587"/>
      <c r="M149" s="587"/>
      <c r="N149" s="587"/>
      <c r="O149" s="587"/>
      <c r="P149" s="587"/>
      <c r="Q149" s="587"/>
      <c r="R149" s="587"/>
      <c r="S149" s="587"/>
      <c r="T149" s="465" cm="1" t="str">
        <f t="array" ref="T149:T149">T148</f>
        <v>true</v>
      </c>
      <c r="U149" s="1741"/>
      <c r="V149" s="1741"/>
      <c r="W149" s="1741"/>
      <c r="X149" s="1641"/>
      <c r="Y149" s="1741"/>
      <c r="Z149" s="1642"/>
      <c r="AA149" s="1741"/>
      <c r="AB149" s="807" t="s">
        <v>1474</v>
      </c>
      <c r="AC149" s="808" t="s">
        <v>2518</v>
      </c>
      <c r="AD149" s="814" t="s">
        <v>1514</v>
      </c>
      <c r="AE149" s="802">
        <f>_xlfn.SUMIFS(ФОТ!AE$25:AE$188,ФОТ!$F$25:$F$188,$F149,ФОТ!$G$25:$G$188,$G149)</f>
        <v>0</v>
      </c>
      <c r="AF149" s="802">
        <f>_xlfn.SUMIFS(ФОТ!AF$25:AF$188,ФОТ!$F$25:$F$188,$F149,ФОТ!$G$25:$G$188,$G149)</f>
        <v>0</v>
      </c>
      <c r="AG149" s="802">
        <f>_xlfn.SUMIFS(ФОТ!AG$25:AG$188,ФОТ!$F$25:$F$188,$F149,ФОТ!$G$25:$G$188,$G149)</f>
        <v>0</v>
      </c>
      <c r="AH149" s="802">
        <f>AG149-AF149</f>
        <v>0</v>
      </c>
      <c r="AI149" s="802">
        <f>_xlfn.SUMIFS(ФОТ!AH$25:AH$188,ФОТ!$F$25:$F$188,$F149,ФОТ!$G$25:$G$188,$G149)</f>
        <v>0</v>
      </c>
      <c r="AJ149" s="802">
        <f>_xlfn.SUMIFS(ФОТ!AI$25:AI$188,ФОТ!$F$25:$F$188,$F149,ФОТ!$G$25:$G$188,$G149)</f>
        <v>15165.7279401146</v>
      </c>
      <c r="AK149" s="802">
        <f>_xlfn.SUMIFS(ФОТ!AJ$25:AJ$188,ФОТ!$F$25:$F$188,$F149,ФОТ!$G$25:$G$188,$G149)</f>
        <v>15165.7279401146</v>
      </c>
      <c r="AL149" s="802">
        <f>IF(AI149=0,0,(AK149-AI149)/AI149*100)</f>
        <v>0</v>
      </c>
      <c r="AM149" s="803"/>
      <c r="AN149" s="910" t="str">
        <f>IF(_xlfn.IFERROR(INDEX(ФОТ!$K$26:$L$188,MATCH($F149&amp;"5komm",ФОТ!$K$26:$K$188,0),2),"")=0,"",_xlfn.IFERROR(INDEX(ФОТ!$K$26:$L$188,MATCH($F149&amp;"5komm",ФОТ!$K$26:$K$188,0),2),""))</f>
        <v>по предложению организации в соответствии со штатным расписанием.</v>
      </c>
      <c r="AO149" s="803"/>
      <c r="AP149" s="1741"/>
      <c r="AQ149" s="1741"/>
      <c r="AR149" s="1062" t="s">
        <v>1915</v>
      </c>
      <c r="AS149" s="1062"/>
      <c r="AT149" s="1062"/>
      <c r="AU149" s="1059"/>
      <c r="AV149" s="1059"/>
    </row>
    <row s="1834" customFormat="1" customHeight="1" ht="32.25">
      <c r="A150" s="1741"/>
      <c r="B150" s="1741"/>
      <c r="C150" s="1741"/>
      <c r="D150" s="1741"/>
      <c r="E150" s="695">
        <v>33.75</v>
      </c>
      <c r="F150" s="50" cm="1" t="str">
        <f t="array" ref="F150:F150">OFFSET(E150,-1,1)</f>
        <v>1</v>
      </c>
      <c r="G150" s="498" t="s">
        <v>1894</v>
      </c>
      <c r="H150" s="1741"/>
      <c r="I150" s="587" t="s">
        <v>1216</v>
      </c>
      <c r="J150" s="587"/>
      <c r="K150" s="587"/>
      <c r="L150" s="587"/>
      <c r="M150" s="587"/>
      <c r="N150" s="587"/>
      <c r="O150" s="587"/>
      <c r="P150" s="587"/>
      <c r="Q150" s="587"/>
      <c r="R150" s="587"/>
      <c r="S150" s="587"/>
      <c r="T150" s="465" cm="1" t="str">
        <f t="array" ref="T150:T150">T149</f>
        <v>true</v>
      </c>
      <c r="U150" s="1741"/>
      <c r="V150" s="1741"/>
      <c r="W150" s="1741"/>
      <c r="X150" s="1641"/>
      <c r="Y150" s="1741"/>
      <c r="Z150" s="1642"/>
      <c r="AA150" s="1741"/>
      <c r="AB150" s="807" t="s">
        <v>1477</v>
      </c>
      <c r="AC150" s="808" t="s">
        <v>2519</v>
      </c>
      <c r="AD150" s="814" t="s">
        <v>1514</v>
      </c>
      <c r="AE150" s="802">
        <f>_xlfn.SUMIFS(ФОТ!AE$25:AE$188,ФОТ!$F$25:$F$188,$F150,ФОТ!$G$25:$G$188,$G150)</f>
        <v>0</v>
      </c>
      <c r="AF150" s="802">
        <f>_xlfn.SUMIFS(ФОТ!AF$25:AF$188,ФОТ!$F$25:$F$188,$F150,ФОТ!$G$25:$G$188,$G150)</f>
        <v>0</v>
      </c>
      <c r="AG150" s="802">
        <f>_xlfn.SUMIFS(ФОТ!AG$25:AG$188,ФОТ!$F$25:$F$188,$F150,ФОТ!$G$25:$G$188,$G150)</f>
        <v>0</v>
      </c>
      <c r="AH150" s="802">
        <f>AG150-AF150</f>
        <v>0</v>
      </c>
      <c r="AI150" s="802">
        <f>_xlfn.SUMIFS(ФОТ!AH$25:AH$188,ФОТ!$F$25:$F$188,$F150,ФОТ!$G$25:$G$188,$G150)</f>
        <v>0</v>
      </c>
      <c r="AJ150" s="802">
        <f>_xlfn.SUMIFS(ФОТ!AI$25:AI$188,ФОТ!$F$25:$F$188,$F150,ФОТ!$G$25:$G$188,$G150)</f>
        <v>4580.04983791461</v>
      </c>
      <c r="AK150" s="802">
        <f>_xlfn.SUMIFS(ФОТ!AJ$25:AJ$188,ФОТ!$F$25:$F$188,$F150,ФОТ!$G$25:$G$188,$G150)</f>
        <v>4580.04983791461</v>
      </c>
      <c r="AL150" s="802">
        <f>IF(AI150=0,0,(AK150-AI150)/AI150*100)</f>
        <v>0</v>
      </c>
      <c r="AM150" s="803"/>
      <c r="AN150" s="910" t="str">
        <f>IF(_xlfn.IFERROR(INDEX(ФОТ!$K$26:$L$188,MATCH($F150&amp;"6komm",ФОТ!$K$26:$K$188,0),2),"")=0,"",_xlfn.IFERROR(INDEX(ФОТ!$K$26:$L$188,MATCH($F150&amp;"6komm",ФОТ!$K$26:$K$188,0),2),""))</f>
        <v>на основании Налогового кодекса РФ (часть вторая) от 05.08.2000 № 117-ФЗ в размере 30%, а также в соответствии с Федеральным законом от 24.07.1998 № 125 – ФЗ (0,20%).</v>
      </c>
      <c r="AO150" s="803"/>
      <c r="AP150" s="1741"/>
      <c r="AQ150" s="1741"/>
      <c r="AR150" s="1062" t="s">
        <v>2520</v>
      </c>
      <c r="AS150" s="1062"/>
      <c r="AT150" s="1062"/>
      <c r="AU150" s="1059"/>
      <c r="AV150" s="1059"/>
    </row>
    <row s="1834" customFormat="1" customHeight="1" ht="32.25">
      <c r="A151" s="1741"/>
      <c r="B151" s="1741"/>
      <c r="C151" s="1741"/>
      <c r="D151" s="1741"/>
      <c r="E151" s="695">
        <v>33.75</v>
      </c>
      <c r="F151" s="50" cm="1" t="str">
        <f t="array" ref="F151:F151">OFFSET(E151,-1,1)</f>
        <v>1</v>
      </c>
      <c r="G151" s="577" t="s">
        <v>1944</v>
      </c>
      <c r="H151" s="1741"/>
      <c r="I151" s="587" t="s">
        <v>1662</v>
      </c>
      <c r="J151" s="587"/>
      <c r="K151" s="587"/>
      <c r="L151" s="587"/>
      <c r="M151" s="587"/>
      <c r="N151" s="587"/>
      <c r="O151" s="587"/>
      <c r="P151" s="587"/>
      <c r="Q151" s="587"/>
      <c r="R151" s="587"/>
      <c r="S151" s="587"/>
      <c r="T151" s="465" cm="1" t="str">
        <f t="array" ref="T151:T151">T150</f>
        <v>true</v>
      </c>
      <c r="U151" s="1741"/>
      <c r="V151" s="1741"/>
      <c r="W151" s="1741"/>
      <c r="X151" s="1641"/>
      <c r="Y151" s="1741"/>
      <c r="Z151" s="1642"/>
      <c r="AA151" s="1741"/>
      <c r="AB151" s="807" t="s">
        <v>1480</v>
      </c>
      <c r="AC151" s="813" t="s">
        <v>2521</v>
      </c>
      <c r="AD151" s="814" t="s">
        <v>1514</v>
      </c>
      <c r="AE151" s="802">
        <f>_xlfn.SUMIFS(Административные!AE$25:AE$122,Административные!$F$25:$F$122,$F151,Административные!$G$25:$G$122,$G151)</f>
        <v>0</v>
      </c>
      <c r="AF151" s="802">
        <f>_xlfn.SUMIFS(Административные!AF$25:AF$122,Административные!$F$25:$F$122,$F151,Административные!$G$25:$G$122,$G151)</f>
        <v>0</v>
      </c>
      <c r="AG151" s="802">
        <f>_xlfn.SUMIFS(Административные!AG$25:AG$122,Административные!$F$25:$F$122,$F151,Административные!$G$25:$G$122,$G151)</f>
        <v>0</v>
      </c>
      <c r="AH151" s="802">
        <f>AG151-AF151</f>
        <v>0</v>
      </c>
      <c r="AI151" s="802">
        <f>_xlfn.SUMIFS(Административные!AH$25:AH$122,Административные!$F$25:$F$122,$F151,Административные!$G$25:$G$122,$G151)</f>
        <v>0</v>
      </c>
      <c r="AJ151" s="802">
        <f>_xlfn.SUMIFS(Административные!AI$25:AI$122,Административные!$F$25:$F$122,$F151,Административные!$G$25:$G$122,$G151)</f>
        <v>0</v>
      </c>
      <c r="AK151" s="802">
        <f>_xlfn.SUMIFS(Административные!AJ$25:AJ$122,Административные!$F$25:$F$122,$F151,Административные!$G$25:$G$122,$G151)</f>
        <v>0</v>
      </c>
      <c r="AL151" s="802">
        <f>IF(AI151=0,0,(AK151-AI151)/AI151*100)</f>
        <v>0</v>
      </c>
      <c r="AM151" s="803"/>
      <c r="AN151" s="910" t="str">
        <f>IF(_xlfn.IFERROR(INDEX(Административные!$K$26:$L$122,MATCH($F151&amp;"2komm",Административные!$K$26:$K$122,0),2),"")=0,"",_xlfn.IFERROR(INDEX(Административные!$K$26:$L$122,MATCH($F151&amp;"2komm",Административные!$K$26:$K$122,0),2),""))</f>
        <v/>
      </c>
      <c r="AO151" s="803"/>
      <c r="AP151" s="1741"/>
      <c r="AQ151" s="1741"/>
      <c r="AR151" s="1062" t="s">
        <v>1946</v>
      </c>
      <c r="AS151" s="1062"/>
      <c r="AT151" s="1062"/>
      <c r="AU151" s="1059"/>
      <c r="AV151" s="1059"/>
    </row>
    <row s="1834" customFormat="1" customHeight="1" ht="14.25">
      <c r="A152" s="1741"/>
      <c r="B152" s="1741"/>
      <c r="C152" s="1741"/>
      <c r="D152" s="1741"/>
      <c r="E152" s="695">
        <v>15</v>
      </c>
      <c r="F152" s="50" cm="1" t="str">
        <f t="array" ref="F152:F152">OFFSET(E152,-1,1)</f>
        <v>1</v>
      </c>
      <c r="G152" s="577" t="s">
        <v>1947</v>
      </c>
      <c r="H152" s="1741"/>
      <c r="I152" s="587" t="s">
        <v>1664</v>
      </c>
      <c r="J152" s="587"/>
      <c r="K152" s="587"/>
      <c r="L152" s="587"/>
      <c r="M152" s="587"/>
      <c r="N152" s="587"/>
      <c r="O152" s="587"/>
      <c r="P152" s="587"/>
      <c r="Q152" s="587"/>
      <c r="R152" s="587"/>
      <c r="S152" s="587"/>
      <c r="T152" s="465" cm="1" t="str">
        <f t="array" ref="T152:T152">T151</f>
        <v>true</v>
      </c>
      <c r="U152" s="1741"/>
      <c r="V152" s="1741"/>
      <c r="W152" s="1741"/>
      <c r="X152" s="1641"/>
      <c r="Y152" s="1741"/>
      <c r="Z152" s="1642"/>
      <c r="AA152" s="1741"/>
      <c r="AB152" s="807" t="s">
        <v>1665</v>
      </c>
      <c r="AC152" s="813" t="s">
        <v>1948</v>
      </c>
      <c r="AD152" s="814" t="s">
        <v>1514</v>
      </c>
      <c r="AE152" s="802">
        <f>_xlfn.SUMIFS(Административные!AE$25:AE$122,Административные!$F$25:$F$122,$F152,Административные!$G$25:$G$122,$G152)</f>
        <v>0</v>
      </c>
      <c r="AF152" s="802">
        <f>_xlfn.SUMIFS(Административные!AF$25:AF$122,Административные!$F$25:$F$122,$F152,Административные!$G$25:$G$122,$G152)</f>
        <v>0</v>
      </c>
      <c r="AG152" s="802">
        <f>_xlfn.SUMIFS(Административные!AG$25:AG$122,Административные!$F$25:$F$122,$F152,Административные!$G$25:$G$122,$G152)</f>
        <v>0</v>
      </c>
      <c r="AH152" s="802">
        <f>AG152-AF152</f>
        <v>0</v>
      </c>
      <c r="AI152" s="802">
        <f>_xlfn.SUMIFS(Административные!AH$25:AH$122,Административные!$F$25:$F$122,$F152,Административные!$G$25:$G$122,$G152)</f>
        <v>0</v>
      </c>
      <c r="AJ152" s="802">
        <f>_xlfn.SUMIFS(Административные!AI$25:AI$122,Административные!$F$25:$F$122,$F152,Административные!$G$25:$G$122,$G152)</f>
        <v>0</v>
      </c>
      <c r="AK152" s="802">
        <f>_xlfn.SUMIFS(Административные!AJ$25:AJ$122,Административные!$F$25:$F$122,$F152,Административные!$G$25:$G$122,$G152)</f>
        <v>0</v>
      </c>
      <c r="AL152" s="802">
        <f>IF(AI152=0,0,(AK152-AI152)/AI152*100)</f>
        <v>0</v>
      </c>
      <c r="AM152" s="803"/>
      <c r="AN152" s="910" t="str">
        <f>IF(_xlfn.IFERROR(INDEX(Административные!$K$26:$L$122,MATCH($F152&amp;"3komm",Административные!$K$26:$K$122,0),2),"")=0,"",_xlfn.IFERROR(INDEX(Административные!$K$26:$L$122,MATCH($F152&amp;"3komm",Административные!$K$26:$K$122,0),2),""))</f>
        <v/>
      </c>
      <c r="AO152" s="803"/>
      <c r="AP152" s="1741"/>
      <c r="AQ152" s="1741"/>
      <c r="AR152" s="1062" t="s">
        <v>1949</v>
      </c>
      <c r="AS152" s="1062"/>
      <c r="AT152" s="1062"/>
      <c r="AU152" s="1059"/>
      <c r="AV152" s="1059"/>
    </row>
    <row s="1834" customFormat="1" customHeight="1" ht="14.25">
      <c r="A153" s="1741"/>
      <c r="B153" s="1741"/>
      <c r="C153" s="1741"/>
      <c r="D153" s="1741"/>
      <c r="E153" s="695">
        <v>15</v>
      </c>
      <c r="F153" s="50" cm="1" t="str">
        <f t="array" ref="F153:F153">OFFSET(E153,-1,1)</f>
        <v>1</v>
      </c>
      <c r="G153" s="577" t="s">
        <v>1950</v>
      </c>
      <c r="H153" s="1741"/>
      <c r="I153" s="587" t="s">
        <v>1667</v>
      </c>
      <c r="J153" s="587"/>
      <c r="K153" s="587"/>
      <c r="L153" s="587"/>
      <c r="M153" s="587"/>
      <c r="N153" s="587"/>
      <c r="O153" s="587"/>
      <c r="P153" s="587"/>
      <c r="Q153" s="587"/>
      <c r="R153" s="587"/>
      <c r="S153" s="587"/>
      <c r="T153" s="465" cm="1" t="str">
        <f t="array" ref="T153:T153">T152</f>
        <v>true</v>
      </c>
      <c r="U153" s="1741"/>
      <c r="V153" s="1741"/>
      <c r="W153" s="1741"/>
      <c r="X153" s="1641"/>
      <c r="Y153" s="1741"/>
      <c r="Z153" s="1642"/>
      <c r="AA153" s="1741"/>
      <c r="AB153" s="807" t="s">
        <v>1668</v>
      </c>
      <c r="AC153" s="813" t="s">
        <v>1951</v>
      </c>
      <c r="AD153" s="814" t="s">
        <v>1514</v>
      </c>
      <c r="AE153" s="802">
        <f>_xlfn.SUMIFS(Административные!AE$25:AE$122,Административные!$F$25:$F$122,$F153,Административные!$G$25:$G$122,$G153)</f>
        <v>0</v>
      </c>
      <c r="AF153" s="802">
        <f>_xlfn.SUMIFS(Административные!AF$25:AF$122,Административные!$F$25:$F$122,$F153,Административные!$G$25:$G$122,$G153)</f>
        <v>0</v>
      </c>
      <c r="AG153" s="802">
        <f>_xlfn.SUMIFS(Административные!AG$25:AG$122,Административные!$F$25:$F$122,$F153,Административные!$G$25:$G$122,$G153)</f>
        <v>0</v>
      </c>
      <c r="AH153" s="802">
        <f>AG153-AF153</f>
        <v>0</v>
      </c>
      <c r="AI153" s="802">
        <f>_xlfn.SUMIFS(Административные!AH$25:AH$122,Административные!$F$25:$F$122,$F153,Административные!$G$25:$G$122,$G153)</f>
        <v>0</v>
      </c>
      <c r="AJ153" s="802">
        <f>_xlfn.SUMIFS(Административные!AI$25:AI$122,Административные!$F$25:$F$122,$F153,Административные!$G$25:$G$122,$G153)</f>
        <v>2.78055</v>
      </c>
      <c r="AK153" s="802">
        <f>_xlfn.SUMIFS(Административные!AJ$25:AJ$122,Административные!$F$25:$F$122,$F153,Административные!$G$25:$G$122,$G153)</f>
        <v>2.78055</v>
      </c>
      <c r="AL153" s="802">
        <f>IF(AI153=0,0,(AK153-AI153)/AI153*100)</f>
        <v>0</v>
      </c>
      <c r="AM153" s="803"/>
      <c r="AN153" s="910" t="str">
        <f>IF(_xlfn.IFERROR(INDEX(Административные!$K$26:$L$122,MATCH($F153&amp;"4komm",Административные!$K$26:$K$122,0),2),"")=0,"",_xlfn.IFERROR(INDEX(Административные!$K$26:$L$122,MATCH($F153&amp;"4komm",Административные!$K$26:$K$122,0),2),""))</f>
        <v>по расчету организации, с периодичностью в соответствии с законодательством, стоимость принята по договорам предыдущей организации, с применением ИПЦ Минэкономразвития России на 2026 год 105,1%.</v>
      </c>
      <c r="AO153" s="803"/>
      <c r="AP153" s="1741"/>
      <c r="AQ153" s="1741"/>
      <c r="AR153" s="1062" t="s">
        <v>1952</v>
      </c>
      <c r="AS153" s="1062"/>
      <c r="AT153" s="1062"/>
      <c r="AU153" s="1059"/>
      <c r="AV153" s="1059"/>
    </row>
    <row s="1834" customFormat="1" customHeight="1" ht="14.25">
      <c r="A154" s="1741"/>
      <c r="B154" s="1741"/>
      <c r="C154" s="1741"/>
      <c r="D154" s="1741"/>
      <c r="E154" s="695">
        <v>15</v>
      </c>
      <c r="F154" s="50" cm="1" t="str">
        <f t="array" ref="F154:F154">OFFSET(E154,-1,1)</f>
        <v>1</v>
      </c>
      <c r="G154" s="577" t="s">
        <v>1953</v>
      </c>
      <c r="H154" s="1741"/>
      <c r="I154" s="587" t="s">
        <v>1935</v>
      </c>
      <c r="J154" s="587"/>
      <c r="K154" s="587"/>
      <c r="L154" s="587"/>
      <c r="M154" s="587"/>
      <c r="N154" s="587"/>
      <c r="O154" s="587"/>
      <c r="P154" s="587"/>
      <c r="Q154" s="587"/>
      <c r="R154" s="587"/>
      <c r="S154" s="587"/>
      <c r="T154" s="465" cm="1" t="str">
        <f t="array" ref="T154:T154">T153</f>
        <v>true</v>
      </c>
      <c r="U154" s="1741"/>
      <c r="V154" s="1741"/>
      <c r="W154" s="1741"/>
      <c r="X154" s="1641"/>
      <c r="Y154" s="1741"/>
      <c r="Z154" s="1642"/>
      <c r="AA154" s="1741"/>
      <c r="AB154" s="807" t="s">
        <v>1936</v>
      </c>
      <c r="AC154" s="813" t="s">
        <v>1954</v>
      </c>
      <c r="AD154" s="814" t="s">
        <v>1514</v>
      </c>
      <c r="AE154" s="802">
        <f>_xlfn.SUMIFS(Административные!AE$25:AE$122,Административные!$F$25:$F$122,$F154,Административные!$G$25:$G$122,$G154)</f>
        <v>0</v>
      </c>
      <c r="AF154" s="802">
        <f>_xlfn.SUMIFS(Административные!AF$25:AF$122,Административные!$F$25:$F$122,$F154,Административные!$G$25:$G$122,$G154)</f>
        <v>0</v>
      </c>
      <c r="AG154" s="802">
        <f>_xlfn.SUMIFS(Административные!AG$25:AG$122,Административные!$F$25:$F$122,$F154,Административные!$G$25:$G$122,$G154)</f>
        <v>0</v>
      </c>
      <c r="AH154" s="802">
        <f>AG154-AF154</f>
        <v>0</v>
      </c>
      <c r="AI154" s="802">
        <f>_xlfn.SUMIFS(Административные!AH$25:AH$122,Административные!$F$25:$F$122,$F154,Административные!$G$25:$G$122,$G154)</f>
        <v>0</v>
      </c>
      <c r="AJ154" s="802">
        <f>_xlfn.SUMIFS(Административные!AI$25:AI$122,Административные!$F$25:$F$122,$F154,Административные!$G$25:$G$122,$G154)</f>
        <v>0</v>
      </c>
      <c r="AK154" s="802">
        <f>_xlfn.SUMIFS(Административные!AJ$25:AJ$122,Административные!$F$25:$F$122,$F154,Административные!$G$25:$G$122,$G154)</f>
        <v>0</v>
      </c>
      <c r="AL154" s="802">
        <f>IF(AI154=0,0,(AK154-AI154)/AI154*100)</f>
        <v>0</v>
      </c>
      <c r="AM154" s="803"/>
      <c r="AN154" s="910" t="str">
        <f>IF(_xlfn.IFERROR(INDEX(Административные!$K$26:$L$122,MATCH($F150&amp;"5komm",Административные!$K$26:$K$122,0),2),"")=0,"",_xlfn.IFERROR(INDEX(Административные!$K$26:$L$122,MATCH($F150&amp;"5komm",Административные!$K$26:$K$122,0),2),""))</f>
        <v/>
      </c>
      <c r="AO154" s="803"/>
      <c r="AP154" s="1741"/>
      <c r="AQ154" s="1741"/>
      <c r="AR154" s="1062" t="s">
        <v>2522</v>
      </c>
      <c r="AS154" s="1062"/>
      <c r="AT154" s="1062"/>
      <c r="AU154" s="1059"/>
      <c r="AV154" s="1059"/>
    </row>
    <row s="1834" customFormat="1" customHeight="1" ht="14.25">
      <c r="A155" s="1741"/>
      <c r="B155" s="1741"/>
      <c r="C155" s="1741"/>
      <c r="D155" s="1741"/>
      <c r="E155" s="695">
        <v>15</v>
      </c>
      <c r="F155" s="50" cm="1" t="str">
        <f t="array" ref="F155:F155">OFFSET(E155,-1,1)</f>
        <v>1</v>
      </c>
      <c r="G155" s="577" t="s">
        <v>1956</v>
      </c>
      <c r="H155" s="1741"/>
      <c r="I155" s="587" t="s">
        <v>1940</v>
      </c>
      <c r="J155" s="587"/>
      <c r="K155" s="587"/>
      <c r="L155" s="587"/>
      <c r="M155" s="587"/>
      <c r="N155" s="587"/>
      <c r="O155" s="587"/>
      <c r="P155" s="587"/>
      <c r="Q155" s="587"/>
      <c r="R155" s="587"/>
      <c r="S155" s="587"/>
      <c r="T155" s="465" cm="1" t="str">
        <f t="array" ref="T155:T155">T154</f>
        <v>true</v>
      </c>
      <c r="U155" s="1741"/>
      <c r="V155" s="1741"/>
      <c r="W155" s="1741"/>
      <c r="X155" s="1641"/>
      <c r="Y155" s="1741"/>
      <c r="Z155" s="1642"/>
      <c r="AA155" s="1741"/>
      <c r="AB155" s="807" t="s">
        <v>1941</v>
      </c>
      <c r="AC155" s="813" t="s">
        <v>2523</v>
      </c>
      <c r="AD155" s="814" t="s">
        <v>1514</v>
      </c>
      <c r="AE155" s="802">
        <f>_xlfn.SUMIFS(Административные!AE$25:AE$122,Административные!$F$25:$F$122,$F155,Административные!$G$25:$G$122,$G155)</f>
        <v>0</v>
      </c>
      <c r="AF155" s="802">
        <f>_xlfn.SUMIFS(Административные!AF$25:AF$122,Административные!$F$25:$F$122,$F155,Административные!$G$25:$G$122,$G155)</f>
        <v>0</v>
      </c>
      <c r="AG155" s="802">
        <f>_xlfn.SUMIFS(Административные!AG$25:AG$122,Административные!$F$25:$F$122,$F155,Административные!$G$25:$G$122,$G155)</f>
        <v>0</v>
      </c>
      <c r="AH155" s="802">
        <f>AG155-AF155</f>
        <v>0</v>
      </c>
      <c r="AI155" s="802">
        <f>_xlfn.SUMIFS(Административные!AH$25:AH$122,Административные!$F$25:$F$122,$F155,Административные!$G$25:$G$122,$G155)</f>
        <v>0</v>
      </c>
      <c r="AJ155" s="802">
        <f>_xlfn.SUMIFS(Административные!AI$25:AI$122,Административные!$F$25:$F$122,$F155,Административные!$G$25:$G$122,$G155)</f>
        <v>0</v>
      </c>
      <c r="AK155" s="802">
        <f>_xlfn.SUMIFS(Административные!AJ$25:AJ$122,Административные!$F$25:$F$122,$F155,Административные!$G$25:$G$122,$G155)</f>
        <v>0</v>
      </c>
      <c r="AL155" s="802">
        <f>IF(AI155=0,0,(AK155-AI155)/AI155*100)</f>
        <v>0</v>
      </c>
      <c r="AM155" s="803"/>
      <c r="AN155" s="910" t="str">
        <f>IF(_xlfn.IFERROR(INDEX(Административные!$K$26:$L$122,MATCH($F155&amp;"6komm",Административные!$K$26:$K$122,0),2),"")=0,"",_xlfn.IFERROR(INDEX(Административные!$K$26:$L$122,MATCH($F150&amp;"6komm",Административные!$K$26:$K$122,0),2),""))</f>
        <v/>
      </c>
      <c r="AO155" s="803"/>
      <c r="AP155" s="1741"/>
      <c r="AQ155" s="1741"/>
      <c r="AR155" s="1062" t="s">
        <v>2524</v>
      </c>
      <c r="AS155" s="1062"/>
      <c r="AT155" s="1062"/>
      <c r="AU155" s="1059"/>
      <c r="AV155" s="1059"/>
    </row>
    <row s="1834" customFormat="1" customHeight="1" ht="14.25">
      <c r="A156" s="1741"/>
      <c r="B156" s="1741"/>
      <c r="C156" s="1741"/>
      <c r="D156" s="1741"/>
      <c r="E156" s="695">
        <v>15</v>
      </c>
      <c r="F156" s="50" cm="1" t="str">
        <f t="array" ref="F156:F156">OFFSET(E156,-1,1)</f>
        <v>1</v>
      </c>
      <c r="G156" s="577" t="s">
        <v>1958</v>
      </c>
      <c r="H156" s="1741"/>
      <c r="I156" s="587" t="s">
        <v>2525</v>
      </c>
      <c r="J156" s="587"/>
      <c r="K156" s="587"/>
      <c r="L156" s="587"/>
      <c r="M156" s="587"/>
      <c r="N156" s="587"/>
      <c r="O156" s="587"/>
      <c r="P156" s="587"/>
      <c r="Q156" s="587"/>
      <c r="R156" s="587"/>
      <c r="S156" s="587"/>
      <c r="T156" s="465" cm="1" t="str">
        <f t="array" ref="T156:T156">T155</f>
        <v>true</v>
      </c>
      <c r="U156" s="1741"/>
      <c r="V156" s="1741"/>
      <c r="W156" s="1741"/>
      <c r="X156" s="1641"/>
      <c r="Y156" s="1741"/>
      <c r="Z156" s="1642"/>
      <c r="AA156" s="1741"/>
      <c r="AB156" s="807" t="s">
        <v>2526</v>
      </c>
      <c r="AC156" s="808" t="s">
        <v>2527</v>
      </c>
      <c r="AD156" s="814" t="s">
        <v>1514</v>
      </c>
      <c r="AE156" s="802">
        <f>_xlfn.SUMIFS(Административные!AE$25:AE$122,Административные!$F$25:$F$122,$F156,Административные!$G$25:$G$122,$G156)</f>
        <v>0</v>
      </c>
      <c r="AF156" s="802">
        <f>_xlfn.SUMIFS(Административные!AF$25:AF$122,Административные!$F$25:$F$122,$F156,Административные!$G$25:$G$122,$G156)</f>
        <v>0</v>
      </c>
      <c r="AG156" s="802">
        <f>_xlfn.SUMIFS(Административные!AG$25:AG$122,Административные!$F$25:$F$122,$F156,Административные!$G$25:$G$122,$G156)</f>
        <v>0</v>
      </c>
      <c r="AH156" s="802">
        <f>AG156-AF156</f>
        <v>0</v>
      </c>
      <c r="AI156" s="802">
        <f>_xlfn.SUMIFS(Административные!AH$25:AH$122,Административные!$F$25:$F$122,$F156,Административные!$G$25:$G$122,$G156)</f>
        <v>0</v>
      </c>
      <c r="AJ156" s="802">
        <f>_xlfn.SUMIFS(Административные!AI$25:AI$122,Административные!$F$25:$F$122,$F156,Административные!$G$25:$G$122,$G156)</f>
        <v>0</v>
      </c>
      <c r="AK156" s="802">
        <f>_xlfn.SUMIFS(Административные!AJ$25:AJ$122,Административные!$F$25:$F$122,$F156,Административные!$G$25:$G$122,$G156)</f>
        <v>0</v>
      </c>
      <c r="AL156" s="802">
        <f>IF(AI156=0,0,(AK156-AI156)/AI156*100)</f>
        <v>0</v>
      </c>
      <c r="AM156" s="803"/>
      <c r="AN156" s="910" t="str">
        <f>IF(_xlfn.IFERROR(INDEX(Административные!$K$26:$L$122,MATCH($F156&amp;"7komm",Административные!$K$26:$K$122,0),2),"")=0,"",_xlfn.IFERROR(INDEX(Административные!$K$26:$L$122,MATCH($F151&amp;"7komm",Административные!$K$26:$K$122,0),2),""))</f>
        <v/>
      </c>
      <c r="AO156" s="803"/>
      <c r="AP156" s="1741"/>
      <c r="AQ156" s="1741"/>
      <c r="AR156" s="1062" t="s">
        <v>2528</v>
      </c>
      <c r="AS156" s="1062"/>
      <c r="AT156" s="1062"/>
      <c r="AU156" s="1059"/>
      <c r="AV156" s="1059"/>
    </row>
    <row s="1834" customFormat="1" customHeight="1" ht="43.5">
      <c r="A157" s="1741"/>
      <c r="B157" s="1741"/>
      <c r="C157" s="1741"/>
      <c r="D157" s="1741"/>
      <c r="E157" s="695">
        <v>45</v>
      </c>
      <c r="F157" s="50" cm="1" t="str">
        <f t="array" ref="F157:F157">OFFSET(E157,-1,1)</f>
        <v>1</v>
      </c>
      <c r="G157" s="577" t="s">
        <v>1961</v>
      </c>
      <c r="H157" s="1741"/>
      <c r="I157" s="587" t="s">
        <v>2529</v>
      </c>
      <c r="J157" s="587"/>
      <c r="K157" s="587"/>
      <c r="L157" s="587"/>
      <c r="M157" s="587"/>
      <c r="N157" s="587"/>
      <c r="O157" s="587"/>
      <c r="P157" s="587"/>
      <c r="Q157" s="587"/>
      <c r="R157" s="587"/>
      <c r="S157" s="587"/>
      <c r="T157" s="465" cm="1" t="str">
        <f t="array" ref="T157:T157">T156</f>
        <v>true</v>
      </c>
      <c r="U157" s="1741"/>
      <c r="V157" s="1741"/>
      <c r="W157" s="1741"/>
      <c r="X157" s="1641"/>
      <c r="Y157" s="1741"/>
      <c r="Z157" s="1642"/>
      <c r="AA157" s="1741"/>
      <c r="AB157" s="807" t="s">
        <v>2530</v>
      </c>
      <c r="AC157" s="762" t="s">
        <v>1962</v>
      </c>
      <c r="AD157" s="814" t="s">
        <v>1514</v>
      </c>
      <c r="AE157" s="802">
        <f>_xlfn.SUMIFS(Административные!AE$25:AE$122,Административные!$F$25:$F$122,$F157,Административные!$G$25:$G$122,$G157)</f>
        <v>0</v>
      </c>
      <c r="AF157" s="802">
        <f>_xlfn.SUMIFS(Административные!AF$25:AF$122,Административные!$F$25:$F$122,$F157,Административные!$G$25:$G$122,$G157)</f>
        <v>0</v>
      </c>
      <c r="AG157" s="802">
        <f>_xlfn.SUMIFS(Административные!AG$25:AG$122,Административные!$F$25:$F$122,$F157,Административные!$G$25:$G$122,$G157)</f>
        <v>0</v>
      </c>
      <c r="AH157" s="802">
        <f>AG157-AF157</f>
        <v>0</v>
      </c>
      <c r="AI157" s="802">
        <f>_xlfn.SUMIFS(Административные!AH$25:AH$122,Административные!$F$25:$F$122,$F157,Административные!$G$25:$G$122,$G157)</f>
        <v>0</v>
      </c>
      <c r="AJ157" s="802">
        <f>_xlfn.SUMIFS(Административные!AI$25:AI$122,Административные!$F$25:$F$122,$F157,Административные!$G$25:$G$122,$G157)</f>
        <v>0</v>
      </c>
      <c r="AK157" s="802">
        <f>_xlfn.SUMIFS(Административные!AJ$25:AJ$122,Административные!$F$25:$F$122,$F157,Административные!$G$25:$G$122,$G157)</f>
        <v>0</v>
      </c>
      <c r="AL157" s="802">
        <f>IF(AI157=0,0,(AK157-AI157)/AI157*100)</f>
        <v>0</v>
      </c>
      <c r="AM157" s="803"/>
      <c r="AN157" s="910" t="str">
        <f>IF(_xlfn.IFERROR(INDEX(Административные!$K$26:$L$122,MATCH($F157&amp;"8komm",Административные!$K$26:$K$122,0),2),"")=0,"",_xlfn.IFERROR(INDEX(Административные!$K$26:$L$122,MATCH($F152&amp;"8komm",Административные!$K$26:$K$122,0),2),""))</f>
        <v/>
      </c>
      <c r="AO157" s="803"/>
      <c r="AP157" s="1741"/>
      <c r="AQ157" s="1741"/>
      <c r="AR157" s="1062" t="s">
        <v>2531</v>
      </c>
      <c r="AS157" s="1062"/>
      <c r="AT157" s="1062"/>
      <c r="AU157" s="1059"/>
      <c r="AV157" s="1059"/>
    </row>
    <row s="1834" customFormat="1" customHeight="1" ht="14.25">
      <c r="A158" s="1741"/>
      <c r="B158" s="1741"/>
      <c r="C158" s="1741"/>
      <c r="D158" s="1741"/>
      <c r="E158" s="695">
        <v>15</v>
      </c>
      <c r="F158" s="50" cm="1" t="str">
        <f t="array" ref="F158:F158">OFFSET(E158,-1,1)</f>
        <v>1</v>
      </c>
      <c r="G158" s="577" t="s">
        <v>1964</v>
      </c>
      <c r="H158" s="1741"/>
      <c r="I158" s="587" t="s">
        <v>2532</v>
      </c>
      <c r="J158" s="587"/>
      <c r="K158" s="587"/>
      <c r="L158" s="587"/>
      <c r="M158" s="587"/>
      <c r="N158" s="587"/>
      <c r="O158" s="587"/>
      <c r="P158" s="587"/>
      <c r="Q158" s="587"/>
      <c r="R158" s="587"/>
      <c r="S158" s="587"/>
      <c r="T158" s="465" cm="1" t="str">
        <f t="array" ref="T158:T158">T157</f>
        <v>true</v>
      </c>
      <c r="U158" s="1741"/>
      <c r="V158" s="1741"/>
      <c r="W158" s="1741"/>
      <c r="X158" s="1641"/>
      <c r="Y158" s="1741"/>
      <c r="Z158" s="1642"/>
      <c r="AA158" s="1741"/>
      <c r="AB158" s="807" t="s">
        <v>2533</v>
      </c>
      <c r="AC158" s="808" t="s">
        <v>1965</v>
      </c>
      <c r="AD158" s="814" t="s">
        <v>1514</v>
      </c>
      <c r="AE158" s="802">
        <f>_xlfn.SUMIFS(Административные!AE$25:AE$122,Административные!$F$25:$F$122,$F158,Административные!$G$25:$G$122,$G158)</f>
        <v>0</v>
      </c>
      <c r="AF158" s="802">
        <f>_xlfn.SUMIFS(Административные!AF$25:AF$122,Административные!$F$25:$F$122,$F158,Административные!$G$25:$G$122,$G158)</f>
        <v>0</v>
      </c>
      <c r="AG158" s="802">
        <f>_xlfn.SUMIFS(Административные!AG$25:AG$122,Административные!$F$25:$F$122,$F158,Административные!$G$25:$G$122,$G158)</f>
        <v>0</v>
      </c>
      <c r="AH158" s="802">
        <f>AG158-AF158</f>
        <v>0</v>
      </c>
      <c r="AI158" s="802">
        <f>_xlfn.SUMIFS(Административные!AH$25:AH$122,Административные!$F$25:$F$122,$F158,Административные!$G$25:$G$122,$G158)</f>
        <v>0</v>
      </c>
      <c r="AJ158" s="1116">
        <f>_xlfn.SUMIFS(Административные!AI$25:AI$122,Административные!$F$25:$F$122,$F158,Административные!$G$25:$G$122,$G158)</f>
        <v>0</v>
      </c>
      <c r="AK158" s="1116">
        <f>_xlfn.SUMIFS(Административные!AJ$25:AJ$122,Административные!$F$25:$F$122,$F158,Административные!$G$25:$G$122,$G158)</f>
        <v>0</v>
      </c>
      <c r="AL158" s="802">
        <f>IF(AI158=0,0,(AK158-AI158)/AI158*100)</f>
        <v>0</v>
      </c>
      <c r="AM158" s="803"/>
      <c r="AN158" s="910" t="str">
        <f>IF(_xlfn.IFERROR(INDEX(Административные!$K$26:$L$122,MATCH($F158&amp;"9komm",Административные!$K$26:$K$122,0),2),"")=0,"",_xlfn.IFERROR(INDEX(Административные!$K$26:$L$122,MATCH($F153&amp;"9komm",Административные!$K$26:$K$122,0),2),""))</f>
        <v/>
      </c>
      <c r="AO158" s="803"/>
      <c r="AP158" s="1741"/>
      <c r="AQ158" s="1741"/>
      <c r="AR158" s="1062" t="s">
        <v>2534</v>
      </c>
      <c r="AS158" s="1062"/>
      <c r="AT158" s="1062"/>
      <c r="AU158" s="1059"/>
      <c r="AV158" s="1059"/>
    </row>
    <row s="7231" customFormat="1" customHeight="1" ht="14.25">
      <c r="A159" s="588"/>
      <c r="B159" s="588">
        <f>STATUS_GO="да"</f>
        <v>1</v>
      </c>
      <c r="C159" s="588"/>
      <c r="D159" s="588"/>
      <c r="E159" s="697">
        <v>15</v>
      </c>
      <c r="F159" s="50" cm="1" t="str">
        <f t="array" ref="F159:F159">OFFSET(E159,-1,1)</f>
        <v>1</v>
      </c>
      <c r="G159" s="588"/>
      <c r="H159" s="588"/>
      <c r="I159" s="698" t="s">
        <v>336</v>
      </c>
      <c r="J159" s="698"/>
      <c r="K159" s="698"/>
      <c r="L159" s="698"/>
      <c r="M159" s="698"/>
      <c r="N159" s="698"/>
      <c r="O159" s="698"/>
      <c r="P159" s="698"/>
      <c r="Q159" s="698"/>
      <c r="R159" s="698"/>
      <c r="S159" s="698"/>
      <c r="T159" s="465" cm="1" t="str">
        <f t="array" ref="T159:T159">T158</f>
        <v>true</v>
      </c>
      <c r="U159" s="588"/>
      <c r="V159" s="588"/>
      <c r="W159" s="588"/>
      <c r="X159" s="1641"/>
      <c r="Y159" s="588"/>
      <c r="Z159" s="1642"/>
      <c r="AA159" s="588"/>
      <c r="AB159" s="804" t="s">
        <v>295</v>
      </c>
      <c r="AC159" s="800" t="s">
        <v>2535</v>
      </c>
      <c r="AD159" s="812" t="s">
        <v>1514</v>
      </c>
      <c r="AE159" s="801">
        <f>_xlfn.SUMIFS('Сбытовые расходы ГО'!AE$25:AE$87,'Сбытовые расходы ГО'!$F$25:$F$87,$F159,'Сбытовые расходы ГО'!$G$25:$G$87,"l0")</f>
        <v>0</v>
      </c>
      <c r="AF159" s="801">
        <f>_xlfn.SUMIFS('Сбытовые расходы ГО'!AF$25:AF$87,'Сбытовые расходы ГО'!$F$25:$F$87,$F159,'Сбытовые расходы ГО'!$G$25:$G$87,"l0")</f>
        <v>0</v>
      </c>
      <c r="AG159" s="801">
        <f>_xlfn.SUMIFS('Сбытовые расходы ГО'!AG$25:AG$87,'Сбытовые расходы ГО'!$F$25:$F$87,$F159,'Сбытовые расходы ГО'!$G$25:$G$87,"l0")</f>
        <v>0</v>
      </c>
      <c r="AH159" s="801">
        <f>AG159-AF159</f>
        <v>0</v>
      </c>
      <c r="AI159" s="801">
        <f>_xlfn.SUMIFS('Сбытовые расходы ГО'!AH$25:AH$87,'Сбытовые расходы ГО'!$F$25:$F$87,$F159,'Сбытовые расходы ГО'!$G$25:$G$87,"l0")</f>
        <v>0</v>
      </c>
      <c r="AJ159" s="801">
        <f>_xlfn.SUMIFS('Сбытовые расходы ГО'!AI$25:AI$87,'Сбытовые расходы ГО'!$F$25:$F$87,$F159,'Сбытовые расходы ГО'!$G$25:$G$87,"l0")</f>
        <v>0</v>
      </c>
      <c r="AK159" s="801">
        <f>_xlfn.SUMIFS('Сбытовые расходы ГО'!AJ$25:AJ$87,'Сбытовые расходы ГО'!$F$25:$F$87,$F159,'Сбытовые расходы ГО'!$G$25:$G$87,"l0")</f>
        <v>0</v>
      </c>
      <c r="AL159" s="801">
        <f>IF(AI159=0,0,(AK159-AI159)/AI159*100)</f>
        <v>0</v>
      </c>
      <c r="AM159" s="806"/>
      <c r="AN159" s="910"/>
      <c r="AO159" s="806"/>
      <c r="AP159" s="588"/>
      <c r="AQ159" s="588"/>
      <c r="AR159" s="1063" t="s">
        <v>2536</v>
      </c>
      <c r="AS159" s="1063"/>
      <c r="AT159" s="1063"/>
      <c r="AU159" s="697"/>
      <c r="AV159" s="697"/>
    </row>
    <row s="7232" customFormat="1" customHeight="1" ht="14.25">
      <c r="A160" s="588"/>
      <c r="B160" s="588"/>
      <c r="C160" s="588"/>
      <c r="D160" s="588"/>
      <c r="E160" s="697">
        <v>15</v>
      </c>
      <c r="F160" s="50" cm="1" t="str">
        <f t="array" ref="F160:F160">OFFSET(E160,-1,1)</f>
        <v>1</v>
      </c>
      <c r="G160" s="588"/>
      <c r="H160" s="588"/>
      <c r="I160" s="698" t="s">
        <v>335</v>
      </c>
      <c r="J160" s="698"/>
      <c r="K160" s="698"/>
      <c r="L160" s="698"/>
      <c r="M160" s="698"/>
      <c r="N160" s="698"/>
      <c r="O160" s="698"/>
      <c r="P160" s="698"/>
      <c r="Q160" s="698"/>
      <c r="R160" s="698"/>
      <c r="S160" s="698"/>
      <c r="T160" s="465" cm="1" t="str">
        <f t="array" ref="T160:T160">T159</f>
        <v>true</v>
      </c>
      <c r="U160" s="588"/>
      <c r="V160" s="588"/>
      <c r="W160" s="588"/>
      <c r="X160" s="1641"/>
      <c r="Y160" s="588"/>
      <c r="Z160" s="1642"/>
      <c r="AA160" s="588"/>
      <c r="AB160" s="804" t="s">
        <v>443</v>
      </c>
      <c r="AC160" s="589" t="s">
        <v>2537</v>
      </c>
      <c r="AD160" s="812" t="s">
        <v>1514</v>
      </c>
      <c r="AE160" s="801">
        <f>_xlfn.SUMIFS(Амортизация!AE$25:AE$272,Амортизация!$F$25:$F$272,$F160,Амортизация!$AC$25:$AC$272,"Сумма амортизационных отчислений")</f>
        <v>0</v>
      </c>
      <c r="AF160" s="801">
        <f>_xlfn.SUMIFS(Амортизация!AF$25:AF$272,Амортизация!$F$25:$F$272,$F160,Амортизация!$AC$25:$AC$272,"Сумма амортизационных отчислений")</f>
        <v>0</v>
      </c>
      <c r="AG160" s="801">
        <f>_xlfn.SUMIFS(Амортизация!AG$25:AG$272,Амортизация!$F$25:$F$272,$F160,Амортизация!$AC$25:$AC$272,"Сумма амортизационных отчислений")</f>
        <v>0</v>
      </c>
      <c r="AH160" s="801">
        <f>AG160-AF160</f>
        <v>0</v>
      </c>
      <c r="AI160" s="801">
        <f>_xlfn.SUMIFS(Амортизация!AH$25:AH$272,Амортизация!$F$25:$F$272,$F160,Амортизация!$AC$25:$AC$272,"Сумма амортизационных отчислений")</f>
        <v>0</v>
      </c>
      <c r="AJ160" s="801">
        <f>_xlfn.SUMIFS(Амортизация!AI$25:AI$272,Амортизация!$F$25:$F$272,$F160,Амортизация!$AC$25:$AC$272,"Сумма амортизационных отчислений")</f>
        <v>0</v>
      </c>
      <c r="AK160" s="801">
        <f>_xlfn.SUMIFS(Амортизация!AS$25:AS$272,Амортизация!$F$25:$F$272,$F160,Амортизация!$AC$25:$AC$272,"Сумма амортизационных отчислений")</f>
        <v>0</v>
      </c>
      <c r="AL160" s="801">
        <f>IF(AI160=0,0,(AK160-AI160)/AI160*100)</f>
        <v>0</v>
      </c>
      <c r="AM160" s="806"/>
      <c r="AN160" s="910" t="str">
        <f>IF(_xlfn.IFERROR(INDEX(Амортизация!$K$26:$L$272,MATCH($F160&amp;"komm",Амортизация!$K$26:$K$675,0),2),"")=0,"",_xlfn.IFERROR(INDEX(Амортизация!$K$26:$L$272,MATCH($F160&amp;"komm",Амортизация!$K$26:$K$675,0),2),""))</f>
        <v/>
      </c>
      <c r="AO160" s="806"/>
      <c r="AP160" s="588"/>
      <c r="AQ160" s="588"/>
      <c r="AR160" s="1063" t="s">
        <v>1960</v>
      </c>
      <c r="AS160" s="1063"/>
      <c r="AT160" s="1063"/>
      <c r="AU160" s="697"/>
      <c r="AV160" s="697"/>
    </row>
    <row s="1834" customFormat="1" customHeight="1" ht="14.25">
      <c r="A161" s="1741"/>
      <c r="B161" s="1741"/>
      <c r="C161" s="1741"/>
      <c r="D161" s="1741"/>
      <c r="E161" s="695">
        <v>15</v>
      </c>
      <c r="F161" s="50" cm="1" t="str">
        <f t="array" ref="F161:F161">OFFSET(E161,-1,1)</f>
        <v>1</v>
      </c>
      <c r="G161" s="1741"/>
      <c r="H161" s="1741"/>
      <c r="I161" s="587" t="s">
        <v>1263</v>
      </c>
      <c r="J161" s="587"/>
      <c r="K161" s="587"/>
      <c r="L161" s="587"/>
      <c r="M161" s="587"/>
      <c r="N161" s="587"/>
      <c r="O161" s="587"/>
      <c r="P161" s="587"/>
      <c r="Q161" s="587"/>
      <c r="R161" s="587"/>
      <c r="S161" s="587"/>
      <c r="T161" s="465" cm="1" t="str">
        <f t="array" ref="T161:T161">T160</f>
        <v>true</v>
      </c>
      <c r="U161" s="1741"/>
      <c r="V161" s="1741"/>
      <c r="W161" s="1741"/>
      <c r="X161" s="1641"/>
      <c r="Y161" s="1741"/>
      <c r="Z161" s="1642"/>
      <c r="AA161" s="1741"/>
      <c r="AB161" s="807" t="s">
        <v>1391</v>
      </c>
      <c r="AC161" s="813" t="s">
        <v>2538</v>
      </c>
      <c r="AD161" s="814" t="s">
        <v>1514</v>
      </c>
      <c r="AE161" s="7168">
        <f>_xlfn.SUMIFS('ИП + источники'!AF$27:AF$203,'ИП + источники'!$F$27:$F$203,$F161,'ИП + источники'!$AC$27:$AC$203,"Амортизационные отчисления")+_xlfn.SUMIFS('ИП + источники'!AF$27:AF$203,'ИП + источники'!$F$27:$F$203,$F161,'ИП + источники'!$AC$27:$AC$203,"погашение займов и кредитов из амортизации")</f>
        <v>0</v>
      </c>
      <c r="AF161" s="7168">
        <f>_xlfn.SUMIFS('ИП + источники'!AG$27:AG$203,'ИП + источники'!$F$27:$F$203,$F161,'ИП + источники'!$AC$27:$AC$203,"Амортизационные отчисления")+_xlfn.SUMIFS('ИП + источники'!AG$27:AG$203,'ИП + источники'!$F$27:$F$203,$F161,'ИП + источники'!$AC$27:$AC$203,"погашение займов и кредитов из амортизации")</f>
        <v>0</v>
      </c>
      <c r="AG161" s="7168">
        <f>_xlfn.SUMIFS('ИП + источники'!AH$27:AH$203,'ИП + источники'!$F$27:$F$203,$F161,'ИП + источники'!$AC$27:$AC$203,"Амортизационные отчисления")+_xlfn.SUMIFS('ИП + источники'!AH$27:AH$203,'ИП + источники'!$F$27:$F$203,$F161,'ИП + источники'!$AC$27:$AC$203,"погашение займов и кредитов из амортизации")</f>
        <v>0</v>
      </c>
      <c r="AH161" s="802">
        <f>AG161-AF161</f>
        <v>0</v>
      </c>
      <c r="AI161" s="7168">
        <f>_xlfn.SUMIFS('ИП + источники'!AH$27:AH$203,'ИП + источники'!$F$27:$F$203,$F161,'ИП + источники'!$AC$27:$AC$203,"Амортизационные отчисления")+_xlfn.SUMIFS('ИП + источники'!AH$27:AH$203,'ИП + источники'!$F$27:$F$203,$F161,'ИП + источники'!$AC$27:$AC$203,"погашение займов и кредитов из амортизации")</f>
        <v>0</v>
      </c>
      <c r="AJ161" s="809">
        <f>_xlfn.SUMIFS('ИП + источники'!AI$27:AI$203,'ИП + источники'!$F$27:$F$203,$F161,'ИП + источники'!$AC$27:$AC$203,"Амортизационные отчисления")+_xlfn.SUMIFS('ИП + источники'!AI$27:AI$203,'ИП + источники'!$F$27:$F$203,$F161,'ИП + источники'!$AC$27:$AC$203,"погашение займов и кредитов из амортизации")</f>
        <v>0</v>
      </c>
      <c r="AK161" s="809">
        <f>_xlfn.SUMIFS('ИП + источники'!AJ$27:AJ$203,'ИП + источники'!$F$27:$F$203,$F161,'ИП + источники'!$AC$27:$AC$203,"Амортизационные отчисления")+_xlfn.SUMIFS('ИП + источники'!AJ$27:AJ$203,'ИП + источники'!$F$27:$F$203,$F161,'ИП + источники'!$AC$27:$AC$203,"погашение займов и кредитов из амортизации")</f>
        <v>0</v>
      </c>
      <c r="AL161" s="802">
        <f>IF(AI161=0,0,(AK161-AI161)/AI161*100)</f>
        <v>0</v>
      </c>
      <c r="AM161" s="803"/>
      <c r="AN161" s="803"/>
      <c r="AO161" s="803"/>
      <c r="AP161" s="1741"/>
      <c r="AQ161" s="1741"/>
      <c r="AR161" s="1062" t="s">
        <v>2539</v>
      </c>
      <c r="AS161" s="1062"/>
      <c r="AT161" s="1062"/>
      <c r="AU161" s="1059"/>
      <c r="AV161" s="1059"/>
    </row>
    <row s="7233" customFormat="1" customHeight="1" ht="21.75">
      <c r="A162" s="588"/>
      <c r="B162" s="588"/>
      <c r="C162" s="588"/>
      <c r="D162" s="588"/>
      <c r="E162" s="697">
        <v>22.5</v>
      </c>
      <c r="F162" s="50" cm="1" t="str">
        <f t="array" ref="F162:F162">OFFSET(E162,-1,1)</f>
        <v>1</v>
      </c>
      <c r="G162" s="588"/>
      <c r="H162" s="588"/>
      <c r="I162" s="698" t="s">
        <v>1225</v>
      </c>
      <c r="J162" s="698"/>
      <c r="K162" s="698"/>
      <c r="L162" s="698"/>
      <c r="M162" s="698"/>
      <c r="N162" s="698"/>
      <c r="O162" s="698"/>
      <c r="P162" s="698"/>
      <c r="Q162" s="698"/>
      <c r="R162" s="698"/>
      <c r="S162" s="698"/>
      <c r="T162" s="465" cm="1" t="str">
        <f t="array" ref="T162:T162">T161</f>
        <v>true</v>
      </c>
      <c r="U162" s="588"/>
      <c r="V162" s="588"/>
      <c r="W162" s="588"/>
      <c r="X162" s="1641"/>
      <c r="Y162" s="588"/>
      <c r="Z162" s="1642"/>
      <c r="AA162" s="588"/>
      <c r="AB162" s="804" t="s">
        <v>446</v>
      </c>
      <c r="AC162" s="589" t="s">
        <v>2540</v>
      </c>
      <c r="AD162" s="812" t="s">
        <v>1514</v>
      </c>
      <c r="AE162" s="801">
        <f>_xlfn.SUMIFS(Аренда!AE$25:AE$77,Аренда!$F$25:$F$77,$F162,Аренда!$G$25:$G$77,"Арендная и концессионная плата, лизинговые платежи")</f>
        <v>0</v>
      </c>
      <c r="AF162" s="801">
        <f>_xlfn.SUMIFS(Аренда!AF$25:AF$77,Аренда!$F$25:$F$77,$F162,Аренда!$G$25:$G$77,"Арендная и концессионная плата, лизинговые платежи")</f>
        <v>0</v>
      </c>
      <c r="AG162" s="801">
        <f>_xlfn.SUMIFS(Аренда!AG$25:AG$77,Аренда!$F$25:$F$77,$F162,Аренда!$G$25:$G$77,"Арендная и концессионная плата, лизинговые платежи")</f>
        <v>0</v>
      </c>
      <c r="AH162" s="801">
        <f>AG162-AF162</f>
        <v>0</v>
      </c>
      <c r="AI162" s="801">
        <f>_xlfn.SUMIFS(Аренда!AH$25:AH$77,Аренда!$F$25:$F$77,$F162,Аренда!$G$25:$G$77,"Арендная и концессионная плата, лизинговые платежи")</f>
        <v>0</v>
      </c>
      <c r="AJ162" s="801">
        <f>_xlfn.SUMIFS(Аренда!AI$25:AI$77,Аренда!$F$25:$F$77,$F162,Аренда!$G$25:$G$77,"Арендная и концессионная плата, лизинговые платежи")</f>
        <v>73.45</v>
      </c>
      <c r="AK162" s="801">
        <f>_xlfn.SUMIFS(Аренда!AS$25:AS$77,Аренда!$F$25:$F$77,$F162,Аренда!$G$25:$G$77,"Арендная и концессионная плата, лизинговые платежи")</f>
        <v>73.45</v>
      </c>
      <c r="AL162" s="801">
        <f>IF(AI162=0,0,(AK162-AI162)/AI162*100)</f>
        <v>0</v>
      </c>
      <c r="AM162" s="806"/>
      <c r="AN162" s="910" t="str">
        <f>IF(_xlfn.IFERROR(INDEX(Аренда!$K$26:$L$77,MATCH($F162&amp;"komm",Аренда!$K$26:$K$77,0),2),"")=0,"",_xlfn.IFERROR(INDEX(Аренда!$K$26:$L$77,MATCH($F162&amp;"komm",Аренда!$K$26:$K$77,0),2),""))</f>
        <v>В соответствии с п.п.3 п.49 Методических указаний 1746-э расходы на арендную плату и лизинговые платежи, размер которых определяется с учетом требований, предусмотренных пунктом 29 настоящих Методических указаний.​</v>
      </c>
      <c r="AO162" s="806"/>
      <c r="AP162" s="588"/>
      <c r="AQ162" s="588"/>
      <c r="AR162" s="1063" t="s">
        <v>2541</v>
      </c>
      <c r="AS162" s="1063"/>
      <c r="AT162" s="1063"/>
      <c r="AU162" s="697"/>
      <c r="AV162" s="697"/>
    </row>
    <row s="7234" customFormat="1" customHeight="1" ht="14.25">
      <c r="A163" s="588"/>
      <c r="B163" s="588"/>
      <c r="C163" s="588"/>
      <c r="D163" s="588"/>
      <c r="E163" s="697">
        <v>15</v>
      </c>
      <c r="F163" s="50" cm="1" t="str">
        <f t="array" ref="F163:F163">OFFSET(E163,-1,1)</f>
        <v>1</v>
      </c>
      <c r="G163" s="588"/>
      <c r="H163" s="588"/>
      <c r="I163" s="698" t="s">
        <v>1228</v>
      </c>
      <c r="J163" s="698"/>
      <c r="K163" s="698"/>
      <c r="L163" s="698"/>
      <c r="M163" s="698"/>
      <c r="N163" s="698"/>
      <c r="O163" s="698"/>
      <c r="P163" s="698"/>
      <c r="Q163" s="698"/>
      <c r="R163" s="698"/>
      <c r="S163" s="698"/>
      <c r="T163" s="465" cm="1" t="str">
        <f t="array" ref="T163:T163">T162</f>
        <v>true</v>
      </c>
      <c r="U163" s="588"/>
      <c r="V163" s="588"/>
      <c r="W163" s="588"/>
      <c r="X163" s="1641"/>
      <c r="Y163" s="588"/>
      <c r="Z163" s="1642"/>
      <c r="AA163" s="588"/>
      <c r="AB163" s="804" t="s">
        <v>449</v>
      </c>
      <c r="AC163" s="589" t="s">
        <v>2542</v>
      </c>
      <c r="AD163" s="812" t="s">
        <v>1514</v>
      </c>
      <c r="AE163" s="801">
        <f>_xlfn.SUMIFS(Налоги!AE$25:AE$101,Налоги!$F$25:$F$101,$F163,Налоги!$AC$25:$AC$101,"Налоги и платежи, относимые на указанный вид деятельности")</f>
        <v>0</v>
      </c>
      <c r="AF163" s="801">
        <f>_xlfn.SUMIFS(Налоги!AF$25:AF$101,Налоги!$F$25:$F$101,$F163,Налоги!$AC$25:$AC$101,"Налоги и платежи, относимые на указанный вид деятельности")</f>
        <v>0</v>
      </c>
      <c r="AG163" s="801">
        <f>_xlfn.SUMIFS(Налоги!AG$25:AG$101,Налоги!$F$25:$F$101,$F163,Налоги!$AC$25:$AC$101,"Налоги и платежи, относимые на указанный вид деятельности")</f>
        <v>0</v>
      </c>
      <c r="AH163" s="801">
        <f>AG163-AF163</f>
        <v>0</v>
      </c>
      <c r="AI163" s="801">
        <f>_xlfn.SUMIFS(Налоги!AH$25:AH$101,Налоги!$F$25:$F$101,$F163,Налоги!$AC$25:$AC$101,"Налоги и платежи, относимые на указанный вид деятельности")</f>
        <v>0</v>
      </c>
      <c r="AJ163" s="801">
        <f>_xlfn.SUMIFS(Налоги!AI$25:AI$101,Налоги!$F$25:$F$101,$F163,Налоги!$AC$25:$AC$101,"Налоги и платежи, относимые на указанный вид деятельности")</f>
        <v>7188.48157904</v>
      </c>
      <c r="AK163" s="801">
        <f>_xlfn.SUMIFS(Налоги!AS$25:AS$101,Налоги!$F$25:$F$101,$F163,Налоги!$AC$25:$AC$101,"Налоги и платежи, относимые на указанный вид деятельности")</f>
        <v>7188.48157904</v>
      </c>
      <c r="AL163" s="801">
        <f>IF(AI163=0,0,(AK163-AI163)/AI163*100)</f>
        <v>0</v>
      </c>
      <c r="AM163" s="806"/>
      <c r="AN163" s="910" t="str">
        <f>IF(_xlfn.IFERROR(INDEX(Налоги!$K$26:$L$101,MATCH($F163&amp;"komm",Налоги!$K$26:$K$101,0),2),"")=0,"",_xlfn.IFERROR(INDEX(Налоги!$K$26:$L$101,MATCH($F163&amp;"komm",Налоги!$K$26:$K$101,0),2),""))</f>
        <v>В соответствии с п.п. 2 п. 49 Методических указаний 1746-э.</v>
      </c>
      <c r="AO163" s="806"/>
      <c r="AP163" s="588"/>
      <c r="AQ163" s="588"/>
      <c r="AR163" s="1063" t="s">
        <v>1999</v>
      </c>
      <c r="AS163" s="1063"/>
      <c r="AT163" s="1063"/>
      <c r="AU163" s="697"/>
      <c r="AV163" s="697"/>
    </row>
    <row s="7235" customFormat="1" customHeight="1" ht="14.25">
      <c r="A164" s="588"/>
      <c r="B164" s="588"/>
      <c r="C164" s="588"/>
      <c r="D164" s="588"/>
      <c r="E164" s="697">
        <v>15</v>
      </c>
      <c r="F164" s="50" cm="1" t="str">
        <f t="array" ref="F164:F164">OFFSET(E164,-1,1)</f>
        <v>1</v>
      </c>
      <c r="G164" s="588"/>
      <c r="H164" s="588"/>
      <c r="I164" s="698" t="s">
        <v>1275</v>
      </c>
      <c r="J164" s="698"/>
      <c r="K164" s="698"/>
      <c r="L164" s="698"/>
      <c r="M164" s="698"/>
      <c r="N164" s="698"/>
      <c r="O164" s="698"/>
      <c r="P164" s="698"/>
      <c r="Q164" s="698"/>
      <c r="R164" s="698"/>
      <c r="S164" s="698"/>
      <c r="T164" s="465" cm="1" t="str">
        <f t="array" ref="T164:T164">T163</f>
        <v>true</v>
      </c>
      <c r="U164" s="588"/>
      <c r="V164" s="588"/>
      <c r="W164" s="588"/>
      <c r="X164" s="1641"/>
      <c r="Y164" s="588"/>
      <c r="Z164" s="1642"/>
      <c r="AA164" s="588"/>
      <c r="AB164" s="804" t="s">
        <v>452</v>
      </c>
      <c r="AC164" s="589" t="s">
        <v>2543</v>
      </c>
      <c r="AD164" s="590" t="s">
        <v>1514</v>
      </c>
      <c r="AE164" s="788">
        <f>AE165+AE166+AE167</f>
        <v>0</v>
      </c>
      <c r="AF164" s="788">
        <f>AF165+AF166+AF167</f>
        <v>0</v>
      </c>
      <c r="AG164" s="788">
        <f>AG165+AG166+AG167</f>
        <v>0</v>
      </c>
      <c r="AH164" s="788">
        <f>AG164-AF164</f>
        <v>0</v>
      </c>
      <c r="AI164" s="788">
        <f>AI165+AI166+AI167</f>
        <v>0</v>
      </c>
      <c r="AJ164" s="788">
        <f>AJ165+AJ166+AJ167</f>
        <v>0</v>
      </c>
      <c r="AK164" s="788">
        <f>AK165+AK166+AK167</f>
        <v>0</v>
      </c>
      <c r="AL164" s="801">
        <f>IF(AI164=0,0,(AK164-AI164)/AI164*100)</f>
        <v>0</v>
      </c>
      <c r="AM164" s="806"/>
      <c r="AN164" s="910"/>
      <c r="AO164" s="806"/>
      <c r="AP164" s="588"/>
      <c r="AQ164" s="588"/>
      <c r="AR164" s="1063" t="s">
        <v>2242</v>
      </c>
      <c r="AS164" s="1063"/>
      <c r="AT164" s="1063"/>
      <c r="AU164" s="697"/>
      <c r="AV164" s="697"/>
    </row>
    <row s="1834" customFormat="1" customHeight="1" ht="14.25">
      <c r="A165" s="1741"/>
      <c r="B165" s="1741"/>
      <c r="C165" s="1741"/>
      <c r="D165" s="1741"/>
      <c r="E165" s="695">
        <v>15</v>
      </c>
      <c r="F165" s="50" cm="1" t="str">
        <f t="array" ref="F165:F165">OFFSET(E165,-1,1)</f>
        <v>1</v>
      </c>
      <c r="G165" s="1741"/>
      <c r="H165" s="1741"/>
      <c r="I165" s="587" t="s">
        <v>1278</v>
      </c>
      <c r="J165" s="587"/>
      <c r="K165" s="587"/>
      <c r="L165" s="587"/>
      <c r="M165" s="587"/>
      <c r="N165" s="587"/>
      <c r="O165" s="587"/>
      <c r="P165" s="587"/>
      <c r="Q165" s="587"/>
      <c r="R165" s="587"/>
      <c r="S165" s="587"/>
      <c r="T165" s="465" cm="1" t="str">
        <f t="array" ref="T165:T165">T164</f>
        <v>true</v>
      </c>
      <c r="U165" s="1741"/>
      <c r="V165" s="1741"/>
      <c r="W165" s="1741"/>
      <c r="X165" s="1641"/>
      <c r="Y165" s="1741"/>
      <c r="Z165" s="1642"/>
      <c r="AA165" s="1741"/>
      <c r="AB165" s="807" t="s">
        <v>1301</v>
      </c>
      <c r="AC165" s="813" t="s">
        <v>2544</v>
      </c>
      <c r="AD165" s="814" t="s">
        <v>1514</v>
      </c>
      <c r="AE165" s="7168">
        <f>_xlfn.SUMIFS('ИП + источники'!AF$26:AF$203,'ИП + источники'!$F$26:$F$203,$F165,'ИП + источники'!$AC$26:$AC$203,"погашение займов и кредитов из нормативной прибыли")+_xlfn.SUMIFS('ИП + источники'!AF$26:AF$203,'ИП + источники'!$F$26:$F$203,$F165,'ИП + источники'!$AC$26:$AC$203,"уплата процентов по кредитам из нормативной прибыли")</f>
        <v>0</v>
      </c>
      <c r="AF165" s="7168">
        <f>_xlfn.SUMIFS('ИП + источники'!AG$26:AG$203,'ИП + источники'!$F$26:$F$203,$F165,'ИП + источники'!$AC$26:$AC$203,"погашение займов и кредитов из нормативной прибыли")+_xlfn.SUMIFS('ИП + источники'!AG$26:AG$203,'ИП + источники'!$F$26:$F$203,$F165,'ИП + источники'!$AC$26:$AC$203,"уплата процентов по кредитам из нормативной прибыли")</f>
        <v>0</v>
      </c>
      <c r="AG165" s="7168">
        <f>_xlfn.SUMIFS('ИП + источники'!AH$26:AH$203,'ИП + источники'!$F$26:$F$203,$F165,'ИП + источники'!$AC$26:$AC$203,"погашение займов и кредитов из нормативной прибыли")+_xlfn.SUMIFS('ИП + источники'!AH$26:AH$203,'ИП + источники'!$F$26:$F$203,$F165,'ИП + источники'!$AC$26:$AC$203,"уплата процентов по кредитам из нормативной прибыли")</f>
        <v>0</v>
      </c>
      <c r="AH165" s="802">
        <f>AG165-AF165</f>
        <v>0</v>
      </c>
      <c r="AI165" s="7168">
        <f>_xlfn.SUMIFS('ИП + источники'!AJ$26:AJ$203,'ИП + источники'!$F$26:$F$203,$F165,'ИП + источники'!$AC$26:$AC$203,"погашение займов и кредитов из нормативной прибыли")+_xlfn.SUMIFS('ИП + источники'!AJ$26:AJ$203,'ИП + источники'!$F$26:$F$203,$F165,'ИП + источники'!$AC$26:$AC$203,"уплата процентов по кредитам из нормативной прибыли")</f>
        <v>0</v>
      </c>
      <c r="AJ165" s="809">
        <f>_xlfn.SUMIFS('ИП + источники'!AK$26:AK$203,'ИП + источники'!$F$26:$F$203,$F165,'ИП + источники'!$AC$26:$AC$203,"погашение займов и кредитов из нормативной прибыли")+_xlfn.SUMIFS('ИП + источники'!AK$26:AK$203,'ИП + источники'!$F$26:$F$203,$F165,'ИП + источники'!$AC$26:$AC$203,"уплата процентов по кредитам из нормативной прибыли")</f>
        <v>0</v>
      </c>
      <c r="AK165" s="809">
        <f>_xlfn.SUMIFS('ИП + источники'!AU$26:AU$203,'ИП + источники'!$F$26:$F$203,$F165,'ИП + источники'!$AC$26:$AC$203,"погашение займов и кредитов из нормативной прибыли")+_xlfn.SUMIFS('ИП + источники'!AU$26:AU$203,'ИП + источники'!$F$26:$F$203,$F165,'ИП + источники'!$AC$26:$AC$203,"уплата процентов по кредитам из нормативной прибыли")</f>
        <v>0</v>
      </c>
      <c r="AL165" s="802">
        <f>IF(AI165=0,0,(AK165-AI165)/AI165*100)</f>
        <v>0</v>
      </c>
      <c r="AM165" s="803"/>
      <c r="AN165" s="910" t="str">
        <f>IF(_xlfn.IFERROR(INDEX('ИП + источники'!$K$57:$L$203,MATCH($F165&amp;"1komm",'ИП + источники'!$K$57:$K$203,0),2),"")=0,"",_xlfn.IFERROR(INDEX('ИП + источники'!$K$57:$L$203,MATCH($F165&amp;"1komm",'ИП + источники'!$K$57:$K$203,0),2),""))</f>
        <v/>
      </c>
      <c r="AO165" s="803"/>
      <c r="AP165" s="1741"/>
      <c r="AQ165" s="1741"/>
      <c r="AR165" s="1062" t="s">
        <v>1991</v>
      </c>
      <c r="AS165" s="1062"/>
      <c r="AT165" s="1062"/>
      <c r="AU165" s="1059"/>
      <c r="AV165" s="1059"/>
    </row>
    <row s="1834" customFormat="1" customHeight="1" ht="14.25">
      <c r="A166" s="1741"/>
      <c r="B166" s="1741"/>
      <c r="C166" s="1741"/>
      <c r="D166" s="1741"/>
      <c r="E166" s="695">
        <v>15</v>
      </c>
      <c r="F166" s="50" cm="1" t="str">
        <f t="array" ref="F166:F166">OFFSET(E166,-1,1)</f>
        <v>1</v>
      </c>
      <c r="G166" s="1741"/>
      <c r="H166" s="1741"/>
      <c r="I166" s="587" t="s">
        <v>1282</v>
      </c>
      <c r="J166" s="587"/>
      <c r="K166" s="587"/>
      <c r="L166" s="587"/>
      <c r="M166" s="587"/>
      <c r="N166" s="587"/>
      <c r="O166" s="587"/>
      <c r="P166" s="587"/>
      <c r="Q166" s="587"/>
      <c r="R166" s="587"/>
      <c r="S166" s="587"/>
      <c r="T166" s="465" cm="1" t="str">
        <f t="array" ref="T166:T166">T165</f>
        <v>true</v>
      </c>
      <c r="U166" s="1741"/>
      <c r="V166" s="1741"/>
      <c r="W166" s="1741"/>
      <c r="X166" s="1641"/>
      <c r="Y166" s="1741"/>
      <c r="Z166" s="1642"/>
      <c r="AA166" s="1741"/>
      <c r="AB166" s="807" t="s">
        <v>1318</v>
      </c>
      <c r="AC166" s="813" t="s">
        <v>2545</v>
      </c>
      <c r="AD166" s="814" t="s">
        <v>1514</v>
      </c>
      <c r="AE166" s="7168">
        <f>_xlfn.SUMIFS('ИП + источники'!AF$27:AF$203,'ИП + источники'!$F$27:$F$203,$F166,'ИП + источники'!$AC$27:$AC$203,"Прибыль на капвложения")</f>
        <v>0</v>
      </c>
      <c r="AF166" s="7168">
        <f>_xlfn.SUMIFS('ИП + источники'!AG$27:AG$203,'ИП + источники'!$F$27:$F$203,$F166,'ИП + источники'!$AC$27:$AC$203,"Прибыль на капвложения")</f>
        <v>0</v>
      </c>
      <c r="AG166" s="7168">
        <f>_xlfn.SUMIFS('ИП + источники'!AH$27:AH$203,'ИП + источники'!$F$27:$F$203,$F166,'ИП + источники'!$AC$27:$AC$203,"Прибыль на капвложения")</f>
        <v>0</v>
      </c>
      <c r="AH166" s="802">
        <f>AG166-AF166</f>
        <v>0</v>
      </c>
      <c r="AI166" s="7168">
        <f>_xlfn.SUMIFS('ИП + источники'!AJ$27:AJ$203,'ИП + источники'!$F$27:$F$203,$F166,'ИП + источники'!$AC$27:$AC$203,"Прибыль на капвложения")</f>
        <v>0</v>
      </c>
      <c r="AJ166" s="809">
        <f>_xlfn.SUMIFS('ИП + источники'!AK$27:AK$203,'ИП + источники'!$F$27:$F$203,$F166,'ИП + источники'!$AC$27:$AC$203,"Прибыль на капвложения")</f>
        <v>0</v>
      </c>
      <c r="AK166" s="809">
        <f>_xlfn.SUMIFS('ИП + источники'!AU$27:AU$203,'ИП + источники'!$F$27:$F$203,$F166,'ИП + источники'!$AC$27:$AC$203,"Прибыль на капвложения")</f>
        <v>0</v>
      </c>
      <c r="AL166" s="802">
        <f>IF(AI166=0,0,(AK166-AI166)/AI166*100)</f>
        <v>0</v>
      </c>
      <c r="AM166" s="803"/>
      <c r="AN166" s="910" t="str">
        <f>IF(_xlfn.IFERROR(INDEX('ИП + источники'!$K$57:$L$203,MATCH($F166&amp;"2komm",'ИП + источники'!$K$57:$K$203,0),2),"")=0,"",_xlfn.IFERROR(INDEX('ИП + источники'!$K$57:$L$203,MATCH($F166&amp;"2komm",'ИП + источники'!$K$57:$K$203,0),2),""))</f>
        <v/>
      </c>
      <c r="AO166" s="803"/>
      <c r="AP166" s="1741"/>
      <c r="AQ166" s="1741"/>
      <c r="AR166" s="1062" t="s">
        <v>2546</v>
      </c>
      <c r="AS166" s="1062"/>
      <c r="AT166" s="1062"/>
      <c r="AU166" s="1059"/>
      <c r="AV166" s="1059"/>
    </row>
    <row s="1834" customFormat="1" customHeight="1" ht="21.75">
      <c r="A167" s="1741"/>
      <c r="B167" s="1741"/>
      <c r="C167" s="1741"/>
      <c r="D167" s="1741"/>
      <c r="E167" s="695">
        <v>22.5</v>
      </c>
      <c r="F167" s="50" cm="1" t="str">
        <f t="array" ref="F167:F167">OFFSET(E167,-1,1)</f>
        <v>1</v>
      </c>
      <c r="G167" s="1741"/>
      <c r="H167" s="1741"/>
      <c r="I167" s="587" t="s">
        <v>1286</v>
      </c>
      <c r="J167" s="587"/>
      <c r="K167" s="587"/>
      <c r="L167" s="587"/>
      <c r="M167" s="587"/>
      <c r="N167" s="587"/>
      <c r="O167" s="587"/>
      <c r="P167" s="587"/>
      <c r="Q167" s="587"/>
      <c r="R167" s="587"/>
      <c r="S167" s="587"/>
      <c r="T167" s="465" cm="1" t="str">
        <f t="array" ref="T167:T167">T166</f>
        <v>true</v>
      </c>
      <c r="U167" s="1741"/>
      <c r="V167" s="1741"/>
      <c r="W167" s="1741"/>
      <c r="X167" s="1641"/>
      <c r="Y167" s="1741"/>
      <c r="Z167" s="1642"/>
      <c r="AA167" s="1741"/>
      <c r="AB167" s="807" t="s">
        <v>1330</v>
      </c>
      <c r="AC167" s="813" t="s">
        <v>2547</v>
      </c>
      <c r="AD167" s="814" t="s">
        <v>1514</v>
      </c>
      <c r="AE167" s="7168"/>
      <c r="AF167" s="7168"/>
      <c r="AG167" s="7168"/>
      <c r="AH167" s="802"/>
      <c r="AI167" s="7168"/>
      <c r="AJ167" s="809"/>
      <c r="AK167" s="809"/>
      <c r="AL167" s="802">
        <f>IF(AI167=0,0,(AK167-AI167)/AI167*100)</f>
        <v>0</v>
      </c>
      <c r="AM167" s="803"/>
      <c r="AN167" s="803"/>
      <c r="AO167" s="803"/>
      <c r="AP167" s="1741"/>
      <c r="AQ167" s="1741"/>
      <c r="AR167" s="1062" t="s">
        <v>2548</v>
      </c>
      <c r="AS167" s="1062"/>
      <c r="AT167" s="1062"/>
      <c r="AU167" s="1059"/>
      <c r="AV167" s="1059"/>
    </row>
    <row s="7236" customFormat="1" customHeight="1" ht="21.75">
      <c r="A168" s="588"/>
      <c r="B168" s="588">
        <f>STATUS_GO="да"</f>
        <v>1</v>
      </c>
      <c r="C168" s="588"/>
      <c r="D168" s="588"/>
      <c r="E168" s="697">
        <v>22.5</v>
      </c>
      <c r="F168" s="50" cm="1" t="str">
        <f t="array" ref="F168:F168">OFFSET(E168,-1,1)</f>
        <v>1</v>
      </c>
      <c r="G168" s="588"/>
      <c r="H168" s="588"/>
      <c r="I168" s="698" t="s">
        <v>1290</v>
      </c>
      <c r="J168" s="698"/>
      <c r="K168" s="698"/>
      <c r="L168" s="698"/>
      <c r="M168" s="698"/>
      <c r="N168" s="698"/>
      <c r="O168" s="698"/>
      <c r="P168" s="698"/>
      <c r="Q168" s="698"/>
      <c r="R168" s="698"/>
      <c r="S168" s="698"/>
      <c r="T168" s="465" cm="1" t="str">
        <f t="array" ref="T168:T168">T167</f>
        <v>true</v>
      </c>
      <c r="U168" s="588"/>
      <c r="V168" s="588"/>
      <c r="W168" s="588"/>
      <c r="X168" s="1641"/>
      <c r="Y168" s="588"/>
      <c r="Z168" s="1642"/>
      <c r="AA168" s="588"/>
      <c r="AB168" s="804" t="s">
        <v>455</v>
      </c>
      <c r="AC168" s="800" t="s">
        <v>2549</v>
      </c>
      <c r="AD168" s="812" t="s">
        <v>1514</v>
      </c>
      <c r="AE168" s="7165"/>
      <c r="AF168" s="7165"/>
      <c r="AG168" s="7165"/>
      <c r="AH168" s="801">
        <f>AG168-AF168</f>
        <v>0</v>
      </c>
      <c r="AI168" s="7165"/>
      <c r="AJ168" s="810"/>
      <c r="AK168" s="810"/>
      <c r="AL168" s="801">
        <f>IF(AI168=0,0,(AK168-AI168)/AI168*100)</f>
        <v>0</v>
      </c>
      <c r="AM168" s="806"/>
      <c r="AN168" s="806"/>
      <c r="AO168" s="806"/>
      <c r="AP168" s="588"/>
      <c r="AQ168" s="588"/>
      <c r="AR168" s="1063" t="s">
        <v>2550</v>
      </c>
      <c r="AS168" s="1063"/>
      <c r="AT168" s="1063"/>
      <c r="AU168" s="697"/>
      <c r="AV168" s="697"/>
    </row>
    <row s="1834" customFormat="1" customHeight="1" ht="14.25">
      <c r="A169" s="1741"/>
      <c r="B169" s="1741"/>
      <c r="C169" s="1741"/>
      <c r="D169" s="1741"/>
      <c r="E169" s="695">
        <v>15</v>
      </c>
      <c r="F169" s="50" cm="1" t="str">
        <f t="array" ref="F169:F169">OFFSET(E169,-1,1)</f>
        <v>1</v>
      </c>
      <c r="G169" s="1741"/>
      <c r="H169" s="1741"/>
      <c r="I169" s="587" t="s">
        <v>1297</v>
      </c>
      <c r="J169" s="587"/>
      <c r="K169" s="587"/>
      <c r="L169" s="587"/>
      <c r="M169" s="587"/>
      <c r="N169" s="587"/>
      <c r="O169" s="587"/>
      <c r="P169" s="587"/>
      <c r="Q169" s="587"/>
      <c r="R169" s="587"/>
      <c r="S169" s="587"/>
      <c r="T169" s="465" cm="1" t="str">
        <f t="array" ref="T169:T169">T168</f>
        <v>true</v>
      </c>
      <c r="U169" s="1741"/>
      <c r="V169" s="1741"/>
      <c r="W169" s="1741"/>
      <c r="X169" s="1641"/>
      <c r="Y169" s="1741"/>
      <c r="Z169" s="1642"/>
      <c r="AA169" s="1741"/>
      <c r="AB169" s="807" t="s">
        <v>458</v>
      </c>
      <c r="AC169" s="816" t="s">
        <v>2197</v>
      </c>
      <c r="AD169" s="814" t="s">
        <v>1514</v>
      </c>
      <c r="AE169" s="7168"/>
      <c r="AF169" s="7168"/>
      <c r="AG169" s="7168"/>
      <c r="AH169" s="802"/>
      <c r="AI169" s="7189"/>
      <c r="AJ169" s="7189"/>
      <c r="AK169" s="7189"/>
      <c r="AL169" s="802">
        <f>IF(AI169=0,0,(AK169-AI169)/AI169*100)</f>
        <v>0</v>
      </c>
      <c r="AM169" s="803"/>
      <c r="AN169" s="803"/>
      <c r="AO169" s="803"/>
      <c r="AP169" s="1741"/>
      <c r="AQ169" s="1741"/>
      <c r="AR169" s="1062" t="s">
        <v>2551</v>
      </c>
      <c r="AS169" s="1062"/>
      <c r="AT169" s="1062"/>
      <c r="AU169" s="1059"/>
      <c r="AV169" s="1059"/>
    </row>
    <row s="1834" customFormat="1" customHeight="1" ht="101.25" hidden="1">
      <c r="A170" s="1741"/>
      <c r="B170" s="1741"/>
      <c r="C170" s="1741"/>
      <c r="D170" s="1741"/>
      <c r="E170" s="695">
        <v>0</v>
      </c>
      <c r="F170" s="50" cm="1" t="str">
        <f t="array" ref="F170:F170">OFFSET(E170,-1,1)</f>
        <v>1</v>
      </c>
      <c r="G170" s="1741"/>
      <c r="H170" s="517">
        <f>ISERR(SEARCH("Водоснабжение",AB112))</f>
        <v>0</v>
      </c>
      <c r="I170" s="587" t="s">
        <v>1454</v>
      </c>
      <c r="J170" s="587"/>
      <c r="K170" s="587"/>
      <c r="L170" s="587"/>
      <c r="M170" s="587"/>
      <c r="N170" s="587"/>
      <c r="O170" s="587"/>
      <c r="P170" s="587"/>
      <c r="Q170" s="587"/>
      <c r="R170" s="587"/>
      <c r="S170" s="587"/>
      <c r="T170" s="465" cm="1" t="str">
        <f t="array" ref="T170:T170">T169</f>
        <v>true</v>
      </c>
      <c r="U170" s="1741"/>
      <c r="V170" s="1741"/>
      <c r="W170" s="1741"/>
      <c r="X170" s="1641"/>
      <c r="Y170" s="1741"/>
      <c r="Z170" s="1642"/>
      <c r="AA170" s="1741"/>
      <c r="AB170" s="807" t="s">
        <v>461</v>
      </c>
      <c r="AC170" s="816" t="s">
        <v>2552</v>
      </c>
      <c r="AD170" s="759" t="s">
        <v>1514</v>
      </c>
      <c r="AE170" s="7168"/>
      <c r="AF170" s="7168"/>
      <c r="AG170" s="7168"/>
      <c r="AH170" s="802">
        <f>AG170-AF170</f>
        <v>0</v>
      </c>
      <c r="AI170" s="7168"/>
      <c r="AJ170" s="7168"/>
      <c r="AK170" s="7168">
        <f>_xlfn.IFERROR(_xlfn.SUMIFS('Плата за негативное возд'!$AL$25:$AL$41,'Плата за негативное возд'!$F$25:$F$41,F170,'Плата за негативное возд'!$G$25:$G$41,"1"),0)</f>
        <v>0</v>
      </c>
      <c r="AL170" s="802">
        <f>IF(AI170=0,0,(AK170-AI170)/AI170*100)</f>
        <v>0</v>
      </c>
      <c r="AM170" s="7153"/>
      <c r="AN170" s="7153"/>
      <c r="AO170" s="7153"/>
      <c r="AP170" s="1741"/>
      <c r="AQ170" s="1741"/>
      <c r="AR170" s="1062" t="s">
        <v>2098</v>
      </c>
      <c r="AS170" s="1062"/>
      <c r="AT170" s="1062"/>
      <c r="AU170" s="1059"/>
      <c r="AV170" s="1059"/>
    </row>
    <row s="1834" customFormat="1" customHeight="1" ht="67.5" hidden="1">
      <c r="A171" s="1741"/>
      <c r="B171" s="1741"/>
      <c r="C171" s="1741"/>
      <c r="D171" s="1741"/>
      <c r="E171" s="695">
        <v>0</v>
      </c>
      <c r="F171" s="50" cm="1" t="str">
        <f t="array" ref="F171:F171">OFFSET(E171,-1,1)</f>
        <v>1</v>
      </c>
      <c r="G171" s="1741"/>
      <c r="H171" s="517">
        <f>ISERR(SEARCH("Водоснабжение",AB112))</f>
        <v>0</v>
      </c>
      <c r="I171" s="587" t="s">
        <v>1456</v>
      </c>
      <c r="J171" s="587"/>
      <c r="K171" s="587"/>
      <c r="L171" s="587"/>
      <c r="M171" s="587"/>
      <c r="N171" s="587"/>
      <c r="O171" s="587"/>
      <c r="P171" s="587"/>
      <c r="Q171" s="587"/>
      <c r="R171" s="587"/>
      <c r="S171" s="587"/>
      <c r="T171" s="465" cm="1" t="str">
        <f t="array" ref="T171:T171">T170</f>
        <v>true</v>
      </c>
      <c r="U171" s="1741"/>
      <c r="V171" s="1741"/>
      <c r="W171" s="1741"/>
      <c r="X171" s="1641"/>
      <c r="Y171" s="1741"/>
      <c r="Z171" s="1642"/>
      <c r="AA171" s="1741"/>
      <c r="AB171" s="807" t="s">
        <v>463</v>
      </c>
      <c r="AC171" s="816" t="s">
        <v>2553</v>
      </c>
      <c r="AD171" s="759" t="s">
        <v>1514</v>
      </c>
      <c r="AE171" s="7168"/>
      <c r="AF171" s="7168"/>
      <c r="AG171" s="7168"/>
      <c r="AH171" s="802">
        <f>AG171-AF171</f>
        <v>0</v>
      </c>
      <c r="AI171" s="7168"/>
      <c r="AJ171" s="7168"/>
      <c r="AK171" s="7168">
        <f>_xlfn.IFERROR(_xlfn.SUMIFS('Плата за негативное возд'!$AL$25:$AL$41,'Плата за негативное возд'!$F$25:$F$41,F171,'Плата за негативное возд'!$G$25:$G$41,"2"),0)</f>
        <v>0</v>
      </c>
      <c r="AL171" s="802">
        <f>IF(AI171=0,0,(AK171-AI171)/AI171*100)</f>
        <v>0</v>
      </c>
      <c r="AM171" s="7153"/>
      <c r="AN171" s="7153"/>
      <c r="AO171" s="7153"/>
      <c r="AP171" s="1741"/>
      <c r="AQ171" s="1741"/>
      <c r="AR171" s="1062" t="s">
        <v>2102</v>
      </c>
      <c r="AS171" s="1062"/>
      <c r="AT171" s="1062"/>
      <c r="AU171" s="1059"/>
      <c r="AV171" s="1059"/>
    </row>
    <row s="1834" customFormat="1" customHeight="1" ht="14.25">
      <c r="A172" s="1741"/>
      <c r="B172" s="1741"/>
      <c r="C172" s="1741"/>
      <c r="D172" s="1741"/>
      <c r="E172" s="695">
        <v>15</v>
      </c>
      <c r="F172" s="50" cm="1" t="str">
        <f t="array" ref="F172:F172">OFFSET(E172,-1,1)</f>
        <v>1</v>
      </c>
      <c r="G172" s="1741"/>
      <c r="H172" s="1741"/>
      <c r="I172" s="587" t="s">
        <v>1492</v>
      </c>
      <c r="J172" s="587"/>
      <c r="K172" s="587"/>
      <c r="L172" s="587"/>
      <c r="M172" s="587"/>
      <c r="N172" s="587"/>
      <c r="O172" s="587"/>
      <c r="P172" s="587"/>
      <c r="Q172" s="587"/>
      <c r="R172" s="587"/>
      <c r="S172" s="587"/>
      <c r="T172" s="465" cm="1" t="str">
        <f t="array" ref="T172:T172">T171</f>
        <v>true</v>
      </c>
      <c r="U172" s="1741"/>
      <c r="V172" s="1741"/>
      <c r="W172" s="1741"/>
      <c r="X172" s="1641"/>
      <c r="Y172" s="1741"/>
      <c r="Z172" s="1642"/>
      <c r="AA172" s="1741"/>
      <c r="AB172" s="807" t="s">
        <v>465</v>
      </c>
      <c r="AC172" s="818" t="s">
        <v>2554</v>
      </c>
      <c r="AD172" s="814" t="s">
        <v>1514</v>
      </c>
      <c r="AE172" s="7168"/>
      <c r="AF172" s="7168"/>
      <c r="AG172" s="7168"/>
      <c r="AH172" s="802">
        <f>AG172-AF172</f>
        <v>0</v>
      </c>
      <c r="AI172" s="7168"/>
      <c r="AJ172" s="809"/>
      <c r="AK172" s="809"/>
      <c r="AL172" s="802">
        <f>IF(AI172=0,0,(AK172-AI172)/AI172*100)</f>
        <v>0</v>
      </c>
      <c r="AM172" s="803"/>
      <c r="AN172" s="803"/>
      <c r="AO172" s="803"/>
      <c r="AP172" s="1741"/>
      <c r="AQ172" s="1741"/>
      <c r="AR172" s="1062" t="s">
        <v>1966</v>
      </c>
      <c r="AS172" s="1062"/>
      <c r="AT172" s="1062"/>
      <c r="AU172" s="1059"/>
      <c r="AV172" s="1059"/>
    </row>
    <row s="7237" customFormat="1" customHeight="1" ht="21.75">
      <c r="A173" s="588"/>
      <c r="B173" s="588"/>
      <c r="C173" s="588"/>
      <c r="D173" s="588"/>
      <c r="E173" s="697">
        <v>22.5</v>
      </c>
      <c r="F173" s="50" cm="1" t="str">
        <f t="array" ref="F173:F173">OFFSET(E173,-1,1)</f>
        <v>1</v>
      </c>
      <c r="G173" s="588"/>
      <c r="H173" s="588"/>
      <c r="I173" s="698" t="s">
        <v>1493</v>
      </c>
      <c r="J173" s="698"/>
      <c r="K173" s="698"/>
      <c r="L173" s="698"/>
      <c r="M173" s="698"/>
      <c r="N173" s="698"/>
      <c r="O173" s="698"/>
      <c r="P173" s="698"/>
      <c r="Q173" s="698"/>
      <c r="R173" s="698"/>
      <c r="S173" s="698"/>
      <c r="T173" s="465" cm="1" t="str">
        <f t="array" ref="T173:T173">T172</f>
        <v>true</v>
      </c>
      <c r="U173" s="588"/>
      <c r="V173" s="588"/>
      <c r="W173" s="588"/>
      <c r="X173" s="1641"/>
      <c r="Y173" s="588"/>
      <c r="Z173" s="1642"/>
      <c r="AA173" s="588"/>
      <c r="AB173" s="804" t="s">
        <v>467</v>
      </c>
      <c r="AC173" s="589" t="s">
        <v>2555</v>
      </c>
      <c r="AD173" s="812" t="s">
        <v>1514</v>
      </c>
      <c r="AE173" s="788">
        <f>AE174+AE175</f>
        <v>0</v>
      </c>
      <c r="AF173" s="788">
        <f>AF174+AF175</f>
        <v>0</v>
      </c>
      <c r="AG173" s="788">
        <f>AG174+AG175</f>
        <v>0</v>
      </c>
      <c r="AH173" s="801">
        <f>AG173-AF173</f>
        <v>0</v>
      </c>
      <c r="AI173" s="788">
        <f>AI174+AI175</f>
        <v>0</v>
      </c>
      <c r="AJ173" s="788">
        <f>AJ174+AJ175</f>
        <v>0</v>
      </c>
      <c r="AK173" s="788">
        <f>AK174+AK175</f>
        <v>0</v>
      </c>
      <c r="AL173" s="801">
        <f>IF(AI173=0,0,(AK173-AI173)/AI173*100)</f>
        <v>0</v>
      </c>
      <c r="AM173" s="806"/>
      <c r="AN173" s="806"/>
      <c r="AO173" s="806"/>
      <c r="AP173" s="588"/>
      <c r="AQ173" s="588"/>
      <c r="AR173" s="1063" t="s">
        <v>2280</v>
      </c>
      <c r="AS173" s="1063"/>
      <c r="AT173" s="1063"/>
      <c r="AU173" s="697"/>
      <c r="AV173" s="697"/>
    </row>
    <row s="1834" customFormat="1" customHeight="1" ht="21.75">
      <c r="A174" s="1741"/>
      <c r="B174" s="1741"/>
      <c r="C174" s="1741"/>
      <c r="D174" s="1741"/>
      <c r="E174" s="695">
        <v>22.5</v>
      </c>
      <c r="F174" s="50" cm="1" t="str">
        <f t="array" ref="F174:F174">OFFSET(E174,-1,1)</f>
        <v>1</v>
      </c>
      <c r="G174" s="1741"/>
      <c r="H174" s="1741"/>
      <c r="I174" s="587" t="s">
        <v>2556</v>
      </c>
      <c r="J174" s="587"/>
      <c r="K174" s="587"/>
      <c r="L174" s="587"/>
      <c r="M174" s="587"/>
      <c r="N174" s="587"/>
      <c r="O174" s="587"/>
      <c r="P174" s="587"/>
      <c r="Q174" s="587"/>
      <c r="R174" s="587"/>
      <c r="S174" s="587"/>
      <c r="T174" s="465" cm="1" t="str">
        <f t="array" ref="T174:T174">T173</f>
        <v>true</v>
      </c>
      <c r="U174" s="1741"/>
      <c r="V174" s="1741"/>
      <c r="W174" s="1741"/>
      <c r="X174" s="1641"/>
      <c r="Y174" s="1741"/>
      <c r="Z174" s="1642"/>
      <c r="AA174" s="1741"/>
      <c r="AB174" s="807" t="s">
        <v>2557</v>
      </c>
      <c r="AC174" s="819" t="s">
        <v>2281</v>
      </c>
      <c r="AD174" s="814" t="s">
        <v>1514</v>
      </c>
      <c r="AE174" s="7168"/>
      <c r="AF174" s="7168"/>
      <c r="AG174" s="7168"/>
      <c r="AH174" s="802">
        <f>AG174-AF174</f>
        <v>0</v>
      </c>
      <c r="AI174" s="7168"/>
      <c r="AJ174" s="809"/>
      <c r="AK174" s="809"/>
      <c r="AL174" s="802">
        <f>IF(AI174=0,0,(AK174-AI174)/AI174*100)</f>
        <v>0</v>
      </c>
      <c r="AM174" s="803"/>
      <c r="AN174" s="803"/>
      <c r="AO174" s="803"/>
      <c r="AP174" s="1741"/>
      <c r="AQ174" s="1741"/>
      <c r="AR174" s="1062" t="s">
        <v>2319</v>
      </c>
      <c r="AS174" s="1062"/>
      <c r="AT174" s="1062"/>
      <c r="AU174" s="1059"/>
      <c r="AV174" s="1059"/>
    </row>
    <row s="1834" customFormat="1" customHeight="1" ht="21.75">
      <c r="A175" s="1741"/>
      <c r="B175" s="1741"/>
      <c r="C175" s="1741"/>
      <c r="D175" s="1741"/>
      <c r="E175" s="695">
        <v>22.5</v>
      </c>
      <c r="F175" s="50" cm="1" t="str">
        <f t="array" ref="F175:F175">OFFSET(E175,-1,1)</f>
        <v>1</v>
      </c>
      <c r="G175" s="1741"/>
      <c r="H175" s="1741"/>
      <c r="I175" s="587" t="s">
        <v>2558</v>
      </c>
      <c r="J175" s="587"/>
      <c r="K175" s="587"/>
      <c r="L175" s="587"/>
      <c r="M175" s="587"/>
      <c r="N175" s="587"/>
      <c r="O175" s="587"/>
      <c r="P175" s="587"/>
      <c r="Q175" s="587"/>
      <c r="R175" s="587"/>
      <c r="S175" s="587"/>
      <c r="T175" s="465" cm="1" t="str">
        <f t="array" ref="T175:T175">T174</f>
        <v>true</v>
      </c>
      <c r="U175" s="1741"/>
      <c r="V175" s="1741"/>
      <c r="W175" s="1741"/>
      <c r="X175" s="1641"/>
      <c r="Y175" s="1741"/>
      <c r="Z175" s="1642"/>
      <c r="AA175" s="1741"/>
      <c r="AB175" s="807" t="s">
        <v>2559</v>
      </c>
      <c r="AC175" s="819" t="s">
        <v>2283</v>
      </c>
      <c r="AD175" s="814" t="s">
        <v>1514</v>
      </c>
      <c r="AE175" s="7168"/>
      <c r="AF175" s="7168"/>
      <c r="AG175" s="7168"/>
      <c r="AH175" s="802">
        <f>AG175-AF175</f>
        <v>0</v>
      </c>
      <c r="AI175" s="7168"/>
      <c r="AJ175" s="809"/>
      <c r="AK175" s="809"/>
      <c r="AL175" s="802">
        <f>IF(AI175=0,0,(AK175-AI175)/AI175*100)</f>
        <v>0</v>
      </c>
      <c r="AM175" s="803"/>
      <c r="AN175" s="803"/>
      <c r="AO175" s="803"/>
      <c r="AP175" s="1741"/>
      <c r="AQ175" s="1741"/>
      <c r="AR175" s="1062" t="s">
        <v>2560</v>
      </c>
      <c r="AS175" s="1062"/>
      <c r="AT175" s="1062"/>
      <c r="AU175" s="1059"/>
      <c r="AV175" s="1059"/>
    </row>
    <row s="1834" customFormat="1" customHeight="1" ht="14.25">
      <c r="A176" s="1741"/>
      <c r="B176" s="1741"/>
      <c r="C176" s="1741"/>
      <c r="D176" s="1741"/>
      <c r="E176" s="695">
        <v>15</v>
      </c>
      <c r="F176" s="50" cm="1" t="str">
        <f t="array" ref="F176:F176">OFFSET(E176,-1,1)</f>
        <v>1</v>
      </c>
      <c r="G176" s="1741"/>
      <c r="H176" s="1741"/>
      <c r="I176" s="587" t="s">
        <v>2561</v>
      </c>
      <c r="J176" s="587"/>
      <c r="K176" s="587"/>
      <c r="L176" s="587"/>
      <c r="M176" s="587"/>
      <c r="N176" s="587"/>
      <c r="O176" s="587"/>
      <c r="P176" s="587"/>
      <c r="Q176" s="587"/>
      <c r="R176" s="587"/>
      <c r="S176" s="587"/>
      <c r="T176" s="465" cm="1" t="str">
        <f t="array" ref="T176:T176">T175</f>
        <v>true</v>
      </c>
      <c r="U176" s="1741"/>
      <c r="V176" s="1741"/>
      <c r="W176" s="1741"/>
      <c r="X176" s="1641"/>
      <c r="Y176" s="1741"/>
      <c r="Z176" s="1642"/>
      <c r="AA176" s="1741"/>
      <c r="AB176" s="820" t="s">
        <v>341</v>
      </c>
      <c r="AC176" s="821" t="s">
        <v>2285</v>
      </c>
      <c r="AD176" s="814" t="s">
        <v>1514</v>
      </c>
      <c r="AE176" s="7168"/>
      <c r="AF176" s="7168"/>
      <c r="AG176" s="7168"/>
      <c r="AH176" s="802">
        <f>AG176-AF176</f>
        <v>0</v>
      </c>
      <c r="AI176" s="7168"/>
      <c r="AJ176" s="809"/>
      <c r="AK176" s="809"/>
      <c r="AL176" s="802">
        <f>IF(AI176=0,0,(AK176-AI176)/AI176*100)</f>
        <v>0</v>
      </c>
      <c r="AM176" s="803"/>
      <c r="AN176" s="803"/>
      <c r="AO176" s="803"/>
      <c r="AP176" s="1741"/>
      <c r="AQ176" s="1741"/>
      <c r="AR176" s="1062" t="s">
        <v>2286</v>
      </c>
      <c r="AS176" s="1062"/>
      <c r="AT176" s="1062"/>
      <c r="AU176" s="1059"/>
      <c r="AV176" s="1059"/>
    </row>
    <row s="1834" customFormat="1" customHeight="1" ht="14.25">
      <c r="A177" s="1741"/>
      <c r="B177" s="1741"/>
      <c r="C177" s="1741"/>
      <c r="D177" s="1741"/>
      <c r="E177" s="695">
        <v>15</v>
      </c>
      <c r="F177" s="50" cm="1" t="str">
        <f t="array" ref="F177:F177">OFFSET(E177,-1,1)</f>
        <v>1</v>
      </c>
      <c r="G177" s="1741"/>
      <c r="H177" s="1741"/>
      <c r="I177" s="587" t="s">
        <v>2562</v>
      </c>
      <c r="J177" s="587"/>
      <c r="K177" s="587"/>
      <c r="L177" s="587"/>
      <c r="M177" s="587"/>
      <c r="N177" s="587"/>
      <c r="O177" s="587"/>
      <c r="P177" s="587"/>
      <c r="Q177" s="587"/>
      <c r="R177" s="587"/>
      <c r="S177" s="587"/>
      <c r="T177" s="465" cm="1" t="str">
        <f t="array" ref="T177:T177">T176</f>
        <v>true</v>
      </c>
      <c r="U177" s="1741"/>
      <c r="V177" s="1741"/>
      <c r="W177" s="1741"/>
      <c r="X177" s="1641"/>
      <c r="Y177" s="1741"/>
      <c r="Z177" s="1642"/>
      <c r="AA177" s="1741"/>
      <c r="AB177" s="820" t="s">
        <v>502</v>
      </c>
      <c r="AC177" s="821" t="s">
        <v>2287</v>
      </c>
      <c r="AD177" s="814" t="s">
        <v>1514</v>
      </c>
      <c r="AE177" s="7168"/>
      <c r="AF177" s="7168"/>
      <c r="AG177" s="7168"/>
      <c r="AH177" s="802">
        <f>AG177-AF177</f>
        <v>0</v>
      </c>
      <c r="AI177" s="7168"/>
      <c r="AJ177" s="809"/>
      <c r="AK177" s="809"/>
      <c r="AL177" s="802">
        <f>IF(AI177=0,0,(AK177-AI177)/AI177*100)</f>
        <v>0</v>
      </c>
      <c r="AM177" s="803"/>
      <c r="AN177" s="803"/>
      <c r="AO177" s="803"/>
      <c r="AP177" s="1741"/>
      <c r="AQ177" s="1741"/>
      <c r="AR177" s="1062" t="s">
        <v>2288</v>
      </c>
      <c r="AS177" s="1062"/>
      <c r="AT177" s="1062"/>
      <c r="AU177" s="1059"/>
      <c r="AV177" s="1059"/>
    </row>
    <row s="7238" customFormat="1" customHeight="1" ht="14.25">
      <c r="A178" s="588"/>
      <c r="B178" s="588"/>
      <c r="C178" s="588"/>
      <c r="D178" s="588"/>
      <c r="E178" s="697">
        <v>15</v>
      </c>
      <c r="F178" s="50" cm="1" t="str">
        <f t="array" ref="F178:F178">OFFSET(E178,-1,1)</f>
        <v>1</v>
      </c>
      <c r="G178" s="588"/>
      <c r="H178" s="588"/>
      <c r="I178" s="698" t="s">
        <v>2563</v>
      </c>
      <c r="J178" s="698"/>
      <c r="K178" s="698"/>
      <c r="L178" s="698"/>
      <c r="M178" s="698"/>
      <c r="N178" s="698"/>
      <c r="O178" s="698"/>
      <c r="P178" s="698"/>
      <c r="Q178" s="698"/>
      <c r="R178" s="698"/>
      <c r="S178" s="698"/>
      <c r="T178" s="465" cm="1" t="str">
        <f t="array" ref="T178:T178">T177</f>
        <v>true</v>
      </c>
      <c r="U178" s="588"/>
      <c r="V178" s="588"/>
      <c r="W178" s="588"/>
      <c r="X178" s="1641"/>
      <c r="Y178" s="588"/>
      <c r="Z178" s="1642"/>
      <c r="AA178" s="588"/>
      <c r="AB178" s="804" t="s">
        <v>505</v>
      </c>
      <c r="AC178" s="589" t="s">
        <v>2564</v>
      </c>
      <c r="AD178" s="812" t="s">
        <v>1514</v>
      </c>
      <c r="AE178" s="788">
        <f>AE113+AE141+AE146+AE159+AE160+AE162+AE163+AE164+AE168+AE169-AE170-AE171+AE172-AE173+AE176+AE177</f>
        <v>0</v>
      </c>
      <c r="AF178" s="788">
        <f>AF113+AF141+AF146+AF159+AF160+AF162+AF163+AF164+AF168+AF169-AF170-AF171+AF172-AF173+AF176+AF177</f>
        <v>0</v>
      </c>
      <c r="AG178" s="788">
        <f>AG113+AG141+AG146+AG159+AG160+AG162+AG163+AG164+AG168+AG169-AG170-AG171+AG172-AG173+AG176+AG177</f>
        <v>0</v>
      </c>
      <c r="AH178" s="801">
        <f>AG178-AF178</f>
        <v>0</v>
      </c>
      <c r="AI178" s="788">
        <f>AI113+AI141+AI146+AI159+AI160+AI162+AI163+AI164+AI168+AI169-AI170-AI171+AI172-AI173+AI176+AI177</f>
        <v>0</v>
      </c>
      <c r="AJ178" s="788">
        <f>AJ113+AJ141+AJ146+AJ159+AJ160+AJ162+AJ163+AJ164+AJ168+AJ169-AJ170-AJ171+AJ172-AJ173+AJ176+AJ177</f>
        <v>195607.031508074</v>
      </c>
      <c r="AK178" s="788">
        <f>AK113+AK141+AK146+AK159+AK160+AK162+AK163+AK164+AK168+AK169-AK170-AK171+AK172-AK173+AK176+AK177</f>
        <v>195710.195888005</v>
      </c>
      <c r="AL178" s="801">
        <f>IF(AI178=0,0,(AK178-AI178)/AI178*100)</f>
        <v>0</v>
      </c>
      <c r="AM178" s="806"/>
      <c r="AN178" s="806"/>
      <c r="AO178" s="806"/>
      <c r="AP178" s="588"/>
      <c r="AQ178" s="588"/>
      <c r="AR178" s="1063" t="s">
        <v>2565</v>
      </c>
      <c r="AS178" s="1063"/>
      <c r="AT178" s="1063"/>
      <c r="AU178" s="697"/>
      <c r="AV178" s="697"/>
    </row>
    <row s="1834" customFormat="1" customHeight="1" ht="15" hidden="1">
      <c r="A179" s="1741"/>
      <c r="B179" s="577">
        <f>G112="двухставочный"</f>
        <v>0</v>
      </c>
      <c r="C179" s="1741"/>
      <c r="D179" s="1741"/>
      <c r="E179" s="695">
        <v>0</v>
      </c>
      <c r="F179" s="50" cm="1" t="str">
        <f t="array" ref="F179:F179">OFFSET(E179,-1,1)</f>
        <v>1</v>
      </c>
      <c r="G179" s="1741"/>
      <c r="H179" s="1741"/>
      <c r="I179" s="587" t="s">
        <v>2566</v>
      </c>
      <c r="J179" s="587"/>
      <c r="K179" s="587"/>
      <c r="L179" s="587"/>
      <c r="M179" s="587"/>
      <c r="N179" s="587"/>
      <c r="O179" s="587"/>
      <c r="P179" s="587"/>
      <c r="Q179" s="587"/>
      <c r="R179" s="587"/>
      <c r="S179" s="587"/>
      <c r="T179" s="465" cm="1" t="str">
        <f t="array" ref="T179:T179">T178</f>
        <v>true</v>
      </c>
      <c r="U179" s="1741"/>
      <c r="V179" s="1741"/>
      <c r="W179" s="1741"/>
      <c r="X179" s="1641"/>
      <c r="Y179" s="1741"/>
      <c r="Z179" s="1642"/>
      <c r="AA179" s="1741"/>
      <c r="AB179" s="807" t="s">
        <v>2567</v>
      </c>
      <c r="AC179" s="819" t="s">
        <v>2568</v>
      </c>
      <c r="AD179" s="814" t="s">
        <v>1514</v>
      </c>
      <c r="AE179" s="7168"/>
      <c r="AF179" s="7168"/>
      <c r="AG179" s="7168"/>
      <c r="AH179" s="802">
        <f>AG179-AF179</f>
        <v>0</v>
      </c>
      <c r="AI179" s="7168"/>
      <c r="AJ179" s="7168"/>
      <c r="AK179" s="7168"/>
      <c r="AL179" s="802">
        <f>IF(AI179=0,0,(AK179-AI179)/AI179*100)</f>
        <v>0</v>
      </c>
      <c r="AM179" s="7153"/>
      <c r="AN179" s="7153"/>
      <c r="AO179" s="7153"/>
      <c r="AP179" s="1741"/>
      <c r="AQ179" s="1741"/>
      <c r="AR179" s="1062" t="s">
        <v>2569</v>
      </c>
      <c r="AS179" s="1062"/>
      <c r="AT179" s="1062"/>
      <c r="AU179" s="1059"/>
      <c r="AV179" s="1059"/>
    </row>
    <row s="1834" customFormat="1" customHeight="1" ht="15" hidden="1">
      <c r="A180" s="1741"/>
      <c r="B180" s="577">
        <f>G112="двухставочный"</f>
        <v>0</v>
      </c>
      <c r="C180" s="1741"/>
      <c r="D180" s="1741"/>
      <c r="E180" s="695">
        <v>0</v>
      </c>
      <c r="F180" s="50" cm="1" t="str">
        <f t="array" ref="F180:F180">OFFSET(E180,-1,1)</f>
        <v>1</v>
      </c>
      <c r="G180" s="1741"/>
      <c r="H180" s="1741"/>
      <c r="I180" s="587" t="s">
        <v>2570</v>
      </c>
      <c r="J180" s="587"/>
      <c r="K180" s="587"/>
      <c r="L180" s="587"/>
      <c r="M180" s="587"/>
      <c r="N180" s="587"/>
      <c r="O180" s="587"/>
      <c r="P180" s="587"/>
      <c r="Q180" s="587"/>
      <c r="R180" s="587"/>
      <c r="S180" s="587"/>
      <c r="T180" s="465" cm="1" t="str">
        <f t="array" ref="T180:T180">T179</f>
        <v>true</v>
      </c>
      <c r="U180" s="1741"/>
      <c r="V180" s="1741"/>
      <c r="W180" s="1741"/>
      <c r="X180" s="1641"/>
      <c r="Y180" s="1741"/>
      <c r="Z180" s="1642"/>
      <c r="AA180" s="1741"/>
      <c r="AB180" s="807" t="s">
        <v>2571</v>
      </c>
      <c r="AC180" s="819" t="s">
        <v>2572</v>
      </c>
      <c r="AD180" s="814" t="s">
        <v>1514</v>
      </c>
      <c r="AE180" s="7168"/>
      <c r="AF180" s="7168"/>
      <c r="AG180" s="7168"/>
      <c r="AH180" s="802">
        <f>AG180-AF180</f>
        <v>0</v>
      </c>
      <c r="AI180" s="7168"/>
      <c r="AJ180" s="7168"/>
      <c r="AK180" s="7168"/>
      <c r="AL180" s="802">
        <f>IF(AI180=0,0,(AK180-AI180)/AI180*100)</f>
        <v>0</v>
      </c>
      <c r="AM180" s="7153"/>
      <c r="AN180" s="7153"/>
      <c r="AO180" s="7153"/>
      <c r="AP180" s="1741"/>
      <c r="AQ180" s="1741"/>
      <c r="AR180" s="1062" t="s">
        <v>2573</v>
      </c>
      <c r="AS180" s="1062"/>
      <c r="AT180" s="1062"/>
      <c r="AU180" s="1059"/>
      <c r="AV180" s="1059"/>
    </row>
    <row s="7239" customFormat="1" customHeight="1" ht="14.25">
      <c r="A181" s="588"/>
      <c r="B181" s="588"/>
      <c r="C181" s="588"/>
      <c r="D181" s="588"/>
      <c r="E181" s="697">
        <v>15</v>
      </c>
      <c r="F181" s="50" cm="1" t="str">
        <f t="array" ref="F181:F181">OFFSET(E181,-1,1)</f>
        <v>1</v>
      </c>
      <c r="G181" s="578" t="s">
        <v>2346</v>
      </c>
      <c r="H181" s="588"/>
      <c r="I181" s="698" t="s">
        <v>2574</v>
      </c>
      <c r="J181" s="698"/>
      <c r="K181" s="698"/>
      <c r="L181" s="698"/>
      <c r="M181" s="698"/>
      <c r="N181" s="698"/>
      <c r="O181" s="698"/>
      <c r="P181" s="698"/>
      <c r="Q181" s="698"/>
      <c r="R181" s="698"/>
      <c r="S181" s="698"/>
      <c r="T181" s="465" cm="1" t="str">
        <f t="array" ref="T181:T181">T180</f>
        <v>true</v>
      </c>
      <c r="U181" s="588"/>
      <c r="V181" s="588"/>
      <c r="W181" s="588"/>
      <c r="X181" s="1641"/>
      <c r="Y181" s="588"/>
      <c r="Z181" s="1642"/>
      <c r="AA181" s="588"/>
      <c r="AB181" s="804" t="s">
        <v>508</v>
      </c>
      <c r="AC181" s="589" t="s">
        <v>2575</v>
      </c>
      <c r="AD181" s="812" t="s">
        <v>1247</v>
      </c>
      <c r="AE181" s="822">
        <f>_xlfn.SUMIFS(Баланс!AE$26:AE$482,Баланс!$F$26:$F$482,$F181,Баланс!$G$26:$G$482,"ПО")</f>
        <v>0</v>
      </c>
      <c r="AF181" s="822">
        <f>_xlfn.SUMIFS(Баланс!AF$26:AF$482,Баланс!$F$26:$F$482,$F181,Баланс!$G$26:$G$482,"ПО")</f>
        <v>0</v>
      </c>
      <c r="AG181" s="822">
        <f>_xlfn.SUMIFS(Баланс!AG$26:AG$482,Баланс!$F$26:$F$482,$F181,Баланс!$G$26:$G$482,"ПО")</f>
        <v>0</v>
      </c>
      <c r="AH181" s="822">
        <f>AG181-AF181</f>
        <v>0</v>
      </c>
      <c r="AI181" s="822">
        <f>_xlfn.SUMIFS(Баланс!AH$26:AH$482,Баланс!$F$26:$F$482,$F181,Баланс!$G$26:$G$482,"ПО")</f>
        <v>0</v>
      </c>
      <c r="AJ181" s="822">
        <f>_xlfn.SUMIFS(Баланс!AI$26:AI$482,Баланс!$F$26:$F$482,$F181,Баланс!$G$26:$G$482,"ПО")</f>
        <v>2356.20182</v>
      </c>
      <c r="AK181" s="822">
        <f>_xlfn.SUMIFS(Баланс!AS$26:AS$482,Баланс!$F$26:$F$482,$F181,Баланс!$G$26:$G$482,"ПО")</f>
        <v>2356.20182</v>
      </c>
      <c r="AL181" s="823"/>
      <c r="AM181" s="806"/>
      <c r="AN181" s="806"/>
      <c r="AO181" s="806"/>
      <c r="AP181" s="588"/>
      <c r="AQ181" s="588"/>
      <c r="AR181" s="1063" t="s">
        <v>2576</v>
      </c>
      <c r="AS181" s="1063"/>
      <c r="AT181" s="1063"/>
      <c r="AU181" s="697"/>
      <c r="AV181" s="697"/>
    </row>
    <row s="1834" customFormat="1" customHeight="1" ht="14.25">
      <c r="A182" s="1741"/>
      <c r="B182" s="1741"/>
      <c r="C182" s="1741"/>
      <c r="D182" s="1741"/>
      <c r="E182" s="695">
        <v>15</v>
      </c>
      <c r="F182" s="50" cm="1" t="str">
        <f t="array" ref="F182:F182">OFFSET(E182,-1,1)</f>
        <v>1</v>
      </c>
      <c r="G182" s="578" t="s">
        <v>2373</v>
      </c>
      <c r="H182" s="1741"/>
      <c r="I182" s="587" t="s">
        <v>2577</v>
      </c>
      <c r="J182" s="587"/>
      <c r="K182" s="587"/>
      <c r="L182" s="587"/>
      <c r="M182" s="587"/>
      <c r="N182" s="587"/>
      <c r="O182" s="587"/>
      <c r="P182" s="587"/>
      <c r="Q182" s="587"/>
      <c r="R182" s="587"/>
      <c r="S182" s="587"/>
      <c r="T182" s="465" cm="1" t="str">
        <f t="array" ref="T182:T182">T181</f>
        <v>true</v>
      </c>
      <c r="U182" s="1741"/>
      <c r="V182" s="1741"/>
      <c r="W182" s="1741"/>
      <c r="X182" s="1641"/>
      <c r="Y182" s="1741"/>
      <c r="Z182" s="1642"/>
      <c r="AA182" s="1741"/>
      <c r="AB182" s="807" t="s">
        <v>2578</v>
      </c>
      <c r="AC182" s="1111" t="s">
        <v>2579</v>
      </c>
      <c r="AD182" s="814" t="s">
        <v>1247</v>
      </c>
      <c r="AE182" s="7197">
        <f>IF(AE$24="2026 год",AE181/12*9,AE181/2)</f>
        <v>0</v>
      </c>
      <c r="AF182" s="7197">
        <f>IF(AF$24="2026 год",AF181/12*9,AF181/2)</f>
        <v>0</v>
      </c>
      <c r="AG182" s="7197">
        <f>IF(AG$24="2026 год",AG181/12*9,AG181/2)</f>
        <v>0</v>
      </c>
      <c r="AH182" s="825">
        <f>AG182-AF182</f>
        <v>0</v>
      </c>
      <c r="AI182" s="7197">
        <f>IF(AI$24="2026 год",AI181/12*9,AI181/2)</f>
        <v>0</v>
      </c>
      <c r="AJ182" s="824">
        <f>IF(AJ$24="2026 год",AJ181/12*9,AJ181/2)</f>
        <v>1767.151365</v>
      </c>
      <c r="AK182" s="824">
        <f>IF(AK$24="2026 год",AK181/12*9,AK181/2)</f>
        <v>1767.151365</v>
      </c>
      <c r="AL182" s="817"/>
      <c r="AM182" s="803"/>
      <c r="AN182" s="803"/>
      <c r="AO182" s="803"/>
      <c r="AP182" s="1741"/>
      <c r="AQ182" s="1741"/>
      <c r="AR182" s="1062" t="s">
        <v>2580</v>
      </c>
      <c r="AS182" s="1062"/>
      <c r="AT182" s="1062"/>
      <c r="AU182" s="1059"/>
      <c r="AV182" s="1059"/>
    </row>
    <row s="1834" customFormat="1" customHeight="1" ht="14.25">
      <c r="A183" s="1741"/>
      <c r="B183" s="1741"/>
      <c r="C183" s="1741"/>
      <c r="D183" s="1741"/>
      <c r="E183" s="695">
        <v>15</v>
      </c>
      <c r="F183" s="50" cm="1" t="str">
        <f t="array" ref="F183:F183">OFFSET(E183,-1,1)</f>
        <v>1</v>
      </c>
      <c r="G183" s="578" t="s">
        <v>2334</v>
      </c>
      <c r="H183" s="1741"/>
      <c r="I183" s="587" t="s">
        <v>2581</v>
      </c>
      <c r="J183" s="587"/>
      <c r="K183" s="587"/>
      <c r="L183" s="587"/>
      <c r="M183" s="587"/>
      <c r="N183" s="587"/>
      <c r="O183" s="587"/>
      <c r="P183" s="587"/>
      <c r="Q183" s="587"/>
      <c r="R183" s="587"/>
      <c r="S183" s="587"/>
      <c r="T183" s="465" cm="1" t="str">
        <f t="array" ref="T183:T183">T182</f>
        <v>true</v>
      </c>
      <c r="U183" s="1741"/>
      <c r="V183" s="1741"/>
      <c r="W183" s="1741"/>
      <c r="X183" s="1641"/>
      <c r="Y183" s="1741"/>
      <c r="Z183" s="1642"/>
      <c r="AA183" s="1741"/>
      <c r="AB183" s="807" t="s">
        <v>2582</v>
      </c>
      <c r="AC183" s="1111" t="s">
        <v>2583</v>
      </c>
      <c r="AD183" s="814" t="s">
        <v>2337</v>
      </c>
      <c r="AE183" s="7168"/>
      <c r="AF183" s="7168"/>
      <c r="AG183" s="7168"/>
      <c r="AH183" s="802">
        <f>AG183-AF183</f>
        <v>0</v>
      </c>
      <c r="AI183" s="7168"/>
      <c r="AJ183" s="809"/>
      <c r="AK183" s="809"/>
      <c r="AL183" s="817"/>
      <c r="AM183" s="803"/>
      <c r="AN183" s="803"/>
      <c r="AO183" s="803"/>
      <c r="AP183" s="1741"/>
      <c r="AQ183" s="1741"/>
      <c r="AR183" s="1062" t="s">
        <v>2584</v>
      </c>
      <c r="AS183" s="1062"/>
      <c r="AT183" s="1062"/>
      <c r="AU183" s="1059"/>
      <c r="AV183" s="1059"/>
    </row>
    <row s="1834" customFormat="1" customHeight="1" ht="14.25">
      <c r="A184" s="1741"/>
      <c r="B184" s="1741"/>
      <c r="C184" s="1741"/>
      <c r="D184" s="1741"/>
      <c r="E184" s="695">
        <v>15</v>
      </c>
      <c r="F184" s="50" cm="1" t="str">
        <f t="array" ref="F184:F184">OFFSET(E184,-1,1)</f>
        <v>1</v>
      </c>
      <c r="G184" s="578" t="s">
        <v>2386</v>
      </c>
      <c r="H184" s="1741"/>
      <c r="I184" s="587" t="s">
        <v>2585</v>
      </c>
      <c r="J184" s="587"/>
      <c r="K184" s="587"/>
      <c r="L184" s="587"/>
      <c r="M184" s="587"/>
      <c r="N184" s="587"/>
      <c r="O184" s="587"/>
      <c r="P184" s="587"/>
      <c r="Q184" s="587"/>
      <c r="R184" s="587"/>
      <c r="S184" s="587"/>
      <c r="T184" s="465" cm="1" t="str">
        <f t="array" ref="T184:T184">T183</f>
        <v>true</v>
      </c>
      <c r="U184" s="1741"/>
      <c r="V184" s="1741"/>
      <c r="W184" s="1741"/>
      <c r="X184" s="1641"/>
      <c r="Y184" s="1741"/>
      <c r="Z184" s="1642"/>
      <c r="AA184" s="1741"/>
      <c r="AB184" s="807" t="s">
        <v>2586</v>
      </c>
      <c r="AC184" s="1111" t="s">
        <v>2587</v>
      </c>
      <c r="AD184" s="814" t="s">
        <v>1247</v>
      </c>
      <c r="AE184" s="825">
        <f>AE181-AE182</f>
        <v>0</v>
      </c>
      <c r="AF184" s="825">
        <f>AF181-AF182</f>
        <v>0</v>
      </c>
      <c r="AG184" s="825">
        <f>AG181-AG182</f>
        <v>0</v>
      </c>
      <c r="AH184" s="825">
        <f>AG184-AF184</f>
        <v>0</v>
      </c>
      <c r="AI184" s="825">
        <f>AI181-AI182</f>
        <v>0</v>
      </c>
      <c r="AJ184" s="825">
        <f>AJ181-AJ182</f>
        <v>589.050455</v>
      </c>
      <c r="AK184" s="825">
        <f>AK181-AK182</f>
        <v>589.050455</v>
      </c>
      <c r="AL184" s="817"/>
      <c r="AM184" s="803"/>
      <c r="AN184" s="803"/>
      <c r="AO184" s="803"/>
      <c r="AP184" s="1741"/>
      <c r="AQ184" s="1741"/>
      <c r="AR184" s="1062" t="s">
        <v>2588</v>
      </c>
      <c r="AS184" s="1062"/>
      <c r="AT184" s="1062"/>
      <c r="AU184" s="1059"/>
      <c r="AV184" s="1059"/>
    </row>
    <row s="1834" customFormat="1" customHeight="1" ht="14.25">
      <c r="A185" s="1741"/>
      <c r="B185" s="1741"/>
      <c r="C185" s="1741"/>
      <c r="D185" s="1741"/>
      <c r="E185" s="695">
        <v>15</v>
      </c>
      <c r="F185" s="50" cm="1" t="str">
        <f t="array" ref="F185:F185">OFFSET(E185,-1,1)</f>
        <v>1</v>
      </c>
      <c r="G185" s="578" t="s">
        <v>2339</v>
      </c>
      <c r="H185" s="1741"/>
      <c r="I185" s="587" t="s">
        <v>2589</v>
      </c>
      <c r="J185" s="587"/>
      <c r="K185" s="587"/>
      <c r="L185" s="587"/>
      <c r="M185" s="587"/>
      <c r="N185" s="587"/>
      <c r="O185" s="587"/>
      <c r="P185" s="587"/>
      <c r="Q185" s="587"/>
      <c r="R185" s="587"/>
      <c r="S185" s="587"/>
      <c r="T185" s="465" cm="1" t="str">
        <f t="array" ref="T185:T185">T184</f>
        <v>true</v>
      </c>
      <c r="U185" s="1741"/>
      <c r="V185" s="1741"/>
      <c r="W185" s="1741"/>
      <c r="X185" s="1641"/>
      <c r="Y185" s="1741"/>
      <c r="Z185" s="1642"/>
      <c r="AA185" s="1741"/>
      <c r="AB185" s="807" t="s">
        <v>2590</v>
      </c>
      <c r="AC185" s="1111" t="s">
        <v>2591</v>
      </c>
      <c r="AD185" s="814" t="s">
        <v>2337</v>
      </c>
      <c r="AE185" s="7168">
        <f>IF(AE184=0,0,(AE178-AE182*AE183)/AE184)</f>
        <v>0</v>
      </c>
      <c r="AF185" s="7168">
        <f>IF(AF184=0,0,(AF178-AF182*AF183)/AF184)</f>
        <v>0</v>
      </c>
      <c r="AG185" s="7168">
        <f>IF(AG184=0,0,(AG178-AG182*AG183)/AG184)</f>
        <v>0</v>
      </c>
      <c r="AH185" s="802">
        <f>AG185-AF185</f>
        <v>0</v>
      </c>
      <c r="AI185" s="7168">
        <f>IF(AI184=0,0,(AI178-AI182*AI183)/AI184)</f>
        <v>0</v>
      </c>
      <c r="AJ185" s="809">
        <f>IF(AJ184=0,0,(AJ178-AJ182*AJ183)/AJ184)</f>
        <v>332.071777294653</v>
      </c>
      <c r="AK185" s="809">
        <f>IF(AK184=0,0,(AK178-AK182*AK183)/AK184)</f>
        <v>332.246914040674</v>
      </c>
      <c r="AL185" s="817"/>
      <c r="AM185" s="803"/>
      <c r="AN185" s="803"/>
      <c r="AO185" s="803"/>
      <c r="AP185" s="1741"/>
      <c r="AQ185" s="1741"/>
      <c r="AR185" s="1062" t="s">
        <v>2592</v>
      </c>
      <c r="AS185" s="1062"/>
      <c r="AT185" s="1062"/>
      <c r="AU185" s="1059"/>
      <c r="AV185" s="1059"/>
    </row>
    <row s="1834" customFormat="1" customHeight="1" ht="14.25">
      <c r="A186" s="1741"/>
      <c r="B186" s="1741"/>
      <c r="C186" s="1741"/>
      <c r="D186" s="1741"/>
      <c r="E186" s="695">
        <v>15</v>
      </c>
      <c r="F186" s="50" cm="1" t="str">
        <f t="array" ref="F186:F186">OFFSET(E186,-1,1)</f>
        <v>1</v>
      </c>
      <c r="G186" s="578"/>
      <c r="H186" s="1741"/>
      <c r="I186" s="587" t="s">
        <v>2593</v>
      </c>
      <c r="J186" s="587"/>
      <c r="K186" s="587"/>
      <c r="L186" s="587"/>
      <c r="M186" s="587"/>
      <c r="N186" s="587"/>
      <c r="O186" s="587"/>
      <c r="P186" s="587"/>
      <c r="Q186" s="587"/>
      <c r="R186" s="587"/>
      <c r="S186" s="587"/>
      <c r="T186" s="465" cm="1" t="str">
        <f t="array" ref="T186:T186">T185</f>
        <v>true</v>
      </c>
      <c r="U186" s="1741"/>
      <c r="V186" s="1741"/>
      <c r="W186" s="1741"/>
      <c r="X186" s="1641"/>
      <c r="Y186" s="1741"/>
      <c r="Z186" s="1642"/>
      <c r="AA186" s="1741"/>
      <c r="AB186" s="807" t="s">
        <v>2594</v>
      </c>
      <c r="AC186" s="1111" t="s">
        <v>2595</v>
      </c>
      <c r="AD186" s="814" t="s">
        <v>1170</v>
      </c>
      <c r="AE186" s="802">
        <f>IF(AE183=0,0,AE185/AE183*100)</f>
        <v>0</v>
      </c>
      <c r="AF186" s="802">
        <f>IF(AF183=0,0,AF185/AF183*100)</f>
        <v>0</v>
      </c>
      <c r="AG186" s="802">
        <f>IF(AG183=0,0,AG185/AG183*100)</f>
        <v>0</v>
      </c>
      <c r="AH186" s="817"/>
      <c r="AI186" s="802">
        <f>IF(AI183=0,0,AI185/AI183*100)</f>
        <v>0</v>
      </c>
      <c r="AJ186" s="802">
        <f>IF(AJ183=0,0,AJ185/AJ183*100)</f>
        <v>0</v>
      </c>
      <c r="AK186" s="802">
        <f>IF(AK183=0,0,AK185/AK183*100)</f>
        <v>0</v>
      </c>
      <c r="AL186" s="817"/>
      <c r="AM186" s="803"/>
      <c r="AN186" s="803"/>
      <c r="AO186" s="803"/>
      <c r="AP186" s="1741"/>
      <c r="AQ186" s="1741"/>
      <c r="AR186" s="1062" t="s">
        <v>2596</v>
      </c>
      <c r="AS186" s="1062"/>
      <c r="AT186" s="1062"/>
      <c r="AU186" s="1059"/>
      <c r="AV186" s="1059"/>
    </row>
    <row s="1834" customFormat="1" customHeight="1" ht="14.25">
      <c r="A187" s="1741"/>
      <c r="B187" s="1741"/>
      <c r="C187" s="1741"/>
      <c r="D187" s="1741"/>
      <c r="E187" s="695">
        <v>15</v>
      </c>
      <c r="F187" s="50" cm="1" t="str">
        <f t="array" ref="F187:F187">OFFSET(E187,-1,1)</f>
        <v>1</v>
      </c>
      <c r="G187" s="578"/>
      <c r="H187" s="1741"/>
      <c r="I187" s="587" t="s">
        <v>2597</v>
      </c>
      <c r="J187" s="587"/>
      <c r="K187" s="587"/>
      <c r="L187" s="587"/>
      <c r="M187" s="587"/>
      <c r="N187" s="587"/>
      <c r="O187" s="587"/>
      <c r="P187" s="587"/>
      <c r="Q187" s="587"/>
      <c r="R187" s="587"/>
      <c r="S187" s="587"/>
      <c r="T187" s="465" cm="1" t="str">
        <f t="array" ref="T187:T187">T186</f>
        <v>true</v>
      </c>
      <c r="U187" s="1741"/>
      <c r="V187" s="1741"/>
      <c r="W187" s="1741"/>
      <c r="X187" s="1641"/>
      <c r="Y187" s="1741"/>
      <c r="Z187" s="1642"/>
      <c r="AA187" s="1741"/>
      <c r="AB187" s="807" t="s">
        <v>2598</v>
      </c>
      <c r="AC187" s="1111" t="s">
        <v>2599</v>
      </c>
      <c r="AD187" s="814" t="s">
        <v>2337</v>
      </c>
      <c r="AE187" s="7168">
        <f>IF(AE181=0,0,AE178/AE181)</f>
        <v>0</v>
      </c>
      <c r="AF187" s="7168">
        <f>IF(AF181=0,0,AF178/AF181)</f>
        <v>0</v>
      </c>
      <c r="AG187" s="7168">
        <f>IF(AG181=0,0,AG178/AG181)</f>
        <v>0</v>
      </c>
      <c r="AH187" s="802">
        <f>AG187-AF187</f>
        <v>0</v>
      </c>
      <c r="AI187" s="7168">
        <f>IF(AI181=0,0,AI178/AI181)</f>
        <v>0</v>
      </c>
      <c r="AJ187" s="809">
        <f>IF(AJ181=0,0,AJ178/AJ181)</f>
        <v>83.0179443236632</v>
      </c>
      <c r="AK187" s="809">
        <f>IF(AK181=0,0,AK178/AK181)</f>
        <v>83.0617285101685</v>
      </c>
      <c r="AL187" s="817"/>
      <c r="AM187" s="803"/>
      <c r="AN187" s="803"/>
      <c r="AO187" s="803"/>
      <c r="AP187" s="1741"/>
      <c r="AQ187" s="1741"/>
      <c r="AR187" s="1062" t="s">
        <v>2600</v>
      </c>
      <c r="AS187" s="1062"/>
      <c r="AT187" s="1062"/>
      <c r="AU187" s="1059"/>
      <c r="AV187" s="1059"/>
    </row>
    <row s="7241" customFormat="1" customHeight="1" ht="14.25">
      <c r="A188" s="588"/>
      <c r="B188" s="588"/>
      <c r="C188" s="588"/>
      <c r="D188" s="588"/>
      <c r="E188" s="697">
        <v>15</v>
      </c>
      <c r="F188" s="50" cm="1" t="str">
        <f t="array" ref="F188:F188">OFFSET(E188,-1,1)</f>
        <v>1</v>
      </c>
      <c r="G188" s="700"/>
      <c r="H188" s="588"/>
      <c r="I188" s="698" t="s">
        <v>2601</v>
      </c>
      <c r="J188" s="698"/>
      <c r="K188" s="698"/>
      <c r="L188" s="698"/>
      <c r="M188" s="698"/>
      <c r="N188" s="698"/>
      <c r="O188" s="698"/>
      <c r="P188" s="698"/>
      <c r="Q188" s="698"/>
      <c r="R188" s="698"/>
      <c r="S188" s="698"/>
      <c r="T188" s="465" cm="1" t="str">
        <f t="array" ref="T188:T188">T187</f>
        <v>true</v>
      </c>
      <c r="U188" s="588"/>
      <c r="V188" s="588"/>
      <c r="W188" s="588"/>
      <c r="X188" s="1641"/>
      <c r="Y188" s="588"/>
      <c r="Z188" s="1642"/>
      <c r="AA188" s="588"/>
      <c r="AB188" s="804" t="s">
        <v>511</v>
      </c>
      <c r="AC188" s="212" t="s">
        <v>2602</v>
      </c>
      <c r="AD188" s="812" t="s">
        <v>1514</v>
      </c>
      <c r="AE188" s="7201">
        <f>IF(AE181=0,0,AE178/AE181*AE189)</f>
        <v>0</v>
      </c>
      <c r="AF188" s="7201">
        <f>IF(AF181=0,0,AF178/AF181*AF189)</f>
        <v>0</v>
      </c>
      <c r="AG188" s="7201">
        <f>IF(AG181=0,0,AG178/AG181*AG189)</f>
        <v>0</v>
      </c>
      <c r="AH188" s="788">
        <f>AH190*AH191+AH192*AH193</f>
        <v>0</v>
      </c>
      <c r="AI188" s="7201">
        <f>IF(AI181=0,0,AI178/AI181*AI189)</f>
        <v>0</v>
      </c>
      <c r="AJ188" s="1234">
        <f>IF(AJ181=0,0,AJ178/AJ181*AJ189)</f>
        <v>87911.8438397487</v>
      </c>
      <c r="AK188" s="1234">
        <f>IF(AK181=0,0,AK178/AK181*AK189)</f>
        <v>87958.2090996701</v>
      </c>
      <c r="AL188" s="801">
        <f>IF(AI188=0,0,(AK188-AI188)/AI188*100)</f>
        <v>0</v>
      </c>
      <c r="AM188" s="806"/>
      <c r="AN188" s="806"/>
      <c r="AO188" s="806"/>
      <c r="AP188" s="588"/>
      <c r="AQ188" s="588"/>
      <c r="AR188" s="1063" t="s">
        <v>2603</v>
      </c>
      <c r="AS188" s="1063"/>
      <c r="AT188" s="1063"/>
      <c r="AU188" s="697"/>
      <c r="AV188" s="697"/>
    </row>
    <row s="7243" customFormat="1" customHeight="1" ht="14.25">
      <c r="A189" s="588"/>
      <c r="B189" s="588"/>
      <c r="C189" s="588"/>
      <c r="D189" s="588"/>
      <c r="E189" s="697">
        <v>15</v>
      </c>
      <c r="F189" s="50" cm="1" t="str">
        <f t="array" ref="F189:F189">OFFSET(E189,-1,1)</f>
        <v>1</v>
      </c>
      <c r="G189" s="578" t="s">
        <v>2359</v>
      </c>
      <c r="H189" s="588"/>
      <c r="I189" s="698" t="s">
        <v>2604</v>
      </c>
      <c r="J189" s="698"/>
      <c r="K189" s="698"/>
      <c r="L189" s="698"/>
      <c r="M189" s="698"/>
      <c r="N189" s="698"/>
      <c r="O189" s="698"/>
      <c r="P189" s="698"/>
      <c r="Q189" s="698"/>
      <c r="R189" s="698"/>
      <c r="S189" s="698"/>
      <c r="T189" s="465" cm="1" t="str">
        <f t="array" ref="T189:T189">T188</f>
        <v>true</v>
      </c>
      <c r="U189" s="588"/>
      <c r="V189" s="588"/>
      <c r="W189" s="588"/>
      <c r="X189" s="1641"/>
      <c r="Y189" s="588"/>
      <c r="Z189" s="1642"/>
      <c r="AA189" s="588"/>
      <c r="AB189" s="804" t="s">
        <v>514</v>
      </c>
      <c r="AC189" s="212" t="s">
        <v>2605</v>
      </c>
      <c r="AD189" s="812" t="s">
        <v>1247</v>
      </c>
      <c r="AE189" s="822">
        <f>_xlfn.SUMIFS(Баланс!AE$26:AE$482,Баланс!$F$26:$F$482,$F189,Баланс!$G$26:$G$482,"население")</f>
        <v>0</v>
      </c>
      <c r="AF189" s="822">
        <f>_xlfn.SUMIFS(Баланс!AF$26:AF$482,Баланс!$F$26:$F$482,$F189,Баланс!$G$26:$G$482,"население")</f>
        <v>0</v>
      </c>
      <c r="AG189" s="822">
        <f>_xlfn.SUMIFS(Баланс!AG$26:AG$482,Баланс!$F$26:$F$482,$F189,Баланс!$G$26:$G$482,"население")</f>
        <v>0</v>
      </c>
      <c r="AH189" s="822">
        <f>AG189-AF189</f>
        <v>0</v>
      </c>
      <c r="AI189" s="822">
        <f>_xlfn.SUMIFS(Баланс!AH$26:AH$482,Баланс!$F$26:$F$482,$F189,Баланс!$G$26:$G$482,"население")</f>
        <v>0</v>
      </c>
      <c r="AJ189" s="822">
        <f>_xlfn.SUMIFS(Баланс!AI$26:AI$482,Баланс!$F$26:$F$482,$F189,Баланс!$G$26:$G$482,"население")</f>
        <v>1058.9499</v>
      </c>
      <c r="AK189" s="822">
        <f>_xlfn.SUMIFS(Баланс!AS$26:AS$482,Баланс!$F$26:$F$482,$F189,Баланс!$G$26:$G$482,"население")</f>
        <v>1058.9499</v>
      </c>
      <c r="AL189" s="823"/>
      <c r="AM189" s="806"/>
      <c r="AN189" s="806"/>
      <c r="AO189" s="806"/>
      <c r="AP189" s="588"/>
      <c r="AQ189" s="588"/>
      <c r="AR189" s="1063" t="s">
        <v>2606</v>
      </c>
      <c r="AS189" s="1063"/>
      <c r="AT189" s="1063"/>
      <c r="AU189" s="697"/>
      <c r="AV189" s="697"/>
    </row>
    <row s="1834" customFormat="1" customHeight="1" ht="14.25">
      <c r="A190" s="1741"/>
      <c r="B190" s="1741"/>
      <c r="C190" s="1741"/>
      <c r="D190" s="1741"/>
      <c r="E190" s="695">
        <v>15</v>
      </c>
      <c r="F190" s="50" cm="1" t="str">
        <f t="array" ref="F190:F190">OFFSET(E190,-1,1)</f>
        <v>1</v>
      </c>
      <c r="G190" s="578" t="s">
        <v>2393</v>
      </c>
      <c r="H190" s="1741"/>
      <c r="I190" s="587" t="s">
        <v>2607</v>
      </c>
      <c r="J190" s="587"/>
      <c r="K190" s="587"/>
      <c r="L190" s="587"/>
      <c r="M190" s="587"/>
      <c r="N190" s="587"/>
      <c r="O190" s="587"/>
      <c r="P190" s="587"/>
      <c r="Q190" s="587"/>
      <c r="R190" s="587"/>
      <c r="S190" s="587"/>
      <c r="T190" s="465" cm="1" t="str">
        <f t="array" ref="T190:T190">T189</f>
        <v>true</v>
      </c>
      <c r="U190" s="1741"/>
      <c r="V190" s="1741"/>
      <c r="W190" s="1741"/>
      <c r="X190" s="1641"/>
      <c r="Y190" s="1741"/>
      <c r="Z190" s="1642"/>
      <c r="AA190" s="1741"/>
      <c r="AB190" s="807" t="s">
        <v>2608</v>
      </c>
      <c r="AC190" s="1111" t="s">
        <v>2609</v>
      </c>
      <c r="AD190" s="814" t="s">
        <v>1247</v>
      </c>
      <c r="AE190" s="7197">
        <f>IF(AE$24="2026 год",AE189/12*9,AE189/2)</f>
        <v>0</v>
      </c>
      <c r="AF190" s="7197">
        <f>IF(AF$24="2026 год",AF189/12*9,AF189/2)</f>
        <v>0</v>
      </c>
      <c r="AG190" s="7197">
        <f>IF(AG$24="2026 год",AG189/12*9,AG189/2)</f>
        <v>0</v>
      </c>
      <c r="AH190" s="825">
        <f>AG190-AF190</f>
        <v>0</v>
      </c>
      <c r="AI190" s="7197">
        <f>IF(AI$24="2026 год",AI189/12*9,AI189/2)</f>
        <v>0</v>
      </c>
      <c r="AJ190" s="824">
        <f>IF(AJ$24="2026 год",AJ189/12*9,AJ189/2)</f>
        <v>794.212425</v>
      </c>
      <c r="AK190" s="824">
        <f>IF(AK$24="2026 год",AK189/12*9,AK189/2)</f>
        <v>794.212425</v>
      </c>
      <c r="AL190" s="817"/>
      <c r="AM190" s="803"/>
      <c r="AN190" s="803"/>
      <c r="AO190" s="803"/>
      <c r="AP190" s="1741"/>
      <c r="AQ190" s="1741"/>
      <c r="AR190" s="1062" t="s">
        <v>2610</v>
      </c>
      <c r="AS190" s="1062"/>
      <c r="AT190" s="1062"/>
      <c r="AU190" s="1059"/>
      <c r="AV190" s="1059"/>
    </row>
    <row s="1834" customFormat="1" customHeight="1" ht="14.25">
      <c r="A191" s="1741"/>
      <c r="B191" s="1741"/>
      <c r="C191" s="1741"/>
      <c r="D191" s="1741"/>
      <c r="E191" s="695">
        <v>15</v>
      </c>
      <c r="F191" s="50" cm="1" t="str">
        <f t="array" ref="F191:F191">OFFSET(E191,-1,1)</f>
        <v>1</v>
      </c>
      <c r="G191" s="578" t="s">
        <v>2349</v>
      </c>
      <c r="H191" s="1741"/>
      <c r="I191" s="587" t="s">
        <v>2611</v>
      </c>
      <c r="J191" s="587"/>
      <c r="K191" s="587"/>
      <c r="L191" s="587"/>
      <c r="M191" s="587"/>
      <c r="N191" s="587"/>
      <c r="O191" s="587"/>
      <c r="P191" s="587"/>
      <c r="Q191" s="587"/>
      <c r="R191" s="587"/>
      <c r="S191" s="587"/>
      <c r="T191" s="465" cm="1" t="str">
        <f t="array" ref="T191:T191">T190</f>
        <v>true</v>
      </c>
      <c r="U191" s="1741"/>
      <c r="V191" s="1741"/>
      <c r="W191" s="1741"/>
      <c r="X191" s="1641"/>
      <c r="Y191" s="1741"/>
      <c r="Z191" s="1642"/>
      <c r="AA191" s="1741"/>
      <c r="AB191" s="807" t="s">
        <v>2612</v>
      </c>
      <c r="AC191" s="1111" t="s">
        <v>2613</v>
      </c>
      <c r="AD191" s="814" t="s">
        <v>2337</v>
      </c>
      <c r="AE191" s="7202">
        <f>IF(AE189=0,0,AE183*(1+Сценарии!AE$26/100))</f>
        <v>0</v>
      </c>
      <c r="AF191" s="7202">
        <f>IF(AF189=0,0,AF183*(1+Сценарии!AF$26/100))</f>
        <v>0</v>
      </c>
      <c r="AG191" s="7202">
        <f>IF(AG189=0,0,AG183*(1+Сценарии!AG$26/100))</f>
        <v>0</v>
      </c>
      <c r="AH191" s="802">
        <f>AG191-AF191</f>
        <v>0</v>
      </c>
      <c r="AI191" s="7202">
        <f>IF(AI189=0,0,AI183*(1+Сценарии!AI$26/100))</f>
        <v>0</v>
      </c>
      <c r="AJ191" s="1355">
        <f>IF(AJ189=0,0,AJ183*(1+Сценарии!AJ$26/100))</f>
        <v>0</v>
      </c>
      <c r="AK191" s="1355">
        <f>IF(AK189=0,0,AK183*(1+Сценарии!AK$26/100))</f>
        <v>0</v>
      </c>
      <c r="AL191" s="817"/>
      <c r="AM191" s="803"/>
      <c r="AN191" s="803"/>
      <c r="AO191" s="803"/>
      <c r="AP191" s="1741"/>
      <c r="AQ191" s="1741"/>
      <c r="AR191" s="1062" t="s">
        <v>2614</v>
      </c>
      <c r="AS191" s="1062"/>
      <c r="AT191" s="1062"/>
      <c r="AU191" s="1059"/>
      <c r="AV191" s="1059"/>
    </row>
    <row s="1834" customFormat="1" customHeight="1" ht="14.25">
      <c r="A192" s="1741"/>
      <c r="B192" s="1741"/>
      <c r="C192" s="1741"/>
      <c r="D192" s="1741"/>
      <c r="E192" s="695">
        <v>15</v>
      </c>
      <c r="F192" s="50" cm="1" t="str">
        <f t="array" ref="F192:F192">OFFSET(E192,-1,1)</f>
        <v>1</v>
      </c>
      <c r="G192" s="578" t="s">
        <v>2400</v>
      </c>
      <c r="H192" s="1741"/>
      <c r="I192" s="587" t="s">
        <v>2615</v>
      </c>
      <c r="J192" s="587"/>
      <c r="K192" s="587"/>
      <c r="L192" s="587"/>
      <c r="M192" s="587"/>
      <c r="N192" s="587"/>
      <c r="O192" s="587"/>
      <c r="P192" s="587"/>
      <c r="Q192" s="587"/>
      <c r="R192" s="587"/>
      <c r="S192" s="587"/>
      <c r="T192" s="465" cm="1" t="str">
        <f t="array" ref="T192:T192">T191</f>
        <v>true</v>
      </c>
      <c r="U192" s="1741"/>
      <c r="V192" s="1741"/>
      <c r="W192" s="1741"/>
      <c r="X192" s="1641"/>
      <c r="Y192" s="1741"/>
      <c r="Z192" s="1642"/>
      <c r="AA192" s="1741"/>
      <c r="AB192" s="807" t="s">
        <v>2616</v>
      </c>
      <c r="AC192" s="1111" t="s">
        <v>2587</v>
      </c>
      <c r="AD192" s="814" t="s">
        <v>1247</v>
      </c>
      <c r="AE192" s="825">
        <f>AE189-AE190</f>
        <v>0</v>
      </c>
      <c r="AF192" s="825">
        <f>AF189-AF190</f>
        <v>0</v>
      </c>
      <c r="AG192" s="825">
        <f>AG189-AG190</f>
        <v>0</v>
      </c>
      <c r="AH192" s="825">
        <f>AG192-AF192</f>
        <v>0</v>
      </c>
      <c r="AI192" s="825">
        <f>AI189-AI190</f>
        <v>0</v>
      </c>
      <c r="AJ192" s="825">
        <f>AJ189-AJ190</f>
        <v>264.737475</v>
      </c>
      <c r="AK192" s="825">
        <f>AK189-AK190</f>
        <v>264.737475</v>
      </c>
      <c r="AL192" s="817"/>
      <c r="AM192" s="803"/>
      <c r="AN192" s="803"/>
      <c r="AO192" s="803"/>
      <c r="AP192" s="1741"/>
      <c r="AQ192" s="1741"/>
      <c r="AR192" s="1062" t="s">
        <v>2617</v>
      </c>
      <c r="AS192" s="1062"/>
      <c r="AT192" s="1062"/>
      <c r="AU192" s="1059"/>
      <c r="AV192" s="1059"/>
    </row>
    <row s="1834" customFormat="1" customHeight="1" ht="14.25">
      <c r="A193" s="1741"/>
      <c r="B193" s="1741"/>
      <c r="C193" s="1741"/>
      <c r="D193" s="1741"/>
      <c r="E193" s="695">
        <v>15</v>
      </c>
      <c r="F193" s="50" cm="1" t="str">
        <f t="array" ref="F193:F193">OFFSET(E193,-1,1)</f>
        <v>1</v>
      </c>
      <c r="G193" s="578" t="s">
        <v>2353</v>
      </c>
      <c r="H193" s="1741"/>
      <c r="I193" s="587" t="s">
        <v>2618</v>
      </c>
      <c r="J193" s="587"/>
      <c r="K193" s="587"/>
      <c r="L193" s="587"/>
      <c r="M193" s="587"/>
      <c r="N193" s="587"/>
      <c r="O193" s="587"/>
      <c r="P193" s="587"/>
      <c r="Q193" s="587"/>
      <c r="R193" s="587"/>
      <c r="S193" s="587"/>
      <c r="T193" s="465" cm="1" t="str">
        <f t="array" ref="T193:T193">T192</f>
        <v>true</v>
      </c>
      <c r="U193" s="1741"/>
      <c r="V193" s="1741"/>
      <c r="W193" s="1741"/>
      <c r="X193" s="1641"/>
      <c r="Y193" s="1741"/>
      <c r="Z193" s="1642"/>
      <c r="AA193" s="1741"/>
      <c r="AB193" s="807" t="s">
        <v>2619</v>
      </c>
      <c r="AC193" s="1111" t="s">
        <v>2620</v>
      </c>
      <c r="AD193" s="814" t="s">
        <v>2337</v>
      </c>
      <c r="AE193" s="7168">
        <f>IF(AE189=0,0,AE185*(1+Сценарии!AE$26/100))</f>
        <v>0</v>
      </c>
      <c r="AF193" s="7168">
        <f>IF(AF189=0,0,AF185*(1+Сценарии!AF$26/100))</f>
        <v>0</v>
      </c>
      <c r="AG193" s="7168">
        <f>IF(AG189=0,0,AG185*(1+Сценарии!AG$26/100))</f>
        <v>0</v>
      </c>
      <c r="AH193" s="802">
        <f>AG193-AF193</f>
        <v>0</v>
      </c>
      <c r="AI193" s="7168">
        <f>IF(AI189=0,0,AI185*(1+Сценарии!AI$26/100))</f>
        <v>0</v>
      </c>
      <c r="AJ193" s="809">
        <f>IF(AJ189=0,0,AJ185*(1+Сценарии!AJ$26/100))</f>
        <v>405.127568299477</v>
      </c>
      <c r="AK193" s="809">
        <f>IF(AK189=0,0,AK185*(1+Сценарии!AK$26/100))</f>
        <v>405.341235129622</v>
      </c>
      <c r="AL193" s="817"/>
      <c r="AM193" s="803"/>
      <c r="AN193" s="803"/>
      <c r="AO193" s="803"/>
      <c r="AP193" s="1741"/>
      <c r="AQ193" s="1741"/>
      <c r="AR193" s="1062" t="s">
        <v>2621</v>
      </c>
      <c r="AS193" s="1062"/>
      <c r="AT193" s="1062"/>
      <c r="AU193" s="1059"/>
      <c r="AV193" s="1059"/>
    </row>
    <row s="1834" customFormat="1" customHeight="1" ht="14.25">
      <c r="A194" s="1741"/>
      <c r="B194" s="1741"/>
      <c r="C194" s="1741"/>
      <c r="D194" s="1741"/>
      <c r="E194" s="695">
        <v>15</v>
      </c>
      <c r="F194" s="50" cm="1" t="str">
        <f t="array" ref="F194:F194">OFFSET(E194,-1,1)</f>
        <v>1</v>
      </c>
      <c r="G194" s="578"/>
      <c r="H194" s="1741"/>
      <c r="I194" s="587"/>
      <c r="J194" s="587"/>
      <c r="K194" s="587"/>
      <c r="L194" s="587"/>
      <c r="M194" s="587"/>
      <c r="N194" s="587"/>
      <c r="O194" s="587"/>
      <c r="P194" s="587"/>
      <c r="Q194" s="587"/>
      <c r="R194" s="587"/>
      <c r="S194" s="587"/>
      <c r="T194" s="465" cm="1" t="str">
        <f t="array" ref="T194:T194">T193</f>
        <v>true</v>
      </c>
      <c r="U194" s="1741"/>
      <c r="V194" s="1741"/>
      <c r="W194" s="1741"/>
      <c r="X194" s="1641"/>
      <c r="Y194" s="1741"/>
      <c r="Z194" s="1642"/>
      <c r="AA194" s="1741"/>
      <c r="AB194" s="218" t="s">
        <v>517</v>
      </c>
      <c r="AC194" s="212" t="s">
        <v>2622</v>
      </c>
      <c r="AD194" s="211" t="s">
        <v>1514</v>
      </c>
      <c r="AE194" s="7168"/>
      <c r="AF194" s="7168"/>
      <c r="AG194" s="7168"/>
      <c r="AH194" s="802">
        <f>AG194-AF194</f>
        <v>0</v>
      </c>
      <c r="AI194" s="7168"/>
      <c r="AJ194" s="809"/>
      <c r="AK194" s="809"/>
      <c r="AL194" s="817"/>
      <c r="AM194" s="803"/>
      <c r="AN194" s="803"/>
      <c r="AO194" s="803"/>
      <c r="AP194" s="1741"/>
      <c r="AQ194" s="1741"/>
      <c r="AR194" s="1062" t="s">
        <v>2623</v>
      </c>
      <c r="AS194" s="1062"/>
      <c r="AT194" s="1062"/>
      <c r="AU194" s="1059"/>
      <c r="AV194" s="1059"/>
    </row>
    <row s="1834" customFormat="1" customHeight="1" ht="21.75">
      <c r="A195" s="1741"/>
      <c r="B195" s="1741"/>
      <c r="C195" s="1741"/>
      <c r="D195" s="1741"/>
      <c r="E195" s="695">
        <v>22.5</v>
      </c>
      <c r="F195" s="50" cm="1" t="str">
        <f t="array" ref="F195:F195">OFFSET(E195,-1,1)</f>
        <v>1</v>
      </c>
      <c r="G195" s="578"/>
      <c r="H195" s="1741"/>
      <c r="I195" s="587"/>
      <c r="J195" s="587"/>
      <c r="K195" s="587"/>
      <c r="L195" s="587"/>
      <c r="M195" s="587"/>
      <c r="N195" s="587"/>
      <c r="O195" s="587"/>
      <c r="P195" s="587"/>
      <c r="Q195" s="587"/>
      <c r="R195" s="587"/>
      <c r="S195" s="587"/>
      <c r="T195" s="465" cm="1" t="str">
        <f t="array" ref="T195:T195">T194</f>
        <v>true</v>
      </c>
      <c r="U195" s="1741"/>
      <c r="V195" s="1741"/>
      <c r="W195" s="1741"/>
      <c r="X195" s="1641"/>
      <c r="Y195" s="1741"/>
      <c r="Z195" s="1642"/>
      <c r="AA195" s="1741"/>
      <c r="AB195" s="299" t="s">
        <v>2624</v>
      </c>
      <c r="AC195" s="762" t="s">
        <v>2625</v>
      </c>
      <c r="AD195" s="300" t="s">
        <v>1514</v>
      </c>
      <c r="AE195" s="7168"/>
      <c r="AF195" s="7168"/>
      <c r="AG195" s="7168"/>
      <c r="AH195" s="802">
        <f>AG195-AF195</f>
        <v>0</v>
      </c>
      <c r="AI195" s="7168"/>
      <c r="AJ195" s="809"/>
      <c r="AK195" s="809"/>
      <c r="AL195" s="817"/>
      <c r="AM195" s="803"/>
      <c r="AN195" s="803"/>
      <c r="AO195" s="803"/>
      <c r="AP195" s="1741"/>
      <c r="AQ195" s="1741"/>
      <c r="AR195" s="1062" t="s">
        <v>2626</v>
      </c>
      <c r="AS195" s="1062"/>
      <c r="AT195" s="1062"/>
      <c r="AU195" s="1059"/>
      <c r="AV195" s="1059"/>
    </row>
    <row s="1834" customFormat="1" customHeight="1" ht="69.75">
      <c r="A196" s="1741"/>
      <c r="B196" s="1741"/>
      <c r="C196" s="1741"/>
      <c r="D196" s="1741"/>
      <c r="E196" s="695">
        <v>72</v>
      </c>
      <c r="F196" s="50" cm="1" t="str">
        <f t="array" ref="F196:F196">OFFSET(E196,-1,1)</f>
        <v>1</v>
      </c>
      <c r="G196" s="578"/>
      <c r="H196" s="1741"/>
      <c r="I196" s="587"/>
      <c r="J196" s="587"/>
      <c r="K196" s="587"/>
      <c r="L196" s="587"/>
      <c r="M196" s="587"/>
      <c r="N196" s="587"/>
      <c r="O196" s="587"/>
      <c r="P196" s="587"/>
      <c r="Q196" s="587"/>
      <c r="R196" s="587"/>
      <c r="S196" s="587"/>
      <c r="T196" s="465" cm="1" t="str">
        <f t="array" ref="T196:T196">T195</f>
        <v>true</v>
      </c>
      <c r="U196" s="1741"/>
      <c r="V196" s="1741"/>
      <c r="W196" s="1741"/>
      <c r="X196" s="1641"/>
      <c r="Y196" s="1741"/>
      <c r="Z196" s="1642"/>
      <c r="AA196" s="1741"/>
      <c r="AB196" s="299" t="s">
        <v>2627</v>
      </c>
      <c r="AC196" s="762" t="s">
        <v>2628</v>
      </c>
      <c r="AD196" s="300" t="s">
        <v>1514</v>
      </c>
      <c r="AE196" s="7168"/>
      <c r="AF196" s="7168"/>
      <c r="AG196" s="7168"/>
      <c r="AH196" s="802">
        <f>AG196-AF196</f>
        <v>0</v>
      </c>
      <c r="AI196" s="7168"/>
      <c r="AJ196" s="809"/>
      <c r="AK196" s="809"/>
      <c r="AL196" s="817"/>
      <c r="AM196" s="803"/>
      <c r="AN196" s="803"/>
      <c r="AO196" s="803"/>
      <c r="AP196" s="1741"/>
      <c r="AQ196" s="1741"/>
      <c r="AR196" s="1062" t="s">
        <v>2629</v>
      </c>
      <c r="AS196" s="1062"/>
      <c r="AT196" s="1062"/>
      <c r="AU196" s="1059"/>
      <c r="AV196" s="1059"/>
    </row>
    <row s="1834" customFormat="1" customHeight="1" ht="14.25">
      <c r="A197" s="1741"/>
      <c r="B197" s="1741"/>
      <c r="C197" s="1741"/>
      <c r="D197" s="1741"/>
      <c r="E197" s="695">
        <v>15</v>
      </c>
      <c r="F197" s="579" cm="1" t="str">
        <f t="array" ref="F197:F197">X197</f>
        <v>2</v>
      </c>
      <c r="G197" s="696" cm="1" t="str">
        <f t="array" ref="G197:G197">INDEX('Общие сведения'!$AK$179:$AK$250,MATCH($X197,'Общие сведения'!$Z$179:$Z$250,0))</f>
        <v>одноставочный</v>
      </c>
      <c r="H197" s="1741"/>
      <c r="I197" s="1741"/>
      <c r="J197" s="1741"/>
      <c r="K197" s="1741"/>
      <c r="L197" s="1741"/>
      <c r="M197" s="1741"/>
      <c r="N197" s="1741"/>
      <c r="O197" s="1741"/>
      <c r="P197" s="1741"/>
      <c r="Q197" s="1741"/>
      <c r="R197" s="1741"/>
      <c r="S197" s="1741"/>
      <c r="T197" s="465">
        <f>X197&gt;0</f>
        <v>1</v>
      </c>
      <c r="U197" s="1741"/>
      <c r="V197" s="694" cm="1" t="str">
        <f t="array" ref="V197:V197">ТМ!$AD$155</f>
        <v>Тариф 2 (Водоснабжение) - тариф на питьевую воду (Доп. признак не требуется)</v>
      </c>
      <c r="W197" s="1741"/>
      <c r="X197" s="1641" t="s">
        <v>285</v>
      </c>
      <c r="Y197" s="1741"/>
      <c r="Z197" s="1642"/>
      <c r="AA197" s="1741"/>
      <c r="AB197" s="1227" cm="1" t="str">
        <f t="array" ref="AB197:AB197">ТМ!$AD$155</f>
        <v>Тариф 2 (Водоснабжение) - тариф на питьевую воду (Доп. признак не требуется)</v>
      </c>
      <c r="AC197" s="586"/>
      <c r="AD197" s="586"/>
      <c r="AE197" s="586"/>
      <c r="AF197" s="586"/>
      <c r="AG197" s="586"/>
      <c r="AH197" s="586"/>
      <c r="AI197" s="586"/>
      <c r="AJ197" s="586"/>
      <c r="AK197" s="586"/>
      <c r="AL197" s="586"/>
      <c r="AM197" s="586"/>
      <c r="AN197" s="586"/>
      <c r="AO197" s="586"/>
      <c r="AP197" s="1741"/>
      <c r="AQ197" s="1741"/>
      <c r="AR197" s="1062"/>
      <c r="AS197" s="1062"/>
      <c r="AT197" s="1062"/>
      <c r="AU197" s="1059"/>
      <c r="AV197" s="1059"/>
    </row>
    <row s="1834" customFormat="1" customHeight="1" ht="14.25">
      <c r="A198" s="1741"/>
      <c r="B198" s="1741"/>
      <c r="C198" s="1741"/>
      <c r="D198" s="1741"/>
      <c r="E198" s="695">
        <v>15</v>
      </c>
      <c r="F198" s="50" cm="1" t="str">
        <f t="array" ref="F198:F198">OFFSET(E198,-1,1)</f>
        <v>2</v>
      </c>
      <c r="G198" s="1741"/>
      <c r="H198" s="1741"/>
      <c r="I198" s="587" t="s">
        <v>332</v>
      </c>
      <c r="J198" s="587"/>
      <c r="K198" s="587"/>
      <c r="L198" s="587"/>
      <c r="M198" s="587"/>
      <c r="N198" s="587"/>
      <c r="O198" s="587"/>
      <c r="P198" s="587"/>
      <c r="Q198" s="587"/>
      <c r="R198" s="587"/>
      <c r="S198" s="587"/>
      <c r="T198" s="465" cm="1" t="str">
        <f t="array" ref="T198:T198">T197</f>
        <v>true</v>
      </c>
      <c r="U198" s="1741"/>
      <c r="V198" s="1741"/>
      <c r="W198" s="1741"/>
      <c r="X198" s="1641"/>
      <c r="Y198" s="1741"/>
      <c r="Z198" s="1642"/>
      <c r="AA198" s="1741"/>
      <c r="AB198" s="799" t="s">
        <v>276</v>
      </c>
      <c r="AC198" s="800" t="s">
        <v>2434</v>
      </c>
      <c r="AD198" s="759" t="s">
        <v>1514</v>
      </c>
      <c r="AE198" s="801">
        <f>AE199+AE203+AE213+AE214+AE217+AE218+AE219</f>
        <v>0</v>
      </c>
      <c r="AF198" s="801">
        <f>AF199+AF203+AF213+AF214+AF217+AF218+AF219</f>
        <v>0</v>
      </c>
      <c r="AG198" s="801">
        <f>AG199+AG203+AG213+AG214+AG217+AG218+AG219</f>
        <v>0</v>
      </c>
      <c r="AH198" s="801">
        <f>AG198-AF198</f>
        <v>0</v>
      </c>
      <c r="AI198" s="801">
        <f>AI199+AI203+AI213+AI214+AI217+AI218+AI219</f>
        <v>0</v>
      </c>
      <c r="AJ198" s="801">
        <f>AJ199+AJ203+AJ213+AJ214+AJ217+AJ218+AJ219</f>
        <v>92221.2433245044</v>
      </c>
      <c r="AK198" s="801">
        <f>AK199+AK203+AK213+AK214+AK217+AK218+AK219</f>
        <v>92221.2409706247</v>
      </c>
      <c r="AL198" s="802">
        <f>IF(AI198=0,0,(AK198-AI198)/AI198*100)</f>
        <v>0</v>
      </c>
      <c r="AM198" s="803"/>
      <c r="AN198" s="910"/>
      <c r="AO198" s="803"/>
      <c r="AP198" s="1741"/>
      <c r="AQ198" s="1741"/>
      <c r="AR198" s="1062" t="s">
        <v>1230</v>
      </c>
      <c r="AS198" s="1062"/>
      <c r="AT198" s="1062"/>
      <c r="AU198" s="1059"/>
      <c r="AV198" s="1059"/>
    </row>
    <row s="7245" customFormat="1" customHeight="1" ht="21.75">
      <c r="A199" s="588"/>
      <c r="B199" s="588"/>
      <c r="C199" s="588"/>
      <c r="D199" s="588"/>
      <c r="E199" s="697">
        <v>22.5</v>
      </c>
      <c r="F199" s="50" cm="1" t="str">
        <f t="array" ref="F199:F199">OFFSET(E199,-1,1)</f>
        <v>2</v>
      </c>
      <c r="G199" s="588"/>
      <c r="H199" s="588"/>
      <c r="I199" s="698" t="s">
        <v>1175</v>
      </c>
      <c r="J199" s="698"/>
      <c r="K199" s="698"/>
      <c r="L199" s="698"/>
      <c r="M199" s="698"/>
      <c r="N199" s="698"/>
      <c r="O199" s="698"/>
      <c r="P199" s="698"/>
      <c r="Q199" s="698"/>
      <c r="R199" s="698"/>
      <c r="S199" s="698"/>
      <c r="T199" s="465" cm="1" t="str">
        <f t="array" ref="T199:T199">T198</f>
        <v>true</v>
      </c>
      <c r="U199" s="588"/>
      <c r="V199" s="588"/>
      <c r="W199" s="588"/>
      <c r="X199" s="1641"/>
      <c r="Y199" s="588"/>
      <c r="Z199" s="1642"/>
      <c r="AA199" s="588"/>
      <c r="AB199" s="804" t="s">
        <v>1628</v>
      </c>
      <c r="AC199" s="805" t="s">
        <v>2435</v>
      </c>
      <c r="AD199" s="590" t="s">
        <v>1514</v>
      </c>
      <c r="AE199" s="801">
        <f>SUM(AE200:AE202)</f>
        <v>0</v>
      </c>
      <c r="AF199" s="801">
        <f>SUM(AF200:AF202)</f>
        <v>0</v>
      </c>
      <c r="AG199" s="801">
        <f>SUM(AG200:AG202)</f>
        <v>0</v>
      </c>
      <c r="AH199" s="801">
        <f>AG199-AF199</f>
        <v>0</v>
      </c>
      <c r="AI199" s="801">
        <f>SUM(AI200:AI202)</f>
        <v>0</v>
      </c>
      <c r="AJ199" s="801">
        <f>SUM(AJ200:AJ202)</f>
        <v>162.4330588</v>
      </c>
      <c r="AK199" s="801">
        <f>SUM(AK200:AK202)</f>
        <v>162.4330588</v>
      </c>
      <c r="AL199" s="801">
        <f>IF(AI199=0,0,(AK199-AI199)/AI199*100)</f>
        <v>0</v>
      </c>
      <c r="AM199" s="806"/>
      <c r="AN199" s="806"/>
      <c r="AO199" s="806"/>
      <c r="AP199" s="588"/>
      <c r="AQ199" s="588"/>
      <c r="AR199" s="1063" t="s">
        <v>2436</v>
      </c>
      <c r="AS199" s="1063"/>
      <c r="AT199" s="1063"/>
      <c r="AU199" s="697"/>
      <c r="AV199" s="697"/>
    </row>
    <row s="1834" customFormat="1" customHeight="1" ht="14.25">
      <c r="A200" s="1741"/>
      <c r="B200" s="1741"/>
      <c r="C200" s="1741"/>
      <c r="D200" s="1741"/>
      <c r="E200" s="695">
        <v>15</v>
      </c>
      <c r="F200" s="50" cm="1" t="str">
        <f t="array" ref="F200:F200">OFFSET(E200,-1,1)</f>
        <v>2</v>
      </c>
      <c r="G200" s="1741"/>
      <c r="H200" s="1741"/>
      <c r="I200" s="587" t="s">
        <v>1735</v>
      </c>
      <c r="J200" s="587"/>
      <c r="K200" s="587"/>
      <c r="L200" s="587"/>
      <c r="M200" s="587"/>
      <c r="N200" s="587"/>
      <c r="O200" s="587"/>
      <c r="P200" s="587"/>
      <c r="Q200" s="587"/>
      <c r="R200" s="587"/>
      <c r="S200" s="587"/>
      <c r="T200" s="465" cm="1" t="str">
        <f t="array" ref="T200:T200">T199</f>
        <v>true</v>
      </c>
      <c r="U200" s="1741"/>
      <c r="V200" s="1741"/>
      <c r="W200" s="1741"/>
      <c r="X200" s="1641"/>
      <c r="Y200" s="1741"/>
      <c r="Z200" s="1642"/>
      <c r="AA200" s="1741"/>
      <c r="AB200" s="807" t="s">
        <v>1736</v>
      </c>
      <c r="AC200" s="808" t="s">
        <v>2437</v>
      </c>
      <c r="AD200" s="759" t="s">
        <v>1514</v>
      </c>
      <c r="AE200" s="802">
        <f>_xlfn.SUMIFS('Сырье и материалы'!AE$25:AE$162,'Сырье и материалы'!$F$25:$F$162,$F200,'Сырье и материалы'!$I$25:$I$162,"Реагенты")</f>
        <v>0</v>
      </c>
      <c r="AF200" s="802">
        <f>_xlfn.SUMIFS('Сырье и материалы'!AF$25:AF$162,'Сырье и материалы'!$F$25:$F$162,$F200,'Сырье и материалы'!$I$25:$I$162,"Реагенты")</f>
        <v>0</v>
      </c>
      <c r="AG200" s="802">
        <f>_xlfn.SUMIFS('Сырье и материалы'!AG$25:AG$162,'Сырье и материалы'!$F$25:$F$162,$F200,'Сырье и материалы'!$I$25:$I$162,"Реагенты")</f>
        <v>0</v>
      </c>
      <c r="AH200" s="802">
        <f>AG200-AF200</f>
        <v>0</v>
      </c>
      <c r="AI200" s="802">
        <f>_xlfn.SUMIFS('Сырье и материалы'!AH$25:AH$162,'Сырье и материалы'!$F$25:$F$162,$F200,'Сырье и материалы'!$I$25:$I$162,"Реагенты")</f>
        <v>0</v>
      </c>
      <c r="AJ200" s="802">
        <f>_xlfn.SUMIFS('Сырье и материалы'!AI$25:AI$162,'Сырье и материалы'!$F$25:$F$162,$F200,'Сырье и материалы'!$I$25:$I$162,"Реагенты")</f>
        <v>8.2885088</v>
      </c>
      <c r="AK200" s="802">
        <f>_xlfn.SUMIFS('Сырье и материалы'!AS$25:AS$162,'Сырье и материалы'!$F$25:$F$162,$F200,'Сырье и материалы'!$I$25:$I$162,"Реагенты")</f>
        <v>8.2885088</v>
      </c>
      <c r="AL200" s="802">
        <f>IF(AI200=0,0,(AK200-AI200)/AI200*100)</f>
        <v>0</v>
      </c>
      <c r="AM200" s="803"/>
      <c r="AN200" s="910" t="str">
        <f>IF(_xlfn.IFERROR(INDEX('Сырье и материалы'!$K$26:$L$162,MATCH($F200&amp;"komm",'Сырье и материалы'!$K$26:$K$162,0),2),"")=0,"",_xlfn.IFERROR(INDEX('Сырье и материалы'!$K$26:$L$162,MATCH($F200&amp;"komm",'Сырье и материалы'!$K$26:$K$162,0),2),""))</f>
        <v/>
      </c>
      <c r="AO200" s="803"/>
      <c r="AP200" s="1741"/>
      <c r="AQ200" s="1741"/>
      <c r="AR200" s="1062" t="s">
        <v>2438</v>
      </c>
      <c r="AS200" s="1062"/>
      <c r="AT200" s="1062"/>
      <c r="AU200" s="1059"/>
      <c r="AV200" s="1059"/>
    </row>
    <row s="1834" customFormat="1" customHeight="1" ht="14.25">
      <c r="A201" s="1741"/>
      <c r="B201" s="1741"/>
      <c r="C201" s="1741"/>
      <c r="D201" s="1741"/>
      <c r="E201" s="695">
        <v>15</v>
      </c>
      <c r="F201" s="50" cm="1" t="str">
        <f t="array" ref="F201:F201">OFFSET(E201,-1,1)</f>
        <v>2</v>
      </c>
      <c r="G201" s="1741"/>
      <c r="H201" s="1741"/>
      <c r="I201" s="587" t="s">
        <v>1739</v>
      </c>
      <c r="J201" s="587"/>
      <c r="K201" s="587"/>
      <c r="L201" s="587"/>
      <c r="M201" s="587"/>
      <c r="N201" s="587"/>
      <c r="O201" s="587"/>
      <c r="P201" s="587"/>
      <c r="Q201" s="587"/>
      <c r="R201" s="587"/>
      <c r="S201" s="587"/>
      <c r="T201" s="465" cm="1" t="str">
        <f t="array" ref="T201:T201">T200</f>
        <v>true</v>
      </c>
      <c r="U201" s="1741"/>
      <c r="V201" s="1741"/>
      <c r="W201" s="1741"/>
      <c r="X201" s="1641"/>
      <c r="Y201" s="1741"/>
      <c r="Z201" s="1642"/>
      <c r="AA201" s="1741"/>
      <c r="AB201" s="807" t="s">
        <v>1740</v>
      </c>
      <c r="AC201" s="808" t="s">
        <v>2439</v>
      </c>
      <c r="AD201" s="759" t="s">
        <v>1514</v>
      </c>
      <c r="AE201" s="1742">
        <f>_xlfn.SUMIFS('Сырье и материалы'!AE$25:AE$162,'Сырье и материалы'!$F$25:$F$162,$F201,'Сырье и материалы'!$I$25:$I$162,"Горюче-смазочные материалы")</f>
        <v>0</v>
      </c>
      <c r="AF201" s="1742">
        <f>_xlfn.SUMIFS('Сырье и материалы'!AF$25:AF$162,'Сырье и материалы'!$F$25:$F$162,$F201,'Сырье и материалы'!$I$25:$I$162,"Горюче-смазочные материалы")</f>
        <v>0</v>
      </c>
      <c r="AG201" s="1742">
        <f>_xlfn.SUMIFS('Сырье и материалы'!AG$25:AG$162,'Сырье и материалы'!$F$25:$F$162,$F201,'Сырье и материалы'!$I$25:$I$162,"Горюче-смазочные материалы")</f>
        <v>0</v>
      </c>
      <c r="AH201" s="802">
        <f>AG201-AF201</f>
        <v>0</v>
      </c>
      <c r="AI201" s="1742">
        <f>_xlfn.SUMIFS('Сырье и материалы'!AH$25:AH$162,'Сырье и материалы'!$F$25:$F$162,$F201,'Сырье и материалы'!$I$25:$I$162,"Горюче-смазочные материалы")</f>
        <v>0</v>
      </c>
      <c r="AJ201" s="1742">
        <f>_xlfn.SUMIFS('Сырье и материалы'!AI$25:AI$162,'Сырье и материалы'!$F$25:$F$162,$F201,'Сырье и материалы'!$I$25:$I$162,"Горюче-смазочные материалы")</f>
        <v>0</v>
      </c>
      <c r="AK201" s="1742">
        <f>_xlfn.SUMIFS('Сырье и материалы'!AS$25:AS$162,'Сырье и материалы'!$F$25:$F$162,$F201,'Сырье и материалы'!$I$25:$I$162,"Горюче-смазочные материалы")</f>
        <v>0</v>
      </c>
      <c r="AL201" s="802">
        <f>IF(AI201=0,0,(AK201-AI201)/AI201*100)</f>
        <v>0</v>
      </c>
      <c r="AM201" s="803"/>
      <c r="AN201" s="803"/>
      <c r="AO201" s="803"/>
      <c r="AP201" s="1741"/>
      <c r="AQ201" s="1741"/>
      <c r="AR201" s="1062" t="s">
        <v>2440</v>
      </c>
      <c r="AS201" s="1062"/>
      <c r="AT201" s="1062"/>
      <c r="AU201" s="1059"/>
      <c r="AV201" s="1059"/>
    </row>
    <row s="1834" customFormat="1" customHeight="1" ht="14.25">
      <c r="A202" s="1741"/>
      <c r="B202" s="1741"/>
      <c r="C202" s="1741"/>
      <c r="D202" s="1741"/>
      <c r="E202" s="695">
        <v>15</v>
      </c>
      <c r="F202" s="50" cm="1" t="str">
        <f t="array" ref="F202:F202">OFFSET(E202,-1,1)</f>
        <v>2</v>
      </c>
      <c r="G202" s="1741"/>
      <c r="H202" s="1741"/>
      <c r="I202" s="587" t="s">
        <v>2043</v>
      </c>
      <c r="J202" s="587"/>
      <c r="K202" s="587"/>
      <c r="L202" s="587"/>
      <c r="M202" s="587"/>
      <c r="N202" s="587"/>
      <c r="O202" s="587"/>
      <c r="P202" s="587"/>
      <c r="Q202" s="587"/>
      <c r="R202" s="587"/>
      <c r="S202" s="587"/>
      <c r="T202" s="465" cm="1" t="str">
        <f t="array" ref="T202:T202">T201</f>
        <v>true</v>
      </c>
      <c r="U202" s="1741"/>
      <c r="V202" s="1741"/>
      <c r="W202" s="1741"/>
      <c r="X202" s="1641"/>
      <c r="Y202" s="1741"/>
      <c r="Z202" s="1642"/>
      <c r="AA202" s="1741"/>
      <c r="AB202" s="807" t="s">
        <v>2044</v>
      </c>
      <c r="AC202" s="808" t="s">
        <v>2441</v>
      </c>
      <c r="AD202" s="759" t="s">
        <v>1514</v>
      </c>
      <c r="AE202" s="1742">
        <f>_xlfn.SUMIFS('Сырье и материалы'!AE$25:AE$162,'Сырье и материалы'!$F$25:$F$162,$F202,'Сырье и материалы'!$I$25:$I$162,"Материалы")</f>
        <v>0</v>
      </c>
      <c r="AF202" s="1742">
        <f>_xlfn.SUMIFS('Сырье и материалы'!AF$25:AF$162,'Сырье и материалы'!$F$25:$F$162,$F202,'Сырье и материалы'!$I$25:$I$162,"Материалы")</f>
        <v>0</v>
      </c>
      <c r="AG202" s="1742">
        <f>_xlfn.SUMIFS('Сырье и материалы'!AG$25:AG$162,'Сырье и материалы'!$F$25:$F$162,$F202,'Сырье и материалы'!$I$25:$I$162,"Материалы")</f>
        <v>0</v>
      </c>
      <c r="AH202" s="802">
        <f>AG202-AF202</f>
        <v>0</v>
      </c>
      <c r="AI202" s="1742">
        <f>_xlfn.SUMIFS('Сырье и материалы'!AH$25:AH$162,'Сырье и материалы'!$F$25:$F$162,$F202,'Сырье и материалы'!$I$25:$I$162,"Материалы")</f>
        <v>0</v>
      </c>
      <c r="AJ202" s="1742">
        <f>_xlfn.SUMIFS('Сырье и материалы'!AI$25:AI$162,'Сырье и материалы'!$F$25:$F$162,$F202,'Сырье и материалы'!$I$25:$I$162,"Материалы")</f>
        <v>154.14455</v>
      </c>
      <c r="AK202" s="1742">
        <f>_xlfn.SUMIFS('Сырье и материалы'!AS$25:AS$162,'Сырье и материалы'!$F$25:$F$162,$F202,'Сырье и материалы'!$I$25:$I$162,"Материалы")</f>
        <v>154.14455</v>
      </c>
      <c r="AL202" s="802">
        <f>IF(AI202=0,0,(AK202-AI202)/AI202*100)</f>
        <v>0</v>
      </c>
      <c r="AM202" s="803"/>
      <c r="AN202" s="803"/>
      <c r="AO202" s="803"/>
      <c r="AP202" s="1741"/>
      <c r="AQ202" s="1741"/>
      <c r="AR202" s="1062" t="s">
        <v>2442</v>
      </c>
      <c r="AS202" s="1062"/>
      <c r="AT202" s="1062"/>
      <c r="AU202" s="1059"/>
      <c r="AV202" s="1059"/>
    </row>
    <row s="7246" customFormat="1" customHeight="1" ht="21.75">
      <c r="A203" s="588"/>
      <c r="B203" s="588"/>
      <c r="C203" s="588"/>
      <c r="D203" s="588"/>
      <c r="E203" s="697">
        <v>22.5</v>
      </c>
      <c r="F203" s="50" cm="1" t="str">
        <f t="array" ref="F203:F203">OFFSET(E203,-1,1)</f>
        <v>2</v>
      </c>
      <c r="G203" s="588"/>
      <c r="H203" s="588"/>
      <c r="I203" s="698" t="s">
        <v>1179</v>
      </c>
      <c r="J203" s="698"/>
      <c r="K203" s="698"/>
      <c r="L203" s="698"/>
      <c r="M203" s="698"/>
      <c r="N203" s="698"/>
      <c r="O203" s="698"/>
      <c r="P203" s="698"/>
      <c r="Q203" s="698"/>
      <c r="R203" s="698"/>
      <c r="S203" s="698"/>
      <c r="T203" s="465" cm="1" t="str">
        <f t="array" ref="T203:T203">T202</f>
        <v>true</v>
      </c>
      <c r="U203" s="588"/>
      <c r="V203" s="588"/>
      <c r="W203" s="588"/>
      <c r="X203" s="1641"/>
      <c r="Y203" s="588"/>
      <c r="Z203" s="1642"/>
      <c r="AA203" s="588"/>
      <c r="AB203" s="804" t="s">
        <v>1631</v>
      </c>
      <c r="AC203" s="805" t="s">
        <v>2443</v>
      </c>
      <c r="AD203" s="590" t="s">
        <v>1514</v>
      </c>
      <c r="AE203" s="801">
        <f>SUM(AE204:AE212)</f>
        <v>0</v>
      </c>
      <c r="AF203" s="801">
        <f>SUM(AF204:AF212)</f>
        <v>0</v>
      </c>
      <c r="AG203" s="801">
        <f>SUM(AG204:AG212)</f>
        <v>0</v>
      </c>
      <c r="AH203" s="801">
        <f>AG203-AF203</f>
        <v>0</v>
      </c>
      <c r="AI203" s="801">
        <f>SUM(AI204:AI212)</f>
        <v>0</v>
      </c>
      <c r="AJ203" s="801">
        <f>SUM(AJ204:AJ212)</f>
        <v>77636.343294</v>
      </c>
      <c r="AK203" s="801">
        <f>SUM(AK204:AK212)</f>
        <v>77636.3409401203</v>
      </c>
      <c r="AL203" s="801">
        <f>IF(AI203=0,0,(AK203-AI203)/AI203*100)</f>
        <v>0</v>
      </c>
      <c r="AM203" s="806"/>
      <c r="AN203" s="806"/>
      <c r="AO203" s="806"/>
      <c r="AP203" s="588"/>
      <c r="AQ203" s="588"/>
      <c r="AR203" s="1063" t="s">
        <v>2444</v>
      </c>
      <c r="AS203" s="1063"/>
      <c r="AT203" s="1063"/>
      <c r="AU203" s="697"/>
      <c r="AV203" s="697"/>
    </row>
    <row s="1834" customFormat="1" customHeight="1" ht="14.25">
      <c r="A204" s="1741"/>
      <c r="B204" s="1741"/>
      <c r="C204" s="1741"/>
      <c r="D204" s="1741"/>
      <c r="E204" s="695">
        <v>15</v>
      </c>
      <c r="F204" s="50" cm="1" t="str">
        <f t="array" ref="F204:F204">OFFSET(E204,-1,1)</f>
        <v>2</v>
      </c>
      <c r="G204" s="1741"/>
      <c r="H204" s="1741"/>
      <c r="I204" s="587" t="s">
        <v>2068</v>
      </c>
      <c r="J204" s="587"/>
      <c r="K204" s="587"/>
      <c r="L204" s="587"/>
      <c r="M204" s="587"/>
      <c r="N204" s="587"/>
      <c r="O204" s="587"/>
      <c r="P204" s="587"/>
      <c r="Q204" s="587"/>
      <c r="R204" s="587"/>
      <c r="S204" s="587"/>
      <c r="T204" s="465" cm="1" t="str">
        <f t="array" ref="T204:T204">T203</f>
        <v>true</v>
      </c>
      <c r="U204" s="1741"/>
      <c r="V204" s="1741"/>
      <c r="W204" s="1741"/>
      <c r="X204" s="1641"/>
      <c r="Y204" s="1741"/>
      <c r="Z204" s="1642"/>
      <c r="AA204" s="1741"/>
      <c r="AB204" s="807" t="s">
        <v>2069</v>
      </c>
      <c r="AC204" s="808" t="s">
        <v>2445</v>
      </c>
      <c r="AD204" s="759" t="s">
        <v>1514</v>
      </c>
      <c r="AE204" s="802">
        <f>_xlfn.SUMIFS(ЭЭ!AE$25:AE$189,ЭЭ!$F$25:$F$189,$F204,ЭЭ!$AC$25:$AC$189,"Всего по тарифу")</f>
        <v>0</v>
      </c>
      <c r="AF204" s="802">
        <f>_xlfn.SUMIFS(ЭЭ!AF$25:AF$189,ЭЭ!$F$25:$F$189,$F204,ЭЭ!$AC$25:$AC$189,"Всего по тарифу")</f>
        <v>0</v>
      </c>
      <c r="AG204" s="802">
        <f>_xlfn.SUMIFS(ЭЭ!AG$25:AG$189,ЭЭ!$F$25:$F$189,$F204,ЭЭ!$AC$25:$AC$189,"Всего по тарифу")</f>
        <v>0</v>
      </c>
      <c r="AH204" s="802">
        <f>AG204-AF204</f>
        <v>0</v>
      </c>
      <c r="AI204" s="802">
        <f>_xlfn.SUMIFS(ЭЭ!AH$25:AH$189,ЭЭ!$F$25:$F$189,$F204,ЭЭ!$AC$25:$AC$189,"Всего по тарифу")</f>
        <v>0</v>
      </c>
      <c r="AJ204" s="802">
        <f>_xlfn.SUMIFS(ЭЭ!AI$25:AI$189,ЭЭ!$F$25:$F$189,$F204,ЭЭ!$AC$25:$AC$189,"Всего по тарифу")</f>
        <v>4424.17</v>
      </c>
      <c r="AK204" s="802">
        <f>_xlfn.SUMIFS(ЭЭ!AS$25:AS$189,ЭЭ!$F$25:$F$189,$F204,ЭЭ!$AC$25:$AC$189,"Всего по тарифу")</f>
        <v>4424.16764612032</v>
      </c>
      <c r="AL204" s="802">
        <f>IF(AI204=0,0,(AK204-AI204)/AI204*100)</f>
        <v>0</v>
      </c>
      <c r="AM204" s="803"/>
      <c r="AN204" s="910" t="str">
        <f>IF(_xlfn.IFERROR(INDEX(ЭЭ!$K$26:$L$189,MATCH($F204&amp;"komm",ЭЭ!$K$26:$K$189,0),2),"")=0,"",_xlfn.IFERROR(INDEX(ЭЭ!$K$26:$L$189,MATCH($F204&amp;"komm",ЭЭ!$K$26:$K$189,0),2),""))</f>
        <v>В соответствии с п. 20 Методических указаний расходы регулируемой организации на приобретаемые электрическую энергию (мощность), тепловую энергию (мощность), другие виды энергетических ресурсов, холодную воду, теплоноситель определяются как сумма произведений расчетных экономически (технологически, технически) обоснованных объемов приобретаемых электрической энергии (мощности), тепловой энергии (мощности), других видов энергетических ресурсов холодной воды на соответственно плановые (расчетные) цены (тарифы) на электрическую энергию (мощность), тепловую энергию (мощность), другие виды энергетических ресурсов, холодную воду. Объемы приобретаемой электрической энергии (мощности), тепловой энергии (мощности) определяются с учетом показателей надежности, качества, энергетической эффективности в сфере водоснабжения и (или) водоотведения, определенных в установленном порядке.</v>
      </c>
      <c r="AO204" s="803"/>
      <c r="AP204" s="1741"/>
      <c r="AQ204" s="1741"/>
      <c r="AR204" s="1062" t="s">
        <v>2446</v>
      </c>
      <c r="AS204" s="1062"/>
      <c r="AT204" s="1062"/>
      <c r="AU204" s="1059"/>
      <c r="AV204" s="1059"/>
    </row>
    <row s="1834" customFormat="1" customHeight="1" ht="14.25">
      <c r="A205" s="1741"/>
      <c r="B205" s="1741"/>
      <c r="C205" s="1741"/>
      <c r="D205" s="1741"/>
      <c r="E205" s="695">
        <v>15</v>
      </c>
      <c r="F205" s="50" cm="1" t="str">
        <f t="array" ref="F205:F205">OFFSET(E205,-1,1)</f>
        <v>2</v>
      </c>
      <c r="G205" s="577" t="s">
        <v>1819</v>
      </c>
      <c r="H205" s="1741"/>
      <c r="I205" s="587" t="s">
        <v>2071</v>
      </c>
      <c r="J205" s="587"/>
      <c r="K205" s="587"/>
      <c r="L205" s="587"/>
      <c r="M205" s="587"/>
      <c r="N205" s="587"/>
      <c r="O205" s="587"/>
      <c r="P205" s="587"/>
      <c r="Q205" s="587"/>
      <c r="R205" s="587"/>
      <c r="S205" s="587"/>
      <c r="T205" s="465" cm="1" t="str">
        <f t="array" ref="T205:T205">T204</f>
        <v>true</v>
      </c>
      <c r="U205" s="1741"/>
      <c r="V205" s="1741"/>
      <c r="W205" s="1741"/>
      <c r="X205" s="1641"/>
      <c r="Y205" s="1741"/>
      <c r="Z205" s="1642"/>
      <c r="AA205" s="1741"/>
      <c r="AB205" s="807" t="s">
        <v>2072</v>
      </c>
      <c r="AC205" s="808" t="s">
        <v>2447</v>
      </c>
      <c r="AD205" s="759" t="s">
        <v>1514</v>
      </c>
      <c r="AE205" s="802">
        <f>_xlfn.SUMIFS(Покупка!AE$25:AE$372,Покупка!$F$25:$F$372,$F205,Покупка!$AC$25:$AC$372,$G205)</f>
        <v>0</v>
      </c>
      <c r="AF205" s="802">
        <f>_xlfn.SUMIFS(Покупка!AF$25:AF$372,Покупка!$F$25:$F$372,$F205,Покупка!$AC$25:$AC$372,$G205)</f>
        <v>0</v>
      </c>
      <c r="AG205" s="802">
        <f>_xlfn.SUMIFS(Покупка!AG$25:AG$372,Покупка!$F$25:$F$372,$F205,Покупка!$AC$25:$AC$372,$G205)</f>
        <v>0</v>
      </c>
      <c r="AH205" s="802">
        <f>AG205-AF205</f>
        <v>0</v>
      </c>
      <c r="AI205" s="802">
        <f>_xlfn.SUMIFS(Покупка!AH$25:AH$372,Покупка!$F$25:$F$372,$F205,Покупка!$AC$25:$AC$372,$G205)</f>
        <v>0</v>
      </c>
      <c r="AJ205" s="802">
        <f>_xlfn.SUMIFS(Покупка!AI$25:AI$372,Покупка!$F$25:$F$372,$F205,Покупка!$AC$25:$AC$372,$G205)</f>
        <v>0</v>
      </c>
      <c r="AK205" s="802">
        <f>_xlfn.SUMIFS(Покупка!AS$25:AS$372,Покупка!$F$25:$F$372,$F205,Покупка!$AC$25:$AC$372,$G205)</f>
        <v>0</v>
      </c>
      <c r="AL205" s="802">
        <f>IF(AI205=0,0,(AK205-AI205)/AI205*100)</f>
        <v>0</v>
      </c>
      <c r="AM205" s="803"/>
      <c r="AN205" s="910" t="str">
        <f>IF(_xlfn.IFERROR(INDEX(Покупка!$K$26:$L$372,MATCH($F205&amp;"6komm",Покупка!$K$26:$K$372,0),2),"")=0,"",_xlfn.IFERROR(INDEX(Покупка!$K$26:$L$372,MATCH($F205&amp;"6komm",Покупка!$K$26:$K$372,0),2),""))</f>
        <v/>
      </c>
      <c r="AO205" s="803"/>
      <c r="AP205" s="1741"/>
      <c r="AQ205" s="1741"/>
      <c r="AR205" s="1062" t="s">
        <v>1820</v>
      </c>
      <c r="AS205" s="1062"/>
      <c r="AT205" s="1062"/>
      <c r="AU205" s="1059"/>
      <c r="AV205" s="1059"/>
    </row>
    <row s="1834" customFormat="1" customHeight="1" ht="14.25">
      <c r="A206" s="1741"/>
      <c r="B206" s="1741"/>
      <c r="C206" s="1741"/>
      <c r="D206" s="1741"/>
      <c r="E206" s="695">
        <v>15</v>
      </c>
      <c r="F206" s="50" cm="1" t="str">
        <f t="array" ref="F206:F206">OFFSET(E206,-1,1)</f>
        <v>2</v>
      </c>
      <c r="G206" s="577" t="s">
        <v>1841</v>
      </c>
      <c r="H206" s="1741"/>
      <c r="I206" s="587" t="s">
        <v>2075</v>
      </c>
      <c r="J206" s="587"/>
      <c r="K206" s="587"/>
      <c r="L206" s="587"/>
      <c r="M206" s="587"/>
      <c r="N206" s="587"/>
      <c r="O206" s="587"/>
      <c r="P206" s="587"/>
      <c r="Q206" s="587"/>
      <c r="R206" s="587"/>
      <c r="S206" s="587"/>
      <c r="T206" s="465" cm="1" t="str">
        <f t="array" ref="T206:T206">T205</f>
        <v>true</v>
      </c>
      <c r="U206" s="1741"/>
      <c r="V206" s="1741"/>
      <c r="W206" s="1741"/>
      <c r="X206" s="1641"/>
      <c r="Y206" s="1741"/>
      <c r="Z206" s="1642"/>
      <c r="AA206" s="1741"/>
      <c r="AB206" s="807" t="s">
        <v>2076</v>
      </c>
      <c r="AC206" s="808" t="s">
        <v>2448</v>
      </c>
      <c r="AD206" s="759" t="s">
        <v>1514</v>
      </c>
      <c r="AE206" s="802">
        <f>_xlfn.SUMIFS(Покупка!AE$25:AE$372,Покупка!$F$25:$F$372,$F206,Покупка!$AC$25:$AC$372,$G206)</f>
        <v>0</v>
      </c>
      <c r="AF206" s="802">
        <f>_xlfn.SUMIFS(Покупка!AF$25:AF$372,Покупка!$F$25:$F$372,$F206,Покупка!$AC$25:$AC$372,$G206)</f>
        <v>0</v>
      </c>
      <c r="AG206" s="802">
        <f>_xlfn.SUMIFS(Покупка!AG$25:AG$372,Покупка!$F$25:$F$372,$F206,Покупка!$AC$25:$AC$372,$G206)</f>
        <v>0</v>
      </c>
      <c r="AH206" s="802">
        <f>AG206-AF206</f>
        <v>0</v>
      </c>
      <c r="AI206" s="802">
        <f>_xlfn.SUMIFS(Покупка!AH$25:AH$372,Покупка!$F$25:$F$372,$F206,Покупка!$AC$25:$AC$372,$G206)</f>
        <v>0</v>
      </c>
      <c r="AJ206" s="802">
        <f>_xlfn.SUMIFS(Покупка!AI$25:AI$372,Покупка!$F$25:$F$372,$F206,Покупка!$AC$25:$AC$372,$G206)</f>
        <v>0</v>
      </c>
      <c r="AK206" s="802">
        <f>_xlfn.SUMIFS(Покупка!AS$25:AS$372,Покупка!$F$25:$F$372,$F206,Покупка!$AC$25:$AC$372,$G206)</f>
        <v>0</v>
      </c>
      <c r="AL206" s="802">
        <f>IF(AI206=0,0,(AK206-AI206)/AI206*100)</f>
        <v>0</v>
      </c>
      <c r="AM206" s="803"/>
      <c r="AN206" s="910" t="str">
        <f>IF(_xlfn.IFERROR(INDEX(Покупка!$K$26:$L$372,MATCH($F206&amp;"7komm",Покупка!$K$26:$K$372,0),2),"")=0,"",_xlfn.IFERROR(INDEX(Покупка!$K$26:$L$372,MATCH($F206&amp;"7komm",Покупка!$K$26:$K$372,0),2),""))</f>
        <v/>
      </c>
      <c r="AO206" s="803"/>
      <c r="AP206" s="1741"/>
      <c r="AQ206" s="1741"/>
      <c r="AR206" s="1062" t="s">
        <v>1842</v>
      </c>
      <c r="AS206" s="1062"/>
      <c r="AT206" s="1062"/>
      <c r="AU206" s="1059"/>
      <c r="AV206" s="1059"/>
    </row>
    <row s="1834" customFormat="1" customHeight="1" ht="14.25">
      <c r="A207" s="1741"/>
      <c r="B207" s="1741"/>
      <c r="C207" s="1741"/>
      <c r="D207" s="1741"/>
      <c r="E207" s="695">
        <v>15</v>
      </c>
      <c r="F207" s="50" cm="1" t="str">
        <f t="array" ref="F207:F207">OFFSET(E207,-1,1)</f>
        <v>2</v>
      </c>
      <c r="G207" s="752" t="s">
        <v>1853</v>
      </c>
      <c r="H207" s="1741"/>
      <c r="I207" s="587" t="s">
        <v>2235</v>
      </c>
      <c r="J207" s="587"/>
      <c r="K207" s="587"/>
      <c r="L207" s="587"/>
      <c r="M207" s="587"/>
      <c r="N207" s="587"/>
      <c r="O207" s="587"/>
      <c r="P207" s="587"/>
      <c r="Q207" s="587"/>
      <c r="R207" s="587"/>
      <c r="S207" s="587"/>
      <c r="T207" s="465" cm="1" t="str">
        <f t="array" ref="T207:T207">T206</f>
        <v>true</v>
      </c>
      <c r="U207" s="1741"/>
      <c r="V207" s="1741"/>
      <c r="W207" s="1741"/>
      <c r="X207" s="1641"/>
      <c r="Y207" s="1741"/>
      <c r="Z207" s="1642"/>
      <c r="AA207" s="1741"/>
      <c r="AB207" s="807" t="s">
        <v>2449</v>
      </c>
      <c r="AC207" s="808" t="s">
        <v>2450</v>
      </c>
      <c r="AD207" s="759" t="s">
        <v>1514</v>
      </c>
      <c r="AE207" s="802">
        <f>_xlfn.SUMIFS(Покупка!AE$25:AE$372,Покупка!$F$25:$F$372,$F207,Покупка!$AC$25:$AC$372,$G207)</f>
        <v>0</v>
      </c>
      <c r="AF207" s="802">
        <f>_xlfn.SUMIFS(Покупка!AF$25:AF$372,Покупка!$F$25:$F$372,$F207,Покупка!$AC$25:$AC$372,$G207)</f>
        <v>0</v>
      </c>
      <c r="AG207" s="802">
        <f>_xlfn.SUMIFS(Покупка!AG$25:AG$372,Покупка!$F$25:$F$372,$F207,Покупка!$AC$25:$AC$372,$G207)</f>
        <v>0</v>
      </c>
      <c r="AH207" s="802">
        <f>AG207-AF207</f>
        <v>0</v>
      </c>
      <c r="AI207" s="802">
        <f>_xlfn.SUMIFS(Покупка!AH$25:AH$372,Покупка!$F$25:$F$372,$F207,Покупка!$AC$25:$AC$372,$G207)</f>
        <v>0</v>
      </c>
      <c r="AJ207" s="802">
        <f>_xlfn.SUMIFS(Покупка!AI$25:AI$372,Покупка!$F$25:$F$372,$F207,Покупка!$AC$25:$AC$372,$G207)</f>
        <v>0</v>
      </c>
      <c r="AK207" s="802">
        <f>_xlfn.SUMIFS(Покупка!AS$25:AS$372,Покупка!$F$25:$F$372,$F207,Покупка!$AC$25:$AC$372,$G207)</f>
        <v>0</v>
      </c>
      <c r="AL207" s="802">
        <f>IF(AI207=0,0,(AK207-AI207)/AI207*100)</f>
        <v>0</v>
      </c>
      <c r="AM207" s="803"/>
      <c r="AN207" s="910" t="str">
        <f>IF(_xlfn.IFERROR(INDEX(Покупка!$K$26:$L$372,MATCH($F207&amp;"9komm",Покупка!$K$26:$K$372,0),2),"")=0,"",_xlfn.IFERROR(INDEX(Покупка!$K$26:$L$372,MATCH($F207&amp;"9komm",Покупка!$K$26:$K$372,0),2),""))</f>
        <v/>
      </c>
      <c r="AO207" s="803"/>
      <c r="AP207" s="1741"/>
      <c r="AQ207" s="1741"/>
      <c r="AR207" s="1062" t="s">
        <v>1854</v>
      </c>
      <c r="AS207" s="1062"/>
      <c r="AT207" s="1062"/>
      <c r="AU207" s="1059"/>
      <c r="AV207" s="1059"/>
    </row>
    <row s="1834" customFormat="1" customHeight="1" ht="14.25">
      <c r="A208" s="1741"/>
      <c r="B208" s="1741"/>
      <c r="C208" s="1741"/>
      <c r="D208" s="1741"/>
      <c r="E208" s="695">
        <v>15</v>
      </c>
      <c r="F208" s="50" cm="1" t="str">
        <f t="array" ref="F208:F208">OFFSET(E208,-1,1)</f>
        <v>2</v>
      </c>
      <c r="G208" s="577" t="s">
        <v>1780</v>
      </c>
      <c r="H208" s="1741"/>
      <c r="I208" s="587" t="s">
        <v>2239</v>
      </c>
      <c r="J208" s="587"/>
      <c r="K208" s="587"/>
      <c r="L208" s="587"/>
      <c r="M208" s="587"/>
      <c r="N208" s="587"/>
      <c r="O208" s="587"/>
      <c r="P208" s="587"/>
      <c r="Q208" s="587"/>
      <c r="R208" s="587"/>
      <c r="S208" s="587"/>
      <c r="T208" s="465" cm="1" t="str">
        <f t="array" ref="T208:T208">T207</f>
        <v>true</v>
      </c>
      <c r="U208" s="1741"/>
      <c r="V208" s="1741"/>
      <c r="W208" s="1741"/>
      <c r="X208" s="1641"/>
      <c r="Y208" s="1741"/>
      <c r="Z208" s="1642"/>
      <c r="AA208" s="1741"/>
      <c r="AB208" s="807" t="s">
        <v>2451</v>
      </c>
      <c r="AC208" s="808" t="s">
        <v>2452</v>
      </c>
      <c r="AD208" s="759" t="s">
        <v>1514</v>
      </c>
      <c r="AE208" s="802">
        <f>_xlfn.SUMIFS(Покупка!AE$25:AE$372,Покупка!$F$25:$F$372,$F208,Покупка!$AC$25:$AC$372,$G208)</f>
        <v>0</v>
      </c>
      <c r="AF208" s="802">
        <f>_xlfn.SUMIFS(Покупка!AF$25:AF$372,Покупка!$F$25:$F$372,$F208,Покупка!$AC$25:$AC$372,$G208)</f>
        <v>0</v>
      </c>
      <c r="AG208" s="802">
        <f>_xlfn.SUMIFS(Покупка!AG$25:AG$372,Покупка!$F$25:$F$372,$F208,Покупка!$AC$25:$AC$372,$G208)</f>
        <v>0</v>
      </c>
      <c r="AH208" s="802">
        <f>AG208-AF208</f>
        <v>0</v>
      </c>
      <c r="AI208" s="802">
        <f>_xlfn.SUMIFS(Покупка!AH$25:AH$372,Покупка!$F$25:$F$372,$F208,Покупка!$AC$25:$AC$372,$G208)</f>
        <v>0</v>
      </c>
      <c r="AJ208" s="802">
        <f>_xlfn.SUMIFS(Покупка!AI$25:AI$372,Покупка!$F$25:$F$372,$F208,Покупка!$AC$25:$AC$372,$G208)</f>
        <v>73212.173294</v>
      </c>
      <c r="AK208" s="802">
        <f>_xlfn.SUMIFS(Покупка!AS$25:AS$372,Покупка!$F$25:$F$372,$F208,Покупка!$AC$25:$AC$372,$G208)</f>
        <v>73212.173294</v>
      </c>
      <c r="AL208" s="802">
        <f>IF(AI208=0,0,(AK208-AI208)/AI208*100)</f>
        <v>0</v>
      </c>
      <c r="AM208" s="803"/>
      <c r="AN208" s="910" t="str">
        <f>IF(_xlfn.IFERROR(INDEX(Покупка!$K$26:$L$372,MATCH($F208&amp;"1komm",Покупка!$K$26:$K$372,0),2),"")=0,"",_xlfn.IFERROR(INDEX(Покупка!$K$26:$L$372,MATCH($F208&amp;"1komm",Покупка!$K$26:$K$372,0),2),""))</f>
        <v>В соответствии с п.49 Методических указаний 1746-э. </v>
      </c>
      <c r="AO208" s="803"/>
      <c r="AP208" s="1741"/>
      <c r="AQ208" s="1741"/>
      <c r="AR208" s="1062" t="s">
        <v>2453</v>
      </c>
      <c r="AS208" s="1062"/>
      <c r="AT208" s="1062"/>
      <c r="AU208" s="1059"/>
      <c r="AV208" s="1059"/>
    </row>
    <row s="1834" customFormat="1" customHeight="1" ht="14.25">
      <c r="A209" s="1741"/>
      <c r="B209" s="1741"/>
      <c r="C209" s="1741"/>
      <c r="D209" s="1741"/>
      <c r="E209" s="695">
        <v>15</v>
      </c>
      <c r="F209" s="50" cm="1" t="str">
        <f t="array" ref="F209:F209">OFFSET(E209,-1,1)</f>
        <v>2</v>
      </c>
      <c r="G209" s="577" t="s">
        <v>1793</v>
      </c>
      <c r="H209" s="1741"/>
      <c r="I209" s="587" t="s">
        <v>2244</v>
      </c>
      <c r="J209" s="587"/>
      <c r="K209" s="587"/>
      <c r="L209" s="587"/>
      <c r="M209" s="587"/>
      <c r="N209" s="587"/>
      <c r="O209" s="587"/>
      <c r="P209" s="587"/>
      <c r="Q209" s="587"/>
      <c r="R209" s="587"/>
      <c r="S209" s="587"/>
      <c r="T209" s="465" cm="1" t="str">
        <f t="array" ref="T209:T209">T208</f>
        <v>true</v>
      </c>
      <c r="U209" s="1741"/>
      <c r="V209" s="1741"/>
      <c r="W209" s="1741"/>
      <c r="X209" s="1641"/>
      <c r="Y209" s="1741"/>
      <c r="Z209" s="1642"/>
      <c r="AA209" s="1741"/>
      <c r="AB209" s="807" t="s">
        <v>2454</v>
      </c>
      <c r="AC209" s="808" t="s">
        <v>2455</v>
      </c>
      <c r="AD209" s="759" t="s">
        <v>1514</v>
      </c>
      <c r="AE209" s="802">
        <f>_xlfn.SUMIFS(Покупка!AE$25:AE$372,Покупка!$F$25:$F$372,$F209,Покупка!$AC$25:$AC$372,$G209)</f>
        <v>0</v>
      </c>
      <c r="AF209" s="802">
        <f>_xlfn.SUMIFS(Покупка!AF$25:AF$372,Покупка!$F$25:$F$372,$F209,Покупка!$AC$25:$AC$372,$G209)</f>
        <v>0</v>
      </c>
      <c r="AG209" s="802">
        <f>_xlfn.SUMIFS(Покупка!AG$25:AG$372,Покупка!$F$25:$F$372,$F209,Покупка!$AC$25:$AC$372,$G209)</f>
        <v>0</v>
      </c>
      <c r="AH209" s="802">
        <f>AG209-AF209</f>
        <v>0</v>
      </c>
      <c r="AI209" s="802">
        <f>_xlfn.SUMIFS(Покупка!AH$25:AH$372,Покупка!$F$25:$F$372,$F209,Покупка!$AC$25:$AC$372,$G209)</f>
        <v>0</v>
      </c>
      <c r="AJ209" s="802">
        <f>_xlfn.SUMIFS(Покупка!AI$25:AI$372,Покупка!$F$25:$F$372,$F209,Покупка!$AC$25:$AC$372,$G209)</f>
        <v>0</v>
      </c>
      <c r="AK209" s="802">
        <f>_xlfn.SUMIFS(Покупка!AS$25:AS$372,Покупка!$F$25:$F$372,$F209,Покупка!$AC$25:$AC$372,$G209)</f>
        <v>0</v>
      </c>
      <c r="AL209" s="802">
        <f>IF(AI209=0,0,(AK209-AI209)/AI209*100)</f>
        <v>0</v>
      </c>
      <c r="AM209" s="803"/>
      <c r="AN209" s="910" t="str">
        <f>IF(_xlfn.IFERROR(INDEX(Покупка!$K$26:$L$372,MATCH($F209&amp;"2komm",Покупка!$K$26:$K$372,0),2),"")=0,"",_xlfn.IFERROR(INDEX(Покупка!$K$26:$L$372,MATCH($F209&amp;"2komm",Покупка!$K$26:$K$372,0),2),""))</f>
        <v/>
      </c>
      <c r="AO209" s="803"/>
      <c r="AP209" s="1741"/>
      <c r="AQ209" s="1741"/>
      <c r="AR209" s="1062" t="s">
        <v>2456</v>
      </c>
      <c r="AS209" s="1062"/>
      <c r="AT209" s="1062"/>
      <c r="AU209" s="1059"/>
      <c r="AV209" s="1059"/>
    </row>
    <row s="1834" customFormat="1" customHeight="1" ht="14.25">
      <c r="A210" s="1741"/>
      <c r="B210" s="1741"/>
      <c r="C210" s="1741"/>
      <c r="D210" s="1741"/>
      <c r="E210" s="695">
        <v>15</v>
      </c>
      <c r="F210" s="50" cm="1" t="str">
        <f t="array" ref="F210:F210">OFFSET(E210,-1,1)</f>
        <v>2</v>
      </c>
      <c r="G210" s="577" t="s">
        <v>1799</v>
      </c>
      <c r="H210" s="1741"/>
      <c r="I210" s="587" t="s">
        <v>2253</v>
      </c>
      <c r="J210" s="587"/>
      <c r="K210" s="587"/>
      <c r="L210" s="587"/>
      <c r="M210" s="587"/>
      <c r="N210" s="587"/>
      <c r="O210" s="587"/>
      <c r="P210" s="587"/>
      <c r="Q210" s="587"/>
      <c r="R210" s="587"/>
      <c r="S210" s="587"/>
      <c r="T210" s="465" cm="1" t="str">
        <f t="array" ref="T210:T210">T209</f>
        <v>true</v>
      </c>
      <c r="U210" s="1741"/>
      <c r="V210" s="1741"/>
      <c r="W210" s="1741"/>
      <c r="X210" s="1641"/>
      <c r="Y210" s="1741"/>
      <c r="Z210" s="1642"/>
      <c r="AA210" s="1741"/>
      <c r="AB210" s="807" t="s">
        <v>2457</v>
      </c>
      <c r="AC210" s="808" t="s">
        <v>2458</v>
      </c>
      <c r="AD210" s="759" t="s">
        <v>1514</v>
      </c>
      <c r="AE210" s="802">
        <f>_xlfn.SUMIFS(Покупка!AE$25:AE$372,Покупка!$F$25:$F$372,$F210,Покупка!$AC$25:$AC$372,$G210)</f>
        <v>0</v>
      </c>
      <c r="AF210" s="802">
        <f>_xlfn.SUMIFS(Покупка!AF$25:AF$372,Покупка!$F$25:$F$372,$F210,Покупка!$AC$25:$AC$372,$G210)</f>
        <v>0</v>
      </c>
      <c r="AG210" s="802">
        <f>_xlfn.SUMIFS(Покупка!AG$25:AG$372,Покупка!$F$25:$F$372,$F210,Покупка!$AC$25:$AC$372,$G210)</f>
        <v>0</v>
      </c>
      <c r="AH210" s="802">
        <f>AG210-AF210</f>
        <v>0</v>
      </c>
      <c r="AI210" s="802">
        <f>_xlfn.SUMIFS(Покупка!AH$25:AH$372,Покупка!$F$25:$F$372,$F210,Покупка!$AC$25:$AC$372,$G210)</f>
        <v>0</v>
      </c>
      <c r="AJ210" s="802">
        <f>_xlfn.SUMIFS(Покупка!AI$25:AI$372,Покупка!$F$25:$F$372,$F210,Покупка!$AC$25:$AC$372,$G210)</f>
        <v>0</v>
      </c>
      <c r="AK210" s="802">
        <f>_xlfn.SUMIFS(Покупка!AS$25:AS$372,Покупка!$F$25:$F$372,$F210,Покупка!$AC$25:$AC$372,$G210)</f>
        <v>0</v>
      </c>
      <c r="AL210" s="802">
        <f>IF(AI210=0,0,(AK210-AI210)/AI210*100)</f>
        <v>0</v>
      </c>
      <c r="AM210" s="803"/>
      <c r="AN210" s="910" t="str">
        <f>IF(_xlfn.IFERROR(INDEX(Покупка!$K$26:$L$372,MATCH($F210&amp;"3komm",Покупка!$K$26:$K$372,0),2),"")=0,"",_xlfn.IFERROR(INDEX(Покупка!$K$26:$L$372,MATCH($F210&amp;"3komm",Покупка!$K$26:$K$372,0),2),""))</f>
        <v/>
      </c>
      <c r="AO210" s="803"/>
      <c r="AP210" s="1741"/>
      <c r="AQ210" s="1741"/>
      <c r="AR210" s="1062" t="s">
        <v>2459</v>
      </c>
      <c r="AS210" s="1062"/>
      <c r="AT210" s="1062"/>
      <c r="AU210" s="1059"/>
      <c r="AV210" s="1059"/>
    </row>
    <row s="1834" customFormat="1" customHeight="1" ht="14.25">
      <c r="A211" s="1741"/>
      <c r="B211" s="1741"/>
      <c r="C211" s="1741"/>
      <c r="D211" s="1741"/>
      <c r="E211" s="695">
        <v>15</v>
      </c>
      <c r="F211" s="50" cm="1" t="str">
        <f t="array" ref="F211:F211">OFFSET(E211,-1,1)</f>
        <v>2</v>
      </c>
      <c r="G211" s="577" t="s">
        <v>1805</v>
      </c>
      <c r="H211" s="1741"/>
      <c r="I211" s="587" t="s">
        <v>2258</v>
      </c>
      <c r="J211" s="587"/>
      <c r="K211" s="587"/>
      <c r="L211" s="587"/>
      <c r="M211" s="587"/>
      <c r="N211" s="587"/>
      <c r="O211" s="587"/>
      <c r="P211" s="587"/>
      <c r="Q211" s="587"/>
      <c r="R211" s="587"/>
      <c r="S211" s="587"/>
      <c r="T211" s="465" cm="1" t="str">
        <f t="array" ref="T211:T211">T210</f>
        <v>true</v>
      </c>
      <c r="U211" s="1741"/>
      <c r="V211" s="1741"/>
      <c r="W211" s="1741"/>
      <c r="X211" s="1641"/>
      <c r="Y211" s="1741"/>
      <c r="Z211" s="1642"/>
      <c r="AA211" s="1741"/>
      <c r="AB211" s="807" t="s">
        <v>2460</v>
      </c>
      <c r="AC211" s="808" t="s">
        <v>2461</v>
      </c>
      <c r="AD211" s="759" t="s">
        <v>1514</v>
      </c>
      <c r="AE211" s="802">
        <f>_xlfn.SUMIFS(Покупка!AE$25:AE$372,Покупка!$F$25:$F$372,$F211,Покупка!$AC$25:$AC$372,$G211)</f>
        <v>0</v>
      </c>
      <c r="AF211" s="802">
        <f>_xlfn.SUMIFS(Покупка!AF$25:AF$372,Покупка!$F$25:$F$372,$F211,Покупка!$AC$25:$AC$372,$G211)</f>
        <v>0</v>
      </c>
      <c r="AG211" s="802">
        <f>_xlfn.SUMIFS(Покупка!AG$25:AG$372,Покупка!$F$25:$F$372,$F211,Покупка!$AC$25:$AC$372,$G211)</f>
        <v>0</v>
      </c>
      <c r="AH211" s="802">
        <f>AG211-AF211</f>
        <v>0</v>
      </c>
      <c r="AI211" s="802">
        <f>_xlfn.SUMIFS(Покупка!AH$25:AH$372,Покупка!$F$25:$F$372,$F211,Покупка!$AC$25:$AC$372,$G211)</f>
        <v>0</v>
      </c>
      <c r="AJ211" s="802">
        <f>_xlfn.SUMIFS(Покупка!AI$25:AI$372,Покупка!$F$25:$F$372,$F211,Покупка!$AC$25:$AC$372,$G211)</f>
        <v>0</v>
      </c>
      <c r="AK211" s="802">
        <f>_xlfn.SUMIFS(Покупка!AS$25:AS$372,Покупка!$F$25:$F$372,$F211,Покупка!$AC$25:$AC$372,$G211)</f>
        <v>0</v>
      </c>
      <c r="AL211" s="802">
        <f>IF(AI211=0,0,(AK211-AI211)/AI211*100)</f>
        <v>0</v>
      </c>
      <c r="AM211" s="803"/>
      <c r="AN211" s="910" t="str">
        <f>IF(_xlfn.IFERROR(INDEX(Покупка!$K$26:$L$372,MATCH($F211&amp;"4komm",Покупка!$K$26:$K$372,0),2),"")=0,"",_xlfn.IFERROR(INDEX(Покупка!$K$26:$L$372,MATCH($F211&amp;"4komm",Покупка!$K$26:$K$372,0),2),""))</f>
        <v/>
      </c>
      <c r="AO211" s="803"/>
      <c r="AP211" s="1741"/>
      <c r="AQ211" s="1741"/>
      <c r="AR211" s="1062" t="s">
        <v>2462</v>
      </c>
      <c r="AS211" s="1062"/>
      <c r="AT211" s="1062"/>
      <c r="AU211" s="1059"/>
      <c r="AV211" s="1059"/>
    </row>
    <row s="1834" customFormat="1" customHeight="1" ht="14.25">
      <c r="A212" s="1741"/>
      <c r="B212" s="1741"/>
      <c r="C212" s="1741"/>
      <c r="D212" s="1741"/>
      <c r="E212" s="695">
        <v>15</v>
      </c>
      <c r="F212" s="50" cm="1" t="str">
        <f t="array" ref="F212:F212">OFFSET(E212,-1,1)</f>
        <v>2</v>
      </c>
      <c r="G212" s="577" t="s">
        <v>1812</v>
      </c>
      <c r="H212" s="1741"/>
      <c r="I212" s="587" t="s">
        <v>2268</v>
      </c>
      <c r="J212" s="587"/>
      <c r="K212" s="587"/>
      <c r="L212" s="587"/>
      <c r="M212" s="587"/>
      <c r="N212" s="587"/>
      <c r="O212" s="587"/>
      <c r="P212" s="587"/>
      <c r="Q212" s="587"/>
      <c r="R212" s="587"/>
      <c r="S212" s="587"/>
      <c r="T212" s="465" cm="1" t="str">
        <f t="array" ref="T212:T212">T211</f>
        <v>true</v>
      </c>
      <c r="U212" s="1741"/>
      <c r="V212" s="1741"/>
      <c r="W212" s="1741"/>
      <c r="X212" s="1641"/>
      <c r="Y212" s="1741"/>
      <c r="Z212" s="1642"/>
      <c r="AA212" s="1741"/>
      <c r="AB212" s="807" t="s">
        <v>2463</v>
      </c>
      <c r="AC212" s="808" t="s">
        <v>2464</v>
      </c>
      <c r="AD212" s="759" t="s">
        <v>1514</v>
      </c>
      <c r="AE212" s="802">
        <f>_xlfn.SUMIFS(Покупка!AE$25:AE$372,Покупка!$F$25:$F$372,$F212,Покупка!$AC$25:$AC$372,$G212)</f>
        <v>0</v>
      </c>
      <c r="AF212" s="802">
        <f>_xlfn.SUMIFS(Покупка!AF$25:AF$372,Покупка!$F$25:$F$372,$F212,Покупка!$AC$25:$AC$372,$G212)</f>
        <v>0</v>
      </c>
      <c r="AG212" s="802">
        <f>_xlfn.SUMIFS(Покупка!AG$25:AG$372,Покупка!$F$25:$F$372,$F212,Покупка!$AC$25:$AC$372,$G212)</f>
        <v>0</v>
      </c>
      <c r="AH212" s="802">
        <f>AG212-AF212</f>
        <v>0</v>
      </c>
      <c r="AI212" s="802">
        <f>_xlfn.SUMIFS(Покупка!AH$25:AH$372,Покупка!$F$25:$F$372,$F212,Покупка!$AC$25:$AC$372,$G212)</f>
        <v>0</v>
      </c>
      <c r="AJ212" s="802">
        <f>_xlfn.SUMIFS(Покупка!AI$25:AI$372,Покупка!$F$25:$F$372,$F212,Покупка!$AC$25:$AC$372,$G212)</f>
        <v>0</v>
      </c>
      <c r="AK212" s="802">
        <f>_xlfn.SUMIFS(Покупка!AS$25:AS$372,Покупка!$F$25:$F$372,$F212,Покупка!$AC$25:$AC$372,$G212)</f>
        <v>0</v>
      </c>
      <c r="AL212" s="802">
        <f>IF(AI212=0,0,(AK212-AI212)/AI212*100)</f>
        <v>0</v>
      </c>
      <c r="AM212" s="803"/>
      <c r="AN212" s="910" t="str">
        <f>IF(_xlfn.IFERROR(INDEX(Покупка!$K$26:$L$372,MATCH($F212&amp;"5komm",Покупка!$K$26:$K$372,0),2),"")=0,"",_xlfn.IFERROR(INDEX(Покупка!$K$26:$L$372,MATCH($F212&amp;"5komm",Покупка!$K$26:$K$372,0),2),""))</f>
        <v/>
      </c>
      <c r="AO212" s="803"/>
      <c r="AP212" s="1741"/>
      <c r="AQ212" s="1741"/>
      <c r="AR212" s="1062" t="s">
        <v>2465</v>
      </c>
      <c r="AS212" s="1062"/>
      <c r="AT212" s="1062"/>
      <c r="AU212" s="1059"/>
      <c r="AV212" s="1059"/>
    </row>
    <row s="7247" customFormat="1" customHeight="1" ht="43.5">
      <c r="A213" s="588"/>
      <c r="B213" s="588"/>
      <c r="C213" s="588"/>
      <c r="D213" s="588"/>
      <c r="E213" s="697">
        <v>45</v>
      </c>
      <c r="F213" s="50" cm="1" t="str">
        <f t="array" ref="F213:F213">OFFSET(E213,-1,1)</f>
        <v>2</v>
      </c>
      <c r="G213" s="588"/>
      <c r="H213" s="588"/>
      <c r="I213" s="698" t="s">
        <v>1182</v>
      </c>
      <c r="J213" s="698"/>
      <c r="K213" s="698"/>
      <c r="L213" s="698"/>
      <c r="M213" s="698"/>
      <c r="N213" s="698"/>
      <c r="O213" s="698"/>
      <c r="P213" s="698"/>
      <c r="Q213" s="698"/>
      <c r="R213" s="698"/>
      <c r="S213" s="698"/>
      <c r="T213" s="465" cm="1" t="str">
        <f t="array" ref="T213:T213">T212</f>
        <v>true</v>
      </c>
      <c r="U213" s="588"/>
      <c r="V213" s="588"/>
      <c r="W213" s="588"/>
      <c r="X213" s="1641"/>
      <c r="Y213" s="588"/>
      <c r="Z213" s="1642"/>
      <c r="AA213" s="588"/>
      <c r="AB213" s="804" t="s">
        <v>1634</v>
      </c>
      <c r="AC213" s="805" t="s">
        <v>2466</v>
      </c>
      <c r="AD213" s="590" t="s">
        <v>1514</v>
      </c>
      <c r="AE213" s="7165"/>
      <c r="AF213" s="7165"/>
      <c r="AG213" s="7165"/>
      <c r="AH213" s="801">
        <f>AG213-AF213</f>
        <v>0</v>
      </c>
      <c r="AI213" s="7165"/>
      <c r="AJ213" s="810"/>
      <c r="AK213" s="810"/>
      <c r="AL213" s="801">
        <f>IF(AI213=0,0,(AK213-AI213)/AI213*100)</f>
        <v>0</v>
      </c>
      <c r="AM213" s="806"/>
      <c r="AN213" s="806"/>
      <c r="AO213" s="806"/>
      <c r="AP213" s="588"/>
      <c r="AQ213" s="588"/>
      <c r="AR213" s="1063" t="s">
        <v>2467</v>
      </c>
      <c r="AS213" s="1063"/>
      <c r="AT213" s="1063"/>
      <c r="AU213" s="697"/>
      <c r="AV213" s="697"/>
    </row>
    <row s="7248" customFormat="1" customHeight="1" ht="43.5">
      <c r="A214" s="588"/>
      <c r="B214" s="588"/>
      <c r="C214" s="588"/>
      <c r="D214" s="588"/>
      <c r="E214" s="697">
        <v>45</v>
      </c>
      <c r="F214" s="50" cm="1" t="str">
        <f t="array" ref="F214:F214">OFFSET(E214,-1,1)</f>
        <v>2</v>
      </c>
      <c r="G214" s="588"/>
      <c r="H214" s="588"/>
      <c r="I214" s="698" t="s">
        <v>1186</v>
      </c>
      <c r="J214" s="698"/>
      <c r="K214" s="698"/>
      <c r="L214" s="698"/>
      <c r="M214" s="698"/>
      <c r="N214" s="698"/>
      <c r="O214" s="698"/>
      <c r="P214" s="698"/>
      <c r="Q214" s="698"/>
      <c r="R214" s="698"/>
      <c r="S214" s="698"/>
      <c r="T214" s="465" cm="1" t="str">
        <f t="array" ref="T214:T214">T213</f>
        <v>true</v>
      </c>
      <c r="U214" s="588"/>
      <c r="V214" s="588"/>
      <c r="W214" s="588"/>
      <c r="X214" s="1641"/>
      <c r="Y214" s="588"/>
      <c r="Z214" s="1642"/>
      <c r="AA214" s="588"/>
      <c r="AB214" s="804" t="s">
        <v>1637</v>
      </c>
      <c r="AC214" s="805" t="s">
        <v>2468</v>
      </c>
      <c r="AD214" s="590" t="s">
        <v>1514</v>
      </c>
      <c r="AE214" s="801">
        <f>AE215+AE216</f>
        <v>0</v>
      </c>
      <c r="AF214" s="801">
        <f>AF215+AF216</f>
        <v>0</v>
      </c>
      <c r="AG214" s="801">
        <f>AG215+AG216</f>
        <v>0</v>
      </c>
      <c r="AH214" s="801">
        <f>AG214-AF214</f>
        <v>0</v>
      </c>
      <c r="AI214" s="801">
        <f>AI215+AI216</f>
        <v>0</v>
      </c>
      <c r="AJ214" s="801">
        <f>AJ215+AJ216</f>
        <v>14422.4669717044</v>
      </c>
      <c r="AK214" s="801">
        <f>AK215+AK216</f>
        <v>14422.4669717044</v>
      </c>
      <c r="AL214" s="801">
        <f>IF(AI214=0,0,(AK214-AI214)/AI214*100)</f>
        <v>0</v>
      </c>
      <c r="AM214" s="806"/>
      <c r="AN214" s="806"/>
      <c r="AO214" s="806"/>
      <c r="AP214" s="588"/>
      <c r="AQ214" s="588"/>
      <c r="AR214" s="1063" t="s">
        <v>2469</v>
      </c>
      <c r="AS214" s="1063"/>
      <c r="AT214" s="1063"/>
      <c r="AU214" s="697"/>
      <c r="AV214" s="697"/>
    </row>
    <row s="1834" customFormat="1" customHeight="1" ht="14.25">
      <c r="A215" s="1741"/>
      <c r="B215" s="1741"/>
      <c r="C215" s="1741"/>
      <c r="D215" s="1741"/>
      <c r="E215" s="695">
        <v>15</v>
      </c>
      <c r="F215" s="50" cm="1" t="str">
        <f t="array" ref="F215:F215">OFFSET(E215,-1,1)</f>
        <v>2</v>
      </c>
      <c r="G215" s="699" t="s">
        <v>1866</v>
      </c>
      <c r="H215" s="1741"/>
      <c r="I215" s="587" t="s">
        <v>2095</v>
      </c>
      <c r="J215" s="587"/>
      <c r="K215" s="587"/>
      <c r="L215" s="587"/>
      <c r="M215" s="587"/>
      <c r="N215" s="587"/>
      <c r="O215" s="587"/>
      <c r="P215" s="698"/>
      <c r="Q215" s="587"/>
      <c r="R215" s="587"/>
      <c r="S215" s="587"/>
      <c r="T215" s="465" cm="1" t="str">
        <f t="array" ref="T215:T215">T214</f>
        <v>true</v>
      </c>
      <c r="U215" s="1741"/>
      <c r="V215" s="1741"/>
      <c r="W215" s="1741"/>
      <c r="X215" s="1641"/>
      <c r="Y215" s="1741"/>
      <c r="Z215" s="1642"/>
      <c r="AA215" s="1741"/>
      <c r="AB215" s="807" t="s">
        <v>1752</v>
      </c>
      <c r="AC215" s="808" t="s">
        <v>2470</v>
      </c>
      <c r="AD215" s="759" t="s">
        <v>1514</v>
      </c>
      <c r="AE215" s="802">
        <f>_xlfn.SUMIFS(ФОТ!AE$25:AE$188,ФОТ!$F$25:$F$188,$F215,ФОТ!$G$25:$G$188,$G215)</f>
        <v>0</v>
      </c>
      <c r="AF215" s="802">
        <f>_xlfn.SUMIFS(ФОТ!AF$25:AF$188,ФОТ!$F$25:$F$188,$F215,ФОТ!$G$25:$G$188,$G215)</f>
        <v>0</v>
      </c>
      <c r="AG215" s="802">
        <f>_xlfn.SUMIFS(ФОТ!AG$25:AG$188,ФОТ!$F$25:$F$188,$F215,ФОТ!$G$25:$G$188,$G215)</f>
        <v>0</v>
      </c>
      <c r="AH215" s="802">
        <f>AG215-AF215</f>
        <v>0</v>
      </c>
      <c r="AI215" s="802">
        <f>_xlfn.SUMIFS(ФОТ!AH$25:AH$188,ФОТ!$F$25:$F$188,$F215,ФОТ!$G$25:$G$188,$G215)</f>
        <v>0</v>
      </c>
      <c r="AJ215" s="802">
        <f>_xlfn.SUMIFS(ФОТ!AI$25:AI$188,ФОТ!$F$25:$F$188,$F215,ФОТ!$G$25:$G$188,$G215)</f>
        <v>11077.1635727376</v>
      </c>
      <c r="AK215" s="802">
        <f>_xlfn.SUMIFS(ФОТ!AJ$25:AJ$188,ФОТ!$F$25:$F$188,$F215,ФОТ!$G$25:$G$188,$G215)</f>
        <v>11077.1635727376</v>
      </c>
      <c r="AL215" s="802">
        <f>IF(AI215=0,0,(AK215-AI215)/AI215*100)</f>
        <v>0</v>
      </c>
      <c r="AM215" s="803"/>
      <c r="AN215" s="910" t="str">
        <f>IF(_xlfn.IFERROR(INDEX(ФОТ!$K$26:$L$188,MATCH($F215&amp;"1komm",ФОТ!$K$26:$K$188,0),2),"")=0,"",_xlfn.IFERROR(INDEX(ФОТ!$K$26:$L$188,MATCH($F215&amp;"1komm",ФОТ!$K$26:$K$188,0),2),""))</f>
        <v>по предложению организации в соответствии со штатным расписанием.</v>
      </c>
      <c r="AO215" s="803"/>
      <c r="AP215" s="1741"/>
      <c r="AQ215" s="1741"/>
      <c r="AR215" s="1062" t="s">
        <v>2471</v>
      </c>
      <c r="AS215" s="1062"/>
      <c r="AT215" s="1062"/>
      <c r="AU215" s="1059"/>
      <c r="AV215" s="1059"/>
    </row>
    <row s="1834" customFormat="1" customHeight="1" ht="21.75">
      <c r="A216" s="1741"/>
      <c r="B216" s="1741"/>
      <c r="C216" s="1741"/>
      <c r="D216" s="1741"/>
      <c r="E216" s="695">
        <v>22.5</v>
      </c>
      <c r="F216" s="50" cm="1" t="str">
        <f t="array" ref="F216:F216">OFFSET(E216,-1,1)</f>
        <v>2</v>
      </c>
      <c r="G216" s="699" t="s">
        <v>1878</v>
      </c>
      <c r="H216" s="1741"/>
      <c r="I216" s="587" t="s">
        <v>2096</v>
      </c>
      <c r="J216" s="587"/>
      <c r="K216" s="587"/>
      <c r="L216" s="587"/>
      <c r="M216" s="587"/>
      <c r="N216" s="587"/>
      <c r="O216" s="587"/>
      <c r="P216" s="698"/>
      <c r="Q216" s="587"/>
      <c r="R216" s="587"/>
      <c r="S216" s="587"/>
      <c r="T216" s="465" cm="1" t="str">
        <f t="array" ref="T216:T216">T215</f>
        <v>true</v>
      </c>
      <c r="U216" s="1741"/>
      <c r="V216" s="1741"/>
      <c r="W216" s="1741"/>
      <c r="X216" s="1641"/>
      <c r="Y216" s="1741"/>
      <c r="Z216" s="1642"/>
      <c r="AA216" s="1741"/>
      <c r="AB216" s="807" t="s">
        <v>1755</v>
      </c>
      <c r="AC216" s="808" t="s">
        <v>2472</v>
      </c>
      <c r="AD216" s="759" t="s">
        <v>1514</v>
      </c>
      <c r="AE216" s="802">
        <f>_xlfn.SUMIFS(ФОТ!AE$25:AE$188,ФОТ!$F$25:$F$188,$F216,ФОТ!$G$25:$G$188,$G216)</f>
        <v>0</v>
      </c>
      <c r="AF216" s="802">
        <f>_xlfn.SUMIFS(ФОТ!AF$25:AF$188,ФОТ!$F$25:$F$188,$F216,ФОТ!$G$25:$G$188,$G216)</f>
        <v>0</v>
      </c>
      <c r="AG216" s="802">
        <f>_xlfn.SUMIFS(ФОТ!AG$25:AG$188,ФОТ!$F$25:$F$188,$F216,ФОТ!$G$25:$G$188,$G216)</f>
        <v>0</v>
      </c>
      <c r="AH216" s="802">
        <f>AG216-AF216</f>
        <v>0</v>
      </c>
      <c r="AI216" s="802">
        <f>_xlfn.SUMIFS(ФОТ!AH$25:AH$188,ФОТ!$F$25:$F$188,$F216,ФОТ!$G$25:$G$188,$G216)</f>
        <v>0</v>
      </c>
      <c r="AJ216" s="802">
        <f>_xlfn.SUMIFS(ФОТ!AI$25:AI$188,ФОТ!$F$25:$F$188,$F216,ФОТ!$G$25:$G$188,$G216)</f>
        <v>3345.30339896675</v>
      </c>
      <c r="AK216" s="802">
        <f>_xlfn.SUMIFS(ФОТ!AJ$25:AJ$188,ФОТ!$F$25:$F$188,$F216,ФОТ!$G$25:$G$188,$G216)</f>
        <v>3345.30339896675</v>
      </c>
      <c r="AL216" s="802">
        <f>IF(AI216=0,0,(AK216-AI216)/AI216*100)</f>
        <v>0</v>
      </c>
      <c r="AM216" s="803"/>
      <c r="AN216" s="910" t="str">
        <f>IF(_xlfn.IFERROR(INDEX(ФОТ!$K$26:$L$188,MATCH($F216&amp;"2komm",ФОТ!$K$26:$K$188,0),2),"")=0,"",_xlfn.IFERROR(INDEX(ФОТ!$K$26:$L$188,MATCH($F216&amp;"2komm",ФОТ!$K$26:$K$188,0),2),""))</f>
        <v>на основании Налогового кодекса РФ (часть вторая) от 05.08.2000 № 117-ФЗ в размере 30%, а также в соответствии с Федеральным законом от 24.07.1998 № 125 – ФЗ (0,20%).</v>
      </c>
      <c r="AO216" s="803"/>
      <c r="AP216" s="1741"/>
      <c r="AQ216" s="1741"/>
      <c r="AR216" s="1062" t="s">
        <v>2473</v>
      </c>
      <c r="AS216" s="1062"/>
      <c r="AT216" s="1062"/>
      <c r="AU216" s="1059"/>
      <c r="AV216" s="1059"/>
    </row>
    <row s="7249" customFormat="1" customHeight="1" ht="14.25">
      <c r="A217" s="588"/>
      <c r="B217" s="588"/>
      <c r="C217" s="588"/>
      <c r="D217" s="588"/>
      <c r="E217" s="697">
        <v>15</v>
      </c>
      <c r="F217" s="50" cm="1" t="str">
        <f t="array" ref="F217:F217">OFFSET(E217,-1,1)</f>
        <v>2</v>
      </c>
      <c r="G217" s="588"/>
      <c r="H217" s="588"/>
      <c r="I217" s="698" t="s">
        <v>1640</v>
      </c>
      <c r="J217" s="698"/>
      <c r="K217" s="698"/>
      <c r="L217" s="698"/>
      <c r="M217" s="698"/>
      <c r="N217" s="698"/>
      <c r="O217" s="698"/>
      <c r="P217" s="698"/>
      <c r="Q217" s="698"/>
      <c r="R217" s="698"/>
      <c r="S217" s="698"/>
      <c r="T217" s="465" cm="1" t="str">
        <f t="array" ref="T217:T217">T216</f>
        <v>true</v>
      </c>
      <c r="U217" s="588"/>
      <c r="V217" s="588"/>
      <c r="W217" s="588"/>
      <c r="X217" s="1641"/>
      <c r="Y217" s="588"/>
      <c r="Z217" s="1642"/>
      <c r="AA217" s="588"/>
      <c r="AB217" s="804" t="s">
        <v>1641</v>
      </c>
      <c r="AC217" s="805" t="s">
        <v>2474</v>
      </c>
      <c r="AD217" s="590" t="s">
        <v>1514</v>
      </c>
      <c r="AE217" s="7165"/>
      <c r="AF217" s="7165"/>
      <c r="AG217" s="7165"/>
      <c r="AH217" s="801">
        <f>AG217-AF217</f>
        <v>0</v>
      </c>
      <c r="AI217" s="7165"/>
      <c r="AJ217" s="810"/>
      <c r="AK217" s="810"/>
      <c r="AL217" s="801">
        <f>IF(AI217=0,0,(AK217-AI217)/AI217*100)</f>
        <v>0</v>
      </c>
      <c r="AM217" s="806"/>
      <c r="AN217" s="806"/>
      <c r="AO217" s="806"/>
      <c r="AP217" s="588"/>
      <c r="AQ217" s="588"/>
      <c r="AR217" s="1063" t="s">
        <v>2074</v>
      </c>
      <c r="AS217" s="1063"/>
      <c r="AT217" s="1063"/>
      <c r="AU217" s="697"/>
      <c r="AV217" s="697"/>
    </row>
    <row s="7250" customFormat="1" customHeight="1" ht="14.25">
      <c r="A218" s="588"/>
      <c r="B218" s="588"/>
      <c r="C218" s="588"/>
      <c r="D218" s="588"/>
      <c r="E218" s="697">
        <v>15</v>
      </c>
      <c r="F218" s="50" cm="1" t="str">
        <f t="array" ref="F218:F218">OFFSET(E218,-1,1)</f>
        <v>2</v>
      </c>
      <c r="G218" s="588"/>
      <c r="H218" s="588"/>
      <c r="I218" s="698" t="s">
        <v>2475</v>
      </c>
      <c r="J218" s="698"/>
      <c r="K218" s="698"/>
      <c r="L218" s="698"/>
      <c r="M218" s="698"/>
      <c r="N218" s="698"/>
      <c r="O218" s="698"/>
      <c r="P218" s="698"/>
      <c r="Q218" s="698"/>
      <c r="R218" s="698"/>
      <c r="S218" s="698"/>
      <c r="T218" s="465" cm="1" t="str">
        <f t="array" ref="T218:T218">T217</f>
        <v>true</v>
      </c>
      <c r="U218" s="588"/>
      <c r="V218" s="588"/>
      <c r="W218" s="588"/>
      <c r="X218" s="1641"/>
      <c r="Y218" s="588"/>
      <c r="Z218" s="1642"/>
      <c r="AA218" s="588"/>
      <c r="AB218" s="804" t="s">
        <v>2476</v>
      </c>
      <c r="AC218" s="805" t="s">
        <v>2477</v>
      </c>
      <c r="AD218" s="590" t="s">
        <v>1514</v>
      </c>
      <c r="AE218" s="7165"/>
      <c r="AF218" s="7165"/>
      <c r="AG218" s="7165"/>
      <c r="AH218" s="801">
        <f>AG218-AF218</f>
        <v>0</v>
      </c>
      <c r="AI218" s="7165"/>
      <c r="AJ218" s="810"/>
      <c r="AK218" s="810"/>
      <c r="AL218" s="801">
        <f>IF(AI218=0,0,(AK218-AI218)/AI218*100)</f>
        <v>0</v>
      </c>
      <c r="AM218" s="806"/>
      <c r="AN218" s="806"/>
      <c r="AO218" s="806"/>
      <c r="AP218" s="588"/>
      <c r="AQ218" s="588"/>
      <c r="AR218" s="1063" t="s">
        <v>2478</v>
      </c>
      <c r="AS218" s="1063"/>
      <c r="AT218" s="1063"/>
      <c r="AU218" s="697"/>
      <c r="AV218" s="697"/>
    </row>
    <row s="7251" customFormat="1" customHeight="1" ht="14.25">
      <c r="A219" s="588"/>
      <c r="B219" s="588"/>
      <c r="C219" s="588"/>
      <c r="D219" s="588"/>
      <c r="E219" s="697">
        <v>15</v>
      </c>
      <c r="F219" s="50" cm="1" t="str">
        <f t="array" ref="F219:F219">OFFSET(E219,-1,1)</f>
        <v>2</v>
      </c>
      <c r="G219" s="588"/>
      <c r="H219" s="588"/>
      <c r="I219" s="698" t="s">
        <v>2479</v>
      </c>
      <c r="J219" s="698"/>
      <c r="K219" s="698"/>
      <c r="L219" s="698"/>
      <c r="M219" s="698"/>
      <c r="N219" s="698"/>
      <c r="O219" s="698"/>
      <c r="P219" s="698"/>
      <c r="Q219" s="698"/>
      <c r="R219" s="698"/>
      <c r="S219" s="698"/>
      <c r="T219" s="465" cm="1" t="str">
        <f t="array" ref="T219:T219">T218</f>
        <v>true</v>
      </c>
      <c r="U219" s="588"/>
      <c r="V219" s="588"/>
      <c r="W219" s="588"/>
      <c r="X219" s="1641"/>
      <c r="Y219" s="588"/>
      <c r="Z219" s="1642"/>
      <c r="AA219" s="588"/>
      <c r="AB219" s="804" t="s">
        <v>2480</v>
      </c>
      <c r="AC219" s="805" t="s">
        <v>2481</v>
      </c>
      <c r="AD219" s="590" t="s">
        <v>1514</v>
      </c>
      <c r="AE219" s="801">
        <f>SUM(AE220:AE225)</f>
        <v>0</v>
      </c>
      <c r="AF219" s="801">
        <f>SUM(AF220:AF225)</f>
        <v>0</v>
      </c>
      <c r="AG219" s="801">
        <f>SUM(AG220:AG225)</f>
        <v>0</v>
      </c>
      <c r="AH219" s="801">
        <f>AG219-AF219</f>
        <v>0</v>
      </c>
      <c r="AI219" s="801">
        <f>SUM(AI220:AI225)</f>
        <v>0</v>
      </c>
      <c r="AJ219" s="801">
        <f>SUM(AJ220:AJ225)</f>
        <v>0</v>
      </c>
      <c r="AK219" s="801">
        <f>SUM(AK220:AK225)</f>
        <v>0</v>
      </c>
      <c r="AL219" s="801">
        <f>IF(AI219=0,0,(AK219-AI219)/AI219*100)</f>
        <v>0</v>
      </c>
      <c r="AM219" s="806"/>
      <c r="AN219" s="806"/>
      <c r="AO219" s="806"/>
      <c r="AP219" s="588"/>
      <c r="AQ219" s="588"/>
      <c r="AR219" s="1063" t="s">
        <v>2482</v>
      </c>
      <c r="AS219" s="1063"/>
      <c r="AT219" s="1063"/>
      <c r="AU219" s="697"/>
      <c r="AV219" s="697"/>
    </row>
    <row s="1834" customFormat="1" customHeight="1" ht="14.25">
      <c r="A220" s="1741"/>
      <c r="B220" s="1741"/>
      <c r="C220" s="1741"/>
      <c r="D220" s="1741"/>
      <c r="E220" s="695">
        <v>15</v>
      </c>
      <c r="F220" s="50" cm="1" t="str">
        <f t="array" ref="F220:F220">OFFSET(E220,-1,1)</f>
        <v>2</v>
      </c>
      <c r="G220" s="1741"/>
      <c r="H220" s="1741"/>
      <c r="I220" s="587" t="s">
        <v>2479</v>
      </c>
      <c r="J220" s="986" t="s">
        <v>2483</v>
      </c>
      <c r="K220" s="1741"/>
      <c r="L220" s="587"/>
      <c r="M220" s="587"/>
      <c r="N220" s="587"/>
      <c r="O220" s="587"/>
      <c r="P220" s="587"/>
      <c r="Q220" s="587"/>
      <c r="R220" s="587"/>
      <c r="S220" s="587"/>
      <c r="T220" s="465" cm="1" t="str">
        <f t="array" ref="T220:T220">T219</f>
        <v>true</v>
      </c>
      <c r="U220" s="1741"/>
      <c r="V220" s="1741"/>
      <c r="W220" s="1741"/>
      <c r="X220" s="1641"/>
      <c r="Y220" s="1741"/>
      <c r="Z220" s="1642"/>
      <c r="AA220" s="1741"/>
      <c r="AB220" s="807" t="s">
        <v>2484</v>
      </c>
      <c r="AC220" s="808" t="s">
        <v>2485</v>
      </c>
      <c r="AD220" s="759" t="s">
        <v>1514</v>
      </c>
      <c r="AE220" s="7168"/>
      <c r="AF220" s="7168"/>
      <c r="AG220" s="7168"/>
      <c r="AH220" s="802">
        <f>AG220-AF220</f>
        <v>0</v>
      </c>
      <c r="AI220" s="7168"/>
      <c r="AJ220" s="809"/>
      <c r="AK220" s="809"/>
      <c r="AL220" s="802">
        <f>IF(AI220=0,0,(AK220-AI220)/AI220*100)</f>
        <v>0</v>
      </c>
      <c r="AM220" s="803"/>
      <c r="AN220" s="803"/>
      <c r="AO220" s="803"/>
      <c r="AP220" s="1741"/>
      <c r="AQ220" s="1741"/>
      <c r="AR220" s="1062" t="s">
        <v>2486</v>
      </c>
      <c r="AS220" s="1062"/>
      <c r="AT220" s="1062"/>
      <c r="AU220" s="1059"/>
      <c r="AV220" s="1059"/>
    </row>
    <row s="1834" customFormat="1" customHeight="1" ht="14.25">
      <c r="A221" s="1741"/>
      <c r="B221" s="1741"/>
      <c r="C221" s="1741"/>
      <c r="D221" s="1741"/>
      <c r="E221" s="695">
        <v>15</v>
      </c>
      <c r="F221" s="50" cm="1" t="str">
        <f t="array" ref="F221:F221">OFFSET(E221,-1,1)</f>
        <v>2</v>
      </c>
      <c r="G221" s="1741"/>
      <c r="H221" s="1741"/>
      <c r="I221" s="587" t="s">
        <v>2479</v>
      </c>
      <c r="J221" s="986" t="s">
        <v>2487</v>
      </c>
      <c r="K221" s="1741"/>
      <c r="L221" s="587"/>
      <c r="M221" s="587"/>
      <c r="N221" s="587"/>
      <c r="O221" s="587"/>
      <c r="P221" s="587"/>
      <c r="Q221" s="587"/>
      <c r="R221" s="587"/>
      <c r="S221" s="587"/>
      <c r="T221" s="465" cm="1" t="str">
        <f t="array" ref="T221:T221">T220</f>
        <v>true</v>
      </c>
      <c r="U221" s="1741"/>
      <c r="V221" s="1741"/>
      <c r="W221" s="1741"/>
      <c r="X221" s="1641"/>
      <c r="Y221" s="1741"/>
      <c r="Z221" s="1642"/>
      <c r="AA221" s="1741"/>
      <c r="AB221" s="807" t="s">
        <v>2488</v>
      </c>
      <c r="AC221" s="808" t="s">
        <v>2489</v>
      </c>
      <c r="AD221" s="759" t="s">
        <v>1514</v>
      </c>
      <c r="AE221" s="7168"/>
      <c r="AF221" s="7168"/>
      <c r="AG221" s="7168"/>
      <c r="AH221" s="802">
        <f>AG221-AF221</f>
        <v>0</v>
      </c>
      <c r="AI221" s="7168"/>
      <c r="AJ221" s="809"/>
      <c r="AK221" s="809"/>
      <c r="AL221" s="802">
        <f>IF(AI221=0,0,(AK221-AI221)/AI221*100)</f>
        <v>0</v>
      </c>
      <c r="AM221" s="803"/>
      <c r="AN221" s="803"/>
      <c r="AO221" s="803"/>
      <c r="AP221" s="1741"/>
      <c r="AQ221" s="1741"/>
      <c r="AR221" s="1062" t="s">
        <v>2490</v>
      </c>
      <c r="AS221" s="1062"/>
      <c r="AT221" s="1062"/>
      <c r="AU221" s="1059"/>
      <c r="AV221" s="1059"/>
    </row>
    <row s="1834" customFormat="1" customHeight="1" ht="14.25">
      <c r="A222" s="1741"/>
      <c r="B222" s="1741"/>
      <c r="C222" s="1741"/>
      <c r="D222" s="1741"/>
      <c r="E222" s="695">
        <v>15</v>
      </c>
      <c r="F222" s="50" cm="1" t="str">
        <f t="array" ref="F222:F222">OFFSET(E222,-1,1)</f>
        <v>2</v>
      </c>
      <c r="G222" s="1741"/>
      <c r="H222" s="1741"/>
      <c r="I222" s="587" t="s">
        <v>2479</v>
      </c>
      <c r="J222" s="986" t="s">
        <v>2491</v>
      </c>
      <c r="K222" s="1741"/>
      <c r="L222" s="587"/>
      <c r="M222" s="587"/>
      <c r="N222" s="587"/>
      <c r="O222" s="587"/>
      <c r="P222" s="587"/>
      <c r="Q222" s="587"/>
      <c r="R222" s="587"/>
      <c r="S222" s="587"/>
      <c r="T222" s="465" cm="1" t="str">
        <f t="array" ref="T222:T222">T221</f>
        <v>true</v>
      </c>
      <c r="U222" s="1741"/>
      <c r="V222" s="1741"/>
      <c r="W222" s="1741"/>
      <c r="X222" s="1641"/>
      <c r="Y222" s="1741"/>
      <c r="Z222" s="1642"/>
      <c r="AA222" s="1741"/>
      <c r="AB222" s="807" t="s">
        <v>2492</v>
      </c>
      <c r="AC222" s="808" t="s">
        <v>2493</v>
      </c>
      <c r="AD222" s="759" t="s">
        <v>1514</v>
      </c>
      <c r="AE222" s="7168"/>
      <c r="AF222" s="7168"/>
      <c r="AG222" s="7168"/>
      <c r="AH222" s="802">
        <f>AG222-AF222</f>
        <v>0</v>
      </c>
      <c r="AI222" s="7168"/>
      <c r="AJ222" s="809"/>
      <c r="AK222" s="809"/>
      <c r="AL222" s="802">
        <f>IF(AI222=0,0,(AK222-AI222)/AI222*100)</f>
        <v>0</v>
      </c>
      <c r="AM222" s="803"/>
      <c r="AN222" s="803"/>
      <c r="AO222" s="803"/>
      <c r="AP222" s="1741"/>
      <c r="AQ222" s="1741"/>
      <c r="AR222" s="1062" t="s">
        <v>2494</v>
      </c>
      <c r="AS222" s="1062"/>
      <c r="AT222" s="1062"/>
      <c r="AU222" s="1059"/>
      <c r="AV222" s="1059"/>
    </row>
    <row s="1834" customFormat="1" customHeight="1" ht="14.25">
      <c r="A223" s="1741"/>
      <c r="B223" s="1741"/>
      <c r="C223" s="1741"/>
      <c r="D223" s="1741"/>
      <c r="E223" s="695">
        <v>15</v>
      </c>
      <c r="F223" s="50" cm="1" t="str">
        <f t="array" ref="F223:F223">OFFSET(E223,-1,1)</f>
        <v>2</v>
      </c>
      <c r="G223" s="1741"/>
      <c r="H223" s="1741"/>
      <c r="I223" s="587" t="s">
        <v>2479</v>
      </c>
      <c r="J223" s="986" t="s">
        <v>2495</v>
      </c>
      <c r="K223" s="1741"/>
      <c r="L223" s="587"/>
      <c r="M223" s="587"/>
      <c r="N223" s="587"/>
      <c r="O223" s="587"/>
      <c r="P223" s="587"/>
      <c r="Q223" s="587"/>
      <c r="R223" s="587"/>
      <c r="S223" s="587"/>
      <c r="T223" s="465" cm="1" t="str">
        <f t="array" ref="T223:T223">T222</f>
        <v>true</v>
      </c>
      <c r="U223" s="1741"/>
      <c r="V223" s="1741"/>
      <c r="W223" s="1741"/>
      <c r="X223" s="1641"/>
      <c r="Y223" s="1741"/>
      <c r="Z223" s="1642"/>
      <c r="AA223" s="1741"/>
      <c r="AB223" s="807" t="s">
        <v>2496</v>
      </c>
      <c r="AC223" s="808" t="s">
        <v>2497</v>
      </c>
      <c r="AD223" s="759" t="s">
        <v>1514</v>
      </c>
      <c r="AE223" s="7168"/>
      <c r="AF223" s="7168"/>
      <c r="AG223" s="7168"/>
      <c r="AH223" s="802">
        <f>AG223-AF223</f>
        <v>0</v>
      </c>
      <c r="AI223" s="7168"/>
      <c r="AJ223" s="809"/>
      <c r="AK223" s="809"/>
      <c r="AL223" s="802">
        <f>IF(AI223=0,0,(AK223-AI223)/AI223*100)</f>
        <v>0</v>
      </c>
      <c r="AM223" s="803"/>
      <c r="AN223" s="803"/>
      <c r="AO223" s="803"/>
      <c r="AP223" s="1741"/>
      <c r="AQ223" s="1741"/>
      <c r="AR223" s="1062" t="s">
        <v>2498</v>
      </c>
      <c r="AS223" s="1062"/>
      <c r="AT223" s="1062"/>
      <c r="AU223" s="1059"/>
      <c r="AV223" s="1059"/>
    </row>
    <row s="1834" customFormat="1" customHeight="1" ht="14.25" hidden="1">
      <c r="A224" s="1741"/>
      <c r="B224" s="1741"/>
      <c r="C224" s="1741"/>
      <c r="D224" s="1741"/>
      <c r="E224" s="695">
        <v>15</v>
      </c>
      <c r="F224" s="50" cm="1" t="str">
        <f t="array" ref="F224:F224">OFFSET(E224,-1,1)</f>
        <v>2</v>
      </c>
      <c r="G224" s="1741"/>
      <c r="H224" s="1741"/>
      <c r="I224" s="587" t="s">
        <v>2479</v>
      </c>
      <c r="J224" s="577" cm="1" t="str">
        <f t="array" ref="J224:J224">AC224</f>
        <v>0</v>
      </c>
      <c r="K224" s="1741"/>
      <c r="L224" s="587"/>
      <c r="M224" s="587"/>
      <c r="N224" s="587"/>
      <c r="O224" s="587"/>
      <c r="P224" s="587"/>
      <c r="Q224" s="587"/>
      <c r="R224" s="587"/>
      <c r="S224" s="587"/>
      <c r="T224" s="465">
        <f>AND(F224&gt;0,Y224&gt;4)</f>
        <v>0</v>
      </c>
      <c r="U224" s="1741"/>
      <c r="V224" s="1741"/>
      <c r="W224" s="757" t="s">
        <v>174</v>
      </c>
      <c r="X224" s="1641"/>
      <c r="Y224" s="577">
        <v>4</v>
      </c>
      <c r="Z224" s="1642"/>
      <c r="AA224" s="1228" t="s">
        <v>175</v>
      </c>
      <c r="AB224" s="701" t="str">
        <f>"1.7."&amp;Y224</f>
        <v>1.7.4</v>
      </c>
      <c r="AC224" s="7171"/>
      <c r="AD224" s="759" t="s">
        <v>1514</v>
      </c>
      <c r="AE224" s="7168"/>
      <c r="AF224" s="7168"/>
      <c r="AG224" s="7168"/>
      <c r="AH224" s="802">
        <f>AG224-AF224</f>
        <v>0</v>
      </c>
      <c r="AI224" s="7168"/>
      <c r="AJ224" s="7172"/>
      <c r="AK224" s="7172"/>
      <c r="AL224" s="802">
        <f>IF(AI224=0,0,(AK224-AI224)/AI224*100)</f>
        <v>0</v>
      </c>
      <c r="AM224" s="5154"/>
      <c r="AN224" s="5154"/>
      <c r="AO224" s="5154"/>
      <c r="AP224" s="1741"/>
      <c r="AQ224" s="1741"/>
      <c r="AR224" s="1062" t="s">
        <v>2499</v>
      </c>
      <c r="AS224" s="1062" t="s">
        <v>1855</v>
      </c>
      <c r="AT224" s="1060" cm="1" t="str">
        <f t="array" ref="AT224:AT224">AC224</f>
        <v>0</v>
      </c>
      <c r="AU224" s="1059"/>
      <c r="AV224" s="695" t="b">
        <v>1</v>
      </c>
    </row>
    <row s="1834" customFormat="1" customHeight="1" ht="14.25">
      <c r="A225" s="1741"/>
      <c r="B225" s="1741"/>
      <c r="C225" s="1741"/>
      <c r="D225" s="1741"/>
      <c r="E225" s="695">
        <v>15</v>
      </c>
      <c r="F225" s="50" cm="1" t="str">
        <f t="array" ref="F225:F225">OFFSET(E225,-1,1)</f>
        <v>2</v>
      </c>
      <c r="G225" s="1741"/>
      <c r="H225" s="1741"/>
      <c r="I225" s="696"/>
      <c r="J225" s="696" t="s">
        <v>2500</v>
      </c>
      <c r="K225" s="696"/>
      <c r="L225" s="696"/>
      <c r="M225" s="696"/>
      <c r="N225" s="696"/>
      <c r="O225" s="696"/>
      <c r="P225" s="696"/>
      <c r="Q225" s="696"/>
      <c r="R225" s="696"/>
      <c r="S225" s="696"/>
      <c r="T225" s="465">
        <f>F225&gt;0</f>
        <v>1</v>
      </c>
      <c r="U225" s="1741"/>
      <c r="V225" s="1741"/>
      <c r="W225" s="829" t="s">
        <v>399</v>
      </c>
      <c r="X225" s="1641"/>
      <c r="Y225" s="1741"/>
      <c r="Z225" s="1642"/>
      <c r="AA225" s="1741"/>
      <c r="AB225" s="1229"/>
      <c r="AC225" s="1230" t="s">
        <v>178</v>
      </c>
      <c r="AD225" s="1231"/>
      <c r="AE225" s="1231"/>
      <c r="AF225" s="1231"/>
      <c r="AG225" s="1231"/>
      <c r="AH225" s="1231"/>
      <c r="AI225" s="1231"/>
      <c r="AJ225" s="1231"/>
      <c r="AK225" s="1231"/>
      <c r="AL225" s="1231"/>
      <c r="AM225" s="1231"/>
      <c r="AN225" s="1231"/>
      <c r="AO225" s="1232"/>
      <c r="AP225" s="1741"/>
      <c r="AQ225" s="1741"/>
      <c r="AR225" s="1062"/>
      <c r="AS225" s="1062"/>
      <c r="AT225" s="1062"/>
      <c r="AU225" s="1059" t="s">
        <v>1855</v>
      </c>
      <c r="AV225" s="1059"/>
    </row>
    <row s="7266" customFormat="1" customHeight="1" ht="14.25">
      <c r="A226" s="588"/>
      <c r="B226" s="588"/>
      <c r="C226" s="588"/>
      <c r="D226" s="588"/>
      <c r="E226" s="697">
        <v>15</v>
      </c>
      <c r="F226" s="50" cm="1" t="str">
        <f t="array" ref="F226:F226">OFFSET(E226,-1,1)</f>
        <v>2</v>
      </c>
      <c r="G226" s="588"/>
      <c r="H226" s="588"/>
      <c r="I226" s="698" t="s">
        <v>333</v>
      </c>
      <c r="J226" s="698"/>
      <c r="K226" s="698"/>
      <c r="L226" s="698"/>
      <c r="M226" s="698"/>
      <c r="N226" s="698"/>
      <c r="O226" s="698"/>
      <c r="P226" s="698"/>
      <c r="Q226" s="698"/>
      <c r="R226" s="698"/>
      <c r="S226" s="698"/>
      <c r="T226" s="465" cm="1" t="str">
        <f t="array" ref="T226:T226">T225</f>
        <v>true</v>
      </c>
      <c r="U226" s="588"/>
      <c r="V226" s="588"/>
      <c r="W226" s="588"/>
      <c r="X226" s="1641"/>
      <c r="Y226" s="588"/>
      <c r="Z226" s="1642"/>
      <c r="AA226" s="588"/>
      <c r="AB226" s="804" t="s">
        <v>285</v>
      </c>
      <c r="AC226" s="800" t="s">
        <v>2501</v>
      </c>
      <c r="AD226" s="812" t="s">
        <v>1514</v>
      </c>
      <c r="AE226" s="788">
        <f>AE227+AE228</f>
        <v>0</v>
      </c>
      <c r="AF226" s="788">
        <f>AF227+AF228</f>
        <v>0</v>
      </c>
      <c r="AG226" s="788">
        <f>AG227+AG228</f>
        <v>0</v>
      </c>
      <c r="AH226" s="801">
        <f>AG226-AF226</f>
        <v>0</v>
      </c>
      <c r="AI226" s="788">
        <f>AI227+AI228</f>
        <v>0</v>
      </c>
      <c r="AJ226" s="788">
        <f>AJ227+AJ228</f>
        <v>0</v>
      </c>
      <c r="AK226" s="788">
        <f>AK227+AK228</f>
        <v>0</v>
      </c>
      <c r="AL226" s="801">
        <f>IF(AI226=0,0,(AK226-AI226)/AI226*100)</f>
        <v>0</v>
      </c>
      <c r="AM226" s="806"/>
      <c r="AN226" s="806"/>
      <c r="AO226" s="806"/>
      <c r="AP226" s="588"/>
      <c r="AQ226" s="588"/>
      <c r="AR226" s="1063" t="s">
        <v>2502</v>
      </c>
      <c r="AS226" s="1063"/>
      <c r="AT226" s="1063"/>
      <c r="AU226" s="697"/>
      <c r="AV226" s="697"/>
    </row>
    <row s="1834" customFormat="1" customHeight="1" ht="32.25">
      <c r="A227" s="1741"/>
      <c r="B227" s="1741"/>
      <c r="C227" s="1741"/>
      <c r="D227" s="1741"/>
      <c r="E227" s="695">
        <v>33.75</v>
      </c>
      <c r="F227" s="50" cm="1" t="str">
        <f t="array" ref="F227:F227">OFFSET(E227,-1,1)</f>
        <v>2</v>
      </c>
      <c r="G227" s="1741"/>
      <c r="H227" s="1741"/>
      <c r="I227" s="587" t="s">
        <v>1193</v>
      </c>
      <c r="J227" s="587"/>
      <c r="K227" s="587"/>
      <c r="L227" s="587"/>
      <c r="M227" s="587"/>
      <c r="N227" s="587"/>
      <c r="O227" s="587"/>
      <c r="P227" s="587"/>
      <c r="Q227" s="587"/>
      <c r="R227" s="587"/>
      <c r="S227" s="587"/>
      <c r="T227" s="465" cm="1" t="str">
        <f t="array" ref="T227:T227">T226</f>
        <v>true</v>
      </c>
      <c r="U227" s="1741"/>
      <c r="V227" s="1741"/>
      <c r="W227" s="1741"/>
      <c r="X227" s="1641"/>
      <c r="Y227" s="1741"/>
      <c r="Z227" s="1642"/>
      <c r="AA227" s="1741"/>
      <c r="AB227" s="807" t="s">
        <v>1250</v>
      </c>
      <c r="AC227" s="813" t="s">
        <v>2503</v>
      </c>
      <c r="AD227" s="814" t="s">
        <v>1514</v>
      </c>
      <c r="AE227" s="7168"/>
      <c r="AF227" s="7168"/>
      <c r="AG227" s="7168"/>
      <c r="AH227" s="802">
        <f>AG227-AF227</f>
        <v>0</v>
      </c>
      <c r="AI227" s="7168"/>
      <c r="AJ227" s="809"/>
      <c r="AK227" s="809"/>
      <c r="AL227" s="802">
        <f>IF(AI227=0,0,(AK227-AI227)/AI227*100)</f>
        <v>0</v>
      </c>
      <c r="AM227" s="803"/>
      <c r="AN227" s="803"/>
      <c r="AO227" s="803"/>
      <c r="AP227" s="1741"/>
      <c r="AQ227" s="1741"/>
      <c r="AR227" s="1062" t="s">
        <v>2504</v>
      </c>
      <c r="AS227" s="1062"/>
      <c r="AT227" s="1062"/>
      <c r="AU227" s="1059"/>
      <c r="AV227" s="1059"/>
    </row>
    <row s="1834" customFormat="1" customHeight="1" ht="34.5">
      <c r="A228" s="1741"/>
      <c r="B228" s="1741"/>
      <c r="C228" s="1741"/>
      <c r="D228" s="1741"/>
      <c r="E228" s="695">
        <v>36</v>
      </c>
      <c r="F228" s="50" cm="1" t="str">
        <f t="array" ref="F228:F228">OFFSET(E228,-1,1)</f>
        <v>2</v>
      </c>
      <c r="G228" s="1741"/>
      <c r="H228" s="1741"/>
      <c r="I228" s="587" t="s">
        <v>1196</v>
      </c>
      <c r="J228" s="587"/>
      <c r="K228" s="587"/>
      <c r="L228" s="587"/>
      <c r="M228" s="587"/>
      <c r="N228" s="587"/>
      <c r="O228" s="587"/>
      <c r="P228" s="587"/>
      <c r="Q228" s="587"/>
      <c r="R228" s="587"/>
      <c r="S228" s="587"/>
      <c r="T228" s="465" cm="1" t="str">
        <f t="array" ref="T228:T228">T227</f>
        <v>true</v>
      </c>
      <c r="U228" s="1741"/>
      <c r="V228" s="1741"/>
      <c r="W228" s="1741"/>
      <c r="X228" s="1641"/>
      <c r="Y228" s="1741"/>
      <c r="Z228" s="1642"/>
      <c r="AA228" s="1741"/>
      <c r="AB228" s="807" t="s">
        <v>1254</v>
      </c>
      <c r="AC228" s="813" t="s">
        <v>2505</v>
      </c>
      <c r="AD228" s="814" t="s">
        <v>1514</v>
      </c>
      <c r="AE228" s="815">
        <f>AE229+AE230</f>
        <v>0</v>
      </c>
      <c r="AF228" s="815">
        <f>AF229+AF230</f>
        <v>0</v>
      </c>
      <c r="AG228" s="815">
        <f>AG229+AG230</f>
        <v>0</v>
      </c>
      <c r="AH228" s="802">
        <f>AG228-AF228</f>
        <v>0</v>
      </c>
      <c r="AI228" s="815">
        <f>AI229+AI230</f>
        <v>0</v>
      </c>
      <c r="AJ228" s="815">
        <f>AJ229+AJ230</f>
        <v>0</v>
      </c>
      <c r="AK228" s="815">
        <f>AK229+AK230</f>
        <v>0</v>
      </c>
      <c r="AL228" s="802">
        <f>IF(AI228=0,0,(AK228-AI228)/AI228*100)</f>
        <v>0</v>
      </c>
      <c r="AM228" s="803"/>
      <c r="AN228" s="803"/>
      <c r="AO228" s="803"/>
      <c r="AP228" s="1741"/>
      <c r="AQ228" s="1741"/>
      <c r="AR228" s="1062" t="s">
        <v>2506</v>
      </c>
      <c r="AS228" s="1062"/>
      <c r="AT228" s="1062"/>
      <c r="AU228" s="1059"/>
      <c r="AV228" s="1059"/>
    </row>
    <row s="1834" customFormat="1" customHeight="1" ht="14.25">
      <c r="A229" s="1741"/>
      <c r="B229" s="1741"/>
      <c r="C229" s="1741"/>
      <c r="D229" s="1741"/>
      <c r="E229" s="695">
        <v>15</v>
      </c>
      <c r="F229" s="50" cm="1" t="str">
        <f t="array" ref="F229:F229">OFFSET(E229,-1,1)</f>
        <v>2</v>
      </c>
      <c r="G229" s="577" t="s">
        <v>1881</v>
      </c>
      <c r="H229" s="1741"/>
      <c r="I229" s="587" t="s">
        <v>2507</v>
      </c>
      <c r="J229" s="587"/>
      <c r="K229" s="587"/>
      <c r="L229" s="587"/>
      <c r="M229" s="587"/>
      <c r="N229" s="587"/>
      <c r="O229" s="587"/>
      <c r="P229" s="587"/>
      <c r="Q229" s="587"/>
      <c r="R229" s="587"/>
      <c r="S229" s="587"/>
      <c r="T229" s="465" cm="1" t="str">
        <f t="array" ref="T229:T229">T228</f>
        <v>true</v>
      </c>
      <c r="U229" s="1741"/>
      <c r="V229" s="1741"/>
      <c r="W229" s="1741"/>
      <c r="X229" s="1641"/>
      <c r="Y229" s="1741"/>
      <c r="Z229" s="1642"/>
      <c r="AA229" s="1741"/>
      <c r="AB229" s="807" t="s">
        <v>1207</v>
      </c>
      <c r="AC229" s="808" t="s">
        <v>2508</v>
      </c>
      <c r="AD229" s="814" t="s">
        <v>1514</v>
      </c>
      <c r="AE229" s="802">
        <f>_xlfn.SUMIFS(ФОТ!AE$25:AE$188,ФОТ!$F$25:$F$188,$F229,ФОТ!$G$25:$G$188,$G229)</f>
        <v>0</v>
      </c>
      <c r="AF229" s="802">
        <f>_xlfn.SUMIFS(ФОТ!AF$25:AF$188,ФОТ!$F$25:$F$188,$F229,ФОТ!$G$25:$G$188,$G229)</f>
        <v>0</v>
      </c>
      <c r="AG229" s="802">
        <f>_xlfn.SUMIFS(ФОТ!AG$25:AG$188,ФОТ!$F$25:$F$188,$F229,ФОТ!$G$25:$G$188,$G229)</f>
        <v>0</v>
      </c>
      <c r="AH229" s="802">
        <f>AG229-AF229</f>
        <v>0</v>
      </c>
      <c r="AI229" s="802">
        <f>_xlfn.SUMIFS(ФОТ!AH$25:AH$188,ФОТ!$F$25:$F$188,$F229,ФОТ!$G$25:$G$188,$G229)</f>
        <v>0</v>
      </c>
      <c r="AJ229" s="802">
        <f>_xlfn.SUMIFS(ФОТ!AI$25:AI$188,ФОТ!$F$25:$F$188,$F229,ФОТ!$G$25:$G$188,$G229)</f>
        <v>0</v>
      </c>
      <c r="AK229" s="802">
        <f>_xlfn.SUMIFS(ФОТ!AJ$25:AJ$188,ФОТ!$F$25:$F$188,$F229,ФОТ!$G$25:$G$188,$G229)</f>
        <v>0</v>
      </c>
      <c r="AL229" s="802">
        <f>IF(AI229=0,0,(AK229-AI229)/AI229*100)</f>
        <v>0</v>
      </c>
      <c r="AM229" s="803"/>
      <c r="AN229" s="910" t="str">
        <f>IF(_xlfn.IFERROR(INDEX(ФОТ!$K$26:$L$188,MATCH($F229&amp;"3komm",ФОТ!$K$26:$K$188,0),2),"")=0,"",_xlfn.IFERROR(INDEX(ФОТ!$K$26:$L$188,MATCH($F229&amp;"3komm",ФОТ!$K$26:$K$188,0),2),""))</f>
        <v/>
      </c>
      <c r="AO229" s="803"/>
      <c r="AP229" s="1741"/>
      <c r="AQ229" s="1741"/>
      <c r="AR229" s="1062" t="s">
        <v>2509</v>
      </c>
      <c r="AS229" s="1062"/>
      <c r="AT229" s="1062"/>
      <c r="AU229" s="1059"/>
      <c r="AV229" s="1059"/>
    </row>
    <row s="1834" customFormat="1" customHeight="1" ht="21.75">
      <c r="A230" s="1741"/>
      <c r="B230" s="1741"/>
      <c r="C230" s="1741"/>
      <c r="D230" s="1741"/>
      <c r="E230" s="695">
        <v>22.5</v>
      </c>
      <c r="F230" s="50" cm="1" t="str">
        <f t="array" ref="F230:F230">OFFSET(E230,-1,1)</f>
        <v>2</v>
      </c>
      <c r="G230" s="577" t="s">
        <v>1886</v>
      </c>
      <c r="H230" s="1741"/>
      <c r="I230" s="587" t="s">
        <v>2510</v>
      </c>
      <c r="J230" s="587"/>
      <c r="K230" s="587"/>
      <c r="L230" s="587"/>
      <c r="M230" s="587"/>
      <c r="N230" s="587"/>
      <c r="O230" s="587"/>
      <c r="P230" s="587"/>
      <c r="Q230" s="587"/>
      <c r="R230" s="587"/>
      <c r="S230" s="587"/>
      <c r="T230" s="465" cm="1" t="str">
        <f t="array" ref="T230:T230">T229</f>
        <v>true</v>
      </c>
      <c r="U230" s="1741"/>
      <c r="V230" s="1741"/>
      <c r="W230" s="1741"/>
      <c r="X230" s="1641"/>
      <c r="Y230" s="1741"/>
      <c r="Z230" s="1642"/>
      <c r="AA230" s="1741"/>
      <c r="AB230" s="807" t="s">
        <v>2171</v>
      </c>
      <c r="AC230" s="808" t="s">
        <v>2511</v>
      </c>
      <c r="AD230" s="814" t="s">
        <v>1514</v>
      </c>
      <c r="AE230" s="802">
        <f>_xlfn.SUMIFS(ФОТ!AE$25:AE$188,ФОТ!$F$25:$F$188,$F230,ФОТ!$G$25:$G$188,$G230)</f>
        <v>0</v>
      </c>
      <c r="AF230" s="802">
        <f>_xlfn.SUMIFS(ФОТ!AF$25:AF$188,ФОТ!$F$25:$F$188,$F230,ФОТ!$G$25:$G$188,$G230)</f>
        <v>0</v>
      </c>
      <c r="AG230" s="802">
        <f>_xlfn.SUMIFS(ФОТ!AG$25:AG$188,ФОТ!$F$25:$F$188,$F230,ФОТ!$G$25:$G$188,$G230)</f>
        <v>0</v>
      </c>
      <c r="AH230" s="802">
        <f>AG230-AF230</f>
        <v>0</v>
      </c>
      <c r="AI230" s="802">
        <f>_xlfn.SUMIFS(ФОТ!AH$25:AH$188,ФОТ!$F$25:$F$188,$F230,ФОТ!$G$25:$G$188,$G230)</f>
        <v>0</v>
      </c>
      <c r="AJ230" s="802">
        <f>_xlfn.SUMIFS(ФОТ!AI$25:AI$188,ФОТ!$F$25:$F$188,$F230,ФОТ!$G$25:$G$188,$G230)</f>
        <v>0</v>
      </c>
      <c r="AK230" s="802">
        <f>_xlfn.SUMIFS(ФОТ!AJ$25:AJ$188,ФОТ!$F$25:$F$188,$F230,ФОТ!$G$25:$G$188,$G230)</f>
        <v>0</v>
      </c>
      <c r="AL230" s="802">
        <f>IF(AI230=0,0,(AK230-AI230)/AI230*100)</f>
        <v>0</v>
      </c>
      <c r="AM230" s="803"/>
      <c r="AN230" s="910" t="str">
        <f>IF(_xlfn.IFERROR(INDEX(ФОТ!$K$26:$L$188,MATCH($F230&amp;"4komm",ФОТ!$K$26:$K$188,0),2),"")=0,"",_xlfn.IFERROR(INDEX(ФОТ!$K$26:$L$188,MATCH($F230&amp;"4komm",ФОТ!$K$26:$K$188,0),2),""))</f>
        <v/>
      </c>
      <c r="AO230" s="803"/>
      <c r="AP230" s="1741"/>
      <c r="AQ230" s="1741"/>
      <c r="AR230" s="1062" t="s">
        <v>2512</v>
      </c>
      <c r="AS230" s="1062"/>
      <c r="AT230" s="1062"/>
      <c r="AU230" s="1059"/>
      <c r="AV230" s="1059"/>
    </row>
    <row s="7267" customFormat="1" customHeight="1" ht="14.25">
      <c r="A231" s="588"/>
      <c r="B231" s="588"/>
      <c r="C231" s="588"/>
      <c r="D231" s="588"/>
      <c r="E231" s="697">
        <v>15</v>
      </c>
      <c r="F231" s="50" cm="1" t="str">
        <f t="array" ref="F231:F231">OFFSET(E231,-1,1)</f>
        <v>2</v>
      </c>
      <c r="G231" s="588"/>
      <c r="H231" s="588"/>
      <c r="I231" s="698" t="s">
        <v>334</v>
      </c>
      <c r="J231" s="698"/>
      <c r="K231" s="698"/>
      <c r="L231" s="698"/>
      <c r="M231" s="698"/>
      <c r="N231" s="698"/>
      <c r="O231" s="698"/>
      <c r="P231" s="698"/>
      <c r="Q231" s="698"/>
      <c r="R231" s="698"/>
      <c r="S231" s="698"/>
      <c r="T231" s="465" cm="1" t="str">
        <f t="array" ref="T231:T231">T230</f>
        <v>true</v>
      </c>
      <c r="U231" s="588"/>
      <c r="V231" s="588"/>
      <c r="W231" s="588"/>
      <c r="X231" s="1641"/>
      <c r="Y231" s="588"/>
      <c r="Z231" s="1642"/>
      <c r="AA231" s="588"/>
      <c r="AB231" s="804" t="s">
        <v>289</v>
      </c>
      <c r="AC231" s="800" t="s">
        <v>2513</v>
      </c>
      <c r="AD231" s="812" t="s">
        <v>1514</v>
      </c>
      <c r="AE231" s="801">
        <f>AE232+AE233+AE236+AE237+AE238+AE239+AE240</f>
        <v>0</v>
      </c>
      <c r="AF231" s="801">
        <f>AF232+AF233+AF236+AF237+AF238+AF239+AF240</f>
        <v>0</v>
      </c>
      <c r="AG231" s="801">
        <f>AG232+AG233+AG236+AG237+AG238+AG239+AG240</f>
        <v>0</v>
      </c>
      <c r="AH231" s="801">
        <f>AG231-AF231</f>
        <v>0</v>
      </c>
      <c r="AI231" s="801">
        <f>AI232+AI233+AI236+AI237+AI238+AI239+AI240</f>
        <v>0</v>
      </c>
      <c r="AJ231" s="801">
        <f>AJ232+AJ233+AJ236+AJ237+AJ238+AJ239+AJ240</f>
        <v>7744.9963238152</v>
      </c>
      <c r="AK231" s="801">
        <f>AK232+AK233+AK236+AK237+AK238+AK239+AK240</f>
        <v>7744.9963238152</v>
      </c>
      <c r="AL231" s="801">
        <f>IF(AI231=0,0,(AK231-AI231)/AI231*100)</f>
        <v>0</v>
      </c>
      <c r="AM231" s="806"/>
      <c r="AN231" s="806"/>
      <c r="AO231" s="806"/>
      <c r="AP231" s="588"/>
      <c r="AQ231" s="588"/>
      <c r="AR231" s="1063" t="s">
        <v>2514</v>
      </c>
      <c r="AS231" s="1063"/>
      <c r="AT231" s="1063"/>
      <c r="AU231" s="697"/>
      <c r="AV231" s="697"/>
    </row>
    <row s="1834" customFormat="1" customHeight="1" ht="21.75">
      <c r="A232" s="1741"/>
      <c r="B232" s="1741"/>
      <c r="C232" s="1741"/>
      <c r="D232" s="1741"/>
      <c r="E232" s="695">
        <v>22.5</v>
      </c>
      <c r="F232" s="50" cm="1" t="str">
        <f t="array" ref="F232:F232">OFFSET(E232,-1,1)</f>
        <v>2</v>
      </c>
      <c r="G232" s="577" t="s">
        <v>1916</v>
      </c>
      <c r="H232" s="1741"/>
      <c r="I232" s="587" t="s">
        <v>1658</v>
      </c>
      <c r="J232" s="587"/>
      <c r="K232" s="587"/>
      <c r="L232" s="587"/>
      <c r="M232" s="587"/>
      <c r="N232" s="587"/>
      <c r="O232" s="587"/>
      <c r="P232" s="587"/>
      <c r="Q232" s="587"/>
      <c r="R232" s="587"/>
      <c r="S232" s="587"/>
      <c r="T232" s="465" cm="1" t="str">
        <f t="array" ref="T232:T232">T231</f>
        <v>true</v>
      </c>
      <c r="U232" s="1741"/>
      <c r="V232" s="1741"/>
      <c r="W232" s="1741"/>
      <c r="X232" s="1641"/>
      <c r="Y232" s="1741"/>
      <c r="Z232" s="1642"/>
      <c r="AA232" s="1741"/>
      <c r="AB232" s="807" t="s">
        <v>1264</v>
      </c>
      <c r="AC232" s="813" t="s">
        <v>2515</v>
      </c>
      <c r="AD232" s="814" t="s">
        <v>1514</v>
      </c>
      <c r="AE232" s="259">
        <f>_xlfn.SUMIFS(Административные!AE$25:AE$122,Административные!$F$25:$F$122,$F232,Административные!$G$25:$G$122,$G232)</f>
        <v>0</v>
      </c>
      <c r="AF232" s="259">
        <f>_xlfn.SUMIFS(Административные!AF$25:AF$122,Административные!$F$25:$F$122,$F232,Административные!$G$25:$G$122,$G232)</f>
        <v>0</v>
      </c>
      <c r="AG232" s="259">
        <f>_xlfn.SUMIFS(Административные!AG$25:AG$122,Административные!$F$25:$F$122,$F232,Административные!$G$25:$G$122,$G232)</f>
        <v>0</v>
      </c>
      <c r="AH232" s="802">
        <f>AG232-AF232</f>
        <v>0</v>
      </c>
      <c r="AI232" s="259">
        <f>_xlfn.SUMIFS(Административные!AH$25:AH$122,Административные!$F$25:$F$122,$F232,Административные!$G$25:$G$122,$G232)</f>
        <v>0</v>
      </c>
      <c r="AJ232" s="259">
        <f>_xlfn.SUMIFS(Административные!AI$25:AI$122,Административные!$F$25:$F$122,$F232,Административные!$G$25:$G$122,$G232)</f>
        <v>1383.777938</v>
      </c>
      <c r="AK232" s="259">
        <f>_xlfn.SUMIFS(Административные!AJ$25:AJ$122,Административные!$F$25:$F$122,$F232,Административные!$G$25:$G$122,$G232)</f>
        <v>1383.777938</v>
      </c>
      <c r="AL232" s="802">
        <f>IF(AI232=0,0,(AK232-AI232)/AI232*100)</f>
        <v>0</v>
      </c>
      <c r="AM232" s="803"/>
      <c r="AN232" s="910" t="str">
        <f>IF(_xlfn.IFERROR(INDEX(Административные!$K$26:$L$122,MATCH($F232&amp;"17komm",Административные!$K$26:$K$122,0),2),"")=0,"",_xlfn.IFERROR(INDEX(Административные!$K$26:$L$122,MATCH($F232&amp;"17komm",Административные!$K$26:$K$122,0),2),""))</f>
        <v>Учтены расходы по выданным долгосрочным параметрам и соответствуют предложению организации.</v>
      </c>
      <c r="AO232" s="803"/>
      <c r="AP232" s="1741"/>
      <c r="AQ232" s="1741"/>
      <c r="AR232" s="1062" t="s">
        <v>1918</v>
      </c>
      <c r="AS232" s="1062"/>
      <c r="AT232" s="1062"/>
      <c r="AU232" s="1059"/>
      <c r="AV232" s="1059"/>
    </row>
    <row s="1834" customFormat="1" customHeight="1" ht="32.25">
      <c r="A233" s="1741"/>
      <c r="B233" s="1741"/>
      <c r="C233" s="1741"/>
      <c r="D233" s="1741"/>
      <c r="E233" s="695">
        <v>33.75</v>
      </c>
      <c r="F233" s="50" cm="1" t="str">
        <f t="array" ref="F233:F233">OFFSET(E233,-1,1)</f>
        <v>2</v>
      </c>
      <c r="G233" s="1741"/>
      <c r="H233" s="1741"/>
      <c r="I233" s="587" t="s">
        <v>1660</v>
      </c>
      <c r="J233" s="587"/>
      <c r="K233" s="587"/>
      <c r="L233" s="587"/>
      <c r="M233" s="587"/>
      <c r="N233" s="587"/>
      <c r="O233" s="587"/>
      <c r="P233" s="587"/>
      <c r="Q233" s="587"/>
      <c r="R233" s="587"/>
      <c r="S233" s="587"/>
      <c r="T233" s="465" cm="1" t="str">
        <f t="array" ref="T233:T233">T232</f>
        <v>true</v>
      </c>
      <c r="U233" s="1741"/>
      <c r="V233" s="1741"/>
      <c r="W233" s="1741"/>
      <c r="X233" s="1641"/>
      <c r="Y233" s="1741"/>
      <c r="Z233" s="1642"/>
      <c r="AA233" s="1741"/>
      <c r="AB233" s="807" t="s">
        <v>1268</v>
      </c>
      <c r="AC233" s="813" t="s">
        <v>2516</v>
      </c>
      <c r="AD233" s="814" t="s">
        <v>1514</v>
      </c>
      <c r="AE233" s="802">
        <f>AE234+AE235</f>
        <v>0</v>
      </c>
      <c r="AF233" s="802">
        <f>AF234+AF235</f>
        <v>0</v>
      </c>
      <c r="AG233" s="802">
        <f>AG234+AG235</f>
        <v>0</v>
      </c>
      <c r="AH233" s="802">
        <f>AG233-AF233</f>
        <v>0</v>
      </c>
      <c r="AI233" s="802">
        <f>AI234+AI235</f>
        <v>0</v>
      </c>
      <c r="AJ233" s="802">
        <f>AJ234+AJ235</f>
        <v>6356.5286608152</v>
      </c>
      <c r="AK233" s="802">
        <f>AK234+AK235</f>
        <v>6356.5286608152</v>
      </c>
      <c r="AL233" s="802">
        <f>IF(AI233=0,0,(AK233-AI233)/AI233*100)</f>
        <v>0</v>
      </c>
      <c r="AM233" s="803"/>
      <c r="AN233" s="803"/>
      <c r="AO233" s="803"/>
      <c r="AP233" s="1741"/>
      <c r="AQ233" s="1741"/>
      <c r="AR233" s="1062" t="s">
        <v>2517</v>
      </c>
      <c r="AS233" s="1062"/>
      <c r="AT233" s="1062"/>
      <c r="AU233" s="1059"/>
      <c r="AV233" s="1059"/>
    </row>
    <row s="1834" customFormat="1" customHeight="1" ht="21.75">
      <c r="A234" s="1741"/>
      <c r="B234" s="1741"/>
      <c r="C234" s="1741"/>
      <c r="D234" s="1741"/>
      <c r="E234" s="695">
        <v>22.5</v>
      </c>
      <c r="F234" s="50" cm="1" t="str">
        <f t="array" ref="F234:F234">OFFSET(E234,-1,1)</f>
        <v>2</v>
      </c>
      <c r="G234" s="1233" t="s">
        <v>1889</v>
      </c>
      <c r="H234" s="1741"/>
      <c r="I234" s="587" t="s">
        <v>1211</v>
      </c>
      <c r="J234" s="587"/>
      <c r="K234" s="587"/>
      <c r="L234" s="587"/>
      <c r="M234" s="587"/>
      <c r="N234" s="587"/>
      <c r="O234" s="587"/>
      <c r="P234" s="587"/>
      <c r="Q234" s="587"/>
      <c r="R234" s="587"/>
      <c r="S234" s="587"/>
      <c r="T234" s="465" cm="1" t="str">
        <f t="array" ref="T234:T234">T233</f>
        <v>true</v>
      </c>
      <c r="U234" s="1741"/>
      <c r="V234" s="1741"/>
      <c r="W234" s="1741"/>
      <c r="X234" s="1641"/>
      <c r="Y234" s="1741"/>
      <c r="Z234" s="1642"/>
      <c r="AA234" s="1741"/>
      <c r="AB234" s="807" t="s">
        <v>1474</v>
      </c>
      <c r="AC234" s="808" t="s">
        <v>2518</v>
      </c>
      <c r="AD234" s="814" t="s">
        <v>1514</v>
      </c>
      <c r="AE234" s="802">
        <f>_xlfn.SUMIFS(ФОТ!AE$25:AE$188,ФОТ!$F$25:$F$188,$F234,ФОТ!$G$25:$G$188,$G234)</f>
        <v>0</v>
      </c>
      <c r="AF234" s="802">
        <f>_xlfn.SUMIFS(ФОТ!AF$25:AF$188,ФОТ!$F$25:$F$188,$F234,ФОТ!$G$25:$G$188,$G234)</f>
        <v>0</v>
      </c>
      <c r="AG234" s="802">
        <f>_xlfn.SUMIFS(ФОТ!AG$25:AG$188,ФОТ!$F$25:$F$188,$F234,ФОТ!$G$25:$G$188,$G234)</f>
        <v>0</v>
      </c>
      <c r="AH234" s="802">
        <f>AG234-AF234</f>
        <v>0</v>
      </c>
      <c r="AI234" s="802">
        <f>_xlfn.SUMIFS(ФОТ!AH$25:AH$188,ФОТ!$F$25:$F$188,$F234,ФОТ!$G$25:$G$188,$G234)</f>
        <v>0</v>
      </c>
      <c r="AJ234" s="802">
        <f>_xlfn.SUMIFS(ФОТ!AI$25:AI$188,ФОТ!$F$25:$F$188,$F234,ФОТ!$G$25:$G$188,$G234)</f>
        <v>4882.1264676</v>
      </c>
      <c r="AK234" s="802">
        <f>_xlfn.SUMIFS(ФОТ!AJ$25:AJ$188,ФОТ!$F$25:$F$188,$F234,ФОТ!$G$25:$G$188,$G234)</f>
        <v>4882.1264676</v>
      </c>
      <c r="AL234" s="802">
        <f>IF(AI234=0,0,(AK234-AI234)/AI234*100)</f>
        <v>0</v>
      </c>
      <c r="AM234" s="803"/>
      <c r="AN234" s="910" t="str">
        <f>IF(_xlfn.IFERROR(INDEX(ФОТ!$K$26:$L$188,MATCH($F234&amp;"5komm",ФОТ!$K$26:$K$188,0),2),"")=0,"",_xlfn.IFERROR(INDEX(ФОТ!$K$26:$L$188,MATCH($F234&amp;"5komm",ФОТ!$K$26:$K$188,0),2),""))</f>
        <v>по предложению организации в соответствии со штатным расписанием.</v>
      </c>
      <c r="AO234" s="803"/>
      <c r="AP234" s="1741"/>
      <c r="AQ234" s="1741"/>
      <c r="AR234" s="1062" t="s">
        <v>1915</v>
      </c>
      <c r="AS234" s="1062"/>
      <c r="AT234" s="1062"/>
      <c r="AU234" s="1059"/>
      <c r="AV234" s="1059"/>
    </row>
    <row s="1834" customFormat="1" customHeight="1" ht="32.25">
      <c r="A235" s="1741"/>
      <c r="B235" s="1741"/>
      <c r="C235" s="1741"/>
      <c r="D235" s="1741"/>
      <c r="E235" s="695">
        <v>33.75</v>
      </c>
      <c r="F235" s="50" cm="1" t="str">
        <f t="array" ref="F235:F235">OFFSET(E235,-1,1)</f>
        <v>2</v>
      </c>
      <c r="G235" s="498" t="s">
        <v>1894</v>
      </c>
      <c r="H235" s="1741"/>
      <c r="I235" s="587" t="s">
        <v>1216</v>
      </c>
      <c r="J235" s="587"/>
      <c r="K235" s="587"/>
      <c r="L235" s="587"/>
      <c r="M235" s="587"/>
      <c r="N235" s="587"/>
      <c r="O235" s="587"/>
      <c r="P235" s="587"/>
      <c r="Q235" s="587"/>
      <c r="R235" s="587"/>
      <c r="S235" s="587"/>
      <c r="T235" s="465" cm="1" t="str">
        <f t="array" ref="T235:T235">T234</f>
        <v>true</v>
      </c>
      <c r="U235" s="1741"/>
      <c r="V235" s="1741"/>
      <c r="W235" s="1741"/>
      <c r="X235" s="1641"/>
      <c r="Y235" s="1741"/>
      <c r="Z235" s="1642"/>
      <c r="AA235" s="1741"/>
      <c r="AB235" s="807" t="s">
        <v>1477</v>
      </c>
      <c r="AC235" s="808" t="s">
        <v>2519</v>
      </c>
      <c r="AD235" s="814" t="s">
        <v>1514</v>
      </c>
      <c r="AE235" s="802">
        <f>_xlfn.SUMIFS(ФОТ!AE$25:AE$188,ФОТ!$F$25:$F$188,$F235,ФОТ!$G$25:$G$188,$G235)</f>
        <v>0</v>
      </c>
      <c r="AF235" s="802">
        <f>_xlfn.SUMIFS(ФОТ!AF$25:AF$188,ФОТ!$F$25:$F$188,$F235,ФОТ!$G$25:$G$188,$G235)</f>
        <v>0</v>
      </c>
      <c r="AG235" s="802">
        <f>_xlfn.SUMIFS(ФОТ!AG$25:AG$188,ФОТ!$F$25:$F$188,$F235,ФОТ!$G$25:$G$188,$G235)</f>
        <v>0</v>
      </c>
      <c r="AH235" s="802">
        <f>AG235-AF235</f>
        <v>0</v>
      </c>
      <c r="AI235" s="802">
        <f>_xlfn.SUMIFS(ФОТ!AH$25:AH$188,ФОТ!$F$25:$F$188,$F235,ФОТ!$G$25:$G$188,$G235)</f>
        <v>0</v>
      </c>
      <c r="AJ235" s="802">
        <f>_xlfn.SUMIFS(ФОТ!AI$25:AI$188,ФОТ!$F$25:$F$188,$F235,ФОТ!$G$25:$G$188,$G235)</f>
        <v>1474.4021932152</v>
      </c>
      <c r="AK235" s="802">
        <f>_xlfn.SUMIFS(ФОТ!AJ$25:AJ$188,ФОТ!$F$25:$F$188,$F235,ФОТ!$G$25:$G$188,$G235)</f>
        <v>1474.4021932152</v>
      </c>
      <c r="AL235" s="802">
        <f>IF(AI235=0,0,(AK235-AI235)/AI235*100)</f>
        <v>0</v>
      </c>
      <c r="AM235" s="803"/>
      <c r="AN235" s="910" t="str">
        <f>IF(_xlfn.IFERROR(INDEX(ФОТ!$K$26:$L$188,MATCH($F235&amp;"6komm",ФОТ!$K$26:$K$188,0),2),"")=0,"",_xlfn.IFERROR(INDEX(ФОТ!$K$26:$L$188,MATCH($F235&amp;"6komm",ФОТ!$K$26:$K$188,0),2),""))</f>
        <v>на основании Налогового кодекса РФ (часть вторая) от 05.08.2000 № 117-ФЗ в размере 30%, а также в соответствии с Федеральным законом от 24.07.1998 № 125 – ФЗ (0,20%).</v>
      </c>
      <c r="AO235" s="803"/>
      <c r="AP235" s="1741"/>
      <c r="AQ235" s="1741"/>
      <c r="AR235" s="1062" t="s">
        <v>2520</v>
      </c>
      <c r="AS235" s="1062"/>
      <c r="AT235" s="1062"/>
      <c r="AU235" s="1059"/>
      <c r="AV235" s="1059"/>
    </row>
    <row s="1834" customFormat="1" customHeight="1" ht="32.25">
      <c r="A236" s="1741"/>
      <c r="B236" s="1741"/>
      <c r="C236" s="1741"/>
      <c r="D236" s="1741"/>
      <c r="E236" s="695">
        <v>33.75</v>
      </c>
      <c r="F236" s="50" cm="1" t="str">
        <f t="array" ref="F236:F236">OFFSET(E236,-1,1)</f>
        <v>2</v>
      </c>
      <c r="G236" s="577" t="s">
        <v>1944</v>
      </c>
      <c r="H236" s="1741"/>
      <c r="I236" s="587" t="s">
        <v>1662</v>
      </c>
      <c r="J236" s="587"/>
      <c r="K236" s="587"/>
      <c r="L236" s="587"/>
      <c r="M236" s="587"/>
      <c r="N236" s="587"/>
      <c r="O236" s="587"/>
      <c r="P236" s="587"/>
      <c r="Q236" s="587"/>
      <c r="R236" s="587"/>
      <c r="S236" s="587"/>
      <c r="T236" s="465" cm="1" t="str">
        <f t="array" ref="T236:T236">T235</f>
        <v>true</v>
      </c>
      <c r="U236" s="1741"/>
      <c r="V236" s="1741"/>
      <c r="W236" s="1741"/>
      <c r="X236" s="1641"/>
      <c r="Y236" s="1741"/>
      <c r="Z236" s="1642"/>
      <c r="AA236" s="1741"/>
      <c r="AB236" s="807" t="s">
        <v>1480</v>
      </c>
      <c r="AC236" s="813" t="s">
        <v>2521</v>
      </c>
      <c r="AD236" s="814" t="s">
        <v>1514</v>
      </c>
      <c r="AE236" s="802">
        <f>_xlfn.SUMIFS(Административные!AE$25:AE$122,Административные!$F$25:$F$122,$F236,Административные!$G$25:$G$122,$G236)</f>
        <v>0</v>
      </c>
      <c r="AF236" s="802">
        <f>_xlfn.SUMIFS(Административные!AF$25:AF$122,Административные!$F$25:$F$122,$F236,Административные!$G$25:$G$122,$G236)</f>
        <v>0</v>
      </c>
      <c r="AG236" s="802">
        <f>_xlfn.SUMIFS(Административные!AG$25:AG$122,Административные!$F$25:$F$122,$F236,Административные!$G$25:$G$122,$G236)</f>
        <v>0</v>
      </c>
      <c r="AH236" s="802">
        <f>AG236-AF236</f>
        <v>0</v>
      </c>
      <c r="AI236" s="802">
        <f>_xlfn.SUMIFS(Административные!AH$25:AH$122,Административные!$F$25:$F$122,$F236,Административные!$G$25:$G$122,$G236)</f>
        <v>0</v>
      </c>
      <c r="AJ236" s="802">
        <f>_xlfn.SUMIFS(Административные!AI$25:AI$122,Административные!$F$25:$F$122,$F236,Административные!$G$25:$G$122,$G236)</f>
        <v>0</v>
      </c>
      <c r="AK236" s="802">
        <f>_xlfn.SUMIFS(Административные!AJ$25:AJ$122,Административные!$F$25:$F$122,$F236,Административные!$G$25:$G$122,$G236)</f>
        <v>0</v>
      </c>
      <c r="AL236" s="802">
        <f>IF(AI236=0,0,(AK236-AI236)/AI236*100)</f>
        <v>0</v>
      </c>
      <c r="AM236" s="803"/>
      <c r="AN236" s="910" t="str">
        <f>IF(_xlfn.IFERROR(INDEX(Административные!$K$26:$L$122,MATCH($F236&amp;"2komm",Административные!$K$26:$K$122,0),2),"")=0,"",_xlfn.IFERROR(INDEX(Административные!$K$26:$L$122,MATCH($F236&amp;"2komm",Административные!$K$26:$K$122,0),2),""))</f>
        <v/>
      </c>
      <c r="AO236" s="803"/>
      <c r="AP236" s="1741"/>
      <c r="AQ236" s="1741"/>
      <c r="AR236" s="1062" t="s">
        <v>1946</v>
      </c>
      <c r="AS236" s="1062"/>
      <c r="AT236" s="1062"/>
      <c r="AU236" s="1059"/>
      <c r="AV236" s="1059"/>
    </row>
    <row s="1834" customFormat="1" customHeight="1" ht="14.25">
      <c r="A237" s="1741"/>
      <c r="B237" s="1741"/>
      <c r="C237" s="1741"/>
      <c r="D237" s="1741"/>
      <c r="E237" s="695">
        <v>15</v>
      </c>
      <c r="F237" s="50" cm="1" t="str">
        <f t="array" ref="F237:F237">OFFSET(E237,-1,1)</f>
        <v>2</v>
      </c>
      <c r="G237" s="577" t="s">
        <v>1947</v>
      </c>
      <c r="H237" s="1741"/>
      <c r="I237" s="587" t="s">
        <v>1664</v>
      </c>
      <c r="J237" s="587"/>
      <c r="K237" s="587"/>
      <c r="L237" s="587"/>
      <c r="M237" s="587"/>
      <c r="N237" s="587"/>
      <c r="O237" s="587"/>
      <c r="P237" s="587"/>
      <c r="Q237" s="587"/>
      <c r="R237" s="587"/>
      <c r="S237" s="587"/>
      <c r="T237" s="465" cm="1" t="str">
        <f t="array" ref="T237:T237">T236</f>
        <v>true</v>
      </c>
      <c r="U237" s="1741"/>
      <c r="V237" s="1741"/>
      <c r="W237" s="1741"/>
      <c r="X237" s="1641"/>
      <c r="Y237" s="1741"/>
      <c r="Z237" s="1642"/>
      <c r="AA237" s="1741"/>
      <c r="AB237" s="807" t="s">
        <v>1665</v>
      </c>
      <c r="AC237" s="813" t="s">
        <v>1948</v>
      </c>
      <c r="AD237" s="814" t="s">
        <v>1514</v>
      </c>
      <c r="AE237" s="802">
        <f>_xlfn.SUMIFS(Административные!AE$25:AE$122,Административные!$F$25:$F$122,$F237,Административные!$G$25:$G$122,$G237)</f>
        <v>0</v>
      </c>
      <c r="AF237" s="802">
        <f>_xlfn.SUMIFS(Административные!AF$25:AF$122,Административные!$F$25:$F$122,$F237,Административные!$G$25:$G$122,$G237)</f>
        <v>0</v>
      </c>
      <c r="AG237" s="802">
        <f>_xlfn.SUMIFS(Административные!AG$25:AG$122,Административные!$F$25:$F$122,$F237,Административные!$G$25:$G$122,$G237)</f>
        <v>0</v>
      </c>
      <c r="AH237" s="802">
        <f>AG237-AF237</f>
        <v>0</v>
      </c>
      <c r="AI237" s="802">
        <f>_xlfn.SUMIFS(Административные!AH$25:AH$122,Административные!$F$25:$F$122,$F237,Административные!$G$25:$G$122,$G237)</f>
        <v>0</v>
      </c>
      <c r="AJ237" s="802">
        <f>_xlfn.SUMIFS(Административные!AI$25:AI$122,Административные!$F$25:$F$122,$F237,Административные!$G$25:$G$122,$G237)</f>
        <v>4.689725</v>
      </c>
      <c r="AK237" s="802">
        <f>_xlfn.SUMIFS(Административные!AJ$25:AJ$122,Административные!$F$25:$F$122,$F237,Административные!$G$25:$G$122,$G237)</f>
        <v>4.689725</v>
      </c>
      <c r="AL237" s="802">
        <f>IF(AI237=0,0,(AK237-AI237)/AI237*100)</f>
        <v>0</v>
      </c>
      <c r="AM237" s="803"/>
      <c r="AN237" s="910" t="str">
        <f>IF(_xlfn.IFERROR(INDEX(Административные!$K$26:$L$122,MATCH($F237&amp;"3komm",Административные!$K$26:$K$122,0),2),"")=0,"",_xlfn.IFERROR(INDEX(Административные!$K$26:$L$122,MATCH($F237&amp;"3komm",Административные!$K$26:$K$122,0),2),""))</f>
        <v>рассчитано по факту 2024 года предыдущей организации, с применением ИПЦ Минэкономразвития России на 2025 год 109,0%, на 2026 год 105,1%.</v>
      </c>
      <c r="AO237" s="803"/>
      <c r="AP237" s="1741"/>
      <c r="AQ237" s="1741"/>
      <c r="AR237" s="1062" t="s">
        <v>1949</v>
      </c>
      <c r="AS237" s="1062"/>
      <c r="AT237" s="1062"/>
      <c r="AU237" s="1059"/>
      <c r="AV237" s="1059"/>
    </row>
    <row s="1834" customFormat="1" customHeight="1" ht="14.25">
      <c r="A238" s="1741"/>
      <c r="B238" s="1741"/>
      <c r="C238" s="1741"/>
      <c r="D238" s="1741"/>
      <c r="E238" s="695">
        <v>15</v>
      </c>
      <c r="F238" s="50" cm="1" t="str">
        <f t="array" ref="F238:F238">OFFSET(E238,-1,1)</f>
        <v>2</v>
      </c>
      <c r="G238" s="577" t="s">
        <v>1950</v>
      </c>
      <c r="H238" s="1741"/>
      <c r="I238" s="587" t="s">
        <v>1667</v>
      </c>
      <c r="J238" s="587"/>
      <c r="K238" s="587"/>
      <c r="L238" s="587"/>
      <c r="M238" s="587"/>
      <c r="N238" s="587"/>
      <c r="O238" s="587"/>
      <c r="P238" s="587"/>
      <c r="Q238" s="587"/>
      <c r="R238" s="587"/>
      <c r="S238" s="587"/>
      <c r="T238" s="465" cm="1" t="str">
        <f t="array" ref="T238:T238">T237</f>
        <v>true</v>
      </c>
      <c r="U238" s="1741"/>
      <c r="V238" s="1741"/>
      <c r="W238" s="1741"/>
      <c r="X238" s="1641"/>
      <c r="Y238" s="1741"/>
      <c r="Z238" s="1642"/>
      <c r="AA238" s="1741"/>
      <c r="AB238" s="807" t="s">
        <v>1668</v>
      </c>
      <c r="AC238" s="813" t="s">
        <v>1951</v>
      </c>
      <c r="AD238" s="814" t="s">
        <v>1514</v>
      </c>
      <c r="AE238" s="802">
        <f>_xlfn.SUMIFS(Административные!AE$25:AE$122,Административные!$F$25:$F$122,$F238,Административные!$G$25:$G$122,$G238)</f>
        <v>0</v>
      </c>
      <c r="AF238" s="802">
        <f>_xlfn.SUMIFS(Административные!AF$25:AF$122,Административные!$F$25:$F$122,$F238,Административные!$G$25:$G$122,$G238)</f>
        <v>0</v>
      </c>
      <c r="AG238" s="802">
        <f>_xlfn.SUMIFS(Административные!AG$25:AG$122,Административные!$F$25:$F$122,$F238,Административные!$G$25:$G$122,$G238)</f>
        <v>0</v>
      </c>
      <c r="AH238" s="802">
        <f>AG238-AF238</f>
        <v>0</v>
      </c>
      <c r="AI238" s="802">
        <f>_xlfn.SUMIFS(Административные!AH$25:AH$122,Административные!$F$25:$F$122,$F238,Административные!$G$25:$G$122,$G238)</f>
        <v>0</v>
      </c>
      <c r="AJ238" s="802">
        <f>_xlfn.SUMIFS(Административные!AI$25:AI$122,Административные!$F$25:$F$122,$F238,Административные!$G$25:$G$122,$G238)</f>
        <v>0</v>
      </c>
      <c r="AK238" s="802">
        <f>_xlfn.SUMIFS(Административные!AJ$25:AJ$122,Административные!$F$25:$F$122,$F238,Административные!$G$25:$G$122,$G238)</f>
        <v>0</v>
      </c>
      <c r="AL238" s="802">
        <f>IF(AI238=0,0,(AK238-AI238)/AI238*100)</f>
        <v>0</v>
      </c>
      <c r="AM238" s="803"/>
      <c r="AN238" s="910" t="str">
        <f>IF(_xlfn.IFERROR(INDEX(Административные!$K$26:$L$122,MATCH($F238&amp;"4komm",Административные!$K$26:$K$122,0),2),"")=0,"",_xlfn.IFERROR(INDEX(Административные!$K$26:$L$122,MATCH($F238&amp;"4komm",Административные!$K$26:$K$122,0),2),""))</f>
        <v/>
      </c>
      <c r="AO238" s="803"/>
      <c r="AP238" s="1741"/>
      <c r="AQ238" s="1741"/>
      <c r="AR238" s="1062" t="s">
        <v>1952</v>
      </c>
      <c r="AS238" s="1062"/>
      <c r="AT238" s="1062"/>
      <c r="AU238" s="1059"/>
      <c r="AV238" s="1059"/>
    </row>
    <row s="1834" customFormat="1" customHeight="1" ht="14.25">
      <c r="A239" s="1741"/>
      <c r="B239" s="1741"/>
      <c r="C239" s="1741"/>
      <c r="D239" s="1741"/>
      <c r="E239" s="695">
        <v>15</v>
      </c>
      <c r="F239" s="50" cm="1" t="str">
        <f t="array" ref="F239:F239">OFFSET(E239,-1,1)</f>
        <v>2</v>
      </c>
      <c r="G239" s="577" t="s">
        <v>1953</v>
      </c>
      <c r="H239" s="1741"/>
      <c r="I239" s="587" t="s">
        <v>1935</v>
      </c>
      <c r="J239" s="587"/>
      <c r="K239" s="587"/>
      <c r="L239" s="587"/>
      <c r="M239" s="587"/>
      <c r="N239" s="587"/>
      <c r="O239" s="587"/>
      <c r="P239" s="587"/>
      <c r="Q239" s="587"/>
      <c r="R239" s="587"/>
      <c r="S239" s="587"/>
      <c r="T239" s="465" cm="1" t="str">
        <f t="array" ref="T239:T239">T238</f>
        <v>true</v>
      </c>
      <c r="U239" s="1741"/>
      <c r="V239" s="1741"/>
      <c r="W239" s="1741"/>
      <c r="X239" s="1641"/>
      <c r="Y239" s="1741"/>
      <c r="Z239" s="1642"/>
      <c r="AA239" s="1741"/>
      <c r="AB239" s="807" t="s">
        <v>1936</v>
      </c>
      <c r="AC239" s="813" t="s">
        <v>1954</v>
      </c>
      <c r="AD239" s="814" t="s">
        <v>1514</v>
      </c>
      <c r="AE239" s="802">
        <f>_xlfn.SUMIFS(Административные!AE$25:AE$122,Административные!$F$25:$F$122,$F239,Административные!$G$25:$G$122,$G239)</f>
        <v>0</v>
      </c>
      <c r="AF239" s="802">
        <f>_xlfn.SUMIFS(Административные!AF$25:AF$122,Административные!$F$25:$F$122,$F239,Административные!$G$25:$G$122,$G239)</f>
        <v>0</v>
      </c>
      <c r="AG239" s="802">
        <f>_xlfn.SUMIFS(Административные!AG$25:AG$122,Административные!$F$25:$F$122,$F239,Административные!$G$25:$G$122,$G239)</f>
        <v>0</v>
      </c>
      <c r="AH239" s="802">
        <f>AG239-AF239</f>
        <v>0</v>
      </c>
      <c r="AI239" s="802">
        <f>_xlfn.SUMIFS(Административные!AH$25:AH$122,Административные!$F$25:$F$122,$F239,Административные!$G$25:$G$122,$G239)</f>
        <v>0</v>
      </c>
      <c r="AJ239" s="802">
        <f>_xlfn.SUMIFS(Административные!AI$25:AI$122,Административные!$F$25:$F$122,$F239,Административные!$G$25:$G$122,$G239)</f>
        <v>0</v>
      </c>
      <c r="AK239" s="802">
        <f>_xlfn.SUMIFS(Административные!AJ$25:AJ$122,Административные!$F$25:$F$122,$F239,Административные!$G$25:$G$122,$G239)</f>
        <v>0</v>
      </c>
      <c r="AL239" s="802">
        <f>IF(AI239=0,0,(AK239-AI239)/AI239*100)</f>
        <v>0</v>
      </c>
      <c r="AM239" s="803"/>
      <c r="AN239" s="910" t="str">
        <f>IF(_xlfn.IFERROR(INDEX(Административные!$K$26:$L$122,MATCH($F235&amp;"5komm",Административные!$K$26:$K$122,0),2),"")=0,"",_xlfn.IFERROR(INDEX(Административные!$K$26:$L$122,MATCH($F235&amp;"5komm",Административные!$K$26:$K$122,0),2),""))</f>
        <v/>
      </c>
      <c r="AO239" s="803"/>
      <c r="AP239" s="1741"/>
      <c r="AQ239" s="1741"/>
      <c r="AR239" s="1062" t="s">
        <v>2522</v>
      </c>
      <c r="AS239" s="1062"/>
      <c r="AT239" s="1062"/>
      <c r="AU239" s="1059"/>
      <c r="AV239" s="1059"/>
    </row>
    <row s="1834" customFormat="1" customHeight="1" ht="14.25">
      <c r="A240" s="1741"/>
      <c r="B240" s="1741"/>
      <c r="C240" s="1741"/>
      <c r="D240" s="1741"/>
      <c r="E240" s="695">
        <v>15</v>
      </c>
      <c r="F240" s="50" cm="1" t="str">
        <f t="array" ref="F240:F240">OFFSET(E240,-1,1)</f>
        <v>2</v>
      </c>
      <c r="G240" s="577" t="s">
        <v>1956</v>
      </c>
      <c r="H240" s="1741"/>
      <c r="I240" s="587" t="s">
        <v>1940</v>
      </c>
      <c r="J240" s="587"/>
      <c r="K240" s="587"/>
      <c r="L240" s="587"/>
      <c r="M240" s="587"/>
      <c r="N240" s="587"/>
      <c r="O240" s="587"/>
      <c r="P240" s="587"/>
      <c r="Q240" s="587"/>
      <c r="R240" s="587"/>
      <c r="S240" s="587"/>
      <c r="T240" s="465" cm="1" t="str">
        <f t="array" ref="T240:T240">T239</f>
        <v>true</v>
      </c>
      <c r="U240" s="1741"/>
      <c r="V240" s="1741"/>
      <c r="W240" s="1741"/>
      <c r="X240" s="1641"/>
      <c r="Y240" s="1741"/>
      <c r="Z240" s="1642"/>
      <c r="AA240" s="1741"/>
      <c r="AB240" s="807" t="s">
        <v>1941</v>
      </c>
      <c r="AC240" s="813" t="s">
        <v>2523</v>
      </c>
      <c r="AD240" s="814" t="s">
        <v>1514</v>
      </c>
      <c r="AE240" s="802">
        <f>_xlfn.SUMIFS(Административные!AE$25:AE$122,Административные!$F$25:$F$122,$F240,Административные!$G$25:$G$122,$G240)</f>
        <v>0</v>
      </c>
      <c r="AF240" s="802">
        <f>_xlfn.SUMIFS(Административные!AF$25:AF$122,Административные!$F$25:$F$122,$F240,Административные!$G$25:$G$122,$G240)</f>
        <v>0</v>
      </c>
      <c r="AG240" s="802">
        <f>_xlfn.SUMIFS(Административные!AG$25:AG$122,Административные!$F$25:$F$122,$F240,Административные!$G$25:$G$122,$G240)</f>
        <v>0</v>
      </c>
      <c r="AH240" s="802">
        <f>AG240-AF240</f>
        <v>0</v>
      </c>
      <c r="AI240" s="802">
        <f>_xlfn.SUMIFS(Административные!AH$25:AH$122,Административные!$F$25:$F$122,$F240,Административные!$G$25:$G$122,$G240)</f>
        <v>0</v>
      </c>
      <c r="AJ240" s="802">
        <f>_xlfn.SUMIFS(Административные!AI$25:AI$122,Административные!$F$25:$F$122,$F240,Административные!$G$25:$G$122,$G240)</f>
        <v>0</v>
      </c>
      <c r="AK240" s="802">
        <f>_xlfn.SUMIFS(Административные!AJ$25:AJ$122,Административные!$F$25:$F$122,$F240,Административные!$G$25:$G$122,$G240)</f>
        <v>0</v>
      </c>
      <c r="AL240" s="802">
        <f>IF(AI240=0,0,(AK240-AI240)/AI240*100)</f>
        <v>0</v>
      </c>
      <c r="AM240" s="803"/>
      <c r="AN240" s="910" t="str">
        <f>IF(_xlfn.IFERROR(INDEX(Административные!$K$26:$L$122,MATCH($F240&amp;"6komm",Административные!$K$26:$K$122,0),2),"")=0,"",_xlfn.IFERROR(INDEX(Административные!$K$26:$L$122,MATCH($F235&amp;"6komm",Административные!$K$26:$K$122,0),2),""))</f>
        <v/>
      </c>
      <c r="AO240" s="803"/>
      <c r="AP240" s="1741"/>
      <c r="AQ240" s="1741"/>
      <c r="AR240" s="1062" t="s">
        <v>2524</v>
      </c>
      <c r="AS240" s="1062"/>
      <c r="AT240" s="1062"/>
      <c r="AU240" s="1059"/>
      <c r="AV240" s="1059"/>
    </row>
    <row s="1834" customFormat="1" customHeight="1" ht="14.25">
      <c r="A241" s="1741"/>
      <c r="B241" s="1741"/>
      <c r="C241" s="1741"/>
      <c r="D241" s="1741"/>
      <c r="E241" s="695">
        <v>15</v>
      </c>
      <c r="F241" s="50" cm="1" t="str">
        <f t="array" ref="F241:F241">OFFSET(E241,-1,1)</f>
        <v>2</v>
      </c>
      <c r="G241" s="577" t="s">
        <v>1958</v>
      </c>
      <c r="H241" s="1741"/>
      <c r="I241" s="587" t="s">
        <v>2525</v>
      </c>
      <c r="J241" s="587"/>
      <c r="K241" s="587"/>
      <c r="L241" s="587"/>
      <c r="M241" s="587"/>
      <c r="N241" s="587"/>
      <c r="O241" s="587"/>
      <c r="P241" s="587"/>
      <c r="Q241" s="587"/>
      <c r="R241" s="587"/>
      <c r="S241" s="587"/>
      <c r="T241" s="465" cm="1" t="str">
        <f t="array" ref="T241:T241">T240</f>
        <v>true</v>
      </c>
      <c r="U241" s="1741"/>
      <c r="V241" s="1741"/>
      <c r="W241" s="1741"/>
      <c r="X241" s="1641"/>
      <c r="Y241" s="1741"/>
      <c r="Z241" s="1642"/>
      <c r="AA241" s="1741"/>
      <c r="AB241" s="807" t="s">
        <v>2526</v>
      </c>
      <c r="AC241" s="808" t="s">
        <v>2527</v>
      </c>
      <c r="AD241" s="814" t="s">
        <v>1514</v>
      </c>
      <c r="AE241" s="802">
        <f>_xlfn.SUMIFS(Административные!AE$25:AE$122,Административные!$F$25:$F$122,$F241,Административные!$G$25:$G$122,$G241)</f>
        <v>0</v>
      </c>
      <c r="AF241" s="802">
        <f>_xlfn.SUMIFS(Административные!AF$25:AF$122,Административные!$F$25:$F$122,$F241,Административные!$G$25:$G$122,$G241)</f>
        <v>0</v>
      </c>
      <c r="AG241" s="802">
        <f>_xlfn.SUMIFS(Административные!AG$25:AG$122,Административные!$F$25:$F$122,$F241,Административные!$G$25:$G$122,$G241)</f>
        <v>0</v>
      </c>
      <c r="AH241" s="802">
        <f>AG241-AF241</f>
        <v>0</v>
      </c>
      <c r="AI241" s="802">
        <f>_xlfn.SUMIFS(Административные!AH$25:AH$122,Административные!$F$25:$F$122,$F241,Административные!$G$25:$G$122,$G241)</f>
        <v>0</v>
      </c>
      <c r="AJ241" s="802">
        <f>_xlfn.SUMIFS(Административные!AI$25:AI$122,Административные!$F$25:$F$122,$F241,Административные!$G$25:$G$122,$G241)</f>
        <v>0</v>
      </c>
      <c r="AK241" s="802">
        <f>_xlfn.SUMIFS(Административные!AJ$25:AJ$122,Административные!$F$25:$F$122,$F241,Административные!$G$25:$G$122,$G241)</f>
        <v>0</v>
      </c>
      <c r="AL241" s="802">
        <f>IF(AI241=0,0,(AK241-AI241)/AI241*100)</f>
        <v>0</v>
      </c>
      <c r="AM241" s="803"/>
      <c r="AN241" s="910" t="str">
        <f>IF(_xlfn.IFERROR(INDEX(Административные!$K$26:$L$122,MATCH($F241&amp;"7komm",Административные!$K$26:$K$122,0),2),"")=0,"",_xlfn.IFERROR(INDEX(Административные!$K$26:$L$122,MATCH($F236&amp;"7komm",Административные!$K$26:$K$122,0),2),""))</f>
        <v/>
      </c>
      <c r="AO241" s="803"/>
      <c r="AP241" s="1741"/>
      <c r="AQ241" s="1741"/>
      <c r="AR241" s="1062" t="s">
        <v>2528</v>
      </c>
      <c r="AS241" s="1062"/>
      <c r="AT241" s="1062"/>
      <c r="AU241" s="1059"/>
      <c r="AV241" s="1059"/>
    </row>
    <row s="1834" customFormat="1" customHeight="1" ht="43.5">
      <c r="A242" s="1741"/>
      <c r="B242" s="1741"/>
      <c r="C242" s="1741"/>
      <c r="D242" s="1741"/>
      <c r="E242" s="695">
        <v>45</v>
      </c>
      <c r="F242" s="50" cm="1" t="str">
        <f t="array" ref="F242:F242">OFFSET(E242,-1,1)</f>
        <v>2</v>
      </c>
      <c r="G242" s="577" t="s">
        <v>1961</v>
      </c>
      <c r="H242" s="1741"/>
      <c r="I242" s="587" t="s">
        <v>2529</v>
      </c>
      <c r="J242" s="587"/>
      <c r="K242" s="587"/>
      <c r="L242" s="587"/>
      <c r="M242" s="587"/>
      <c r="N242" s="587"/>
      <c r="O242" s="587"/>
      <c r="P242" s="587"/>
      <c r="Q242" s="587"/>
      <c r="R242" s="587"/>
      <c r="S242" s="587"/>
      <c r="T242" s="465" cm="1" t="str">
        <f t="array" ref="T242:T242">T241</f>
        <v>true</v>
      </c>
      <c r="U242" s="1741"/>
      <c r="V242" s="1741"/>
      <c r="W242" s="1741"/>
      <c r="X242" s="1641"/>
      <c r="Y242" s="1741"/>
      <c r="Z242" s="1642"/>
      <c r="AA242" s="1741"/>
      <c r="AB242" s="807" t="s">
        <v>2530</v>
      </c>
      <c r="AC242" s="762" t="s">
        <v>1962</v>
      </c>
      <c r="AD242" s="814" t="s">
        <v>1514</v>
      </c>
      <c r="AE242" s="802">
        <f>_xlfn.SUMIFS(Административные!AE$25:AE$122,Административные!$F$25:$F$122,$F242,Административные!$G$25:$G$122,$G242)</f>
        <v>0</v>
      </c>
      <c r="AF242" s="802">
        <f>_xlfn.SUMIFS(Административные!AF$25:AF$122,Административные!$F$25:$F$122,$F242,Административные!$G$25:$G$122,$G242)</f>
        <v>0</v>
      </c>
      <c r="AG242" s="802">
        <f>_xlfn.SUMIFS(Административные!AG$25:AG$122,Административные!$F$25:$F$122,$F242,Административные!$G$25:$G$122,$G242)</f>
        <v>0</v>
      </c>
      <c r="AH242" s="802">
        <f>AG242-AF242</f>
        <v>0</v>
      </c>
      <c r="AI242" s="802">
        <f>_xlfn.SUMIFS(Административные!AH$25:AH$122,Административные!$F$25:$F$122,$F242,Административные!$G$25:$G$122,$G242)</f>
        <v>0</v>
      </c>
      <c r="AJ242" s="802">
        <f>_xlfn.SUMIFS(Административные!AI$25:AI$122,Административные!$F$25:$F$122,$F242,Административные!$G$25:$G$122,$G242)</f>
        <v>0</v>
      </c>
      <c r="AK242" s="802">
        <f>_xlfn.SUMIFS(Административные!AJ$25:AJ$122,Административные!$F$25:$F$122,$F242,Административные!$G$25:$G$122,$G242)</f>
        <v>0</v>
      </c>
      <c r="AL242" s="802">
        <f>IF(AI242=0,0,(AK242-AI242)/AI242*100)</f>
        <v>0</v>
      </c>
      <c r="AM242" s="803"/>
      <c r="AN242" s="910" t="str">
        <f>IF(_xlfn.IFERROR(INDEX(Административные!$K$26:$L$122,MATCH($F242&amp;"8komm",Административные!$K$26:$K$122,0),2),"")=0,"",_xlfn.IFERROR(INDEX(Административные!$K$26:$L$122,MATCH($F237&amp;"8komm",Административные!$K$26:$K$122,0),2),""))</f>
        <v/>
      </c>
      <c r="AO242" s="803"/>
      <c r="AP242" s="1741"/>
      <c r="AQ242" s="1741"/>
      <c r="AR242" s="1062" t="s">
        <v>2531</v>
      </c>
      <c r="AS242" s="1062"/>
      <c r="AT242" s="1062"/>
      <c r="AU242" s="1059"/>
      <c r="AV242" s="1059"/>
    </row>
    <row s="1834" customFormat="1" customHeight="1" ht="14.25">
      <c r="A243" s="1741"/>
      <c r="B243" s="1741"/>
      <c r="C243" s="1741"/>
      <c r="D243" s="1741"/>
      <c r="E243" s="695">
        <v>15</v>
      </c>
      <c r="F243" s="50" cm="1" t="str">
        <f t="array" ref="F243:F243">OFFSET(E243,-1,1)</f>
        <v>2</v>
      </c>
      <c r="G243" s="577" t="s">
        <v>1964</v>
      </c>
      <c r="H243" s="1741"/>
      <c r="I243" s="587" t="s">
        <v>2532</v>
      </c>
      <c r="J243" s="587"/>
      <c r="K243" s="587"/>
      <c r="L243" s="587"/>
      <c r="M243" s="587"/>
      <c r="N243" s="587"/>
      <c r="O243" s="587"/>
      <c r="P243" s="587"/>
      <c r="Q243" s="587"/>
      <c r="R243" s="587"/>
      <c r="S243" s="587"/>
      <c r="T243" s="465" cm="1" t="str">
        <f t="array" ref="T243:T243">T242</f>
        <v>true</v>
      </c>
      <c r="U243" s="1741"/>
      <c r="V243" s="1741"/>
      <c r="W243" s="1741"/>
      <c r="X243" s="1641"/>
      <c r="Y243" s="1741"/>
      <c r="Z243" s="1642"/>
      <c r="AA243" s="1741"/>
      <c r="AB243" s="807" t="s">
        <v>2533</v>
      </c>
      <c r="AC243" s="808" t="s">
        <v>1965</v>
      </c>
      <c r="AD243" s="814" t="s">
        <v>1514</v>
      </c>
      <c r="AE243" s="802">
        <f>_xlfn.SUMIFS(Административные!AE$25:AE$122,Административные!$F$25:$F$122,$F243,Административные!$G$25:$G$122,$G243)</f>
        <v>0</v>
      </c>
      <c r="AF243" s="802">
        <f>_xlfn.SUMIFS(Административные!AF$25:AF$122,Административные!$F$25:$F$122,$F243,Административные!$G$25:$G$122,$G243)</f>
        <v>0</v>
      </c>
      <c r="AG243" s="802">
        <f>_xlfn.SUMIFS(Административные!AG$25:AG$122,Административные!$F$25:$F$122,$F243,Административные!$G$25:$G$122,$G243)</f>
        <v>0</v>
      </c>
      <c r="AH243" s="802">
        <f>AG243-AF243</f>
        <v>0</v>
      </c>
      <c r="AI243" s="802">
        <f>_xlfn.SUMIFS(Административные!AH$25:AH$122,Административные!$F$25:$F$122,$F243,Административные!$G$25:$G$122,$G243)</f>
        <v>0</v>
      </c>
      <c r="AJ243" s="1116">
        <f>_xlfn.SUMIFS(Административные!AI$25:AI$122,Административные!$F$25:$F$122,$F243,Административные!$G$25:$G$122,$G243)</f>
        <v>0</v>
      </c>
      <c r="AK243" s="1116">
        <f>_xlfn.SUMIFS(Административные!AJ$25:AJ$122,Административные!$F$25:$F$122,$F243,Административные!$G$25:$G$122,$G243)</f>
        <v>0</v>
      </c>
      <c r="AL243" s="802">
        <f>IF(AI243=0,0,(AK243-AI243)/AI243*100)</f>
        <v>0</v>
      </c>
      <c r="AM243" s="803"/>
      <c r="AN243" s="910" t="str">
        <f>IF(_xlfn.IFERROR(INDEX(Административные!$K$26:$L$122,MATCH($F243&amp;"9komm",Административные!$K$26:$K$122,0),2),"")=0,"",_xlfn.IFERROR(INDEX(Административные!$K$26:$L$122,MATCH($F238&amp;"9komm",Административные!$K$26:$K$122,0),2),""))</f>
        <v/>
      </c>
      <c r="AO243" s="803"/>
      <c r="AP243" s="1741"/>
      <c r="AQ243" s="1741"/>
      <c r="AR243" s="1062" t="s">
        <v>2534</v>
      </c>
      <c r="AS243" s="1062"/>
      <c r="AT243" s="1062"/>
      <c r="AU243" s="1059"/>
      <c r="AV243" s="1059"/>
    </row>
    <row s="7268" customFormat="1" customHeight="1" ht="14.25">
      <c r="A244" s="588"/>
      <c r="B244" s="588">
        <f>STATUS_GO="да"</f>
        <v>1</v>
      </c>
      <c r="C244" s="588"/>
      <c r="D244" s="588"/>
      <c r="E244" s="697">
        <v>15</v>
      </c>
      <c r="F244" s="50" cm="1" t="str">
        <f t="array" ref="F244:F244">OFFSET(E244,-1,1)</f>
        <v>2</v>
      </c>
      <c r="G244" s="588"/>
      <c r="H244" s="588"/>
      <c r="I244" s="698" t="s">
        <v>336</v>
      </c>
      <c r="J244" s="698"/>
      <c r="K244" s="698"/>
      <c r="L244" s="698"/>
      <c r="M244" s="698"/>
      <c r="N244" s="698"/>
      <c r="O244" s="698"/>
      <c r="P244" s="698"/>
      <c r="Q244" s="698"/>
      <c r="R244" s="698"/>
      <c r="S244" s="698"/>
      <c r="T244" s="465" cm="1" t="str">
        <f t="array" ref="T244:T244">T243</f>
        <v>true</v>
      </c>
      <c r="U244" s="588"/>
      <c r="V244" s="588"/>
      <c r="W244" s="588"/>
      <c r="X244" s="1641"/>
      <c r="Y244" s="588"/>
      <c r="Z244" s="1642"/>
      <c r="AA244" s="588"/>
      <c r="AB244" s="804" t="s">
        <v>295</v>
      </c>
      <c r="AC244" s="800" t="s">
        <v>2535</v>
      </c>
      <c r="AD244" s="812" t="s">
        <v>1514</v>
      </c>
      <c r="AE244" s="801">
        <f>_xlfn.SUMIFS('Сбытовые расходы ГО'!AE$25:AE$87,'Сбытовые расходы ГО'!$F$25:$F$87,$F244,'Сбытовые расходы ГО'!$G$25:$G$87,"l0")</f>
        <v>0</v>
      </c>
      <c r="AF244" s="801">
        <f>_xlfn.SUMIFS('Сбытовые расходы ГО'!AF$25:AF$87,'Сбытовые расходы ГО'!$F$25:$F$87,$F244,'Сбытовые расходы ГО'!$G$25:$G$87,"l0")</f>
        <v>0</v>
      </c>
      <c r="AG244" s="801">
        <f>_xlfn.SUMIFS('Сбытовые расходы ГО'!AG$25:AG$87,'Сбытовые расходы ГО'!$F$25:$F$87,$F244,'Сбытовые расходы ГО'!$G$25:$G$87,"l0")</f>
        <v>0</v>
      </c>
      <c r="AH244" s="801">
        <f>AG244-AF244</f>
        <v>0</v>
      </c>
      <c r="AI244" s="801">
        <f>_xlfn.SUMIFS('Сбытовые расходы ГО'!AH$25:AH$87,'Сбытовые расходы ГО'!$F$25:$F$87,$F244,'Сбытовые расходы ГО'!$G$25:$G$87,"l0")</f>
        <v>0</v>
      </c>
      <c r="AJ244" s="801">
        <f>_xlfn.SUMIFS('Сбытовые расходы ГО'!AI$25:AI$87,'Сбытовые расходы ГО'!$F$25:$F$87,$F244,'Сбытовые расходы ГО'!$G$25:$G$87,"l0")</f>
        <v>0</v>
      </c>
      <c r="AK244" s="801">
        <f>_xlfn.SUMIFS('Сбытовые расходы ГО'!AJ$25:AJ$87,'Сбытовые расходы ГО'!$F$25:$F$87,$F244,'Сбытовые расходы ГО'!$G$25:$G$87,"l0")</f>
        <v>0</v>
      </c>
      <c r="AL244" s="801">
        <f>IF(AI244=0,0,(AK244-AI244)/AI244*100)</f>
        <v>0</v>
      </c>
      <c r="AM244" s="806"/>
      <c r="AN244" s="910"/>
      <c r="AO244" s="806"/>
      <c r="AP244" s="588"/>
      <c r="AQ244" s="588"/>
      <c r="AR244" s="1063" t="s">
        <v>2536</v>
      </c>
      <c r="AS244" s="1063"/>
      <c r="AT244" s="1063"/>
      <c r="AU244" s="697"/>
      <c r="AV244" s="697"/>
    </row>
    <row s="7269" customFormat="1" customHeight="1" ht="14.25">
      <c r="A245" s="588"/>
      <c r="B245" s="588"/>
      <c r="C245" s="588"/>
      <c r="D245" s="588"/>
      <c r="E245" s="697">
        <v>15</v>
      </c>
      <c r="F245" s="50" cm="1" t="str">
        <f t="array" ref="F245:F245">OFFSET(E245,-1,1)</f>
        <v>2</v>
      </c>
      <c r="G245" s="588"/>
      <c r="H245" s="588"/>
      <c r="I245" s="698" t="s">
        <v>335</v>
      </c>
      <c r="J245" s="698"/>
      <c r="K245" s="698"/>
      <c r="L245" s="698"/>
      <c r="M245" s="698"/>
      <c r="N245" s="698"/>
      <c r="O245" s="698"/>
      <c r="P245" s="698"/>
      <c r="Q245" s="698"/>
      <c r="R245" s="698"/>
      <c r="S245" s="698"/>
      <c r="T245" s="465" cm="1" t="str">
        <f t="array" ref="T245:T245">T244</f>
        <v>true</v>
      </c>
      <c r="U245" s="588"/>
      <c r="V245" s="588"/>
      <c r="W245" s="588"/>
      <c r="X245" s="1641"/>
      <c r="Y245" s="588"/>
      <c r="Z245" s="1642"/>
      <c r="AA245" s="588"/>
      <c r="AB245" s="804" t="s">
        <v>443</v>
      </c>
      <c r="AC245" s="589" t="s">
        <v>2537</v>
      </c>
      <c r="AD245" s="812" t="s">
        <v>1514</v>
      </c>
      <c r="AE245" s="801">
        <f>_xlfn.SUMIFS(Амортизация!AE$25:AE$272,Амортизация!$F$25:$F$272,$F245,Амортизация!$AC$25:$AC$272,"Сумма амортизационных отчислений")</f>
        <v>0</v>
      </c>
      <c r="AF245" s="801">
        <f>_xlfn.SUMIFS(Амортизация!AF$25:AF$272,Амортизация!$F$25:$F$272,$F245,Амортизация!$AC$25:$AC$272,"Сумма амортизационных отчислений")</f>
        <v>0</v>
      </c>
      <c r="AG245" s="801">
        <f>_xlfn.SUMIFS(Амортизация!AG$25:AG$272,Амортизация!$F$25:$F$272,$F245,Амортизация!$AC$25:$AC$272,"Сумма амортизационных отчислений")</f>
        <v>0</v>
      </c>
      <c r="AH245" s="801">
        <f>AG245-AF245</f>
        <v>0</v>
      </c>
      <c r="AI245" s="801">
        <f>_xlfn.SUMIFS(Амортизация!AH$25:AH$272,Амортизация!$F$25:$F$272,$F245,Амортизация!$AC$25:$AC$272,"Сумма амортизационных отчислений")</f>
        <v>0</v>
      </c>
      <c r="AJ245" s="801">
        <f>_xlfn.SUMIFS(Амортизация!AI$25:AI$272,Амортизация!$F$25:$F$272,$F245,Амортизация!$AC$25:$AC$272,"Сумма амортизационных отчислений")</f>
        <v>0</v>
      </c>
      <c r="AK245" s="801">
        <f>_xlfn.SUMIFS(Амортизация!AS$25:AS$272,Амортизация!$F$25:$F$272,$F245,Амортизация!$AC$25:$AC$272,"Сумма амортизационных отчислений")</f>
        <v>0</v>
      </c>
      <c r="AL245" s="801">
        <f>IF(AI245=0,0,(AK245-AI245)/AI245*100)</f>
        <v>0</v>
      </c>
      <c r="AM245" s="806"/>
      <c r="AN245" s="910" t="str">
        <f>IF(_xlfn.IFERROR(INDEX(Амортизация!$K$26:$L$272,MATCH($F245&amp;"komm",Амортизация!$K$26:$K$675,0),2),"")=0,"",_xlfn.IFERROR(INDEX(Амортизация!$K$26:$L$272,MATCH($F245&amp;"komm",Амортизация!$K$26:$K$675,0),2),""))</f>
        <v/>
      </c>
      <c r="AO245" s="806"/>
      <c r="AP245" s="588"/>
      <c r="AQ245" s="588"/>
      <c r="AR245" s="1063" t="s">
        <v>1960</v>
      </c>
      <c r="AS245" s="1063"/>
      <c r="AT245" s="1063"/>
      <c r="AU245" s="697"/>
      <c r="AV245" s="697"/>
    </row>
    <row s="1834" customFormat="1" customHeight="1" ht="14.25">
      <c r="A246" s="1741"/>
      <c r="B246" s="1741"/>
      <c r="C246" s="1741"/>
      <c r="D246" s="1741"/>
      <c r="E246" s="695">
        <v>15</v>
      </c>
      <c r="F246" s="50" cm="1" t="str">
        <f t="array" ref="F246:F246">OFFSET(E246,-1,1)</f>
        <v>2</v>
      </c>
      <c r="G246" s="1741"/>
      <c r="H246" s="1741"/>
      <c r="I246" s="587" t="s">
        <v>1263</v>
      </c>
      <c r="J246" s="587"/>
      <c r="K246" s="587"/>
      <c r="L246" s="587"/>
      <c r="M246" s="587"/>
      <c r="N246" s="587"/>
      <c r="O246" s="587"/>
      <c r="P246" s="587"/>
      <c r="Q246" s="587"/>
      <c r="R246" s="587"/>
      <c r="S246" s="587"/>
      <c r="T246" s="465" cm="1" t="str">
        <f t="array" ref="T246:T246">T245</f>
        <v>true</v>
      </c>
      <c r="U246" s="1741"/>
      <c r="V246" s="1741"/>
      <c r="W246" s="1741"/>
      <c r="X246" s="1641"/>
      <c r="Y246" s="1741"/>
      <c r="Z246" s="1642"/>
      <c r="AA246" s="1741"/>
      <c r="AB246" s="807" t="s">
        <v>1391</v>
      </c>
      <c r="AC246" s="813" t="s">
        <v>2538</v>
      </c>
      <c r="AD246" s="814" t="s">
        <v>1514</v>
      </c>
      <c r="AE246" s="7168">
        <f>_xlfn.SUMIFS('ИП + источники'!AF$27:AF$203,'ИП + источники'!$F$27:$F$203,$F246,'ИП + источники'!$AC$27:$AC$203,"Амортизационные отчисления")+_xlfn.SUMIFS('ИП + источники'!AF$27:AF$203,'ИП + источники'!$F$27:$F$203,$F246,'ИП + источники'!$AC$27:$AC$203,"погашение займов и кредитов из амортизации")</f>
        <v>0</v>
      </c>
      <c r="AF246" s="7168">
        <f>_xlfn.SUMIFS('ИП + источники'!AG$27:AG$203,'ИП + источники'!$F$27:$F$203,$F246,'ИП + источники'!$AC$27:$AC$203,"Амортизационные отчисления")+_xlfn.SUMIFS('ИП + источники'!AG$27:AG$203,'ИП + источники'!$F$27:$F$203,$F246,'ИП + источники'!$AC$27:$AC$203,"погашение займов и кредитов из амортизации")</f>
        <v>0</v>
      </c>
      <c r="AG246" s="7168">
        <f>_xlfn.SUMIFS('ИП + источники'!AH$27:AH$203,'ИП + источники'!$F$27:$F$203,$F246,'ИП + источники'!$AC$27:$AC$203,"Амортизационные отчисления")+_xlfn.SUMIFS('ИП + источники'!AH$27:AH$203,'ИП + источники'!$F$27:$F$203,$F246,'ИП + источники'!$AC$27:$AC$203,"погашение займов и кредитов из амортизации")</f>
        <v>0</v>
      </c>
      <c r="AH246" s="802">
        <f>AG246-AF246</f>
        <v>0</v>
      </c>
      <c r="AI246" s="7168">
        <f>_xlfn.SUMIFS('ИП + источники'!AH$27:AH$203,'ИП + источники'!$F$27:$F$203,$F246,'ИП + источники'!$AC$27:$AC$203,"Амортизационные отчисления")+_xlfn.SUMIFS('ИП + источники'!AH$27:AH$203,'ИП + источники'!$F$27:$F$203,$F246,'ИП + источники'!$AC$27:$AC$203,"погашение займов и кредитов из амортизации")</f>
        <v>0</v>
      </c>
      <c r="AJ246" s="809">
        <f>_xlfn.SUMIFS('ИП + источники'!AI$27:AI$203,'ИП + источники'!$F$27:$F$203,$F246,'ИП + источники'!$AC$27:$AC$203,"Амортизационные отчисления")+_xlfn.SUMIFS('ИП + источники'!AI$27:AI$203,'ИП + источники'!$F$27:$F$203,$F246,'ИП + источники'!$AC$27:$AC$203,"погашение займов и кредитов из амортизации")</f>
        <v>0</v>
      </c>
      <c r="AK246" s="809">
        <f>_xlfn.SUMIFS('ИП + источники'!AJ$27:AJ$203,'ИП + источники'!$F$27:$F$203,$F246,'ИП + источники'!$AC$27:$AC$203,"Амортизационные отчисления")+_xlfn.SUMIFS('ИП + источники'!AJ$27:AJ$203,'ИП + источники'!$F$27:$F$203,$F246,'ИП + источники'!$AC$27:$AC$203,"погашение займов и кредитов из амортизации")</f>
        <v>0</v>
      </c>
      <c r="AL246" s="802">
        <f>IF(AI246=0,0,(AK246-AI246)/AI246*100)</f>
        <v>0</v>
      </c>
      <c r="AM246" s="803"/>
      <c r="AN246" s="803"/>
      <c r="AO246" s="803"/>
      <c r="AP246" s="1741"/>
      <c r="AQ246" s="1741"/>
      <c r="AR246" s="1062" t="s">
        <v>2539</v>
      </c>
      <c r="AS246" s="1062"/>
      <c r="AT246" s="1062"/>
      <c r="AU246" s="1059"/>
      <c r="AV246" s="1059"/>
    </row>
    <row s="7270" customFormat="1" customHeight="1" ht="21.75">
      <c r="A247" s="588"/>
      <c r="B247" s="588"/>
      <c r="C247" s="588"/>
      <c r="D247" s="588"/>
      <c r="E247" s="697">
        <v>22.5</v>
      </c>
      <c r="F247" s="50" cm="1" t="str">
        <f t="array" ref="F247:F247">OFFSET(E247,-1,1)</f>
        <v>2</v>
      </c>
      <c r="G247" s="588"/>
      <c r="H247" s="588"/>
      <c r="I247" s="698" t="s">
        <v>1225</v>
      </c>
      <c r="J247" s="698"/>
      <c r="K247" s="698"/>
      <c r="L247" s="698"/>
      <c r="M247" s="698"/>
      <c r="N247" s="698"/>
      <c r="O247" s="698"/>
      <c r="P247" s="698"/>
      <c r="Q247" s="698"/>
      <c r="R247" s="698"/>
      <c r="S247" s="698"/>
      <c r="T247" s="465" cm="1" t="str">
        <f t="array" ref="T247:T247">T246</f>
        <v>true</v>
      </c>
      <c r="U247" s="588"/>
      <c r="V247" s="588"/>
      <c r="W247" s="588"/>
      <c r="X247" s="1641"/>
      <c r="Y247" s="588"/>
      <c r="Z247" s="1642"/>
      <c r="AA247" s="588"/>
      <c r="AB247" s="804" t="s">
        <v>446</v>
      </c>
      <c r="AC247" s="589" t="s">
        <v>2540</v>
      </c>
      <c r="AD247" s="812" t="s">
        <v>1514</v>
      </c>
      <c r="AE247" s="801">
        <f>_xlfn.SUMIFS(Аренда!AE$25:AE$77,Аренда!$F$25:$F$77,$F247,Аренда!$G$25:$G$77,"Арендная и концессионная плата, лизинговые платежи")</f>
        <v>0</v>
      </c>
      <c r="AF247" s="801">
        <f>_xlfn.SUMIFS(Аренда!AF$25:AF$77,Аренда!$F$25:$F$77,$F247,Аренда!$G$25:$G$77,"Арендная и концессионная плата, лизинговые платежи")</f>
        <v>0</v>
      </c>
      <c r="AG247" s="801">
        <f>_xlfn.SUMIFS(Аренда!AG$25:AG$77,Аренда!$F$25:$F$77,$F247,Аренда!$G$25:$G$77,"Арендная и концессионная плата, лизинговые платежи")</f>
        <v>0</v>
      </c>
      <c r="AH247" s="801">
        <f>AG247-AF247</f>
        <v>0</v>
      </c>
      <c r="AI247" s="801">
        <f>_xlfn.SUMIFS(Аренда!AH$25:AH$77,Аренда!$F$25:$F$77,$F247,Аренда!$G$25:$G$77,"Арендная и концессионная плата, лизинговые платежи")</f>
        <v>0</v>
      </c>
      <c r="AJ247" s="801">
        <f>_xlfn.SUMIFS(Аренда!AI$25:AI$77,Аренда!$F$25:$F$77,$F247,Аренда!$G$25:$G$77,"Арендная и концессионная плата, лизинговые платежи")</f>
        <v>15.89</v>
      </c>
      <c r="AK247" s="801">
        <f>_xlfn.SUMIFS(Аренда!AS$25:AS$77,Аренда!$F$25:$F$77,$F247,Аренда!$G$25:$G$77,"Арендная и концессионная плата, лизинговые платежи")</f>
        <v>15.89</v>
      </c>
      <c r="AL247" s="801">
        <f>IF(AI247=0,0,(AK247-AI247)/AI247*100)</f>
        <v>0</v>
      </c>
      <c r="AM247" s="806"/>
      <c r="AN247" s="910" t="str">
        <f>IF(_xlfn.IFERROR(INDEX(Аренда!$K$26:$L$77,MATCH($F247&amp;"komm",Аренда!$K$26:$K$77,0),2),"")=0,"",_xlfn.IFERROR(INDEX(Аренда!$K$26:$L$77,MATCH($F247&amp;"komm",Аренда!$K$26:$K$77,0),2),""))</f>
        <v>В соответствии с п.п.3 п.49 Методических указаний 1746-э расходы на арендную плату и лизинговые платежи, размер которых определяется с учетом требований, предусмотренных пунктом 29 настоящих Методических указаний.​</v>
      </c>
      <c r="AO247" s="806"/>
      <c r="AP247" s="588"/>
      <c r="AQ247" s="588"/>
      <c r="AR247" s="1063" t="s">
        <v>2541</v>
      </c>
      <c r="AS247" s="1063"/>
      <c r="AT247" s="1063"/>
      <c r="AU247" s="697"/>
      <c r="AV247" s="697"/>
    </row>
    <row s="7271" customFormat="1" customHeight="1" ht="14.25">
      <c r="A248" s="588"/>
      <c r="B248" s="588"/>
      <c r="C248" s="588"/>
      <c r="D248" s="588"/>
      <c r="E248" s="697">
        <v>15</v>
      </c>
      <c r="F248" s="50" cm="1" t="str">
        <f t="array" ref="F248:F248">OFFSET(E248,-1,1)</f>
        <v>2</v>
      </c>
      <c r="G248" s="588"/>
      <c r="H248" s="588"/>
      <c r="I248" s="698" t="s">
        <v>1228</v>
      </c>
      <c r="J248" s="698"/>
      <c r="K248" s="698"/>
      <c r="L248" s="698"/>
      <c r="M248" s="698"/>
      <c r="N248" s="698"/>
      <c r="O248" s="698"/>
      <c r="P248" s="698"/>
      <c r="Q248" s="698"/>
      <c r="R248" s="698"/>
      <c r="S248" s="698"/>
      <c r="T248" s="465" cm="1" t="str">
        <f t="array" ref="T248:T248">T247</f>
        <v>true</v>
      </c>
      <c r="U248" s="588"/>
      <c r="V248" s="588"/>
      <c r="W248" s="588"/>
      <c r="X248" s="1641"/>
      <c r="Y248" s="588"/>
      <c r="Z248" s="1642"/>
      <c r="AA248" s="588"/>
      <c r="AB248" s="804" t="s">
        <v>449</v>
      </c>
      <c r="AC248" s="589" t="s">
        <v>2542</v>
      </c>
      <c r="AD248" s="812" t="s">
        <v>1514</v>
      </c>
      <c r="AE248" s="801">
        <f>_xlfn.SUMIFS(Налоги!AE$25:AE$101,Налоги!$F$25:$F$101,$F248,Налоги!$AC$25:$AC$101,"Налоги и платежи, относимые на указанный вид деятельности")</f>
        <v>0</v>
      </c>
      <c r="AF248" s="801">
        <f>_xlfn.SUMIFS(Налоги!AF$25:AF$101,Налоги!$F$25:$F$101,$F248,Налоги!$AC$25:$AC$101,"Налоги и платежи, относимые на указанный вид деятельности")</f>
        <v>0</v>
      </c>
      <c r="AG248" s="801">
        <f>_xlfn.SUMIFS(Налоги!AG$25:AG$101,Налоги!$F$25:$F$101,$F248,Налоги!$AC$25:$AC$101,"Налоги и платежи, относимые на указанный вид деятельности")</f>
        <v>0</v>
      </c>
      <c r="AH248" s="801">
        <f>AG248-AF248</f>
        <v>0</v>
      </c>
      <c r="AI248" s="801">
        <f>_xlfn.SUMIFS(Налоги!AH$25:AH$101,Налоги!$F$25:$F$101,$F248,Налоги!$AC$25:$AC$101,"Налоги и платежи, относимые на указанный вид деятельности")</f>
        <v>0</v>
      </c>
      <c r="AJ248" s="801">
        <f>_xlfn.SUMIFS(Налоги!AI$25:AI$101,Налоги!$F$25:$F$101,$F248,Налоги!$AC$25:$AC$101,"Налоги и платежи, относимые на указанный вид деятельности")</f>
        <v>179.0635</v>
      </c>
      <c r="AK248" s="801">
        <f>_xlfn.SUMIFS(Налоги!AS$25:AS$101,Налоги!$F$25:$F$101,$F248,Налоги!$AC$25:$AC$101,"Налоги и платежи, относимые на указанный вид деятельности")</f>
        <v>179.0635</v>
      </c>
      <c r="AL248" s="801">
        <f>IF(AI248=0,0,(AK248-AI248)/AI248*100)</f>
        <v>0</v>
      </c>
      <c r="AM248" s="806"/>
      <c r="AN248" s="910" t="str">
        <f>IF(_xlfn.IFERROR(INDEX(Налоги!$K$26:$L$101,MATCH($F248&amp;"komm",Налоги!$K$26:$K$101,0),2),"")=0,"",_xlfn.IFERROR(INDEX(Налоги!$K$26:$L$101,MATCH($F248&amp;"komm",Налоги!$K$26:$K$101,0),2),""))</f>
        <v>В соответствии с п.п. 2 п. 49 Методических указаний 1746-э.</v>
      </c>
      <c r="AO248" s="806"/>
      <c r="AP248" s="588"/>
      <c r="AQ248" s="588"/>
      <c r="AR248" s="1063" t="s">
        <v>1999</v>
      </c>
      <c r="AS248" s="1063"/>
      <c r="AT248" s="1063"/>
      <c r="AU248" s="697"/>
      <c r="AV248" s="697"/>
    </row>
    <row s="7272" customFormat="1" customHeight="1" ht="14.25">
      <c r="A249" s="588"/>
      <c r="B249" s="588"/>
      <c r="C249" s="588"/>
      <c r="D249" s="588"/>
      <c r="E249" s="697">
        <v>15</v>
      </c>
      <c r="F249" s="50" cm="1" t="str">
        <f t="array" ref="F249:F249">OFFSET(E249,-1,1)</f>
        <v>2</v>
      </c>
      <c r="G249" s="588"/>
      <c r="H249" s="588"/>
      <c r="I249" s="698" t="s">
        <v>1275</v>
      </c>
      <c r="J249" s="698"/>
      <c r="K249" s="698"/>
      <c r="L249" s="698"/>
      <c r="M249" s="698"/>
      <c r="N249" s="698"/>
      <c r="O249" s="698"/>
      <c r="P249" s="698"/>
      <c r="Q249" s="698"/>
      <c r="R249" s="698"/>
      <c r="S249" s="698"/>
      <c r="T249" s="465" cm="1" t="str">
        <f t="array" ref="T249:T249">T248</f>
        <v>true</v>
      </c>
      <c r="U249" s="588"/>
      <c r="V249" s="588"/>
      <c r="W249" s="588"/>
      <c r="X249" s="1641"/>
      <c r="Y249" s="588"/>
      <c r="Z249" s="1642"/>
      <c r="AA249" s="588"/>
      <c r="AB249" s="804" t="s">
        <v>452</v>
      </c>
      <c r="AC249" s="589" t="s">
        <v>2543</v>
      </c>
      <c r="AD249" s="590" t="s">
        <v>1514</v>
      </c>
      <c r="AE249" s="788">
        <f>AE250+AE251+AE252</f>
        <v>0</v>
      </c>
      <c r="AF249" s="788">
        <f>AF250+AF251+AF252</f>
        <v>0</v>
      </c>
      <c r="AG249" s="788">
        <f>AG250+AG251+AG252</f>
        <v>0</v>
      </c>
      <c r="AH249" s="788">
        <f>AG249-AF249</f>
        <v>0</v>
      </c>
      <c r="AI249" s="788">
        <f>AI250+AI251+AI252</f>
        <v>0</v>
      </c>
      <c r="AJ249" s="788">
        <f>AJ250+AJ251+AJ252</f>
        <v>0</v>
      </c>
      <c r="AK249" s="788">
        <f>AK250+AK251+AK252</f>
        <v>0</v>
      </c>
      <c r="AL249" s="801">
        <f>IF(AI249=0,0,(AK249-AI249)/AI249*100)</f>
        <v>0</v>
      </c>
      <c r="AM249" s="806"/>
      <c r="AN249" s="910"/>
      <c r="AO249" s="806"/>
      <c r="AP249" s="588"/>
      <c r="AQ249" s="588"/>
      <c r="AR249" s="1063" t="s">
        <v>2242</v>
      </c>
      <c r="AS249" s="1063"/>
      <c r="AT249" s="1063"/>
      <c r="AU249" s="697"/>
      <c r="AV249" s="697"/>
    </row>
    <row s="1834" customFormat="1" customHeight="1" ht="14.25">
      <c r="A250" s="1741"/>
      <c r="B250" s="1741"/>
      <c r="C250" s="1741"/>
      <c r="D250" s="1741"/>
      <c r="E250" s="695">
        <v>15</v>
      </c>
      <c r="F250" s="50" cm="1" t="str">
        <f t="array" ref="F250:F250">OFFSET(E250,-1,1)</f>
        <v>2</v>
      </c>
      <c r="G250" s="1741"/>
      <c r="H250" s="1741"/>
      <c r="I250" s="587" t="s">
        <v>1278</v>
      </c>
      <c r="J250" s="587"/>
      <c r="K250" s="587"/>
      <c r="L250" s="587"/>
      <c r="M250" s="587"/>
      <c r="N250" s="587"/>
      <c r="O250" s="587"/>
      <c r="P250" s="587"/>
      <c r="Q250" s="587"/>
      <c r="R250" s="587"/>
      <c r="S250" s="587"/>
      <c r="T250" s="465" cm="1" t="str">
        <f t="array" ref="T250:T250">T249</f>
        <v>true</v>
      </c>
      <c r="U250" s="1741"/>
      <c r="V250" s="1741"/>
      <c r="W250" s="1741"/>
      <c r="X250" s="1641"/>
      <c r="Y250" s="1741"/>
      <c r="Z250" s="1642"/>
      <c r="AA250" s="1741"/>
      <c r="AB250" s="807" t="s">
        <v>1301</v>
      </c>
      <c r="AC250" s="813" t="s">
        <v>2544</v>
      </c>
      <c r="AD250" s="814" t="s">
        <v>1514</v>
      </c>
      <c r="AE250" s="7168">
        <f>_xlfn.SUMIFS('ИП + источники'!AF$26:AF$203,'ИП + источники'!$F$26:$F$203,$F250,'ИП + источники'!$AC$26:$AC$203,"погашение займов и кредитов из нормативной прибыли")+_xlfn.SUMIFS('ИП + источники'!AF$26:AF$203,'ИП + источники'!$F$26:$F$203,$F250,'ИП + источники'!$AC$26:$AC$203,"уплата процентов по кредитам из нормативной прибыли")</f>
        <v>0</v>
      </c>
      <c r="AF250" s="7168">
        <f>_xlfn.SUMIFS('ИП + источники'!AG$26:AG$203,'ИП + источники'!$F$26:$F$203,$F250,'ИП + источники'!$AC$26:$AC$203,"погашение займов и кредитов из нормативной прибыли")+_xlfn.SUMIFS('ИП + источники'!AG$26:AG$203,'ИП + источники'!$F$26:$F$203,$F250,'ИП + источники'!$AC$26:$AC$203,"уплата процентов по кредитам из нормативной прибыли")</f>
        <v>0</v>
      </c>
      <c r="AG250" s="7168">
        <f>_xlfn.SUMIFS('ИП + источники'!AH$26:AH$203,'ИП + источники'!$F$26:$F$203,$F250,'ИП + источники'!$AC$26:$AC$203,"погашение займов и кредитов из нормативной прибыли")+_xlfn.SUMIFS('ИП + источники'!AH$26:AH$203,'ИП + источники'!$F$26:$F$203,$F250,'ИП + источники'!$AC$26:$AC$203,"уплата процентов по кредитам из нормативной прибыли")</f>
        <v>0</v>
      </c>
      <c r="AH250" s="802">
        <f>AG250-AF250</f>
        <v>0</v>
      </c>
      <c r="AI250" s="7168">
        <f>_xlfn.SUMIFS('ИП + источники'!AJ$26:AJ$203,'ИП + источники'!$F$26:$F$203,$F250,'ИП + источники'!$AC$26:$AC$203,"погашение займов и кредитов из нормативной прибыли")+_xlfn.SUMIFS('ИП + источники'!AJ$26:AJ$203,'ИП + источники'!$F$26:$F$203,$F250,'ИП + источники'!$AC$26:$AC$203,"уплата процентов по кредитам из нормативной прибыли")</f>
        <v>0</v>
      </c>
      <c r="AJ250" s="809">
        <f>_xlfn.SUMIFS('ИП + источники'!AK$26:AK$203,'ИП + источники'!$F$26:$F$203,$F250,'ИП + источники'!$AC$26:$AC$203,"погашение займов и кредитов из нормативной прибыли")+_xlfn.SUMIFS('ИП + источники'!AK$26:AK$203,'ИП + источники'!$F$26:$F$203,$F250,'ИП + источники'!$AC$26:$AC$203,"уплата процентов по кредитам из нормативной прибыли")</f>
        <v>0</v>
      </c>
      <c r="AK250" s="809">
        <f>_xlfn.SUMIFS('ИП + источники'!AU$26:AU$203,'ИП + источники'!$F$26:$F$203,$F250,'ИП + источники'!$AC$26:$AC$203,"погашение займов и кредитов из нормативной прибыли")+_xlfn.SUMIFS('ИП + источники'!AU$26:AU$203,'ИП + источники'!$F$26:$F$203,$F250,'ИП + источники'!$AC$26:$AC$203,"уплата процентов по кредитам из нормативной прибыли")</f>
        <v>0</v>
      </c>
      <c r="AL250" s="802">
        <f>IF(AI250=0,0,(AK250-AI250)/AI250*100)</f>
        <v>0</v>
      </c>
      <c r="AM250" s="803"/>
      <c r="AN250" s="910" t="str">
        <f>IF(_xlfn.IFERROR(INDEX('ИП + источники'!$K$57:$L$203,MATCH($F250&amp;"1komm",'ИП + источники'!$K$57:$K$203,0),2),"")=0,"",_xlfn.IFERROR(INDEX('ИП + источники'!$K$57:$L$203,MATCH($F250&amp;"1komm",'ИП + источники'!$K$57:$K$203,0),2),""))</f>
        <v/>
      </c>
      <c r="AO250" s="803"/>
      <c r="AP250" s="1741"/>
      <c r="AQ250" s="1741"/>
      <c r="AR250" s="1062" t="s">
        <v>1991</v>
      </c>
      <c r="AS250" s="1062"/>
      <c r="AT250" s="1062"/>
      <c r="AU250" s="1059"/>
      <c r="AV250" s="1059"/>
    </row>
    <row s="1834" customFormat="1" customHeight="1" ht="14.25">
      <c r="A251" s="1741"/>
      <c r="B251" s="1741"/>
      <c r="C251" s="1741"/>
      <c r="D251" s="1741"/>
      <c r="E251" s="695">
        <v>15</v>
      </c>
      <c r="F251" s="50" cm="1" t="str">
        <f t="array" ref="F251:F251">OFFSET(E251,-1,1)</f>
        <v>2</v>
      </c>
      <c r="G251" s="1741"/>
      <c r="H251" s="1741"/>
      <c r="I251" s="587" t="s">
        <v>1282</v>
      </c>
      <c r="J251" s="587"/>
      <c r="K251" s="587"/>
      <c r="L251" s="587"/>
      <c r="M251" s="587"/>
      <c r="N251" s="587"/>
      <c r="O251" s="587"/>
      <c r="P251" s="587"/>
      <c r="Q251" s="587"/>
      <c r="R251" s="587"/>
      <c r="S251" s="587"/>
      <c r="T251" s="465" cm="1" t="str">
        <f t="array" ref="T251:T251">T250</f>
        <v>true</v>
      </c>
      <c r="U251" s="1741"/>
      <c r="V251" s="1741"/>
      <c r="W251" s="1741"/>
      <c r="X251" s="1641"/>
      <c r="Y251" s="1741"/>
      <c r="Z251" s="1642"/>
      <c r="AA251" s="1741"/>
      <c r="AB251" s="807" t="s">
        <v>1318</v>
      </c>
      <c r="AC251" s="813" t="s">
        <v>2545</v>
      </c>
      <c r="AD251" s="814" t="s">
        <v>1514</v>
      </c>
      <c r="AE251" s="7168">
        <f>_xlfn.SUMIFS('ИП + источники'!AF$27:AF$203,'ИП + источники'!$F$27:$F$203,$F251,'ИП + источники'!$AC$27:$AC$203,"Прибыль на капвложения")</f>
        <v>0</v>
      </c>
      <c r="AF251" s="7168">
        <f>_xlfn.SUMIFS('ИП + источники'!AG$27:AG$203,'ИП + источники'!$F$27:$F$203,$F251,'ИП + источники'!$AC$27:$AC$203,"Прибыль на капвложения")</f>
        <v>0</v>
      </c>
      <c r="AG251" s="7168">
        <f>_xlfn.SUMIFS('ИП + источники'!AH$27:AH$203,'ИП + источники'!$F$27:$F$203,$F251,'ИП + источники'!$AC$27:$AC$203,"Прибыль на капвложения")</f>
        <v>0</v>
      </c>
      <c r="AH251" s="802">
        <f>AG251-AF251</f>
        <v>0</v>
      </c>
      <c r="AI251" s="7168">
        <f>_xlfn.SUMIFS('ИП + источники'!AJ$27:AJ$203,'ИП + источники'!$F$27:$F$203,$F251,'ИП + источники'!$AC$27:$AC$203,"Прибыль на капвложения")</f>
        <v>0</v>
      </c>
      <c r="AJ251" s="809">
        <f>_xlfn.SUMIFS('ИП + источники'!AK$27:AK$203,'ИП + источники'!$F$27:$F$203,$F251,'ИП + источники'!$AC$27:$AC$203,"Прибыль на капвложения")</f>
        <v>0</v>
      </c>
      <c r="AK251" s="809">
        <f>_xlfn.SUMIFS('ИП + источники'!AU$27:AU$203,'ИП + источники'!$F$27:$F$203,$F251,'ИП + источники'!$AC$27:$AC$203,"Прибыль на капвложения")</f>
        <v>0</v>
      </c>
      <c r="AL251" s="802">
        <f>IF(AI251=0,0,(AK251-AI251)/AI251*100)</f>
        <v>0</v>
      </c>
      <c r="AM251" s="803"/>
      <c r="AN251" s="910" t="str">
        <f>IF(_xlfn.IFERROR(INDEX('ИП + источники'!$K$57:$L$203,MATCH($F251&amp;"2komm",'ИП + источники'!$K$57:$K$203,0),2),"")=0,"",_xlfn.IFERROR(INDEX('ИП + источники'!$K$57:$L$203,MATCH($F251&amp;"2komm",'ИП + источники'!$K$57:$K$203,0),2),""))</f>
        <v/>
      </c>
      <c r="AO251" s="803"/>
      <c r="AP251" s="1741"/>
      <c r="AQ251" s="1741"/>
      <c r="AR251" s="1062" t="s">
        <v>2546</v>
      </c>
      <c r="AS251" s="1062"/>
      <c r="AT251" s="1062"/>
      <c r="AU251" s="1059"/>
      <c r="AV251" s="1059"/>
    </row>
    <row s="1834" customFormat="1" customHeight="1" ht="21.75">
      <c r="A252" s="1741"/>
      <c r="B252" s="1741"/>
      <c r="C252" s="1741"/>
      <c r="D252" s="1741"/>
      <c r="E252" s="695">
        <v>22.5</v>
      </c>
      <c r="F252" s="50" cm="1" t="str">
        <f t="array" ref="F252:F252">OFFSET(E252,-1,1)</f>
        <v>2</v>
      </c>
      <c r="G252" s="1741"/>
      <c r="H252" s="1741"/>
      <c r="I252" s="587" t="s">
        <v>1286</v>
      </c>
      <c r="J252" s="587"/>
      <c r="K252" s="587"/>
      <c r="L252" s="587"/>
      <c r="M252" s="587"/>
      <c r="N252" s="587"/>
      <c r="O252" s="587"/>
      <c r="P252" s="587"/>
      <c r="Q252" s="587"/>
      <c r="R252" s="587"/>
      <c r="S252" s="587"/>
      <c r="T252" s="465" cm="1" t="str">
        <f t="array" ref="T252:T252">T251</f>
        <v>true</v>
      </c>
      <c r="U252" s="1741"/>
      <c r="V252" s="1741"/>
      <c r="W252" s="1741"/>
      <c r="X252" s="1641"/>
      <c r="Y252" s="1741"/>
      <c r="Z252" s="1642"/>
      <c r="AA252" s="1741"/>
      <c r="AB252" s="807" t="s">
        <v>1330</v>
      </c>
      <c r="AC252" s="813" t="s">
        <v>2547</v>
      </c>
      <c r="AD252" s="814" t="s">
        <v>1514</v>
      </c>
      <c r="AE252" s="7168"/>
      <c r="AF252" s="7168"/>
      <c r="AG252" s="7168"/>
      <c r="AH252" s="802"/>
      <c r="AI252" s="7168"/>
      <c r="AJ252" s="809"/>
      <c r="AK252" s="809"/>
      <c r="AL252" s="802">
        <f>IF(AI252=0,0,(AK252-AI252)/AI252*100)</f>
        <v>0</v>
      </c>
      <c r="AM252" s="803"/>
      <c r="AN252" s="803"/>
      <c r="AO252" s="803"/>
      <c r="AP252" s="1741"/>
      <c r="AQ252" s="1741"/>
      <c r="AR252" s="1062" t="s">
        <v>2548</v>
      </c>
      <c r="AS252" s="1062"/>
      <c r="AT252" s="1062"/>
      <c r="AU252" s="1059"/>
      <c r="AV252" s="1059"/>
    </row>
    <row s="7273" customFormat="1" customHeight="1" ht="21.75">
      <c r="A253" s="588"/>
      <c r="B253" s="588">
        <f>STATUS_GO="да"</f>
        <v>1</v>
      </c>
      <c r="C253" s="588"/>
      <c r="D253" s="588"/>
      <c r="E253" s="697">
        <v>22.5</v>
      </c>
      <c r="F253" s="50" cm="1" t="str">
        <f t="array" ref="F253:F253">OFFSET(E253,-1,1)</f>
        <v>2</v>
      </c>
      <c r="G253" s="588"/>
      <c r="H253" s="588"/>
      <c r="I253" s="698" t="s">
        <v>1290</v>
      </c>
      <c r="J253" s="698"/>
      <c r="K253" s="698"/>
      <c r="L253" s="698"/>
      <c r="M253" s="698"/>
      <c r="N253" s="698"/>
      <c r="O253" s="698"/>
      <c r="P253" s="698"/>
      <c r="Q253" s="698"/>
      <c r="R253" s="698"/>
      <c r="S253" s="698"/>
      <c r="T253" s="465" cm="1" t="str">
        <f t="array" ref="T253:T253">T252</f>
        <v>true</v>
      </c>
      <c r="U253" s="588"/>
      <c r="V253" s="588"/>
      <c r="W253" s="588"/>
      <c r="X253" s="1641"/>
      <c r="Y253" s="588"/>
      <c r="Z253" s="1642"/>
      <c r="AA253" s="588"/>
      <c r="AB253" s="804" t="s">
        <v>455</v>
      </c>
      <c r="AC253" s="800" t="s">
        <v>2549</v>
      </c>
      <c r="AD253" s="812" t="s">
        <v>1514</v>
      </c>
      <c r="AE253" s="7165"/>
      <c r="AF253" s="7165"/>
      <c r="AG253" s="7165"/>
      <c r="AH253" s="801">
        <f>AG253-AF253</f>
        <v>0</v>
      </c>
      <c r="AI253" s="7165"/>
      <c r="AJ253" s="810"/>
      <c r="AK253" s="810"/>
      <c r="AL253" s="801">
        <f>IF(AI253=0,0,(AK253-AI253)/AI253*100)</f>
        <v>0</v>
      </c>
      <c r="AM253" s="806"/>
      <c r="AN253" s="806"/>
      <c r="AO253" s="806"/>
      <c r="AP253" s="588"/>
      <c r="AQ253" s="588"/>
      <c r="AR253" s="1063" t="s">
        <v>2550</v>
      </c>
      <c r="AS253" s="1063"/>
      <c r="AT253" s="1063"/>
      <c r="AU253" s="697"/>
      <c r="AV253" s="697"/>
    </row>
    <row s="1834" customFormat="1" customHeight="1" ht="14.25">
      <c r="A254" s="1741"/>
      <c r="B254" s="1741"/>
      <c r="C254" s="1741"/>
      <c r="D254" s="1741"/>
      <c r="E254" s="695">
        <v>15</v>
      </c>
      <c r="F254" s="50" cm="1" t="str">
        <f t="array" ref="F254:F254">OFFSET(E254,-1,1)</f>
        <v>2</v>
      </c>
      <c r="G254" s="1741"/>
      <c r="H254" s="1741"/>
      <c r="I254" s="587" t="s">
        <v>1297</v>
      </c>
      <c r="J254" s="587"/>
      <c r="K254" s="587"/>
      <c r="L254" s="587"/>
      <c r="M254" s="587"/>
      <c r="N254" s="587"/>
      <c r="O254" s="587"/>
      <c r="P254" s="587"/>
      <c r="Q254" s="587"/>
      <c r="R254" s="587"/>
      <c r="S254" s="587"/>
      <c r="T254" s="465" cm="1" t="str">
        <f t="array" ref="T254:T254">T253</f>
        <v>true</v>
      </c>
      <c r="U254" s="1741"/>
      <c r="V254" s="1741"/>
      <c r="W254" s="1741"/>
      <c r="X254" s="1641"/>
      <c r="Y254" s="1741"/>
      <c r="Z254" s="1642"/>
      <c r="AA254" s="1741"/>
      <c r="AB254" s="807" t="s">
        <v>458</v>
      </c>
      <c r="AC254" s="816" t="s">
        <v>2197</v>
      </c>
      <c r="AD254" s="814" t="s">
        <v>1514</v>
      </c>
      <c r="AE254" s="7168"/>
      <c r="AF254" s="7168"/>
      <c r="AG254" s="7168"/>
      <c r="AH254" s="802"/>
      <c r="AI254" s="7189"/>
      <c r="AJ254" s="7189"/>
      <c r="AK254" s="7189"/>
      <c r="AL254" s="802">
        <f>IF(AI254=0,0,(AK254-AI254)/AI254*100)</f>
        <v>0</v>
      </c>
      <c r="AM254" s="803"/>
      <c r="AN254" s="803"/>
      <c r="AO254" s="803"/>
      <c r="AP254" s="1741"/>
      <c r="AQ254" s="1741"/>
      <c r="AR254" s="1062" t="s">
        <v>2551</v>
      </c>
      <c r="AS254" s="1062"/>
      <c r="AT254" s="1062"/>
      <c r="AU254" s="1059"/>
      <c r="AV254" s="1059"/>
    </row>
    <row s="1834" customFormat="1" customHeight="1" ht="101.25" hidden="1">
      <c r="A255" s="1741"/>
      <c r="B255" s="1741"/>
      <c r="C255" s="1741"/>
      <c r="D255" s="1741"/>
      <c r="E255" s="695">
        <v>0</v>
      </c>
      <c r="F255" s="50" cm="1" t="str">
        <f t="array" ref="F255:F255">OFFSET(E255,-1,1)</f>
        <v>2</v>
      </c>
      <c r="G255" s="1741"/>
      <c r="H255" s="517">
        <f>ISERR(SEARCH("Водоснабжение",AB197))</f>
        <v>0</v>
      </c>
      <c r="I255" s="587" t="s">
        <v>1454</v>
      </c>
      <c r="J255" s="587"/>
      <c r="K255" s="587"/>
      <c r="L255" s="587"/>
      <c r="M255" s="587"/>
      <c r="N255" s="587"/>
      <c r="O255" s="587"/>
      <c r="P255" s="587"/>
      <c r="Q255" s="587"/>
      <c r="R255" s="587"/>
      <c r="S255" s="587"/>
      <c r="T255" s="465" cm="1" t="str">
        <f t="array" ref="T255:T255">T254</f>
        <v>true</v>
      </c>
      <c r="U255" s="1741"/>
      <c r="V255" s="1741"/>
      <c r="W255" s="1741"/>
      <c r="X255" s="1641"/>
      <c r="Y255" s="1741"/>
      <c r="Z255" s="1642"/>
      <c r="AA255" s="1741"/>
      <c r="AB255" s="807" t="s">
        <v>461</v>
      </c>
      <c r="AC255" s="816" t="s">
        <v>2552</v>
      </c>
      <c r="AD255" s="759" t="s">
        <v>1514</v>
      </c>
      <c r="AE255" s="7168"/>
      <c r="AF255" s="7168"/>
      <c r="AG255" s="7168"/>
      <c r="AH255" s="802">
        <f>AG255-AF255</f>
        <v>0</v>
      </c>
      <c r="AI255" s="7168"/>
      <c r="AJ255" s="7168"/>
      <c r="AK255" s="7168">
        <f>_xlfn.IFERROR(_xlfn.SUMIFS('Плата за негативное возд'!$AL$25:$AL$41,'Плата за негативное возд'!$F$25:$F$41,F255,'Плата за негативное возд'!$G$25:$G$41,"1"),0)</f>
        <v>0</v>
      </c>
      <c r="AL255" s="802">
        <f>IF(AI255=0,0,(AK255-AI255)/AI255*100)</f>
        <v>0</v>
      </c>
      <c r="AM255" s="7153"/>
      <c r="AN255" s="7153"/>
      <c r="AO255" s="7153"/>
      <c r="AP255" s="1741"/>
      <c r="AQ255" s="1741"/>
      <c r="AR255" s="1062" t="s">
        <v>2098</v>
      </c>
      <c r="AS255" s="1062"/>
      <c r="AT255" s="1062"/>
      <c r="AU255" s="1059"/>
      <c r="AV255" s="1059"/>
    </row>
    <row s="1834" customFormat="1" customHeight="1" ht="67.5" hidden="1">
      <c r="A256" s="1741"/>
      <c r="B256" s="1741"/>
      <c r="C256" s="1741"/>
      <c r="D256" s="1741"/>
      <c r="E256" s="695">
        <v>0</v>
      </c>
      <c r="F256" s="50" cm="1" t="str">
        <f t="array" ref="F256:F256">OFFSET(E256,-1,1)</f>
        <v>2</v>
      </c>
      <c r="G256" s="1741"/>
      <c r="H256" s="517">
        <f>ISERR(SEARCH("Водоснабжение",AB197))</f>
        <v>0</v>
      </c>
      <c r="I256" s="587" t="s">
        <v>1456</v>
      </c>
      <c r="J256" s="587"/>
      <c r="K256" s="587"/>
      <c r="L256" s="587"/>
      <c r="M256" s="587"/>
      <c r="N256" s="587"/>
      <c r="O256" s="587"/>
      <c r="P256" s="587"/>
      <c r="Q256" s="587"/>
      <c r="R256" s="587"/>
      <c r="S256" s="587"/>
      <c r="T256" s="465" cm="1" t="str">
        <f t="array" ref="T256:T256">T255</f>
        <v>true</v>
      </c>
      <c r="U256" s="1741"/>
      <c r="V256" s="1741"/>
      <c r="W256" s="1741"/>
      <c r="X256" s="1641"/>
      <c r="Y256" s="1741"/>
      <c r="Z256" s="1642"/>
      <c r="AA256" s="1741"/>
      <c r="AB256" s="807" t="s">
        <v>463</v>
      </c>
      <c r="AC256" s="816" t="s">
        <v>2553</v>
      </c>
      <c r="AD256" s="759" t="s">
        <v>1514</v>
      </c>
      <c r="AE256" s="7168"/>
      <c r="AF256" s="7168"/>
      <c r="AG256" s="7168"/>
      <c r="AH256" s="802">
        <f>AG256-AF256</f>
        <v>0</v>
      </c>
      <c r="AI256" s="7168"/>
      <c r="AJ256" s="7168"/>
      <c r="AK256" s="7168">
        <f>_xlfn.IFERROR(_xlfn.SUMIFS('Плата за негативное возд'!$AL$25:$AL$41,'Плата за негативное возд'!$F$25:$F$41,F256,'Плата за негативное возд'!$G$25:$G$41,"2"),0)</f>
        <v>0</v>
      </c>
      <c r="AL256" s="802">
        <f>IF(AI256=0,0,(AK256-AI256)/AI256*100)</f>
        <v>0</v>
      </c>
      <c r="AM256" s="7153"/>
      <c r="AN256" s="7153"/>
      <c r="AO256" s="7153"/>
      <c r="AP256" s="1741"/>
      <c r="AQ256" s="1741"/>
      <c r="AR256" s="1062" t="s">
        <v>2102</v>
      </c>
      <c r="AS256" s="1062"/>
      <c r="AT256" s="1062"/>
      <c r="AU256" s="1059"/>
      <c r="AV256" s="1059"/>
    </row>
    <row s="1834" customFormat="1" customHeight="1" ht="14.25">
      <c r="A257" s="1741"/>
      <c r="B257" s="1741"/>
      <c r="C257" s="1741"/>
      <c r="D257" s="1741"/>
      <c r="E257" s="695">
        <v>15</v>
      </c>
      <c r="F257" s="50" cm="1" t="str">
        <f t="array" ref="F257:F257">OFFSET(E257,-1,1)</f>
        <v>2</v>
      </c>
      <c r="G257" s="1741"/>
      <c r="H257" s="1741"/>
      <c r="I257" s="587" t="s">
        <v>1492</v>
      </c>
      <c r="J257" s="587"/>
      <c r="K257" s="587"/>
      <c r="L257" s="587"/>
      <c r="M257" s="587"/>
      <c r="N257" s="587"/>
      <c r="O257" s="587"/>
      <c r="P257" s="587"/>
      <c r="Q257" s="587"/>
      <c r="R257" s="587"/>
      <c r="S257" s="587"/>
      <c r="T257" s="465" cm="1" t="str">
        <f t="array" ref="T257:T257">T256</f>
        <v>true</v>
      </c>
      <c r="U257" s="1741"/>
      <c r="V257" s="1741"/>
      <c r="W257" s="1741"/>
      <c r="X257" s="1641"/>
      <c r="Y257" s="1741"/>
      <c r="Z257" s="1642"/>
      <c r="AA257" s="1741"/>
      <c r="AB257" s="807" t="s">
        <v>465</v>
      </c>
      <c r="AC257" s="818" t="s">
        <v>2554</v>
      </c>
      <c r="AD257" s="814" t="s">
        <v>1514</v>
      </c>
      <c r="AE257" s="7168"/>
      <c r="AF257" s="7168"/>
      <c r="AG257" s="7168"/>
      <c r="AH257" s="802">
        <f>AG257-AF257</f>
        <v>0</v>
      </c>
      <c r="AI257" s="7168"/>
      <c r="AJ257" s="809"/>
      <c r="AK257" s="809"/>
      <c r="AL257" s="802">
        <f>IF(AI257=0,0,(AK257-AI257)/AI257*100)</f>
        <v>0</v>
      </c>
      <c r="AM257" s="803"/>
      <c r="AN257" s="803"/>
      <c r="AO257" s="803"/>
      <c r="AP257" s="1741"/>
      <c r="AQ257" s="1741"/>
      <c r="AR257" s="1062" t="s">
        <v>1966</v>
      </c>
      <c r="AS257" s="1062"/>
      <c r="AT257" s="1062"/>
      <c r="AU257" s="1059"/>
      <c r="AV257" s="1059"/>
    </row>
    <row s="7274" customFormat="1" customHeight="1" ht="21.75">
      <c r="A258" s="588"/>
      <c r="B258" s="588"/>
      <c r="C258" s="588"/>
      <c r="D258" s="588"/>
      <c r="E258" s="697">
        <v>22.5</v>
      </c>
      <c r="F258" s="50" cm="1" t="str">
        <f t="array" ref="F258:F258">OFFSET(E258,-1,1)</f>
        <v>2</v>
      </c>
      <c r="G258" s="588"/>
      <c r="H258" s="588"/>
      <c r="I258" s="698" t="s">
        <v>1493</v>
      </c>
      <c r="J258" s="698"/>
      <c r="K258" s="698"/>
      <c r="L258" s="698"/>
      <c r="M258" s="698"/>
      <c r="N258" s="698"/>
      <c r="O258" s="698"/>
      <c r="P258" s="698"/>
      <c r="Q258" s="698"/>
      <c r="R258" s="698"/>
      <c r="S258" s="698"/>
      <c r="T258" s="465" cm="1" t="str">
        <f t="array" ref="T258:T258">T257</f>
        <v>true</v>
      </c>
      <c r="U258" s="588"/>
      <c r="V258" s="588"/>
      <c r="W258" s="588"/>
      <c r="X258" s="1641"/>
      <c r="Y258" s="588"/>
      <c r="Z258" s="1642"/>
      <c r="AA258" s="588"/>
      <c r="AB258" s="804" t="s">
        <v>467</v>
      </c>
      <c r="AC258" s="589" t="s">
        <v>2555</v>
      </c>
      <c r="AD258" s="812" t="s">
        <v>1514</v>
      </c>
      <c r="AE258" s="788">
        <f>AE259+AE260</f>
        <v>0</v>
      </c>
      <c r="AF258" s="788">
        <f>AF259+AF260</f>
        <v>0</v>
      </c>
      <c r="AG258" s="788">
        <f>AG259+AG260</f>
        <v>0</v>
      </c>
      <c r="AH258" s="801">
        <f>AG258-AF258</f>
        <v>0</v>
      </c>
      <c r="AI258" s="788">
        <f>AI259+AI260</f>
        <v>0</v>
      </c>
      <c r="AJ258" s="788">
        <f>AJ259+AJ260</f>
        <v>0</v>
      </c>
      <c r="AK258" s="788">
        <f>AK259+AK260</f>
        <v>0</v>
      </c>
      <c r="AL258" s="801">
        <f>IF(AI258=0,0,(AK258-AI258)/AI258*100)</f>
        <v>0</v>
      </c>
      <c r="AM258" s="806"/>
      <c r="AN258" s="806"/>
      <c r="AO258" s="806"/>
      <c r="AP258" s="588"/>
      <c r="AQ258" s="588"/>
      <c r="AR258" s="1063" t="s">
        <v>2280</v>
      </c>
      <c r="AS258" s="1063"/>
      <c r="AT258" s="1063"/>
      <c r="AU258" s="697"/>
      <c r="AV258" s="697"/>
    </row>
    <row s="1834" customFormat="1" customHeight="1" ht="21.75">
      <c r="A259" s="1741"/>
      <c r="B259" s="1741"/>
      <c r="C259" s="1741"/>
      <c r="D259" s="1741"/>
      <c r="E259" s="695">
        <v>22.5</v>
      </c>
      <c r="F259" s="50" cm="1" t="str">
        <f t="array" ref="F259:F259">OFFSET(E259,-1,1)</f>
        <v>2</v>
      </c>
      <c r="G259" s="1741"/>
      <c r="H259" s="1741"/>
      <c r="I259" s="587" t="s">
        <v>2556</v>
      </c>
      <c r="J259" s="587"/>
      <c r="K259" s="587"/>
      <c r="L259" s="587"/>
      <c r="M259" s="587"/>
      <c r="N259" s="587"/>
      <c r="O259" s="587"/>
      <c r="P259" s="587"/>
      <c r="Q259" s="587"/>
      <c r="R259" s="587"/>
      <c r="S259" s="587"/>
      <c r="T259" s="465" cm="1" t="str">
        <f t="array" ref="T259:T259">T258</f>
        <v>true</v>
      </c>
      <c r="U259" s="1741"/>
      <c r="V259" s="1741"/>
      <c r="W259" s="1741"/>
      <c r="X259" s="1641"/>
      <c r="Y259" s="1741"/>
      <c r="Z259" s="1642"/>
      <c r="AA259" s="1741"/>
      <c r="AB259" s="807" t="s">
        <v>2557</v>
      </c>
      <c r="AC259" s="819" t="s">
        <v>2281</v>
      </c>
      <c r="AD259" s="814" t="s">
        <v>1514</v>
      </c>
      <c r="AE259" s="7168"/>
      <c r="AF259" s="7168"/>
      <c r="AG259" s="7168"/>
      <c r="AH259" s="802">
        <f>AG259-AF259</f>
        <v>0</v>
      </c>
      <c r="AI259" s="7168"/>
      <c r="AJ259" s="809"/>
      <c r="AK259" s="809"/>
      <c r="AL259" s="802">
        <f>IF(AI259=0,0,(AK259-AI259)/AI259*100)</f>
        <v>0</v>
      </c>
      <c r="AM259" s="803"/>
      <c r="AN259" s="803"/>
      <c r="AO259" s="803"/>
      <c r="AP259" s="1741"/>
      <c r="AQ259" s="1741"/>
      <c r="AR259" s="1062" t="s">
        <v>2319</v>
      </c>
      <c r="AS259" s="1062"/>
      <c r="AT259" s="1062"/>
      <c r="AU259" s="1059"/>
      <c r="AV259" s="1059"/>
    </row>
    <row s="1834" customFormat="1" customHeight="1" ht="21.75">
      <c r="A260" s="1741"/>
      <c r="B260" s="1741"/>
      <c r="C260" s="1741"/>
      <c r="D260" s="1741"/>
      <c r="E260" s="695">
        <v>22.5</v>
      </c>
      <c r="F260" s="50" cm="1" t="str">
        <f t="array" ref="F260:F260">OFFSET(E260,-1,1)</f>
        <v>2</v>
      </c>
      <c r="G260" s="1741"/>
      <c r="H260" s="1741"/>
      <c r="I260" s="587" t="s">
        <v>2558</v>
      </c>
      <c r="J260" s="587"/>
      <c r="K260" s="587"/>
      <c r="L260" s="587"/>
      <c r="M260" s="587"/>
      <c r="N260" s="587"/>
      <c r="O260" s="587"/>
      <c r="P260" s="587"/>
      <c r="Q260" s="587"/>
      <c r="R260" s="587"/>
      <c r="S260" s="587"/>
      <c r="T260" s="465" cm="1" t="str">
        <f t="array" ref="T260:T260">T259</f>
        <v>true</v>
      </c>
      <c r="U260" s="1741"/>
      <c r="V260" s="1741"/>
      <c r="W260" s="1741"/>
      <c r="X260" s="1641"/>
      <c r="Y260" s="1741"/>
      <c r="Z260" s="1642"/>
      <c r="AA260" s="1741"/>
      <c r="AB260" s="807" t="s">
        <v>2559</v>
      </c>
      <c r="AC260" s="819" t="s">
        <v>2283</v>
      </c>
      <c r="AD260" s="814" t="s">
        <v>1514</v>
      </c>
      <c r="AE260" s="7168"/>
      <c r="AF260" s="7168"/>
      <c r="AG260" s="7168"/>
      <c r="AH260" s="802">
        <f>AG260-AF260</f>
        <v>0</v>
      </c>
      <c r="AI260" s="7168"/>
      <c r="AJ260" s="809"/>
      <c r="AK260" s="809"/>
      <c r="AL260" s="802">
        <f>IF(AI260=0,0,(AK260-AI260)/AI260*100)</f>
        <v>0</v>
      </c>
      <c r="AM260" s="803"/>
      <c r="AN260" s="803"/>
      <c r="AO260" s="803"/>
      <c r="AP260" s="1741"/>
      <c r="AQ260" s="1741"/>
      <c r="AR260" s="1062" t="s">
        <v>2560</v>
      </c>
      <c r="AS260" s="1062"/>
      <c r="AT260" s="1062"/>
      <c r="AU260" s="1059"/>
      <c r="AV260" s="1059"/>
    </row>
    <row s="1834" customFormat="1" customHeight="1" ht="14.25">
      <c r="A261" s="1741"/>
      <c r="B261" s="1741"/>
      <c r="C261" s="1741"/>
      <c r="D261" s="1741"/>
      <c r="E261" s="695">
        <v>15</v>
      </c>
      <c r="F261" s="50" cm="1" t="str">
        <f t="array" ref="F261:F261">OFFSET(E261,-1,1)</f>
        <v>2</v>
      </c>
      <c r="G261" s="1741"/>
      <c r="H261" s="1741"/>
      <c r="I261" s="587" t="s">
        <v>2561</v>
      </c>
      <c r="J261" s="587"/>
      <c r="K261" s="587"/>
      <c r="L261" s="587"/>
      <c r="M261" s="587"/>
      <c r="N261" s="587"/>
      <c r="O261" s="587"/>
      <c r="P261" s="587"/>
      <c r="Q261" s="587"/>
      <c r="R261" s="587"/>
      <c r="S261" s="587"/>
      <c r="T261" s="465" cm="1" t="str">
        <f t="array" ref="T261:T261">T260</f>
        <v>true</v>
      </c>
      <c r="U261" s="1741"/>
      <c r="V261" s="1741"/>
      <c r="W261" s="1741"/>
      <c r="X261" s="1641"/>
      <c r="Y261" s="1741"/>
      <c r="Z261" s="1642"/>
      <c r="AA261" s="1741"/>
      <c r="AB261" s="820" t="s">
        <v>341</v>
      </c>
      <c r="AC261" s="821" t="s">
        <v>2285</v>
      </c>
      <c r="AD261" s="814" t="s">
        <v>1514</v>
      </c>
      <c r="AE261" s="7168"/>
      <c r="AF261" s="7168"/>
      <c r="AG261" s="7168"/>
      <c r="AH261" s="802">
        <f>AG261-AF261</f>
        <v>0</v>
      </c>
      <c r="AI261" s="7168"/>
      <c r="AJ261" s="809"/>
      <c r="AK261" s="809"/>
      <c r="AL261" s="802">
        <f>IF(AI261=0,0,(AK261-AI261)/AI261*100)</f>
        <v>0</v>
      </c>
      <c r="AM261" s="803"/>
      <c r="AN261" s="803"/>
      <c r="AO261" s="803"/>
      <c r="AP261" s="1741"/>
      <c r="AQ261" s="1741"/>
      <c r="AR261" s="1062" t="s">
        <v>2286</v>
      </c>
      <c r="AS261" s="1062"/>
      <c r="AT261" s="1062"/>
      <c r="AU261" s="1059"/>
      <c r="AV261" s="1059"/>
    </row>
    <row s="1834" customFormat="1" customHeight="1" ht="14.25">
      <c r="A262" s="1741"/>
      <c r="B262" s="1741"/>
      <c r="C262" s="1741"/>
      <c r="D262" s="1741"/>
      <c r="E262" s="695">
        <v>15</v>
      </c>
      <c r="F262" s="50" cm="1" t="str">
        <f t="array" ref="F262:F262">OFFSET(E262,-1,1)</f>
        <v>2</v>
      </c>
      <c r="G262" s="1741"/>
      <c r="H262" s="1741"/>
      <c r="I262" s="587" t="s">
        <v>2562</v>
      </c>
      <c r="J262" s="587"/>
      <c r="K262" s="587"/>
      <c r="L262" s="587"/>
      <c r="M262" s="587"/>
      <c r="N262" s="587"/>
      <c r="O262" s="587"/>
      <c r="P262" s="587"/>
      <c r="Q262" s="587"/>
      <c r="R262" s="587"/>
      <c r="S262" s="587"/>
      <c r="T262" s="465" cm="1" t="str">
        <f t="array" ref="T262:T262">T261</f>
        <v>true</v>
      </c>
      <c r="U262" s="1741"/>
      <c r="V262" s="1741"/>
      <c r="W262" s="1741"/>
      <c r="X262" s="1641"/>
      <c r="Y262" s="1741"/>
      <c r="Z262" s="1642"/>
      <c r="AA262" s="1741"/>
      <c r="AB262" s="820" t="s">
        <v>502</v>
      </c>
      <c r="AC262" s="821" t="s">
        <v>2287</v>
      </c>
      <c r="AD262" s="814" t="s">
        <v>1514</v>
      </c>
      <c r="AE262" s="7168"/>
      <c r="AF262" s="7168"/>
      <c r="AG262" s="7168"/>
      <c r="AH262" s="802">
        <f>AG262-AF262</f>
        <v>0</v>
      </c>
      <c r="AI262" s="7168"/>
      <c r="AJ262" s="809"/>
      <c r="AK262" s="809"/>
      <c r="AL262" s="802">
        <f>IF(AI262=0,0,(AK262-AI262)/AI262*100)</f>
        <v>0</v>
      </c>
      <c r="AM262" s="803"/>
      <c r="AN262" s="803"/>
      <c r="AO262" s="803"/>
      <c r="AP262" s="1741"/>
      <c r="AQ262" s="1741"/>
      <c r="AR262" s="1062" t="s">
        <v>2288</v>
      </c>
      <c r="AS262" s="1062"/>
      <c r="AT262" s="1062"/>
      <c r="AU262" s="1059"/>
      <c r="AV262" s="1059"/>
    </row>
    <row s="7275" customFormat="1" customHeight="1" ht="14.25">
      <c r="A263" s="588"/>
      <c r="B263" s="588"/>
      <c r="C263" s="588"/>
      <c r="D263" s="588"/>
      <c r="E263" s="697">
        <v>15</v>
      </c>
      <c r="F263" s="50" cm="1" t="str">
        <f t="array" ref="F263:F263">OFFSET(E263,-1,1)</f>
        <v>2</v>
      </c>
      <c r="G263" s="588"/>
      <c r="H263" s="588"/>
      <c r="I263" s="698" t="s">
        <v>2563</v>
      </c>
      <c r="J263" s="698"/>
      <c r="K263" s="698"/>
      <c r="L263" s="698"/>
      <c r="M263" s="698"/>
      <c r="N263" s="698"/>
      <c r="O263" s="698"/>
      <c r="P263" s="698"/>
      <c r="Q263" s="698"/>
      <c r="R263" s="698"/>
      <c r="S263" s="698"/>
      <c r="T263" s="465" cm="1" t="str">
        <f t="array" ref="T263:T263">T262</f>
        <v>true</v>
      </c>
      <c r="U263" s="588"/>
      <c r="V263" s="588"/>
      <c r="W263" s="588"/>
      <c r="X263" s="1641"/>
      <c r="Y263" s="588"/>
      <c r="Z263" s="1642"/>
      <c r="AA263" s="588"/>
      <c r="AB263" s="804" t="s">
        <v>505</v>
      </c>
      <c r="AC263" s="589" t="s">
        <v>2564</v>
      </c>
      <c r="AD263" s="812" t="s">
        <v>1514</v>
      </c>
      <c r="AE263" s="788">
        <f>AE198+AE226+AE231+AE244+AE245+AE247+AE248+AE249+AE253+AE254-AE255-AE256+AE257-AE258+AE261+AE262</f>
        <v>0</v>
      </c>
      <c r="AF263" s="788">
        <f>AF198+AF226+AF231+AF244+AF245+AF247+AF248+AF249+AF253+AF254-AF255-AF256+AF257-AF258+AF261+AF262</f>
        <v>0</v>
      </c>
      <c r="AG263" s="788">
        <f>AG198+AG226+AG231+AG244+AG245+AG247+AG248+AG249+AG253+AG254-AG255-AG256+AG257-AG258+AG261+AG262</f>
        <v>0</v>
      </c>
      <c r="AH263" s="801">
        <f>AG263-AF263</f>
        <v>0</v>
      </c>
      <c r="AI263" s="788">
        <f>AI198+AI226+AI231+AI244+AI245+AI247+AI248+AI249+AI253+AI254-AI255-AI256+AI257-AI258+AI261+AI262</f>
        <v>0</v>
      </c>
      <c r="AJ263" s="788">
        <f>AJ198+AJ226+AJ231+AJ244+AJ245+AJ247+AJ248+AJ249+AJ253+AJ254-AJ255-AJ256+AJ257-AJ258+AJ261+AJ262</f>
        <v>100161.19314832</v>
      </c>
      <c r="AK263" s="788">
        <f>AK198+AK226+AK231+AK244+AK245+AK247+AK248+AK249+AK253+AK254-AK255-AK256+AK257-AK258+AK261+AK262</f>
        <v>100161.19079444</v>
      </c>
      <c r="AL263" s="801">
        <f>IF(AI263=0,0,(AK263-AI263)/AI263*100)</f>
        <v>0</v>
      </c>
      <c r="AM263" s="806"/>
      <c r="AN263" s="806"/>
      <c r="AO263" s="806"/>
      <c r="AP263" s="588"/>
      <c r="AQ263" s="588"/>
      <c r="AR263" s="1063" t="s">
        <v>2565</v>
      </c>
      <c r="AS263" s="1063"/>
      <c r="AT263" s="1063"/>
      <c r="AU263" s="697"/>
      <c r="AV263" s="697"/>
    </row>
    <row s="1834" customFormat="1" customHeight="1" ht="15" hidden="1">
      <c r="A264" s="1741"/>
      <c r="B264" s="577">
        <f>G197="двухставочный"</f>
        <v>0</v>
      </c>
      <c r="C264" s="1741"/>
      <c r="D264" s="1741"/>
      <c r="E264" s="695">
        <v>0</v>
      </c>
      <c r="F264" s="50" cm="1" t="str">
        <f t="array" ref="F264:F264">OFFSET(E264,-1,1)</f>
        <v>2</v>
      </c>
      <c r="G264" s="1741"/>
      <c r="H264" s="1741"/>
      <c r="I264" s="587" t="s">
        <v>2566</v>
      </c>
      <c r="J264" s="587"/>
      <c r="K264" s="587"/>
      <c r="L264" s="587"/>
      <c r="M264" s="587"/>
      <c r="N264" s="587"/>
      <c r="O264" s="587"/>
      <c r="P264" s="587"/>
      <c r="Q264" s="587"/>
      <c r="R264" s="587"/>
      <c r="S264" s="587"/>
      <c r="T264" s="465" cm="1" t="str">
        <f t="array" ref="T264:T264">T263</f>
        <v>true</v>
      </c>
      <c r="U264" s="1741"/>
      <c r="V264" s="1741"/>
      <c r="W264" s="1741"/>
      <c r="X264" s="1641"/>
      <c r="Y264" s="1741"/>
      <c r="Z264" s="1642"/>
      <c r="AA264" s="1741"/>
      <c r="AB264" s="807" t="s">
        <v>2567</v>
      </c>
      <c r="AC264" s="819" t="s">
        <v>2568</v>
      </c>
      <c r="AD264" s="814" t="s">
        <v>1514</v>
      </c>
      <c r="AE264" s="7168"/>
      <c r="AF264" s="7168"/>
      <c r="AG264" s="7168"/>
      <c r="AH264" s="802">
        <f>AG264-AF264</f>
        <v>0</v>
      </c>
      <c r="AI264" s="7168"/>
      <c r="AJ264" s="7168"/>
      <c r="AK264" s="7168"/>
      <c r="AL264" s="802">
        <f>IF(AI264=0,0,(AK264-AI264)/AI264*100)</f>
        <v>0</v>
      </c>
      <c r="AM264" s="7153"/>
      <c r="AN264" s="7153"/>
      <c r="AO264" s="7153"/>
      <c r="AP264" s="1741"/>
      <c r="AQ264" s="1741"/>
      <c r="AR264" s="1062" t="s">
        <v>2569</v>
      </c>
      <c r="AS264" s="1062"/>
      <c r="AT264" s="1062"/>
      <c r="AU264" s="1059"/>
      <c r="AV264" s="1059"/>
    </row>
    <row s="1834" customFormat="1" customHeight="1" ht="15" hidden="1">
      <c r="A265" s="1741"/>
      <c r="B265" s="577">
        <f>G197="двухставочный"</f>
        <v>0</v>
      </c>
      <c r="C265" s="1741"/>
      <c r="D265" s="1741"/>
      <c r="E265" s="695">
        <v>0</v>
      </c>
      <c r="F265" s="50" cm="1" t="str">
        <f t="array" ref="F265:F265">OFFSET(E265,-1,1)</f>
        <v>2</v>
      </c>
      <c r="G265" s="1741"/>
      <c r="H265" s="1741"/>
      <c r="I265" s="587" t="s">
        <v>2570</v>
      </c>
      <c r="J265" s="587"/>
      <c r="K265" s="587"/>
      <c r="L265" s="587"/>
      <c r="M265" s="587"/>
      <c r="N265" s="587"/>
      <c r="O265" s="587"/>
      <c r="P265" s="587"/>
      <c r="Q265" s="587"/>
      <c r="R265" s="587"/>
      <c r="S265" s="587"/>
      <c r="T265" s="465" cm="1" t="str">
        <f t="array" ref="T265:T265">T264</f>
        <v>true</v>
      </c>
      <c r="U265" s="1741"/>
      <c r="V265" s="1741"/>
      <c r="W265" s="1741"/>
      <c r="X265" s="1641"/>
      <c r="Y265" s="1741"/>
      <c r="Z265" s="1642"/>
      <c r="AA265" s="1741"/>
      <c r="AB265" s="807" t="s">
        <v>2571</v>
      </c>
      <c r="AC265" s="819" t="s">
        <v>2572</v>
      </c>
      <c r="AD265" s="814" t="s">
        <v>1514</v>
      </c>
      <c r="AE265" s="7168"/>
      <c r="AF265" s="7168"/>
      <c r="AG265" s="7168"/>
      <c r="AH265" s="802">
        <f>AG265-AF265</f>
        <v>0</v>
      </c>
      <c r="AI265" s="7168"/>
      <c r="AJ265" s="7168"/>
      <c r="AK265" s="7168"/>
      <c r="AL265" s="802">
        <f>IF(AI265=0,0,(AK265-AI265)/AI265*100)</f>
        <v>0</v>
      </c>
      <c r="AM265" s="7153"/>
      <c r="AN265" s="7153"/>
      <c r="AO265" s="7153"/>
      <c r="AP265" s="1741"/>
      <c r="AQ265" s="1741"/>
      <c r="AR265" s="1062" t="s">
        <v>2573</v>
      </c>
      <c r="AS265" s="1062"/>
      <c r="AT265" s="1062"/>
      <c r="AU265" s="1059"/>
      <c r="AV265" s="1059"/>
    </row>
    <row s="7276" customFormat="1" customHeight="1" ht="14.25">
      <c r="A266" s="588"/>
      <c r="B266" s="588"/>
      <c r="C266" s="588"/>
      <c r="D266" s="588"/>
      <c r="E266" s="697">
        <v>15</v>
      </c>
      <c r="F266" s="50" cm="1" t="str">
        <f t="array" ref="F266:F266">OFFSET(E266,-1,1)</f>
        <v>2</v>
      </c>
      <c r="G266" s="578" t="s">
        <v>2346</v>
      </c>
      <c r="H266" s="588"/>
      <c r="I266" s="698" t="s">
        <v>2574</v>
      </c>
      <c r="J266" s="698"/>
      <c r="K266" s="698"/>
      <c r="L266" s="698"/>
      <c r="M266" s="698"/>
      <c r="N266" s="698"/>
      <c r="O266" s="698"/>
      <c r="P266" s="698"/>
      <c r="Q266" s="698"/>
      <c r="R266" s="698"/>
      <c r="S266" s="698"/>
      <c r="T266" s="465" cm="1" t="str">
        <f t="array" ref="T266:T266">T265</f>
        <v>true</v>
      </c>
      <c r="U266" s="588"/>
      <c r="V266" s="588"/>
      <c r="W266" s="588"/>
      <c r="X266" s="1641"/>
      <c r="Y266" s="588"/>
      <c r="Z266" s="1642"/>
      <c r="AA266" s="588"/>
      <c r="AB266" s="804" t="s">
        <v>508</v>
      </c>
      <c r="AC266" s="589" t="s">
        <v>2575</v>
      </c>
      <c r="AD266" s="812" t="s">
        <v>1247</v>
      </c>
      <c r="AE266" s="822">
        <f>_xlfn.SUMIFS(Баланс!AE$26:AE$482,Баланс!$F$26:$F$482,$F266,Баланс!$G$26:$G$482,"ПО")</f>
        <v>0</v>
      </c>
      <c r="AF266" s="822">
        <f>_xlfn.SUMIFS(Баланс!AF$26:AF$482,Баланс!$F$26:$F$482,$F266,Баланс!$G$26:$G$482,"ПО")</f>
        <v>0</v>
      </c>
      <c r="AG266" s="822">
        <f>_xlfn.SUMIFS(Баланс!AG$26:AG$482,Баланс!$F$26:$F$482,$F266,Баланс!$G$26:$G$482,"ПО")</f>
        <v>0</v>
      </c>
      <c r="AH266" s="822">
        <f>AG266-AF266</f>
        <v>0</v>
      </c>
      <c r="AI266" s="822">
        <f>_xlfn.SUMIFS(Баланс!AH$26:AH$482,Баланс!$F$26:$F$482,$F266,Баланс!$G$26:$G$482,"ПО")</f>
        <v>0</v>
      </c>
      <c r="AJ266" s="822">
        <f>_xlfn.SUMIFS(Баланс!AI$26:AI$482,Баланс!$F$26:$F$482,$F266,Баланс!$G$26:$G$482,"ПО")</f>
        <v>1091.22881</v>
      </c>
      <c r="AK266" s="822">
        <f>_xlfn.SUMIFS(Баланс!AS$26:AS$482,Баланс!$F$26:$F$482,$F266,Баланс!$G$26:$G$482,"ПО")</f>
        <v>1091.22881</v>
      </c>
      <c r="AL266" s="823"/>
      <c r="AM266" s="806"/>
      <c r="AN266" s="806"/>
      <c r="AO266" s="806"/>
      <c r="AP266" s="588"/>
      <c r="AQ266" s="588"/>
      <c r="AR266" s="1063" t="s">
        <v>2576</v>
      </c>
      <c r="AS266" s="1063"/>
      <c r="AT266" s="1063"/>
      <c r="AU266" s="697"/>
      <c r="AV266" s="697"/>
    </row>
    <row s="1834" customFormat="1" customHeight="1" ht="14.25">
      <c r="A267" s="1741"/>
      <c r="B267" s="1741"/>
      <c r="C267" s="1741"/>
      <c r="D267" s="1741"/>
      <c r="E267" s="695">
        <v>15</v>
      </c>
      <c r="F267" s="50" cm="1" t="str">
        <f t="array" ref="F267:F267">OFFSET(E267,-1,1)</f>
        <v>2</v>
      </c>
      <c r="G267" s="578" t="s">
        <v>2373</v>
      </c>
      <c r="H267" s="1741"/>
      <c r="I267" s="587" t="s">
        <v>2577</v>
      </c>
      <c r="J267" s="587"/>
      <c r="K267" s="587"/>
      <c r="L267" s="587"/>
      <c r="M267" s="587"/>
      <c r="N267" s="587"/>
      <c r="O267" s="587"/>
      <c r="P267" s="587"/>
      <c r="Q267" s="587"/>
      <c r="R267" s="587"/>
      <c r="S267" s="587"/>
      <c r="T267" s="465" cm="1" t="str">
        <f t="array" ref="T267:T267">T266</f>
        <v>true</v>
      </c>
      <c r="U267" s="1741"/>
      <c r="V267" s="1741"/>
      <c r="W267" s="1741"/>
      <c r="X267" s="1641"/>
      <c r="Y267" s="1741"/>
      <c r="Z267" s="1642"/>
      <c r="AA267" s="1741"/>
      <c r="AB267" s="807" t="s">
        <v>2578</v>
      </c>
      <c r="AC267" s="1111" t="s">
        <v>2579</v>
      </c>
      <c r="AD267" s="814" t="s">
        <v>1247</v>
      </c>
      <c r="AE267" s="7197">
        <f>IF(AE$24="2026 год",AE266/12*9,AE266/2)</f>
        <v>0</v>
      </c>
      <c r="AF267" s="7197">
        <f>IF(AF$24="2026 год",AF266/12*9,AF266/2)</f>
        <v>0</v>
      </c>
      <c r="AG267" s="7197">
        <f>IF(AG$24="2026 год",AG266/12*9,AG266/2)</f>
        <v>0</v>
      </c>
      <c r="AH267" s="825">
        <f>AG267-AF267</f>
        <v>0</v>
      </c>
      <c r="AI267" s="7197">
        <f>IF(AI$24="2026 год",AI266/12*9,AI266/2)</f>
        <v>0</v>
      </c>
      <c r="AJ267" s="824">
        <f>IF(AJ$24="2026 год",AJ266/12*9,AJ266/2)</f>
        <v>818.4216075</v>
      </c>
      <c r="AK267" s="824">
        <f>IF(AK$24="2026 год",AK266/12*9,AK266/2)</f>
        <v>818.4216075</v>
      </c>
      <c r="AL267" s="817"/>
      <c r="AM267" s="803"/>
      <c r="AN267" s="803"/>
      <c r="AO267" s="803"/>
      <c r="AP267" s="1741"/>
      <c r="AQ267" s="1741"/>
      <c r="AR267" s="1062" t="s">
        <v>2580</v>
      </c>
      <c r="AS267" s="1062"/>
      <c r="AT267" s="1062"/>
      <c r="AU267" s="1059"/>
      <c r="AV267" s="1059"/>
    </row>
    <row s="1834" customFormat="1" customHeight="1" ht="14.25">
      <c r="A268" s="1741"/>
      <c r="B268" s="1741"/>
      <c r="C268" s="1741"/>
      <c r="D268" s="1741"/>
      <c r="E268" s="695">
        <v>15</v>
      </c>
      <c r="F268" s="50" cm="1" t="str">
        <f t="array" ref="F268:F268">OFFSET(E268,-1,1)</f>
        <v>2</v>
      </c>
      <c r="G268" s="578" t="s">
        <v>2334</v>
      </c>
      <c r="H268" s="1741"/>
      <c r="I268" s="587" t="s">
        <v>2581</v>
      </c>
      <c r="J268" s="587"/>
      <c r="K268" s="587"/>
      <c r="L268" s="587"/>
      <c r="M268" s="587"/>
      <c r="N268" s="587"/>
      <c r="O268" s="587"/>
      <c r="P268" s="587"/>
      <c r="Q268" s="587"/>
      <c r="R268" s="587"/>
      <c r="S268" s="587"/>
      <c r="T268" s="465" cm="1" t="str">
        <f t="array" ref="T268:T268">T267</f>
        <v>true</v>
      </c>
      <c r="U268" s="1741"/>
      <c r="V268" s="1741"/>
      <c r="W268" s="1741"/>
      <c r="X268" s="1641"/>
      <c r="Y268" s="1741"/>
      <c r="Z268" s="1642"/>
      <c r="AA268" s="1741"/>
      <c r="AB268" s="807" t="s">
        <v>2582</v>
      </c>
      <c r="AC268" s="1111" t="s">
        <v>2583</v>
      </c>
      <c r="AD268" s="814" t="s">
        <v>2337</v>
      </c>
      <c r="AE268" s="7168"/>
      <c r="AF268" s="7168"/>
      <c r="AG268" s="7168"/>
      <c r="AH268" s="802">
        <f>AG268-AF268</f>
        <v>0</v>
      </c>
      <c r="AI268" s="7168"/>
      <c r="AJ268" s="809"/>
      <c r="AK268" s="809"/>
      <c r="AL268" s="817"/>
      <c r="AM268" s="803"/>
      <c r="AN268" s="803"/>
      <c r="AO268" s="803"/>
      <c r="AP268" s="1741"/>
      <c r="AQ268" s="1741"/>
      <c r="AR268" s="1062" t="s">
        <v>2584</v>
      </c>
      <c r="AS268" s="1062"/>
      <c r="AT268" s="1062"/>
      <c r="AU268" s="1059"/>
      <c r="AV268" s="1059"/>
    </row>
    <row s="1834" customFormat="1" customHeight="1" ht="14.25">
      <c r="A269" s="1741"/>
      <c r="B269" s="1741"/>
      <c r="C269" s="1741"/>
      <c r="D269" s="1741"/>
      <c r="E269" s="695">
        <v>15</v>
      </c>
      <c r="F269" s="50" cm="1" t="str">
        <f t="array" ref="F269:F269">OFFSET(E269,-1,1)</f>
        <v>2</v>
      </c>
      <c r="G269" s="578" t="s">
        <v>2386</v>
      </c>
      <c r="H269" s="1741"/>
      <c r="I269" s="587" t="s">
        <v>2585</v>
      </c>
      <c r="J269" s="587"/>
      <c r="K269" s="587"/>
      <c r="L269" s="587"/>
      <c r="M269" s="587"/>
      <c r="N269" s="587"/>
      <c r="O269" s="587"/>
      <c r="P269" s="587"/>
      <c r="Q269" s="587"/>
      <c r="R269" s="587"/>
      <c r="S269" s="587"/>
      <c r="T269" s="465" cm="1" t="str">
        <f t="array" ref="T269:T269">T268</f>
        <v>true</v>
      </c>
      <c r="U269" s="1741"/>
      <c r="V269" s="1741"/>
      <c r="W269" s="1741"/>
      <c r="X269" s="1641"/>
      <c r="Y269" s="1741"/>
      <c r="Z269" s="1642"/>
      <c r="AA269" s="1741"/>
      <c r="AB269" s="807" t="s">
        <v>2586</v>
      </c>
      <c r="AC269" s="1111" t="s">
        <v>2587</v>
      </c>
      <c r="AD269" s="814" t="s">
        <v>1247</v>
      </c>
      <c r="AE269" s="825">
        <f>AE266-AE267</f>
        <v>0</v>
      </c>
      <c r="AF269" s="825">
        <f>AF266-AF267</f>
        <v>0</v>
      </c>
      <c r="AG269" s="825">
        <f>AG266-AG267</f>
        <v>0</v>
      </c>
      <c r="AH269" s="825">
        <f>AG269-AF269</f>
        <v>0</v>
      </c>
      <c r="AI269" s="825">
        <f>AI266-AI267</f>
        <v>0</v>
      </c>
      <c r="AJ269" s="825">
        <f>AJ266-AJ267</f>
        <v>272.8072025</v>
      </c>
      <c r="AK269" s="825">
        <f>AK266-AK267</f>
        <v>272.8072025</v>
      </c>
      <c r="AL269" s="817"/>
      <c r="AM269" s="803"/>
      <c r="AN269" s="803"/>
      <c r="AO269" s="803"/>
      <c r="AP269" s="1741"/>
      <c r="AQ269" s="1741"/>
      <c r="AR269" s="1062" t="s">
        <v>2588</v>
      </c>
      <c r="AS269" s="1062"/>
      <c r="AT269" s="1062"/>
      <c r="AU269" s="1059"/>
      <c r="AV269" s="1059"/>
    </row>
    <row s="1834" customFormat="1" customHeight="1" ht="14.25">
      <c r="A270" s="1741"/>
      <c r="B270" s="1741"/>
      <c r="C270" s="1741"/>
      <c r="D270" s="1741"/>
      <c r="E270" s="695">
        <v>15</v>
      </c>
      <c r="F270" s="50" cm="1" t="str">
        <f t="array" ref="F270:F270">OFFSET(E270,-1,1)</f>
        <v>2</v>
      </c>
      <c r="G270" s="578" t="s">
        <v>2339</v>
      </c>
      <c r="H270" s="1741"/>
      <c r="I270" s="587" t="s">
        <v>2589</v>
      </c>
      <c r="J270" s="587"/>
      <c r="K270" s="587"/>
      <c r="L270" s="587"/>
      <c r="M270" s="587"/>
      <c r="N270" s="587"/>
      <c r="O270" s="587"/>
      <c r="P270" s="587"/>
      <c r="Q270" s="587"/>
      <c r="R270" s="587"/>
      <c r="S270" s="587"/>
      <c r="T270" s="465" cm="1" t="str">
        <f t="array" ref="T270:T270">T269</f>
        <v>true</v>
      </c>
      <c r="U270" s="1741"/>
      <c r="V270" s="1741"/>
      <c r="W270" s="1741"/>
      <c r="X270" s="1641"/>
      <c r="Y270" s="1741"/>
      <c r="Z270" s="1642"/>
      <c r="AA270" s="1741"/>
      <c r="AB270" s="807" t="s">
        <v>2590</v>
      </c>
      <c r="AC270" s="1111" t="s">
        <v>2591</v>
      </c>
      <c r="AD270" s="814" t="s">
        <v>2337</v>
      </c>
      <c r="AE270" s="7168">
        <f>IF(AE269=0,0,(AE263-AE267*AE268)/AE269)</f>
        <v>0</v>
      </c>
      <c r="AF270" s="7168">
        <f>IF(AF269=0,0,(AF263-AF267*AF268)/AF269)</f>
        <v>0</v>
      </c>
      <c r="AG270" s="7168">
        <f>IF(AG269=0,0,(AG263-AG267*AG268)/AG269)</f>
        <v>0</v>
      </c>
      <c r="AH270" s="802">
        <f>AG270-AF270</f>
        <v>0</v>
      </c>
      <c r="AI270" s="7168">
        <f>IF(AI269=0,0,(AI263-AI267*AI268)/AI269)</f>
        <v>0</v>
      </c>
      <c r="AJ270" s="809">
        <f>IF(AJ269=0,0,(AJ263-AJ267*AJ268)/AJ269)</f>
        <v>367.150105387412</v>
      </c>
      <c r="AK270" s="809">
        <f>IF(AK269=0,0,(AK263-AK267*AK268)/AK269)</f>
        <v>367.150096759047</v>
      </c>
      <c r="AL270" s="817"/>
      <c r="AM270" s="803"/>
      <c r="AN270" s="803"/>
      <c r="AO270" s="803"/>
      <c r="AP270" s="1741"/>
      <c r="AQ270" s="1741"/>
      <c r="AR270" s="1062" t="s">
        <v>2592</v>
      </c>
      <c r="AS270" s="1062"/>
      <c r="AT270" s="1062"/>
      <c r="AU270" s="1059"/>
      <c r="AV270" s="1059"/>
    </row>
    <row s="1834" customFormat="1" customHeight="1" ht="14.25">
      <c r="A271" s="1741"/>
      <c r="B271" s="1741"/>
      <c r="C271" s="1741"/>
      <c r="D271" s="1741"/>
      <c r="E271" s="695">
        <v>15</v>
      </c>
      <c r="F271" s="50" cm="1" t="str">
        <f t="array" ref="F271:F271">OFFSET(E271,-1,1)</f>
        <v>2</v>
      </c>
      <c r="G271" s="578"/>
      <c r="H271" s="1741"/>
      <c r="I271" s="587" t="s">
        <v>2593</v>
      </c>
      <c r="J271" s="587"/>
      <c r="K271" s="587"/>
      <c r="L271" s="587"/>
      <c r="M271" s="587"/>
      <c r="N271" s="587"/>
      <c r="O271" s="587"/>
      <c r="P271" s="587"/>
      <c r="Q271" s="587"/>
      <c r="R271" s="587"/>
      <c r="S271" s="587"/>
      <c r="T271" s="465" cm="1" t="str">
        <f t="array" ref="T271:T271">T270</f>
        <v>true</v>
      </c>
      <c r="U271" s="1741"/>
      <c r="V271" s="1741"/>
      <c r="W271" s="1741"/>
      <c r="X271" s="1641"/>
      <c r="Y271" s="1741"/>
      <c r="Z271" s="1642"/>
      <c r="AA271" s="1741"/>
      <c r="AB271" s="807" t="s">
        <v>2594</v>
      </c>
      <c r="AC271" s="1111" t="s">
        <v>2595</v>
      </c>
      <c r="AD271" s="814" t="s">
        <v>1170</v>
      </c>
      <c r="AE271" s="802">
        <f>IF(AE268=0,0,AE270/AE268*100)</f>
        <v>0</v>
      </c>
      <c r="AF271" s="802">
        <f>IF(AF268=0,0,AF270/AF268*100)</f>
        <v>0</v>
      </c>
      <c r="AG271" s="802">
        <f>IF(AG268=0,0,AG270/AG268*100)</f>
        <v>0</v>
      </c>
      <c r="AH271" s="817"/>
      <c r="AI271" s="802">
        <f>IF(AI268=0,0,AI270/AI268*100)</f>
        <v>0</v>
      </c>
      <c r="AJ271" s="802">
        <f>IF(AJ268=0,0,AJ270/AJ268*100)</f>
        <v>0</v>
      </c>
      <c r="AK271" s="802">
        <f>IF(AK268=0,0,AK270/AK268*100)</f>
        <v>0</v>
      </c>
      <c r="AL271" s="817"/>
      <c r="AM271" s="803"/>
      <c r="AN271" s="803"/>
      <c r="AO271" s="803"/>
      <c r="AP271" s="1741"/>
      <c r="AQ271" s="1741"/>
      <c r="AR271" s="1062" t="s">
        <v>2596</v>
      </c>
      <c r="AS271" s="1062"/>
      <c r="AT271" s="1062"/>
      <c r="AU271" s="1059"/>
      <c r="AV271" s="1059"/>
    </row>
    <row s="1834" customFormat="1" customHeight="1" ht="14.25">
      <c r="A272" s="1741"/>
      <c r="B272" s="1741"/>
      <c r="C272" s="1741"/>
      <c r="D272" s="1741"/>
      <c r="E272" s="695">
        <v>15</v>
      </c>
      <c r="F272" s="50" cm="1" t="str">
        <f t="array" ref="F272:F272">OFFSET(E272,-1,1)</f>
        <v>2</v>
      </c>
      <c r="G272" s="578"/>
      <c r="H272" s="1741"/>
      <c r="I272" s="587" t="s">
        <v>2597</v>
      </c>
      <c r="J272" s="587"/>
      <c r="K272" s="587"/>
      <c r="L272" s="587"/>
      <c r="M272" s="587"/>
      <c r="N272" s="587"/>
      <c r="O272" s="587"/>
      <c r="P272" s="587"/>
      <c r="Q272" s="587"/>
      <c r="R272" s="587"/>
      <c r="S272" s="587"/>
      <c r="T272" s="465" cm="1" t="str">
        <f t="array" ref="T272:T272">T271</f>
        <v>true</v>
      </c>
      <c r="U272" s="1741"/>
      <c r="V272" s="1741"/>
      <c r="W272" s="1741"/>
      <c r="X272" s="1641"/>
      <c r="Y272" s="1741"/>
      <c r="Z272" s="1642"/>
      <c r="AA272" s="1741"/>
      <c r="AB272" s="807" t="s">
        <v>2598</v>
      </c>
      <c r="AC272" s="1111" t="s">
        <v>2599</v>
      </c>
      <c r="AD272" s="814" t="s">
        <v>2337</v>
      </c>
      <c r="AE272" s="7168">
        <f>IF(AE266=0,0,AE263/AE266)</f>
        <v>0</v>
      </c>
      <c r="AF272" s="7168">
        <f>IF(AF266=0,0,AF263/AF266)</f>
        <v>0</v>
      </c>
      <c r="AG272" s="7168">
        <f>IF(AG266=0,0,AG263/AG266)</f>
        <v>0</v>
      </c>
      <c r="AH272" s="802">
        <f>AG272-AF272</f>
        <v>0</v>
      </c>
      <c r="AI272" s="7168">
        <f>IF(AI266=0,0,AI263/AI266)</f>
        <v>0</v>
      </c>
      <c r="AJ272" s="809">
        <f>IF(AJ266=0,0,AJ263/AJ266)</f>
        <v>91.787526346853</v>
      </c>
      <c r="AK272" s="809">
        <f>IF(AK266=0,0,AK263/AK266)</f>
        <v>91.7875241897618</v>
      </c>
      <c r="AL272" s="817"/>
      <c r="AM272" s="803"/>
      <c r="AN272" s="803"/>
      <c r="AO272" s="803"/>
      <c r="AP272" s="1741"/>
      <c r="AQ272" s="1741"/>
      <c r="AR272" s="1062" t="s">
        <v>2600</v>
      </c>
      <c r="AS272" s="1062"/>
      <c r="AT272" s="1062"/>
      <c r="AU272" s="1059"/>
      <c r="AV272" s="1059"/>
    </row>
    <row s="7277" customFormat="1" customHeight="1" ht="14.25">
      <c r="A273" s="588"/>
      <c r="B273" s="588"/>
      <c r="C273" s="588"/>
      <c r="D273" s="588"/>
      <c r="E273" s="697">
        <v>15</v>
      </c>
      <c r="F273" s="50" cm="1" t="str">
        <f t="array" ref="F273:F273">OFFSET(E273,-1,1)</f>
        <v>2</v>
      </c>
      <c r="G273" s="700"/>
      <c r="H273" s="588"/>
      <c r="I273" s="698" t="s">
        <v>2601</v>
      </c>
      <c r="J273" s="698"/>
      <c r="K273" s="698"/>
      <c r="L273" s="698"/>
      <c r="M273" s="698"/>
      <c r="N273" s="698"/>
      <c r="O273" s="698"/>
      <c r="P273" s="698"/>
      <c r="Q273" s="698"/>
      <c r="R273" s="698"/>
      <c r="S273" s="698"/>
      <c r="T273" s="465" cm="1" t="str">
        <f t="array" ref="T273:T273">T272</f>
        <v>true</v>
      </c>
      <c r="U273" s="588"/>
      <c r="V273" s="588"/>
      <c r="W273" s="588"/>
      <c r="X273" s="1641"/>
      <c r="Y273" s="588"/>
      <c r="Z273" s="1642"/>
      <c r="AA273" s="588"/>
      <c r="AB273" s="804" t="s">
        <v>511</v>
      </c>
      <c r="AC273" s="212" t="s">
        <v>2602</v>
      </c>
      <c r="AD273" s="812" t="s">
        <v>1514</v>
      </c>
      <c r="AE273" s="7201">
        <f>IF(AE266=0,0,AE263/AE266*AE274)</f>
        <v>0</v>
      </c>
      <c r="AF273" s="7201">
        <f>IF(AF266=0,0,AF263/AF266*AF274)</f>
        <v>0</v>
      </c>
      <c r="AG273" s="7201">
        <f>IF(AG266=0,0,AG263/AG266*AG274)</f>
        <v>0</v>
      </c>
      <c r="AH273" s="788">
        <f>AH275*AH276+AH277*AH278</f>
        <v>0</v>
      </c>
      <c r="AI273" s="7201">
        <f>IF(AI266=0,0,AI263/AI266*AI274)</f>
        <v>0</v>
      </c>
      <c r="AJ273" s="1234">
        <f>IF(AJ266=0,0,AJ263/AJ266*AJ274)</f>
        <v>62671.2755971482</v>
      </c>
      <c r="AK273" s="1234">
        <f>IF(AK266=0,0,AK263/AK266*AK274)</f>
        <v>62671.2741243156</v>
      </c>
      <c r="AL273" s="801">
        <f>IF(AI273=0,0,(AK273-AI273)/AI273*100)</f>
        <v>0</v>
      </c>
      <c r="AM273" s="806"/>
      <c r="AN273" s="806"/>
      <c r="AO273" s="806"/>
      <c r="AP273" s="588"/>
      <c r="AQ273" s="588"/>
      <c r="AR273" s="1063" t="s">
        <v>2603</v>
      </c>
      <c r="AS273" s="1063"/>
      <c r="AT273" s="1063"/>
      <c r="AU273" s="697"/>
      <c r="AV273" s="697"/>
    </row>
    <row s="7278" customFormat="1" customHeight="1" ht="14.25">
      <c r="A274" s="588"/>
      <c r="B274" s="588"/>
      <c r="C274" s="588"/>
      <c r="D274" s="588"/>
      <c r="E274" s="697">
        <v>15</v>
      </c>
      <c r="F274" s="50" cm="1" t="str">
        <f t="array" ref="F274:F274">OFFSET(E274,-1,1)</f>
        <v>2</v>
      </c>
      <c r="G274" s="578" t="s">
        <v>2359</v>
      </c>
      <c r="H274" s="588"/>
      <c r="I274" s="698" t="s">
        <v>2604</v>
      </c>
      <c r="J274" s="698"/>
      <c r="K274" s="698"/>
      <c r="L274" s="698"/>
      <c r="M274" s="698"/>
      <c r="N274" s="698"/>
      <c r="O274" s="698"/>
      <c r="P274" s="698"/>
      <c r="Q274" s="698"/>
      <c r="R274" s="698"/>
      <c r="S274" s="698"/>
      <c r="T274" s="465" cm="1" t="str">
        <f t="array" ref="T274:T274">T273</f>
        <v>true</v>
      </c>
      <c r="U274" s="588"/>
      <c r="V274" s="588"/>
      <c r="W274" s="588"/>
      <c r="X274" s="1641"/>
      <c r="Y274" s="588"/>
      <c r="Z274" s="1642"/>
      <c r="AA274" s="588"/>
      <c r="AB274" s="804" t="s">
        <v>514</v>
      </c>
      <c r="AC274" s="212" t="s">
        <v>2605</v>
      </c>
      <c r="AD274" s="812" t="s">
        <v>1247</v>
      </c>
      <c r="AE274" s="822">
        <f>_xlfn.SUMIFS(Баланс!AE$26:AE$482,Баланс!$F$26:$F$482,$F274,Баланс!$G$26:$G$482,"население")</f>
        <v>0</v>
      </c>
      <c r="AF274" s="822">
        <f>_xlfn.SUMIFS(Баланс!AF$26:AF$482,Баланс!$F$26:$F$482,$F274,Баланс!$G$26:$G$482,"население")</f>
        <v>0</v>
      </c>
      <c r="AG274" s="822">
        <f>_xlfn.SUMIFS(Баланс!AG$26:AG$482,Баланс!$F$26:$F$482,$F274,Баланс!$G$26:$G$482,"население")</f>
        <v>0</v>
      </c>
      <c r="AH274" s="822">
        <f>AG274-AF274</f>
        <v>0</v>
      </c>
      <c r="AI274" s="822">
        <f>_xlfn.SUMIFS(Баланс!AH$26:AH$482,Баланс!$F$26:$F$482,$F274,Баланс!$G$26:$G$482,"население")</f>
        <v>0</v>
      </c>
      <c r="AJ274" s="822">
        <f>_xlfn.SUMIFS(Баланс!AI$26:AI$482,Баланс!$F$26:$F$482,$F274,Баланс!$G$26:$G$482,"население")</f>
        <v>682.78641</v>
      </c>
      <c r="AK274" s="822">
        <f>_xlfn.SUMIFS(Баланс!AS$26:AS$482,Баланс!$F$26:$F$482,$F274,Баланс!$G$26:$G$482,"население")</f>
        <v>682.78641</v>
      </c>
      <c r="AL274" s="823"/>
      <c r="AM274" s="806"/>
      <c r="AN274" s="806"/>
      <c r="AO274" s="806"/>
      <c r="AP274" s="588"/>
      <c r="AQ274" s="588"/>
      <c r="AR274" s="1063" t="s">
        <v>2606</v>
      </c>
      <c r="AS274" s="1063"/>
      <c r="AT274" s="1063"/>
      <c r="AU274" s="697"/>
      <c r="AV274" s="697"/>
    </row>
    <row s="1834" customFormat="1" customHeight="1" ht="14.25">
      <c r="A275" s="1741"/>
      <c r="B275" s="1741"/>
      <c r="C275" s="1741"/>
      <c r="D275" s="1741"/>
      <c r="E275" s="695">
        <v>15</v>
      </c>
      <c r="F275" s="50" cm="1" t="str">
        <f t="array" ref="F275:F275">OFFSET(E275,-1,1)</f>
        <v>2</v>
      </c>
      <c r="G275" s="578" t="s">
        <v>2393</v>
      </c>
      <c r="H275" s="1741"/>
      <c r="I275" s="587" t="s">
        <v>2607</v>
      </c>
      <c r="J275" s="587"/>
      <c r="K275" s="587"/>
      <c r="L275" s="587"/>
      <c r="M275" s="587"/>
      <c r="N275" s="587"/>
      <c r="O275" s="587"/>
      <c r="P275" s="587"/>
      <c r="Q275" s="587"/>
      <c r="R275" s="587"/>
      <c r="S275" s="587"/>
      <c r="T275" s="465" cm="1" t="str">
        <f t="array" ref="T275:T275">T274</f>
        <v>true</v>
      </c>
      <c r="U275" s="1741"/>
      <c r="V275" s="1741"/>
      <c r="W275" s="1741"/>
      <c r="X275" s="1641"/>
      <c r="Y275" s="1741"/>
      <c r="Z275" s="1642"/>
      <c r="AA275" s="1741"/>
      <c r="AB275" s="807" t="s">
        <v>2608</v>
      </c>
      <c r="AC275" s="1111" t="s">
        <v>2609</v>
      </c>
      <c r="AD275" s="814" t="s">
        <v>1247</v>
      </c>
      <c r="AE275" s="7197">
        <f>IF(AE$24="2026 год",AE274/12*9,AE274/2)</f>
        <v>0</v>
      </c>
      <c r="AF275" s="7197">
        <f>IF(AF$24="2026 год",AF274/12*9,AF274/2)</f>
        <v>0</v>
      </c>
      <c r="AG275" s="7197">
        <f>IF(AG$24="2026 год",AG274/12*9,AG274/2)</f>
        <v>0</v>
      </c>
      <c r="AH275" s="825">
        <f>AG275-AF275</f>
        <v>0</v>
      </c>
      <c r="AI275" s="7197">
        <f>IF(AI$24="2026 год",AI274/12*9,AI274/2)</f>
        <v>0</v>
      </c>
      <c r="AJ275" s="824">
        <f>IF(AJ$24="2026 год",AJ274/12*9,AJ274/2)</f>
        <v>512.0898075</v>
      </c>
      <c r="AK275" s="824">
        <f>IF(AK$24="2026 год",AK274/12*9,AK274/2)</f>
        <v>512.0898075</v>
      </c>
      <c r="AL275" s="817"/>
      <c r="AM275" s="803"/>
      <c r="AN275" s="803"/>
      <c r="AO275" s="803"/>
      <c r="AP275" s="1741"/>
      <c r="AQ275" s="1741"/>
      <c r="AR275" s="1062" t="s">
        <v>2610</v>
      </c>
      <c r="AS275" s="1062"/>
      <c r="AT275" s="1062"/>
      <c r="AU275" s="1059"/>
      <c r="AV275" s="1059"/>
    </row>
    <row s="1834" customFormat="1" customHeight="1" ht="14.25">
      <c r="A276" s="1741"/>
      <c r="B276" s="1741"/>
      <c r="C276" s="1741"/>
      <c r="D276" s="1741"/>
      <c r="E276" s="695">
        <v>15</v>
      </c>
      <c r="F276" s="50" cm="1" t="str">
        <f t="array" ref="F276:F276">OFFSET(E276,-1,1)</f>
        <v>2</v>
      </c>
      <c r="G276" s="578" t="s">
        <v>2349</v>
      </c>
      <c r="H276" s="1741"/>
      <c r="I276" s="587" t="s">
        <v>2611</v>
      </c>
      <c r="J276" s="587"/>
      <c r="K276" s="587"/>
      <c r="L276" s="587"/>
      <c r="M276" s="587"/>
      <c r="N276" s="587"/>
      <c r="O276" s="587"/>
      <c r="P276" s="587"/>
      <c r="Q276" s="587"/>
      <c r="R276" s="587"/>
      <c r="S276" s="587"/>
      <c r="T276" s="465" cm="1" t="str">
        <f t="array" ref="T276:T276">T275</f>
        <v>true</v>
      </c>
      <c r="U276" s="1741"/>
      <c r="V276" s="1741"/>
      <c r="W276" s="1741"/>
      <c r="X276" s="1641"/>
      <c r="Y276" s="1741"/>
      <c r="Z276" s="1642"/>
      <c r="AA276" s="1741"/>
      <c r="AB276" s="807" t="s">
        <v>2612</v>
      </c>
      <c r="AC276" s="1111" t="s">
        <v>2613</v>
      </c>
      <c r="AD276" s="814" t="s">
        <v>2337</v>
      </c>
      <c r="AE276" s="7202">
        <f>IF(AE274=0,0,AE268*(1+Сценарии!AE$26/100))</f>
        <v>0</v>
      </c>
      <c r="AF276" s="7202">
        <f>IF(AF274=0,0,AF268*(1+Сценарии!AF$26/100))</f>
        <v>0</v>
      </c>
      <c r="AG276" s="7202">
        <f>IF(AG274=0,0,AG268*(1+Сценарии!AG$26/100))</f>
        <v>0</v>
      </c>
      <c r="AH276" s="802">
        <f>AG276-AF276</f>
        <v>0</v>
      </c>
      <c r="AI276" s="7202">
        <f>IF(AI274=0,0,AI268*(1+Сценарии!AI$26/100))</f>
        <v>0</v>
      </c>
      <c r="AJ276" s="1355">
        <f>IF(AJ274=0,0,AJ268*(1+Сценарии!AJ$26/100))</f>
        <v>0</v>
      </c>
      <c r="AK276" s="1355">
        <f>IF(AK274=0,0,AK268*(1+Сценарии!AK$26/100))</f>
        <v>0</v>
      </c>
      <c r="AL276" s="817"/>
      <c r="AM276" s="803"/>
      <c r="AN276" s="803"/>
      <c r="AO276" s="803"/>
      <c r="AP276" s="1741"/>
      <c r="AQ276" s="1741"/>
      <c r="AR276" s="1062" t="s">
        <v>2614</v>
      </c>
      <c r="AS276" s="1062"/>
      <c r="AT276" s="1062"/>
      <c r="AU276" s="1059"/>
      <c r="AV276" s="1059"/>
    </row>
    <row s="1834" customFormat="1" customHeight="1" ht="14.25">
      <c r="A277" s="1741"/>
      <c r="B277" s="1741"/>
      <c r="C277" s="1741"/>
      <c r="D277" s="1741"/>
      <c r="E277" s="695">
        <v>15</v>
      </c>
      <c r="F277" s="50" cm="1" t="str">
        <f t="array" ref="F277:F277">OFFSET(E277,-1,1)</f>
        <v>2</v>
      </c>
      <c r="G277" s="578" t="s">
        <v>2400</v>
      </c>
      <c r="H277" s="1741"/>
      <c r="I277" s="587" t="s">
        <v>2615</v>
      </c>
      <c r="J277" s="587"/>
      <c r="K277" s="587"/>
      <c r="L277" s="587"/>
      <c r="M277" s="587"/>
      <c r="N277" s="587"/>
      <c r="O277" s="587"/>
      <c r="P277" s="587"/>
      <c r="Q277" s="587"/>
      <c r="R277" s="587"/>
      <c r="S277" s="587"/>
      <c r="T277" s="465" cm="1" t="str">
        <f t="array" ref="T277:T277">T276</f>
        <v>true</v>
      </c>
      <c r="U277" s="1741"/>
      <c r="V277" s="1741"/>
      <c r="W277" s="1741"/>
      <c r="X277" s="1641"/>
      <c r="Y277" s="1741"/>
      <c r="Z277" s="1642"/>
      <c r="AA277" s="1741"/>
      <c r="AB277" s="807" t="s">
        <v>2616</v>
      </c>
      <c r="AC277" s="1111" t="s">
        <v>2587</v>
      </c>
      <c r="AD277" s="814" t="s">
        <v>1247</v>
      </c>
      <c r="AE277" s="825">
        <f>AE274-AE275</f>
        <v>0</v>
      </c>
      <c r="AF277" s="825">
        <f>AF274-AF275</f>
        <v>0</v>
      </c>
      <c r="AG277" s="825">
        <f>AG274-AG275</f>
        <v>0</v>
      </c>
      <c r="AH277" s="825">
        <f>AG277-AF277</f>
        <v>0</v>
      </c>
      <c r="AI277" s="825">
        <f>AI274-AI275</f>
        <v>0</v>
      </c>
      <c r="AJ277" s="825">
        <f>AJ274-AJ275</f>
        <v>170.6966025</v>
      </c>
      <c r="AK277" s="825">
        <f>AK274-AK275</f>
        <v>170.6966025</v>
      </c>
      <c r="AL277" s="817"/>
      <c r="AM277" s="803"/>
      <c r="AN277" s="803"/>
      <c r="AO277" s="803"/>
      <c r="AP277" s="1741"/>
      <c r="AQ277" s="1741"/>
      <c r="AR277" s="1062" t="s">
        <v>2617</v>
      </c>
      <c r="AS277" s="1062"/>
      <c r="AT277" s="1062"/>
      <c r="AU277" s="1059"/>
      <c r="AV277" s="1059"/>
    </row>
    <row s="1834" customFormat="1" customHeight="1" ht="14.25">
      <c r="A278" s="1741"/>
      <c r="B278" s="1741"/>
      <c r="C278" s="1741"/>
      <c r="D278" s="1741"/>
      <c r="E278" s="695">
        <v>15</v>
      </c>
      <c r="F278" s="50" cm="1" t="str">
        <f t="array" ref="F278:F278">OFFSET(E278,-1,1)</f>
        <v>2</v>
      </c>
      <c r="G278" s="578" t="s">
        <v>2353</v>
      </c>
      <c r="H278" s="1741"/>
      <c r="I278" s="587" t="s">
        <v>2618</v>
      </c>
      <c r="J278" s="587"/>
      <c r="K278" s="587"/>
      <c r="L278" s="587"/>
      <c r="M278" s="587"/>
      <c r="N278" s="587"/>
      <c r="O278" s="587"/>
      <c r="P278" s="587"/>
      <c r="Q278" s="587"/>
      <c r="R278" s="587"/>
      <c r="S278" s="587"/>
      <c r="T278" s="465" cm="1" t="str">
        <f t="array" ref="T278:T278">T277</f>
        <v>true</v>
      </c>
      <c r="U278" s="1741"/>
      <c r="V278" s="1741"/>
      <c r="W278" s="1741"/>
      <c r="X278" s="1641"/>
      <c r="Y278" s="1741"/>
      <c r="Z278" s="1642"/>
      <c r="AA278" s="1741"/>
      <c r="AB278" s="807" t="s">
        <v>2619</v>
      </c>
      <c r="AC278" s="1111" t="s">
        <v>2620</v>
      </c>
      <c r="AD278" s="814" t="s">
        <v>2337</v>
      </c>
      <c r="AE278" s="7168">
        <f>IF(AE274=0,0,AE270*(1+Сценарии!AE$26/100))</f>
        <v>0</v>
      </c>
      <c r="AF278" s="7168">
        <f>IF(AF274=0,0,AF270*(1+Сценарии!AF$26/100))</f>
        <v>0</v>
      </c>
      <c r="AG278" s="7168">
        <f>IF(AG274=0,0,AG270*(1+Сценарии!AG$26/100))</f>
        <v>0</v>
      </c>
      <c r="AH278" s="802">
        <f>AG278-AF278</f>
        <v>0</v>
      </c>
      <c r="AI278" s="7168">
        <f>IF(AI274=0,0,AI270*(1+Сценарии!AI$26/100))</f>
        <v>0</v>
      </c>
      <c r="AJ278" s="809">
        <f>IF(AJ274=0,0,AJ270*(1+Сценарии!AJ$26/100))</f>
        <v>447.923128572643</v>
      </c>
      <c r="AK278" s="809">
        <f>IF(AK274=0,0,AK270*(1+Сценарии!AK$26/100))</f>
        <v>447.923118046037</v>
      </c>
      <c r="AL278" s="817"/>
      <c r="AM278" s="803"/>
      <c r="AN278" s="803"/>
      <c r="AO278" s="803"/>
      <c r="AP278" s="1741"/>
      <c r="AQ278" s="1741"/>
      <c r="AR278" s="1062" t="s">
        <v>2621</v>
      </c>
      <c r="AS278" s="1062"/>
      <c r="AT278" s="1062"/>
      <c r="AU278" s="1059"/>
      <c r="AV278" s="1059"/>
    </row>
    <row s="1834" customFormat="1" customHeight="1" ht="14.25">
      <c r="A279" s="1741"/>
      <c r="B279" s="1741"/>
      <c r="C279" s="1741"/>
      <c r="D279" s="1741"/>
      <c r="E279" s="695">
        <v>15</v>
      </c>
      <c r="F279" s="50" cm="1" t="str">
        <f t="array" ref="F279:F279">OFFSET(E279,-1,1)</f>
        <v>2</v>
      </c>
      <c r="G279" s="578"/>
      <c r="H279" s="1741"/>
      <c r="I279" s="587"/>
      <c r="J279" s="587"/>
      <c r="K279" s="587"/>
      <c r="L279" s="587"/>
      <c r="M279" s="587"/>
      <c r="N279" s="587"/>
      <c r="O279" s="587"/>
      <c r="P279" s="587"/>
      <c r="Q279" s="587"/>
      <c r="R279" s="587"/>
      <c r="S279" s="587"/>
      <c r="T279" s="465" cm="1" t="str">
        <f t="array" ref="T279:T279">T278</f>
        <v>true</v>
      </c>
      <c r="U279" s="1741"/>
      <c r="V279" s="1741"/>
      <c r="W279" s="1741"/>
      <c r="X279" s="1641"/>
      <c r="Y279" s="1741"/>
      <c r="Z279" s="1642"/>
      <c r="AA279" s="1741"/>
      <c r="AB279" s="218" t="s">
        <v>517</v>
      </c>
      <c r="AC279" s="212" t="s">
        <v>2622</v>
      </c>
      <c r="AD279" s="211" t="s">
        <v>1514</v>
      </c>
      <c r="AE279" s="7168"/>
      <c r="AF279" s="7168"/>
      <c r="AG279" s="7168"/>
      <c r="AH279" s="802">
        <f>AG279-AF279</f>
        <v>0</v>
      </c>
      <c r="AI279" s="7168"/>
      <c r="AJ279" s="809"/>
      <c r="AK279" s="809"/>
      <c r="AL279" s="817"/>
      <c r="AM279" s="803"/>
      <c r="AN279" s="803"/>
      <c r="AO279" s="803"/>
      <c r="AP279" s="1741"/>
      <c r="AQ279" s="1741"/>
      <c r="AR279" s="1062" t="s">
        <v>2623</v>
      </c>
      <c r="AS279" s="1062"/>
      <c r="AT279" s="1062"/>
      <c r="AU279" s="1059"/>
      <c r="AV279" s="1059"/>
    </row>
    <row s="1834" customFormat="1" customHeight="1" ht="21.75">
      <c r="A280" s="1741"/>
      <c r="B280" s="1741"/>
      <c r="C280" s="1741"/>
      <c r="D280" s="1741"/>
      <c r="E280" s="695">
        <v>22.5</v>
      </c>
      <c r="F280" s="50" cm="1" t="str">
        <f t="array" ref="F280:F280">OFFSET(E280,-1,1)</f>
        <v>2</v>
      </c>
      <c r="G280" s="578"/>
      <c r="H280" s="1741"/>
      <c r="I280" s="587"/>
      <c r="J280" s="587"/>
      <c r="K280" s="587"/>
      <c r="L280" s="587"/>
      <c r="M280" s="587"/>
      <c r="N280" s="587"/>
      <c r="O280" s="587"/>
      <c r="P280" s="587"/>
      <c r="Q280" s="587"/>
      <c r="R280" s="587"/>
      <c r="S280" s="587"/>
      <c r="T280" s="465" cm="1" t="str">
        <f t="array" ref="T280:T280">T279</f>
        <v>true</v>
      </c>
      <c r="U280" s="1741"/>
      <c r="V280" s="1741"/>
      <c r="W280" s="1741"/>
      <c r="X280" s="1641"/>
      <c r="Y280" s="1741"/>
      <c r="Z280" s="1642"/>
      <c r="AA280" s="1741"/>
      <c r="AB280" s="299" t="s">
        <v>2624</v>
      </c>
      <c r="AC280" s="762" t="s">
        <v>2625</v>
      </c>
      <c r="AD280" s="300" t="s">
        <v>1514</v>
      </c>
      <c r="AE280" s="7168"/>
      <c r="AF280" s="7168"/>
      <c r="AG280" s="7168"/>
      <c r="AH280" s="802">
        <f>AG280-AF280</f>
        <v>0</v>
      </c>
      <c r="AI280" s="7168"/>
      <c r="AJ280" s="809"/>
      <c r="AK280" s="809"/>
      <c r="AL280" s="817"/>
      <c r="AM280" s="803"/>
      <c r="AN280" s="803"/>
      <c r="AO280" s="803"/>
      <c r="AP280" s="1741"/>
      <c r="AQ280" s="1741"/>
      <c r="AR280" s="1062" t="s">
        <v>2626</v>
      </c>
      <c r="AS280" s="1062"/>
      <c r="AT280" s="1062"/>
      <c r="AU280" s="1059"/>
      <c r="AV280" s="1059"/>
    </row>
    <row s="1834" customFormat="1" customHeight="1" ht="69.75">
      <c r="A281" s="1741"/>
      <c r="B281" s="1741"/>
      <c r="C281" s="1741"/>
      <c r="D281" s="1741"/>
      <c r="E281" s="695">
        <v>72</v>
      </c>
      <c r="F281" s="50" cm="1" t="str">
        <f t="array" ref="F281:F281">OFFSET(E281,-1,1)</f>
        <v>2</v>
      </c>
      <c r="G281" s="578"/>
      <c r="H281" s="1741"/>
      <c r="I281" s="587"/>
      <c r="J281" s="587"/>
      <c r="K281" s="587"/>
      <c r="L281" s="587"/>
      <c r="M281" s="587"/>
      <c r="N281" s="587"/>
      <c r="O281" s="587"/>
      <c r="P281" s="587"/>
      <c r="Q281" s="587"/>
      <c r="R281" s="587"/>
      <c r="S281" s="587"/>
      <c r="T281" s="465" cm="1" t="str">
        <f t="array" ref="T281:T281">T280</f>
        <v>true</v>
      </c>
      <c r="U281" s="1741"/>
      <c r="V281" s="1741"/>
      <c r="W281" s="1741"/>
      <c r="X281" s="1641"/>
      <c r="Y281" s="1741"/>
      <c r="Z281" s="1642"/>
      <c r="AA281" s="1741"/>
      <c r="AB281" s="299" t="s">
        <v>2627</v>
      </c>
      <c r="AC281" s="762" t="s">
        <v>2628</v>
      </c>
      <c r="AD281" s="300" t="s">
        <v>1514</v>
      </c>
      <c r="AE281" s="7168"/>
      <c r="AF281" s="7168"/>
      <c r="AG281" s="7168"/>
      <c r="AH281" s="802">
        <f>AG281-AF281</f>
        <v>0</v>
      </c>
      <c r="AI281" s="7168"/>
      <c r="AJ281" s="809"/>
      <c r="AK281" s="809"/>
      <c r="AL281" s="817"/>
      <c r="AM281" s="803"/>
      <c r="AN281" s="803"/>
      <c r="AO281" s="803"/>
      <c r="AP281" s="1741"/>
      <c r="AQ281" s="1741"/>
      <c r="AR281" s="1062" t="s">
        <v>2629</v>
      </c>
      <c r="AS281" s="1062"/>
      <c r="AT281" s="1062"/>
      <c r="AU281" s="1059"/>
      <c r="AV281" s="1059"/>
    </row>
    <row s="1834" customFormat="1" customHeight="1" ht="14.25">
      <c r="A282" s="1741"/>
      <c r="B282" s="1741"/>
      <c r="C282" s="1741"/>
      <c r="D282" s="1741"/>
      <c r="E282" s="695">
        <v>15</v>
      </c>
      <c r="F282" s="579" cm="1" t="str">
        <f t="array" ref="F282:F282">X282</f>
        <v>3</v>
      </c>
      <c r="G282" s="696" cm="1" t="str">
        <f t="array" ref="G282:G282">INDEX('Общие сведения'!$AK$179:$AK$250,MATCH($X282,'Общие сведения'!$Z$179:$Z$250,0))</f>
        <v>одноставочный</v>
      </c>
      <c r="H282" s="1741"/>
      <c r="I282" s="1741"/>
      <c r="J282" s="1741"/>
      <c r="K282" s="1741"/>
      <c r="L282" s="1741"/>
      <c r="M282" s="1741"/>
      <c r="N282" s="1741"/>
      <c r="O282" s="1741"/>
      <c r="P282" s="1741"/>
      <c r="Q282" s="1741"/>
      <c r="R282" s="1741"/>
      <c r="S282" s="1741"/>
      <c r="T282" s="465">
        <f>X282&gt;0</f>
        <v>1</v>
      </c>
      <c r="U282" s="1741"/>
      <c r="V282" s="694" cm="1" t="str">
        <f t="array" ref="V282:V282">ТМ!$AD$218</f>
        <v>Тариф 3 (Водоотведение) - тариф на водоотведение (Доп. признак не требуется)</v>
      </c>
      <c r="W282" s="1741"/>
      <c r="X282" s="1641" t="s">
        <v>289</v>
      </c>
      <c r="Y282" s="1741"/>
      <c r="Z282" s="1642"/>
      <c r="AA282" s="1741"/>
      <c r="AB282" s="1227" cm="1" t="str">
        <f t="array" ref="AB282:AB282">ТМ!$AD$218</f>
        <v>Тариф 3 (Водоотведение) - тариф на водоотведение (Доп. признак не требуется)</v>
      </c>
      <c r="AC282" s="586"/>
      <c r="AD282" s="586"/>
      <c r="AE282" s="586"/>
      <c r="AF282" s="586"/>
      <c r="AG282" s="586"/>
      <c r="AH282" s="586"/>
      <c r="AI282" s="586"/>
      <c r="AJ282" s="586"/>
      <c r="AK282" s="586"/>
      <c r="AL282" s="586"/>
      <c r="AM282" s="586"/>
      <c r="AN282" s="586"/>
      <c r="AO282" s="586"/>
      <c r="AP282" s="1741"/>
      <c r="AQ282" s="1741"/>
      <c r="AR282" s="1062"/>
      <c r="AS282" s="1062"/>
      <c r="AT282" s="1062"/>
      <c r="AU282" s="1059"/>
      <c r="AV282" s="1059"/>
    </row>
    <row s="1834" customFormat="1" customHeight="1" ht="14.25">
      <c r="A283" s="1741"/>
      <c r="B283" s="1741"/>
      <c r="C283" s="1741"/>
      <c r="D283" s="1741"/>
      <c r="E283" s="695">
        <v>15</v>
      </c>
      <c r="F283" s="50" cm="1" t="str">
        <f t="array" ref="F283:F283">OFFSET(E283,-1,1)</f>
        <v>3</v>
      </c>
      <c r="G283" s="1741"/>
      <c r="H283" s="1741"/>
      <c r="I283" s="587" t="s">
        <v>332</v>
      </c>
      <c r="J283" s="587"/>
      <c r="K283" s="587"/>
      <c r="L283" s="587"/>
      <c r="M283" s="587"/>
      <c r="N283" s="587"/>
      <c r="O283" s="587"/>
      <c r="P283" s="587"/>
      <c r="Q283" s="587"/>
      <c r="R283" s="587"/>
      <c r="S283" s="587"/>
      <c r="T283" s="465" cm="1" t="str">
        <f t="array" ref="T283:T283">T282</f>
        <v>true</v>
      </c>
      <c r="U283" s="1741"/>
      <c r="V283" s="1741"/>
      <c r="W283" s="1741"/>
      <c r="X283" s="1641"/>
      <c r="Y283" s="1741"/>
      <c r="Z283" s="1642"/>
      <c r="AA283" s="1741"/>
      <c r="AB283" s="799" t="s">
        <v>276</v>
      </c>
      <c r="AC283" s="800" t="s">
        <v>2434</v>
      </c>
      <c r="AD283" s="759" t="s">
        <v>1514</v>
      </c>
      <c r="AE283" s="801">
        <f>AE284+AE288+AE298+AE299+AE302+AE303+AE304</f>
        <v>0</v>
      </c>
      <c r="AF283" s="801">
        <f>AF284+AF288+AF298+AF299+AF302+AF303+AF304</f>
        <v>0</v>
      </c>
      <c r="AG283" s="801">
        <f>AG284+AG288+AG298+AG299+AG302+AG303+AG304</f>
        <v>0</v>
      </c>
      <c r="AH283" s="801">
        <f>AG283-AF283</f>
        <v>0</v>
      </c>
      <c r="AI283" s="801">
        <f>AI284+AI288+AI298+AI299+AI302+AI303+AI304</f>
        <v>0</v>
      </c>
      <c r="AJ283" s="801">
        <f>AJ284+AJ288+AJ298+AJ299+AJ302+AJ303+AJ304</f>
        <v>109784.790888501</v>
      </c>
      <c r="AK283" s="801">
        <f>AK284+AK288+AK298+AK299+AK302+AK303+AK304</f>
        <v>109784.790888501</v>
      </c>
      <c r="AL283" s="802">
        <f>IF(AI283=0,0,(AK283-AI283)/AI283*100)</f>
        <v>0</v>
      </c>
      <c r="AM283" s="803"/>
      <c r="AN283" s="910"/>
      <c r="AO283" s="803"/>
      <c r="AP283" s="1741"/>
      <c r="AQ283" s="1741"/>
      <c r="AR283" s="1062" t="s">
        <v>1230</v>
      </c>
      <c r="AS283" s="1062"/>
      <c r="AT283" s="1062"/>
      <c r="AU283" s="1059"/>
      <c r="AV283" s="1059"/>
    </row>
    <row s="7279" customFormat="1" customHeight="1" ht="21.75">
      <c r="A284" s="588"/>
      <c r="B284" s="588"/>
      <c r="C284" s="588"/>
      <c r="D284" s="588"/>
      <c r="E284" s="697">
        <v>22.5</v>
      </c>
      <c r="F284" s="50" cm="1" t="str">
        <f t="array" ref="F284:F284">OFFSET(E284,-1,1)</f>
        <v>3</v>
      </c>
      <c r="G284" s="588"/>
      <c r="H284" s="588"/>
      <c r="I284" s="698" t="s">
        <v>1175</v>
      </c>
      <c r="J284" s="698"/>
      <c r="K284" s="698"/>
      <c r="L284" s="698"/>
      <c r="M284" s="698"/>
      <c r="N284" s="698"/>
      <c r="O284" s="698"/>
      <c r="P284" s="698"/>
      <c r="Q284" s="698"/>
      <c r="R284" s="698"/>
      <c r="S284" s="698"/>
      <c r="T284" s="465" cm="1" t="str">
        <f t="array" ref="T284:T284">T283</f>
        <v>true</v>
      </c>
      <c r="U284" s="588"/>
      <c r="V284" s="588"/>
      <c r="W284" s="588"/>
      <c r="X284" s="1641"/>
      <c r="Y284" s="588"/>
      <c r="Z284" s="1642"/>
      <c r="AA284" s="588"/>
      <c r="AB284" s="804" t="s">
        <v>1628</v>
      </c>
      <c r="AC284" s="805" t="s">
        <v>2435</v>
      </c>
      <c r="AD284" s="590" t="s">
        <v>1514</v>
      </c>
      <c r="AE284" s="801">
        <f>SUM(AE285:AE287)</f>
        <v>0</v>
      </c>
      <c r="AF284" s="801">
        <f>SUM(AF285:AF287)</f>
        <v>0</v>
      </c>
      <c r="AG284" s="801">
        <f>SUM(AG285:AG287)</f>
        <v>0</v>
      </c>
      <c r="AH284" s="801">
        <f>AG284-AF284</f>
        <v>0</v>
      </c>
      <c r="AI284" s="801">
        <f>SUM(AI285:AI287)</f>
        <v>0</v>
      </c>
      <c r="AJ284" s="801">
        <f>SUM(AJ285:AJ287)</f>
        <v>2974.3866092</v>
      </c>
      <c r="AK284" s="801">
        <f>SUM(AK285:AK287)</f>
        <v>2974.3866092</v>
      </c>
      <c r="AL284" s="801">
        <f>IF(AI284=0,0,(AK284-AI284)/AI284*100)</f>
        <v>0</v>
      </c>
      <c r="AM284" s="806"/>
      <c r="AN284" s="806"/>
      <c r="AO284" s="806"/>
      <c r="AP284" s="588"/>
      <c r="AQ284" s="588"/>
      <c r="AR284" s="1063" t="s">
        <v>2436</v>
      </c>
      <c r="AS284" s="1063"/>
      <c r="AT284" s="1063"/>
      <c r="AU284" s="697"/>
      <c r="AV284" s="697"/>
    </row>
    <row s="1834" customFormat="1" customHeight="1" ht="14.25">
      <c r="A285" s="1741"/>
      <c r="B285" s="1741"/>
      <c r="C285" s="1741"/>
      <c r="D285" s="1741"/>
      <c r="E285" s="695">
        <v>15</v>
      </c>
      <c r="F285" s="50" cm="1" t="str">
        <f t="array" ref="F285:F285">OFFSET(E285,-1,1)</f>
        <v>3</v>
      </c>
      <c r="G285" s="1741"/>
      <c r="H285" s="1741"/>
      <c r="I285" s="587" t="s">
        <v>1735</v>
      </c>
      <c r="J285" s="587"/>
      <c r="K285" s="587"/>
      <c r="L285" s="587"/>
      <c r="M285" s="587"/>
      <c r="N285" s="587"/>
      <c r="O285" s="587"/>
      <c r="P285" s="587"/>
      <c r="Q285" s="587"/>
      <c r="R285" s="587"/>
      <c r="S285" s="587"/>
      <c r="T285" s="465" cm="1" t="str">
        <f t="array" ref="T285:T285">T284</f>
        <v>true</v>
      </c>
      <c r="U285" s="1741"/>
      <c r="V285" s="1741"/>
      <c r="W285" s="1741"/>
      <c r="X285" s="1641"/>
      <c r="Y285" s="1741"/>
      <c r="Z285" s="1642"/>
      <c r="AA285" s="1741"/>
      <c r="AB285" s="807" t="s">
        <v>1736</v>
      </c>
      <c r="AC285" s="808" t="s">
        <v>2437</v>
      </c>
      <c r="AD285" s="759" t="s">
        <v>1514</v>
      </c>
      <c r="AE285" s="802">
        <f>_xlfn.SUMIFS('Сырье и материалы'!AE$25:AE$162,'Сырье и материалы'!$F$25:$F$162,$F285,'Сырье и материалы'!$I$25:$I$162,"Реагенты")</f>
        <v>0</v>
      </c>
      <c r="AF285" s="802">
        <f>_xlfn.SUMIFS('Сырье и материалы'!AF$25:AF$162,'Сырье и материалы'!$F$25:$F$162,$F285,'Сырье и материалы'!$I$25:$I$162,"Реагенты")</f>
        <v>0</v>
      </c>
      <c r="AG285" s="802">
        <f>_xlfn.SUMIFS('Сырье и материалы'!AG$25:AG$162,'Сырье и материалы'!$F$25:$F$162,$F285,'Сырье и материалы'!$I$25:$I$162,"Реагенты")</f>
        <v>0</v>
      </c>
      <c r="AH285" s="802">
        <f>AG285-AF285</f>
        <v>0</v>
      </c>
      <c r="AI285" s="802">
        <f>_xlfn.SUMIFS('Сырье и материалы'!AH$25:AH$162,'Сырье и материалы'!$F$25:$F$162,$F285,'Сырье и материалы'!$I$25:$I$162,"Реагенты")</f>
        <v>0</v>
      </c>
      <c r="AJ285" s="802">
        <f>_xlfn.SUMIFS('Сырье и материалы'!AI$25:AI$162,'Сырье и материалы'!$F$25:$F$162,$F285,'Сырье и материалы'!$I$25:$I$162,"Реагенты")</f>
        <v>1661.9050032</v>
      </c>
      <c r="AK285" s="802">
        <f>_xlfn.SUMIFS('Сырье и материалы'!AS$25:AS$162,'Сырье и материалы'!$F$25:$F$162,$F285,'Сырье и материалы'!$I$25:$I$162,"Реагенты")</f>
        <v>1661.9050032</v>
      </c>
      <c r="AL285" s="802">
        <f>IF(AI285=0,0,(AK285-AI285)/AI285*100)</f>
        <v>0</v>
      </c>
      <c r="AM285" s="803"/>
      <c r="AN285" s="910" t="str">
        <f>IF(_xlfn.IFERROR(INDEX('Сырье и материалы'!$K$26:$L$162,MATCH($F285&amp;"komm",'Сырье и материалы'!$K$26:$K$162,0),2),"")=0,"",_xlfn.IFERROR(INDEX('Сырье и материалы'!$K$26:$L$162,MATCH($F285&amp;"komm",'Сырье и материалы'!$K$26:$K$162,0),2),""))</f>
        <v/>
      </c>
      <c r="AO285" s="803"/>
      <c r="AP285" s="1741"/>
      <c r="AQ285" s="1741"/>
      <c r="AR285" s="1062" t="s">
        <v>2438</v>
      </c>
      <c r="AS285" s="1062"/>
      <c r="AT285" s="1062"/>
      <c r="AU285" s="1059"/>
      <c r="AV285" s="1059"/>
    </row>
    <row s="1834" customFormat="1" customHeight="1" ht="14.25">
      <c r="A286" s="1741"/>
      <c r="B286" s="1741"/>
      <c r="C286" s="1741"/>
      <c r="D286" s="1741"/>
      <c r="E286" s="695">
        <v>15</v>
      </c>
      <c r="F286" s="50" cm="1" t="str">
        <f t="array" ref="F286:F286">OFFSET(E286,-1,1)</f>
        <v>3</v>
      </c>
      <c r="G286" s="1741"/>
      <c r="H286" s="1741"/>
      <c r="I286" s="587" t="s">
        <v>1739</v>
      </c>
      <c r="J286" s="587"/>
      <c r="K286" s="587"/>
      <c r="L286" s="587"/>
      <c r="M286" s="587"/>
      <c r="N286" s="587"/>
      <c r="O286" s="587"/>
      <c r="P286" s="587"/>
      <c r="Q286" s="587"/>
      <c r="R286" s="587"/>
      <c r="S286" s="587"/>
      <c r="T286" s="465" cm="1" t="str">
        <f t="array" ref="T286:T286">T285</f>
        <v>true</v>
      </c>
      <c r="U286" s="1741"/>
      <c r="V286" s="1741"/>
      <c r="W286" s="1741"/>
      <c r="X286" s="1641"/>
      <c r="Y286" s="1741"/>
      <c r="Z286" s="1642"/>
      <c r="AA286" s="1741"/>
      <c r="AB286" s="807" t="s">
        <v>1740</v>
      </c>
      <c r="AC286" s="808" t="s">
        <v>2439</v>
      </c>
      <c r="AD286" s="759" t="s">
        <v>1514</v>
      </c>
      <c r="AE286" s="1742">
        <f>_xlfn.SUMIFS('Сырье и материалы'!AE$25:AE$162,'Сырье и материалы'!$F$25:$F$162,$F286,'Сырье и материалы'!$I$25:$I$162,"Горюче-смазочные материалы")</f>
        <v>0</v>
      </c>
      <c r="AF286" s="1742">
        <f>_xlfn.SUMIFS('Сырье и материалы'!AF$25:AF$162,'Сырье и материалы'!$F$25:$F$162,$F286,'Сырье и материалы'!$I$25:$I$162,"Горюче-смазочные материалы")</f>
        <v>0</v>
      </c>
      <c r="AG286" s="1742">
        <f>_xlfn.SUMIFS('Сырье и материалы'!AG$25:AG$162,'Сырье и материалы'!$F$25:$F$162,$F286,'Сырье и материалы'!$I$25:$I$162,"Горюче-смазочные материалы")</f>
        <v>0</v>
      </c>
      <c r="AH286" s="802">
        <f>AG286-AF286</f>
        <v>0</v>
      </c>
      <c r="AI286" s="1742">
        <f>_xlfn.SUMIFS('Сырье и материалы'!AH$25:AH$162,'Сырье и материалы'!$F$25:$F$162,$F286,'Сырье и материалы'!$I$25:$I$162,"Горюче-смазочные материалы")</f>
        <v>0</v>
      </c>
      <c r="AJ286" s="1742">
        <f>_xlfn.SUMIFS('Сырье и материалы'!AI$25:AI$162,'Сырье и материалы'!$F$25:$F$162,$F286,'Сырье и материалы'!$I$25:$I$162,"Горюче-смазочные материалы")</f>
        <v>242</v>
      </c>
      <c r="AK286" s="1742">
        <f>_xlfn.SUMIFS('Сырье и материалы'!AS$25:AS$162,'Сырье и материалы'!$F$25:$F$162,$F286,'Сырье и материалы'!$I$25:$I$162,"Горюче-смазочные материалы")</f>
        <v>242</v>
      </c>
      <c r="AL286" s="802">
        <f>IF(AI286=0,0,(AK286-AI286)/AI286*100)</f>
        <v>0</v>
      </c>
      <c r="AM286" s="803"/>
      <c r="AN286" s="803"/>
      <c r="AO286" s="803"/>
      <c r="AP286" s="1741"/>
      <c r="AQ286" s="1741"/>
      <c r="AR286" s="1062" t="s">
        <v>2440</v>
      </c>
      <c r="AS286" s="1062"/>
      <c r="AT286" s="1062"/>
      <c r="AU286" s="1059"/>
      <c r="AV286" s="1059"/>
    </row>
    <row s="1834" customFormat="1" customHeight="1" ht="14.25">
      <c r="A287" s="1741"/>
      <c r="B287" s="1741"/>
      <c r="C287" s="1741"/>
      <c r="D287" s="1741"/>
      <c r="E287" s="695">
        <v>15</v>
      </c>
      <c r="F287" s="50" cm="1" t="str">
        <f t="array" ref="F287:F287">OFFSET(E287,-1,1)</f>
        <v>3</v>
      </c>
      <c r="G287" s="1741"/>
      <c r="H287" s="1741"/>
      <c r="I287" s="587" t="s">
        <v>2043</v>
      </c>
      <c r="J287" s="587"/>
      <c r="K287" s="587"/>
      <c r="L287" s="587"/>
      <c r="M287" s="587"/>
      <c r="N287" s="587"/>
      <c r="O287" s="587"/>
      <c r="P287" s="587"/>
      <c r="Q287" s="587"/>
      <c r="R287" s="587"/>
      <c r="S287" s="587"/>
      <c r="T287" s="465" cm="1" t="str">
        <f t="array" ref="T287:T287">T286</f>
        <v>true</v>
      </c>
      <c r="U287" s="1741"/>
      <c r="V287" s="1741"/>
      <c r="W287" s="1741"/>
      <c r="X287" s="1641"/>
      <c r="Y287" s="1741"/>
      <c r="Z287" s="1642"/>
      <c r="AA287" s="1741"/>
      <c r="AB287" s="807" t="s">
        <v>2044</v>
      </c>
      <c r="AC287" s="808" t="s">
        <v>2441</v>
      </c>
      <c r="AD287" s="759" t="s">
        <v>1514</v>
      </c>
      <c r="AE287" s="1742">
        <f>_xlfn.SUMIFS('Сырье и материалы'!AE$25:AE$162,'Сырье и материалы'!$F$25:$F$162,$F287,'Сырье и материалы'!$I$25:$I$162,"Материалы")</f>
        <v>0</v>
      </c>
      <c r="AF287" s="1742">
        <f>_xlfn.SUMIFS('Сырье и материалы'!AF$25:AF$162,'Сырье и материалы'!$F$25:$F$162,$F287,'Сырье и материалы'!$I$25:$I$162,"Материалы")</f>
        <v>0</v>
      </c>
      <c r="AG287" s="1742">
        <f>_xlfn.SUMIFS('Сырье и материалы'!AG$25:AG$162,'Сырье и материалы'!$F$25:$F$162,$F287,'Сырье и материалы'!$I$25:$I$162,"Материалы")</f>
        <v>0</v>
      </c>
      <c r="AH287" s="802">
        <f>AG287-AF287</f>
        <v>0</v>
      </c>
      <c r="AI287" s="1742">
        <f>_xlfn.SUMIFS('Сырье и материалы'!AH$25:AH$162,'Сырье и материалы'!$F$25:$F$162,$F287,'Сырье и материалы'!$I$25:$I$162,"Материалы")</f>
        <v>0</v>
      </c>
      <c r="AJ287" s="1742">
        <f>_xlfn.SUMIFS('Сырье и материалы'!AI$25:AI$162,'Сырье и материалы'!$F$25:$F$162,$F287,'Сырье и материалы'!$I$25:$I$162,"Материалы")</f>
        <v>1070.481606</v>
      </c>
      <c r="AK287" s="1742">
        <f>_xlfn.SUMIFS('Сырье и материалы'!AS$25:AS$162,'Сырье и материалы'!$F$25:$F$162,$F287,'Сырье и материалы'!$I$25:$I$162,"Материалы")</f>
        <v>1070.481606</v>
      </c>
      <c r="AL287" s="802">
        <f>IF(AI287=0,0,(AK287-AI287)/AI287*100)</f>
        <v>0</v>
      </c>
      <c r="AM287" s="803"/>
      <c r="AN287" s="803"/>
      <c r="AO287" s="803"/>
      <c r="AP287" s="1741"/>
      <c r="AQ287" s="1741"/>
      <c r="AR287" s="1062" t="s">
        <v>2442</v>
      </c>
      <c r="AS287" s="1062"/>
      <c r="AT287" s="1062"/>
      <c r="AU287" s="1059"/>
      <c r="AV287" s="1059"/>
    </row>
    <row s="7280" customFormat="1" customHeight="1" ht="21.75">
      <c r="A288" s="588"/>
      <c r="B288" s="588"/>
      <c r="C288" s="588"/>
      <c r="D288" s="588"/>
      <c r="E288" s="697">
        <v>22.5</v>
      </c>
      <c r="F288" s="50" cm="1" t="str">
        <f t="array" ref="F288:F288">OFFSET(E288,-1,1)</f>
        <v>3</v>
      </c>
      <c r="G288" s="588"/>
      <c r="H288" s="588"/>
      <c r="I288" s="698" t="s">
        <v>1179</v>
      </c>
      <c r="J288" s="698"/>
      <c r="K288" s="698"/>
      <c r="L288" s="698"/>
      <c r="M288" s="698"/>
      <c r="N288" s="698"/>
      <c r="O288" s="698"/>
      <c r="P288" s="698"/>
      <c r="Q288" s="698"/>
      <c r="R288" s="698"/>
      <c r="S288" s="698"/>
      <c r="T288" s="465" cm="1" t="str">
        <f t="array" ref="T288:T288">T287</f>
        <v>true</v>
      </c>
      <c r="U288" s="588"/>
      <c r="V288" s="588"/>
      <c r="W288" s="588"/>
      <c r="X288" s="1641"/>
      <c r="Y288" s="588"/>
      <c r="Z288" s="1642"/>
      <c r="AA288" s="588"/>
      <c r="AB288" s="804" t="s">
        <v>1631</v>
      </c>
      <c r="AC288" s="805" t="s">
        <v>2443</v>
      </c>
      <c r="AD288" s="590" t="s">
        <v>1514</v>
      </c>
      <c r="AE288" s="801">
        <f>SUM(AE289:AE297)</f>
        <v>0</v>
      </c>
      <c r="AF288" s="801">
        <f>SUM(AF289:AF297)</f>
        <v>0</v>
      </c>
      <c r="AG288" s="801">
        <f>SUM(AG289:AG297)</f>
        <v>0</v>
      </c>
      <c r="AH288" s="801">
        <f>AG288-AF288</f>
        <v>0</v>
      </c>
      <c r="AI288" s="801">
        <f>SUM(AI289:AI297)</f>
        <v>0</v>
      </c>
      <c r="AJ288" s="801">
        <f>SUM(AJ289:AJ297)</f>
        <v>23644.503378224</v>
      </c>
      <c r="AK288" s="801">
        <f>SUM(AK289:AK297)</f>
        <v>23644.503378224</v>
      </c>
      <c r="AL288" s="801">
        <f>IF(AI288=0,0,(AK288-AI288)/AI288*100)</f>
        <v>0</v>
      </c>
      <c r="AM288" s="806"/>
      <c r="AN288" s="806"/>
      <c r="AO288" s="806"/>
      <c r="AP288" s="588"/>
      <c r="AQ288" s="588"/>
      <c r="AR288" s="1063" t="s">
        <v>2444</v>
      </c>
      <c r="AS288" s="1063"/>
      <c r="AT288" s="1063"/>
      <c r="AU288" s="697"/>
      <c r="AV288" s="697"/>
    </row>
    <row s="1834" customFormat="1" customHeight="1" ht="14.25">
      <c r="A289" s="1741"/>
      <c r="B289" s="1741"/>
      <c r="C289" s="1741"/>
      <c r="D289" s="1741"/>
      <c r="E289" s="695">
        <v>15</v>
      </c>
      <c r="F289" s="50" cm="1" t="str">
        <f t="array" ref="F289:F289">OFFSET(E289,-1,1)</f>
        <v>3</v>
      </c>
      <c r="G289" s="1741"/>
      <c r="H289" s="1741"/>
      <c r="I289" s="587" t="s">
        <v>2068</v>
      </c>
      <c r="J289" s="587"/>
      <c r="K289" s="587"/>
      <c r="L289" s="587"/>
      <c r="M289" s="587"/>
      <c r="N289" s="587"/>
      <c r="O289" s="587"/>
      <c r="P289" s="587"/>
      <c r="Q289" s="587"/>
      <c r="R289" s="587"/>
      <c r="S289" s="587"/>
      <c r="T289" s="465" cm="1" t="str">
        <f t="array" ref="T289:T289">T288</f>
        <v>true</v>
      </c>
      <c r="U289" s="1741"/>
      <c r="V289" s="1741"/>
      <c r="W289" s="1741"/>
      <c r="X289" s="1641"/>
      <c r="Y289" s="1741"/>
      <c r="Z289" s="1642"/>
      <c r="AA289" s="1741"/>
      <c r="AB289" s="807" t="s">
        <v>2069</v>
      </c>
      <c r="AC289" s="808" t="s">
        <v>2445</v>
      </c>
      <c r="AD289" s="759" t="s">
        <v>1514</v>
      </c>
      <c r="AE289" s="802">
        <f>_xlfn.SUMIFS(ЭЭ!AE$25:AE$189,ЭЭ!$F$25:$F$189,$F289,ЭЭ!$AC$25:$AC$189,"Всего по тарифу")</f>
        <v>0</v>
      </c>
      <c r="AF289" s="802">
        <f>_xlfn.SUMIFS(ЭЭ!AF$25:AF$189,ЭЭ!$F$25:$F$189,$F289,ЭЭ!$AC$25:$AC$189,"Всего по тарифу")</f>
        <v>0</v>
      </c>
      <c r="AG289" s="802">
        <f>_xlfn.SUMIFS(ЭЭ!AG$25:AG$189,ЭЭ!$F$25:$F$189,$F289,ЭЭ!$AC$25:$AC$189,"Всего по тарифу")</f>
        <v>0</v>
      </c>
      <c r="AH289" s="802">
        <f>AG289-AF289</f>
        <v>0</v>
      </c>
      <c r="AI289" s="802">
        <f>_xlfn.SUMIFS(ЭЭ!AH$25:AH$189,ЭЭ!$F$25:$F$189,$F289,ЭЭ!$AC$25:$AC$189,"Всего по тарифу")</f>
        <v>0</v>
      </c>
      <c r="AJ289" s="802">
        <f>_xlfn.SUMIFS(ЭЭ!AI$25:AI$189,ЭЭ!$F$25:$F$189,$F289,ЭЭ!$AC$25:$AC$189,"Всего по тарифу")</f>
        <v>23644.503378224</v>
      </c>
      <c r="AK289" s="802">
        <f>_xlfn.SUMIFS(ЭЭ!AS$25:AS$189,ЭЭ!$F$25:$F$189,$F289,ЭЭ!$AC$25:$AC$189,"Всего по тарифу")</f>
        <v>23644.503378224</v>
      </c>
      <c r="AL289" s="802">
        <f>IF(AI289=0,0,(AK289-AI289)/AI289*100)</f>
        <v>0</v>
      </c>
      <c r="AM289" s="803"/>
      <c r="AN289" s="910" t="str">
        <f>IF(_xlfn.IFERROR(INDEX(ЭЭ!$K$26:$L$189,MATCH($F289&amp;"komm",ЭЭ!$K$26:$K$189,0),2),"")=0,"",_xlfn.IFERROR(INDEX(ЭЭ!$K$26:$L$189,MATCH($F289&amp;"komm",ЭЭ!$K$26:$K$189,0),2),""))</f>
        <v>В соответствии с п. 20 Методических указаний расходы регулируемой организации на приобретаемые электрическую энергию (мощность), тепловую энергию (мощность), другие виды энергетических ресурсов, холодную воду, теплоноситель определяются как сумма произведений расчетных экономически (технологически, технически) обоснованных объемов приобретаемых электрической энергии (мощности), тепловой энергии (мощности), других видов энергетических ресурсов холодной воды на соответственно плановые (расчетные) цены (тарифы) на электрическую энергию (мощность), тепловую энергию (мощность), другие виды энергетических ресурсов, холодную воду. Объемы приобретаемой электрической энергии (мощности), тепловой энергии (мощности) определяются с учетом показателей надежности, качества, энергетической эффективности в сфере водоснабжения и (или) водоотведения, определенных в установленном порядке.</v>
      </c>
      <c r="AO289" s="803"/>
      <c r="AP289" s="1741"/>
      <c r="AQ289" s="1741"/>
      <c r="AR289" s="1062" t="s">
        <v>2446</v>
      </c>
      <c r="AS289" s="1062"/>
      <c r="AT289" s="1062"/>
      <c r="AU289" s="1059"/>
      <c r="AV289" s="1059"/>
    </row>
    <row s="1834" customFormat="1" customHeight="1" ht="14.25">
      <c r="A290" s="1741"/>
      <c r="B290" s="1741"/>
      <c r="C290" s="1741"/>
      <c r="D290" s="1741"/>
      <c r="E290" s="695">
        <v>15</v>
      </c>
      <c r="F290" s="50" cm="1" t="str">
        <f t="array" ref="F290:F290">OFFSET(E290,-1,1)</f>
        <v>3</v>
      </c>
      <c r="G290" s="577" t="s">
        <v>1819</v>
      </c>
      <c r="H290" s="1741"/>
      <c r="I290" s="587" t="s">
        <v>2071</v>
      </c>
      <c r="J290" s="587"/>
      <c r="K290" s="587"/>
      <c r="L290" s="587"/>
      <c r="M290" s="587"/>
      <c r="N290" s="587"/>
      <c r="O290" s="587"/>
      <c r="P290" s="587"/>
      <c r="Q290" s="587"/>
      <c r="R290" s="587"/>
      <c r="S290" s="587"/>
      <c r="T290" s="465" cm="1" t="str">
        <f t="array" ref="T290:T290">T289</f>
        <v>true</v>
      </c>
      <c r="U290" s="1741"/>
      <c r="V290" s="1741"/>
      <c r="W290" s="1741"/>
      <c r="X290" s="1641"/>
      <c r="Y290" s="1741"/>
      <c r="Z290" s="1642"/>
      <c r="AA290" s="1741"/>
      <c r="AB290" s="807" t="s">
        <v>2072</v>
      </c>
      <c r="AC290" s="808" t="s">
        <v>2447</v>
      </c>
      <c r="AD290" s="759" t="s">
        <v>1514</v>
      </c>
      <c r="AE290" s="802">
        <f>_xlfn.SUMIFS(Покупка!AE$25:AE$372,Покупка!$F$25:$F$372,$F290,Покупка!$AC$25:$AC$372,$G290)</f>
        <v>0</v>
      </c>
      <c r="AF290" s="802">
        <f>_xlfn.SUMIFS(Покупка!AF$25:AF$372,Покупка!$F$25:$F$372,$F290,Покупка!$AC$25:$AC$372,$G290)</f>
        <v>0</v>
      </c>
      <c r="AG290" s="802">
        <f>_xlfn.SUMIFS(Покупка!AG$25:AG$372,Покупка!$F$25:$F$372,$F290,Покупка!$AC$25:$AC$372,$G290)</f>
        <v>0</v>
      </c>
      <c r="AH290" s="802">
        <f>AG290-AF290</f>
        <v>0</v>
      </c>
      <c r="AI290" s="802">
        <f>_xlfn.SUMIFS(Покупка!AH$25:AH$372,Покупка!$F$25:$F$372,$F290,Покупка!$AC$25:$AC$372,$G290)</f>
        <v>0</v>
      </c>
      <c r="AJ290" s="802">
        <f>_xlfn.SUMIFS(Покупка!AI$25:AI$372,Покупка!$F$25:$F$372,$F290,Покупка!$AC$25:$AC$372,$G290)</f>
        <v>0</v>
      </c>
      <c r="AK290" s="802">
        <f>_xlfn.SUMIFS(Покупка!AS$25:AS$372,Покупка!$F$25:$F$372,$F290,Покупка!$AC$25:$AC$372,$G290)</f>
        <v>0</v>
      </c>
      <c r="AL290" s="802">
        <f>IF(AI290=0,0,(AK290-AI290)/AI290*100)</f>
        <v>0</v>
      </c>
      <c r="AM290" s="803"/>
      <c r="AN290" s="910" t="str">
        <f>IF(_xlfn.IFERROR(INDEX(Покупка!$K$26:$L$372,MATCH($F290&amp;"6komm",Покупка!$K$26:$K$372,0),2),"")=0,"",_xlfn.IFERROR(INDEX(Покупка!$K$26:$L$372,MATCH($F290&amp;"6komm",Покупка!$K$26:$K$372,0),2),""))</f>
        <v/>
      </c>
      <c r="AO290" s="803"/>
      <c r="AP290" s="1741"/>
      <c r="AQ290" s="1741"/>
      <c r="AR290" s="1062" t="s">
        <v>1820</v>
      </c>
      <c r="AS290" s="1062"/>
      <c r="AT290" s="1062"/>
      <c r="AU290" s="1059"/>
      <c r="AV290" s="1059"/>
    </row>
    <row s="1834" customFormat="1" customHeight="1" ht="14.25">
      <c r="A291" s="1741"/>
      <c r="B291" s="1741"/>
      <c r="C291" s="1741"/>
      <c r="D291" s="1741"/>
      <c r="E291" s="695">
        <v>15</v>
      </c>
      <c r="F291" s="50" cm="1" t="str">
        <f t="array" ref="F291:F291">OFFSET(E291,-1,1)</f>
        <v>3</v>
      </c>
      <c r="G291" s="577" t="s">
        <v>1841</v>
      </c>
      <c r="H291" s="1741"/>
      <c r="I291" s="587" t="s">
        <v>2075</v>
      </c>
      <c r="J291" s="587"/>
      <c r="K291" s="587"/>
      <c r="L291" s="587"/>
      <c r="M291" s="587"/>
      <c r="N291" s="587"/>
      <c r="O291" s="587"/>
      <c r="P291" s="587"/>
      <c r="Q291" s="587"/>
      <c r="R291" s="587"/>
      <c r="S291" s="587"/>
      <c r="T291" s="465" cm="1" t="str">
        <f t="array" ref="T291:T291">T290</f>
        <v>true</v>
      </c>
      <c r="U291" s="1741"/>
      <c r="V291" s="1741"/>
      <c r="W291" s="1741"/>
      <c r="X291" s="1641"/>
      <c r="Y291" s="1741"/>
      <c r="Z291" s="1642"/>
      <c r="AA291" s="1741"/>
      <c r="AB291" s="807" t="s">
        <v>2076</v>
      </c>
      <c r="AC291" s="808" t="s">
        <v>2448</v>
      </c>
      <c r="AD291" s="759" t="s">
        <v>1514</v>
      </c>
      <c r="AE291" s="802">
        <f>_xlfn.SUMIFS(Покупка!AE$25:AE$372,Покупка!$F$25:$F$372,$F291,Покупка!$AC$25:$AC$372,$G291)</f>
        <v>0</v>
      </c>
      <c r="AF291" s="802">
        <f>_xlfn.SUMIFS(Покупка!AF$25:AF$372,Покупка!$F$25:$F$372,$F291,Покупка!$AC$25:$AC$372,$G291)</f>
        <v>0</v>
      </c>
      <c r="AG291" s="802">
        <f>_xlfn.SUMIFS(Покупка!AG$25:AG$372,Покупка!$F$25:$F$372,$F291,Покупка!$AC$25:$AC$372,$G291)</f>
        <v>0</v>
      </c>
      <c r="AH291" s="802">
        <f>AG291-AF291</f>
        <v>0</v>
      </c>
      <c r="AI291" s="802">
        <f>_xlfn.SUMIFS(Покупка!AH$25:AH$372,Покупка!$F$25:$F$372,$F291,Покупка!$AC$25:$AC$372,$G291)</f>
        <v>0</v>
      </c>
      <c r="AJ291" s="802">
        <f>_xlfn.SUMIFS(Покупка!AI$25:AI$372,Покупка!$F$25:$F$372,$F291,Покупка!$AC$25:$AC$372,$G291)</f>
        <v>0</v>
      </c>
      <c r="AK291" s="802">
        <f>_xlfn.SUMIFS(Покупка!AS$25:AS$372,Покупка!$F$25:$F$372,$F291,Покупка!$AC$25:$AC$372,$G291)</f>
        <v>0</v>
      </c>
      <c r="AL291" s="802">
        <f>IF(AI291=0,0,(AK291-AI291)/AI291*100)</f>
        <v>0</v>
      </c>
      <c r="AM291" s="803"/>
      <c r="AN291" s="910" t="str">
        <f>IF(_xlfn.IFERROR(INDEX(Покупка!$K$26:$L$372,MATCH($F291&amp;"7komm",Покупка!$K$26:$K$372,0),2),"")=0,"",_xlfn.IFERROR(INDEX(Покупка!$K$26:$L$372,MATCH($F291&amp;"7komm",Покупка!$K$26:$K$372,0),2),""))</f>
        <v/>
      </c>
      <c r="AO291" s="803"/>
      <c r="AP291" s="1741"/>
      <c r="AQ291" s="1741"/>
      <c r="AR291" s="1062" t="s">
        <v>1842</v>
      </c>
      <c r="AS291" s="1062"/>
      <c r="AT291" s="1062"/>
      <c r="AU291" s="1059"/>
      <c r="AV291" s="1059"/>
    </row>
    <row s="1834" customFormat="1" customHeight="1" ht="14.25">
      <c r="A292" s="1741"/>
      <c r="B292" s="1741"/>
      <c r="C292" s="1741"/>
      <c r="D292" s="1741"/>
      <c r="E292" s="695">
        <v>15</v>
      </c>
      <c r="F292" s="50" cm="1" t="str">
        <f t="array" ref="F292:F292">OFFSET(E292,-1,1)</f>
        <v>3</v>
      </c>
      <c r="G292" s="752" t="s">
        <v>1853</v>
      </c>
      <c r="H292" s="1741"/>
      <c r="I292" s="587" t="s">
        <v>2235</v>
      </c>
      <c r="J292" s="587"/>
      <c r="K292" s="587"/>
      <c r="L292" s="587"/>
      <c r="M292" s="587"/>
      <c r="N292" s="587"/>
      <c r="O292" s="587"/>
      <c r="P292" s="587"/>
      <c r="Q292" s="587"/>
      <c r="R292" s="587"/>
      <c r="S292" s="587"/>
      <c r="T292" s="465" cm="1" t="str">
        <f t="array" ref="T292:T292">T291</f>
        <v>true</v>
      </c>
      <c r="U292" s="1741"/>
      <c r="V292" s="1741"/>
      <c r="W292" s="1741"/>
      <c r="X292" s="1641"/>
      <c r="Y292" s="1741"/>
      <c r="Z292" s="1642"/>
      <c r="AA292" s="1741"/>
      <c r="AB292" s="807" t="s">
        <v>2449</v>
      </c>
      <c r="AC292" s="808" t="s">
        <v>2450</v>
      </c>
      <c r="AD292" s="759" t="s">
        <v>1514</v>
      </c>
      <c r="AE292" s="802">
        <f>_xlfn.SUMIFS(Покупка!AE$25:AE$372,Покупка!$F$25:$F$372,$F292,Покупка!$AC$25:$AC$372,$G292)</f>
        <v>0</v>
      </c>
      <c r="AF292" s="802">
        <f>_xlfn.SUMIFS(Покупка!AF$25:AF$372,Покупка!$F$25:$F$372,$F292,Покупка!$AC$25:$AC$372,$G292)</f>
        <v>0</v>
      </c>
      <c r="AG292" s="802">
        <f>_xlfn.SUMIFS(Покупка!AG$25:AG$372,Покупка!$F$25:$F$372,$F292,Покупка!$AC$25:$AC$372,$G292)</f>
        <v>0</v>
      </c>
      <c r="AH292" s="802">
        <f>AG292-AF292</f>
        <v>0</v>
      </c>
      <c r="AI292" s="802">
        <f>_xlfn.SUMIFS(Покупка!AH$25:AH$372,Покупка!$F$25:$F$372,$F292,Покупка!$AC$25:$AC$372,$G292)</f>
        <v>0</v>
      </c>
      <c r="AJ292" s="802">
        <f>_xlfn.SUMIFS(Покупка!AI$25:AI$372,Покупка!$F$25:$F$372,$F292,Покупка!$AC$25:$AC$372,$G292)</f>
        <v>0</v>
      </c>
      <c r="AK292" s="802">
        <f>_xlfn.SUMIFS(Покупка!AS$25:AS$372,Покупка!$F$25:$F$372,$F292,Покупка!$AC$25:$AC$372,$G292)</f>
        <v>0</v>
      </c>
      <c r="AL292" s="802">
        <f>IF(AI292=0,0,(AK292-AI292)/AI292*100)</f>
        <v>0</v>
      </c>
      <c r="AM292" s="803"/>
      <c r="AN292" s="910" t="str">
        <f>IF(_xlfn.IFERROR(INDEX(Покупка!$K$26:$L$372,MATCH($F292&amp;"9komm",Покупка!$K$26:$K$372,0),2),"")=0,"",_xlfn.IFERROR(INDEX(Покупка!$K$26:$L$372,MATCH($F292&amp;"9komm",Покупка!$K$26:$K$372,0),2),""))</f>
        <v/>
      </c>
      <c r="AO292" s="803"/>
      <c r="AP292" s="1741"/>
      <c r="AQ292" s="1741"/>
      <c r="AR292" s="1062" t="s">
        <v>1854</v>
      </c>
      <c r="AS292" s="1062"/>
      <c r="AT292" s="1062"/>
      <c r="AU292" s="1059"/>
      <c r="AV292" s="1059"/>
    </row>
    <row s="1834" customFormat="1" customHeight="1" ht="14.25">
      <c r="A293" s="1741"/>
      <c r="B293" s="1741"/>
      <c r="C293" s="1741"/>
      <c r="D293" s="1741"/>
      <c r="E293" s="695">
        <v>15</v>
      </c>
      <c r="F293" s="50" cm="1" t="str">
        <f t="array" ref="F293:F293">OFFSET(E293,-1,1)</f>
        <v>3</v>
      </c>
      <c r="G293" s="577" t="s">
        <v>1780</v>
      </c>
      <c r="H293" s="1741"/>
      <c r="I293" s="587" t="s">
        <v>2239</v>
      </c>
      <c r="J293" s="587"/>
      <c r="K293" s="587"/>
      <c r="L293" s="587"/>
      <c r="M293" s="587"/>
      <c r="N293" s="587"/>
      <c r="O293" s="587"/>
      <c r="P293" s="587"/>
      <c r="Q293" s="587"/>
      <c r="R293" s="587"/>
      <c r="S293" s="587"/>
      <c r="T293" s="465" cm="1" t="str">
        <f t="array" ref="T293:T293">T292</f>
        <v>true</v>
      </c>
      <c r="U293" s="1741"/>
      <c r="V293" s="1741"/>
      <c r="W293" s="1741"/>
      <c r="X293" s="1641"/>
      <c r="Y293" s="1741"/>
      <c r="Z293" s="1642"/>
      <c r="AA293" s="1741"/>
      <c r="AB293" s="807" t="s">
        <v>2451</v>
      </c>
      <c r="AC293" s="808" t="s">
        <v>2452</v>
      </c>
      <c r="AD293" s="759" t="s">
        <v>1514</v>
      </c>
      <c r="AE293" s="802">
        <f>_xlfn.SUMIFS(Покупка!AE$25:AE$372,Покупка!$F$25:$F$372,$F293,Покупка!$AC$25:$AC$372,$G293)</f>
        <v>0</v>
      </c>
      <c r="AF293" s="802">
        <f>_xlfn.SUMIFS(Покупка!AF$25:AF$372,Покупка!$F$25:$F$372,$F293,Покупка!$AC$25:$AC$372,$G293)</f>
        <v>0</v>
      </c>
      <c r="AG293" s="802">
        <f>_xlfn.SUMIFS(Покупка!AG$25:AG$372,Покупка!$F$25:$F$372,$F293,Покупка!$AC$25:$AC$372,$G293)</f>
        <v>0</v>
      </c>
      <c r="AH293" s="802">
        <f>AG293-AF293</f>
        <v>0</v>
      </c>
      <c r="AI293" s="802">
        <f>_xlfn.SUMIFS(Покупка!AH$25:AH$372,Покупка!$F$25:$F$372,$F293,Покупка!$AC$25:$AC$372,$G293)</f>
        <v>0</v>
      </c>
      <c r="AJ293" s="802">
        <f>_xlfn.SUMIFS(Покупка!AI$25:AI$372,Покупка!$F$25:$F$372,$F293,Покупка!$AC$25:$AC$372,$G293)</f>
        <v>0</v>
      </c>
      <c r="AK293" s="802">
        <f>_xlfn.SUMIFS(Покупка!AS$25:AS$372,Покупка!$F$25:$F$372,$F293,Покупка!$AC$25:$AC$372,$G293)</f>
        <v>0</v>
      </c>
      <c r="AL293" s="802">
        <f>IF(AI293=0,0,(AK293-AI293)/AI293*100)</f>
        <v>0</v>
      </c>
      <c r="AM293" s="803"/>
      <c r="AN293" s="910" t="str">
        <f>IF(_xlfn.IFERROR(INDEX(Покупка!$K$26:$L$372,MATCH($F293&amp;"1komm",Покупка!$K$26:$K$372,0),2),"")=0,"",_xlfn.IFERROR(INDEX(Покупка!$K$26:$L$372,MATCH($F293&amp;"1komm",Покупка!$K$26:$K$372,0),2),""))</f>
        <v/>
      </c>
      <c r="AO293" s="803"/>
      <c r="AP293" s="1741"/>
      <c r="AQ293" s="1741"/>
      <c r="AR293" s="1062" t="s">
        <v>2453</v>
      </c>
      <c r="AS293" s="1062"/>
      <c r="AT293" s="1062"/>
      <c r="AU293" s="1059"/>
      <c r="AV293" s="1059"/>
    </row>
    <row s="1834" customFormat="1" customHeight="1" ht="14.25">
      <c r="A294" s="1741"/>
      <c r="B294" s="1741"/>
      <c r="C294" s="1741"/>
      <c r="D294" s="1741"/>
      <c r="E294" s="695">
        <v>15</v>
      </c>
      <c r="F294" s="50" cm="1" t="str">
        <f t="array" ref="F294:F294">OFFSET(E294,-1,1)</f>
        <v>3</v>
      </c>
      <c r="G294" s="577" t="s">
        <v>1793</v>
      </c>
      <c r="H294" s="1741"/>
      <c r="I294" s="587" t="s">
        <v>2244</v>
      </c>
      <c r="J294" s="587"/>
      <c r="K294" s="587"/>
      <c r="L294" s="587"/>
      <c r="M294" s="587"/>
      <c r="N294" s="587"/>
      <c r="O294" s="587"/>
      <c r="P294" s="587"/>
      <c r="Q294" s="587"/>
      <c r="R294" s="587"/>
      <c r="S294" s="587"/>
      <c r="T294" s="465" cm="1" t="str">
        <f t="array" ref="T294:T294">T293</f>
        <v>true</v>
      </c>
      <c r="U294" s="1741"/>
      <c r="V294" s="1741"/>
      <c r="W294" s="1741"/>
      <c r="X294" s="1641"/>
      <c r="Y294" s="1741"/>
      <c r="Z294" s="1642"/>
      <c r="AA294" s="1741"/>
      <c r="AB294" s="807" t="s">
        <v>2454</v>
      </c>
      <c r="AC294" s="808" t="s">
        <v>2455</v>
      </c>
      <c r="AD294" s="759" t="s">
        <v>1514</v>
      </c>
      <c r="AE294" s="802">
        <f>_xlfn.SUMIFS(Покупка!AE$25:AE$372,Покупка!$F$25:$F$372,$F294,Покупка!$AC$25:$AC$372,$G294)</f>
        <v>0</v>
      </c>
      <c r="AF294" s="802">
        <f>_xlfn.SUMIFS(Покупка!AF$25:AF$372,Покупка!$F$25:$F$372,$F294,Покупка!$AC$25:$AC$372,$G294)</f>
        <v>0</v>
      </c>
      <c r="AG294" s="802">
        <f>_xlfn.SUMIFS(Покупка!AG$25:AG$372,Покупка!$F$25:$F$372,$F294,Покупка!$AC$25:$AC$372,$G294)</f>
        <v>0</v>
      </c>
      <c r="AH294" s="802">
        <f>AG294-AF294</f>
        <v>0</v>
      </c>
      <c r="AI294" s="802">
        <f>_xlfn.SUMIFS(Покупка!AH$25:AH$372,Покупка!$F$25:$F$372,$F294,Покупка!$AC$25:$AC$372,$G294)</f>
        <v>0</v>
      </c>
      <c r="AJ294" s="802">
        <f>_xlfn.SUMIFS(Покупка!AI$25:AI$372,Покупка!$F$25:$F$372,$F294,Покупка!$AC$25:$AC$372,$G294)</f>
        <v>0</v>
      </c>
      <c r="AK294" s="802">
        <f>_xlfn.SUMIFS(Покупка!AS$25:AS$372,Покупка!$F$25:$F$372,$F294,Покупка!$AC$25:$AC$372,$G294)</f>
        <v>0</v>
      </c>
      <c r="AL294" s="802">
        <f>IF(AI294=0,0,(AK294-AI294)/AI294*100)</f>
        <v>0</v>
      </c>
      <c r="AM294" s="803"/>
      <c r="AN294" s="910" t="str">
        <f>IF(_xlfn.IFERROR(INDEX(Покупка!$K$26:$L$372,MATCH($F294&amp;"2komm",Покупка!$K$26:$K$372,0),2),"")=0,"",_xlfn.IFERROR(INDEX(Покупка!$K$26:$L$372,MATCH($F294&amp;"2komm",Покупка!$K$26:$K$372,0),2),""))</f>
        <v/>
      </c>
      <c r="AO294" s="803"/>
      <c r="AP294" s="1741"/>
      <c r="AQ294" s="1741"/>
      <c r="AR294" s="1062" t="s">
        <v>2456</v>
      </c>
      <c r="AS294" s="1062"/>
      <c r="AT294" s="1062"/>
      <c r="AU294" s="1059"/>
      <c r="AV294" s="1059"/>
    </row>
    <row s="1834" customFormat="1" customHeight="1" ht="14.25">
      <c r="A295" s="1741"/>
      <c r="B295" s="1741"/>
      <c r="C295" s="1741"/>
      <c r="D295" s="1741"/>
      <c r="E295" s="695">
        <v>15</v>
      </c>
      <c r="F295" s="50" cm="1" t="str">
        <f t="array" ref="F295:F295">OFFSET(E295,-1,1)</f>
        <v>3</v>
      </c>
      <c r="G295" s="577" t="s">
        <v>1799</v>
      </c>
      <c r="H295" s="1741"/>
      <c r="I295" s="587" t="s">
        <v>2253</v>
      </c>
      <c r="J295" s="587"/>
      <c r="K295" s="587"/>
      <c r="L295" s="587"/>
      <c r="M295" s="587"/>
      <c r="N295" s="587"/>
      <c r="O295" s="587"/>
      <c r="P295" s="587"/>
      <c r="Q295" s="587"/>
      <c r="R295" s="587"/>
      <c r="S295" s="587"/>
      <c r="T295" s="465" cm="1" t="str">
        <f t="array" ref="T295:T295">T294</f>
        <v>true</v>
      </c>
      <c r="U295" s="1741"/>
      <c r="V295" s="1741"/>
      <c r="W295" s="1741"/>
      <c r="X295" s="1641"/>
      <c r="Y295" s="1741"/>
      <c r="Z295" s="1642"/>
      <c r="AA295" s="1741"/>
      <c r="AB295" s="807" t="s">
        <v>2457</v>
      </c>
      <c r="AC295" s="808" t="s">
        <v>2458</v>
      </c>
      <c r="AD295" s="759" t="s">
        <v>1514</v>
      </c>
      <c r="AE295" s="802">
        <f>_xlfn.SUMIFS(Покупка!AE$25:AE$372,Покупка!$F$25:$F$372,$F295,Покупка!$AC$25:$AC$372,$G295)</f>
        <v>0</v>
      </c>
      <c r="AF295" s="802">
        <f>_xlfn.SUMIFS(Покупка!AF$25:AF$372,Покупка!$F$25:$F$372,$F295,Покупка!$AC$25:$AC$372,$G295)</f>
        <v>0</v>
      </c>
      <c r="AG295" s="802">
        <f>_xlfn.SUMIFS(Покупка!AG$25:AG$372,Покупка!$F$25:$F$372,$F295,Покупка!$AC$25:$AC$372,$G295)</f>
        <v>0</v>
      </c>
      <c r="AH295" s="802">
        <f>AG295-AF295</f>
        <v>0</v>
      </c>
      <c r="AI295" s="802">
        <f>_xlfn.SUMIFS(Покупка!AH$25:AH$372,Покупка!$F$25:$F$372,$F295,Покупка!$AC$25:$AC$372,$G295)</f>
        <v>0</v>
      </c>
      <c r="AJ295" s="802">
        <f>_xlfn.SUMIFS(Покупка!AI$25:AI$372,Покупка!$F$25:$F$372,$F295,Покупка!$AC$25:$AC$372,$G295)</f>
        <v>0</v>
      </c>
      <c r="AK295" s="802">
        <f>_xlfn.SUMIFS(Покупка!AS$25:AS$372,Покупка!$F$25:$F$372,$F295,Покупка!$AC$25:$AC$372,$G295)</f>
        <v>0</v>
      </c>
      <c r="AL295" s="802">
        <f>IF(AI295=0,0,(AK295-AI295)/AI295*100)</f>
        <v>0</v>
      </c>
      <c r="AM295" s="803"/>
      <c r="AN295" s="910" t="str">
        <f>IF(_xlfn.IFERROR(INDEX(Покупка!$K$26:$L$372,MATCH($F295&amp;"3komm",Покупка!$K$26:$K$372,0),2),"")=0,"",_xlfn.IFERROR(INDEX(Покупка!$K$26:$L$372,MATCH($F295&amp;"3komm",Покупка!$K$26:$K$372,0),2),""))</f>
        <v/>
      </c>
      <c r="AO295" s="803"/>
      <c r="AP295" s="1741"/>
      <c r="AQ295" s="1741"/>
      <c r="AR295" s="1062" t="s">
        <v>2459</v>
      </c>
      <c r="AS295" s="1062"/>
      <c r="AT295" s="1062"/>
      <c r="AU295" s="1059"/>
      <c r="AV295" s="1059"/>
    </row>
    <row s="1834" customFormat="1" customHeight="1" ht="14.25">
      <c r="A296" s="1741"/>
      <c r="B296" s="1741"/>
      <c r="C296" s="1741"/>
      <c r="D296" s="1741"/>
      <c r="E296" s="695">
        <v>15</v>
      </c>
      <c r="F296" s="50" cm="1" t="str">
        <f t="array" ref="F296:F296">OFFSET(E296,-1,1)</f>
        <v>3</v>
      </c>
      <c r="G296" s="577" t="s">
        <v>1805</v>
      </c>
      <c r="H296" s="1741"/>
      <c r="I296" s="587" t="s">
        <v>2258</v>
      </c>
      <c r="J296" s="587"/>
      <c r="K296" s="587"/>
      <c r="L296" s="587"/>
      <c r="M296" s="587"/>
      <c r="N296" s="587"/>
      <c r="O296" s="587"/>
      <c r="P296" s="587"/>
      <c r="Q296" s="587"/>
      <c r="R296" s="587"/>
      <c r="S296" s="587"/>
      <c r="T296" s="465" cm="1" t="str">
        <f t="array" ref="T296:T296">T295</f>
        <v>true</v>
      </c>
      <c r="U296" s="1741"/>
      <c r="V296" s="1741"/>
      <c r="W296" s="1741"/>
      <c r="X296" s="1641"/>
      <c r="Y296" s="1741"/>
      <c r="Z296" s="1642"/>
      <c r="AA296" s="1741"/>
      <c r="AB296" s="807" t="s">
        <v>2460</v>
      </c>
      <c r="AC296" s="808" t="s">
        <v>2461</v>
      </c>
      <c r="AD296" s="759" t="s">
        <v>1514</v>
      </c>
      <c r="AE296" s="802">
        <f>_xlfn.SUMIFS(Покупка!AE$25:AE$372,Покупка!$F$25:$F$372,$F296,Покупка!$AC$25:$AC$372,$G296)</f>
        <v>0</v>
      </c>
      <c r="AF296" s="802">
        <f>_xlfn.SUMIFS(Покупка!AF$25:AF$372,Покупка!$F$25:$F$372,$F296,Покупка!$AC$25:$AC$372,$G296)</f>
        <v>0</v>
      </c>
      <c r="AG296" s="802">
        <f>_xlfn.SUMIFS(Покупка!AG$25:AG$372,Покупка!$F$25:$F$372,$F296,Покупка!$AC$25:$AC$372,$G296)</f>
        <v>0</v>
      </c>
      <c r="AH296" s="802">
        <f>AG296-AF296</f>
        <v>0</v>
      </c>
      <c r="AI296" s="802">
        <f>_xlfn.SUMIFS(Покупка!AH$25:AH$372,Покупка!$F$25:$F$372,$F296,Покупка!$AC$25:$AC$372,$G296)</f>
        <v>0</v>
      </c>
      <c r="AJ296" s="802">
        <f>_xlfn.SUMIFS(Покупка!AI$25:AI$372,Покупка!$F$25:$F$372,$F296,Покупка!$AC$25:$AC$372,$G296)</f>
        <v>0</v>
      </c>
      <c r="AK296" s="802">
        <f>_xlfn.SUMIFS(Покупка!AS$25:AS$372,Покупка!$F$25:$F$372,$F296,Покупка!$AC$25:$AC$372,$G296)</f>
        <v>0</v>
      </c>
      <c r="AL296" s="802">
        <f>IF(AI296=0,0,(AK296-AI296)/AI296*100)</f>
        <v>0</v>
      </c>
      <c r="AM296" s="803"/>
      <c r="AN296" s="910" t="str">
        <f>IF(_xlfn.IFERROR(INDEX(Покупка!$K$26:$L$372,MATCH($F296&amp;"4komm",Покупка!$K$26:$K$372,0),2),"")=0,"",_xlfn.IFERROR(INDEX(Покупка!$K$26:$L$372,MATCH($F296&amp;"4komm",Покупка!$K$26:$K$372,0),2),""))</f>
        <v/>
      </c>
      <c r="AO296" s="803"/>
      <c r="AP296" s="1741"/>
      <c r="AQ296" s="1741"/>
      <c r="AR296" s="1062" t="s">
        <v>2462</v>
      </c>
      <c r="AS296" s="1062"/>
      <c r="AT296" s="1062"/>
      <c r="AU296" s="1059"/>
      <c r="AV296" s="1059"/>
    </row>
    <row s="1834" customFormat="1" customHeight="1" ht="14.25">
      <c r="A297" s="1741"/>
      <c r="B297" s="1741"/>
      <c r="C297" s="1741"/>
      <c r="D297" s="1741"/>
      <c r="E297" s="695">
        <v>15</v>
      </c>
      <c r="F297" s="50" cm="1" t="str">
        <f t="array" ref="F297:F297">OFFSET(E297,-1,1)</f>
        <v>3</v>
      </c>
      <c r="G297" s="577" t="s">
        <v>1812</v>
      </c>
      <c r="H297" s="1741"/>
      <c r="I297" s="587" t="s">
        <v>2268</v>
      </c>
      <c r="J297" s="587"/>
      <c r="K297" s="587"/>
      <c r="L297" s="587"/>
      <c r="M297" s="587"/>
      <c r="N297" s="587"/>
      <c r="O297" s="587"/>
      <c r="P297" s="587"/>
      <c r="Q297" s="587"/>
      <c r="R297" s="587"/>
      <c r="S297" s="587"/>
      <c r="T297" s="465" cm="1" t="str">
        <f t="array" ref="T297:T297">T296</f>
        <v>true</v>
      </c>
      <c r="U297" s="1741"/>
      <c r="V297" s="1741"/>
      <c r="W297" s="1741"/>
      <c r="X297" s="1641"/>
      <c r="Y297" s="1741"/>
      <c r="Z297" s="1642"/>
      <c r="AA297" s="1741"/>
      <c r="AB297" s="807" t="s">
        <v>2463</v>
      </c>
      <c r="AC297" s="808" t="s">
        <v>2464</v>
      </c>
      <c r="AD297" s="759" t="s">
        <v>1514</v>
      </c>
      <c r="AE297" s="802">
        <f>_xlfn.SUMIFS(Покупка!AE$25:AE$372,Покупка!$F$25:$F$372,$F297,Покупка!$AC$25:$AC$372,$G297)</f>
        <v>0</v>
      </c>
      <c r="AF297" s="802">
        <f>_xlfn.SUMIFS(Покупка!AF$25:AF$372,Покупка!$F$25:$F$372,$F297,Покупка!$AC$25:$AC$372,$G297)</f>
        <v>0</v>
      </c>
      <c r="AG297" s="802">
        <f>_xlfn.SUMIFS(Покупка!AG$25:AG$372,Покупка!$F$25:$F$372,$F297,Покупка!$AC$25:$AC$372,$G297)</f>
        <v>0</v>
      </c>
      <c r="AH297" s="802">
        <f>AG297-AF297</f>
        <v>0</v>
      </c>
      <c r="AI297" s="802">
        <f>_xlfn.SUMIFS(Покупка!AH$25:AH$372,Покупка!$F$25:$F$372,$F297,Покупка!$AC$25:$AC$372,$G297)</f>
        <v>0</v>
      </c>
      <c r="AJ297" s="802">
        <f>_xlfn.SUMIFS(Покупка!AI$25:AI$372,Покупка!$F$25:$F$372,$F297,Покупка!$AC$25:$AC$372,$G297)</f>
        <v>0</v>
      </c>
      <c r="AK297" s="802">
        <f>_xlfn.SUMIFS(Покупка!AS$25:AS$372,Покупка!$F$25:$F$372,$F297,Покупка!$AC$25:$AC$372,$G297)</f>
        <v>0</v>
      </c>
      <c r="AL297" s="802">
        <f>IF(AI297=0,0,(AK297-AI297)/AI297*100)</f>
        <v>0</v>
      </c>
      <c r="AM297" s="803"/>
      <c r="AN297" s="910" t="str">
        <f>IF(_xlfn.IFERROR(INDEX(Покупка!$K$26:$L$372,MATCH($F297&amp;"5komm",Покупка!$K$26:$K$372,0),2),"")=0,"",_xlfn.IFERROR(INDEX(Покупка!$K$26:$L$372,MATCH($F297&amp;"5komm",Покупка!$K$26:$K$372,0),2),""))</f>
        <v/>
      </c>
      <c r="AO297" s="803"/>
      <c r="AP297" s="1741"/>
      <c r="AQ297" s="1741"/>
      <c r="AR297" s="1062" t="s">
        <v>2465</v>
      </c>
      <c r="AS297" s="1062"/>
      <c r="AT297" s="1062"/>
      <c r="AU297" s="1059"/>
      <c r="AV297" s="1059"/>
    </row>
    <row s="7281" customFormat="1" customHeight="1" ht="43.5">
      <c r="A298" s="588"/>
      <c r="B298" s="588"/>
      <c r="C298" s="588"/>
      <c r="D298" s="588"/>
      <c r="E298" s="697">
        <v>45</v>
      </c>
      <c r="F298" s="50" cm="1" t="str">
        <f t="array" ref="F298:F298">OFFSET(E298,-1,1)</f>
        <v>3</v>
      </c>
      <c r="G298" s="588"/>
      <c r="H298" s="588"/>
      <c r="I298" s="698" t="s">
        <v>1182</v>
      </c>
      <c r="J298" s="698"/>
      <c r="K298" s="698"/>
      <c r="L298" s="698"/>
      <c r="M298" s="698"/>
      <c r="N298" s="698"/>
      <c r="O298" s="698"/>
      <c r="P298" s="698"/>
      <c r="Q298" s="698"/>
      <c r="R298" s="698"/>
      <c r="S298" s="698"/>
      <c r="T298" s="465" cm="1" t="str">
        <f t="array" ref="T298:T298">T297</f>
        <v>true</v>
      </c>
      <c r="U298" s="588"/>
      <c r="V298" s="588"/>
      <c r="W298" s="588"/>
      <c r="X298" s="1641"/>
      <c r="Y298" s="588"/>
      <c r="Z298" s="1642"/>
      <c r="AA298" s="588"/>
      <c r="AB298" s="804" t="s">
        <v>1634</v>
      </c>
      <c r="AC298" s="805" t="s">
        <v>2466</v>
      </c>
      <c r="AD298" s="590" t="s">
        <v>1514</v>
      </c>
      <c r="AE298" s="7165"/>
      <c r="AF298" s="7165"/>
      <c r="AG298" s="7165"/>
      <c r="AH298" s="801">
        <f>AG298-AF298</f>
        <v>0</v>
      </c>
      <c r="AI298" s="7165"/>
      <c r="AJ298" s="810"/>
      <c r="AK298" s="810"/>
      <c r="AL298" s="801">
        <f>IF(AI298=0,0,(AK298-AI298)/AI298*100)</f>
        <v>0</v>
      </c>
      <c r="AM298" s="806"/>
      <c r="AN298" s="806"/>
      <c r="AO298" s="806"/>
      <c r="AP298" s="588"/>
      <c r="AQ298" s="588"/>
      <c r="AR298" s="1063" t="s">
        <v>2467</v>
      </c>
      <c r="AS298" s="1063"/>
      <c r="AT298" s="1063"/>
      <c r="AU298" s="697"/>
      <c r="AV298" s="697"/>
    </row>
    <row s="7282" customFormat="1" customHeight="1" ht="43.5">
      <c r="A299" s="588"/>
      <c r="B299" s="588"/>
      <c r="C299" s="588"/>
      <c r="D299" s="588"/>
      <c r="E299" s="697">
        <v>45</v>
      </c>
      <c r="F299" s="50" cm="1" t="str">
        <f t="array" ref="F299:F299">OFFSET(E299,-1,1)</f>
        <v>3</v>
      </c>
      <c r="G299" s="588"/>
      <c r="H299" s="588"/>
      <c r="I299" s="698" t="s">
        <v>1186</v>
      </c>
      <c r="J299" s="698"/>
      <c r="K299" s="698"/>
      <c r="L299" s="698"/>
      <c r="M299" s="698"/>
      <c r="N299" s="698"/>
      <c r="O299" s="698"/>
      <c r="P299" s="698"/>
      <c r="Q299" s="698"/>
      <c r="R299" s="698"/>
      <c r="S299" s="698"/>
      <c r="T299" s="465" cm="1" t="str">
        <f t="array" ref="T299:T299">T298</f>
        <v>true</v>
      </c>
      <c r="U299" s="588"/>
      <c r="V299" s="588"/>
      <c r="W299" s="588"/>
      <c r="X299" s="1641"/>
      <c r="Y299" s="588"/>
      <c r="Z299" s="1642"/>
      <c r="AA299" s="588"/>
      <c r="AB299" s="804" t="s">
        <v>1637</v>
      </c>
      <c r="AC299" s="805" t="s">
        <v>2468</v>
      </c>
      <c r="AD299" s="590" t="s">
        <v>1514</v>
      </c>
      <c r="AE299" s="801">
        <f>AE300+AE301</f>
        <v>0</v>
      </c>
      <c r="AF299" s="801">
        <f>AF300+AF301</f>
        <v>0</v>
      </c>
      <c r="AG299" s="801">
        <f>AG300+AG301</f>
        <v>0</v>
      </c>
      <c r="AH299" s="801">
        <f>AG299-AF299</f>
        <v>0</v>
      </c>
      <c r="AI299" s="801">
        <f>AI300+AI301</f>
        <v>0</v>
      </c>
      <c r="AJ299" s="801">
        <f>AJ300+AJ301</f>
        <v>83165.9009010769</v>
      </c>
      <c r="AK299" s="801">
        <f>AK300+AK301</f>
        <v>83165.9009010769</v>
      </c>
      <c r="AL299" s="801">
        <f>IF(AI299=0,0,(AK299-AI299)/AI299*100)</f>
        <v>0</v>
      </c>
      <c r="AM299" s="806"/>
      <c r="AN299" s="806"/>
      <c r="AO299" s="806"/>
      <c r="AP299" s="588"/>
      <c r="AQ299" s="588"/>
      <c r="AR299" s="1063" t="s">
        <v>2469</v>
      </c>
      <c r="AS299" s="1063"/>
      <c r="AT299" s="1063"/>
      <c r="AU299" s="697"/>
      <c r="AV299" s="697"/>
    </row>
    <row s="1834" customFormat="1" customHeight="1" ht="14.25">
      <c r="A300" s="1741"/>
      <c r="B300" s="1741"/>
      <c r="C300" s="1741"/>
      <c r="D300" s="1741"/>
      <c r="E300" s="695">
        <v>15</v>
      </c>
      <c r="F300" s="50" cm="1" t="str">
        <f t="array" ref="F300:F300">OFFSET(E300,-1,1)</f>
        <v>3</v>
      </c>
      <c r="G300" s="699" t="s">
        <v>1866</v>
      </c>
      <c r="H300" s="1741"/>
      <c r="I300" s="587" t="s">
        <v>2095</v>
      </c>
      <c r="J300" s="587"/>
      <c r="K300" s="587"/>
      <c r="L300" s="587"/>
      <c r="M300" s="587"/>
      <c r="N300" s="587"/>
      <c r="O300" s="587"/>
      <c r="P300" s="698"/>
      <c r="Q300" s="587"/>
      <c r="R300" s="587"/>
      <c r="S300" s="587"/>
      <c r="T300" s="465" cm="1" t="str">
        <f t="array" ref="T300:T300">T299</f>
        <v>true</v>
      </c>
      <c r="U300" s="1741"/>
      <c r="V300" s="1741"/>
      <c r="W300" s="1741"/>
      <c r="X300" s="1641"/>
      <c r="Y300" s="1741"/>
      <c r="Z300" s="1642"/>
      <c r="AA300" s="1741"/>
      <c r="AB300" s="807" t="s">
        <v>1752</v>
      </c>
      <c r="AC300" s="808" t="s">
        <v>2470</v>
      </c>
      <c r="AD300" s="759" t="s">
        <v>1514</v>
      </c>
      <c r="AE300" s="802">
        <f>_xlfn.SUMIFS(ФОТ!AE$25:AE$188,ФОТ!$F$25:$F$188,$F300,ФОТ!$G$25:$G$188,$G300)</f>
        <v>0</v>
      </c>
      <c r="AF300" s="802">
        <f>_xlfn.SUMIFS(ФОТ!AF$25:AF$188,ФОТ!$F$25:$F$188,$F300,ФОТ!$G$25:$G$188,$G300)</f>
        <v>0</v>
      </c>
      <c r="AG300" s="802">
        <f>_xlfn.SUMIFS(ФОТ!AG$25:AG$188,ФОТ!$F$25:$F$188,$F300,ФОТ!$G$25:$G$188,$G300)</f>
        <v>0</v>
      </c>
      <c r="AH300" s="802">
        <f>AG300-AF300</f>
        <v>0</v>
      </c>
      <c r="AI300" s="802">
        <f>_xlfn.SUMIFS(ФОТ!AH$25:AH$188,ФОТ!$F$25:$F$188,$F300,ФОТ!$G$25:$G$188,$G300)</f>
        <v>0</v>
      </c>
      <c r="AJ300" s="802">
        <f>_xlfn.SUMIFS(ФОТ!AI$25:AI$188,ФОТ!$F$25:$F$188,$F300,ФОТ!$G$25:$G$188,$G300)</f>
        <v>63875.4999240222</v>
      </c>
      <c r="AK300" s="802">
        <f>_xlfn.SUMIFS(ФОТ!AJ$25:AJ$188,ФОТ!$F$25:$F$188,$F300,ФОТ!$G$25:$G$188,$G300)</f>
        <v>63875.4999240222</v>
      </c>
      <c r="AL300" s="802">
        <f>IF(AI300=0,0,(AK300-AI300)/AI300*100)</f>
        <v>0</v>
      </c>
      <c r="AM300" s="803"/>
      <c r="AN300" s="910" t="str">
        <f>IF(_xlfn.IFERROR(INDEX(ФОТ!$K$26:$L$188,MATCH($F300&amp;"1komm",ФОТ!$K$26:$K$188,0),2),"")=0,"",_xlfn.IFERROR(INDEX(ФОТ!$K$26:$L$188,MATCH($F300&amp;"1komm",ФОТ!$K$26:$K$188,0),2),""))</f>
        <v>по предложению организации в соответствии со штатным расписанием.</v>
      </c>
      <c r="AO300" s="803"/>
      <c r="AP300" s="1741"/>
      <c r="AQ300" s="1741"/>
      <c r="AR300" s="1062" t="s">
        <v>2471</v>
      </c>
      <c r="AS300" s="1062"/>
      <c r="AT300" s="1062"/>
      <c r="AU300" s="1059"/>
      <c r="AV300" s="1059"/>
    </row>
    <row s="1834" customFormat="1" customHeight="1" ht="21.75">
      <c r="A301" s="1741"/>
      <c r="B301" s="1741"/>
      <c r="C301" s="1741"/>
      <c r="D301" s="1741"/>
      <c r="E301" s="695">
        <v>22.5</v>
      </c>
      <c r="F301" s="50" cm="1" t="str">
        <f t="array" ref="F301:F301">OFFSET(E301,-1,1)</f>
        <v>3</v>
      </c>
      <c r="G301" s="699" t="s">
        <v>1878</v>
      </c>
      <c r="H301" s="1741"/>
      <c r="I301" s="587" t="s">
        <v>2096</v>
      </c>
      <c r="J301" s="587"/>
      <c r="K301" s="587"/>
      <c r="L301" s="587"/>
      <c r="M301" s="587"/>
      <c r="N301" s="587"/>
      <c r="O301" s="587"/>
      <c r="P301" s="698"/>
      <c r="Q301" s="587"/>
      <c r="R301" s="587"/>
      <c r="S301" s="587"/>
      <c r="T301" s="465" cm="1" t="str">
        <f t="array" ref="T301:T301">T300</f>
        <v>true</v>
      </c>
      <c r="U301" s="1741"/>
      <c r="V301" s="1741"/>
      <c r="W301" s="1741"/>
      <c r="X301" s="1641"/>
      <c r="Y301" s="1741"/>
      <c r="Z301" s="1642"/>
      <c r="AA301" s="1741"/>
      <c r="AB301" s="807" t="s">
        <v>1755</v>
      </c>
      <c r="AC301" s="808" t="s">
        <v>2472</v>
      </c>
      <c r="AD301" s="759" t="s">
        <v>1514</v>
      </c>
      <c r="AE301" s="802">
        <f>_xlfn.SUMIFS(ФОТ!AE$25:AE$188,ФОТ!$F$25:$F$188,$F301,ФОТ!$G$25:$G$188,$G301)</f>
        <v>0</v>
      </c>
      <c r="AF301" s="802">
        <f>_xlfn.SUMIFS(ФОТ!AF$25:AF$188,ФОТ!$F$25:$F$188,$F301,ФОТ!$G$25:$G$188,$G301)</f>
        <v>0</v>
      </c>
      <c r="AG301" s="802">
        <f>_xlfn.SUMIFS(ФОТ!AG$25:AG$188,ФОТ!$F$25:$F$188,$F301,ФОТ!$G$25:$G$188,$G301)</f>
        <v>0</v>
      </c>
      <c r="AH301" s="802">
        <f>AG301-AF301</f>
        <v>0</v>
      </c>
      <c r="AI301" s="802">
        <f>_xlfn.SUMIFS(ФОТ!AH$25:AH$188,ФОТ!$F$25:$F$188,$F301,ФОТ!$G$25:$G$188,$G301)</f>
        <v>0</v>
      </c>
      <c r="AJ301" s="802">
        <f>_xlfn.SUMIFS(ФОТ!AI$25:AI$188,ФОТ!$F$25:$F$188,$F301,ФОТ!$G$25:$G$188,$G301)</f>
        <v>19290.4009770547</v>
      </c>
      <c r="AK301" s="802">
        <f>_xlfn.SUMIFS(ФОТ!AJ$25:AJ$188,ФОТ!$F$25:$F$188,$F301,ФОТ!$G$25:$G$188,$G301)</f>
        <v>19290.4009770547</v>
      </c>
      <c r="AL301" s="802">
        <f>IF(AI301=0,0,(AK301-AI301)/AI301*100)</f>
        <v>0</v>
      </c>
      <c r="AM301" s="803"/>
      <c r="AN301" s="910" t="str">
        <f>IF(_xlfn.IFERROR(INDEX(ФОТ!$K$26:$L$188,MATCH($F301&amp;"2komm",ФОТ!$K$26:$K$188,0),2),"")=0,"",_xlfn.IFERROR(INDEX(ФОТ!$K$26:$L$188,MATCH($F301&amp;"2komm",ФОТ!$K$26:$K$188,0),2),""))</f>
        <v>на основании Налогового кодекса РФ (часть вторая) от 05.08.2000 № 117-ФЗ в размере 30%, а также в соответствии с Федеральным законом от 24.07.1998 № 125 – ФЗ (0,20%).</v>
      </c>
      <c r="AO301" s="803"/>
      <c r="AP301" s="1741"/>
      <c r="AQ301" s="1741"/>
      <c r="AR301" s="1062" t="s">
        <v>2473</v>
      </c>
      <c r="AS301" s="1062"/>
      <c r="AT301" s="1062"/>
      <c r="AU301" s="1059"/>
      <c r="AV301" s="1059"/>
    </row>
    <row s="7283" customFormat="1" customHeight="1" ht="14.25">
      <c r="A302" s="588"/>
      <c r="B302" s="588"/>
      <c r="C302" s="588"/>
      <c r="D302" s="588"/>
      <c r="E302" s="697">
        <v>15</v>
      </c>
      <c r="F302" s="50" cm="1" t="str">
        <f t="array" ref="F302:F302">OFFSET(E302,-1,1)</f>
        <v>3</v>
      </c>
      <c r="G302" s="588"/>
      <c r="H302" s="588"/>
      <c r="I302" s="698" t="s">
        <v>1640</v>
      </c>
      <c r="J302" s="698"/>
      <c r="K302" s="698"/>
      <c r="L302" s="698"/>
      <c r="M302" s="698"/>
      <c r="N302" s="698"/>
      <c r="O302" s="698"/>
      <c r="P302" s="698"/>
      <c r="Q302" s="698"/>
      <c r="R302" s="698"/>
      <c r="S302" s="698"/>
      <c r="T302" s="465" cm="1" t="str">
        <f t="array" ref="T302:T302">T301</f>
        <v>true</v>
      </c>
      <c r="U302" s="588"/>
      <c r="V302" s="588"/>
      <c r="W302" s="588"/>
      <c r="X302" s="1641"/>
      <c r="Y302" s="588"/>
      <c r="Z302" s="1642"/>
      <c r="AA302" s="588"/>
      <c r="AB302" s="804" t="s">
        <v>1641</v>
      </c>
      <c r="AC302" s="805" t="s">
        <v>2474</v>
      </c>
      <c r="AD302" s="590" t="s">
        <v>1514</v>
      </c>
      <c r="AE302" s="7165"/>
      <c r="AF302" s="7165"/>
      <c r="AG302" s="7165"/>
      <c r="AH302" s="801">
        <f>AG302-AF302</f>
        <v>0</v>
      </c>
      <c r="AI302" s="7165"/>
      <c r="AJ302" s="810"/>
      <c r="AK302" s="810"/>
      <c r="AL302" s="801">
        <f>IF(AI302=0,0,(AK302-AI302)/AI302*100)</f>
        <v>0</v>
      </c>
      <c r="AM302" s="806"/>
      <c r="AN302" s="806"/>
      <c r="AO302" s="806"/>
      <c r="AP302" s="588"/>
      <c r="AQ302" s="588"/>
      <c r="AR302" s="1063" t="s">
        <v>2074</v>
      </c>
      <c r="AS302" s="1063"/>
      <c r="AT302" s="1063"/>
      <c r="AU302" s="697"/>
      <c r="AV302" s="697"/>
    </row>
    <row s="7284" customFormat="1" customHeight="1" ht="14.25">
      <c r="A303" s="588"/>
      <c r="B303" s="588"/>
      <c r="C303" s="588"/>
      <c r="D303" s="588"/>
      <c r="E303" s="697">
        <v>15</v>
      </c>
      <c r="F303" s="50" cm="1" t="str">
        <f t="array" ref="F303:F303">OFFSET(E303,-1,1)</f>
        <v>3</v>
      </c>
      <c r="G303" s="588"/>
      <c r="H303" s="588"/>
      <c r="I303" s="698" t="s">
        <v>2475</v>
      </c>
      <c r="J303" s="698"/>
      <c r="K303" s="698"/>
      <c r="L303" s="698"/>
      <c r="M303" s="698"/>
      <c r="N303" s="698"/>
      <c r="O303" s="698"/>
      <c r="P303" s="698"/>
      <c r="Q303" s="698"/>
      <c r="R303" s="698"/>
      <c r="S303" s="698"/>
      <c r="T303" s="465" cm="1" t="str">
        <f t="array" ref="T303:T303">T302</f>
        <v>true</v>
      </c>
      <c r="U303" s="588"/>
      <c r="V303" s="588"/>
      <c r="W303" s="588"/>
      <c r="X303" s="1641"/>
      <c r="Y303" s="588"/>
      <c r="Z303" s="1642"/>
      <c r="AA303" s="588"/>
      <c r="AB303" s="804" t="s">
        <v>2476</v>
      </c>
      <c r="AC303" s="805" t="s">
        <v>2477</v>
      </c>
      <c r="AD303" s="590" t="s">
        <v>1514</v>
      </c>
      <c r="AE303" s="7165"/>
      <c r="AF303" s="7165"/>
      <c r="AG303" s="7165"/>
      <c r="AH303" s="801">
        <f>AG303-AF303</f>
        <v>0</v>
      </c>
      <c r="AI303" s="7165"/>
      <c r="AJ303" s="810"/>
      <c r="AK303" s="810"/>
      <c r="AL303" s="801">
        <f>IF(AI303=0,0,(AK303-AI303)/AI303*100)</f>
        <v>0</v>
      </c>
      <c r="AM303" s="806"/>
      <c r="AN303" s="806"/>
      <c r="AO303" s="806"/>
      <c r="AP303" s="588"/>
      <c r="AQ303" s="588"/>
      <c r="AR303" s="1063" t="s">
        <v>2478</v>
      </c>
      <c r="AS303" s="1063"/>
      <c r="AT303" s="1063"/>
      <c r="AU303" s="697"/>
      <c r="AV303" s="697"/>
    </row>
    <row s="7285" customFormat="1" customHeight="1" ht="14.25">
      <c r="A304" s="588"/>
      <c r="B304" s="588"/>
      <c r="C304" s="588"/>
      <c r="D304" s="588"/>
      <c r="E304" s="697">
        <v>15</v>
      </c>
      <c r="F304" s="50" cm="1" t="str">
        <f t="array" ref="F304:F304">OFFSET(E304,-1,1)</f>
        <v>3</v>
      </c>
      <c r="G304" s="588"/>
      <c r="H304" s="588"/>
      <c r="I304" s="698" t="s">
        <v>2479</v>
      </c>
      <c r="J304" s="698"/>
      <c r="K304" s="698"/>
      <c r="L304" s="698"/>
      <c r="M304" s="698"/>
      <c r="N304" s="698"/>
      <c r="O304" s="698"/>
      <c r="P304" s="698"/>
      <c r="Q304" s="698"/>
      <c r="R304" s="698"/>
      <c r="S304" s="698"/>
      <c r="T304" s="465" cm="1" t="str">
        <f t="array" ref="T304:T304">T303</f>
        <v>true</v>
      </c>
      <c r="U304" s="588"/>
      <c r="V304" s="588"/>
      <c r="W304" s="588"/>
      <c r="X304" s="1641"/>
      <c r="Y304" s="588"/>
      <c r="Z304" s="1642"/>
      <c r="AA304" s="588"/>
      <c r="AB304" s="804" t="s">
        <v>2480</v>
      </c>
      <c r="AC304" s="805" t="s">
        <v>2481</v>
      </c>
      <c r="AD304" s="590" t="s">
        <v>1514</v>
      </c>
      <c r="AE304" s="801">
        <f>SUM(AE305:AE310)</f>
        <v>0</v>
      </c>
      <c r="AF304" s="801">
        <f>SUM(AF305:AF310)</f>
        <v>0</v>
      </c>
      <c r="AG304" s="801">
        <f>SUM(AG305:AG310)</f>
        <v>0</v>
      </c>
      <c r="AH304" s="801">
        <f>AG304-AF304</f>
        <v>0</v>
      </c>
      <c r="AI304" s="801">
        <f>SUM(AI305:AI310)</f>
        <v>0</v>
      </c>
      <c r="AJ304" s="801">
        <f>SUM(AJ305:AJ310)</f>
        <v>0</v>
      </c>
      <c r="AK304" s="801">
        <f>SUM(AK305:AK310)</f>
        <v>0</v>
      </c>
      <c r="AL304" s="801">
        <f>IF(AI304=0,0,(AK304-AI304)/AI304*100)</f>
        <v>0</v>
      </c>
      <c r="AM304" s="806"/>
      <c r="AN304" s="806"/>
      <c r="AO304" s="806"/>
      <c r="AP304" s="588"/>
      <c r="AQ304" s="588"/>
      <c r="AR304" s="1063" t="s">
        <v>2482</v>
      </c>
      <c r="AS304" s="1063"/>
      <c r="AT304" s="1063"/>
      <c r="AU304" s="697"/>
      <c r="AV304" s="697"/>
    </row>
    <row s="1834" customFormat="1" customHeight="1" ht="14.25">
      <c r="A305" s="1741"/>
      <c r="B305" s="1741"/>
      <c r="C305" s="1741"/>
      <c r="D305" s="1741"/>
      <c r="E305" s="695">
        <v>15</v>
      </c>
      <c r="F305" s="50" cm="1" t="str">
        <f t="array" ref="F305:F305">OFFSET(E305,-1,1)</f>
        <v>3</v>
      </c>
      <c r="G305" s="1741"/>
      <c r="H305" s="1741"/>
      <c r="I305" s="587" t="s">
        <v>2479</v>
      </c>
      <c r="J305" s="986" t="s">
        <v>2483</v>
      </c>
      <c r="K305" s="1741"/>
      <c r="L305" s="587"/>
      <c r="M305" s="587"/>
      <c r="N305" s="587"/>
      <c r="O305" s="587"/>
      <c r="P305" s="587"/>
      <c r="Q305" s="587"/>
      <c r="R305" s="587"/>
      <c r="S305" s="587"/>
      <c r="T305" s="465" cm="1" t="str">
        <f t="array" ref="T305:T305">T304</f>
        <v>true</v>
      </c>
      <c r="U305" s="1741"/>
      <c r="V305" s="1741"/>
      <c r="W305" s="1741"/>
      <c r="X305" s="1641"/>
      <c r="Y305" s="1741"/>
      <c r="Z305" s="1642"/>
      <c r="AA305" s="1741"/>
      <c r="AB305" s="807" t="s">
        <v>2484</v>
      </c>
      <c r="AC305" s="808" t="s">
        <v>2485</v>
      </c>
      <c r="AD305" s="759" t="s">
        <v>1514</v>
      </c>
      <c r="AE305" s="7168"/>
      <c r="AF305" s="7168"/>
      <c r="AG305" s="7168"/>
      <c r="AH305" s="802">
        <f>AG305-AF305</f>
        <v>0</v>
      </c>
      <c r="AI305" s="7168"/>
      <c r="AJ305" s="809"/>
      <c r="AK305" s="809"/>
      <c r="AL305" s="802">
        <f>IF(AI305=0,0,(AK305-AI305)/AI305*100)</f>
        <v>0</v>
      </c>
      <c r="AM305" s="803"/>
      <c r="AN305" s="803"/>
      <c r="AO305" s="803"/>
      <c r="AP305" s="1741"/>
      <c r="AQ305" s="1741"/>
      <c r="AR305" s="1062" t="s">
        <v>2486</v>
      </c>
      <c r="AS305" s="1062"/>
      <c r="AT305" s="1062"/>
      <c r="AU305" s="1059"/>
      <c r="AV305" s="1059"/>
    </row>
    <row s="1834" customFormat="1" customHeight="1" ht="14.25">
      <c r="A306" s="1741"/>
      <c r="B306" s="1741"/>
      <c r="C306" s="1741"/>
      <c r="D306" s="1741"/>
      <c r="E306" s="695">
        <v>15</v>
      </c>
      <c r="F306" s="50" cm="1" t="str">
        <f t="array" ref="F306:F306">OFFSET(E306,-1,1)</f>
        <v>3</v>
      </c>
      <c r="G306" s="1741"/>
      <c r="H306" s="1741"/>
      <c r="I306" s="587" t="s">
        <v>2479</v>
      </c>
      <c r="J306" s="986" t="s">
        <v>2487</v>
      </c>
      <c r="K306" s="1741"/>
      <c r="L306" s="587"/>
      <c r="M306" s="587"/>
      <c r="N306" s="587"/>
      <c r="O306" s="587"/>
      <c r="P306" s="587"/>
      <c r="Q306" s="587"/>
      <c r="R306" s="587"/>
      <c r="S306" s="587"/>
      <c r="T306" s="465" cm="1" t="str">
        <f t="array" ref="T306:T306">T305</f>
        <v>true</v>
      </c>
      <c r="U306" s="1741"/>
      <c r="V306" s="1741"/>
      <c r="W306" s="1741"/>
      <c r="X306" s="1641"/>
      <c r="Y306" s="1741"/>
      <c r="Z306" s="1642"/>
      <c r="AA306" s="1741"/>
      <c r="AB306" s="807" t="s">
        <v>2488</v>
      </c>
      <c r="AC306" s="808" t="s">
        <v>2489</v>
      </c>
      <c r="AD306" s="759" t="s">
        <v>1514</v>
      </c>
      <c r="AE306" s="7168"/>
      <c r="AF306" s="7168"/>
      <c r="AG306" s="7168"/>
      <c r="AH306" s="802">
        <f>AG306-AF306</f>
        <v>0</v>
      </c>
      <c r="AI306" s="7168"/>
      <c r="AJ306" s="809"/>
      <c r="AK306" s="809"/>
      <c r="AL306" s="802">
        <f>IF(AI306=0,0,(AK306-AI306)/AI306*100)</f>
        <v>0</v>
      </c>
      <c r="AM306" s="803"/>
      <c r="AN306" s="803"/>
      <c r="AO306" s="803"/>
      <c r="AP306" s="1741"/>
      <c r="AQ306" s="1741"/>
      <c r="AR306" s="1062" t="s">
        <v>2490</v>
      </c>
      <c r="AS306" s="1062"/>
      <c r="AT306" s="1062"/>
      <c r="AU306" s="1059"/>
      <c r="AV306" s="1059"/>
    </row>
    <row s="1834" customFormat="1" customHeight="1" ht="14.25">
      <c r="A307" s="1741"/>
      <c r="B307" s="1741"/>
      <c r="C307" s="1741"/>
      <c r="D307" s="1741"/>
      <c r="E307" s="695">
        <v>15</v>
      </c>
      <c r="F307" s="50" cm="1" t="str">
        <f t="array" ref="F307:F307">OFFSET(E307,-1,1)</f>
        <v>3</v>
      </c>
      <c r="G307" s="1741"/>
      <c r="H307" s="1741"/>
      <c r="I307" s="587" t="s">
        <v>2479</v>
      </c>
      <c r="J307" s="986" t="s">
        <v>2491</v>
      </c>
      <c r="K307" s="1741"/>
      <c r="L307" s="587"/>
      <c r="M307" s="587"/>
      <c r="N307" s="587"/>
      <c r="O307" s="587"/>
      <c r="P307" s="587"/>
      <c r="Q307" s="587"/>
      <c r="R307" s="587"/>
      <c r="S307" s="587"/>
      <c r="T307" s="465" cm="1" t="str">
        <f t="array" ref="T307:T307">T306</f>
        <v>true</v>
      </c>
      <c r="U307" s="1741"/>
      <c r="V307" s="1741"/>
      <c r="W307" s="1741"/>
      <c r="X307" s="1641"/>
      <c r="Y307" s="1741"/>
      <c r="Z307" s="1642"/>
      <c r="AA307" s="1741"/>
      <c r="AB307" s="807" t="s">
        <v>2492</v>
      </c>
      <c r="AC307" s="808" t="s">
        <v>2493</v>
      </c>
      <c r="AD307" s="759" t="s">
        <v>1514</v>
      </c>
      <c r="AE307" s="7168"/>
      <c r="AF307" s="7168"/>
      <c r="AG307" s="7168"/>
      <c r="AH307" s="802">
        <f>AG307-AF307</f>
        <v>0</v>
      </c>
      <c r="AI307" s="7168"/>
      <c r="AJ307" s="809"/>
      <c r="AK307" s="809"/>
      <c r="AL307" s="802">
        <f>IF(AI307=0,0,(AK307-AI307)/AI307*100)</f>
        <v>0</v>
      </c>
      <c r="AM307" s="803"/>
      <c r="AN307" s="803"/>
      <c r="AO307" s="803"/>
      <c r="AP307" s="1741"/>
      <c r="AQ307" s="1741"/>
      <c r="AR307" s="1062" t="s">
        <v>2494</v>
      </c>
      <c r="AS307" s="1062"/>
      <c r="AT307" s="1062"/>
      <c r="AU307" s="1059"/>
      <c r="AV307" s="1059"/>
    </row>
    <row s="1834" customFormat="1" customHeight="1" ht="14.25">
      <c r="A308" s="1741"/>
      <c r="B308" s="1741"/>
      <c r="C308" s="1741"/>
      <c r="D308" s="1741"/>
      <c r="E308" s="695">
        <v>15</v>
      </c>
      <c r="F308" s="50" cm="1" t="str">
        <f t="array" ref="F308:F308">OFFSET(E308,-1,1)</f>
        <v>3</v>
      </c>
      <c r="G308" s="1741"/>
      <c r="H308" s="1741"/>
      <c r="I308" s="587" t="s">
        <v>2479</v>
      </c>
      <c r="J308" s="986" t="s">
        <v>2495</v>
      </c>
      <c r="K308" s="1741"/>
      <c r="L308" s="587"/>
      <c r="M308" s="587"/>
      <c r="N308" s="587"/>
      <c r="O308" s="587"/>
      <c r="P308" s="587"/>
      <c r="Q308" s="587"/>
      <c r="R308" s="587"/>
      <c r="S308" s="587"/>
      <c r="T308" s="465" cm="1" t="str">
        <f t="array" ref="T308:T308">T307</f>
        <v>true</v>
      </c>
      <c r="U308" s="1741"/>
      <c r="V308" s="1741"/>
      <c r="W308" s="1741"/>
      <c r="X308" s="1641"/>
      <c r="Y308" s="1741"/>
      <c r="Z308" s="1642"/>
      <c r="AA308" s="1741"/>
      <c r="AB308" s="807" t="s">
        <v>2496</v>
      </c>
      <c r="AC308" s="808" t="s">
        <v>2497</v>
      </c>
      <c r="AD308" s="759" t="s">
        <v>1514</v>
      </c>
      <c r="AE308" s="7168"/>
      <c r="AF308" s="7168"/>
      <c r="AG308" s="7168"/>
      <c r="AH308" s="802">
        <f>AG308-AF308</f>
        <v>0</v>
      </c>
      <c r="AI308" s="7168"/>
      <c r="AJ308" s="809"/>
      <c r="AK308" s="809"/>
      <c r="AL308" s="802">
        <f>IF(AI308=0,0,(AK308-AI308)/AI308*100)</f>
        <v>0</v>
      </c>
      <c r="AM308" s="803"/>
      <c r="AN308" s="803"/>
      <c r="AO308" s="803"/>
      <c r="AP308" s="1741"/>
      <c r="AQ308" s="1741"/>
      <c r="AR308" s="1062" t="s">
        <v>2498</v>
      </c>
      <c r="AS308" s="1062"/>
      <c r="AT308" s="1062"/>
      <c r="AU308" s="1059"/>
      <c r="AV308" s="1059"/>
    </row>
    <row s="1834" customFormat="1" customHeight="1" ht="14.25" hidden="1">
      <c r="A309" s="1741"/>
      <c r="B309" s="1741"/>
      <c r="C309" s="1741"/>
      <c r="D309" s="1741"/>
      <c r="E309" s="695">
        <v>15</v>
      </c>
      <c r="F309" s="50" cm="1" t="str">
        <f t="array" ref="F309:F309">OFFSET(E309,-1,1)</f>
        <v>3</v>
      </c>
      <c r="G309" s="1741"/>
      <c r="H309" s="1741"/>
      <c r="I309" s="587" t="s">
        <v>2479</v>
      </c>
      <c r="J309" s="577" cm="1" t="str">
        <f t="array" ref="J309:J309">AC309</f>
        <v>0</v>
      </c>
      <c r="K309" s="1741"/>
      <c r="L309" s="587"/>
      <c r="M309" s="587"/>
      <c r="N309" s="587"/>
      <c r="O309" s="587"/>
      <c r="P309" s="587"/>
      <c r="Q309" s="587"/>
      <c r="R309" s="587"/>
      <c r="S309" s="587"/>
      <c r="T309" s="465">
        <f>AND(F309&gt;0,Y309&gt;4)</f>
        <v>0</v>
      </c>
      <c r="U309" s="1741"/>
      <c r="V309" s="1741"/>
      <c r="W309" s="757" t="s">
        <v>174</v>
      </c>
      <c r="X309" s="1641"/>
      <c r="Y309" s="577">
        <v>4</v>
      </c>
      <c r="Z309" s="1642"/>
      <c r="AA309" s="1228" t="s">
        <v>175</v>
      </c>
      <c r="AB309" s="701" t="str">
        <f>"1.7."&amp;Y309</f>
        <v>1.7.4</v>
      </c>
      <c r="AC309" s="7171"/>
      <c r="AD309" s="759" t="s">
        <v>1514</v>
      </c>
      <c r="AE309" s="7168"/>
      <c r="AF309" s="7168"/>
      <c r="AG309" s="7168"/>
      <c r="AH309" s="802">
        <f>AG309-AF309</f>
        <v>0</v>
      </c>
      <c r="AI309" s="7168"/>
      <c r="AJ309" s="7172"/>
      <c r="AK309" s="7172"/>
      <c r="AL309" s="802">
        <f>IF(AI309=0,0,(AK309-AI309)/AI309*100)</f>
        <v>0</v>
      </c>
      <c r="AM309" s="5154"/>
      <c r="AN309" s="5154"/>
      <c r="AO309" s="5154"/>
      <c r="AP309" s="1741"/>
      <c r="AQ309" s="1741"/>
      <c r="AR309" s="1062" t="s">
        <v>2499</v>
      </c>
      <c r="AS309" s="1062" t="s">
        <v>1855</v>
      </c>
      <c r="AT309" s="1060" cm="1" t="str">
        <f t="array" ref="AT309:AT309">AC309</f>
        <v>0</v>
      </c>
      <c r="AU309" s="1059"/>
      <c r="AV309" s="695" t="b">
        <v>1</v>
      </c>
    </row>
    <row s="1834" customFormat="1" customHeight="1" ht="14.25">
      <c r="A310" s="1741"/>
      <c r="B310" s="1741"/>
      <c r="C310" s="1741"/>
      <c r="D310" s="1741"/>
      <c r="E310" s="695">
        <v>15</v>
      </c>
      <c r="F310" s="50" cm="1" t="str">
        <f t="array" ref="F310:F310">OFFSET(E310,-1,1)</f>
        <v>3</v>
      </c>
      <c r="G310" s="1741"/>
      <c r="H310" s="1741"/>
      <c r="I310" s="696"/>
      <c r="J310" s="696" t="s">
        <v>2500</v>
      </c>
      <c r="K310" s="696"/>
      <c r="L310" s="696"/>
      <c r="M310" s="696"/>
      <c r="N310" s="696"/>
      <c r="O310" s="696"/>
      <c r="P310" s="696"/>
      <c r="Q310" s="696"/>
      <c r="R310" s="696"/>
      <c r="S310" s="696"/>
      <c r="T310" s="465">
        <f>F310&gt;0</f>
        <v>1</v>
      </c>
      <c r="U310" s="1741"/>
      <c r="V310" s="1741"/>
      <c r="W310" s="829" t="s">
        <v>399</v>
      </c>
      <c r="X310" s="1641"/>
      <c r="Y310" s="1741"/>
      <c r="Z310" s="1642"/>
      <c r="AA310" s="1741"/>
      <c r="AB310" s="1229"/>
      <c r="AC310" s="1230" t="s">
        <v>178</v>
      </c>
      <c r="AD310" s="1231"/>
      <c r="AE310" s="1231"/>
      <c r="AF310" s="1231"/>
      <c r="AG310" s="1231"/>
      <c r="AH310" s="1231"/>
      <c r="AI310" s="1231"/>
      <c r="AJ310" s="1231"/>
      <c r="AK310" s="1231"/>
      <c r="AL310" s="1231"/>
      <c r="AM310" s="1231"/>
      <c r="AN310" s="1231"/>
      <c r="AO310" s="1232"/>
      <c r="AP310" s="1741"/>
      <c r="AQ310" s="1741"/>
      <c r="AR310" s="1062"/>
      <c r="AS310" s="1062"/>
      <c r="AT310" s="1062"/>
      <c r="AU310" s="1059" t="s">
        <v>1855</v>
      </c>
      <c r="AV310" s="1059"/>
    </row>
    <row s="7300" customFormat="1" customHeight="1" ht="14.25">
      <c r="A311" s="588"/>
      <c r="B311" s="588"/>
      <c r="C311" s="588"/>
      <c r="D311" s="588"/>
      <c r="E311" s="697">
        <v>15</v>
      </c>
      <c r="F311" s="50" cm="1" t="str">
        <f t="array" ref="F311:F311">OFFSET(E311,-1,1)</f>
        <v>3</v>
      </c>
      <c r="G311" s="588"/>
      <c r="H311" s="588"/>
      <c r="I311" s="698" t="s">
        <v>333</v>
      </c>
      <c r="J311" s="698"/>
      <c r="K311" s="698"/>
      <c r="L311" s="698"/>
      <c r="M311" s="698"/>
      <c r="N311" s="698"/>
      <c r="O311" s="698"/>
      <c r="P311" s="698"/>
      <c r="Q311" s="698"/>
      <c r="R311" s="698"/>
      <c r="S311" s="698"/>
      <c r="T311" s="465" cm="1" t="str">
        <f t="array" ref="T311:T311">T310</f>
        <v>true</v>
      </c>
      <c r="U311" s="588"/>
      <c r="V311" s="588"/>
      <c r="W311" s="588"/>
      <c r="X311" s="1641"/>
      <c r="Y311" s="588"/>
      <c r="Z311" s="1642"/>
      <c r="AA311" s="588"/>
      <c r="AB311" s="804" t="s">
        <v>285</v>
      </c>
      <c r="AC311" s="800" t="s">
        <v>2501</v>
      </c>
      <c r="AD311" s="812" t="s">
        <v>1514</v>
      </c>
      <c r="AE311" s="788">
        <f>AE312+AE313</f>
        <v>0</v>
      </c>
      <c r="AF311" s="788">
        <f>AF312+AF313</f>
        <v>0</v>
      </c>
      <c r="AG311" s="788">
        <f>AG312+AG313</f>
        <v>0</v>
      </c>
      <c r="AH311" s="801">
        <f>AG311-AF311</f>
        <v>0</v>
      </c>
      <c r="AI311" s="788">
        <f>AI312+AI313</f>
        <v>0</v>
      </c>
      <c r="AJ311" s="788">
        <f>AJ312+AJ313</f>
        <v>0</v>
      </c>
      <c r="AK311" s="788">
        <f>AK312+AK313</f>
        <v>0</v>
      </c>
      <c r="AL311" s="801">
        <f>IF(AI311=0,0,(AK311-AI311)/AI311*100)</f>
        <v>0</v>
      </c>
      <c r="AM311" s="806"/>
      <c r="AN311" s="806"/>
      <c r="AO311" s="806"/>
      <c r="AP311" s="588"/>
      <c r="AQ311" s="588"/>
      <c r="AR311" s="1063" t="s">
        <v>2502</v>
      </c>
      <c r="AS311" s="1063"/>
      <c r="AT311" s="1063"/>
      <c r="AU311" s="697"/>
      <c r="AV311" s="697"/>
    </row>
    <row s="1834" customFormat="1" customHeight="1" ht="32.25">
      <c r="A312" s="1741"/>
      <c r="B312" s="1741"/>
      <c r="C312" s="1741"/>
      <c r="D312" s="1741"/>
      <c r="E312" s="695">
        <v>33.75</v>
      </c>
      <c r="F312" s="50" cm="1" t="str">
        <f t="array" ref="F312:F312">OFFSET(E312,-1,1)</f>
        <v>3</v>
      </c>
      <c r="G312" s="1741"/>
      <c r="H312" s="1741"/>
      <c r="I312" s="587" t="s">
        <v>1193</v>
      </c>
      <c r="J312" s="587"/>
      <c r="K312" s="587"/>
      <c r="L312" s="587"/>
      <c r="M312" s="587"/>
      <c r="N312" s="587"/>
      <c r="O312" s="587"/>
      <c r="P312" s="587"/>
      <c r="Q312" s="587"/>
      <c r="R312" s="587"/>
      <c r="S312" s="587"/>
      <c r="T312" s="465" cm="1" t="str">
        <f t="array" ref="T312:T312">T311</f>
        <v>true</v>
      </c>
      <c r="U312" s="1741"/>
      <c r="V312" s="1741"/>
      <c r="W312" s="1741"/>
      <c r="X312" s="1641"/>
      <c r="Y312" s="1741"/>
      <c r="Z312" s="1642"/>
      <c r="AA312" s="1741"/>
      <c r="AB312" s="807" t="s">
        <v>1250</v>
      </c>
      <c r="AC312" s="813" t="s">
        <v>2503</v>
      </c>
      <c r="AD312" s="814" t="s">
        <v>1514</v>
      </c>
      <c r="AE312" s="7168"/>
      <c r="AF312" s="7168"/>
      <c r="AG312" s="7168"/>
      <c r="AH312" s="802">
        <f>AG312-AF312</f>
        <v>0</v>
      </c>
      <c r="AI312" s="7168"/>
      <c r="AJ312" s="809"/>
      <c r="AK312" s="809"/>
      <c r="AL312" s="802">
        <f>IF(AI312=0,0,(AK312-AI312)/AI312*100)</f>
        <v>0</v>
      </c>
      <c r="AM312" s="803"/>
      <c r="AN312" s="803"/>
      <c r="AO312" s="803"/>
      <c r="AP312" s="1741"/>
      <c r="AQ312" s="1741"/>
      <c r="AR312" s="1062" t="s">
        <v>2504</v>
      </c>
      <c r="AS312" s="1062"/>
      <c r="AT312" s="1062"/>
      <c r="AU312" s="1059"/>
      <c r="AV312" s="1059"/>
    </row>
    <row s="1834" customFormat="1" customHeight="1" ht="34.5">
      <c r="A313" s="1741"/>
      <c r="B313" s="1741"/>
      <c r="C313" s="1741"/>
      <c r="D313" s="1741"/>
      <c r="E313" s="695">
        <v>36</v>
      </c>
      <c r="F313" s="50" cm="1" t="str">
        <f t="array" ref="F313:F313">OFFSET(E313,-1,1)</f>
        <v>3</v>
      </c>
      <c r="G313" s="1741"/>
      <c r="H313" s="1741"/>
      <c r="I313" s="587" t="s">
        <v>1196</v>
      </c>
      <c r="J313" s="587"/>
      <c r="K313" s="587"/>
      <c r="L313" s="587"/>
      <c r="M313" s="587"/>
      <c r="N313" s="587"/>
      <c r="O313" s="587"/>
      <c r="P313" s="587"/>
      <c r="Q313" s="587"/>
      <c r="R313" s="587"/>
      <c r="S313" s="587"/>
      <c r="T313" s="465" cm="1" t="str">
        <f t="array" ref="T313:T313">T312</f>
        <v>true</v>
      </c>
      <c r="U313" s="1741"/>
      <c r="V313" s="1741"/>
      <c r="W313" s="1741"/>
      <c r="X313" s="1641"/>
      <c r="Y313" s="1741"/>
      <c r="Z313" s="1642"/>
      <c r="AA313" s="1741"/>
      <c r="AB313" s="807" t="s">
        <v>1254</v>
      </c>
      <c r="AC313" s="813" t="s">
        <v>2505</v>
      </c>
      <c r="AD313" s="814" t="s">
        <v>1514</v>
      </c>
      <c r="AE313" s="815">
        <f>AE314+AE315</f>
        <v>0</v>
      </c>
      <c r="AF313" s="815">
        <f>AF314+AF315</f>
        <v>0</v>
      </c>
      <c r="AG313" s="815">
        <f>AG314+AG315</f>
        <v>0</v>
      </c>
      <c r="AH313" s="802">
        <f>AG313-AF313</f>
        <v>0</v>
      </c>
      <c r="AI313" s="815">
        <f>AI314+AI315</f>
        <v>0</v>
      </c>
      <c r="AJ313" s="815">
        <f>AJ314+AJ315</f>
        <v>0</v>
      </c>
      <c r="AK313" s="815">
        <f>AK314+AK315</f>
        <v>0</v>
      </c>
      <c r="AL313" s="802">
        <f>IF(AI313=0,0,(AK313-AI313)/AI313*100)</f>
        <v>0</v>
      </c>
      <c r="AM313" s="803"/>
      <c r="AN313" s="803"/>
      <c r="AO313" s="803"/>
      <c r="AP313" s="1741"/>
      <c r="AQ313" s="1741"/>
      <c r="AR313" s="1062" t="s">
        <v>2506</v>
      </c>
      <c r="AS313" s="1062"/>
      <c r="AT313" s="1062"/>
      <c r="AU313" s="1059"/>
      <c r="AV313" s="1059"/>
    </row>
    <row s="1834" customFormat="1" customHeight="1" ht="14.25">
      <c r="A314" s="1741"/>
      <c r="B314" s="1741"/>
      <c r="C314" s="1741"/>
      <c r="D314" s="1741"/>
      <c r="E314" s="695">
        <v>15</v>
      </c>
      <c r="F314" s="50" cm="1" t="str">
        <f t="array" ref="F314:F314">OFFSET(E314,-1,1)</f>
        <v>3</v>
      </c>
      <c r="G314" s="577" t="s">
        <v>1881</v>
      </c>
      <c r="H314" s="1741"/>
      <c r="I314" s="587" t="s">
        <v>2507</v>
      </c>
      <c r="J314" s="587"/>
      <c r="K314" s="587"/>
      <c r="L314" s="587"/>
      <c r="M314" s="587"/>
      <c r="N314" s="587"/>
      <c r="O314" s="587"/>
      <c r="P314" s="587"/>
      <c r="Q314" s="587"/>
      <c r="R314" s="587"/>
      <c r="S314" s="587"/>
      <c r="T314" s="465" cm="1" t="str">
        <f t="array" ref="T314:T314">T313</f>
        <v>true</v>
      </c>
      <c r="U314" s="1741"/>
      <c r="V314" s="1741"/>
      <c r="W314" s="1741"/>
      <c r="X314" s="1641"/>
      <c r="Y314" s="1741"/>
      <c r="Z314" s="1642"/>
      <c r="AA314" s="1741"/>
      <c r="AB314" s="807" t="s">
        <v>1207</v>
      </c>
      <c r="AC314" s="808" t="s">
        <v>2508</v>
      </c>
      <c r="AD314" s="814" t="s">
        <v>1514</v>
      </c>
      <c r="AE314" s="802">
        <f>_xlfn.SUMIFS(ФОТ!AE$25:AE$188,ФОТ!$F$25:$F$188,$F314,ФОТ!$G$25:$G$188,$G314)</f>
        <v>0</v>
      </c>
      <c r="AF314" s="802">
        <f>_xlfn.SUMIFS(ФОТ!AF$25:AF$188,ФОТ!$F$25:$F$188,$F314,ФОТ!$G$25:$G$188,$G314)</f>
        <v>0</v>
      </c>
      <c r="AG314" s="802">
        <f>_xlfn.SUMIFS(ФОТ!AG$25:AG$188,ФОТ!$F$25:$F$188,$F314,ФОТ!$G$25:$G$188,$G314)</f>
        <v>0</v>
      </c>
      <c r="AH314" s="802">
        <f>AG314-AF314</f>
        <v>0</v>
      </c>
      <c r="AI314" s="802">
        <f>_xlfn.SUMIFS(ФОТ!AH$25:AH$188,ФОТ!$F$25:$F$188,$F314,ФОТ!$G$25:$G$188,$G314)</f>
        <v>0</v>
      </c>
      <c r="AJ314" s="802">
        <f>_xlfn.SUMIFS(ФОТ!AI$25:AI$188,ФОТ!$F$25:$F$188,$F314,ФОТ!$G$25:$G$188,$G314)</f>
        <v>0</v>
      </c>
      <c r="AK314" s="802">
        <f>_xlfn.SUMIFS(ФОТ!AJ$25:AJ$188,ФОТ!$F$25:$F$188,$F314,ФОТ!$G$25:$G$188,$G314)</f>
        <v>0</v>
      </c>
      <c r="AL314" s="802">
        <f>IF(AI314=0,0,(AK314-AI314)/AI314*100)</f>
        <v>0</v>
      </c>
      <c r="AM314" s="803"/>
      <c r="AN314" s="910" t="str">
        <f>IF(_xlfn.IFERROR(INDEX(ФОТ!$K$26:$L$188,MATCH($F314&amp;"3komm",ФОТ!$K$26:$K$188,0),2),"")=0,"",_xlfn.IFERROR(INDEX(ФОТ!$K$26:$L$188,MATCH($F314&amp;"3komm",ФОТ!$K$26:$K$188,0),2),""))</f>
        <v/>
      </c>
      <c r="AO314" s="803"/>
      <c r="AP314" s="1741"/>
      <c r="AQ314" s="1741"/>
      <c r="AR314" s="1062" t="s">
        <v>2509</v>
      </c>
      <c r="AS314" s="1062"/>
      <c r="AT314" s="1062"/>
      <c r="AU314" s="1059"/>
      <c r="AV314" s="1059"/>
    </row>
    <row s="1834" customFormat="1" customHeight="1" ht="21.75">
      <c r="A315" s="1741"/>
      <c r="B315" s="1741"/>
      <c r="C315" s="1741"/>
      <c r="D315" s="1741"/>
      <c r="E315" s="695">
        <v>22.5</v>
      </c>
      <c r="F315" s="50" cm="1" t="str">
        <f t="array" ref="F315:F315">OFFSET(E315,-1,1)</f>
        <v>3</v>
      </c>
      <c r="G315" s="577" t="s">
        <v>1886</v>
      </c>
      <c r="H315" s="1741"/>
      <c r="I315" s="587" t="s">
        <v>2510</v>
      </c>
      <c r="J315" s="587"/>
      <c r="K315" s="587"/>
      <c r="L315" s="587"/>
      <c r="M315" s="587"/>
      <c r="N315" s="587"/>
      <c r="O315" s="587"/>
      <c r="P315" s="587"/>
      <c r="Q315" s="587"/>
      <c r="R315" s="587"/>
      <c r="S315" s="587"/>
      <c r="T315" s="465" cm="1" t="str">
        <f t="array" ref="T315:T315">T314</f>
        <v>true</v>
      </c>
      <c r="U315" s="1741"/>
      <c r="V315" s="1741"/>
      <c r="W315" s="1741"/>
      <c r="X315" s="1641"/>
      <c r="Y315" s="1741"/>
      <c r="Z315" s="1642"/>
      <c r="AA315" s="1741"/>
      <c r="AB315" s="807" t="s">
        <v>2171</v>
      </c>
      <c r="AC315" s="808" t="s">
        <v>2511</v>
      </c>
      <c r="AD315" s="814" t="s">
        <v>1514</v>
      </c>
      <c r="AE315" s="802">
        <f>_xlfn.SUMIFS(ФОТ!AE$25:AE$188,ФОТ!$F$25:$F$188,$F315,ФОТ!$G$25:$G$188,$G315)</f>
        <v>0</v>
      </c>
      <c r="AF315" s="802">
        <f>_xlfn.SUMIFS(ФОТ!AF$25:AF$188,ФОТ!$F$25:$F$188,$F315,ФОТ!$G$25:$G$188,$G315)</f>
        <v>0</v>
      </c>
      <c r="AG315" s="802">
        <f>_xlfn.SUMIFS(ФОТ!AG$25:AG$188,ФОТ!$F$25:$F$188,$F315,ФОТ!$G$25:$G$188,$G315)</f>
        <v>0</v>
      </c>
      <c r="AH315" s="802">
        <f>AG315-AF315</f>
        <v>0</v>
      </c>
      <c r="AI315" s="802">
        <f>_xlfn.SUMIFS(ФОТ!AH$25:AH$188,ФОТ!$F$25:$F$188,$F315,ФОТ!$G$25:$G$188,$G315)</f>
        <v>0</v>
      </c>
      <c r="AJ315" s="802">
        <f>_xlfn.SUMIFS(ФОТ!AI$25:AI$188,ФОТ!$F$25:$F$188,$F315,ФОТ!$G$25:$G$188,$G315)</f>
        <v>0</v>
      </c>
      <c r="AK315" s="802">
        <f>_xlfn.SUMIFS(ФОТ!AJ$25:AJ$188,ФОТ!$F$25:$F$188,$F315,ФОТ!$G$25:$G$188,$G315)</f>
        <v>0</v>
      </c>
      <c r="AL315" s="802">
        <f>IF(AI315=0,0,(AK315-AI315)/AI315*100)</f>
        <v>0</v>
      </c>
      <c r="AM315" s="803"/>
      <c r="AN315" s="910" t="str">
        <f>IF(_xlfn.IFERROR(INDEX(ФОТ!$K$26:$L$188,MATCH($F315&amp;"4komm",ФОТ!$K$26:$K$188,0),2),"")=0,"",_xlfn.IFERROR(INDEX(ФОТ!$K$26:$L$188,MATCH($F315&amp;"4komm",ФОТ!$K$26:$K$188,0),2),""))</f>
        <v/>
      </c>
      <c r="AO315" s="803"/>
      <c r="AP315" s="1741"/>
      <c r="AQ315" s="1741"/>
      <c r="AR315" s="1062" t="s">
        <v>2512</v>
      </c>
      <c r="AS315" s="1062"/>
      <c r="AT315" s="1062"/>
      <c r="AU315" s="1059"/>
      <c r="AV315" s="1059"/>
    </row>
    <row s="7301" customFormat="1" customHeight="1" ht="14.25">
      <c r="A316" s="588"/>
      <c r="B316" s="588"/>
      <c r="C316" s="588"/>
      <c r="D316" s="588"/>
      <c r="E316" s="697">
        <v>15</v>
      </c>
      <c r="F316" s="50" cm="1" t="str">
        <f t="array" ref="F316:F316">OFFSET(E316,-1,1)</f>
        <v>3</v>
      </c>
      <c r="G316" s="588"/>
      <c r="H316" s="588"/>
      <c r="I316" s="698" t="s">
        <v>334</v>
      </c>
      <c r="J316" s="698"/>
      <c r="K316" s="698"/>
      <c r="L316" s="698"/>
      <c r="M316" s="698"/>
      <c r="N316" s="698"/>
      <c r="O316" s="698"/>
      <c r="P316" s="698"/>
      <c r="Q316" s="698"/>
      <c r="R316" s="698"/>
      <c r="S316" s="698"/>
      <c r="T316" s="465" cm="1" t="str">
        <f t="array" ref="T316:T316">T315</f>
        <v>true</v>
      </c>
      <c r="U316" s="588"/>
      <c r="V316" s="588"/>
      <c r="W316" s="588"/>
      <c r="X316" s="1641"/>
      <c r="Y316" s="588"/>
      <c r="Z316" s="1642"/>
      <c r="AA316" s="588"/>
      <c r="AB316" s="804" t="s">
        <v>289</v>
      </c>
      <c r="AC316" s="800" t="s">
        <v>2513</v>
      </c>
      <c r="AD316" s="812" t="s">
        <v>1514</v>
      </c>
      <c r="AE316" s="801">
        <f>AE317+AE318+AE321+AE322+AE323+AE324+AE325</f>
        <v>0</v>
      </c>
      <c r="AF316" s="801">
        <f>AF317+AF318+AF321+AF322+AF323+AF324+AF325</f>
        <v>0</v>
      </c>
      <c r="AG316" s="801">
        <f>AG317+AG318+AG321+AG322+AG323+AG324+AG325</f>
        <v>0</v>
      </c>
      <c r="AH316" s="801">
        <f>AG316-AF316</f>
        <v>0</v>
      </c>
      <c r="AI316" s="801">
        <f>AI317+AI318+AI321+AI322+AI323+AI324+AI325</f>
        <v>0</v>
      </c>
      <c r="AJ316" s="801">
        <f>AJ317+AJ318+AJ321+AJ322+AJ323+AJ324+AJ325</f>
        <v>17038.7811695243</v>
      </c>
      <c r="AK316" s="801">
        <f>AK317+AK318+AK321+AK322+AK323+AK324+AK325</f>
        <v>17038.8811695243</v>
      </c>
      <c r="AL316" s="801">
        <f>IF(AI316=0,0,(AK316-AI316)/AI316*100)</f>
        <v>0</v>
      </c>
      <c r="AM316" s="806"/>
      <c r="AN316" s="806"/>
      <c r="AO316" s="806"/>
      <c r="AP316" s="588"/>
      <c r="AQ316" s="588"/>
      <c r="AR316" s="1063" t="s">
        <v>2514</v>
      </c>
      <c r="AS316" s="1063"/>
      <c r="AT316" s="1063"/>
      <c r="AU316" s="697"/>
      <c r="AV316" s="697"/>
    </row>
    <row s="1834" customFormat="1" customHeight="1" ht="21.75">
      <c r="A317" s="1741"/>
      <c r="B317" s="1741"/>
      <c r="C317" s="1741"/>
      <c r="D317" s="1741"/>
      <c r="E317" s="695">
        <v>22.5</v>
      </c>
      <c r="F317" s="50" cm="1" t="str">
        <f t="array" ref="F317:F317">OFFSET(E317,-1,1)</f>
        <v>3</v>
      </c>
      <c r="G317" s="577" t="s">
        <v>1916</v>
      </c>
      <c r="H317" s="1741"/>
      <c r="I317" s="587" t="s">
        <v>1658</v>
      </c>
      <c r="J317" s="587"/>
      <c r="K317" s="587"/>
      <c r="L317" s="587"/>
      <c r="M317" s="587"/>
      <c r="N317" s="587"/>
      <c r="O317" s="587"/>
      <c r="P317" s="587"/>
      <c r="Q317" s="587"/>
      <c r="R317" s="587"/>
      <c r="S317" s="587"/>
      <c r="T317" s="465" cm="1" t="str">
        <f t="array" ref="T317:T317">T316</f>
        <v>true</v>
      </c>
      <c r="U317" s="1741"/>
      <c r="V317" s="1741"/>
      <c r="W317" s="1741"/>
      <c r="X317" s="1641"/>
      <c r="Y317" s="1741"/>
      <c r="Z317" s="1642"/>
      <c r="AA317" s="1741"/>
      <c r="AB317" s="807" t="s">
        <v>1264</v>
      </c>
      <c r="AC317" s="813" t="s">
        <v>2515</v>
      </c>
      <c r="AD317" s="814" t="s">
        <v>1514</v>
      </c>
      <c r="AE317" s="259">
        <f>_xlfn.SUMIFS(Административные!AE$25:AE$122,Административные!$F$25:$F$122,$F317,Административные!$G$25:$G$122,$G317)</f>
        <v>0</v>
      </c>
      <c r="AF317" s="259">
        <f>_xlfn.SUMIFS(Административные!AF$25:AF$122,Административные!$F$25:$F$122,$F317,Административные!$G$25:$G$122,$G317)</f>
        <v>0</v>
      </c>
      <c r="AG317" s="259">
        <f>_xlfn.SUMIFS(Административные!AG$25:AG$122,Административные!$F$25:$F$122,$F317,Административные!$G$25:$G$122,$G317)</f>
        <v>0</v>
      </c>
      <c r="AH317" s="802">
        <f>AG317-AF317</f>
        <v>0</v>
      </c>
      <c r="AI317" s="259">
        <f>_xlfn.SUMIFS(Административные!AH$25:AH$122,Административные!$F$25:$F$122,$F317,Административные!$G$25:$G$122,$G317)</f>
        <v>0</v>
      </c>
      <c r="AJ317" s="259">
        <f>_xlfn.SUMIFS(Административные!AI$25:AI$122,Административные!$F$25:$F$122,$F317,Административные!$G$25:$G$122,$G317)</f>
        <v>2298.25335</v>
      </c>
      <c r="AK317" s="259">
        <f>_xlfn.SUMIFS(Административные!AJ$25:AJ$122,Административные!$F$25:$F$122,$F317,Административные!$G$25:$G$122,$G317)</f>
        <v>2298.35335</v>
      </c>
      <c r="AL317" s="802">
        <f>IF(AI317=0,0,(AK317-AI317)/AI317*100)</f>
        <v>0</v>
      </c>
      <c r="AM317" s="803"/>
      <c r="AN317" s="910" t="str">
        <f>IF(_xlfn.IFERROR(INDEX(Административные!$K$26:$L$122,MATCH($F317&amp;"17komm",Административные!$K$26:$K$122,0),2),"")=0,"",_xlfn.IFERROR(INDEX(Административные!$K$26:$L$122,MATCH($F317&amp;"17komm",Административные!$K$26:$K$122,0),2),""))</f>
        <v>Учтены расходы по выданным долгосрочным параметрам и соответствуют предложению организации.</v>
      </c>
      <c r="AO317" s="803"/>
      <c r="AP317" s="1741"/>
      <c r="AQ317" s="1741"/>
      <c r="AR317" s="1062" t="s">
        <v>1918</v>
      </c>
      <c r="AS317" s="1062"/>
      <c r="AT317" s="1062"/>
      <c r="AU317" s="1059"/>
      <c r="AV317" s="1059"/>
    </row>
    <row s="1834" customFormat="1" customHeight="1" ht="32.25">
      <c r="A318" s="1741"/>
      <c r="B318" s="1741"/>
      <c r="C318" s="1741"/>
      <c r="D318" s="1741"/>
      <c r="E318" s="695">
        <v>33.75</v>
      </c>
      <c r="F318" s="50" cm="1" t="str">
        <f t="array" ref="F318:F318">OFFSET(E318,-1,1)</f>
        <v>3</v>
      </c>
      <c r="G318" s="1741"/>
      <c r="H318" s="1741"/>
      <c r="I318" s="587" t="s">
        <v>1660</v>
      </c>
      <c r="J318" s="587"/>
      <c r="K318" s="587"/>
      <c r="L318" s="587"/>
      <c r="M318" s="587"/>
      <c r="N318" s="587"/>
      <c r="O318" s="587"/>
      <c r="P318" s="587"/>
      <c r="Q318" s="587"/>
      <c r="R318" s="587"/>
      <c r="S318" s="587"/>
      <c r="T318" s="465" cm="1" t="str">
        <f t="array" ref="T318:T318">T317</f>
        <v>true</v>
      </c>
      <c r="U318" s="1741"/>
      <c r="V318" s="1741"/>
      <c r="W318" s="1741"/>
      <c r="X318" s="1641"/>
      <c r="Y318" s="1741"/>
      <c r="Z318" s="1642"/>
      <c r="AA318" s="1741"/>
      <c r="AB318" s="807" t="s">
        <v>1268</v>
      </c>
      <c r="AC318" s="813" t="s">
        <v>2516</v>
      </c>
      <c r="AD318" s="814" t="s">
        <v>1514</v>
      </c>
      <c r="AE318" s="802">
        <f>AE319+AE320</f>
        <v>0</v>
      </c>
      <c r="AF318" s="802">
        <f>AF319+AF320</f>
        <v>0</v>
      </c>
      <c r="AG318" s="802">
        <f>AG319+AG320</f>
        <v>0</v>
      </c>
      <c r="AH318" s="802">
        <f>AG318-AF318</f>
        <v>0</v>
      </c>
      <c r="AI318" s="802">
        <f>AI319+AI320</f>
        <v>0</v>
      </c>
      <c r="AJ318" s="802">
        <f>AJ319+AJ320</f>
        <v>14740.5278195243</v>
      </c>
      <c r="AK318" s="802">
        <f>AK319+AK320</f>
        <v>14740.5278195243</v>
      </c>
      <c r="AL318" s="802">
        <f>IF(AI318=0,0,(AK318-AI318)/AI318*100)</f>
        <v>0</v>
      </c>
      <c r="AM318" s="803"/>
      <c r="AN318" s="803"/>
      <c r="AO318" s="803"/>
      <c r="AP318" s="1741"/>
      <c r="AQ318" s="1741"/>
      <c r="AR318" s="1062" t="s">
        <v>2517</v>
      </c>
      <c r="AS318" s="1062"/>
      <c r="AT318" s="1062"/>
      <c r="AU318" s="1059"/>
      <c r="AV318" s="1059"/>
    </row>
    <row s="1834" customFormat="1" customHeight="1" ht="21.75">
      <c r="A319" s="1741"/>
      <c r="B319" s="1741"/>
      <c r="C319" s="1741"/>
      <c r="D319" s="1741"/>
      <c r="E319" s="695">
        <v>22.5</v>
      </c>
      <c r="F319" s="50" cm="1" t="str">
        <f t="array" ref="F319:F319">OFFSET(E319,-1,1)</f>
        <v>3</v>
      </c>
      <c r="G319" s="1233" t="s">
        <v>1889</v>
      </c>
      <c r="H319" s="1741"/>
      <c r="I319" s="587" t="s">
        <v>1211</v>
      </c>
      <c r="J319" s="587"/>
      <c r="K319" s="587"/>
      <c r="L319" s="587"/>
      <c r="M319" s="587"/>
      <c r="N319" s="587"/>
      <c r="O319" s="587"/>
      <c r="P319" s="587"/>
      <c r="Q319" s="587"/>
      <c r="R319" s="587"/>
      <c r="S319" s="587"/>
      <c r="T319" s="465" cm="1" t="str">
        <f t="array" ref="T319:T319">T318</f>
        <v>true</v>
      </c>
      <c r="U319" s="1741"/>
      <c r="V319" s="1741"/>
      <c r="W319" s="1741"/>
      <c r="X319" s="1641"/>
      <c r="Y319" s="1741"/>
      <c r="Z319" s="1642"/>
      <c r="AA319" s="1741"/>
      <c r="AB319" s="807" t="s">
        <v>1474</v>
      </c>
      <c r="AC319" s="808" t="s">
        <v>2518</v>
      </c>
      <c r="AD319" s="814" t="s">
        <v>1514</v>
      </c>
      <c r="AE319" s="802">
        <f>_xlfn.SUMIFS(ФОТ!AE$25:AE$188,ФОТ!$F$25:$F$188,$F319,ФОТ!$G$25:$G$188,$G319)</f>
        <v>0</v>
      </c>
      <c r="AF319" s="802">
        <f>_xlfn.SUMIFS(ФОТ!AF$25:AF$188,ФОТ!$F$25:$F$188,$F319,ФОТ!$G$25:$G$188,$G319)</f>
        <v>0</v>
      </c>
      <c r="AG319" s="802">
        <f>_xlfn.SUMIFS(ФОТ!AG$25:AG$188,ФОТ!$F$25:$F$188,$F319,ФОТ!$G$25:$G$188,$G319)</f>
        <v>0</v>
      </c>
      <c r="AH319" s="802">
        <f>AG319-AF319</f>
        <v>0</v>
      </c>
      <c r="AI319" s="802">
        <f>_xlfn.SUMIFS(ФОТ!AH$25:AH$188,ФОТ!$F$25:$F$188,$F319,ФОТ!$G$25:$G$188,$G319)</f>
        <v>0</v>
      </c>
      <c r="AJ319" s="802">
        <f>_xlfn.SUMIFS(ФОТ!AI$25:AI$188,ФОТ!$F$25:$F$188,$F319,ФОТ!$G$25:$G$188,$G319)</f>
        <v>11321.4499381907</v>
      </c>
      <c r="AK319" s="802">
        <f>_xlfn.SUMIFS(ФОТ!AJ$25:AJ$188,ФОТ!$F$25:$F$188,$F319,ФОТ!$G$25:$G$188,$G319)</f>
        <v>11321.4499381907</v>
      </c>
      <c r="AL319" s="802">
        <f>IF(AI319=0,0,(AK319-AI319)/AI319*100)</f>
        <v>0</v>
      </c>
      <c r="AM319" s="803"/>
      <c r="AN319" s="910" t="str">
        <f>IF(_xlfn.IFERROR(INDEX(ФОТ!$K$26:$L$188,MATCH($F319&amp;"5komm",ФОТ!$K$26:$K$188,0),2),"")=0,"",_xlfn.IFERROR(INDEX(ФОТ!$K$26:$L$188,MATCH($F319&amp;"5komm",ФОТ!$K$26:$K$188,0),2),""))</f>
        <v>по предложению организации в соответствии со штатным расписанием.</v>
      </c>
      <c r="AO319" s="803"/>
      <c r="AP319" s="1741"/>
      <c r="AQ319" s="1741"/>
      <c r="AR319" s="1062" t="s">
        <v>1915</v>
      </c>
      <c r="AS319" s="1062"/>
      <c r="AT319" s="1062"/>
      <c r="AU319" s="1059"/>
      <c r="AV319" s="1059"/>
    </row>
    <row s="1834" customFormat="1" customHeight="1" ht="32.25">
      <c r="A320" s="1741"/>
      <c r="B320" s="1741"/>
      <c r="C320" s="1741"/>
      <c r="D320" s="1741"/>
      <c r="E320" s="695">
        <v>33.75</v>
      </c>
      <c r="F320" s="50" cm="1" t="str">
        <f t="array" ref="F320:F320">OFFSET(E320,-1,1)</f>
        <v>3</v>
      </c>
      <c r="G320" s="498" t="s">
        <v>1894</v>
      </c>
      <c r="H320" s="1741"/>
      <c r="I320" s="587" t="s">
        <v>1216</v>
      </c>
      <c r="J320" s="587"/>
      <c r="K320" s="587"/>
      <c r="L320" s="587"/>
      <c r="M320" s="587"/>
      <c r="N320" s="587"/>
      <c r="O320" s="587"/>
      <c r="P320" s="587"/>
      <c r="Q320" s="587"/>
      <c r="R320" s="587"/>
      <c r="S320" s="587"/>
      <c r="T320" s="465" cm="1" t="str">
        <f t="array" ref="T320:T320">T319</f>
        <v>true</v>
      </c>
      <c r="U320" s="1741"/>
      <c r="V320" s="1741"/>
      <c r="W320" s="1741"/>
      <c r="X320" s="1641"/>
      <c r="Y320" s="1741"/>
      <c r="Z320" s="1642"/>
      <c r="AA320" s="1741"/>
      <c r="AB320" s="807" t="s">
        <v>1477</v>
      </c>
      <c r="AC320" s="808" t="s">
        <v>2519</v>
      </c>
      <c r="AD320" s="814" t="s">
        <v>1514</v>
      </c>
      <c r="AE320" s="802">
        <f>_xlfn.SUMIFS(ФОТ!AE$25:AE$188,ФОТ!$F$25:$F$188,$F320,ФОТ!$G$25:$G$188,$G320)</f>
        <v>0</v>
      </c>
      <c r="AF320" s="802">
        <f>_xlfn.SUMIFS(ФОТ!AF$25:AF$188,ФОТ!$F$25:$F$188,$F320,ФОТ!$G$25:$G$188,$G320)</f>
        <v>0</v>
      </c>
      <c r="AG320" s="802">
        <f>_xlfn.SUMIFS(ФОТ!AG$25:AG$188,ФОТ!$F$25:$F$188,$F320,ФОТ!$G$25:$G$188,$G320)</f>
        <v>0</v>
      </c>
      <c r="AH320" s="802">
        <f>AG320-AF320</f>
        <v>0</v>
      </c>
      <c r="AI320" s="802">
        <f>_xlfn.SUMIFS(ФОТ!AH$25:AH$188,ФОТ!$F$25:$F$188,$F320,ФОТ!$G$25:$G$188,$G320)</f>
        <v>0</v>
      </c>
      <c r="AJ320" s="802">
        <f>_xlfn.SUMIFS(ФОТ!AI$25:AI$188,ФОТ!$F$25:$F$188,$F320,ФОТ!$G$25:$G$188,$G320)</f>
        <v>3419.07788133359</v>
      </c>
      <c r="AK320" s="802">
        <f>_xlfn.SUMIFS(ФОТ!AJ$25:AJ$188,ФОТ!$F$25:$F$188,$F320,ФОТ!$G$25:$G$188,$G320)</f>
        <v>3419.07788133359</v>
      </c>
      <c r="AL320" s="802">
        <f>IF(AI320=0,0,(AK320-AI320)/AI320*100)</f>
        <v>0</v>
      </c>
      <c r="AM320" s="803"/>
      <c r="AN320" s="910" t="str">
        <f>IF(_xlfn.IFERROR(INDEX(ФОТ!$K$26:$L$188,MATCH($F320&amp;"6komm",ФОТ!$K$26:$K$188,0),2),"")=0,"",_xlfn.IFERROR(INDEX(ФОТ!$K$26:$L$188,MATCH($F320&amp;"6komm",ФОТ!$K$26:$K$188,0),2),""))</f>
        <v>на основании Налогового кодекса РФ (часть вторая) от 05.08.2000 № 117-ФЗ в размере 30%, а также в соответствии с Федеральным законом от 24.07.1998 № 125 – ФЗ (0,20%).</v>
      </c>
      <c r="AO320" s="803"/>
      <c r="AP320" s="1741"/>
      <c r="AQ320" s="1741"/>
      <c r="AR320" s="1062" t="s">
        <v>2520</v>
      </c>
      <c r="AS320" s="1062"/>
      <c r="AT320" s="1062"/>
      <c r="AU320" s="1059"/>
      <c r="AV320" s="1059"/>
    </row>
    <row s="1834" customFormat="1" customHeight="1" ht="32.25">
      <c r="A321" s="1741"/>
      <c r="B321" s="1741"/>
      <c r="C321" s="1741"/>
      <c r="D321" s="1741"/>
      <c r="E321" s="695">
        <v>33.75</v>
      </c>
      <c r="F321" s="50" cm="1" t="str">
        <f t="array" ref="F321:F321">OFFSET(E321,-1,1)</f>
        <v>3</v>
      </c>
      <c r="G321" s="577" t="s">
        <v>1944</v>
      </c>
      <c r="H321" s="1741"/>
      <c r="I321" s="587" t="s">
        <v>1662</v>
      </c>
      <c r="J321" s="587"/>
      <c r="K321" s="587"/>
      <c r="L321" s="587"/>
      <c r="M321" s="587"/>
      <c r="N321" s="587"/>
      <c r="O321" s="587"/>
      <c r="P321" s="587"/>
      <c r="Q321" s="587"/>
      <c r="R321" s="587"/>
      <c r="S321" s="587"/>
      <c r="T321" s="465" cm="1" t="str">
        <f t="array" ref="T321:T321">T320</f>
        <v>true</v>
      </c>
      <c r="U321" s="1741"/>
      <c r="V321" s="1741"/>
      <c r="W321" s="1741"/>
      <c r="X321" s="1641"/>
      <c r="Y321" s="1741"/>
      <c r="Z321" s="1642"/>
      <c r="AA321" s="1741"/>
      <c r="AB321" s="807" t="s">
        <v>1480</v>
      </c>
      <c r="AC321" s="813" t="s">
        <v>2521</v>
      </c>
      <c r="AD321" s="814" t="s">
        <v>1514</v>
      </c>
      <c r="AE321" s="802">
        <f>_xlfn.SUMIFS(Административные!AE$25:AE$122,Административные!$F$25:$F$122,$F321,Административные!$G$25:$G$122,$G321)</f>
        <v>0</v>
      </c>
      <c r="AF321" s="802">
        <f>_xlfn.SUMIFS(Административные!AF$25:AF$122,Административные!$F$25:$F$122,$F321,Административные!$G$25:$G$122,$G321)</f>
        <v>0</v>
      </c>
      <c r="AG321" s="802">
        <f>_xlfn.SUMIFS(Административные!AG$25:AG$122,Административные!$F$25:$F$122,$F321,Административные!$G$25:$G$122,$G321)</f>
        <v>0</v>
      </c>
      <c r="AH321" s="802">
        <f>AG321-AF321</f>
        <v>0</v>
      </c>
      <c r="AI321" s="802">
        <f>_xlfn.SUMIFS(Административные!AH$25:AH$122,Административные!$F$25:$F$122,$F321,Административные!$G$25:$G$122,$G321)</f>
        <v>0</v>
      </c>
      <c r="AJ321" s="802">
        <f>_xlfn.SUMIFS(Административные!AI$25:AI$122,Административные!$F$25:$F$122,$F321,Административные!$G$25:$G$122,$G321)</f>
        <v>0</v>
      </c>
      <c r="AK321" s="802">
        <f>_xlfn.SUMIFS(Административные!AJ$25:AJ$122,Административные!$F$25:$F$122,$F321,Административные!$G$25:$G$122,$G321)</f>
        <v>0</v>
      </c>
      <c r="AL321" s="802">
        <f>IF(AI321=0,0,(AK321-AI321)/AI321*100)</f>
        <v>0</v>
      </c>
      <c r="AM321" s="803"/>
      <c r="AN321" s="910" t="str">
        <f>IF(_xlfn.IFERROR(INDEX(Административные!$K$26:$L$122,MATCH($F321&amp;"2komm",Административные!$K$26:$K$122,0),2),"")=0,"",_xlfn.IFERROR(INDEX(Административные!$K$26:$L$122,MATCH($F321&amp;"2komm",Административные!$K$26:$K$122,0),2),""))</f>
        <v/>
      </c>
      <c r="AO321" s="803"/>
      <c r="AP321" s="1741"/>
      <c r="AQ321" s="1741"/>
      <c r="AR321" s="1062" t="s">
        <v>1946</v>
      </c>
      <c r="AS321" s="1062"/>
      <c r="AT321" s="1062"/>
      <c r="AU321" s="1059"/>
      <c r="AV321" s="1059"/>
    </row>
    <row s="1834" customFormat="1" customHeight="1" ht="14.25">
      <c r="A322" s="1741"/>
      <c r="B322" s="1741"/>
      <c r="C322" s="1741"/>
      <c r="D322" s="1741"/>
      <c r="E322" s="695">
        <v>15</v>
      </c>
      <c r="F322" s="50" cm="1" t="str">
        <f t="array" ref="F322:F322">OFFSET(E322,-1,1)</f>
        <v>3</v>
      </c>
      <c r="G322" s="577" t="s">
        <v>1947</v>
      </c>
      <c r="H322" s="1741"/>
      <c r="I322" s="587" t="s">
        <v>1664</v>
      </c>
      <c r="J322" s="587"/>
      <c r="K322" s="587"/>
      <c r="L322" s="587"/>
      <c r="M322" s="587"/>
      <c r="N322" s="587"/>
      <c r="O322" s="587"/>
      <c r="P322" s="587"/>
      <c r="Q322" s="587"/>
      <c r="R322" s="587"/>
      <c r="S322" s="587"/>
      <c r="T322" s="465" cm="1" t="str">
        <f t="array" ref="T322:T322">T321</f>
        <v>true</v>
      </c>
      <c r="U322" s="1741"/>
      <c r="V322" s="1741"/>
      <c r="W322" s="1741"/>
      <c r="X322" s="1641"/>
      <c r="Y322" s="1741"/>
      <c r="Z322" s="1642"/>
      <c r="AA322" s="1741"/>
      <c r="AB322" s="807" t="s">
        <v>1665</v>
      </c>
      <c r="AC322" s="813" t="s">
        <v>1948</v>
      </c>
      <c r="AD322" s="814" t="s">
        <v>1514</v>
      </c>
      <c r="AE322" s="802">
        <f>_xlfn.SUMIFS(Административные!AE$25:AE$122,Административные!$F$25:$F$122,$F322,Административные!$G$25:$G$122,$G322)</f>
        <v>0</v>
      </c>
      <c r="AF322" s="802">
        <f>_xlfn.SUMIFS(Административные!AF$25:AF$122,Административные!$F$25:$F$122,$F322,Административные!$G$25:$G$122,$G322)</f>
        <v>0</v>
      </c>
      <c r="AG322" s="802">
        <f>_xlfn.SUMIFS(Административные!AG$25:AG$122,Административные!$F$25:$F$122,$F322,Административные!$G$25:$G$122,$G322)</f>
        <v>0</v>
      </c>
      <c r="AH322" s="802">
        <f>AG322-AF322</f>
        <v>0</v>
      </c>
      <c r="AI322" s="802">
        <f>_xlfn.SUMIFS(Административные!AH$25:AH$122,Административные!$F$25:$F$122,$F322,Административные!$G$25:$G$122,$G322)</f>
        <v>0</v>
      </c>
      <c r="AJ322" s="802">
        <f>_xlfn.SUMIFS(Административные!AI$25:AI$122,Административные!$F$25:$F$122,$F322,Административные!$G$25:$G$122,$G322)</f>
        <v>0</v>
      </c>
      <c r="AK322" s="802">
        <f>_xlfn.SUMIFS(Административные!AJ$25:AJ$122,Административные!$F$25:$F$122,$F322,Административные!$G$25:$G$122,$G322)</f>
        <v>0</v>
      </c>
      <c r="AL322" s="802">
        <f>IF(AI322=0,0,(AK322-AI322)/AI322*100)</f>
        <v>0</v>
      </c>
      <c r="AM322" s="803"/>
      <c r="AN322" s="910" t="str">
        <f>IF(_xlfn.IFERROR(INDEX(Административные!$K$26:$L$122,MATCH($F322&amp;"3komm",Административные!$K$26:$K$122,0),2),"")=0,"",_xlfn.IFERROR(INDEX(Административные!$K$26:$L$122,MATCH($F322&amp;"3komm",Административные!$K$26:$K$122,0),2),""))</f>
        <v/>
      </c>
      <c r="AO322" s="803"/>
      <c r="AP322" s="1741"/>
      <c r="AQ322" s="1741"/>
      <c r="AR322" s="1062" t="s">
        <v>1949</v>
      </c>
      <c r="AS322" s="1062"/>
      <c r="AT322" s="1062"/>
      <c r="AU322" s="1059"/>
      <c r="AV322" s="1059"/>
    </row>
    <row s="1834" customFormat="1" customHeight="1" ht="14.25">
      <c r="A323" s="1741"/>
      <c r="B323" s="1741"/>
      <c r="C323" s="1741"/>
      <c r="D323" s="1741"/>
      <c r="E323" s="695">
        <v>15</v>
      </c>
      <c r="F323" s="50" cm="1" t="str">
        <f t="array" ref="F323:F323">OFFSET(E323,-1,1)</f>
        <v>3</v>
      </c>
      <c r="G323" s="577" t="s">
        <v>1950</v>
      </c>
      <c r="H323" s="1741"/>
      <c r="I323" s="587" t="s">
        <v>1667</v>
      </c>
      <c r="J323" s="587"/>
      <c r="K323" s="587"/>
      <c r="L323" s="587"/>
      <c r="M323" s="587"/>
      <c r="N323" s="587"/>
      <c r="O323" s="587"/>
      <c r="P323" s="587"/>
      <c r="Q323" s="587"/>
      <c r="R323" s="587"/>
      <c r="S323" s="587"/>
      <c r="T323" s="465" cm="1" t="str">
        <f t="array" ref="T323:T323">T322</f>
        <v>true</v>
      </c>
      <c r="U323" s="1741"/>
      <c r="V323" s="1741"/>
      <c r="W323" s="1741"/>
      <c r="X323" s="1641"/>
      <c r="Y323" s="1741"/>
      <c r="Z323" s="1642"/>
      <c r="AA323" s="1741"/>
      <c r="AB323" s="807" t="s">
        <v>1668</v>
      </c>
      <c r="AC323" s="813" t="s">
        <v>1951</v>
      </c>
      <c r="AD323" s="814" t="s">
        <v>1514</v>
      </c>
      <c r="AE323" s="802">
        <f>_xlfn.SUMIFS(Административные!AE$25:AE$122,Административные!$F$25:$F$122,$F323,Административные!$G$25:$G$122,$G323)</f>
        <v>0</v>
      </c>
      <c r="AF323" s="802">
        <f>_xlfn.SUMIFS(Административные!AF$25:AF$122,Административные!$F$25:$F$122,$F323,Административные!$G$25:$G$122,$G323)</f>
        <v>0</v>
      </c>
      <c r="AG323" s="802">
        <f>_xlfn.SUMIFS(Административные!AG$25:AG$122,Административные!$F$25:$F$122,$F323,Административные!$G$25:$G$122,$G323)</f>
        <v>0</v>
      </c>
      <c r="AH323" s="802">
        <f>AG323-AF323</f>
        <v>0</v>
      </c>
      <c r="AI323" s="802">
        <f>_xlfn.SUMIFS(Административные!AH$25:AH$122,Административные!$F$25:$F$122,$F323,Административные!$G$25:$G$122,$G323)</f>
        <v>0</v>
      </c>
      <c r="AJ323" s="802">
        <f>_xlfn.SUMIFS(Административные!AI$25:AI$122,Административные!$F$25:$F$122,$F323,Административные!$G$25:$G$122,$G323)</f>
        <v>0</v>
      </c>
      <c r="AK323" s="802">
        <f>_xlfn.SUMIFS(Административные!AJ$25:AJ$122,Административные!$F$25:$F$122,$F323,Административные!$G$25:$G$122,$G323)</f>
        <v>0</v>
      </c>
      <c r="AL323" s="802">
        <f>IF(AI323=0,0,(AK323-AI323)/AI323*100)</f>
        <v>0</v>
      </c>
      <c r="AM323" s="803"/>
      <c r="AN323" s="910" t="str">
        <f>IF(_xlfn.IFERROR(INDEX(Административные!$K$26:$L$122,MATCH($F323&amp;"4komm",Административные!$K$26:$K$122,0),2),"")=0,"",_xlfn.IFERROR(INDEX(Административные!$K$26:$L$122,MATCH($F323&amp;"4komm",Административные!$K$26:$K$122,0),2),""))</f>
        <v/>
      </c>
      <c r="AO323" s="803"/>
      <c r="AP323" s="1741"/>
      <c r="AQ323" s="1741"/>
      <c r="AR323" s="1062" t="s">
        <v>1952</v>
      </c>
      <c r="AS323" s="1062"/>
      <c r="AT323" s="1062"/>
      <c r="AU323" s="1059"/>
      <c r="AV323" s="1059"/>
    </row>
    <row s="1834" customFormat="1" customHeight="1" ht="14.25">
      <c r="A324" s="1741"/>
      <c r="B324" s="1741"/>
      <c r="C324" s="1741"/>
      <c r="D324" s="1741"/>
      <c r="E324" s="695">
        <v>15</v>
      </c>
      <c r="F324" s="50" cm="1" t="str">
        <f t="array" ref="F324:F324">OFFSET(E324,-1,1)</f>
        <v>3</v>
      </c>
      <c r="G324" s="577" t="s">
        <v>1953</v>
      </c>
      <c r="H324" s="1741"/>
      <c r="I324" s="587" t="s">
        <v>1935</v>
      </c>
      <c r="J324" s="587"/>
      <c r="K324" s="587"/>
      <c r="L324" s="587"/>
      <c r="M324" s="587"/>
      <c r="N324" s="587"/>
      <c r="O324" s="587"/>
      <c r="P324" s="587"/>
      <c r="Q324" s="587"/>
      <c r="R324" s="587"/>
      <c r="S324" s="587"/>
      <c r="T324" s="465" cm="1" t="str">
        <f t="array" ref="T324:T324">T323</f>
        <v>true</v>
      </c>
      <c r="U324" s="1741"/>
      <c r="V324" s="1741"/>
      <c r="W324" s="1741"/>
      <c r="X324" s="1641"/>
      <c r="Y324" s="1741"/>
      <c r="Z324" s="1642"/>
      <c r="AA324" s="1741"/>
      <c r="AB324" s="807" t="s">
        <v>1936</v>
      </c>
      <c r="AC324" s="813" t="s">
        <v>1954</v>
      </c>
      <c r="AD324" s="814" t="s">
        <v>1514</v>
      </c>
      <c r="AE324" s="802">
        <f>_xlfn.SUMIFS(Административные!AE$25:AE$122,Административные!$F$25:$F$122,$F324,Административные!$G$25:$G$122,$G324)</f>
        <v>0</v>
      </c>
      <c r="AF324" s="802">
        <f>_xlfn.SUMIFS(Административные!AF$25:AF$122,Административные!$F$25:$F$122,$F324,Административные!$G$25:$G$122,$G324)</f>
        <v>0</v>
      </c>
      <c r="AG324" s="802">
        <f>_xlfn.SUMIFS(Административные!AG$25:AG$122,Административные!$F$25:$F$122,$F324,Административные!$G$25:$G$122,$G324)</f>
        <v>0</v>
      </c>
      <c r="AH324" s="802">
        <f>AG324-AF324</f>
        <v>0</v>
      </c>
      <c r="AI324" s="802">
        <f>_xlfn.SUMIFS(Административные!AH$25:AH$122,Административные!$F$25:$F$122,$F324,Административные!$G$25:$G$122,$G324)</f>
        <v>0</v>
      </c>
      <c r="AJ324" s="802">
        <f>_xlfn.SUMIFS(Административные!AI$25:AI$122,Административные!$F$25:$F$122,$F324,Административные!$G$25:$G$122,$G324)</f>
        <v>0</v>
      </c>
      <c r="AK324" s="802">
        <f>_xlfn.SUMIFS(Административные!AJ$25:AJ$122,Административные!$F$25:$F$122,$F324,Административные!$G$25:$G$122,$G324)</f>
        <v>0</v>
      </c>
      <c r="AL324" s="802">
        <f>IF(AI324=0,0,(AK324-AI324)/AI324*100)</f>
        <v>0</v>
      </c>
      <c r="AM324" s="803"/>
      <c r="AN324" s="910" t="str">
        <f>IF(_xlfn.IFERROR(INDEX(Административные!$K$26:$L$122,MATCH($F320&amp;"5komm",Административные!$K$26:$K$122,0),2),"")=0,"",_xlfn.IFERROR(INDEX(Административные!$K$26:$L$122,MATCH($F320&amp;"5komm",Административные!$K$26:$K$122,0),2),""))</f>
        <v/>
      </c>
      <c r="AO324" s="803"/>
      <c r="AP324" s="1741"/>
      <c r="AQ324" s="1741"/>
      <c r="AR324" s="1062" t="s">
        <v>2522</v>
      </c>
      <c r="AS324" s="1062"/>
      <c r="AT324" s="1062"/>
      <c r="AU324" s="1059"/>
      <c r="AV324" s="1059"/>
    </row>
    <row s="1834" customFormat="1" customHeight="1" ht="14.25">
      <c r="A325" s="1741"/>
      <c r="B325" s="1741"/>
      <c r="C325" s="1741"/>
      <c r="D325" s="1741"/>
      <c r="E325" s="695">
        <v>15</v>
      </c>
      <c r="F325" s="50" cm="1" t="str">
        <f t="array" ref="F325:F325">OFFSET(E325,-1,1)</f>
        <v>3</v>
      </c>
      <c r="G325" s="577" t="s">
        <v>1956</v>
      </c>
      <c r="H325" s="1741"/>
      <c r="I325" s="587" t="s">
        <v>1940</v>
      </c>
      <c r="J325" s="587"/>
      <c r="K325" s="587"/>
      <c r="L325" s="587"/>
      <c r="M325" s="587"/>
      <c r="N325" s="587"/>
      <c r="O325" s="587"/>
      <c r="P325" s="587"/>
      <c r="Q325" s="587"/>
      <c r="R325" s="587"/>
      <c r="S325" s="587"/>
      <c r="T325" s="465" cm="1" t="str">
        <f t="array" ref="T325:T325">T324</f>
        <v>true</v>
      </c>
      <c r="U325" s="1741"/>
      <c r="V325" s="1741"/>
      <c r="W325" s="1741"/>
      <c r="X325" s="1641"/>
      <c r="Y325" s="1741"/>
      <c r="Z325" s="1642"/>
      <c r="AA325" s="1741"/>
      <c r="AB325" s="807" t="s">
        <v>1941</v>
      </c>
      <c r="AC325" s="813" t="s">
        <v>2523</v>
      </c>
      <c r="AD325" s="814" t="s">
        <v>1514</v>
      </c>
      <c r="AE325" s="802">
        <f>_xlfn.SUMIFS(Административные!AE$25:AE$122,Административные!$F$25:$F$122,$F325,Административные!$G$25:$G$122,$G325)</f>
        <v>0</v>
      </c>
      <c r="AF325" s="802">
        <f>_xlfn.SUMIFS(Административные!AF$25:AF$122,Административные!$F$25:$F$122,$F325,Административные!$G$25:$G$122,$G325)</f>
        <v>0</v>
      </c>
      <c r="AG325" s="802">
        <f>_xlfn.SUMIFS(Административные!AG$25:AG$122,Административные!$F$25:$F$122,$F325,Административные!$G$25:$G$122,$G325)</f>
        <v>0</v>
      </c>
      <c r="AH325" s="802">
        <f>AG325-AF325</f>
        <v>0</v>
      </c>
      <c r="AI325" s="802">
        <f>_xlfn.SUMIFS(Административные!AH$25:AH$122,Административные!$F$25:$F$122,$F325,Административные!$G$25:$G$122,$G325)</f>
        <v>0</v>
      </c>
      <c r="AJ325" s="802">
        <f>_xlfn.SUMIFS(Административные!AI$25:AI$122,Административные!$F$25:$F$122,$F325,Административные!$G$25:$G$122,$G325)</f>
        <v>0</v>
      </c>
      <c r="AK325" s="802">
        <f>_xlfn.SUMIFS(Административные!AJ$25:AJ$122,Административные!$F$25:$F$122,$F325,Административные!$G$25:$G$122,$G325)</f>
        <v>0</v>
      </c>
      <c r="AL325" s="802">
        <f>IF(AI325=0,0,(AK325-AI325)/AI325*100)</f>
        <v>0</v>
      </c>
      <c r="AM325" s="803"/>
      <c r="AN325" s="910" t="str">
        <f>IF(_xlfn.IFERROR(INDEX(Административные!$K$26:$L$122,MATCH($F325&amp;"6komm",Административные!$K$26:$K$122,0),2),"")=0,"",_xlfn.IFERROR(INDEX(Административные!$K$26:$L$122,MATCH($F320&amp;"6komm",Административные!$K$26:$K$122,0),2),""))</f>
        <v/>
      </c>
      <c r="AO325" s="803"/>
      <c r="AP325" s="1741"/>
      <c r="AQ325" s="1741"/>
      <c r="AR325" s="1062" t="s">
        <v>2524</v>
      </c>
      <c r="AS325" s="1062"/>
      <c r="AT325" s="1062"/>
      <c r="AU325" s="1059"/>
      <c r="AV325" s="1059"/>
    </row>
    <row s="1834" customFormat="1" customHeight="1" ht="14.25">
      <c r="A326" s="1741"/>
      <c r="B326" s="1741"/>
      <c r="C326" s="1741"/>
      <c r="D326" s="1741"/>
      <c r="E326" s="695">
        <v>15</v>
      </c>
      <c r="F326" s="50" cm="1" t="str">
        <f t="array" ref="F326:F326">OFFSET(E326,-1,1)</f>
        <v>3</v>
      </c>
      <c r="G326" s="577" t="s">
        <v>1958</v>
      </c>
      <c r="H326" s="1741"/>
      <c r="I326" s="587" t="s">
        <v>2525</v>
      </c>
      <c r="J326" s="587"/>
      <c r="K326" s="587"/>
      <c r="L326" s="587"/>
      <c r="M326" s="587"/>
      <c r="N326" s="587"/>
      <c r="O326" s="587"/>
      <c r="P326" s="587"/>
      <c r="Q326" s="587"/>
      <c r="R326" s="587"/>
      <c r="S326" s="587"/>
      <c r="T326" s="465" cm="1" t="str">
        <f t="array" ref="T326:T326">T325</f>
        <v>true</v>
      </c>
      <c r="U326" s="1741"/>
      <c r="V326" s="1741"/>
      <c r="W326" s="1741"/>
      <c r="X326" s="1641"/>
      <c r="Y326" s="1741"/>
      <c r="Z326" s="1642"/>
      <c r="AA326" s="1741"/>
      <c r="AB326" s="807" t="s">
        <v>2526</v>
      </c>
      <c r="AC326" s="808" t="s">
        <v>2527</v>
      </c>
      <c r="AD326" s="814" t="s">
        <v>1514</v>
      </c>
      <c r="AE326" s="802">
        <f>_xlfn.SUMIFS(Административные!AE$25:AE$122,Административные!$F$25:$F$122,$F326,Административные!$G$25:$G$122,$G326)</f>
        <v>0</v>
      </c>
      <c r="AF326" s="802">
        <f>_xlfn.SUMIFS(Административные!AF$25:AF$122,Административные!$F$25:$F$122,$F326,Административные!$G$25:$G$122,$G326)</f>
        <v>0</v>
      </c>
      <c r="AG326" s="802">
        <f>_xlfn.SUMIFS(Административные!AG$25:AG$122,Административные!$F$25:$F$122,$F326,Административные!$G$25:$G$122,$G326)</f>
        <v>0</v>
      </c>
      <c r="AH326" s="802">
        <f>AG326-AF326</f>
        <v>0</v>
      </c>
      <c r="AI326" s="802">
        <f>_xlfn.SUMIFS(Административные!AH$25:AH$122,Административные!$F$25:$F$122,$F326,Административные!$G$25:$G$122,$G326)</f>
        <v>0</v>
      </c>
      <c r="AJ326" s="802">
        <f>_xlfn.SUMIFS(Административные!AI$25:AI$122,Административные!$F$25:$F$122,$F326,Административные!$G$25:$G$122,$G326)</f>
        <v>0</v>
      </c>
      <c r="AK326" s="802">
        <f>_xlfn.SUMIFS(Административные!AJ$25:AJ$122,Административные!$F$25:$F$122,$F326,Административные!$G$25:$G$122,$G326)</f>
        <v>0</v>
      </c>
      <c r="AL326" s="802">
        <f>IF(AI326=0,0,(AK326-AI326)/AI326*100)</f>
        <v>0</v>
      </c>
      <c r="AM326" s="803"/>
      <c r="AN326" s="910" t="str">
        <f>IF(_xlfn.IFERROR(INDEX(Административные!$K$26:$L$122,MATCH($F326&amp;"7komm",Административные!$K$26:$K$122,0),2),"")=0,"",_xlfn.IFERROR(INDEX(Административные!$K$26:$L$122,MATCH($F321&amp;"7komm",Административные!$K$26:$K$122,0),2),""))</f>
        <v/>
      </c>
      <c r="AO326" s="803"/>
      <c r="AP326" s="1741"/>
      <c r="AQ326" s="1741"/>
      <c r="AR326" s="1062" t="s">
        <v>2528</v>
      </c>
      <c r="AS326" s="1062"/>
      <c r="AT326" s="1062"/>
      <c r="AU326" s="1059"/>
      <c r="AV326" s="1059"/>
    </row>
    <row s="1834" customFormat="1" customHeight="1" ht="43.5">
      <c r="A327" s="1741"/>
      <c r="B327" s="1741"/>
      <c r="C327" s="1741"/>
      <c r="D327" s="1741"/>
      <c r="E327" s="695">
        <v>45</v>
      </c>
      <c r="F327" s="50" cm="1" t="str">
        <f t="array" ref="F327:F327">OFFSET(E327,-1,1)</f>
        <v>3</v>
      </c>
      <c r="G327" s="577" t="s">
        <v>1961</v>
      </c>
      <c r="H327" s="1741"/>
      <c r="I327" s="587" t="s">
        <v>2529</v>
      </c>
      <c r="J327" s="587"/>
      <c r="K327" s="587"/>
      <c r="L327" s="587"/>
      <c r="M327" s="587"/>
      <c r="N327" s="587"/>
      <c r="O327" s="587"/>
      <c r="P327" s="587"/>
      <c r="Q327" s="587"/>
      <c r="R327" s="587"/>
      <c r="S327" s="587"/>
      <c r="T327" s="465" cm="1" t="str">
        <f t="array" ref="T327:T327">T326</f>
        <v>true</v>
      </c>
      <c r="U327" s="1741"/>
      <c r="V327" s="1741"/>
      <c r="W327" s="1741"/>
      <c r="X327" s="1641"/>
      <c r="Y327" s="1741"/>
      <c r="Z327" s="1642"/>
      <c r="AA327" s="1741"/>
      <c r="AB327" s="807" t="s">
        <v>2530</v>
      </c>
      <c r="AC327" s="762" t="s">
        <v>1962</v>
      </c>
      <c r="AD327" s="814" t="s">
        <v>1514</v>
      </c>
      <c r="AE327" s="802">
        <f>_xlfn.SUMIFS(Административные!AE$25:AE$122,Административные!$F$25:$F$122,$F327,Административные!$G$25:$G$122,$G327)</f>
        <v>0</v>
      </c>
      <c r="AF327" s="802">
        <f>_xlfn.SUMIFS(Административные!AF$25:AF$122,Административные!$F$25:$F$122,$F327,Административные!$G$25:$G$122,$G327)</f>
        <v>0</v>
      </c>
      <c r="AG327" s="802">
        <f>_xlfn.SUMIFS(Административные!AG$25:AG$122,Административные!$F$25:$F$122,$F327,Административные!$G$25:$G$122,$G327)</f>
        <v>0</v>
      </c>
      <c r="AH327" s="802">
        <f>AG327-AF327</f>
        <v>0</v>
      </c>
      <c r="AI327" s="802">
        <f>_xlfn.SUMIFS(Административные!AH$25:AH$122,Административные!$F$25:$F$122,$F327,Административные!$G$25:$G$122,$G327)</f>
        <v>0</v>
      </c>
      <c r="AJ327" s="802">
        <f>_xlfn.SUMIFS(Административные!AI$25:AI$122,Административные!$F$25:$F$122,$F327,Административные!$G$25:$G$122,$G327)</f>
        <v>0</v>
      </c>
      <c r="AK327" s="802">
        <f>_xlfn.SUMIFS(Административные!AJ$25:AJ$122,Административные!$F$25:$F$122,$F327,Административные!$G$25:$G$122,$G327)</f>
        <v>0</v>
      </c>
      <c r="AL327" s="802">
        <f>IF(AI327=0,0,(AK327-AI327)/AI327*100)</f>
        <v>0</v>
      </c>
      <c r="AM327" s="803"/>
      <c r="AN327" s="910" t="str">
        <f>IF(_xlfn.IFERROR(INDEX(Административные!$K$26:$L$122,MATCH($F327&amp;"8komm",Административные!$K$26:$K$122,0),2),"")=0,"",_xlfn.IFERROR(INDEX(Административные!$K$26:$L$122,MATCH($F322&amp;"8komm",Административные!$K$26:$K$122,0),2),""))</f>
        <v/>
      </c>
      <c r="AO327" s="803"/>
      <c r="AP327" s="1741"/>
      <c r="AQ327" s="1741"/>
      <c r="AR327" s="1062" t="s">
        <v>2531</v>
      </c>
      <c r="AS327" s="1062"/>
      <c r="AT327" s="1062"/>
      <c r="AU327" s="1059"/>
      <c r="AV327" s="1059"/>
    </row>
    <row s="1834" customFormat="1" customHeight="1" ht="14.25">
      <c r="A328" s="1741"/>
      <c r="B328" s="1741"/>
      <c r="C328" s="1741"/>
      <c r="D328" s="1741"/>
      <c r="E328" s="695">
        <v>15</v>
      </c>
      <c r="F328" s="50" cm="1" t="str">
        <f t="array" ref="F328:F328">OFFSET(E328,-1,1)</f>
        <v>3</v>
      </c>
      <c r="G328" s="577" t="s">
        <v>1964</v>
      </c>
      <c r="H328" s="1741"/>
      <c r="I328" s="587" t="s">
        <v>2532</v>
      </c>
      <c r="J328" s="587"/>
      <c r="K328" s="587"/>
      <c r="L328" s="587"/>
      <c r="M328" s="587"/>
      <c r="N328" s="587"/>
      <c r="O328" s="587"/>
      <c r="P328" s="587"/>
      <c r="Q328" s="587"/>
      <c r="R328" s="587"/>
      <c r="S328" s="587"/>
      <c r="T328" s="465" cm="1" t="str">
        <f t="array" ref="T328:T328">T327</f>
        <v>true</v>
      </c>
      <c r="U328" s="1741"/>
      <c r="V328" s="1741"/>
      <c r="W328" s="1741"/>
      <c r="X328" s="1641"/>
      <c r="Y328" s="1741"/>
      <c r="Z328" s="1642"/>
      <c r="AA328" s="1741"/>
      <c r="AB328" s="807" t="s">
        <v>2533</v>
      </c>
      <c r="AC328" s="808" t="s">
        <v>1965</v>
      </c>
      <c r="AD328" s="814" t="s">
        <v>1514</v>
      </c>
      <c r="AE328" s="802">
        <f>_xlfn.SUMIFS(Административные!AE$25:AE$122,Административные!$F$25:$F$122,$F328,Административные!$G$25:$G$122,$G328)</f>
        <v>0</v>
      </c>
      <c r="AF328" s="802">
        <f>_xlfn.SUMIFS(Административные!AF$25:AF$122,Административные!$F$25:$F$122,$F328,Административные!$G$25:$G$122,$G328)</f>
        <v>0</v>
      </c>
      <c r="AG328" s="802">
        <f>_xlfn.SUMIFS(Административные!AG$25:AG$122,Административные!$F$25:$F$122,$F328,Административные!$G$25:$G$122,$G328)</f>
        <v>0</v>
      </c>
      <c r="AH328" s="802">
        <f>AG328-AF328</f>
        <v>0</v>
      </c>
      <c r="AI328" s="802">
        <f>_xlfn.SUMIFS(Административные!AH$25:AH$122,Административные!$F$25:$F$122,$F328,Административные!$G$25:$G$122,$G328)</f>
        <v>0</v>
      </c>
      <c r="AJ328" s="1116">
        <f>_xlfn.SUMIFS(Административные!AI$25:AI$122,Административные!$F$25:$F$122,$F328,Административные!$G$25:$G$122,$G328)</f>
        <v>0</v>
      </c>
      <c r="AK328" s="1116">
        <f>_xlfn.SUMIFS(Административные!AJ$25:AJ$122,Административные!$F$25:$F$122,$F328,Административные!$G$25:$G$122,$G328)</f>
        <v>0</v>
      </c>
      <c r="AL328" s="802">
        <f>IF(AI328=0,0,(AK328-AI328)/AI328*100)</f>
        <v>0</v>
      </c>
      <c r="AM328" s="803"/>
      <c r="AN328" s="910" t="str">
        <f>IF(_xlfn.IFERROR(INDEX(Административные!$K$26:$L$122,MATCH($F328&amp;"9komm",Административные!$K$26:$K$122,0),2),"")=0,"",_xlfn.IFERROR(INDEX(Административные!$K$26:$L$122,MATCH($F323&amp;"9komm",Административные!$K$26:$K$122,0),2),""))</f>
        <v/>
      </c>
      <c r="AO328" s="803"/>
      <c r="AP328" s="1741"/>
      <c r="AQ328" s="1741"/>
      <c r="AR328" s="1062" t="s">
        <v>2534</v>
      </c>
      <c r="AS328" s="1062"/>
      <c r="AT328" s="1062"/>
      <c r="AU328" s="1059"/>
      <c r="AV328" s="1059"/>
    </row>
    <row s="7302" customFormat="1" customHeight="1" ht="14.25">
      <c r="A329" s="588"/>
      <c r="B329" s="588">
        <f>STATUS_GO="да"</f>
        <v>1</v>
      </c>
      <c r="C329" s="588"/>
      <c r="D329" s="588"/>
      <c r="E329" s="697">
        <v>15</v>
      </c>
      <c r="F329" s="50" cm="1" t="str">
        <f t="array" ref="F329:F329">OFFSET(E329,-1,1)</f>
        <v>3</v>
      </c>
      <c r="G329" s="588"/>
      <c r="H329" s="588"/>
      <c r="I329" s="698" t="s">
        <v>336</v>
      </c>
      <c r="J329" s="698"/>
      <c r="K329" s="698"/>
      <c r="L329" s="698"/>
      <c r="M329" s="698"/>
      <c r="N329" s="698"/>
      <c r="O329" s="698"/>
      <c r="P329" s="698"/>
      <c r="Q329" s="698"/>
      <c r="R329" s="698"/>
      <c r="S329" s="698"/>
      <c r="T329" s="465" cm="1" t="str">
        <f t="array" ref="T329:T329">T328</f>
        <v>true</v>
      </c>
      <c r="U329" s="588"/>
      <c r="V329" s="588"/>
      <c r="W329" s="588"/>
      <c r="X329" s="1641"/>
      <c r="Y329" s="588"/>
      <c r="Z329" s="1642"/>
      <c r="AA329" s="588"/>
      <c r="AB329" s="804" t="s">
        <v>295</v>
      </c>
      <c r="AC329" s="800" t="s">
        <v>2535</v>
      </c>
      <c r="AD329" s="812" t="s">
        <v>1514</v>
      </c>
      <c r="AE329" s="801">
        <f>_xlfn.SUMIFS('Сбытовые расходы ГО'!AE$25:AE$87,'Сбытовые расходы ГО'!$F$25:$F$87,$F329,'Сбытовые расходы ГО'!$G$25:$G$87,"l0")</f>
        <v>0</v>
      </c>
      <c r="AF329" s="801">
        <f>_xlfn.SUMIFS('Сбытовые расходы ГО'!AF$25:AF$87,'Сбытовые расходы ГО'!$F$25:$F$87,$F329,'Сбытовые расходы ГО'!$G$25:$G$87,"l0")</f>
        <v>0</v>
      </c>
      <c r="AG329" s="801">
        <f>_xlfn.SUMIFS('Сбытовые расходы ГО'!AG$25:AG$87,'Сбытовые расходы ГО'!$F$25:$F$87,$F329,'Сбытовые расходы ГО'!$G$25:$G$87,"l0")</f>
        <v>0</v>
      </c>
      <c r="AH329" s="801">
        <f>AG329-AF329</f>
        <v>0</v>
      </c>
      <c r="AI329" s="801">
        <f>_xlfn.SUMIFS('Сбытовые расходы ГО'!AH$25:AH$87,'Сбытовые расходы ГО'!$F$25:$F$87,$F329,'Сбытовые расходы ГО'!$G$25:$G$87,"l0")</f>
        <v>0</v>
      </c>
      <c r="AJ329" s="801">
        <f>_xlfn.SUMIFS('Сбытовые расходы ГО'!AI$25:AI$87,'Сбытовые расходы ГО'!$F$25:$F$87,$F329,'Сбытовые расходы ГО'!$G$25:$G$87,"l0")</f>
        <v>0</v>
      </c>
      <c r="AK329" s="801">
        <f>_xlfn.SUMIFS('Сбытовые расходы ГО'!AJ$25:AJ$87,'Сбытовые расходы ГО'!$F$25:$F$87,$F329,'Сбытовые расходы ГО'!$G$25:$G$87,"l0")</f>
        <v>0</v>
      </c>
      <c r="AL329" s="801">
        <f>IF(AI329=0,0,(AK329-AI329)/AI329*100)</f>
        <v>0</v>
      </c>
      <c r="AM329" s="806"/>
      <c r="AN329" s="910"/>
      <c r="AO329" s="806"/>
      <c r="AP329" s="588"/>
      <c r="AQ329" s="588"/>
      <c r="AR329" s="1063" t="s">
        <v>2536</v>
      </c>
      <c r="AS329" s="1063"/>
      <c r="AT329" s="1063"/>
      <c r="AU329" s="697"/>
      <c r="AV329" s="697"/>
    </row>
    <row s="7303" customFormat="1" customHeight="1" ht="14.25">
      <c r="A330" s="588"/>
      <c r="B330" s="588"/>
      <c r="C330" s="588"/>
      <c r="D330" s="588"/>
      <c r="E330" s="697">
        <v>15</v>
      </c>
      <c r="F330" s="50" cm="1" t="str">
        <f t="array" ref="F330:F330">OFFSET(E330,-1,1)</f>
        <v>3</v>
      </c>
      <c r="G330" s="588"/>
      <c r="H330" s="588"/>
      <c r="I330" s="698" t="s">
        <v>335</v>
      </c>
      <c r="J330" s="698"/>
      <c r="K330" s="698"/>
      <c r="L330" s="698"/>
      <c r="M330" s="698"/>
      <c r="N330" s="698"/>
      <c r="O330" s="698"/>
      <c r="P330" s="698"/>
      <c r="Q330" s="698"/>
      <c r="R330" s="698"/>
      <c r="S330" s="698"/>
      <c r="T330" s="465" cm="1" t="str">
        <f t="array" ref="T330:T330">T329</f>
        <v>true</v>
      </c>
      <c r="U330" s="588"/>
      <c r="V330" s="588"/>
      <c r="W330" s="588"/>
      <c r="X330" s="1641"/>
      <c r="Y330" s="588"/>
      <c r="Z330" s="1642"/>
      <c r="AA330" s="588"/>
      <c r="AB330" s="804" t="s">
        <v>443</v>
      </c>
      <c r="AC330" s="589" t="s">
        <v>2537</v>
      </c>
      <c r="AD330" s="812" t="s">
        <v>1514</v>
      </c>
      <c r="AE330" s="801">
        <f>_xlfn.SUMIFS(Амортизация!AE$25:AE$272,Амортизация!$F$25:$F$272,$F330,Амортизация!$AC$25:$AC$272,"Сумма амортизационных отчислений")</f>
        <v>0</v>
      </c>
      <c r="AF330" s="801">
        <f>_xlfn.SUMIFS(Амортизация!AF$25:AF$272,Амортизация!$F$25:$F$272,$F330,Амортизация!$AC$25:$AC$272,"Сумма амортизационных отчислений")</f>
        <v>0</v>
      </c>
      <c r="AG330" s="801">
        <f>_xlfn.SUMIFS(Амортизация!AG$25:AG$272,Амортизация!$F$25:$F$272,$F330,Амортизация!$AC$25:$AC$272,"Сумма амортизационных отчислений")</f>
        <v>0</v>
      </c>
      <c r="AH330" s="801">
        <f>AG330-AF330</f>
        <v>0</v>
      </c>
      <c r="AI330" s="801">
        <f>_xlfn.SUMIFS(Амортизация!AH$25:AH$272,Амортизация!$F$25:$F$272,$F330,Амортизация!$AC$25:$AC$272,"Сумма амортизационных отчислений")</f>
        <v>0</v>
      </c>
      <c r="AJ330" s="801">
        <f>_xlfn.SUMIFS(Амортизация!AI$25:AI$272,Амортизация!$F$25:$F$272,$F330,Амортизация!$AC$25:$AC$272,"Сумма амортизационных отчислений")</f>
        <v>0</v>
      </c>
      <c r="AK330" s="801">
        <f>_xlfn.SUMIFS(Амортизация!AS$25:AS$272,Амортизация!$F$25:$F$272,$F330,Амортизация!$AC$25:$AC$272,"Сумма амортизационных отчислений")</f>
        <v>0</v>
      </c>
      <c r="AL330" s="801">
        <f>IF(AI330=0,0,(AK330-AI330)/AI330*100)</f>
        <v>0</v>
      </c>
      <c r="AM330" s="806"/>
      <c r="AN330" s="910" t="str">
        <f>IF(_xlfn.IFERROR(INDEX(Амортизация!$K$26:$L$272,MATCH($F330&amp;"komm",Амортизация!$K$26:$K$675,0),2),"")=0,"",_xlfn.IFERROR(INDEX(Амортизация!$K$26:$L$272,MATCH($F330&amp;"komm",Амортизация!$K$26:$K$675,0),2),""))</f>
        <v/>
      </c>
      <c r="AO330" s="806"/>
      <c r="AP330" s="588"/>
      <c r="AQ330" s="588"/>
      <c r="AR330" s="1063" t="s">
        <v>1960</v>
      </c>
      <c r="AS330" s="1063"/>
      <c r="AT330" s="1063"/>
      <c r="AU330" s="697"/>
      <c r="AV330" s="697"/>
    </row>
    <row s="1834" customFormat="1" customHeight="1" ht="14.25">
      <c r="A331" s="1741"/>
      <c r="B331" s="1741"/>
      <c r="C331" s="1741"/>
      <c r="D331" s="1741"/>
      <c r="E331" s="695">
        <v>15</v>
      </c>
      <c r="F331" s="50" cm="1" t="str">
        <f t="array" ref="F331:F331">OFFSET(E331,-1,1)</f>
        <v>3</v>
      </c>
      <c r="G331" s="1741"/>
      <c r="H331" s="1741"/>
      <c r="I331" s="587" t="s">
        <v>1263</v>
      </c>
      <c r="J331" s="587"/>
      <c r="K331" s="587"/>
      <c r="L331" s="587"/>
      <c r="M331" s="587"/>
      <c r="N331" s="587"/>
      <c r="O331" s="587"/>
      <c r="P331" s="587"/>
      <c r="Q331" s="587"/>
      <c r="R331" s="587"/>
      <c r="S331" s="587"/>
      <c r="T331" s="465" cm="1" t="str">
        <f t="array" ref="T331:T331">T330</f>
        <v>true</v>
      </c>
      <c r="U331" s="1741"/>
      <c r="V331" s="1741"/>
      <c r="W331" s="1741"/>
      <c r="X331" s="1641"/>
      <c r="Y331" s="1741"/>
      <c r="Z331" s="1642"/>
      <c r="AA331" s="1741"/>
      <c r="AB331" s="807" t="s">
        <v>1391</v>
      </c>
      <c r="AC331" s="813" t="s">
        <v>2538</v>
      </c>
      <c r="AD331" s="814" t="s">
        <v>1514</v>
      </c>
      <c r="AE331" s="7168">
        <f>_xlfn.SUMIFS('ИП + источники'!AF$27:AF$203,'ИП + источники'!$F$27:$F$203,$F331,'ИП + источники'!$AC$27:$AC$203,"Амортизационные отчисления")+_xlfn.SUMIFS('ИП + источники'!AF$27:AF$203,'ИП + источники'!$F$27:$F$203,$F331,'ИП + источники'!$AC$27:$AC$203,"погашение займов и кредитов из амортизации")</f>
        <v>0</v>
      </c>
      <c r="AF331" s="7168">
        <f>_xlfn.SUMIFS('ИП + источники'!AG$27:AG$203,'ИП + источники'!$F$27:$F$203,$F331,'ИП + источники'!$AC$27:$AC$203,"Амортизационные отчисления")+_xlfn.SUMIFS('ИП + источники'!AG$27:AG$203,'ИП + источники'!$F$27:$F$203,$F331,'ИП + источники'!$AC$27:$AC$203,"погашение займов и кредитов из амортизации")</f>
        <v>0</v>
      </c>
      <c r="AG331" s="7168">
        <f>_xlfn.SUMIFS('ИП + источники'!AH$27:AH$203,'ИП + источники'!$F$27:$F$203,$F331,'ИП + источники'!$AC$27:$AC$203,"Амортизационные отчисления")+_xlfn.SUMIFS('ИП + источники'!AH$27:AH$203,'ИП + источники'!$F$27:$F$203,$F331,'ИП + источники'!$AC$27:$AC$203,"погашение займов и кредитов из амортизации")</f>
        <v>0</v>
      </c>
      <c r="AH331" s="802">
        <f>AG331-AF331</f>
        <v>0</v>
      </c>
      <c r="AI331" s="7168">
        <f>_xlfn.SUMIFS('ИП + источники'!AH$27:AH$203,'ИП + источники'!$F$27:$F$203,$F331,'ИП + источники'!$AC$27:$AC$203,"Амортизационные отчисления")+_xlfn.SUMIFS('ИП + источники'!AH$27:AH$203,'ИП + источники'!$F$27:$F$203,$F331,'ИП + источники'!$AC$27:$AC$203,"погашение займов и кредитов из амортизации")</f>
        <v>0</v>
      </c>
      <c r="AJ331" s="809">
        <f>_xlfn.SUMIFS('ИП + источники'!AI$27:AI$203,'ИП + источники'!$F$27:$F$203,$F331,'ИП + источники'!$AC$27:$AC$203,"Амортизационные отчисления")+_xlfn.SUMIFS('ИП + источники'!AI$27:AI$203,'ИП + источники'!$F$27:$F$203,$F331,'ИП + источники'!$AC$27:$AC$203,"погашение займов и кредитов из амортизации")</f>
        <v>0</v>
      </c>
      <c r="AK331" s="809">
        <f>_xlfn.SUMIFS('ИП + источники'!AJ$27:AJ$203,'ИП + источники'!$F$27:$F$203,$F331,'ИП + источники'!$AC$27:$AC$203,"Амортизационные отчисления")+_xlfn.SUMIFS('ИП + источники'!AJ$27:AJ$203,'ИП + источники'!$F$27:$F$203,$F331,'ИП + источники'!$AC$27:$AC$203,"погашение займов и кредитов из амортизации")</f>
        <v>0</v>
      </c>
      <c r="AL331" s="802">
        <f>IF(AI331=0,0,(AK331-AI331)/AI331*100)</f>
        <v>0</v>
      </c>
      <c r="AM331" s="803"/>
      <c r="AN331" s="803"/>
      <c r="AO331" s="803"/>
      <c r="AP331" s="1741"/>
      <c r="AQ331" s="1741"/>
      <c r="AR331" s="1062" t="s">
        <v>2539</v>
      </c>
      <c r="AS331" s="1062"/>
      <c r="AT331" s="1062"/>
      <c r="AU331" s="1059"/>
      <c r="AV331" s="1059"/>
    </row>
    <row s="7304" customFormat="1" customHeight="1" ht="21.75">
      <c r="A332" s="588"/>
      <c r="B332" s="588"/>
      <c r="C332" s="588"/>
      <c r="D332" s="588"/>
      <c r="E332" s="697">
        <v>22.5</v>
      </c>
      <c r="F332" s="50" cm="1" t="str">
        <f t="array" ref="F332:F332">OFFSET(E332,-1,1)</f>
        <v>3</v>
      </c>
      <c r="G332" s="588"/>
      <c r="H332" s="588"/>
      <c r="I332" s="698" t="s">
        <v>1225</v>
      </c>
      <c r="J332" s="698"/>
      <c r="K332" s="698"/>
      <c r="L332" s="698"/>
      <c r="M332" s="698"/>
      <c r="N332" s="698"/>
      <c r="O332" s="698"/>
      <c r="P332" s="698"/>
      <c r="Q332" s="698"/>
      <c r="R332" s="698"/>
      <c r="S332" s="698"/>
      <c r="T332" s="465" cm="1" t="str">
        <f t="array" ref="T332:T332">T331</f>
        <v>true</v>
      </c>
      <c r="U332" s="588"/>
      <c r="V332" s="588"/>
      <c r="W332" s="588"/>
      <c r="X332" s="1641"/>
      <c r="Y332" s="588"/>
      <c r="Z332" s="1642"/>
      <c r="AA332" s="588"/>
      <c r="AB332" s="804" t="s">
        <v>446</v>
      </c>
      <c r="AC332" s="589" t="s">
        <v>2540</v>
      </c>
      <c r="AD332" s="812" t="s">
        <v>1514</v>
      </c>
      <c r="AE332" s="801">
        <f>_xlfn.SUMIFS(Аренда!AE$25:AE$77,Аренда!$F$25:$F$77,$F332,Аренда!$G$25:$G$77,"Арендная и концессионная плата, лизинговые платежи")</f>
        <v>0</v>
      </c>
      <c r="AF332" s="801">
        <f>_xlfn.SUMIFS(Аренда!AF$25:AF$77,Аренда!$F$25:$F$77,$F332,Аренда!$G$25:$G$77,"Арендная и концессионная плата, лизинговые платежи")</f>
        <v>0</v>
      </c>
      <c r="AG332" s="801">
        <f>_xlfn.SUMIFS(Аренда!AG$25:AG$77,Аренда!$F$25:$F$77,$F332,Аренда!$G$25:$G$77,"Арендная и концессионная плата, лизинговые платежи")</f>
        <v>0</v>
      </c>
      <c r="AH332" s="801">
        <f>AG332-AF332</f>
        <v>0</v>
      </c>
      <c r="AI332" s="801">
        <f>_xlfn.SUMIFS(Аренда!AH$25:AH$77,Аренда!$F$25:$F$77,$F332,Аренда!$G$25:$G$77,"Арендная и концессионная плата, лизинговые платежи")</f>
        <v>0</v>
      </c>
      <c r="AJ332" s="801">
        <f>_xlfn.SUMIFS(Аренда!AI$25:AI$77,Аренда!$F$25:$F$77,$F332,Аренда!$G$25:$G$77,"Арендная и концессионная плата, лизинговые платежи")</f>
        <v>193.9</v>
      </c>
      <c r="AK332" s="801">
        <f>_xlfn.SUMIFS(Аренда!AS$25:AS$77,Аренда!$F$25:$F$77,$F332,Аренда!$G$25:$G$77,"Арендная и концессионная плата, лизинговые платежи")</f>
        <v>193.9</v>
      </c>
      <c r="AL332" s="801">
        <f>IF(AI332=0,0,(AK332-AI332)/AI332*100)</f>
        <v>0</v>
      </c>
      <c r="AM332" s="806"/>
      <c r="AN332" s="910" t="str">
        <f>IF(_xlfn.IFERROR(INDEX(Аренда!$K$26:$L$77,MATCH($F332&amp;"komm",Аренда!$K$26:$K$77,0),2),"")=0,"",_xlfn.IFERROR(INDEX(Аренда!$K$26:$L$77,MATCH($F332&amp;"komm",Аренда!$K$26:$K$77,0),2),""))</f>
        <v>В соответствии с п.п.3 п.49 Методических указаний 1746-э расходы на арендную плату и лизинговые платежи, размер которых определяется с учетом требований, предусмотренных пунктом 29 настоящих Методических указаний.​</v>
      </c>
      <c r="AO332" s="806"/>
      <c r="AP332" s="588"/>
      <c r="AQ332" s="588"/>
      <c r="AR332" s="1063" t="s">
        <v>2541</v>
      </c>
      <c r="AS332" s="1063"/>
      <c r="AT332" s="1063"/>
      <c r="AU332" s="697"/>
      <c r="AV332" s="697"/>
    </row>
    <row s="7305" customFormat="1" customHeight="1" ht="14.25">
      <c r="A333" s="588"/>
      <c r="B333" s="588"/>
      <c r="C333" s="588"/>
      <c r="D333" s="588"/>
      <c r="E333" s="697">
        <v>15</v>
      </c>
      <c r="F333" s="50" cm="1" t="str">
        <f t="array" ref="F333:F333">OFFSET(E333,-1,1)</f>
        <v>3</v>
      </c>
      <c r="G333" s="588"/>
      <c r="H333" s="588"/>
      <c r="I333" s="698" t="s">
        <v>1228</v>
      </c>
      <c r="J333" s="698"/>
      <c r="K333" s="698"/>
      <c r="L333" s="698"/>
      <c r="M333" s="698"/>
      <c r="N333" s="698"/>
      <c r="O333" s="698"/>
      <c r="P333" s="698"/>
      <c r="Q333" s="698"/>
      <c r="R333" s="698"/>
      <c r="S333" s="698"/>
      <c r="T333" s="465" cm="1" t="str">
        <f t="array" ref="T333:T333">T332</f>
        <v>true</v>
      </c>
      <c r="U333" s="588"/>
      <c r="V333" s="588"/>
      <c r="W333" s="588"/>
      <c r="X333" s="1641"/>
      <c r="Y333" s="588"/>
      <c r="Z333" s="1642"/>
      <c r="AA333" s="588"/>
      <c r="AB333" s="804" t="s">
        <v>449</v>
      </c>
      <c r="AC333" s="589" t="s">
        <v>2542</v>
      </c>
      <c r="AD333" s="812" t="s">
        <v>1514</v>
      </c>
      <c r="AE333" s="801">
        <f>_xlfn.SUMIFS(Налоги!AE$25:AE$101,Налоги!$F$25:$F$101,$F333,Налоги!$AC$25:$AC$101,"Налоги и платежи, относимые на указанный вид деятельности")</f>
        <v>0</v>
      </c>
      <c r="AF333" s="801">
        <f>_xlfn.SUMIFS(Налоги!AF$25:AF$101,Налоги!$F$25:$F$101,$F333,Налоги!$AC$25:$AC$101,"Налоги и платежи, относимые на указанный вид деятельности")</f>
        <v>0</v>
      </c>
      <c r="AG333" s="801">
        <f>_xlfn.SUMIFS(Налоги!AG$25:AG$101,Налоги!$F$25:$F$101,$F333,Налоги!$AC$25:$AC$101,"Налоги и платежи, относимые на указанный вид деятельности")</f>
        <v>0</v>
      </c>
      <c r="AH333" s="801">
        <f>AG333-AF333</f>
        <v>0</v>
      </c>
      <c r="AI333" s="801">
        <f>_xlfn.SUMIFS(Налоги!AH$25:AH$101,Налоги!$F$25:$F$101,$F333,Налоги!$AC$25:$AC$101,"Налоги и платежи, относимые на указанный вид деятельности")</f>
        <v>0</v>
      </c>
      <c r="AJ333" s="801">
        <f>_xlfn.SUMIFS(Налоги!AI$25:AI$101,Налоги!$F$25:$F$101,$F333,Налоги!$AC$25:$AC$101,"Налоги и платежи, относимые на указанный вид деятельности")</f>
        <v>184.694</v>
      </c>
      <c r="AK333" s="801">
        <f>_xlfn.SUMIFS(Налоги!AS$25:AS$101,Налоги!$F$25:$F$101,$F333,Налоги!$AC$25:$AC$101,"Налоги и платежи, относимые на указанный вид деятельности")</f>
        <v>184.6980136</v>
      </c>
      <c r="AL333" s="801">
        <f>IF(AI333=0,0,(AK333-AI333)/AI333*100)</f>
        <v>0</v>
      </c>
      <c r="AM333" s="806"/>
      <c r="AN333" s="910" t="str">
        <f>IF(_xlfn.IFERROR(INDEX(Налоги!$K$26:$L$101,MATCH($F333&amp;"komm",Налоги!$K$26:$K$101,0),2),"")=0,"",_xlfn.IFERROR(INDEX(Налоги!$K$26:$L$101,MATCH($F333&amp;"komm",Налоги!$K$26:$K$101,0),2),""))</f>
        <v>В соответствии с п.п. 2 п. 49 Методических указаний 1746-э.</v>
      </c>
      <c r="AO333" s="806"/>
      <c r="AP333" s="588"/>
      <c r="AQ333" s="588"/>
      <c r="AR333" s="1063" t="s">
        <v>1999</v>
      </c>
      <c r="AS333" s="1063"/>
      <c r="AT333" s="1063"/>
      <c r="AU333" s="697"/>
      <c r="AV333" s="697"/>
    </row>
    <row s="7306" customFormat="1" customHeight="1" ht="14.25">
      <c r="A334" s="588"/>
      <c r="B334" s="588"/>
      <c r="C334" s="588"/>
      <c r="D334" s="588"/>
      <c r="E334" s="697">
        <v>15</v>
      </c>
      <c r="F334" s="50" cm="1" t="str">
        <f t="array" ref="F334:F334">OFFSET(E334,-1,1)</f>
        <v>3</v>
      </c>
      <c r="G334" s="588"/>
      <c r="H334" s="588"/>
      <c r="I334" s="698" t="s">
        <v>1275</v>
      </c>
      <c r="J334" s="698"/>
      <c r="K334" s="698"/>
      <c r="L334" s="698"/>
      <c r="M334" s="698"/>
      <c r="N334" s="698"/>
      <c r="O334" s="698"/>
      <c r="P334" s="698"/>
      <c r="Q334" s="698"/>
      <c r="R334" s="698"/>
      <c r="S334" s="698"/>
      <c r="T334" s="465" cm="1" t="str">
        <f t="array" ref="T334:T334">T333</f>
        <v>true</v>
      </c>
      <c r="U334" s="588"/>
      <c r="V334" s="588"/>
      <c r="W334" s="588"/>
      <c r="X334" s="1641"/>
      <c r="Y334" s="588"/>
      <c r="Z334" s="1642"/>
      <c r="AA334" s="588"/>
      <c r="AB334" s="804" t="s">
        <v>452</v>
      </c>
      <c r="AC334" s="589" t="s">
        <v>2543</v>
      </c>
      <c r="AD334" s="590" t="s">
        <v>1514</v>
      </c>
      <c r="AE334" s="788">
        <f>AE335+AE336+AE337</f>
        <v>0</v>
      </c>
      <c r="AF334" s="788">
        <f>AF335+AF336+AF337</f>
        <v>0</v>
      </c>
      <c r="AG334" s="788">
        <f>AG335+AG336+AG337</f>
        <v>0</v>
      </c>
      <c r="AH334" s="788">
        <f>AG334-AF334</f>
        <v>0</v>
      </c>
      <c r="AI334" s="788">
        <f>AI335+AI336+AI337</f>
        <v>0</v>
      </c>
      <c r="AJ334" s="788">
        <f>AJ335+AJ336+AJ337</f>
        <v>0</v>
      </c>
      <c r="AK334" s="788">
        <f>AK335+AK336+AK337</f>
        <v>0</v>
      </c>
      <c r="AL334" s="801">
        <f>IF(AI334=0,0,(AK334-AI334)/AI334*100)</f>
        <v>0</v>
      </c>
      <c r="AM334" s="806"/>
      <c r="AN334" s="910"/>
      <c r="AO334" s="806"/>
      <c r="AP334" s="588"/>
      <c r="AQ334" s="588"/>
      <c r="AR334" s="1063" t="s">
        <v>2242</v>
      </c>
      <c r="AS334" s="1063"/>
      <c r="AT334" s="1063"/>
      <c r="AU334" s="697"/>
      <c r="AV334" s="697"/>
    </row>
    <row s="1834" customFormat="1" customHeight="1" ht="14.25">
      <c r="A335" s="1741"/>
      <c r="B335" s="1741"/>
      <c r="C335" s="1741"/>
      <c r="D335" s="1741"/>
      <c r="E335" s="695">
        <v>15</v>
      </c>
      <c r="F335" s="50" cm="1" t="str">
        <f t="array" ref="F335:F335">OFFSET(E335,-1,1)</f>
        <v>3</v>
      </c>
      <c r="G335" s="1741"/>
      <c r="H335" s="1741"/>
      <c r="I335" s="587" t="s">
        <v>1278</v>
      </c>
      <c r="J335" s="587"/>
      <c r="K335" s="587"/>
      <c r="L335" s="587"/>
      <c r="M335" s="587"/>
      <c r="N335" s="587"/>
      <c r="O335" s="587"/>
      <c r="P335" s="587"/>
      <c r="Q335" s="587"/>
      <c r="R335" s="587"/>
      <c r="S335" s="587"/>
      <c r="T335" s="465" cm="1" t="str">
        <f t="array" ref="T335:T335">T334</f>
        <v>true</v>
      </c>
      <c r="U335" s="1741"/>
      <c r="V335" s="1741"/>
      <c r="W335" s="1741"/>
      <c r="X335" s="1641"/>
      <c r="Y335" s="1741"/>
      <c r="Z335" s="1642"/>
      <c r="AA335" s="1741"/>
      <c r="AB335" s="807" t="s">
        <v>1301</v>
      </c>
      <c r="AC335" s="813" t="s">
        <v>2544</v>
      </c>
      <c r="AD335" s="814" t="s">
        <v>1514</v>
      </c>
      <c r="AE335" s="7168">
        <f>_xlfn.SUMIFS('ИП + источники'!AF$26:AF$203,'ИП + источники'!$F$26:$F$203,$F335,'ИП + источники'!$AC$26:$AC$203,"погашение займов и кредитов из нормативной прибыли")+_xlfn.SUMIFS('ИП + источники'!AF$26:AF$203,'ИП + источники'!$F$26:$F$203,$F335,'ИП + источники'!$AC$26:$AC$203,"уплата процентов по кредитам из нормативной прибыли")</f>
        <v>0</v>
      </c>
      <c r="AF335" s="7168">
        <f>_xlfn.SUMIFS('ИП + источники'!AG$26:AG$203,'ИП + источники'!$F$26:$F$203,$F335,'ИП + источники'!$AC$26:$AC$203,"погашение займов и кредитов из нормативной прибыли")+_xlfn.SUMIFS('ИП + источники'!AG$26:AG$203,'ИП + источники'!$F$26:$F$203,$F335,'ИП + источники'!$AC$26:$AC$203,"уплата процентов по кредитам из нормативной прибыли")</f>
        <v>0</v>
      </c>
      <c r="AG335" s="7168">
        <f>_xlfn.SUMIFS('ИП + источники'!AH$26:AH$203,'ИП + источники'!$F$26:$F$203,$F335,'ИП + источники'!$AC$26:$AC$203,"погашение займов и кредитов из нормативной прибыли")+_xlfn.SUMIFS('ИП + источники'!AH$26:AH$203,'ИП + источники'!$F$26:$F$203,$F335,'ИП + источники'!$AC$26:$AC$203,"уплата процентов по кредитам из нормативной прибыли")</f>
        <v>0</v>
      </c>
      <c r="AH335" s="802">
        <f>AG335-AF335</f>
        <v>0</v>
      </c>
      <c r="AI335" s="7168">
        <f>_xlfn.SUMIFS('ИП + источники'!AJ$26:AJ$203,'ИП + источники'!$F$26:$F$203,$F335,'ИП + источники'!$AC$26:$AC$203,"погашение займов и кредитов из нормативной прибыли")+_xlfn.SUMIFS('ИП + источники'!AJ$26:AJ$203,'ИП + источники'!$F$26:$F$203,$F335,'ИП + источники'!$AC$26:$AC$203,"уплата процентов по кредитам из нормативной прибыли")</f>
        <v>0</v>
      </c>
      <c r="AJ335" s="809">
        <f>_xlfn.SUMIFS('ИП + источники'!AK$26:AK$203,'ИП + источники'!$F$26:$F$203,$F335,'ИП + источники'!$AC$26:$AC$203,"погашение займов и кредитов из нормативной прибыли")+_xlfn.SUMIFS('ИП + источники'!AK$26:AK$203,'ИП + источники'!$F$26:$F$203,$F335,'ИП + источники'!$AC$26:$AC$203,"уплата процентов по кредитам из нормативной прибыли")</f>
        <v>0</v>
      </c>
      <c r="AK335" s="809">
        <f>_xlfn.SUMIFS('ИП + источники'!AU$26:AU$203,'ИП + источники'!$F$26:$F$203,$F335,'ИП + источники'!$AC$26:$AC$203,"погашение займов и кредитов из нормативной прибыли")+_xlfn.SUMIFS('ИП + источники'!AU$26:AU$203,'ИП + источники'!$F$26:$F$203,$F335,'ИП + источники'!$AC$26:$AC$203,"уплата процентов по кредитам из нормативной прибыли")</f>
        <v>0</v>
      </c>
      <c r="AL335" s="802">
        <f>IF(AI335=0,0,(AK335-AI335)/AI335*100)</f>
        <v>0</v>
      </c>
      <c r="AM335" s="803"/>
      <c r="AN335" s="910" t="str">
        <f>IF(_xlfn.IFERROR(INDEX('ИП + источники'!$K$57:$L$203,MATCH($F335&amp;"1komm",'ИП + источники'!$K$57:$K$203,0),2),"")=0,"",_xlfn.IFERROR(INDEX('ИП + источники'!$K$57:$L$203,MATCH($F335&amp;"1komm",'ИП + источники'!$K$57:$K$203,0),2),""))</f>
        <v/>
      </c>
      <c r="AO335" s="803"/>
      <c r="AP335" s="1741"/>
      <c r="AQ335" s="1741"/>
      <c r="AR335" s="1062" t="s">
        <v>1991</v>
      </c>
      <c r="AS335" s="1062"/>
      <c r="AT335" s="1062"/>
      <c r="AU335" s="1059"/>
      <c r="AV335" s="1059"/>
    </row>
    <row s="1834" customFormat="1" customHeight="1" ht="14.25">
      <c r="A336" s="1741"/>
      <c r="B336" s="1741"/>
      <c r="C336" s="1741"/>
      <c r="D336" s="1741"/>
      <c r="E336" s="695">
        <v>15</v>
      </c>
      <c r="F336" s="50" cm="1" t="str">
        <f t="array" ref="F336:F336">OFFSET(E336,-1,1)</f>
        <v>3</v>
      </c>
      <c r="G336" s="1741"/>
      <c r="H336" s="1741"/>
      <c r="I336" s="587" t="s">
        <v>1282</v>
      </c>
      <c r="J336" s="587"/>
      <c r="K336" s="587"/>
      <c r="L336" s="587"/>
      <c r="M336" s="587"/>
      <c r="N336" s="587"/>
      <c r="O336" s="587"/>
      <c r="P336" s="587"/>
      <c r="Q336" s="587"/>
      <c r="R336" s="587"/>
      <c r="S336" s="587"/>
      <c r="T336" s="465" cm="1" t="str">
        <f t="array" ref="T336:T336">T335</f>
        <v>true</v>
      </c>
      <c r="U336" s="1741"/>
      <c r="V336" s="1741"/>
      <c r="W336" s="1741"/>
      <c r="X336" s="1641"/>
      <c r="Y336" s="1741"/>
      <c r="Z336" s="1642"/>
      <c r="AA336" s="1741"/>
      <c r="AB336" s="807" t="s">
        <v>1318</v>
      </c>
      <c r="AC336" s="813" t="s">
        <v>2545</v>
      </c>
      <c r="AD336" s="814" t="s">
        <v>1514</v>
      </c>
      <c r="AE336" s="7168">
        <f>_xlfn.SUMIFS('ИП + источники'!AF$27:AF$203,'ИП + источники'!$F$27:$F$203,$F336,'ИП + источники'!$AC$27:$AC$203,"Прибыль на капвложения")</f>
        <v>0</v>
      </c>
      <c r="AF336" s="7168">
        <f>_xlfn.SUMIFS('ИП + источники'!AG$27:AG$203,'ИП + источники'!$F$27:$F$203,$F336,'ИП + источники'!$AC$27:$AC$203,"Прибыль на капвложения")</f>
        <v>0</v>
      </c>
      <c r="AG336" s="7168">
        <f>_xlfn.SUMIFS('ИП + источники'!AH$27:AH$203,'ИП + источники'!$F$27:$F$203,$F336,'ИП + источники'!$AC$27:$AC$203,"Прибыль на капвложения")</f>
        <v>0</v>
      </c>
      <c r="AH336" s="802">
        <f>AG336-AF336</f>
        <v>0</v>
      </c>
      <c r="AI336" s="7168">
        <f>_xlfn.SUMIFS('ИП + источники'!AJ$27:AJ$203,'ИП + источники'!$F$27:$F$203,$F336,'ИП + источники'!$AC$27:$AC$203,"Прибыль на капвложения")</f>
        <v>0</v>
      </c>
      <c r="AJ336" s="809">
        <f>_xlfn.SUMIFS('ИП + источники'!AK$27:AK$203,'ИП + источники'!$F$27:$F$203,$F336,'ИП + источники'!$AC$27:$AC$203,"Прибыль на капвложения")</f>
        <v>0</v>
      </c>
      <c r="AK336" s="809">
        <f>_xlfn.SUMIFS('ИП + источники'!AU$27:AU$203,'ИП + источники'!$F$27:$F$203,$F336,'ИП + источники'!$AC$27:$AC$203,"Прибыль на капвложения")</f>
        <v>0</v>
      </c>
      <c r="AL336" s="802">
        <f>IF(AI336=0,0,(AK336-AI336)/AI336*100)</f>
        <v>0</v>
      </c>
      <c r="AM336" s="803"/>
      <c r="AN336" s="910" t="str">
        <f>IF(_xlfn.IFERROR(INDEX('ИП + источники'!$K$57:$L$203,MATCH($F336&amp;"2komm",'ИП + источники'!$K$57:$K$203,0),2),"")=0,"",_xlfn.IFERROR(INDEX('ИП + источники'!$K$57:$L$203,MATCH($F336&amp;"2komm",'ИП + источники'!$K$57:$K$203,0),2),""))</f>
        <v/>
      </c>
      <c r="AO336" s="803"/>
      <c r="AP336" s="1741"/>
      <c r="AQ336" s="1741"/>
      <c r="AR336" s="1062" t="s">
        <v>2546</v>
      </c>
      <c r="AS336" s="1062"/>
      <c r="AT336" s="1062"/>
      <c r="AU336" s="1059"/>
      <c r="AV336" s="1059"/>
    </row>
    <row s="1834" customFormat="1" customHeight="1" ht="21.75">
      <c r="A337" s="1741"/>
      <c r="B337" s="1741"/>
      <c r="C337" s="1741"/>
      <c r="D337" s="1741"/>
      <c r="E337" s="695">
        <v>22.5</v>
      </c>
      <c r="F337" s="50" cm="1" t="str">
        <f t="array" ref="F337:F337">OFFSET(E337,-1,1)</f>
        <v>3</v>
      </c>
      <c r="G337" s="1741"/>
      <c r="H337" s="1741"/>
      <c r="I337" s="587" t="s">
        <v>1286</v>
      </c>
      <c r="J337" s="587"/>
      <c r="K337" s="587"/>
      <c r="L337" s="587"/>
      <c r="M337" s="587"/>
      <c r="N337" s="587"/>
      <c r="O337" s="587"/>
      <c r="P337" s="587"/>
      <c r="Q337" s="587"/>
      <c r="R337" s="587"/>
      <c r="S337" s="587"/>
      <c r="T337" s="465" cm="1" t="str">
        <f t="array" ref="T337:T337">T336</f>
        <v>true</v>
      </c>
      <c r="U337" s="1741"/>
      <c r="V337" s="1741"/>
      <c r="W337" s="1741"/>
      <c r="X337" s="1641"/>
      <c r="Y337" s="1741"/>
      <c r="Z337" s="1642"/>
      <c r="AA337" s="1741"/>
      <c r="AB337" s="807" t="s">
        <v>1330</v>
      </c>
      <c r="AC337" s="813" t="s">
        <v>2547</v>
      </c>
      <c r="AD337" s="814" t="s">
        <v>1514</v>
      </c>
      <c r="AE337" s="7168"/>
      <c r="AF337" s="7168"/>
      <c r="AG337" s="7168"/>
      <c r="AH337" s="802"/>
      <c r="AI337" s="7168"/>
      <c r="AJ337" s="809"/>
      <c r="AK337" s="809"/>
      <c r="AL337" s="802">
        <f>IF(AI337=0,0,(AK337-AI337)/AI337*100)</f>
        <v>0</v>
      </c>
      <c r="AM337" s="803"/>
      <c r="AN337" s="803"/>
      <c r="AO337" s="803"/>
      <c r="AP337" s="1741"/>
      <c r="AQ337" s="1741"/>
      <c r="AR337" s="1062" t="s">
        <v>2548</v>
      </c>
      <c r="AS337" s="1062"/>
      <c r="AT337" s="1062"/>
      <c r="AU337" s="1059"/>
      <c r="AV337" s="1059"/>
    </row>
    <row s="7307" customFormat="1" customHeight="1" ht="21.75">
      <c r="A338" s="588"/>
      <c r="B338" s="588">
        <f>STATUS_GO="да"</f>
        <v>1</v>
      </c>
      <c r="C338" s="588"/>
      <c r="D338" s="588"/>
      <c r="E338" s="697">
        <v>22.5</v>
      </c>
      <c r="F338" s="50" cm="1" t="str">
        <f t="array" ref="F338:F338">OFFSET(E338,-1,1)</f>
        <v>3</v>
      </c>
      <c r="G338" s="588"/>
      <c r="H338" s="588"/>
      <c r="I338" s="698" t="s">
        <v>1290</v>
      </c>
      <c r="J338" s="698"/>
      <c r="K338" s="698"/>
      <c r="L338" s="698"/>
      <c r="M338" s="698"/>
      <c r="N338" s="698"/>
      <c r="O338" s="698"/>
      <c r="P338" s="698"/>
      <c r="Q338" s="698"/>
      <c r="R338" s="698"/>
      <c r="S338" s="698"/>
      <c r="T338" s="465" cm="1" t="str">
        <f t="array" ref="T338:T338">T337</f>
        <v>true</v>
      </c>
      <c r="U338" s="588"/>
      <c r="V338" s="588"/>
      <c r="W338" s="588"/>
      <c r="X338" s="1641"/>
      <c r="Y338" s="588"/>
      <c r="Z338" s="1642"/>
      <c r="AA338" s="588"/>
      <c r="AB338" s="804" t="s">
        <v>455</v>
      </c>
      <c r="AC338" s="800" t="s">
        <v>2549</v>
      </c>
      <c r="AD338" s="812" t="s">
        <v>1514</v>
      </c>
      <c r="AE338" s="7165"/>
      <c r="AF338" s="7165"/>
      <c r="AG338" s="7165"/>
      <c r="AH338" s="801">
        <f>AG338-AF338</f>
        <v>0</v>
      </c>
      <c r="AI338" s="7165"/>
      <c r="AJ338" s="810"/>
      <c r="AK338" s="810"/>
      <c r="AL338" s="801">
        <f>IF(AI338=0,0,(AK338-AI338)/AI338*100)</f>
        <v>0</v>
      </c>
      <c r="AM338" s="806"/>
      <c r="AN338" s="806"/>
      <c r="AO338" s="806"/>
      <c r="AP338" s="588"/>
      <c r="AQ338" s="588"/>
      <c r="AR338" s="1063" t="s">
        <v>2550</v>
      </c>
      <c r="AS338" s="1063"/>
      <c r="AT338" s="1063"/>
      <c r="AU338" s="697"/>
      <c r="AV338" s="697"/>
    </row>
    <row s="1834" customFormat="1" customHeight="1" ht="14.25">
      <c r="A339" s="1741"/>
      <c r="B339" s="1741"/>
      <c r="C339" s="1741"/>
      <c r="D339" s="1741"/>
      <c r="E339" s="695">
        <v>15</v>
      </c>
      <c r="F339" s="50" cm="1" t="str">
        <f t="array" ref="F339:F339">OFFSET(E339,-1,1)</f>
        <v>3</v>
      </c>
      <c r="G339" s="1741"/>
      <c r="H339" s="1741"/>
      <c r="I339" s="587" t="s">
        <v>1297</v>
      </c>
      <c r="J339" s="587"/>
      <c r="K339" s="587"/>
      <c r="L339" s="587"/>
      <c r="M339" s="587"/>
      <c r="N339" s="587"/>
      <c r="O339" s="587"/>
      <c r="P339" s="587"/>
      <c r="Q339" s="587"/>
      <c r="R339" s="587"/>
      <c r="S339" s="587"/>
      <c r="T339" s="465" cm="1" t="str">
        <f t="array" ref="T339:T339">T338</f>
        <v>true</v>
      </c>
      <c r="U339" s="1741"/>
      <c r="V339" s="1741"/>
      <c r="W339" s="1741"/>
      <c r="X339" s="1641"/>
      <c r="Y339" s="1741"/>
      <c r="Z339" s="1642"/>
      <c r="AA339" s="1741"/>
      <c r="AB339" s="807" t="s">
        <v>458</v>
      </c>
      <c r="AC339" s="816" t="s">
        <v>2197</v>
      </c>
      <c r="AD339" s="814" t="s">
        <v>1514</v>
      </c>
      <c r="AE339" s="7168"/>
      <c r="AF339" s="7168"/>
      <c r="AG339" s="7168"/>
      <c r="AH339" s="802"/>
      <c r="AI339" s="7189"/>
      <c r="AJ339" s="7189"/>
      <c r="AK339" s="7189"/>
      <c r="AL339" s="802">
        <f>IF(AI339=0,0,(AK339-AI339)/AI339*100)</f>
        <v>0</v>
      </c>
      <c r="AM339" s="803"/>
      <c r="AN339" s="803"/>
      <c r="AO339" s="803"/>
      <c r="AP339" s="1741"/>
      <c r="AQ339" s="1741"/>
      <c r="AR339" s="1062" t="s">
        <v>2551</v>
      </c>
      <c r="AS339" s="1062"/>
      <c r="AT339" s="1062"/>
      <c r="AU339" s="1059"/>
      <c r="AV339" s="1059"/>
    </row>
    <row s="1834" customFormat="1" customHeight="1" ht="101.25" hidden="1">
      <c r="A340" s="1741"/>
      <c r="B340" s="1741"/>
      <c r="C340" s="1741"/>
      <c r="D340" s="1741"/>
      <c r="E340" s="695">
        <v>0</v>
      </c>
      <c r="F340" s="50" cm="1" t="str">
        <f t="array" ref="F340:F340">OFFSET(E340,-1,1)</f>
        <v>3</v>
      </c>
      <c r="G340" s="1741"/>
      <c r="H340" s="517">
        <f>ISERR(SEARCH("Водоснабжение",AB282))</f>
        <v>1</v>
      </c>
      <c r="I340" s="587" t="s">
        <v>1454</v>
      </c>
      <c r="J340" s="587"/>
      <c r="K340" s="587"/>
      <c r="L340" s="587"/>
      <c r="M340" s="587"/>
      <c r="N340" s="587"/>
      <c r="O340" s="587"/>
      <c r="P340" s="587"/>
      <c r="Q340" s="587"/>
      <c r="R340" s="587"/>
      <c r="S340" s="587"/>
      <c r="T340" s="465" cm="1" t="str">
        <f t="array" ref="T340:T340">T339</f>
        <v>true</v>
      </c>
      <c r="U340" s="1741"/>
      <c r="V340" s="1741"/>
      <c r="W340" s="1741"/>
      <c r="X340" s="1641"/>
      <c r="Y340" s="1741"/>
      <c r="Z340" s="1642"/>
      <c r="AA340" s="1741"/>
      <c r="AB340" s="807" t="s">
        <v>461</v>
      </c>
      <c r="AC340" s="816" t="s">
        <v>2552</v>
      </c>
      <c r="AD340" s="759" t="s">
        <v>1514</v>
      </c>
      <c r="AE340" s="7168"/>
      <c r="AF340" s="7168"/>
      <c r="AG340" s="7168"/>
      <c r="AH340" s="802">
        <f>AG340-AF340</f>
        <v>0</v>
      </c>
      <c r="AI340" s="7168"/>
      <c r="AJ340" s="7168"/>
      <c r="AK340" s="7168">
        <f>_xlfn.IFERROR(_xlfn.SUMIFS('Плата за негативное возд'!$AL$25:$AL$41,'Плата за негативное возд'!$F$25:$F$41,F340,'Плата за негативное возд'!$G$25:$G$41,"1"),0)</f>
        <v>0</v>
      </c>
      <c r="AL340" s="802">
        <f>IF(AI340=0,0,(AK340-AI340)/AI340*100)</f>
        <v>0</v>
      </c>
      <c r="AM340" s="7153"/>
      <c r="AN340" s="7153"/>
      <c r="AO340" s="7153"/>
      <c r="AP340" s="1741"/>
      <c r="AQ340" s="1741"/>
      <c r="AR340" s="1062" t="s">
        <v>2098</v>
      </c>
      <c r="AS340" s="1062"/>
      <c r="AT340" s="1062"/>
      <c r="AU340" s="1059"/>
      <c r="AV340" s="1059"/>
    </row>
    <row s="1834" customFormat="1" customHeight="1" ht="67.5" hidden="1">
      <c r="A341" s="1741"/>
      <c r="B341" s="1741"/>
      <c r="C341" s="1741"/>
      <c r="D341" s="1741"/>
      <c r="E341" s="695">
        <v>0</v>
      </c>
      <c r="F341" s="50" cm="1" t="str">
        <f t="array" ref="F341:F341">OFFSET(E341,-1,1)</f>
        <v>3</v>
      </c>
      <c r="G341" s="1741"/>
      <c r="H341" s="517">
        <f>ISERR(SEARCH("Водоснабжение",AB282))</f>
        <v>1</v>
      </c>
      <c r="I341" s="587" t="s">
        <v>1456</v>
      </c>
      <c r="J341" s="587"/>
      <c r="K341" s="587"/>
      <c r="L341" s="587"/>
      <c r="M341" s="587"/>
      <c r="N341" s="587"/>
      <c r="O341" s="587"/>
      <c r="P341" s="587"/>
      <c r="Q341" s="587"/>
      <c r="R341" s="587"/>
      <c r="S341" s="587"/>
      <c r="T341" s="465" cm="1" t="str">
        <f t="array" ref="T341:T341">T340</f>
        <v>true</v>
      </c>
      <c r="U341" s="1741"/>
      <c r="V341" s="1741"/>
      <c r="W341" s="1741"/>
      <c r="X341" s="1641"/>
      <c r="Y341" s="1741"/>
      <c r="Z341" s="1642"/>
      <c r="AA341" s="1741"/>
      <c r="AB341" s="807" t="s">
        <v>463</v>
      </c>
      <c r="AC341" s="816" t="s">
        <v>2553</v>
      </c>
      <c r="AD341" s="759" t="s">
        <v>1514</v>
      </c>
      <c r="AE341" s="7168"/>
      <c r="AF341" s="7168"/>
      <c r="AG341" s="7168"/>
      <c r="AH341" s="802">
        <f>AG341-AF341</f>
        <v>0</v>
      </c>
      <c r="AI341" s="7168"/>
      <c r="AJ341" s="7168"/>
      <c r="AK341" s="7168">
        <f>_xlfn.IFERROR(_xlfn.SUMIFS('Плата за негативное возд'!$AL$25:$AL$41,'Плата за негативное возд'!$F$25:$F$41,F341,'Плата за негативное возд'!$G$25:$G$41,"2"),0)</f>
        <v>0</v>
      </c>
      <c r="AL341" s="802">
        <f>IF(AI341=0,0,(AK341-AI341)/AI341*100)</f>
        <v>0</v>
      </c>
      <c r="AM341" s="7153"/>
      <c r="AN341" s="7153"/>
      <c r="AO341" s="7153"/>
      <c r="AP341" s="1741"/>
      <c r="AQ341" s="1741"/>
      <c r="AR341" s="1062" t="s">
        <v>2102</v>
      </c>
      <c r="AS341" s="1062"/>
      <c r="AT341" s="1062"/>
      <c r="AU341" s="1059"/>
      <c r="AV341" s="1059"/>
    </row>
    <row s="1834" customFormat="1" customHeight="1" ht="14.25">
      <c r="A342" s="1741"/>
      <c r="B342" s="1741"/>
      <c r="C342" s="1741"/>
      <c r="D342" s="1741"/>
      <c r="E342" s="695">
        <v>15</v>
      </c>
      <c r="F342" s="50" cm="1" t="str">
        <f t="array" ref="F342:F342">OFFSET(E342,-1,1)</f>
        <v>3</v>
      </c>
      <c r="G342" s="1741"/>
      <c r="H342" s="1741"/>
      <c r="I342" s="587" t="s">
        <v>1492</v>
      </c>
      <c r="J342" s="587"/>
      <c r="K342" s="587"/>
      <c r="L342" s="587"/>
      <c r="M342" s="587"/>
      <c r="N342" s="587"/>
      <c r="O342" s="587"/>
      <c r="P342" s="587"/>
      <c r="Q342" s="587"/>
      <c r="R342" s="587"/>
      <c r="S342" s="587"/>
      <c r="T342" s="465" cm="1" t="str">
        <f t="array" ref="T342:T342">T341</f>
        <v>true</v>
      </c>
      <c r="U342" s="1741"/>
      <c r="V342" s="1741"/>
      <c r="W342" s="1741"/>
      <c r="X342" s="1641"/>
      <c r="Y342" s="1741"/>
      <c r="Z342" s="1642"/>
      <c r="AA342" s="1741"/>
      <c r="AB342" s="807" t="s">
        <v>465</v>
      </c>
      <c r="AC342" s="818" t="s">
        <v>2554</v>
      </c>
      <c r="AD342" s="814" t="s">
        <v>1514</v>
      </c>
      <c r="AE342" s="7168"/>
      <c r="AF342" s="7168"/>
      <c r="AG342" s="7168"/>
      <c r="AH342" s="802">
        <f>AG342-AF342</f>
        <v>0</v>
      </c>
      <c r="AI342" s="7168"/>
      <c r="AJ342" s="809"/>
      <c r="AK342" s="809"/>
      <c r="AL342" s="802">
        <f>IF(AI342=0,0,(AK342-AI342)/AI342*100)</f>
        <v>0</v>
      </c>
      <c r="AM342" s="803"/>
      <c r="AN342" s="803"/>
      <c r="AO342" s="803"/>
      <c r="AP342" s="1741"/>
      <c r="AQ342" s="1741"/>
      <c r="AR342" s="1062" t="s">
        <v>1966</v>
      </c>
      <c r="AS342" s="1062"/>
      <c r="AT342" s="1062"/>
      <c r="AU342" s="1059"/>
      <c r="AV342" s="1059"/>
    </row>
    <row s="7308" customFormat="1" customHeight="1" ht="21.75">
      <c r="A343" s="588"/>
      <c r="B343" s="588"/>
      <c r="C343" s="588"/>
      <c r="D343" s="588"/>
      <c r="E343" s="697">
        <v>22.5</v>
      </c>
      <c r="F343" s="50" cm="1" t="str">
        <f t="array" ref="F343:F343">OFFSET(E343,-1,1)</f>
        <v>3</v>
      </c>
      <c r="G343" s="588"/>
      <c r="H343" s="588"/>
      <c r="I343" s="698" t="s">
        <v>1493</v>
      </c>
      <c r="J343" s="698"/>
      <c r="K343" s="698"/>
      <c r="L343" s="698"/>
      <c r="M343" s="698"/>
      <c r="N343" s="698"/>
      <c r="O343" s="698"/>
      <c r="P343" s="698"/>
      <c r="Q343" s="698"/>
      <c r="R343" s="698"/>
      <c r="S343" s="698"/>
      <c r="T343" s="465" cm="1" t="str">
        <f t="array" ref="T343:T343">T342</f>
        <v>true</v>
      </c>
      <c r="U343" s="588"/>
      <c r="V343" s="588"/>
      <c r="W343" s="588"/>
      <c r="X343" s="1641"/>
      <c r="Y343" s="588"/>
      <c r="Z343" s="1642"/>
      <c r="AA343" s="588"/>
      <c r="AB343" s="804" t="s">
        <v>467</v>
      </c>
      <c r="AC343" s="589" t="s">
        <v>2555</v>
      </c>
      <c r="AD343" s="812" t="s">
        <v>1514</v>
      </c>
      <c r="AE343" s="788">
        <f>AE344+AE345</f>
        <v>0</v>
      </c>
      <c r="AF343" s="788">
        <f>AF344+AF345</f>
        <v>0</v>
      </c>
      <c r="AG343" s="788">
        <f>AG344+AG345</f>
        <v>0</v>
      </c>
      <c r="AH343" s="801">
        <f>AG343-AF343</f>
        <v>0</v>
      </c>
      <c r="AI343" s="788">
        <f>AI344+AI345</f>
        <v>0</v>
      </c>
      <c r="AJ343" s="788">
        <f>AJ344+AJ345</f>
        <v>0</v>
      </c>
      <c r="AK343" s="788">
        <f>AK344+AK345</f>
        <v>0</v>
      </c>
      <c r="AL343" s="801">
        <f>IF(AI343=0,0,(AK343-AI343)/AI343*100)</f>
        <v>0</v>
      </c>
      <c r="AM343" s="806"/>
      <c r="AN343" s="806"/>
      <c r="AO343" s="806"/>
      <c r="AP343" s="588"/>
      <c r="AQ343" s="588"/>
      <c r="AR343" s="1063" t="s">
        <v>2280</v>
      </c>
      <c r="AS343" s="1063"/>
      <c r="AT343" s="1063"/>
      <c r="AU343" s="697"/>
      <c r="AV343" s="697"/>
    </row>
    <row s="1834" customFormat="1" customHeight="1" ht="21.75">
      <c r="A344" s="1741"/>
      <c r="B344" s="1741"/>
      <c r="C344" s="1741"/>
      <c r="D344" s="1741"/>
      <c r="E344" s="695">
        <v>22.5</v>
      </c>
      <c r="F344" s="50" cm="1" t="str">
        <f t="array" ref="F344:F344">OFFSET(E344,-1,1)</f>
        <v>3</v>
      </c>
      <c r="G344" s="1741"/>
      <c r="H344" s="1741"/>
      <c r="I344" s="587" t="s">
        <v>2556</v>
      </c>
      <c r="J344" s="587"/>
      <c r="K344" s="587"/>
      <c r="L344" s="587"/>
      <c r="M344" s="587"/>
      <c r="N344" s="587"/>
      <c r="O344" s="587"/>
      <c r="P344" s="587"/>
      <c r="Q344" s="587"/>
      <c r="R344" s="587"/>
      <c r="S344" s="587"/>
      <c r="T344" s="465" cm="1" t="str">
        <f t="array" ref="T344:T344">T343</f>
        <v>true</v>
      </c>
      <c r="U344" s="1741"/>
      <c r="V344" s="1741"/>
      <c r="W344" s="1741"/>
      <c r="X344" s="1641"/>
      <c r="Y344" s="1741"/>
      <c r="Z344" s="1642"/>
      <c r="AA344" s="1741"/>
      <c r="AB344" s="807" t="s">
        <v>2557</v>
      </c>
      <c r="AC344" s="819" t="s">
        <v>2281</v>
      </c>
      <c r="AD344" s="814" t="s">
        <v>1514</v>
      </c>
      <c r="AE344" s="7168"/>
      <c r="AF344" s="7168"/>
      <c r="AG344" s="7168"/>
      <c r="AH344" s="802">
        <f>AG344-AF344</f>
        <v>0</v>
      </c>
      <c r="AI344" s="7168"/>
      <c r="AJ344" s="809"/>
      <c r="AK344" s="809"/>
      <c r="AL344" s="802">
        <f>IF(AI344=0,0,(AK344-AI344)/AI344*100)</f>
        <v>0</v>
      </c>
      <c r="AM344" s="803"/>
      <c r="AN344" s="803"/>
      <c r="AO344" s="803"/>
      <c r="AP344" s="1741"/>
      <c r="AQ344" s="1741"/>
      <c r="AR344" s="1062" t="s">
        <v>2319</v>
      </c>
      <c r="AS344" s="1062"/>
      <c r="AT344" s="1062"/>
      <c r="AU344" s="1059"/>
      <c r="AV344" s="1059"/>
    </row>
    <row s="1834" customFormat="1" customHeight="1" ht="21.75">
      <c r="A345" s="1741"/>
      <c r="B345" s="1741"/>
      <c r="C345" s="1741"/>
      <c r="D345" s="1741"/>
      <c r="E345" s="695">
        <v>22.5</v>
      </c>
      <c r="F345" s="50" cm="1" t="str">
        <f t="array" ref="F345:F345">OFFSET(E345,-1,1)</f>
        <v>3</v>
      </c>
      <c r="G345" s="1741"/>
      <c r="H345" s="1741"/>
      <c r="I345" s="587" t="s">
        <v>2558</v>
      </c>
      <c r="J345" s="587"/>
      <c r="K345" s="587"/>
      <c r="L345" s="587"/>
      <c r="M345" s="587"/>
      <c r="N345" s="587"/>
      <c r="O345" s="587"/>
      <c r="P345" s="587"/>
      <c r="Q345" s="587"/>
      <c r="R345" s="587"/>
      <c r="S345" s="587"/>
      <c r="T345" s="465" cm="1" t="str">
        <f t="array" ref="T345:T345">T344</f>
        <v>true</v>
      </c>
      <c r="U345" s="1741"/>
      <c r="V345" s="1741"/>
      <c r="W345" s="1741"/>
      <c r="X345" s="1641"/>
      <c r="Y345" s="1741"/>
      <c r="Z345" s="1642"/>
      <c r="AA345" s="1741"/>
      <c r="AB345" s="807" t="s">
        <v>2559</v>
      </c>
      <c r="AC345" s="819" t="s">
        <v>2283</v>
      </c>
      <c r="AD345" s="814" t="s">
        <v>1514</v>
      </c>
      <c r="AE345" s="7168"/>
      <c r="AF345" s="7168"/>
      <c r="AG345" s="7168"/>
      <c r="AH345" s="802">
        <f>AG345-AF345</f>
        <v>0</v>
      </c>
      <c r="AI345" s="7168"/>
      <c r="AJ345" s="809"/>
      <c r="AK345" s="809"/>
      <c r="AL345" s="802">
        <f>IF(AI345=0,0,(AK345-AI345)/AI345*100)</f>
        <v>0</v>
      </c>
      <c r="AM345" s="803"/>
      <c r="AN345" s="803"/>
      <c r="AO345" s="803"/>
      <c r="AP345" s="1741"/>
      <c r="AQ345" s="1741"/>
      <c r="AR345" s="1062" t="s">
        <v>2560</v>
      </c>
      <c r="AS345" s="1062"/>
      <c r="AT345" s="1062"/>
      <c r="AU345" s="1059"/>
      <c r="AV345" s="1059"/>
    </row>
    <row s="1834" customFormat="1" customHeight="1" ht="14.25">
      <c r="A346" s="1741"/>
      <c r="B346" s="1741"/>
      <c r="C346" s="1741"/>
      <c r="D346" s="1741"/>
      <c r="E346" s="695">
        <v>15</v>
      </c>
      <c r="F346" s="50" cm="1" t="str">
        <f t="array" ref="F346:F346">OFFSET(E346,-1,1)</f>
        <v>3</v>
      </c>
      <c r="G346" s="1741"/>
      <c r="H346" s="1741"/>
      <c r="I346" s="587" t="s">
        <v>2561</v>
      </c>
      <c r="J346" s="587"/>
      <c r="K346" s="587"/>
      <c r="L346" s="587"/>
      <c r="M346" s="587"/>
      <c r="N346" s="587"/>
      <c r="O346" s="587"/>
      <c r="P346" s="587"/>
      <c r="Q346" s="587"/>
      <c r="R346" s="587"/>
      <c r="S346" s="587"/>
      <c r="T346" s="465" cm="1" t="str">
        <f t="array" ref="T346:T346">T345</f>
        <v>true</v>
      </c>
      <c r="U346" s="1741"/>
      <c r="V346" s="1741"/>
      <c r="W346" s="1741"/>
      <c r="X346" s="1641"/>
      <c r="Y346" s="1741"/>
      <c r="Z346" s="1642"/>
      <c r="AA346" s="1741"/>
      <c r="AB346" s="820" t="s">
        <v>341</v>
      </c>
      <c r="AC346" s="821" t="s">
        <v>2285</v>
      </c>
      <c r="AD346" s="814" t="s">
        <v>1514</v>
      </c>
      <c r="AE346" s="7168"/>
      <c r="AF346" s="7168"/>
      <c r="AG346" s="7168"/>
      <c r="AH346" s="802">
        <f>AG346-AF346</f>
        <v>0</v>
      </c>
      <c r="AI346" s="7168"/>
      <c r="AJ346" s="809"/>
      <c r="AK346" s="809"/>
      <c r="AL346" s="802">
        <f>IF(AI346=0,0,(AK346-AI346)/AI346*100)</f>
        <v>0</v>
      </c>
      <c r="AM346" s="803"/>
      <c r="AN346" s="803"/>
      <c r="AO346" s="803"/>
      <c r="AP346" s="1741"/>
      <c r="AQ346" s="1741"/>
      <c r="AR346" s="1062" t="s">
        <v>2286</v>
      </c>
      <c r="AS346" s="1062"/>
      <c r="AT346" s="1062"/>
      <c r="AU346" s="1059"/>
      <c r="AV346" s="1059"/>
    </row>
    <row s="1834" customFormat="1" customHeight="1" ht="14.25">
      <c r="A347" s="1741"/>
      <c r="B347" s="1741"/>
      <c r="C347" s="1741"/>
      <c r="D347" s="1741"/>
      <c r="E347" s="695">
        <v>15</v>
      </c>
      <c r="F347" s="50" cm="1" t="str">
        <f t="array" ref="F347:F347">OFFSET(E347,-1,1)</f>
        <v>3</v>
      </c>
      <c r="G347" s="1741"/>
      <c r="H347" s="1741"/>
      <c r="I347" s="587" t="s">
        <v>2562</v>
      </c>
      <c r="J347" s="587"/>
      <c r="K347" s="587"/>
      <c r="L347" s="587"/>
      <c r="M347" s="587"/>
      <c r="N347" s="587"/>
      <c r="O347" s="587"/>
      <c r="P347" s="587"/>
      <c r="Q347" s="587"/>
      <c r="R347" s="587"/>
      <c r="S347" s="587"/>
      <c r="T347" s="465" cm="1" t="str">
        <f t="array" ref="T347:T347">T346</f>
        <v>true</v>
      </c>
      <c r="U347" s="1741"/>
      <c r="V347" s="1741"/>
      <c r="W347" s="1741"/>
      <c r="X347" s="1641"/>
      <c r="Y347" s="1741"/>
      <c r="Z347" s="1642"/>
      <c r="AA347" s="1741"/>
      <c r="AB347" s="820" t="s">
        <v>502</v>
      </c>
      <c r="AC347" s="821" t="s">
        <v>2287</v>
      </c>
      <c r="AD347" s="814" t="s">
        <v>1514</v>
      </c>
      <c r="AE347" s="7168"/>
      <c r="AF347" s="7168"/>
      <c r="AG347" s="7168"/>
      <c r="AH347" s="802">
        <f>AG347-AF347</f>
        <v>0</v>
      </c>
      <c r="AI347" s="7168"/>
      <c r="AJ347" s="809"/>
      <c r="AK347" s="809"/>
      <c r="AL347" s="802">
        <f>IF(AI347=0,0,(AK347-AI347)/AI347*100)</f>
        <v>0</v>
      </c>
      <c r="AM347" s="803"/>
      <c r="AN347" s="803"/>
      <c r="AO347" s="803"/>
      <c r="AP347" s="1741"/>
      <c r="AQ347" s="1741"/>
      <c r="AR347" s="1062" t="s">
        <v>2288</v>
      </c>
      <c r="AS347" s="1062"/>
      <c r="AT347" s="1062"/>
      <c r="AU347" s="1059"/>
      <c r="AV347" s="1059"/>
    </row>
    <row s="7309" customFormat="1" customHeight="1" ht="14.25">
      <c r="A348" s="588"/>
      <c r="B348" s="588"/>
      <c r="C348" s="588"/>
      <c r="D348" s="588"/>
      <c r="E348" s="697">
        <v>15</v>
      </c>
      <c r="F348" s="50" cm="1" t="str">
        <f t="array" ref="F348:F348">OFFSET(E348,-1,1)</f>
        <v>3</v>
      </c>
      <c r="G348" s="588"/>
      <c r="H348" s="588"/>
      <c r="I348" s="698" t="s">
        <v>2563</v>
      </c>
      <c r="J348" s="698"/>
      <c r="K348" s="698"/>
      <c r="L348" s="698"/>
      <c r="M348" s="698"/>
      <c r="N348" s="698"/>
      <c r="O348" s="698"/>
      <c r="P348" s="698"/>
      <c r="Q348" s="698"/>
      <c r="R348" s="698"/>
      <c r="S348" s="698"/>
      <c r="T348" s="465" cm="1" t="str">
        <f t="array" ref="T348:T348">T347</f>
        <v>true</v>
      </c>
      <c r="U348" s="588"/>
      <c r="V348" s="588"/>
      <c r="W348" s="588"/>
      <c r="X348" s="1641"/>
      <c r="Y348" s="588"/>
      <c r="Z348" s="1642"/>
      <c r="AA348" s="588"/>
      <c r="AB348" s="804" t="s">
        <v>505</v>
      </c>
      <c r="AC348" s="589" t="s">
        <v>2564</v>
      </c>
      <c r="AD348" s="812" t="s">
        <v>1514</v>
      </c>
      <c r="AE348" s="788">
        <f>AE283+AE311+AE316+AE329+AE330+AE332+AE333+AE334+AE338+AE339-AE340-AE341+AE342-AE343+AE346+AE347</f>
        <v>0</v>
      </c>
      <c r="AF348" s="788">
        <f>AF283+AF311+AF316+AF329+AF330+AF332+AF333+AF334+AF338+AF339-AF340-AF341+AF342-AF343+AF346+AF347</f>
        <v>0</v>
      </c>
      <c r="AG348" s="788">
        <f>AG283+AG311+AG316+AG329+AG330+AG332+AG333+AG334+AG338+AG339-AG340-AG341+AG342-AG343+AG346+AG347</f>
        <v>0</v>
      </c>
      <c r="AH348" s="801">
        <f>AG348-AF348</f>
        <v>0</v>
      </c>
      <c r="AI348" s="788">
        <f>AI283+AI311+AI316+AI329+AI330+AI332+AI333+AI334+AI338+AI339-AI340-AI341+AI342-AI343+AI346+AI347</f>
        <v>0</v>
      </c>
      <c r="AJ348" s="788">
        <f>AJ283+AJ311+AJ316+AJ329+AJ330+AJ332+AJ333+AJ334+AJ338+AJ339-AJ340-AJ341+AJ342-AJ343+AJ346+AJ347</f>
        <v>127202.166058025</v>
      </c>
      <c r="AK348" s="788">
        <f>AK283+AK311+AK316+AK329+AK330+AK332+AK333+AK334+AK338+AK339-AK340-AK341+AK342-AK343+AK346+AK347</f>
        <v>127202.270071625</v>
      </c>
      <c r="AL348" s="801">
        <f>IF(AI348=0,0,(AK348-AI348)/AI348*100)</f>
        <v>0</v>
      </c>
      <c r="AM348" s="806"/>
      <c r="AN348" s="806"/>
      <c r="AO348" s="806"/>
      <c r="AP348" s="588"/>
      <c r="AQ348" s="588"/>
      <c r="AR348" s="1063" t="s">
        <v>2565</v>
      </c>
      <c r="AS348" s="1063"/>
      <c r="AT348" s="1063"/>
      <c r="AU348" s="697"/>
      <c r="AV348" s="697"/>
    </row>
    <row s="1834" customFormat="1" customHeight="1" ht="15" hidden="1">
      <c r="A349" s="1741"/>
      <c r="B349" s="577">
        <f>G282="двухставочный"</f>
        <v>0</v>
      </c>
      <c r="C349" s="1741"/>
      <c r="D349" s="1741"/>
      <c r="E349" s="695">
        <v>0</v>
      </c>
      <c r="F349" s="50" cm="1" t="str">
        <f t="array" ref="F349:F349">OFFSET(E349,-1,1)</f>
        <v>3</v>
      </c>
      <c r="G349" s="1741"/>
      <c r="H349" s="1741"/>
      <c r="I349" s="587" t="s">
        <v>2566</v>
      </c>
      <c r="J349" s="587"/>
      <c r="K349" s="587"/>
      <c r="L349" s="587"/>
      <c r="M349" s="587"/>
      <c r="N349" s="587"/>
      <c r="O349" s="587"/>
      <c r="P349" s="587"/>
      <c r="Q349" s="587"/>
      <c r="R349" s="587"/>
      <c r="S349" s="587"/>
      <c r="T349" s="465" cm="1" t="str">
        <f t="array" ref="T349:T349">T348</f>
        <v>true</v>
      </c>
      <c r="U349" s="1741"/>
      <c r="V349" s="1741"/>
      <c r="W349" s="1741"/>
      <c r="X349" s="1641"/>
      <c r="Y349" s="1741"/>
      <c r="Z349" s="1642"/>
      <c r="AA349" s="1741"/>
      <c r="AB349" s="807" t="s">
        <v>2567</v>
      </c>
      <c r="AC349" s="819" t="s">
        <v>2568</v>
      </c>
      <c r="AD349" s="814" t="s">
        <v>1514</v>
      </c>
      <c r="AE349" s="7168"/>
      <c r="AF349" s="7168"/>
      <c r="AG349" s="7168"/>
      <c r="AH349" s="802">
        <f>AG349-AF349</f>
        <v>0</v>
      </c>
      <c r="AI349" s="7168"/>
      <c r="AJ349" s="7168"/>
      <c r="AK349" s="7168"/>
      <c r="AL349" s="802">
        <f>IF(AI349=0,0,(AK349-AI349)/AI349*100)</f>
        <v>0</v>
      </c>
      <c r="AM349" s="7153"/>
      <c r="AN349" s="7153"/>
      <c r="AO349" s="7153"/>
      <c r="AP349" s="1741"/>
      <c r="AQ349" s="1741"/>
      <c r="AR349" s="1062" t="s">
        <v>2569</v>
      </c>
      <c r="AS349" s="1062"/>
      <c r="AT349" s="1062"/>
      <c r="AU349" s="1059"/>
      <c r="AV349" s="1059"/>
    </row>
    <row s="1834" customFormat="1" customHeight="1" ht="15" hidden="1">
      <c r="A350" s="1741"/>
      <c r="B350" s="577">
        <f>G282="двухставочный"</f>
        <v>0</v>
      </c>
      <c r="C350" s="1741"/>
      <c r="D350" s="1741"/>
      <c r="E350" s="695">
        <v>0</v>
      </c>
      <c r="F350" s="50" cm="1" t="str">
        <f t="array" ref="F350:F350">OFFSET(E350,-1,1)</f>
        <v>3</v>
      </c>
      <c r="G350" s="1741"/>
      <c r="H350" s="1741"/>
      <c r="I350" s="587" t="s">
        <v>2570</v>
      </c>
      <c r="J350" s="587"/>
      <c r="K350" s="587"/>
      <c r="L350" s="587"/>
      <c r="M350" s="587"/>
      <c r="N350" s="587"/>
      <c r="O350" s="587"/>
      <c r="P350" s="587"/>
      <c r="Q350" s="587"/>
      <c r="R350" s="587"/>
      <c r="S350" s="587"/>
      <c r="T350" s="465" cm="1" t="str">
        <f t="array" ref="T350:T350">T349</f>
        <v>true</v>
      </c>
      <c r="U350" s="1741"/>
      <c r="V350" s="1741"/>
      <c r="W350" s="1741"/>
      <c r="X350" s="1641"/>
      <c r="Y350" s="1741"/>
      <c r="Z350" s="1642"/>
      <c r="AA350" s="1741"/>
      <c r="AB350" s="807" t="s">
        <v>2571</v>
      </c>
      <c r="AC350" s="819" t="s">
        <v>2572</v>
      </c>
      <c r="AD350" s="814" t="s">
        <v>1514</v>
      </c>
      <c r="AE350" s="7168"/>
      <c r="AF350" s="7168"/>
      <c r="AG350" s="7168"/>
      <c r="AH350" s="802">
        <f>AG350-AF350</f>
        <v>0</v>
      </c>
      <c r="AI350" s="7168"/>
      <c r="AJ350" s="7168"/>
      <c r="AK350" s="7168"/>
      <c r="AL350" s="802">
        <f>IF(AI350=0,0,(AK350-AI350)/AI350*100)</f>
        <v>0</v>
      </c>
      <c r="AM350" s="7153"/>
      <c r="AN350" s="7153"/>
      <c r="AO350" s="7153"/>
      <c r="AP350" s="1741"/>
      <c r="AQ350" s="1741"/>
      <c r="AR350" s="1062" t="s">
        <v>2573</v>
      </c>
      <c r="AS350" s="1062"/>
      <c r="AT350" s="1062"/>
      <c r="AU350" s="1059"/>
      <c r="AV350" s="1059"/>
    </row>
    <row s="7310" customFormat="1" customHeight="1" ht="14.25">
      <c r="A351" s="588"/>
      <c r="B351" s="588"/>
      <c r="C351" s="588"/>
      <c r="D351" s="588"/>
      <c r="E351" s="697">
        <v>15</v>
      </c>
      <c r="F351" s="50" cm="1" t="str">
        <f t="array" ref="F351:F351">OFFSET(E351,-1,1)</f>
        <v>3</v>
      </c>
      <c r="G351" s="578" t="s">
        <v>2346</v>
      </c>
      <c r="H351" s="588"/>
      <c r="I351" s="698" t="s">
        <v>2574</v>
      </c>
      <c r="J351" s="698"/>
      <c r="K351" s="698"/>
      <c r="L351" s="698"/>
      <c r="M351" s="698"/>
      <c r="N351" s="698"/>
      <c r="O351" s="698"/>
      <c r="P351" s="698"/>
      <c r="Q351" s="698"/>
      <c r="R351" s="698"/>
      <c r="S351" s="698"/>
      <c r="T351" s="465" cm="1" t="str">
        <f t="array" ref="T351:T351">T350</f>
        <v>true</v>
      </c>
      <c r="U351" s="588"/>
      <c r="V351" s="588"/>
      <c r="W351" s="588"/>
      <c r="X351" s="1641"/>
      <c r="Y351" s="588"/>
      <c r="Z351" s="1642"/>
      <c r="AA351" s="588"/>
      <c r="AB351" s="804" t="s">
        <v>508</v>
      </c>
      <c r="AC351" s="589" t="s">
        <v>2575</v>
      </c>
      <c r="AD351" s="812" t="s">
        <v>1247</v>
      </c>
      <c r="AE351" s="822">
        <f>_xlfn.SUMIFS(Баланс!AE$26:AE$482,Баланс!$F$26:$F$482,$F351,Баланс!$G$26:$G$482,"ПО")</f>
        <v>0</v>
      </c>
      <c r="AF351" s="822">
        <f>_xlfn.SUMIFS(Баланс!AF$26:AF$482,Баланс!$F$26:$F$482,$F351,Баланс!$G$26:$G$482,"ПО")</f>
        <v>0</v>
      </c>
      <c r="AG351" s="822">
        <f>_xlfn.SUMIFS(Баланс!AG$26:AG$482,Баланс!$F$26:$F$482,$F351,Баланс!$G$26:$G$482,"ПО")</f>
        <v>0</v>
      </c>
      <c r="AH351" s="822">
        <f>AG351-AF351</f>
        <v>0</v>
      </c>
      <c r="AI351" s="822">
        <f>_xlfn.SUMIFS(Баланс!AH$26:AH$482,Баланс!$F$26:$F$482,$F351,Баланс!$G$26:$G$482,"ПО")</f>
        <v>0</v>
      </c>
      <c r="AJ351" s="822">
        <f>_xlfn.SUMIFS(Баланс!AI$26:AI$482,Баланс!$F$26:$F$482,$F351,Баланс!$G$26:$G$482,"ПО")</f>
        <v>1778.84536</v>
      </c>
      <c r="AK351" s="822">
        <f>_xlfn.SUMIFS(Баланс!AS$26:AS$482,Баланс!$F$26:$F$482,$F351,Баланс!$G$26:$G$482,"ПО")</f>
        <v>1778.84536</v>
      </c>
      <c r="AL351" s="823"/>
      <c r="AM351" s="806"/>
      <c r="AN351" s="806"/>
      <c r="AO351" s="806"/>
      <c r="AP351" s="588"/>
      <c r="AQ351" s="588"/>
      <c r="AR351" s="1063" t="s">
        <v>2576</v>
      </c>
      <c r="AS351" s="1063"/>
      <c r="AT351" s="1063"/>
      <c r="AU351" s="697"/>
      <c r="AV351" s="697"/>
    </row>
    <row s="1834" customFormat="1" customHeight="1" ht="14.25">
      <c r="A352" s="1741"/>
      <c r="B352" s="1741"/>
      <c r="C352" s="1741"/>
      <c r="D352" s="1741"/>
      <c r="E352" s="695">
        <v>15</v>
      </c>
      <c r="F352" s="50" cm="1" t="str">
        <f t="array" ref="F352:F352">OFFSET(E352,-1,1)</f>
        <v>3</v>
      </c>
      <c r="G352" s="578" t="s">
        <v>2373</v>
      </c>
      <c r="H352" s="1741"/>
      <c r="I352" s="587" t="s">
        <v>2577</v>
      </c>
      <c r="J352" s="587"/>
      <c r="K352" s="587"/>
      <c r="L352" s="587"/>
      <c r="M352" s="587"/>
      <c r="N352" s="587"/>
      <c r="O352" s="587"/>
      <c r="P352" s="587"/>
      <c r="Q352" s="587"/>
      <c r="R352" s="587"/>
      <c r="S352" s="587"/>
      <c r="T352" s="465" cm="1" t="str">
        <f t="array" ref="T352:T352">T351</f>
        <v>true</v>
      </c>
      <c r="U352" s="1741"/>
      <c r="V352" s="1741"/>
      <c r="W352" s="1741"/>
      <c r="X352" s="1641"/>
      <c r="Y352" s="1741"/>
      <c r="Z352" s="1642"/>
      <c r="AA352" s="1741"/>
      <c r="AB352" s="807" t="s">
        <v>2578</v>
      </c>
      <c r="AC352" s="1111" t="s">
        <v>2579</v>
      </c>
      <c r="AD352" s="814" t="s">
        <v>1247</v>
      </c>
      <c r="AE352" s="7197">
        <f>IF(AE$24="2026 год",AE351/12*9,AE351/2)</f>
        <v>0</v>
      </c>
      <c r="AF352" s="7197">
        <f>IF(AF$24="2026 год",AF351/12*9,AF351/2)</f>
        <v>0</v>
      </c>
      <c r="AG352" s="7197">
        <f>IF(AG$24="2026 год",AG351/12*9,AG351/2)</f>
        <v>0</v>
      </c>
      <c r="AH352" s="825">
        <f>AG352-AF352</f>
        <v>0</v>
      </c>
      <c r="AI352" s="7197">
        <f>IF(AI$24="2026 год",AI351/12*9,AI351/2)</f>
        <v>0</v>
      </c>
      <c r="AJ352" s="824">
        <f>IF(AJ$24="2026 год",AJ351/12*9,AJ351/2)</f>
        <v>1334.13402</v>
      </c>
      <c r="AK352" s="824">
        <f>IF(AK$24="2026 год",AK351/12*9,AK351/2)</f>
        <v>1334.13402</v>
      </c>
      <c r="AL352" s="817"/>
      <c r="AM352" s="803"/>
      <c r="AN352" s="803"/>
      <c r="AO352" s="803"/>
      <c r="AP352" s="1741"/>
      <c r="AQ352" s="1741"/>
      <c r="AR352" s="1062" t="s">
        <v>2580</v>
      </c>
      <c r="AS352" s="1062"/>
      <c r="AT352" s="1062"/>
      <c r="AU352" s="1059"/>
      <c r="AV352" s="1059"/>
    </row>
    <row s="1834" customFormat="1" customHeight="1" ht="14.25">
      <c r="A353" s="1741"/>
      <c r="B353" s="1741"/>
      <c r="C353" s="1741"/>
      <c r="D353" s="1741"/>
      <c r="E353" s="695">
        <v>15</v>
      </c>
      <c r="F353" s="50" cm="1" t="str">
        <f t="array" ref="F353:F353">OFFSET(E353,-1,1)</f>
        <v>3</v>
      </c>
      <c r="G353" s="578" t="s">
        <v>2334</v>
      </c>
      <c r="H353" s="1741"/>
      <c r="I353" s="587" t="s">
        <v>2581</v>
      </c>
      <c r="J353" s="587"/>
      <c r="K353" s="587"/>
      <c r="L353" s="587"/>
      <c r="M353" s="587"/>
      <c r="N353" s="587"/>
      <c r="O353" s="587"/>
      <c r="P353" s="587"/>
      <c r="Q353" s="587"/>
      <c r="R353" s="587"/>
      <c r="S353" s="587"/>
      <c r="T353" s="465" cm="1" t="str">
        <f t="array" ref="T353:T353">T352</f>
        <v>true</v>
      </c>
      <c r="U353" s="1741"/>
      <c r="V353" s="1741"/>
      <c r="W353" s="1741"/>
      <c r="X353" s="1641"/>
      <c r="Y353" s="1741"/>
      <c r="Z353" s="1642"/>
      <c r="AA353" s="1741"/>
      <c r="AB353" s="807" t="s">
        <v>2582</v>
      </c>
      <c r="AC353" s="1111" t="s">
        <v>2583</v>
      </c>
      <c r="AD353" s="814" t="s">
        <v>2337</v>
      </c>
      <c r="AE353" s="7168"/>
      <c r="AF353" s="7168"/>
      <c r="AG353" s="7168"/>
      <c r="AH353" s="802">
        <f>AG353-AF353</f>
        <v>0</v>
      </c>
      <c r="AI353" s="7168"/>
      <c r="AJ353" s="809"/>
      <c r="AK353" s="809"/>
      <c r="AL353" s="817"/>
      <c r="AM353" s="803"/>
      <c r="AN353" s="803"/>
      <c r="AO353" s="803"/>
      <c r="AP353" s="1741"/>
      <c r="AQ353" s="1741"/>
      <c r="AR353" s="1062" t="s">
        <v>2584</v>
      </c>
      <c r="AS353" s="1062"/>
      <c r="AT353" s="1062"/>
      <c r="AU353" s="1059"/>
      <c r="AV353" s="1059"/>
    </row>
    <row s="1834" customFormat="1" customHeight="1" ht="14.25">
      <c r="A354" s="1741"/>
      <c r="B354" s="1741"/>
      <c r="C354" s="1741"/>
      <c r="D354" s="1741"/>
      <c r="E354" s="695">
        <v>15</v>
      </c>
      <c r="F354" s="50" cm="1" t="str">
        <f t="array" ref="F354:F354">OFFSET(E354,-1,1)</f>
        <v>3</v>
      </c>
      <c r="G354" s="578" t="s">
        <v>2386</v>
      </c>
      <c r="H354" s="1741"/>
      <c r="I354" s="587" t="s">
        <v>2585</v>
      </c>
      <c r="J354" s="587"/>
      <c r="K354" s="587"/>
      <c r="L354" s="587"/>
      <c r="M354" s="587"/>
      <c r="N354" s="587"/>
      <c r="O354" s="587"/>
      <c r="P354" s="587"/>
      <c r="Q354" s="587"/>
      <c r="R354" s="587"/>
      <c r="S354" s="587"/>
      <c r="T354" s="465" cm="1" t="str">
        <f t="array" ref="T354:T354">T353</f>
        <v>true</v>
      </c>
      <c r="U354" s="1741"/>
      <c r="V354" s="1741"/>
      <c r="W354" s="1741"/>
      <c r="X354" s="1641"/>
      <c r="Y354" s="1741"/>
      <c r="Z354" s="1642"/>
      <c r="AA354" s="1741"/>
      <c r="AB354" s="807" t="s">
        <v>2586</v>
      </c>
      <c r="AC354" s="1111" t="s">
        <v>2587</v>
      </c>
      <c r="AD354" s="814" t="s">
        <v>1247</v>
      </c>
      <c r="AE354" s="825">
        <f>AE351-AE352</f>
        <v>0</v>
      </c>
      <c r="AF354" s="825">
        <f>AF351-AF352</f>
        <v>0</v>
      </c>
      <c r="AG354" s="825">
        <f>AG351-AG352</f>
        <v>0</v>
      </c>
      <c r="AH354" s="825">
        <f>AG354-AF354</f>
        <v>0</v>
      </c>
      <c r="AI354" s="825">
        <f>AI351-AI352</f>
        <v>0</v>
      </c>
      <c r="AJ354" s="825">
        <f>AJ351-AJ352</f>
        <v>444.71134</v>
      </c>
      <c r="AK354" s="825">
        <f>AK351-AK352</f>
        <v>444.71134</v>
      </c>
      <c r="AL354" s="817"/>
      <c r="AM354" s="803"/>
      <c r="AN354" s="803"/>
      <c r="AO354" s="803"/>
      <c r="AP354" s="1741"/>
      <c r="AQ354" s="1741"/>
      <c r="AR354" s="1062" t="s">
        <v>2588</v>
      </c>
      <c r="AS354" s="1062"/>
      <c r="AT354" s="1062"/>
      <c r="AU354" s="1059"/>
      <c r="AV354" s="1059"/>
    </row>
    <row s="1834" customFormat="1" customHeight="1" ht="14.25">
      <c r="A355" s="1741"/>
      <c r="B355" s="1741"/>
      <c r="C355" s="1741"/>
      <c r="D355" s="1741"/>
      <c r="E355" s="695">
        <v>15</v>
      </c>
      <c r="F355" s="50" cm="1" t="str">
        <f t="array" ref="F355:F355">OFFSET(E355,-1,1)</f>
        <v>3</v>
      </c>
      <c r="G355" s="578" t="s">
        <v>2339</v>
      </c>
      <c r="H355" s="1741"/>
      <c r="I355" s="587" t="s">
        <v>2589</v>
      </c>
      <c r="J355" s="587"/>
      <c r="K355" s="587"/>
      <c r="L355" s="587"/>
      <c r="M355" s="587"/>
      <c r="N355" s="587"/>
      <c r="O355" s="587"/>
      <c r="P355" s="587"/>
      <c r="Q355" s="587"/>
      <c r="R355" s="587"/>
      <c r="S355" s="587"/>
      <c r="T355" s="465" cm="1" t="str">
        <f t="array" ref="T355:T355">T354</f>
        <v>true</v>
      </c>
      <c r="U355" s="1741"/>
      <c r="V355" s="1741"/>
      <c r="W355" s="1741"/>
      <c r="X355" s="1641"/>
      <c r="Y355" s="1741"/>
      <c r="Z355" s="1642"/>
      <c r="AA355" s="1741"/>
      <c r="AB355" s="807" t="s">
        <v>2590</v>
      </c>
      <c r="AC355" s="1111" t="s">
        <v>2591</v>
      </c>
      <c r="AD355" s="814" t="s">
        <v>2337</v>
      </c>
      <c r="AE355" s="7168">
        <f>IF(AE354=0,0,(AE348-AE352*AE353)/AE354)</f>
        <v>0</v>
      </c>
      <c r="AF355" s="7168">
        <f>IF(AF354=0,0,(AF348-AF352*AF353)/AF354)</f>
        <v>0</v>
      </c>
      <c r="AG355" s="7168">
        <f>IF(AG354=0,0,(AG348-AG352*AG353)/AG354)</f>
        <v>0</v>
      </c>
      <c r="AH355" s="802">
        <f>AG355-AF355</f>
        <v>0</v>
      </c>
      <c r="AI355" s="7168">
        <f>IF(AI354=0,0,(AI348-AI352*AI353)/AI354)</f>
        <v>0</v>
      </c>
      <c r="AJ355" s="809">
        <f>IF(AJ354=0,0,(AJ348-AJ352*AJ353)/AJ354)</f>
        <v>286.033106459631</v>
      </c>
      <c r="AK355" s="809">
        <f>IF(AK354=0,0,(AK348-AK352*AK353)/AK354)</f>
        <v>286.033340349776</v>
      </c>
      <c r="AL355" s="817"/>
      <c r="AM355" s="803"/>
      <c r="AN355" s="803"/>
      <c r="AO355" s="803"/>
      <c r="AP355" s="1741"/>
      <c r="AQ355" s="1741"/>
      <c r="AR355" s="1062" t="s">
        <v>2592</v>
      </c>
      <c r="AS355" s="1062"/>
      <c r="AT355" s="1062"/>
      <c r="AU355" s="1059"/>
      <c r="AV355" s="1059"/>
    </row>
    <row s="1834" customFormat="1" customHeight="1" ht="14.25">
      <c r="A356" s="1741"/>
      <c r="B356" s="1741"/>
      <c r="C356" s="1741"/>
      <c r="D356" s="1741"/>
      <c r="E356" s="695">
        <v>15</v>
      </c>
      <c r="F356" s="50" cm="1" t="str">
        <f t="array" ref="F356:F356">OFFSET(E356,-1,1)</f>
        <v>3</v>
      </c>
      <c r="G356" s="578"/>
      <c r="H356" s="1741"/>
      <c r="I356" s="587" t="s">
        <v>2593</v>
      </c>
      <c r="J356" s="587"/>
      <c r="K356" s="587"/>
      <c r="L356" s="587"/>
      <c r="M356" s="587"/>
      <c r="N356" s="587"/>
      <c r="O356" s="587"/>
      <c r="P356" s="587"/>
      <c r="Q356" s="587"/>
      <c r="R356" s="587"/>
      <c r="S356" s="587"/>
      <c r="T356" s="465" cm="1" t="str">
        <f t="array" ref="T356:T356">T355</f>
        <v>true</v>
      </c>
      <c r="U356" s="1741"/>
      <c r="V356" s="1741"/>
      <c r="W356" s="1741"/>
      <c r="X356" s="1641"/>
      <c r="Y356" s="1741"/>
      <c r="Z356" s="1642"/>
      <c r="AA356" s="1741"/>
      <c r="AB356" s="807" t="s">
        <v>2594</v>
      </c>
      <c r="AC356" s="1111" t="s">
        <v>2595</v>
      </c>
      <c r="AD356" s="814" t="s">
        <v>1170</v>
      </c>
      <c r="AE356" s="802">
        <f>IF(AE353=0,0,AE355/AE353*100)</f>
        <v>0</v>
      </c>
      <c r="AF356" s="802">
        <f>IF(AF353=0,0,AF355/AF353*100)</f>
        <v>0</v>
      </c>
      <c r="AG356" s="802">
        <f>IF(AG353=0,0,AG355/AG353*100)</f>
        <v>0</v>
      </c>
      <c r="AH356" s="817"/>
      <c r="AI356" s="802">
        <f>IF(AI353=0,0,AI355/AI353*100)</f>
        <v>0</v>
      </c>
      <c r="AJ356" s="802">
        <f>IF(AJ353=0,0,AJ355/AJ353*100)</f>
        <v>0</v>
      </c>
      <c r="AK356" s="802">
        <f>IF(AK353=0,0,AK355/AK353*100)</f>
        <v>0</v>
      </c>
      <c r="AL356" s="817"/>
      <c r="AM356" s="803"/>
      <c r="AN356" s="803"/>
      <c r="AO356" s="803"/>
      <c r="AP356" s="1741"/>
      <c r="AQ356" s="1741"/>
      <c r="AR356" s="1062" t="s">
        <v>2596</v>
      </c>
      <c r="AS356" s="1062"/>
      <c r="AT356" s="1062"/>
      <c r="AU356" s="1059"/>
      <c r="AV356" s="1059"/>
    </row>
    <row s="1834" customFormat="1" customHeight="1" ht="14.25">
      <c r="A357" s="1741"/>
      <c r="B357" s="1741"/>
      <c r="C357" s="1741"/>
      <c r="D357" s="1741"/>
      <c r="E357" s="695">
        <v>15</v>
      </c>
      <c r="F357" s="50" cm="1" t="str">
        <f t="array" ref="F357:F357">OFFSET(E357,-1,1)</f>
        <v>3</v>
      </c>
      <c r="G357" s="578"/>
      <c r="H357" s="1741"/>
      <c r="I357" s="587" t="s">
        <v>2597</v>
      </c>
      <c r="J357" s="587"/>
      <c r="K357" s="587"/>
      <c r="L357" s="587"/>
      <c r="M357" s="587"/>
      <c r="N357" s="587"/>
      <c r="O357" s="587"/>
      <c r="P357" s="587"/>
      <c r="Q357" s="587"/>
      <c r="R357" s="587"/>
      <c r="S357" s="587"/>
      <c r="T357" s="465" cm="1" t="str">
        <f t="array" ref="T357:T357">T356</f>
        <v>true</v>
      </c>
      <c r="U357" s="1741"/>
      <c r="V357" s="1741"/>
      <c r="W357" s="1741"/>
      <c r="X357" s="1641"/>
      <c r="Y357" s="1741"/>
      <c r="Z357" s="1642"/>
      <c r="AA357" s="1741"/>
      <c r="AB357" s="807" t="s">
        <v>2598</v>
      </c>
      <c r="AC357" s="1111" t="s">
        <v>2599</v>
      </c>
      <c r="AD357" s="814" t="s">
        <v>2337</v>
      </c>
      <c r="AE357" s="7168">
        <f>IF(AE351=0,0,AE348/AE351)</f>
        <v>0</v>
      </c>
      <c r="AF357" s="7168">
        <f>IF(AF351=0,0,AF348/AF351)</f>
        <v>0</v>
      </c>
      <c r="AG357" s="7168">
        <f>IF(AG351=0,0,AG348/AG351)</f>
        <v>0</v>
      </c>
      <c r="AH357" s="802">
        <f>AG357-AF357</f>
        <v>0</v>
      </c>
      <c r="AI357" s="7168">
        <f>IF(AI351=0,0,AI348/AI351)</f>
        <v>0</v>
      </c>
      <c r="AJ357" s="809">
        <f>IF(AJ351=0,0,AJ348/AJ351)</f>
        <v>71.5082766149077</v>
      </c>
      <c r="AK357" s="809">
        <f>IF(AK351=0,0,AK348/AK351)</f>
        <v>71.508335087444</v>
      </c>
      <c r="AL357" s="817"/>
      <c r="AM357" s="803"/>
      <c r="AN357" s="803"/>
      <c r="AO357" s="803"/>
      <c r="AP357" s="1741"/>
      <c r="AQ357" s="1741"/>
      <c r="AR357" s="1062" t="s">
        <v>2600</v>
      </c>
      <c r="AS357" s="1062"/>
      <c r="AT357" s="1062"/>
      <c r="AU357" s="1059"/>
      <c r="AV357" s="1059"/>
    </row>
    <row s="7311" customFormat="1" customHeight="1" ht="14.25">
      <c r="A358" s="588"/>
      <c r="B358" s="588"/>
      <c r="C358" s="588"/>
      <c r="D358" s="588"/>
      <c r="E358" s="697">
        <v>15</v>
      </c>
      <c r="F358" s="50" cm="1" t="str">
        <f t="array" ref="F358:F358">OFFSET(E358,-1,1)</f>
        <v>3</v>
      </c>
      <c r="G358" s="700"/>
      <c r="H358" s="588"/>
      <c r="I358" s="698" t="s">
        <v>2601</v>
      </c>
      <c r="J358" s="698"/>
      <c r="K358" s="698"/>
      <c r="L358" s="698"/>
      <c r="M358" s="698"/>
      <c r="N358" s="698"/>
      <c r="O358" s="698"/>
      <c r="P358" s="698"/>
      <c r="Q358" s="698"/>
      <c r="R358" s="698"/>
      <c r="S358" s="698"/>
      <c r="T358" s="465" cm="1" t="str">
        <f t="array" ref="T358:T358">T357</f>
        <v>true</v>
      </c>
      <c r="U358" s="588"/>
      <c r="V358" s="588"/>
      <c r="W358" s="588"/>
      <c r="X358" s="1641"/>
      <c r="Y358" s="588"/>
      <c r="Z358" s="1642"/>
      <c r="AA358" s="588"/>
      <c r="AB358" s="804" t="s">
        <v>511</v>
      </c>
      <c r="AC358" s="212" t="s">
        <v>2602</v>
      </c>
      <c r="AD358" s="812" t="s">
        <v>1514</v>
      </c>
      <c r="AE358" s="7201">
        <f>IF(AE351=0,0,AE348/AE351*AE359)</f>
        <v>0</v>
      </c>
      <c r="AF358" s="7201">
        <f>IF(AF351=0,0,AF348/AF351*AF359)</f>
        <v>0</v>
      </c>
      <c r="AG358" s="7201">
        <f>IF(AG351=0,0,AG348/AG351*AG359)</f>
        <v>0</v>
      </c>
      <c r="AH358" s="788">
        <f>AH360*AH361+AH362*AH363</f>
        <v>0</v>
      </c>
      <c r="AI358" s="7201">
        <f>IF(AI351=0,0,AI348/AI351*AI359)</f>
        <v>0</v>
      </c>
      <c r="AJ358" s="1234">
        <f>IF(AJ351=0,0,AJ348/AJ351*AJ359)</f>
        <v>103439.519527245</v>
      </c>
      <c r="AK358" s="1234">
        <f>IF(AK351=0,0,AK348/AK351*AK359)</f>
        <v>103439.604110056</v>
      </c>
      <c r="AL358" s="801">
        <f>IF(AI358=0,0,(AK358-AI358)/AI358*100)</f>
        <v>0</v>
      </c>
      <c r="AM358" s="806"/>
      <c r="AN358" s="806"/>
      <c r="AO358" s="806"/>
      <c r="AP358" s="588"/>
      <c r="AQ358" s="588"/>
      <c r="AR358" s="1063" t="s">
        <v>2603</v>
      </c>
      <c r="AS358" s="1063"/>
      <c r="AT358" s="1063"/>
      <c r="AU358" s="697"/>
      <c r="AV358" s="697"/>
    </row>
    <row s="7312" customFormat="1" customHeight="1" ht="14.25">
      <c r="A359" s="588"/>
      <c r="B359" s="588"/>
      <c r="C359" s="588"/>
      <c r="D359" s="588"/>
      <c r="E359" s="697">
        <v>15</v>
      </c>
      <c r="F359" s="50" cm="1" t="str">
        <f t="array" ref="F359:F359">OFFSET(E359,-1,1)</f>
        <v>3</v>
      </c>
      <c r="G359" s="578" t="s">
        <v>2359</v>
      </c>
      <c r="H359" s="588"/>
      <c r="I359" s="698" t="s">
        <v>2604</v>
      </c>
      <c r="J359" s="698"/>
      <c r="K359" s="698"/>
      <c r="L359" s="698"/>
      <c r="M359" s="698"/>
      <c r="N359" s="698"/>
      <c r="O359" s="698"/>
      <c r="P359" s="698"/>
      <c r="Q359" s="698"/>
      <c r="R359" s="698"/>
      <c r="S359" s="698"/>
      <c r="T359" s="465" cm="1" t="str">
        <f t="array" ref="T359:T359">T358</f>
        <v>true</v>
      </c>
      <c r="U359" s="588"/>
      <c r="V359" s="588"/>
      <c r="W359" s="588"/>
      <c r="X359" s="1641"/>
      <c r="Y359" s="588"/>
      <c r="Z359" s="1642"/>
      <c r="AA359" s="588"/>
      <c r="AB359" s="804" t="s">
        <v>514</v>
      </c>
      <c r="AC359" s="212" t="s">
        <v>2605</v>
      </c>
      <c r="AD359" s="812" t="s">
        <v>1247</v>
      </c>
      <c r="AE359" s="822">
        <f>_xlfn.SUMIFS(Баланс!AE$26:AE$482,Баланс!$F$26:$F$482,$F359,Баланс!$G$26:$G$482,"население")</f>
        <v>0</v>
      </c>
      <c r="AF359" s="822">
        <f>_xlfn.SUMIFS(Баланс!AF$26:AF$482,Баланс!$F$26:$F$482,$F359,Баланс!$G$26:$G$482,"население")</f>
        <v>0</v>
      </c>
      <c r="AG359" s="822">
        <f>_xlfn.SUMIFS(Баланс!AG$26:AG$482,Баланс!$F$26:$F$482,$F359,Баланс!$G$26:$G$482,"население")</f>
        <v>0</v>
      </c>
      <c r="AH359" s="822">
        <f>AG359-AF359</f>
        <v>0</v>
      </c>
      <c r="AI359" s="822">
        <f>_xlfn.SUMIFS(Баланс!AH$26:AH$482,Баланс!$F$26:$F$482,$F359,Баланс!$G$26:$G$482,"население")</f>
        <v>0</v>
      </c>
      <c r="AJ359" s="822">
        <f>_xlfn.SUMIFS(Баланс!AI$26:AI$482,Баланс!$F$26:$F$482,$F359,Баланс!$G$26:$G$482,"население")</f>
        <v>1446.53912</v>
      </c>
      <c r="AK359" s="822">
        <f>_xlfn.SUMIFS(Баланс!AS$26:AS$482,Баланс!$F$26:$F$482,$F359,Баланс!$G$26:$G$482,"население")</f>
        <v>1446.53912</v>
      </c>
      <c r="AL359" s="823"/>
      <c r="AM359" s="806"/>
      <c r="AN359" s="806"/>
      <c r="AO359" s="806"/>
      <c r="AP359" s="588"/>
      <c r="AQ359" s="588"/>
      <c r="AR359" s="1063" t="s">
        <v>2606</v>
      </c>
      <c r="AS359" s="1063"/>
      <c r="AT359" s="1063"/>
      <c r="AU359" s="697"/>
      <c r="AV359" s="697"/>
    </row>
    <row s="1834" customFormat="1" customHeight="1" ht="14.25">
      <c r="A360" s="1741"/>
      <c r="B360" s="1741"/>
      <c r="C360" s="1741"/>
      <c r="D360" s="1741"/>
      <c r="E360" s="695">
        <v>15</v>
      </c>
      <c r="F360" s="50" cm="1" t="str">
        <f t="array" ref="F360:F360">OFFSET(E360,-1,1)</f>
        <v>3</v>
      </c>
      <c r="G360" s="578" t="s">
        <v>2393</v>
      </c>
      <c r="H360" s="1741"/>
      <c r="I360" s="587" t="s">
        <v>2607</v>
      </c>
      <c r="J360" s="587"/>
      <c r="K360" s="587"/>
      <c r="L360" s="587"/>
      <c r="M360" s="587"/>
      <c r="N360" s="587"/>
      <c r="O360" s="587"/>
      <c r="P360" s="587"/>
      <c r="Q360" s="587"/>
      <c r="R360" s="587"/>
      <c r="S360" s="587"/>
      <c r="T360" s="465" cm="1" t="str">
        <f t="array" ref="T360:T360">T359</f>
        <v>true</v>
      </c>
      <c r="U360" s="1741"/>
      <c r="V360" s="1741"/>
      <c r="W360" s="1741"/>
      <c r="X360" s="1641"/>
      <c r="Y360" s="1741"/>
      <c r="Z360" s="1642"/>
      <c r="AA360" s="1741"/>
      <c r="AB360" s="807" t="s">
        <v>2608</v>
      </c>
      <c r="AC360" s="1111" t="s">
        <v>2609</v>
      </c>
      <c r="AD360" s="814" t="s">
        <v>1247</v>
      </c>
      <c r="AE360" s="7197">
        <f>IF(AE$24="2026 год",AE359/12*9,AE359/2)</f>
        <v>0</v>
      </c>
      <c r="AF360" s="7197">
        <f>IF(AF$24="2026 год",AF359/12*9,AF359/2)</f>
        <v>0</v>
      </c>
      <c r="AG360" s="7197">
        <f>IF(AG$24="2026 год",AG359/12*9,AG359/2)</f>
        <v>0</v>
      </c>
      <c r="AH360" s="825">
        <f>AG360-AF360</f>
        <v>0</v>
      </c>
      <c r="AI360" s="7197">
        <f>IF(AI$24="2026 год",AI359/12*9,AI359/2)</f>
        <v>0</v>
      </c>
      <c r="AJ360" s="824">
        <f>IF(AJ$24="2026 год",AJ359/12*9,AJ359/2)</f>
        <v>1084.90434</v>
      </c>
      <c r="AK360" s="824">
        <f>IF(AK$24="2026 год",AK359/12*9,AK359/2)</f>
        <v>1084.90434</v>
      </c>
      <c r="AL360" s="817"/>
      <c r="AM360" s="803"/>
      <c r="AN360" s="803"/>
      <c r="AO360" s="803"/>
      <c r="AP360" s="1741"/>
      <c r="AQ360" s="1741"/>
      <c r="AR360" s="1062" t="s">
        <v>2610</v>
      </c>
      <c r="AS360" s="1062"/>
      <c r="AT360" s="1062"/>
      <c r="AU360" s="1059"/>
      <c r="AV360" s="1059"/>
    </row>
    <row s="1834" customFormat="1" customHeight="1" ht="14.25">
      <c r="A361" s="1741"/>
      <c r="B361" s="1741"/>
      <c r="C361" s="1741"/>
      <c r="D361" s="1741"/>
      <c r="E361" s="695">
        <v>15</v>
      </c>
      <c r="F361" s="50" cm="1" t="str">
        <f t="array" ref="F361:F361">OFFSET(E361,-1,1)</f>
        <v>3</v>
      </c>
      <c r="G361" s="578" t="s">
        <v>2349</v>
      </c>
      <c r="H361" s="1741"/>
      <c r="I361" s="587" t="s">
        <v>2611</v>
      </c>
      <c r="J361" s="587"/>
      <c r="K361" s="587"/>
      <c r="L361" s="587"/>
      <c r="M361" s="587"/>
      <c r="N361" s="587"/>
      <c r="O361" s="587"/>
      <c r="P361" s="587"/>
      <c r="Q361" s="587"/>
      <c r="R361" s="587"/>
      <c r="S361" s="587"/>
      <c r="T361" s="465" cm="1" t="str">
        <f t="array" ref="T361:T361">T360</f>
        <v>true</v>
      </c>
      <c r="U361" s="1741"/>
      <c r="V361" s="1741"/>
      <c r="W361" s="1741"/>
      <c r="X361" s="1641"/>
      <c r="Y361" s="1741"/>
      <c r="Z361" s="1642"/>
      <c r="AA361" s="1741"/>
      <c r="AB361" s="807" t="s">
        <v>2612</v>
      </c>
      <c r="AC361" s="1111" t="s">
        <v>2613</v>
      </c>
      <c r="AD361" s="814" t="s">
        <v>2337</v>
      </c>
      <c r="AE361" s="7202">
        <f>IF(AE359=0,0,AE353*(1+Сценарии!AE$26/100))</f>
        <v>0</v>
      </c>
      <c r="AF361" s="7202">
        <f>IF(AF359=0,0,AF353*(1+Сценарии!AF$26/100))</f>
        <v>0</v>
      </c>
      <c r="AG361" s="7202">
        <f>IF(AG359=0,0,AG353*(1+Сценарии!AG$26/100))</f>
        <v>0</v>
      </c>
      <c r="AH361" s="802">
        <f>AG361-AF361</f>
        <v>0</v>
      </c>
      <c r="AI361" s="7202">
        <f>IF(AI359=0,0,AI353*(1+Сценарии!AI$26/100))</f>
        <v>0</v>
      </c>
      <c r="AJ361" s="1355">
        <f>IF(AJ359=0,0,AJ353*(1+Сценарии!AJ$26/100))</f>
        <v>0</v>
      </c>
      <c r="AK361" s="1355">
        <f>IF(AK359=0,0,AK353*(1+Сценарии!AK$26/100))</f>
        <v>0</v>
      </c>
      <c r="AL361" s="817"/>
      <c r="AM361" s="803"/>
      <c r="AN361" s="803"/>
      <c r="AO361" s="803"/>
      <c r="AP361" s="1741"/>
      <c r="AQ361" s="1741"/>
      <c r="AR361" s="1062" t="s">
        <v>2614</v>
      </c>
      <c r="AS361" s="1062"/>
      <c r="AT361" s="1062"/>
      <c r="AU361" s="1059"/>
      <c r="AV361" s="1059"/>
    </row>
    <row s="1834" customFormat="1" customHeight="1" ht="14.25">
      <c r="A362" s="1741"/>
      <c r="B362" s="1741"/>
      <c r="C362" s="1741"/>
      <c r="D362" s="1741"/>
      <c r="E362" s="695">
        <v>15</v>
      </c>
      <c r="F362" s="50" cm="1" t="str">
        <f t="array" ref="F362:F362">OFFSET(E362,-1,1)</f>
        <v>3</v>
      </c>
      <c r="G362" s="578" t="s">
        <v>2400</v>
      </c>
      <c r="H362" s="1741"/>
      <c r="I362" s="587" t="s">
        <v>2615</v>
      </c>
      <c r="J362" s="587"/>
      <c r="K362" s="587"/>
      <c r="L362" s="587"/>
      <c r="M362" s="587"/>
      <c r="N362" s="587"/>
      <c r="O362" s="587"/>
      <c r="P362" s="587"/>
      <c r="Q362" s="587"/>
      <c r="R362" s="587"/>
      <c r="S362" s="587"/>
      <c r="T362" s="465" cm="1" t="str">
        <f t="array" ref="T362:T362">T361</f>
        <v>true</v>
      </c>
      <c r="U362" s="1741"/>
      <c r="V362" s="1741"/>
      <c r="W362" s="1741"/>
      <c r="X362" s="1641"/>
      <c r="Y362" s="1741"/>
      <c r="Z362" s="1642"/>
      <c r="AA362" s="1741"/>
      <c r="AB362" s="807" t="s">
        <v>2616</v>
      </c>
      <c r="AC362" s="1111" t="s">
        <v>2587</v>
      </c>
      <c r="AD362" s="814" t="s">
        <v>1247</v>
      </c>
      <c r="AE362" s="825">
        <f>AE359-AE360</f>
        <v>0</v>
      </c>
      <c r="AF362" s="825">
        <f>AF359-AF360</f>
        <v>0</v>
      </c>
      <c r="AG362" s="825">
        <f>AG359-AG360</f>
        <v>0</v>
      </c>
      <c r="AH362" s="825">
        <f>AG362-AF362</f>
        <v>0</v>
      </c>
      <c r="AI362" s="825">
        <f>AI359-AI360</f>
        <v>0</v>
      </c>
      <c r="AJ362" s="825">
        <f>AJ359-AJ360</f>
        <v>361.63478</v>
      </c>
      <c r="AK362" s="825">
        <f>AK359-AK360</f>
        <v>361.63478</v>
      </c>
      <c r="AL362" s="817"/>
      <c r="AM362" s="803"/>
      <c r="AN362" s="803"/>
      <c r="AO362" s="803"/>
      <c r="AP362" s="1741"/>
      <c r="AQ362" s="1741"/>
      <c r="AR362" s="1062" t="s">
        <v>2617</v>
      </c>
      <c r="AS362" s="1062"/>
      <c r="AT362" s="1062"/>
      <c r="AU362" s="1059"/>
      <c r="AV362" s="1059"/>
    </row>
    <row s="1834" customFormat="1" customHeight="1" ht="14.25">
      <c r="A363" s="1741"/>
      <c r="B363" s="1741"/>
      <c r="C363" s="1741"/>
      <c r="D363" s="1741"/>
      <c r="E363" s="695">
        <v>15</v>
      </c>
      <c r="F363" s="50" cm="1" t="str">
        <f t="array" ref="F363:F363">OFFSET(E363,-1,1)</f>
        <v>3</v>
      </c>
      <c r="G363" s="578" t="s">
        <v>2353</v>
      </c>
      <c r="H363" s="1741"/>
      <c r="I363" s="587" t="s">
        <v>2618</v>
      </c>
      <c r="J363" s="587"/>
      <c r="K363" s="587"/>
      <c r="L363" s="587"/>
      <c r="M363" s="587"/>
      <c r="N363" s="587"/>
      <c r="O363" s="587"/>
      <c r="P363" s="587"/>
      <c r="Q363" s="587"/>
      <c r="R363" s="587"/>
      <c r="S363" s="587"/>
      <c r="T363" s="465" cm="1" t="str">
        <f t="array" ref="T363:T363">T362</f>
        <v>true</v>
      </c>
      <c r="U363" s="1741"/>
      <c r="V363" s="1741"/>
      <c r="W363" s="1741"/>
      <c r="X363" s="1641"/>
      <c r="Y363" s="1741"/>
      <c r="Z363" s="1642"/>
      <c r="AA363" s="1741"/>
      <c r="AB363" s="807" t="s">
        <v>2619</v>
      </c>
      <c r="AC363" s="1111" t="s">
        <v>2620</v>
      </c>
      <c r="AD363" s="814" t="s">
        <v>2337</v>
      </c>
      <c r="AE363" s="7168">
        <f>IF(AE359=0,0,AE355*(1+Сценарии!AE$26/100))</f>
        <v>0</v>
      </c>
      <c r="AF363" s="7168">
        <f>IF(AF359=0,0,AF355*(1+Сценарии!AF$26/100))</f>
        <v>0</v>
      </c>
      <c r="AG363" s="7168">
        <f>IF(AG359=0,0,AG355*(1+Сценарии!AG$26/100))</f>
        <v>0</v>
      </c>
      <c r="AH363" s="802">
        <f>AG363-AF363</f>
        <v>0</v>
      </c>
      <c r="AI363" s="7168">
        <f>IF(AI359=0,0,AI355*(1+Сценарии!AI$26/100))</f>
        <v>0</v>
      </c>
      <c r="AJ363" s="809">
        <f>IF(AJ359=0,0,AJ355*(1+Сценарии!AJ$26/100))</f>
        <v>348.96038988075</v>
      </c>
      <c r="AK363" s="809">
        <f>IF(AK359=0,0,AK355*(1+Сценарии!AK$26/100))</f>
        <v>348.960675226727</v>
      </c>
      <c r="AL363" s="817"/>
      <c r="AM363" s="803"/>
      <c r="AN363" s="803"/>
      <c r="AO363" s="803"/>
      <c r="AP363" s="1741"/>
      <c r="AQ363" s="1741"/>
      <c r="AR363" s="1062" t="s">
        <v>2621</v>
      </c>
      <c r="AS363" s="1062"/>
      <c r="AT363" s="1062"/>
      <c r="AU363" s="1059"/>
      <c r="AV363" s="1059"/>
    </row>
    <row s="1834" customFormat="1" customHeight="1" ht="14.25">
      <c r="A364" s="1741"/>
      <c r="B364" s="1741"/>
      <c r="C364" s="1741"/>
      <c r="D364" s="1741"/>
      <c r="E364" s="695">
        <v>15</v>
      </c>
      <c r="F364" s="50" cm="1" t="str">
        <f t="array" ref="F364:F364">OFFSET(E364,-1,1)</f>
        <v>3</v>
      </c>
      <c r="G364" s="578"/>
      <c r="H364" s="1741"/>
      <c r="I364" s="587"/>
      <c r="J364" s="587"/>
      <c r="K364" s="587"/>
      <c r="L364" s="587"/>
      <c r="M364" s="587"/>
      <c r="N364" s="587"/>
      <c r="O364" s="587"/>
      <c r="P364" s="587"/>
      <c r="Q364" s="587"/>
      <c r="R364" s="587"/>
      <c r="S364" s="587"/>
      <c r="T364" s="465" cm="1" t="str">
        <f t="array" ref="T364:T364">T363</f>
        <v>true</v>
      </c>
      <c r="U364" s="1741"/>
      <c r="V364" s="1741"/>
      <c r="W364" s="1741"/>
      <c r="X364" s="1641"/>
      <c r="Y364" s="1741"/>
      <c r="Z364" s="1642"/>
      <c r="AA364" s="1741"/>
      <c r="AB364" s="218" t="s">
        <v>517</v>
      </c>
      <c r="AC364" s="212" t="s">
        <v>2622</v>
      </c>
      <c r="AD364" s="211" t="s">
        <v>1514</v>
      </c>
      <c r="AE364" s="7168"/>
      <c r="AF364" s="7168"/>
      <c r="AG364" s="7168"/>
      <c r="AH364" s="802">
        <f>AG364-AF364</f>
        <v>0</v>
      </c>
      <c r="AI364" s="7168"/>
      <c r="AJ364" s="809"/>
      <c r="AK364" s="809"/>
      <c r="AL364" s="817"/>
      <c r="AM364" s="803"/>
      <c r="AN364" s="803"/>
      <c r="AO364" s="803"/>
      <c r="AP364" s="1741"/>
      <c r="AQ364" s="1741"/>
      <c r="AR364" s="1062" t="s">
        <v>2623</v>
      </c>
      <c r="AS364" s="1062"/>
      <c r="AT364" s="1062"/>
      <c r="AU364" s="1059"/>
      <c r="AV364" s="1059"/>
    </row>
    <row s="1834" customFormat="1" customHeight="1" ht="21.75">
      <c r="A365" s="1741"/>
      <c r="B365" s="1741"/>
      <c r="C365" s="1741"/>
      <c r="D365" s="1741"/>
      <c r="E365" s="695">
        <v>22.5</v>
      </c>
      <c r="F365" s="50" cm="1" t="str">
        <f t="array" ref="F365:F365">OFFSET(E365,-1,1)</f>
        <v>3</v>
      </c>
      <c r="G365" s="578"/>
      <c r="H365" s="1741"/>
      <c r="I365" s="587"/>
      <c r="J365" s="587"/>
      <c r="K365" s="587"/>
      <c r="L365" s="587"/>
      <c r="M365" s="587"/>
      <c r="N365" s="587"/>
      <c r="O365" s="587"/>
      <c r="P365" s="587"/>
      <c r="Q365" s="587"/>
      <c r="R365" s="587"/>
      <c r="S365" s="587"/>
      <c r="T365" s="465" cm="1" t="str">
        <f t="array" ref="T365:T365">T364</f>
        <v>true</v>
      </c>
      <c r="U365" s="1741"/>
      <c r="V365" s="1741"/>
      <c r="W365" s="1741"/>
      <c r="X365" s="1641"/>
      <c r="Y365" s="1741"/>
      <c r="Z365" s="1642"/>
      <c r="AA365" s="1741"/>
      <c r="AB365" s="299" t="s">
        <v>2624</v>
      </c>
      <c r="AC365" s="762" t="s">
        <v>2625</v>
      </c>
      <c r="AD365" s="300" t="s">
        <v>1514</v>
      </c>
      <c r="AE365" s="7168"/>
      <c r="AF365" s="7168"/>
      <c r="AG365" s="7168"/>
      <c r="AH365" s="802">
        <f>AG365-AF365</f>
        <v>0</v>
      </c>
      <c r="AI365" s="7168"/>
      <c r="AJ365" s="809"/>
      <c r="AK365" s="809"/>
      <c r="AL365" s="817"/>
      <c r="AM365" s="803"/>
      <c r="AN365" s="803"/>
      <c r="AO365" s="803"/>
      <c r="AP365" s="1741"/>
      <c r="AQ365" s="1741"/>
      <c r="AR365" s="1062" t="s">
        <v>2626</v>
      </c>
      <c r="AS365" s="1062"/>
      <c r="AT365" s="1062"/>
      <c r="AU365" s="1059"/>
      <c r="AV365" s="1059"/>
    </row>
    <row s="1834" customFormat="1" customHeight="1" ht="69.75">
      <c r="A366" s="1741"/>
      <c r="B366" s="1741"/>
      <c r="C366" s="1741"/>
      <c r="D366" s="1741"/>
      <c r="E366" s="695">
        <v>72</v>
      </c>
      <c r="F366" s="50" cm="1" t="str">
        <f t="array" ref="F366:F366">OFFSET(E366,-1,1)</f>
        <v>3</v>
      </c>
      <c r="G366" s="578"/>
      <c r="H366" s="1741"/>
      <c r="I366" s="587"/>
      <c r="J366" s="587"/>
      <c r="K366" s="587"/>
      <c r="L366" s="587"/>
      <c r="M366" s="587"/>
      <c r="N366" s="587"/>
      <c r="O366" s="587"/>
      <c r="P366" s="587"/>
      <c r="Q366" s="587"/>
      <c r="R366" s="587"/>
      <c r="S366" s="587"/>
      <c r="T366" s="465" cm="1" t="str">
        <f t="array" ref="T366:T366">T365</f>
        <v>true</v>
      </c>
      <c r="U366" s="1741"/>
      <c r="V366" s="1741"/>
      <c r="W366" s="1741"/>
      <c r="X366" s="1641"/>
      <c r="Y366" s="1741"/>
      <c r="Z366" s="1642"/>
      <c r="AA366" s="1741"/>
      <c r="AB366" s="299" t="s">
        <v>2627</v>
      </c>
      <c r="AC366" s="762" t="s">
        <v>2628</v>
      </c>
      <c r="AD366" s="300" t="s">
        <v>1514</v>
      </c>
      <c r="AE366" s="7168"/>
      <c r="AF366" s="7168"/>
      <c r="AG366" s="7168"/>
      <c r="AH366" s="802">
        <f>AG366-AF366</f>
        <v>0</v>
      </c>
      <c r="AI366" s="7168"/>
      <c r="AJ366" s="809"/>
      <c r="AK366" s="809"/>
      <c r="AL366" s="817"/>
      <c r="AM366" s="803"/>
      <c r="AN366" s="803"/>
      <c r="AO366" s="803"/>
      <c r="AP366" s="1741"/>
      <c r="AQ366" s="1741"/>
      <c r="AR366" s="1062" t="s">
        <v>2629</v>
      </c>
      <c r="AS366" s="1062"/>
      <c r="AT366" s="1062"/>
      <c r="AU366" s="1059"/>
      <c r="AV366" s="1059"/>
    </row>
    <row s="1834" customFormat="1" customHeight="1" ht="14.25">
      <c r="A367" s="1741"/>
      <c r="B367" s="1741"/>
      <c r="C367" s="1741"/>
      <c r="D367" s="1741"/>
      <c r="E367" s="695">
        <v>15</v>
      </c>
      <c r="F367" s="579" cm="1" t="str">
        <f t="array" ref="F367:F367">X367</f>
        <v>4</v>
      </c>
      <c r="G367" s="696" cm="1" t="str">
        <f t="array" ref="G367:G367">INDEX('Общие сведения'!$AK$179:$AK$250,MATCH($X367,'Общие сведения'!$Z$179:$Z$250,0))</f>
        <v>одноставочный</v>
      </c>
      <c r="H367" s="1741"/>
      <c r="I367" s="1741"/>
      <c r="J367" s="1741"/>
      <c r="K367" s="1741"/>
      <c r="L367" s="1741"/>
      <c r="M367" s="1741"/>
      <c r="N367" s="1741"/>
      <c r="O367" s="1741"/>
      <c r="P367" s="1741"/>
      <c r="Q367" s="1741"/>
      <c r="R367" s="1741"/>
      <c r="S367" s="1741"/>
      <c r="T367" s="465">
        <f>X367&gt;0</f>
        <v>1</v>
      </c>
      <c r="U367" s="1741"/>
      <c r="V367" s="694" cm="1" t="str">
        <f t="array" ref="V367:V367">ТМ!$AD$281</f>
        <v>Тариф 4 (Водоотведение) - тариф на водоотведение (Доп. признак не требуется)</v>
      </c>
      <c r="W367" s="1741"/>
      <c r="X367" s="1641" t="s">
        <v>295</v>
      </c>
      <c r="Y367" s="1741"/>
      <c r="Z367" s="1642"/>
      <c r="AA367" s="1741"/>
      <c r="AB367" s="1227" cm="1" t="str">
        <f t="array" ref="AB367:AB367">ТМ!$AD$281</f>
        <v>Тариф 4 (Водоотведение) - тариф на водоотведение (Доп. признак не требуется)</v>
      </c>
      <c r="AC367" s="586"/>
      <c r="AD367" s="586"/>
      <c r="AE367" s="586"/>
      <c r="AF367" s="586"/>
      <c r="AG367" s="586"/>
      <c r="AH367" s="586"/>
      <c r="AI367" s="586"/>
      <c r="AJ367" s="586"/>
      <c r="AK367" s="586"/>
      <c r="AL367" s="586"/>
      <c r="AM367" s="586"/>
      <c r="AN367" s="586"/>
      <c r="AO367" s="586"/>
      <c r="AP367" s="1741"/>
      <c r="AQ367" s="1741"/>
      <c r="AR367" s="1062"/>
      <c r="AS367" s="1062"/>
      <c r="AT367" s="1062"/>
      <c r="AU367" s="1059"/>
      <c r="AV367" s="1059"/>
    </row>
    <row s="1834" customFormat="1" customHeight="1" ht="14.25">
      <c r="A368" s="1741"/>
      <c r="B368" s="1741"/>
      <c r="C368" s="1741"/>
      <c r="D368" s="1741"/>
      <c r="E368" s="695">
        <v>15</v>
      </c>
      <c r="F368" s="50" cm="1" t="str">
        <f t="array" ref="F368:F368">OFFSET(E368,-1,1)</f>
        <v>4</v>
      </c>
      <c r="G368" s="1741"/>
      <c r="H368" s="1741"/>
      <c r="I368" s="587" t="s">
        <v>332</v>
      </c>
      <c r="J368" s="587"/>
      <c r="K368" s="587"/>
      <c r="L368" s="587"/>
      <c r="M368" s="587"/>
      <c r="N368" s="587"/>
      <c r="O368" s="587"/>
      <c r="P368" s="587"/>
      <c r="Q368" s="587"/>
      <c r="R368" s="587"/>
      <c r="S368" s="587"/>
      <c r="T368" s="465" cm="1" t="str">
        <f t="array" ref="T368:T368">T367</f>
        <v>true</v>
      </c>
      <c r="U368" s="1741"/>
      <c r="V368" s="1741"/>
      <c r="W368" s="1741"/>
      <c r="X368" s="1641"/>
      <c r="Y368" s="1741"/>
      <c r="Z368" s="1642"/>
      <c r="AA368" s="1741"/>
      <c r="AB368" s="799" t="s">
        <v>276</v>
      </c>
      <c r="AC368" s="800" t="s">
        <v>2434</v>
      </c>
      <c r="AD368" s="759" t="s">
        <v>1514</v>
      </c>
      <c r="AE368" s="801">
        <f>AE369+AE373+AE383+AE384+AE387+AE388+AE389</f>
        <v>0</v>
      </c>
      <c r="AF368" s="801">
        <f>AF369+AF373+AF383+AF384+AF387+AF388+AF389</f>
        <v>0</v>
      </c>
      <c r="AG368" s="801">
        <f>AG369+AG373+AG383+AG384+AG387+AG388+AG389</f>
        <v>0</v>
      </c>
      <c r="AH368" s="801">
        <f>AG368-AF368</f>
        <v>0</v>
      </c>
      <c r="AI368" s="801">
        <f>AI369+AI373+AI383+AI384+AI387+AI388+AI389</f>
        <v>0</v>
      </c>
      <c r="AJ368" s="801">
        <f>AJ369+AJ373+AJ383+AJ384+AJ387+AJ388+AJ389</f>
        <v>81951.8629759489</v>
      </c>
      <c r="AK368" s="801">
        <f>AK369+AK373+AK383+AK384+AK387+AK388+AK389</f>
        <v>81951.8629759489</v>
      </c>
      <c r="AL368" s="802">
        <f>IF(AI368=0,0,(AK368-AI368)/AI368*100)</f>
        <v>0</v>
      </c>
      <c r="AM368" s="803"/>
      <c r="AN368" s="910"/>
      <c r="AO368" s="803"/>
      <c r="AP368" s="1741"/>
      <c r="AQ368" s="1741"/>
      <c r="AR368" s="1062" t="s">
        <v>1230</v>
      </c>
      <c r="AS368" s="1062"/>
      <c r="AT368" s="1062"/>
      <c r="AU368" s="1059"/>
      <c r="AV368" s="1059"/>
    </row>
    <row s="7313" customFormat="1" customHeight="1" ht="21.75">
      <c r="A369" s="588"/>
      <c r="B369" s="588"/>
      <c r="C369" s="588"/>
      <c r="D369" s="588"/>
      <c r="E369" s="697">
        <v>22.5</v>
      </c>
      <c r="F369" s="50" cm="1" t="str">
        <f t="array" ref="F369:F369">OFFSET(E369,-1,1)</f>
        <v>4</v>
      </c>
      <c r="G369" s="588"/>
      <c r="H369" s="588"/>
      <c r="I369" s="698" t="s">
        <v>1175</v>
      </c>
      <c r="J369" s="698"/>
      <c r="K369" s="698"/>
      <c r="L369" s="698"/>
      <c r="M369" s="698"/>
      <c r="N369" s="698"/>
      <c r="O369" s="698"/>
      <c r="P369" s="698"/>
      <c r="Q369" s="698"/>
      <c r="R369" s="698"/>
      <c r="S369" s="698"/>
      <c r="T369" s="465" cm="1" t="str">
        <f t="array" ref="T369:T369">T368</f>
        <v>true</v>
      </c>
      <c r="U369" s="588"/>
      <c r="V369" s="588"/>
      <c r="W369" s="588"/>
      <c r="X369" s="1641"/>
      <c r="Y369" s="588"/>
      <c r="Z369" s="1642"/>
      <c r="AA369" s="588"/>
      <c r="AB369" s="804" t="s">
        <v>1628</v>
      </c>
      <c r="AC369" s="805" t="s">
        <v>2435</v>
      </c>
      <c r="AD369" s="590" t="s">
        <v>1514</v>
      </c>
      <c r="AE369" s="801">
        <f>SUM(AE370:AE372)</f>
        <v>0</v>
      </c>
      <c r="AF369" s="801">
        <f>SUM(AF370:AF372)</f>
        <v>0</v>
      </c>
      <c r="AG369" s="801">
        <f>SUM(AG370:AG372)</f>
        <v>0</v>
      </c>
      <c r="AH369" s="801">
        <f>AG369-AF369</f>
        <v>0</v>
      </c>
      <c r="AI369" s="801">
        <f>SUM(AI370:AI372)</f>
        <v>0</v>
      </c>
      <c r="AJ369" s="801">
        <f>SUM(AJ370:AJ372)</f>
        <v>3851.294578</v>
      </c>
      <c r="AK369" s="801">
        <f>SUM(AK370:AK372)</f>
        <v>3851.294578</v>
      </c>
      <c r="AL369" s="801">
        <f>IF(AI369=0,0,(AK369-AI369)/AI369*100)</f>
        <v>0</v>
      </c>
      <c r="AM369" s="806"/>
      <c r="AN369" s="806"/>
      <c r="AO369" s="806"/>
      <c r="AP369" s="588"/>
      <c r="AQ369" s="588"/>
      <c r="AR369" s="1063" t="s">
        <v>2436</v>
      </c>
      <c r="AS369" s="1063"/>
      <c r="AT369" s="1063"/>
      <c r="AU369" s="697"/>
      <c r="AV369" s="697"/>
    </row>
    <row s="1834" customFormat="1" customHeight="1" ht="14.25">
      <c r="A370" s="1741"/>
      <c r="B370" s="1741"/>
      <c r="C370" s="1741"/>
      <c r="D370" s="1741"/>
      <c r="E370" s="695">
        <v>15</v>
      </c>
      <c r="F370" s="50" cm="1" t="str">
        <f t="array" ref="F370:F370">OFFSET(E370,-1,1)</f>
        <v>4</v>
      </c>
      <c r="G370" s="1741"/>
      <c r="H370" s="1741"/>
      <c r="I370" s="587" t="s">
        <v>1735</v>
      </c>
      <c r="J370" s="587"/>
      <c r="K370" s="587"/>
      <c r="L370" s="587"/>
      <c r="M370" s="587"/>
      <c r="N370" s="587"/>
      <c r="O370" s="587"/>
      <c r="P370" s="587"/>
      <c r="Q370" s="587"/>
      <c r="R370" s="587"/>
      <c r="S370" s="587"/>
      <c r="T370" s="465" cm="1" t="str">
        <f t="array" ref="T370:T370">T369</f>
        <v>true</v>
      </c>
      <c r="U370" s="1741"/>
      <c r="V370" s="1741"/>
      <c r="W370" s="1741"/>
      <c r="X370" s="1641"/>
      <c r="Y370" s="1741"/>
      <c r="Z370" s="1642"/>
      <c r="AA370" s="1741"/>
      <c r="AB370" s="807" t="s">
        <v>1736</v>
      </c>
      <c r="AC370" s="808" t="s">
        <v>2437</v>
      </c>
      <c r="AD370" s="759" t="s">
        <v>1514</v>
      </c>
      <c r="AE370" s="802">
        <f>_xlfn.SUMIFS('Сырье и материалы'!AE$25:AE$162,'Сырье и материалы'!$F$25:$F$162,$F370,'Сырье и материалы'!$I$25:$I$162,"Реагенты")</f>
        <v>0</v>
      </c>
      <c r="AF370" s="802">
        <f>_xlfn.SUMIFS('Сырье и материалы'!AF$25:AF$162,'Сырье и материалы'!$F$25:$F$162,$F370,'Сырье и материалы'!$I$25:$I$162,"Реагенты")</f>
        <v>0</v>
      </c>
      <c r="AG370" s="802">
        <f>_xlfn.SUMIFS('Сырье и материалы'!AG$25:AG$162,'Сырье и материалы'!$F$25:$F$162,$F370,'Сырье и материалы'!$I$25:$I$162,"Реагенты")</f>
        <v>0</v>
      </c>
      <c r="AH370" s="802">
        <f>AG370-AF370</f>
        <v>0</v>
      </c>
      <c r="AI370" s="802">
        <f>_xlfn.SUMIFS('Сырье и материалы'!AH$25:AH$162,'Сырье и материалы'!$F$25:$F$162,$F370,'Сырье и материалы'!$I$25:$I$162,"Реагенты")</f>
        <v>0</v>
      </c>
      <c r="AJ370" s="802">
        <f>_xlfn.SUMIFS('Сырье и материалы'!AI$25:AI$162,'Сырье и материалы'!$F$25:$F$162,$F370,'Сырье и материалы'!$I$25:$I$162,"Реагенты")</f>
        <v>3327.168988</v>
      </c>
      <c r="AK370" s="802">
        <f>_xlfn.SUMIFS('Сырье и материалы'!AS$25:AS$162,'Сырье и материалы'!$F$25:$F$162,$F370,'Сырье и материалы'!$I$25:$I$162,"Реагенты")</f>
        <v>3327.168988</v>
      </c>
      <c r="AL370" s="802">
        <f>IF(AI370=0,0,(AK370-AI370)/AI370*100)</f>
        <v>0</v>
      </c>
      <c r="AM370" s="803"/>
      <c r="AN370" s="910" t="str">
        <f>IF(_xlfn.IFERROR(INDEX('Сырье и материалы'!$K$26:$L$162,MATCH($F370&amp;"komm",'Сырье и материалы'!$K$26:$K$162,0),2),"")=0,"",_xlfn.IFERROR(INDEX('Сырье и материалы'!$K$26:$L$162,MATCH($F370&amp;"komm",'Сырье и материалы'!$K$26:$K$162,0),2),""))</f>
        <v/>
      </c>
      <c r="AO370" s="803"/>
      <c r="AP370" s="1741"/>
      <c r="AQ370" s="1741"/>
      <c r="AR370" s="1062" t="s">
        <v>2438</v>
      </c>
      <c r="AS370" s="1062"/>
      <c r="AT370" s="1062"/>
      <c r="AU370" s="1059"/>
      <c r="AV370" s="1059"/>
    </row>
    <row s="1834" customFormat="1" customHeight="1" ht="14.25">
      <c r="A371" s="1741"/>
      <c r="B371" s="1741"/>
      <c r="C371" s="1741"/>
      <c r="D371" s="1741"/>
      <c r="E371" s="695">
        <v>15</v>
      </c>
      <c r="F371" s="50" cm="1" t="str">
        <f t="array" ref="F371:F371">OFFSET(E371,-1,1)</f>
        <v>4</v>
      </c>
      <c r="G371" s="1741"/>
      <c r="H371" s="1741"/>
      <c r="I371" s="587" t="s">
        <v>1739</v>
      </c>
      <c r="J371" s="587"/>
      <c r="K371" s="587"/>
      <c r="L371" s="587"/>
      <c r="M371" s="587"/>
      <c r="N371" s="587"/>
      <c r="O371" s="587"/>
      <c r="P371" s="587"/>
      <c r="Q371" s="587"/>
      <c r="R371" s="587"/>
      <c r="S371" s="587"/>
      <c r="T371" s="465" cm="1" t="str">
        <f t="array" ref="T371:T371">T370</f>
        <v>true</v>
      </c>
      <c r="U371" s="1741"/>
      <c r="V371" s="1741"/>
      <c r="W371" s="1741"/>
      <c r="X371" s="1641"/>
      <c r="Y371" s="1741"/>
      <c r="Z371" s="1642"/>
      <c r="AA371" s="1741"/>
      <c r="AB371" s="807" t="s">
        <v>1740</v>
      </c>
      <c r="AC371" s="808" t="s">
        <v>2439</v>
      </c>
      <c r="AD371" s="759" t="s">
        <v>1514</v>
      </c>
      <c r="AE371" s="1742">
        <f>_xlfn.SUMIFS('Сырье и материалы'!AE$25:AE$162,'Сырье и материалы'!$F$25:$F$162,$F371,'Сырье и материалы'!$I$25:$I$162,"Горюче-смазочные материалы")</f>
        <v>0</v>
      </c>
      <c r="AF371" s="1742">
        <f>_xlfn.SUMIFS('Сырье и материалы'!AF$25:AF$162,'Сырье и материалы'!$F$25:$F$162,$F371,'Сырье и материалы'!$I$25:$I$162,"Горюче-смазочные материалы")</f>
        <v>0</v>
      </c>
      <c r="AG371" s="1742">
        <f>_xlfn.SUMIFS('Сырье и материалы'!AG$25:AG$162,'Сырье и материалы'!$F$25:$F$162,$F371,'Сырье и материалы'!$I$25:$I$162,"Горюче-смазочные материалы")</f>
        <v>0</v>
      </c>
      <c r="AH371" s="802">
        <f>AG371-AF371</f>
        <v>0</v>
      </c>
      <c r="AI371" s="1742">
        <f>_xlfn.SUMIFS('Сырье и материалы'!AH$25:AH$162,'Сырье и материалы'!$F$25:$F$162,$F371,'Сырье и материалы'!$I$25:$I$162,"Горюче-смазочные материалы")</f>
        <v>0</v>
      </c>
      <c r="AJ371" s="1742">
        <f>_xlfn.SUMIFS('Сырье и материалы'!AI$25:AI$162,'Сырье и материалы'!$F$25:$F$162,$F371,'Сырье и материалы'!$I$25:$I$162,"Горюче-смазочные материалы")</f>
        <v>151</v>
      </c>
      <c r="AK371" s="1742">
        <f>_xlfn.SUMIFS('Сырье и материалы'!AS$25:AS$162,'Сырье и материалы'!$F$25:$F$162,$F371,'Сырье и материалы'!$I$25:$I$162,"Горюче-смазочные материалы")</f>
        <v>151</v>
      </c>
      <c r="AL371" s="802">
        <f>IF(AI371=0,0,(AK371-AI371)/AI371*100)</f>
        <v>0</v>
      </c>
      <c r="AM371" s="803"/>
      <c r="AN371" s="803"/>
      <c r="AO371" s="803"/>
      <c r="AP371" s="1741"/>
      <c r="AQ371" s="1741"/>
      <c r="AR371" s="1062" t="s">
        <v>2440</v>
      </c>
      <c r="AS371" s="1062"/>
      <c r="AT371" s="1062"/>
      <c r="AU371" s="1059"/>
      <c r="AV371" s="1059"/>
    </row>
    <row s="1834" customFormat="1" customHeight="1" ht="14.25">
      <c r="A372" s="1741"/>
      <c r="B372" s="1741"/>
      <c r="C372" s="1741"/>
      <c r="D372" s="1741"/>
      <c r="E372" s="695">
        <v>15</v>
      </c>
      <c r="F372" s="50" cm="1" t="str">
        <f t="array" ref="F372:F372">OFFSET(E372,-1,1)</f>
        <v>4</v>
      </c>
      <c r="G372" s="1741"/>
      <c r="H372" s="1741"/>
      <c r="I372" s="587" t="s">
        <v>2043</v>
      </c>
      <c r="J372" s="587"/>
      <c r="K372" s="587"/>
      <c r="L372" s="587"/>
      <c r="M372" s="587"/>
      <c r="N372" s="587"/>
      <c r="O372" s="587"/>
      <c r="P372" s="587"/>
      <c r="Q372" s="587"/>
      <c r="R372" s="587"/>
      <c r="S372" s="587"/>
      <c r="T372" s="465" cm="1" t="str">
        <f t="array" ref="T372:T372">T371</f>
        <v>true</v>
      </c>
      <c r="U372" s="1741"/>
      <c r="V372" s="1741"/>
      <c r="W372" s="1741"/>
      <c r="X372" s="1641"/>
      <c r="Y372" s="1741"/>
      <c r="Z372" s="1642"/>
      <c r="AA372" s="1741"/>
      <c r="AB372" s="807" t="s">
        <v>2044</v>
      </c>
      <c r="AC372" s="808" t="s">
        <v>2441</v>
      </c>
      <c r="AD372" s="759" t="s">
        <v>1514</v>
      </c>
      <c r="AE372" s="1742">
        <f>_xlfn.SUMIFS('Сырье и материалы'!AE$25:AE$162,'Сырье и материалы'!$F$25:$F$162,$F372,'Сырье и материалы'!$I$25:$I$162,"Материалы")</f>
        <v>0</v>
      </c>
      <c r="AF372" s="1742">
        <f>_xlfn.SUMIFS('Сырье и материалы'!AF$25:AF$162,'Сырье и материалы'!$F$25:$F$162,$F372,'Сырье и материалы'!$I$25:$I$162,"Материалы")</f>
        <v>0</v>
      </c>
      <c r="AG372" s="1742">
        <f>_xlfn.SUMIFS('Сырье и материалы'!AG$25:AG$162,'Сырье и материалы'!$F$25:$F$162,$F372,'Сырье и материалы'!$I$25:$I$162,"Материалы")</f>
        <v>0</v>
      </c>
      <c r="AH372" s="802">
        <f>AG372-AF372</f>
        <v>0</v>
      </c>
      <c r="AI372" s="1742">
        <f>_xlfn.SUMIFS('Сырье и материалы'!AH$25:AH$162,'Сырье и материалы'!$F$25:$F$162,$F372,'Сырье и материалы'!$I$25:$I$162,"Материалы")</f>
        <v>0</v>
      </c>
      <c r="AJ372" s="1742">
        <f>_xlfn.SUMIFS('Сырье и материалы'!AI$25:AI$162,'Сырье и материалы'!$F$25:$F$162,$F372,'Сырье и материалы'!$I$25:$I$162,"Материалы")</f>
        <v>373.12559</v>
      </c>
      <c r="AK372" s="1742">
        <f>_xlfn.SUMIFS('Сырье и материалы'!AS$25:AS$162,'Сырье и материалы'!$F$25:$F$162,$F372,'Сырье и материалы'!$I$25:$I$162,"Материалы")</f>
        <v>373.12559</v>
      </c>
      <c r="AL372" s="802">
        <f>IF(AI372=0,0,(AK372-AI372)/AI372*100)</f>
        <v>0</v>
      </c>
      <c r="AM372" s="803"/>
      <c r="AN372" s="803"/>
      <c r="AO372" s="803"/>
      <c r="AP372" s="1741"/>
      <c r="AQ372" s="1741"/>
      <c r="AR372" s="1062" t="s">
        <v>2442</v>
      </c>
      <c r="AS372" s="1062"/>
      <c r="AT372" s="1062"/>
      <c r="AU372" s="1059"/>
      <c r="AV372" s="1059"/>
    </row>
    <row s="7314" customFormat="1" customHeight="1" ht="21.75">
      <c r="A373" s="588"/>
      <c r="B373" s="588"/>
      <c r="C373" s="588"/>
      <c r="D373" s="588"/>
      <c r="E373" s="697">
        <v>22.5</v>
      </c>
      <c r="F373" s="50" cm="1" t="str">
        <f t="array" ref="F373:F373">OFFSET(E373,-1,1)</f>
        <v>4</v>
      </c>
      <c r="G373" s="588"/>
      <c r="H373" s="588"/>
      <c r="I373" s="698" t="s">
        <v>1179</v>
      </c>
      <c r="J373" s="698"/>
      <c r="K373" s="698"/>
      <c r="L373" s="698"/>
      <c r="M373" s="698"/>
      <c r="N373" s="698"/>
      <c r="O373" s="698"/>
      <c r="P373" s="698"/>
      <c r="Q373" s="698"/>
      <c r="R373" s="698"/>
      <c r="S373" s="698"/>
      <c r="T373" s="465" cm="1" t="str">
        <f t="array" ref="T373:T373">T372</f>
        <v>true</v>
      </c>
      <c r="U373" s="588"/>
      <c r="V373" s="588"/>
      <c r="W373" s="588"/>
      <c r="X373" s="1641"/>
      <c r="Y373" s="588"/>
      <c r="Z373" s="1642"/>
      <c r="AA373" s="588"/>
      <c r="AB373" s="804" t="s">
        <v>1631</v>
      </c>
      <c r="AC373" s="805" t="s">
        <v>2443</v>
      </c>
      <c r="AD373" s="590" t="s">
        <v>1514</v>
      </c>
      <c r="AE373" s="801">
        <f>SUM(AE374:AE382)</f>
        <v>0</v>
      </c>
      <c r="AF373" s="801">
        <f>SUM(AF374:AF382)</f>
        <v>0</v>
      </c>
      <c r="AG373" s="801">
        <f>SUM(AG374:AG382)</f>
        <v>0</v>
      </c>
      <c r="AH373" s="801">
        <f>AG373-AF373</f>
        <v>0</v>
      </c>
      <c r="AI373" s="801">
        <f>SUM(AI374:AI382)</f>
        <v>0</v>
      </c>
      <c r="AJ373" s="801">
        <f>SUM(AJ374:AJ382)</f>
        <v>8385.20781084891</v>
      </c>
      <c r="AK373" s="801">
        <f>SUM(AK374:AK382)</f>
        <v>8385.20781084891</v>
      </c>
      <c r="AL373" s="801">
        <f>IF(AI373=0,0,(AK373-AI373)/AI373*100)</f>
        <v>0</v>
      </c>
      <c r="AM373" s="806"/>
      <c r="AN373" s="806"/>
      <c r="AO373" s="806"/>
      <c r="AP373" s="588"/>
      <c r="AQ373" s="588"/>
      <c r="AR373" s="1063" t="s">
        <v>2444</v>
      </c>
      <c r="AS373" s="1063"/>
      <c r="AT373" s="1063"/>
      <c r="AU373" s="697"/>
      <c r="AV373" s="697"/>
    </row>
    <row s="1834" customFormat="1" customHeight="1" ht="14.25">
      <c r="A374" s="1741"/>
      <c r="B374" s="1741"/>
      <c r="C374" s="1741"/>
      <c r="D374" s="1741"/>
      <c r="E374" s="695">
        <v>15</v>
      </c>
      <c r="F374" s="50" cm="1" t="str">
        <f t="array" ref="F374:F374">OFFSET(E374,-1,1)</f>
        <v>4</v>
      </c>
      <c r="G374" s="1741"/>
      <c r="H374" s="1741"/>
      <c r="I374" s="587" t="s">
        <v>2068</v>
      </c>
      <c r="J374" s="587"/>
      <c r="K374" s="587"/>
      <c r="L374" s="587"/>
      <c r="M374" s="587"/>
      <c r="N374" s="587"/>
      <c r="O374" s="587"/>
      <c r="P374" s="587"/>
      <c r="Q374" s="587"/>
      <c r="R374" s="587"/>
      <c r="S374" s="587"/>
      <c r="T374" s="465" cm="1" t="str">
        <f t="array" ref="T374:T374">T373</f>
        <v>true</v>
      </c>
      <c r="U374" s="1741"/>
      <c r="V374" s="1741"/>
      <c r="W374" s="1741"/>
      <c r="X374" s="1641"/>
      <c r="Y374" s="1741"/>
      <c r="Z374" s="1642"/>
      <c r="AA374" s="1741"/>
      <c r="AB374" s="807" t="s">
        <v>2069</v>
      </c>
      <c r="AC374" s="808" t="s">
        <v>2445</v>
      </c>
      <c r="AD374" s="759" t="s">
        <v>1514</v>
      </c>
      <c r="AE374" s="802">
        <f>_xlfn.SUMIFS(ЭЭ!AE$25:AE$189,ЭЭ!$F$25:$F$189,$F374,ЭЭ!$AC$25:$AC$189,"Всего по тарифу")</f>
        <v>0</v>
      </c>
      <c r="AF374" s="802">
        <f>_xlfn.SUMIFS(ЭЭ!AF$25:AF$189,ЭЭ!$F$25:$F$189,$F374,ЭЭ!$AC$25:$AC$189,"Всего по тарифу")</f>
        <v>0</v>
      </c>
      <c r="AG374" s="802">
        <f>_xlfn.SUMIFS(ЭЭ!AG$25:AG$189,ЭЭ!$F$25:$F$189,$F374,ЭЭ!$AC$25:$AC$189,"Всего по тарифу")</f>
        <v>0</v>
      </c>
      <c r="AH374" s="802">
        <f>AG374-AF374</f>
        <v>0</v>
      </c>
      <c r="AI374" s="802">
        <f>_xlfn.SUMIFS(ЭЭ!AH$25:AH$189,ЭЭ!$F$25:$F$189,$F374,ЭЭ!$AC$25:$AC$189,"Всего по тарифу")</f>
        <v>0</v>
      </c>
      <c r="AJ374" s="802">
        <f>_xlfn.SUMIFS(ЭЭ!AI$25:AI$189,ЭЭ!$F$25:$F$189,$F374,ЭЭ!$AC$25:$AC$189,"Всего по тарифу")</f>
        <v>8385.20781084891</v>
      </c>
      <c r="AK374" s="802">
        <f>_xlfn.SUMIFS(ЭЭ!AS$25:AS$189,ЭЭ!$F$25:$F$189,$F374,ЭЭ!$AC$25:$AC$189,"Всего по тарифу")</f>
        <v>8385.20781084891</v>
      </c>
      <c r="AL374" s="802">
        <f>IF(AI374=0,0,(AK374-AI374)/AI374*100)</f>
        <v>0</v>
      </c>
      <c r="AM374" s="803"/>
      <c r="AN374" s="910" t="str">
        <f>IF(_xlfn.IFERROR(INDEX(ЭЭ!$K$26:$L$189,MATCH($F374&amp;"komm",ЭЭ!$K$26:$K$189,0),2),"")=0,"",_xlfn.IFERROR(INDEX(ЭЭ!$K$26:$L$189,MATCH($F374&amp;"komm",ЭЭ!$K$26:$K$189,0),2),""))</f>
        <v>В соответствии с п. 20 Методических указаний расходы регулируемой организации на приобретаемые электрическую энергию (мощность), тепловую энергию (мощность), другие виды энергетических ресурсов, холодную воду, теплоноситель определяются как сумма произведений расчетных экономически (технологически, технически) обоснованных объемов приобретаемых электрической энергии (мощности), тепловой энергии (мощности), других видов энергетических ресурсов холодной воды на соответственно плановые (расчетные) цены (тарифы) на электрическую энергию (мощность), тепловую энергию (мощность), другие виды энергетических ресурсов, холодную воду. Объемы приобретаемой электрической энергии (мощности), тепловой энергии (мощности) определяются с учетом показателей надежности, качества, энергетической эффективности в сфере водоснабжения и (или) водоотведения, определенных в установленном порядке.</v>
      </c>
      <c r="AO374" s="803"/>
      <c r="AP374" s="1741"/>
      <c r="AQ374" s="1741"/>
      <c r="AR374" s="1062" t="s">
        <v>2446</v>
      </c>
      <c r="AS374" s="1062"/>
      <c r="AT374" s="1062"/>
      <c r="AU374" s="1059"/>
      <c r="AV374" s="1059"/>
    </row>
    <row s="1834" customFormat="1" customHeight="1" ht="14.25">
      <c r="A375" s="1741"/>
      <c r="B375" s="1741"/>
      <c r="C375" s="1741"/>
      <c r="D375" s="1741"/>
      <c r="E375" s="695">
        <v>15</v>
      </c>
      <c r="F375" s="50" cm="1" t="str">
        <f t="array" ref="F375:F375">OFFSET(E375,-1,1)</f>
        <v>4</v>
      </c>
      <c r="G375" s="577" t="s">
        <v>1819</v>
      </c>
      <c r="H375" s="1741"/>
      <c r="I375" s="587" t="s">
        <v>2071</v>
      </c>
      <c r="J375" s="587"/>
      <c r="K375" s="587"/>
      <c r="L375" s="587"/>
      <c r="M375" s="587"/>
      <c r="N375" s="587"/>
      <c r="O375" s="587"/>
      <c r="P375" s="587"/>
      <c r="Q375" s="587"/>
      <c r="R375" s="587"/>
      <c r="S375" s="587"/>
      <c r="T375" s="465" cm="1" t="str">
        <f t="array" ref="T375:T375">T374</f>
        <v>true</v>
      </c>
      <c r="U375" s="1741"/>
      <c r="V375" s="1741"/>
      <c r="W375" s="1741"/>
      <c r="X375" s="1641"/>
      <c r="Y375" s="1741"/>
      <c r="Z375" s="1642"/>
      <c r="AA375" s="1741"/>
      <c r="AB375" s="807" t="s">
        <v>2072</v>
      </c>
      <c r="AC375" s="808" t="s">
        <v>2447</v>
      </c>
      <c r="AD375" s="759" t="s">
        <v>1514</v>
      </c>
      <c r="AE375" s="802">
        <f>_xlfn.SUMIFS(Покупка!AE$25:AE$372,Покупка!$F$25:$F$372,$F375,Покупка!$AC$25:$AC$372,$G375)</f>
        <v>0</v>
      </c>
      <c r="AF375" s="802">
        <f>_xlfn.SUMIFS(Покупка!AF$25:AF$372,Покупка!$F$25:$F$372,$F375,Покупка!$AC$25:$AC$372,$G375)</f>
        <v>0</v>
      </c>
      <c r="AG375" s="802">
        <f>_xlfn.SUMIFS(Покупка!AG$25:AG$372,Покупка!$F$25:$F$372,$F375,Покупка!$AC$25:$AC$372,$G375)</f>
        <v>0</v>
      </c>
      <c r="AH375" s="802">
        <f>AG375-AF375</f>
        <v>0</v>
      </c>
      <c r="AI375" s="802">
        <f>_xlfn.SUMIFS(Покупка!AH$25:AH$372,Покупка!$F$25:$F$372,$F375,Покупка!$AC$25:$AC$372,$G375)</f>
        <v>0</v>
      </c>
      <c r="AJ375" s="802">
        <f>_xlfn.SUMIFS(Покупка!AI$25:AI$372,Покупка!$F$25:$F$372,$F375,Покупка!$AC$25:$AC$372,$G375)</f>
        <v>0</v>
      </c>
      <c r="AK375" s="802">
        <f>_xlfn.SUMIFS(Покупка!AS$25:AS$372,Покупка!$F$25:$F$372,$F375,Покупка!$AC$25:$AC$372,$G375)</f>
        <v>0</v>
      </c>
      <c r="AL375" s="802">
        <f>IF(AI375=0,0,(AK375-AI375)/AI375*100)</f>
        <v>0</v>
      </c>
      <c r="AM375" s="803"/>
      <c r="AN375" s="910" t="str">
        <f>IF(_xlfn.IFERROR(INDEX(Покупка!$K$26:$L$372,MATCH($F375&amp;"6komm",Покупка!$K$26:$K$372,0),2),"")=0,"",_xlfn.IFERROR(INDEX(Покупка!$K$26:$L$372,MATCH($F375&amp;"6komm",Покупка!$K$26:$K$372,0),2),""))</f>
        <v/>
      </c>
      <c r="AO375" s="803"/>
      <c r="AP375" s="1741"/>
      <c r="AQ375" s="1741"/>
      <c r="AR375" s="1062" t="s">
        <v>1820</v>
      </c>
      <c r="AS375" s="1062"/>
      <c r="AT375" s="1062"/>
      <c r="AU375" s="1059"/>
      <c r="AV375" s="1059"/>
    </row>
    <row s="1834" customFormat="1" customHeight="1" ht="14.25">
      <c r="A376" s="1741"/>
      <c r="B376" s="1741"/>
      <c r="C376" s="1741"/>
      <c r="D376" s="1741"/>
      <c r="E376" s="695">
        <v>15</v>
      </c>
      <c r="F376" s="50" cm="1" t="str">
        <f t="array" ref="F376:F376">OFFSET(E376,-1,1)</f>
        <v>4</v>
      </c>
      <c r="G376" s="577" t="s">
        <v>1841</v>
      </c>
      <c r="H376" s="1741"/>
      <c r="I376" s="587" t="s">
        <v>2075</v>
      </c>
      <c r="J376" s="587"/>
      <c r="K376" s="587"/>
      <c r="L376" s="587"/>
      <c r="M376" s="587"/>
      <c r="N376" s="587"/>
      <c r="O376" s="587"/>
      <c r="P376" s="587"/>
      <c r="Q376" s="587"/>
      <c r="R376" s="587"/>
      <c r="S376" s="587"/>
      <c r="T376" s="465" cm="1" t="str">
        <f t="array" ref="T376:T376">T375</f>
        <v>true</v>
      </c>
      <c r="U376" s="1741"/>
      <c r="V376" s="1741"/>
      <c r="W376" s="1741"/>
      <c r="X376" s="1641"/>
      <c r="Y376" s="1741"/>
      <c r="Z376" s="1642"/>
      <c r="AA376" s="1741"/>
      <c r="AB376" s="807" t="s">
        <v>2076</v>
      </c>
      <c r="AC376" s="808" t="s">
        <v>2448</v>
      </c>
      <c r="AD376" s="759" t="s">
        <v>1514</v>
      </c>
      <c r="AE376" s="802">
        <f>_xlfn.SUMIFS(Покупка!AE$25:AE$372,Покупка!$F$25:$F$372,$F376,Покупка!$AC$25:$AC$372,$G376)</f>
        <v>0</v>
      </c>
      <c r="AF376" s="802">
        <f>_xlfn.SUMIFS(Покупка!AF$25:AF$372,Покупка!$F$25:$F$372,$F376,Покупка!$AC$25:$AC$372,$G376)</f>
        <v>0</v>
      </c>
      <c r="AG376" s="802">
        <f>_xlfn.SUMIFS(Покупка!AG$25:AG$372,Покупка!$F$25:$F$372,$F376,Покупка!$AC$25:$AC$372,$G376)</f>
        <v>0</v>
      </c>
      <c r="AH376" s="802">
        <f>AG376-AF376</f>
        <v>0</v>
      </c>
      <c r="AI376" s="802">
        <f>_xlfn.SUMIFS(Покупка!AH$25:AH$372,Покупка!$F$25:$F$372,$F376,Покупка!$AC$25:$AC$372,$G376)</f>
        <v>0</v>
      </c>
      <c r="AJ376" s="802">
        <f>_xlfn.SUMIFS(Покупка!AI$25:AI$372,Покупка!$F$25:$F$372,$F376,Покупка!$AC$25:$AC$372,$G376)</f>
        <v>0</v>
      </c>
      <c r="AK376" s="802">
        <f>_xlfn.SUMIFS(Покупка!AS$25:AS$372,Покупка!$F$25:$F$372,$F376,Покупка!$AC$25:$AC$372,$G376)</f>
        <v>0</v>
      </c>
      <c r="AL376" s="802">
        <f>IF(AI376=0,0,(AK376-AI376)/AI376*100)</f>
        <v>0</v>
      </c>
      <c r="AM376" s="803"/>
      <c r="AN376" s="910" t="str">
        <f>IF(_xlfn.IFERROR(INDEX(Покупка!$K$26:$L$372,MATCH($F376&amp;"7komm",Покупка!$K$26:$K$372,0),2),"")=0,"",_xlfn.IFERROR(INDEX(Покупка!$K$26:$L$372,MATCH($F376&amp;"7komm",Покупка!$K$26:$K$372,0),2),""))</f>
        <v/>
      </c>
      <c r="AO376" s="803"/>
      <c r="AP376" s="1741"/>
      <c r="AQ376" s="1741"/>
      <c r="AR376" s="1062" t="s">
        <v>1842</v>
      </c>
      <c r="AS376" s="1062"/>
      <c r="AT376" s="1062"/>
      <c r="AU376" s="1059"/>
      <c r="AV376" s="1059"/>
    </row>
    <row s="1834" customFormat="1" customHeight="1" ht="14.25">
      <c r="A377" s="1741"/>
      <c r="B377" s="1741"/>
      <c r="C377" s="1741"/>
      <c r="D377" s="1741"/>
      <c r="E377" s="695">
        <v>15</v>
      </c>
      <c r="F377" s="50" cm="1" t="str">
        <f t="array" ref="F377:F377">OFFSET(E377,-1,1)</f>
        <v>4</v>
      </c>
      <c r="G377" s="752" t="s">
        <v>1853</v>
      </c>
      <c r="H377" s="1741"/>
      <c r="I377" s="587" t="s">
        <v>2235</v>
      </c>
      <c r="J377" s="587"/>
      <c r="K377" s="587"/>
      <c r="L377" s="587"/>
      <c r="M377" s="587"/>
      <c r="N377" s="587"/>
      <c r="O377" s="587"/>
      <c r="P377" s="587"/>
      <c r="Q377" s="587"/>
      <c r="R377" s="587"/>
      <c r="S377" s="587"/>
      <c r="T377" s="465" cm="1" t="str">
        <f t="array" ref="T377:T377">T376</f>
        <v>true</v>
      </c>
      <c r="U377" s="1741"/>
      <c r="V377" s="1741"/>
      <c r="W377" s="1741"/>
      <c r="X377" s="1641"/>
      <c r="Y377" s="1741"/>
      <c r="Z377" s="1642"/>
      <c r="AA377" s="1741"/>
      <c r="AB377" s="807" t="s">
        <v>2449</v>
      </c>
      <c r="AC377" s="808" t="s">
        <v>2450</v>
      </c>
      <c r="AD377" s="759" t="s">
        <v>1514</v>
      </c>
      <c r="AE377" s="802">
        <f>_xlfn.SUMIFS(Покупка!AE$25:AE$372,Покупка!$F$25:$F$372,$F377,Покупка!$AC$25:$AC$372,$G377)</f>
        <v>0</v>
      </c>
      <c r="AF377" s="802">
        <f>_xlfn.SUMIFS(Покупка!AF$25:AF$372,Покупка!$F$25:$F$372,$F377,Покупка!$AC$25:$AC$372,$G377)</f>
        <v>0</v>
      </c>
      <c r="AG377" s="802">
        <f>_xlfn.SUMIFS(Покупка!AG$25:AG$372,Покупка!$F$25:$F$372,$F377,Покупка!$AC$25:$AC$372,$G377)</f>
        <v>0</v>
      </c>
      <c r="AH377" s="802">
        <f>AG377-AF377</f>
        <v>0</v>
      </c>
      <c r="AI377" s="802">
        <f>_xlfn.SUMIFS(Покупка!AH$25:AH$372,Покупка!$F$25:$F$372,$F377,Покупка!$AC$25:$AC$372,$G377)</f>
        <v>0</v>
      </c>
      <c r="AJ377" s="802">
        <f>_xlfn.SUMIFS(Покупка!AI$25:AI$372,Покупка!$F$25:$F$372,$F377,Покупка!$AC$25:$AC$372,$G377)</f>
        <v>0</v>
      </c>
      <c r="AK377" s="802">
        <f>_xlfn.SUMIFS(Покупка!AS$25:AS$372,Покупка!$F$25:$F$372,$F377,Покупка!$AC$25:$AC$372,$G377)</f>
        <v>0</v>
      </c>
      <c r="AL377" s="802">
        <f>IF(AI377=0,0,(AK377-AI377)/AI377*100)</f>
        <v>0</v>
      </c>
      <c r="AM377" s="803"/>
      <c r="AN377" s="910" t="str">
        <f>IF(_xlfn.IFERROR(INDEX(Покупка!$K$26:$L$372,MATCH($F377&amp;"9komm",Покупка!$K$26:$K$372,0),2),"")=0,"",_xlfn.IFERROR(INDEX(Покупка!$K$26:$L$372,MATCH($F377&amp;"9komm",Покупка!$K$26:$K$372,0),2),""))</f>
        <v/>
      </c>
      <c r="AO377" s="803"/>
      <c r="AP377" s="1741"/>
      <c r="AQ377" s="1741"/>
      <c r="AR377" s="1062" t="s">
        <v>1854</v>
      </c>
      <c r="AS377" s="1062"/>
      <c r="AT377" s="1062"/>
      <c r="AU377" s="1059"/>
      <c r="AV377" s="1059"/>
    </row>
    <row s="1834" customFormat="1" customHeight="1" ht="14.25">
      <c r="A378" s="1741"/>
      <c r="B378" s="1741"/>
      <c r="C378" s="1741"/>
      <c r="D378" s="1741"/>
      <c r="E378" s="695">
        <v>15</v>
      </c>
      <c r="F378" s="50" cm="1" t="str">
        <f t="array" ref="F378:F378">OFFSET(E378,-1,1)</f>
        <v>4</v>
      </c>
      <c r="G378" s="577" t="s">
        <v>1780</v>
      </c>
      <c r="H378" s="1741"/>
      <c r="I378" s="587" t="s">
        <v>2239</v>
      </c>
      <c r="J378" s="587"/>
      <c r="K378" s="587"/>
      <c r="L378" s="587"/>
      <c r="M378" s="587"/>
      <c r="N378" s="587"/>
      <c r="O378" s="587"/>
      <c r="P378" s="587"/>
      <c r="Q378" s="587"/>
      <c r="R378" s="587"/>
      <c r="S378" s="587"/>
      <c r="T378" s="465" cm="1" t="str">
        <f t="array" ref="T378:T378">T377</f>
        <v>true</v>
      </c>
      <c r="U378" s="1741"/>
      <c r="V378" s="1741"/>
      <c r="W378" s="1741"/>
      <c r="X378" s="1641"/>
      <c r="Y378" s="1741"/>
      <c r="Z378" s="1642"/>
      <c r="AA378" s="1741"/>
      <c r="AB378" s="807" t="s">
        <v>2451</v>
      </c>
      <c r="AC378" s="808" t="s">
        <v>2452</v>
      </c>
      <c r="AD378" s="759" t="s">
        <v>1514</v>
      </c>
      <c r="AE378" s="802">
        <f>_xlfn.SUMIFS(Покупка!AE$25:AE$372,Покупка!$F$25:$F$372,$F378,Покупка!$AC$25:$AC$372,$G378)</f>
        <v>0</v>
      </c>
      <c r="AF378" s="802">
        <f>_xlfn.SUMIFS(Покупка!AF$25:AF$372,Покупка!$F$25:$F$372,$F378,Покупка!$AC$25:$AC$372,$G378)</f>
        <v>0</v>
      </c>
      <c r="AG378" s="802">
        <f>_xlfn.SUMIFS(Покупка!AG$25:AG$372,Покупка!$F$25:$F$372,$F378,Покупка!$AC$25:$AC$372,$G378)</f>
        <v>0</v>
      </c>
      <c r="AH378" s="802">
        <f>AG378-AF378</f>
        <v>0</v>
      </c>
      <c r="AI378" s="802">
        <f>_xlfn.SUMIFS(Покупка!AH$25:AH$372,Покупка!$F$25:$F$372,$F378,Покупка!$AC$25:$AC$372,$G378)</f>
        <v>0</v>
      </c>
      <c r="AJ378" s="802">
        <f>_xlfn.SUMIFS(Покупка!AI$25:AI$372,Покупка!$F$25:$F$372,$F378,Покупка!$AC$25:$AC$372,$G378)</f>
        <v>0</v>
      </c>
      <c r="AK378" s="802">
        <f>_xlfn.SUMIFS(Покупка!AS$25:AS$372,Покупка!$F$25:$F$372,$F378,Покупка!$AC$25:$AC$372,$G378)</f>
        <v>0</v>
      </c>
      <c r="AL378" s="802">
        <f>IF(AI378=0,0,(AK378-AI378)/AI378*100)</f>
        <v>0</v>
      </c>
      <c r="AM378" s="803"/>
      <c r="AN378" s="910" t="str">
        <f>IF(_xlfn.IFERROR(INDEX(Покупка!$K$26:$L$372,MATCH($F378&amp;"1komm",Покупка!$K$26:$K$372,0),2),"")=0,"",_xlfn.IFERROR(INDEX(Покупка!$K$26:$L$372,MATCH($F378&amp;"1komm",Покупка!$K$26:$K$372,0),2),""))</f>
        <v/>
      </c>
      <c r="AO378" s="803"/>
      <c r="AP378" s="1741"/>
      <c r="AQ378" s="1741"/>
      <c r="AR378" s="1062" t="s">
        <v>2453</v>
      </c>
      <c r="AS378" s="1062"/>
      <c r="AT378" s="1062"/>
      <c r="AU378" s="1059"/>
      <c r="AV378" s="1059"/>
    </row>
    <row s="1834" customFormat="1" customHeight="1" ht="14.25">
      <c r="A379" s="1741"/>
      <c r="B379" s="1741"/>
      <c r="C379" s="1741"/>
      <c r="D379" s="1741"/>
      <c r="E379" s="695">
        <v>15</v>
      </c>
      <c r="F379" s="50" cm="1" t="str">
        <f t="array" ref="F379:F379">OFFSET(E379,-1,1)</f>
        <v>4</v>
      </c>
      <c r="G379" s="577" t="s">
        <v>1793</v>
      </c>
      <c r="H379" s="1741"/>
      <c r="I379" s="587" t="s">
        <v>2244</v>
      </c>
      <c r="J379" s="587"/>
      <c r="K379" s="587"/>
      <c r="L379" s="587"/>
      <c r="M379" s="587"/>
      <c r="N379" s="587"/>
      <c r="O379" s="587"/>
      <c r="P379" s="587"/>
      <c r="Q379" s="587"/>
      <c r="R379" s="587"/>
      <c r="S379" s="587"/>
      <c r="T379" s="465" cm="1" t="str">
        <f t="array" ref="T379:T379">T378</f>
        <v>true</v>
      </c>
      <c r="U379" s="1741"/>
      <c r="V379" s="1741"/>
      <c r="W379" s="1741"/>
      <c r="X379" s="1641"/>
      <c r="Y379" s="1741"/>
      <c r="Z379" s="1642"/>
      <c r="AA379" s="1741"/>
      <c r="AB379" s="807" t="s">
        <v>2454</v>
      </c>
      <c r="AC379" s="808" t="s">
        <v>2455</v>
      </c>
      <c r="AD379" s="759" t="s">
        <v>1514</v>
      </c>
      <c r="AE379" s="802">
        <f>_xlfn.SUMIFS(Покупка!AE$25:AE$372,Покупка!$F$25:$F$372,$F379,Покупка!$AC$25:$AC$372,$G379)</f>
        <v>0</v>
      </c>
      <c r="AF379" s="802">
        <f>_xlfn.SUMIFS(Покупка!AF$25:AF$372,Покупка!$F$25:$F$372,$F379,Покупка!$AC$25:$AC$372,$G379)</f>
        <v>0</v>
      </c>
      <c r="AG379" s="802">
        <f>_xlfn.SUMIFS(Покупка!AG$25:AG$372,Покупка!$F$25:$F$372,$F379,Покупка!$AC$25:$AC$372,$G379)</f>
        <v>0</v>
      </c>
      <c r="AH379" s="802">
        <f>AG379-AF379</f>
        <v>0</v>
      </c>
      <c r="AI379" s="802">
        <f>_xlfn.SUMIFS(Покупка!AH$25:AH$372,Покупка!$F$25:$F$372,$F379,Покупка!$AC$25:$AC$372,$G379)</f>
        <v>0</v>
      </c>
      <c r="AJ379" s="802">
        <f>_xlfn.SUMIFS(Покупка!AI$25:AI$372,Покупка!$F$25:$F$372,$F379,Покупка!$AC$25:$AC$372,$G379)</f>
        <v>0</v>
      </c>
      <c r="AK379" s="802">
        <f>_xlfn.SUMIFS(Покупка!AS$25:AS$372,Покупка!$F$25:$F$372,$F379,Покупка!$AC$25:$AC$372,$G379)</f>
        <v>0</v>
      </c>
      <c r="AL379" s="802">
        <f>IF(AI379=0,0,(AK379-AI379)/AI379*100)</f>
        <v>0</v>
      </c>
      <c r="AM379" s="803"/>
      <c r="AN379" s="910" t="str">
        <f>IF(_xlfn.IFERROR(INDEX(Покупка!$K$26:$L$372,MATCH($F379&amp;"2komm",Покупка!$K$26:$K$372,0),2),"")=0,"",_xlfn.IFERROR(INDEX(Покупка!$K$26:$L$372,MATCH($F379&amp;"2komm",Покупка!$K$26:$K$372,0),2),""))</f>
        <v/>
      </c>
      <c r="AO379" s="803"/>
      <c r="AP379" s="1741"/>
      <c r="AQ379" s="1741"/>
      <c r="AR379" s="1062" t="s">
        <v>2456</v>
      </c>
      <c r="AS379" s="1062"/>
      <c r="AT379" s="1062"/>
      <c r="AU379" s="1059"/>
      <c r="AV379" s="1059"/>
    </row>
    <row s="1834" customFormat="1" customHeight="1" ht="14.25">
      <c r="A380" s="1741"/>
      <c r="B380" s="1741"/>
      <c r="C380" s="1741"/>
      <c r="D380" s="1741"/>
      <c r="E380" s="695">
        <v>15</v>
      </c>
      <c r="F380" s="50" cm="1" t="str">
        <f t="array" ref="F380:F380">OFFSET(E380,-1,1)</f>
        <v>4</v>
      </c>
      <c r="G380" s="577" t="s">
        <v>1799</v>
      </c>
      <c r="H380" s="1741"/>
      <c r="I380" s="587" t="s">
        <v>2253</v>
      </c>
      <c r="J380" s="587"/>
      <c r="K380" s="587"/>
      <c r="L380" s="587"/>
      <c r="M380" s="587"/>
      <c r="N380" s="587"/>
      <c r="O380" s="587"/>
      <c r="P380" s="587"/>
      <c r="Q380" s="587"/>
      <c r="R380" s="587"/>
      <c r="S380" s="587"/>
      <c r="T380" s="465" cm="1" t="str">
        <f t="array" ref="T380:T380">T379</f>
        <v>true</v>
      </c>
      <c r="U380" s="1741"/>
      <c r="V380" s="1741"/>
      <c r="W380" s="1741"/>
      <c r="X380" s="1641"/>
      <c r="Y380" s="1741"/>
      <c r="Z380" s="1642"/>
      <c r="AA380" s="1741"/>
      <c r="AB380" s="807" t="s">
        <v>2457</v>
      </c>
      <c r="AC380" s="808" t="s">
        <v>2458</v>
      </c>
      <c r="AD380" s="759" t="s">
        <v>1514</v>
      </c>
      <c r="AE380" s="802">
        <f>_xlfn.SUMIFS(Покупка!AE$25:AE$372,Покупка!$F$25:$F$372,$F380,Покупка!$AC$25:$AC$372,$G380)</f>
        <v>0</v>
      </c>
      <c r="AF380" s="802">
        <f>_xlfn.SUMIFS(Покупка!AF$25:AF$372,Покупка!$F$25:$F$372,$F380,Покупка!$AC$25:$AC$372,$G380)</f>
        <v>0</v>
      </c>
      <c r="AG380" s="802">
        <f>_xlfn.SUMIFS(Покупка!AG$25:AG$372,Покупка!$F$25:$F$372,$F380,Покупка!$AC$25:$AC$372,$G380)</f>
        <v>0</v>
      </c>
      <c r="AH380" s="802">
        <f>AG380-AF380</f>
        <v>0</v>
      </c>
      <c r="AI380" s="802">
        <f>_xlfn.SUMIFS(Покупка!AH$25:AH$372,Покупка!$F$25:$F$372,$F380,Покупка!$AC$25:$AC$372,$G380)</f>
        <v>0</v>
      </c>
      <c r="AJ380" s="802">
        <f>_xlfn.SUMIFS(Покупка!AI$25:AI$372,Покупка!$F$25:$F$372,$F380,Покупка!$AC$25:$AC$372,$G380)</f>
        <v>0</v>
      </c>
      <c r="AK380" s="802">
        <f>_xlfn.SUMIFS(Покупка!AS$25:AS$372,Покупка!$F$25:$F$372,$F380,Покупка!$AC$25:$AC$372,$G380)</f>
        <v>0</v>
      </c>
      <c r="AL380" s="802">
        <f>IF(AI380=0,0,(AK380-AI380)/AI380*100)</f>
        <v>0</v>
      </c>
      <c r="AM380" s="803"/>
      <c r="AN380" s="910" t="str">
        <f>IF(_xlfn.IFERROR(INDEX(Покупка!$K$26:$L$372,MATCH($F380&amp;"3komm",Покупка!$K$26:$K$372,0),2),"")=0,"",_xlfn.IFERROR(INDEX(Покупка!$K$26:$L$372,MATCH($F380&amp;"3komm",Покупка!$K$26:$K$372,0),2),""))</f>
        <v/>
      </c>
      <c r="AO380" s="803"/>
      <c r="AP380" s="1741"/>
      <c r="AQ380" s="1741"/>
      <c r="AR380" s="1062" t="s">
        <v>2459</v>
      </c>
      <c r="AS380" s="1062"/>
      <c r="AT380" s="1062"/>
      <c r="AU380" s="1059"/>
      <c r="AV380" s="1059"/>
    </row>
    <row s="1834" customFormat="1" customHeight="1" ht="14.25">
      <c r="A381" s="1741"/>
      <c r="B381" s="1741"/>
      <c r="C381" s="1741"/>
      <c r="D381" s="1741"/>
      <c r="E381" s="695">
        <v>15</v>
      </c>
      <c r="F381" s="50" cm="1" t="str">
        <f t="array" ref="F381:F381">OFFSET(E381,-1,1)</f>
        <v>4</v>
      </c>
      <c r="G381" s="577" t="s">
        <v>1805</v>
      </c>
      <c r="H381" s="1741"/>
      <c r="I381" s="587" t="s">
        <v>2258</v>
      </c>
      <c r="J381" s="587"/>
      <c r="K381" s="587"/>
      <c r="L381" s="587"/>
      <c r="M381" s="587"/>
      <c r="N381" s="587"/>
      <c r="O381" s="587"/>
      <c r="P381" s="587"/>
      <c r="Q381" s="587"/>
      <c r="R381" s="587"/>
      <c r="S381" s="587"/>
      <c r="T381" s="465" cm="1" t="str">
        <f t="array" ref="T381:T381">T380</f>
        <v>true</v>
      </c>
      <c r="U381" s="1741"/>
      <c r="V381" s="1741"/>
      <c r="W381" s="1741"/>
      <c r="X381" s="1641"/>
      <c r="Y381" s="1741"/>
      <c r="Z381" s="1642"/>
      <c r="AA381" s="1741"/>
      <c r="AB381" s="807" t="s">
        <v>2460</v>
      </c>
      <c r="AC381" s="808" t="s">
        <v>2461</v>
      </c>
      <c r="AD381" s="759" t="s">
        <v>1514</v>
      </c>
      <c r="AE381" s="802">
        <f>_xlfn.SUMIFS(Покупка!AE$25:AE$372,Покупка!$F$25:$F$372,$F381,Покупка!$AC$25:$AC$372,$G381)</f>
        <v>0</v>
      </c>
      <c r="AF381" s="802">
        <f>_xlfn.SUMIFS(Покупка!AF$25:AF$372,Покупка!$F$25:$F$372,$F381,Покупка!$AC$25:$AC$372,$G381)</f>
        <v>0</v>
      </c>
      <c r="AG381" s="802">
        <f>_xlfn.SUMIFS(Покупка!AG$25:AG$372,Покупка!$F$25:$F$372,$F381,Покупка!$AC$25:$AC$372,$G381)</f>
        <v>0</v>
      </c>
      <c r="AH381" s="802">
        <f>AG381-AF381</f>
        <v>0</v>
      </c>
      <c r="AI381" s="802">
        <f>_xlfn.SUMIFS(Покупка!AH$25:AH$372,Покупка!$F$25:$F$372,$F381,Покупка!$AC$25:$AC$372,$G381)</f>
        <v>0</v>
      </c>
      <c r="AJ381" s="802">
        <f>_xlfn.SUMIFS(Покупка!AI$25:AI$372,Покупка!$F$25:$F$372,$F381,Покупка!$AC$25:$AC$372,$G381)</f>
        <v>0</v>
      </c>
      <c r="AK381" s="802">
        <f>_xlfn.SUMIFS(Покупка!AS$25:AS$372,Покупка!$F$25:$F$372,$F381,Покупка!$AC$25:$AC$372,$G381)</f>
        <v>0</v>
      </c>
      <c r="AL381" s="802">
        <f>IF(AI381=0,0,(AK381-AI381)/AI381*100)</f>
        <v>0</v>
      </c>
      <c r="AM381" s="803"/>
      <c r="AN381" s="910" t="str">
        <f>IF(_xlfn.IFERROR(INDEX(Покупка!$K$26:$L$372,MATCH($F381&amp;"4komm",Покупка!$K$26:$K$372,0),2),"")=0,"",_xlfn.IFERROR(INDEX(Покупка!$K$26:$L$372,MATCH($F381&amp;"4komm",Покупка!$K$26:$K$372,0),2),""))</f>
        <v/>
      </c>
      <c r="AO381" s="803"/>
      <c r="AP381" s="1741"/>
      <c r="AQ381" s="1741"/>
      <c r="AR381" s="1062" t="s">
        <v>2462</v>
      </c>
      <c r="AS381" s="1062"/>
      <c r="AT381" s="1062"/>
      <c r="AU381" s="1059"/>
      <c r="AV381" s="1059"/>
    </row>
    <row s="1834" customFormat="1" customHeight="1" ht="14.25">
      <c r="A382" s="1741"/>
      <c r="B382" s="1741"/>
      <c r="C382" s="1741"/>
      <c r="D382" s="1741"/>
      <c r="E382" s="695">
        <v>15</v>
      </c>
      <c r="F382" s="50" cm="1" t="str">
        <f t="array" ref="F382:F382">OFFSET(E382,-1,1)</f>
        <v>4</v>
      </c>
      <c r="G382" s="577" t="s">
        <v>1812</v>
      </c>
      <c r="H382" s="1741"/>
      <c r="I382" s="587" t="s">
        <v>2268</v>
      </c>
      <c r="J382" s="587"/>
      <c r="K382" s="587"/>
      <c r="L382" s="587"/>
      <c r="M382" s="587"/>
      <c r="N382" s="587"/>
      <c r="O382" s="587"/>
      <c r="P382" s="587"/>
      <c r="Q382" s="587"/>
      <c r="R382" s="587"/>
      <c r="S382" s="587"/>
      <c r="T382" s="465" cm="1" t="str">
        <f t="array" ref="T382:T382">T381</f>
        <v>true</v>
      </c>
      <c r="U382" s="1741"/>
      <c r="V382" s="1741"/>
      <c r="W382" s="1741"/>
      <c r="X382" s="1641"/>
      <c r="Y382" s="1741"/>
      <c r="Z382" s="1642"/>
      <c r="AA382" s="1741"/>
      <c r="AB382" s="807" t="s">
        <v>2463</v>
      </c>
      <c r="AC382" s="808" t="s">
        <v>2464</v>
      </c>
      <c r="AD382" s="759" t="s">
        <v>1514</v>
      </c>
      <c r="AE382" s="802">
        <f>_xlfn.SUMIFS(Покупка!AE$25:AE$372,Покупка!$F$25:$F$372,$F382,Покупка!$AC$25:$AC$372,$G382)</f>
        <v>0</v>
      </c>
      <c r="AF382" s="802">
        <f>_xlfn.SUMIFS(Покупка!AF$25:AF$372,Покупка!$F$25:$F$372,$F382,Покупка!$AC$25:$AC$372,$G382)</f>
        <v>0</v>
      </c>
      <c r="AG382" s="802">
        <f>_xlfn.SUMIFS(Покупка!AG$25:AG$372,Покупка!$F$25:$F$372,$F382,Покупка!$AC$25:$AC$372,$G382)</f>
        <v>0</v>
      </c>
      <c r="AH382" s="802">
        <f>AG382-AF382</f>
        <v>0</v>
      </c>
      <c r="AI382" s="802">
        <f>_xlfn.SUMIFS(Покупка!AH$25:AH$372,Покупка!$F$25:$F$372,$F382,Покупка!$AC$25:$AC$372,$G382)</f>
        <v>0</v>
      </c>
      <c r="AJ382" s="802">
        <f>_xlfn.SUMIFS(Покупка!AI$25:AI$372,Покупка!$F$25:$F$372,$F382,Покупка!$AC$25:$AC$372,$G382)</f>
        <v>0</v>
      </c>
      <c r="AK382" s="802">
        <f>_xlfn.SUMIFS(Покупка!AS$25:AS$372,Покупка!$F$25:$F$372,$F382,Покупка!$AC$25:$AC$372,$G382)</f>
        <v>0</v>
      </c>
      <c r="AL382" s="802">
        <f>IF(AI382=0,0,(AK382-AI382)/AI382*100)</f>
        <v>0</v>
      </c>
      <c r="AM382" s="803"/>
      <c r="AN382" s="910" t="str">
        <f>IF(_xlfn.IFERROR(INDEX(Покупка!$K$26:$L$372,MATCH($F382&amp;"5komm",Покупка!$K$26:$K$372,0),2),"")=0,"",_xlfn.IFERROR(INDEX(Покупка!$K$26:$L$372,MATCH($F382&amp;"5komm",Покупка!$K$26:$K$372,0),2),""))</f>
        <v/>
      </c>
      <c r="AO382" s="803"/>
      <c r="AP382" s="1741"/>
      <c r="AQ382" s="1741"/>
      <c r="AR382" s="1062" t="s">
        <v>2465</v>
      </c>
      <c r="AS382" s="1062"/>
      <c r="AT382" s="1062"/>
      <c r="AU382" s="1059"/>
      <c r="AV382" s="1059"/>
    </row>
    <row s="7315" customFormat="1" customHeight="1" ht="43.5">
      <c r="A383" s="588"/>
      <c r="B383" s="588"/>
      <c r="C383" s="588"/>
      <c r="D383" s="588"/>
      <c r="E383" s="697">
        <v>45</v>
      </c>
      <c r="F383" s="50" cm="1" t="str">
        <f t="array" ref="F383:F383">OFFSET(E383,-1,1)</f>
        <v>4</v>
      </c>
      <c r="G383" s="588"/>
      <c r="H383" s="588"/>
      <c r="I383" s="698" t="s">
        <v>1182</v>
      </c>
      <c r="J383" s="698"/>
      <c r="K383" s="698"/>
      <c r="L383" s="698"/>
      <c r="M383" s="698"/>
      <c r="N383" s="698"/>
      <c r="O383" s="698"/>
      <c r="P383" s="698"/>
      <c r="Q383" s="698"/>
      <c r="R383" s="698"/>
      <c r="S383" s="698"/>
      <c r="T383" s="465" cm="1" t="str">
        <f t="array" ref="T383:T383">T382</f>
        <v>true</v>
      </c>
      <c r="U383" s="588"/>
      <c r="V383" s="588"/>
      <c r="W383" s="588"/>
      <c r="X383" s="1641"/>
      <c r="Y383" s="588"/>
      <c r="Z383" s="1642"/>
      <c r="AA383" s="588"/>
      <c r="AB383" s="804" t="s">
        <v>1634</v>
      </c>
      <c r="AC383" s="805" t="s">
        <v>2466</v>
      </c>
      <c r="AD383" s="590" t="s">
        <v>1514</v>
      </c>
      <c r="AE383" s="7165"/>
      <c r="AF383" s="7165"/>
      <c r="AG383" s="7165"/>
      <c r="AH383" s="801">
        <f>AG383-AF383</f>
        <v>0</v>
      </c>
      <c r="AI383" s="7165"/>
      <c r="AJ383" s="810"/>
      <c r="AK383" s="810"/>
      <c r="AL383" s="801">
        <f>IF(AI383=0,0,(AK383-AI383)/AI383*100)</f>
        <v>0</v>
      </c>
      <c r="AM383" s="806"/>
      <c r="AN383" s="806"/>
      <c r="AO383" s="806"/>
      <c r="AP383" s="588"/>
      <c r="AQ383" s="588"/>
      <c r="AR383" s="1063" t="s">
        <v>2467</v>
      </c>
      <c r="AS383" s="1063"/>
      <c r="AT383" s="1063"/>
      <c r="AU383" s="697"/>
      <c r="AV383" s="697"/>
    </row>
    <row s="7316" customFormat="1" customHeight="1" ht="43.5">
      <c r="A384" s="588"/>
      <c r="B384" s="588"/>
      <c r="C384" s="588"/>
      <c r="D384" s="588"/>
      <c r="E384" s="697">
        <v>45</v>
      </c>
      <c r="F384" s="50" cm="1" t="str">
        <f t="array" ref="F384:F384">OFFSET(E384,-1,1)</f>
        <v>4</v>
      </c>
      <c r="G384" s="588"/>
      <c r="H384" s="588"/>
      <c r="I384" s="698" t="s">
        <v>1186</v>
      </c>
      <c r="J384" s="698"/>
      <c r="K384" s="698"/>
      <c r="L384" s="698"/>
      <c r="M384" s="698"/>
      <c r="N384" s="698"/>
      <c r="O384" s="698"/>
      <c r="P384" s="698"/>
      <c r="Q384" s="698"/>
      <c r="R384" s="698"/>
      <c r="S384" s="698"/>
      <c r="T384" s="465" cm="1" t="str">
        <f t="array" ref="T384:T384">T383</f>
        <v>true</v>
      </c>
      <c r="U384" s="588"/>
      <c r="V384" s="588"/>
      <c r="W384" s="588"/>
      <c r="X384" s="1641"/>
      <c r="Y384" s="588"/>
      <c r="Z384" s="1642"/>
      <c r="AA384" s="588"/>
      <c r="AB384" s="804" t="s">
        <v>1637</v>
      </c>
      <c r="AC384" s="805" t="s">
        <v>2468</v>
      </c>
      <c r="AD384" s="590" t="s">
        <v>1514</v>
      </c>
      <c r="AE384" s="801">
        <f>AE385+AE386</f>
        <v>0</v>
      </c>
      <c r="AF384" s="801">
        <f>AF385+AF386</f>
        <v>0</v>
      </c>
      <c r="AG384" s="801">
        <f>AG385+AG386</f>
        <v>0</v>
      </c>
      <c r="AH384" s="801">
        <f>AG384-AF384</f>
        <v>0</v>
      </c>
      <c r="AI384" s="801">
        <f>AI385+AI386</f>
        <v>0</v>
      </c>
      <c r="AJ384" s="801">
        <f>AJ385+AJ386</f>
        <v>69715.3605871</v>
      </c>
      <c r="AK384" s="801">
        <f>AK385+AK386</f>
        <v>69715.3605871</v>
      </c>
      <c r="AL384" s="801">
        <f>IF(AI384=0,0,(AK384-AI384)/AI384*100)</f>
        <v>0</v>
      </c>
      <c r="AM384" s="806"/>
      <c r="AN384" s="806"/>
      <c r="AO384" s="806"/>
      <c r="AP384" s="588"/>
      <c r="AQ384" s="588"/>
      <c r="AR384" s="1063" t="s">
        <v>2469</v>
      </c>
      <c r="AS384" s="1063"/>
      <c r="AT384" s="1063"/>
      <c r="AU384" s="697"/>
      <c r="AV384" s="697"/>
    </row>
    <row s="1834" customFormat="1" customHeight="1" ht="14.25">
      <c r="A385" s="1741"/>
      <c r="B385" s="1741"/>
      <c r="C385" s="1741"/>
      <c r="D385" s="1741"/>
      <c r="E385" s="695">
        <v>15</v>
      </c>
      <c r="F385" s="50" cm="1" t="str">
        <f t="array" ref="F385:F385">OFFSET(E385,-1,1)</f>
        <v>4</v>
      </c>
      <c r="G385" s="699" t="s">
        <v>1866</v>
      </c>
      <c r="H385" s="1741"/>
      <c r="I385" s="587" t="s">
        <v>2095</v>
      </c>
      <c r="J385" s="587"/>
      <c r="K385" s="587"/>
      <c r="L385" s="587"/>
      <c r="M385" s="587"/>
      <c r="N385" s="587"/>
      <c r="O385" s="587"/>
      <c r="P385" s="698"/>
      <c r="Q385" s="587"/>
      <c r="R385" s="587"/>
      <c r="S385" s="587"/>
      <c r="T385" s="465" cm="1" t="str">
        <f t="array" ref="T385:T385">T384</f>
        <v>true</v>
      </c>
      <c r="U385" s="1741"/>
      <c r="V385" s="1741"/>
      <c r="W385" s="1741"/>
      <c r="X385" s="1641"/>
      <c r="Y385" s="1741"/>
      <c r="Z385" s="1642"/>
      <c r="AA385" s="1741"/>
      <c r="AB385" s="807" t="s">
        <v>1752</v>
      </c>
      <c r="AC385" s="808" t="s">
        <v>2470</v>
      </c>
      <c r="AD385" s="759" t="s">
        <v>1514</v>
      </c>
      <c r="AE385" s="802">
        <f>_xlfn.SUMIFS(ФОТ!AE$25:AE$188,ФОТ!$F$25:$F$188,$F385,ФОТ!$G$25:$G$188,$G385)</f>
        <v>0</v>
      </c>
      <c r="AF385" s="802">
        <f>_xlfn.SUMIFS(ФОТ!AF$25:AF$188,ФОТ!$F$25:$F$188,$F385,ФОТ!$G$25:$G$188,$G385)</f>
        <v>0</v>
      </c>
      <c r="AG385" s="802">
        <f>_xlfn.SUMIFS(ФОТ!AG$25:AG$188,ФОТ!$F$25:$F$188,$F385,ФОТ!$G$25:$G$188,$G385)</f>
        <v>0</v>
      </c>
      <c r="AH385" s="802">
        <f>AG385-AF385</f>
        <v>0</v>
      </c>
      <c r="AI385" s="802">
        <f>_xlfn.SUMIFS(ФОТ!AH$25:AH$188,ФОТ!$F$25:$F$188,$F385,ФОТ!$G$25:$G$188,$G385)</f>
        <v>0</v>
      </c>
      <c r="AJ385" s="802">
        <f>_xlfn.SUMIFS(ФОТ!AI$25:AI$188,ФОТ!$F$25:$F$188,$F385,ФОТ!$G$25:$G$188,$G385)</f>
        <v>53544.823799616</v>
      </c>
      <c r="AK385" s="802">
        <f>_xlfn.SUMIFS(ФОТ!AJ$25:AJ$188,ФОТ!$F$25:$F$188,$F385,ФОТ!$G$25:$G$188,$G385)</f>
        <v>53544.823799616</v>
      </c>
      <c r="AL385" s="802">
        <f>IF(AI385=0,0,(AK385-AI385)/AI385*100)</f>
        <v>0</v>
      </c>
      <c r="AM385" s="803"/>
      <c r="AN385" s="910" t="str">
        <f>IF(_xlfn.IFERROR(INDEX(ФОТ!$K$26:$L$188,MATCH($F385&amp;"1komm",ФОТ!$K$26:$K$188,0),2),"")=0,"",_xlfn.IFERROR(INDEX(ФОТ!$K$26:$L$188,MATCH($F385&amp;"1komm",ФОТ!$K$26:$K$188,0),2),""))</f>
        <v>по предложению организации в соответствии со штатным расписанием.</v>
      </c>
      <c r="AO385" s="803"/>
      <c r="AP385" s="1741"/>
      <c r="AQ385" s="1741"/>
      <c r="AR385" s="1062" t="s">
        <v>2471</v>
      </c>
      <c r="AS385" s="1062"/>
      <c r="AT385" s="1062"/>
      <c r="AU385" s="1059"/>
      <c r="AV385" s="1059"/>
    </row>
    <row s="1834" customFormat="1" customHeight="1" ht="21.75">
      <c r="A386" s="1741"/>
      <c r="B386" s="1741"/>
      <c r="C386" s="1741"/>
      <c r="D386" s="1741"/>
      <c r="E386" s="695">
        <v>22.5</v>
      </c>
      <c r="F386" s="50" cm="1" t="str">
        <f t="array" ref="F386:F386">OFFSET(E386,-1,1)</f>
        <v>4</v>
      </c>
      <c r="G386" s="699" t="s">
        <v>1878</v>
      </c>
      <c r="H386" s="1741"/>
      <c r="I386" s="587" t="s">
        <v>2096</v>
      </c>
      <c r="J386" s="587"/>
      <c r="K386" s="587"/>
      <c r="L386" s="587"/>
      <c r="M386" s="587"/>
      <c r="N386" s="587"/>
      <c r="O386" s="587"/>
      <c r="P386" s="698"/>
      <c r="Q386" s="587"/>
      <c r="R386" s="587"/>
      <c r="S386" s="587"/>
      <c r="T386" s="465" cm="1" t="str">
        <f t="array" ref="T386:T386">T385</f>
        <v>true</v>
      </c>
      <c r="U386" s="1741"/>
      <c r="V386" s="1741"/>
      <c r="W386" s="1741"/>
      <c r="X386" s="1641"/>
      <c r="Y386" s="1741"/>
      <c r="Z386" s="1642"/>
      <c r="AA386" s="1741"/>
      <c r="AB386" s="807" t="s">
        <v>1755</v>
      </c>
      <c r="AC386" s="808" t="s">
        <v>2472</v>
      </c>
      <c r="AD386" s="759" t="s">
        <v>1514</v>
      </c>
      <c r="AE386" s="802">
        <f>_xlfn.SUMIFS(ФОТ!AE$25:AE$188,ФОТ!$F$25:$F$188,$F386,ФОТ!$G$25:$G$188,$G386)</f>
        <v>0</v>
      </c>
      <c r="AF386" s="802">
        <f>_xlfn.SUMIFS(ФОТ!AF$25:AF$188,ФОТ!$F$25:$F$188,$F386,ФОТ!$G$25:$G$188,$G386)</f>
        <v>0</v>
      </c>
      <c r="AG386" s="802">
        <f>_xlfn.SUMIFS(ФОТ!AG$25:AG$188,ФОТ!$F$25:$F$188,$F386,ФОТ!$G$25:$G$188,$G386)</f>
        <v>0</v>
      </c>
      <c r="AH386" s="802">
        <f>AG386-AF386</f>
        <v>0</v>
      </c>
      <c r="AI386" s="802">
        <f>_xlfn.SUMIFS(ФОТ!AH$25:AH$188,ФОТ!$F$25:$F$188,$F386,ФОТ!$G$25:$G$188,$G386)</f>
        <v>0</v>
      </c>
      <c r="AJ386" s="802">
        <f>_xlfn.SUMIFS(ФОТ!AI$25:AI$188,ФОТ!$F$25:$F$188,$F386,ФОТ!$G$25:$G$188,$G386)</f>
        <v>16170.536787484</v>
      </c>
      <c r="AK386" s="802">
        <f>_xlfn.SUMIFS(ФОТ!AJ$25:AJ$188,ФОТ!$F$25:$F$188,$F386,ФОТ!$G$25:$G$188,$G386)</f>
        <v>16170.536787484</v>
      </c>
      <c r="AL386" s="802">
        <f>IF(AI386=0,0,(AK386-AI386)/AI386*100)</f>
        <v>0</v>
      </c>
      <c r="AM386" s="803"/>
      <c r="AN386" s="910" t="str">
        <f>IF(_xlfn.IFERROR(INDEX(ФОТ!$K$26:$L$188,MATCH($F386&amp;"2komm",ФОТ!$K$26:$K$188,0),2),"")=0,"",_xlfn.IFERROR(INDEX(ФОТ!$K$26:$L$188,MATCH($F386&amp;"2komm",ФОТ!$K$26:$K$188,0),2),""))</f>
        <v>на основании Налогового кодекса РФ (часть вторая) от 05.08.2000 № 117-ФЗ в размере 30%, а также в соответствии с Федеральным законом от 24.07.1998 № 125 – ФЗ (0,20%).</v>
      </c>
      <c r="AO386" s="803"/>
      <c r="AP386" s="1741"/>
      <c r="AQ386" s="1741"/>
      <c r="AR386" s="1062" t="s">
        <v>2473</v>
      </c>
      <c r="AS386" s="1062"/>
      <c r="AT386" s="1062"/>
      <c r="AU386" s="1059"/>
      <c r="AV386" s="1059"/>
    </row>
    <row s="7317" customFormat="1" customHeight="1" ht="14.25">
      <c r="A387" s="588"/>
      <c r="B387" s="588"/>
      <c r="C387" s="588"/>
      <c r="D387" s="588"/>
      <c r="E387" s="697">
        <v>15</v>
      </c>
      <c r="F387" s="50" cm="1" t="str">
        <f t="array" ref="F387:F387">OFFSET(E387,-1,1)</f>
        <v>4</v>
      </c>
      <c r="G387" s="588"/>
      <c r="H387" s="588"/>
      <c r="I387" s="698" t="s">
        <v>1640</v>
      </c>
      <c r="J387" s="698"/>
      <c r="K387" s="698"/>
      <c r="L387" s="698"/>
      <c r="M387" s="698"/>
      <c r="N387" s="698"/>
      <c r="O387" s="698"/>
      <c r="P387" s="698"/>
      <c r="Q387" s="698"/>
      <c r="R387" s="698"/>
      <c r="S387" s="698"/>
      <c r="T387" s="465" cm="1" t="str">
        <f t="array" ref="T387:T387">T386</f>
        <v>true</v>
      </c>
      <c r="U387" s="588"/>
      <c r="V387" s="588"/>
      <c r="W387" s="588"/>
      <c r="X387" s="1641"/>
      <c r="Y387" s="588"/>
      <c r="Z387" s="1642"/>
      <c r="AA387" s="588"/>
      <c r="AB387" s="804" t="s">
        <v>1641</v>
      </c>
      <c r="AC387" s="805" t="s">
        <v>2474</v>
      </c>
      <c r="AD387" s="590" t="s">
        <v>1514</v>
      </c>
      <c r="AE387" s="7165"/>
      <c r="AF387" s="7165"/>
      <c r="AG387" s="7165"/>
      <c r="AH387" s="801">
        <f>AG387-AF387</f>
        <v>0</v>
      </c>
      <c r="AI387" s="7165"/>
      <c r="AJ387" s="810"/>
      <c r="AK387" s="810"/>
      <c r="AL387" s="801">
        <f>IF(AI387=0,0,(AK387-AI387)/AI387*100)</f>
        <v>0</v>
      </c>
      <c r="AM387" s="806"/>
      <c r="AN387" s="806"/>
      <c r="AO387" s="806"/>
      <c r="AP387" s="588"/>
      <c r="AQ387" s="588"/>
      <c r="AR387" s="1063" t="s">
        <v>2074</v>
      </c>
      <c r="AS387" s="1063"/>
      <c r="AT387" s="1063"/>
      <c r="AU387" s="697"/>
      <c r="AV387" s="697"/>
    </row>
    <row s="7318" customFormat="1" customHeight="1" ht="14.25">
      <c r="A388" s="588"/>
      <c r="B388" s="588"/>
      <c r="C388" s="588"/>
      <c r="D388" s="588"/>
      <c r="E388" s="697">
        <v>15</v>
      </c>
      <c r="F388" s="50" cm="1" t="str">
        <f t="array" ref="F388:F388">OFFSET(E388,-1,1)</f>
        <v>4</v>
      </c>
      <c r="G388" s="588"/>
      <c r="H388" s="588"/>
      <c r="I388" s="698" t="s">
        <v>2475</v>
      </c>
      <c r="J388" s="698"/>
      <c r="K388" s="698"/>
      <c r="L388" s="698"/>
      <c r="M388" s="698"/>
      <c r="N388" s="698"/>
      <c r="O388" s="698"/>
      <c r="P388" s="698"/>
      <c r="Q388" s="698"/>
      <c r="R388" s="698"/>
      <c r="S388" s="698"/>
      <c r="T388" s="465" cm="1" t="str">
        <f t="array" ref="T388:T388">T387</f>
        <v>true</v>
      </c>
      <c r="U388" s="588"/>
      <c r="V388" s="588"/>
      <c r="W388" s="588"/>
      <c r="X388" s="1641"/>
      <c r="Y388" s="588"/>
      <c r="Z388" s="1642"/>
      <c r="AA388" s="588"/>
      <c r="AB388" s="804" t="s">
        <v>2476</v>
      </c>
      <c r="AC388" s="805" t="s">
        <v>2477</v>
      </c>
      <c r="AD388" s="590" t="s">
        <v>1514</v>
      </c>
      <c r="AE388" s="7165"/>
      <c r="AF388" s="7165"/>
      <c r="AG388" s="7165"/>
      <c r="AH388" s="801">
        <f>AG388-AF388</f>
        <v>0</v>
      </c>
      <c r="AI388" s="7165"/>
      <c r="AJ388" s="810"/>
      <c r="AK388" s="810"/>
      <c r="AL388" s="801">
        <f>IF(AI388=0,0,(AK388-AI388)/AI388*100)</f>
        <v>0</v>
      </c>
      <c r="AM388" s="806"/>
      <c r="AN388" s="806"/>
      <c r="AO388" s="806"/>
      <c r="AP388" s="588"/>
      <c r="AQ388" s="588"/>
      <c r="AR388" s="1063" t="s">
        <v>2478</v>
      </c>
      <c r="AS388" s="1063"/>
      <c r="AT388" s="1063"/>
      <c r="AU388" s="697"/>
      <c r="AV388" s="697"/>
    </row>
    <row s="7319" customFormat="1" customHeight="1" ht="14.25">
      <c r="A389" s="588"/>
      <c r="B389" s="588"/>
      <c r="C389" s="588"/>
      <c r="D389" s="588"/>
      <c r="E389" s="697">
        <v>15</v>
      </c>
      <c r="F389" s="50" cm="1" t="str">
        <f t="array" ref="F389:F389">OFFSET(E389,-1,1)</f>
        <v>4</v>
      </c>
      <c r="G389" s="588"/>
      <c r="H389" s="588"/>
      <c r="I389" s="698" t="s">
        <v>2479</v>
      </c>
      <c r="J389" s="698"/>
      <c r="K389" s="698"/>
      <c r="L389" s="698"/>
      <c r="M389" s="698"/>
      <c r="N389" s="698"/>
      <c r="O389" s="698"/>
      <c r="P389" s="698"/>
      <c r="Q389" s="698"/>
      <c r="R389" s="698"/>
      <c r="S389" s="698"/>
      <c r="T389" s="465" cm="1" t="str">
        <f t="array" ref="T389:T389">T388</f>
        <v>true</v>
      </c>
      <c r="U389" s="588"/>
      <c r="V389" s="588"/>
      <c r="W389" s="588"/>
      <c r="X389" s="1641"/>
      <c r="Y389" s="588"/>
      <c r="Z389" s="1642"/>
      <c r="AA389" s="588"/>
      <c r="AB389" s="804" t="s">
        <v>2480</v>
      </c>
      <c r="AC389" s="805" t="s">
        <v>2481</v>
      </c>
      <c r="AD389" s="590" t="s">
        <v>1514</v>
      </c>
      <c r="AE389" s="801">
        <f>SUM(AE390:AE395)</f>
        <v>0</v>
      </c>
      <c r="AF389" s="801">
        <f>SUM(AF390:AF395)</f>
        <v>0</v>
      </c>
      <c r="AG389" s="801">
        <f>SUM(AG390:AG395)</f>
        <v>0</v>
      </c>
      <c r="AH389" s="801">
        <f>AG389-AF389</f>
        <v>0</v>
      </c>
      <c r="AI389" s="801">
        <f>SUM(AI390:AI395)</f>
        <v>0</v>
      </c>
      <c r="AJ389" s="801">
        <f>SUM(AJ390:AJ395)</f>
        <v>0</v>
      </c>
      <c r="AK389" s="801">
        <f>SUM(AK390:AK395)</f>
        <v>0</v>
      </c>
      <c r="AL389" s="801">
        <f>IF(AI389=0,0,(AK389-AI389)/AI389*100)</f>
        <v>0</v>
      </c>
      <c r="AM389" s="806"/>
      <c r="AN389" s="806"/>
      <c r="AO389" s="806"/>
      <c r="AP389" s="588"/>
      <c r="AQ389" s="588"/>
      <c r="AR389" s="1063" t="s">
        <v>2482</v>
      </c>
      <c r="AS389" s="1063"/>
      <c r="AT389" s="1063"/>
      <c r="AU389" s="697"/>
      <c r="AV389" s="697"/>
    </row>
    <row s="1834" customFormat="1" customHeight="1" ht="14.25">
      <c r="A390" s="1741"/>
      <c r="B390" s="1741"/>
      <c r="C390" s="1741"/>
      <c r="D390" s="1741"/>
      <c r="E390" s="695">
        <v>15</v>
      </c>
      <c r="F390" s="50" cm="1" t="str">
        <f t="array" ref="F390:F390">OFFSET(E390,-1,1)</f>
        <v>4</v>
      </c>
      <c r="G390" s="1741"/>
      <c r="H390" s="1741"/>
      <c r="I390" s="587" t="s">
        <v>2479</v>
      </c>
      <c r="J390" s="986" t="s">
        <v>2483</v>
      </c>
      <c r="K390" s="1741"/>
      <c r="L390" s="587"/>
      <c r="M390" s="587"/>
      <c r="N390" s="587"/>
      <c r="O390" s="587"/>
      <c r="P390" s="587"/>
      <c r="Q390" s="587"/>
      <c r="R390" s="587"/>
      <c r="S390" s="587"/>
      <c r="T390" s="465" cm="1" t="str">
        <f t="array" ref="T390:T390">T389</f>
        <v>true</v>
      </c>
      <c r="U390" s="1741"/>
      <c r="V390" s="1741"/>
      <c r="W390" s="1741"/>
      <c r="X390" s="1641"/>
      <c r="Y390" s="1741"/>
      <c r="Z390" s="1642"/>
      <c r="AA390" s="1741"/>
      <c r="AB390" s="807" t="s">
        <v>2484</v>
      </c>
      <c r="AC390" s="808" t="s">
        <v>2485</v>
      </c>
      <c r="AD390" s="759" t="s">
        <v>1514</v>
      </c>
      <c r="AE390" s="7168"/>
      <c r="AF390" s="7168"/>
      <c r="AG390" s="7168"/>
      <c r="AH390" s="802">
        <f>AG390-AF390</f>
        <v>0</v>
      </c>
      <c r="AI390" s="7168"/>
      <c r="AJ390" s="809"/>
      <c r="AK390" s="809"/>
      <c r="AL390" s="802">
        <f>IF(AI390=0,0,(AK390-AI390)/AI390*100)</f>
        <v>0</v>
      </c>
      <c r="AM390" s="803"/>
      <c r="AN390" s="803"/>
      <c r="AO390" s="803"/>
      <c r="AP390" s="1741"/>
      <c r="AQ390" s="1741"/>
      <c r="AR390" s="1062" t="s">
        <v>2486</v>
      </c>
      <c r="AS390" s="1062"/>
      <c r="AT390" s="1062"/>
      <c r="AU390" s="1059"/>
      <c r="AV390" s="1059"/>
    </row>
    <row s="1834" customFormat="1" customHeight="1" ht="14.25">
      <c r="A391" s="1741"/>
      <c r="B391" s="1741"/>
      <c r="C391" s="1741"/>
      <c r="D391" s="1741"/>
      <c r="E391" s="695">
        <v>15</v>
      </c>
      <c r="F391" s="50" cm="1" t="str">
        <f t="array" ref="F391:F391">OFFSET(E391,-1,1)</f>
        <v>4</v>
      </c>
      <c r="G391" s="1741"/>
      <c r="H391" s="1741"/>
      <c r="I391" s="587" t="s">
        <v>2479</v>
      </c>
      <c r="J391" s="986" t="s">
        <v>2487</v>
      </c>
      <c r="K391" s="1741"/>
      <c r="L391" s="587"/>
      <c r="M391" s="587"/>
      <c r="N391" s="587"/>
      <c r="O391" s="587"/>
      <c r="P391" s="587"/>
      <c r="Q391" s="587"/>
      <c r="R391" s="587"/>
      <c r="S391" s="587"/>
      <c r="T391" s="465" cm="1" t="str">
        <f t="array" ref="T391:T391">T390</f>
        <v>true</v>
      </c>
      <c r="U391" s="1741"/>
      <c r="V391" s="1741"/>
      <c r="W391" s="1741"/>
      <c r="X391" s="1641"/>
      <c r="Y391" s="1741"/>
      <c r="Z391" s="1642"/>
      <c r="AA391" s="1741"/>
      <c r="AB391" s="807" t="s">
        <v>2488</v>
      </c>
      <c r="AC391" s="808" t="s">
        <v>2489</v>
      </c>
      <c r="AD391" s="759" t="s">
        <v>1514</v>
      </c>
      <c r="AE391" s="7168"/>
      <c r="AF391" s="7168"/>
      <c r="AG391" s="7168"/>
      <c r="AH391" s="802">
        <f>AG391-AF391</f>
        <v>0</v>
      </c>
      <c r="AI391" s="7168"/>
      <c r="AJ391" s="809"/>
      <c r="AK391" s="809"/>
      <c r="AL391" s="802">
        <f>IF(AI391=0,0,(AK391-AI391)/AI391*100)</f>
        <v>0</v>
      </c>
      <c r="AM391" s="803"/>
      <c r="AN391" s="803"/>
      <c r="AO391" s="803"/>
      <c r="AP391" s="1741"/>
      <c r="AQ391" s="1741"/>
      <c r="AR391" s="1062" t="s">
        <v>2490</v>
      </c>
      <c r="AS391" s="1062"/>
      <c r="AT391" s="1062"/>
      <c r="AU391" s="1059"/>
      <c r="AV391" s="1059"/>
    </row>
    <row s="1834" customFormat="1" customHeight="1" ht="14.25">
      <c r="A392" s="1741"/>
      <c r="B392" s="1741"/>
      <c r="C392" s="1741"/>
      <c r="D392" s="1741"/>
      <c r="E392" s="695">
        <v>15</v>
      </c>
      <c r="F392" s="50" cm="1" t="str">
        <f t="array" ref="F392:F392">OFFSET(E392,-1,1)</f>
        <v>4</v>
      </c>
      <c r="G392" s="1741"/>
      <c r="H392" s="1741"/>
      <c r="I392" s="587" t="s">
        <v>2479</v>
      </c>
      <c r="J392" s="986" t="s">
        <v>2491</v>
      </c>
      <c r="K392" s="1741"/>
      <c r="L392" s="587"/>
      <c r="M392" s="587"/>
      <c r="N392" s="587"/>
      <c r="O392" s="587"/>
      <c r="P392" s="587"/>
      <c r="Q392" s="587"/>
      <c r="R392" s="587"/>
      <c r="S392" s="587"/>
      <c r="T392" s="465" cm="1" t="str">
        <f t="array" ref="T392:T392">T391</f>
        <v>true</v>
      </c>
      <c r="U392" s="1741"/>
      <c r="V392" s="1741"/>
      <c r="W392" s="1741"/>
      <c r="X392" s="1641"/>
      <c r="Y392" s="1741"/>
      <c r="Z392" s="1642"/>
      <c r="AA392" s="1741"/>
      <c r="AB392" s="807" t="s">
        <v>2492</v>
      </c>
      <c r="AC392" s="808" t="s">
        <v>2493</v>
      </c>
      <c r="AD392" s="759" t="s">
        <v>1514</v>
      </c>
      <c r="AE392" s="7168"/>
      <c r="AF392" s="7168"/>
      <c r="AG392" s="7168"/>
      <c r="AH392" s="802">
        <f>AG392-AF392</f>
        <v>0</v>
      </c>
      <c r="AI392" s="7168"/>
      <c r="AJ392" s="809"/>
      <c r="AK392" s="809"/>
      <c r="AL392" s="802">
        <f>IF(AI392=0,0,(AK392-AI392)/AI392*100)</f>
        <v>0</v>
      </c>
      <c r="AM392" s="803"/>
      <c r="AN392" s="803"/>
      <c r="AO392" s="803"/>
      <c r="AP392" s="1741"/>
      <c r="AQ392" s="1741"/>
      <c r="AR392" s="1062" t="s">
        <v>2494</v>
      </c>
      <c r="AS392" s="1062"/>
      <c r="AT392" s="1062"/>
      <c r="AU392" s="1059"/>
      <c r="AV392" s="1059"/>
    </row>
    <row s="1834" customFormat="1" customHeight="1" ht="14.25">
      <c r="A393" s="1741"/>
      <c r="B393" s="1741"/>
      <c r="C393" s="1741"/>
      <c r="D393" s="1741"/>
      <c r="E393" s="695">
        <v>15</v>
      </c>
      <c r="F393" s="50" cm="1" t="str">
        <f t="array" ref="F393:F393">OFFSET(E393,-1,1)</f>
        <v>4</v>
      </c>
      <c r="G393" s="1741"/>
      <c r="H393" s="1741"/>
      <c r="I393" s="587" t="s">
        <v>2479</v>
      </c>
      <c r="J393" s="986" t="s">
        <v>2495</v>
      </c>
      <c r="K393" s="1741"/>
      <c r="L393" s="587"/>
      <c r="M393" s="587"/>
      <c r="N393" s="587"/>
      <c r="O393" s="587"/>
      <c r="P393" s="587"/>
      <c r="Q393" s="587"/>
      <c r="R393" s="587"/>
      <c r="S393" s="587"/>
      <c r="T393" s="465" cm="1" t="str">
        <f t="array" ref="T393:T393">T392</f>
        <v>true</v>
      </c>
      <c r="U393" s="1741"/>
      <c r="V393" s="1741"/>
      <c r="W393" s="1741"/>
      <c r="X393" s="1641"/>
      <c r="Y393" s="1741"/>
      <c r="Z393" s="1642"/>
      <c r="AA393" s="1741"/>
      <c r="AB393" s="807" t="s">
        <v>2496</v>
      </c>
      <c r="AC393" s="808" t="s">
        <v>2497</v>
      </c>
      <c r="AD393" s="759" t="s">
        <v>1514</v>
      </c>
      <c r="AE393" s="7168"/>
      <c r="AF393" s="7168"/>
      <c r="AG393" s="7168"/>
      <c r="AH393" s="802">
        <f>AG393-AF393</f>
        <v>0</v>
      </c>
      <c r="AI393" s="7168"/>
      <c r="AJ393" s="809"/>
      <c r="AK393" s="809"/>
      <c r="AL393" s="802">
        <f>IF(AI393=0,0,(AK393-AI393)/AI393*100)</f>
        <v>0</v>
      </c>
      <c r="AM393" s="803"/>
      <c r="AN393" s="803"/>
      <c r="AO393" s="803"/>
      <c r="AP393" s="1741"/>
      <c r="AQ393" s="1741"/>
      <c r="AR393" s="1062" t="s">
        <v>2498</v>
      </c>
      <c r="AS393" s="1062"/>
      <c r="AT393" s="1062"/>
      <c r="AU393" s="1059"/>
      <c r="AV393" s="1059"/>
    </row>
    <row s="1834" customFormat="1" customHeight="1" ht="14.25" hidden="1">
      <c r="A394" s="1741"/>
      <c r="B394" s="1741"/>
      <c r="C394" s="1741"/>
      <c r="D394" s="1741"/>
      <c r="E394" s="695">
        <v>15</v>
      </c>
      <c r="F394" s="50" cm="1" t="str">
        <f t="array" ref="F394:F394">OFFSET(E394,-1,1)</f>
        <v>4</v>
      </c>
      <c r="G394" s="1741"/>
      <c r="H394" s="1741"/>
      <c r="I394" s="587" t="s">
        <v>2479</v>
      </c>
      <c r="J394" s="577" cm="1" t="str">
        <f t="array" ref="J394:J394">AC394</f>
        <v>0</v>
      </c>
      <c r="K394" s="1741"/>
      <c r="L394" s="587"/>
      <c r="M394" s="587"/>
      <c r="N394" s="587"/>
      <c r="O394" s="587"/>
      <c r="P394" s="587"/>
      <c r="Q394" s="587"/>
      <c r="R394" s="587"/>
      <c r="S394" s="587"/>
      <c r="T394" s="465">
        <f>AND(F394&gt;0,Y394&gt;4)</f>
        <v>0</v>
      </c>
      <c r="U394" s="1741"/>
      <c r="V394" s="1741"/>
      <c r="W394" s="757" t="s">
        <v>174</v>
      </c>
      <c r="X394" s="1641"/>
      <c r="Y394" s="577">
        <v>4</v>
      </c>
      <c r="Z394" s="1642"/>
      <c r="AA394" s="1228" t="s">
        <v>175</v>
      </c>
      <c r="AB394" s="701" t="str">
        <f>"1.7."&amp;Y394</f>
        <v>1.7.4</v>
      </c>
      <c r="AC394" s="7171"/>
      <c r="AD394" s="759" t="s">
        <v>1514</v>
      </c>
      <c r="AE394" s="7168"/>
      <c r="AF394" s="7168"/>
      <c r="AG394" s="7168"/>
      <c r="AH394" s="802">
        <f>AG394-AF394</f>
        <v>0</v>
      </c>
      <c r="AI394" s="7168"/>
      <c r="AJ394" s="7172"/>
      <c r="AK394" s="7172"/>
      <c r="AL394" s="802">
        <f>IF(AI394=0,0,(AK394-AI394)/AI394*100)</f>
        <v>0</v>
      </c>
      <c r="AM394" s="5154"/>
      <c r="AN394" s="5154"/>
      <c r="AO394" s="5154"/>
      <c r="AP394" s="1741"/>
      <c r="AQ394" s="1741"/>
      <c r="AR394" s="1062" t="s">
        <v>2499</v>
      </c>
      <c r="AS394" s="1062" t="s">
        <v>1855</v>
      </c>
      <c r="AT394" s="1060" cm="1" t="str">
        <f t="array" ref="AT394:AT394">AC394</f>
        <v>0</v>
      </c>
      <c r="AU394" s="1059"/>
      <c r="AV394" s="695" t="b">
        <v>1</v>
      </c>
    </row>
    <row s="1834" customFormat="1" customHeight="1" ht="14.25">
      <c r="A395" s="1741"/>
      <c r="B395" s="1741"/>
      <c r="C395" s="1741"/>
      <c r="D395" s="1741"/>
      <c r="E395" s="695">
        <v>15</v>
      </c>
      <c r="F395" s="50" cm="1" t="str">
        <f t="array" ref="F395:F395">OFFSET(E395,-1,1)</f>
        <v>4</v>
      </c>
      <c r="G395" s="1741"/>
      <c r="H395" s="1741"/>
      <c r="I395" s="696"/>
      <c r="J395" s="696" t="s">
        <v>2500</v>
      </c>
      <c r="K395" s="696"/>
      <c r="L395" s="696"/>
      <c r="M395" s="696"/>
      <c r="N395" s="696"/>
      <c r="O395" s="696"/>
      <c r="P395" s="696"/>
      <c r="Q395" s="696"/>
      <c r="R395" s="696"/>
      <c r="S395" s="696"/>
      <c r="T395" s="465">
        <f>F395&gt;0</f>
        <v>1</v>
      </c>
      <c r="U395" s="1741"/>
      <c r="V395" s="1741"/>
      <c r="W395" s="829" t="s">
        <v>399</v>
      </c>
      <c r="X395" s="1641"/>
      <c r="Y395" s="1741"/>
      <c r="Z395" s="1642"/>
      <c r="AA395" s="1741"/>
      <c r="AB395" s="1229"/>
      <c r="AC395" s="1230" t="s">
        <v>178</v>
      </c>
      <c r="AD395" s="1231"/>
      <c r="AE395" s="1231"/>
      <c r="AF395" s="1231"/>
      <c r="AG395" s="1231"/>
      <c r="AH395" s="1231"/>
      <c r="AI395" s="1231"/>
      <c r="AJ395" s="1231"/>
      <c r="AK395" s="1231"/>
      <c r="AL395" s="1231"/>
      <c r="AM395" s="1231"/>
      <c r="AN395" s="1231"/>
      <c r="AO395" s="1232"/>
      <c r="AP395" s="1741"/>
      <c r="AQ395" s="1741"/>
      <c r="AR395" s="1062"/>
      <c r="AS395" s="1062"/>
      <c r="AT395" s="1062"/>
      <c r="AU395" s="1059" t="s">
        <v>1855</v>
      </c>
      <c r="AV395" s="1059"/>
    </row>
    <row s="7334" customFormat="1" customHeight="1" ht="14.25">
      <c r="A396" s="588"/>
      <c r="B396" s="588"/>
      <c r="C396" s="588"/>
      <c r="D396" s="588"/>
      <c r="E396" s="697">
        <v>15</v>
      </c>
      <c r="F396" s="50" cm="1" t="str">
        <f t="array" ref="F396:F396">OFFSET(E396,-1,1)</f>
        <v>4</v>
      </c>
      <c r="G396" s="588"/>
      <c r="H396" s="588"/>
      <c r="I396" s="698" t="s">
        <v>333</v>
      </c>
      <c r="J396" s="698"/>
      <c r="K396" s="698"/>
      <c r="L396" s="698"/>
      <c r="M396" s="698"/>
      <c r="N396" s="698"/>
      <c r="O396" s="698"/>
      <c r="P396" s="698"/>
      <c r="Q396" s="698"/>
      <c r="R396" s="698"/>
      <c r="S396" s="698"/>
      <c r="T396" s="465" cm="1" t="str">
        <f t="array" ref="T396:T396">T395</f>
        <v>true</v>
      </c>
      <c r="U396" s="588"/>
      <c r="V396" s="588"/>
      <c r="W396" s="588"/>
      <c r="X396" s="1641"/>
      <c r="Y396" s="588"/>
      <c r="Z396" s="1642"/>
      <c r="AA396" s="588"/>
      <c r="AB396" s="804" t="s">
        <v>285</v>
      </c>
      <c r="AC396" s="800" t="s">
        <v>2501</v>
      </c>
      <c r="AD396" s="812" t="s">
        <v>1514</v>
      </c>
      <c r="AE396" s="788">
        <f>AE397+AE398</f>
        <v>0</v>
      </c>
      <c r="AF396" s="788">
        <f>AF397+AF398</f>
        <v>0</v>
      </c>
      <c r="AG396" s="788">
        <f>AG397+AG398</f>
        <v>0</v>
      </c>
      <c r="AH396" s="801">
        <f>AG396-AF396</f>
        <v>0</v>
      </c>
      <c r="AI396" s="788">
        <f>AI397+AI398</f>
        <v>0</v>
      </c>
      <c r="AJ396" s="788">
        <f>AJ397+AJ398</f>
        <v>0</v>
      </c>
      <c r="AK396" s="788">
        <f>AK397+AK398</f>
        <v>0</v>
      </c>
      <c r="AL396" s="801">
        <f>IF(AI396=0,0,(AK396-AI396)/AI396*100)</f>
        <v>0</v>
      </c>
      <c r="AM396" s="806"/>
      <c r="AN396" s="806"/>
      <c r="AO396" s="806"/>
      <c r="AP396" s="588"/>
      <c r="AQ396" s="588"/>
      <c r="AR396" s="1063" t="s">
        <v>2502</v>
      </c>
      <c r="AS396" s="1063"/>
      <c r="AT396" s="1063"/>
      <c r="AU396" s="697"/>
      <c r="AV396" s="697"/>
    </row>
    <row s="1834" customFormat="1" customHeight="1" ht="32.25">
      <c r="A397" s="1741"/>
      <c r="B397" s="1741"/>
      <c r="C397" s="1741"/>
      <c r="D397" s="1741"/>
      <c r="E397" s="695">
        <v>33.75</v>
      </c>
      <c r="F397" s="50" cm="1" t="str">
        <f t="array" ref="F397:F397">OFFSET(E397,-1,1)</f>
        <v>4</v>
      </c>
      <c r="G397" s="1741"/>
      <c r="H397" s="1741"/>
      <c r="I397" s="587" t="s">
        <v>1193</v>
      </c>
      <c r="J397" s="587"/>
      <c r="K397" s="587"/>
      <c r="L397" s="587"/>
      <c r="M397" s="587"/>
      <c r="N397" s="587"/>
      <c r="O397" s="587"/>
      <c r="P397" s="587"/>
      <c r="Q397" s="587"/>
      <c r="R397" s="587"/>
      <c r="S397" s="587"/>
      <c r="T397" s="465" cm="1" t="str">
        <f t="array" ref="T397:T397">T396</f>
        <v>true</v>
      </c>
      <c r="U397" s="1741"/>
      <c r="V397" s="1741"/>
      <c r="W397" s="1741"/>
      <c r="X397" s="1641"/>
      <c r="Y397" s="1741"/>
      <c r="Z397" s="1642"/>
      <c r="AA397" s="1741"/>
      <c r="AB397" s="807" t="s">
        <v>1250</v>
      </c>
      <c r="AC397" s="813" t="s">
        <v>2503</v>
      </c>
      <c r="AD397" s="814" t="s">
        <v>1514</v>
      </c>
      <c r="AE397" s="7168"/>
      <c r="AF397" s="7168"/>
      <c r="AG397" s="7168"/>
      <c r="AH397" s="802">
        <f>AG397-AF397</f>
        <v>0</v>
      </c>
      <c r="AI397" s="7168"/>
      <c r="AJ397" s="809"/>
      <c r="AK397" s="809"/>
      <c r="AL397" s="802">
        <f>IF(AI397=0,0,(AK397-AI397)/AI397*100)</f>
        <v>0</v>
      </c>
      <c r="AM397" s="803"/>
      <c r="AN397" s="803"/>
      <c r="AO397" s="803"/>
      <c r="AP397" s="1741"/>
      <c r="AQ397" s="1741"/>
      <c r="AR397" s="1062" t="s">
        <v>2504</v>
      </c>
      <c r="AS397" s="1062"/>
      <c r="AT397" s="1062"/>
      <c r="AU397" s="1059"/>
      <c r="AV397" s="1059"/>
    </row>
    <row s="1834" customFormat="1" customHeight="1" ht="34.5">
      <c r="A398" s="1741"/>
      <c r="B398" s="1741"/>
      <c r="C398" s="1741"/>
      <c r="D398" s="1741"/>
      <c r="E398" s="695">
        <v>36</v>
      </c>
      <c r="F398" s="50" cm="1" t="str">
        <f t="array" ref="F398:F398">OFFSET(E398,-1,1)</f>
        <v>4</v>
      </c>
      <c r="G398" s="1741"/>
      <c r="H398" s="1741"/>
      <c r="I398" s="587" t="s">
        <v>1196</v>
      </c>
      <c r="J398" s="587"/>
      <c r="K398" s="587"/>
      <c r="L398" s="587"/>
      <c r="M398" s="587"/>
      <c r="N398" s="587"/>
      <c r="O398" s="587"/>
      <c r="P398" s="587"/>
      <c r="Q398" s="587"/>
      <c r="R398" s="587"/>
      <c r="S398" s="587"/>
      <c r="T398" s="465" cm="1" t="str">
        <f t="array" ref="T398:T398">T397</f>
        <v>true</v>
      </c>
      <c r="U398" s="1741"/>
      <c r="V398" s="1741"/>
      <c r="W398" s="1741"/>
      <c r="X398" s="1641"/>
      <c r="Y398" s="1741"/>
      <c r="Z398" s="1642"/>
      <c r="AA398" s="1741"/>
      <c r="AB398" s="807" t="s">
        <v>1254</v>
      </c>
      <c r="AC398" s="813" t="s">
        <v>2505</v>
      </c>
      <c r="AD398" s="814" t="s">
        <v>1514</v>
      </c>
      <c r="AE398" s="815">
        <f>AE399+AE400</f>
        <v>0</v>
      </c>
      <c r="AF398" s="815">
        <f>AF399+AF400</f>
        <v>0</v>
      </c>
      <c r="AG398" s="815">
        <f>AG399+AG400</f>
        <v>0</v>
      </c>
      <c r="AH398" s="802">
        <f>AG398-AF398</f>
        <v>0</v>
      </c>
      <c r="AI398" s="815">
        <f>AI399+AI400</f>
        <v>0</v>
      </c>
      <c r="AJ398" s="815">
        <f>AJ399+AJ400</f>
        <v>0</v>
      </c>
      <c r="AK398" s="815">
        <f>AK399+AK400</f>
        <v>0</v>
      </c>
      <c r="AL398" s="802">
        <f>IF(AI398=0,0,(AK398-AI398)/AI398*100)</f>
        <v>0</v>
      </c>
      <c r="AM398" s="803"/>
      <c r="AN398" s="803"/>
      <c r="AO398" s="803"/>
      <c r="AP398" s="1741"/>
      <c r="AQ398" s="1741"/>
      <c r="AR398" s="1062" t="s">
        <v>2506</v>
      </c>
      <c r="AS398" s="1062"/>
      <c r="AT398" s="1062"/>
      <c r="AU398" s="1059"/>
      <c r="AV398" s="1059"/>
    </row>
    <row s="1834" customFormat="1" customHeight="1" ht="14.25">
      <c r="A399" s="1741"/>
      <c r="B399" s="1741"/>
      <c r="C399" s="1741"/>
      <c r="D399" s="1741"/>
      <c r="E399" s="695">
        <v>15</v>
      </c>
      <c r="F399" s="50" cm="1" t="str">
        <f t="array" ref="F399:F399">OFFSET(E399,-1,1)</f>
        <v>4</v>
      </c>
      <c r="G399" s="577" t="s">
        <v>1881</v>
      </c>
      <c r="H399" s="1741"/>
      <c r="I399" s="587" t="s">
        <v>2507</v>
      </c>
      <c r="J399" s="587"/>
      <c r="K399" s="587"/>
      <c r="L399" s="587"/>
      <c r="M399" s="587"/>
      <c r="N399" s="587"/>
      <c r="O399" s="587"/>
      <c r="P399" s="587"/>
      <c r="Q399" s="587"/>
      <c r="R399" s="587"/>
      <c r="S399" s="587"/>
      <c r="T399" s="465" cm="1" t="str">
        <f t="array" ref="T399:T399">T398</f>
        <v>true</v>
      </c>
      <c r="U399" s="1741"/>
      <c r="V399" s="1741"/>
      <c r="W399" s="1741"/>
      <c r="X399" s="1641"/>
      <c r="Y399" s="1741"/>
      <c r="Z399" s="1642"/>
      <c r="AA399" s="1741"/>
      <c r="AB399" s="807" t="s">
        <v>1207</v>
      </c>
      <c r="AC399" s="808" t="s">
        <v>2508</v>
      </c>
      <c r="AD399" s="814" t="s">
        <v>1514</v>
      </c>
      <c r="AE399" s="802">
        <f>_xlfn.SUMIFS(ФОТ!AE$25:AE$188,ФОТ!$F$25:$F$188,$F399,ФОТ!$G$25:$G$188,$G399)</f>
        <v>0</v>
      </c>
      <c r="AF399" s="802">
        <f>_xlfn.SUMIFS(ФОТ!AF$25:AF$188,ФОТ!$F$25:$F$188,$F399,ФОТ!$G$25:$G$188,$G399)</f>
        <v>0</v>
      </c>
      <c r="AG399" s="802">
        <f>_xlfn.SUMIFS(ФОТ!AG$25:AG$188,ФОТ!$F$25:$F$188,$F399,ФОТ!$G$25:$G$188,$G399)</f>
        <v>0</v>
      </c>
      <c r="AH399" s="802">
        <f>AG399-AF399</f>
        <v>0</v>
      </c>
      <c r="AI399" s="802">
        <f>_xlfn.SUMIFS(ФОТ!AH$25:AH$188,ФОТ!$F$25:$F$188,$F399,ФОТ!$G$25:$G$188,$G399)</f>
        <v>0</v>
      </c>
      <c r="AJ399" s="802">
        <f>_xlfn.SUMIFS(ФОТ!AI$25:AI$188,ФОТ!$F$25:$F$188,$F399,ФОТ!$G$25:$G$188,$G399)</f>
        <v>0</v>
      </c>
      <c r="AK399" s="802">
        <f>_xlfn.SUMIFS(ФОТ!AJ$25:AJ$188,ФОТ!$F$25:$F$188,$F399,ФОТ!$G$25:$G$188,$G399)</f>
        <v>0</v>
      </c>
      <c r="AL399" s="802">
        <f>IF(AI399=0,0,(AK399-AI399)/AI399*100)</f>
        <v>0</v>
      </c>
      <c r="AM399" s="803"/>
      <c r="AN399" s="910" t="str">
        <f>IF(_xlfn.IFERROR(INDEX(ФОТ!$K$26:$L$188,MATCH($F399&amp;"3komm",ФОТ!$K$26:$K$188,0),2),"")=0,"",_xlfn.IFERROR(INDEX(ФОТ!$K$26:$L$188,MATCH($F399&amp;"3komm",ФОТ!$K$26:$K$188,0),2),""))</f>
        <v/>
      </c>
      <c r="AO399" s="803"/>
      <c r="AP399" s="1741"/>
      <c r="AQ399" s="1741"/>
      <c r="AR399" s="1062" t="s">
        <v>2509</v>
      </c>
      <c r="AS399" s="1062"/>
      <c r="AT399" s="1062"/>
      <c r="AU399" s="1059"/>
      <c r="AV399" s="1059"/>
    </row>
    <row s="1834" customFormat="1" customHeight="1" ht="21.75">
      <c r="A400" s="1741"/>
      <c r="B400" s="1741"/>
      <c r="C400" s="1741"/>
      <c r="D400" s="1741"/>
      <c r="E400" s="695">
        <v>22.5</v>
      </c>
      <c r="F400" s="50" cm="1" t="str">
        <f t="array" ref="F400:F400">OFFSET(E400,-1,1)</f>
        <v>4</v>
      </c>
      <c r="G400" s="577" t="s">
        <v>1886</v>
      </c>
      <c r="H400" s="1741"/>
      <c r="I400" s="587" t="s">
        <v>2510</v>
      </c>
      <c r="J400" s="587"/>
      <c r="K400" s="587"/>
      <c r="L400" s="587"/>
      <c r="M400" s="587"/>
      <c r="N400" s="587"/>
      <c r="O400" s="587"/>
      <c r="P400" s="587"/>
      <c r="Q400" s="587"/>
      <c r="R400" s="587"/>
      <c r="S400" s="587"/>
      <c r="T400" s="465" cm="1" t="str">
        <f t="array" ref="T400:T400">T399</f>
        <v>true</v>
      </c>
      <c r="U400" s="1741"/>
      <c r="V400" s="1741"/>
      <c r="W400" s="1741"/>
      <c r="X400" s="1641"/>
      <c r="Y400" s="1741"/>
      <c r="Z400" s="1642"/>
      <c r="AA400" s="1741"/>
      <c r="AB400" s="807" t="s">
        <v>2171</v>
      </c>
      <c r="AC400" s="808" t="s">
        <v>2511</v>
      </c>
      <c r="AD400" s="814" t="s">
        <v>1514</v>
      </c>
      <c r="AE400" s="802">
        <f>_xlfn.SUMIFS(ФОТ!AE$25:AE$188,ФОТ!$F$25:$F$188,$F400,ФОТ!$G$25:$G$188,$G400)</f>
        <v>0</v>
      </c>
      <c r="AF400" s="802">
        <f>_xlfn.SUMIFS(ФОТ!AF$25:AF$188,ФОТ!$F$25:$F$188,$F400,ФОТ!$G$25:$G$188,$G400)</f>
        <v>0</v>
      </c>
      <c r="AG400" s="802">
        <f>_xlfn.SUMIFS(ФОТ!AG$25:AG$188,ФОТ!$F$25:$F$188,$F400,ФОТ!$G$25:$G$188,$G400)</f>
        <v>0</v>
      </c>
      <c r="AH400" s="802">
        <f>AG400-AF400</f>
        <v>0</v>
      </c>
      <c r="AI400" s="802">
        <f>_xlfn.SUMIFS(ФОТ!AH$25:AH$188,ФОТ!$F$25:$F$188,$F400,ФОТ!$G$25:$G$188,$G400)</f>
        <v>0</v>
      </c>
      <c r="AJ400" s="802">
        <f>_xlfn.SUMIFS(ФОТ!AI$25:AI$188,ФОТ!$F$25:$F$188,$F400,ФОТ!$G$25:$G$188,$G400)</f>
        <v>0</v>
      </c>
      <c r="AK400" s="802">
        <f>_xlfn.SUMIFS(ФОТ!AJ$25:AJ$188,ФОТ!$F$25:$F$188,$F400,ФОТ!$G$25:$G$188,$G400)</f>
        <v>0</v>
      </c>
      <c r="AL400" s="802">
        <f>IF(AI400=0,0,(AK400-AI400)/AI400*100)</f>
        <v>0</v>
      </c>
      <c r="AM400" s="803"/>
      <c r="AN400" s="910" t="str">
        <f>IF(_xlfn.IFERROR(INDEX(ФОТ!$K$26:$L$188,MATCH($F400&amp;"4komm",ФОТ!$K$26:$K$188,0),2),"")=0,"",_xlfn.IFERROR(INDEX(ФОТ!$K$26:$L$188,MATCH($F400&amp;"4komm",ФОТ!$K$26:$K$188,0),2),""))</f>
        <v/>
      </c>
      <c r="AO400" s="803"/>
      <c r="AP400" s="1741"/>
      <c r="AQ400" s="1741"/>
      <c r="AR400" s="1062" t="s">
        <v>2512</v>
      </c>
      <c r="AS400" s="1062"/>
      <c r="AT400" s="1062"/>
      <c r="AU400" s="1059"/>
      <c r="AV400" s="1059"/>
    </row>
    <row s="7335" customFormat="1" customHeight="1" ht="14.25">
      <c r="A401" s="588"/>
      <c r="B401" s="588"/>
      <c r="C401" s="588"/>
      <c r="D401" s="588"/>
      <c r="E401" s="697">
        <v>15</v>
      </c>
      <c r="F401" s="50" cm="1" t="str">
        <f t="array" ref="F401:F401">OFFSET(E401,-1,1)</f>
        <v>4</v>
      </c>
      <c r="G401" s="588"/>
      <c r="H401" s="588"/>
      <c r="I401" s="698" t="s">
        <v>334</v>
      </c>
      <c r="J401" s="698"/>
      <c r="K401" s="698"/>
      <c r="L401" s="698"/>
      <c r="M401" s="698"/>
      <c r="N401" s="698"/>
      <c r="O401" s="698"/>
      <c r="P401" s="698"/>
      <c r="Q401" s="698"/>
      <c r="R401" s="698"/>
      <c r="S401" s="698"/>
      <c r="T401" s="465" cm="1" t="str">
        <f t="array" ref="T401:T401">T400</f>
        <v>true</v>
      </c>
      <c r="U401" s="588"/>
      <c r="V401" s="588"/>
      <c r="W401" s="588"/>
      <c r="X401" s="1641"/>
      <c r="Y401" s="588"/>
      <c r="Z401" s="1642"/>
      <c r="AA401" s="588"/>
      <c r="AB401" s="804" t="s">
        <v>289</v>
      </c>
      <c r="AC401" s="800" t="s">
        <v>2513</v>
      </c>
      <c r="AD401" s="812" t="s">
        <v>1514</v>
      </c>
      <c r="AE401" s="801">
        <f>AE402+AE403+AE406+AE407+AE408+AE409+AE410</f>
        <v>0</v>
      </c>
      <c r="AF401" s="801">
        <f>AF402+AF403+AF406+AF407+AF408+AF409+AF410</f>
        <v>0</v>
      </c>
      <c r="AG401" s="801">
        <f>AG402+AG403+AG406+AG407+AG408+AG409+AG410</f>
        <v>0</v>
      </c>
      <c r="AH401" s="801">
        <f>AG401-AF401</f>
        <v>0</v>
      </c>
      <c r="AI401" s="801">
        <f>AI402+AI403+AI406+AI407+AI408+AI409+AI410</f>
        <v>0</v>
      </c>
      <c r="AJ401" s="801">
        <f>AJ402+AJ403+AJ406+AJ407+AJ408+AJ409+AJ410</f>
        <v>25732.3259537776</v>
      </c>
      <c r="AK401" s="801">
        <f>AK402+AK403+AK406+AK407+AK408+AK409+AK410</f>
        <v>25732.3259537776</v>
      </c>
      <c r="AL401" s="801">
        <f>IF(AI401=0,0,(AK401-AI401)/AI401*100)</f>
        <v>0</v>
      </c>
      <c r="AM401" s="806"/>
      <c r="AN401" s="806"/>
      <c r="AO401" s="806"/>
      <c r="AP401" s="588"/>
      <c r="AQ401" s="588"/>
      <c r="AR401" s="1063" t="s">
        <v>2514</v>
      </c>
      <c r="AS401" s="1063"/>
      <c r="AT401" s="1063"/>
      <c r="AU401" s="697"/>
      <c r="AV401" s="697"/>
    </row>
    <row s="1834" customFormat="1" customHeight="1" ht="21.75">
      <c r="A402" s="1741"/>
      <c r="B402" s="1741"/>
      <c r="C402" s="1741"/>
      <c r="D402" s="1741"/>
      <c r="E402" s="695">
        <v>22.5</v>
      </c>
      <c r="F402" s="50" cm="1" t="str">
        <f t="array" ref="F402:F402">OFFSET(E402,-1,1)</f>
        <v>4</v>
      </c>
      <c r="G402" s="577" t="s">
        <v>1916</v>
      </c>
      <c r="H402" s="1741"/>
      <c r="I402" s="587" t="s">
        <v>1658</v>
      </c>
      <c r="J402" s="587"/>
      <c r="K402" s="587"/>
      <c r="L402" s="587"/>
      <c r="M402" s="587"/>
      <c r="N402" s="587"/>
      <c r="O402" s="587"/>
      <c r="P402" s="587"/>
      <c r="Q402" s="587"/>
      <c r="R402" s="587"/>
      <c r="S402" s="587"/>
      <c r="T402" s="465" cm="1" t="str">
        <f t="array" ref="T402:T402">T401</f>
        <v>true</v>
      </c>
      <c r="U402" s="1741"/>
      <c r="V402" s="1741"/>
      <c r="W402" s="1741"/>
      <c r="X402" s="1641"/>
      <c r="Y402" s="1741"/>
      <c r="Z402" s="1642"/>
      <c r="AA402" s="1741"/>
      <c r="AB402" s="807" t="s">
        <v>1264</v>
      </c>
      <c r="AC402" s="813" t="s">
        <v>2515</v>
      </c>
      <c r="AD402" s="814" t="s">
        <v>1514</v>
      </c>
      <c r="AE402" s="259">
        <f>_xlfn.SUMIFS(Административные!AE$25:AE$122,Административные!$F$25:$F$122,$F402,Административные!$G$25:$G$122,$G402)</f>
        <v>0</v>
      </c>
      <c r="AF402" s="259">
        <f>_xlfn.SUMIFS(Административные!AF$25:AF$122,Административные!$F$25:$F$122,$F402,Административные!$G$25:$G$122,$G402)</f>
        <v>0</v>
      </c>
      <c r="AG402" s="259">
        <f>_xlfn.SUMIFS(Административные!AG$25:AG$122,Административные!$F$25:$F$122,$F402,Административные!$G$25:$G$122,$G402)</f>
        <v>0</v>
      </c>
      <c r="AH402" s="802">
        <f>AG402-AF402</f>
        <v>0</v>
      </c>
      <c r="AI402" s="259">
        <f>_xlfn.SUMIFS(Административные!AH$25:AH$122,Административные!$F$25:$F$122,$F402,Административные!$G$25:$G$122,$G402)</f>
        <v>0</v>
      </c>
      <c r="AJ402" s="259">
        <f>_xlfn.SUMIFS(Административные!AI$25:AI$122,Административные!$F$25:$F$122,$F402,Административные!$G$25:$G$122,$G402)</f>
        <v>1237.342555</v>
      </c>
      <c r="AK402" s="259">
        <f>_xlfn.SUMIFS(Административные!AJ$25:AJ$122,Административные!$F$25:$F$122,$F402,Административные!$G$25:$G$122,$G402)</f>
        <v>1237.342555</v>
      </c>
      <c r="AL402" s="802">
        <f>IF(AI402=0,0,(AK402-AI402)/AI402*100)</f>
        <v>0</v>
      </c>
      <c r="AM402" s="803"/>
      <c r="AN402" s="910" t="str">
        <f>IF(_xlfn.IFERROR(INDEX(Административные!$K$26:$L$122,MATCH($F402&amp;"17komm",Административные!$K$26:$K$122,0),2),"")=0,"",_xlfn.IFERROR(INDEX(Административные!$K$26:$L$122,MATCH($F402&amp;"17komm",Административные!$K$26:$K$122,0),2),""))</f>
        <v>Учтены расходы по выданным долгосрочным параметрам и соответствуют предложению организации.</v>
      </c>
      <c r="AO402" s="803"/>
      <c r="AP402" s="1741"/>
      <c r="AQ402" s="1741"/>
      <c r="AR402" s="1062" t="s">
        <v>1918</v>
      </c>
      <c r="AS402" s="1062"/>
      <c r="AT402" s="1062"/>
      <c r="AU402" s="1059"/>
      <c r="AV402" s="1059"/>
    </row>
    <row s="1834" customFormat="1" customHeight="1" ht="32.25">
      <c r="A403" s="1741"/>
      <c r="B403" s="1741"/>
      <c r="C403" s="1741"/>
      <c r="D403" s="1741"/>
      <c r="E403" s="695">
        <v>33.75</v>
      </c>
      <c r="F403" s="50" cm="1" t="str">
        <f t="array" ref="F403:F403">OFFSET(E403,-1,1)</f>
        <v>4</v>
      </c>
      <c r="G403" s="1741"/>
      <c r="H403" s="1741"/>
      <c r="I403" s="587" t="s">
        <v>1660</v>
      </c>
      <c r="J403" s="587"/>
      <c r="K403" s="587"/>
      <c r="L403" s="587"/>
      <c r="M403" s="587"/>
      <c r="N403" s="587"/>
      <c r="O403" s="587"/>
      <c r="P403" s="587"/>
      <c r="Q403" s="587"/>
      <c r="R403" s="587"/>
      <c r="S403" s="587"/>
      <c r="T403" s="465" cm="1" t="str">
        <f t="array" ref="T403:T403">T402</f>
        <v>true</v>
      </c>
      <c r="U403" s="1741"/>
      <c r="V403" s="1741"/>
      <c r="W403" s="1741"/>
      <c r="X403" s="1641"/>
      <c r="Y403" s="1741"/>
      <c r="Z403" s="1642"/>
      <c r="AA403" s="1741"/>
      <c r="AB403" s="807" t="s">
        <v>1268</v>
      </c>
      <c r="AC403" s="813" t="s">
        <v>2516</v>
      </c>
      <c r="AD403" s="814" t="s">
        <v>1514</v>
      </c>
      <c r="AE403" s="802">
        <f>AE404+AE405</f>
        <v>0</v>
      </c>
      <c r="AF403" s="802">
        <f>AF404+AF405</f>
        <v>0</v>
      </c>
      <c r="AG403" s="802">
        <f>AG404+AG405</f>
        <v>0</v>
      </c>
      <c r="AH403" s="802">
        <f>AG403-AF403</f>
        <v>0</v>
      </c>
      <c r="AI403" s="802">
        <f>AI404+AI405</f>
        <v>0</v>
      </c>
      <c r="AJ403" s="802">
        <f>AJ404+AJ405</f>
        <v>24472.6353437776</v>
      </c>
      <c r="AK403" s="802">
        <f>AK404+AK405</f>
        <v>24472.6353437776</v>
      </c>
      <c r="AL403" s="802">
        <f>IF(AI403=0,0,(AK403-AI403)/AI403*100)</f>
        <v>0</v>
      </c>
      <c r="AM403" s="803"/>
      <c r="AN403" s="803"/>
      <c r="AO403" s="803"/>
      <c r="AP403" s="1741"/>
      <c r="AQ403" s="1741"/>
      <c r="AR403" s="1062" t="s">
        <v>2517</v>
      </c>
      <c r="AS403" s="1062"/>
      <c r="AT403" s="1062"/>
      <c r="AU403" s="1059"/>
      <c r="AV403" s="1059"/>
    </row>
    <row s="1834" customFormat="1" customHeight="1" ht="21.75">
      <c r="A404" s="1741"/>
      <c r="B404" s="1741"/>
      <c r="C404" s="1741"/>
      <c r="D404" s="1741"/>
      <c r="E404" s="695">
        <v>22.5</v>
      </c>
      <c r="F404" s="50" cm="1" t="str">
        <f t="array" ref="F404:F404">OFFSET(E404,-1,1)</f>
        <v>4</v>
      </c>
      <c r="G404" s="1233" t="s">
        <v>1889</v>
      </c>
      <c r="H404" s="1741"/>
      <c r="I404" s="587" t="s">
        <v>1211</v>
      </c>
      <c r="J404" s="587"/>
      <c r="K404" s="587"/>
      <c r="L404" s="587"/>
      <c r="M404" s="587"/>
      <c r="N404" s="587"/>
      <c r="O404" s="587"/>
      <c r="P404" s="587"/>
      <c r="Q404" s="587"/>
      <c r="R404" s="587"/>
      <c r="S404" s="587"/>
      <c r="T404" s="465" cm="1" t="str">
        <f t="array" ref="T404:T404">T403</f>
        <v>true</v>
      </c>
      <c r="U404" s="1741"/>
      <c r="V404" s="1741"/>
      <c r="W404" s="1741"/>
      <c r="X404" s="1641"/>
      <c r="Y404" s="1741"/>
      <c r="Z404" s="1642"/>
      <c r="AA404" s="1741"/>
      <c r="AB404" s="807" t="s">
        <v>1474</v>
      </c>
      <c r="AC404" s="808" t="s">
        <v>2518</v>
      </c>
      <c r="AD404" s="814" t="s">
        <v>1514</v>
      </c>
      <c r="AE404" s="802">
        <f>_xlfn.SUMIFS(ФОТ!AE$25:AE$188,ФОТ!$F$25:$F$188,$F404,ФОТ!$G$25:$G$188,$G404)</f>
        <v>0</v>
      </c>
      <c r="AF404" s="802">
        <f>_xlfn.SUMIFS(ФОТ!AF$25:AF$188,ФОТ!$F$25:$F$188,$F404,ФОТ!$G$25:$G$188,$G404)</f>
        <v>0</v>
      </c>
      <c r="AG404" s="802">
        <f>_xlfn.SUMIFS(ФОТ!AG$25:AG$188,ФОТ!$F$25:$F$188,$F404,ФОТ!$G$25:$G$188,$G404)</f>
        <v>0</v>
      </c>
      <c r="AH404" s="802">
        <f>AG404-AF404</f>
        <v>0</v>
      </c>
      <c r="AI404" s="802">
        <f>_xlfn.SUMIFS(ФОТ!AH$25:AH$188,ФОТ!$F$25:$F$188,$F404,ФОТ!$G$25:$G$188,$G404)</f>
        <v>0</v>
      </c>
      <c r="AJ404" s="802">
        <f>_xlfn.SUMIFS(ФОТ!AI$25:AI$188,ФОТ!$F$25:$F$188,$F404,ФОТ!$G$25:$G$188,$G404)</f>
        <v>18796.1868999828</v>
      </c>
      <c r="AK404" s="802">
        <f>_xlfn.SUMIFS(ФОТ!AJ$25:AJ$188,ФОТ!$F$25:$F$188,$F404,ФОТ!$G$25:$G$188,$G404)</f>
        <v>18796.1868999828</v>
      </c>
      <c r="AL404" s="802">
        <f>IF(AI404=0,0,(AK404-AI404)/AI404*100)</f>
        <v>0</v>
      </c>
      <c r="AM404" s="803"/>
      <c r="AN404" s="910" t="str">
        <f>IF(_xlfn.IFERROR(INDEX(ФОТ!$K$26:$L$188,MATCH($F404&amp;"5komm",ФОТ!$K$26:$K$188,0),2),"")=0,"",_xlfn.IFERROR(INDEX(ФОТ!$K$26:$L$188,MATCH($F404&amp;"5komm",ФОТ!$K$26:$K$188,0),2),""))</f>
        <v>по предложению организации в соответствии со штатным расписанием.</v>
      </c>
      <c r="AO404" s="803"/>
      <c r="AP404" s="1741"/>
      <c r="AQ404" s="1741"/>
      <c r="AR404" s="1062" t="s">
        <v>1915</v>
      </c>
      <c r="AS404" s="1062"/>
      <c r="AT404" s="1062"/>
      <c r="AU404" s="1059"/>
      <c r="AV404" s="1059"/>
    </row>
    <row s="1834" customFormat="1" customHeight="1" ht="32.25">
      <c r="A405" s="1741"/>
      <c r="B405" s="1741"/>
      <c r="C405" s="1741"/>
      <c r="D405" s="1741"/>
      <c r="E405" s="695">
        <v>33.75</v>
      </c>
      <c r="F405" s="50" cm="1" t="str">
        <f t="array" ref="F405:F405">OFFSET(E405,-1,1)</f>
        <v>4</v>
      </c>
      <c r="G405" s="498" t="s">
        <v>1894</v>
      </c>
      <c r="H405" s="1741"/>
      <c r="I405" s="587" t="s">
        <v>1216</v>
      </c>
      <c r="J405" s="587"/>
      <c r="K405" s="587"/>
      <c r="L405" s="587"/>
      <c r="M405" s="587"/>
      <c r="N405" s="587"/>
      <c r="O405" s="587"/>
      <c r="P405" s="587"/>
      <c r="Q405" s="587"/>
      <c r="R405" s="587"/>
      <c r="S405" s="587"/>
      <c r="T405" s="465" cm="1" t="str">
        <f t="array" ref="T405:T405">T404</f>
        <v>true</v>
      </c>
      <c r="U405" s="1741"/>
      <c r="V405" s="1741"/>
      <c r="W405" s="1741"/>
      <c r="X405" s="1641"/>
      <c r="Y405" s="1741"/>
      <c r="Z405" s="1642"/>
      <c r="AA405" s="1741"/>
      <c r="AB405" s="807" t="s">
        <v>1477</v>
      </c>
      <c r="AC405" s="808" t="s">
        <v>2519</v>
      </c>
      <c r="AD405" s="814" t="s">
        <v>1514</v>
      </c>
      <c r="AE405" s="802">
        <f>_xlfn.SUMIFS(ФОТ!AE$25:AE$188,ФОТ!$F$25:$F$188,$F405,ФОТ!$G$25:$G$188,$G405)</f>
        <v>0</v>
      </c>
      <c r="AF405" s="802">
        <f>_xlfn.SUMIFS(ФОТ!AF$25:AF$188,ФОТ!$F$25:$F$188,$F405,ФОТ!$G$25:$G$188,$G405)</f>
        <v>0</v>
      </c>
      <c r="AG405" s="802">
        <f>_xlfn.SUMIFS(ФОТ!AG$25:AG$188,ФОТ!$F$25:$F$188,$F405,ФОТ!$G$25:$G$188,$G405)</f>
        <v>0</v>
      </c>
      <c r="AH405" s="802">
        <f>AG405-AF405</f>
        <v>0</v>
      </c>
      <c r="AI405" s="802">
        <f>_xlfn.SUMIFS(ФОТ!AH$25:AH$188,ФОТ!$F$25:$F$188,$F405,ФОТ!$G$25:$G$188,$G405)</f>
        <v>0</v>
      </c>
      <c r="AJ405" s="802">
        <f>_xlfn.SUMIFS(ФОТ!AI$25:AI$188,ФОТ!$F$25:$F$188,$F405,ФОТ!$G$25:$G$188,$G405)</f>
        <v>5676.44844379481</v>
      </c>
      <c r="AK405" s="802">
        <f>_xlfn.SUMIFS(ФОТ!AJ$25:AJ$188,ФОТ!$F$25:$F$188,$F405,ФОТ!$G$25:$G$188,$G405)</f>
        <v>5676.44844379481</v>
      </c>
      <c r="AL405" s="802">
        <f>IF(AI405=0,0,(AK405-AI405)/AI405*100)</f>
        <v>0</v>
      </c>
      <c r="AM405" s="803"/>
      <c r="AN405" s="910" t="str">
        <f>IF(_xlfn.IFERROR(INDEX(ФОТ!$K$26:$L$188,MATCH($F405&amp;"6komm",ФОТ!$K$26:$K$188,0),2),"")=0,"",_xlfn.IFERROR(INDEX(ФОТ!$K$26:$L$188,MATCH($F405&amp;"6komm",ФОТ!$K$26:$K$188,0),2),""))</f>
        <v>на основании Налогового кодекса РФ (часть вторая) от 05.08.2000 № 117-ФЗ в размере 30%, а также в соответствии с Федеральным законом от 24.07.1998 № 125 – ФЗ (0,20%).</v>
      </c>
      <c r="AO405" s="803"/>
      <c r="AP405" s="1741"/>
      <c r="AQ405" s="1741"/>
      <c r="AR405" s="1062" t="s">
        <v>2520</v>
      </c>
      <c r="AS405" s="1062"/>
      <c r="AT405" s="1062"/>
      <c r="AU405" s="1059"/>
      <c r="AV405" s="1059"/>
    </row>
    <row s="1834" customFormat="1" customHeight="1" ht="32.25">
      <c r="A406" s="1741"/>
      <c r="B406" s="1741"/>
      <c r="C406" s="1741"/>
      <c r="D406" s="1741"/>
      <c r="E406" s="695">
        <v>33.75</v>
      </c>
      <c r="F406" s="50" cm="1" t="str">
        <f t="array" ref="F406:F406">OFFSET(E406,-1,1)</f>
        <v>4</v>
      </c>
      <c r="G406" s="577" t="s">
        <v>1944</v>
      </c>
      <c r="H406" s="1741"/>
      <c r="I406" s="587" t="s">
        <v>1662</v>
      </c>
      <c r="J406" s="587"/>
      <c r="K406" s="587"/>
      <c r="L406" s="587"/>
      <c r="M406" s="587"/>
      <c r="N406" s="587"/>
      <c r="O406" s="587"/>
      <c r="P406" s="587"/>
      <c r="Q406" s="587"/>
      <c r="R406" s="587"/>
      <c r="S406" s="587"/>
      <c r="T406" s="465" cm="1" t="str">
        <f t="array" ref="T406:T406">T405</f>
        <v>true</v>
      </c>
      <c r="U406" s="1741"/>
      <c r="V406" s="1741"/>
      <c r="W406" s="1741"/>
      <c r="X406" s="1641"/>
      <c r="Y406" s="1741"/>
      <c r="Z406" s="1642"/>
      <c r="AA406" s="1741"/>
      <c r="AB406" s="807" t="s">
        <v>1480</v>
      </c>
      <c r="AC406" s="813" t="s">
        <v>2521</v>
      </c>
      <c r="AD406" s="814" t="s">
        <v>1514</v>
      </c>
      <c r="AE406" s="802">
        <f>_xlfn.SUMIFS(Административные!AE$25:AE$122,Административные!$F$25:$F$122,$F406,Административные!$G$25:$G$122,$G406)</f>
        <v>0</v>
      </c>
      <c r="AF406" s="802">
        <f>_xlfn.SUMIFS(Административные!AF$25:AF$122,Административные!$F$25:$F$122,$F406,Административные!$G$25:$G$122,$G406)</f>
        <v>0</v>
      </c>
      <c r="AG406" s="802">
        <f>_xlfn.SUMIFS(Административные!AG$25:AG$122,Административные!$F$25:$F$122,$F406,Административные!$G$25:$G$122,$G406)</f>
        <v>0</v>
      </c>
      <c r="AH406" s="802">
        <f>AG406-AF406</f>
        <v>0</v>
      </c>
      <c r="AI406" s="802">
        <f>_xlfn.SUMIFS(Административные!AH$25:AH$122,Административные!$F$25:$F$122,$F406,Административные!$G$25:$G$122,$G406)</f>
        <v>0</v>
      </c>
      <c r="AJ406" s="802">
        <f>_xlfn.SUMIFS(Административные!AI$25:AI$122,Административные!$F$25:$F$122,$F406,Административные!$G$25:$G$122,$G406)</f>
        <v>0</v>
      </c>
      <c r="AK406" s="802">
        <f>_xlfn.SUMIFS(Административные!AJ$25:AJ$122,Административные!$F$25:$F$122,$F406,Административные!$G$25:$G$122,$G406)</f>
        <v>0</v>
      </c>
      <c r="AL406" s="802">
        <f>IF(AI406=0,0,(AK406-AI406)/AI406*100)</f>
        <v>0</v>
      </c>
      <c r="AM406" s="803"/>
      <c r="AN406" s="910" t="str">
        <f>IF(_xlfn.IFERROR(INDEX(Административные!$K$26:$L$122,MATCH($F406&amp;"2komm",Административные!$K$26:$K$122,0),2),"")=0,"",_xlfn.IFERROR(INDEX(Административные!$K$26:$L$122,MATCH($F406&amp;"2komm",Административные!$K$26:$K$122,0),2),""))</f>
        <v/>
      </c>
      <c r="AO406" s="803"/>
      <c r="AP406" s="1741"/>
      <c r="AQ406" s="1741"/>
      <c r="AR406" s="1062" t="s">
        <v>1946</v>
      </c>
      <c r="AS406" s="1062"/>
      <c r="AT406" s="1062"/>
      <c r="AU406" s="1059"/>
      <c r="AV406" s="1059"/>
    </row>
    <row s="1834" customFormat="1" customHeight="1" ht="14.25">
      <c r="A407" s="1741"/>
      <c r="B407" s="1741"/>
      <c r="C407" s="1741"/>
      <c r="D407" s="1741"/>
      <c r="E407" s="695">
        <v>15</v>
      </c>
      <c r="F407" s="50" cm="1" t="str">
        <f t="array" ref="F407:F407">OFFSET(E407,-1,1)</f>
        <v>4</v>
      </c>
      <c r="G407" s="577" t="s">
        <v>1947</v>
      </c>
      <c r="H407" s="1741"/>
      <c r="I407" s="587" t="s">
        <v>1664</v>
      </c>
      <c r="J407" s="587"/>
      <c r="K407" s="587"/>
      <c r="L407" s="587"/>
      <c r="M407" s="587"/>
      <c r="N407" s="587"/>
      <c r="O407" s="587"/>
      <c r="P407" s="587"/>
      <c r="Q407" s="587"/>
      <c r="R407" s="587"/>
      <c r="S407" s="587"/>
      <c r="T407" s="465" cm="1" t="str">
        <f t="array" ref="T407:T407">T406</f>
        <v>true</v>
      </c>
      <c r="U407" s="1741"/>
      <c r="V407" s="1741"/>
      <c r="W407" s="1741"/>
      <c r="X407" s="1641"/>
      <c r="Y407" s="1741"/>
      <c r="Z407" s="1642"/>
      <c r="AA407" s="1741"/>
      <c r="AB407" s="807" t="s">
        <v>1665</v>
      </c>
      <c r="AC407" s="813" t="s">
        <v>1948</v>
      </c>
      <c r="AD407" s="814" t="s">
        <v>1514</v>
      </c>
      <c r="AE407" s="802">
        <f>_xlfn.SUMIFS(Административные!AE$25:AE$122,Административные!$F$25:$F$122,$F407,Административные!$G$25:$G$122,$G407)</f>
        <v>0</v>
      </c>
      <c r="AF407" s="802">
        <f>_xlfn.SUMIFS(Административные!AF$25:AF$122,Административные!$F$25:$F$122,$F407,Административные!$G$25:$G$122,$G407)</f>
        <v>0</v>
      </c>
      <c r="AG407" s="802">
        <f>_xlfn.SUMIFS(Административные!AG$25:AG$122,Административные!$F$25:$F$122,$F407,Административные!$G$25:$G$122,$G407)</f>
        <v>0</v>
      </c>
      <c r="AH407" s="802">
        <f>AG407-AF407</f>
        <v>0</v>
      </c>
      <c r="AI407" s="802">
        <f>_xlfn.SUMIFS(Административные!AH$25:AH$122,Административные!$F$25:$F$122,$F407,Административные!$G$25:$G$122,$G407)</f>
        <v>0</v>
      </c>
      <c r="AJ407" s="802">
        <f>_xlfn.SUMIFS(Административные!AI$25:AI$122,Административные!$F$25:$F$122,$F407,Административные!$G$25:$G$122,$G407)</f>
        <v>22.348055</v>
      </c>
      <c r="AK407" s="802">
        <f>_xlfn.SUMIFS(Административные!AJ$25:AJ$122,Административные!$F$25:$F$122,$F407,Административные!$G$25:$G$122,$G407)</f>
        <v>22.348055</v>
      </c>
      <c r="AL407" s="802">
        <f>IF(AI407=0,0,(AK407-AI407)/AI407*100)</f>
        <v>0</v>
      </c>
      <c r="AM407" s="803"/>
      <c r="AN407" s="910" t="str">
        <f>IF(_xlfn.IFERROR(INDEX(Административные!$K$26:$L$122,MATCH($F407&amp;"3komm",Административные!$K$26:$K$122,0),2),"")=0,"",_xlfn.IFERROR(INDEX(Административные!$K$26:$L$122,MATCH($F407&amp;"3komm",Административные!$K$26:$K$122,0),2),""))</f>
        <v>рассчитано по факту 2024 года предыдущей организации, с применением ИПЦ Минэкономразвития России на 2025 год 109,0%, на 2026 год 105,1%.</v>
      </c>
      <c r="AO407" s="803"/>
      <c r="AP407" s="1741"/>
      <c r="AQ407" s="1741"/>
      <c r="AR407" s="1062" t="s">
        <v>1949</v>
      </c>
      <c r="AS407" s="1062"/>
      <c r="AT407" s="1062"/>
      <c r="AU407" s="1059"/>
      <c r="AV407" s="1059"/>
    </row>
    <row s="1834" customFormat="1" customHeight="1" ht="14.25">
      <c r="A408" s="1741"/>
      <c r="B408" s="1741"/>
      <c r="C408" s="1741"/>
      <c r="D408" s="1741"/>
      <c r="E408" s="695">
        <v>15</v>
      </c>
      <c r="F408" s="50" cm="1" t="str">
        <f t="array" ref="F408:F408">OFFSET(E408,-1,1)</f>
        <v>4</v>
      </c>
      <c r="G408" s="577" t="s">
        <v>1950</v>
      </c>
      <c r="H408" s="1741"/>
      <c r="I408" s="587" t="s">
        <v>1667</v>
      </c>
      <c r="J408" s="587"/>
      <c r="K408" s="587"/>
      <c r="L408" s="587"/>
      <c r="M408" s="587"/>
      <c r="N408" s="587"/>
      <c r="O408" s="587"/>
      <c r="P408" s="587"/>
      <c r="Q408" s="587"/>
      <c r="R408" s="587"/>
      <c r="S408" s="587"/>
      <c r="T408" s="465" cm="1" t="str">
        <f t="array" ref="T408:T408">T407</f>
        <v>true</v>
      </c>
      <c r="U408" s="1741"/>
      <c r="V408" s="1741"/>
      <c r="W408" s="1741"/>
      <c r="X408" s="1641"/>
      <c r="Y408" s="1741"/>
      <c r="Z408" s="1642"/>
      <c r="AA408" s="1741"/>
      <c r="AB408" s="807" t="s">
        <v>1668</v>
      </c>
      <c r="AC408" s="813" t="s">
        <v>1951</v>
      </c>
      <c r="AD408" s="814" t="s">
        <v>1514</v>
      </c>
      <c r="AE408" s="802">
        <f>_xlfn.SUMIFS(Административные!AE$25:AE$122,Административные!$F$25:$F$122,$F408,Административные!$G$25:$G$122,$G408)</f>
        <v>0</v>
      </c>
      <c r="AF408" s="802">
        <f>_xlfn.SUMIFS(Административные!AF$25:AF$122,Административные!$F$25:$F$122,$F408,Административные!$G$25:$G$122,$G408)</f>
        <v>0</v>
      </c>
      <c r="AG408" s="802">
        <f>_xlfn.SUMIFS(Административные!AG$25:AG$122,Административные!$F$25:$F$122,$F408,Административные!$G$25:$G$122,$G408)</f>
        <v>0</v>
      </c>
      <c r="AH408" s="802">
        <f>AG408-AF408</f>
        <v>0</v>
      </c>
      <c r="AI408" s="802">
        <f>_xlfn.SUMIFS(Административные!AH$25:AH$122,Административные!$F$25:$F$122,$F408,Административные!$G$25:$G$122,$G408)</f>
        <v>0</v>
      </c>
      <c r="AJ408" s="802">
        <f>_xlfn.SUMIFS(Административные!AI$25:AI$122,Административные!$F$25:$F$122,$F408,Административные!$G$25:$G$122,$G408)</f>
        <v>0</v>
      </c>
      <c r="AK408" s="802">
        <f>_xlfn.SUMIFS(Административные!AJ$25:AJ$122,Административные!$F$25:$F$122,$F408,Административные!$G$25:$G$122,$G408)</f>
        <v>0</v>
      </c>
      <c r="AL408" s="802">
        <f>IF(AI408=0,0,(AK408-AI408)/AI408*100)</f>
        <v>0</v>
      </c>
      <c r="AM408" s="803"/>
      <c r="AN408" s="910" t="str">
        <f>IF(_xlfn.IFERROR(INDEX(Административные!$K$26:$L$122,MATCH($F408&amp;"4komm",Административные!$K$26:$K$122,0),2),"")=0,"",_xlfn.IFERROR(INDEX(Административные!$K$26:$L$122,MATCH($F408&amp;"4komm",Административные!$K$26:$K$122,0),2),""))</f>
        <v/>
      </c>
      <c r="AO408" s="803"/>
      <c r="AP408" s="1741"/>
      <c r="AQ408" s="1741"/>
      <c r="AR408" s="1062" t="s">
        <v>1952</v>
      </c>
      <c r="AS408" s="1062"/>
      <c r="AT408" s="1062"/>
      <c r="AU408" s="1059"/>
      <c r="AV408" s="1059"/>
    </row>
    <row s="1834" customFormat="1" customHeight="1" ht="14.25">
      <c r="A409" s="1741"/>
      <c r="B409" s="1741"/>
      <c r="C409" s="1741"/>
      <c r="D409" s="1741"/>
      <c r="E409" s="695">
        <v>15</v>
      </c>
      <c r="F409" s="50" cm="1" t="str">
        <f t="array" ref="F409:F409">OFFSET(E409,-1,1)</f>
        <v>4</v>
      </c>
      <c r="G409" s="577" t="s">
        <v>1953</v>
      </c>
      <c r="H409" s="1741"/>
      <c r="I409" s="587" t="s">
        <v>1935</v>
      </c>
      <c r="J409" s="587"/>
      <c r="K409" s="587"/>
      <c r="L409" s="587"/>
      <c r="M409" s="587"/>
      <c r="N409" s="587"/>
      <c r="O409" s="587"/>
      <c r="P409" s="587"/>
      <c r="Q409" s="587"/>
      <c r="R409" s="587"/>
      <c r="S409" s="587"/>
      <c r="T409" s="465" cm="1" t="str">
        <f t="array" ref="T409:T409">T408</f>
        <v>true</v>
      </c>
      <c r="U409" s="1741"/>
      <c r="V409" s="1741"/>
      <c r="W409" s="1741"/>
      <c r="X409" s="1641"/>
      <c r="Y409" s="1741"/>
      <c r="Z409" s="1642"/>
      <c r="AA409" s="1741"/>
      <c r="AB409" s="807" t="s">
        <v>1936</v>
      </c>
      <c r="AC409" s="813" t="s">
        <v>1954</v>
      </c>
      <c r="AD409" s="814" t="s">
        <v>1514</v>
      </c>
      <c r="AE409" s="802">
        <f>_xlfn.SUMIFS(Административные!AE$25:AE$122,Административные!$F$25:$F$122,$F409,Административные!$G$25:$G$122,$G409)</f>
        <v>0</v>
      </c>
      <c r="AF409" s="802">
        <f>_xlfn.SUMIFS(Административные!AF$25:AF$122,Административные!$F$25:$F$122,$F409,Административные!$G$25:$G$122,$G409)</f>
        <v>0</v>
      </c>
      <c r="AG409" s="802">
        <f>_xlfn.SUMIFS(Административные!AG$25:AG$122,Административные!$F$25:$F$122,$F409,Административные!$G$25:$G$122,$G409)</f>
        <v>0</v>
      </c>
      <c r="AH409" s="802">
        <f>AG409-AF409</f>
        <v>0</v>
      </c>
      <c r="AI409" s="802">
        <f>_xlfn.SUMIFS(Административные!AH$25:AH$122,Административные!$F$25:$F$122,$F409,Административные!$G$25:$G$122,$G409)</f>
        <v>0</v>
      </c>
      <c r="AJ409" s="802">
        <f>_xlfn.SUMIFS(Административные!AI$25:AI$122,Административные!$F$25:$F$122,$F409,Административные!$G$25:$G$122,$G409)</f>
        <v>0</v>
      </c>
      <c r="AK409" s="802">
        <f>_xlfn.SUMIFS(Административные!AJ$25:AJ$122,Административные!$F$25:$F$122,$F409,Административные!$G$25:$G$122,$G409)</f>
        <v>0</v>
      </c>
      <c r="AL409" s="802">
        <f>IF(AI409=0,0,(AK409-AI409)/AI409*100)</f>
        <v>0</v>
      </c>
      <c r="AM409" s="803"/>
      <c r="AN409" s="910" t="str">
        <f>IF(_xlfn.IFERROR(INDEX(Административные!$K$26:$L$122,MATCH($F405&amp;"5komm",Административные!$K$26:$K$122,0),2),"")=0,"",_xlfn.IFERROR(INDEX(Административные!$K$26:$L$122,MATCH($F405&amp;"5komm",Административные!$K$26:$K$122,0),2),""))</f>
        <v/>
      </c>
      <c r="AO409" s="803"/>
      <c r="AP409" s="1741"/>
      <c r="AQ409" s="1741"/>
      <c r="AR409" s="1062" t="s">
        <v>2522</v>
      </c>
      <c r="AS409" s="1062"/>
      <c r="AT409" s="1062"/>
      <c r="AU409" s="1059"/>
      <c r="AV409" s="1059"/>
    </row>
    <row s="1834" customFormat="1" customHeight="1" ht="14.25">
      <c r="A410" s="1741"/>
      <c r="B410" s="1741"/>
      <c r="C410" s="1741"/>
      <c r="D410" s="1741"/>
      <c r="E410" s="695">
        <v>15</v>
      </c>
      <c r="F410" s="50" cm="1" t="str">
        <f t="array" ref="F410:F410">OFFSET(E410,-1,1)</f>
        <v>4</v>
      </c>
      <c r="G410" s="577" t="s">
        <v>1956</v>
      </c>
      <c r="H410" s="1741"/>
      <c r="I410" s="587" t="s">
        <v>1940</v>
      </c>
      <c r="J410" s="587"/>
      <c r="K410" s="587"/>
      <c r="L410" s="587"/>
      <c r="M410" s="587"/>
      <c r="N410" s="587"/>
      <c r="O410" s="587"/>
      <c r="P410" s="587"/>
      <c r="Q410" s="587"/>
      <c r="R410" s="587"/>
      <c r="S410" s="587"/>
      <c r="T410" s="465" cm="1" t="str">
        <f t="array" ref="T410:T410">T409</f>
        <v>true</v>
      </c>
      <c r="U410" s="1741"/>
      <c r="V410" s="1741"/>
      <c r="W410" s="1741"/>
      <c r="X410" s="1641"/>
      <c r="Y410" s="1741"/>
      <c r="Z410" s="1642"/>
      <c r="AA410" s="1741"/>
      <c r="AB410" s="807" t="s">
        <v>1941</v>
      </c>
      <c r="AC410" s="813" t="s">
        <v>2523</v>
      </c>
      <c r="AD410" s="814" t="s">
        <v>1514</v>
      </c>
      <c r="AE410" s="802">
        <f>_xlfn.SUMIFS(Административные!AE$25:AE$122,Административные!$F$25:$F$122,$F410,Административные!$G$25:$G$122,$G410)</f>
        <v>0</v>
      </c>
      <c r="AF410" s="802">
        <f>_xlfn.SUMIFS(Административные!AF$25:AF$122,Административные!$F$25:$F$122,$F410,Административные!$G$25:$G$122,$G410)</f>
        <v>0</v>
      </c>
      <c r="AG410" s="802">
        <f>_xlfn.SUMIFS(Административные!AG$25:AG$122,Административные!$F$25:$F$122,$F410,Административные!$G$25:$G$122,$G410)</f>
        <v>0</v>
      </c>
      <c r="AH410" s="802">
        <f>AG410-AF410</f>
        <v>0</v>
      </c>
      <c r="AI410" s="802">
        <f>_xlfn.SUMIFS(Административные!AH$25:AH$122,Административные!$F$25:$F$122,$F410,Административные!$G$25:$G$122,$G410)</f>
        <v>0</v>
      </c>
      <c r="AJ410" s="802">
        <f>_xlfn.SUMIFS(Административные!AI$25:AI$122,Административные!$F$25:$F$122,$F410,Административные!$G$25:$G$122,$G410)</f>
        <v>0</v>
      </c>
      <c r="AK410" s="802">
        <f>_xlfn.SUMIFS(Административные!AJ$25:AJ$122,Административные!$F$25:$F$122,$F410,Административные!$G$25:$G$122,$G410)</f>
        <v>0</v>
      </c>
      <c r="AL410" s="802">
        <f>IF(AI410=0,0,(AK410-AI410)/AI410*100)</f>
        <v>0</v>
      </c>
      <c r="AM410" s="803"/>
      <c r="AN410" s="910" t="str">
        <f>IF(_xlfn.IFERROR(INDEX(Административные!$K$26:$L$122,MATCH($F410&amp;"6komm",Административные!$K$26:$K$122,0),2),"")=0,"",_xlfn.IFERROR(INDEX(Административные!$K$26:$L$122,MATCH($F405&amp;"6komm",Административные!$K$26:$K$122,0),2),""))</f>
        <v/>
      </c>
      <c r="AO410" s="803"/>
      <c r="AP410" s="1741"/>
      <c r="AQ410" s="1741"/>
      <c r="AR410" s="1062" t="s">
        <v>2524</v>
      </c>
      <c r="AS410" s="1062"/>
      <c r="AT410" s="1062"/>
      <c r="AU410" s="1059"/>
      <c r="AV410" s="1059"/>
    </row>
    <row s="1834" customFormat="1" customHeight="1" ht="14.25">
      <c r="A411" s="1741"/>
      <c r="B411" s="1741"/>
      <c r="C411" s="1741"/>
      <c r="D411" s="1741"/>
      <c r="E411" s="695">
        <v>15</v>
      </c>
      <c r="F411" s="50" cm="1" t="str">
        <f t="array" ref="F411:F411">OFFSET(E411,-1,1)</f>
        <v>4</v>
      </c>
      <c r="G411" s="577" t="s">
        <v>1958</v>
      </c>
      <c r="H411" s="1741"/>
      <c r="I411" s="587" t="s">
        <v>2525</v>
      </c>
      <c r="J411" s="587"/>
      <c r="K411" s="587"/>
      <c r="L411" s="587"/>
      <c r="M411" s="587"/>
      <c r="N411" s="587"/>
      <c r="O411" s="587"/>
      <c r="P411" s="587"/>
      <c r="Q411" s="587"/>
      <c r="R411" s="587"/>
      <c r="S411" s="587"/>
      <c r="T411" s="465" cm="1" t="str">
        <f t="array" ref="T411:T411">T410</f>
        <v>true</v>
      </c>
      <c r="U411" s="1741"/>
      <c r="V411" s="1741"/>
      <c r="W411" s="1741"/>
      <c r="X411" s="1641"/>
      <c r="Y411" s="1741"/>
      <c r="Z411" s="1642"/>
      <c r="AA411" s="1741"/>
      <c r="AB411" s="807" t="s">
        <v>2526</v>
      </c>
      <c r="AC411" s="808" t="s">
        <v>2527</v>
      </c>
      <c r="AD411" s="814" t="s">
        <v>1514</v>
      </c>
      <c r="AE411" s="802">
        <f>_xlfn.SUMIFS(Административные!AE$25:AE$122,Административные!$F$25:$F$122,$F411,Административные!$G$25:$G$122,$G411)</f>
        <v>0</v>
      </c>
      <c r="AF411" s="802">
        <f>_xlfn.SUMIFS(Административные!AF$25:AF$122,Административные!$F$25:$F$122,$F411,Административные!$G$25:$G$122,$G411)</f>
        <v>0</v>
      </c>
      <c r="AG411" s="802">
        <f>_xlfn.SUMIFS(Административные!AG$25:AG$122,Административные!$F$25:$F$122,$F411,Административные!$G$25:$G$122,$G411)</f>
        <v>0</v>
      </c>
      <c r="AH411" s="802">
        <f>AG411-AF411</f>
        <v>0</v>
      </c>
      <c r="AI411" s="802">
        <f>_xlfn.SUMIFS(Административные!AH$25:AH$122,Административные!$F$25:$F$122,$F411,Административные!$G$25:$G$122,$G411)</f>
        <v>0</v>
      </c>
      <c r="AJ411" s="802">
        <f>_xlfn.SUMIFS(Административные!AI$25:AI$122,Административные!$F$25:$F$122,$F411,Административные!$G$25:$G$122,$G411)</f>
        <v>0</v>
      </c>
      <c r="AK411" s="802">
        <f>_xlfn.SUMIFS(Административные!AJ$25:AJ$122,Административные!$F$25:$F$122,$F411,Административные!$G$25:$G$122,$G411)</f>
        <v>0</v>
      </c>
      <c r="AL411" s="802">
        <f>IF(AI411=0,0,(AK411-AI411)/AI411*100)</f>
        <v>0</v>
      </c>
      <c r="AM411" s="803"/>
      <c r="AN411" s="910" t="str">
        <f>IF(_xlfn.IFERROR(INDEX(Административные!$K$26:$L$122,MATCH($F411&amp;"7komm",Административные!$K$26:$K$122,0),2),"")=0,"",_xlfn.IFERROR(INDEX(Административные!$K$26:$L$122,MATCH($F406&amp;"7komm",Административные!$K$26:$K$122,0),2),""))</f>
        <v/>
      </c>
      <c r="AO411" s="803"/>
      <c r="AP411" s="1741"/>
      <c r="AQ411" s="1741"/>
      <c r="AR411" s="1062" t="s">
        <v>2528</v>
      </c>
      <c r="AS411" s="1062"/>
      <c r="AT411" s="1062"/>
      <c r="AU411" s="1059"/>
      <c r="AV411" s="1059"/>
    </row>
    <row s="1834" customFormat="1" customHeight="1" ht="43.5">
      <c r="A412" s="1741"/>
      <c r="B412" s="1741"/>
      <c r="C412" s="1741"/>
      <c r="D412" s="1741"/>
      <c r="E412" s="695">
        <v>45</v>
      </c>
      <c r="F412" s="50" cm="1" t="str">
        <f t="array" ref="F412:F412">OFFSET(E412,-1,1)</f>
        <v>4</v>
      </c>
      <c r="G412" s="577" t="s">
        <v>1961</v>
      </c>
      <c r="H412" s="1741"/>
      <c r="I412" s="587" t="s">
        <v>2529</v>
      </c>
      <c r="J412" s="587"/>
      <c r="K412" s="587"/>
      <c r="L412" s="587"/>
      <c r="M412" s="587"/>
      <c r="N412" s="587"/>
      <c r="O412" s="587"/>
      <c r="P412" s="587"/>
      <c r="Q412" s="587"/>
      <c r="R412" s="587"/>
      <c r="S412" s="587"/>
      <c r="T412" s="465" cm="1" t="str">
        <f t="array" ref="T412:T412">T411</f>
        <v>true</v>
      </c>
      <c r="U412" s="1741"/>
      <c r="V412" s="1741"/>
      <c r="W412" s="1741"/>
      <c r="X412" s="1641"/>
      <c r="Y412" s="1741"/>
      <c r="Z412" s="1642"/>
      <c r="AA412" s="1741"/>
      <c r="AB412" s="807" t="s">
        <v>2530</v>
      </c>
      <c r="AC412" s="762" t="s">
        <v>1962</v>
      </c>
      <c r="AD412" s="814" t="s">
        <v>1514</v>
      </c>
      <c r="AE412" s="802">
        <f>_xlfn.SUMIFS(Административные!AE$25:AE$122,Административные!$F$25:$F$122,$F412,Административные!$G$25:$G$122,$G412)</f>
        <v>0</v>
      </c>
      <c r="AF412" s="802">
        <f>_xlfn.SUMIFS(Административные!AF$25:AF$122,Административные!$F$25:$F$122,$F412,Административные!$G$25:$G$122,$G412)</f>
        <v>0</v>
      </c>
      <c r="AG412" s="802">
        <f>_xlfn.SUMIFS(Административные!AG$25:AG$122,Административные!$F$25:$F$122,$F412,Административные!$G$25:$G$122,$G412)</f>
        <v>0</v>
      </c>
      <c r="AH412" s="802">
        <f>AG412-AF412</f>
        <v>0</v>
      </c>
      <c r="AI412" s="802">
        <f>_xlfn.SUMIFS(Административные!AH$25:AH$122,Административные!$F$25:$F$122,$F412,Административные!$G$25:$G$122,$G412)</f>
        <v>0</v>
      </c>
      <c r="AJ412" s="802">
        <f>_xlfn.SUMIFS(Административные!AI$25:AI$122,Административные!$F$25:$F$122,$F412,Административные!$G$25:$G$122,$G412)</f>
        <v>0</v>
      </c>
      <c r="AK412" s="802">
        <f>_xlfn.SUMIFS(Административные!AJ$25:AJ$122,Административные!$F$25:$F$122,$F412,Административные!$G$25:$G$122,$G412)</f>
        <v>0</v>
      </c>
      <c r="AL412" s="802">
        <f>IF(AI412=0,0,(AK412-AI412)/AI412*100)</f>
        <v>0</v>
      </c>
      <c r="AM412" s="803"/>
      <c r="AN412" s="910" t="str">
        <f>IF(_xlfn.IFERROR(INDEX(Административные!$K$26:$L$122,MATCH($F412&amp;"8komm",Административные!$K$26:$K$122,0),2),"")=0,"",_xlfn.IFERROR(INDEX(Административные!$K$26:$L$122,MATCH($F407&amp;"8komm",Административные!$K$26:$K$122,0),2),""))</f>
        <v/>
      </c>
      <c r="AO412" s="803"/>
      <c r="AP412" s="1741"/>
      <c r="AQ412" s="1741"/>
      <c r="AR412" s="1062" t="s">
        <v>2531</v>
      </c>
      <c r="AS412" s="1062"/>
      <c r="AT412" s="1062"/>
      <c r="AU412" s="1059"/>
      <c r="AV412" s="1059"/>
    </row>
    <row s="1834" customFormat="1" customHeight="1" ht="14.25">
      <c r="A413" s="1741"/>
      <c r="B413" s="1741"/>
      <c r="C413" s="1741"/>
      <c r="D413" s="1741"/>
      <c r="E413" s="695">
        <v>15</v>
      </c>
      <c r="F413" s="50" cm="1" t="str">
        <f t="array" ref="F413:F413">OFFSET(E413,-1,1)</f>
        <v>4</v>
      </c>
      <c r="G413" s="577" t="s">
        <v>1964</v>
      </c>
      <c r="H413" s="1741"/>
      <c r="I413" s="587" t="s">
        <v>2532</v>
      </c>
      <c r="J413" s="587"/>
      <c r="K413" s="587"/>
      <c r="L413" s="587"/>
      <c r="M413" s="587"/>
      <c r="N413" s="587"/>
      <c r="O413" s="587"/>
      <c r="P413" s="587"/>
      <c r="Q413" s="587"/>
      <c r="R413" s="587"/>
      <c r="S413" s="587"/>
      <c r="T413" s="465" cm="1" t="str">
        <f t="array" ref="T413:T413">T412</f>
        <v>true</v>
      </c>
      <c r="U413" s="1741"/>
      <c r="V413" s="1741"/>
      <c r="W413" s="1741"/>
      <c r="X413" s="1641"/>
      <c r="Y413" s="1741"/>
      <c r="Z413" s="1642"/>
      <c r="AA413" s="1741"/>
      <c r="AB413" s="807" t="s">
        <v>2533</v>
      </c>
      <c r="AC413" s="808" t="s">
        <v>1965</v>
      </c>
      <c r="AD413" s="814" t="s">
        <v>1514</v>
      </c>
      <c r="AE413" s="802">
        <f>_xlfn.SUMIFS(Административные!AE$25:AE$122,Административные!$F$25:$F$122,$F413,Административные!$G$25:$G$122,$G413)</f>
        <v>0</v>
      </c>
      <c r="AF413" s="802">
        <f>_xlfn.SUMIFS(Административные!AF$25:AF$122,Административные!$F$25:$F$122,$F413,Административные!$G$25:$G$122,$G413)</f>
        <v>0</v>
      </c>
      <c r="AG413" s="802">
        <f>_xlfn.SUMIFS(Административные!AG$25:AG$122,Административные!$F$25:$F$122,$F413,Административные!$G$25:$G$122,$G413)</f>
        <v>0</v>
      </c>
      <c r="AH413" s="802">
        <f>AG413-AF413</f>
        <v>0</v>
      </c>
      <c r="AI413" s="802">
        <f>_xlfn.SUMIFS(Административные!AH$25:AH$122,Административные!$F$25:$F$122,$F413,Административные!$G$25:$G$122,$G413)</f>
        <v>0</v>
      </c>
      <c r="AJ413" s="1116">
        <f>_xlfn.SUMIFS(Административные!AI$25:AI$122,Административные!$F$25:$F$122,$F413,Административные!$G$25:$G$122,$G413)</f>
        <v>0</v>
      </c>
      <c r="AK413" s="1116">
        <f>_xlfn.SUMIFS(Административные!AJ$25:AJ$122,Административные!$F$25:$F$122,$F413,Административные!$G$25:$G$122,$G413)</f>
        <v>0</v>
      </c>
      <c r="AL413" s="802">
        <f>IF(AI413=0,0,(AK413-AI413)/AI413*100)</f>
        <v>0</v>
      </c>
      <c r="AM413" s="803"/>
      <c r="AN413" s="910" t="str">
        <f>IF(_xlfn.IFERROR(INDEX(Административные!$K$26:$L$122,MATCH($F413&amp;"9komm",Административные!$K$26:$K$122,0),2),"")=0,"",_xlfn.IFERROR(INDEX(Административные!$K$26:$L$122,MATCH($F408&amp;"9komm",Административные!$K$26:$K$122,0),2),""))</f>
        <v/>
      </c>
      <c r="AO413" s="803"/>
      <c r="AP413" s="1741"/>
      <c r="AQ413" s="1741"/>
      <c r="AR413" s="1062" t="s">
        <v>2534</v>
      </c>
      <c r="AS413" s="1062"/>
      <c r="AT413" s="1062"/>
      <c r="AU413" s="1059"/>
      <c r="AV413" s="1059"/>
    </row>
    <row s="7336" customFormat="1" customHeight="1" ht="14.25">
      <c r="A414" s="588"/>
      <c r="B414" s="588">
        <f>STATUS_GO="да"</f>
        <v>1</v>
      </c>
      <c r="C414" s="588"/>
      <c r="D414" s="588"/>
      <c r="E414" s="697">
        <v>15</v>
      </c>
      <c r="F414" s="50" cm="1" t="str">
        <f t="array" ref="F414:F414">OFFSET(E414,-1,1)</f>
        <v>4</v>
      </c>
      <c r="G414" s="588"/>
      <c r="H414" s="588"/>
      <c r="I414" s="698" t="s">
        <v>336</v>
      </c>
      <c r="J414" s="698"/>
      <c r="K414" s="698"/>
      <c r="L414" s="698"/>
      <c r="M414" s="698"/>
      <c r="N414" s="698"/>
      <c r="O414" s="698"/>
      <c r="P414" s="698"/>
      <c r="Q414" s="698"/>
      <c r="R414" s="698"/>
      <c r="S414" s="698"/>
      <c r="T414" s="465" cm="1" t="str">
        <f t="array" ref="T414:T414">T413</f>
        <v>true</v>
      </c>
      <c r="U414" s="588"/>
      <c r="V414" s="588"/>
      <c r="W414" s="588"/>
      <c r="X414" s="1641"/>
      <c r="Y414" s="588"/>
      <c r="Z414" s="1642"/>
      <c r="AA414" s="588"/>
      <c r="AB414" s="804" t="s">
        <v>295</v>
      </c>
      <c r="AC414" s="800" t="s">
        <v>2535</v>
      </c>
      <c r="AD414" s="812" t="s">
        <v>1514</v>
      </c>
      <c r="AE414" s="801">
        <f>_xlfn.SUMIFS('Сбытовые расходы ГО'!AE$25:AE$87,'Сбытовые расходы ГО'!$F$25:$F$87,$F414,'Сбытовые расходы ГО'!$G$25:$G$87,"l0")</f>
        <v>0</v>
      </c>
      <c r="AF414" s="801">
        <f>_xlfn.SUMIFS('Сбытовые расходы ГО'!AF$25:AF$87,'Сбытовые расходы ГО'!$F$25:$F$87,$F414,'Сбытовые расходы ГО'!$G$25:$G$87,"l0")</f>
        <v>0</v>
      </c>
      <c r="AG414" s="801">
        <f>_xlfn.SUMIFS('Сбытовые расходы ГО'!AG$25:AG$87,'Сбытовые расходы ГО'!$F$25:$F$87,$F414,'Сбытовые расходы ГО'!$G$25:$G$87,"l0")</f>
        <v>0</v>
      </c>
      <c r="AH414" s="801">
        <f>AG414-AF414</f>
        <v>0</v>
      </c>
      <c r="AI414" s="801">
        <f>_xlfn.SUMIFS('Сбытовые расходы ГО'!AH$25:AH$87,'Сбытовые расходы ГО'!$F$25:$F$87,$F414,'Сбытовые расходы ГО'!$G$25:$G$87,"l0")</f>
        <v>0</v>
      </c>
      <c r="AJ414" s="801">
        <f>_xlfn.SUMIFS('Сбытовые расходы ГО'!AI$25:AI$87,'Сбытовые расходы ГО'!$F$25:$F$87,$F414,'Сбытовые расходы ГО'!$G$25:$G$87,"l0")</f>
        <v>0</v>
      </c>
      <c r="AK414" s="801">
        <f>_xlfn.SUMIFS('Сбытовые расходы ГО'!AJ$25:AJ$87,'Сбытовые расходы ГО'!$F$25:$F$87,$F414,'Сбытовые расходы ГО'!$G$25:$G$87,"l0")</f>
        <v>0</v>
      </c>
      <c r="AL414" s="801">
        <f>IF(AI414=0,0,(AK414-AI414)/AI414*100)</f>
        <v>0</v>
      </c>
      <c r="AM414" s="806"/>
      <c r="AN414" s="910"/>
      <c r="AO414" s="806"/>
      <c r="AP414" s="588"/>
      <c r="AQ414" s="588"/>
      <c r="AR414" s="1063" t="s">
        <v>2536</v>
      </c>
      <c r="AS414" s="1063"/>
      <c r="AT414" s="1063"/>
      <c r="AU414" s="697"/>
      <c r="AV414" s="697"/>
    </row>
    <row s="7337" customFormat="1" customHeight="1" ht="14.25">
      <c r="A415" s="588"/>
      <c r="B415" s="588"/>
      <c r="C415" s="588"/>
      <c r="D415" s="588"/>
      <c r="E415" s="697">
        <v>15</v>
      </c>
      <c r="F415" s="50" cm="1" t="str">
        <f t="array" ref="F415:F415">OFFSET(E415,-1,1)</f>
        <v>4</v>
      </c>
      <c r="G415" s="588"/>
      <c r="H415" s="588"/>
      <c r="I415" s="698" t="s">
        <v>335</v>
      </c>
      <c r="J415" s="698"/>
      <c r="K415" s="698"/>
      <c r="L415" s="698"/>
      <c r="M415" s="698"/>
      <c r="N415" s="698"/>
      <c r="O415" s="698"/>
      <c r="P415" s="698"/>
      <c r="Q415" s="698"/>
      <c r="R415" s="698"/>
      <c r="S415" s="698"/>
      <c r="T415" s="465" cm="1" t="str">
        <f t="array" ref="T415:T415">T414</f>
        <v>true</v>
      </c>
      <c r="U415" s="588"/>
      <c r="V415" s="588"/>
      <c r="W415" s="588"/>
      <c r="X415" s="1641"/>
      <c r="Y415" s="588"/>
      <c r="Z415" s="1642"/>
      <c r="AA415" s="588"/>
      <c r="AB415" s="804" t="s">
        <v>443</v>
      </c>
      <c r="AC415" s="589" t="s">
        <v>2537</v>
      </c>
      <c r="AD415" s="812" t="s">
        <v>1514</v>
      </c>
      <c r="AE415" s="801">
        <f>_xlfn.SUMIFS(Амортизация!AE$25:AE$272,Амортизация!$F$25:$F$272,$F415,Амортизация!$AC$25:$AC$272,"Сумма амортизационных отчислений")</f>
        <v>0</v>
      </c>
      <c r="AF415" s="801">
        <f>_xlfn.SUMIFS(Амортизация!AF$25:AF$272,Амортизация!$F$25:$F$272,$F415,Амортизация!$AC$25:$AC$272,"Сумма амортизационных отчислений")</f>
        <v>0</v>
      </c>
      <c r="AG415" s="801">
        <f>_xlfn.SUMIFS(Амортизация!AG$25:AG$272,Амортизация!$F$25:$F$272,$F415,Амортизация!$AC$25:$AC$272,"Сумма амортизационных отчислений")</f>
        <v>0</v>
      </c>
      <c r="AH415" s="801">
        <f>AG415-AF415</f>
        <v>0</v>
      </c>
      <c r="AI415" s="801">
        <f>_xlfn.SUMIFS(Амортизация!AH$25:AH$272,Амортизация!$F$25:$F$272,$F415,Амортизация!$AC$25:$AC$272,"Сумма амортизационных отчислений")</f>
        <v>0</v>
      </c>
      <c r="AJ415" s="801">
        <f>_xlfn.SUMIFS(Амортизация!AI$25:AI$272,Амортизация!$F$25:$F$272,$F415,Амортизация!$AC$25:$AC$272,"Сумма амортизационных отчислений")</f>
        <v>0</v>
      </c>
      <c r="AK415" s="801">
        <f>_xlfn.SUMIFS(Амортизация!AS$25:AS$272,Амортизация!$F$25:$F$272,$F415,Амортизация!$AC$25:$AC$272,"Сумма амортизационных отчислений")</f>
        <v>0</v>
      </c>
      <c r="AL415" s="801">
        <f>IF(AI415=0,0,(AK415-AI415)/AI415*100)</f>
        <v>0</v>
      </c>
      <c r="AM415" s="806"/>
      <c r="AN415" s="910" t="str">
        <f>IF(_xlfn.IFERROR(INDEX(Амортизация!$K$26:$L$272,MATCH($F415&amp;"komm",Амортизация!$K$26:$K$675,0),2),"")=0,"",_xlfn.IFERROR(INDEX(Амортизация!$K$26:$L$272,MATCH($F415&amp;"komm",Амортизация!$K$26:$K$675,0),2),""))</f>
        <v/>
      </c>
      <c r="AO415" s="806"/>
      <c r="AP415" s="588"/>
      <c r="AQ415" s="588"/>
      <c r="AR415" s="1063" t="s">
        <v>1960</v>
      </c>
      <c r="AS415" s="1063"/>
      <c r="AT415" s="1063"/>
      <c r="AU415" s="697"/>
      <c r="AV415" s="697"/>
    </row>
    <row s="1834" customFormat="1" customHeight="1" ht="14.25">
      <c r="A416" s="1741"/>
      <c r="B416" s="1741"/>
      <c r="C416" s="1741"/>
      <c r="D416" s="1741"/>
      <c r="E416" s="695">
        <v>15</v>
      </c>
      <c r="F416" s="50" cm="1" t="str">
        <f t="array" ref="F416:F416">OFFSET(E416,-1,1)</f>
        <v>4</v>
      </c>
      <c r="G416" s="1741"/>
      <c r="H416" s="1741"/>
      <c r="I416" s="587" t="s">
        <v>1263</v>
      </c>
      <c r="J416" s="587"/>
      <c r="K416" s="587"/>
      <c r="L416" s="587"/>
      <c r="M416" s="587"/>
      <c r="N416" s="587"/>
      <c r="O416" s="587"/>
      <c r="P416" s="587"/>
      <c r="Q416" s="587"/>
      <c r="R416" s="587"/>
      <c r="S416" s="587"/>
      <c r="T416" s="465" cm="1" t="str">
        <f t="array" ref="T416:T416">T415</f>
        <v>true</v>
      </c>
      <c r="U416" s="1741"/>
      <c r="V416" s="1741"/>
      <c r="W416" s="1741"/>
      <c r="X416" s="1641"/>
      <c r="Y416" s="1741"/>
      <c r="Z416" s="1642"/>
      <c r="AA416" s="1741"/>
      <c r="AB416" s="807" t="s">
        <v>1391</v>
      </c>
      <c r="AC416" s="813" t="s">
        <v>2538</v>
      </c>
      <c r="AD416" s="814" t="s">
        <v>1514</v>
      </c>
      <c r="AE416" s="7168">
        <f>_xlfn.SUMIFS('ИП + источники'!AF$27:AF$203,'ИП + источники'!$F$27:$F$203,$F416,'ИП + источники'!$AC$27:$AC$203,"Амортизационные отчисления")+_xlfn.SUMIFS('ИП + источники'!AF$27:AF$203,'ИП + источники'!$F$27:$F$203,$F416,'ИП + источники'!$AC$27:$AC$203,"погашение займов и кредитов из амортизации")</f>
        <v>0</v>
      </c>
      <c r="AF416" s="7168">
        <f>_xlfn.SUMIFS('ИП + источники'!AG$27:AG$203,'ИП + источники'!$F$27:$F$203,$F416,'ИП + источники'!$AC$27:$AC$203,"Амортизационные отчисления")+_xlfn.SUMIFS('ИП + источники'!AG$27:AG$203,'ИП + источники'!$F$27:$F$203,$F416,'ИП + источники'!$AC$27:$AC$203,"погашение займов и кредитов из амортизации")</f>
        <v>0</v>
      </c>
      <c r="AG416" s="7168">
        <f>_xlfn.SUMIFS('ИП + источники'!AH$27:AH$203,'ИП + источники'!$F$27:$F$203,$F416,'ИП + источники'!$AC$27:$AC$203,"Амортизационные отчисления")+_xlfn.SUMIFS('ИП + источники'!AH$27:AH$203,'ИП + источники'!$F$27:$F$203,$F416,'ИП + источники'!$AC$27:$AC$203,"погашение займов и кредитов из амортизации")</f>
        <v>0</v>
      </c>
      <c r="AH416" s="802">
        <f>AG416-AF416</f>
        <v>0</v>
      </c>
      <c r="AI416" s="7168">
        <f>_xlfn.SUMIFS('ИП + источники'!AH$27:AH$203,'ИП + источники'!$F$27:$F$203,$F416,'ИП + источники'!$AC$27:$AC$203,"Амортизационные отчисления")+_xlfn.SUMIFS('ИП + источники'!AH$27:AH$203,'ИП + источники'!$F$27:$F$203,$F416,'ИП + источники'!$AC$27:$AC$203,"погашение займов и кредитов из амортизации")</f>
        <v>0</v>
      </c>
      <c r="AJ416" s="809">
        <f>_xlfn.SUMIFS('ИП + источники'!AI$27:AI$203,'ИП + источники'!$F$27:$F$203,$F416,'ИП + источники'!$AC$27:$AC$203,"Амортизационные отчисления")+_xlfn.SUMIFS('ИП + источники'!AI$27:AI$203,'ИП + источники'!$F$27:$F$203,$F416,'ИП + источники'!$AC$27:$AC$203,"погашение займов и кредитов из амортизации")</f>
        <v>0</v>
      </c>
      <c r="AK416" s="809">
        <f>_xlfn.SUMIFS('ИП + источники'!AJ$27:AJ$203,'ИП + источники'!$F$27:$F$203,$F416,'ИП + источники'!$AC$27:$AC$203,"Амортизационные отчисления")+_xlfn.SUMIFS('ИП + источники'!AJ$27:AJ$203,'ИП + источники'!$F$27:$F$203,$F416,'ИП + источники'!$AC$27:$AC$203,"погашение займов и кредитов из амортизации")</f>
        <v>0</v>
      </c>
      <c r="AL416" s="802">
        <f>IF(AI416=0,0,(AK416-AI416)/AI416*100)</f>
        <v>0</v>
      </c>
      <c r="AM416" s="803"/>
      <c r="AN416" s="803"/>
      <c r="AO416" s="803"/>
      <c r="AP416" s="1741"/>
      <c r="AQ416" s="1741"/>
      <c r="AR416" s="1062" t="s">
        <v>2539</v>
      </c>
      <c r="AS416" s="1062"/>
      <c r="AT416" s="1062"/>
      <c r="AU416" s="1059"/>
      <c r="AV416" s="1059"/>
    </row>
    <row s="7338" customFormat="1" customHeight="1" ht="21.75">
      <c r="A417" s="588"/>
      <c r="B417" s="588"/>
      <c r="C417" s="588"/>
      <c r="D417" s="588"/>
      <c r="E417" s="697">
        <v>22.5</v>
      </c>
      <c r="F417" s="50" cm="1" t="str">
        <f t="array" ref="F417:F417">OFFSET(E417,-1,1)</f>
        <v>4</v>
      </c>
      <c r="G417" s="588"/>
      <c r="H417" s="588"/>
      <c r="I417" s="698" t="s">
        <v>1225</v>
      </c>
      <c r="J417" s="698"/>
      <c r="K417" s="698"/>
      <c r="L417" s="698"/>
      <c r="M417" s="698"/>
      <c r="N417" s="698"/>
      <c r="O417" s="698"/>
      <c r="P417" s="698"/>
      <c r="Q417" s="698"/>
      <c r="R417" s="698"/>
      <c r="S417" s="698"/>
      <c r="T417" s="465" cm="1" t="str">
        <f t="array" ref="T417:T417">T416</f>
        <v>true</v>
      </c>
      <c r="U417" s="588"/>
      <c r="V417" s="588"/>
      <c r="W417" s="588"/>
      <c r="X417" s="1641"/>
      <c r="Y417" s="588"/>
      <c r="Z417" s="1642"/>
      <c r="AA417" s="588"/>
      <c r="AB417" s="804" t="s">
        <v>446</v>
      </c>
      <c r="AC417" s="589" t="s">
        <v>2540</v>
      </c>
      <c r="AD417" s="812" t="s">
        <v>1514</v>
      </c>
      <c r="AE417" s="801">
        <f>_xlfn.SUMIFS(Аренда!AE$25:AE$77,Аренда!$F$25:$F$77,$F417,Аренда!$G$25:$G$77,"Арендная и концессионная плата, лизинговые платежи")</f>
        <v>0</v>
      </c>
      <c r="AF417" s="801">
        <f>_xlfn.SUMIFS(Аренда!AF$25:AF$77,Аренда!$F$25:$F$77,$F417,Аренда!$G$25:$G$77,"Арендная и концессионная плата, лизинговые платежи")</f>
        <v>0</v>
      </c>
      <c r="AG417" s="801">
        <f>_xlfn.SUMIFS(Аренда!AG$25:AG$77,Аренда!$F$25:$F$77,$F417,Аренда!$G$25:$G$77,"Арендная и концессионная плата, лизинговые платежи")</f>
        <v>0</v>
      </c>
      <c r="AH417" s="801">
        <f>AG417-AF417</f>
        <v>0</v>
      </c>
      <c r="AI417" s="801">
        <f>_xlfn.SUMIFS(Аренда!AH$25:AH$77,Аренда!$F$25:$F$77,$F417,Аренда!$G$25:$G$77,"Арендная и концессионная плата, лизинговые платежи")</f>
        <v>0</v>
      </c>
      <c r="AJ417" s="801">
        <f>_xlfn.SUMIFS(Аренда!AI$25:AI$77,Аренда!$F$25:$F$77,$F417,Аренда!$G$25:$G$77,"Арендная и концессионная плата, лизинговые платежи")</f>
        <v>972.24</v>
      </c>
      <c r="AK417" s="801">
        <f>_xlfn.SUMIFS(Аренда!AS$25:AS$77,Аренда!$F$25:$F$77,$F417,Аренда!$G$25:$G$77,"Арендная и концессионная плата, лизинговые платежи")</f>
        <v>972.24</v>
      </c>
      <c r="AL417" s="801">
        <f>IF(AI417=0,0,(AK417-AI417)/AI417*100)</f>
        <v>0</v>
      </c>
      <c r="AM417" s="806"/>
      <c r="AN417" s="910" t="str">
        <f>IF(_xlfn.IFERROR(INDEX(Аренда!$K$26:$L$77,MATCH($F417&amp;"komm",Аренда!$K$26:$K$77,0),2),"")=0,"",_xlfn.IFERROR(INDEX(Аренда!$K$26:$L$77,MATCH($F417&amp;"komm",Аренда!$K$26:$K$77,0),2),""))</f>
        <v>В соответствии с п.п.3 п.49 Методических указаний 1746-э расходы на арендную плату и лизинговые платежи, размер которых определяется с учетом требований, предусмотренных пунктом 29 настоящих Методических указаний.​</v>
      </c>
      <c r="AO417" s="806"/>
      <c r="AP417" s="588"/>
      <c r="AQ417" s="588"/>
      <c r="AR417" s="1063" t="s">
        <v>2541</v>
      </c>
      <c r="AS417" s="1063"/>
      <c r="AT417" s="1063"/>
      <c r="AU417" s="697"/>
      <c r="AV417" s="697"/>
    </row>
    <row s="7339" customFormat="1" customHeight="1" ht="14.25">
      <c r="A418" s="588"/>
      <c r="B418" s="588"/>
      <c r="C418" s="588"/>
      <c r="D418" s="588"/>
      <c r="E418" s="697">
        <v>15</v>
      </c>
      <c r="F418" s="50" cm="1" t="str">
        <f t="array" ref="F418:F418">OFFSET(E418,-1,1)</f>
        <v>4</v>
      </c>
      <c r="G418" s="588"/>
      <c r="H418" s="588"/>
      <c r="I418" s="698" t="s">
        <v>1228</v>
      </c>
      <c r="J418" s="698"/>
      <c r="K418" s="698"/>
      <c r="L418" s="698"/>
      <c r="M418" s="698"/>
      <c r="N418" s="698"/>
      <c r="O418" s="698"/>
      <c r="P418" s="698"/>
      <c r="Q418" s="698"/>
      <c r="R418" s="698"/>
      <c r="S418" s="698"/>
      <c r="T418" s="465" cm="1" t="str">
        <f t="array" ref="T418:T418">T417</f>
        <v>true</v>
      </c>
      <c r="U418" s="588"/>
      <c r="V418" s="588"/>
      <c r="W418" s="588"/>
      <c r="X418" s="1641"/>
      <c r="Y418" s="588"/>
      <c r="Z418" s="1642"/>
      <c r="AA418" s="588"/>
      <c r="AB418" s="804" t="s">
        <v>449</v>
      </c>
      <c r="AC418" s="589" t="s">
        <v>2542</v>
      </c>
      <c r="AD418" s="812" t="s">
        <v>1514</v>
      </c>
      <c r="AE418" s="801">
        <f>_xlfn.SUMIFS(Налоги!AE$25:AE$101,Налоги!$F$25:$F$101,$F418,Налоги!$AC$25:$AC$101,"Налоги и платежи, относимые на указанный вид деятельности")</f>
        <v>0</v>
      </c>
      <c r="AF418" s="801">
        <f>_xlfn.SUMIFS(Налоги!AF$25:AF$101,Налоги!$F$25:$F$101,$F418,Налоги!$AC$25:$AC$101,"Налоги и платежи, относимые на указанный вид деятельности")</f>
        <v>0</v>
      </c>
      <c r="AG418" s="801">
        <f>_xlfn.SUMIFS(Налоги!AG$25:AG$101,Налоги!$F$25:$F$101,$F418,Налоги!$AC$25:$AC$101,"Налоги и платежи, относимые на указанный вид деятельности")</f>
        <v>0</v>
      </c>
      <c r="AH418" s="801">
        <f>AG418-AF418</f>
        <v>0</v>
      </c>
      <c r="AI418" s="801">
        <f>_xlfn.SUMIFS(Налоги!AH$25:AH$101,Налоги!$F$25:$F$101,$F418,Налоги!$AC$25:$AC$101,"Налоги и платежи, относимые на указанный вид деятельности")</f>
        <v>0</v>
      </c>
      <c r="AJ418" s="801">
        <f>_xlfn.SUMIFS(Налоги!AI$25:AI$101,Налоги!$F$25:$F$101,$F418,Налоги!$AC$25:$AC$101,"Налоги и платежи, относимые на указанный вид деятельности")</f>
        <v>375.984184342857</v>
      </c>
      <c r="AK418" s="801">
        <f>_xlfn.SUMIFS(Налоги!AS$25:AS$101,Налоги!$F$25:$F$101,$F418,Налоги!$AC$25:$AC$101,"Налоги и платежи, относимые на указанный вид деятельности")</f>
        <v>375.984184342857</v>
      </c>
      <c r="AL418" s="801">
        <f>IF(AI418=0,0,(AK418-AI418)/AI418*100)</f>
        <v>0</v>
      </c>
      <c r="AM418" s="806"/>
      <c r="AN418" s="910" t="str">
        <f>IF(_xlfn.IFERROR(INDEX(Налоги!$K$26:$L$101,MATCH($F418&amp;"komm",Налоги!$K$26:$K$101,0),2),"")=0,"",_xlfn.IFERROR(INDEX(Налоги!$K$26:$L$101,MATCH($F418&amp;"komm",Налоги!$K$26:$K$101,0),2),""))</f>
        <v>В соответствии с п.п. 2 п. 49 Методических указаний 1746-э.</v>
      </c>
      <c r="AO418" s="806"/>
      <c r="AP418" s="588"/>
      <c r="AQ418" s="588"/>
      <c r="AR418" s="1063" t="s">
        <v>1999</v>
      </c>
      <c r="AS418" s="1063"/>
      <c r="AT418" s="1063"/>
      <c r="AU418" s="697"/>
      <c r="AV418" s="697"/>
    </row>
    <row s="7340" customFormat="1" customHeight="1" ht="14.25">
      <c r="A419" s="588"/>
      <c r="B419" s="588"/>
      <c r="C419" s="588"/>
      <c r="D419" s="588"/>
      <c r="E419" s="697">
        <v>15</v>
      </c>
      <c r="F419" s="50" cm="1" t="str">
        <f t="array" ref="F419:F419">OFFSET(E419,-1,1)</f>
        <v>4</v>
      </c>
      <c r="G419" s="588"/>
      <c r="H419" s="588"/>
      <c r="I419" s="698" t="s">
        <v>1275</v>
      </c>
      <c r="J419" s="698"/>
      <c r="K419" s="698"/>
      <c r="L419" s="698"/>
      <c r="M419" s="698"/>
      <c r="N419" s="698"/>
      <c r="O419" s="698"/>
      <c r="P419" s="698"/>
      <c r="Q419" s="698"/>
      <c r="R419" s="698"/>
      <c r="S419" s="698"/>
      <c r="T419" s="465" cm="1" t="str">
        <f t="array" ref="T419:T419">T418</f>
        <v>true</v>
      </c>
      <c r="U419" s="588"/>
      <c r="V419" s="588"/>
      <c r="W419" s="588"/>
      <c r="X419" s="1641"/>
      <c r="Y419" s="588"/>
      <c r="Z419" s="1642"/>
      <c r="AA419" s="588"/>
      <c r="AB419" s="804" t="s">
        <v>452</v>
      </c>
      <c r="AC419" s="589" t="s">
        <v>2543</v>
      </c>
      <c r="AD419" s="590" t="s">
        <v>1514</v>
      </c>
      <c r="AE419" s="788">
        <f>AE420+AE421+AE422</f>
        <v>0</v>
      </c>
      <c r="AF419" s="788">
        <f>AF420+AF421+AF422</f>
        <v>0</v>
      </c>
      <c r="AG419" s="788">
        <f>AG420+AG421+AG422</f>
        <v>0</v>
      </c>
      <c r="AH419" s="788">
        <f>AG419-AF419</f>
        <v>0</v>
      </c>
      <c r="AI419" s="788">
        <f>AI420+AI421+AI422</f>
        <v>0</v>
      </c>
      <c r="AJ419" s="788">
        <f>AJ420+AJ421+AJ422</f>
        <v>0</v>
      </c>
      <c r="AK419" s="788">
        <f>AK420+AK421+AK422</f>
        <v>0</v>
      </c>
      <c r="AL419" s="801">
        <f>IF(AI419=0,0,(AK419-AI419)/AI419*100)</f>
        <v>0</v>
      </c>
      <c r="AM419" s="806"/>
      <c r="AN419" s="910"/>
      <c r="AO419" s="806"/>
      <c r="AP419" s="588"/>
      <c r="AQ419" s="588"/>
      <c r="AR419" s="1063" t="s">
        <v>2242</v>
      </c>
      <c r="AS419" s="1063"/>
      <c r="AT419" s="1063"/>
      <c r="AU419" s="697"/>
      <c r="AV419" s="697"/>
    </row>
    <row s="1834" customFormat="1" customHeight="1" ht="14.25">
      <c r="A420" s="1741"/>
      <c r="B420" s="1741"/>
      <c r="C420" s="1741"/>
      <c r="D420" s="1741"/>
      <c r="E420" s="695">
        <v>15</v>
      </c>
      <c r="F420" s="50" cm="1" t="str">
        <f t="array" ref="F420:F420">OFFSET(E420,-1,1)</f>
        <v>4</v>
      </c>
      <c r="G420" s="1741"/>
      <c r="H420" s="1741"/>
      <c r="I420" s="587" t="s">
        <v>1278</v>
      </c>
      <c r="J420" s="587"/>
      <c r="K420" s="587"/>
      <c r="L420" s="587"/>
      <c r="M420" s="587"/>
      <c r="N420" s="587"/>
      <c r="O420" s="587"/>
      <c r="P420" s="587"/>
      <c r="Q420" s="587"/>
      <c r="R420" s="587"/>
      <c r="S420" s="587"/>
      <c r="T420" s="465" cm="1" t="str">
        <f t="array" ref="T420:T420">T419</f>
        <v>true</v>
      </c>
      <c r="U420" s="1741"/>
      <c r="V420" s="1741"/>
      <c r="W420" s="1741"/>
      <c r="X420" s="1641"/>
      <c r="Y420" s="1741"/>
      <c r="Z420" s="1642"/>
      <c r="AA420" s="1741"/>
      <c r="AB420" s="807" t="s">
        <v>1301</v>
      </c>
      <c r="AC420" s="813" t="s">
        <v>2544</v>
      </c>
      <c r="AD420" s="814" t="s">
        <v>1514</v>
      </c>
      <c r="AE420" s="7168">
        <f>_xlfn.SUMIFS('ИП + источники'!AF$26:AF$203,'ИП + источники'!$F$26:$F$203,$F420,'ИП + источники'!$AC$26:$AC$203,"погашение займов и кредитов из нормативной прибыли")+_xlfn.SUMIFS('ИП + источники'!AF$26:AF$203,'ИП + источники'!$F$26:$F$203,$F420,'ИП + источники'!$AC$26:$AC$203,"уплата процентов по кредитам из нормативной прибыли")</f>
        <v>0</v>
      </c>
      <c r="AF420" s="7168">
        <f>_xlfn.SUMIFS('ИП + источники'!AG$26:AG$203,'ИП + источники'!$F$26:$F$203,$F420,'ИП + источники'!$AC$26:$AC$203,"погашение займов и кредитов из нормативной прибыли")+_xlfn.SUMIFS('ИП + источники'!AG$26:AG$203,'ИП + источники'!$F$26:$F$203,$F420,'ИП + источники'!$AC$26:$AC$203,"уплата процентов по кредитам из нормативной прибыли")</f>
        <v>0</v>
      </c>
      <c r="AG420" s="7168">
        <f>_xlfn.SUMIFS('ИП + источники'!AH$26:AH$203,'ИП + источники'!$F$26:$F$203,$F420,'ИП + источники'!$AC$26:$AC$203,"погашение займов и кредитов из нормативной прибыли")+_xlfn.SUMIFS('ИП + источники'!AH$26:AH$203,'ИП + источники'!$F$26:$F$203,$F420,'ИП + источники'!$AC$26:$AC$203,"уплата процентов по кредитам из нормативной прибыли")</f>
        <v>0</v>
      </c>
      <c r="AH420" s="802">
        <f>AG420-AF420</f>
        <v>0</v>
      </c>
      <c r="AI420" s="7168">
        <f>_xlfn.SUMIFS('ИП + источники'!AJ$26:AJ$203,'ИП + источники'!$F$26:$F$203,$F420,'ИП + источники'!$AC$26:$AC$203,"погашение займов и кредитов из нормативной прибыли")+_xlfn.SUMIFS('ИП + источники'!AJ$26:AJ$203,'ИП + источники'!$F$26:$F$203,$F420,'ИП + источники'!$AC$26:$AC$203,"уплата процентов по кредитам из нормативной прибыли")</f>
        <v>0</v>
      </c>
      <c r="AJ420" s="809">
        <f>_xlfn.SUMIFS('ИП + источники'!AK$26:AK$203,'ИП + источники'!$F$26:$F$203,$F420,'ИП + источники'!$AC$26:$AC$203,"погашение займов и кредитов из нормативной прибыли")+_xlfn.SUMIFS('ИП + источники'!AK$26:AK$203,'ИП + источники'!$F$26:$F$203,$F420,'ИП + источники'!$AC$26:$AC$203,"уплата процентов по кредитам из нормативной прибыли")</f>
        <v>0</v>
      </c>
      <c r="AK420" s="809">
        <f>_xlfn.SUMIFS('ИП + источники'!AU$26:AU$203,'ИП + источники'!$F$26:$F$203,$F420,'ИП + источники'!$AC$26:$AC$203,"погашение займов и кредитов из нормативной прибыли")+_xlfn.SUMIFS('ИП + источники'!AU$26:AU$203,'ИП + источники'!$F$26:$F$203,$F420,'ИП + источники'!$AC$26:$AC$203,"уплата процентов по кредитам из нормативной прибыли")</f>
        <v>0</v>
      </c>
      <c r="AL420" s="802">
        <f>IF(AI420=0,0,(AK420-AI420)/AI420*100)</f>
        <v>0</v>
      </c>
      <c r="AM420" s="803"/>
      <c r="AN420" s="910" t="str">
        <f>IF(_xlfn.IFERROR(INDEX('ИП + источники'!$K$57:$L$203,MATCH($F420&amp;"1komm",'ИП + источники'!$K$57:$K$203,0),2),"")=0,"",_xlfn.IFERROR(INDEX('ИП + источники'!$K$57:$L$203,MATCH($F420&amp;"1komm",'ИП + источники'!$K$57:$K$203,0),2),""))</f>
        <v/>
      </c>
      <c r="AO420" s="803"/>
      <c r="AP420" s="1741"/>
      <c r="AQ420" s="1741"/>
      <c r="AR420" s="1062" t="s">
        <v>1991</v>
      </c>
      <c r="AS420" s="1062"/>
      <c r="AT420" s="1062"/>
      <c r="AU420" s="1059"/>
      <c r="AV420" s="1059"/>
    </row>
    <row s="1834" customFormat="1" customHeight="1" ht="14.25">
      <c r="A421" s="1741"/>
      <c r="B421" s="1741"/>
      <c r="C421" s="1741"/>
      <c r="D421" s="1741"/>
      <c r="E421" s="695">
        <v>15</v>
      </c>
      <c r="F421" s="50" cm="1" t="str">
        <f t="array" ref="F421:F421">OFFSET(E421,-1,1)</f>
        <v>4</v>
      </c>
      <c r="G421" s="1741"/>
      <c r="H421" s="1741"/>
      <c r="I421" s="587" t="s">
        <v>1282</v>
      </c>
      <c r="J421" s="587"/>
      <c r="K421" s="587"/>
      <c r="L421" s="587"/>
      <c r="M421" s="587"/>
      <c r="N421" s="587"/>
      <c r="O421" s="587"/>
      <c r="P421" s="587"/>
      <c r="Q421" s="587"/>
      <c r="R421" s="587"/>
      <c r="S421" s="587"/>
      <c r="T421" s="465" cm="1" t="str">
        <f t="array" ref="T421:T421">T420</f>
        <v>true</v>
      </c>
      <c r="U421" s="1741"/>
      <c r="V421" s="1741"/>
      <c r="W421" s="1741"/>
      <c r="X421" s="1641"/>
      <c r="Y421" s="1741"/>
      <c r="Z421" s="1642"/>
      <c r="AA421" s="1741"/>
      <c r="AB421" s="807" t="s">
        <v>1318</v>
      </c>
      <c r="AC421" s="813" t="s">
        <v>2545</v>
      </c>
      <c r="AD421" s="814" t="s">
        <v>1514</v>
      </c>
      <c r="AE421" s="7168">
        <f>_xlfn.SUMIFS('ИП + источники'!AF$27:AF$203,'ИП + источники'!$F$27:$F$203,$F421,'ИП + источники'!$AC$27:$AC$203,"Прибыль на капвложения")</f>
        <v>0</v>
      </c>
      <c r="AF421" s="7168">
        <f>_xlfn.SUMIFS('ИП + источники'!AG$27:AG$203,'ИП + источники'!$F$27:$F$203,$F421,'ИП + источники'!$AC$27:$AC$203,"Прибыль на капвложения")</f>
        <v>0</v>
      </c>
      <c r="AG421" s="7168">
        <f>_xlfn.SUMIFS('ИП + источники'!AH$27:AH$203,'ИП + источники'!$F$27:$F$203,$F421,'ИП + источники'!$AC$27:$AC$203,"Прибыль на капвложения")</f>
        <v>0</v>
      </c>
      <c r="AH421" s="802">
        <f>AG421-AF421</f>
        <v>0</v>
      </c>
      <c r="AI421" s="7168">
        <f>_xlfn.SUMIFS('ИП + источники'!AJ$27:AJ$203,'ИП + источники'!$F$27:$F$203,$F421,'ИП + источники'!$AC$27:$AC$203,"Прибыль на капвложения")</f>
        <v>0</v>
      </c>
      <c r="AJ421" s="809">
        <f>_xlfn.SUMIFS('ИП + источники'!AK$27:AK$203,'ИП + источники'!$F$27:$F$203,$F421,'ИП + источники'!$AC$27:$AC$203,"Прибыль на капвложения")</f>
        <v>0</v>
      </c>
      <c r="AK421" s="809">
        <f>_xlfn.SUMIFS('ИП + источники'!AU$27:AU$203,'ИП + источники'!$F$27:$F$203,$F421,'ИП + источники'!$AC$27:$AC$203,"Прибыль на капвложения")</f>
        <v>0</v>
      </c>
      <c r="AL421" s="802">
        <f>IF(AI421=0,0,(AK421-AI421)/AI421*100)</f>
        <v>0</v>
      </c>
      <c r="AM421" s="803"/>
      <c r="AN421" s="910" t="str">
        <f>IF(_xlfn.IFERROR(INDEX('ИП + источники'!$K$57:$L$203,MATCH($F421&amp;"2komm",'ИП + источники'!$K$57:$K$203,0),2),"")=0,"",_xlfn.IFERROR(INDEX('ИП + источники'!$K$57:$L$203,MATCH($F421&amp;"2komm",'ИП + источники'!$K$57:$K$203,0),2),""))</f>
        <v/>
      </c>
      <c r="AO421" s="803"/>
      <c r="AP421" s="1741"/>
      <c r="AQ421" s="1741"/>
      <c r="AR421" s="1062" t="s">
        <v>2546</v>
      </c>
      <c r="AS421" s="1062"/>
      <c r="AT421" s="1062"/>
      <c r="AU421" s="1059"/>
      <c r="AV421" s="1059"/>
    </row>
    <row s="1834" customFormat="1" customHeight="1" ht="21.75">
      <c r="A422" s="1741"/>
      <c r="B422" s="1741"/>
      <c r="C422" s="1741"/>
      <c r="D422" s="1741"/>
      <c r="E422" s="695">
        <v>22.5</v>
      </c>
      <c r="F422" s="50" cm="1" t="str">
        <f t="array" ref="F422:F422">OFFSET(E422,-1,1)</f>
        <v>4</v>
      </c>
      <c r="G422" s="1741"/>
      <c r="H422" s="1741"/>
      <c r="I422" s="587" t="s">
        <v>1286</v>
      </c>
      <c r="J422" s="587"/>
      <c r="K422" s="587"/>
      <c r="L422" s="587"/>
      <c r="M422" s="587"/>
      <c r="N422" s="587"/>
      <c r="O422" s="587"/>
      <c r="P422" s="587"/>
      <c r="Q422" s="587"/>
      <c r="R422" s="587"/>
      <c r="S422" s="587"/>
      <c r="T422" s="465" cm="1" t="str">
        <f t="array" ref="T422:T422">T421</f>
        <v>true</v>
      </c>
      <c r="U422" s="1741"/>
      <c r="V422" s="1741"/>
      <c r="W422" s="1741"/>
      <c r="X422" s="1641"/>
      <c r="Y422" s="1741"/>
      <c r="Z422" s="1642"/>
      <c r="AA422" s="1741"/>
      <c r="AB422" s="807" t="s">
        <v>1330</v>
      </c>
      <c r="AC422" s="813" t="s">
        <v>2547</v>
      </c>
      <c r="AD422" s="814" t="s">
        <v>1514</v>
      </c>
      <c r="AE422" s="7168"/>
      <c r="AF422" s="7168"/>
      <c r="AG422" s="7168"/>
      <c r="AH422" s="802"/>
      <c r="AI422" s="7168"/>
      <c r="AJ422" s="809"/>
      <c r="AK422" s="809"/>
      <c r="AL422" s="802">
        <f>IF(AI422=0,0,(AK422-AI422)/AI422*100)</f>
        <v>0</v>
      </c>
      <c r="AM422" s="803"/>
      <c r="AN422" s="803"/>
      <c r="AO422" s="803"/>
      <c r="AP422" s="1741"/>
      <c r="AQ422" s="1741"/>
      <c r="AR422" s="1062" t="s">
        <v>2548</v>
      </c>
      <c r="AS422" s="1062"/>
      <c r="AT422" s="1062"/>
      <c r="AU422" s="1059"/>
      <c r="AV422" s="1059"/>
    </row>
    <row s="7341" customFormat="1" customHeight="1" ht="21.75">
      <c r="A423" s="588"/>
      <c r="B423" s="588">
        <f>STATUS_GO="да"</f>
        <v>1</v>
      </c>
      <c r="C423" s="588"/>
      <c r="D423" s="588"/>
      <c r="E423" s="697">
        <v>22.5</v>
      </c>
      <c r="F423" s="50" cm="1" t="str">
        <f t="array" ref="F423:F423">OFFSET(E423,-1,1)</f>
        <v>4</v>
      </c>
      <c r="G423" s="588"/>
      <c r="H423" s="588"/>
      <c r="I423" s="698" t="s">
        <v>1290</v>
      </c>
      <c r="J423" s="698"/>
      <c r="K423" s="698"/>
      <c r="L423" s="698"/>
      <c r="M423" s="698"/>
      <c r="N423" s="698"/>
      <c r="O423" s="698"/>
      <c r="P423" s="698"/>
      <c r="Q423" s="698"/>
      <c r="R423" s="698"/>
      <c r="S423" s="698"/>
      <c r="T423" s="465" cm="1" t="str">
        <f t="array" ref="T423:T423">T422</f>
        <v>true</v>
      </c>
      <c r="U423" s="588"/>
      <c r="V423" s="588"/>
      <c r="W423" s="588"/>
      <c r="X423" s="1641"/>
      <c r="Y423" s="588"/>
      <c r="Z423" s="1642"/>
      <c r="AA423" s="588"/>
      <c r="AB423" s="804" t="s">
        <v>455</v>
      </c>
      <c r="AC423" s="800" t="s">
        <v>2549</v>
      </c>
      <c r="AD423" s="812" t="s">
        <v>1514</v>
      </c>
      <c r="AE423" s="7165"/>
      <c r="AF423" s="7165"/>
      <c r="AG423" s="7165"/>
      <c r="AH423" s="801">
        <f>AG423-AF423</f>
        <v>0</v>
      </c>
      <c r="AI423" s="7165"/>
      <c r="AJ423" s="810"/>
      <c r="AK423" s="810"/>
      <c r="AL423" s="801">
        <f>IF(AI423=0,0,(AK423-AI423)/AI423*100)</f>
        <v>0</v>
      </c>
      <c r="AM423" s="806"/>
      <c r="AN423" s="806"/>
      <c r="AO423" s="806"/>
      <c r="AP423" s="588"/>
      <c r="AQ423" s="588"/>
      <c r="AR423" s="1063" t="s">
        <v>2550</v>
      </c>
      <c r="AS423" s="1063"/>
      <c r="AT423" s="1063"/>
      <c r="AU423" s="697"/>
      <c r="AV423" s="697"/>
    </row>
    <row s="1834" customFormat="1" customHeight="1" ht="14.25">
      <c r="A424" s="1741"/>
      <c r="B424" s="1741"/>
      <c r="C424" s="1741"/>
      <c r="D424" s="1741"/>
      <c r="E424" s="695">
        <v>15</v>
      </c>
      <c r="F424" s="50" cm="1" t="str">
        <f t="array" ref="F424:F424">OFFSET(E424,-1,1)</f>
        <v>4</v>
      </c>
      <c r="G424" s="1741"/>
      <c r="H424" s="1741"/>
      <c r="I424" s="587" t="s">
        <v>1297</v>
      </c>
      <c r="J424" s="587"/>
      <c r="K424" s="587"/>
      <c r="L424" s="587"/>
      <c r="M424" s="587"/>
      <c r="N424" s="587"/>
      <c r="O424" s="587"/>
      <c r="P424" s="587"/>
      <c r="Q424" s="587"/>
      <c r="R424" s="587"/>
      <c r="S424" s="587"/>
      <c r="T424" s="465" cm="1" t="str">
        <f t="array" ref="T424:T424">T423</f>
        <v>true</v>
      </c>
      <c r="U424" s="1741"/>
      <c r="V424" s="1741"/>
      <c r="W424" s="1741"/>
      <c r="X424" s="1641"/>
      <c r="Y424" s="1741"/>
      <c r="Z424" s="1642"/>
      <c r="AA424" s="1741"/>
      <c r="AB424" s="807" t="s">
        <v>458</v>
      </c>
      <c r="AC424" s="816" t="s">
        <v>2197</v>
      </c>
      <c r="AD424" s="814" t="s">
        <v>1514</v>
      </c>
      <c r="AE424" s="7168"/>
      <c r="AF424" s="7168"/>
      <c r="AG424" s="7168"/>
      <c r="AH424" s="802"/>
      <c r="AI424" s="7189"/>
      <c r="AJ424" s="7189"/>
      <c r="AK424" s="7189"/>
      <c r="AL424" s="802">
        <f>IF(AI424=0,0,(AK424-AI424)/AI424*100)</f>
        <v>0</v>
      </c>
      <c r="AM424" s="803"/>
      <c r="AN424" s="803"/>
      <c r="AO424" s="803"/>
      <c r="AP424" s="1741"/>
      <c r="AQ424" s="1741"/>
      <c r="AR424" s="1062" t="s">
        <v>2551</v>
      </c>
      <c r="AS424" s="1062"/>
      <c r="AT424" s="1062"/>
      <c r="AU424" s="1059"/>
      <c r="AV424" s="1059"/>
    </row>
    <row s="1834" customFormat="1" customHeight="1" ht="101.25" hidden="1">
      <c r="A425" s="1741"/>
      <c r="B425" s="1741"/>
      <c r="C425" s="1741"/>
      <c r="D425" s="1741"/>
      <c r="E425" s="695">
        <v>0</v>
      </c>
      <c r="F425" s="50" cm="1" t="str">
        <f t="array" ref="F425:F425">OFFSET(E425,-1,1)</f>
        <v>4</v>
      </c>
      <c r="G425" s="1741"/>
      <c r="H425" s="517">
        <f>ISERR(SEARCH("Водоснабжение",AB367))</f>
        <v>1</v>
      </c>
      <c r="I425" s="587" t="s">
        <v>1454</v>
      </c>
      <c r="J425" s="587"/>
      <c r="K425" s="587"/>
      <c r="L425" s="587"/>
      <c r="M425" s="587"/>
      <c r="N425" s="587"/>
      <c r="O425" s="587"/>
      <c r="P425" s="587"/>
      <c r="Q425" s="587"/>
      <c r="R425" s="587"/>
      <c r="S425" s="587"/>
      <c r="T425" s="465" cm="1" t="str">
        <f t="array" ref="T425:T425">T424</f>
        <v>true</v>
      </c>
      <c r="U425" s="1741"/>
      <c r="V425" s="1741"/>
      <c r="W425" s="1741"/>
      <c r="X425" s="1641"/>
      <c r="Y425" s="1741"/>
      <c r="Z425" s="1642"/>
      <c r="AA425" s="1741"/>
      <c r="AB425" s="807" t="s">
        <v>461</v>
      </c>
      <c r="AC425" s="816" t="s">
        <v>2552</v>
      </c>
      <c r="AD425" s="759" t="s">
        <v>1514</v>
      </c>
      <c r="AE425" s="7168"/>
      <c r="AF425" s="7168"/>
      <c r="AG425" s="7168"/>
      <c r="AH425" s="802">
        <f>AG425-AF425</f>
        <v>0</v>
      </c>
      <c r="AI425" s="7168"/>
      <c r="AJ425" s="7168"/>
      <c r="AK425" s="7168">
        <f>_xlfn.IFERROR(_xlfn.SUMIFS('Плата за негативное возд'!$AL$25:$AL$41,'Плата за негативное возд'!$F$25:$F$41,F425,'Плата за негативное возд'!$G$25:$G$41,"1"),0)</f>
        <v>0</v>
      </c>
      <c r="AL425" s="802">
        <f>IF(AI425=0,0,(AK425-AI425)/AI425*100)</f>
        <v>0</v>
      </c>
      <c r="AM425" s="7153"/>
      <c r="AN425" s="7153"/>
      <c r="AO425" s="7153"/>
      <c r="AP425" s="1741"/>
      <c r="AQ425" s="1741"/>
      <c r="AR425" s="1062" t="s">
        <v>2098</v>
      </c>
      <c r="AS425" s="1062"/>
      <c r="AT425" s="1062"/>
      <c r="AU425" s="1059"/>
      <c r="AV425" s="1059"/>
    </row>
    <row s="1834" customFormat="1" customHeight="1" ht="67.5" hidden="1">
      <c r="A426" s="1741"/>
      <c r="B426" s="1741"/>
      <c r="C426" s="1741"/>
      <c r="D426" s="1741"/>
      <c r="E426" s="695">
        <v>0</v>
      </c>
      <c r="F426" s="50" cm="1" t="str">
        <f t="array" ref="F426:F426">OFFSET(E426,-1,1)</f>
        <v>4</v>
      </c>
      <c r="G426" s="1741"/>
      <c r="H426" s="517">
        <f>ISERR(SEARCH("Водоснабжение",AB367))</f>
        <v>1</v>
      </c>
      <c r="I426" s="587" t="s">
        <v>1456</v>
      </c>
      <c r="J426" s="587"/>
      <c r="K426" s="587"/>
      <c r="L426" s="587"/>
      <c r="M426" s="587"/>
      <c r="N426" s="587"/>
      <c r="O426" s="587"/>
      <c r="P426" s="587"/>
      <c r="Q426" s="587"/>
      <c r="R426" s="587"/>
      <c r="S426" s="587"/>
      <c r="T426" s="465" cm="1" t="str">
        <f t="array" ref="T426:T426">T425</f>
        <v>true</v>
      </c>
      <c r="U426" s="1741"/>
      <c r="V426" s="1741"/>
      <c r="W426" s="1741"/>
      <c r="X426" s="1641"/>
      <c r="Y426" s="1741"/>
      <c r="Z426" s="1642"/>
      <c r="AA426" s="1741"/>
      <c r="AB426" s="807" t="s">
        <v>463</v>
      </c>
      <c r="AC426" s="816" t="s">
        <v>2553</v>
      </c>
      <c r="AD426" s="759" t="s">
        <v>1514</v>
      </c>
      <c r="AE426" s="7168"/>
      <c r="AF426" s="7168"/>
      <c r="AG426" s="7168"/>
      <c r="AH426" s="802">
        <f>AG426-AF426</f>
        <v>0</v>
      </c>
      <c r="AI426" s="7168"/>
      <c r="AJ426" s="7168"/>
      <c r="AK426" s="7168">
        <f>_xlfn.IFERROR(_xlfn.SUMIFS('Плата за негативное возд'!$AL$25:$AL$41,'Плата за негативное возд'!$F$25:$F$41,F426,'Плата за негативное возд'!$G$25:$G$41,"2"),0)</f>
        <v>0</v>
      </c>
      <c r="AL426" s="802">
        <f>IF(AI426=0,0,(AK426-AI426)/AI426*100)</f>
        <v>0</v>
      </c>
      <c r="AM426" s="7153"/>
      <c r="AN426" s="7153"/>
      <c r="AO426" s="7153"/>
      <c r="AP426" s="1741"/>
      <c r="AQ426" s="1741"/>
      <c r="AR426" s="1062" t="s">
        <v>2102</v>
      </c>
      <c r="AS426" s="1062"/>
      <c r="AT426" s="1062"/>
      <c r="AU426" s="1059"/>
      <c r="AV426" s="1059"/>
    </row>
    <row s="1834" customFormat="1" customHeight="1" ht="14.25">
      <c r="A427" s="1741"/>
      <c r="B427" s="1741"/>
      <c r="C427" s="1741"/>
      <c r="D427" s="1741"/>
      <c r="E427" s="695">
        <v>15</v>
      </c>
      <c r="F427" s="50" cm="1" t="str">
        <f t="array" ref="F427:F427">OFFSET(E427,-1,1)</f>
        <v>4</v>
      </c>
      <c r="G427" s="1741"/>
      <c r="H427" s="1741"/>
      <c r="I427" s="587" t="s">
        <v>1492</v>
      </c>
      <c r="J427" s="587"/>
      <c r="K427" s="587"/>
      <c r="L427" s="587"/>
      <c r="M427" s="587"/>
      <c r="N427" s="587"/>
      <c r="O427" s="587"/>
      <c r="P427" s="587"/>
      <c r="Q427" s="587"/>
      <c r="R427" s="587"/>
      <c r="S427" s="587"/>
      <c r="T427" s="465" cm="1" t="str">
        <f t="array" ref="T427:T427">T426</f>
        <v>true</v>
      </c>
      <c r="U427" s="1741"/>
      <c r="V427" s="1741"/>
      <c r="W427" s="1741"/>
      <c r="X427" s="1641"/>
      <c r="Y427" s="1741"/>
      <c r="Z427" s="1642"/>
      <c r="AA427" s="1741"/>
      <c r="AB427" s="807" t="s">
        <v>465</v>
      </c>
      <c r="AC427" s="818" t="s">
        <v>2554</v>
      </c>
      <c r="AD427" s="814" t="s">
        <v>1514</v>
      </c>
      <c r="AE427" s="7168"/>
      <c r="AF427" s="7168"/>
      <c r="AG427" s="7168"/>
      <c r="AH427" s="802">
        <f>AG427-AF427</f>
        <v>0</v>
      </c>
      <c r="AI427" s="7168"/>
      <c r="AJ427" s="809"/>
      <c r="AK427" s="809"/>
      <c r="AL427" s="802">
        <f>IF(AI427=0,0,(AK427-AI427)/AI427*100)</f>
        <v>0</v>
      </c>
      <c r="AM427" s="803"/>
      <c r="AN427" s="803"/>
      <c r="AO427" s="803"/>
      <c r="AP427" s="1741"/>
      <c r="AQ427" s="1741"/>
      <c r="AR427" s="1062" t="s">
        <v>1966</v>
      </c>
      <c r="AS427" s="1062"/>
      <c r="AT427" s="1062"/>
      <c r="AU427" s="1059"/>
      <c r="AV427" s="1059"/>
    </row>
    <row s="7342" customFormat="1" customHeight="1" ht="21.75">
      <c r="A428" s="588"/>
      <c r="B428" s="588"/>
      <c r="C428" s="588"/>
      <c r="D428" s="588"/>
      <c r="E428" s="697">
        <v>22.5</v>
      </c>
      <c r="F428" s="50" cm="1" t="str">
        <f t="array" ref="F428:F428">OFFSET(E428,-1,1)</f>
        <v>4</v>
      </c>
      <c r="G428" s="588"/>
      <c r="H428" s="588"/>
      <c r="I428" s="698" t="s">
        <v>1493</v>
      </c>
      <c r="J428" s="698"/>
      <c r="K428" s="698"/>
      <c r="L428" s="698"/>
      <c r="M428" s="698"/>
      <c r="N428" s="698"/>
      <c r="O428" s="698"/>
      <c r="P428" s="698"/>
      <c r="Q428" s="698"/>
      <c r="R428" s="698"/>
      <c r="S428" s="698"/>
      <c r="T428" s="465" cm="1" t="str">
        <f t="array" ref="T428:T428">T427</f>
        <v>true</v>
      </c>
      <c r="U428" s="588"/>
      <c r="V428" s="588"/>
      <c r="W428" s="588"/>
      <c r="X428" s="1641"/>
      <c r="Y428" s="588"/>
      <c r="Z428" s="1642"/>
      <c r="AA428" s="588"/>
      <c r="AB428" s="804" t="s">
        <v>467</v>
      </c>
      <c r="AC428" s="589" t="s">
        <v>2555</v>
      </c>
      <c r="AD428" s="812" t="s">
        <v>1514</v>
      </c>
      <c r="AE428" s="788">
        <f>AE429+AE430</f>
        <v>0</v>
      </c>
      <c r="AF428" s="788">
        <f>AF429+AF430</f>
        <v>0</v>
      </c>
      <c r="AG428" s="788">
        <f>AG429+AG430</f>
        <v>0</v>
      </c>
      <c r="AH428" s="801">
        <f>AG428-AF428</f>
        <v>0</v>
      </c>
      <c r="AI428" s="788">
        <f>AI429+AI430</f>
        <v>0</v>
      </c>
      <c r="AJ428" s="788">
        <f>AJ429+AJ430</f>
        <v>0</v>
      </c>
      <c r="AK428" s="788">
        <f>AK429+AK430</f>
        <v>0</v>
      </c>
      <c r="AL428" s="801">
        <f>IF(AI428=0,0,(AK428-AI428)/AI428*100)</f>
        <v>0</v>
      </c>
      <c r="AM428" s="806"/>
      <c r="AN428" s="806"/>
      <c r="AO428" s="806"/>
      <c r="AP428" s="588"/>
      <c r="AQ428" s="588"/>
      <c r="AR428" s="1063" t="s">
        <v>2280</v>
      </c>
      <c r="AS428" s="1063"/>
      <c r="AT428" s="1063"/>
      <c r="AU428" s="697"/>
      <c r="AV428" s="697"/>
    </row>
    <row s="1834" customFormat="1" customHeight="1" ht="21.75">
      <c r="A429" s="1741"/>
      <c r="B429" s="1741"/>
      <c r="C429" s="1741"/>
      <c r="D429" s="1741"/>
      <c r="E429" s="695">
        <v>22.5</v>
      </c>
      <c r="F429" s="50" cm="1" t="str">
        <f t="array" ref="F429:F429">OFFSET(E429,-1,1)</f>
        <v>4</v>
      </c>
      <c r="G429" s="1741"/>
      <c r="H429" s="1741"/>
      <c r="I429" s="587" t="s">
        <v>2556</v>
      </c>
      <c r="J429" s="587"/>
      <c r="K429" s="587"/>
      <c r="L429" s="587"/>
      <c r="M429" s="587"/>
      <c r="N429" s="587"/>
      <c r="O429" s="587"/>
      <c r="P429" s="587"/>
      <c r="Q429" s="587"/>
      <c r="R429" s="587"/>
      <c r="S429" s="587"/>
      <c r="T429" s="465" cm="1" t="str">
        <f t="array" ref="T429:T429">T428</f>
        <v>true</v>
      </c>
      <c r="U429" s="1741"/>
      <c r="V429" s="1741"/>
      <c r="W429" s="1741"/>
      <c r="X429" s="1641"/>
      <c r="Y429" s="1741"/>
      <c r="Z429" s="1642"/>
      <c r="AA429" s="1741"/>
      <c r="AB429" s="807" t="s">
        <v>2557</v>
      </c>
      <c r="AC429" s="819" t="s">
        <v>2281</v>
      </c>
      <c r="AD429" s="814" t="s">
        <v>1514</v>
      </c>
      <c r="AE429" s="7168"/>
      <c r="AF429" s="7168"/>
      <c r="AG429" s="7168"/>
      <c r="AH429" s="802">
        <f>AG429-AF429</f>
        <v>0</v>
      </c>
      <c r="AI429" s="7168"/>
      <c r="AJ429" s="809"/>
      <c r="AK429" s="809"/>
      <c r="AL429" s="802">
        <f>IF(AI429=0,0,(AK429-AI429)/AI429*100)</f>
        <v>0</v>
      </c>
      <c r="AM429" s="803"/>
      <c r="AN429" s="803"/>
      <c r="AO429" s="803"/>
      <c r="AP429" s="1741"/>
      <c r="AQ429" s="1741"/>
      <c r="AR429" s="1062" t="s">
        <v>2319</v>
      </c>
      <c r="AS429" s="1062"/>
      <c r="AT429" s="1062"/>
      <c r="AU429" s="1059"/>
      <c r="AV429" s="1059"/>
    </row>
    <row s="1834" customFormat="1" customHeight="1" ht="21.75">
      <c r="A430" s="1741"/>
      <c r="B430" s="1741"/>
      <c r="C430" s="1741"/>
      <c r="D430" s="1741"/>
      <c r="E430" s="695">
        <v>22.5</v>
      </c>
      <c r="F430" s="50" cm="1" t="str">
        <f t="array" ref="F430:F430">OFFSET(E430,-1,1)</f>
        <v>4</v>
      </c>
      <c r="G430" s="1741"/>
      <c r="H430" s="1741"/>
      <c r="I430" s="587" t="s">
        <v>2558</v>
      </c>
      <c r="J430" s="587"/>
      <c r="K430" s="587"/>
      <c r="L430" s="587"/>
      <c r="M430" s="587"/>
      <c r="N430" s="587"/>
      <c r="O430" s="587"/>
      <c r="P430" s="587"/>
      <c r="Q430" s="587"/>
      <c r="R430" s="587"/>
      <c r="S430" s="587"/>
      <c r="T430" s="465" cm="1" t="str">
        <f t="array" ref="T430:T430">T429</f>
        <v>true</v>
      </c>
      <c r="U430" s="1741"/>
      <c r="V430" s="1741"/>
      <c r="W430" s="1741"/>
      <c r="X430" s="1641"/>
      <c r="Y430" s="1741"/>
      <c r="Z430" s="1642"/>
      <c r="AA430" s="1741"/>
      <c r="AB430" s="807" t="s">
        <v>2559</v>
      </c>
      <c r="AC430" s="819" t="s">
        <v>2283</v>
      </c>
      <c r="AD430" s="814" t="s">
        <v>1514</v>
      </c>
      <c r="AE430" s="7168"/>
      <c r="AF430" s="7168"/>
      <c r="AG430" s="7168"/>
      <c r="AH430" s="802">
        <f>AG430-AF430</f>
        <v>0</v>
      </c>
      <c r="AI430" s="7168"/>
      <c r="AJ430" s="809"/>
      <c r="AK430" s="809"/>
      <c r="AL430" s="802">
        <f>IF(AI430=0,0,(AK430-AI430)/AI430*100)</f>
        <v>0</v>
      </c>
      <c r="AM430" s="803"/>
      <c r="AN430" s="803"/>
      <c r="AO430" s="803"/>
      <c r="AP430" s="1741"/>
      <c r="AQ430" s="1741"/>
      <c r="AR430" s="1062" t="s">
        <v>2560</v>
      </c>
      <c r="AS430" s="1062"/>
      <c r="AT430" s="1062"/>
      <c r="AU430" s="1059"/>
      <c r="AV430" s="1059"/>
    </row>
    <row s="1834" customFormat="1" customHeight="1" ht="14.25">
      <c r="A431" s="1741"/>
      <c r="B431" s="1741"/>
      <c r="C431" s="1741"/>
      <c r="D431" s="1741"/>
      <c r="E431" s="695">
        <v>15</v>
      </c>
      <c r="F431" s="50" cm="1" t="str">
        <f t="array" ref="F431:F431">OFFSET(E431,-1,1)</f>
        <v>4</v>
      </c>
      <c r="G431" s="1741"/>
      <c r="H431" s="1741"/>
      <c r="I431" s="587" t="s">
        <v>2561</v>
      </c>
      <c r="J431" s="587"/>
      <c r="K431" s="587"/>
      <c r="L431" s="587"/>
      <c r="M431" s="587"/>
      <c r="N431" s="587"/>
      <c r="O431" s="587"/>
      <c r="P431" s="587"/>
      <c r="Q431" s="587"/>
      <c r="R431" s="587"/>
      <c r="S431" s="587"/>
      <c r="T431" s="465" cm="1" t="str">
        <f t="array" ref="T431:T431">T430</f>
        <v>true</v>
      </c>
      <c r="U431" s="1741"/>
      <c r="V431" s="1741"/>
      <c r="W431" s="1741"/>
      <c r="X431" s="1641"/>
      <c r="Y431" s="1741"/>
      <c r="Z431" s="1642"/>
      <c r="AA431" s="1741"/>
      <c r="AB431" s="820" t="s">
        <v>341</v>
      </c>
      <c r="AC431" s="821" t="s">
        <v>2285</v>
      </c>
      <c r="AD431" s="814" t="s">
        <v>1514</v>
      </c>
      <c r="AE431" s="7168"/>
      <c r="AF431" s="7168"/>
      <c r="AG431" s="7168"/>
      <c r="AH431" s="802">
        <f>AG431-AF431</f>
        <v>0</v>
      </c>
      <c r="AI431" s="7168"/>
      <c r="AJ431" s="809"/>
      <c r="AK431" s="809"/>
      <c r="AL431" s="802">
        <f>IF(AI431=0,0,(AK431-AI431)/AI431*100)</f>
        <v>0</v>
      </c>
      <c r="AM431" s="803"/>
      <c r="AN431" s="803"/>
      <c r="AO431" s="803"/>
      <c r="AP431" s="1741"/>
      <c r="AQ431" s="1741"/>
      <c r="AR431" s="1062" t="s">
        <v>2286</v>
      </c>
      <c r="AS431" s="1062"/>
      <c r="AT431" s="1062"/>
      <c r="AU431" s="1059"/>
      <c r="AV431" s="1059"/>
    </row>
    <row s="1834" customFormat="1" customHeight="1" ht="14.25">
      <c r="A432" s="1741"/>
      <c r="B432" s="1741"/>
      <c r="C432" s="1741"/>
      <c r="D432" s="1741"/>
      <c r="E432" s="695">
        <v>15</v>
      </c>
      <c r="F432" s="50" cm="1" t="str">
        <f t="array" ref="F432:F432">OFFSET(E432,-1,1)</f>
        <v>4</v>
      </c>
      <c r="G432" s="1741"/>
      <c r="H432" s="1741"/>
      <c r="I432" s="587" t="s">
        <v>2562</v>
      </c>
      <c r="J432" s="587"/>
      <c r="K432" s="587"/>
      <c r="L432" s="587"/>
      <c r="M432" s="587"/>
      <c r="N432" s="587"/>
      <c r="O432" s="587"/>
      <c r="P432" s="587"/>
      <c r="Q432" s="587"/>
      <c r="R432" s="587"/>
      <c r="S432" s="587"/>
      <c r="T432" s="465" cm="1" t="str">
        <f t="array" ref="T432:T432">T431</f>
        <v>true</v>
      </c>
      <c r="U432" s="1741"/>
      <c r="V432" s="1741"/>
      <c r="W432" s="1741"/>
      <c r="X432" s="1641"/>
      <c r="Y432" s="1741"/>
      <c r="Z432" s="1642"/>
      <c r="AA432" s="1741"/>
      <c r="AB432" s="820" t="s">
        <v>502</v>
      </c>
      <c r="AC432" s="821" t="s">
        <v>2287</v>
      </c>
      <c r="AD432" s="814" t="s">
        <v>1514</v>
      </c>
      <c r="AE432" s="7168"/>
      <c r="AF432" s="7168"/>
      <c r="AG432" s="7168"/>
      <c r="AH432" s="802">
        <f>AG432-AF432</f>
        <v>0</v>
      </c>
      <c r="AI432" s="7168"/>
      <c r="AJ432" s="809"/>
      <c r="AK432" s="809"/>
      <c r="AL432" s="802">
        <f>IF(AI432=0,0,(AK432-AI432)/AI432*100)</f>
        <v>0</v>
      </c>
      <c r="AM432" s="803"/>
      <c r="AN432" s="803"/>
      <c r="AO432" s="803"/>
      <c r="AP432" s="1741"/>
      <c r="AQ432" s="1741"/>
      <c r="AR432" s="1062" t="s">
        <v>2288</v>
      </c>
      <c r="AS432" s="1062"/>
      <c r="AT432" s="1062"/>
      <c r="AU432" s="1059"/>
      <c r="AV432" s="1059"/>
    </row>
    <row s="7343" customFormat="1" customHeight="1" ht="14.25">
      <c r="A433" s="588"/>
      <c r="B433" s="588"/>
      <c r="C433" s="588"/>
      <c r="D433" s="588"/>
      <c r="E433" s="697">
        <v>15</v>
      </c>
      <c r="F433" s="50" cm="1" t="str">
        <f t="array" ref="F433:F433">OFFSET(E433,-1,1)</f>
        <v>4</v>
      </c>
      <c r="G433" s="588"/>
      <c r="H433" s="588"/>
      <c r="I433" s="698" t="s">
        <v>2563</v>
      </c>
      <c r="J433" s="698"/>
      <c r="K433" s="698"/>
      <c r="L433" s="698"/>
      <c r="M433" s="698"/>
      <c r="N433" s="698"/>
      <c r="O433" s="698"/>
      <c r="P433" s="698"/>
      <c r="Q433" s="698"/>
      <c r="R433" s="698"/>
      <c r="S433" s="698"/>
      <c r="T433" s="465" cm="1" t="str">
        <f t="array" ref="T433:T433">T432</f>
        <v>true</v>
      </c>
      <c r="U433" s="588"/>
      <c r="V433" s="588"/>
      <c r="W433" s="588"/>
      <c r="X433" s="1641"/>
      <c r="Y433" s="588"/>
      <c r="Z433" s="1642"/>
      <c r="AA433" s="588"/>
      <c r="AB433" s="804" t="s">
        <v>505</v>
      </c>
      <c r="AC433" s="589" t="s">
        <v>2564</v>
      </c>
      <c r="AD433" s="812" t="s">
        <v>1514</v>
      </c>
      <c r="AE433" s="788">
        <f>AE368+AE396+AE401+AE414+AE415+AE417+AE418+AE419+AE423+AE424-AE425-AE426+AE427-AE428+AE431+AE432</f>
        <v>0</v>
      </c>
      <c r="AF433" s="788">
        <f>AF368+AF396+AF401+AF414+AF415+AF417+AF418+AF419+AF423+AF424-AF425-AF426+AF427-AF428+AF431+AF432</f>
        <v>0</v>
      </c>
      <c r="AG433" s="788">
        <f>AG368+AG396+AG401+AG414+AG415+AG417+AG418+AG419+AG423+AG424-AG425-AG426+AG427-AG428+AG431+AG432</f>
        <v>0</v>
      </c>
      <c r="AH433" s="801">
        <f>AG433-AF433</f>
        <v>0</v>
      </c>
      <c r="AI433" s="788">
        <f>AI368+AI396+AI401+AI414+AI415+AI417+AI418+AI419+AI423+AI424-AI425-AI426+AI427-AI428+AI431+AI432</f>
        <v>0</v>
      </c>
      <c r="AJ433" s="788">
        <f>AJ368+AJ396+AJ401+AJ414+AJ415+AJ417+AJ418+AJ419+AJ423+AJ424-AJ425-AJ426+AJ427-AJ428+AJ431+AJ432</f>
        <v>109032.413114069</v>
      </c>
      <c r="AK433" s="788">
        <f>AK368+AK396+AK401+AK414+AK415+AK417+AK418+AK419+AK423+AK424-AK425-AK426+AK427-AK428+AK431+AK432</f>
        <v>109032.413114069</v>
      </c>
      <c r="AL433" s="801">
        <f>IF(AI433=0,0,(AK433-AI433)/AI433*100)</f>
        <v>0</v>
      </c>
      <c r="AM433" s="806"/>
      <c r="AN433" s="806"/>
      <c r="AO433" s="806"/>
      <c r="AP433" s="588"/>
      <c r="AQ433" s="588"/>
      <c r="AR433" s="1063" t="s">
        <v>2565</v>
      </c>
      <c r="AS433" s="1063"/>
      <c r="AT433" s="1063"/>
      <c r="AU433" s="697"/>
      <c r="AV433" s="697"/>
    </row>
    <row s="1834" customFormat="1" customHeight="1" ht="15" hidden="1">
      <c r="A434" s="1741"/>
      <c r="B434" s="577">
        <f>G367="двухставочный"</f>
        <v>0</v>
      </c>
      <c r="C434" s="1741"/>
      <c r="D434" s="1741"/>
      <c r="E434" s="695">
        <v>0</v>
      </c>
      <c r="F434" s="50" cm="1" t="str">
        <f t="array" ref="F434:F434">OFFSET(E434,-1,1)</f>
        <v>4</v>
      </c>
      <c r="G434" s="1741"/>
      <c r="H434" s="1741"/>
      <c r="I434" s="587" t="s">
        <v>2566</v>
      </c>
      <c r="J434" s="587"/>
      <c r="K434" s="587"/>
      <c r="L434" s="587"/>
      <c r="M434" s="587"/>
      <c r="N434" s="587"/>
      <c r="O434" s="587"/>
      <c r="P434" s="587"/>
      <c r="Q434" s="587"/>
      <c r="R434" s="587"/>
      <c r="S434" s="587"/>
      <c r="T434" s="465" cm="1" t="str">
        <f t="array" ref="T434:T434">T433</f>
        <v>true</v>
      </c>
      <c r="U434" s="1741"/>
      <c r="V434" s="1741"/>
      <c r="W434" s="1741"/>
      <c r="X434" s="1641"/>
      <c r="Y434" s="1741"/>
      <c r="Z434" s="1642"/>
      <c r="AA434" s="1741"/>
      <c r="AB434" s="807" t="s">
        <v>2567</v>
      </c>
      <c r="AC434" s="819" t="s">
        <v>2568</v>
      </c>
      <c r="AD434" s="814" t="s">
        <v>1514</v>
      </c>
      <c r="AE434" s="7168"/>
      <c r="AF434" s="7168"/>
      <c r="AG434" s="7168"/>
      <c r="AH434" s="802">
        <f>AG434-AF434</f>
        <v>0</v>
      </c>
      <c r="AI434" s="7168"/>
      <c r="AJ434" s="7168"/>
      <c r="AK434" s="7168"/>
      <c r="AL434" s="802">
        <f>IF(AI434=0,0,(AK434-AI434)/AI434*100)</f>
        <v>0</v>
      </c>
      <c r="AM434" s="7153"/>
      <c r="AN434" s="7153"/>
      <c r="AO434" s="7153"/>
      <c r="AP434" s="1741"/>
      <c r="AQ434" s="1741"/>
      <c r="AR434" s="1062" t="s">
        <v>2569</v>
      </c>
      <c r="AS434" s="1062"/>
      <c r="AT434" s="1062"/>
      <c r="AU434" s="1059"/>
      <c r="AV434" s="1059"/>
    </row>
    <row s="1834" customFormat="1" customHeight="1" ht="15" hidden="1">
      <c r="A435" s="1741"/>
      <c r="B435" s="577">
        <f>G367="двухставочный"</f>
        <v>0</v>
      </c>
      <c r="C435" s="1741"/>
      <c r="D435" s="1741"/>
      <c r="E435" s="695">
        <v>0</v>
      </c>
      <c r="F435" s="50" cm="1" t="str">
        <f t="array" ref="F435:F435">OFFSET(E435,-1,1)</f>
        <v>4</v>
      </c>
      <c r="G435" s="1741"/>
      <c r="H435" s="1741"/>
      <c r="I435" s="587" t="s">
        <v>2570</v>
      </c>
      <c r="J435" s="587"/>
      <c r="K435" s="587"/>
      <c r="L435" s="587"/>
      <c r="M435" s="587"/>
      <c r="N435" s="587"/>
      <c r="O435" s="587"/>
      <c r="P435" s="587"/>
      <c r="Q435" s="587"/>
      <c r="R435" s="587"/>
      <c r="S435" s="587"/>
      <c r="T435" s="465" cm="1" t="str">
        <f t="array" ref="T435:T435">T434</f>
        <v>true</v>
      </c>
      <c r="U435" s="1741"/>
      <c r="V435" s="1741"/>
      <c r="W435" s="1741"/>
      <c r="X435" s="1641"/>
      <c r="Y435" s="1741"/>
      <c r="Z435" s="1642"/>
      <c r="AA435" s="1741"/>
      <c r="AB435" s="807" t="s">
        <v>2571</v>
      </c>
      <c r="AC435" s="819" t="s">
        <v>2572</v>
      </c>
      <c r="AD435" s="814" t="s">
        <v>1514</v>
      </c>
      <c r="AE435" s="7168"/>
      <c r="AF435" s="7168"/>
      <c r="AG435" s="7168"/>
      <c r="AH435" s="802">
        <f>AG435-AF435</f>
        <v>0</v>
      </c>
      <c r="AI435" s="7168"/>
      <c r="AJ435" s="7168"/>
      <c r="AK435" s="7168"/>
      <c r="AL435" s="802">
        <f>IF(AI435=0,0,(AK435-AI435)/AI435*100)</f>
        <v>0</v>
      </c>
      <c r="AM435" s="7153"/>
      <c r="AN435" s="7153"/>
      <c r="AO435" s="7153"/>
      <c r="AP435" s="1741"/>
      <c r="AQ435" s="1741"/>
      <c r="AR435" s="1062" t="s">
        <v>2573</v>
      </c>
      <c r="AS435" s="1062"/>
      <c r="AT435" s="1062"/>
      <c r="AU435" s="1059"/>
      <c r="AV435" s="1059"/>
    </row>
    <row s="7344" customFormat="1" customHeight="1" ht="14.25">
      <c r="A436" s="588"/>
      <c r="B436" s="588"/>
      <c r="C436" s="588"/>
      <c r="D436" s="588"/>
      <c r="E436" s="697">
        <v>15</v>
      </c>
      <c r="F436" s="50" cm="1" t="str">
        <f t="array" ref="F436:F436">OFFSET(E436,-1,1)</f>
        <v>4</v>
      </c>
      <c r="G436" s="578" t="s">
        <v>2346</v>
      </c>
      <c r="H436" s="588"/>
      <c r="I436" s="698" t="s">
        <v>2574</v>
      </c>
      <c r="J436" s="698"/>
      <c r="K436" s="698"/>
      <c r="L436" s="698"/>
      <c r="M436" s="698"/>
      <c r="N436" s="698"/>
      <c r="O436" s="698"/>
      <c r="P436" s="698"/>
      <c r="Q436" s="698"/>
      <c r="R436" s="698"/>
      <c r="S436" s="698"/>
      <c r="T436" s="465" cm="1" t="str">
        <f t="array" ref="T436:T436">T435</f>
        <v>true</v>
      </c>
      <c r="U436" s="588"/>
      <c r="V436" s="588"/>
      <c r="W436" s="588"/>
      <c r="X436" s="1641"/>
      <c r="Y436" s="588"/>
      <c r="Z436" s="1642"/>
      <c r="AA436" s="588"/>
      <c r="AB436" s="804" t="s">
        <v>508</v>
      </c>
      <c r="AC436" s="589" t="s">
        <v>2575</v>
      </c>
      <c r="AD436" s="812" t="s">
        <v>1247</v>
      </c>
      <c r="AE436" s="822">
        <f>_xlfn.SUMIFS(Баланс!AE$26:AE$482,Баланс!$F$26:$F$482,$F436,Баланс!$G$26:$G$482,"ПО")</f>
        <v>0</v>
      </c>
      <c r="AF436" s="822">
        <f>_xlfn.SUMIFS(Баланс!AF$26:AF$482,Баланс!$F$26:$F$482,$F436,Баланс!$G$26:$G$482,"ПО")</f>
        <v>0</v>
      </c>
      <c r="AG436" s="822">
        <f>_xlfn.SUMIFS(Баланс!AG$26:AG$482,Баланс!$F$26:$F$482,$F436,Баланс!$G$26:$G$482,"ПО")</f>
        <v>0</v>
      </c>
      <c r="AH436" s="822">
        <f>AG436-AF436</f>
        <v>0</v>
      </c>
      <c r="AI436" s="822">
        <f>_xlfn.SUMIFS(Баланс!AH$26:AH$482,Баланс!$F$26:$F$482,$F436,Баланс!$G$26:$G$482,"ПО")</f>
        <v>0</v>
      </c>
      <c r="AJ436" s="822">
        <f>_xlfn.SUMIFS(Баланс!AI$26:AI$482,Баланс!$F$26:$F$482,$F436,Баланс!$G$26:$G$482,"ПО")</f>
        <v>1025.10255</v>
      </c>
      <c r="AK436" s="822">
        <f>_xlfn.SUMIFS(Баланс!AS$26:AS$482,Баланс!$F$26:$F$482,$F436,Баланс!$G$26:$G$482,"ПО")</f>
        <v>1025.10255</v>
      </c>
      <c r="AL436" s="823"/>
      <c r="AM436" s="806"/>
      <c r="AN436" s="806"/>
      <c r="AO436" s="806"/>
      <c r="AP436" s="588"/>
      <c r="AQ436" s="588"/>
      <c r="AR436" s="1063" t="s">
        <v>2576</v>
      </c>
      <c r="AS436" s="1063"/>
      <c r="AT436" s="1063"/>
      <c r="AU436" s="697"/>
      <c r="AV436" s="697"/>
    </row>
    <row s="1834" customFormat="1" customHeight="1" ht="14.25">
      <c r="A437" s="1741"/>
      <c r="B437" s="1741"/>
      <c r="C437" s="1741"/>
      <c r="D437" s="1741"/>
      <c r="E437" s="695">
        <v>15</v>
      </c>
      <c r="F437" s="50" cm="1" t="str">
        <f t="array" ref="F437:F437">OFFSET(E437,-1,1)</f>
        <v>4</v>
      </c>
      <c r="G437" s="578" t="s">
        <v>2373</v>
      </c>
      <c r="H437" s="1741"/>
      <c r="I437" s="587" t="s">
        <v>2577</v>
      </c>
      <c r="J437" s="587"/>
      <c r="K437" s="587"/>
      <c r="L437" s="587"/>
      <c r="M437" s="587"/>
      <c r="N437" s="587"/>
      <c r="O437" s="587"/>
      <c r="P437" s="587"/>
      <c r="Q437" s="587"/>
      <c r="R437" s="587"/>
      <c r="S437" s="587"/>
      <c r="T437" s="465" cm="1" t="str">
        <f t="array" ref="T437:T437">T436</f>
        <v>true</v>
      </c>
      <c r="U437" s="1741"/>
      <c r="V437" s="1741"/>
      <c r="W437" s="1741"/>
      <c r="X437" s="1641"/>
      <c r="Y437" s="1741"/>
      <c r="Z437" s="1642"/>
      <c r="AA437" s="1741"/>
      <c r="AB437" s="807" t="s">
        <v>2578</v>
      </c>
      <c r="AC437" s="1111" t="s">
        <v>2579</v>
      </c>
      <c r="AD437" s="814" t="s">
        <v>1247</v>
      </c>
      <c r="AE437" s="7197">
        <f>IF(AE$24="2026 год",AE436/12*9,AE436/2)</f>
        <v>0</v>
      </c>
      <c r="AF437" s="7197">
        <f>IF(AF$24="2026 год",AF436/12*9,AF436/2)</f>
        <v>0</v>
      </c>
      <c r="AG437" s="7197">
        <f>IF(AG$24="2026 год",AG436/12*9,AG436/2)</f>
        <v>0</v>
      </c>
      <c r="AH437" s="825">
        <f>AG437-AF437</f>
        <v>0</v>
      </c>
      <c r="AI437" s="7197">
        <f>IF(AI$24="2026 год",AI436/12*9,AI436/2)</f>
        <v>0</v>
      </c>
      <c r="AJ437" s="824">
        <f>IF(AJ$24="2026 год",AJ436/12*9,AJ436/2)</f>
        <v>768.8269125</v>
      </c>
      <c r="AK437" s="824">
        <f>IF(AK$24="2026 год",AK436/12*9,AK436/2)</f>
        <v>768.8269125</v>
      </c>
      <c r="AL437" s="817"/>
      <c r="AM437" s="803"/>
      <c r="AN437" s="803"/>
      <c r="AO437" s="803"/>
      <c r="AP437" s="1741"/>
      <c r="AQ437" s="1741"/>
      <c r="AR437" s="1062" t="s">
        <v>2580</v>
      </c>
      <c r="AS437" s="1062"/>
      <c r="AT437" s="1062"/>
      <c r="AU437" s="1059"/>
      <c r="AV437" s="1059"/>
    </row>
    <row s="1834" customFormat="1" customHeight="1" ht="14.25">
      <c r="A438" s="1741"/>
      <c r="B438" s="1741"/>
      <c r="C438" s="1741"/>
      <c r="D438" s="1741"/>
      <c r="E438" s="695">
        <v>15</v>
      </c>
      <c r="F438" s="50" cm="1" t="str">
        <f t="array" ref="F438:F438">OFFSET(E438,-1,1)</f>
        <v>4</v>
      </c>
      <c r="G438" s="578" t="s">
        <v>2334</v>
      </c>
      <c r="H438" s="1741"/>
      <c r="I438" s="587" t="s">
        <v>2581</v>
      </c>
      <c r="J438" s="587"/>
      <c r="K438" s="587"/>
      <c r="L438" s="587"/>
      <c r="M438" s="587"/>
      <c r="N438" s="587"/>
      <c r="O438" s="587"/>
      <c r="P438" s="587"/>
      <c r="Q438" s="587"/>
      <c r="R438" s="587"/>
      <c r="S438" s="587"/>
      <c r="T438" s="465" cm="1" t="str">
        <f t="array" ref="T438:T438">T437</f>
        <v>true</v>
      </c>
      <c r="U438" s="1741"/>
      <c r="V438" s="1741"/>
      <c r="W438" s="1741"/>
      <c r="X438" s="1641"/>
      <c r="Y438" s="1741"/>
      <c r="Z438" s="1642"/>
      <c r="AA438" s="1741"/>
      <c r="AB438" s="807" t="s">
        <v>2582</v>
      </c>
      <c r="AC438" s="1111" t="s">
        <v>2583</v>
      </c>
      <c r="AD438" s="814" t="s">
        <v>2337</v>
      </c>
      <c r="AE438" s="7168"/>
      <c r="AF438" s="7168"/>
      <c r="AG438" s="7168"/>
      <c r="AH438" s="802">
        <f>AG438-AF438</f>
        <v>0</v>
      </c>
      <c r="AI438" s="7168"/>
      <c r="AJ438" s="809"/>
      <c r="AK438" s="809"/>
      <c r="AL438" s="817"/>
      <c r="AM438" s="803"/>
      <c r="AN438" s="803"/>
      <c r="AO438" s="803"/>
      <c r="AP438" s="1741"/>
      <c r="AQ438" s="1741"/>
      <c r="AR438" s="1062" t="s">
        <v>2584</v>
      </c>
      <c r="AS438" s="1062"/>
      <c r="AT438" s="1062"/>
      <c r="AU438" s="1059"/>
      <c r="AV438" s="1059"/>
    </row>
    <row s="1834" customFormat="1" customHeight="1" ht="14.25">
      <c r="A439" s="1741"/>
      <c r="B439" s="1741"/>
      <c r="C439" s="1741"/>
      <c r="D439" s="1741"/>
      <c r="E439" s="695">
        <v>15</v>
      </c>
      <c r="F439" s="50" cm="1" t="str">
        <f t="array" ref="F439:F439">OFFSET(E439,-1,1)</f>
        <v>4</v>
      </c>
      <c r="G439" s="578" t="s">
        <v>2386</v>
      </c>
      <c r="H439" s="1741"/>
      <c r="I439" s="587" t="s">
        <v>2585</v>
      </c>
      <c r="J439" s="587"/>
      <c r="K439" s="587"/>
      <c r="L439" s="587"/>
      <c r="M439" s="587"/>
      <c r="N439" s="587"/>
      <c r="O439" s="587"/>
      <c r="P439" s="587"/>
      <c r="Q439" s="587"/>
      <c r="R439" s="587"/>
      <c r="S439" s="587"/>
      <c r="T439" s="465" cm="1" t="str">
        <f t="array" ref="T439:T439">T438</f>
        <v>true</v>
      </c>
      <c r="U439" s="1741"/>
      <c r="V439" s="1741"/>
      <c r="W439" s="1741"/>
      <c r="X439" s="1641"/>
      <c r="Y439" s="1741"/>
      <c r="Z439" s="1642"/>
      <c r="AA439" s="1741"/>
      <c r="AB439" s="807" t="s">
        <v>2586</v>
      </c>
      <c r="AC439" s="1111" t="s">
        <v>2587</v>
      </c>
      <c r="AD439" s="814" t="s">
        <v>1247</v>
      </c>
      <c r="AE439" s="825">
        <f>AE436-AE437</f>
        <v>0</v>
      </c>
      <c r="AF439" s="825">
        <f>AF436-AF437</f>
        <v>0</v>
      </c>
      <c r="AG439" s="825">
        <f>AG436-AG437</f>
        <v>0</v>
      </c>
      <c r="AH439" s="825">
        <f>AG439-AF439</f>
        <v>0</v>
      </c>
      <c r="AI439" s="825">
        <f>AI436-AI437</f>
        <v>0</v>
      </c>
      <c r="AJ439" s="825">
        <f>AJ436-AJ437</f>
        <v>256.2756375</v>
      </c>
      <c r="AK439" s="825">
        <f>AK436-AK437</f>
        <v>256.2756375</v>
      </c>
      <c r="AL439" s="817"/>
      <c r="AM439" s="803"/>
      <c r="AN439" s="803"/>
      <c r="AO439" s="803"/>
      <c r="AP439" s="1741"/>
      <c r="AQ439" s="1741"/>
      <c r="AR439" s="1062" t="s">
        <v>2588</v>
      </c>
      <c r="AS439" s="1062"/>
      <c r="AT439" s="1062"/>
      <c r="AU439" s="1059"/>
      <c r="AV439" s="1059"/>
    </row>
    <row s="1834" customFormat="1" customHeight="1" ht="14.25">
      <c r="A440" s="1741"/>
      <c r="B440" s="1741"/>
      <c r="C440" s="1741"/>
      <c r="D440" s="1741"/>
      <c r="E440" s="695">
        <v>15</v>
      </c>
      <c r="F440" s="50" cm="1" t="str">
        <f t="array" ref="F440:F440">OFFSET(E440,-1,1)</f>
        <v>4</v>
      </c>
      <c r="G440" s="578" t="s">
        <v>2339</v>
      </c>
      <c r="H440" s="1741"/>
      <c r="I440" s="587" t="s">
        <v>2589</v>
      </c>
      <c r="J440" s="587"/>
      <c r="K440" s="587"/>
      <c r="L440" s="587"/>
      <c r="M440" s="587"/>
      <c r="N440" s="587"/>
      <c r="O440" s="587"/>
      <c r="P440" s="587"/>
      <c r="Q440" s="587"/>
      <c r="R440" s="587"/>
      <c r="S440" s="587"/>
      <c r="T440" s="465" cm="1" t="str">
        <f t="array" ref="T440:T440">T439</f>
        <v>true</v>
      </c>
      <c r="U440" s="1741"/>
      <c r="V440" s="1741"/>
      <c r="W440" s="1741"/>
      <c r="X440" s="1641"/>
      <c r="Y440" s="1741"/>
      <c r="Z440" s="1642"/>
      <c r="AA440" s="1741"/>
      <c r="AB440" s="807" t="s">
        <v>2590</v>
      </c>
      <c r="AC440" s="1111" t="s">
        <v>2591</v>
      </c>
      <c r="AD440" s="814" t="s">
        <v>2337</v>
      </c>
      <c r="AE440" s="7168">
        <f>IF(AE439=0,0,(AE433-AE437*AE438)/AE439)</f>
        <v>0</v>
      </c>
      <c r="AF440" s="7168">
        <f>IF(AF439=0,0,(AF433-AF437*AF438)/AF439)</f>
        <v>0</v>
      </c>
      <c r="AG440" s="7168">
        <f>IF(AG439=0,0,(AG433-AG437*AG438)/AG439)</f>
        <v>0</v>
      </c>
      <c r="AH440" s="802">
        <f>AG440-AF440</f>
        <v>0</v>
      </c>
      <c r="AI440" s="7168">
        <f>IF(AI439=0,0,(AI433-AI437*AI438)/AI439)</f>
        <v>0</v>
      </c>
      <c r="AJ440" s="809">
        <f>IF(AJ439=0,0,(AJ433-AJ437*AJ438)/AJ439)</f>
        <v>425.449778128321</v>
      </c>
      <c r="AK440" s="809">
        <f>IF(AK439=0,0,(AK433-AK437*AK438)/AK439)</f>
        <v>425.449778128321</v>
      </c>
      <c r="AL440" s="817"/>
      <c r="AM440" s="803"/>
      <c r="AN440" s="803"/>
      <c r="AO440" s="803"/>
      <c r="AP440" s="1741"/>
      <c r="AQ440" s="1741"/>
      <c r="AR440" s="1062" t="s">
        <v>2592</v>
      </c>
      <c r="AS440" s="1062"/>
      <c r="AT440" s="1062"/>
      <c r="AU440" s="1059"/>
      <c r="AV440" s="1059"/>
    </row>
    <row s="1834" customFormat="1" customHeight="1" ht="14.25">
      <c r="A441" s="1741"/>
      <c r="B441" s="1741"/>
      <c r="C441" s="1741"/>
      <c r="D441" s="1741"/>
      <c r="E441" s="695">
        <v>15</v>
      </c>
      <c r="F441" s="50" cm="1" t="str">
        <f t="array" ref="F441:F441">OFFSET(E441,-1,1)</f>
        <v>4</v>
      </c>
      <c r="G441" s="578"/>
      <c r="H441" s="1741"/>
      <c r="I441" s="587" t="s">
        <v>2593</v>
      </c>
      <c r="J441" s="587"/>
      <c r="K441" s="587"/>
      <c r="L441" s="587"/>
      <c r="M441" s="587"/>
      <c r="N441" s="587"/>
      <c r="O441" s="587"/>
      <c r="P441" s="587"/>
      <c r="Q441" s="587"/>
      <c r="R441" s="587"/>
      <c r="S441" s="587"/>
      <c r="T441" s="465" cm="1" t="str">
        <f t="array" ref="T441:T441">T440</f>
        <v>true</v>
      </c>
      <c r="U441" s="1741"/>
      <c r="V441" s="1741"/>
      <c r="W441" s="1741"/>
      <c r="X441" s="1641"/>
      <c r="Y441" s="1741"/>
      <c r="Z441" s="1642"/>
      <c r="AA441" s="1741"/>
      <c r="AB441" s="807" t="s">
        <v>2594</v>
      </c>
      <c r="AC441" s="1111" t="s">
        <v>2595</v>
      </c>
      <c r="AD441" s="814" t="s">
        <v>1170</v>
      </c>
      <c r="AE441" s="802">
        <f>IF(AE438=0,0,AE440/AE438*100)</f>
        <v>0</v>
      </c>
      <c r="AF441" s="802">
        <f>IF(AF438=0,0,AF440/AF438*100)</f>
        <v>0</v>
      </c>
      <c r="AG441" s="802">
        <f>IF(AG438=0,0,AG440/AG438*100)</f>
        <v>0</v>
      </c>
      <c r="AH441" s="817"/>
      <c r="AI441" s="802">
        <f>IF(AI438=0,0,AI440/AI438*100)</f>
        <v>0</v>
      </c>
      <c r="AJ441" s="802">
        <f>IF(AJ438=0,0,AJ440/AJ438*100)</f>
        <v>0</v>
      </c>
      <c r="AK441" s="802">
        <f>IF(AK438=0,0,AK440/AK438*100)</f>
        <v>0</v>
      </c>
      <c r="AL441" s="817"/>
      <c r="AM441" s="803"/>
      <c r="AN441" s="803"/>
      <c r="AO441" s="803"/>
      <c r="AP441" s="1741"/>
      <c r="AQ441" s="1741"/>
      <c r="AR441" s="1062" t="s">
        <v>2596</v>
      </c>
      <c r="AS441" s="1062"/>
      <c r="AT441" s="1062"/>
      <c r="AU441" s="1059"/>
      <c r="AV441" s="1059"/>
    </row>
    <row s="1834" customFormat="1" customHeight="1" ht="14.25">
      <c r="A442" s="1741"/>
      <c r="B442" s="1741"/>
      <c r="C442" s="1741"/>
      <c r="D442" s="1741"/>
      <c r="E442" s="695">
        <v>15</v>
      </c>
      <c r="F442" s="50" cm="1" t="str">
        <f t="array" ref="F442:F442">OFFSET(E442,-1,1)</f>
        <v>4</v>
      </c>
      <c r="G442" s="578"/>
      <c r="H442" s="1741"/>
      <c r="I442" s="587" t="s">
        <v>2597</v>
      </c>
      <c r="J442" s="587"/>
      <c r="K442" s="587"/>
      <c r="L442" s="587"/>
      <c r="M442" s="587"/>
      <c r="N442" s="587"/>
      <c r="O442" s="587"/>
      <c r="P442" s="587"/>
      <c r="Q442" s="587"/>
      <c r="R442" s="587"/>
      <c r="S442" s="587"/>
      <c r="T442" s="465" cm="1" t="str">
        <f t="array" ref="T442:T442">T441</f>
        <v>true</v>
      </c>
      <c r="U442" s="1741"/>
      <c r="V442" s="1741"/>
      <c r="W442" s="1741"/>
      <c r="X442" s="1641"/>
      <c r="Y442" s="1741"/>
      <c r="Z442" s="1642"/>
      <c r="AA442" s="1741"/>
      <c r="AB442" s="807" t="s">
        <v>2598</v>
      </c>
      <c r="AC442" s="1111" t="s">
        <v>2599</v>
      </c>
      <c r="AD442" s="814" t="s">
        <v>2337</v>
      </c>
      <c r="AE442" s="7168">
        <f>IF(AE436=0,0,AE433/AE436)</f>
        <v>0</v>
      </c>
      <c r="AF442" s="7168">
        <f>IF(AF436=0,0,AF433/AF436)</f>
        <v>0</v>
      </c>
      <c r="AG442" s="7168">
        <f>IF(AG436=0,0,AG433/AG436)</f>
        <v>0</v>
      </c>
      <c r="AH442" s="802">
        <f>AG442-AF442</f>
        <v>0</v>
      </c>
      <c r="AI442" s="7168">
        <f>IF(AI436=0,0,AI433/AI436)</f>
        <v>0</v>
      </c>
      <c r="AJ442" s="809">
        <f>IF(AJ436=0,0,AJ433/AJ436)</f>
        <v>106.36244453208</v>
      </c>
      <c r="AK442" s="809">
        <f>IF(AK436=0,0,AK433/AK436)</f>
        <v>106.36244453208</v>
      </c>
      <c r="AL442" s="817"/>
      <c r="AM442" s="803"/>
      <c r="AN442" s="803"/>
      <c r="AO442" s="803"/>
      <c r="AP442" s="1741"/>
      <c r="AQ442" s="1741"/>
      <c r="AR442" s="1062" t="s">
        <v>2600</v>
      </c>
      <c r="AS442" s="1062"/>
      <c r="AT442" s="1062"/>
      <c r="AU442" s="1059"/>
      <c r="AV442" s="1059"/>
    </row>
    <row s="7345" customFormat="1" customHeight="1" ht="14.25">
      <c r="A443" s="588"/>
      <c r="B443" s="588"/>
      <c r="C443" s="588"/>
      <c r="D443" s="588"/>
      <c r="E443" s="697">
        <v>15</v>
      </c>
      <c r="F443" s="50" cm="1" t="str">
        <f t="array" ref="F443:F443">OFFSET(E443,-1,1)</f>
        <v>4</v>
      </c>
      <c r="G443" s="700"/>
      <c r="H443" s="588"/>
      <c r="I443" s="698" t="s">
        <v>2601</v>
      </c>
      <c r="J443" s="698"/>
      <c r="K443" s="698"/>
      <c r="L443" s="698"/>
      <c r="M443" s="698"/>
      <c r="N443" s="698"/>
      <c r="O443" s="698"/>
      <c r="P443" s="698"/>
      <c r="Q443" s="698"/>
      <c r="R443" s="698"/>
      <c r="S443" s="698"/>
      <c r="T443" s="465" cm="1" t="str">
        <f t="array" ref="T443:T443">T442</f>
        <v>true</v>
      </c>
      <c r="U443" s="588"/>
      <c r="V443" s="588"/>
      <c r="W443" s="588"/>
      <c r="X443" s="1641"/>
      <c r="Y443" s="588"/>
      <c r="Z443" s="1642"/>
      <c r="AA443" s="588"/>
      <c r="AB443" s="804" t="s">
        <v>511</v>
      </c>
      <c r="AC443" s="212" t="s">
        <v>2602</v>
      </c>
      <c r="AD443" s="812" t="s">
        <v>1514</v>
      </c>
      <c r="AE443" s="7201">
        <f>IF(AE436=0,0,AE433/AE436*AE444)</f>
        <v>0</v>
      </c>
      <c r="AF443" s="7201">
        <f>IF(AF436=0,0,AF433/AF436*AF444)</f>
        <v>0</v>
      </c>
      <c r="AG443" s="7201">
        <f>IF(AG436=0,0,AG433/AG436*AG444)</f>
        <v>0</v>
      </c>
      <c r="AH443" s="788">
        <f>AH445*AH446+AH447*AH448</f>
        <v>0</v>
      </c>
      <c r="AI443" s="7201">
        <f>IF(AI436=0,0,AI433/AI436*AI444)</f>
        <v>0</v>
      </c>
      <c r="AJ443" s="1234">
        <f>IF(AJ436=0,0,AJ433/AJ436*AJ444)</f>
        <v>81768.516007292</v>
      </c>
      <c r="AK443" s="1234">
        <f>IF(AK436=0,0,AK433/AK436*AK444)</f>
        <v>81768.516007292</v>
      </c>
      <c r="AL443" s="801">
        <f>IF(AI443=0,0,(AK443-AI443)/AI443*100)</f>
        <v>0</v>
      </c>
      <c r="AM443" s="806"/>
      <c r="AN443" s="806"/>
      <c r="AO443" s="806"/>
      <c r="AP443" s="588"/>
      <c r="AQ443" s="588"/>
      <c r="AR443" s="1063" t="s">
        <v>2603</v>
      </c>
      <c r="AS443" s="1063"/>
      <c r="AT443" s="1063"/>
      <c r="AU443" s="697"/>
      <c r="AV443" s="697"/>
    </row>
    <row s="7346" customFormat="1" customHeight="1" ht="14.25">
      <c r="A444" s="588"/>
      <c r="B444" s="588"/>
      <c r="C444" s="588"/>
      <c r="D444" s="588"/>
      <c r="E444" s="697">
        <v>15</v>
      </c>
      <c r="F444" s="50" cm="1" t="str">
        <f t="array" ref="F444:F444">OFFSET(E444,-1,1)</f>
        <v>4</v>
      </c>
      <c r="G444" s="578" t="s">
        <v>2359</v>
      </c>
      <c r="H444" s="588"/>
      <c r="I444" s="698" t="s">
        <v>2604</v>
      </c>
      <c r="J444" s="698"/>
      <c r="K444" s="698"/>
      <c r="L444" s="698"/>
      <c r="M444" s="698"/>
      <c r="N444" s="698"/>
      <c r="O444" s="698"/>
      <c r="P444" s="698"/>
      <c r="Q444" s="698"/>
      <c r="R444" s="698"/>
      <c r="S444" s="698"/>
      <c r="T444" s="465" cm="1" t="str">
        <f t="array" ref="T444:T444">T443</f>
        <v>true</v>
      </c>
      <c r="U444" s="588"/>
      <c r="V444" s="588"/>
      <c r="W444" s="588"/>
      <c r="X444" s="1641"/>
      <c r="Y444" s="588"/>
      <c r="Z444" s="1642"/>
      <c r="AA444" s="588"/>
      <c r="AB444" s="804" t="s">
        <v>514</v>
      </c>
      <c r="AC444" s="212" t="s">
        <v>2605</v>
      </c>
      <c r="AD444" s="812" t="s">
        <v>1247</v>
      </c>
      <c r="AE444" s="822">
        <f>_xlfn.SUMIFS(Баланс!AE$26:AE$482,Баланс!$F$26:$F$482,$F444,Баланс!$G$26:$G$482,"население")</f>
        <v>0</v>
      </c>
      <c r="AF444" s="822">
        <f>_xlfn.SUMIFS(Баланс!AF$26:AF$482,Баланс!$F$26:$F$482,$F444,Баланс!$G$26:$G$482,"население")</f>
        <v>0</v>
      </c>
      <c r="AG444" s="822">
        <f>_xlfn.SUMIFS(Баланс!AG$26:AG$482,Баланс!$F$26:$F$482,$F444,Баланс!$G$26:$G$482,"население")</f>
        <v>0</v>
      </c>
      <c r="AH444" s="822">
        <f>AG444-AF444</f>
        <v>0</v>
      </c>
      <c r="AI444" s="822">
        <f>_xlfn.SUMIFS(Баланс!AH$26:AH$482,Баланс!$F$26:$F$482,$F444,Баланс!$G$26:$G$482,"население")</f>
        <v>0</v>
      </c>
      <c r="AJ444" s="822">
        <f>_xlfn.SUMIFS(Баланс!AI$26:AI$482,Баланс!$F$26:$F$482,$F444,Баланс!$G$26:$G$482,"население")</f>
        <v>768.77244</v>
      </c>
      <c r="AK444" s="822">
        <f>_xlfn.SUMIFS(Баланс!AS$26:AS$482,Баланс!$F$26:$F$482,$F444,Баланс!$G$26:$G$482,"население")</f>
        <v>768.77244</v>
      </c>
      <c r="AL444" s="823"/>
      <c r="AM444" s="806"/>
      <c r="AN444" s="806"/>
      <c r="AO444" s="806"/>
      <c r="AP444" s="588"/>
      <c r="AQ444" s="588"/>
      <c r="AR444" s="1063" t="s">
        <v>2606</v>
      </c>
      <c r="AS444" s="1063"/>
      <c r="AT444" s="1063"/>
      <c r="AU444" s="697"/>
      <c r="AV444" s="697"/>
    </row>
    <row s="1834" customFormat="1" customHeight="1" ht="14.25">
      <c r="A445" s="1741"/>
      <c r="B445" s="1741"/>
      <c r="C445" s="1741"/>
      <c r="D445" s="1741"/>
      <c r="E445" s="695">
        <v>15</v>
      </c>
      <c r="F445" s="50" cm="1" t="str">
        <f t="array" ref="F445:F445">OFFSET(E445,-1,1)</f>
        <v>4</v>
      </c>
      <c r="G445" s="578" t="s">
        <v>2393</v>
      </c>
      <c r="H445" s="1741"/>
      <c r="I445" s="587" t="s">
        <v>2607</v>
      </c>
      <c r="J445" s="587"/>
      <c r="K445" s="587"/>
      <c r="L445" s="587"/>
      <c r="M445" s="587"/>
      <c r="N445" s="587"/>
      <c r="O445" s="587"/>
      <c r="P445" s="587"/>
      <c r="Q445" s="587"/>
      <c r="R445" s="587"/>
      <c r="S445" s="587"/>
      <c r="T445" s="465" cm="1" t="str">
        <f t="array" ref="T445:T445">T444</f>
        <v>true</v>
      </c>
      <c r="U445" s="1741"/>
      <c r="V445" s="1741"/>
      <c r="W445" s="1741"/>
      <c r="X445" s="1641"/>
      <c r="Y445" s="1741"/>
      <c r="Z445" s="1642"/>
      <c r="AA445" s="1741"/>
      <c r="AB445" s="807" t="s">
        <v>2608</v>
      </c>
      <c r="AC445" s="1111" t="s">
        <v>2609</v>
      </c>
      <c r="AD445" s="814" t="s">
        <v>1247</v>
      </c>
      <c r="AE445" s="7197">
        <f>IF(AE$24="2026 год",AE444/12*9,AE444/2)</f>
        <v>0</v>
      </c>
      <c r="AF445" s="7197">
        <f>IF(AF$24="2026 год",AF444/12*9,AF444/2)</f>
        <v>0</v>
      </c>
      <c r="AG445" s="7197">
        <f>IF(AG$24="2026 год",AG444/12*9,AG444/2)</f>
        <v>0</v>
      </c>
      <c r="AH445" s="825">
        <f>AG445-AF445</f>
        <v>0</v>
      </c>
      <c r="AI445" s="7197">
        <f>IF(AI$24="2026 год",AI444/12*9,AI444/2)</f>
        <v>0</v>
      </c>
      <c r="AJ445" s="824">
        <f>IF(AJ$24="2026 год",AJ444/12*9,AJ444/2)</f>
        <v>576.57933</v>
      </c>
      <c r="AK445" s="824">
        <f>IF(AK$24="2026 год",AK444/12*9,AK444/2)</f>
        <v>576.57933</v>
      </c>
      <c r="AL445" s="817"/>
      <c r="AM445" s="803"/>
      <c r="AN445" s="803"/>
      <c r="AO445" s="803"/>
      <c r="AP445" s="1741"/>
      <c r="AQ445" s="1741"/>
      <c r="AR445" s="1062" t="s">
        <v>2610</v>
      </c>
      <c r="AS445" s="1062"/>
      <c r="AT445" s="1062"/>
      <c r="AU445" s="1059"/>
      <c r="AV445" s="1059"/>
    </row>
    <row s="1834" customFormat="1" customHeight="1" ht="14.25">
      <c r="A446" s="1741"/>
      <c r="B446" s="1741"/>
      <c r="C446" s="1741"/>
      <c r="D446" s="1741"/>
      <c r="E446" s="695">
        <v>15</v>
      </c>
      <c r="F446" s="50" cm="1" t="str">
        <f t="array" ref="F446:F446">OFFSET(E446,-1,1)</f>
        <v>4</v>
      </c>
      <c r="G446" s="578" t="s">
        <v>2349</v>
      </c>
      <c r="H446" s="1741"/>
      <c r="I446" s="587" t="s">
        <v>2611</v>
      </c>
      <c r="J446" s="587"/>
      <c r="K446" s="587"/>
      <c r="L446" s="587"/>
      <c r="M446" s="587"/>
      <c r="N446" s="587"/>
      <c r="O446" s="587"/>
      <c r="P446" s="587"/>
      <c r="Q446" s="587"/>
      <c r="R446" s="587"/>
      <c r="S446" s="587"/>
      <c r="T446" s="465" cm="1" t="str">
        <f t="array" ref="T446:T446">T445</f>
        <v>true</v>
      </c>
      <c r="U446" s="1741"/>
      <c r="V446" s="1741"/>
      <c r="W446" s="1741"/>
      <c r="X446" s="1641"/>
      <c r="Y446" s="1741"/>
      <c r="Z446" s="1642"/>
      <c r="AA446" s="1741"/>
      <c r="AB446" s="807" t="s">
        <v>2612</v>
      </c>
      <c r="AC446" s="1111" t="s">
        <v>2613</v>
      </c>
      <c r="AD446" s="814" t="s">
        <v>2337</v>
      </c>
      <c r="AE446" s="7202">
        <f>IF(AE444=0,0,AE438*(1+Сценарии!AE$26/100))</f>
        <v>0</v>
      </c>
      <c r="AF446" s="7202">
        <f>IF(AF444=0,0,AF438*(1+Сценарии!AF$26/100))</f>
        <v>0</v>
      </c>
      <c r="AG446" s="7202">
        <f>IF(AG444=0,0,AG438*(1+Сценарии!AG$26/100))</f>
        <v>0</v>
      </c>
      <c r="AH446" s="802">
        <f>AG446-AF446</f>
        <v>0</v>
      </c>
      <c r="AI446" s="7202">
        <f>IF(AI444=0,0,AI438*(1+Сценарии!AI$26/100))</f>
        <v>0</v>
      </c>
      <c r="AJ446" s="1355">
        <f>IF(AJ444=0,0,AJ438*(1+Сценарии!AJ$26/100))</f>
        <v>0</v>
      </c>
      <c r="AK446" s="1355">
        <f>IF(AK444=0,0,AK438*(1+Сценарии!AK$26/100))</f>
        <v>0</v>
      </c>
      <c r="AL446" s="817"/>
      <c r="AM446" s="803"/>
      <c r="AN446" s="803"/>
      <c r="AO446" s="803"/>
      <c r="AP446" s="1741"/>
      <c r="AQ446" s="1741"/>
      <c r="AR446" s="1062" t="s">
        <v>2614</v>
      </c>
      <c r="AS446" s="1062"/>
      <c r="AT446" s="1062"/>
      <c r="AU446" s="1059"/>
      <c r="AV446" s="1059"/>
    </row>
    <row s="1834" customFormat="1" customHeight="1" ht="14.25">
      <c r="A447" s="1741"/>
      <c r="B447" s="1741"/>
      <c r="C447" s="1741"/>
      <c r="D447" s="1741"/>
      <c r="E447" s="695">
        <v>15</v>
      </c>
      <c r="F447" s="50" cm="1" t="str">
        <f t="array" ref="F447:F447">OFFSET(E447,-1,1)</f>
        <v>4</v>
      </c>
      <c r="G447" s="578" t="s">
        <v>2400</v>
      </c>
      <c r="H447" s="1741"/>
      <c r="I447" s="587" t="s">
        <v>2615</v>
      </c>
      <c r="J447" s="587"/>
      <c r="K447" s="587"/>
      <c r="L447" s="587"/>
      <c r="M447" s="587"/>
      <c r="N447" s="587"/>
      <c r="O447" s="587"/>
      <c r="P447" s="587"/>
      <c r="Q447" s="587"/>
      <c r="R447" s="587"/>
      <c r="S447" s="587"/>
      <c r="T447" s="465" cm="1" t="str">
        <f t="array" ref="T447:T447">T446</f>
        <v>true</v>
      </c>
      <c r="U447" s="1741"/>
      <c r="V447" s="1741"/>
      <c r="W447" s="1741"/>
      <c r="X447" s="1641"/>
      <c r="Y447" s="1741"/>
      <c r="Z447" s="1642"/>
      <c r="AA447" s="1741"/>
      <c r="AB447" s="807" t="s">
        <v>2616</v>
      </c>
      <c r="AC447" s="1111" t="s">
        <v>2587</v>
      </c>
      <c r="AD447" s="814" t="s">
        <v>1247</v>
      </c>
      <c r="AE447" s="825">
        <f>AE444-AE445</f>
        <v>0</v>
      </c>
      <c r="AF447" s="825">
        <f>AF444-AF445</f>
        <v>0</v>
      </c>
      <c r="AG447" s="825">
        <f>AG444-AG445</f>
        <v>0</v>
      </c>
      <c r="AH447" s="825">
        <f>AG447-AF447</f>
        <v>0</v>
      </c>
      <c r="AI447" s="825">
        <f>AI444-AI445</f>
        <v>0</v>
      </c>
      <c r="AJ447" s="825">
        <f>AJ444-AJ445</f>
        <v>192.19311</v>
      </c>
      <c r="AK447" s="825">
        <f>AK444-AK445</f>
        <v>192.19311</v>
      </c>
      <c r="AL447" s="817"/>
      <c r="AM447" s="803"/>
      <c r="AN447" s="803"/>
      <c r="AO447" s="803"/>
      <c r="AP447" s="1741"/>
      <c r="AQ447" s="1741"/>
      <c r="AR447" s="1062" t="s">
        <v>2617</v>
      </c>
      <c r="AS447" s="1062"/>
      <c r="AT447" s="1062"/>
      <c r="AU447" s="1059"/>
      <c r="AV447" s="1059"/>
    </row>
    <row s="1834" customFormat="1" customHeight="1" ht="14.25">
      <c r="A448" s="1741"/>
      <c r="B448" s="1741"/>
      <c r="C448" s="1741"/>
      <c r="D448" s="1741"/>
      <c r="E448" s="695">
        <v>15</v>
      </c>
      <c r="F448" s="50" cm="1" t="str">
        <f t="array" ref="F448:F448">OFFSET(E448,-1,1)</f>
        <v>4</v>
      </c>
      <c r="G448" s="578" t="s">
        <v>2353</v>
      </c>
      <c r="H448" s="1741"/>
      <c r="I448" s="587" t="s">
        <v>2618</v>
      </c>
      <c r="J448" s="587"/>
      <c r="K448" s="587"/>
      <c r="L448" s="587"/>
      <c r="M448" s="587"/>
      <c r="N448" s="587"/>
      <c r="O448" s="587"/>
      <c r="P448" s="587"/>
      <c r="Q448" s="587"/>
      <c r="R448" s="587"/>
      <c r="S448" s="587"/>
      <c r="T448" s="465" cm="1" t="str">
        <f t="array" ref="T448:T448">T447</f>
        <v>true</v>
      </c>
      <c r="U448" s="1741"/>
      <c r="V448" s="1741"/>
      <c r="W448" s="1741"/>
      <c r="X448" s="1641"/>
      <c r="Y448" s="1741"/>
      <c r="Z448" s="1642"/>
      <c r="AA448" s="1741"/>
      <c r="AB448" s="807" t="s">
        <v>2619</v>
      </c>
      <c r="AC448" s="1111" t="s">
        <v>2620</v>
      </c>
      <c r="AD448" s="814" t="s">
        <v>2337</v>
      </c>
      <c r="AE448" s="7168">
        <f>IF(AE444=0,0,AE440*(1+Сценарии!AE$26/100))</f>
        <v>0</v>
      </c>
      <c r="AF448" s="7168">
        <f>IF(AF444=0,0,AF440*(1+Сценарии!AF$26/100))</f>
        <v>0</v>
      </c>
      <c r="AG448" s="7168">
        <f>IF(AG444=0,0,AG440*(1+Сценарии!AG$26/100))</f>
        <v>0</v>
      </c>
      <c r="AH448" s="802">
        <f>AG448-AF448</f>
        <v>0</v>
      </c>
      <c r="AI448" s="7168">
        <f>IF(AI444=0,0,AI440*(1+Сценарии!AI$26/100))</f>
        <v>0</v>
      </c>
      <c r="AJ448" s="809">
        <f>IF(AJ444=0,0,AJ440*(1+Сценарии!AJ$26/100))</f>
        <v>519.048729316552</v>
      </c>
      <c r="AK448" s="809">
        <f>IF(AK444=0,0,AK440*(1+Сценарии!AK$26/100))</f>
        <v>519.048729316552</v>
      </c>
      <c r="AL448" s="817"/>
      <c r="AM448" s="803"/>
      <c r="AN448" s="803"/>
      <c r="AO448" s="803"/>
      <c r="AP448" s="1741"/>
      <c r="AQ448" s="1741"/>
      <c r="AR448" s="1062" t="s">
        <v>2621</v>
      </c>
      <c r="AS448" s="1062"/>
      <c r="AT448" s="1062"/>
      <c r="AU448" s="1059"/>
      <c r="AV448" s="1059"/>
    </row>
    <row s="1834" customFormat="1" customHeight="1" ht="14.25">
      <c r="A449" s="1741"/>
      <c r="B449" s="1741"/>
      <c r="C449" s="1741"/>
      <c r="D449" s="1741"/>
      <c r="E449" s="695">
        <v>15</v>
      </c>
      <c r="F449" s="50" cm="1" t="str">
        <f t="array" ref="F449:F449">OFFSET(E449,-1,1)</f>
        <v>4</v>
      </c>
      <c r="G449" s="578"/>
      <c r="H449" s="1741"/>
      <c r="I449" s="587"/>
      <c r="J449" s="587"/>
      <c r="K449" s="587"/>
      <c r="L449" s="587"/>
      <c r="M449" s="587"/>
      <c r="N449" s="587"/>
      <c r="O449" s="587"/>
      <c r="P449" s="587"/>
      <c r="Q449" s="587"/>
      <c r="R449" s="587"/>
      <c r="S449" s="587"/>
      <c r="T449" s="465" cm="1" t="str">
        <f t="array" ref="T449:T449">T448</f>
        <v>true</v>
      </c>
      <c r="U449" s="1741"/>
      <c r="V449" s="1741"/>
      <c r="W449" s="1741"/>
      <c r="X449" s="1641"/>
      <c r="Y449" s="1741"/>
      <c r="Z449" s="1642"/>
      <c r="AA449" s="1741"/>
      <c r="AB449" s="218" t="s">
        <v>517</v>
      </c>
      <c r="AC449" s="212" t="s">
        <v>2622</v>
      </c>
      <c r="AD449" s="211" t="s">
        <v>1514</v>
      </c>
      <c r="AE449" s="7168"/>
      <c r="AF449" s="7168"/>
      <c r="AG449" s="7168"/>
      <c r="AH449" s="802">
        <f>AG449-AF449</f>
        <v>0</v>
      </c>
      <c r="AI449" s="7168"/>
      <c r="AJ449" s="809"/>
      <c r="AK449" s="809"/>
      <c r="AL449" s="817"/>
      <c r="AM449" s="803"/>
      <c r="AN449" s="803"/>
      <c r="AO449" s="803"/>
      <c r="AP449" s="1741"/>
      <c r="AQ449" s="1741"/>
      <c r="AR449" s="1062" t="s">
        <v>2623</v>
      </c>
      <c r="AS449" s="1062"/>
      <c r="AT449" s="1062"/>
      <c r="AU449" s="1059"/>
      <c r="AV449" s="1059"/>
    </row>
    <row s="1834" customFormat="1" customHeight="1" ht="21.75">
      <c r="A450" s="1741"/>
      <c r="B450" s="1741"/>
      <c r="C450" s="1741"/>
      <c r="D450" s="1741"/>
      <c r="E450" s="695">
        <v>22.5</v>
      </c>
      <c r="F450" s="50" cm="1" t="str">
        <f t="array" ref="F450:F450">OFFSET(E450,-1,1)</f>
        <v>4</v>
      </c>
      <c r="G450" s="578"/>
      <c r="H450" s="1741"/>
      <c r="I450" s="587"/>
      <c r="J450" s="587"/>
      <c r="K450" s="587"/>
      <c r="L450" s="587"/>
      <c r="M450" s="587"/>
      <c r="N450" s="587"/>
      <c r="O450" s="587"/>
      <c r="P450" s="587"/>
      <c r="Q450" s="587"/>
      <c r="R450" s="587"/>
      <c r="S450" s="587"/>
      <c r="T450" s="465" cm="1" t="str">
        <f t="array" ref="T450:T450">T449</f>
        <v>true</v>
      </c>
      <c r="U450" s="1741"/>
      <c r="V450" s="1741"/>
      <c r="W450" s="1741"/>
      <c r="X450" s="1641"/>
      <c r="Y450" s="1741"/>
      <c r="Z450" s="1642"/>
      <c r="AA450" s="1741"/>
      <c r="AB450" s="299" t="s">
        <v>2624</v>
      </c>
      <c r="AC450" s="762" t="s">
        <v>2625</v>
      </c>
      <c r="AD450" s="300" t="s">
        <v>1514</v>
      </c>
      <c r="AE450" s="7168"/>
      <c r="AF450" s="7168"/>
      <c r="AG450" s="7168"/>
      <c r="AH450" s="802">
        <f>AG450-AF450</f>
        <v>0</v>
      </c>
      <c r="AI450" s="7168"/>
      <c r="AJ450" s="809"/>
      <c r="AK450" s="809"/>
      <c r="AL450" s="817"/>
      <c r="AM450" s="803"/>
      <c r="AN450" s="803"/>
      <c r="AO450" s="803"/>
      <c r="AP450" s="1741"/>
      <c r="AQ450" s="1741"/>
      <c r="AR450" s="1062" t="s">
        <v>2626</v>
      </c>
      <c r="AS450" s="1062"/>
      <c r="AT450" s="1062"/>
      <c r="AU450" s="1059"/>
      <c r="AV450" s="1059"/>
    </row>
    <row s="1834" customFormat="1" customHeight="1" ht="69.75">
      <c r="A451" s="1741"/>
      <c r="B451" s="1741"/>
      <c r="C451" s="1741"/>
      <c r="D451" s="1741"/>
      <c r="E451" s="695">
        <v>72</v>
      </c>
      <c r="F451" s="50" cm="1" t="str">
        <f t="array" ref="F451:F451">OFFSET(E451,-1,1)</f>
        <v>4</v>
      </c>
      <c r="G451" s="578"/>
      <c r="H451" s="1741"/>
      <c r="I451" s="587"/>
      <c r="J451" s="587"/>
      <c r="K451" s="587"/>
      <c r="L451" s="587"/>
      <c r="M451" s="587"/>
      <c r="N451" s="587"/>
      <c r="O451" s="587"/>
      <c r="P451" s="587"/>
      <c r="Q451" s="587"/>
      <c r="R451" s="587"/>
      <c r="S451" s="587"/>
      <c r="T451" s="465" cm="1" t="str">
        <f t="array" ref="T451:T451">T450</f>
        <v>true</v>
      </c>
      <c r="U451" s="1741"/>
      <c r="V451" s="1741"/>
      <c r="W451" s="1741"/>
      <c r="X451" s="1641"/>
      <c r="Y451" s="1741"/>
      <c r="Z451" s="1642"/>
      <c r="AA451" s="1741"/>
      <c r="AB451" s="299" t="s">
        <v>2627</v>
      </c>
      <c r="AC451" s="762" t="s">
        <v>2628</v>
      </c>
      <c r="AD451" s="300" t="s">
        <v>1514</v>
      </c>
      <c r="AE451" s="7168"/>
      <c r="AF451" s="7168"/>
      <c r="AG451" s="7168"/>
      <c r="AH451" s="802">
        <f>AG451-AF451</f>
        <v>0</v>
      </c>
      <c r="AI451" s="7168"/>
      <c r="AJ451" s="809"/>
      <c r="AK451" s="809"/>
      <c r="AL451" s="817"/>
      <c r="AM451" s="803"/>
      <c r="AN451" s="803"/>
      <c r="AO451" s="803"/>
      <c r="AP451" s="1741"/>
      <c r="AQ451" s="1741"/>
      <c r="AR451" s="1062" t="s">
        <v>2629</v>
      </c>
      <c r="AS451" s="1062"/>
      <c r="AT451" s="1062"/>
      <c r="AU451" s="1059"/>
      <c r="AV451" s="1059"/>
    </row>
    <row customHeight="1" ht="10.725000000000001">
      <c r="E452" s="695">
        <v>11</v>
      </c>
      <c r="U452" s="694" t="s">
        <v>178</v>
      </c>
      <c r="V452" s="1235" t="s">
        <v>2630</v>
      </c>
      <c r="AB452" s="591"/>
      <c r="AC452" s="592"/>
      <c r="AD452" s="591"/>
      <c r="AE452" s="578"/>
      <c r="AF452" s="578"/>
      <c r="AG452" s="578"/>
      <c r="AH452" s="578"/>
      <c r="AI452" s="578"/>
      <c r="AJ452" s="578"/>
      <c r="AK452" s="578"/>
      <c r="AL452" s="578"/>
      <c r="AM452" s="578"/>
      <c r="AN452" s="578"/>
      <c r="AO452" s="578"/>
    </row>
    <row customHeight="1" ht="14.625">
      <c r="E453" s="695">
        <v>15</v>
      </c>
      <c r="AB453" s="1577" t="s">
        <v>407</v>
      </c>
      <c r="AC453" s="1577"/>
      <c r="AD453" s="1577"/>
      <c r="AE453" s="1577"/>
      <c r="AF453" s="1577"/>
      <c r="AG453" s="1577"/>
      <c r="AH453" s="1577"/>
      <c r="AI453" s="1577"/>
      <c r="AJ453" s="1577"/>
      <c r="AK453" s="1577"/>
      <c r="AL453" s="1577"/>
      <c r="AM453" s="1577"/>
      <c r="AN453" s="1577"/>
      <c r="AO453" s="1577"/>
    </row>
    <row customHeight="1" ht="14.625">
      <c r="E454" s="695">
        <v>15</v>
      </c>
      <c r="AA454" s="1236"/>
      <c r="AB454" s="1628"/>
      <c r="AC454" s="1629"/>
      <c r="AD454" s="1629"/>
      <c r="AE454" s="1629"/>
      <c r="AF454" s="1629"/>
      <c r="AG454" s="1629"/>
      <c r="AH454" s="1629"/>
      <c r="AI454" s="1629"/>
      <c r="AJ454" s="1629"/>
      <c r="AK454" s="1629"/>
      <c r="AL454" s="1629"/>
      <c r="AM454" s="1629"/>
      <c r="AN454" s="1629"/>
      <c r="AO454" s="1629"/>
    </row>
    <row customHeight="1" ht="14.625" hidden="1">
      <c r="A455" s="1741"/>
      <c r="B455" s="1741"/>
      <c r="C455" s="1741"/>
      <c r="D455" s="1741"/>
      <c r="E455" s="695">
        <v>15</v>
      </c>
      <c r="F455" s="1741"/>
      <c r="G455" s="1741"/>
      <c r="H455" s="1741"/>
      <c r="I455" s="1741"/>
      <c r="J455" s="1741"/>
      <c r="K455" s="1741"/>
      <c r="L455" s="1741"/>
      <c r="M455" s="1741"/>
      <c r="N455" s="1741"/>
      <c r="O455" s="1741"/>
      <c r="P455" s="1741"/>
      <c r="Q455" s="1741"/>
      <c r="R455" s="1741"/>
      <c r="S455" s="1741"/>
      <c r="T455" s="465">
        <f>ROW(W455)&gt;ROW(W$455)</f>
        <v>0</v>
      </c>
      <c r="U455" s="1741"/>
      <c r="V455" s="1741"/>
      <c r="W455" s="757" t="s">
        <v>174</v>
      </c>
      <c r="X455" s="122"/>
      <c r="Y455" s="122"/>
      <c r="Z455" s="122"/>
      <c r="AA455" s="662" t="s">
        <v>175</v>
      </c>
      <c r="AB455" s="3522"/>
      <c r="AC455" s="3238"/>
      <c r="AD455" s="3238"/>
      <c r="AE455" s="3238"/>
      <c r="AF455" s="3238"/>
      <c r="AG455" s="3238"/>
      <c r="AH455" s="3238"/>
      <c r="AI455" s="3238"/>
      <c r="AJ455" s="3238"/>
      <c r="AK455" s="3238"/>
      <c r="AL455" s="3238"/>
      <c r="AM455" s="3238"/>
      <c r="AN455" s="3238"/>
      <c r="AO455" s="3523"/>
      <c r="AP455" s="1741"/>
      <c r="AQ455" s="1741"/>
      <c r="AR455" s="1062"/>
      <c r="AS455" s="1062"/>
      <c r="AT455" s="1062"/>
      <c r="AU455" s="1059"/>
      <c r="AV455" s="1059"/>
    </row>
    <row customHeight="1" ht="14.625">
      <c r="E456" s="695">
        <v>15</v>
      </c>
      <c r="W456" s="829" t="s">
        <v>408</v>
      </c>
      <c r="X456" s="122"/>
      <c r="Y456" s="122"/>
      <c r="Z456" s="122"/>
      <c r="AA456" s="122"/>
      <c r="AB456" s="665"/>
      <c r="AC456" s="666" t="s">
        <v>409</v>
      </c>
      <c r="AD456" s="593"/>
      <c r="AE456" s="593"/>
      <c r="AF456" s="593"/>
      <c r="AG456" s="593"/>
      <c r="AH456" s="593"/>
      <c r="AI456" s="593"/>
      <c r="AJ456" s="593"/>
      <c r="AK456" s="593"/>
      <c r="AL456" s="593"/>
      <c r="AM456" s="593"/>
      <c r="AN456" s="593"/>
      <c r="AO456" s="594"/>
    </row>
    <row customHeight="1" ht="10.725000000000001">
      <c r="E457" s="695">
        <v>11</v>
      </c>
      <c r="AE457" s="1741"/>
      <c r="AF457" s="1741"/>
      <c r="AG457" s="1741"/>
      <c r="AH457" s="1741"/>
      <c r="AI457" s="1741"/>
      <c r="AP457" s="694"/>
    </row>
  </sheetData>
  <sheetProtection formatColumns="0" formatRows="0" insertRows="0" deleteColumns="0" deleteRows="0" sort="0" autoFilter="0" insertColumns="1"/>
  <mergeCells count="20">
    <mergeCell ref="X27:X111"/>
    <mergeCell ref="Z27:Z111"/>
    <mergeCell ref="AB455:AO455"/>
    <mergeCell ref="AO24:AO25"/>
    <mergeCell ref="AB453:AO453"/>
    <mergeCell ref="AB454:AO454"/>
    <mergeCell ref="AB24:AB25"/>
    <mergeCell ref="AC24:AC25"/>
    <mergeCell ref="AD24:AD25"/>
    <mergeCell ref="AL24:AL25"/>
    <mergeCell ref="AM24:AM25"/>
    <mergeCell ref="AN24:AN25"/>
    <mergeCell ref="X112:X196"/>
    <mergeCell ref="Z112:Z196"/>
    <mergeCell ref="X197:X281"/>
    <mergeCell ref="Z197:Z281"/>
    <mergeCell ref="X282:X366"/>
    <mergeCell ref="Z282:Z366"/>
    <mergeCell ref="X367:X451"/>
    <mergeCell ref="Z367:Z451"/>
  </mergeCells>
  <dataValidations count="2">
    <dataValidation type="decimal" allowBlank="1" showErrorMessage="1" errorTitle="Ошибка" error="Допускается ввод только действительных чисел!" sqref="AI82:AK92 AI43:AK44 AE82:AG92 AI58:AK58 AI63:AK63 AE58:AG58 AE43:AG44 AG105:AG111 AG116:AG118 AG128:AG129 AG143 AG148 AG167:AG177 AG179:AG180 AG182:AG187 AG190:AG196 AG201:AG203 AG213:AG214 AG228 AG233 AG252:AG262 AG264:AG265 AG267:AG272 AG275:AG281 AG286:AG288 AG298:AG299 AG313 AG318 AG337:AG347 AG349:AG350 AG352:AG357 AG360:AG366 AG371:AG373 AG383:AG384 AG398 AG403 AG422:AG432 AG434:AG435 AG437:AG442 AG445:AG451 AF105:AF111 AF116:AF118 AF128:AF129 AF143 AF148 AF167:AF177 AF179:AF180 AF182:AF187 AF190:AF196 AF201:AF203 AF213:AF214 AF228 AF233 AF252:AF262 AF264:AF265 AF267:AF272 AF275:AF281 AF286:AF288 AF298:AF299 AF313 AF318 AF337:AF347 AF349:AF350 AF352:AF357 AF360:AF366 AF371:AF373 AF383:AF384 AF398 AF403 AF422:AF432 AF434:AF435 AF437:AF442 AF445:AF451 AE105:AE111 AE116:AE118 AE128:AE129 AE143 AE148 AE167:AE177 AE179:AE180 AE182:AE187 AE190:AE196 AE201:AE203 AE213:AE214 AE228 AE233 AE252:AE262 AE264:AE265 AE267:AE272 AE275:AE281 AE286:AE288 AE298:AE299 AE313 AE318 AE337:AE347 AE349:AE350 AE352:AE357 AE360:AE366 AE371:AE373 AE383:AE384 AE398 AE403 AE422:AE432 AE434:AE435 AE437:AE442 AE445:AE451 AE31:AG33 AE63:AG63 AI97:AK102 AE97:AG102 AI31:AK33 AE94:AG95 AI94:AK95 AK105:AK111 AK116:AK118 AK128:AK129 AK143 AK148 AK167:AK177 AK179:AK180 AK182:AK187 AK190:AK196 AK201:AK203 AK213:AK214 AK228 AK233 AK252:AK262 AK264:AK265 AK267:AK272 AK275:AK281 AK286:AK288 AK298:AK299 AK313 AK318 AK337:AK347 AK349:AK350 AK352:AK357 AK360:AK366 AK371:AK373 AK383:AK384 AK398 AK403 AK422:AK432 AK434:AK435 AK437:AK442 AK445:AK451 AJ105:AJ111 AJ116:AJ118 AJ128:AJ129 AJ143 AJ148 AJ167:AJ177 AJ179:AJ180 AJ182:AJ187 AJ190:AJ196 AJ201:AJ203 AJ213:AJ214 AJ228 AJ233 AJ252:AJ262 AJ264:AJ265 AJ267:AJ272 AJ275:AJ281 AJ286:AJ288 AJ298:AJ299 AJ313 AJ318 AJ337:AJ347 AJ349:AJ350 AJ352:AJ357 AJ360:AJ366 AJ371:AJ373 AJ383:AJ384 AJ398 AJ403 AJ422:AJ432 AJ434:AJ435 AJ437:AJ442 AJ445:AJ451 AI105:AI111 AI116:AI118 AI128:AI129 AI143 AI148 AI167:AI177 AI179:AI180 AI182:AI187 AI190:AI196 AI201:AI203 AI213:AI214 AI228 AI233 AI252:AI262 AI264:AI265 AI267:AI272 AI275:AI281 AI286:AI288 AI298:AI299 AI313 AI318 AI337:AI347 AI349:AI350 AI352:AI357 AI360:AI366 AI371:AI373 AI383:AI384 AI398 AI403 AI422:AI432 AI434:AI435 AI437:AI442 AI445:AI451">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AM54:AO54 AM139 AN139 AO139 AM224 AN224 AO224 AM309 AN309 AO309 AM394 AN394 AO39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71D778-69B2-B16F-12D8-53D5FC8676F8}" mc:Ignorable="x14ac xr xr2 xr3">
  <sheetPr>
    <tabColor rgb="FF92D050"/>
    <outlinePr summaryRight="0" summaryBelow="0"/>
    <pageSetUpPr fitToPage="1"/>
  </sheetPr>
  <dimension ref="A1:BW753"/>
  <sheetViews>
    <sheetView showGridLines="0" workbookViewId="0" tabSelected="1">
      <pane xSplit="30" ySplit="25" topLeftCell="AT745" activePane="bottomRight" state="frozen"/>
      <selection pane="bottomLeft" activeCell="A26" sqref="A26"/>
      <selection pane="topRight" activeCell="AE1" sqref="AE1"/>
      <selection pane="bottomRight" activeCell="AB752" sqref="AB752"/>
    </sheetView>
  </sheetViews>
  <sheetFormatPr defaultColWidth="9.140625" customHeight="1" defaultRowHeight="10.5"/>
  <cols>
    <col min="1" max="1" style="1278" width="9.57421875" hidden="1" customWidth="1"/>
    <col min="2" max="2" style="978" width="8.57421875" hidden="1" customWidth="1"/>
    <col min="3" max="4" style="1278" width="3.57421875" hidden="1" customWidth="1"/>
    <col min="5" max="5" style="979" width="3.57421875" hidden="1" customWidth="1"/>
    <col min="6" max="6" style="1278" width="3.57421875" hidden="1" customWidth="1"/>
    <col min="7" max="7" style="1278" width="5.421875" hidden="1" customWidth="1"/>
    <col min="8" max="8" style="1278" width="15.421875" hidden="1" customWidth="1"/>
    <col min="9" max="10" style="1278" width="3.57421875" hidden="1" customWidth="1"/>
    <col min="11" max="11" style="1278" width="7.28125" hidden="1" customWidth="1"/>
    <col min="12" max="12" style="1278" width="6.57421875" hidden="1" customWidth="1"/>
    <col min="13" max="18" style="1278" width="3.57421875" hidden="1" customWidth="1"/>
    <col min="19" max="19" style="1278" width="6.7109375" hidden="1" customWidth="1"/>
    <col min="20" max="20" style="1278" width="10.421875" hidden="1" customWidth="1"/>
    <col min="21" max="21" style="1278" width="5.8515625" hidden="1" customWidth="1"/>
    <col min="22" max="23" style="1278" width="6.140625" hidden="1" customWidth="1"/>
    <col min="24" max="24" style="1278" width="5.7109375" hidden="1" customWidth="1"/>
    <col min="25" max="25" style="1278" width="5.57421875" hidden="1" customWidth="1"/>
    <col min="26" max="26" style="1278" width="5.28125" hidden="1" customWidth="1"/>
    <col min="27" max="27" style="1278" width="1.421875" customWidth="1"/>
    <col min="28" max="28" style="591" width="7.28125" customWidth="1"/>
    <col min="29" max="29" style="981" width="55.140625" customWidth="1"/>
    <col min="30" max="30" style="591" width="12.00390625" customWidth="1"/>
    <col min="31" max="35" style="1278" width="0" customWidth="1"/>
    <col min="36" max="40" style="1278" width="10.57421875" customWidth="1"/>
    <col min="41" max="45" style="1278" width="12.57421875" hidden="1" customWidth="1"/>
    <col min="46" max="50" style="1278" width="11.421875" customWidth="1"/>
    <col min="51" max="55" style="1278" width="12.57421875" hidden="1" customWidth="1"/>
    <col min="56" max="60" style="1278" width="6.8515625" customWidth="1"/>
    <col min="61" max="65" style="1278" width="12.57421875" hidden="1" customWidth="1"/>
    <col min="66" max="66" style="1278" width="20.00390625" customWidth="1"/>
    <col min="67" max="67" style="1278" width="51.421875" customWidth="1"/>
    <col min="68" max="68" style="1278" width="33.00390625" customWidth="1"/>
    <col min="69" max="69" style="1278" width="3.00390625" customWidth="1"/>
    <col min="70" max="70" style="1278" width="9.140625" hidden="1"/>
    <col min="71" max="73" style="1064" width="9.140625" hidden="1"/>
    <col min="74" max="75" style="979" width="9.140625" hidden="1"/>
  </cols>
  <sheetData>
    <row customHeight="1" ht="11.25" hidden="1">
      <c r="E1" s="158"/>
      <c r="F1" s="158" t="s">
        <v>321</v>
      </c>
      <c r="I1" s="158" t="s">
        <v>2631</v>
      </c>
      <c r="J1" s="158" t="s">
        <v>357</v>
      </c>
      <c r="K1" s="158" t="s">
        <v>2632</v>
      </c>
      <c r="L1" s="977" t="s">
        <v>2633</v>
      </c>
      <c r="M1" s="158" t="s">
        <v>2634</v>
      </c>
      <c r="R1" s="85"/>
      <c r="T1" s="465" t="s">
        <v>93</v>
      </c>
      <c r="U1" s="465" t="s">
        <v>98</v>
      </c>
      <c r="V1" s="465" t="s">
        <v>94</v>
      </c>
      <c r="W1" s="465" t="s">
        <v>95</v>
      </c>
      <c r="X1" s="465" t="s">
        <v>96</v>
      </c>
      <c r="Y1" s="467" t="s">
        <v>323</v>
      </c>
      <c r="Z1" s="465" t="s">
        <v>100</v>
      </c>
      <c r="AA1" s="466" t="s">
        <v>97</v>
      </c>
      <c r="AB1" s="416"/>
      <c r="AC1" s="466" t="s">
        <v>99</v>
      </c>
      <c r="AJ1" s="85"/>
      <c r="AK1" s="1278"/>
      <c r="AL1" s="1278"/>
      <c r="AM1" s="1278"/>
      <c r="AN1" s="1278"/>
      <c r="AO1" s="1278"/>
      <c r="AP1" s="1278"/>
      <c r="AQ1" s="1278"/>
      <c r="AR1" s="1278"/>
      <c r="AS1" s="1278"/>
      <c r="AT1" s="1278"/>
      <c r="AU1" s="1278"/>
      <c r="AV1" s="1278"/>
      <c r="AW1" s="1278"/>
      <c r="AX1" s="1278"/>
      <c r="AY1" s="1278"/>
      <c r="AZ1" s="1278"/>
      <c r="BA1" s="1278"/>
      <c r="BB1" s="1278"/>
      <c r="BC1" s="1278"/>
      <c r="BD1" s="1278"/>
      <c r="BE1" s="1278"/>
      <c r="BF1" s="1278"/>
      <c r="BG1" s="1278"/>
      <c r="BH1" s="1278"/>
      <c r="BI1" s="1278"/>
      <c r="BJ1" s="1278"/>
      <c r="BK1" s="1278"/>
      <c r="BL1" s="1278"/>
      <c r="BM1" s="1278"/>
      <c r="BS1" s="1064" t="s">
        <v>324</v>
      </c>
      <c r="BT1" s="1064" t="s">
        <v>325</v>
      </c>
      <c r="BU1" s="1064" t="s">
        <v>326</v>
      </c>
      <c r="BV1" s="703" t="s">
        <v>329</v>
      </c>
      <c r="BW1" s="703" t="s">
        <v>330</v>
      </c>
    </row>
    <row s="978" customFormat="1" customHeight="1" ht="11.25" hidden="1">
      <c r="B2" s="445" t="s">
        <v>19</v>
      </c>
      <c r="AC2" s="433"/>
      <c r="AF2" s="978" cm="1" t="str">
        <f t="array" ref="AF2:AF2">isOrgDeclare</f>
        <v>true</v>
      </c>
      <c r="AH2" s="978" cm="1" t="str">
        <f t="array" ref="AH2:AH2">isOrgDeclare</f>
        <v>true</v>
      </c>
      <c r="AJ2" s="446">
        <f>AND(AJ6&lt;=last_year_vis,isOrgDeclare)</f>
        <v>1</v>
      </c>
      <c r="AK2" s="446">
        <f>AND(AK6&lt;=last_year_vis,isOrgDeclare)</f>
        <v>1</v>
      </c>
      <c r="AL2" s="446">
        <f>AND(AL6&lt;=last_year_vis,isOrgDeclare)</f>
        <v>1</v>
      </c>
      <c r="AM2" s="446">
        <f>AND(AM6&lt;=last_year_vis,isOrgDeclare)</f>
        <v>1</v>
      </c>
      <c r="AN2" s="446">
        <f>AND(AN6&lt;=last_year_vis,isOrgDeclare)</f>
        <v>1</v>
      </c>
      <c r="AO2" s="446">
        <f>AND(AO6&lt;=last_year_vis,isOrgDeclare)</f>
        <v>0</v>
      </c>
      <c r="AP2" s="446">
        <f>AND(AP6&lt;=last_year_vis,isOrgDeclare)</f>
        <v>0</v>
      </c>
      <c r="AQ2" s="446">
        <f>AND(AQ6&lt;=last_year_vis,isOrgDeclare)</f>
        <v>0</v>
      </c>
      <c r="AR2" s="446">
        <f>AND(AR6&lt;=last_year_vis,isOrgDeclare)</f>
        <v>0</v>
      </c>
      <c r="AS2" s="446">
        <f>AND(AS6&lt;=last_year_vis,isOrgDeclare)</f>
        <v>0</v>
      </c>
      <c r="AT2" s="446">
        <f>AT6&lt;=last_year_vis</f>
        <v>1</v>
      </c>
      <c r="AU2" s="446">
        <f>AU6&lt;=last_year_vis</f>
        <v>1</v>
      </c>
      <c r="AV2" s="446">
        <f>AV6&lt;=last_year_vis</f>
        <v>1</v>
      </c>
      <c r="AW2" s="446">
        <f>AW6&lt;=last_year_vis</f>
        <v>1</v>
      </c>
      <c r="AX2" s="446">
        <f>AX6&lt;=last_year_vis</f>
        <v>1</v>
      </c>
      <c r="AY2" s="446">
        <f>AY6&lt;=last_year_vis</f>
        <v>0</v>
      </c>
      <c r="AZ2" s="446">
        <f>AZ6&lt;=last_year_vis</f>
        <v>0</v>
      </c>
      <c r="BA2" s="446">
        <f>BA6&lt;=last_year_vis</f>
        <v>0</v>
      </c>
      <c r="BB2" s="446">
        <f>BB6&lt;=last_year_vis</f>
        <v>0</v>
      </c>
      <c r="BC2" s="446">
        <f>BC6&lt;=last_year_vis</f>
        <v>0</v>
      </c>
      <c r="BD2" s="446">
        <f>BD6&lt;=last_year_vis</f>
        <v>1</v>
      </c>
      <c r="BE2" s="446">
        <f>BE6&lt;=last_year_vis</f>
        <v>1</v>
      </c>
      <c r="BF2" s="446">
        <f>BF6&lt;=last_year_vis</f>
        <v>1</v>
      </c>
      <c r="BG2" s="446">
        <f>BG6&lt;=last_year_vis</f>
        <v>1</v>
      </c>
      <c r="BH2" s="446">
        <f>BH6&lt;=last_year_vis</f>
        <v>1</v>
      </c>
      <c r="BI2" s="446">
        <f>BI6&lt;=last_year_vis</f>
        <v>0</v>
      </c>
      <c r="BJ2" s="446">
        <f>BJ6&lt;=last_year_vis</f>
        <v>0</v>
      </c>
      <c r="BK2" s="446">
        <f>BK6&lt;=last_year_vis</f>
        <v>0</v>
      </c>
      <c r="BL2" s="446">
        <f>BL6&lt;=last_year_vis</f>
        <v>0</v>
      </c>
      <c r="BM2" s="446">
        <f>BM6&lt;=last_year_vis</f>
        <v>0</v>
      </c>
      <c r="BS2" s="1065"/>
      <c r="BT2" s="1065"/>
      <c r="BU2" s="1065"/>
      <c r="BV2" s="622"/>
      <c r="BW2" s="622"/>
    </row>
    <row customHeight="1" ht="11.25" hidden="1">
      <c r="E3" s="158"/>
      <c r="AJ3" s="1278"/>
      <c r="AK3" s="1278"/>
      <c r="AL3" s="1278"/>
      <c r="AM3" s="1278"/>
      <c r="AN3" s="1278"/>
      <c r="AO3" s="1278"/>
      <c r="AP3" s="1278"/>
      <c r="AQ3" s="1278"/>
      <c r="AR3" s="1278"/>
      <c r="AS3" s="1278"/>
      <c r="AT3" s="1278"/>
      <c r="AU3" s="1278"/>
      <c r="AV3" s="1278"/>
      <c r="AW3" s="1278"/>
      <c r="AX3" s="1278"/>
      <c r="AY3" s="1278"/>
      <c r="AZ3" s="1278"/>
      <c r="BA3" s="1278"/>
      <c r="BB3" s="1278"/>
      <c r="BC3" s="1278"/>
      <c r="BD3" s="1278"/>
      <c r="BE3" s="1278"/>
      <c r="BF3" s="1278"/>
      <c r="BG3" s="1278"/>
      <c r="BH3" s="1278"/>
      <c r="BI3" s="1278"/>
      <c r="BJ3" s="1278"/>
      <c r="BK3" s="1278"/>
      <c r="BL3" s="1278"/>
      <c r="BM3" s="1278"/>
    </row>
    <row customHeight="1" ht="11.25" hidden="1">
      <c r="E4" s="158"/>
      <c r="AJ4" s="1278"/>
      <c r="AK4" s="1278"/>
      <c r="AL4" s="1278"/>
      <c r="AM4" s="1278"/>
      <c r="AN4" s="1278"/>
      <c r="AO4" s="1278"/>
      <c r="AP4" s="1278"/>
      <c r="AQ4" s="1278"/>
      <c r="AR4" s="1278"/>
      <c r="AS4" s="1278"/>
      <c r="AT4" s="1278"/>
      <c r="AU4" s="1278"/>
      <c r="AV4" s="1278"/>
      <c r="AW4" s="1278"/>
      <c r="AX4" s="1278"/>
      <c r="AY4" s="1278"/>
      <c r="AZ4" s="1278"/>
      <c r="BA4" s="1278"/>
      <c r="BB4" s="1278"/>
      <c r="BC4" s="1278"/>
      <c r="BD4" s="1278"/>
      <c r="BE4" s="1278"/>
      <c r="BF4" s="1278"/>
      <c r="BG4" s="1278"/>
      <c r="BH4" s="1278"/>
      <c r="BI4" s="1278"/>
      <c r="BJ4" s="1278"/>
      <c r="BK4" s="1278"/>
      <c r="BL4" s="1278"/>
      <c r="BM4" s="1278"/>
    </row>
    <row s="979" customFormat="1" customHeight="1" ht="11.25" hidden="1">
      <c r="A5" s="158"/>
      <c r="B5" s="432"/>
      <c r="C5" s="158"/>
      <c r="D5" s="158"/>
      <c r="E5" s="703" t="s">
        <v>20</v>
      </c>
      <c r="AA5" s="703">
        <v>3</v>
      </c>
      <c r="AB5" s="708">
        <v>11</v>
      </c>
      <c r="AC5" s="704">
        <v>75</v>
      </c>
      <c r="AD5" s="708">
        <v>12</v>
      </c>
      <c r="AE5" s="703">
        <v>12.57</v>
      </c>
      <c r="AF5" s="703">
        <v>12.57</v>
      </c>
      <c r="AG5" s="703">
        <v>12.57</v>
      </c>
      <c r="AH5" s="703">
        <v>21</v>
      </c>
      <c r="AI5" s="703">
        <v>12.57</v>
      </c>
      <c r="AJ5" s="703">
        <v>12.57</v>
      </c>
      <c r="AK5" s="703">
        <v>12.57</v>
      </c>
      <c r="AL5" s="703">
        <v>12.57</v>
      </c>
      <c r="AM5" s="703">
        <v>12.57</v>
      </c>
      <c r="AN5" s="703">
        <v>12.57</v>
      </c>
      <c r="AO5" s="703">
        <v>12.57</v>
      </c>
      <c r="AP5" s="703">
        <v>12.57</v>
      </c>
      <c r="AQ5" s="703">
        <v>12.57</v>
      </c>
      <c r="AR5" s="703">
        <v>12.57</v>
      </c>
      <c r="AS5" s="703">
        <v>12.57</v>
      </c>
      <c r="AT5" s="703">
        <v>12.57</v>
      </c>
      <c r="AU5" s="703">
        <v>12.57</v>
      </c>
      <c r="AV5" s="703">
        <v>12.57</v>
      </c>
      <c r="AW5" s="703">
        <v>12.57</v>
      </c>
      <c r="AX5" s="703">
        <v>12.57</v>
      </c>
      <c r="AY5" s="703">
        <v>12.57</v>
      </c>
      <c r="AZ5" s="703">
        <v>12.57</v>
      </c>
      <c r="BA5" s="703">
        <v>12.57</v>
      </c>
      <c r="BB5" s="703">
        <v>12.57</v>
      </c>
      <c r="BC5" s="703">
        <v>12.57</v>
      </c>
      <c r="BD5" s="703">
        <v>12.57</v>
      </c>
      <c r="BE5" s="703">
        <v>12.57</v>
      </c>
      <c r="BF5" s="703">
        <v>12.57</v>
      </c>
      <c r="BG5" s="703">
        <v>12.57</v>
      </c>
      <c r="BH5" s="703">
        <v>12.57</v>
      </c>
      <c r="BI5" s="703">
        <v>12.57</v>
      </c>
      <c r="BJ5" s="703">
        <v>12.57</v>
      </c>
      <c r="BK5" s="703">
        <v>12.57</v>
      </c>
      <c r="BL5" s="703">
        <v>12.57</v>
      </c>
      <c r="BM5" s="703">
        <v>12.57</v>
      </c>
      <c r="BN5" s="703">
        <v>20</v>
      </c>
      <c r="BO5" s="703">
        <v>20</v>
      </c>
      <c r="BP5" s="703">
        <v>42</v>
      </c>
      <c r="BQ5" s="703">
        <v>3</v>
      </c>
      <c r="BS5" s="1064"/>
      <c r="BT5" s="1064"/>
      <c r="BU5" s="1064"/>
    </row>
    <row customHeight="1" ht="11.25" hidden="1">
      <c r="A6" s="158" t="s">
        <v>360</v>
      </c>
      <c r="AE6" s="158">
        <f>god-2</f>
        <v>2024</v>
      </c>
      <c r="AF6" s="158">
        <f>god-2</f>
        <v>2024</v>
      </c>
      <c r="AG6" s="158">
        <f>god-2</f>
        <v>2024</v>
      </c>
      <c r="AH6" s="158">
        <f>god-2</f>
        <v>2024</v>
      </c>
      <c r="AI6" s="98">
        <f>god-1</f>
        <v>2025</v>
      </c>
      <c r="AJ6" s="98" cm="1" t="str">
        <f t="array" ref="AJ6:AJ6">god</f>
        <v>2026</v>
      </c>
      <c r="AK6" s="98">
        <f>god+1</f>
        <v>2027</v>
      </c>
      <c r="AL6" s="98">
        <f>god+2</f>
        <v>2028</v>
      </c>
      <c r="AM6" s="98">
        <f>god+3</f>
        <v>2029</v>
      </c>
      <c r="AN6" s="98">
        <f>god+4</f>
        <v>2030</v>
      </c>
      <c r="AO6" s="98">
        <f>god+5</f>
        <v>2031</v>
      </c>
      <c r="AP6" s="98">
        <f>god+6</f>
        <v>2032</v>
      </c>
      <c r="AQ6" s="98">
        <f>god+7</f>
        <v>2033</v>
      </c>
      <c r="AR6" s="98">
        <f>god+8</f>
        <v>2034</v>
      </c>
      <c r="AS6" s="98">
        <f>god+9</f>
        <v>2035</v>
      </c>
      <c r="AT6" s="98" cm="1" t="str">
        <f t="array" ref="AT6:AT6">god</f>
        <v>2026</v>
      </c>
      <c r="AU6" s="98">
        <f>god+1</f>
        <v>2027</v>
      </c>
      <c r="AV6" s="98">
        <f>god+2</f>
        <v>2028</v>
      </c>
      <c r="AW6" s="98">
        <f>god+3</f>
        <v>2029</v>
      </c>
      <c r="AX6" s="98">
        <f>god+4</f>
        <v>2030</v>
      </c>
      <c r="AY6" s="98">
        <f>god+5</f>
        <v>2031</v>
      </c>
      <c r="AZ6" s="98">
        <f>god+6</f>
        <v>2032</v>
      </c>
      <c r="BA6" s="98">
        <f>god+7</f>
        <v>2033</v>
      </c>
      <c r="BB6" s="98">
        <f>god+8</f>
        <v>2034</v>
      </c>
      <c r="BC6" s="98">
        <f>god+9</f>
        <v>2035</v>
      </c>
      <c r="BD6" s="98" cm="1" t="str">
        <f t="array" ref="BD6:BD6">god</f>
        <v>2026</v>
      </c>
      <c r="BE6" s="98">
        <f>god+1</f>
        <v>2027</v>
      </c>
      <c r="BF6" s="98">
        <f>god+2</f>
        <v>2028</v>
      </c>
      <c r="BG6" s="98">
        <f>god+3</f>
        <v>2029</v>
      </c>
      <c r="BH6" s="98">
        <f>god+4</f>
        <v>2030</v>
      </c>
      <c r="BI6" s="98">
        <f>god+5</f>
        <v>2031</v>
      </c>
      <c r="BJ6" s="98">
        <f>god+6</f>
        <v>2032</v>
      </c>
      <c r="BK6" s="98">
        <f>god+7</f>
        <v>2033</v>
      </c>
      <c r="BL6" s="98">
        <f>god+8</f>
        <v>2034</v>
      </c>
      <c r="BM6" s="98">
        <f>god+9</f>
        <v>2035</v>
      </c>
    </row>
    <row customHeight="1" ht="11.25" hidden="1">
      <c r="A7" s="158" t="s">
        <v>361</v>
      </c>
      <c r="AE7" s="98" cm="1" t="str">
        <f t="array" ref="AE7:AE7">AE25</f>
        <v>Принято органом регулирования</v>
      </c>
      <c r="AF7" s="98" cm="1" t="str">
        <f t="array" ref="AF7:AF7">AF25</f>
        <v>Факт по данным организации</v>
      </c>
      <c r="AG7" s="98" cm="1" t="str">
        <f t="array" ref="AG7:AG7">AG25</f>
        <v>Факт, принятый органом регулирования</v>
      </c>
      <c r="AH7" s="98" cm="1" t="str">
        <f t="array" ref="AH7:AH7">AH25</f>
        <v>отклонение факта по данным организации к факту принятому органом регулирования</v>
      </c>
      <c r="AI7" s="98" cm="1" t="str">
        <f t="array" ref="AI7:AI7">AI25</f>
        <v>Принято органом регулирования</v>
      </c>
      <c r="AJ7" s="98" cm="1" t="str">
        <f t="array" ref="AJ7:AJ7">$AJ$25</f>
        <v>Предложение организации</v>
      </c>
      <c r="AK7" s="98" cm="1" t="str">
        <f t="array" ref="AK7:AK7">$AJ$25</f>
        <v>Предложение организации</v>
      </c>
      <c r="AL7" s="98" cm="1" t="str">
        <f t="array" ref="AL7:AL7">$AJ$25</f>
        <v>Предложение организации</v>
      </c>
      <c r="AM7" s="98" cm="1" t="str">
        <f t="array" ref="AM7:AM7">$AJ$25</f>
        <v>Предложение организации</v>
      </c>
      <c r="AN7" s="98" cm="1" t="str">
        <f t="array" ref="AN7:AN7">$AJ$25</f>
        <v>Предложение организации</v>
      </c>
      <c r="AO7" s="98" cm="1" t="str">
        <f t="array" ref="AO7:AO7">$AJ$25</f>
        <v>Предложение организации</v>
      </c>
      <c r="AP7" s="98" cm="1" t="str">
        <f t="array" ref="AP7:AP7">$AJ$25</f>
        <v>Предложение организации</v>
      </c>
      <c r="AQ7" s="98" cm="1" t="str">
        <f t="array" ref="AQ7:AQ7">$AJ$25</f>
        <v>Предложение организации</v>
      </c>
      <c r="AR7" s="98" cm="1" t="str">
        <f t="array" ref="AR7:AR7">$AJ$25</f>
        <v>Предложение организации</v>
      </c>
      <c r="AS7" s="98" cm="1" t="str">
        <f t="array" ref="AS7:AS7">$AJ$25</f>
        <v>Предложение организации</v>
      </c>
      <c r="AT7" s="98" cm="1" t="str">
        <f t="array" ref="AT7:AT7">$AT$25</f>
        <v>Принято органом регулирования</v>
      </c>
      <c r="AU7" s="98" cm="1" t="str">
        <f t="array" ref="AU7:AU7">$AT$25</f>
        <v>Принято органом регулирования</v>
      </c>
      <c r="AV7" s="98" cm="1" t="str">
        <f t="array" ref="AV7:AV7">$AT$25</f>
        <v>Принято органом регулирования</v>
      </c>
      <c r="AW7" s="98" cm="1" t="str">
        <f t="array" ref="AW7:AW7">$AT$25</f>
        <v>Принято органом регулирования</v>
      </c>
      <c r="AX7" s="98" cm="1" t="str">
        <f t="array" ref="AX7:AX7">$AT$25</f>
        <v>Принято органом регулирования</v>
      </c>
      <c r="AY7" s="98" cm="1" t="str">
        <f t="array" ref="AY7:AY7">$AT$25</f>
        <v>Принято органом регулирования</v>
      </c>
      <c r="AZ7" s="98" cm="1" t="str">
        <f t="array" ref="AZ7:AZ7">$AT$25</f>
        <v>Принято органом регулирования</v>
      </c>
      <c r="BA7" s="98" cm="1" t="str">
        <f t="array" ref="BA7:BA7">$AT$25</f>
        <v>Принято органом регулирования</v>
      </c>
      <c r="BB7" s="98" cm="1" t="str">
        <f t="array" ref="BB7:BB7">$AT$25</f>
        <v>Принято органом регулирования</v>
      </c>
      <c r="BC7" s="98" cm="1" t="str">
        <f t="array" ref="BC7:BC7">$AT$25</f>
        <v>Принято органом регулирования</v>
      </c>
      <c r="BD7" s="98"/>
      <c r="BE7" s="98"/>
      <c r="BF7" s="98"/>
      <c r="BG7" s="98"/>
      <c r="BH7" s="98"/>
      <c r="BI7" s="98"/>
      <c r="BJ7" s="98"/>
      <c r="BK7" s="98"/>
      <c r="BL7" s="98"/>
      <c r="BM7" s="98"/>
    </row>
    <row customHeight="1" ht="11.25" hidden="1">
      <c r="AE8" s="98" t="str">
        <f>AE6&amp;AE7</f>
        <v>2024Принято органом регулирования</v>
      </c>
      <c r="AF8" s="98" t="str">
        <f>AF6&amp;AF7</f>
        <v>2024Факт по данным организации</v>
      </c>
      <c r="AG8" s="98" t="str">
        <f>AG6&amp;AG7</f>
        <v>2024Факт, принятый органом регулирования</v>
      </c>
      <c r="AH8" s="98" t="str">
        <f>AH6&amp;AH7</f>
        <v>2024отклонение факта по данным организации к факту принятому органом регулирования</v>
      </c>
      <c r="AI8" s="98" t="str">
        <f>AI6&amp;AI7</f>
        <v>2025Принято органом регулирования</v>
      </c>
      <c r="AJ8" s="98" t="str">
        <f>AJ6&amp;AJ7</f>
        <v>2026Предложение организации</v>
      </c>
      <c r="AK8" s="98" t="str">
        <f>AK6&amp;AK7</f>
        <v>2027Предложение организации</v>
      </c>
      <c r="AL8" s="98" t="str">
        <f>AL6&amp;AL7</f>
        <v>2028Предложение организации</v>
      </c>
      <c r="AM8" s="98" t="str">
        <f>AM6&amp;AM7</f>
        <v>2029Предложение организации</v>
      </c>
      <c r="AN8" s="98" t="str">
        <f>AN6&amp;AN7</f>
        <v>2030Предложение организации</v>
      </c>
      <c r="AO8" s="98" t="str">
        <f>AO6&amp;AO7</f>
        <v>2031Предложение организации</v>
      </c>
      <c r="AP8" s="98" t="str">
        <f>AP6&amp;AP7</f>
        <v>2032Предложение организации</v>
      </c>
      <c r="AQ8" s="98" t="str">
        <f>AQ6&amp;AQ7</f>
        <v>2033Предложение организации</v>
      </c>
      <c r="AR8" s="98" t="str">
        <f>AR6&amp;AR7</f>
        <v>2034Предложение организации</v>
      </c>
      <c r="AS8" s="98" t="str">
        <f>AS6&amp;AS7</f>
        <v>2035Предложение организации</v>
      </c>
      <c r="AT8" s="98" t="str">
        <f>AT6&amp;AT7</f>
        <v>2026Принято органом регулирования</v>
      </c>
      <c r="AU8" s="98" t="str">
        <f>AU6&amp;AU7</f>
        <v>2027Принято органом регулирования</v>
      </c>
      <c r="AV8" s="98" t="str">
        <f>AV6&amp;AV7</f>
        <v>2028Принято органом регулирования</v>
      </c>
      <c r="AW8" s="98" t="str">
        <f>AW6&amp;AW7</f>
        <v>2029Принято органом регулирования</v>
      </c>
      <c r="AX8" s="98" t="str">
        <f>AX6&amp;AX7</f>
        <v>2030Принято органом регулирования</v>
      </c>
      <c r="AY8" s="98" t="str">
        <f>AY6&amp;AY7</f>
        <v>2031Принято органом регулирования</v>
      </c>
      <c r="AZ8" s="98" t="str">
        <f>AZ6&amp;AZ7</f>
        <v>2032Принято органом регулирования</v>
      </c>
      <c r="BA8" s="98" t="str">
        <f>BA6&amp;BA7</f>
        <v>2033Принято органом регулирования</v>
      </c>
      <c r="BB8" s="98" t="str">
        <f>BB6&amp;BB7</f>
        <v>2034Принято органом регулирования</v>
      </c>
      <c r="BC8" s="98" t="str">
        <f>BC6&amp;BC7</f>
        <v>2035Принято органом регулирования</v>
      </c>
      <c r="BD8" s="98"/>
      <c r="BE8" s="98"/>
      <c r="BF8" s="98"/>
      <c r="BG8" s="98"/>
      <c r="BH8" s="98"/>
      <c r="BI8" s="98"/>
      <c r="BJ8" s="98"/>
      <c r="BK8" s="98"/>
      <c r="BL8" s="98"/>
      <c r="BM8" s="98"/>
    </row>
    <row s="1064" customFormat="1" customHeight="1" ht="11.25" hidden="1">
      <c r="A9" s="997" t="s">
        <v>365</v>
      </c>
      <c r="B9" s="1060"/>
      <c r="C9" s="1060"/>
      <c r="D9" s="1060"/>
      <c r="E9" s="1060"/>
      <c r="F9" s="1060"/>
      <c r="G9" s="1060"/>
      <c r="H9" s="1060"/>
      <c r="I9" s="1060"/>
      <c r="J9" s="1060"/>
      <c r="K9" s="1060"/>
      <c r="L9" s="1060"/>
      <c r="M9" s="1060"/>
      <c r="N9" s="1060"/>
      <c r="O9" s="1060"/>
      <c r="P9" s="1060"/>
      <c r="Q9" s="1060"/>
      <c r="R9" s="1060"/>
      <c r="S9" s="1060"/>
      <c r="T9" s="1060"/>
      <c r="U9" s="1060"/>
      <c r="V9" s="1060"/>
      <c r="W9" s="1060"/>
      <c r="X9" s="1060"/>
      <c r="Y9" s="1060"/>
      <c r="Z9" s="1060"/>
      <c r="AA9" s="1060"/>
      <c r="AB9" s="1060"/>
      <c r="AC9" s="1060"/>
      <c r="AD9" s="1060"/>
      <c r="AE9" s="1061" cm="1" t="str">
        <f t="array" ref="AE9:AE9">AE6</f>
        <v>2024</v>
      </c>
      <c r="AF9" s="1061" cm="1" t="str">
        <f t="array" ref="AF9:AF9">AF6</f>
        <v>2024</v>
      </c>
      <c r="AG9" s="1061" cm="1" t="str">
        <f t="array" ref="AG9:AG9">AG6</f>
        <v>2024</v>
      </c>
      <c r="AH9" s="1061" cm="1" t="str">
        <f t="array" ref="AH9:AH9">AH6</f>
        <v>2024</v>
      </c>
      <c r="AI9" s="1061" cm="1" t="str">
        <f t="array" ref="AI9:AI9">AI6</f>
        <v>2025</v>
      </c>
      <c r="AJ9" s="1061" cm="1" t="str">
        <f t="array" ref="AJ9:AJ9">AJ6</f>
        <v>2026</v>
      </c>
      <c r="AK9" s="1061" cm="1" t="str">
        <f t="array" ref="AK9:AK9">AK6</f>
        <v>2027</v>
      </c>
      <c r="AL9" s="1061" cm="1" t="str">
        <f t="array" ref="AL9:AL9">AL6</f>
        <v>2028</v>
      </c>
      <c r="AM9" s="1061" cm="1" t="str">
        <f t="array" ref="AM9:AM9">AM6</f>
        <v>2029</v>
      </c>
      <c r="AN9" s="1061" cm="1" t="str">
        <f t="array" ref="AN9:AN9">AN6</f>
        <v>2030</v>
      </c>
      <c r="AO9" s="1061" cm="1" t="str">
        <f t="array" ref="AO9:AO9">AO6</f>
        <v>2031</v>
      </c>
      <c r="AP9" s="1061" cm="1" t="str">
        <f t="array" ref="AP9:AP9">AP6</f>
        <v>2032</v>
      </c>
      <c r="AQ9" s="1061" cm="1" t="str">
        <f t="array" ref="AQ9:AQ9">AQ6</f>
        <v>2033</v>
      </c>
      <c r="AR9" s="1061" cm="1" t="str">
        <f t="array" ref="AR9:AR9">AR6</f>
        <v>2034</v>
      </c>
      <c r="AS9" s="1061" cm="1" t="str">
        <f t="array" ref="AS9:AS9">AS6</f>
        <v>2035</v>
      </c>
      <c r="AT9" s="1061" cm="1" t="str">
        <f t="array" ref="AT9:AT9">AT6</f>
        <v>2026</v>
      </c>
      <c r="AU9" s="1061" cm="1" t="str">
        <f t="array" ref="AU9:AU9">AU6</f>
        <v>2027</v>
      </c>
      <c r="AV9" s="1061" cm="1" t="str">
        <f t="array" ref="AV9:AV9">AV6</f>
        <v>2028</v>
      </c>
      <c r="AW9" s="1061" cm="1" t="str">
        <f t="array" ref="AW9:AW9">AW6</f>
        <v>2029</v>
      </c>
      <c r="AX9" s="1061" cm="1" t="str">
        <f t="array" ref="AX9:AX9">AX6</f>
        <v>2030</v>
      </c>
      <c r="AY9" s="1061" cm="1" t="str">
        <f t="array" ref="AY9:AY9">AY6</f>
        <v>2031</v>
      </c>
      <c r="AZ9" s="1061" cm="1" t="str">
        <f t="array" ref="AZ9:AZ9">AZ6</f>
        <v>2032</v>
      </c>
      <c r="BA9" s="1061" cm="1" t="str">
        <f t="array" ref="BA9:BA9">BA6</f>
        <v>2033</v>
      </c>
      <c r="BB9" s="1061" cm="1" t="str">
        <f t="array" ref="BB9:BB9">BB6</f>
        <v>2034</v>
      </c>
      <c r="BC9" s="1061" cm="1" t="str">
        <f t="array" ref="BC9:BC9">BC6</f>
        <v>2035</v>
      </c>
      <c r="BD9" s="1061" cm="1" t="str">
        <f t="array" ref="BD9:BD9">BD6</f>
        <v>2026</v>
      </c>
      <c r="BE9" s="1061" cm="1" t="str">
        <f t="array" ref="BE9:BE9">BE6</f>
        <v>2027</v>
      </c>
      <c r="BF9" s="1061" cm="1" t="str">
        <f t="array" ref="BF9:BF9">BF6</f>
        <v>2028</v>
      </c>
      <c r="BG9" s="1061" cm="1" t="str">
        <f t="array" ref="BG9:BG9">BG6</f>
        <v>2029</v>
      </c>
      <c r="BH9" s="1061" cm="1" t="str">
        <f t="array" ref="BH9:BH9">BH6</f>
        <v>2030</v>
      </c>
      <c r="BI9" s="1061" cm="1" t="str">
        <f t="array" ref="BI9:BI9">BI6</f>
        <v>2031</v>
      </c>
      <c r="BJ9" s="1061" cm="1" t="str">
        <f t="array" ref="BJ9:BJ9">BJ6</f>
        <v>2032</v>
      </c>
      <c r="BK9" s="1061" cm="1" t="str">
        <f t="array" ref="BK9:BK9">BK6</f>
        <v>2033</v>
      </c>
      <c r="BL9" s="1061" cm="1" t="str">
        <f t="array" ref="BL9:BL9">BL6</f>
        <v>2034</v>
      </c>
      <c r="BM9" s="1061" cm="1" t="str">
        <f t="array" ref="BM9:BM9">BM6</f>
        <v>2035</v>
      </c>
      <c r="BV9" s="703"/>
      <c r="BW9" s="703"/>
    </row>
    <row s="1064" customFormat="1" customHeight="1" ht="11.25" hidden="1">
      <c r="A10" s="997" t="s">
        <v>366</v>
      </c>
      <c r="B10" s="1060"/>
      <c r="C10" s="1060"/>
      <c r="D10" s="1060"/>
      <c r="E10" s="1060"/>
      <c r="F10" s="1060"/>
      <c r="G10" s="1060"/>
      <c r="H10" s="1060"/>
      <c r="I10" s="1060"/>
      <c r="J10" s="1060"/>
      <c r="K10" s="1060"/>
      <c r="L10" s="1060"/>
      <c r="M10" s="1060"/>
      <c r="N10" s="1060"/>
      <c r="O10" s="1060"/>
      <c r="P10" s="1060"/>
      <c r="Q10" s="1060"/>
      <c r="R10" s="1060"/>
      <c r="S10" s="1060"/>
      <c r="T10" s="1060"/>
      <c r="U10" s="1060"/>
      <c r="V10" s="1060"/>
      <c r="W10" s="1060"/>
      <c r="X10" s="1060"/>
      <c r="Y10" s="1060"/>
      <c r="Z10" s="1060"/>
      <c r="AA10" s="1060"/>
      <c r="AB10" s="1060"/>
      <c r="AC10" s="1060"/>
      <c r="AD10" s="1060"/>
      <c r="AE10" s="1061" cm="1" t="str">
        <f t="array" ref="AE10:AE10">AE25</f>
        <v>Принято органом регулирования</v>
      </c>
      <c r="AF10" s="1061" cm="1" t="str">
        <f t="array" ref="AF10:AF10">AF25</f>
        <v>Факт по данным организации</v>
      </c>
      <c r="AG10" s="1061" cm="1" t="str">
        <f t="array" ref="AG10:AG10">AG25</f>
        <v>Факт, принятый органом регулирования</v>
      </c>
      <c r="AH10" s="1061" cm="1" t="str">
        <f t="array" ref="AH10:AH10">AH25</f>
        <v>отклонение факта по данным организации к факту принятому органом регулирования</v>
      </c>
      <c r="AI10" s="1061" cm="1" t="str">
        <f t="array" ref="AI10:AI10">AI25</f>
        <v>Принято органом регулирования</v>
      </c>
      <c r="AJ10" s="1061" cm="1" t="str">
        <f t="array" ref="AJ10:AJ10">AJ25</f>
        <v>Предложение организации</v>
      </c>
      <c r="AK10" s="1061" cm="1" t="str">
        <f t="array" ref="AK10:AK10">AK25</f>
        <v>Предложение организации</v>
      </c>
      <c r="AL10" s="1061" cm="1" t="str">
        <f t="array" ref="AL10:AL10">AL25</f>
        <v>Предложение организации</v>
      </c>
      <c r="AM10" s="1061" cm="1" t="str">
        <f t="array" ref="AM10:AM10">AM25</f>
        <v>Предложение организации</v>
      </c>
      <c r="AN10" s="1061" cm="1" t="str">
        <f t="array" ref="AN10:AN10">AN25</f>
        <v>Предложение организации</v>
      </c>
      <c r="AO10" s="1061" cm="1" t="str">
        <f t="array" ref="AO10:AO10">AO25</f>
        <v>Предложение организации</v>
      </c>
      <c r="AP10" s="1061" cm="1" t="str">
        <f t="array" ref="AP10:AP10">AP25</f>
        <v>Предложение организации</v>
      </c>
      <c r="AQ10" s="1061" cm="1" t="str">
        <f t="array" ref="AQ10:AQ10">AQ25</f>
        <v>Предложение организации</v>
      </c>
      <c r="AR10" s="1061" cm="1" t="str">
        <f t="array" ref="AR10:AR10">AR25</f>
        <v>Предложение организации</v>
      </c>
      <c r="AS10" s="1061" cm="1" t="str">
        <f t="array" ref="AS10:AS10">AS25</f>
        <v>Предложение организации</v>
      </c>
      <c r="AT10" s="1061" cm="1" t="str">
        <f t="array" ref="AT10:AT10">AT25</f>
        <v>Принято органом регулирования</v>
      </c>
      <c r="AU10" s="1061" cm="1" t="str">
        <f t="array" ref="AU10:AU10">AU25</f>
        <v>Принято органом регулирования</v>
      </c>
      <c r="AV10" s="1061" cm="1" t="str">
        <f t="array" ref="AV10:AV10">AV25</f>
        <v>Принято органом регулирования</v>
      </c>
      <c r="AW10" s="1061" cm="1" t="str">
        <f t="array" ref="AW10:AW10">AW25</f>
        <v>Принято органом регулирования</v>
      </c>
      <c r="AX10" s="1061" cm="1" t="str">
        <f t="array" ref="AX10:AX10">AX25</f>
        <v>Принято органом регулирования</v>
      </c>
      <c r="AY10" s="1061" cm="1" t="str">
        <f t="array" ref="AY10:AY10">AY25</f>
        <v>Принято органом регулирования</v>
      </c>
      <c r="AZ10" s="1061" cm="1" t="str">
        <f t="array" ref="AZ10:AZ10">AZ25</f>
        <v>Принято органом регулирования</v>
      </c>
      <c r="BA10" s="1061" cm="1" t="str">
        <f t="array" ref="BA10:BA10">BA25</f>
        <v>Принято органом регулирования</v>
      </c>
      <c r="BB10" s="1061" cm="1" t="str">
        <f t="array" ref="BB10:BB10">BB25</f>
        <v>Принято органом регулирования</v>
      </c>
      <c r="BC10" s="1061" cm="1" t="str">
        <f t="array" ref="BC10:BC10">BC25</f>
        <v>Принято органом регулирования</v>
      </c>
      <c r="BD10" s="1061"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61" cm="1" t="str">
        <f t="array" ref="BE10:BE10">BE25</f>
        <v>0</v>
      </c>
      <c r="BF10" s="1061" cm="1" t="str">
        <f t="array" ref="BF10:BF10">BF25</f>
        <v>0</v>
      </c>
      <c r="BG10" s="1061" cm="1" t="str">
        <f t="array" ref="BG10:BG10">BG25</f>
        <v>0</v>
      </c>
      <c r="BH10" s="1061" cm="1" t="str">
        <f t="array" ref="BH10:BH10">BH25</f>
        <v>0</v>
      </c>
      <c r="BI10" s="1061" cm="1" t="str">
        <f t="array" ref="BI10:BI10">BI25</f>
        <v>0</v>
      </c>
      <c r="BJ10" s="1061" cm="1" t="str">
        <f t="array" ref="BJ10:BJ10">BJ25</f>
        <v>0</v>
      </c>
      <c r="BK10" s="1061" cm="1" t="str">
        <f t="array" ref="BK10:BK10">BK25</f>
        <v>0</v>
      </c>
      <c r="BL10" s="1061" cm="1" t="str">
        <f t="array" ref="BL10:BL10">BL25</f>
        <v>0</v>
      </c>
      <c r="BM10" s="1061" cm="1" t="str">
        <f t="array" ref="BM10:BM10">BM25</f>
        <v>0</v>
      </c>
      <c r="BV10" s="703"/>
      <c r="BW10" s="703"/>
    </row>
    <row s="1064" customFormat="1" customHeight="1" ht="11.25" hidden="1">
      <c r="A11" s="997" t="s">
        <v>367</v>
      </c>
      <c r="B11" s="1060"/>
      <c r="C11" s="1060"/>
      <c r="D11" s="1060"/>
      <c r="E11" s="1060"/>
      <c r="F11" s="1060"/>
      <c r="G11" s="1060"/>
      <c r="H11" s="1060"/>
      <c r="I11" s="1060"/>
      <c r="J11" s="1060"/>
      <c r="K11" s="1060"/>
      <c r="L11" s="1060"/>
      <c r="M11" s="1060"/>
      <c r="N11" s="1060"/>
      <c r="O11" s="1060"/>
      <c r="P11" s="1060"/>
      <c r="Q11" s="1060"/>
      <c r="R11" s="1060"/>
      <c r="S11" s="1060"/>
      <c r="T11" s="1060"/>
      <c r="U11" s="1060"/>
      <c r="V11" s="1060"/>
      <c r="W11" s="1060"/>
      <c r="X11" s="1060"/>
      <c r="Y11" s="1060"/>
      <c r="Z11" s="1060"/>
      <c r="AA11" s="1060"/>
      <c r="AB11" s="1060"/>
      <c r="AC11" s="1060"/>
      <c r="AD11" s="1060"/>
      <c r="AE11" s="1061"/>
      <c r="AJ11" s="1064"/>
      <c r="AK11" s="1064"/>
      <c r="AL11" s="1064"/>
      <c r="AM11" s="1064"/>
      <c r="AN11" s="1064"/>
      <c r="AO11" s="1064"/>
      <c r="AP11" s="1064"/>
      <c r="AQ11" s="1064"/>
      <c r="AR11" s="1064"/>
      <c r="AS11" s="1064"/>
      <c r="AT11" s="1064"/>
      <c r="AU11" s="1064"/>
      <c r="AV11" s="1064"/>
      <c r="AW11" s="1064"/>
      <c r="AX11" s="1064"/>
      <c r="AY11" s="1064"/>
      <c r="AZ11" s="1064"/>
      <c r="BA11" s="1064"/>
      <c r="BB11" s="1064"/>
      <c r="BC11" s="1064"/>
      <c r="BD11" s="1064"/>
      <c r="BE11" s="1064"/>
      <c r="BF11" s="1064"/>
      <c r="BG11" s="1064"/>
      <c r="BH11" s="1064"/>
      <c r="BI11" s="1064"/>
      <c r="BJ11" s="1064"/>
      <c r="BK11" s="1064"/>
      <c r="BL11" s="1064"/>
      <c r="BM11" s="1064"/>
      <c r="BN11" s="1064" cm="1" t="str">
        <f t="array" ref="BN11:BN11">BN24</f>
        <v>Указание на подтверждающие документы / URL-ссылка на копии подтверждающих документов</v>
      </c>
      <c r="BO11" s="1064" cm="1" t="str">
        <f t="array" ref="BO11:BO11">BO24</f>
        <v>Ссылка на правовую норму (основание для принятия показателя в расчет тарифа)</v>
      </c>
      <c r="BP11" s="1064"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V11" s="703"/>
      <c r="BW11" s="703"/>
    </row>
    <row s="1064" customFormat="1" customHeight="1" ht="11.25" hidden="1">
      <c r="A12" s="1062" t="s">
        <v>338</v>
      </c>
      <c r="B12" s="1060"/>
      <c r="C12" s="1060"/>
      <c r="D12" s="1060"/>
      <c r="E12" s="1060"/>
      <c r="F12" s="1060"/>
      <c r="G12" s="1060"/>
      <c r="H12" s="1060"/>
      <c r="I12" s="1060"/>
      <c r="J12" s="1060"/>
      <c r="K12" s="1060"/>
      <c r="L12" s="1060"/>
      <c r="M12" s="1060"/>
      <c r="N12" s="1060"/>
      <c r="O12" s="1060"/>
      <c r="P12" s="1060"/>
      <c r="Q12" s="1060"/>
      <c r="R12" s="1060"/>
      <c r="S12" s="1060"/>
      <c r="T12" s="1060"/>
      <c r="U12" s="1060"/>
      <c r="V12" s="1060"/>
      <c r="W12" s="1060"/>
      <c r="X12" s="1060"/>
      <c r="Y12" s="1060"/>
      <c r="Z12" s="1060"/>
      <c r="AA12" s="1060"/>
      <c r="AB12" s="1060"/>
      <c r="AC12" s="1062" t="s">
        <v>326</v>
      </c>
      <c r="AD12" s="1060"/>
      <c r="AE12" s="1061"/>
      <c r="AJ12" s="1064"/>
      <c r="AK12" s="1064"/>
      <c r="AL12" s="1064"/>
      <c r="AM12" s="1064"/>
      <c r="AN12" s="1064"/>
      <c r="AO12" s="1064"/>
      <c r="AP12" s="1064"/>
      <c r="AQ12" s="1064"/>
      <c r="AR12" s="1064"/>
      <c r="AS12" s="1064"/>
      <c r="AT12" s="1064"/>
      <c r="AU12" s="1064"/>
      <c r="AV12" s="1064"/>
      <c r="AW12" s="1064"/>
      <c r="AX12" s="1064"/>
      <c r="AY12" s="1064"/>
      <c r="AZ12" s="1064"/>
      <c r="BA12" s="1064"/>
      <c r="BB12" s="1064"/>
      <c r="BC12" s="1064"/>
      <c r="BD12" s="1064"/>
      <c r="BE12" s="1064"/>
      <c r="BF12" s="1064"/>
      <c r="BG12" s="1064"/>
      <c r="BH12" s="1064"/>
      <c r="BI12" s="1064"/>
      <c r="BJ12" s="1064"/>
      <c r="BK12" s="1064"/>
      <c r="BL12" s="1064"/>
      <c r="BM12" s="1064"/>
      <c r="BV12" s="703"/>
      <c r="BW12" s="703"/>
    </row>
    <row customHeight="1" ht="11.25" hidden="1">
      <c r="A13" s="158" t="s">
        <v>2428</v>
      </c>
      <c r="AJ13" s="1278"/>
      <c r="AK13" s="1278"/>
      <c r="AL13" s="1278"/>
      <c r="AM13" s="1278"/>
      <c r="AN13" s="1278"/>
      <c r="AO13" s="1278"/>
      <c r="AP13" s="1278"/>
      <c r="AQ13" s="1278"/>
      <c r="AR13" s="1278"/>
      <c r="AS13" s="1278"/>
      <c r="AT13" s="1278"/>
      <c r="AU13" s="1278"/>
      <c r="AV13" s="1278"/>
      <c r="AW13" s="1278"/>
      <c r="AX13" s="1278"/>
      <c r="AY13" s="1278"/>
      <c r="AZ13" s="1278"/>
      <c r="BA13" s="1278"/>
      <c r="BB13" s="1278"/>
      <c r="BC13" s="1278"/>
      <c r="BD13" s="1278"/>
      <c r="BE13" s="1278"/>
      <c r="BF13" s="1278"/>
      <c r="BG13" s="1278"/>
      <c r="BH13" s="1278"/>
      <c r="BI13" s="1278"/>
      <c r="BJ13" s="1278"/>
      <c r="BK13" s="1278"/>
      <c r="BL13" s="1278"/>
      <c r="BM13" s="1278"/>
      <c r="BN13" s="158" cm="1" t="str">
        <f t="array" ref="BN13:BN13">BN24</f>
        <v>Указание на подтверждающие документы / URL-ссылка на копии подтверждающих документов</v>
      </c>
      <c r="BO13" s="158" cm="1" t="str">
        <f t="array" ref="BO13:BO13">BO24</f>
        <v>Ссылка на правовую норму (основание для принятия показателя в расчет тарифа)</v>
      </c>
      <c r="BP13" s="158" cm="1" t="str">
        <f t="array" ref="BP13:BP13">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customHeight="1" ht="11.25" hidden="1">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row>
    <row customHeight="1" ht="11.25" hidden="1">
      <c r="AJ15" s="98"/>
      <c r="AK15" s="98"/>
      <c r="AL15" s="98"/>
      <c r="AM15" s="98"/>
      <c r="AN15" s="98"/>
      <c r="AO15" s="98"/>
      <c r="AP15" s="98"/>
      <c r="AQ15" s="98"/>
      <c r="AR15" s="98"/>
      <c r="AS15" s="98"/>
      <c r="AT15" s="98"/>
      <c r="AU15" s="98"/>
      <c r="AV15" s="98"/>
      <c r="AW15" s="98"/>
      <c r="AX15" s="98"/>
      <c r="AY15" s="98"/>
      <c r="AZ15" s="98"/>
      <c r="BA15" s="98"/>
      <c r="BB15" s="98"/>
      <c r="BC15" s="98"/>
      <c r="BD15" s="98"/>
      <c r="BE15" s="98"/>
      <c r="BF15" s="98"/>
      <c r="BG15" s="98"/>
      <c r="BH15" s="98"/>
      <c r="BI15" s="98"/>
      <c r="BJ15" s="98"/>
      <c r="BK15" s="98"/>
      <c r="BL15" s="98"/>
      <c r="BM15" s="98"/>
    </row>
    <row customHeight="1" ht="11.25" hidden="1">
      <c r="AJ16" s="98"/>
      <c r="AK16" s="98"/>
      <c r="AL16" s="98"/>
      <c r="AM16" s="98"/>
      <c r="AN16" s="98"/>
      <c r="AO16" s="98"/>
      <c r="AP16" s="98"/>
      <c r="AQ16" s="98"/>
      <c r="AR16" s="98"/>
      <c r="AS16" s="98"/>
      <c r="AT16" s="98"/>
      <c r="AU16" s="98"/>
      <c r="AV16" s="98"/>
      <c r="AW16" s="98"/>
      <c r="AX16" s="98"/>
      <c r="AY16" s="98"/>
      <c r="AZ16" s="98"/>
      <c r="BA16" s="98"/>
      <c r="BB16" s="98"/>
      <c r="BC16" s="98"/>
      <c r="BD16" s="98"/>
      <c r="BE16" s="98"/>
      <c r="BF16" s="98"/>
      <c r="BG16" s="98"/>
      <c r="BH16" s="98"/>
      <c r="BI16" s="98"/>
      <c r="BJ16" s="98"/>
      <c r="BK16" s="98"/>
      <c r="BL16" s="98"/>
      <c r="BM16" s="98"/>
    </row>
    <row customHeight="1" ht="11.25" hidden="1">
      <c r="AJ17" s="1278"/>
      <c r="AK17" s="1278"/>
      <c r="AL17" s="1278"/>
      <c r="AM17" s="1278"/>
      <c r="AN17" s="1278"/>
      <c r="AO17" s="1278"/>
      <c r="AP17" s="1278"/>
      <c r="AQ17" s="1278"/>
      <c r="AR17" s="1278"/>
      <c r="AS17" s="1278"/>
      <c r="AT17" s="1278"/>
      <c r="AU17" s="1278"/>
      <c r="AV17" s="1278"/>
      <c r="AW17" s="1278"/>
      <c r="AX17" s="1278"/>
      <c r="AY17" s="1278"/>
      <c r="AZ17" s="1278"/>
      <c r="BA17" s="1278"/>
      <c r="BB17" s="1278"/>
      <c r="BC17" s="1278"/>
      <c r="BD17" s="1278"/>
      <c r="BE17" s="1278"/>
      <c r="BF17" s="1278"/>
      <c r="BG17" s="1278"/>
      <c r="BH17" s="1278"/>
      <c r="BI17" s="1278"/>
      <c r="BJ17" s="1278"/>
      <c r="BK17" s="1278"/>
      <c r="BL17" s="1278"/>
      <c r="BM17" s="1278"/>
    </row>
    <row customHeight="1" ht="11.25" hidden="1">
      <c r="A18" s="158" t="s">
        <v>368</v>
      </c>
      <c r="AC18" s="157" t="s">
        <v>369</v>
      </c>
      <c r="AJ18" s="1278"/>
      <c r="AK18" s="1278"/>
      <c r="AL18" s="1278"/>
      <c r="AM18" s="1278"/>
      <c r="AN18" s="1278"/>
      <c r="AO18" s="1278"/>
      <c r="AP18" s="1278"/>
      <c r="AQ18" s="1278"/>
      <c r="AR18" s="1278"/>
      <c r="AS18" s="1278"/>
      <c r="AT18" s="1278"/>
      <c r="AU18" s="1278"/>
      <c r="AV18" s="1278"/>
      <c r="AW18" s="1278"/>
      <c r="AX18" s="1278"/>
      <c r="AY18" s="1278"/>
      <c r="AZ18" s="1278"/>
      <c r="BA18" s="1278"/>
      <c r="BB18" s="1278"/>
      <c r="BC18" s="1278"/>
      <c r="BD18" s="1278"/>
      <c r="BE18" s="1278"/>
      <c r="BF18" s="1278"/>
      <c r="BG18" s="1278"/>
      <c r="BH18" s="1278"/>
      <c r="BI18" s="1278"/>
      <c r="BJ18" s="1278"/>
      <c r="BK18" s="1278"/>
      <c r="BL18" s="1278"/>
      <c r="BM18" s="1278"/>
    </row>
    <row customHeight="1" ht="11.25" hidden="1">
      <c r="AJ19" s="1278"/>
      <c r="AK19" s="1278"/>
      <c r="AL19" s="1278"/>
      <c r="AM19" s="1278"/>
      <c r="AN19" s="1278"/>
      <c r="AO19" s="1278"/>
      <c r="AP19" s="1278"/>
      <c r="AQ19" s="1278"/>
      <c r="AR19" s="1278"/>
      <c r="AS19" s="1278"/>
      <c r="AT19" s="1278"/>
      <c r="AU19" s="1278"/>
      <c r="AV19" s="1278"/>
      <c r="AW19" s="1278"/>
      <c r="AX19" s="1278"/>
      <c r="AY19" s="1278"/>
      <c r="AZ19" s="1278"/>
      <c r="BA19" s="1278"/>
      <c r="BB19" s="1278"/>
      <c r="BC19" s="1278"/>
      <c r="BD19" s="1278"/>
      <c r="BE19" s="1278"/>
      <c r="BF19" s="1278"/>
      <c r="BG19" s="1278"/>
      <c r="BH19" s="1278"/>
      <c r="BI19" s="1278"/>
      <c r="BJ19" s="1278"/>
      <c r="BK19" s="1278"/>
      <c r="BL19" s="1278"/>
      <c r="BM19" s="1278"/>
    </row>
    <row customHeight="1" ht="11.25" hidden="1">
      <c r="AJ20" s="1278"/>
      <c r="AK20" s="1278"/>
      <c r="AL20" s="1278"/>
      <c r="AM20" s="1278"/>
      <c r="AN20" s="1278"/>
      <c r="AO20" s="1278"/>
      <c r="AP20" s="1278"/>
      <c r="AQ20" s="1278"/>
      <c r="AR20" s="1278"/>
      <c r="AS20" s="1278"/>
      <c r="AT20" s="1278"/>
      <c r="AU20" s="1278"/>
      <c r="AV20" s="1278"/>
      <c r="AW20" s="1278"/>
      <c r="AX20" s="1278"/>
      <c r="AY20" s="1278"/>
      <c r="AZ20" s="1278"/>
      <c r="BA20" s="1278"/>
      <c r="BB20" s="1278"/>
      <c r="BC20" s="1278"/>
      <c r="BD20" s="1278"/>
      <c r="BE20" s="1278"/>
      <c r="BF20" s="1278"/>
      <c r="BG20" s="1278"/>
      <c r="BH20" s="1278"/>
      <c r="BI20" s="1278"/>
      <c r="BJ20" s="1278"/>
      <c r="BK20" s="1278"/>
      <c r="BL20" s="1278"/>
      <c r="BM20" s="1278"/>
    </row>
    <row customHeight="1" ht="14.625">
      <c r="E21" s="703">
        <v>15</v>
      </c>
      <c r="AA21" s="425"/>
      <c r="AB21" s="158"/>
      <c r="AC21" s="50" cm="1" t="str">
        <f t="array" ref="AC21:AC21">tpl_title</f>
        <v>Кемеровская область / 2026 / ООО "Теплоэнерго" (ИНН:4214046200, КПП:421401001) / ДПР: 2026-2030</v>
      </c>
      <c r="AD21" s="158"/>
      <c r="AJ21" s="1278"/>
      <c r="AK21" s="1278"/>
      <c r="AL21" s="1278"/>
      <c r="AM21" s="1278"/>
      <c r="AN21" s="1278"/>
      <c r="AO21" s="1278"/>
      <c r="AP21" s="1278"/>
      <c r="AQ21" s="1278"/>
      <c r="AR21" s="1278"/>
      <c r="AS21" s="1278"/>
      <c r="AT21" s="1278"/>
      <c r="AU21" s="1278"/>
      <c r="AV21" s="1278"/>
      <c r="AW21" s="1278"/>
      <c r="AX21" s="1278"/>
      <c r="AY21" s="1278"/>
      <c r="AZ21" s="1278"/>
      <c r="BA21" s="1278"/>
      <c r="BB21" s="1278"/>
      <c r="BC21" s="1278"/>
      <c r="BD21" s="1278"/>
      <c r="BE21" s="1278"/>
      <c r="BF21" s="1278"/>
      <c r="BG21" s="1278"/>
      <c r="BH21" s="1278"/>
      <c r="BI21" s="1278"/>
      <c r="BJ21" s="1278"/>
      <c r="BK21" s="1278"/>
      <c r="BL21" s="1278"/>
      <c r="BM21" s="1278"/>
    </row>
    <row s="1299" customFormat="1" customHeight="1" ht="19.5">
      <c r="B22" s="432"/>
      <c r="E22" s="621">
        <v>20</v>
      </c>
      <c r="AB22" s="319" t="s">
        <v>80</v>
      </c>
      <c r="AC22" s="251"/>
      <c r="AD22" s="251"/>
      <c r="AE22" s="251"/>
      <c r="AF22" s="251"/>
      <c r="AG22" s="251"/>
      <c r="AH22" s="251"/>
      <c r="AI22" s="251"/>
      <c r="AJ22" s="251"/>
      <c r="AK22" s="251"/>
      <c r="AL22" s="251"/>
      <c r="AM22" s="251"/>
      <c r="AN22" s="251"/>
      <c r="AO22" s="251"/>
      <c r="AP22" s="251"/>
      <c r="AQ22" s="251"/>
      <c r="AR22" s="251"/>
      <c r="AS22" s="251"/>
      <c r="AT22" s="251"/>
      <c r="AU22" s="251"/>
      <c r="AV22" s="251"/>
      <c r="AW22" s="251"/>
      <c r="AX22" s="251"/>
      <c r="AY22" s="251"/>
      <c r="AZ22" s="251"/>
      <c r="BA22" s="251"/>
      <c r="BB22" s="251"/>
      <c r="BC22" s="251"/>
      <c r="BD22" s="251"/>
      <c r="BE22" s="251"/>
      <c r="BF22" s="251"/>
      <c r="BG22" s="251"/>
      <c r="BH22" s="251"/>
      <c r="BI22" s="251"/>
      <c r="BJ22" s="251"/>
      <c r="BK22" s="251"/>
      <c r="BL22" s="251"/>
      <c r="BM22" s="251"/>
      <c r="BN22" s="251"/>
      <c r="BO22" s="251"/>
      <c r="BP22" s="251"/>
      <c r="BS22" s="1066"/>
      <c r="BT22" s="1066"/>
      <c r="BU22" s="1066"/>
      <c r="BV22" s="621"/>
      <c r="BW22" s="621"/>
    </row>
    <row s="1299" customFormat="1" customHeight="1" ht="10.2375">
      <c r="B23" s="432"/>
      <c r="E23" s="621">
        <v>10.5</v>
      </c>
      <c r="AB23" s="976"/>
      <c r="AC23" s="159"/>
      <c r="AD23" s="159"/>
      <c r="AE23" s="159"/>
      <c r="AF23" s="159"/>
      <c r="AG23" s="159"/>
      <c r="AH23" s="159"/>
      <c r="AI23" s="159"/>
      <c r="AJ23" s="159"/>
      <c r="AK23" s="159"/>
      <c r="AL23" s="159"/>
      <c r="AM23" s="159"/>
      <c r="AN23" s="159"/>
      <c r="AO23" s="159"/>
      <c r="AP23" s="159"/>
      <c r="AQ23" s="159"/>
      <c r="AR23" s="159"/>
      <c r="AS23" s="159"/>
      <c r="AT23" s="159"/>
      <c r="AU23" s="159"/>
      <c r="AV23" s="159"/>
      <c r="AW23" s="159"/>
      <c r="AX23" s="159"/>
      <c r="AY23" s="159"/>
      <c r="AZ23" s="159"/>
      <c r="BA23" s="159"/>
      <c r="BB23" s="159"/>
      <c r="BC23" s="159"/>
      <c r="BD23" s="159"/>
      <c r="BE23" s="159"/>
      <c r="BF23" s="159"/>
      <c r="BG23" s="159"/>
      <c r="BH23" s="159"/>
      <c r="BI23" s="159"/>
      <c r="BJ23" s="159"/>
      <c r="BK23" s="159"/>
      <c r="BL23" s="159"/>
      <c r="BM23" s="159"/>
      <c r="BN23" s="159"/>
      <c r="BO23" s="159"/>
      <c r="BP23" s="159"/>
      <c r="BS23" s="1066"/>
      <c r="BT23" s="1066"/>
      <c r="BU23" s="1066"/>
      <c r="BV23" s="621"/>
      <c r="BW23" s="621"/>
    </row>
    <row s="981" customFormat="1" customHeight="1" ht="24.131250000000005">
      <c r="B24" s="433"/>
      <c r="E24" s="704">
        <v>24.75</v>
      </c>
      <c r="AB24" s="1580" t="s">
        <v>22</v>
      </c>
      <c r="AC24" s="1580" t="s">
        <v>369</v>
      </c>
      <c r="AD24" s="1580" t="s">
        <v>370</v>
      </c>
      <c r="AE24" s="91" t="str">
        <f>god-2&amp;" год"</f>
        <v>2024 год</v>
      </c>
      <c r="AF24" s="1120" t="str">
        <f>god-2&amp;" год"</f>
        <v>2024 год</v>
      </c>
      <c r="AG24" s="91" t="str">
        <f>god-2&amp;" год"</f>
        <v>2024 год</v>
      </c>
      <c r="AH24" s="91" t="str">
        <f>god-2&amp;" год"</f>
        <v>2024 год</v>
      </c>
      <c r="AI24" s="91" t="str">
        <f>god-1&amp;" год"</f>
        <v>2025 год</v>
      </c>
      <c r="AJ24" s="1118" t="str">
        <f>god&amp;" год"</f>
        <v>2026 год</v>
      </c>
      <c r="AK24" s="1118" t="str">
        <f>god+1&amp;" год"</f>
        <v>2027 год</v>
      </c>
      <c r="AL24" s="1118" t="str">
        <f>god+2&amp;" год"</f>
        <v>2028 год</v>
      </c>
      <c r="AM24" s="1118" t="str">
        <f>god+3&amp;" год"</f>
        <v>2029 год</v>
      </c>
      <c r="AN24" s="1118" t="str">
        <f>god+4&amp;" год"</f>
        <v>2030 год</v>
      </c>
      <c r="AO24" s="1118" t="str">
        <f>god+5&amp;" год"</f>
        <v>2031 год</v>
      </c>
      <c r="AP24" s="1118" t="str">
        <f>god+6&amp;" год"</f>
        <v>2032 год</v>
      </c>
      <c r="AQ24" s="1118" t="str">
        <f>god+7&amp;" год"</f>
        <v>2033 год</v>
      </c>
      <c r="AR24" s="1118" t="str">
        <f>god+8&amp;" год"</f>
        <v>2034 год</v>
      </c>
      <c r="AS24" s="1118" t="str">
        <f>god+9&amp;" год"</f>
        <v>2035 год</v>
      </c>
      <c r="AT24" s="92" t="str">
        <f>god&amp;" год"</f>
        <v>2026 год</v>
      </c>
      <c r="AU24" s="92" t="str">
        <f>god+1&amp;" год"</f>
        <v>2027 год</v>
      </c>
      <c r="AV24" s="92" t="str">
        <f>god+2&amp;" год"</f>
        <v>2028 год</v>
      </c>
      <c r="AW24" s="92" t="str">
        <f>god+3&amp;" год"</f>
        <v>2029 год</v>
      </c>
      <c r="AX24" s="92" t="str">
        <f>god+4&amp;" год"</f>
        <v>2030 год</v>
      </c>
      <c r="AY24" s="92" t="str">
        <f>god+5&amp;" год"</f>
        <v>2031 год</v>
      </c>
      <c r="AZ24" s="92" t="str">
        <f>god+6&amp;" год"</f>
        <v>2032 год</v>
      </c>
      <c r="BA24" s="92" t="str">
        <f>god+7&amp;" год"</f>
        <v>2033 год</v>
      </c>
      <c r="BB24" s="92" t="str">
        <f>god+8&amp;" год"</f>
        <v>2034 год</v>
      </c>
      <c r="BC24" s="92" t="str">
        <f>god+9&amp;" год"</f>
        <v>2035 год</v>
      </c>
      <c r="BD24" s="92" t="str">
        <f>god&amp;" год"</f>
        <v>2026 год</v>
      </c>
      <c r="BE24" s="92" t="str">
        <f>god+1&amp;" год"</f>
        <v>2027 год</v>
      </c>
      <c r="BF24" s="92" t="str">
        <f>god+2&amp;" год"</f>
        <v>2028 год</v>
      </c>
      <c r="BG24" s="92" t="str">
        <f>god+3&amp;" год"</f>
        <v>2029 год</v>
      </c>
      <c r="BH24" s="92" t="str">
        <f>god+4&amp;" год"</f>
        <v>2030 год</v>
      </c>
      <c r="BI24" s="92" t="str">
        <f>god+5&amp;" год"</f>
        <v>2031 год</v>
      </c>
      <c r="BJ24" s="92" t="str">
        <f>god+6&amp;" год"</f>
        <v>2032 год</v>
      </c>
      <c r="BK24" s="92" t="str">
        <f>god+7&amp;" год"</f>
        <v>2033 год</v>
      </c>
      <c r="BL24" s="92" t="str">
        <f>god+8&amp;" год"</f>
        <v>2034 год</v>
      </c>
      <c r="BM24" s="92" t="str">
        <f>god+9&amp;" год"</f>
        <v>2035 год</v>
      </c>
      <c r="BN24" s="1590" t="s">
        <v>2431</v>
      </c>
      <c r="BO24" s="1590" t="s">
        <v>1242</v>
      </c>
      <c r="BP24" s="1590" t="s">
        <v>2432</v>
      </c>
      <c r="BS24" s="1067"/>
      <c r="BT24" s="1067"/>
      <c r="BU24" s="1067"/>
      <c r="BV24" s="704"/>
      <c r="BW24" s="704"/>
    </row>
    <row s="981" customFormat="1" customHeight="1" ht="48.993750000000006">
      <c r="B25" s="433"/>
      <c r="E25" s="704">
        <v>50.25</v>
      </c>
      <c r="AB25" s="1580"/>
      <c r="AC25" s="1580"/>
      <c r="AD25" s="1580"/>
      <c r="AE25" s="91" t="s">
        <v>362</v>
      </c>
      <c r="AF25" s="1120" t="s">
        <v>1164</v>
      </c>
      <c r="AG25" s="91" t="s">
        <v>1165</v>
      </c>
      <c r="AH25" s="91" t="s">
        <v>2433</v>
      </c>
      <c r="AI25" s="91" t="s">
        <v>362</v>
      </c>
      <c r="AJ25" s="1122" t="s">
        <v>363</v>
      </c>
      <c r="AK25" s="1122" t="s">
        <v>363</v>
      </c>
      <c r="AL25" s="1122" t="s">
        <v>363</v>
      </c>
      <c r="AM25" s="1122" t="s">
        <v>363</v>
      </c>
      <c r="AN25" s="1122" t="s">
        <v>363</v>
      </c>
      <c r="AO25" s="1122" t="s">
        <v>363</v>
      </c>
      <c r="AP25" s="1122" t="s">
        <v>363</v>
      </c>
      <c r="AQ25" s="1122" t="s">
        <v>363</v>
      </c>
      <c r="AR25" s="1122" t="s">
        <v>363</v>
      </c>
      <c r="AS25" s="1122" t="s">
        <v>363</v>
      </c>
      <c r="AT25" s="360" t="s">
        <v>362</v>
      </c>
      <c r="AU25" s="360" t="s">
        <v>362</v>
      </c>
      <c r="AV25" s="360" t="s">
        <v>362</v>
      </c>
      <c r="AW25" s="360" t="s">
        <v>362</v>
      </c>
      <c r="AX25" s="360" t="s">
        <v>362</v>
      </c>
      <c r="AY25" s="360" t="s">
        <v>362</v>
      </c>
      <c r="AZ25" s="360" t="s">
        <v>362</v>
      </c>
      <c r="BA25" s="360" t="s">
        <v>362</v>
      </c>
      <c r="BB25" s="360" t="s">
        <v>362</v>
      </c>
      <c r="BC25" s="360" t="s">
        <v>362</v>
      </c>
      <c r="BD25" s="1590" t="s">
        <v>2430</v>
      </c>
      <c r="BE25" s="1590"/>
      <c r="BF25" s="1590"/>
      <c r="BG25" s="1590"/>
      <c r="BH25" s="1590"/>
      <c r="BI25" s="1590"/>
      <c r="BJ25" s="1590"/>
      <c r="BK25" s="1590"/>
      <c r="BL25" s="1590"/>
      <c r="BM25" s="1590"/>
      <c r="BN25" s="1590"/>
      <c r="BO25" s="1590"/>
      <c r="BP25" s="1590"/>
      <c r="BS25" s="1067"/>
      <c r="BT25" s="1067"/>
      <c r="BU25" s="1067"/>
      <c r="BV25" s="704"/>
      <c r="BW25" s="704"/>
    </row>
    <row s="1834" customFormat="1" customHeight="1" ht="11.25">
      <c r="B26" s="430"/>
      <c r="E26" s="671" t="s">
        <v>373</v>
      </c>
      <c r="F26" s="172" t="s">
        <v>2635</v>
      </c>
      <c r="T26" s="0"/>
      <c r="AB26" s="499"/>
      <c r="AC26" s="100"/>
      <c r="AD26" s="100"/>
      <c r="AE26" s="100"/>
      <c r="AF26" s="100"/>
      <c r="AJ26" s="1834"/>
      <c r="AK26" s="1834"/>
      <c r="AL26" s="1834"/>
      <c r="AM26" s="1834"/>
      <c r="AN26" s="1834"/>
      <c r="AO26" s="1834"/>
      <c r="AP26" s="1834"/>
      <c r="AQ26" s="101"/>
      <c r="AR26" s="1834"/>
      <c r="AS26" s="1834"/>
      <c r="AT26" s="1834"/>
      <c r="AU26" s="1834"/>
      <c r="AV26" s="1834"/>
      <c r="AW26" s="1834"/>
      <c r="AX26" s="1834"/>
      <c r="AY26" s="1834"/>
      <c r="AZ26" s="1834"/>
      <c r="BA26" s="1834"/>
      <c r="BB26" s="1834"/>
      <c r="BC26" s="1834"/>
      <c r="BD26" s="1834"/>
      <c r="BE26" s="1834"/>
      <c r="BF26" s="1834"/>
      <c r="BG26" s="1834"/>
      <c r="BH26" s="1834"/>
      <c r="BI26" s="1834"/>
      <c r="BJ26" s="1834"/>
      <c r="BK26" s="1834"/>
      <c r="BL26" s="1834"/>
      <c r="BM26" s="1834"/>
      <c r="BS26" s="1004"/>
      <c r="BT26" s="1004"/>
      <c r="BU26" s="1004"/>
      <c r="BV26" s="624"/>
      <c r="BW26" s="624"/>
    </row>
    <row s="1758" customFormat="1" customHeight="1" ht="14.625" hidden="1">
      <c r="A27" s="1758"/>
      <c r="B27" s="428"/>
      <c r="C27" s="426"/>
      <c r="D27" s="426"/>
      <c r="E27" s="619">
        <v>15</v>
      </c>
      <c r="F27" s="493" cm="1" t="str">
        <f t="array" ref="F27:F27">X27</f>
        <v>0</v>
      </c>
      <c r="G27" s="493" cm="1" t="str">
        <f t="array" ref="G27:G27">INDEX('Общие сведения'!$AK$179:$AK$250,MATCH($X27,'Общие сведения'!$Z$179:$Z$250,0))</f>
        <v>0</v>
      </c>
      <c r="H27" s="426"/>
      <c r="I27" s="493"/>
      <c r="J27" s="426"/>
      <c r="K27" s="426"/>
      <c r="L27" s="982"/>
      <c r="M27" s="426"/>
      <c r="N27" s="426"/>
      <c r="O27" s="426"/>
      <c r="P27" s="426"/>
      <c r="Q27" s="426"/>
      <c r="R27" s="426"/>
      <c r="S27" s="426" cm="1" t="str">
        <f t="array" ref="S27:S27">INDEX('Общие сведения'!$AE$179:$AE$250,MATCH($X27,'Общие сведения'!$Z$179:$Z$250,0))</f>
        <v>0</v>
      </c>
      <c r="T27" s="465">
        <f>X27&gt;0</f>
        <v>0</v>
      </c>
      <c r="U27" s="426"/>
      <c r="V27" s="426" t="s">
        <v>265</v>
      </c>
      <c r="W27" s="426"/>
      <c r="X27" s="1596">
        <v>0</v>
      </c>
      <c r="Y27" s="1758"/>
      <c r="Z27" s="1546"/>
      <c r="AA27" s="1758"/>
      <c r="AB27" s="381" cm="1" t="str">
        <f t="array" ref="AB27:AB27">INDEX('Общие сведения'!$AG$179:$AG$250,MATCH($X27,'Общие сведения'!$Z$179:$Z$250,0))</f>
        <v>Тариф 0 () - </v>
      </c>
      <c r="AC27" s="252"/>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52"/>
      <c r="BD27" s="252"/>
      <c r="BE27" s="252"/>
      <c r="BF27" s="252"/>
      <c r="BG27" s="252"/>
      <c r="BH27" s="252"/>
      <c r="BI27" s="252"/>
      <c r="BJ27" s="252"/>
      <c r="BK27" s="252"/>
      <c r="BL27" s="252"/>
      <c r="BM27" s="252"/>
      <c r="BN27" s="252"/>
      <c r="BO27" s="252"/>
      <c r="BP27" s="252"/>
      <c r="BQ27" s="1758"/>
      <c r="BR27" s="1758"/>
      <c r="BS27" s="997"/>
      <c r="BT27" s="997"/>
      <c r="BU27" s="997"/>
      <c r="BV27" s="618"/>
      <c r="BW27" s="618"/>
    </row>
    <row s="161" customFormat="1" customHeight="1" ht="20.475" hidden="1">
      <c r="A28" s="161"/>
      <c r="B28" s="434"/>
      <c r="C28" s="855"/>
      <c r="D28" s="855"/>
      <c r="E28" s="856">
        <v>21</v>
      </c>
      <c r="F28" s="50" cm="1" t="str">
        <f t="array" ref="F28:F28">OFFSET(E28,-1,1)</f>
        <v>0</v>
      </c>
      <c r="G28" s="855"/>
      <c r="H28" s="112"/>
      <c r="I28" s="112" t="s">
        <v>332</v>
      </c>
      <c r="J28" s="855"/>
      <c r="K28" s="377" t="s">
        <v>332</v>
      </c>
      <c r="L28" s="983"/>
      <c r="M28" s="855"/>
      <c r="N28" s="855"/>
      <c r="O28" s="855"/>
      <c r="P28" s="855"/>
      <c r="Q28" s="855"/>
      <c r="R28" s="855"/>
      <c r="S28" s="855"/>
      <c r="T28" s="465" cm="1" t="str">
        <f t="array" ref="T28:T28">T27</f>
        <v>false</v>
      </c>
      <c r="U28" s="855"/>
      <c r="V28" s="855"/>
      <c r="W28" s="855"/>
      <c r="X28" s="1596"/>
      <c r="Y28" s="161"/>
      <c r="Z28" s="1546"/>
      <c r="AA28" s="161"/>
      <c r="AB28" s="234" t="s">
        <v>276</v>
      </c>
      <c r="AC28" s="212" t="s">
        <v>2636</v>
      </c>
      <c r="AD28" s="234" t="s">
        <v>1514</v>
      </c>
      <c r="AE28" s="778">
        <f>SUM(AE30,AE47,AE53,AE73,AE74,AE75)</f>
        <v>0</v>
      </c>
      <c r="AF28" s="778">
        <f>SUM(AF30,AF47,AF53,AF73,AF74,AF75)</f>
        <v>0</v>
      </c>
      <c r="AG28" s="778">
        <f>SUM(AG30,AG47,AG53,AG73,AG74,AG75)</f>
        <v>0</v>
      </c>
      <c r="AH28" s="778">
        <f>AG28-AF28</f>
        <v>0</v>
      </c>
      <c r="AI28" s="778">
        <f>SUM(AI30,AI47,AI53,AI73,AI74,AI75)</f>
        <v>0</v>
      </c>
      <c r="AJ28" s="778">
        <f>SUM(AJ30,AJ47,AJ53,AJ73,AJ74,AJ75)</f>
        <v>0</v>
      </c>
      <c r="AK28" s="1237">
        <f>AJ28*AK29</f>
        <v>0</v>
      </c>
      <c r="AL28" s="1237">
        <f>AK28*AL29</f>
        <v>0</v>
      </c>
      <c r="AM28" s="1237">
        <f>AL28*AM29</f>
        <v>0</v>
      </c>
      <c r="AN28" s="1237">
        <f>AM28*AN29</f>
        <v>0</v>
      </c>
      <c r="AO28" s="1237">
        <f>AN28*AO29</f>
        <v>0</v>
      </c>
      <c r="AP28" s="1237">
        <f>AO28*AP29</f>
        <v>0</v>
      </c>
      <c r="AQ28" s="1237">
        <f>AP28*AQ29</f>
        <v>0</v>
      </c>
      <c r="AR28" s="1237">
        <f>AQ28*AR29</f>
        <v>0</v>
      </c>
      <c r="AS28" s="1237">
        <f>AR28*AS29</f>
        <v>0</v>
      </c>
      <c r="AT28" s="778">
        <f>SUM(AT30,AT47,AT53,AT73,AT74,AT75)</f>
        <v>0</v>
      </c>
      <c r="AU28" s="1237">
        <f>AT28*AU29</f>
        <v>0</v>
      </c>
      <c r="AV28" s="1237">
        <f>AU28*AV29</f>
        <v>0</v>
      </c>
      <c r="AW28" s="1237">
        <f>AV28*AW29</f>
        <v>0</v>
      </c>
      <c r="AX28" s="1237">
        <f>AW28*AX29</f>
        <v>0</v>
      </c>
      <c r="AY28" s="1237">
        <f>AX28*AY29</f>
        <v>0</v>
      </c>
      <c r="AZ28" s="1237">
        <f>AY28*AZ29</f>
        <v>0</v>
      </c>
      <c r="BA28" s="1237">
        <f>AZ28*BA29</f>
        <v>0</v>
      </c>
      <c r="BB28" s="1237">
        <f>BA28*BB29</f>
        <v>0</v>
      </c>
      <c r="BC28" s="1237">
        <f>BB28*BC29</f>
        <v>0</v>
      </c>
      <c r="BD28" s="778">
        <f>IF(AI28=0,0,(AT28-AI28)/AI28*100)</f>
        <v>0</v>
      </c>
      <c r="BE28" s="778">
        <f>IF(AT28=0,0,(AU28-AT28)/AT28*100)</f>
        <v>0</v>
      </c>
      <c r="BF28" s="778">
        <f>IF(AU28=0,0,(AV28-AU28)/AU28*100)</f>
        <v>0</v>
      </c>
      <c r="BG28" s="778">
        <f>IF(AV28=0,0,(AW28-AV28)/AV28*100)</f>
        <v>0</v>
      </c>
      <c r="BH28" s="778">
        <f>IF(AW28=0,0,(AX28-AW28)/AW28*100)</f>
        <v>0</v>
      </c>
      <c r="BI28" s="778">
        <f>IF(AX28=0,0,(AY28-AX28)/AX28*100)</f>
        <v>0</v>
      </c>
      <c r="BJ28" s="778">
        <f>IF(AY28=0,0,(AZ28-AY28)/AY28*100)</f>
        <v>0</v>
      </c>
      <c r="BK28" s="778">
        <f>IF(AZ28=0,0,(BA28-AZ28)/AZ28*100)</f>
        <v>0</v>
      </c>
      <c r="BL28" s="778">
        <f>IF(BA28=0,0,(BB28-BA28)/BA28*100)</f>
        <v>0</v>
      </c>
      <c r="BM28" s="778">
        <f>IF(BB28=0,0,(BC28-BB28)/BB28*100)</f>
        <v>0</v>
      </c>
      <c r="BN28" s="1238"/>
      <c r="BO28" s="1238"/>
      <c r="BP28" s="1238"/>
      <c r="BQ28" s="160"/>
      <c r="BR28" s="161"/>
      <c r="BS28" s="1068" t="s">
        <v>1239</v>
      </c>
      <c r="BT28" s="1068"/>
      <c r="BU28" s="1068"/>
      <c r="BV28" s="705"/>
      <c r="BW28" s="705"/>
    </row>
    <row customHeight="1" ht="14.625" hidden="1">
      <c r="A29" s="1278"/>
      <c r="B29" s="978"/>
      <c r="C29" s="107"/>
      <c r="D29" s="107"/>
      <c r="E29" s="621">
        <v>15</v>
      </c>
      <c r="F29" s="50" cm="1" t="str">
        <f t="array" ref="F29:F29">OFFSET(E29,-1,1)</f>
        <v>0</v>
      </c>
      <c r="G29" s="107"/>
      <c r="H29" s="857"/>
      <c r="I29" s="857" t="s">
        <v>1175</v>
      </c>
      <c r="J29" s="107"/>
      <c r="K29" s="378" t="s">
        <v>1175</v>
      </c>
      <c r="L29" s="980"/>
      <c r="M29" s="107"/>
      <c r="N29" s="107"/>
      <c r="O29" s="107"/>
      <c r="P29" s="107"/>
      <c r="Q29" s="107"/>
      <c r="R29" s="107"/>
      <c r="S29" s="107"/>
      <c r="T29" s="465" cm="1" t="str">
        <f t="array" ref="T29:T29">T28</f>
        <v>false</v>
      </c>
      <c r="U29" s="107"/>
      <c r="V29" s="107"/>
      <c r="W29" s="107"/>
      <c r="X29" s="1596"/>
      <c r="Y29" s="1278"/>
      <c r="Z29" s="1546"/>
      <c r="AA29" s="1278"/>
      <c r="AB29" s="300" t="s">
        <v>1628</v>
      </c>
      <c r="AC29" s="762" t="s">
        <v>2637</v>
      </c>
      <c r="AD29" s="300"/>
      <c r="AE29" s="1239"/>
      <c r="AF29" s="1239"/>
      <c r="AG29" s="1239"/>
      <c r="AH29" s="1113">
        <f>AG29-AF29</f>
        <v>0</v>
      </c>
      <c r="AI29" s="1239"/>
      <c r="AJ29" s="1239"/>
      <c r="AK29" s="1239">
        <f>_xlfn.SUMIFS(INDEX(Сценарии!$AE$25:$BF$163,,MATCH(AK$8,Сценарии!$AE$8:$BF$8,0)),Сценарии!$F$25:$F$163,$F29,Сценарии!$G$25:$G$163,"ИОР")</f>
        <v>1</v>
      </c>
      <c r="AL29" s="1239">
        <f>_xlfn.SUMIFS(INDEX(Сценарии!$AE$25:$BF$163,,MATCH(AL$8,Сценарии!$AE$8:$BF$8,0)),Сценарии!$F$25:$F$163,$F29,Сценарии!$G$25:$G$163,"ИОР")</f>
        <v>1</v>
      </c>
      <c r="AM29" s="1239">
        <f>_xlfn.SUMIFS(INDEX(Сценарии!$AE$25:$BF$163,,MATCH(AM$8,Сценарии!$AE$8:$BF$8,0)),Сценарии!$F$25:$F$163,$F29,Сценарии!$G$25:$G$163,"ИОР")</f>
        <v>1</v>
      </c>
      <c r="AN29" s="1239">
        <f>_xlfn.SUMIFS(INDEX(Сценарии!$AE$25:$BF$163,,MATCH(AN$8,Сценарии!$AE$8:$BF$8,0)),Сценарии!$F$25:$F$163,$F29,Сценарии!$G$25:$G$163,"ИОР")</f>
        <v>1</v>
      </c>
      <c r="AO29" s="1239">
        <f>_xlfn.SUMIFS(INDEX(Сценарии!$AE$25:$BF$163,,MATCH(AO$8,Сценарии!$AE$8:$BF$8,0)),Сценарии!$F$25:$F$163,$F29,Сценарии!$G$25:$G$163,"ИОР")</f>
        <v>1</v>
      </c>
      <c r="AP29" s="1239">
        <f>_xlfn.SUMIFS(INDEX(Сценарии!$AE$25:$BF$163,,MATCH(AP$8,Сценарии!$AE$8:$BF$8,0)),Сценарии!$F$25:$F$163,$F29,Сценарии!$G$25:$G$163,"ИОР")</f>
        <v>1</v>
      </c>
      <c r="AQ29" s="1239">
        <f>_xlfn.SUMIFS(INDEX(Сценарии!$AE$25:$BF$163,,MATCH(AQ$8,Сценарии!$AE$8:$BF$8,0)),Сценарии!$F$25:$F$163,$F29,Сценарии!$G$25:$G$163,"ИОР")</f>
        <v>1</v>
      </c>
      <c r="AR29" s="1239">
        <f>_xlfn.SUMIFS(INDEX(Сценарии!$AE$25:$BF$163,,MATCH(AR$8,Сценарии!$AE$8:$BF$8,0)),Сценарии!$F$25:$F$163,$F29,Сценарии!$G$25:$G$163,"ИОР")</f>
        <v>1</v>
      </c>
      <c r="AS29" s="1239">
        <f>_xlfn.SUMIFS(INDEX(Сценарии!$AE$25:$BF$163,,MATCH(AS$8,Сценарии!$AE$8:$BF$8,0)),Сценарии!$F$25:$F$163,$F29,Сценарии!$G$25:$G$163,"ИОР")</f>
        <v>1</v>
      </c>
      <c r="AT29" s="1239"/>
      <c r="AU29" s="1239">
        <f>_xlfn.SUMIFS(INDEX(Сценарии!$AE$25:$BF$163,,MATCH(AU$8,Сценарии!$AE$8:$BF$8,0)),Сценарии!$F$25:$F$163,$F29,Сценарии!$G$25:$G$163,"ИОР")</f>
        <v>1</v>
      </c>
      <c r="AV29" s="1239">
        <f>_xlfn.SUMIFS(INDEX(Сценарии!$AE$25:$BF$163,,MATCH(AV$8,Сценарии!$AE$8:$BF$8,0)),Сценарии!$F$25:$F$163,$F29,Сценарии!$G$25:$G$163,"ИОР")</f>
        <v>1</v>
      </c>
      <c r="AW29" s="1239">
        <f>_xlfn.SUMIFS(INDEX(Сценарии!$AE$25:$BF$163,,MATCH(AW$8,Сценарии!$AE$8:$BF$8,0)),Сценарии!$F$25:$F$163,$F29,Сценарии!$G$25:$G$163,"ИОР")</f>
        <v>1</v>
      </c>
      <c r="AX29" s="1239">
        <f>_xlfn.SUMIFS(INDEX(Сценарии!$AE$25:$BF$163,,MATCH(AX$8,Сценарии!$AE$8:$BF$8,0)),Сценарии!$F$25:$F$163,$F29,Сценарии!$G$25:$G$163,"ИОР")</f>
        <v>1</v>
      </c>
      <c r="AY29" s="1239">
        <f>_xlfn.SUMIFS(INDEX(Сценарии!$AE$25:$BF$163,,MATCH(AY$8,Сценарии!$AE$8:$BF$8,0)),Сценарии!$F$25:$F$163,$F29,Сценарии!$G$25:$G$163,"ИОР")</f>
        <v>1</v>
      </c>
      <c r="AZ29" s="1239">
        <f>_xlfn.SUMIFS(INDEX(Сценарии!$AE$25:$BF$163,,MATCH(AZ$8,Сценарии!$AE$8:$BF$8,0)),Сценарии!$F$25:$F$163,$F29,Сценарии!$G$25:$G$163,"ИОР")</f>
        <v>1</v>
      </c>
      <c r="BA29" s="1239">
        <f>_xlfn.SUMIFS(INDEX(Сценарии!$AE$25:$BF$163,,MATCH(BA$8,Сценарии!$AE$8:$BF$8,0)),Сценарии!$F$25:$F$163,$F29,Сценарии!$G$25:$G$163,"ИОР")</f>
        <v>1</v>
      </c>
      <c r="BB29" s="1239">
        <f>_xlfn.SUMIFS(INDEX(Сценарии!$AE$25:$BF$163,,MATCH(BB$8,Сценарии!$AE$8:$BF$8,0)),Сценарии!$F$25:$F$163,$F29,Сценарии!$G$25:$G$163,"ИОР")</f>
        <v>1</v>
      </c>
      <c r="BC29" s="1239">
        <f>_xlfn.SUMIFS(INDEX(Сценарии!$AE$25:$BF$163,,MATCH(BC$8,Сценарии!$AE$8:$BF$8,0)),Сценарии!$F$25:$F$163,$F29,Сценарии!$G$25:$G$163,"ИОР")</f>
        <v>1</v>
      </c>
      <c r="BD29" s="1114">
        <f>IF(AI29=0,0,(AT29-AI29)/AI29*100)</f>
        <v>0</v>
      </c>
      <c r="BE29" s="1115"/>
      <c r="BF29" s="1115"/>
      <c r="BG29" s="1115"/>
      <c r="BH29" s="1115"/>
      <c r="BI29" s="1115"/>
      <c r="BJ29" s="1115"/>
      <c r="BK29" s="1115"/>
      <c r="BL29" s="1115"/>
      <c r="BM29" s="1115"/>
      <c r="BN29" s="1238"/>
      <c r="BO29" s="1238"/>
      <c r="BP29" s="1238"/>
      <c r="BQ29" s="1278"/>
      <c r="BR29" s="1278"/>
      <c r="BS29" s="1064" t="s">
        <v>2638</v>
      </c>
      <c r="BT29" s="1064"/>
      <c r="BU29" s="1064"/>
      <c r="BV29" s="979"/>
      <c r="BW29" s="979"/>
    </row>
    <row s="160" customFormat="1" customHeight="1" ht="20.475" hidden="1">
      <c r="A30" s="160"/>
      <c r="B30" s="434"/>
      <c r="C30" s="858"/>
      <c r="D30" s="858"/>
      <c r="E30" s="859">
        <v>21</v>
      </c>
      <c r="F30" s="50" cm="1" t="str">
        <f t="array" ref="F30:F30">OFFSET(E30,-1,1)</f>
        <v>0</v>
      </c>
      <c r="G30" s="858"/>
      <c r="H30" s="112"/>
      <c r="I30" s="112" t="s">
        <v>1179</v>
      </c>
      <c r="J30" s="858"/>
      <c r="K30" s="377" t="s">
        <v>1179</v>
      </c>
      <c r="L30" s="984" t="s">
        <v>332</v>
      </c>
      <c r="M30" s="858"/>
      <c r="N30" s="858"/>
      <c r="O30" s="858"/>
      <c r="P30" s="858"/>
      <c r="Q30" s="858"/>
      <c r="R30" s="858"/>
      <c r="S30" s="858"/>
      <c r="T30" s="465" cm="1" t="str">
        <f t="array" ref="T30:T30">T29</f>
        <v>false</v>
      </c>
      <c r="U30" s="858"/>
      <c r="V30" s="858"/>
      <c r="W30" s="858"/>
      <c r="X30" s="1596"/>
      <c r="Y30" s="160"/>
      <c r="Z30" s="1546"/>
      <c r="AA30" s="160"/>
      <c r="AB30" s="234" t="s">
        <v>1631</v>
      </c>
      <c r="AC30" s="361" t="s">
        <v>2434</v>
      </c>
      <c r="AD30" s="234" t="s">
        <v>1514</v>
      </c>
      <c r="AE30" s="778">
        <f>SUM(AE31,AE34,AE35,AE38,AE39)</f>
        <v>0</v>
      </c>
      <c r="AF30" s="778">
        <f>SUM(AF31,AF34,AF35,AF38,AF39)</f>
        <v>0</v>
      </c>
      <c r="AG30" s="778">
        <f>SUM(AG31,AG34,AG35,AG38,AG39)</f>
        <v>0</v>
      </c>
      <c r="AH30" s="778">
        <f>AG30-AF30</f>
        <v>0</v>
      </c>
      <c r="AI30" s="778">
        <f>SUM(AI31,AI34,AI35,AI38,AI39)</f>
        <v>0</v>
      </c>
      <c r="AJ30" s="778">
        <f>SUM(AJ31,AJ34,AJ35,AJ38,AJ39)</f>
        <v>0</v>
      </c>
      <c r="AK30" s="216"/>
      <c r="AL30" s="216"/>
      <c r="AM30" s="216"/>
      <c r="AN30" s="216"/>
      <c r="AO30" s="216"/>
      <c r="AP30" s="216"/>
      <c r="AQ30" s="216"/>
      <c r="AR30" s="216"/>
      <c r="AS30" s="216"/>
      <c r="AT30" s="778">
        <f>SUM(AT31,AT34,AT35,AT38,AT39)</f>
        <v>0</v>
      </c>
      <c r="AU30" s="216"/>
      <c r="AV30" s="216"/>
      <c r="AW30" s="216"/>
      <c r="AX30" s="216"/>
      <c r="AY30" s="216"/>
      <c r="AZ30" s="216"/>
      <c r="BA30" s="216"/>
      <c r="BB30" s="216"/>
      <c r="BC30" s="216"/>
      <c r="BD30" s="778">
        <f>IF(AI30=0,0,(AT30-AI30)/AI30*100)</f>
        <v>0</v>
      </c>
      <c r="BE30" s="216"/>
      <c r="BF30" s="216"/>
      <c r="BG30" s="216"/>
      <c r="BH30" s="216"/>
      <c r="BI30" s="216"/>
      <c r="BJ30" s="216"/>
      <c r="BK30" s="216"/>
      <c r="BL30" s="216"/>
      <c r="BM30" s="216"/>
      <c r="BN30" s="1240"/>
      <c r="BO30" s="1240"/>
      <c r="BP30" s="1240"/>
      <c r="BQ30" s="160"/>
      <c r="BR30" s="160"/>
      <c r="BS30" s="1062" t="s">
        <v>1230</v>
      </c>
      <c r="BT30" s="1069"/>
      <c r="BU30" s="1069"/>
      <c r="BV30" s="706"/>
      <c r="BW30" s="706"/>
    </row>
    <row customHeight="1" ht="14.625" hidden="1">
      <c r="A31" s="1278"/>
      <c r="B31" s="978"/>
      <c r="C31" s="107"/>
      <c r="D31" s="107"/>
      <c r="E31" s="621">
        <v>15</v>
      </c>
      <c r="F31" s="50" cm="1" t="str">
        <f t="array" ref="F31:F31">OFFSET(E31,-1,1)</f>
        <v>0</v>
      </c>
      <c r="G31" s="107"/>
      <c r="H31" s="857"/>
      <c r="I31" s="857" t="s">
        <v>2068</v>
      </c>
      <c r="J31" s="107"/>
      <c r="K31" s="378" t="s">
        <v>2068</v>
      </c>
      <c r="L31" s="980" t="s">
        <v>1175</v>
      </c>
      <c r="M31" s="107"/>
      <c r="N31" s="107"/>
      <c r="O31" s="107"/>
      <c r="P31" s="107"/>
      <c r="Q31" s="107"/>
      <c r="R31" s="107"/>
      <c r="S31" s="107"/>
      <c r="T31" s="465" cm="1" t="str">
        <f t="array" ref="T31:T31">T30</f>
        <v>false</v>
      </c>
      <c r="U31" s="107"/>
      <c r="V31" s="107"/>
      <c r="W31" s="107"/>
      <c r="X31" s="1596"/>
      <c r="Y31" s="1278"/>
      <c r="Z31" s="1546"/>
      <c r="AA31" s="1278"/>
      <c r="AB31" s="300" t="s">
        <v>2069</v>
      </c>
      <c r="AC31" s="765" t="s">
        <v>2639</v>
      </c>
      <c r="AD31" s="766" t="s">
        <v>1514</v>
      </c>
      <c r="AE31" s="1114">
        <f>SUM(AE32,AE33)</f>
        <v>0</v>
      </c>
      <c r="AF31" s="1114">
        <f>SUM(AF32,AF33)</f>
        <v>0</v>
      </c>
      <c r="AG31" s="1114">
        <f>SUM(AG32,AG33)</f>
        <v>0</v>
      </c>
      <c r="AH31" s="1114">
        <f>AG31-AF31</f>
        <v>0</v>
      </c>
      <c r="AI31" s="1114">
        <f>SUM(AI32,AI33)</f>
        <v>0</v>
      </c>
      <c r="AJ31" s="1114">
        <f>SUM(AJ32,AJ33)</f>
        <v>0</v>
      </c>
      <c r="AK31" s="1115"/>
      <c r="AL31" s="1115"/>
      <c r="AM31" s="1115"/>
      <c r="AN31" s="1115"/>
      <c r="AO31" s="1115"/>
      <c r="AP31" s="1115"/>
      <c r="AQ31" s="1115"/>
      <c r="AR31" s="1115"/>
      <c r="AS31" s="1115"/>
      <c r="AT31" s="1114">
        <f>SUM(AT32,AT33)</f>
        <v>0</v>
      </c>
      <c r="AU31" s="1115"/>
      <c r="AV31" s="1115"/>
      <c r="AW31" s="1115"/>
      <c r="AX31" s="1115"/>
      <c r="AY31" s="1115"/>
      <c r="AZ31" s="1115"/>
      <c r="BA31" s="1115"/>
      <c r="BB31" s="1115"/>
      <c r="BC31" s="1115"/>
      <c r="BD31" s="1114">
        <f>IF(AI31=0,0,(AT31-AI31)/AI31*100)</f>
        <v>0</v>
      </c>
      <c r="BE31" s="1115"/>
      <c r="BF31" s="1115"/>
      <c r="BG31" s="1115"/>
      <c r="BH31" s="1115"/>
      <c r="BI31" s="1115"/>
      <c r="BJ31" s="1115"/>
      <c r="BK31" s="1115"/>
      <c r="BL31" s="1115"/>
      <c r="BM31" s="1115"/>
      <c r="BN31" s="1238"/>
      <c r="BO31" s="1238"/>
      <c r="BP31" s="1238"/>
      <c r="BQ31" s="110"/>
      <c r="BR31" s="1278"/>
      <c r="BS31" s="1063" t="s">
        <v>2436</v>
      </c>
      <c r="BT31" s="1064"/>
      <c r="BU31" s="1064"/>
      <c r="BV31" s="979"/>
      <c r="BW31" s="979"/>
    </row>
    <row customHeight="1" ht="14.625" hidden="1">
      <c r="A32" s="1278"/>
      <c r="B32" s="978"/>
      <c r="C32" s="107"/>
      <c r="D32" s="107"/>
      <c r="E32" s="621">
        <v>15</v>
      </c>
      <c r="F32" s="50" cm="1" t="str">
        <f t="array" ref="F32:F32">OFFSET(E32,-1,1)</f>
        <v>0</v>
      </c>
      <c r="G32" s="107"/>
      <c r="H32" s="857"/>
      <c r="I32" s="857" t="s">
        <v>2640</v>
      </c>
      <c r="J32" s="107"/>
      <c r="K32" s="378" t="s">
        <v>2640</v>
      </c>
      <c r="L32" s="980" t="s">
        <v>1739</v>
      </c>
      <c r="M32" s="107"/>
      <c r="N32" s="107"/>
      <c r="O32" s="107"/>
      <c r="P32" s="107"/>
      <c r="Q32" s="107"/>
      <c r="R32" s="107"/>
      <c r="S32" s="107"/>
      <c r="T32" s="465" cm="1" t="str">
        <f t="array" ref="T32:T32">T31</f>
        <v>false</v>
      </c>
      <c r="U32" s="107"/>
      <c r="V32" s="107"/>
      <c r="W32" s="107"/>
      <c r="X32" s="1596"/>
      <c r="Y32" s="1278"/>
      <c r="Z32" s="1546"/>
      <c r="AA32" s="1278"/>
      <c r="AB32" s="300" t="s">
        <v>2641</v>
      </c>
      <c r="AC32" s="768" t="s">
        <v>2439</v>
      </c>
      <c r="AD32" s="766" t="s">
        <v>1514</v>
      </c>
      <c r="AE32" s="1743">
        <f>_xlfn.SUMIFS('Сырье и материалы'!AE$25:AE$162,'Сырье и материалы'!$F$25:$F$162,$F32,'Сырье и материалы'!$I$25:$I$162,"Горюче-смазочные материалы")</f>
        <v>0</v>
      </c>
      <c r="AF32" s="1743">
        <f>_xlfn.SUMIFS('Сырье и материалы'!AF$25:AF$162,'Сырье и материалы'!$F$25:$F$162,$F32,'Сырье и материалы'!$I$25:$I$162,"Горюче-смазочные материалы")</f>
        <v>0</v>
      </c>
      <c r="AG32" s="1743">
        <f>_xlfn.SUMIFS('Сырье и материалы'!AG$25:AG$162,'Сырье и материалы'!$F$25:$F$162,$F32,'Сырье и материалы'!$I$25:$I$162,"Горюче-смазочные материалы")</f>
        <v>0</v>
      </c>
      <c r="AH32" s="1114">
        <f>AG32-AF32</f>
        <v>0</v>
      </c>
      <c r="AI32" s="1743">
        <f>_xlfn.SUMIFS('Сырье и материалы'!AH$25:AH$162,'Сырье и материалы'!$F$25:$F$162,$F32,'Сырье и материалы'!$I$25:$I$162,"Горюче-смазочные материалы")</f>
        <v>0</v>
      </c>
      <c r="AJ32" s="1743">
        <f>_xlfn.SUMIFS('Сырье и материалы'!AI$25:AI$162,'Сырье и материалы'!$F$25:$F$162,$F32,'Сырье и материалы'!$I$25:$I$162,"Горюче-смазочные материалы")</f>
        <v>0</v>
      </c>
      <c r="AK32" s="1115"/>
      <c r="AL32" s="1115"/>
      <c r="AM32" s="1115"/>
      <c r="AN32" s="1115"/>
      <c r="AO32" s="1115"/>
      <c r="AP32" s="1115"/>
      <c r="AQ32" s="1115"/>
      <c r="AR32" s="1115"/>
      <c r="AS32" s="1115"/>
      <c r="AT32" s="1743">
        <f>_xlfn.SUMIFS('Сырье и материалы'!AS$25:AS$162,'Сырье и материалы'!$F$25:$F$162,$F32,'Сырье и материалы'!$I$25:$I$162,"Горюче-смазочные материалы")</f>
        <v>0</v>
      </c>
      <c r="AU32" s="1115"/>
      <c r="AV32" s="1115"/>
      <c r="AW32" s="1115"/>
      <c r="AX32" s="1115"/>
      <c r="AY32" s="1115"/>
      <c r="AZ32" s="1115"/>
      <c r="BA32" s="1115"/>
      <c r="BB32" s="1115"/>
      <c r="BC32" s="1115"/>
      <c r="BD32" s="1114">
        <f>IF(AI32=0,0,(AT32-AI32)/AI32*100)</f>
        <v>0</v>
      </c>
      <c r="BE32" s="1115"/>
      <c r="BF32" s="1115"/>
      <c r="BG32" s="1115"/>
      <c r="BH32" s="1115"/>
      <c r="BI32" s="1115"/>
      <c r="BJ32" s="1115"/>
      <c r="BK32" s="1115"/>
      <c r="BL32" s="1115"/>
      <c r="BM32" s="1115"/>
      <c r="BN32" s="1238"/>
      <c r="BO32" s="1238"/>
      <c r="BP32" s="1238"/>
      <c r="BQ32" s="1278"/>
      <c r="BR32" s="1278"/>
      <c r="BS32" s="1062" t="s">
        <v>2440</v>
      </c>
      <c r="BT32" s="1064"/>
      <c r="BU32" s="1064"/>
      <c r="BV32" s="979"/>
      <c r="BW32" s="979"/>
    </row>
    <row customHeight="1" ht="14.625" hidden="1">
      <c r="A33" s="1278"/>
      <c r="B33" s="978"/>
      <c r="C33" s="107"/>
      <c r="D33" s="107"/>
      <c r="E33" s="621">
        <v>15</v>
      </c>
      <c r="F33" s="50" cm="1" t="str">
        <f t="array" ref="F33:F33">OFFSET(E33,-1,1)</f>
        <v>0</v>
      </c>
      <c r="G33" s="107"/>
      <c r="H33" s="857"/>
      <c r="I33" s="857" t="s">
        <v>2642</v>
      </c>
      <c r="J33" s="107"/>
      <c r="K33" s="378" t="s">
        <v>2642</v>
      </c>
      <c r="L33" s="980" t="s">
        <v>2043</v>
      </c>
      <c r="M33" s="107"/>
      <c r="N33" s="107"/>
      <c r="O33" s="107"/>
      <c r="P33" s="107"/>
      <c r="Q33" s="107"/>
      <c r="R33" s="107"/>
      <c r="S33" s="107"/>
      <c r="T33" s="465" cm="1" t="str">
        <f t="array" ref="T33:T33">T32</f>
        <v>false</v>
      </c>
      <c r="U33" s="107"/>
      <c r="V33" s="107"/>
      <c r="W33" s="107"/>
      <c r="X33" s="1596"/>
      <c r="Y33" s="1278"/>
      <c r="Z33" s="1546"/>
      <c r="AA33" s="1278"/>
      <c r="AB33" s="300" t="s">
        <v>2643</v>
      </c>
      <c r="AC33" s="768" t="s">
        <v>2441</v>
      </c>
      <c r="AD33" s="766" t="s">
        <v>1514</v>
      </c>
      <c r="AE33" s="1743">
        <f>_xlfn.SUMIFS('Сырье и материалы'!AE$25:AE$162,'Сырье и материалы'!$F$25:$F$162,$F33,'Сырье и материалы'!$I$25:$I$162,"Материалы")</f>
        <v>0</v>
      </c>
      <c r="AF33" s="1743">
        <f>_xlfn.SUMIFS('Сырье и материалы'!AF$25:AF$162,'Сырье и материалы'!$F$25:$F$162,$F33,'Сырье и материалы'!$I$25:$I$162,"Материалы")</f>
        <v>0</v>
      </c>
      <c r="AG33" s="1743">
        <f>_xlfn.SUMIFS('Сырье и материалы'!AG$25:AG$162,'Сырье и материалы'!$F$25:$F$162,$F33,'Сырье и материалы'!$I$25:$I$162,"Материалы")</f>
        <v>0</v>
      </c>
      <c r="AH33" s="1114">
        <f>AG33-AF33</f>
        <v>0</v>
      </c>
      <c r="AI33" s="1743">
        <f>_xlfn.SUMIFS('Сырье и материалы'!AH$25:AH$162,'Сырье и материалы'!$F$25:$F$162,$F33,'Сырье и материалы'!$I$25:$I$162,"Материалы")</f>
        <v>0</v>
      </c>
      <c r="AJ33" s="1743">
        <f>_xlfn.SUMIFS('Сырье и материалы'!AI$25:AI$162,'Сырье и материалы'!$F$25:$F$162,$F33,'Сырье и материалы'!$I$25:$I$162,"Материалы")</f>
        <v>0</v>
      </c>
      <c r="AK33" s="1115"/>
      <c r="AL33" s="1115"/>
      <c r="AM33" s="1115"/>
      <c r="AN33" s="1115"/>
      <c r="AO33" s="1115"/>
      <c r="AP33" s="1115"/>
      <c r="AQ33" s="1115"/>
      <c r="AR33" s="1115"/>
      <c r="AS33" s="1115"/>
      <c r="AT33" s="1743">
        <f>_xlfn.SUMIFS('Сырье и материалы'!AS$25:AS$162,'Сырье и материалы'!$F$25:$F$162,$F33,'Сырье и материалы'!$I$25:$I$162,"Материалы")</f>
        <v>0</v>
      </c>
      <c r="AU33" s="1115"/>
      <c r="AV33" s="1115"/>
      <c r="AW33" s="1115"/>
      <c r="AX33" s="1115"/>
      <c r="AY33" s="1115"/>
      <c r="AZ33" s="1115"/>
      <c r="BA33" s="1115"/>
      <c r="BB33" s="1115"/>
      <c r="BC33" s="1115"/>
      <c r="BD33" s="1114">
        <f>IF(AI33=0,0,(AT33-AI33)/AI33*100)</f>
        <v>0</v>
      </c>
      <c r="BE33" s="1115"/>
      <c r="BF33" s="1115"/>
      <c r="BG33" s="1115"/>
      <c r="BH33" s="1115"/>
      <c r="BI33" s="1115"/>
      <c r="BJ33" s="1115"/>
      <c r="BK33" s="1115"/>
      <c r="BL33" s="1115"/>
      <c r="BM33" s="1115"/>
      <c r="BN33" s="1238"/>
      <c r="BO33" s="1238"/>
      <c r="BP33" s="1238"/>
      <c r="BQ33" s="1278"/>
      <c r="BR33" s="1278"/>
      <c r="BS33" s="1062" t="s">
        <v>2442</v>
      </c>
      <c r="BT33" s="1064"/>
      <c r="BU33" s="1064"/>
      <c r="BV33" s="979"/>
      <c r="BW33" s="979"/>
    </row>
    <row customHeight="1" ht="21.9375" hidden="1">
      <c r="A34" s="1278"/>
      <c r="B34" s="978"/>
      <c r="C34" s="107"/>
      <c r="D34" s="107"/>
      <c r="E34" s="621">
        <v>22.5</v>
      </c>
      <c r="F34" s="50" cm="1" t="str">
        <f t="array" ref="F34:F34">OFFSET(E34,-1,1)</f>
        <v>0</v>
      </c>
      <c r="G34" s="107"/>
      <c r="H34" s="857"/>
      <c r="I34" s="857" t="s">
        <v>2071</v>
      </c>
      <c r="J34" s="107"/>
      <c r="K34" s="378" t="s">
        <v>2071</v>
      </c>
      <c r="L34" s="980" t="s">
        <v>1182</v>
      </c>
      <c r="M34" s="107"/>
      <c r="N34" s="107"/>
      <c r="O34" s="107"/>
      <c r="P34" s="107"/>
      <c r="Q34" s="107"/>
      <c r="R34" s="107"/>
      <c r="S34" s="107"/>
      <c r="T34" s="465" cm="1" t="str">
        <f t="array" ref="T34:T34">T33</f>
        <v>false</v>
      </c>
      <c r="U34" s="107"/>
      <c r="V34" s="107"/>
      <c r="W34" s="107"/>
      <c r="X34" s="1596"/>
      <c r="Y34" s="1278"/>
      <c r="Z34" s="1546"/>
      <c r="AA34" s="1278"/>
      <c r="AB34" s="300" t="s">
        <v>2072</v>
      </c>
      <c r="AC34" s="765" t="s">
        <v>2644</v>
      </c>
      <c r="AD34" s="766" t="s">
        <v>1514</v>
      </c>
      <c r="AE34" s="1241"/>
      <c r="AF34" s="1241"/>
      <c r="AG34" s="1241"/>
      <c r="AH34" s="1114">
        <f>AG34-AF34</f>
        <v>0</v>
      </c>
      <c r="AI34" s="1241"/>
      <c r="AJ34" s="1241"/>
      <c r="AK34" s="1115"/>
      <c r="AL34" s="1115"/>
      <c r="AM34" s="1115"/>
      <c r="AN34" s="1115"/>
      <c r="AO34" s="1115"/>
      <c r="AP34" s="1115"/>
      <c r="AQ34" s="1115"/>
      <c r="AR34" s="1115"/>
      <c r="AS34" s="1115"/>
      <c r="AT34" s="1241"/>
      <c r="AU34" s="1115"/>
      <c r="AV34" s="1115"/>
      <c r="AW34" s="1115"/>
      <c r="AX34" s="1115"/>
      <c r="AY34" s="1115"/>
      <c r="AZ34" s="1115"/>
      <c r="BA34" s="1115"/>
      <c r="BB34" s="1115"/>
      <c r="BC34" s="1115"/>
      <c r="BD34" s="1114">
        <f>IF(AI34=0,0,(AT34-AI34)/AI34*100)</f>
        <v>0</v>
      </c>
      <c r="BE34" s="1115"/>
      <c r="BF34" s="1115"/>
      <c r="BG34" s="1115"/>
      <c r="BH34" s="1115"/>
      <c r="BI34" s="1115"/>
      <c r="BJ34" s="1115"/>
      <c r="BK34" s="1115"/>
      <c r="BL34" s="1115"/>
      <c r="BM34" s="1115"/>
      <c r="BN34" s="1238"/>
      <c r="BO34" s="1238"/>
      <c r="BP34" s="1238"/>
      <c r="BQ34" s="1278"/>
      <c r="BR34" s="1278"/>
      <c r="BS34" s="1063" t="s">
        <v>2467</v>
      </c>
      <c r="BT34" s="1064"/>
      <c r="BU34" s="1064"/>
      <c r="BV34" s="979"/>
      <c r="BW34" s="979"/>
    </row>
    <row customHeight="1" ht="21.9375" hidden="1">
      <c r="A35" s="1278"/>
      <c r="B35" s="978"/>
      <c r="C35" s="107"/>
      <c r="D35" s="107"/>
      <c r="E35" s="621">
        <v>22.5</v>
      </c>
      <c r="F35" s="50" cm="1" t="str">
        <f t="array" ref="F35:F35">OFFSET(E35,-1,1)</f>
        <v>0</v>
      </c>
      <c r="G35" s="107"/>
      <c r="H35" s="857"/>
      <c r="I35" s="857" t="s">
        <v>2075</v>
      </c>
      <c r="J35" s="107"/>
      <c r="K35" s="378" t="s">
        <v>2075</v>
      </c>
      <c r="L35" s="980" t="s">
        <v>1186</v>
      </c>
      <c r="M35" s="107"/>
      <c r="N35" s="107"/>
      <c r="O35" s="107"/>
      <c r="P35" s="107"/>
      <c r="Q35" s="107"/>
      <c r="R35" s="107"/>
      <c r="S35" s="107"/>
      <c r="T35" s="465" cm="1" t="str">
        <f t="array" ref="T35:T35">T34</f>
        <v>false</v>
      </c>
      <c r="U35" s="107"/>
      <c r="V35" s="107"/>
      <c r="W35" s="107"/>
      <c r="X35" s="1596"/>
      <c r="Y35" s="1278"/>
      <c r="Z35" s="1546"/>
      <c r="AA35" s="1278"/>
      <c r="AB35" s="300" t="s">
        <v>2076</v>
      </c>
      <c r="AC35" s="765" t="s">
        <v>2645</v>
      </c>
      <c r="AD35" s="766" t="s">
        <v>1514</v>
      </c>
      <c r="AE35" s="1116">
        <f>AE36+AE37</f>
        <v>0</v>
      </c>
      <c r="AF35" s="1116">
        <f>AF36+AF37</f>
        <v>0</v>
      </c>
      <c r="AG35" s="1116">
        <f>AG36+AG37</f>
        <v>0</v>
      </c>
      <c r="AH35" s="1114">
        <f>AG35-AF35</f>
        <v>0</v>
      </c>
      <c r="AI35" s="1116">
        <f>AI36+AI37</f>
        <v>0</v>
      </c>
      <c r="AJ35" s="1116">
        <f>AJ36+AJ37</f>
        <v>0</v>
      </c>
      <c r="AK35" s="1115"/>
      <c r="AL35" s="1115"/>
      <c r="AM35" s="1115"/>
      <c r="AN35" s="1115"/>
      <c r="AO35" s="1115"/>
      <c r="AP35" s="1115"/>
      <c r="AQ35" s="1115"/>
      <c r="AR35" s="1115"/>
      <c r="AS35" s="1115"/>
      <c r="AT35" s="1116">
        <f>AT36+AT37</f>
        <v>0</v>
      </c>
      <c r="AU35" s="1115"/>
      <c r="AV35" s="1115"/>
      <c r="AW35" s="1115"/>
      <c r="AX35" s="1115"/>
      <c r="AY35" s="1115"/>
      <c r="AZ35" s="1115"/>
      <c r="BA35" s="1115"/>
      <c r="BB35" s="1115"/>
      <c r="BC35" s="1115"/>
      <c r="BD35" s="1114">
        <f>IF(AI35=0,0,(AT35-AI35)/AI35*100)</f>
        <v>0</v>
      </c>
      <c r="BE35" s="1115"/>
      <c r="BF35" s="1115"/>
      <c r="BG35" s="1115"/>
      <c r="BH35" s="1115"/>
      <c r="BI35" s="1115"/>
      <c r="BJ35" s="1115"/>
      <c r="BK35" s="1115"/>
      <c r="BL35" s="1115"/>
      <c r="BM35" s="1115"/>
      <c r="BN35" s="1238"/>
      <c r="BO35" s="1238"/>
      <c r="BP35" s="1238"/>
      <c r="BQ35" s="1278"/>
      <c r="BR35" s="1278"/>
      <c r="BS35" s="1063" t="s">
        <v>2646</v>
      </c>
      <c r="BT35" s="1064"/>
      <c r="BU35" s="1064"/>
      <c r="BV35" s="979"/>
      <c r="BW35" s="979"/>
    </row>
    <row customHeight="1" ht="14.625" hidden="1">
      <c r="A36" s="1278"/>
      <c r="B36" s="978"/>
      <c r="C36" s="107"/>
      <c r="D36" s="107"/>
      <c r="E36" s="621">
        <v>15</v>
      </c>
      <c r="F36" s="50" cm="1" t="str">
        <f t="array" ref="F36:F36">OFFSET(E36,-1,1)</f>
        <v>0</v>
      </c>
      <c r="G36" s="374" t="s">
        <v>1866</v>
      </c>
      <c r="H36" s="857"/>
      <c r="I36" s="857" t="s">
        <v>2220</v>
      </c>
      <c r="J36" s="107"/>
      <c r="K36" s="378" t="s">
        <v>2220</v>
      </c>
      <c r="L36" s="980" t="s">
        <v>2095</v>
      </c>
      <c r="M36" s="107"/>
      <c r="N36" s="107"/>
      <c r="O36" s="107"/>
      <c r="P36" s="107"/>
      <c r="Q36" s="107"/>
      <c r="R36" s="107"/>
      <c r="S36" s="107"/>
      <c r="T36" s="465" cm="1" t="str">
        <f t="array" ref="T36:T36">T35</f>
        <v>false</v>
      </c>
      <c r="U36" s="107"/>
      <c r="V36" s="107"/>
      <c r="W36" s="107"/>
      <c r="X36" s="1596"/>
      <c r="Y36" s="1278"/>
      <c r="Z36" s="1546"/>
      <c r="AA36" s="1278"/>
      <c r="AB36" s="300" t="s">
        <v>2647</v>
      </c>
      <c r="AC36" s="768" t="s">
        <v>2470</v>
      </c>
      <c r="AD36" s="766" t="s">
        <v>1514</v>
      </c>
      <c r="AE36" s="1114">
        <f>_xlfn.SUMIFS(ФОТ!AE$25:AE$188,ФОТ!$F$25:$F$188,$F36,ФОТ!$G$25:$G$188,$G36)</f>
        <v>0</v>
      </c>
      <c r="AF36" s="1114">
        <f>_xlfn.SUMIFS(ФОТ!AF$25:AF$188,ФОТ!$F$25:$F$188,$F36,ФОТ!$G$25:$G$188,$G36)</f>
        <v>0</v>
      </c>
      <c r="AG36" s="1114">
        <f>_xlfn.SUMIFS(ФОТ!AG$25:AG$188,ФОТ!$F$25:$F$188,$F36,ФОТ!$G$25:$G$188,$G36)</f>
        <v>0</v>
      </c>
      <c r="AH36" s="1114">
        <f>AG36-AF36</f>
        <v>0</v>
      </c>
      <c r="AI36" s="1114">
        <f>_xlfn.SUMIFS(ФОТ!AH$25:AH$188,ФОТ!$F$25:$F$188,$F36,ФОТ!$G$25:$G$188,$G36)</f>
        <v>0</v>
      </c>
      <c r="AJ36" s="1114">
        <f>_xlfn.SUMIFS(ФОТ!AI$25:AI$188,ФОТ!$F$25:$F$188,$F36,ФОТ!$G$25:$G$188,$G36)</f>
        <v>0</v>
      </c>
      <c r="AK36" s="1115"/>
      <c r="AL36" s="1115"/>
      <c r="AM36" s="1115"/>
      <c r="AN36" s="1115"/>
      <c r="AO36" s="1115"/>
      <c r="AP36" s="1115"/>
      <c r="AQ36" s="1115"/>
      <c r="AR36" s="1115"/>
      <c r="AS36" s="1115"/>
      <c r="AT36" s="1114">
        <f>_xlfn.SUMIFS(ФОТ!AJ$25:AJ$188,ФОТ!$F$25:$F$188,$F36,ФОТ!$G$25:$G$188,$G36)</f>
        <v>0</v>
      </c>
      <c r="AU36" s="1115"/>
      <c r="AV36" s="1115"/>
      <c r="AW36" s="1115"/>
      <c r="AX36" s="1115"/>
      <c r="AY36" s="1115"/>
      <c r="AZ36" s="1115"/>
      <c r="BA36" s="1115"/>
      <c r="BB36" s="1115"/>
      <c r="BC36" s="1115"/>
      <c r="BD36" s="1114">
        <f>IF(AI36=0,0,(AT36-AI36)/AI36*100)</f>
        <v>0</v>
      </c>
      <c r="BE36" s="1115"/>
      <c r="BF36" s="1115"/>
      <c r="BG36" s="1115"/>
      <c r="BH36" s="1115"/>
      <c r="BI36" s="1115"/>
      <c r="BJ36" s="1115"/>
      <c r="BK36" s="1115"/>
      <c r="BL36" s="1115"/>
      <c r="BM36" s="1115"/>
      <c r="BN36" s="1238"/>
      <c r="BO36" s="1242" t="str">
        <f>IF(_xlfn.IFERROR(INDEX(ФОТ!$K$26:$L$188,MATCH($F36&amp;"1komm",ФОТ!$K$26:$K$188,0),2),"")=0,"",_xlfn.IFERROR(INDEX(ФОТ!$K$26:$L$188,MATCH($F36&amp;"1komm",ФОТ!$K$26:$K$188,0),2),""))</f>
        <v/>
      </c>
      <c r="BP36" s="1238"/>
      <c r="BQ36" s="1278"/>
      <c r="BR36" s="1278"/>
      <c r="BS36" s="1062" t="s">
        <v>2471</v>
      </c>
      <c r="BT36" s="1064"/>
      <c r="BU36" s="1064"/>
      <c r="BV36" s="979"/>
      <c r="BW36" s="979"/>
    </row>
    <row customHeight="1" ht="21.9375" hidden="1">
      <c r="A37" s="1278"/>
      <c r="B37" s="978"/>
      <c r="C37" s="107"/>
      <c r="D37" s="107"/>
      <c r="E37" s="621">
        <v>22.5</v>
      </c>
      <c r="F37" s="50" cm="1" t="str">
        <f t="array" ref="F37:F37">OFFSET(E37,-1,1)</f>
        <v>0</v>
      </c>
      <c r="G37" s="374" t="s">
        <v>1878</v>
      </c>
      <c r="H37" s="857"/>
      <c r="I37" s="857" t="s">
        <v>2224</v>
      </c>
      <c r="J37" s="107"/>
      <c r="K37" s="378" t="s">
        <v>2224</v>
      </c>
      <c r="L37" s="980" t="s">
        <v>2096</v>
      </c>
      <c r="M37" s="107"/>
      <c r="N37" s="107"/>
      <c r="O37" s="107"/>
      <c r="P37" s="107"/>
      <c r="Q37" s="107"/>
      <c r="R37" s="107"/>
      <c r="S37" s="107"/>
      <c r="T37" s="465" cm="1" t="str">
        <f t="array" ref="T37:T37">T36</f>
        <v>false</v>
      </c>
      <c r="U37" s="107"/>
      <c r="V37" s="107"/>
      <c r="W37" s="107"/>
      <c r="X37" s="1596"/>
      <c r="Y37" s="1278"/>
      <c r="Z37" s="1546"/>
      <c r="AA37" s="1278"/>
      <c r="AB37" s="300" t="s">
        <v>2648</v>
      </c>
      <c r="AC37" s="768" t="s">
        <v>2649</v>
      </c>
      <c r="AD37" s="766" t="s">
        <v>1514</v>
      </c>
      <c r="AE37" s="1114">
        <f>_xlfn.SUMIFS(ФОТ!AE$25:AE$188,ФОТ!$F$25:$F$188,$F37,ФОТ!$G$25:$G$188,$G37)</f>
        <v>0</v>
      </c>
      <c r="AF37" s="1114">
        <f>_xlfn.SUMIFS(ФОТ!AF$25:AF$188,ФОТ!$F$25:$F$188,$F37,ФОТ!$G$25:$G$188,$G37)</f>
        <v>0</v>
      </c>
      <c r="AG37" s="1114">
        <f>_xlfn.SUMIFS(ФОТ!AG$25:AG$188,ФОТ!$F$25:$F$188,$F37,ФОТ!$G$25:$G$188,$G37)</f>
        <v>0</v>
      </c>
      <c r="AH37" s="1114">
        <f>AG37-AF37</f>
        <v>0</v>
      </c>
      <c r="AI37" s="1114">
        <f>_xlfn.SUMIFS(ФОТ!AH$25:AH$188,ФОТ!$F$25:$F$188,$F37,ФОТ!$G$25:$G$188,$G37)</f>
        <v>0</v>
      </c>
      <c r="AJ37" s="1114">
        <f>_xlfn.SUMIFS(ФОТ!AI$25:AI$188,ФОТ!$F$25:$F$188,$F37,ФОТ!$G$25:$G$188,$G37)</f>
        <v>0</v>
      </c>
      <c r="AK37" s="1115"/>
      <c r="AL37" s="1115"/>
      <c r="AM37" s="1115"/>
      <c r="AN37" s="1115"/>
      <c r="AO37" s="1115"/>
      <c r="AP37" s="1115"/>
      <c r="AQ37" s="1115"/>
      <c r="AR37" s="1115"/>
      <c r="AS37" s="1115"/>
      <c r="AT37" s="1114">
        <f>_xlfn.SUMIFS(ФОТ!AJ$25:AJ$188,ФОТ!$F$25:$F$188,$F37,ФОТ!$G$25:$G$188,$G37)</f>
        <v>0</v>
      </c>
      <c r="AU37" s="1115"/>
      <c r="AV37" s="1115"/>
      <c r="AW37" s="1115"/>
      <c r="AX37" s="1115"/>
      <c r="AY37" s="1115"/>
      <c r="AZ37" s="1115"/>
      <c r="BA37" s="1115"/>
      <c r="BB37" s="1115"/>
      <c r="BC37" s="1115"/>
      <c r="BD37" s="1114">
        <f>IF(AI37=0,0,(AT37-AI37)/AI37*100)</f>
        <v>0</v>
      </c>
      <c r="BE37" s="1115"/>
      <c r="BF37" s="1115"/>
      <c r="BG37" s="1115"/>
      <c r="BH37" s="1115"/>
      <c r="BI37" s="1115"/>
      <c r="BJ37" s="1115"/>
      <c r="BK37" s="1115"/>
      <c r="BL37" s="1115"/>
      <c r="BM37" s="1115"/>
      <c r="BN37" s="1238"/>
      <c r="BO37" s="1242" t="str">
        <f>IF(_xlfn.IFERROR(INDEX(ФОТ!$K$26:$L$188,MATCH($F37&amp;"2komm",ФОТ!$K$26:$K$188,0),2),"")=0,"",_xlfn.IFERROR(INDEX(ФОТ!$K$26:$L$188,MATCH($F37&amp;"2komm",ФОТ!$K$26:$K$188,0),2),""))</f>
        <v/>
      </c>
      <c r="BP37" s="1238"/>
      <c r="BQ37" s="1278"/>
      <c r="BR37" s="1278"/>
      <c r="BS37" s="1062" t="s">
        <v>2473</v>
      </c>
      <c r="BT37" s="1064"/>
      <c r="BU37" s="1064"/>
      <c r="BV37" s="979"/>
      <c r="BW37" s="979"/>
    </row>
    <row customHeight="1" ht="14.625" hidden="1">
      <c r="A38" s="1278"/>
      <c r="B38" s="978"/>
      <c r="C38" s="107"/>
      <c r="D38" s="107"/>
      <c r="E38" s="621">
        <v>15</v>
      </c>
      <c r="F38" s="50" cm="1" t="str">
        <f t="array" ref="F38:F38">OFFSET(E38,-1,1)</f>
        <v>0</v>
      </c>
      <c r="G38" s="107"/>
      <c r="H38" s="857"/>
      <c r="I38" s="857" t="s">
        <v>2235</v>
      </c>
      <c r="J38" s="107"/>
      <c r="K38" s="378" t="s">
        <v>2235</v>
      </c>
      <c r="L38" s="980" t="s">
        <v>2475</v>
      </c>
      <c r="M38" s="107"/>
      <c r="N38" s="107"/>
      <c r="O38" s="107"/>
      <c r="P38" s="107"/>
      <c r="Q38" s="107"/>
      <c r="R38" s="107"/>
      <c r="S38" s="107"/>
      <c r="T38" s="465" cm="1" t="str">
        <f t="array" ref="T38:T38">T37</f>
        <v>false</v>
      </c>
      <c r="U38" s="107"/>
      <c r="V38" s="107"/>
      <c r="W38" s="107"/>
      <c r="X38" s="1596"/>
      <c r="Y38" s="1278"/>
      <c r="Z38" s="1546"/>
      <c r="AA38" s="1278"/>
      <c r="AB38" s="300" t="s">
        <v>2449</v>
      </c>
      <c r="AC38" s="765" t="s">
        <v>2650</v>
      </c>
      <c r="AD38" s="766" t="s">
        <v>1514</v>
      </c>
      <c r="AE38" s="1241"/>
      <c r="AF38" s="1241"/>
      <c r="AG38" s="1241"/>
      <c r="AH38" s="1114">
        <f>AG38-AF38</f>
        <v>0</v>
      </c>
      <c r="AI38" s="1241"/>
      <c r="AJ38" s="1241"/>
      <c r="AK38" s="1115"/>
      <c r="AL38" s="1115"/>
      <c r="AM38" s="1115"/>
      <c r="AN38" s="1115"/>
      <c r="AO38" s="1115"/>
      <c r="AP38" s="1115"/>
      <c r="AQ38" s="1115"/>
      <c r="AR38" s="1115"/>
      <c r="AS38" s="1115"/>
      <c r="AT38" s="1241"/>
      <c r="AU38" s="1115"/>
      <c r="AV38" s="1115"/>
      <c r="AW38" s="1115"/>
      <c r="AX38" s="1115"/>
      <c r="AY38" s="1115"/>
      <c r="AZ38" s="1115"/>
      <c r="BA38" s="1115"/>
      <c r="BB38" s="1115"/>
      <c r="BC38" s="1115"/>
      <c r="BD38" s="1114">
        <f>IF(AI38=0,0,(AT38-AI38)/AI38*100)</f>
        <v>0</v>
      </c>
      <c r="BE38" s="1115"/>
      <c r="BF38" s="1115"/>
      <c r="BG38" s="1115"/>
      <c r="BH38" s="1115"/>
      <c r="BI38" s="1115"/>
      <c r="BJ38" s="1115"/>
      <c r="BK38" s="1115"/>
      <c r="BL38" s="1115"/>
      <c r="BM38" s="1115"/>
      <c r="BN38" s="1238"/>
      <c r="BO38" s="1238"/>
      <c r="BP38" s="1238"/>
      <c r="BQ38" s="1278"/>
      <c r="BR38" s="1278"/>
      <c r="BS38" s="1063" t="s">
        <v>2478</v>
      </c>
      <c r="BT38" s="1064"/>
      <c r="BU38" s="1064"/>
      <c r="BV38" s="979"/>
      <c r="BW38" s="979"/>
    </row>
    <row customHeight="1" ht="14.625" hidden="1">
      <c r="A39" s="1278"/>
      <c r="B39" s="978"/>
      <c r="C39" s="107"/>
      <c r="D39" s="107"/>
      <c r="E39" s="621">
        <v>15</v>
      </c>
      <c r="F39" s="50" cm="1" t="str">
        <f t="array" ref="F39:F39">OFFSET(E39,-1,1)</f>
        <v>0</v>
      </c>
      <c r="G39" s="107"/>
      <c r="H39" s="857"/>
      <c r="I39" s="857" t="s">
        <v>2239</v>
      </c>
      <c r="J39" s="107"/>
      <c r="K39" s="378" t="s">
        <v>2239</v>
      </c>
      <c r="L39" s="980" t="s">
        <v>2479</v>
      </c>
      <c r="M39" s="1278"/>
      <c r="N39" s="107"/>
      <c r="O39" s="107"/>
      <c r="P39" s="107"/>
      <c r="Q39" s="107"/>
      <c r="R39" s="107"/>
      <c r="S39" s="107"/>
      <c r="T39" s="465" cm="1" t="str">
        <f t="array" ref="T39:T39">T38</f>
        <v>false</v>
      </c>
      <c r="U39" s="107"/>
      <c r="V39" s="107"/>
      <c r="W39" s="107"/>
      <c r="X39" s="1596"/>
      <c r="Y39" s="1278"/>
      <c r="Z39" s="1546"/>
      <c r="AA39" s="1278"/>
      <c r="AB39" s="300" t="s">
        <v>2451</v>
      </c>
      <c r="AC39" s="765" t="s">
        <v>2651</v>
      </c>
      <c r="AD39" s="300" t="s">
        <v>1514</v>
      </c>
      <c r="AE39" s="1116">
        <f>SUM(AE40:AE46)</f>
        <v>0</v>
      </c>
      <c r="AF39" s="1116">
        <f>SUM(AF40:AF46)</f>
        <v>0</v>
      </c>
      <c r="AG39" s="1116">
        <f>SUM(AG40:AG46)</f>
        <v>0</v>
      </c>
      <c r="AH39" s="1114">
        <f>AG39-AF39</f>
        <v>0</v>
      </c>
      <c r="AI39" s="1116">
        <f>SUM(AI40:AI46)</f>
        <v>0</v>
      </c>
      <c r="AJ39" s="1116">
        <f>SUM(AJ40:AJ46)</f>
        <v>0</v>
      </c>
      <c r="AK39" s="1115"/>
      <c r="AL39" s="1115"/>
      <c r="AM39" s="1115"/>
      <c r="AN39" s="1115"/>
      <c r="AO39" s="1115"/>
      <c r="AP39" s="1115"/>
      <c r="AQ39" s="1115"/>
      <c r="AR39" s="1115"/>
      <c r="AS39" s="1115"/>
      <c r="AT39" s="1116">
        <f>SUM(AT40:AT46)</f>
        <v>0</v>
      </c>
      <c r="AU39" s="1115"/>
      <c r="AV39" s="1115"/>
      <c r="AW39" s="1115"/>
      <c r="AX39" s="1115"/>
      <c r="AY39" s="1115"/>
      <c r="AZ39" s="1115"/>
      <c r="BA39" s="1115"/>
      <c r="BB39" s="1115"/>
      <c r="BC39" s="1115"/>
      <c r="BD39" s="1114">
        <f>IF(AI39=0,0,(AT39-AI39)/AI39*100)</f>
        <v>0</v>
      </c>
      <c r="BE39" s="1115"/>
      <c r="BF39" s="1115"/>
      <c r="BG39" s="1115"/>
      <c r="BH39" s="1115"/>
      <c r="BI39" s="1115"/>
      <c r="BJ39" s="1115"/>
      <c r="BK39" s="1115"/>
      <c r="BL39" s="1115"/>
      <c r="BM39" s="1115"/>
      <c r="BN39" s="1238"/>
      <c r="BO39" s="1238"/>
      <c r="BP39" s="1238"/>
      <c r="BQ39" s="1278"/>
      <c r="BR39" s="1278"/>
      <c r="BS39" s="1063" t="s">
        <v>2652</v>
      </c>
      <c r="BT39" s="1064"/>
      <c r="BU39" s="1064"/>
      <c r="BV39" s="979"/>
      <c r="BW39" s="979"/>
    </row>
    <row customHeight="1" ht="14.625" hidden="1">
      <c r="A40" s="1278"/>
      <c r="B40" s="978"/>
      <c r="C40" s="107"/>
      <c r="D40" s="107"/>
      <c r="E40" s="621">
        <v>15</v>
      </c>
      <c r="F40" s="50" cm="1" t="str">
        <f t="array" ref="F40:F40">OFFSET(E40,-1,1)</f>
        <v>0</v>
      </c>
      <c r="G40" s="107"/>
      <c r="H40" s="857"/>
      <c r="I40" s="857" t="s">
        <v>2653</v>
      </c>
      <c r="J40" s="107"/>
      <c r="K40" s="378" t="s">
        <v>2653</v>
      </c>
      <c r="L40" s="980" t="s">
        <v>2479</v>
      </c>
      <c r="M40" s="107" t="s">
        <v>2487</v>
      </c>
      <c r="N40" s="107"/>
      <c r="O40" s="107"/>
      <c r="P40" s="107"/>
      <c r="Q40" s="107"/>
      <c r="R40" s="107"/>
      <c r="S40" s="107"/>
      <c r="T40" s="465" cm="1" t="str">
        <f t="array" ref="T40:T40">T39</f>
        <v>false</v>
      </c>
      <c r="U40" s="107"/>
      <c r="V40" s="107"/>
      <c r="W40" s="107"/>
      <c r="X40" s="1596"/>
      <c r="Y40" s="1278"/>
      <c r="Z40" s="1546"/>
      <c r="AA40" s="1278"/>
      <c r="AB40" s="300" t="s">
        <v>2654</v>
      </c>
      <c r="AC40" s="768" t="s">
        <v>2655</v>
      </c>
      <c r="AD40" s="300" t="s">
        <v>1514</v>
      </c>
      <c r="AE40" s="1241"/>
      <c r="AF40" s="1241"/>
      <c r="AG40" s="1241"/>
      <c r="AH40" s="1114">
        <f>AG40-AF40</f>
        <v>0</v>
      </c>
      <c r="AI40" s="1241"/>
      <c r="AJ40" s="1241"/>
      <c r="AK40" s="1115"/>
      <c r="AL40" s="1115"/>
      <c r="AM40" s="1115"/>
      <c r="AN40" s="1115"/>
      <c r="AO40" s="1115"/>
      <c r="AP40" s="1115"/>
      <c r="AQ40" s="1115"/>
      <c r="AR40" s="1115"/>
      <c r="AS40" s="1115"/>
      <c r="AT40" s="1241"/>
      <c r="AU40" s="1115"/>
      <c r="AV40" s="1115"/>
      <c r="AW40" s="1115"/>
      <c r="AX40" s="1115"/>
      <c r="AY40" s="1115"/>
      <c r="AZ40" s="1115"/>
      <c r="BA40" s="1115"/>
      <c r="BB40" s="1115"/>
      <c r="BC40" s="1115"/>
      <c r="BD40" s="1114">
        <f>IF(AI40=0,0,(AT40-AI40)/AI40*100)</f>
        <v>0</v>
      </c>
      <c r="BE40" s="1115"/>
      <c r="BF40" s="1115"/>
      <c r="BG40" s="1115"/>
      <c r="BH40" s="1115"/>
      <c r="BI40" s="1115"/>
      <c r="BJ40" s="1115"/>
      <c r="BK40" s="1115"/>
      <c r="BL40" s="1115"/>
      <c r="BM40" s="1115"/>
      <c r="BN40" s="1238"/>
      <c r="BO40" s="1238"/>
      <c r="BP40" s="1238"/>
      <c r="BQ40" s="1278"/>
      <c r="BR40" s="1278"/>
      <c r="BS40" s="1062" t="s">
        <v>2490</v>
      </c>
      <c r="BT40" s="1064"/>
      <c r="BU40" s="1064"/>
      <c r="BV40" s="979"/>
      <c r="BW40" s="979"/>
    </row>
    <row customHeight="1" ht="21.9375" hidden="1">
      <c r="A41" s="1278"/>
      <c r="B41" s="978"/>
      <c r="C41" s="107"/>
      <c r="D41" s="107"/>
      <c r="E41" s="621">
        <v>22.5</v>
      </c>
      <c r="F41" s="50" cm="1" t="str">
        <f t="array" ref="F41:F41">OFFSET(E41,-1,1)</f>
        <v>0</v>
      </c>
      <c r="G41" s="107"/>
      <c r="H41" s="857"/>
      <c r="I41" s="857" t="s">
        <v>2656</v>
      </c>
      <c r="J41" s="107"/>
      <c r="K41" s="378" t="s">
        <v>2656</v>
      </c>
      <c r="L41" s="980" t="s">
        <v>2479</v>
      </c>
      <c r="M41" s="107" t="s">
        <v>2483</v>
      </c>
      <c r="N41" s="107"/>
      <c r="O41" s="107"/>
      <c r="P41" s="107"/>
      <c r="Q41" s="107"/>
      <c r="R41" s="107"/>
      <c r="S41" s="107"/>
      <c r="T41" s="465" cm="1" t="str">
        <f t="array" ref="T41:T41">T40</f>
        <v>false</v>
      </c>
      <c r="U41" s="107"/>
      <c r="V41" s="107"/>
      <c r="W41" s="107"/>
      <c r="X41" s="1596"/>
      <c r="Y41" s="1278"/>
      <c r="Z41" s="1546"/>
      <c r="AA41" s="1278"/>
      <c r="AB41" s="300" t="s">
        <v>2657</v>
      </c>
      <c r="AC41" s="768" t="s">
        <v>2658</v>
      </c>
      <c r="AD41" s="300" t="s">
        <v>1514</v>
      </c>
      <c r="AE41" s="1241"/>
      <c r="AF41" s="1241"/>
      <c r="AG41" s="1241"/>
      <c r="AH41" s="1114">
        <f>AG41-AF41</f>
        <v>0</v>
      </c>
      <c r="AI41" s="1241"/>
      <c r="AJ41" s="1241"/>
      <c r="AK41" s="1115"/>
      <c r="AL41" s="1115"/>
      <c r="AM41" s="1115"/>
      <c r="AN41" s="1115"/>
      <c r="AO41" s="1115"/>
      <c r="AP41" s="1115"/>
      <c r="AQ41" s="1115"/>
      <c r="AR41" s="1115"/>
      <c r="AS41" s="1115"/>
      <c r="AT41" s="1241"/>
      <c r="AU41" s="1115"/>
      <c r="AV41" s="1115"/>
      <c r="AW41" s="1115"/>
      <c r="AX41" s="1115"/>
      <c r="AY41" s="1115"/>
      <c r="AZ41" s="1115"/>
      <c r="BA41" s="1115"/>
      <c r="BB41" s="1115"/>
      <c r="BC41" s="1115"/>
      <c r="BD41" s="1114">
        <f>IF(AI41=0,0,(AT41-AI41)/AI41*100)</f>
        <v>0</v>
      </c>
      <c r="BE41" s="1115"/>
      <c r="BF41" s="1115"/>
      <c r="BG41" s="1115"/>
      <c r="BH41" s="1115"/>
      <c r="BI41" s="1115"/>
      <c r="BJ41" s="1115"/>
      <c r="BK41" s="1115"/>
      <c r="BL41" s="1115"/>
      <c r="BM41" s="1115"/>
      <c r="BN41" s="1238"/>
      <c r="BO41" s="1238"/>
      <c r="BP41" s="1238"/>
      <c r="BQ41" s="1278"/>
      <c r="BR41" s="1278"/>
      <c r="BS41" s="1064" t="s">
        <v>2659</v>
      </c>
      <c r="BT41" s="1064"/>
      <c r="BU41" s="1064"/>
      <c r="BV41" s="979"/>
      <c r="BW41" s="979"/>
    </row>
    <row customHeight="1" ht="21.9375" hidden="1">
      <c r="A42" s="1278"/>
      <c r="B42" s="978"/>
      <c r="C42" s="107"/>
      <c r="D42" s="107"/>
      <c r="E42" s="621">
        <v>22.5</v>
      </c>
      <c r="F42" s="50" cm="1" t="str">
        <f t="array" ref="F42:F42">OFFSET(E42,-1,1)</f>
        <v>0</v>
      </c>
      <c r="G42" s="107"/>
      <c r="H42" s="857"/>
      <c r="I42" s="857" t="s">
        <v>2660</v>
      </c>
      <c r="J42" s="107"/>
      <c r="K42" s="378" t="s">
        <v>2660</v>
      </c>
      <c r="L42" s="1278"/>
      <c r="M42" s="1278"/>
      <c r="N42" s="107"/>
      <c r="O42" s="107"/>
      <c r="P42" s="107"/>
      <c r="Q42" s="107"/>
      <c r="R42" s="107"/>
      <c r="S42" s="107"/>
      <c r="T42" s="465" cm="1" t="str">
        <f t="array" ref="T42:T42">T41</f>
        <v>false</v>
      </c>
      <c r="U42" s="107"/>
      <c r="V42" s="107"/>
      <c r="W42" s="107"/>
      <c r="X42" s="1596"/>
      <c r="Y42" s="1278"/>
      <c r="Z42" s="1546"/>
      <c r="AA42" s="1278"/>
      <c r="AB42" s="300" t="s">
        <v>2661</v>
      </c>
      <c r="AC42" s="769" t="s">
        <v>2662</v>
      </c>
      <c r="AD42" s="300" t="s">
        <v>1514</v>
      </c>
      <c r="AE42" s="1241"/>
      <c r="AF42" s="1241"/>
      <c r="AG42" s="1241"/>
      <c r="AH42" s="1114">
        <f>AG42-AF42</f>
        <v>0</v>
      </c>
      <c r="AI42" s="1241"/>
      <c r="AJ42" s="1241"/>
      <c r="AK42" s="1115"/>
      <c r="AL42" s="1115"/>
      <c r="AM42" s="1115"/>
      <c r="AN42" s="1115"/>
      <c r="AO42" s="1115"/>
      <c r="AP42" s="1115"/>
      <c r="AQ42" s="1115"/>
      <c r="AR42" s="1115"/>
      <c r="AS42" s="1115"/>
      <c r="AT42" s="1241"/>
      <c r="AU42" s="1115"/>
      <c r="AV42" s="1115"/>
      <c r="AW42" s="1115"/>
      <c r="AX42" s="1115"/>
      <c r="AY42" s="1115"/>
      <c r="AZ42" s="1115"/>
      <c r="BA42" s="1115"/>
      <c r="BB42" s="1115"/>
      <c r="BC42" s="1115"/>
      <c r="BD42" s="1114">
        <f>IF(AI42=0,0,(AT42-AI42)/AI42*100)</f>
        <v>0</v>
      </c>
      <c r="BE42" s="1115"/>
      <c r="BF42" s="1115"/>
      <c r="BG42" s="1115"/>
      <c r="BH42" s="1115"/>
      <c r="BI42" s="1115"/>
      <c r="BJ42" s="1115"/>
      <c r="BK42" s="1115"/>
      <c r="BL42" s="1115"/>
      <c r="BM42" s="1115"/>
      <c r="BN42" s="1238"/>
      <c r="BO42" s="1238"/>
      <c r="BP42" s="1238"/>
      <c r="BQ42" s="1278"/>
      <c r="BR42" s="1278"/>
      <c r="BS42" s="1064" t="s">
        <v>2663</v>
      </c>
      <c r="BT42" s="1064"/>
      <c r="BU42" s="1064"/>
      <c r="BV42" s="979"/>
      <c r="BW42" s="979"/>
    </row>
    <row customHeight="1" ht="21.9375" hidden="1">
      <c r="A43" s="1278"/>
      <c r="B43" s="978"/>
      <c r="C43" s="107"/>
      <c r="D43" s="107"/>
      <c r="E43" s="621">
        <v>22.5</v>
      </c>
      <c r="F43" s="50" cm="1" t="str">
        <f t="array" ref="F43:F43">OFFSET(E43,-1,1)</f>
        <v>0</v>
      </c>
      <c r="G43" s="107"/>
      <c r="H43" s="857"/>
      <c r="I43" s="857" t="s">
        <v>2664</v>
      </c>
      <c r="J43" s="107"/>
      <c r="K43" s="378" t="s">
        <v>2664</v>
      </c>
      <c r="L43" s="980"/>
      <c r="M43" s="1278"/>
      <c r="N43" s="107"/>
      <c r="O43" s="107"/>
      <c r="P43" s="107"/>
      <c r="Q43" s="107"/>
      <c r="R43" s="107"/>
      <c r="S43" s="107"/>
      <c r="T43" s="465" cm="1" t="str">
        <f t="array" ref="T43:T43">T42</f>
        <v>false</v>
      </c>
      <c r="U43" s="107"/>
      <c r="V43" s="107"/>
      <c r="W43" s="107"/>
      <c r="X43" s="1596"/>
      <c r="Y43" s="1278"/>
      <c r="Z43" s="1546"/>
      <c r="AA43" s="1278"/>
      <c r="AB43" s="300" t="s">
        <v>2665</v>
      </c>
      <c r="AC43" s="769" t="s">
        <v>2666</v>
      </c>
      <c r="AD43" s="300" t="s">
        <v>1514</v>
      </c>
      <c r="AE43" s="1241"/>
      <c r="AF43" s="1241"/>
      <c r="AG43" s="1241"/>
      <c r="AH43" s="1114">
        <f>AG43-AF43</f>
        <v>0</v>
      </c>
      <c r="AI43" s="1241"/>
      <c r="AJ43" s="1241"/>
      <c r="AK43" s="1115"/>
      <c r="AL43" s="1115"/>
      <c r="AM43" s="1115"/>
      <c r="AN43" s="1115"/>
      <c r="AO43" s="1115"/>
      <c r="AP43" s="1115"/>
      <c r="AQ43" s="1115"/>
      <c r="AR43" s="1115"/>
      <c r="AS43" s="1115"/>
      <c r="AT43" s="1241"/>
      <c r="AU43" s="1115"/>
      <c r="AV43" s="1115"/>
      <c r="AW43" s="1115"/>
      <c r="AX43" s="1115"/>
      <c r="AY43" s="1115"/>
      <c r="AZ43" s="1115"/>
      <c r="BA43" s="1115"/>
      <c r="BB43" s="1115"/>
      <c r="BC43" s="1115"/>
      <c r="BD43" s="1114">
        <f>IF(AI43=0,0,(AT43-AI43)/AI43*100)</f>
        <v>0</v>
      </c>
      <c r="BE43" s="1115"/>
      <c r="BF43" s="1115"/>
      <c r="BG43" s="1115"/>
      <c r="BH43" s="1115"/>
      <c r="BI43" s="1115"/>
      <c r="BJ43" s="1115"/>
      <c r="BK43" s="1115"/>
      <c r="BL43" s="1115"/>
      <c r="BM43" s="1115"/>
      <c r="BN43" s="1238"/>
      <c r="BO43" s="1238"/>
      <c r="BP43" s="1238"/>
      <c r="BQ43" s="1278"/>
      <c r="BR43" s="1278"/>
      <c r="BS43" s="1064" t="s">
        <v>2667</v>
      </c>
      <c r="BT43" s="1064"/>
      <c r="BU43" s="1064"/>
      <c r="BV43" s="979"/>
      <c r="BW43" s="979"/>
    </row>
    <row customHeight="1" ht="43.875" hidden="1">
      <c r="A44" s="1278"/>
      <c r="B44" s="978"/>
      <c r="C44" s="107"/>
      <c r="D44" s="107"/>
      <c r="E44" s="621">
        <v>45</v>
      </c>
      <c r="F44" s="50" cm="1" t="str">
        <f t="array" ref="F44:F44">OFFSET(E44,-1,1)</f>
        <v>0</v>
      </c>
      <c r="G44" s="107"/>
      <c r="H44" s="857"/>
      <c r="I44" s="857" t="s">
        <v>2668</v>
      </c>
      <c r="J44" s="107"/>
      <c r="K44" s="378" t="s">
        <v>2668</v>
      </c>
      <c r="L44" s="980" t="s">
        <v>2479</v>
      </c>
      <c r="M44" s="107" t="s">
        <v>2491</v>
      </c>
      <c r="N44" s="107"/>
      <c r="O44" s="107"/>
      <c r="P44" s="107"/>
      <c r="Q44" s="107"/>
      <c r="R44" s="107"/>
      <c r="S44" s="107"/>
      <c r="T44" s="465" cm="1" t="str">
        <f t="array" ref="T44:T44">T43</f>
        <v>false</v>
      </c>
      <c r="U44" s="107"/>
      <c r="V44" s="107"/>
      <c r="W44" s="107"/>
      <c r="X44" s="1596"/>
      <c r="Y44" s="1278"/>
      <c r="Z44" s="1546"/>
      <c r="AA44" s="1278"/>
      <c r="AB44" s="300" t="s">
        <v>2669</v>
      </c>
      <c r="AC44" s="768" t="s">
        <v>2670</v>
      </c>
      <c r="AD44" s="300" t="s">
        <v>1514</v>
      </c>
      <c r="AE44" s="1241"/>
      <c r="AF44" s="1241"/>
      <c r="AG44" s="1241"/>
      <c r="AH44" s="1114">
        <f>AG44-AF44</f>
        <v>0</v>
      </c>
      <c r="AI44" s="1241"/>
      <c r="AJ44" s="1241"/>
      <c r="AK44" s="1115"/>
      <c r="AL44" s="1115"/>
      <c r="AM44" s="1115"/>
      <c r="AN44" s="1115"/>
      <c r="AO44" s="1115"/>
      <c r="AP44" s="1115"/>
      <c r="AQ44" s="1115"/>
      <c r="AR44" s="1115"/>
      <c r="AS44" s="1115"/>
      <c r="AT44" s="1241"/>
      <c r="AU44" s="1115"/>
      <c r="AV44" s="1115"/>
      <c r="AW44" s="1115"/>
      <c r="AX44" s="1115"/>
      <c r="AY44" s="1115"/>
      <c r="AZ44" s="1115"/>
      <c r="BA44" s="1115"/>
      <c r="BB44" s="1115"/>
      <c r="BC44" s="1115"/>
      <c r="BD44" s="1114">
        <f>IF(AI44=0,0,(AT44-AI44)/AI44*100)</f>
        <v>0</v>
      </c>
      <c r="BE44" s="1115"/>
      <c r="BF44" s="1115"/>
      <c r="BG44" s="1115"/>
      <c r="BH44" s="1115"/>
      <c r="BI44" s="1115"/>
      <c r="BJ44" s="1115"/>
      <c r="BK44" s="1115"/>
      <c r="BL44" s="1115"/>
      <c r="BM44" s="1115"/>
      <c r="BN44" s="1238"/>
      <c r="BO44" s="1238"/>
      <c r="BP44" s="1238"/>
      <c r="BQ44" s="1278"/>
      <c r="BR44" s="1278"/>
      <c r="BS44" s="1064" t="s">
        <v>2494</v>
      </c>
      <c r="BT44" s="1064"/>
      <c r="BU44" s="1064"/>
      <c r="BV44" s="979"/>
      <c r="BW44" s="979"/>
    </row>
    <row customHeight="1" ht="14.625" hidden="1">
      <c r="A45" s="1278"/>
      <c r="B45" s="978"/>
      <c r="C45" s="107"/>
      <c r="D45" s="107"/>
      <c r="E45" s="621">
        <v>15</v>
      </c>
      <c r="F45" s="50" cm="1" t="str">
        <f t="array" ref="F45:F45">OFFSET(E45,-1,1)</f>
        <v>0</v>
      </c>
      <c r="G45" s="107"/>
      <c r="H45" s="857"/>
      <c r="I45" s="857" t="s">
        <v>2671</v>
      </c>
      <c r="J45" s="107"/>
      <c r="K45" s="378" t="s">
        <v>2671</v>
      </c>
      <c r="L45" s="980" t="s">
        <v>2479</v>
      </c>
      <c r="M45" s="107" t="s">
        <v>2495</v>
      </c>
      <c r="N45" s="107"/>
      <c r="O45" s="107"/>
      <c r="P45" s="107"/>
      <c r="Q45" s="107"/>
      <c r="R45" s="107"/>
      <c r="S45" s="107"/>
      <c r="T45" s="465" cm="1" t="str">
        <f t="array" ref="T45:T45">T44</f>
        <v>false</v>
      </c>
      <c r="U45" s="107"/>
      <c r="V45" s="107"/>
      <c r="W45" s="107"/>
      <c r="X45" s="1596"/>
      <c r="Y45" s="1278"/>
      <c r="Z45" s="1546"/>
      <c r="AA45" s="1278"/>
      <c r="AB45" s="300" t="s">
        <v>2672</v>
      </c>
      <c r="AC45" s="768" t="s">
        <v>2497</v>
      </c>
      <c r="AD45" s="300" t="s">
        <v>1514</v>
      </c>
      <c r="AE45" s="1241"/>
      <c r="AF45" s="1241"/>
      <c r="AG45" s="1241"/>
      <c r="AH45" s="1114">
        <f>AG45-AF45</f>
        <v>0</v>
      </c>
      <c r="AI45" s="1241"/>
      <c r="AJ45" s="1241"/>
      <c r="AK45" s="1115"/>
      <c r="AL45" s="1115"/>
      <c r="AM45" s="1115"/>
      <c r="AN45" s="1115"/>
      <c r="AO45" s="1115"/>
      <c r="AP45" s="1115"/>
      <c r="AQ45" s="1115"/>
      <c r="AR45" s="1115"/>
      <c r="AS45" s="1115"/>
      <c r="AT45" s="1241"/>
      <c r="AU45" s="1115"/>
      <c r="AV45" s="1115"/>
      <c r="AW45" s="1115"/>
      <c r="AX45" s="1115"/>
      <c r="AY45" s="1115"/>
      <c r="AZ45" s="1115"/>
      <c r="BA45" s="1115"/>
      <c r="BB45" s="1115"/>
      <c r="BC45" s="1115"/>
      <c r="BD45" s="1114">
        <f>IF(AI45=0,0,(AT45-AI45)/AI45*100)</f>
        <v>0</v>
      </c>
      <c r="BE45" s="1115"/>
      <c r="BF45" s="1115"/>
      <c r="BG45" s="1115"/>
      <c r="BH45" s="1115"/>
      <c r="BI45" s="1115"/>
      <c r="BJ45" s="1115"/>
      <c r="BK45" s="1115"/>
      <c r="BL45" s="1115"/>
      <c r="BM45" s="1115"/>
      <c r="BN45" s="1238"/>
      <c r="BO45" s="1238"/>
      <c r="BP45" s="1238"/>
      <c r="BQ45" s="1278"/>
      <c r="BR45" s="1278"/>
      <c r="BS45" s="1064" t="s">
        <v>2498</v>
      </c>
      <c r="BT45" s="1064"/>
      <c r="BU45" s="1064"/>
      <c r="BV45" s="979"/>
      <c r="BW45" s="979"/>
    </row>
    <row customHeight="1" ht="14.625" hidden="1">
      <c r="A46" s="1278"/>
      <c r="B46" s="978"/>
      <c r="C46" s="107"/>
      <c r="D46" s="107"/>
      <c r="E46" s="621">
        <v>15</v>
      </c>
      <c r="F46" s="50" cm="1" t="str">
        <f t="array" ref="F46:F46">OFFSET(E46,-1,1)</f>
        <v>0</v>
      </c>
      <c r="G46" s="107"/>
      <c r="H46" s="857"/>
      <c r="I46" s="857" t="s">
        <v>2673</v>
      </c>
      <c r="J46" s="107"/>
      <c r="K46" s="378" t="s">
        <v>2673</v>
      </c>
      <c r="L46" s="980"/>
      <c r="M46" s="107"/>
      <c r="N46" s="107"/>
      <c r="O46" s="107"/>
      <c r="P46" s="107"/>
      <c r="Q46" s="107"/>
      <c r="R46" s="107"/>
      <c r="S46" s="107"/>
      <c r="T46" s="465" cm="1" t="str">
        <f t="array" ref="T46:T46">T45</f>
        <v>false</v>
      </c>
      <c r="U46" s="107"/>
      <c r="V46" s="107"/>
      <c r="W46" s="107"/>
      <c r="X46" s="1596"/>
      <c r="Y46" s="1278"/>
      <c r="Z46" s="1546"/>
      <c r="AA46" s="1278"/>
      <c r="AB46" s="300" t="s">
        <v>2674</v>
      </c>
      <c r="AC46" s="768" t="s">
        <v>2675</v>
      </c>
      <c r="AD46" s="300" t="s">
        <v>1514</v>
      </c>
      <c r="AE46" s="1241"/>
      <c r="AF46" s="1241"/>
      <c r="AG46" s="1241"/>
      <c r="AH46" s="1114">
        <f>AG46-AF46</f>
        <v>0</v>
      </c>
      <c r="AI46" s="1241"/>
      <c r="AJ46" s="7172"/>
      <c r="AK46" s="1115"/>
      <c r="AL46" s="1115"/>
      <c r="AM46" s="1115"/>
      <c r="AN46" s="1115"/>
      <c r="AO46" s="1115"/>
      <c r="AP46" s="1115"/>
      <c r="AQ46" s="1115"/>
      <c r="AR46" s="1115"/>
      <c r="AS46" s="1115"/>
      <c r="AT46" s="3640"/>
      <c r="AU46" s="1115"/>
      <c r="AV46" s="1115"/>
      <c r="AW46" s="1115"/>
      <c r="AX46" s="1115"/>
      <c r="AY46" s="1115"/>
      <c r="AZ46" s="1115"/>
      <c r="BA46" s="1115"/>
      <c r="BB46" s="1115"/>
      <c r="BC46" s="1115"/>
      <c r="BD46" s="1114">
        <f>IF(AI46=0,0,(AT46-AI46)/AI46*100)</f>
        <v>0</v>
      </c>
      <c r="BE46" s="1115"/>
      <c r="BF46" s="1115"/>
      <c r="BG46" s="1115"/>
      <c r="BH46" s="1115"/>
      <c r="BI46" s="1115"/>
      <c r="BJ46" s="1115"/>
      <c r="BK46" s="1115"/>
      <c r="BL46" s="1115"/>
      <c r="BM46" s="1115"/>
      <c r="BN46" s="1238"/>
      <c r="BO46" s="1238"/>
      <c r="BP46" s="1238"/>
      <c r="BQ46" s="1278"/>
      <c r="BR46" s="1278"/>
      <c r="BS46" s="1064" t="s">
        <v>2482</v>
      </c>
      <c r="BT46" s="1064"/>
      <c r="BU46" s="1064"/>
      <c r="BV46" s="979"/>
      <c r="BW46" s="979"/>
    </row>
    <row s="700" customFormat="1" customHeight="1" ht="20.475" hidden="1">
      <c r="A47" s="700"/>
      <c r="B47" s="435"/>
      <c r="C47" s="109"/>
      <c r="D47" s="109"/>
      <c r="E47" s="826">
        <v>21</v>
      </c>
      <c r="F47" s="50" cm="1" t="str">
        <f t="array" ref="F47:F47">OFFSET(E47,-1,1)</f>
        <v>0</v>
      </c>
      <c r="G47" s="109"/>
      <c r="H47" s="857"/>
      <c r="I47" s="857" t="s">
        <v>1182</v>
      </c>
      <c r="J47" s="109"/>
      <c r="K47" s="378" t="s">
        <v>1182</v>
      </c>
      <c r="L47" s="985"/>
      <c r="M47" s="109"/>
      <c r="N47" s="109"/>
      <c r="O47" s="109"/>
      <c r="P47" s="109"/>
      <c r="Q47" s="109"/>
      <c r="R47" s="109"/>
      <c r="S47" s="109"/>
      <c r="T47" s="465" cm="1" t="str">
        <f t="array" ref="T47:T47">T46</f>
        <v>false</v>
      </c>
      <c r="U47" s="109"/>
      <c r="V47" s="109"/>
      <c r="W47" s="109"/>
      <c r="X47" s="1596"/>
      <c r="Y47" s="700"/>
      <c r="Z47" s="1546"/>
      <c r="AA47" s="700"/>
      <c r="AB47" s="211" t="s">
        <v>1634</v>
      </c>
      <c r="AC47" s="361" t="s">
        <v>2501</v>
      </c>
      <c r="AD47" s="211" t="s">
        <v>1514</v>
      </c>
      <c r="AE47" s="213">
        <f>AE48+AE49+AE50</f>
        <v>0</v>
      </c>
      <c r="AF47" s="213">
        <f>AF48+AF49+AF50</f>
        <v>0</v>
      </c>
      <c r="AG47" s="213">
        <f>AG48+AG49+AG50</f>
        <v>0</v>
      </c>
      <c r="AH47" s="778">
        <f>AG47-AF47</f>
        <v>0</v>
      </c>
      <c r="AI47" s="213">
        <f>AI48+AI49+AI50</f>
        <v>0</v>
      </c>
      <c r="AJ47" s="213">
        <f>AJ48+AJ49+AJ50</f>
        <v>0</v>
      </c>
      <c r="AK47" s="216"/>
      <c r="AL47" s="216"/>
      <c r="AM47" s="216"/>
      <c r="AN47" s="216"/>
      <c r="AO47" s="216"/>
      <c r="AP47" s="216"/>
      <c r="AQ47" s="216"/>
      <c r="AR47" s="216"/>
      <c r="AS47" s="216"/>
      <c r="AT47" s="213">
        <f>AT48+AT49+AT50</f>
        <v>0</v>
      </c>
      <c r="AU47" s="216"/>
      <c r="AV47" s="216"/>
      <c r="AW47" s="216"/>
      <c r="AX47" s="216"/>
      <c r="AY47" s="216"/>
      <c r="AZ47" s="216"/>
      <c r="BA47" s="216"/>
      <c r="BB47" s="216"/>
      <c r="BC47" s="216"/>
      <c r="BD47" s="778">
        <f>IF(AI47=0,0,(AT47-AI47)/AI47*100)</f>
        <v>0</v>
      </c>
      <c r="BE47" s="216"/>
      <c r="BF47" s="216"/>
      <c r="BG47" s="216"/>
      <c r="BH47" s="216"/>
      <c r="BI47" s="216"/>
      <c r="BJ47" s="216"/>
      <c r="BK47" s="216"/>
      <c r="BL47" s="216"/>
      <c r="BM47" s="216"/>
      <c r="BN47" s="1240"/>
      <c r="BO47" s="1240"/>
      <c r="BP47" s="1240"/>
      <c r="BQ47" s="700"/>
      <c r="BR47" s="700"/>
      <c r="BS47" s="1063" t="s">
        <v>2502</v>
      </c>
      <c r="BT47" s="1070"/>
      <c r="BU47" s="1070"/>
      <c r="BV47" s="707"/>
      <c r="BW47" s="707"/>
    </row>
    <row customHeight="1" ht="21.9375" hidden="1">
      <c r="A48" s="1278"/>
      <c r="B48" s="978"/>
      <c r="C48" s="107"/>
      <c r="D48" s="107"/>
      <c r="E48" s="621">
        <v>22.5</v>
      </c>
      <c r="F48" s="50" cm="1" t="str">
        <f t="array" ref="F48:F48">OFFSET(E48,-1,1)</f>
        <v>0</v>
      </c>
      <c r="G48" s="107"/>
      <c r="H48" s="857"/>
      <c r="I48" s="857" t="s">
        <v>2081</v>
      </c>
      <c r="J48" s="107"/>
      <c r="K48" s="378" t="s">
        <v>2081</v>
      </c>
      <c r="L48" s="980"/>
      <c r="M48" s="107"/>
      <c r="N48" s="107"/>
      <c r="O48" s="107"/>
      <c r="P48" s="107"/>
      <c r="Q48" s="107"/>
      <c r="R48" s="107"/>
      <c r="S48" s="107"/>
      <c r="T48" s="465" cm="1" t="str">
        <f t="array" ref="T48:T48">T47</f>
        <v>false</v>
      </c>
      <c r="U48" s="107"/>
      <c r="V48" s="107"/>
      <c r="W48" s="107"/>
      <c r="X48" s="1596"/>
      <c r="Y48" s="1278"/>
      <c r="Z48" s="1546"/>
      <c r="AA48" s="1278"/>
      <c r="AB48" s="300" t="s">
        <v>2082</v>
      </c>
      <c r="AC48" s="765" t="s">
        <v>2676</v>
      </c>
      <c r="AD48" s="300" t="s">
        <v>1514</v>
      </c>
      <c r="AE48" s="1241"/>
      <c r="AF48" s="1241"/>
      <c r="AG48" s="1241"/>
      <c r="AH48" s="1114">
        <f>AG48-AF48</f>
        <v>0</v>
      </c>
      <c r="AI48" s="1241"/>
      <c r="AJ48" s="1241"/>
      <c r="AK48" s="1115"/>
      <c r="AL48" s="1115"/>
      <c r="AM48" s="1115"/>
      <c r="AN48" s="1115"/>
      <c r="AO48" s="1115"/>
      <c r="AP48" s="1115"/>
      <c r="AQ48" s="1115"/>
      <c r="AR48" s="1115"/>
      <c r="AS48" s="1115"/>
      <c r="AT48" s="1241"/>
      <c r="AU48" s="1115"/>
      <c r="AV48" s="1115"/>
      <c r="AW48" s="1115"/>
      <c r="AX48" s="1115"/>
      <c r="AY48" s="1115"/>
      <c r="AZ48" s="1115"/>
      <c r="BA48" s="1115"/>
      <c r="BB48" s="1115"/>
      <c r="BC48" s="1115"/>
      <c r="BD48" s="1114">
        <f>IF(AI48=0,0,(AT48-AI48)/AI48*100)</f>
        <v>0</v>
      </c>
      <c r="BE48" s="1115"/>
      <c r="BF48" s="1115"/>
      <c r="BG48" s="1115"/>
      <c r="BH48" s="1115"/>
      <c r="BI48" s="1115"/>
      <c r="BJ48" s="1115"/>
      <c r="BK48" s="1115"/>
      <c r="BL48" s="1115"/>
      <c r="BM48" s="1115"/>
      <c r="BN48" s="1238"/>
      <c r="BO48" s="1238"/>
      <c r="BP48" s="1238"/>
      <c r="BQ48" s="1278"/>
      <c r="BR48" s="1278"/>
      <c r="BS48" s="1062" t="s">
        <v>2504</v>
      </c>
      <c r="BT48" s="1064"/>
      <c r="BU48" s="1064"/>
      <c r="BV48" s="979"/>
      <c r="BW48" s="979"/>
    </row>
    <row customHeight="1" ht="21.9375" hidden="1">
      <c r="A49" s="1278"/>
      <c r="B49" s="978"/>
      <c r="C49" s="107"/>
      <c r="D49" s="107"/>
      <c r="E49" s="621">
        <v>22.5</v>
      </c>
      <c r="F49" s="50" cm="1" t="str">
        <f t="array" ref="F49:F49">OFFSET(E49,-1,1)</f>
        <v>0</v>
      </c>
      <c r="G49" s="107"/>
      <c r="H49" s="857"/>
      <c r="I49" s="857" t="s">
        <v>2085</v>
      </c>
      <c r="J49" s="107"/>
      <c r="K49" s="378" t="s">
        <v>2085</v>
      </c>
      <c r="L49" s="980"/>
      <c r="M49" s="107"/>
      <c r="N49" s="107"/>
      <c r="O49" s="107"/>
      <c r="P49" s="107"/>
      <c r="Q49" s="107"/>
      <c r="R49" s="107"/>
      <c r="S49" s="107"/>
      <c r="T49" s="465" cm="1" t="str">
        <f t="array" ref="T49:T49">T48</f>
        <v>false</v>
      </c>
      <c r="U49" s="107"/>
      <c r="V49" s="107"/>
      <c r="W49" s="107"/>
      <c r="X49" s="1596"/>
      <c r="Y49" s="1278"/>
      <c r="Z49" s="1546"/>
      <c r="AA49" s="1278"/>
      <c r="AB49" s="300" t="s">
        <v>2086</v>
      </c>
      <c r="AC49" s="765" t="s">
        <v>2677</v>
      </c>
      <c r="AD49" s="300" t="s">
        <v>1514</v>
      </c>
      <c r="AE49" s="1241"/>
      <c r="AF49" s="1241"/>
      <c r="AG49" s="1241"/>
      <c r="AH49" s="1114">
        <f>AG49-AF49</f>
        <v>0</v>
      </c>
      <c r="AI49" s="1241"/>
      <c r="AJ49" s="1241"/>
      <c r="AK49" s="1115"/>
      <c r="AL49" s="1115"/>
      <c r="AM49" s="1115"/>
      <c r="AN49" s="1115"/>
      <c r="AO49" s="1115"/>
      <c r="AP49" s="1115"/>
      <c r="AQ49" s="1115"/>
      <c r="AR49" s="1115"/>
      <c r="AS49" s="1115"/>
      <c r="AT49" s="1241"/>
      <c r="AU49" s="1115"/>
      <c r="AV49" s="1115"/>
      <c r="AW49" s="1115"/>
      <c r="AX49" s="1115"/>
      <c r="AY49" s="1115"/>
      <c r="AZ49" s="1115"/>
      <c r="BA49" s="1115"/>
      <c r="BB49" s="1115"/>
      <c r="BC49" s="1115"/>
      <c r="BD49" s="1114">
        <f>IF(AI49=0,0,(AT49-AI49)/AI49*100)</f>
        <v>0</v>
      </c>
      <c r="BE49" s="1115"/>
      <c r="BF49" s="1115"/>
      <c r="BG49" s="1115"/>
      <c r="BH49" s="1115"/>
      <c r="BI49" s="1115"/>
      <c r="BJ49" s="1115"/>
      <c r="BK49" s="1115"/>
      <c r="BL49" s="1115"/>
      <c r="BM49" s="1115"/>
      <c r="BN49" s="1238"/>
      <c r="BO49" s="1238"/>
      <c r="BP49" s="1238"/>
      <c r="BQ49" s="1278"/>
      <c r="BR49" s="1278"/>
      <c r="BS49" s="1064" t="s">
        <v>2678</v>
      </c>
      <c r="BT49" s="1064"/>
      <c r="BU49" s="1064"/>
      <c r="BV49" s="979"/>
      <c r="BW49" s="979"/>
    </row>
    <row customHeight="1" ht="21.9375" hidden="1">
      <c r="A50" s="1278"/>
      <c r="B50" s="978"/>
      <c r="C50" s="107"/>
      <c r="D50" s="107"/>
      <c r="E50" s="621">
        <v>22.5</v>
      </c>
      <c r="F50" s="50" cm="1" t="str">
        <f t="array" ref="F50:F50">OFFSET(E50,-1,1)</f>
        <v>0</v>
      </c>
      <c r="G50" s="107"/>
      <c r="H50" s="857"/>
      <c r="I50" s="857" t="s">
        <v>2089</v>
      </c>
      <c r="J50" s="107"/>
      <c r="K50" s="378" t="s">
        <v>2089</v>
      </c>
      <c r="L50" s="980" t="s">
        <v>1196</v>
      </c>
      <c r="M50" s="107"/>
      <c r="N50" s="107"/>
      <c r="O50" s="107"/>
      <c r="P50" s="107"/>
      <c r="Q50" s="107"/>
      <c r="R50" s="107"/>
      <c r="S50" s="107"/>
      <c r="T50" s="465" cm="1" t="str">
        <f t="array" ref="T50:T50">T49</f>
        <v>false</v>
      </c>
      <c r="U50" s="107"/>
      <c r="V50" s="107"/>
      <c r="W50" s="107"/>
      <c r="X50" s="1596"/>
      <c r="Y50" s="1278"/>
      <c r="Z50" s="1546"/>
      <c r="AA50" s="1278"/>
      <c r="AB50" s="300" t="s">
        <v>2090</v>
      </c>
      <c r="AC50" s="765" t="s">
        <v>2679</v>
      </c>
      <c r="AD50" s="300" t="s">
        <v>1514</v>
      </c>
      <c r="AE50" s="1116">
        <f>AE51+AE52</f>
        <v>0</v>
      </c>
      <c r="AF50" s="1116">
        <f>AF51+AF52</f>
        <v>0</v>
      </c>
      <c r="AG50" s="1116">
        <f>AG51+AG52</f>
        <v>0</v>
      </c>
      <c r="AH50" s="1114">
        <f>AG50-AF50</f>
        <v>0</v>
      </c>
      <c r="AI50" s="1116">
        <f>AI51+AI52</f>
        <v>0</v>
      </c>
      <c r="AJ50" s="1116">
        <f>AJ51+AJ52</f>
        <v>0</v>
      </c>
      <c r="AK50" s="1115"/>
      <c r="AL50" s="1115"/>
      <c r="AM50" s="1115"/>
      <c r="AN50" s="1115"/>
      <c r="AO50" s="1115"/>
      <c r="AP50" s="1115"/>
      <c r="AQ50" s="1115"/>
      <c r="AR50" s="1115"/>
      <c r="AS50" s="1115"/>
      <c r="AT50" s="1116">
        <f>AT51+AT52</f>
        <v>0</v>
      </c>
      <c r="AU50" s="1115"/>
      <c r="AV50" s="1115"/>
      <c r="AW50" s="1115"/>
      <c r="AX50" s="1115"/>
      <c r="AY50" s="1115"/>
      <c r="AZ50" s="1115"/>
      <c r="BA50" s="1115"/>
      <c r="BB50" s="1115"/>
      <c r="BC50" s="1115"/>
      <c r="BD50" s="1114">
        <f>IF(AI50=0,0,(AT50-AI50)/AI50*100)</f>
        <v>0</v>
      </c>
      <c r="BE50" s="1115"/>
      <c r="BF50" s="1115"/>
      <c r="BG50" s="1115"/>
      <c r="BH50" s="1115"/>
      <c r="BI50" s="1115"/>
      <c r="BJ50" s="1115"/>
      <c r="BK50" s="1115"/>
      <c r="BL50" s="1115"/>
      <c r="BM50" s="1115"/>
      <c r="BN50" s="1238"/>
      <c r="BO50" s="1238"/>
      <c r="BP50" s="1238"/>
      <c r="BQ50" s="1278"/>
      <c r="BR50" s="1278"/>
      <c r="BS50" s="1062" t="s">
        <v>2506</v>
      </c>
      <c r="BT50" s="1064"/>
      <c r="BU50" s="1064"/>
      <c r="BV50" s="979"/>
      <c r="BW50" s="979"/>
    </row>
    <row customHeight="1" ht="14.625" hidden="1">
      <c r="A51" s="1278"/>
      <c r="B51" s="978"/>
      <c r="C51" s="107"/>
      <c r="D51" s="107"/>
      <c r="E51" s="621">
        <v>15</v>
      </c>
      <c r="F51" s="50" cm="1" t="str">
        <f t="array" ref="F51:F51">OFFSET(E51,-1,1)</f>
        <v>0</v>
      </c>
      <c r="G51" s="848" t="s">
        <v>1881</v>
      </c>
      <c r="H51" s="857"/>
      <c r="I51" s="857" t="s">
        <v>2680</v>
      </c>
      <c r="J51" s="107"/>
      <c r="K51" s="378" t="s">
        <v>2680</v>
      </c>
      <c r="L51" s="980" t="s">
        <v>2507</v>
      </c>
      <c r="M51" s="107"/>
      <c r="N51" s="107"/>
      <c r="O51" s="107"/>
      <c r="P51" s="107"/>
      <c r="Q51" s="107"/>
      <c r="R51" s="107"/>
      <c r="S51" s="107"/>
      <c r="T51" s="465" cm="1" t="str">
        <f t="array" ref="T51:T51">T50</f>
        <v>false</v>
      </c>
      <c r="U51" s="107"/>
      <c r="V51" s="107"/>
      <c r="W51" s="107"/>
      <c r="X51" s="1596"/>
      <c r="Y51" s="1278"/>
      <c r="Z51" s="1546"/>
      <c r="AA51" s="1278"/>
      <c r="AB51" s="300" t="s">
        <v>2681</v>
      </c>
      <c r="AC51" s="768" t="s">
        <v>2508</v>
      </c>
      <c r="AD51" s="300" t="s">
        <v>1514</v>
      </c>
      <c r="AE51" s="1114">
        <f>_xlfn.SUMIFS(ФОТ!AE$25:AE$188,ФОТ!$F$25:$F$188,$F51,ФОТ!$G$25:$G$188,$G51)</f>
        <v>0</v>
      </c>
      <c r="AF51" s="1114">
        <f>_xlfn.SUMIFS(ФОТ!AF$25:AF$188,ФОТ!$F$25:$F$188,$F51,ФОТ!$G$25:$G$188,$G51)</f>
        <v>0</v>
      </c>
      <c r="AG51" s="1114">
        <f>_xlfn.SUMIFS(ФОТ!AG$25:AG$188,ФОТ!$F$25:$F$188,$F51,ФОТ!$G$25:$G$188,$G51)</f>
        <v>0</v>
      </c>
      <c r="AH51" s="1114">
        <f>AG51-AF51</f>
        <v>0</v>
      </c>
      <c r="AI51" s="1114">
        <f>_xlfn.SUMIFS(ФОТ!AH$25:AH$188,ФОТ!$F$25:$F$188,$F51,ФОТ!$G$25:$G$188,$G51)</f>
        <v>0</v>
      </c>
      <c r="AJ51" s="1114">
        <f>_xlfn.SUMIFS(ФОТ!AI$25:AI$188,ФОТ!$F$25:$F$188,$F51,ФОТ!$G$25:$G$188,$G51)</f>
        <v>0</v>
      </c>
      <c r="AK51" s="1115"/>
      <c r="AL51" s="1115"/>
      <c r="AM51" s="1115"/>
      <c r="AN51" s="1115"/>
      <c r="AO51" s="1115"/>
      <c r="AP51" s="1115"/>
      <c r="AQ51" s="1115"/>
      <c r="AR51" s="1115"/>
      <c r="AS51" s="1115"/>
      <c r="AT51" s="1114">
        <f>_xlfn.SUMIFS(ФОТ!AJ$25:AJ$188,ФОТ!$F$25:$F$188,$F51,ФОТ!$G$25:$G$188,$G51)</f>
        <v>0</v>
      </c>
      <c r="AU51" s="1115"/>
      <c r="AV51" s="1115"/>
      <c r="AW51" s="1115"/>
      <c r="AX51" s="1115"/>
      <c r="AY51" s="1115"/>
      <c r="AZ51" s="1115"/>
      <c r="BA51" s="1115"/>
      <c r="BB51" s="1115"/>
      <c r="BC51" s="1115"/>
      <c r="BD51" s="1114">
        <f>IF(AI51=0,0,(AT51-AI51)/AI51*100)</f>
        <v>0</v>
      </c>
      <c r="BE51" s="1115"/>
      <c r="BF51" s="1115"/>
      <c r="BG51" s="1115"/>
      <c r="BH51" s="1115"/>
      <c r="BI51" s="1115"/>
      <c r="BJ51" s="1115"/>
      <c r="BK51" s="1115"/>
      <c r="BL51" s="1115"/>
      <c r="BM51" s="1115"/>
      <c r="BN51" s="1238"/>
      <c r="BO51" s="1242" t="str">
        <f>IF(_xlfn.IFERROR(INDEX(ФОТ!$K$26:$L$188,MATCH($F51&amp;"3komm",ФОТ!$K$26:$K$188,0),2),"")=0,"",_xlfn.IFERROR(INDEX(ФОТ!$K$26:$L$188,MATCH($F51&amp;"3komm",ФОТ!$K$26:$K$188,0),2),""))</f>
        <v/>
      </c>
      <c r="BP51" s="1238"/>
      <c r="BQ51" s="1278"/>
      <c r="BR51" s="1278"/>
      <c r="BS51" s="1062" t="s">
        <v>2509</v>
      </c>
      <c r="BT51" s="1064"/>
      <c r="BU51" s="1064"/>
      <c r="BV51" s="979"/>
      <c r="BW51" s="979"/>
    </row>
    <row customHeight="1" ht="21.9375" hidden="1">
      <c r="A52" s="1278"/>
      <c r="B52" s="978"/>
      <c r="C52" s="107"/>
      <c r="D52" s="107"/>
      <c r="E52" s="621">
        <v>22.5</v>
      </c>
      <c r="F52" s="50" cm="1" t="str">
        <f t="array" ref="F52:F52">OFFSET(E52,-1,1)</f>
        <v>0</v>
      </c>
      <c r="G52" s="848" t="s">
        <v>1886</v>
      </c>
      <c r="H52" s="857"/>
      <c r="I52" s="857" t="s">
        <v>2682</v>
      </c>
      <c r="J52" s="107"/>
      <c r="K52" s="378" t="s">
        <v>2682</v>
      </c>
      <c r="L52" s="980" t="s">
        <v>2510</v>
      </c>
      <c r="M52" s="107"/>
      <c r="N52" s="107"/>
      <c r="O52" s="107"/>
      <c r="P52" s="107"/>
      <c r="Q52" s="107"/>
      <c r="R52" s="107"/>
      <c r="S52" s="107"/>
      <c r="T52" s="465" cm="1" t="str">
        <f t="array" ref="T52:T52">T51</f>
        <v>false</v>
      </c>
      <c r="U52" s="107"/>
      <c r="V52" s="107"/>
      <c r="W52" s="107"/>
      <c r="X52" s="1596"/>
      <c r="Y52" s="1278"/>
      <c r="Z52" s="1546"/>
      <c r="AA52" s="1278"/>
      <c r="AB52" s="300" t="s">
        <v>2683</v>
      </c>
      <c r="AC52" s="768" t="s">
        <v>2684</v>
      </c>
      <c r="AD52" s="300" t="s">
        <v>1514</v>
      </c>
      <c r="AE52" s="1114">
        <f>_xlfn.SUMIFS(ФОТ!AE$25:AE$188,ФОТ!$F$25:$F$188,$F52,ФОТ!$G$25:$G$188,$G52)</f>
        <v>0</v>
      </c>
      <c r="AF52" s="1114">
        <f>_xlfn.SUMIFS(ФОТ!AF$25:AF$188,ФОТ!$F$25:$F$188,$F52,ФОТ!$G$25:$G$188,$G52)</f>
        <v>0</v>
      </c>
      <c r="AG52" s="1114">
        <f>_xlfn.SUMIFS(ФОТ!AG$25:AG$188,ФОТ!$F$25:$F$188,$F52,ФОТ!$G$25:$G$188,$G52)</f>
        <v>0</v>
      </c>
      <c r="AH52" s="1114">
        <f>AG52-AF52</f>
        <v>0</v>
      </c>
      <c r="AI52" s="1114">
        <f>_xlfn.SUMIFS(ФОТ!AH$25:AH$188,ФОТ!$F$25:$F$188,$F52,ФОТ!$G$25:$G$188,$G52)</f>
        <v>0</v>
      </c>
      <c r="AJ52" s="1114">
        <f>_xlfn.SUMIFS(ФОТ!AI$25:AI$188,ФОТ!$F$25:$F$188,$F52,ФОТ!$G$25:$G$188,$G52)</f>
        <v>0</v>
      </c>
      <c r="AK52" s="1115"/>
      <c r="AL52" s="1115"/>
      <c r="AM52" s="1115"/>
      <c r="AN52" s="1115"/>
      <c r="AO52" s="1115"/>
      <c r="AP52" s="1115"/>
      <c r="AQ52" s="1115"/>
      <c r="AR52" s="1115"/>
      <c r="AS52" s="1115"/>
      <c r="AT52" s="1114">
        <f>_xlfn.SUMIFS(ФОТ!AJ$25:AJ$188,ФОТ!$F$25:$F$188,$F52,ФОТ!$G$25:$G$188,$G52)</f>
        <v>0</v>
      </c>
      <c r="AU52" s="1115"/>
      <c r="AV52" s="1115"/>
      <c r="AW52" s="1115"/>
      <c r="AX52" s="1115"/>
      <c r="AY52" s="1115"/>
      <c r="AZ52" s="1115"/>
      <c r="BA52" s="1115"/>
      <c r="BB52" s="1115"/>
      <c r="BC52" s="1115"/>
      <c r="BD52" s="1114">
        <f>IF(AI52=0,0,(AT52-AI52)/AI52*100)</f>
        <v>0</v>
      </c>
      <c r="BE52" s="1115"/>
      <c r="BF52" s="1115"/>
      <c r="BG52" s="1115"/>
      <c r="BH52" s="1115"/>
      <c r="BI52" s="1115"/>
      <c r="BJ52" s="1115"/>
      <c r="BK52" s="1115"/>
      <c r="BL52" s="1115"/>
      <c r="BM52" s="1115"/>
      <c r="BN52" s="1238"/>
      <c r="BO52" s="1242" t="str">
        <f>IF(_xlfn.IFERROR(INDEX(ФОТ!$K$26:$L$188,MATCH($F52&amp;"4komm",ФОТ!$K$26:$K$188,0),2),"")=0,"",_xlfn.IFERROR(INDEX(ФОТ!$K$26:$L$188,MATCH($F52&amp;"4komm",ФОТ!$K$26:$K$188,0),2),""))</f>
        <v/>
      </c>
      <c r="BP52" s="1238"/>
      <c r="BQ52" s="1278"/>
      <c r="BR52" s="1278"/>
      <c r="BS52" s="1062" t="s">
        <v>2512</v>
      </c>
      <c r="BT52" s="1064"/>
      <c r="BU52" s="1064"/>
      <c r="BV52" s="979"/>
      <c r="BW52" s="979"/>
    </row>
    <row s="700" customFormat="1" customHeight="1" ht="20.475" hidden="1">
      <c r="A53" s="700"/>
      <c r="B53" s="435"/>
      <c r="C53" s="109"/>
      <c r="D53" s="109"/>
      <c r="E53" s="826">
        <v>21</v>
      </c>
      <c r="F53" s="50" cm="1" t="str">
        <f t="array" ref="F53:F53">OFFSET(E53,-1,1)</f>
        <v>0</v>
      </c>
      <c r="G53" s="109"/>
      <c r="H53" s="857"/>
      <c r="I53" s="857" t="s">
        <v>1186</v>
      </c>
      <c r="J53" s="109"/>
      <c r="K53" s="378" t="s">
        <v>1186</v>
      </c>
      <c r="L53" s="985" t="s">
        <v>334</v>
      </c>
      <c r="M53" s="109"/>
      <c r="N53" s="109"/>
      <c r="O53" s="109"/>
      <c r="P53" s="109"/>
      <c r="Q53" s="109"/>
      <c r="R53" s="109"/>
      <c r="S53" s="109"/>
      <c r="T53" s="465" cm="1" t="str">
        <f t="array" ref="T53:T53">T52</f>
        <v>false</v>
      </c>
      <c r="U53" s="109"/>
      <c r="V53" s="109"/>
      <c r="W53" s="109"/>
      <c r="X53" s="1596"/>
      <c r="Y53" s="700"/>
      <c r="Z53" s="1546"/>
      <c r="AA53" s="700"/>
      <c r="AB53" s="211" t="s">
        <v>1637</v>
      </c>
      <c r="AC53" s="361" t="s">
        <v>2685</v>
      </c>
      <c r="AD53" s="211" t="s">
        <v>1514</v>
      </c>
      <c r="AE53" s="213">
        <f>AE54+AE62+AE65+AE66+AE67+AE68+AE69</f>
        <v>0</v>
      </c>
      <c r="AF53" s="213">
        <f>AF54+AF62+AF65+AF66+AF67+AF68+AF69</f>
        <v>0</v>
      </c>
      <c r="AG53" s="213">
        <f>AG54+AG62+AG65+AG66+AG67+AG68+AG69</f>
        <v>0</v>
      </c>
      <c r="AH53" s="778">
        <f>AG53-AF53</f>
        <v>0</v>
      </c>
      <c r="AI53" s="213">
        <f>AI54+AI62+AI65+AI66+AI67+AI68+AI69</f>
        <v>0</v>
      </c>
      <c r="AJ53" s="213">
        <f>AJ54+AJ62+AJ65+AJ66+AJ67+AJ68+AJ69</f>
        <v>0</v>
      </c>
      <c r="AK53" s="216"/>
      <c r="AL53" s="216"/>
      <c r="AM53" s="216"/>
      <c r="AN53" s="216"/>
      <c r="AO53" s="216"/>
      <c r="AP53" s="216"/>
      <c r="AQ53" s="216"/>
      <c r="AR53" s="216"/>
      <c r="AS53" s="216"/>
      <c r="AT53" s="213">
        <f>AT54+AT62+AT65+AT66+AT67+AT68+AT69</f>
        <v>0</v>
      </c>
      <c r="AU53" s="216"/>
      <c r="AV53" s="216"/>
      <c r="AW53" s="216"/>
      <c r="AX53" s="216"/>
      <c r="AY53" s="216"/>
      <c r="AZ53" s="216"/>
      <c r="BA53" s="216"/>
      <c r="BB53" s="216"/>
      <c r="BC53" s="216"/>
      <c r="BD53" s="778">
        <f>IF(AI53=0,0,(AT53-AI53)/AI53*100)</f>
        <v>0</v>
      </c>
      <c r="BE53" s="216"/>
      <c r="BF53" s="216"/>
      <c r="BG53" s="216"/>
      <c r="BH53" s="216"/>
      <c r="BI53" s="216"/>
      <c r="BJ53" s="216"/>
      <c r="BK53" s="216"/>
      <c r="BL53" s="216"/>
      <c r="BM53" s="216"/>
      <c r="BN53" s="1240"/>
      <c r="BO53" s="1240"/>
      <c r="BP53" s="1240"/>
      <c r="BQ53" s="700"/>
      <c r="BR53" s="700"/>
      <c r="BS53" s="1063" t="s">
        <v>2514</v>
      </c>
      <c r="BT53" s="1070"/>
      <c r="BU53" s="1070"/>
      <c r="BV53" s="707"/>
      <c r="BW53" s="707"/>
    </row>
    <row customHeight="1" ht="21.9375" hidden="1">
      <c r="A54" s="1278"/>
      <c r="B54" s="978"/>
      <c r="C54" s="107"/>
      <c r="D54" s="107"/>
      <c r="E54" s="621">
        <v>22.5</v>
      </c>
      <c r="F54" s="50" cm="1" t="str">
        <f t="array" ref="F54:F54">OFFSET(E54,-1,1)</f>
        <v>0</v>
      </c>
      <c r="G54" s="107" t="s">
        <v>1916</v>
      </c>
      <c r="H54" s="857"/>
      <c r="I54" s="857" t="s">
        <v>2095</v>
      </c>
      <c r="J54" s="107"/>
      <c r="K54" s="378" t="s">
        <v>2095</v>
      </c>
      <c r="L54" s="980" t="s">
        <v>1658</v>
      </c>
      <c r="M54" s="107"/>
      <c r="N54" s="107"/>
      <c r="O54" s="107"/>
      <c r="P54" s="107"/>
      <c r="Q54" s="107"/>
      <c r="R54" s="107"/>
      <c r="S54" s="107"/>
      <c r="T54" s="465" cm="1" t="str">
        <f t="array" ref="T54:T54">T53</f>
        <v>false</v>
      </c>
      <c r="U54" s="107"/>
      <c r="V54" s="107"/>
      <c r="W54" s="107"/>
      <c r="X54" s="1596"/>
      <c r="Y54" s="1278"/>
      <c r="Z54" s="1546"/>
      <c r="AA54" s="1278"/>
      <c r="AB54" s="300" t="s">
        <v>1752</v>
      </c>
      <c r="AC54" s="765" t="s">
        <v>2686</v>
      </c>
      <c r="AD54" s="300" t="s">
        <v>1514</v>
      </c>
      <c r="AE54" s="1114">
        <f>_xlfn.SUMIFS(Административные!AE$25:AE$122,Административные!$F$25:$F$122,$F54,Административные!$G$25:$G$122,$G54)</f>
        <v>0</v>
      </c>
      <c r="AF54" s="1114">
        <f>_xlfn.SUMIFS(Административные!AF$25:AF$122,Административные!$F$25:$F$122,$F54,Административные!$G$25:$G$122,$G54)</f>
        <v>0</v>
      </c>
      <c r="AG54" s="1114">
        <f>_xlfn.SUMIFS(Административные!AG$25:AG$122,Административные!$F$25:$F$122,$F54,Административные!$G$25:$G$122,$G54)</f>
        <v>0</v>
      </c>
      <c r="AH54" s="1114">
        <f>AG54-AF54</f>
        <v>0</v>
      </c>
      <c r="AI54" s="1114">
        <f>_xlfn.SUMIFS(Административные!AH$25:AH$122,Административные!$F$25:$F$122,$F54,Административные!$G$25:$G$122,$G54)</f>
        <v>0</v>
      </c>
      <c r="AJ54" s="1114">
        <f>_xlfn.SUMIFS(Административные!AI$25:AI$122,Административные!$F$25:$F$122,$F54,Административные!$G$25:$G$122,$G54)</f>
        <v>0</v>
      </c>
      <c r="AK54" s="1115"/>
      <c r="AL54" s="1115"/>
      <c r="AM54" s="1115"/>
      <c r="AN54" s="1115"/>
      <c r="AO54" s="1115"/>
      <c r="AP54" s="1115"/>
      <c r="AQ54" s="1115"/>
      <c r="AR54" s="1115"/>
      <c r="AS54" s="1115"/>
      <c r="AT54" s="1114">
        <f>_xlfn.SUMIFS(Административные!AJ$25:AJ$122,Административные!$F$25:$F$122,$F54,Административные!$G$25:$G$122,$G54)</f>
        <v>0</v>
      </c>
      <c r="AU54" s="1115"/>
      <c r="AV54" s="1115"/>
      <c r="AW54" s="1115"/>
      <c r="AX54" s="1115"/>
      <c r="AY54" s="1115"/>
      <c r="AZ54" s="1115"/>
      <c r="BA54" s="1115"/>
      <c r="BB54" s="1115"/>
      <c r="BC54" s="1115"/>
      <c r="BD54" s="1114">
        <f>IF(AI54=0,0,(AT54-AI54)/AI54*100)</f>
        <v>0</v>
      </c>
      <c r="BE54" s="1115"/>
      <c r="BF54" s="1115"/>
      <c r="BG54" s="1115"/>
      <c r="BH54" s="1115"/>
      <c r="BI54" s="1115"/>
      <c r="BJ54" s="1115"/>
      <c r="BK54" s="1115"/>
      <c r="BL54" s="1115"/>
      <c r="BM54" s="1115"/>
      <c r="BN54" s="1238"/>
      <c r="BO54" s="1242" t="str">
        <f>IF(_xlfn.IFERROR(INDEX(Административные!$K$26:$L$122,MATCH($F54&amp;"17komm",Административные!$K$26:$K$122,0),2),"")=0,"",_xlfn.IFERROR(INDEX(Административные!$K$26:$L$122,MATCH($F54&amp;"17komm",Административные!$K$26:$K$122,0),2),""))</f>
        <v/>
      </c>
      <c r="BP54" s="1238"/>
      <c r="BQ54" s="1278"/>
      <c r="BR54" s="1278"/>
      <c r="BS54" s="1062" t="s">
        <v>1918</v>
      </c>
      <c r="BT54" s="1064"/>
      <c r="BU54" s="1064"/>
      <c r="BV54" s="979"/>
      <c r="BW54" s="979"/>
    </row>
    <row customHeight="1" ht="14.625" hidden="1">
      <c r="A55" s="1278"/>
      <c r="B55" s="978"/>
      <c r="C55" s="107"/>
      <c r="D55" s="107"/>
      <c r="E55" s="621">
        <v>15</v>
      </c>
      <c r="F55" s="50" cm="1" t="str">
        <f t="array" ref="F55:F55">OFFSET(E55,-1,1)</f>
        <v>0</v>
      </c>
      <c r="G55" s="107" t="s">
        <v>1919</v>
      </c>
      <c r="H55" s="857"/>
      <c r="I55" s="857" t="s">
        <v>2687</v>
      </c>
      <c r="J55" s="107"/>
      <c r="K55" s="378" t="s">
        <v>2687</v>
      </c>
      <c r="L55" s="980"/>
      <c r="M55" s="107"/>
      <c r="N55" s="107"/>
      <c r="O55" s="107"/>
      <c r="P55" s="107"/>
      <c r="Q55" s="107"/>
      <c r="R55" s="107"/>
      <c r="S55" s="107"/>
      <c r="T55" s="465" cm="1" t="str">
        <f t="array" ref="T55:T55">T54</f>
        <v>false</v>
      </c>
      <c r="U55" s="107"/>
      <c r="V55" s="107"/>
      <c r="W55" s="107"/>
      <c r="X55" s="1596"/>
      <c r="Y55" s="1278"/>
      <c r="Z55" s="1546"/>
      <c r="AA55" s="1278"/>
      <c r="AB55" s="300" t="s">
        <v>2688</v>
      </c>
      <c r="AC55" s="768" t="s">
        <v>1920</v>
      </c>
      <c r="AD55" s="300" t="s">
        <v>1514</v>
      </c>
      <c r="AE55" s="1114">
        <f>_xlfn.SUMIFS(Административные!AE$25:AE$122,Административные!$F$25:$F$122,$F55,Административные!$G$25:$G$122,$G55)</f>
        <v>0</v>
      </c>
      <c r="AF55" s="1114">
        <f>_xlfn.SUMIFS(Административные!AF$25:AF$122,Административные!$F$25:$F$122,$F55,Административные!$G$25:$G$122,$G55)</f>
        <v>0</v>
      </c>
      <c r="AG55" s="1114">
        <f>_xlfn.SUMIFS(Административные!AG$25:AG$122,Административные!$F$25:$F$122,$F55,Административные!$G$25:$G$122,$G55)</f>
        <v>0</v>
      </c>
      <c r="AH55" s="1114">
        <f>AG55-AF55</f>
        <v>0</v>
      </c>
      <c r="AI55" s="1114">
        <f>_xlfn.SUMIFS(Административные!AH$25:AH$122,Административные!$F$25:$F$122,$F55,Административные!$G$25:$G$122,$G55)</f>
        <v>0</v>
      </c>
      <c r="AJ55" s="1114">
        <f>_xlfn.SUMIFS(Административные!AI$25:AI$122,Административные!$F$25:$F$122,$F55,Административные!$G$25:$G$122,$G55)</f>
        <v>0</v>
      </c>
      <c r="AK55" s="1115"/>
      <c r="AL55" s="1115"/>
      <c r="AM55" s="1115"/>
      <c r="AN55" s="1115"/>
      <c r="AO55" s="1115"/>
      <c r="AP55" s="1115"/>
      <c r="AQ55" s="1115"/>
      <c r="AR55" s="1115"/>
      <c r="AS55" s="1115"/>
      <c r="AT55" s="1114">
        <f>_xlfn.SUMIFS(Административные!AJ$25:AJ$122,Административные!$F$25:$F$122,$F55,Административные!$G$25:$G$122,$G55)</f>
        <v>0</v>
      </c>
      <c r="AU55" s="1115"/>
      <c r="AV55" s="1115"/>
      <c r="AW55" s="1115"/>
      <c r="AX55" s="1115"/>
      <c r="AY55" s="1115"/>
      <c r="AZ55" s="1115"/>
      <c r="BA55" s="1115"/>
      <c r="BB55" s="1115"/>
      <c r="BC55" s="1115"/>
      <c r="BD55" s="1114">
        <f>IF(AI55=0,0,(AT55-AI55)/AI55*100)</f>
        <v>0</v>
      </c>
      <c r="BE55" s="1115"/>
      <c r="BF55" s="1115"/>
      <c r="BG55" s="1115"/>
      <c r="BH55" s="1115"/>
      <c r="BI55" s="1115"/>
      <c r="BJ55" s="1115"/>
      <c r="BK55" s="1115"/>
      <c r="BL55" s="1115"/>
      <c r="BM55" s="1115"/>
      <c r="BN55" s="1238"/>
      <c r="BO55" s="1242" t="str">
        <f>IF(_xlfn.IFERROR(INDEX(Административные!$K$26:$L$122,MATCH($F55&amp;"18komm",Административные!$K$26:$K$122,0),2),"")=0,"",_xlfn.IFERROR(INDEX(Административные!$K$26:$L$122,MATCH($F55&amp;"18komm",Административные!$K$26:$K$122,0),2),""))</f>
        <v/>
      </c>
      <c r="BP55" s="1238"/>
      <c r="BQ55" s="1278"/>
      <c r="BR55" s="1278"/>
      <c r="BS55" s="1064" t="s">
        <v>1921</v>
      </c>
      <c r="BT55" s="1064"/>
      <c r="BU55" s="1064"/>
      <c r="BV55" s="979"/>
      <c r="BW55" s="979"/>
    </row>
    <row customHeight="1" ht="14.625" hidden="1">
      <c r="A56" s="1278"/>
      <c r="B56" s="978"/>
      <c r="C56" s="107"/>
      <c r="D56" s="107"/>
      <c r="E56" s="621">
        <v>15</v>
      </c>
      <c r="F56" s="50" cm="1" t="str">
        <f t="array" ref="F56:F56">OFFSET(E56,-1,1)</f>
        <v>0</v>
      </c>
      <c r="G56" s="107" t="s">
        <v>1922</v>
      </c>
      <c r="H56" s="857"/>
      <c r="I56" s="857" t="s">
        <v>2689</v>
      </c>
      <c r="J56" s="107"/>
      <c r="K56" s="378" t="s">
        <v>2689</v>
      </c>
      <c r="L56" s="980"/>
      <c r="M56" s="107"/>
      <c r="N56" s="107"/>
      <c r="O56" s="107"/>
      <c r="P56" s="107"/>
      <c r="Q56" s="107"/>
      <c r="R56" s="107"/>
      <c r="S56" s="107"/>
      <c r="T56" s="465" cm="1" t="str">
        <f t="array" ref="T56:T56">T55</f>
        <v>false</v>
      </c>
      <c r="U56" s="107"/>
      <c r="V56" s="107"/>
      <c r="W56" s="107"/>
      <c r="X56" s="1596"/>
      <c r="Y56" s="1278"/>
      <c r="Z56" s="1546"/>
      <c r="AA56" s="1278"/>
      <c r="AB56" s="300" t="s">
        <v>2690</v>
      </c>
      <c r="AC56" s="768" t="s">
        <v>1923</v>
      </c>
      <c r="AD56" s="300" t="s">
        <v>1514</v>
      </c>
      <c r="AE56" s="1114">
        <f>_xlfn.SUMIFS(Административные!AE$25:AE$122,Административные!$F$25:$F$122,$F56,Административные!$G$25:$G$122,$G56)</f>
        <v>0</v>
      </c>
      <c r="AF56" s="1114">
        <f>_xlfn.SUMIFS(Административные!AF$25:AF$122,Административные!$F$25:$F$122,$F56,Административные!$G$25:$G$122,$G56)</f>
        <v>0</v>
      </c>
      <c r="AG56" s="1114">
        <f>_xlfn.SUMIFS(Административные!AG$25:AG$122,Административные!$F$25:$F$122,$F56,Административные!$G$25:$G$122,$G56)</f>
        <v>0</v>
      </c>
      <c r="AH56" s="1114">
        <f>AG56-AF56</f>
        <v>0</v>
      </c>
      <c r="AI56" s="1114">
        <f>_xlfn.SUMIFS(Административные!AH$25:AH$122,Административные!$F$25:$F$122,$F56,Административные!$G$25:$G$122,$G56)</f>
        <v>0</v>
      </c>
      <c r="AJ56" s="1114">
        <f>_xlfn.SUMIFS(Административные!AI$25:AI$122,Административные!$F$25:$F$122,$F56,Административные!$G$25:$G$122,$G56)</f>
        <v>0</v>
      </c>
      <c r="AK56" s="1115"/>
      <c r="AL56" s="1115"/>
      <c r="AM56" s="1115"/>
      <c r="AN56" s="1115"/>
      <c r="AO56" s="1115"/>
      <c r="AP56" s="1115"/>
      <c r="AQ56" s="1115"/>
      <c r="AR56" s="1115"/>
      <c r="AS56" s="1115"/>
      <c r="AT56" s="1114">
        <f>_xlfn.SUMIFS(Административные!AJ$25:AJ$122,Административные!$F$25:$F$122,$F56,Административные!$G$25:$G$122,$G56)</f>
        <v>0</v>
      </c>
      <c r="AU56" s="1115"/>
      <c r="AV56" s="1115"/>
      <c r="AW56" s="1115"/>
      <c r="AX56" s="1115"/>
      <c r="AY56" s="1115"/>
      <c r="AZ56" s="1115"/>
      <c r="BA56" s="1115"/>
      <c r="BB56" s="1115"/>
      <c r="BC56" s="1115"/>
      <c r="BD56" s="1114">
        <f>IF(AI56=0,0,(AT56-AI56)/AI56*100)</f>
        <v>0</v>
      </c>
      <c r="BE56" s="1115"/>
      <c r="BF56" s="1115"/>
      <c r="BG56" s="1115"/>
      <c r="BH56" s="1115"/>
      <c r="BI56" s="1115"/>
      <c r="BJ56" s="1115"/>
      <c r="BK56" s="1115"/>
      <c r="BL56" s="1115"/>
      <c r="BM56" s="1115"/>
      <c r="BN56" s="1238"/>
      <c r="BO56" s="1242" t="str">
        <f>IF(_xlfn.IFERROR(INDEX(Административные!$K$26:$L$122,MATCH($F56&amp;"11komm",Административные!$K$26:$K$122,0),2),"")=0,"",_xlfn.IFERROR(INDEX(Административные!$K$26:$L$122,MATCH($F56&amp;"11komm",Административные!$K$26:$K$122,0),2),""))</f>
        <v/>
      </c>
      <c r="BP56" s="1238"/>
      <c r="BQ56" s="1278"/>
      <c r="BR56" s="1278"/>
      <c r="BS56" s="1064" t="s">
        <v>1924</v>
      </c>
      <c r="BT56" s="1064"/>
      <c r="BU56" s="1064"/>
      <c r="BV56" s="979"/>
      <c r="BW56" s="979"/>
    </row>
    <row customHeight="1" ht="14.625" hidden="1">
      <c r="A57" s="1278"/>
      <c r="B57" s="978"/>
      <c r="C57" s="107"/>
      <c r="D57" s="107"/>
      <c r="E57" s="621">
        <v>15</v>
      </c>
      <c r="F57" s="50" cm="1" t="str">
        <f t="array" ref="F57:F57">OFFSET(E57,-1,1)</f>
        <v>0</v>
      </c>
      <c r="G57" s="107" t="s">
        <v>1925</v>
      </c>
      <c r="H57" s="857"/>
      <c r="I57" s="857" t="s">
        <v>2691</v>
      </c>
      <c r="J57" s="107"/>
      <c r="K57" s="378" t="s">
        <v>2691</v>
      </c>
      <c r="L57" s="980"/>
      <c r="M57" s="107"/>
      <c r="N57" s="107"/>
      <c r="O57" s="107"/>
      <c r="P57" s="107"/>
      <c r="Q57" s="107"/>
      <c r="R57" s="107"/>
      <c r="S57" s="107"/>
      <c r="T57" s="465" cm="1" t="str">
        <f t="array" ref="T57:T57">T56</f>
        <v>false</v>
      </c>
      <c r="U57" s="107"/>
      <c r="V57" s="107"/>
      <c r="W57" s="107"/>
      <c r="X57" s="1596"/>
      <c r="Y57" s="1278"/>
      <c r="Z57" s="1546"/>
      <c r="AA57" s="1278"/>
      <c r="AB57" s="300" t="s">
        <v>2692</v>
      </c>
      <c r="AC57" s="768" t="s">
        <v>1926</v>
      </c>
      <c r="AD57" s="300" t="s">
        <v>1514</v>
      </c>
      <c r="AE57" s="1114">
        <f>_xlfn.SUMIFS(Административные!AE$25:AE$122,Административные!$F$25:$F$122,$F57,Административные!$G$25:$G$122,$G57)</f>
        <v>0</v>
      </c>
      <c r="AF57" s="1114">
        <f>_xlfn.SUMIFS(Административные!AF$25:AF$122,Административные!$F$25:$F$122,$F57,Административные!$G$25:$G$122,$G57)</f>
        <v>0</v>
      </c>
      <c r="AG57" s="1114">
        <f>_xlfn.SUMIFS(Административные!AG$25:AG$122,Административные!$F$25:$F$122,$F57,Административные!$G$25:$G$122,$G57)</f>
        <v>0</v>
      </c>
      <c r="AH57" s="1114">
        <f>AG57-AF57</f>
        <v>0</v>
      </c>
      <c r="AI57" s="1114">
        <f>_xlfn.SUMIFS(Административные!AH$25:AH$122,Административные!$F$25:$F$122,$F57,Административные!$G$25:$G$122,$G57)</f>
        <v>0</v>
      </c>
      <c r="AJ57" s="1114">
        <f>_xlfn.SUMIFS(Административные!AI$25:AI$122,Административные!$F$25:$F$122,$F57,Административные!$G$25:$G$122,$G57)</f>
        <v>0</v>
      </c>
      <c r="AK57" s="1115"/>
      <c r="AL57" s="1115"/>
      <c r="AM57" s="1115"/>
      <c r="AN57" s="1115"/>
      <c r="AO57" s="1115"/>
      <c r="AP57" s="1115"/>
      <c r="AQ57" s="1115"/>
      <c r="AR57" s="1115"/>
      <c r="AS57" s="1115"/>
      <c r="AT57" s="1114">
        <f>_xlfn.SUMIFS(Административные!AJ$25:AJ$122,Административные!$F$25:$F$122,$F57,Административные!$G$25:$G$122,$G57)</f>
        <v>0</v>
      </c>
      <c r="AU57" s="1115"/>
      <c r="AV57" s="1115"/>
      <c r="AW57" s="1115"/>
      <c r="AX57" s="1115"/>
      <c r="AY57" s="1115"/>
      <c r="AZ57" s="1115"/>
      <c r="BA57" s="1115"/>
      <c r="BB57" s="1115"/>
      <c r="BC57" s="1115"/>
      <c r="BD57" s="1114">
        <f>IF(AI57=0,0,(AT57-AI57)/AI57*100)</f>
        <v>0</v>
      </c>
      <c r="BE57" s="1115"/>
      <c r="BF57" s="1115"/>
      <c r="BG57" s="1115"/>
      <c r="BH57" s="1115"/>
      <c r="BI57" s="1115"/>
      <c r="BJ57" s="1115"/>
      <c r="BK57" s="1115"/>
      <c r="BL57" s="1115"/>
      <c r="BM57" s="1115"/>
      <c r="BN57" s="1238"/>
      <c r="BO57" s="1242" t="str">
        <f>IF(_xlfn.IFERROR(INDEX(Административные!$K$26:$L$122,MATCH($F57&amp;"12komm",Административные!$K$26:$K$122,0),2),"")=0,"",_xlfn.IFERROR(INDEX(Административные!$K$26:$L$122,MATCH($F57&amp;"12komm",Административные!$K$26:$K$122,0),2),""))</f>
        <v/>
      </c>
      <c r="BP57" s="1238"/>
      <c r="BQ57" s="1278"/>
      <c r="BR57" s="1278"/>
      <c r="BS57" s="1064" t="s">
        <v>1927</v>
      </c>
      <c r="BT57" s="1064"/>
      <c r="BU57" s="1064"/>
      <c r="BV57" s="979"/>
      <c r="BW57" s="979"/>
    </row>
    <row customHeight="1" ht="14.625" hidden="1">
      <c r="A58" s="1278"/>
      <c r="B58" s="978"/>
      <c r="C58" s="107"/>
      <c r="D58" s="107"/>
      <c r="E58" s="621">
        <v>15</v>
      </c>
      <c r="F58" s="50" cm="1" t="str">
        <f t="array" ref="F58:F58">OFFSET(E58,-1,1)</f>
        <v>0</v>
      </c>
      <c r="G58" s="107" t="s">
        <v>1928</v>
      </c>
      <c r="H58" s="857"/>
      <c r="I58" s="857" t="s">
        <v>2693</v>
      </c>
      <c r="J58" s="107"/>
      <c r="K58" s="378" t="s">
        <v>2693</v>
      </c>
      <c r="L58" s="980"/>
      <c r="M58" s="107"/>
      <c r="N58" s="107"/>
      <c r="O58" s="107"/>
      <c r="P58" s="107"/>
      <c r="Q58" s="107"/>
      <c r="R58" s="107"/>
      <c r="S58" s="107"/>
      <c r="T58" s="465" cm="1" t="str">
        <f t="array" ref="T58:T58">T57</f>
        <v>false</v>
      </c>
      <c r="U58" s="107"/>
      <c r="V58" s="107"/>
      <c r="W58" s="107"/>
      <c r="X58" s="1596"/>
      <c r="Y58" s="1278"/>
      <c r="Z58" s="1546"/>
      <c r="AA58" s="1278"/>
      <c r="AB58" s="300" t="s">
        <v>2694</v>
      </c>
      <c r="AC58" s="768" t="s">
        <v>1929</v>
      </c>
      <c r="AD58" s="300" t="s">
        <v>1514</v>
      </c>
      <c r="AE58" s="1114">
        <f>_xlfn.SUMIFS(Административные!AE$25:AE$122,Административные!$F$25:$F$122,$F58,Административные!$G$25:$G$122,$G58)</f>
        <v>0</v>
      </c>
      <c r="AF58" s="1114">
        <f>_xlfn.SUMIFS(Административные!AF$25:AF$122,Административные!$F$25:$F$122,$F58,Административные!$G$25:$G$122,$G58)</f>
        <v>0</v>
      </c>
      <c r="AG58" s="1114">
        <f>_xlfn.SUMIFS(Административные!AG$25:AG$122,Административные!$F$25:$F$122,$F58,Административные!$G$25:$G$122,$G58)</f>
        <v>0</v>
      </c>
      <c r="AH58" s="1114">
        <f>AG58-AF58</f>
        <v>0</v>
      </c>
      <c r="AI58" s="1114">
        <f>_xlfn.SUMIFS(Административные!AH$25:AH$122,Административные!$F$25:$F$122,$F58,Административные!$G$25:$G$122,$G58)</f>
        <v>0</v>
      </c>
      <c r="AJ58" s="1114">
        <f>_xlfn.SUMIFS(Административные!AI$25:AI$122,Административные!$F$25:$F$122,$F58,Административные!$G$25:$G$122,$G58)</f>
        <v>0</v>
      </c>
      <c r="AK58" s="1115"/>
      <c r="AL58" s="1115"/>
      <c r="AM58" s="1115"/>
      <c r="AN58" s="1115"/>
      <c r="AO58" s="1115"/>
      <c r="AP58" s="1115"/>
      <c r="AQ58" s="1115"/>
      <c r="AR58" s="1115"/>
      <c r="AS58" s="1115"/>
      <c r="AT58" s="1114">
        <f>_xlfn.SUMIFS(Административные!AJ$25:AJ$122,Административные!$F$25:$F$122,$F58,Административные!$G$25:$G$122,$G58)</f>
        <v>0</v>
      </c>
      <c r="AU58" s="1115"/>
      <c r="AV58" s="1115"/>
      <c r="AW58" s="1115"/>
      <c r="AX58" s="1115"/>
      <c r="AY58" s="1115"/>
      <c r="AZ58" s="1115"/>
      <c r="BA58" s="1115"/>
      <c r="BB58" s="1115"/>
      <c r="BC58" s="1115"/>
      <c r="BD58" s="1114">
        <f>IF(AI58=0,0,(AT58-AI58)/AI58*100)</f>
        <v>0</v>
      </c>
      <c r="BE58" s="1115"/>
      <c r="BF58" s="1115"/>
      <c r="BG58" s="1115"/>
      <c r="BH58" s="1115"/>
      <c r="BI58" s="1115"/>
      <c r="BJ58" s="1115"/>
      <c r="BK58" s="1115"/>
      <c r="BL58" s="1115"/>
      <c r="BM58" s="1115"/>
      <c r="BN58" s="1238"/>
      <c r="BO58" s="1242" t="str">
        <f>IF(_xlfn.IFERROR(INDEX(Административные!$K$26:$L$122,MATCH($F58&amp;"13komm",Административные!$K$26:$K$122,0),2),"")=0,"",_xlfn.IFERROR(INDEX(Административные!$K$26:$L$122,MATCH($F58&amp;"13komm",Административные!$K$26:$K$122,0),2),""))</f>
        <v/>
      </c>
      <c r="BP58" s="1238"/>
      <c r="BQ58" s="1278"/>
      <c r="BR58" s="1278"/>
      <c r="BS58" s="1064" t="s">
        <v>1930</v>
      </c>
      <c r="BT58" s="1064"/>
      <c r="BU58" s="1064"/>
      <c r="BV58" s="979"/>
      <c r="BW58" s="979"/>
    </row>
    <row customHeight="1" ht="14.625" hidden="1">
      <c r="A59" s="1278"/>
      <c r="B59" s="978"/>
      <c r="C59" s="107"/>
      <c r="D59" s="107"/>
      <c r="E59" s="621">
        <v>15</v>
      </c>
      <c r="F59" s="50" cm="1" t="str">
        <f t="array" ref="F59:F59">OFFSET(E59,-1,1)</f>
        <v>0</v>
      </c>
      <c r="G59" s="107" t="s">
        <v>1931</v>
      </c>
      <c r="H59" s="857"/>
      <c r="I59" s="857" t="s">
        <v>2695</v>
      </c>
      <c r="J59" s="107"/>
      <c r="K59" s="378" t="s">
        <v>2695</v>
      </c>
      <c r="L59" s="980"/>
      <c r="M59" s="107"/>
      <c r="N59" s="107"/>
      <c r="O59" s="107"/>
      <c r="P59" s="107"/>
      <c r="Q59" s="107"/>
      <c r="R59" s="107"/>
      <c r="S59" s="107"/>
      <c r="T59" s="465" cm="1" t="str">
        <f t="array" ref="T59:T59">T58</f>
        <v>false</v>
      </c>
      <c r="U59" s="107"/>
      <c r="V59" s="107"/>
      <c r="W59" s="107"/>
      <c r="X59" s="1596"/>
      <c r="Y59" s="1278"/>
      <c r="Z59" s="1546"/>
      <c r="AA59" s="1278"/>
      <c r="AB59" s="300" t="s">
        <v>2696</v>
      </c>
      <c r="AC59" s="768" t="s">
        <v>1932</v>
      </c>
      <c r="AD59" s="300" t="s">
        <v>1514</v>
      </c>
      <c r="AE59" s="787">
        <f>_xlfn.SUMIFS(Административные!AE$25:AE$122,Административные!$F$25:$F$122,$F59,Административные!$G$25:$G$122,$G59)</f>
        <v>0</v>
      </c>
      <c r="AF59" s="787">
        <f>_xlfn.SUMIFS(Административные!AF$25:AF$122,Административные!$F$25:$F$122,$F59,Административные!$G$25:$G$122,$G59)</f>
        <v>0</v>
      </c>
      <c r="AG59" s="787">
        <f>_xlfn.SUMIFS(Административные!AG$25:AG$122,Административные!$F$25:$F$122,$F59,Административные!$G$25:$G$122,$G59)</f>
        <v>0</v>
      </c>
      <c r="AH59" s="767">
        <f>AG59-AF59</f>
        <v>0</v>
      </c>
      <c r="AI59" s="787">
        <f>_xlfn.SUMIFS(Административные!AH$25:AH$122,Административные!$F$25:$F$122,$F59,Административные!$G$25:$G$122,$G59)</f>
        <v>0</v>
      </c>
      <c r="AJ59" s="787">
        <f>_xlfn.SUMIFS(Административные!AI$25:AI$122,Административные!$F$25:$F$122,$F59,Административные!$G$25:$G$122,$G59)</f>
        <v>0</v>
      </c>
      <c r="AK59" s="763"/>
      <c r="AL59" s="763"/>
      <c r="AM59" s="763"/>
      <c r="AN59" s="763"/>
      <c r="AO59" s="763"/>
      <c r="AP59" s="763"/>
      <c r="AQ59" s="763"/>
      <c r="AR59" s="763"/>
      <c r="AS59" s="763"/>
      <c r="AT59" s="787">
        <f>_xlfn.SUMIFS(Административные!AJ$25:AJ$122,Административные!$F$25:$F$122,$F59,Административные!$G$25:$G$122,$G59)</f>
        <v>0</v>
      </c>
      <c r="AU59" s="1115"/>
      <c r="AV59" s="1115"/>
      <c r="AW59" s="1115"/>
      <c r="AX59" s="1115"/>
      <c r="AY59" s="1115"/>
      <c r="AZ59" s="1115"/>
      <c r="BA59" s="1115"/>
      <c r="BB59" s="1115"/>
      <c r="BC59" s="1115"/>
      <c r="BD59" s="1114">
        <f>IF(AI59=0,0,(AT59-AI59)/AI59*100)</f>
        <v>0</v>
      </c>
      <c r="BE59" s="1115"/>
      <c r="BF59" s="1115"/>
      <c r="BG59" s="1115"/>
      <c r="BH59" s="1115"/>
      <c r="BI59" s="1115"/>
      <c r="BJ59" s="1115"/>
      <c r="BK59" s="1115"/>
      <c r="BL59" s="1115"/>
      <c r="BM59" s="1115"/>
      <c r="BN59" s="1238"/>
      <c r="BO59" s="1242" t="str">
        <f>IF(_xlfn.IFERROR(INDEX(Административные!$K$26:$L$122,MATCH($F59&amp;"14komm",Административные!$K$26:$K$122,0),2),"")=0,"",_xlfn.IFERROR(INDEX(Административные!$K$26:$L$122,MATCH($F59&amp;"14komm",Административные!$K$26:$K$122,0),2),""))</f>
        <v/>
      </c>
      <c r="BP59" s="1238"/>
      <c r="BQ59" s="1278"/>
      <c r="BR59" s="1278"/>
      <c r="BS59" s="1064" t="s">
        <v>2697</v>
      </c>
      <c r="BT59" s="1064"/>
      <c r="BU59" s="1064"/>
      <c r="BV59" s="979"/>
      <c r="BW59" s="979"/>
    </row>
    <row customHeight="1" ht="14.625" hidden="1">
      <c r="A60" s="1278"/>
      <c r="B60" s="978"/>
      <c r="C60" s="107"/>
      <c r="D60" s="107"/>
      <c r="E60" s="621">
        <v>15</v>
      </c>
      <c r="F60" s="50" cm="1" t="str">
        <f t="array" ref="F60:F60">OFFSET(E60,-1,1)</f>
        <v>0</v>
      </c>
      <c r="G60" s="107" t="s">
        <v>1934</v>
      </c>
      <c r="H60" s="857"/>
      <c r="I60" s="857" t="s">
        <v>2698</v>
      </c>
      <c r="J60" s="107"/>
      <c r="K60" s="378" t="s">
        <v>2698</v>
      </c>
      <c r="L60" s="980"/>
      <c r="M60" s="107"/>
      <c r="N60" s="107"/>
      <c r="O60" s="107"/>
      <c r="P60" s="107"/>
      <c r="Q60" s="107"/>
      <c r="R60" s="107"/>
      <c r="S60" s="107"/>
      <c r="T60" s="465" cm="1" t="str">
        <f t="array" ref="T60:T60">T59</f>
        <v>false</v>
      </c>
      <c r="U60" s="107"/>
      <c r="V60" s="107"/>
      <c r="W60" s="107"/>
      <c r="X60" s="1596"/>
      <c r="Y60" s="1278"/>
      <c r="Z60" s="1546"/>
      <c r="AA60" s="1278"/>
      <c r="AB60" s="300" t="s">
        <v>2699</v>
      </c>
      <c r="AC60" s="768" t="s">
        <v>1937</v>
      </c>
      <c r="AD60" s="300" t="s">
        <v>1514</v>
      </c>
      <c r="AE60" s="1114">
        <f>_xlfn.SUMIFS(Административные!AE$25:AE$122,Административные!$F$25:$F$122,$F60,Административные!$G$25:$G$122,$G60)</f>
        <v>0</v>
      </c>
      <c r="AF60" s="1114">
        <f>_xlfn.SUMIFS(Административные!AF$25:AF$122,Административные!$F$25:$F$122,$F60,Административные!$G$25:$G$122,$G60)</f>
        <v>0</v>
      </c>
      <c r="AG60" s="1114">
        <f>_xlfn.SUMIFS(Административные!AG$25:AG$122,Административные!$F$25:$F$122,$F60,Административные!$G$25:$G$122,$G60)</f>
        <v>0</v>
      </c>
      <c r="AH60" s="1114">
        <f>AG60-AF60</f>
        <v>0</v>
      </c>
      <c r="AI60" s="1114">
        <f>_xlfn.SUMIFS(Административные!AH$25:AH$122,Административные!$F$25:$F$122,$F60,Административные!$G$25:$G$122,$G60)</f>
        <v>0</v>
      </c>
      <c r="AJ60" s="1114">
        <f>_xlfn.SUMIFS(Административные!AI$25:AI$122,Административные!$F$25:$F$122,$F60,Административные!$G$25:$G$122,$G60)</f>
        <v>0</v>
      </c>
      <c r="AK60" s="1115"/>
      <c r="AL60" s="1115"/>
      <c r="AM60" s="1115"/>
      <c r="AN60" s="1115"/>
      <c r="AO60" s="1115"/>
      <c r="AP60" s="1115"/>
      <c r="AQ60" s="1115"/>
      <c r="AR60" s="1115"/>
      <c r="AS60" s="1115"/>
      <c r="AT60" s="1114">
        <f>_xlfn.SUMIFS(Административные!AJ$25:AJ$122,Административные!$F$25:$F$122,$F60,Административные!$G$25:$G$122,$G60)</f>
        <v>0</v>
      </c>
      <c r="AU60" s="1115"/>
      <c r="AV60" s="1115"/>
      <c r="AW60" s="1115"/>
      <c r="AX60" s="1115"/>
      <c r="AY60" s="1115"/>
      <c r="AZ60" s="1115"/>
      <c r="BA60" s="1115"/>
      <c r="BB60" s="1115"/>
      <c r="BC60" s="1115"/>
      <c r="BD60" s="1114">
        <f>IF(AI60=0,0,(AT60-AI60)/AI60*100)</f>
        <v>0</v>
      </c>
      <c r="BE60" s="1115"/>
      <c r="BF60" s="1115"/>
      <c r="BG60" s="1115"/>
      <c r="BH60" s="1115"/>
      <c r="BI60" s="1115"/>
      <c r="BJ60" s="1115"/>
      <c r="BK60" s="1115"/>
      <c r="BL60" s="1115"/>
      <c r="BM60" s="1115"/>
      <c r="BN60" s="1238"/>
      <c r="BO60" s="1242" t="str">
        <f>IF(_xlfn.IFERROR(INDEX(Административные!$K$26:$L$122,MATCH($F60&amp;"15komm",Административные!$K$26:$K$122,0),2),"")=0,"",_xlfn.IFERROR(INDEX(Административные!$K$26:$L$122,MATCH($F60&amp;"15komm",Административные!$K$26:$K$122,0),2),""))</f>
        <v/>
      </c>
      <c r="BP60" s="1238"/>
      <c r="BQ60" s="1278"/>
      <c r="BR60" s="1278"/>
      <c r="BS60" s="1064" t="s">
        <v>1938</v>
      </c>
      <c r="BT60" s="1064"/>
      <c r="BU60" s="1064"/>
      <c r="BV60" s="979"/>
      <c r="BW60" s="979"/>
    </row>
    <row customHeight="1" ht="14.625" hidden="1">
      <c r="A61" s="1278"/>
      <c r="B61" s="978"/>
      <c r="C61" s="107"/>
      <c r="D61" s="107"/>
      <c r="E61" s="621">
        <v>15</v>
      </c>
      <c r="F61" s="50" cm="1" t="str">
        <f t="array" ref="F61:F61">OFFSET(E61,-1,1)</f>
        <v>0</v>
      </c>
      <c r="G61" s="107" t="s">
        <v>1939</v>
      </c>
      <c r="H61" s="857"/>
      <c r="I61" s="857" t="s">
        <v>2700</v>
      </c>
      <c r="J61" s="107"/>
      <c r="K61" s="378" t="s">
        <v>2700</v>
      </c>
      <c r="L61" s="980"/>
      <c r="M61" s="107"/>
      <c r="N61" s="107"/>
      <c r="O61" s="107"/>
      <c r="P61" s="107"/>
      <c r="Q61" s="107"/>
      <c r="R61" s="107"/>
      <c r="S61" s="107"/>
      <c r="T61" s="465" cm="1" t="str">
        <f t="array" ref="T61:T61">T60</f>
        <v>false</v>
      </c>
      <c r="U61" s="107"/>
      <c r="V61" s="107"/>
      <c r="W61" s="107"/>
      <c r="X61" s="1596"/>
      <c r="Y61" s="1278"/>
      <c r="Z61" s="1546"/>
      <c r="AA61" s="1278"/>
      <c r="AB61" s="300" t="s">
        <v>2701</v>
      </c>
      <c r="AC61" s="768" t="s">
        <v>1942</v>
      </c>
      <c r="AD61" s="300" t="s">
        <v>1514</v>
      </c>
      <c r="AE61" s="1114">
        <f>_xlfn.SUMIFS(Административные!AE$25:AE$122,Административные!$F$25:$F$122,$F61,Административные!$G$25:$G$122,$G61)</f>
        <v>0</v>
      </c>
      <c r="AF61" s="1114">
        <f>_xlfn.SUMIFS(Административные!AF$25:AF$122,Административные!$F$25:$F$122,$F61,Административные!$G$25:$G$122,$G61)</f>
        <v>0</v>
      </c>
      <c r="AG61" s="1114">
        <f>_xlfn.SUMIFS(Административные!AG$25:AG$122,Административные!$F$25:$F$122,$F61,Административные!$G$25:$G$122,$G61)</f>
        <v>0</v>
      </c>
      <c r="AH61" s="1114">
        <f>AG61-AF61</f>
        <v>0</v>
      </c>
      <c r="AI61" s="1114">
        <f>_xlfn.SUMIFS(Административные!AH$25:AH$122,Административные!$F$25:$F$122,$F61,Административные!$G$25:$G$122,$G61)</f>
        <v>0</v>
      </c>
      <c r="AJ61" s="1114">
        <f>_xlfn.SUMIFS(Административные!AI$25:AI$122,Административные!$F$25:$F$122,$F61,Административные!$G$25:$G$122,$G61)</f>
        <v>0</v>
      </c>
      <c r="AK61" s="1115"/>
      <c r="AL61" s="1115"/>
      <c r="AM61" s="1115"/>
      <c r="AN61" s="1115"/>
      <c r="AO61" s="1115"/>
      <c r="AP61" s="1115"/>
      <c r="AQ61" s="1115"/>
      <c r="AR61" s="1115"/>
      <c r="AS61" s="1115"/>
      <c r="AT61" s="1114">
        <f>_xlfn.SUMIFS(Административные!AJ$25:AJ$122,Административные!$F$25:$F$122,$F61,Административные!$G$25:$G$122,$G61)</f>
        <v>0</v>
      </c>
      <c r="AU61" s="1115"/>
      <c r="AV61" s="1115"/>
      <c r="AW61" s="1115"/>
      <c r="AX61" s="1115"/>
      <c r="AY61" s="1115"/>
      <c r="AZ61" s="1115"/>
      <c r="BA61" s="1115"/>
      <c r="BB61" s="1115"/>
      <c r="BC61" s="1115"/>
      <c r="BD61" s="1114">
        <f>IF(AI61=0,0,(AT61-AI61)/AI61*100)</f>
        <v>0</v>
      </c>
      <c r="BE61" s="1115"/>
      <c r="BF61" s="1115"/>
      <c r="BG61" s="1115"/>
      <c r="BH61" s="1115"/>
      <c r="BI61" s="1115"/>
      <c r="BJ61" s="1115"/>
      <c r="BK61" s="1115"/>
      <c r="BL61" s="1115"/>
      <c r="BM61" s="1115"/>
      <c r="BN61" s="1238"/>
      <c r="BO61" s="1242" t="str">
        <f>IF(_xlfn.IFERROR(INDEX(Административные!$K$26:$L$122,MATCH($F61&amp;"16komm",Административные!$K$26:$K$122,0),2),"")=0,"",_xlfn.IFERROR(INDEX(Административные!$K$26:$L$122,MATCH($F61&amp;"16komm",Административные!$K$26:$K$122,0),2),""))</f>
        <v/>
      </c>
      <c r="BP61" s="1238"/>
      <c r="BQ61" s="1278"/>
      <c r="BR61" s="1278"/>
      <c r="BS61" s="1064" t="s">
        <v>2702</v>
      </c>
      <c r="BT61" s="1064"/>
      <c r="BU61" s="1064"/>
      <c r="BV61" s="979"/>
      <c r="BW61" s="979"/>
    </row>
    <row customHeight="1" ht="21.9375" hidden="1">
      <c r="A62" s="1278"/>
      <c r="B62" s="978"/>
      <c r="C62" s="107"/>
      <c r="D62" s="107"/>
      <c r="E62" s="621">
        <v>22.5</v>
      </c>
      <c r="F62" s="50" cm="1" t="str">
        <f t="array" ref="F62:F62">OFFSET(E62,-1,1)</f>
        <v>0</v>
      </c>
      <c r="G62" s="107"/>
      <c r="H62" s="857"/>
      <c r="I62" s="857" t="s">
        <v>2096</v>
      </c>
      <c r="J62" s="107"/>
      <c r="K62" s="378" t="s">
        <v>2096</v>
      </c>
      <c r="L62" s="980" t="s">
        <v>1660</v>
      </c>
      <c r="M62" s="107"/>
      <c r="N62" s="107"/>
      <c r="O62" s="107"/>
      <c r="P62" s="107"/>
      <c r="Q62" s="107"/>
      <c r="R62" s="107"/>
      <c r="S62" s="107"/>
      <c r="T62" s="465" cm="1" t="str">
        <f t="array" ref="T62:T62">T61</f>
        <v>false</v>
      </c>
      <c r="U62" s="107"/>
      <c r="V62" s="107"/>
      <c r="W62" s="107"/>
      <c r="X62" s="1596"/>
      <c r="Y62" s="1278"/>
      <c r="Z62" s="1546"/>
      <c r="AA62" s="1278"/>
      <c r="AB62" s="300" t="s">
        <v>1755</v>
      </c>
      <c r="AC62" s="765" t="s">
        <v>2703</v>
      </c>
      <c r="AD62" s="300" t="s">
        <v>1514</v>
      </c>
      <c r="AE62" s="1116">
        <f>AE63+AE64</f>
        <v>0</v>
      </c>
      <c r="AF62" s="1116">
        <f>AF63+AF64</f>
        <v>0</v>
      </c>
      <c r="AG62" s="1116">
        <f>AG63+AG64</f>
        <v>0</v>
      </c>
      <c r="AH62" s="1114">
        <f>AG62-AF62</f>
        <v>0</v>
      </c>
      <c r="AI62" s="1116">
        <f>AI63+AI64</f>
        <v>0</v>
      </c>
      <c r="AJ62" s="1116">
        <f>AJ63+AJ64</f>
        <v>0</v>
      </c>
      <c r="AK62" s="1115"/>
      <c r="AL62" s="1115"/>
      <c r="AM62" s="1115"/>
      <c r="AN62" s="1115"/>
      <c r="AO62" s="1115"/>
      <c r="AP62" s="1115"/>
      <c r="AQ62" s="1115"/>
      <c r="AR62" s="1115"/>
      <c r="AS62" s="1115"/>
      <c r="AT62" s="1116">
        <f>AT63+AT64</f>
        <v>0</v>
      </c>
      <c r="AU62" s="1115"/>
      <c r="AV62" s="1115"/>
      <c r="AW62" s="1115"/>
      <c r="AX62" s="1115"/>
      <c r="AY62" s="1115"/>
      <c r="AZ62" s="1115"/>
      <c r="BA62" s="1115"/>
      <c r="BB62" s="1115"/>
      <c r="BC62" s="1115"/>
      <c r="BD62" s="1114">
        <f>IF(AI62=0,0,(AT62-AI62)/AI62*100)</f>
        <v>0</v>
      </c>
      <c r="BE62" s="1115"/>
      <c r="BF62" s="1115"/>
      <c r="BG62" s="1115"/>
      <c r="BH62" s="1115"/>
      <c r="BI62" s="1115"/>
      <c r="BJ62" s="1115"/>
      <c r="BK62" s="1115"/>
      <c r="BL62" s="1115"/>
      <c r="BM62" s="1115"/>
      <c r="BN62" s="1238"/>
      <c r="BO62" s="1238"/>
      <c r="BP62" s="1238"/>
      <c r="BQ62" s="1278"/>
      <c r="BR62" s="1278"/>
      <c r="BS62" s="1062" t="s">
        <v>2517</v>
      </c>
      <c r="BT62" s="1064"/>
      <c r="BU62" s="1064"/>
      <c r="BV62" s="979"/>
      <c r="BW62" s="979"/>
    </row>
    <row customHeight="1" ht="14.625" hidden="1">
      <c r="A63" s="1278"/>
      <c r="B63" s="978"/>
      <c r="C63" s="107"/>
      <c r="D63" s="107"/>
      <c r="E63" s="621">
        <v>15</v>
      </c>
      <c r="F63" s="50" cm="1" t="str">
        <f t="array" ref="F63:F63">OFFSET(E63,-1,1)</f>
        <v>0</v>
      </c>
      <c r="G63" s="107" t="s">
        <v>1889</v>
      </c>
      <c r="H63" s="857"/>
      <c r="I63" s="857" t="s">
        <v>2704</v>
      </c>
      <c r="J63" s="107"/>
      <c r="K63" s="378" t="s">
        <v>2704</v>
      </c>
      <c r="L63" s="980" t="s">
        <v>1211</v>
      </c>
      <c r="M63" s="107"/>
      <c r="N63" s="107"/>
      <c r="O63" s="107"/>
      <c r="P63" s="107"/>
      <c r="Q63" s="107"/>
      <c r="R63" s="107"/>
      <c r="S63" s="107"/>
      <c r="T63" s="465" cm="1" t="str">
        <f t="array" ref="T63:T63">T62</f>
        <v>false</v>
      </c>
      <c r="U63" s="107"/>
      <c r="V63" s="107"/>
      <c r="W63" s="107"/>
      <c r="X63" s="1596"/>
      <c r="Y63" s="1278"/>
      <c r="Z63" s="1546"/>
      <c r="AA63" s="1278"/>
      <c r="AB63" s="300" t="s">
        <v>2705</v>
      </c>
      <c r="AC63" s="768" t="s">
        <v>2518</v>
      </c>
      <c r="AD63" s="771" t="s">
        <v>1514</v>
      </c>
      <c r="AE63" s="1114">
        <f>_xlfn.SUMIFS(ФОТ!AE$25:AE$188,ФОТ!$F$25:$F$188,$F63,ФОТ!$G$25:$G$188,$G63)</f>
        <v>0</v>
      </c>
      <c r="AF63" s="1114">
        <f>_xlfn.SUMIFS(ФОТ!AF$25:AF$188,ФОТ!$F$25:$F$188,$F63,ФОТ!$G$25:$G$188,$G63)</f>
        <v>0</v>
      </c>
      <c r="AG63" s="1114">
        <f>_xlfn.SUMIFS(ФОТ!AG$25:AG$188,ФОТ!$F$25:$F$188,$F63,ФОТ!$G$25:$G$188,$G63)</f>
        <v>0</v>
      </c>
      <c r="AH63" s="1114">
        <f>AG63-AF63</f>
        <v>0</v>
      </c>
      <c r="AI63" s="1114">
        <f>_xlfn.SUMIFS(ФОТ!AH$25:AH$188,ФОТ!$F$25:$F$188,$F63,ФОТ!$G$25:$G$188,$G63)</f>
        <v>0</v>
      </c>
      <c r="AJ63" s="1114">
        <f>_xlfn.SUMIFS(ФОТ!AI$25:AI$188,ФОТ!$F$25:$F$188,$F63,ФОТ!$G$25:$G$188,$G63)</f>
        <v>0</v>
      </c>
      <c r="AK63" s="1115"/>
      <c r="AL63" s="1115"/>
      <c r="AM63" s="1115"/>
      <c r="AN63" s="1115"/>
      <c r="AO63" s="1115"/>
      <c r="AP63" s="1115"/>
      <c r="AQ63" s="1115"/>
      <c r="AR63" s="1115"/>
      <c r="AS63" s="1115"/>
      <c r="AT63" s="1114">
        <f>_xlfn.SUMIFS(ФОТ!AJ$25:AJ$188,ФОТ!$F$25:$F$188,$F63,ФОТ!$G$25:$G$188,$G63)</f>
        <v>0</v>
      </c>
      <c r="AU63" s="1115"/>
      <c r="AV63" s="1115"/>
      <c r="AW63" s="1115"/>
      <c r="AX63" s="1115"/>
      <c r="AY63" s="1115"/>
      <c r="AZ63" s="1115"/>
      <c r="BA63" s="1115"/>
      <c r="BB63" s="1115"/>
      <c r="BC63" s="1115"/>
      <c r="BD63" s="1114">
        <f>IF(AI63=0,0,(AT63-AI63)/AI63*100)</f>
        <v>0</v>
      </c>
      <c r="BE63" s="1115"/>
      <c r="BF63" s="1115"/>
      <c r="BG63" s="1115"/>
      <c r="BH63" s="1115"/>
      <c r="BI63" s="1115"/>
      <c r="BJ63" s="1115"/>
      <c r="BK63" s="1115"/>
      <c r="BL63" s="1115"/>
      <c r="BM63" s="1115"/>
      <c r="BN63" s="1238"/>
      <c r="BO63" s="1242" t="str">
        <f>IF(_xlfn.IFERROR(INDEX(ФОТ!$K$26:$L$188,MATCH($F63&amp;"5komm",ФОТ!$K$26:$K$188,0),2),"")=0,"",_xlfn.IFERROR(INDEX(ФОТ!$K$26:$L$188,MATCH($F63&amp;"5komm",ФОТ!$K$26:$K$188,0),2),""))</f>
        <v/>
      </c>
      <c r="BP63" s="1238"/>
      <c r="BQ63" s="1278"/>
      <c r="BR63" s="1278"/>
      <c r="BS63" s="1062" t="s">
        <v>1915</v>
      </c>
      <c r="BT63" s="1064"/>
      <c r="BU63" s="1064"/>
      <c r="BV63" s="979"/>
      <c r="BW63" s="979"/>
    </row>
    <row customHeight="1" ht="21.9375" hidden="1">
      <c r="A64" s="1278"/>
      <c r="B64" s="978"/>
      <c r="C64" s="107"/>
      <c r="D64" s="107"/>
      <c r="E64" s="621">
        <v>22.5</v>
      </c>
      <c r="F64" s="50" cm="1" t="str">
        <f t="array" ref="F64:F64">OFFSET(E64,-1,1)</f>
        <v>0</v>
      </c>
      <c r="G64" s="107" t="s">
        <v>1894</v>
      </c>
      <c r="H64" s="857"/>
      <c r="I64" s="857" t="s">
        <v>2706</v>
      </c>
      <c r="J64" s="107"/>
      <c r="K64" s="378" t="s">
        <v>2706</v>
      </c>
      <c r="L64" s="980" t="s">
        <v>1216</v>
      </c>
      <c r="M64" s="107"/>
      <c r="N64" s="107"/>
      <c r="O64" s="107"/>
      <c r="P64" s="107"/>
      <c r="Q64" s="107"/>
      <c r="R64" s="107"/>
      <c r="S64" s="107"/>
      <c r="T64" s="465" cm="1" t="str">
        <f t="array" ref="T64:T64">T63</f>
        <v>false</v>
      </c>
      <c r="U64" s="107"/>
      <c r="V64" s="107"/>
      <c r="W64" s="107"/>
      <c r="X64" s="1596"/>
      <c r="Y64" s="1278"/>
      <c r="Z64" s="1546"/>
      <c r="AA64" s="1278"/>
      <c r="AB64" s="300" t="s">
        <v>2707</v>
      </c>
      <c r="AC64" s="768" t="s">
        <v>2708</v>
      </c>
      <c r="AD64" s="300" t="s">
        <v>1514</v>
      </c>
      <c r="AE64" s="1114">
        <f>_xlfn.SUMIFS(ФОТ!AE$25:AE$188,ФОТ!$F$25:$F$188,$F64,ФОТ!$G$25:$G$188,$G64)</f>
        <v>0</v>
      </c>
      <c r="AF64" s="1114">
        <f>_xlfn.SUMIFS(ФОТ!AF$25:AF$188,ФОТ!$F$25:$F$188,$F64,ФОТ!$G$25:$G$188,$G64)</f>
        <v>0</v>
      </c>
      <c r="AG64" s="1114">
        <f>_xlfn.SUMIFS(ФОТ!AG$25:AG$188,ФОТ!$F$25:$F$188,$F64,ФОТ!$G$25:$G$188,$G64)</f>
        <v>0</v>
      </c>
      <c r="AH64" s="1114">
        <f>AG64-AF64</f>
        <v>0</v>
      </c>
      <c r="AI64" s="1114">
        <f>_xlfn.SUMIFS(ФОТ!AH$25:AH$188,ФОТ!$F$25:$F$188,$F64,ФОТ!$G$25:$G$188,$G64)</f>
        <v>0</v>
      </c>
      <c r="AJ64" s="1114">
        <f>_xlfn.SUMIFS(ФОТ!AI$25:AI$188,ФОТ!$F$25:$F$188,$F64,ФОТ!$G$25:$G$188,$G64)</f>
        <v>0</v>
      </c>
      <c r="AK64" s="1115"/>
      <c r="AL64" s="1115"/>
      <c r="AM64" s="1115"/>
      <c r="AN64" s="1115"/>
      <c r="AO64" s="1115"/>
      <c r="AP64" s="1115"/>
      <c r="AQ64" s="1115"/>
      <c r="AR64" s="1115"/>
      <c r="AS64" s="1115"/>
      <c r="AT64" s="1114">
        <f>_xlfn.SUMIFS(ФОТ!AJ$25:AJ$188,ФОТ!$F$25:$F$188,$F64,ФОТ!$G$25:$G$188,$G64)</f>
        <v>0</v>
      </c>
      <c r="AU64" s="1115"/>
      <c r="AV64" s="1115"/>
      <c r="AW64" s="1115"/>
      <c r="AX64" s="1115"/>
      <c r="AY64" s="1115"/>
      <c r="AZ64" s="1115"/>
      <c r="BA64" s="1115"/>
      <c r="BB64" s="1115"/>
      <c r="BC64" s="1115"/>
      <c r="BD64" s="1114">
        <f>IF(AI64=0,0,(AT64-AI64)/AI64*100)</f>
        <v>0</v>
      </c>
      <c r="BE64" s="1115"/>
      <c r="BF64" s="1115"/>
      <c r="BG64" s="1115"/>
      <c r="BH64" s="1115"/>
      <c r="BI64" s="1115"/>
      <c r="BJ64" s="1115"/>
      <c r="BK64" s="1115"/>
      <c r="BL64" s="1115"/>
      <c r="BM64" s="1115"/>
      <c r="BN64" s="1238"/>
      <c r="BO64" s="1242" t="str">
        <f>IF(_xlfn.IFERROR(INDEX(ФОТ!$K$26:$L$188,MATCH($F64&amp;"6komm",ФОТ!$K$26:$K$188,0),2),"")=0,"",_xlfn.IFERROR(INDEX(ФОТ!$K$26:$L$188,MATCH($F64&amp;"6komm",ФОТ!$K$26:$K$188,0),2),""))</f>
        <v/>
      </c>
      <c r="BP64" s="1238"/>
      <c r="BQ64" s="1278"/>
      <c r="BR64" s="1278"/>
      <c r="BS64" s="1062" t="s">
        <v>2520</v>
      </c>
      <c r="BT64" s="1064"/>
      <c r="BU64" s="1064"/>
      <c r="BV64" s="979"/>
      <c r="BW64" s="979"/>
    </row>
    <row customHeight="1" ht="32.90625" hidden="1">
      <c r="A65" s="1278"/>
      <c r="B65" s="978"/>
      <c r="C65" s="107"/>
      <c r="D65" s="107"/>
      <c r="E65" s="621">
        <v>33.75</v>
      </c>
      <c r="F65" s="50" cm="1" t="str">
        <f t="array" ref="F65:F65">OFFSET(E65,-1,1)</f>
        <v>0</v>
      </c>
      <c r="G65" s="848" t="s">
        <v>1944</v>
      </c>
      <c r="H65" s="857"/>
      <c r="I65" s="857" t="s">
        <v>2099</v>
      </c>
      <c r="J65" s="107"/>
      <c r="K65" s="378" t="s">
        <v>2099</v>
      </c>
      <c r="L65" s="980" t="s">
        <v>1662</v>
      </c>
      <c r="M65" s="107"/>
      <c r="N65" s="107"/>
      <c r="O65" s="107"/>
      <c r="P65" s="107"/>
      <c r="Q65" s="107"/>
      <c r="R65" s="107"/>
      <c r="S65" s="107"/>
      <c r="T65" s="465" cm="1" t="str">
        <f t="array" ref="T65:T65">T64</f>
        <v>false</v>
      </c>
      <c r="U65" s="107"/>
      <c r="V65" s="107"/>
      <c r="W65" s="107"/>
      <c r="X65" s="1596"/>
      <c r="Y65" s="1278"/>
      <c r="Z65" s="1546"/>
      <c r="AA65" s="1278"/>
      <c r="AB65" s="300" t="s">
        <v>2100</v>
      </c>
      <c r="AC65" s="765" t="s">
        <v>2709</v>
      </c>
      <c r="AD65" s="300" t="s">
        <v>1514</v>
      </c>
      <c r="AE65" s="1114">
        <f>_xlfn.SUMIFS(Административные!AE$25:AE$122,Административные!$F$25:$F$122,$F65,Административные!$G$25:$G$122,$G65)</f>
        <v>0</v>
      </c>
      <c r="AF65" s="1114">
        <f>_xlfn.SUMIFS(Административные!AF$25:AF$122,Административные!$F$25:$F$122,$F65,Административные!$G$25:$G$122,$G65)</f>
        <v>0</v>
      </c>
      <c r="AG65" s="1114">
        <f>_xlfn.SUMIFS(Административные!AG$25:AG$122,Административные!$F$25:$F$122,$F65,Административные!$G$25:$G$122,$G65)</f>
        <v>0</v>
      </c>
      <c r="AH65" s="1114">
        <f>AG65-AF65</f>
        <v>0</v>
      </c>
      <c r="AI65" s="1114">
        <f>_xlfn.SUMIFS(Административные!AH$25:AH$122,Административные!$F$25:$F$122,$F65,Административные!$G$25:$G$122,$G65)</f>
        <v>0</v>
      </c>
      <c r="AJ65" s="1114">
        <f>_xlfn.SUMIFS(Административные!AI$25:AI$122,Административные!$F$25:$F$122,$F65,Административные!$G$25:$G$122,$G65)</f>
        <v>0</v>
      </c>
      <c r="AK65" s="1115"/>
      <c r="AL65" s="1115"/>
      <c r="AM65" s="1115"/>
      <c r="AN65" s="1115"/>
      <c r="AO65" s="1115"/>
      <c r="AP65" s="1115"/>
      <c r="AQ65" s="1115"/>
      <c r="AR65" s="1115"/>
      <c r="AS65" s="1115"/>
      <c r="AT65" s="1114">
        <f>_xlfn.SUMIFS(Административные!AJ$25:AJ$122,Административные!$F$25:$F$122,$F65,Административные!$G$25:$G$122,$G65)</f>
        <v>0</v>
      </c>
      <c r="AU65" s="1115"/>
      <c r="AV65" s="1115"/>
      <c r="AW65" s="1115"/>
      <c r="AX65" s="1115"/>
      <c r="AY65" s="1115"/>
      <c r="AZ65" s="1115"/>
      <c r="BA65" s="1115"/>
      <c r="BB65" s="1115"/>
      <c r="BC65" s="1115"/>
      <c r="BD65" s="1114">
        <f>IF(AI65=0,0,(AT65-AI65)/AI65*100)</f>
        <v>0</v>
      </c>
      <c r="BE65" s="1115"/>
      <c r="BF65" s="1115"/>
      <c r="BG65" s="1115"/>
      <c r="BH65" s="1115"/>
      <c r="BI65" s="1115"/>
      <c r="BJ65" s="1115"/>
      <c r="BK65" s="1115"/>
      <c r="BL65" s="1115"/>
      <c r="BM65" s="1115"/>
      <c r="BN65" s="1238"/>
      <c r="BO65" s="1242" t="str">
        <f>IF(_xlfn.IFERROR(INDEX(Административные!$K$26:$L$122,MATCH($F65&amp;"2komm",Административные!$K$26:$K$122,0),2),"")=0,"",_xlfn.IFERROR(INDEX(Административные!$K$26:$L$122,MATCH($F65&amp;"2komm",Административные!$K$26:$K$122,0),2),""))</f>
        <v/>
      </c>
      <c r="BP65" s="1238"/>
      <c r="BQ65" s="1278"/>
      <c r="BR65" s="1278"/>
      <c r="BS65" s="1062" t="s">
        <v>1946</v>
      </c>
      <c r="BT65" s="1064"/>
      <c r="BU65" s="1064"/>
      <c r="BV65" s="979"/>
      <c r="BW65" s="979"/>
    </row>
    <row customHeight="1" ht="14.625" hidden="1">
      <c r="A66" s="1278"/>
      <c r="B66" s="978"/>
      <c r="C66" s="107"/>
      <c r="D66" s="107"/>
      <c r="E66" s="621">
        <v>15</v>
      </c>
      <c r="F66" s="50" cm="1" t="str">
        <f t="array" ref="F66:F66">OFFSET(E66,-1,1)</f>
        <v>0</v>
      </c>
      <c r="G66" s="848" t="s">
        <v>1947</v>
      </c>
      <c r="H66" s="857"/>
      <c r="I66" s="857" t="s">
        <v>2103</v>
      </c>
      <c r="J66" s="107"/>
      <c r="K66" s="378" t="s">
        <v>2103</v>
      </c>
      <c r="L66" s="980" t="s">
        <v>1664</v>
      </c>
      <c r="M66" s="107"/>
      <c r="N66" s="107"/>
      <c r="O66" s="107"/>
      <c r="P66" s="107"/>
      <c r="Q66" s="107"/>
      <c r="R66" s="107"/>
      <c r="S66" s="107"/>
      <c r="T66" s="465" cm="1" t="str">
        <f t="array" ref="T66:T66">T65</f>
        <v>false</v>
      </c>
      <c r="U66" s="107"/>
      <c r="V66" s="107"/>
      <c r="W66" s="107"/>
      <c r="X66" s="1596"/>
      <c r="Y66" s="1278"/>
      <c r="Z66" s="1546"/>
      <c r="AA66" s="1278"/>
      <c r="AB66" s="300" t="s">
        <v>2104</v>
      </c>
      <c r="AC66" s="765" t="s">
        <v>2710</v>
      </c>
      <c r="AD66" s="300" t="s">
        <v>1514</v>
      </c>
      <c r="AE66" s="1114">
        <f>_xlfn.SUMIFS(Административные!AE$25:AE$122,Административные!$F$25:$F$122,$F66,Административные!$G$25:$G$122,$G66)</f>
        <v>0</v>
      </c>
      <c r="AF66" s="1114">
        <f>_xlfn.SUMIFS(Административные!AF$25:AF$122,Административные!$F$25:$F$122,$F66,Административные!$G$25:$G$122,$G66)</f>
        <v>0</v>
      </c>
      <c r="AG66" s="1114">
        <f>_xlfn.SUMIFS(Административные!AG$25:AG$122,Административные!$F$25:$F$122,$F66,Административные!$G$25:$G$122,$G66)</f>
        <v>0</v>
      </c>
      <c r="AH66" s="1114">
        <f>AG66-AF66</f>
        <v>0</v>
      </c>
      <c r="AI66" s="1114">
        <f>_xlfn.SUMIFS(Административные!AH$25:AH$122,Административные!$F$25:$F$122,$F66,Административные!$G$25:$G$122,$G66)</f>
        <v>0</v>
      </c>
      <c r="AJ66" s="1114">
        <f>_xlfn.SUMIFS(Административные!AI$25:AI$122,Административные!$F$25:$F$122,$F66,Административные!$G$25:$G$122,$G66)</f>
        <v>0</v>
      </c>
      <c r="AK66" s="1115"/>
      <c r="AL66" s="1115"/>
      <c r="AM66" s="1115"/>
      <c r="AN66" s="1115"/>
      <c r="AO66" s="1115"/>
      <c r="AP66" s="1115"/>
      <c r="AQ66" s="1115"/>
      <c r="AR66" s="1115"/>
      <c r="AS66" s="1115"/>
      <c r="AT66" s="1114">
        <f>_xlfn.SUMIFS(Административные!AJ$25:AJ$122,Административные!$F$25:$F$122,$F66,Административные!$G$25:$G$122,$G66)</f>
        <v>0</v>
      </c>
      <c r="AU66" s="1115"/>
      <c r="AV66" s="1115"/>
      <c r="AW66" s="1115"/>
      <c r="AX66" s="1115"/>
      <c r="AY66" s="1115"/>
      <c r="AZ66" s="1115"/>
      <c r="BA66" s="1115"/>
      <c r="BB66" s="1115"/>
      <c r="BC66" s="1115"/>
      <c r="BD66" s="1114">
        <f>IF(AI66=0,0,(AT66-AI66)/AI66*100)</f>
        <v>0</v>
      </c>
      <c r="BE66" s="1115"/>
      <c r="BF66" s="1115"/>
      <c r="BG66" s="1115"/>
      <c r="BH66" s="1115"/>
      <c r="BI66" s="1115"/>
      <c r="BJ66" s="1115"/>
      <c r="BK66" s="1115"/>
      <c r="BL66" s="1115"/>
      <c r="BM66" s="1115"/>
      <c r="BN66" s="1238"/>
      <c r="BO66" s="1242" t="str">
        <f>IF(_xlfn.IFERROR(INDEX(Административные!$K$26:$L$122,MATCH($F66&amp;"3komm",Административные!$K$26:$K$122,0),2),"")=0,"",_xlfn.IFERROR(INDEX(Административные!$K$26:$L$122,MATCH($F66&amp;"3komm",Административные!$K$26:$K$122,0),2),""))</f>
        <v/>
      </c>
      <c r="BP66" s="1238"/>
      <c r="BQ66" s="1278"/>
      <c r="BR66" s="1278"/>
      <c r="BS66" s="1062" t="s">
        <v>1949</v>
      </c>
      <c r="BT66" s="1064"/>
      <c r="BU66" s="1064"/>
      <c r="BV66" s="979"/>
      <c r="BW66" s="979"/>
    </row>
    <row customHeight="1" ht="14.625" hidden="1">
      <c r="A67" s="1278"/>
      <c r="B67" s="978"/>
      <c r="C67" s="107"/>
      <c r="D67" s="107"/>
      <c r="E67" s="621">
        <v>15</v>
      </c>
      <c r="F67" s="50" cm="1" t="str">
        <f t="array" ref="F67:F67">OFFSET(E67,-1,1)</f>
        <v>0</v>
      </c>
      <c r="G67" s="848" t="s">
        <v>1950</v>
      </c>
      <c r="H67" s="857"/>
      <c r="I67" s="857" t="s">
        <v>2711</v>
      </c>
      <c r="J67" s="107"/>
      <c r="K67" s="378" t="s">
        <v>2711</v>
      </c>
      <c r="L67" s="980" t="s">
        <v>1667</v>
      </c>
      <c r="M67" s="107"/>
      <c r="N67" s="107"/>
      <c r="O67" s="107"/>
      <c r="P67" s="107"/>
      <c r="Q67" s="107"/>
      <c r="R67" s="107"/>
      <c r="S67" s="107"/>
      <c r="T67" s="465" cm="1" t="str">
        <f t="array" ref="T67:T67">T66</f>
        <v>false</v>
      </c>
      <c r="U67" s="107"/>
      <c r="V67" s="107"/>
      <c r="W67" s="107"/>
      <c r="X67" s="1596"/>
      <c r="Y67" s="1278"/>
      <c r="Z67" s="1546"/>
      <c r="AA67" s="1278"/>
      <c r="AB67" s="300" t="s">
        <v>2712</v>
      </c>
      <c r="AC67" s="765" t="s">
        <v>2713</v>
      </c>
      <c r="AD67" s="300" t="s">
        <v>1514</v>
      </c>
      <c r="AE67" s="1114">
        <f>_xlfn.SUMIFS(Административные!AE$25:AE$122,Административные!$F$25:$F$122,$F67,Административные!$G$25:$G$122,$G67)</f>
        <v>0</v>
      </c>
      <c r="AF67" s="1114">
        <f>_xlfn.SUMIFS(Административные!AF$25:AF$122,Административные!$F$25:$F$122,$F67,Административные!$G$25:$G$122,$G67)</f>
        <v>0</v>
      </c>
      <c r="AG67" s="1114">
        <f>_xlfn.SUMIFS(Административные!AG$25:AG$122,Административные!$F$25:$F$122,$F67,Административные!$G$25:$G$122,$G67)</f>
        <v>0</v>
      </c>
      <c r="AH67" s="1114">
        <f>AG67-AF67</f>
        <v>0</v>
      </c>
      <c r="AI67" s="1114">
        <f>_xlfn.SUMIFS(Административные!AH$25:AH$122,Административные!$F$25:$F$122,$F67,Административные!$G$25:$G$122,$G67)</f>
        <v>0</v>
      </c>
      <c r="AJ67" s="1114">
        <f>_xlfn.SUMIFS(Административные!AI$25:AI$122,Административные!$F$25:$F$122,$F67,Административные!$G$25:$G$122,$G67)</f>
        <v>0</v>
      </c>
      <c r="AK67" s="1115"/>
      <c r="AL67" s="1115"/>
      <c r="AM67" s="1115"/>
      <c r="AN67" s="1115"/>
      <c r="AO67" s="1115"/>
      <c r="AP67" s="1115"/>
      <c r="AQ67" s="1115"/>
      <c r="AR67" s="1115"/>
      <c r="AS67" s="1115"/>
      <c r="AT67" s="1114">
        <f>_xlfn.SUMIFS(Административные!AJ$25:AJ$122,Административные!$F$25:$F$122,$F67,Административные!$G$25:$G$122,$G67)</f>
        <v>0</v>
      </c>
      <c r="AU67" s="1115"/>
      <c r="AV67" s="1115"/>
      <c r="AW67" s="1115"/>
      <c r="AX67" s="1115"/>
      <c r="AY67" s="1115"/>
      <c r="AZ67" s="1115"/>
      <c r="BA67" s="1115"/>
      <c r="BB67" s="1115"/>
      <c r="BC67" s="1115"/>
      <c r="BD67" s="1114">
        <f>IF(AI67=0,0,(AT67-AI67)/AI67*100)</f>
        <v>0</v>
      </c>
      <c r="BE67" s="1115"/>
      <c r="BF67" s="1115"/>
      <c r="BG67" s="1115"/>
      <c r="BH67" s="1115"/>
      <c r="BI67" s="1115"/>
      <c r="BJ67" s="1115"/>
      <c r="BK67" s="1115"/>
      <c r="BL67" s="1115"/>
      <c r="BM67" s="1115"/>
      <c r="BN67" s="1238"/>
      <c r="BO67" s="1242" t="str">
        <f>IF(_xlfn.IFERROR(INDEX(Административные!$K$26:$L$122,MATCH($F67&amp;"4komm",Административные!$K$26:$K$122,0),2),"")=0,"",_xlfn.IFERROR(INDEX(Административные!$K$26:$L$122,MATCH($F67&amp;"4komm",Административные!$K$26:$K$122,0),2),""))</f>
        <v/>
      </c>
      <c r="BP67" s="1238"/>
      <c r="BQ67" s="1278"/>
      <c r="BR67" s="1278"/>
      <c r="BS67" s="1062" t="s">
        <v>1952</v>
      </c>
      <c r="BT67" s="1064"/>
      <c r="BU67" s="1064"/>
      <c r="BV67" s="979"/>
      <c r="BW67" s="979"/>
    </row>
    <row customHeight="1" ht="14.625" hidden="1">
      <c r="A68" s="1278"/>
      <c r="B68" s="978"/>
      <c r="C68" s="107"/>
      <c r="D68" s="107"/>
      <c r="E68" s="621">
        <v>15</v>
      </c>
      <c r="F68" s="50" cm="1" t="str">
        <f t="array" ref="F68:F68">OFFSET(E68,-1,1)</f>
        <v>0</v>
      </c>
      <c r="G68" s="848" t="s">
        <v>1953</v>
      </c>
      <c r="H68" s="857"/>
      <c r="I68" s="857" t="s">
        <v>2714</v>
      </c>
      <c r="J68" s="107"/>
      <c r="K68" s="378" t="s">
        <v>2714</v>
      </c>
      <c r="L68" s="980" t="s">
        <v>1935</v>
      </c>
      <c r="M68" s="107"/>
      <c r="N68" s="107"/>
      <c r="O68" s="107"/>
      <c r="P68" s="107"/>
      <c r="Q68" s="107"/>
      <c r="R68" s="107"/>
      <c r="S68" s="107"/>
      <c r="T68" s="465" cm="1" t="str">
        <f t="array" ref="T68:T68">T67</f>
        <v>false</v>
      </c>
      <c r="U68" s="107"/>
      <c r="V68" s="107"/>
      <c r="W68" s="107"/>
      <c r="X68" s="1596"/>
      <c r="Y68" s="1278"/>
      <c r="Z68" s="1546"/>
      <c r="AA68" s="1278"/>
      <c r="AB68" s="300" t="s">
        <v>2715</v>
      </c>
      <c r="AC68" s="765" t="s">
        <v>2716</v>
      </c>
      <c r="AD68" s="300" t="s">
        <v>1514</v>
      </c>
      <c r="AE68" s="1114">
        <f>_xlfn.SUMIFS(Административные!AE$25:AE$122,Административные!$F$25:$F$122,$F68,Административные!$G$25:$G$122,$G68)</f>
        <v>0</v>
      </c>
      <c r="AF68" s="1114">
        <f>_xlfn.SUMIFS(Административные!AF$25:AF$122,Административные!$F$25:$F$122,$F68,Административные!$G$25:$G$122,$G68)</f>
        <v>0</v>
      </c>
      <c r="AG68" s="1114">
        <f>_xlfn.SUMIFS(Административные!AG$25:AG$122,Административные!$F$25:$F$122,$F68,Административные!$G$25:$G$122,$G68)</f>
        <v>0</v>
      </c>
      <c r="AH68" s="1114">
        <f>AG68-AF68</f>
        <v>0</v>
      </c>
      <c r="AI68" s="1114">
        <f>_xlfn.SUMIFS(Административные!AH$25:AH$122,Административные!$F$25:$F$122,$F68,Административные!$G$25:$G$122,$G68)</f>
        <v>0</v>
      </c>
      <c r="AJ68" s="1114">
        <f>_xlfn.SUMIFS(Административные!AI$25:AI$122,Административные!$F$25:$F$122,$F68,Административные!$G$25:$G$122,$G68)</f>
        <v>0</v>
      </c>
      <c r="AK68" s="1115"/>
      <c r="AL68" s="1115"/>
      <c r="AM68" s="1115"/>
      <c r="AN68" s="1115"/>
      <c r="AO68" s="1115"/>
      <c r="AP68" s="1115"/>
      <c r="AQ68" s="1115"/>
      <c r="AR68" s="1115"/>
      <c r="AS68" s="1115"/>
      <c r="AT68" s="1114">
        <f>_xlfn.SUMIFS(Административные!AJ$25:AJ$122,Административные!$F$25:$F$122,$F68,Административные!$G$25:$G$122,$G68)</f>
        <v>0</v>
      </c>
      <c r="AU68" s="1115"/>
      <c r="AV68" s="1115"/>
      <c r="AW68" s="1115"/>
      <c r="AX68" s="1115"/>
      <c r="AY68" s="1115"/>
      <c r="AZ68" s="1115"/>
      <c r="BA68" s="1115"/>
      <c r="BB68" s="1115"/>
      <c r="BC68" s="1115"/>
      <c r="BD68" s="1114">
        <f>IF(AI68=0,0,(AT68-AI68)/AI68*100)</f>
        <v>0</v>
      </c>
      <c r="BE68" s="1115"/>
      <c r="BF68" s="1115"/>
      <c r="BG68" s="1115"/>
      <c r="BH68" s="1115"/>
      <c r="BI68" s="1115"/>
      <c r="BJ68" s="1115"/>
      <c r="BK68" s="1115"/>
      <c r="BL68" s="1115"/>
      <c r="BM68" s="1115"/>
      <c r="BN68" s="1238"/>
      <c r="BO68" s="1242" t="str">
        <f>IF(_xlfn.IFERROR(INDEX(Административные!$K$26:$L$122,MATCH($F68&amp;"5komm",Административные!$K$26:$K$122,0),2),"")=0,"",_xlfn.IFERROR(INDEX(Административные!$K$26:$L$122,MATCH($F68&amp;"5komm",Административные!$K$26:$K$122,0),2),""))</f>
        <v/>
      </c>
      <c r="BP68" s="1238"/>
      <c r="BQ68" s="1278"/>
      <c r="BR68" s="1278"/>
      <c r="BS68" s="1062" t="s">
        <v>2522</v>
      </c>
      <c r="BT68" s="1064"/>
      <c r="BU68" s="1064"/>
      <c r="BV68" s="979"/>
      <c r="BW68" s="979"/>
    </row>
    <row customHeight="1" ht="14.625" hidden="1">
      <c r="A69" s="1278"/>
      <c r="B69" s="978"/>
      <c r="C69" s="107"/>
      <c r="D69" s="107"/>
      <c r="E69" s="621">
        <v>15</v>
      </c>
      <c r="F69" s="50" cm="1" t="str">
        <f t="array" ref="F69:F69">OFFSET(E69,-1,1)</f>
        <v>0</v>
      </c>
      <c r="G69" s="848" t="s">
        <v>1956</v>
      </c>
      <c r="H69" s="857"/>
      <c r="I69" s="857" t="s">
        <v>2717</v>
      </c>
      <c r="J69" s="107"/>
      <c r="K69" s="378" t="s">
        <v>2717</v>
      </c>
      <c r="L69" s="980" t="s">
        <v>1940</v>
      </c>
      <c r="M69" s="107"/>
      <c r="N69" s="107"/>
      <c r="O69" s="107"/>
      <c r="P69" s="107"/>
      <c r="Q69" s="107"/>
      <c r="R69" s="107"/>
      <c r="S69" s="107"/>
      <c r="T69" s="465" cm="1" t="str">
        <f t="array" ref="T69:T69">T68</f>
        <v>false</v>
      </c>
      <c r="U69" s="107"/>
      <c r="V69" s="107"/>
      <c r="W69" s="107"/>
      <c r="X69" s="1596"/>
      <c r="Y69" s="1278"/>
      <c r="Z69" s="1546"/>
      <c r="AA69" s="1278"/>
      <c r="AB69" s="300" t="s">
        <v>2718</v>
      </c>
      <c r="AC69" s="765" t="s">
        <v>2719</v>
      </c>
      <c r="AD69" s="300" t="s">
        <v>1514</v>
      </c>
      <c r="AE69" s="1114">
        <f>_xlfn.SUMIFS(Административные!AE$25:AE$122,Административные!$F$25:$F$122,$F69,Административные!$G$25:$G$122,$G69)</f>
        <v>0</v>
      </c>
      <c r="AF69" s="1114">
        <f>_xlfn.SUMIFS(Административные!AF$25:AF$122,Административные!$F$25:$F$122,$F69,Административные!$G$25:$G$122,$G69)</f>
        <v>0</v>
      </c>
      <c r="AG69" s="1114">
        <f>_xlfn.SUMIFS(Административные!AG$25:AG$122,Административные!$F$25:$F$122,$F69,Административные!$G$25:$G$122,$G69)</f>
        <v>0</v>
      </c>
      <c r="AH69" s="1114">
        <f>AG69-AF69</f>
        <v>0</v>
      </c>
      <c r="AI69" s="1114">
        <f>_xlfn.SUMIFS(Административные!AH$25:AH$122,Административные!$F$25:$F$122,$F69,Административные!$G$25:$G$122,$G69)</f>
        <v>0</v>
      </c>
      <c r="AJ69" s="1114">
        <f>_xlfn.SUMIFS(Административные!AI$25:AI$122,Административные!$F$25:$F$122,$F69,Административные!$G$25:$G$122,$G69)</f>
        <v>0</v>
      </c>
      <c r="AK69" s="1115"/>
      <c r="AL69" s="1115"/>
      <c r="AM69" s="1115"/>
      <c r="AN69" s="1115"/>
      <c r="AO69" s="1115"/>
      <c r="AP69" s="1115"/>
      <c r="AQ69" s="1115"/>
      <c r="AR69" s="1115"/>
      <c r="AS69" s="1115"/>
      <c r="AT69" s="1114">
        <f>_xlfn.SUMIFS(Административные!AJ$25:AJ$122,Административные!$F$25:$F$122,$F69,Административные!$G$25:$G$122,$G69)</f>
        <v>0</v>
      </c>
      <c r="AU69" s="1115"/>
      <c r="AV69" s="1115"/>
      <c r="AW69" s="1115"/>
      <c r="AX69" s="1115"/>
      <c r="AY69" s="1115"/>
      <c r="AZ69" s="1115"/>
      <c r="BA69" s="1115"/>
      <c r="BB69" s="1115"/>
      <c r="BC69" s="1115"/>
      <c r="BD69" s="1114">
        <f>IF(AI69=0,0,(AT69-AI69)/AI69*100)</f>
        <v>0</v>
      </c>
      <c r="BE69" s="1115"/>
      <c r="BF69" s="1115"/>
      <c r="BG69" s="1115"/>
      <c r="BH69" s="1115"/>
      <c r="BI69" s="1115"/>
      <c r="BJ69" s="1115"/>
      <c r="BK69" s="1115"/>
      <c r="BL69" s="1115"/>
      <c r="BM69" s="1115"/>
      <c r="BN69" s="1238"/>
      <c r="BO69" s="1242" t="str">
        <f>IF(_xlfn.IFERROR(INDEX(Административные!$K$26:$L$122,MATCH($F69&amp;"6komm",Административные!$K$26:$K$122,0),2),"")=0,"",_xlfn.IFERROR(INDEX(Административные!$K$26:$L$122,MATCH($F69&amp;"6komm",Административные!$K$26:$K$122,0),2),""))</f>
        <v/>
      </c>
      <c r="BP69" s="1238"/>
      <c r="BQ69" s="1278"/>
      <c r="BR69" s="1278"/>
      <c r="BS69" s="1062" t="s">
        <v>2524</v>
      </c>
      <c r="BT69" s="1064"/>
      <c r="BU69" s="1064"/>
      <c r="BV69" s="979"/>
      <c r="BW69" s="979"/>
    </row>
    <row customHeight="1" ht="14.625" hidden="1">
      <c r="A70" s="1278"/>
      <c r="B70" s="978"/>
      <c r="C70" s="107"/>
      <c r="D70" s="107"/>
      <c r="E70" s="621">
        <v>15</v>
      </c>
      <c r="F70" s="50" cm="1" t="str">
        <f t="array" ref="F70:F70">OFFSET(E70,-1,1)</f>
        <v>0</v>
      </c>
      <c r="G70" s="848" t="s">
        <v>1958</v>
      </c>
      <c r="H70" s="857"/>
      <c r="I70" s="857" t="s">
        <v>2720</v>
      </c>
      <c r="J70" s="107"/>
      <c r="K70" s="378" t="s">
        <v>2720</v>
      </c>
      <c r="L70" s="980" t="s">
        <v>2525</v>
      </c>
      <c r="M70" s="107"/>
      <c r="N70" s="107"/>
      <c r="O70" s="107"/>
      <c r="P70" s="107"/>
      <c r="Q70" s="107"/>
      <c r="R70" s="107"/>
      <c r="S70" s="107"/>
      <c r="T70" s="465" cm="1" t="str">
        <f t="array" ref="T70:T70">T69</f>
        <v>false</v>
      </c>
      <c r="U70" s="107"/>
      <c r="V70" s="107"/>
      <c r="W70" s="107"/>
      <c r="X70" s="1596"/>
      <c r="Y70" s="1278"/>
      <c r="Z70" s="1546"/>
      <c r="AA70" s="1278"/>
      <c r="AB70" s="300" t="s">
        <v>2721</v>
      </c>
      <c r="AC70" s="768" t="s">
        <v>2527</v>
      </c>
      <c r="AD70" s="300" t="s">
        <v>1514</v>
      </c>
      <c r="AE70" s="1114">
        <f>_xlfn.SUMIFS(Административные!AE$25:AE$122,Административные!$F$25:$F$122,$F70,Административные!$G$25:$G$122,$G70)</f>
        <v>0</v>
      </c>
      <c r="AF70" s="1114">
        <f>_xlfn.SUMIFS(Административные!AF$25:AF$122,Административные!$F$25:$F$122,$F70,Административные!$G$25:$G$122,$G70)</f>
        <v>0</v>
      </c>
      <c r="AG70" s="1114">
        <f>_xlfn.SUMIFS(Административные!AG$25:AG$122,Административные!$F$25:$F$122,$F70,Административные!$G$25:$G$122,$G70)</f>
        <v>0</v>
      </c>
      <c r="AH70" s="1114">
        <f>AG70-AF70</f>
        <v>0</v>
      </c>
      <c r="AI70" s="1114">
        <f>_xlfn.SUMIFS(Административные!AH$25:AH$122,Административные!$F$25:$F$122,$F70,Административные!$G$25:$G$122,$G70)</f>
        <v>0</v>
      </c>
      <c r="AJ70" s="1114">
        <f>_xlfn.SUMIFS(Административные!AI$25:AI$122,Административные!$F$25:$F$122,$F70,Административные!$G$25:$G$122,$G70)</f>
        <v>0</v>
      </c>
      <c r="AK70" s="1115"/>
      <c r="AL70" s="1115"/>
      <c r="AM70" s="1115"/>
      <c r="AN70" s="1115"/>
      <c r="AO70" s="1115"/>
      <c r="AP70" s="1115"/>
      <c r="AQ70" s="1115"/>
      <c r="AR70" s="1115"/>
      <c r="AS70" s="1115"/>
      <c r="AT70" s="1114">
        <f>_xlfn.SUMIFS(Административные!AJ$25:AJ$122,Административные!$F$25:$F$122,$F70,Административные!$G$25:$G$122,$G70)</f>
        <v>0</v>
      </c>
      <c r="AU70" s="1115"/>
      <c r="AV70" s="1115"/>
      <c r="AW70" s="1115"/>
      <c r="AX70" s="1115"/>
      <c r="AY70" s="1115"/>
      <c r="AZ70" s="1115"/>
      <c r="BA70" s="1115"/>
      <c r="BB70" s="1115"/>
      <c r="BC70" s="1115"/>
      <c r="BD70" s="1114">
        <f>IF(AI70=0,0,(AT70-AI70)/AI70*100)</f>
        <v>0</v>
      </c>
      <c r="BE70" s="1115"/>
      <c r="BF70" s="1115"/>
      <c r="BG70" s="1115"/>
      <c r="BH70" s="1115"/>
      <c r="BI70" s="1115"/>
      <c r="BJ70" s="1115"/>
      <c r="BK70" s="1115"/>
      <c r="BL70" s="1115"/>
      <c r="BM70" s="1115"/>
      <c r="BN70" s="1238"/>
      <c r="BO70" s="1242" t="str">
        <f>IF(_xlfn.IFERROR(INDEX(Административные!$K$26:$L$122,MATCH($F70&amp;"7komm",Административные!$K$26:$K$122,0),2),"")=0,"",_xlfn.IFERROR(INDEX(Административные!$K$26:$L$122,MATCH($F70&amp;"7komm",Административные!$K$26:$K$122,0),2),""))</f>
        <v/>
      </c>
      <c r="BP70" s="1238"/>
      <c r="BQ70" s="1278"/>
      <c r="BR70" s="1278"/>
      <c r="BS70" s="1062" t="s">
        <v>2528</v>
      </c>
      <c r="BT70" s="1064"/>
      <c r="BU70" s="1064"/>
      <c r="BV70" s="979"/>
      <c r="BW70" s="979"/>
    </row>
    <row customHeight="1" ht="14.625" hidden="1">
      <c r="A71" s="1278"/>
      <c r="B71" s="978"/>
      <c r="C71" s="107"/>
      <c r="D71" s="107"/>
      <c r="E71" s="621">
        <v>15</v>
      </c>
      <c r="F71" s="50" cm="1" t="str">
        <f t="array" ref="F71:F71">OFFSET(E71,-1,1)</f>
        <v>0</v>
      </c>
      <c r="G71" s="848" t="s">
        <v>1961</v>
      </c>
      <c r="H71" s="857"/>
      <c r="I71" s="857" t="s">
        <v>2722</v>
      </c>
      <c r="J71" s="107"/>
      <c r="K71" s="378" t="s">
        <v>2722</v>
      </c>
      <c r="L71" s="980" t="s">
        <v>2529</v>
      </c>
      <c r="M71" s="107"/>
      <c r="N71" s="107"/>
      <c r="O71" s="107"/>
      <c r="P71" s="107"/>
      <c r="Q71" s="107"/>
      <c r="R71" s="107"/>
      <c r="S71" s="107"/>
      <c r="T71" s="465" cm="1" t="str">
        <f t="array" ref="T71:T71">T70</f>
        <v>false</v>
      </c>
      <c r="U71" s="107"/>
      <c r="V71" s="107"/>
      <c r="W71" s="107"/>
      <c r="X71" s="1596"/>
      <c r="Y71" s="1278"/>
      <c r="Z71" s="1546"/>
      <c r="AA71" s="1278"/>
      <c r="AB71" s="300" t="s">
        <v>2723</v>
      </c>
      <c r="AC71" s="768" t="s">
        <v>1962</v>
      </c>
      <c r="AD71" s="300" t="s">
        <v>1514</v>
      </c>
      <c r="AE71" s="1114">
        <f>_xlfn.SUMIFS(Административные!AE$25:AE$122,Административные!$F$25:$F$122,$F71,Административные!$G$25:$G$122,$G71)</f>
        <v>0</v>
      </c>
      <c r="AF71" s="1114">
        <f>_xlfn.SUMIFS(Административные!AF$25:AF$122,Административные!$F$25:$F$122,$F71,Административные!$G$25:$G$122,$G71)</f>
        <v>0</v>
      </c>
      <c r="AG71" s="1114">
        <f>_xlfn.SUMIFS(Административные!AG$25:AG$122,Административные!$F$25:$F$122,$F71,Административные!$G$25:$G$122,$G71)</f>
        <v>0</v>
      </c>
      <c r="AH71" s="1114">
        <f>AG71-AF71</f>
        <v>0</v>
      </c>
      <c r="AI71" s="1114">
        <f>_xlfn.SUMIFS(Административные!AH$25:AH$122,Административные!$F$25:$F$122,$F71,Административные!$G$25:$G$122,$G71)</f>
        <v>0</v>
      </c>
      <c r="AJ71" s="1114">
        <f>_xlfn.SUMIFS(Административные!AI$25:AI$122,Административные!$F$25:$F$122,$F71,Административные!$G$25:$G$122,$G71)</f>
        <v>0</v>
      </c>
      <c r="AK71" s="1115"/>
      <c r="AL71" s="1115"/>
      <c r="AM71" s="1115"/>
      <c r="AN71" s="1115"/>
      <c r="AO71" s="1115"/>
      <c r="AP71" s="1115"/>
      <c r="AQ71" s="1115"/>
      <c r="AR71" s="1115"/>
      <c r="AS71" s="1115"/>
      <c r="AT71" s="1114">
        <f>_xlfn.SUMIFS(Административные!AJ$25:AJ$122,Административные!$F$25:$F$122,$F71,Административные!$G$25:$G$122,$G71)</f>
        <v>0</v>
      </c>
      <c r="AU71" s="1115"/>
      <c r="AV71" s="1115"/>
      <c r="AW71" s="1115"/>
      <c r="AX71" s="1115"/>
      <c r="AY71" s="1115"/>
      <c r="AZ71" s="1115"/>
      <c r="BA71" s="1115"/>
      <c r="BB71" s="1115"/>
      <c r="BC71" s="1115"/>
      <c r="BD71" s="1114">
        <f>IF(AI71=0,0,(AT71-AI71)/AI71*100)</f>
        <v>0</v>
      </c>
      <c r="BE71" s="1115"/>
      <c r="BF71" s="1115"/>
      <c r="BG71" s="1115"/>
      <c r="BH71" s="1115"/>
      <c r="BI71" s="1115"/>
      <c r="BJ71" s="1115"/>
      <c r="BK71" s="1115"/>
      <c r="BL71" s="1115"/>
      <c r="BM71" s="1115"/>
      <c r="BN71" s="1238"/>
      <c r="BO71" s="1242" t="str">
        <f>IF(_xlfn.IFERROR(INDEX(Административные!$K$26:$L$122,MATCH($F71&amp;"8komm",Административные!$K$26:$K$122,0),2),"")=0,"",_xlfn.IFERROR(INDEX(Административные!$K$26:$L$122,MATCH($F71&amp;"8komm",Административные!$K$26:$K$122,0),2),""))</f>
        <v/>
      </c>
      <c r="BP71" s="1238"/>
      <c r="BQ71" s="1278"/>
      <c r="BR71" s="1278"/>
      <c r="BS71" s="1062" t="s">
        <v>2531</v>
      </c>
      <c r="BT71" s="1064"/>
      <c r="BU71" s="1064"/>
      <c r="BV71" s="979"/>
      <c r="BW71" s="979"/>
    </row>
    <row customHeight="1" ht="14.625" hidden="1">
      <c r="A72" s="1278"/>
      <c r="B72" s="978"/>
      <c r="C72" s="107"/>
      <c r="D72" s="107"/>
      <c r="E72" s="621">
        <v>15</v>
      </c>
      <c r="F72" s="50" cm="1" t="str">
        <f t="array" ref="F72:F72">OFFSET(E72,-1,1)</f>
        <v>0</v>
      </c>
      <c r="G72" s="107" t="s">
        <v>1964</v>
      </c>
      <c r="H72" s="857"/>
      <c r="I72" s="857" t="s">
        <v>2724</v>
      </c>
      <c r="J72" s="107"/>
      <c r="K72" s="378" t="s">
        <v>2724</v>
      </c>
      <c r="L72" s="980" t="s">
        <v>2532</v>
      </c>
      <c r="M72" s="107"/>
      <c r="N72" s="107"/>
      <c r="O72" s="107"/>
      <c r="P72" s="107"/>
      <c r="Q72" s="107"/>
      <c r="R72" s="107"/>
      <c r="S72" s="107"/>
      <c r="T72" s="465" cm="1" t="str">
        <f t="array" ref="T72:T72">T71</f>
        <v>false</v>
      </c>
      <c r="U72" s="107"/>
      <c r="V72" s="107"/>
      <c r="W72" s="107"/>
      <c r="X72" s="1596"/>
      <c r="Y72" s="1278"/>
      <c r="Z72" s="1546"/>
      <c r="AA72" s="1278"/>
      <c r="AB72" s="300" t="s">
        <v>2725</v>
      </c>
      <c r="AC72" s="768" t="s">
        <v>1965</v>
      </c>
      <c r="AD72" s="300" t="s">
        <v>1514</v>
      </c>
      <c r="AE72" s="1114">
        <f>_xlfn.SUMIFS(Административные!AE$25:AE$122,Административные!$F$25:$F$122,$F72,Административные!$G$25:$G$122,$G72)</f>
        <v>0</v>
      </c>
      <c r="AF72" s="1114">
        <f>_xlfn.SUMIFS(Административные!AF$25:AF$122,Административные!$F$25:$F$122,$F72,Административные!$G$25:$G$122,$G72)</f>
        <v>0</v>
      </c>
      <c r="AG72" s="1114">
        <f>_xlfn.SUMIFS(Административные!AG$25:AG$122,Административные!$F$25:$F$122,$F72,Административные!$G$25:$G$122,$G72)</f>
        <v>0</v>
      </c>
      <c r="AH72" s="1114">
        <f>AG72-AF72</f>
        <v>0</v>
      </c>
      <c r="AI72" s="1114">
        <f>_xlfn.SUMIFS(Административные!AH$25:AH$122,Административные!$F$25:$F$122,$F72,Административные!$G$25:$G$122,$G72)</f>
        <v>0</v>
      </c>
      <c r="AJ72" s="1116">
        <f>_xlfn.SUMIFS(Административные!AI$25:AI$122,Административные!$F$25:$F$122,$F72,Административные!$G$25:$G$122,$G72)</f>
        <v>0</v>
      </c>
      <c r="AK72" s="1115"/>
      <c r="AL72" s="1115"/>
      <c r="AM72" s="1115"/>
      <c r="AN72" s="1115"/>
      <c r="AO72" s="1115"/>
      <c r="AP72" s="1115"/>
      <c r="AQ72" s="1115"/>
      <c r="AR72" s="1115"/>
      <c r="AS72" s="1115"/>
      <c r="AT72" s="1116">
        <f>_xlfn.SUMIFS(Административные!AJ$25:AJ$122,Административные!$F$25:$F$122,$F72,Административные!$G$25:$G$122,$G72)</f>
        <v>0</v>
      </c>
      <c r="AU72" s="1115"/>
      <c r="AV72" s="1115"/>
      <c r="AW72" s="1115"/>
      <c r="AX72" s="1115"/>
      <c r="AY72" s="1115"/>
      <c r="AZ72" s="1115"/>
      <c r="BA72" s="1115"/>
      <c r="BB72" s="1115"/>
      <c r="BC72" s="1115"/>
      <c r="BD72" s="1114">
        <f>IF(AI72=0,0,(AT72-AI72)/AI72*100)</f>
        <v>0</v>
      </c>
      <c r="BE72" s="1115"/>
      <c r="BF72" s="1115"/>
      <c r="BG72" s="1115"/>
      <c r="BH72" s="1115"/>
      <c r="BI72" s="1115"/>
      <c r="BJ72" s="1115"/>
      <c r="BK72" s="1115"/>
      <c r="BL72" s="1115"/>
      <c r="BM72" s="1115"/>
      <c r="BN72" s="1238"/>
      <c r="BO72" s="1242" t="str">
        <f>IF(_xlfn.IFERROR(INDEX(Административные!$K$26:$L$122,MATCH($F72&amp;"9komm",Административные!$K$26:$K$122,0),2),"")=0,"",_xlfn.IFERROR(INDEX(Административные!$K$26:$L$122,MATCH($F72&amp;"9komm",Административные!$K$26:$K$122,0),2),""))</f>
        <v/>
      </c>
      <c r="BP72" s="1238"/>
      <c r="BQ72" s="1278"/>
      <c r="BR72" s="1278"/>
      <c r="BS72" s="1062" t="s">
        <v>2534</v>
      </c>
      <c r="BT72" s="1064"/>
      <c r="BU72" s="1064"/>
      <c r="BV72" s="979"/>
      <c r="BW72" s="979"/>
    </row>
    <row customHeight="1" ht="21.9375" hidden="1">
      <c r="A73" s="1278"/>
      <c r="B73" s="432">
        <f>STATUS_GO="да"</f>
        <v>1</v>
      </c>
      <c r="C73" s="107"/>
      <c r="D73" s="107"/>
      <c r="E73" s="621">
        <v>22.5</v>
      </c>
      <c r="F73" s="50" cm="1" t="str">
        <f t="array" ref="F73:F73">OFFSET(E73,-1,1)</f>
        <v>0</v>
      </c>
      <c r="G73" s="107"/>
      <c r="H73" s="857"/>
      <c r="I73" s="857" t="s">
        <v>1640</v>
      </c>
      <c r="J73" s="107"/>
      <c r="K73" s="378" t="s">
        <v>1640</v>
      </c>
      <c r="L73" s="980" t="s">
        <v>336</v>
      </c>
      <c r="M73" s="107"/>
      <c r="N73" s="107"/>
      <c r="O73" s="107"/>
      <c r="P73" s="107"/>
      <c r="Q73" s="107"/>
      <c r="R73" s="107"/>
      <c r="S73" s="107"/>
      <c r="T73" s="465" cm="1" t="str">
        <f t="array" ref="T73:T73">T72</f>
        <v>false</v>
      </c>
      <c r="U73" s="107"/>
      <c r="V73" s="107"/>
      <c r="W73" s="107"/>
      <c r="X73" s="1596"/>
      <c r="Y73" s="1278"/>
      <c r="Z73" s="1546"/>
      <c r="AA73" s="1278"/>
      <c r="AB73" s="300" t="s">
        <v>1641</v>
      </c>
      <c r="AC73" s="762" t="s">
        <v>2726</v>
      </c>
      <c r="AD73" s="300" t="s">
        <v>1514</v>
      </c>
      <c r="AE73" s="1114">
        <f>_xlfn.SUMIFS('Сбытовые расходы ГО'!AE$25:AE$87,'Сбытовые расходы ГО'!$F$25:$F$87,$F73,'Сбытовые расходы ГО'!$G$25:$G$87,"L0")-_xlfn.SUMIFS('Сбытовые расходы ГО'!AE$25:AE$87,'Сбытовые расходы ГО'!$F$25:$F$87,$F73,'Сбытовые расходы ГО'!$G$25:$G$87,"L1")</f>
        <v>0</v>
      </c>
      <c r="AF73" s="1114">
        <f>_xlfn.SUMIFS('Сбытовые расходы ГО'!AF$25:AF$87,'Сбытовые расходы ГО'!$F$25:$F$87,$F73,'Сбытовые расходы ГО'!$G$25:$G$87,"L0")-_xlfn.SUMIFS('Сбытовые расходы ГО'!AF$25:AF$87,'Сбытовые расходы ГО'!$F$25:$F$87,$F73,'Сбытовые расходы ГО'!$G$25:$G$87,"L1")</f>
        <v>0</v>
      </c>
      <c r="AG73" s="1114">
        <f>_xlfn.SUMIFS('Сбытовые расходы ГО'!AG$25:AG$87,'Сбытовые расходы ГО'!$F$25:$F$87,$F73,'Сбытовые расходы ГО'!$G$25:$G$87,"L0")-_xlfn.SUMIFS('Сбытовые расходы ГО'!AG$25:AG$87,'Сбытовые расходы ГО'!$F$25:$F$87,$F73,'Сбытовые расходы ГО'!$G$25:$G$87,"L1")</f>
        <v>0</v>
      </c>
      <c r="AH73" s="1114">
        <f>AG73-AF73</f>
        <v>0</v>
      </c>
      <c r="AI73" s="1114">
        <f>_xlfn.SUMIFS('Сбытовые расходы ГО'!AH$25:AH$87,'Сбытовые расходы ГО'!$F$25:$F$87,$F73,'Сбытовые расходы ГО'!$G$25:$G$87,"L0")-_xlfn.SUMIFS('Сбытовые расходы ГО'!AH$25:AH$87,'Сбытовые расходы ГО'!$F$25:$F$87,$F73,'Сбытовые расходы ГО'!$G$25:$G$87,"L1")</f>
        <v>0</v>
      </c>
      <c r="AJ73" s="1114">
        <f>_xlfn.SUMIFS('Сбытовые расходы ГО'!AI$25:AI$87,'Сбытовые расходы ГО'!$F$25:$F$87,$F73,'Сбытовые расходы ГО'!$G$25:$G$87,"L0")-_xlfn.SUMIFS('Сбытовые расходы ГО'!AI$25:AI$87,'Сбытовые расходы ГО'!$F$25:$F$87,$F73,'Сбытовые расходы ГО'!$G$25:$G$87,"L1")</f>
        <v>0</v>
      </c>
      <c r="AK73" s="1115"/>
      <c r="AL73" s="1115"/>
      <c r="AM73" s="1115"/>
      <c r="AN73" s="1115"/>
      <c r="AO73" s="1115"/>
      <c r="AP73" s="1115"/>
      <c r="AQ73" s="1115"/>
      <c r="AR73" s="1115"/>
      <c r="AS73" s="1115"/>
      <c r="AT73" s="1114">
        <f>_xlfn.SUMIFS('Сбытовые расходы ГО'!AJ$25:AJ$87,'Сбытовые расходы ГО'!$F$25:$F$87,$F73,'Сбытовые расходы ГО'!$G$25:$G$87,"L0")-_xlfn.SUMIFS('Сбытовые расходы ГО'!AJ$25:AJ$87,'Сбытовые расходы ГО'!$F$25:$F$87,$F73,'Сбытовые расходы ГО'!$G$25:$G$87,"L1")</f>
        <v>0</v>
      </c>
      <c r="AU73" s="1115"/>
      <c r="AV73" s="1115"/>
      <c r="AW73" s="1115"/>
      <c r="AX73" s="1115"/>
      <c r="AY73" s="1115"/>
      <c r="AZ73" s="1115"/>
      <c r="BA73" s="1115"/>
      <c r="BB73" s="1115"/>
      <c r="BC73" s="1115"/>
      <c r="BD73" s="1114">
        <f>IF(AI73=0,0,(AT73-AI73)/AI73*100)</f>
        <v>0</v>
      </c>
      <c r="BE73" s="1115"/>
      <c r="BF73" s="1115"/>
      <c r="BG73" s="1115"/>
      <c r="BH73" s="1115"/>
      <c r="BI73" s="1115"/>
      <c r="BJ73" s="1115"/>
      <c r="BK73" s="1115"/>
      <c r="BL73" s="1115"/>
      <c r="BM73" s="1115"/>
      <c r="BN73" s="1238"/>
      <c r="BO73" s="1238"/>
      <c r="BP73" s="1238"/>
      <c r="BQ73" s="1278"/>
      <c r="BR73" s="1278"/>
      <c r="BS73" s="1063" t="s">
        <v>2536</v>
      </c>
      <c r="BT73" s="1064"/>
      <c r="BU73" s="1064"/>
      <c r="BV73" s="979"/>
      <c r="BW73" s="979"/>
    </row>
    <row customHeight="1" ht="14.625" hidden="1">
      <c r="A74" s="1278"/>
      <c r="B74" s="978"/>
      <c r="C74" s="107"/>
      <c r="D74" s="107"/>
      <c r="E74" s="621">
        <v>15</v>
      </c>
      <c r="F74" s="50" cm="1" t="str">
        <f t="array" ref="F74:F74">OFFSET(E74,-1,1)</f>
        <v>0</v>
      </c>
      <c r="G74" s="107"/>
      <c r="H74" s="857"/>
      <c r="I74" s="857" t="s">
        <v>2475</v>
      </c>
      <c r="J74" s="107"/>
      <c r="K74" s="378" t="s">
        <v>2475</v>
      </c>
      <c r="L74" s="980"/>
      <c r="M74" s="107"/>
      <c r="N74" s="107"/>
      <c r="O74" s="107"/>
      <c r="P74" s="107"/>
      <c r="Q74" s="107"/>
      <c r="R74" s="107"/>
      <c r="S74" s="107"/>
      <c r="T74" s="465" cm="1" t="str">
        <f t="array" ref="T74:T74">T73</f>
        <v>false</v>
      </c>
      <c r="U74" s="107"/>
      <c r="V74" s="107"/>
      <c r="W74" s="107"/>
      <c r="X74" s="1596"/>
      <c r="Y74" s="1278"/>
      <c r="Z74" s="1546"/>
      <c r="AA74" s="1278"/>
      <c r="AB74" s="300" t="s">
        <v>2476</v>
      </c>
      <c r="AC74" s="762" t="s">
        <v>2727</v>
      </c>
      <c r="AD74" s="300" t="s">
        <v>1514</v>
      </c>
      <c r="AE74" s="1241"/>
      <c r="AF74" s="1241"/>
      <c r="AG74" s="1241"/>
      <c r="AH74" s="1114">
        <f>AG74-AF74</f>
        <v>0</v>
      </c>
      <c r="AI74" s="1241"/>
      <c r="AJ74" s="1241"/>
      <c r="AK74" s="1115"/>
      <c r="AL74" s="1115"/>
      <c r="AM74" s="1115"/>
      <c r="AN74" s="1115"/>
      <c r="AO74" s="1115"/>
      <c r="AP74" s="1115"/>
      <c r="AQ74" s="1115"/>
      <c r="AR74" s="1115"/>
      <c r="AS74" s="1115"/>
      <c r="AT74" s="1241"/>
      <c r="AU74" s="1115"/>
      <c r="AV74" s="1115"/>
      <c r="AW74" s="1115"/>
      <c r="AX74" s="1115"/>
      <c r="AY74" s="1115"/>
      <c r="AZ74" s="1115"/>
      <c r="BA74" s="1115"/>
      <c r="BB74" s="1115"/>
      <c r="BC74" s="1115"/>
      <c r="BD74" s="1114">
        <f>IF(AI74=0,0,(AT74-AI74)/AI74*100)</f>
        <v>0</v>
      </c>
      <c r="BE74" s="1115"/>
      <c r="BF74" s="1115"/>
      <c r="BG74" s="1115"/>
      <c r="BH74" s="1115"/>
      <c r="BI74" s="1115"/>
      <c r="BJ74" s="1115"/>
      <c r="BK74" s="1115"/>
      <c r="BL74" s="1115"/>
      <c r="BM74" s="1115"/>
      <c r="BN74" s="1238"/>
      <c r="BO74" s="1238"/>
      <c r="BP74" s="1238"/>
      <c r="BQ74" s="1278"/>
      <c r="BR74" s="1278"/>
      <c r="BS74" s="1064" t="s">
        <v>2728</v>
      </c>
      <c r="BT74" s="1064"/>
      <c r="BU74" s="1064"/>
      <c r="BV74" s="979"/>
      <c r="BW74" s="979"/>
    </row>
    <row s="700" customFormat="1" customHeight="1" ht="20.475" hidden="1">
      <c r="A75" s="700"/>
      <c r="B75" s="435"/>
      <c r="C75" s="109"/>
      <c r="D75" s="109"/>
      <c r="E75" s="826">
        <v>21</v>
      </c>
      <c r="F75" s="50" cm="1" t="str">
        <f t="array" ref="F75:F75">OFFSET(E75,-1,1)</f>
        <v>0</v>
      </c>
      <c r="G75" s="109"/>
      <c r="H75" s="857"/>
      <c r="I75" s="857" t="s">
        <v>2479</v>
      </c>
      <c r="J75" s="109"/>
      <c r="K75" s="378" t="s">
        <v>2479</v>
      </c>
      <c r="L75" s="985"/>
      <c r="M75" s="109"/>
      <c r="N75" s="109"/>
      <c r="O75" s="109"/>
      <c r="P75" s="109"/>
      <c r="Q75" s="109"/>
      <c r="R75" s="109"/>
      <c r="S75" s="109"/>
      <c r="T75" s="465">
        <f>AND(F75&gt;0,method_reg="Метод индексации")</f>
        <v>0</v>
      </c>
      <c r="U75" s="109"/>
      <c r="V75" s="109"/>
      <c r="W75" s="109"/>
      <c r="X75" s="1596"/>
      <c r="Y75" s="700"/>
      <c r="Z75" s="1546"/>
      <c r="AA75" s="700"/>
      <c r="AB75" s="211" t="s">
        <v>2480</v>
      </c>
      <c r="AC75" s="361" t="s">
        <v>2729</v>
      </c>
      <c r="AD75" s="211" t="s">
        <v>1514</v>
      </c>
      <c r="AE75" s="213">
        <f>SUM(AE76:AE77)</f>
        <v>0</v>
      </c>
      <c r="AF75" s="213">
        <f>SUM(AF76:AF77)</f>
        <v>0</v>
      </c>
      <c r="AG75" s="213">
        <f>SUM(AG76:AG77)</f>
        <v>0</v>
      </c>
      <c r="AH75" s="778">
        <f>AG75-AF75</f>
        <v>0</v>
      </c>
      <c r="AI75" s="213">
        <f>SUM(AI76:AI77)</f>
        <v>0</v>
      </c>
      <c r="AJ75" s="213">
        <f>SUM(AJ76:AJ77)</f>
        <v>0</v>
      </c>
      <c r="AK75" s="216"/>
      <c r="AL75" s="216"/>
      <c r="AM75" s="216"/>
      <c r="AN75" s="216"/>
      <c r="AO75" s="216"/>
      <c r="AP75" s="216"/>
      <c r="AQ75" s="216"/>
      <c r="AR75" s="216"/>
      <c r="AS75" s="216"/>
      <c r="AT75" s="213">
        <f>SUM(AT76:AT77)</f>
        <v>0</v>
      </c>
      <c r="AU75" s="216"/>
      <c r="AV75" s="216"/>
      <c r="AW75" s="216"/>
      <c r="AX75" s="216"/>
      <c r="AY75" s="216"/>
      <c r="AZ75" s="216"/>
      <c r="BA75" s="216"/>
      <c r="BB75" s="216"/>
      <c r="BC75" s="216"/>
      <c r="BD75" s="778">
        <f>IF(AI75=0,0,(AT75-AI75)/AI75*100)</f>
        <v>0</v>
      </c>
      <c r="BE75" s="216"/>
      <c r="BF75" s="216"/>
      <c r="BG75" s="216"/>
      <c r="BH75" s="216"/>
      <c r="BI75" s="216"/>
      <c r="BJ75" s="216"/>
      <c r="BK75" s="216"/>
      <c r="BL75" s="216"/>
      <c r="BM75" s="216"/>
      <c r="BN75" s="1240"/>
      <c r="BO75" s="1240"/>
      <c r="BP75" s="1240"/>
      <c r="BQ75" s="700"/>
      <c r="BR75" s="700"/>
      <c r="BS75" s="1070" t="s">
        <v>2730</v>
      </c>
      <c r="BT75" s="1070"/>
      <c r="BU75" s="1070"/>
      <c r="BV75" s="707"/>
      <c r="BW75" s="707"/>
    </row>
    <row customHeight="1" ht="14.625" hidden="1">
      <c r="A76" s="1278"/>
      <c r="B76" s="432">
        <f>method_reg="Метод индексации"</f>
        <v>1</v>
      </c>
      <c r="C76" s="107"/>
      <c r="D76" s="107"/>
      <c r="E76" s="621">
        <v>15</v>
      </c>
      <c r="F76" s="50" cm="1" t="str">
        <f t="array" ref="F76:F76">OFFSET(E76,-1,1)</f>
        <v>0</v>
      </c>
      <c r="G76" s="107"/>
      <c r="H76" s="107"/>
      <c r="I76" s="857" t="s">
        <v>2479</v>
      </c>
      <c r="J76" s="107" cm="1" t="str">
        <f t="array" ref="J76:J76">AC76</f>
        <v>0</v>
      </c>
      <c r="K76" s="378" t="s">
        <v>2479</v>
      </c>
      <c r="L76" s="980"/>
      <c r="M76" s="107"/>
      <c r="N76" s="107"/>
      <c r="O76" s="107"/>
      <c r="P76" s="107"/>
      <c r="Q76" s="107"/>
      <c r="R76" s="107"/>
      <c r="S76" s="107"/>
      <c r="T76" s="465">
        <f>AND(F76&gt;0,Y76&gt;0)</f>
        <v>0</v>
      </c>
      <c r="U76" s="107"/>
      <c r="V76" s="107"/>
      <c r="W76" s="107" t="s">
        <v>174</v>
      </c>
      <c r="X76" s="1596"/>
      <c r="Y76" s="158">
        <v>0</v>
      </c>
      <c r="Z76" s="1546"/>
      <c r="AA76" s="420" t="s">
        <v>175</v>
      </c>
      <c r="AB76" s="300" t="str">
        <f>"1.7."&amp;Y76</f>
        <v>1.7.0</v>
      </c>
      <c r="AC76" s="1243"/>
      <c r="AD76" s="300" t="s">
        <v>1514</v>
      </c>
      <c r="AE76" s="1241"/>
      <c r="AF76" s="1241"/>
      <c r="AG76" s="1241"/>
      <c r="AH76" s="1114">
        <f>AG76-AF76</f>
        <v>0</v>
      </c>
      <c r="AI76" s="1241"/>
      <c r="AJ76" s="1241"/>
      <c r="AK76" s="1115"/>
      <c r="AL76" s="1115"/>
      <c r="AM76" s="1115"/>
      <c r="AN76" s="1115"/>
      <c r="AO76" s="1115"/>
      <c r="AP76" s="1115"/>
      <c r="AQ76" s="1115"/>
      <c r="AR76" s="1115"/>
      <c r="AS76" s="1115"/>
      <c r="AT76" s="1241"/>
      <c r="AU76" s="1115"/>
      <c r="AV76" s="1115"/>
      <c r="AW76" s="1115"/>
      <c r="AX76" s="1115"/>
      <c r="AY76" s="1115"/>
      <c r="AZ76" s="1115"/>
      <c r="BA76" s="1115"/>
      <c r="BB76" s="1115"/>
      <c r="BC76" s="1115"/>
      <c r="BD76" s="1114">
        <f>IF(AI76=0,0,(AT76-AI76)/AI76*100)</f>
        <v>0</v>
      </c>
      <c r="BE76" s="1115"/>
      <c r="BF76" s="1115"/>
      <c r="BG76" s="1115"/>
      <c r="BH76" s="1115"/>
      <c r="BI76" s="1115"/>
      <c r="BJ76" s="1115"/>
      <c r="BK76" s="1115"/>
      <c r="BL76" s="1115"/>
      <c r="BM76" s="1115"/>
      <c r="BN76" s="1238"/>
      <c r="BO76" s="1238"/>
      <c r="BP76" s="1238"/>
      <c r="BQ76" s="1278"/>
      <c r="BR76" s="1278"/>
      <c r="BS76" s="1064" t="s">
        <v>2730</v>
      </c>
      <c r="BT76" s="1064" t="s">
        <v>2731</v>
      </c>
      <c r="BU76" s="1064" cm="1" t="str">
        <f t="array" ref="BU76:BU76">AC76</f>
        <v>0</v>
      </c>
      <c r="BV76" s="979"/>
      <c r="BW76" s="703" t="b">
        <v>1</v>
      </c>
    </row>
    <row customHeight="1" ht="14.625" hidden="1">
      <c r="A77" s="1278"/>
      <c r="B77" s="432" cm="1" t="str">
        <f t="array" ref="B77:B77">B76</f>
        <v>true</v>
      </c>
      <c r="C77" s="107"/>
      <c r="D77" s="107"/>
      <c r="E77" s="621">
        <v>15</v>
      </c>
      <c r="F77" s="50" cm="1" t="str">
        <f t="array" ref="F77:F77">OFFSET(E77,-1,1)</f>
        <v>0</v>
      </c>
      <c r="G77" s="480"/>
      <c r="H77" s="107"/>
      <c r="I77" s="107"/>
      <c r="J77" s="107" t="s">
        <v>2732</v>
      </c>
      <c r="K77" s="1278"/>
      <c r="L77" s="980"/>
      <c r="M77" s="107"/>
      <c r="N77" s="107"/>
      <c r="O77" s="107"/>
      <c r="P77" s="107"/>
      <c r="Q77" s="107"/>
      <c r="R77" s="107"/>
      <c r="S77" s="107"/>
      <c r="T77" s="465">
        <f>F77&gt;0</f>
        <v>0</v>
      </c>
      <c r="U77" s="107"/>
      <c r="V77" s="107"/>
      <c r="W77" s="829" t="s">
        <v>399</v>
      </c>
      <c r="X77" s="1596"/>
      <c r="Y77" s="1278"/>
      <c r="Z77" s="1546"/>
      <c r="AA77" s="1278"/>
      <c r="AB77" s="874"/>
      <c r="AC77" s="260" t="s">
        <v>178</v>
      </c>
      <c r="AD77" s="776"/>
      <c r="AE77" s="776"/>
      <c r="AF77" s="776"/>
      <c r="AG77" s="776"/>
      <c r="AH77" s="776"/>
      <c r="AI77" s="776"/>
      <c r="AJ77" s="776"/>
      <c r="AK77" s="776"/>
      <c r="AL77" s="776"/>
      <c r="AM77" s="776"/>
      <c r="AN77" s="776"/>
      <c r="AO77" s="776"/>
      <c r="AP77" s="776"/>
      <c r="AQ77" s="776"/>
      <c r="AR77" s="776"/>
      <c r="AS77" s="776"/>
      <c r="AT77" s="776"/>
      <c r="AU77" s="776"/>
      <c r="AV77" s="776"/>
      <c r="AW77" s="776"/>
      <c r="AX77" s="776"/>
      <c r="AY77" s="776"/>
      <c r="AZ77" s="776"/>
      <c r="BA77" s="776"/>
      <c r="BB77" s="776"/>
      <c r="BC77" s="776"/>
      <c r="BD77" s="776"/>
      <c r="BE77" s="776"/>
      <c r="BF77" s="776"/>
      <c r="BG77" s="776"/>
      <c r="BH77" s="776"/>
      <c r="BI77" s="776"/>
      <c r="BJ77" s="776"/>
      <c r="BK77" s="776"/>
      <c r="BL77" s="776"/>
      <c r="BM77" s="776"/>
      <c r="BN77" s="776"/>
      <c r="BO77" s="776"/>
      <c r="BP77" s="777"/>
      <c r="BQ77" s="1278"/>
      <c r="BR77" s="1278"/>
      <c r="BS77" s="1064"/>
      <c r="BT77" s="1064"/>
      <c r="BU77" s="1064"/>
      <c r="BV77" s="703" t="s">
        <v>2731</v>
      </c>
      <c r="BW77" s="979"/>
    </row>
    <row s="700" customFormat="1" customHeight="1" ht="20.475" hidden="1">
      <c r="A78" s="700"/>
      <c r="B78" s="435"/>
      <c r="C78" s="109"/>
      <c r="D78" s="109"/>
      <c r="E78" s="826">
        <v>21</v>
      </c>
      <c r="F78" s="50" cm="1" t="str">
        <f t="array" ref="F78:F78">OFFSET(E78,-1,1)</f>
        <v>0</v>
      </c>
      <c r="G78" s="109"/>
      <c r="H78" s="107"/>
      <c r="I78" s="107" t="s">
        <v>333</v>
      </c>
      <c r="J78" s="109"/>
      <c r="K78" s="158" t="s">
        <v>333</v>
      </c>
      <c r="L78" s="985"/>
      <c r="M78" s="109"/>
      <c r="N78" s="109"/>
      <c r="O78" s="109"/>
      <c r="P78" s="109"/>
      <c r="Q78" s="109"/>
      <c r="R78" s="109"/>
      <c r="S78" s="109"/>
      <c r="T78" s="465">
        <f>F78&gt;0</f>
        <v>0</v>
      </c>
      <c r="U78" s="109"/>
      <c r="V78" s="109"/>
      <c r="W78" s="109"/>
      <c r="X78" s="1596"/>
      <c r="Y78" s="700"/>
      <c r="Z78" s="1546"/>
      <c r="AA78" s="700"/>
      <c r="AB78" s="234" t="s">
        <v>285</v>
      </c>
      <c r="AC78" s="212" t="s">
        <v>2733</v>
      </c>
      <c r="AD78" s="234" t="s">
        <v>1514</v>
      </c>
      <c r="AE78" s="213">
        <f>AE79+AE91+AE92++AE103+AE104+AE105+AE107+AE108+AE109+AE110+AE113</f>
        <v>0</v>
      </c>
      <c r="AF78" s="213">
        <f>AF79+AF91+AF92++AF103+AF104+AF105+AF107+AF108+AF109+AF110+AF113</f>
        <v>0</v>
      </c>
      <c r="AG78" s="213">
        <f>AG79+AG91+AG92++AG103+AG104+AG105+AG107+AG108+AG109+AG110+AG113</f>
        <v>0</v>
      </c>
      <c r="AH78" s="778">
        <f>AG78-AF78</f>
        <v>0</v>
      </c>
      <c r="AI78" s="213">
        <f>AI79+AI91+AI92++AI103+AI104+AI105+AI107+AI108+AI109+AI110+AI113</f>
        <v>0</v>
      </c>
      <c r="AJ78" s="213">
        <f>AJ79+AJ91+AJ92++AJ103+AJ104+AJ105+AJ107+AJ108+AJ109+AJ110+AJ113</f>
        <v>0</v>
      </c>
      <c r="AK78" s="213">
        <f>AK79+AK91+AK92++AK103+AK104+AK105+AK107+AK108+AK109+AK110+AK113</f>
        <v>0</v>
      </c>
      <c r="AL78" s="213">
        <f>AL79+AL91+AL92++AL103+AL104+AL105+AL107+AL108+AL109+AL110+AL113</f>
        <v>0</v>
      </c>
      <c r="AM78" s="213">
        <f>AM79+AM91+AM92++AM103+AM104+AM105+AM107+AM108+AM109+AM110+AM113</f>
        <v>0</v>
      </c>
      <c r="AN78" s="213">
        <f>AN79+AN91+AN92++AN103+AN104+AN105+AN107+AN108+AN109+AN110+AN113</f>
        <v>0</v>
      </c>
      <c r="AO78" s="213">
        <f>AO79+AO91+AO92++AO103+AO104+AO105+AO107+AO108+AO109+AO110+AO113</f>
        <v>0</v>
      </c>
      <c r="AP78" s="213">
        <f>AP79+AP91+AP92++AP103+AP104+AP105+AP107+AP108+AP109+AP110+AP113</f>
        <v>0</v>
      </c>
      <c r="AQ78" s="213">
        <f>AQ79+AQ91+AQ92++AQ103+AQ104+AQ105+AQ107+AQ108+AQ109+AQ110+AQ113</f>
        <v>0</v>
      </c>
      <c r="AR78" s="213">
        <f>AR79+AR91+AR92++AR103+AR104+AR105+AR107+AR108+AR109+AR110+AR113</f>
        <v>0</v>
      </c>
      <c r="AS78" s="213">
        <f>AS79+AS91+AS92++AS103+AS104+AS105+AS107+AS108+AS109+AS110+AS113</f>
        <v>0</v>
      </c>
      <c r="AT78" s="213">
        <f>AT79+AT91+AT92++AT103+AT104+AT105+AT107+AT108+AT109+AT110+AT113</f>
        <v>0</v>
      </c>
      <c r="AU78" s="213">
        <f>AU79+AU91+AU92++AU103+AU104+AU105+AU107+AU108+AU109+AU110+AU113</f>
        <v>0</v>
      </c>
      <c r="AV78" s="213">
        <f>AV79+AV91+AV92++AV103+AV104+AV105+AV107+AV108+AV109+AV110+AV113</f>
        <v>0</v>
      </c>
      <c r="AW78" s="213">
        <f>AW79+AW91+AW92++AW103+AW104+AW105+AW107+AW108+AW109+AW110+AW113</f>
        <v>0</v>
      </c>
      <c r="AX78" s="213">
        <f>AX79+AX91+AX92++AX103+AX104+AX105+AX107+AX108+AX109+AX110+AX113</f>
        <v>0</v>
      </c>
      <c r="AY78" s="213">
        <f>AY79+AY91+AY92++AY103+AY104+AY105+AY107+AY108+AY109+AY110+AY113</f>
        <v>0</v>
      </c>
      <c r="AZ78" s="213">
        <f>AZ79+AZ91+AZ92++AZ103+AZ104+AZ105+AZ107+AZ108+AZ109+AZ110+AZ113</f>
        <v>0</v>
      </c>
      <c r="BA78" s="213">
        <f>BA79+BA91+BA92++BA103+BA104+BA105+BA107+BA108+BA109+BA110+BA113</f>
        <v>0</v>
      </c>
      <c r="BB78" s="213">
        <f>BB79+BB91+BB92++BB103+BB104+BB105+BB107+BB108+BB109+BB110+BB113</f>
        <v>0</v>
      </c>
      <c r="BC78" s="213">
        <f>BC79+BC91+BC92++BC103+BC104+BC105+BC107+BC108+BC109+BC110+BC113</f>
        <v>0</v>
      </c>
      <c r="BD78" s="778">
        <f>IF(AI78=0,0,(AT78-AI78)/AI78*100)</f>
        <v>0</v>
      </c>
      <c r="BE78" s="778">
        <f>IF(AT78=0,0,(AU78-AT78)/AT78*100)</f>
        <v>0</v>
      </c>
      <c r="BF78" s="778">
        <f>IF(AU78=0,0,(AV78-AU78)/AU78*100)</f>
        <v>0</v>
      </c>
      <c r="BG78" s="778">
        <f>IF(AV78=0,0,(AW78-AV78)/AV78*100)</f>
        <v>0</v>
      </c>
      <c r="BH78" s="778">
        <f>IF(AW78=0,0,(AX78-AW78)/AW78*100)</f>
        <v>0</v>
      </c>
      <c r="BI78" s="778">
        <f>IF(AX78=0,0,(AY78-AX78)/AX78*100)</f>
        <v>0</v>
      </c>
      <c r="BJ78" s="778">
        <f>IF(AY78=0,0,(AZ78-AY78)/AY78*100)</f>
        <v>0</v>
      </c>
      <c r="BK78" s="778">
        <f>IF(AZ78=0,0,(BA78-AZ78)/AZ78*100)</f>
        <v>0</v>
      </c>
      <c r="BL78" s="778">
        <f>IF(BA78=0,0,(BB78-BA78)/BA78*100)</f>
        <v>0</v>
      </c>
      <c r="BM78" s="778">
        <f>IF(BB78=0,0,(BC78-BB78)/BB78*100)</f>
        <v>0</v>
      </c>
      <c r="BN78" s="1238"/>
      <c r="BO78" s="1238"/>
      <c r="BP78" s="1238"/>
      <c r="BQ78" s="160"/>
      <c r="BR78" s="700"/>
      <c r="BS78" s="1070" t="s">
        <v>2734</v>
      </c>
      <c r="BT78" s="1070"/>
      <c r="BU78" s="1070"/>
      <c r="BV78" s="707"/>
      <c r="BW78" s="707"/>
    </row>
    <row s="700" customFormat="1" customHeight="1" ht="21.9375" hidden="1">
      <c r="A79" s="700"/>
      <c r="B79" s="435"/>
      <c r="C79" s="109"/>
      <c r="D79" s="109"/>
      <c r="E79" s="826">
        <v>22.5</v>
      </c>
      <c r="F79" s="50" cm="1" t="str">
        <f t="array" ref="F79:F79">OFFSET(E79,-1,1)</f>
        <v>0</v>
      </c>
      <c r="G79" s="374" cm="1" t="str">
        <f t="array" ref="G79:G79">F78</f>
        <v>0</v>
      </c>
      <c r="H79" s="107"/>
      <c r="I79" s="107" t="s">
        <v>1193</v>
      </c>
      <c r="J79" s="109"/>
      <c r="K79" s="158" t="s">
        <v>1193</v>
      </c>
      <c r="L79" s="985" t="s">
        <v>1179</v>
      </c>
      <c r="M79" s="109"/>
      <c r="N79" s="109"/>
      <c r="O79" s="109"/>
      <c r="P79" s="109"/>
      <c r="Q79" s="109"/>
      <c r="R79" s="109"/>
      <c r="S79" s="109"/>
      <c r="T79" s="465" cm="1" t="str">
        <f t="array" ref="T79:T79">T78</f>
        <v>false</v>
      </c>
      <c r="U79" s="109"/>
      <c r="V79" s="109"/>
      <c r="W79" s="109"/>
      <c r="X79" s="1596"/>
      <c r="Y79" s="700"/>
      <c r="Z79" s="1546"/>
      <c r="AA79" s="700"/>
      <c r="AB79" s="211" t="s">
        <v>1250</v>
      </c>
      <c r="AC79" s="361" t="s">
        <v>2735</v>
      </c>
      <c r="AD79" s="211" t="s">
        <v>1514</v>
      </c>
      <c r="AE79" s="213">
        <f>SUM(AE80:AE90)</f>
        <v>0</v>
      </c>
      <c r="AF79" s="213">
        <f>SUM(AF80:AF90)</f>
        <v>0</v>
      </c>
      <c r="AG79" s="213">
        <f>SUM(AG80:AG90)</f>
        <v>0</v>
      </c>
      <c r="AH79" s="778">
        <f>AG79-AF79</f>
        <v>0</v>
      </c>
      <c r="AI79" s="213">
        <f>SUM(AI80:AI90)</f>
        <v>0</v>
      </c>
      <c r="AJ79" s="213">
        <f>SUM(AJ80:AJ90)</f>
        <v>0</v>
      </c>
      <c r="AK79" s="213">
        <f>SUM(AK80:AK90)</f>
        <v>0</v>
      </c>
      <c r="AL79" s="213">
        <f>SUM(AL80:AL90)</f>
        <v>0</v>
      </c>
      <c r="AM79" s="213">
        <f>SUM(AM80:AM90)</f>
        <v>0</v>
      </c>
      <c r="AN79" s="213">
        <f>SUM(AN80:AN90)</f>
        <v>0</v>
      </c>
      <c r="AO79" s="213">
        <f>SUM(AO80:AO90)</f>
        <v>0</v>
      </c>
      <c r="AP79" s="213">
        <f>SUM(AP80:AP90)</f>
        <v>0</v>
      </c>
      <c r="AQ79" s="213">
        <f>SUM(AQ80:AQ90)</f>
        <v>0</v>
      </c>
      <c r="AR79" s="213">
        <f>SUM(AR80:AR90)</f>
        <v>0</v>
      </c>
      <c r="AS79" s="213">
        <f>SUM(AS80:AS90)</f>
        <v>0</v>
      </c>
      <c r="AT79" s="213">
        <f>SUM(AT80:AT90)</f>
        <v>0</v>
      </c>
      <c r="AU79" s="213">
        <f>SUM(AU80:AU90)</f>
        <v>0</v>
      </c>
      <c r="AV79" s="213">
        <f>SUM(AV80:AV90)</f>
        <v>0</v>
      </c>
      <c r="AW79" s="213">
        <f>SUM(AW80:AW90)</f>
        <v>0</v>
      </c>
      <c r="AX79" s="213">
        <f>SUM(AX80:AX90)</f>
        <v>0</v>
      </c>
      <c r="AY79" s="213">
        <f>SUM(AY80:AY90)</f>
        <v>0</v>
      </c>
      <c r="AZ79" s="213">
        <f>SUM(AZ80:AZ90)</f>
        <v>0</v>
      </c>
      <c r="BA79" s="213">
        <f>SUM(BA80:BA90)</f>
        <v>0</v>
      </c>
      <c r="BB79" s="213">
        <f>SUM(BB80:BB90)</f>
        <v>0</v>
      </c>
      <c r="BC79" s="213">
        <f>SUM(BC80:BC90)</f>
        <v>0</v>
      </c>
      <c r="BD79" s="778">
        <f>IF(AI79=0,0,(AT79-AI79)/AI79*100)</f>
        <v>0</v>
      </c>
      <c r="BE79" s="778">
        <f>IF(AT79=0,0,(AU79-AT79)/AT79*100)</f>
        <v>0</v>
      </c>
      <c r="BF79" s="778">
        <f>IF(AU79=0,0,(AV79-AU79)/AU79*100)</f>
        <v>0</v>
      </c>
      <c r="BG79" s="778">
        <f>IF(AV79=0,0,(AW79-AV79)/AV79*100)</f>
        <v>0</v>
      </c>
      <c r="BH79" s="778">
        <f>IF(AW79=0,0,(AX79-AW79)/AW79*100)</f>
        <v>0</v>
      </c>
      <c r="BI79" s="778">
        <f>IF(AX79=0,0,(AY79-AX79)/AX79*100)</f>
        <v>0</v>
      </c>
      <c r="BJ79" s="778">
        <f>IF(AY79=0,0,(AZ79-AY79)/AY79*100)</f>
        <v>0</v>
      </c>
      <c r="BK79" s="778">
        <f>IF(AZ79=0,0,(BA79-AZ79)/AZ79*100)</f>
        <v>0</v>
      </c>
      <c r="BL79" s="778">
        <f>IF(BA79=0,0,(BB79-BA79)/BA79*100)</f>
        <v>0</v>
      </c>
      <c r="BM79" s="778">
        <f>IF(BB79=0,0,(BC79-BB79)/BB79*100)</f>
        <v>0</v>
      </c>
      <c r="BN79" s="1240"/>
      <c r="BO79" s="1240"/>
      <c r="BP79" s="1240"/>
      <c r="BQ79" s="700"/>
      <c r="BR79" s="700"/>
      <c r="BS79" s="1070" t="s">
        <v>2736</v>
      </c>
      <c r="BT79" s="1070"/>
      <c r="BU79" s="1070"/>
      <c r="BV79" s="707"/>
      <c r="BW79" s="707"/>
    </row>
    <row customHeight="1" ht="14.625" hidden="1">
      <c r="A80" s="1278"/>
      <c r="B80" s="978"/>
      <c r="C80" s="107"/>
      <c r="D80" s="107"/>
      <c r="E80" s="621">
        <v>15</v>
      </c>
      <c r="F80" s="50" cm="1" t="str">
        <f t="array" ref="F80:F80">OFFSET(E80,-1,1)</f>
        <v>0</v>
      </c>
      <c r="G80" s="107" t="s">
        <v>1819</v>
      </c>
      <c r="H80" s="107"/>
      <c r="I80" s="107" t="s">
        <v>2295</v>
      </c>
      <c r="J80" s="107"/>
      <c r="K80" s="158" t="s">
        <v>2295</v>
      </c>
      <c r="L80" s="980" t="s">
        <v>2071</v>
      </c>
      <c r="M80" s="107"/>
      <c r="N80" s="107"/>
      <c r="O80" s="107"/>
      <c r="P80" s="107"/>
      <c r="Q80" s="107"/>
      <c r="R80" s="107"/>
      <c r="S80" s="107"/>
      <c r="T80" s="465" cm="1" t="str">
        <f t="array" ref="T80:T80">T79</f>
        <v>false</v>
      </c>
      <c r="U80" s="107"/>
      <c r="V80" s="107"/>
      <c r="W80" s="107"/>
      <c r="X80" s="1596"/>
      <c r="Y80" s="1278"/>
      <c r="Z80" s="1546"/>
      <c r="AA80" s="1278"/>
      <c r="AB80" s="300" t="s">
        <v>1201</v>
      </c>
      <c r="AC80" s="765" t="s">
        <v>2737</v>
      </c>
      <c r="AD80" s="300" t="s">
        <v>1514</v>
      </c>
      <c r="AE80" s="1114">
        <f>_xlfn.SUMIFS(Покупка!AE$25:AE$372,Покупка!$F$25:$F$372,$F80,Покупка!$AC$25:$AC$372,$G80)</f>
        <v>0</v>
      </c>
      <c r="AF80" s="1114">
        <f>_xlfn.SUMIFS(Покупка!AF$25:AF$372,Покупка!$F$25:$F$372,$F80,Покупка!$AC$25:$AC$372,$G80)</f>
        <v>0</v>
      </c>
      <c r="AG80" s="1114">
        <f>_xlfn.SUMIFS(Покупка!AG$25:AG$372,Покупка!$F$25:$F$372,$F80,Покупка!$AC$25:$AC$372,$G80)</f>
        <v>0</v>
      </c>
      <c r="AH80" s="1114">
        <f>AG80-AF80</f>
        <v>0</v>
      </c>
      <c r="AI80" s="1114">
        <f>_xlfn.SUMIFS(Покупка!AH$25:AH$372,Покупка!$F$25:$F$372,$F80,Покупка!$AC$25:$AC$372,$G80)</f>
        <v>0</v>
      </c>
      <c r="AJ80" s="1114">
        <f>_xlfn.SUMIFS(Покупка!AI$25:AI$372,Покупка!$F$25:$F$372,$F80,Покупка!$AC$25:$AC$372,$G80)</f>
        <v>0</v>
      </c>
      <c r="AK80" s="1114">
        <f>_xlfn.SUMIFS(Покупка!AJ$25:AJ$372,Покупка!$F$25:$F$372,$F80,Покупка!$AC$25:$AC$372,$G80)</f>
        <v>0</v>
      </c>
      <c r="AL80" s="1114">
        <f>_xlfn.SUMIFS(Покупка!AK$25:AK$372,Покупка!$F$25:$F$372,$F80,Покупка!$AC$25:$AC$372,$G80)</f>
        <v>0</v>
      </c>
      <c r="AM80" s="1114">
        <f>_xlfn.SUMIFS(Покупка!AL$25:AL$372,Покупка!$F$25:$F$372,$F80,Покупка!$AC$25:$AC$372,$G80)</f>
        <v>0</v>
      </c>
      <c r="AN80" s="1114">
        <f>_xlfn.SUMIFS(Покупка!AM$25:AM$372,Покупка!$F$25:$F$372,$F80,Покупка!$AC$25:$AC$372,$G80)</f>
        <v>0</v>
      </c>
      <c r="AO80" s="1114">
        <f>_xlfn.SUMIFS(Покупка!AN$25:AN$372,Покупка!$F$25:$F$372,$F80,Покупка!$AC$25:$AC$372,$G80)</f>
        <v>0</v>
      </c>
      <c r="AP80" s="1114">
        <f>_xlfn.SUMIFS(Покупка!AO$25:AO$372,Покупка!$F$25:$F$372,$F80,Покупка!$AC$25:$AC$372,$G80)</f>
        <v>0</v>
      </c>
      <c r="AQ80" s="1114">
        <f>_xlfn.SUMIFS(Покупка!AP$25:AP$372,Покупка!$F$25:$F$372,$F80,Покупка!$AC$25:$AC$372,$G80)</f>
        <v>0</v>
      </c>
      <c r="AR80" s="1114">
        <f>_xlfn.SUMIFS(Покупка!AQ$25:AQ$372,Покупка!$F$25:$F$372,$F80,Покупка!$AC$25:$AC$372,$G80)</f>
        <v>0</v>
      </c>
      <c r="AS80" s="1114">
        <f>_xlfn.SUMIFS(Покупка!AR$25:AR$372,Покупка!$F$25:$F$372,$F80,Покупка!$AC$25:$AC$372,$G80)</f>
        <v>0</v>
      </c>
      <c r="AT80" s="1114">
        <f>_xlfn.SUMIFS(Покупка!AS$25:AS$372,Покупка!$F$25:$F$372,$F80,Покупка!$AC$25:$AC$372,$G80)</f>
        <v>0</v>
      </c>
      <c r="AU80" s="1114">
        <f>_xlfn.SUMIFS(Покупка!AT$25:AT$372,Покупка!$F$25:$F$372,$F80,Покупка!$AC$25:$AC$372,$G80)</f>
        <v>0</v>
      </c>
      <c r="AV80" s="1114">
        <f>_xlfn.SUMIFS(Покупка!AU$25:AU$372,Покупка!$F$25:$F$372,$F80,Покупка!$AC$25:$AC$372,$G80)</f>
        <v>0</v>
      </c>
      <c r="AW80" s="1114">
        <f>_xlfn.SUMIFS(Покупка!AV$25:AV$372,Покупка!$F$25:$F$372,$F80,Покупка!$AC$25:$AC$372,$G80)</f>
        <v>0</v>
      </c>
      <c r="AX80" s="1114">
        <f>_xlfn.SUMIFS(Покупка!AW$25:AW$372,Покупка!$F$25:$F$372,$F80,Покупка!$AC$25:$AC$372,$G80)</f>
        <v>0</v>
      </c>
      <c r="AY80" s="1114">
        <f>_xlfn.SUMIFS(Покупка!AX$25:AX$372,Покупка!$F$25:$F$372,$F80,Покупка!$AC$25:$AC$372,$G80)</f>
        <v>0</v>
      </c>
      <c r="AZ80" s="1114">
        <f>_xlfn.SUMIFS(Покупка!AY$25:AY$372,Покупка!$F$25:$F$372,$F80,Покупка!$AC$25:$AC$372,$G80)</f>
        <v>0</v>
      </c>
      <c r="BA80" s="1114">
        <f>_xlfn.SUMIFS(Покупка!AZ$25:AZ$372,Покупка!$F$25:$F$372,$F80,Покупка!$AC$25:$AC$372,$G80)</f>
        <v>0</v>
      </c>
      <c r="BB80" s="1114">
        <f>_xlfn.SUMIFS(Покупка!BA$25:BA$372,Покупка!$F$25:$F$372,$F80,Покупка!$AC$25:$AC$372,$G80)</f>
        <v>0</v>
      </c>
      <c r="BC80" s="1114">
        <f>_xlfn.SUMIFS(Покупка!BB$25:BB$372,Покупка!$F$25:$F$372,$F80,Покупка!$AC$25:$AC$372,$G80)</f>
        <v>0</v>
      </c>
      <c r="BD80" s="1114">
        <f>IF(AI80=0,0,(AT80-AI80)/AI80*100)</f>
        <v>0</v>
      </c>
      <c r="BE80" s="1114">
        <f>IF(AT80=0,0,(AU80-AT80)/AT80*100)</f>
        <v>0</v>
      </c>
      <c r="BF80" s="1114">
        <f>IF(AU80=0,0,(AV80-AU80)/AU80*100)</f>
        <v>0</v>
      </c>
      <c r="BG80" s="1114">
        <f>IF(AV80=0,0,(AW80-AV80)/AV80*100)</f>
        <v>0</v>
      </c>
      <c r="BH80" s="1114">
        <f>IF(AW80=0,0,(AX80-AW80)/AW80*100)</f>
        <v>0</v>
      </c>
      <c r="BI80" s="1114">
        <f>IF(AX80=0,0,(AY80-AX80)/AX80*100)</f>
        <v>0</v>
      </c>
      <c r="BJ80" s="1114">
        <f>IF(AY80=0,0,(AZ80-AY80)/AY80*100)</f>
        <v>0</v>
      </c>
      <c r="BK80" s="1114">
        <f>IF(AZ80=0,0,(BA80-AZ80)/AZ80*100)</f>
        <v>0</v>
      </c>
      <c r="BL80" s="1114">
        <f>IF(BA80=0,0,(BB80-BA80)/BA80*100)</f>
        <v>0</v>
      </c>
      <c r="BM80" s="1114">
        <f>IF(BB80=0,0,(BC80-BB80)/BB80*100)</f>
        <v>0</v>
      </c>
      <c r="BN80" s="1238"/>
      <c r="BO80" s="1242" t="str">
        <f>IF(_xlfn.IFERROR(INDEX(Покупка!$K$26:$L$372,MATCH($F80&amp;"6komm",Покупка!$K$26:$K$372,0),2),"")=0,"",_xlfn.IFERROR(INDEX(Покупка!$K$26:$L$372,MATCH($F80&amp;"6komm",Покупка!$K$26:$K$372,0),2),""))</f>
        <v/>
      </c>
      <c r="BP80" s="1238"/>
      <c r="BQ80" s="1278"/>
      <c r="BR80" s="1278"/>
      <c r="BS80" s="1064" t="s">
        <v>1820</v>
      </c>
      <c r="BT80" s="1064"/>
      <c r="BU80" s="1064"/>
      <c r="BV80" s="979"/>
      <c r="BW80" s="979"/>
    </row>
    <row customHeight="1" ht="14.625" hidden="1">
      <c r="A81" s="1278"/>
      <c r="B81" s="978"/>
      <c r="C81" s="107"/>
      <c r="D81" s="107"/>
      <c r="E81" s="621">
        <v>15</v>
      </c>
      <c r="F81" s="50" cm="1" t="str">
        <f t="array" ref="F81:F81">OFFSET(E81,-1,1)</f>
        <v>0</v>
      </c>
      <c r="G81" s="107" t="s">
        <v>1841</v>
      </c>
      <c r="H81" s="107"/>
      <c r="I81" s="107" t="s">
        <v>2299</v>
      </c>
      <c r="J81" s="107"/>
      <c r="K81" s="107" t="s">
        <v>2299</v>
      </c>
      <c r="L81" s="980" t="s">
        <v>2075</v>
      </c>
      <c r="M81" s="107"/>
      <c r="N81" s="107"/>
      <c r="O81" s="107"/>
      <c r="P81" s="107"/>
      <c r="Q81" s="107"/>
      <c r="R81" s="107"/>
      <c r="S81" s="107"/>
      <c r="T81" s="465" cm="1" t="str">
        <f t="array" ref="T81:T81">T80</f>
        <v>false</v>
      </c>
      <c r="U81" s="107"/>
      <c r="V81" s="107"/>
      <c r="W81" s="107"/>
      <c r="X81" s="1596"/>
      <c r="Y81" s="1278"/>
      <c r="Z81" s="1546"/>
      <c r="AA81" s="1278"/>
      <c r="AB81" s="300" t="s">
        <v>2738</v>
      </c>
      <c r="AC81" s="765" t="s">
        <v>2739</v>
      </c>
      <c r="AD81" s="300" t="s">
        <v>1514</v>
      </c>
      <c r="AE81" s="1114">
        <f>_xlfn.SUMIFS(Покупка!AE$25:AE$372,Покупка!$F$25:$F$372,$F81,Покупка!$AC$25:$AC$372,$G81)</f>
        <v>0</v>
      </c>
      <c r="AF81" s="1114">
        <f>_xlfn.SUMIFS(Покупка!AF$25:AF$372,Покупка!$F$25:$F$372,$F81,Покупка!$AC$25:$AC$372,$G81)</f>
        <v>0</v>
      </c>
      <c r="AG81" s="1114">
        <f>_xlfn.SUMIFS(Покупка!AG$25:AG$372,Покупка!$F$25:$F$372,$F81,Покупка!$AC$25:$AC$372,$G81)</f>
        <v>0</v>
      </c>
      <c r="AH81" s="1114">
        <f>AG81-AF81</f>
        <v>0</v>
      </c>
      <c r="AI81" s="1114">
        <f>_xlfn.SUMIFS(Покупка!AH$25:AH$372,Покупка!$F$25:$F$372,$F81,Покупка!$AC$25:$AC$372,$G81)</f>
        <v>0</v>
      </c>
      <c r="AJ81" s="1114">
        <f>_xlfn.SUMIFS(Покупка!AI$25:AI$372,Покупка!$F$25:$F$372,$F81,Покупка!$AC$25:$AC$372,$G81)</f>
        <v>0</v>
      </c>
      <c r="AK81" s="1114">
        <f>_xlfn.SUMIFS(Покупка!AJ$25:AJ$372,Покупка!$F$25:$F$372,$F81,Покупка!$AC$25:$AC$372,$G81)</f>
        <v>0</v>
      </c>
      <c r="AL81" s="1114">
        <f>_xlfn.SUMIFS(Покупка!AK$25:AK$372,Покупка!$F$25:$F$372,$F81,Покупка!$AC$25:$AC$372,$G81)</f>
        <v>0</v>
      </c>
      <c r="AM81" s="1114">
        <f>_xlfn.SUMIFS(Покупка!AL$25:AL$372,Покупка!$F$25:$F$372,$F81,Покупка!$AC$25:$AC$372,$G81)</f>
        <v>0</v>
      </c>
      <c r="AN81" s="1114">
        <f>_xlfn.SUMIFS(Покупка!AM$25:AM$372,Покупка!$F$25:$F$372,$F81,Покупка!$AC$25:$AC$372,$G81)</f>
        <v>0</v>
      </c>
      <c r="AO81" s="1114">
        <f>_xlfn.SUMIFS(Покупка!AN$25:AN$372,Покупка!$F$25:$F$372,$F81,Покупка!$AC$25:$AC$372,$G81)</f>
        <v>0</v>
      </c>
      <c r="AP81" s="1114">
        <f>_xlfn.SUMIFS(Покупка!AO$25:AO$372,Покупка!$F$25:$F$372,$F81,Покупка!$AC$25:$AC$372,$G81)</f>
        <v>0</v>
      </c>
      <c r="AQ81" s="1114">
        <f>_xlfn.SUMIFS(Покупка!AP$25:AP$372,Покупка!$F$25:$F$372,$F81,Покупка!$AC$25:$AC$372,$G81)</f>
        <v>0</v>
      </c>
      <c r="AR81" s="1114">
        <f>_xlfn.SUMIFS(Покупка!AQ$25:AQ$372,Покупка!$F$25:$F$372,$F81,Покупка!$AC$25:$AC$372,$G81)</f>
        <v>0</v>
      </c>
      <c r="AS81" s="1114">
        <f>_xlfn.SUMIFS(Покупка!AR$25:AR$372,Покупка!$F$25:$F$372,$F81,Покупка!$AC$25:$AC$372,$G81)</f>
        <v>0</v>
      </c>
      <c r="AT81" s="1114">
        <f>_xlfn.SUMIFS(Покупка!AS$25:AS$372,Покупка!$F$25:$F$372,$F81,Покупка!$AC$25:$AC$372,$G81)</f>
        <v>0</v>
      </c>
      <c r="AU81" s="1114">
        <f>_xlfn.SUMIFS(Покупка!AT$25:AT$372,Покупка!$F$25:$F$372,$F81,Покупка!$AC$25:$AC$372,$G81)</f>
        <v>0</v>
      </c>
      <c r="AV81" s="1114">
        <f>_xlfn.SUMIFS(Покупка!AU$25:AU$372,Покупка!$F$25:$F$372,$F81,Покупка!$AC$25:$AC$372,$G81)</f>
        <v>0</v>
      </c>
      <c r="AW81" s="1114">
        <f>_xlfn.SUMIFS(Покупка!AV$25:AV$372,Покупка!$F$25:$F$372,$F81,Покупка!$AC$25:$AC$372,$G81)</f>
        <v>0</v>
      </c>
      <c r="AX81" s="1114">
        <f>_xlfn.SUMIFS(Покупка!AW$25:AW$372,Покупка!$F$25:$F$372,$F81,Покупка!$AC$25:$AC$372,$G81)</f>
        <v>0</v>
      </c>
      <c r="AY81" s="1114">
        <f>_xlfn.SUMIFS(Покупка!AX$25:AX$372,Покупка!$F$25:$F$372,$F81,Покупка!$AC$25:$AC$372,$G81)</f>
        <v>0</v>
      </c>
      <c r="AZ81" s="1114">
        <f>_xlfn.SUMIFS(Покупка!AY$25:AY$372,Покупка!$F$25:$F$372,$F81,Покупка!$AC$25:$AC$372,$G81)</f>
        <v>0</v>
      </c>
      <c r="BA81" s="1114">
        <f>_xlfn.SUMIFS(Покупка!AZ$25:AZ$372,Покупка!$F$25:$F$372,$F81,Покупка!$AC$25:$AC$372,$G81)</f>
        <v>0</v>
      </c>
      <c r="BB81" s="1114">
        <f>_xlfn.SUMIFS(Покупка!BA$25:BA$372,Покупка!$F$25:$F$372,$F81,Покупка!$AC$25:$AC$372,$G81)</f>
        <v>0</v>
      </c>
      <c r="BC81" s="1114">
        <f>_xlfn.SUMIFS(Покупка!BB$25:BB$372,Покупка!$F$25:$F$372,$F81,Покупка!$AC$25:$AC$372,$G81)</f>
        <v>0</v>
      </c>
      <c r="BD81" s="1114">
        <f>IF(AI81=0,0,(AT81-AI81)/AI81*100)</f>
        <v>0</v>
      </c>
      <c r="BE81" s="1114">
        <f>IF(AT81=0,0,(AU81-AT81)/AT81*100)</f>
        <v>0</v>
      </c>
      <c r="BF81" s="1114">
        <f>IF(AU81=0,0,(AV81-AU81)/AU81*100)</f>
        <v>0</v>
      </c>
      <c r="BG81" s="1114">
        <f>IF(AV81=0,0,(AW81-AV81)/AV81*100)</f>
        <v>0</v>
      </c>
      <c r="BH81" s="1114">
        <f>IF(AW81=0,0,(AX81-AW81)/AW81*100)</f>
        <v>0</v>
      </c>
      <c r="BI81" s="1114">
        <f>IF(AX81=0,0,(AY81-AX81)/AX81*100)</f>
        <v>0</v>
      </c>
      <c r="BJ81" s="1114">
        <f>IF(AY81=0,0,(AZ81-AY81)/AY81*100)</f>
        <v>0</v>
      </c>
      <c r="BK81" s="1114">
        <f>IF(AZ81=0,0,(BA81-AZ81)/AZ81*100)</f>
        <v>0</v>
      </c>
      <c r="BL81" s="1114">
        <f>IF(BA81=0,0,(BB81-BA81)/BA81*100)</f>
        <v>0</v>
      </c>
      <c r="BM81" s="1114">
        <f>IF(BB81=0,0,(BC81-BB81)/BB81*100)</f>
        <v>0</v>
      </c>
      <c r="BN81" s="1238"/>
      <c r="BO81" s="1242" t="str">
        <f>IF(_xlfn.IFERROR(INDEX(Покупка!$K$26:$L$372,MATCH($F81&amp;"7komm",Покупка!$K$26:$K$372,0),2),"")=0,"",_xlfn.IFERROR(INDEX(Покупка!$K$26:$L$372,MATCH($F81&amp;"7komm",Покупка!$K$26:$K$372,0),2),""))</f>
        <v/>
      </c>
      <c r="BP81" s="1238"/>
      <c r="BQ81" s="1278"/>
      <c r="BR81" s="1278"/>
      <c r="BS81" s="1064" t="s">
        <v>1842</v>
      </c>
      <c r="BT81" s="1064"/>
      <c r="BU81" s="1064"/>
      <c r="BV81" s="979"/>
      <c r="BW81" s="979"/>
    </row>
    <row customHeight="1" ht="14.625" hidden="1">
      <c r="A82" s="1278"/>
      <c r="B82" s="978"/>
      <c r="C82" s="107"/>
      <c r="D82" s="107"/>
      <c r="E82" s="621">
        <v>15</v>
      </c>
      <c r="F82" s="50" cm="1" t="str">
        <f t="array" ref="F82:F82">OFFSET(E82,-1,1)</f>
        <v>0</v>
      </c>
      <c r="G82" s="107" t="s">
        <v>1793</v>
      </c>
      <c r="H82" s="107"/>
      <c r="I82" s="107" t="s">
        <v>2374</v>
      </c>
      <c r="J82" s="107"/>
      <c r="K82" s="107" t="s">
        <v>2374</v>
      </c>
      <c r="L82" s="980" t="s">
        <v>2244</v>
      </c>
      <c r="M82" s="107"/>
      <c r="N82" s="107"/>
      <c r="O82" s="107"/>
      <c r="P82" s="107"/>
      <c r="Q82" s="107"/>
      <c r="R82" s="107"/>
      <c r="S82" s="107"/>
      <c r="T82" s="465" cm="1" t="str">
        <f t="array" ref="T82:T82">T81</f>
        <v>false</v>
      </c>
      <c r="U82" s="107"/>
      <c r="V82" s="107"/>
      <c r="W82" s="107"/>
      <c r="X82" s="1596"/>
      <c r="Y82" s="1278"/>
      <c r="Z82" s="1546"/>
      <c r="AA82" s="1278"/>
      <c r="AB82" s="300" t="s">
        <v>2740</v>
      </c>
      <c r="AC82" s="765" t="s">
        <v>2741</v>
      </c>
      <c r="AD82" s="300" t="s">
        <v>1514</v>
      </c>
      <c r="AE82" s="1114">
        <f>_xlfn.SUMIFS(Покупка!AE$25:AE$372,Покупка!$F$25:$F$372,$F82,Покупка!$AC$25:$AC$372,$G82)</f>
        <v>0</v>
      </c>
      <c r="AF82" s="1114">
        <f>_xlfn.SUMIFS(Покупка!AF$25:AF$372,Покупка!$F$25:$F$372,$F82,Покупка!$AC$25:$AC$372,$G82)</f>
        <v>0</v>
      </c>
      <c r="AG82" s="1114">
        <f>_xlfn.SUMIFS(Покупка!AG$25:AG$372,Покупка!$F$25:$F$372,$F82,Покупка!$AC$25:$AC$372,$G82)</f>
        <v>0</v>
      </c>
      <c r="AH82" s="1114">
        <f>AG82-AF82</f>
        <v>0</v>
      </c>
      <c r="AI82" s="1114">
        <f>_xlfn.SUMIFS(Покупка!AH$25:AH$372,Покупка!$F$25:$F$372,$F82,Покупка!$AC$25:$AC$372,$G82)</f>
        <v>0</v>
      </c>
      <c r="AJ82" s="1114">
        <f>_xlfn.SUMIFS(Покупка!AI$25:AI$372,Покупка!$F$25:$F$372,$F82,Покупка!$AC$25:$AC$372,$G82)</f>
        <v>0</v>
      </c>
      <c r="AK82" s="1114">
        <f>_xlfn.SUMIFS(Покупка!AJ$25:AJ$372,Покупка!$F$25:$F$372,$F82,Покупка!$AC$25:$AC$372,$G82)</f>
        <v>0</v>
      </c>
      <c r="AL82" s="1114">
        <f>_xlfn.SUMIFS(Покупка!AK$25:AK$372,Покупка!$F$25:$F$372,$F82,Покупка!$AC$25:$AC$372,$G82)</f>
        <v>0</v>
      </c>
      <c r="AM82" s="1114">
        <f>_xlfn.SUMIFS(Покупка!AL$25:AL$372,Покупка!$F$25:$F$372,$F82,Покупка!$AC$25:$AC$372,$G82)</f>
        <v>0</v>
      </c>
      <c r="AN82" s="1114">
        <f>_xlfn.SUMIFS(Покупка!AM$25:AM$372,Покупка!$F$25:$F$372,$F82,Покупка!$AC$25:$AC$372,$G82)</f>
        <v>0</v>
      </c>
      <c r="AO82" s="1114">
        <f>_xlfn.SUMIFS(Покупка!AN$25:AN$372,Покупка!$F$25:$F$372,$F82,Покупка!$AC$25:$AC$372,$G82)</f>
        <v>0</v>
      </c>
      <c r="AP82" s="1114">
        <f>_xlfn.SUMIFS(Покупка!AO$25:AO$372,Покупка!$F$25:$F$372,$F82,Покупка!$AC$25:$AC$372,$G82)</f>
        <v>0</v>
      </c>
      <c r="AQ82" s="1114">
        <f>_xlfn.SUMIFS(Покупка!AP$25:AP$372,Покупка!$F$25:$F$372,$F82,Покупка!$AC$25:$AC$372,$G82)</f>
        <v>0</v>
      </c>
      <c r="AR82" s="1114">
        <f>_xlfn.SUMIFS(Покупка!AQ$25:AQ$372,Покупка!$F$25:$F$372,$F82,Покупка!$AC$25:$AC$372,$G82)</f>
        <v>0</v>
      </c>
      <c r="AS82" s="1114">
        <f>_xlfn.SUMIFS(Покупка!AR$25:AR$372,Покупка!$F$25:$F$372,$F82,Покупка!$AC$25:$AC$372,$G82)</f>
        <v>0</v>
      </c>
      <c r="AT82" s="1114">
        <f>_xlfn.SUMIFS(Покупка!AS$25:AS$372,Покупка!$F$25:$F$372,$F82,Покупка!$AC$25:$AC$372,$G82)</f>
        <v>0</v>
      </c>
      <c r="AU82" s="1114">
        <f>_xlfn.SUMIFS(Покупка!AT$25:AT$372,Покупка!$F$25:$F$372,$F82,Покупка!$AC$25:$AC$372,$G82)</f>
        <v>0</v>
      </c>
      <c r="AV82" s="1114">
        <f>_xlfn.SUMIFS(Покупка!AU$25:AU$372,Покупка!$F$25:$F$372,$F82,Покупка!$AC$25:$AC$372,$G82)</f>
        <v>0</v>
      </c>
      <c r="AW82" s="1114">
        <f>_xlfn.SUMIFS(Покупка!AV$25:AV$372,Покупка!$F$25:$F$372,$F82,Покупка!$AC$25:$AC$372,$G82)</f>
        <v>0</v>
      </c>
      <c r="AX82" s="1114">
        <f>_xlfn.SUMIFS(Покупка!AW$25:AW$372,Покупка!$F$25:$F$372,$F82,Покупка!$AC$25:$AC$372,$G82)</f>
        <v>0</v>
      </c>
      <c r="AY82" s="1114">
        <f>_xlfn.SUMIFS(Покупка!AX$25:AX$372,Покупка!$F$25:$F$372,$F82,Покупка!$AC$25:$AC$372,$G82)</f>
        <v>0</v>
      </c>
      <c r="AZ82" s="1114">
        <f>_xlfn.SUMIFS(Покупка!AY$25:AY$372,Покупка!$F$25:$F$372,$F82,Покупка!$AC$25:$AC$372,$G82)</f>
        <v>0</v>
      </c>
      <c r="BA82" s="1114">
        <f>_xlfn.SUMIFS(Покупка!AZ$25:AZ$372,Покупка!$F$25:$F$372,$F82,Покупка!$AC$25:$AC$372,$G82)</f>
        <v>0</v>
      </c>
      <c r="BB82" s="1114">
        <f>_xlfn.SUMIFS(Покупка!BA$25:BA$372,Покупка!$F$25:$F$372,$F82,Покупка!$AC$25:$AC$372,$G82)</f>
        <v>0</v>
      </c>
      <c r="BC82" s="1114">
        <f>_xlfn.SUMIFS(Покупка!BB$25:BB$372,Покупка!$F$25:$F$372,$F82,Покупка!$AC$25:$AC$372,$G82)</f>
        <v>0</v>
      </c>
      <c r="BD82" s="1114">
        <f>IF(AI82=0,0,(AT82-AI82)/AI82*100)</f>
        <v>0</v>
      </c>
      <c r="BE82" s="1114">
        <f>IF(AT82=0,0,(AU82-AT82)/AT82*100)</f>
        <v>0</v>
      </c>
      <c r="BF82" s="1114">
        <f>IF(AU82=0,0,(AV82-AU82)/AU82*100)</f>
        <v>0</v>
      </c>
      <c r="BG82" s="1114">
        <f>IF(AV82=0,0,(AW82-AV82)/AV82*100)</f>
        <v>0</v>
      </c>
      <c r="BH82" s="1114">
        <f>IF(AW82=0,0,(AX82-AW82)/AW82*100)</f>
        <v>0</v>
      </c>
      <c r="BI82" s="1114">
        <f>IF(AX82=0,0,(AY82-AX82)/AX82*100)</f>
        <v>0</v>
      </c>
      <c r="BJ82" s="1114">
        <f>IF(AY82=0,0,(AZ82-AY82)/AY82*100)</f>
        <v>0</v>
      </c>
      <c r="BK82" s="1114">
        <f>IF(AZ82=0,0,(BA82-AZ82)/AZ82*100)</f>
        <v>0</v>
      </c>
      <c r="BL82" s="1114">
        <f>IF(BA82=0,0,(BB82-BA82)/BA82*100)</f>
        <v>0</v>
      </c>
      <c r="BM82" s="1114">
        <f>IF(BB82=0,0,(BC82-BB82)/BB82*100)</f>
        <v>0</v>
      </c>
      <c r="BN82" s="1238"/>
      <c r="BO82" s="1242" t="str">
        <f>IF(_xlfn.IFERROR(INDEX(Покупка!$K$26:$L$372,MATCH($F82&amp;"2komm",Покупка!$K$26:$K$372,0),2),"")=0,"",_xlfn.IFERROR(INDEX(Покупка!$K$26:$L$372,MATCH($F82&amp;"2komm",Покупка!$K$26:$K$372,0),2),""))</f>
        <v/>
      </c>
      <c r="BP82" s="1238"/>
      <c r="BQ82" s="1278"/>
      <c r="BR82" s="1278"/>
      <c r="BS82" s="1064" t="s">
        <v>2742</v>
      </c>
      <c r="BT82" s="1064"/>
      <c r="BU82" s="1064"/>
      <c r="BV82" s="979"/>
      <c r="BW82" s="979"/>
    </row>
    <row customHeight="1" ht="14.625" hidden="1">
      <c r="A83" s="1278"/>
      <c r="B83" s="978"/>
      <c r="C83" s="107"/>
      <c r="D83" s="107"/>
      <c r="E83" s="621">
        <v>15</v>
      </c>
      <c r="F83" s="50" cm="1" t="str">
        <f t="array" ref="F83:F83">OFFSET(E83,-1,1)</f>
        <v>0</v>
      </c>
      <c r="G83" s="107" t="s">
        <v>1780</v>
      </c>
      <c r="H83" s="107"/>
      <c r="I83" s="107" t="s">
        <v>2376</v>
      </c>
      <c r="J83" s="107"/>
      <c r="K83" s="107" t="s">
        <v>2376</v>
      </c>
      <c r="L83" s="980" t="s">
        <v>2239</v>
      </c>
      <c r="M83" s="107"/>
      <c r="N83" s="107"/>
      <c r="O83" s="107"/>
      <c r="P83" s="107"/>
      <c r="Q83" s="107"/>
      <c r="R83" s="107"/>
      <c r="S83" s="107"/>
      <c r="T83" s="465" cm="1" t="str">
        <f t="array" ref="T83:T83">T82</f>
        <v>false</v>
      </c>
      <c r="U83" s="107"/>
      <c r="V83" s="107"/>
      <c r="W83" s="107"/>
      <c r="X83" s="1596"/>
      <c r="Y83" s="1278"/>
      <c r="Z83" s="1546"/>
      <c r="AA83" s="1278"/>
      <c r="AB83" s="300" t="s">
        <v>2743</v>
      </c>
      <c r="AC83" s="765" t="s">
        <v>2744</v>
      </c>
      <c r="AD83" s="300" t="s">
        <v>1514</v>
      </c>
      <c r="AE83" s="1114">
        <f>_xlfn.SUMIFS(Покупка!AE$25:AE$372,Покупка!$F$25:$F$372,$F83,Покупка!$AC$25:$AC$372,$G83)</f>
        <v>0</v>
      </c>
      <c r="AF83" s="1114">
        <f>_xlfn.SUMIFS(Покупка!AF$25:AF$372,Покупка!$F$25:$F$372,$F83,Покупка!$AC$25:$AC$372,$G83)</f>
        <v>0</v>
      </c>
      <c r="AG83" s="1114">
        <f>_xlfn.SUMIFS(Покупка!AG$25:AG$372,Покупка!$F$25:$F$372,$F83,Покупка!$AC$25:$AC$372,$G83)</f>
        <v>0</v>
      </c>
      <c r="AH83" s="1114">
        <f>AG83-AF83</f>
        <v>0</v>
      </c>
      <c r="AI83" s="1114">
        <f>_xlfn.SUMIFS(Покупка!AH$25:AH$372,Покупка!$F$25:$F$372,$F83,Покупка!$AC$25:$AC$372,$G83)</f>
        <v>0</v>
      </c>
      <c r="AJ83" s="1114">
        <f>_xlfn.SUMIFS(Покупка!AI$25:AI$372,Покупка!$F$25:$F$372,$F83,Покупка!$AC$25:$AC$372,$G83)</f>
        <v>0</v>
      </c>
      <c r="AK83" s="1114">
        <f>_xlfn.SUMIFS(Покупка!AJ$25:AJ$372,Покупка!$F$25:$F$372,$F83,Покупка!$AC$25:$AC$372,$G83)</f>
        <v>0</v>
      </c>
      <c r="AL83" s="1114">
        <f>_xlfn.SUMIFS(Покупка!AK$25:AK$372,Покупка!$F$25:$F$372,$F83,Покупка!$AC$25:$AC$372,$G83)</f>
        <v>0</v>
      </c>
      <c r="AM83" s="1114">
        <f>_xlfn.SUMIFS(Покупка!AL$25:AL$372,Покупка!$F$25:$F$372,$F83,Покупка!$AC$25:$AC$372,$G83)</f>
        <v>0</v>
      </c>
      <c r="AN83" s="1114">
        <f>_xlfn.SUMIFS(Покупка!AM$25:AM$372,Покупка!$F$25:$F$372,$F83,Покупка!$AC$25:$AC$372,$G83)</f>
        <v>0</v>
      </c>
      <c r="AO83" s="1114">
        <f>_xlfn.SUMIFS(Покупка!AN$25:AN$372,Покупка!$F$25:$F$372,$F83,Покупка!$AC$25:$AC$372,$G83)</f>
        <v>0</v>
      </c>
      <c r="AP83" s="1114">
        <f>_xlfn.SUMIFS(Покупка!AO$25:AO$372,Покупка!$F$25:$F$372,$F83,Покупка!$AC$25:$AC$372,$G83)</f>
        <v>0</v>
      </c>
      <c r="AQ83" s="1114">
        <f>_xlfn.SUMIFS(Покупка!AP$25:AP$372,Покупка!$F$25:$F$372,$F83,Покупка!$AC$25:$AC$372,$G83)</f>
        <v>0</v>
      </c>
      <c r="AR83" s="1114">
        <f>_xlfn.SUMIFS(Покупка!AQ$25:AQ$372,Покупка!$F$25:$F$372,$F83,Покупка!$AC$25:$AC$372,$G83)</f>
        <v>0</v>
      </c>
      <c r="AS83" s="1114">
        <f>_xlfn.SUMIFS(Покупка!AR$25:AR$372,Покупка!$F$25:$F$372,$F83,Покупка!$AC$25:$AC$372,$G83)</f>
        <v>0</v>
      </c>
      <c r="AT83" s="1114">
        <f>_xlfn.SUMIFS(Покупка!AS$25:AS$372,Покупка!$F$25:$F$372,$F83,Покупка!$AC$25:$AC$372,$G83)</f>
        <v>0</v>
      </c>
      <c r="AU83" s="1114">
        <f>_xlfn.SUMIFS(Покупка!AT$25:AT$372,Покупка!$F$25:$F$372,$F83,Покупка!$AC$25:$AC$372,$G83)</f>
        <v>0</v>
      </c>
      <c r="AV83" s="1114">
        <f>_xlfn.SUMIFS(Покупка!AU$25:AU$372,Покупка!$F$25:$F$372,$F83,Покупка!$AC$25:$AC$372,$G83)</f>
        <v>0</v>
      </c>
      <c r="AW83" s="1114">
        <f>_xlfn.SUMIFS(Покупка!AV$25:AV$372,Покупка!$F$25:$F$372,$F83,Покупка!$AC$25:$AC$372,$G83)</f>
        <v>0</v>
      </c>
      <c r="AX83" s="1114">
        <f>_xlfn.SUMIFS(Покупка!AW$25:AW$372,Покупка!$F$25:$F$372,$F83,Покупка!$AC$25:$AC$372,$G83)</f>
        <v>0</v>
      </c>
      <c r="AY83" s="1114">
        <f>_xlfn.SUMIFS(Покупка!AX$25:AX$372,Покупка!$F$25:$F$372,$F83,Покупка!$AC$25:$AC$372,$G83)</f>
        <v>0</v>
      </c>
      <c r="AZ83" s="1114">
        <f>_xlfn.SUMIFS(Покупка!AY$25:AY$372,Покупка!$F$25:$F$372,$F83,Покупка!$AC$25:$AC$372,$G83)</f>
        <v>0</v>
      </c>
      <c r="BA83" s="1114">
        <f>_xlfn.SUMIFS(Покупка!AZ$25:AZ$372,Покупка!$F$25:$F$372,$F83,Покупка!$AC$25:$AC$372,$G83)</f>
        <v>0</v>
      </c>
      <c r="BB83" s="1114">
        <f>_xlfn.SUMIFS(Покупка!BA$25:BA$372,Покупка!$F$25:$F$372,$F83,Покупка!$AC$25:$AC$372,$G83)</f>
        <v>0</v>
      </c>
      <c r="BC83" s="1114">
        <f>_xlfn.SUMIFS(Покупка!BB$25:BB$372,Покупка!$F$25:$F$372,$F83,Покупка!$AC$25:$AC$372,$G83)</f>
        <v>0</v>
      </c>
      <c r="BD83" s="1114">
        <f>IF(AI83=0,0,(AT83-AI83)/AI83*100)</f>
        <v>0</v>
      </c>
      <c r="BE83" s="1114">
        <f>IF(AT83=0,0,(AU83-AT83)/AT83*100)</f>
        <v>0</v>
      </c>
      <c r="BF83" s="1114">
        <f>IF(AU83=0,0,(AV83-AU83)/AU83*100)</f>
        <v>0</v>
      </c>
      <c r="BG83" s="1114">
        <f>IF(AV83=0,0,(AW83-AV83)/AV83*100)</f>
        <v>0</v>
      </c>
      <c r="BH83" s="1114">
        <f>IF(AW83=0,0,(AX83-AW83)/AW83*100)</f>
        <v>0</v>
      </c>
      <c r="BI83" s="1114">
        <f>IF(AX83=0,0,(AY83-AX83)/AX83*100)</f>
        <v>0</v>
      </c>
      <c r="BJ83" s="1114">
        <f>IF(AY83=0,0,(AZ83-AY83)/AY83*100)</f>
        <v>0</v>
      </c>
      <c r="BK83" s="1114">
        <f>IF(AZ83=0,0,(BA83-AZ83)/AZ83*100)</f>
        <v>0</v>
      </c>
      <c r="BL83" s="1114">
        <f>IF(BA83=0,0,(BB83-BA83)/BA83*100)</f>
        <v>0</v>
      </c>
      <c r="BM83" s="1114">
        <f>IF(BB83=0,0,(BC83-BB83)/BB83*100)</f>
        <v>0</v>
      </c>
      <c r="BN83" s="1238"/>
      <c r="BO83" s="1242" t="str">
        <f>IF(_xlfn.IFERROR(INDEX(Покупка!$K$26:$L$372,MATCH($F83&amp;"1komm",Покупка!$K$26:$K$372,0),2),"")=0,"",_xlfn.IFERROR(INDEX(Покупка!$K$26:$L$372,MATCH($F83&amp;"1komm",Покупка!$K$26:$K$372,0),2),""))</f>
        <v/>
      </c>
      <c r="BP83" s="1238"/>
      <c r="BQ83" s="1278"/>
      <c r="BR83" s="1278"/>
      <c r="BS83" s="1064" t="s">
        <v>2745</v>
      </c>
      <c r="BT83" s="1064"/>
      <c r="BU83" s="1064"/>
      <c r="BV83" s="979"/>
      <c r="BW83" s="979"/>
    </row>
    <row customHeight="1" ht="14.625" hidden="1">
      <c r="A84" s="1278"/>
      <c r="B84" s="978"/>
      <c r="C84" s="107"/>
      <c r="D84" s="107"/>
      <c r="E84" s="621">
        <v>15</v>
      </c>
      <c r="F84" s="50" cm="1" t="str">
        <f t="array" ref="F84:F84">OFFSET(E84,-1,1)</f>
        <v>0</v>
      </c>
      <c r="G84" s="107" t="s">
        <v>1847</v>
      </c>
      <c r="H84" s="107"/>
      <c r="I84" s="107" t="s">
        <v>2379</v>
      </c>
      <c r="J84" s="107"/>
      <c r="K84" s="107" t="s">
        <v>2379</v>
      </c>
      <c r="L84" s="980"/>
      <c r="M84" s="107"/>
      <c r="N84" s="107"/>
      <c r="O84" s="107"/>
      <c r="P84" s="107"/>
      <c r="Q84" s="107"/>
      <c r="R84" s="107"/>
      <c r="S84" s="107"/>
      <c r="T84" s="465" cm="1" t="str">
        <f t="array" ref="T84:T84">T83</f>
        <v>false</v>
      </c>
      <c r="U84" s="107"/>
      <c r="V84" s="107"/>
      <c r="W84" s="107"/>
      <c r="X84" s="1596"/>
      <c r="Y84" s="1278"/>
      <c r="Z84" s="1546"/>
      <c r="AA84" s="1278"/>
      <c r="AB84" s="300" t="s">
        <v>2746</v>
      </c>
      <c r="AC84" s="765" t="s">
        <v>2747</v>
      </c>
      <c r="AD84" s="300" t="s">
        <v>1514</v>
      </c>
      <c r="AE84" s="1114">
        <f>_xlfn.SUMIFS(Покупка!AE$25:AE$372,Покупка!$F$25:$F$372,$F84,Покупка!$AC$25:$AC$372,$G84)</f>
        <v>0</v>
      </c>
      <c r="AF84" s="1114">
        <f>_xlfn.SUMIFS(Покупка!AF$25:AF$372,Покупка!$F$25:$F$372,$F84,Покупка!$AC$25:$AC$372,$G84)</f>
        <v>0</v>
      </c>
      <c r="AG84" s="1114">
        <f>_xlfn.SUMIFS(Покупка!AG$25:AG$372,Покупка!$F$25:$F$372,$F84,Покупка!$AC$25:$AC$372,$G84)</f>
        <v>0</v>
      </c>
      <c r="AH84" s="1114">
        <f>AG84-AF84</f>
        <v>0</v>
      </c>
      <c r="AI84" s="1114">
        <f>_xlfn.SUMIFS(Покупка!AH$25:AH$372,Покупка!$F$25:$F$372,$F84,Покупка!$AC$25:$AC$372,$G84)</f>
        <v>0</v>
      </c>
      <c r="AJ84" s="1114">
        <f>_xlfn.SUMIFS(Покупка!AI$25:AI$372,Покупка!$F$25:$F$372,$F84,Покупка!$AC$25:$AC$372,$G84)</f>
        <v>0</v>
      </c>
      <c r="AK84" s="1114">
        <f>_xlfn.SUMIFS(Покупка!AJ$25:AJ$372,Покупка!$F$25:$F$372,$F84,Покупка!$AC$25:$AC$372,$G84)</f>
        <v>0</v>
      </c>
      <c r="AL84" s="1114">
        <f>_xlfn.SUMIFS(Покупка!AK$25:AK$372,Покупка!$F$25:$F$372,$F84,Покупка!$AC$25:$AC$372,$G84)</f>
        <v>0</v>
      </c>
      <c r="AM84" s="1114">
        <f>_xlfn.SUMIFS(Покупка!AL$25:AL$372,Покупка!$F$25:$F$372,$F84,Покупка!$AC$25:$AC$372,$G84)</f>
        <v>0</v>
      </c>
      <c r="AN84" s="1114">
        <f>_xlfn.SUMIFS(Покупка!AM$25:AM$372,Покупка!$F$25:$F$372,$F84,Покупка!$AC$25:$AC$372,$G84)</f>
        <v>0</v>
      </c>
      <c r="AO84" s="1114">
        <f>_xlfn.SUMIFS(Покупка!AN$25:AN$372,Покупка!$F$25:$F$372,$F84,Покупка!$AC$25:$AC$372,$G84)</f>
        <v>0</v>
      </c>
      <c r="AP84" s="1114">
        <f>_xlfn.SUMIFS(Покупка!AO$25:AO$372,Покупка!$F$25:$F$372,$F84,Покупка!$AC$25:$AC$372,$G84)</f>
        <v>0</v>
      </c>
      <c r="AQ84" s="1114">
        <f>_xlfn.SUMIFS(Покупка!AP$25:AP$372,Покупка!$F$25:$F$372,$F84,Покупка!$AC$25:$AC$372,$G84)</f>
        <v>0</v>
      </c>
      <c r="AR84" s="1114">
        <f>_xlfn.SUMIFS(Покупка!AQ$25:AQ$372,Покупка!$F$25:$F$372,$F84,Покупка!$AC$25:$AC$372,$G84)</f>
        <v>0</v>
      </c>
      <c r="AS84" s="1114">
        <f>_xlfn.SUMIFS(Покупка!AR$25:AR$372,Покупка!$F$25:$F$372,$F84,Покупка!$AC$25:$AC$372,$G84)</f>
        <v>0</v>
      </c>
      <c r="AT84" s="1114">
        <f>_xlfn.SUMIFS(Покупка!AS$25:AS$372,Покупка!$F$25:$F$372,$F84,Покупка!$AC$25:$AC$372,$G84)</f>
        <v>0</v>
      </c>
      <c r="AU84" s="1114">
        <f>_xlfn.SUMIFS(Покупка!AT$25:AT$372,Покупка!$F$25:$F$372,$F84,Покупка!$AC$25:$AC$372,$G84)</f>
        <v>0</v>
      </c>
      <c r="AV84" s="1114">
        <f>_xlfn.SUMIFS(Покупка!AU$25:AU$372,Покупка!$F$25:$F$372,$F84,Покупка!$AC$25:$AC$372,$G84)</f>
        <v>0</v>
      </c>
      <c r="AW84" s="1114">
        <f>_xlfn.SUMIFS(Покупка!AV$25:AV$372,Покупка!$F$25:$F$372,$F84,Покупка!$AC$25:$AC$372,$G84)</f>
        <v>0</v>
      </c>
      <c r="AX84" s="1114">
        <f>_xlfn.SUMIFS(Покупка!AW$25:AW$372,Покупка!$F$25:$F$372,$F84,Покупка!$AC$25:$AC$372,$G84)</f>
        <v>0</v>
      </c>
      <c r="AY84" s="1114">
        <f>_xlfn.SUMIFS(Покупка!AX$25:AX$372,Покупка!$F$25:$F$372,$F84,Покупка!$AC$25:$AC$372,$G84)</f>
        <v>0</v>
      </c>
      <c r="AZ84" s="1114">
        <f>_xlfn.SUMIFS(Покупка!AY$25:AY$372,Покупка!$F$25:$F$372,$F84,Покупка!$AC$25:$AC$372,$G84)</f>
        <v>0</v>
      </c>
      <c r="BA84" s="1114">
        <f>_xlfn.SUMIFS(Покупка!AZ$25:AZ$372,Покупка!$F$25:$F$372,$F84,Покупка!$AC$25:$AC$372,$G84)</f>
        <v>0</v>
      </c>
      <c r="BB84" s="1114">
        <f>_xlfn.SUMIFS(Покупка!BA$25:BA$372,Покупка!$F$25:$F$372,$F84,Покупка!$AC$25:$AC$372,$G84)</f>
        <v>0</v>
      </c>
      <c r="BC84" s="1114">
        <f>_xlfn.SUMIFS(Покупка!BB$25:BB$372,Покупка!$F$25:$F$372,$F84,Покупка!$AC$25:$AC$372,$G84)</f>
        <v>0</v>
      </c>
      <c r="BD84" s="1114">
        <f>IF(AI84=0,0,(AT84-AI84)/AI84*100)</f>
        <v>0</v>
      </c>
      <c r="BE84" s="1114">
        <f>IF(AT84=0,0,(AU84-AT84)/AT84*100)</f>
        <v>0</v>
      </c>
      <c r="BF84" s="1114">
        <f>IF(AU84=0,0,(AV84-AU84)/AU84*100)</f>
        <v>0</v>
      </c>
      <c r="BG84" s="1114">
        <f>IF(AV84=0,0,(AW84-AV84)/AV84*100)</f>
        <v>0</v>
      </c>
      <c r="BH84" s="1114">
        <f>IF(AW84=0,0,(AX84-AW84)/AW84*100)</f>
        <v>0</v>
      </c>
      <c r="BI84" s="1114">
        <f>IF(AX84=0,0,(AY84-AX84)/AX84*100)</f>
        <v>0</v>
      </c>
      <c r="BJ84" s="1114">
        <f>IF(AY84=0,0,(AZ84-AY84)/AY84*100)</f>
        <v>0</v>
      </c>
      <c r="BK84" s="1114">
        <f>IF(AZ84=0,0,(BA84-AZ84)/AZ84*100)</f>
        <v>0</v>
      </c>
      <c r="BL84" s="1114">
        <f>IF(BA84=0,0,(BB84-BA84)/BA84*100)</f>
        <v>0</v>
      </c>
      <c r="BM84" s="1114">
        <f>IF(BB84=0,0,(BC84-BB84)/BB84*100)</f>
        <v>0</v>
      </c>
      <c r="BN84" s="1238"/>
      <c r="BO84" s="1242" t="str">
        <f>IF(_xlfn.IFERROR(INDEX(Покупка!$K$26:$L$372,MATCH($F84&amp;"8komm",Покупка!$K$26:$K$372,0),2),"")=0,"",_xlfn.IFERROR(INDEX(Покупка!$K$26:$L$372,MATCH($F84&amp;"8komm",Покупка!$K$26:$K$372,0),2),""))</f>
        <v/>
      </c>
      <c r="BP84" s="1238"/>
      <c r="BQ84" s="1278"/>
      <c r="BR84" s="1278"/>
      <c r="BS84" s="1064" t="s">
        <v>1848</v>
      </c>
      <c r="BT84" s="1064"/>
      <c r="BU84" s="1064"/>
      <c r="BV84" s="979"/>
      <c r="BW84" s="979"/>
    </row>
    <row customHeight="1" ht="14.625" hidden="1">
      <c r="A85" s="1278"/>
      <c r="B85" s="978"/>
      <c r="C85" s="107"/>
      <c r="D85" s="107"/>
      <c r="E85" s="621">
        <v>15</v>
      </c>
      <c r="F85" s="50" cm="1" t="str">
        <f t="array" ref="F85:F85">OFFSET(E85,-1,1)</f>
        <v>0</v>
      </c>
      <c r="G85" s="107"/>
      <c r="H85" s="107"/>
      <c r="I85" s="107" t="s">
        <v>2748</v>
      </c>
      <c r="J85" s="107"/>
      <c r="K85" s="107" t="s">
        <v>2748</v>
      </c>
      <c r="L85" s="980"/>
      <c r="M85" s="107"/>
      <c r="N85" s="107"/>
      <c r="O85" s="107"/>
      <c r="P85" s="107"/>
      <c r="Q85" s="107"/>
      <c r="R85" s="107"/>
      <c r="S85" s="107"/>
      <c r="T85" s="465" cm="1" t="str">
        <f t="array" ref="T85:T85">T84</f>
        <v>false</v>
      </c>
      <c r="U85" s="107"/>
      <c r="V85" s="107"/>
      <c r="W85" s="107"/>
      <c r="X85" s="1596"/>
      <c r="Y85" s="1278"/>
      <c r="Z85" s="1546"/>
      <c r="AA85" s="1278"/>
      <c r="AB85" s="300" t="s">
        <v>2749</v>
      </c>
      <c r="AC85" s="765" t="s">
        <v>2750</v>
      </c>
      <c r="AD85" s="300" t="s">
        <v>1514</v>
      </c>
      <c r="AE85" s="1241"/>
      <c r="AF85" s="1241"/>
      <c r="AG85" s="1241"/>
      <c r="AH85" s="1114">
        <f>AG85-AF85</f>
        <v>0</v>
      </c>
      <c r="AI85" s="1241"/>
      <c r="AJ85" s="1241"/>
      <c r="AK85" s="1241"/>
      <c r="AL85" s="1241"/>
      <c r="AM85" s="1241"/>
      <c r="AN85" s="1241"/>
      <c r="AO85" s="1241"/>
      <c r="AP85" s="1241"/>
      <c r="AQ85" s="1241"/>
      <c r="AR85" s="1241"/>
      <c r="AS85" s="1241"/>
      <c r="AT85" s="1241"/>
      <c r="AU85" s="1241"/>
      <c r="AV85" s="1241"/>
      <c r="AW85" s="1241"/>
      <c r="AX85" s="1241"/>
      <c r="AY85" s="1241"/>
      <c r="AZ85" s="1241"/>
      <c r="BA85" s="1241"/>
      <c r="BB85" s="1241"/>
      <c r="BC85" s="1241"/>
      <c r="BD85" s="1114">
        <f>IF(AI85=0,0,(AT85-AI85)/AI85*100)</f>
        <v>0</v>
      </c>
      <c r="BE85" s="1114">
        <f>IF(AT85=0,0,(AU85-AT85)/AT85*100)</f>
        <v>0</v>
      </c>
      <c r="BF85" s="1114">
        <f>IF(AU85=0,0,(AV85-AU85)/AU85*100)</f>
        <v>0</v>
      </c>
      <c r="BG85" s="1114">
        <f>IF(AV85=0,0,(AW85-AV85)/AV85*100)</f>
        <v>0</v>
      </c>
      <c r="BH85" s="1114">
        <f>IF(AW85=0,0,(AX85-AW85)/AW85*100)</f>
        <v>0</v>
      </c>
      <c r="BI85" s="1114">
        <f>IF(AX85=0,0,(AY85-AX85)/AX85*100)</f>
        <v>0</v>
      </c>
      <c r="BJ85" s="1114">
        <f>IF(AY85=0,0,(AZ85-AY85)/AY85*100)</f>
        <v>0</v>
      </c>
      <c r="BK85" s="1114">
        <f>IF(AZ85=0,0,(BA85-AZ85)/AZ85*100)</f>
        <v>0</v>
      </c>
      <c r="BL85" s="1114">
        <f>IF(BA85=0,0,(BB85-BA85)/BA85*100)</f>
        <v>0</v>
      </c>
      <c r="BM85" s="1114">
        <f>IF(BB85=0,0,(BC85-BB85)/BB85*100)</f>
        <v>0</v>
      </c>
      <c r="BN85" s="1238"/>
      <c r="BO85" s="1238"/>
      <c r="BP85" s="1238"/>
      <c r="BQ85" s="1278"/>
      <c r="BR85" s="1278"/>
      <c r="BS85" s="1064" t="s">
        <v>2751</v>
      </c>
      <c r="BT85" s="1064"/>
      <c r="BU85" s="1064"/>
      <c r="BV85" s="979"/>
      <c r="BW85" s="979"/>
    </row>
    <row customHeight="1" ht="14.625" hidden="1">
      <c r="A86" s="1278"/>
      <c r="B86" s="978"/>
      <c r="C86" s="107"/>
      <c r="D86" s="107"/>
      <c r="E86" s="621">
        <v>15</v>
      </c>
      <c r="F86" s="50" cm="1" t="str">
        <f t="array" ref="F86:F86">OFFSET(E86,-1,1)</f>
        <v>0</v>
      </c>
      <c r="G86" s="107"/>
      <c r="H86" s="107"/>
      <c r="I86" s="107" t="s">
        <v>2752</v>
      </c>
      <c r="J86" s="107"/>
      <c r="K86" s="107" t="s">
        <v>2752</v>
      </c>
      <c r="L86" s="980"/>
      <c r="M86" s="107"/>
      <c r="N86" s="107"/>
      <c r="O86" s="107"/>
      <c r="P86" s="107"/>
      <c r="Q86" s="107"/>
      <c r="R86" s="107"/>
      <c r="S86" s="107"/>
      <c r="T86" s="465" cm="1" t="str">
        <f t="array" ref="T86:T86">T85</f>
        <v>false</v>
      </c>
      <c r="U86" s="107"/>
      <c r="V86" s="107"/>
      <c r="W86" s="107"/>
      <c r="X86" s="1596"/>
      <c r="Y86" s="1278"/>
      <c r="Z86" s="1546"/>
      <c r="AA86" s="1278"/>
      <c r="AB86" s="300" t="s">
        <v>2753</v>
      </c>
      <c r="AC86" s="765" t="s">
        <v>2754</v>
      </c>
      <c r="AD86" s="300" t="s">
        <v>1514</v>
      </c>
      <c r="AE86" s="1241"/>
      <c r="AF86" s="1241"/>
      <c r="AG86" s="1241"/>
      <c r="AH86" s="1114">
        <f>AG86-AF86</f>
        <v>0</v>
      </c>
      <c r="AI86" s="1241"/>
      <c r="AJ86" s="1241"/>
      <c r="AK86" s="1241"/>
      <c r="AL86" s="1241"/>
      <c r="AM86" s="1241"/>
      <c r="AN86" s="1241"/>
      <c r="AO86" s="1241"/>
      <c r="AP86" s="1241"/>
      <c r="AQ86" s="1241"/>
      <c r="AR86" s="1241"/>
      <c r="AS86" s="1241"/>
      <c r="AT86" s="1241"/>
      <c r="AU86" s="1241"/>
      <c r="AV86" s="1241"/>
      <c r="AW86" s="1241"/>
      <c r="AX86" s="1241"/>
      <c r="AY86" s="1241"/>
      <c r="AZ86" s="1241"/>
      <c r="BA86" s="1241"/>
      <c r="BB86" s="1241"/>
      <c r="BC86" s="1241"/>
      <c r="BD86" s="1114">
        <f>IF(AI86=0,0,(AT86-AI86)/AI86*100)</f>
        <v>0</v>
      </c>
      <c r="BE86" s="1114">
        <f>IF(AT86=0,0,(AU86-AT86)/AT86*100)</f>
        <v>0</v>
      </c>
      <c r="BF86" s="1114">
        <f>IF(AU86=0,0,(AV86-AU86)/AU86*100)</f>
        <v>0</v>
      </c>
      <c r="BG86" s="1114">
        <f>IF(AV86=0,0,(AW86-AV86)/AV86*100)</f>
        <v>0</v>
      </c>
      <c r="BH86" s="1114">
        <f>IF(AW86=0,0,(AX86-AW86)/AW86*100)</f>
        <v>0</v>
      </c>
      <c r="BI86" s="1114">
        <f>IF(AX86=0,0,(AY86-AX86)/AX86*100)</f>
        <v>0</v>
      </c>
      <c r="BJ86" s="1114">
        <f>IF(AY86=0,0,(AZ86-AY86)/AY86*100)</f>
        <v>0</v>
      </c>
      <c r="BK86" s="1114">
        <f>IF(AZ86=0,0,(BA86-AZ86)/AZ86*100)</f>
        <v>0</v>
      </c>
      <c r="BL86" s="1114">
        <f>IF(BA86=0,0,(BB86-BA86)/BA86*100)</f>
        <v>0</v>
      </c>
      <c r="BM86" s="1114">
        <f>IF(BB86=0,0,(BC86-BB86)/BB86*100)</f>
        <v>0</v>
      </c>
      <c r="BN86" s="1238"/>
      <c r="BO86" s="1238"/>
      <c r="BP86" s="1238"/>
      <c r="BQ86" s="1278"/>
      <c r="BR86" s="1278"/>
      <c r="BS86" s="1064" t="s">
        <v>2755</v>
      </c>
      <c r="BT86" s="1064"/>
      <c r="BU86" s="1064"/>
      <c r="BV86" s="979"/>
      <c r="BW86" s="979"/>
    </row>
    <row customHeight="1" ht="14.625" hidden="1">
      <c r="A87" s="1278"/>
      <c r="B87" s="978"/>
      <c r="C87" s="107"/>
      <c r="D87" s="107"/>
      <c r="E87" s="621">
        <v>15</v>
      </c>
      <c r="F87" s="50" cm="1" t="str">
        <f t="array" ref="F87:F87">OFFSET(E87,-1,1)</f>
        <v>0</v>
      </c>
      <c r="G87" s="107" t="s">
        <v>1799</v>
      </c>
      <c r="H87" s="107"/>
      <c r="I87" s="107" t="s">
        <v>2756</v>
      </c>
      <c r="J87" s="107"/>
      <c r="K87" s="107" t="s">
        <v>2756</v>
      </c>
      <c r="L87" s="980" t="s">
        <v>2253</v>
      </c>
      <c r="M87" s="107"/>
      <c r="N87" s="107"/>
      <c r="O87" s="107"/>
      <c r="P87" s="107"/>
      <c r="Q87" s="107"/>
      <c r="R87" s="107"/>
      <c r="S87" s="107"/>
      <c r="T87" s="465" cm="1" t="str">
        <f t="array" ref="T87:T87">T86</f>
        <v>false</v>
      </c>
      <c r="U87" s="107"/>
      <c r="V87" s="107"/>
      <c r="W87" s="107"/>
      <c r="X87" s="1596"/>
      <c r="Y87" s="1278"/>
      <c r="Z87" s="1546"/>
      <c r="AA87" s="1278"/>
      <c r="AB87" s="300" t="s">
        <v>2757</v>
      </c>
      <c r="AC87" s="765" t="s">
        <v>2758</v>
      </c>
      <c r="AD87" s="300" t="s">
        <v>1514</v>
      </c>
      <c r="AE87" s="1114">
        <f>_xlfn.SUMIFS(Покупка!AE$25:AE$372,Покупка!$F$25:$F$372,$F87,Покупка!$AC$25:$AC$372,$G87)</f>
        <v>0</v>
      </c>
      <c r="AF87" s="1114">
        <f>_xlfn.SUMIFS(Покупка!AF$25:AF$372,Покупка!$F$25:$F$372,$F87,Покупка!$AC$25:$AC$372,$G87)</f>
        <v>0</v>
      </c>
      <c r="AG87" s="1114">
        <f>_xlfn.SUMIFS(Покупка!AG$25:AG$372,Покупка!$F$25:$F$372,$F87,Покупка!$AC$25:$AC$372,$G87)</f>
        <v>0</v>
      </c>
      <c r="AH87" s="1114">
        <f>AG87-AF87</f>
        <v>0</v>
      </c>
      <c r="AI87" s="1114">
        <f>_xlfn.SUMIFS(Покупка!AH$25:AH$372,Покупка!$F$25:$F$372,$F87,Покупка!$AC$25:$AC$372,$G87)</f>
        <v>0</v>
      </c>
      <c r="AJ87" s="1114">
        <f>_xlfn.SUMIFS(Покупка!AI$25:AI$372,Покупка!$F$25:$F$372,$F87,Покупка!$AC$25:$AC$372,$G87)</f>
        <v>0</v>
      </c>
      <c r="AK87" s="1114">
        <f>_xlfn.SUMIFS(Покупка!AJ$25:AJ$372,Покупка!$F$25:$F$372,$F87,Покупка!$AC$25:$AC$372,$G87)</f>
        <v>0</v>
      </c>
      <c r="AL87" s="1114">
        <f>_xlfn.SUMIFS(Покупка!AK$25:AK$372,Покупка!$F$25:$F$372,$F87,Покупка!$AC$25:$AC$372,$G87)</f>
        <v>0</v>
      </c>
      <c r="AM87" s="1114">
        <f>_xlfn.SUMIFS(Покупка!AL$25:AL$372,Покупка!$F$25:$F$372,$F87,Покупка!$AC$25:$AC$372,$G87)</f>
        <v>0</v>
      </c>
      <c r="AN87" s="1114">
        <f>_xlfn.SUMIFS(Покупка!AM$25:AM$372,Покупка!$F$25:$F$372,$F87,Покупка!$AC$25:$AC$372,$G87)</f>
        <v>0</v>
      </c>
      <c r="AO87" s="1114">
        <f>_xlfn.SUMIFS(Покупка!AN$25:AN$372,Покупка!$F$25:$F$372,$F87,Покупка!$AC$25:$AC$372,$G87)</f>
        <v>0</v>
      </c>
      <c r="AP87" s="1114">
        <f>_xlfn.SUMIFS(Покупка!AO$25:AO$372,Покупка!$F$25:$F$372,$F87,Покупка!$AC$25:$AC$372,$G87)</f>
        <v>0</v>
      </c>
      <c r="AQ87" s="1114">
        <f>_xlfn.SUMIFS(Покупка!AP$25:AP$372,Покупка!$F$25:$F$372,$F87,Покупка!$AC$25:$AC$372,$G87)</f>
        <v>0</v>
      </c>
      <c r="AR87" s="1114">
        <f>_xlfn.SUMIFS(Покупка!AQ$25:AQ$372,Покупка!$F$25:$F$372,$F87,Покупка!$AC$25:$AC$372,$G87)</f>
        <v>0</v>
      </c>
      <c r="AS87" s="1114">
        <f>_xlfn.SUMIFS(Покупка!AR$25:AR$372,Покупка!$F$25:$F$372,$F87,Покупка!$AC$25:$AC$372,$G87)</f>
        <v>0</v>
      </c>
      <c r="AT87" s="1114">
        <f>_xlfn.SUMIFS(Покупка!AS$25:AS$372,Покупка!$F$25:$F$372,$F87,Покупка!$AC$25:$AC$372,$G87)</f>
        <v>0</v>
      </c>
      <c r="AU87" s="1114">
        <f>_xlfn.SUMIFS(Покупка!AT$25:AT$372,Покупка!$F$25:$F$372,$F87,Покупка!$AC$25:$AC$372,$G87)</f>
        <v>0</v>
      </c>
      <c r="AV87" s="1114">
        <f>_xlfn.SUMIFS(Покупка!AU$25:AU$372,Покупка!$F$25:$F$372,$F87,Покупка!$AC$25:$AC$372,$G87)</f>
        <v>0</v>
      </c>
      <c r="AW87" s="1114">
        <f>_xlfn.SUMIFS(Покупка!AV$25:AV$372,Покупка!$F$25:$F$372,$F87,Покупка!$AC$25:$AC$372,$G87)</f>
        <v>0</v>
      </c>
      <c r="AX87" s="1114">
        <f>_xlfn.SUMIFS(Покупка!AW$25:AW$372,Покупка!$F$25:$F$372,$F87,Покупка!$AC$25:$AC$372,$G87)</f>
        <v>0</v>
      </c>
      <c r="AY87" s="1114">
        <f>_xlfn.SUMIFS(Покупка!AX$25:AX$372,Покупка!$F$25:$F$372,$F87,Покупка!$AC$25:$AC$372,$G87)</f>
        <v>0</v>
      </c>
      <c r="AZ87" s="1114">
        <f>_xlfn.SUMIFS(Покупка!AY$25:AY$372,Покупка!$F$25:$F$372,$F87,Покупка!$AC$25:$AC$372,$G87)</f>
        <v>0</v>
      </c>
      <c r="BA87" s="1114">
        <f>_xlfn.SUMIFS(Покупка!AZ$25:AZ$372,Покупка!$F$25:$F$372,$F87,Покупка!$AC$25:$AC$372,$G87)</f>
        <v>0</v>
      </c>
      <c r="BB87" s="1114">
        <f>_xlfn.SUMIFS(Покупка!BA$25:BA$372,Покупка!$F$25:$F$372,$F87,Покупка!$AC$25:$AC$372,$G87)</f>
        <v>0</v>
      </c>
      <c r="BC87" s="1114">
        <f>_xlfn.SUMIFS(Покупка!BB$25:BB$372,Покупка!$F$25:$F$372,$F87,Покупка!$AC$25:$AC$372,$G87)</f>
        <v>0</v>
      </c>
      <c r="BD87" s="1114">
        <f>IF(AI87=0,0,(AT87-AI87)/AI87*100)</f>
        <v>0</v>
      </c>
      <c r="BE87" s="1114">
        <f>IF(AT87=0,0,(AU87-AT87)/AT87*100)</f>
        <v>0</v>
      </c>
      <c r="BF87" s="1114">
        <f>IF(AU87=0,0,(AV87-AU87)/AU87*100)</f>
        <v>0</v>
      </c>
      <c r="BG87" s="1114">
        <f>IF(AV87=0,0,(AW87-AV87)/AV87*100)</f>
        <v>0</v>
      </c>
      <c r="BH87" s="1114">
        <f>IF(AW87=0,0,(AX87-AW87)/AW87*100)</f>
        <v>0</v>
      </c>
      <c r="BI87" s="1114">
        <f>IF(AX87=0,0,(AY87-AX87)/AX87*100)</f>
        <v>0</v>
      </c>
      <c r="BJ87" s="1114">
        <f>IF(AY87=0,0,(AZ87-AY87)/AY87*100)</f>
        <v>0</v>
      </c>
      <c r="BK87" s="1114">
        <f>IF(AZ87=0,0,(BA87-AZ87)/AZ87*100)</f>
        <v>0</v>
      </c>
      <c r="BL87" s="1114">
        <f>IF(BA87=0,0,(BB87-BA87)/BA87*100)</f>
        <v>0</v>
      </c>
      <c r="BM87" s="1114">
        <f>IF(BB87=0,0,(BC87-BB87)/BB87*100)</f>
        <v>0</v>
      </c>
      <c r="BN87" s="1238"/>
      <c r="BO87" s="1242" t="str">
        <f>IF(_xlfn.IFERROR(INDEX(Покупка!$K$26:$L$372,MATCH($F87&amp;"3komm",Покупка!$K$26:$K$372,0),2),"")=0,"",_xlfn.IFERROR(INDEX(Покупка!$K$26:$L$372,MATCH($F87&amp;"3komm",Покупка!$K$26:$K$372,0),2),""))</f>
        <v/>
      </c>
      <c r="BP87" s="1238"/>
      <c r="BQ87" s="1278"/>
      <c r="BR87" s="1278"/>
      <c r="BS87" s="1064" t="s">
        <v>2459</v>
      </c>
      <c r="BT87" s="1064"/>
      <c r="BU87" s="1064"/>
      <c r="BV87" s="979"/>
      <c r="BW87" s="979"/>
    </row>
    <row customHeight="1" ht="14.625" hidden="1">
      <c r="A88" s="1278"/>
      <c r="B88" s="978"/>
      <c r="C88" s="107"/>
      <c r="D88" s="107"/>
      <c r="E88" s="621">
        <v>15</v>
      </c>
      <c r="F88" s="50" cm="1" t="str">
        <f t="array" ref="F88:F88">OFFSET(E88,-1,1)</f>
        <v>0</v>
      </c>
      <c r="G88" s="107" t="s">
        <v>1805</v>
      </c>
      <c r="H88" s="107"/>
      <c r="I88" s="107" t="s">
        <v>2759</v>
      </c>
      <c r="J88" s="107"/>
      <c r="K88" s="107" t="s">
        <v>2759</v>
      </c>
      <c r="L88" s="980" t="s">
        <v>2258</v>
      </c>
      <c r="M88" s="107"/>
      <c r="N88" s="107"/>
      <c r="O88" s="107"/>
      <c r="P88" s="107"/>
      <c r="Q88" s="107"/>
      <c r="R88" s="107"/>
      <c r="S88" s="107"/>
      <c r="T88" s="465" cm="1" t="str">
        <f t="array" ref="T88:T88">T87</f>
        <v>false</v>
      </c>
      <c r="U88" s="107"/>
      <c r="V88" s="107"/>
      <c r="W88" s="107"/>
      <c r="X88" s="1596"/>
      <c r="Y88" s="1278"/>
      <c r="Z88" s="1546"/>
      <c r="AA88" s="1278"/>
      <c r="AB88" s="300" t="s">
        <v>2760</v>
      </c>
      <c r="AC88" s="765" t="s">
        <v>2761</v>
      </c>
      <c r="AD88" s="300" t="s">
        <v>1514</v>
      </c>
      <c r="AE88" s="1114">
        <f>_xlfn.SUMIFS(Покупка!AE$25:AE$372,Покупка!$F$25:$F$372,$F88,Покупка!$AC$25:$AC$372,$G88)</f>
        <v>0</v>
      </c>
      <c r="AF88" s="1114">
        <f>_xlfn.SUMIFS(Покупка!AF$25:AF$372,Покупка!$F$25:$F$372,$F88,Покупка!$AC$25:$AC$372,$G88)</f>
        <v>0</v>
      </c>
      <c r="AG88" s="1114">
        <f>_xlfn.SUMIFS(Покупка!AG$25:AG$372,Покупка!$F$25:$F$372,$F88,Покупка!$AC$25:$AC$372,$G88)</f>
        <v>0</v>
      </c>
      <c r="AH88" s="1114">
        <f>AG88-AF88</f>
        <v>0</v>
      </c>
      <c r="AI88" s="1114">
        <f>_xlfn.SUMIFS(Покупка!AH$25:AH$372,Покупка!$F$25:$F$372,$F88,Покупка!$AC$25:$AC$372,$G88)</f>
        <v>0</v>
      </c>
      <c r="AJ88" s="1114">
        <f>_xlfn.SUMIFS(Покупка!AI$25:AI$372,Покупка!$F$25:$F$372,$F88,Покупка!$AC$25:$AC$372,$G88)</f>
        <v>0</v>
      </c>
      <c r="AK88" s="1114">
        <f>_xlfn.SUMIFS(Покупка!AJ$25:AJ$372,Покупка!$F$25:$F$372,$F88,Покупка!$AC$25:$AC$372,$G88)</f>
        <v>0</v>
      </c>
      <c r="AL88" s="1114">
        <f>_xlfn.SUMIFS(Покупка!AK$25:AK$372,Покупка!$F$25:$F$372,$F88,Покупка!$AC$25:$AC$372,$G88)</f>
        <v>0</v>
      </c>
      <c r="AM88" s="1114">
        <f>_xlfn.SUMIFS(Покупка!AL$25:AL$372,Покупка!$F$25:$F$372,$F88,Покупка!$AC$25:$AC$372,$G88)</f>
        <v>0</v>
      </c>
      <c r="AN88" s="1114">
        <f>_xlfn.SUMIFS(Покупка!AM$25:AM$372,Покупка!$F$25:$F$372,$F88,Покупка!$AC$25:$AC$372,$G88)</f>
        <v>0</v>
      </c>
      <c r="AO88" s="1114">
        <f>_xlfn.SUMIFS(Покупка!AN$25:AN$372,Покупка!$F$25:$F$372,$F88,Покупка!$AC$25:$AC$372,$G88)</f>
        <v>0</v>
      </c>
      <c r="AP88" s="1114">
        <f>_xlfn.SUMIFS(Покупка!AO$25:AO$372,Покупка!$F$25:$F$372,$F88,Покупка!$AC$25:$AC$372,$G88)</f>
        <v>0</v>
      </c>
      <c r="AQ88" s="1114">
        <f>_xlfn.SUMIFS(Покупка!AP$25:AP$372,Покупка!$F$25:$F$372,$F88,Покупка!$AC$25:$AC$372,$G88)</f>
        <v>0</v>
      </c>
      <c r="AR88" s="1114">
        <f>_xlfn.SUMIFS(Покупка!AQ$25:AQ$372,Покупка!$F$25:$F$372,$F88,Покупка!$AC$25:$AC$372,$G88)</f>
        <v>0</v>
      </c>
      <c r="AS88" s="1114">
        <f>_xlfn.SUMIFS(Покупка!AR$25:AR$372,Покупка!$F$25:$F$372,$F88,Покупка!$AC$25:$AC$372,$G88)</f>
        <v>0</v>
      </c>
      <c r="AT88" s="1114">
        <f>_xlfn.SUMIFS(Покупка!AS$25:AS$372,Покупка!$F$25:$F$372,$F88,Покупка!$AC$25:$AC$372,$G88)</f>
        <v>0</v>
      </c>
      <c r="AU88" s="1114">
        <f>_xlfn.SUMIFS(Покупка!AT$25:AT$372,Покупка!$F$25:$F$372,$F88,Покупка!$AC$25:$AC$372,$G88)</f>
        <v>0</v>
      </c>
      <c r="AV88" s="1114">
        <f>_xlfn.SUMIFS(Покупка!AU$25:AU$372,Покупка!$F$25:$F$372,$F88,Покупка!$AC$25:$AC$372,$G88)</f>
        <v>0</v>
      </c>
      <c r="AW88" s="1114">
        <f>_xlfn.SUMIFS(Покупка!AV$25:AV$372,Покупка!$F$25:$F$372,$F88,Покупка!$AC$25:$AC$372,$G88)</f>
        <v>0</v>
      </c>
      <c r="AX88" s="1114">
        <f>_xlfn.SUMIFS(Покупка!AW$25:AW$372,Покупка!$F$25:$F$372,$F88,Покупка!$AC$25:$AC$372,$G88)</f>
        <v>0</v>
      </c>
      <c r="AY88" s="1114">
        <f>_xlfn.SUMIFS(Покупка!AX$25:AX$372,Покупка!$F$25:$F$372,$F88,Покупка!$AC$25:$AC$372,$G88)</f>
        <v>0</v>
      </c>
      <c r="AZ88" s="1114">
        <f>_xlfn.SUMIFS(Покупка!AY$25:AY$372,Покупка!$F$25:$F$372,$F88,Покупка!$AC$25:$AC$372,$G88)</f>
        <v>0</v>
      </c>
      <c r="BA88" s="1114">
        <f>_xlfn.SUMIFS(Покупка!AZ$25:AZ$372,Покупка!$F$25:$F$372,$F88,Покупка!$AC$25:$AC$372,$G88)</f>
        <v>0</v>
      </c>
      <c r="BB88" s="1114">
        <f>_xlfn.SUMIFS(Покупка!BA$25:BA$372,Покупка!$F$25:$F$372,$F88,Покупка!$AC$25:$AC$372,$G88)</f>
        <v>0</v>
      </c>
      <c r="BC88" s="1114">
        <f>_xlfn.SUMIFS(Покупка!BB$25:BB$372,Покупка!$F$25:$F$372,$F88,Покупка!$AC$25:$AC$372,$G88)</f>
        <v>0</v>
      </c>
      <c r="BD88" s="1114">
        <f>IF(AI88=0,0,(AT88-AI88)/AI88*100)</f>
        <v>0</v>
      </c>
      <c r="BE88" s="1114">
        <f>IF(AT88=0,0,(AU88-AT88)/AT88*100)</f>
        <v>0</v>
      </c>
      <c r="BF88" s="1114">
        <f>IF(AU88=0,0,(AV88-AU88)/AU88*100)</f>
        <v>0</v>
      </c>
      <c r="BG88" s="1114">
        <f>IF(AV88=0,0,(AW88-AV88)/AV88*100)</f>
        <v>0</v>
      </c>
      <c r="BH88" s="1114">
        <f>IF(AW88=0,0,(AX88-AW88)/AW88*100)</f>
        <v>0</v>
      </c>
      <c r="BI88" s="1114">
        <f>IF(AX88=0,0,(AY88-AX88)/AX88*100)</f>
        <v>0</v>
      </c>
      <c r="BJ88" s="1114">
        <f>IF(AY88=0,0,(AZ88-AY88)/AY88*100)</f>
        <v>0</v>
      </c>
      <c r="BK88" s="1114">
        <f>IF(AZ88=0,0,(BA88-AZ88)/AZ88*100)</f>
        <v>0</v>
      </c>
      <c r="BL88" s="1114">
        <f>IF(BA88=0,0,(BB88-BA88)/BA88*100)</f>
        <v>0</v>
      </c>
      <c r="BM88" s="1114">
        <f>IF(BB88=0,0,(BC88-BB88)/BB88*100)</f>
        <v>0</v>
      </c>
      <c r="BN88" s="1238"/>
      <c r="BO88" s="1242" t="str">
        <f>IF(_xlfn.IFERROR(INDEX(Покупка!$K$26:$L$372,MATCH($F88&amp;"4komm",Покупка!$K$26:$K$372,0),2),"")=0,"",_xlfn.IFERROR(INDEX(Покупка!$K$26:$L$372,MATCH($F87&amp;"3komm",Покупка!$K$26:$K$372,0),2),""))</f>
        <v/>
      </c>
      <c r="BP88" s="1238"/>
      <c r="BQ88" s="1278"/>
      <c r="BR88" s="1278"/>
      <c r="BS88" s="1064" t="s">
        <v>2462</v>
      </c>
      <c r="BT88" s="1064"/>
      <c r="BU88" s="1064"/>
      <c r="BV88" s="979"/>
      <c r="BW88" s="979"/>
    </row>
    <row customHeight="1" ht="14.625" hidden="1">
      <c r="A89" s="1278"/>
      <c r="B89" s="978"/>
      <c r="C89" s="107"/>
      <c r="D89" s="107"/>
      <c r="E89" s="621">
        <v>15</v>
      </c>
      <c r="F89" s="50" cm="1" t="str">
        <f t="array" ref="F89:F89">OFFSET(E89,-1,1)</f>
        <v>0</v>
      </c>
      <c r="G89" s="107" t="s">
        <v>1812</v>
      </c>
      <c r="H89" s="107"/>
      <c r="I89" s="107" t="s">
        <v>2762</v>
      </c>
      <c r="J89" s="107"/>
      <c r="K89" s="107" t="s">
        <v>2762</v>
      </c>
      <c r="L89" s="980" t="s">
        <v>2268</v>
      </c>
      <c r="M89" s="107"/>
      <c r="N89" s="107"/>
      <c r="O89" s="107"/>
      <c r="P89" s="107"/>
      <c r="Q89" s="107"/>
      <c r="R89" s="107"/>
      <c r="S89" s="107"/>
      <c r="T89" s="465" cm="1" t="str">
        <f t="array" ref="T89:T89">T88</f>
        <v>false</v>
      </c>
      <c r="U89" s="107"/>
      <c r="V89" s="107"/>
      <c r="W89" s="107"/>
      <c r="X89" s="1596"/>
      <c r="Y89" s="1278"/>
      <c r="Z89" s="1546"/>
      <c r="AA89" s="1278"/>
      <c r="AB89" s="300" t="s">
        <v>2763</v>
      </c>
      <c r="AC89" s="765" t="s">
        <v>2764</v>
      </c>
      <c r="AD89" s="300" t="s">
        <v>1514</v>
      </c>
      <c r="AE89" s="1114">
        <f>_xlfn.SUMIFS(Покупка!AE$25:AE$372,Покупка!$F$25:$F$372,$F89,Покупка!$AC$25:$AC$372,$G89)</f>
        <v>0</v>
      </c>
      <c r="AF89" s="1114">
        <f>_xlfn.SUMIFS(Покупка!AF$25:AF$372,Покупка!$F$25:$F$372,$F89,Покупка!$AC$25:$AC$372,$G89)</f>
        <v>0</v>
      </c>
      <c r="AG89" s="1114">
        <f>_xlfn.SUMIFS(Покупка!AG$25:AG$372,Покупка!$F$25:$F$372,$F89,Покупка!$AC$25:$AC$372,$G89)</f>
        <v>0</v>
      </c>
      <c r="AH89" s="1114">
        <f>AG89-AF89</f>
        <v>0</v>
      </c>
      <c r="AI89" s="1114">
        <f>_xlfn.SUMIFS(Покупка!AH$25:AH$372,Покупка!$F$25:$F$372,$F89,Покупка!$AC$25:$AC$372,$G89)</f>
        <v>0</v>
      </c>
      <c r="AJ89" s="1114">
        <f>_xlfn.SUMIFS(Покупка!AI$25:AI$372,Покупка!$F$25:$F$372,$F89,Покупка!$AC$25:$AC$372,$G89)</f>
        <v>0</v>
      </c>
      <c r="AK89" s="1114">
        <f>_xlfn.SUMIFS(Покупка!AJ$25:AJ$372,Покупка!$F$25:$F$372,$F89,Покупка!$AC$25:$AC$372,$G89)</f>
        <v>0</v>
      </c>
      <c r="AL89" s="1114">
        <f>_xlfn.SUMIFS(Покупка!AK$25:AK$372,Покупка!$F$25:$F$372,$F89,Покупка!$AC$25:$AC$372,$G89)</f>
        <v>0</v>
      </c>
      <c r="AM89" s="1114">
        <f>_xlfn.SUMIFS(Покупка!AL$25:AL$372,Покупка!$F$25:$F$372,$F89,Покупка!$AC$25:$AC$372,$G89)</f>
        <v>0</v>
      </c>
      <c r="AN89" s="1114">
        <f>_xlfn.SUMIFS(Покупка!AM$25:AM$372,Покупка!$F$25:$F$372,$F89,Покупка!$AC$25:$AC$372,$G89)</f>
        <v>0</v>
      </c>
      <c r="AO89" s="1114">
        <f>_xlfn.SUMIFS(Покупка!AN$25:AN$372,Покупка!$F$25:$F$372,$F89,Покупка!$AC$25:$AC$372,$G89)</f>
        <v>0</v>
      </c>
      <c r="AP89" s="1114">
        <f>_xlfn.SUMIFS(Покупка!AO$25:AO$372,Покупка!$F$25:$F$372,$F89,Покупка!$AC$25:$AC$372,$G89)</f>
        <v>0</v>
      </c>
      <c r="AQ89" s="1114">
        <f>_xlfn.SUMIFS(Покупка!AP$25:AP$372,Покупка!$F$25:$F$372,$F89,Покупка!$AC$25:$AC$372,$G89)</f>
        <v>0</v>
      </c>
      <c r="AR89" s="1114">
        <f>_xlfn.SUMIFS(Покупка!AQ$25:AQ$372,Покупка!$F$25:$F$372,$F89,Покупка!$AC$25:$AC$372,$G89)</f>
        <v>0</v>
      </c>
      <c r="AS89" s="1114">
        <f>_xlfn.SUMIFS(Покупка!AR$25:AR$372,Покупка!$F$25:$F$372,$F89,Покупка!$AC$25:$AC$372,$G89)</f>
        <v>0</v>
      </c>
      <c r="AT89" s="1114">
        <f>_xlfn.SUMIFS(Покупка!AS$25:AS$372,Покупка!$F$25:$F$372,$F89,Покупка!$AC$25:$AC$372,$G89)</f>
        <v>0</v>
      </c>
      <c r="AU89" s="1114">
        <f>_xlfn.SUMIFS(Покупка!AT$25:AT$372,Покупка!$F$25:$F$372,$F89,Покупка!$AC$25:$AC$372,$G89)</f>
        <v>0</v>
      </c>
      <c r="AV89" s="1114">
        <f>_xlfn.SUMIFS(Покупка!AU$25:AU$372,Покупка!$F$25:$F$372,$F89,Покупка!$AC$25:$AC$372,$G89)</f>
        <v>0</v>
      </c>
      <c r="AW89" s="1114">
        <f>_xlfn.SUMIFS(Покупка!AV$25:AV$372,Покупка!$F$25:$F$372,$F89,Покупка!$AC$25:$AC$372,$G89)</f>
        <v>0</v>
      </c>
      <c r="AX89" s="1114">
        <f>_xlfn.SUMIFS(Покупка!AW$25:AW$372,Покупка!$F$25:$F$372,$F89,Покупка!$AC$25:$AC$372,$G89)</f>
        <v>0</v>
      </c>
      <c r="AY89" s="1114">
        <f>_xlfn.SUMIFS(Покупка!AX$25:AX$372,Покупка!$F$25:$F$372,$F89,Покупка!$AC$25:$AC$372,$G89)</f>
        <v>0</v>
      </c>
      <c r="AZ89" s="1114">
        <f>_xlfn.SUMIFS(Покупка!AY$25:AY$372,Покупка!$F$25:$F$372,$F89,Покупка!$AC$25:$AC$372,$G89)</f>
        <v>0</v>
      </c>
      <c r="BA89" s="1114">
        <f>_xlfn.SUMIFS(Покупка!AZ$25:AZ$372,Покупка!$F$25:$F$372,$F89,Покупка!$AC$25:$AC$372,$G89)</f>
        <v>0</v>
      </c>
      <c r="BB89" s="1114">
        <f>_xlfn.SUMIFS(Покупка!BA$25:BA$372,Покупка!$F$25:$F$372,$F89,Покупка!$AC$25:$AC$372,$G89)</f>
        <v>0</v>
      </c>
      <c r="BC89" s="1114">
        <f>_xlfn.SUMIFS(Покупка!BB$25:BB$372,Покупка!$F$25:$F$372,$F89,Покупка!$AC$25:$AC$372,$G89)</f>
        <v>0</v>
      </c>
      <c r="BD89" s="1114">
        <f>IF(AI89=0,0,(AT89-AI89)/AI89*100)</f>
        <v>0</v>
      </c>
      <c r="BE89" s="1114">
        <f>IF(AT89=0,0,(AU89-AT89)/AT89*100)</f>
        <v>0</v>
      </c>
      <c r="BF89" s="1114">
        <f>IF(AU89=0,0,(AV89-AU89)/AU89*100)</f>
        <v>0</v>
      </c>
      <c r="BG89" s="1114">
        <f>IF(AV89=0,0,(AW89-AV89)/AV89*100)</f>
        <v>0</v>
      </c>
      <c r="BH89" s="1114">
        <f>IF(AW89=0,0,(AX89-AW89)/AW89*100)</f>
        <v>0</v>
      </c>
      <c r="BI89" s="1114">
        <f>IF(AX89=0,0,(AY89-AX89)/AX89*100)</f>
        <v>0</v>
      </c>
      <c r="BJ89" s="1114">
        <f>IF(AY89=0,0,(AZ89-AY89)/AY89*100)</f>
        <v>0</v>
      </c>
      <c r="BK89" s="1114">
        <f>IF(AZ89=0,0,(BA89-AZ89)/AZ89*100)</f>
        <v>0</v>
      </c>
      <c r="BL89" s="1114">
        <f>IF(BA89=0,0,(BB89-BA89)/BA89*100)</f>
        <v>0</v>
      </c>
      <c r="BM89" s="1114">
        <f>IF(BB89=0,0,(BC89-BB89)/BB89*100)</f>
        <v>0</v>
      </c>
      <c r="BN89" s="1238"/>
      <c r="BO89" s="1242" t="str">
        <f>IF(_xlfn.IFERROR(INDEX(Покупка!$K$26:$L$372,MATCH($F89&amp;"5komm",Покупка!$K$26:$K$372,0),2),"")=0,"",_xlfn.IFERROR(INDEX(Покупка!$K$26:$L$372,MATCH($F89&amp;"5komm",Покупка!$K$26:$K$372,0),2),""))</f>
        <v/>
      </c>
      <c r="BP89" s="1238"/>
      <c r="BQ89" s="1278"/>
      <c r="BR89" s="1278"/>
      <c r="BS89" s="1064" t="s">
        <v>2465</v>
      </c>
      <c r="BT89" s="1064"/>
      <c r="BU89" s="1064"/>
      <c r="BV89" s="979"/>
      <c r="BW89" s="979"/>
    </row>
    <row customHeight="1" ht="14.625" hidden="1">
      <c r="A90" s="1278"/>
      <c r="B90" s="978"/>
      <c r="C90" s="107"/>
      <c r="D90" s="107"/>
      <c r="E90" s="621">
        <v>15</v>
      </c>
      <c r="F90" s="50" cm="1" t="str">
        <f t="array" ref="F90:F90">OFFSET(E90,-1,1)</f>
        <v>0</v>
      </c>
      <c r="G90" s="107" t="s">
        <v>1853</v>
      </c>
      <c r="H90" s="107"/>
      <c r="I90" s="107"/>
      <c r="J90" s="107"/>
      <c r="K90" s="107"/>
      <c r="L90" s="980" t="s">
        <v>2235</v>
      </c>
      <c r="M90" s="107"/>
      <c r="N90" s="107"/>
      <c r="O90" s="107"/>
      <c r="P90" s="107"/>
      <c r="Q90" s="107"/>
      <c r="R90" s="107"/>
      <c r="S90" s="107"/>
      <c r="T90" s="465" cm="1" t="str">
        <f t="array" ref="T90:T90">T89</f>
        <v>false</v>
      </c>
      <c r="U90" s="107"/>
      <c r="V90" s="107"/>
      <c r="W90" s="107"/>
      <c r="X90" s="1596"/>
      <c r="Y90" s="1278"/>
      <c r="Z90" s="1546"/>
      <c r="AA90" s="1278"/>
      <c r="AB90" s="300" t="s">
        <v>2765</v>
      </c>
      <c r="AC90" s="765" t="s">
        <v>2766</v>
      </c>
      <c r="AD90" s="300" t="s">
        <v>1514</v>
      </c>
      <c r="AE90" s="1114">
        <f>_xlfn.SUMIFS(Покупка!AE$25:AE$372,Покупка!$F$25:$F$372,$F90,Покупка!$AC$25:$AC$372,$G90)</f>
        <v>0</v>
      </c>
      <c r="AF90" s="1114">
        <f>_xlfn.SUMIFS(Покупка!AF$25:AF$372,Покупка!$F$25:$F$372,$F90,Покупка!$AC$25:$AC$372,$G90)</f>
        <v>0</v>
      </c>
      <c r="AG90" s="1114">
        <f>_xlfn.SUMIFS(Покупка!AG$25:AG$372,Покупка!$F$25:$F$372,$F90,Покупка!$AC$25:$AC$372,$G90)</f>
        <v>0</v>
      </c>
      <c r="AH90" s="1114">
        <f>AG90-AF90</f>
        <v>0</v>
      </c>
      <c r="AI90" s="1114">
        <f>_xlfn.SUMIFS(Покупка!AH$25:AH$372,Покупка!$F$25:$F$372,$F90,Покупка!$AC$25:$AC$372,$G90)</f>
        <v>0</v>
      </c>
      <c r="AJ90" s="1114">
        <f>_xlfn.SUMIFS(Покупка!AI$25:AI$372,Покупка!$F$25:$F$372,$F90,Покупка!$AC$25:$AC$372,$G90)</f>
        <v>0</v>
      </c>
      <c r="AK90" s="1114">
        <f>_xlfn.SUMIFS(Покупка!AJ$25:AJ$372,Покупка!$F$25:$F$372,$F90,Покупка!$AC$25:$AC$372,$G90)</f>
        <v>0</v>
      </c>
      <c r="AL90" s="1114">
        <f>_xlfn.SUMIFS(Покупка!AK$25:AK$372,Покупка!$F$25:$F$372,$F90,Покупка!$AC$25:$AC$372,$G90)</f>
        <v>0</v>
      </c>
      <c r="AM90" s="1114">
        <f>_xlfn.SUMIFS(Покупка!AL$25:AL$372,Покупка!$F$25:$F$372,$F90,Покупка!$AC$25:$AC$372,$G90)</f>
        <v>0</v>
      </c>
      <c r="AN90" s="1114">
        <f>_xlfn.SUMIFS(Покупка!AM$25:AM$372,Покупка!$F$25:$F$372,$F90,Покупка!$AC$25:$AC$372,$G90)</f>
        <v>0</v>
      </c>
      <c r="AO90" s="1114">
        <f>_xlfn.SUMIFS(Покупка!AN$25:AN$372,Покупка!$F$25:$F$372,$F90,Покупка!$AC$25:$AC$372,$G90)</f>
        <v>0</v>
      </c>
      <c r="AP90" s="1114">
        <f>_xlfn.SUMIFS(Покупка!AO$25:AO$372,Покупка!$F$25:$F$372,$F90,Покупка!$AC$25:$AC$372,$G90)</f>
        <v>0</v>
      </c>
      <c r="AQ90" s="1114">
        <f>_xlfn.SUMIFS(Покупка!AP$25:AP$372,Покупка!$F$25:$F$372,$F90,Покупка!$AC$25:$AC$372,$G90)</f>
        <v>0</v>
      </c>
      <c r="AR90" s="1114">
        <f>_xlfn.SUMIFS(Покупка!AQ$25:AQ$372,Покупка!$F$25:$F$372,$F90,Покупка!$AC$25:$AC$372,$G90)</f>
        <v>0</v>
      </c>
      <c r="AS90" s="1114">
        <f>_xlfn.SUMIFS(Покупка!AR$25:AR$372,Покупка!$F$25:$F$372,$F90,Покупка!$AC$25:$AC$372,$G90)</f>
        <v>0</v>
      </c>
      <c r="AT90" s="1114">
        <f>_xlfn.SUMIFS(Покупка!AS$25:AS$372,Покупка!$F$25:$F$372,$F90,Покупка!$AC$25:$AC$372,$G90)</f>
        <v>0</v>
      </c>
      <c r="AU90" s="1114">
        <f>_xlfn.SUMIFS(Покупка!AT$25:AT$372,Покупка!$F$25:$F$372,$F90,Покупка!$AC$25:$AC$372,$G90)</f>
        <v>0</v>
      </c>
      <c r="AV90" s="1114">
        <f>_xlfn.SUMIFS(Покупка!AU$25:AU$372,Покупка!$F$25:$F$372,$F90,Покупка!$AC$25:$AC$372,$G90)</f>
        <v>0</v>
      </c>
      <c r="AW90" s="1114">
        <f>_xlfn.SUMIFS(Покупка!AV$25:AV$372,Покупка!$F$25:$F$372,$F90,Покупка!$AC$25:$AC$372,$G90)</f>
        <v>0</v>
      </c>
      <c r="AX90" s="1114">
        <f>_xlfn.SUMIFS(Покупка!AW$25:AW$372,Покупка!$F$25:$F$372,$F90,Покупка!$AC$25:$AC$372,$G90)</f>
        <v>0</v>
      </c>
      <c r="AY90" s="1114">
        <f>_xlfn.SUMIFS(Покупка!AX$25:AX$372,Покупка!$F$25:$F$372,$F90,Покупка!$AC$25:$AC$372,$G90)</f>
        <v>0</v>
      </c>
      <c r="AZ90" s="1114">
        <f>_xlfn.SUMIFS(Покупка!AY$25:AY$372,Покупка!$F$25:$F$372,$F90,Покупка!$AC$25:$AC$372,$G90)</f>
        <v>0</v>
      </c>
      <c r="BA90" s="1114">
        <f>_xlfn.SUMIFS(Покупка!AZ$25:AZ$372,Покупка!$F$25:$F$372,$F90,Покупка!$AC$25:$AC$372,$G90)</f>
        <v>0</v>
      </c>
      <c r="BB90" s="1114">
        <f>_xlfn.SUMIFS(Покупка!BA$25:BA$372,Покупка!$F$25:$F$372,$F90,Покупка!$AC$25:$AC$372,$G90)</f>
        <v>0</v>
      </c>
      <c r="BC90" s="1114">
        <f>_xlfn.SUMIFS(Покупка!BB$25:BB$372,Покупка!$F$25:$F$372,$F90,Покупка!$AC$25:$AC$372,$G90)</f>
        <v>0</v>
      </c>
      <c r="BD90" s="1114">
        <f>IF(AI90=0,0,(AT90-AI90)/AI90*100)</f>
        <v>0</v>
      </c>
      <c r="BE90" s="1114">
        <f>IF(AT90=0,0,(AU90-AT90)/AT90*100)</f>
        <v>0</v>
      </c>
      <c r="BF90" s="1114">
        <f>IF(AU90=0,0,(AV90-AU90)/AU90*100)</f>
        <v>0</v>
      </c>
      <c r="BG90" s="1114">
        <f>IF(AV90=0,0,(AW90-AV90)/AV90*100)</f>
        <v>0</v>
      </c>
      <c r="BH90" s="1114">
        <f>IF(AW90=0,0,(AX90-AW90)/AW90*100)</f>
        <v>0</v>
      </c>
      <c r="BI90" s="1114">
        <f>IF(AX90=0,0,(AY90-AX90)/AX90*100)</f>
        <v>0</v>
      </c>
      <c r="BJ90" s="1114">
        <f>IF(AY90=0,0,(AZ90-AY90)/AY90*100)</f>
        <v>0</v>
      </c>
      <c r="BK90" s="1114">
        <f>IF(AZ90=0,0,(BA90-AZ90)/AZ90*100)</f>
        <v>0</v>
      </c>
      <c r="BL90" s="1114">
        <f>IF(BA90=0,0,(BB90-BA90)/BA90*100)</f>
        <v>0</v>
      </c>
      <c r="BM90" s="1114">
        <f>IF(BB90=0,0,(BC90-BB90)/BB90*100)</f>
        <v>0</v>
      </c>
      <c r="BN90" s="1238"/>
      <c r="BO90" s="1242" t="str">
        <f>IF(_xlfn.IFERROR(INDEX(Покупка!$K$26:$L$372,MATCH($F90&amp;"9komm",Покупка!$K$26:$K$372,0),2),"")=0,"",_xlfn.IFERROR(INDEX(Покупка!$K$26:$L$372,MATCH($F90&amp;"9komm",Покупка!$K$26:$K$372,0),2),""))</f>
        <v/>
      </c>
      <c r="BP90" s="1238"/>
      <c r="BQ90" s="1278"/>
      <c r="BR90" s="1278"/>
      <c r="BS90" s="1064" t="s">
        <v>1854</v>
      </c>
      <c r="BT90" s="1064"/>
      <c r="BU90" s="1064"/>
      <c r="BV90" s="979"/>
      <c r="BW90" s="979"/>
    </row>
    <row customHeight="1" ht="14.625" hidden="1">
      <c r="A91" s="1278"/>
      <c r="B91" s="978"/>
      <c r="C91" s="107"/>
      <c r="D91" s="107"/>
      <c r="E91" s="621">
        <v>15</v>
      </c>
      <c r="F91" s="50" cm="1" t="str">
        <f t="array" ref="F91:F91">OFFSET(E91,-1,1)</f>
        <v>0</v>
      </c>
      <c r="G91" s="107"/>
      <c r="H91" s="107"/>
      <c r="I91" s="107" t="s">
        <v>1196</v>
      </c>
      <c r="J91" s="107"/>
      <c r="K91" s="107" t="s">
        <v>1196</v>
      </c>
      <c r="L91" s="980"/>
      <c r="M91" s="107"/>
      <c r="N91" s="107"/>
      <c r="O91" s="107"/>
      <c r="P91" s="107"/>
      <c r="Q91" s="107"/>
      <c r="R91" s="107"/>
      <c r="S91" s="107"/>
      <c r="T91" s="465" cm="1" t="str">
        <f t="array" ref="T91:T91">T90</f>
        <v>false</v>
      </c>
      <c r="U91" s="107"/>
      <c r="V91" s="107"/>
      <c r="W91" s="107"/>
      <c r="X91" s="1596"/>
      <c r="Y91" s="1278"/>
      <c r="Z91" s="1546"/>
      <c r="AA91" s="1278"/>
      <c r="AB91" s="300" t="s">
        <v>1254</v>
      </c>
      <c r="AC91" s="762" t="s">
        <v>2767</v>
      </c>
      <c r="AD91" s="779" t="s">
        <v>1514</v>
      </c>
      <c r="AE91" s="1114">
        <f>_xlfn.SUMIFS('Сырье и материалы'!AE$25:AE$162,'Сырье и материалы'!$F$25:$F$162,$F91,'Сырье и материалы'!$I$25:$I$162,"Реагенты")</f>
        <v>0</v>
      </c>
      <c r="AF91" s="1114">
        <f>_xlfn.SUMIFS('Сырье и материалы'!AF$25:AF$162,'Сырье и материалы'!$F$25:$F$162,$F91,'Сырье и материалы'!$I$25:$I$162,"Реагенты")</f>
        <v>0</v>
      </c>
      <c r="AG91" s="1114">
        <f>_xlfn.SUMIFS('Сырье и материалы'!AG$25:AG$162,'Сырье и материалы'!$F$25:$F$162,$F91,'Сырье и материалы'!$I$25:$I$162,"Реагенты")</f>
        <v>0</v>
      </c>
      <c r="AH91" s="1114">
        <f>AG91-AF91</f>
        <v>0</v>
      </c>
      <c r="AI91" s="1114">
        <f>_xlfn.SUMIFS('Сырье и материалы'!AH$25:AH$162,'Сырье и материалы'!$F$25:$F$162,$F91,'Сырье и материалы'!$I$25:$I$162,"Реагенты")</f>
        <v>0</v>
      </c>
      <c r="AJ91" s="1114">
        <f>_xlfn.SUMIFS('Сырье и материалы'!AI$25:AI$162,'Сырье и материалы'!$F$25:$F$162,$F91,'Сырье и материалы'!$I$25:$I$162,"Реагенты")</f>
        <v>0</v>
      </c>
      <c r="AK91" s="1114">
        <f>_xlfn.SUMIFS('Сырье и материалы'!AJ$25:AJ$162,'Сырье и материалы'!$F$25:$F$162,$F91,'Сырье и материалы'!$I$25:$I$162,"Реагенты")</f>
        <v>0</v>
      </c>
      <c r="AL91" s="1114">
        <f>_xlfn.SUMIFS('Сырье и материалы'!AK$25:AK$162,'Сырье и материалы'!$F$25:$F$162,$F91,'Сырье и материалы'!$I$25:$I$162,"Реагенты")</f>
        <v>0</v>
      </c>
      <c r="AM91" s="1114">
        <f>_xlfn.SUMIFS('Сырье и материалы'!AL$25:AL$162,'Сырье и материалы'!$F$25:$F$162,$F91,'Сырье и материалы'!$I$25:$I$162,"Реагенты")</f>
        <v>0</v>
      </c>
      <c r="AN91" s="1114">
        <f>_xlfn.SUMIFS('Сырье и материалы'!AM$25:AM$162,'Сырье и материалы'!$F$25:$F$162,$F91,'Сырье и материалы'!$I$25:$I$162,"Реагенты")</f>
        <v>0</v>
      </c>
      <c r="AO91" s="1114">
        <f>_xlfn.SUMIFS('Сырье и материалы'!AN$25:AN$162,'Сырье и материалы'!$F$25:$F$162,$F91,'Сырье и материалы'!$I$25:$I$162,"Реагенты")</f>
        <v>0</v>
      </c>
      <c r="AP91" s="1114">
        <f>_xlfn.SUMIFS('Сырье и материалы'!AO$25:AO$162,'Сырье и материалы'!$F$25:$F$162,$F91,'Сырье и материалы'!$I$25:$I$162,"Реагенты")</f>
        <v>0</v>
      </c>
      <c r="AQ91" s="1114">
        <f>_xlfn.SUMIFS('Сырье и материалы'!AP$25:AP$162,'Сырье и материалы'!$F$25:$F$162,$F91,'Сырье и материалы'!$I$25:$I$162,"Реагенты")</f>
        <v>0</v>
      </c>
      <c r="AR91" s="1114">
        <f>_xlfn.SUMIFS('Сырье и материалы'!AQ$25:AQ$162,'Сырье и материалы'!$F$25:$F$162,$F91,'Сырье и материалы'!$I$25:$I$162,"Реагенты")</f>
        <v>0</v>
      </c>
      <c r="AS91" s="1114">
        <f>_xlfn.SUMIFS('Сырье и материалы'!AR$25:AR$162,'Сырье и материалы'!$F$25:$F$162,$F91,'Сырье и материалы'!$I$25:$I$162,"Реагенты")</f>
        <v>0</v>
      </c>
      <c r="AT91" s="1114">
        <f>_xlfn.SUMIFS('Сырье и материалы'!AS$25:AS$162,'Сырье и материалы'!$F$25:$F$162,$F91,'Сырье и материалы'!$I$25:$I$162,"Реагенты")</f>
        <v>0</v>
      </c>
      <c r="AU91" s="1114">
        <f>_xlfn.SUMIFS('Сырье и материалы'!AT$25:AT$162,'Сырье и материалы'!$F$25:$F$162,$F91,'Сырье и материалы'!$I$25:$I$162,"Реагенты")</f>
        <v>0</v>
      </c>
      <c r="AV91" s="1114">
        <f>_xlfn.SUMIFS('Сырье и материалы'!AU$25:AU$162,'Сырье и материалы'!$F$25:$F$162,$F91,'Сырье и материалы'!$I$25:$I$162,"Реагенты")</f>
        <v>0</v>
      </c>
      <c r="AW91" s="1114">
        <f>_xlfn.SUMIFS('Сырье и материалы'!AV$25:AV$162,'Сырье и материалы'!$F$25:$F$162,$F91,'Сырье и материалы'!$I$25:$I$162,"Реагенты")</f>
        <v>0</v>
      </c>
      <c r="AX91" s="1114">
        <f>_xlfn.SUMIFS('Сырье и материалы'!AW$25:AW$162,'Сырье и материалы'!$F$25:$F$162,$F91,'Сырье и материалы'!$I$25:$I$162,"Реагенты")</f>
        <v>0</v>
      </c>
      <c r="AY91" s="1114">
        <f>_xlfn.SUMIFS('Сырье и материалы'!AX$25:AX$162,'Сырье и материалы'!$F$25:$F$162,$F91,'Сырье и материалы'!$I$25:$I$162,"Реагенты")</f>
        <v>0</v>
      </c>
      <c r="AZ91" s="1114">
        <f>_xlfn.SUMIFS('Сырье и материалы'!AY$25:AY$162,'Сырье и материалы'!$F$25:$F$162,$F91,'Сырье и материалы'!$I$25:$I$162,"Реагенты")</f>
        <v>0</v>
      </c>
      <c r="BA91" s="1114">
        <f>_xlfn.SUMIFS('Сырье и материалы'!AZ$25:AZ$162,'Сырье и материалы'!$F$25:$F$162,$F91,'Сырье и материалы'!$I$25:$I$162,"Реагенты")</f>
        <v>0</v>
      </c>
      <c r="BB91" s="1114">
        <f>_xlfn.SUMIFS('Сырье и материалы'!BA$25:BA$162,'Сырье и материалы'!$F$25:$F$162,$F91,'Сырье и материалы'!$I$25:$I$162,"Реагенты")</f>
        <v>0</v>
      </c>
      <c r="BC91" s="1114">
        <f>_xlfn.SUMIFS('Сырье и материалы'!BB$25:BB$162,'Сырье и материалы'!$F$25:$F$162,$F91,'Сырье и материалы'!$I$25:$I$162,"Реагенты")</f>
        <v>0</v>
      </c>
      <c r="BD91" s="1114">
        <f>IF(AI91=0,0,(AT91-AI91)/AI91*100)</f>
        <v>0</v>
      </c>
      <c r="BE91" s="1114">
        <f>IF(AT91=0,0,(AU91-AT91)/AT91*100)</f>
        <v>0</v>
      </c>
      <c r="BF91" s="1114">
        <f>IF(AU91=0,0,(AV91-AU91)/AU91*100)</f>
        <v>0</v>
      </c>
      <c r="BG91" s="1114">
        <f>IF(AV91=0,0,(AW91-AV91)/AV91*100)</f>
        <v>0</v>
      </c>
      <c r="BH91" s="1114">
        <f>IF(AW91=0,0,(AX91-AW91)/AW91*100)</f>
        <v>0</v>
      </c>
      <c r="BI91" s="1114">
        <f>IF(AX91=0,0,(AY91-AX91)/AX91*100)</f>
        <v>0</v>
      </c>
      <c r="BJ91" s="1114">
        <f>IF(AY91=0,0,(AZ91-AY91)/AY91*100)</f>
        <v>0</v>
      </c>
      <c r="BK91" s="1114">
        <f>IF(AZ91=0,0,(BA91-AZ91)/AZ91*100)</f>
        <v>0</v>
      </c>
      <c r="BL91" s="1114">
        <f>IF(BA91=0,0,(BB91-BA91)/BA91*100)</f>
        <v>0</v>
      </c>
      <c r="BM91" s="1114">
        <f>IF(BB91=0,0,(BC91-BB91)/BB91*100)</f>
        <v>0</v>
      </c>
      <c r="BN91" s="1238"/>
      <c r="BO91" s="1242" t="str">
        <f>IF(_xlfn.IFERROR(INDEX('Сырье и материалы'!$K$26:$L$162,MATCH($F91&amp;"komm",'Сырье и материалы'!$K$26:$K$162,0),2),"")=0,"",_xlfn.IFERROR(INDEX('Сырье и материалы'!$K$26:$L$162,MATCH($F91&amp;"komm",'Сырье и материалы'!$K$26:$K$162,0),2),""))</f>
        <v/>
      </c>
      <c r="BP91" s="1238"/>
      <c r="BQ91" s="1278"/>
      <c r="BR91" s="1278"/>
      <c r="BS91" s="1064" t="s">
        <v>2438</v>
      </c>
      <c r="BT91" s="1064"/>
      <c r="BU91" s="1064"/>
      <c r="BV91" s="979"/>
      <c r="BW91" s="979"/>
    </row>
    <row s="700" customFormat="1" customHeight="1" ht="20.475" hidden="1">
      <c r="A92" s="700"/>
      <c r="B92" s="435"/>
      <c r="C92" s="109"/>
      <c r="D92" s="109"/>
      <c r="E92" s="826">
        <v>21</v>
      </c>
      <c r="F92" s="50" cm="1" t="str">
        <f t="array" ref="F92:F92">OFFSET(E92,-1,1)</f>
        <v>0</v>
      </c>
      <c r="G92" s="109"/>
      <c r="H92" s="107"/>
      <c r="I92" s="107" t="s">
        <v>1648</v>
      </c>
      <c r="J92" s="109"/>
      <c r="K92" s="107" t="s">
        <v>1648</v>
      </c>
      <c r="L92" s="985" t="s">
        <v>1228</v>
      </c>
      <c r="M92" s="109"/>
      <c r="N92" s="109"/>
      <c r="O92" s="109"/>
      <c r="P92" s="109"/>
      <c r="Q92" s="109"/>
      <c r="R92" s="109"/>
      <c r="S92" s="109"/>
      <c r="T92" s="465" cm="1" t="str">
        <f t="array" ref="T92:T92">T91</f>
        <v>false</v>
      </c>
      <c r="U92" s="109"/>
      <c r="V92" s="109"/>
      <c r="W92" s="109"/>
      <c r="X92" s="1596"/>
      <c r="Y92" s="700"/>
      <c r="Z92" s="1546"/>
      <c r="AA92" s="700"/>
      <c r="AB92" s="211" t="s">
        <v>1258</v>
      </c>
      <c r="AC92" s="361" t="s">
        <v>2768</v>
      </c>
      <c r="AD92" s="211" t="s">
        <v>1514</v>
      </c>
      <c r="AE92" s="778">
        <f>SUM(AE93:AE102)</f>
        <v>0</v>
      </c>
      <c r="AF92" s="778">
        <f>SUM(AF93:AF102)</f>
        <v>0</v>
      </c>
      <c r="AG92" s="778">
        <f>SUM(AG93:AG102)</f>
        <v>0</v>
      </c>
      <c r="AH92" s="778">
        <f>AG92-AF92</f>
        <v>0</v>
      </c>
      <c r="AI92" s="778">
        <f>SUM(AI93:AI102)</f>
        <v>0</v>
      </c>
      <c r="AJ92" s="213">
        <f>SUM(AJ93:AJ102)</f>
        <v>0</v>
      </c>
      <c r="AK92" s="778">
        <f>SUM(AK93:AK102)</f>
        <v>0</v>
      </c>
      <c r="AL92" s="778">
        <f>SUM(AL93:AL102)</f>
        <v>0</v>
      </c>
      <c r="AM92" s="778">
        <f>SUM(AM93:AM102)</f>
        <v>0</v>
      </c>
      <c r="AN92" s="778">
        <f>SUM(AN93:AN102)</f>
        <v>0</v>
      </c>
      <c r="AO92" s="778">
        <f>SUM(AO93:AO102)</f>
        <v>0</v>
      </c>
      <c r="AP92" s="778">
        <f>SUM(AP93:AP102)</f>
        <v>0</v>
      </c>
      <c r="AQ92" s="778">
        <f>SUM(AQ93:AQ102)</f>
        <v>0</v>
      </c>
      <c r="AR92" s="778">
        <f>SUM(AR93:AR102)</f>
        <v>0</v>
      </c>
      <c r="AS92" s="778">
        <f>SUM(AS93:AS102)</f>
        <v>0</v>
      </c>
      <c r="AT92" s="213">
        <f>SUM(AT93:AT102)</f>
        <v>0</v>
      </c>
      <c r="AU92" s="778">
        <f>SUM(AU93:AU102)</f>
        <v>0</v>
      </c>
      <c r="AV92" s="778">
        <f>SUM(AV93:AV102)</f>
        <v>0</v>
      </c>
      <c r="AW92" s="778">
        <f>SUM(AW93:AW102)</f>
        <v>0</v>
      </c>
      <c r="AX92" s="778">
        <f>SUM(AX93:AX102)</f>
        <v>0</v>
      </c>
      <c r="AY92" s="778">
        <f>SUM(AY93:AY102)</f>
        <v>0</v>
      </c>
      <c r="AZ92" s="778">
        <f>SUM(AZ93:AZ102)</f>
        <v>0</v>
      </c>
      <c r="BA92" s="778">
        <f>SUM(BA93:BA102)</f>
        <v>0</v>
      </c>
      <c r="BB92" s="778">
        <f>SUM(BB93:BB102)</f>
        <v>0</v>
      </c>
      <c r="BC92" s="778">
        <f>SUM(BC93:BC102)</f>
        <v>0</v>
      </c>
      <c r="BD92" s="778">
        <f>IF(AI92=0,0,(AT92-AI92)/AI92*100)</f>
        <v>0</v>
      </c>
      <c r="BE92" s="778">
        <f>IF(AT92=0,0,(AU92-AT92)/AT92*100)</f>
        <v>0</v>
      </c>
      <c r="BF92" s="778">
        <f>IF(AU92=0,0,(AV92-AU92)/AU92*100)</f>
        <v>0</v>
      </c>
      <c r="BG92" s="778">
        <f>IF(AV92=0,0,(AW92-AV92)/AV92*100)</f>
        <v>0</v>
      </c>
      <c r="BH92" s="778">
        <f>IF(AW92=0,0,(AX92-AW92)/AW92*100)</f>
        <v>0</v>
      </c>
      <c r="BI92" s="778">
        <f>IF(AX92=0,0,(AY92-AX92)/AX92*100)</f>
        <v>0</v>
      </c>
      <c r="BJ92" s="778">
        <f>IF(AY92=0,0,(AZ92-AY92)/AY92*100)</f>
        <v>0</v>
      </c>
      <c r="BK92" s="778">
        <f>IF(AZ92=0,0,(BA92-AZ92)/AZ92*100)</f>
        <v>0</v>
      </c>
      <c r="BL92" s="778">
        <f>IF(BA92=0,0,(BB92-BA92)/BA92*100)</f>
        <v>0</v>
      </c>
      <c r="BM92" s="778">
        <f>IF(BB92=0,0,(BC92-BB92)/BB92*100)</f>
        <v>0</v>
      </c>
      <c r="BN92" s="1240"/>
      <c r="BO92" s="1242" t="str">
        <f>IF(_xlfn.IFERROR(INDEX(Налоги!$K$26:$L$101,MATCH($F92&amp;"komm",Налоги!$K$26:$K$101,0),2),"")=0,"",_xlfn.IFERROR(INDEX(Налоги!$K$26:$L$101,MATCH($F92&amp;"komm",Налоги!$K$26:$K$101,0),2),""))</f>
        <v/>
      </c>
      <c r="BP92" s="1240"/>
      <c r="BQ92" s="700"/>
      <c r="BR92" s="700"/>
      <c r="BS92" s="1070" t="s">
        <v>1999</v>
      </c>
      <c r="BT92" s="1070"/>
      <c r="BU92" s="1070"/>
      <c r="BV92" s="707"/>
      <c r="BW92" s="707"/>
    </row>
    <row customHeight="1" ht="14.625" hidden="1">
      <c r="A93" s="1278"/>
      <c r="B93" s="978"/>
      <c r="C93" s="107"/>
      <c r="D93" s="107"/>
      <c r="E93" s="621">
        <v>15</v>
      </c>
      <c r="F93" s="50" cm="1" t="str">
        <f t="array" ref="F93:F93">OFFSET(E93,-1,1)</f>
        <v>0</v>
      </c>
      <c r="G93" s="922">
        <v>7</v>
      </c>
      <c r="H93" s="107"/>
      <c r="I93" s="107" t="s">
        <v>2769</v>
      </c>
      <c r="J93" s="107"/>
      <c r="K93" s="107" t="s">
        <v>2769</v>
      </c>
      <c r="L93" s="980"/>
      <c r="M93" s="107"/>
      <c r="N93" s="107"/>
      <c r="O93" s="107"/>
      <c r="P93" s="107"/>
      <c r="Q93" s="107"/>
      <c r="R93" s="107"/>
      <c r="S93" s="107"/>
      <c r="T93" s="465" cm="1" t="str">
        <f t="array" ref="T93:T93">T92</f>
        <v>false</v>
      </c>
      <c r="U93" s="107"/>
      <c r="V93" s="107"/>
      <c r="W93" s="107"/>
      <c r="X93" s="1596"/>
      <c r="Y93" s="1278"/>
      <c r="Z93" s="1546"/>
      <c r="AA93" s="1278"/>
      <c r="AB93" s="300" t="s">
        <v>1212</v>
      </c>
      <c r="AC93" s="765" t="s">
        <v>2013</v>
      </c>
      <c r="AD93" s="300" t="s">
        <v>1514</v>
      </c>
      <c r="AE93" s="1114">
        <f>_xlfn.SUMIFS(Налоги!AE$25:AE$101,Налоги!$F$25:$F$101,$F93,Налоги!$AB$25:$AB$101,$G93)</f>
        <v>0</v>
      </c>
      <c r="AF93" s="1114">
        <f>_xlfn.SUMIFS(Налоги!AF$25:AF$101,Налоги!$F$25:$F$101,$F93,Налоги!$AB$25:$AB$101,$G93)</f>
        <v>0</v>
      </c>
      <c r="AG93" s="1114">
        <f>_xlfn.SUMIFS(Налоги!AG$25:AG$101,Налоги!$F$25:$F$101,$F93,Налоги!$AB$25:$AB$101,$G93)</f>
        <v>0</v>
      </c>
      <c r="AH93" s="1114">
        <f>AG93-AF93</f>
        <v>0</v>
      </c>
      <c r="AI93" s="1114">
        <f>_xlfn.SUMIFS(Налоги!AH$25:AH$101,Налоги!$F$25:$F$101,$F93,Налоги!$AB$25:$AB$101,$G93)</f>
        <v>0</v>
      </c>
      <c r="AJ93" s="1114">
        <f>_xlfn.SUMIFS(Налоги!AI$25:AI$101,Налоги!$F$25:$F$101,$F93,Налоги!$AB$25:$AB$101,$G93)</f>
        <v>0</v>
      </c>
      <c r="AK93" s="1114">
        <f>_xlfn.SUMIFS(Налоги!AJ$25:AJ$101,Налоги!$F$25:$F$101,$F93,Налоги!$AB$25:$AB$101,$G93)</f>
        <v>0</v>
      </c>
      <c r="AL93" s="1114">
        <f>_xlfn.SUMIFS(Налоги!AK$25:AK$101,Налоги!$F$25:$F$101,$F93,Налоги!$AB$25:$AB$101,$G93)</f>
        <v>0</v>
      </c>
      <c r="AM93" s="1114">
        <f>_xlfn.SUMIFS(Налоги!AL$25:AL$101,Налоги!$F$25:$F$101,$F93,Налоги!$AB$25:$AB$101,$G93)</f>
        <v>0</v>
      </c>
      <c r="AN93" s="1114">
        <f>_xlfn.SUMIFS(Налоги!AM$25:AM$101,Налоги!$F$25:$F$101,$F93,Налоги!$AB$25:$AB$101,$G93)</f>
        <v>0</v>
      </c>
      <c r="AO93" s="1114">
        <f>_xlfn.SUMIFS(Налоги!AN$25:AN$101,Налоги!$F$25:$F$101,$F93,Налоги!$AB$25:$AB$101,$G93)</f>
        <v>0</v>
      </c>
      <c r="AP93" s="1114">
        <f>_xlfn.SUMIFS(Налоги!AO$25:AO$101,Налоги!$F$25:$F$101,$F93,Налоги!$AB$25:$AB$101,$G93)</f>
        <v>0</v>
      </c>
      <c r="AQ93" s="1114">
        <f>_xlfn.SUMIFS(Налоги!AP$25:AP$101,Налоги!$F$25:$F$101,$F93,Налоги!$AB$25:$AB$101,$G93)</f>
        <v>0</v>
      </c>
      <c r="AR93" s="1114">
        <f>_xlfn.SUMIFS(Налоги!AQ$25:AQ$101,Налоги!$F$25:$F$101,$F93,Налоги!$AB$25:$AB$101,$G93)</f>
        <v>0</v>
      </c>
      <c r="AS93" s="1114">
        <f>_xlfn.SUMIFS(Налоги!AR$25:AR$101,Налоги!$F$25:$F$101,$F93,Налоги!$AB$25:$AB$101,$G93)</f>
        <v>0</v>
      </c>
      <c r="AT93" s="1114">
        <f>_xlfn.SUMIFS(Налоги!AS$25:AS$101,Налоги!$F$25:$F$101,$F93,Налоги!$AB$25:$AB$101,$G93)</f>
        <v>0</v>
      </c>
      <c r="AU93" s="1114">
        <f>_xlfn.SUMIFS(Налоги!AT$25:AT$101,Налоги!$F$25:$F$101,$F93,Налоги!$AB$25:$AB$101,$G93)</f>
        <v>0</v>
      </c>
      <c r="AV93" s="1114">
        <f>_xlfn.SUMIFS(Налоги!AU$25:AU$101,Налоги!$F$25:$F$101,$F93,Налоги!$AB$25:$AB$101,$G93)</f>
        <v>0</v>
      </c>
      <c r="AW93" s="1114">
        <f>_xlfn.SUMIFS(Налоги!AV$25:AV$101,Налоги!$F$25:$F$101,$F93,Налоги!$AB$25:$AB$101,$G93)</f>
        <v>0</v>
      </c>
      <c r="AX93" s="1114">
        <f>_xlfn.SUMIFS(Налоги!AW$25:AW$101,Налоги!$F$25:$F$101,$F93,Налоги!$AB$25:$AB$101,$G93)</f>
        <v>0</v>
      </c>
      <c r="AY93" s="1114">
        <f>_xlfn.SUMIFS(Налоги!AX$25:AX$101,Налоги!$F$25:$F$101,$F93,Налоги!$AB$25:$AB$101,$G93)</f>
        <v>0</v>
      </c>
      <c r="AZ93" s="1114">
        <f>_xlfn.SUMIFS(Налоги!AY$25:AY$101,Налоги!$F$25:$F$101,$F93,Налоги!$AB$25:$AB$101,$G93)</f>
        <v>0</v>
      </c>
      <c r="BA93" s="1114">
        <f>_xlfn.SUMIFS(Налоги!AZ$25:AZ$101,Налоги!$F$25:$F$101,$F93,Налоги!$AB$25:$AB$101,$G93)</f>
        <v>0</v>
      </c>
      <c r="BB93" s="1114">
        <f>_xlfn.SUMIFS(Налоги!BA$25:BA$101,Налоги!$F$25:$F$101,$F93,Налоги!$AB$25:$AB$101,$G93)</f>
        <v>0</v>
      </c>
      <c r="BC93" s="1114">
        <f>_xlfn.SUMIFS(Налоги!BB$25:BB$101,Налоги!$F$25:$F$101,$F93,Налоги!$AB$25:$AB$101,$G93)</f>
        <v>0</v>
      </c>
      <c r="BD93" s="1114">
        <f>IF(AI93=0,0,(AT93-AI93)/AI93*100)</f>
        <v>0</v>
      </c>
      <c r="BE93" s="1114">
        <f>IF(AT93=0,0,(AU93-AT93)/AT93*100)</f>
        <v>0</v>
      </c>
      <c r="BF93" s="1114">
        <f>IF(AU93=0,0,(AV93-AU93)/AU93*100)</f>
        <v>0</v>
      </c>
      <c r="BG93" s="1114">
        <f>IF(AV93=0,0,(AW93-AV93)/AV93*100)</f>
        <v>0</v>
      </c>
      <c r="BH93" s="1114">
        <f>IF(AW93=0,0,(AX93-AW93)/AW93*100)</f>
        <v>0</v>
      </c>
      <c r="BI93" s="1114">
        <f>IF(AX93=0,0,(AY93-AX93)/AX93*100)</f>
        <v>0</v>
      </c>
      <c r="BJ93" s="1114">
        <f>IF(AY93=0,0,(AZ93-AY93)/AY93*100)</f>
        <v>0</v>
      </c>
      <c r="BK93" s="1114">
        <f>IF(AZ93=0,0,(BA93-AZ93)/AZ93*100)</f>
        <v>0</v>
      </c>
      <c r="BL93" s="1114">
        <f>IF(BA93=0,0,(BB93-BA93)/BA93*100)</f>
        <v>0</v>
      </c>
      <c r="BM93" s="1114">
        <f>IF(BB93=0,0,(BC93-BB93)/BB93*100)</f>
        <v>0</v>
      </c>
      <c r="BN93" s="1238"/>
      <c r="BO93" s="1242" t="str">
        <f>IF(_xlfn.IFERROR(INDEX(Налоги!$K$26:$L$101,MATCH($F93&amp;"7komm",Налоги!$K$26:$K$101,0),2),"")=0,"",_xlfn.IFERROR(INDEX(Налоги!$K$26:$L$101,MATCH($F93&amp;"7komm",Налоги!$K$26:$K$101,0),2),""))</f>
        <v/>
      </c>
      <c r="BP93" s="1238"/>
      <c r="BQ93" s="1278"/>
      <c r="BR93" s="1278"/>
      <c r="BS93" s="1064" t="s">
        <v>2770</v>
      </c>
      <c r="BT93" s="1064"/>
      <c r="BU93" s="1064"/>
      <c r="BV93" s="979"/>
      <c r="BW93" s="979"/>
    </row>
    <row customHeight="1" ht="14.625" hidden="1">
      <c r="A94" s="1278"/>
      <c r="B94" s="978"/>
      <c r="C94" s="107"/>
      <c r="D94" s="107"/>
      <c r="E94" s="621">
        <v>15</v>
      </c>
      <c r="F94" s="50" cm="1" t="str">
        <f t="array" ref="F94:F94">OFFSET(E94,-1,1)</f>
        <v>0</v>
      </c>
      <c r="G94" s="922">
        <v>6</v>
      </c>
      <c r="H94" s="107"/>
      <c r="I94" s="107" t="s">
        <v>2771</v>
      </c>
      <c r="J94" s="107"/>
      <c r="K94" s="107" t="s">
        <v>2771</v>
      </c>
      <c r="L94" s="980"/>
      <c r="M94" s="107"/>
      <c r="N94" s="107"/>
      <c r="O94" s="107"/>
      <c r="P94" s="107"/>
      <c r="Q94" s="107"/>
      <c r="R94" s="107"/>
      <c r="S94" s="107"/>
      <c r="T94" s="465" cm="1" t="str">
        <f t="array" ref="T94:T94">T93</f>
        <v>false</v>
      </c>
      <c r="U94" s="107"/>
      <c r="V94" s="107"/>
      <c r="W94" s="107"/>
      <c r="X94" s="1596"/>
      <c r="Y94" s="1278"/>
      <c r="Z94" s="1546"/>
      <c r="AA94" s="1278"/>
      <c r="AB94" s="300" t="s">
        <v>2225</v>
      </c>
      <c r="AC94" s="765" t="s">
        <v>2772</v>
      </c>
      <c r="AD94" s="300" t="s">
        <v>1514</v>
      </c>
      <c r="AE94" s="1114">
        <f>_xlfn.SUMIFS(Налоги!AE$25:AE$101,Налоги!$F$25:$F$101,$F94,Налоги!$AB$25:$AB$101,$G94)</f>
        <v>0</v>
      </c>
      <c r="AF94" s="1114">
        <f>_xlfn.SUMIFS(Налоги!AF$25:AF$101,Налоги!$F$25:$F$101,$F94,Налоги!$AB$25:$AB$101,$G94)</f>
        <v>0</v>
      </c>
      <c r="AG94" s="1114">
        <f>_xlfn.SUMIFS(Налоги!AG$25:AG$101,Налоги!$F$25:$F$101,$F94,Налоги!$AB$25:$AB$101,$G94)</f>
        <v>0</v>
      </c>
      <c r="AH94" s="1114">
        <f>AG94-AF94</f>
        <v>0</v>
      </c>
      <c r="AI94" s="1114">
        <f>_xlfn.SUMIFS(Налоги!AH$25:AH$101,Налоги!$F$25:$F$101,$F94,Налоги!$AB$25:$AB$101,$G94)</f>
        <v>0</v>
      </c>
      <c r="AJ94" s="1114">
        <f>_xlfn.SUMIFS(Налоги!AI$25:AI$101,Налоги!$F$25:$F$101,$F94,Налоги!$AB$25:$AB$101,$G94)</f>
        <v>0</v>
      </c>
      <c r="AK94" s="1114">
        <f>_xlfn.SUMIFS(Налоги!AJ$25:AJ$101,Налоги!$F$25:$F$101,$F94,Налоги!$AB$25:$AB$101,$G94)</f>
        <v>0</v>
      </c>
      <c r="AL94" s="1114">
        <f>_xlfn.SUMIFS(Налоги!AK$25:AK$101,Налоги!$F$25:$F$101,$F94,Налоги!$AB$25:$AB$101,$G94)</f>
        <v>0</v>
      </c>
      <c r="AM94" s="1114">
        <f>_xlfn.SUMIFS(Налоги!AL$25:AL$101,Налоги!$F$25:$F$101,$F94,Налоги!$AB$25:$AB$101,$G94)</f>
        <v>0</v>
      </c>
      <c r="AN94" s="1114">
        <f>_xlfn.SUMIFS(Налоги!AM$25:AM$101,Налоги!$F$25:$F$101,$F94,Налоги!$AB$25:$AB$101,$G94)</f>
        <v>0</v>
      </c>
      <c r="AO94" s="1114">
        <f>_xlfn.SUMIFS(Налоги!AN$25:AN$101,Налоги!$F$25:$F$101,$F94,Налоги!$AB$25:$AB$101,$G94)</f>
        <v>0</v>
      </c>
      <c r="AP94" s="1114">
        <f>_xlfn.SUMIFS(Налоги!AO$25:AO$101,Налоги!$F$25:$F$101,$F94,Налоги!$AB$25:$AB$101,$G94)</f>
        <v>0</v>
      </c>
      <c r="AQ94" s="1114">
        <f>_xlfn.SUMIFS(Налоги!AP$25:AP$101,Налоги!$F$25:$F$101,$F94,Налоги!$AB$25:$AB$101,$G94)</f>
        <v>0</v>
      </c>
      <c r="AR94" s="1114">
        <f>_xlfn.SUMIFS(Налоги!AQ$25:AQ$101,Налоги!$F$25:$F$101,$F94,Налоги!$AB$25:$AB$101,$G94)</f>
        <v>0</v>
      </c>
      <c r="AS94" s="1114">
        <f>_xlfn.SUMIFS(Налоги!AR$25:AR$101,Налоги!$F$25:$F$101,$F94,Налоги!$AB$25:$AB$101,$G94)</f>
        <v>0</v>
      </c>
      <c r="AT94" s="1114">
        <f>_xlfn.SUMIFS(Налоги!AS$25:AS$101,Налоги!$F$25:$F$101,$F94,Налоги!$AB$25:$AB$101,$G94)</f>
        <v>0</v>
      </c>
      <c r="AU94" s="1114">
        <f>_xlfn.SUMIFS(Налоги!AT$25:AT$101,Налоги!$F$25:$F$101,$F94,Налоги!$AB$25:$AB$101,$G94)</f>
        <v>0</v>
      </c>
      <c r="AV94" s="1114">
        <f>_xlfn.SUMIFS(Налоги!AU$25:AU$101,Налоги!$F$25:$F$101,$F94,Налоги!$AB$25:$AB$101,$G94)</f>
        <v>0</v>
      </c>
      <c r="AW94" s="1114">
        <f>_xlfn.SUMIFS(Налоги!AV$25:AV$101,Налоги!$F$25:$F$101,$F94,Налоги!$AB$25:$AB$101,$G94)</f>
        <v>0</v>
      </c>
      <c r="AX94" s="1114">
        <f>_xlfn.SUMIFS(Налоги!AW$25:AW$101,Налоги!$F$25:$F$101,$F94,Налоги!$AB$25:$AB$101,$G94)</f>
        <v>0</v>
      </c>
      <c r="AY94" s="1114">
        <f>_xlfn.SUMIFS(Налоги!AX$25:AX$101,Налоги!$F$25:$F$101,$F94,Налоги!$AB$25:$AB$101,$G94)</f>
        <v>0</v>
      </c>
      <c r="AZ94" s="1114">
        <f>_xlfn.SUMIFS(Налоги!AY$25:AY$101,Налоги!$F$25:$F$101,$F94,Налоги!$AB$25:$AB$101,$G94)</f>
        <v>0</v>
      </c>
      <c r="BA94" s="1114">
        <f>_xlfn.SUMIFS(Налоги!AZ$25:AZ$101,Налоги!$F$25:$F$101,$F94,Налоги!$AB$25:$AB$101,$G94)</f>
        <v>0</v>
      </c>
      <c r="BB94" s="1114">
        <f>_xlfn.SUMIFS(Налоги!BA$25:BA$101,Налоги!$F$25:$F$101,$F94,Налоги!$AB$25:$AB$101,$G94)</f>
        <v>0</v>
      </c>
      <c r="BC94" s="1114">
        <f>_xlfn.SUMIFS(Налоги!BB$25:BB$101,Налоги!$F$25:$F$101,$F94,Налоги!$AB$25:$AB$101,$G94)</f>
        <v>0</v>
      </c>
      <c r="BD94" s="1114">
        <f>IF(AI94=0,0,(AT94-AI94)/AI94*100)</f>
        <v>0</v>
      </c>
      <c r="BE94" s="1114">
        <f>IF(AT94=0,0,(AU94-AT94)/AT94*100)</f>
        <v>0</v>
      </c>
      <c r="BF94" s="1114">
        <f>IF(AU94=0,0,(AV94-AU94)/AU94*100)</f>
        <v>0</v>
      </c>
      <c r="BG94" s="1114">
        <f>IF(AV94=0,0,(AW94-AV94)/AV94*100)</f>
        <v>0</v>
      </c>
      <c r="BH94" s="1114">
        <f>IF(AW94=0,0,(AX94-AW94)/AW94*100)</f>
        <v>0</v>
      </c>
      <c r="BI94" s="1114">
        <f>IF(AX94=0,0,(AY94-AX94)/AX94*100)</f>
        <v>0</v>
      </c>
      <c r="BJ94" s="1114">
        <f>IF(AY94=0,0,(AZ94-AY94)/AY94*100)</f>
        <v>0</v>
      </c>
      <c r="BK94" s="1114">
        <f>IF(AZ94=0,0,(BA94-AZ94)/AZ94*100)</f>
        <v>0</v>
      </c>
      <c r="BL94" s="1114">
        <f>IF(BA94=0,0,(BB94-BA94)/BA94*100)</f>
        <v>0</v>
      </c>
      <c r="BM94" s="1114">
        <f>IF(BB94=0,0,(BC94-BB94)/BB94*100)</f>
        <v>0</v>
      </c>
      <c r="BN94" s="1238"/>
      <c r="BO94" s="1242" t="str">
        <f>IF(_xlfn.IFERROR(INDEX(Налоги!$K$26:$L$101,MATCH($F94&amp;"6komm",Налоги!$K$26:$K$101,0),2),"")=0,"",_xlfn.IFERROR(INDEX(Налоги!$K$26:$L$101,MATCH($F94&amp;"6komm",Налоги!$K$26:$K$101,0),2),""))</f>
        <v/>
      </c>
      <c r="BP94" s="1238"/>
      <c r="BQ94" s="1278"/>
      <c r="BR94" s="1278"/>
      <c r="BS94" s="1064" t="s">
        <v>2773</v>
      </c>
      <c r="BT94" s="1064"/>
      <c r="BU94" s="1064"/>
      <c r="BV94" s="979"/>
      <c r="BW94" s="979"/>
    </row>
    <row customHeight="1" ht="14.625" hidden="1">
      <c r="A95" s="1278"/>
      <c r="B95" s="978"/>
      <c r="C95" s="107"/>
      <c r="D95" s="107"/>
      <c r="E95" s="621">
        <v>15</v>
      </c>
      <c r="F95" s="50" cm="1" t="str">
        <f t="array" ref="F95:F95">OFFSET(E95,-1,1)</f>
        <v>0</v>
      </c>
      <c r="G95" s="922">
        <v>2</v>
      </c>
      <c r="H95" s="107"/>
      <c r="I95" s="107" t="s">
        <v>2774</v>
      </c>
      <c r="J95" s="107"/>
      <c r="K95" s="107" t="s">
        <v>2774</v>
      </c>
      <c r="L95" s="980"/>
      <c r="M95" s="107"/>
      <c r="N95" s="107"/>
      <c r="O95" s="107"/>
      <c r="P95" s="107"/>
      <c r="Q95" s="107"/>
      <c r="R95" s="107"/>
      <c r="S95" s="107"/>
      <c r="T95" s="465" cm="1" t="str">
        <f t="array" ref="T95:T95">T94</f>
        <v>false</v>
      </c>
      <c r="U95" s="107"/>
      <c r="V95" s="107"/>
      <c r="W95" s="107"/>
      <c r="X95" s="1596"/>
      <c r="Y95" s="1278"/>
      <c r="Z95" s="1546"/>
      <c r="AA95" s="1278"/>
      <c r="AB95" s="300" t="s">
        <v>2230</v>
      </c>
      <c r="AC95" s="765" t="s">
        <v>2775</v>
      </c>
      <c r="AD95" s="300" t="s">
        <v>1514</v>
      </c>
      <c r="AE95" s="1114">
        <f>_xlfn.SUMIFS(Налоги!AE$25:AE$101,Налоги!$F$25:$F$101,$F95,Налоги!$AB$25:$AB$101,$G95)</f>
        <v>0</v>
      </c>
      <c r="AF95" s="1114">
        <f>_xlfn.SUMIFS(Налоги!AF$25:AF$101,Налоги!$F$25:$F$101,$F95,Налоги!$AB$25:$AB$101,$G95)</f>
        <v>0</v>
      </c>
      <c r="AG95" s="1114">
        <f>_xlfn.SUMIFS(Налоги!AG$25:AG$101,Налоги!$F$25:$F$101,$F95,Налоги!$AB$25:$AB$101,$G95)</f>
        <v>0</v>
      </c>
      <c r="AH95" s="1114">
        <f>AG95-AF95</f>
        <v>0</v>
      </c>
      <c r="AI95" s="1114">
        <f>_xlfn.SUMIFS(Налоги!AH$25:AH$101,Налоги!$F$25:$F$101,$F95,Налоги!$AB$25:$AB$101,$G95)</f>
        <v>0</v>
      </c>
      <c r="AJ95" s="1114">
        <f>_xlfn.SUMIFS(Налоги!AI$25:AI$101,Налоги!$F$25:$F$101,$F95,Налоги!$AB$25:$AB$101,$G95)</f>
        <v>0</v>
      </c>
      <c r="AK95" s="1114">
        <f>_xlfn.SUMIFS(Налоги!AJ$25:AJ$101,Налоги!$F$25:$F$101,$F95,Налоги!$AB$25:$AB$101,$G95)</f>
        <v>0</v>
      </c>
      <c r="AL95" s="1114">
        <f>_xlfn.SUMIFS(Налоги!AK$25:AK$101,Налоги!$F$25:$F$101,$F95,Налоги!$AB$25:$AB$101,$G95)</f>
        <v>0</v>
      </c>
      <c r="AM95" s="1114">
        <f>_xlfn.SUMIFS(Налоги!AL$25:AL$101,Налоги!$F$25:$F$101,$F95,Налоги!$AB$25:$AB$101,$G95)</f>
        <v>0</v>
      </c>
      <c r="AN95" s="1114">
        <f>_xlfn.SUMIFS(Налоги!AM$25:AM$101,Налоги!$F$25:$F$101,$F95,Налоги!$AB$25:$AB$101,$G95)</f>
        <v>0</v>
      </c>
      <c r="AO95" s="1114">
        <f>_xlfn.SUMIFS(Налоги!AN$25:AN$101,Налоги!$F$25:$F$101,$F95,Налоги!$AB$25:$AB$101,$G95)</f>
        <v>0</v>
      </c>
      <c r="AP95" s="1114">
        <f>_xlfn.SUMIFS(Налоги!AO$25:AO$101,Налоги!$F$25:$F$101,$F95,Налоги!$AB$25:$AB$101,$G95)</f>
        <v>0</v>
      </c>
      <c r="AQ95" s="1114">
        <f>_xlfn.SUMIFS(Налоги!AP$25:AP$101,Налоги!$F$25:$F$101,$F95,Налоги!$AB$25:$AB$101,$G95)</f>
        <v>0</v>
      </c>
      <c r="AR95" s="1114">
        <f>_xlfn.SUMIFS(Налоги!AQ$25:AQ$101,Налоги!$F$25:$F$101,$F95,Налоги!$AB$25:$AB$101,$G95)</f>
        <v>0</v>
      </c>
      <c r="AS95" s="1114">
        <f>_xlfn.SUMIFS(Налоги!AR$25:AR$101,Налоги!$F$25:$F$101,$F95,Налоги!$AB$25:$AB$101,$G95)</f>
        <v>0</v>
      </c>
      <c r="AT95" s="1114">
        <f>_xlfn.SUMIFS(Налоги!AS$25:AS$101,Налоги!$F$25:$F$101,$F95,Налоги!$AB$25:$AB$101,$G95)</f>
        <v>0</v>
      </c>
      <c r="AU95" s="1114">
        <f>_xlfn.SUMIFS(Налоги!AT$25:AT$101,Налоги!$F$25:$F$101,$F95,Налоги!$AB$25:$AB$101,$G95)</f>
        <v>0</v>
      </c>
      <c r="AV95" s="1114">
        <f>_xlfn.SUMIFS(Налоги!AU$25:AU$101,Налоги!$F$25:$F$101,$F95,Налоги!$AB$25:$AB$101,$G95)</f>
        <v>0</v>
      </c>
      <c r="AW95" s="1114">
        <f>_xlfn.SUMIFS(Налоги!AV$25:AV$101,Налоги!$F$25:$F$101,$F95,Налоги!$AB$25:$AB$101,$G95)</f>
        <v>0</v>
      </c>
      <c r="AX95" s="1114">
        <f>_xlfn.SUMIFS(Налоги!AW$25:AW$101,Налоги!$F$25:$F$101,$F95,Налоги!$AB$25:$AB$101,$G95)</f>
        <v>0</v>
      </c>
      <c r="AY95" s="1114">
        <f>_xlfn.SUMIFS(Налоги!AX$25:AX$101,Налоги!$F$25:$F$101,$F95,Налоги!$AB$25:$AB$101,$G95)</f>
        <v>0</v>
      </c>
      <c r="AZ95" s="1114">
        <f>_xlfn.SUMIFS(Налоги!AY$25:AY$101,Налоги!$F$25:$F$101,$F95,Налоги!$AB$25:$AB$101,$G95)</f>
        <v>0</v>
      </c>
      <c r="BA95" s="1114">
        <f>_xlfn.SUMIFS(Налоги!AZ$25:AZ$101,Налоги!$F$25:$F$101,$F95,Налоги!$AB$25:$AB$101,$G95)</f>
        <v>0</v>
      </c>
      <c r="BB95" s="1114">
        <f>_xlfn.SUMIFS(Налоги!BA$25:BA$101,Налоги!$F$25:$F$101,$F95,Налоги!$AB$25:$AB$101,$G95)</f>
        <v>0</v>
      </c>
      <c r="BC95" s="1114">
        <f>_xlfn.SUMIFS(Налоги!BB$25:BB$101,Налоги!$F$25:$F$101,$F95,Налоги!$AB$25:$AB$101,$G95)</f>
        <v>0</v>
      </c>
      <c r="BD95" s="1114">
        <f>IF(AI95=0,0,(AT95-AI95)/AI95*100)</f>
        <v>0</v>
      </c>
      <c r="BE95" s="1114">
        <f>IF(AT95=0,0,(AU95-AT95)/AT95*100)</f>
        <v>0</v>
      </c>
      <c r="BF95" s="1114">
        <f>IF(AU95=0,0,(AV95-AU95)/AU95*100)</f>
        <v>0</v>
      </c>
      <c r="BG95" s="1114">
        <f>IF(AV95=0,0,(AW95-AV95)/AV95*100)</f>
        <v>0</v>
      </c>
      <c r="BH95" s="1114">
        <f>IF(AW95=0,0,(AX95-AW95)/AW95*100)</f>
        <v>0</v>
      </c>
      <c r="BI95" s="1114">
        <f>IF(AX95=0,0,(AY95-AX95)/AX95*100)</f>
        <v>0</v>
      </c>
      <c r="BJ95" s="1114">
        <f>IF(AY95=0,0,(AZ95-AY95)/AY95*100)</f>
        <v>0</v>
      </c>
      <c r="BK95" s="1114">
        <f>IF(AZ95=0,0,(BA95-AZ95)/AZ95*100)</f>
        <v>0</v>
      </c>
      <c r="BL95" s="1114">
        <f>IF(BA95=0,0,(BB95-BA95)/BA95*100)</f>
        <v>0</v>
      </c>
      <c r="BM95" s="1114">
        <f>IF(BB95=0,0,(BC95-BB95)/BB95*100)</f>
        <v>0</v>
      </c>
      <c r="BN95" s="1238"/>
      <c r="BO95" s="1242" t="str">
        <f>IF(_xlfn.IFERROR(INDEX(Налоги!$K$26:$L$101,MATCH($F95&amp;"2komm",Налоги!$K$26:$K$101,0),2),"")=0,"",_xlfn.IFERROR(INDEX(Налоги!$K$26:$L$101,MATCH($F95&amp;"2komm",Налоги!$K$26:$K$101,0),2),""))</f>
        <v/>
      </c>
      <c r="BP95" s="1238"/>
      <c r="BQ95" s="1278"/>
      <c r="BR95" s="1278"/>
      <c r="BS95" s="1064" t="s">
        <v>2776</v>
      </c>
      <c r="BT95" s="1064"/>
      <c r="BU95" s="1064"/>
      <c r="BV95" s="979"/>
      <c r="BW95" s="979"/>
    </row>
    <row customHeight="1" ht="14.625" hidden="1">
      <c r="A96" s="1278"/>
      <c r="B96" s="978"/>
      <c r="C96" s="107"/>
      <c r="D96" s="107"/>
      <c r="E96" s="621">
        <v>15</v>
      </c>
      <c r="F96" s="50" cm="1" t="str">
        <f t="array" ref="F96:F96">OFFSET(E96,-1,1)</f>
        <v>0</v>
      </c>
      <c r="G96" s="922">
        <v>4</v>
      </c>
      <c r="H96" s="107"/>
      <c r="I96" s="107" t="s">
        <v>2777</v>
      </c>
      <c r="J96" s="107"/>
      <c r="K96" s="107" t="s">
        <v>2777</v>
      </c>
      <c r="L96" s="980"/>
      <c r="M96" s="107"/>
      <c r="N96" s="107"/>
      <c r="O96" s="107"/>
      <c r="P96" s="107"/>
      <c r="Q96" s="107"/>
      <c r="R96" s="107"/>
      <c r="S96" s="107"/>
      <c r="T96" s="465" cm="1" t="str">
        <f t="array" ref="T96:T96">T95</f>
        <v>false</v>
      </c>
      <c r="U96" s="107"/>
      <c r="V96" s="107"/>
      <c r="W96" s="107"/>
      <c r="X96" s="1596"/>
      <c r="Y96" s="1278"/>
      <c r="Z96" s="1546"/>
      <c r="AA96" s="1278"/>
      <c r="AB96" s="300" t="s">
        <v>2778</v>
      </c>
      <c r="AC96" s="765" t="s">
        <v>2779</v>
      </c>
      <c r="AD96" s="300" t="s">
        <v>1514</v>
      </c>
      <c r="AE96" s="1114">
        <f>_xlfn.SUMIFS(Налоги!AE$25:AE$101,Налоги!$F$25:$F$101,$F96,Налоги!$AB$25:$AB$101,$G96)</f>
        <v>0</v>
      </c>
      <c r="AF96" s="1114">
        <f>_xlfn.SUMIFS(Налоги!AF$25:AF$101,Налоги!$F$25:$F$101,$F96,Налоги!$AB$25:$AB$101,$G96)</f>
        <v>0</v>
      </c>
      <c r="AG96" s="1114">
        <f>_xlfn.SUMIFS(Налоги!AG$25:AG$101,Налоги!$F$25:$F$101,$F96,Налоги!$AB$25:$AB$101,$G96)</f>
        <v>0</v>
      </c>
      <c r="AH96" s="1114">
        <f>AG96-AF96</f>
        <v>0</v>
      </c>
      <c r="AI96" s="1114">
        <f>_xlfn.SUMIFS(Налоги!AH$25:AH$101,Налоги!$F$25:$F$101,$F96,Налоги!$AB$25:$AB$101,$G96)</f>
        <v>0</v>
      </c>
      <c r="AJ96" s="1114">
        <f>_xlfn.SUMIFS(Налоги!AI$25:AI$101,Налоги!$F$25:$F$101,$F96,Налоги!$AB$25:$AB$101,$G96)</f>
        <v>0</v>
      </c>
      <c r="AK96" s="1114">
        <f>_xlfn.SUMIFS(Налоги!AJ$25:AJ$101,Налоги!$F$25:$F$101,$F96,Налоги!$AB$25:$AB$101,$G96)</f>
        <v>0</v>
      </c>
      <c r="AL96" s="1114">
        <f>_xlfn.SUMIFS(Налоги!AK$25:AK$101,Налоги!$F$25:$F$101,$F96,Налоги!$AB$25:$AB$101,$G96)</f>
        <v>0</v>
      </c>
      <c r="AM96" s="1114">
        <f>_xlfn.SUMIFS(Налоги!AL$25:AL$101,Налоги!$F$25:$F$101,$F96,Налоги!$AB$25:$AB$101,$G96)</f>
        <v>0</v>
      </c>
      <c r="AN96" s="1114">
        <f>_xlfn.SUMIFS(Налоги!AM$25:AM$101,Налоги!$F$25:$F$101,$F96,Налоги!$AB$25:$AB$101,$G96)</f>
        <v>0</v>
      </c>
      <c r="AO96" s="1114">
        <f>_xlfn.SUMIFS(Налоги!AN$25:AN$101,Налоги!$F$25:$F$101,$F96,Налоги!$AB$25:$AB$101,$G96)</f>
        <v>0</v>
      </c>
      <c r="AP96" s="1114">
        <f>_xlfn.SUMIFS(Налоги!AO$25:AO$101,Налоги!$F$25:$F$101,$F96,Налоги!$AB$25:$AB$101,$G96)</f>
        <v>0</v>
      </c>
      <c r="AQ96" s="1114">
        <f>_xlfn.SUMIFS(Налоги!AP$25:AP$101,Налоги!$F$25:$F$101,$F96,Налоги!$AB$25:$AB$101,$G96)</f>
        <v>0</v>
      </c>
      <c r="AR96" s="1114">
        <f>_xlfn.SUMIFS(Налоги!AQ$25:AQ$101,Налоги!$F$25:$F$101,$F96,Налоги!$AB$25:$AB$101,$G96)</f>
        <v>0</v>
      </c>
      <c r="AS96" s="1114">
        <f>_xlfn.SUMIFS(Налоги!AR$25:AR$101,Налоги!$F$25:$F$101,$F96,Налоги!$AB$25:$AB$101,$G96)</f>
        <v>0</v>
      </c>
      <c r="AT96" s="1114">
        <f>_xlfn.SUMIFS(Налоги!AS$25:AS$101,Налоги!$F$25:$F$101,$F96,Налоги!$AB$25:$AB$101,$G96)</f>
        <v>0</v>
      </c>
      <c r="AU96" s="1114">
        <f>_xlfn.SUMIFS(Налоги!AT$25:AT$101,Налоги!$F$25:$F$101,$F96,Налоги!$AB$25:$AB$101,$G96)</f>
        <v>0</v>
      </c>
      <c r="AV96" s="1114">
        <f>_xlfn.SUMIFS(Налоги!AU$25:AU$101,Налоги!$F$25:$F$101,$F96,Налоги!$AB$25:$AB$101,$G96)</f>
        <v>0</v>
      </c>
      <c r="AW96" s="1114">
        <f>_xlfn.SUMIFS(Налоги!AV$25:AV$101,Налоги!$F$25:$F$101,$F96,Налоги!$AB$25:$AB$101,$G96)</f>
        <v>0</v>
      </c>
      <c r="AX96" s="1114">
        <f>_xlfn.SUMIFS(Налоги!AW$25:AW$101,Налоги!$F$25:$F$101,$F96,Налоги!$AB$25:$AB$101,$G96)</f>
        <v>0</v>
      </c>
      <c r="AY96" s="1114">
        <f>_xlfn.SUMIFS(Налоги!AX$25:AX$101,Налоги!$F$25:$F$101,$F96,Налоги!$AB$25:$AB$101,$G96)</f>
        <v>0</v>
      </c>
      <c r="AZ96" s="1114">
        <f>_xlfn.SUMIFS(Налоги!AY$25:AY$101,Налоги!$F$25:$F$101,$F96,Налоги!$AB$25:$AB$101,$G96)</f>
        <v>0</v>
      </c>
      <c r="BA96" s="1114">
        <f>_xlfn.SUMIFS(Налоги!AZ$25:AZ$101,Налоги!$F$25:$F$101,$F96,Налоги!$AB$25:$AB$101,$G96)</f>
        <v>0</v>
      </c>
      <c r="BB96" s="1114">
        <f>_xlfn.SUMIFS(Налоги!BA$25:BA$101,Налоги!$F$25:$F$101,$F96,Налоги!$AB$25:$AB$101,$G96)</f>
        <v>0</v>
      </c>
      <c r="BC96" s="1114">
        <f>_xlfn.SUMIFS(Налоги!BB$25:BB$101,Налоги!$F$25:$F$101,$F96,Налоги!$AB$25:$AB$101,$G96)</f>
        <v>0</v>
      </c>
      <c r="BD96" s="1114">
        <f>IF(AI96=0,0,(AT96-AI96)/AI96*100)</f>
        <v>0</v>
      </c>
      <c r="BE96" s="1114">
        <f>IF(AT96=0,0,(AU96-AT96)/AT96*100)</f>
        <v>0</v>
      </c>
      <c r="BF96" s="1114">
        <f>IF(AU96=0,0,(AV96-AU96)/AU96*100)</f>
        <v>0</v>
      </c>
      <c r="BG96" s="1114">
        <f>IF(AV96=0,0,(AW96-AV96)/AV96*100)</f>
        <v>0</v>
      </c>
      <c r="BH96" s="1114">
        <f>IF(AW96=0,0,(AX96-AW96)/AW96*100)</f>
        <v>0</v>
      </c>
      <c r="BI96" s="1114">
        <f>IF(AX96=0,0,(AY96-AX96)/AX96*100)</f>
        <v>0</v>
      </c>
      <c r="BJ96" s="1114">
        <f>IF(AY96=0,0,(AZ96-AY96)/AY96*100)</f>
        <v>0</v>
      </c>
      <c r="BK96" s="1114">
        <f>IF(AZ96=0,0,(BA96-AZ96)/AZ96*100)</f>
        <v>0</v>
      </c>
      <c r="BL96" s="1114">
        <f>IF(BA96=0,0,(BB96-BA96)/BA96*100)</f>
        <v>0</v>
      </c>
      <c r="BM96" s="1114">
        <f>IF(BB96=0,0,(BC96-BB96)/BB96*100)</f>
        <v>0</v>
      </c>
      <c r="BN96" s="1238"/>
      <c r="BO96" s="1242" t="str">
        <f>IF(_xlfn.IFERROR(INDEX(Налоги!$K$26:$L$101,MATCH($F96&amp;"4komm",Налоги!$K$26:$K$101,0),2),"")=0,"",_xlfn.IFERROR(INDEX(Налоги!$K$26:$L$101,MATCH($F96&amp;"4komm",Налоги!$K$26:$K$101,0),2),""))</f>
        <v/>
      </c>
      <c r="BP96" s="1238"/>
      <c r="BQ96" s="1278"/>
      <c r="BR96" s="1278"/>
      <c r="BS96" s="1064" t="s">
        <v>2780</v>
      </c>
      <c r="BT96" s="1064"/>
      <c r="BU96" s="1064"/>
      <c r="BV96" s="979"/>
      <c r="BW96" s="979"/>
    </row>
    <row customHeight="1" ht="14.625" hidden="1">
      <c r="A97" s="1278"/>
      <c r="B97" s="978"/>
      <c r="C97" s="107"/>
      <c r="D97" s="107"/>
      <c r="E97" s="621">
        <v>15</v>
      </c>
      <c r="F97" s="50" cm="1" t="str">
        <f t="array" ref="F97:F97">OFFSET(E97,-1,1)</f>
        <v>0</v>
      </c>
      <c r="G97" s="922">
        <v>5</v>
      </c>
      <c r="H97" s="107"/>
      <c r="I97" s="107" t="s">
        <v>2781</v>
      </c>
      <c r="J97" s="107"/>
      <c r="K97" s="107" t="s">
        <v>2781</v>
      </c>
      <c r="L97" s="980"/>
      <c r="M97" s="107"/>
      <c r="N97" s="107"/>
      <c r="O97" s="107"/>
      <c r="P97" s="107"/>
      <c r="Q97" s="107"/>
      <c r="R97" s="107"/>
      <c r="S97" s="107"/>
      <c r="T97" s="465" cm="1" t="str">
        <f t="array" ref="T97:T97">T96</f>
        <v>false</v>
      </c>
      <c r="U97" s="107"/>
      <c r="V97" s="107"/>
      <c r="W97" s="107"/>
      <c r="X97" s="1596"/>
      <c r="Y97" s="1278"/>
      <c r="Z97" s="1546"/>
      <c r="AA97" s="1278"/>
      <c r="AB97" s="300" t="s">
        <v>2782</v>
      </c>
      <c r="AC97" s="765" t="s">
        <v>2783</v>
      </c>
      <c r="AD97" s="300" t="s">
        <v>1514</v>
      </c>
      <c r="AE97" s="1114">
        <f>_xlfn.SUMIFS(Налоги!AE$25:AE$101,Налоги!$F$25:$F$101,$F97,Налоги!$AB$25:$AB$101,$G97)</f>
        <v>0</v>
      </c>
      <c r="AF97" s="1114">
        <f>_xlfn.SUMIFS(Налоги!AF$25:AF$101,Налоги!$F$25:$F$101,$F97,Налоги!$AB$25:$AB$101,$G97)</f>
        <v>0</v>
      </c>
      <c r="AG97" s="1114">
        <f>_xlfn.SUMIFS(Налоги!AG$25:AG$101,Налоги!$F$25:$F$101,$F97,Налоги!$AB$25:$AB$101,$G97)</f>
        <v>0</v>
      </c>
      <c r="AH97" s="1114">
        <f>AG97-AF97</f>
        <v>0</v>
      </c>
      <c r="AI97" s="1114">
        <f>_xlfn.SUMIFS(Налоги!AH$25:AH$101,Налоги!$F$25:$F$101,$F97,Налоги!$AB$25:$AB$101,$G97)</f>
        <v>0</v>
      </c>
      <c r="AJ97" s="1114">
        <f>_xlfn.SUMIFS(Налоги!AI$25:AI$101,Налоги!$F$25:$F$101,$F97,Налоги!$AB$25:$AB$101,$G97)</f>
        <v>0</v>
      </c>
      <c r="AK97" s="1114">
        <f>_xlfn.SUMIFS(Налоги!AJ$25:AJ$101,Налоги!$F$25:$F$101,$F97,Налоги!$AB$25:$AB$101,$G97)</f>
        <v>0</v>
      </c>
      <c r="AL97" s="1114">
        <f>_xlfn.SUMIFS(Налоги!AK$25:AK$101,Налоги!$F$25:$F$101,$F97,Налоги!$AB$25:$AB$101,$G97)</f>
        <v>0</v>
      </c>
      <c r="AM97" s="1114">
        <f>_xlfn.SUMIFS(Налоги!AL$25:AL$101,Налоги!$F$25:$F$101,$F97,Налоги!$AB$25:$AB$101,$G97)</f>
        <v>0</v>
      </c>
      <c r="AN97" s="1114">
        <f>_xlfn.SUMIFS(Налоги!AM$25:AM$101,Налоги!$F$25:$F$101,$F97,Налоги!$AB$25:$AB$101,$G97)</f>
        <v>0</v>
      </c>
      <c r="AO97" s="1114">
        <f>_xlfn.SUMIFS(Налоги!AN$25:AN$101,Налоги!$F$25:$F$101,$F97,Налоги!$AB$25:$AB$101,$G97)</f>
        <v>0</v>
      </c>
      <c r="AP97" s="1114">
        <f>_xlfn.SUMIFS(Налоги!AO$25:AO$101,Налоги!$F$25:$F$101,$F97,Налоги!$AB$25:$AB$101,$G97)</f>
        <v>0</v>
      </c>
      <c r="AQ97" s="1114">
        <f>_xlfn.SUMIFS(Налоги!AP$25:AP$101,Налоги!$F$25:$F$101,$F97,Налоги!$AB$25:$AB$101,$G97)</f>
        <v>0</v>
      </c>
      <c r="AR97" s="1114">
        <f>_xlfn.SUMIFS(Налоги!AQ$25:AQ$101,Налоги!$F$25:$F$101,$F97,Налоги!$AB$25:$AB$101,$G97)</f>
        <v>0</v>
      </c>
      <c r="AS97" s="1114">
        <f>_xlfn.SUMIFS(Налоги!AR$25:AR$101,Налоги!$F$25:$F$101,$F97,Налоги!$AB$25:$AB$101,$G97)</f>
        <v>0</v>
      </c>
      <c r="AT97" s="1114">
        <f>_xlfn.SUMIFS(Налоги!AS$25:AS$101,Налоги!$F$25:$F$101,$F97,Налоги!$AB$25:$AB$101,$G97)</f>
        <v>0</v>
      </c>
      <c r="AU97" s="1114">
        <f>_xlfn.SUMIFS(Налоги!AT$25:AT$101,Налоги!$F$25:$F$101,$F97,Налоги!$AB$25:$AB$101,$G97)</f>
        <v>0</v>
      </c>
      <c r="AV97" s="1114">
        <f>_xlfn.SUMIFS(Налоги!AU$25:AU$101,Налоги!$F$25:$F$101,$F97,Налоги!$AB$25:$AB$101,$G97)</f>
        <v>0</v>
      </c>
      <c r="AW97" s="1114">
        <f>_xlfn.SUMIFS(Налоги!AV$25:AV$101,Налоги!$F$25:$F$101,$F97,Налоги!$AB$25:$AB$101,$G97)</f>
        <v>0</v>
      </c>
      <c r="AX97" s="1114">
        <f>_xlfn.SUMIFS(Налоги!AW$25:AW$101,Налоги!$F$25:$F$101,$F97,Налоги!$AB$25:$AB$101,$G97)</f>
        <v>0</v>
      </c>
      <c r="AY97" s="1114">
        <f>_xlfn.SUMIFS(Налоги!AX$25:AX$101,Налоги!$F$25:$F$101,$F97,Налоги!$AB$25:$AB$101,$G97)</f>
        <v>0</v>
      </c>
      <c r="AZ97" s="1114">
        <f>_xlfn.SUMIFS(Налоги!AY$25:AY$101,Налоги!$F$25:$F$101,$F97,Налоги!$AB$25:$AB$101,$G97)</f>
        <v>0</v>
      </c>
      <c r="BA97" s="1114">
        <f>_xlfn.SUMIFS(Налоги!AZ$25:AZ$101,Налоги!$F$25:$F$101,$F97,Налоги!$AB$25:$AB$101,$G97)</f>
        <v>0</v>
      </c>
      <c r="BB97" s="1114">
        <f>_xlfn.SUMIFS(Налоги!BA$25:BA$101,Налоги!$F$25:$F$101,$F97,Налоги!$AB$25:$AB$101,$G97)</f>
        <v>0</v>
      </c>
      <c r="BC97" s="1114">
        <f>_xlfn.SUMIFS(Налоги!BB$25:BB$101,Налоги!$F$25:$F$101,$F97,Налоги!$AB$25:$AB$101,$G97)</f>
        <v>0</v>
      </c>
      <c r="BD97" s="1114">
        <f>IF(AI97=0,0,(AT97-AI97)/AI97*100)</f>
        <v>0</v>
      </c>
      <c r="BE97" s="1114">
        <f>IF(AT97=0,0,(AU97-AT97)/AT97*100)</f>
        <v>0</v>
      </c>
      <c r="BF97" s="1114">
        <f>IF(AU97=0,0,(AV97-AU97)/AU97*100)</f>
        <v>0</v>
      </c>
      <c r="BG97" s="1114">
        <f>IF(AV97=0,0,(AW97-AV97)/AV97*100)</f>
        <v>0</v>
      </c>
      <c r="BH97" s="1114">
        <f>IF(AW97=0,0,(AX97-AW97)/AW97*100)</f>
        <v>0</v>
      </c>
      <c r="BI97" s="1114">
        <f>IF(AX97=0,0,(AY97-AX97)/AX97*100)</f>
        <v>0</v>
      </c>
      <c r="BJ97" s="1114">
        <f>IF(AY97=0,0,(AZ97-AY97)/AY97*100)</f>
        <v>0</v>
      </c>
      <c r="BK97" s="1114">
        <f>IF(AZ97=0,0,(BA97-AZ97)/AZ97*100)</f>
        <v>0</v>
      </c>
      <c r="BL97" s="1114">
        <f>IF(BA97=0,0,(BB97-BA97)/BA97*100)</f>
        <v>0</v>
      </c>
      <c r="BM97" s="1114">
        <f>IF(BB97=0,0,(BC97-BB97)/BB97*100)</f>
        <v>0</v>
      </c>
      <c r="BN97" s="1238"/>
      <c r="BO97" s="1242" t="str">
        <f>IF(_xlfn.IFERROR(INDEX(Налоги!$K$26:$L$101,MATCH($F97&amp;"5komm",Налоги!$K$26:$K$101,0),2),"")=0,"",_xlfn.IFERROR(INDEX(Налоги!$K$26:$L$101,MATCH($F97&amp;"5komm",Налоги!$K$26:$K$101,0),2),""))</f>
        <v/>
      </c>
      <c r="BP97" s="1238"/>
      <c r="BQ97" s="1278"/>
      <c r="BR97" s="1278"/>
      <c r="BS97" s="1064" t="s">
        <v>2784</v>
      </c>
      <c r="BT97" s="1064"/>
      <c r="BU97" s="1064"/>
      <c r="BV97" s="979"/>
      <c r="BW97" s="979"/>
    </row>
    <row customHeight="1" ht="14.625" hidden="1">
      <c r="A98" s="1278"/>
      <c r="B98" s="978"/>
      <c r="C98" s="107"/>
      <c r="D98" s="107"/>
      <c r="E98" s="621">
        <v>15</v>
      </c>
      <c r="F98" s="50" cm="1" t="str">
        <f t="array" ref="F98:F98">OFFSET(E98,-1,1)</f>
        <v>0</v>
      </c>
      <c r="G98" s="922">
        <v>1</v>
      </c>
      <c r="H98" s="107"/>
      <c r="I98" s="107" t="s">
        <v>2785</v>
      </c>
      <c r="J98" s="107"/>
      <c r="K98" s="107" t="s">
        <v>2785</v>
      </c>
      <c r="L98" s="980"/>
      <c r="M98" s="107"/>
      <c r="N98" s="107"/>
      <c r="O98" s="107"/>
      <c r="P98" s="107"/>
      <c r="Q98" s="107"/>
      <c r="R98" s="107"/>
      <c r="S98" s="107"/>
      <c r="T98" s="465" cm="1" t="str">
        <f t="array" ref="T98:T98">T97</f>
        <v>false</v>
      </c>
      <c r="U98" s="107"/>
      <c r="V98" s="107"/>
      <c r="W98" s="107"/>
      <c r="X98" s="1596"/>
      <c r="Y98" s="1278"/>
      <c r="Z98" s="1546"/>
      <c r="AA98" s="1278"/>
      <c r="AB98" s="300" t="s">
        <v>2786</v>
      </c>
      <c r="AC98" s="765" t="s">
        <v>2787</v>
      </c>
      <c r="AD98" s="300" t="s">
        <v>1514</v>
      </c>
      <c r="AE98" s="1114">
        <f>_xlfn.SUMIFS(Налоги!AE$25:AE$101,Налоги!$F$25:$F$101,$F98,Налоги!$AB$25:$AB$101,$G98)</f>
        <v>0</v>
      </c>
      <c r="AF98" s="1114">
        <f>_xlfn.SUMIFS(Налоги!AF$25:AF$101,Налоги!$F$25:$F$101,$F98,Налоги!$AB$25:$AB$101,$G98)</f>
        <v>0</v>
      </c>
      <c r="AG98" s="1114">
        <f>_xlfn.SUMIFS(Налоги!AG$25:AG$101,Налоги!$F$25:$F$101,$F98,Налоги!$AB$25:$AB$101,$G98)</f>
        <v>0</v>
      </c>
      <c r="AH98" s="1114">
        <f>AG98-AF98</f>
        <v>0</v>
      </c>
      <c r="AI98" s="1114">
        <f>_xlfn.SUMIFS(Налоги!AH$25:AH$101,Налоги!$F$25:$F$101,$F98,Налоги!$AB$25:$AB$101,$G98)</f>
        <v>0</v>
      </c>
      <c r="AJ98" s="1114">
        <f>_xlfn.SUMIFS(Налоги!AI$25:AI$101,Налоги!$F$25:$F$101,$F98,Налоги!$AB$25:$AB$101,$G98)</f>
        <v>0</v>
      </c>
      <c r="AK98" s="1114">
        <f>_xlfn.SUMIFS(Налоги!AJ$25:AJ$101,Налоги!$F$25:$F$101,$F98,Налоги!$AB$25:$AB$101,$G98)</f>
        <v>0</v>
      </c>
      <c r="AL98" s="1114">
        <f>_xlfn.SUMIFS(Налоги!AK$25:AK$101,Налоги!$F$25:$F$101,$F98,Налоги!$AB$25:$AB$101,$G98)</f>
        <v>0</v>
      </c>
      <c r="AM98" s="1114">
        <f>_xlfn.SUMIFS(Налоги!AL$25:AL$101,Налоги!$F$25:$F$101,$F98,Налоги!$AB$25:$AB$101,$G98)</f>
        <v>0</v>
      </c>
      <c r="AN98" s="1114">
        <f>_xlfn.SUMIFS(Налоги!AM$25:AM$101,Налоги!$F$25:$F$101,$F98,Налоги!$AB$25:$AB$101,$G98)</f>
        <v>0</v>
      </c>
      <c r="AO98" s="1114">
        <f>_xlfn.SUMIFS(Налоги!AN$25:AN$101,Налоги!$F$25:$F$101,$F98,Налоги!$AB$25:$AB$101,$G98)</f>
        <v>0</v>
      </c>
      <c r="AP98" s="1114">
        <f>_xlfn.SUMIFS(Налоги!AO$25:AO$101,Налоги!$F$25:$F$101,$F98,Налоги!$AB$25:$AB$101,$G98)</f>
        <v>0</v>
      </c>
      <c r="AQ98" s="1114">
        <f>_xlfn.SUMIFS(Налоги!AP$25:AP$101,Налоги!$F$25:$F$101,$F98,Налоги!$AB$25:$AB$101,$G98)</f>
        <v>0</v>
      </c>
      <c r="AR98" s="1114">
        <f>_xlfn.SUMIFS(Налоги!AQ$25:AQ$101,Налоги!$F$25:$F$101,$F98,Налоги!$AB$25:$AB$101,$G98)</f>
        <v>0</v>
      </c>
      <c r="AS98" s="1114">
        <f>_xlfn.SUMIFS(Налоги!AR$25:AR$101,Налоги!$F$25:$F$101,$F98,Налоги!$AB$25:$AB$101,$G98)</f>
        <v>0</v>
      </c>
      <c r="AT98" s="1114">
        <f>_xlfn.SUMIFS(Налоги!AS$25:AS$101,Налоги!$F$25:$F$101,$F98,Налоги!$AB$25:$AB$101,$G98)</f>
        <v>0</v>
      </c>
      <c r="AU98" s="1114">
        <f>_xlfn.SUMIFS(Налоги!AT$25:AT$101,Налоги!$F$25:$F$101,$F98,Налоги!$AB$25:$AB$101,$G98)</f>
        <v>0</v>
      </c>
      <c r="AV98" s="1114">
        <f>_xlfn.SUMIFS(Налоги!AU$25:AU$101,Налоги!$F$25:$F$101,$F98,Налоги!$AB$25:$AB$101,$G98)</f>
        <v>0</v>
      </c>
      <c r="AW98" s="1114">
        <f>_xlfn.SUMIFS(Налоги!AV$25:AV$101,Налоги!$F$25:$F$101,$F98,Налоги!$AB$25:$AB$101,$G98)</f>
        <v>0</v>
      </c>
      <c r="AX98" s="1114">
        <f>_xlfn.SUMIFS(Налоги!AW$25:AW$101,Налоги!$F$25:$F$101,$F98,Налоги!$AB$25:$AB$101,$G98)</f>
        <v>0</v>
      </c>
      <c r="AY98" s="1114">
        <f>_xlfn.SUMIFS(Налоги!AX$25:AX$101,Налоги!$F$25:$F$101,$F98,Налоги!$AB$25:$AB$101,$G98)</f>
        <v>0</v>
      </c>
      <c r="AZ98" s="1114">
        <f>_xlfn.SUMIFS(Налоги!AY$25:AY$101,Налоги!$F$25:$F$101,$F98,Налоги!$AB$25:$AB$101,$G98)</f>
        <v>0</v>
      </c>
      <c r="BA98" s="1114">
        <f>_xlfn.SUMIFS(Налоги!AZ$25:AZ$101,Налоги!$F$25:$F$101,$F98,Налоги!$AB$25:$AB$101,$G98)</f>
        <v>0</v>
      </c>
      <c r="BB98" s="1114">
        <f>_xlfn.SUMIFS(Налоги!BA$25:BA$101,Налоги!$F$25:$F$101,$F98,Налоги!$AB$25:$AB$101,$G98)</f>
        <v>0</v>
      </c>
      <c r="BC98" s="1114">
        <f>_xlfn.SUMIFS(Налоги!BB$25:BB$101,Налоги!$F$25:$F$101,$F98,Налоги!$AB$25:$AB$101,$G98)</f>
        <v>0</v>
      </c>
      <c r="BD98" s="1114">
        <f>IF(AI98=0,0,(AT98-AI98)/AI98*100)</f>
        <v>0</v>
      </c>
      <c r="BE98" s="1114">
        <f>IF(AT98=0,0,(AU98-AT98)/AT98*100)</f>
        <v>0</v>
      </c>
      <c r="BF98" s="1114">
        <f>IF(AU98=0,0,(AV98-AU98)/AU98*100)</f>
        <v>0</v>
      </c>
      <c r="BG98" s="1114">
        <f>IF(AV98=0,0,(AW98-AV98)/AV98*100)</f>
        <v>0</v>
      </c>
      <c r="BH98" s="1114">
        <f>IF(AW98=0,0,(AX98-AW98)/AW98*100)</f>
        <v>0</v>
      </c>
      <c r="BI98" s="1114">
        <f>IF(AX98=0,0,(AY98-AX98)/AX98*100)</f>
        <v>0</v>
      </c>
      <c r="BJ98" s="1114">
        <f>IF(AY98=0,0,(AZ98-AY98)/AY98*100)</f>
        <v>0</v>
      </c>
      <c r="BK98" s="1114">
        <f>IF(AZ98=0,0,(BA98-AZ98)/AZ98*100)</f>
        <v>0</v>
      </c>
      <c r="BL98" s="1114">
        <f>IF(BA98=0,0,(BB98-BA98)/BA98*100)</f>
        <v>0</v>
      </c>
      <c r="BM98" s="1114">
        <f>IF(BB98=0,0,(BC98-BB98)/BB98*100)</f>
        <v>0</v>
      </c>
      <c r="BN98" s="1238"/>
      <c r="BO98" s="1242" t="str">
        <f>IF(_xlfn.IFERROR(INDEX(Налоги!$K$26:$L$101,MATCH($F98&amp;"1komm",Налоги!$K$26:$K$101,0),2),"")=0,"",_xlfn.IFERROR(INDEX(Налоги!$K$26:$L$101,MATCH($F98&amp;"1komm",Налоги!$K$26:$K$101,0),2),""))</f>
        <v/>
      </c>
      <c r="BP98" s="1238"/>
      <c r="BQ98" s="1278"/>
      <c r="BR98" s="1278"/>
      <c r="BS98" s="1064" t="s">
        <v>2788</v>
      </c>
      <c r="BT98" s="1064"/>
      <c r="BU98" s="1064"/>
      <c r="BV98" s="979"/>
      <c r="BW98" s="979"/>
    </row>
    <row customHeight="1" ht="14.625" hidden="1">
      <c r="A99" s="1278"/>
      <c r="B99" s="978"/>
      <c r="C99" s="107"/>
      <c r="D99" s="107"/>
      <c r="E99" s="621">
        <v>15</v>
      </c>
      <c r="F99" s="50" cm="1" t="str">
        <f t="array" ref="F99:F99">OFFSET(E99,-1,1)</f>
        <v>0</v>
      </c>
      <c r="G99" s="922">
        <v>3</v>
      </c>
      <c r="H99" s="107"/>
      <c r="I99" s="107" t="s">
        <v>2789</v>
      </c>
      <c r="J99" s="107"/>
      <c r="K99" s="107" t="s">
        <v>2789</v>
      </c>
      <c r="L99" s="980"/>
      <c r="M99" s="107"/>
      <c r="N99" s="107"/>
      <c r="O99" s="107"/>
      <c r="P99" s="107"/>
      <c r="Q99" s="107"/>
      <c r="R99" s="107"/>
      <c r="S99" s="107"/>
      <c r="T99" s="465" cm="1" t="str">
        <f t="array" ref="T99:T99">T98</f>
        <v>false</v>
      </c>
      <c r="U99" s="107"/>
      <c r="V99" s="107"/>
      <c r="W99" s="107"/>
      <c r="X99" s="1596"/>
      <c r="Y99" s="1278"/>
      <c r="Z99" s="1546"/>
      <c r="AA99" s="1278"/>
      <c r="AB99" s="300" t="s">
        <v>2790</v>
      </c>
      <c r="AC99" s="765" t="s">
        <v>2791</v>
      </c>
      <c r="AD99" s="300" t="s">
        <v>1514</v>
      </c>
      <c r="AE99" s="1114">
        <f>_xlfn.SUMIFS(Налоги!AE$25:AE$101,Налоги!$F$25:$F$101,$F99,Налоги!$AB$25:$AB$101,$G99)</f>
        <v>0</v>
      </c>
      <c r="AF99" s="1114">
        <f>_xlfn.SUMIFS(Налоги!AF$25:AF$101,Налоги!$F$25:$F$101,$F99,Налоги!$AB$25:$AB$101,$G99)</f>
        <v>0</v>
      </c>
      <c r="AG99" s="1114">
        <f>_xlfn.SUMIFS(Налоги!AG$25:AG$101,Налоги!$F$25:$F$101,$F99,Налоги!$AB$25:$AB$101,$G99)</f>
        <v>0</v>
      </c>
      <c r="AH99" s="1114">
        <f>AG99-AF99</f>
        <v>0</v>
      </c>
      <c r="AI99" s="1114">
        <f>_xlfn.SUMIFS(Налоги!AH$25:AH$101,Налоги!$F$25:$F$101,$F99,Налоги!$AB$25:$AB$101,$G99)</f>
        <v>0</v>
      </c>
      <c r="AJ99" s="1114">
        <f>_xlfn.SUMIFS(Налоги!AI$25:AI$101,Налоги!$F$25:$F$101,$F99,Налоги!$AB$25:$AB$101,$G99)</f>
        <v>0</v>
      </c>
      <c r="AK99" s="1114">
        <f>_xlfn.SUMIFS(Налоги!AJ$25:AJ$101,Налоги!$F$25:$F$101,$F99,Налоги!$AB$25:$AB$101,$G99)</f>
        <v>0</v>
      </c>
      <c r="AL99" s="1114">
        <f>_xlfn.SUMIFS(Налоги!AK$25:AK$101,Налоги!$F$25:$F$101,$F99,Налоги!$AB$25:$AB$101,$G99)</f>
        <v>0</v>
      </c>
      <c r="AM99" s="1114">
        <f>_xlfn.SUMIFS(Налоги!AL$25:AL$101,Налоги!$F$25:$F$101,$F99,Налоги!$AB$25:$AB$101,$G99)</f>
        <v>0</v>
      </c>
      <c r="AN99" s="1114">
        <f>_xlfn.SUMIFS(Налоги!AM$25:AM$101,Налоги!$F$25:$F$101,$F99,Налоги!$AB$25:$AB$101,$G99)</f>
        <v>0</v>
      </c>
      <c r="AO99" s="1114">
        <f>_xlfn.SUMIFS(Налоги!AN$25:AN$101,Налоги!$F$25:$F$101,$F99,Налоги!$AB$25:$AB$101,$G99)</f>
        <v>0</v>
      </c>
      <c r="AP99" s="1114">
        <f>_xlfn.SUMIFS(Налоги!AO$25:AO$101,Налоги!$F$25:$F$101,$F99,Налоги!$AB$25:$AB$101,$G99)</f>
        <v>0</v>
      </c>
      <c r="AQ99" s="1114">
        <f>_xlfn.SUMIFS(Налоги!AP$25:AP$101,Налоги!$F$25:$F$101,$F99,Налоги!$AB$25:$AB$101,$G99)</f>
        <v>0</v>
      </c>
      <c r="AR99" s="1114">
        <f>_xlfn.SUMIFS(Налоги!AQ$25:AQ$101,Налоги!$F$25:$F$101,$F99,Налоги!$AB$25:$AB$101,$G99)</f>
        <v>0</v>
      </c>
      <c r="AS99" s="1114">
        <f>_xlfn.SUMIFS(Налоги!AR$25:AR$101,Налоги!$F$25:$F$101,$F99,Налоги!$AB$25:$AB$101,$G99)</f>
        <v>0</v>
      </c>
      <c r="AT99" s="1114">
        <f>_xlfn.SUMIFS(Налоги!AS$25:AS$101,Налоги!$F$25:$F$101,$F99,Налоги!$AB$25:$AB$101,$G99)</f>
        <v>0</v>
      </c>
      <c r="AU99" s="1114">
        <f>_xlfn.SUMIFS(Налоги!AT$25:AT$101,Налоги!$F$25:$F$101,$F99,Налоги!$AB$25:$AB$101,$G99)</f>
        <v>0</v>
      </c>
      <c r="AV99" s="1114">
        <f>_xlfn.SUMIFS(Налоги!AU$25:AU$101,Налоги!$F$25:$F$101,$F99,Налоги!$AB$25:$AB$101,$G99)</f>
        <v>0</v>
      </c>
      <c r="AW99" s="1114">
        <f>_xlfn.SUMIFS(Налоги!AV$25:AV$101,Налоги!$F$25:$F$101,$F99,Налоги!$AB$25:$AB$101,$G99)</f>
        <v>0</v>
      </c>
      <c r="AX99" s="1114">
        <f>_xlfn.SUMIFS(Налоги!AW$25:AW$101,Налоги!$F$25:$F$101,$F99,Налоги!$AB$25:$AB$101,$G99)</f>
        <v>0</v>
      </c>
      <c r="AY99" s="1114">
        <f>_xlfn.SUMIFS(Налоги!AX$25:AX$101,Налоги!$F$25:$F$101,$F99,Налоги!$AB$25:$AB$101,$G99)</f>
        <v>0</v>
      </c>
      <c r="AZ99" s="1114">
        <f>_xlfn.SUMIFS(Налоги!AY$25:AY$101,Налоги!$F$25:$F$101,$F99,Налоги!$AB$25:$AB$101,$G99)</f>
        <v>0</v>
      </c>
      <c r="BA99" s="1114">
        <f>_xlfn.SUMIFS(Налоги!AZ$25:AZ$101,Налоги!$F$25:$F$101,$F99,Налоги!$AB$25:$AB$101,$G99)</f>
        <v>0</v>
      </c>
      <c r="BB99" s="1114">
        <f>_xlfn.SUMIFS(Налоги!BA$25:BA$101,Налоги!$F$25:$F$101,$F99,Налоги!$AB$25:$AB$101,$G99)</f>
        <v>0</v>
      </c>
      <c r="BC99" s="1114">
        <f>_xlfn.SUMIFS(Налоги!BB$25:BB$101,Налоги!$F$25:$F$101,$F99,Налоги!$AB$25:$AB$101,$G99)</f>
        <v>0</v>
      </c>
      <c r="BD99" s="1114">
        <f>IF(AI99=0,0,(AT99-AI99)/AI99*100)</f>
        <v>0</v>
      </c>
      <c r="BE99" s="1114">
        <f>IF(AT99=0,0,(AU99-AT99)/AT99*100)</f>
        <v>0</v>
      </c>
      <c r="BF99" s="1114">
        <f>IF(AU99=0,0,(AV99-AU99)/AU99*100)</f>
        <v>0</v>
      </c>
      <c r="BG99" s="1114">
        <f>IF(AV99=0,0,(AW99-AV99)/AV99*100)</f>
        <v>0</v>
      </c>
      <c r="BH99" s="1114">
        <f>IF(AW99=0,0,(AX99-AW99)/AW99*100)</f>
        <v>0</v>
      </c>
      <c r="BI99" s="1114">
        <f>IF(AX99=0,0,(AY99-AX99)/AX99*100)</f>
        <v>0</v>
      </c>
      <c r="BJ99" s="1114">
        <f>IF(AY99=0,0,(AZ99-AY99)/AY99*100)</f>
        <v>0</v>
      </c>
      <c r="BK99" s="1114">
        <f>IF(AZ99=0,0,(BA99-AZ99)/AZ99*100)</f>
        <v>0</v>
      </c>
      <c r="BL99" s="1114">
        <f>IF(BA99=0,0,(BB99-BA99)/BA99*100)</f>
        <v>0</v>
      </c>
      <c r="BM99" s="1114">
        <f>IF(BB99=0,0,(BC99-BB99)/BB99*100)</f>
        <v>0</v>
      </c>
      <c r="BN99" s="1238"/>
      <c r="BO99" s="1242" t="str">
        <f>IF(_xlfn.IFERROR(INDEX(Налоги!$K$26:$L$101,MATCH($F99&amp;"5komm",Налоги!$K$26:$K$101,0),2),"")=0,"",_xlfn.IFERROR(INDEX(Налоги!$K$26:$L$101,MATCH($F99&amp;"5komm",Налоги!$K$26:$K$101,0),2),""))</f>
        <v/>
      </c>
      <c r="BP99" s="1238"/>
      <c r="BQ99" s="1278"/>
      <c r="BR99" s="1278"/>
      <c r="BS99" s="1064" t="s">
        <v>2792</v>
      </c>
      <c r="BT99" s="1064"/>
      <c r="BU99" s="1064"/>
      <c r="BV99" s="979"/>
      <c r="BW99" s="979"/>
    </row>
    <row customHeight="1" ht="14.625" hidden="1">
      <c r="A100" s="1278"/>
      <c r="B100" s="978"/>
      <c r="C100" s="107"/>
      <c r="D100" s="107"/>
      <c r="E100" s="621">
        <v>15</v>
      </c>
      <c r="F100" s="50" cm="1" t="str">
        <f t="array" ref="F100:F100">OFFSET(E100,-1,1)</f>
        <v>0</v>
      </c>
      <c r="G100" s="922">
        <v>8</v>
      </c>
      <c r="H100" s="107"/>
      <c r="I100" s="107" t="s">
        <v>2793</v>
      </c>
      <c r="J100" s="107"/>
      <c r="K100" s="107" t="s">
        <v>2793</v>
      </c>
      <c r="L100" s="980"/>
      <c r="M100" s="107"/>
      <c r="N100" s="107"/>
      <c r="O100" s="107"/>
      <c r="P100" s="107"/>
      <c r="Q100" s="107"/>
      <c r="R100" s="107"/>
      <c r="S100" s="107"/>
      <c r="T100" s="465" cm="1" t="str">
        <f t="array" ref="T100:T100">T99</f>
        <v>false</v>
      </c>
      <c r="U100" s="107"/>
      <c r="V100" s="107"/>
      <c r="W100" s="107"/>
      <c r="X100" s="1596"/>
      <c r="Y100" s="1278"/>
      <c r="Z100" s="1546"/>
      <c r="AA100" s="1278"/>
      <c r="AB100" s="300" t="s">
        <v>2794</v>
      </c>
      <c r="AC100" s="765" t="s">
        <v>2795</v>
      </c>
      <c r="AD100" s="300" t="s">
        <v>1514</v>
      </c>
      <c r="AE100" s="1114">
        <f>_xlfn.SUMIFS(Налоги!AE$25:AE$101,Налоги!$F$25:$F$101,$F100,Налоги!$AB$25:$AB$101,$G100)</f>
        <v>0</v>
      </c>
      <c r="AF100" s="1114">
        <f>_xlfn.SUMIFS(Налоги!AF$25:AF$101,Налоги!$F$25:$F$101,$F100,Налоги!$AB$25:$AB$101,$G100)</f>
        <v>0</v>
      </c>
      <c r="AG100" s="1114">
        <f>_xlfn.SUMIFS(Налоги!AG$25:AG$101,Налоги!$F$25:$F$101,$F100,Налоги!$AB$25:$AB$101,$G100)</f>
        <v>0</v>
      </c>
      <c r="AH100" s="1114">
        <f>AG100-AF100</f>
        <v>0</v>
      </c>
      <c r="AI100" s="1114">
        <f>_xlfn.SUMIFS(Налоги!AH$25:AH$101,Налоги!$F$25:$F$101,$F100,Налоги!$AB$25:$AB$101,$G100)</f>
        <v>0</v>
      </c>
      <c r="AJ100" s="1114">
        <f>_xlfn.SUMIFS(Налоги!AI$25:AI$101,Налоги!$F$25:$F$101,$F100,Налоги!$AB$25:$AB$101,$G100)</f>
        <v>0</v>
      </c>
      <c r="AK100" s="1114">
        <f>_xlfn.SUMIFS(Налоги!AJ$25:AJ$101,Налоги!$F$25:$F$101,$F100,Налоги!$AB$25:$AB$101,$G100)</f>
        <v>0</v>
      </c>
      <c r="AL100" s="1114">
        <f>_xlfn.SUMIFS(Налоги!AK$25:AK$101,Налоги!$F$25:$F$101,$F100,Налоги!$AB$25:$AB$101,$G100)</f>
        <v>0</v>
      </c>
      <c r="AM100" s="1114">
        <f>_xlfn.SUMIFS(Налоги!AL$25:AL$101,Налоги!$F$25:$F$101,$F100,Налоги!$AB$25:$AB$101,$G100)</f>
        <v>0</v>
      </c>
      <c r="AN100" s="1114">
        <f>_xlfn.SUMIFS(Налоги!AM$25:AM$101,Налоги!$F$25:$F$101,$F100,Налоги!$AB$25:$AB$101,$G100)</f>
        <v>0</v>
      </c>
      <c r="AO100" s="1114">
        <f>_xlfn.SUMIFS(Налоги!AN$25:AN$101,Налоги!$F$25:$F$101,$F100,Налоги!$AB$25:$AB$101,$G100)</f>
        <v>0</v>
      </c>
      <c r="AP100" s="1114">
        <f>_xlfn.SUMIFS(Налоги!AO$25:AO$101,Налоги!$F$25:$F$101,$F100,Налоги!$AB$25:$AB$101,$G100)</f>
        <v>0</v>
      </c>
      <c r="AQ100" s="1114">
        <f>_xlfn.SUMIFS(Налоги!AP$25:AP$101,Налоги!$F$25:$F$101,$F100,Налоги!$AB$25:$AB$101,$G100)</f>
        <v>0</v>
      </c>
      <c r="AR100" s="1114">
        <f>_xlfn.SUMIFS(Налоги!AQ$25:AQ$101,Налоги!$F$25:$F$101,$F100,Налоги!$AB$25:$AB$101,$G100)</f>
        <v>0</v>
      </c>
      <c r="AS100" s="1114">
        <f>_xlfn.SUMIFS(Налоги!AR$25:AR$101,Налоги!$F$25:$F$101,$F100,Налоги!$AB$25:$AB$101,$G100)</f>
        <v>0</v>
      </c>
      <c r="AT100" s="1114">
        <f>_xlfn.SUMIFS(Налоги!AS$25:AS$101,Налоги!$F$25:$F$101,$F100,Налоги!$AB$25:$AB$101,$G100)</f>
        <v>0</v>
      </c>
      <c r="AU100" s="1114">
        <f>_xlfn.SUMIFS(Налоги!AT$25:AT$101,Налоги!$F$25:$F$101,$F100,Налоги!$AB$25:$AB$101,$G100)</f>
        <v>0</v>
      </c>
      <c r="AV100" s="1114">
        <f>_xlfn.SUMIFS(Налоги!AU$25:AU$101,Налоги!$F$25:$F$101,$F100,Налоги!$AB$25:$AB$101,$G100)</f>
        <v>0</v>
      </c>
      <c r="AW100" s="1114">
        <f>_xlfn.SUMIFS(Налоги!AV$25:AV$101,Налоги!$F$25:$F$101,$F100,Налоги!$AB$25:$AB$101,$G100)</f>
        <v>0</v>
      </c>
      <c r="AX100" s="1114">
        <f>_xlfn.SUMIFS(Налоги!AW$25:AW$101,Налоги!$F$25:$F$101,$F100,Налоги!$AB$25:$AB$101,$G100)</f>
        <v>0</v>
      </c>
      <c r="AY100" s="1114">
        <f>_xlfn.SUMIFS(Налоги!AX$25:AX$101,Налоги!$F$25:$F$101,$F100,Налоги!$AB$25:$AB$101,$G100)</f>
        <v>0</v>
      </c>
      <c r="AZ100" s="1114">
        <f>_xlfn.SUMIFS(Налоги!AY$25:AY$101,Налоги!$F$25:$F$101,$F100,Налоги!$AB$25:$AB$101,$G100)</f>
        <v>0</v>
      </c>
      <c r="BA100" s="1114">
        <f>_xlfn.SUMIFS(Налоги!AZ$25:AZ$101,Налоги!$F$25:$F$101,$F100,Налоги!$AB$25:$AB$101,$G100)</f>
        <v>0</v>
      </c>
      <c r="BB100" s="1114">
        <f>_xlfn.SUMIFS(Налоги!BA$25:BA$101,Налоги!$F$25:$F$101,$F100,Налоги!$AB$25:$AB$101,$G100)</f>
        <v>0</v>
      </c>
      <c r="BC100" s="1114">
        <f>_xlfn.SUMIFS(Налоги!BB$25:BB$101,Налоги!$F$25:$F$101,$F100,Налоги!$AB$25:$AB$101,$G100)</f>
        <v>0</v>
      </c>
      <c r="BD100" s="1114">
        <f>IF(AI100=0,0,(AT100-AI100)/AI100*100)</f>
        <v>0</v>
      </c>
      <c r="BE100" s="1114">
        <f>IF(AT100=0,0,(AU100-AT100)/AT100*100)</f>
        <v>0</v>
      </c>
      <c r="BF100" s="1114">
        <f>IF(AU100=0,0,(AV100-AU100)/AU100*100)</f>
        <v>0</v>
      </c>
      <c r="BG100" s="1114">
        <f>IF(AV100=0,0,(AW100-AV100)/AV100*100)</f>
        <v>0</v>
      </c>
      <c r="BH100" s="1114">
        <f>IF(AW100=0,0,(AX100-AW100)/AW100*100)</f>
        <v>0</v>
      </c>
      <c r="BI100" s="1114">
        <f>IF(AX100=0,0,(AY100-AX100)/AX100*100)</f>
        <v>0</v>
      </c>
      <c r="BJ100" s="1114">
        <f>IF(AY100=0,0,(AZ100-AY100)/AY100*100)</f>
        <v>0</v>
      </c>
      <c r="BK100" s="1114">
        <f>IF(AZ100=0,0,(BA100-AZ100)/AZ100*100)</f>
        <v>0</v>
      </c>
      <c r="BL100" s="1114">
        <f>IF(BA100=0,0,(BB100-BA100)/BA100*100)</f>
        <v>0</v>
      </c>
      <c r="BM100" s="1114">
        <f>IF(BB100=0,0,(BC100-BB100)/BB100*100)</f>
        <v>0</v>
      </c>
      <c r="BN100" s="1238"/>
      <c r="BO100" s="1242" t="str">
        <f>IF(_xlfn.IFERROR(INDEX(Налоги!$K$26:$L$101,MATCH($F100&amp;"8komm",Налоги!$K$26:$K$101,0),2),"")=0,"",_xlfn.IFERROR(INDEX(Налоги!$K$26:$L$101,MATCH($F100&amp;"8komm",Налоги!$K$26:$K$101,0),2),""))</f>
        <v/>
      </c>
      <c r="BP100" s="1238"/>
      <c r="BQ100" s="1278"/>
      <c r="BR100" s="1278"/>
      <c r="BS100" s="1064" t="s">
        <v>2017</v>
      </c>
      <c r="BT100" s="1064"/>
      <c r="BU100" s="1064"/>
      <c r="BV100" s="979"/>
      <c r="BW100" s="979"/>
    </row>
    <row s="1233" customFormat="1" customHeight="1" ht="14.625" hidden="1">
      <c r="A101" s="1233"/>
      <c r="B101" s="753"/>
      <c r="C101" s="107"/>
      <c r="D101" s="107"/>
      <c r="E101" s="621">
        <v>15</v>
      </c>
      <c r="F101" s="50" cm="1" t="str">
        <f t="array" ref="F101:F101">OFFSET(E101,-1,1)</f>
        <v>0</v>
      </c>
      <c r="G101" s="922">
        <v>9</v>
      </c>
      <c r="H101" s="107"/>
      <c r="I101" s="107"/>
      <c r="J101" s="107"/>
      <c r="K101" s="107"/>
      <c r="L101" s="980"/>
      <c r="M101" s="107"/>
      <c r="N101" s="107"/>
      <c r="O101" s="107"/>
      <c r="P101" s="107"/>
      <c r="Q101" s="107"/>
      <c r="R101" s="107"/>
      <c r="S101" s="107"/>
      <c r="T101" s="465" cm="1" t="str">
        <f t="array" ref="T101:T101">T100</f>
        <v>false</v>
      </c>
      <c r="U101" s="107"/>
      <c r="V101" s="107"/>
      <c r="W101" s="107"/>
      <c r="X101" s="1596"/>
      <c r="Y101" s="1233"/>
      <c r="Z101" s="1546"/>
      <c r="AA101" s="1233"/>
      <c r="AB101" s="300" t="s">
        <v>2796</v>
      </c>
      <c r="AC101" s="780" t="s">
        <v>2797</v>
      </c>
      <c r="AD101" s="300" t="s">
        <v>1514</v>
      </c>
      <c r="AE101" s="1114">
        <f>_xlfn.SUMIFS(Налоги!AE$25:AE$101,Налоги!$F$25:$F$101,$F101,Налоги!$AB$25:$AB$101,$G101)</f>
        <v>0</v>
      </c>
      <c r="AF101" s="1114">
        <f>_xlfn.SUMIFS(Налоги!AF$25:AF$101,Налоги!$F$25:$F$101,$F101,Налоги!$AB$25:$AB$101,$G101)</f>
        <v>0</v>
      </c>
      <c r="AG101" s="1114">
        <f>_xlfn.SUMIFS(Налоги!AG$25:AG$101,Налоги!$F$25:$F$101,$F101,Налоги!$AB$25:$AB$101,$G101)</f>
        <v>0</v>
      </c>
      <c r="AH101" s="1114">
        <f>AG101-AF101</f>
        <v>0</v>
      </c>
      <c r="AI101" s="1114">
        <f>_xlfn.SUMIFS(Налоги!AH$25:AH$101,Налоги!$F$25:$F$101,$F101,Налоги!$AB$25:$AB$101,$G101)</f>
        <v>0</v>
      </c>
      <c r="AJ101" s="1114">
        <f>_xlfn.SUMIFS(Налоги!AI$25:AI$101,Налоги!$F$25:$F$101,$F101,Налоги!$AB$25:$AB$101,$G101)</f>
        <v>0</v>
      </c>
      <c r="AK101" s="1114">
        <f>_xlfn.SUMIFS(Налоги!AJ$25:AJ$101,Налоги!$F$25:$F$101,$F101,Налоги!$AB$25:$AB$101,$G101)</f>
        <v>0</v>
      </c>
      <c r="AL101" s="1114">
        <f>_xlfn.SUMIFS(Налоги!AK$25:AK$101,Налоги!$F$25:$F$101,$F101,Налоги!$AB$25:$AB$101,$G101)</f>
        <v>0</v>
      </c>
      <c r="AM101" s="1114">
        <f>_xlfn.SUMIFS(Налоги!AL$25:AL$101,Налоги!$F$25:$F$101,$F101,Налоги!$AB$25:$AB$101,$G101)</f>
        <v>0</v>
      </c>
      <c r="AN101" s="1114">
        <f>_xlfn.SUMIFS(Налоги!AM$25:AM$101,Налоги!$F$25:$F$101,$F101,Налоги!$AB$25:$AB$101,$G101)</f>
        <v>0</v>
      </c>
      <c r="AO101" s="1114">
        <f>_xlfn.SUMIFS(Налоги!AN$25:AN$101,Налоги!$F$25:$F$101,$F101,Налоги!$AB$25:$AB$101,$G101)</f>
        <v>0</v>
      </c>
      <c r="AP101" s="1114">
        <f>_xlfn.SUMIFS(Налоги!AO$25:AO$101,Налоги!$F$25:$F$101,$F101,Налоги!$AB$25:$AB$101,$G101)</f>
        <v>0</v>
      </c>
      <c r="AQ101" s="1114">
        <f>_xlfn.SUMIFS(Налоги!AP$25:AP$101,Налоги!$F$25:$F$101,$F101,Налоги!$AB$25:$AB$101,$G101)</f>
        <v>0</v>
      </c>
      <c r="AR101" s="1114">
        <f>_xlfn.SUMIFS(Налоги!AQ$25:AQ$101,Налоги!$F$25:$F$101,$F101,Налоги!$AB$25:$AB$101,$G101)</f>
        <v>0</v>
      </c>
      <c r="AS101" s="1114">
        <f>_xlfn.SUMIFS(Налоги!AR$25:AR$101,Налоги!$F$25:$F$101,$F101,Налоги!$AB$25:$AB$101,$G101)</f>
        <v>0</v>
      </c>
      <c r="AT101" s="1114">
        <f>_xlfn.SUMIFS(Налоги!AS$25:AS$101,Налоги!$F$25:$F$101,$F101,Налоги!$AB$25:$AB$101,$G101)</f>
        <v>0</v>
      </c>
      <c r="AU101" s="1114">
        <f>_xlfn.SUMIFS(Налоги!AT$25:AT$101,Налоги!$F$25:$F$101,$F101,Налоги!$AB$25:$AB$101,$G101)</f>
        <v>0</v>
      </c>
      <c r="AV101" s="1114">
        <f>_xlfn.SUMIFS(Налоги!AU$25:AU$101,Налоги!$F$25:$F$101,$F101,Налоги!$AB$25:$AB$101,$G101)</f>
        <v>0</v>
      </c>
      <c r="AW101" s="1114">
        <f>_xlfn.SUMIFS(Налоги!AV$25:AV$101,Налоги!$F$25:$F$101,$F101,Налоги!$AB$25:$AB$101,$G101)</f>
        <v>0</v>
      </c>
      <c r="AX101" s="1114">
        <f>_xlfn.SUMIFS(Налоги!AW$25:AW$101,Налоги!$F$25:$F$101,$F101,Налоги!$AB$25:$AB$101,$G101)</f>
        <v>0</v>
      </c>
      <c r="AY101" s="1114">
        <f>_xlfn.SUMIFS(Налоги!AX$25:AX$101,Налоги!$F$25:$F$101,$F101,Налоги!$AB$25:$AB$101,$G101)</f>
        <v>0</v>
      </c>
      <c r="AZ101" s="1114">
        <f>_xlfn.SUMIFS(Налоги!AY$25:AY$101,Налоги!$F$25:$F$101,$F101,Налоги!$AB$25:$AB$101,$G101)</f>
        <v>0</v>
      </c>
      <c r="BA101" s="1114">
        <f>_xlfn.SUMIFS(Налоги!AZ$25:AZ$101,Налоги!$F$25:$F$101,$F101,Налоги!$AB$25:$AB$101,$G101)</f>
        <v>0</v>
      </c>
      <c r="BB101" s="1114">
        <f>_xlfn.SUMIFS(Налоги!BA$25:BA$101,Налоги!$F$25:$F$101,$F101,Налоги!$AB$25:$AB$101,$G101)</f>
        <v>0</v>
      </c>
      <c r="BC101" s="1114">
        <f>_xlfn.SUMIFS(Налоги!BB$25:BB$101,Налоги!$F$25:$F$101,$F101,Налоги!$AB$25:$AB$101,$G101)</f>
        <v>0</v>
      </c>
      <c r="BD101" s="1114">
        <f>IF(AI101=0,0,(AT101-AI101)/AI101*100)</f>
        <v>0</v>
      </c>
      <c r="BE101" s="1114">
        <f>IF(AT101=0,0,(AU101-AT101)/AT101*100)</f>
        <v>0</v>
      </c>
      <c r="BF101" s="1114">
        <f>IF(AU101=0,0,(AV101-AU101)/AU101*100)</f>
        <v>0</v>
      </c>
      <c r="BG101" s="1114">
        <f>IF(AV101=0,0,(AW101-AV101)/AV101*100)</f>
        <v>0</v>
      </c>
      <c r="BH101" s="1114">
        <f>IF(AW101=0,0,(AX101-AW101)/AW101*100)</f>
        <v>0</v>
      </c>
      <c r="BI101" s="1114">
        <f>IF(AX101=0,0,(AY101-AX101)/AX101*100)</f>
        <v>0</v>
      </c>
      <c r="BJ101" s="1114">
        <f>IF(AY101=0,0,(AZ101-AY101)/AY101*100)</f>
        <v>0</v>
      </c>
      <c r="BK101" s="1114">
        <f>IF(AZ101=0,0,(BA101-AZ101)/AZ101*100)</f>
        <v>0</v>
      </c>
      <c r="BL101" s="1114">
        <f>IF(BA101=0,0,(BB101-BA101)/BA101*100)</f>
        <v>0</v>
      </c>
      <c r="BM101" s="1114">
        <f>IF(BB101=0,0,(BC101-BB101)/BB101*100)</f>
        <v>0</v>
      </c>
      <c r="BN101" s="1238"/>
      <c r="BO101" s="1242" t="str">
        <f>IF(_xlfn.IFERROR(INDEX(Налоги!$K$26:$L$101,MATCH($F101&amp;"9komm",Налоги!$K$26:$K$101,0),2),"")=0,"",_xlfn.IFERROR(INDEX(Налоги!$K$26:$L$101,MATCH($F101&amp;"9komm",Налоги!$K$26:$K$101,0),2),""))</f>
        <v/>
      </c>
      <c r="BP101" s="1238"/>
      <c r="BQ101" s="1233"/>
      <c r="BR101" s="1233"/>
      <c r="BS101" s="1071" t="s">
        <v>2798</v>
      </c>
      <c r="BT101" s="1071"/>
      <c r="BU101" s="1071"/>
      <c r="BV101" s="1072"/>
      <c r="BW101" s="1072"/>
    </row>
    <row customHeight="1" ht="14.625" hidden="1">
      <c r="A102" s="1278"/>
      <c r="B102" s="978"/>
      <c r="C102" s="107"/>
      <c r="D102" s="107"/>
      <c r="E102" s="621">
        <v>15</v>
      </c>
      <c r="F102" s="50" cm="1" t="str">
        <f t="array" ref="F102:F102">OFFSET(E102,-1,1)</f>
        <v>0</v>
      </c>
      <c r="G102" s="922">
        <v>10</v>
      </c>
      <c r="H102" s="107"/>
      <c r="I102" s="107" t="s">
        <v>2799</v>
      </c>
      <c r="J102" s="107"/>
      <c r="K102" s="107" t="s">
        <v>2799</v>
      </c>
      <c r="L102" s="980"/>
      <c r="M102" s="107"/>
      <c r="N102" s="107"/>
      <c r="O102" s="107"/>
      <c r="P102" s="107"/>
      <c r="Q102" s="107"/>
      <c r="R102" s="107"/>
      <c r="S102" s="107"/>
      <c r="T102" s="465" cm="1" t="str">
        <f t="array" ref="T102:T102">T101</f>
        <v>false</v>
      </c>
      <c r="U102" s="107"/>
      <c r="V102" s="107"/>
      <c r="W102" s="107"/>
      <c r="X102" s="1596"/>
      <c r="Y102" s="1278"/>
      <c r="Z102" s="1546"/>
      <c r="AA102" s="1278"/>
      <c r="AB102" s="300" t="s">
        <v>2800</v>
      </c>
      <c r="AC102" s="781" t="s">
        <v>2801</v>
      </c>
      <c r="AD102" s="300" t="s">
        <v>1514</v>
      </c>
      <c r="AE102" s="1114">
        <f>_xlfn.SUMIFS(Налоги!AE$25:AE$101,Налоги!$F$25:$F$101,$F102,Налоги!$AB$25:$AB$101,$G102)</f>
        <v>0</v>
      </c>
      <c r="AF102" s="1114">
        <f>_xlfn.SUMIFS(Налоги!AF$25:AF$101,Налоги!$F$25:$F$101,$F102,Налоги!$AB$25:$AB$101,$G102)</f>
        <v>0</v>
      </c>
      <c r="AG102" s="1114">
        <f>_xlfn.SUMIFS(Налоги!AG$25:AG$101,Налоги!$F$25:$F$101,$F102,Налоги!$AB$25:$AB$101,$G102)</f>
        <v>0</v>
      </c>
      <c r="AH102" s="1114">
        <f>AG102-AF102</f>
        <v>0</v>
      </c>
      <c r="AI102" s="1114">
        <f>_xlfn.SUMIFS(Налоги!AH$25:AH$101,Налоги!$F$25:$F$101,$F102,Налоги!$AB$25:$AB$101,$G102)</f>
        <v>0</v>
      </c>
      <c r="AJ102" s="1114">
        <f>_xlfn.SUMIFS(Налоги!AI$25:AI$101,Налоги!$F$25:$F$101,$F102,Налоги!$AB$25:$AB$101,$G102)</f>
        <v>0</v>
      </c>
      <c r="AK102" s="1114">
        <f>_xlfn.SUMIFS(Налоги!AJ$25:AJ$101,Налоги!$F$25:$F$101,$F102,Налоги!$AB$25:$AB$101,$G102)</f>
        <v>0</v>
      </c>
      <c r="AL102" s="1114">
        <f>_xlfn.SUMIFS(Налоги!AK$25:AK$101,Налоги!$F$25:$F$101,$F102,Налоги!$AB$25:$AB$101,$G102)</f>
        <v>0</v>
      </c>
      <c r="AM102" s="1114">
        <f>_xlfn.SUMIFS(Налоги!AL$25:AL$101,Налоги!$F$25:$F$101,$F102,Налоги!$AB$25:$AB$101,$G102)</f>
        <v>0</v>
      </c>
      <c r="AN102" s="1114">
        <f>_xlfn.SUMIFS(Налоги!AM$25:AM$101,Налоги!$F$25:$F$101,$F102,Налоги!$AB$25:$AB$101,$G102)</f>
        <v>0</v>
      </c>
      <c r="AO102" s="1114">
        <f>_xlfn.SUMIFS(Налоги!AN$25:AN$101,Налоги!$F$25:$F$101,$F102,Налоги!$AB$25:$AB$101,$G102)</f>
        <v>0</v>
      </c>
      <c r="AP102" s="1114">
        <f>_xlfn.SUMIFS(Налоги!AO$25:AO$101,Налоги!$F$25:$F$101,$F102,Налоги!$AB$25:$AB$101,$G102)</f>
        <v>0</v>
      </c>
      <c r="AQ102" s="1114">
        <f>_xlfn.SUMIFS(Налоги!AP$25:AP$101,Налоги!$F$25:$F$101,$F102,Налоги!$AB$25:$AB$101,$G102)</f>
        <v>0</v>
      </c>
      <c r="AR102" s="1114">
        <f>_xlfn.SUMIFS(Налоги!AQ$25:AQ$101,Налоги!$F$25:$F$101,$F102,Налоги!$AB$25:$AB$101,$G102)</f>
        <v>0</v>
      </c>
      <c r="AS102" s="1114">
        <f>_xlfn.SUMIFS(Налоги!AR$25:AR$101,Налоги!$F$25:$F$101,$F102,Налоги!$AB$25:$AB$101,$G102)</f>
        <v>0</v>
      </c>
      <c r="AT102" s="1114">
        <f>_xlfn.SUMIFS(Налоги!AS$25:AS$101,Налоги!$F$25:$F$101,$F102,Налоги!$AB$25:$AB$101,$G102)</f>
        <v>0</v>
      </c>
      <c r="AU102" s="1114">
        <f>_xlfn.SUMIFS(Налоги!AT$25:AT$101,Налоги!$F$25:$F$101,$F102,Налоги!$AB$25:$AB$101,$G102)</f>
        <v>0</v>
      </c>
      <c r="AV102" s="1114">
        <f>_xlfn.SUMIFS(Налоги!AU$25:AU$101,Налоги!$F$25:$F$101,$F102,Налоги!$AB$25:$AB$101,$G102)</f>
        <v>0</v>
      </c>
      <c r="AW102" s="1114">
        <f>_xlfn.SUMIFS(Налоги!AV$25:AV$101,Налоги!$F$25:$F$101,$F102,Налоги!$AB$25:$AB$101,$G102)</f>
        <v>0</v>
      </c>
      <c r="AX102" s="1114">
        <f>_xlfn.SUMIFS(Налоги!AW$25:AW$101,Налоги!$F$25:$F$101,$F102,Налоги!$AB$25:$AB$101,$G102)</f>
        <v>0</v>
      </c>
      <c r="AY102" s="1114">
        <f>_xlfn.SUMIFS(Налоги!AX$25:AX$101,Налоги!$F$25:$F$101,$F102,Налоги!$AB$25:$AB$101,$G102)</f>
        <v>0</v>
      </c>
      <c r="AZ102" s="1114">
        <f>_xlfn.SUMIFS(Налоги!AY$25:AY$101,Налоги!$F$25:$F$101,$F102,Налоги!$AB$25:$AB$101,$G102)</f>
        <v>0</v>
      </c>
      <c r="BA102" s="1114">
        <f>_xlfn.SUMIFS(Налоги!AZ$25:AZ$101,Налоги!$F$25:$F$101,$F102,Налоги!$AB$25:$AB$101,$G102)</f>
        <v>0</v>
      </c>
      <c r="BB102" s="1114">
        <f>_xlfn.SUMIFS(Налоги!BA$25:BA$101,Налоги!$F$25:$F$101,$F102,Налоги!$AB$25:$AB$101,$G102)</f>
        <v>0</v>
      </c>
      <c r="BC102" s="1114">
        <f>_xlfn.SUMIFS(Налоги!BB$25:BB$101,Налоги!$F$25:$F$101,$F102,Налоги!$AB$25:$AB$101,$G102)</f>
        <v>0</v>
      </c>
      <c r="BD102" s="1114">
        <f>IF(AI102=0,0,(AT102-AI102)/AI102*100)</f>
        <v>0</v>
      </c>
      <c r="BE102" s="1114">
        <f>IF(AT102=0,0,(AU102-AT102)/AT102*100)</f>
        <v>0</v>
      </c>
      <c r="BF102" s="1114">
        <f>IF(AU102=0,0,(AV102-AU102)/AU102*100)</f>
        <v>0</v>
      </c>
      <c r="BG102" s="1114">
        <f>IF(AV102=0,0,(AW102-AV102)/AV102*100)</f>
        <v>0</v>
      </c>
      <c r="BH102" s="1114">
        <f>IF(AW102=0,0,(AX102-AW102)/AW102*100)</f>
        <v>0</v>
      </c>
      <c r="BI102" s="1114">
        <f>IF(AX102=0,0,(AY102-AX102)/AX102*100)</f>
        <v>0</v>
      </c>
      <c r="BJ102" s="1114">
        <f>IF(AY102=0,0,(AZ102-AY102)/AY102*100)</f>
        <v>0</v>
      </c>
      <c r="BK102" s="1114">
        <f>IF(AZ102=0,0,(BA102-AZ102)/AZ102*100)</f>
        <v>0</v>
      </c>
      <c r="BL102" s="1114">
        <f>IF(BA102=0,0,(BB102-BA102)/BA102*100)</f>
        <v>0</v>
      </c>
      <c r="BM102" s="1114">
        <f>IF(BB102=0,0,(BC102-BB102)/BB102*100)</f>
        <v>0</v>
      </c>
      <c r="BN102" s="1238"/>
      <c r="BO102" s="1242" t="str">
        <f>IF(_xlfn.IFERROR(INDEX(Налоги!$K$26:$L$101,MATCH($F102&amp;"10komm",Налоги!$K$26:$K$101,0),2),"")=0,"",_xlfn.IFERROR(INDEX(Налоги!$K$26:$L$101,MATCH($F102&amp;"10komm",Налоги!$K$26:$K$101,0),2),""))</f>
        <v/>
      </c>
      <c r="BP102" s="1238"/>
      <c r="BQ102" s="1278"/>
      <c r="BR102" s="1278"/>
      <c r="BS102" s="1064" t="s">
        <v>2802</v>
      </c>
      <c r="BT102" s="1064"/>
      <c r="BU102" s="1064"/>
      <c r="BV102" s="979"/>
      <c r="BW102" s="979"/>
    </row>
    <row customHeight="1" ht="65.8125" hidden="1">
      <c r="A103" s="1278"/>
      <c r="B103" s="978"/>
      <c r="C103" s="107"/>
      <c r="D103" s="107"/>
      <c r="E103" s="621">
        <v>67.5</v>
      </c>
      <c r="F103" s="50" cm="1" t="str">
        <f t="array" ref="F103:F103">OFFSET(E103,-1,1)</f>
        <v>0</v>
      </c>
      <c r="G103" s="107" t="s">
        <v>2178</v>
      </c>
      <c r="H103" s="107"/>
      <c r="I103" s="107" t="s">
        <v>1650</v>
      </c>
      <c r="J103" s="107"/>
      <c r="K103" s="158" t="s">
        <v>1650</v>
      </c>
      <c r="L103" s="980"/>
      <c r="M103" s="107"/>
      <c r="N103" s="107"/>
      <c r="O103" s="107"/>
      <c r="P103" s="107"/>
      <c r="Q103" s="107"/>
      <c r="R103" s="107"/>
      <c r="S103" s="107"/>
      <c r="T103" s="465" cm="1" t="str">
        <f t="array" ref="T103:T103">T102</f>
        <v>false</v>
      </c>
      <c r="U103" s="107"/>
      <c r="V103" s="107"/>
      <c r="W103" s="107"/>
      <c r="X103" s="1596"/>
      <c r="Y103" s="1278"/>
      <c r="Z103" s="1546"/>
      <c r="AA103" s="1278"/>
      <c r="AB103" s="300" t="s">
        <v>1651</v>
      </c>
      <c r="AC103" s="782" t="s">
        <v>2181</v>
      </c>
      <c r="AD103" s="300" t="s">
        <v>1514</v>
      </c>
      <c r="AE103" s="1244"/>
      <c r="AF103" s="1244"/>
      <c r="AG103" s="1244"/>
      <c r="AH103" s="1114">
        <f>AG103-AF103</f>
        <v>0</v>
      </c>
      <c r="AI103" s="1244"/>
      <c r="AJ103" s="1244"/>
      <c r="AK103" s="1244"/>
      <c r="AL103" s="1244"/>
      <c r="AM103" s="1244"/>
      <c r="AN103" s="1244"/>
      <c r="AO103" s="1244"/>
      <c r="AP103" s="1244"/>
      <c r="AQ103" s="1244"/>
      <c r="AR103" s="1244"/>
      <c r="AS103" s="1244"/>
      <c r="AT103" s="1244"/>
      <c r="AU103" s="1244"/>
      <c r="AV103" s="1244"/>
      <c r="AW103" s="1244"/>
      <c r="AX103" s="1244"/>
      <c r="AY103" s="1244"/>
      <c r="AZ103" s="1244"/>
      <c r="BA103" s="1244"/>
      <c r="BB103" s="1244"/>
      <c r="BC103" s="1244"/>
      <c r="BD103" s="1114">
        <f>IF(AI103=0,0,(AT103-AI103)/AI103*100)</f>
        <v>0</v>
      </c>
      <c r="BE103" s="1114">
        <f>IF(AT103=0,0,(AU103-AT103)/AT103*100)</f>
        <v>0</v>
      </c>
      <c r="BF103" s="1114">
        <f>IF(AU103=0,0,(AV103-AU103)/AU103*100)</f>
        <v>0</v>
      </c>
      <c r="BG103" s="1114">
        <f>IF(AV103=0,0,(AW103-AV103)/AV103*100)</f>
        <v>0</v>
      </c>
      <c r="BH103" s="1114">
        <f>IF(AW103=0,0,(AX103-AW103)/AW103*100)</f>
        <v>0</v>
      </c>
      <c r="BI103" s="1114">
        <f>IF(AX103=0,0,(AY103-AX103)/AX103*100)</f>
        <v>0</v>
      </c>
      <c r="BJ103" s="1114">
        <f>IF(AY103=0,0,(AZ103-AY103)/AY103*100)</f>
        <v>0</v>
      </c>
      <c r="BK103" s="1114">
        <f>IF(AZ103=0,0,(BA103-AZ103)/AZ103*100)</f>
        <v>0</v>
      </c>
      <c r="BL103" s="1114">
        <f>IF(BA103=0,0,(BB103-BA103)/BA103*100)</f>
        <v>0</v>
      </c>
      <c r="BM103" s="1114">
        <f>IF(BB103=0,0,(BC103-BB103)/BB103*100)</f>
        <v>0</v>
      </c>
      <c r="BN103" s="1238"/>
      <c r="BO103" s="1238"/>
      <c r="BP103" s="1238"/>
      <c r="BQ103" s="1278"/>
      <c r="BR103" s="1278"/>
      <c r="BS103" s="1064" t="s">
        <v>2803</v>
      </c>
      <c r="BT103" s="1064"/>
      <c r="BU103" s="1064"/>
      <c r="BV103" s="979"/>
      <c r="BW103" s="979"/>
    </row>
    <row customHeight="1" ht="14.625" hidden="1">
      <c r="A104" s="1278"/>
      <c r="B104" s="978"/>
      <c r="C104" s="107"/>
      <c r="D104" s="107"/>
      <c r="E104" s="621">
        <v>15</v>
      </c>
      <c r="F104" s="50" cm="1" t="str">
        <f t="array" ref="F104:F104">OFFSET(E104,-1,1)</f>
        <v>0</v>
      </c>
      <c r="G104" s="107" t="s">
        <v>1730</v>
      </c>
      <c r="H104" s="107"/>
      <c r="I104" s="107" t="s">
        <v>1653</v>
      </c>
      <c r="J104" s="107"/>
      <c r="K104" s="158" t="s">
        <v>1653</v>
      </c>
      <c r="L104" s="980" t="s">
        <v>1225</v>
      </c>
      <c r="M104" s="107"/>
      <c r="N104" s="107"/>
      <c r="O104" s="107"/>
      <c r="P104" s="107"/>
      <c r="Q104" s="107"/>
      <c r="R104" s="107"/>
      <c r="S104" s="107"/>
      <c r="T104" s="465" cm="1" t="str">
        <f t="array" ref="T104:T104">T103</f>
        <v>false</v>
      </c>
      <c r="U104" s="107"/>
      <c r="V104" s="107"/>
      <c r="W104" s="107"/>
      <c r="X104" s="1596"/>
      <c r="Y104" s="1278"/>
      <c r="Z104" s="1546"/>
      <c r="AA104" s="1278"/>
      <c r="AB104" s="300" t="s">
        <v>1654</v>
      </c>
      <c r="AC104" s="762" t="s">
        <v>1730</v>
      </c>
      <c r="AD104" s="300" t="s">
        <v>1514</v>
      </c>
      <c r="AE104" s="1114">
        <f>_xlfn.SUMIFS(Аренда!AE$25:AE$77,Аренда!$F$25:$F$77,$F104,Аренда!$G$25:$G$77,"Арендная и концессионная плата, лизинговые платежи")</f>
        <v>0</v>
      </c>
      <c r="AF104" s="1114">
        <f>_xlfn.SUMIFS(Аренда!AF$25:AF$77,Аренда!$F$25:$F$77,$F104,Аренда!$G$25:$G$77,"Арендная и концессионная плата, лизинговые платежи")</f>
        <v>0</v>
      </c>
      <c r="AG104" s="1114">
        <f>_xlfn.SUMIFS(Аренда!AG$25:AG$77,Аренда!$F$25:$F$77,$F104,Аренда!$G$25:$G$77,"Арендная и концессионная плата, лизинговые платежи")</f>
        <v>0</v>
      </c>
      <c r="AH104" s="1114">
        <f>AG104-AF104</f>
        <v>0</v>
      </c>
      <c r="AI104" s="1114">
        <f>_xlfn.SUMIFS(Аренда!AH$25:AH$77,Аренда!$F$25:$F$77,$F104,Аренда!$G$25:$G$77,"Арендная и концессионная плата, лизинговые платежи")</f>
        <v>0</v>
      </c>
      <c r="AJ104" s="1114">
        <f>_xlfn.SUMIFS(Аренда!AI$25:AI$77,Аренда!$F$25:$F$77,$F104,Аренда!$G$25:$G$77,"Арендная и концессионная плата, лизинговые платежи")</f>
        <v>0</v>
      </c>
      <c r="AK104" s="1114">
        <f>_xlfn.SUMIFS(Аренда!AJ$25:AJ$77,Аренда!$F$25:$F$77,$F104,Аренда!$G$25:$G$77,"Арендная и концессионная плата, лизинговые платежи")</f>
        <v>0</v>
      </c>
      <c r="AL104" s="1114">
        <f>_xlfn.SUMIFS(Аренда!AK$25:AK$77,Аренда!$F$25:$F$77,$F104,Аренда!$G$25:$G$77,"Арендная и концессионная плата, лизинговые платежи")</f>
        <v>0</v>
      </c>
      <c r="AM104" s="1114">
        <f>_xlfn.SUMIFS(Аренда!AL$25:AL$77,Аренда!$F$25:$F$77,$F104,Аренда!$G$25:$G$77,"Арендная и концессионная плата, лизинговые платежи")</f>
        <v>0</v>
      </c>
      <c r="AN104" s="1114">
        <f>_xlfn.SUMIFS(Аренда!AM$25:AM$77,Аренда!$F$25:$F$77,$F104,Аренда!$G$25:$G$77,"Арендная и концессионная плата, лизинговые платежи")</f>
        <v>0</v>
      </c>
      <c r="AO104" s="1114">
        <f>_xlfn.SUMIFS(Аренда!AN$25:AN$77,Аренда!$F$25:$F$77,$F104,Аренда!$G$25:$G$77,"Арендная и концессионная плата, лизинговые платежи")</f>
        <v>0</v>
      </c>
      <c r="AP104" s="1114">
        <f>_xlfn.SUMIFS(Аренда!AO$25:AO$77,Аренда!$F$25:$F$77,$F104,Аренда!$G$25:$G$77,"Арендная и концессионная плата, лизинговые платежи")</f>
        <v>0</v>
      </c>
      <c r="AQ104" s="1114">
        <f>_xlfn.SUMIFS(Аренда!AP$25:AP$77,Аренда!$F$25:$F$77,$F104,Аренда!$G$25:$G$77,"Арендная и концессионная плата, лизинговые платежи")</f>
        <v>0</v>
      </c>
      <c r="AR104" s="1114">
        <f>_xlfn.SUMIFS(Аренда!AQ$25:AQ$77,Аренда!$F$25:$F$77,$F104,Аренда!$G$25:$G$77,"Арендная и концессионная плата, лизинговые платежи")</f>
        <v>0</v>
      </c>
      <c r="AS104" s="1114">
        <f>_xlfn.SUMIFS(Аренда!AR$25:AR$77,Аренда!$F$25:$F$77,$F104,Аренда!$G$25:$G$77,"Арендная и концессионная плата, лизинговые платежи")</f>
        <v>0</v>
      </c>
      <c r="AT104" s="1114">
        <f>_xlfn.SUMIFS(Аренда!AS$25:AS$77,Аренда!$F$25:$F$77,$F104,Аренда!$G$25:$G$77,"Арендная и концессионная плата, лизинговые платежи")</f>
        <v>0</v>
      </c>
      <c r="AU104" s="1114">
        <f>_xlfn.SUMIFS(Аренда!AT$25:AT$77,Аренда!$F$25:$F$77,$F104,Аренда!$G$25:$G$77,"Арендная и концессионная плата, лизинговые платежи")</f>
        <v>0</v>
      </c>
      <c r="AV104" s="1114">
        <f>_xlfn.SUMIFS(Аренда!AU$25:AU$77,Аренда!$F$25:$F$77,$F104,Аренда!$G$25:$G$77,"Арендная и концессионная плата, лизинговые платежи")</f>
        <v>0</v>
      </c>
      <c r="AW104" s="1114">
        <f>_xlfn.SUMIFS(Аренда!AV$25:AV$77,Аренда!$F$25:$F$77,$F104,Аренда!$G$25:$G$77,"Арендная и концессионная плата, лизинговые платежи")</f>
        <v>0</v>
      </c>
      <c r="AX104" s="1114">
        <f>_xlfn.SUMIFS(Аренда!AW$25:AW$77,Аренда!$F$25:$F$77,$F104,Аренда!$G$25:$G$77,"Арендная и концессионная плата, лизинговые платежи")</f>
        <v>0</v>
      </c>
      <c r="AY104" s="1114">
        <f>_xlfn.SUMIFS(Аренда!AX$25:AX$77,Аренда!$F$25:$F$77,$F104,Аренда!$G$25:$G$77,"Арендная и концессионная плата, лизинговые платежи")</f>
        <v>0</v>
      </c>
      <c r="AZ104" s="1114">
        <f>_xlfn.SUMIFS(Аренда!AY$25:AY$77,Аренда!$F$25:$F$77,$F104,Аренда!$G$25:$G$77,"Арендная и концессионная плата, лизинговые платежи")</f>
        <v>0</v>
      </c>
      <c r="BA104" s="1114">
        <f>_xlfn.SUMIFS(Аренда!AZ$25:AZ$77,Аренда!$F$25:$F$77,$F104,Аренда!$G$25:$G$77,"Арендная и концессионная плата, лизинговые платежи")</f>
        <v>0</v>
      </c>
      <c r="BB104" s="1114">
        <f>_xlfn.SUMIFS(Аренда!BA$25:BA$77,Аренда!$F$25:$F$77,$F104,Аренда!$G$25:$G$77,"Арендная и концессионная плата, лизинговые платежи")</f>
        <v>0</v>
      </c>
      <c r="BC104" s="1114">
        <f>_xlfn.SUMIFS(Аренда!BB$25:BB$77,Аренда!$F$25:$F$77,$F104,Аренда!$G$25:$G$77,"Арендная и концессионная плата, лизинговые платежи")</f>
        <v>0</v>
      </c>
      <c r="BD104" s="1114">
        <f>IF(AI104=0,0,(AT104-AI104)/AI104*100)</f>
        <v>0</v>
      </c>
      <c r="BE104" s="1114">
        <f>IF(AT104=0,0,(AU104-AT104)/AT104*100)</f>
        <v>0</v>
      </c>
      <c r="BF104" s="1114">
        <f>IF(AU104=0,0,(AV104-AU104)/AU104*100)</f>
        <v>0</v>
      </c>
      <c r="BG104" s="1114">
        <f>IF(AV104=0,0,(AW104-AV104)/AV104*100)</f>
        <v>0</v>
      </c>
      <c r="BH104" s="1114">
        <f>IF(AW104=0,0,(AX104-AW104)/AW104*100)</f>
        <v>0</v>
      </c>
      <c r="BI104" s="1114">
        <f>IF(AX104=0,0,(AY104-AX104)/AX104*100)</f>
        <v>0</v>
      </c>
      <c r="BJ104" s="1114">
        <f>IF(AY104=0,0,(AZ104-AY104)/AY104*100)</f>
        <v>0</v>
      </c>
      <c r="BK104" s="1114">
        <f>IF(AZ104=0,0,(BA104-AZ104)/AZ104*100)</f>
        <v>0</v>
      </c>
      <c r="BL104" s="1114">
        <f>IF(BA104=0,0,(BB104-BA104)/BA104*100)</f>
        <v>0</v>
      </c>
      <c r="BM104" s="1114">
        <f>IF(BB104=0,0,(BC104-BB104)/BB104*100)</f>
        <v>0</v>
      </c>
      <c r="BN104" s="1238"/>
      <c r="BO104" s="1245" t="str">
        <f>IF(_xlfn.IFERROR(INDEX(Аренда!$K$26:$L$77,MATCH($F104&amp;"komm",Аренда!$K$26:$K$77,0),2),"")=0,"",_xlfn.IFERROR(INDEX(Аренда!$K$26:$L$77,MATCH($F104&amp;"komm",Аренда!$K$26:$K$77,0),2),""))</f>
        <v/>
      </c>
      <c r="BP104" s="1238"/>
      <c r="BQ104" s="1278"/>
      <c r="BR104" s="1278"/>
      <c r="BS104" s="1064" t="s">
        <v>2804</v>
      </c>
      <c r="BT104" s="1064"/>
      <c r="BU104" s="1064"/>
      <c r="BV104" s="979"/>
      <c r="BW104" s="979"/>
    </row>
    <row customHeight="1" ht="14.625" hidden="1">
      <c r="A105" s="1278"/>
      <c r="B105" s="432">
        <f>STATUS_GO="да"</f>
        <v>1</v>
      </c>
      <c r="C105" s="107"/>
      <c r="D105" s="107"/>
      <c r="E105" s="621">
        <v>15</v>
      </c>
      <c r="F105" s="50" cm="1" t="str">
        <f t="array" ref="F105:F105">OFFSET(E105,-1,1)</f>
        <v>0</v>
      </c>
      <c r="G105" s="107"/>
      <c r="H105" s="107"/>
      <c r="I105" s="107" t="s">
        <v>2805</v>
      </c>
      <c r="J105" s="107"/>
      <c r="K105" s="158" t="s">
        <v>2805</v>
      </c>
      <c r="L105" s="980"/>
      <c r="M105" s="107"/>
      <c r="N105" s="107"/>
      <c r="O105" s="107"/>
      <c r="P105" s="107"/>
      <c r="Q105" s="107"/>
      <c r="R105" s="107"/>
      <c r="S105" s="107"/>
      <c r="T105" s="465" cm="1" t="str">
        <f t="array" ref="T105:T105">T104</f>
        <v>false</v>
      </c>
      <c r="U105" s="107"/>
      <c r="V105" s="107"/>
      <c r="W105" s="107"/>
      <c r="X105" s="1596"/>
      <c r="Y105" s="1278"/>
      <c r="Z105" s="1546"/>
      <c r="AA105" s="1278"/>
      <c r="AB105" s="300" t="s">
        <v>2245</v>
      </c>
      <c r="AC105" s="762" t="s">
        <v>2806</v>
      </c>
      <c r="AD105" s="300" t="s">
        <v>1514</v>
      </c>
      <c r="AE105" s="1241" cm="1" t="str">
        <f t="array" ref="AE105:AE105">AE106</f>
        <v>0</v>
      </c>
      <c r="AF105" s="1241" cm="1" t="str">
        <f t="array" ref="AF105:AF105">AF106</f>
        <v>0</v>
      </c>
      <c r="AG105" s="1241" cm="1" t="str">
        <f t="array" ref="AG105:AG105">AG106</f>
        <v>0</v>
      </c>
      <c r="AH105" s="1114">
        <f>AG105-AF105</f>
        <v>0</v>
      </c>
      <c r="AI105" s="1241" cm="1" t="str">
        <f t="array" ref="AI105:AI105">AI106</f>
        <v>0</v>
      </c>
      <c r="AJ105" s="1241" cm="1" t="str">
        <f t="array" ref="AJ105:AJ105">AJ106</f>
        <v>0</v>
      </c>
      <c r="AK105" s="1241" cm="1" t="str">
        <f t="array" ref="AK105:AK105">AK106</f>
        <v>0</v>
      </c>
      <c r="AL105" s="1241" cm="1" t="str">
        <f t="array" ref="AL105:AL105">AL106</f>
        <v>0</v>
      </c>
      <c r="AM105" s="1241" cm="1" t="str">
        <f t="array" ref="AM105:AM105">AM106</f>
        <v>0</v>
      </c>
      <c r="AN105" s="1241" cm="1" t="str">
        <f t="array" ref="AN105:AN105">AN106</f>
        <v>0</v>
      </c>
      <c r="AO105" s="1241" cm="1" t="str">
        <f t="array" ref="AO105:AO105">AO106</f>
        <v>0</v>
      </c>
      <c r="AP105" s="1241" cm="1" t="str">
        <f t="array" ref="AP105:AP105">AP106</f>
        <v>0</v>
      </c>
      <c r="AQ105" s="1241" cm="1" t="str">
        <f t="array" ref="AQ105:AQ105">AQ106</f>
        <v>0</v>
      </c>
      <c r="AR105" s="1241" cm="1" t="str">
        <f t="array" ref="AR105:AR105">AR106</f>
        <v>0</v>
      </c>
      <c r="AS105" s="1241" cm="1" t="str">
        <f t="array" ref="AS105:AS105">AS106</f>
        <v>0</v>
      </c>
      <c r="AT105" s="1241" cm="1" t="str">
        <f t="array" ref="AT105:AT105">AT106</f>
        <v>0</v>
      </c>
      <c r="AU105" s="1241" cm="1" t="str">
        <f t="array" ref="AU105:AU105">AU106</f>
        <v>0</v>
      </c>
      <c r="AV105" s="1241" cm="1" t="str">
        <f t="array" ref="AV105:AV105">AV106</f>
        <v>0</v>
      </c>
      <c r="AW105" s="1241" cm="1" t="str">
        <f t="array" ref="AW105:AW105">AW106</f>
        <v>0</v>
      </c>
      <c r="AX105" s="1241" cm="1" t="str">
        <f t="array" ref="AX105:AX105">AX106</f>
        <v>0</v>
      </c>
      <c r="AY105" s="1241" cm="1" t="str">
        <f t="array" ref="AY105:AY105">AY106</f>
        <v>0</v>
      </c>
      <c r="AZ105" s="1241" cm="1" t="str">
        <f t="array" ref="AZ105:AZ105">AZ106</f>
        <v>0</v>
      </c>
      <c r="BA105" s="1241" cm="1" t="str">
        <f t="array" ref="BA105:BA105">BA106</f>
        <v>0</v>
      </c>
      <c r="BB105" s="1241" cm="1" t="str">
        <f t="array" ref="BB105:BB105">BB106</f>
        <v>0</v>
      </c>
      <c r="BC105" s="1241" cm="1" t="str">
        <f t="array" ref="BC105:BC105">BC106</f>
        <v>0</v>
      </c>
      <c r="BD105" s="1114">
        <f>IF(AI105=0,0,(AT105-AI105)/AI105*100)</f>
        <v>0</v>
      </c>
      <c r="BE105" s="1114">
        <f>IF(AT105=0,0,(AU105-AT105)/AT105*100)</f>
        <v>0</v>
      </c>
      <c r="BF105" s="1114">
        <f>IF(AU105=0,0,(AV105-AU105)/AU105*100)</f>
        <v>0</v>
      </c>
      <c r="BG105" s="1114">
        <f>IF(AV105=0,0,(AW105-AV105)/AV105*100)</f>
        <v>0</v>
      </c>
      <c r="BH105" s="1114">
        <f>IF(AW105=0,0,(AX105-AW105)/AW105*100)</f>
        <v>0</v>
      </c>
      <c r="BI105" s="1114">
        <f>IF(AX105=0,0,(AY105-AX105)/AX105*100)</f>
        <v>0</v>
      </c>
      <c r="BJ105" s="1114">
        <f>IF(AY105=0,0,(AZ105-AY105)/AY105*100)</f>
        <v>0</v>
      </c>
      <c r="BK105" s="1114">
        <f>IF(AZ105=0,0,(BA105-AZ105)/AZ105*100)</f>
        <v>0</v>
      </c>
      <c r="BL105" s="1114">
        <f>IF(BA105=0,0,(BB105-BA105)/BA105*100)</f>
        <v>0</v>
      </c>
      <c r="BM105" s="1114">
        <f>IF(BB105=0,0,(BC105-BB105)/BB105*100)</f>
        <v>0</v>
      </c>
      <c r="BN105" s="1238"/>
      <c r="BO105" s="1238"/>
      <c r="BP105" s="1238"/>
      <c r="BQ105" s="1278"/>
      <c r="BR105" s="1278"/>
      <c r="BS105" s="1064" t="s">
        <v>2807</v>
      </c>
      <c r="BT105" s="1064"/>
      <c r="BU105" s="1064"/>
      <c r="BV105" s="979"/>
      <c r="BW105" s="979"/>
    </row>
    <row customHeight="1" ht="14.625" hidden="1">
      <c r="A106" s="1278"/>
      <c r="B106" s="432">
        <f>STATUS_GO="да"</f>
        <v>1</v>
      </c>
      <c r="C106" s="107"/>
      <c r="D106" s="107"/>
      <c r="E106" s="621">
        <v>15</v>
      </c>
      <c r="F106" s="50" cm="1" t="str">
        <f t="array" ref="F106:F106">OFFSET(E106,-1,1)</f>
        <v>0</v>
      </c>
      <c r="G106" s="107" t="s">
        <v>2187</v>
      </c>
      <c r="H106" s="107"/>
      <c r="I106" s="107" t="s">
        <v>2808</v>
      </c>
      <c r="J106" s="107"/>
      <c r="K106" s="158" t="s">
        <v>2808</v>
      </c>
      <c r="L106" s="980"/>
      <c r="M106" s="107"/>
      <c r="N106" s="107"/>
      <c r="O106" s="107"/>
      <c r="P106" s="107"/>
      <c r="Q106" s="107"/>
      <c r="R106" s="107"/>
      <c r="S106" s="107"/>
      <c r="T106" s="465" cm="1" t="str">
        <f t="array" ref="T106:T106">T105</f>
        <v>false</v>
      </c>
      <c r="U106" s="107"/>
      <c r="V106" s="107"/>
      <c r="W106" s="107"/>
      <c r="X106" s="1596"/>
      <c r="Y106" s="1278"/>
      <c r="Z106" s="1546"/>
      <c r="AA106" s="1278"/>
      <c r="AB106" s="300" t="s">
        <v>2809</v>
      </c>
      <c r="AC106" s="765" t="s">
        <v>2187</v>
      </c>
      <c r="AD106" s="300" t="s">
        <v>1514</v>
      </c>
      <c r="AE106" s="1114">
        <f>_xlfn.SUMIFS('Сбытовые расходы ГО'!AE$25:AE$87,'Сбытовые расходы ГО'!$F$25:$F$87,$F106,'Сбытовые расходы ГО'!$G$25:$G$87,"l1")</f>
        <v>0</v>
      </c>
      <c r="AF106" s="1114">
        <f>_xlfn.SUMIFS('Сбытовые расходы ГО'!AF$25:AF$87,'Сбытовые расходы ГО'!$F$25:$F$87,$F106,'Сбытовые расходы ГО'!$G$25:$G$87,"l1")</f>
        <v>0</v>
      </c>
      <c r="AG106" s="1114">
        <f>_xlfn.SUMIFS('Сбытовые расходы ГО'!AG$25:AG$87,'Сбытовые расходы ГО'!$F$25:$F$87,$F106,'Сбытовые расходы ГО'!$G$25:$G$87,"l1")</f>
        <v>0</v>
      </c>
      <c r="AH106" s="1114">
        <f>AG106-AF106</f>
        <v>0</v>
      </c>
      <c r="AI106" s="1114">
        <f>_xlfn.SUMIFS('Сбытовые расходы ГО'!AH$25:AH$87,'Сбытовые расходы ГО'!$F$25:$F$87,$F106,'Сбытовые расходы ГО'!$G$25:$G$87,"l1")</f>
        <v>0</v>
      </c>
      <c r="AJ106" s="1114">
        <f>_xlfn.SUMIFS('Сбытовые расходы ГО'!AI$25:AI$87,'Сбытовые расходы ГО'!$F$25:$F$87,$F106,'Сбытовые расходы ГО'!$G$25:$G$87,"l1")</f>
        <v>0</v>
      </c>
      <c r="AK106" s="1241"/>
      <c r="AL106" s="1241"/>
      <c r="AM106" s="1241"/>
      <c r="AN106" s="1241"/>
      <c r="AO106" s="1241"/>
      <c r="AP106" s="1241"/>
      <c r="AQ106" s="1241"/>
      <c r="AR106" s="1241"/>
      <c r="AS106" s="1241"/>
      <c r="AT106" s="1114">
        <f>_xlfn.SUMIFS('Сбытовые расходы ГО'!AJ$25:AJ$87,'Сбытовые расходы ГО'!$F$25:$F$87,$F106,'Сбытовые расходы ГО'!$G$25:$G$87,"l1")</f>
        <v>0</v>
      </c>
      <c r="AU106" s="1241"/>
      <c r="AV106" s="1241"/>
      <c r="AW106" s="1241"/>
      <c r="AX106" s="1241"/>
      <c r="AY106" s="1241"/>
      <c r="AZ106" s="1241"/>
      <c r="BA106" s="1241"/>
      <c r="BB106" s="1241"/>
      <c r="BC106" s="1241"/>
      <c r="BD106" s="1114">
        <f>IF(AI106=0,0,(AT106-AI106)/AI106*100)</f>
        <v>0</v>
      </c>
      <c r="BE106" s="1114">
        <f>IF(AT106=0,0,(AU106-AT106)/AT106*100)</f>
        <v>0</v>
      </c>
      <c r="BF106" s="1114">
        <f>IF(AU106=0,0,(AV106-AU106)/AU106*100)</f>
        <v>0</v>
      </c>
      <c r="BG106" s="1114">
        <f>IF(AV106=0,0,(AW106-AV106)/AV106*100)</f>
        <v>0</v>
      </c>
      <c r="BH106" s="1114">
        <f>IF(AW106=0,0,(AX106-AW106)/AW106*100)</f>
        <v>0</v>
      </c>
      <c r="BI106" s="1114">
        <f>IF(AX106=0,0,(AY106-AX106)/AX106*100)</f>
        <v>0</v>
      </c>
      <c r="BJ106" s="1114">
        <f>IF(AY106=0,0,(AZ106-AY106)/AY106*100)</f>
        <v>0</v>
      </c>
      <c r="BK106" s="1114">
        <f>IF(AZ106=0,0,(BA106-AZ106)/AZ106*100)</f>
        <v>0</v>
      </c>
      <c r="BL106" s="1114">
        <f>IF(BA106=0,0,(BB106-BA106)/BA106*100)</f>
        <v>0</v>
      </c>
      <c r="BM106" s="1114">
        <f>IF(BB106=0,0,(BC106-BB106)/BB106*100)</f>
        <v>0</v>
      </c>
      <c r="BN106" s="1238"/>
      <c r="BO106" s="1245" t="str">
        <f>IF(_xlfn.IFERROR(INDEX('Сбытовые расходы ГО'!$K$26:$M$87,MATCH($F106&amp;"komm",'Сбытовые расходы ГО'!$K$26:$K$87,0),2),"")=0,"",_xlfn.IFERROR(INDEX('Сбытовые расходы ГО'!$K$26:$M$87,MATCH($F106&amp;"komm",'Сбытовые расходы ГО'!$K$26:$K$87,0),2),""))</f>
        <v/>
      </c>
      <c r="BP106" s="1238"/>
      <c r="BQ106" s="1278"/>
      <c r="BR106" s="1278"/>
      <c r="BS106" s="1064" t="s">
        <v>2810</v>
      </c>
      <c r="BT106" s="1064"/>
      <c r="BU106" s="1064"/>
      <c r="BV106" s="979"/>
      <c r="BW106" s="979"/>
    </row>
    <row customHeight="1" ht="14.625" hidden="1">
      <c r="A107" s="1278"/>
      <c r="B107" s="978"/>
      <c r="C107" s="107"/>
      <c r="D107" s="107"/>
      <c r="E107" s="621">
        <v>15</v>
      </c>
      <c r="F107" s="50" cm="1" t="str">
        <f t="array" ref="F107:F107">OFFSET(E107,-1,1)</f>
        <v>0</v>
      </c>
      <c r="G107" s="107" t="s">
        <v>2192</v>
      </c>
      <c r="H107" s="107"/>
      <c r="I107" s="107" t="s">
        <v>2811</v>
      </c>
      <c r="J107" s="107"/>
      <c r="K107" s="158" t="s">
        <v>2811</v>
      </c>
      <c r="L107" s="980"/>
      <c r="M107" s="107"/>
      <c r="N107" s="107"/>
      <c r="O107" s="107"/>
      <c r="P107" s="107"/>
      <c r="Q107" s="107"/>
      <c r="R107" s="107"/>
      <c r="S107" s="107"/>
      <c r="T107" s="465" cm="1" t="str">
        <f t="array" ref="T107:T107">T106</f>
        <v>false</v>
      </c>
      <c r="U107" s="107"/>
      <c r="V107" s="107"/>
      <c r="W107" s="107"/>
      <c r="X107" s="1596"/>
      <c r="Y107" s="1278"/>
      <c r="Z107" s="1546"/>
      <c r="AA107" s="1278"/>
      <c r="AB107" s="300" t="s">
        <v>2250</v>
      </c>
      <c r="AC107" s="762" t="s">
        <v>2192</v>
      </c>
      <c r="AD107" s="300" t="s">
        <v>1514</v>
      </c>
      <c r="AE107" s="1241"/>
      <c r="AF107" s="1241"/>
      <c r="AG107" s="1241"/>
      <c r="AH107" s="1114">
        <f>AG107-AF107</f>
        <v>0</v>
      </c>
      <c r="AI107" s="1241"/>
      <c r="AJ107" s="1241">
        <f>_xlfn.SUMIFS(Экономия_корр!AE$25:AE$67,Экономия_корр!$F$25:$F$67,$F107,Экономия_корр!$AC$25:$AC$67,"Экономия расходов с учетом ИПЦ")</f>
        <v>0</v>
      </c>
      <c r="AK107" s="1241">
        <f>_xlfn.SUMIFS(Экономия_корр!AF$25:AF$67,Экономия_корр!$F$25:$F$67,$F107,Экономия_корр!$AC$25:$AC$67,"Экономия расходов с учетом ИПЦ")</f>
        <v>0</v>
      </c>
      <c r="AL107" s="1241">
        <f>_xlfn.SUMIFS(Экономия_корр!AG$25:AG$67,Экономия_корр!$F$25:$F$67,$F107,Экономия_корр!$AC$25:$AC$67,"Экономия расходов с учетом ИПЦ")</f>
        <v>0</v>
      </c>
      <c r="AM107" s="1241">
        <f>_xlfn.SUMIFS(Экономия_корр!AH$25:AH$67,Экономия_корр!$F$25:$F$67,$F107,Экономия_корр!$AC$25:$AC$67,"Экономия расходов с учетом ИПЦ")</f>
        <v>0</v>
      </c>
      <c r="AN107" s="1241">
        <f>_xlfn.SUMIFS(Экономия_корр!AI$25:AI$67,Экономия_корр!$F$25:$F$67,$F107,Экономия_корр!$AC$25:$AC$67,"Экономия расходов с учетом ИПЦ")</f>
        <v>0</v>
      </c>
      <c r="AO107" s="1241">
        <f>_xlfn.SUMIFS(Экономия_корр!AJ$25:AJ$67,Экономия_корр!$F$25:$F$67,$F107,Экономия_корр!$AC$25:$AC$67,"Экономия расходов с учетом ИПЦ")</f>
        <v>0</v>
      </c>
      <c r="AP107" s="1241">
        <f>_xlfn.SUMIFS(Экономия_корр!AK$25:AK$67,Экономия_корр!$F$25:$F$67,$F107,Экономия_корр!$AC$25:$AC$67,"Экономия расходов с учетом ИПЦ")</f>
        <v>0</v>
      </c>
      <c r="AQ107" s="1241">
        <f>_xlfn.SUMIFS(Экономия_корр!AL$25:AL$67,Экономия_корр!$F$25:$F$67,$F107,Экономия_корр!$AC$25:$AC$67,"Экономия расходов с учетом ИПЦ")</f>
        <v>0</v>
      </c>
      <c r="AR107" s="1241">
        <f>_xlfn.SUMIFS(Экономия_корр!AM$25:AM$67,Экономия_корр!$F$25:$F$67,$F107,Экономия_корр!$AC$25:$AC$67,"Экономия расходов с учетом ИПЦ")</f>
        <v>0</v>
      </c>
      <c r="AS107" s="1241">
        <f>_xlfn.SUMIFS(Экономия_корр!AN$25:AN$67,Экономия_корр!$F$25:$F$67,$F107,Экономия_корр!$AC$25:$AC$67,"Экономия расходов с учетом ИПЦ")</f>
        <v>0</v>
      </c>
      <c r="AT107" s="1241">
        <f>_xlfn.SUMIFS(Экономия_корр!AO$25:AO$67,Экономия_корр!$F$25:$F$67,$F107,Экономия_корр!$AC$25:$AC$67,"Экономия расходов с учетом ИПЦ")</f>
        <v>0</v>
      </c>
      <c r="AU107" s="1241">
        <f>_xlfn.SUMIFS(Экономия_корр!AP$25:AP$67,Экономия_корр!$F$25:$F$67,$F107,Экономия_корр!$AC$25:$AC$67,"Экономия расходов с учетом ИПЦ")</f>
        <v>0</v>
      </c>
      <c r="AV107" s="1241">
        <f>_xlfn.SUMIFS(Экономия_корр!AQ$25:AQ$67,Экономия_корр!$F$25:$F$67,$F107,Экономия_корр!$AC$25:$AC$67,"Экономия расходов с учетом ИПЦ")</f>
        <v>0</v>
      </c>
      <c r="AW107" s="1241">
        <f>_xlfn.SUMIFS(Экономия_корр!AR$25:AR$67,Экономия_корр!$F$25:$F$67,$F107,Экономия_корр!$AC$25:$AC$67,"Экономия расходов с учетом ИПЦ")</f>
        <v>0</v>
      </c>
      <c r="AX107" s="1241">
        <f>_xlfn.SUMIFS(Экономия_корр!AS$25:AS$67,Экономия_корр!$F$25:$F$67,$F107,Экономия_корр!$AC$25:$AC$67,"Экономия расходов с учетом ИПЦ")</f>
        <v>0</v>
      </c>
      <c r="AY107" s="1241">
        <f>_xlfn.SUMIFS(Экономия_корр!AT$25:AT$67,Экономия_корр!$F$25:$F$67,$F107,Экономия_корр!$AC$25:$AC$67,"Экономия расходов с учетом ИПЦ")</f>
        <v>0</v>
      </c>
      <c r="AZ107" s="1241">
        <f>_xlfn.SUMIFS(Экономия_корр!AU$25:AU$67,Экономия_корр!$F$25:$F$67,$F107,Экономия_корр!$AC$25:$AC$67,"Экономия расходов с учетом ИПЦ")</f>
        <v>0</v>
      </c>
      <c r="BA107" s="1241">
        <f>_xlfn.SUMIFS(Экономия_корр!AV$25:AV$67,Экономия_корр!$F$25:$F$67,$F107,Экономия_корр!$AC$25:$AC$67,"Экономия расходов с учетом ИПЦ")</f>
        <v>0</v>
      </c>
      <c r="BB107" s="1241">
        <f>_xlfn.SUMIFS(Экономия_корр!AW$25:AW$67,Экономия_корр!$F$25:$F$67,$F107,Экономия_корр!$AC$25:$AC$67,"Экономия расходов с учетом ИПЦ")</f>
        <v>0</v>
      </c>
      <c r="BC107" s="1241">
        <f>_xlfn.SUMIFS(Экономия_корр!AX$25:AX$67,Экономия_корр!$F$25:$F$67,$F107,Экономия_корр!$AC$25:$AC$67,"Экономия расходов с учетом ИПЦ")</f>
        <v>0</v>
      </c>
      <c r="BD107" s="1114">
        <f>IF(AI107=0,0,(AT107-AI107)/AI107*100)</f>
        <v>0</v>
      </c>
      <c r="BE107" s="1114">
        <f>IF(AT107=0,0,(AU107-AT107)/AT107*100)</f>
        <v>0</v>
      </c>
      <c r="BF107" s="1114">
        <f>IF(AU107=0,0,(AV107-AU107)/AU107*100)</f>
        <v>0</v>
      </c>
      <c r="BG107" s="1114">
        <f>IF(AV107=0,0,(AW107-AV107)/AV107*100)</f>
        <v>0</v>
      </c>
      <c r="BH107" s="1114">
        <f>IF(AW107=0,0,(AX107-AW107)/AW107*100)</f>
        <v>0</v>
      </c>
      <c r="BI107" s="1114">
        <f>IF(AX107=0,0,(AY107-AX107)/AX107*100)</f>
        <v>0</v>
      </c>
      <c r="BJ107" s="1114">
        <f>IF(AY107=0,0,(AZ107-AY107)/AY107*100)</f>
        <v>0</v>
      </c>
      <c r="BK107" s="1114">
        <f>IF(AZ107=0,0,(BA107-AZ107)/AZ107*100)</f>
        <v>0</v>
      </c>
      <c r="BL107" s="1114">
        <f>IF(BA107=0,0,(BB107-BA107)/BA107*100)</f>
        <v>0</v>
      </c>
      <c r="BM107" s="1114">
        <f>IF(BB107=0,0,(BC107-BB107)/BB107*100)</f>
        <v>0</v>
      </c>
      <c r="BN107" s="1238"/>
      <c r="BO107" s="1238"/>
      <c r="BP107" s="1238"/>
      <c r="BQ107" s="1278"/>
      <c r="BR107" s="1278"/>
      <c r="BS107" s="1064" t="s">
        <v>2812</v>
      </c>
      <c r="BT107" s="1064"/>
      <c r="BU107" s="1064"/>
      <c r="BV107" s="979"/>
      <c r="BW107" s="979"/>
    </row>
    <row customHeight="1" ht="14.625" hidden="1">
      <c r="A108" s="1278"/>
      <c r="B108" s="978"/>
      <c r="C108" s="107"/>
      <c r="D108" s="107"/>
      <c r="E108" s="621">
        <v>15</v>
      </c>
      <c r="F108" s="50" cm="1" t="str">
        <f t="array" ref="F108:F108">OFFSET(E108,-1,1)</f>
        <v>0</v>
      </c>
      <c r="G108" s="107" t="s">
        <v>2197</v>
      </c>
      <c r="H108" s="107"/>
      <c r="I108" s="107" t="s">
        <v>2813</v>
      </c>
      <c r="J108" s="107"/>
      <c r="K108" s="158" t="s">
        <v>2813</v>
      </c>
      <c r="L108" s="980"/>
      <c r="M108" s="107"/>
      <c r="N108" s="107"/>
      <c r="O108" s="107"/>
      <c r="P108" s="107"/>
      <c r="Q108" s="107"/>
      <c r="R108" s="107"/>
      <c r="S108" s="107"/>
      <c r="T108" s="465" cm="1" t="str">
        <f t="array" ref="T108:T108">T107</f>
        <v>false</v>
      </c>
      <c r="U108" s="107"/>
      <c r="V108" s="107"/>
      <c r="W108" s="107"/>
      <c r="X108" s="1596"/>
      <c r="Y108" s="1278"/>
      <c r="Z108" s="1546"/>
      <c r="AA108" s="1278"/>
      <c r="AB108" s="300" t="s">
        <v>2814</v>
      </c>
      <c r="AC108" s="762" t="s">
        <v>2197</v>
      </c>
      <c r="AD108" s="300" t="s">
        <v>1514</v>
      </c>
      <c r="AE108" s="1241"/>
      <c r="AF108" s="1241"/>
      <c r="AG108" s="1241"/>
      <c r="AH108" s="1114">
        <f>AG108-AF108</f>
        <v>0</v>
      </c>
      <c r="AI108" s="1241"/>
      <c r="AJ108" s="1241"/>
      <c r="AK108" s="1241"/>
      <c r="AL108" s="1241"/>
      <c r="AM108" s="1241"/>
      <c r="AN108" s="1241"/>
      <c r="AO108" s="1241"/>
      <c r="AP108" s="1241"/>
      <c r="AQ108" s="1241"/>
      <c r="AR108" s="1241"/>
      <c r="AS108" s="1241"/>
      <c r="AT108" s="1241"/>
      <c r="AU108" s="1241"/>
      <c r="AV108" s="1241"/>
      <c r="AW108" s="1241"/>
      <c r="AX108" s="1241"/>
      <c r="AY108" s="1241"/>
      <c r="AZ108" s="1241"/>
      <c r="BA108" s="1241"/>
      <c r="BB108" s="1241"/>
      <c r="BC108" s="1241"/>
      <c r="BD108" s="1114">
        <f>IF(AI108=0,0,(AT108-AI108)/AI108*100)</f>
        <v>0</v>
      </c>
      <c r="BE108" s="1114">
        <f>IF(AT108=0,0,(AU108-AT108)/AT108*100)</f>
        <v>0</v>
      </c>
      <c r="BF108" s="1114">
        <f>IF(AU108=0,0,(AV108-AU108)/AU108*100)</f>
        <v>0</v>
      </c>
      <c r="BG108" s="1114">
        <f>IF(AV108=0,0,(AW108-AV108)/AV108*100)</f>
        <v>0</v>
      </c>
      <c r="BH108" s="1114">
        <f>IF(AW108=0,0,(AX108-AW108)/AW108*100)</f>
        <v>0</v>
      </c>
      <c r="BI108" s="1114">
        <f>IF(AX108=0,0,(AY108-AX108)/AX108*100)</f>
        <v>0</v>
      </c>
      <c r="BJ108" s="1114">
        <f>IF(AY108=0,0,(AZ108-AY108)/AY108*100)</f>
        <v>0</v>
      </c>
      <c r="BK108" s="1114">
        <f>IF(AZ108=0,0,(BA108-AZ108)/AZ108*100)</f>
        <v>0</v>
      </c>
      <c r="BL108" s="1114">
        <f>IF(BA108=0,0,(BB108-BA108)/BA108*100)</f>
        <v>0</v>
      </c>
      <c r="BM108" s="1114">
        <f>IF(BB108=0,0,(BC108-BB108)/BB108*100)</f>
        <v>0</v>
      </c>
      <c r="BN108" s="1238"/>
      <c r="BO108" s="1238"/>
      <c r="BP108" s="1238"/>
      <c r="BQ108" s="1278"/>
      <c r="BR108" s="1278"/>
      <c r="BS108" s="1064" t="s">
        <v>2551</v>
      </c>
      <c r="BT108" s="1064"/>
      <c r="BU108" s="1064"/>
      <c r="BV108" s="979"/>
      <c r="BW108" s="979"/>
    </row>
    <row customHeight="1" ht="14.625" hidden="1">
      <c r="A109" s="1278"/>
      <c r="B109" s="978"/>
      <c r="C109" s="107"/>
      <c r="D109" s="107"/>
      <c r="E109" s="621">
        <v>15</v>
      </c>
      <c r="F109" s="50" cm="1" t="str">
        <f t="array" ref="F109:F109">OFFSET(E109,-1,1)</f>
        <v>0</v>
      </c>
      <c r="G109" s="107" t="s">
        <v>2202</v>
      </c>
      <c r="H109" s="107"/>
      <c r="I109" s="107" t="s">
        <v>2815</v>
      </c>
      <c r="J109" s="107"/>
      <c r="K109" s="158" t="s">
        <v>2815</v>
      </c>
      <c r="L109" s="980"/>
      <c r="M109" s="107"/>
      <c r="N109" s="107"/>
      <c r="O109" s="107"/>
      <c r="P109" s="107"/>
      <c r="Q109" s="107"/>
      <c r="R109" s="107"/>
      <c r="S109" s="107"/>
      <c r="T109" s="465" cm="1" t="str">
        <f t="array" ref="T109:T109">T108</f>
        <v>false</v>
      </c>
      <c r="U109" s="107"/>
      <c r="V109" s="107"/>
      <c r="W109" s="107"/>
      <c r="X109" s="1596"/>
      <c r="Y109" s="1278"/>
      <c r="Z109" s="1546"/>
      <c r="AA109" s="1278"/>
      <c r="AB109" s="300" t="s">
        <v>2269</v>
      </c>
      <c r="AC109" s="762" t="s">
        <v>2202</v>
      </c>
      <c r="AD109" s="300" t="s">
        <v>1514</v>
      </c>
      <c r="AE109" s="1241"/>
      <c r="AF109" s="1241"/>
      <c r="AG109" s="1241"/>
      <c r="AH109" s="1114">
        <f>AG109-AF109</f>
        <v>0</v>
      </c>
      <c r="AI109" s="1241"/>
      <c r="AJ109" s="1241"/>
      <c r="AK109" s="1241"/>
      <c r="AL109" s="1241"/>
      <c r="AM109" s="1241"/>
      <c r="AN109" s="1241"/>
      <c r="AO109" s="1241"/>
      <c r="AP109" s="1241"/>
      <c r="AQ109" s="1241"/>
      <c r="AR109" s="1241"/>
      <c r="AS109" s="1241"/>
      <c r="AT109" s="1241"/>
      <c r="AU109" s="1241"/>
      <c r="AV109" s="1241"/>
      <c r="AW109" s="1241"/>
      <c r="AX109" s="1241"/>
      <c r="AY109" s="1241"/>
      <c r="AZ109" s="1241"/>
      <c r="BA109" s="1241"/>
      <c r="BB109" s="1241"/>
      <c r="BC109" s="1241"/>
      <c r="BD109" s="1114">
        <f>IF(AI109=0,0,(AT109-AI109)/AI109*100)</f>
        <v>0</v>
      </c>
      <c r="BE109" s="1114">
        <f>IF(AT109=0,0,(AU109-AT109)/AT109*100)</f>
        <v>0</v>
      </c>
      <c r="BF109" s="1114">
        <f>IF(AU109=0,0,(AV109-AU109)/AU109*100)</f>
        <v>0</v>
      </c>
      <c r="BG109" s="1114">
        <f>IF(AV109=0,0,(AW109-AV109)/AV109*100)</f>
        <v>0</v>
      </c>
      <c r="BH109" s="1114">
        <f>IF(AW109=0,0,(AX109-AW109)/AW109*100)</f>
        <v>0</v>
      </c>
      <c r="BI109" s="1114">
        <f>IF(AX109=0,0,(AY109-AX109)/AX109*100)</f>
        <v>0</v>
      </c>
      <c r="BJ109" s="1114">
        <f>IF(AY109=0,0,(AZ109-AY109)/AY109*100)</f>
        <v>0</v>
      </c>
      <c r="BK109" s="1114">
        <f>IF(AZ109=0,0,(BA109-AZ109)/AZ109*100)</f>
        <v>0</v>
      </c>
      <c r="BL109" s="1114">
        <f>IF(BA109=0,0,(BB109-BA109)/BA109*100)</f>
        <v>0</v>
      </c>
      <c r="BM109" s="1114">
        <f>IF(BB109=0,0,(BC109-BB109)/BB109*100)</f>
        <v>0</v>
      </c>
      <c r="BN109" s="1238"/>
      <c r="BO109" s="1238"/>
      <c r="BP109" s="1238"/>
      <c r="BQ109" s="1278"/>
      <c r="BR109" s="1278"/>
      <c r="BS109" s="1064" t="s">
        <v>2816</v>
      </c>
      <c r="BT109" s="1064"/>
      <c r="BU109" s="1064"/>
      <c r="BV109" s="979"/>
      <c r="BW109" s="979"/>
    </row>
    <row customHeight="1" ht="14.625" hidden="1">
      <c r="A110" s="1278"/>
      <c r="B110" s="978"/>
      <c r="C110" s="107"/>
      <c r="D110" s="107"/>
      <c r="E110" s="621">
        <v>15</v>
      </c>
      <c r="F110" s="50" cm="1" t="str">
        <f t="array" ref="F110:F110">OFFSET(E110,-1,1)</f>
        <v>0</v>
      </c>
      <c r="G110" s="107" t="s">
        <v>2207</v>
      </c>
      <c r="H110" s="107"/>
      <c r="I110" s="107" t="s">
        <v>2817</v>
      </c>
      <c r="J110" s="107"/>
      <c r="K110" s="158" t="s">
        <v>2817</v>
      </c>
      <c r="L110" s="980"/>
      <c r="M110" s="107"/>
      <c r="N110" s="107"/>
      <c r="O110" s="107"/>
      <c r="P110" s="107"/>
      <c r="Q110" s="107"/>
      <c r="R110" s="107"/>
      <c r="S110" s="107"/>
      <c r="T110" s="465" cm="1" t="str">
        <f t="array" ref="T110:T110">T109</f>
        <v>false</v>
      </c>
      <c r="U110" s="107"/>
      <c r="V110" s="107"/>
      <c r="W110" s="107"/>
      <c r="X110" s="1596"/>
      <c r="Y110" s="1278"/>
      <c r="Z110" s="1546"/>
      <c r="AA110" s="1278"/>
      <c r="AB110" s="300" t="s">
        <v>2273</v>
      </c>
      <c r="AC110" s="762" t="s">
        <v>2207</v>
      </c>
      <c r="AD110" s="300" t="s">
        <v>1514</v>
      </c>
      <c r="AE110" s="1116">
        <f>SUM(AE111,AE112)</f>
        <v>0</v>
      </c>
      <c r="AF110" s="1114">
        <f>SUM(AF111,AF112)</f>
        <v>0</v>
      </c>
      <c r="AG110" s="1114">
        <f>SUM(AG111,AG112)</f>
        <v>0</v>
      </c>
      <c r="AH110" s="1114">
        <f>AG110-AF110</f>
        <v>0</v>
      </c>
      <c r="AI110" s="1114">
        <f>SUM(AI111,AI112)</f>
        <v>0</v>
      </c>
      <c r="AJ110" s="1116">
        <f>SUM(AJ111,AJ112)</f>
        <v>0</v>
      </c>
      <c r="AK110" s="1114">
        <f>SUM(AK111,AK112)</f>
        <v>0</v>
      </c>
      <c r="AL110" s="1114">
        <f>SUM(AL111,AL112)</f>
        <v>0</v>
      </c>
      <c r="AM110" s="1114">
        <f>SUM(AM111,AM112)</f>
        <v>0</v>
      </c>
      <c r="AN110" s="1114">
        <f>SUM(AN111,AN112)</f>
        <v>0</v>
      </c>
      <c r="AO110" s="1114">
        <f>SUM(AO111,AO112)</f>
        <v>0</v>
      </c>
      <c r="AP110" s="1114">
        <f>SUM(AP111,AP112)</f>
        <v>0</v>
      </c>
      <c r="AQ110" s="1114">
        <f>SUM(AQ111,AQ112)</f>
        <v>0</v>
      </c>
      <c r="AR110" s="1114">
        <f>SUM(AR111,AR112)</f>
        <v>0</v>
      </c>
      <c r="AS110" s="1114">
        <f>SUM(AS111,AS112)</f>
        <v>0</v>
      </c>
      <c r="AT110" s="1116">
        <f>SUM(AT111,AT112)</f>
        <v>0</v>
      </c>
      <c r="AU110" s="1114">
        <f>SUM(AU111,AU112)</f>
        <v>0</v>
      </c>
      <c r="AV110" s="1114">
        <f>SUM(AV111,AV112)</f>
        <v>0</v>
      </c>
      <c r="AW110" s="1114">
        <f>SUM(AW111,AW112)</f>
        <v>0</v>
      </c>
      <c r="AX110" s="1114">
        <f>SUM(AX111,AX112)</f>
        <v>0</v>
      </c>
      <c r="AY110" s="1114">
        <f>SUM(AY111,AY112)</f>
        <v>0</v>
      </c>
      <c r="AZ110" s="1114">
        <f>SUM(AZ111,AZ112)</f>
        <v>0</v>
      </c>
      <c r="BA110" s="1114">
        <f>SUM(BA111,BA112)</f>
        <v>0</v>
      </c>
      <c r="BB110" s="1114">
        <f>SUM(BB111,BB112)</f>
        <v>0</v>
      </c>
      <c r="BC110" s="1114">
        <f>SUM(BC111,BC112)</f>
        <v>0</v>
      </c>
      <c r="BD110" s="1114">
        <f>IF(AI110=0,0,(AT110-AI110)/AI110*100)</f>
        <v>0</v>
      </c>
      <c r="BE110" s="1114">
        <f>IF(AT110=0,0,(AU110-AT110)/AT110*100)</f>
        <v>0</v>
      </c>
      <c r="BF110" s="1114">
        <f>IF(AU110=0,0,(AV110-AU110)/AU110*100)</f>
        <v>0</v>
      </c>
      <c r="BG110" s="1114">
        <f>IF(AV110=0,0,(AW110-AV110)/AV110*100)</f>
        <v>0</v>
      </c>
      <c r="BH110" s="1114">
        <f>IF(AW110=0,0,(AX110-AW110)/AW110*100)</f>
        <v>0</v>
      </c>
      <c r="BI110" s="1114">
        <f>IF(AX110=0,0,(AY110-AX110)/AX110*100)</f>
        <v>0</v>
      </c>
      <c r="BJ110" s="1114">
        <f>IF(AY110=0,0,(AZ110-AY110)/AY110*100)</f>
        <v>0</v>
      </c>
      <c r="BK110" s="1114">
        <f>IF(AZ110=0,0,(BA110-AZ110)/AZ110*100)</f>
        <v>0</v>
      </c>
      <c r="BL110" s="1114">
        <f>IF(BA110=0,0,(BB110-BA110)/BA110*100)</f>
        <v>0</v>
      </c>
      <c r="BM110" s="1114">
        <f>IF(BB110=0,0,(BC110-BB110)/BB110*100)</f>
        <v>0</v>
      </c>
      <c r="BN110" s="1238"/>
      <c r="BO110" s="1238"/>
      <c r="BP110" s="1238"/>
      <c r="BQ110" s="1278"/>
      <c r="BR110" s="1278"/>
      <c r="BS110" s="1064" t="s">
        <v>2818</v>
      </c>
      <c r="BT110" s="1064"/>
      <c r="BU110" s="1064"/>
      <c r="BV110" s="979"/>
      <c r="BW110" s="979"/>
    </row>
    <row customHeight="1" ht="14.625" hidden="1">
      <c r="A111" s="1278"/>
      <c r="B111" s="978"/>
      <c r="C111" s="107"/>
      <c r="D111" s="107"/>
      <c r="E111" s="621">
        <v>15</v>
      </c>
      <c r="F111" s="50" cm="1" t="str">
        <f t="array" ref="F111:F111">OFFSET(E111,-1,1)</f>
        <v>0</v>
      </c>
      <c r="G111" s="107"/>
      <c r="H111" s="107"/>
      <c r="I111" s="107" t="s">
        <v>2819</v>
      </c>
      <c r="J111" s="107"/>
      <c r="K111" s="158" t="s">
        <v>2819</v>
      </c>
      <c r="L111" s="980"/>
      <c r="M111" s="107"/>
      <c r="N111" s="107"/>
      <c r="O111" s="107"/>
      <c r="P111" s="107"/>
      <c r="Q111" s="107"/>
      <c r="R111" s="107"/>
      <c r="S111" s="107"/>
      <c r="T111" s="465" cm="1" t="str">
        <f t="array" ref="T111:T111">T110</f>
        <v>false</v>
      </c>
      <c r="U111" s="107"/>
      <c r="V111" s="107"/>
      <c r="W111" s="107"/>
      <c r="X111" s="1596"/>
      <c r="Y111" s="1278"/>
      <c r="Z111" s="1546"/>
      <c r="AA111" s="1278"/>
      <c r="AB111" s="300" t="s">
        <v>2820</v>
      </c>
      <c r="AC111" s="765" t="s">
        <v>2821</v>
      </c>
      <c r="AD111" s="300" t="s">
        <v>1514</v>
      </c>
      <c r="AE111" s="1241"/>
      <c r="AF111" s="1241"/>
      <c r="AG111" s="1241"/>
      <c r="AH111" s="1114">
        <f>AG111-AF111</f>
        <v>0</v>
      </c>
      <c r="AI111" s="1241"/>
      <c r="AJ111" s="1241"/>
      <c r="AK111" s="1241"/>
      <c r="AL111" s="1241"/>
      <c r="AM111" s="1241"/>
      <c r="AN111" s="1241"/>
      <c r="AO111" s="1241"/>
      <c r="AP111" s="1241"/>
      <c r="AQ111" s="1241"/>
      <c r="AR111" s="1241"/>
      <c r="AS111" s="1241"/>
      <c r="AT111" s="1241"/>
      <c r="AU111" s="1241"/>
      <c r="AV111" s="1241"/>
      <c r="AW111" s="1241"/>
      <c r="AX111" s="1241"/>
      <c r="AY111" s="1241"/>
      <c r="AZ111" s="1241"/>
      <c r="BA111" s="1241"/>
      <c r="BB111" s="1241"/>
      <c r="BC111" s="1241"/>
      <c r="BD111" s="1114">
        <f>IF(AI111=0,0,(AT111-AI111)/AI111*100)</f>
        <v>0</v>
      </c>
      <c r="BE111" s="1114">
        <f>IF(AT111=0,0,(AU111-AT111)/AT111*100)</f>
        <v>0</v>
      </c>
      <c r="BF111" s="1114">
        <f>IF(AU111=0,0,(AV111-AU111)/AU111*100)</f>
        <v>0</v>
      </c>
      <c r="BG111" s="1114">
        <f>IF(AV111=0,0,(AW111-AV111)/AV111*100)</f>
        <v>0</v>
      </c>
      <c r="BH111" s="1114">
        <f>IF(AW111=0,0,(AX111-AW111)/AW111*100)</f>
        <v>0</v>
      </c>
      <c r="BI111" s="1114">
        <f>IF(AX111=0,0,(AY111-AX111)/AX111*100)</f>
        <v>0</v>
      </c>
      <c r="BJ111" s="1114">
        <f>IF(AY111=0,0,(AZ111-AY111)/AY111*100)</f>
        <v>0</v>
      </c>
      <c r="BK111" s="1114">
        <f>IF(AZ111=0,0,(BA111-AZ111)/AZ111*100)</f>
        <v>0</v>
      </c>
      <c r="BL111" s="1114">
        <f>IF(BA111=0,0,(BB111-BA111)/BA111*100)</f>
        <v>0</v>
      </c>
      <c r="BM111" s="1114">
        <f>IF(BB111=0,0,(BC111-BB111)/BB111*100)</f>
        <v>0</v>
      </c>
      <c r="BN111" s="1238"/>
      <c r="BO111" s="1238"/>
      <c r="BP111" s="1238"/>
      <c r="BQ111" s="1278"/>
      <c r="BR111" s="1278"/>
      <c r="BS111" s="1064" t="s">
        <v>1991</v>
      </c>
      <c r="BT111" s="1064"/>
      <c r="BU111" s="1064"/>
      <c r="BV111" s="979"/>
      <c r="BW111" s="979"/>
    </row>
    <row customHeight="1" ht="14.625" hidden="1">
      <c r="A112" s="1278"/>
      <c r="B112" s="978"/>
      <c r="C112" s="107"/>
      <c r="D112" s="107"/>
      <c r="E112" s="621">
        <v>15</v>
      </c>
      <c r="F112" s="50" cm="1" t="str">
        <f t="array" ref="F112:F112">OFFSET(E112,-1,1)</f>
        <v>0</v>
      </c>
      <c r="G112" s="107"/>
      <c r="H112" s="107"/>
      <c r="I112" s="107" t="s">
        <v>2822</v>
      </c>
      <c r="J112" s="107"/>
      <c r="K112" s="158" t="s">
        <v>2822</v>
      </c>
      <c r="L112" s="980" t="s">
        <v>1640</v>
      </c>
      <c r="M112" s="107"/>
      <c r="N112" s="107"/>
      <c r="O112" s="107"/>
      <c r="P112" s="107"/>
      <c r="Q112" s="107"/>
      <c r="R112" s="107"/>
      <c r="S112" s="107"/>
      <c r="T112" s="465" cm="1" t="str">
        <f t="array" ref="T112:T112">T111</f>
        <v>false</v>
      </c>
      <c r="U112" s="107"/>
      <c r="V112" s="107"/>
      <c r="W112" s="107"/>
      <c r="X112" s="1596"/>
      <c r="Y112" s="1278"/>
      <c r="Z112" s="1546"/>
      <c r="AA112" s="1278"/>
      <c r="AB112" s="300" t="s">
        <v>2823</v>
      </c>
      <c r="AC112" s="765" t="s">
        <v>2824</v>
      </c>
      <c r="AD112" s="300" t="s">
        <v>1514</v>
      </c>
      <c r="AE112" s="1241"/>
      <c r="AF112" s="1241"/>
      <c r="AG112" s="1241"/>
      <c r="AH112" s="1114">
        <f>AG112-AF112</f>
        <v>0</v>
      </c>
      <c r="AI112" s="1241"/>
      <c r="AJ112" s="1241"/>
      <c r="AK112" s="1241"/>
      <c r="AL112" s="1241"/>
      <c r="AM112" s="1241"/>
      <c r="AN112" s="1241"/>
      <c r="AO112" s="1241"/>
      <c r="AP112" s="1241"/>
      <c r="AQ112" s="1241"/>
      <c r="AR112" s="1241"/>
      <c r="AS112" s="1241"/>
      <c r="AT112" s="1241"/>
      <c r="AU112" s="1241"/>
      <c r="AV112" s="1241"/>
      <c r="AW112" s="1241"/>
      <c r="AX112" s="1241"/>
      <c r="AY112" s="1241"/>
      <c r="AZ112" s="1241"/>
      <c r="BA112" s="1241"/>
      <c r="BB112" s="1241"/>
      <c r="BC112" s="1241"/>
      <c r="BD112" s="1114">
        <f>IF(AI112=0,0,(AT112-AI112)/AI112*100)</f>
        <v>0</v>
      </c>
      <c r="BE112" s="1114">
        <f>IF(AT112=0,0,(AU112-AT112)/AT112*100)</f>
        <v>0</v>
      </c>
      <c r="BF112" s="1114">
        <f>IF(AU112=0,0,(AV112-AU112)/AU112*100)</f>
        <v>0</v>
      </c>
      <c r="BG112" s="1114">
        <f>IF(AV112=0,0,(AW112-AV112)/AV112*100)</f>
        <v>0</v>
      </c>
      <c r="BH112" s="1114">
        <f>IF(AW112=0,0,(AX112-AW112)/AW112*100)</f>
        <v>0</v>
      </c>
      <c r="BI112" s="1114">
        <f>IF(AX112=0,0,(AY112-AX112)/AX112*100)</f>
        <v>0</v>
      </c>
      <c r="BJ112" s="1114">
        <f>IF(AY112=0,0,(AZ112-AY112)/AY112*100)</f>
        <v>0</v>
      </c>
      <c r="BK112" s="1114">
        <f>IF(AZ112=0,0,(BA112-AZ112)/AZ112*100)</f>
        <v>0</v>
      </c>
      <c r="BL112" s="1114">
        <f>IF(BA112=0,0,(BB112-BA112)/BA112*100)</f>
        <v>0</v>
      </c>
      <c r="BM112" s="1114">
        <f>IF(BB112=0,0,(BC112-BB112)/BB112*100)</f>
        <v>0</v>
      </c>
      <c r="BN112" s="1238"/>
      <c r="BO112" s="1238"/>
      <c r="BP112" s="1238"/>
      <c r="BQ112" s="1278"/>
      <c r="BR112" s="1278"/>
      <c r="BS112" s="1064" t="s">
        <v>2825</v>
      </c>
      <c r="BT112" s="1064"/>
      <c r="BU112" s="1064"/>
      <c r="BV112" s="979"/>
      <c r="BW112" s="979"/>
    </row>
    <row customHeight="1" ht="21.9375" hidden="1">
      <c r="A113" s="1278"/>
      <c r="B113" s="978"/>
      <c r="C113" s="107"/>
      <c r="D113" s="107"/>
      <c r="E113" s="621">
        <v>22.5</v>
      </c>
      <c r="F113" s="50" cm="1" t="str">
        <f t="array" ref="F113:F113">OFFSET(E113,-1,1)</f>
        <v>0</v>
      </c>
      <c r="G113" s="107" t="s">
        <v>2212</v>
      </c>
      <c r="H113" s="107"/>
      <c r="I113" s="107" t="s">
        <v>2826</v>
      </c>
      <c r="J113" s="107"/>
      <c r="K113" s="158" t="s">
        <v>2826</v>
      </c>
      <c r="L113" s="980"/>
      <c r="M113" s="107"/>
      <c r="N113" s="107"/>
      <c r="O113" s="107"/>
      <c r="P113" s="107"/>
      <c r="Q113" s="107"/>
      <c r="R113" s="107"/>
      <c r="S113" s="107"/>
      <c r="T113" s="465" cm="1" t="str">
        <f t="array" ref="T113:T113">T112</f>
        <v>false</v>
      </c>
      <c r="U113" s="107"/>
      <c r="V113" s="107"/>
      <c r="W113" s="107"/>
      <c r="X113" s="1596"/>
      <c r="Y113" s="1278"/>
      <c r="Z113" s="1546"/>
      <c r="AA113" s="1278"/>
      <c r="AB113" s="300" t="s">
        <v>2276</v>
      </c>
      <c r="AC113" s="762" t="s">
        <v>2827</v>
      </c>
      <c r="AD113" s="300" t="s">
        <v>1514</v>
      </c>
      <c r="AE113" s="1241"/>
      <c r="AF113" s="1241"/>
      <c r="AG113" s="1241"/>
      <c r="AH113" s="1114">
        <f>AG113-AF113</f>
        <v>0</v>
      </c>
      <c r="AI113" s="1241"/>
      <c r="AJ113" s="1241"/>
      <c r="AK113" s="1241"/>
      <c r="AL113" s="1241"/>
      <c r="AM113" s="1241"/>
      <c r="AN113" s="1241"/>
      <c r="AO113" s="1241"/>
      <c r="AP113" s="1241"/>
      <c r="AQ113" s="1241"/>
      <c r="AR113" s="1241"/>
      <c r="AS113" s="1241"/>
      <c r="AT113" s="1241"/>
      <c r="AU113" s="1241"/>
      <c r="AV113" s="1241"/>
      <c r="AW113" s="1241"/>
      <c r="AX113" s="1241"/>
      <c r="AY113" s="1241"/>
      <c r="AZ113" s="1241"/>
      <c r="BA113" s="1241"/>
      <c r="BB113" s="1241"/>
      <c r="BC113" s="1241"/>
      <c r="BD113" s="1114">
        <f>IF(AI113=0,0,(AT113-AI113)/AI113*100)</f>
        <v>0</v>
      </c>
      <c r="BE113" s="1114">
        <f>IF(AT113=0,0,(AU113-AT113)/AT113*100)</f>
        <v>0</v>
      </c>
      <c r="BF113" s="1114">
        <f>IF(AU113=0,0,(AV113-AU113)/AU113*100)</f>
        <v>0</v>
      </c>
      <c r="BG113" s="1114">
        <f>IF(AV113=0,0,(AW113-AV113)/AV113*100)</f>
        <v>0</v>
      </c>
      <c r="BH113" s="1114">
        <f>IF(AW113=0,0,(AX113-AW113)/AW113*100)</f>
        <v>0</v>
      </c>
      <c r="BI113" s="1114">
        <f>IF(AX113=0,0,(AY113-AX113)/AX113*100)</f>
        <v>0</v>
      </c>
      <c r="BJ113" s="1114">
        <f>IF(AY113=0,0,(AZ113-AY113)/AY113*100)</f>
        <v>0</v>
      </c>
      <c r="BK113" s="1114">
        <f>IF(AZ113=0,0,(BA113-AZ113)/AZ113*100)</f>
        <v>0</v>
      </c>
      <c r="BL113" s="1114">
        <f>IF(BA113=0,0,(BB113-BA113)/BA113*100)</f>
        <v>0</v>
      </c>
      <c r="BM113" s="1114">
        <f>IF(BB113=0,0,(BC113-BB113)/BB113*100)</f>
        <v>0</v>
      </c>
      <c r="BN113" s="1238"/>
      <c r="BO113" s="1238"/>
      <c r="BP113" s="1238"/>
      <c r="BQ113" s="1278"/>
      <c r="BR113" s="1278"/>
      <c r="BS113" s="1064" t="s">
        <v>2828</v>
      </c>
      <c r="BT113" s="1064"/>
      <c r="BU113" s="1064"/>
      <c r="BV113" s="979"/>
      <c r="BW113" s="979"/>
    </row>
    <row s="700" customFormat="1" customHeight="1" ht="20.475" hidden="1">
      <c r="A114" s="700"/>
      <c r="B114" s="435"/>
      <c r="C114" s="109"/>
      <c r="D114" s="109"/>
      <c r="E114" s="826">
        <v>21</v>
      </c>
      <c r="F114" s="50" cm="1" t="str">
        <f t="array" ref="F114:F114">OFFSET(E114,-1,1)</f>
        <v>0</v>
      </c>
      <c r="G114" s="107" t="s">
        <v>2829</v>
      </c>
      <c r="H114" s="107"/>
      <c r="I114" s="107" t="s">
        <v>334</v>
      </c>
      <c r="J114" s="109"/>
      <c r="K114" s="158" t="s">
        <v>334</v>
      </c>
      <c r="L114" s="985" t="s">
        <v>2068</v>
      </c>
      <c r="M114" s="109"/>
      <c r="N114" s="109"/>
      <c r="O114" s="109"/>
      <c r="P114" s="109"/>
      <c r="Q114" s="109"/>
      <c r="R114" s="109"/>
      <c r="S114" s="109"/>
      <c r="T114" s="465" cm="1" t="str">
        <f t="array" ref="T114:T114">T113</f>
        <v>false</v>
      </c>
      <c r="U114" s="109"/>
      <c r="V114" s="109"/>
      <c r="W114" s="109"/>
      <c r="X114" s="1596"/>
      <c r="Y114" s="700"/>
      <c r="Z114" s="1546"/>
      <c r="AA114" s="700"/>
      <c r="AB114" s="211" t="s">
        <v>289</v>
      </c>
      <c r="AC114" s="212" t="s">
        <v>2830</v>
      </c>
      <c r="AD114" s="211" t="s">
        <v>1514</v>
      </c>
      <c r="AE114" s="778">
        <f>_xlfn.SUMIFS(ЭЭ!AE$25:AE$189,ЭЭ!$F$25:$F$189,$F114,ЭЭ!$AC$25:$AC$189,"Всего по тарифу")</f>
        <v>0</v>
      </c>
      <c r="AF114" s="778">
        <f>_xlfn.SUMIFS(ЭЭ!AF$25:AF$189,ЭЭ!$F$25:$F$189,$F114,ЭЭ!$AC$25:$AC$189,"Всего по тарифу")</f>
        <v>0</v>
      </c>
      <c r="AG114" s="778">
        <f>_xlfn.SUMIFS(ЭЭ!AG$25:AG$189,ЭЭ!$F$25:$F$189,$F114,ЭЭ!$AC$25:$AC$189,"Всего по тарифу")</f>
        <v>0</v>
      </c>
      <c r="AH114" s="778">
        <f>AG114-AF114</f>
        <v>0</v>
      </c>
      <c r="AI114" s="778">
        <f>_xlfn.SUMIFS(ЭЭ!AH$25:AH$189,ЭЭ!$F$25:$F$189,$F114,ЭЭ!$AC$25:$AC$189,"Всего по тарифу")</f>
        <v>0</v>
      </c>
      <c r="AJ114" s="778">
        <f>_xlfn.SUMIFS(ЭЭ!AI$25:AI$189,ЭЭ!$F$25:$F$189,$F114,ЭЭ!$AC$25:$AC$189,"Всего по тарифу")</f>
        <v>0</v>
      </c>
      <c r="AK114" s="778">
        <f>_xlfn.SUMIFS(ЭЭ!AJ$25:AJ$189,ЭЭ!$F$25:$F$189,$F114,ЭЭ!$AC$25:$AC$189,"Всего по тарифу")</f>
        <v>0</v>
      </c>
      <c r="AL114" s="778">
        <f>_xlfn.SUMIFS(ЭЭ!AK$25:AK$189,ЭЭ!$F$25:$F$189,$F114,ЭЭ!$AC$25:$AC$189,"Всего по тарифу")</f>
        <v>0</v>
      </c>
      <c r="AM114" s="778">
        <f>_xlfn.SUMIFS(ЭЭ!AL$25:AL$189,ЭЭ!$F$25:$F$189,$F114,ЭЭ!$AC$25:$AC$189,"Всего по тарифу")</f>
        <v>0</v>
      </c>
      <c r="AN114" s="778">
        <f>_xlfn.SUMIFS(ЭЭ!AM$25:AM$189,ЭЭ!$F$25:$F$189,$F114,ЭЭ!$AC$25:$AC$189,"Всего по тарифу")</f>
        <v>0</v>
      </c>
      <c r="AO114" s="778">
        <f>_xlfn.SUMIFS(ЭЭ!AN$25:AN$189,ЭЭ!$F$25:$F$189,$F114,ЭЭ!$AC$25:$AC$189,"Всего по тарифу")</f>
        <v>0</v>
      </c>
      <c r="AP114" s="778">
        <f>_xlfn.SUMIFS(ЭЭ!AO$25:AO$189,ЭЭ!$F$25:$F$189,$F114,ЭЭ!$AC$25:$AC$189,"Всего по тарифу")</f>
        <v>0</v>
      </c>
      <c r="AQ114" s="778">
        <f>_xlfn.SUMIFS(ЭЭ!AP$25:AP$189,ЭЭ!$F$25:$F$189,$F114,ЭЭ!$AC$25:$AC$189,"Всего по тарифу")</f>
        <v>0</v>
      </c>
      <c r="AR114" s="778">
        <f>_xlfn.SUMIFS(ЭЭ!AQ$25:AQ$189,ЭЭ!$F$25:$F$189,$F114,ЭЭ!$AC$25:$AC$189,"Всего по тарифу")</f>
        <v>0</v>
      </c>
      <c r="AS114" s="778">
        <f>_xlfn.SUMIFS(ЭЭ!AR$25:AR$189,ЭЭ!$F$25:$F$189,$F114,ЭЭ!$AC$25:$AC$189,"Всего по тарифу")</f>
        <v>0</v>
      </c>
      <c r="AT114" s="778">
        <f>_xlfn.SUMIFS(ЭЭ!AS$25:AS$189,ЭЭ!$F$25:$F$189,$F114,ЭЭ!$AC$25:$AC$189,"Всего по тарифу")</f>
        <v>0</v>
      </c>
      <c r="AU114" s="778">
        <f>_xlfn.SUMIFS(ЭЭ!AT$25:AT$189,ЭЭ!$F$25:$F$189,$F114,ЭЭ!$AC$25:$AC$189,"Всего по тарифу")</f>
        <v>0</v>
      </c>
      <c r="AV114" s="778">
        <f>_xlfn.SUMIFS(ЭЭ!AU$25:AU$189,ЭЭ!$F$25:$F$189,$F114,ЭЭ!$AC$25:$AC$189,"Всего по тарифу")</f>
        <v>0</v>
      </c>
      <c r="AW114" s="778">
        <f>_xlfn.SUMIFS(ЭЭ!AV$25:AV$189,ЭЭ!$F$25:$F$189,$F114,ЭЭ!$AC$25:$AC$189,"Всего по тарифу")</f>
        <v>0</v>
      </c>
      <c r="AX114" s="778">
        <f>_xlfn.SUMIFS(ЭЭ!AW$25:AW$189,ЭЭ!$F$25:$F$189,$F114,ЭЭ!$AC$25:$AC$189,"Всего по тарифу")</f>
        <v>0</v>
      </c>
      <c r="AY114" s="778">
        <f>_xlfn.SUMIFS(ЭЭ!AX$25:AX$189,ЭЭ!$F$25:$F$189,$F114,ЭЭ!$AC$25:$AC$189,"Всего по тарифу")</f>
        <v>0</v>
      </c>
      <c r="AZ114" s="778">
        <f>_xlfn.SUMIFS(ЭЭ!AY$25:AY$189,ЭЭ!$F$25:$F$189,$F114,ЭЭ!$AC$25:$AC$189,"Всего по тарифу")</f>
        <v>0</v>
      </c>
      <c r="BA114" s="778">
        <f>_xlfn.SUMIFS(ЭЭ!AZ$25:AZ$189,ЭЭ!$F$25:$F$189,$F114,ЭЭ!$AC$25:$AC$189,"Всего по тарифу")</f>
        <v>0</v>
      </c>
      <c r="BB114" s="778">
        <f>_xlfn.SUMIFS(ЭЭ!BA$25:BA$189,ЭЭ!$F$25:$F$189,$F114,ЭЭ!$AC$25:$AC$189,"Всего по тарифу")</f>
        <v>0</v>
      </c>
      <c r="BC114" s="778">
        <f>_xlfn.SUMIFS(ЭЭ!BB$25:BB$189,ЭЭ!$F$25:$F$189,$F114,ЭЭ!$AC$25:$AC$189,"Всего по тарифу")</f>
        <v>0</v>
      </c>
      <c r="BD114" s="778">
        <f>IF(AI114=0,0,(AT114-AI114)/AI114*100)</f>
        <v>0</v>
      </c>
      <c r="BE114" s="778">
        <f>IF(AT114=0,0,(AU114-AT114)/AT114*100)</f>
        <v>0</v>
      </c>
      <c r="BF114" s="778">
        <f>IF(AU114=0,0,(AV114-AU114)/AU114*100)</f>
        <v>0</v>
      </c>
      <c r="BG114" s="778">
        <f>IF(AV114=0,0,(AW114-AV114)/AV114*100)</f>
        <v>0</v>
      </c>
      <c r="BH114" s="778">
        <f>IF(AW114=0,0,(AX114-AW114)/AW114*100)</f>
        <v>0</v>
      </c>
      <c r="BI114" s="778">
        <f>IF(AX114=0,0,(AY114-AX114)/AX114*100)</f>
        <v>0</v>
      </c>
      <c r="BJ114" s="778">
        <f>IF(AY114=0,0,(AZ114-AY114)/AY114*100)</f>
        <v>0</v>
      </c>
      <c r="BK114" s="778">
        <f>IF(AZ114=0,0,(BA114-AZ114)/AZ114*100)</f>
        <v>0</v>
      </c>
      <c r="BL114" s="778">
        <f>IF(BA114=0,0,(BB114-BA114)/BA114*100)</f>
        <v>0</v>
      </c>
      <c r="BM114" s="778">
        <f>IF(BB114=0,0,(BC114-BB114)/BB114*100)</f>
        <v>0</v>
      </c>
      <c r="BN114" s="1238"/>
      <c r="BO114" s="1245" t="str">
        <f>IF(_xlfn.IFERROR(INDEX(ЭЭ!$K$26:$L$189,MATCH($F114&amp;"komm",ЭЭ!$K$26:$K$189,0),2),"")=0,"",_xlfn.IFERROR(INDEX(ЭЭ!$K$26:$L$189,MATCH($F114&amp;"komm",ЭЭ!$K$26:$K$189,0),2),""))</f>
        <v/>
      </c>
      <c r="BP114" s="1238"/>
      <c r="BQ114" s="700"/>
      <c r="BR114" s="700"/>
      <c r="BS114" s="1070" t="s">
        <v>2446</v>
      </c>
      <c r="BT114" s="1070"/>
      <c r="BU114" s="1070"/>
      <c r="BV114" s="707"/>
      <c r="BW114" s="707"/>
    </row>
    <row s="700" customFormat="1" customHeight="1" ht="21.9375" hidden="1">
      <c r="A115" s="700"/>
      <c r="B115" s="162">
        <f>method_reg="Метод индексации"</f>
        <v>1</v>
      </c>
      <c r="C115" s="109"/>
      <c r="D115" s="109"/>
      <c r="E115" s="826">
        <v>22.5</v>
      </c>
      <c r="F115" s="50" cm="1" t="str">
        <f t="array" ref="F115:F115">OFFSET(E115,-1,1)</f>
        <v>0</v>
      </c>
      <c r="G115" s="107" t="s">
        <v>2234</v>
      </c>
      <c r="H115" s="107"/>
      <c r="I115" s="107" t="s">
        <v>336</v>
      </c>
      <c r="J115" s="109"/>
      <c r="K115" s="158"/>
      <c r="L115" s="985" t="s">
        <v>335</v>
      </c>
      <c r="M115" s="109"/>
      <c r="N115" s="109"/>
      <c r="O115" s="109"/>
      <c r="P115" s="109"/>
      <c r="Q115" s="109"/>
      <c r="R115" s="109"/>
      <c r="S115" s="109"/>
      <c r="T115" s="465" cm="1" t="str">
        <f t="array" ref="T115:T115">T114</f>
        <v>false</v>
      </c>
      <c r="U115" s="109"/>
      <c r="V115" s="109"/>
      <c r="W115" s="109"/>
      <c r="X115" s="1596"/>
      <c r="Y115" s="700"/>
      <c r="Z115" s="1546"/>
      <c r="AA115" s="700"/>
      <c r="AB115" s="211" t="s">
        <v>295</v>
      </c>
      <c r="AC115" s="212" t="s">
        <v>2831</v>
      </c>
      <c r="AD115" s="211" t="s">
        <v>1514</v>
      </c>
      <c r="AE115" s="778">
        <f>_xlfn.SUMIFS(Амортизация!AE$25:AE$272,Амортизация!$F$25:$F$272,$F115,Амортизация!$AC$25:$AC$272,"Сумма амортизационных отчислений")</f>
        <v>0</v>
      </c>
      <c r="AF115" s="778">
        <f>_xlfn.SUMIFS(Амортизация!AF$25:AF$272,Амортизация!$F$25:$F$272,$F115,Амортизация!$AC$25:$AC$272,"Сумма амортизационных отчислений")</f>
        <v>0</v>
      </c>
      <c r="AG115" s="778">
        <f>_xlfn.SUMIFS(Амортизация!AG$25:AG$272,Амортизация!$F$25:$F$272,$F115,Амортизация!$AC$25:$AC$272,"Сумма амортизационных отчислений")</f>
        <v>0</v>
      </c>
      <c r="AH115" s="778">
        <f>AG115-AF115</f>
        <v>0</v>
      </c>
      <c r="AI115" s="778">
        <f>_xlfn.SUMIFS(Амортизация!AH$25:AH$272,Амортизация!$F$25:$F$272,$F115,Амортизация!$AC$25:$AC$272,"Сумма амортизационных отчислений")</f>
        <v>0</v>
      </c>
      <c r="AJ115" s="778">
        <f>_xlfn.SUMIFS(Амортизация!AI$25:AI$272,Амортизация!$F$25:$F$272,$F115,Амортизация!$AC$25:$AC$272,"Сумма амортизационных отчислений")</f>
        <v>0</v>
      </c>
      <c r="AK115" s="778">
        <f>_xlfn.SUMIFS(Амортизация!AJ$25:AJ$272,Амортизация!$F$25:$F$272,$F115,Амортизация!$AC$25:$AC$272,"Сумма амортизационных отчислений")</f>
        <v>0</v>
      </c>
      <c r="AL115" s="778">
        <f>_xlfn.SUMIFS(Амортизация!AK$25:AK$272,Амортизация!$F$25:$F$272,$F115,Амортизация!$AC$25:$AC$272,"Сумма амортизационных отчислений")</f>
        <v>0</v>
      </c>
      <c r="AM115" s="778">
        <f>_xlfn.SUMIFS(Амортизация!AL$25:AL$272,Амортизация!$F$25:$F$272,$F115,Амортизация!$AC$25:$AC$272,"Сумма амортизационных отчислений")</f>
        <v>0</v>
      </c>
      <c r="AN115" s="778">
        <f>_xlfn.SUMIFS(Амортизация!AM$25:AM$272,Амортизация!$F$25:$F$272,$F115,Амортизация!$AC$25:$AC$272,"Сумма амортизационных отчислений")</f>
        <v>0</v>
      </c>
      <c r="AO115" s="778">
        <f>_xlfn.SUMIFS(Амортизация!AN$25:AN$272,Амортизация!$F$25:$F$272,$F115,Амортизация!$AC$25:$AC$272,"Сумма амортизационных отчислений")</f>
        <v>0</v>
      </c>
      <c r="AP115" s="778">
        <f>_xlfn.SUMIFS(Амортизация!AO$25:AO$272,Амортизация!$F$25:$F$272,$F115,Амортизация!$AC$25:$AC$272,"Сумма амортизационных отчислений")</f>
        <v>0</v>
      </c>
      <c r="AQ115" s="778">
        <f>_xlfn.SUMIFS(Амортизация!AP$25:AP$272,Амортизация!$F$25:$F$272,$F115,Амортизация!$AC$25:$AC$272,"Сумма амортизационных отчислений")</f>
        <v>0</v>
      </c>
      <c r="AR115" s="778">
        <f>_xlfn.SUMIFS(Амортизация!AQ$25:AQ$272,Амортизация!$F$25:$F$272,$F115,Амортизация!$AC$25:$AC$272,"Сумма амортизационных отчислений")</f>
        <v>0</v>
      </c>
      <c r="AS115" s="778">
        <f>_xlfn.SUMIFS(Амортизация!AR$25:AR$272,Амортизация!$F$25:$F$272,$F115,Амортизация!$AC$25:$AC$272,"Сумма амортизационных отчислений")</f>
        <v>0</v>
      </c>
      <c r="AT115" s="778">
        <f>_xlfn.SUMIFS(Амортизация!AS$25:AS$272,Амортизация!$F$25:$F$272,$F115,Амортизация!$AC$25:$AC$272,"Сумма амортизационных отчислений")</f>
        <v>0</v>
      </c>
      <c r="AU115" s="778">
        <f>_xlfn.SUMIFS(Амортизация!AT$25:AT$272,Амортизация!$F$25:$F$272,$F115,Амортизация!$AC$25:$AC$272,"Сумма амортизационных отчислений")</f>
        <v>0</v>
      </c>
      <c r="AV115" s="778">
        <f>_xlfn.SUMIFS(Амортизация!AU$25:AU$272,Амортизация!$F$25:$F$272,$F115,Амортизация!$AC$25:$AC$272,"Сумма амортизационных отчислений")</f>
        <v>0</v>
      </c>
      <c r="AW115" s="778">
        <f>_xlfn.SUMIFS(Амортизация!AV$25:AV$272,Амортизация!$F$25:$F$272,$F115,Амортизация!$AC$25:$AC$272,"Сумма амортизационных отчислений")</f>
        <v>0</v>
      </c>
      <c r="AX115" s="778">
        <f>_xlfn.SUMIFS(Амортизация!AW$25:AW$272,Амортизация!$F$25:$F$272,$F115,Амортизация!$AC$25:$AC$272,"Сумма амортизационных отчислений")</f>
        <v>0</v>
      </c>
      <c r="AY115" s="778">
        <f>_xlfn.SUMIFS(Амортизация!AX$25:AX$272,Амортизация!$F$25:$F$272,$F115,Амортизация!$AC$25:$AC$272,"Сумма амортизационных отчислений")</f>
        <v>0</v>
      </c>
      <c r="AZ115" s="778">
        <f>_xlfn.SUMIFS(Амортизация!AY$25:AY$272,Амортизация!$F$25:$F$272,$F115,Амортизация!$AC$25:$AC$272,"Сумма амортизационных отчислений")</f>
        <v>0</v>
      </c>
      <c r="BA115" s="778">
        <f>_xlfn.SUMIFS(Амортизация!AZ$25:AZ$272,Амортизация!$F$25:$F$272,$F115,Амортизация!$AC$25:$AC$272,"Сумма амортизационных отчислений")</f>
        <v>0</v>
      </c>
      <c r="BB115" s="778">
        <f>_xlfn.SUMIFS(Амортизация!BA$25:BA$272,Амортизация!$F$25:$F$272,$F115,Амортизация!$AC$25:$AC$272,"Сумма амортизационных отчислений")</f>
        <v>0</v>
      </c>
      <c r="BC115" s="778">
        <f>_xlfn.SUMIFS(Амортизация!BB$25:BB$272,Амортизация!$F$25:$F$272,$F115,Амортизация!$AC$25:$AC$272,"Сумма амортизационных отчислений")</f>
        <v>0</v>
      </c>
      <c r="BD115" s="778">
        <f>IF(AI115=0,0,(AT115-AI115)/AI115*100)</f>
        <v>0</v>
      </c>
      <c r="BE115" s="778">
        <f>IF(AT115=0,0,(AU115-AT115)/AT115*100)</f>
        <v>0</v>
      </c>
      <c r="BF115" s="778">
        <f>IF(AU115=0,0,(AV115-AU115)/AU115*100)</f>
        <v>0</v>
      </c>
      <c r="BG115" s="778">
        <f>IF(AV115=0,0,(AW115-AV115)/AV115*100)</f>
        <v>0</v>
      </c>
      <c r="BH115" s="778">
        <f>IF(AW115=0,0,(AX115-AW115)/AW115*100)</f>
        <v>0</v>
      </c>
      <c r="BI115" s="778">
        <f>IF(AX115=0,0,(AY115-AX115)/AX115*100)</f>
        <v>0</v>
      </c>
      <c r="BJ115" s="778">
        <f>IF(AY115=0,0,(AZ115-AY115)/AY115*100)</f>
        <v>0</v>
      </c>
      <c r="BK115" s="778">
        <f>IF(AZ115=0,0,(BA115-AZ115)/AZ115*100)</f>
        <v>0</v>
      </c>
      <c r="BL115" s="778">
        <f>IF(BA115=0,0,(BB115-BA115)/BA115*100)</f>
        <v>0</v>
      </c>
      <c r="BM115" s="778">
        <f>IF(BB115=0,0,(BC115-BB115)/BB115*100)</f>
        <v>0</v>
      </c>
      <c r="BN115" s="1238"/>
      <c r="BO115" s="1242" t="str">
        <f>IF(_xlfn.IFERROR(INDEX(Амортизация!$K$26:$L$272,MATCH($F115&amp;"komm",Амортизация!$K$26:$K$272,0),2),"")=0,"",_xlfn.IFERROR(INDEX(Амортизация!$K$26:$L$272,MATCH($F115&amp;"komm",Амортизация!$K$26:$K$272,0),2),""))</f>
        <v/>
      </c>
      <c r="BP115" s="1238"/>
      <c r="BQ115" s="700"/>
      <c r="BR115" s="700"/>
      <c r="BS115" s="1070" t="s">
        <v>1960</v>
      </c>
      <c r="BT115" s="1070"/>
      <c r="BU115" s="1070"/>
      <c r="BV115" s="707"/>
      <c r="BW115" s="707"/>
    </row>
    <row customHeight="1" ht="14.625" hidden="1">
      <c r="A116" s="1278"/>
      <c r="B116" s="432" cm="1" t="str">
        <f t="array" ref="B116:B116">B115</f>
        <v>true</v>
      </c>
      <c r="C116" s="107"/>
      <c r="D116" s="107"/>
      <c r="E116" s="621">
        <v>15</v>
      </c>
      <c r="F116" s="50" cm="1" t="str">
        <f t="array" ref="F116:F116">OFFSET(E116,-1,1)</f>
        <v>0</v>
      </c>
      <c r="G116" s="107"/>
      <c r="H116" s="107"/>
      <c r="I116" s="107" t="s">
        <v>1249</v>
      </c>
      <c r="J116" s="107"/>
      <c r="K116" s="1278"/>
      <c r="L116" s="980" t="s">
        <v>1263</v>
      </c>
      <c r="M116" s="107"/>
      <c r="N116" s="107"/>
      <c r="O116" s="107"/>
      <c r="P116" s="107"/>
      <c r="Q116" s="107"/>
      <c r="R116" s="107"/>
      <c r="S116" s="107"/>
      <c r="T116" s="465" cm="1" t="str">
        <f t="array" ref="T116:T116">T115</f>
        <v>false</v>
      </c>
      <c r="U116" s="107"/>
      <c r="V116" s="107"/>
      <c r="W116" s="107"/>
      <c r="X116" s="1596"/>
      <c r="Y116" s="1278"/>
      <c r="Z116" s="1546"/>
      <c r="AA116" s="1278"/>
      <c r="AB116" s="300" t="s">
        <v>1384</v>
      </c>
      <c r="AC116" s="762" t="s">
        <v>2538</v>
      </c>
      <c r="AD116" s="300" t="s">
        <v>1514</v>
      </c>
      <c r="AE116" s="1241">
        <f>_xlfn.SUMIFS('ИП + источники'!AF$27:AF$203,'ИП + источники'!$F$27:$F$203,$F116,'ИП + источники'!$AC$27:$AC$203,"Амортизационные отчисления")+_xlfn.SUMIFS('ИП + источники'!AF$27:AF$203,'ИП + источники'!$F$27:$F$203,$F116,'ИП + источники'!$AC$27:$AC$203,"погашение займов и кредитов из амортизации")</f>
        <v>0</v>
      </c>
      <c r="AF116" s="1241">
        <f>_xlfn.SUMIFS('ИП + источники'!AG$27:AG$203,'ИП + источники'!$F$27:$F$203,$F116,'ИП + источники'!$AC$27:$AC$203,"Амортизационные отчисления")+_xlfn.SUMIFS('ИП + источники'!AG$27:AG$203,'ИП + источники'!$F$27:$F$203,$F116,'ИП + источники'!$AC$27:$AC$203,"погашение займов и кредитов из амортизации")</f>
        <v>0</v>
      </c>
      <c r="AG116" s="1241">
        <f>_xlfn.SUMIFS('ИП + источники'!AH$27:AH$203,'ИП + источники'!$F$27:$F$203,$F116,'ИП + источники'!$AC$27:$AC$203,"Амортизационные отчисления")+_xlfn.SUMIFS('ИП + источники'!AH$27:AH$203,'ИП + источники'!$F$27:$F$203,$F116,'ИП + источники'!$AC$27:$AC$203,"погашение займов и кредитов из амортизации")</f>
        <v>0</v>
      </c>
      <c r="AH116" s="1114">
        <f>AG116-AF116</f>
        <v>0</v>
      </c>
      <c r="AI116" s="1241">
        <f>_xlfn.SUMIFS('ИП + источники'!AJ$27:AJ$203,'ИП + источники'!$F$27:$F$203,$F116,'ИП + источники'!$AC$27:$AC$203,"Амортизационные отчисления")+_xlfn.SUMIFS('ИП + источники'!AJ$27:AJ$203,'ИП + источники'!$F$27:$F$203,$F116,'ИП + источники'!$AC$27:$AC$203,"погашение займов и кредитов из амортизации")</f>
        <v>0</v>
      </c>
      <c r="AJ116" s="1241">
        <f>_xlfn.SUMIFS('ИП + источники'!AK$27:AK$203,'ИП + источники'!$F$27:$F$203,$F116,'ИП + источники'!$AC$27:$AC$203,"Амортизационные отчисления")+_xlfn.SUMIFS('ИП + источники'!AK$27:AK$203,'ИП + источники'!$F$27:$F$203,$F116,'ИП + источники'!$AC$27:$AC$203,"погашение займов и кредитов из амортизации")</f>
        <v>0</v>
      </c>
      <c r="AK116" s="1241">
        <f>_xlfn.SUMIFS('ИП + источники'!AL$27:AL$203,'ИП + источники'!$F$27:$F$203,$F116,'ИП + источники'!$AC$27:$AC$203,"Амортизационные отчисления")+_xlfn.SUMIFS('ИП + источники'!AL$27:AL$203,'ИП + источники'!$F$27:$F$203,$F116,'ИП + источники'!$AC$27:$AC$203,"погашение займов и кредитов из амортизации")</f>
        <v>0</v>
      </c>
      <c r="AL116" s="1241">
        <f>_xlfn.SUMIFS('ИП + источники'!AM$27:AM$203,'ИП + источники'!$F$27:$F$203,$F116,'ИП + источники'!$AC$27:$AC$203,"Амортизационные отчисления")+_xlfn.SUMIFS('ИП + источники'!AM$27:AM$203,'ИП + источники'!$F$27:$F$203,$F116,'ИП + источники'!$AC$27:$AC$203,"погашение займов и кредитов из амортизации")</f>
        <v>0</v>
      </c>
      <c r="AM116" s="1241">
        <f>_xlfn.SUMIFS('ИП + источники'!AN$27:AN$203,'ИП + источники'!$F$27:$F$203,$F116,'ИП + источники'!$AC$27:$AC$203,"Амортизационные отчисления")+_xlfn.SUMIFS('ИП + источники'!AN$27:AN$203,'ИП + источники'!$F$27:$F$203,$F116,'ИП + источники'!$AC$27:$AC$203,"погашение займов и кредитов из амортизации")</f>
        <v>0</v>
      </c>
      <c r="AN116" s="1241">
        <f>_xlfn.SUMIFS('ИП + источники'!AO$27:AO$203,'ИП + источники'!$F$27:$F$203,$F116,'ИП + источники'!$AC$27:$AC$203,"Амортизационные отчисления")+_xlfn.SUMIFS('ИП + источники'!AO$27:AO$203,'ИП + источники'!$F$27:$F$203,$F116,'ИП + источники'!$AC$27:$AC$203,"погашение займов и кредитов из амортизации")</f>
        <v>0</v>
      </c>
      <c r="AO116" s="1241">
        <f>_xlfn.SUMIFS('ИП + источники'!AP$27:AP$203,'ИП + источники'!$F$27:$F$203,$F116,'ИП + источники'!$AC$27:$AC$203,"Амортизационные отчисления")+_xlfn.SUMIFS('ИП + источники'!AP$27:AP$203,'ИП + источники'!$F$27:$F$203,$F116,'ИП + источники'!$AC$27:$AC$203,"погашение займов и кредитов из амортизации")</f>
        <v>0</v>
      </c>
      <c r="AP116" s="1241">
        <f>_xlfn.SUMIFS('ИП + источники'!AQ$27:AQ$203,'ИП + источники'!$F$27:$F$203,$F116,'ИП + источники'!$AC$27:$AC$203,"Амортизационные отчисления")+_xlfn.SUMIFS('ИП + источники'!AQ$27:AQ$203,'ИП + источники'!$F$27:$F$203,$F116,'ИП + источники'!$AC$27:$AC$203,"погашение займов и кредитов из амортизации")</f>
        <v>0</v>
      </c>
      <c r="AQ116" s="1241">
        <f>_xlfn.SUMIFS('ИП + источники'!AR$27:AR$203,'ИП + источники'!$F$27:$F$203,$F116,'ИП + источники'!$AC$27:$AC$203,"Амортизационные отчисления")+_xlfn.SUMIFS('ИП + источники'!AR$27:AR$203,'ИП + источники'!$F$27:$F$203,$F116,'ИП + источники'!$AC$27:$AC$203,"погашение займов и кредитов из амортизации")</f>
        <v>0</v>
      </c>
      <c r="AR116" s="1241">
        <f>_xlfn.SUMIFS('ИП + источники'!AS$27:AS$203,'ИП + источники'!$F$27:$F$203,$F116,'ИП + источники'!$AC$27:$AC$203,"Амортизационные отчисления")+_xlfn.SUMIFS('ИП + источники'!AS$27:AS$203,'ИП + источники'!$F$27:$F$203,$F116,'ИП + источники'!$AC$27:$AC$203,"погашение займов и кредитов из амортизации")</f>
        <v>0</v>
      </c>
      <c r="AS116" s="1241">
        <f>_xlfn.SUMIFS('ИП + источники'!AT$27:AT$203,'ИП + источники'!$F$27:$F$203,$F116,'ИП + источники'!$AC$27:$AC$203,"Амортизационные отчисления")+_xlfn.SUMIFS('ИП + источники'!AT$27:AT$203,'ИП + источники'!$F$27:$F$203,$F116,'ИП + источники'!$AC$27:$AC$203,"погашение займов и кредитов из амортизации")</f>
        <v>0</v>
      </c>
      <c r="AT116" s="1241">
        <f>_xlfn.SUMIFS('ИП + источники'!AU$27:AU$203,'ИП + источники'!$F$27:$F$203,$F116,'ИП + источники'!$AC$27:$AC$203,"Амортизационные отчисления")+_xlfn.SUMIFS('ИП + источники'!AU$27:AU$203,'ИП + источники'!$F$27:$F$203,$F116,'ИП + источники'!$AC$27:$AC$203,"погашение займов и кредитов из амортизации")</f>
        <v>0</v>
      </c>
      <c r="AU116" s="1241">
        <f>_xlfn.SUMIFS('ИП + источники'!AV$27:AV$203,'ИП + источники'!$F$27:$F$203,$F116,'ИП + источники'!$AC$27:$AC$203,"Амортизационные отчисления")+_xlfn.SUMIFS('ИП + источники'!AV$27:AV$203,'ИП + источники'!$F$27:$F$203,$F116,'ИП + источники'!$AC$27:$AC$203,"погашение займов и кредитов из амортизации")</f>
        <v>0</v>
      </c>
      <c r="AV116" s="1241">
        <f>_xlfn.SUMIFS('ИП + источники'!AW$27:AW$203,'ИП + источники'!$F$27:$F$203,$F116,'ИП + источники'!$AC$27:$AC$203,"Амортизационные отчисления")+_xlfn.SUMIFS('ИП + источники'!AW$27:AW$203,'ИП + источники'!$F$27:$F$203,$F116,'ИП + источники'!$AC$27:$AC$203,"погашение займов и кредитов из амортизации")</f>
        <v>0</v>
      </c>
      <c r="AW116" s="1241">
        <f>_xlfn.SUMIFS('ИП + источники'!AX$27:AX$203,'ИП + источники'!$F$27:$F$203,$F116,'ИП + источники'!$AC$27:$AC$203,"Амортизационные отчисления")+_xlfn.SUMIFS('ИП + источники'!AX$27:AX$203,'ИП + источники'!$F$27:$F$203,$F116,'ИП + источники'!$AC$27:$AC$203,"погашение займов и кредитов из амортизации")</f>
        <v>0</v>
      </c>
      <c r="AX116" s="1241">
        <f>_xlfn.SUMIFS('ИП + источники'!AY$27:AY$203,'ИП + источники'!$F$27:$F$203,$F116,'ИП + источники'!$AC$27:$AC$203,"Амортизационные отчисления")+_xlfn.SUMIFS('ИП + источники'!AY$27:AY$203,'ИП + источники'!$F$27:$F$203,$F116,'ИП + источники'!$AC$27:$AC$203,"погашение займов и кредитов из амортизации")</f>
        <v>0</v>
      </c>
      <c r="AY116" s="1241">
        <f>_xlfn.SUMIFS('ИП + источники'!AZ$27:AZ$203,'ИП + источники'!$F$27:$F$203,$F116,'ИП + источники'!$AC$27:$AC$203,"Амортизационные отчисления")+_xlfn.SUMIFS('ИП + источники'!AZ$27:AZ$203,'ИП + источники'!$F$27:$F$203,$F116,'ИП + источники'!$AC$27:$AC$203,"погашение займов и кредитов из амортизации")</f>
        <v>0</v>
      </c>
      <c r="AZ116" s="1241">
        <f>_xlfn.SUMIFS('ИП + источники'!BA$27:BA$203,'ИП + источники'!$F$27:$F$203,$F116,'ИП + источники'!$AC$27:$AC$203,"Амортизационные отчисления")+_xlfn.SUMIFS('ИП + источники'!BA$27:BA$203,'ИП + источники'!$F$27:$F$203,$F116,'ИП + источники'!$AC$27:$AC$203,"погашение займов и кредитов из амортизации")</f>
        <v>0</v>
      </c>
      <c r="BA116" s="1241">
        <f>_xlfn.SUMIFS('ИП + источники'!BB$27:BB$203,'ИП + источники'!$F$27:$F$203,$F116,'ИП + источники'!$AC$27:$AC$203,"Амортизационные отчисления")+_xlfn.SUMIFS('ИП + источники'!BB$27:BB$203,'ИП + источники'!$F$27:$F$203,$F116,'ИП + источники'!$AC$27:$AC$203,"погашение займов и кредитов из амортизации")</f>
        <v>0</v>
      </c>
      <c r="BB116" s="1241">
        <f>_xlfn.SUMIFS('ИП + источники'!BC$27:BC$203,'ИП + источники'!$F$27:$F$203,$F116,'ИП + источники'!$AC$27:$AC$203,"Амортизационные отчисления")+_xlfn.SUMIFS('ИП + источники'!BC$27:BC$203,'ИП + источники'!$F$27:$F$203,$F116,'ИП + источники'!$AC$27:$AC$203,"погашение займов и кредитов из амортизации")</f>
        <v>0</v>
      </c>
      <c r="BC116" s="1241">
        <f>_xlfn.SUMIFS('ИП + источники'!BD$27:BD$203,'ИП + источники'!$F$27:$F$203,$F116,'ИП + источники'!$AC$27:$AC$203,"Амортизационные отчисления")+_xlfn.SUMIFS('ИП + источники'!BD$27:BD$203,'ИП + источники'!$F$27:$F$203,$F116,'ИП + источники'!$AC$27:$AC$203,"погашение займов и кредитов из амортизации")</f>
        <v>0</v>
      </c>
      <c r="BD116" s="1114">
        <f>IF(AI116=0,0,(AT116-AI116)/AI116*100)</f>
        <v>0</v>
      </c>
      <c r="BE116" s="1114">
        <f>IF(AT116=0,0,(AU116-AT116)/AT116*100)</f>
        <v>0</v>
      </c>
      <c r="BF116" s="1114">
        <f>IF(AU116=0,0,(AV116-AU116)/AU116*100)</f>
        <v>0</v>
      </c>
      <c r="BG116" s="1114">
        <f>IF(AV116=0,0,(AW116-AV116)/AV116*100)</f>
        <v>0</v>
      </c>
      <c r="BH116" s="1114">
        <f>IF(AW116=0,0,(AX116-AW116)/AW116*100)</f>
        <v>0</v>
      </c>
      <c r="BI116" s="1114">
        <f>IF(AX116=0,0,(AY116-AX116)/AX116*100)</f>
        <v>0</v>
      </c>
      <c r="BJ116" s="1114">
        <f>IF(AY116=0,0,(AZ116-AY116)/AY116*100)</f>
        <v>0</v>
      </c>
      <c r="BK116" s="1114">
        <f>IF(AZ116=0,0,(BA116-AZ116)/AZ116*100)</f>
        <v>0</v>
      </c>
      <c r="BL116" s="1114">
        <f>IF(BA116=0,0,(BB116-BA116)/BA116*100)</f>
        <v>0</v>
      </c>
      <c r="BM116" s="1114">
        <f>IF(BB116=0,0,(BC116-BB116)/BB116*100)</f>
        <v>0</v>
      </c>
      <c r="BN116" s="1238"/>
      <c r="BO116" s="1238"/>
      <c r="BP116" s="1238"/>
      <c r="BQ116" s="1278"/>
      <c r="BR116" s="1278"/>
      <c r="BS116" s="1064" t="s">
        <v>2539</v>
      </c>
      <c r="BT116" s="1064"/>
      <c r="BU116" s="1064"/>
      <c r="BV116" s="979"/>
      <c r="BW116" s="979"/>
    </row>
    <row s="700" customFormat="1" customHeight="1" ht="20.475" hidden="1">
      <c r="A117" s="700"/>
      <c r="B117" s="432" cm="1" t="str">
        <f t="array" ref="B117:B117">B116</f>
        <v>true</v>
      </c>
      <c r="C117" s="109"/>
      <c r="D117" s="109"/>
      <c r="E117" s="826">
        <v>21</v>
      </c>
      <c r="F117" s="50" cm="1" t="str">
        <f t="array" ref="F117:F117">OFFSET(E117,-1,1)</f>
        <v>0</v>
      </c>
      <c r="G117" s="107" t="s">
        <v>2238</v>
      </c>
      <c r="H117" s="107"/>
      <c r="I117" s="107" t="s">
        <v>335</v>
      </c>
      <c r="J117" s="109"/>
      <c r="K117" s="158"/>
      <c r="L117" s="985" t="s">
        <v>1275</v>
      </c>
      <c r="M117" s="109"/>
      <c r="N117" s="109"/>
      <c r="O117" s="109"/>
      <c r="P117" s="109"/>
      <c r="Q117" s="109"/>
      <c r="R117" s="109"/>
      <c r="S117" s="109"/>
      <c r="T117" s="465" cm="1" t="str">
        <f t="array" ref="T117:T117">T116</f>
        <v>false</v>
      </c>
      <c r="U117" s="109"/>
      <c r="V117" s="109"/>
      <c r="W117" s="109"/>
      <c r="X117" s="1596"/>
      <c r="Y117" s="700"/>
      <c r="Z117" s="1546"/>
      <c r="AA117" s="700"/>
      <c r="AB117" s="211" t="s">
        <v>443</v>
      </c>
      <c r="AC117" s="212" t="s">
        <v>2238</v>
      </c>
      <c r="AD117" s="234" t="s">
        <v>1514</v>
      </c>
      <c r="AE117" s="213">
        <f>AE118+AE119+AE120+AE121</f>
        <v>0</v>
      </c>
      <c r="AF117" s="213">
        <f>AF118+AF119+AF120+AF121</f>
        <v>0</v>
      </c>
      <c r="AG117" s="213">
        <f>AG118+AG119+AG120+AG121</f>
        <v>0</v>
      </c>
      <c r="AH117" s="213">
        <f>AG117-AF117</f>
        <v>0</v>
      </c>
      <c r="AI117" s="213">
        <f>AI118+AI119+AI120+AI121</f>
        <v>0</v>
      </c>
      <c r="AJ117" s="213">
        <f>AJ118+AJ119+AJ120+AJ121</f>
        <v>0</v>
      </c>
      <c r="AK117" s="213">
        <f>AK118+AK119+AK120+AK121</f>
        <v>0</v>
      </c>
      <c r="AL117" s="213">
        <f>AL118+AL119+AL120+AL121</f>
        <v>0</v>
      </c>
      <c r="AM117" s="213">
        <f>AM118+AM119+AM120+AM121</f>
        <v>0</v>
      </c>
      <c r="AN117" s="213">
        <f>AN118+AN119+AN120+AN121</f>
        <v>0</v>
      </c>
      <c r="AO117" s="213">
        <f>AO118+AO119+AO120+AO121</f>
        <v>0</v>
      </c>
      <c r="AP117" s="213">
        <f>AP118+AP119+AP120+AP121</f>
        <v>0</v>
      </c>
      <c r="AQ117" s="213">
        <f>AQ118+AQ119+AQ120+AQ121</f>
        <v>0</v>
      </c>
      <c r="AR117" s="213">
        <f>AR118+AR119+AR120+AR121</f>
        <v>0</v>
      </c>
      <c r="AS117" s="213">
        <f>AS118+AS119+AS120+AS121</f>
        <v>0</v>
      </c>
      <c r="AT117" s="213">
        <f>AT118+AT119+AT120+AT121</f>
        <v>0</v>
      </c>
      <c r="AU117" s="213">
        <f>AU118+AU119+AU120+AU121</f>
        <v>0</v>
      </c>
      <c r="AV117" s="213">
        <f>AV118+AV119+AV120+AV121</f>
        <v>0</v>
      </c>
      <c r="AW117" s="213">
        <f>AW118+AW119+AW120+AW121</f>
        <v>0</v>
      </c>
      <c r="AX117" s="213">
        <f>AX118+AX119+AX120+AX121</f>
        <v>0</v>
      </c>
      <c r="AY117" s="213">
        <f>AY118+AY119+AY120+AY121</f>
        <v>0</v>
      </c>
      <c r="AZ117" s="213">
        <f>AZ118+AZ119+AZ120+AZ121</f>
        <v>0</v>
      </c>
      <c r="BA117" s="213">
        <f>BA118+BA119+BA120+BA121</f>
        <v>0</v>
      </c>
      <c r="BB117" s="213">
        <f>BB118+BB119+BB120+BB121</f>
        <v>0</v>
      </c>
      <c r="BC117" s="213">
        <f>BC118+BC119+BC120+BC121</f>
        <v>0</v>
      </c>
      <c r="BD117" s="778">
        <f>IF(AI117=0,0,(AT117-AI117)/AI117*100)</f>
        <v>0</v>
      </c>
      <c r="BE117" s="778">
        <f>IF(AT117=0,0,(AU117-AT117)/AT117*100)</f>
        <v>0</v>
      </c>
      <c r="BF117" s="778">
        <f>IF(AU117=0,0,(AV117-AU117)/AU117*100)</f>
        <v>0</v>
      </c>
      <c r="BG117" s="778">
        <f>IF(AV117=0,0,(AW117-AV117)/AV117*100)</f>
        <v>0</v>
      </c>
      <c r="BH117" s="778">
        <f>IF(AW117=0,0,(AX117-AW117)/AW117*100)</f>
        <v>0</v>
      </c>
      <c r="BI117" s="778">
        <f>IF(AX117=0,0,(AY117-AX117)/AX117*100)</f>
        <v>0</v>
      </c>
      <c r="BJ117" s="778">
        <f>IF(AY117=0,0,(AZ117-AY117)/AY117*100)</f>
        <v>0</v>
      </c>
      <c r="BK117" s="778">
        <f>IF(AZ117=0,0,(BA117-AZ117)/AZ117*100)</f>
        <v>0</v>
      </c>
      <c r="BL117" s="778">
        <f>IF(BA117=0,0,(BB117-BA117)/BA117*100)</f>
        <v>0</v>
      </c>
      <c r="BM117" s="778">
        <f>IF(BB117=0,0,(BC117-BB117)/BB117*100)</f>
        <v>0</v>
      </c>
      <c r="BN117" s="1238"/>
      <c r="BO117" s="1238"/>
      <c r="BP117" s="1238"/>
      <c r="BQ117" s="700"/>
      <c r="BR117" s="700"/>
      <c r="BS117" s="1063" t="s">
        <v>2242</v>
      </c>
      <c r="BT117" s="1070"/>
      <c r="BU117" s="1070"/>
      <c r="BV117" s="707"/>
      <c r="BW117" s="707"/>
    </row>
    <row customHeight="1" ht="14.625" hidden="1">
      <c r="A118" s="1278"/>
      <c r="B118" s="432" cm="1" t="str">
        <f t="array" ref="B118:B118">B117</f>
        <v>true</v>
      </c>
      <c r="C118" s="107"/>
      <c r="D118" s="107"/>
      <c r="E118" s="621">
        <v>15</v>
      </c>
      <c r="F118" s="50" cm="1" t="str">
        <f t="array" ref="F118:F118">OFFSET(E118,-1,1)</f>
        <v>0</v>
      </c>
      <c r="G118" s="107"/>
      <c r="H118" s="107"/>
      <c r="I118" s="107" t="s">
        <v>1263</v>
      </c>
      <c r="J118" s="107"/>
      <c r="K118" s="1278"/>
      <c r="L118" s="980"/>
      <c r="M118" s="107"/>
      <c r="N118" s="107"/>
      <c r="O118" s="107"/>
      <c r="P118" s="107"/>
      <c r="Q118" s="107"/>
      <c r="R118" s="107"/>
      <c r="S118" s="107"/>
      <c r="T118" s="465" cm="1" t="str">
        <f t="array" ref="T118:T118">T117</f>
        <v>false</v>
      </c>
      <c r="U118" s="107"/>
      <c r="V118" s="107"/>
      <c r="W118" s="107"/>
      <c r="X118" s="1596"/>
      <c r="Y118" s="1278"/>
      <c r="Z118" s="1546"/>
      <c r="AA118" s="1278"/>
      <c r="AB118" s="300" t="s">
        <v>1391</v>
      </c>
      <c r="AC118" s="762" t="s">
        <v>2832</v>
      </c>
      <c r="AD118" s="300" t="s">
        <v>1514</v>
      </c>
      <c r="AE118" s="1241">
        <f>_xlfn.SUMIFS('ИП + источники'!AF$27:AF$203,'ИП + источники'!$F$27:$F$203,$F118,'ИП + источники'!$AC$27:$AC$203,"погашение займов и кредитов из нормативной прибыли")</f>
        <v>0</v>
      </c>
      <c r="AF118" s="1241">
        <f>_xlfn.SUMIFS('ИП + источники'!AG$27:AG$203,'ИП + источники'!$F$27:$F$203,$F118,'ИП + источники'!$AC$27:$AC$203,"погашение займов и кредитов из нормативной прибыли")</f>
        <v>0</v>
      </c>
      <c r="AG118" s="1241">
        <f>_xlfn.SUMIFS('ИП + источники'!AH$27:AH$203,'ИП + источники'!$F$27:$F$203,$F118,'ИП + источники'!$AC$27:$AC$203,"погашение займов и кредитов из нормативной прибыли")</f>
        <v>0</v>
      </c>
      <c r="AH118" s="1114">
        <f>AG118-AF118</f>
        <v>0</v>
      </c>
      <c r="AI118" s="1241">
        <f>_xlfn.SUMIFS('ИП + источники'!AJ$27:AJ$203,'ИП + источники'!$F$27:$F$203,$F118,'ИП + источники'!$AC$27:$AC$203,"погашение займов и кредитов из нормативной прибыли")</f>
        <v>0</v>
      </c>
      <c r="AJ118" s="1241">
        <f>_xlfn.SUMIFS('ИП + источники'!AK$27:AK$203,'ИП + источники'!$F$27:$F$203,$F118,'ИП + источники'!$AC$27:$AC$203,"погашение займов и кредитов из нормативной прибыли")</f>
        <v>0</v>
      </c>
      <c r="AK118" s="1241">
        <f>_xlfn.SUMIFS('ИП + источники'!AL$27:AL$203,'ИП + источники'!$F$27:$F$203,$F118,'ИП + источники'!$AC$27:$AC$203,"погашение займов и кредитов из нормативной прибыли")</f>
        <v>0</v>
      </c>
      <c r="AL118" s="1241">
        <f>_xlfn.SUMIFS('ИП + источники'!AM$27:AM$203,'ИП + источники'!$F$27:$F$203,$F118,'ИП + источники'!$AC$27:$AC$203,"погашение займов и кредитов из нормативной прибыли")</f>
        <v>0</v>
      </c>
      <c r="AM118" s="1241">
        <f>_xlfn.SUMIFS('ИП + источники'!AN$27:AN$203,'ИП + источники'!$F$27:$F$203,$F118,'ИП + источники'!$AC$27:$AC$203,"погашение займов и кредитов из нормативной прибыли")</f>
        <v>0</v>
      </c>
      <c r="AN118" s="1241">
        <f>_xlfn.SUMIFS('ИП + источники'!AO$27:AO$203,'ИП + источники'!$F$27:$F$203,$F118,'ИП + источники'!$AC$27:$AC$203,"погашение займов и кредитов из нормативной прибыли")</f>
        <v>0</v>
      </c>
      <c r="AO118" s="1241">
        <f>_xlfn.SUMIFS('ИП + источники'!AP$27:AP$203,'ИП + источники'!$F$27:$F$203,$F118,'ИП + источники'!$AC$27:$AC$203,"погашение займов и кредитов из нормативной прибыли")</f>
        <v>0</v>
      </c>
      <c r="AP118" s="1241">
        <f>_xlfn.SUMIFS('ИП + источники'!AQ$27:AQ$203,'ИП + источники'!$F$27:$F$203,$F118,'ИП + источники'!$AC$27:$AC$203,"погашение займов и кредитов из нормативной прибыли")</f>
        <v>0</v>
      </c>
      <c r="AQ118" s="1241">
        <f>_xlfn.SUMIFS('ИП + источники'!AR$27:AR$203,'ИП + источники'!$F$27:$F$203,$F118,'ИП + источники'!$AC$27:$AC$203,"погашение займов и кредитов из нормативной прибыли")</f>
        <v>0</v>
      </c>
      <c r="AR118" s="1241">
        <f>_xlfn.SUMIFS('ИП + источники'!AS$27:AS$203,'ИП + источники'!$F$27:$F$203,$F118,'ИП + источники'!$AC$27:$AC$203,"погашение займов и кредитов из нормативной прибыли")</f>
        <v>0</v>
      </c>
      <c r="AS118" s="1241">
        <f>_xlfn.SUMIFS('ИП + источники'!AT$27:AT$203,'ИП + источники'!$F$27:$F$203,$F118,'ИП + источники'!$AC$27:$AC$203,"погашение займов и кредитов из нормативной прибыли")</f>
        <v>0</v>
      </c>
      <c r="AT118" s="1241">
        <f>_xlfn.SUMIFS('ИП + источники'!AU$27:AU$203,'ИП + источники'!$F$27:$F$203,$F118,'ИП + источники'!$AC$27:$AC$203,"погашение займов и кредитов из нормативной прибыли")</f>
        <v>0</v>
      </c>
      <c r="AU118" s="1241">
        <f>_xlfn.SUMIFS('ИП + источники'!AV$27:AV$203,'ИП + источники'!$F$27:$F$203,$F118,'ИП + источники'!$AC$27:$AC$203,"погашение займов и кредитов из нормативной прибыли")</f>
        <v>0</v>
      </c>
      <c r="AV118" s="1241">
        <f>_xlfn.SUMIFS('ИП + источники'!AW$27:AW$203,'ИП + источники'!$F$27:$F$203,$F118,'ИП + источники'!$AC$27:$AC$203,"погашение займов и кредитов из нормативной прибыли")</f>
        <v>0</v>
      </c>
      <c r="AW118" s="1241">
        <f>_xlfn.SUMIFS('ИП + источники'!AX$27:AX$203,'ИП + источники'!$F$27:$F$203,$F118,'ИП + источники'!$AC$27:$AC$203,"погашение займов и кредитов из нормативной прибыли")</f>
        <v>0</v>
      </c>
      <c r="AX118" s="1241">
        <f>_xlfn.SUMIFS('ИП + источники'!AY$27:AY$203,'ИП + источники'!$F$27:$F$203,$F118,'ИП + источники'!$AC$27:$AC$203,"погашение займов и кредитов из нормативной прибыли")</f>
        <v>0</v>
      </c>
      <c r="AY118" s="1241">
        <f>_xlfn.SUMIFS('ИП + источники'!AZ$27:AZ$203,'ИП + источники'!$F$27:$F$203,$F118,'ИП + источники'!$AC$27:$AC$203,"погашение займов и кредитов из нормативной прибыли")</f>
        <v>0</v>
      </c>
      <c r="AZ118" s="1241">
        <f>_xlfn.SUMIFS('ИП + источники'!BA$27:BA$203,'ИП + источники'!$F$27:$F$203,$F118,'ИП + источники'!$AC$27:$AC$203,"погашение займов и кредитов из нормативной прибыли")</f>
        <v>0</v>
      </c>
      <c r="BA118" s="1241">
        <f>_xlfn.SUMIFS('ИП + источники'!BB$27:BB$203,'ИП + источники'!$F$27:$F$203,$F118,'ИП + источники'!$AC$27:$AC$203,"погашение займов и кредитов из нормативной прибыли")</f>
        <v>0</v>
      </c>
      <c r="BB118" s="1241">
        <f>_xlfn.SUMIFS('ИП + источники'!BC$27:BC$203,'ИП + источники'!$F$27:$F$203,$F118,'ИП + источники'!$AC$27:$AC$203,"погашение займов и кредитов из нормативной прибыли")</f>
        <v>0</v>
      </c>
      <c r="BC118" s="1241">
        <f>_xlfn.SUMIFS('ИП + источники'!BD$27:BD$203,'ИП + источники'!$F$27:$F$203,$F118,'ИП + источники'!$AC$27:$AC$203,"погашение займов и кредитов из нормативной прибыли")</f>
        <v>0</v>
      </c>
      <c r="BD118" s="1114">
        <f>IF(AI118=0,0,(AT118-AI118)/AI118*100)</f>
        <v>0</v>
      </c>
      <c r="BE118" s="1114">
        <f>IF(AT118=0,0,(AU118-AT118)/AT118*100)</f>
        <v>0</v>
      </c>
      <c r="BF118" s="1114">
        <f>IF(AU118=0,0,(AV118-AU118)/AU118*100)</f>
        <v>0</v>
      </c>
      <c r="BG118" s="1114">
        <f>IF(AV118=0,0,(AW118-AV118)/AV118*100)</f>
        <v>0</v>
      </c>
      <c r="BH118" s="1114">
        <f>IF(AW118=0,0,(AX118-AW118)/AW118*100)</f>
        <v>0</v>
      </c>
      <c r="BI118" s="1114">
        <f>IF(AX118=0,0,(AY118-AX118)/AX118*100)</f>
        <v>0</v>
      </c>
      <c r="BJ118" s="1114">
        <f>IF(AY118=0,0,(AZ118-AY118)/AY118*100)</f>
        <v>0</v>
      </c>
      <c r="BK118" s="1114">
        <f>IF(AZ118=0,0,(BA118-AZ118)/AZ118*100)</f>
        <v>0</v>
      </c>
      <c r="BL118" s="1114">
        <f>IF(BA118=0,0,(BB118-BA118)/BA118*100)</f>
        <v>0</v>
      </c>
      <c r="BM118" s="1114">
        <f>IF(BB118=0,0,(BC118-BB118)/BB118*100)</f>
        <v>0</v>
      </c>
      <c r="BN118" s="1238"/>
      <c r="BO118" s="1242" t="str">
        <f>IF(_xlfn.IFERROR(INDEX('ИП + источники'!$K$57:$L$203,MATCH($F118&amp;"2komm",'ИП + источники'!$K$57:$K$203,0),2),"")=0,"",_xlfn.IFERROR(INDEX('ИП + источники'!$K$57:$L$203,MATCH($F118&amp;"2komm",'ИП + источники'!$K$57:$K$203,0),2),""))</f>
        <v/>
      </c>
      <c r="BP118" s="1238"/>
      <c r="BQ118" s="1278"/>
      <c r="BR118" s="1278"/>
      <c r="BS118" s="1064" t="s">
        <v>2833</v>
      </c>
      <c r="BT118" s="1064"/>
      <c r="BU118" s="1064"/>
      <c r="BV118" s="979"/>
      <c r="BW118" s="979"/>
    </row>
    <row customHeight="1" ht="14.625" hidden="1">
      <c r="A119" s="1278"/>
      <c r="B119" s="432" cm="1" t="str">
        <f t="array" ref="B119:B119">B118</f>
        <v>true</v>
      </c>
      <c r="C119" s="107"/>
      <c r="D119" s="107"/>
      <c r="E119" s="621">
        <v>15</v>
      </c>
      <c r="F119" s="50" cm="1" t="str">
        <f t="array" ref="F119:F119">OFFSET(E119,-1,1)</f>
        <v>0</v>
      </c>
      <c r="G119" s="107"/>
      <c r="H119" s="107"/>
      <c r="I119" s="107" t="s">
        <v>1267</v>
      </c>
      <c r="J119" s="107"/>
      <c r="K119" s="1278"/>
      <c r="L119" s="980"/>
      <c r="M119" s="107"/>
      <c r="N119" s="107"/>
      <c r="O119" s="107"/>
      <c r="P119" s="107"/>
      <c r="Q119" s="107"/>
      <c r="R119" s="107"/>
      <c r="S119" s="107"/>
      <c r="T119" s="465" cm="1" t="str">
        <f t="array" ref="T119:T119">T118</f>
        <v>false</v>
      </c>
      <c r="U119" s="107"/>
      <c r="V119" s="107"/>
      <c r="W119" s="107"/>
      <c r="X119" s="1596"/>
      <c r="Y119" s="1278"/>
      <c r="Z119" s="1546"/>
      <c r="AA119" s="1278"/>
      <c r="AB119" s="300" t="s">
        <v>1394</v>
      </c>
      <c r="AC119" s="762" t="s">
        <v>2834</v>
      </c>
      <c r="AD119" s="300" t="s">
        <v>1514</v>
      </c>
      <c r="AE119" s="1241">
        <f>_xlfn.SUMIFS('ИП + источники'!AF$27:AF$203,'ИП + источники'!$F$27:$F$203,$F119,'ИП + источники'!$AC$27:$AC$203,"уплата процентов по кредитам из нормативной прибыли")</f>
        <v>0</v>
      </c>
      <c r="AF119" s="1241">
        <f>_xlfn.SUMIFS('ИП + источники'!AG$27:AG$203,'ИП + источники'!$F$27:$F$203,$F119,'ИП + источники'!$AC$27:$AC$203,"уплата процентов по кредитам из нормативной прибыли")</f>
        <v>0</v>
      </c>
      <c r="AG119" s="1241">
        <f>_xlfn.SUMIFS('ИП + источники'!AH$27:AH$203,'ИП + источники'!$F$27:$F$203,$F119,'ИП + источники'!$AC$27:$AC$203,"уплата процентов по кредитам из нормативной прибыли")</f>
        <v>0</v>
      </c>
      <c r="AH119" s="1114">
        <f>AG119-AF119</f>
        <v>0</v>
      </c>
      <c r="AI119" s="1241">
        <f>_xlfn.SUMIFS('ИП + источники'!AJ$27:AJ$203,'ИП + источники'!$F$27:$F$203,$F119,'ИП + источники'!$AC$27:$AC$203,"уплата процентов по кредитам из нормативной прибыли")</f>
        <v>0</v>
      </c>
      <c r="AJ119" s="1241">
        <f>_xlfn.SUMIFS('ИП + источники'!AK$27:AK$203,'ИП + источники'!$F$27:$F$203,$F119,'ИП + источники'!$AC$27:$AC$203,"уплата процентов по кредитам из нормативной прибыли")</f>
        <v>0</v>
      </c>
      <c r="AK119" s="1241">
        <f>_xlfn.SUMIFS('ИП + источники'!AL$27:AL$203,'ИП + источники'!$F$27:$F$203,$F119,'ИП + источники'!$AC$27:$AC$203,"уплата процентов по кредитам из нормативной прибыли")</f>
        <v>0</v>
      </c>
      <c r="AL119" s="1241">
        <f>_xlfn.SUMIFS('ИП + источники'!AM$27:AM$203,'ИП + источники'!$F$27:$F$203,$F119,'ИП + источники'!$AC$27:$AC$203,"уплата процентов по кредитам из нормативной прибыли")</f>
        <v>0</v>
      </c>
      <c r="AM119" s="1241">
        <f>_xlfn.SUMIFS('ИП + источники'!AN$27:AN$203,'ИП + источники'!$F$27:$F$203,$F119,'ИП + источники'!$AC$27:$AC$203,"уплата процентов по кредитам из нормативной прибыли")</f>
        <v>0</v>
      </c>
      <c r="AN119" s="1241">
        <f>_xlfn.SUMIFS('ИП + источники'!AO$27:AO$203,'ИП + источники'!$F$27:$F$203,$F119,'ИП + источники'!$AC$27:$AC$203,"уплата процентов по кредитам из нормативной прибыли")</f>
        <v>0</v>
      </c>
      <c r="AO119" s="1241">
        <f>_xlfn.SUMIFS('ИП + источники'!AP$27:AP$203,'ИП + источники'!$F$27:$F$203,$F119,'ИП + источники'!$AC$27:$AC$203,"уплата процентов по кредитам из нормативной прибыли")</f>
        <v>0</v>
      </c>
      <c r="AP119" s="1241">
        <f>_xlfn.SUMIFS('ИП + источники'!AQ$27:AQ$203,'ИП + источники'!$F$27:$F$203,$F119,'ИП + источники'!$AC$27:$AC$203,"уплата процентов по кредитам из нормативной прибыли")</f>
        <v>0</v>
      </c>
      <c r="AQ119" s="1241">
        <f>_xlfn.SUMIFS('ИП + источники'!AR$27:AR$203,'ИП + источники'!$F$27:$F$203,$F119,'ИП + источники'!$AC$27:$AC$203,"уплата процентов по кредитам из нормативной прибыли")</f>
        <v>0</v>
      </c>
      <c r="AR119" s="1241">
        <f>_xlfn.SUMIFS('ИП + источники'!AS$27:AS$203,'ИП + источники'!$F$27:$F$203,$F119,'ИП + источники'!$AC$27:$AC$203,"уплата процентов по кредитам из нормативной прибыли")</f>
        <v>0</v>
      </c>
      <c r="AS119" s="1241">
        <f>_xlfn.SUMIFS('ИП + источники'!AT$27:AT$203,'ИП + источники'!$F$27:$F$203,$F119,'ИП + источники'!$AC$27:$AC$203,"уплата процентов по кредитам из нормативной прибыли")</f>
        <v>0</v>
      </c>
      <c r="AT119" s="1241">
        <f>_xlfn.SUMIFS('ИП + источники'!AU$27:AU$203,'ИП + источники'!$F$27:$F$203,$F119,'ИП + источники'!$AC$27:$AC$203,"уплата процентов по кредитам из нормативной прибыли")</f>
        <v>0</v>
      </c>
      <c r="AU119" s="1241">
        <f>_xlfn.SUMIFS('ИП + источники'!AV$27:AV$203,'ИП + источники'!$F$27:$F$203,$F119,'ИП + источники'!$AC$27:$AC$203,"уплата процентов по кредитам из нормативной прибыли")</f>
        <v>0</v>
      </c>
      <c r="AV119" s="1241">
        <f>_xlfn.SUMIFS('ИП + источники'!AW$27:AW$203,'ИП + источники'!$F$27:$F$203,$F119,'ИП + источники'!$AC$27:$AC$203,"уплата процентов по кредитам из нормативной прибыли")</f>
        <v>0</v>
      </c>
      <c r="AW119" s="1241">
        <f>_xlfn.SUMIFS('ИП + источники'!AX$27:AX$203,'ИП + источники'!$F$27:$F$203,$F119,'ИП + источники'!$AC$27:$AC$203,"уплата процентов по кредитам из нормативной прибыли")</f>
        <v>0</v>
      </c>
      <c r="AX119" s="1241">
        <f>_xlfn.SUMIFS('ИП + источники'!AY$27:AY$203,'ИП + источники'!$F$27:$F$203,$F119,'ИП + источники'!$AC$27:$AC$203,"уплата процентов по кредитам из нормативной прибыли")</f>
        <v>0</v>
      </c>
      <c r="AY119" s="1241">
        <f>_xlfn.SUMIFS('ИП + источники'!AZ$27:AZ$203,'ИП + источники'!$F$27:$F$203,$F119,'ИП + источники'!$AC$27:$AC$203,"уплата процентов по кредитам из нормативной прибыли")</f>
        <v>0</v>
      </c>
      <c r="AZ119" s="1241">
        <f>_xlfn.SUMIFS('ИП + источники'!BA$27:BA$203,'ИП + источники'!$F$27:$F$203,$F119,'ИП + источники'!$AC$27:$AC$203,"уплата процентов по кредитам из нормативной прибыли")</f>
        <v>0</v>
      </c>
      <c r="BA119" s="1241">
        <f>_xlfn.SUMIFS('ИП + источники'!BB$27:BB$203,'ИП + источники'!$F$27:$F$203,$F119,'ИП + источники'!$AC$27:$AC$203,"уплата процентов по кредитам из нормативной прибыли")</f>
        <v>0</v>
      </c>
      <c r="BB119" s="1241">
        <f>_xlfn.SUMIFS('ИП + источники'!BC$27:BC$203,'ИП + источники'!$F$27:$F$203,$F119,'ИП + источники'!$AC$27:$AC$203,"уплата процентов по кредитам из нормативной прибыли")</f>
        <v>0</v>
      </c>
      <c r="BC119" s="1241">
        <f>_xlfn.SUMIFS('ИП + источники'!BD$27:BD$203,'ИП + источники'!$F$27:$F$203,$F119,'ИП + источники'!$AC$27:$AC$203,"уплата процентов по кредитам из нормативной прибыли")</f>
        <v>0</v>
      </c>
      <c r="BD119" s="1114">
        <f>IF(AI119=0,0,(AT119-AI119)/AI119*100)</f>
        <v>0</v>
      </c>
      <c r="BE119" s="1114">
        <f>IF(AT119=0,0,(AU119-AT119)/AT119*100)</f>
        <v>0</v>
      </c>
      <c r="BF119" s="1114">
        <f>IF(AU119=0,0,(AV119-AU119)/AU119*100)</f>
        <v>0</v>
      </c>
      <c r="BG119" s="1114">
        <f>IF(AV119=0,0,(AW119-AV119)/AV119*100)</f>
        <v>0</v>
      </c>
      <c r="BH119" s="1114">
        <f>IF(AW119=0,0,(AX119-AW119)/AW119*100)</f>
        <v>0</v>
      </c>
      <c r="BI119" s="1114">
        <f>IF(AX119=0,0,(AY119-AX119)/AX119*100)</f>
        <v>0</v>
      </c>
      <c r="BJ119" s="1114">
        <f>IF(AY119=0,0,(AZ119-AY119)/AY119*100)</f>
        <v>0</v>
      </c>
      <c r="BK119" s="1114">
        <f>IF(AZ119=0,0,(BA119-AZ119)/AZ119*100)</f>
        <v>0</v>
      </c>
      <c r="BL119" s="1114">
        <f>IF(BA119=0,0,(BB119-BA119)/BA119*100)</f>
        <v>0</v>
      </c>
      <c r="BM119" s="1114">
        <f>IF(BB119=0,0,(BC119-BB119)/BB119*100)</f>
        <v>0</v>
      </c>
      <c r="BN119" s="1238"/>
      <c r="BO119" s="1242" t="str">
        <f>IF(_xlfn.IFERROR(INDEX('ИП + источники'!$K$57:$L$203,MATCH($F119&amp;"3komm",'ИП + источники'!$K$57:$K$203,0),2),"")=0,"",_xlfn.IFERROR(INDEX('ИП + источники'!$K$57:$L$203,MATCH($F119&amp;"3komm",'ИП + источники'!$K$57:$K$203,0),2),""))</f>
        <v/>
      </c>
      <c r="BP119" s="1238"/>
      <c r="BQ119" s="1278"/>
      <c r="BR119" s="1278"/>
      <c r="BS119" s="1064" t="s">
        <v>2835</v>
      </c>
      <c r="BT119" s="1064"/>
      <c r="BU119" s="1064"/>
      <c r="BV119" s="979"/>
      <c r="BW119" s="979"/>
    </row>
    <row customHeight="1" ht="14.625" hidden="1">
      <c r="A120" s="1278"/>
      <c r="B120" s="432" cm="1" t="str">
        <f t="array" ref="B120:B120">B119</f>
        <v>true</v>
      </c>
      <c r="C120" s="107"/>
      <c r="D120" s="107"/>
      <c r="E120" s="621">
        <v>15</v>
      </c>
      <c r="F120" s="50" cm="1" t="str">
        <f t="array" ref="F120:F120">OFFSET(E120,-1,1)</f>
        <v>0</v>
      </c>
      <c r="G120" s="107"/>
      <c r="H120" s="107"/>
      <c r="I120" s="107" t="s">
        <v>1479</v>
      </c>
      <c r="J120" s="107"/>
      <c r="K120" s="1278"/>
      <c r="L120" s="980" t="s">
        <v>1282</v>
      </c>
      <c r="M120" s="107"/>
      <c r="N120" s="107"/>
      <c r="O120" s="107"/>
      <c r="P120" s="107"/>
      <c r="Q120" s="107"/>
      <c r="R120" s="107"/>
      <c r="S120" s="107"/>
      <c r="T120" s="465" cm="1" t="str">
        <f t="array" ref="T120:T120">T119</f>
        <v>false</v>
      </c>
      <c r="U120" s="107"/>
      <c r="V120" s="107"/>
      <c r="W120" s="107"/>
      <c r="X120" s="1596"/>
      <c r="Y120" s="1278"/>
      <c r="Z120" s="1546"/>
      <c r="AA120" s="1278"/>
      <c r="AB120" s="300" t="s">
        <v>1683</v>
      </c>
      <c r="AC120" s="762" t="s">
        <v>2836</v>
      </c>
      <c r="AD120" s="300" t="s">
        <v>1514</v>
      </c>
      <c r="AE120" s="1241">
        <f>_xlfn.SUMIFS('ИП + источники'!AF$27:AF$203,'ИП + источники'!$F$27:$F$203,$F120,'ИП + источники'!$AC$27:$AC$203,"Прибыль на капвложения")</f>
        <v>0</v>
      </c>
      <c r="AF120" s="1241">
        <f>_xlfn.SUMIFS('ИП + источники'!AG$27:AG$203,'ИП + источники'!$F$27:$F$203,$F120,'ИП + источники'!$AC$27:$AC$203,"Прибыль на капвложения")</f>
        <v>0</v>
      </c>
      <c r="AG120" s="1241">
        <f>_xlfn.SUMIFS('ИП + источники'!AH$27:AH$203,'ИП + источники'!$F$27:$F$203,$F120,'ИП + источники'!$AC$27:$AC$203,"Прибыль на капвложения")</f>
        <v>0</v>
      </c>
      <c r="AH120" s="1114">
        <f>AG120-AF120</f>
        <v>0</v>
      </c>
      <c r="AI120" s="1241">
        <f>_xlfn.SUMIFS('ИП + источники'!AJ$27:AJ$203,'ИП + источники'!$F$27:$F$203,$F120,'ИП + источники'!$AC$27:$AC$203,"Прибыль на капвложения")</f>
        <v>0</v>
      </c>
      <c r="AJ120" s="1241">
        <f>_xlfn.SUMIFS('ИП + источники'!AK$27:AK$203,'ИП + источники'!$F$27:$F$203,$F120,'ИП + источники'!$AC$27:$AC$203,"Прибыль на капвложения")</f>
        <v>0</v>
      </c>
      <c r="AK120" s="1241">
        <f>_xlfn.SUMIFS('ИП + источники'!AL$27:AL$203,'ИП + источники'!$F$27:$F$203,$F120,'ИП + источники'!$AC$27:$AC$203,"Прибыль на капвложения")</f>
        <v>0</v>
      </c>
      <c r="AL120" s="1241">
        <f>_xlfn.SUMIFS('ИП + источники'!AM$27:AM$203,'ИП + источники'!$F$27:$F$203,$F120,'ИП + источники'!$AC$27:$AC$203,"Прибыль на капвложения")</f>
        <v>0</v>
      </c>
      <c r="AM120" s="1241">
        <f>_xlfn.SUMIFS('ИП + источники'!AN$27:AN$203,'ИП + источники'!$F$27:$F$203,$F120,'ИП + источники'!$AC$27:$AC$203,"Прибыль на капвложения")</f>
        <v>0</v>
      </c>
      <c r="AN120" s="1241">
        <f>_xlfn.SUMIFS('ИП + источники'!AO$27:AO$203,'ИП + источники'!$F$27:$F$203,$F120,'ИП + источники'!$AC$27:$AC$203,"Прибыль на капвложения")</f>
        <v>0</v>
      </c>
      <c r="AO120" s="1241">
        <f>_xlfn.SUMIFS('ИП + источники'!AP$27:AP$203,'ИП + источники'!$F$27:$F$203,$F120,'ИП + источники'!$AC$27:$AC$203,"Прибыль на капвложения")</f>
        <v>0</v>
      </c>
      <c r="AP120" s="1241">
        <f>_xlfn.SUMIFS('ИП + источники'!AQ$27:AQ$203,'ИП + источники'!$F$27:$F$203,$F120,'ИП + источники'!$AC$27:$AC$203,"Прибыль на капвложения")</f>
        <v>0</v>
      </c>
      <c r="AQ120" s="1241">
        <f>_xlfn.SUMIFS('ИП + источники'!AR$27:AR$203,'ИП + источники'!$F$27:$F$203,$F120,'ИП + источники'!$AC$27:$AC$203,"Прибыль на капвложения")</f>
        <v>0</v>
      </c>
      <c r="AR120" s="1241">
        <f>_xlfn.SUMIFS('ИП + источники'!AS$27:AS$203,'ИП + источники'!$F$27:$F$203,$F120,'ИП + источники'!$AC$27:$AC$203,"Прибыль на капвложения")</f>
        <v>0</v>
      </c>
      <c r="AS120" s="1241">
        <f>_xlfn.SUMIFS('ИП + источники'!AT$27:AT$203,'ИП + источники'!$F$27:$F$203,$F120,'ИП + источники'!$AC$27:$AC$203,"Прибыль на капвложения")</f>
        <v>0</v>
      </c>
      <c r="AT120" s="1241">
        <f>_xlfn.SUMIFS('ИП + источники'!AU$27:AU$203,'ИП + источники'!$F$27:$F$203,$F120,'ИП + источники'!$AC$27:$AC$203,"Прибыль на капвложения")</f>
        <v>0</v>
      </c>
      <c r="AU120" s="1241">
        <f>_xlfn.SUMIFS('ИП + источники'!AV$27:AV$203,'ИП + источники'!$F$27:$F$203,$F120,'ИП + источники'!$AC$27:$AC$203,"Прибыль на капвложения")</f>
        <v>0</v>
      </c>
      <c r="AV120" s="1241">
        <f>_xlfn.SUMIFS('ИП + источники'!AW$27:AW$203,'ИП + источники'!$F$27:$F$203,$F120,'ИП + источники'!$AC$27:$AC$203,"Прибыль на капвложения")</f>
        <v>0</v>
      </c>
      <c r="AW120" s="1241">
        <f>_xlfn.SUMIFS('ИП + источники'!AX$27:AX$203,'ИП + источники'!$F$27:$F$203,$F120,'ИП + источники'!$AC$27:$AC$203,"Прибыль на капвложения")</f>
        <v>0</v>
      </c>
      <c r="AX120" s="1241">
        <f>_xlfn.SUMIFS('ИП + источники'!AY$27:AY$203,'ИП + источники'!$F$27:$F$203,$F120,'ИП + источники'!$AC$27:$AC$203,"Прибыль на капвложения")</f>
        <v>0</v>
      </c>
      <c r="AY120" s="1241">
        <f>_xlfn.SUMIFS('ИП + источники'!AZ$27:AZ$203,'ИП + источники'!$F$27:$F$203,$F120,'ИП + источники'!$AC$27:$AC$203,"Прибыль на капвложения")</f>
        <v>0</v>
      </c>
      <c r="AZ120" s="1241">
        <f>_xlfn.SUMIFS('ИП + источники'!BA$27:BA$203,'ИП + источники'!$F$27:$F$203,$F120,'ИП + источники'!$AC$27:$AC$203,"Прибыль на капвложения")</f>
        <v>0</v>
      </c>
      <c r="BA120" s="1241">
        <f>_xlfn.SUMIFS('ИП + источники'!BB$27:BB$203,'ИП + источники'!$F$27:$F$203,$F120,'ИП + источники'!$AC$27:$AC$203,"Прибыль на капвложения")</f>
        <v>0</v>
      </c>
      <c r="BB120" s="1241">
        <f>_xlfn.SUMIFS('ИП + источники'!BC$27:BC$203,'ИП + источники'!$F$27:$F$203,$F120,'ИП + источники'!$AC$27:$AC$203,"Прибыль на капвложения")</f>
        <v>0</v>
      </c>
      <c r="BC120" s="1241">
        <f>_xlfn.SUMIFS('ИП + источники'!BD$27:BD$203,'ИП + источники'!$F$27:$F$203,$F120,'ИП + источники'!$AC$27:$AC$203,"Прибыль на капвложения")</f>
        <v>0</v>
      </c>
      <c r="BD120" s="1114">
        <f>IF(AI120=0,0,(AT120-AI120)/AI120*100)</f>
        <v>0</v>
      </c>
      <c r="BE120" s="1114">
        <f>IF(AT120=0,0,(AU120-AT120)/AT120*100)</f>
        <v>0</v>
      </c>
      <c r="BF120" s="1114">
        <f>IF(AU120=0,0,(AV120-AU120)/AU120*100)</f>
        <v>0</v>
      </c>
      <c r="BG120" s="1114">
        <f>IF(AV120=0,0,(AW120-AV120)/AV120*100)</f>
        <v>0</v>
      </c>
      <c r="BH120" s="1114">
        <f>IF(AW120=0,0,(AX120-AW120)/AW120*100)</f>
        <v>0</v>
      </c>
      <c r="BI120" s="1114">
        <f>IF(AX120=0,0,(AY120-AX120)/AX120*100)</f>
        <v>0</v>
      </c>
      <c r="BJ120" s="1114">
        <f>IF(AY120=0,0,(AZ120-AY120)/AY120*100)</f>
        <v>0</v>
      </c>
      <c r="BK120" s="1114">
        <f>IF(AZ120=0,0,(BA120-AZ120)/AZ120*100)</f>
        <v>0</v>
      </c>
      <c r="BL120" s="1114">
        <f>IF(BA120=0,0,(BB120-BA120)/BA120*100)</f>
        <v>0</v>
      </c>
      <c r="BM120" s="1114">
        <f>IF(BB120=0,0,(BC120-BB120)/BB120*100)</f>
        <v>0</v>
      </c>
      <c r="BN120" s="1238"/>
      <c r="BO120" s="1242" t="str">
        <f>IF(_xlfn.IFERROR(INDEX('ИП + источники'!$K$57:$L$203,MATCH($F120&amp;"1komm",'ИП + источники'!$K$57:$K$203,0),2),"")=0,"",_xlfn.IFERROR(INDEX('ИП + источники'!$K$57:$L$203,MATCH($F120&amp;"1komm",'ИП + источники'!$K$57:$K$203,0),2),""))</f>
        <v/>
      </c>
      <c r="BP120" s="1238"/>
      <c r="BQ120" s="1278"/>
      <c r="BR120" s="1278"/>
      <c r="BS120" s="1064" t="s">
        <v>2546</v>
      </c>
      <c r="BT120" s="1064"/>
      <c r="BU120" s="1064"/>
      <c r="BV120" s="979"/>
      <c r="BW120" s="979"/>
    </row>
    <row customHeight="1" ht="21.9375" hidden="1">
      <c r="A121" s="1278"/>
      <c r="B121" s="432" cm="1" t="str">
        <f t="array" ref="B121:B121">B120</f>
        <v>true</v>
      </c>
      <c r="C121" s="107"/>
      <c r="D121" s="107"/>
      <c r="E121" s="621">
        <v>22.5</v>
      </c>
      <c r="F121" s="50" cm="1" t="str">
        <f t="array" ref="F121:F121">OFFSET(E121,-1,1)</f>
        <v>0</v>
      </c>
      <c r="G121" s="107" t="s">
        <v>2837</v>
      </c>
      <c r="H121" s="107"/>
      <c r="I121" s="107" t="s">
        <v>1685</v>
      </c>
      <c r="J121" s="107"/>
      <c r="K121" s="1278"/>
      <c r="L121" s="980" t="s">
        <v>1286</v>
      </c>
      <c r="M121" s="107"/>
      <c r="N121" s="107"/>
      <c r="O121" s="107"/>
      <c r="P121" s="107"/>
      <c r="Q121" s="107"/>
      <c r="R121" s="107"/>
      <c r="S121" s="107"/>
      <c r="T121" s="465" cm="1" t="str">
        <f t="array" ref="T121:T121">T120</f>
        <v>false</v>
      </c>
      <c r="U121" s="107"/>
      <c r="V121" s="107"/>
      <c r="W121" s="107"/>
      <c r="X121" s="1596"/>
      <c r="Y121" s="1278"/>
      <c r="Z121" s="1546"/>
      <c r="AA121" s="1278"/>
      <c r="AB121" s="300" t="s">
        <v>1686</v>
      </c>
      <c r="AC121" s="762" t="s">
        <v>2838</v>
      </c>
      <c r="AD121" s="300" t="s">
        <v>1514</v>
      </c>
      <c r="AE121" s="1241"/>
      <c r="AF121" s="1241"/>
      <c r="AG121" s="1241"/>
      <c r="AH121" s="1114">
        <f>AG121-AF121</f>
        <v>0</v>
      </c>
      <c r="AI121" s="1241"/>
      <c r="AJ121" s="1241"/>
      <c r="AK121" s="1241"/>
      <c r="AL121" s="1241"/>
      <c r="AM121" s="1241"/>
      <c r="AN121" s="1241"/>
      <c r="AO121" s="1241"/>
      <c r="AP121" s="1241"/>
      <c r="AQ121" s="1241"/>
      <c r="AR121" s="1241"/>
      <c r="AS121" s="1241"/>
      <c r="AT121" s="1241"/>
      <c r="AU121" s="1241"/>
      <c r="AV121" s="1241"/>
      <c r="AW121" s="1241"/>
      <c r="AX121" s="1241"/>
      <c r="AY121" s="1241"/>
      <c r="AZ121" s="1241"/>
      <c r="BA121" s="1241"/>
      <c r="BB121" s="1241"/>
      <c r="BC121" s="1241"/>
      <c r="BD121" s="1114">
        <f>IF(AI121=0,0,(AT121-AI121)/AI121*100)</f>
        <v>0</v>
      </c>
      <c r="BE121" s="1114">
        <f>IF(AT121=0,0,(AU121-AT121)/AT121*100)</f>
        <v>0</v>
      </c>
      <c r="BF121" s="1114">
        <f>IF(AU121=0,0,(AV121-AU121)/AU121*100)</f>
        <v>0</v>
      </c>
      <c r="BG121" s="1114">
        <f>IF(AV121=0,0,(AW121-AV121)/AV121*100)</f>
        <v>0</v>
      </c>
      <c r="BH121" s="1114">
        <f>IF(AW121=0,0,(AX121-AW121)/AW121*100)</f>
        <v>0</v>
      </c>
      <c r="BI121" s="1114">
        <f>IF(AX121=0,0,(AY121-AX121)/AX121*100)</f>
        <v>0</v>
      </c>
      <c r="BJ121" s="1114">
        <f>IF(AY121=0,0,(AZ121-AY121)/AY121*100)</f>
        <v>0</v>
      </c>
      <c r="BK121" s="1114">
        <f>IF(AZ121=0,0,(BA121-AZ121)/AZ121*100)</f>
        <v>0</v>
      </c>
      <c r="BL121" s="1114">
        <f>IF(BA121=0,0,(BB121-BA121)/BA121*100)</f>
        <v>0</v>
      </c>
      <c r="BM121" s="1114">
        <f>IF(BB121=0,0,(BC121-BB121)/BB121*100)</f>
        <v>0</v>
      </c>
      <c r="BN121" s="1238"/>
      <c r="BO121" s="1238"/>
      <c r="BP121" s="1238"/>
      <c r="BQ121" s="1278"/>
      <c r="BR121" s="1278"/>
      <c r="BS121" s="1064" t="s">
        <v>2839</v>
      </c>
      <c r="BT121" s="1064"/>
      <c r="BU121" s="1064"/>
      <c r="BV121" s="979"/>
      <c r="BW121" s="979"/>
    </row>
    <row customHeight="1" ht="14.625" hidden="1">
      <c r="A122" s="1278"/>
      <c r="B122" s="432">
        <f>AND(method_reg="Метод индексации",STATUS_GO="да")</f>
        <v>1</v>
      </c>
      <c r="C122" s="107"/>
      <c r="D122" s="107"/>
      <c r="E122" s="621">
        <v>15</v>
      </c>
      <c r="F122" s="50" cm="1" t="str">
        <f t="array" ref="F122:F122">OFFSET(E122,-1,1)</f>
        <v>0</v>
      </c>
      <c r="G122" s="107" t="s">
        <v>2549</v>
      </c>
      <c r="H122" s="107"/>
      <c r="I122" s="107" t="s">
        <v>1225</v>
      </c>
      <c r="J122" s="107"/>
      <c r="K122" s="1278"/>
      <c r="L122" s="980" t="s">
        <v>1290</v>
      </c>
      <c r="M122" s="107"/>
      <c r="N122" s="107"/>
      <c r="O122" s="107"/>
      <c r="P122" s="107"/>
      <c r="Q122" s="107"/>
      <c r="R122" s="107"/>
      <c r="S122" s="107"/>
      <c r="T122" s="465" cm="1" t="str">
        <f t="array" ref="T122:T122">T121</f>
        <v>false</v>
      </c>
      <c r="U122" s="107"/>
      <c r="V122" s="107"/>
      <c r="W122" s="107"/>
      <c r="X122" s="1596"/>
      <c r="Y122" s="1278"/>
      <c r="Z122" s="1546"/>
      <c r="AA122" s="1278"/>
      <c r="AB122" s="300" t="s">
        <v>446</v>
      </c>
      <c r="AC122" s="452" t="s">
        <v>2549</v>
      </c>
      <c r="AD122" s="300" t="s">
        <v>1514</v>
      </c>
      <c r="AE122" s="1241"/>
      <c r="AF122" s="1241"/>
      <c r="AG122" s="1241"/>
      <c r="AH122" s="1114">
        <f>AG122-AF122</f>
        <v>0</v>
      </c>
      <c r="AI122" s="1241"/>
      <c r="AJ122" s="1241"/>
      <c r="AK122" s="1241"/>
      <c r="AL122" s="1241"/>
      <c r="AM122" s="1241"/>
      <c r="AN122" s="1241"/>
      <c r="AO122" s="1241"/>
      <c r="AP122" s="1241"/>
      <c r="AQ122" s="1241"/>
      <c r="AR122" s="1241"/>
      <c r="AS122" s="1241"/>
      <c r="AT122" s="1241"/>
      <c r="AU122" s="1241"/>
      <c r="AV122" s="1241"/>
      <c r="AW122" s="1241"/>
      <c r="AX122" s="1241"/>
      <c r="AY122" s="1241"/>
      <c r="AZ122" s="1241"/>
      <c r="BA122" s="1241"/>
      <c r="BB122" s="1241"/>
      <c r="BC122" s="1241"/>
      <c r="BD122" s="1114">
        <f>IF(AI122=0,0,(AT122-AI122)/AI122*100)</f>
        <v>0</v>
      </c>
      <c r="BE122" s="1114">
        <f>IF(AT122=0,0,(AU122-AT122)/AT122*100)</f>
        <v>0</v>
      </c>
      <c r="BF122" s="1114">
        <f>IF(AU122=0,0,(AV122-AU122)/AU122*100)</f>
        <v>0</v>
      </c>
      <c r="BG122" s="1114">
        <f>IF(AV122=0,0,(AW122-AV122)/AV122*100)</f>
        <v>0</v>
      </c>
      <c r="BH122" s="1114">
        <f>IF(AW122=0,0,(AX122-AW122)/AW122*100)</f>
        <v>0</v>
      </c>
      <c r="BI122" s="1114">
        <f>IF(AX122=0,0,(AY122-AX122)/AX122*100)</f>
        <v>0</v>
      </c>
      <c r="BJ122" s="1114">
        <f>IF(AY122=0,0,(AZ122-AY122)/AY122*100)</f>
        <v>0</v>
      </c>
      <c r="BK122" s="1114">
        <f>IF(AZ122=0,0,(BA122-AZ122)/AZ122*100)</f>
        <v>0</v>
      </c>
      <c r="BL122" s="1114">
        <f>IF(BA122=0,0,(BB122-BA122)/BA122*100)</f>
        <v>0</v>
      </c>
      <c r="BM122" s="1114">
        <f>IF(BB122=0,0,(BC122-BB122)/BB122*100)</f>
        <v>0</v>
      </c>
      <c r="BN122" s="1238"/>
      <c r="BO122" s="1238"/>
      <c r="BP122" s="1238"/>
      <c r="BQ122" s="1278"/>
      <c r="BR122" s="1278"/>
      <c r="BS122" s="1064" t="s">
        <v>2550</v>
      </c>
      <c r="BT122" s="1064"/>
      <c r="BU122" s="1064"/>
      <c r="BV122" s="979"/>
      <c r="BW122" s="979"/>
    </row>
    <row customHeight="1" ht="14.625" hidden="1">
      <c r="A123" s="1278"/>
      <c r="B123" s="860">
        <f>method_reg="Метод обеспечения доходности инвестированного капитала"</f>
        <v>0</v>
      </c>
      <c r="C123" s="107"/>
      <c r="D123" s="107"/>
      <c r="E123" s="621">
        <v>15</v>
      </c>
      <c r="F123" s="50" cm="1" t="str">
        <f t="array" ref="F123:F123">OFFSET(E123,-1,1)</f>
        <v>0</v>
      </c>
      <c r="G123" s="107"/>
      <c r="H123" s="107"/>
      <c r="I123" s="107"/>
      <c r="J123" s="107"/>
      <c r="K123" s="107" t="s">
        <v>336</v>
      </c>
      <c r="L123" s="980"/>
      <c r="M123" s="107"/>
      <c r="N123" s="107"/>
      <c r="O123" s="107"/>
      <c r="P123" s="107"/>
      <c r="Q123" s="107"/>
      <c r="R123" s="107"/>
      <c r="S123" s="107"/>
      <c r="T123" s="860" cm="1" t="str">
        <f t="array" ref="T123:T123">T122</f>
        <v>false</v>
      </c>
      <c r="U123" s="107"/>
      <c r="V123" s="107"/>
      <c r="W123" s="107"/>
      <c r="X123" s="1596"/>
      <c r="Y123" s="1278"/>
      <c r="Z123" s="1546"/>
      <c r="AA123" s="1278"/>
      <c r="AB123" s="794" t="s">
        <v>295</v>
      </c>
      <c r="AC123" s="793" t="s">
        <v>2840</v>
      </c>
      <c r="AD123" s="794" t="s">
        <v>1514</v>
      </c>
      <c r="AE123" s="1246"/>
      <c r="AF123" s="1246"/>
      <c r="AG123" s="1246"/>
      <c r="AH123" s="761">
        <f>AG123-AF123</f>
        <v>0</v>
      </c>
      <c r="AI123" s="1246"/>
      <c r="AJ123" s="1246"/>
      <c r="AK123" s="1246"/>
      <c r="AL123" s="1246"/>
      <c r="AM123" s="1246"/>
      <c r="AN123" s="1246"/>
      <c r="AO123" s="1246"/>
      <c r="AP123" s="1246"/>
      <c r="AQ123" s="1246"/>
      <c r="AR123" s="1246"/>
      <c r="AS123" s="1246"/>
      <c r="AT123" s="1246"/>
      <c r="AU123" s="1246"/>
      <c r="AV123" s="1246"/>
      <c r="AW123" s="1246"/>
      <c r="AX123" s="1246"/>
      <c r="AY123" s="1246"/>
      <c r="AZ123" s="1246"/>
      <c r="BA123" s="1246"/>
      <c r="BB123" s="1246"/>
      <c r="BC123" s="1246"/>
      <c r="BD123" s="761">
        <f>IF(AI123=0,0,(AT123-AI123)/AI123*100)</f>
        <v>0</v>
      </c>
      <c r="BE123" s="761">
        <f>IF(AT123=0,0,(AU123-AT123)/AT123*100)</f>
        <v>0</v>
      </c>
      <c r="BF123" s="761">
        <f>IF(AU123=0,0,(AV123-AU123)/AU123*100)</f>
        <v>0</v>
      </c>
      <c r="BG123" s="761">
        <f>IF(AV123=0,0,(AW123-AV123)/AV123*100)</f>
        <v>0</v>
      </c>
      <c r="BH123" s="761">
        <f>IF(AW123=0,0,(AX123-AW123)/AW123*100)</f>
        <v>0</v>
      </c>
      <c r="BI123" s="761">
        <f>IF(AX123=0,0,(AY123-AX123)/AX123*100)</f>
        <v>0</v>
      </c>
      <c r="BJ123" s="761">
        <f>IF(AY123=0,0,(AZ123-AY123)/AY123*100)</f>
        <v>0</v>
      </c>
      <c r="BK123" s="761">
        <f>IF(AZ123=0,0,(BA123-AZ123)/AZ123*100)</f>
        <v>0</v>
      </c>
      <c r="BL123" s="761">
        <f>IF(BA123=0,0,(BB123-BA123)/BA123*100)</f>
        <v>0</v>
      </c>
      <c r="BM123" s="761">
        <f>IF(BB123=0,0,(BC123-BB123)/BB123*100)</f>
        <v>0</v>
      </c>
      <c r="BN123" s="1247"/>
      <c r="BO123" s="1247"/>
      <c r="BP123" s="1247"/>
      <c r="BQ123" s="1278"/>
      <c r="BR123" s="1278"/>
      <c r="BS123" s="1064" t="s">
        <v>2841</v>
      </c>
      <c r="BT123" s="1064"/>
      <c r="BU123" s="1064"/>
      <c r="BV123" s="979"/>
      <c r="BW123" s="979"/>
    </row>
    <row customHeight="1" ht="14.625" hidden="1">
      <c r="A124" s="1278"/>
      <c r="B124" s="860" cm="1" t="str">
        <f t="array" ref="B124:B124">B123</f>
        <v>false</v>
      </c>
      <c r="C124" s="107"/>
      <c r="D124" s="107"/>
      <c r="E124" s="621">
        <v>15</v>
      </c>
      <c r="F124" s="50" cm="1" t="str">
        <f t="array" ref="F124:F124">OFFSET(E124,-1,1)</f>
        <v>0</v>
      </c>
      <c r="G124" s="107"/>
      <c r="H124" s="107"/>
      <c r="I124" s="107"/>
      <c r="J124" s="107"/>
      <c r="K124" s="107" t="s">
        <v>1249</v>
      </c>
      <c r="L124" s="980"/>
      <c r="M124" s="107"/>
      <c r="N124" s="107"/>
      <c r="O124" s="107"/>
      <c r="P124" s="107"/>
      <c r="Q124" s="107"/>
      <c r="R124" s="107"/>
      <c r="S124" s="107"/>
      <c r="T124" s="860" cm="1" t="str">
        <f t="array" ref="T124:T124">T123</f>
        <v>false</v>
      </c>
      <c r="U124" s="107"/>
      <c r="V124" s="107"/>
      <c r="W124" s="107"/>
      <c r="X124" s="1596"/>
      <c r="Y124" s="1278"/>
      <c r="Z124" s="1546"/>
      <c r="AA124" s="1278"/>
      <c r="AB124" s="797" t="s">
        <v>1384</v>
      </c>
      <c r="AC124" s="796" t="s">
        <v>2842</v>
      </c>
      <c r="AD124" s="797" t="s">
        <v>1514</v>
      </c>
      <c r="AE124" s="1248"/>
      <c r="AF124" s="1248"/>
      <c r="AG124" s="1248"/>
      <c r="AH124" s="763"/>
      <c r="AI124" s="1248"/>
      <c r="AJ124" s="1248"/>
      <c r="AK124" s="1248"/>
      <c r="AL124" s="1248"/>
      <c r="AM124" s="1248"/>
      <c r="AN124" s="1248"/>
      <c r="AO124" s="1248"/>
      <c r="AP124" s="1248"/>
      <c r="AQ124" s="1248"/>
      <c r="AR124" s="1248"/>
      <c r="AS124" s="1248"/>
      <c r="AT124" s="1248"/>
      <c r="AU124" s="1248"/>
      <c r="AV124" s="1248"/>
      <c r="AW124" s="1248"/>
      <c r="AX124" s="1248"/>
      <c r="AY124" s="1248"/>
      <c r="AZ124" s="1248"/>
      <c r="BA124" s="1248"/>
      <c r="BB124" s="1248"/>
      <c r="BC124" s="1248"/>
      <c r="BD124" s="763"/>
      <c r="BE124" s="763"/>
      <c r="BF124" s="763"/>
      <c r="BG124" s="763"/>
      <c r="BH124" s="763"/>
      <c r="BI124" s="763"/>
      <c r="BJ124" s="763"/>
      <c r="BK124" s="763"/>
      <c r="BL124" s="763"/>
      <c r="BM124" s="763"/>
      <c r="BN124" s="1249"/>
      <c r="BO124" s="1249"/>
      <c r="BP124" s="1249"/>
      <c r="BQ124" s="1278"/>
      <c r="BR124" s="1278"/>
      <c r="BS124" s="1064" t="s">
        <v>2843</v>
      </c>
      <c r="BT124" s="1064"/>
      <c r="BU124" s="1064"/>
      <c r="BV124" s="979"/>
      <c r="BW124" s="979"/>
    </row>
    <row customHeight="1" ht="14.625" hidden="1">
      <c r="A125" s="1278"/>
      <c r="B125" s="860" cm="1" t="str">
        <f t="array" ref="B125:B125">B124</f>
        <v>false</v>
      </c>
      <c r="C125" s="107"/>
      <c r="D125" s="107"/>
      <c r="E125" s="621">
        <v>15</v>
      </c>
      <c r="F125" s="50" cm="1" t="str">
        <f t="array" ref="F125:F125">OFFSET(E125,-1,1)</f>
        <v>0</v>
      </c>
      <c r="G125" s="107"/>
      <c r="H125" s="107"/>
      <c r="I125" s="107"/>
      <c r="J125" s="107"/>
      <c r="K125" s="107" t="s">
        <v>1253</v>
      </c>
      <c r="L125" s="980"/>
      <c r="M125" s="107"/>
      <c r="N125" s="107"/>
      <c r="O125" s="107"/>
      <c r="P125" s="107"/>
      <c r="Q125" s="107"/>
      <c r="R125" s="107"/>
      <c r="S125" s="107"/>
      <c r="T125" s="860" cm="1" t="str">
        <f t="array" ref="T125:T125">T124</f>
        <v>false</v>
      </c>
      <c r="U125" s="107"/>
      <c r="V125" s="107"/>
      <c r="W125" s="107"/>
      <c r="X125" s="1596"/>
      <c r="Y125" s="1278"/>
      <c r="Z125" s="1546"/>
      <c r="AA125" s="1278"/>
      <c r="AB125" s="797" t="s">
        <v>1387</v>
      </c>
      <c r="AC125" s="796" t="s">
        <v>2844</v>
      </c>
      <c r="AD125" s="797" t="s">
        <v>2845</v>
      </c>
      <c r="AE125" s="1248"/>
      <c r="AF125" s="1248"/>
      <c r="AG125" s="1248"/>
      <c r="AH125" s="763"/>
      <c r="AI125" s="1248"/>
      <c r="AJ125" s="1248"/>
      <c r="AK125" s="1248"/>
      <c r="AL125" s="1248"/>
      <c r="AM125" s="1248"/>
      <c r="AN125" s="1248"/>
      <c r="AO125" s="1248"/>
      <c r="AP125" s="1248"/>
      <c r="AQ125" s="1248"/>
      <c r="AR125" s="1248"/>
      <c r="AS125" s="1248"/>
      <c r="AT125" s="1248"/>
      <c r="AU125" s="1248"/>
      <c r="AV125" s="1248"/>
      <c r="AW125" s="1248"/>
      <c r="AX125" s="1248"/>
      <c r="AY125" s="1248"/>
      <c r="AZ125" s="1248"/>
      <c r="BA125" s="1248"/>
      <c r="BB125" s="1248"/>
      <c r="BC125" s="1248"/>
      <c r="BD125" s="763"/>
      <c r="BE125" s="763"/>
      <c r="BF125" s="763"/>
      <c r="BG125" s="763"/>
      <c r="BH125" s="763"/>
      <c r="BI125" s="763"/>
      <c r="BJ125" s="763"/>
      <c r="BK125" s="763"/>
      <c r="BL125" s="763"/>
      <c r="BM125" s="763"/>
      <c r="BN125" s="1249"/>
      <c r="BO125" s="1249"/>
      <c r="BP125" s="1249"/>
      <c r="BQ125" s="1278"/>
      <c r="BR125" s="1278"/>
      <c r="BS125" s="1064" t="s">
        <v>2846</v>
      </c>
      <c r="BT125" s="1064"/>
      <c r="BU125" s="1064"/>
      <c r="BV125" s="979"/>
      <c r="BW125" s="979"/>
    </row>
    <row customHeight="1" ht="14.625" hidden="1">
      <c r="A126" s="1278"/>
      <c r="B126" s="860" cm="1" t="str">
        <f t="array" ref="B126:B126">B125</f>
        <v>false</v>
      </c>
      <c r="C126" s="107"/>
      <c r="D126" s="107"/>
      <c r="E126" s="621">
        <v>15</v>
      </c>
      <c r="F126" s="50" cm="1" t="str">
        <f t="array" ref="F126:F126">OFFSET(E126,-1,1)</f>
        <v>0</v>
      </c>
      <c r="G126" s="107"/>
      <c r="H126" s="107"/>
      <c r="I126" s="107"/>
      <c r="J126" s="107"/>
      <c r="K126" s="107" t="s">
        <v>335</v>
      </c>
      <c r="L126" s="980"/>
      <c r="M126" s="107"/>
      <c r="N126" s="107"/>
      <c r="O126" s="107"/>
      <c r="P126" s="107"/>
      <c r="Q126" s="107"/>
      <c r="R126" s="107"/>
      <c r="S126" s="107"/>
      <c r="T126" s="860" cm="1" t="str">
        <f t="array" ref="T126:T126">T125</f>
        <v>false</v>
      </c>
      <c r="U126" s="107"/>
      <c r="V126" s="107"/>
      <c r="W126" s="107"/>
      <c r="X126" s="1596"/>
      <c r="Y126" s="1278"/>
      <c r="Z126" s="1546"/>
      <c r="AA126" s="1278"/>
      <c r="AB126" s="794" t="s">
        <v>443</v>
      </c>
      <c r="AC126" s="793" t="s">
        <v>2847</v>
      </c>
      <c r="AD126" s="794" t="s">
        <v>1514</v>
      </c>
      <c r="AE126" s="1246"/>
      <c r="AF126" s="1246"/>
      <c r="AG126" s="1246"/>
      <c r="AH126" s="761">
        <f>AG126-AF126</f>
        <v>0</v>
      </c>
      <c r="AI126" s="1246"/>
      <c r="AJ126" s="1246"/>
      <c r="AK126" s="1246"/>
      <c r="AL126" s="1246"/>
      <c r="AM126" s="1246"/>
      <c r="AN126" s="1246"/>
      <c r="AO126" s="1246"/>
      <c r="AP126" s="1246"/>
      <c r="AQ126" s="1246"/>
      <c r="AR126" s="1246"/>
      <c r="AS126" s="1246"/>
      <c r="AT126" s="1246"/>
      <c r="AU126" s="1246"/>
      <c r="AV126" s="1246"/>
      <c r="AW126" s="1246"/>
      <c r="AX126" s="1246"/>
      <c r="AY126" s="1246"/>
      <c r="AZ126" s="1246"/>
      <c r="BA126" s="1246"/>
      <c r="BB126" s="1246"/>
      <c r="BC126" s="1246"/>
      <c r="BD126" s="761">
        <f>IF(AI126=0,0,(AT126-AI126)/AI126*100)</f>
        <v>0</v>
      </c>
      <c r="BE126" s="761">
        <f>IF(AT126=0,0,(AU126-AT126)/AT126*100)</f>
        <v>0</v>
      </c>
      <c r="BF126" s="761">
        <f>IF(AU126=0,0,(AV126-AU126)/AU126*100)</f>
        <v>0</v>
      </c>
      <c r="BG126" s="761">
        <f>IF(AV126=0,0,(AW126-AV126)/AV126*100)</f>
        <v>0</v>
      </c>
      <c r="BH126" s="761">
        <f>IF(AW126=0,0,(AX126-AW126)/AW126*100)</f>
        <v>0</v>
      </c>
      <c r="BI126" s="761">
        <f>IF(AX126=0,0,(AY126-AX126)/AX126*100)</f>
        <v>0</v>
      </c>
      <c r="BJ126" s="761">
        <f>IF(AY126=0,0,(AZ126-AY126)/AY126*100)</f>
        <v>0</v>
      </c>
      <c r="BK126" s="761">
        <f>IF(AZ126=0,0,(BA126-AZ126)/AZ126*100)</f>
        <v>0</v>
      </c>
      <c r="BL126" s="761">
        <f>IF(BA126=0,0,(BB126-BA126)/BA126*100)</f>
        <v>0</v>
      </c>
      <c r="BM126" s="761">
        <f>IF(BB126=0,0,(BC126-BB126)/BB126*100)</f>
        <v>0</v>
      </c>
      <c r="BN126" s="1247"/>
      <c r="BO126" s="1247"/>
      <c r="BP126" s="1247"/>
      <c r="BQ126" s="1278"/>
      <c r="BR126" s="1278"/>
      <c r="BS126" s="1064" t="s">
        <v>2848</v>
      </c>
      <c r="BT126" s="1064"/>
      <c r="BU126" s="1064"/>
      <c r="BV126" s="979"/>
      <c r="BW126" s="979"/>
    </row>
    <row customHeight="1" ht="14.625" hidden="1">
      <c r="A127" s="1278"/>
      <c r="B127" s="860" cm="1" t="str">
        <f t="array" ref="B127:B127">B126</f>
        <v>false</v>
      </c>
      <c r="C127" s="107"/>
      <c r="D127" s="107"/>
      <c r="E127" s="621">
        <v>15</v>
      </c>
      <c r="F127" s="50" cm="1" t="str">
        <f t="array" ref="F127:F127">OFFSET(E127,-1,1)</f>
        <v>0</v>
      </c>
      <c r="G127" s="107"/>
      <c r="H127" s="107"/>
      <c r="I127" s="107"/>
      <c r="J127" s="107"/>
      <c r="K127" s="107" t="s">
        <v>1263</v>
      </c>
      <c r="L127" s="980"/>
      <c r="M127" s="107"/>
      <c r="N127" s="107"/>
      <c r="O127" s="107"/>
      <c r="P127" s="107"/>
      <c r="Q127" s="107"/>
      <c r="R127" s="107"/>
      <c r="S127" s="107"/>
      <c r="T127" s="860" cm="1" t="str">
        <f t="array" ref="T127:T127">T126</f>
        <v>false</v>
      </c>
      <c r="U127" s="107"/>
      <c r="V127" s="107"/>
      <c r="W127" s="107"/>
      <c r="X127" s="1596"/>
      <c r="Y127" s="1278"/>
      <c r="Z127" s="1546"/>
      <c r="AA127" s="1278"/>
      <c r="AB127" s="797" t="s">
        <v>1391</v>
      </c>
      <c r="AC127" s="796" t="s">
        <v>2849</v>
      </c>
      <c r="AD127" s="797" t="s">
        <v>1514</v>
      </c>
      <c r="AE127" s="1248"/>
      <c r="AF127" s="1248"/>
      <c r="AG127" s="1248"/>
      <c r="AH127" s="763"/>
      <c r="AI127" s="1248"/>
      <c r="AJ127" s="1248"/>
      <c r="AK127" s="1248"/>
      <c r="AL127" s="1248"/>
      <c r="AM127" s="1248"/>
      <c r="AN127" s="1248"/>
      <c r="AO127" s="1248"/>
      <c r="AP127" s="1248"/>
      <c r="AQ127" s="1248"/>
      <c r="AR127" s="1248"/>
      <c r="AS127" s="1248"/>
      <c r="AT127" s="1248"/>
      <c r="AU127" s="1248"/>
      <c r="AV127" s="1248"/>
      <c r="AW127" s="1248"/>
      <c r="AX127" s="1248"/>
      <c r="AY127" s="1248"/>
      <c r="AZ127" s="1248"/>
      <c r="BA127" s="1248"/>
      <c r="BB127" s="1248"/>
      <c r="BC127" s="1248"/>
      <c r="BD127" s="763"/>
      <c r="BE127" s="763"/>
      <c r="BF127" s="763"/>
      <c r="BG127" s="763"/>
      <c r="BH127" s="763"/>
      <c r="BI127" s="763"/>
      <c r="BJ127" s="763"/>
      <c r="BK127" s="763"/>
      <c r="BL127" s="763"/>
      <c r="BM127" s="763"/>
      <c r="BN127" s="1249"/>
      <c r="BO127" s="1249"/>
      <c r="BP127" s="1249"/>
      <c r="BQ127" s="1278"/>
      <c r="BR127" s="1278"/>
      <c r="BS127" s="1064" t="s">
        <v>2850</v>
      </c>
      <c r="BT127" s="1064"/>
      <c r="BU127" s="1064"/>
      <c r="BV127" s="979"/>
      <c r="BW127" s="979"/>
    </row>
    <row customHeight="1" ht="14.625" hidden="1">
      <c r="A128" s="1278"/>
      <c r="B128" s="860" cm="1" t="str">
        <f t="array" ref="B128:B128">B127</f>
        <v>false</v>
      </c>
      <c r="C128" s="107"/>
      <c r="D128" s="107"/>
      <c r="E128" s="621">
        <v>15</v>
      </c>
      <c r="F128" s="50" cm="1" t="str">
        <f t="array" ref="F128:F128">OFFSET(E128,-1,1)</f>
        <v>0</v>
      </c>
      <c r="G128" s="107"/>
      <c r="H128" s="107"/>
      <c r="I128" s="107"/>
      <c r="J128" s="107"/>
      <c r="K128" s="107" t="s">
        <v>1267</v>
      </c>
      <c r="L128" s="980"/>
      <c r="M128" s="107"/>
      <c r="N128" s="107"/>
      <c r="O128" s="107"/>
      <c r="P128" s="107"/>
      <c r="Q128" s="107"/>
      <c r="R128" s="107"/>
      <c r="S128" s="107"/>
      <c r="T128" s="860" cm="1" t="str">
        <f t="array" ref="T128:T128">T127</f>
        <v>false</v>
      </c>
      <c r="U128" s="107"/>
      <c r="V128" s="107"/>
      <c r="W128" s="107"/>
      <c r="X128" s="1596"/>
      <c r="Y128" s="1278"/>
      <c r="Z128" s="1546"/>
      <c r="AA128" s="1278"/>
      <c r="AB128" s="797" t="s">
        <v>1394</v>
      </c>
      <c r="AC128" s="796" t="s">
        <v>2851</v>
      </c>
      <c r="AD128" s="797" t="s">
        <v>1170</v>
      </c>
      <c r="AE128" s="1248"/>
      <c r="AF128" s="1248"/>
      <c r="AG128" s="1248"/>
      <c r="AH128" s="763"/>
      <c r="AI128" s="1248"/>
      <c r="AJ128" s="1248"/>
      <c r="AK128" s="1248"/>
      <c r="AL128" s="1248"/>
      <c r="AM128" s="1248"/>
      <c r="AN128" s="1248"/>
      <c r="AO128" s="1248"/>
      <c r="AP128" s="1248"/>
      <c r="AQ128" s="1248"/>
      <c r="AR128" s="1248"/>
      <c r="AS128" s="1248"/>
      <c r="AT128" s="1248"/>
      <c r="AU128" s="1248"/>
      <c r="AV128" s="1248"/>
      <c r="AW128" s="1248"/>
      <c r="AX128" s="1248"/>
      <c r="AY128" s="1248"/>
      <c r="AZ128" s="1248"/>
      <c r="BA128" s="1248"/>
      <c r="BB128" s="1248"/>
      <c r="BC128" s="1248"/>
      <c r="BD128" s="763"/>
      <c r="BE128" s="763"/>
      <c r="BF128" s="763"/>
      <c r="BG128" s="763"/>
      <c r="BH128" s="763"/>
      <c r="BI128" s="763"/>
      <c r="BJ128" s="763"/>
      <c r="BK128" s="763"/>
      <c r="BL128" s="763"/>
      <c r="BM128" s="763"/>
      <c r="BN128" s="1249"/>
      <c r="BO128" s="1249"/>
      <c r="BP128" s="1249"/>
      <c r="BQ128" s="1278"/>
      <c r="BR128" s="1278"/>
      <c r="BS128" s="1064" t="s">
        <v>2852</v>
      </c>
      <c r="BT128" s="1064"/>
      <c r="BU128" s="1064"/>
      <c r="BV128" s="979"/>
      <c r="BW128" s="979"/>
    </row>
    <row customHeight="1" ht="14.625" hidden="1">
      <c r="A129" s="1278"/>
      <c r="B129" s="860" cm="1" t="str">
        <f t="array" ref="B129:B129">B128</f>
        <v>false</v>
      </c>
      <c r="C129" s="107"/>
      <c r="D129" s="107"/>
      <c r="E129" s="621">
        <v>15</v>
      </c>
      <c r="F129" s="50" cm="1" t="str">
        <f t="array" ref="F129:F129">OFFSET(E129,-1,1)</f>
        <v>0</v>
      </c>
      <c r="G129" s="107"/>
      <c r="H129" s="107"/>
      <c r="I129" s="107"/>
      <c r="J129" s="107"/>
      <c r="K129" s="107" t="s">
        <v>1479</v>
      </c>
      <c r="L129" s="980"/>
      <c r="M129" s="107"/>
      <c r="N129" s="107"/>
      <c r="O129" s="107"/>
      <c r="P129" s="107"/>
      <c r="Q129" s="107"/>
      <c r="R129" s="107"/>
      <c r="S129" s="107"/>
      <c r="T129" s="860" cm="1" t="str">
        <f t="array" ref="T129:T129">T128</f>
        <v>false</v>
      </c>
      <c r="U129" s="107"/>
      <c r="V129" s="107"/>
      <c r="W129" s="107"/>
      <c r="X129" s="1596"/>
      <c r="Y129" s="1278"/>
      <c r="Z129" s="1546"/>
      <c r="AA129" s="1278"/>
      <c r="AB129" s="797" t="s">
        <v>1683</v>
      </c>
      <c r="AC129" s="796" t="s">
        <v>2853</v>
      </c>
      <c r="AD129" s="797" t="s">
        <v>1514</v>
      </c>
      <c r="AE129" s="1248"/>
      <c r="AF129" s="1248"/>
      <c r="AG129" s="1248"/>
      <c r="AH129" s="763"/>
      <c r="AI129" s="1248"/>
      <c r="AJ129" s="1248"/>
      <c r="AK129" s="1248"/>
      <c r="AL129" s="1248"/>
      <c r="AM129" s="1248"/>
      <c r="AN129" s="1248"/>
      <c r="AO129" s="1248"/>
      <c r="AP129" s="1248"/>
      <c r="AQ129" s="1248"/>
      <c r="AR129" s="1248"/>
      <c r="AS129" s="1248"/>
      <c r="AT129" s="1248"/>
      <c r="AU129" s="1248"/>
      <c r="AV129" s="1248"/>
      <c r="AW129" s="1248"/>
      <c r="AX129" s="1248"/>
      <c r="AY129" s="1248"/>
      <c r="AZ129" s="1248"/>
      <c r="BA129" s="1248"/>
      <c r="BB129" s="1248"/>
      <c r="BC129" s="1248"/>
      <c r="BD129" s="763"/>
      <c r="BE129" s="763"/>
      <c r="BF129" s="763"/>
      <c r="BG129" s="763"/>
      <c r="BH129" s="763"/>
      <c r="BI129" s="763"/>
      <c r="BJ129" s="763"/>
      <c r="BK129" s="763"/>
      <c r="BL129" s="763"/>
      <c r="BM129" s="763"/>
      <c r="BN129" s="1249"/>
      <c r="BO129" s="1249"/>
      <c r="BP129" s="1249"/>
      <c r="BQ129" s="1278"/>
      <c r="BR129" s="1278"/>
      <c r="BS129" s="1064" t="s">
        <v>2854</v>
      </c>
      <c r="BT129" s="1064"/>
      <c r="BU129" s="1064"/>
      <c r="BV129" s="979"/>
      <c r="BW129" s="979"/>
    </row>
    <row customHeight="1" ht="14.625" hidden="1">
      <c r="A130" s="1278"/>
      <c r="B130" s="860" cm="1" t="str">
        <f t="array" ref="B130:B130">B129</f>
        <v>false</v>
      </c>
      <c r="C130" s="107"/>
      <c r="D130" s="107"/>
      <c r="E130" s="621">
        <v>15</v>
      </c>
      <c r="F130" s="50" cm="1" t="str">
        <f t="array" ref="F130:F130">OFFSET(E130,-1,1)</f>
        <v>0</v>
      </c>
      <c r="G130" s="107"/>
      <c r="H130" s="107"/>
      <c r="I130" s="107"/>
      <c r="J130" s="107"/>
      <c r="K130" s="107" t="s">
        <v>1685</v>
      </c>
      <c r="L130" s="980"/>
      <c r="M130" s="107"/>
      <c r="N130" s="107"/>
      <c r="O130" s="107"/>
      <c r="P130" s="107"/>
      <c r="Q130" s="107"/>
      <c r="R130" s="107"/>
      <c r="S130" s="107"/>
      <c r="T130" s="860" cm="1" t="str">
        <f t="array" ref="T130:T130">T129</f>
        <v>false</v>
      </c>
      <c r="U130" s="107"/>
      <c r="V130" s="107"/>
      <c r="W130" s="107"/>
      <c r="X130" s="1596"/>
      <c r="Y130" s="1278"/>
      <c r="Z130" s="1546"/>
      <c r="AA130" s="1278"/>
      <c r="AB130" s="797" t="s">
        <v>1686</v>
      </c>
      <c r="AC130" s="796" t="s">
        <v>2855</v>
      </c>
      <c r="AD130" s="797" t="s">
        <v>1514</v>
      </c>
      <c r="AE130" s="1248"/>
      <c r="AF130" s="1248"/>
      <c r="AG130" s="1248"/>
      <c r="AH130" s="763"/>
      <c r="AI130" s="1248"/>
      <c r="AJ130" s="1248"/>
      <c r="AK130" s="1248"/>
      <c r="AL130" s="1248"/>
      <c r="AM130" s="1248"/>
      <c r="AN130" s="1248"/>
      <c r="AO130" s="1248"/>
      <c r="AP130" s="1248"/>
      <c r="AQ130" s="1248"/>
      <c r="AR130" s="1248"/>
      <c r="AS130" s="1248"/>
      <c r="AT130" s="1248"/>
      <c r="AU130" s="1248"/>
      <c r="AV130" s="1248"/>
      <c r="AW130" s="1248"/>
      <c r="AX130" s="1248"/>
      <c r="AY130" s="1248"/>
      <c r="AZ130" s="1248"/>
      <c r="BA130" s="1248"/>
      <c r="BB130" s="1248"/>
      <c r="BC130" s="1248"/>
      <c r="BD130" s="763"/>
      <c r="BE130" s="763"/>
      <c r="BF130" s="763"/>
      <c r="BG130" s="763"/>
      <c r="BH130" s="763"/>
      <c r="BI130" s="763"/>
      <c r="BJ130" s="763"/>
      <c r="BK130" s="763"/>
      <c r="BL130" s="763"/>
      <c r="BM130" s="763"/>
      <c r="BN130" s="1249"/>
      <c r="BO130" s="1249"/>
      <c r="BP130" s="1249"/>
      <c r="BQ130" s="1278"/>
      <c r="BR130" s="1278"/>
      <c r="BS130" s="1064" t="s">
        <v>2856</v>
      </c>
      <c r="BT130" s="1064"/>
      <c r="BU130" s="1064"/>
      <c r="BV130" s="979"/>
      <c r="BW130" s="979"/>
    </row>
    <row customHeight="1" ht="14.625" hidden="1">
      <c r="A131" s="1278"/>
      <c r="B131" s="860" cm="1" t="str">
        <f t="array" ref="B131:B131">B130</f>
        <v>false</v>
      </c>
      <c r="C131" s="107"/>
      <c r="D131" s="107"/>
      <c r="E131" s="621">
        <v>15</v>
      </c>
      <c r="F131" s="50" cm="1" t="str">
        <f t="array" ref="F131:F131">OFFSET(E131,-1,1)</f>
        <v>0</v>
      </c>
      <c r="G131" s="107"/>
      <c r="H131" s="107"/>
      <c r="I131" s="107"/>
      <c r="J131" s="107"/>
      <c r="K131" s="107" t="s">
        <v>2857</v>
      </c>
      <c r="L131" s="980"/>
      <c r="M131" s="107"/>
      <c r="N131" s="107"/>
      <c r="O131" s="107"/>
      <c r="P131" s="107"/>
      <c r="Q131" s="107"/>
      <c r="R131" s="107"/>
      <c r="S131" s="107"/>
      <c r="T131" s="860" cm="1" t="str">
        <f t="array" ref="T131:T131">T130</f>
        <v>false</v>
      </c>
      <c r="U131" s="107"/>
      <c r="V131" s="107"/>
      <c r="W131" s="107"/>
      <c r="X131" s="1596"/>
      <c r="Y131" s="1278"/>
      <c r="Z131" s="1546"/>
      <c r="AA131" s="1278"/>
      <c r="AB131" s="797" t="s">
        <v>2858</v>
      </c>
      <c r="AC131" s="798" t="s">
        <v>2859</v>
      </c>
      <c r="AD131" s="797" t="s">
        <v>1170</v>
      </c>
      <c r="AE131" s="1248"/>
      <c r="AF131" s="1248"/>
      <c r="AG131" s="1248"/>
      <c r="AH131" s="763"/>
      <c r="AI131" s="1248"/>
      <c r="AJ131" s="1248"/>
      <c r="AK131" s="1248"/>
      <c r="AL131" s="1248"/>
      <c r="AM131" s="1248"/>
      <c r="AN131" s="1248"/>
      <c r="AO131" s="1248"/>
      <c r="AP131" s="1248"/>
      <c r="AQ131" s="1248"/>
      <c r="AR131" s="1248"/>
      <c r="AS131" s="1248"/>
      <c r="AT131" s="1248"/>
      <c r="AU131" s="1248"/>
      <c r="AV131" s="1248"/>
      <c r="AW131" s="1248"/>
      <c r="AX131" s="1248"/>
      <c r="AY131" s="1248"/>
      <c r="AZ131" s="1248"/>
      <c r="BA131" s="1248"/>
      <c r="BB131" s="1248"/>
      <c r="BC131" s="1248"/>
      <c r="BD131" s="763"/>
      <c r="BE131" s="763"/>
      <c r="BF131" s="763"/>
      <c r="BG131" s="763"/>
      <c r="BH131" s="763"/>
      <c r="BI131" s="763"/>
      <c r="BJ131" s="763"/>
      <c r="BK131" s="763"/>
      <c r="BL131" s="763"/>
      <c r="BM131" s="763"/>
      <c r="BN131" s="1249"/>
      <c r="BO131" s="1249"/>
      <c r="BP131" s="1249"/>
      <c r="BQ131" s="1278"/>
      <c r="BR131" s="1278"/>
      <c r="BS131" s="1064" t="s">
        <v>2860</v>
      </c>
      <c r="BT131" s="1064"/>
      <c r="BU131" s="1064"/>
      <c r="BV131" s="979"/>
      <c r="BW131" s="979"/>
    </row>
    <row customHeight="1" ht="14.625" hidden="1">
      <c r="A132" s="1278"/>
      <c r="B132" s="860" cm="1" t="str">
        <f t="array" ref="B132:B132">B131</f>
        <v>false</v>
      </c>
      <c r="C132" s="107"/>
      <c r="D132" s="107"/>
      <c r="E132" s="621">
        <v>15</v>
      </c>
      <c r="F132" s="50" cm="1" t="str">
        <f t="array" ref="F132:F132">OFFSET(E132,-1,1)</f>
        <v>0</v>
      </c>
      <c r="G132" s="107"/>
      <c r="H132" s="107"/>
      <c r="I132" s="107"/>
      <c r="J132" s="107"/>
      <c r="K132" s="107" t="s">
        <v>1688</v>
      </c>
      <c r="L132" s="980"/>
      <c r="M132" s="107"/>
      <c r="N132" s="107"/>
      <c r="O132" s="107"/>
      <c r="P132" s="107"/>
      <c r="Q132" s="107"/>
      <c r="R132" s="107"/>
      <c r="S132" s="107"/>
      <c r="T132" s="860" cm="1" t="str">
        <f t="array" ref="T132:T132">T131</f>
        <v>false</v>
      </c>
      <c r="U132" s="107"/>
      <c r="V132" s="107"/>
      <c r="W132" s="107"/>
      <c r="X132" s="1596"/>
      <c r="Y132" s="1278"/>
      <c r="Z132" s="1546"/>
      <c r="AA132" s="1278"/>
      <c r="AB132" s="797" t="s">
        <v>1689</v>
      </c>
      <c r="AC132" s="796" t="s">
        <v>2861</v>
      </c>
      <c r="AD132" s="797" t="s">
        <v>1170</v>
      </c>
      <c r="AE132" s="1248"/>
      <c r="AF132" s="1248"/>
      <c r="AG132" s="1248"/>
      <c r="AH132" s="763"/>
      <c r="AI132" s="1248"/>
      <c r="AJ132" s="1248"/>
      <c r="AK132" s="1248"/>
      <c r="AL132" s="1248"/>
      <c r="AM132" s="1248"/>
      <c r="AN132" s="1248"/>
      <c r="AO132" s="1248"/>
      <c r="AP132" s="1248"/>
      <c r="AQ132" s="1248"/>
      <c r="AR132" s="1248"/>
      <c r="AS132" s="1248"/>
      <c r="AT132" s="1248"/>
      <c r="AU132" s="1248"/>
      <c r="AV132" s="1248"/>
      <c r="AW132" s="1248"/>
      <c r="AX132" s="1248"/>
      <c r="AY132" s="1248"/>
      <c r="AZ132" s="1248"/>
      <c r="BA132" s="1248"/>
      <c r="BB132" s="1248"/>
      <c r="BC132" s="1248"/>
      <c r="BD132" s="763"/>
      <c r="BE132" s="763"/>
      <c r="BF132" s="763"/>
      <c r="BG132" s="763"/>
      <c r="BH132" s="763"/>
      <c r="BI132" s="763"/>
      <c r="BJ132" s="763"/>
      <c r="BK132" s="763"/>
      <c r="BL132" s="763"/>
      <c r="BM132" s="763"/>
      <c r="BN132" s="1249"/>
      <c r="BO132" s="1249"/>
      <c r="BP132" s="1249"/>
      <c r="BQ132" s="1278"/>
      <c r="BR132" s="1278"/>
      <c r="BS132" s="1064" t="s">
        <v>2862</v>
      </c>
      <c r="BT132" s="1064"/>
      <c r="BU132" s="1064"/>
      <c r="BV132" s="979"/>
      <c r="BW132" s="979"/>
    </row>
    <row customHeight="1" ht="14.625" hidden="1">
      <c r="A133" s="1278"/>
      <c r="B133" s="860" cm="1" t="str">
        <f t="array" ref="B133:B133">B132</f>
        <v>false</v>
      </c>
      <c r="C133" s="107"/>
      <c r="D133" s="107"/>
      <c r="E133" s="621">
        <v>15</v>
      </c>
      <c r="F133" s="50" cm="1" t="str">
        <f t="array" ref="F133:F133">OFFSET(E133,-1,1)</f>
        <v>0</v>
      </c>
      <c r="G133" s="107"/>
      <c r="H133" s="107"/>
      <c r="I133" s="107"/>
      <c r="J133" s="107"/>
      <c r="K133" s="107" t="s">
        <v>2863</v>
      </c>
      <c r="L133" s="980"/>
      <c r="M133" s="107"/>
      <c r="N133" s="107"/>
      <c r="O133" s="107"/>
      <c r="P133" s="107"/>
      <c r="Q133" s="107"/>
      <c r="R133" s="107"/>
      <c r="S133" s="107"/>
      <c r="T133" s="860" cm="1" t="str">
        <f t="array" ref="T133:T133">T132</f>
        <v>false</v>
      </c>
      <c r="U133" s="107"/>
      <c r="V133" s="107"/>
      <c r="W133" s="107"/>
      <c r="X133" s="1596"/>
      <c r="Y133" s="1278"/>
      <c r="Z133" s="1546"/>
      <c r="AA133" s="1278"/>
      <c r="AB133" s="797" t="s">
        <v>2864</v>
      </c>
      <c r="AC133" s="798" t="s">
        <v>2865</v>
      </c>
      <c r="AD133" s="797" t="s">
        <v>1170</v>
      </c>
      <c r="AE133" s="1248"/>
      <c r="AF133" s="1248"/>
      <c r="AG133" s="1248"/>
      <c r="AH133" s="763"/>
      <c r="AI133" s="1248"/>
      <c r="AJ133" s="1248"/>
      <c r="AK133" s="1248"/>
      <c r="AL133" s="1248"/>
      <c r="AM133" s="1248"/>
      <c r="AN133" s="1248"/>
      <c r="AO133" s="1248"/>
      <c r="AP133" s="1248"/>
      <c r="AQ133" s="1248"/>
      <c r="AR133" s="1248"/>
      <c r="AS133" s="1248"/>
      <c r="AT133" s="1248"/>
      <c r="AU133" s="1248"/>
      <c r="AV133" s="1248"/>
      <c r="AW133" s="1248"/>
      <c r="AX133" s="1248"/>
      <c r="AY133" s="1248"/>
      <c r="AZ133" s="1248"/>
      <c r="BA133" s="1248"/>
      <c r="BB133" s="1248"/>
      <c r="BC133" s="1248"/>
      <c r="BD133" s="763"/>
      <c r="BE133" s="763"/>
      <c r="BF133" s="763"/>
      <c r="BG133" s="763"/>
      <c r="BH133" s="763"/>
      <c r="BI133" s="763"/>
      <c r="BJ133" s="763"/>
      <c r="BK133" s="763"/>
      <c r="BL133" s="763"/>
      <c r="BM133" s="763"/>
      <c r="BN133" s="1249"/>
      <c r="BO133" s="1249"/>
      <c r="BP133" s="1249"/>
      <c r="BQ133" s="1278"/>
      <c r="BR133" s="1278"/>
      <c r="BS133" s="1064" t="s">
        <v>2866</v>
      </c>
      <c r="BT133" s="1064"/>
      <c r="BU133" s="1064"/>
      <c r="BV133" s="979"/>
      <c r="BW133" s="979"/>
    </row>
    <row customHeight="1" ht="14.625" hidden="1">
      <c r="A134" s="1278"/>
      <c r="B134" s="860" cm="1" t="str">
        <f t="array" ref="B134:B134">B133</f>
        <v>false</v>
      </c>
      <c r="C134" s="107"/>
      <c r="D134" s="107"/>
      <c r="E134" s="621">
        <v>15</v>
      </c>
      <c r="F134" s="50" cm="1" t="str">
        <f t="array" ref="F134:F134">OFFSET(E134,-1,1)</f>
        <v>0</v>
      </c>
      <c r="G134" s="107"/>
      <c r="H134" s="107"/>
      <c r="I134" s="107"/>
      <c r="J134" s="107"/>
      <c r="K134" s="107" t="s">
        <v>2867</v>
      </c>
      <c r="L134" s="980"/>
      <c r="M134" s="107"/>
      <c r="N134" s="107"/>
      <c r="O134" s="107"/>
      <c r="P134" s="107"/>
      <c r="Q134" s="107"/>
      <c r="R134" s="107"/>
      <c r="S134" s="107"/>
      <c r="T134" s="860" cm="1" t="str">
        <f t="array" ref="T134:T134">T133</f>
        <v>false</v>
      </c>
      <c r="U134" s="107"/>
      <c r="V134" s="107"/>
      <c r="W134" s="107"/>
      <c r="X134" s="1596"/>
      <c r="Y134" s="1278"/>
      <c r="Z134" s="1546"/>
      <c r="AA134" s="1278"/>
      <c r="AB134" s="797" t="s">
        <v>2868</v>
      </c>
      <c r="AC134" s="798" t="s">
        <v>2869</v>
      </c>
      <c r="AD134" s="797" t="s">
        <v>1170</v>
      </c>
      <c r="AE134" s="1248"/>
      <c r="AF134" s="1248"/>
      <c r="AG134" s="1248"/>
      <c r="AH134" s="763"/>
      <c r="AI134" s="1248"/>
      <c r="AJ134" s="1248"/>
      <c r="AK134" s="1248"/>
      <c r="AL134" s="1248"/>
      <c r="AM134" s="1248"/>
      <c r="AN134" s="1248"/>
      <c r="AO134" s="1248"/>
      <c r="AP134" s="1248"/>
      <c r="AQ134" s="1248"/>
      <c r="AR134" s="1248"/>
      <c r="AS134" s="1248"/>
      <c r="AT134" s="1248"/>
      <c r="AU134" s="1248"/>
      <c r="AV134" s="1248"/>
      <c r="AW134" s="1248"/>
      <c r="AX134" s="1248"/>
      <c r="AY134" s="1248"/>
      <c r="AZ134" s="1248"/>
      <c r="BA134" s="1248"/>
      <c r="BB134" s="1248"/>
      <c r="BC134" s="1248"/>
      <c r="BD134" s="763"/>
      <c r="BE134" s="763"/>
      <c r="BF134" s="763"/>
      <c r="BG134" s="763"/>
      <c r="BH134" s="763"/>
      <c r="BI134" s="763"/>
      <c r="BJ134" s="763"/>
      <c r="BK134" s="763"/>
      <c r="BL134" s="763"/>
      <c r="BM134" s="763"/>
      <c r="BN134" s="1249"/>
      <c r="BO134" s="1249"/>
      <c r="BP134" s="1249"/>
      <c r="BQ134" s="1278"/>
      <c r="BR134" s="1278"/>
      <c r="BS134" s="1064" t="s">
        <v>2870</v>
      </c>
      <c r="BT134" s="1064"/>
      <c r="BU134" s="1064"/>
      <c r="BV134" s="979"/>
      <c r="BW134" s="979"/>
    </row>
    <row s="700" customFormat="1" customHeight="1" ht="20.475" hidden="1">
      <c r="A135" s="700"/>
      <c r="B135" s="435"/>
      <c r="C135" s="109"/>
      <c r="D135" s="109" t="str">
        <f>IF(B134,"6","7")</f>
        <v>7</v>
      </c>
      <c r="E135" s="826">
        <v>21</v>
      </c>
      <c r="F135" s="50" cm="1" t="str">
        <f t="array" ref="F135:F135">OFFSET(E135,-1,1)</f>
        <v>0</v>
      </c>
      <c r="G135" s="107" t="s">
        <v>2871</v>
      </c>
      <c r="H135" s="107"/>
      <c r="I135" s="384" t="s">
        <v>2872</v>
      </c>
      <c r="J135" s="109"/>
      <c r="K135" s="380" t="s">
        <v>2872</v>
      </c>
      <c r="L135" s="985"/>
      <c r="M135" s="109"/>
      <c r="N135" s="109"/>
      <c r="O135" s="109"/>
      <c r="P135" s="109"/>
      <c r="Q135" s="109"/>
      <c r="R135" s="109"/>
      <c r="S135" s="109"/>
      <c r="T135" s="465" cm="1" t="str">
        <f t="array" ref="T135:T135">T134</f>
        <v>false</v>
      </c>
      <c r="U135" s="109"/>
      <c r="V135" s="109"/>
      <c r="W135" s="109"/>
      <c r="X135" s="1596"/>
      <c r="Y135" s="700"/>
      <c r="Z135" s="1546"/>
      <c r="AA135" s="700"/>
      <c r="AB135" s="211" cm="1" t="str">
        <f t="array" ref="AB135:AB135">D135</f>
        <v>7</v>
      </c>
      <c r="AC135" s="219" t="s">
        <v>2323</v>
      </c>
      <c r="AD135" s="211" t="s">
        <v>1514</v>
      </c>
      <c r="AE135" s="1237"/>
      <c r="AF135" s="1237"/>
      <c r="AG135" s="1237"/>
      <c r="AH135" s="778">
        <f>AG135-AF135</f>
        <v>0</v>
      </c>
      <c r="AI135" s="1237"/>
      <c r="AJ135" s="1470">
        <f>_xlfn.SUMIFS('Корректировка НВВ'!$AF$25:$AF$282,'Корректировка НВВ'!$F$25:$F$282,$F135,'Корректировка НВВ'!$I$25:$I$282,$G135)</f>
        <v>0</v>
      </c>
      <c r="AK135" s="1237"/>
      <c r="AL135" s="1237"/>
      <c r="AM135" s="1237"/>
      <c r="AN135" s="1237"/>
      <c r="AO135" s="1237"/>
      <c r="AP135" s="1237"/>
      <c r="AQ135" s="1237"/>
      <c r="AR135" s="1237"/>
      <c r="AS135" s="1237"/>
      <c r="AT135" s="1470">
        <f>_xlfn.SUMIFS('Корректировка НВВ'!$AG$25:$AG$282,'Корректировка НВВ'!$F$25:$F$282,$F135,'Корректировка НВВ'!$I$25:$I$282,$G135)</f>
        <v>0</v>
      </c>
      <c r="AU135" s="1237"/>
      <c r="AV135" s="1237"/>
      <c r="AW135" s="1237"/>
      <c r="AX135" s="1237"/>
      <c r="AY135" s="1237"/>
      <c r="AZ135" s="1237"/>
      <c r="BA135" s="1237"/>
      <c r="BB135" s="1237"/>
      <c r="BC135" s="1237"/>
      <c r="BD135" s="778">
        <f>IF(AI135=0,0,(AT135-AI135)/AI135*100)</f>
        <v>0</v>
      </c>
      <c r="BE135" s="778">
        <f>IF(AT135=0,0,(AU135-AT135)/AT135*100)</f>
        <v>0</v>
      </c>
      <c r="BF135" s="778">
        <f>IF(AU135=0,0,(AV135-AU135)/AU135*100)</f>
        <v>0</v>
      </c>
      <c r="BG135" s="778">
        <f>IF(AV135=0,0,(AW135-AV135)/AV135*100)</f>
        <v>0</v>
      </c>
      <c r="BH135" s="778">
        <f>IF(AW135=0,0,(AX135-AW135)/AW135*100)</f>
        <v>0</v>
      </c>
      <c r="BI135" s="778">
        <f>IF(AX135=0,0,(AY135-AX135)/AX135*100)</f>
        <v>0</v>
      </c>
      <c r="BJ135" s="778">
        <f>IF(AY135=0,0,(AZ135-AY135)/AY135*100)</f>
        <v>0</v>
      </c>
      <c r="BK135" s="778">
        <f>IF(AZ135=0,0,(BA135-AZ135)/AZ135*100)</f>
        <v>0</v>
      </c>
      <c r="BL135" s="778">
        <f>IF(BA135=0,0,(BB135-BA135)/BA135*100)</f>
        <v>0</v>
      </c>
      <c r="BM135" s="778">
        <f>IF(BB135=0,0,(BC135-BB135)/BB135*100)</f>
        <v>0</v>
      </c>
      <c r="BN135" s="1240"/>
      <c r="BO135" s="1242" t="str">
        <f>IF(_xlfn.IFERROR(INDEX('Корректировка НВВ'!$K$26:$L$282,MATCH($F135&amp;"11komm",'Корректировка НВВ'!$K$26:$K$282,0),2),"")=0,"",_xlfn.IFERROR(INDEX('Корректировка НВВ'!$K$26:$L$282,MATCH($F135&amp;"11komm",'Корректировка НВВ'!$K$26:$K$282,0),2),""))</f>
        <v/>
      </c>
      <c r="BP135" s="1240"/>
      <c r="BQ135" s="700"/>
      <c r="BR135" s="700"/>
      <c r="BS135" s="1070" t="s">
        <v>2873</v>
      </c>
      <c r="BT135" s="1070"/>
      <c r="BU135" s="1070"/>
      <c r="BV135" s="707"/>
      <c r="BW135" s="707"/>
    </row>
    <row customHeight="1" ht="14.625" hidden="1">
      <c r="A136" s="1278"/>
      <c r="B136" s="978"/>
      <c r="C136" s="107"/>
      <c r="D136" s="107" cm="1" t="str">
        <f t="array" ref="D136:D136">D135</f>
        <v>7</v>
      </c>
      <c r="E136" s="621">
        <v>15</v>
      </c>
      <c r="F136" s="50" cm="1" t="str">
        <f t="array" ref="F136:F136">OFFSET(E136,-1,1)</f>
        <v>0</v>
      </c>
      <c r="G136" s="107"/>
      <c r="H136" s="107"/>
      <c r="I136" s="107"/>
      <c r="J136" s="107"/>
      <c r="K136" s="1278"/>
      <c r="L136" s="980"/>
      <c r="M136" s="107"/>
      <c r="N136" s="107"/>
      <c r="O136" s="107"/>
      <c r="P136" s="107"/>
      <c r="Q136" s="107"/>
      <c r="R136" s="107"/>
      <c r="S136" s="107"/>
      <c r="T136" s="465" cm="1" t="str">
        <f t="array" ref="T136:T136">T135</f>
        <v>false</v>
      </c>
      <c r="U136" s="107"/>
      <c r="V136" s="107"/>
      <c r="W136" s="107"/>
      <c r="X136" s="1596"/>
      <c r="Y136" s="1278"/>
      <c r="Z136" s="1546"/>
      <c r="AA136" s="1278"/>
      <c r="AB136" s="300"/>
      <c r="AC136" s="452" t="s">
        <v>2874</v>
      </c>
      <c r="AD136" s="300"/>
      <c r="AE136" s="1115"/>
      <c r="AF136" s="1115"/>
      <c r="AG136" s="1115"/>
      <c r="AH136" s="1115"/>
      <c r="AI136" s="1115"/>
      <c r="AJ136" s="1115"/>
      <c r="AK136" s="1115"/>
      <c r="AL136" s="1115"/>
      <c r="AM136" s="1115"/>
      <c r="AN136" s="1115"/>
      <c r="AO136" s="1115"/>
      <c r="AP136" s="1115"/>
      <c r="AQ136" s="1115"/>
      <c r="AR136" s="1115"/>
      <c r="AS136" s="1115"/>
      <c r="AT136" s="1115"/>
      <c r="AU136" s="1115"/>
      <c r="AV136" s="1115"/>
      <c r="AW136" s="1115"/>
      <c r="AX136" s="1115"/>
      <c r="AY136" s="1115"/>
      <c r="AZ136" s="1115"/>
      <c r="BA136" s="1115"/>
      <c r="BB136" s="1115"/>
      <c r="BC136" s="1115"/>
      <c r="BD136" s="1115"/>
      <c r="BE136" s="1115"/>
      <c r="BF136" s="1115"/>
      <c r="BG136" s="1115"/>
      <c r="BH136" s="1115"/>
      <c r="BI136" s="1115"/>
      <c r="BJ136" s="1115"/>
      <c r="BK136" s="1115"/>
      <c r="BL136" s="1115"/>
      <c r="BM136" s="1115"/>
      <c r="BN136" s="1117"/>
      <c r="BO136" s="1117"/>
      <c r="BP136" s="1117"/>
      <c r="BQ136" s="1278"/>
      <c r="BR136" s="1278"/>
      <c r="BS136" s="1064"/>
      <c r="BT136" s="1064"/>
      <c r="BU136" s="1064"/>
      <c r="BV136" s="979"/>
      <c r="BW136" s="979"/>
    </row>
    <row customHeight="1" ht="21.9375" hidden="1">
      <c r="A137" s="1278"/>
      <c r="B137" s="978"/>
      <c r="C137" s="107"/>
      <c r="D137" s="107" cm="1" t="str">
        <f t="array" ref="D137:D137">D136</f>
        <v>7</v>
      </c>
      <c r="E137" s="621">
        <v>22.5</v>
      </c>
      <c r="F137" s="50" cm="1" t="str">
        <f t="array" ref="F137:F137">OFFSET(E137,-1,1)</f>
        <v>0</v>
      </c>
      <c r="G137" s="107" t="s">
        <v>375</v>
      </c>
      <c r="H137" s="107"/>
      <c r="I137" s="107" t="s">
        <v>1228</v>
      </c>
      <c r="J137" s="107"/>
      <c r="K137" s="158" t="s">
        <v>1228</v>
      </c>
      <c r="L137" s="980"/>
      <c r="M137" s="107"/>
      <c r="N137" s="107"/>
      <c r="O137" s="107"/>
      <c r="P137" s="107"/>
      <c r="Q137" s="107"/>
      <c r="R137" s="107"/>
      <c r="S137" s="107"/>
      <c r="T137" s="465" cm="1" t="str">
        <f t="array" ref="T137:T137">T136</f>
        <v>false</v>
      </c>
      <c r="U137" s="107"/>
      <c r="V137" s="107"/>
      <c r="W137" s="107"/>
      <c r="X137" s="1596"/>
      <c r="Y137" s="1278"/>
      <c r="Z137" s="1546"/>
      <c r="AA137" s="1278"/>
      <c r="AB137" s="300" t="str">
        <f>D137&amp;".1"</f>
        <v>7.1</v>
      </c>
      <c r="AC137" s="762" t="s">
        <v>2875</v>
      </c>
      <c r="AD137" s="300" t="s">
        <v>1514</v>
      </c>
      <c r="AE137" s="1241"/>
      <c r="AF137" s="1241"/>
      <c r="AG137" s="1241"/>
      <c r="AH137" s="1114">
        <f>AG137-AF137</f>
        <v>0</v>
      </c>
      <c r="AI137" s="1241"/>
      <c r="AJ137" s="1241">
        <f>_xlfn.SUMIFS('Корректировка НВВ'!$AF$25:$AF$282,'Корректировка НВВ'!$F$25:$F$282,$F137,'Корректировка НВВ'!$I$25:$I$282,$G137)</f>
        <v>0</v>
      </c>
      <c r="AK137" s="1241"/>
      <c r="AL137" s="1241"/>
      <c r="AM137" s="1241"/>
      <c r="AN137" s="1241"/>
      <c r="AO137" s="1241"/>
      <c r="AP137" s="1241"/>
      <c r="AQ137" s="1241"/>
      <c r="AR137" s="1241"/>
      <c r="AS137" s="1241"/>
      <c r="AT137" s="1241">
        <f>_xlfn.SUMIFS('Корректировка НВВ'!$AG$25:$AG$282,'Корректировка НВВ'!$F$25:$F$282,$F137,'Корректировка НВВ'!$I$25:$I$282,$G137)</f>
        <v>0</v>
      </c>
      <c r="AU137" s="1241"/>
      <c r="AV137" s="1241"/>
      <c r="AW137" s="1241"/>
      <c r="AX137" s="1241"/>
      <c r="AY137" s="1241"/>
      <c r="AZ137" s="1241"/>
      <c r="BA137" s="1241"/>
      <c r="BB137" s="1241"/>
      <c r="BC137" s="1241"/>
      <c r="BD137" s="1115"/>
      <c r="BE137" s="1115"/>
      <c r="BF137" s="1115"/>
      <c r="BG137" s="1115"/>
      <c r="BH137" s="1115"/>
      <c r="BI137" s="1115"/>
      <c r="BJ137" s="1115"/>
      <c r="BK137" s="1115"/>
      <c r="BL137" s="1115"/>
      <c r="BM137" s="1115"/>
      <c r="BN137" s="1238"/>
      <c r="BO137" s="1242" t="str">
        <f>IF(_xlfn.IFERROR(INDEX('Корректировка НВВ'!$K$26:$L$282,MATCH($F137&amp;"1komm",'Корректировка НВВ'!$K$26:$K$282,0),2),"")=0,"",_xlfn.IFERROR(INDEX('Корректировка НВВ'!$K$26:$L$282,MATCH($F137&amp;"1komm",'Корректировка НВВ'!$K$26:$K$282,0),2),""))</f>
        <v/>
      </c>
      <c r="BP137" s="1238"/>
      <c r="BQ137" s="1278"/>
      <c r="BR137" s="1278"/>
      <c r="BS137" s="1064" t="s">
        <v>2876</v>
      </c>
      <c r="BT137" s="1064"/>
      <c r="BU137" s="1064"/>
      <c r="BV137" s="979"/>
      <c r="BW137" s="979"/>
    </row>
    <row customHeight="1" ht="98.71875" hidden="1">
      <c r="A138" s="1278"/>
      <c r="B138" s="978"/>
      <c r="C138" s="107"/>
      <c r="D138" s="107" cm="1" t="str">
        <f t="array" ref="D138:D138">D137</f>
        <v>7</v>
      </c>
      <c r="E138" s="621">
        <v>101.25</v>
      </c>
      <c r="F138" s="50" cm="1" t="str">
        <f t="array" ref="F138:F138">OFFSET(E138,-1,1)</f>
        <v>0</v>
      </c>
      <c r="G138" s="107" t="s">
        <v>2877</v>
      </c>
      <c r="H138" s="107"/>
      <c r="I138" s="107" t="s">
        <v>1275</v>
      </c>
      <c r="J138" s="107"/>
      <c r="K138" s="158" t="s">
        <v>1275</v>
      </c>
      <c r="L138" s="980"/>
      <c r="M138" s="107"/>
      <c r="N138" s="107"/>
      <c r="O138" s="107"/>
      <c r="P138" s="107"/>
      <c r="Q138" s="107"/>
      <c r="R138" s="107"/>
      <c r="S138" s="107"/>
      <c r="T138" s="465" cm="1" t="str">
        <f t="array" ref="T138:T138">T137</f>
        <v>false</v>
      </c>
      <c r="U138" s="107"/>
      <c r="V138" s="107"/>
      <c r="W138" s="107"/>
      <c r="X138" s="1596"/>
      <c r="Y138" s="1278"/>
      <c r="Z138" s="1546"/>
      <c r="AA138" s="1278"/>
      <c r="AB138" s="300" t="str">
        <f>D138&amp;".2"</f>
        <v>7.2</v>
      </c>
      <c r="AC138" s="762" t="s">
        <v>2878</v>
      </c>
      <c r="AD138" s="300" t="s">
        <v>1514</v>
      </c>
      <c r="AE138" s="1241"/>
      <c r="AF138" s="1241"/>
      <c r="AG138" s="1241"/>
      <c r="AH138" s="1114">
        <f>AG138-AF138</f>
        <v>0</v>
      </c>
      <c r="AI138" s="1241"/>
      <c r="AJ138" s="1241">
        <f>_xlfn.SUMIFS('Корректировка НВВ'!$AF$25:$AF$282,'Корректировка НВВ'!$F$25:$F$282,$F138,'Корректировка НВВ'!$I$25:$I$282,$G138)</f>
        <v>0</v>
      </c>
      <c r="AK138" s="1241"/>
      <c r="AL138" s="1241"/>
      <c r="AM138" s="1241"/>
      <c r="AN138" s="1241"/>
      <c r="AO138" s="1241"/>
      <c r="AP138" s="1241"/>
      <c r="AQ138" s="1241"/>
      <c r="AR138" s="1241"/>
      <c r="AS138" s="1241"/>
      <c r="AT138" s="1241">
        <f>_xlfn.SUMIFS('Корректировка НВВ'!$AG$25:$AG$282,'Корректировка НВВ'!$F$25:$F$282,$F138,'Корректировка НВВ'!$I$25:$I$282,$G138)</f>
        <v>0</v>
      </c>
      <c r="AU138" s="1241"/>
      <c r="AV138" s="1241"/>
      <c r="AW138" s="1241"/>
      <c r="AX138" s="1241"/>
      <c r="AY138" s="1241"/>
      <c r="AZ138" s="1241"/>
      <c r="BA138" s="1241"/>
      <c r="BB138" s="1241"/>
      <c r="BC138" s="1241"/>
      <c r="BD138" s="1115"/>
      <c r="BE138" s="1115"/>
      <c r="BF138" s="1115"/>
      <c r="BG138" s="1115"/>
      <c r="BH138" s="1115"/>
      <c r="BI138" s="1115"/>
      <c r="BJ138" s="1115"/>
      <c r="BK138" s="1115"/>
      <c r="BL138" s="1115"/>
      <c r="BM138" s="1115"/>
      <c r="BN138" s="1238"/>
      <c r="BO138" s="1242" t="str">
        <f>IF(_xlfn.IFERROR(INDEX('Корректировка НВВ'!$K$26:$L$282,MATCH($F138&amp;"2komm",'Корректировка НВВ'!$K$26:$K$282,0),2),"")=0,"",_xlfn.IFERROR(INDEX('Корректировка НВВ'!$K$26:$L$282,MATCH($F138&amp;"2komm",'Корректировка НВВ'!$K$26:$K$282,0),2),""))</f>
        <v/>
      </c>
      <c r="BP138" s="1238"/>
      <c r="BQ138" s="1278"/>
      <c r="BR138" s="1278"/>
      <c r="BS138" s="1064" t="s">
        <v>2879</v>
      </c>
      <c r="BT138" s="1064"/>
      <c r="BU138" s="1064"/>
      <c r="BV138" s="979"/>
      <c r="BW138" s="979"/>
    </row>
    <row customHeight="1" ht="43.875" hidden="1">
      <c r="A139" s="1278"/>
      <c r="B139" s="978"/>
      <c r="C139" s="107"/>
      <c r="D139" s="107" cm="1" t="str">
        <f t="array" ref="D139:D139">D138</f>
        <v>7</v>
      </c>
      <c r="E139" s="621">
        <v>45</v>
      </c>
      <c r="F139" s="50" cm="1" t="str">
        <f t="array" ref="F139:F139">OFFSET(E139,-1,1)</f>
        <v>0</v>
      </c>
      <c r="G139" s="107"/>
      <c r="H139" s="107"/>
      <c r="I139" s="107" t="s">
        <v>1290</v>
      </c>
      <c r="J139" s="107"/>
      <c r="K139" s="158" t="s">
        <v>1290</v>
      </c>
      <c r="L139" s="980"/>
      <c r="M139" s="107"/>
      <c r="N139" s="107"/>
      <c r="O139" s="107"/>
      <c r="P139" s="107"/>
      <c r="Q139" s="107"/>
      <c r="R139" s="107"/>
      <c r="S139" s="107"/>
      <c r="T139" s="465" cm="1" t="str">
        <f t="array" ref="T139:T139">T138</f>
        <v>false</v>
      </c>
      <c r="U139" s="107"/>
      <c r="V139" s="107"/>
      <c r="W139" s="107"/>
      <c r="X139" s="1596"/>
      <c r="Y139" s="1278"/>
      <c r="Z139" s="1546"/>
      <c r="AA139" s="1278"/>
      <c r="AB139" s="300" t="str">
        <f>D139&amp;".3"</f>
        <v>7.3</v>
      </c>
      <c r="AC139" s="762" t="s">
        <v>2880</v>
      </c>
      <c r="AD139" s="300" t="s">
        <v>1514</v>
      </c>
      <c r="AE139" s="1241"/>
      <c r="AF139" s="1241"/>
      <c r="AG139" s="1241"/>
      <c r="AH139" s="1114">
        <f>AG139-AF139</f>
        <v>0</v>
      </c>
      <c r="AI139" s="1241"/>
      <c r="AJ139" s="1241">
        <f>_xlfn.SUMIFS('Корректировка НВВ'!$AF$25:$AF$282,'Корректировка НВВ'!$F$25:$F$282,$F139,'Корректировка НВВ'!$I$25:$I$282,"L1")+_xlfn.SUMIFS('Корректировка НВВ'!$AF$25:$AF$282,'Корректировка НВВ'!$F$25:$F$282,$F139,'Корректировка НВВ'!$I$25:$I$282,"L2")</f>
        <v>0</v>
      </c>
      <c r="AK139" s="1241"/>
      <c r="AL139" s="1241"/>
      <c r="AM139" s="1241"/>
      <c r="AN139" s="1241"/>
      <c r="AO139" s="1241"/>
      <c r="AP139" s="1241"/>
      <c r="AQ139" s="1241"/>
      <c r="AR139" s="1241"/>
      <c r="AS139" s="1241"/>
      <c r="AT139" s="1241">
        <f>_xlfn.SUMIFS('Корректировка НВВ'!$AG$25:$AG$282,'Корректировка НВВ'!$F$25:$F$282,$F139,'Корректировка НВВ'!$I$25:$I$282,"L1")+_xlfn.SUMIFS('Корректировка НВВ'!$AF$25:$AF$282,'Корректировка НВВ'!$F$25:$F$282,$F139,'Корректировка НВВ'!$I$25:$I$282,"L2")</f>
        <v>0</v>
      </c>
      <c r="AU139" s="1241"/>
      <c r="AV139" s="1241"/>
      <c r="AW139" s="1241"/>
      <c r="AX139" s="1241"/>
      <c r="AY139" s="1241"/>
      <c r="AZ139" s="1241"/>
      <c r="BA139" s="1241"/>
      <c r="BB139" s="1241"/>
      <c r="BC139" s="1241"/>
      <c r="BD139" s="1115"/>
      <c r="BE139" s="1115"/>
      <c r="BF139" s="1115"/>
      <c r="BG139" s="1115"/>
      <c r="BH139" s="1115"/>
      <c r="BI139" s="1115"/>
      <c r="BJ139" s="1115"/>
      <c r="BK139" s="1115"/>
      <c r="BL139" s="1115"/>
      <c r="BM139" s="1115"/>
      <c r="BN139" s="1238"/>
      <c r="BO139" s="1242"/>
      <c r="BP139" s="1238"/>
      <c r="BQ139" s="1278"/>
      <c r="BR139" s="1278"/>
      <c r="BS139" s="1064" t="s">
        <v>2881</v>
      </c>
      <c r="BT139" s="1064"/>
      <c r="BU139" s="1064"/>
      <c r="BV139" s="979"/>
      <c r="BW139" s="979"/>
    </row>
    <row customHeight="1" ht="87.75" hidden="1">
      <c r="A140" s="1278"/>
      <c r="B140" s="445">
        <f>S27="Водоотведение"</f>
        <v>0</v>
      </c>
      <c r="C140" s="107"/>
      <c r="D140" s="107" cm="1" t="str">
        <f t="array" ref="D140:D140">D139</f>
        <v>7</v>
      </c>
      <c r="E140" s="621">
        <v>90</v>
      </c>
      <c r="F140" s="50" cm="1" t="str">
        <f t="array" ref="F140:F140">OFFSET(E140,-1,1)</f>
        <v>0</v>
      </c>
      <c r="G140" s="107" t="s">
        <v>2882</v>
      </c>
      <c r="H140" s="848"/>
      <c r="I140" s="107" t="s">
        <v>1456</v>
      </c>
      <c r="J140" s="107"/>
      <c r="K140" s="158" t="s">
        <v>1456</v>
      </c>
      <c r="L140" s="980" t="s">
        <v>1454</v>
      </c>
      <c r="M140" s="107"/>
      <c r="N140" s="107"/>
      <c r="O140" s="107"/>
      <c r="P140" s="107"/>
      <c r="Q140" s="107"/>
      <c r="R140" s="107"/>
      <c r="S140" s="107"/>
      <c r="T140" s="465" cm="1" t="str">
        <f t="array" ref="T140:T140">T139</f>
        <v>false</v>
      </c>
      <c r="U140" s="107"/>
      <c r="V140" s="107"/>
      <c r="W140" s="107"/>
      <c r="X140" s="1596"/>
      <c r="Y140" s="1278"/>
      <c r="Z140" s="1546"/>
      <c r="AA140" s="1278"/>
      <c r="AB140" s="300" t="str">
        <f>D140&amp;".4"</f>
        <v>7.4</v>
      </c>
      <c r="AC140" s="762" t="s">
        <v>2552</v>
      </c>
      <c r="AD140" s="766" t="s">
        <v>1514</v>
      </c>
      <c r="AE140" s="1241"/>
      <c r="AF140" s="1241"/>
      <c r="AG140" s="1241"/>
      <c r="AH140" s="1114">
        <f>AG140-AF140</f>
        <v>0</v>
      </c>
      <c r="AI140" s="1241"/>
      <c r="AJ140" s="1241">
        <f>_xlfn.SUMIFS('Корректировка НВВ'!$AF$25:$AF$282,'Корректировка НВВ'!$F$25:$F$282,$F140,'Корректировка НВВ'!$I$25:$I$282,$G140)</f>
        <v>0</v>
      </c>
      <c r="AK140" s="1241"/>
      <c r="AL140" s="1241"/>
      <c r="AM140" s="1241"/>
      <c r="AN140" s="1241"/>
      <c r="AO140" s="1241"/>
      <c r="AP140" s="1241"/>
      <c r="AQ140" s="1241"/>
      <c r="AR140" s="1241"/>
      <c r="AS140" s="1241"/>
      <c r="AT140" s="1241">
        <f>_xlfn.SUMIFS('Корректировка НВВ'!$AG$25:$AG$282,'Корректировка НВВ'!$F$25:$F$282,$F140,'Корректировка НВВ'!$I$25:$I$282,$G140)</f>
        <v>0</v>
      </c>
      <c r="AU140" s="1241"/>
      <c r="AV140" s="1241"/>
      <c r="AW140" s="1241"/>
      <c r="AX140" s="1241"/>
      <c r="AY140" s="1241"/>
      <c r="AZ140" s="1241"/>
      <c r="BA140" s="1241"/>
      <c r="BB140" s="1241"/>
      <c r="BC140" s="1241"/>
      <c r="BD140" s="1115"/>
      <c r="BE140" s="1115"/>
      <c r="BF140" s="1115"/>
      <c r="BG140" s="1115"/>
      <c r="BH140" s="1115"/>
      <c r="BI140" s="1115"/>
      <c r="BJ140" s="1115"/>
      <c r="BK140" s="1115"/>
      <c r="BL140" s="1115"/>
      <c r="BM140" s="1115"/>
      <c r="BN140" s="1238"/>
      <c r="BO140" s="1242" t="str">
        <f>IF(_xlfn.IFERROR(INDEX('Корректировка НВВ'!$K$26:$L$282,MATCH($F140&amp;"3komm",'Корректировка НВВ'!$K$26:$K$282,0),2),"")=0,"",_xlfn.IFERROR(INDEX('Корректировка НВВ'!$K$26:$L$282,MATCH($F140&amp;"3komm",'Корректировка НВВ'!$K$26:$K$282,0),2),""))</f>
        <v/>
      </c>
      <c r="BP140" s="1238"/>
      <c r="BQ140" s="1278"/>
      <c r="BR140" s="1278"/>
      <c r="BS140" s="1064" t="s">
        <v>2098</v>
      </c>
      <c r="BT140" s="1064"/>
      <c r="BU140" s="1064"/>
      <c r="BV140" s="979"/>
      <c r="BW140" s="979"/>
    </row>
    <row customHeight="1" ht="54.84375" hidden="1">
      <c r="A141" s="1278"/>
      <c r="B141" s="445" cm="1" t="str">
        <f t="array" ref="B141:B141">B140</f>
        <v>false</v>
      </c>
      <c r="C141" s="107"/>
      <c r="D141" s="107" cm="1" t="str">
        <f t="array" ref="D141:D141">D140</f>
        <v>7</v>
      </c>
      <c r="E141" s="621">
        <v>56.25</v>
      </c>
      <c r="F141" s="50" cm="1" t="str">
        <f t="array" ref="F141:F141">OFFSET(E141,-1,1)</f>
        <v>0</v>
      </c>
      <c r="G141" s="107" t="s">
        <v>2883</v>
      </c>
      <c r="H141" s="848"/>
      <c r="I141" s="107" t="s">
        <v>1492</v>
      </c>
      <c r="J141" s="107"/>
      <c r="K141" s="158" t="s">
        <v>1492</v>
      </c>
      <c r="L141" s="980" t="s">
        <v>1456</v>
      </c>
      <c r="M141" s="107"/>
      <c r="N141" s="107"/>
      <c r="O141" s="107"/>
      <c r="P141" s="107"/>
      <c r="Q141" s="107"/>
      <c r="R141" s="107"/>
      <c r="S141" s="107"/>
      <c r="T141" s="465" cm="1" t="str">
        <f t="array" ref="T141:T141">T140</f>
        <v>false</v>
      </c>
      <c r="U141" s="107"/>
      <c r="V141" s="107"/>
      <c r="W141" s="107"/>
      <c r="X141" s="1596"/>
      <c r="Y141" s="1278"/>
      <c r="Z141" s="1546"/>
      <c r="AA141" s="1278"/>
      <c r="AB141" s="300" t="str">
        <f>D141&amp;".5"</f>
        <v>7.5</v>
      </c>
      <c r="AC141" s="762" t="s">
        <v>2553</v>
      </c>
      <c r="AD141" s="766" t="s">
        <v>1514</v>
      </c>
      <c r="AE141" s="1241"/>
      <c r="AF141" s="1241"/>
      <c r="AG141" s="1241"/>
      <c r="AH141" s="1114">
        <f>AG141-AF141</f>
        <v>0</v>
      </c>
      <c r="AI141" s="1241"/>
      <c r="AJ141" s="1241">
        <f>_xlfn.SUMIFS('Корректировка НВВ'!$AF$25:$AF$282,'Корректировка НВВ'!$F$25:$F$282,$F141,'Корректировка НВВ'!$I$25:$I$282,$G141)</f>
        <v>0</v>
      </c>
      <c r="AK141" s="1241"/>
      <c r="AL141" s="1241"/>
      <c r="AM141" s="1241"/>
      <c r="AN141" s="1241"/>
      <c r="AO141" s="1241"/>
      <c r="AP141" s="1241"/>
      <c r="AQ141" s="1241"/>
      <c r="AR141" s="1241"/>
      <c r="AS141" s="1241"/>
      <c r="AT141" s="1241">
        <f>_xlfn.SUMIFS('Корректировка НВВ'!$AG$25:$AG$282,'Корректировка НВВ'!$F$25:$F$282,$F141,'Корректировка НВВ'!$I$25:$I$282,$G141)</f>
        <v>0</v>
      </c>
      <c r="AU141" s="1241"/>
      <c r="AV141" s="1241"/>
      <c r="AW141" s="1241"/>
      <c r="AX141" s="1241"/>
      <c r="AY141" s="1241"/>
      <c r="AZ141" s="1241"/>
      <c r="BA141" s="1241"/>
      <c r="BB141" s="1241"/>
      <c r="BC141" s="1241"/>
      <c r="BD141" s="1115"/>
      <c r="BE141" s="1115"/>
      <c r="BF141" s="1115"/>
      <c r="BG141" s="1115"/>
      <c r="BH141" s="1115"/>
      <c r="BI141" s="1115"/>
      <c r="BJ141" s="1115"/>
      <c r="BK141" s="1115"/>
      <c r="BL141" s="1115"/>
      <c r="BM141" s="1115"/>
      <c r="BN141" s="1238"/>
      <c r="BO141" s="1242" t="str">
        <f>IF(_xlfn.IFERROR(INDEX('Корректировка НВВ'!$K$26:$L$282,MATCH($F141&amp;"4komm",'Корректировка НВВ'!$K$26:$K$282,0),2),"")=0,"",_xlfn.IFERROR(INDEX('Корректировка НВВ'!$K$26:$L$282,MATCH($F141&amp;"4komm",'Корректировка НВВ'!$K$26:$K$282,0),2),""))</f>
        <v/>
      </c>
      <c r="BP141" s="1238"/>
      <c r="BQ141" s="1278"/>
      <c r="BR141" s="1278"/>
      <c r="BS141" s="1064" t="s">
        <v>2102</v>
      </c>
      <c r="BT141" s="1064"/>
      <c r="BU141" s="1064"/>
      <c r="BV141" s="979"/>
      <c r="BW141" s="979"/>
    </row>
    <row customHeight="1" ht="14.625" hidden="1">
      <c r="A142" s="1278"/>
      <c r="B142" s="427"/>
      <c r="C142" s="107"/>
      <c r="D142" s="107" cm="1" t="str">
        <f t="array" ref="D142:D142">D141</f>
        <v>7</v>
      </c>
      <c r="E142" s="621">
        <v>15</v>
      </c>
      <c r="F142" s="50" cm="1" t="str">
        <f t="array" ref="F142:F142">OFFSET(E142,-1,1)</f>
        <v>0</v>
      </c>
      <c r="G142" s="107" t="s">
        <v>2884</v>
      </c>
      <c r="H142" s="107"/>
      <c r="I142" s="107" t="s">
        <v>1493</v>
      </c>
      <c r="J142" s="107"/>
      <c r="K142" s="158" t="s">
        <v>1493</v>
      </c>
      <c r="L142" s="980" t="s">
        <v>1492</v>
      </c>
      <c r="M142" s="107"/>
      <c r="N142" s="107"/>
      <c r="O142" s="107"/>
      <c r="P142" s="107"/>
      <c r="Q142" s="107"/>
      <c r="R142" s="107"/>
      <c r="S142" s="107"/>
      <c r="T142" s="465" cm="1" t="str">
        <f t="array" ref="T142:T142">T141</f>
        <v>false</v>
      </c>
      <c r="U142" s="107"/>
      <c r="V142" s="107"/>
      <c r="W142" s="107"/>
      <c r="X142" s="1596"/>
      <c r="Y142" s="1278"/>
      <c r="Z142" s="1546"/>
      <c r="AA142" s="1278"/>
      <c r="AB142" s="300" t="str">
        <f>IF(B141,D142&amp;".6",D142&amp;".4")</f>
        <v>7.4</v>
      </c>
      <c r="AC142" s="762" t="s">
        <v>2316</v>
      </c>
      <c r="AD142" s="300" t="s">
        <v>1514</v>
      </c>
      <c r="AE142" s="1241"/>
      <c r="AF142" s="1241"/>
      <c r="AG142" s="1241"/>
      <c r="AH142" s="1114">
        <f>AG142-AF142</f>
        <v>0</v>
      </c>
      <c r="AI142" s="1241"/>
      <c r="AJ142" s="1241">
        <f>_xlfn.SUMIFS('Корректировка НВВ'!$AF$25:$AF$282,'Корректировка НВВ'!$F$25:$F$282,$F142,'Корректировка НВВ'!$I$25:$I$282,$G142)</f>
        <v>0</v>
      </c>
      <c r="AK142" s="1241"/>
      <c r="AL142" s="1241"/>
      <c r="AM142" s="1241"/>
      <c r="AN142" s="1241"/>
      <c r="AO142" s="1241"/>
      <c r="AP142" s="1241"/>
      <c r="AQ142" s="1241"/>
      <c r="AR142" s="1241"/>
      <c r="AS142" s="1241"/>
      <c r="AT142" s="1241">
        <f>_xlfn.SUMIFS('Корректировка НВВ'!$AG$25:$AG$282,'Корректировка НВВ'!$F$25:$F$282,$F142,'Корректировка НВВ'!$I$25:$I$282,$G142)</f>
        <v>0</v>
      </c>
      <c r="AU142" s="1241"/>
      <c r="AV142" s="1241"/>
      <c r="AW142" s="1241"/>
      <c r="AX142" s="1241"/>
      <c r="AY142" s="1241"/>
      <c r="AZ142" s="1241"/>
      <c r="BA142" s="1241"/>
      <c r="BB142" s="1241"/>
      <c r="BC142" s="1241"/>
      <c r="BD142" s="1115"/>
      <c r="BE142" s="1115"/>
      <c r="BF142" s="1115"/>
      <c r="BG142" s="1115"/>
      <c r="BH142" s="1115"/>
      <c r="BI142" s="1115"/>
      <c r="BJ142" s="1115"/>
      <c r="BK142" s="1115"/>
      <c r="BL142" s="1115"/>
      <c r="BM142" s="1115"/>
      <c r="BN142" s="1238"/>
      <c r="BO142" s="1242" t="str">
        <f>IF(_xlfn.IFERROR(INDEX('Корректировка НВВ'!$K$26:$L$282,MATCH($F142&amp;"5komm",'Корректировка НВВ'!$K$26:$K$282,0),2),"")=0,"",_xlfn.IFERROR(INDEX('Корректировка НВВ'!$K$26:$L$282,MATCH($F142&amp;"5komm",'Корректировка НВВ'!$K$26:$K$282,0),2),""))</f>
        <v/>
      </c>
      <c r="BP142" s="1238"/>
      <c r="BQ142" s="1278"/>
      <c r="BR142" s="1278"/>
      <c r="BS142" s="1064" t="s">
        <v>2885</v>
      </c>
      <c r="BT142" s="1064"/>
      <c r="BU142" s="1064"/>
      <c r="BV142" s="979"/>
      <c r="BW142" s="979"/>
    </row>
    <row customHeight="1" ht="14.625" hidden="1">
      <c r="A143" s="1278"/>
      <c r="B143" s="978"/>
      <c r="C143" s="107"/>
      <c r="D143" s="107" cm="1" t="str">
        <f t="array" ref="D143:D143">D142</f>
        <v>7</v>
      </c>
      <c r="E143" s="621">
        <v>15</v>
      </c>
      <c r="F143" s="50" cm="1" t="str">
        <f t="array" ref="F143:F143">OFFSET(E143,-1,1)</f>
        <v>0</v>
      </c>
      <c r="G143" s="107" t="s">
        <v>2886</v>
      </c>
      <c r="H143" s="107"/>
      <c r="I143" s="107" t="s">
        <v>2561</v>
      </c>
      <c r="J143" s="107"/>
      <c r="K143" s="158" t="s">
        <v>2561</v>
      </c>
      <c r="L143" s="980" t="s">
        <v>1493</v>
      </c>
      <c r="M143" s="107"/>
      <c r="N143" s="107"/>
      <c r="O143" s="107"/>
      <c r="P143" s="107"/>
      <c r="Q143" s="107"/>
      <c r="R143" s="107"/>
      <c r="S143" s="107"/>
      <c r="T143" s="465" cm="1" t="str">
        <f t="array" ref="T143:T143">T142</f>
        <v>false</v>
      </c>
      <c r="U143" s="107"/>
      <c r="V143" s="107"/>
      <c r="W143" s="107"/>
      <c r="X143" s="1596"/>
      <c r="Y143" s="1278"/>
      <c r="Z143" s="1546"/>
      <c r="AA143" s="1278"/>
      <c r="AB143" s="300" t="str">
        <f>IF(B141,D142&amp;".7",D142&amp;".5")</f>
        <v>7.5</v>
      </c>
      <c r="AC143" s="762" t="s">
        <v>2278</v>
      </c>
      <c r="AD143" s="300" t="s">
        <v>1514</v>
      </c>
      <c r="AE143" s="1241">
        <f>AE144+AE145</f>
        <v>0</v>
      </c>
      <c r="AF143" s="1241">
        <f>AF144+AF145</f>
        <v>0</v>
      </c>
      <c r="AG143" s="1241">
        <f>AG144+AG145</f>
        <v>0</v>
      </c>
      <c r="AH143" s="1114">
        <f>AG143-AF143</f>
        <v>0</v>
      </c>
      <c r="AI143" s="1241">
        <f>AI144+AI145</f>
        <v>0</v>
      </c>
      <c r="AJ143" s="1241">
        <f>_xlfn.SUMIFS('Корректировка НВВ'!$AF$25:$AF$282,'Корректировка НВВ'!$F$25:$F$282,$F143,'Корректировка НВВ'!$I$25:$I$282,$G143)</f>
        <v>0</v>
      </c>
      <c r="AK143" s="1241">
        <f>AK144+AK145</f>
        <v>0</v>
      </c>
      <c r="AL143" s="1241">
        <f>AL144+AL145</f>
        <v>0</v>
      </c>
      <c r="AM143" s="1241">
        <f>AM144+AM145</f>
        <v>0</v>
      </c>
      <c r="AN143" s="1241">
        <f>AN144+AN145</f>
        <v>0</v>
      </c>
      <c r="AO143" s="1241">
        <f>AO144+AO145</f>
        <v>0</v>
      </c>
      <c r="AP143" s="1241">
        <f>AP144+AP145</f>
        <v>0</v>
      </c>
      <c r="AQ143" s="1241">
        <f>AQ144+AQ145</f>
        <v>0</v>
      </c>
      <c r="AR143" s="1241">
        <f>AR144+AR145</f>
        <v>0</v>
      </c>
      <c r="AS143" s="1241">
        <f>AS144+AS145</f>
        <v>0</v>
      </c>
      <c r="AT143" s="1241">
        <f>_xlfn.SUMIFS('Корректировка НВВ'!$AG$25:$AG$282,'Корректировка НВВ'!$F$25:$F$282,$F143,'Корректировка НВВ'!$I$25:$I$282,$G143)</f>
        <v>0</v>
      </c>
      <c r="AU143" s="1241">
        <f>AU144+AU145</f>
        <v>0</v>
      </c>
      <c r="AV143" s="1241">
        <f>AV144+AV145</f>
        <v>0</v>
      </c>
      <c r="AW143" s="1241">
        <f>AW144+AW145</f>
        <v>0</v>
      </c>
      <c r="AX143" s="1241">
        <f>AX144+AX145</f>
        <v>0</v>
      </c>
      <c r="AY143" s="1241">
        <f>AY144+AY145</f>
        <v>0</v>
      </c>
      <c r="AZ143" s="1241">
        <f>AZ144+AZ145</f>
        <v>0</v>
      </c>
      <c r="BA143" s="1241">
        <f>BA144+BA145</f>
        <v>0</v>
      </c>
      <c r="BB143" s="1241">
        <f>BB144+BB145</f>
        <v>0</v>
      </c>
      <c r="BC143" s="1241">
        <f>BC144+BC145</f>
        <v>0</v>
      </c>
      <c r="BD143" s="1114">
        <f>IF(AI143=0,0,(AT143-AI143)/AI143*100)</f>
        <v>0</v>
      </c>
      <c r="BE143" s="1114">
        <f>IF(AT143=0,0,(AU143-AT143)/AT143*100)</f>
        <v>0</v>
      </c>
      <c r="BF143" s="1114">
        <f>IF(AU143=0,0,(AV143-AU143)/AU143*100)</f>
        <v>0</v>
      </c>
      <c r="BG143" s="1114">
        <f>IF(AV143=0,0,(AW143-AV143)/AV143*100)</f>
        <v>0</v>
      </c>
      <c r="BH143" s="1114">
        <f>IF(AW143=0,0,(AX143-AW143)/AW143*100)</f>
        <v>0</v>
      </c>
      <c r="BI143" s="1114">
        <f>IF(AX143=0,0,(AY143-AX143)/AX143*100)</f>
        <v>0</v>
      </c>
      <c r="BJ143" s="1114">
        <f>IF(AY143=0,0,(AZ143-AY143)/AY143*100)</f>
        <v>0</v>
      </c>
      <c r="BK143" s="1114">
        <f>IF(AZ143=0,0,(BA143-AZ143)/AZ143*100)</f>
        <v>0</v>
      </c>
      <c r="BL143" s="1114">
        <f>IF(BA143=0,0,(BB143-BA143)/BA143*100)</f>
        <v>0</v>
      </c>
      <c r="BM143" s="1114">
        <f>IF(BB143=0,0,(BC143-BB143)/BB143*100)</f>
        <v>0</v>
      </c>
      <c r="BN143" s="1238"/>
      <c r="BO143" s="1242" t="str">
        <f>IF(_xlfn.IFERROR(INDEX('Корректировка НВВ'!$K$26:$L$282,MATCH($F143&amp;"6komm",'Корректировка НВВ'!$K$26:$K$282,0),2),"")=0,"",_xlfn.IFERROR(INDEX('Корректировка НВВ'!$K$26:$L$282,MATCH($F143&amp;"6komm",'Корректировка НВВ'!$K$26:$K$282,0),2),""))</f>
        <v/>
      </c>
      <c r="BP143" s="1238"/>
      <c r="BQ143" s="1278"/>
      <c r="BR143" s="1278"/>
      <c r="BS143" s="1064" t="s">
        <v>2280</v>
      </c>
      <c r="BT143" s="1064"/>
      <c r="BU143" s="1064"/>
      <c r="BV143" s="979"/>
      <c r="BW143" s="979"/>
    </row>
    <row customHeight="1" ht="21.9375" hidden="1">
      <c r="A144" s="1278"/>
      <c r="B144" s="978"/>
      <c r="C144" s="107"/>
      <c r="D144" s="107" cm="1" t="str">
        <f t="array" ref="D144:D144">D143</f>
        <v>7</v>
      </c>
      <c r="E144" s="621">
        <v>22.5</v>
      </c>
      <c r="F144" s="50" cm="1" t="str">
        <f t="array" ref="F144:F144">OFFSET(E144,-1,1)</f>
        <v>0</v>
      </c>
      <c r="G144" s="107" t="s">
        <v>2887</v>
      </c>
      <c r="H144" s="107"/>
      <c r="I144" s="107" t="s">
        <v>2888</v>
      </c>
      <c r="J144" s="107"/>
      <c r="K144" s="158" t="s">
        <v>2888</v>
      </c>
      <c r="L144" s="980" t="s">
        <v>2556</v>
      </c>
      <c r="M144" s="107"/>
      <c r="N144" s="107"/>
      <c r="O144" s="107"/>
      <c r="P144" s="107"/>
      <c r="Q144" s="107"/>
      <c r="R144" s="107"/>
      <c r="S144" s="107"/>
      <c r="T144" s="465" cm="1" t="str">
        <f t="array" ref="T144:T144">T143</f>
        <v>false</v>
      </c>
      <c r="U144" s="107"/>
      <c r="V144" s="107"/>
      <c r="W144" s="107"/>
      <c r="X144" s="1596"/>
      <c r="Y144" s="1278"/>
      <c r="Z144" s="1546"/>
      <c r="AA144" s="1278"/>
      <c r="AB144" s="300" t="str">
        <f>AB143&amp;".1"</f>
        <v>7.5.1</v>
      </c>
      <c r="AC144" s="781" t="s">
        <v>2281</v>
      </c>
      <c r="AD144" s="300" t="s">
        <v>1514</v>
      </c>
      <c r="AE144" s="1241"/>
      <c r="AF144" s="1241"/>
      <c r="AG144" s="1241"/>
      <c r="AH144" s="1114">
        <f>AG144-AF144</f>
        <v>0</v>
      </c>
      <c r="AI144" s="1241"/>
      <c r="AJ144" s="1241">
        <f>_xlfn.SUMIFS('Корректировка НВВ'!$AF$25:$AF$282,'Корректировка НВВ'!$F$25:$F$282,$F144,'Корректировка НВВ'!$I$25:$I$282,$G144)</f>
        <v>0</v>
      </c>
      <c r="AK144" s="1241"/>
      <c r="AL144" s="1241"/>
      <c r="AM144" s="1241"/>
      <c r="AN144" s="1241"/>
      <c r="AO144" s="1241"/>
      <c r="AP144" s="1241"/>
      <c r="AQ144" s="1241"/>
      <c r="AR144" s="1241"/>
      <c r="AS144" s="1241"/>
      <c r="AT144" s="1241">
        <f>_xlfn.SUMIFS('Корректировка НВВ'!$AG$25:$AG$282,'Корректировка НВВ'!$F$25:$F$282,$F144,'Корректировка НВВ'!$I$25:$I$282,$G144)</f>
        <v>0</v>
      </c>
      <c r="AU144" s="1241"/>
      <c r="AV144" s="1241"/>
      <c r="AW144" s="1241"/>
      <c r="AX144" s="1241"/>
      <c r="AY144" s="1241"/>
      <c r="AZ144" s="1241"/>
      <c r="BA144" s="1241"/>
      <c r="BB144" s="1241"/>
      <c r="BC144" s="1241"/>
      <c r="BD144" s="1115"/>
      <c r="BE144" s="1115"/>
      <c r="BF144" s="1115"/>
      <c r="BG144" s="1115"/>
      <c r="BH144" s="1115"/>
      <c r="BI144" s="1115"/>
      <c r="BJ144" s="1115"/>
      <c r="BK144" s="1115"/>
      <c r="BL144" s="1115"/>
      <c r="BM144" s="1115"/>
      <c r="BN144" s="1238"/>
      <c r="BO144" s="1242" t="str">
        <f>IF(_xlfn.IFERROR(INDEX('Корректировка НВВ'!$K$26:$L$282,MATCH($F144&amp;"7komm",'Корректировка НВВ'!$K$26:$K$282,0),2),"")=0,"",_xlfn.IFERROR(INDEX('Корректировка НВВ'!$K$26:$L$282,MATCH($F144&amp;"7komm",'Корректировка НВВ'!$K$26:$K$282,0),2),""))</f>
        <v/>
      </c>
      <c r="BP144" s="1238"/>
      <c r="BQ144" s="1278"/>
      <c r="BR144" s="1278"/>
      <c r="BS144" s="1064" t="s">
        <v>2282</v>
      </c>
      <c r="BT144" s="1064"/>
      <c r="BU144" s="1064"/>
      <c r="BV144" s="979"/>
      <c r="BW144" s="979"/>
    </row>
    <row customHeight="1" ht="21.9375" hidden="1">
      <c r="A145" s="1278"/>
      <c r="B145" s="978"/>
      <c r="C145" s="107"/>
      <c r="D145" s="107" cm="1" t="str">
        <f t="array" ref="D145:D145">D144</f>
        <v>7</v>
      </c>
      <c r="E145" s="621">
        <v>22.5</v>
      </c>
      <c r="F145" s="50" cm="1" t="str">
        <f t="array" ref="F145:F145">OFFSET(E145,-1,1)</f>
        <v>0</v>
      </c>
      <c r="G145" s="107" t="s">
        <v>2889</v>
      </c>
      <c r="H145" s="107"/>
      <c r="I145" s="107" t="s">
        <v>2890</v>
      </c>
      <c r="J145" s="107"/>
      <c r="K145" s="158" t="s">
        <v>2890</v>
      </c>
      <c r="L145" s="980" t="s">
        <v>2558</v>
      </c>
      <c r="M145" s="107"/>
      <c r="N145" s="107"/>
      <c r="O145" s="107"/>
      <c r="P145" s="107"/>
      <c r="Q145" s="107"/>
      <c r="R145" s="107"/>
      <c r="S145" s="107"/>
      <c r="T145" s="465" cm="1" t="str">
        <f t="array" ref="T145:T145">T144</f>
        <v>false</v>
      </c>
      <c r="U145" s="107"/>
      <c r="V145" s="107"/>
      <c r="W145" s="107"/>
      <c r="X145" s="1596"/>
      <c r="Y145" s="1278"/>
      <c r="Z145" s="1546"/>
      <c r="AA145" s="1278"/>
      <c r="AB145" s="300" t="str">
        <f>AB143&amp;".2"</f>
        <v>7.5.2</v>
      </c>
      <c r="AC145" s="781" t="s">
        <v>2283</v>
      </c>
      <c r="AD145" s="300" t="s">
        <v>1514</v>
      </c>
      <c r="AE145" s="1241"/>
      <c r="AF145" s="1241"/>
      <c r="AG145" s="1241"/>
      <c r="AH145" s="1114">
        <f>AG145-AF145</f>
        <v>0</v>
      </c>
      <c r="AI145" s="1241"/>
      <c r="AJ145" s="1241">
        <f>_xlfn.SUMIFS('Корректировка НВВ'!$AF$25:$AF$282,'Корректировка НВВ'!$F$25:$F$282,$F145,'Корректировка НВВ'!$I$25:$I$282,$G145)</f>
        <v>0</v>
      </c>
      <c r="AK145" s="1241"/>
      <c r="AL145" s="1241"/>
      <c r="AM145" s="1241"/>
      <c r="AN145" s="1241"/>
      <c r="AO145" s="1241"/>
      <c r="AP145" s="1241"/>
      <c r="AQ145" s="1241"/>
      <c r="AR145" s="1241"/>
      <c r="AS145" s="1241"/>
      <c r="AT145" s="1241">
        <f>_xlfn.SUMIFS('Корректировка НВВ'!$AG$25:$AG$282,'Корректировка НВВ'!$F$25:$F$282,$F145,'Корректировка НВВ'!$I$25:$I$282,$G145)</f>
        <v>0</v>
      </c>
      <c r="AU145" s="1241"/>
      <c r="AV145" s="1241"/>
      <c r="AW145" s="1241"/>
      <c r="AX145" s="1241"/>
      <c r="AY145" s="1241"/>
      <c r="AZ145" s="1241"/>
      <c r="BA145" s="1241"/>
      <c r="BB145" s="1241"/>
      <c r="BC145" s="1241"/>
      <c r="BD145" s="1115"/>
      <c r="BE145" s="1115"/>
      <c r="BF145" s="1115"/>
      <c r="BG145" s="1115"/>
      <c r="BH145" s="1115"/>
      <c r="BI145" s="1115"/>
      <c r="BJ145" s="1115"/>
      <c r="BK145" s="1115"/>
      <c r="BL145" s="1115"/>
      <c r="BM145" s="1115"/>
      <c r="BN145" s="1238"/>
      <c r="BO145" s="1242" t="str">
        <f>IF(_xlfn.IFERROR(INDEX('Корректировка НВВ'!$K$26:$L$282,MATCH($F145&amp;"8komm",'Корректировка НВВ'!$K$26:$K$282,0),2),"")=0,"",_xlfn.IFERROR(INDEX('Корректировка НВВ'!$K$26:$L$282,MATCH($F145&amp;"8komm",'Корректировка НВВ'!$K$26:$K$282,0),2),""))</f>
        <v/>
      </c>
      <c r="BP145" s="1238"/>
      <c r="BQ145" s="1278"/>
      <c r="BR145" s="1278"/>
      <c r="BS145" s="1064" t="s">
        <v>2284</v>
      </c>
      <c r="BT145" s="1064"/>
      <c r="BU145" s="1064"/>
      <c r="BV145" s="979"/>
      <c r="BW145" s="979"/>
    </row>
    <row customHeight="1" ht="14.625" hidden="1">
      <c r="A146" s="1278"/>
      <c r="B146" s="978"/>
      <c r="C146" s="107"/>
      <c r="D146" s="107" cm="1" t="str">
        <f t="array" ref="D146:D146">D145</f>
        <v>7</v>
      </c>
      <c r="E146" s="621">
        <v>15</v>
      </c>
      <c r="F146" s="50" cm="1" t="str">
        <f t="array" ref="F146:F146">OFFSET(E146,-1,1)</f>
        <v>0</v>
      </c>
      <c r="G146" s="107" t="s">
        <v>320</v>
      </c>
      <c r="H146" s="107"/>
      <c r="I146" s="107" t="s">
        <v>2562</v>
      </c>
      <c r="J146" s="107"/>
      <c r="K146" s="158" t="s">
        <v>2562</v>
      </c>
      <c r="L146" s="980" t="s">
        <v>2561</v>
      </c>
      <c r="M146" s="107"/>
      <c r="N146" s="107"/>
      <c r="O146" s="107"/>
      <c r="P146" s="107"/>
      <c r="Q146" s="107"/>
      <c r="R146" s="107"/>
      <c r="S146" s="107"/>
      <c r="T146" s="465" cm="1" t="str">
        <f t="array" ref="T146:T146">T145</f>
        <v>false</v>
      </c>
      <c r="U146" s="107"/>
      <c r="V146" s="107"/>
      <c r="W146" s="107"/>
      <c r="X146" s="1596"/>
      <c r="Y146" s="1278"/>
      <c r="Z146" s="1546"/>
      <c r="AA146" s="1278"/>
      <c r="AB146" s="300" t="str">
        <f>IF(B141,D142&amp;".8",D142&amp;".6")</f>
        <v>7.6</v>
      </c>
      <c r="AC146" s="782" t="s">
        <v>2285</v>
      </c>
      <c r="AD146" s="300" t="s">
        <v>1514</v>
      </c>
      <c r="AE146" s="1241"/>
      <c r="AF146" s="1241"/>
      <c r="AG146" s="1241"/>
      <c r="AH146" s="1114">
        <f>AG146-AF146</f>
        <v>0</v>
      </c>
      <c r="AI146" s="1241"/>
      <c r="AJ146" s="1241">
        <f>_xlfn.SUMIFS('Корректировка НВВ'!$AF$25:$AF$282,'Корректировка НВВ'!$F$25:$F$282,$F146,'Корректировка НВВ'!$I$25:$I$282,$G146)</f>
        <v>0</v>
      </c>
      <c r="AK146" s="1241"/>
      <c r="AL146" s="1241"/>
      <c r="AM146" s="1241"/>
      <c r="AN146" s="1241"/>
      <c r="AO146" s="1241"/>
      <c r="AP146" s="1241"/>
      <c r="AQ146" s="1241"/>
      <c r="AR146" s="1241"/>
      <c r="AS146" s="1241"/>
      <c r="AT146" s="1241">
        <f>_xlfn.SUMIFS('Корректировка НВВ'!$AG$25:$AG$282,'Корректировка НВВ'!$F$25:$F$282,$F146,'Корректировка НВВ'!$I$25:$I$282,$G146)</f>
        <v>0</v>
      </c>
      <c r="AU146" s="1241"/>
      <c r="AV146" s="1241"/>
      <c r="AW146" s="1241"/>
      <c r="AX146" s="1241"/>
      <c r="AY146" s="1241"/>
      <c r="AZ146" s="1241"/>
      <c r="BA146" s="1241"/>
      <c r="BB146" s="1241"/>
      <c r="BC146" s="1241"/>
      <c r="BD146" s="1115"/>
      <c r="BE146" s="1115"/>
      <c r="BF146" s="1115"/>
      <c r="BG146" s="1115"/>
      <c r="BH146" s="1115"/>
      <c r="BI146" s="1115"/>
      <c r="BJ146" s="1115"/>
      <c r="BK146" s="1115"/>
      <c r="BL146" s="1115"/>
      <c r="BM146" s="1115"/>
      <c r="BN146" s="1238"/>
      <c r="BO146" s="1242" t="str">
        <f>IF(_xlfn.IFERROR(INDEX('Корректировка НВВ'!$K$26:$L$282,MATCH($F146&amp;"9komm",'Корректировка НВВ'!$K$26:$K$282,0),2),"")=0,"",_xlfn.IFERROR(INDEX('Корректировка НВВ'!$K$26:$L$282,MATCH($F146&amp;"9komm",'Корректировка НВВ'!$K$26:$K$282,0),2),""))</f>
        <v/>
      </c>
      <c r="BP146" s="1238"/>
      <c r="BQ146" s="1278"/>
      <c r="BR146" s="1278"/>
      <c r="BS146" s="1064" t="s">
        <v>2891</v>
      </c>
      <c r="BT146" s="1064"/>
      <c r="BU146" s="1064"/>
      <c r="BV146" s="979"/>
      <c r="BW146" s="979"/>
    </row>
    <row customHeight="1" ht="14.625" hidden="1">
      <c r="A147" s="1278"/>
      <c r="B147" s="978"/>
      <c r="C147" s="107"/>
      <c r="D147" s="107" cm="1" t="str">
        <f t="array" ref="D147:D147">D146</f>
        <v>7</v>
      </c>
      <c r="E147" s="621">
        <v>15</v>
      </c>
      <c r="F147" s="50" cm="1" t="str">
        <f t="array" ref="F147:F147">OFFSET(E147,-1,1)</f>
        <v>0</v>
      </c>
      <c r="G147" s="107" t="s">
        <v>2892</v>
      </c>
      <c r="H147" s="107"/>
      <c r="I147" s="107" t="s">
        <v>2563</v>
      </c>
      <c r="J147" s="107"/>
      <c r="K147" s="158" t="s">
        <v>2563</v>
      </c>
      <c r="L147" s="980" t="s">
        <v>2562</v>
      </c>
      <c r="M147" s="107"/>
      <c r="N147" s="107"/>
      <c r="O147" s="107"/>
      <c r="P147" s="107"/>
      <c r="Q147" s="107"/>
      <c r="R147" s="107"/>
      <c r="S147" s="107"/>
      <c r="T147" s="465" cm="1" t="str">
        <f t="array" ref="T147:T147">T146</f>
        <v>false</v>
      </c>
      <c r="U147" s="107"/>
      <c r="V147" s="107"/>
      <c r="W147" s="107"/>
      <c r="X147" s="1596"/>
      <c r="Y147" s="1278"/>
      <c r="Z147" s="1546"/>
      <c r="AA147" s="1278"/>
      <c r="AB147" s="300" t="str">
        <f>IF(B141,D142&amp;".9",D142&amp;".7")</f>
        <v>7.7</v>
      </c>
      <c r="AC147" s="782" t="s">
        <v>2287</v>
      </c>
      <c r="AD147" s="300" t="s">
        <v>1514</v>
      </c>
      <c r="AE147" s="1241"/>
      <c r="AF147" s="1241"/>
      <c r="AG147" s="1241"/>
      <c r="AH147" s="1114">
        <f>AG147-AF147</f>
        <v>0</v>
      </c>
      <c r="AI147" s="1241"/>
      <c r="AJ147" s="1241">
        <f>_xlfn.SUMIFS('Корректировка НВВ'!$AF$25:$AF$282,'Корректировка НВВ'!$F$25:$F$282,$F147,'Корректировка НВВ'!$I$25:$I$282,$G147)</f>
        <v>0</v>
      </c>
      <c r="AK147" s="1241"/>
      <c r="AL147" s="1241"/>
      <c r="AM147" s="1241"/>
      <c r="AN147" s="1241"/>
      <c r="AO147" s="1241"/>
      <c r="AP147" s="1241"/>
      <c r="AQ147" s="1241"/>
      <c r="AR147" s="1241"/>
      <c r="AS147" s="1241"/>
      <c r="AT147" s="1241">
        <f>_xlfn.SUMIFS('Корректировка НВВ'!$AG$25:$AG$282,'Корректировка НВВ'!$F$25:$F$282,$F147,'Корректировка НВВ'!$I$25:$I$282,$G147)</f>
        <v>0</v>
      </c>
      <c r="AU147" s="1241"/>
      <c r="AV147" s="1241"/>
      <c r="AW147" s="1241"/>
      <c r="AX147" s="1241"/>
      <c r="AY147" s="1241"/>
      <c r="AZ147" s="1241"/>
      <c r="BA147" s="1241"/>
      <c r="BB147" s="1241"/>
      <c r="BC147" s="1241"/>
      <c r="BD147" s="1115"/>
      <c r="BE147" s="1115"/>
      <c r="BF147" s="1115"/>
      <c r="BG147" s="1115"/>
      <c r="BH147" s="1115"/>
      <c r="BI147" s="1115"/>
      <c r="BJ147" s="1115"/>
      <c r="BK147" s="1115"/>
      <c r="BL147" s="1115"/>
      <c r="BM147" s="1115"/>
      <c r="BN147" s="1238"/>
      <c r="BO147" s="1242" t="str">
        <f>IF(_xlfn.IFERROR(INDEX('Корректировка НВВ'!$K$26:$L$282,MATCH($F147&amp;"10komm",'Корректировка НВВ'!$K$26:$K$282,0),2),"")=0,"",_xlfn.IFERROR(INDEX('Корректировка НВВ'!$K$26:$L$282,MATCH($F147&amp;"10komm",'Корректировка НВВ'!$K$26:$K$282,0),2),""))</f>
        <v/>
      </c>
      <c r="BP147" s="1238"/>
      <c r="BQ147" s="1278"/>
      <c r="BR147" s="1278"/>
      <c r="BS147" s="1064" t="s">
        <v>2288</v>
      </c>
      <c r="BT147" s="1064"/>
      <c r="BU147" s="1064"/>
      <c r="BV147" s="979"/>
      <c r="BW147" s="979"/>
    </row>
    <row s="700" customFormat="1" customHeight="1" ht="20.475" hidden="1">
      <c r="A148" s="700"/>
      <c r="B148" s="435"/>
      <c r="C148" s="109"/>
      <c r="D148" s="109">
        <f>D147+1</f>
        <v>8</v>
      </c>
      <c r="E148" s="826">
        <v>21</v>
      </c>
      <c r="F148" s="50" cm="1" t="str">
        <f t="array" ref="F148:F148">OFFSET(E148,-1,1)</f>
        <v>0</v>
      </c>
      <c r="G148" s="109"/>
      <c r="H148" s="109"/>
      <c r="I148" s="109" t="s">
        <v>1297</v>
      </c>
      <c r="J148" s="109"/>
      <c r="K148" s="162" t="s">
        <v>1297</v>
      </c>
      <c r="L148" s="985"/>
      <c r="M148" s="109"/>
      <c r="N148" s="109"/>
      <c r="O148" s="109"/>
      <c r="P148" s="109"/>
      <c r="Q148" s="109"/>
      <c r="R148" s="109"/>
      <c r="S148" s="109"/>
      <c r="T148" s="465" cm="1" t="str">
        <f t="array" ref="T148:T148">T147</f>
        <v>false</v>
      </c>
      <c r="U148" s="109"/>
      <c r="V148" s="109"/>
      <c r="W148" s="109"/>
      <c r="X148" s="1596"/>
      <c r="Y148" s="700"/>
      <c r="Z148" s="1546"/>
      <c r="AA148" s="700"/>
      <c r="AB148" s="211" cm="1" t="str">
        <f t="array" ref="AB148:AB148">D148</f>
        <v>8</v>
      </c>
      <c r="AC148" s="212" t="s">
        <v>2893</v>
      </c>
      <c r="AD148" s="211" t="s">
        <v>1514</v>
      </c>
      <c r="AE148" s="1237"/>
      <c r="AF148" s="1237"/>
      <c r="AG148" s="1237"/>
      <c r="AH148" s="778">
        <f>AG148-AF148</f>
        <v>0</v>
      </c>
      <c r="AI148" s="1237"/>
      <c r="AJ148" s="1237"/>
      <c r="AK148" s="1237"/>
      <c r="AL148" s="1237"/>
      <c r="AM148" s="1237"/>
      <c r="AN148" s="1237"/>
      <c r="AO148" s="1237"/>
      <c r="AP148" s="1237"/>
      <c r="AQ148" s="1237"/>
      <c r="AR148" s="1237"/>
      <c r="AS148" s="1237"/>
      <c r="AT148" s="1237"/>
      <c r="AU148" s="1237"/>
      <c r="AV148" s="1237"/>
      <c r="AW148" s="1237"/>
      <c r="AX148" s="1237"/>
      <c r="AY148" s="1237"/>
      <c r="AZ148" s="1237"/>
      <c r="BA148" s="1237"/>
      <c r="BB148" s="1237"/>
      <c r="BC148" s="1237"/>
      <c r="BD148" s="216"/>
      <c r="BE148" s="216"/>
      <c r="BF148" s="216"/>
      <c r="BG148" s="216"/>
      <c r="BH148" s="216"/>
      <c r="BI148" s="216"/>
      <c r="BJ148" s="216"/>
      <c r="BK148" s="216"/>
      <c r="BL148" s="216"/>
      <c r="BM148" s="216"/>
      <c r="BN148" s="1240"/>
      <c r="BO148" s="1240"/>
      <c r="BP148" s="1240"/>
      <c r="BQ148" s="700"/>
      <c r="BR148" s="700"/>
      <c r="BS148" s="1070" t="s">
        <v>2894</v>
      </c>
      <c r="BT148" s="1070"/>
      <c r="BU148" s="1070"/>
      <c r="BV148" s="707"/>
      <c r="BW148" s="707"/>
    </row>
    <row customHeight="1" ht="14.625" hidden="1">
      <c r="A149" s="1278"/>
      <c r="B149" s="978"/>
      <c r="C149" s="107"/>
      <c r="D149" s="109" cm="1" t="str">
        <f t="array" ref="D149:D149">D148</f>
        <v>8</v>
      </c>
      <c r="E149" s="621">
        <v>15</v>
      </c>
      <c r="F149" s="50" cm="1" t="str">
        <f t="array" ref="F149:F149">OFFSET(E149,-1,1)</f>
        <v>0</v>
      </c>
      <c r="G149" s="107"/>
      <c r="H149" s="107"/>
      <c r="I149" s="107" t="s">
        <v>1300</v>
      </c>
      <c r="J149" s="107"/>
      <c r="K149" s="158" t="s">
        <v>1300</v>
      </c>
      <c r="L149" s="980"/>
      <c r="M149" s="107"/>
      <c r="N149" s="107"/>
      <c r="O149" s="107"/>
      <c r="P149" s="107"/>
      <c r="Q149" s="107"/>
      <c r="R149" s="107"/>
      <c r="S149" s="107"/>
      <c r="T149" s="465" cm="1" t="str">
        <f t="array" ref="T149:T149">T148</f>
        <v>false</v>
      </c>
      <c r="U149" s="107"/>
      <c r="V149" s="107"/>
      <c r="W149" s="107"/>
      <c r="X149" s="1596"/>
      <c r="Y149" s="1278"/>
      <c r="Z149" s="1546"/>
      <c r="AA149" s="1278"/>
      <c r="AB149" s="300" t="str">
        <f>D149&amp;".1"</f>
        <v>8.1</v>
      </c>
      <c r="AC149" s="762" t="s">
        <v>2895</v>
      </c>
      <c r="AD149" s="300" t="s">
        <v>1170</v>
      </c>
      <c r="AE149" s="1114">
        <f>IF(AE150=0,0,AE148/(AE150+AE135)*100)</f>
        <v>0</v>
      </c>
      <c r="AF149" s="1114">
        <f>IF(AF150=0,0,AF148/(AF150+AF135)*100)</f>
        <v>0</v>
      </c>
      <c r="AG149" s="1114">
        <f>IF(AG150=0,0,AG148/(AG150+AG135)*100)</f>
        <v>0</v>
      </c>
      <c r="AH149" s="1114">
        <f>AG149-AF149</f>
        <v>0</v>
      </c>
      <c r="AI149" s="1114">
        <f>IF(AI150=0,0,AI148/(AI150+AI135)*100)</f>
        <v>0</v>
      </c>
      <c r="AJ149" s="1114">
        <f>IF(AJ150=0,0,AJ148/(AJ150+AJ135)*100)</f>
        <v>0</v>
      </c>
      <c r="AK149" s="1114">
        <f>IF(AK150=0,0,AK148/(AK150+AK135)*100)</f>
        <v>0</v>
      </c>
      <c r="AL149" s="1114">
        <f>IF(AL150=0,0,AL148/(AL150+AL135)*100)</f>
        <v>0</v>
      </c>
      <c r="AM149" s="1114">
        <f>IF(AM150=0,0,AM148/(AM150+AM135)*100)</f>
        <v>0</v>
      </c>
      <c r="AN149" s="1114">
        <f>IF(AN150=0,0,AN148/(AN150+AN135)*100)</f>
        <v>0</v>
      </c>
      <c r="AO149" s="1114">
        <f>IF(AO150=0,0,AO148/(AO150+AO135)*100)</f>
        <v>0</v>
      </c>
      <c r="AP149" s="1114">
        <f>IF(AP150=0,0,AP148/(AP150+AP135)*100)</f>
        <v>0</v>
      </c>
      <c r="AQ149" s="1114">
        <f>IF(AQ150=0,0,AQ148/(AQ150+AQ135)*100)</f>
        <v>0</v>
      </c>
      <c r="AR149" s="1114">
        <f>IF(AR150=0,0,AR148/(AR150+AR135)*100)</f>
        <v>0</v>
      </c>
      <c r="AS149" s="1114">
        <f>IF(AS150=0,0,AS148/(AS150+AS135)*100)</f>
        <v>0</v>
      </c>
      <c r="AT149" s="1114">
        <f>IF(AT150=0,0,AT148/(AT150+AT135)*100)</f>
        <v>0</v>
      </c>
      <c r="AU149" s="1114">
        <f>IF(AU150=0,0,AU148/(AU150+AU135)*100)</f>
        <v>0</v>
      </c>
      <c r="AV149" s="1114">
        <f>IF(AV150=0,0,AV148/(AV150+AV135)*100)</f>
        <v>0</v>
      </c>
      <c r="AW149" s="1114">
        <f>IF(AW150=0,0,AW148/(AW150+AW135)*100)</f>
        <v>0</v>
      </c>
      <c r="AX149" s="1114">
        <f>IF(AX150=0,0,AX148/(AX150+AX135)*100)</f>
        <v>0</v>
      </c>
      <c r="AY149" s="1114">
        <f>IF(AY150=0,0,AY148/(AY150+AY135)*100)</f>
        <v>0</v>
      </c>
      <c r="AZ149" s="1114">
        <f>IF(AZ150=0,0,AZ148/(AZ150+AZ135)*100)</f>
        <v>0</v>
      </c>
      <c r="BA149" s="1114">
        <f>IF(BA150=0,0,BA148/(BA150+BA135)*100)</f>
        <v>0</v>
      </c>
      <c r="BB149" s="1114">
        <f>IF(BB150=0,0,BB148/(BB150+BB135)*100)</f>
        <v>0</v>
      </c>
      <c r="BC149" s="1114">
        <f>IF(BC150=0,0,BC148/(BC150+BC135)*100)</f>
        <v>0</v>
      </c>
      <c r="BD149" s="1115"/>
      <c r="BE149" s="1115"/>
      <c r="BF149" s="1115"/>
      <c r="BG149" s="1115"/>
      <c r="BH149" s="1115"/>
      <c r="BI149" s="1115"/>
      <c r="BJ149" s="1115"/>
      <c r="BK149" s="1115"/>
      <c r="BL149" s="1115"/>
      <c r="BM149" s="1115"/>
      <c r="BN149" s="1238"/>
      <c r="BO149" s="1238"/>
      <c r="BP149" s="1238"/>
      <c r="BQ149" s="1278"/>
      <c r="BR149" s="1278"/>
      <c r="BS149" s="1064" t="s">
        <v>2896</v>
      </c>
      <c r="BT149" s="1064"/>
      <c r="BU149" s="1064"/>
      <c r="BV149" s="979"/>
      <c r="BW149" s="979"/>
    </row>
    <row s="700" customFormat="1" customHeight="1" ht="20.475" hidden="1">
      <c r="A150" s="700"/>
      <c r="B150" s="435"/>
      <c r="C150" s="109"/>
      <c r="D150" s="109">
        <f>D149+1</f>
        <v>9</v>
      </c>
      <c r="E150" s="826">
        <v>21</v>
      </c>
      <c r="F150" s="50" cm="1" t="str">
        <f t="array" ref="F150:F150">OFFSET(E150,-1,1)</f>
        <v>0</v>
      </c>
      <c r="G150" s="109"/>
      <c r="H150" s="107"/>
      <c r="I150" s="107" t="s">
        <v>1454</v>
      </c>
      <c r="J150" s="109"/>
      <c r="K150" s="158" t="s">
        <v>1454</v>
      </c>
      <c r="L150" s="985" t="s">
        <v>2563</v>
      </c>
      <c r="M150" s="109"/>
      <c r="N150" s="109"/>
      <c r="O150" s="109"/>
      <c r="P150" s="109"/>
      <c r="Q150" s="109"/>
      <c r="R150" s="109"/>
      <c r="S150" s="109"/>
      <c r="T150" s="465" cm="1" t="str">
        <f t="array" ref="T150:T150">T149</f>
        <v>false</v>
      </c>
      <c r="U150" s="109"/>
      <c r="V150" s="109"/>
      <c r="W150" s="109"/>
      <c r="X150" s="1596"/>
      <c r="Y150" s="700"/>
      <c r="Z150" s="1546"/>
      <c r="AA150" s="700"/>
      <c r="AB150" s="211" cm="1" t="str">
        <f t="array" ref="AB150:AB150">D150</f>
        <v>9</v>
      </c>
      <c r="AC150" s="212" t="s">
        <v>2564</v>
      </c>
      <c r="AD150" s="234" t="s">
        <v>1514</v>
      </c>
      <c r="AE150" s="213">
        <f>AE28+AE78+AE114+AE115+AE117+AE122+AE123+AE126</f>
        <v>0</v>
      </c>
      <c r="AF150" s="213">
        <f>AF28+AF78+AF114+AF115+AF117+AF122+AF123+AF126</f>
        <v>0</v>
      </c>
      <c r="AG150" s="213">
        <f>AG28+AG78+AG114+AG115+AG117+AG122+AG123+AG126</f>
        <v>0</v>
      </c>
      <c r="AH150" s="778">
        <f>AG150-AF150</f>
        <v>0</v>
      </c>
      <c r="AI150" s="213">
        <f>AI28+AI78+AI114+AI115+AI117+AI122+AI123+AI126</f>
        <v>0</v>
      </c>
      <c r="AJ150" s="213">
        <f>AJ28+AJ78+AJ114+AJ115+AJ117+AJ122+AJ123+AJ126</f>
        <v>0</v>
      </c>
      <c r="AK150" s="213">
        <f>AK28+AK78+AK114+AK115+AK117+AK122+AK123+AK126</f>
        <v>0</v>
      </c>
      <c r="AL150" s="213">
        <f>AL28+AL78+AL114+AL115+AL117+AL122+AL123+AL126</f>
        <v>0</v>
      </c>
      <c r="AM150" s="213">
        <f>AM28+AM78+AM114+AM115+AM117+AM122+AM123+AM126</f>
        <v>0</v>
      </c>
      <c r="AN150" s="213">
        <f>AN28+AN78+AN114+AN115+AN117+AN122+AN123+AN126</f>
        <v>0</v>
      </c>
      <c r="AO150" s="213">
        <f>AO28+AO78+AO114+AO115+AO117+AO122+AO123+AO126</f>
        <v>0</v>
      </c>
      <c r="AP150" s="213">
        <f>AP28+AP78+AP114+AP115+AP117+AP122+AP123+AP126</f>
        <v>0</v>
      </c>
      <c r="AQ150" s="213">
        <f>AQ28+AQ78+AQ114+AQ115+AQ117+AQ122+AQ123+AQ126</f>
        <v>0</v>
      </c>
      <c r="AR150" s="213">
        <f>AR28+AR78+AR114+AR115+AR117+AR122+AR123+AR126</f>
        <v>0</v>
      </c>
      <c r="AS150" s="213">
        <f>AS28+AS78+AS114+AS115+AS117+AS122+AS123+AS126</f>
        <v>0</v>
      </c>
      <c r="AT150" s="213">
        <f>AT28+AT78+AT114+AT115+AT117+AT122+AT123+AT126</f>
        <v>0</v>
      </c>
      <c r="AU150" s="213">
        <f>AU28+AU78+AU114+AU115+AU117+AU122+AU123+AU126</f>
        <v>0</v>
      </c>
      <c r="AV150" s="213">
        <f>AV28+AV78+AV114+AV115+AV117+AV122+AV123+AV126</f>
        <v>0</v>
      </c>
      <c r="AW150" s="213">
        <f>AW28+AW78+AW114+AW115+AW117+AW122+AW123+AW126</f>
        <v>0</v>
      </c>
      <c r="AX150" s="213">
        <f>AX28+AX78+AX114+AX115+AX117+AX122+AX123+AX126</f>
        <v>0</v>
      </c>
      <c r="AY150" s="213">
        <f>AY28+AY78+AY114+AY115+AY117+AY122+AY123+AY126</f>
        <v>0</v>
      </c>
      <c r="AZ150" s="213">
        <f>AZ28+AZ78+AZ114+AZ115+AZ117+AZ122+AZ123+AZ126</f>
        <v>0</v>
      </c>
      <c r="BA150" s="213">
        <f>BA28+BA78+BA114+BA115+BA117+BA122+BA123+BA126</f>
        <v>0</v>
      </c>
      <c r="BB150" s="213">
        <f>BB28+BB78+BB114+BB115+BB117+BB122+BB123+BB126</f>
        <v>0</v>
      </c>
      <c r="BC150" s="213">
        <f>BC28+BC78+BC114+BC115+BC117+BC122+BC123+BC126</f>
        <v>0</v>
      </c>
      <c r="BD150" s="778">
        <f>IF(AI150=0,0,(AT150-AI150)/AI150*100)</f>
        <v>0</v>
      </c>
      <c r="BE150" s="778">
        <f>IF(AT150=0,0,(AU150-AT150)/AT150*100)</f>
        <v>0</v>
      </c>
      <c r="BF150" s="778">
        <f>IF(AU150=0,0,(AV150-AU150)/AU150*100)</f>
        <v>0</v>
      </c>
      <c r="BG150" s="778">
        <f>IF(AV150=0,0,(AW150-AV150)/AV150*100)</f>
        <v>0</v>
      </c>
      <c r="BH150" s="778">
        <f>IF(AW150=0,0,(AX150-AW150)/AW150*100)</f>
        <v>0</v>
      </c>
      <c r="BI150" s="778">
        <f>IF(AX150=0,0,(AY150-AX150)/AX150*100)</f>
        <v>0</v>
      </c>
      <c r="BJ150" s="778">
        <f>IF(AY150=0,0,(AZ150-AY150)/AY150*100)</f>
        <v>0</v>
      </c>
      <c r="BK150" s="778">
        <f>IF(AZ150=0,0,(BA150-AZ150)/AZ150*100)</f>
        <v>0</v>
      </c>
      <c r="BL150" s="778">
        <f>IF(BA150=0,0,(BB150-BA150)/BA150*100)</f>
        <v>0</v>
      </c>
      <c r="BM150" s="778">
        <f>IF(BB150=0,0,(BC150-BB150)/BB150*100)</f>
        <v>0</v>
      </c>
      <c r="BN150" s="1238"/>
      <c r="BO150" s="1238"/>
      <c r="BP150" s="1238"/>
      <c r="BQ150" s="700"/>
      <c r="BR150" s="700"/>
      <c r="BS150" s="1070" t="s">
        <v>2565</v>
      </c>
      <c r="BT150" s="1070"/>
      <c r="BU150" s="1070"/>
      <c r="BV150" s="707"/>
      <c r="BW150" s="707"/>
    </row>
    <row s="700" customFormat="1" customHeight="1" ht="20.475" hidden="1">
      <c r="A151" s="700"/>
      <c r="B151" s="435"/>
      <c r="C151" s="109"/>
      <c r="D151" s="109">
        <f>D150+1</f>
        <v>10</v>
      </c>
      <c r="E151" s="826">
        <v>21</v>
      </c>
      <c r="F151" s="50" cm="1" t="str">
        <f t="array" ref="F151:F151">OFFSET(E151,-1,1)</f>
        <v>0</v>
      </c>
      <c r="G151" s="109"/>
      <c r="H151" s="107"/>
      <c r="I151" s="107" t="s">
        <v>2574</v>
      </c>
      <c r="J151" s="109"/>
      <c r="K151" s="158" t="s">
        <v>2574</v>
      </c>
      <c r="L151" s="985"/>
      <c r="M151" s="109"/>
      <c r="N151" s="109"/>
      <c r="O151" s="109"/>
      <c r="P151" s="109"/>
      <c r="Q151" s="109"/>
      <c r="R151" s="109"/>
      <c r="S151" s="109"/>
      <c r="T151" s="465" cm="1" t="str">
        <f t="array" ref="T151:T151">T150</f>
        <v>false</v>
      </c>
      <c r="U151" s="109"/>
      <c r="V151" s="109"/>
      <c r="W151" s="109"/>
      <c r="X151" s="1596"/>
      <c r="Y151" s="700"/>
      <c r="Z151" s="1546"/>
      <c r="AA151" s="700"/>
      <c r="AB151" s="211" cm="1" t="str">
        <f t="array" ref="AB151:AB151">D151</f>
        <v>10</v>
      </c>
      <c r="AC151" s="212" t="s">
        <v>2897</v>
      </c>
      <c r="AD151" s="211" t="s">
        <v>1514</v>
      </c>
      <c r="AE151" s="213">
        <f>AE150+AE135+AE148</f>
        <v>0</v>
      </c>
      <c r="AF151" s="213">
        <f>AF150+AF135+AF148</f>
        <v>0</v>
      </c>
      <c r="AG151" s="213">
        <f>AG150+AG135+AG148</f>
        <v>0</v>
      </c>
      <c r="AH151" s="213">
        <f>AH150+AH135+AH148</f>
        <v>0</v>
      </c>
      <c r="AI151" s="213">
        <f>AI150+AI135+AI148</f>
        <v>0</v>
      </c>
      <c r="AJ151" s="213">
        <f>AJ150+AJ135+AJ148</f>
        <v>0</v>
      </c>
      <c r="AK151" s="213">
        <f>AK150+AK135+AK148</f>
        <v>0</v>
      </c>
      <c r="AL151" s="213">
        <f>AL150+AL135+AL148</f>
        <v>0</v>
      </c>
      <c r="AM151" s="213">
        <f>AM150+AM135+AM148</f>
        <v>0</v>
      </c>
      <c r="AN151" s="213">
        <f>AN150+AN135+AN148</f>
        <v>0</v>
      </c>
      <c r="AO151" s="213">
        <f>AO150+AO135+AO148</f>
        <v>0</v>
      </c>
      <c r="AP151" s="213">
        <f>AP150+AP135+AP148</f>
        <v>0</v>
      </c>
      <c r="AQ151" s="213">
        <f>AQ150+AQ135+AQ148</f>
        <v>0</v>
      </c>
      <c r="AR151" s="213">
        <f>AR150+AR135+AR148</f>
        <v>0</v>
      </c>
      <c r="AS151" s="213">
        <f>AS150+AS135+AS148</f>
        <v>0</v>
      </c>
      <c r="AT151" s="213">
        <f>AT150+AT135+AT148</f>
        <v>0</v>
      </c>
      <c r="AU151" s="213">
        <f>AU150+AU135+AU148</f>
        <v>0</v>
      </c>
      <c r="AV151" s="213">
        <f>AV150+AV135+AV148</f>
        <v>0</v>
      </c>
      <c r="AW151" s="213">
        <f>AW150+AW135+AW148</f>
        <v>0</v>
      </c>
      <c r="AX151" s="213">
        <f>AX150+AX135+AX148</f>
        <v>0</v>
      </c>
      <c r="AY151" s="213">
        <f>AY150+AY135+AY148</f>
        <v>0</v>
      </c>
      <c r="AZ151" s="213">
        <f>AZ150+AZ135+AZ148</f>
        <v>0</v>
      </c>
      <c r="BA151" s="213">
        <f>BA150+BA135+BA148</f>
        <v>0</v>
      </c>
      <c r="BB151" s="213">
        <f>BB150+BB135+BB148</f>
        <v>0</v>
      </c>
      <c r="BC151" s="213">
        <f>BC150+BC135+BC148</f>
        <v>0</v>
      </c>
      <c r="BD151" s="778">
        <f>IF(AI151=0,0,(AT151-AI151)/AI151*100)</f>
        <v>0</v>
      </c>
      <c r="BE151" s="778">
        <f>IF(AT151=0,0,(AU151-AT151)/AT151*100)</f>
        <v>0</v>
      </c>
      <c r="BF151" s="778">
        <f>IF(AU151=0,0,(AV151-AU151)/AU151*100)</f>
        <v>0</v>
      </c>
      <c r="BG151" s="778">
        <f>IF(AV151=0,0,(AW151-AV151)/AV151*100)</f>
        <v>0</v>
      </c>
      <c r="BH151" s="778">
        <f>IF(AW151=0,0,(AX151-AW151)/AW151*100)</f>
        <v>0</v>
      </c>
      <c r="BI151" s="778">
        <f>IF(AX151=0,0,(AY151-AX151)/AX151*100)</f>
        <v>0</v>
      </c>
      <c r="BJ151" s="778">
        <f>IF(AY151=0,0,(AZ151-AY151)/AY151*100)</f>
        <v>0</v>
      </c>
      <c r="BK151" s="778">
        <f>IF(AZ151=0,0,(BA151-AZ151)/AZ151*100)</f>
        <v>0</v>
      </c>
      <c r="BL151" s="778">
        <f>IF(BA151=0,0,(BB151-BA151)/BA151*100)</f>
        <v>0</v>
      </c>
      <c r="BM151" s="778">
        <f>IF(BB151=0,0,(BC151-BB151)/BB151*100)</f>
        <v>0</v>
      </c>
      <c r="BN151" s="1238"/>
      <c r="BO151" s="1238"/>
      <c r="BP151" s="1238"/>
      <c r="BQ151" s="700"/>
      <c r="BR151" s="700"/>
      <c r="BS151" s="1070" t="s">
        <v>2898</v>
      </c>
      <c r="BT151" s="1070"/>
      <c r="BU151" s="1070"/>
      <c r="BV151" s="707"/>
      <c r="BW151" s="707"/>
    </row>
    <row customHeight="1" ht="14.625" hidden="1">
      <c r="A152" s="1278"/>
      <c r="B152" s="445">
        <f>A27="двухставочный"</f>
        <v>0</v>
      </c>
      <c r="C152" s="107"/>
      <c r="D152" s="107" cm="1" t="str">
        <f t="array" ref="D152:D152">D151</f>
        <v>10</v>
      </c>
      <c r="E152" s="621">
        <v>15</v>
      </c>
      <c r="F152" s="50" cm="1" t="str">
        <f t="array" ref="F152:F152">OFFSET(E152,-1,1)</f>
        <v>0</v>
      </c>
      <c r="G152" s="107"/>
      <c r="H152" s="848"/>
      <c r="I152" s="848" t="s">
        <v>2577</v>
      </c>
      <c r="J152" s="107"/>
      <c r="K152" s="379" t="s">
        <v>2577</v>
      </c>
      <c r="L152" s="980" t="s">
        <v>2566</v>
      </c>
      <c r="M152" s="107"/>
      <c r="N152" s="107"/>
      <c r="O152" s="107"/>
      <c r="P152" s="107"/>
      <c r="Q152" s="107"/>
      <c r="R152" s="107"/>
      <c r="S152" s="107"/>
      <c r="T152" s="465" cm="1" t="str">
        <f t="array" ref="T152:T152">T151</f>
        <v>false</v>
      </c>
      <c r="U152" s="107"/>
      <c r="V152" s="107"/>
      <c r="W152" s="107"/>
      <c r="X152" s="1596"/>
      <c r="Y152" s="1278"/>
      <c r="Z152" s="1546"/>
      <c r="AA152" s="1278"/>
      <c r="AB152" s="300" t="str">
        <f>D152&amp;".1"</f>
        <v>10.1</v>
      </c>
      <c r="AC152" s="1112" t="s">
        <v>2568</v>
      </c>
      <c r="AD152" s="300" t="s">
        <v>1514</v>
      </c>
      <c r="AE152" s="1241"/>
      <c r="AF152" s="1241"/>
      <c r="AG152" s="1241"/>
      <c r="AH152" s="1114">
        <f>AG152-AF152</f>
        <v>0</v>
      </c>
      <c r="AI152" s="1241"/>
      <c r="AJ152" s="1241"/>
      <c r="AK152" s="1241"/>
      <c r="AL152" s="1241"/>
      <c r="AM152" s="1241"/>
      <c r="AN152" s="1241"/>
      <c r="AO152" s="1241"/>
      <c r="AP152" s="1241"/>
      <c r="AQ152" s="1241"/>
      <c r="AR152" s="1241"/>
      <c r="AS152" s="1241"/>
      <c r="AT152" s="1241"/>
      <c r="AU152" s="1241"/>
      <c r="AV152" s="1241"/>
      <c r="AW152" s="1241"/>
      <c r="AX152" s="1241"/>
      <c r="AY152" s="1241"/>
      <c r="AZ152" s="1241"/>
      <c r="BA152" s="1241"/>
      <c r="BB152" s="1241"/>
      <c r="BC152" s="1241"/>
      <c r="BD152" s="1115"/>
      <c r="BE152" s="1115"/>
      <c r="BF152" s="1115"/>
      <c r="BG152" s="1115"/>
      <c r="BH152" s="1115"/>
      <c r="BI152" s="1115"/>
      <c r="BJ152" s="1115"/>
      <c r="BK152" s="1115"/>
      <c r="BL152" s="1115"/>
      <c r="BM152" s="1115"/>
      <c r="BN152" s="1238"/>
      <c r="BO152" s="1238"/>
      <c r="BP152" s="1238"/>
      <c r="BQ152" s="1278"/>
      <c r="BR152" s="1278"/>
      <c r="BS152" s="1062" t="s">
        <v>2569</v>
      </c>
      <c r="BT152" s="1064"/>
      <c r="BU152" s="1064"/>
      <c r="BV152" s="979"/>
      <c r="BW152" s="979"/>
    </row>
    <row customHeight="1" ht="14.625" hidden="1">
      <c r="A153" s="1278"/>
      <c r="B153" s="445">
        <f>A27="двухставочный"</f>
        <v>0</v>
      </c>
      <c r="C153" s="107"/>
      <c r="D153" s="107" cm="1" t="str">
        <f t="array" ref="D153:D153">D152</f>
        <v>10</v>
      </c>
      <c r="E153" s="621">
        <v>15</v>
      </c>
      <c r="F153" s="50" cm="1" t="str">
        <f t="array" ref="F153:F153">OFFSET(E153,-1,1)</f>
        <v>0</v>
      </c>
      <c r="G153" s="107"/>
      <c r="H153" s="848"/>
      <c r="I153" s="848" t="s">
        <v>2581</v>
      </c>
      <c r="J153" s="107"/>
      <c r="K153" s="379" t="s">
        <v>2581</v>
      </c>
      <c r="L153" s="980" t="s">
        <v>2570</v>
      </c>
      <c r="M153" s="107"/>
      <c r="N153" s="107"/>
      <c r="O153" s="107"/>
      <c r="P153" s="107"/>
      <c r="Q153" s="107"/>
      <c r="R153" s="107"/>
      <c r="S153" s="107"/>
      <c r="T153" s="465" cm="1" t="str">
        <f t="array" ref="T153:T153">T152</f>
        <v>false</v>
      </c>
      <c r="U153" s="107"/>
      <c r="V153" s="107"/>
      <c r="W153" s="107"/>
      <c r="X153" s="1596"/>
      <c r="Y153" s="1278"/>
      <c r="Z153" s="1546"/>
      <c r="AA153" s="1278"/>
      <c r="AB153" s="300" t="str">
        <f>D153&amp;".2"</f>
        <v>10.2</v>
      </c>
      <c r="AC153" s="1112" t="s">
        <v>2572</v>
      </c>
      <c r="AD153" s="300" t="s">
        <v>1514</v>
      </c>
      <c r="AE153" s="1241"/>
      <c r="AF153" s="1241"/>
      <c r="AG153" s="1241"/>
      <c r="AH153" s="1114">
        <f>AG153-AF153</f>
        <v>0</v>
      </c>
      <c r="AI153" s="1241"/>
      <c r="AJ153" s="1241"/>
      <c r="AK153" s="1241"/>
      <c r="AL153" s="1241"/>
      <c r="AM153" s="1241"/>
      <c r="AN153" s="1241"/>
      <c r="AO153" s="1241"/>
      <c r="AP153" s="1241"/>
      <c r="AQ153" s="1241"/>
      <c r="AR153" s="1241"/>
      <c r="AS153" s="1241"/>
      <c r="AT153" s="1241"/>
      <c r="AU153" s="1241"/>
      <c r="AV153" s="1241"/>
      <c r="AW153" s="1241"/>
      <c r="AX153" s="1241"/>
      <c r="AY153" s="1241"/>
      <c r="AZ153" s="1241"/>
      <c r="BA153" s="1241"/>
      <c r="BB153" s="1241"/>
      <c r="BC153" s="1241"/>
      <c r="BD153" s="1115"/>
      <c r="BE153" s="1115"/>
      <c r="BF153" s="1115"/>
      <c r="BG153" s="1115"/>
      <c r="BH153" s="1115"/>
      <c r="BI153" s="1115"/>
      <c r="BJ153" s="1115"/>
      <c r="BK153" s="1115"/>
      <c r="BL153" s="1115"/>
      <c r="BM153" s="1115"/>
      <c r="BN153" s="1238"/>
      <c r="BO153" s="1238"/>
      <c r="BP153" s="1238"/>
      <c r="BQ153" s="1278"/>
      <c r="BR153" s="1278"/>
      <c r="BS153" s="1062" t="s">
        <v>2573</v>
      </c>
      <c r="BT153" s="1064"/>
      <c r="BU153" s="1064"/>
      <c r="BV153" s="979"/>
      <c r="BW153" s="979"/>
    </row>
    <row s="700" customFormat="1" customHeight="1" ht="20.475" hidden="1">
      <c r="A154" s="700"/>
      <c r="B154" s="435"/>
      <c r="C154" s="109"/>
      <c r="D154" s="109">
        <f>D153+1</f>
        <v>11</v>
      </c>
      <c r="E154" s="826">
        <v>21</v>
      </c>
      <c r="F154" s="50" cm="1" t="str">
        <f t="array" ref="F154:F154">OFFSET(E154,-1,1)</f>
        <v>0</v>
      </c>
      <c r="G154" s="107" t="s">
        <v>2346</v>
      </c>
      <c r="H154" s="107"/>
      <c r="I154" s="107" t="s">
        <v>2601</v>
      </c>
      <c r="J154" s="109"/>
      <c r="K154" s="158" t="s">
        <v>2601</v>
      </c>
      <c r="L154" s="985" t="s">
        <v>2574</v>
      </c>
      <c r="M154" s="109"/>
      <c r="N154" s="109"/>
      <c r="O154" s="109"/>
      <c r="P154" s="109"/>
      <c r="Q154" s="109"/>
      <c r="R154" s="109"/>
      <c r="S154" s="109"/>
      <c r="T154" s="465" cm="1" t="str">
        <f t="array" ref="T154:T154">T153</f>
        <v>false</v>
      </c>
      <c r="U154" s="109"/>
      <c r="V154" s="109"/>
      <c r="W154" s="109"/>
      <c r="X154" s="1596"/>
      <c r="Y154" s="700"/>
      <c r="Z154" s="1546"/>
      <c r="AA154" s="700"/>
      <c r="AB154" s="211" cm="1" t="str">
        <f t="array" ref="AB154:AB154">D154</f>
        <v>11</v>
      </c>
      <c r="AC154" s="212" t="s">
        <v>2575</v>
      </c>
      <c r="AD154" s="211" t="s">
        <v>1247</v>
      </c>
      <c r="AE154" s="785">
        <f>_xlfn.SUMIFS(Баланс!AE$26:AE$482,Баланс!$F$26:$F$482,$F154,Баланс!$G$26:$G$482,"ПО")</f>
        <v>0</v>
      </c>
      <c r="AF154" s="785">
        <f>_xlfn.SUMIFS(Баланс!AF$26:AF$482,Баланс!$F$26:$F$482,$F154,Баланс!$G$26:$G$482,"ПО")</f>
        <v>0</v>
      </c>
      <c r="AG154" s="785">
        <f>_xlfn.SUMIFS(Баланс!AG$26:AG$482,Баланс!$F$26:$F$482,$F154,Баланс!$G$26:$G$482,"ПО")</f>
        <v>0</v>
      </c>
      <c r="AH154" s="785">
        <f>AG154-AF154</f>
        <v>0</v>
      </c>
      <c r="AI154" s="785">
        <f>_xlfn.SUMIFS(Баланс!AH$26:AH$482,Баланс!$F$26:$F$482,$F154,Баланс!$G$26:$G$482,"ПО")</f>
        <v>0</v>
      </c>
      <c r="AJ154" s="785">
        <f>_xlfn.SUMIFS(Баланс!AI$26:AI$482,Баланс!$F$26:$F$482,$F154,Баланс!$G$26:$G$482,"ПО")</f>
        <v>0</v>
      </c>
      <c r="AK154" s="785">
        <f>_xlfn.SUMIFS(Баланс!AJ$26:AJ$482,Баланс!$F$26:$F$482,$F154,Баланс!$G$26:$G$482,"ПО")</f>
        <v>0</v>
      </c>
      <c r="AL154" s="785">
        <f>_xlfn.SUMIFS(Баланс!AK$26:AK$482,Баланс!$F$26:$F$482,$F154,Баланс!$G$26:$G$482,"ПО")</f>
        <v>0</v>
      </c>
      <c r="AM154" s="785">
        <f>_xlfn.SUMIFS(Баланс!AL$26:AL$482,Баланс!$F$26:$F$482,$F154,Баланс!$G$26:$G$482,"ПО")</f>
        <v>0</v>
      </c>
      <c r="AN154" s="785">
        <f>_xlfn.SUMIFS(Баланс!AM$26:AM$482,Баланс!$F$26:$F$482,$F154,Баланс!$G$26:$G$482,"ПО")</f>
        <v>0</v>
      </c>
      <c r="AO154" s="785">
        <f>_xlfn.SUMIFS(Баланс!AN$26:AN$482,Баланс!$F$26:$F$482,$F154,Баланс!$G$26:$G$482,"ПО")</f>
        <v>0</v>
      </c>
      <c r="AP154" s="785">
        <f>_xlfn.SUMIFS(Баланс!AO$26:AO$482,Баланс!$F$26:$F$482,$F154,Баланс!$G$26:$G$482,"ПО")</f>
        <v>0</v>
      </c>
      <c r="AQ154" s="785">
        <f>_xlfn.SUMIFS(Баланс!AP$26:AP$482,Баланс!$F$26:$F$482,$F154,Баланс!$G$26:$G$482,"ПО")</f>
        <v>0</v>
      </c>
      <c r="AR154" s="785">
        <f>_xlfn.SUMIFS(Баланс!AQ$26:AQ$482,Баланс!$F$26:$F$482,$F154,Баланс!$G$26:$G$482,"ПО")</f>
        <v>0</v>
      </c>
      <c r="AS154" s="785">
        <f>_xlfn.SUMIFS(Баланс!AR$26:AR$482,Баланс!$F$26:$F$482,$F154,Баланс!$G$26:$G$482,"ПО")</f>
        <v>0</v>
      </c>
      <c r="AT154" s="785">
        <f>_xlfn.SUMIFS(Баланс!AS$26:AS$482,Баланс!$F$26:$F$482,$F154,Баланс!$G$26:$G$482,"ПО")</f>
        <v>0</v>
      </c>
      <c r="AU154" s="785">
        <f>_xlfn.SUMIFS(Баланс!AT$26:AT$482,Баланс!$F$26:$F$482,$F154,Баланс!$G$26:$G$482,"ПО")</f>
        <v>0</v>
      </c>
      <c r="AV154" s="785">
        <f>_xlfn.SUMIFS(Баланс!AU$26:AU$482,Баланс!$F$26:$F$482,$F154,Баланс!$G$26:$G$482,"ПО")</f>
        <v>0</v>
      </c>
      <c r="AW154" s="785">
        <f>_xlfn.SUMIFS(Баланс!AV$26:AV$482,Баланс!$F$26:$F$482,$F154,Баланс!$G$26:$G$482,"ПО")</f>
        <v>0</v>
      </c>
      <c r="AX154" s="785">
        <f>_xlfn.SUMIFS(Баланс!AW$26:AW$482,Баланс!$F$26:$F$482,$F154,Баланс!$G$26:$G$482,"ПО")</f>
        <v>0</v>
      </c>
      <c r="AY154" s="785">
        <f>_xlfn.SUMIFS(Баланс!AX$26:AX$482,Баланс!$F$26:$F$482,$F154,Баланс!$G$26:$G$482,"ПО")</f>
        <v>0</v>
      </c>
      <c r="AZ154" s="785">
        <f>_xlfn.SUMIFS(Баланс!AY$26:AY$482,Баланс!$F$26:$F$482,$F154,Баланс!$G$26:$G$482,"ПО")</f>
        <v>0</v>
      </c>
      <c r="BA154" s="785">
        <f>_xlfn.SUMIFS(Баланс!AZ$26:AZ$482,Баланс!$F$26:$F$482,$F154,Баланс!$G$26:$G$482,"ПО")</f>
        <v>0</v>
      </c>
      <c r="BB154" s="785">
        <f>_xlfn.SUMIFS(Баланс!BA$26:BA$482,Баланс!$F$26:$F$482,$F154,Баланс!$G$26:$G$482,"ПО")</f>
        <v>0</v>
      </c>
      <c r="BC154" s="785">
        <f>_xlfn.SUMIFS(Баланс!BB$26:BB$482,Баланс!$F$26:$F$482,$F154,Баланс!$G$26:$G$482,"ПО")</f>
        <v>0</v>
      </c>
      <c r="BD154" s="216"/>
      <c r="BE154" s="216"/>
      <c r="BF154" s="216"/>
      <c r="BG154" s="216"/>
      <c r="BH154" s="216"/>
      <c r="BI154" s="216"/>
      <c r="BJ154" s="216"/>
      <c r="BK154" s="216"/>
      <c r="BL154" s="216"/>
      <c r="BM154" s="216"/>
      <c r="BN154" s="1238"/>
      <c r="BO154" s="1238"/>
      <c r="BP154" s="1238"/>
      <c r="BQ154" s="700"/>
      <c r="BR154" s="700"/>
      <c r="BS154" s="1063" t="s">
        <v>2576</v>
      </c>
      <c r="BT154" s="1070"/>
      <c r="BU154" s="1070"/>
      <c r="BV154" s="707"/>
      <c r="BW154" s="707"/>
    </row>
    <row customHeight="1" ht="14.625" hidden="1">
      <c r="A155" s="1278"/>
      <c r="B155" s="978"/>
      <c r="C155" s="107"/>
      <c r="D155" s="107" cm="1" t="str">
        <f t="array" ref="D155:D155">D154</f>
        <v>11</v>
      </c>
      <c r="E155" s="621">
        <v>15</v>
      </c>
      <c r="F155" s="50" cm="1" t="str">
        <f t="array" ref="F155:F155">OFFSET(E155,-1,1)</f>
        <v>0</v>
      </c>
      <c r="G155" s="107" t="s">
        <v>2373</v>
      </c>
      <c r="H155" s="107"/>
      <c r="I155" s="107" t="s">
        <v>2899</v>
      </c>
      <c r="J155" s="107"/>
      <c r="K155" s="158" t="s">
        <v>2899</v>
      </c>
      <c r="L155" s="980" t="s">
        <v>2577</v>
      </c>
      <c r="M155" s="107"/>
      <c r="N155" s="107"/>
      <c r="O155" s="107"/>
      <c r="P155" s="107"/>
      <c r="Q155" s="107"/>
      <c r="R155" s="107"/>
      <c r="S155" s="107"/>
      <c r="T155" s="465" cm="1" t="str">
        <f t="array" ref="T155:T155">T154</f>
        <v>false</v>
      </c>
      <c r="U155" s="107"/>
      <c r="V155" s="107"/>
      <c r="W155" s="107"/>
      <c r="X155" s="1596"/>
      <c r="Y155" s="1278"/>
      <c r="Z155" s="1546"/>
      <c r="AA155" s="1278"/>
      <c r="AB155" s="300" t="str">
        <f>D155&amp;".1"</f>
        <v>11.1</v>
      </c>
      <c r="AC155" s="1111" t="s">
        <v>2579</v>
      </c>
      <c r="AD155" s="300" t="s">
        <v>1247</v>
      </c>
      <c r="AE155" s="1239">
        <f>IF(AE$24="2026 год",AE154/12*9,AE154/2)</f>
        <v>0</v>
      </c>
      <c r="AF155" s="1239">
        <f>IF(AF$24="2026 год",AF154/12*9,AF154/2)</f>
        <v>0</v>
      </c>
      <c r="AG155" s="1239">
        <f>IF(AG$24="2026 год",AG154/12*9,AG154/2)</f>
        <v>0</v>
      </c>
      <c r="AH155" s="1113">
        <f>AG155-AF155</f>
        <v>0</v>
      </c>
      <c r="AI155" s="1239">
        <f>IF(AI$24="2026 год",AI154/12*9,AI154/2)</f>
        <v>0</v>
      </c>
      <c r="AJ155" s="1239">
        <f>IF(AJ$24="2026 год",AJ154/12*9,AJ154/2)</f>
        <v>0</v>
      </c>
      <c r="AK155" s="1239">
        <f>IF(AK$24="2026 год",AK154/12*9,AK154/2)</f>
        <v>0</v>
      </c>
      <c r="AL155" s="1239">
        <f>IF(AL$24="2026 год",AL154/12*9,AL154/2)</f>
        <v>0</v>
      </c>
      <c r="AM155" s="1239">
        <f>IF(AM$24="2026 год",AM154/12*9,AM154/2)</f>
        <v>0</v>
      </c>
      <c r="AN155" s="1239">
        <f>IF(AN$24="2026 год",AN154/12*9,AN154/2)</f>
        <v>0</v>
      </c>
      <c r="AO155" s="1239">
        <f>IF(AO$24="2026 год",AO154/12*9,AO154/2)</f>
        <v>0</v>
      </c>
      <c r="AP155" s="1239">
        <f>IF(AP$24="2026 год",AP154/12*9,AP154/2)</f>
        <v>0</v>
      </c>
      <c r="AQ155" s="1239">
        <f>IF(AQ$24="2026 год",AQ154/12*9,AQ154/2)</f>
        <v>0</v>
      </c>
      <c r="AR155" s="1239">
        <f>IF(AR$24="2026 год",AR154/12*9,AR154/2)</f>
        <v>0</v>
      </c>
      <c r="AS155" s="1239">
        <f>IF(AS$24="2026 год",AS154/12*9,AS154/2)</f>
        <v>0</v>
      </c>
      <c r="AT155" s="1261">
        <f>IF(AT$24="2026 год",AT154/12*9,AT154/2)</f>
        <v>0</v>
      </c>
      <c r="AU155" s="1261">
        <f>IF(AU$24="2026 год",AU154/12*9,AU154/2)</f>
        <v>0</v>
      </c>
      <c r="AV155" s="1239">
        <f>IF(AV$24="2026 год",AV154/12*9,AV154/2)</f>
        <v>0</v>
      </c>
      <c r="AW155" s="1239">
        <f>IF(AW$24="2026 год",AW154/12*9,AW154/2)</f>
        <v>0</v>
      </c>
      <c r="AX155" s="1239">
        <f>IF(AX$24="2026 год",AX154/12*9,AX154/2)</f>
        <v>0</v>
      </c>
      <c r="AY155" s="1239">
        <f>IF(AY$24="2026 год",AY154/12*9,AY154/2)</f>
        <v>0</v>
      </c>
      <c r="AZ155" s="1239">
        <f>IF(AZ$24="2026 год",AZ154/12*9,AZ154/2)</f>
        <v>0</v>
      </c>
      <c r="BA155" s="1239">
        <f>IF(BA$24="2026 год",BA154/12*9,BA154/2)</f>
        <v>0</v>
      </c>
      <c r="BB155" s="1239">
        <f>IF(BB$24="2026 год",BB154/12*9,BB154/2)</f>
        <v>0</v>
      </c>
      <c r="BC155" s="1239">
        <f>IF(BC$24="2026 год",BC154/12*9,BC154/2)</f>
        <v>0</v>
      </c>
      <c r="BD155" s="1115"/>
      <c r="BE155" s="1115"/>
      <c r="BF155" s="1115"/>
      <c r="BG155" s="1115"/>
      <c r="BH155" s="1115"/>
      <c r="BI155" s="1115"/>
      <c r="BJ155" s="1115"/>
      <c r="BK155" s="1115"/>
      <c r="BL155" s="1115"/>
      <c r="BM155" s="1115"/>
      <c r="BN155" s="1238"/>
      <c r="BO155" s="1238"/>
      <c r="BP155" s="1238"/>
      <c r="BQ155" s="1278"/>
      <c r="BR155" s="1278"/>
      <c r="BS155" s="1062" t="s">
        <v>2580</v>
      </c>
      <c r="BT155" s="1064"/>
      <c r="BU155" s="1064"/>
      <c r="BV155" s="979"/>
      <c r="BW155" s="979"/>
    </row>
    <row customHeight="1" ht="14.625" hidden="1">
      <c r="A156" s="1278"/>
      <c r="B156" s="978"/>
      <c r="C156" s="107"/>
      <c r="D156" s="107" cm="1" t="str">
        <f t="array" ref="D156:D156">D155</f>
        <v>11</v>
      </c>
      <c r="E156" s="621">
        <v>15</v>
      </c>
      <c r="F156" s="50" cm="1" t="str">
        <f t="array" ref="F156:F156">OFFSET(E156,-1,1)</f>
        <v>0</v>
      </c>
      <c r="G156" s="107" t="s">
        <v>2334</v>
      </c>
      <c r="H156" s="107"/>
      <c r="I156" s="107" t="s">
        <v>2900</v>
      </c>
      <c r="J156" s="107"/>
      <c r="K156" s="158" t="s">
        <v>2900</v>
      </c>
      <c r="L156" s="980" t="s">
        <v>2581</v>
      </c>
      <c r="M156" s="107"/>
      <c r="N156" s="107"/>
      <c r="O156" s="107"/>
      <c r="P156" s="107"/>
      <c r="Q156" s="107"/>
      <c r="R156" s="107"/>
      <c r="S156" s="107"/>
      <c r="T156" s="465" cm="1" t="str">
        <f t="array" ref="T156:T156">T155</f>
        <v>false</v>
      </c>
      <c r="U156" s="107"/>
      <c r="V156" s="107"/>
      <c r="W156" s="107"/>
      <c r="X156" s="1596"/>
      <c r="Y156" s="1278"/>
      <c r="Z156" s="1546"/>
      <c r="AA156" s="1278"/>
      <c r="AB156" s="300" t="str">
        <f>D156&amp;".2"</f>
        <v>11.2</v>
      </c>
      <c r="AC156" s="1111" t="s">
        <v>2583</v>
      </c>
      <c r="AD156" s="300" t="s">
        <v>2337</v>
      </c>
      <c r="AE156" s="1241"/>
      <c r="AF156" s="1241"/>
      <c r="AG156" s="1241"/>
      <c r="AH156" s="1114">
        <f>AG156-AF156</f>
        <v>0</v>
      </c>
      <c r="AI156" s="1241"/>
      <c r="AJ156" s="1241"/>
      <c r="AK156" s="1241"/>
      <c r="AL156" s="1241"/>
      <c r="AM156" s="1241"/>
      <c r="AN156" s="1241"/>
      <c r="AO156" s="1241"/>
      <c r="AP156" s="1241"/>
      <c r="AQ156" s="1241"/>
      <c r="AR156" s="1241"/>
      <c r="AS156" s="1241"/>
      <c r="AT156" s="1241"/>
      <c r="AU156" s="1241" cm="1" t="str">
        <f t="array" ref="AU156:AU156">AT158</f>
        <v>0</v>
      </c>
      <c r="AV156" s="1241" cm="1" t="str">
        <f t="array" ref="AV156:AV156">AU158</f>
        <v>0</v>
      </c>
      <c r="AW156" s="1241" cm="1" t="str">
        <f t="array" ref="AW156:AW156">AV158</f>
        <v>0</v>
      </c>
      <c r="AX156" s="1241" cm="1" t="str">
        <f t="array" ref="AX156:AX156">AW158</f>
        <v>0</v>
      </c>
      <c r="AY156" s="1241" cm="1" t="str">
        <f t="array" ref="AY156:AY156">AX158</f>
        <v>0</v>
      </c>
      <c r="AZ156" s="1241" cm="1" t="str">
        <f t="array" ref="AZ156:AZ156">AY158</f>
        <v>0</v>
      </c>
      <c r="BA156" s="1241" cm="1" t="str">
        <f t="array" ref="BA156:BA156">AZ158</f>
        <v>0</v>
      </c>
      <c r="BB156" s="1241" cm="1" t="str">
        <f t="array" ref="BB156:BB156">BA158</f>
        <v>0</v>
      </c>
      <c r="BC156" s="1241" cm="1" t="str">
        <f t="array" ref="BC156:BC156">BB158</f>
        <v>0</v>
      </c>
      <c r="BD156" s="1115"/>
      <c r="BE156" s="1115"/>
      <c r="BF156" s="1115"/>
      <c r="BG156" s="1115"/>
      <c r="BH156" s="1115"/>
      <c r="BI156" s="1115"/>
      <c r="BJ156" s="1115"/>
      <c r="BK156" s="1115"/>
      <c r="BL156" s="1115"/>
      <c r="BM156" s="1115"/>
      <c r="BN156" s="1238"/>
      <c r="BO156" s="1238"/>
      <c r="BP156" s="1238"/>
      <c r="BQ156" s="1278"/>
      <c r="BR156" s="1278"/>
      <c r="BS156" s="1062" t="s">
        <v>2584</v>
      </c>
      <c r="BT156" s="1064"/>
      <c r="BU156" s="1064"/>
      <c r="BV156" s="979"/>
      <c r="BW156" s="979"/>
    </row>
    <row customHeight="1" ht="14.625" hidden="1">
      <c r="A157" s="1278"/>
      <c r="B157" s="978"/>
      <c r="C157" s="107"/>
      <c r="D157" s="107" cm="1" t="str">
        <f t="array" ref="D157:D157">D156</f>
        <v>11</v>
      </c>
      <c r="E157" s="621">
        <v>15</v>
      </c>
      <c r="F157" s="50" cm="1" t="str">
        <f t="array" ref="F157:F157">OFFSET(E157,-1,1)</f>
        <v>0</v>
      </c>
      <c r="G157" s="107" t="s">
        <v>2386</v>
      </c>
      <c r="H157" s="107"/>
      <c r="I157" s="107" t="s">
        <v>2901</v>
      </c>
      <c r="J157" s="107"/>
      <c r="K157" s="158" t="s">
        <v>2901</v>
      </c>
      <c r="L157" s="980" t="s">
        <v>2585</v>
      </c>
      <c r="M157" s="107"/>
      <c r="N157" s="107"/>
      <c r="O157" s="107"/>
      <c r="P157" s="107"/>
      <c r="Q157" s="107"/>
      <c r="R157" s="107"/>
      <c r="S157" s="107"/>
      <c r="T157" s="465" cm="1" t="str">
        <f t="array" ref="T157:T157">T156</f>
        <v>false</v>
      </c>
      <c r="U157" s="107"/>
      <c r="V157" s="107"/>
      <c r="W157" s="107"/>
      <c r="X157" s="1596"/>
      <c r="Y157" s="1278"/>
      <c r="Z157" s="1546"/>
      <c r="AA157" s="1278"/>
      <c r="AB157" s="300" t="str">
        <f>D157&amp;".3"</f>
        <v>11.3</v>
      </c>
      <c r="AC157" s="1111" t="s">
        <v>2902</v>
      </c>
      <c r="AD157" s="300" t="s">
        <v>1247</v>
      </c>
      <c r="AE157" s="1113">
        <f>AE154-AE155</f>
        <v>0</v>
      </c>
      <c r="AF157" s="1113">
        <f>AF154-AF155</f>
        <v>0</v>
      </c>
      <c r="AG157" s="1113">
        <f>AG154-AG155</f>
        <v>0</v>
      </c>
      <c r="AH157" s="1113">
        <f>AG157-AF157</f>
        <v>0</v>
      </c>
      <c r="AI157" s="1113">
        <f>AI154-AI155</f>
        <v>0</v>
      </c>
      <c r="AJ157" s="1113">
        <f>AJ154-AJ155</f>
        <v>0</v>
      </c>
      <c r="AK157" s="1113">
        <f>AK154-AK155</f>
        <v>0</v>
      </c>
      <c r="AL157" s="1113">
        <f>AL154-AL155</f>
        <v>0</v>
      </c>
      <c r="AM157" s="1113">
        <f>AM154-AM155</f>
        <v>0</v>
      </c>
      <c r="AN157" s="1113">
        <f>AN154-AN155</f>
        <v>0</v>
      </c>
      <c r="AO157" s="1113">
        <f>AO154-AO155</f>
        <v>0</v>
      </c>
      <c r="AP157" s="1113">
        <f>AP154-AP155</f>
        <v>0</v>
      </c>
      <c r="AQ157" s="1113">
        <f>AQ154-AQ155</f>
        <v>0</v>
      </c>
      <c r="AR157" s="1113">
        <f>AR154-AR155</f>
        <v>0</v>
      </c>
      <c r="AS157" s="1113">
        <f>AS154-AS155</f>
        <v>0</v>
      </c>
      <c r="AT157" s="1113">
        <f>AT154-AT155</f>
        <v>0</v>
      </c>
      <c r="AU157" s="1113">
        <f>AU154-AU155</f>
        <v>0</v>
      </c>
      <c r="AV157" s="1113">
        <f>AV154-AV155</f>
        <v>0</v>
      </c>
      <c r="AW157" s="1113">
        <f>AW154-AW155</f>
        <v>0</v>
      </c>
      <c r="AX157" s="1113">
        <f>AX154-AX155</f>
        <v>0</v>
      </c>
      <c r="AY157" s="1113">
        <f>AY154-AY155</f>
        <v>0</v>
      </c>
      <c r="AZ157" s="1113">
        <f>AZ154-AZ155</f>
        <v>0</v>
      </c>
      <c r="BA157" s="1113">
        <f>BA154-BA155</f>
        <v>0</v>
      </c>
      <c r="BB157" s="1113">
        <f>BB154-BB155</f>
        <v>0</v>
      </c>
      <c r="BC157" s="1113">
        <f>BC154-BC155</f>
        <v>0</v>
      </c>
      <c r="BD157" s="1115"/>
      <c r="BE157" s="1115"/>
      <c r="BF157" s="1115"/>
      <c r="BG157" s="1115"/>
      <c r="BH157" s="1115"/>
      <c r="BI157" s="1115"/>
      <c r="BJ157" s="1115"/>
      <c r="BK157" s="1115"/>
      <c r="BL157" s="1115"/>
      <c r="BM157" s="1115"/>
      <c r="BN157" s="1238"/>
      <c r="BO157" s="1238"/>
      <c r="BP157" s="1238"/>
      <c r="BQ157" s="1278"/>
      <c r="BR157" s="1278"/>
      <c r="BS157" s="1062" t="s">
        <v>2588</v>
      </c>
      <c r="BT157" s="1064"/>
      <c r="BU157" s="1064"/>
      <c r="BV157" s="979"/>
      <c r="BW157" s="979"/>
    </row>
    <row customHeight="1" ht="14.625" hidden="1">
      <c r="A158" s="1278"/>
      <c r="B158" s="978"/>
      <c r="C158" s="107"/>
      <c r="D158" s="107" cm="1" t="str">
        <f t="array" ref="D158:D158">D157</f>
        <v>11</v>
      </c>
      <c r="E158" s="621">
        <v>15</v>
      </c>
      <c r="F158" s="50" cm="1" t="str">
        <f t="array" ref="F158:F158">OFFSET(E158,-1,1)</f>
        <v>0</v>
      </c>
      <c r="G158" s="107" t="s">
        <v>2339</v>
      </c>
      <c r="H158" s="107"/>
      <c r="I158" s="107" t="s">
        <v>2903</v>
      </c>
      <c r="J158" s="107"/>
      <c r="K158" s="158" t="s">
        <v>2903</v>
      </c>
      <c r="L158" s="980" t="s">
        <v>2589</v>
      </c>
      <c r="M158" s="107"/>
      <c r="N158" s="107"/>
      <c r="O158" s="107"/>
      <c r="P158" s="107"/>
      <c r="Q158" s="107"/>
      <c r="R158" s="107"/>
      <c r="S158" s="107"/>
      <c r="T158" s="465" cm="1" t="str">
        <f t="array" ref="T158:T158">T157</f>
        <v>false</v>
      </c>
      <c r="U158" s="107"/>
      <c r="V158" s="107"/>
      <c r="W158" s="107"/>
      <c r="X158" s="1596"/>
      <c r="Y158" s="1278"/>
      <c r="Z158" s="1546"/>
      <c r="AA158" s="1278"/>
      <c r="AB158" s="300" t="str">
        <f>D158&amp;".4"</f>
        <v>11.4</v>
      </c>
      <c r="AC158" s="1111" t="s">
        <v>2591</v>
      </c>
      <c r="AD158" s="300" t="s">
        <v>2337</v>
      </c>
      <c r="AE158" s="1241">
        <f>IF(AE157=0,0,(AE151-AE155*AE156)/AE157)</f>
        <v>0</v>
      </c>
      <c r="AF158" s="1241">
        <f>IF(AF157=0,0,(AF151-AF155*AF156)/AF157)</f>
        <v>0</v>
      </c>
      <c r="AG158" s="1241">
        <f>IF(AG157=0,0,(AG151-AG155*AG156)/AG157)</f>
        <v>0</v>
      </c>
      <c r="AH158" s="1114">
        <f>AG158-AF158</f>
        <v>0</v>
      </c>
      <c r="AI158" s="1241">
        <f>IF(AI157=0,0,(AI151-AI155*AI156)/AI157)</f>
        <v>0</v>
      </c>
      <c r="AJ158" s="1241">
        <f>IF(AJ157=0,0,(AJ151-AJ155*AJ156)/AJ157)</f>
        <v>0</v>
      </c>
      <c r="AK158" s="1241">
        <f>IF(AK157=0,0,(AK151-AK155*AK156)/AK157)</f>
        <v>0</v>
      </c>
      <c r="AL158" s="1241">
        <f>IF(AL157=0,0,(AL151-AL155*AL156)/AL157)</f>
        <v>0</v>
      </c>
      <c r="AM158" s="1241">
        <f>IF(AM157=0,0,(AM151-AM155*AM156)/AM157)</f>
        <v>0</v>
      </c>
      <c r="AN158" s="1241">
        <f>IF(AN157=0,0,(AN151-AN155*AN156)/AN157)</f>
        <v>0</v>
      </c>
      <c r="AO158" s="1241">
        <f>IF(AO157=0,0,(AO151-AO155*AO156)/AO157)</f>
        <v>0</v>
      </c>
      <c r="AP158" s="1241">
        <f>IF(AP157=0,0,(AP151-AP155*AP156)/AP157)</f>
        <v>0</v>
      </c>
      <c r="AQ158" s="1241">
        <f>IF(AQ157=0,0,(AQ151-AQ155*AQ156)/AQ157)</f>
        <v>0</v>
      </c>
      <c r="AR158" s="1241">
        <f>IF(AR157=0,0,(AR151-AR155*AR156)/AR157)</f>
        <v>0</v>
      </c>
      <c r="AS158" s="1241">
        <f>IF(AS157=0,0,(AS151-AS155*AS156)/AS157)</f>
        <v>0</v>
      </c>
      <c r="AT158" s="1241">
        <f>IF(AT157=0,0,(AT151-AT155*AT156)/AT157)</f>
        <v>0</v>
      </c>
      <c r="AU158" s="1241">
        <f>IF(AU157=0,0,(AU151-AU155*AU156)/AU157)</f>
        <v>0</v>
      </c>
      <c r="AV158" s="1241">
        <f>IF(AV157=0,0,(AV151-AV155*AV156)/AV157)</f>
        <v>0</v>
      </c>
      <c r="AW158" s="1241">
        <f>IF(AW157=0,0,(AW151-AW155*AW156)/AW157)</f>
        <v>0</v>
      </c>
      <c r="AX158" s="1241">
        <f>IF(AX157=0,0,(AX151-AX155*AX156)/AX157)</f>
        <v>0</v>
      </c>
      <c r="AY158" s="1241">
        <f>IF(AY157=0,0,(AY151-AY155*AY156)/AY157)</f>
        <v>0</v>
      </c>
      <c r="AZ158" s="1241">
        <f>IF(AZ157=0,0,(AZ151-AZ155*AZ156)/AZ157)</f>
        <v>0</v>
      </c>
      <c r="BA158" s="1241">
        <f>IF(BA157=0,0,(BA151-BA155*BA156)/BA157)</f>
        <v>0</v>
      </c>
      <c r="BB158" s="1241">
        <f>IF(BB157=0,0,(BB151-BB155*BB156)/BB157)</f>
        <v>0</v>
      </c>
      <c r="BC158" s="1241">
        <f>IF(BC157=0,0,(BC151-BC155*BC156)/BC157)</f>
        <v>0</v>
      </c>
      <c r="BD158" s="1115"/>
      <c r="BE158" s="1115"/>
      <c r="BF158" s="1115"/>
      <c r="BG158" s="1115"/>
      <c r="BH158" s="1115"/>
      <c r="BI158" s="1115"/>
      <c r="BJ158" s="1115"/>
      <c r="BK158" s="1115"/>
      <c r="BL158" s="1115"/>
      <c r="BM158" s="1115"/>
      <c r="BN158" s="1238"/>
      <c r="BO158" s="1238"/>
      <c r="BP158" s="1238"/>
      <c r="BQ158" s="1278"/>
      <c r="BR158" s="1278"/>
      <c r="BS158" s="1062" t="s">
        <v>2592</v>
      </c>
      <c r="BT158" s="1064"/>
      <c r="BU158" s="1064"/>
      <c r="BV158" s="979"/>
      <c r="BW158" s="979"/>
    </row>
    <row customHeight="1" ht="14.625" hidden="1">
      <c r="A159" s="1278"/>
      <c r="B159" s="978"/>
      <c r="C159" s="107"/>
      <c r="D159" s="107" cm="1" t="str">
        <f t="array" ref="D159:D159">D158</f>
        <v>11</v>
      </c>
      <c r="E159" s="621">
        <v>15</v>
      </c>
      <c r="F159" s="50" cm="1" t="str">
        <f t="array" ref="F159:F159">OFFSET(E159,-1,1)</f>
        <v>0</v>
      </c>
      <c r="G159" s="107"/>
      <c r="H159" s="107"/>
      <c r="I159" s="107" t="s">
        <v>2904</v>
      </c>
      <c r="J159" s="107"/>
      <c r="K159" s="158" t="s">
        <v>2904</v>
      </c>
      <c r="L159" s="980" t="s">
        <v>2593</v>
      </c>
      <c r="M159" s="107"/>
      <c r="N159" s="107"/>
      <c r="O159" s="107"/>
      <c r="P159" s="107"/>
      <c r="Q159" s="107"/>
      <c r="R159" s="107"/>
      <c r="S159" s="107"/>
      <c r="T159" s="465" cm="1" t="str">
        <f t="array" ref="T159:T159">T158</f>
        <v>false</v>
      </c>
      <c r="U159" s="107"/>
      <c r="V159" s="107"/>
      <c r="W159" s="107"/>
      <c r="X159" s="1596"/>
      <c r="Y159" s="1278"/>
      <c r="Z159" s="1546"/>
      <c r="AA159" s="1278"/>
      <c r="AB159" s="300" t="str">
        <f>D159&amp;".5"</f>
        <v>11.5</v>
      </c>
      <c r="AC159" s="1111" t="s">
        <v>2595</v>
      </c>
      <c r="AD159" s="300" t="s">
        <v>1170</v>
      </c>
      <c r="AE159" s="1114">
        <f>IF(AE156=0,0,AE158/AE156*100)</f>
        <v>0</v>
      </c>
      <c r="AF159" s="1114">
        <f>IF(AF156=0,0,AF158/AF156*100)</f>
        <v>0</v>
      </c>
      <c r="AG159" s="1114">
        <f>IF(AG156=0,0,AG158/AG156*100)</f>
        <v>0</v>
      </c>
      <c r="AH159" s="1115"/>
      <c r="AI159" s="1114">
        <f>IF(AI156=0,0,AI158/AI156*100)</f>
        <v>0</v>
      </c>
      <c r="AJ159" s="1114">
        <f>IF(AJ156=0,0,AJ158/AJ156*100)</f>
        <v>0</v>
      </c>
      <c r="AK159" s="1114">
        <f>IF(AK156=0,0,AK158/AK156*100)</f>
        <v>0</v>
      </c>
      <c r="AL159" s="1114">
        <f>IF(AL156=0,0,AL158/AL156*100)</f>
        <v>0</v>
      </c>
      <c r="AM159" s="1114">
        <f>IF(AM156=0,0,AM158/AM156*100)</f>
        <v>0</v>
      </c>
      <c r="AN159" s="1114">
        <f>IF(AN156=0,0,AN158/AN156*100)</f>
        <v>0</v>
      </c>
      <c r="AO159" s="1114">
        <f>IF(AO156=0,0,AO158/AO156*100)</f>
        <v>0</v>
      </c>
      <c r="AP159" s="1114">
        <f>IF(AP156=0,0,AP158/AP156*100)</f>
        <v>0</v>
      </c>
      <c r="AQ159" s="1114">
        <f>IF(AQ156=0,0,AQ158/AQ156*100)</f>
        <v>0</v>
      </c>
      <c r="AR159" s="1114">
        <f>IF(AR156=0,0,AR158/AR156*100)</f>
        <v>0</v>
      </c>
      <c r="AS159" s="1114">
        <f>IF(AS156=0,0,AS158/AS156*100)</f>
        <v>0</v>
      </c>
      <c r="AT159" s="1114">
        <f>IF(AT156=0,0,AT158/AT156*100)</f>
        <v>0</v>
      </c>
      <c r="AU159" s="1114">
        <f>IF(AU156=0,0,AU158/AU156*100)</f>
        <v>0</v>
      </c>
      <c r="AV159" s="1114">
        <f>IF(AV156=0,0,AV158/AV156*100)</f>
        <v>0</v>
      </c>
      <c r="AW159" s="1114">
        <f>IF(AW156=0,0,AW158/AW156*100)</f>
        <v>0</v>
      </c>
      <c r="AX159" s="1114">
        <f>IF(AX156=0,0,AX158/AX156*100)</f>
        <v>0</v>
      </c>
      <c r="AY159" s="1114">
        <f>IF(AY156=0,0,AY158/AY156*100)</f>
        <v>0</v>
      </c>
      <c r="AZ159" s="1114">
        <f>IF(AZ156=0,0,AZ158/AZ156*100)</f>
        <v>0</v>
      </c>
      <c r="BA159" s="1114">
        <f>IF(BA156=0,0,BA158/BA156*100)</f>
        <v>0</v>
      </c>
      <c r="BB159" s="1114">
        <f>IF(BB156=0,0,BB158/BB156*100)</f>
        <v>0</v>
      </c>
      <c r="BC159" s="1114">
        <f>IF(BC156=0,0,BC158/BC156*100)</f>
        <v>0</v>
      </c>
      <c r="BD159" s="1115"/>
      <c r="BE159" s="1115"/>
      <c r="BF159" s="1115"/>
      <c r="BG159" s="1115"/>
      <c r="BH159" s="1115"/>
      <c r="BI159" s="1115"/>
      <c r="BJ159" s="1115"/>
      <c r="BK159" s="1115"/>
      <c r="BL159" s="1115"/>
      <c r="BM159" s="1115"/>
      <c r="BN159" s="1238"/>
      <c r="BO159" s="1238"/>
      <c r="BP159" s="1238"/>
      <c r="BQ159" s="1278"/>
      <c r="BR159" s="1278"/>
      <c r="BS159" s="1062" t="s">
        <v>2596</v>
      </c>
      <c r="BT159" s="1064"/>
      <c r="BU159" s="1064"/>
      <c r="BV159" s="979"/>
      <c r="BW159" s="979"/>
    </row>
    <row customHeight="1" ht="14.625" hidden="1">
      <c r="A160" s="1278"/>
      <c r="B160" s="978"/>
      <c r="C160" s="107"/>
      <c r="D160" s="107" cm="1" t="str">
        <f t="array" ref="D160:D160">D159</f>
        <v>11</v>
      </c>
      <c r="E160" s="621">
        <v>15</v>
      </c>
      <c r="F160" s="50" cm="1" t="str">
        <f t="array" ref="F160:F160">OFFSET(E160,-1,1)</f>
        <v>0</v>
      </c>
      <c r="G160" s="107"/>
      <c r="H160" s="107"/>
      <c r="I160" s="107" t="s">
        <v>2905</v>
      </c>
      <c r="J160" s="107"/>
      <c r="K160" s="158" t="s">
        <v>2905</v>
      </c>
      <c r="L160" s="980" t="s">
        <v>2597</v>
      </c>
      <c r="M160" s="107"/>
      <c r="N160" s="107"/>
      <c r="O160" s="107"/>
      <c r="P160" s="107"/>
      <c r="Q160" s="107"/>
      <c r="R160" s="107"/>
      <c r="S160" s="107"/>
      <c r="T160" s="465" cm="1" t="str">
        <f t="array" ref="T160:T160">T159</f>
        <v>false</v>
      </c>
      <c r="U160" s="107"/>
      <c r="V160" s="107"/>
      <c r="W160" s="107"/>
      <c r="X160" s="1596"/>
      <c r="Y160" s="1278"/>
      <c r="Z160" s="1546"/>
      <c r="AA160" s="1278"/>
      <c r="AB160" s="300" t="str">
        <f>D160&amp;".6"</f>
        <v>11.6</v>
      </c>
      <c r="AC160" s="1111" t="s">
        <v>2599</v>
      </c>
      <c r="AD160" s="300" t="s">
        <v>2337</v>
      </c>
      <c r="AE160" s="1241">
        <f>IF(AE154=0,0,AE151/AE154)</f>
        <v>0</v>
      </c>
      <c r="AF160" s="1241">
        <f>IF(AF154=0,0,AF151/AF154)</f>
        <v>0</v>
      </c>
      <c r="AG160" s="1241">
        <f>IF(AG154=0,0,AG151/AG154)</f>
        <v>0</v>
      </c>
      <c r="AH160" s="1114">
        <f>AG160-AF160</f>
        <v>0</v>
      </c>
      <c r="AI160" s="1241">
        <f>IF(AI154=0,0,AI151/AI154)</f>
        <v>0</v>
      </c>
      <c r="AJ160" s="1241">
        <f>IF(AJ154=0,0,AJ151/AJ154)</f>
        <v>0</v>
      </c>
      <c r="AK160" s="1241">
        <f>IF(AK154=0,0,AK151/AK154)</f>
        <v>0</v>
      </c>
      <c r="AL160" s="1241">
        <f>IF(AL154=0,0,AL151/AL154)</f>
        <v>0</v>
      </c>
      <c r="AM160" s="1241">
        <f>IF(AM154=0,0,AM151/AM154)</f>
        <v>0</v>
      </c>
      <c r="AN160" s="1241">
        <f>IF(AN154=0,0,AN151/AN154)</f>
        <v>0</v>
      </c>
      <c r="AO160" s="1241">
        <f>IF(AO154=0,0,AO151/AO154)</f>
        <v>0</v>
      </c>
      <c r="AP160" s="1241">
        <f>IF(AP154=0,0,AP151/AP154)</f>
        <v>0</v>
      </c>
      <c r="AQ160" s="1241">
        <f>IF(AQ154=0,0,AQ151/AQ154)</f>
        <v>0</v>
      </c>
      <c r="AR160" s="1241">
        <f>IF(AR154=0,0,AR151/AR154)</f>
        <v>0</v>
      </c>
      <c r="AS160" s="1241">
        <f>IF(AS154=0,0,AS151/AS154)</f>
        <v>0</v>
      </c>
      <c r="AT160" s="1241">
        <f>IF(AT154=0,0,AT151/AT154)</f>
        <v>0</v>
      </c>
      <c r="AU160" s="1241">
        <f>IF(AU154=0,0,AU151/AU154)</f>
        <v>0</v>
      </c>
      <c r="AV160" s="1241">
        <f>IF(AV154=0,0,AV151/AV154)</f>
        <v>0</v>
      </c>
      <c r="AW160" s="1241">
        <f>IF(AW154=0,0,AW151/AW154)</f>
        <v>0</v>
      </c>
      <c r="AX160" s="1241">
        <f>IF(AX154=0,0,AX151/AX154)</f>
        <v>0</v>
      </c>
      <c r="AY160" s="1241">
        <f>IF(AY154=0,0,AY151/AY154)</f>
        <v>0</v>
      </c>
      <c r="AZ160" s="1241">
        <f>IF(AZ154=0,0,AZ151/AZ154)</f>
        <v>0</v>
      </c>
      <c r="BA160" s="1241">
        <f>IF(BA154=0,0,BA151/BA154)</f>
        <v>0</v>
      </c>
      <c r="BB160" s="1241">
        <f>IF(BB154=0,0,BB151/BB154)</f>
        <v>0</v>
      </c>
      <c r="BC160" s="1241">
        <f>IF(BC154=0,0,BC151/BC154)</f>
        <v>0</v>
      </c>
      <c r="BD160" s="1115"/>
      <c r="BE160" s="1115"/>
      <c r="BF160" s="1115"/>
      <c r="BG160" s="1115"/>
      <c r="BH160" s="1115"/>
      <c r="BI160" s="1115"/>
      <c r="BJ160" s="1115"/>
      <c r="BK160" s="1115"/>
      <c r="BL160" s="1115"/>
      <c r="BM160" s="1115"/>
      <c r="BN160" s="1238"/>
      <c r="BO160" s="1238"/>
      <c r="BP160" s="1238"/>
      <c r="BQ160" s="1278"/>
      <c r="BR160" s="1278"/>
      <c r="BS160" s="1062" t="s">
        <v>2600</v>
      </c>
      <c r="BT160" s="1064"/>
      <c r="BU160" s="1064"/>
      <c r="BV160" s="979"/>
      <c r="BW160" s="979"/>
    </row>
    <row s="700" customFormat="1" customHeight="1" ht="20.475" hidden="1">
      <c r="A161" s="700"/>
      <c r="B161" s="435"/>
      <c r="C161" s="109"/>
      <c r="D161" s="109">
        <f>D160+1</f>
        <v>12</v>
      </c>
      <c r="E161" s="826">
        <v>21</v>
      </c>
      <c r="F161" s="50" cm="1" t="str">
        <f t="array" ref="F161:F161">OFFSET(E161,-1,1)</f>
        <v>0</v>
      </c>
      <c r="G161" s="109"/>
      <c r="H161" s="107"/>
      <c r="I161" s="107" t="s">
        <v>2604</v>
      </c>
      <c r="J161" s="109"/>
      <c r="K161" s="158" t="s">
        <v>2604</v>
      </c>
      <c r="L161" s="985" t="s">
        <v>2601</v>
      </c>
      <c r="M161" s="109"/>
      <c r="N161" s="109"/>
      <c r="O161" s="109"/>
      <c r="P161" s="109"/>
      <c r="Q161" s="109"/>
      <c r="R161" s="109"/>
      <c r="S161" s="109"/>
      <c r="T161" s="465" cm="1" t="str">
        <f t="array" ref="T161:T161">T160</f>
        <v>false</v>
      </c>
      <c r="U161" s="109"/>
      <c r="V161" s="109"/>
      <c r="W161" s="109"/>
      <c r="X161" s="1596"/>
      <c r="Y161" s="700"/>
      <c r="Z161" s="1546"/>
      <c r="AA161" s="700"/>
      <c r="AB161" s="211" cm="1" t="str">
        <f t="array" ref="AB161:AB161">D161</f>
        <v>12</v>
      </c>
      <c r="AC161" s="212" t="s">
        <v>2602</v>
      </c>
      <c r="AD161" s="211" t="s">
        <v>1514</v>
      </c>
      <c r="AE161" s="1250">
        <f>IF(AE154=0,0,AE151/AE154*AE162)</f>
        <v>0</v>
      </c>
      <c r="AF161" s="1250">
        <f>IF(AF154=0,0,AF151/AF154*AF162)</f>
        <v>0</v>
      </c>
      <c r="AG161" s="1250">
        <f>IF(AG154=0,0,AG151/AG154*AG162)</f>
        <v>0</v>
      </c>
      <c r="AH161" s="213">
        <f>AH163*AH164+AH165*AH166</f>
        <v>0</v>
      </c>
      <c r="AI161" s="1250">
        <f>IF(AI154=0,0,AI151/AI154*AI162)</f>
        <v>0</v>
      </c>
      <c r="AJ161" s="1250">
        <f>IF(AJ154=0,0,AJ151/AJ154*AJ162)</f>
        <v>0</v>
      </c>
      <c r="AK161" s="1250">
        <f>IF(AK154=0,0,AK151/AK154*AK162)</f>
        <v>0</v>
      </c>
      <c r="AL161" s="1250">
        <f>IF(AL154=0,0,AL151/AL154*AL162)</f>
        <v>0</v>
      </c>
      <c r="AM161" s="1250">
        <f>IF(AM154=0,0,AM151/AM154*AM162)</f>
        <v>0</v>
      </c>
      <c r="AN161" s="1250">
        <f>IF(AN154=0,0,AN151/AN154*AN162)</f>
        <v>0</v>
      </c>
      <c r="AO161" s="1250">
        <f>IF(AO154=0,0,AO151/AO154*AO162)</f>
        <v>0</v>
      </c>
      <c r="AP161" s="1250">
        <f>IF(AP154=0,0,AP151/AP154*AP162)</f>
        <v>0</v>
      </c>
      <c r="AQ161" s="1250">
        <f>IF(AQ154=0,0,AQ151/AQ154*AQ162)</f>
        <v>0</v>
      </c>
      <c r="AR161" s="1250">
        <f>IF(AR154=0,0,AR151/AR154*AR162)</f>
        <v>0</v>
      </c>
      <c r="AS161" s="1250">
        <f>IF(AS154=0,0,AS151/AS154*AS162)</f>
        <v>0</v>
      </c>
      <c r="AT161" s="1250">
        <f>IF(AT154=0,0,AT151/AT154*AT162)</f>
        <v>0</v>
      </c>
      <c r="AU161" s="1250">
        <f>IF(AU154=0,0,AU151/AU154*AU162)</f>
        <v>0</v>
      </c>
      <c r="AV161" s="1250">
        <f>IF(AV154=0,0,AV151/AV154*AV162)</f>
        <v>0</v>
      </c>
      <c r="AW161" s="1250">
        <f>IF(AW154=0,0,AW151/AW154*AW162)</f>
        <v>0</v>
      </c>
      <c r="AX161" s="1250">
        <f>IF(AX154=0,0,AX151/AX154*AX162)</f>
        <v>0</v>
      </c>
      <c r="AY161" s="1250">
        <f>IF(AY154=0,0,AY151/AY154*AY162)</f>
        <v>0</v>
      </c>
      <c r="AZ161" s="1250">
        <f>IF(AZ154=0,0,AZ151/AZ154*AZ162)</f>
        <v>0</v>
      </c>
      <c r="BA161" s="1250">
        <f>IF(BA154=0,0,BA151/BA154*BA162)</f>
        <v>0</v>
      </c>
      <c r="BB161" s="1250">
        <f>IF(BB154=0,0,BB151/BB154*BB162)</f>
        <v>0</v>
      </c>
      <c r="BC161" s="1250">
        <f>IF(BC154=0,0,BC151/BC154*BC162)</f>
        <v>0</v>
      </c>
      <c r="BD161" s="778">
        <f>IF(AI161=0,0,(AT161-AI161)/AI161*100)</f>
        <v>0</v>
      </c>
      <c r="BE161" s="778">
        <f>IF(AT161=0,0,(AU161-AT161)/AT161*100)</f>
        <v>0</v>
      </c>
      <c r="BF161" s="778">
        <f>IF(AU161=0,0,(AV161-AU161)/AU161*100)</f>
        <v>0</v>
      </c>
      <c r="BG161" s="778">
        <f>IF(AV161=0,0,(AW161-AV161)/AV161*100)</f>
        <v>0</v>
      </c>
      <c r="BH161" s="778">
        <f>IF(AW161=0,0,(AX161-AW161)/AW161*100)</f>
        <v>0</v>
      </c>
      <c r="BI161" s="778">
        <f>IF(AX161=0,0,(AY161-AX161)/AX161*100)</f>
        <v>0</v>
      </c>
      <c r="BJ161" s="778">
        <f>IF(AY161=0,0,(AZ161-AY161)/AY161*100)</f>
        <v>0</v>
      </c>
      <c r="BK161" s="778">
        <f>IF(AZ161=0,0,(BA161-AZ161)/AZ161*100)</f>
        <v>0</v>
      </c>
      <c r="BL161" s="778">
        <f>IF(BA161=0,0,(BB161-BA161)/BA161*100)</f>
        <v>0</v>
      </c>
      <c r="BM161" s="778">
        <f>IF(BB161=0,0,(BC161-BB161)/BB161*100)</f>
        <v>0</v>
      </c>
      <c r="BN161" s="1238"/>
      <c r="BO161" s="1238"/>
      <c r="BP161" s="1238"/>
      <c r="BQ161" s="700"/>
      <c r="BR161" s="700"/>
      <c r="BS161" s="1063" t="s">
        <v>2603</v>
      </c>
      <c r="BT161" s="1070"/>
      <c r="BU161" s="1070"/>
      <c r="BV161" s="707"/>
      <c r="BW161" s="707"/>
    </row>
    <row s="700" customFormat="1" customHeight="1" ht="20.475" hidden="1">
      <c r="A162" s="700"/>
      <c r="B162" s="435"/>
      <c r="C162" s="109"/>
      <c r="D162" s="109">
        <f>D161+1</f>
        <v>13</v>
      </c>
      <c r="E162" s="826">
        <v>21</v>
      </c>
      <c r="F162" s="50" cm="1" t="str">
        <f t="array" ref="F162:F162">OFFSET(E162,-1,1)</f>
        <v>0</v>
      </c>
      <c r="G162" s="107" t="s">
        <v>2359</v>
      </c>
      <c r="H162" s="107"/>
      <c r="I162" s="107" t="s">
        <v>2906</v>
      </c>
      <c r="J162" s="109"/>
      <c r="K162" s="158" t="s">
        <v>2906</v>
      </c>
      <c r="L162" s="985" t="s">
        <v>2604</v>
      </c>
      <c r="M162" s="109"/>
      <c r="N162" s="109"/>
      <c r="O162" s="109"/>
      <c r="P162" s="109"/>
      <c r="Q162" s="109"/>
      <c r="R162" s="109"/>
      <c r="S162" s="109"/>
      <c r="T162" s="465" cm="1" t="str">
        <f t="array" ref="T162:T162">T161</f>
        <v>false</v>
      </c>
      <c r="U162" s="109"/>
      <c r="V162" s="109"/>
      <c r="W162" s="109"/>
      <c r="X162" s="1596"/>
      <c r="Y162" s="700"/>
      <c r="Z162" s="1546"/>
      <c r="AA162" s="700"/>
      <c r="AB162" s="211" cm="1" t="str">
        <f t="array" ref="AB162:AB162">D162</f>
        <v>13</v>
      </c>
      <c r="AC162" s="212" t="s">
        <v>2605</v>
      </c>
      <c r="AD162" s="211" t="s">
        <v>1247</v>
      </c>
      <c r="AE162" s="785">
        <f>_xlfn.SUMIFS(Баланс!AE$26:AE$482,Баланс!$F$26:$F$482,$F162,Баланс!$G$26:$G$482,"население")</f>
        <v>0</v>
      </c>
      <c r="AF162" s="785">
        <f>_xlfn.SUMIFS(Баланс!AF$26:AF$482,Баланс!$F$26:$F$482,$F162,Баланс!$G$26:$G$482,"население")</f>
        <v>0</v>
      </c>
      <c r="AG162" s="785">
        <f>_xlfn.SUMIFS(Баланс!AG$26:AG$482,Баланс!$F$26:$F$482,$F162,Баланс!$G$26:$G$482,"население")</f>
        <v>0</v>
      </c>
      <c r="AH162" s="785">
        <f>AG162-AF162</f>
        <v>0</v>
      </c>
      <c r="AI162" s="785">
        <f>_xlfn.SUMIFS(Баланс!AH$26:AH$482,Баланс!$F$26:$F$482,$F162,Баланс!$G$26:$G$482,"население")</f>
        <v>0</v>
      </c>
      <c r="AJ162" s="785">
        <f>_xlfn.SUMIFS(Баланс!AI$26:AI$482,Баланс!$F$26:$F$482,$F162,Баланс!$G$26:$G$482,"население")</f>
        <v>0</v>
      </c>
      <c r="AK162" s="785">
        <f>_xlfn.SUMIFS(Баланс!AJ$26:AJ$482,Баланс!$F$26:$F$482,$F162,Баланс!$G$26:$G$482,"население")</f>
        <v>0</v>
      </c>
      <c r="AL162" s="785">
        <f>_xlfn.SUMIFS(Баланс!AK$26:AK$482,Баланс!$F$26:$F$482,$F162,Баланс!$G$26:$G$482,"население")</f>
        <v>0</v>
      </c>
      <c r="AM162" s="785">
        <f>_xlfn.SUMIFS(Баланс!AL$26:AL$482,Баланс!$F$26:$F$482,$F162,Баланс!$G$26:$G$482,"население")</f>
        <v>0</v>
      </c>
      <c r="AN162" s="785">
        <f>_xlfn.SUMIFS(Баланс!AM$26:AM$482,Баланс!$F$26:$F$482,$F162,Баланс!$G$26:$G$482,"население")</f>
        <v>0</v>
      </c>
      <c r="AO162" s="785">
        <f>_xlfn.SUMIFS(Баланс!AN$26:AN$482,Баланс!$F$26:$F$482,$F162,Баланс!$G$26:$G$482,"население")</f>
        <v>0</v>
      </c>
      <c r="AP162" s="785">
        <f>_xlfn.SUMIFS(Баланс!AO$26:AO$482,Баланс!$F$26:$F$482,$F162,Баланс!$G$26:$G$482,"население")</f>
        <v>0</v>
      </c>
      <c r="AQ162" s="785">
        <f>_xlfn.SUMIFS(Баланс!AP$26:AP$482,Баланс!$F$26:$F$482,$F162,Баланс!$G$26:$G$482,"население")</f>
        <v>0</v>
      </c>
      <c r="AR162" s="785">
        <f>_xlfn.SUMIFS(Баланс!AQ$26:AQ$482,Баланс!$F$26:$F$482,$F162,Баланс!$G$26:$G$482,"население")</f>
        <v>0</v>
      </c>
      <c r="AS162" s="785">
        <f>_xlfn.SUMIFS(Баланс!AR$26:AR$482,Баланс!$F$26:$F$482,$F162,Баланс!$G$26:$G$482,"население")</f>
        <v>0</v>
      </c>
      <c r="AT162" s="785">
        <f>_xlfn.SUMIFS(Баланс!AS$26:AS$482,Баланс!$F$26:$F$482,$F162,Баланс!$G$26:$G$482,"население")</f>
        <v>0</v>
      </c>
      <c r="AU162" s="785">
        <f>_xlfn.SUMIFS(Баланс!AT$26:AT$482,Баланс!$F$26:$F$482,$F162,Баланс!$G$26:$G$482,"население")</f>
        <v>0</v>
      </c>
      <c r="AV162" s="785">
        <f>_xlfn.SUMIFS(Баланс!AU$26:AU$482,Баланс!$F$26:$F$482,$F162,Баланс!$G$26:$G$482,"население")</f>
        <v>0</v>
      </c>
      <c r="AW162" s="785">
        <f>_xlfn.SUMIFS(Баланс!AV$26:AV$482,Баланс!$F$26:$F$482,$F162,Баланс!$G$26:$G$482,"население")</f>
        <v>0</v>
      </c>
      <c r="AX162" s="785">
        <f>_xlfn.SUMIFS(Баланс!AW$26:AW$482,Баланс!$F$26:$F$482,$F162,Баланс!$G$26:$G$482,"население")</f>
        <v>0</v>
      </c>
      <c r="AY162" s="785">
        <f>_xlfn.SUMIFS(Баланс!AX$26:AX$482,Баланс!$F$26:$F$482,$F162,Баланс!$G$26:$G$482,"население")</f>
        <v>0</v>
      </c>
      <c r="AZ162" s="785">
        <f>_xlfn.SUMIFS(Баланс!AY$26:AY$482,Баланс!$F$26:$F$482,$F162,Баланс!$G$26:$G$482,"население")</f>
        <v>0</v>
      </c>
      <c r="BA162" s="785">
        <f>_xlfn.SUMIFS(Баланс!AZ$26:AZ$482,Баланс!$F$26:$F$482,$F162,Баланс!$G$26:$G$482,"население")</f>
        <v>0</v>
      </c>
      <c r="BB162" s="785">
        <f>_xlfn.SUMIFS(Баланс!BA$26:BA$482,Баланс!$F$26:$F$482,$F162,Баланс!$G$26:$G$482,"население")</f>
        <v>0</v>
      </c>
      <c r="BC162" s="785">
        <f>_xlfn.SUMIFS(Баланс!BB$26:BB$482,Баланс!$F$26:$F$482,$F162,Баланс!$G$26:$G$482,"население")</f>
        <v>0</v>
      </c>
      <c r="BD162" s="216"/>
      <c r="BE162" s="216"/>
      <c r="BF162" s="216"/>
      <c r="BG162" s="216"/>
      <c r="BH162" s="216"/>
      <c r="BI162" s="216"/>
      <c r="BJ162" s="216"/>
      <c r="BK162" s="216"/>
      <c r="BL162" s="216"/>
      <c r="BM162" s="216"/>
      <c r="BN162" s="1238"/>
      <c r="BO162" s="1238"/>
      <c r="BP162" s="1238"/>
      <c r="BQ162" s="700"/>
      <c r="BR162" s="700"/>
      <c r="BS162" s="1063" t="s">
        <v>2606</v>
      </c>
      <c r="BT162" s="1070"/>
      <c r="BU162" s="1070"/>
      <c r="BV162" s="707"/>
      <c r="BW162" s="707"/>
    </row>
    <row customHeight="1" ht="14.625" hidden="1">
      <c r="A163" s="1278"/>
      <c r="B163" s="978"/>
      <c r="C163" s="107"/>
      <c r="D163" s="107" cm="1" t="str">
        <f t="array" ref="D163:D163">D162</f>
        <v>13</v>
      </c>
      <c r="E163" s="621">
        <v>15</v>
      </c>
      <c r="F163" s="50" cm="1" t="str">
        <f t="array" ref="F163:F163">OFFSET(E163,-1,1)</f>
        <v>0</v>
      </c>
      <c r="G163" s="107" t="s">
        <v>2393</v>
      </c>
      <c r="H163" s="107"/>
      <c r="I163" s="107" t="s">
        <v>2907</v>
      </c>
      <c r="J163" s="107"/>
      <c r="K163" s="158" t="s">
        <v>2907</v>
      </c>
      <c r="L163" s="980" t="s">
        <v>2607</v>
      </c>
      <c r="M163" s="107"/>
      <c r="N163" s="107"/>
      <c r="O163" s="107"/>
      <c r="P163" s="107"/>
      <c r="Q163" s="107"/>
      <c r="R163" s="107"/>
      <c r="S163" s="107"/>
      <c r="T163" s="465" cm="1" t="str">
        <f t="array" ref="T163:T163">T162</f>
        <v>false</v>
      </c>
      <c r="U163" s="107"/>
      <c r="V163" s="107"/>
      <c r="W163" s="107"/>
      <c r="X163" s="1596"/>
      <c r="Y163" s="1278"/>
      <c r="Z163" s="1546"/>
      <c r="AA163" s="1278"/>
      <c r="AB163" s="300" t="str">
        <f>D163&amp;".1"</f>
        <v>13.1</v>
      </c>
      <c r="AC163" s="1111" t="s">
        <v>2609</v>
      </c>
      <c r="AD163" s="300" t="s">
        <v>1247</v>
      </c>
      <c r="AE163" s="1239">
        <f>IF(AE$24="2026 год",AE162/12*9,AE162/2)</f>
        <v>0</v>
      </c>
      <c r="AF163" s="1239">
        <f>IF(AF$24="2026 год",AF162/12*9,AF162/2)</f>
        <v>0</v>
      </c>
      <c r="AG163" s="1239">
        <f>IF(AG$24="2026 год",AG162/12*9,AG162/2)</f>
        <v>0</v>
      </c>
      <c r="AH163" s="1113">
        <f>AG163-AF163</f>
        <v>0</v>
      </c>
      <c r="AI163" s="1239">
        <f>IF(AI$24="2026 год",AI162/12*9,AI162/2)</f>
        <v>0</v>
      </c>
      <c r="AJ163" s="1239">
        <f>IF(AJ$24="2026 год",AJ162/12*9,AJ162/2)</f>
        <v>0</v>
      </c>
      <c r="AK163" s="1239">
        <f>IF(AK$24="2026 год",AK162/12*9,AK162/2)</f>
        <v>0</v>
      </c>
      <c r="AL163" s="1239">
        <f>IF(AL$24="2026 год",AL162/12*9,AL162/2)</f>
        <v>0</v>
      </c>
      <c r="AM163" s="1239">
        <f>IF(AM$24="2026 год",AM162/12*9,AM162/2)</f>
        <v>0</v>
      </c>
      <c r="AN163" s="1239">
        <f>IF(AN$24="2026 год",AN162/12*9,AN162/2)</f>
        <v>0</v>
      </c>
      <c r="AO163" s="1239">
        <f>IF(AO$24="2026 год",AO162/12*9,AO162/2)</f>
        <v>0</v>
      </c>
      <c r="AP163" s="1239">
        <f>IF(AP$24="2026 год",AP162/12*9,AP162/2)</f>
        <v>0</v>
      </c>
      <c r="AQ163" s="1239">
        <f>IF(AQ$24="2026 год",AQ162/12*9,AQ162/2)</f>
        <v>0</v>
      </c>
      <c r="AR163" s="1239">
        <f>IF(AR$24="2026 год",AR162/12*9,AR162/2)</f>
        <v>0</v>
      </c>
      <c r="AS163" s="1239">
        <f>IF(AS$24="2026 год",AS162/12*9,AS162/2)</f>
        <v>0</v>
      </c>
      <c r="AT163" s="1261">
        <f>IF(AT$24="2026 год",AT162/12*9,AT162/2)</f>
        <v>0</v>
      </c>
      <c r="AU163" s="1261">
        <f>IF(AU$24="2026 год",AU162/12*9,AU162/2)</f>
        <v>0</v>
      </c>
      <c r="AV163" s="1239">
        <f>IF(AV$24="2026 год",AV162/12*9,AV162/2)</f>
        <v>0</v>
      </c>
      <c r="AW163" s="1239">
        <f>IF(AW$24="2026 год",AW162/12*9,AW162/2)</f>
        <v>0</v>
      </c>
      <c r="AX163" s="1239">
        <f>IF(AX$24="2026 год",AX162/12*9,AX162/2)</f>
        <v>0</v>
      </c>
      <c r="AY163" s="1239">
        <f>IF(AY$24="2026 год",AY162/12*9,AY162/2)</f>
        <v>0</v>
      </c>
      <c r="AZ163" s="1239">
        <f>IF(AZ$24="2026 год",AZ162/12*9,AZ162/2)</f>
        <v>0</v>
      </c>
      <c r="BA163" s="1239">
        <f>IF(BA$24="2026 год",BA162/12*9,BA162/2)</f>
        <v>0</v>
      </c>
      <c r="BB163" s="1239">
        <f>IF(BB$24="2026 год",BB162/12*9,BB162/2)</f>
        <v>0</v>
      </c>
      <c r="BC163" s="1239">
        <f>IF(BC$24="2026 год",BC162/12*9,BC162/2)</f>
        <v>0</v>
      </c>
      <c r="BD163" s="1115"/>
      <c r="BE163" s="1115"/>
      <c r="BF163" s="1115"/>
      <c r="BG163" s="1115"/>
      <c r="BH163" s="1115"/>
      <c r="BI163" s="1115"/>
      <c r="BJ163" s="1115"/>
      <c r="BK163" s="1115"/>
      <c r="BL163" s="1115"/>
      <c r="BM163" s="1115"/>
      <c r="BN163" s="1238"/>
      <c r="BO163" s="1238"/>
      <c r="BP163" s="1238"/>
      <c r="BQ163" s="1278"/>
      <c r="BR163" s="1278"/>
      <c r="BS163" s="1062" t="s">
        <v>2610</v>
      </c>
      <c r="BT163" s="1064"/>
      <c r="BU163" s="1064"/>
      <c r="BV163" s="979"/>
      <c r="BW163" s="979"/>
    </row>
    <row customHeight="1" ht="14.625" hidden="1">
      <c r="A164" s="1278"/>
      <c r="B164" s="978"/>
      <c r="C164" s="107"/>
      <c r="D164" s="107" cm="1" t="str">
        <f t="array" ref="D164:D164">D163</f>
        <v>13</v>
      </c>
      <c r="E164" s="621">
        <v>15</v>
      </c>
      <c r="F164" s="50" cm="1" t="str">
        <f t="array" ref="F164:F164">OFFSET(E164,-1,1)</f>
        <v>0</v>
      </c>
      <c r="G164" s="107" t="s">
        <v>2349</v>
      </c>
      <c r="H164" s="107"/>
      <c r="I164" s="107" t="s">
        <v>2908</v>
      </c>
      <c r="J164" s="107"/>
      <c r="K164" s="158" t="s">
        <v>2908</v>
      </c>
      <c r="L164" s="980" t="s">
        <v>2611</v>
      </c>
      <c r="M164" s="107"/>
      <c r="N164" s="107"/>
      <c r="O164" s="107"/>
      <c r="P164" s="107"/>
      <c r="Q164" s="107"/>
      <c r="R164" s="107"/>
      <c r="S164" s="107"/>
      <c r="T164" s="465" cm="1" t="str">
        <f t="array" ref="T164:T164">T163</f>
        <v>false</v>
      </c>
      <c r="U164" s="107"/>
      <c r="V164" s="107"/>
      <c r="W164" s="107"/>
      <c r="X164" s="1596"/>
      <c r="Y164" s="1278"/>
      <c r="Z164" s="1546"/>
      <c r="AA164" s="1278"/>
      <c r="AB164" s="300" t="str">
        <f>D164&amp;".2"</f>
        <v>13.2</v>
      </c>
      <c r="AC164" s="1111" t="s">
        <v>2613</v>
      </c>
      <c r="AD164" s="300" t="s">
        <v>2337</v>
      </c>
      <c r="AE164" s="1241">
        <f>IF(AE162=0,0,AE156*(1+Сценарии!AE$26/100))</f>
        <v>0</v>
      </c>
      <c r="AF164" s="1262">
        <f>IF(AF162=0,0,AF156*(1+Сценарии!AF$26/100))</f>
        <v>0</v>
      </c>
      <c r="AG164" s="1262">
        <f>IF(AG162=0,0,AG156*(1+Сценарии!AG$26/100))</f>
        <v>0</v>
      </c>
      <c r="AH164" s="1114">
        <f>AG164-AF164</f>
        <v>0</v>
      </c>
      <c r="AI164" s="1241">
        <f>IF(AI162=0,0,AI156*(1+Сценарии!AI$26/100))</f>
        <v>0</v>
      </c>
      <c r="AJ164" s="1262">
        <f>IF(AJ162=0,0,AJ156*(1+Сценарии!AJ$26/100))</f>
        <v>0</v>
      </c>
      <c r="AK164" s="1262">
        <f>IF(AK162=0,0,AK156*(1+Сценарии!AO$26/100))</f>
        <v>0</v>
      </c>
      <c r="AL164" s="1262">
        <f>IF(AL162=0,0,AL156*(1+Сценарии!AP$26/100))</f>
        <v>0</v>
      </c>
      <c r="AM164" s="1262">
        <f>IF(AM162=0,0,AM156*(1+Сценарии!AQ$26/100))</f>
        <v>0</v>
      </c>
      <c r="AN164" s="1262">
        <f>IF(AN162=0,0,AN156*(1+Сценарии!AR$26/100))</f>
        <v>0</v>
      </c>
      <c r="AO164" s="1262">
        <f>IF(AO162=0,0,AO156*(1+Сценарии!AS$26/100))</f>
        <v>0</v>
      </c>
      <c r="AP164" s="1262">
        <f>IF(AP162=0,0,AP156*(1+Сценарии!AT$26/100))</f>
        <v>0</v>
      </c>
      <c r="AQ164" s="1262">
        <f>IF(AQ162=0,0,AQ156*(1+Сценарии!AU$26/100))</f>
        <v>0</v>
      </c>
      <c r="AR164" s="1262">
        <f>IF(AR162=0,0,AR156*(1+Сценарии!AV$26/100))</f>
        <v>0</v>
      </c>
      <c r="AS164" s="1262">
        <f>IF(AS162=0,0,AS156*(1+Сценарии!AW$26/100))</f>
        <v>0</v>
      </c>
      <c r="AT164" s="1241">
        <f>IF(AT162=0,0,AT156*(1+Сценарии!AK$26/100))</f>
        <v>0</v>
      </c>
      <c r="AU164" s="1241">
        <f>IF(AU162=0,0,AU156*(1+Сценарии!AX$26/100))</f>
        <v>0</v>
      </c>
      <c r="AV164" s="1262">
        <f>IF(AV162=0,0,AV156*(1+Сценарии!AY$26/100))</f>
        <v>0</v>
      </c>
      <c r="AW164" s="1262">
        <f>IF(AW162=0,0,AW156*(1+Сценарии!AZ$26/100))</f>
        <v>0</v>
      </c>
      <c r="AX164" s="1262">
        <f>IF(AX162=0,0,AX156*(1+Сценарии!BA$26/100))</f>
        <v>0</v>
      </c>
      <c r="AY164" s="1262">
        <f>IF(AY162=0,0,AY156*(1+Сценарии!BB$26/100))</f>
        <v>0</v>
      </c>
      <c r="AZ164" s="1262">
        <f>IF(AZ162=0,0,AZ156*(1+Сценарии!BC$26/100))</f>
        <v>0</v>
      </c>
      <c r="BA164" s="1262">
        <f>IF(BA162=0,0,BA156*(1+Сценарии!BD$26/100))</f>
        <v>0</v>
      </c>
      <c r="BB164" s="1262">
        <f>IF(BB162=0,0,BB156*(1+Сценарии!BE$26/100))</f>
        <v>0</v>
      </c>
      <c r="BC164" s="1262">
        <f>IF(BC162=0,0,BC156*(1+Сценарии!BF$26/100))</f>
        <v>0</v>
      </c>
      <c r="BD164" s="1115"/>
      <c r="BE164" s="1115"/>
      <c r="BF164" s="1115"/>
      <c r="BG164" s="1115"/>
      <c r="BH164" s="1115"/>
      <c r="BI164" s="1115"/>
      <c r="BJ164" s="1115"/>
      <c r="BK164" s="1115"/>
      <c r="BL164" s="1115"/>
      <c r="BM164" s="1115"/>
      <c r="BN164" s="1238"/>
      <c r="BO164" s="1238"/>
      <c r="BP164" s="1238"/>
      <c r="BQ164" s="1278"/>
      <c r="BR164" s="1278"/>
      <c r="BS164" s="1062" t="s">
        <v>2614</v>
      </c>
      <c r="BT164" s="1064"/>
      <c r="BU164" s="1064"/>
      <c r="BV164" s="979"/>
      <c r="BW164" s="979"/>
    </row>
    <row customHeight="1" ht="14.625" hidden="1">
      <c r="A165" s="1278"/>
      <c r="B165" s="978"/>
      <c r="C165" s="107"/>
      <c r="D165" s="107" cm="1" t="str">
        <f t="array" ref="D165:D165">D164</f>
        <v>13</v>
      </c>
      <c r="E165" s="621">
        <v>15</v>
      </c>
      <c r="F165" s="50" cm="1" t="str">
        <f t="array" ref="F165:F165">OFFSET(E165,-1,1)</f>
        <v>0</v>
      </c>
      <c r="G165" s="107" t="s">
        <v>2400</v>
      </c>
      <c r="H165" s="107"/>
      <c r="I165" s="107" t="s">
        <v>2909</v>
      </c>
      <c r="J165" s="107"/>
      <c r="K165" s="107" t="s">
        <v>2909</v>
      </c>
      <c r="L165" s="980" t="s">
        <v>2615</v>
      </c>
      <c r="M165" s="107"/>
      <c r="N165" s="107"/>
      <c r="O165" s="107"/>
      <c r="P165" s="107"/>
      <c r="Q165" s="107"/>
      <c r="R165" s="107"/>
      <c r="S165" s="107"/>
      <c r="T165" s="465" cm="1" t="str">
        <f t="array" ref="T165:T165">T164</f>
        <v>false</v>
      </c>
      <c r="U165" s="107"/>
      <c r="V165" s="107"/>
      <c r="W165" s="107"/>
      <c r="X165" s="1596"/>
      <c r="Y165" s="1278"/>
      <c r="Z165" s="1546"/>
      <c r="AA165" s="1278"/>
      <c r="AB165" s="300" t="str">
        <f>D165&amp;".3"</f>
        <v>13.3</v>
      </c>
      <c r="AC165" s="1111" t="s">
        <v>2587</v>
      </c>
      <c r="AD165" s="300" t="s">
        <v>1247</v>
      </c>
      <c r="AE165" s="1113">
        <f>AE162-AE163</f>
        <v>0</v>
      </c>
      <c r="AF165" s="1113">
        <f>AF162-AF163</f>
        <v>0</v>
      </c>
      <c r="AG165" s="1113">
        <f>AG162-AG163</f>
        <v>0</v>
      </c>
      <c r="AH165" s="1113">
        <f>AG165-AF165</f>
        <v>0</v>
      </c>
      <c r="AI165" s="1113">
        <f>AI162-AI163</f>
        <v>0</v>
      </c>
      <c r="AJ165" s="1113">
        <f>AJ162-AJ163</f>
        <v>0</v>
      </c>
      <c r="AK165" s="1113">
        <f>AK162-AK163</f>
        <v>0</v>
      </c>
      <c r="AL165" s="1113">
        <f>AL162-AL163</f>
        <v>0</v>
      </c>
      <c r="AM165" s="1113">
        <f>AM162-AM163</f>
        <v>0</v>
      </c>
      <c r="AN165" s="1113">
        <f>AN162-AN163</f>
        <v>0</v>
      </c>
      <c r="AO165" s="1113">
        <f>AO162-AO163</f>
        <v>0</v>
      </c>
      <c r="AP165" s="1113">
        <f>AP162-AP163</f>
        <v>0</v>
      </c>
      <c r="AQ165" s="1113">
        <f>AQ162-AQ163</f>
        <v>0</v>
      </c>
      <c r="AR165" s="1113">
        <f>AR162-AR163</f>
        <v>0</v>
      </c>
      <c r="AS165" s="1113">
        <f>AS162-AS163</f>
        <v>0</v>
      </c>
      <c r="AT165" s="1113">
        <f>AT162-AT163</f>
        <v>0</v>
      </c>
      <c r="AU165" s="1113">
        <f>AU162-AU163</f>
        <v>0</v>
      </c>
      <c r="AV165" s="1113">
        <f>AV162-AV163</f>
        <v>0</v>
      </c>
      <c r="AW165" s="1113">
        <f>AW162-AW163</f>
        <v>0</v>
      </c>
      <c r="AX165" s="1113">
        <f>AX162-AX163</f>
        <v>0</v>
      </c>
      <c r="AY165" s="1113">
        <f>AY162-AY163</f>
        <v>0</v>
      </c>
      <c r="AZ165" s="1113">
        <f>AZ162-AZ163</f>
        <v>0</v>
      </c>
      <c r="BA165" s="1113">
        <f>BA162-BA163</f>
        <v>0</v>
      </c>
      <c r="BB165" s="1113">
        <f>BB162-BB163</f>
        <v>0</v>
      </c>
      <c r="BC165" s="1113">
        <f>BC162-BC163</f>
        <v>0</v>
      </c>
      <c r="BD165" s="1115"/>
      <c r="BE165" s="1115"/>
      <c r="BF165" s="1115"/>
      <c r="BG165" s="1115"/>
      <c r="BH165" s="1115"/>
      <c r="BI165" s="1115"/>
      <c r="BJ165" s="1115"/>
      <c r="BK165" s="1115"/>
      <c r="BL165" s="1115"/>
      <c r="BM165" s="1115"/>
      <c r="BN165" s="1238"/>
      <c r="BO165" s="1238"/>
      <c r="BP165" s="1238"/>
      <c r="BQ165" s="1278"/>
      <c r="BR165" s="1278"/>
      <c r="BS165" s="1062" t="s">
        <v>2617</v>
      </c>
      <c r="BT165" s="1064"/>
      <c r="BU165" s="1064"/>
      <c r="BV165" s="979"/>
      <c r="BW165" s="979"/>
    </row>
    <row customHeight="1" ht="14.625" hidden="1">
      <c r="A166" s="1278"/>
      <c r="B166" s="978"/>
      <c r="C166" s="107"/>
      <c r="D166" s="107" cm="1" t="str">
        <f t="array" ref="D166:D166">D165</f>
        <v>13</v>
      </c>
      <c r="E166" s="621">
        <v>15</v>
      </c>
      <c r="F166" s="50" cm="1" t="str">
        <f t="array" ref="F166:F166">OFFSET(E166,-1,1)</f>
        <v>0</v>
      </c>
      <c r="G166" s="107" t="s">
        <v>2353</v>
      </c>
      <c r="H166" s="107"/>
      <c r="I166" s="107" t="s">
        <v>2910</v>
      </c>
      <c r="J166" s="107"/>
      <c r="K166" s="107" t="s">
        <v>2910</v>
      </c>
      <c r="L166" s="980" t="s">
        <v>2618</v>
      </c>
      <c r="M166" s="107"/>
      <c r="N166" s="107"/>
      <c r="O166" s="107"/>
      <c r="P166" s="107"/>
      <c r="Q166" s="107"/>
      <c r="R166" s="107"/>
      <c r="S166" s="107"/>
      <c r="T166" s="465" cm="1" t="str">
        <f t="array" ref="T166:T166">T165</f>
        <v>false</v>
      </c>
      <c r="U166" s="107"/>
      <c r="V166" s="107"/>
      <c r="W166" s="107"/>
      <c r="X166" s="1596"/>
      <c r="Y166" s="1278"/>
      <c r="Z166" s="1546"/>
      <c r="AA166" s="1278"/>
      <c r="AB166" s="300" t="str">
        <f>D166&amp;".4"</f>
        <v>13.4</v>
      </c>
      <c r="AC166" s="1111" t="s">
        <v>2591</v>
      </c>
      <c r="AD166" s="300" t="s">
        <v>2337</v>
      </c>
      <c r="AE166" s="1241">
        <f>IF(AE162=0,0,AE158*(1+Сценарии!AE$26/100))</f>
        <v>0</v>
      </c>
      <c r="AF166" s="1262">
        <f>IF(AF162=0,0,AF158*(1+Сценарии!AF$26/100))</f>
        <v>0</v>
      </c>
      <c r="AG166" s="1262">
        <f>IF(AG162=0,0,AG158*(1+Сценарии!AG$26/100))</f>
        <v>0</v>
      </c>
      <c r="AH166" s="1114">
        <f>AG166-AF166</f>
        <v>0</v>
      </c>
      <c r="AI166" s="1241">
        <f>IF(AI162=0,0,AI158*(1+Сценарии!AI$26/100))</f>
        <v>0</v>
      </c>
      <c r="AJ166" s="1262">
        <f>IF(AJ162=0,0,AJ158*(1+Сценарии!AJ$26/100))</f>
        <v>0</v>
      </c>
      <c r="AK166" s="1241">
        <f>IF(AK162=0,0,AK158*(1+Сценарии!AO$26/100))</f>
        <v>0</v>
      </c>
      <c r="AL166" s="1262">
        <f>IF(AL162=0,0,AL158*(1+Сценарии!AP$26/100))</f>
        <v>0</v>
      </c>
      <c r="AM166" s="1262">
        <f>IF(AM162=0,0,AM158*(1+Сценарии!AQ$26/100))</f>
        <v>0</v>
      </c>
      <c r="AN166" s="1262">
        <f>IF(AN162=0,0,AN158*(1+Сценарии!AR$26/100))</f>
        <v>0</v>
      </c>
      <c r="AO166" s="1262">
        <f>IF(AO162=0,0,AO158*(1+Сценарии!AS$26/100))</f>
        <v>0</v>
      </c>
      <c r="AP166" s="1262">
        <f>IF(AP162=0,0,AP158*(1+Сценарии!AT$26/100))</f>
        <v>0</v>
      </c>
      <c r="AQ166" s="1262">
        <f>IF(AQ162=0,0,AQ158*(1+Сценарии!AU$26/100))</f>
        <v>0</v>
      </c>
      <c r="AR166" s="1262">
        <f>IF(AR162=0,0,AR158*(1+Сценарии!AV$26/100))</f>
        <v>0</v>
      </c>
      <c r="AS166" s="1262">
        <f>IF(AS162=0,0,AS158*(1+Сценарии!AW$26/100))</f>
        <v>0</v>
      </c>
      <c r="AT166" s="1241">
        <f>IF(AT162=0,0,AT158*(1+Сценарии!AK$26/100))</f>
        <v>0</v>
      </c>
      <c r="AU166" s="1241">
        <f>IF(AU162=0,0,AU158*(1+Сценарии!AX$26/100))</f>
        <v>0</v>
      </c>
      <c r="AV166" s="1262">
        <f>IF(AV162=0,0,AV158*(1+Сценарии!AY$26/100))</f>
        <v>0</v>
      </c>
      <c r="AW166" s="1262">
        <f>IF(AW162=0,0,AW158*(1+Сценарии!AZ$26/100))</f>
        <v>0</v>
      </c>
      <c r="AX166" s="1262">
        <f>IF(AX162=0,0,AX158*(1+Сценарии!BA$26/100))</f>
        <v>0</v>
      </c>
      <c r="AY166" s="1262">
        <f>IF(AY162=0,0,AY158*(1+Сценарии!BB$26/100))</f>
        <v>0</v>
      </c>
      <c r="AZ166" s="1262">
        <f>IF(AZ162=0,0,AZ158*(1+Сценарии!BC$26/100))</f>
        <v>0</v>
      </c>
      <c r="BA166" s="1262">
        <f>IF(BA162=0,0,BA158*(1+Сценарии!BD$26/100))</f>
        <v>0</v>
      </c>
      <c r="BB166" s="1262">
        <f>IF(BB162=0,0,BB158*(1+Сценарии!BE$26/100))</f>
        <v>0</v>
      </c>
      <c r="BC166" s="1262">
        <f>IF(BC162=0,0,BC158*(1+Сценарии!BF$26/100))</f>
        <v>0</v>
      </c>
      <c r="BD166" s="1115"/>
      <c r="BE166" s="1115"/>
      <c r="BF166" s="1115"/>
      <c r="BG166" s="1115"/>
      <c r="BH166" s="1115"/>
      <c r="BI166" s="1115"/>
      <c r="BJ166" s="1115"/>
      <c r="BK166" s="1115"/>
      <c r="BL166" s="1115"/>
      <c r="BM166" s="1115"/>
      <c r="BN166" s="1238"/>
      <c r="BO166" s="1238"/>
      <c r="BP166" s="1238"/>
      <c r="BQ166" s="1278"/>
      <c r="BR166" s="1278"/>
      <c r="BS166" s="1062" t="s">
        <v>2621</v>
      </c>
      <c r="BT166" s="1064"/>
      <c r="BU166" s="1064"/>
      <c r="BV166" s="979"/>
      <c r="BW166" s="979"/>
    </row>
    <row customHeight="1" ht="14.625" hidden="1">
      <c r="A167" s="1278"/>
      <c r="B167" s="978"/>
      <c r="C167" s="107"/>
      <c r="D167" s="107">
        <f>D166+1</f>
        <v>14</v>
      </c>
      <c r="E167" s="621">
        <v>15</v>
      </c>
      <c r="F167" s="50" cm="1" t="str">
        <f t="array" ref="F167:F167">OFFSET(E167,-1,1)</f>
        <v>0</v>
      </c>
      <c r="G167" s="107"/>
      <c r="H167" s="107"/>
      <c r="I167" s="107"/>
      <c r="J167" s="107"/>
      <c r="K167" s="107"/>
      <c r="L167" s="980"/>
      <c r="M167" s="107"/>
      <c r="N167" s="107"/>
      <c r="O167" s="107"/>
      <c r="P167" s="107"/>
      <c r="Q167" s="107"/>
      <c r="R167" s="107"/>
      <c r="S167" s="107"/>
      <c r="T167" s="465" cm="1" t="str">
        <f t="array" ref="T167:T167">T166</f>
        <v>false</v>
      </c>
      <c r="U167" s="107"/>
      <c r="V167" s="107"/>
      <c r="W167" s="107"/>
      <c r="X167" s="1596"/>
      <c r="Y167" s="1278"/>
      <c r="Z167" s="1546"/>
      <c r="AA167" s="1278"/>
      <c r="AB167" s="211" cm="1" t="str">
        <f t="array" ref="AB167:AB167">D167</f>
        <v>14</v>
      </c>
      <c r="AC167" s="212" t="s">
        <v>2622</v>
      </c>
      <c r="AD167" s="211" t="s">
        <v>1514</v>
      </c>
      <c r="AE167" s="1241"/>
      <c r="AF167" s="1241"/>
      <c r="AG167" s="1241"/>
      <c r="AH167" s="1114">
        <f>AG167-AF167</f>
        <v>0</v>
      </c>
      <c r="AI167" s="1241"/>
      <c r="AJ167" s="1241"/>
      <c r="AK167" s="1241"/>
      <c r="AL167" s="1241"/>
      <c r="AM167" s="1241"/>
      <c r="AN167" s="1241"/>
      <c r="AO167" s="1241"/>
      <c r="AP167" s="1241"/>
      <c r="AQ167" s="1241"/>
      <c r="AR167" s="1241"/>
      <c r="AS167" s="1241"/>
      <c r="AT167" s="1241"/>
      <c r="AU167" s="1241"/>
      <c r="AV167" s="1241"/>
      <c r="AW167" s="1241"/>
      <c r="AX167" s="1241"/>
      <c r="AY167" s="1241"/>
      <c r="AZ167" s="1241"/>
      <c r="BA167" s="1241"/>
      <c r="BB167" s="1241"/>
      <c r="BC167" s="1241"/>
      <c r="BD167" s="1115"/>
      <c r="BE167" s="1115"/>
      <c r="BF167" s="1115"/>
      <c r="BG167" s="1115"/>
      <c r="BH167" s="1115"/>
      <c r="BI167" s="1115"/>
      <c r="BJ167" s="1115"/>
      <c r="BK167" s="1115"/>
      <c r="BL167" s="1115"/>
      <c r="BM167" s="1115"/>
      <c r="BN167" s="1238"/>
      <c r="BO167" s="1238"/>
      <c r="BP167" s="1238"/>
      <c r="BQ167" s="1278"/>
      <c r="BR167" s="1278"/>
      <c r="BS167" s="1062" t="s">
        <v>2623</v>
      </c>
      <c r="BT167" s="1064"/>
      <c r="BU167" s="1064"/>
      <c r="BV167" s="979"/>
      <c r="BW167" s="979"/>
    </row>
    <row s="1233" customFormat="1" customHeight="1" ht="20.475" hidden="1">
      <c r="A168" s="1233"/>
      <c r="B168" s="753"/>
      <c r="C168" s="107"/>
      <c r="D168" s="107" cm="1" t="str">
        <f t="array" ref="D168:D168">D167</f>
        <v>14</v>
      </c>
      <c r="E168" s="621">
        <v>21</v>
      </c>
      <c r="F168" s="50" cm="1" t="str">
        <f t="array" ref="F168:F168">OFFSET(E168,-1,1)</f>
        <v>0</v>
      </c>
      <c r="G168" s="107"/>
      <c r="H168" s="107"/>
      <c r="I168" s="107"/>
      <c r="J168" s="107"/>
      <c r="K168" s="107"/>
      <c r="L168" s="980"/>
      <c r="M168" s="107"/>
      <c r="N168" s="107"/>
      <c r="O168" s="107"/>
      <c r="P168" s="107"/>
      <c r="Q168" s="107"/>
      <c r="R168" s="107"/>
      <c r="S168" s="107"/>
      <c r="T168" s="465" cm="1" t="str">
        <f t="array" ref="T168:T168">T167</f>
        <v>false</v>
      </c>
      <c r="U168" s="107"/>
      <c r="V168" s="107"/>
      <c r="W168" s="107"/>
      <c r="X168" s="1596"/>
      <c r="Y168" s="1233"/>
      <c r="Z168" s="1546"/>
      <c r="AA168" s="1233"/>
      <c r="AB168" s="300" t="str">
        <f>D168&amp;".1"</f>
        <v>14.1</v>
      </c>
      <c r="AC168" s="762" t="s">
        <v>2625</v>
      </c>
      <c r="AD168" s="300" t="s">
        <v>1514</v>
      </c>
      <c r="AE168" s="1241"/>
      <c r="AF168" s="1241"/>
      <c r="AG168" s="1241"/>
      <c r="AH168" s="1114">
        <f>AG168-AF168</f>
        <v>0</v>
      </c>
      <c r="AI168" s="1241"/>
      <c r="AJ168" s="1241"/>
      <c r="AK168" s="1241"/>
      <c r="AL168" s="1241"/>
      <c r="AM168" s="1241"/>
      <c r="AN168" s="1241"/>
      <c r="AO168" s="1241"/>
      <c r="AP168" s="1241"/>
      <c r="AQ168" s="1241"/>
      <c r="AR168" s="1241"/>
      <c r="AS168" s="1241"/>
      <c r="AT168" s="1241"/>
      <c r="AU168" s="1241"/>
      <c r="AV168" s="1241"/>
      <c r="AW168" s="1241"/>
      <c r="AX168" s="1241"/>
      <c r="AY168" s="1241"/>
      <c r="AZ168" s="1241"/>
      <c r="BA168" s="1241"/>
      <c r="BB168" s="1241"/>
      <c r="BC168" s="1241"/>
      <c r="BD168" s="1115"/>
      <c r="BE168" s="1115"/>
      <c r="BF168" s="1115"/>
      <c r="BG168" s="1115"/>
      <c r="BH168" s="1115"/>
      <c r="BI168" s="1115"/>
      <c r="BJ168" s="1115"/>
      <c r="BK168" s="1115"/>
      <c r="BL168" s="1115"/>
      <c r="BM168" s="1115"/>
      <c r="BN168" s="1238"/>
      <c r="BO168" s="1238"/>
      <c r="BP168" s="1238"/>
      <c r="BQ168" s="1233"/>
      <c r="BR168" s="1233"/>
      <c r="BS168" s="1062" t="s">
        <v>2626</v>
      </c>
      <c r="BT168" s="1071"/>
      <c r="BU168" s="1071"/>
      <c r="BV168" s="1072"/>
      <c r="BW168" s="1072"/>
    </row>
    <row s="1233" customFormat="1" customHeight="1" ht="64.935" hidden="1">
      <c r="A169" s="1233"/>
      <c r="B169" s="753"/>
      <c r="C169" s="107"/>
      <c r="D169" s="107" cm="1" t="str">
        <f t="array" ref="D169:D169">D168</f>
        <v>14</v>
      </c>
      <c r="E169" s="621">
        <v>66.6</v>
      </c>
      <c r="F169" s="50" cm="1" t="str">
        <f t="array" ref="F169:F169">OFFSET(E169,-1,1)</f>
        <v>0</v>
      </c>
      <c r="G169" s="107"/>
      <c r="H169" s="107"/>
      <c r="I169" s="107"/>
      <c r="J169" s="107"/>
      <c r="K169" s="107"/>
      <c r="L169" s="980"/>
      <c r="M169" s="107"/>
      <c r="N169" s="107"/>
      <c r="O169" s="107"/>
      <c r="P169" s="107"/>
      <c r="Q169" s="107"/>
      <c r="R169" s="107"/>
      <c r="S169" s="107"/>
      <c r="T169" s="465" cm="1" t="str">
        <f t="array" ref="T169:T169">T168</f>
        <v>false</v>
      </c>
      <c r="U169" s="107"/>
      <c r="V169" s="107"/>
      <c r="W169" s="107"/>
      <c r="X169" s="1596"/>
      <c r="Y169" s="1233"/>
      <c r="Z169" s="1546"/>
      <c r="AA169" s="1233"/>
      <c r="AB169" s="300" t="str">
        <f>D169&amp;".2"</f>
        <v>14.2</v>
      </c>
      <c r="AC169" s="762" t="s">
        <v>2628</v>
      </c>
      <c r="AD169" s="300" t="s">
        <v>1514</v>
      </c>
      <c r="AE169" s="1241"/>
      <c r="AF169" s="1241"/>
      <c r="AG169" s="1241"/>
      <c r="AH169" s="1114">
        <f>AG169-AF169</f>
        <v>0</v>
      </c>
      <c r="AI169" s="1241"/>
      <c r="AJ169" s="1241"/>
      <c r="AK169" s="1241"/>
      <c r="AL169" s="1241"/>
      <c r="AM169" s="1241"/>
      <c r="AN169" s="1241"/>
      <c r="AO169" s="1241"/>
      <c r="AP169" s="1241"/>
      <c r="AQ169" s="1241"/>
      <c r="AR169" s="1241"/>
      <c r="AS169" s="1241"/>
      <c r="AT169" s="1241"/>
      <c r="AU169" s="1241"/>
      <c r="AV169" s="1241"/>
      <c r="AW169" s="1241"/>
      <c r="AX169" s="1241"/>
      <c r="AY169" s="1241"/>
      <c r="AZ169" s="1241"/>
      <c r="BA169" s="1241"/>
      <c r="BB169" s="1241"/>
      <c r="BC169" s="1241"/>
      <c r="BD169" s="1115"/>
      <c r="BE169" s="1115"/>
      <c r="BF169" s="1115"/>
      <c r="BG169" s="1115"/>
      <c r="BH169" s="1115"/>
      <c r="BI169" s="1115"/>
      <c r="BJ169" s="1115"/>
      <c r="BK169" s="1115"/>
      <c r="BL169" s="1115"/>
      <c r="BM169" s="1115"/>
      <c r="BN169" s="1238"/>
      <c r="BO169" s="1238"/>
      <c r="BP169" s="1238"/>
      <c r="BQ169" s="1233"/>
      <c r="BR169" s="1233"/>
      <c r="BS169" s="1062" t="s">
        <v>2629</v>
      </c>
      <c r="BT169" s="1071"/>
      <c r="BU169" s="1071"/>
      <c r="BV169" s="1072"/>
      <c r="BW169" s="1072"/>
    </row>
    <row s="1233" customFormat="1" customHeight="1" ht="44.46" hidden="1">
      <c r="A170" s="1233"/>
      <c r="B170" s="753"/>
      <c r="C170" s="107"/>
      <c r="D170" s="107" cm="1" t="str">
        <f t="array" ref="D170:D170">D169</f>
        <v>14</v>
      </c>
      <c r="E170" s="621">
        <v>45.6</v>
      </c>
      <c r="F170" s="50" cm="1" t="str">
        <f t="array" ref="F170:F170">OFFSET(E170,-1,1)</f>
        <v>0</v>
      </c>
      <c r="G170" s="107"/>
      <c r="H170" s="107"/>
      <c r="I170" s="107"/>
      <c r="J170" s="107"/>
      <c r="K170" s="107"/>
      <c r="L170" s="980"/>
      <c r="M170" s="107"/>
      <c r="N170" s="107"/>
      <c r="O170" s="107"/>
      <c r="P170" s="107"/>
      <c r="Q170" s="107"/>
      <c r="R170" s="107"/>
      <c r="S170" s="107"/>
      <c r="T170" s="465" cm="1" t="str">
        <f t="array" ref="T170:T170">T169</f>
        <v>false</v>
      </c>
      <c r="U170" s="107"/>
      <c r="V170" s="107"/>
      <c r="W170" s="107"/>
      <c r="X170" s="1596"/>
      <c r="Y170" s="1233"/>
      <c r="Z170" s="1546"/>
      <c r="AA170" s="1233"/>
      <c r="AB170" s="300" t="str">
        <f>D170&amp;".3"</f>
        <v>14.3</v>
      </c>
      <c r="AC170" s="762" t="s">
        <v>2911</v>
      </c>
      <c r="AD170" s="300" t="s">
        <v>1514</v>
      </c>
      <c r="AE170" s="1115"/>
      <c r="AF170" s="1241"/>
      <c r="AG170" s="1241"/>
      <c r="AH170" s="1114">
        <f>AG170-AF170</f>
        <v>0</v>
      </c>
      <c r="AI170" s="1115"/>
      <c r="AJ170" s="1115"/>
      <c r="AK170" s="1115"/>
      <c r="AL170" s="1115"/>
      <c r="AM170" s="1115"/>
      <c r="AN170" s="1115"/>
      <c r="AO170" s="1115"/>
      <c r="AP170" s="1115"/>
      <c r="AQ170" s="1115"/>
      <c r="AR170" s="1115"/>
      <c r="AS170" s="1115"/>
      <c r="AT170" s="1115"/>
      <c r="AU170" s="1115"/>
      <c r="AV170" s="1115"/>
      <c r="AW170" s="1115"/>
      <c r="AX170" s="1115"/>
      <c r="AY170" s="1115"/>
      <c r="AZ170" s="1115"/>
      <c r="BA170" s="1115"/>
      <c r="BB170" s="1115"/>
      <c r="BC170" s="1115"/>
      <c r="BD170" s="1115"/>
      <c r="BE170" s="1115"/>
      <c r="BF170" s="1115"/>
      <c r="BG170" s="1115"/>
      <c r="BH170" s="1115"/>
      <c r="BI170" s="1115"/>
      <c r="BJ170" s="1115"/>
      <c r="BK170" s="1115"/>
      <c r="BL170" s="1115"/>
      <c r="BM170" s="1115"/>
      <c r="BN170" s="1238"/>
      <c r="BO170" s="1238"/>
      <c r="BP170" s="1238"/>
      <c r="BQ170" s="1233"/>
      <c r="BR170" s="1233"/>
      <c r="BS170" s="1071" t="s">
        <v>2912</v>
      </c>
      <c r="BT170" s="1071"/>
      <c r="BU170" s="1071"/>
      <c r="BV170" s="1072"/>
      <c r="BW170" s="1072"/>
    </row>
    <row s="538" customFormat="1" customHeight="1" ht="14.25">
      <c r="A171" s="1758"/>
      <c r="B171" s="428"/>
      <c r="C171" s="426"/>
      <c r="D171" s="426"/>
      <c r="E171" s="619">
        <v>15</v>
      </c>
      <c r="F171" s="493" cm="1" t="str">
        <f t="array" ref="F171:F171">X171</f>
        <v>1</v>
      </c>
      <c r="G171" s="493" cm="1" t="str">
        <f t="array" ref="G171:G171">INDEX('Общие сведения'!$AK$179:$AK$250,MATCH($X171,'Общие сведения'!$Z$179:$Z$250,0))</f>
        <v>одноставочный</v>
      </c>
      <c r="H171" s="426"/>
      <c r="I171" s="493"/>
      <c r="J171" s="426"/>
      <c r="K171" s="426"/>
      <c r="L171" s="982"/>
      <c r="M171" s="426"/>
      <c r="N171" s="426"/>
      <c r="O171" s="426"/>
      <c r="P171" s="426"/>
      <c r="Q171" s="426"/>
      <c r="R171" s="426"/>
      <c r="S171" s="426" cm="1" t="str">
        <f t="array" ref="S171:S171">INDEX('Общие сведения'!$AE$179:$AE$250,MATCH($X171,'Общие сведения'!$Z$179:$Z$250,0))</f>
        <v>Водоснабжение</v>
      </c>
      <c r="T171" s="465">
        <f>X171&gt;0</f>
        <v>1</v>
      </c>
      <c r="U171" s="426"/>
      <c r="V171" s="426" cm="1" t="str">
        <f t="array" ref="V171:V171">'Калькуляция (МЭОР)'!$AB$112</f>
        <v>Тариф 1 (Водоснабжение) - тариф на питьевую воду (Доп. признак не требуется)</v>
      </c>
      <c r="W171" s="426"/>
      <c r="X171" s="1596" t="s">
        <v>276</v>
      </c>
      <c r="Y171" s="1758"/>
      <c r="Z171" s="1546"/>
      <c r="AA171" s="1758"/>
      <c r="AB171" s="381" cm="1" t="str">
        <f t="array" ref="AB171:AB171">'Калькуляция (МЭОР)'!$AB$112</f>
        <v>Тариф 1 (Водоснабжение) - тариф на питьевую воду (Доп. признак не требуется)</v>
      </c>
      <c r="AC171" s="252"/>
      <c r="AD171" s="252"/>
      <c r="AE171" s="252"/>
      <c r="AF171" s="252"/>
      <c r="AG171" s="252"/>
      <c r="AH171" s="252"/>
      <c r="AI171" s="252"/>
      <c r="AJ171" s="252"/>
      <c r="AK171" s="252"/>
      <c r="AL171" s="252"/>
      <c r="AM171" s="252"/>
      <c r="AN171" s="252"/>
      <c r="AO171" s="252"/>
      <c r="AP171" s="252"/>
      <c r="AQ171" s="252"/>
      <c r="AR171" s="252"/>
      <c r="AS171" s="252"/>
      <c r="AT171" s="252"/>
      <c r="AU171" s="252"/>
      <c r="AV171" s="252"/>
      <c r="AW171" s="252"/>
      <c r="AX171" s="252"/>
      <c r="AY171" s="252"/>
      <c r="AZ171" s="252"/>
      <c r="BA171" s="252"/>
      <c r="BB171" s="252"/>
      <c r="BC171" s="252"/>
      <c r="BD171" s="252"/>
      <c r="BE171" s="252"/>
      <c r="BF171" s="252"/>
      <c r="BG171" s="252"/>
      <c r="BH171" s="252"/>
      <c r="BI171" s="252"/>
      <c r="BJ171" s="252"/>
      <c r="BK171" s="252"/>
      <c r="BL171" s="252"/>
      <c r="BM171" s="252"/>
      <c r="BN171" s="252"/>
      <c r="BO171" s="252"/>
      <c r="BP171" s="252"/>
      <c r="BQ171" s="1758"/>
      <c r="BR171" s="1758"/>
      <c r="BS171" s="997"/>
      <c r="BT171" s="997"/>
      <c r="BU171" s="997"/>
      <c r="BV171" s="618"/>
      <c r="BW171" s="618"/>
    </row>
    <row s="7431" customFormat="1" customHeight="1" ht="96.75">
      <c r="A172" s="161"/>
      <c r="B172" s="434"/>
      <c r="C172" s="855"/>
      <c r="D172" s="855"/>
      <c r="E172" s="856">
        <v>21</v>
      </c>
      <c r="F172" s="50" cm="1" t="str">
        <f t="array" ref="F172:F172">OFFSET(E172,-1,1)</f>
        <v>1</v>
      </c>
      <c r="G172" s="855"/>
      <c r="H172" s="112"/>
      <c r="I172" s="112" t="s">
        <v>332</v>
      </c>
      <c r="J172" s="855"/>
      <c r="K172" s="377" t="s">
        <v>332</v>
      </c>
      <c r="L172" s="983"/>
      <c r="M172" s="855"/>
      <c r="N172" s="855"/>
      <c r="O172" s="855"/>
      <c r="P172" s="855"/>
      <c r="Q172" s="855"/>
      <c r="R172" s="855"/>
      <c r="S172" s="855"/>
      <c r="T172" s="465" cm="1" t="str">
        <f t="array" ref="T172:T172">T171</f>
        <v>true</v>
      </c>
      <c r="U172" s="855"/>
      <c r="V172" s="855"/>
      <c r="W172" s="855"/>
      <c r="X172" s="1596"/>
      <c r="Y172" s="161"/>
      <c r="Z172" s="1546"/>
      <c r="AA172" s="161"/>
      <c r="AB172" s="234" t="s">
        <v>276</v>
      </c>
      <c r="AC172" s="212" t="s">
        <v>2636</v>
      </c>
      <c r="AD172" s="234" t="s">
        <v>1514</v>
      </c>
      <c r="AE172" s="778">
        <f>SUM(AE174,AE191,AE197,AE217,AE218,AE219)</f>
        <v>0</v>
      </c>
      <c r="AF172" s="778">
        <f>SUM(AF174,AF191,AF197,AF217,AF218,AF219)</f>
        <v>0</v>
      </c>
      <c r="AG172" s="778">
        <f>SUM(AG174,AG191,AG197,AG217,AG218,AG219)</f>
        <v>0</v>
      </c>
      <c r="AH172" s="778">
        <f>AG172-AF172</f>
        <v>0</v>
      </c>
      <c r="AI172" s="778">
        <f>SUM(AI174,AI191,AI197,AI217,AI218,AI219)</f>
        <v>0</v>
      </c>
      <c r="AJ172" s="778">
        <f>SUM(AJ174,AJ191,AJ197,AJ217,AJ218,AJ219)</f>
        <v>157936.496612672</v>
      </c>
      <c r="AK172" s="7432">
        <f>AJ172*AK173</f>
        <v>162611.416912407</v>
      </c>
      <c r="AL172" s="7432">
        <f>AK172*AL173</f>
        <v>167424.714853014</v>
      </c>
      <c r="AM172" s="7432">
        <f>AL172*AM173</f>
        <v>172380.486412663</v>
      </c>
      <c r="AN172" s="7432">
        <f>AM172*AN173</f>
        <v>177482.948810478</v>
      </c>
      <c r="AO172" s="1237">
        <f>AN172*AO173</f>
        <v>177482.948810478</v>
      </c>
      <c r="AP172" s="1237">
        <f>AO172*AP173</f>
        <v>177482.948810478</v>
      </c>
      <c r="AQ172" s="1237">
        <f>AP172*AQ173</f>
        <v>177482.948810478</v>
      </c>
      <c r="AR172" s="1237">
        <f>AQ172*AR173</f>
        <v>177482.948810478</v>
      </c>
      <c r="AS172" s="1237">
        <f>AR172*AS173</f>
        <v>177482.948810478</v>
      </c>
      <c r="AT172" s="778">
        <f>SUM(AT174,AT191,AT197,AT217,AT218,AT219)</f>
        <v>157936.498612672</v>
      </c>
      <c r="AU172" s="7432">
        <f>AT172*AU173</f>
        <v>162611.418971607</v>
      </c>
      <c r="AV172" s="7432">
        <f>AU172*AV173</f>
        <v>167424.716973167</v>
      </c>
      <c r="AW172" s="7432">
        <f>AV172*AW173</f>
        <v>172380.488595573</v>
      </c>
      <c r="AX172" s="7432">
        <f>AW172*AX173</f>
        <v>177482.951058002</v>
      </c>
      <c r="AY172" s="1237">
        <f>AX172*AY173</f>
        <v>177482.951058002</v>
      </c>
      <c r="AZ172" s="1237">
        <f>AY172*AZ173</f>
        <v>177482.951058002</v>
      </c>
      <c r="BA172" s="1237">
        <f>AZ172*BA173</f>
        <v>177482.951058002</v>
      </c>
      <c r="BB172" s="1237">
        <f>BA172*BB173</f>
        <v>177482.951058002</v>
      </c>
      <c r="BC172" s="1237">
        <f>BB172*BC173</f>
        <v>177482.951058002</v>
      </c>
      <c r="BD172" s="778">
        <f>IF(AI172=0,0,(AT172-AI172)/AI172*100)</f>
        <v>0</v>
      </c>
      <c r="BE172" s="778">
        <f>IF(AT172=0,0,(AU172-AT172)/AT172*100)</f>
        <v>2.95999999999994</v>
      </c>
      <c r="BF172" s="778">
        <f>IF(AU172=0,0,(AV172-AU172)/AU172*100)</f>
        <v>2.96000000000027</v>
      </c>
      <c r="BG172" s="778">
        <f>IF(AV172=0,0,(AW172-AV172)/AV172*100)</f>
        <v>2.96000000000015</v>
      </c>
      <c r="BH172" s="778">
        <f>IF(AW172=0,0,(AX172-AW172)/AW172*100)</f>
        <v>2.96000000000003</v>
      </c>
      <c r="BI172" s="778">
        <f>IF(AX172=0,0,(AY172-AX172)/AX172*100)</f>
        <v>0</v>
      </c>
      <c r="BJ172" s="778">
        <f>IF(AY172=0,0,(AZ172-AY172)/AY172*100)</f>
        <v>0</v>
      </c>
      <c r="BK172" s="778">
        <f>IF(AZ172=0,0,(BA172-AZ172)/AZ172*100)</f>
        <v>0</v>
      </c>
      <c r="BL172" s="778">
        <f>IF(BA172=0,0,(BB172-BA172)/BA172*100)</f>
        <v>0</v>
      </c>
      <c r="BM172" s="778">
        <f>IF(BB172=0,0,(BC172-BB172)/BB172*100)</f>
        <v>0</v>
      </c>
      <c r="BN172" s="7433"/>
      <c r="BO172" s="7433" t="s">
        <v>2913</v>
      </c>
      <c r="BP172" s="7433"/>
      <c r="BQ172" s="160"/>
      <c r="BR172" s="161"/>
      <c r="BS172" s="1068" t="s">
        <v>1239</v>
      </c>
      <c r="BT172" s="1068"/>
      <c r="BU172" s="1068"/>
      <c r="BV172" s="705"/>
      <c r="BW172" s="705"/>
    </row>
    <row s="1834" customFormat="1" customHeight="1" ht="75.75">
      <c r="A173" s="1278"/>
      <c r="B173" s="978"/>
      <c r="C173" s="107"/>
      <c r="D173" s="107"/>
      <c r="E173" s="621">
        <v>15</v>
      </c>
      <c r="F173" s="50" cm="1" t="str">
        <f t="array" ref="F173:F173">OFFSET(E173,-1,1)</f>
        <v>1</v>
      </c>
      <c r="G173" s="107"/>
      <c r="H173" s="857"/>
      <c r="I173" s="857" t="s">
        <v>1175</v>
      </c>
      <c r="J173" s="107"/>
      <c r="K173" s="378" t="s">
        <v>1175</v>
      </c>
      <c r="L173" s="980"/>
      <c r="M173" s="107"/>
      <c r="N173" s="107"/>
      <c r="O173" s="107"/>
      <c r="P173" s="107"/>
      <c r="Q173" s="107"/>
      <c r="R173" s="107"/>
      <c r="S173" s="107"/>
      <c r="T173" s="465" cm="1" t="str">
        <f t="array" ref="T173:T173">T172</f>
        <v>true</v>
      </c>
      <c r="U173" s="107"/>
      <c r="V173" s="107"/>
      <c r="W173" s="107"/>
      <c r="X173" s="1596"/>
      <c r="Y173" s="1278"/>
      <c r="Z173" s="1546"/>
      <c r="AA173" s="1278"/>
      <c r="AB173" s="300" t="s">
        <v>1628</v>
      </c>
      <c r="AC173" s="762" t="s">
        <v>2637</v>
      </c>
      <c r="AD173" s="300"/>
      <c r="AE173" s="7434"/>
      <c r="AF173" s="7434"/>
      <c r="AG173" s="7434"/>
      <c r="AH173" s="1113">
        <f>AG173-AF173</f>
        <v>0</v>
      </c>
      <c r="AI173" s="7434"/>
      <c r="AJ173" s="7434"/>
      <c r="AK173" s="7435">
        <f>_xlfn.SUMIFS(INDEX(Сценарии!$AE$25:$BF$163,,MATCH(AK$8,Сценарии!$AE$8:$BF$8,0)),Сценарии!$F$25:$F$163,$F173,Сценарии!$G$25:$G$163,"ИОР")</f>
        <v>1.0296</v>
      </c>
      <c r="AL173" s="7435">
        <f>_xlfn.SUMIFS(INDEX(Сценарии!$AE$25:$BF$163,,MATCH(AL$8,Сценарии!$AE$8:$BF$8,0)),Сценарии!$F$25:$F$163,$F173,Сценарии!$G$25:$G$163,"ИОР")</f>
        <v>1.0296</v>
      </c>
      <c r="AM173" s="7435">
        <f>_xlfn.SUMIFS(INDEX(Сценарии!$AE$25:$BF$163,,MATCH(AM$8,Сценарии!$AE$8:$BF$8,0)),Сценарии!$F$25:$F$163,$F173,Сценарии!$G$25:$G$163,"ИОР")</f>
        <v>1.0296</v>
      </c>
      <c r="AN173" s="7435">
        <f>_xlfn.SUMIFS(INDEX(Сценарии!$AE$25:$BF$163,,MATCH(AN$8,Сценарии!$AE$8:$BF$8,0)),Сценарии!$F$25:$F$163,$F173,Сценарии!$G$25:$G$163,"ИОР")</f>
        <v>1.0296</v>
      </c>
      <c r="AO173" s="1239">
        <f>_xlfn.SUMIFS(INDEX(Сценарии!$AE$25:$BF$163,,MATCH(AO$8,Сценарии!$AE$8:$BF$8,0)),Сценарии!$F$25:$F$163,$F173,Сценарии!$G$25:$G$163,"ИОР")</f>
        <v>1</v>
      </c>
      <c r="AP173" s="1239">
        <f>_xlfn.SUMIFS(INDEX(Сценарии!$AE$25:$BF$163,,MATCH(AP$8,Сценарии!$AE$8:$BF$8,0)),Сценарии!$F$25:$F$163,$F173,Сценарии!$G$25:$G$163,"ИОР")</f>
        <v>1</v>
      </c>
      <c r="AQ173" s="1239">
        <f>_xlfn.SUMIFS(INDEX(Сценарии!$AE$25:$BF$163,,MATCH(AQ$8,Сценарии!$AE$8:$BF$8,0)),Сценарии!$F$25:$F$163,$F173,Сценарии!$G$25:$G$163,"ИОР")</f>
        <v>1</v>
      </c>
      <c r="AR173" s="1239">
        <f>_xlfn.SUMIFS(INDEX(Сценарии!$AE$25:$BF$163,,MATCH(AR$8,Сценарии!$AE$8:$BF$8,0)),Сценарии!$F$25:$F$163,$F173,Сценарии!$G$25:$G$163,"ИОР")</f>
        <v>1</v>
      </c>
      <c r="AS173" s="1239">
        <f>_xlfn.SUMIFS(INDEX(Сценарии!$AE$25:$BF$163,,MATCH(AS$8,Сценарии!$AE$8:$BF$8,0)),Сценарии!$F$25:$F$163,$F173,Сценарии!$G$25:$G$163,"ИОР")</f>
        <v>1</v>
      </c>
      <c r="AT173" s="7434"/>
      <c r="AU173" s="7435">
        <f>_xlfn.SUMIFS(INDEX(Сценарии!$AE$25:$BF$163,,MATCH(AU$8,Сценарии!$AE$8:$BF$8,0)),Сценарии!$F$25:$F$163,$F173,Сценарии!$G$25:$G$163,"ИОР")</f>
        <v>1.0296</v>
      </c>
      <c r="AV173" s="7435">
        <f>_xlfn.SUMIFS(INDEX(Сценарии!$AE$25:$BF$163,,MATCH(AV$8,Сценарии!$AE$8:$BF$8,0)),Сценарии!$F$25:$F$163,$F173,Сценарии!$G$25:$G$163,"ИОР")</f>
        <v>1.0296</v>
      </c>
      <c r="AW173" s="7435">
        <f>_xlfn.SUMIFS(INDEX(Сценарии!$AE$25:$BF$163,,MATCH(AW$8,Сценарии!$AE$8:$BF$8,0)),Сценарии!$F$25:$F$163,$F173,Сценарии!$G$25:$G$163,"ИОР")</f>
        <v>1.0296</v>
      </c>
      <c r="AX173" s="7435">
        <f>_xlfn.SUMIFS(INDEX(Сценарии!$AE$25:$BF$163,,MATCH(AX$8,Сценарии!$AE$8:$BF$8,0)),Сценарии!$F$25:$F$163,$F173,Сценарии!$G$25:$G$163,"ИОР")</f>
        <v>1.0296</v>
      </c>
      <c r="AY173" s="1239">
        <f>_xlfn.SUMIFS(INDEX(Сценарии!$AE$25:$BF$163,,MATCH(AY$8,Сценарии!$AE$8:$BF$8,0)),Сценарии!$F$25:$F$163,$F173,Сценарии!$G$25:$G$163,"ИОР")</f>
        <v>1</v>
      </c>
      <c r="AZ173" s="1239">
        <f>_xlfn.SUMIFS(INDEX(Сценарии!$AE$25:$BF$163,,MATCH(AZ$8,Сценарии!$AE$8:$BF$8,0)),Сценарии!$F$25:$F$163,$F173,Сценарии!$G$25:$G$163,"ИОР")</f>
        <v>1</v>
      </c>
      <c r="BA173" s="1239">
        <f>_xlfn.SUMIFS(INDEX(Сценарии!$AE$25:$BF$163,,MATCH(BA$8,Сценарии!$AE$8:$BF$8,0)),Сценарии!$F$25:$F$163,$F173,Сценарии!$G$25:$G$163,"ИОР")</f>
        <v>1</v>
      </c>
      <c r="BB173" s="1239">
        <f>_xlfn.SUMIFS(INDEX(Сценарии!$AE$25:$BF$163,,MATCH(BB$8,Сценарии!$AE$8:$BF$8,0)),Сценарии!$F$25:$F$163,$F173,Сценарии!$G$25:$G$163,"ИОР")</f>
        <v>1</v>
      </c>
      <c r="BC173" s="1239">
        <f>_xlfn.SUMIFS(INDEX(Сценарии!$AE$25:$BF$163,,MATCH(BC$8,Сценарии!$AE$8:$BF$8,0)),Сценарии!$F$25:$F$163,$F173,Сценарии!$G$25:$G$163,"ИОР")</f>
        <v>1</v>
      </c>
      <c r="BD173" s="1114">
        <f>IF(AI173=0,0,(AT173-AI173)/AI173*100)</f>
        <v>0</v>
      </c>
      <c r="BE173" s="1115"/>
      <c r="BF173" s="1115"/>
      <c r="BG173" s="1115"/>
      <c r="BH173" s="1115"/>
      <c r="BI173" s="1115"/>
      <c r="BJ173" s="1115"/>
      <c r="BK173" s="1115"/>
      <c r="BL173" s="1115"/>
      <c r="BM173" s="1115"/>
      <c r="BN173" s="7433"/>
      <c r="BO173" s="7433" t="s">
        <v>2914</v>
      </c>
      <c r="BP173" s="7433"/>
      <c r="BQ173" s="1278"/>
      <c r="BR173" s="1278"/>
      <c r="BS173" s="1064" t="s">
        <v>2638</v>
      </c>
      <c r="BT173" s="1064"/>
      <c r="BU173" s="1064"/>
      <c r="BV173" s="979"/>
      <c r="BW173" s="979"/>
    </row>
    <row s="434" customFormat="1" customHeight="1" ht="70.359375">
      <c r="A174" s="160"/>
      <c r="B174" s="434"/>
      <c r="C174" s="858"/>
      <c r="D174" s="858"/>
      <c r="E174" s="859">
        <v>21</v>
      </c>
      <c r="F174" s="50" cm="1" t="str">
        <f t="array" ref="F174:F174">OFFSET(E174,-1,1)</f>
        <v>1</v>
      </c>
      <c r="G174" s="858"/>
      <c r="H174" s="112"/>
      <c r="I174" s="112" t="s">
        <v>1179</v>
      </c>
      <c r="J174" s="858"/>
      <c r="K174" s="377" t="s">
        <v>1179</v>
      </c>
      <c r="L174" s="984" t="s">
        <v>332</v>
      </c>
      <c r="M174" s="858"/>
      <c r="N174" s="858"/>
      <c r="O174" s="858"/>
      <c r="P174" s="858"/>
      <c r="Q174" s="858"/>
      <c r="R174" s="858"/>
      <c r="S174" s="858"/>
      <c r="T174" s="465" cm="1" t="str">
        <f t="array" ref="T174:T174">T173</f>
        <v>true</v>
      </c>
      <c r="U174" s="858"/>
      <c r="V174" s="858"/>
      <c r="W174" s="858"/>
      <c r="X174" s="1596"/>
      <c r="Y174" s="160"/>
      <c r="Z174" s="1546"/>
      <c r="AA174" s="160"/>
      <c r="AB174" s="234" t="s">
        <v>1631</v>
      </c>
      <c r="AC174" s="361" t="s">
        <v>2434</v>
      </c>
      <c r="AD174" s="234" t="s">
        <v>1514</v>
      </c>
      <c r="AE174" s="778">
        <f>SUM(AE175,AE178,AE179,AE182,AE183)</f>
        <v>0</v>
      </c>
      <c r="AF174" s="778">
        <f>SUM(AF175,AF178,AF179,AF182,AF183)</f>
        <v>0</v>
      </c>
      <c r="AG174" s="778">
        <f>SUM(AG175,AG178,AG179,AG182,AG183)</f>
        <v>0</v>
      </c>
      <c r="AH174" s="778">
        <f>AG174-AF174</f>
        <v>0</v>
      </c>
      <c r="AI174" s="778">
        <f>SUM(AI175,AI178,AI179,AI182,AI183)</f>
        <v>0</v>
      </c>
      <c r="AJ174" s="778">
        <f>SUM(AJ175,AJ178,AJ179,AJ182,AJ183)</f>
        <v>117087.864677743</v>
      </c>
      <c r="AK174" s="216"/>
      <c r="AL174" s="216"/>
      <c r="AM174" s="216"/>
      <c r="AN174" s="216"/>
      <c r="AO174" s="216"/>
      <c r="AP174" s="216"/>
      <c r="AQ174" s="216"/>
      <c r="AR174" s="216"/>
      <c r="AS174" s="216"/>
      <c r="AT174" s="778">
        <f>SUM(AT175,AT178,AT179,AT182,AT183)</f>
        <v>117087.866677743</v>
      </c>
      <c r="AU174" s="216"/>
      <c r="AV174" s="216"/>
      <c r="AW174" s="216"/>
      <c r="AX174" s="216"/>
      <c r="AY174" s="216"/>
      <c r="AZ174" s="216"/>
      <c r="BA174" s="216"/>
      <c r="BB174" s="216"/>
      <c r="BC174" s="216"/>
      <c r="BD174" s="778">
        <f>IF(AI174=0,0,(AT174-AI174)/AI174*100)</f>
        <v>0</v>
      </c>
      <c r="BE174" s="216"/>
      <c r="BF174" s="216"/>
      <c r="BG174" s="216"/>
      <c r="BH174" s="216"/>
      <c r="BI174" s="216"/>
      <c r="BJ174" s="216"/>
      <c r="BK174" s="216"/>
      <c r="BL174" s="216"/>
      <c r="BM174" s="216"/>
      <c r="BN174" s="7436"/>
      <c r="BO174" s="7436" t="s">
        <v>2915</v>
      </c>
      <c r="BP174" s="7436"/>
      <c r="BQ174" s="160"/>
      <c r="BR174" s="160"/>
      <c r="BS174" s="1062" t="s">
        <v>1230</v>
      </c>
      <c r="BT174" s="1069"/>
      <c r="BU174" s="1069"/>
      <c r="BV174" s="706"/>
      <c r="BW174" s="706"/>
    </row>
    <row s="1834" customFormat="1" customHeight="1" ht="23.25">
      <c r="A175" s="1278"/>
      <c r="B175" s="978"/>
      <c r="C175" s="107"/>
      <c r="D175" s="107"/>
      <c r="E175" s="621">
        <v>15</v>
      </c>
      <c r="F175" s="50" cm="1" t="str">
        <f t="array" ref="F175:F175">OFFSET(E175,-1,1)</f>
        <v>1</v>
      </c>
      <c r="G175" s="107"/>
      <c r="H175" s="857"/>
      <c r="I175" s="857" t="s">
        <v>2068</v>
      </c>
      <c r="J175" s="107"/>
      <c r="K175" s="378" t="s">
        <v>2068</v>
      </c>
      <c r="L175" s="980" t="s">
        <v>1175</v>
      </c>
      <c r="M175" s="107"/>
      <c r="N175" s="107"/>
      <c r="O175" s="107"/>
      <c r="P175" s="107"/>
      <c r="Q175" s="107"/>
      <c r="R175" s="107"/>
      <c r="S175" s="107"/>
      <c r="T175" s="465" cm="1" t="str">
        <f t="array" ref="T175:T175">T174</f>
        <v>true</v>
      </c>
      <c r="U175" s="107"/>
      <c r="V175" s="107"/>
      <c r="W175" s="107"/>
      <c r="X175" s="1596"/>
      <c r="Y175" s="1278"/>
      <c r="Z175" s="1546"/>
      <c r="AA175" s="1278"/>
      <c r="AB175" s="300" t="s">
        <v>2069</v>
      </c>
      <c r="AC175" s="765" t="s">
        <v>2639</v>
      </c>
      <c r="AD175" s="766" t="s">
        <v>1514</v>
      </c>
      <c r="AE175" s="1114">
        <f>SUM(AE176,AE177)</f>
        <v>0</v>
      </c>
      <c r="AF175" s="1114">
        <f>SUM(AF176,AF177)</f>
        <v>0</v>
      </c>
      <c r="AG175" s="1114">
        <f>SUM(AG176,AG177)</f>
        <v>0</v>
      </c>
      <c r="AH175" s="1114">
        <f>AG175-AF175</f>
        <v>0</v>
      </c>
      <c r="AI175" s="1114">
        <f>SUM(AI176,AI177)</f>
        <v>0</v>
      </c>
      <c r="AJ175" s="1114">
        <f>SUM(AJ176,AJ177)</f>
        <v>3950.352593</v>
      </c>
      <c r="AK175" s="1115"/>
      <c r="AL175" s="1115"/>
      <c r="AM175" s="1115"/>
      <c r="AN175" s="1115"/>
      <c r="AO175" s="1115"/>
      <c r="AP175" s="1115"/>
      <c r="AQ175" s="1115"/>
      <c r="AR175" s="1115"/>
      <c r="AS175" s="1115"/>
      <c r="AT175" s="1114">
        <f>SUM(AT176,AT177)</f>
        <v>3950.352593</v>
      </c>
      <c r="AU175" s="1115"/>
      <c r="AV175" s="1115"/>
      <c r="AW175" s="1115"/>
      <c r="AX175" s="1115"/>
      <c r="AY175" s="1115"/>
      <c r="AZ175" s="1115"/>
      <c r="BA175" s="1115"/>
      <c r="BB175" s="1115"/>
      <c r="BC175" s="1115"/>
      <c r="BD175" s="1114">
        <f>IF(AI175=0,0,(AT175-AI175)/AI175*100)</f>
        <v>0</v>
      </c>
      <c r="BE175" s="1115"/>
      <c r="BF175" s="1115"/>
      <c r="BG175" s="1115"/>
      <c r="BH175" s="1115"/>
      <c r="BI175" s="1115"/>
      <c r="BJ175" s="1115"/>
      <c r="BK175" s="1115"/>
      <c r="BL175" s="1115"/>
      <c r="BM175" s="1115"/>
      <c r="BN175" s="7433"/>
      <c r="BO175" s="7433"/>
      <c r="BP175" s="7433"/>
      <c r="BQ175" s="110"/>
      <c r="BR175" s="1278"/>
      <c r="BS175" s="1063" t="s">
        <v>2436</v>
      </c>
      <c r="BT175" s="1064"/>
      <c r="BU175" s="1064"/>
      <c r="BV175" s="979"/>
      <c r="BW175" s="979"/>
    </row>
    <row s="1834" customFormat="1" customHeight="1" ht="44.25">
      <c r="A176" s="1278"/>
      <c r="B176" s="978"/>
      <c r="C176" s="107"/>
      <c r="D176" s="107"/>
      <c r="E176" s="621">
        <v>15</v>
      </c>
      <c r="F176" s="50" cm="1" t="str">
        <f t="array" ref="F176:F176">OFFSET(E176,-1,1)</f>
        <v>1</v>
      </c>
      <c r="G176" s="107"/>
      <c r="H176" s="857"/>
      <c r="I176" s="857" t="s">
        <v>2640</v>
      </c>
      <c r="J176" s="107"/>
      <c r="K176" s="378" t="s">
        <v>2640</v>
      </c>
      <c r="L176" s="980" t="s">
        <v>1739</v>
      </c>
      <c r="M176" s="107"/>
      <c r="N176" s="107"/>
      <c r="O176" s="107"/>
      <c r="P176" s="107"/>
      <c r="Q176" s="107"/>
      <c r="R176" s="107"/>
      <c r="S176" s="107"/>
      <c r="T176" s="465" cm="1" t="str">
        <f t="array" ref="T176:T176">T175</f>
        <v>true</v>
      </c>
      <c r="U176" s="107"/>
      <c r="V176" s="107"/>
      <c r="W176" s="107"/>
      <c r="X176" s="1596"/>
      <c r="Y176" s="1278"/>
      <c r="Z176" s="1546"/>
      <c r="AA176" s="1278"/>
      <c r="AB176" s="300" t="s">
        <v>2641</v>
      </c>
      <c r="AC176" s="768" t="s">
        <v>2439</v>
      </c>
      <c r="AD176" s="766" t="s">
        <v>1514</v>
      </c>
      <c r="AE176" s="1743">
        <f>_xlfn.SUMIFS('Сырье и материалы'!AE$25:AE$162,'Сырье и материалы'!$F$25:$F$162,$F176,'Сырье и материалы'!$I$25:$I$162,"Горюче-смазочные материалы")</f>
        <v>0</v>
      </c>
      <c r="AF176" s="1743">
        <f>_xlfn.SUMIFS('Сырье и материалы'!AF$25:AF$162,'Сырье и материалы'!$F$25:$F$162,$F176,'Сырье и материалы'!$I$25:$I$162,"Горюче-смазочные материалы")</f>
        <v>0</v>
      </c>
      <c r="AG176" s="1743">
        <f>_xlfn.SUMIFS('Сырье и материалы'!AG$25:AG$162,'Сырье и материалы'!$F$25:$F$162,$F176,'Сырье и материалы'!$I$25:$I$162,"Горюче-смазочные материалы")</f>
        <v>0</v>
      </c>
      <c r="AH176" s="1114">
        <f>AG176-AF176</f>
        <v>0</v>
      </c>
      <c r="AI176" s="1743">
        <f>_xlfn.SUMIFS('Сырье и материалы'!AH$25:AH$162,'Сырье и материалы'!$F$25:$F$162,$F176,'Сырье и материалы'!$I$25:$I$162,"Горюче-смазочные материалы")</f>
        <v>0</v>
      </c>
      <c r="AJ176" s="1743">
        <f>_xlfn.SUMIFS('Сырье и материалы'!AI$25:AI$162,'Сырье и материалы'!$F$25:$F$162,$F176,'Сырье и материалы'!$I$25:$I$162,"Горюче-смазочные материалы")</f>
        <v>863</v>
      </c>
      <c r="AK176" s="1115"/>
      <c r="AL176" s="1115"/>
      <c r="AM176" s="1115"/>
      <c r="AN176" s="1115"/>
      <c r="AO176" s="1115"/>
      <c r="AP176" s="1115"/>
      <c r="AQ176" s="1115"/>
      <c r="AR176" s="1115"/>
      <c r="AS176" s="1115"/>
      <c r="AT176" s="1743">
        <f>_xlfn.SUMIFS('Сырье и материалы'!AS$25:AS$162,'Сырье и материалы'!$F$25:$F$162,$F176,'Сырье и материалы'!$I$25:$I$162,"Горюче-смазочные материалы")</f>
        <v>863</v>
      </c>
      <c r="AU176" s="1115"/>
      <c r="AV176" s="1115"/>
      <c r="AW176" s="1115"/>
      <c r="AX176" s="1115"/>
      <c r="AY176" s="1115"/>
      <c r="AZ176" s="1115"/>
      <c r="BA176" s="1115"/>
      <c r="BB176" s="1115"/>
      <c r="BC176" s="1115"/>
      <c r="BD176" s="1114">
        <f>IF(AI176=0,0,(AT176-AI176)/AI176*100)</f>
        <v>0</v>
      </c>
      <c r="BE176" s="1115"/>
      <c r="BF176" s="1115"/>
      <c r="BG176" s="1115"/>
      <c r="BH176" s="1115"/>
      <c r="BI176" s="1115"/>
      <c r="BJ176" s="1115"/>
      <c r="BK176" s="1115"/>
      <c r="BL176" s="1115"/>
      <c r="BM176" s="1115"/>
      <c r="BN176" s="7433"/>
      <c r="BO176" s="7433" t="s">
        <v>2916</v>
      </c>
      <c r="BP176" s="7433"/>
      <c r="BQ176" s="1278"/>
      <c r="BR176" s="1278"/>
      <c r="BS176" s="1062" t="s">
        <v>2440</v>
      </c>
      <c r="BT176" s="1064"/>
      <c r="BU176" s="1064"/>
      <c r="BV176" s="979"/>
      <c r="BW176" s="979"/>
    </row>
    <row s="1834" customFormat="1" customHeight="1" ht="75.75">
      <c r="A177" s="1278"/>
      <c r="B177" s="978"/>
      <c r="C177" s="107"/>
      <c r="D177" s="107"/>
      <c r="E177" s="621">
        <v>15</v>
      </c>
      <c r="F177" s="50" cm="1" t="str">
        <f t="array" ref="F177:F177">OFFSET(E177,-1,1)</f>
        <v>1</v>
      </c>
      <c r="G177" s="107"/>
      <c r="H177" s="857"/>
      <c r="I177" s="857" t="s">
        <v>2642</v>
      </c>
      <c r="J177" s="107"/>
      <c r="K177" s="378" t="s">
        <v>2642</v>
      </c>
      <c r="L177" s="980" t="s">
        <v>2043</v>
      </c>
      <c r="M177" s="107"/>
      <c r="N177" s="107"/>
      <c r="O177" s="107"/>
      <c r="P177" s="107"/>
      <c r="Q177" s="107"/>
      <c r="R177" s="107"/>
      <c r="S177" s="107"/>
      <c r="T177" s="465" cm="1" t="str">
        <f t="array" ref="T177:T177">T176</f>
        <v>true</v>
      </c>
      <c r="U177" s="107"/>
      <c r="V177" s="107"/>
      <c r="W177" s="107"/>
      <c r="X177" s="1596"/>
      <c r="Y177" s="1278"/>
      <c r="Z177" s="1546"/>
      <c r="AA177" s="1278"/>
      <c r="AB177" s="300" t="s">
        <v>2643</v>
      </c>
      <c r="AC177" s="768" t="s">
        <v>2441</v>
      </c>
      <c r="AD177" s="766" t="s">
        <v>1514</v>
      </c>
      <c r="AE177" s="1743">
        <f>_xlfn.SUMIFS('Сырье и материалы'!AE$25:AE$162,'Сырье и материалы'!$F$25:$F$162,$F177,'Сырье и материалы'!$I$25:$I$162,"Материалы")</f>
        <v>0</v>
      </c>
      <c r="AF177" s="1743">
        <f>_xlfn.SUMIFS('Сырье и материалы'!AF$25:AF$162,'Сырье и материалы'!$F$25:$F$162,$F177,'Сырье и материалы'!$I$25:$I$162,"Материалы")</f>
        <v>0</v>
      </c>
      <c r="AG177" s="1743">
        <f>_xlfn.SUMIFS('Сырье и материалы'!AG$25:AG$162,'Сырье и материалы'!$F$25:$F$162,$F177,'Сырье и материалы'!$I$25:$I$162,"Материалы")</f>
        <v>0</v>
      </c>
      <c r="AH177" s="1114">
        <f>AG177-AF177</f>
        <v>0</v>
      </c>
      <c r="AI177" s="1743">
        <f>_xlfn.SUMIFS('Сырье и материалы'!AH$25:AH$162,'Сырье и материалы'!$F$25:$F$162,$F177,'Сырье и материалы'!$I$25:$I$162,"Материалы")</f>
        <v>0</v>
      </c>
      <c r="AJ177" s="1743">
        <f>_xlfn.SUMIFS('Сырье и материалы'!AI$25:AI$162,'Сырье и материалы'!$F$25:$F$162,$F177,'Сырье и материалы'!$I$25:$I$162,"Материалы")</f>
        <v>3087.352593</v>
      </c>
      <c r="AK177" s="1115"/>
      <c r="AL177" s="1115"/>
      <c r="AM177" s="1115"/>
      <c r="AN177" s="1115"/>
      <c r="AO177" s="1115"/>
      <c r="AP177" s="1115"/>
      <c r="AQ177" s="1115"/>
      <c r="AR177" s="1115"/>
      <c r="AS177" s="1115"/>
      <c r="AT177" s="1743">
        <f>_xlfn.SUMIFS('Сырье и материалы'!AS$25:AS$162,'Сырье и материалы'!$F$25:$F$162,$F177,'Сырье и материалы'!$I$25:$I$162,"Материалы")</f>
        <v>3087.352593</v>
      </c>
      <c r="AU177" s="1115"/>
      <c r="AV177" s="1115"/>
      <c r="AW177" s="1115"/>
      <c r="AX177" s="1115"/>
      <c r="AY177" s="1115"/>
      <c r="AZ177" s="1115"/>
      <c r="BA177" s="1115"/>
      <c r="BB177" s="1115"/>
      <c r="BC177" s="1115"/>
      <c r="BD177" s="1114">
        <f>IF(AI177=0,0,(AT177-AI177)/AI177*100)</f>
        <v>0</v>
      </c>
      <c r="BE177" s="1115"/>
      <c r="BF177" s="1115"/>
      <c r="BG177" s="1115"/>
      <c r="BH177" s="1115"/>
      <c r="BI177" s="1115"/>
      <c r="BJ177" s="1115"/>
      <c r="BK177" s="1115"/>
      <c r="BL177" s="1115"/>
      <c r="BM177" s="1115"/>
      <c r="BN177" s="7433"/>
      <c r="BO177" s="7433" t="s">
        <v>2917</v>
      </c>
      <c r="BP177" s="7433"/>
      <c r="BQ177" s="1278"/>
      <c r="BR177" s="1278"/>
      <c r="BS177" s="1062" t="s">
        <v>2442</v>
      </c>
      <c r="BT177" s="1064"/>
      <c r="BU177" s="1064"/>
      <c r="BV177" s="979"/>
      <c r="BW177" s="979"/>
    </row>
    <row s="1834" customFormat="1" customHeight="1" ht="54.75">
      <c r="A178" s="1278"/>
      <c r="B178" s="978"/>
      <c r="C178" s="107"/>
      <c r="D178" s="107"/>
      <c r="E178" s="621">
        <v>22.5</v>
      </c>
      <c r="F178" s="50" cm="1" t="str">
        <f t="array" ref="F178:F178">OFFSET(E178,-1,1)</f>
        <v>1</v>
      </c>
      <c r="G178" s="107"/>
      <c r="H178" s="857"/>
      <c r="I178" s="857" t="s">
        <v>2071</v>
      </c>
      <c r="J178" s="107"/>
      <c r="K178" s="378" t="s">
        <v>2071</v>
      </c>
      <c r="L178" s="980" t="s">
        <v>1182</v>
      </c>
      <c r="M178" s="107"/>
      <c r="N178" s="107"/>
      <c r="O178" s="107"/>
      <c r="P178" s="107"/>
      <c r="Q178" s="107"/>
      <c r="R178" s="107"/>
      <c r="S178" s="107"/>
      <c r="T178" s="465" cm="1" t="str">
        <f t="array" ref="T178:T178">T177</f>
        <v>true</v>
      </c>
      <c r="U178" s="107"/>
      <c r="V178" s="107"/>
      <c r="W178" s="107"/>
      <c r="X178" s="1596"/>
      <c r="Y178" s="1278"/>
      <c r="Z178" s="1546"/>
      <c r="AA178" s="1278"/>
      <c r="AB178" s="300" t="s">
        <v>2072</v>
      </c>
      <c r="AC178" s="765" t="s">
        <v>2644</v>
      </c>
      <c r="AD178" s="766" t="s">
        <v>1514</v>
      </c>
      <c r="AE178" s="3946"/>
      <c r="AF178" s="3946"/>
      <c r="AG178" s="3946"/>
      <c r="AH178" s="1114">
        <f>AG178-AF178</f>
        <v>0</v>
      </c>
      <c r="AI178" s="3946"/>
      <c r="AJ178" s="3946">
        <v>454.77196392</v>
      </c>
      <c r="AK178" s="1115"/>
      <c r="AL178" s="1115"/>
      <c r="AM178" s="1115"/>
      <c r="AN178" s="1115"/>
      <c r="AO178" s="1115"/>
      <c r="AP178" s="1115"/>
      <c r="AQ178" s="1115"/>
      <c r="AR178" s="1115"/>
      <c r="AS178" s="1115"/>
      <c r="AT178" s="3946">
        <f>421.524714+(2.63616*12*1.051)</f>
        <v>454.77196392</v>
      </c>
      <c r="AU178" s="1115"/>
      <c r="AV178" s="1115"/>
      <c r="AW178" s="1115"/>
      <c r="AX178" s="1115"/>
      <c r="AY178" s="1115"/>
      <c r="AZ178" s="1115"/>
      <c r="BA178" s="1115"/>
      <c r="BB178" s="1115"/>
      <c r="BC178" s="1115"/>
      <c r="BD178" s="1114">
        <f>IF(AI178=0,0,(AT178-AI178)/AI178*100)</f>
        <v>0</v>
      </c>
      <c r="BE178" s="1115"/>
      <c r="BF178" s="1115"/>
      <c r="BG178" s="1115"/>
      <c r="BH178" s="1115"/>
      <c r="BI178" s="1115"/>
      <c r="BJ178" s="1115"/>
      <c r="BK178" s="1115"/>
      <c r="BL178" s="1115"/>
      <c r="BM178" s="1115"/>
      <c r="BN178" s="7433"/>
      <c r="BO178" s="7433" t="s">
        <v>2918</v>
      </c>
      <c r="BP178" s="7433"/>
      <c r="BQ178" s="1278"/>
      <c r="BR178" s="1278"/>
      <c r="BS178" s="1063" t="s">
        <v>2467</v>
      </c>
      <c r="BT178" s="1064"/>
      <c r="BU178" s="1064"/>
      <c r="BV178" s="979"/>
      <c r="BW178" s="979"/>
    </row>
    <row s="1834" customFormat="1" customHeight="1" ht="33.75">
      <c r="A179" s="1278"/>
      <c r="B179" s="978"/>
      <c r="C179" s="107"/>
      <c r="D179" s="107"/>
      <c r="E179" s="621">
        <v>22.5</v>
      </c>
      <c r="F179" s="50" cm="1" t="str">
        <f t="array" ref="F179:F179">OFFSET(E179,-1,1)</f>
        <v>1</v>
      </c>
      <c r="G179" s="107"/>
      <c r="H179" s="857"/>
      <c r="I179" s="857" t="s">
        <v>2075</v>
      </c>
      <c r="J179" s="107"/>
      <c r="K179" s="378" t="s">
        <v>2075</v>
      </c>
      <c r="L179" s="980" t="s">
        <v>1186</v>
      </c>
      <c r="M179" s="107"/>
      <c r="N179" s="107"/>
      <c r="O179" s="107"/>
      <c r="P179" s="107"/>
      <c r="Q179" s="107"/>
      <c r="R179" s="107"/>
      <c r="S179" s="107"/>
      <c r="T179" s="465" cm="1" t="str">
        <f t="array" ref="T179:T179">T178</f>
        <v>true</v>
      </c>
      <c r="U179" s="107"/>
      <c r="V179" s="107"/>
      <c r="W179" s="107"/>
      <c r="X179" s="1596"/>
      <c r="Y179" s="1278"/>
      <c r="Z179" s="1546"/>
      <c r="AA179" s="1278"/>
      <c r="AB179" s="300" t="s">
        <v>2076</v>
      </c>
      <c r="AC179" s="765" t="s">
        <v>2645</v>
      </c>
      <c r="AD179" s="766" t="s">
        <v>1514</v>
      </c>
      <c r="AE179" s="1116">
        <f>AE180+AE181</f>
        <v>0</v>
      </c>
      <c r="AF179" s="1116">
        <f>AF180+AF181</f>
        <v>0</v>
      </c>
      <c r="AG179" s="1116">
        <f>AG180+AG181</f>
        <v>0</v>
      </c>
      <c r="AH179" s="1114">
        <f>AG179-AF179</f>
        <v>0</v>
      </c>
      <c r="AI179" s="1116">
        <f>AI180+AI181</f>
        <v>0</v>
      </c>
      <c r="AJ179" s="1116">
        <f>AJ180+AJ181</f>
        <v>103317.620081024</v>
      </c>
      <c r="AK179" s="1115"/>
      <c r="AL179" s="1115"/>
      <c r="AM179" s="1115"/>
      <c r="AN179" s="1115"/>
      <c r="AO179" s="1115"/>
      <c r="AP179" s="1115"/>
      <c r="AQ179" s="1115"/>
      <c r="AR179" s="1115"/>
      <c r="AS179" s="1115"/>
      <c r="AT179" s="1116">
        <f>AT180+AT181</f>
        <v>103317.620081024</v>
      </c>
      <c r="AU179" s="1115"/>
      <c r="AV179" s="1115"/>
      <c r="AW179" s="1115"/>
      <c r="AX179" s="1115"/>
      <c r="AY179" s="1115"/>
      <c r="AZ179" s="1115"/>
      <c r="BA179" s="1115"/>
      <c r="BB179" s="1115"/>
      <c r="BC179" s="1115"/>
      <c r="BD179" s="1114">
        <f>IF(AI179=0,0,(AT179-AI179)/AI179*100)</f>
        <v>0</v>
      </c>
      <c r="BE179" s="1115"/>
      <c r="BF179" s="1115"/>
      <c r="BG179" s="1115"/>
      <c r="BH179" s="1115"/>
      <c r="BI179" s="1115"/>
      <c r="BJ179" s="1115"/>
      <c r="BK179" s="1115"/>
      <c r="BL179" s="1115"/>
      <c r="BM179" s="1115"/>
      <c r="BN179" s="7433"/>
      <c r="BO179" s="7433" t="s">
        <v>2919</v>
      </c>
      <c r="BP179" s="7433"/>
      <c r="BQ179" s="1278"/>
      <c r="BR179" s="1278"/>
      <c r="BS179" s="1063" t="s">
        <v>2646</v>
      </c>
      <c r="BT179" s="1064"/>
      <c r="BU179" s="1064"/>
      <c r="BV179" s="979"/>
      <c r="BW179" s="979"/>
    </row>
    <row s="1834" customFormat="1" customHeight="1" ht="23.25">
      <c r="A180" s="1278"/>
      <c r="B180" s="978"/>
      <c r="C180" s="107"/>
      <c r="D180" s="107"/>
      <c r="E180" s="621">
        <v>15</v>
      </c>
      <c r="F180" s="50" cm="1" t="str">
        <f t="array" ref="F180:F180">OFFSET(E180,-1,1)</f>
        <v>1</v>
      </c>
      <c r="G180" s="374" t="s">
        <v>1866</v>
      </c>
      <c r="H180" s="857"/>
      <c r="I180" s="857" t="s">
        <v>2220</v>
      </c>
      <c r="J180" s="107"/>
      <c r="K180" s="378" t="s">
        <v>2220</v>
      </c>
      <c r="L180" s="980" t="s">
        <v>2095</v>
      </c>
      <c r="M180" s="107"/>
      <c r="N180" s="107"/>
      <c r="O180" s="107"/>
      <c r="P180" s="107"/>
      <c r="Q180" s="107"/>
      <c r="R180" s="107"/>
      <c r="S180" s="107"/>
      <c r="T180" s="465" cm="1" t="str">
        <f t="array" ref="T180:T180">T179</f>
        <v>true</v>
      </c>
      <c r="U180" s="107"/>
      <c r="V180" s="107"/>
      <c r="W180" s="107"/>
      <c r="X180" s="1596"/>
      <c r="Y180" s="1278"/>
      <c r="Z180" s="1546"/>
      <c r="AA180" s="1278"/>
      <c r="AB180" s="300" t="s">
        <v>2647</v>
      </c>
      <c r="AC180" s="768" t="s">
        <v>2470</v>
      </c>
      <c r="AD180" s="766" t="s">
        <v>1514</v>
      </c>
      <c r="AE180" s="1114">
        <f>_xlfn.SUMIFS(ФОТ!AE$25:AE$188,ФОТ!$F$25:$F$188,$F180,ФОТ!$G$25:$G$188,$G180)</f>
        <v>0</v>
      </c>
      <c r="AF180" s="1114">
        <f>_xlfn.SUMIFS(ФОТ!AF$25:AF$188,ФОТ!$F$25:$F$188,$F180,ФОТ!$G$25:$G$188,$G180)</f>
        <v>0</v>
      </c>
      <c r="AG180" s="1114">
        <f>_xlfn.SUMIFS(ФОТ!AG$25:AG$188,ФОТ!$F$25:$F$188,$F180,ФОТ!$G$25:$G$188,$G180)</f>
        <v>0</v>
      </c>
      <c r="AH180" s="1114">
        <f>AG180-AF180</f>
        <v>0</v>
      </c>
      <c r="AI180" s="1114">
        <f>_xlfn.SUMIFS(ФОТ!AH$25:AH$188,ФОТ!$F$25:$F$188,$F180,ФОТ!$G$25:$G$188,$G180)</f>
        <v>0</v>
      </c>
      <c r="AJ180" s="1114">
        <f>_xlfn.SUMIFS(ФОТ!AI$25:AI$188,ФОТ!$F$25:$F$188,$F180,ФОТ!$G$25:$G$188,$G180)</f>
        <v>79353.0108149184</v>
      </c>
      <c r="AK180" s="1115"/>
      <c r="AL180" s="1115"/>
      <c r="AM180" s="1115"/>
      <c r="AN180" s="1115"/>
      <c r="AO180" s="1115"/>
      <c r="AP180" s="1115"/>
      <c r="AQ180" s="1115"/>
      <c r="AR180" s="1115"/>
      <c r="AS180" s="1115"/>
      <c r="AT180" s="1114">
        <f>_xlfn.SUMIFS(ФОТ!AJ$25:AJ$188,ФОТ!$F$25:$F$188,$F180,ФОТ!$G$25:$G$188,$G180)</f>
        <v>79353.0108149184</v>
      </c>
      <c r="AU180" s="1115"/>
      <c r="AV180" s="1115"/>
      <c r="AW180" s="1115"/>
      <c r="AX180" s="1115"/>
      <c r="AY180" s="1115"/>
      <c r="AZ180" s="1115"/>
      <c r="BA180" s="1115"/>
      <c r="BB180" s="1115"/>
      <c r="BC180" s="1115"/>
      <c r="BD180" s="1114">
        <f>IF(AI180=0,0,(AT180-AI180)/AI180*100)</f>
        <v>0</v>
      </c>
      <c r="BE180" s="1115"/>
      <c r="BF180" s="1115"/>
      <c r="BG180" s="1115"/>
      <c r="BH180" s="1115"/>
      <c r="BI180" s="1115"/>
      <c r="BJ180" s="1115"/>
      <c r="BK180" s="1115"/>
      <c r="BL180" s="1115"/>
      <c r="BM180" s="1115"/>
      <c r="BN180" s="7433"/>
      <c r="BO180" s="7437" t="s">
        <v>2920</v>
      </c>
      <c r="BP180" s="7433"/>
      <c r="BQ180" s="1278"/>
      <c r="BR180" s="1278"/>
      <c r="BS180" s="1062" t="s">
        <v>2471</v>
      </c>
      <c r="BT180" s="1064"/>
      <c r="BU180" s="1064"/>
      <c r="BV180" s="979"/>
      <c r="BW180" s="979"/>
    </row>
    <row s="1834" customFormat="1" customHeight="1" ht="33.75">
      <c r="A181" s="1278"/>
      <c r="B181" s="978"/>
      <c r="C181" s="107"/>
      <c r="D181" s="107"/>
      <c r="E181" s="621">
        <v>22.5</v>
      </c>
      <c r="F181" s="50" cm="1" t="str">
        <f t="array" ref="F181:F181">OFFSET(E181,-1,1)</f>
        <v>1</v>
      </c>
      <c r="G181" s="374" t="s">
        <v>1878</v>
      </c>
      <c r="H181" s="857"/>
      <c r="I181" s="857" t="s">
        <v>2224</v>
      </c>
      <c r="J181" s="107"/>
      <c r="K181" s="378" t="s">
        <v>2224</v>
      </c>
      <c r="L181" s="980" t="s">
        <v>2096</v>
      </c>
      <c r="M181" s="107"/>
      <c r="N181" s="107"/>
      <c r="O181" s="107"/>
      <c r="P181" s="107"/>
      <c r="Q181" s="107"/>
      <c r="R181" s="107"/>
      <c r="S181" s="107"/>
      <c r="T181" s="465" cm="1" t="str">
        <f t="array" ref="T181:T181">T180</f>
        <v>true</v>
      </c>
      <c r="U181" s="107"/>
      <c r="V181" s="107"/>
      <c r="W181" s="107"/>
      <c r="X181" s="1596"/>
      <c r="Y181" s="1278"/>
      <c r="Z181" s="1546"/>
      <c r="AA181" s="1278"/>
      <c r="AB181" s="300" t="s">
        <v>2648</v>
      </c>
      <c r="AC181" s="768" t="s">
        <v>2649</v>
      </c>
      <c r="AD181" s="766" t="s">
        <v>1514</v>
      </c>
      <c r="AE181" s="1114">
        <f>_xlfn.SUMIFS(ФОТ!AE$25:AE$188,ФОТ!$F$25:$F$188,$F181,ФОТ!$G$25:$G$188,$G181)</f>
        <v>0</v>
      </c>
      <c r="AF181" s="1114">
        <f>_xlfn.SUMIFS(ФОТ!AF$25:AF$188,ФОТ!$F$25:$F$188,$F181,ФОТ!$G$25:$G$188,$G181)</f>
        <v>0</v>
      </c>
      <c r="AG181" s="1114">
        <f>_xlfn.SUMIFS(ФОТ!AG$25:AG$188,ФОТ!$F$25:$F$188,$F181,ФОТ!$G$25:$G$188,$G181)</f>
        <v>0</v>
      </c>
      <c r="AH181" s="1114">
        <f>AG181-AF181</f>
        <v>0</v>
      </c>
      <c r="AI181" s="1114">
        <f>_xlfn.SUMIFS(ФОТ!AH$25:AH$188,ФОТ!$F$25:$F$188,$F181,ФОТ!$G$25:$G$188,$G181)</f>
        <v>0</v>
      </c>
      <c r="AJ181" s="1114">
        <f>_xlfn.SUMIFS(ФОТ!AI$25:AI$188,ФОТ!$F$25:$F$188,$F181,ФОТ!$G$25:$G$188,$G181)</f>
        <v>23964.6092661054</v>
      </c>
      <c r="AK181" s="1115"/>
      <c r="AL181" s="1115"/>
      <c r="AM181" s="1115"/>
      <c r="AN181" s="1115"/>
      <c r="AO181" s="1115"/>
      <c r="AP181" s="1115"/>
      <c r="AQ181" s="1115"/>
      <c r="AR181" s="1115"/>
      <c r="AS181" s="1115"/>
      <c r="AT181" s="1114">
        <f>_xlfn.SUMIFS(ФОТ!AJ$25:AJ$188,ФОТ!$F$25:$F$188,$F181,ФОТ!$G$25:$G$188,$G181)</f>
        <v>23964.6092661054</v>
      </c>
      <c r="AU181" s="1115"/>
      <c r="AV181" s="1115"/>
      <c r="AW181" s="1115"/>
      <c r="AX181" s="1115"/>
      <c r="AY181" s="1115"/>
      <c r="AZ181" s="1115"/>
      <c r="BA181" s="1115"/>
      <c r="BB181" s="1115"/>
      <c r="BC181" s="1115"/>
      <c r="BD181" s="1114">
        <f>IF(AI181=0,0,(AT181-AI181)/AI181*100)</f>
        <v>0</v>
      </c>
      <c r="BE181" s="1115"/>
      <c r="BF181" s="1115"/>
      <c r="BG181" s="1115"/>
      <c r="BH181" s="1115"/>
      <c r="BI181" s="1115"/>
      <c r="BJ181" s="1115"/>
      <c r="BK181" s="1115"/>
      <c r="BL181" s="1115"/>
      <c r="BM181" s="1115"/>
      <c r="BN181" s="7433"/>
      <c r="BO181" s="7437" t="str">
        <f>IF(_xlfn.IFERROR(INDEX(ФОТ!$K$26:$L$188,MATCH($F181&amp;"2komm",ФОТ!$K$26:$K$188,0),2),"")=0,"",_xlfn.IFERROR(INDEX(ФОТ!$K$26:$L$188,MATCH($F181&amp;"2komm",ФОТ!$K$26:$K$188,0),2),""))</f>
        <v>на основании Налогового кодекса РФ (часть вторая) от 05.08.2000 № 117-ФЗ в размере 30%, а также в соответствии с Федеральным законом от 24.07.1998 № 125 – ФЗ (0,20%).</v>
      </c>
      <c r="BP181" s="7433"/>
      <c r="BQ181" s="1278"/>
      <c r="BR181" s="1278"/>
      <c r="BS181" s="1062" t="s">
        <v>2473</v>
      </c>
      <c r="BT181" s="1064"/>
      <c r="BU181" s="1064"/>
      <c r="BV181" s="979"/>
      <c r="BW181" s="979"/>
    </row>
    <row s="1834" customFormat="1" customHeight="1" ht="107.25">
      <c r="A182" s="1278"/>
      <c r="B182" s="978"/>
      <c r="C182" s="107"/>
      <c r="D182" s="107"/>
      <c r="E182" s="621">
        <v>15</v>
      </c>
      <c r="F182" s="50" cm="1" t="str">
        <f t="array" ref="F182:F182">OFFSET(E182,-1,1)</f>
        <v>1</v>
      </c>
      <c r="G182" s="107"/>
      <c r="H182" s="857"/>
      <c r="I182" s="857" t="s">
        <v>2235</v>
      </c>
      <c r="J182" s="107"/>
      <c r="K182" s="378" t="s">
        <v>2235</v>
      </c>
      <c r="L182" s="980" t="s">
        <v>2475</v>
      </c>
      <c r="M182" s="107"/>
      <c r="N182" s="107"/>
      <c r="O182" s="107"/>
      <c r="P182" s="107"/>
      <c r="Q182" s="107"/>
      <c r="R182" s="107"/>
      <c r="S182" s="107"/>
      <c r="T182" s="465" cm="1" t="str">
        <f t="array" ref="T182:T182">T181</f>
        <v>true</v>
      </c>
      <c r="U182" s="107"/>
      <c r="V182" s="107"/>
      <c r="W182" s="107"/>
      <c r="X182" s="1596"/>
      <c r="Y182" s="1278"/>
      <c r="Z182" s="1546"/>
      <c r="AA182" s="1278"/>
      <c r="AB182" s="300" t="s">
        <v>2449</v>
      </c>
      <c r="AC182" s="765" t="s">
        <v>2650</v>
      </c>
      <c r="AD182" s="766" t="s">
        <v>1514</v>
      </c>
      <c r="AE182" s="3946"/>
      <c r="AF182" s="3946"/>
      <c r="AG182" s="3946"/>
      <c r="AH182" s="1114">
        <f>AG182-AF182</f>
        <v>0</v>
      </c>
      <c r="AI182" s="3946"/>
      <c r="AJ182" s="3946">
        <v>2334.15257332</v>
      </c>
      <c r="AK182" s="1115"/>
      <c r="AL182" s="1115"/>
      <c r="AM182" s="1115"/>
      <c r="AN182" s="1115"/>
      <c r="AO182" s="1115"/>
      <c r="AP182" s="1115"/>
      <c r="AQ182" s="1115"/>
      <c r="AR182" s="1115"/>
      <c r="AS182" s="1115"/>
      <c r="AT182" s="3946">
        <f>4.8/5*12*1.051+745.3*2550*1.051/1000+(414.4*1.051*745.3/1000)</f>
        <v>2334.15257332</v>
      </c>
      <c r="AU182" s="1115"/>
      <c r="AV182" s="1115"/>
      <c r="AW182" s="1115"/>
      <c r="AX182" s="1115"/>
      <c r="AY182" s="1115"/>
      <c r="AZ182" s="1115"/>
      <c r="BA182" s="1115"/>
      <c r="BB182" s="1115"/>
      <c r="BC182" s="1115"/>
      <c r="BD182" s="1114">
        <f>IF(AI182=0,0,(AT182-AI182)/AI182*100)</f>
        <v>0</v>
      </c>
      <c r="BE182" s="1115"/>
      <c r="BF182" s="1115"/>
      <c r="BG182" s="1115"/>
      <c r="BH182" s="1115"/>
      <c r="BI182" s="1115"/>
      <c r="BJ182" s="1115"/>
      <c r="BK182" s="1115"/>
      <c r="BL182" s="1115"/>
      <c r="BM182" s="1115"/>
      <c r="BN182" s="7433"/>
      <c r="BO182" s="7433" t="s">
        <v>2921</v>
      </c>
      <c r="BP182" s="7433"/>
      <c r="BQ182" s="1278"/>
      <c r="BR182" s="1278"/>
      <c r="BS182" s="1063" t="s">
        <v>2478</v>
      </c>
      <c r="BT182" s="1064"/>
      <c r="BU182" s="1064"/>
      <c r="BV182" s="979"/>
      <c r="BW182" s="979"/>
    </row>
    <row s="1834" customFormat="1" customHeight="1" ht="14.25">
      <c r="A183" s="1278"/>
      <c r="B183" s="978"/>
      <c r="C183" s="107"/>
      <c r="D183" s="107"/>
      <c r="E183" s="621">
        <v>15</v>
      </c>
      <c r="F183" s="50" cm="1" t="str">
        <f t="array" ref="F183:F183">OFFSET(E183,-1,1)</f>
        <v>1</v>
      </c>
      <c r="G183" s="107"/>
      <c r="H183" s="857"/>
      <c r="I183" s="857" t="s">
        <v>2239</v>
      </c>
      <c r="J183" s="107"/>
      <c r="K183" s="378" t="s">
        <v>2239</v>
      </c>
      <c r="L183" s="980" t="s">
        <v>2479</v>
      </c>
      <c r="M183" s="1278"/>
      <c r="N183" s="107"/>
      <c r="O183" s="107"/>
      <c r="P183" s="107"/>
      <c r="Q183" s="107"/>
      <c r="R183" s="107"/>
      <c r="S183" s="107"/>
      <c r="T183" s="465" cm="1" t="str">
        <f t="array" ref="T183:T183">T182</f>
        <v>true</v>
      </c>
      <c r="U183" s="107"/>
      <c r="V183" s="107"/>
      <c r="W183" s="107"/>
      <c r="X183" s="1596"/>
      <c r="Y183" s="1278"/>
      <c r="Z183" s="1546"/>
      <c r="AA183" s="1278"/>
      <c r="AB183" s="300" t="s">
        <v>2451</v>
      </c>
      <c r="AC183" s="765" t="s">
        <v>2651</v>
      </c>
      <c r="AD183" s="300" t="s">
        <v>1514</v>
      </c>
      <c r="AE183" s="1116">
        <f>SUM(AE184:AE190)</f>
        <v>0</v>
      </c>
      <c r="AF183" s="1116">
        <f>SUM(AF184:AF190)</f>
        <v>0</v>
      </c>
      <c r="AG183" s="1116">
        <f>SUM(AG184:AG190)</f>
        <v>0</v>
      </c>
      <c r="AH183" s="1114">
        <f>AG183-AF183</f>
        <v>0</v>
      </c>
      <c r="AI183" s="1116">
        <f>SUM(AI184:AI190)</f>
        <v>0</v>
      </c>
      <c r="AJ183" s="1116">
        <f>SUM(AJ184:AJ190)</f>
        <v>7030.96746647872</v>
      </c>
      <c r="AK183" s="1115"/>
      <c r="AL183" s="1115"/>
      <c r="AM183" s="1115"/>
      <c r="AN183" s="1115"/>
      <c r="AO183" s="1115"/>
      <c r="AP183" s="1115"/>
      <c r="AQ183" s="1115"/>
      <c r="AR183" s="1115"/>
      <c r="AS183" s="1115"/>
      <c r="AT183" s="1116">
        <f>SUM(AT184:AT190)</f>
        <v>7030.96946647872</v>
      </c>
      <c r="AU183" s="1115"/>
      <c r="AV183" s="1115"/>
      <c r="AW183" s="1115"/>
      <c r="AX183" s="1115"/>
      <c r="AY183" s="1115"/>
      <c r="AZ183" s="1115"/>
      <c r="BA183" s="1115"/>
      <c r="BB183" s="1115"/>
      <c r="BC183" s="1115"/>
      <c r="BD183" s="1114">
        <f>IF(AI183=0,0,(AT183-AI183)/AI183*100)</f>
        <v>0</v>
      </c>
      <c r="BE183" s="1115"/>
      <c r="BF183" s="1115"/>
      <c r="BG183" s="1115"/>
      <c r="BH183" s="1115"/>
      <c r="BI183" s="1115"/>
      <c r="BJ183" s="1115"/>
      <c r="BK183" s="1115"/>
      <c r="BL183" s="1115"/>
      <c r="BM183" s="1115"/>
      <c r="BN183" s="7433"/>
      <c r="BO183" s="7433"/>
      <c r="BP183" s="7433"/>
      <c r="BQ183" s="1278"/>
      <c r="BR183" s="1278"/>
      <c r="BS183" s="1063" t="s">
        <v>2652</v>
      </c>
      <c r="BT183" s="1064"/>
      <c r="BU183" s="1064"/>
      <c r="BV183" s="979"/>
      <c r="BW183" s="979"/>
    </row>
    <row s="1834" customFormat="1" customHeight="1" ht="0">
      <c r="A184" s="1278"/>
      <c r="B184" s="978"/>
      <c r="C184" s="107"/>
      <c r="D184" s="107"/>
      <c r="E184" s="621">
        <v>15</v>
      </c>
      <c r="F184" s="50" cm="1" t="str">
        <f t="array" ref="F184:F184">OFFSET(E184,-1,1)</f>
        <v>1</v>
      </c>
      <c r="G184" s="107"/>
      <c r="H184" s="857"/>
      <c r="I184" s="857" t="s">
        <v>2653</v>
      </c>
      <c r="J184" s="107"/>
      <c r="K184" s="378" t="s">
        <v>2653</v>
      </c>
      <c r="L184" s="980" t="s">
        <v>2479</v>
      </c>
      <c r="M184" s="107" t="s">
        <v>2487</v>
      </c>
      <c r="N184" s="107"/>
      <c r="O184" s="107"/>
      <c r="P184" s="107"/>
      <c r="Q184" s="107"/>
      <c r="R184" s="107"/>
      <c r="S184" s="107"/>
      <c r="T184" s="465" cm="1" t="str">
        <f t="array" ref="T184:T184">T183</f>
        <v>true</v>
      </c>
      <c r="U184" s="107"/>
      <c r="V184" s="107"/>
      <c r="W184" s="107"/>
      <c r="X184" s="1596"/>
      <c r="Y184" s="1278"/>
      <c r="Z184" s="1546"/>
      <c r="AA184" s="1278"/>
      <c r="AB184" s="300" t="s">
        <v>2654</v>
      </c>
      <c r="AC184" s="768" t="s">
        <v>2655</v>
      </c>
      <c r="AD184" s="300" t="s">
        <v>1514</v>
      </c>
      <c r="AE184" s="3946"/>
      <c r="AF184" s="3946"/>
      <c r="AG184" s="3946"/>
      <c r="AH184" s="1114">
        <f>AG184-AF184</f>
        <v>0</v>
      </c>
      <c r="AI184" s="3946"/>
      <c r="AJ184" s="3946"/>
      <c r="AK184" s="1115"/>
      <c r="AL184" s="1115"/>
      <c r="AM184" s="1115"/>
      <c r="AN184" s="1115"/>
      <c r="AO184" s="1115"/>
      <c r="AP184" s="1115"/>
      <c r="AQ184" s="1115"/>
      <c r="AR184" s="1115"/>
      <c r="AS184" s="1115"/>
      <c r="AT184" s="3946"/>
      <c r="AU184" s="1115"/>
      <c r="AV184" s="1115"/>
      <c r="AW184" s="1115"/>
      <c r="AX184" s="1115"/>
      <c r="AY184" s="1115"/>
      <c r="AZ184" s="1115"/>
      <c r="BA184" s="1115"/>
      <c r="BB184" s="1115"/>
      <c r="BC184" s="1115"/>
      <c r="BD184" s="1114">
        <f>IF(AI184=0,0,(AT184-AI184)/AI184*100)</f>
        <v>0</v>
      </c>
      <c r="BE184" s="1115"/>
      <c r="BF184" s="1115"/>
      <c r="BG184" s="1115"/>
      <c r="BH184" s="1115"/>
      <c r="BI184" s="1115"/>
      <c r="BJ184" s="1115"/>
      <c r="BK184" s="1115"/>
      <c r="BL184" s="1115"/>
      <c r="BM184" s="1115"/>
      <c r="BN184" s="7433"/>
      <c r="BO184" s="7433"/>
      <c r="BP184" s="7433"/>
      <c r="BQ184" s="1278"/>
      <c r="BR184" s="1278"/>
      <c r="BS184" s="1062" t="s">
        <v>2490</v>
      </c>
      <c r="BT184" s="1064"/>
      <c r="BU184" s="1064"/>
      <c r="BV184" s="979"/>
      <c r="BW184" s="979"/>
    </row>
    <row s="1834" customFormat="1" customHeight="1" ht="0">
      <c r="A185" s="1278"/>
      <c r="B185" s="978"/>
      <c r="C185" s="107"/>
      <c r="D185" s="107"/>
      <c r="E185" s="621">
        <v>22.5</v>
      </c>
      <c r="F185" s="50" cm="1" t="str">
        <f t="array" ref="F185:F185">OFFSET(E185,-1,1)</f>
        <v>1</v>
      </c>
      <c r="G185" s="107"/>
      <c r="H185" s="857"/>
      <c r="I185" s="857" t="s">
        <v>2656</v>
      </c>
      <c r="J185" s="107"/>
      <c r="K185" s="378" t="s">
        <v>2656</v>
      </c>
      <c r="L185" s="980" t="s">
        <v>2479</v>
      </c>
      <c r="M185" s="107" t="s">
        <v>2483</v>
      </c>
      <c r="N185" s="107"/>
      <c r="O185" s="107"/>
      <c r="P185" s="107"/>
      <c r="Q185" s="107"/>
      <c r="R185" s="107"/>
      <c r="S185" s="107"/>
      <c r="T185" s="465" cm="1" t="str">
        <f t="array" ref="T185:T185">T184</f>
        <v>true</v>
      </c>
      <c r="U185" s="107"/>
      <c r="V185" s="107"/>
      <c r="W185" s="107"/>
      <c r="X185" s="1596"/>
      <c r="Y185" s="1278"/>
      <c r="Z185" s="1546"/>
      <c r="AA185" s="1278"/>
      <c r="AB185" s="300" t="s">
        <v>2657</v>
      </c>
      <c r="AC185" s="768" t="s">
        <v>2658</v>
      </c>
      <c r="AD185" s="300" t="s">
        <v>1514</v>
      </c>
      <c r="AE185" s="3946"/>
      <c r="AF185" s="3946"/>
      <c r="AG185" s="3946"/>
      <c r="AH185" s="1114">
        <f>AG185-AF185</f>
        <v>0</v>
      </c>
      <c r="AI185" s="3946"/>
      <c r="AJ185" s="3946"/>
      <c r="AK185" s="1115"/>
      <c r="AL185" s="1115"/>
      <c r="AM185" s="1115"/>
      <c r="AN185" s="1115"/>
      <c r="AO185" s="1115"/>
      <c r="AP185" s="1115"/>
      <c r="AQ185" s="1115"/>
      <c r="AR185" s="1115"/>
      <c r="AS185" s="1115"/>
      <c r="AT185" s="3946"/>
      <c r="AU185" s="1115"/>
      <c r="AV185" s="1115"/>
      <c r="AW185" s="1115"/>
      <c r="AX185" s="1115"/>
      <c r="AY185" s="1115"/>
      <c r="AZ185" s="1115"/>
      <c r="BA185" s="1115"/>
      <c r="BB185" s="1115"/>
      <c r="BC185" s="1115"/>
      <c r="BD185" s="1114">
        <f>IF(AI185=0,0,(AT185-AI185)/AI185*100)</f>
        <v>0</v>
      </c>
      <c r="BE185" s="1115"/>
      <c r="BF185" s="1115"/>
      <c r="BG185" s="1115"/>
      <c r="BH185" s="1115"/>
      <c r="BI185" s="1115"/>
      <c r="BJ185" s="1115"/>
      <c r="BK185" s="1115"/>
      <c r="BL185" s="1115"/>
      <c r="BM185" s="1115"/>
      <c r="BN185" s="7433"/>
      <c r="BO185" s="7433"/>
      <c r="BP185" s="7433"/>
      <c r="BQ185" s="1278"/>
      <c r="BR185" s="1278"/>
      <c r="BS185" s="1064" t="s">
        <v>2659</v>
      </c>
      <c r="BT185" s="1064"/>
      <c r="BU185" s="1064"/>
      <c r="BV185" s="979"/>
      <c r="BW185" s="979"/>
    </row>
    <row s="1834" customFormat="1" customHeight="1" ht="275.25">
      <c r="A186" s="1278"/>
      <c r="B186" s="978"/>
      <c r="C186" s="107"/>
      <c r="D186" s="107"/>
      <c r="E186" s="621">
        <v>22.5</v>
      </c>
      <c r="F186" s="50" cm="1" t="str">
        <f t="array" ref="F186:F186">OFFSET(E186,-1,1)</f>
        <v>1</v>
      </c>
      <c r="G186" s="107"/>
      <c r="H186" s="857"/>
      <c r="I186" s="857" t="s">
        <v>2660</v>
      </c>
      <c r="J186" s="107"/>
      <c r="K186" s="378" t="s">
        <v>2660</v>
      </c>
      <c r="L186" s="1278"/>
      <c r="M186" s="1278"/>
      <c r="N186" s="107"/>
      <c r="O186" s="107"/>
      <c r="P186" s="107"/>
      <c r="Q186" s="107"/>
      <c r="R186" s="107"/>
      <c r="S186" s="107"/>
      <c r="T186" s="465" cm="1" t="str">
        <f t="array" ref="T186:T186">T185</f>
        <v>true</v>
      </c>
      <c r="U186" s="107"/>
      <c r="V186" s="107"/>
      <c r="W186" s="107"/>
      <c r="X186" s="1596"/>
      <c r="Y186" s="1278"/>
      <c r="Z186" s="1546"/>
      <c r="AA186" s="1278"/>
      <c r="AB186" s="300" t="s">
        <v>2661</v>
      </c>
      <c r="AC186" s="769" t="s">
        <v>2662</v>
      </c>
      <c r="AD186" s="300" t="s">
        <v>1514</v>
      </c>
      <c r="AE186" s="3946"/>
      <c r="AF186" s="3946"/>
      <c r="AG186" s="3946"/>
      <c r="AH186" s="1114">
        <f>AG186-AF186</f>
        <v>0</v>
      </c>
      <c r="AI186" s="3946"/>
      <c r="AJ186" s="3946">
        <v>2150.859935</v>
      </c>
      <c r="AK186" s="1115"/>
      <c r="AL186" s="1115"/>
      <c r="AM186" s="1115"/>
      <c r="AN186" s="1115"/>
      <c r="AO186" s="1115"/>
      <c r="AP186" s="1115"/>
      <c r="AQ186" s="1115"/>
      <c r="AR186" s="1115"/>
      <c r="AS186" s="1115"/>
      <c r="AT186" s="3946">
        <f>221.692+41.172757+55.42981+132.247+1658.31105+42.007318</f>
        <v>2150.859935</v>
      </c>
      <c r="AU186" s="1115"/>
      <c r="AV186" s="1115"/>
      <c r="AW186" s="1115"/>
      <c r="AX186" s="1115"/>
      <c r="AY186" s="1115"/>
      <c r="AZ186" s="1115"/>
      <c r="BA186" s="1115"/>
      <c r="BB186" s="1115"/>
      <c r="BC186" s="1115"/>
      <c r="BD186" s="1114">
        <f>IF(AI186=0,0,(AT186-AI186)/AI186*100)</f>
        <v>0</v>
      </c>
      <c r="BE186" s="1115"/>
      <c r="BF186" s="1115"/>
      <c r="BG186" s="1115"/>
      <c r="BH186" s="1115"/>
      <c r="BI186" s="1115"/>
      <c r="BJ186" s="1115"/>
      <c r="BK186" s="1115"/>
      <c r="BL186" s="1115"/>
      <c r="BM186" s="1115"/>
      <c r="BN186" s="7433"/>
      <c r="BO186" s="7433" t="s">
        <v>2922</v>
      </c>
      <c r="BP186" s="7433"/>
      <c r="BQ186" s="1278"/>
      <c r="BR186" s="1278"/>
      <c r="BS186" s="1064" t="s">
        <v>2663</v>
      </c>
      <c r="BT186" s="1064"/>
      <c r="BU186" s="1064"/>
      <c r="BV186" s="979"/>
      <c r="BW186" s="979"/>
    </row>
    <row s="1834" customFormat="1" customHeight="1" ht="0">
      <c r="A187" s="1278"/>
      <c r="B187" s="978"/>
      <c r="C187" s="107"/>
      <c r="D187" s="107"/>
      <c r="E187" s="621">
        <v>22.5</v>
      </c>
      <c r="F187" s="50" cm="1" t="str">
        <f t="array" ref="F187:F187">OFFSET(E187,-1,1)</f>
        <v>1</v>
      </c>
      <c r="G187" s="107"/>
      <c r="H187" s="857"/>
      <c r="I187" s="857" t="s">
        <v>2664</v>
      </c>
      <c r="J187" s="107"/>
      <c r="K187" s="378" t="s">
        <v>2664</v>
      </c>
      <c r="L187" s="980"/>
      <c r="M187" s="1278"/>
      <c r="N187" s="107"/>
      <c r="O187" s="107"/>
      <c r="P187" s="107"/>
      <c r="Q187" s="107"/>
      <c r="R187" s="107"/>
      <c r="S187" s="107"/>
      <c r="T187" s="465" cm="1" t="str">
        <f t="array" ref="T187:T187">T186</f>
        <v>true</v>
      </c>
      <c r="U187" s="107"/>
      <c r="V187" s="107"/>
      <c r="W187" s="107"/>
      <c r="X187" s="1596"/>
      <c r="Y187" s="1278"/>
      <c r="Z187" s="1546"/>
      <c r="AA187" s="1278"/>
      <c r="AB187" s="300" t="s">
        <v>2665</v>
      </c>
      <c r="AC187" s="769" t="s">
        <v>2666</v>
      </c>
      <c r="AD187" s="300" t="s">
        <v>1514</v>
      </c>
      <c r="AE187" s="3946"/>
      <c r="AF187" s="3946"/>
      <c r="AG187" s="3946"/>
      <c r="AH187" s="1114">
        <f>AG187-AF187</f>
        <v>0</v>
      </c>
      <c r="AI187" s="3946"/>
      <c r="AJ187" s="3946"/>
      <c r="AK187" s="1115"/>
      <c r="AL187" s="1115"/>
      <c r="AM187" s="1115"/>
      <c r="AN187" s="1115"/>
      <c r="AO187" s="1115"/>
      <c r="AP187" s="1115"/>
      <c r="AQ187" s="1115"/>
      <c r="AR187" s="1115"/>
      <c r="AS187" s="1115"/>
      <c r="AT187" s="3946"/>
      <c r="AU187" s="1115"/>
      <c r="AV187" s="1115"/>
      <c r="AW187" s="1115"/>
      <c r="AX187" s="1115"/>
      <c r="AY187" s="1115"/>
      <c r="AZ187" s="1115"/>
      <c r="BA187" s="1115"/>
      <c r="BB187" s="1115"/>
      <c r="BC187" s="1115"/>
      <c r="BD187" s="1114">
        <f>IF(AI187=0,0,(AT187-AI187)/AI187*100)</f>
        <v>0</v>
      </c>
      <c r="BE187" s="1115"/>
      <c r="BF187" s="1115"/>
      <c r="BG187" s="1115"/>
      <c r="BH187" s="1115"/>
      <c r="BI187" s="1115"/>
      <c r="BJ187" s="1115"/>
      <c r="BK187" s="1115"/>
      <c r="BL187" s="1115"/>
      <c r="BM187" s="1115"/>
      <c r="BN187" s="7433"/>
      <c r="BO187" s="7433"/>
      <c r="BP187" s="7433"/>
      <c r="BQ187" s="1278"/>
      <c r="BR187" s="1278"/>
      <c r="BS187" s="1064" t="s">
        <v>2667</v>
      </c>
      <c r="BT187" s="1064"/>
      <c r="BU187" s="1064"/>
      <c r="BV187" s="979"/>
      <c r="BW187" s="979"/>
    </row>
    <row s="1834" customFormat="1" customHeight="1" ht="65.25">
      <c r="A188" s="1278"/>
      <c r="B188" s="978"/>
      <c r="C188" s="107"/>
      <c r="D188" s="107"/>
      <c r="E188" s="621">
        <v>45</v>
      </c>
      <c r="F188" s="50" cm="1" t="str">
        <f t="array" ref="F188:F188">OFFSET(E188,-1,1)</f>
        <v>1</v>
      </c>
      <c r="G188" s="107"/>
      <c r="H188" s="857"/>
      <c r="I188" s="857" t="s">
        <v>2668</v>
      </c>
      <c r="J188" s="107"/>
      <c r="K188" s="378" t="s">
        <v>2668</v>
      </c>
      <c r="L188" s="980" t="s">
        <v>2479</v>
      </c>
      <c r="M188" s="107" t="s">
        <v>2491</v>
      </c>
      <c r="N188" s="107"/>
      <c r="O188" s="107"/>
      <c r="P188" s="107"/>
      <c r="Q188" s="107"/>
      <c r="R188" s="107"/>
      <c r="S188" s="107"/>
      <c r="T188" s="465" cm="1" t="str">
        <f t="array" ref="T188:T188">T187</f>
        <v>true</v>
      </c>
      <c r="U188" s="107"/>
      <c r="V188" s="107"/>
      <c r="W188" s="107"/>
      <c r="X188" s="1596"/>
      <c r="Y188" s="1278"/>
      <c r="Z188" s="1546"/>
      <c r="AA188" s="1278"/>
      <c r="AB188" s="300" t="s">
        <v>2669</v>
      </c>
      <c r="AC188" s="768" t="s">
        <v>2670</v>
      </c>
      <c r="AD188" s="300" t="s">
        <v>1514</v>
      </c>
      <c r="AE188" s="3946"/>
      <c r="AF188" s="3946"/>
      <c r="AG188" s="3946"/>
      <c r="AH188" s="1114">
        <f>AG188-AF188</f>
        <v>0</v>
      </c>
      <c r="AI188" s="3946"/>
      <c r="AJ188" s="3946">
        <v>1645.088</v>
      </c>
      <c r="AK188" s="1115"/>
      <c r="AL188" s="1115"/>
      <c r="AM188" s="1115"/>
      <c r="AN188" s="1115"/>
      <c r="AO188" s="1115"/>
      <c r="AP188" s="1115"/>
      <c r="AQ188" s="1115"/>
      <c r="AR188" s="1115"/>
      <c r="AS188" s="1115"/>
      <c r="AT188" s="3946">
        <v>1645.09</v>
      </c>
      <c r="AU188" s="1115"/>
      <c r="AV188" s="1115"/>
      <c r="AW188" s="1115"/>
      <c r="AX188" s="1115"/>
      <c r="AY188" s="1115"/>
      <c r="AZ188" s="1115"/>
      <c r="BA188" s="1115"/>
      <c r="BB188" s="1115"/>
      <c r="BC188" s="1115"/>
      <c r="BD188" s="1114">
        <f>IF(AI188=0,0,(AT188-AI188)/AI188*100)</f>
        <v>0</v>
      </c>
      <c r="BE188" s="1115"/>
      <c r="BF188" s="1115"/>
      <c r="BG188" s="1115"/>
      <c r="BH188" s="1115"/>
      <c r="BI188" s="1115"/>
      <c r="BJ188" s="1115"/>
      <c r="BK188" s="1115"/>
      <c r="BL188" s="1115"/>
      <c r="BM188" s="1115"/>
      <c r="BN188" s="7433"/>
      <c r="BO188" s="7433" t="s">
        <v>2923</v>
      </c>
      <c r="BP188" s="7433"/>
      <c r="BQ188" s="1278"/>
      <c r="BR188" s="1278"/>
      <c r="BS188" s="1064" t="s">
        <v>2494</v>
      </c>
      <c r="BT188" s="1064"/>
      <c r="BU188" s="1064"/>
      <c r="BV188" s="979"/>
      <c r="BW188" s="979"/>
    </row>
    <row s="1834" customFormat="1" customHeight="1" ht="0">
      <c r="A189" s="1278"/>
      <c r="B189" s="978"/>
      <c r="C189" s="107"/>
      <c r="D189" s="107"/>
      <c r="E189" s="621">
        <v>15</v>
      </c>
      <c r="F189" s="50" cm="1" t="str">
        <f t="array" ref="F189:F189">OFFSET(E189,-1,1)</f>
        <v>1</v>
      </c>
      <c r="G189" s="107"/>
      <c r="H189" s="857"/>
      <c r="I189" s="857" t="s">
        <v>2671</v>
      </c>
      <c r="J189" s="107"/>
      <c r="K189" s="378" t="s">
        <v>2671</v>
      </c>
      <c r="L189" s="980" t="s">
        <v>2479</v>
      </c>
      <c r="M189" s="107" t="s">
        <v>2495</v>
      </c>
      <c r="N189" s="107"/>
      <c r="O189" s="107"/>
      <c r="P189" s="107"/>
      <c r="Q189" s="107"/>
      <c r="R189" s="107"/>
      <c r="S189" s="107"/>
      <c r="T189" s="465" cm="1" t="str">
        <f t="array" ref="T189:T189">T188</f>
        <v>true</v>
      </c>
      <c r="U189" s="107"/>
      <c r="V189" s="107"/>
      <c r="W189" s="107"/>
      <c r="X189" s="1596"/>
      <c r="Y189" s="1278"/>
      <c r="Z189" s="1546"/>
      <c r="AA189" s="1278"/>
      <c r="AB189" s="300" t="s">
        <v>2672</v>
      </c>
      <c r="AC189" s="768" t="s">
        <v>2497</v>
      </c>
      <c r="AD189" s="300" t="s">
        <v>1514</v>
      </c>
      <c r="AE189" s="3946"/>
      <c r="AF189" s="3946"/>
      <c r="AG189" s="3946"/>
      <c r="AH189" s="1114">
        <f>AG189-AF189</f>
        <v>0</v>
      </c>
      <c r="AI189" s="3946"/>
      <c r="AJ189" s="3946"/>
      <c r="AK189" s="1115"/>
      <c r="AL189" s="1115"/>
      <c r="AM189" s="1115"/>
      <c r="AN189" s="1115"/>
      <c r="AO189" s="1115"/>
      <c r="AP189" s="1115"/>
      <c r="AQ189" s="1115"/>
      <c r="AR189" s="1115"/>
      <c r="AS189" s="1115"/>
      <c r="AT189" s="3946"/>
      <c r="AU189" s="1115"/>
      <c r="AV189" s="1115"/>
      <c r="AW189" s="1115"/>
      <c r="AX189" s="1115"/>
      <c r="AY189" s="1115"/>
      <c r="AZ189" s="1115"/>
      <c r="BA189" s="1115"/>
      <c r="BB189" s="1115"/>
      <c r="BC189" s="1115"/>
      <c r="BD189" s="1114">
        <f>IF(AI189=0,0,(AT189-AI189)/AI189*100)</f>
        <v>0</v>
      </c>
      <c r="BE189" s="1115"/>
      <c r="BF189" s="1115"/>
      <c r="BG189" s="1115"/>
      <c r="BH189" s="1115"/>
      <c r="BI189" s="1115"/>
      <c r="BJ189" s="1115"/>
      <c r="BK189" s="1115"/>
      <c r="BL189" s="1115"/>
      <c r="BM189" s="1115"/>
      <c r="BN189" s="7433"/>
      <c r="BO189" s="7433"/>
      <c r="BP189" s="7433"/>
      <c r="BQ189" s="1278"/>
      <c r="BR189" s="1278"/>
      <c r="BS189" s="1064" t="s">
        <v>2498</v>
      </c>
      <c r="BT189" s="1064"/>
      <c r="BU189" s="1064"/>
      <c r="BV189" s="979"/>
      <c r="BW189" s="979"/>
    </row>
    <row s="1834" customFormat="1" customHeight="1" ht="86.25">
      <c r="A190" s="1278"/>
      <c r="B190" s="978"/>
      <c r="C190" s="107"/>
      <c r="D190" s="107"/>
      <c r="E190" s="621">
        <v>15</v>
      </c>
      <c r="F190" s="50" cm="1" t="str">
        <f t="array" ref="F190:F190">OFFSET(E190,-1,1)</f>
        <v>1</v>
      </c>
      <c r="G190" s="107"/>
      <c r="H190" s="857"/>
      <c r="I190" s="857" t="s">
        <v>2673</v>
      </c>
      <c r="J190" s="107"/>
      <c r="K190" s="378" t="s">
        <v>2673</v>
      </c>
      <c r="L190" s="980"/>
      <c r="M190" s="107"/>
      <c r="N190" s="107"/>
      <c r="O190" s="107"/>
      <c r="P190" s="107"/>
      <c r="Q190" s="107"/>
      <c r="R190" s="107"/>
      <c r="S190" s="107"/>
      <c r="T190" s="465" cm="1" t="str">
        <f t="array" ref="T190:T190">T189</f>
        <v>true</v>
      </c>
      <c r="U190" s="107"/>
      <c r="V190" s="107"/>
      <c r="W190" s="107"/>
      <c r="X190" s="1596"/>
      <c r="Y190" s="1278"/>
      <c r="Z190" s="1546"/>
      <c r="AA190" s="1278"/>
      <c r="AB190" s="300" t="s">
        <v>2674</v>
      </c>
      <c r="AC190" s="768" t="s">
        <v>2675</v>
      </c>
      <c r="AD190" s="300" t="s">
        <v>1514</v>
      </c>
      <c r="AE190" s="3946"/>
      <c r="AF190" s="3946"/>
      <c r="AG190" s="3946"/>
      <c r="AH190" s="1114">
        <f>AG190-AF190</f>
        <v>0</v>
      </c>
      <c r="AI190" s="3946"/>
      <c r="AJ190" s="1353">
        <v>3235.01953147872</v>
      </c>
      <c r="AK190" s="1115"/>
      <c r="AL190" s="1115"/>
      <c r="AM190" s="1115"/>
      <c r="AN190" s="1115"/>
      <c r="AO190" s="1115"/>
      <c r="AP190" s="1115"/>
      <c r="AQ190" s="1115"/>
      <c r="AR190" s="1115"/>
      <c r="AS190" s="1115"/>
      <c r="AT190" s="1367">
        <f>(1054.275/5*12*1.051)+(321.902/5*12*0.577*1.051)+107.21211750912</f>
        <v>3235.01953147872</v>
      </c>
      <c r="AU190" s="1115"/>
      <c r="AV190" s="1115"/>
      <c r="AW190" s="1115"/>
      <c r="AX190" s="1115"/>
      <c r="AY190" s="1115"/>
      <c r="AZ190" s="1115"/>
      <c r="BA190" s="1115"/>
      <c r="BB190" s="1115"/>
      <c r="BC190" s="1115"/>
      <c r="BD190" s="1114">
        <f>IF(AI190=0,0,(AT190-AI190)/AI190*100)</f>
        <v>0</v>
      </c>
      <c r="BE190" s="1115"/>
      <c r="BF190" s="1115"/>
      <c r="BG190" s="1115"/>
      <c r="BH190" s="1115"/>
      <c r="BI190" s="1115"/>
      <c r="BJ190" s="1115"/>
      <c r="BK190" s="1115"/>
      <c r="BL190" s="1115"/>
      <c r="BM190" s="1115"/>
      <c r="BN190" s="7433"/>
      <c r="BO190" s="7433" t="s">
        <v>2924</v>
      </c>
      <c r="BP190" s="7433"/>
      <c r="BQ190" s="1278"/>
      <c r="BR190" s="1278"/>
      <c r="BS190" s="1064" t="s">
        <v>2482</v>
      </c>
      <c r="BT190" s="1064"/>
      <c r="BU190" s="1064"/>
      <c r="BV190" s="979"/>
      <c r="BW190" s="979"/>
    </row>
    <row s="7440" customFormat="1" customHeight="1" ht="20.25">
      <c r="A191" s="700"/>
      <c r="B191" s="435"/>
      <c r="C191" s="109"/>
      <c r="D191" s="109"/>
      <c r="E191" s="826">
        <v>21</v>
      </c>
      <c r="F191" s="50" cm="1" t="str">
        <f t="array" ref="F191:F191">OFFSET(E191,-1,1)</f>
        <v>1</v>
      </c>
      <c r="G191" s="109"/>
      <c r="H191" s="857"/>
      <c r="I191" s="857" t="s">
        <v>1182</v>
      </c>
      <c r="J191" s="109"/>
      <c r="K191" s="378" t="s">
        <v>1182</v>
      </c>
      <c r="L191" s="985"/>
      <c r="M191" s="109"/>
      <c r="N191" s="109"/>
      <c r="O191" s="109"/>
      <c r="P191" s="109"/>
      <c r="Q191" s="109"/>
      <c r="R191" s="109"/>
      <c r="S191" s="109"/>
      <c r="T191" s="465" cm="1" t="str">
        <f t="array" ref="T191:T191">T190</f>
        <v>true</v>
      </c>
      <c r="U191" s="109"/>
      <c r="V191" s="109"/>
      <c r="W191" s="109"/>
      <c r="X191" s="1596"/>
      <c r="Y191" s="700"/>
      <c r="Z191" s="1546"/>
      <c r="AA191" s="700"/>
      <c r="AB191" s="211" t="s">
        <v>1634</v>
      </c>
      <c r="AC191" s="361" t="s">
        <v>2501</v>
      </c>
      <c r="AD191" s="211" t="s">
        <v>1514</v>
      </c>
      <c r="AE191" s="213">
        <f>AE192+AE193+AE194</f>
        <v>0</v>
      </c>
      <c r="AF191" s="213">
        <f>AF192+AF193+AF194</f>
        <v>0</v>
      </c>
      <c r="AG191" s="213">
        <f>AG192+AG193+AG194</f>
        <v>0</v>
      </c>
      <c r="AH191" s="778">
        <f>AG191-AF191</f>
        <v>0</v>
      </c>
      <c r="AI191" s="213">
        <f>AI192+AI193+AI194</f>
        <v>0</v>
      </c>
      <c r="AJ191" s="213">
        <f>AJ192+AJ193+AJ194</f>
        <v>17898.125</v>
      </c>
      <c r="AK191" s="216"/>
      <c r="AL191" s="216"/>
      <c r="AM191" s="216"/>
      <c r="AN191" s="216"/>
      <c r="AO191" s="216"/>
      <c r="AP191" s="216"/>
      <c r="AQ191" s="216"/>
      <c r="AR191" s="216"/>
      <c r="AS191" s="216"/>
      <c r="AT191" s="213">
        <f>AT192+AT193+AT194</f>
        <v>17898.125</v>
      </c>
      <c r="AU191" s="216"/>
      <c r="AV191" s="216"/>
      <c r="AW191" s="216"/>
      <c r="AX191" s="216"/>
      <c r="AY191" s="216"/>
      <c r="AZ191" s="216"/>
      <c r="BA191" s="216"/>
      <c r="BB191" s="216"/>
      <c r="BC191" s="216"/>
      <c r="BD191" s="778">
        <f>IF(AI191=0,0,(AT191-AI191)/AI191*100)</f>
        <v>0</v>
      </c>
      <c r="BE191" s="216"/>
      <c r="BF191" s="216"/>
      <c r="BG191" s="216"/>
      <c r="BH191" s="216"/>
      <c r="BI191" s="216"/>
      <c r="BJ191" s="216"/>
      <c r="BK191" s="216"/>
      <c r="BL191" s="216"/>
      <c r="BM191" s="216"/>
      <c r="BN191" s="7436"/>
      <c r="BO191" s="7436"/>
      <c r="BP191" s="7436"/>
      <c r="BQ191" s="700"/>
      <c r="BR191" s="700"/>
      <c r="BS191" s="1063" t="s">
        <v>2502</v>
      </c>
      <c r="BT191" s="1070"/>
      <c r="BU191" s="1070"/>
      <c r="BV191" s="707"/>
      <c r="BW191" s="707"/>
    </row>
    <row s="1834" customFormat="1" customHeight="1" ht="0">
      <c r="A192" s="1278"/>
      <c r="B192" s="978"/>
      <c r="C192" s="107"/>
      <c r="D192" s="107"/>
      <c r="E192" s="621">
        <v>22.5</v>
      </c>
      <c r="F192" s="50" cm="1" t="str">
        <f t="array" ref="F192:F192">OFFSET(E192,-1,1)</f>
        <v>1</v>
      </c>
      <c r="G192" s="107"/>
      <c r="H192" s="857"/>
      <c r="I192" s="857" t="s">
        <v>2081</v>
      </c>
      <c r="J192" s="107"/>
      <c r="K192" s="378" t="s">
        <v>2081</v>
      </c>
      <c r="L192" s="980"/>
      <c r="M192" s="107"/>
      <c r="N192" s="107"/>
      <c r="O192" s="107"/>
      <c r="P192" s="107"/>
      <c r="Q192" s="107"/>
      <c r="R192" s="107"/>
      <c r="S192" s="107"/>
      <c r="T192" s="465" cm="1" t="str">
        <f t="array" ref="T192:T192">T191</f>
        <v>true</v>
      </c>
      <c r="U192" s="107"/>
      <c r="V192" s="107"/>
      <c r="W192" s="107"/>
      <c r="X192" s="1596"/>
      <c r="Y192" s="1278"/>
      <c r="Z192" s="1546"/>
      <c r="AA192" s="1278"/>
      <c r="AB192" s="300" t="s">
        <v>2082</v>
      </c>
      <c r="AC192" s="765" t="s">
        <v>2676</v>
      </c>
      <c r="AD192" s="300" t="s">
        <v>1514</v>
      </c>
      <c r="AE192" s="3946"/>
      <c r="AF192" s="3946"/>
      <c r="AG192" s="3946"/>
      <c r="AH192" s="1114">
        <f>AG192-AF192</f>
        <v>0</v>
      </c>
      <c r="AI192" s="3946"/>
      <c r="AJ192" s="3946"/>
      <c r="AK192" s="1115"/>
      <c r="AL192" s="1115"/>
      <c r="AM192" s="1115"/>
      <c r="AN192" s="1115"/>
      <c r="AO192" s="1115"/>
      <c r="AP192" s="1115"/>
      <c r="AQ192" s="1115"/>
      <c r="AR192" s="1115"/>
      <c r="AS192" s="1115"/>
      <c r="AT192" s="3946"/>
      <c r="AU192" s="1115"/>
      <c r="AV192" s="1115"/>
      <c r="AW192" s="1115"/>
      <c r="AX192" s="1115"/>
      <c r="AY192" s="1115"/>
      <c r="AZ192" s="1115"/>
      <c r="BA192" s="1115"/>
      <c r="BB192" s="1115"/>
      <c r="BC192" s="1115"/>
      <c r="BD192" s="1114">
        <f>IF(AI192=0,0,(AT192-AI192)/AI192*100)</f>
        <v>0</v>
      </c>
      <c r="BE192" s="1115"/>
      <c r="BF192" s="1115"/>
      <c r="BG192" s="1115"/>
      <c r="BH192" s="1115"/>
      <c r="BI192" s="1115"/>
      <c r="BJ192" s="1115"/>
      <c r="BK192" s="1115"/>
      <c r="BL192" s="1115"/>
      <c r="BM192" s="1115"/>
      <c r="BN192" s="7433"/>
      <c r="BO192" s="7433"/>
      <c r="BP192" s="7433"/>
      <c r="BQ192" s="1278"/>
      <c r="BR192" s="1278"/>
      <c r="BS192" s="1062" t="s">
        <v>2504</v>
      </c>
      <c r="BT192" s="1064"/>
      <c r="BU192" s="1064"/>
      <c r="BV192" s="979"/>
      <c r="BW192" s="979"/>
    </row>
    <row s="1834" customFormat="1" customHeight="1" ht="44.25">
      <c r="A193" s="1278"/>
      <c r="B193" s="978"/>
      <c r="C193" s="107"/>
      <c r="D193" s="107"/>
      <c r="E193" s="621">
        <v>22.5</v>
      </c>
      <c r="F193" s="50" cm="1" t="str">
        <f t="array" ref="F193:F193">OFFSET(E193,-1,1)</f>
        <v>1</v>
      </c>
      <c r="G193" s="107"/>
      <c r="H193" s="857"/>
      <c r="I193" s="857" t="s">
        <v>2085</v>
      </c>
      <c r="J193" s="107"/>
      <c r="K193" s="378" t="s">
        <v>2085</v>
      </c>
      <c r="L193" s="980"/>
      <c r="M193" s="107"/>
      <c r="N193" s="107"/>
      <c r="O193" s="107"/>
      <c r="P193" s="107"/>
      <c r="Q193" s="107"/>
      <c r="R193" s="107"/>
      <c r="S193" s="107"/>
      <c r="T193" s="465" cm="1" t="str">
        <f t="array" ref="T193:T193">T192</f>
        <v>true</v>
      </c>
      <c r="U193" s="107"/>
      <c r="V193" s="107"/>
      <c r="W193" s="107"/>
      <c r="X193" s="1596"/>
      <c r="Y193" s="1278"/>
      <c r="Z193" s="1546"/>
      <c r="AA193" s="1278"/>
      <c r="AB193" s="300" t="s">
        <v>2086</v>
      </c>
      <c r="AC193" s="765" t="s">
        <v>2677</v>
      </c>
      <c r="AD193" s="300" t="s">
        <v>1514</v>
      </c>
      <c r="AE193" s="3946"/>
      <c r="AF193" s="3946"/>
      <c r="AG193" s="3946"/>
      <c r="AH193" s="1114">
        <f>AG193-AF193</f>
        <v>0</v>
      </c>
      <c r="AI193" s="3946"/>
      <c r="AJ193" s="3946">
        <v>17898.125</v>
      </c>
      <c r="AK193" s="1115"/>
      <c r="AL193" s="1115"/>
      <c r="AM193" s="1115"/>
      <c r="AN193" s="1115"/>
      <c r="AO193" s="1115"/>
      <c r="AP193" s="1115"/>
      <c r="AQ193" s="1115"/>
      <c r="AR193" s="1115"/>
      <c r="AS193" s="1115"/>
      <c r="AT193" s="3946">
        <v>17898.125</v>
      </c>
      <c r="AU193" s="1115"/>
      <c r="AV193" s="1115"/>
      <c r="AW193" s="1115"/>
      <c r="AX193" s="1115"/>
      <c r="AY193" s="1115"/>
      <c r="AZ193" s="1115"/>
      <c r="BA193" s="1115"/>
      <c r="BB193" s="1115"/>
      <c r="BC193" s="1115"/>
      <c r="BD193" s="1114">
        <f>IF(AI193=0,0,(AT193-AI193)/AI193*100)</f>
        <v>0</v>
      </c>
      <c r="BE193" s="1115"/>
      <c r="BF193" s="1115"/>
      <c r="BG193" s="1115"/>
      <c r="BH193" s="1115"/>
      <c r="BI193" s="1115"/>
      <c r="BJ193" s="1115"/>
      <c r="BK193" s="1115"/>
      <c r="BL193" s="1115"/>
      <c r="BM193" s="1115"/>
      <c r="BN193" s="7433"/>
      <c r="BO193" s="7433" t="s">
        <v>2925</v>
      </c>
      <c r="BP193" s="7433"/>
      <c r="BQ193" s="1278"/>
      <c r="BR193" s="1278"/>
      <c r="BS193" s="1064" t="s">
        <v>2678</v>
      </c>
      <c r="BT193" s="1064"/>
      <c r="BU193" s="1064"/>
      <c r="BV193" s="979"/>
      <c r="BW193" s="979"/>
    </row>
    <row s="1834" customFormat="1" customHeight="1" ht="0">
      <c r="A194" s="1278"/>
      <c r="B194" s="978"/>
      <c r="C194" s="107"/>
      <c r="D194" s="107"/>
      <c r="E194" s="621">
        <v>22.5</v>
      </c>
      <c r="F194" s="50" cm="1" t="str">
        <f t="array" ref="F194:F194">OFFSET(E194,-1,1)</f>
        <v>1</v>
      </c>
      <c r="G194" s="107"/>
      <c r="H194" s="857"/>
      <c r="I194" s="857" t="s">
        <v>2089</v>
      </c>
      <c r="J194" s="107"/>
      <c r="K194" s="378" t="s">
        <v>2089</v>
      </c>
      <c r="L194" s="980" t="s">
        <v>1196</v>
      </c>
      <c r="M194" s="107"/>
      <c r="N194" s="107"/>
      <c r="O194" s="107"/>
      <c r="P194" s="107"/>
      <c r="Q194" s="107"/>
      <c r="R194" s="107"/>
      <c r="S194" s="107"/>
      <c r="T194" s="465" cm="1" t="str">
        <f t="array" ref="T194:T194">T193</f>
        <v>true</v>
      </c>
      <c r="U194" s="107"/>
      <c r="V194" s="107"/>
      <c r="W194" s="107"/>
      <c r="X194" s="1596"/>
      <c r="Y194" s="1278"/>
      <c r="Z194" s="1546"/>
      <c r="AA194" s="1278"/>
      <c r="AB194" s="300" t="s">
        <v>2090</v>
      </c>
      <c r="AC194" s="765" t="s">
        <v>2679</v>
      </c>
      <c r="AD194" s="300" t="s">
        <v>1514</v>
      </c>
      <c r="AE194" s="1116">
        <f>AE195+AE196</f>
        <v>0</v>
      </c>
      <c r="AF194" s="1116">
        <f>AF195+AF196</f>
        <v>0</v>
      </c>
      <c r="AG194" s="1116">
        <f>AG195+AG196</f>
        <v>0</v>
      </c>
      <c r="AH194" s="1114">
        <f>AG194-AF194</f>
        <v>0</v>
      </c>
      <c r="AI194" s="1116">
        <f>AI195+AI196</f>
        <v>0</v>
      </c>
      <c r="AJ194" s="1116">
        <f>AJ195+AJ196</f>
        <v>0</v>
      </c>
      <c r="AK194" s="1115"/>
      <c r="AL194" s="1115"/>
      <c r="AM194" s="1115"/>
      <c r="AN194" s="1115"/>
      <c r="AO194" s="1115"/>
      <c r="AP194" s="1115"/>
      <c r="AQ194" s="1115"/>
      <c r="AR194" s="1115"/>
      <c r="AS194" s="1115"/>
      <c r="AT194" s="1116">
        <f>AT195+AT196</f>
        <v>0</v>
      </c>
      <c r="AU194" s="1115"/>
      <c r="AV194" s="1115"/>
      <c r="AW194" s="1115"/>
      <c r="AX194" s="1115"/>
      <c r="AY194" s="1115"/>
      <c r="AZ194" s="1115"/>
      <c r="BA194" s="1115"/>
      <c r="BB194" s="1115"/>
      <c r="BC194" s="1115"/>
      <c r="BD194" s="1114">
        <f>IF(AI194=0,0,(AT194-AI194)/AI194*100)</f>
        <v>0</v>
      </c>
      <c r="BE194" s="1115"/>
      <c r="BF194" s="1115"/>
      <c r="BG194" s="1115"/>
      <c r="BH194" s="1115"/>
      <c r="BI194" s="1115"/>
      <c r="BJ194" s="1115"/>
      <c r="BK194" s="1115"/>
      <c r="BL194" s="1115"/>
      <c r="BM194" s="1115"/>
      <c r="BN194" s="7433"/>
      <c r="BO194" s="7433"/>
      <c r="BP194" s="7433"/>
      <c r="BQ194" s="1278"/>
      <c r="BR194" s="1278"/>
      <c r="BS194" s="1062" t="s">
        <v>2506</v>
      </c>
      <c r="BT194" s="1064"/>
      <c r="BU194" s="1064"/>
      <c r="BV194" s="979"/>
      <c r="BW194" s="979"/>
    </row>
    <row s="1834" customFormat="1" customHeight="1" ht="0">
      <c r="A195" s="1278"/>
      <c r="B195" s="978"/>
      <c r="C195" s="107"/>
      <c r="D195" s="107"/>
      <c r="E195" s="621">
        <v>15</v>
      </c>
      <c r="F195" s="50" cm="1" t="str">
        <f t="array" ref="F195:F195">OFFSET(E195,-1,1)</f>
        <v>1</v>
      </c>
      <c r="G195" s="848" t="s">
        <v>1881</v>
      </c>
      <c r="H195" s="857"/>
      <c r="I195" s="857" t="s">
        <v>2680</v>
      </c>
      <c r="J195" s="107"/>
      <c r="K195" s="378" t="s">
        <v>2680</v>
      </c>
      <c r="L195" s="980" t="s">
        <v>2507</v>
      </c>
      <c r="M195" s="107"/>
      <c r="N195" s="107"/>
      <c r="O195" s="107"/>
      <c r="P195" s="107"/>
      <c r="Q195" s="107"/>
      <c r="R195" s="107"/>
      <c r="S195" s="107"/>
      <c r="T195" s="465" cm="1" t="str">
        <f t="array" ref="T195:T195">T194</f>
        <v>true</v>
      </c>
      <c r="U195" s="107"/>
      <c r="V195" s="107"/>
      <c r="W195" s="107"/>
      <c r="X195" s="1596"/>
      <c r="Y195" s="1278"/>
      <c r="Z195" s="1546"/>
      <c r="AA195" s="1278"/>
      <c r="AB195" s="300" t="s">
        <v>2681</v>
      </c>
      <c r="AC195" s="768" t="s">
        <v>2508</v>
      </c>
      <c r="AD195" s="300" t="s">
        <v>1514</v>
      </c>
      <c r="AE195" s="1114">
        <f>_xlfn.SUMIFS(ФОТ!AE$25:AE$188,ФОТ!$F$25:$F$188,$F195,ФОТ!$G$25:$G$188,$G195)</f>
        <v>0</v>
      </c>
      <c r="AF195" s="1114">
        <f>_xlfn.SUMIFS(ФОТ!AF$25:AF$188,ФОТ!$F$25:$F$188,$F195,ФОТ!$G$25:$G$188,$G195)</f>
        <v>0</v>
      </c>
      <c r="AG195" s="1114">
        <f>_xlfn.SUMIFS(ФОТ!AG$25:AG$188,ФОТ!$F$25:$F$188,$F195,ФОТ!$G$25:$G$188,$G195)</f>
        <v>0</v>
      </c>
      <c r="AH195" s="1114">
        <f>AG195-AF195</f>
        <v>0</v>
      </c>
      <c r="AI195" s="1114">
        <f>_xlfn.SUMIFS(ФОТ!AH$25:AH$188,ФОТ!$F$25:$F$188,$F195,ФОТ!$G$25:$G$188,$G195)</f>
        <v>0</v>
      </c>
      <c r="AJ195" s="1114">
        <f>_xlfn.SUMIFS(ФОТ!AI$25:AI$188,ФОТ!$F$25:$F$188,$F195,ФОТ!$G$25:$G$188,$G195)</f>
        <v>0</v>
      </c>
      <c r="AK195" s="1115"/>
      <c r="AL195" s="1115"/>
      <c r="AM195" s="1115"/>
      <c r="AN195" s="1115"/>
      <c r="AO195" s="1115"/>
      <c r="AP195" s="1115"/>
      <c r="AQ195" s="1115"/>
      <c r="AR195" s="1115"/>
      <c r="AS195" s="1115"/>
      <c r="AT195" s="1114">
        <f>_xlfn.SUMIFS(ФОТ!AJ$25:AJ$188,ФОТ!$F$25:$F$188,$F195,ФОТ!$G$25:$G$188,$G195)</f>
        <v>0</v>
      </c>
      <c r="AU195" s="1115"/>
      <c r="AV195" s="1115"/>
      <c r="AW195" s="1115"/>
      <c r="AX195" s="1115"/>
      <c r="AY195" s="1115"/>
      <c r="AZ195" s="1115"/>
      <c r="BA195" s="1115"/>
      <c r="BB195" s="1115"/>
      <c r="BC195" s="1115"/>
      <c r="BD195" s="1114">
        <f>IF(AI195=0,0,(AT195-AI195)/AI195*100)</f>
        <v>0</v>
      </c>
      <c r="BE195" s="1115"/>
      <c r="BF195" s="1115"/>
      <c r="BG195" s="1115"/>
      <c r="BH195" s="1115"/>
      <c r="BI195" s="1115"/>
      <c r="BJ195" s="1115"/>
      <c r="BK195" s="1115"/>
      <c r="BL195" s="1115"/>
      <c r="BM195" s="1115"/>
      <c r="BN195" s="7433"/>
      <c r="BO195" s="7437" t="str">
        <f>IF(_xlfn.IFERROR(INDEX(ФОТ!$K$26:$L$188,MATCH($F195&amp;"3komm",ФОТ!$K$26:$K$188,0),2),"")=0,"",_xlfn.IFERROR(INDEX(ФОТ!$K$26:$L$188,MATCH($F195&amp;"3komm",ФОТ!$K$26:$K$188,0),2),""))</f>
        <v/>
      </c>
      <c r="BP195" s="7433"/>
      <c r="BQ195" s="1278"/>
      <c r="BR195" s="1278"/>
      <c r="BS195" s="1062" t="s">
        <v>2509</v>
      </c>
      <c r="BT195" s="1064"/>
      <c r="BU195" s="1064"/>
      <c r="BV195" s="979"/>
      <c r="BW195" s="979"/>
    </row>
    <row s="1834" customFormat="1" customHeight="1" ht="0">
      <c r="A196" s="1278"/>
      <c r="B196" s="978"/>
      <c r="C196" s="107"/>
      <c r="D196" s="107"/>
      <c r="E196" s="621">
        <v>22.5</v>
      </c>
      <c r="F196" s="50" cm="1" t="str">
        <f t="array" ref="F196:F196">OFFSET(E196,-1,1)</f>
        <v>1</v>
      </c>
      <c r="G196" s="848" t="s">
        <v>1886</v>
      </c>
      <c r="H196" s="857"/>
      <c r="I196" s="857" t="s">
        <v>2682</v>
      </c>
      <c r="J196" s="107"/>
      <c r="K196" s="378" t="s">
        <v>2682</v>
      </c>
      <c r="L196" s="980" t="s">
        <v>2510</v>
      </c>
      <c r="M196" s="107"/>
      <c r="N196" s="107"/>
      <c r="O196" s="107"/>
      <c r="P196" s="107"/>
      <c r="Q196" s="107"/>
      <c r="R196" s="107"/>
      <c r="S196" s="107"/>
      <c r="T196" s="465" cm="1" t="str">
        <f t="array" ref="T196:T196">T195</f>
        <v>true</v>
      </c>
      <c r="U196" s="107"/>
      <c r="V196" s="107"/>
      <c r="W196" s="107"/>
      <c r="X196" s="1596"/>
      <c r="Y196" s="1278"/>
      <c r="Z196" s="1546"/>
      <c r="AA196" s="1278"/>
      <c r="AB196" s="300" t="s">
        <v>2683</v>
      </c>
      <c r="AC196" s="768" t="s">
        <v>2684</v>
      </c>
      <c r="AD196" s="300" t="s">
        <v>1514</v>
      </c>
      <c r="AE196" s="1114">
        <f>_xlfn.SUMIFS(ФОТ!AE$25:AE$188,ФОТ!$F$25:$F$188,$F196,ФОТ!$G$25:$G$188,$G196)</f>
        <v>0</v>
      </c>
      <c r="AF196" s="1114">
        <f>_xlfn.SUMIFS(ФОТ!AF$25:AF$188,ФОТ!$F$25:$F$188,$F196,ФОТ!$G$25:$G$188,$G196)</f>
        <v>0</v>
      </c>
      <c r="AG196" s="1114">
        <f>_xlfn.SUMIFS(ФОТ!AG$25:AG$188,ФОТ!$F$25:$F$188,$F196,ФОТ!$G$25:$G$188,$G196)</f>
        <v>0</v>
      </c>
      <c r="AH196" s="1114">
        <f>AG196-AF196</f>
        <v>0</v>
      </c>
      <c r="AI196" s="1114">
        <f>_xlfn.SUMIFS(ФОТ!AH$25:AH$188,ФОТ!$F$25:$F$188,$F196,ФОТ!$G$25:$G$188,$G196)</f>
        <v>0</v>
      </c>
      <c r="AJ196" s="1114">
        <f>_xlfn.SUMIFS(ФОТ!AI$25:AI$188,ФОТ!$F$25:$F$188,$F196,ФОТ!$G$25:$G$188,$G196)</f>
        <v>0</v>
      </c>
      <c r="AK196" s="1115"/>
      <c r="AL196" s="1115"/>
      <c r="AM196" s="1115"/>
      <c r="AN196" s="1115"/>
      <c r="AO196" s="1115"/>
      <c r="AP196" s="1115"/>
      <c r="AQ196" s="1115"/>
      <c r="AR196" s="1115"/>
      <c r="AS196" s="1115"/>
      <c r="AT196" s="1114">
        <f>_xlfn.SUMIFS(ФОТ!AJ$25:AJ$188,ФОТ!$F$25:$F$188,$F196,ФОТ!$G$25:$G$188,$G196)</f>
        <v>0</v>
      </c>
      <c r="AU196" s="1115"/>
      <c r="AV196" s="1115"/>
      <c r="AW196" s="1115"/>
      <c r="AX196" s="1115"/>
      <c r="AY196" s="1115"/>
      <c r="AZ196" s="1115"/>
      <c r="BA196" s="1115"/>
      <c r="BB196" s="1115"/>
      <c r="BC196" s="1115"/>
      <c r="BD196" s="1114">
        <f>IF(AI196=0,0,(AT196-AI196)/AI196*100)</f>
        <v>0</v>
      </c>
      <c r="BE196" s="1115"/>
      <c r="BF196" s="1115"/>
      <c r="BG196" s="1115"/>
      <c r="BH196" s="1115"/>
      <c r="BI196" s="1115"/>
      <c r="BJ196" s="1115"/>
      <c r="BK196" s="1115"/>
      <c r="BL196" s="1115"/>
      <c r="BM196" s="1115"/>
      <c r="BN196" s="7433"/>
      <c r="BO196" s="7437" t="str">
        <f>IF(_xlfn.IFERROR(INDEX(ФОТ!$K$26:$L$188,MATCH($F196&amp;"4komm",ФОТ!$K$26:$K$188,0),2),"")=0,"",_xlfn.IFERROR(INDEX(ФОТ!$K$26:$L$188,MATCH($F196&amp;"4komm",ФОТ!$K$26:$K$188,0),2),""))</f>
        <v/>
      </c>
      <c r="BP196" s="7433"/>
      <c r="BQ196" s="1278"/>
      <c r="BR196" s="1278"/>
      <c r="BS196" s="1062" t="s">
        <v>2512</v>
      </c>
      <c r="BT196" s="1064"/>
      <c r="BU196" s="1064"/>
      <c r="BV196" s="979"/>
      <c r="BW196" s="979"/>
    </row>
    <row s="7441" customFormat="1" customHeight="1" ht="20.25">
      <c r="A197" s="700"/>
      <c r="B197" s="435"/>
      <c r="C197" s="109"/>
      <c r="D197" s="109"/>
      <c r="E197" s="826">
        <v>21</v>
      </c>
      <c r="F197" s="50" cm="1" t="str">
        <f t="array" ref="F197:F197">OFFSET(E197,-1,1)</f>
        <v>1</v>
      </c>
      <c r="G197" s="109"/>
      <c r="H197" s="857"/>
      <c r="I197" s="857" t="s">
        <v>1186</v>
      </c>
      <c r="J197" s="109"/>
      <c r="K197" s="378" t="s">
        <v>1186</v>
      </c>
      <c r="L197" s="985" t="s">
        <v>334</v>
      </c>
      <c r="M197" s="109"/>
      <c r="N197" s="109"/>
      <c r="O197" s="109"/>
      <c r="P197" s="109"/>
      <c r="Q197" s="109"/>
      <c r="R197" s="109"/>
      <c r="S197" s="109"/>
      <c r="T197" s="465" cm="1" t="str">
        <f t="array" ref="T197:T197">T196</f>
        <v>true</v>
      </c>
      <c r="U197" s="109"/>
      <c r="V197" s="109"/>
      <c r="W197" s="109"/>
      <c r="X197" s="1596"/>
      <c r="Y197" s="700"/>
      <c r="Z197" s="1546"/>
      <c r="AA197" s="700"/>
      <c r="AB197" s="211" t="s">
        <v>1637</v>
      </c>
      <c r="AC197" s="361" t="s">
        <v>2685</v>
      </c>
      <c r="AD197" s="211" t="s">
        <v>1514</v>
      </c>
      <c r="AE197" s="213">
        <f>AE198+AE206+AE209+AE210+AE211+AE212+AE213</f>
        <v>0</v>
      </c>
      <c r="AF197" s="213">
        <f>AF198+AF206+AF209+AF210+AF211+AF212+AF213</f>
        <v>0</v>
      </c>
      <c r="AG197" s="213">
        <f>AG198+AG206+AG209+AG210+AG211+AG212+AG213</f>
        <v>0</v>
      </c>
      <c r="AH197" s="778">
        <f>AG197-AF197</f>
        <v>0</v>
      </c>
      <c r="AI197" s="213">
        <f>AI198+AI206+AI209+AI210+AI211+AI212+AI213</f>
        <v>0</v>
      </c>
      <c r="AJ197" s="213">
        <f>AJ198+AJ206+AJ209+AJ210+AJ211+AJ212+AJ213</f>
        <v>22950.5069349292</v>
      </c>
      <c r="AK197" s="216"/>
      <c r="AL197" s="216"/>
      <c r="AM197" s="216"/>
      <c r="AN197" s="216"/>
      <c r="AO197" s="216"/>
      <c r="AP197" s="216"/>
      <c r="AQ197" s="216"/>
      <c r="AR197" s="216"/>
      <c r="AS197" s="216"/>
      <c r="AT197" s="213">
        <f>AT198+AT206+AT209+AT210+AT211+AT212+AT213</f>
        <v>22950.5069349292</v>
      </c>
      <c r="AU197" s="216"/>
      <c r="AV197" s="216"/>
      <c r="AW197" s="216"/>
      <c r="AX197" s="216"/>
      <c r="AY197" s="216"/>
      <c r="AZ197" s="216"/>
      <c r="BA197" s="216"/>
      <c r="BB197" s="216"/>
      <c r="BC197" s="216"/>
      <c r="BD197" s="778">
        <f>IF(AI197=0,0,(AT197-AI197)/AI197*100)</f>
        <v>0</v>
      </c>
      <c r="BE197" s="216"/>
      <c r="BF197" s="216"/>
      <c r="BG197" s="216"/>
      <c r="BH197" s="216"/>
      <c r="BI197" s="216"/>
      <c r="BJ197" s="216"/>
      <c r="BK197" s="216"/>
      <c r="BL197" s="216"/>
      <c r="BM197" s="216"/>
      <c r="BN197" s="7436"/>
      <c r="BO197" s="7436" t="s">
        <v>2926</v>
      </c>
      <c r="BP197" s="7436"/>
      <c r="BQ197" s="700"/>
      <c r="BR197" s="700"/>
      <c r="BS197" s="1063" t="s">
        <v>2514</v>
      </c>
      <c r="BT197" s="1070"/>
      <c r="BU197" s="1070"/>
      <c r="BV197" s="707"/>
      <c r="BW197" s="707"/>
    </row>
    <row s="1834" customFormat="1" customHeight="1" ht="21.75">
      <c r="A198" s="1278"/>
      <c r="B198" s="978"/>
      <c r="C198" s="107"/>
      <c r="D198" s="107"/>
      <c r="E198" s="621">
        <v>22.5</v>
      </c>
      <c r="F198" s="50" cm="1" t="str">
        <f t="array" ref="F198:F198">OFFSET(E198,-1,1)</f>
        <v>1</v>
      </c>
      <c r="G198" s="107" t="s">
        <v>1916</v>
      </c>
      <c r="H198" s="857"/>
      <c r="I198" s="857" t="s">
        <v>2095</v>
      </c>
      <c r="J198" s="107"/>
      <c r="K198" s="378" t="s">
        <v>2095</v>
      </c>
      <c r="L198" s="980" t="s">
        <v>1658</v>
      </c>
      <c r="M198" s="107"/>
      <c r="N198" s="107"/>
      <c r="O198" s="107"/>
      <c r="P198" s="107"/>
      <c r="Q198" s="107"/>
      <c r="R198" s="107"/>
      <c r="S198" s="107"/>
      <c r="T198" s="465" cm="1" t="str">
        <f t="array" ref="T198:T198">T197</f>
        <v>true</v>
      </c>
      <c r="U198" s="107"/>
      <c r="V198" s="107"/>
      <c r="W198" s="107"/>
      <c r="X198" s="1596"/>
      <c r="Y198" s="1278"/>
      <c r="Z198" s="1546"/>
      <c r="AA198" s="1278"/>
      <c r="AB198" s="300" t="s">
        <v>1752</v>
      </c>
      <c r="AC198" s="765" t="s">
        <v>2686</v>
      </c>
      <c r="AD198" s="300" t="s">
        <v>1514</v>
      </c>
      <c r="AE198" s="1114">
        <f>_xlfn.SUMIFS(Административные!AE$25:AE$122,Административные!$F$25:$F$122,$F198,Административные!$G$25:$G$122,$G198)</f>
        <v>0</v>
      </c>
      <c r="AF198" s="1114">
        <f>_xlfn.SUMIFS(Административные!AF$25:AF$122,Административные!$F$25:$F$122,$F198,Административные!$G$25:$G$122,$G198)</f>
        <v>0</v>
      </c>
      <c r="AG198" s="1114">
        <f>_xlfn.SUMIFS(Административные!AG$25:AG$122,Административные!$F$25:$F$122,$F198,Административные!$G$25:$G$122,$G198)</f>
        <v>0</v>
      </c>
      <c r="AH198" s="1114">
        <f>AG198-AF198</f>
        <v>0</v>
      </c>
      <c r="AI198" s="1114">
        <f>_xlfn.SUMIFS(Административные!AH$25:AH$122,Административные!$F$25:$F$122,$F198,Административные!$G$25:$G$122,$G198)</f>
        <v>0</v>
      </c>
      <c r="AJ198" s="1114">
        <f>_xlfn.SUMIFS(Административные!AI$25:AI$122,Административные!$F$25:$F$122,$F198,Административные!$G$25:$G$122,$G198)</f>
        <v>3201.9486069</v>
      </c>
      <c r="AK198" s="1115"/>
      <c r="AL198" s="1115"/>
      <c r="AM198" s="1115"/>
      <c r="AN198" s="1115"/>
      <c r="AO198" s="1115"/>
      <c r="AP198" s="1115"/>
      <c r="AQ198" s="1115"/>
      <c r="AR198" s="1115"/>
      <c r="AS198" s="1115"/>
      <c r="AT198" s="1114">
        <f>_xlfn.SUMIFS(Административные!AJ$25:AJ$122,Административные!$F$25:$F$122,$F198,Административные!$G$25:$G$122,$G198)</f>
        <v>3201.9486069</v>
      </c>
      <c r="AU198" s="1115"/>
      <c r="AV198" s="1115"/>
      <c r="AW198" s="1115"/>
      <c r="AX198" s="1115"/>
      <c r="AY198" s="1115"/>
      <c r="AZ198" s="1115"/>
      <c r="BA198" s="1115"/>
      <c r="BB198" s="1115"/>
      <c r="BC198" s="1115"/>
      <c r="BD198" s="1114">
        <f>IF(AI198=0,0,(AT198-AI198)/AI198*100)</f>
        <v>0</v>
      </c>
      <c r="BE198" s="1115"/>
      <c r="BF198" s="1115"/>
      <c r="BG198" s="1115"/>
      <c r="BH198" s="1115"/>
      <c r="BI198" s="1115"/>
      <c r="BJ198" s="1115"/>
      <c r="BK198" s="1115"/>
      <c r="BL198" s="1115"/>
      <c r="BM198" s="1115"/>
      <c r="BN198" s="7433"/>
      <c r="BO198" s="7437" t="str">
        <f>IF(_xlfn.IFERROR(INDEX(Административные!$K$26:$L$122,MATCH($F198&amp;"17komm",Административные!$K$26:$K$122,0),2),"")=0,"",_xlfn.IFERROR(INDEX(Административные!$K$26:$L$122,MATCH($F198&amp;"17komm",Административные!$K$26:$K$122,0),2),""))</f>
        <v>Учтены расходы по выданным долгосрочным параметрам и соответствуют предложению организации.</v>
      </c>
      <c r="BP198" s="7433"/>
      <c r="BQ198" s="1278"/>
      <c r="BR198" s="1278"/>
      <c r="BS198" s="1062" t="s">
        <v>1918</v>
      </c>
      <c r="BT198" s="1064"/>
      <c r="BU198" s="1064"/>
      <c r="BV198" s="979"/>
      <c r="BW198" s="979"/>
    </row>
    <row s="1834" customFormat="1" customHeight="1" ht="24">
      <c r="A199" s="1278"/>
      <c r="B199" s="978"/>
      <c r="C199" s="107"/>
      <c r="D199" s="107"/>
      <c r="E199" s="621">
        <v>15</v>
      </c>
      <c r="F199" s="50" cm="1" t="str">
        <f t="array" ref="F199:F199">OFFSET(E199,-1,1)</f>
        <v>1</v>
      </c>
      <c r="G199" s="107" t="s">
        <v>1919</v>
      </c>
      <c r="H199" s="857"/>
      <c r="I199" s="857" t="s">
        <v>2687</v>
      </c>
      <c r="J199" s="107"/>
      <c r="K199" s="378" t="s">
        <v>2687</v>
      </c>
      <c r="L199" s="980"/>
      <c r="M199" s="107"/>
      <c r="N199" s="107"/>
      <c r="O199" s="107"/>
      <c r="P199" s="107"/>
      <c r="Q199" s="107"/>
      <c r="R199" s="107"/>
      <c r="S199" s="107"/>
      <c r="T199" s="465" cm="1" t="str">
        <f t="array" ref="T199:T199">T198</f>
        <v>true</v>
      </c>
      <c r="U199" s="107"/>
      <c r="V199" s="107"/>
      <c r="W199" s="107"/>
      <c r="X199" s="1596"/>
      <c r="Y199" s="1278"/>
      <c r="Z199" s="1546"/>
      <c r="AA199" s="1278"/>
      <c r="AB199" s="300" t="s">
        <v>2688</v>
      </c>
      <c r="AC199" s="768" t="s">
        <v>1920</v>
      </c>
      <c r="AD199" s="300" t="s">
        <v>1514</v>
      </c>
      <c r="AE199" s="1114">
        <f>_xlfn.SUMIFS(Административные!AE$25:AE$122,Административные!$F$25:$F$122,$F199,Административные!$G$25:$G$122,$G199)</f>
        <v>0</v>
      </c>
      <c r="AF199" s="1114">
        <f>_xlfn.SUMIFS(Административные!AF$25:AF$122,Административные!$F$25:$F$122,$F199,Административные!$G$25:$G$122,$G199)</f>
        <v>0</v>
      </c>
      <c r="AG199" s="1114">
        <f>_xlfn.SUMIFS(Административные!AG$25:AG$122,Административные!$F$25:$F$122,$F199,Административные!$G$25:$G$122,$G199)</f>
        <v>0</v>
      </c>
      <c r="AH199" s="1114">
        <f>AG199-AF199</f>
        <v>0</v>
      </c>
      <c r="AI199" s="1114">
        <f>_xlfn.SUMIFS(Административные!AH$25:AH$122,Административные!$F$25:$F$122,$F199,Административные!$G$25:$G$122,$G199)</f>
        <v>0</v>
      </c>
      <c r="AJ199" s="1114">
        <f>_xlfn.SUMIFS(Административные!AI$25:AI$122,Административные!$F$25:$F$122,$F199,Административные!$G$25:$G$122,$G199)</f>
        <v>101.96227921</v>
      </c>
      <c r="AK199" s="1115"/>
      <c r="AL199" s="1115"/>
      <c r="AM199" s="1115"/>
      <c r="AN199" s="1115"/>
      <c r="AO199" s="1115"/>
      <c r="AP199" s="1115"/>
      <c r="AQ199" s="1115"/>
      <c r="AR199" s="1115"/>
      <c r="AS199" s="1115"/>
      <c r="AT199" s="1114">
        <f>_xlfn.SUMIFS(Административные!AJ$25:AJ$122,Административные!$F$25:$F$122,$F199,Административные!$G$25:$G$122,$G199)</f>
        <v>101.96227921</v>
      </c>
      <c r="AU199" s="1115"/>
      <c r="AV199" s="1115"/>
      <c r="AW199" s="1115"/>
      <c r="AX199" s="1115"/>
      <c r="AY199" s="1115"/>
      <c r="AZ199" s="1115"/>
      <c r="BA199" s="1115"/>
      <c r="BB199" s="1115"/>
      <c r="BC199" s="1115"/>
      <c r="BD199" s="1114">
        <f>IF(AI199=0,0,(AT199-AI199)/AI199*100)</f>
        <v>0</v>
      </c>
      <c r="BE199" s="1115"/>
      <c r="BF199" s="1115"/>
      <c r="BG199" s="1115"/>
      <c r="BH199" s="1115"/>
      <c r="BI199" s="1115"/>
      <c r="BJ199" s="1115"/>
      <c r="BK199" s="1115"/>
      <c r="BL199" s="1115"/>
      <c r="BM199" s="1115"/>
      <c r="BN199" s="7433"/>
      <c r="BO199" s="7437" t="str">
        <f>IF(_xlfn.IFERROR(INDEX(Административные!$K$26:$L$122,MATCH($F199&amp;"18komm",Административные!$K$26:$K$122,0),2),"")=0,"",_xlfn.IFERROR(INDEX(Административные!$K$26:$L$122,MATCH($F199&amp;"18komm",Административные!$K$26:$K$122,0),2),""))</f>
        <v>по расчету организации, не превышает факт 2025 года предыдущей организации.</v>
      </c>
      <c r="BP199" s="7433"/>
      <c r="BQ199" s="1278"/>
      <c r="BR199" s="1278"/>
      <c r="BS199" s="1064" t="s">
        <v>1921</v>
      </c>
      <c r="BT199" s="1064"/>
      <c r="BU199" s="1064"/>
      <c r="BV199" s="979"/>
      <c r="BW199" s="979"/>
    </row>
    <row s="1834" customFormat="1" customHeight="1" ht="0">
      <c r="A200" s="1278"/>
      <c r="B200" s="978"/>
      <c r="C200" s="107"/>
      <c r="D200" s="107"/>
      <c r="E200" s="621">
        <v>15</v>
      </c>
      <c r="F200" s="50" cm="1" t="str">
        <f t="array" ref="F200:F200">OFFSET(E200,-1,1)</f>
        <v>1</v>
      </c>
      <c r="G200" s="107" t="s">
        <v>1922</v>
      </c>
      <c r="H200" s="857"/>
      <c r="I200" s="857" t="s">
        <v>2689</v>
      </c>
      <c r="J200" s="107"/>
      <c r="K200" s="378" t="s">
        <v>2689</v>
      </c>
      <c r="L200" s="980"/>
      <c r="M200" s="107"/>
      <c r="N200" s="107"/>
      <c r="O200" s="107"/>
      <c r="P200" s="107"/>
      <c r="Q200" s="107"/>
      <c r="R200" s="107"/>
      <c r="S200" s="107"/>
      <c r="T200" s="465" cm="1" t="str">
        <f t="array" ref="T200:T200">T199</f>
        <v>true</v>
      </c>
      <c r="U200" s="107"/>
      <c r="V200" s="107"/>
      <c r="W200" s="107"/>
      <c r="X200" s="1596"/>
      <c r="Y200" s="1278"/>
      <c r="Z200" s="1546"/>
      <c r="AA200" s="1278"/>
      <c r="AB200" s="300" t="s">
        <v>2690</v>
      </c>
      <c r="AC200" s="768" t="s">
        <v>1923</v>
      </c>
      <c r="AD200" s="300" t="s">
        <v>1514</v>
      </c>
      <c r="AE200" s="1114">
        <f>_xlfn.SUMIFS(Административные!AE$25:AE$122,Административные!$F$25:$F$122,$F200,Административные!$G$25:$G$122,$G200)</f>
        <v>0</v>
      </c>
      <c r="AF200" s="1114">
        <f>_xlfn.SUMIFS(Административные!AF$25:AF$122,Административные!$F$25:$F$122,$F200,Административные!$G$25:$G$122,$G200)</f>
        <v>0</v>
      </c>
      <c r="AG200" s="1114">
        <f>_xlfn.SUMIFS(Административные!AG$25:AG$122,Административные!$F$25:$F$122,$F200,Административные!$G$25:$G$122,$G200)</f>
        <v>0</v>
      </c>
      <c r="AH200" s="1114">
        <f>AG200-AF200</f>
        <v>0</v>
      </c>
      <c r="AI200" s="1114">
        <f>_xlfn.SUMIFS(Административные!AH$25:AH$122,Административные!$F$25:$F$122,$F200,Административные!$G$25:$G$122,$G200)</f>
        <v>0</v>
      </c>
      <c r="AJ200" s="1114">
        <f>_xlfn.SUMIFS(Административные!AI$25:AI$122,Административные!$F$25:$F$122,$F200,Административные!$G$25:$G$122,$G200)</f>
        <v>0</v>
      </c>
      <c r="AK200" s="1115"/>
      <c r="AL200" s="1115"/>
      <c r="AM200" s="1115"/>
      <c r="AN200" s="1115"/>
      <c r="AO200" s="1115"/>
      <c r="AP200" s="1115"/>
      <c r="AQ200" s="1115"/>
      <c r="AR200" s="1115"/>
      <c r="AS200" s="1115"/>
      <c r="AT200" s="1114">
        <f>_xlfn.SUMIFS(Административные!AJ$25:AJ$122,Административные!$F$25:$F$122,$F200,Административные!$G$25:$G$122,$G200)</f>
        <v>0</v>
      </c>
      <c r="AU200" s="1115"/>
      <c r="AV200" s="1115"/>
      <c r="AW200" s="1115"/>
      <c r="AX200" s="1115"/>
      <c r="AY200" s="1115"/>
      <c r="AZ200" s="1115"/>
      <c r="BA200" s="1115"/>
      <c r="BB200" s="1115"/>
      <c r="BC200" s="1115"/>
      <c r="BD200" s="1114">
        <f>IF(AI200=0,0,(AT200-AI200)/AI200*100)</f>
        <v>0</v>
      </c>
      <c r="BE200" s="1115"/>
      <c r="BF200" s="1115"/>
      <c r="BG200" s="1115"/>
      <c r="BH200" s="1115"/>
      <c r="BI200" s="1115"/>
      <c r="BJ200" s="1115"/>
      <c r="BK200" s="1115"/>
      <c r="BL200" s="1115"/>
      <c r="BM200" s="1115"/>
      <c r="BN200" s="7433"/>
      <c r="BO200" s="7437" t="str">
        <f>IF(_xlfn.IFERROR(INDEX(Административные!$K$26:$L$122,MATCH($F200&amp;"11komm",Административные!$K$26:$K$122,0),2),"")=0,"",_xlfn.IFERROR(INDEX(Административные!$K$26:$L$122,MATCH($F200&amp;"11komm",Административные!$K$26:$K$122,0),2),""))</f>
        <v/>
      </c>
      <c r="BP200" s="7433"/>
      <c r="BQ200" s="1278"/>
      <c r="BR200" s="1278"/>
      <c r="BS200" s="1064" t="s">
        <v>1924</v>
      </c>
      <c r="BT200" s="1064"/>
      <c r="BU200" s="1064"/>
      <c r="BV200" s="979"/>
      <c r="BW200" s="979"/>
    </row>
    <row s="1834" customFormat="1" customHeight="1" ht="0">
      <c r="A201" s="1278"/>
      <c r="B201" s="978"/>
      <c r="C201" s="107"/>
      <c r="D201" s="107"/>
      <c r="E201" s="621">
        <v>15</v>
      </c>
      <c r="F201" s="50" cm="1" t="str">
        <f t="array" ref="F201:F201">OFFSET(E201,-1,1)</f>
        <v>1</v>
      </c>
      <c r="G201" s="107" t="s">
        <v>1925</v>
      </c>
      <c r="H201" s="857"/>
      <c r="I201" s="857" t="s">
        <v>2691</v>
      </c>
      <c r="J201" s="107"/>
      <c r="K201" s="378" t="s">
        <v>2691</v>
      </c>
      <c r="L201" s="980"/>
      <c r="M201" s="107"/>
      <c r="N201" s="107"/>
      <c r="O201" s="107"/>
      <c r="P201" s="107"/>
      <c r="Q201" s="107"/>
      <c r="R201" s="107"/>
      <c r="S201" s="107"/>
      <c r="T201" s="465" cm="1" t="str">
        <f t="array" ref="T201:T201">T200</f>
        <v>true</v>
      </c>
      <c r="U201" s="107"/>
      <c r="V201" s="107"/>
      <c r="W201" s="107"/>
      <c r="X201" s="1596"/>
      <c r="Y201" s="1278"/>
      <c r="Z201" s="1546"/>
      <c r="AA201" s="1278"/>
      <c r="AB201" s="300" t="s">
        <v>2692</v>
      </c>
      <c r="AC201" s="768" t="s">
        <v>1926</v>
      </c>
      <c r="AD201" s="300" t="s">
        <v>1514</v>
      </c>
      <c r="AE201" s="1114">
        <f>_xlfn.SUMIFS(Административные!AE$25:AE$122,Административные!$F$25:$F$122,$F201,Административные!$G$25:$G$122,$G201)</f>
        <v>0</v>
      </c>
      <c r="AF201" s="1114">
        <f>_xlfn.SUMIFS(Административные!AF$25:AF$122,Административные!$F$25:$F$122,$F201,Административные!$G$25:$G$122,$G201)</f>
        <v>0</v>
      </c>
      <c r="AG201" s="1114">
        <f>_xlfn.SUMIFS(Административные!AG$25:AG$122,Административные!$F$25:$F$122,$F201,Административные!$G$25:$G$122,$G201)</f>
        <v>0</v>
      </c>
      <c r="AH201" s="1114">
        <f>AG201-AF201</f>
        <v>0</v>
      </c>
      <c r="AI201" s="1114">
        <f>_xlfn.SUMIFS(Административные!AH$25:AH$122,Административные!$F$25:$F$122,$F201,Административные!$G$25:$G$122,$G201)</f>
        <v>0</v>
      </c>
      <c r="AJ201" s="1114">
        <f>_xlfn.SUMIFS(Административные!AI$25:AI$122,Административные!$F$25:$F$122,$F201,Административные!$G$25:$G$122,$G201)</f>
        <v>0</v>
      </c>
      <c r="AK201" s="1115"/>
      <c r="AL201" s="1115"/>
      <c r="AM201" s="1115"/>
      <c r="AN201" s="1115"/>
      <c r="AO201" s="1115"/>
      <c r="AP201" s="1115"/>
      <c r="AQ201" s="1115"/>
      <c r="AR201" s="1115"/>
      <c r="AS201" s="1115"/>
      <c r="AT201" s="1114">
        <f>_xlfn.SUMIFS(Административные!AJ$25:AJ$122,Административные!$F$25:$F$122,$F201,Административные!$G$25:$G$122,$G201)</f>
        <v>0</v>
      </c>
      <c r="AU201" s="1115"/>
      <c r="AV201" s="1115"/>
      <c r="AW201" s="1115"/>
      <c r="AX201" s="1115"/>
      <c r="AY201" s="1115"/>
      <c r="AZ201" s="1115"/>
      <c r="BA201" s="1115"/>
      <c r="BB201" s="1115"/>
      <c r="BC201" s="1115"/>
      <c r="BD201" s="1114">
        <f>IF(AI201=0,0,(AT201-AI201)/AI201*100)</f>
        <v>0</v>
      </c>
      <c r="BE201" s="1115"/>
      <c r="BF201" s="1115"/>
      <c r="BG201" s="1115"/>
      <c r="BH201" s="1115"/>
      <c r="BI201" s="1115"/>
      <c r="BJ201" s="1115"/>
      <c r="BK201" s="1115"/>
      <c r="BL201" s="1115"/>
      <c r="BM201" s="1115"/>
      <c r="BN201" s="7433"/>
      <c r="BO201" s="7437" t="str">
        <f>IF(_xlfn.IFERROR(INDEX(Административные!$K$26:$L$122,MATCH($F201&amp;"12komm",Административные!$K$26:$K$122,0),2),"")=0,"",_xlfn.IFERROR(INDEX(Административные!$K$26:$L$122,MATCH($F201&amp;"12komm",Административные!$K$26:$K$122,0),2),""))</f>
        <v/>
      </c>
      <c r="BP201" s="7433"/>
      <c r="BQ201" s="1278"/>
      <c r="BR201" s="1278"/>
      <c r="BS201" s="1064" t="s">
        <v>1927</v>
      </c>
      <c r="BT201" s="1064"/>
      <c r="BU201" s="1064"/>
      <c r="BV201" s="979"/>
      <c r="BW201" s="979"/>
    </row>
    <row s="1834" customFormat="1" customHeight="1" ht="0">
      <c r="A202" s="1278"/>
      <c r="B202" s="978"/>
      <c r="C202" s="107"/>
      <c r="D202" s="107"/>
      <c r="E202" s="621">
        <v>15</v>
      </c>
      <c r="F202" s="50" cm="1" t="str">
        <f t="array" ref="F202:F202">OFFSET(E202,-1,1)</f>
        <v>1</v>
      </c>
      <c r="G202" s="107" t="s">
        <v>1928</v>
      </c>
      <c r="H202" s="857"/>
      <c r="I202" s="857" t="s">
        <v>2693</v>
      </c>
      <c r="J202" s="107"/>
      <c r="K202" s="378" t="s">
        <v>2693</v>
      </c>
      <c r="L202" s="980"/>
      <c r="M202" s="107"/>
      <c r="N202" s="107"/>
      <c r="O202" s="107"/>
      <c r="P202" s="107"/>
      <c r="Q202" s="107"/>
      <c r="R202" s="107"/>
      <c r="S202" s="107"/>
      <c r="T202" s="465" cm="1" t="str">
        <f t="array" ref="T202:T202">T201</f>
        <v>true</v>
      </c>
      <c r="U202" s="107"/>
      <c r="V202" s="107"/>
      <c r="W202" s="107"/>
      <c r="X202" s="1596"/>
      <c r="Y202" s="1278"/>
      <c r="Z202" s="1546"/>
      <c r="AA202" s="1278"/>
      <c r="AB202" s="300" t="s">
        <v>2694</v>
      </c>
      <c r="AC202" s="768" t="s">
        <v>1929</v>
      </c>
      <c r="AD202" s="300" t="s">
        <v>1514</v>
      </c>
      <c r="AE202" s="1114">
        <f>_xlfn.SUMIFS(Административные!AE$25:AE$122,Административные!$F$25:$F$122,$F202,Административные!$G$25:$G$122,$G202)</f>
        <v>0</v>
      </c>
      <c r="AF202" s="1114">
        <f>_xlfn.SUMIFS(Административные!AF$25:AF$122,Административные!$F$25:$F$122,$F202,Административные!$G$25:$G$122,$G202)</f>
        <v>0</v>
      </c>
      <c r="AG202" s="1114">
        <f>_xlfn.SUMIFS(Административные!AG$25:AG$122,Административные!$F$25:$F$122,$F202,Административные!$G$25:$G$122,$G202)</f>
        <v>0</v>
      </c>
      <c r="AH202" s="1114">
        <f>AG202-AF202</f>
        <v>0</v>
      </c>
      <c r="AI202" s="1114">
        <f>_xlfn.SUMIFS(Административные!AH$25:AH$122,Административные!$F$25:$F$122,$F202,Административные!$G$25:$G$122,$G202)</f>
        <v>0</v>
      </c>
      <c r="AJ202" s="1114">
        <f>_xlfn.SUMIFS(Административные!AI$25:AI$122,Административные!$F$25:$F$122,$F202,Административные!$G$25:$G$122,$G202)</f>
        <v>0</v>
      </c>
      <c r="AK202" s="1115"/>
      <c r="AL202" s="1115"/>
      <c r="AM202" s="1115"/>
      <c r="AN202" s="1115"/>
      <c r="AO202" s="1115"/>
      <c r="AP202" s="1115"/>
      <c r="AQ202" s="1115"/>
      <c r="AR202" s="1115"/>
      <c r="AS202" s="1115"/>
      <c r="AT202" s="1114">
        <f>_xlfn.SUMIFS(Административные!AJ$25:AJ$122,Административные!$F$25:$F$122,$F202,Административные!$G$25:$G$122,$G202)</f>
        <v>0</v>
      </c>
      <c r="AU202" s="1115"/>
      <c r="AV202" s="1115"/>
      <c r="AW202" s="1115"/>
      <c r="AX202" s="1115"/>
      <c r="AY202" s="1115"/>
      <c r="AZ202" s="1115"/>
      <c r="BA202" s="1115"/>
      <c r="BB202" s="1115"/>
      <c r="BC202" s="1115"/>
      <c r="BD202" s="1114">
        <f>IF(AI202=0,0,(AT202-AI202)/AI202*100)</f>
        <v>0</v>
      </c>
      <c r="BE202" s="1115"/>
      <c r="BF202" s="1115"/>
      <c r="BG202" s="1115"/>
      <c r="BH202" s="1115"/>
      <c r="BI202" s="1115"/>
      <c r="BJ202" s="1115"/>
      <c r="BK202" s="1115"/>
      <c r="BL202" s="1115"/>
      <c r="BM202" s="1115"/>
      <c r="BN202" s="7433"/>
      <c r="BO202" s="7437" t="str">
        <f>IF(_xlfn.IFERROR(INDEX(Административные!$K$26:$L$122,MATCH($F202&amp;"13komm",Административные!$K$26:$K$122,0),2),"")=0,"",_xlfn.IFERROR(INDEX(Административные!$K$26:$L$122,MATCH($F202&amp;"13komm",Административные!$K$26:$K$122,0),2),""))</f>
        <v/>
      </c>
      <c r="BP202" s="7433"/>
      <c r="BQ202" s="1278"/>
      <c r="BR202" s="1278"/>
      <c r="BS202" s="1064" t="s">
        <v>1930</v>
      </c>
      <c r="BT202" s="1064"/>
      <c r="BU202" s="1064"/>
      <c r="BV202" s="979"/>
      <c r="BW202" s="979"/>
    </row>
    <row s="1834" customFormat="1" customHeight="1" ht="0">
      <c r="A203" s="1278"/>
      <c r="B203" s="978"/>
      <c r="C203" s="107"/>
      <c r="D203" s="107"/>
      <c r="E203" s="621">
        <v>15</v>
      </c>
      <c r="F203" s="50" cm="1" t="str">
        <f t="array" ref="F203:F203">OFFSET(E203,-1,1)</f>
        <v>1</v>
      </c>
      <c r="G203" s="107" t="s">
        <v>1931</v>
      </c>
      <c r="H203" s="857"/>
      <c r="I203" s="857" t="s">
        <v>2695</v>
      </c>
      <c r="J203" s="107"/>
      <c r="K203" s="378" t="s">
        <v>2695</v>
      </c>
      <c r="L203" s="980"/>
      <c r="M203" s="107"/>
      <c r="N203" s="107"/>
      <c r="O203" s="107"/>
      <c r="P203" s="107"/>
      <c r="Q203" s="107"/>
      <c r="R203" s="107"/>
      <c r="S203" s="107"/>
      <c r="T203" s="465" cm="1" t="str">
        <f t="array" ref="T203:T203">T202</f>
        <v>true</v>
      </c>
      <c r="U203" s="107"/>
      <c r="V203" s="107"/>
      <c r="W203" s="107"/>
      <c r="X203" s="1596"/>
      <c r="Y203" s="1278"/>
      <c r="Z203" s="1546"/>
      <c r="AA203" s="1278"/>
      <c r="AB203" s="300" t="s">
        <v>2696</v>
      </c>
      <c r="AC203" s="768" t="s">
        <v>1932</v>
      </c>
      <c r="AD203" s="300" t="s">
        <v>1514</v>
      </c>
      <c r="AE203" s="787">
        <f>_xlfn.SUMIFS(Административные!AE$25:AE$122,Административные!$F$25:$F$122,$F203,Административные!$G$25:$G$122,$G203)</f>
        <v>0</v>
      </c>
      <c r="AF203" s="787">
        <f>_xlfn.SUMIFS(Административные!AF$25:AF$122,Административные!$F$25:$F$122,$F203,Административные!$G$25:$G$122,$G203)</f>
        <v>0</v>
      </c>
      <c r="AG203" s="787">
        <f>_xlfn.SUMIFS(Административные!AG$25:AG$122,Административные!$F$25:$F$122,$F203,Административные!$G$25:$G$122,$G203)</f>
        <v>0</v>
      </c>
      <c r="AH203" s="767">
        <f>AG203-AF203</f>
        <v>0</v>
      </c>
      <c r="AI203" s="787">
        <f>_xlfn.SUMIFS(Административные!AH$25:AH$122,Административные!$F$25:$F$122,$F203,Административные!$G$25:$G$122,$G203)</f>
        <v>0</v>
      </c>
      <c r="AJ203" s="787">
        <f>_xlfn.SUMIFS(Административные!AI$25:AI$122,Административные!$F$25:$F$122,$F203,Административные!$G$25:$G$122,$G203)</f>
        <v>0</v>
      </c>
      <c r="AK203" s="763"/>
      <c r="AL203" s="763"/>
      <c r="AM203" s="763"/>
      <c r="AN203" s="763"/>
      <c r="AO203" s="763"/>
      <c r="AP203" s="763"/>
      <c r="AQ203" s="763"/>
      <c r="AR203" s="763"/>
      <c r="AS203" s="763"/>
      <c r="AT203" s="787">
        <f>_xlfn.SUMIFS(Административные!AJ$25:AJ$122,Административные!$F$25:$F$122,$F203,Административные!$G$25:$G$122,$G203)</f>
        <v>0</v>
      </c>
      <c r="AU203" s="1115"/>
      <c r="AV203" s="1115"/>
      <c r="AW203" s="1115"/>
      <c r="AX203" s="1115"/>
      <c r="AY203" s="1115"/>
      <c r="AZ203" s="1115"/>
      <c r="BA203" s="1115"/>
      <c r="BB203" s="1115"/>
      <c r="BC203" s="1115"/>
      <c r="BD203" s="1114">
        <f>IF(AI203=0,0,(AT203-AI203)/AI203*100)</f>
        <v>0</v>
      </c>
      <c r="BE203" s="1115"/>
      <c r="BF203" s="1115"/>
      <c r="BG203" s="1115"/>
      <c r="BH203" s="1115"/>
      <c r="BI203" s="1115"/>
      <c r="BJ203" s="1115"/>
      <c r="BK203" s="1115"/>
      <c r="BL203" s="1115"/>
      <c r="BM203" s="1115"/>
      <c r="BN203" s="7433"/>
      <c r="BO203" s="7437" t="str">
        <f>IF(_xlfn.IFERROR(INDEX(Административные!$K$26:$L$122,MATCH($F203&amp;"14komm",Административные!$K$26:$K$122,0),2),"")=0,"",_xlfn.IFERROR(INDEX(Административные!$K$26:$L$122,MATCH($F203&amp;"14komm",Административные!$K$26:$K$122,0),2),""))</f>
        <v/>
      </c>
      <c r="BP203" s="7433"/>
      <c r="BQ203" s="1278"/>
      <c r="BR203" s="1278"/>
      <c r="BS203" s="1064" t="s">
        <v>2697</v>
      </c>
      <c r="BT203" s="1064"/>
      <c r="BU203" s="1064"/>
      <c r="BV203" s="979"/>
      <c r="BW203" s="979"/>
    </row>
    <row s="1834" customFormat="1" customHeight="1" ht="24">
      <c r="A204" s="1278"/>
      <c r="B204" s="978"/>
      <c r="C204" s="107"/>
      <c r="D204" s="107"/>
      <c r="E204" s="621">
        <v>15</v>
      </c>
      <c r="F204" s="50" cm="1" t="str">
        <f t="array" ref="F204:F204">OFFSET(E204,-1,1)</f>
        <v>1</v>
      </c>
      <c r="G204" s="107" t="s">
        <v>1934</v>
      </c>
      <c r="H204" s="857"/>
      <c r="I204" s="857" t="s">
        <v>2698</v>
      </c>
      <c r="J204" s="107"/>
      <c r="K204" s="378" t="s">
        <v>2698</v>
      </c>
      <c r="L204" s="980"/>
      <c r="M204" s="107"/>
      <c r="N204" s="107"/>
      <c r="O204" s="107"/>
      <c r="P204" s="107"/>
      <c r="Q204" s="107"/>
      <c r="R204" s="107"/>
      <c r="S204" s="107"/>
      <c r="T204" s="465" cm="1" t="str">
        <f t="array" ref="T204:T204">T203</f>
        <v>true</v>
      </c>
      <c r="U204" s="107"/>
      <c r="V204" s="107"/>
      <c r="W204" s="107"/>
      <c r="X204" s="1596"/>
      <c r="Y204" s="1278"/>
      <c r="Z204" s="1546"/>
      <c r="AA204" s="1278"/>
      <c r="AB204" s="300" t="s">
        <v>2699</v>
      </c>
      <c r="AC204" s="768" t="s">
        <v>1937</v>
      </c>
      <c r="AD204" s="300" t="s">
        <v>1514</v>
      </c>
      <c r="AE204" s="1114">
        <f>_xlfn.SUMIFS(Административные!AE$25:AE$122,Административные!$F$25:$F$122,$F204,Административные!$G$25:$G$122,$G204)</f>
        <v>0</v>
      </c>
      <c r="AF204" s="1114">
        <f>_xlfn.SUMIFS(Административные!AF$25:AF$122,Административные!$F$25:$F$122,$F204,Административные!$G$25:$G$122,$G204)</f>
        <v>0</v>
      </c>
      <c r="AG204" s="1114">
        <f>_xlfn.SUMIFS(Административные!AG$25:AG$122,Административные!$F$25:$F$122,$F204,Административные!$G$25:$G$122,$G204)</f>
        <v>0</v>
      </c>
      <c r="AH204" s="1114">
        <f>AG204-AF204</f>
        <v>0</v>
      </c>
      <c r="AI204" s="1114">
        <f>_xlfn.SUMIFS(Административные!AH$25:AH$122,Административные!$F$25:$F$122,$F204,Административные!$G$25:$G$122,$G204)</f>
        <v>0</v>
      </c>
      <c r="AJ204" s="1114">
        <f>_xlfn.SUMIFS(Административные!AI$25:AI$122,Административные!$F$25:$F$122,$F204,Административные!$G$25:$G$122,$G204)</f>
        <v>29.92753029</v>
      </c>
      <c r="AK204" s="1115"/>
      <c r="AL204" s="1115"/>
      <c r="AM204" s="1115"/>
      <c r="AN204" s="1115"/>
      <c r="AO204" s="1115"/>
      <c r="AP204" s="1115"/>
      <c r="AQ204" s="1115"/>
      <c r="AR204" s="1115"/>
      <c r="AS204" s="1115"/>
      <c r="AT204" s="1114">
        <f>_xlfn.SUMIFS(Административные!AJ$25:AJ$122,Административные!$F$25:$F$122,$F204,Административные!$G$25:$G$122,$G204)</f>
        <v>29.92753029</v>
      </c>
      <c r="AU204" s="1115"/>
      <c r="AV204" s="1115"/>
      <c r="AW204" s="1115"/>
      <c r="AX204" s="1115"/>
      <c r="AY204" s="1115"/>
      <c r="AZ204" s="1115"/>
      <c r="BA204" s="1115"/>
      <c r="BB204" s="1115"/>
      <c r="BC204" s="1115"/>
      <c r="BD204" s="1114">
        <f>IF(AI204=0,0,(AT204-AI204)/AI204*100)</f>
        <v>0</v>
      </c>
      <c r="BE204" s="1115"/>
      <c r="BF204" s="1115"/>
      <c r="BG204" s="1115"/>
      <c r="BH204" s="1115"/>
      <c r="BI204" s="1115"/>
      <c r="BJ204" s="1115"/>
      <c r="BK204" s="1115"/>
      <c r="BL204" s="1115"/>
      <c r="BM204" s="1115"/>
      <c r="BN204" s="7433"/>
      <c r="BO204" s="7437" t="str">
        <f>IF(_xlfn.IFERROR(INDEX(Административные!$K$26:$L$122,MATCH($F204&amp;"15komm",Административные!$K$26:$K$122,0),2),"")=0,"",_xlfn.IFERROR(INDEX(Административные!$K$26:$L$122,MATCH($F204&amp;"15komm",Административные!$K$26:$K$122,0),2),""))</f>
        <v>по расчету организации, не превышает факт 2025 года предыдущей организации.</v>
      </c>
      <c r="BP204" s="7433"/>
      <c r="BQ204" s="1278"/>
      <c r="BR204" s="1278"/>
      <c r="BS204" s="1064" t="s">
        <v>1938</v>
      </c>
      <c r="BT204" s="1064"/>
      <c r="BU204" s="1064"/>
      <c r="BV204" s="979"/>
      <c r="BW204" s="979"/>
    </row>
    <row s="1834" customFormat="1" customHeight="1" ht="246">
      <c r="A205" s="1278"/>
      <c r="B205" s="978"/>
      <c r="C205" s="107"/>
      <c r="D205" s="107"/>
      <c r="E205" s="621">
        <v>15</v>
      </c>
      <c r="F205" s="50" cm="1" t="str">
        <f t="array" ref="F205:F205">OFFSET(E205,-1,1)</f>
        <v>1</v>
      </c>
      <c r="G205" s="107" t="s">
        <v>1939</v>
      </c>
      <c r="H205" s="857"/>
      <c r="I205" s="857" t="s">
        <v>2700</v>
      </c>
      <c r="J205" s="107"/>
      <c r="K205" s="378" t="s">
        <v>2700</v>
      </c>
      <c r="L205" s="980"/>
      <c r="M205" s="107"/>
      <c r="N205" s="107"/>
      <c r="O205" s="107"/>
      <c r="P205" s="107"/>
      <c r="Q205" s="107"/>
      <c r="R205" s="107"/>
      <c r="S205" s="107"/>
      <c r="T205" s="465" cm="1" t="str">
        <f t="array" ref="T205:T205">T204</f>
        <v>true</v>
      </c>
      <c r="U205" s="107"/>
      <c r="V205" s="107"/>
      <c r="W205" s="107"/>
      <c r="X205" s="1596"/>
      <c r="Y205" s="1278"/>
      <c r="Z205" s="1546"/>
      <c r="AA205" s="1278"/>
      <c r="AB205" s="300" t="s">
        <v>2701</v>
      </c>
      <c r="AC205" s="768" t="s">
        <v>1942</v>
      </c>
      <c r="AD205" s="300" t="s">
        <v>1514</v>
      </c>
      <c r="AE205" s="1114">
        <f>_xlfn.SUMIFS(Административные!AE$25:AE$122,Административные!$F$25:$F$122,$F205,Административные!$G$25:$G$122,$G205)</f>
        <v>0</v>
      </c>
      <c r="AF205" s="1114">
        <f>_xlfn.SUMIFS(Административные!AF$25:AF$122,Административные!$F$25:$F$122,$F205,Административные!$G$25:$G$122,$G205)</f>
        <v>0</v>
      </c>
      <c r="AG205" s="1114">
        <f>_xlfn.SUMIFS(Административные!AG$25:AG$122,Административные!$F$25:$F$122,$F205,Административные!$G$25:$G$122,$G205)</f>
        <v>0</v>
      </c>
      <c r="AH205" s="1114">
        <f>AG205-AF205</f>
        <v>0</v>
      </c>
      <c r="AI205" s="1114">
        <f>_xlfn.SUMIFS(Административные!AH$25:AH$122,Административные!$F$25:$F$122,$F205,Административные!$G$25:$G$122,$G205)</f>
        <v>0</v>
      </c>
      <c r="AJ205" s="1114">
        <f>_xlfn.SUMIFS(Административные!AI$25:AI$122,Административные!$F$25:$F$122,$F205,Административные!$G$25:$G$122,$G205)</f>
        <v>3070.0587974</v>
      </c>
      <c r="AK205" s="1115"/>
      <c r="AL205" s="1115"/>
      <c r="AM205" s="1115"/>
      <c r="AN205" s="1115"/>
      <c r="AO205" s="1115"/>
      <c r="AP205" s="1115"/>
      <c r="AQ205" s="1115"/>
      <c r="AR205" s="1115"/>
      <c r="AS205" s="1115"/>
      <c r="AT205" s="1114">
        <f>_xlfn.SUMIFS(Административные!AJ$25:AJ$122,Административные!$F$25:$F$122,$F205,Административные!$G$25:$G$122,$G205)</f>
        <v>3070.0587974</v>
      </c>
      <c r="AU205" s="1115"/>
      <c r="AV205" s="1115"/>
      <c r="AW205" s="1115"/>
      <c r="AX205" s="1115"/>
      <c r="AY205" s="1115"/>
      <c r="AZ205" s="1115"/>
      <c r="BA205" s="1115"/>
      <c r="BB205" s="1115"/>
      <c r="BC205" s="1115"/>
      <c r="BD205" s="1114">
        <f>IF(AI205=0,0,(AT205-AI205)/AI205*100)</f>
        <v>0</v>
      </c>
      <c r="BE205" s="1115"/>
      <c r="BF205" s="1115"/>
      <c r="BG205" s="1115"/>
      <c r="BH205" s="1115"/>
      <c r="BI205" s="1115"/>
      <c r="BJ205" s="1115"/>
      <c r="BK205" s="1115"/>
      <c r="BL205" s="1115"/>
      <c r="BM205" s="1115"/>
      <c r="BN205" s="7433"/>
      <c r="BO205" s="7437" t="str">
        <f>IF(_xlfn.IFERROR(INDEX(Административные!$K$26:$L$122,MATCH($F205&amp;"16komm",Административные!$K$26:$K$122,0),2),"")=0,"",_xlfn.IFERROR(INDEX(Административные!$K$26:$L$122,MATCH($F205&amp;"16komm",Административные!$K$26:$K$122,0),2),""))</f>
        <v>Учтены расходы:
1. По факту с января по май 2025 года в пересчете на годовые показатели, с применением ИПЦ Минэкономразвития России на 2026 год 105,1%:
- услуги сторонних организаций (автоуслуги) 20,83 т.р.;
- расходы на канцелярию 70,04 т.р.;
- прочие услуги 162,77 т.р.
- почтовые расходы, типография, обсл.оргтех. 108,56 т.р.;
2. Услуги по начисл. и сбору ВС и ВО 1590,89 т.р. по факту с июня 2024 года по май 2025 года, с применением ИЦП Минэкономразвития на 2025 год 109,0%, на 2026 год 105,1%.
3. Электроэнергия 679,52 т.р. по факту с июня 2024 года по май 2025 года, с применением ИЦП Минэкономразвития на 2025 год 114,4%, на 2026 год 113,2%;
4. Прочие расходы (спец.одежда, инструм., хозинвент., матер.на общехоз.и произв.нужды) 397,03 т.р. по факту с июня по декабрь 2024 года предыдущей организации в пересчете на годовые показатели, с применением ИПЦ Минэкономразвития на 2025 год 109,0%, на 2026 год 105,1%;
 5. По расчету организации не превышает факт 2025 предыдущей организации:
- ТБО 30,42 т.р.;
- объявления 10,00 т.р.</v>
      </c>
      <c r="BP205" s="7433"/>
      <c r="BQ205" s="1278"/>
      <c r="BR205" s="1278"/>
      <c r="BS205" s="1064" t="s">
        <v>2702</v>
      </c>
      <c r="BT205" s="1064"/>
      <c r="BU205" s="1064"/>
      <c r="BV205" s="979"/>
      <c r="BW205" s="979"/>
    </row>
    <row s="1834" customFormat="1" customHeight="1" ht="33.75">
      <c r="A206" s="1278"/>
      <c r="B206" s="978"/>
      <c r="C206" s="107"/>
      <c r="D206" s="107"/>
      <c r="E206" s="621">
        <v>22.5</v>
      </c>
      <c r="F206" s="50" cm="1" t="str">
        <f t="array" ref="F206:F206">OFFSET(E206,-1,1)</f>
        <v>1</v>
      </c>
      <c r="G206" s="107"/>
      <c r="H206" s="857"/>
      <c r="I206" s="857" t="s">
        <v>2096</v>
      </c>
      <c r="J206" s="107"/>
      <c r="K206" s="378" t="s">
        <v>2096</v>
      </c>
      <c r="L206" s="980" t="s">
        <v>1660</v>
      </c>
      <c r="M206" s="107"/>
      <c r="N206" s="107"/>
      <c r="O206" s="107"/>
      <c r="P206" s="107"/>
      <c r="Q206" s="107"/>
      <c r="R206" s="107"/>
      <c r="S206" s="107"/>
      <c r="T206" s="465" cm="1" t="str">
        <f t="array" ref="T206:T206">T205</f>
        <v>true</v>
      </c>
      <c r="U206" s="107"/>
      <c r="V206" s="107"/>
      <c r="W206" s="107"/>
      <c r="X206" s="1596"/>
      <c r="Y206" s="1278"/>
      <c r="Z206" s="1546"/>
      <c r="AA206" s="1278"/>
      <c r="AB206" s="300" t="s">
        <v>1755</v>
      </c>
      <c r="AC206" s="765" t="s">
        <v>2703</v>
      </c>
      <c r="AD206" s="300" t="s">
        <v>1514</v>
      </c>
      <c r="AE206" s="1116">
        <f>AE207+AE208</f>
        <v>0</v>
      </c>
      <c r="AF206" s="1116">
        <f>AF207+AF208</f>
        <v>0</v>
      </c>
      <c r="AG206" s="1116">
        <f>AG207+AG208</f>
        <v>0</v>
      </c>
      <c r="AH206" s="1114">
        <f>AG206-AF206</f>
        <v>0</v>
      </c>
      <c r="AI206" s="1116">
        <f>AI207+AI208</f>
        <v>0</v>
      </c>
      <c r="AJ206" s="1116">
        <f>AJ207+AJ208</f>
        <v>19745.7777780292</v>
      </c>
      <c r="AK206" s="1115"/>
      <c r="AL206" s="1115"/>
      <c r="AM206" s="1115"/>
      <c r="AN206" s="1115"/>
      <c r="AO206" s="1115"/>
      <c r="AP206" s="1115"/>
      <c r="AQ206" s="1115"/>
      <c r="AR206" s="1115"/>
      <c r="AS206" s="1115"/>
      <c r="AT206" s="1116">
        <f>AT207+AT208</f>
        <v>19745.7777780292</v>
      </c>
      <c r="AU206" s="1115"/>
      <c r="AV206" s="1115"/>
      <c r="AW206" s="1115"/>
      <c r="AX206" s="1115"/>
      <c r="AY206" s="1115"/>
      <c r="AZ206" s="1115"/>
      <c r="BA206" s="1115"/>
      <c r="BB206" s="1115"/>
      <c r="BC206" s="1115"/>
      <c r="BD206" s="1114">
        <f>IF(AI206=0,0,(AT206-AI206)/AI206*100)</f>
        <v>0</v>
      </c>
      <c r="BE206" s="1115"/>
      <c r="BF206" s="1115"/>
      <c r="BG206" s="1115"/>
      <c r="BH206" s="1115"/>
      <c r="BI206" s="1115"/>
      <c r="BJ206" s="1115"/>
      <c r="BK206" s="1115"/>
      <c r="BL206" s="1115"/>
      <c r="BM206" s="1115"/>
      <c r="BN206" s="7433"/>
      <c r="BO206" s="7433" t="s">
        <v>2919</v>
      </c>
      <c r="BP206" s="7433"/>
      <c r="BQ206" s="1278"/>
      <c r="BR206" s="1278"/>
      <c r="BS206" s="1062" t="s">
        <v>2517</v>
      </c>
      <c r="BT206" s="1064"/>
      <c r="BU206" s="1064"/>
      <c r="BV206" s="979"/>
      <c r="BW206" s="979"/>
    </row>
    <row s="1834" customFormat="1" customHeight="1" ht="23.25">
      <c r="A207" s="1278"/>
      <c r="B207" s="978"/>
      <c r="C207" s="107"/>
      <c r="D207" s="107"/>
      <c r="E207" s="621">
        <v>15</v>
      </c>
      <c r="F207" s="50" cm="1" t="str">
        <f t="array" ref="F207:F207">OFFSET(E207,-1,1)</f>
        <v>1</v>
      </c>
      <c r="G207" s="107" t="s">
        <v>1889</v>
      </c>
      <c r="H207" s="857"/>
      <c r="I207" s="857" t="s">
        <v>2704</v>
      </c>
      <c r="J207" s="107"/>
      <c r="K207" s="378" t="s">
        <v>2704</v>
      </c>
      <c r="L207" s="980" t="s">
        <v>1211</v>
      </c>
      <c r="M207" s="107"/>
      <c r="N207" s="107"/>
      <c r="O207" s="107"/>
      <c r="P207" s="107"/>
      <c r="Q207" s="107"/>
      <c r="R207" s="107"/>
      <c r="S207" s="107"/>
      <c r="T207" s="465" cm="1" t="str">
        <f t="array" ref="T207:T207">T206</f>
        <v>true</v>
      </c>
      <c r="U207" s="107"/>
      <c r="V207" s="107"/>
      <c r="W207" s="107"/>
      <c r="X207" s="1596"/>
      <c r="Y207" s="1278"/>
      <c r="Z207" s="1546"/>
      <c r="AA207" s="1278"/>
      <c r="AB207" s="300" t="s">
        <v>2705</v>
      </c>
      <c r="AC207" s="768" t="s">
        <v>2518</v>
      </c>
      <c r="AD207" s="771" t="s">
        <v>1514</v>
      </c>
      <c r="AE207" s="1114">
        <f>_xlfn.SUMIFS(ФОТ!AE$25:AE$188,ФОТ!$F$25:$F$188,$F207,ФОТ!$G$25:$G$188,$G207)</f>
        <v>0</v>
      </c>
      <c r="AF207" s="1114">
        <f>_xlfn.SUMIFS(ФОТ!AF$25:AF$188,ФОТ!$F$25:$F$188,$F207,ФОТ!$G$25:$G$188,$G207)</f>
        <v>0</v>
      </c>
      <c r="AG207" s="1114">
        <f>_xlfn.SUMIFS(ФОТ!AG$25:AG$188,ФОТ!$F$25:$F$188,$F207,ФОТ!$G$25:$G$188,$G207)</f>
        <v>0</v>
      </c>
      <c r="AH207" s="1114">
        <f>AG207-AF207</f>
        <v>0</v>
      </c>
      <c r="AI207" s="1114">
        <f>_xlfn.SUMIFS(ФОТ!AH$25:AH$188,ФОТ!$F$25:$F$188,$F207,ФОТ!$G$25:$G$188,$G207)</f>
        <v>0</v>
      </c>
      <c r="AJ207" s="1114">
        <f>_xlfn.SUMIFS(ФОТ!AI$25:AI$188,ФОТ!$F$25:$F$188,$F207,ФОТ!$G$25:$G$188,$G207)</f>
        <v>15165.7279401146</v>
      </c>
      <c r="AK207" s="1115"/>
      <c r="AL207" s="1115"/>
      <c r="AM207" s="1115"/>
      <c r="AN207" s="1115"/>
      <c r="AO207" s="1115"/>
      <c r="AP207" s="1115"/>
      <c r="AQ207" s="1115"/>
      <c r="AR207" s="1115"/>
      <c r="AS207" s="1115"/>
      <c r="AT207" s="1114">
        <f>_xlfn.SUMIFS(ФОТ!AJ$25:AJ$188,ФОТ!$F$25:$F$188,$F207,ФОТ!$G$25:$G$188,$G207)</f>
        <v>15165.7279401146</v>
      </c>
      <c r="AU207" s="1115"/>
      <c r="AV207" s="1115"/>
      <c r="AW207" s="1115"/>
      <c r="AX207" s="1115"/>
      <c r="AY207" s="1115"/>
      <c r="AZ207" s="1115"/>
      <c r="BA207" s="1115"/>
      <c r="BB207" s="1115"/>
      <c r="BC207" s="1115"/>
      <c r="BD207" s="1114">
        <f>IF(AI207=0,0,(AT207-AI207)/AI207*100)</f>
        <v>0</v>
      </c>
      <c r="BE207" s="1115"/>
      <c r="BF207" s="1115"/>
      <c r="BG207" s="1115"/>
      <c r="BH207" s="1115"/>
      <c r="BI207" s="1115"/>
      <c r="BJ207" s="1115"/>
      <c r="BK207" s="1115"/>
      <c r="BL207" s="1115"/>
      <c r="BM207" s="1115"/>
      <c r="BN207" s="7433"/>
      <c r="BO207" s="7437" t="s">
        <v>2920</v>
      </c>
      <c r="BP207" s="7433"/>
      <c r="BQ207" s="1278"/>
      <c r="BR207" s="1278"/>
      <c r="BS207" s="1062" t="s">
        <v>1915</v>
      </c>
      <c r="BT207" s="1064"/>
      <c r="BU207" s="1064"/>
      <c r="BV207" s="979"/>
      <c r="BW207" s="979"/>
    </row>
    <row s="1834" customFormat="1" customHeight="1" ht="33.75">
      <c r="A208" s="1278"/>
      <c r="B208" s="978"/>
      <c r="C208" s="107"/>
      <c r="D208" s="107"/>
      <c r="E208" s="621">
        <v>22.5</v>
      </c>
      <c r="F208" s="50" cm="1" t="str">
        <f t="array" ref="F208:F208">OFFSET(E208,-1,1)</f>
        <v>1</v>
      </c>
      <c r="G208" s="107" t="s">
        <v>1894</v>
      </c>
      <c r="H208" s="857"/>
      <c r="I208" s="857" t="s">
        <v>2706</v>
      </c>
      <c r="J208" s="107"/>
      <c r="K208" s="378" t="s">
        <v>2706</v>
      </c>
      <c r="L208" s="980" t="s">
        <v>1216</v>
      </c>
      <c r="M208" s="107"/>
      <c r="N208" s="107"/>
      <c r="O208" s="107"/>
      <c r="P208" s="107"/>
      <c r="Q208" s="107"/>
      <c r="R208" s="107"/>
      <c r="S208" s="107"/>
      <c r="T208" s="465" cm="1" t="str">
        <f t="array" ref="T208:T208">T207</f>
        <v>true</v>
      </c>
      <c r="U208" s="107"/>
      <c r="V208" s="107"/>
      <c r="W208" s="107"/>
      <c r="X208" s="1596"/>
      <c r="Y208" s="1278"/>
      <c r="Z208" s="1546"/>
      <c r="AA208" s="1278"/>
      <c r="AB208" s="300" t="s">
        <v>2707</v>
      </c>
      <c r="AC208" s="768" t="s">
        <v>2708</v>
      </c>
      <c r="AD208" s="300" t="s">
        <v>1514</v>
      </c>
      <c r="AE208" s="1114">
        <f>_xlfn.SUMIFS(ФОТ!AE$25:AE$188,ФОТ!$F$25:$F$188,$F208,ФОТ!$G$25:$G$188,$G208)</f>
        <v>0</v>
      </c>
      <c r="AF208" s="1114">
        <f>_xlfn.SUMIFS(ФОТ!AF$25:AF$188,ФОТ!$F$25:$F$188,$F208,ФОТ!$G$25:$G$188,$G208)</f>
        <v>0</v>
      </c>
      <c r="AG208" s="1114">
        <f>_xlfn.SUMIFS(ФОТ!AG$25:AG$188,ФОТ!$F$25:$F$188,$F208,ФОТ!$G$25:$G$188,$G208)</f>
        <v>0</v>
      </c>
      <c r="AH208" s="1114">
        <f>AG208-AF208</f>
        <v>0</v>
      </c>
      <c r="AI208" s="1114">
        <f>_xlfn.SUMIFS(ФОТ!AH$25:AH$188,ФОТ!$F$25:$F$188,$F208,ФОТ!$G$25:$G$188,$G208)</f>
        <v>0</v>
      </c>
      <c r="AJ208" s="1114">
        <f>_xlfn.SUMIFS(ФОТ!AI$25:AI$188,ФОТ!$F$25:$F$188,$F208,ФОТ!$G$25:$G$188,$G208)</f>
        <v>4580.04983791461</v>
      </c>
      <c r="AK208" s="1115"/>
      <c r="AL208" s="1115"/>
      <c r="AM208" s="1115"/>
      <c r="AN208" s="1115"/>
      <c r="AO208" s="1115"/>
      <c r="AP208" s="1115"/>
      <c r="AQ208" s="1115"/>
      <c r="AR208" s="1115"/>
      <c r="AS208" s="1115"/>
      <c r="AT208" s="1114">
        <f>_xlfn.SUMIFS(ФОТ!AJ$25:AJ$188,ФОТ!$F$25:$F$188,$F208,ФОТ!$G$25:$G$188,$G208)</f>
        <v>4580.04983791461</v>
      </c>
      <c r="AU208" s="1115"/>
      <c r="AV208" s="1115"/>
      <c r="AW208" s="1115"/>
      <c r="AX208" s="1115"/>
      <c r="AY208" s="1115"/>
      <c r="AZ208" s="1115"/>
      <c r="BA208" s="1115"/>
      <c r="BB208" s="1115"/>
      <c r="BC208" s="1115"/>
      <c r="BD208" s="1114">
        <f>IF(AI208=0,0,(AT208-AI208)/AI208*100)</f>
        <v>0</v>
      </c>
      <c r="BE208" s="1115"/>
      <c r="BF208" s="1115"/>
      <c r="BG208" s="1115"/>
      <c r="BH208" s="1115"/>
      <c r="BI208" s="1115"/>
      <c r="BJ208" s="1115"/>
      <c r="BK208" s="1115"/>
      <c r="BL208" s="1115"/>
      <c r="BM208" s="1115"/>
      <c r="BN208" s="7433"/>
      <c r="BO208" s="7437" t="s">
        <v>1232</v>
      </c>
      <c r="BP208" s="7433"/>
      <c r="BQ208" s="1278"/>
      <c r="BR208" s="1278"/>
      <c r="BS208" s="1062" t="s">
        <v>2520</v>
      </c>
      <c r="BT208" s="1064"/>
      <c r="BU208" s="1064"/>
      <c r="BV208" s="979"/>
      <c r="BW208" s="979"/>
    </row>
    <row s="1834" customFormat="1" customHeight="1" ht="0">
      <c r="A209" s="1278"/>
      <c r="B209" s="978"/>
      <c r="C209" s="107"/>
      <c r="D209" s="107"/>
      <c r="E209" s="621">
        <v>33.75</v>
      </c>
      <c r="F209" s="50" cm="1" t="str">
        <f t="array" ref="F209:F209">OFFSET(E209,-1,1)</f>
        <v>1</v>
      </c>
      <c r="G209" s="848" t="s">
        <v>1944</v>
      </c>
      <c r="H209" s="857"/>
      <c r="I209" s="857" t="s">
        <v>2099</v>
      </c>
      <c r="J209" s="107"/>
      <c r="K209" s="378" t="s">
        <v>2099</v>
      </c>
      <c r="L209" s="980" t="s">
        <v>1662</v>
      </c>
      <c r="M209" s="107"/>
      <c r="N209" s="107"/>
      <c r="O209" s="107"/>
      <c r="P209" s="107"/>
      <c r="Q209" s="107"/>
      <c r="R209" s="107"/>
      <c r="S209" s="107"/>
      <c r="T209" s="465" cm="1" t="str">
        <f t="array" ref="T209:T209">T208</f>
        <v>true</v>
      </c>
      <c r="U209" s="107"/>
      <c r="V209" s="107"/>
      <c r="W209" s="107"/>
      <c r="X209" s="1596"/>
      <c r="Y209" s="1278"/>
      <c r="Z209" s="1546"/>
      <c r="AA209" s="1278"/>
      <c r="AB209" s="300" t="s">
        <v>2100</v>
      </c>
      <c r="AC209" s="765" t="s">
        <v>2709</v>
      </c>
      <c r="AD209" s="300" t="s">
        <v>1514</v>
      </c>
      <c r="AE209" s="1114">
        <f>_xlfn.SUMIFS(Административные!AE$25:AE$122,Административные!$F$25:$F$122,$F209,Административные!$G$25:$G$122,$G209)</f>
        <v>0</v>
      </c>
      <c r="AF209" s="1114">
        <f>_xlfn.SUMIFS(Административные!AF$25:AF$122,Административные!$F$25:$F$122,$F209,Административные!$G$25:$G$122,$G209)</f>
        <v>0</v>
      </c>
      <c r="AG209" s="1114">
        <f>_xlfn.SUMIFS(Административные!AG$25:AG$122,Административные!$F$25:$F$122,$F209,Административные!$G$25:$G$122,$G209)</f>
        <v>0</v>
      </c>
      <c r="AH209" s="1114">
        <f>AG209-AF209</f>
        <v>0</v>
      </c>
      <c r="AI209" s="1114">
        <f>_xlfn.SUMIFS(Административные!AH$25:AH$122,Административные!$F$25:$F$122,$F209,Административные!$G$25:$G$122,$G209)</f>
        <v>0</v>
      </c>
      <c r="AJ209" s="1114">
        <f>_xlfn.SUMIFS(Административные!AI$25:AI$122,Административные!$F$25:$F$122,$F209,Административные!$G$25:$G$122,$G209)</f>
        <v>0</v>
      </c>
      <c r="AK209" s="1115"/>
      <c r="AL209" s="1115"/>
      <c r="AM209" s="1115"/>
      <c r="AN209" s="1115"/>
      <c r="AO209" s="1115"/>
      <c r="AP209" s="1115"/>
      <c r="AQ209" s="1115"/>
      <c r="AR209" s="1115"/>
      <c r="AS209" s="1115"/>
      <c r="AT209" s="1114">
        <f>_xlfn.SUMIFS(Административные!AJ$25:AJ$122,Административные!$F$25:$F$122,$F209,Административные!$G$25:$G$122,$G209)</f>
        <v>0</v>
      </c>
      <c r="AU209" s="1115"/>
      <c r="AV209" s="1115"/>
      <c r="AW209" s="1115"/>
      <c r="AX209" s="1115"/>
      <c r="AY209" s="1115"/>
      <c r="AZ209" s="1115"/>
      <c r="BA209" s="1115"/>
      <c r="BB209" s="1115"/>
      <c r="BC209" s="1115"/>
      <c r="BD209" s="1114">
        <f>IF(AI209=0,0,(AT209-AI209)/AI209*100)</f>
        <v>0</v>
      </c>
      <c r="BE209" s="1115"/>
      <c r="BF209" s="1115"/>
      <c r="BG209" s="1115"/>
      <c r="BH209" s="1115"/>
      <c r="BI209" s="1115"/>
      <c r="BJ209" s="1115"/>
      <c r="BK209" s="1115"/>
      <c r="BL209" s="1115"/>
      <c r="BM209" s="1115"/>
      <c r="BN209" s="7433"/>
      <c r="BO209" s="7437" t="str">
        <f>IF(_xlfn.IFERROR(INDEX(Административные!$K$26:$L$122,MATCH($F209&amp;"2komm",Административные!$K$26:$K$122,0),2),"")=0,"",_xlfn.IFERROR(INDEX(Административные!$K$26:$L$122,MATCH($F209&amp;"2komm",Административные!$K$26:$K$122,0),2),""))</f>
        <v/>
      </c>
      <c r="BP209" s="7433"/>
      <c r="BQ209" s="1278"/>
      <c r="BR209" s="1278"/>
      <c r="BS209" s="1062" t="s">
        <v>1946</v>
      </c>
      <c r="BT209" s="1064"/>
      <c r="BU209" s="1064"/>
      <c r="BV209" s="979"/>
      <c r="BW209" s="979"/>
    </row>
    <row s="1834" customFormat="1" customHeight="1" ht="14.25">
      <c r="A210" s="1278"/>
      <c r="B210" s="978"/>
      <c r="C210" s="107"/>
      <c r="D210" s="107"/>
      <c r="E210" s="621">
        <v>15</v>
      </c>
      <c r="F210" s="50" cm="1" t="str">
        <f t="array" ref="F210:F210">OFFSET(E210,-1,1)</f>
        <v>1</v>
      </c>
      <c r="G210" s="848" t="s">
        <v>1947</v>
      </c>
      <c r="H210" s="857"/>
      <c r="I210" s="857" t="s">
        <v>2103</v>
      </c>
      <c r="J210" s="107"/>
      <c r="K210" s="378" t="s">
        <v>2103</v>
      </c>
      <c r="L210" s="980" t="s">
        <v>1664</v>
      </c>
      <c r="M210" s="107"/>
      <c r="N210" s="107"/>
      <c r="O210" s="107"/>
      <c r="P210" s="107"/>
      <c r="Q210" s="107"/>
      <c r="R210" s="107"/>
      <c r="S210" s="107"/>
      <c r="T210" s="465" cm="1" t="str">
        <f t="array" ref="T210:T210">T209</f>
        <v>true</v>
      </c>
      <c r="U210" s="107"/>
      <c r="V210" s="107"/>
      <c r="W210" s="107"/>
      <c r="X210" s="1596"/>
      <c r="Y210" s="1278"/>
      <c r="Z210" s="1546"/>
      <c r="AA210" s="1278"/>
      <c r="AB210" s="300" t="s">
        <v>2104</v>
      </c>
      <c r="AC210" s="765" t="s">
        <v>2710</v>
      </c>
      <c r="AD210" s="300" t="s">
        <v>1514</v>
      </c>
      <c r="AE210" s="1114">
        <f>_xlfn.SUMIFS(Административные!AE$25:AE$122,Административные!$F$25:$F$122,$F210,Административные!$G$25:$G$122,$G210)</f>
        <v>0</v>
      </c>
      <c r="AF210" s="1114">
        <f>_xlfn.SUMIFS(Административные!AF$25:AF$122,Административные!$F$25:$F$122,$F210,Административные!$G$25:$G$122,$G210)</f>
        <v>0</v>
      </c>
      <c r="AG210" s="1114">
        <f>_xlfn.SUMIFS(Административные!AG$25:AG$122,Административные!$F$25:$F$122,$F210,Административные!$G$25:$G$122,$G210)</f>
        <v>0</v>
      </c>
      <c r="AH210" s="1114">
        <f>AG210-AF210</f>
        <v>0</v>
      </c>
      <c r="AI210" s="1114">
        <f>_xlfn.SUMIFS(Административные!AH$25:AH$122,Административные!$F$25:$F$122,$F210,Административные!$G$25:$G$122,$G210)</f>
        <v>0</v>
      </c>
      <c r="AJ210" s="1114">
        <f>_xlfn.SUMIFS(Административные!AI$25:AI$122,Административные!$F$25:$F$122,$F210,Административные!$G$25:$G$122,$G210)</f>
        <v>0</v>
      </c>
      <c r="AK210" s="1115"/>
      <c r="AL210" s="1115"/>
      <c r="AM210" s="1115"/>
      <c r="AN210" s="1115"/>
      <c r="AO210" s="1115"/>
      <c r="AP210" s="1115"/>
      <c r="AQ210" s="1115"/>
      <c r="AR210" s="1115"/>
      <c r="AS210" s="1115"/>
      <c r="AT210" s="1114">
        <f>_xlfn.SUMIFS(Административные!AJ$25:AJ$122,Административные!$F$25:$F$122,$F210,Административные!$G$25:$G$122,$G210)</f>
        <v>0</v>
      </c>
      <c r="AU210" s="1115"/>
      <c r="AV210" s="1115"/>
      <c r="AW210" s="1115"/>
      <c r="AX210" s="1115"/>
      <c r="AY210" s="1115"/>
      <c r="AZ210" s="1115"/>
      <c r="BA210" s="1115"/>
      <c r="BB210" s="1115"/>
      <c r="BC210" s="1115"/>
      <c r="BD210" s="1114">
        <f>IF(AI210=0,0,(AT210-AI210)/AI210*100)</f>
        <v>0</v>
      </c>
      <c r="BE210" s="1115"/>
      <c r="BF210" s="1115"/>
      <c r="BG210" s="1115"/>
      <c r="BH210" s="1115"/>
      <c r="BI210" s="1115"/>
      <c r="BJ210" s="1115"/>
      <c r="BK210" s="1115"/>
      <c r="BL210" s="1115"/>
      <c r="BM210" s="1115"/>
      <c r="BN210" s="7433"/>
      <c r="BO210" s="7437" t="str">
        <f>IF(_xlfn.IFERROR(INDEX(Административные!$K$26:$L$122,MATCH($F210&amp;"3komm",Административные!$K$26:$K$122,0),2),"")=0,"",_xlfn.IFERROR(INDEX(Административные!$K$26:$L$122,MATCH($F210&amp;"3komm",Административные!$K$26:$K$122,0),2),""))</f>
        <v/>
      </c>
      <c r="BP210" s="7433"/>
      <c r="BQ210" s="1278"/>
      <c r="BR210" s="1278"/>
      <c r="BS210" s="1062" t="s">
        <v>1949</v>
      </c>
      <c r="BT210" s="1064"/>
      <c r="BU210" s="1064"/>
      <c r="BV210" s="979"/>
      <c r="BW210" s="979"/>
    </row>
    <row s="1834" customFormat="1" customHeight="1" ht="14.25">
      <c r="A211" s="1278"/>
      <c r="B211" s="978"/>
      <c r="C211" s="107"/>
      <c r="D211" s="107"/>
      <c r="E211" s="621">
        <v>15</v>
      </c>
      <c r="F211" s="50" cm="1" t="str">
        <f t="array" ref="F211:F211">OFFSET(E211,-1,1)</f>
        <v>1</v>
      </c>
      <c r="G211" s="848" t="s">
        <v>1950</v>
      </c>
      <c r="H211" s="857"/>
      <c r="I211" s="857" t="s">
        <v>2711</v>
      </c>
      <c r="J211" s="107"/>
      <c r="K211" s="378" t="s">
        <v>2711</v>
      </c>
      <c r="L211" s="980" t="s">
        <v>1667</v>
      </c>
      <c r="M211" s="107"/>
      <c r="N211" s="107"/>
      <c r="O211" s="107"/>
      <c r="P211" s="107"/>
      <c r="Q211" s="107"/>
      <c r="R211" s="107"/>
      <c r="S211" s="107"/>
      <c r="T211" s="465" cm="1" t="str">
        <f t="array" ref="T211:T211">T210</f>
        <v>true</v>
      </c>
      <c r="U211" s="107"/>
      <c r="V211" s="107"/>
      <c r="W211" s="107"/>
      <c r="X211" s="1596"/>
      <c r="Y211" s="1278"/>
      <c r="Z211" s="1546"/>
      <c r="AA211" s="1278"/>
      <c r="AB211" s="300" t="s">
        <v>2712</v>
      </c>
      <c r="AC211" s="765" t="s">
        <v>2713</v>
      </c>
      <c r="AD211" s="300" t="s">
        <v>1514</v>
      </c>
      <c r="AE211" s="1114">
        <f>_xlfn.SUMIFS(Административные!AE$25:AE$122,Административные!$F$25:$F$122,$F211,Административные!$G$25:$G$122,$G211)</f>
        <v>0</v>
      </c>
      <c r="AF211" s="1114">
        <f>_xlfn.SUMIFS(Административные!AF$25:AF$122,Административные!$F$25:$F$122,$F211,Административные!$G$25:$G$122,$G211)</f>
        <v>0</v>
      </c>
      <c r="AG211" s="1114">
        <f>_xlfn.SUMIFS(Административные!AG$25:AG$122,Административные!$F$25:$F$122,$F211,Административные!$G$25:$G$122,$G211)</f>
        <v>0</v>
      </c>
      <c r="AH211" s="1114">
        <f>AG211-AF211</f>
        <v>0</v>
      </c>
      <c r="AI211" s="1114">
        <f>_xlfn.SUMIFS(Административные!AH$25:AH$122,Административные!$F$25:$F$122,$F211,Административные!$G$25:$G$122,$G211)</f>
        <v>0</v>
      </c>
      <c r="AJ211" s="1114">
        <f>_xlfn.SUMIFS(Административные!AI$25:AI$122,Административные!$F$25:$F$122,$F211,Административные!$G$25:$G$122,$G211)</f>
        <v>2.78055</v>
      </c>
      <c r="AK211" s="1115"/>
      <c r="AL211" s="1115"/>
      <c r="AM211" s="1115"/>
      <c r="AN211" s="1115"/>
      <c r="AO211" s="1115"/>
      <c r="AP211" s="1115"/>
      <c r="AQ211" s="1115"/>
      <c r="AR211" s="1115"/>
      <c r="AS211" s="1115"/>
      <c r="AT211" s="1114">
        <f>_xlfn.SUMIFS(Административные!AJ$25:AJ$122,Административные!$F$25:$F$122,$F211,Административные!$G$25:$G$122,$G211)</f>
        <v>2.78055</v>
      </c>
      <c r="AU211" s="1115"/>
      <c r="AV211" s="1115"/>
      <c r="AW211" s="1115"/>
      <c r="AX211" s="1115"/>
      <c r="AY211" s="1115"/>
      <c r="AZ211" s="1115"/>
      <c r="BA211" s="1115"/>
      <c r="BB211" s="1115"/>
      <c r="BC211" s="1115"/>
      <c r="BD211" s="1114">
        <f>IF(AI211=0,0,(AT211-AI211)/AI211*100)</f>
        <v>0</v>
      </c>
      <c r="BE211" s="1115"/>
      <c r="BF211" s="1115"/>
      <c r="BG211" s="1115"/>
      <c r="BH211" s="1115"/>
      <c r="BI211" s="1115"/>
      <c r="BJ211" s="1115"/>
      <c r="BK211" s="1115"/>
      <c r="BL211" s="1115"/>
      <c r="BM211" s="1115"/>
      <c r="BN211" s="7433"/>
      <c r="BO211" s="7437" t="str">
        <f>IF(_xlfn.IFERROR(INDEX(Административные!$K$26:$L$122,MATCH($F211&amp;"4komm",Административные!$K$26:$K$122,0),2),"")=0,"",_xlfn.IFERROR(INDEX(Административные!$K$26:$L$122,MATCH($F211&amp;"4komm",Административные!$K$26:$K$122,0),2),""))</f>
        <v>по расчету организации, с периодичностью в соответствии с законодательством, стоимость принята по договорам предыдущей организации, с применением ИПЦ Минэкономразвития России на 2026 год 105,1%.</v>
      </c>
      <c r="BP211" s="7433"/>
      <c r="BQ211" s="1278"/>
      <c r="BR211" s="1278"/>
      <c r="BS211" s="1062" t="s">
        <v>1952</v>
      </c>
      <c r="BT211" s="1064"/>
      <c r="BU211" s="1064"/>
      <c r="BV211" s="979"/>
      <c r="BW211" s="979"/>
    </row>
    <row s="1834" customFormat="1" customHeight="1" ht="0">
      <c r="A212" s="1278"/>
      <c r="B212" s="978"/>
      <c r="C212" s="107"/>
      <c r="D212" s="107"/>
      <c r="E212" s="621">
        <v>15</v>
      </c>
      <c r="F212" s="50" cm="1" t="str">
        <f t="array" ref="F212:F212">OFFSET(E212,-1,1)</f>
        <v>1</v>
      </c>
      <c r="G212" s="848" t="s">
        <v>1953</v>
      </c>
      <c r="H212" s="857"/>
      <c r="I212" s="857" t="s">
        <v>2714</v>
      </c>
      <c r="J212" s="107"/>
      <c r="K212" s="378" t="s">
        <v>2714</v>
      </c>
      <c r="L212" s="980" t="s">
        <v>1935</v>
      </c>
      <c r="M212" s="107"/>
      <c r="N212" s="107"/>
      <c r="O212" s="107"/>
      <c r="P212" s="107"/>
      <c r="Q212" s="107"/>
      <c r="R212" s="107"/>
      <c r="S212" s="107"/>
      <c r="T212" s="465" cm="1" t="str">
        <f t="array" ref="T212:T212">T211</f>
        <v>true</v>
      </c>
      <c r="U212" s="107"/>
      <c r="V212" s="107"/>
      <c r="W212" s="107"/>
      <c r="X212" s="1596"/>
      <c r="Y212" s="1278"/>
      <c r="Z212" s="1546"/>
      <c r="AA212" s="1278"/>
      <c r="AB212" s="300" t="s">
        <v>2715</v>
      </c>
      <c r="AC212" s="765" t="s">
        <v>2716</v>
      </c>
      <c r="AD212" s="300" t="s">
        <v>1514</v>
      </c>
      <c r="AE212" s="1114">
        <f>_xlfn.SUMIFS(Административные!AE$25:AE$122,Административные!$F$25:$F$122,$F212,Административные!$G$25:$G$122,$G212)</f>
        <v>0</v>
      </c>
      <c r="AF212" s="1114">
        <f>_xlfn.SUMIFS(Административные!AF$25:AF$122,Административные!$F$25:$F$122,$F212,Административные!$G$25:$G$122,$G212)</f>
        <v>0</v>
      </c>
      <c r="AG212" s="1114">
        <f>_xlfn.SUMIFS(Административные!AG$25:AG$122,Административные!$F$25:$F$122,$F212,Административные!$G$25:$G$122,$G212)</f>
        <v>0</v>
      </c>
      <c r="AH212" s="1114">
        <f>AG212-AF212</f>
        <v>0</v>
      </c>
      <c r="AI212" s="1114">
        <f>_xlfn.SUMIFS(Административные!AH$25:AH$122,Административные!$F$25:$F$122,$F212,Административные!$G$25:$G$122,$G212)</f>
        <v>0</v>
      </c>
      <c r="AJ212" s="1114">
        <f>_xlfn.SUMIFS(Административные!AI$25:AI$122,Административные!$F$25:$F$122,$F212,Административные!$G$25:$G$122,$G212)</f>
        <v>0</v>
      </c>
      <c r="AK212" s="1115"/>
      <c r="AL212" s="1115"/>
      <c r="AM212" s="1115"/>
      <c r="AN212" s="1115"/>
      <c r="AO212" s="1115"/>
      <c r="AP212" s="1115"/>
      <c r="AQ212" s="1115"/>
      <c r="AR212" s="1115"/>
      <c r="AS212" s="1115"/>
      <c r="AT212" s="1114">
        <f>_xlfn.SUMIFS(Административные!AJ$25:AJ$122,Административные!$F$25:$F$122,$F212,Административные!$G$25:$G$122,$G212)</f>
        <v>0</v>
      </c>
      <c r="AU212" s="1115"/>
      <c r="AV212" s="1115"/>
      <c r="AW212" s="1115"/>
      <c r="AX212" s="1115"/>
      <c r="AY212" s="1115"/>
      <c r="AZ212" s="1115"/>
      <c r="BA212" s="1115"/>
      <c r="BB212" s="1115"/>
      <c r="BC212" s="1115"/>
      <c r="BD212" s="1114">
        <f>IF(AI212=0,0,(AT212-AI212)/AI212*100)</f>
        <v>0</v>
      </c>
      <c r="BE212" s="1115"/>
      <c r="BF212" s="1115"/>
      <c r="BG212" s="1115"/>
      <c r="BH212" s="1115"/>
      <c r="BI212" s="1115"/>
      <c r="BJ212" s="1115"/>
      <c r="BK212" s="1115"/>
      <c r="BL212" s="1115"/>
      <c r="BM212" s="1115"/>
      <c r="BN212" s="7433"/>
      <c r="BO212" s="7437" t="str">
        <f>IF(_xlfn.IFERROR(INDEX(Административные!$K$26:$L$122,MATCH($F212&amp;"5komm",Административные!$K$26:$K$122,0),2),"")=0,"",_xlfn.IFERROR(INDEX(Административные!$K$26:$L$122,MATCH($F212&amp;"5komm",Административные!$K$26:$K$122,0),2),""))</f>
        <v/>
      </c>
      <c r="BP212" s="7433"/>
      <c r="BQ212" s="1278"/>
      <c r="BR212" s="1278"/>
      <c r="BS212" s="1062" t="s">
        <v>2522</v>
      </c>
      <c r="BT212" s="1064"/>
      <c r="BU212" s="1064"/>
      <c r="BV212" s="979"/>
      <c r="BW212" s="979"/>
    </row>
    <row s="1834" customFormat="1" customHeight="1" ht="0">
      <c r="A213" s="1278"/>
      <c r="B213" s="978"/>
      <c r="C213" s="107"/>
      <c r="D213" s="107"/>
      <c r="E213" s="621">
        <v>15</v>
      </c>
      <c r="F213" s="50" cm="1" t="str">
        <f t="array" ref="F213:F213">OFFSET(E213,-1,1)</f>
        <v>1</v>
      </c>
      <c r="G213" s="848" t="s">
        <v>1956</v>
      </c>
      <c r="H213" s="857"/>
      <c r="I213" s="857" t="s">
        <v>2717</v>
      </c>
      <c r="J213" s="107"/>
      <c r="K213" s="378" t="s">
        <v>2717</v>
      </c>
      <c r="L213" s="980" t="s">
        <v>1940</v>
      </c>
      <c r="M213" s="107"/>
      <c r="N213" s="107"/>
      <c r="O213" s="107"/>
      <c r="P213" s="107"/>
      <c r="Q213" s="107"/>
      <c r="R213" s="107"/>
      <c r="S213" s="107"/>
      <c r="T213" s="465" cm="1" t="str">
        <f t="array" ref="T213:T213">T212</f>
        <v>true</v>
      </c>
      <c r="U213" s="107"/>
      <c r="V213" s="107"/>
      <c r="W213" s="107"/>
      <c r="X213" s="1596"/>
      <c r="Y213" s="1278"/>
      <c r="Z213" s="1546"/>
      <c r="AA213" s="1278"/>
      <c r="AB213" s="300" t="s">
        <v>2718</v>
      </c>
      <c r="AC213" s="765" t="s">
        <v>2719</v>
      </c>
      <c r="AD213" s="300" t="s">
        <v>1514</v>
      </c>
      <c r="AE213" s="1114">
        <f>_xlfn.SUMIFS(Административные!AE$25:AE$122,Административные!$F$25:$F$122,$F213,Административные!$G$25:$G$122,$G213)</f>
        <v>0</v>
      </c>
      <c r="AF213" s="1114">
        <f>_xlfn.SUMIFS(Административные!AF$25:AF$122,Административные!$F$25:$F$122,$F213,Административные!$G$25:$G$122,$G213)</f>
        <v>0</v>
      </c>
      <c r="AG213" s="1114">
        <f>_xlfn.SUMIFS(Административные!AG$25:AG$122,Административные!$F$25:$F$122,$F213,Административные!$G$25:$G$122,$G213)</f>
        <v>0</v>
      </c>
      <c r="AH213" s="1114">
        <f>AG213-AF213</f>
        <v>0</v>
      </c>
      <c r="AI213" s="1114">
        <f>_xlfn.SUMIFS(Административные!AH$25:AH$122,Административные!$F$25:$F$122,$F213,Административные!$G$25:$G$122,$G213)</f>
        <v>0</v>
      </c>
      <c r="AJ213" s="1114">
        <f>_xlfn.SUMIFS(Административные!AI$25:AI$122,Административные!$F$25:$F$122,$F213,Административные!$G$25:$G$122,$G213)</f>
        <v>0</v>
      </c>
      <c r="AK213" s="1115"/>
      <c r="AL213" s="1115"/>
      <c r="AM213" s="1115"/>
      <c r="AN213" s="1115"/>
      <c r="AO213" s="1115"/>
      <c r="AP213" s="1115"/>
      <c r="AQ213" s="1115"/>
      <c r="AR213" s="1115"/>
      <c r="AS213" s="1115"/>
      <c r="AT213" s="1114">
        <f>_xlfn.SUMIFS(Административные!AJ$25:AJ$122,Административные!$F$25:$F$122,$F213,Административные!$G$25:$G$122,$G213)</f>
        <v>0</v>
      </c>
      <c r="AU213" s="1115"/>
      <c r="AV213" s="1115"/>
      <c r="AW213" s="1115"/>
      <c r="AX213" s="1115"/>
      <c r="AY213" s="1115"/>
      <c r="AZ213" s="1115"/>
      <c r="BA213" s="1115"/>
      <c r="BB213" s="1115"/>
      <c r="BC213" s="1115"/>
      <c r="BD213" s="1114">
        <f>IF(AI213=0,0,(AT213-AI213)/AI213*100)</f>
        <v>0</v>
      </c>
      <c r="BE213" s="1115"/>
      <c r="BF213" s="1115"/>
      <c r="BG213" s="1115"/>
      <c r="BH213" s="1115"/>
      <c r="BI213" s="1115"/>
      <c r="BJ213" s="1115"/>
      <c r="BK213" s="1115"/>
      <c r="BL213" s="1115"/>
      <c r="BM213" s="1115"/>
      <c r="BN213" s="7433"/>
      <c r="BO213" s="7437" t="str">
        <f>IF(_xlfn.IFERROR(INDEX(Административные!$K$26:$L$122,MATCH($F213&amp;"6komm",Административные!$K$26:$K$122,0),2),"")=0,"",_xlfn.IFERROR(INDEX(Административные!$K$26:$L$122,MATCH($F213&amp;"6komm",Административные!$K$26:$K$122,0),2),""))</f>
        <v/>
      </c>
      <c r="BP213" s="7433"/>
      <c r="BQ213" s="1278"/>
      <c r="BR213" s="1278"/>
      <c r="BS213" s="1062" t="s">
        <v>2524</v>
      </c>
      <c r="BT213" s="1064"/>
      <c r="BU213" s="1064"/>
      <c r="BV213" s="979"/>
      <c r="BW213" s="979"/>
    </row>
    <row s="1834" customFormat="1" customHeight="1" ht="0">
      <c r="A214" s="1278"/>
      <c r="B214" s="978"/>
      <c r="C214" s="107"/>
      <c r="D214" s="107"/>
      <c r="E214" s="621">
        <v>15</v>
      </c>
      <c r="F214" s="50" cm="1" t="str">
        <f t="array" ref="F214:F214">OFFSET(E214,-1,1)</f>
        <v>1</v>
      </c>
      <c r="G214" s="848" t="s">
        <v>1958</v>
      </c>
      <c r="H214" s="857"/>
      <c r="I214" s="857" t="s">
        <v>2720</v>
      </c>
      <c r="J214" s="107"/>
      <c r="K214" s="378" t="s">
        <v>2720</v>
      </c>
      <c r="L214" s="980" t="s">
        <v>2525</v>
      </c>
      <c r="M214" s="107"/>
      <c r="N214" s="107"/>
      <c r="O214" s="107"/>
      <c r="P214" s="107"/>
      <c r="Q214" s="107"/>
      <c r="R214" s="107"/>
      <c r="S214" s="107"/>
      <c r="T214" s="465" cm="1" t="str">
        <f t="array" ref="T214:T214">T213</f>
        <v>true</v>
      </c>
      <c r="U214" s="107"/>
      <c r="V214" s="107"/>
      <c r="W214" s="107"/>
      <c r="X214" s="1596"/>
      <c r="Y214" s="1278"/>
      <c r="Z214" s="1546"/>
      <c r="AA214" s="1278"/>
      <c r="AB214" s="300" t="s">
        <v>2721</v>
      </c>
      <c r="AC214" s="768" t="s">
        <v>2527</v>
      </c>
      <c r="AD214" s="300" t="s">
        <v>1514</v>
      </c>
      <c r="AE214" s="1114">
        <f>_xlfn.SUMIFS(Административные!AE$25:AE$122,Административные!$F$25:$F$122,$F214,Административные!$G$25:$G$122,$G214)</f>
        <v>0</v>
      </c>
      <c r="AF214" s="1114">
        <f>_xlfn.SUMIFS(Административные!AF$25:AF$122,Административные!$F$25:$F$122,$F214,Административные!$G$25:$G$122,$G214)</f>
        <v>0</v>
      </c>
      <c r="AG214" s="1114">
        <f>_xlfn.SUMIFS(Административные!AG$25:AG$122,Административные!$F$25:$F$122,$F214,Административные!$G$25:$G$122,$G214)</f>
        <v>0</v>
      </c>
      <c r="AH214" s="1114">
        <f>AG214-AF214</f>
        <v>0</v>
      </c>
      <c r="AI214" s="1114">
        <f>_xlfn.SUMIFS(Административные!AH$25:AH$122,Административные!$F$25:$F$122,$F214,Административные!$G$25:$G$122,$G214)</f>
        <v>0</v>
      </c>
      <c r="AJ214" s="1114">
        <f>_xlfn.SUMIFS(Административные!AI$25:AI$122,Административные!$F$25:$F$122,$F214,Административные!$G$25:$G$122,$G214)</f>
        <v>0</v>
      </c>
      <c r="AK214" s="1115"/>
      <c r="AL214" s="1115"/>
      <c r="AM214" s="1115"/>
      <c r="AN214" s="1115"/>
      <c r="AO214" s="1115"/>
      <c r="AP214" s="1115"/>
      <c r="AQ214" s="1115"/>
      <c r="AR214" s="1115"/>
      <c r="AS214" s="1115"/>
      <c r="AT214" s="1114">
        <f>_xlfn.SUMIFS(Административные!AJ$25:AJ$122,Административные!$F$25:$F$122,$F214,Административные!$G$25:$G$122,$G214)</f>
        <v>0</v>
      </c>
      <c r="AU214" s="1115"/>
      <c r="AV214" s="1115"/>
      <c r="AW214" s="1115"/>
      <c r="AX214" s="1115"/>
      <c r="AY214" s="1115"/>
      <c r="AZ214" s="1115"/>
      <c r="BA214" s="1115"/>
      <c r="BB214" s="1115"/>
      <c r="BC214" s="1115"/>
      <c r="BD214" s="1114">
        <f>IF(AI214=0,0,(AT214-AI214)/AI214*100)</f>
        <v>0</v>
      </c>
      <c r="BE214" s="1115"/>
      <c r="BF214" s="1115"/>
      <c r="BG214" s="1115"/>
      <c r="BH214" s="1115"/>
      <c r="BI214" s="1115"/>
      <c r="BJ214" s="1115"/>
      <c r="BK214" s="1115"/>
      <c r="BL214" s="1115"/>
      <c r="BM214" s="1115"/>
      <c r="BN214" s="7433"/>
      <c r="BO214" s="7437" t="str">
        <f>IF(_xlfn.IFERROR(INDEX(Административные!$K$26:$L$122,MATCH($F214&amp;"7komm",Административные!$K$26:$K$122,0),2),"")=0,"",_xlfn.IFERROR(INDEX(Административные!$K$26:$L$122,MATCH($F214&amp;"7komm",Административные!$K$26:$K$122,0),2),""))</f>
        <v/>
      </c>
      <c r="BP214" s="7433"/>
      <c r="BQ214" s="1278"/>
      <c r="BR214" s="1278"/>
      <c r="BS214" s="1062" t="s">
        <v>2528</v>
      </c>
      <c r="BT214" s="1064"/>
      <c r="BU214" s="1064"/>
      <c r="BV214" s="979"/>
      <c r="BW214" s="979"/>
    </row>
    <row s="1834" customFormat="1" customHeight="1" ht="0">
      <c r="A215" s="1278"/>
      <c r="B215" s="978"/>
      <c r="C215" s="107"/>
      <c r="D215" s="107"/>
      <c r="E215" s="621">
        <v>15</v>
      </c>
      <c r="F215" s="50" cm="1" t="str">
        <f t="array" ref="F215:F215">OFFSET(E215,-1,1)</f>
        <v>1</v>
      </c>
      <c r="G215" s="848" t="s">
        <v>1961</v>
      </c>
      <c r="H215" s="857"/>
      <c r="I215" s="857" t="s">
        <v>2722</v>
      </c>
      <c r="J215" s="107"/>
      <c r="K215" s="378" t="s">
        <v>2722</v>
      </c>
      <c r="L215" s="980" t="s">
        <v>2529</v>
      </c>
      <c r="M215" s="107"/>
      <c r="N215" s="107"/>
      <c r="O215" s="107"/>
      <c r="P215" s="107"/>
      <c r="Q215" s="107"/>
      <c r="R215" s="107"/>
      <c r="S215" s="107"/>
      <c r="T215" s="465" cm="1" t="str">
        <f t="array" ref="T215:T215">T214</f>
        <v>true</v>
      </c>
      <c r="U215" s="107"/>
      <c r="V215" s="107"/>
      <c r="W215" s="107"/>
      <c r="X215" s="1596"/>
      <c r="Y215" s="1278"/>
      <c r="Z215" s="1546"/>
      <c r="AA215" s="1278"/>
      <c r="AB215" s="300" t="s">
        <v>2723</v>
      </c>
      <c r="AC215" s="768" t="s">
        <v>1962</v>
      </c>
      <c r="AD215" s="300" t="s">
        <v>1514</v>
      </c>
      <c r="AE215" s="1114">
        <f>_xlfn.SUMIFS(Административные!AE$25:AE$122,Административные!$F$25:$F$122,$F215,Административные!$G$25:$G$122,$G215)</f>
        <v>0</v>
      </c>
      <c r="AF215" s="1114">
        <f>_xlfn.SUMIFS(Административные!AF$25:AF$122,Административные!$F$25:$F$122,$F215,Административные!$G$25:$G$122,$G215)</f>
        <v>0</v>
      </c>
      <c r="AG215" s="1114">
        <f>_xlfn.SUMIFS(Административные!AG$25:AG$122,Административные!$F$25:$F$122,$F215,Административные!$G$25:$G$122,$G215)</f>
        <v>0</v>
      </c>
      <c r="AH215" s="1114">
        <f>AG215-AF215</f>
        <v>0</v>
      </c>
      <c r="AI215" s="1114">
        <f>_xlfn.SUMIFS(Административные!AH$25:AH$122,Административные!$F$25:$F$122,$F215,Административные!$G$25:$G$122,$G215)</f>
        <v>0</v>
      </c>
      <c r="AJ215" s="1114">
        <f>_xlfn.SUMIFS(Административные!AI$25:AI$122,Административные!$F$25:$F$122,$F215,Административные!$G$25:$G$122,$G215)</f>
        <v>0</v>
      </c>
      <c r="AK215" s="1115"/>
      <c r="AL215" s="1115"/>
      <c r="AM215" s="1115"/>
      <c r="AN215" s="1115"/>
      <c r="AO215" s="1115"/>
      <c r="AP215" s="1115"/>
      <c r="AQ215" s="1115"/>
      <c r="AR215" s="1115"/>
      <c r="AS215" s="1115"/>
      <c r="AT215" s="1114">
        <f>_xlfn.SUMIFS(Административные!AJ$25:AJ$122,Административные!$F$25:$F$122,$F215,Административные!$G$25:$G$122,$G215)</f>
        <v>0</v>
      </c>
      <c r="AU215" s="1115"/>
      <c r="AV215" s="1115"/>
      <c r="AW215" s="1115"/>
      <c r="AX215" s="1115"/>
      <c r="AY215" s="1115"/>
      <c r="AZ215" s="1115"/>
      <c r="BA215" s="1115"/>
      <c r="BB215" s="1115"/>
      <c r="BC215" s="1115"/>
      <c r="BD215" s="1114">
        <f>IF(AI215=0,0,(AT215-AI215)/AI215*100)</f>
        <v>0</v>
      </c>
      <c r="BE215" s="1115"/>
      <c r="BF215" s="1115"/>
      <c r="BG215" s="1115"/>
      <c r="BH215" s="1115"/>
      <c r="BI215" s="1115"/>
      <c r="BJ215" s="1115"/>
      <c r="BK215" s="1115"/>
      <c r="BL215" s="1115"/>
      <c r="BM215" s="1115"/>
      <c r="BN215" s="7433"/>
      <c r="BO215" s="7437" t="str">
        <f>IF(_xlfn.IFERROR(INDEX(Административные!$K$26:$L$122,MATCH($F215&amp;"8komm",Административные!$K$26:$K$122,0),2),"")=0,"",_xlfn.IFERROR(INDEX(Административные!$K$26:$L$122,MATCH($F215&amp;"8komm",Административные!$K$26:$K$122,0),2),""))</f>
        <v/>
      </c>
      <c r="BP215" s="7433"/>
      <c r="BQ215" s="1278"/>
      <c r="BR215" s="1278"/>
      <c r="BS215" s="1062" t="s">
        <v>2531</v>
      </c>
      <c r="BT215" s="1064"/>
      <c r="BU215" s="1064"/>
      <c r="BV215" s="979"/>
      <c r="BW215" s="979"/>
    </row>
    <row s="1834" customFormat="1" customHeight="1" ht="0">
      <c r="A216" s="1278"/>
      <c r="B216" s="978"/>
      <c r="C216" s="107"/>
      <c r="D216" s="107"/>
      <c r="E216" s="621">
        <v>15</v>
      </c>
      <c r="F216" s="50" cm="1" t="str">
        <f t="array" ref="F216:F216">OFFSET(E216,-1,1)</f>
        <v>1</v>
      </c>
      <c r="G216" s="107" t="s">
        <v>1964</v>
      </c>
      <c r="H216" s="857"/>
      <c r="I216" s="857" t="s">
        <v>2724</v>
      </c>
      <c r="J216" s="107"/>
      <c r="K216" s="378" t="s">
        <v>2724</v>
      </c>
      <c r="L216" s="980" t="s">
        <v>2532</v>
      </c>
      <c r="M216" s="107"/>
      <c r="N216" s="107"/>
      <c r="O216" s="107"/>
      <c r="P216" s="107"/>
      <c r="Q216" s="107"/>
      <c r="R216" s="107"/>
      <c r="S216" s="107"/>
      <c r="T216" s="465" cm="1" t="str">
        <f t="array" ref="T216:T216">T215</f>
        <v>true</v>
      </c>
      <c r="U216" s="107"/>
      <c r="V216" s="107"/>
      <c r="W216" s="107"/>
      <c r="X216" s="1596"/>
      <c r="Y216" s="1278"/>
      <c r="Z216" s="1546"/>
      <c r="AA216" s="1278"/>
      <c r="AB216" s="300" t="s">
        <v>2725</v>
      </c>
      <c r="AC216" s="768" t="s">
        <v>1965</v>
      </c>
      <c r="AD216" s="300" t="s">
        <v>1514</v>
      </c>
      <c r="AE216" s="1114">
        <f>_xlfn.SUMIFS(Административные!AE$25:AE$122,Административные!$F$25:$F$122,$F216,Административные!$G$25:$G$122,$G216)</f>
        <v>0</v>
      </c>
      <c r="AF216" s="1114">
        <f>_xlfn.SUMIFS(Административные!AF$25:AF$122,Административные!$F$25:$F$122,$F216,Административные!$G$25:$G$122,$G216)</f>
        <v>0</v>
      </c>
      <c r="AG216" s="1114">
        <f>_xlfn.SUMIFS(Административные!AG$25:AG$122,Административные!$F$25:$F$122,$F216,Административные!$G$25:$G$122,$G216)</f>
        <v>0</v>
      </c>
      <c r="AH216" s="1114">
        <f>AG216-AF216</f>
        <v>0</v>
      </c>
      <c r="AI216" s="1114">
        <f>_xlfn.SUMIFS(Административные!AH$25:AH$122,Административные!$F$25:$F$122,$F216,Административные!$G$25:$G$122,$G216)</f>
        <v>0</v>
      </c>
      <c r="AJ216" s="1116">
        <f>_xlfn.SUMIFS(Административные!AI$25:AI$122,Административные!$F$25:$F$122,$F216,Административные!$G$25:$G$122,$G216)</f>
        <v>0</v>
      </c>
      <c r="AK216" s="1115"/>
      <c r="AL216" s="1115"/>
      <c r="AM216" s="1115"/>
      <c r="AN216" s="1115"/>
      <c r="AO216" s="1115"/>
      <c r="AP216" s="1115"/>
      <c r="AQ216" s="1115"/>
      <c r="AR216" s="1115"/>
      <c r="AS216" s="1115"/>
      <c r="AT216" s="1116">
        <f>_xlfn.SUMIFS(Административные!AJ$25:AJ$122,Административные!$F$25:$F$122,$F216,Административные!$G$25:$G$122,$G216)</f>
        <v>0</v>
      </c>
      <c r="AU216" s="1115"/>
      <c r="AV216" s="1115"/>
      <c r="AW216" s="1115"/>
      <c r="AX216" s="1115"/>
      <c r="AY216" s="1115"/>
      <c r="AZ216" s="1115"/>
      <c r="BA216" s="1115"/>
      <c r="BB216" s="1115"/>
      <c r="BC216" s="1115"/>
      <c r="BD216" s="1114">
        <f>IF(AI216=0,0,(AT216-AI216)/AI216*100)</f>
        <v>0</v>
      </c>
      <c r="BE216" s="1115"/>
      <c r="BF216" s="1115"/>
      <c r="BG216" s="1115"/>
      <c r="BH216" s="1115"/>
      <c r="BI216" s="1115"/>
      <c r="BJ216" s="1115"/>
      <c r="BK216" s="1115"/>
      <c r="BL216" s="1115"/>
      <c r="BM216" s="1115"/>
      <c r="BN216" s="7433"/>
      <c r="BO216" s="7437" t="str">
        <f>IF(_xlfn.IFERROR(INDEX(Административные!$K$26:$L$122,MATCH($F216&amp;"9komm",Административные!$K$26:$K$122,0),2),"")=0,"",_xlfn.IFERROR(INDEX(Административные!$K$26:$L$122,MATCH($F216&amp;"9komm",Административные!$K$26:$K$122,0),2),""))</f>
        <v/>
      </c>
      <c r="BP216" s="7433"/>
      <c r="BQ216" s="1278"/>
      <c r="BR216" s="1278"/>
      <c r="BS216" s="1062" t="s">
        <v>2534</v>
      </c>
      <c r="BT216" s="1064"/>
      <c r="BU216" s="1064"/>
      <c r="BV216" s="979"/>
      <c r="BW216" s="979"/>
    </row>
    <row s="1834" customFormat="1" customHeight="1" ht="0">
      <c r="A217" s="1278"/>
      <c r="B217" s="432">
        <f>STATUS_GO="да"</f>
        <v>1</v>
      </c>
      <c r="C217" s="107"/>
      <c r="D217" s="107"/>
      <c r="E217" s="621">
        <v>22.5</v>
      </c>
      <c r="F217" s="50" cm="1" t="str">
        <f t="array" ref="F217:F217">OFFSET(E217,-1,1)</f>
        <v>1</v>
      </c>
      <c r="G217" s="107"/>
      <c r="H217" s="857"/>
      <c r="I217" s="857" t="s">
        <v>1640</v>
      </c>
      <c r="J217" s="107"/>
      <c r="K217" s="378" t="s">
        <v>1640</v>
      </c>
      <c r="L217" s="980" t="s">
        <v>336</v>
      </c>
      <c r="M217" s="107"/>
      <c r="N217" s="107"/>
      <c r="O217" s="107"/>
      <c r="P217" s="107"/>
      <c r="Q217" s="107"/>
      <c r="R217" s="107"/>
      <c r="S217" s="107"/>
      <c r="T217" s="465" cm="1" t="str">
        <f t="array" ref="T217:T217">T216</f>
        <v>true</v>
      </c>
      <c r="U217" s="107"/>
      <c r="V217" s="107"/>
      <c r="W217" s="107"/>
      <c r="X217" s="1596"/>
      <c r="Y217" s="1278"/>
      <c r="Z217" s="1546"/>
      <c r="AA217" s="1278"/>
      <c r="AB217" s="300" t="s">
        <v>1641</v>
      </c>
      <c r="AC217" s="762" t="s">
        <v>2726</v>
      </c>
      <c r="AD217" s="300" t="s">
        <v>1514</v>
      </c>
      <c r="AE217" s="1114">
        <f>_xlfn.SUMIFS('Сбытовые расходы ГО'!AE$25:AE$87,'Сбытовые расходы ГО'!$F$25:$F$87,$F217,'Сбытовые расходы ГО'!$G$25:$G$87,"L0")-_xlfn.SUMIFS('Сбытовые расходы ГО'!AE$25:AE$87,'Сбытовые расходы ГО'!$F$25:$F$87,$F217,'Сбытовые расходы ГО'!$G$25:$G$87,"L1")</f>
        <v>0</v>
      </c>
      <c r="AF217" s="1114">
        <f>_xlfn.SUMIFS('Сбытовые расходы ГО'!AF$25:AF$87,'Сбытовые расходы ГО'!$F$25:$F$87,$F217,'Сбытовые расходы ГО'!$G$25:$G$87,"L0")-_xlfn.SUMIFS('Сбытовые расходы ГО'!AF$25:AF$87,'Сбытовые расходы ГО'!$F$25:$F$87,$F217,'Сбытовые расходы ГО'!$G$25:$G$87,"L1")</f>
        <v>0</v>
      </c>
      <c r="AG217" s="1114">
        <f>_xlfn.SUMIFS('Сбытовые расходы ГО'!AG$25:AG$87,'Сбытовые расходы ГО'!$F$25:$F$87,$F217,'Сбытовые расходы ГО'!$G$25:$G$87,"L0")-_xlfn.SUMIFS('Сбытовые расходы ГО'!AG$25:AG$87,'Сбытовые расходы ГО'!$F$25:$F$87,$F217,'Сбытовые расходы ГО'!$G$25:$G$87,"L1")</f>
        <v>0</v>
      </c>
      <c r="AH217" s="1114">
        <f>AG217-AF217</f>
        <v>0</v>
      </c>
      <c r="AI217" s="1114">
        <f>_xlfn.SUMIFS('Сбытовые расходы ГО'!AH$25:AH$87,'Сбытовые расходы ГО'!$F$25:$F$87,$F217,'Сбытовые расходы ГО'!$G$25:$G$87,"L0")-_xlfn.SUMIFS('Сбытовые расходы ГО'!AH$25:AH$87,'Сбытовые расходы ГО'!$F$25:$F$87,$F217,'Сбытовые расходы ГО'!$G$25:$G$87,"L1")</f>
        <v>0</v>
      </c>
      <c r="AJ217" s="1114">
        <f>_xlfn.SUMIFS('Сбытовые расходы ГО'!AI$25:AI$87,'Сбытовые расходы ГО'!$F$25:$F$87,$F217,'Сбытовые расходы ГО'!$G$25:$G$87,"L0")-_xlfn.SUMIFS('Сбытовые расходы ГО'!AI$25:AI$87,'Сбытовые расходы ГО'!$F$25:$F$87,$F217,'Сбытовые расходы ГО'!$G$25:$G$87,"L1")</f>
        <v>0</v>
      </c>
      <c r="AK217" s="1115"/>
      <c r="AL217" s="1115"/>
      <c r="AM217" s="1115"/>
      <c r="AN217" s="1115"/>
      <c r="AO217" s="1115"/>
      <c r="AP217" s="1115"/>
      <c r="AQ217" s="1115"/>
      <c r="AR217" s="1115"/>
      <c r="AS217" s="1115"/>
      <c r="AT217" s="1114">
        <f>_xlfn.SUMIFS('Сбытовые расходы ГО'!AJ$25:AJ$87,'Сбытовые расходы ГО'!$F$25:$F$87,$F217,'Сбытовые расходы ГО'!$G$25:$G$87,"L0")-_xlfn.SUMIFS('Сбытовые расходы ГО'!AJ$25:AJ$87,'Сбытовые расходы ГО'!$F$25:$F$87,$F217,'Сбытовые расходы ГО'!$G$25:$G$87,"L1")</f>
        <v>0</v>
      </c>
      <c r="AU217" s="1115"/>
      <c r="AV217" s="1115"/>
      <c r="AW217" s="1115"/>
      <c r="AX217" s="1115"/>
      <c r="AY217" s="1115"/>
      <c r="AZ217" s="1115"/>
      <c r="BA217" s="1115"/>
      <c r="BB217" s="1115"/>
      <c r="BC217" s="1115"/>
      <c r="BD217" s="1114">
        <f>IF(AI217=0,0,(AT217-AI217)/AI217*100)</f>
        <v>0</v>
      </c>
      <c r="BE217" s="1115"/>
      <c r="BF217" s="1115"/>
      <c r="BG217" s="1115"/>
      <c r="BH217" s="1115"/>
      <c r="BI217" s="1115"/>
      <c r="BJ217" s="1115"/>
      <c r="BK217" s="1115"/>
      <c r="BL217" s="1115"/>
      <c r="BM217" s="1115"/>
      <c r="BN217" s="7433"/>
      <c r="BO217" s="7433"/>
      <c r="BP217" s="7433"/>
      <c r="BQ217" s="1278"/>
      <c r="BR217" s="1278"/>
      <c r="BS217" s="1063" t="s">
        <v>2536</v>
      </c>
      <c r="BT217" s="1064"/>
      <c r="BU217" s="1064"/>
      <c r="BV217" s="979"/>
      <c r="BW217" s="979"/>
    </row>
    <row s="1834" customFormat="1" customHeight="1" ht="0">
      <c r="A218" s="1278"/>
      <c r="B218" s="978"/>
      <c r="C218" s="107"/>
      <c r="D218" s="107"/>
      <c r="E218" s="621">
        <v>15</v>
      </c>
      <c r="F218" s="50" cm="1" t="str">
        <f t="array" ref="F218:F218">OFFSET(E218,-1,1)</f>
        <v>1</v>
      </c>
      <c r="G218" s="107"/>
      <c r="H218" s="857"/>
      <c r="I218" s="857" t="s">
        <v>2475</v>
      </c>
      <c r="J218" s="107"/>
      <c r="K218" s="378" t="s">
        <v>2475</v>
      </c>
      <c r="L218" s="980"/>
      <c r="M218" s="107"/>
      <c r="N218" s="107"/>
      <c r="O218" s="107"/>
      <c r="P218" s="107"/>
      <c r="Q218" s="107"/>
      <c r="R218" s="107"/>
      <c r="S218" s="107"/>
      <c r="T218" s="465" cm="1" t="str">
        <f t="array" ref="T218:T218">T217</f>
        <v>true</v>
      </c>
      <c r="U218" s="107"/>
      <c r="V218" s="107"/>
      <c r="W218" s="107"/>
      <c r="X218" s="1596"/>
      <c r="Y218" s="1278"/>
      <c r="Z218" s="1546"/>
      <c r="AA218" s="1278"/>
      <c r="AB218" s="300" t="s">
        <v>2476</v>
      </c>
      <c r="AC218" s="762" t="s">
        <v>2727</v>
      </c>
      <c r="AD218" s="300" t="s">
        <v>1514</v>
      </c>
      <c r="AE218" s="3946"/>
      <c r="AF218" s="3946"/>
      <c r="AG218" s="3946"/>
      <c r="AH218" s="1114">
        <f>AG218-AF218</f>
        <v>0</v>
      </c>
      <c r="AI218" s="3946"/>
      <c r="AJ218" s="3946"/>
      <c r="AK218" s="1115"/>
      <c r="AL218" s="1115"/>
      <c r="AM218" s="1115"/>
      <c r="AN218" s="1115"/>
      <c r="AO218" s="1115"/>
      <c r="AP218" s="1115"/>
      <c r="AQ218" s="1115"/>
      <c r="AR218" s="1115"/>
      <c r="AS218" s="1115"/>
      <c r="AT218" s="3946"/>
      <c r="AU218" s="1115"/>
      <c r="AV218" s="1115"/>
      <c r="AW218" s="1115"/>
      <c r="AX218" s="1115"/>
      <c r="AY218" s="1115"/>
      <c r="AZ218" s="1115"/>
      <c r="BA218" s="1115"/>
      <c r="BB218" s="1115"/>
      <c r="BC218" s="1115"/>
      <c r="BD218" s="1114">
        <f>IF(AI218=0,0,(AT218-AI218)/AI218*100)</f>
        <v>0</v>
      </c>
      <c r="BE218" s="1115"/>
      <c r="BF218" s="1115"/>
      <c r="BG218" s="1115"/>
      <c r="BH218" s="1115"/>
      <c r="BI218" s="1115"/>
      <c r="BJ218" s="1115"/>
      <c r="BK218" s="1115"/>
      <c r="BL218" s="1115"/>
      <c r="BM218" s="1115"/>
      <c r="BN218" s="7433"/>
      <c r="BO218" s="7433"/>
      <c r="BP218" s="7433"/>
      <c r="BQ218" s="1278"/>
      <c r="BR218" s="1278"/>
      <c r="BS218" s="1064" t="s">
        <v>2728</v>
      </c>
      <c r="BT218" s="1064"/>
      <c r="BU218" s="1064"/>
      <c r="BV218" s="979"/>
      <c r="BW218" s="979"/>
    </row>
    <row s="7442" customFormat="1" customHeight="1" ht="0">
      <c r="A219" s="700"/>
      <c r="B219" s="435"/>
      <c r="C219" s="109"/>
      <c r="D219" s="109"/>
      <c r="E219" s="826">
        <v>21</v>
      </c>
      <c r="F219" s="50" cm="1" t="str">
        <f t="array" ref="F219:F219">OFFSET(E219,-1,1)</f>
        <v>1</v>
      </c>
      <c r="G219" s="109"/>
      <c r="H219" s="857"/>
      <c r="I219" s="857" t="s">
        <v>2479</v>
      </c>
      <c r="J219" s="109"/>
      <c r="K219" s="378" t="s">
        <v>2479</v>
      </c>
      <c r="L219" s="985"/>
      <c r="M219" s="109"/>
      <c r="N219" s="109"/>
      <c r="O219" s="109"/>
      <c r="P219" s="109"/>
      <c r="Q219" s="109"/>
      <c r="R219" s="109"/>
      <c r="S219" s="109"/>
      <c r="T219" s="465">
        <f>AND(F219&gt;0,method_reg="Метод индексации")</f>
        <v>1</v>
      </c>
      <c r="U219" s="109"/>
      <c r="V219" s="109"/>
      <c r="W219" s="109"/>
      <c r="X219" s="1596"/>
      <c r="Y219" s="700"/>
      <c r="Z219" s="1546"/>
      <c r="AA219" s="700"/>
      <c r="AB219" s="211" t="s">
        <v>2480</v>
      </c>
      <c r="AC219" s="361" t="s">
        <v>2729</v>
      </c>
      <c r="AD219" s="211" t="s">
        <v>1514</v>
      </c>
      <c r="AE219" s="213">
        <f>SUM(AE220:AE221)</f>
        <v>0</v>
      </c>
      <c r="AF219" s="213">
        <f>SUM(AF220:AF221)</f>
        <v>0</v>
      </c>
      <c r="AG219" s="213">
        <f>SUM(AG220:AG221)</f>
        <v>0</v>
      </c>
      <c r="AH219" s="778">
        <f>AG219-AF219</f>
        <v>0</v>
      </c>
      <c r="AI219" s="213">
        <f>SUM(AI220:AI221)</f>
        <v>0</v>
      </c>
      <c r="AJ219" s="213">
        <f>SUM(AJ220:AJ221)</f>
        <v>0</v>
      </c>
      <c r="AK219" s="216"/>
      <c r="AL219" s="216"/>
      <c r="AM219" s="216"/>
      <c r="AN219" s="216"/>
      <c r="AO219" s="216"/>
      <c r="AP219" s="216"/>
      <c r="AQ219" s="216"/>
      <c r="AR219" s="216"/>
      <c r="AS219" s="216"/>
      <c r="AT219" s="213">
        <f>SUM(AT220:AT221)</f>
        <v>0</v>
      </c>
      <c r="AU219" s="216"/>
      <c r="AV219" s="216"/>
      <c r="AW219" s="216"/>
      <c r="AX219" s="216"/>
      <c r="AY219" s="216"/>
      <c r="AZ219" s="216"/>
      <c r="BA219" s="216"/>
      <c r="BB219" s="216"/>
      <c r="BC219" s="216"/>
      <c r="BD219" s="778">
        <f>IF(AI219=0,0,(AT219-AI219)/AI219*100)</f>
        <v>0</v>
      </c>
      <c r="BE219" s="216"/>
      <c r="BF219" s="216"/>
      <c r="BG219" s="216"/>
      <c r="BH219" s="216"/>
      <c r="BI219" s="216"/>
      <c r="BJ219" s="216"/>
      <c r="BK219" s="216"/>
      <c r="BL219" s="216"/>
      <c r="BM219" s="216"/>
      <c r="BN219" s="7436"/>
      <c r="BO219" s="7436"/>
      <c r="BP219" s="7436"/>
      <c r="BQ219" s="700"/>
      <c r="BR219" s="700"/>
      <c r="BS219" s="1070" t="s">
        <v>2730</v>
      </c>
      <c r="BT219" s="1070"/>
      <c r="BU219" s="1070"/>
      <c r="BV219" s="707"/>
      <c r="BW219" s="707"/>
    </row>
    <row s="1834" customFormat="1" customHeight="1" ht="0" hidden="1">
      <c r="A220" s="1278"/>
      <c r="B220" s="432">
        <f>method_reg="Метод индексации"</f>
        <v>1</v>
      </c>
      <c r="C220" s="107"/>
      <c r="D220" s="107"/>
      <c r="E220" s="621">
        <v>15</v>
      </c>
      <c r="F220" s="50" cm="1" t="str">
        <f t="array" ref="F220:F220">OFFSET(E220,-1,1)</f>
        <v>1</v>
      </c>
      <c r="G220" s="107"/>
      <c r="H220" s="107"/>
      <c r="I220" s="857" t="s">
        <v>2479</v>
      </c>
      <c r="J220" s="107" cm="1" t="str">
        <f t="array" ref="J220:J220">AC220</f>
        <v>0</v>
      </c>
      <c r="K220" s="378" t="s">
        <v>2479</v>
      </c>
      <c r="L220" s="980"/>
      <c r="M220" s="107"/>
      <c r="N220" s="107"/>
      <c r="O220" s="107"/>
      <c r="P220" s="107"/>
      <c r="Q220" s="107"/>
      <c r="R220" s="107"/>
      <c r="S220" s="107"/>
      <c r="T220" s="465">
        <f>AND(F220&gt;0,Y220&gt;0)</f>
        <v>0</v>
      </c>
      <c r="U220" s="107"/>
      <c r="V220" s="107"/>
      <c r="W220" s="107" t="s">
        <v>174</v>
      </c>
      <c r="X220" s="1596"/>
      <c r="Y220" s="158">
        <v>0</v>
      </c>
      <c r="Z220" s="1546"/>
      <c r="AA220" s="420" t="s">
        <v>175</v>
      </c>
      <c r="AB220" s="300" t="str">
        <f>"1.7."&amp;Y220</f>
        <v>1.7.0</v>
      </c>
      <c r="AC220" s="1243"/>
      <c r="AD220" s="300" t="s">
        <v>1514</v>
      </c>
      <c r="AE220" s="1241"/>
      <c r="AF220" s="1241"/>
      <c r="AG220" s="1241"/>
      <c r="AH220" s="1114">
        <f>AG220-AF220</f>
        <v>0</v>
      </c>
      <c r="AI220" s="1241"/>
      <c r="AJ220" s="1241"/>
      <c r="AK220" s="1115"/>
      <c r="AL220" s="1115"/>
      <c r="AM220" s="1115"/>
      <c r="AN220" s="1115"/>
      <c r="AO220" s="1115"/>
      <c r="AP220" s="1115"/>
      <c r="AQ220" s="1115"/>
      <c r="AR220" s="1115"/>
      <c r="AS220" s="1115"/>
      <c r="AT220" s="1241"/>
      <c r="AU220" s="1115"/>
      <c r="AV220" s="1115"/>
      <c r="AW220" s="1115"/>
      <c r="AX220" s="1115"/>
      <c r="AY220" s="1115"/>
      <c r="AZ220" s="1115"/>
      <c r="BA220" s="1115"/>
      <c r="BB220" s="1115"/>
      <c r="BC220" s="1115"/>
      <c r="BD220" s="1114">
        <f>IF(AI220=0,0,(AT220-AI220)/AI220*100)</f>
        <v>0</v>
      </c>
      <c r="BE220" s="1115"/>
      <c r="BF220" s="1115"/>
      <c r="BG220" s="1115"/>
      <c r="BH220" s="1115"/>
      <c r="BI220" s="1115"/>
      <c r="BJ220" s="1115"/>
      <c r="BK220" s="1115"/>
      <c r="BL220" s="1115"/>
      <c r="BM220" s="1115"/>
      <c r="BN220" s="1238"/>
      <c r="BO220" s="1238"/>
      <c r="BP220" s="1238"/>
      <c r="BQ220" s="1278"/>
      <c r="BR220" s="1278"/>
      <c r="BS220" s="1064" t="s">
        <v>2730</v>
      </c>
      <c r="BT220" s="1064" t="s">
        <v>2731</v>
      </c>
      <c r="BU220" s="1064" cm="1" t="str">
        <f t="array" ref="BU220:BU220">AC220</f>
        <v>0</v>
      </c>
      <c r="BV220" s="979"/>
      <c r="BW220" s="703" t="b">
        <v>1</v>
      </c>
    </row>
    <row s="1834" customFormat="1" customHeight="1" ht="0">
      <c r="A221" s="1278"/>
      <c r="B221" s="432" cm="1" t="str">
        <f t="array" ref="B221:B221">B220</f>
        <v>true</v>
      </c>
      <c r="C221" s="107"/>
      <c r="D221" s="107"/>
      <c r="E221" s="621">
        <v>15</v>
      </c>
      <c r="F221" s="50" cm="1" t="str">
        <f t="array" ref="F221:F221">OFFSET(E221,-1,1)</f>
        <v>1</v>
      </c>
      <c r="G221" s="480"/>
      <c r="H221" s="107"/>
      <c r="I221" s="107"/>
      <c r="J221" s="107" t="s">
        <v>2732</v>
      </c>
      <c r="K221" s="1278"/>
      <c r="L221" s="980"/>
      <c r="M221" s="107"/>
      <c r="N221" s="107"/>
      <c r="O221" s="107"/>
      <c r="P221" s="107"/>
      <c r="Q221" s="107"/>
      <c r="R221" s="107"/>
      <c r="S221" s="107"/>
      <c r="T221" s="465">
        <f>F221&gt;0</f>
        <v>1</v>
      </c>
      <c r="U221" s="107"/>
      <c r="V221" s="107"/>
      <c r="W221" s="829" t="s">
        <v>399</v>
      </c>
      <c r="X221" s="1596"/>
      <c r="Y221" s="1278"/>
      <c r="Z221" s="1546"/>
      <c r="AA221" s="1278"/>
      <c r="AB221" s="874"/>
      <c r="AC221" s="260" t="s">
        <v>178</v>
      </c>
      <c r="AD221" s="776"/>
      <c r="AE221" s="776"/>
      <c r="AF221" s="776"/>
      <c r="AG221" s="776"/>
      <c r="AH221" s="776"/>
      <c r="AI221" s="776"/>
      <c r="AJ221" s="776"/>
      <c r="AK221" s="776"/>
      <c r="AL221" s="776"/>
      <c r="AM221" s="776"/>
      <c r="AN221" s="776"/>
      <c r="AO221" s="776"/>
      <c r="AP221" s="776"/>
      <c r="AQ221" s="776"/>
      <c r="AR221" s="776"/>
      <c r="AS221" s="776"/>
      <c r="AT221" s="776"/>
      <c r="AU221" s="776"/>
      <c r="AV221" s="776"/>
      <c r="AW221" s="776"/>
      <c r="AX221" s="776"/>
      <c r="AY221" s="776"/>
      <c r="AZ221" s="776"/>
      <c r="BA221" s="776"/>
      <c r="BB221" s="776"/>
      <c r="BC221" s="776"/>
      <c r="BD221" s="776"/>
      <c r="BE221" s="776"/>
      <c r="BF221" s="776"/>
      <c r="BG221" s="776"/>
      <c r="BH221" s="776"/>
      <c r="BI221" s="776"/>
      <c r="BJ221" s="776"/>
      <c r="BK221" s="776"/>
      <c r="BL221" s="776"/>
      <c r="BM221" s="776"/>
      <c r="BN221" s="776"/>
      <c r="BO221" s="776"/>
      <c r="BP221" s="777"/>
      <c r="BQ221" s="1278"/>
      <c r="BR221" s="1278"/>
      <c r="BS221" s="1064"/>
      <c r="BT221" s="1064"/>
      <c r="BU221" s="1064"/>
      <c r="BV221" s="703" t="s">
        <v>2731</v>
      </c>
      <c r="BW221" s="979"/>
    </row>
    <row s="7484" customFormat="1" customHeight="1" ht="20.25">
      <c r="A222" s="700"/>
      <c r="B222" s="435"/>
      <c r="C222" s="109"/>
      <c r="D222" s="109"/>
      <c r="E222" s="826">
        <v>21</v>
      </c>
      <c r="F222" s="50" cm="1" t="str">
        <f t="array" ref="F222:F222">OFFSET(E222,-1,1)</f>
        <v>1</v>
      </c>
      <c r="G222" s="109"/>
      <c r="H222" s="107"/>
      <c r="I222" s="107" t="s">
        <v>333</v>
      </c>
      <c r="J222" s="109"/>
      <c r="K222" s="158" t="s">
        <v>333</v>
      </c>
      <c r="L222" s="985"/>
      <c r="M222" s="109"/>
      <c r="N222" s="109"/>
      <c r="O222" s="109"/>
      <c r="P222" s="109"/>
      <c r="Q222" s="109"/>
      <c r="R222" s="109"/>
      <c r="S222" s="109"/>
      <c r="T222" s="465">
        <f>F222&gt;0</f>
        <v>1</v>
      </c>
      <c r="U222" s="109"/>
      <c r="V222" s="109"/>
      <c r="W222" s="109"/>
      <c r="X222" s="1596"/>
      <c r="Y222" s="700"/>
      <c r="Z222" s="1546"/>
      <c r="AA222" s="700"/>
      <c r="AB222" s="234" t="s">
        <v>285</v>
      </c>
      <c r="AC222" s="212" t="s">
        <v>2733</v>
      </c>
      <c r="AD222" s="234" t="s">
        <v>1514</v>
      </c>
      <c r="AE222" s="213">
        <f>AE223+AE235+AE236++AE247+AE248+AE249+AE251+AE252+AE253+AE254+AE257</f>
        <v>0</v>
      </c>
      <c r="AF222" s="213">
        <f>AF223+AF235+AF236++AF247+AF248+AF249+AF251+AF252+AF253+AF254+AF257</f>
        <v>0</v>
      </c>
      <c r="AG222" s="213">
        <f>AG223+AG235+AG236++AG247+AG248+AG249+AG251+AG252+AG253+AG254+AG257</f>
        <v>0</v>
      </c>
      <c r="AH222" s="778">
        <f>AG222-AF222</f>
        <v>0</v>
      </c>
      <c r="AI222" s="213">
        <f>AI223+AI235+AI236++AI247+AI248+AI249+AI251+AI252+AI253+AI254+AI257</f>
        <v>0</v>
      </c>
      <c r="AJ222" s="213">
        <f>AJ223+AJ235+AJ236++AJ247+AJ248+AJ249+AJ251+AJ252+AJ253+AJ254+AJ257</f>
        <v>16986.5618991215</v>
      </c>
      <c r="AK222" s="213">
        <f>AK223+AK235+AK236++AK247+AK248+AK249+AK251+AK252+AK253+AK254+AK257</f>
        <v>17595.2731447663</v>
      </c>
      <c r="AL222" s="213">
        <f>AL223+AL235+AL236++AL247+AL248+AL249+AL251+AL252+AL253+AL254+AL257</f>
        <v>18238.6332087518</v>
      </c>
      <c r="AM222" s="213">
        <f>AM223+AM235+AM236++AM247+AM248+AM249+AM251+AM252+AM253+AM254+AM257</f>
        <v>19378.3596995881</v>
      </c>
      <c r="AN222" s="213">
        <f>AN223+AN235+AN236++AN247+AN248+AN249+AN251+AN252+AN253+AN254+AN257</f>
        <v>19990.1744943125</v>
      </c>
      <c r="AO222" s="213">
        <f>AO223+AO235+AO236++AO247+AO248+AO249+AO251+AO252+AO253+AO254+AO257</f>
        <v>0</v>
      </c>
      <c r="AP222" s="213">
        <f>AP223+AP235+AP236++AP247+AP248+AP249+AP251+AP252+AP253+AP254+AP257</f>
        <v>0</v>
      </c>
      <c r="AQ222" s="213">
        <f>AQ223+AQ235+AQ236++AQ247+AQ248+AQ249+AQ251+AQ252+AQ253+AQ254+AQ257</f>
        <v>0</v>
      </c>
      <c r="AR222" s="213">
        <f>AR223+AR235+AR236++AR247+AR248+AR249+AR251+AR252+AR253+AR254+AR257</f>
        <v>0</v>
      </c>
      <c r="AS222" s="213">
        <f>AS223+AS235+AS236++AS247+AS248+AS249+AS251+AS252+AS253+AS254+AS257</f>
        <v>0</v>
      </c>
      <c r="AT222" s="213">
        <f>AT223+AT235+AT236++AT247+AT248+AT249+AT251+AT252+AT253+AT254+AT257</f>
        <v>16986.5618991215</v>
      </c>
      <c r="AU222" s="213">
        <f>AU223+AU235+AU236++AU247+AU248+AU249+AU251+AU252+AU253+AU254+AU257</f>
        <v>17595.2731447663</v>
      </c>
      <c r="AV222" s="213">
        <f>AV223+AV235+AV236++AV247+AV248+AV249+AV251+AV252+AV253+AV254+AV257</f>
        <v>18238.6332087518</v>
      </c>
      <c r="AW222" s="213">
        <f>AW223+AW235+AW236++AW247+AW248+AW249+AW251+AW252+AW253+AW254+AW257</f>
        <v>19378.3596995881</v>
      </c>
      <c r="AX222" s="213">
        <f>AX223+AX235+AX236++AX247+AX248+AX249+AX251+AX252+AX253+AX254+AX257</f>
        <v>19990.1744943125</v>
      </c>
      <c r="AY222" s="213">
        <f>AY223+AY235+AY236++AY247+AY248+AY249+AY251+AY252+AY253+AY254+AY257</f>
        <v>0</v>
      </c>
      <c r="AZ222" s="213">
        <f>AZ223+AZ235+AZ236++AZ247+AZ248+AZ249+AZ251+AZ252+AZ253+AZ254+AZ257</f>
        <v>0</v>
      </c>
      <c r="BA222" s="213">
        <f>BA223+BA235+BA236++BA247+BA248+BA249+BA251+BA252+BA253+BA254+BA257</f>
        <v>0</v>
      </c>
      <c r="BB222" s="213">
        <f>BB223+BB235+BB236++BB247+BB248+BB249+BB251+BB252+BB253+BB254+BB257</f>
        <v>0</v>
      </c>
      <c r="BC222" s="213">
        <f>BC223+BC235+BC236++BC247+BC248+BC249+BC251+BC252+BC253+BC254+BC257</f>
        <v>0</v>
      </c>
      <c r="BD222" s="778">
        <f>IF(AI222=0,0,(AT222-AI222)/AI222*100)</f>
        <v>0</v>
      </c>
      <c r="BE222" s="778">
        <f>IF(AT222=0,0,(AU222-AT222)/AT222*100)</f>
        <v>3.58348704852557</v>
      </c>
      <c r="BF222" s="778">
        <f>IF(AU222=0,0,(AV222-AU222)/AU222*100)</f>
        <v>3.65643692309981</v>
      </c>
      <c r="BG222" s="778">
        <f>IF(AV222=0,0,(AW222-AV222)/AV222*100)</f>
        <v>6.24896875654808</v>
      </c>
      <c r="BH222" s="778">
        <f>IF(AW222=0,0,(AX222-AW222)/AW222*100)</f>
        <v>3.15720630749466</v>
      </c>
      <c r="BI222" s="778">
        <f>IF(AX222=0,0,(AY222-AX222)/AX222*100)</f>
        <v>-100</v>
      </c>
      <c r="BJ222" s="778">
        <f>IF(AY222=0,0,(AZ222-AY222)/AY222*100)</f>
        <v>0</v>
      </c>
      <c r="BK222" s="778">
        <f>IF(AZ222=0,0,(BA222-AZ222)/AZ222*100)</f>
        <v>0</v>
      </c>
      <c r="BL222" s="778">
        <f>IF(BA222=0,0,(BB222-BA222)/BA222*100)</f>
        <v>0</v>
      </c>
      <c r="BM222" s="778">
        <f>IF(BB222=0,0,(BC222-BB222)/BB222*100)</f>
        <v>0</v>
      </c>
      <c r="BN222" s="7433"/>
      <c r="BO222" s="7433"/>
      <c r="BP222" s="7433"/>
      <c r="BQ222" s="160"/>
      <c r="BR222" s="700"/>
      <c r="BS222" s="1070" t="s">
        <v>2734</v>
      </c>
      <c r="BT222" s="1070"/>
      <c r="BU222" s="1070"/>
      <c r="BV222" s="707"/>
      <c r="BW222" s="707"/>
    </row>
    <row s="7485" customFormat="1" customHeight="1" ht="21.75">
      <c r="A223" s="700"/>
      <c r="B223" s="435"/>
      <c r="C223" s="109"/>
      <c r="D223" s="109"/>
      <c r="E223" s="826">
        <v>22.5</v>
      </c>
      <c r="F223" s="50" cm="1" t="str">
        <f t="array" ref="F223:F223">OFFSET(E223,-1,1)</f>
        <v>1</v>
      </c>
      <c r="G223" s="374" cm="1" t="str">
        <f t="array" ref="G223:G223">F222</f>
        <v>1</v>
      </c>
      <c r="H223" s="107"/>
      <c r="I223" s="107" t="s">
        <v>1193</v>
      </c>
      <c r="J223" s="109"/>
      <c r="K223" s="158" t="s">
        <v>1193</v>
      </c>
      <c r="L223" s="985" t="s">
        <v>1179</v>
      </c>
      <c r="M223" s="109"/>
      <c r="N223" s="109"/>
      <c r="O223" s="109"/>
      <c r="P223" s="109"/>
      <c r="Q223" s="109"/>
      <c r="R223" s="109"/>
      <c r="S223" s="109"/>
      <c r="T223" s="465" cm="1" t="str">
        <f t="array" ref="T223:T223">T222</f>
        <v>true</v>
      </c>
      <c r="U223" s="109"/>
      <c r="V223" s="109"/>
      <c r="W223" s="109"/>
      <c r="X223" s="1596"/>
      <c r="Y223" s="700"/>
      <c r="Z223" s="1546"/>
      <c r="AA223" s="700"/>
      <c r="AB223" s="211" t="s">
        <v>1250</v>
      </c>
      <c r="AC223" s="361" t="s">
        <v>2735</v>
      </c>
      <c r="AD223" s="211" t="s">
        <v>1514</v>
      </c>
      <c r="AE223" s="213">
        <f>SUM(AE224:AE234)</f>
        <v>0</v>
      </c>
      <c r="AF223" s="213">
        <f>SUM(AF224:AF234)</f>
        <v>0</v>
      </c>
      <c r="AG223" s="213">
        <f>SUM(AG224:AG234)</f>
        <v>0</v>
      </c>
      <c r="AH223" s="778">
        <f>AG223-AF223</f>
        <v>0</v>
      </c>
      <c r="AI223" s="213">
        <f>SUM(AI224:AI234)</f>
        <v>0</v>
      </c>
      <c r="AJ223" s="213">
        <f>SUM(AJ224:AJ234)</f>
        <v>0</v>
      </c>
      <c r="AK223" s="213">
        <f>SUM(AK224:AK234)</f>
        <v>0</v>
      </c>
      <c r="AL223" s="213">
        <f>SUM(AL224:AL234)</f>
        <v>0</v>
      </c>
      <c r="AM223" s="213">
        <f>SUM(AM224:AM234)</f>
        <v>0</v>
      </c>
      <c r="AN223" s="213">
        <f>SUM(AN224:AN234)</f>
        <v>0</v>
      </c>
      <c r="AO223" s="213">
        <f>SUM(AO224:AO234)</f>
        <v>0</v>
      </c>
      <c r="AP223" s="213">
        <f>SUM(AP224:AP234)</f>
        <v>0</v>
      </c>
      <c r="AQ223" s="213">
        <f>SUM(AQ224:AQ234)</f>
        <v>0</v>
      </c>
      <c r="AR223" s="213">
        <f>SUM(AR224:AR234)</f>
        <v>0</v>
      </c>
      <c r="AS223" s="213">
        <f>SUM(AS224:AS234)</f>
        <v>0</v>
      </c>
      <c r="AT223" s="213">
        <f>SUM(AT224:AT234)</f>
        <v>0</v>
      </c>
      <c r="AU223" s="213">
        <f>SUM(AU224:AU234)</f>
        <v>0</v>
      </c>
      <c r="AV223" s="213">
        <f>SUM(AV224:AV234)</f>
        <v>0</v>
      </c>
      <c r="AW223" s="213">
        <f>SUM(AW224:AW234)</f>
        <v>0</v>
      </c>
      <c r="AX223" s="213">
        <f>SUM(AX224:AX234)</f>
        <v>0</v>
      </c>
      <c r="AY223" s="213">
        <f>SUM(AY224:AY234)</f>
        <v>0</v>
      </c>
      <c r="AZ223" s="213">
        <f>SUM(AZ224:AZ234)</f>
        <v>0</v>
      </c>
      <c r="BA223" s="213">
        <f>SUM(BA224:BA234)</f>
        <v>0</v>
      </c>
      <c r="BB223" s="213">
        <f>SUM(BB224:BB234)</f>
        <v>0</v>
      </c>
      <c r="BC223" s="213">
        <f>SUM(BC224:BC234)</f>
        <v>0</v>
      </c>
      <c r="BD223" s="778">
        <f>IF(AI223=0,0,(AT223-AI223)/AI223*100)</f>
        <v>0</v>
      </c>
      <c r="BE223" s="778">
        <f>IF(AT223=0,0,(AU223-AT223)/AT223*100)</f>
        <v>0</v>
      </c>
      <c r="BF223" s="778">
        <f>IF(AU223=0,0,(AV223-AU223)/AU223*100)</f>
        <v>0</v>
      </c>
      <c r="BG223" s="778">
        <f>IF(AV223=0,0,(AW223-AV223)/AV223*100)</f>
        <v>0</v>
      </c>
      <c r="BH223" s="778">
        <f>IF(AW223=0,0,(AX223-AW223)/AW223*100)</f>
        <v>0</v>
      </c>
      <c r="BI223" s="778">
        <f>IF(AX223=0,0,(AY223-AX223)/AX223*100)</f>
        <v>0</v>
      </c>
      <c r="BJ223" s="778">
        <f>IF(AY223=0,0,(AZ223-AY223)/AY223*100)</f>
        <v>0</v>
      </c>
      <c r="BK223" s="778">
        <f>IF(AZ223=0,0,(BA223-AZ223)/AZ223*100)</f>
        <v>0</v>
      </c>
      <c r="BL223" s="778">
        <f>IF(BA223=0,0,(BB223-BA223)/BA223*100)</f>
        <v>0</v>
      </c>
      <c r="BM223" s="778">
        <f>IF(BB223=0,0,(BC223-BB223)/BB223*100)</f>
        <v>0</v>
      </c>
      <c r="BN223" s="7436"/>
      <c r="BO223" s="7436"/>
      <c r="BP223" s="7436"/>
      <c r="BQ223" s="700"/>
      <c r="BR223" s="700"/>
      <c r="BS223" s="1070" t="s">
        <v>2736</v>
      </c>
      <c r="BT223" s="1070"/>
      <c r="BU223" s="1070"/>
      <c r="BV223" s="707"/>
      <c r="BW223" s="707"/>
    </row>
    <row s="1834" customFormat="1" customHeight="1" ht="0">
      <c r="A224" s="1278"/>
      <c r="B224" s="978"/>
      <c r="C224" s="107"/>
      <c r="D224" s="107"/>
      <c r="E224" s="621">
        <v>15</v>
      </c>
      <c r="F224" s="50" cm="1" t="str">
        <f t="array" ref="F224:F224">OFFSET(E224,-1,1)</f>
        <v>1</v>
      </c>
      <c r="G224" s="107" t="s">
        <v>1819</v>
      </c>
      <c r="H224" s="107"/>
      <c r="I224" s="107" t="s">
        <v>2295</v>
      </c>
      <c r="J224" s="107"/>
      <c r="K224" s="158" t="s">
        <v>2295</v>
      </c>
      <c r="L224" s="980" t="s">
        <v>2071</v>
      </c>
      <c r="M224" s="107"/>
      <c r="N224" s="107"/>
      <c r="O224" s="107"/>
      <c r="P224" s="107"/>
      <c r="Q224" s="107"/>
      <c r="R224" s="107"/>
      <c r="S224" s="107"/>
      <c r="T224" s="465" cm="1" t="str">
        <f t="array" ref="T224:T224">T223</f>
        <v>true</v>
      </c>
      <c r="U224" s="107"/>
      <c r="V224" s="107"/>
      <c r="W224" s="107"/>
      <c r="X224" s="1596"/>
      <c r="Y224" s="1278"/>
      <c r="Z224" s="1546"/>
      <c r="AA224" s="1278"/>
      <c r="AB224" s="300" t="s">
        <v>1201</v>
      </c>
      <c r="AC224" s="765" t="s">
        <v>2737</v>
      </c>
      <c r="AD224" s="300" t="s">
        <v>1514</v>
      </c>
      <c r="AE224" s="1114">
        <f>_xlfn.SUMIFS(Покупка!AE$25:AE$372,Покупка!$F$25:$F$372,$F224,Покупка!$AC$25:$AC$372,$G224)</f>
        <v>0</v>
      </c>
      <c r="AF224" s="1114">
        <f>_xlfn.SUMIFS(Покупка!AF$25:AF$372,Покупка!$F$25:$F$372,$F224,Покупка!$AC$25:$AC$372,$G224)</f>
        <v>0</v>
      </c>
      <c r="AG224" s="1114">
        <f>_xlfn.SUMIFS(Покупка!AG$25:AG$372,Покупка!$F$25:$F$372,$F224,Покупка!$AC$25:$AC$372,$G224)</f>
        <v>0</v>
      </c>
      <c r="AH224" s="1114">
        <f>AG224-AF224</f>
        <v>0</v>
      </c>
      <c r="AI224" s="1114">
        <f>_xlfn.SUMIFS(Покупка!AH$25:AH$372,Покупка!$F$25:$F$372,$F224,Покупка!$AC$25:$AC$372,$G224)</f>
        <v>0</v>
      </c>
      <c r="AJ224" s="1114">
        <f>_xlfn.SUMIFS(Покупка!AI$25:AI$372,Покупка!$F$25:$F$372,$F224,Покупка!$AC$25:$AC$372,$G224)</f>
        <v>0</v>
      </c>
      <c r="AK224" s="1114">
        <f>_xlfn.SUMIFS(Покупка!AJ$25:AJ$372,Покупка!$F$25:$F$372,$F224,Покупка!$AC$25:$AC$372,$G224)</f>
        <v>0</v>
      </c>
      <c r="AL224" s="1114">
        <f>_xlfn.SUMIFS(Покупка!AK$25:AK$372,Покупка!$F$25:$F$372,$F224,Покупка!$AC$25:$AC$372,$G224)</f>
        <v>0</v>
      </c>
      <c r="AM224" s="1114">
        <f>_xlfn.SUMIFS(Покупка!AL$25:AL$372,Покупка!$F$25:$F$372,$F224,Покупка!$AC$25:$AC$372,$G224)</f>
        <v>0</v>
      </c>
      <c r="AN224" s="1114">
        <f>_xlfn.SUMIFS(Покупка!AM$25:AM$372,Покупка!$F$25:$F$372,$F224,Покупка!$AC$25:$AC$372,$G224)</f>
        <v>0</v>
      </c>
      <c r="AO224" s="1114">
        <f>_xlfn.SUMIFS(Покупка!AN$25:AN$372,Покупка!$F$25:$F$372,$F224,Покупка!$AC$25:$AC$372,$G224)</f>
        <v>0</v>
      </c>
      <c r="AP224" s="1114">
        <f>_xlfn.SUMIFS(Покупка!AO$25:AO$372,Покупка!$F$25:$F$372,$F224,Покупка!$AC$25:$AC$372,$G224)</f>
        <v>0</v>
      </c>
      <c r="AQ224" s="1114">
        <f>_xlfn.SUMIFS(Покупка!AP$25:AP$372,Покупка!$F$25:$F$372,$F224,Покупка!$AC$25:$AC$372,$G224)</f>
        <v>0</v>
      </c>
      <c r="AR224" s="1114">
        <f>_xlfn.SUMIFS(Покупка!AQ$25:AQ$372,Покупка!$F$25:$F$372,$F224,Покупка!$AC$25:$AC$372,$G224)</f>
        <v>0</v>
      </c>
      <c r="AS224" s="1114">
        <f>_xlfn.SUMIFS(Покупка!AR$25:AR$372,Покупка!$F$25:$F$372,$F224,Покупка!$AC$25:$AC$372,$G224)</f>
        <v>0</v>
      </c>
      <c r="AT224" s="1114">
        <f>_xlfn.SUMIFS(Покупка!AS$25:AS$372,Покупка!$F$25:$F$372,$F224,Покупка!$AC$25:$AC$372,$G224)</f>
        <v>0</v>
      </c>
      <c r="AU224" s="1114">
        <f>_xlfn.SUMIFS(Покупка!AT$25:AT$372,Покупка!$F$25:$F$372,$F224,Покупка!$AC$25:$AC$372,$G224)</f>
        <v>0</v>
      </c>
      <c r="AV224" s="1114">
        <f>_xlfn.SUMIFS(Покупка!AU$25:AU$372,Покупка!$F$25:$F$372,$F224,Покупка!$AC$25:$AC$372,$G224)</f>
        <v>0</v>
      </c>
      <c r="AW224" s="1114">
        <f>_xlfn.SUMIFS(Покупка!AV$25:AV$372,Покупка!$F$25:$F$372,$F224,Покупка!$AC$25:$AC$372,$G224)</f>
        <v>0</v>
      </c>
      <c r="AX224" s="1114">
        <f>_xlfn.SUMIFS(Покупка!AW$25:AW$372,Покупка!$F$25:$F$372,$F224,Покупка!$AC$25:$AC$372,$G224)</f>
        <v>0</v>
      </c>
      <c r="AY224" s="1114">
        <f>_xlfn.SUMIFS(Покупка!AX$25:AX$372,Покупка!$F$25:$F$372,$F224,Покупка!$AC$25:$AC$372,$G224)</f>
        <v>0</v>
      </c>
      <c r="AZ224" s="1114">
        <f>_xlfn.SUMIFS(Покупка!AY$25:AY$372,Покупка!$F$25:$F$372,$F224,Покупка!$AC$25:$AC$372,$G224)</f>
        <v>0</v>
      </c>
      <c r="BA224" s="1114">
        <f>_xlfn.SUMIFS(Покупка!AZ$25:AZ$372,Покупка!$F$25:$F$372,$F224,Покупка!$AC$25:$AC$372,$G224)</f>
        <v>0</v>
      </c>
      <c r="BB224" s="1114">
        <f>_xlfn.SUMIFS(Покупка!BA$25:BA$372,Покупка!$F$25:$F$372,$F224,Покупка!$AC$25:$AC$372,$G224)</f>
        <v>0</v>
      </c>
      <c r="BC224" s="1114">
        <f>_xlfn.SUMIFS(Покупка!BB$25:BB$372,Покупка!$F$25:$F$372,$F224,Покупка!$AC$25:$AC$372,$G224)</f>
        <v>0</v>
      </c>
      <c r="BD224" s="1114">
        <f>IF(AI224=0,0,(AT224-AI224)/AI224*100)</f>
        <v>0</v>
      </c>
      <c r="BE224" s="1114">
        <f>IF(AT224=0,0,(AU224-AT224)/AT224*100)</f>
        <v>0</v>
      </c>
      <c r="BF224" s="1114">
        <f>IF(AU224=0,0,(AV224-AU224)/AU224*100)</f>
        <v>0</v>
      </c>
      <c r="BG224" s="1114">
        <f>IF(AV224=0,0,(AW224-AV224)/AV224*100)</f>
        <v>0</v>
      </c>
      <c r="BH224" s="1114">
        <f>IF(AW224=0,0,(AX224-AW224)/AW224*100)</f>
        <v>0</v>
      </c>
      <c r="BI224" s="1114">
        <f>IF(AX224=0,0,(AY224-AX224)/AX224*100)</f>
        <v>0</v>
      </c>
      <c r="BJ224" s="1114">
        <f>IF(AY224=0,0,(AZ224-AY224)/AY224*100)</f>
        <v>0</v>
      </c>
      <c r="BK224" s="1114">
        <f>IF(AZ224=0,0,(BA224-AZ224)/AZ224*100)</f>
        <v>0</v>
      </c>
      <c r="BL224" s="1114">
        <f>IF(BA224=0,0,(BB224-BA224)/BA224*100)</f>
        <v>0</v>
      </c>
      <c r="BM224" s="1114">
        <f>IF(BB224=0,0,(BC224-BB224)/BB224*100)</f>
        <v>0</v>
      </c>
      <c r="BN224" s="7433"/>
      <c r="BO224" s="7437" t="str">
        <f>IF(_xlfn.IFERROR(INDEX(Покупка!$K$26:$L$372,MATCH($F224&amp;"6komm",Покупка!$K$26:$K$372,0),2),"")=0,"",_xlfn.IFERROR(INDEX(Покупка!$K$26:$L$372,MATCH($F224&amp;"6komm",Покупка!$K$26:$K$372,0),2),""))</f>
        <v/>
      </c>
      <c r="BP224" s="7433"/>
      <c r="BQ224" s="1278"/>
      <c r="BR224" s="1278"/>
      <c r="BS224" s="1064" t="s">
        <v>1820</v>
      </c>
      <c r="BT224" s="1064"/>
      <c r="BU224" s="1064"/>
      <c r="BV224" s="979"/>
      <c r="BW224" s="979"/>
    </row>
    <row s="1834" customFormat="1" customHeight="1" ht="0">
      <c r="A225" s="1278"/>
      <c r="B225" s="978"/>
      <c r="C225" s="107"/>
      <c r="D225" s="107"/>
      <c r="E225" s="621">
        <v>15</v>
      </c>
      <c r="F225" s="50" cm="1" t="str">
        <f t="array" ref="F225:F225">OFFSET(E225,-1,1)</f>
        <v>1</v>
      </c>
      <c r="G225" s="107" t="s">
        <v>1841</v>
      </c>
      <c r="H225" s="107"/>
      <c r="I225" s="107" t="s">
        <v>2299</v>
      </c>
      <c r="J225" s="107"/>
      <c r="K225" s="107" t="s">
        <v>2299</v>
      </c>
      <c r="L225" s="980" t="s">
        <v>2075</v>
      </c>
      <c r="M225" s="107"/>
      <c r="N225" s="107"/>
      <c r="O225" s="107"/>
      <c r="P225" s="107"/>
      <c r="Q225" s="107"/>
      <c r="R225" s="107"/>
      <c r="S225" s="107"/>
      <c r="T225" s="465" cm="1" t="str">
        <f t="array" ref="T225:T225">T224</f>
        <v>true</v>
      </c>
      <c r="U225" s="107"/>
      <c r="V225" s="107"/>
      <c r="W225" s="107"/>
      <c r="X225" s="1596"/>
      <c r="Y225" s="1278"/>
      <c r="Z225" s="1546"/>
      <c r="AA225" s="1278"/>
      <c r="AB225" s="300" t="s">
        <v>2738</v>
      </c>
      <c r="AC225" s="765" t="s">
        <v>2739</v>
      </c>
      <c r="AD225" s="300" t="s">
        <v>1514</v>
      </c>
      <c r="AE225" s="1114">
        <f>_xlfn.SUMIFS(Покупка!AE$25:AE$372,Покупка!$F$25:$F$372,$F225,Покупка!$AC$25:$AC$372,$G225)</f>
        <v>0</v>
      </c>
      <c r="AF225" s="1114">
        <f>_xlfn.SUMIFS(Покупка!AF$25:AF$372,Покупка!$F$25:$F$372,$F225,Покупка!$AC$25:$AC$372,$G225)</f>
        <v>0</v>
      </c>
      <c r="AG225" s="1114">
        <f>_xlfn.SUMIFS(Покупка!AG$25:AG$372,Покупка!$F$25:$F$372,$F225,Покупка!$AC$25:$AC$372,$G225)</f>
        <v>0</v>
      </c>
      <c r="AH225" s="1114">
        <f>AG225-AF225</f>
        <v>0</v>
      </c>
      <c r="AI225" s="1114">
        <f>_xlfn.SUMIFS(Покупка!AH$25:AH$372,Покупка!$F$25:$F$372,$F225,Покупка!$AC$25:$AC$372,$G225)</f>
        <v>0</v>
      </c>
      <c r="AJ225" s="1114">
        <f>_xlfn.SUMIFS(Покупка!AI$25:AI$372,Покупка!$F$25:$F$372,$F225,Покупка!$AC$25:$AC$372,$G225)</f>
        <v>0</v>
      </c>
      <c r="AK225" s="1114">
        <f>_xlfn.SUMIFS(Покупка!AJ$25:AJ$372,Покупка!$F$25:$F$372,$F225,Покупка!$AC$25:$AC$372,$G225)</f>
        <v>0</v>
      </c>
      <c r="AL225" s="1114">
        <f>_xlfn.SUMIFS(Покупка!AK$25:AK$372,Покупка!$F$25:$F$372,$F225,Покупка!$AC$25:$AC$372,$G225)</f>
        <v>0</v>
      </c>
      <c r="AM225" s="1114">
        <f>_xlfn.SUMIFS(Покупка!AL$25:AL$372,Покупка!$F$25:$F$372,$F225,Покупка!$AC$25:$AC$372,$G225)</f>
        <v>0</v>
      </c>
      <c r="AN225" s="1114">
        <f>_xlfn.SUMIFS(Покупка!AM$25:AM$372,Покупка!$F$25:$F$372,$F225,Покупка!$AC$25:$AC$372,$G225)</f>
        <v>0</v>
      </c>
      <c r="AO225" s="1114">
        <f>_xlfn.SUMIFS(Покупка!AN$25:AN$372,Покупка!$F$25:$F$372,$F225,Покупка!$AC$25:$AC$372,$G225)</f>
        <v>0</v>
      </c>
      <c r="AP225" s="1114">
        <f>_xlfn.SUMIFS(Покупка!AO$25:AO$372,Покупка!$F$25:$F$372,$F225,Покупка!$AC$25:$AC$372,$G225)</f>
        <v>0</v>
      </c>
      <c r="AQ225" s="1114">
        <f>_xlfn.SUMIFS(Покупка!AP$25:AP$372,Покупка!$F$25:$F$372,$F225,Покупка!$AC$25:$AC$372,$G225)</f>
        <v>0</v>
      </c>
      <c r="AR225" s="1114">
        <f>_xlfn.SUMIFS(Покупка!AQ$25:AQ$372,Покупка!$F$25:$F$372,$F225,Покупка!$AC$25:$AC$372,$G225)</f>
        <v>0</v>
      </c>
      <c r="AS225" s="1114">
        <f>_xlfn.SUMIFS(Покупка!AR$25:AR$372,Покупка!$F$25:$F$372,$F225,Покупка!$AC$25:$AC$372,$G225)</f>
        <v>0</v>
      </c>
      <c r="AT225" s="1114">
        <f>_xlfn.SUMIFS(Покупка!AS$25:AS$372,Покупка!$F$25:$F$372,$F225,Покупка!$AC$25:$AC$372,$G225)</f>
        <v>0</v>
      </c>
      <c r="AU225" s="1114">
        <f>_xlfn.SUMIFS(Покупка!AT$25:AT$372,Покупка!$F$25:$F$372,$F225,Покупка!$AC$25:$AC$372,$G225)</f>
        <v>0</v>
      </c>
      <c r="AV225" s="1114">
        <f>_xlfn.SUMIFS(Покупка!AU$25:AU$372,Покупка!$F$25:$F$372,$F225,Покупка!$AC$25:$AC$372,$G225)</f>
        <v>0</v>
      </c>
      <c r="AW225" s="1114">
        <f>_xlfn.SUMIFS(Покупка!AV$25:AV$372,Покупка!$F$25:$F$372,$F225,Покупка!$AC$25:$AC$372,$G225)</f>
        <v>0</v>
      </c>
      <c r="AX225" s="1114">
        <f>_xlfn.SUMIFS(Покупка!AW$25:AW$372,Покупка!$F$25:$F$372,$F225,Покупка!$AC$25:$AC$372,$G225)</f>
        <v>0</v>
      </c>
      <c r="AY225" s="1114">
        <f>_xlfn.SUMIFS(Покупка!AX$25:AX$372,Покупка!$F$25:$F$372,$F225,Покупка!$AC$25:$AC$372,$G225)</f>
        <v>0</v>
      </c>
      <c r="AZ225" s="1114">
        <f>_xlfn.SUMIFS(Покупка!AY$25:AY$372,Покупка!$F$25:$F$372,$F225,Покупка!$AC$25:$AC$372,$G225)</f>
        <v>0</v>
      </c>
      <c r="BA225" s="1114">
        <f>_xlfn.SUMIFS(Покупка!AZ$25:AZ$372,Покупка!$F$25:$F$372,$F225,Покупка!$AC$25:$AC$372,$G225)</f>
        <v>0</v>
      </c>
      <c r="BB225" s="1114">
        <f>_xlfn.SUMIFS(Покупка!BA$25:BA$372,Покупка!$F$25:$F$372,$F225,Покупка!$AC$25:$AC$372,$G225)</f>
        <v>0</v>
      </c>
      <c r="BC225" s="1114">
        <f>_xlfn.SUMIFS(Покупка!BB$25:BB$372,Покупка!$F$25:$F$372,$F225,Покупка!$AC$25:$AC$372,$G225)</f>
        <v>0</v>
      </c>
      <c r="BD225" s="1114">
        <f>IF(AI225=0,0,(AT225-AI225)/AI225*100)</f>
        <v>0</v>
      </c>
      <c r="BE225" s="1114">
        <f>IF(AT225=0,0,(AU225-AT225)/AT225*100)</f>
        <v>0</v>
      </c>
      <c r="BF225" s="1114">
        <f>IF(AU225=0,0,(AV225-AU225)/AU225*100)</f>
        <v>0</v>
      </c>
      <c r="BG225" s="1114">
        <f>IF(AV225=0,0,(AW225-AV225)/AV225*100)</f>
        <v>0</v>
      </c>
      <c r="BH225" s="1114">
        <f>IF(AW225=0,0,(AX225-AW225)/AW225*100)</f>
        <v>0</v>
      </c>
      <c r="BI225" s="1114">
        <f>IF(AX225=0,0,(AY225-AX225)/AX225*100)</f>
        <v>0</v>
      </c>
      <c r="BJ225" s="1114">
        <f>IF(AY225=0,0,(AZ225-AY225)/AY225*100)</f>
        <v>0</v>
      </c>
      <c r="BK225" s="1114">
        <f>IF(AZ225=0,0,(BA225-AZ225)/AZ225*100)</f>
        <v>0</v>
      </c>
      <c r="BL225" s="1114">
        <f>IF(BA225=0,0,(BB225-BA225)/BA225*100)</f>
        <v>0</v>
      </c>
      <c r="BM225" s="1114">
        <f>IF(BB225=0,0,(BC225-BB225)/BB225*100)</f>
        <v>0</v>
      </c>
      <c r="BN225" s="7433"/>
      <c r="BO225" s="7437" t="str">
        <f>IF(_xlfn.IFERROR(INDEX(Покупка!$K$26:$L$372,MATCH($F225&amp;"7komm",Покупка!$K$26:$K$372,0),2),"")=0,"",_xlfn.IFERROR(INDEX(Покупка!$K$26:$L$372,MATCH($F225&amp;"7komm",Покупка!$K$26:$K$372,0),2),""))</f>
        <v/>
      </c>
      <c r="BP225" s="7433"/>
      <c r="BQ225" s="1278"/>
      <c r="BR225" s="1278"/>
      <c r="BS225" s="1064" t="s">
        <v>1842</v>
      </c>
      <c r="BT225" s="1064"/>
      <c r="BU225" s="1064"/>
      <c r="BV225" s="979"/>
      <c r="BW225" s="979"/>
    </row>
    <row s="1834" customFormat="1" customHeight="1" ht="0">
      <c r="A226" s="1278"/>
      <c r="B226" s="978"/>
      <c r="C226" s="107"/>
      <c r="D226" s="107"/>
      <c r="E226" s="621">
        <v>15</v>
      </c>
      <c r="F226" s="50" cm="1" t="str">
        <f t="array" ref="F226:F226">OFFSET(E226,-1,1)</f>
        <v>1</v>
      </c>
      <c r="G226" s="107" t="s">
        <v>1793</v>
      </c>
      <c r="H226" s="107"/>
      <c r="I226" s="107" t="s">
        <v>2374</v>
      </c>
      <c r="J226" s="107"/>
      <c r="K226" s="107" t="s">
        <v>2374</v>
      </c>
      <c r="L226" s="980" t="s">
        <v>2244</v>
      </c>
      <c r="M226" s="107"/>
      <c r="N226" s="107"/>
      <c r="O226" s="107"/>
      <c r="P226" s="107"/>
      <c r="Q226" s="107"/>
      <c r="R226" s="107"/>
      <c r="S226" s="107"/>
      <c r="T226" s="465" cm="1" t="str">
        <f t="array" ref="T226:T226">T225</f>
        <v>true</v>
      </c>
      <c r="U226" s="107"/>
      <c r="V226" s="107"/>
      <c r="W226" s="107"/>
      <c r="X226" s="1596"/>
      <c r="Y226" s="1278"/>
      <c r="Z226" s="1546"/>
      <c r="AA226" s="1278"/>
      <c r="AB226" s="300" t="s">
        <v>2740</v>
      </c>
      <c r="AC226" s="765" t="s">
        <v>2741</v>
      </c>
      <c r="AD226" s="300" t="s">
        <v>1514</v>
      </c>
      <c r="AE226" s="1114">
        <f>_xlfn.SUMIFS(Покупка!AE$25:AE$372,Покупка!$F$25:$F$372,$F226,Покупка!$AC$25:$AC$372,$G226)</f>
        <v>0</v>
      </c>
      <c r="AF226" s="1114">
        <f>_xlfn.SUMIFS(Покупка!AF$25:AF$372,Покупка!$F$25:$F$372,$F226,Покупка!$AC$25:$AC$372,$G226)</f>
        <v>0</v>
      </c>
      <c r="AG226" s="1114">
        <f>_xlfn.SUMIFS(Покупка!AG$25:AG$372,Покупка!$F$25:$F$372,$F226,Покупка!$AC$25:$AC$372,$G226)</f>
        <v>0</v>
      </c>
      <c r="AH226" s="1114">
        <f>AG226-AF226</f>
        <v>0</v>
      </c>
      <c r="AI226" s="1114">
        <f>_xlfn.SUMIFS(Покупка!AH$25:AH$372,Покупка!$F$25:$F$372,$F226,Покупка!$AC$25:$AC$372,$G226)</f>
        <v>0</v>
      </c>
      <c r="AJ226" s="1114">
        <f>_xlfn.SUMIFS(Покупка!AI$25:AI$372,Покупка!$F$25:$F$372,$F226,Покупка!$AC$25:$AC$372,$G226)</f>
        <v>0</v>
      </c>
      <c r="AK226" s="1114">
        <f>_xlfn.SUMIFS(Покупка!AJ$25:AJ$372,Покупка!$F$25:$F$372,$F226,Покупка!$AC$25:$AC$372,$G226)</f>
        <v>0</v>
      </c>
      <c r="AL226" s="1114">
        <f>_xlfn.SUMIFS(Покупка!AK$25:AK$372,Покупка!$F$25:$F$372,$F226,Покупка!$AC$25:$AC$372,$G226)</f>
        <v>0</v>
      </c>
      <c r="AM226" s="1114">
        <f>_xlfn.SUMIFS(Покупка!AL$25:AL$372,Покупка!$F$25:$F$372,$F226,Покупка!$AC$25:$AC$372,$G226)</f>
        <v>0</v>
      </c>
      <c r="AN226" s="1114">
        <f>_xlfn.SUMIFS(Покупка!AM$25:AM$372,Покупка!$F$25:$F$372,$F226,Покупка!$AC$25:$AC$372,$G226)</f>
        <v>0</v>
      </c>
      <c r="AO226" s="1114">
        <f>_xlfn.SUMIFS(Покупка!AN$25:AN$372,Покупка!$F$25:$F$372,$F226,Покупка!$AC$25:$AC$372,$G226)</f>
        <v>0</v>
      </c>
      <c r="AP226" s="1114">
        <f>_xlfn.SUMIFS(Покупка!AO$25:AO$372,Покупка!$F$25:$F$372,$F226,Покупка!$AC$25:$AC$372,$G226)</f>
        <v>0</v>
      </c>
      <c r="AQ226" s="1114">
        <f>_xlfn.SUMIFS(Покупка!AP$25:AP$372,Покупка!$F$25:$F$372,$F226,Покупка!$AC$25:$AC$372,$G226)</f>
        <v>0</v>
      </c>
      <c r="AR226" s="1114">
        <f>_xlfn.SUMIFS(Покупка!AQ$25:AQ$372,Покупка!$F$25:$F$372,$F226,Покупка!$AC$25:$AC$372,$G226)</f>
        <v>0</v>
      </c>
      <c r="AS226" s="1114">
        <f>_xlfn.SUMIFS(Покупка!AR$25:AR$372,Покупка!$F$25:$F$372,$F226,Покупка!$AC$25:$AC$372,$G226)</f>
        <v>0</v>
      </c>
      <c r="AT226" s="1114">
        <f>_xlfn.SUMIFS(Покупка!AS$25:AS$372,Покупка!$F$25:$F$372,$F226,Покупка!$AC$25:$AC$372,$G226)</f>
        <v>0</v>
      </c>
      <c r="AU226" s="1114">
        <f>_xlfn.SUMIFS(Покупка!AT$25:AT$372,Покупка!$F$25:$F$372,$F226,Покупка!$AC$25:$AC$372,$G226)</f>
        <v>0</v>
      </c>
      <c r="AV226" s="1114">
        <f>_xlfn.SUMIFS(Покупка!AU$25:AU$372,Покупка!$F$25:$F$372,$F226,Покупка!$AC$25:$AC$372,$G226)</f>
        <v>0</v>
      </c>
      <c r="AW226" s="1114">
        <f>_xlfn.SUMIFS(Покупка!AV$25:AV$372,Покупка!$F$25:$F$372,$F226,Покупка!$AC$25:$AC$372,$G226)</f>
        <v>0</v>
      </c>
      <c r="AX226" s="1114">
        <f>_xlfn.SUMIFS(Покупка!AW$25:AW$372,Покупка!$F$25:$F$372,$F226,Покупка!$AC$25:$AC$372,$G226)</f>
        <v>0</v>
      </c>
      <c r="AY226" s="1114">
        <f>_xlfn.SUMIFS(Покупка!AX$25:AX$372,Покупка!$F$25:$F$372,$F226,Покупка!$AC$25:$AC$372,$G226)</f>
        <v>0</v>
      </c>
      <c r="AZ226" s="1114">
        <f>_xlfn.SUMIFS(Покупка!AY$25:AY$372,Покупка!$F$25:$F$372,$F226,Покупка!$AC$25:$AC$372,$G226)</f>
        <v>0</v>
      </c>
      <c r="BA226" s="1114">
        <f>_xlfn.SUMIFS(Покупка!AZ$25:AZ$372,Покупка!$F$25:$F$372,$F226,Покупка!$AC$25:$AC$372,$G226)</f>
        <v>0</v>
      </c>
      <c r="BB226" s="1114">
        <f>_xlfn.SUMIFS(Покупка!BA$25:BA$372,Покупка!$F$25:$F$372,$F226,Покупка!$AC$25:$AC$372,$G226)</f>
        <v>0</v>
      </c>
      <c r="BC226" s="1114">
        <f>_xlfn.SUMIFS(Покупка!BB$25:BB$372,Покупка!$F$25:$F$372,$F226,Покупка!$AC$25:$AC$372,$G226)</f>
        <v>0</v>
      </c>
      <c r="BD226" s="1114">
        <f>IF(AI226=0,0,(AT226-AI226)/AI226*100)</f>
        <v>0</v>
      </c>
      <c r="BE226" s="1114">
        <f>IF(AT226=0,0,(AU226-AT226)/AT226*100)</f>
        <v>0</v>
      </c>
      <c r="BF226" s="1114">
        <f>IF(AU226=0,0,(AV226-AU226)/AU226*100)</f>
        <v>0</v>
      </c>
      <c r="BG226" s="1114">
        <f>IF(AV226=0,0,(AW226-AV226)/AV226*100)</f>
        <v>0</v>
      </c>
      <c r="BH226" s="1114">
        <f>IF(AW226=0,0,(AX226-AW226)/AW226*100)</f>
        <v>0</v>
      </c>
      <c r="BI226" s="1114">
        <f>IF(AX226=0,0,(AY226-AX226)/AX226*100)</f>
        <v>0</v>
      </c>
      <c r="BJ226" s="1114">
        <f>IF(AY226=0,0,(AZ226-AY226)/AY226*100)</f>
        <v>0</v>
      </c>
      <c r="BK226" s="1114">
        <f>IF(AZ226=0,0,(BA226-AZ226)/AZ226*100)</f>
        <v>0</v>
      </c>
      <c r="BL226" s="1114">
        <f>IF(BA226=0,0,(BB226-BA226)/BA226*100)</f>
        <v>0</v>
      </c>
      <c r="BM226" s="1114">
        <f>IF(BB226=0,0,(BC226-BB226)/BB226*100)</f>
        <v>0</v>
      </c>
      <c r="BN226" s="7433"/>
      <c r="BO226" s="7437" t="str">
        <f>IF(_xlfn.IFERROR(INDEX(Покупка!$K$26:$L$372,MATCH($F226&amp;"2komm",Покупка!$K$26:$K$372,0),2),"")=0,"",_xlfn.IFERROR(INDEX(Покупка!$K$26:$L$372,MATCH($F226&amp;"2komm",Покупка!$K$26:$K$372,0),2),""))</f>
        <v/>
      </c>
      <c r="BP226" s="7433"/>
      <c r="BQ226" s="1278"/>
      <c r="BR226" s="1278"/>
      <c r="BS226" s="1064" t="s">
        <v>2742</v>
      </c>
      <c r="BT226" s="1064"/>
      <c r="BU226" s="1064"/>
      <c r="BV226" s="979"/>
      <c r="BW226" s="979"/>
    </row>
    <row s="1834" customFormat="1" customHeight="1" ht="0">
      <c r="A227" s="1278"/>
      <c r="B227" s="978"/>
      <c r="C227" s="107"/>
      <c r="D227" s="107"/>
      <c r="E227" s="621">
        <v>15</v>
      </c>
      <c r="F227" s="50" cm="1" t="str">
        <f t="array" ref="F227:F227">OFFSET(E227,-1,1)</f>
        <v>1</v>
      </c>
      <c r="G227" s="107" t="s">
        <v>1780</v>
      </c>
      <c r="H227" s="107"/>
      <c r="I227" s="107" t="s">
        <v>2376</v>
      </c>
      <c r="J227" s="107"/>
      <c r="K227" s="107" t="s">
        <v>2376</v>
      </c>
      <c r="L227" s="980" t="s">
        <v>2239</v>
      </c>
      <c r="M227" s="107"/>
      <c r="N227" s="107"/>
      <c r="O227" s="107"/>
      <c r="P227" s="107"/>
      <c r="Q227" s="107"/>
      <c r="R227" s="107"/>
      <c r="S227" s="107"/>
      <c r="T227" s="465" cm="1" t="str">
        <f t="array" ref="T227:T227">T226</f>
        <v>true</v>
      </c>
      <c r="U227" s="107"/>
      <c r="V227" s="107"/>
      <c r="W227" s="107"/>
      <c r="X227" s="1596"/>
      <c r="Y227" s="1278"/>
      <c r="Z227" s="1546"/>
      <c r="AA227" s="1278"/>
      <c r="AB227" s="300" t="s">
        <v>2743</v>
      </c>
      <c r="AC227" s="765" t="s">
        <v>2744</v>
      </c>
      <c r="AD227" s="300" t="s">
        <v>1514</v>
      </c>
      <c r="AE227" s="1114">
        <f>_xlfn.SUMIFS(Покупка!AE$25:AE$372,Покупка!$F$25:$F$372,$F227,Покупка!$AC$25:$AC$372,$G227)</f>
        <v>0</v>
      </c>
      <c r="AF227" s="1114">
        <f>_xlfn.SUMIFS(Покупка!AF$25:AF$372,Покупка!$F$25:$F$372,$F227,Покупка!$AC$25:$AC$372,$G227)</f>
        <v>0</v>
      </c>
      <c r="AG227" s="1114">
        <f>_xlfn.SUMIFS(Покупка!AG$25:AG$372,Покупка!$F$25:$F$372,$F227,Покупка!$AC$25:$AC$372,$G227)</f>
        <v>0</v>
      </c>
      <c r="AH227" s="1114">
        <f>AG227-AF227</f>
        <v>0</v>
      </c>
      <c r="AI227" s="1114">
        <f>_xlfn.SUMIFS(Покупка!AH$25:AH$372,Покупка!$F$25:$F$372,$F227,Покупка!$AC$25:$AC$372,$G227)</f>
        <v>0</v>
      </c>
      <c r="AJ227" s="1114">
        <f>_xlfn.SUMIFS(Покупка!AI$25:AI$372,Покупка!$F$25:$F$372,$F227,Покупка!$AC$25:$AC$372,$G227)</f>
        <v>0</v>
      </c>
      <c r="AK227" s="1114">
        <f>_xlfn.SUMIFS(Покупка!AJ$25:AJ$372,Покупка!$F$25:$F$372,$F227,Покупка!$AC$25:$AC$372,$G227)</f>
        <v>0</v>
      </c>
      <c r="AL227" s="1114">
        <f>_xlfn.SUMIFS(Покупка!AK$25:AK$372,Покупка!$F$25:$F$372,$F227,Покупка!$AC$25:$AC$372,$G227)</f>
        <v>0</v>
      </c>
      <c r="AM227" s="1114">
        <f>_xlfn.SUMIFS(Покупка!AL$25:AL$372,Покупка!$F$25:$F$372,$F227,Покупка!$AC$25:$AC$372,$G227)</f>
        <v>0</v>
      </c>
      <c r="AN227" s="1114">
        <f>_xlfn.SUMIFS(Покупка!AM$25:AM$372,Покупка!$F$25:$F$372,$F227,Покупка!$AC$25:$AC$372,$G227)</f>
        <v>0</v>
      </c>
      <c r="AO227" s="1114">
        <f>_xlfn.SUMIFS(Покупка!AN$25:AN$372,Покупка!$F$25:$F$372,$F227,Покупка!$AC$25:$AC$372,$G227)</f>
        <v>0</v>
      </c>
      <c r="AP227" s="1114">
        <f>_xlfn.SUMIFS(Покупка!AO$25:AO$372,Покупка!$F$25:$F$372,$F227,Покупка!$AC$25:$AC$372,$G227)</f>
        <v>0</v>
      </c>
      <c r="AQ227" s="1114">
        <f>_xlfn.SUMIFS(Покупка!AP$25:AP$372,Покупка!$F$25:$F$372,$F227,Покупка!$AC$25:$AC$372,$G227)</f>
        <v>0</v>
      </c>
      <c r="AR227" s="1114">
        <f>_xlfn.SUMIFS(Покупка!AQ$25:AQ$372,Покупка!$F$25:$F$372,$F227,Покупка!$AC$25:$AC$372,$G227)</f>
        <v>0</v>
      </c>
      <c r="AS227" s="1114">
        <f>_xlfn.SUMIFS(Покупка!AR$25:AR$372,Покупка!$F$25:$F$372,$F227,Покупка!$AC$25:$AC$372,$G227)</f>
        <v>0</v>
      </c>
      <c r="AT227" s="1114">
        <f>_xlfn.SUMIFS(Покупка!AS$25:AS$372,Покупка!$F$25:$F$372,$F227,Покупка!$AC$25:$AC$372,$G227)</f>
        <v>0</v>
      </c>
      <c r="AU227" s="1114">
        <f>_xlfn.SUMIFS(Покупка!AT$25:AT$372,Покупка!$F$25:$F$372,$F227,Покупка!$AC$25:$AC$372,$G227)</f>
        <v>0</v>
      </c>
      <c r="AV227" s="1114">
        <f>_xlfn.SUMIFS(Покупка!AU$25:AU$372,Покупка!$F$25:$F$372,$F227,Покупка!$AC$25:$AC$372,$G227)</f>
        <v>0</v>
      </c>
      <c r="AW227" s="1114">
        <f>_xlfn.SUMIFS(Покупка!AV$25:AV$372,Покупка!$F$25:$F$372,$F227,Покупка!$AC$25:$AC$372,$G227)</f>
        <v>0</v>
      </c>
      <c r="AX227" s="1114">
        <f>_xlfn.SUMIFS(Покупка!AW$25:AW$372,Покупка!$F$25:$F$372,$F227,Покупка!$AC$25:$AC$372,$G227)</f>
        <v>0</v>
      </c>
      <c r="AY227" s="1114">
        <f>_xlfn.SUMIFS(Покупка!AX$25:AX$372,Покупка!$F$25:$F$372,$F227,Покупка!$AC$25:$AC$372,$G227)</f>
        <v>0</v>
      </c>
      <c r="AZ227" s="1114">
        <f>_xlfn.SUMIFS(Покупка!AY$25:AY$372,Покупка!$F$25:$F$372,$F227,Покупка!$AC$25:$AC$372,$G227)</f>
        <v>0</v>
      </c>
      <c r="BA227" s="1114">
        <f>_xlfn.SUMIFS(Покупка!AZ$25:AZ$372,Покупка!$F$25:$F$372,$F227,Покупка!$AC$25:$AC$372,$G227)</f>
        <v>0</v>
      </c>
      <c r="BB227" s="1114">
        <f>_xlfn.SUMIFS(Покупка!BA$25:BA$372,Покупка!$F$25:$F$372,$F227,Покупка!$AC$25:$AC$372,$G227)</f>
        <v>0</v>
      </c>
      <c r="BC227" s="1114">
        <f>_xlfn.SUMIFS(Покупка!BB$25:BB$372,Покупка!$F$25:$F$372,$F227,Покупка!$AC$25:$AC$372,$G227)</f>
        <v>0</v>
      </c>
      <c r="BD227" s="1114">
        <f>IF(AI227=0,0,(AT227-AI227)/AI227*100)</f>
        <v>0</v>
      </c>
      <c r="BE227" s="1114">
        <f>IF(AT227=0,0,(AU227-AT227)/AT227*100)</f>
        <v>0</v>
      </c>
      <c r="BF227" s="1114">
        <f>IF(AU227=0,0,(AV227-AU227)/AU227*100)</f>
        <v>0</v>
      </c>
      <c r="BG227" s="1114">
        <f>IF(AV227=0,0,(AW227-AV227)/AV227*100)</f>
        <v>0</v>
      </c>
      <c r="BH227" s="1114">
        <f>IF(AW227=0,0,(AX227-AW227)/AW227*100)</f>
        <v>0</v>
      </c>
      <c r="BI227" s="1114">
        <f>IF(AX227=0,0,(AY227-AX227)/AX227*100)</f>
        <v>0</v>
      </c>
      <c r="BJ227" s="1114">
        <f>IF(AY227=0,0,(AZ227-AY227)/AY227*100)</f>
        <v>0</v>
      </c>
      <c r="BK227" s="1114">
        <f>IF(AZ227=0,0,(BA227-AZ227)/AZ227*100)</f>
        <v>0</v>
      </c>
      <c r="BL227" s="1114">
        <f>IF(BA227=0,0,(BB227-BA227)/BA227*100)</f>
        <v>0</v>
      </c>
      <c r="BM227" s="1114">
        <f>IF(BB227=0,0,(BC227-BB227)/BB227*100)</f>
        <v>0</v>
      </c>
      <c r="BN227" s="7433"/>
      <c r="BO227" s="7437" t="str">
        <f>IF(_xlfn.IFERROR(INDEX(Покупка!$K$26:$L$372,MATCH($F227&amp;"1komm",Покупка!$K$26:$K$372,0),2),"")=0,"",_xlfn.IFERROR(INDEX(Покупка!$K$26:$L$372,MATCH($F227&amp;"1komm",Покупка!$K$26:$K$372,0),2),""))</f>
        <v/>
      </c>
      <c r="BP227" s="7433"/>
      <c r="BQ227" s="1278"/>
      <c r="BR227" s="1278"/>
      <c r="BS227" s="1064" t="s">
        <v>2745</v>
      </c>
      <c r="BT227" s="1064"/>
      <c r="BU227" s="1064"/>
      <c r="BV227" s="979"/>
      <c r="BW227" s="979"/>
    </row>
    <row s="1834" customFormat="1" customHeight="1" ht="0">
      <c r="A228" s="1278"/>
      <c r="B228" s="978"/>
      <c r="C228" s="107"/>
      <c r="D228" s="107"/>
      <c r="E228" s="621">
        <v>15</v>
      </c>
      <c r="F228" s="50" cm="1" t="str">
        <f t="array" ref="F228:F228">OFFSET(E228,-1,1)</f>
        <v>1</v>
      </c>
      <c r="G228" s="107" t="s">
        <v>1847</v>
      </c>
      <c r="H228" s="107"/>
      <c r="I228" s="107" t="s">
        <v>2379</v>
      </c>
      <c r="J228" s="107"/>
      <c r="K228" s="107" t="s">
        <v>2379</v>
      </c>
      <c r="L228" s="980"/>
      <c r="M228" s="107"/>
      <c r="N228" s="107"/>
      <c r="O228" s="107"/>
      <c r="P228" s="107"/>
      <c r="Q228" s="107"/>
      <c r="R228" s="107"/>
      <c r="S228" s="107"/>
      <c r="T228" s="465" cm="1" t="str">
        <f t="array" ref="T228:T228">T227</f>
        <v>true</v>
      </c>
      <c r="U228" s="107"/>
      <c r="V228" s="107"/>
      <c r="W228" s="107"/>
      <c r="X228" s="1596"/>
      <c r="Y228" s="1278"/>
      <c r="Z228" s="1546"/>
      <c r="AA228" s="1278"/>
      <c r="AB228" s="300" t="s">
        <v>2746</v>
      </c>
      <c r="AC228" s="765" t="s">
        <v>2747</v>
      </c>
      <c r="AD228" s="300" t="s">
        <v>1514</v>
      </c>
      <c r="AE228" s="1114">
        <f>_xlfn.SUMIFS(Покупка!AE$25:AE$372,Покупка!$F$25:$F$372,$F228,Покупка!$AC$25:$AC$372,$G228)</f>
        <v>0</v>
      </c>
      <c r="AF228" s="1114">
        <f>_xlfn.SUMIFS(Покупка!AF$25:AF$372,Покупка!$F$25:$F$372,$F228,Покупка!$AC$25:$AC$372,$G228)</f>
        <v>0</v>
      </c>
      <c r="AG228" s="1114">
        <f>_xlfn.SUMIFS(Покупка!AG$25:AG$372,Покупка!$F$25:$F$372,$F228,Покупка!$AC$25:$AC$372,$G228)</f>
        <v>0</v>
      </c>
      <c r="AH228" s="1114">
        <f>AG228-AF228</f>
        <v>0</v>
      </c>
      <c r="AI228" s="1114">
        <f>_xlfn.SUMIFS(Покупка!AH$25:AH$372,Покупка!$F$25:$F$372,$F228,Покупка!$AC$25:$AC$372,$G228)</f>
        <v>0</v>
      </c>
      <c r="AJ228" s="1114">
        <f>_xlfn.SUMIFS(Покупка!AI$25:AI$372,Покупка!$F$25:$F$372,$F228,Покупка!$AC$25:$AC$372,$G228)</f>
        <v>0</v>
      </c>
      <c r="AK228" s="1114">
        <f>_xlfn.SUMIFS(Покупка!AJ$25:AJ$372,Покупка!$F$25:$F$372,$F228,Покупка!$AC$25:$AC$372,$G228)</f>
        <v>0</v>
      </c>
      <c r="AL228" s="1114">
        <f>_xlfn.SUMIFS(Покупка!AK$25:AK$372,Покупка!$F$25:$F$372,$F228,Покупка!$AC$25:$AC$372,$G228)</f>
        <v>0</v>
      </c>
      <c r="AM228" s="1114">
        <f>_xlfn.SUMIFS(Покупка!AL$25:AL$372,Покупка!$F$25:$F$372,$F228,Покупка!$AC$25:$AC$372,$G228)</f>
        <v>0</v>
      </c>
      <c r="AN228" s="1114">
        <f>_xlfn.SUMIFS(Покупка!AM$25:AM$372,Покупка!$F$25:$F$372,$F228,Покупка!$AC$25:$AC$372,$G228)</f>
        <v>0</v>
      </c>
      <c r="AO228" s="1114">
        <f>_xlfn.SUMIFS(Покупка!AN$25:AN$372,Покупка!$F$25:$F$372,$F228,Покупка!$AC$25:$AC$372,$G228)</f>
        <v>0</v>
      </c>
      <c r="AP228" s="1114">
        <f>_xlfn.SUMIFS(Покупка!AO$25:AO$372,Покупка!$F$25:$F$372,$F228,Покупка!$AC$25:$AC$372,$G228)</f>
        <v>0</v>
      </c>
      <c r="AQ228" s="1114">
        <f>_xlfn.SUMIFS(Покупка!AP$25:AP$372,Покупка!$F$25:$F$372,$F228,Покупка!$AC$25:$AC$372,$G228)</f>
        <v>0</v>
      </c>
      <c r="AR228" s="1114">
        <f>_xlfn.SUMIFS(Покупка!AQ$25:AQ$372,Покупка!$F$25:$F$372,$F228,Покупка!$AC$25:$AC$372,$G228)</f>
        <v>0</v>
      </c>
      <c r="AS228" s="1114">
        <f>_xlfn.SUMIFS(Покупка!AR$25:AR$372,Покупка!$F$25:$F$372,$F228,Покупка!$AC$25:$AC$372,$G228)</f>
        <v>0</v>
      </c>
      <c r="AT228" s="1114">
        <f>_xlfn.SUMIFS(Покупка!AS$25:AS$372,Покупка!$F$25:$F$372,$F228,Покупка!$AC$25:$AC$372,$G228)</f>
        <v>0</v>
      </c>
      <c r="AU228" s="1114">
        <f>_xlfn.SUMIFS(Покупка!AT$25:AT$372,Покупка!$F$25:$F$372,$F228,Покупка!$AC$25:$AC$372,$G228)</f>
        <v>0</v>
      </c>
      <c r="AV228" s="1114">
        <f>_xlfn.SUMIFS(Покупка!AU$25:AU$372,Покупка!$F$25:$F$372,$F228,Покупка!$AC$25:$AC$372,$G228)</f>
        <v>0</v>
      </c>
      <c r="AW228" s="1114">
        <f>_xlfn.SUMIFS(Покупка!AV$25:AV$372,Покупка!$F$25:$F$372,$F228,Покупка!$AC$25:$AC$372,$G228)</f>
        <v>0</v>
      </c>
      <c r="AX228" s="1114">
        <f>_xlfn.SUMIFS(Покупка!AW$25:AW$372,Покупка!$F$25:$F$372,$F228,Покупка!$AC$25:$AC$372,$G228)</f>
        <v>0</v>
      </c>
      <c r="AY228" s="1114">
        <f>_xlfn.SUMIFS(Покупка!AX$25:AX$372,Покупка!$F$25:$F$372,$F228,Покупка!$AC$25:$AC$372,$G228)</f>
        <v>0</v>
      </c>
      <c r="AZ228" s="1114">
        <f>_xlfn.SUMIFS(Покупка!AY$25:AY$372,Покупка!$F$25:$F$372,$F228,Покупка!$AC$25:$AC$372,$G228)</f>
        <v>0</v>
      </c>
      <c r="BA228" s="1114">
        <f>_xlfn.SUMIFS(Покупка!AZ$25:AZ$372,Покупка!$F$25:$F$372,$F228,Покупка!$AC$25:$AC$372,$G228)</f>
        <v>0</v>
      </c>
      <c r="BB228" s="1114">
        <f>_xlfn.SUMIFS(Покупка!BA$25:BA$372,Покупка!$F$25:$F$372,$F228,Покупка!$AC$25:$AC$372,$G228)</f>
        <v>0</v>
      </c>
      <c r="BC228" s="1114">
        <f>_xlfn.SUMIFS(Покупка!BB$25:BB$372,Покупка!$F$25:$F$372,$F228,Покупка!$AC$25:$AC$372,$G228)</f>
        <v>0</v>
      </c>
      <c r="BD228" s="1114">
        <f>IF(AI228=0,0,(AT228-AI228)/AI228*100)</f>
        <v>0</v>
      </c>
      <c r="BE228" s="1114">
        <f>IF(AT228=0,0,(AU228-AT228)/AT228*100)</f>
        <v>0</v>
      </c>
      <c r="BF228" s="1114">
        <f>IF(AU228=0,0,(AV228-AU228)/AU228*100)</f>
        <v>0</v>
      </c>
      <c r="BG228" s="1114">
        <f>IF(AV228=0,0,(AW228-AV228)/AV228*100)</f>
        <v>0</v>
      </c>
      <c r="BH228" s="1114">
        <f>IF(AW228=0,0,(AX228-AW228)/AW228*100)</f>
        <v>0</v>
      </c>
      <c r="BI228" s="1114">
        <f>IF(AX228=0,0,(AY228-AX228)/AX228*100)</f>
        <v>0</v>
      </c>
      <c r="BJ228" s="1114">
        <f>IF(AY228=0,0,(AZ228-AY228)/AY228*100)</f>
        <v>0</v>
      </c>
      <c r="BK228" s="1114">
        <f>IF(AZ228=0,0,(BA228-AZ228)/AZ228*100)</f>
        <v>0</v>
      </c>
      <c r="BL228" s="1114">
        <f>IF(BA228=0,0,(BB228-BA228)/BA228*100)</f>
        <v>0</v>
      </c>
      <c r="BM228" s="1114">
        <f>IF(BB228=0,0,(BC228-BB228)/BB228*100)</f>
        <v>0</v>
      </c>
      <c r="BN228" s="7433"/>
      <c r="BO228" s="7437" t="str">
        <f>IF(_xlfn.IFERROR(INDEX(Покупка!$K$26:$L$372,MATCH($F228&amp;"8komm",Покупка!$K$26:$K$372,0),2),"")=0,"",_xlfn.IFERROR(INDEX(Покупка!$K$26:$L$372,MATCH($F228&amp;"8komm",Покупка!$K$26:$K$372,0),2),""))</f>
        <v/>
      </c>
      <c r="BP228" s="7433"/>
      <c r="BQ228" s="1278"/>
      <c r="BR228" s="1278"/>
      <c r="BS228" s="1064" t="s">
        <v>1848</v>
      </c>
      <c r="BT228" s="1064"/>
      <c r="BU228" s="1064"/>
      <c r="BV228" s="979"/>
      <c r="BW228" s="979"/>
    </row>
    <row s="1834" customFormat="1" customHeight="1" ht="0">
      <c r="A229" s="1278"/>
      <c r="B229" s="978"/>
      <c r="C229" s="107"/>
      <c r="D229" s="107"/>
      <c r="E229" s="621">
        <v>15</v>
      </c>
      <c r="F229" s="50" cm="1" t="str">
        <f t="array" ref="F229:F229">OFFSET(E229,-1,1)</f>
        <v>1</v>
      </c>
      <c r="G229" s="107"/>
      <c r="H229" s="107"/>
      <c r="I229" s="107" t="s">
        <v>2748</v>
      </c>
      <c r="J229" s="107"/>
      <c r="K229" s="107" t="s">
        <v>2748</v>
      </c>
      <c r="L229" s="980"/>
      <c r="M229" s="107"/>
      <c r="N229" s="107"/>
      <c r="O229" s="107"/>
      <c r="P229" s="107"/>
      <c r="Q229" s="107"/>
      <c r="R229" s="107"/>
      <c r="S229" s="107"/>
      <c r="T229" s="465" cm="1" t="str">
        <f t="array" ref="T229:T229">T228</f>
        <v>true</v>
      </c>
      <c r="U229" s="107"/>
      <c r="V229" s="107"/>
      <c r="W229" s="107"/>
      <c r="X229" s="1596"/>
      <c r="Y229" s="1278"/>
      <c r="Z229" s="1546"/>
      <c r="AA229" s="1278"/>
      <c r="AB229" s="300" t="s">
        <v>2749</v>
      </c>
      <c r="AC229" s="765" t="s">
        <v>2750</v>
      </c>
      <c r="AD229" s="300" t="s">
        <v>1514</v>
      </c>
      <c r="AE229" s="3946"/>
      <c r="AF229" s="3946"/>
      <c r="AG229" s="3946"/>
      <c r="AH229" s="1114">
        <f>AG229-AF229</f>
        <v>0</v>
      </c>
      <c r="AI229" s="3946"/>
      <c r="AJ229" s="3946"/>
      <c r="AK229" s="3946"/>
      <c r="AL229" s="3946"/>
      <c r="AM229" s="3946"/>
      <c r="AN229" s="3946"/>
      <c r="AO229" s="1241"/>
      <c r="AP229" s="1241"/>
      <c r="AQ229" s="1241"/>
      <c r="AR229" s="1241"/>
      <c r="AS229" s="1241"/>
      <c r="AT229" s="3946"/>
      <c r="AU229" s="3946"/>
      <c r="AV229" s="3946"/>
      <c r="AW229" s="3946"/>
      <c r="AX229" s="3946"/>
      <c r="AY229" s="1241"/>
      <c r="AZ229" s="1241"/>
      <c r="BA229" s="1241"/>
      <c r="BB229" s="1241"/>
      <c r="BC229" s="1241"/>
      <c r="BD229" s="1114">
        <f>IF(AI229=0,0,(AT229-AI229)/AI229*100)</f>
        <v>0</v>
      </c>
      <c r="BE229" s="1114">
        <f>IF(AT229=0,0,(AU229-AT229)/AT229*100)</f>
        <v>0</v>
      </c>
      <c r="BF229" s="1114">
        <f>IF(AU229=0,0,(AV229-AU229)/AU229*100)</f>
        <v>0</v>
      </c>
      <c r="BG229" s="1114">
        <f>IF(AV229=0,0,(AW229-AV229)/AV229*100)</f>
        <v>0</v>
      </c>
      <c r="BH229" s="1114">
        <f>IF(AW229=0,0,(AX229-AW229)/AW229*100)</f>
        <v>0</v>
      </c>
      <c r="BI229" s="1114">
        <f>IF(AX229=0,0,(AY229-AX229)/AX229*100)</f>
        <v>0</v>
      </c>
      <c r="BJ229" s="1114">
        <f>IF(AY229=0,0,(AZ229-AY229)/AY229*100)</f>
        <v>0</v>
      </c>
      <c r="BK229" s="1114">
        <f>IF(AZ229=0,0,(BA229-AZ229)/AZ229*100)</f>
        <v>0</v>
      </c>
      <c r="BL229" s="1114">
        <f>IF(BA229=0,0,(BB229-BA229)/BA229*100)</f>
        <v>0</v>
      </c>
      <c r="BM229" s="1114">
        <f>IF(BB229=0,0,(BC229-BB229)/BB229*100)</f>
        <v>0</v>
      </c>
      <c r="BN229" s="7433"/>
      <c r="BO229" s="7433"/>
      <c r="BP229" s="7433"/>
      <c r="BQ229" s="1278"/>
      <c r="BR229" s="1278"/>
      <c r="BS229" s="1064" t="s">
        <v>2751</v>
      </c>
      <c r="BT229" s="1064"/>
      <c r="BU229" s="1064"/>
      <c r="BV229" s="979"/>
      <c r="BW229" s="979"/>
    </row>
    <row s="1834" customFormat="1" customHeight="1" ht="0">
      <c r="A230" s="1278"/>
      <c r="B230" s="978"/>
      <c r="C230" s="107"/>
      <c r="D230" s="107"/>
      <c r="E230" s="621">
        <v>15</v>
      </c>
      <c r="F230" s="50" cm="1" t="str">
        <f t="array" ref="F230:F230">OFFSET(E230,-1,1)</f>
        <v>1</v>
      </c>
      <c r="G230" s="107"/>
      <c r="H230" s="107"/>
      <c r="I230" s="107" t="s">
        <v>2752</v>
      </c>
      <c r="J230" s="107"/>
      <c r="K230" s="107" t="s">
        <v>2752</v>
      </c>
      <c r="L230" s="980"/>
      <c r="M230" s="107"/>
      <c r="N230" s="107"/>
      <c r="O230" s="107"/>
      <c r="P230" s="107"/>
      <c r="Q230" s="107"/>
      <c r="R230" s="107"/>
      <c r="S230" s="107"/>
      <c r="T230" s="465" cm="1" t="str">
        <f t="array" ref="T230:T230">T229</f>
        <v>true</v>
      </c>
      <c r="U230" s="107"/>
      <c r="V230" s="107"/>
      <c r="W230" s="107"/>
      <c r="X230" s="1596"/>
      <c r="Y230" s="1278"/>
      <c r="Z230" s="1546"/>
      <c r="AA230" s="1278"/>
      <c r="AB230" s="300" t="s">
        <v>2753</v>
      </c>
      <c r="AC230" s="765" t="s">
        <v>2754</v>
      </c>
      <c r="AD230" s="300" t="s">
        <v>1514</v>
      </c>
      <c r="AE230" s="3946"/>
      <c r="AF230" s="3946"/>
      <c r="AG230" s="3946"/>
      <c r="AH230" s="1114">
        <f>AG230-AF230</f>
        <v>0</v>
      </c>
      <c r="AI230" s="3946"/>
      <c r="AJ230" s="3946"/>
      <c r="AK230" s="3946"/>
      <c r="AL230" s="3946"/>
      <c r="AM230" s="3946"/>
      <c r="AN230" s="3946"/>
      <c r="AO230" s="1241"/>
      <c r="AP230" s="1241"/>
      <c r="AQ230" s="1241"/>
      <c r="AR230" s="1241"/>
      <c r="AS230" s="1241"/>
      <c r="AT230" s="3946"/>
      <c r="AU230" s="3946"/>
      <c r="AV230" s="3946"/>
      <c r="AW230" s="3946"/>
      <c r="AX230" s="3946"/>
      <c r="AY230" s="1241"/>
      <c r="AZ230" s="1241"/>
      <c r="BA230" s="1241"/>
      <c r="BB230" s="1241"/>
      <c r="BC230" s="1241"/>
      <c r="BD230" s="1114">
        <f>IF(AI230=0,0,(AT230-AI230)/AI230*100)</f>
        <v>0</v>
      </c>
      <c r="BE230" s="1114">
        <f>IF(AT230=0,0,(AU230-AT230)/AT230*100)</f>
        <v>0</v>
      </c>
      <c r="BF230" s="1114">
        <f>IF(AU230=0,0,(AV230-AU230)/AU230*100)</f>
        <v>0</v>
      </c>
      <c r="BG230" s="1114">
        <f>IF(AV230=0,0,(AW230-AV230)/AV230*100)</f>
        <v>0</v>
      </c>
      <c r="BH230" s="1114">
        <f>IF(AW230=0,0,(AX230-AW230)/AW230*100)</f>
        <v>0</v>
      </c>
      <c r="BI230" s="1114">
        <f>IF(AX230=0,0,(AY230-AX230)/AX230*100)</f>
        <v>0</v>
      </c>
      <c r="BJ230" s="1114">
        <f>IF(AY230=0,0,(AZ230-AY230)/AY230*100)</f>
        <v>0</v>
      </c>
      <c r="BK230" s="1114">
        <f>IF(AZ230=0,0,(BA230-AZ230)/AZ230*100)</f>
        <v>0</v>
      </c>
      <c r="BL230" s="1114">
        <f>IF(BA230=0,0,(BB230-BA230)/BA230*100)</f>
        <v>0</v>
      </c>
      <c r="BM230" s="1114">
        <f>IF(BB230=0,0,(BC230-BB230)/BB230*100)</f>
        <v>0</v>
      </c>
      <c r="BN230" s="7433"/>
      <c r="BO230" s="7433"/>
      <c r="BP230" s="7433"/>
      <c r="BQ230" s="1278"/>
      <c r="BR230" s="1278"/>
      <c r="BS230" s="1064" t="s">
        <v>2755</v>
      </c>
      <c r="BT230" s="1064"/>
      <c r="BU230" s="1064"/>
      <c r="BV230" s="979"/>
      <c r="BW230" s="979"/>
    </row>
    <row s="1834" customFormat="1" customHeight="1" ht="0">
      <c r="A231" s="1278"/>
      <c r="B231" s="978"/>
      <c r="C231" s="107"/>
      <c r="D231" s="107"/>
      <c r="E231" s="621">
        <v>15</v>
      </c>
      <c r="F231" s="50" cm="1" t="str">
        <f t="array" ref="F231:F231">OFFSET(E231,-1,1)</f>
        <v>1</v>
      </c>
      <c r="G231" s="107" t="s">
        <v>1799</v>
      </c>
      <c r="H231" s="107"/>
      <c r="I231" s="107" t="s">
        <v>2756</v>
      </c>
      <c r="J231" s="107"/>
      <c r="K231" s="107" t="s">
        <v>2756</v>
      </c>
      <c r="L231" s="980" t="s">
        <v>2253</v>
      </c>
      <c r="M231" s="107"/>
      <c r="N231" s="107"/>
      <c r="O231" s="107"/>
      <c r="P231" s="107"/>
      <c r="Q231" s="107"/>
      <c r="R231" s="107"/>
      <c r="S231" s="107"/>
      <c r="T231" s="465" cm="1" t="str">
        <f t="array" ref="T231:T231">T230</f>
        <v>true</v>
      </c>
      <c r="U231" s="107"/>
      <c r="V231" s="107"/>
      <c r="W231" s="107"/>
      <c r="X231" s="1596"/>
      <c r="Y231" s="1278"/>
      <c r="Z231" s="1546"/>
      <c r="AA231" s="1278"/>
      <c r="AB231" s="300" t="s">
        <v>2757</v>
      </c>
      <c r="AC231" s="765" t="s">
        <v>2758</v>
      </c>
      <c r="AD231" s="300" t="s">
        <v>1514</v>
      </c>
      <c r="AE231" s="1114">
        <f>_xlfn.SUMIFS(Покупка!AE$25:AE$372,Покупка!$F$25:$F$372,$F231,Покупка!$AC$25:$AC$372,$G231)</f>
        <v>0</v>
      </c>
      <c r="AF231" s="1114">
        <f>_xlfn.SUMIFS(Покупка!AF$25:AF$372,Покупка!$F$25:$F$372,$F231,Покупка!$AC$25:$AC$372,$G231)</f>
        <v>0</v>
      </c>
      <c r="AG231" s="1114">
        <f>_xlfn.SUMIFS(Покупка!AG$25:AG$372,Покупка!$F$25:$F$372,$F231,Покупка!$AC$25:$AC$372,$G231)</f>
        <v>0</v>
      </c>
      <c r="AH231" s="1114">
        <f>AG231-AF231</f>
        <v>0</v>
      </c>
      <c r="AI231" s="1114">
        <f>_xlfn.SUMIFS(Покупка!AH$25:AH$372,Покупка!$F$25:$F$372,$F231,Покупка!$AC$25:$AC$372,$G231)</f>
        <v>0</v>
      </c>
      <c r="AJ231" s="1114">
        <f>_xlfn.SUMIFS(Покупка!AI$25:AI$372,Покупка!$F$25:$F$372,$F231,Покупка!$AC$25:$AC$372,$G231)</f>
        <v>0</v>
      </c>
      <c r="AK231" s="1114">
        <f>_xlfn.SUMIFS(Покупка!AJ$25:AJ$372,Покупка!$F$25:$F$372,$F231,Покупка!$AC$25:$AC$372,$G231)</f>
        <v>0</v>
      </c>
      <c r="AL231" s="1114">
        <f>_xlfn.SUMIFS(Покупка!AK$25:AK$372,Покупка!$F$25:$F$372,$F231,Покупка!$AC$25:$AC$372,$G231)</f>
        <v>0</v>
      </c>
      <c r="AM231" s="1114">
        <f>_xlfn.SUMIFS(Покупка!AL$25:AL$372,Покупка!$F$25:$F$372,$F231,Покупка!$AC$25:$AC$372,$G231)</f>
        <v>0</v>
      </c>
      <c r="AN231" s="1114">
        <f>_xlfn.SUMIFS(Покупка!AM$25:AM$372,Покупка!$F$25:$F$372,$F231,Покупка!$AC$25:$AC$372,$G231)</f>
        <v>0</v>
      </c>
      <c r="AO231" s="1114">
        <f>_xlfn.SUMIFS(Покупка!AN$25:AN$372,Покупка!$F$25:$F$372,$F231,Покупка!$AC$25:$AC$372,$G231)</f>
        <v>0</v>
      </c>
      <c r="AP231" s="1114">
        <f>_xlfn.SUMIFS(Покупка!AO$25:AO$372,Покупка!$F$25:$F$372,$F231,Покупка!$AC$25:$AC$372,$G231)</f>
        <v>0</v>
      </c>
      <c r="AQ231" s="1114">
        <f>_xlfn.SUMIFS(Покупка!AP$25:AP$372,Покупка!$F$25:$F$372,$F231,Покупка!$AC$25:$AC$372,$G231)</f>
        <v>0</v>
      </c>
      <c r="AR231" s="1114">
        <f>_xlfn.SUMIFS(Покупка!AQ$25:AQ$372,Покупка!$F$25:$F$372,$F231,Покупка!$AC$25:$AC$372,$G231)</f>
        <v>0</v>
      </c>
      <c r="AS231" s="1114">
        <f>_xlfn.SUMIFS(Покупка!AR$25:AR$372,Покупка!$F$25:$F$372,$F231,Покупка!$AC$25:$AC$372,$G231)</f>
        <v>0</v>
      </c>
      <c r="AT231" s="1114">
        <f>_xlfn.SUMIFS(Покупка!AS$25:AS$372,Покупка!$F$25:$F$372,$F231,Покупка!$AC$25:$AC$372,$G231)</f>
        <v>0</v>
      </c>
      <c r="AU231" s="1114">
        <f>_xlfn.SUMIFS(Покупка!AT$25:AT$372,Покупка!$F$25:$F$372,$F231,Покупка!$AC$25:$AC$372,$G231)</f>
        <v>0</v>
      </c>
      <c r="AV231" s="1114">
        <f>_xlfn.SUMIFS(Покупка!AU$25:AU$372,Покупка!$F$25:$F$372,$F231,Покупка!$AC$25:$AC$372,$G231)</f>
        <v>0</v>
      </c>
      <c r="AW231" s="1114">
        <f>_xlfn.SUMIFS(Покупка!AV$25:AV$372,Покупка!$F$25:$F$372,$F231,Покупка!$AC$25:$AC$372,$G231)</f>
        <v>0</v>
      </c>
      <c r="AX231" s="1114">
        <f>_xlfn.SUMIFS(Покупка!AW$25:AW$372,Покупка!$F$25:$F$372,$F231,Покупка!$AC$25:$AC$372,$G231)</f>
        <v>0</v>
      </c>
      <c r="AY231" s="1114">
        <f>_xlfn.SUMIFS(Покупка!AX$25:AX$372,Покупка!$F$25:$F$372,$F231,Покупка!$AC$25:$AC$372,$G231)</f>
        <v>0</v>
      </c>
      <c r="AZ231" s="1114">
        <f>_xlfn.SUMIFS(Покупка!AY$25:AY$372,Покупка!$F$25:$F$372,$F231,Покупка!$AC$25:$AC$372,$G231)</f>
        <v>0</v>
      </c>
      <c r="BA231" s="1114">
        <f>_xlfn.SUMIFS(Покупка!AZ$25:AZ$372,Покупка!$F$25:$F$372,$F231,Покупка!$AC$25:$AC$372,$G231)</f>
        <v>0</v>
      </c>
      <c r="BB231" s="1114">
        <f>_xlfn.SUMIFS(Покупка!BA$25:BA$372,Покупка!$F$25:$F$372,$F231,Покупка!$AC$25:$AC$372,$G231)</f>
        <v>0</v>
      </c>
      <c r="BC231" s="1114">
        <f>_xlfn.SUMIFS(Покупка!BB$25:BB$372,Покупка!$F$25:$F$372,$F231,Покупка!$AC$25:$AC$372,$G231)</f>
        <v>0</v>
      </c>
      <c r="BD231" s="1114">
        <f>IF(AI231=0,0,(AT231-AI231)/AI231*100)</f>
        <v>0</v>
      </c>
      <c r="BE231" s="1114">
        <f>IF(AT231=0,0,(AU231-AT231)/AT231*100)</f>
        <v>0</v>
      </c>
      <c r="BF231" s="1114">
        <f>IF(AU231=0,0,(AV231-AU231)/AU231*100)</f>
        <v>0</v>
      </c>
      <c r="BG231" s="1114">
        <f>IF(AV231=0,0,(AW231-AV231)/AV231*100)</f>
        <v>0</v>
      </c>
      <c r="BH231" s="1114">
        <f>IF(AW231=0,0,(AX231-AW231)/AW231*100)</f>
        <v>0</v>
      </c>
      <c r="BI231" s="1114">
        <f>IF(AX231=0,0,(AY231-AX231)/AX231*100)</f>
        <v>0</v>
      </c>
      <c r="BJ231" s="1114">
        <f>IF(AY231=0,0,(AZ231-AY231)/AY231*100)</f>
        <v>0</v>
      </c>
      <c r="BK231" s="1114">
        <f>IF(AZ231=0,0,(BA231-AZ231)/AZ231*100)</f>
        <v>0</v>
      </c>
      <c r="BL231" s="1114">
        <f>IF(BA231=0,0,(BB231-BA231)/BA231*100)</f>
        <v>0</v>
      </c>
      <c r="BM231" s="1114">
        <f>IF(BB231=0,0,(BC231-BB231)/BB231*100)</f>
        <v>0</v>
      </c>
      <c r="BN231" s="7433"/>
      <c r="BO231" s="7437" t="str">
        <f>IF(_xlfn.IFERROR(INDEX(Покупка!$K$26:$L$372,MATCH($F231&amp;"3komm",Покупка!$K$26:$K$372,0),2),"")=0,"",_xlfn.IFERROR(INDEX(Покупка!$K$26:$L$372,MATCH($F231&amp;"3komm",Покупка!$K$26:$K$372,0),2),""))</f>
        <v/>
      </c>
      <c r="BP231" s="7433"/>
      <c r="BQ231" s="1278"/>
      <c r="BR231" s="1278"/>
      <c r="BS231" s="1064" t="s">
        <v>2459</v>
      </c>
      <c r="BT231" s="1064"/>
      <c r="BU231" s="1064"/>
      <c r="BV231" s="979"/>
      <c r="BW231" s="979"/>
    </row>
    <row s="1834" customFormat="1" customHeight="1" ht="0">
      <c r="A232" s="1278"/>
      <c r="B232" s="978"/>
      <c r="C232" s="107"/>
      <c r="D232" s="107"/>
      <c r="E232" s="621">
        <v>15</v>
      </c>
      <c r="F232" s="50" cm="1" t="str">
        <f t="array" ref="F232:F232">OFFSET(E232,-1,1)</f>
        <v>1</v>
      </c>
      <c r="G232" s="107" t="s">
        <v>1805</v>
      </c>
      <c r="H232" s="107"/>
      <c r="I232" s="107" t="s">
        <v>2759</v>
      </c>
      <c r="J232" s="107"/>
      <c r="K232" s="107" t="s">
        <v>2759</v>
      </c>
      <c r="L232" s="980" t="s">
        <v>2258</v>
      </c>
      <c r="M232" s="107"/>
      <c r="N232" s="107"/>
      <c r="O232" s="107"/>
      <c r="P232" s="107"/>
      <c r="Q232" s="107"/>
      <c r="R232" s="107"/>
      <c r="S232" s="107"/>
      <c r="T232" s="465" cm="1" t="str">
        <f t="array" ref="T232:T232">T231</f>
        <v>true</v>
      </c>
      <c r="U232" s="107"/>
      <c r="V232" s="107"/>
      <c r="W232" s="107"/>
      <c r="X232" s="1596"/>
      <c r="Y232" s="1278"/>
      <c r="Z232" s="1546"/>
      <c r="AA232" s="1278"/>
      <c r="AB232" s="300" t="s">
        <v>2760</v>
      </c>
      <c r="AC232" s="765" t="s">
        <v>2761</v>
      </c>
      <c r="AD232" s="300" t="s">
        <v>1514</v>
      </c>
      <c r="AE232" s="1114">
        <f>_xlfn.SUMIFS(Покупка!AE$25:AE$372,Покупка!$F$25:$F$372,$F232,Покупка!$AC$25:$AC$372,$G232)</f>
        <v>0</v>
      </c>
      <c r="AF232" s="1114">
        <f>_xlfn.SUMIFS(Покупка!AF$25:AF$372,Покупка!$F$25:$F$372,$F232,Покупка!$AC$25:$AC$372,$G232)</f>
        <v>0</v>
      </c>
      <c r="AG232" s="1114">
        <f>_xlfn.SUMIFS(Покупка!AG$25:AG$372,Покупка!$F$25:$F$372,$F232,Покупка!$AC$25:$AC$372,$G232)</f>
        <v>0</v>
      </c>
      <c r="AH232" s="1114">
        <f>AG232-AF232</f>
        <v>0</v>
      </c>
      <c r="AI232" s="1114">
        <f>_xlfn.SUMIFS(Покупка!AH$25:AH$372,Покупка!$F$25:$F$372,$F232,Покупка!$AC$25:$AC$372,$G232)</f>
        <v>0</v>
      </c>
      <c r="AJ232" s="1114">
        <f>_xlfn.SUMIFS(Покупка!AI$25:AI$372,Покупка!$F$25:$F$372,$F232,Покупка!$AC$25:$AC$372,$G232)</f>
        <v>0</v>
      </c>
      <c r="AK232" s="1114">
        <f>_xlfn.SUMIFS(Покупка!AJ$25:AJ$372,Покупка!$F$25:$F$372,$F232,Покупка!$AC$25:$AC$372,$G232)</f>
        <v>0</v>
      </c>
      <c r="AL232" s="1114">
        <f>_xlfn.SUMIFS(Покупка!AK$25:AK$372,Покупка!$F$25:$F$372,$F232,Покупка!$AC$25:$AC$372,$G232)</f>
        <v>0</v>
      </c>
      <c r="AM232" s="1114">
        <f>_xlfn.SUMIFS(Покупка!AL$25:AL$372,Покупка!$F$25:$F$372,$F232,Покупка!$AC$25:$AC$372,$G232)</f>
        <v>0</v>
      </c>
      <c r="AN232" s="1114">
        <f>_xlfn.SUMIFS(Покупка!AM$25:AM$372,Покупка!$F$25:$F$372,$F232,Покупка!$AC$25:$AC$372,$G232)</f>
        <v>0</v>
      </c>
      <c r="AO232" s="1114">
        <f>_xlfn.SUMIFS(Покупка!AN$25:AN$372,Покупка!$F$25:$F$372,$F232,Покупка!$AC$25:$AC$372,$G232)</f>
        <v>0</v>
      </c>
      <c r="AP232" s="1114">
        <f>_xlfn.SUMIFS(Покупка!AO$25:AO$372,Покупка!$F$25:$F$372,$F232,Покупка!$AC$25:$AC$372,$G232)</f>
        <v>0</v>
      </c>
      <c r="AQ232" s="1114">
        <f>_xlfn.SUMIFS(Покупка!AP$25:AP$372,Покупка!$F$25:$F$372,$F232,Покупка!$AC$25:$AC$372,$G232)</f>
        <v>0</v>
      </c>
      <c r="AR232" s="1114">
        <f>_xlfn.SUMIFS(Покупка!AQ$25:AQ$372,Покупка!$F$25:$F$372,$F232,Покупка!$AC$25:$AC$372,$G232)</f>
        <v>0</v>
      </c>
      <c r="AS232" s="1114">
        <f>_xlfn.SUMIFS(Покупка!AR$25:AR$372,Покупка!$F$25:$F$372,$F232,Покупка!$AC$25:$AC$372,$G232)</f>
        <v>0</v>
      </c>
      <c r="AT232" s="1114">
        <f>_xlfn.SUMIFS(Покупка!AS$25:AS$372,Покупка!$F$25:$F$372,$F232,Покупка!$AC$25:$AC$372,$G232)</f>
        <v>0</v>
      </c>
      <c r="AU232" s="1114">
        <f>_xlfn.SUMIFS(Покупка!AT$25:AT$372,Покупка!$F$25:$F$372,$F232,Покупка!$AC$25:$AC$372,$G232)</f>
        <v>0</v>
      </c>
      <c r="AV232" s="1114">
        <f>_xlfn.SUMIFS(Покупка!AU$25:AU$372,Покупка!$F$25:$F$372,$F232,Покупка!$AC$25:$AC$372,$G232)</f>
        <v>0</v>
      </c>
      <c r="AW232" s="1114">
        <f>_xlfn.SUMIFS(Покупка!AV$25:AV$372,Покупка!$F$25:$F$372,$F232,Покупка!$AC$25:$AC$372,$G232)</f>
        <v>0</v>
      </c>
      <c r="AX232" s="1114">
        <f>_xlfn.SUMIFS(Покупка!AW$25:AW$372,Покупка!$F$25:$F$372,$F232,Покупка!$AC$25:$AC$372,$G232)</f>
        <v>0</v>
      </c>
      <c r="AY232" s="1114">
        <f>_xlfn.SUMIFS(Покупка!AX$25:AX$372,Покупка!$F$25:$F$372,$F232,Покупка!$AC$25:$AC$372,$G232)</f>
        <v>0</v>
      </c>
      <c r="AZ232" s="1114">
        <f>_xlfn.SUMIFS(Покупка!AY$25:AY$372,Покупка!$F$25:$F$372,$F232,Покупка!$AC$25:$AC$372,$G232)</f>
        <v>0</v>
      </c>
      <c r="BA232" s="1114">
        <f>_xlfn.SUMIFS(Покупка!AZ$25:AZ$372,Покупка!$F$25:$F$372,$F232,Покупка!$AC$25:$AC$372,$G232)</f>
        <v>0</v>
      </c>
      <c r="BB232" s="1114">
        <f>_xlfn.SUMIFS(Покупка!BA$25:BA$372,Покупка!$F$25:$F$372,$F232,Покупка!$AC$25:$AC$372,$G232)</f>
        <v>0</v>
      </c>
      <c r="BC232" s="1114">
        <f>_xlfn.SUMIFS(Покупка!BB$25:BB$372,Покупка!$F$25:$F$372,$F232,Покупка!$AC$25:$AC$372,$G232)</f>
        <v>0</v>
      </c>
      <c r="BD232" s="1114">
        <f>IF(AI232=0,0,(AT232-AI232)/AI232*100)</f>
        <v>0</v>
      </c>
      <c r="BE232" s="1114">
        <f>IF(AT232=0,0,(AU232-AT232)/AT232*100)</f>
        <v>0</v>
      </c>
      <c r="BF232" s="1114">
        <f>IF(AU232=0,0,(AV232-AU232)/AU232*100)</f>
        <v>0</v>
      </c>
      <c r="BG232" s="1114">
        <f>IF(AV232=0,0,(AW232-AV232)/AV232*100)</f>
        <v>0</v>
      </c>
      <c r="BH232" s="1114">
        <f>IF(AW232=0,0,(AX232-AW232)/AW232*100)</f>
        <v>0</v>
      </c>
      <c r="BI232" s="1114">
        <f>IF(AX232=0,0,(AY232-AX232)/AX232*100)</f>
        <v>0</v>
      </c>
      <c r="BJ232" s="1114">
        <f>IF(AY232=0,0,(AZ232-AY232)/AY232*100)</f>
        <v>0</v>
      </c>
      <c r="BK232" s="1114">
        <f>IF(AZ232=0,0,(BA232-AZ232)/AZ232*100)</f>
        <v>0</v>
      </c>
      <c r="BL232" s="1114">
        <f>IF(BA232=0,0,(BB232-BA232)/BA232*100)</f>
        <v>0</v>
      </c>
      <c r="BM232" s="1114">
        <f>IF(BB232=0,0,(BC232-BB232)/BB232*100)</f>
        <v>0</v>
      </c>
      <c r="BN232" s="7433"/>
      <c r="BO232" s="7437" t="str">
        <f>IF(_xlfn.IFERROR(INDEX(Покупка!$K$26:$L$372,MATCH($F232&amp;"4komm",Покупка!$K$26:$K$372,0),2),"")=0,"",_xlfn.IFERROR(INDEX(Покупка!$K$26:$L$372,MATCH($F231&amp;"3komm",Покупка!$K$26:$K$372,0),2),""))</f>
        <v/>
      </c>
      <c r="BP232" s="7433"/>
      <c r="BQ232" s="1278"/>
      <c r="BR232" s="1278"/>
      <c r="BS232" s="1064" t="s">
        <v>2462</v>
      </c>
      <c r="BT232" s="1064"/>
      <c r="BU232" s="1064"/>
      <c r="BV232" s="979"/>
      <c r="BW232" s="979"/>
    </row>
    <row s="1834" customFormat="1" customHeight="1" ht="0">
      <c r="A233" s="1278"/>
      <c r="B233" s="978"/>
      <c r="C233" s="107"/>
      <c r="D233" s="107"/>
      <c r="E233" s="621">
        <v>15</v>
      </c>
      <c r="F233" s="50" cm="1" t="str">
        <f t="array" ref="F233:F233">OFFSET(E233,-1,1)</f>
        <v>1</v>
      </c>
      <c r="G233" s="107" t="s">
        <v>1812</v>
      </c>
      <c r="H233" s="107"/>
      <c r="I233" s="107" t="s">
        <v>2762</v>
      </c>
      <c r="J233" s="107"/>
      <c r="K233" s="107" t="s">
        <v>2762</v>
      </c>
      <c r="L233" s="980" t="s">
        <v>2268</v>
      </c>
      <c r="M233" s="107"/>
      <c r="N233" s="107"/>
      <c r="O233" s="107"/>
      <c r="P233" s="107"/>
      <c r="Q233" s="107"/>
      <c r="R233" s="107"/>
      <c r="S233" s="107"/>
      <c r="T233" s="465" cm="1" t="str">
        <f t="array" ref="T233:T233">T232</f>
        <v>true</v>
      </c>
      <c r="U233" s="107"/>
      <c r="V233" s="107"/>
      <c r="W233" s="107"/>
      <c r="X233" s="1596"/>
      <c r="Y233" s="1278"/>
      <c r="Z233" s="1546"/>
      <c r="AA233" s="1278"/>
      <c r="AB233" s="300" t="s">
        <v>2763</v>
      </c>
      <c r="AC233" s="765" t="s">
        <v>2764</v>
      </c>
      <c r="AD233" s="300" t="s">
        <v>1514</v>
      </c>
      <c r="AE233" s="1114">
        <f>_xlfn.SUMIFS(Покупка!AE$25:AE$372,Покупка!$F$25:$F$372,$F233,Покупка!$AC$25:$AC$372,$G233)</f>
        <v>0</v>
      </c>
      <c r="AF233" s="1114">
        <f>_xlfn.SUMIFS(Покупка!AF$25:AF$372,Покупка!$F$25:$F$372,$F233,Покупка!$AC$25:$AC$372,$G233)</f>
        <v>0</v>
      </c>
      <c r="AG233" s="1114">
        <f>_xlfn.SUMIFS(Покупка!AG$25:AG$372,Покупка!$F$25:$F$372,$F233,Покупка!$AC$25:$AC$372,$G233)</f>
        <v>0</v>
      </c>
      <c r="AH233" s="1114">
        <f>AG233-AF233</f>
        <v>0</v>
      </c>
      <c r="AI233" s="1114">
        <f>_xlfn.SUMIFS(Покупка!AH$25:AH$372,Покупка!$F$25:$F$372,$F233,Покупка!$AC$25:$AC$372,$G233)</f>
        <v>0</v>
      </c>
      <c r="AJ233" s="1114">
        <f>_xlfn.SUMIFS(Покупка!AI$25:AI$372,Покупка!$F$25:$F$372,$F233,Покупка!$AC$25:$AC$372,$G233)</f>
        <v>0</v>
      </c>
      <c r="AK233" s="1114">
        <f>_xlfn.SUMIFS(Покупка!AJ$25:AJ$372,Покупка!$F$25:$F$372,$F233,Покупка!$AC$25:$AC$372,$G233)</f>
        <v>0</v>
      </c>
      <c r="AL233" s="1114">
        <f>_xlfn.SUMIFS(Покупка!AK$25:AK$372,Покупка!$F$25:$F$372,$F233,Покупка!$AC$25:$AC$372,$G233)</f>
        <v>0</v>
      </c>
      <c r="AM233" s="1114">
        <f>_xlfn.SUMIFS(Покупка!AL$25:AL$372,Покупка!$F$25:$F$372,$F233,Покупка!$AC$25:$AC$372,$G233)</f>
        <v>0</v>
      </c>
      <c r="AN233" s="1114">
        <f>_xlfn.SUMIFS(Покупка!AM$25:AM$372,Покупка!$F$25:$F$372,$F233,Покупка!$AC$25:$AC$372,$G233)</f>
        <v>0</v>
      </c>
      <c r="AO233" s="1114">
        <f>_xlfn.SUMIFS(Покупка!AN$25:AN$372,Покупка!$F$25:$F$372,$F233,Покупка!$AC$25:$AC$372,$G233)</f>
        <v>0</v>
      </c>
      <c r="AP233" s="1114">
        <f>_xlfn.SUMIFS(Покупка!AO$25:AO$372,Покупка!$F$25:$F$372,$F233,Покупка!$AC$25:$AC$372,$G233)</f>
        <v>0</v>
      </c>
      <c r="AQ233" s="1114">
        <f>_xlfn.SUMIFS(Покупка!AP$25:AP$372,Покупка!$F$25:$F$372,$F233,Покупка!$AC$25:$AC$372,$G233)</f>
        <v>0</v>
      </c>
      <c r="AR233" s="1114">
        <f>_xlfn.SUMIFS(Покупка!AQ$25:AQ$372,Покупка!$F$25:$F$372,$F233,Покупка!$AC$25:$AC$372,$G233)</f>
        <v>0</v>
      </c>
      <c r="AS233" s="1114">
        <f>_xlfn.SUMIFS(Покупка!AR$25:AR$372,Покупка!$F$25:$F$372,$F233,Покупка!$AC$25:$AC$372,$G233)</f>
        <v>0</v>
      </c>
      <c r="AT233" s="1114">
        <f>_xlfn.SUMIFS(Покупка!AS$25:AS$372,Покупка!$F$25:$F$372,$F233,Покупка!$AC$25:$AC$372,$G233)</f>
        <v>0</v>
      </c>
      <c r="AU233" s="1114">
        <f>_xlfn.SUMIFS(Покупка!AT$25:AT$372,Покупка!$F$25:$F$372,$F233,Покупка!$AC$25:$AC$372,$G233)</f>
        <v>0</v>
      </c>
      <c r="AV233" s="1114">
        <f>_xlfn.SUMIFS(Покупка!AU$25:AU$372,Покупка!$F$25:$F$372,$F233,Покупка!$AC$25:$AC$372,$G233)</f>
        <v>0</v>
      </c>
      <c r="AW233" s="1114">
        <f>_xlfn.SUMIFS(Покупка!AV$25:AV$372,Покупка!$F$25:$F$372,$F233,Покупка!$AC$25:$AC$372,$G233)</f>
        <v>0</v>
      </c>
      <c r="AX233" s="1114">
        <f>_xlfn.SUMIFS(Покупка!AW$25:AW$372,Покупка!$F$25:$F$372,$F233,Покупка!$AC$25:$AC$372,$G233)</f>
        <v>0</v>
      </c>
      <c r="AY233" s="1114">
        <f>_xlfn.SUMIFS(Покупка!AX$25:AX$372,Покупка!$F$25:$F$372,$F233,Покупка!$AC$25:$AC$372,$G233)</f>
        <v>0</v>
      </c>
      <c r="AZ233" s="1114">
        <f>_xlfn.SUMIFS(Покупка!AY$25:AY$372,Покупка!$F$25:$F$372,$F233,Покупка!$AC$25:$AC$372,$G233)</f>
        <v>0</v>
      </c>
      <c r="BA233" s="1114">
        <f>_xlfn.SUMIFS(Покупка!AZ$25:AZ$372,Покупка!$F$25:$F$372,$F233,Покупка!$AC$25:$AC$372,$G233)</f>
        <v>0</v>
      </c>
      <c r="BB233" s="1114">
        <f>_xlfn.SUMIFS(Покупка!BA$25:BA$372,Покупка!$F$25:$F$372,$F233,Покупка!$AC$25:$AC$372,$G233)</f>
        <v>0</v>
      </c>
      <c r="BC233" s="1114">
        <f>_xlfn.SUMIFS(Покупка!BB$25:BB$372,Покупка!$F$25:$F$372,$F233,Покупка!$AC$25:$AC$372,$G233)</f>
        <v>0</v>
      </c>
      <c r="BD233" s="1114">
        <f>IF(AI233=0,0,(AT233-AI233)/AI233*100)</f>
        <v>0</v>
      </c>
      <c r="BE233" s="1114">
        <f>IF(AT233=0,0,(AU233-AT233)/AT233*100)</f>
        <v>0</v>
      </c>
      <c r="BF233" s="1114">
        <f>IF(AU233=0,0,(AV233-AU233)/AU233*100)</f>
        <v>0</v>
      </c>
      <c r="BG233" s="1114">
        <f>IF(AV233=0,0,(AW233-AV233)/AV233*100)</f>
        <v>0</v>
      </c>
      <c r="BH233" s="1114">
        <f>IF(AW233=0,0,(AX233-AW233)/AW233*100)</f>
        <v>0</v>
      </c>
      <c r="BI233" s="1114">
        <f>IF(AX233=0,0,(AY233-AX233)/AX233*100)</f>
        <v>0</v>
      </c>
      <c r="BJ233" s="1114">
        <f>IF(AY233=0,0,(AZ233-AY233)/AY233*100)</f>
        <v>0</v>
      </c>
      <c r="BK233" s="1114">
        <f>IF(AZ233=0,0,(BA233-AZ233)/AZ233*100)</f>
        <v>0</v>
      </c>
      <c r="BL233" s="1114">
        <f>IF(BA233=0,0,(BB233-BA233)/BA233*100)</f>
        <v>0</v>
      </c>
      <c r="BM233" s="1114">
        <f>IF(BB233=0,0,(BC233-BB233)/BB233*100)</f>
        <v>0</v>
      </c>
      <c r="BN233" s="7433"/>
      <c r="BO233" s="7437" t="str">
        <f>IF(_xlfn.IFERROR(INDEX(Покупка!$K$26:$L$372,MATCH($F233&amp;"5komm",Покупка!$K$26:$K$372,0),2),"")=0,"",_xlfn.IFERROR(INDEX(Покупка!$K$26:$L$372,MATCH($F233&amp;"5komm",Покупка!$K$26:$K$372,0),2),""))</f>
        <v/>
      </c>
      <c r="BP233" s="7433"/>
      <c r="BQ233" s="1278"/>
      <c r="BR233" s="1278"/>
      <c r="BS233" s="1064" t="s">
        <v>2465</v>
      </c>
      <c r="BT233" s="1064"/>
      <c r="BU233" s="1064"/>
      <c r="BV233" s="979"/>
      <c r="BW233" s="979"/>
    </row>
    <row s="1834" customFormat="1" customHeight="1" ht="0">
      <c r="A234" s="1278"/>
      <c r="B234" s="978"/>
      <c r="C234" s="107"/>
      <c r="D234" s="107"/>
      <c r="E234" s="621">
        <v>15</v>
      </c>
      <c r="F234" s="50" cm="1" t="str">
        <f t="array" ref="F234:F234">OFFSET(E234,-1,1)</f>
        <v>1</v>
      </c>
      <c r="G234" s="107" t="s">
        <v>1853</v>
      </c>
      <c r="H234" s="107"/>
      <c r="I234" s="107"/>
      <c r="J234" s="107"/>
      <c r="K234" s="107"/>
      <c r="L234" s="980" t="s">
        <v>2235</v>
      </c>
      <c r="M234" s="107"/>
      <c r="N234" s="107"/>
      <c r="O234" s="107"/>
      <c r="P234" s="107"/>
      <c r="Q234" s="107"/>
      <c r="R234" s="107"/>
      <c r="S234" s="107"/>
      <c r="T234" s="465" cm="1" t="str">
        <f t="array" ref="T234:T234">T233</f>
        <v>true</v>
      </c>
      <c r="U234" s="107"/>
      <c r="V234" s="107"/>
      <c r="W234" s="107"/>
      <c r="X234" s="1596"/>
      <c r="Y234" s="1278"/>
      <c r="Z234" s="1546"/>
      <c r="AA234" s="1278"/>
      <c r="AB234" s="300" t="s">
        <v>2765</v>
      </c>
      <c r="AC234" s="765" t="s">
        <v>2766</v>
      </c>
      <c r="AD234" s="300" t="s">
        <v>1514</v>
      </c>
      <c r="AE234" s="1114">
        <f>_xlfn.SUMIFS(Покупка!AE$25:AE$372,Покупка!$F$25:$F$372,$F234,Покупка!$AC$25:$AC$372,$G234)</f>
        <v>0</v>
      </c>
      <c r="AF234" s="1114">
        <f>_xlfn.SUMIFS(Покупка!AF$25:AF$372,Покупка!$F$25:$F$372,$F234,Покупка!$AC$25:$AC$372,$G234)</f>
        <v>0</v>
      </c>
      <c r="AG234" s="1114">
        <f>_xlfn.SUMIFS(Покупка!AG$25:AG$372,Покупка!$F$25:$F$372,$F234,Покупка!$AC$25:$AC$372,$G234)</f>
        <v>0</v>
      </c>
      <c r="AH234" s="1114">
        <f>AG234-AF234</f>
        <v>0</v>
      </c>
      <c r="AI234" s="1114">
        <f>_xlfn.SUMIFS(Покупка!AH$25:AH$372,Покупка!$F$25:$F$372,$F234,Покупка!$AC$25:$AC$372,$G234)</f>
        <v>0</v>
      </c>
      <c r="AJ234" s="1114">
        <f>_xlfn.SUMIFS(Покупка!AI$25:AI$372,Покупка!$F$25:$F$372,$F234,Покупка!$AC$25:$AC$372,$G234)</f>
        <v>0</v>
      </c>
      <c r="AK234" s="1114">
        <f>_xlfn.SUMIFS(Покупка!AJ$25:AJ$372,Покупка!$F$25:$F$372,$F234,Покупка!$AC$25:$AC$372,$G234)</f>
        <v>0</v>
      </c>
      <c r="AL234" s="1114">
        <f>_xlfn.SUMIFS(Покупка!AK$25:AK$372,Покупка!$F$25:$F$372,$F234,Покупка!$AC$25:$AC$372,$G234)</f>
        <v>0</v>
      </c>
      <c r="AM234" s="1114">
        <f>_xlfn.SUMIFS(Покупка!AL$25:AL$372,Покупка!$F$25:$F$372,$F234,Покупка!$AC$25:$AC$372,$G234)</f>
        <v>0</v>
      </c>
      <c r="AN234" s="1114">
        <f>_xlfn.SUMIFS(Покупка!AM$25:AM$372,Покупка!$F$25:$F$372,$F234,Покупка!$AC$25:$AC$372,$G234)</f>
        <v>0</v>
      </c>
      <c r="AO234" s="1114">
        <f>_xlfn.SUMIFS(Покупка!AN$25:AN$372,Покупка!$F$25:$F$372,$F234,Покупка!$AC$25:$AC$372,$G234)</f>
        <v>0</v>
      </c>
      <c r="AP234" s="1114">
        <f>_xlfn.SUMIFS(Покупка!AO$25:AO$372,Покупка!$F$25:$F$372,$F234,Покупка!$AC$25:$AC$372,$G234)</f>
        <v>0</v>
      </c>
      <c r="AQ234" s="1114">
        <f>_xlfn.SUMIFS(Покупка!AP$25:AP$372,Покупка!$F$25:$F$372,$F234,Покупка!$AC$25:$AC$372,$G234)</f>
        <v>0</v>
      </c>
      <c r="AR234" s="1114">
        <f>_xlfn.SUMIFS(Покупка!AQ$25:AQ$372,Покупка!$F$25:$F$372,$F234,Покупка!$AC$25:$AC$372,$G234)</f>
        <v>0</v>
      </c>
      <c r="AS234" s="1114">
        <f>_xlfn.SUMIFS(Покупка!AR$25:AR$372,Покупка!$F$25:$F$372,$F234,Покупка!$AC$25:$AC$372,$G234)</f>
        <v>0</v>
      </c>
      <c r="AT234" s="1114">
        <f>_xlfn.SUMIFS(Покупка!AS$25:AS$372,Покупка!$F$25:$F$372,$F234,Покупка!$AC$25:$AC$372,$G234)</f>
        <v>0</v>
      </c>
      <c r="AU234" s="1114">
        <f>_xlfn.SUMIFS(Покупка!AT$25:AT$372,Покупка!$F$25:$F$372,$F234,Покупка!$AC$25:$AC$372,$G234)</f>
        <v>0</v>
      </c>
      <c r="AV234" s="1114">
        <f>_xlfn.SUMIFS(Покупка!AU$25:AU$372,Покупка!$F$25:$F$372,$F234,Покупка!$AC$25:$AC$372,$G234)</f>
        <v>0</v>
      </c>
      <c r="AW234" s="1114">
        <f>_xlfn.SUMIFS(Покупка!AV$25:AV$372,Покупка!$F$25:$F$372,$F234,Покупка!$AC$25:$AC$372,$G234)</f>
        <v>0</v>
      </c>
      <c r="AX234" s="1114">
        <f>_xlfn.SUMIFS(Покупка!AW$25:AW$372,Покупка!$F$25:$F$372,$F234,Покупка!$AC$25:$AC$372,$G234)</f>
        <v>0</v>
      </c>
      <c r="AY234" s="1114">
        <f>_xlfn.SUMIFS(Покупка!AX$25:AX$372,Покупка!$F$25:$F$372,$F234,Покупка!$AC$25:$AC$372,$G234)</f>
        <v>0</v>
      </c>
      <c r="AZ234" s="1114">
        <f>_xlfn.SUMIFS(Покупка!AY$25:AY$372,Покупка!$F$25:$F$372,$F234,Покупка!$AC$25:$AC$372,$G234)</f>
        <v>0</v>
      </c>
      <c r="BA234" s="1114">
        <f>_xlfn.SUMIFS(Покупка!AZ$25:AZ$372,Покупка!$F$25:$F$372,$F234,Покупка!$AC$25:$AC$372,$G234)</f>
        <v>0</v>
      </c>
      <c r="BB234" s="1114">
        <f>_xlfn.SUMIFS(Покупка!BA$25:BA$372,Покупка!$F$25:$F$372,$F234,Покупка!$AC$25:$AC$372,$G234)</f>
        <v>0</v>
      </c>
      <c r="BC234" s="1114">
        <f>_xlfn.SUMIFS(Покупка!BB$25:BB$372,Покупка!$F$25:$F$372,$F234,Покупка!$AC$25:$AC$372,$G234)</f>
        <v>0</v>
      </c>
      <c r="BD234" s="1114">
        <f>IF(AI234=0,0,(AT234-AI234)/AI234*100)</f>
        <v>0</v>
      </c>
      <c r="BE234" s="1114">
        <f>IF(AT234=0,0,(AU234-AT234)/AT234*100)</f>
        <v>0</v>
      </c>
      <c r="BF234" s="1114">
        <f>IF(AU234=0,0,(AV234-AU234)/AU234*100)</f>
        <v>0</v>
      </c>
      <c r="BG234" s="1114">
        <f>IF(AV234=0,0,(AW234-AV234)/AV234*100)</f>
        <v>0</v>
      </c>
      <c r="BH234" s="1114">
        <f>IF(AW234=0,0,(AX234-AW234)/AW234*100)</f>
        <v>0</v>
      </c>
      <c r="BI234" s="1114">
        <f>IF(AX234=0,0,(AY234-AX234)/AX234*100)</f>
        <v>0</v>
      </c>
      <c r="BJ234" s="1114">
        <f>IF(AY234=0,0,(AZ234-AY234)/AY234*100)</f>
        <v>0</v>
      </c>
      <c r="BK234" s="1114">
        <f>IF(AZ234=0,0,(BA234-AZ234)/AZ234*100)</f>
        <v>0</v>
      </c>
      <c r="BL234" s="1114">
        <f>IF(BA234=0,0,(BB234-BA234)/BA234*100)</f>
        <v>0</v>
      </c>
      <c r="BM234" s="1114">
        <f>IF(BB234=0,0,(BC234-BB234)/BB234*100)</f>
        <v>0</v>
      </c>
      <c r="BN234" s="7433"/>
      <c r="BO234" s="7437" t="str">
        <f>IF(_xlfn.IFERROR(INDEX(Покупка!$K$26:$L$372,MATCH($F234&amp;"9komm",Покупка!$K$26:$K$372,0),2),"")=0,"",_xlfn.IFERROR(INDEX(Покупка!$K$26:$L$372,MATCH($F234&amp;"9komm",Покупка!$K$26:$K$372,0),2),""))</f>
        <v/>
      </c>
      <c r="BP234" s="7433"/>
      <c r="BQ234" s="1278"/>
      <c r="BR234" s="1278"/>
      <c r="BS234" s="1064" t="s">
        <v>1854</v>
      </c>
      <c r="BT234" s="1064"/>
      <c r="BU234" s="1064"/>
      <c r="BV234" s="979"/>
      <c r="BW234" s="979"/>
    </row>
    <row s="1834" customFormat="1" customHeight="1" ht="23.25">
      <c r="A235" s="1278"/>
      <c r="B235" s="978"/>
      <c r="C235" s="107"/>
      <c r="D235" s="107"/>
      <c r="E235" s="621">
        <v>15</v>
      </c>
      <c r="F235" s="50" cm="1" t="str">
        <f t="array" ref="F235:F235">OFFSET(E235,-1,1)</f>
        <v>1</v>
      </c>
      <c r="G235" s="107"/>
      <c r="H235" s="107"/>
      <c r="I235" s="107" t="s">
        <v>1196</v>
      </c>
      <c r="J235" s="107"/>
      <c r="K235" s="107" t="s">
        <v>1196</v>
      </c>
      <c r="L235" s="980"/>
      <c r="M235" s="107"/>
      <c r="N235" s="107"/>
      <c r="O235" s="107"/>
      <c r="P235" s="107"/>
      <c r="Q235" s="107"/>
      <c r="R235" s="107"/>
      <c r="S235" s="107"/>
      <c r="T235" s="465" cm="1" t="str">
        <f t="array" ref="T235:T235">T234</f>
        <v>true</v>
      </c>
      <c r="U235" s="107"/>
      <c r="V235" s="107"/>
      <c r="W235" s="107"/>
      <c r="X235" s="1596"/>
      <c r="Y235" s="1278"/>
      <c r="Z235" s="1546"/>
      <c r="AA235" s="1278"/>
      <c r="AB235" s="300" t="s">
        <v>1254</v>
      </c>
      <c r="AC235" s="762" t="s">
        <v>2767</v>
      </c>
      <c r="AD235" s="779" t="s">
        <v>1514</v>
      </c>
      <c r="AE235" s="1114">
        <f>_xlfn.SUMIFS('Сырье и материалы'!AE$25:AE$162,'Сырье и материалы'!$F$25:$F$162,$F235,'Сырье и материалы'!$I$25:$I$162,"Реагенты")</f>
        <v>0</v>
      </c>
      <c r="AF235" s="1114">
        <f>_xlfn.SUMIFS('Сырье и материалы'!AF$25:AF$162,'Сырье и материалы'!$F$25:$F$162,$F235,'Сырье и материалы'!$I$25:$I$162,"Реагенты")</f>
        <v>0</v>
      </c>
      <c r="AG235" s="1114">
        <f>_xlfn.SUMIFS('Сырье и материалы'!AG$25:AG$162,'Сырье и материалы'!$F$25:$F$162,$F235,'Сырье и материалы'!$I$25:$I$162,"Реагенты")</f>
        <v>0</v>
      </c>
      <c r="AH235" s="1114">
        <f>AG235-AF235</f>
        <v>0</v>
      </c>
      <c r="AI235" s="1114">
        <f>_xlfn.SUMIFS('Сырье и материалы'!AH$25:AH$162,'Сырье и материалы'!$F$25:$F$162,$F235,'Сырье и материалы'!$I$25:$I$162,"Реагенты")</f>
        <v>0</v>
      </c>
      <c r="AJ235" s="1114">
        <f>_xlfn.SUMIFS('Сырье и материалы'!AI$25:AI$162,'Сырье и материалы'!$F$25:$F$162,$F235,'Сырье и материалы'!$I$25:$I$162,"Реагенты")</f>
        <v>9724.63032008149</v>
      </c>
      <c r="AK235" s="1114">
        <f>_xlfn.SUMIFS('Сырье и материалы'!AJ$25:AJ$162,'Сырье и материалы'!$F$25:$F$162,$F235,'Сырье и материалы'!$I$25:$I$162,"Реагенты")</f>
        <v>10103.8909025647</v>
      </c>
      <c r="AL235" s="1114">
        <f>_xlfn.SUMIFS('Сырье и материалы'!AK$25:AK$162,'Сырье и материалы'!$F$25:$F$162,$F235,'Сырье и материалы'!$I$25:$I$162,"Реагенты")</f>
        <v>10487.8387568621</v>
      </c>
      <c r="AM235" s="1114">
        <f>_xlfn.SUMIFS('Сырье и материалы'!AL$25:AL$162,'Сырье и материалы'!$F$25:$F$162,$F235,'Сырье и материалы'!$I$25:$I$162,"Реагенты")</f>
        <v>10886.3766296229</v>
      </c>
      <c r="AN235" s="1114">
        <f>_xlfn.SUMIFS('Сырье и материалы'!AM$25:AM$162,'Сырье и материалы'!$F$25:$F$162,$F235,'Сырье и материалы'!$I$25:$I$162,"Реагенты")</f>
        <v>11300.0589415486</v>
      </c>
      <c r="AO235" s="1114">
        <f>_xlfn.SUMIFS('Сырье и материалы'!AN$25:AN$162,'Сырье и материалы'!$F$25:$F$162,$F235,'Сырье и материалы'!$I$25:$I$162,"Реагенты")</f>
        <v>0</v>
      </c>
      <c r="AP235" s="1114">
        <f>_xlfn.SUMIFS('Сырье и материалы'!AO$25:AO$162,'Сырье и материалы'!$F$25:$F$162,$F235,'Сырье и материалы'!$I$25:$I$162,"Реагенты")</f>
        <v>0</v>
      </c>
      <c r="AQ235" s="1114">
        <f>_xlfn.SUMIFS('Сырье и материалы'!AP$25:AP$162,'Сырье и материалы'!$F$25:$F$162,$F235,'Сырье и материалы'!$I$25:$I$162,"Реагенты")</f>
        <v>0</v>
      </c>
      <c r="AR235" s="1114">
        <f>_xlfn.SUMIFS('Сырье и материалы'!AQ$25:AQ$162,'Сырье и материалы'!$F$25:$F$162,$F235,'Сырье и материалы'!$I$25:$I$162,"Реагенты")</f>
        <v>0</v>
      </c>
      <c r="AS235" s="1114">
        <f>_xlfn.SUMIFS('Сырье и материалы'!AR$25:AR$162,'Сырье и материалы'!$F$25:$F$162,$F235,'Сырье и материалы'!$I$25:$I$162,"Реагенты")</f>
        <v>0</v>
      </c>
      <c r="AT235" s="1114">
        <f>_xlfn.SUMIFS('Сырье и материалы'!AS$25:AS$162,'Сырье и материалы'!$F$25:$F$162,$F235,'Сырье и материалы'!$I$25:$I$162,"Реагенты")</f>
        <v>9724.63032008149</v>
      </c>
      <c r="AU235" s="1114">
        <f>_xlfn.SUMIFS('Сырье и материалы'!AT$25:AT$162,'Сырье и материалы'!$F$25:$F$162,$F235,'Сырье и материалы'!$I$25:$I$162,"Реагенты")</f>
        <v>10103.8909025647</v>
      </c>
      <c r="AV235" s="1114">
        <f>_xlfn.SUMIFS('Сырье и материалы'!AU$25:AU$162,'Сырье и материалы'!$F$25:$F$162,$F235,'Сырье и материалы'!$I$25:$I$162,"Реагенты")</f>
        <v>10487.8387568621</v>
      </c>
      <c r="AW235" s="1114">
        <f>_xlfn.SUMIFS('Сырье и материалы'!AV$25:AV$162,'Сырье и материалы'!$F$25:$F$162,$F235,'Сырье и материалы'!$I$25:$I$162,"Реагенты")</f>
        <v>10886.3766296229</v>
      </c>
      <c r="AX235" s="1114">
        <f>_xlfn.SUMIFS('Сырье и материалы'!AW$25:AW$162,'Сырье и материалы'!$F$25:$F$162,$F235,'Сырье и материалы'!$I$25:$I$162,"Реагенты")</f>
        <v>11300.0589415486</v>
      </c>
      <c r="AY235" s="1114">
        <f>_xlfn.SUMIFS('Сырье и материалы'!AX$25:AX$162,'Сырье и материалы'!$F$25:$F$162,$F235,'Сырье и материалы'!$I$25:$I$162,"Реагенты")</f>
        <v>0</v>
      </c>
      <c r="AZ235" s="1114">
        <f>_xlfn.SUMIFS('Сырье и материалы'!AY$25:AY$162,'Сырье и материалы'!$F$25:$F$162,$F235,'Сырье и материалы'!$I$25:$I$162,"Реагенты")</f>
        <v>0</v>
      </c>
      <c r="BA235" s="1114">
        <f>_xlfn.SUMIFS('Сырье и материалы'!AZ$25:AZ$162,'Сырье и материалы'!$F$25:$F$162,$F235,'Сырье и материалы'!$I$25:$I$162,"Реагенты")</f>
        <v>0</v>
      </c>
      <c r="BB235" s="1114">
        <f>_xlfn.SUMIFS('Сырье и материалы'!BA$25:BA$162,'Сырье и материалы'!$F$25:$F$162,$F235,'Сырье и материалы'!$I$25:$I$162,"Реагенты")</f>
        <v>0</v>
      </c>
      <c r="BC235" s="1114">
        <f>_xlfn.SUMIFS('Сырье и материалы'!BB$25:BB$162,'Сырье и материалы'!$F$25:$F$162,$F235,'Сырье и материалы'!$I$25:$I$162,"Реагенты")</f>
        <v>0</v>
      </c>
      <c r="BD235" s="1114">
        <f>IF(AI235=0,0,(AT235-AI235)/AI235*100)</f>
        <v>0</v>
      </c>
      <c r="BE235" s="1114">
        <f>IF(AT235=0,0,(AU235-AT235)/AT235*100)</f>
        <v>3.90000000000035</v>
      </c>
      <c r="BF235" s="1114">
        <f>IF(AU235=0,0,(AV235-AU235)/AU235*100)</f>
        <v>3.79999999999941</v>
      </c>
      <c r="BG235" s="1114">
        <f>IF(AV235=0,0,(AW235-AV235)/AV235*100)</f>
        <v>3.80000000000039</v>
      </c>
      <c r="BH235" s="1114">
        <f>IF(AW235=0,0,(AX235-AW235)/AW235*100)</f>
        <v>3.80000000000026</v>
      </c>
      <c r="BI235" s="1114">
        <f>IF(AX235=0,0,(AY235-AX235)/AX235*100)</f>
        <v>-100</v>
      </c>
      <c r="BJ235" s="1114">
        <f>IF(AY235=0,0,(AZ235-AY235)/AY235*100)</f>
        <v>0</v>
      </c>
      <c r="BK235" s="1114">
        <f>IF(AZ235=0,0,(BA235-AZ235)/AZ235*100)</f>
        <v>0</v>
      </c>
      <c r="BL235" s="1114">
        <f>IF(BA235=0,0,(BB235-BA235)/BA235*100)</f>
        <v>0</v>
      </c>
      <c r="BM235" s="1114">
        <f>IF(BB235=0,0,(BC235-BB235)/BB235*100)</f>
        <v>0</v>
      </c>
      <c r="BN235" s="7433"/>
      <c r="BO235" s="7437" t="s">
        <v>2927</v>
      </c>
      <c r="BP235" s="7433"/>
      <c r="BQ235" s="1278"/>
      <c r="BR235" s="1278"/>
      <c r="BS235" s="1064" t="s">
        <v>2438</v>
      </c>
      <c r="BT235" s="1064"/>
      <c r="BU235" s="1064"/>
      <c r="BV235" s="979"/>
      <c r="BW235" s="979"/>
    </row>
    <row s="7486" customFormat="1" customHeight="1" ht="20.25">
      <c r="A236" s="700"/>
      <c r="B236" s="435"/>
      <c r="C236" s="109"/>
      <c r="D236" s="109"/>
      <c r="E236" s="826">
        <v>21</v>
      </c>
      <c r="F236" s="50" cm="1" t="str">
        <f t="array" ref="F236:F236">OFFSET(E236,-1,1)</f>
        <v>1</v>
      </c>
      <c r="G236" s="109"/>
      <c r="H236" s="107"/>
      <c r="I236" s="107" t="s">
        <v>1648</v>
      </c>
      <c r="J236" s="109"/>
      <c r="K236" s="107" t="s">
        <v>1648</v>
      </c>
      <c r="L236" s="985" t="s">
        <v>1228</v>
      </c>
      <c r="M236" s="109"/>
      <c r="N236" s="109"/>
      <c r="O236" s="109"/>
      <c r="P236" s="109"/>
      <c r="Q236" s="109"/>
      <c r="R236" s="109"/>
      <c r="S236" s="109"/>
      <c r="T236" s="465" cm="1" t="str">
        <f t="array" ref="T236:T236">T235</f>
        <v>true</v>
      </c>
      <c r="U236" s="109"/>
      <c r="V236" s="109"/>
      <c r="W236" s="109"/>
      <c r="X236" s="1596"/>
      <c r="Y236" s="700"/>
      <c r="Z236" s="1546"/>
      <c r="AA236" s="700"/>
      <c r="AB236" s="211" t="s">
        <v>1258</v>
      </c>
      <c r="AC236" s="361" t="s">
        <v>2768</v>
      </c>
      <c r="AD236" s="211" t="s">
        <v>1514</v>
      </c>
      <c r="AE236" s="778">
        <f>SUM(AE237:AE246)</f>
        <v>0</v>
      </c>
      <c r="AF236" s="778">
        <f>SUM(AF237:AF246)</f>
        <v>0</v>
      </c>
      <c r="AG236" s="778">
        <f>SUM(AG237:AG246)</f>
        <v>0</v>
      </c>
      <c r="AH236" s="778">
        <f>AG236-AF236</f>
        <v>0</v>
      </c>
      <c r="AI236" s="778">
        <f>SUM(AI237:AI246)</f>
        <v>0</v>
      </c>
      <c r="AJ236" s="213">
        <f>SUM(AJ237:AJ246)</f>
        <v>7188.48157904</v>
      </c>
      <c r="AK236" s="778">
        <f>SUM(AK237:AK246)</f>
        <v>7417.9322422016</v>
      </c>
      <c r="AL236" s="778">
        <f>SUM(AL237:AL246)</f>
        <v>7677.34445188966</v>
      </c>
      <c r="AM236" s="778">
        <f>SUM(AM237:AM246)</f>
        <v>8418.53306996525</v>
      </c>
      <c r="AN236" s="778">
        <f>SUM(AN237:AN246)</f>
        <v>8616.66555276385</v>
      </c>
      <c r="AO236" s="778">
        <f>SUM(AO237:AO246)</f>
        <v>0</v>
      </c>
      <c r="AP236" s="778">
        <f>SUM(AP237:AP246)</f>
        <v>0</v>
      </c>
      <c r="AQ236" s="778">
        <f>SUM(AQ237:AQ246)</f>
        <v>0</v>
      </c>
      <c r="AR236" s="778">
        <f>SUM(AR237:AR246)</f>
        <v>0</v>
      </c>
      <c r="AS236" s="778">
        <f>SUM(AS237:AS246)</f>
        <v>0</v>
      </c>
      <c r="AT236" s="213">
        <f>SUM(AT237:AT246)</f>
        <v>7188.48157904</v>
      </c>
      <c r="AU236" s="778">
        <f>SUM(AU237:AU246)</f>
        <v>7417.9322422016</v>
      </c>
      <c r="AV236" s="778">
        <f>SUM(AV237:AV246)</f>
        <v>7677.34445188966</v>
      </c>
      <c r="AW236" s="778">
        <f>SUM(AW237:AW246)</f>
        <v>8418.53306996525</v>
      </c>
      <c r="AX236" s="778">
        <f>SUM(AX237:AX246)</f>
        <v>8616.66555276385</v>
      </c>
      <c r="AY236" s="778">
        <f>SUM(AY237:AY246)</f>
        <v>0</v>
      </c>
      <c r="AZ236" s="778">
        <f>SUM(AZ237:AZ246)</f>
        <v>0</v>
      </c>
      <c r="BA236" s="778">
        <f>SUM(BA237:BA246)</f>
        <v>0</v>
      </c>
      <c r="BB236" s="778">
        <f>SUM(BB237:BB246)</f>
        <v>0</v>
      </c>
      <c r="BC236" s="778">
        <f>SUM(BC237:BC246)</f>
        <v>0</v>
      </c>
      <c r="BD236" s="778">
        <f>IF(AI236=0,0,(AT236-AI236)/AI236*100)</f>
        <v>0</v>
      </c>
      <c r="BE236" s="778">
        <f>IF(AT236=0,0,(AU236-AT236)/AT236*100)</f>
        <v>3.19192113993346</v>
      </c>
      <c r="BF236" s="778">
        <f>IF(AU236=0,0,(AV236-AU236)/AU236*100)</f>
        <v>3.4970959725438</v>
      </c>
      <c r="BG236" s="778">
        <f>IF(AV236=0,0,(AW236-AV236)/AV236*100)</f>
        <v>9.65423165158569</v>
      </c>
      <c r="BH236" s="778">
        <f>IF(AW236=0,0,(AX236-AW236)/AW236*100)</f>
        <v>2.35352740378816</v>
      </c>
      <c r="BI236" s="778">
        <f>IF(AX236=0,0,(AY236-AX236)/AX236*100)</f>
        <v>-100</v>
      </c>
      <c r="BJ236" s="778">
        <f>IF(AY236=0,0,(AZ236-AY236)/AY236*100)</f>
        <v>0</v>
      </c>
      <c r="BK236" s="778">
        <f>IF(AZ236=0,0,(BA236-AZ236)/AZ236*100)</f>
        <v>0</v>
      </c>
      <c r="BL236" s="778">
        <f>IF(BA236=0,0,(BB236-BA236)/BA236*100)</f>
        <v>0</v>
      </c>
      <c r="BM236" s="778">
        <f>IF(BB236=0,0,(BC236-BB236)/BB236*100)</f>
        <v>0</v>
      </c>
      <c r="BN236" s="7436"/>
      <c r="BO236" s="7437" t="str">
        <f>IF(_xlfn.IFERROR(INDEX(Налоги!$K$26:$L$101,MATCH($F236&amp;"komm",Налоги!$K$26:$K$101,0),2),"")=0,"",_xlfn.IFERROR(INDEX(Налоги!$K$26:$L$101,MATCH($F236&amp;"komm",Налоги!$K$26:$K$101,0),2),""))</f>
        <v>В соответствии с п.п. 2 п. 49 Методических указаний 1746-э.</v>
      </c>
      <c r="BP236" s="7436"/>
      <c r="BQ236" s="700"/>
      <c r="BR236" s="700"/>
      <c r="BS236" s="1070" t="s">
        <v>1999</v>
      </c>
      <c r="BT236" s="1070"/>
      <c r="BU236" s="1070"/>
      <c r="BV236" s="707"/>
      <c r="BW236" s="707"/>
    </row>
    <row s="1834" customFormat="1" customHeight="1" ht="0">
      <c r="A237" s="1278"/>
      <c r="B237" s="978"/>
      <c r="C237" s="107"/>
      <c r="D237" s="107"/>
      <c r="E237" s="621">
        <v>15</v>
      </c>
      <c r="F237" s="50" cm="1" t="str">
        <f t="array" ref="F237:F237">OFFSET(E237,-1,1)</f>
        <v>1</v>
      </c>
      <c r="G237" s="922">
        <v>7</v>
      </c>
      <c r="H237" s="107"/>
      <c r="I237" s="107" t="s">
        <v>2769</v>
      </c>
      <c r="J237" s="107"/>
      <c r="K237" s="107" t="s">
        <v>2769</v>
      </c>
      <c r="L237" s="980"/>
      <c r="M237" s="107"/>
      <c r="N237" s="107"/>
      <c r="O237" s="107"/>
      <c r="P237" s="107"/>
      <c r="Q237" s="107"/>
      <c r="R237" s="107"/>
      <c r="S237" s="107"/>
      <c r="T237" s="465" cm="1" t="str">
        <f t="array" ref="T237:T237">T236</f>
        <v>true</v>
      </c>
      <c r="U237" s="107"/>
      <c r="V237" s="107"/>
      <c r="W237" s="107"/>
      <c r="X237" s="1596"/>
      <c r="Y237" s="1278"/>
      <c r="Z237" s="1546"/>
      <c r="AA237" s="1278"/>
      <c r="AB237" s="300" t="s">
        <v>1212</v>
      </c>
      <c r="AC237" s="765" t="s">
        <v>2013</v>
      </c>
      <c r="AD237" s="300" t="s">
        <v>1514</v>
      </c>
      <c r="AE237" s="1114">
        <f>_xlfn.SUMIFS(Налоги!AE$25:AE$101,Налоги!$F$25:$F$101,$F237,Налоги!$AB$25:$AB$101,$G237)</f>
        <v>0</v>
      </c>
      <c r="AF237" s="1114">
        <f>_xlfn.SUMIFS(Налоги!AF$25:AF$101,Налоги!$F$25:$F$101,$F237,Налоги!$AB$25:$AB$101,$G237)</f>
        <v>0</v>
      </c>
      <c r="AG237" s="1114">
        <f>_xlfn.SUMIFS(Налоги!AG$25:AG$101,Налоги!$F$25:$F$101,$F237,Налоги!$AB$25:$AB$101,$G237)</f>
        <v>0</v>
      </c>
      <c r="AH237" s="1114">
        <f>AG237-AF237</f>
        <v>0</v>
      </c>
      <c r="AI237" s="1114">
        <f>_xlfn.SUMIFS(Налоги!AH$25:AH$101,Налоги!$F$25:$F$101,$F237,Налоги!$AB$25:$AB$101,$G237)</f>
        <v>0</v>
      </c>
      <c r="AJ237" s="1114">
        <f>_xlfn.SUMIFS(Налоги!AI$25:AI$101,Налоги!$F$25:$F$101,$F237,Налоги!$AB$25:$AB$101,$G237)</f>
        <v>0</v>
      </c>
      <c r="AK237" s="1114">
        <f>_xlfn.SUMIFS(Налоги!AJ$25:AJ$101,Налоги!$F$25:$F$101,$F237,Налоги!$AB$25:$AB$101,$G237)</f>
        <v>0</v>
      </c>
      <c r="AL237" s="1114">
        <f>_xlfn.SUMIFS(Налоги!AK$25:AK$101,Налоги!$F$25:$F$101,$F237,Налоги!$AB$25:$AB$101,$G237)</f>
        <v>0</v>
      </c>
      <c r="AM237" s="1114">
        <f>_xlfn.SUMIFS(Налоги!AL$25:AL$101,Налоги!$F$25:$F$101,$F237,Налоги!$AB$25:$AB$101,$G237)</f>
        <v>0</v>
      </c>
      <c r="AN237" s="1114">
        <f>_xlfn.SUMIFS(Налоги!AM$25:AM$101,Налоги!$F$25:$F$101,$F237,Налоги!$AB$25:$AB$101,$G237)</f>
        <v>0</v>
      </c>
      <c r="AO237" s="1114">
        <f>_xlfn.SUMIFS(Налоги!AN$25:AN$101,Налоги!$F$25:$F$101,$F237,Налоги!$AB$25:$AB$101,$G237)</f>
        <v>0</v>
      </c>
      <c r="AP237" s="1114">
        <f>_xlfn.SUMIFS(Налоги!AO$25:AO$101,Налоги!$F$25:$F$101,$F237,Налоги!$AB$25:$AB$101,$G237)</f>
        <v>0</v>
      </c>
      <c r="AQ237" s="1114">
        <f>_xlfn.SUMIFS(Налоги!AP$25:AP$101,Налоги!$F$25:$F$101,$F237,Налоги!$AB$25:$AB$101,$G237)</f>
        <v>0</v>
      </c>
      <c r="AR237" s="1114">
        <f>_xlfn.SUMIFS(Налоги!AQ$25:AQ$101,Налоги!$F$25:$F$101,$F237,Налоги!$AB$25:$AB$101,$G237)</f>
        <v>0</v>
      </c>
      <c r="AS237" s="1114">
        <f>_xlfn.SUMIFS(Налоги!AR$25:AR$101,Налоги!$F$25:$F$101,$F237,Налоги!$AB$25:$AB$101,$G237)</f>
        <v>0</v>
      </c>
      <c r="AT237" s="1114">
        <f>_xlfn.SUMIFS(Налоги!AS$25:AS$101,Налоги!$F$25:$F$101,$F237,Налоги!$AB$25:$AB$101,$G237)</f>
        <v>0</v>
      </c>
      <c r="AU237" s="1114">
        <f>_xlfn.SUMIFS(Налоги!AT$25:AT$101,Налоги!$F$25:$F$101,$F237,Налоги!$AB$25:$AB$101,$G237)</f>
        <v>0</v>
      </c>
      <c r="AV237" s="1114">
        <f>_xlfn.SUMIFS(Налоги!AU$25:AU$101,Налоги!$F$25:$F$101,$F237,Налоги!$AB$25:$AB$101,$G237)</f>
        <v>0</v>
      </c>
      <c r="AW237" s="1114">
        <f>_xlfn.SUMIFS(Налоги!AV$25:AV$101,Налоги!$F$25:$F$101,$F237,Налоги!$AB$25:$AB$101,$G237)</f>
        <v>0</v>
      </c>
      <c r="AX237" s="1114">
        <f>_xlfn.SUMIFS(Налоги!AW$25:AW$101,Налоги!$F$25:$F$101,$F237,Налоги!$AB$25:$AB$101,$G237)</f>
        <v>0</v>
      </c>
      <c r="AY237" s="1114">
        <f>_xlfn.SUMIFS(Налоги!AX$25:AX$101,Налоги!$F$25:$F$101,$F237,Налоги!$AB$25:$AB$101,$G237)</f>
        <v>0</v>
      </c>
      <c r="AZ237" s="1114">
        <f>_xlfn.SUMIFS(Налоги!AY$25:AY$101,Налоги!$F$25:$F$101,$F237,Налоги!$AB$25:$AB$101,$G237)</f>
        <v>0</v>
      </c>
      <c r="BA237" s="1114">
        <f>_xlfn.SUMIFS(Налоги!AZ$25:AZ$101,Налоги!$F$25:$F$101,$F237,Налоги!$AB$25:$AB$101,$G237)</f>
        <v>0</v>
      </c>
      <c r="BB237" s="1114">
        <f>_xlfn.SUMIFS(Налоги!BA$25:BA$101,Налоги!$F$25:$F$101,$F237,Налоги!$AB$25:$AB$101,$G237)</f>
        <v>0</v>
      </c>
      <c r="BC237" s="1114">
        <f>_xlfn.SUMIFS(Налоги!BB$25:BB$101,Налоги!$F$25:$F$101,$F237,Налоги!$AB$25:$AB$101,$G237)</f>
        <v>0</v>
      </c>
      <c r="BD237" s="1114">
        <f>IF(AI237=0,0,(AT237-AI237)/AI237*100)</f>
        <v>0</v>
      </c>
      <c r="BE237" s="1114">
        <f>IF(AT237=0,0,(AU237-AT237)/AT237*100)</f>
        <v>0</v>
      </c>
      <c r="BF237" s="1114">
        <f>IF(AU237=0,0,(AV237-AU237)/AU237*100)</f>
        <v>0</v>
      </c>
      <c r="BG237" s="1114">
        <f>IF(AV237=0,0,(AW237-AV237)/AV237*100)</f>
        <v>0</v>
      </c>
      <c r="BH237" s="1114">
        <f>IF(AW237=0,0,(AX237-AW237)/AW237*100)</f>
        <v>0</v>
      </c>
      <c r="BI237" s="1114">
        <f>IF(AX237=0,0,(AY237-AX237)/AX237*100)</f>
        <v>0</v>
      </c>
      <c r="BJ237" s="1114">
        <f>IF(AY237=0,0,(AZ237-AY237)/AY237*100)</f>
        <v>0</v>
      </c>
      <c r="BK237" s="1114">
        <f>IF(AZ237=0,0,(BA237-AZ237)/AZ237*100)</f>
        <v>0</v>
      </c>
      <c r="BL237" s="1114">
        <f>IF(BA237=0,0,(BB237-BA237)/BA237*100)</f>
        <v>0</v>
      </c>
      <c r="BM237" s="1114">
        <f>IF(BB237=0,0,(BC237-BB237)/BB237*100)</f>
        <v>0</v>
      </c>
      <c r="BN237" s="7433"/>
      <c r="BO237" s="7437" t="str">
        <f>IF(_xlfn.IFERROR(INDEX(Налоги!$K$26:$L$101,MATCH($F237&amp;"7komm",Налоги!$K$26:$K$101,0),2),"")=0,"",_xlfn.IFERROR(INDEX(Налоги!$K$26:$L$101,MATCH($F237&amp;"7komm",Налоги!$K$26:$K$101,0),2),""))</f>
        <v/>
      </c>
      <c r="BP237" s="7433"/>
      <c r="BQ237" s="1278"/>
      <c r="BR237" s="1278"/>
      <c r="BS237" s="1064" t="s">
        <v>2770</v>
      </c>
      <c r="BT237" s="1064"/>
      <c r="BU237" s="1064"/>
      <c r="BV237" s="979"/>
      <c r="BW237" s="979"/>
    </row>
    <row s="1834" customFormat="1" customHeight="1" ht="14.25">
      <c r="A238" s="1278"/>
      <c r="B238" s="978"/>
      <c r="C238" s="107"/>
      <c r="D238" s="107"/>
      <c r="E238" s="621">
        <v>15</v>
      </c>
      <c r="F238" s="50" cm="1" t="str">
        <f t="array" ref="F238:F238">OFFSET(E238,-1,1)</f>
        <v>1</v>
      </c>
      <c r="G238" s="922">
        <v>6</v>
      </c>
      <c r="H238" s="107"/>
      <c r="I238" s="107" t="s">
        <v>2771</v>
      </c>
      <c r="J238" s="107"/>
      <c r="K238" s="107" t="s">
        <v>2771</v>
      </c>
      <c r="L238" s="980"/>
      <c r="M238" s="107"/>
      <c r="N238" s="107"/>
      <c r="O238" s="107"/>
      <c r="P238" s="107"/>
      <c r="Q238" s="107"/>
      <c r="R238" s="107"/>
      <c r="S238" s="107"/>
      <c r="T238" s="465" cm="1" t="str">
        <f t="array" ref="T238:T238">T237</f>
        <v>true</v>
      </c>
      <c r="U238" s="107"/>
      <c r="V238" s="107"/>
      <c r="W238" s="107"/>
      <c r="X238" s="1596"/>
      <c r="Y238" s="1278"/>
      <c r="Z238" s="1546"/>
      <c r="AA238" s="1278"/>
      <c r="AB238" s="300" t="s">
        <v>2225</v>
      </c>
      <c r="AC238" s="765" t="s">
        <v>2772</v>
      </c>
      <c r="AD238" s="300" t="s">
        <v>1514</v>
      </c>
      <c r="AE238" s="1114">
        <f>_xlfn.SUMIFS(Налоги!AE$25:AE$101,Налоги!$F$25:$F$101,$F238,Налоги!$AB$25:$AB$101,$G238)</f>
        <v>0</v>
      </c>
      <c r="AF238" s="1114">
        <f>_xlfn.SUMIFS(Налоги!AF$25:AF$101,Налоги!$F$25:$F$101,$F238,Налоги!$AB$25:$AB$101,$G238)</f>
        <v>0</v>
      </c>
      <c r="AG238" s="1114">
        <f>_xlfn.SUMIFS(Налоги!AG$25:AG$101,Налоги!$F$25:$F$101,$F238,Налоги!$AB$25:$AB$101,$G238)</f>
        <v>0</v>
      </c>
      <c r="AH238" s="1114">
        <f>AG238-AF238</f>
        <v>0</v>
      </c>
      <c r="AI238" s="1114">
        <f>_xlfn.SUMIFS(Налоги!AH$25:AH$101,Налоги!$F$25:$F$101,$F238,Налоги!$AB$25:$AB$101,$G238)</f>
        <v>0</v>
      </c>
      <c r="AJ238" s="1114">
        <f>_xlfn.SUMIFS(Налоги!AI$25:AI$101,Налоги!$F$25:$F$101,$F238,Налоги!$AB$25:$AB$101,$G238)</f>
        <v>504.0865</v>
      </c>
      <c r="AK238" s="1114">
        <f>_xlfn.SUMIFS(Налоги!AJ$25:AJ$101,Налоги!$F$25:$F$101,$F238,Налоги!$AB$25:$AB$101,$G238)</f>
        <v>466.436</v>
      </c>
      <c r="AL238" s="1114">
        <f>_xlfn.SUMIFS(Налоги!AK$25:AK$101,Налоги!$F$25:$F$101,$F238,Налоги!$AB$25:$AB$101,$G238)</f>
        <v>429.733</v>
      </c>
      <c r="AM238" s="1114">
        <f>_xlfn.SUMIFS(Налоги!AL$25:AL$101,Налоги!$F$25:$F$101,$F238,Налоги!$AB$25:$AB$101,$G238)</f>
        <v>786.205</v>
      </c>
      <c r="AN238" s="1114">
        <f>_xlfn.SUMIFS(Налоги!AM$25:AM$101,Налоги!$F$25:$F$101,$F238,Налоги!$AB$25:$AB$101,$G238)</f>
        <v>720.555</v>
      </c>
      <c r="AO238" s="1114">
        <f>_xlfn.SUMIFS(Налоги!AN$25:AN$101,Налоги!$F$25:$F$101,$F238,Налоги!$AB$25:$AB$101,$G238)</f>
        <v>0</v>
      </c>
      <c r="AP238" s="1114">
        <f>_xlfn.SUMIFS(Налоги!AO$25:AO$101,Налоги!$F$25:$F$101,$F238,Налоги!$AB$25:$AB$101,$G238)</f>
        <v>0</v>
      </c>
      <c r="AQ238" s="1114">
        <f>_xlfn.SUMIFS(Налоги!AP$25:AP$101,Налоги!$F$25:$F$101,$F238,Налоги!$AB$25:$AB$101,$G238)</f>
        <v>0</v>
      </c>
      <c r="AR238" s="1114">
        <f>_xlfn.SUMIFS(Налоги!AQ$25:AQ$101,Налоги!$F$25:$F$101,$F238,Налоги!$AB$25:$AB$101,$G238)</f>
        <v>0</v>
      </c>
      <c r="AS238" s="1114">
        <f>_xlfn.SUMIFS(Налоги!AR$25:AR$101,Налоги!$F$25:$F$101,$F238,Налоги!$AB$25:$AB$101,$G238)</f>
        <v>0</v>
      </c>
      <c r="AT238" s="1114">
        <f>_xlfn.SUMIFS(Налоги!AS$25:AS$101,Налоги!$F$25:$F$101,$F238,Налоги!$AB$25:$AB$101,$G238)</f>
        <v>504.0865</v>
      </c>
      <c r="AU238" s="1114">
        <f>_xlfn.SUMIFS(Налоги!AT$25:AT$101,Налоги!$F$25:$F$101,$F238,Налоги!$AB$25:$AB$101,$G238)</f>
        <v>466.436</v>
      </c>
      <c r="AV238" s="1114">
        <f>_xlfn.SUMIFS(Налоги!AU$25:AU$101,Налоги!$F$25:$F$101,$F238,Налоги!$AB$25:$AB$101,$G238)</f>
        <v>429.733</v>
      </c>
      <c r="AW238" s="1114">
        <f>_xlfn.SUMIFS(Налоги!AV$25:AV$101,Налоги!$F$25:$F$101,$F238,Налоги!$AB$25:$AB$101,$G238)</f>
        <v>786.205</v>
      </c>
      <c r="AX238" s="1114">
        <f>_xlfn.SUMIFS(Налоги!AW$25:AW$101,Налоги!$F$25:$F$101,$F238,Налоги!$AB$25:$AB$101,$G238)</f>
        <v>720.555</v>
      </c>
      <c r="AY238" s="1114">
        <f>_xlfn.SUMIFS(Налоги!AX$25:AX$101,Налоги!$F$25:$F$101,$F238,Налоги!$AB$25:$AB$101,$G238)</f>
        <v>0</v>
      </c>
      <c r="AZ238" s="1114">
        <f>_xlfn.SUMIFS(Налоги!AY$25:AY$101,Налоги!$F$25:$F$101,$F238,Налоги!$AB$25:$AB$101,$G238)</f>
        <v>0</v>
      </c>
      <c r="BA238" s="1114">
        <f>_xlfn.SUMIFS(Налоги!AZ$25:AZ$101,Налоги!$F$25:$F$101,$F238,Налоги!$AB$25:$AB$101,$G238)</f>
        <v>0</v>
      </c>
      <c r="BB238" s="1114">
        <f>_xlfn.SUMIFS(Налоги!BA$25:BA$101,Налоги!$F$25:$F$101,$F238,Налоги!$AB$25:$AB$101,$G238)</f>
        <v>0</v>
      </c>
      <c r="BC238" s="1114">
        <f>_xlfn.SUMIFS(Налоги!BB$25:BB$101,Налоги!$F$25:$F$101,$F238,Налоги!$AB$25:$AB$101,$G238)</f>
        <v>0</v>
      </c>
      <c r="BD238" s="1114">
        <f>IF(AI238=0,0,(AT238-AI238)/AI238*100)</f>
        <v>0</v>
      </c>
      <c r="BE238" s="1114">
        <f>IF(AT238=0,0,(AU238-AT238)/AT238*100)</f>
        <v>-7.46905541013299</v>
      </c>
      <c r="BF238" s="1114">
        <f>IF(AU238=0,0,(AV238-AU238)/AU238*100)</f>
        <v>-7.86881801576207</v>
      </c>
      <c r="BG238" s="1114">
        <f>IF(AV238=0,0,(AW238-AV238)/AV238*100)</f>
        <v>82.951972503857</v>
      </c>
      <c r="BH238" s="1114">
        <f>IF(AW238=0,0,(AX238-AW238)/AW238*100)</f>
        <v>-8.35023944136708</v>
      </c>
      <c r="BI238" s="1114">
        <f>IF(AX238=0,0,(AY238-AX238)/AX238*100)</f>
        <v>-100</v>
      </c>
      <c r="BJ238" s="1114">
        <f>IF(AY238=0,0,(AZ238-AY238)/AY238*100)</f>
        <v>0</v>
      </c>
      <c r="BK238" s="1114">
        <f>IF(AZ238=0,0,(BA238-AZ238)/AZ238*100)</f>
        <v>0</v>
      </c>
      <c r="BL238" s="1114">
        <f>IF(BA238=0,0,(BB238-BA238)/BA238*100)</f>
        <v>0</v>
      </c>
      <c r="BM238" s="1114">
        <f>IF(BB238=0,0,(BC238-BB238)/BB238*100)</f>
        <v>0</v>
      </c>
      <c r="BN238" s="7433"/>
      <c r="BO238" s="7437" t="str">
        <f>IF(_xlfn.IFERROR(INDEX(Налоги!$K$26:$L$101,MATCH($F238&amp;"6komm",Налоги!$K$26:$K$101,0),2),"")=0,"",_xlfn.IFERROR(INDEX(Налоги!$K$26:$L$101,MATCH($F238&amp;"6komm",Налоги!$K$26:$K$101,0),2),""))</f>
        <v>в соответствии с п.1 ст.308 Налогового кодекса РФ от 05.08.2000 № 117-ФЗ, с учетом уменьшения суммы налога на 50% на 2024-2028 годы в соответствии с Законом от 24.11.2033 № 107-ОЗ "О внесении изменения в статью 4 Закона Кемеровской области-кузбасса "О налоге на имущество организаций". Налог рассчитан по остаточной стоимости, данные получены из материалов, представленных организацией при получении долгосрочных параметров регулирования.</v>
      </c>
      <c r="BP238" s="7433"/>
      <c r="BQ238" s="1278"/>
      <c r="BR238" s="1278"/>
      <c r="BS238" s="1064" t="s">
        <v>2773</v>
      </c>
      <c r="BT238" s="1064"/>
      <c r="BU238" s="1064"/>
      <c r="BV238" s="979"/>
      <c r="BW238" s="979"/>
    </row>
    <row s="1834" customFormat="1" customHeight="1" ht="0">
      <c r="A239" s="1278"/>
      <c r="B239" s="978"/>
      <c r="C239" s="107"/>
      <c r="D239" s="107"/>
      <c r="E239" s="621">
        <v>15</v>
      </c>
      <c r="F239" s="50" cm="1" t="str">
        <f t="array" ref="F239:F239">OFFSET(E239,-1,1)</f>
        <v>1</v>
      </c>
      <c r="G239" s="922">
        <v>2</v>
      </c>
      <c r="H239" s="107"/>
      <c r="I239" s="107" t="s">
        <v>2774</v>
      </c>
      <c r="J239" s="107"/>
      <c r="K239" s="107" t="s">
        <v>2774</v>
      </c>
      <c r="L239" s="980"/>
      <c r="M239" s="107"/>
      <c r="N239" s="107"/>
      <c r="O239" s="107"/>
      <c r="P239" s="107"/>
      <c r="Q239" s="107"/>
      <c r="R239" s="107"/>
      <c r="S239" s="107"/>
      <c r="T239" s="465" cm="1" t="str">
        <f t="array" ref="T239:T239">T238</f>
        <v>true</v>
      </c>
      <c r="U239" s="107"/>
      <c r="V239" s="107"/>
      <c r="W239" s="107"/>
      <c r="X239" s="1596"/>
      <c r="Y239" s="1278"/>
      <c r="Z239" s="1546"/>
      <c r="AA239" s="1278"/>
      <c r="AB239" s="300" t="s">
        <v>2230</v>
      </c>
      <c r="AC239" s="765" t="s">
        <v>2775</v>
      </c>
      <c r="AD239" s="300" t="s">
        <v>1514</v>
      </c>
      <c r="AE239" s="1114">
        <f>_xlfn.SUMIFS(Налоги!AE$25:AE$101,Налоги!$F$25:$F$101,$F239,Налоги!$AB$25:$AB$101,$G239)</f>
        <v>0</v>
      </c>
      <c r="AF239" s="1114">
        <f>_xlfn.SUMIFS(Налоги!AF$25:AF$101,Налоги!$F$25:$F$101,$F239,Налоги!$AB$25:$AB$101,$G239)</f>
        <v>0</v>
      </c>
      <c r="AG239" s="1114">
        <f>_xlfn.SUMIFS(Налоги!AG$25:AG$101,Налоги!$F$25:$F$101,$F239,Налоги!$AB$25:$AB$101,$G239)</f>
        <v>0</v>
      </c>
      <c r="AH239" s="1114">
        <f>AG239-AF239</f>
        <v>0</v>
      </c>
      <c r="AI239" s="1114">
        <f>_xlfn.SUMIFS(Налоги!AH$25:AH$101,Налоги!$F$25:$F$101,$F239,Налоги!$AB$25:$AB$101,$G239)</f>
        <v>0</v>
      </c>
      <c r="AJ239" s="1114">
        <f>_xlfn.SUMIFS(Налоги!AI$25:AI$101,Налоги!$F$25:$F$101,$F239,Налоги!$AB$25:$AB$101,$G239)</f>
        <v>0</v>
      </c>
      <c r="AK239" s="1114">
        <f>_xlfn.SUMIFS(Налоги!AJ$25:AJ$101,Налоги!$F$25:$F$101,$F239,Налоги!$AB$25:$AB$101,$G239)</f>
        <v>0</v>
      </c>
      <c r="AL239" s="1114">
        <f>_xlfn.SUMIFS(Налоги!AK$25:AK$101,Налоги!$F$25:$F$101,$F239,Налоги!$AB$25:$AB$101,$G239)</f>
        <v>0</v>
      </c>
      <c r="AM239" s="1114">
        <f>_xlfn.SUMIFS(Налоги!AL$25:AL$101,Налоги!$F$25:$F$101,$F239,Налоги!$AB$25:$AB$101,$G239)</f>
        <v>0</v>
      </c>
      <c r="AN239" s="1114">
        <f>_xlfn.SUMIFS(Налоги!AM$25:AM$101,Налоги!$F$25:$F$101,$F239,Налоги!$AB$25:$AB$101,$G239)</f>
        <v>0</v>
      </c>
      <c r="AO239" s="1114">
        <f>_xlfn.SUMIFS(Налоги!AN$25:AN$101,Налоги!$F$25:$F$101,$F239,Налоги!$AB$25:$AB$101,$G239)</f>
        <v>0</v>
      </c>
      <c r="AP239" s="1114">
        <f>_xlfn.SUMIFS(Налоги!AO$25:AO$101,Налоги!$F$25:$F$101,$F239,Налоги!$AB$25:$AB$101,$G239)</f>
        <v>0</v>
      </c>
      <c r="AQ239" s="1114">
        <f>_xlfn.SUMIFS(Налоги!AP$25:AP$101,Налоги!$F$25:$F$101,$F239,Налоги!$AB$25:$AB$101,$G239)</f>
        <v>0</v>
      </c>
      <c r="AR239" s="1114">
        <f>_xlfn.SUMIFS(Налоги!AQ$25:AQ$101,Налоги!$F$25:$F$101,$F239,Налоги!$AB$25:$AB$101,$G239)</f>
        <v>0</v>
      </c>
      <c r="AS239" s="1114">
        <f>_xlfn.SUMIFS(Налоги!AR$25:AR$101,Налоги!$F$25:$F$101,$F239,Налоги!$AB$25:$AB$101,$G239)</f>
        <v>0</v>
      </c>
      <c r="AT239" s="1114">
        <f>_xlfn.SUMIFS(Налоги!AS$25:AS$101,Налоги!$F$25:$F$101,$F239,Налоги!$AB$25:$AB$101,$G239)</f>
        <v>0</v>
      </c>
      <c r="AU239" s="1114">
        <f>_xlfn.SUMIFS(Налоги!AT$25:AT$101,Налоги!$F$25:$F$101,$F239,Налоги!$AB$25:$AB$101,$G239)</f>
        <v>0</v>
      </c>
      <c r="AV239" s="1114">
        <f>_xlfn.SUMIFS(Налоги!AU$25:AU$101,Налоги!$F$25:$F$101,$F239,Налоги!$AB$25:$AB$101,$G239)</f>
        <v>0</v>
      </c>
      <c r="AW239" s="1114">
        <f>_xlfn.SUMIFS(Налоги!AV$25:AV$101,Налоги!$F$25:$F$101,$F239,Налоги!$AB$25:$AB$101,$G239)</f>
        <v>0</v>
      </c>
      <c r="AX239" s="1114">
        <f>_xlfn.SUMIFS(Налоги!AW$25:AW$101,Налоги!$F$25:$F$101,$F239,Налоги!$AB$25:$AB$101,$G239)</f>
        <v>0</v>
      </c>
      <c r="AY239" s="1114">
        <f>_xlfn.SUMIFS(Налоги!AX$25:AX$101,Налоги!$F$25:$F$101,$F239,Налоги!$AB$25:$AB$101,$G239)</f>
        <v>0</v>
      </c>
      <c r="AZ239" s="1114">
        <f>_xlfn.SUMIFS(Налоги!AY$25:AY$101,Налоги!$F$25:$F$101,$F239,Налоги!$AB$25:$AB$101,$G239)</f>
        <v>0</v>
      </c>
      <c r="BA239" s="1114">
        <f>_xlfn.SUMIFS(Налоги!AZ$25:AZ$101,Налоги!$F$25:$F$101,$F239,Налоги!$AB$25:$AB$101,$G239)</f>
        <v>0</v>
      </c>
      <c r="BB239" s="1114">
        <f>_xlfn.SUMIFS(Налоги!BA$25:BA$101,Налоги!$F$25:$F$101,$F239,Налоги!$AB$25:$AB$101,$G239)</f>
        <v>0</v>
      </c>
      <c r="BC239" s="1114">
        <f>_xlfn.SUMIFS(Налоги!BB$25:BB$101,Налоги!$F$25:$F$101,$F239,Налоги!$AB$25:$AB$101,$G239)</f>
        <v>0</v>
      </c>
      <c r="BD239" s="1114">
        <f>IF(AI239=0,0,(AT239-AI239)/AI239*100)</f>
        <v>0</v>
      </c>
      <c r="BE239" s="1114">
        <f>IF(AT239=0,0,(AU239-AT239)/AT239*100)</f>
        <v>0</v>
      </c>
      <c r="BF239" s="1114">
        <f>IF(AU239=0,0,(AV239-AU239)/AU239*100)</f>
        <v>0</v>
      </c>
      <c r="BG239" s="1114">
        <f>IF(AV239=0,0,(AW239-AV239)/AV239*100)</f>
        <v>0</v>
      </c>
      <c r="BH239" s="1114">
        <f>IF(AW239=0,0,(AX239-AW239)/AW239*100)</f>
        <v>0</v>
      </c>
      <c r="BI239" s="1114">
        <f>IF(AX239=0,0,(AY239-AX239)/AX239*100)</f>
        <v>0</v>
      </c>
      <c r="BJ239" s="1114">
        <f>IF(AY239=0,0,(AZ239-AY239)/AY239*100)</f>
        <v>0</v>
      </c>
      <c r="BK239" s="1114">
        <f>IF(AZ239=0,0,(BA239-AZ239)/AZ239*100)</f>
        <v>0</v>
      </c>
      <c r="BL239" s="1114">
        <f>IF(BA239=0,0,(BB239-BA239)/BA239*100)</f>
        <v>0</v>
      </c>
      <c r="BM239" s="1114">
        <f>IF(BB239=0,0,(BC239-BB239)/BB239*100)</f>
        <v>0</v>
      </c>
      <c r="BN239" s="7433"/>
      <c r="BO239" s="7437" t="str">
        <f>IF(_xlfn.IFERROR(INDEX(Налоги!$K$26:$L$101,MATCH($F239&amp;"2komm",Налоги!$K$26:$K$101,0),2),"")=0,"",_xlfn.IFERROR(INDEX(Налоги!$K$26:$L$101,MATCH($F239&amp;"2komm",Налоги!$K$26:$K$101,0),2),""))</f>
        <v/>
      </c>
      <c r="BP239" s="7433"/>
      <c r="BQ239" s="1278"/>
      <c r="BR239" s="1278"/>
      <c r="BS239" s="1064" t="s">
        <v>2776</v>
      </c>
      <c r="BT239" s="1064"/>
      <c r="BU239" s="1064"/>
      <c r="BV239" s="979"/>
      <c r="BW239" s="979"/>
    </row>
    <row s="1834" customFormat="1" customHeight="1" ht="33.75">
      <c r="A240" s="1278"/>
      <c r="B240" s="978"/>
      <c r="C240" s="107"/>
      <c r="D240" s="107"/>
      <c r="E240" s="621">
        <v>15</v>
      </c>
      <c r="F240" s="50" cm="1" t="str">
        <f t="array" ref="F240:F240">OFFSET(E240,-1,1)</f>
        <v>1</v>
      </c>
      <c r="G240" s="922">
        <v>4</v>
      </c>
      <c r="H240" s="107"/>
      <c r="I240" s="107" t="s">
        <v>2777</v>
      </c>
      <c r="J240" s="107"/>
      <c r="K240" s="107" t="s">
        <v>2777</v>
      </c>
      <c r="L240" s="980"/>
      <c r="M240" s="107"/>
      <c r="N240" s="107"/>
      <c r="O240" s="107"/>
      <c r="P240" s="107"/>
      <c r="Q240" s="107"/>
      <c r="R240" s="107"/>
      <c r="S240" s="107"/>
      <c r="T240" s="465" cm="1" t="str">
        <f t="array" ref="T240:T240">T239</f>
        <v>true</v>
      </c>
      <c r="U240" s="107"/>
      <c r="V240" s="107"/>
      <c r="W240" s="107"/>
      <c r="X240" s="1596"/>
      <c r="Y240" s="1278"/>
      <c r="Z240" s="1546"/>
      <c r="AA240" s="1278"/>
      <c r="AB240" s="300" t="s">
        <v>2778</v>
      </c>
      <c r="AC240" s="765" t="s">
        <v>2779</v>
      </c>
      <c r="AD240" s="300" t="s">
        <v>1514</v>
      </c>
      <c r="AE240" s="1114">
        <f>_xlfn.SUMIFS(Налоги!AE$25:AE$101,Налоги!$F$25:$F$101,$F240,Налоги!$AB$25:$AB$101,$G240)</f>
        <v>0</v>
      </c>
      <c r="AF240" s="1114">
        <f>_xlfn.SUMIFS(Налоги!AF$25:AF$101,Налоги!$F$25:$F$101,$F240,Налоги!$AB$25:$AB$101,$G240)</f>
        <v>0</v>
      </c>
      <c r="AG240" s="1114">
        <f>_xlfn.SUMIFS(Налоги!AG$25:AG$101,Налоги!$F$25:$F$101,$F240,Налоги!$AB$25:$AB$101,$G240)</f>
        <v>0</v>
      </c>
      <c r="AH240" s="1114">
        <f>AG240-AF240</f>
        <v>0</v>
      </c>
      <c r="AI240" s="1114">
        <f>_xlfn.SUMIFS(Налоги!AH$25:AH$101,Налоги!$F$25:$F$101,$F240,Налоги!$AB$25:$AB$101,$G240)</f>
        <v>0</v>
      </c>
      <c r="AJ240" s="1114">
        <f>_xlfn.SUMIFS(Налоги!AI$25:AI$101,Налоги!$F$25:$F$101,$F240,Налоги!$AB$25:$AB$101,$G240)</f>
        <v>725.01</v>
      </c>
      <c r="AK240" s="1114">
        <f>_xlfn.SUMIFS(Налоги!AJ$25:AJ$101,Налоги!$F$25:$F$101,$F240,Налоги!$AB$25:$AB$101,$G240)</f>
        <v>754.0104</v>
      </c>
      <c r="AL240" s="1114">
        <f>_xlfn.SUMIFS(Налоги!AK$25:AK$101,Налоги!$F$25:$F$101,$F240,Налоги!$AB$25:$AB$101,$G240)</f>
        <v>784.170816</v>
      </c>
      <c r="AM240" s="1114">
        <f>_xlfn.SUMIFS(Налоги!AL$25:AL$101,Налоги!$F$25:$F$101,$F240,Налоги!$AB$25:$AB$101,$G240)</f>
        <v>815.53764864</v>
      </c>
      <c r="AN240" s="1114">
        <f>_xlfn.SUMIFS(Налоги!AM$25:AM$101,Налоги!$F$25:$F$101,$F240,Налоги!$AB$25:$AB$101,$G240)</f>
        <v>848.1591545856</v>
      </c>
      <c r="AO240" s="1114">
        <f>_xlfn.SUMIFS(Налоги!AN$25:AN$101,Налоги!$F$25:$F$101,$F240,Налоги!$AB$25:$AB$101,$G240)</f>
        <v>0</v>
      </c>
      <c r="AP240" s="1114">
        <f>_xlfn.SUMIFS(Налоги!AO$25:AO$101,Налоги!$F$25:$F$101,$F240,Налоги!$AB$25:$AB$101,$G240)</f>
        <v>0</v>
      </c>
      <c r="AQ240" s="1114">
        <f>_xlfn.SUMIFS(Налоги!AP$25:AP$101,Налоги!$F$25:$F$101,$F240,Налоги!$AB$25:$AB$101,$G240)</f>
        <v>0</v>
      </c>
      <c r="AR240" s="1114">
        <f>_xlfn.SUMIFS(Налоги!AQ$25:AQ$101,Налоги!$F$25:$F$101,$F240,Налоги!$AB$25:$AB$101,$G240)</f>
        <v>0</v>
      </c>
      <c r="AS240" s="1114">
        <f>_xlfn.SUMIFS(Налоги!AR$25:AR$101,Налоги!$F$25:$F$101,$F240,Налоги!$AB$25:$AB$101,$G240)</f>
        <v>0</v>
      </c>
      <c r="AT240" s="1114">
        <f>_xlfn.SUMIFS(Налоги!AS$25:AS$101,Налоги!$F$25:$F$101,$F240,Налоги!$AB$25:$AB$101,$G240)</f>
        <v>725.01</v>
      </c>
      <c r="AU240" s="1114">
        <f>_xlfn.SUMIFS(Налоги!AT$25:AT$101,Налоги!$F$25:$F$101,$F240,Налоги!$AB$25:$AB$101,$G240)</f>
        <v>754.0104</v>
      </c>
      <c r="AV240" s="1114">
        <f>_xlfn.SUMIFS(Налоги!AU$25:AU$101,Налоги!$F$25:$F$101,$F240,Налоги!$AB$25:$AB$101,$G240)</f>
        <v>784.170816</v>
      </c>
      <c r="AW240" s="1114">
        <f>_xlfn.SUMIFS(Налоги!AV$25:AV$101,Налоги!$F$25:$F$101,$F240,Налоги!$AB$25:$AB$101,$G240)</f>
        <v>815.53764864</v>
      </c>
      <c r="AX240" s="1114">
        <f>_xlfn.SUMIFS(Налоги!AW$25:AW$101,Налоги!$F$25:$F$101,$F240,Налоги!$AB$25:$AB$101,$G240)</f>
        <v>848.1591545856</v>
      </c>
      <c r="AY240" s="1114">
        <f>_xlfn.SUMIFS(Налоги!AX$25:AX$101,Налоги!$F$25:$F$101,$F240,Налоги!$AB$25:$AB$101,$G240)</f>
        <v>0</v>
      </c>
      <c r="AZ240" s="1114">
        <f>_xlfn.SUMIFS(Налоги!AY$25:AY$101,Налоги!$F$25:$F$101,$F240,Налоги!$AB$25:$AB$101,$G240)</f>
        <v>0</v>
      </c>
      <c r="BA240" s="1114">
        <f>_xlfn.SUMIFS(Налоги!AZ$25:AZ$101,Налоги!$F$25:$F$101,$F240,Налоги!$AB$25:$AB$101,$G240)</f>
        <v>0</v>
      </c>
      <c r="BB240" s="1114">
        <f>_xlfn.SUMIFS(Налоги!BA$25:BA$101,Налоги!$F$25:$F$101,$F240,Налоги!$AB$25:$AB$101,$G240)</f>
        <v>0</v>
      </c>
      <c r="BC240" s="1114">
        <f>_xlfn.SUMIFS(Налоги!BB$25:BB$101,Налоги!$F$25:$F$101,$F240,Налоги!$AB$25:$AB$101,$G240)</f>
        <v>0</v>
      </c>
      <c r="BD240" s="1114">
        <f>IF(AI240=0,0,(AT240-AI240)/AI240*100)</f>
        <v>0</v>
      </c>
      <c r="BE240" s="1114">
        <f>IF(AT240=0,0,(AU240-AT240)/AT240*100)</f>
        <v>4</v>
      </c>
      <c r="BF240" s="1114">
        <f>IF(AU240=0,0,(AV240-AU240)/AU240*100)</f>
        <v>4</v>
      </c>
      <c r="BG240" s="1114">
        <f>IF(AV240=0,0,(AW240-AV240)/AV240*100)</f>
        <v>4</v>
      </c>
      <c r="BH240" s="1114">
        <f>IF(AW240=0,0,(AX240-AW240)/AW240*100)</f>
        <v>4</v>
      </c>
      <c r="BI240" s="1114">
        <f>IF(AX240=0,0,(AY240-AX240)/AX240*100)</f>
        <v>-100</v>
      </c>
      <c r="BJ240" s="1114">
        <f>IF(AY240=0,0,(AZ240-AY240)/AY240*100)</f>
        <v>0</v>
      </c>
      <c r="BK240" s="1114">
        <f>IF(AZ240=0,0,(BA240-AZ240)/AZ240*100)</f>
        <v>0</v>
      </c>
      <c r="BL240" s="1114">
        <f>IF(BA240=0,0,(BB240-BA240)/BA240*100)</f>
        <v>0</v>
      </c>
      <c r="BM240" s="1114">
        <f>IF(BB240=0,0,(BC240-BB240)/BB240*100)</f>
        <v>0</v>
      </c>
      <c r="BN240" s="7433"/>
      <c r="BO240" s="7437" t="str">
        <f>IF(_xlfn.IFERROR(INDEX(Налоги!$K$26:$L$101,MATCH($F240&amp;"4komm",Налоги!$K$26:$K$101,0),2),"")=0,"",_xlfn.IFERROR(INDEX(Налоги!$K$26:$L$101,MATCH($F240&amp;"4komm",Налоги!$K$26:$K$101,0),2),""))</f>
        <v>рассчитано исходя из плановых объемов, с учетом ставок в соответствии со ст. 333.12 Налогового кодекса РФ от 05.08.2000 № 117-ФЗ.</v>
      </c>
      <c r="BP240" s="7433"/>
      <c r="BQ240" s="1278"/>
      <c r="BR240" s="1278"/>
      <c r="BS240" s="1064" t="s">
        <v>2780</v>
      </c>
      <c r="BT240" s="1064"/>
      <c r="BU240" s="1064"/>
      <c r="BV240" s="979"/>
      <c r="BW240" s="979"/>
    </row>
    <row s="1834" customFormat="1" customHeight="1" ht="23.25">
      <c r="A241" s="1278"/>
      <c r="B241" s="978"/>
      <c r="C241" s="107"/>
      <c r="D241" s="107"/>
      <c r="E241" s="621">
        <v>15</v>
      </c>
      <c r="F241" s="50" cm="1" t="str">
        <f t="array" ref="F241:F241">OFFSET(E241,-1,1)</f>
        <v>1</v>
      </c>
      <c r="G241" s="922">
        <v>5</v>
      </c>
      <c r="H241" s="107"/>
      <c r="I241" s="107" t="s">
        <v>2781</v>
      </c>
      <c r="J241" s="107"/>
      <c r="K241" s="107" t="s">
        <v>2781</v>
      </c>
      <c r="L241" s="980"/>
      <c r="M241" s="107"/>
      <c r="N241" s="107"/>
      <c r="O241" s="107"/>
      <c r="P241" s="107"/>
      <c r="Q241" s="107"/>
      <c r="R241" s="107"/>
      <c r="S241" s="107"/>
      <c r="T241" s="465" cm="1" t="str">
        <f t="array" ref="T241:T241">T240</f>
        <v>true</v>
      </c>
      <c r="U241" s="107"/>
      <c r="V241" s="107"/>
      <c r="W241" s="107"/>
      <c r="X241" s="1596"/>
      <c r="Y241" s="1278"/>
      <c r="Z241" s="1546"/>
      <c r="AA241" s="1278"/>
      <c r="AB241" s="300" t="s">
        <v>2782</v>
      </c>
      <c r="AC241" s="765" t="s">
        <v>2783</v>
      </c>
      <c r="AD241" s="300" t="s">
        <v>1514</v>
      </c>
      <c r="AE241" s="1114">
        <f>_xlfn.SUMIFS(Налоги!AE$25:AE$101,Налоги!$F$25:$F$101,$F241,Налоги!$AB$25:$AB$101,$G241)</f>
        <v>0</v>
      </c>
      <c r="AF241" s="1114">
        <f>_xlfn.SUMIFS(Налоги!AF$25:AF$101,Налоги!$F$25:$F$101,$F241,Налоги!$AB$25:$AB$101,$G241)</f>
        <v>0</v>
      </c>
      <c r="AG241" s="1114">
        <f>_xlfn.SUMIFS(Налоги!AG$25:AG$101,Налоги!$F$25:$F$101,$F241,Налоги!$AB$25:$AB$101,$G241)</f>
        <v>0</v>
      </c>
      <c r="AH241" s="1114">
        <f>AG241-AF241</f>
        <v>0</v>
      </c>
      <c r="AI241" s="1114">
        <f>_xlfn.SUMIFS(Налоги!AH$25:AH$101,Налоги!$F$25:$F$101,$F241,Налоги!$AB$25:$AB$101,$G241)</f>
        <v>0</v>
      </c>
      <c r="AJ241" s="1114">
        <f>_xlfn.SUMIFS(Налоги!AI$25:AI$101,Налоги!$F$25:$F$101,$F241,Налоги!$AB$25:$AB$101,$G241)</f>
        <v>5935.843871</v>
      </c>
      <c r="AK241" s="1114">
        <f>_xlfn.SUMIFS(Налоги!AJ$25:AJ$101,Налоги!$F$25:$F$101,$F241,Налоги!$AB$25:$AB$101,$G241)</f>
        <v>6173.27762584</v>
      </c>
      <c r="AL241" s="1114">
        <f>_xlfn.SUMIFS(Налоги!AK$25:AK$101,Налоги!$F$25:$F$101,$F241,Налоги!$AB$25:$AB$101,$G241)</f>
        <v>6420.2087308736</v>
      </c>
      <c r="AM241" s="1114">
        <f>_xlfn.SUMIFS(Налоги!AL$25:AL$101,Налоги!$F$25:$F$101,$F241,Налоги!$AB$25:$AB$101,$G241)</f>
        <v>6677.01708010854</v>
      </c>
      <c r="AN241" s="1114">
        <f>_xlfn.SUMIFS(Налоги!AM$25:AM$101,Налоги!$F$25:$F$101,$F241,Налоги!$AB$25:$AB$101,$G241)</f>
        <v>6944.09776331288</v>
      </c>
      <c r="AO241" s="1114">
        <f>_xlfn.SUMIFS(Налоги!AN$25:AN$101,Налоги!$F$25:$F$101,$F241,Налоги!$AB$25:$AB$101,$G241)</f>
        <v>0</v>
      </c>
      <c r="AP241" s="1114">
        <f>_xlfn.SUMIFS(Налоги!AO$25:AO$101,Налоги!$F$25:$F$101,$F241,Налоги!$AB$25:$AB$101,$G241)</f>
        <v>0</v>
      </c>
      <c r="AQ241" s="1114">
        <f>_xlfn.SUMIFS(Налоги!AP$25:AP$101,Налоги!$F$25:$F$101,$F241,Налоги!$AB$25:$AB$101,$G241)</f>
        <v>0</v>
      </c>
      <c r="AR241" s="1114">
        <f>_xlfn.SUMIFS(Налоги!AQ$25:AQ$101,Налоги!$F$25:$F$101,$F241,Налоги!$AB$25:$AB$101,$G241)</f>
        <v>0</v>
      </c>
      <c r="AS241" s="1114">
        <f>_xlfn.SUMIFS(Налоги!AR$25:AR$101,Налоги!$F$25:$F$101,$F241,Налоги!$AB$25:$AB$101,$G241)</f>
        <v>0</v>
      </c>
      <c r="AT241" s="1114">
        <f>_xlfn.SUMIFS(Налоги!AS$25:AS$101,Налоги!$F$25:$F$101,$F241,Налоги!$AB$25:$AB$101,$G241)</f>
        <v>5935.843871</v>
      </c>
      <c r="AU241" s="1114">
        <f>_xlfn.SUMIFS(Налоги!AT$25:AT$101,Налоги!$F$25:$F$101,$F241,Налоги!$AB$25:$AB$101,$G241)</f>
        <v>6173.27762584</v>
      </c>
      <c r="AV241" s="1114">
        <f>_xlfn.SUMIFS(Налоги!AU$25:AU$101,Налоги!$F$25:$F$101,$F241,Налоги!$AB$25:$AB$101,$G241)</f>
        <v>6420.2087308736</v>
      </c>
      <c r="AW241" s="1114">
        <f>_xlfn.SUMIFS(Налоги!AV$25:AV$101,Налоги!$F$25:$F$101,$F241,Налоги!$AB$25:$AB$101,$G241)</f>
        <v>6677.01708010854</v>
      </c>
      <c r="AX241" s="1114">
        <f>_xlfn.SUMIFS(Налоги!AW$25:AW$101,Налоги!$F$25:$F$101,$F241,Налоги!$AB$25:$AB$101,$G241)</f>
        <v>6944.09776331288</v>
      </c>
      <c r="AY241" s="1114">
        <f>_xlfn.SUMIFS(Налоги!AX$25:AX$101,Налоги!$F$25:$F$101,$F241,Налоги!$AB$25:$AB$101,$G241)</f>
        <v>0</v>
      </c>
      <c r="AZ241" s="1114">
        <f>_xlfn.SUMIFS(Налоги!AY$25:AY$101,Налоги!$F$25:$F$101,$F241,Налоги!$AB$25:$AB$101,$G241)</f>
        <v>0</v>
      </c>
      <c r="BA241" s="1114">
        <f>_xlfn.SUMIFS(Налоги!AZ$25:AZ$101,Налоги!$F$25:$F$101,$F241,Налоги!$AB$25:$AB$101,$G241)</f>
        <v>0</v>
      </c>
      <c r="BB241" s="1114">
        <f>_xlfn.SUMIFS(Налоги!BA$25:BA$101,Налоги!$F$25:$F$101,$F241,Налоги!$AB$25:$AB$101,$G241)</f>
        <v>0</v>
      </c>
      <c r="BC241" s="1114">
        <f>_xlfn.SUMIFS(Налоги!BB$25:BB$101,Налоги!$F$25:$F$101,$F241,Налоги!$AB$25:$AB$101,$G241)</f>
        <v>0</v>
      </c>
      <c r="BD241" s="1114">
        <f>IF(AI241=0,0,(AT241-AI241)/AI241*100)</f>
        <v>0</v>
      </c>
      <c r="BE241" s="1114">
        <f>IF(AT241=0,0,(AU241-AT241)/AT241*100)</f>
        <v>4</v>
      </c>
      <c r="BF241" s="1114">
        <f>IF(AU241=0,0,(AV241-AU241)/AU241*100)</f>
        <v>4</v>
      </c>
      <c r="BG241" s="1114">
        <f>IF(AV241=0,0,(AW241-AV241)/AV241*100)</f>
        <v>3.9999999999999</v>
      </c>
      <c r="BH241" s="1114">
        <f>IF(AW241=0,0,(AX241-AW241)/AW241*100)</f>
        <v>4</v>
      </c>
      <c r="BI241" s="1114">
        <f>IF(AX241=0,0,(AY241-AX241)/AX241*100)</f>
        <v>-100</v>
      </c>
      <c r="BJ241" s="1114">
        <f>IF(AY241=0,0,(AZ241-AY241)/AY241*100)</f>
        <v>0</v>
      </c>
      <c r="BK241" s="1114">
        <f>IF(AZ241=0,0,(BA241-AZ241)/AZ241*100)</f>
        <v>0</v>
      </c>
      <c r="BL241" s="1114">
        <f>IF(BA241=0,0,(BB241-BA241)/BA241*100)</f>
        <v>0</v>
      </c>
      <c r="BM241" s="1114">
        <f>IF(BB241=0,0,(BC241-BB241)/BB241*100)</f>
        <v>0</v>
      </c>
      <c r="BN241" s="7433"/>
      <c r="BO241" s="7437" t="str">
        <f>IF(_xlfn.IFERROR(INDEX(Налоги!$K$26:$L$101,MATCH($F241&amp;"5komm",Налоги!$K$26:$K$101,0),2),"")=0,"",_xlfn.IFERROR(INDEX(Налоги!$K$26:$L$101,MATCH($F241&amp;"5komm",Налоги!$K$26:$K$101,0),2),""))</f>
        <v>рассчитано исходя из плановых объемов, с учетом ставок договора водопользования.</v>
      </c>
      <c r="BP241" s="7433"/>
      <c r="BQ241" s="1278"/>
      <c r="BR241" s="1278"/>
      <c r="BS241" s="1064" t="s">
        <v>2784</v>
      </c>
      <c r="BT241" s="1064"/>
      <c r="BU241" s="1064"/>
      <c r="BV241" s="979"/>
      <c r="BW241" s="979"/>
    </row>
    <row s="1834" customFormat="1" customHeight="1" ht="12.75">
      <c r="A242" s="1278"/>
      <c r="B242" s="978"/>
      <c r="C242" s="107"/>
      <c r="D242" s="107"/>
      <c r="E242" s="621">
        <v>15</v>
      </c>
      <c r="F242" s="50" cm="1" t="str">
        <f t="array" ref="F242:F242">OFFSET(E242,-1,1)</f>
        <v>1</v>
      </c>
      <c r="G242" s="922">
        <v>1</v>
      </c>
      <c r="H242" s="107"/>
      <c r="I242" s="107" t="s">
        <v>2785</v>
      </c>
      <c r="J242" s="107"/>
      <c r="K242" s="107" t="s">
        <v>2785</v>
      </c>
      <c r="L242" s="980"/>
      <c r="M242" s="107"/>
      <c r="N242" s="107"/>
      <c r="O242" s="107"/>
      <c r="P242" s="107"/>
      <c r="Q242" s="107"/>
      <c r="R242" s="107"/>
      <c r="S242" s="107"/>
      <c r="T242" s="465" cm="1" t="str">
        <f t="array" ref="T242:T242">T241</f>
        <v>true</v>
      </c>
      <c r="U242" s="107"/>
      <c r="V242" s="107"/>
      <c r="W242" s="107"/>
      <c r="X242" s="1596"/>
      <c r="Y242" s="1278"/>
      <c r="Z242" s="1546"/>
      <c r="AA242" s="1278"/>
      <c r="AB242" s="300" t="s">
        <v>2786</v>
      </c>
      <c r="AC242" s="765" t="s">
        <v>2787</v>
      </c>
      <c r="AD242" s="300" t="s">
        <v>1514</v>
      </c>
      <c r="AE242" s="1114">
        <f>_xlfn.SUMIFS(Налоги!AE$25:AE$101,Налоги!$F$25:$F$101,$F242,Налоги!$AB$25:$AB$101,$G242)</f>
        <v>0</v>
      </c>
      <c r="AF242" s="1114">
        <f>_xlfn.SUMIFS(Налоги!AF$25:AF$101,Налоги!$F$25:$F$101,$F242,Налоги!$AB$25:$AB$101,$G242)</f>
        <v>0</v>
      </c>
      <c r="AG242" s="1114">
        <f>_xlfn.SUMIFS(Налоги!AG$25:AG$101,Налоги!$F$25:$F$101,$F242,Налоги!$AB$25:$AB$101,$G242)</f>
        <v>0</v>
      </c>
      <c r="AH242" s="1114">
        <f>AG242-AF242</f>
        <v>0</v>
      </c>
      <c r="AI242" s="1114">
        <f>_xlfn.SUMIFS(Налоги!AH$25:AH$101,Налоги!$F$25:$F$101,$F242,Налоги!$AB$25:$AB$101,$G242)</f>
        <v>0</v>
      </c>
      <c r="AJ242" s="1114">
        <f>_xlfn.SUMIFS(Налоги!AI$25:AI$101,Налоги!$F$25:$F$101,$F242,Налоги!$AB$25:$AB$101,$G242)</f>
        <v>6.866</v>
      </c>
      <c r="AK242" s="1114">
        <f>_xlfn.SUMIFS(Налоги!AJ$25:AJ$101,Налоги!$F$25:$F$101,$F242,Налоги!$AB$25:$AB$101,$G242)</f>
        <v>6.866</v>
      </c>
      <c r="AL242" s="1114">
        <f>_xlfn.SUMIFS(Налоги!AK$25:AK$101,Налоги!$F$25:$F$101,$F242,Налоги!$AB$25:$AB$101,$G242)</f>
        <v>6.866</v>
      </c>
      <c r="AM242" s="1114">
        <f>_xlfn.SUMIFS(Налоги!AL$25:AL$101,Налоги!$F$25:$F$101,$F242,Налоги!$AB$25:$AB$101,$G242)</f>
        <v>6.866</v>
      </c>
      <c r="AN242" s="1114">
        <f>_xlfn.SUMIFS(Налоги!AM$25:AM$101,Налоги!$F$25:$F$101,$F242,Налоги!$AB$25:$AB$101,$G242)</f>
        <v>6.866</v>
      </c>
      <c r="AO242" s="1114">
        <f>_xlfn.SUMIFS(Налоги!AN$25:AN$101,Налоги!$F$25:$F$101,$F242,Налоги!$AB$25:$AB$101,$G242)</f>
        <v>0</v>
      </c>
      <c r="AP242" s="1114">
        <f>_xlfn.SUMIFS(Налоги!AO$25:AO$101,Налоги!$F$25:$F$101,$F242,Налоги!$AB$25:$AB$101,$G242)</f>
        <v>0</v>
      </c>
      <c r="AQ242" s="1114">
        <f>_xlfn.SUMIFS(Налоги!AP$25:AP$101,Налоги!$F$25:$F$101,$F242,Налоги!$AB$25:$AB$101,$G242)</f>
        <v>0</v>
      </c>
      <c r="AR242" s="1114">
        <f>_xlfn.SUMIFS(Налоги!AQ$25:AQ$101,Налоги!$F$25:$F$101,$F242,Налоги!$AB$25:$AB$101,$G242)</f>
        <v>0</v>
      </c>
      <c r="AS242" s="1114">
        <f>_xlfn.SUMIFS(Налоги!AR$25:AR$101,Налоги!$F$25:$F$101,$F242,Налоги!$AB$25:$AB$101,$G242)</f>
        <v>0</v>
      </c>
      <c r="AT242" s="1114">
        <f>_xlfn.SUMIFS(Налоги!AS$25:AS$101,Налоги!$F$25:$F$101,$F242,Налоги!$AB$25:$AB$101,$G242)</f>
        <v>6.866</v>
      </c>
      <c r="AU242" s="1114">
        <f>_xlfn.SUMIFS(Налоги!AT$25:AT$101,Налоги!$F$25:$F$101,$F242,Налоги!$AB$25:$AB$101,$G242)</f>
        <v>6.866</v>
      </c>
      <c r="AV242" s="1114">
        <f>_xlfn.SUMIFS(Налоги!AU$25:AU$101,Налоги!$F$25:$F$101,$F242,Налоги!$AB$25:$AB$101,$G242)</f>
        <v>6.866</v>
      </c>
      <c r="AW242" s="1114">
        <f>_xlfn.SUMIFS(Налоги!AV$25:AV$101,Налоги!$F$25:$F$101,$F242,Налоги!$AB$25:$AB$101,$G242)</f>
        <v>6.866</v>
      </c>
      <c r="AX242" s="1114">
        <f>_xlfn.SUMIFS(Налоги!AW$25:AW$101,Налоги!$F$25:$F$101,$F242,Налоги!$AB$25:$AB$101,$G242)</f>
        <v>6.866</v>
      </c>
      <c r="AY242" s="1114">
        <f>_xlfn.SUMIFS(Налоги!AX$25:AX$101,Налоги!$F$25:$F$101,$F242,Налоги!$AB$25:$AB$101,$G242)</f>
        <v>0</v>
      </c>
      <c r="AZ242" s="1114">
        <f>_xlfn.SUMIFS(Налоги!AY$25:AY$101,Налоги!$F$25:$F$101,$F242,Налоги!$AB$25:$AB$101,$G242)</f>
        <v>0</v>
      </c>
      <c r="BA242" s="1114">
        <f>_xlfn.SUMIFS(Налоги!AZ$25:AZ$101,Налоги!$F$25:$F$101,$F242,Налоги!$AB$25:$AB$101,$G242)</f>
        <v>0</v>
      </c>
      <c r="BB242" s="1114">
        <f>_xlfn.SUMIFS(Налоги!BA$25:BA$101,Налоги!$F$25:$F$101,$F242,Налоги!$AB$25:$AB$101,$G242)</f>
        <v>0</v>
      </c>
      <c r="BC242" s="1114">
        <f>_xlfn.SUMIFS(Налоги!BB$25:BB$101,Налоги!$F$25:$F$101,$F242,Налоги!$AB$25:$AB$101,$G242)</f>
        <v>0</v>
      </c>
      <c r="BD242" s="1114">
        <f>IF(AI242=0,0,(AT242-AI242)/AI242*100)</f>
        <v>0</v>
      </c>
      <c r="BE242" s="1114">
        <f>IF(AT242=0,0,(AU242-AT242)/AT242*100)</f>
        <v>0</v>
      </c>
      <c r="BF242" s="1114">
        <f>IF(AU242=0,0,(AV242-AU242)/AU242*100)</f>
        <v>0</v>
      </c>
      <c r="BG242" s="1114">
        <f>IF(AV242=0,0,(AW242-AV242)/AV242*100)</f>
        <v>0</v>
      </c>
      <c r="BH242" s="1114">
        <f>IF(AW242=0,0,(AX242-AW242)/AW242*100)</f>
        <v>0</v>
      </c>
      <c r="BI242" s="1114">
        <f>IF(AX242=0,0,(AY242-AX242)/AX242*100)</f>
        <v>-100</v>
      </c>
      <c r="BJ242" s="1114">
        <f>IF(AY242=0,0,(AZ242-AY242)/AY242*100)</f>
        <v>0</v>
      </c>
      <c r="BK242" s="1114">
        <f>IF(AZ242=0,0,(BA242-AZ242)/AZ242*100)</f>
        <v>0</v>
      </c>
      <c r="BL242" s="1114">
        <f>IF(BA242=0,0,(BB242-BA242)/BA242*100)</f>
        <v>0</v>
      </c>
      <c r="BM242" s="1114">
        <f>IF(BB242=0,0,(BC242-BB242)/BB242*100)</f>
        <v>0</v>
      </c>
      <c r="BN242" s="7433"/>
      <c r="BO242" s="7437" t="str">
        <f>IF(_xlfn.IFERROR(INDEX(Налоги!$K$26:$L$101,MATCH($F242&amp;"1komm",Налоги!$K$26:$K$101,0),2),"")=0,"",_xlfn.IFERROR(INDEX(Налоги!$K$26:$L$101,MATCH($F242&amp;"1komm",Налоги!$K$26:$K$101,0),2),""))</f>
        <v>по предложению организации.</v>
      </c>
      <c r="BP242" s="7433"/>
      <c r="BQ242" s="1278"/>
      <c r="BR242" s="1278"/>
      <c r="BS242" s="1064" t="s">
        <v>2788</v>
      </c>
      <c r="BT242" s="1064"/>
      <c r="BU242" s="1064"/>
      <c r="BV242" s="979"/>
      <c r="BW242" s="979"/>
    </row>
    <row s="1834" customFormat="1" customHeight="1" ht="44.25">
      <c r="A243" s="1278"/>
      <c r="B243" s="978"/>
      <c r="C243" s="107"/>
      <c r="D243" s="107"/>
      <c r="E243" s="621">
        <v>15</v>
      </c>
      <c r="F243" s="50" cm="1" t="str">
        <f t="array" ref="F243:F243">OFFSET(E243,-1,1)</f>
        <v>1</v>
      </c>
      <c r="G243" s="922">
        <v>3</v>
      </c>
      <c r="H243" s="107"/>
      <c r="I243" s="107" t="s">
        <v>2789</v>
      </c>
      <c r="J243" s="107"/>
      <c r="K243" s="107" t="s">
        <v>2789</v>
      </c>
      <c r="L243" s="980"/>
      <c r="M243" s="107"/>
      <c r="N243" s="107"/>
      <c r="O243" s="107"/>
      <c r="P243" s="107"/>
      <c r="Q243" s="107"/>
      <c r="R243" s="107"/>
      <c r="S243" s="107"/>
      <c r="T243" s="465" cm="1" t="str">
        <f t="array" ref="T243:T243">T242</f>
        <v>true</v>
      </c>
      <c r="U243" s="107"/>
      <c r="V243" s="107"/>
      <c r="W243" s="107"/>
      <c r="X243" s="1596"/>
      <c r="Y243" s="1278"/>
      <c r="Z243" s="1546"/>
      <c r="AA243" s="1278"/>
      <c r="AB243" s="300" t="s">
        <v>2790</v>
      </c>
      <c r="AC243" s="765" t="s">
        <v>2791</v>
      </c>
      <c r="AD243" s="300" t="s">
        <v>1514</v>
      </c>
      <c r="AE243" s="1114">
        <f>_xlfn.SUMIFS(Налоги!AE$25:AE$101,Налоги!$F$25:$F$101,$F243,Налоги!$AB$25:$AB$101,$G243)</f>
        <v>0</v>
      </c>
      <c r="AF243" s="1114">
        <f>_xlfn.SUMIFS(Налоги!AF$25:AF$101,Налоги!$F$25:$F$101,$F243,Налоги!$AB$25:$AB$101,$G243)</f>
        <v>0</v>
      </c>
      <c r="AG243" s="1114">
        <f>_xlfn.SUMIFS(Налоги!AG$25:AG$101,Налоги!$F$25:$F$101,$F243,Налоги!$AB$25:$AB$101,$G243)</f>
        <v>0</v>
      </c>
      <c r="AH243" s="1114">
        <f>AG243-AF243</f>
        <v>0</v>
      </c>
      <c r="AI243" s="1114">
        <f>_xlfn.SUMIFS(Налоги!AH$25:AH$101,Налоги!$F$25:$F$101,$F243,Налоги!$AB$25:$AB$101,$G243)</f>
        <v>0</v>
      </c>
      <c r="AJ243" s="1114">
        <f>_xlfn.SUMIFS(Налоги!AI$25:AI$101,Налоги!$F$25:$F$101,$F243,Налоги!$AB$25:$AB$101,$G243)</f>
        <v>16.67520804</v>
      </c>
      <c r="AK243" s="1114">
        <f>_xlfn.SUMIFS(Налоги!AJ$25:AJ$101,Налоги!$F$25:$F$101,$F243,Налоги!$AB$25:$AB$101,$G243)</f>
        <v>17.3422163616</v>
      </c>
      <c r="AL243" s="1114">
        <f>_xlfn.SUMIFS(Налоги!AK$25:AK$101,Налоги!$F$25:$F$101,$F243,Налоги!$AB$25:$AB$101,$G243)</f>
        <v>18.035905016064</v>
      </c>
      <c r="AM243" s="1114">
        <f>_xlfn.SUMIFS(Налоги!AL$25:AL$101,Налоги!$F$25:$F$101,$F243,Налоги!$AB$25:$AB$101,$G243)</f>
        <v>18.7573412167066</v>
      </c>
      <c r="AN243" s="1114">
        <f>_xlfn.SUMIFS(Налоги!AM$25:AM$101,Налоги!$F$25:$F$101,$F243,Налоги!$AB$25:$AB$101,$G243)</f>
        <v>19.5076348653749</v>
      </c>
      <c r="AO243" s="1114">
        <f>_xlfn.SUMIFS(Налоги!AN$25:AN$101,Налоги!$F$25:$F$101,$F243,Налоги!$AB$25:$AB$101,$G243)</f>
        <v>0</v>
      </c>
      <c r="AP243" s="1114">
        <f>_xlfn.SUMIFS(Налоги!AO$25:AO$101,Налоги!$F$25:$F$101,$F243,Налоги!$AB$25:$AB$101,$G243)</f>
        <v>0</v>
      </c>
      <c r="AQ243" s="1114">
        <f>_xlfn.SUMIFS(Налоги!AP$25:AP$101,Налоги!$F$25:$F$101,$F243,Налоги!$AB$25:$AB$101,$G243)</f>
        <v>0</v>
      </c>
      <c r="AR243" s="1114">
        <f>_xlfn.SUMIFS(Налоги!AQ$25:AQ$101,Налоги!$F$25:$F$101,$F243,Налоги!$AB$25:$AB$101,$G243)</f>
        <v>0</v>
      </c>
      <c r="AS243" s="1114">
        <f>_xlfn.SUMIFS(Налоги!AR$25:AR$101,Налоги!$F$25:$F$101,$F243,Налоги!$AB$25:$AB$101,$G243)</f>
        <v>0</v>
      </c>
      <c r="AT243" s="1114">
        <f>_xlfn.SUMIFS(Налоги!AS$25:AS$101,Налоги!$F$25:$F$101,$F243,Налоги!$AB$25:$AB$101,$G243)</f>
        <v>16.67520804</v>
      </c>
      <c r="AU243" s="1114">
        <f>_xlfn.SUMIFS(Налоги!AT$25:AT$101,Налоги!$F$25:$F$101,$F243,Налоги!$AB$25:$AB$101,$G243)</f>
        <v>17.3422163616</v>
      </c>
      <c r="AV243" s="1114">
        <f>_xlfn.SUMIFS(Налоги!AU$25:AU$101,Налоги!$F$25:$F$101,$F243,Налоги!$AB$25:$AB$101,$G243)</f>
        <v>18.035905016064</v>
      </c>
      <c r="AW243" s="1114">
        <f>_xlfn.SUMIFS(Налоги!AV$25:AV$101,Налоги!$F$25:$F$101,$F243,Налоги!$AB$25:$AB$101,$G243)</f>
        <v>18.7573412167066</v>
      </c>
      <c r="AX243" s="1114">
        <f>_xlfn.SUMIFS(Налоги!AW$25:AW$101,Налоги!$F$25:$F$101,$F243,Налоги!$AB$25:$AB$101,$G243)</f>
        <v>19.5076348653749</v>
      </c>
      <c r="AY243" s="1114">
        <f>_xlfn.SUMIFS(Налоги!AX$25:AX$101,Налоги!$F$25:$F$101,$F243,Налоги!$AB$25:$AB$101,$G243)</f>
        <v>0</v>
      </c>
      <c r="AZ243" s="1114">
        <f>_xlfn.SUMIFS(Налоги!AY$25:AY$101,Налоги!$F$25:$F$101,$F243,Налоги!$AB$25:$AB$101,$G243)</f>
        <v>0</v>
      </c>
      <c r="BA243" s="1114">
        <f>_xlfn.SUMIFS(Налоги!AZ$25:AZ$101,Налоги!$F$25:$F$101,$F243,Налоги!$AB$25:$AB$101,$G243)</f>
        <v>0</v>
      </c>
      <c r="BB243" s="1114">
        <f>_xlfn.SUMIFS(Налоги!BA$25:BA$101,Налоги!$F$25:$F$101,$F243,Налоги!$AB$25:$AB$101,$G243)</f>
        <v>0</v>
      </c>
      <c r="BC243" s="1114">
        <f>_xlfn.SUMIFS(Налоги!BB$25:BB$101,Налоги!$F$25:$F$101,$F243,Налоги!$AB$25:$AB$101,$G243)</f>
        <v>0</v>
      </c>
      <c r="BD243" s="1114">
        <f>IF(AI243=0,0,(AT243-AI243)/AI243*100)</f>
        <v>0</v>
      </c>
      <c r="BE243" s="1114">
        <f>IF(AT243=0,0,(AU243-AT243)/AT243*100)</f>
        <v>4</v>
      </c>
      <c r="BF243" s="1114">
        <f>IF(AU243=0,0,(AV243-AU243)/AU243*100)</f>
        <v>4</v>
      </c>
      <c r="BG243" s="1114">
        <f>IF(AV243=0,0,(AW243-AV243)/AV243*100)</f>
        <v>4.0000000000002</v>
      </c>
      <c r="BH243" s="1114">
        <f>IF(AW243=0,0,(AX243-AW243)/AW243*100)</f>
        <v>4.0000000000002</v>
      </c>
      <c r="BI243" s="1114">
        <f>IF(AX243=0,0,(AY243-AX243)/AX243*100)</f>
        <v>-100</v>
      </c>
      <c r="BJ243" s="1114">
        <f>IF(AY243=0,0,(AZ243-AY243)/AY243*100)</f>
        <v>0</v>
      </c>
      <c r="BK243" s="1114">
        <f>IF(AZ243=0,0,(BA243-AZ243)/AZ243*100)</f>
        <v>0</v>
      </c>
      <c r="BL243" s="1114">
        <f>IF(BA243=0,0,(BB243-BA243)/BA243*100)</f>
        <v>0</v>
      </c>
      <c r="BM243" s="1114">
        <f>IF(BB243=0,0,(BC243-BB243)/BB243*100)</f>
        <v>0</v>
      </c>
      <c r="BN243" s="7433"/>
      <c r="BO243" s="7437" t="s">
        <v>2024</v>
      </c>
      <c r="BP243" s="7433"/>
      <c r="BQ243" s="1278"/>
      <c r="BR243" s="1278"/>
      <c r="BS243" s="1064" t="s">
        <v>2792</v>
      </c>
      <c r="BT243" s="1064"/>
      <c r="BU243" s="1064"/>
      <c r="BV243" s="979"/>
      <c r="BW243" s="979"/>
    </row>
    <row s="1834" customFormat="1" customHeight="1" ht="0">
      <c r="A244" s="1278"/>
      <c r="B244" s="978"/>
      <c r="C244" s="107"/>
      <c r="D244" s="107"/>
      <c r="E244" s="621">
        <v>15</v>
      </c>
      <c r="F244" s="50" cm="1" t="str">
        <f t="array" ref="F244:F244">OFFSET(E244,-1,1)</f>
        <v>1</v>
      </c>
      <c r="G244" s="922">
        <v>8</v>
      </c>
      <c r="H244" s="107"/>
      <c r="I244" s="107" t="s">
        <v>2793</v>
      </c>
      <c r="J244" s="107"/>
      <c r="K244" s="107" t="s">
        <v>2793</v>
      </c>
      <c r="L244" s="980"/>
      <c r="M244" s="107"/>
      <c r="N244" s="107"/>
      <c r="O244" s="107"/>
      <c r="P244" s="107"/>
      <c r="Q244" s="107"/>
      <c r="R244" s="107"/>
      <c r="S244" s="107"/>
      <c r="T244" s="465" cm="1" t="str">
        <f t="array" ref="T244:T244">T243</f>
        <v>true</v>
      </c>
      <c r="U244" s="107"/>
      <c r="V244" s="107"/>
      <c r="W244" s="107"/>
      <c r="X244" s="1596"/>
      <c r="Y244" s="1278"/>
      <c r="Z244" s="1546"/>
      <c r="AA244" s="1278"/>
      <c r="AB244" s="300" t="s">
        <v>2794</v>
      </c>
      <c r="AC244" s="765" t="s">
        <v>2795</v>
      </c>
      <c r="AD244" s="300" t="s">
        <v>1514</v>
      </c>
      <c r="AE244" s="1114">
        <f>_xlfn.SUMIFS(Налоги!AE$25:AE$101,Налоги!$F$25:$F$101,$F244,Налоги!$AB$25:$AB$101,$G244)</f>
        <v>0</v>
      </c>
      <c r="AF244" s="1114">
        <f>_xlfn.SUMIFS(Налоги!AF$25:AF$101,Налоги!$F$25:$F$101,$F244,Налоги!$AB$25:$AB$101,$G244)</f>
        <v>0</v>
      </c>
      <c r="AG244" s="1114">
        <f>_xlfn.SUMIFS(Налоги!AG$25:AG$101,Налоги!$F$25:$F$101,$F244,Налоги!$AB$25:$AB$101,$G244)</f>
        <v>0</v>
      </c>
      <c r="AH244" s="1114">
        <f>AG244-AF244</f>
        <v>0</v>
      </c>
      <c r="AI244" s="1114">
        <f>_xlfn.SUMIFS(Налоги!AH$25:AH$101,Налоги!$F$25:$F$101,$F244,Налоги!$AB$25:$AB$101,$G244)</f>
        <v>0</v>
      </c>
      <c r="AJ244" s="1114">
        <f>_xlfn.SUMIFS(Налоги!AI$25:AI$101,Налоги!$F$25:$F$101,$F244,Налоги!$AB$25:$AB$101,$G244)</f>
        <v>0</v>
      </c>
      <c r="AK244" s="1114">
        <f>_xlfn.SUMIFS(Налоги!AJ$25:AJ$101,Налоги!$F$25:$F$101,$F244,Налоги!$AB$25:$AB$101,$G244)</f>
        <v>0</v>
      </c>
      <c r="AL244" s="1114">
        <f>_xlfn.SUMIFS(Налоги!AK$25:AK$101,Налоги!$F$25:$F$101,$F244,Налоги!$AB$25:$AB$101,$G244)</f>
        <v>0</v>
      </c>
      <c r="AM244" s="1114">
        <f>_xlfn.SUMIFS(Налоги!AL$25:AL$101,Налоги!$F$25:$F$101,$F244,Налоги!$AB$25:$AB$101,$G244)</f>
        <v>0</v>
      </c>
      <c r="AN244" s="1114">
        <f>_xlfn.SUMIFS(Налоги!AM$25:AM$101,Налоги!$F$25:$F$101,$F244,Налоги!$AB$25:$AB$101,$G244)</f>
        <v>0</v>
      </c>
      <c r="AO244" s="1114">
        <f>_xlfn.SUMIFS(Налоги!AN$25:AN$101,Налоги!$F$25:$F$101,$F244,Налоги!$AB$25:$AB$101,$G244)</f>
        <v>0</v>
      </c>
      <c r="AP244" s="1114">
        <f>_xlfn.SUMIFS(Налоги!AO$25:AO$101,Налоги!$F$25:$F$101,$F244,Налоги!$AB$25:$AB$101,$G244)</f>
        <v>0</v>
      </c>
      <c r="AQ244" s="1114">
        <f>_xlfn.SUMIFS(Налоги!AP$25:AP$101,Налоги!$F$25:$F$101,$F244,Налоги!$AB$25:$AB$101,$G244)</f>
        <v>0</v>
      </c>
      <c r="AR244" s="1114">
        <f>_xlfn.SUMIFS(Налоги!AQ$25:AQ$101,Налоги!$F$25:$F$101,$F244,Налоги!$AB$25:$AB$101,$G244)</f>
        <v>0</v>
      </c>
      <c r="AS244" s="1114">
        <f>_xlfn.SUMIFS(Налоги!AR$25:AR$101,Налоги!$F$25:$F$101,$F244,Налоги!$AB$25:$AB$101,$G244)</f>
        <v>0</v>
      </c>
      <c r="AT244" s="1114">
        <f>_xlfn.SUMIFS(Налоги!AS$25:AS$101,Налоги!$F$25:$F$101,$F244,Налоги!$AB$25:$AB$101,$G244)</f>
        <v>0</v>
      </c>
      <c r="AU244" s="1114">
        <f>_xlfn.SUMIFS(Налоги!AT$25:AT$101,Налоги!$F$25:$F$101,$F244,Налоги!$AB$25:$AB$101,$G244)</f>
        <v>0</v>
      </c>
      <c r="AV244" s="1114">
        <f>_xlfn.SUMIFS(Налоги!AU$25:AU$101,Налоги!$F$25:$F$101,$F244,Налоги!$AB$25:$AB$101,$G244)</f>
        <v>0</v>
      </c>
      <c r="AW244" s="1114">
        <f>_xlfn.SUMIFS(Налоги!AV$25:AV$101,Налоги!$F$25:$F$101,$F244,Налоги!$AB$25:$AB$101,$G244)</f>
        <v>0</v>
      </c>
      <c r="AX244" s="1114">
        <f>_xlfn.SUMIFS(Налоги!AW$25:AW$101,Налоги!$F$25:$F$101,$F244,Налоги!$AB$25:$AB$101,$G244)</f>
        <v>0</v>
      </c>
      <c r="AY244" s="1114">
        <f>_xlfn.SUMIFS(Налоги!AX$25:AX$101,Налоги!$F$25:$F$101,$F244,Налоги!$AB$25:$AB$101,$G244)</f>
        <v>0</v>
      </c>
      <c r="AZ244" s="1114">
        <f>_xlfn.SUMIFS(Налоги!AY$25:AY$101,Налоги!$F$25:$F$101,$F244,Налоги!$AB$25:$AB$101,$G244)</f>
        <v>0</v>
      </c>
      <c r="BA244" s="1114">
        <f>_xlfn.SUMIFS(Налоги!AZ$25:AZ$101,Налоги!$F$25:$F$101,$F244,Налоги!$AB$25:$AB$101,$G244)</f>
        <v>0</v>
      </c>
      <c r="BB244" s="1114">
        <f>_xlfn.SUMIFS(Налоги!BA$25:BA$101,Налоги!$F$25:$F$101,$F244,Налоги!$AB$25:$AB$101,$G244)</f>
        <v>0</v>
      </c>
      <c r="BC244" s="1114">
        <f>_xlfn.SUMIFS(Налоги!BB$25:BB$101,Налоги!$F$25:$F$101,$F244,Налоги!$AB$25:$AB$101,$G244)</f>
        <v>0</v>
      </c>
      <c r="BD244" s="1114">
        <f>IF(AI244=0,0,(AT244-AI244)/AI244*100)</f>
        <v>0</v>
      </c>
      <c r="BE244" s="1114">
        <f>IF(AT244=0,0,(AU244-AT244)/AT244*100)</f>
        <v>0</v>
      </c>
      <c r="BF244" s="1114">
        <f>IF(AU244=0,0,(AV244-AU244)/AU244*100)</f>
        <v>0</v>
      </c>
      <c r="BG244" s="1114">
        <f>IF(AV244=0,0,(AW244-AV244)/AV244*100)</f>
        <v>0</v>
      </c>
      <c r="BH244" s="1114">
        <f>IF(AW244=0,0,(AX244-AW244)/AW244*100)</f>
        <v>0</v>
      </c>
      <c r="BI244" s="1114">
        <f>IF(AX244=0,0,(AY244-AX244)/AX244*100)</f>
        <v>0</v>
      </c>
      <c r="BJ244" s="1114">
        <f>IF(AY244=0,0,(AZ244-AY244)/AY244*100)</f>
        <v>0</v>
      </c>
      <c r="BK244" s="1114">
        <f>IF(AZ244=0,0,(BA244-AZ244)/AZ244*100)</f>
        <v>0</v>
      </c>
      <c r="BL244" s="1114">
        <f>IF(BA244=0,0,(BB244-BA244)/BA244*100)</f>
        <v>0</v>
      </c>
      <c r="BM244" s="1114">
        <f>IF(BB244=0,0,(BC244-BB244)/BB244*100)</f>
        <v>0</v>
      </c>
      <c r="BN244" s="7433"/>
      <c r="BO244" s="7437" t="str">
        <f>IF(_xlfn.IFERROR(INDEX(Налоги!$K$26:$L$101,MATCH($F244&amp;"8komm",Налоги!$K$26:$K$101,0),2),"")=0,"",_xlfn.IFERROR(INDEX(Налоги!$K$26:$L$101,MATCH($F244&amp;"8komm",Налоги!$K$26:$K$101,0),2),""))</f>
        <v/>
      </c>
      <c r="BP244" s="7433"/>
      <c r="BQ244" s="1278"/>
      <c r="BR244" s="1278"/>
      <c r="BS244" s="1064" t="s">
        <v>2017</v>
      </c>
      <c r="BT244" s="1064"/>
      <c r="BU244" s="1064"/>
      <c r="BV244" s="979"/>
      <c r="BW244" s="979"/>
    </row>
    <row s="1233" customFormat="1" customHeight="1" ht="0">
      <c r="A245" s="1233"/>
      <c r="B245" s="753"/>
      <c r="C245" s="107"/>
      <c r="D245" s="107"/>
      <c r="E245" s="621">
        <v>15</v>
      </c>
      <c r="F245" s="50" cm="1" t="str">
        <f t="array" ref="F245:F245">OFFSET(E245,-1,1)</f>
        <v>1</v>
      </c>
      <c r="G245" s="922">
        <v>9</v>
      </c>
      <c r="H245" s="107"/>
      <c r="I245" s="107"/>
      <c r="J245" s="107"/>
      <c r="K245" s="107"/>
      <c r="L245" s="980"/>
      <c r="M245" s="107"/>
      <c r="N245" s="107"/>
      <c r="O245" s="107"/>
      <c r="P245" s="107"/>
      <c r="Q245" s="107"/>
      <c r="R245" s="107"/>
      <c r="S245" s="107"/>
      <c r="T245" s="465" cm="1" t="str">
        <f t="array" ref="T245:T245">T244</f>
        <v>true</v>
      </c>
      <c r="U245" s="107"/>
      <c r="V245" s="107"/>
      <c r="W245" s="107"/>
      <c r="X245" s="1596"/>
      <c r="Y245" s="1233"/>
      <c r="Z245" s="1546"/>
      <c r="AA245" s="1233"/>
      <c r="AB245" s="300" t="s">
        <v>2796</v>
      </c>
      <c r="AC245" s="780" t="s">
        <v>2797</v>
      </c>
      <c r="AD245" s="300" t="s">
        <v>1514</v>
      </c>
      <c r="AE245" s="1114">
        <f>_xlfn.SUMIFS(Налоги!AE$25:AE$101,Налоги!$F$25:$F$101,$F245,Налоги!$AB$25:$AB$101,$G245)</f>
        <v>0</v>
      </c>
      <c r="AF245" s="1114">
        <f>_xlfn.SUMIFS(Налоги!AF$25:AF$101,Налоги!$F$25:$F$101,$F245,Налоги!$AB$25:$AB$101,$G245)</f>
        <v>0</v>
      </c>
      <c r="AG245" s="1114">
        <f>_xlfn.SUMIFS(Налоги!AG$25:AG$101,Налоги!$F$25:$F$101,$F245,Налоги!$AB$25:$AB$101,$G245)</f>
        <v>0</v>
      </c>
      <c r="AH245" s="1114">
        <f>AG245-AF245</f>
        <v>0</v>
      </c>
      <c r="AI245" s="1114">
        <f>_xlfn.SUMIFS(Налоги!AH$25:AH$101,Налоги!$F$25:$F$101,$F245,Налоги!$AB$25:$AB$101,$G245)</f>
        <v>0</v>
      </c>
      <c r="AJ245" s="1114">
        <f>_xlfn.SUMIFS(Налоги!AI$25:AI$101,Налоги!$F$25:$F$101,$F245,Налоги!$AB$25:$AB$101,$G245)</f>
        <v>0</v>
      </c>
      <c r="AK245" s="1114">
        <f>_xlfn.SUMIFS(Налоги!AJ$25:AJ$101,Налоги!$F$25:$F$101,$F245,Налоги!$AB$25:$AB$101,$G245)</f>
        <v>0</v>
      </c>
      <c r="AL245" s="1114">
        <f>_xlfn.SUMIFS(Налоги!AK$25:AK$101,Налоги!$F$25:$F$101,$F245,Налоги!$AB$25:$AB$101,$G245)</f>
        <v>0</v>
      </c>
      <c r="AM245" s="1114">
        <f>_xlfn.SUMIFS(Налоги!AL$25:AL$101,Налоги!$F$25:$F$101,$F245,Налоги!$AB$25:$AB$101,$G245)</f>
        <v>0</v>
      </c>
      <c r="AN245" s="1114">
        <f>_xlfn.SUMIFS(Налоги!AM$25:AM$101,Налоги!$F$25:$F$101,$F245,Налоги!$AB$25:$AB$101,$G245)</f>
        <v>0</v>
      </c>
      <c r="AO245" s="1114">
        <f>_xlfn.SUMIFS(Налоги!AN$25:AN$101,Налоги!$F$25:$F$101,$F245,Налоги!$AB$25:$AB$101,$G245)</f>
        <v>0</v>
      </c>
      <c r="AP245" s="1114">
        <f>_xlfn.SUMIFS(Налоги!AO$25:AO$101,Налоги!$F$25:$F$101,$F245,Налоги!$AB$25:$AB$101,$G245)</f>
        <v>0</v>
      </c>
      <c r="AQ245" s="1114">
        <f>_xlfn.SUMIFS(Налоги!AP$25:AP$101,Налоги!$F$25:$F$101,$F245,Налоги!$AB$25:$AB$101,$G245)</f>
        <v>0</v>
      </c>
      <c r="AR245" s="1114">
        <f>_xlfn.SUMIFS(Налоги!AQ$25:AQ$101,Налоги!$F$25:$F$101,$F245,Налоги!$AB$25:$AB$101,$G245)</f>
        <v>0</v>
      </c>
      <c r="AS245" s="1114">
        <f>_xlfn.SUMIFS(Налоги!AR$25:AR$101,Налоги!$F$25:$F$101,$F245,Налоги!$AB$25:$AB$101,$G245)</f>
        <v>0</v>
      </c>
      <c r="AT245" s="1114">
        <f>_xlfn.SUMIFS(Налоги!AS$25:AS$101,Налоги!$F$25:$F$101,$F245,Налоги!$AB$25:$AB$101,$G245)</f>
        <v>0</v>
      </c>
      <c r="AU245" s="1114">
        <f>_xlfn.SUMIFS(Налоги!AT$25:AT$101,Налоги!$F$25:$F$101,$F245,Налоги!$AB$25:$AB$101,$G245)</f>
        <v>0</v>
      </c>
      <c r="AV245" s="1114">
        <f>_xlfn.SUMIFS(Налоги!AU$25:AU$101,Налоги!$F$25:$F$101,$F245,Налоги!$AB$25:$AB$101,$G245)</f>
        <v>0</v>
      </c>
      <c r="AW245" s="1114">
        <f>_xlfn.SUMIFS(Налоги!AV$25:AV$101,Налоги!$F$25:$F$101,$F245,Налоги!$AB$25:$AB$101,$G245)</f>
        <v>0</v>
      </c>
      <c r="AX245" s="1114">
        <f>_xlfn.SUMIFS(Налоги!AW$25:AW$101,Налоги!$F$25:$F$101,$F245,Налоги!$AB$25:$AB$101,$G245)</f>
        <v>0</v>
      </c>
      <c r="AY245" s="1114">
        <f>_xlfn.SUMIFS(Налоги!AX$25:AX$101,Налоги!$F$25:$F$101,$F245,Налоги!$AB$25:$AB$101,$G245)</f>
        <v>0</v>
      </c>
      <c r="AZ245" s="1114">
        <f>_xlfn.SUMIFS(Налоги!AY$25:AY$101,Налоги!$F$25:$F$101,$F245,Налоги!$AB$25:$AB$101,$G245)</f>
        <v>0</v>
      </c>
      <c r="BA245" s="1114">
        <f>_xlfn.SUMIFS(Налоги!AZ$25:AZ$101,Налоги!$F$25:$F$101,$F245,Налоги!$AB$25:$AB$101,$G245)</f>
        <v>0</v>
      </c>
      <c r="BB245" s="1114">
        <f>_xlfn.SUMIFS(Налоги!BA$25:BA$101,Налоги!$F$25:$F$101,$F245,Налоги!$AB$25:$AB$101,$G245)</f>
        <v>0</v>
      </c>
      <c r="BC245" s="1114">
        <f>_xlfn.SUMIFS(Налоги!BB$25:BB$101,Налоги!$F$25:$F$101,$F245,Налоги!$AB$25:$AB$101,$G245)</f>
        <v>0</v>
      </c>
      <c r="BD245" s="1114">
        <f>IF(AI245=0,0,(AT245-AI245)/AI245*100)</f>
        <v>0</v>
      </c>
      <c r="BE245" s="1114">
        <f>IF(AT245=0,0,(AU245-AT245)/AT245*100)</f>
        <v>0</v>
      </c>
      <c r="BF245" s="1114">
        <f>IF(AU245=0,0,(AV245-AU245)/AU245*100)</f>
        <v>0</v>
      </c>
      <c r="BG245" s="1114">
        <f>IF(AV245=0,0,(AW245-AV245)/AV245*100)</f>
        <v>0</v>
      </c>
      <c r="BH245" s="1114">
        <f>IF(AW245=0,0,(AX245-AW245)/AW245*100)</f>
        <v>0</v>
      </c>
      <c r="BI245" s="1114">
        <f>IF(AX245=0,0,(AY245-AX245)/AX245*100)</f>
        <v>0</v>
      </c>
      <c r="BJ245" s="1114">
        <f>IF(AY245=0,0,(AZ245-AY245)/AY245*100)</f>
        <v>0</v>
      </c>
      <c r="BK245" s="1114">
        <f>IF(AZ245=0,0,(BA245-AZ245)/AZ245*100)</f>
        <v>0</v>
      </c>
      <c r="BL245" s="1114">
        <f>IF(BA245=0,0,(BB245-BA245)/BA245*100)</f>
        <v>0</v>
      </c>
      <c r="BM245" s="1114">
        <f>IF(BB245=0,0,(BC245-BB245)/BB245*100)</f>
        <v>0</v>
      </c>
      <c r="BN245" s="7433"/>
      <c r="BO245" s="7437" t="str">
        <f>IF(_xlfn.IFERROR(INDEX(Налоги!$K$26:$L$101,MATCH($F245&amp;"9komm",Налоги!$K$26:$K$101,0),2),"")=0,"",_xlfn.IFERROR(INDEX(Налоги!$K$26:$L$101,MATCH($F245&amp;"9komm",Налоги!$K$26:$K$101,0),2),""))</f>
        <v/>
      </c>
      <c r="BP245" s="7433"/>
      <c r="BQ245" s="1233"/>
      <c r="BR245" s="1233"/>
      <c r="BS245" s="1071" t="s">
        <v>2798</v>
      </c>
      <c r="BT245" s="1071"/>
      <c r="BU245" s="1071"/>
      <c r="BV245" s="1072"/>
      <c r="BW245" s="1072"/>
    </row>
    <row s="1834" customFormat="1" customHeight="1" ht="65.25">
      <c r="A246" s="1278"/>
      <c r="B246" s="978"/>
      <c r="C246" s="107"/>
      <c r="D246" s="107"/>
      <c r="E246" s="621">
        <v>15</v>
      </c>
      <c r="F246" s="50" cm="1" t="str">
        <f t="array" ref="F246:F246">OFFSET(E246,-1,1)</f>
        <v>1</v>
      </c>
      <c r="G246" s="922">
        <v>10</v>
      </c>
      <c r="H246" s="107"/>
      <c r="I246" s="107" t="s">
        <v>2799</v>
      </c>
      <c r="J246" s="107"/>
      <c r="K246" s="107" t="s">
        <v>2799</v>
      </c>
      <c r="L246" s="980"/>
      <c r="M246" s="107"/>
      <c r="N246" s="107"/>
      <c r="O246" s="107"/>
      <c r="P246" s="107"/>
      <c r="Q246" s="107"/>
      <c r="R246" s="107"/>
      <c r="S246" s="107"/>
      <c r="T246" s="465" cm="1" t="str">
        <f t="array" ref="T246:T246">T245</f>
        <v>true</v>
      </c>
      <c r="U246" s="107"/>
      <c r="V246" s="107"/>
      <c r="W246" s="107"/>
      <c r="X246" s="1596"/>
      <c r="Y246" s="1278"/>
      <c r="Z246" s="1546"/>
      <c r="AA246" s="1278"/>
      <c r="AB246" s="300" t="s">
        <v>2800</v>
      </c>
      <c r="AC246" s="781" t="s">
        <v>2801</v>
      </c>
      <c r="AD246" s="300" t="s">
        <v>1514</v>
      </c>
      <c r="AE246" s="1114">
        <f>_xlfn.SUMIFS(Налоги!AE$25:AE$101,Налоги!$F$25:$F$101,$F246,Налоги!$AB$25:$AB$101,$G246)</f>
        <v>0</v>
      </c>
      <c r="AF246" s="1114">
        <f>_xlfn.SUMIFS(Налоги!AF$25:AF$101,Налоги!$F$25:$F$101,$F246,Налоги!$AB$25:$AB$101,$G246)</f>
        <v>0</v>
      </c>
      <c r="AG246" s="1114">
        <f>_xlfn.SUMIFS(Налоги!AG$25:AG$101,Налоги!$F$25:$F$101,$F246,Налоги!$AB$25:$AB$101,$G246)</f>
        <v>0</v>
      </c>
      <c r="AH246" s="1114">
        <f>AG246-AF246</f>
        <v>0</v>
      </c>
      <c r="AI246" s="1114">
        <f>_xlfn.SUMIFS(Налоги!AH$25:AH$101,Налоги!$F$25:$F$101,$F246,Налоги!$AB$25:$AB$101,$G246)</f>
        <v>0</v>
      </c>
      <c r="AJ246" s="1114">
        <f>_xlfn.SUMIFS(Налоги!AI$25:AI$101,Налоги!$F$25:$F$101,$F246,Налоги!$AB$25:$AB$101,$G246)</f>
        <v>0</v>
      </c>
      <c r="AK246" s="1114">
        <f>_xlfn.SUMIFS(Налоги!AJ$25:AJ$101,Налоги!$F$25:$F$101,$F246,Налоги!$AB$25:$AB$101,$G246)</f>
        <v>0</v>
      </c>
      <c r="AL246" s="1114">
        <f>_xlfn.SUMIFS(Налоги!AK$25:AK$101,Налоги!$F$25:$F$101,$F246,Налоги!$AB$25:$AB$101,$G246)</f>
        <v>18.33</v>
      </c>
      <c r="AM246" s="1114">
        <f>_xlfn.SUMIFS(Налоги!AL$25:AL$101,Налоги!$F$25:$F$101,$F246,Налоги!$AB$25:$AB$101,$G246)</f>
        <v>114.15</v>
      </c>
      <c r="AN246" s="1114">
        <f>_xlfn.SUMIFS(Налоги!AM$25:AM$101,Налоги!$F$25:$F$101,$F246,Налоги!$AB$25:$AB$101,$G246)</f>
        <v>77.48</v>
      </c>
      <c r="AO246" s="1114">
        <f>_xlfn.SUMIFS(Налоги!AN$25:AN$101,Налоги!$F$25:$F$101,$F246,Налоги!$AB$25:$AB$101,$G246)</f>
        <v>0</v>
      </c>
      <c r="AP246" s="1114">
        <f>_xlfn.SUMIFS(Налоги!AO$25:AO$101,Налоги!$F$25:$F$101,$F246,Налоги!$AB$25:$AB$101,$G246)</f>
        <v>0</v>
      </c>
      <c r="AQ246" s="1114">
        <f>_xlfn.SUMIFS(Налоги!AP$25:AP$101,Налоги!$F$25:$F$101,$F246,Налоги!$AB$25:$AB$101,$G246)</f>
        <v>0</v>
      </c>
      <c r="AR246" s="1114">
        <f>_xlfn.SUMIFS(Налоги!AQ$25:AQ$101,Налоги!$F$25:$F$101,$F246,Налоги!$AB$25:$AB$101,$G246)</f>
        <v>0</v>
      </c>
      <c r="AS246" s="1114">
        <f>_xlfn.SUMIFS(Налоги!AR$25:AR$101,Налоги!$F$25:$F$101,$F246,Налоги!$AB$25:$AB$101,$G246)</f>
        <v>0</v>
      </c>
      <c r="AT246" s="1114">
        <f>_xlfn.SUMIFS(Налоги!AS$25:AS$101,Налоги!$F$25:$F$101,$F246,Налоги!$AB$25:$AB$101,$G246)</f>
        <v>0</v>
      </c>
      <c r="AU246" s="1114">
        <f>_xlfn.SUMIFS(Налоги!AT$25:AT$101,Налоги!$F$25:$F$101,$F246,Налоги!$AB$25:$AB$101,$G246)</f>
        <v>0</v>
      </c>
      <c r="AV246" s="1114">
        <f>_xlfn.SUMIFS(Налоги!AU$25:AU$101,Налоги!$F$25:$F$101,$F246,Налоги!$AB$25:$AB$101,$G246)</f>
        <v>18.33</v>
      </c>
      <c r="AW246" s="1114">
        <f>_xlfn.SUMIFS(Налоги!AV$25:AV$101,Налоги!$F$25:$F$101,$F246,Налоги!$AB$25:$AB$101,$G246)</f>
        <v>114.15</v>
      </c>
      <c r="AX246" s="1114">
        <f>_xlfn.SUMIFS(Налоги!AW$25:AW$101,Налоги!$F$25:$F$101,$F246,Налоги!$AB$25:$AB$101,$G246)</f>
        <v>77.48</v>
      </c>
      <c r="AY246" s="1114">
        <f>_xlfn.SUMIFS(Налоги!AX$25:AX$101,Налоги!$F$25:$F$101,$F246,Налоги!$AB$25:$AB$101,$G246)</f>
        <v>0</v>
      </c>
      <c r="AZ246" s="1114">
        <f>_xlfn.SUMIFS(Налоги!AY$25:AY$101,Налоги!$F$25:$F$101,$F246,Налоги!$AB$25:$AB$101,$G246)</f>
        <v>0</v>
      </c>
      <c r="BA246" s="1114">
        <f>_xlfn.SUMIFS(Налоги!AZ$25:AZ$101,Налоги!$F$25:$F$101,$F246,Налоги!$AB$25:$AB$101,$G246)</f>
        <v>0</v>
      </c>
      <c r="BB246" s="1114">
        <f>_xlfn.SUMIFS(Налоги!BA$25:BA$101,Налоги!$F$25:$F$101,$F246,Налоги!$AB$25:$AB$101,$G246)</f>
        <v>0</v>
      </c>
      <c r="BC246" s="1114">
        <f>_xlfn.SUMIFS(Налоги!BB$25:BB$101,Налоги!$F$25:$F$101,$F246,Налоги!$AB$25:$AB$101,$G246)</f>
        <v>0</v>
      </c>
      <c r="BD246" s="1114">
        <f>IF(AI246=0,0,(AT246-AI246)/AI246*100)</f>
        <v>0</v>
      </c>
      <c r="BE246" s="1114">
        <f>IF(AT246=0,0,(AU246-AT246)/AT246*100)</f>
        <v>0</v>
      </c>
      <c r="BF246" s="1114">
        <f>IF(AU246=0,0,(AV246-AU246)/AU246*100)</f>
        <v>0</v>
      </c>
      <c r="BG246" s="1114">
        <f>IF(AV246=0,0,(AW246-AV246)/AV246*100)</f>
        <v>522.749590834697</v>
      </c>
      <c r="BH246" s="1114">
        <f>IF(AW246=0,0,(AX246-AW246)/AW246*100)</f>
        <v>-32.1243977222952</v>
      </c>
      <c r="BI246" s="1114">
        <f>IF(AX246=0,0,(AY246-AX246)/AX246*100)</f>
        <v>-100</v>
      </c>
      <c r="BJ246" s="1114">
        <f>IF(AY246=0,0,(AZ246-AY246)/AY246*100)</f>
        <v>0</v>
      </c>
      <c r="BK246" s="1114">
        <f>IF(AZ246=0,0,(BA246-AZ246)/AZ246*100)</f>
        <v>0</v>
      </c>
      <c r="BL246" s="1114">
        <f>IF(BA246=0,0,(BB246-BA246)/BA246*100)</f>
        <v>0</v>
      </c>
      <c r="BM246" s="1114">
        <f>IF(BB246=0,0,(BC246-BB246)/BB246*100)</f>
        <v>0</v>
      </c>
      <c r="BN246" s="7433"/>
      <c r="BO246" s="7437" t="s">
        <v>2928</v>
      </c>
      <c r="BP246" s="7433"/>
      <c r="BQ246" s="1278"/>
      <c r="BR246" s="1278"/>
      <c r="BS246" s="1064" t="s">
        <v>2802</v>
      </c>
      <c r="BT246" s="1064"/>
      <c r="BU246" s="1064"/>
      <c r="BV246" s="979"/>
      <c r="BW246" s="979"/>
    </row>
    <row s="1834" customFormat="1" customHeight="1" ht="0">
      <c r="A247" s="1278"/>
      <c r="B247" s="978"/>
      <c r="C247" s="107"/>
      <c r="D247" s="107"/>
      <c r="E247" s="621">
        <v>67.5</v>
      </c>
      <c r="F247" s="50" cm="1" t="str">
        <f t="array" ref="F247:F247">OFFSET(E247,-1,1)</f>
        <v>1</v>
      </c>
      <c r="G247" s="107" t="s">
        <v>2178</v>
      </c>
      <c r="H247" s="107"/>
      <c r="I247" s="107" t="s">
        <v>1650</v>
      </c>
      <c r="J247" s="107"/>
      <c r="K247" s="158" t="s">
        <v>1650</v>
      </c>
      <c r="L247" s="980"/>
      <c r="M247" s="107"/>
      <c r="N247" s="107"/>
      <c r="O247" s="107"/>
      <c r="P247" s="107"/>
      <c r="Q247" s="107"/>
      <c r="R247" s="107"/>
      <c r="S247" s="107"/>
      <c r="T247" s="465" cm="1" t="str">
        <f t="array" ref="T247:T247">T246</f>
        <v>true</v>
      </c>
      <c r="U247" s="107"/>
      <c r="V247" s="107"/>
      <c r="W247" s="107"/>
      <c r="X247" s="1596"/>
      <c r="Y247" s="1278"/>
      <c r="Z247" s="1546"/>
      <c r="AA247" s="1278"/>
      <c r="AB247" s="300" t="s">
        <v>1651</v>
      </c>
      <c r="AC247" s="782" t="s">
        <v>2181</v>
      </c>
      <c r="AD247" s="300" t="s">
        <v>1514</v>
      </c>
      <c r="AE247" s="4750"/>
      <c r="AF247" s="4750"/>
      <c r="AG247" s="4750"/>
      <c r="AH247" s="1114">
        <f>AG247-AF247</f>
        <v>0</v>
      </c>
      <c r="AI247" s="4750"/>
      <c r="AJ247" s="4750"/>
      <c r="AK247" s="4750"/>
      <c r="AL247" s="4750"/>
      <c r="AM247" s="4750"/>
      <c r="AN247" s="4750"/>
      <c r="AO247" s="1244"/>
      <c r="AP247" s="1244"/>
      <c r="AQ247" s="1244"/>
      <c r="AR247" s="1244"/>
      <c r="AS247" s="1244"/>
      <c r="AT247" s="4750"/>
      <c r="AU247" s="4750"/>
      <c r="AV247" s="4750"/>
      <c r="AW247" s="4750"/>
      <c r="AX247" s="4750"/>
      <c r="AY247" s="1244"/>
      <c r="AZ247" s="1244"/>
      <c r="BA247" s="1244"/>
      <c r="BB247" s="1244"/>
      <c r="BC247" s="1244"/>
      <c r="BD247" s="1114">
        <f>IF(AI247=0,0,(AT247-AI247)/AI247*100)</f>
        <v>0</v>
      </c>
      <c r="BE247" s="1114">
        <f>IF(AT247=0,0,(AU247-AT247)/AT247*100)</f>
        <v>0</v>
      </c>
      <c r="BF247" s="1114">
        <f>IF(AU247=0,0,(AV247-AU247)/AU247*100)</f>
        <v>0</v>
      </c>
      <c r="BG247" s="1114">
        <f>IF(AV247=0,0,(AW247-AV247)/AV247*100)</f>
        <v>0</v>
      </c>
      <c r="BH247" s="1114">
        <f>IF(AW247=0,0,(AX247-AW247)/AW247*100)</f>
        <v>0</v>
      </c>
      <c r="BI247" s="1114">
        <f>IF(AX247=0,0,(AY247-AX247)/AX247*100)</f>
        <v>0</v>
      </c>
      <c r="BJ247" s="1114">
        <f>IF(AY247=0,0,(AZ247-AY247)/AY247*100)</f>
        <v>0</v>
      </c>
      <c r="BK247" s="1114">
        <f>IF(AZ247=0,0,(BA247-AZ247)/AZ247*100)</f>
        <v>0</v>
      </c>
      <c r="BL247" s="1114">
        <f>IF(BA247=0,0,(BB247-BA247)/BA247*100)</f>
        <v>0</v>
      </c>
      <c r="BM247" s="1114">
        <f>IF(BB247=0,0,(BC247-BB247)/BB247*100)</f>
        <v>0</v>
      </c>
      <c r="BN247" s="7433"/>
      <c r="BO247" s="7433"/>
      <c r="BP247" s="7433"/>
      <c r="BQ247" s="1278"/>
      <c r="BR247" s="1278"/>
      <c r="BS247" s="1064" t="s">
        <v>2803</v>
      </c>
      <c r="BT247" s="1064"/>
      <c r="BU247" s="1064"/>
      <c r="BV247" s="979"/>
      <c r="BW247" s="979"/>
    </row>
    <row s="1834" customFormat="1" customHeight="1" ht="44.25">
      <c r="A248" s="1278"/>
      <c r="B248" s="978"/>
      <c r="C248" s="107"/>
      <c r="D248" s="107"/>
      <c r="E248" s="621">
        <v>15</v>
      </c>
      <c r="F248" s="50" cm="1" t="str">
        <f t="array" ref="F248:F248">OFFSET(E248,-1,1)</f>
        <v>1</v>
      </c>
      <c r="G248" s="107" t="s">
        <v>1730</v>
      </c>
      <c r="H248" s="107"/>
      <c r="I248" s="107" t="s">
        <v>1653</v>
      </c>
      <c r="J248" s="107"/>
      <c r="K248" s="158" t="s">
        <v>1653</v>
      </c>
      <c r="L248" s="980" t="s">
        <v>1225</v>
      </c>
      <c r="M248" s="107"/>
      <c r="N248" s="107"/>
      <c r="O248" s="107"/>
      <c r="P248" s="107"/>
      <c r="Q248" s="107"/>
      <c r="R248" s="107"/>
      <c r="S248" s="107"/>
      <c r="T248" s="465" cm="1" t="str">
        <f t="array" ref="T248:T248">T247</f>
        <v>true</v>
      </c>
      <c r="U248" s="107"/>
      <c r="V248" s="107"/>
      <c r="W248" s="107"/>
      <c r="X248" s="1596"/>
      <c r="Y248" s="1278"/>
      <c r="Z248" s="1546"/>
      <c r="AA248" s="1278"/>
      <c r="AB248" s="300" t="s">
        <v>1654</v>
      </c>
      <c r="AC248" s="762" t="s">
        <v>1730</v>
      </c>
      <c r="AD248" s="300" t="s">
        <v>1514</v>
      </c>
      <c r="AE248" s="1114">
        <f>_xlfn.SUMIFS(Аренда!AE$25:AE$77,Аренда!$F$25:$F$77,$F248,Аренда!$G$25:$G$77,"Арендная и концессионная плата, лизинговые платежи")</f>
        <v>0</v>
      </c>
      <c r="AF248" s="1114">
        <f>_xlfn.SUMIFS(Аренда!AF$25:AF$77,Аренда!$F$25:$F$77,$F248,Аренда!$G$25:$G$77,"Арендная и концессионная плата, лизинговые платежи")</f>
        <v>0</v>
      </c>
      <c r="AG248" s="1114">
        <f>_xlfn.SUMIFS(Аренда!AG$25:AG$77,Аренда!$F$25:$F$77,$F248,Аренда!$G$25:$G$77,"Арендная и концессионная плата, лизинговые платежи")</f>
        <v>0</v>
      </c>
      <c r="AH248" s="1114">
        <f>AG248-AF248</f>
        <v>0</v>
      </c>
      <c r="AI248" s="1114">
        <f>_xlfn.SUMIFS(Аренда!AH$25:AH$77,Аренда!$F$25:$F$77,$F248,Аренда!$G$25:$G$77,"Арендная и концессионная плата, лизинговые платежи")</f>
        <v>0</v>
      </c>
      <c r="AJ248" s="1114">
        <f>_xlfn.SUMIFS(Аренда!AI$25:AI$77,Аренда!$F$25:$F$77,$F248,Аренда!$G$25:$G$77,"Арендная и концессионная плата, лизинговые платежи")</f>
        <v>73.45</v>
      </c>
      <c r="AK248" s="1114">
        <f>_xlfn.SUMIFS(Аренда!AJ$25:AJ$77,Аренда!$F$25:$F$77,$F248,Аренда!$G$25:$G$77,"Арендная и концессионная плата, лизинговые платежи")</f>
        <v>73.45</v>
      </c>
      <c r="AL248" s="1114">
        <f>_xlfn.SUMIFS(Аренда!AK$25:AK$77,Аренда!$F$25:$F$77,$F248,Аренда!$G$25:$G$77,"Арендная и концессионная плата, лизинговые платежи")</f>
        <v>73.45</v>
      </c>
      <c r="AM248" s="1114">
        <f>_xlfn.SUMIFS(Аренда!AL$25:AL$77,Аренда!$F$25:$F$77,$F248,Аренда!$G$25:$G$77,"Арендная и концессионная плата, лизинговые платежи")</f>
        <v>73.45</v>
      </c>
      <c r="AN248" s="1114">
        <f>_xlfn.SUMIFS(Аренда!AM$25:AM$77,Аренда!$F$25:$F$77,$F248,Аренда!$G$25:$G$77,"Арендная и концессионная плата, лизинговые платежи")</f>
        <v>73.45</v>
      </c>
      <c r="AO248" s="1114">
        <f>_xlfn.SUMIFS(Аренда!AN$25:AN$77,Аренда!$F$25:$F$77,$F248,Аренда!$G$25:$G$77,"Арендная и концессионная плата, лизинговые платежи")</f>
        <v>0</v>
      </c>
      <c r="AP248" s="1114">
        <f>_xlfn.SUMIFS(Аренда!AO$25:AO$77,Аренда!$F$25:$F$77,$F248,Аренда!$G$25:$G$77,"Арендная и концессионная плата, лизинговые платежи")</f>
        <v>0</v>
      </c>
      <c r="AQ248" s="1114">
        <f>_xlfn.SUMIFS(Аренда!AP$25:AP$77,Аренда!$F$25:$F$77,$F248,Аренда!$G$25:$G$77,"Арендная и концессионная плата, лизинговые платежи")</f>
        <v>0</v>
      </c>
      <c r="AR248" s="1114">
        <f>_xlfn.SUMIFS(Аренда!AQ$25:AQ$77,Аренда!$F$25:$F$77,$F248,Аренда!$G$25:$G$77,"Арендная и концессионная плата, лизинговые платежи")</f>
        <v>0</v>
      </c>
      <c r="AS248" s="1114">
        <f>_xlfn.SUMIFS(Аренда!AR$25:AR$77,Аренда!$F$25:$F$77,$F248,Аренда!$G$25:$G$77,"Арендная и концессионная плата, лизинговые платежи")</f>
        <v>0</v>
      </c>
      <c r="AT248" s="1114">
        <f>_xlfn.SUMIFS(Аренда!AS$25:AS$77,Аренда!$F$25:$F$77,$F248,Аренда!$G$25:$G$77,"Арендная и концессионная плата, лизинговые платежи")</f>
        <v>73.45</v>
      </c>
      <c r="AU248" s="1114">
        <f>_xlfn.SUMIFS(Аренда!AT$25:AT$77,Аренда!$F$25:$F$77,$F248,Аренда!$G$25:$G$77,"Арендная и концессионная плата, лизинговые платежи")</f>
        <v>73.45</v>
      </c>
      <c r="AV248" s="1114">
        <f>_xlfn.SUMIFS(Аренда!AU$25:AU$77,Аренда!$F$25:$F$77,$F248,Аренда!$G$25:$G$77,"Арендная и концессионная плата, лизинговые платежи")</f>
        <v>73.45</v>
      </c>
      <c r="AW248" s="1114">
        <f>_xlfn.SUMIFS(Аренда!AV$25:AV$77,Аренда!$F$25:$F$77,$F248,Аренда!$G$25:$G$77,"Арендная и концессионная плата, лизинговые платежи")</f>
        <v>73.45</v>
      </c>
      <c r="AX248" s="1114">
        <f>_xlfn.SUMIFS(Аренда!AW$25:AW$77,Аренда!$F$25:$F$77,$F248,Аренда!$G$25:$G$77,"Арендная и концессионная плата, лизинговые платежи")</f>
        <v>73.45</v>
      </c>
      <c r="AY248" s="1114">
        <f>_xlfn.SUMIFS(Аренда!AX$25:AX$77,Аренда!$F$25:$F$77,$F248,Аренда!$G$25:$G$77,"Арендная и концессионная плата, лизинговые платежи")</f>
        <v>0</v>
      </c>
      <c r="AZ248" s="1114">
        <f>_xlfn.SUMIFS(Аренда!AY$25:AY$77,Аренда!$F$25:$F$77,$F248,Аренда!$G$25:$G$77,"Арендная и концессионная плата, лизинговые платежи")</f>
        <v>0</v>
      </c>
      <c r="BA248" s="1114">
        <f>_xlfn.SUMIFS(Аренда!AZ$25:AZ$77,Аренда!$F$25:$F$77,$F248,Аренда!$G$25:$G$77,"Арендная и концессионная плата, лизинговые платежи")</f>
        <v>0</v>
      </c>
      <c r="BB248" s="1114">
        <f>_xlfn.SUMIFS(Аренда!BA$25:BA$77,Аренда!$F$25:$F$77,$F248,Аренда!$G$25:$G$77,"Арендная и концессионная плата, лизинговые платежи")</f>
        <v>0</v>
      </c>
      <c r="BC248" s="1114">
        <f>_xlfn.SUMIFS(Аренда!BB$25:BB$77,Аренда!$F$25:$F$77,$F248,Аренда!$G$25:$G$77,"Арендная и концессионная плата, лизинговые платежи")</f>
        <v>0</v>
      </c>
      <c r="BD248" s="1114">
        <f>IF(AI248=0,0,(AT248-AI248)/AI248*100)</f>
        <v>0</v>
      </c>
      <c r="BE248" s="1114">
        <f>IF(AT248=0,0,(AU248-AT248)/AT248*100)</f>
        <v>0</v>
      </c>
      <c r="BF248" s="1114">
        <f>IF(AU248=0,0,(AV248-AU248)/AU248*100)</f>
        <v>0</v>
      </c>
      <c r="BG248" s="1114">
        <f>IF(AV248=0,0,(AW248-AV248)/AV248*100)</f>
        <v>0</v>
      </c>
      <c r="BH248" s="1114">
        <f>IF(AW248=0,0,(AX248-AW248)/AW248*100)</f>
        <v>0</v>
      </c>
      <c r="BI248" s="1114">
        <f>IF(AX248=0,0,(AY248-AX248)/AX248*100)</f>
        <v>-100</v>
      </c>
      <c r="BJ248" s="1114">
        <f>IF(AY248=0,0,(AZ248-AY248)/AY248*100)</f>
        <v>0</v>
      </c>
      <c r="BK248" s="1114">
        <f>IF(AZ248=0,0,(BA248-AZ248)/AZ248*100)</f>
        <v>0</v>
      </c>
      <c r="BL248" s="1114">
        <f>IF(BA248=0,0,(BB248-BA248)/BA248*100)</f>
        <v>0</v>
      </c>
      <c r="BM248" s="1114">
        <f>IF(BB248=0,0,(BC248-BB248)/BB248*100)</f>
        <v>0</v>
      </c>
      <c r="BN248" s="7433"/>
      <c r="BO248" s="7487" t="s">
        <v>2929</v>
      </c>
      <c r="BP248" s="7433"/>
      <c r="BQ248" s="1278"/>
      <c r="BR248" s="1278"/>
      <c r="BS248" s="1064" t="s">
        <v>2804</v>
      </c>
      <c r="BT248" s="1064"/>
      <c r="BU248" s="1064"/>
      <c r="BV248" s="979"/>
      <c r="BW248" s="979"/>
    </row>
    <row s="1834" customFormat="1" customHeight="1" ht="0">
      <c r="A249" s="1278"/>
      <c r="B249" s="432">
        <f>STATUS_GO="да"</f>
        <v>1</v>
      </c>
      <c r="C249" s="107"/>
      <c r="D249" s="107"/>
      <c r="E249" s="621">
        <v>15</v>
      </c>
      <c r="F249" s="50" cm="1" t="str">
        <f t="array" ref="F249:F249">OFFSET(E249,-1,1)</f>
        <v>1</v>
      </c>
      <c r="G249" s="107"/>
      <c r="H249" s="107"/>
      <c r="I249" s="107" t="s">
        <v>2805</v>
      </c>
      <c r="J249" s="107"/>
      <c r="K249" s="158" t="s">
        <v>2805</v>
      </c>
      <c r="L249" s="980"/>
      <c r="M249" s="107"/>
      <c r="N249" s="107"/>
      <c r="O249" s="107"/>
      <c r="P249" s="107"/>
      <c r="Q249" s="107"/>
      <c r="R249" s="107"/>
      <c r="S249" s="107"/>
      <c r="T249" s="465" cm="1" t="str">
        <f t="array" ref="T249:T249">T248</f>
        <v>true</v>
      </c>
      <c r="U249" s="107"/>
      <c r="V249" s="107"/>
      <c r="W249" s="107"/>
      <c r="X249" s="1596"/>
      <c r="Y249" s="1278"/>
      <c r="Z249" s="1546"/>
      <c r="AA249" s="1278"/>
      <c r="AB249" s="300" t="s">
        <v>2245</v>
      </c>
      <c r="AC249" s="762" t="s">
        <v>2806</v>
      </c>
      <c r="AD249" s="300" t="s">
        <v>1514</v>
      </c>
      <c r="AE249" s="3946" cm="1" t="str">
        <f t="array" ref="AE249:AE249">AE250</f>
        <v>0</v>
      </c>
      <c r="AF249" s="3946" cm="1" t="str">
        <f t="array" ref="AF249:AF249">AF250</f>
        <v>0</v>
      </c>
      <c r="AG249" s="3946" cm="1" t="str">
        <f t="array" ref="AG249:AG249">AG250</f>
        <v>0</v>
      </c>
      <c r="AH249" s="1114">
        <f>AG249-AF249</f>
        <v>0</v>
      </c>
      <c r="AI249" s="3946" cm="1" t="str">
        <f t="array" ref="AI249:AI249">AI250</f>
        <v>0</v>
      </c>
      <c r="AJ249" s="3946" cm="1" t="str">
        <f t="array" ref="AJ249:AJ249">AJ250</f>
        <v>0</v>
      </c>
      <c r="AK249" s="3946" cm="1" t="str">
        <f t="array" ref="AK249:AK249">AK250</f>
        <v>0</v>
      </c>
      <c r="AL249" s="3946" cm="1" t="str">
        <f t="array" ref="AL249:AL249">AL250</f>
        <v>0</v>
      </c>
      <c r="AM249" s="3946" cm="1" t="str">
        <f t="array" ref="AM249:AM249">AM250</f>
        <v>0</v>
      </c>
      <c r="AN249" s="3946" cm="1" t="str">
        <f t="array" ref="AN249:AN249">AN250</f>
        <v>0</v>
      </c>
      <c r="AO249" s="1241" cm="1" t="str">
        <f t="array" ref="AO249:AO249">AO250</f>
        <v>0</v>
      </c>
      <c r="AP249" s="1241" cm="1" t="str">
        <f t="array" ref="AP249:AP249">AP250</f>
        <v>0</v>
      </c>
      <c r="AQ249" s="1241" cm="1" t="str">
        <f t="array" ref="AQ249:AQ249">AQ250</f>
        <v>0</v>
      </c>
      <c r="AR249" s="1241" cm="1" t="str">
        <f t="array" ref="AR249:AR249">AR250</f>
        <v>0</v>
      </c>
      <c r="AS249" s="1241" cm="1" t="str">
        <f t="array" ref="AS249:AS249">AS250</f>
        <v>0</v>
      </c>
      <c r="AT249" s="3946" cm="1" t="str">
        <f t="array" ref="AT249:AT249">AT250</f>
        <v>0</v>
      </c>
      <c r="AU249" s="3946" cm="1" t="str">
        <f t="array" ref="AU249:AU249">AU250</f>
        <v>0</v>
      </c>
      <c r="AV249" s="3946" cm="1" t="str">
        <f t="array" ref="AV249:AV249">AV250</f>
        <v>0</v>
      </c>
      <c r="AW249" s="3946" cm="1" t="str">
        <f t="array" ref="AW249:AW249">AW250</f>
        <v>0</v>
      </c>
      <c r="AX249" s="3946" cm="1" t="str">
        <f t="array" ref="AX249:AX249">AX250</f>
        <v>0</v>
      </c>
      <c r="AY249" s="1241" cm="1" t="str">
        <f t="array" ref="AY249:AY249">AY250</f>
        <v>0</v>
      </c>
      <c r="AZ249" s="1241" cm="1" t="str">
        <f t="array" ref="AZ249:AZ249">AZ250</f>
        <v>0</v>
      </c>
      <c r="BA249" s="1241" cm="1" t="str">
        <f t="array" ref="BA249:BA249">BA250</f>
        <v>0</v>
      </c>
      <c r="BB249" s="1241" cm="1" t="str">
        <f t="array" ref="BB249:BB249">BB250</f>
        <v>0</v>
      </c>
      <c r="BC249" s="1241" cm="1" t="str">
        <f t="array" ref="BC249:BC249">BC250</f>
        <v>0</v>
      </c>
      <c r="BD249" s="1114">
        <f>IF(AI249=0,0,(AT249-AI249)/AI249*100)</f>
        <v>0</v>
      </c>
      <c r="BE249" s="1114">
        <f>IF(AT249=0,0,(AU249-AT249)/AT249*100)</f>
        <v>0</v>
      </c>
      <c r="BF249" s="1114">
        <f>IF(AU249=0,0,(AV249-AU249)/AU249*100)</f>
        <v>0</v>
      </c>
      <c r="BG249" s="1114">
        <f>IF(AV249=0,0,(AW249-AV249)/AV249*100)</f>
        <v>0</v>
      </c>
      <c r="BH249" s="1114">
        <f>IF(AW249=0,0,(AX249-AW249)/AW249*100)</f>
        <v>0</v>
      </c>
      <c r="BI249" s="1114">
        <f>IF(AX249=0,0,(AY249-AX249)/AX249*100)</f>
        <v>0</v>
      </c>
      <c r="BJ249" s="1114">
        <f>IF(AY249=0,0,(AZ249-AY249)/AY249*100)</f>
        <v>0</v>
      </c>
      <c r="BK249" s="1114">
        <f>IF(AZ249=0,0,(BA249-AZ249)/AZ249*100)</f>
        <v>0</v>
      </c>
      <c r="BL249" s="1114">
        <f>IF(BA249=0,0,(BB249-BA249)/BA249*100)</f>
        <v>0</v>
      </c>
      <c r="BM249" s="1114">
        <f>IF(BB249=0,0,(BC249-BB249)/BB249*100)</f>
        <v>0</v>
      </c>
      <c r="BN249" s="7433"/>
      <c r="BO249" s="7433"/>
      <c r="BP249" s="7433"/>
      <c r="BQ249" s="1278"/>
      <c r="BR249" s="1278"/>
      <c r="BS249" s="1064" t="s">
        <v>2807</v>
      </c>
      <c r="BT249" s="1064"/>
      <c r="BU249" s="1064"/>
      <c r="BV249" s="979"/>
      <c r="BW249" s="979"/>
    </row>
    <row s="1834" customFormat="1" customHeight="1" ht="0">
      <c r="A250" s="1278"/>
      <c r="B250" s="432">
        <f>STATUS_GO="да"</f>
        <v>1</v>
      </c>
      <c r="C250" s="107"/>
      <c r="D250" s="107"/>
      <c r="E250" s="621">
        <v>15</v>
      </c>
      <c r="F250" s="50" cm="1" t="str">
        <f t="array" ref="F250:F250">OFFSET(E250,-1,1)</f>
        <v>1</v>
      </c>
      <c r="G250" s="107" t="s">
        <v>2187</v>
      </c>
      <c r="H250" s="107"/>
      <c r="I250" s="107" t="s">
        <v>2808</v>
      </c>
      <c r="J250" s="107"/>
      <c r="K250" s="158" t="s">
        <v>2808</v>
      </c>
      <c r="L250" s="980"/>
      <c r="M250" s="107"/>
      <c r="N250" s="107"/>
      <c r="O250" s="107"/>
      <c r="P250" s="107"/>
      <c r="Q250" s="107"/>
      <c r="R250" s="107"/>
      <c r="S250" s="107"/>
      <c r="T250" s="465" cm="1" t="str">
        <f t="array" ref="T250:T250">T249</f>
        <v>true</v>
      </c>
      <c r="U250" s="107"/>
      <c r="V250" s="107"/>
      <c r="W250" s="107"/>
      <c r="X250" s="1596"/>
      <c r="Y250" s="1278"/>
      <c r="Z250" s="1546"/>
      <c r="AA250" s="1278"/>
      <c r="AB250" s="300" t="s">
        <v>2809</v>
      </c>
      <c r="AC250" s="765" t="s">
        <v>2187</v>
      </c>
      <c r="AD250" s="300" t="s">
        <v>1514</v>
      </c>
      <c r="AE250" s="1114">
        <f>_xlfn.SUMIFS('Сбытовые расходы ГО'!AE$25:AE$87,'Сбытовые расходы ГО'!$F$25:$F$87,$F250,'Сбытовые расходы ГО'!$G$25:$G$87,"l1")</f>
        <v>0</v>
      </c>
      <c r="AF250" s="1114">
        <f>_xlfn.SUMIFS('Сбытовые расходы ГО'!AF$25:AF$87,'Сбытовые расходы ГО'!$F$25:$F$87,$F250,'Сбытовые расходы ГО'!$G$25:$G$87,"l1")</f>
        <v>0</v>
      </c>
      <c r="AG250" s="1114">
        <f>_xlfn.SUMIFS('Сбытовые расходы ГО'!AG$25:AG$87,'Сбытовые расходы ГО'!$F$25:$F$87,$F250,'Сбытовые расходы ГО'!$G$25:$G$87,"l1")</f>
        <v>0</v>
      </c>
      <c r="AH250" s="1114">
        <f>AG250-AF250</f>
        <v>0</v>
      </c>
      <c r="AI250" s="1114">
        <f>_xlfn.SUMIFS('Сбытовые расходы ГО'!AH$25:AH$87,'Сбытовые расходы ГО'!$F$25:$F$87,$F250,'Сбытовые расходы ГО'!$G$25:$G$87,"l1")</f>
        <v>0</v>
      </c>
      <c r="AJ250" s="1114">
        <f>_xlfn.SUMIFS('Сбытовые расходы ГО'!AI$25:AI$87,'Сбытовые расходы ГО'!$F$25:$F$87,$F250,'Сбытовые расходы ГО'!$G$25:$G$87,"l1")</f>
        <v>0</v>
      </c>
      <c r="AK250" s="3946"/>
      <c r="AL250" s="3946"/>
      <c r="AM250" s="3946"/>
      <c r="AN250" s="3946"/>
      <c r="AO250" s="1241"/>
      <c r="AP250" s="1241"/>
      <c r="AQ250" s="1241"/>
      <c r="AR250" s="1241"/>
      <c r="AS250" s="1241"/>
      <c r="AT250" s="1114">
        <f>_xlfn.SUMIFS('Сбытовые расходы ГО'!AJ$25:AJ$87,'Сбытовые расходы ГО'!$F$25:$F$87,$F250,'Сбытовые расходы ГО'!$G$25:$G$87,"l1")</f>
        <v>0</v>
      </c>
      <c r="AU250" s="3946"/>
      <c r="AV250" s="3946"/>
      <c r="AW250" s="3946"/>
      <c r="AX250" s="3946"/>
      <c r="AY250" s="1241"/>
      <c r="AZ250" s="1241"/>
      <c r="BA250" s="1241"/>
      <c r="BB250" s="1241"/>
      <c r="BC250" s="1241"/>
      <c r="BD250" s="1114">
        <f>IF(AI250=0,0,(AT250-AI250)/AI250*100)</f>
        <v>0</v>
      </c>
      <c r="BE250" s="1114">
        <f>IF(AT250=0,0,(AU250-AT250)/AT250*100)</f>
        <v>0</v>
      </c>
      <c r="BF250" s="1114">
        <f>IF(AU250=0,0,(AV250-AU250)/AU250*100)</f>
        <v>0</v>
      </c>
      <c r="BG250" s="1114">
        <f>IF(AV250=0,0,(AW250-AV250)/AV250*100)</f>
        <v>0</v>
      </c>
      <c r="BH250" s="1114">
        <f>IF(AW250=0,0,(AX250-AW250)/AW250*100)</f>
        <v>0</v>
      </c>
      <c r="BI250" s="1114">
        <f>IF(AX250=0,0,(AY250-AX250)/AX250*100)</f>
        <v>0</v>
      </c>
      <c r="BJ250" s="1114">
        <f>IF(AY250=0,0,(AZ250-AY250)/AY250*100)</f>
        <v>0</v>
      </c>
      <c r="BK250" s="1114">
        <f>IF(AZ250=0,0,(BA250-AZ250)/AZ250*100)</f>
        <v>0</v>
      </c>
      <c r="BL250" s="1114">
        <f>IF(BA250=0,0,(BB250-BA250)/BA250*100)</f>
        <v>0</v>
      </c>
      <c r="BM250" s="1114">
        <f>IF(BB250=0,0,(BC250-BB250)/BB250*100)</f>
        <v>0</v>
      </c>
      <c r="BN250" s="7433"/>
      <c r="BO250" s="7487" t="str">
        <f>IF(_xlfn.IFERROR(INDEX('Сбытовые расходы ГО'!$K$26:$M$87,MATCH($F250&amp;"komm",'Сбытовые расходы ГО'!$K$26:$K$87,0),2),"")=0,"",_xlfn.IFERROR(INDEX('Сбытовые расходы ГО'!$K$26:$M$87,MATCH($F250&amp;"komm",'Сбытовые расходы ГО'!$K$26:$K$87,0),2),""))</f>
        <v/>
      </c>
      <c r="BP250" s="7433"/>
      <c r="BQ250" s="1278"/>
      <c r="BR250" s="1278"/>
      <c r="BS250" s="1064" t="s">
        <v>2810</v>
      </c>
      <c r="BT250" s="1064"/>
      <c r="BU250" s="1064"/>
      <c r="BV250" s="979"/>
      <c r="BW250" s="979"/>
    </row>
    <row s="1834" customFormat="1" customHeight="1" ht="0">
      <c r="A251" s="1278"/>
      <c r="B251" s="978"/>
      <c r="C251" s="107"/>
      <c r="D251" s="107"/>
      <c r="E251" s="621">
        <v>15</v>
      </c>
      <c r="F251" s="50" cm="1" t="str">
        <f t="array" ref="F251:F251">OFFSET(E251,-1,1)</f>
        <v>1</v>
      </c>
      <c r="G251" s="107" t="s">
        <v>2192</v>
      </c>
      <c r="H251" s="107"/>
      <c r="I251" s="107" t="s">
        <v>2811</v>
      </c>
      <c r="J251" s="107"/>
      <c r="K251" s="158" t="s">
        <v>2811</v>
      </c>
      <c r="L251" s="980"/>
      <c r="M251" s="107"/>
      <c r="N251" s="107"/>
      <c r="O251" s="107"/>
      <c r="P251" s="107"/>
      <c r="Q251" s="107"/>
      <c r="R251" s="107"/>
      <c r="S251" s="107"/>
      <c r="T251" s="465" cm="1" t="str">
        <f t="array" ref="T251:T251">T250</f>
        <v>true</v>
      </c>
      <c r="U251" s="107"/>
      <c r="V251" s="107"/>
      <c r="W251" s="107"/>
      <c r="X251" s="1596"/>
      <c r="Y251" s="1278"/>
      <c r="Z251" s="1546"/>
      <c r="AA251" s="1278"/>
      <c r="AB251" s="300" t="s">
        <v>2250</v>
      </c>
      <c r="AC251" s="762" t="s">
        <v>2192</v>
      </c>
      <c r="AD251" s="300" t="s">
        <v>1514</v>
      </c>
      <c r="AE251" s="3946"/>
      <c r="AF251" s="3946"/>
      <c r="AG251" s="3946"/>
      <c r="AH251" s="1114">
        <f>AG251-AF251</f>
        <v>0</v>
      </c>
      <c r="AI251" s="3946"/>
      <c r="AJ251" s="3946">
        <f>_xlfn.SUMIFS(Экономия_корр!AE$25:AE$67,Экономия_корр!$F$25:$F$67,$F251,Экономия_корр!$AC$25:$AC$67,"Экономия расходов с учетом ИПЦ")</f>
        <v>0</v>
      </c>
      <c r="AK251" s="3946">
        <f>_xlfn.SUMIFS(Экономия_корр!AF$25:AF$67,Экономия_корр!$F$25:$F$67,$F251,Экономия_корр!$AC$25:$AC$67,"Экономия расходов с учетом ИПЦ")</f>
        <v>0</v>
      </c>
      <c r="AL251" s="3946">
        <f>_xlfn.SUMIFS(Экономия_корр!AG$25:AG$67,Экономия_корр!$F$25:$F$67,$F251,Экономия_корр!$AC$25:$AC$67,"Экономия расходов с учетом ИПЦ")</f>
        <v>0</v>
      </c>
      <c r="AM251" s="3946">
        <f>_xlfn.SUMIFS(Экономия_корр!AH$25:AH$67,Экономия_корр!$F$25:$F$67,$F251,Экономия_корр!$AC$25:$AC$67,"Экономия расходов с учетом ИПЦ")</f>
        <v>0</v>
      </c>
      <c r="AN251" s="3946">
        <f>_xlfn.SUMIFS(Экономия_корр!AI$25:AI$67,Экономия_корр!$F$25:$F$67,$F251,Экономия_корр!$AC$25:$AC$67,"Экономия расходов с учетом ИПЦ")</f>
        <v>0</v>
      </c>
      <c r="AO251" s="1241">
        <f>_xlfn.SUMIFS(Экономия_корр!AJ$25:AJ$67,Экономия_корр!$F$25:$F$67,$F251,Экономия_корр!$AC$25:$AC$67,"Экономия расходов с учетом ИПЦ")</f>
        <v>0</v>
      </c>
      <c r="AP251" s="1241">
        <f>_xlfn.SUMIFS(Экономия_корр!AK$25:AK$67,Экономия_корр!$F$25:$F$67,$F251,Экономия_корр!$AC$25:$AC$67,"Экономия расходов с учетом ИПЦ")</f>
        <v>0</v>
      </c>
      <c r="AQ251" s="1241">
        <f>_xlfn.SUMIFS(Экономия_корр!AL$25:AL$67,Экономия_корр!$F$25:$F$67,$F251,Экономия_корр!$AC$25:$AC$67,"Экономия расходов с учетом ИПЦ")</f>
        <v>0</v>
      </c>
      <c r="AR251" s="1241">
        <f>_xlfn.SUMIFS(Экономия_корр!AM$25:AM$67,Экономия_корр!$F$25:$F$67,$F251,Экономия_корр!$AC$25:$AC$67,"Экономия расходов с учетом ИПЦ")</f>
        <v>0</v>
      </c>
      <c r="AS251" s="1241">
        <f>_xlfn.SUMIFS(Экономия_корр!AN$25:AN$67,Экономия_корр!$F$25:$F$67,$F251,Экономия_корр!$AC$25:$AC$67,"Экономия расходов с учетом ИПЦ")</f>
        <v>0</v>
      </c>
      <c r="AT251" s="3946">
        <f>_xlfn.SUMIFS(Экономия_корр!AO$25:AO$67,Экономия_корр!$F$25:$F$67,$F251,Экономия_корр!$AC$25:$AC$67,"Экономия расходов с учетом ИПЦ")</f>
        <v>0</v>
      </c>
      <c r="AU251" s="3946">
        <f>_xlfn.SUMIFS(Экономия_корр!AP$25:AP$67,Экономия_корр!$F$25:$F$67,$F251,Экономия_корр!$AC$25:$AC$67,"Экономия расходов с учетом ИПЦ")</f>
        <v>0</v>
      </c>
      <c r="AV251" s="3946">
        <f>_xlfn.SUMIFS(Экономия_корр!AQ$25:AQ$67,Экономия_корр!$F$25:$F$67,$F251,Экономия_корр!$AC$25:$AC$67,"Экономия расходов с учетом ИПЦ")</f>
        <v>0</v>
      </c>
      <c r="AW251" s="3946">
        <f>_xlfn.SUMIFS(Экономия_корр!AR$25:AR$67,Экономия_корр!$F$25:$F$67,$F251,Экономия_корр!$AC$25:$AC$67,"Экономия расходов с учетом ИПЦ")</f>
        <v>0</v>
      </c>
      <c r="AX251" s="3946">
        <f>_xlfn.SUMIFS(Экономия_корр!AS$25:AS$67,Экономия_корр!$F$25:$F$67,$F251,Экономия_корр!$AC$25:$AC$67,"Экономия расходов с учетом ИПЦ")</f>
        <v>0</v>
      </c>
      <c r="AY251" s="1241">
        <f>_xlfn.SUMIFS(Экономия_корр!AT$25:AT$67,Экономия_корр!$F$25:$F$67,$F251,Экономия_корр!$AC$25:$AC$67,"Экономия расходов с учетом ИПЦ")</f>
        <v>0</v>
      </c>
      <c r="AZ251" s="1241">
        <f>_xlfn.SUMIFS(Экономия_корр!AU$25:AU$67,Экономия_корр!$F$25:$F$67,$F251,Экономия_корр!$AC$25:$AC$67,"Экономия расходов с учетом ИПЦ")</f>
        <v>0</v>
      </c>
      <c r="BA251" s="1241">
        <f>_xlfn.SUMIFS(Экономия_корр!AV$25:AV$67,Экономия_корр!$F$25:$F$67,$F251,Экономия_корр!$AC$25:$AC$67,"Экономия расходов с учетом ИПЦ")</f>
        <v>0</v>
      </c>
      <c r="BB251" s="1241">
        <f>_xlfn.SUMIFS(Экономия_корр!AW$25:AW$67,Экономия_корр!$F$25:$F$67,$F251,Экономия_корр!$AC$25:$AC$67,"Экономия расходов с учетом ИПЦ")</f>
        <v>0</v>
      </c>
      <c r="BC251" s="1241">
        <f>_xlfn.SUMIFS(Экономия_корр!AX$25:AX$67,Экономия_корр!$F$25:$F$67,$F251,Экономия_корр!$AC$25:$AC$67,"Экономия расходов с учетом ИПЦ")</f>
        <v>0</v>
      </c>
      <c r="BD251" s="1114">
        <f>IF(AI251=0,0,(AT251-AI251)/AI251*100)</f>
        <v>0</v>
      </c>
      <c r="BE251" s="1114">
        <f>IF(AT251=0,0,(AU251-AT251)/AT251*100)</f>
        <v>0</v>
      </c>
      <c r="BF251" s="1114">
        <f>IF(AU251=0,0,(AV251-AU251)/AU251*100)</f>
        <v>0</v>
      </c>
      <c r="BG251" s="1114">
        <f>IF(AV251=0,0,(AW251-AV251)/AV251*100)</f>
        <v>0</v>
      </c>
      <c r="BH251" s="1114">
        <f>IF(AW251=0,0,(AX251-AW251)/AW251*100)</f>
        <v>0</v>
      </c>
      <c r="BI251" s="1114">
        <f>IF(AX251=0,0,(AY251-AX251)/AX251*100)</f>
        <v>0</v>
      </c>
      <c r="BJ251" s="1114">
        <f>IF(AY251=0,0,(AZ251-AY251)/AY251*100)</f>
        <v>0</v>
      </c>
      <c r="BK251" s="1114">
        <f>IF(AZ251=0,0,(BA251-AZ251)/AZ251*100)</f>
        <v>0</v>
      </c>
      <c r="BL251" s="1114">
        <f>IF(BA251=0,0,(BB251-BA251)/BA251*100)</f>
        <v>0</v>
      </c>
      <c r="BM251" s="1114">
        <f>IF(BB251=0,0,(BC251-BB251)/BB251*100)</f>
        <v>0</v>
      </c>
      <c r="BN251" s="7433"/>
      <c r="BO251" s="7433"/>
      <c r="BP251" s="7433"/>
      <c r="BQ251" s="1278"/>
      <c r="BR251" s="1278"/>
      <c r="BS251" s="1064" t="s">
        <v>2812</v>
      </c>
      <c r="BT251" s="1064"/>
      <c r="BU251" s="1064"/>
      <c r="BV251" s="979"/>
      <c r="BW251" s="979"/>
    </row>
    <row s="1834" customFormat="1" customHeight="1" ht="0">
      <c r="A252" s="1278"/>
      <c r="B252" s="978"/>
      <c r="C252" s="107"/>
      <c r="D252" s="107"/>
      <c r="E252" s="621">
        <v>15</v>
      </c>
      <c r="F252" s="50" cm="1" t="str">
        <f t="array" ref="F252:F252">OFFSET(E252,-1,1)</f>
        <v>1</v>
      </c>
      <c r="G252" s="107" t="s">
        <v>2197</v>
      </c>
      <c r="H252" s="107"/>
      <c r="I252" s="107" t="s">
        <v>2813</v>
      </c>
      <c r="J252" s="107"/>
      <c r="K252" s="158" t="s">
        <v>2813</v>
      </c>
      <c r="L252" s="980"/>
      <c r="M252" s="107"/>
      <c r="N252" s="107"/>
      <c r="O252" s="107"/>
      <c r="P252" s="107"/>
      <c r="Q252" s="107"/>
      <c r="R252" s="107"/>
      <c r="S252" s="107"/>
      <c r="T252" s="465" cm="1" t="str">
        <f t="array" ref="T252:T252">T251</f>
        <v>true</v>
      </c>
      <c r="U252" s="107"/>
      <c r="V252" s="107"/>
      <c r="W252" s="107"/>
      <c r="X252" s="1596"/>
      <c r="Y252" s="1278"/>
      <c r="Z252" s="1546"/>
      <c r="AA252" s="1278"/>
      <c r="AB252" s="300" t="s">
        <v>2814</v>
      </c>
      <c r="AC252" s="762" t="s">
        <v>2197</v>
      </c>
      <c r="AD252" s="300" t="s">
        <v>1514</v>
      </c>
      <c r="AE252" s="3946"/>
      <c r="AF252" s="3946"/>
      <c r="AG252" s="3946"/>
      <c r="AH252" s="1114">
        <f>AG252-AF252</f>
        <v>0</v>
      </c>
      <c r="AI252" s="3946"/>
      <c r="AJ252" s="3946"/>
      <c r="AK252" s="3946"/>
      <c r="AL252" s="3946"/>
      <c r="AM252" s="3946"/>
      <c r="AN252" s="3946"/>
      <c r="AO252" s="1241"/>
      <c r="AP252" s="1241"/>
      <c r="AQ252" s="1241"/>
      <c r="AR252" s="1241"/>
      <c r="AS252" s="1241"/>
      <c r="AT252" s="3946"/>
      <c r="AU252" s="3946"/>
      <c r="AV252" s="3946"/>
      <c r="AW252" s="3946"/>
      <c r="AX252" s="3946"/>
      <c r="AY252" s="1241"/>
      <c r="AZ252" s="1241"/>
      <c r="BA252" s="1241"/>
      <c r="BB252" s="1241"/>
      <c r="BC252" s="1241"/>
      <c r="BD252" s="1114">
        <f>IF(AI252=0,0,(AT252-AI252)/AI252*100)</f>
        <v>0</v>
      </c>
      <c r="BE252" s="1114">
        <f>IF(AT252=0,0,(AU252-AT252)/AT252*100)</f>
        <v>0</v>
      </c>
      <c r="BF252" s="1114">
        <f>IF(AU252=0,0,(AV252-AU252)/AU252*100)</f>
        <v>0</v>
      </c>
      <c r="BG252" s="1114">
        <f>IF(AV252=0,0,(AW252-AV252)/AV252*100)</f>
        <v>0</v>
      </c>
      <c r="BH252" s="1114">
        <f>IF(AW252=0,0,(AX252-AW252)/AW252*100)</f>
        <v>0</v>
      </c>
      <c r="BI252" s="1114">
        <f>IF(AX252=0,0,(AY252-AX252)/AX252*100)</f>
        <v>0</v>
      </c>
      <c r="BJ252" s="1114">
        <f>IF(AY252=0,0,(AZ252-AY252)/AY252*100)</f>
        <v>0</v>
      </c>
      <c r="BK252" s="1114">
        <f>IF(AZ252=0,0,(BA252-AZ252)/AZ252*100)</f>
        <v>0</v>
      </c>
      <c r="BL252" s="1114">
        <f>IF(BA252=0,0,(BB252-BA252)/BA252*100)</f>
        <v>0</v>
      </c>
      <c r="BM252" s="1114">
        <f>IF(BB252=0,0,(BC252-BB252)/BB252*100)</f>
        <v>0</v>
      </c>
      <c r="BN252" s="7433"/>
      <c r="BO252" s="7433"/>
      <c r="BP252" s="7433"/>
      <c r="BQ252" s="1278"/>
      <c r="BR252" s="1278"/>
      <c r="BS252" s="1064" t="s">
        <v>2551</v>
      </c>
      <c r="BT252" s="1064"/>
      <c r="BU252" s="1064"/>
      <c r="BV252" s="979"/>
      <c r="BW252" s="979"/>
    </row>
    <row s="1834" customFormat="1" customHeight="1" ht="0">
      <c r="A253" s="1278"/>
      <c r="B253" s="978"/>
      <c r="C253" s="107"/>
      <c r="D253" s="107"/>
      <c r="E253" s="621">
        <v>15</v>
      </c>
      <c r="F253" s="50" cm="1" t="str">
        <f t="array" ref="F253:F253">OFFSET(E253,-1,1)</f>
        <v>1</v>
      </c>
      <c r="G253" s="107" t="s">
        <v>2202</v>
      </c>
      <c r="H253" s="107"/>
      <c r="I253" s="107" t="s">
        <v>2815</v>
      </c>
      <c r="J253" s="107"/>
      <c r="K253" s="158" t="s">
        <v>2815</v>
      </c>
      <c r="L253" s="980"/>
      <c r="M253" s="107"/>
      <c r="N253" s="107"/>
      <c r="O253" s="107"/>
      <c r="P253" s="107"/>
      <c r="Q253" s="107"/>
      <c r="R253" s="107"/>
      <c r="S253" s="107"/>
      <c r="T253" s="465" cm="1" t="str">
        <f t="array" ref="T253:T253">T252</f>
        <v>true</v>
      </c>
      <c r="U253" s="107"/>
      <c r="V253" s="107"/>
      <c r="W253" s="107"/>
      <c r="X253" s="1596"/>
      <c r="Y253" s="1278"/>
      <c r="Z253" s="1546"/>
      <c r="AA253" s="1278"/>
      <c r="AB253" s="300" t="s">
        <v>2269</v>
      </c>
      <c r="AC253" s="762" t="s">
        <v>2202</v>
      </c>
      <c r="AD253" s="300" t="s">
        <v>1514</v>
      </c>
      <c r="AE253" s="3946"/>
      <c r="AF253" s="3946"/>
      <c r="AG253" s="3946"/>
      <c r="AH253" s="1114">
        <f>AG253-AF253</f>
        <v>0</v>
      </c>
      <c r="AI253" s="3946"/>
      <c r="AJ253" s="3946"/>
      <c r="AK253" s="3946"/>
      <c r="AL253" s="3946"/>
      <c r="AM253" s="3946"/>
      <c r="AN253" s="3946"/>
      <c r="AO253" s="1241"/>
      <c r="AP253" s="1241"/>
      <c r="AQ253" s="1241"/>
      <c r="AR253" s="1241"/>
      <c r="AS253" s="1241"/>
      <c r="AT253" s="3946"/>
      <c r="AU253" s="3946"/>
      <c r="AV253" s="3946"/>
      <c r="AW253" s="3946"/>
      <c r="AX253" s="3946"/>
      <c r="AY253" s="1241"/>
      <c r="AZ253" s="1241"/>
      <c r="BA253" s="1241"/>
      <c r="BB253" s="1241"/>
      <c r="BC253" s="1241"/>
      <c r="BD253" s="1114">
        <f>IF(AI253=0,0,(AT253-AI253)/AI253*100)</f>
        <v>0</v>
      </c>
      <c r="BE253" s="1114">
        <f>IF(AT253=0,0,(AU253-AT253)/AT253*100)</f>
        <v>0</v>
      </c>
      <c r="BF253" s="1114">
        <f>IF(AU253=0,0,(AV253-AU253)/AU253*100)</f>
        <v>0</v>
      </c>
      <c r="BG253" s="1114">
        <f>IF(AV253=0,0,(AW253-AV253)/AV253*100)</f>
        <v>0</v>
      </c>
      <c r="BH253" s="1114">
        <f>IF(AW253=0,0,(AX253-AW253)/AW253*100)</f>
        <v>0</v>
      </c>
      <c r="BI253" s="1114">
        <f>IF(AX253=0,0,(AY253-AX253)/AX253*100)</f>
        <v>0</v>
      </c>
      <c r="BJ253" s="1114">
        <f>IF(AY253=0,0,(AZ253-AY253)/AY253*100)</f>
        <v>0</v>
      </c>
      <c r="BK253" s="1114">
        <f>IF(AZ253=0,0,(BA253-AZ253)/AZ253*100)</f>
        <v>0</v>
      </c>
      <c r="BL253" s="1114">
        <f>IF(BA253=0,0,(BB253-BA253)/BA253*100)</f>
        <v>0</v>
      </c>
      <c r="BM253" s="1114">
        <f>IF(BB253=0,0,(BC253-BB253)/BB253*100)</f>
        <v>0</v>
      </c>
      <c r="BN253" s="7433"/>
      <c r="BO253" s="7433"/>
      <c r="BP253" s="7433"/>
      <c r="BQ253" s="1278"/>
      <c r="BR253" s="1278"/>
      <c r="BS253" s="1064" t="s">
        <v>2816</v>
      </c>
      <c r="BT253" s="1064"/>
      <c r="BU253" s="1064"/>
      <c r="BV253" s="979"/>
      <c r="BW253" s="979"/>
    </row>
    <row s="1834" customFormat="1" customHeight="1" ht="0">
      <c r="A254" s="1278"/>
      <c r="B254" s="978"/>
      <c r="C254" s="107"/>
      <c r="D254" s="107"/>
      <c r="E254" s="621">
        <v>15</v>
      </c>
      <c r="F254" s="50" cm="1" t="str">
        <f t="array" ref="F254:F254">OFFSET(E254,-1,1)</f>
        <v>1</v>
      </c>
      <c r="G254" s="107" t="s">
        <v>2207</v>
      </c>
      <c r="H254" s="107"/>
      <c r="I254" s="107" t="s">
        <v>2817</v>
      </c>
      <c r="J254" s="107"/>
      <c r="K254" s="158" t="s">
        <v>2817</v>
      </c>
      <c r="L254" s="980"/>
      <c r="M254" s="107"/>
      <c r="N254" s="107"/>
      <c r="O254" s="107"/>
      <c r="P254" s="107"/>
      <c r="Q254" s="107"/>
      <c r="R254" s="107"/>
      <c r="S254" s="107"/>
      <c r="T254" s="465" cm="1" t="str">
        <f t="array" ref="T254:T254">T253</f>
        <v>true</v>
      </c>
      <c r="U254" s="107"/>
      <c r="V254" s="107"/>
      <c r="W254" s="107"/>
      <c r="X254" s="1596"/>
      <c r="Y254" s="1278"/>
      <c r="Z254" s="1546"/>
      <c r="AA254" s="1278"/>
      <c r="AB254" s="300" t="s">
        <v>2273</v>
      </c>
      <c r="AC254" s="762" t="s">
        <v>2207</v>
      </c>
      <c r="AD254" s="300" t="s">
        <v>1514</v>
      </c>
      <c r="AE254" s="1116">
        <f>SUM(AE255,AE256)</f>
        <v>0</v>
      </c>
      <c r="AF254" s="1114">
        <f>SUM(AF255,AF256)</f>
        <v>0</v>
      </c>
      <c r="AG254" s="1114">
        <f>SUM(AG255,AG256)</f>
        <v>0</v>
      </c>
      <c r="AH254" s="1114">
        <f>AG254-AF254</f>
        <v>0</v>
      </c>
      <c r="AI254" s="1114">
        <f>SUM(AI255,AI256)</f>
        <v>0</v>
      </c>
      <c r="AJ254" s="1116">
        <f>SUM(AJ255,AJ256)</f>
        <v>0</v>
      </c>
      <c r="AK254" s="1114">
        <f>SUM(AK255,AK256)</f>
        <v>0</v>
      </c>
      <c r="AL254" s="1114">
        <f>SUM(AL255,AL256)</f>
        <v>0</v>
      </c>
      <c r="AM254" s="1114">
        <f>SUM(AM255,AM256)</f>
        <v>0</v>
      </c>
      <c r="AN254" s="1114">
        <f>SUM(AN255,AN256)</f>
        <v>0</v>
      </c>
      <c r="AO254" s="1114">
        <f>SUM(AO255,AO256)</f>
        <v>0</v>
      </c>
      <c r="AP254" s="1114">
        <f>SUM(AP255,AP256)</f>
        <v>0</v>
      </c>
      <c r="AQ254" s="1114">
        <f>SUM(AQ255,AQ256)</f>
        <v>0</v>
      </c>
      <c r="AR254" s="1114">
        <f>SUM(AR255,AR256)</f>
        <v>0</v>
      </c>
      <c r="AS254" s="1114">
        <f>SUM(AS255,AS256)</f>
        <v>0</v>
      </c>
      <c r="AT254" s="1116">
        <f>SUM(AT255,AT256)</f>
        <v>0</v>
      </c>
      <c r="AU254" s="1114">
        <f>SUM(AU255,AU256)</f>
        <v>0</v>
      </c>
      <c r="AV254" s="1114">
        <f>SUM(AV255,AV256)</f>
        <v>0</v>
      </c>
      <c r="AW254" s="1114">
        <f>SUM(AW255,AW256)</f>
        <v>0</v>
      </c>
      <c r="AX254" s="1114">
        <f>SUM(AX255,AX256)</f>
        <v>0</v>
      </c>
      <c r="AY254" s="1114">
        <f>SUM(AY255,AY256)</f>
        <v>0</v>
      </c>
      <c r="AZ254" s="1114">
        <f>SUM(AZ255,AZ256)</f>
        <v>0</v>
      </c>
      <c r="BA254" s="1114">
        <f>SUM(BA255,BA256)</f>
        <v>0</v>
      </c>
      <c r="BB254" s="1114">
        <f>SUM(BB255,BB256)</f>
        <v>0</v>
      </c>
      <c r="BC254" s="1114">
        <f>SUM(BC255,BC256)</f>
        <v>0</v>
      </c>
      <c r="BD254" s="1114">
        <f>IF(AI254=0,0,(AT254-AI254)/AI254*100)</f>
        <v>0</v>
      </c>
      <c r="BE254" s="1114">
        <f>IF(AT254=0,0,(AU254-AT254)/AT254*100)</f>
        <v>0</v>
      </c>
      <c r="BF254" s="1114">
        <f>IF(AU254=0,0,(AV254-AU254)/AU254*100)</f>
        <v>0</v>
      </c>
      <c r="BG254" s="1114">
        <f>IF(AV254=0,0,(AW254-AV254)/AV254*100)</f>
        <v>0</v>
      </c>
      <c r="BH254" s="1114">
        <f>IF(AW254=0,0,(AX254-AW254)/AW254*100)</f>
        <v>0</v>
      </c>
      <c r="BI254" s="1114">
        <f>IF(AX254=0,0,(AY254-AX254)/AX254*100)</f>
        <v>0</v>
      </c>
      <c r="BJ254" s="1114">
        <f>IF(AY254=0,0,(AZ254-AY254)/AY254*100)</f>
        <v>0</v>
      </c>
      <c r="BK254" s="1114">
        <f>IF(AZ254=0,0,(BA254-AZ254)/AZ254*100)</f>
        <v>0</v>
      </c>
      <c r="BL254" s="1114">
        <f>IF(BA254=0,0,(BB254-BA254)/BA254*100)</f>
        <v>0</v>
      </c>
      <c r="BM254" s="1114">
        <f>IF(BB254=0,0,(BC254-BB254)/BB254*100)</f>
        <v>0</v>
      </c>
      <c r="BN254" s="7433"/>
      <c r="BO254" s="7433"/>
      <c r="BP254" s="7433"/>
      <c r="BQ254" s="1278"/>
      <c r="BR254" s="1278"/>
      <c r="BS254" s="1064" t="s">
        <v>2818</v>
      </c>
      <c r="BT254" s="1064"/>
      <c r="BU254" s="1064"/>
      <c r="BV254" s="979"/>
      <c r="BW254" s="979"/>
    </row>
    <row s="1834" customFormat="1" customHeight="1" ht="0">
      <c r="A255" s="1278"/>
      <c r="B255" s="978"/>
      <c r="C255" s="107"/>
      <c r="D255" s="107"/>
      <c r="E255" s="621">
        <v>15</v>
      </c>
      <c r="F255" s="50" cm="1" t="str">
        <f t="array" ref="F255:F255">OFFSET(E255,-1,1)</f>
        <v>1</v>
      </c>
      <c r="G255" s="107"/>
      <c r="H255" s="107"/>
      <c r="I255" s="107" t="s">
        <v>2819</v>
      </c>
      <c r="J255" s="107"/>
      <c r="K255" s="158" t="s">
        <v>2819</v>
      </c>
      <c r="L255" s="980"/>
      <c r="M255" s="107"/>
      <c r="N255" s="107"/>
      <c r="O255" s="107"/>
      <c r="P255" s="107"/>
      <c r="Q255" s="107"/>
      <c r="R255" s="107"/>
      <c r="S255" s="107"/>
      <c r="T255" s="465" cm="1" t="str">
        <f t="array" ref="T255:T255">T254</f>
        <v>true</v>
      </c>
      <c r="U255" s="107"/>
      <c r="V255" s="107"/>
      <c r="W255" s="107"/>
      <c r="X255" s="1596"/>
      <c r="Y255" s="1278"/>
      <c r="Z255" s="1546"/>
      <c r="AA255" s="1278"/>
      <c r="AB255" s="300" t="s">
        <v>2820</v>
      </c>
      <c r="AC255" s="765" t="s">
        <v>2821</v>
      </c>
      <c r="AD255" s="300" t="s">
        <v>1514</v>
      </c>
      <c r="AE255" s="3946"/>
      <c r="AF255" s="3946"/>
      <c r="AG255" s="3946"/>
      <c r="AH255" s="1114">
        <f>AG255-AF255</f>
        <v>0</v>
      </c>
      <c r="AI255" s="3946"/>
      <c r="AJ255" s="3946"/>
      <c r="AK255" s="3946"/>
      <c r="AL255" s="3946"/>
      <c r="AM255" s="3946"/>
      <c r="AN255" s="3946"/>
      <c r="AO255" s="1241"/>
      <c r="AP255" s="1241"/>
      <c r="AQ255" s="1241"/>
      <c r="AR255" s="1241"/>
      <c r="AS255" s="1241"/>
      <c r="AT255" s="3946"/>
      <c r="AU255" s="3946"/>
      <c r="AV255" s="3946"/>
      <c r="AW255" s="3946"/>
      <c r="AX255" s="3946"/>
      <c r="AY255" s="1241"/>
      <c r="AZ255" s="1241"/>
      <c r="BA255" s="1241"/>
      <c r="BB255" s="1241"/>
      <c r="BC255" s="1241"/>
      <c r="BD255" s="1114">
        <f>IF(AI255=0,0,(AT255-AI255)/AI255*100)</f>
        <v>0</v>
      </c>
      <c r="BE255" s="1114">
        <f>IF(AT255=0,0,(AU255-AT255)/AT255*100)</f>
        <v>0</v>
      </c>
      <c r="BF255" s="1114">
        <f>IF(AU255=0,0,(AV255-AU255)/AU255*100)</f>
        <v>0</v>
      </c>
      <c r="BG255" s="1114">
        <f>IF(AV255=0,0,(AW255-AV255)/AV255*100)</f>
        <v>0</v>
      </c>
      <c r="BH255" s="1114">
        <f>IF(AW255=0,0,(AX255-AW255)/AW255*100)</f>
        <v>0</v>
      </c>
      <c r="BI255" s="1114">
        <f>IF(AX255=0,0,(AY255-AX255)/AX255*100)</f>
        <v>0</v>
      </c>
      <c r="BJ255" s="1114">
        <f>IF(AY255=0,0,(AZ255-AY255)/AY255*100)</f>
        <v>0</v>
      </c>
      <c r="BK255" s="1114">
        <f>IF(AZ255=0,0,(BA255-AZ255)/AZ255*100)</f>
        <v>0</v>
      </c>
      <c r="BL255" s="1114">
        <f>IF(BA255=0,0,(BB255-BA255)/BA255*100)</f>
        <v>0</v>
      </c>
      <c r="BM255" s="1114">
        <f>IF(BB255=0,0,(BC255-BB255)/BB255*100)</f>
        <v>0</v>
      </c>
      <c r="BN255" s="7433"/>
      <c r="BO255" s="7433"/>
      <c r="BP255" s="7433"/>
      <c r="BQ255" s="1278"/>
      <c r="BR255" s="1278"/>
      <c r="BS255" s="1064" t="s">
        <v>1991</v>
      </c>
      <c r="BT255" s="1064"/>
      <c r="BU255" s="1064"/>
      <c r="BV255" s="979"/>
      <c r="BW255" s="979"/>
    </row>
    <row s="1834" customFormat="1" customHeight="1" ht="0">
      <c r="A256" s="1278"/>
      <c r="B256" s="978"/>
      <c r="C256" s="107"/>
      <c r="D256" s="107"/>
      <c r="E256" s="621">
        <v>15</v>
      </c>
      <c r="F256" s="50" cm="1" t="str">
        <f t="array" ref="F256:F256">OFFSET(E256,-1,1)</f>
        <v>1</v>
      </c>
      <c r="G256" s="107"/>
      <c r="H256" s="107"/>
      <c r="I256" s="107" t="s">
        <v>2822</v>
      </c>
      <c r="J256" s="107"/>
      <c r="K256" s="158" t="s">
        <v>2822</v>
      </c>
      <c r="L256" s="980" t="s">
        <v>1640</v>
      </c>
      <c r="M256" s="107"/>
      <c r="N256" s="107"/>
      <c r="O256" s="107"/>
      <c r="P256" s="107"/>
      <c r="Q256" s="107"/>
      <c r="R256" s="107"/>
      <c r="S256" s="107"/>
      <c r="T256" s="465" cm="1" t="str">
        <f t="array" ref="T256:T256">T255</f>
        <v>true</v>
      </c>
      <c r="U256" s="107"/>
      <c r="V256" s="107"/>
      <c r="W256" s="107"/>
      <c r="X256" s="1596"/>
      <c r="Y256" s="1278"/>
      <c r="Z256" s="1546"/>
      <c r="AA256" s="1278"/>
      <c r="AB256" s="300" t="s">
        <v>2823</v>
      </c>
      <c r="AC256" s="765" t="s">
        <v>2824</v>
      </c>
      <c r="AD256" s="300" t="s">
        <v>1514</v>
      </c>
      <c r="AE256" s="3946"/>
      <c r="AF256" s="3946"/>
      <c r="AG256" s="3946"/>
      <c r="AH256" s="1114">
        <f>AG256-AF256</f>
        <v>0</v>
      </c>
      <c r="AI256" s="3946"/>
      <c r="AJ256" s="3946"/>
      <c r="AK256" s="3946"/>
      <c r="AL256" s="3946"/>
      <c r="AM256" s="3946"/>
      <c r="AN256" s="3946"/>
      <c r="AO256" s="1241"/>
      <c r="AP256" s="1241"/>
      <c r="AQ256" s="1241"/>
      <c r="AR256" s="1241"/>
      <c r="AS256" s="1241"/>
      <c r="AT256" s="3946"/>
      <c r="AU256" s="3946"/>
      <c r="AV256" s="3946"/>
      <c r="AW256" s="3946"/>
      <c r="AX256" s="3946"/>
      <c r="AY256" s="1241"/>
      <c r="AZ256" s="1241"/>
      <c r="BA256" s="1241"/>
      <c r="BB256" s="1241"/>
      <c r="BC256" s="1241"/>
      <c r="BD256" s="1114">
        <f>IF(AI256=0,0,(AT256-AI256)/AI256*100)</f>
        <v>0</v>
      </c>
      <c r="BE256" s="1114">
        <f>IF(AT256=0,0,(AU256-AT256)/AT256*100)</f>
        <v>0</v>
      </c>
      <c r="BF256" s="1114">
        <f>IF(AU256=0,0,(AV256-AU256)/AU256*100)</f>
        <v>0</v>
      </c>
      <c r="BG256" s="1114">
        <f>IF(AV256=0,0,(AW256-AV256)/AV256*100)</f>
        <v>0</v>
      </c>
      <c r="BH256" s="1114">
        <f>IF(AW256=0,0,(AX256-AW256)/AW256*100)</f>
        <v>0</v>
      </c>
      <c r="BI256" s="1114">
        <f>IF(AX256=0,0,(AY256-AX256)/AX256*100)</f>
        <v>0</v>
      </c>
      <c r="BJ256" s="1114">
        <f>IF(AY256=0,0,(AZ256-AY256)/AY256*100)</f>
        <v>0</v>
      </c>
      <c r="BK256" s="1114">
        <f>IF(AZ256=0,0,(BA256-AZ256)/AZ256*100)</f>
        <v>0</v>
      </c>
      <c r="BL256" s="1114">
        <f>IF(BA256=0,0,(BB256-BA256)/BA256*100)</f>
        <v>0</v>
      </c>
      <c r="BM256" s="1114">
        <f>IF(BB256=0,0,(BC256-BB256)/BB256*100)</f>
        <v>0</v>
      </c>
      <c r="BN256" s="7433"/>
      <c r="BO256" s="7433"/>
      <c r="BP256" s="7433"/>
      <c r="BQ256" s="1278"/>
      <c r="BR256" s="1278"/>
      <c r="BS256" s="1064" t="s">
        <v>2825</v>
      </c>
      <c r="BT256" s="1064"/>
      <c r="BU256" s="1064"/>
      <c r="BV256" s="979"/>
      <c r="BW256" s="979"/>
    </row>
    <row s="1834" customFormat="1" customHeight="1" ht="0">
      <c r="A257" s="1278"/>
      <c r="B257" s="978"/>
      <c r="C257" s="107"/>
      <c r="D257" s="107"/>
      <c r="E257" s="621">
        <v>22.5</v>
      </c>
      <c r="F257" s="50" cm="1" t="str">
        <f t="array" ref="F257:F257">OFFSET(E257,-1,1)</f>
        <v>1</v>
      </c>
      <c r="G257" s="107" t="s">
        <v>2212</v>
      </c>
      <c r="H257" s="107"/>
      <c r="I257" s="107" t="s">
        <v>2826</v>
      </c>
      <c r="J257" s="107"/>
      <c r="K257" s="158" t="s">
        <v>2826</v>
      </c>
      <c r="L257" s="980"/>
      <c r="M257" s="107"/>
      <c r="N257" s="107"/>
      <c r="O257" s="107"/>
      <c r="P257" s="107"/>
      <c r="Q257" s="107"/>
      <c r="R257" s="107"/>
      <c r="S257" s="107"/>
      <c r="T257" s="465" cm="1" t="str">
        <f t="array" ref="T257:T257">T256</f>
        <v>true</v>
      </c>
      <c r="U257" s="107"/>
      <c r="V257" s="107"/>
      <c r="W257" s="107"/>
      <c r="X257" s="1596"/>
      <c r="Y257" s="1278"/>
      <c r="Z257" s="1546"/>
      <c r="AA257" s="1278"/>
      <c r="AB257" s="300" t="s">
        <v>2276</v>
      </c>
      <c r="AC257" s="762" t="s">
        <v>2827</v>
      </c>
      <c r="AD257" s="300" t="s">
        <v>1514</v>
      </c>
      <c r="AE257" s="3946"/>
      <c r="AF257" s="3946"/>
      <c r="AG257" s="3946"/>
      <c r="AH257" s="1114">
        <f>AG257-AF257</f>
        <v>0</v>
      </c>
      <c r="AI257" s="3946"/>
      <c r="AJ257" s="3946"/>
      <c r="AK257" s="3946"/>
      <c r="AL257" s="3946"/>
      <c r="AM257" s="3946"/>
      <c r="AN257" s="3946"/>
      <c r="AO257" s="1241"/>
      <c r="AP257" s="1241"/>
      <c r="AQ257" s="1241"/>
      <c r="AR257" s="1241"/>
      <c r="AS257" s="1241"/>
      <c r="AT257" s="3946"/>
      <c r="AU257" s="3946"/>
      <c r="AV257" s="3946"/>
      <c r="AW257" s="3946"/>
      <c r="AX257" s="3946"/>
      <c r="AY257" s="1241"/>
      <c r="AZ257" s="1241"/>
      <c r="BA257" s="1241"/>
      <c r="BB257" s="1241"/>
      <c r="BC257" s="1241"/>
      <c r="BD257" s="1114">
        <f>IF(AI257=0,0,(AT257-AI257)/AI257*100)</f>
        <v>0</v>
      </c>
      <c r="BE257" s="1114">
        <f>IF(AT257=0,0,(AU257-AT257)/AT257*100)</f>
        <v>0</v>
      </c>
      <c r="BF257" s="1114">
        <f>IF(AU257=0,0,(AV257-AU257)/AU257*100)</f>
        <v>0</v>
      </c>
      <c r="BG257" s="1114">
        <f>IF(AV257=0,0,(AW257-AV257)/AV257*100)</f>
        <v>0</v>
      </c>
      <c r="BH257" s="1114">
        <f>IF(AW257=0,0,(AX257-AW257)/AW257*100)</f>
        <v>0</v>
      </c>
      <c r="BI257" s="1114">
        <f>IF(AX257=0,0,(AY257-AX257)/AX257*100)</f>
        <v>0</v>
      </c>
      <c r="BJ257" s="1114">
        <f>IF(AY257=0,0,(AZ257-AY257)/AY257*100)</f>
        <v>0</v>
      </c>
      <c r="BK257" s="1114">
        <f>IF(AZ257=0,0,(BA257-AZ257)/AZ257*100)</f>
        <v>0</v>
      </c>
      <c r="BL257" s="1114">
        <f>IF(BA257=0,0,(BB257-BA257)/BA257*100)</f>
        <v>0</v>
      </c>
      <c r="BM257" s="1114">
        <f>IF(BB257=0,0,(BC257-BB257)/BB257*100)</f>
        <v>0</v>
      </c>
      <c r="BN257" s="7433"/>
      <c r="BO257" s="7433"/>
      <c r="BP257" s="7433"/>
      <c r="BQ257" s="1278"/>
      <c r="BR257" s="1278"/>
      <c r="BS257" s="1064" t="s">
        <v>2828</v>
      </c>
      <c r="BT257" s="1064"/>
      <c r="BU257" s="1064"/>
      <c r="BV257" s="979"/>
      <c r="BW257" s="979"/>
    </row>
    <row s="7488" customFormat="1" customHeight="1" ht="180.75">
      <c r="A258" s="700"/>
      <c r="B258" s="435"/>
      <c r="C258" s="109"/>
      <c r="D258" s="109"/>
      <c r="E258" s="826">
        <v>21</v>
      </c>
      <c r="F258" s="50" cm="1" t="str">
        <f t="array" ref="F258:F258">OFFSET(E258,-1,1)</f>
        <v>1</v>
      </c>
      <c r="G258" s="107" t="s">
        <v>2829</v>
      </c>
      <c r="H258" s="107"/>
      <c r="I258" s="107" t="s">
        <v>334</v>
      </c>
      <c r="J258" s="109"/>
      <c r="K258" s="158" t="s">
        <v>334</v>
      </c>
      <c r="L258" s="985" t="s">
        <v>2068</v>
      </c>
      <c r="M258" s="109"/>
      <c r="N258" s="109"/>
      <c r="O258" s="109"/>
      <c r="P258" s="109"/>
      <c r="Q258" s="109"/>
      <c r="R258" s="109"/>
      <c r="S258" s="109"/>
      <c r="T258" s="465" cm="1" t="str">
        <f t="array" ref="T258:T258">T257</f>
        <v>true</v>
      </c>
      <c r="U258" s="109"/>
      <c r="V258" s="109"/>
      <c r="W258" s="109"/>
      <c r="X258" s="1596"/>
      <c r="Y258" s="700"/>
      <c r="Z258" s="1546"/>
      <c r="AA258" s="700"/>
      <c r="AB258" s="211" t="s">
        <v>289</v>
      </c>
      <c r="AC258" s="212" t="s">
        <v>2830</v>
      </c>
      <c r="AD258" s="211" t="s">
        <v>1514</v>
      </c>
      <c r="AE258" s="778">
        <f>_xlfn.SUMIFS(ЭЭ!AE$25:AE$189,ЭЭ!$F$25:$F$189,$F258,ЭЭ!$AC$25:$AC$189,"Всего по тарифу")</f>
        <v>0</v>
      </c>
      <c r="AF258" s="778">
        <f>_xlfn.SUMIFS(ЭЭ!AF$25:AF$189,ЭЭ!$F$25:$F$189,$F258,ЭЭ!$AC$25:$AC$189,"Всего по тарифу")</f>
        <v>0</v>
      </c>
      <c r="AG258" s="778">
        <f>_xlfn.SUMIFS(ЭЭ!AG$25:AG$189,ЭЭ!$F$25:$F$189,$F258,ЭЭ!$AC$25:$AC$189,"Всего по тарифу")</f>
        <v>0</v>
      </c>
      <c r="AH258" s="778">
        <f>AG258-AF258</f>
        <v>0</v>
      </c>
      <c r="AI258" s="778">
        <f>_xlfn.SUMIFS(ЭЭ!AH$25:AH$189,ЭЭ!$F$25:$F$189,$F258,ЭЭ!$AC$25:$AC$189,"Всего по тарифу")</f>
        <v>0</v>
      </c>
      <c r="AJ258" s="778">
        <f>_xlfn.SUMIFS(ЭЭ!AI$25:AI$189,ЭЭ!$F$25:$F$189,$F258,ЭЭ!$AC$25:$AC$189,"Всего по тарифу")</f>
        <v>48401.99</v>
      </c>
      <c r="AK258" s="778">
        <f>_xlfn.SUMIFS(ЭЭ!AJ$25:AJ$189,ЭЭ!$F$25:$F$189,$F258,ЭЭ!$AC$25:$AC$189,"Всего по тарифу")</f>
        <v>52806.57</v>
      </c>
      <c r="AL258" s="778">
        <f>_xlfn.SUMIFS(ЭЭ!AK$25:AK$189,ЭЭ!$F$25:$F$189,$F258,ЭЭ!$AC$25:$AC$189,"Всего по тарифу")</f>
        <v>55394.09</v>
      </c>
      <c r="AM258" s="778">
        <f>_xlfn.SUMIFS(ЭЭ!AL$25:AL$189,ЭЭ!$F$25:$F$189,$F258,ЭЭ!$AC$25:$AC$189,"Всего по тарифу")</f>
        <v>58108.4</v>
      </c>
      <c r="AN258" s="778">
        <f>_xlfn.SUMIFS(ЭЭ!AM$25:AM$189,ЭЭ!$F$25:$F$189,$F258,ЭЭ!$AC$25:$AC$189,"Всего по тарифу")</f>
        <v>60955.714</v>
      </c>
      <c r="AO258" s="778">
        <f>_xlfn.SUMIFS(ЭЭ!AN$25:AN$189,ЭЭ!$F$25:$F$189,$F258,ЭЭ!$AC$25:$AC$189,"Всего по тарифу")</f>
        <v>0</v>
      </c>
      <c r="AP258" s="778">
        <f>_xlfn.SUMIFS(ЭЭ!AO$25:AO$189,ЭЭ!$F$25:$F$189,$F258,ЭЭ!$AC$25:$AC$189,"Всего по тарифу")</f>
        <v>0</v>
      </c>
      <c r="AQ258" s="778">
        <f>_xlfn.SUMIFS(ЭЭ!AP$25:AP$189,ЭЭ!$F$25:$F$189,$F258,ЭЭ!$AC$25:$AC$189,"Всего по тарифу")</f>
        <v>0</v>
      </c>
      <c r="AR258" s="778">
        <f>_xlfn.SUMIFS(ЭЭ!AQ$25:AQ$189,ЭЭ!$F$25:$F$189,$F258,ЭЭ!$AC$25:$AC$189,"Всего по тарифу")</f>
        <v>0</v>
      </c>
      <c r="AS258" s="778">
        <f>_xlfn.SUMIFS(ЭЭ!AR$25:AR$189,ЭЭ!$F$25:$F$189,$F258,ЭЭ!$AC$25:$AC$189,"Всего по тарифу")</f>
        <v>0</v>
      </c>
      <c r="AT258" s="778">
        <f>_xlfn.SUMIFS(ЭЭ!AS$25:AS$189,ЭЭ!$F$25:$F$189,$F258,ЭЭ!$AC$25:$AC$189,"Всего по тарифу")</f>
        <v>48505.1543799309</v>
      </c>
      <c r="AU258" s="778">
        <f>_xlfn.SUMIFS(ЭЭ!AT$25:AT$189,ЭЭ!$F$25:$F$189,$F258,ЭЭ!$AC$25:$AC$189,"Всего по тарифу")</f>
        <v>52919.1234285047</v>
      </c>
      <c r="AV258" s="778">
        <f>_xlfn.SUMIFS(ЭЭ!AU$25:AU$189,ЭЭ!$F$25:$F$189,$F258,ЭЭ!$AC$25:$AC$189,"Всего по тарифу")</f>
        <v>55512.1604765015</v>
      </c>
      <c r="AW258" s="778">
        <f>_xlfn.SUMIFS(ЭЭ!AV$25:AV$189,ЭЭ!$F$25:$F$189,$F258,ЭЭ!$AC$25:$AC$189,"Всего по тарифу")</f>
        <v>58233.8653094486</v>
      </c>
      <c r="AX258" s="778">
        <f>_xlfn.SUMIFS(ЭЭ!AW$25:AW$189,ЭЭ!$F$25:$F$189,$F258,ЭЭ!$AC$25:$AC$189,"Всего по тарифу")</f>
        <v>61117.1048125848</v>
      </c>
      <c r="AY258" s="778">
        <f>_xlfn.SUMIFS(ЭЭ!AX$25:AX$189,ЭЭ!$F$25:$F$189,$F258,ЭЭ!$AC$25:$AC$189,"Всего по тарифу")</f>
        <v>0</v>
      </c>
      <c r="AZ258" s="778">
        <f>_xlfn.SUMIFS(ЭЭ!AY$25:AY$189,ЭЭ!$F$25:$F$189,$F258,ЭЭ!$AC$25:$AC$189,"Всего по тарифу")</f>
        <v>0</v>
      </c>
      <c r="BA258" s="778">
        <f>_xlfn.SUMIFS(ЭЭ!AZ$25:AZ$189,ЭЭ!$F$25:$F$189,$F258,ЭЭ!$AC$25:$AC$189,"Всего по тарифу")</f>
        <v>0</v>
      </c>
      <c r="BB258" s="778">
        <f>_xlfn.SUMIFS(ЭЭ!BA$25:BA$189,ЭЭ!$F$25:$F$189,$F258,ЭЭ!$AC$25:$AC$189,"Всего по тарифу")</f>
        <v>0</v>
      </c>
      <c r="BC258" s="778">
        <f>_xlfn.SUMIFS(ЭЭ!BB$25:BB$189,ЭЭ!$F$25:$F$189,$F258,ЭЭ!$AC$25:$AC$189,"Всего по тарифу")</f>
        <v>0</v>
      </c>
      <c r="BD258" s="778">
        <f>IF(AI258=0,0,(AT258-AI258)/AI258*100)</f>
        <v>0</v>
      </c>
      <c r="BE258" s="778">
        <f>IF(AT258=0,0,(AU258-AT258)/AT258*100)</f>
        <v>9.10000000000019</v>
      </c>
      <c r="BF258" s="778">
        <f>IF(AU258=0,0,(AV258-AU258)/AU258*100)</f>
        <v>4.90000000000013</v>
      </c>
      <c r="BG258" s="778">
        <f>IF(AV258=0,0,(AW258-AV258)/AV258*100)</f>
        <v>4.90289840925793</v>
      </c>
      <c r="BH258" s="778">
        <f>IF(AW258=0,0,(AX258-AW258)/AW258*100)</f>
        <v>4.95113880525528</v>
      </c>
      <c r="BI258" s="778">
        <f>IF(AX258=0,0,(AY258-AX258)/AX258*100)</f>
        <v>-100</v>
      </c>
      <c r="BJ258" s="778">
        <f>IF(AY258=0,0,(AZ258-AY258)/AY258*100)</f>
        <v>0</v>
      </c>
      <c r="BK258" s="778">
        <f>IF(AZ258=0,0,(BA258-AZ258)/AZ258*100)</f>
        <v>0</v>
      </c>
      <c r="BL258" s="778">
        <f>IF(BA258=0,0,(BB258-BA258)/BA258*100)</f>
        <v>0</v>
      </c>
      <c r="BM258" s="778">
        <f>IF(BB258=0,0,(BC258-BB258)/BB258*100)</f>
        <v>0</v>
      </c>
      <c r="BN258" s="7433"/>
      <c r="BO258" s="7487" t="str">
        <f>IF(_xlfn.IFERROR(INDEX(ЭЭ!$K$26:$L$189,MATCH($F258&amp;"komm",ЭЭ!$K$26:$K$189,0),2),"")=0,"",_xlfn.IFERROR(INDEX(ЭЭ!$K$26:$L$189,MATCH($F258&amp;"komm",ЭЭ!$K$26:$K$189,0),2),""))</f>
        <v>В соответствии с п. 20 Методических указаний расходы регулируемой организации на приобретаемые электрическую энергию (мощность), тепловую энергию (мощность), другие виды энергетических ресурсов, холодную воду, теплоноситель определяются как сумма произведений расчетных экономически (технологически, технически) обоснованных объемов приобретаемых электрической энергии (мощности), тепловой энергии (мощности), других видов энергетических ресурсов холодной воды на соответственно плановые (расчетные) цены (тарифы) на электрическую энергию (мощность), тепловую энергию (мощность), другие виды энергетических ресурсов, холодную воду. Объемы приобретаемой электрической энергии (мощности), тепловой энергии (мощности) определяются с учетом показателей надежности, качества, энергетической эффективности в сфере водоснабжения и (или) водоотведения, определенных в установленном порядке.</v>
      </c>
      <c r="BP258" s="7433"/>
      <c r="BQ258" s="700"/>
      <c r="BR258" s="700"/>
      <c r="BS258" s="1070" t="s">
        <v>2446</v>
      </c>
      <c r="BT258" s="1070"/>
      <c r="BU258" s="1070"/>
      <c r="BV258" s="707"/>
      <c r="BW258" s="707"/>
    </row>
    <row s="7489" customFormat="1" customHeight="1" ht="33.75">
      <c r="A259" s="700"/>
      <c r="B259" s="162">
        <f>method_reg="Метод индексации"</f>
        <v>1</v>
      </c>
      <c r="C259" s="109"/>
      <c r="D259" s="109"/>
      <c r="E259" s="826">
        <v>22.5</v>
      </c>
      <c r="F259" s="50" cm="1" t="str">
        <f t="array" ref="F259:F259">OFFSET(E259,-1,1)</f>
        <v>1</v>
      </c>
      <c r="G259" s="107" t="s">
        <v>2234</v>
      </c>
      <c r="H259" s="107"/>
      <c r="I259" s="107" t="s">
        <v>336</v>
      </c>
      <c r="J259" s="109"/>
      <c r="K259" s="158"/>
      <c r="L259" s="985" t="s">
        <v>335</v>
      </c>
      <c r="M259" s="109"/>
      <c r="N259" s="109"/>
      <c r="O259" s="109"/>
      <c r="P259" s="109"/>
      <c r="Q259" s="109"/>
      <c r="R259" s="109"/>
      <c r="S259" s="109"/>
      <c r="T259" s="465" cm="1" t="str">
        <f t="array" ref="T259:T259">T258</f>
        <v>true</v>
      </c>
      <c r="U259" s="109"/>
      <c r="V259" s="109"/>
      <c r="W259" s="109"/>
      <c r="X259" s="1596"/>
      <c r="Y259" s="700"/>
      <c r="Z259" s="1546"/>
      <c r="AA259" s="700"/>
      <c r="AB259" s="211" t="s">
        <v>295</v>
      </c>
      <c r="AC259" s="212" t="s">
        <v>2831</v>
      </c>
      <c r="AD259" s="211" t="s">
        <v>1514</v>
      </c>
      <c r="AE259" s="778">
        <f>_xlfn.SUMIFS(Амортизация!AE$25:AE$272,Амортизация!$F$25:$F$272,$F259,Амортизация!$AC$25:$AC$272,"Сумма амортизационных отчислений")</f>
        <v>0</v>
      </c>
      <c r="AF259" s="778">
        <f>_xlfn.SUMIFS(Амортизация!AF$25:AF$272,Амортизация!$F$25:$F$272,$F259,Амортизация!$AC$25:$AC$272,"Сумма амортизационных отчислений")</f>
        <v>0</v>
      </c>
      <c r="AG259" s="778">
        <f>_xlfn.SUMIFS(Амортизация!AG$25:AG$272,Амортизация!$F$25:$F$272,$F259,Амортизация!$AC$25:$AC$272,"Сумма амортизационных отчислений")</f>
        <v>0</v>
      </c>
      <c r="AH259" s="778">
        <f>AG259-AF259</f>
        <v>0</v>
      </c>
      <c r="AI259" s="778">
        <f>_xlfn.SUMIFS(Амортизация!AH$25:AH$272,Амортизация!$F$25:$F$272,$F259,Амортизация!$AC$25:$AC$272,"Сумма амортизационных отчислений")</f>
        <v>0</v>
      </c>
      <c r="AJ259" s="778">
        <f>_xlfn.SUMIFS(Амортизация!AI$25:AI$272,Амортизация!$F$25:$F$272,$F259,Амортизация!$AC$25:$AC$272,"Сумма амортизационных отчислений")</f>
        <v>0</v>
      </c>
      <c r="AK259" s="778">
        <f>_xlfn.SUMIFS(Амортизация!AJ$25:AJ$272,Амортизация!$F$25:$F$272,$F259,Амортизация!$AC$25:$AC$272,"Сумма амортизационных отчислений")</f>
        <v>0</v>
      </c>
      <c r="AL259" s="778">
        <f>_xlfn.SUMIFS(Амортизация!AK$25:AK$272,Амортизация!$F$25:$F$272,$F259,Амортизация!$AC$25:$AC$272,"Сумма амортизационных отчислений")</f>
        <v>1666.67</v>
      </c>
      <c r="AM259" s="778">
        <f>_xlfn.SUMIFS(Амортизация!AL$25:AL$272,Амортизация!$F$25:$F$272,$F259,Амортизация!$AC$25:$AC$272,"Сумма амортизационных отчислений")</f>
        <v>7043.79</v>
      </c>
      <c r="AN259" s="778">
        <f>_xlfn.SUMIFS(Амортизация!AM$25:AM$272,Амортизация!$F$25:$F$272,$F259,Амортизация!$AC$25:$AC$272,"Сумма амортизационных отчислений")</f>
        <v>57081.93</v>
      </c>
      <c r="AO259" s="778">
        <f>_xlfn.SUMIFS(Амортизация!AN$25:AN$272,Амортизация!$F$25:$F$272,$F259,Амортизация!$AC$25:$AC$272,"Сумма амортизационных отчислений")</f>
        <v>0</v>
      </c>
      <c r="AP259" s="778">
        <f>_xlfn.SUMIFS(Амортизация!AO$25:AO$272,Амортизация!$F$25:$F$272,$F259,Амортизация!$AC$25:$AC$272,"Сумма амортизационных отчислений")</f>
        <v>0</v>
      </c>
      <c r="AQ259" s="778">
        <f>_xlfn.SUMIFS(Амортизация!AP$25:AP$272,Амортизация!$F$25:$F$272,$F259,Амортизация!$AC$25:$AC$272,"Сумма амортизационных отчислений")</f>
        <v>0</v>
      </c>
      <c r="AR259" s="778">
        <f>_xlfn.SUMIFS(Амортизация!AQ$25:AQ$272,Амортизация!$F$25:$F$272,$F259,Амортизация!$AC$25:$AC$272,"Сумма амортизационных отчислений")</f>
        <v>0</v>
      </c>
      <c r="AS259" s="778">
        <f>_xlfn.SUMIFS(Амортизация!AR$25:AR$272,Амортизация!$F$25:$F$272,$F259,Амортизация!$AC$25:$AC$272,"Сумма амортизационных отчислений")</f>
        <v>0</v>
      </c>
      <c r="AT259" s="778">
        <f>_xlfn.SUMIFS(Амортизация!AS$25:AS$272,Амортизация!$F$25:$F$272,$F259,Амортизация!$AC$25:$AC$272,"Сумма амортизационных отчислений")</f>
        <v>0</v>
      </c>
      <c r="AU259" s="778">
        <f>_xlfn.SUMIFS(Амортизация!AT$25:AT$272,Амортизация!$F$25:$F$272,$F259,Амортизация!$AC$25:$AC$272,"Сумма амортизационных отчислений")</f>
        <v>0</v>
      </c>
      <c r="AV259" s="778">
        <f>_xlfn.SUMIFS(Амортизация!AU$25:AU$272,Амортизация!$F$25:$F$272,$F259,Амортизация!$AC$25:$AC$272,"Сумма амортизационных отчислений")</f>
        <v>1666.67</v>
      </c>
      <c r="AW259" s="778">
        <f>_xlfn.SUMIFS(Амортизация!AV$25:AV$272,Амортизация!$F$25:$F$272,$F259,Амортизация!$AC$25:$AC$272,"Сумма амортизационных отчислений")</f>
        <v>7043.79</v>
      </c>
      <c r="AX259" s="778">
        <f>_xlfn.SUMIFS(Амортизация!AW$25:AW$272,Амортизация!$F$25:$F$272,$F259,Амортизация!$AC$25:$AC$272,"Сумма амортизационных отчислений")</f>
        <v>57081.93</v>
      </c>
      <c r="AY259" s="778">
        <f>_xlfn.SUMIFS(Амортизация!AX$25:AX$272,Амортизация!$F$25:$F$272,$F259,Амортизация!$AC$25:$AC$272,"Сумма амортизационных отчислений")</f>
        <v>0</v>
      </c>
      <c r="AZ259" s="778">
        <f>_xlfn.SUMIFS(Амортизация!AY$25:AY$272,Амортизация!$F$25:$F$272,$F259,Амортизация!$AC$25:$AC$272,"Сумма амортизационных отчислений")</f>
        <v>0</v>
      </c>
      <c r="BA259" s="778">
        <f>_xlfn.SUMIFS(Амортизация!AZ$25:AZ$272,Амортизация!$F$25:$F$272,$F259,Амортизация!$AC$25:$AC$272,"Сумма амортизационных отчислений")</f>
        <v>0</v>
      </c>
      <c r="BB259" s="778">
        <f>_xlfn.SUMIFS(Амортизация!BA$25:BA$272,Амортизация!$F$25:$F$272,$F259,Амортизация!$AC$25:$AC$272,"Сумма амортизационных отчислений")</f>
        <v>0</v>
      </c>
      <c r="BC259" s="778">
        <f>_xlfn.SUMIFS(Амортизация!BB$25:BB$272,Амортизация!$F$25:$F$272,$F259,Амортизация!$AC$25:$AC$272,"Сумма амортизационных отчислений")</f>
        <v>0</v>
      </c>
      <c r="BD259" s="778">
        <f>IF(AI259=0,0,(AT259-AI259)/AI259*100)</f>
        <v>0</v>
      </c>
      <c r="BE259" s="778">
        <f>IF(AT259=0,0,(AU259-AT259)/AT259*100)</f>
        <v>0</v>
      </c>
      <c r="BF259" s="778">
        <f>IF(AU259=0,0,(AV259-AU259)/AU259*100)</f>
        <v>0</v>
      </c>
      <c r="BG259" s="778">
        <f>IF(AV259=0,0,(AW259-AV259)/AV259*100)</f>
        <v>322.626554746891</v>
      </c>
      <c r="BH259" s="778">
        <f>IF(AW259=0,0,(AX259-AW259)/AW259*100)</f>
        <v>710.386595852517</v>
      </c>
      <c r="BI259" s="778">
        <f>IF(AX259=0,0,(AY259-AX259)/AX259*100)</f>
        <v>-100</v>
      </c>
      <c r="BJ259" s="778">
        <f>IF(AY259=0,0,(AZ259-AY259)/AY259*100)</f>
        <v>0</v>
      </c>
      <c r="BK259" s="778">
        <f>IF(AZ259=0,0,(BA259-AZ259)/AZ259*100)</f>
        <v>0</v>
      </c>
      <c r="BL259" s="778">
        <f>IF(BA259=0,0,(BB259-BA259)/BA259*100)</f>
        <v>0</v>
      </c>
      <c r="BM259" s="778">
        <f>IF(BB259=0,0,(BC259-BB259)/BB259*100)</f>
        <v>0</v>
      </c>
      <c r="BN259" s="7433"/>
      <c r="BO259" s="7437" t="str">
        <f>IF(_xlfn.IFERROR(INDEX(Амортизация!$K$26:$L$272,MATCH($F259&amp;"komm",Амортизация!$K$26:$K$272,0),2),"")=0,"",_xlfn.IFERROR(INDEX(Амортизация!$K$26:$L$272,MATCH($F259&amp;"komm",Амортизация!$K$26:$K$272,0),2),""))</f>
        <v/>
      </c>
      <c r="BP259" s="7433"/>
      <c r="BQ259" s="700"/>
      <c r="BR259" s="700"/>
      <c r="BS259" s="1070" t="s">
        <v>1960</v>
      </c>
      <c r="BT259" s="1070"/>
      <c r="BU259" s="1070"/>
      <c r="BV259" s="707"/>
      <c r="BW259" s="707"/>
    </row>
    <row s="1834" customFormat="1" customHeight="1" ht="23.25">
      <c r="A260" s="1278"/>
      <c r="B260" s="432" cm="1" t="str">
        <f t="array" ref="B260:B260">B259</f>
        <v>true</v>
      </c>
      <c r="C260" s="107"/>
      <c r="D260" s="107"/>
      <c r="E260" s="621">
        <v>15</v>
      </c>
      <c r="F260" s="50" cm="1" t="str">
        <f t="array" ref="F260:F260">OFFSET(E260,-1,1)</f>
        <v>1</v>
      </c>
      <c r="G260" s="107"/>
      <c r="H260" s="107"/>
      <c r="I260" s="107" t="s">
        <v>1249</v>
      </c>
      <c r="J260" s="107"/>
      <c r="K260" s="1278"/>
      <c r="L260" s="980" t="s">
        <v>1263</v>
      </c>
      <c r="M260" s="107"/>
      <c r="N260" s="107"/>
      <c r="O260" s="107"/>
      <c r="P260" s="107"/>
      <c r="Q260" s="107"/>
      <c r="R260" s="107"/>
      <c r="S260" s="107"/>
      <c r="T260" s="465" cm="1" t="str">
        <f t="array" ref="T260:T260">T259</f>
        <v>true</v>
      </c>
      <c r="U260" s="107"/>
      <c r="V260" s="107"/>
      <c r="W260" s="107"/>
      <c r="X260" s="1596"/>
      <c r="Y260" s="1278"/>
      <c r="Z260" s="1546"/>
      <c r="AA260" s="1278"/>
      <c r="AB260" s="300" t="s">
        <v>1384</v>
      </c>
      <c r="AC260" s="762" t="s">
        <v>2538</v>
      </c>
      <c r="AD260" s="300" t="s">
        <v>1514</v>
      </c>
      <c r="AE260" s="3946">
        <f>_xlfn.SUMIFS('ИП + источники'!AF$27:AF$203,'ИП + источники'!$F$27:$F$203,$F260,'ИП + источники'!$AC$27:$AC$203,"Амортизационные отчисления")+_xlfn.SUMIFS('ИП + источники'!AF$27:AF$203,'ИП + источники'!$F$27:$F$203,$F260,'ИП + источники'!$AC$27:$AC$203,"погашение займов и кредитов из амортизации")</f>
        <v>0</v>
      </c>
      <c r="AF260" s="3946">
        <f>_xlfn.SUMIFS('ИП + источники'!AG$27:AG$203,'ИП + источники'!$F$27:$F$203,$F260,'ИП + источники'!$AC$27:$AC$203,"Амортизационные отчисления")+_xlfn.SUMIFS('ИП + источники'!AG$27:AG$203,'ИП + источники'!$F$27:$F$203,$F260,'ИП + источники'!$AC$27:$AC$203,"погашение займов и кредитов из амортизации")</f>
        <v>0</v>
      </c>
      <c r="AG260" s="3946">
        <f>_xlfn.SUMIFS('ИП + источники'!AH$27:AH$203,'ИП + источники'!$F$27:$F$203,$F260,'ИП + источники'!$AC$27:$AC$203,"Амортизационные отчисления")+_xlfn.SUMIFS('ИП + источники'!AH$27:AH$203,'ИП + источники'!$F$27:$F$203,$F260,'ИП + источники'!$AC$27:$AC$203,"погашение займов и кредитов из амортизации")</f>
        <v>0</v>
      </c>
      <c r="AH260" s="1114">
        <f>AG260-AF260</f>
        <v>0</v>
      </c>
      <c r="AI260" s="3946">
        <f>_xlfn.SUMIFS('ИП + источники'!AJ$27:AJ$203,'ИП + источники'!$F$27:$F$203,$F260,'ИП + источники'!$AC$27:$AC$203,"Амортизационные отчисления")+_xlfn.SUMIFS('ИП + источники'!AJ$27:AJ$203,'ИП + источники'!$F$27:$F$203,$F260,'ИП + источники'!$AC$27:$AC$203,"погашение займов и кредитов из амортизации")</f>
        <v>0</v>
      </c>
      <c r="AJ260" s="3946">
        <f>_xlfn.SUMIFS('ИП + источники'!AK$27:AK$203,'ИП + источники'!$F$27:$F$203,$F260,'ИП + источники'!$AC$27:$AC$203,"Амортизационные отчисления")+_xlfn.SUMIFS('ИП + источники'!AK$27:AK$203,'ИП + источники'!$F$27:$F$203,$F260,'ИП + источники'!$AC$27:$AC$203,"погашение займов и кредитов из амортизации")</f>
        <v>0</v>
      </c>
      <c r="AK260" s="3946">
        <f>_xlfn.SUMIFS('ИП + источники'!AL$27:AL$203,'ИП + источники'!$F$27:$F$203,$F260,'ИП + источники'!$AC$27:$AC$203,"Амортизационные отчисления")+_xlfn.SUMIFS('ИП + источники'!AL$27:AL$203,'ИП + источники'!$F$27:$F$203,$F260,'ИП + источники'!$AC$27:$AC$203,"погашение займов и кредитов из амортизации")</f>
        <v>0</v>
      </c>
      <c r="AL260" s="3946">
        <f>_xlfn.SUMIFS('ИП + источники'!AM$27:AM$203,'ИП + источники'!$F$27:$F$203,$F260,'ИП + источники'!$AC$27:$AC$203,"Амортизационные отчисления")+_xlfn.SUMIFS('ИП + источники'!AM$27:AM$203,'ИП + источники'!$F$27:$F$203,$F260,'ИП + источники'!$AC$27:$AC$203,"погашение займов и кредитов из амортизации")</f>
        <v>0</v>
      </c>
      <c r="AM260" s="3946">
        <f>_xlfn.SUMIFS('ИП + источники'!AN$27:AN$203,'ИП + источники'!$F$27:$F$203,$F260,'ИП + источники'!$AC$27:$AC$203,"Амортизационные отчисления")+_xlfn.SUMIFS('ИП + источники'!AN$27:AN$203,'ИП + источники'!$F$27:$F$203,$F260,'ИП + источники'!$AC$27:$AC$203,"погашение займов и кредитов из амортизации")</f>
        <v>0</v>
      </c>
      <c r="AN260" s="3946">
        <f>_xlfn.SUMIFS('ИП + источники'!AO$27:AO$203,'ИП + источники'!$F$27:$F$203,$F260,'ИП + источники'!$AC$27:$AC$203,"Амортизационные отчисления")+_xlfn.SUMIFS('ИП + источники'!AO$27:AO$203,'ИП + источники'!$F$27:$F$203,$F260,'ИП + источники'!$AC$27:$AC$203,"погашение займов и кредитов из амортизации")</f>
        <v>0</v>
      </c>
      <c r="AO260" s="1241">
        <f>_xlfn.SUMIFS('ИП + источники'!AP$27:AP$203,'ИП + источники'!$F$27:$F$203,$F260,'ИП + источники'!$AC$27:$AC$203,"Амортизационные отчисления")+_xlfn.SUMIFS('ИП + источники'!AP$27:AP$203,'ИП + источники'!$F$27:$F$203,$F260,'ИП + источники'!$AC$27:$AC$203,"погашение займов и кредитов из амортизации")</f>
        <v>0</v>
      </c>
      <c r="AP260" s="1241">
        <f>_xlfn.SUMIFS('ИП + источники'!AQ$27:AQ$203,'ИП + источники'!$F$27:$F$203,$F260,'ИП + источники'!$AC$27:$AC$203,"Амортизационные отчисления")+_xlfn.SUMIFS('ИП + источники'!AQ$27:AQ$203,'ИП + источники'!$F$27:$F$203,$F260,'ИП + источники'!$AC$27:$AC$203,"погашение займов и кредитов из амортизации")</f>
        <v>0</v>
      </c>
      <c r="AQ260" s="1241">
        <f>_xlfn.SUMIFS('ИП + источники'!AR$27:AR$203,'ИП + источники'!$F$27:$F$203,$F260,'ИП + источники'!$AC$27:$AC$203,"Амортизационные отчисления")+_xlfn.SUMIFS('ИП + источники'!AR$27:AR$203,'ИП + источники'!$F$27:$F$203,$F260,'ИП + источники'!$AC$27:$AC$203,"погашение займов и кредитов из амортизации")</f>
        <v>0</v>
      </c>
      <c r="AR260" s="1241">
        <f>_xlfn.SUMIFS('ИП + источники'!AS$27:AS$203,'ИП + источники'!$F$27:$F$203,$F260,'ИП + источники'!$AC$27:$AC$203,"Амортизационные отчисления")+_xlfn.SUMIFS('ИП + источники'!AS$27:AS$203,'ИП + источники'!$F$27:$F$203,$F260,'ИП + источники'!$AC$27:$AC$203,"погашение займов и кредитов из амортизации")</f>
        <v>0</v>
      </c>
      <c r="AS260" s="1241">
        <f>_xlfn.SUMIFS('ИП + источники'!AT$27:AT$203,'ИП + источники'!$F$27:$F$203,$F260,'ИП + источники'!$AC$27:$AC$203,"Амортизационные отчисления")+_xlfn.SUMIFS('ИП + источники'!AT$27:AT$203,'ИП + источники'!$F$27:$F$203,$F260,'ИП + источники'!$AC$27:$AC$203,"погашение займов и кредитов из амортизации")</f>
        <v>0</v>
      </c>
      <c r="AT260" s="3946">
        <f>_xlfn.SUMIFS('ИП + источники'!AU$27:AU$203,'ИП + источники'!$F$27:$F$203,$F260,'ИП + источники'!$AC$27:$AC$203,"Амортизационные отчисления")+_xlfn.SUMIFS('ИП + источники'!AU$27:AU$203,'ИП + источники'!$F$27:$F$203,$F260,'ИП + источники'!$AC$27:$AC$203,"погашение займов и кредитов из амортизации")</f>
        <v>0</v>
      </c>
      <c r="AU260" s="3946">
        <f>_xlfn.SUMIFS('ИП + источники'!AV$27:AV$203,'ИП + источники'!$F$27:$F$203,$F260,'ИП + источники'!$AC$27:$AC$203,"Амортизационные отчисления")+_xlfn.SUMIFS('ИП + источники'!AV$27:AV$203,'ИП + источники'!$F$27:$F$203,$F260,'ИП + источники'!$AC$27:$AC$203,"погашение займов и кредитов из амортизации")</f>
        <v>0</v>
      </c>
      <c r="AV260" s="3946" cm="1" t="str">
        <f t="array" ref="AV260:AV260">AV259</f>
        <v>1666.67</v>
      </c>
      <c r="AW260" s="3946" cm="1" t="str">
        <f t="array" ref="AW260:AW260">AW259</f>
        <v>7043.79</v>
      </c>
      <c r="AX260" s="3946" cm="1" t="str">
        <f t="array" ref="AX260:AX260">AX259</f>
        <v>57081.93</v>
      </c>
      <c r="AY260" s="1241">
        <f>_xlfn.SUMIFS('ИП + источники'!AZ$27:AZ$203,'ИП + источники'!$F$27:$F$203,$F260,'ИП + источники'!$AC$27:$AC$203,"Амортизационные отчисления")+_xlfn.SUMIFS('ИП + источники'!AZ$27:AZ$203,'ИП + источники'!$F$27:$F$203,$F260,'ИП + источники'!$AC$27:$AC$203,"погашение займов и кредитов из амортизации")</f>
        <v>0</v>
      </c>
      <c r="AZ260" s="1241">
        <f>_xlfn.SUMIFS('ИП + источники'!BA$27:BA$203,'ИП + источники'!$F$27:$F$203,$F260,'ИП + источники'!$AC$27:$AC$203,"Амортизационные отчисления")+_xlfn.SUMIFS('ИП + источники'!BA$27:BA$203,'ИП + источники'!$F$27:$F$203,$F260,'ИП + источники'!$AC$27:$AC$203,"погашение займов и кредитов из амортизации")</f>
        <v>0</v>
      </c>
      <c r="BA260" s="1241">
        <f>_xlfn.SUMIFS('ИП + источники'!BB$27:BB$203,'ИП + источники'!$F$27:$F$203,$F260,'ИП + источники'!$AC$27:$AC$203,"Амортизационные отчисления")+_xlfn.SUMIFS('ИП + источники'!BB$27:BB$203,'ИП + источники'!$F$27:$F$203,$F260,'ИП + источники'!$AC$27:$AC$203,"погашение займов и кредитов из амортизации")</f>
        <v>0</v>
      </c>
      <c r="BB260" s="1241">
        <f>_xlfn.SUMIFS('ИП + источники'!BC$27:BC$203,'ИП + источники'!$F$27:$F$203,$F260,'ИП + источники'!$AC$27:$AC$203,"Амортизационные отчисления")+_xlfn.SUMIFS('ИП + источники'!BC$27:BC$203,'ИП + источники'!$F$27:$F$203,$F260,'ИП + источники'!$AC$27:$AC$203,"погашение займов и кредитов из амортизации")</f>
        <v>0</v>
      </c>
      <c r="BC260" s="1241">
        <f>_xlfn.SUMIFS('ИП + источники'!BD$27:BD$203,'ИП + источники'!$F$27:$F$203,$F260,'ИП + источники'!$AC$27:$AC$203,"Амортизационные отчисления")+_xlfn.SUMIFS('ИП + источники'!BD$27:BD$203,'ИП + источники'!$F$27:$F$203,$F260,'ИП + источники'!$AC$27:$AC$203,"погашение займов и кредитов из амортизации")</f>
        <v>0</v>
      </c>
      <c r="BD260" s="1114">
        <f>IF(AI260=0,0,(AT260-AI260)/AI260*100)</f>
        <v>0</v>
      </c>
      <c r="BE260" s="1114">
        <f>IF(AT260=0,0,(AU260-AT260)/AT260*100)</f>
        <v>0</v>
      </c>
      <c r="BF260" s="1114">
        <f>IF(AU260=0,0,(AV260-AU260)/AU260*100)</f>
        <v>0</v>
      </c>
      <c r="BG260" s="1114">
        <f>IF(AV260=0,0,(AW260-AV260)/AV260*100)</f>
        <v>322.626554746891</v>
      </c>
      <c r="BH260" s="1114">
        <f>IF(AW260=0,0,(AX260-AW260)/AW260*100)</f>
        <v>710.386595852517</v>
      </c>
      <c r="BI260" s="1114">
        <f>IF(AX260=0,0,(AY260-AX260)/AX260*100)</f>
        <v>-100</v>
      </c>
      <c r="BJ260" s="1114">
        <f>IF(AY260=0,0,(AZ260-AY260)/AY260*100)</f>
        <v>0</v>
      </c>
      <c r="BK260" s="1114">
        <f>IF(AZ260=0,0,(BA260-AZ260)/AZ260*100)</f>
        <v>0</v>
      </c>
      <c r="BL260" s="1114">
        <f>IF(BA260=0,0,(BB260-BA260)/BA260*100)</f>
        <v>0</v>
      </c>
      <c r="BM260" s="1114">
        <f>IF(BB260=0,0,(BC260-BB260)/BB260*100)</f>
        <v>0</v>
      </c>
      <c r="BN260" s="7433"/>
      <c r="BO260" s="7433" t="s">
        <v>2930</v>
      </c>
      <c r="BP260" s="7433"/>
      <c r="BQ260" s="1278"/>
      <c r="BR260" s="1278"/>
      <c r="BS260" s="1064" t="s">
        <v>2539</v>
      </c>
      <c r="BT260" s="1064"/>
      <c r="BU260" s="1064"/>
      <c r="BV260" s="979"/>
      <c r="BW260" s="979"/>
    </row>
    <row s="7490" customFormat="1" customHeight="1" ht="20.25">
      <c r="A261" s="700"/>
      <c r="B261" s="432" cm="1" t="str">
        <f t="array" ref="B261:B261">B260</f>
        <v>true</v>
      </c>
      <c r="C261" s="109"/>
      <c r="D261" s="109"/>
      <c r="E261" s="826">
        <v>21</v>
      </c>
      <c r="F261" s="50" cm="1" t="str">
        <f t="array" ref="F261:F261">OFFSET(E261,-1,1)</f>
        <v>1</v>
      </c>
      <c r="G261" s="107" t="s">
        <v>2238</v>
      </c>
      <c r="H261" s="107"/>
      <c r="I261" s="107" t="s">
        <v>335</v>
      </c>
      <c r="J261" s="109"/>
      <c r="K261" s="158"/>
      <c r="L261" s="985" t="s">
        <v>1275</v>
      </c>
      <c r="M261" s="109"/>
      <c r="N261" s="109"/>
      <c r="O261" s="109"/>
      <c r="P261" s="109"/>
      <c r="Q261" s="109"/>
      <c r="R261" s="109"/>
      <c r="S261" s="109"/>
      <c r="T261" s="465" cm="1" t="str">
        <f t="array" ref="T261:T261">T260</f>
        <v>true</v>
      </c>
      <c r="U261" s="109"/>
      <c r="V261" s="109"/>
      <c r="W261" s="109"/>
      <c r="X261" s="1596"/>
      <c r="Y261" s="700"/>
      <c r="Z261" s="1546"/>
      <c r="AA261" s="700"/>
      <c r="AB261" s="211" t="s">
        <v>443</v>
      </c>
      <c r="AC261" s="212" t="s">
        <v>2238</v>
      </c>
      <c r="AD261" s="234" t="s">
        <v>1514</v>
      </c>
      <c r="AE261" s="213">
        <f>AE262+AE263+AE264+AE265</f>
        <v>0</v>
      </c>
      <c r="AF261" s="213">
        <f>AF262+AF263+AF264+AF265</f>
        <v>0</v>
      </c>
      <c r="AG261" s="213">
        <f>AG262+AG263+AG264+AG265</f>
        <v>0</v>
      </c>
      <c r="AH261" s="213">
        <f>AG261-AF261</f>
        <v>0</v>
      </c>
      <c r="AI261" s="213">
        <f>AI262+AI263+AI264+AI265</f>
        <v>0</v>
      </c>
      <c r="AJ261" s="213">
        <f>AJ262+AJ263+AJ264+AJ265</f>
        <v>0</v>
      </c>
      <c r="AK261" s="213">
        <f>AK262+AK263+AK264+AK265</f>
        <v>0</v>
      </c>
      <c r="AL261" s="213">
        <f>AL262+AL263+AL264+AL265</f>
        <v>0</v>
      </c>
      <c r="AM261" s="213">
        <f>AM262+AM263+AM264+AM265</f>
        <v>0</v>
      </c>
      <c r="AN261" s="213">
        <f>AN262+AN263+AN264+AN265</f>
        <v>0</v>
      </c>
      <c r="AO261" s="213">
        <f>AO262+AO263+AO264+AO265</f>
        <v>0</v>
      </c>
      <c r="AP261" s="213">
        <f>AP262+AP263+AP264+AP265</f>
        <v>0</v>
      </c>
      <c r="AQ261" s="213">
        <f>AQ262+AQ263+AQ264+AQ265</f>
        <v>0</v>
      </c>
      <c r="AR261" s="213">
        <f>AR262+AR263+AR264+AR265</f>
        <v>0</v>
      </c>
      <c r="AS261" s="213">
        <f>AS262+AS263+AS264+AS265</f>
        <v>0</v>
      </c>
      <c r="AT261" s="213">
        <f>AT262+AT263+AT264+AT265</f>
        <v>0</v>
      </c>
      <c r="AU261" s="213">
        <f>AU262+AU263+AU264+AU265</f>
        <v>0</v>
      </c>
      <c r="AV261" s="213">
        <f>AV262+AV263+AV264+AV265</f>
        <v>0</v>
      </c>
      <c r="AW261" s="213">
        <f>AW262+AW263+AW264+AW265</f>
        <v>0</v>
      </c>
      <c r="AX261" s="213">
        <f>AX262+AX263+AX264+AX265</f>
        <v>0</v>
      </c>
      <c r="AY261" s="213">
        <f>AY262+AY263+AY264+AY265</f>
        <v>0</v>
      </c>
      <c r="AZ261" s="213">
        <f>AZ262+AZ263+AZ264+AZ265</f>
        <v>0</v>
      </c>
      <c r="BA261" s="213">
        <f>BA262+BA263+BA264+BA265</f>
        <v>0</v>
      </c>
      <c r="BB261" s="213">
        <f>BB262+BB263+BB264+BB265</f>
        <v>0</v>
      </c>
      <c r="BC261" s="213">
        <f>BC262+BC263+BC264+BC265</f>
        <v>0</v>
      </c>
      <c r="BD261" s="778">
        <f>IF(AI261=0,0,(AT261-AI261)/AI261*100)</f>
        <v>0</v>
      </c>
      <c r="BE261" s="778">
        <f>IF(AT261=0,0,(AU261-AT261)/AT261*100)</f>
        <v>0</v>
      </c>
      <c r="BF261" s="778">
        <f>IF(AU261=0,0,(AV261-AU261)/AU261*100)</f>
        <v>0</v>
      </c>
      <c r="BG261" s="778">
        <f>IF(AV261=0,0,(AW261-AV261)/AV261*100)</f>
        <v>0</v>
      </c>
      <c r="BH261" s="778">
        <f>IF(AW261=0,0,(AX261-AW261)/AW261*100)</f>
        <v>0</v>
      </c>
      <c r="BI261" s="778">
        <f>IF(AX261=0,0,(AY261-AX261)/AX261*100)</f>
        <v>0</v>
      </c>
      <c r="BJ261" s="778">
        <f>IF(AY261=0,0,(AZ261-AY261)/AY261*100)</f>
        <v>0</v>
      </c>
      <c r="BK261" s="778">
        <f>IF(AZ261=0,0,(BA261-AZ261)/AZ261*100)</f>
        <v>0</v>
      </c>
      <c r="BL261" s="778">
        <f>IF(BA261=0,0,(BB261-BA261)/BA261*100)</f>
        <v>0</v>
      </c>
      <c r="BM261" s="778">
        <f>IF(BB261=0,0,(BC261-BB261)/BB261*100)</f>
        <v>0</v>
      </c>
      <c r="BN261" s="7433"/>
      <c r="BO261" s="7433"/>
      <c r="BP261" s="7433"/>
      <c r="BQ261" s="700"/>
      <c r="BR261" s="700"/>
      <c r="BS261" s="1063" t="s">
        <v>2242</v>
      </c>
      <c r="BT261" s="1070"/>
      <c r="BU261" s="1070"/>
      <c r="BV261" s="707"/>
      <c r="BW261" s="707"/>
    </row>
    <row s="1834" customFormat="1" customHeight="1" ht="14.25">
      <c r="A262" s="1278"/>
      <c r="B262" s="432" cm="1" t="str">
        <f t="array" ref="B262:B262">B261</f>
        <v>true</v>
      </c>
      <c r="C262" s="107"/>
      <c r="D262" s="107"/>
      <c r="E262" s="621">
        <v>15</v>
      </c>
      <c r="F262" s="50" cm="1" t="str">
        <f t="array" ref="F262:F262">OFFSET(E262,-1,1)</f>
        <v>1</v>
      </c>
      <c r="G262" s="107"/>
      <c r="H262" s="107"/>
      <c r="I262" s="107" t="s">
        <v>1263</v>
      </c>
      <c r="J262" s="107"/>
      <c r="K262" s="1278"/>
      <c r="L262" s="980"/>
      <c r="M262" s="107"/>
      <c r="N262" s="107"/>
      <c r="O262" s="107"/>
      <c r="P262" s="107"/>
      <c r="Q262" s="107"/>
      <c r="R262" s="107"/>
      <c r="S262" s="107"/>
      <c r="T262" s="465" cm="1" t="str">
        <f t="array" ref="T262:T262">T261</f>
        <v>true</v>
      </c>
      <c r="U262" s="107"/>
      <c r="V262" s="107"/>
      <c r="W262" s="107"/>
      <c r="X262" s="1596"/>
      <c r="Y262" s="1278"/>
      <c r="Z262" s="1546"/>
      <c r="AA262" s="1278"/>
      <c r="AB262" s="300" t="s">
        <v>1391</v>
      </c>
      <c r="AC262" s="762" t="s">
        <v>2832</v>
      </c>
      <c r="AD262" s="300" t="s">
        <v>1514</v>
      </c>
      <c r="AE262" s="3946">
        <f>_xlfn.SUMIFS('ИП + источники'!AF$27:AF$203,'ИП + источники'!$F$27:$F$203,$F262,'ИП + источники'!$AC$27:$AC$203,"погашение займов и кредитов из нормативной прибыли")</f>
        <v>0</v>
      </c>
      <c r="AF262" s="3946">
        <f>_xlfn.SUMIFS('ИП + источники'!AG$27:AG$203,'ИП + источники'!$F$27:$F$203,$F262,'ИП + источники'!$AC$27:$AC$203,"погашение займов и кредитов из нормативной прибыли")</f>
        <v>0</v>
      </c>
      <c r="AG262" s="3946">
        <f>_xlfn.SUMIFS('ИП + источники'!AH$27:AH$203,'ИП + источники'!$F$27:$F$203,$F262,'ИП + источники'!$AC$27:$AC$203,"погашение займов и кредитов из нормативной прибыли")</f>
        <v>0</v>
      </c>
      <c r="AH262" s="1114">
        <f>AG262-AF262</f>
        <v>0</v>
      </c>
      <c r="AI262" s="3946">
        <f>_xlfn.SUMIFS('ИП + источники'!AJ$27:AJ$203,'ИП + источники'!$F$27:$F$203,$F262,'ИП + источники'!$AC$27:$AC$203,"погашение займов и кредитов из нормативной прибыли")</f>
        <v>0</v>
      </c>
      <c r="AJ262" s="3946">
        <f>_xlfn.SUMIFS('ИП + источники'!AK$27:AK$203,'ИП + источники'!$F$27:$F$203,$F262,'ИП + источники'!$AC$27:$AC$203,"погашение займов и кредитов из нормативной прибыли")</f>
        <v>0</v>
      </c>
      <c r="AK262" s="3946">
        <f>_xlfn.SUMIFS('ИП + источники'!AL$27:AL$203,'ИП + источники'!$F$27:$F$203,$F262,'ИП + источники'!$AC$27:$AC$203,"погашение займов и кредитов из нормативной прибыли")</f>
        <v>0</v>
      </c>
      <c r="AL262" s="3946">
        <f>_xlfn.SUMIFS('ИП + источники'!AM$27:AM$203,'ИП + источники'!$F$27:$F$203,$F262,'ИП + источники'!$AC$27:$AC$203,"погашение займов и кредитов из нормативной прибыли")</f>
        <v>0</v>
      </c>
      <c r="AM262" s="3946">
        <f>_xlfn.SUMIFS('ИП + источники'!AN$27:AN$203,'ИП + источники'!$F$27:$F$203,$F262,'ИП + источники'!$AC$27:$AC$203,"погашение займов и кредитов из нормативной прибыли")</f>
        <v>0</v>
      </c>
      <c r="AN262" s="3946">
        <f>_xlfn.SUMIFS('ИП + источники'!AO$27:AO$203,'ИП + источники'!$F$27:$F$203,$F262,'ИП + источники'!$AC$27:$AC$203,"погашение займов и кредитов из нормативной прибыли")</f>
        <v>0</v>
      </c>
      <c r="AO262" s="1241">
        <f>_xlfn.SUMIFS('ИП + источники'!AP$27:AP$203,'ИП + источники'!$F$27:$F$203,$F262,'ИП + источники'!$AC$27:$AC$203,"погашение займов и кредитов из нормативной прибыли")</f>
        <v>0</v>
      </c>
      <c r="AP262" s="1241">
        <f>_xlfn.SUMIFS('ИП + источники'!AQ$27:AQ$203,'ИП + источники'!$F$27:$F$203,$F262,'ИП + источники'!$AC$27:$AC$203,"погашение займов и кредитов из нормативной прибыли")</f>
        <v>0</v>
      </c>
      <c r="AQ262" s="1241">
        <f>_xlfn.SUMIFS('ИП + источники'!AR$27:AR$203,'ИП + источники'!$F$27:$F$203,$F262,'ИП + источники'!$AC$27:$AC$203,"погашение займов и кредитов из нормативной прибыли")</f>
        <v>0</v>
      </c>
      <c r="AR262" s="1241">
        <f>_xlfn.SUMIFS('ИП + источники'!AS$27:AS$203,'ИП + источники'!$F$27:$F$203,$F262,'ИП + источники'!$AC$27:$AC$203,"погашение займов и кредитов из нормативной прибыли")</f>
        <v>0</v>
      </c>
      <c r="AS262" s="1241">
        <f>_xlfn.SUMIFS('ИП + источники'!AT$27:AT$203,'ИП + источники'!$F$27:$F$203,$F262,'ИП + источники'!$AC$27:$AC$203,"погашение займов и кредитов из нормативной прибыли")</f>
        <v>0</v>
      </c>
      <c r="AT262" s="3946">
        <f>_xlfn.SUMIFS('ИП + источники'!AU$27:AU$203,'ИП + источники'!$F$27:$F$203,$F262,'ИП + источники'!$AC$27:$AC$203,"погашение займов и кредитов из нормативной прибыли")</f>
        <v>0</v>
      </c>
      <c r="AU262" s="3946">
        <f>_xlfn.SUMIFS('ИП + источники'!AV$27:AV$203,'ИП + источники'!$F$27:$F$203,$F262,'ИП + источники'!$AC$27:$AC$203,"погашение займов и кредитов из нормативной прибыли")</f>
        <v>0</v>
      </c>
      <c r="AV262" s="3946">
        <f>_xlfn.SUMIFS('ИП + источники'!AW$27:AW$203,'ИП + источники'!$F$27:$F$203,$F262,'ИП + источники'!$AC$27:$AC$203,"погашение займов и кредитов из нормативной прибыли")</f>
        <v>0</v>
      </c>
      <c r="AW262" s="3946">
        <f>_xlfn.SUMIFS('ИП + источники'!AX$27:AX$203,'ИП + источники'!$F$27:$F$203,$F262,'ИП + источники'!$AC$27:$AC$203,"погашение займов и кредитов из нормативной прибыли")</f>
        <v>0</v>
      </c>
      <c r="AX262" s="3946">
        <f>_xlfn.SUMIFS('ИП + источники'!AY$27:AY$203,'ИП + источники'!$F$27:$F$203,$F262,'ИП + источники'!$AC$27:$AC$203,"погашение займов и кредитов из нормативной прибыли")</f>
        <v>0</v>
      </c>
      <c r="AY262" s="1241">
        <f>_xlfn.SUMIFS('ИП + источники'!AZ$27:AZ$203,'ИП + источники'!$F$27:$F$203,$F262,'ИП + источники'!$AC$27:$AC$203,"погашение займов и кредитов из нормативной прибыли")</f>
        <v>0</v>
      </c>
      <c r="AZ262" s="1241">
        <f>_xlfn.SUMIFS('ИП + источники'!BA$27:BA$203,'ИП + источники'!$F$27:$F$203,$F262,'ИП + источники'!$AC$27:$AC$203,"погашение займов и кредитов из нормативной прибыли")</f>
        <v>0</v>
      </c>
      <c r="BA262" s="1241">
        <f>_xlfn.SUMIFS('ИП + источники'!BB$27:BB$203,'ИП + источники'!$F$27:$F$203,$F262,'ИП + источники'!$AC$27:$AC$203,"погашение займов и кредитов из нормативной прибыли")</f>
        <v>0</v>
      </c>
      <c r="BB262" s="1241">
        <f>_xlfn.SUMIFS('ИП + источники'!BC$27:BC$203,'ИП + источники'!$F$27:$F$203,$F262,'ИП + источники'!$AC$27:$AC$203,"погашение займов и кредитов из нормативной прибыли")</f>
        <v>0</v>
      </c>
      <c r="BC262" s="1241">
        <f>_xlfn.SUMIFS('ИП + источники'!BD$27:BD$203,'ИП + источники'!$F$27:$F$203,$F262,'ИП + источники'!$AC$27:$AC$203,"погашение займов и кредитов из нормативной прибыли")</f>
        <v>0</v>
      </c>
      <c r="BD262" s="1114">
        <f>IF(AI262=0,0,(AT262-AI262)/AI262*100)</f>
        <v>0</v>
      </c>
      <c r="BE262" s="1114">
        <f>IF(AT262=0,0,(AU262-AT262)/AT262*100)</f>
        <v>0</v>
      </c>
      <c r="BF262" s="1114">
        <f>IF(AU262=0,0,(AV262-AU262)/AU262*100)</f>
        <v>0</v>
      </c>
      <c r="BG262" s="1114">
        <f>IF(AV262=0,0,(AW262-AV262)/AV262*100)</f>
        <v>0</v>
      </c>
      <c r="BH262" s="1114">
        <f>IF(AW262=0,0,(AX262-AW262)/AW262*100)</f>
        <v>0</v>
      </c>
      <c r="BI262" s="1114">
        <f>IF(AX262=0,0,(AY262-AX262)/AX262*100)</f>
        <v>0</v>
      </c>
      <c r="BJ262" s="1114">
        <f>IF(AY262=0,0,(AZ262-AY262)/AY262*100)</f>
        <v>0</v>
      </c>
      <c r="BK262" s="1114">
        <f>IF(AZ262=0,0,(BA262-AZ262)/AZ262*100)</f>
        <v>0</v>
      </c>
      <c r="BL262" s="1114">
        <f>IF(BA262=0,0,(BB262-BA262)/BA262*100)</f>
        <v>0</v>
      </c>
      <c r="BM262" s="1114">
        <f>IF(BB262=0,0,(BC262-BB262)/BB262*100)</f>
        <v>0</v>
      </c>
      <c r="BN262" s="7433"/>
      <c r="BO262" s="7437" t="str">
        <f>IF(_xlfn.IFERROR(INDEX('ИП + источники'!$K$57:$L$203,MATCH($F262&amp;"2komm",'ИП + источники'!$K$57:$K$203,0),2),"")=0,"",_xlfn.IFERROR(INDEX('ИП + источники'!$K$57:$L$203,MATCH($F262&amp;"2komm",'ИП + источники'!$K$57:$K$203,0),2),""))</f>
        <v/>
      </c>
      <c r="BP262" s="7433"/>
      <c r="BQ262" s="1278"/>
      <c r="BR262" s="1278"/>
      <c r="BS262" s="1064" t="s">
        <v>2833</v>
      </c>
      <c r="BT262" s="1064"/>
      <c r="BU262" s="1064"/>
      <c r="BV262" s="979"/>
      <c r="BW262" s="979"/>
    </row>
    <row s="1834" customFormat="1" customHeight="1" ht="14.25">
      <c r="A263" s="1278"/>
      <c r="B263" s="432" cm="1" t="str">
        <f t="array" ref="B263:B263">B262</f>
        <v>true</v>
      </c>
      <c r="C263" s="107"/>
      <c r="D263" s="107"/>
      <c r="E263" s="621">
        <v>15</v>
      </c>
      <c r="F263" s="50" cm="1" t="str">
        <f t="array" ref="F263:F263">OFFSET(E263,-1,1)</f>
        <v>1</v>
      </c>
      <c r="G263" s="107"/>
      <c r="H263" s="107"/>
      <c r="I263" s="107" t="s">
        <v>1267</v>
      </c>
      <c r="J263" s="107"/>
      <c r="K263" s="1278"/>
      <c r="L263" s="980"/>
      <c r="M263" s="107"/>
      <c r="N263" s="107"/>
      <c r="O263" s="107"/>
      <c r="P263" s="107"/>
      <c r="Q263" s="107"/>
      <c r="R263" s="107"/>
      <c r="S263" s="107"/>
      <c r="T263" s="465" cm="1" t="str">
        <f t="array" ref="T263:T263">T262</f>
        <v>true</v>
      </c>
      <c r="U263" s="107"/>
      <c r="V263" s="107"/>
      <c r="W263" s="107"/>
      <c r="X263" s="1596"/>
      <c r="Y263" s="1278"/>
      <c r="Z263" s="1546"/>
      <c r="AA263" s="1278"/>
      <c r="AB263" s="300" t="s">
        <v>1394</v>
      </c>
      <c r="AC263" s="762" t="s">
        <v>2834</v>
      </c>
      <c r="AD263" s="300" t="s">
        <v>1514</v>
      </c>
      <c r="AE263" s="3946">
        <f>_xlfn.SUMIFS('ИП + источники'!AF$27:AF$203,'ИП + источники'!$F$27:$F$203,$F263,'ИП + источники'!$AC$27:$AC$203,"уплата процентов по кредитам из нормативной прибыли")</f>
        <v>0</v>
      </c>
      <c r="AF263" s="3946">
        <f>_xlfn.SUMIFS('ИП + источники'!AG$27:AG$203,'ИП + источники'!$F$27:$F$203,$F263,'ИП + источники'!$AC$27:$AC$203,"уплата процентов по кредитам из нормативной прибыли")</f>
        <v>0</v>
      </c>
      <c r="AG263" s="3946">
        <f>_xlfn.SUMIFS('ИП + источники'!AH$27:AH$203,'ИП + источники'!$F$27:$F$203,$F263,'ИП + источники'!$AC$27:$AC$203,"уплата процентов по кредитам из нормативной прибыли")</f>
        <v>0</v>
      </c>
      <c r="AH263" s="1114">
        <f>AG263-AF263</f>
        <v>0</v>
      </c>
      <c r="AI263" s="3946">
        <f>_xlfn.SUMIFS('ИП + источники'!AJ$27:AJ$203,'ИП + источники'!$F$27:$F$203,$F263,'ИП + источники'!$AC$27:$AC$203,"уплата процентов по кредитам из нормативной прибыли")</f>
        <v>0</v>
      </c>
      <c r="AJ263" s="3946">
        <f>_xlfn.SUMIFS('ИП + источники'!AK$27:AK$203,'ИП + источники'!$F$27:$F$203,$F263,'ИП + источники'!$AC$27:$AC$203,"уплата процентов по кредитам из нормативной прибыли")</f>
        <v>0</v>
      </c>
      <c r="AK263" s="3946">
        <f>_xlfn.SUMIFS('ИП + источники'!AL$27:AL$203,'ИП + источники'!$F$27:$F$203,$F263,'ИП + источники'!$AC$27:$AC$203,"уплата процентов по кредитам из нормативной прибыли")</f>
        <v>0</v>
      </c>
      <c r="AL263" s="3946">
        <f>_xlfn.SUMIFS('ИП + источники'!AM$27:AM$203,'ИП + источники'!$F$27:$F$203,$F263,'ИП + источники'!$AC$27:$AC$203,"уплата процентов по кредитам из нормативной прибыли")</f>
        <v>0</v>
      </c>
      <c r="AM263" s="3946">
        <f>_xlfn.SUMIFS('ИП + источники'!AN$27:AN$203,'ИП + источники'!$F$27:$F$203,$F263,'ИП + источники'!$AC$27:$AC$203,"уплата процентов по кредитам из нормативной прибыли")</f>
        <v>0</v>
      </c>
      <c r="AN263" s="3946">
        <f>_xlfn.SUMIFS('ИП + источники'!AO$27:AO$203,'ИП + источники'!$F$27:$F$203,$F263,'ИП + источники'!$AC$27:$AC$203,"уплата процентов по кредитам из нормативной прибыли")</f>
        <v>0</v>
      </c>
      <c r="AO263" s="1241">
        <f>_xlfn.SUMIFS('ИП + источники'!AP$27:AP$203,'ИП + источники'!$F$27:$F$203,$F263,'ИП + источники'!$AC$27:$AC$203,"уплата процентов по кредитам из нормативной прибыли")</f>
        <v>0</v>
      </c>
      <c r="AP263" s="1241">
        <f>_xlfn.SUMIFS('ИП + источники'!AQ$27:AQ$203,'ИП + источники'!$F$27:$F$203,$F263,'ИП + источники'!$AC$27:$AC$203,"уплата процентов по кредитам из нормативной прибыли")</f>
        <v>0</v>
      </c>
      <c r="AQ263" s="1241">
        <f>_xlfn.SUMIFS('ИП + источники'!AR$27:AR$203,'ИП + источники'!$F$27:$F$203,$F263,'ИП + источники'!$AC$27:$AC$203,"уплата процентов по кредитам из нормативной прибыли")</f>
        <v>0</v>
      </c>
      <c r="AR263" s="1241">
        <f>_xlfn.SUMIFS('ИП + источники'!AS$27:AS$203,'ИП + источники'!$F$27:$F$203,$F263,'ИП + источники'!$AC$27:$AC$203,"уплата процентов по кредитам из нормативной прибыли")</f>
        <v>0</v>
      </c>
      <c r="AS263" s="1241">
        <f>_xlfn.SUMIFS('ИП + источники'!AT$27:AT$203,'ИП + источники'!$F$27:$F$203,$F263,'ИП + источники'!$AC$27:$AC$203,"уплата процентов по кредитам из нормативной прибыли")</f>
        <v>0</v>
      </c>
      <c r="AT263" s="3946">
        <f>_xlfn.SUMIFS('ИП + источники'!AU$27:AU$203,'ИП + источники'!$F$27:$F$203,$F263,'ИП + источники'!$AC$27:$AC$203,"уплата процентов по кредитам из нормативной прибыли")</f>
        <v>0</v>
      </c>
      <c r="AU263" s="3946">
        <f>_xlfn.SUMIFS('ИП + источники'!AV$27:AV$203,'ИП + источники'!$F$27:$F$203,$F263,'ИП + источники'!$AC$27:$AC$203,"уплата процентов по кредитам из нормативной прибыли")</f>
        <v>0</v>
      </c>
      <c r="AV263" s="3946">
        <f>_xlfn.SUMIFS('ИП + источники'!AW$27:AW$203,'ИП + источники'!$F$27:$F$203,$F263,'ИП + источники'!$AC$27:$AC$203,"уплата процентов по кредитам из нормативной прибыли")</f>
        <v>0</v>
      </c>
      <c r="AW263" s="3946">
        <f>_xlfn.SUMIFS('ИП + источники'!AX$27:AX$203,'ИП + источники'!$F$27:$F$203,$F263,'ИП + источники'!$AC$27:$AC$203,"уплата процентов по кредитам из нормативной прибыли")</f>
        <v>0</v>
      </c>
      <c r="AX263" s="3946">
        <f>_xlfn.SUMIFS('ИП + источники'!AY$27:AY$203,'ИП + источники'!$F$27:$F$203,$F263,'ИП + источники'!$AC$27:$AC$203,"уплата процентов по кредитам из нормативной прибыли")</f>
        <v>0</v>
      </c>
      <c r="AY263" s="1241">
        <f>_xlfn.SUMIFS('ИП + источники'!AZ$27:AZ$203,'ИП + источники'!$F$27:$F$203,$F263,'ИП + источники'!$AC$27:$AC$203,"уплата процентов по кредитам из нормативной прибыли")</f>
        <v>0</v>
      </c>
      <c r="AZ263" s="1241">
        <f>_xlfn.SUMIFS('ИП + источники'!BA$27:BA$203,'ИП + источники'!$F$27:$F$203,$F263,'ИП + источники'!$AC$27:$AC$203,"уплата процентов по кредитам из нормативной прибыли")</f>
        <v>0</v>
      </c>
      <c r="BA263" s="1241">
        <f>_xlfn.SUMIFS('ИП + источники'!BB$27:BB$203,'ИП + источники'!$F$27:$F$203,$F263,'ИП + источники'!$AC$27:$AC$203,"уплата процентов по кредитам из нормативной прибыли")</f>
        <v>0</v>
      </c>
      <c r="BB263" s="1241">
        <f>_xlfn.SUMIFS('ИП + источники'!BC$27:BC$203,'ИП + источники'!$F$27:$F$203,$F263,'ИП + источники'!$AC$27:$AC$203,"уплата процентов по кредитам из нормативной прибыли")</f>
        <v>0</v>
      </c>
      <c r="BC263" s="1241">
        <f>_xlfn.SUMIFS('ИП + источники'!BD$27:BD$203,'ИП + источники'!$F$27:$F$203,$F263,'ИП + источники'!$AC$27:$AC$203,"уплата процентов по кредитам из нормативной прибыли")</f>
        <v>0</v>
      </c>
      <c r="BD263" s="1114">
        <f>IF(AI263=0,0,(AT263-AI263)/AI263*100)</f>
        <v>0</v>
      </c>
      <c r="BE263" s="1114">
        <f>IF(AT263=0,0,(AU263-AT263)/AT263*100)</f>
        <v>0</v>
      </c>
      <c r="BF263" s="1114">
        <f>IF(AU263=0,0,(AV263-AU263)/AU263*100)</f>
        <v>0</v>
      </c>
      <c r="BG263" s="1114">
        <f>IF(AV263=0,0,(AW263-AV263)/AV263*100)</f>
        <v>0</v>
      </c>
      <c r="BH263" s="1114">
        <f>IF(AW263=0,0,(AX263-AW263)/AW263*100)</f>
        <v>0</v>
      </c>
      <c r="BI263" s="1114">
        <f>IF(AX263=0,0,(AY263-AX263)/AX263*100)</f>
        <v>0</v>
      </c>
      <c r="BJ263" s="1114">
        <f>IF(AY263=0,0,(AZ263-AY263)/AY263*100)</f>
        <v>0</v>
      </c>
      <c r="BK263" s="1114">
        <f>IF(AZ263=0,0,(BA263-AZ263)/AZ263*100)</f>
        <v>0</v>
      </c>
      <c r="BL263" s="1114">
        <f>IF(BA263=0,0,(BB263-BA263)/BA263*100)</f>
        <v>0</v>
      </c>
      <c r="BM263" s="1114">
        <f>IF(BB263=0,0,(BC263-BB263)/BB263*100)</f>
        <v>0</v>
      </c>
      <c r="BN263" s="7433"/>
      <c r="BO263" s="7437" t="str">
        <f>IF(_xlfn.IFERROR(INDEX('ИП + источники'!$K$57:$L$203,MATCH($F263&amp;"3komm",'ИП + источники'!$K$57:$K$203,0),2),"")=0,"",_xlfn.IFERROR(INDEX('ИП + источники'!$K$57:$L$203,MATCH($F263&amp;"3komm",'ИП + источники'!$K$57:$K$203,0),2),""))</f>
        <v/>
      </c>
      <c r="BP263" s="7433"/>
      <c r="BQ263" s="1278"/>
      <c r="BR263" s="1278"/>
      <c r="BS263" s="1064" t="s">
        <v>2835</v>
      </c>
      <c r="BT263" s="1064"/>
      <c r="BU263" s="1064"/>
      <c r="BV263" s="979"/>
      <c r="BW263" s="979"/>
    </row>
    <row s="1834" customFormat="1" customHeight="1" ht="14.25">
      <c r="A264" s="1278"/>
      <c r="B264" s="432" cm="1" t="str">
        <f t="array" ref="B264:B264">B263</f>
        <v>true</v>
      </c>
      <c r="C264" s="107"/>
      <c r="D264" s="107"/>
      <c r="E264" s="621">
        <v>15</v>
      </c>
      <c r="F264" s="50" cm="1" t="str">
        <f t="array" ref="F264:F264">OFFSET(E264,-1,1)</f>
        <v>1</v>
      </c>
      <c r="G264" s="107"/>
      <c r="H264" s="107"/>
      <c r="I264" s="107" t="s">
        <v>1479</v>
      </c>
      <c r="J264" s="107"/>
      <c r="K264" s="1278"/>
      <c r="L264" s="980" t="s">
        <v>1282</v>
      </c>
      <c r="M264" s="107"/>
      <c r="N264" s="107"/>
      <c r="O264" s="107"/>
      <c r="P264" s="107"/>
      <c r="Q264" s="107"/>
      <c r="R264" s="107"/>
      <c r="S264" s="107"/>
      <c r="T264" s="465" cm="1" t="str">
        <f t="array" ref="T264:T264">T263</f>
        <v>true</v>
      </c>
      <c r="U264" s="107"/>
      <c r="V264" s="107"/>
      <c r="W264" s="107"/>
      <c r="X264" s="1596"/>
      <c r="Y264" s="1278"/>
      <c r="Z264" s="1546"/>
      <c r="AA264" s="1278"/>
      <c r="AB264" s="300" t="s">
        <v>1683</v>
      </c>
      <c r="AC264" s="762" t="s">
        <v>2836</v>
      </c>
      <c r="AD264" s="300" t="s">
        <v>1514</v>
      </c>
      <c r="AE264" s="3946">
        <f>_xlfn.SUMIFS('ИП + источники'!AF$27:AF$203,'ИП + источники'!$F$27:$F$203,$F264,'ИП + источники'!$AC$27:$AC$203,"Прибыль на капвложения")</f>
        <v>0</v>
      </c>
      <c r="AF264" s="3946">
        <f>_xlfn.SUMIFS('ИП + источники'!AG$27:AG$203,'ИП + источники'!$F$27:$F$203,$F264,'ИП + источники'!$AC$27:$AC$203,"Прибыль на капвложения")</f>
        <v>0</v>
      </c>
      <c r="AG264" s="3946">
        <f>_xlfn.SUMIFS('ИП + источники'!AH$27:AH$203,'ИП + источники'!$F$27:$F$203,$F264,'ИП + источники'!$AC$27:$AC$203,"Прибыль на капвложения")</f>
        <v>0</v>
      </c>
      <c r="AH264" s="1114">
        <f>AG264-AF264</f>
        <v>0</v>
      </c>
      <c r="AI264" s="3946">
        <f>_xlfn.SUMIFS('ИП + источники'!AJ$27:AJ$203,'ИП + источники'!$F$27:$F$203,$F264,'ИП + источники'!$AC$27:$AC$203,"Прибыль на капвложения")</f>
        <v>0</v>
      </c>
      <c r="AJ264" s="3946">
        <f>_xlfn.SUMIFS('ИП + источники'!AK$27:AK$203,'ИП + источники'!$F$27:$F$203,$F264,'ИП + источники'!$AC$27:$AC$203,"Прибыль на капвложения")</f>
        <v>0</v>
      </c>
      <c r="AK264" s="3946">
        <f>_xlfn.SUMIFS('ИП + источники'!AL$27:AL$203,'ИП + источники'!$F$27:$F$203,$F264,'ИП + источники'!$AC$27:$AC$203,"Прибыль на капвложения")</f>
        <v>0</v>
      </c>
      <c r="AL264" s="3946">
        <f>_xlfn.SUMIFS('ИП + источники'!AM$27:AM$203,'ИП + источники'!$F$27:$F$203,$F264,'ИП + источники'!$AC$27:$AC$203,"Прибыль на капвложения")</f>
        <v>0</v>
      </c>
      <c r="AM264" s="3946">
        <f>_xlfn.SUMIFS('ИП + источники'!AN$27:AN$203,'ИП + источники'!$F$27:$F$203,$F264,'ИП + источники'!$AC$27:$AC$203,"Прибыль на капвложения")</f>
        <v>0</v>
      </c>
      <c r="AN264" s="3946">
        <f>_xlfn.SUMIFS('ИП + источники'!AO$27:AO$203,'ИП + источники'!$F$27:$F$203,$F264,'ИП + источники'!$AC$27:$AC$203,"Прибыль на капвложения")</f>
        <v>0</v>
      </c>
      <c r="AO264" s="1241">
        <f>_xlfn.SUMIFS('ИП + источники'!AP$27:AP$203,'ИП + источники'!$F$27:$F$203,$F264,'ИП + источники'!$AC$27:$AC$203,"Прибыль на капвложения")</f>
        <v>0</v>
      </c>
      <c r="AP264" s="1241">
        <f>_xlfn.SUMIFS('ИП + источники'!AQ$27:AQ$203,'ИП + источники'!$F$27:$F$203,$F264,'ИП + источники'!$AC$27:$AC$203,"Прибыль на капвложения")</f>
        <v>0</v>
      </c>
      <c r="AQ264" s="1241">
        <f>_xlfn.SUMIFS('ИП + источники'!AR$27:AR$203,'ИП + источники'!$F$27:$F$203,$F264,'ИП + источники'!$AC$27:$AC$203,"Прибыль на капвложения")</f>
        <v>0</v>
      </c>
      <c r="AR264" s="1241">
        <f>_xlfn.SUMIFS('ИП + источники'!AS$27:AS$203,'ИП + источники'!$F$27:$F$203,$F264,'ИП + источники'!$AC$27:$AC$203,"Прибыль на капвложения")</f>
        <v>0</v>
      </c>
      <c r="AS264" s="1241">
        <f>_xlfn.SUMIFS('ИП + источники'!AT$27:AT$203,'ИП + источники'!$F$27:$F$203,$F264,'ИП + источники'!$AC$27:$AC$203,"Прибыль на капвложения")</f>
        <v>0</v>
      </c>
      <c r="AT264" s="3946">
        <f>_xlfn.SUMIFS('ИП + источники'!AU$27:AU$203,'ИП + источники'!$F$27:$F$203,$F264,'ИП + источники'!$AC$27:$AC$203,"Прибыль на капвложения")</f>
        <v>0</v>
      </c>
      <c r="AU264" s="3946">
        <f>_xlfn.SUMIFS('ИП + источники'!AV$27:AV$203,'ИП + источники'!$F$27:$F$203,$F264,'ИП + источники'!$AC$27:$AC$203,"Прибыль на капвложения")</f>
        <v>0</v>
      </c>
      <c r="AV264" s="3946">
        <f>_xlfn.SUMIFS('ИП + источники'!AW$27:AW$203,'ИП + источники'!$F$27:$F$203,$F264,'ИП + источники'!$AC$27:$AC$203,"Прибыль на капвложения")</f>
        <v>0</v>
      </c>
      <c r="AW264" s="3946">
        <f>_xlfn.SUMIFS('ИП + источники'!AX$27:AX$203,'ИП + источники'!$F$27:$F$203,$F264,'ИП + источники'!$AC$27:$AC$203,"Прибыль на капвложения")</f>
        <v>0</v>
      </c>
      <c r="AX264" s="3946">
        <f>_xlfn.SUMIFS('ИП + источники'!AY$27:AY$203,'ИП + источники'!$F$27:$F$203,$F264,'ИП + источники'!$AC$27:$AC$203,"Прибыль на капвложения")</f>
        <v>0</v>
      </c>
      <c r="AY264" s="1241">
        <f>_xlfn.SUMIFS('ИП + источники'!AZ$27:AZ$203,'ИП + источники'!$F$27:$F$203,$F264,'ИП + источники'!$AC$27:$AC$203,"Прибыль на капвложения")</f>
        <v>0</v>
      </c>
      <c r="AZ264" s="1241">
        <f>_xlfn.SUMIFS('ИП + источники'!BA$27:BA$203,'ИП + источники'!$F$27:$F$203,$F264,'ИП + источники'!$AC$27:$AC$203,"Прибыль на капвложения")</f>
        <v>0</v>
      </c>
      <c r="BA264" s="1241">
        <f>_xlfn.SUMIFS('ИП + источники'!BB$27:BB$203,'ИП + источники'!$F$27:$F$203,$F264,'ИП + источники'!$AC$27:$AC$203,"Прибыль на капвложения")</f>
        <v>0</v>
      </c>
      <c r="BB264" s="1241">
        <f>_xlfn.SUMIFS('ИП + источники'!BC$27:BC$203,'ИП + источники'!$F$27:$F$203,$F264,'ИП + источники'!$AC$27:$AC$203,"Прибыль на капвложения")</f>
        <v>0</v>
      </c>
      <c r="BC264" s="1241">
        <f>_xlfn.SUMIFS('ИП + источники'!BD$27:BD$203,'ИП + источники'!$F$27:$F$203,$F264,'ИП + источники'!$AC$27:$AC$203,"Прибыль на капвложения")</f>
        <v>0</v>
      </c>
      <c r="BD264" s="1114">
        <f>IF(AI264=0,0,(AT264-AI264)/AI264*100)</f>
        <v>0</v>
      </c>
      <c r="BE264" s="1114">
        <f>IF(AT264=0,0,(AU264-AT264)/AT264*100)</f>
        <v>0</v>
      </c>
      <c r="BF264" s="1114">
        <f>IF(AU264=0,0,(AV264-AU264)/AU264*100)</f>
        <v>0</v>
      </c>
      <c r="BG264" s="1114">
        <f>IF(AV264=0,0,(AW264-AV264)/AV264*100)</f>
        <v>0</v>
      </c>
      <c r="BH264" s="1114">
        <f>IF(AW264=0,0,(AX264-AW264)/AW264*100)</f>
        <v>0</v>
      </c>
      <c r="BI264" s="1114">
        <f>IF(AX264=0,0,(AY264-AX264)/AX264*100)</f>
        <v>0</v>
      </c>
      <c r="BJ264" s="1114">
        <f>IF(AY264=0,0,(AZ264-AY264)/AY264*100)</f>
        <v>0</v>
      </c>
      <c r="BK264" s="1114">
        <f>IF(AZ264=0,0,(BA264-AZ264)/AZ264*100)</f>
        <v>0</v>
      </c>
      <c r="BL264" s="1114">
        <f>IF(BA264=0,0,(BB264-BA264)/BA264*100)</f>
        <v>0</v>
      </c>
      <c r="BM264" s="1114">
        <f>IF(BB264=0,0,(BC264-BB264)/BB264*100)</f>
        <v>0</v>
      </c>
      <c r="BN264" s="7433"/>
      <c r="BO264" s="7437" t="str">
        <f>IF(_xlfn.IFERROR(INDEX('ИП + источники'!$K$57:$L$203,MATCH($F264&amp;"1komm",'ИП + источники'!$K$57:$K$203,0),2),"")=0,"",_xlfn.IFERROR(INDEX('ИП + источники'!$K$57:$L$203,MATCH($F264&amp;"1komm",'ИП + источники'!$K$57:$K$203,0),2),""))</f>
        <v/>
      </c>
      <c r="BP264" s="7433"/>
      <c r="BQ264" s="1278"/>
      <c r="BR264" s="1278"/>
      <c r="BS264" s="1064" t="s">
        <v>2546</v>
      </c>
      <c r="BT264" s="1064"/>
      <c r="BU264" s="1064"/>
      <c r="BV264" s="979"/>
      <c r="BW264" s="979"/>
    </row>
    <row s="1834" customFormat="1" customHeight="1" ht="21.75">
      <c r="A265" s="1278"/>
      <c r="B265" s="432" cm="1" t="str">
        <f t="array" ref="B265:B265">B264</f>
        <v>true</v>
      </c>
      <c r="C265" s="107"/>
      <c r="D265" s="107"/>
      <c r="E265" s="621">
        <v>22.5</v>
      </c>
      <c r="F265" s="50" cm="1" t="str">
        <f t="array" ref="F265:F265">OFFSET(E265,-1,1)</f>
        <v>1</v>
      </c>
      <c r="G265" s="107" t="s">
        <v>2837</v>
      </c>
      <c r="H265" s="107"/>
      <c r="I265" s="107" t="s">
        <v>1685</v>
      </c>
      <c r="J265" s="107"/>
      <c r="K265" s="1278"/>
      <c r="L265" s="980" t="s">
        <v>1286</v>
      </c>
      <c r="M265" s="107"/>
      <c r="N265" s="107"/>
      <c r="O265" s="107"/>
      <c r="P265" s="107"/>
      <c r="Q265" s="107"/>
      <c r="R265" s="107"/>
      <c r="S265" s="107"/>
      <c r="T265" s="465" cm="1" t="str">
        <f t="array" ref="T265:T265">T264</f>
        <v>true</v>
      </c>
      <c r="U265" s="107"/>
      <c r="V265" s="107"/>
      <c r="W265" s="107"/>
      <c r="X265" s="1596"/>
      <c r="Y265" s="1278"/>
      <c r="Z265" s="1546"/>
      <c r="AA265" s="1278"/>
      <c r="AB265" s="300" t="s">
        <v>1686</v>
      </c>
      <c r="AC265" s="762" t="s">
        <v>2838</v>
      </c>
      <c r="AD265" s="300" t="s">
        <v>1514</v>
      </c>
      <c r="AE265" s="3946"/>
      <c r="AF265" s="3946"/>
      <c r="AG265" s="3946"/>
      <c r="AH265" s="1114">
        <f>AG265-AF265</f>
        <v>0</v>
      </c>
      <c r="AI265" s="3946"/>
      <c r="AJ265" s="3946"/>
      <c r="AK265" s="3946"/>
      <c r="AL265" s="3946"/>
      <c r="AM265" s="3946"/>
      <c r="AN265" s="3946"/>
      <c r="AO265" s="1241"/>
      <c r="AP265" s="1241"/>
      <c r="AQ265" s="1241"/>
      <c r="AR265" s="1241"/>
      <c r="AS265" s="1241"/>
      <c r="AT265" s="3946"/>
      <c r="AU265" s="3946"/>
      <c r="AV265" s="3946"/>
      <c r="AW265" s="3946"/>
      <c r="AX265" s="3946"/>
      <c r="AY265" s="1241"/>
      <c r="AZ265" s="1241"/>
      <c r="BA265" s="1241"/>
      <c r="BB265" s="1241"/>
      <c r="BC265" s="1241"/>
      <c r="BD265" s="1114">
        <f>IF(AI265=0,0,(AT265-AI265)/AI265*100)</f>
        <v>0</v>
      </c>
      <c r="BE265" s="1114">
        <f>IF(AT265=0,0,(AU265-AT265)/AT265*100)</f>
        <v>0</v>
      </c>
      <c r="BF265" s="1114">
        <f>IF(AU265=0,0,(AV265-AU265)/AU265*100)</f>
        <v>0</v>
      </c>
      <c r="BG265" s="1114">
        <f>IF(AV265=0,0,(AW265-AV265)/AV265*100)</f>
        <v>0</v>
      </c>
      <c r="BH265" s="1114">
        <f>IF(AW265=0,0,(AX265-AW265)/AW265*100)</f>
        <v>0</v>
      </c>
      <c r="BI265" s="1114">
        <f>IF(AX265=0,0,(AY265-AX265)/AX265*100)</f>
        <v>0</v>
      </c>
      <c r="BJ265" s="1114">
        <f>IF(AY265=0,0,(AZ265-AY265)/AY265*100)</f>
        <v>0</v>
      </c>
      <c r="BK265" s="1114">
        <f>IF(AZ265=0,0,(BA265-AZ265)/AZ265*100)</f>
        <v>0</v>
      </c>
      <c r="BL265" s="1114">
        <f>IF(BA265=0,0,(BB265-BA265)/BA265*100)</f>
        <v>0</v>
      </c>
      <c r="BM265" s="1114">
        <f>IF(BB265=0,0,(BC265-BB265)/BB265*100)</f>
        <v>0</v>
      </c>
      <c r="BN265" s="7433"/>
      <c r="BO265" s="7433"/>
      <c r="BP265" s="7433"/>
      <c r="BQ265" s="1278"/>
      <c r="BR265" s="1278"/>
      <c r="BS265" s="1064" t="s">
        <v>2839</v>
      </c>
      <c r="BT265" s="1064"/>
      <c r="BU265" s="1064"/>
      <c r="BV265" s="979"/>
      <c r="BW265" s="979"/>
    </row>
    <row s="1834" customFormat="1" customHeight="1" ht="14.25">
      <c r="A266" s="1278"/>
      <c r="B266" s="432">
        <f>AND(method_reg="Метод индексации",STATUS_GO="да")</f>
        <v>1</v>
      </c>
      <c r="C266" s="107"/>
      <c r="D266" s="107"/>
      <c r="E266" s="621">
        <v>15</v>
      </c>
      <c r="F266" s="50" cm="1" t="str">
        <f t="array" ref="F266:F266">OFFSET(E266,-1,1)</f>
        <v>1</v>
      </c>
      <c r="G266" s="107" t="s">
        <v>2549</v>
      </c>
      <c r="H266" s="107"/>
      <c r="I266" s="107" t="s">
        <v>1225</v>
      </c>
      <c r="J266" s="107"/>
      <c r="K266" s="1278"/>
      <c r="L266" s="980" t="s">
        <v>1290</v>
      </c>
      <c r="M266" s="107"/>
      <c r="N266" s="107"/>
      <c r="O266" s="107"/>
      <c r="P266" s="107"/>
      <c r="Q266" s="107"/>
      <c r="R266" s="107"/>
      <c r="S266" s="107"/>
      <c r="T266" s="465" cm="1" t="str">
        <f t="array" ref="T266:T266">T265</f>
        <v>true</v>
      </c>
      <c r="U266" s="107"/>
      <c r="V266" s="107"/>
      <c r="W266" s="107"/>
      <c r="X266" s="1596"/>
      <c r="Y266" s="1278"/>
      <c r="Z266" s="1546"/>
      <c r="AA266" s="1278"/>
      <c r="AB266" s="300" t="s">
        <v>446</v>
      </c>
      <c r="AC266" s="452" t="s">
        <v>2549</v>
      </c>
      <c r="AD266" s="300" t="s">
        <v>1514</v>
      </c>
      <c r="AE266" s="3946"/>
      <c r="AF266" s="3946"/>
      <c r="AG266" s="3946"/>
      <c r="AH266" s="1114">
        <f>AG266-AF266</f>
        <v>0</v>
      </c>
      <c r="AI266" s="3946"/>
      <c r="AJ266" s="3946"/>
      <c r="AK266" s="3946"/>
      <c r="AL266" s="3946"/>
      <c r="AM266" s="3946"/>
      <c r="AN266" s="3946"/>
      <c r="AO266" s="1241"/>
      <c r="AP266" s="1241"/>
      <c r="AQ266" s="1241"/>
      <c r="AR266" s="1241"/>
      <c r="AS266" s="1241"/>
      <c r="AT266" s="3946"/>
      <c r="AU266" s="3946"/>
      <c r="AV266" s="3946"/>
      <c r="AW266" s="3946"/>
      <c r="AX266" s="3946"/>
      <c r="AY266" s="1241"/>
      <c r="AZ266" s="1241"/>
      <c r="BA266" s="1241"/>
      <c r="BB266" s="1241"/>
      <c r="BC266" s="1241"/>
      <c r="BD266" s="1114">
        <f>IF(AI266=0,0,(AT266-AI266)/AI266*100)</f>
        <v>0</v>
      </c>
      <c r="BE266" s="1114">
        <f>IF(AT266=0,0,(AU266-AT266)/AT266*100)</f>
        <v>0</v>
      </c>
      <c r="BF266" s="1114">
        <f>IF(AU266=0,0,(AV266-AU266)/AU266*100)</f>
        <v>0</v>
      </c>
      <c r="BG266" s="1114">
        <f>IF(AV266=0,0,(AW266-AV266)/AV266*100)</f>
        <v>0</v>
      </c>
      <c r="BH266" s="1114">
        <f>IF(AW266=0,0,(AX266-AW266)/AW266*100)</f>
        <v>0</v>
      </c>
      <c r="BI266" s="1114">
        <f>IF(AX266=0,0,(AY266-AX266)/AX266*100)</f>
        <v>0</v>
      </c>
      <c r="BJ266" s="1114">
        <f>IF(AY266=0,0,(AZ266-AY266)/AY266*100)</f>
        <v>0</v>
      </c>
      <c r="BK266" s="1114">
        <f>IF(AZ266=0,0,(BA266-AZ266)/AZ266*100)</f>
        <v>0</v>
      </c>
      <c r="BL266" s="1114">
        <f>IF(BA266=0,0,(BB266-BA266)/BA266*100)</f>
        <v>0</v>
      </c>
      <c r="BM266" s="1114">
        <f>IF(BB266=0,0,(BC266-BB266)/BB266*100)</f>
        <v>0</v>
      </c>
      <c r="BN266" s="7433"/>
      <c r="BO266" s="7433"/>
      <c r="BP266" s="7433"/>
      <c r="BQ266" s="1278"/>
      <c r="BR266" s="1278"/>
      <c r="BS266" s="1064" t="s">
        <v>2550</v>
      </c>
      <c r="BT266" s="1064"/>
      <c r="BU266" s="1064"/>
      <c r="BV266" s="979"/>
      <c r="BW266" s="979"/>
    </row>
    <row s="1834" customFormat="1" customHeight="1" ht="14.25" hidden="1">
      <c r="A267" s="1278"/>
      <c r="B267" s="860">
        <f>method_reg="Метод обеспечения доходности инвестированного капитала"</f>
        <v>0</v>
      </c>
      <c r="C267" s="107"/>
      <c r="D267" s="107"/>
      <c r="E267" s="621">
        <v>15</v>
      </c>
      <c r="F267" s="50" cm="1" t="str">
        <f t="array" ref="F267:F267">OFFSET(E267,-1,1)</f>
        <v>1</v>
      </c>
      <c r="G267" s="107"/>
      <c r="H267" s="107"/>
      <c r="I267" s="107"/>
      <c r="J267" s="107"/>
      <c r="K267" s="107" t="s">
        <v>336</v>
      </c>
      <c r="L267" s="980"/>
      <c r="M267" s="107"/>
      <c r="N267" s="107"/>
      <c r="O267" s="107"/>
      <c r="P267" s="107"/>
      <c r="Q267" s="107"/>
      <c r="R267" s="107"/>
      <c r="S267" s="107"/>
      <c r="T267" s="860" cm="1" t="str">
        <f t="array" ref="T267:T267">T266</f>
        <v>true</v>
      </c>
      <c r="U267" s="107"/>
      <c r="V267" s="107"/>
      <c r="W267" s="107"/>
      <c r="X267" s="1596"/>
      <c r="Y267" s="1278"/>
      <c r="Z267" s="1546"/>
      <c r="AA267" s="1278"/>
      <c r="AB267" s="794" t="s">
        <v>295</v>
      </c>
      <c r="AC267" s="793" t="s">
        <v>2840</v>
      </c>
      <c r="AD267" s="794" t="s">
        <v>1514</v>
      </c>
      <c r="AE267" s="1246"/>
      <c r="AF267" s="1246"/>
      <c r="AG267" s="1246"/>
      <c r="AH267" s="761">
        <f>AG267-AF267</f>
        <v>0</v>
      </c>
      <c r="AI267" s="1246"/>
      <c r="AJ267" s="1246"/>
      <c r="AK267" s="1246"/>
      <c r="AL267" s="1246"/>
      <c r="AM267" s="1246"/>
      <c r="AN267" s="1246"/>
      <c r="AO267" s="1246"/>
      <c r="AP267" s="1246"/>
      <c r="AQ267" s="1246"/>
      <c r="AR267" s="1246"/>
      <c r="AS267" s="1246"/>
      <c r="AT267" s="1246"/>
      <c r="AU267" s="1246"/>
      <c r="AV267" s="1246"/>
      <c r="AW267" s="1246"/>
      <c r="AX267" s="1246"/>
      <c r="AY267" s="1246"/>
      <c r="AZ267" s="1246"/>
      <c r="BA267" s="1246"/>
      <c r="BB267" s="1246"/>
      <c r="BC267" s="1246"/>
      <c r="BD267" s="761">
        <f>IF(AI267=0,0,(AT267-AI267)/AI267*100)</f>
        <v>0</v>
      </c>
      <c r="BE267" s="761">
        <f>IF(AT267=0,0,(AU267-AT267)/AT267*100)</f>
        <v>0</v>
      </c>
      <c r="BF267" s="761">
        <f>IF(AU267=0,0,(AV267-AU267)/AU267*100)</f>
        <v>0</v>
      </c>
      <c r="BG267" s="761">
        <f>IF(AV267=0,0,(AW267-AV267)/AV267*100)</f>
        <v>0</v>
      </c>
      <c r="BH267" s="761">
        <f>IF(AW267=0,0,(AX267-AW267)/AW267*100)</f>
        <v>0</v>
      </c>
      <c r="BI267" s="761">
        <f>IF(AX267=0,0,(AY267-AX267)/AX267*100)</f>
        <v>0</v>
      </c>
      <c r="BJ267" s="761">
        <f>IF(AY267=0,0,(AZ267-AY267)/AY267*100)</f>
        <v>0</v>
      </c>
      <c r="BK267" s="761">
        <f>IF(AZ267=0,0,(BA267-AZ267)/AZ267*100)</f>
        <v>0</v>
      </c>
      <c r="BL267" s="761">
        <f>IF(BA267=0,0,(BB267-BA267)/BA267*100)</f>
        <v>0</v>
      </c>
      <c r="BM267" s="761">
        <f>IF(BB267=0,0,(BC267-BB267)/BB267*100)</f>
        <v>0</v>
      </c>
      <c r="BN267" s="1247"/>
      <c r="BO267" s="1247"/>
      <c r="BP267" s="1247"/>
      <c r="BQ267" s="1278"/>
      <c r="BR267" s="1278"/>
      <c r="BS267" s="1064" t="s">
        <v>2841</v>
      </c>
      <c r="BT267" s="1064"/>
      <c r="BU267" s="1064"/>
      <c r="BV267" s="979"/>
      <c r="BW267" s="979"/>
    </row>
    <row s="1834" customFormat="1" customHeight="1" ht="14.25" hidden="1">
      <c r="A268" s="1278"/>
      <c r="B268" s="860" cm="1" t="str">
        <f t="array" ref="B268:B268">B267</f>
        <v>false</v>
      </c>
      <c r="C268" s="107"/>
      <c r="D268" s="107"/>
      <c r="E268" s="621">
        <v>15</v>
      </c>
      <c r="F268" s="50" cm="1" t="str">
        <f t="array" ref="F268:F268">OFFSET(E268,-1,1)</f>
        <v>1</v>
      </c>
      <c r="G268" s="107"/>
      <c r="H268" s="107"/>
      <c r="I268" s="107"/>
      <c r="J268" s="107"/>
      <c r="K268" s="107" t="s">
        <v>1249</v>
      </c>
      <c r="L268" s="980"/>
      <c r="M268" s="107"/>
      <c r="N268" s="107"/>
      <c r="O268" s="107"/>
      <c r="P268" s="107"/>
      <c r="Q268" s="107"/>
      <c r="R268" s="107"/>
      <c r="S268" s="107"/>
      <c r="T268" s="860" cm="1" t="str">
        <f t="array" ref="T268:T268">T267</f>
        <v>true</v>
      </c>
      <c r="U268" s="107"/>
      <c r="V268" s="107"/>
      <c r="W268" s="107"/>
      <c r="X268" s="1596"/>
      <c r="Y268" s="1278"/>
      <c r="Z268" s="1546"/>
      <c r="AA268" s="1278"/>
      <c r="AB268" s="797" t="s">
        <v>1384</v>
      </c>
      <c r="AC268" s="796" t="s">
        <v>2842</v>
      </c>
      <c r="AD268" s="797" t="s">
        <v>1514</v>
      </c>
      <c r="AE268" s="1248"/>
      <c r="AF268" s="1248"/>
      <c r="AG268" s="1248"/>
      <c r="AH268" s="763"/>
      <c r="AI268" s="1248"/>
      <c r="AJ268" s="1248"/>
      <c r="AK268" s="1248"/>
      <c r="AL268" s="1248"/>
      <c r="AM268" s="1248"/>
      <c r="AN268" s="1248"/>
      <c r="AO268" s="1248"/>
      <c r="AP268" s="1248"/>
      <c r="AQ268" s="1248"/>
      <c r="AR268" s="1248"/>
      <c r="AS268" s="1248"/>
      <c r="AT268" s="1248"/>
      <c r="AU268" s="1248"/>
      <c r="AV268" s="1248"/>
      <c r="AW268" s="1248"/>
      <c r="AX268" s="1248"/>
      <c r="AY268" s="1248"/>
      <c r="AZ268" s="1248"/>
      <c r="BA268" s="1248"/>
      <c r="BB268" s="1248"/>
      <c r="BC268" s="1248"/>
      <c r="BD268" s="763"/>
      <c r="BE268" s="763"/>
      <c r="BF268" s="763"/>
      <c r="BG268" s="763"/>
      <c r="BH268" s="763"/>
      <c r="BI268" s="763"/>
      <c r="BJ268" s="763"/>
      <c r="BK268" s="763"/>
      <c r="BL268" s="763"/>
      <c r="BM268" s="763"/>
      <c r="BN268" s="1249"/>
      <c r="BO268" s="1249"/>
      <c r="BP268" s="1249"/>
      <c r="BQ268" s="1278"/>
      <c r="BR268" s="1278"/>
      <c r="BS268" s="1064" t="s">
        <v>2843</v>
      </c>
      <c r="BT268" s="1064"/>
      <c r="BU268" s="1064"/>
      <c r="BV268" s="979"/>
      <c r="BW268" s="979"/>
    </row>
    <row s="1834" customFormat="1" customHeight="1" ht="14.25" hidden="1">
      <c r="A269" s="1278"/>
      <c r="B269" s="860" cm="1" t="str">
        <f t="array" ref="B269:B269">B268</f>
        <v>false</v>
      </c>
      <c r="C269" s="107"/>
      <c r="D269" s="107"/>
      <c r="E269" s="621">
        <v>15</v>
      </c>
      <c r="F269" s="50" cm="1" t="str">
        <f t="array" ref="F269:F269">OFFSET(E269,-1,1)</f>
        <v>1</v>
      </c>
      <c r="G269" s="107"/>
      <c r="H269" s="107"/>
      <c r="I269" s="107"/>
      <c r="J269" s="107"/>
      <c r="K269" s="107" t="s">
        <v>1253</v>
      </c>
      <c r="L269" s="980"/>
      <c r="M269" s="107"/>
      <c r="N269" s="107"/>
      <c r="O269" s="107"/>
      <c r="P269" s="107"/>
      <c r="Q269" s="107"/>
      <c r="R269" s="107"/>
      <c r="S269" s="107"/>
      <c r="T269" s="860" cm="1" t="str">
        <f t="array" ref="T269:T269">T268</f>
        <v>true</v>
      </c>
      <c r="U269" s="107"/>
      <c r="V269" s="107"/>
      <c r="W269" s="107"/>
      <c r="X269" s="1596"/>
      <c r="Y269" s="1278"/>
      <c r="Z269" s="1546"/>
      <c r="AA269" s="1278"/>
      <c r="AB269" s="797" t="s">
        <v>1387</v>
      </c>
      <c r="AC269" s="796" t="s">
        <v>2844</v>
      </c>
      <c r="AD269" s="797" t="s">
        <v>2845</v>
      </c>
      <c r="AE269" s="1248"/>
      <c r="AF269" s="1248"/>
      <c r="AG269" s="1248"/>
      <c r="AH269" s="763"/>
      <c r="AI269" s="1248"/>
      <c r="AJ269" s="1248"/>
      <c r="AK269" s="1248"/>
      <c r="AL269" s="1248"/>
      <c r="AM269" s="1248"/>
      <c r="AN269" s="1248"/>
      <c r="AO269" s="1248"/>
      <c r="AP269" s="1248"/>
      <c r="AQ269" s="1248"/>
      <c r="AR269" s="1248"/>
      <c r="AS269" s="1248"/>
      <c r="AT269" s="1248"/>
      <c r="AU269" s="1248"/>
      <c r="AV269" s="1248"/>
      <c r="AW269" s="1248"/>
      <c r="AX269" s="1248"/>
      <c r="AY269" s="1248"/>
      <c r="AZ269" s="1248"/>
      <c r="BA269" s="1248"/>
      <c r="BB269" s="1248"/>
      <c r="BC269" s="1248"/>
      <c r="BD269" s="763"/>
      <c r="BE269" s="763"/>
      <c r="BF269" s="763"/>
      <c r="BG269" s="763"/>
      <c r="BH269" s="763"/>
      <c r="BI269" s="763"/>
      <c r="BJ269" s="763"/>
      <c r="BK269" s="763"/>
      <c r="BL269" s="763"/>
      <c r="BM269" s="763"/>
      <c r="BN269" s="1249"/>
      <c r="BO269" s="1249"/>
      <c r="BP269" s="1249"/>
      <c r="BQ269" s="1278"/>
      <c r="BR269" s="1278"/>
      <c r="BS269" s="1064" t="s">
        <v>2846</v>
      </c>
      <c r="BT269" s="1064"/>
      <c r="BU269" s="1064"/>
      <c r="BV269" s="979"/>
      <c r="BW269" s="979"/>
    </row>
    <row s="1834" customFormat="1" customHeight="1" ht="14.25" hidden="1">
      <c r="A270" s="1278"/>
      <c r="B270" s="860" cm="1" t="str">
        <f t="array" ref="B270:B270">B269</f>
        <v>false</v>
      </c>
      <c r="C270" s="107"/>
      <c r="D270" s="107"/>
      <c r="E270" s="621">
        <v>15</v>
      </c>
      <c r="F270" s="50" cm="1" t="str">
        <f t="array" ref="F270:F270">OFFSET(E270,-1,1)</f>
        <v>1</v>
      </c>
      <c r="G270" s="107"/>
      <c r="H270" s="107"/>
      <c r="I270" s="107"/>
      <c r="J270" s="107"/>
      <c r="K270" s="107" t="s">
        <v>335</v>
      </c>
      <c r="L270" s="980"/>
      <c r="M270" s="107"/>
      <c r="N270" s="107"/>
      <c r="O270" s="107"/>
      <c r="P270" s="107"/>
      <c r="Q270" s="107"/>
      <c r="R270" s="107"/>
      <c r="S270" s="107"/>
      <c r="T270" s="860" cm="1" t="str">
        <f t="array" ref="T270:T270">T269</f>
        <v>true</v>
      </c>
      <c r="U270" s="107"/>
      <c r="V270" s="107"/>
      <c r="W270" s="107"/>
      <c r="X270" s="1596"/>
      <c r="Y270" s="1278"/>
      <c r="Z270" s="1546"/>
      <c r="AA270" s="1278"/>
      <c r="AB270" s="794" t="s">
        <v>443</v>
      </c>
      <c r="AC270" s="793" t="s">
        <v>2847</v>
      </c>
      <c r="AD270" s="794" t="s">
        <v>1514</v>
      </c>
      <c r="AE270" s="1246"/>
      <c r="AF270" s="1246"/>
      <c r="AG270" s="1246"/>
      <c r="AH270" s="761">
        <f>AG270-AF270</f>
        <v>0</v>
      </c>
      <c r="AI270" s="1246"/>
      <c r="AJ270" s="1246"/>
      <c r="AK270" s="1246"/>
      <c r="AL270" s="1246"/>
      <c r="AM270" s="1246"/>
      <c r="AN270" s="1246"/>
      <c r="AO270" s="1246"/>
      <c r="AP270" s="1246"/>
      <c r="AQ270" s="1246"/>
      <c r="AR270" s="1246"/>
      <c r="AS270" s="1246"/>
      <c r="AT270" s="1246"/>
      <c r="AU270" s="1246"/>
      <c r="AV270" s="1246"/>
      <c r="AW270" s="1246"/>
      <c r="AX270" s="1246"/>
      <c r="AY270" s="1246"/>
      <c r="AZ270" s="1246"/>
      <c r="BA270" s="1246"/>
      <c r="BB270" s="1246"/>
      <c r="BC270" s="1246"/>
      <c r="BD270" s="761">
        <f>IF(AI270=0,0,(AT270-AI270)/AI270*100)</f>
        <v>0</v>
      </c>
      <c r="BE270" s="761">
        <f>IF(AT270=0,0,(AU270-AT270)/AT270*100)</f>
        <v>0</v>
      </c>
      <c r="BF270" s="761">
        <f>IF(AU270=0,0,(AV270-AU270)/AU270*100)</f>
        <v>0</v>
      </c>
      <c r="BG270" s="761">
        <f>IF(AV270=0,0,(AW270-AV270)/AV270*100)</f>
        <v>0</v>
      </c>
      <c r="BH270" s="761">
        <f>IF(AW270=0,0,(AX270-AW270)/AW270*100)</f>
        <v>0</v>
      </c>
      <c r="BI270" s="761">
        <f>IF(AX270=0,0,(AY270-AX270)/AX270*100)</f>
        <v>0</v>
      </c>
      <c r="BJ270" s="761">
        <f>IF(AY270=0,0,(AZ270-AY270)/AY270*100)</f>
        <v>0</v>
      </c>
      <c r="BK270" s="761">
        <f>IF(AZ270=0,0,(BA270-AZ270)/AZ270*100)</f>
        <v>0</v>
      </c>
      <c r="BL270" s="761">
        <f>IF(BA270=0,0,(BB270-BA270)/BA270*100)</f>
        <v>0</v>
      </c>
      <c r="BM270" s="761">
        <f>IF(BB270=0,0,(BC270-BB270)/BB270*100)</f>
        <v>0</v>
      </c>
      <c r="BN270" s="1247"/>
      <c r="BO270" s="1247"/>
      <c r="BP270" s="1247"/>
      <c r="BQ270" s="1278"/>
      <c r="BR270" s="1278"/>
      <c r="BS270" s="1064" t="s">
        <v>2848</v>
      </c>
      <c r="BT270" s="1064"/>
      <c r="BU270" s="1064"/>
      <c r="BV270" s="979"/>
      <c r="BW270" s="979"/>
    </row>
    <row s="1834" customFormat="1" customHeight="1" ht="14.25" hidden="1">
      <c r="A271" s="1278"/>
      <c r="B271" s="860" cm="1" t="str">
        <f t="array" ref="B271:B271">B270</f>
        <v>false</v>
      </c>
      <c r="C271" s="107"/>
      <c r="D271" s="107"/>
      <c r="E271" s="621">
        <v>15</v>
      </c>
      <c r="F271" s="50" cm="1" t="str">
        <f t="array" ref="F271:F271">OFFSET(E271,-1,1)</f>
        <v>1</v>
      </c>
      <c r="G271" s="107"/>
      <c r="H271" s="107"/>
      <c r="I271" s="107"/>
      <c r="J271" s="107"/>
      <c r="K271" s="107" t="s">
        <v>1263</v>
      </c>
      <c r="L271" s="980"/>
      <c r="M271" s="107"/>
      <c r="N271" s="107"/>
      <c r="O271" s="107"/>
      <c r="P271" s="107"/>
      <c r="Q271" s="107"/>
      <c r="R271" s="107"/>
      <c r="S271" s="107"/>
      <c r="T271" s="860" cm="1" t="str">
        <f t="array" ref="T271:T271">T270</f>
        <v>true</v>
      </c>
      <c r="U271" s="107"/>
      <c r="V271" s="107"/>
      <c r="W271" s="107"/>
      <c r="X271" s="1596"/>
      <c r="Y271" s="1278"/>
      <c r="Z271" s="1546"/>
      <c r="AA271" s="1278"/>
      <c r="AB271" s="797" t="s">
        <v>1391</v>
      </c>
      <c r="AC271" s="796" t="s">
        <v>2849</v>
      </c>
      <c r="AD271" s="797" t="s">
        <v>1514</v>
      </c>
      <c r="AE271" s="1248"/>
      <c r="AF271" s="1248"/>
      <c r="AG271" s="1248"/>
      <c r="AH271" s="763"/>
      <c r="AI271" s="1248"/>
      <c r="AJ271" s="1248"/>
      <c r="AK271" s="1248"/>
      <c r="AL271" s="1248"/>
      <c r="AM271" s="1248"/>
      <c r="AN271" s="1248"/>
      <c r="AO271" s="1248"/>
      <c r="AP271" s="1248"/>
      <c r="AQ271" s="1248"/>
      <c r="AR271" s="1248"/>
      <c r="AS271" s="1248"/>
      <c r="AT271" s="1248"/>
      <c r="AU271" s="1248"/>
      <c r="AV271" s="1248"/>
      <c r="AW271" s="1248"/>
      <c r="AX271" s="1248"/>
      <c r="AY271" s="1248"/>
      <c r="AZ271" s="1248"/>
      <c r="BA271" s="1248"/>
      <c r="BB271" s="1248"/>
      <c r="BC271" s="1248"/>
      <c r="BD271" s="763"/>
      <c r="BE271" s="763"/>
      <c r="BF271" s="763"/>
      <c r="BG271" s="763"/>
      <c r="BH271" s="763"/>
      <c r="BI271" s="763"/>
      <c r="BJ271" s="763"/>
      <c r="BK271" s="763"/>
      <c r="BL271" s="763"/>
      <c r="BM271" s="763"/>
      <c r="BN271" s="1249"/>
      <c r="BO271" s="1249"/>
      <c r="BP271" s="1249"/>
      <c r="BQ271" s="1278"/>
      <c r="BR271" s="1278"/>
      <c r="BS271" s="1064" t="s">
        <v>2850</v>
      </c>
      <c r="BT271" s="1064"/>
      <c r="BU271" s="1064"/>
      <c r="BV271" s="979"/>
      <c r="BW271" s="979"/>
    </row>
    <row s="1834" customFormat="1" customHeight="1" ht="14.25" hidden="1">
      <c r="A272" s="1278"/>
      <c r="B272" s="860" cm="1" t="str">
        <f t="array" ref="B272:B272">B271</f>
        <v>false</v>
      </c>
      <c r="C272" s="107"/>
      <c r="D272" s="107"/>
      <c r="E272" s="621">
        <v>15</v>
      </c>
      <c r="F272" s="50" cm="1" t="str">
        <f t="array" ref="F272:F272">OFFSET(E272,-1,1)</f>
        <v>1</v>
      </c>
      <c r="G272" s="107"/>
      <c r="H272" s="107"/>
      <c r="I272" s="107"/>
      <c r="J272" s="107"/>
      <c r="K272" s="107" t="s">
        <v>1267</v>
      </c>
      <c r="L272" s="980"/>
      <c r="M272" s="107"/>
      <c r="N272" s="107"/>
      <c r="O272" s="107"/>
      <c r="P272" s="107"/>
      <c r="Q272" s="107"/>
      <c r="R272" s="107"/>
      <c r="S272" s="107"/>
      <c r="T272" s="860" cm="1" t="str">
        <f t="array" ref="T272:T272">T271</f>
        <v>true</v>
      </c>
      <c r="U272" s="107"/>
      <c r="V272" s="107"/>
      <c r="W272" s="107"/>
      <c r="X272" s="1596"/>
      <c r="Y272" s="1278"/>
      <c r="Z272" s="1546"/>
      <c r="AA272" s="1278"/>
      <c r="AB272" s="797" t="s">
        <v>1394</v>
      </c>
      <c r="AC272" s="796" t="s">
        <v>2851</v>
      </c>
      <c r="AD272" s="797" t="s">
        <v>1170</v>
      </c>
      <c r="AE272" s="1248"/>
      <c r="AF272" s="1248"/>
      <c r="AG272" s="1248"/>
      <c r="AH272" s="763"/>
      <c r="AI272" s="1248"/>
      <c r="AJ272" s="1248"/>
      <c r="AK272" s="1248"/>
      <c r="AL272" s="1248"/>
      <c r="AM272" s="1248"/>
      <c r="AN272" s="1248"/>
      <c r="AO272" s="1248"/>
      <c r="AP272" s="1248"/>
      <c r="AQ272" s="1248"/>
      <c r="AR272" s="1248"/>
      <c r="AS272" s="1248"/>
      <c r="AT272" s="1248"/>
      <c r="AU272" s="1248"/>
      <c r="AV272" s="1248"/>
      <c r="AW272" s="1248"/>
      <c r="AX272" s="1248"/>
      <c r="AY272" s="1248"/>
      <c r="AZ272" s="1248"/>
      <c r="BA272" s="1248"/>
      <c r="BB272" s="1248"/>
      <c r="BC272" s="1248"/>
      <c r="BD272" s="763"/>
      <c r="BE272" s="763"/>
      <c r="BF272" s="763"/>
      <c r="BG272" s="763"/>
      <c r="BH272" s="763"/>
      <c r="BI272" s="763"/>
      <c r="BJ272" s="763"/>
      <c r="BK272" s="763"/>
      <c r="BL272" s="763"/>
      <c r="BM272" s="763"/>
      <c r="BN272" s="1249"/>
      <c r="BO272" s="1249"/>
      <c r="BP272" s="1249"/>
      <c r="BQ272" s="1278"/>
      <c r="BR272" s="1278"/>
      <c r="BS272" s="1064" t="s">
        <v>2852</v>
      </c>
      <c r="BT272" s="1064"/>
      <c r="BU272" s="1064"/>
      <c r="BV272" s="979"/>
      <c r="BW272" s="979"/>
    </row>
    <row s="1834" customFormat="1" customHeight="1" ht="14.25" hidden="1">
      <c r="A273" s="1278"/>
      <c r="B273" s="860" cm="1" t="str">
        <f t="array" ref="B273:B273">B272</f>
        <v>false</v>
      </c>
      <c r="C273" s="107"/>
      <c r="D273" s="107"/>
      <c r="E273" s="621">
        <v>15</v>
      </c>
      <c r="F273" s="50" cm="1" t="str">
        <f t="array" ref="F273:F273">OFFSET(E273,-1,1)</f>
        <v>1</v>
      </c>
      <c r="G273" s="107"/>
      <c r="H273" s="107"/>
      <c r="I273" s="107"/>
      <c r="J273" s="107"/>
      <c r="K273" s="107" t="s">
        <v>1479</v>
      </c>
      <c r="L273" s="980"/>
      <c r="M273" s="107"/>
      <c r="N273" s="107"/>
      <c r="O273" s="107"/>
      <c r="P273" s="107"/>
      <c r="Q273" s="107"/>
      <c r="R273" s="107"/>
      <c r="S273" s="107"/>
      <c r="T273" s="860" cm="1" t="str">
        <f t="array" ref="T273:T273">T272</f>
        <v>true</v>
      </c>
      <c r="U273" s="107"/>
      <c r="V273" s="107"/>
      <c r="W273" s="107"/>
      <c r="X273" s="1596"/>
      <c r="Y273" s="1278"/>
      <c r="Z273" s="1546"/>
      <c r="AA273" s="1278"/>
      <c r="AB273" s="797" t="s">
        <v>1683</v>
      </c>
      <c r="AC273" s="796" t="s">
        <v>2853</v>
      </c>
      <c r="AD273" s="797" t="s">
        <v>1514</v>
      </c>
      <c r="AE273" s="1248"/>
      <c r="AF273" s="1248"/>
      <c r="AG273" s="1248"/>
      <c r="AH273" s="763"/>
      <c r="AI273" s="1248"/>
      <c r="AJ273" s="1248"/>
      <c r="AK273" s="1248"/>
      <c r="AL273" s="1248"/>
      <c r="AM273" s="1248"/>
      <c r="AN273" s="1248"/>
      <c r="AO273" s="1248"/>
      <c r="AP273" s="1248"/>
      <c r="AQ273" s="1248"/>
      <c r="AR273" s="1248"/>
      <c r="AS273" s="1248"/>
      <c r="AT273" s="1248"/>
      <c r="AU273" s="1248"/>
      <c r="AV273" s="1248"/>
      <c r="AW273" s="1248"/>
      <c r="AX273" s="1248"/>
      <c r="AY273" s="1248"/>
      <c r="AZ273" s="1248"/>
      <c r="BA273" s="1248"/>
      <c r="BB273" s="1248"/>
      <c r="BC273" s="1248"/>
      <c r="BD273" s="763"/>
      <c r="BE273" s="763"/>
      <c r="BF273" s="763"/>
      <c r="BG273" s="763"/>
      <c r="BH273" s="763"/>
      <c r="BI273" s="763"/>
      <c r="BJ273" s="763"/>
      <c r="BK273" s="763"/>
      <c r="BL273" s="763"/>
      <c r="BM273" s="763"/>
      <c r="BN273" s="1249"/>
      <c r="BO273" s="1249"/>
      <c r="BP273" s="1249"/>
      <c r="BQ273" s="1278"/>
      <c r="BR273" s="1278"/>
      <c r="BS273" s="1064" t="s">
        <v>2854</v>
      </c>
      <c r="BT273" s="1064"/>
      <c r="BU273" s="1064"/>
      <c r="BV273" s="979"/>
      <c r="BW273" s="979"/>
    </row>
    <row s="1834" customFormat="1" customHeight="1" ht="14.25" hidden="1">
      <c r="A274" s="1278"/>
      <c r="B274" s="860" cm="1" t="str">
        <f t="array" ref="B274:B274">B273</f>
        <v>false</v>
      </c>
      <c r="C274" s="107"/>
      <c r="D274" s="107"/>
      <c r="E274" s="621">
        <v>15</v>
      </c>
      <c r="F274" s="50" cm="1" t="str">
        <f t="array" ref="F274:F274">OFFSET(E274,-1,1)</f>
        <v>1</v>
      </c>
      <c r="G274" s="107"/>
      <c r="H274" s="107"/>
      <c r="I274" s="107"/>
      <c r="J274" s="107"/>
      <c r="K274" s="107" t="s">
        <v>1685</v>
      </c>
      <c r="L274" s="980"/>
      <c r="M274" s="107"/>
      <c r="N274" s="107"/>
      <c r="O274" s="107"/>
      <c r="P274" s="107"/>
      <c r="Q274" s="107"/>
      <c r="R274" s="107"/>
      <c r="S274" s="107"/>
      <c r="T274" s="860" cm="1" t="str">
        <f t="array" ref="T274:T274">T273</f>
        <v>true</v>
      </c>
      <c r="U274" s="107"/>
      <c r="V274" s="107"/>
      <c r="W274" s="107"/>
      <c r="X274" s="1596"/>
      <c r="Y274" s="1278"/>
      <c r="Z274" s="1546"/>
      <c r="AA274" s="1278"/>
      <c r="AB274" s="797" t="s">
        <v>1686</v>
      </c>
      <c r="AC274" s="796" t="s">
        <v>2855</v>
      </c>
      <c r="AD274" s="797" t="s">
        <v>1514</v>
      </c>
      <c r="AE274" s="1248"/>
      <c r="AF274" s="1248"/>
      <c r="AG274" s="1248"/>
      <c r="AH274" s="763"/>
      <c r="AI274" s="1248"/>
      <c r="AJ274" s="1248"/>
      <c r="AK274" s="1248"/>
      <c r="AL274" s="1248"/>
      <c r="AM274" s="1248"/>
      <c r="AN274" s="1248"/>
      <c r="AO274" s="1248"/>
      <c r="AP274" s="1248"/>
      <c r="AQ274" s="1248"/>
      <c r="AR274" s="1248"/>
      <c r="AS274" s="1248"/>
      <c r="AT274" s="1248"/>
      <c r="AU274" s="1248"/>
      <c r="AV274" s="1248"/>
      <c r="AW274" s="1248"/>
      <c r="AX274" s="1248"/>
      <c r="AY274" s="1248"/>
      <c r="AZ274" s="1248"/>
      <c r="BA274" s="1248"/>
      <c r="BB274" s="1248"/>
      <c r="BC274" s="1248"/>
      <c r="BD274" s="763"/>
      <c r="BE274" s="763"/>
      <c r="BF274" s="763"/>
      <c r="BG274" s="763"/>
      <c r="BH274" s="763"/>
      <c r="BI274" s="763"/>
      <c r="BJ274" s="763"/>
      <c r="BK274" s="763"/>
      <c r="BL274" s="763"/>
      <c r="BM274" s="763"/>
      <c r="BN274" s="1249"/>
      <c r="BO274" s="1249"/>
      <c r="BP274" s="1249"/>
      <c r="BQ274" s="1278"/>
      <c r="BR274" s="1278"/>
      <c r="BS274" s="1064" t="s">
        <v>2856</v>
      </c>
      <c r="BT274" s="1064"/>
      <c r="BU274" s="1064"/>
      <c r="BV274" s="979"/>
      <c r="BW274" s="979"/>
    </row>
    <row s="1834" customFormat="1" customHeight="1" ht="14.25" hidden="1">
      <c r="A275" s="1278"/>
      <c r="B275" s="860" cm="1" t="str">
        <f t="array" ref="B275:B275">B274</f>
        <v>false</v>
      </c>
      <c r="C275" s="107"/>
      <c r="D275" s="107"/>
      <c r="E275" s="621">
        <v>15</v>
      </c>
      <c r="F275" s="50" cm="1" t="str">
        <f t="array" ref="F275:F275">OFFSET(E275,-1,1)</f>
        <v>1</v>
      </c>
      <c r="G275" s="107"/>
      <c r="H275" s="107"/>
      <c r="I275" s="107"/>
      <c r="J275" s="107"/>
      <c r="K275" s="107" t="s">
        <v>2857</v>
      </c>
      <c r="L275" s="980"/>
      <c r="M275" s="107"/>
      <c r="N275" s="107"/>
      <c r="O275" s="107"/>
      <c r="P275" s="107"/>
      <c r="Q275" s="107"/>
      <c r="R275" s="107"/>
      <c r="S275" s="107"/>
      <c r="T275" s="860" cm="1" t="str">
        <f t="array" ref="T275:T275">T274</f>
        <v>true</v>
      </c>
      <c r="U275" s="107"/>
      <c r="V275" s="107"/>
      <c r="W275" s="107"/>
      <c r="X275" s="1596"/>
      <c r="Y275" s="1278"/>
      <c r="Z275" s="1546"/>
      <c r="AA275" s="1278"/>
      <c r="AB275" s="797" t="s">
        <v>2858</v>
      </c>
      <c r="AC275" s="798" t="s">
        <v>2859</v>
      </c>
      <c r="AD275" s="797" t="s">
        <v>1170</v>
      </c>
      <c r="AE275" s="1248"/>
      <c r="AF275" s="1248"/>
      <c r="AG275" s="1248"/>
      <c r="AH275" s="763"/>
      <c r="AI275" s="1248"/>
      <c r="AJ275" s="1248"/>
      <c r="AK275" s="1248"/>
      <c r="AL275" s="1248"/>
      <c r="AM275" s="1248"/>
      <c r="AN275" s="1248"/>
      <c r="AO275" s="1248"/>
      <c r="AP275" s="1248"/>
      <c r="AQ275" s="1248"/>
      <c r="AR275" s="1248"/>
      <c r="AS275" s="1248"/>
      <c r="AT275" s="1248"/>
      <c r="AU275" s="1248"/>
      <c r="AV275" s="1248"/>
      <c r="AW275" s="1248"/>
      <c r="AX275" s="1248"/>
      <c r="AY275" s="1248"/>
      <c r="AZ275" s="1248"/>
      <c r="BA275" s="1248"/>
      <c r="BB275" s="1248"/>
      <c r="BC275" s="1248"/>
      <c r="BD275" s="763"/>
      <c r="BE275" s="763"/>
      <c r="BF275" s="763"/>
      <c r="BG275" s="763"/>
      <c r="BH275" s="763"/>
      <c r="BI275" s="763"/>
      <c r="BJ275" s="763"/>
      <c r="BK275" s="763"/>
      <c r="BL275" s="763"/>
      <c r="BM275" s="763"/>
      <c r="BN275" s="1249"/>
      <c r="BO275" s="1249"/>
      <c r="BP275" s="1249"/>
      <c r="BQ275" s="1278"/>
      <c r="BR275" s="1278"/>
      <c r="BS275" s="1064" t="s">
        <v>2860</v>
      </c>
      <c r="BT275" s="1064"/>
      <c r="BU275" s="1064"/>
      <c r="BV275" s="979"/>
      <c r="BW275" s="979"/>
    </row>
    <row s="1834" customFormat="1" customHeight="1" ht="14.25" hidden="1">
      <c r="A276" s="1278"/>
      <c r="B276" s="860" cm="1" t="str">
        <f t="array" ref="B276:B276">B275</f>
        <v>false</v>
      </c>
      <c r="C276" s="107"/>
      <c r="D276" s="107"/>
      <c r="E276" s="621">
        <v>15</v>
      </c>
      <c r="F276" s="50" cm="1" t="str">
        <f t="array" ref="F276:F276">OFFSET(E276,-1,1)</f>
        <v>1</v>
      </c>
      <c r="G276" s="107"/>
      <c r="H276" s="107"/>
      <c r="I276" s="107"/>
      <c r="J276" s="107"/>
      <c r="K276" s="107" t="s">
        <v>1688</v>
      </c>
      <c r="L276" s="980"/>
      <c r="M276" s="107"/>
      <c r="N276" s="107"/>
      <c r="O276" s="107"/>
      <c r="P276" s="107"/>
      <c r="Q276" s="107"/>
      <c r="R276" s="107"/>
      <c r="S276" s="107"/>
      <c r="T276" s="860" cm="1" t="str">
        <f t="array" ref="T276:T276">T275</f>
        <v>true</v>
      </c>
      <c r="U276" s="107"/>
      <c r="V276" s="107"/>
      <c r="W276" s="107"/>
      <c r="X276" s="1596"/>
      <c r="Y276" s="1278"/>
      <c r="Z276" s="1546"/>
      <c r="AA276" s="1278"/>
      <c r="AB276" s="797" t="s">
        <v>1689</v>
      </c>
      <c r="AC276" s="796" t="s">
        <v>2861</v>
      </c>
      <c r="AD276" s="797" t="s">
        <v>1170</v>
      </c>
      <c r="AE276" s="1248"/>
      <c r="AF276" s="1248"/>
      <c r="AG276" s="1248"/>
      <c r="AH276" s="763"/>
      <c r="AI276" s="1248"/>
      <c r="AJ276" s="1248"/>
      <c r="AK276" s="1248"/>
      <c r="AL276" s="1248"/>
      <c r="AM276" s="1248"/>
      <c r="AN276" s="1248"/>
      <c r="AO276" s="1248"/>
      <c r="AP276" s="1248"/>
      <c r="AQ276" s="1248"/>
      <c r="AR276" s="1248"/>
      <c r="AS276" s="1248"/>
      <c r="AT276" s="1248"/>
      <c r="AU276" s="1248"/>
      <c r="AV276" s="1248"/>
      <c r="AW276" s="1248"/>
      <c r="AX276" s="1248"/>
      <c r="AY276" s="1248"/>
      <c r="AZ276" s="1248"/>
      <c r="BA276" s="1248"/>
      <c r="BB276" s="1248"/>
      <c r="BC276" s="1248"/>
      <c r="BD276" s="763"/>
      <c r="BE276" s="763"/>
      <c r="BF276" s="763"/>
      <c r="BG276" s="763"/>
      <c r="BH276" s="763"/>
      <c r="BI276" s="763"/>
      <c r="BJ276" s="763"/>
      <c r="BK276" s="763"/>
      <c r="BL276" s="763"/>
      <c r="BM276" s="763"/>
      <c r="BN276" s="1249"/>
      <c r="BO276" s="1249"/>
      <c r="BP276" s="1249"/>
      <c r="BQ276" s="1278"/>
      <c r="BR276" s="1278"/>
      <c r="BS276" s="1064" t="s">
        <v>2862</v>
      </c>
      <c r="BT276" s="1064"/>
      <c r="BU276" s="1064"/>
      <c r="BV276" s="979"/>
      <c r="BW276" s="979"/>
    </row>
    <row s="1834" customFormat="1" customHeight="1" ht="14.25" hidden="1">
      <c r="A277" s="1278"/>
      <c r="B277" s="860" cm="1" t="str">
        <f t="array" ref="B277:B277">B276</f>
        <v>false</v>
      </c>
      <c r="C277" s="107"/>
      <c r="D277" s="107"/>
      <c r="E277" s="621">
        <v>15</v>
      </c>
      <c r="F277" s="50" cm="1" t="str">
        <f t="array" ref="F277:F277">OFFSET(E277,-1,1)</f>
        <v>1</v>
      </c>
      <c r="G277" s="107"/>
      <c r="H277" s="107"/>
      <c r="I277" s="107"/>
      <c r="J277" s="107"/>
      <c r="K277" s="107" t="s">
        <v>2863</v>
      </c>
      <c r="L277" s="980"/>
      <c r="M277" s="107"/>
      <c r="N277" s="107"/>
      <c r="O277" s="107"/>
      <c r="P277" s="107"/>
      <c r="Q277" s="107"/>
      <c r="R277" s="107"/>
      <c r="S277" s="107"/>
      <c r="T277" s="860" cm="1" t="str">
        <f t="array" ref="T277:T277">T276</f>
        <v>true</v>
      </c>
      <c r="U277" s="107"/>
      <c r="V277" s="107"/>
      <c r="W277" s="107"/>
      <c r="X277" s="1596"/>
      <c r="Y277" s="1278"/>
      <c r="Z277" s="1546"/>
      <c r="AA277" s="1278"/>
      <c r="AB277" s="797" t="s">
        <v>2864</v>
      </c>
      <c r="AC277" s="798" t="s">
        <v>2865</v>
      </c>
      <c r="AD277" s="797" t="s">
        <v>1170</v>
      </c>
      <c r="AE277" s="1248"/>
      <c r="AF277" s="1248"/>
      <c r="AG277" s="1248"/>
      <c r="AH277" s="763"/>
      <c r="AI277" s="1248"/>
      <c r="AJ277" s="1248"/>
      <c r="AK277" s="1248"/>
      <c r="AL277" s="1248"/>
      <c r="AM277" s="1248"/>
      <c r="AN277" s="1248"/>
      <c r="AO277" s="1248"/>
      <c r="AP277" s="1248"/>
      <c r="AQ277" s="1248"/>
      <c r="AR277" s="1248"/>
      <c r="AS277" s="1248"/>
      <c r="AT277" s="1248"/>
      <c r="AU277" s="1248"/>
      <c r="AV277" s="1248"/>
      <c r="AW277" s="1248"/>
      <c r="AX277" s="1248"/>
      <c r="AY277" s="1248"/>
      <c r="AZ277" s="1248"/>
      <c r="BA277" s="1248"/>
      <c r="BB277" s="1248"/>
      <c r="BC277" s="1248"/>
      <c r="BD277" s="763"/>
      <c r="BE277" s="763"/>
      <c r="BF277" s="763"/>
      <c r="BG277" s="763"/>
      <c r="BH277" s="763"/>
      <c r="BI277" s="763"/>
      <c r="BJ277" s="763"/>
      <c r="BK277" s="763"/>
      <c r="BL277" s="763"/>
      <c r="BM277" s="763"/>
      <c r="BN277" s="1249"/>
      <c r="BO277" s="1249"/>
      <c r="BP277" s="1249"/>
      <c r="BQ277" s="1278"/>
      <c r="BR277" s="1278"/>
      <c r="BS277" s="1064" t="s">
        <v>2866</v>
      </c>
      <c r="BT277" s="1064"/>
      <c r="BU277" s="1064"/>
      <c r="BV277" s="979"/>
      <c r="BW277" s="979"/>
    </row>
    <row s="1834" customFormat="1" customHeight="1" ht="14.25" hidden="1">
      <c r="A278" s="1278"/>
      <c r="B278" s="860" cm="1" t="str">
        <f t="array" ref="B278:B278">B277</f>
        <v>false</v>
      </c>
      <c r="C278" s="107"/>
      <c r="D278" s="107"/>
      <c r="E278" s="621">
        <v>15</v>
      </c>
      <c r="F278" s="50" cm="1" t="str">
        <f t="array" ref="F278:F278">OFFSET(E278,-1,1)</f>
        <v>1</v>
      </c>
      <c r="G278" s="107"/>
      <c r="H278" s="107"/>
      <c r="I278" s="107"/>
      <c r="J278" s="107"/>
      <c r="K278" s="107" t="s">
        <v>2867</v>
      </c>
      <c r="L278" s="980"/>
      <c r="M278" s="107"/>
      <c r="N278" s="107"/>
      <c r="O278" s="107"/>
      <c r="P278" s="107"/>
      <c r="Q278" s="107"/>
      <c r="R278" s="107"/>
      <c r="S278" s="107"/>
      <c r="T278" s="860" cm="1" t="str">
        <f t="array" ref="T278:T278">T277</f>
        <v>true</v>
      </c>
      <c r="U278" s="107"/>
      <c r="V278" s="107"/>
      <c r="W278" s="107"/>
      <c r="X278" s="1596"/>
      <c r="Y278" s="1278"/>
      <c r="Z278" s="1546"/>
      <c r="AA278" s="1278"/>
      <c r="AB278" s="797" t="s">
        <v>2868</v>
      </c>
      <c r="AC278" s="798" t="s">
        <v>2869</v>
      </c>
      <c r="AD278" s="797" t="s">
        <v>1170</v>
      </c>
      <c r="AE278" s="1248"/>
      <c r="AF278" s="1248"/>
      <c r="AG278" s="1248"/>
      <c r="AH278" s="763"/>
      <c r="AI278" s="1248"/>
      <c r="AJ278" s="1248"/>
      <c r="AK278" s="1248"/>
      <c r="AL278" s="1248"/>
      <c r="AM278" s="1248"/>
      <c r="AN278" s="1248"/>
      <c r="AO278" s="1248"/>
      <c r="AP278" s="1248"/>
      <c r="AQ278" s="1248"/>
      <c r="AR278" s="1248"/>
      <c r="AS278" s="1248"/>
      <c r="AT278" s="1248"/>
      <c r="AU278" s="1248"/>
      <c r="AV278" s="1248"/>
      <c r="AW278" s="1248"/>
      <c r="AX278" s="1248"/>
      <c r="AY278" s="1248"/>
      <c r="AZ278" s="1248"/>
      <c r="BA278" s="1248"/>
      <c r="BB278" s="1248"/>
      <c r="BC278" s="1248"/>
      <c r="BD278" s="763"/>
      <c r="BE278" s="763"/>
      <c r="BF278" s="763"/>
      <c r="BG278" s="763"/>
      <c r="BH278" s="763"/>
      <c r="BI278" s="763"/>
      <c r="BJ278" s="763"/>
      <c r="BK278" s="763"/>
      <c r="BL278" s="763"/>
      <c r="BM278" s="763"/>
      <c r="BN278" s="1249"/>
      <c r="BO278" s="1249"/>
      <c r="BP278" s="1249"/>
      <c r="BQ278" s="1278"/>
      <c r="BR278" s="1278"/>
      <c r="BS278" s="1064" t="s">
        <v>2870</v>
      </c>
      <c r="BT278" s="1064"/>
      <c r="BU278" s="1064"/>
      <c r="BV278" s="979"/>
      <c r="BW278" s="979"/>
    </row>
    <row s="7491" customFormat="1" customHeight="1" ht="20.25">
      <c r="A279" s="700"/>
      <c r="B279" s="435"/>
      <c r="C279" s="109"/>
      <c r="D279" s="109" t="str">
        <f>IF(B278,"6","7")</f>
        <v>7</v>
      </c>
      <c r="E279" s="826">
        <v>21</v>
      </c>
      <c r="F279" s="50" cm="1" t="str">
        <f t="array" ref="F279:F279">OFFSET(E279,-1,1)</f>
        <v>1</v>
      </c>
      <c r="G279" s="107" t="s">
        <v>2871</v>
      </c>
      <c r="H279" s="107"/>
      <c r="I279" s="384" t="s">
        <v>2872</v>
      </c>
      <c r="J279" s="109"/>
      <c r="K279" s="380" t="s">
        <v>2872</v>
      </c>
      <c r="L279" s="985"/>
      <c r="M279" s="109"/>
      <c r="N279" s="109"/>
      <c r="O279" s="109"/>
      <c r="P279" s="109"/>
      <c r="Q279" s="109"/>
      <c r="R279" s="109"/>
      <c r="S279" s="109"/>
      <c r="T279" s="465" cm="1" t="str">
        <f t="array" ref="T279:T279">T278</f>
        <v>true</v>
      </c>
      <c r="U279" s="109"/>
      <c r="V279" s="109"/>
      <c r="W279" s="109"/>
      <c r="X279" s="1596"/>
      <c r="Y279" s="700"/>
      <c r="Z279" s="1546"/>
      <c r="AA279" s="700"/>
      <c r="AB279" s="211" cm="1" t="str">
        <f t="array" ref="AB279:AB279">D279</f>
        <v>7</v>
      </c>
      <c r="AC279" s="219" t="s">
        <v>2323</v>
      </c>
      <c r="AD279" s="211" t="s">
        <v>1514</v>
      </c>
      <c r="AE279" s="7432"/>
      <c r="AF279" s="7432"/>
      <c r="AG279" s="7432"/>
      <c r="AH279" s="778">
        <f>AG279-AF279</f>
        <v>0</v>
      </c>
      <c r="AI279" s="7432"/>
      <c r="AJ279" s="7492">
        <f>_xlfn.SUMIFS('Корректировка НВВ'!$AF$25:$AF$282,'Корректировка НВВ'!$F$25:$F$282,$F279,'Корректировка НВВ'!$I$25:$I$282,$G279)</f>
        <v>0</v>
      </c>
      <c r="AK279" s="7432"/>
      <c r="AL279" s="7432"/>
      <c r="AM279" s="7432"/>
      <c r="AN279" s="7432"/>
      <c r="AO279" s="1237"/>
      <c r="AP279" s="1237"/>
      <c r="AQ279" s="1237"/>
      <c r="AR279" s="1237"/>
      <c r="AS279" s="1237"/>
      <c r="AT279" s="7492">
        <f>_xlfn.SUMIFS('Корректировка НВВ'!$AG$25:$AG$282,'Корректировка НВВ'!$F$25:$F$282,$F279,'Корректировка НВВ'!$I$25:$I$282,$G279)</f>
        <v>0</v>
      </c>
      <c r="AU279" s="7432"/>
      <c r="AV279" s="7432"/>
      <c r="AW279" s="7432"/>
      <c r="AX279" s="7432"/>
      <c r="AY279" s="1237"/>
      <c r="AZ279" s="1237"/>
      <c r="BA279" s="1237"/>
      <c r="BB279" s="1237"/>
      <c r="BC279" s="1237"/>
      <c r="BD279" s="778">
        <f>IF(AI279=0,0,(AT279-AI279)/AI279*100)</f>
        <v>0</v>
      </c>
      <c r="BE279" s="778">
        <f>IF(AT279=0,0,(AU279-AT279)/AT279*100)</f>
        <v>0</v>
      </c>
      <c r="BF279" s="778">
        <f>IF(AU279=0,0,(AV279-AU279)/AU279*100)</f>
        <v>0</v>
      </c>
      <c r="BG279" s="778">
        <f>IF(AV279=0,0,(AW279-AV279)/AV279*100)</f>
        <v>0</v>
      </c>
      <c r="BH279" s="778">
        <f>IF(AW279=0,0,(AX279-AW279)/AW279*100)</f>
        <v>0</v>
      </c>
      <c r="BI279" s="778">
        <f>IF(AX279=0,0,(AY279-AX279)/AX279*100)</f>
        <v>0</v>
      </c>
      <c r="BJ279" s="778">
        <f>IF(AY279=0,0,(AZ279-AY279)/AY279*100)</f>
        <v>0</v>
      </c>
      <c r="BK279" s="778">
        <f>IF(AZ279=0,0,(BA279-AZ279)/AZ279*100)</f>
        <v>0</v>
      </c>
      <c r="BL279" s="778">
        <f>IF(BA279=0,0,(BB279-BA279)/BA279*100)</f>
        <v>0</v>
      </c>
      <c r="BM279" s="778">
        <f>IF(BB279=0,0,(BC279-BB279)/BB279*100)</f>
        <v>0</v>
      </c>
      <c r="BN279" s="7436"/>
      <c r="BO279" s="7437" t="str">
        <f>IF(_xlfn.IFERROR(INDEX('Корректировка НВВ'!$K$26:$L$282,MATCH($F279&amp;"11komm",'Корректировка НВВ'!$K$26:$K$282,0),2),"")=0,"",_xlfn.IFERROR(INDEX('Корректировка НВВ'!$K$26:$L$282,MATCH($F279&amp;"11komm",'Корректировка НВВ'!$K$26:$K$282,0),2),""))</f>
        <v/>
      </c>
      <c r="BP279" s="7436"/>
      <c r="BQ279" s="700"/>
      <c r="BR279" s="700"/>
      <c r="BS279" s="1070" t="s">
        <v>2873</v>
      </c>
      <c r="BT279" s="1070"/>
      <c r="BU279" s="1070"/>
      <c r="BV279" s="707"/>
      <c r="BW279" s="707"/>
    </row>
    <row s="1834" customFormat="1" customHeight="1" ht="14.25">
      <c r="A280" s="1278"/>
      <c r="B280" s="978"/>
      <c r="C280" s="107"/>
      <c r="D280" s="107" cm="1" t="str">
        <f t="array" ref="D280:D280">D279</f>
        <v>7</v>
      </c>
      <c r="E280" s="621">
        <v>15</v>
      </c>
      <c r="F280" s="50" cm="1" t="str">
        <f t="array" ref="F280:F280">OFFSET(E280,-1,1)</f>
        <v>1</v>
      </c>
      <c r="G280" s="107"/>
      <c r="H280" s="107"/>
      <c r="I280" s="107"/>
      <c r="J280" s="107"/>
      <c r="K280" s="1278"/>
      <c r="L280" s="980"/>
      <c r="M280" s="107"/>
      <c r="N280" s="107"/>
      <c r="O280" s="107"/>
      <c r="P280" s="107"/>
      <c r="Q280" s="107"/>
      <c r="R280" s="107"/>
      <c r="S280" s="107"/>
      <c r="T280" s="465" cm="1" t="str">
        <f t="array" ref="T280:T280">T279</f>
        <v>true</v>
      </c>
      <c r="U280" s="107"/>
      <c r="V280" s="107"/>
      <c r="W280" s="107"/>
      <c r="X280" s="1596"/>
      <c r="Y280" s="1278"/>
      <c r="Z280" s="1546"/>
      <c r="AA280" s="1278"/>
      <c r="AB280" s="300"/>
      <c r="AC280" s="452" t="s">
        <v>2874</v>
      </c>
      <c r="AD280" s="300"/>
      <c r="AE280" s="1115"/>
      <c r="AF280" s="1115"/>
      <c r="AG280" s="1115"/>
      <c r="AH280" s="1115"/>
      <c r="AI280" s="1115"/>
      <c r="AJ280" s="1115"/>
      <c r="AK280" s="1115"/>
      <c r="AL280" s="1115"/>
      <c r="AM280" s="1115"/>
      <c r="AN280" s="1115"/>
      <c r="AO280" s="1115"/>
      <c r="AP280" s="1115"/>
      <c r="AQ280" s="1115"/>
      <c r="AR280" s="1115"/>
      <c r="AS280" s="1115"/>
      <c r="AT280" s="1115"/>
      <c r="AU280" s="1115"/>
      <c r="AV280" s="1115"/>
      <c r="AW280" s="1115"/>
      <c r="AX280" s="1115"/>
      <c r="AY280" s="1115"/>
      <c r="AZ280" s="1115"/>
      <c r="BA280" s="1115"/>
      <c r="BB280" s="1115"/>
      <c r="BC280" s="1115"/>
      <c r="BD280" s="1115"/>
      <c r="BE280" s="1115"/>
      <c r="BF280" s="1115"/>
      <c r="BG280" s="1115"/>
      <c r="BH280" s="1115"/>
      <c r="BI280" s="1115"/>
      <c r="BJ280" s="1115"/>
      <c r="BK280" s="1115"/>
      <c r="BL280" s="1115"/>
      <c r="BM280" s="1115"/>
      <c r="BN280" s="1117"/>
      <c r="BO280" s="1117"/>
      <c r="BP280" s="1117"/>
      <c r="BQ280" s="1278"/>
      <c r="BR280" s="1278"/>
      <c r="BS280" s="1064"/>
      <c r="BT280" s="1064"/>
      <c r="BU280" s="1064"/>
      <c r="BV280" s="979"/>
      <c r="BW280" s="979"/>
    </row>
    <row s="1834" customFormat="1" customHeight="1" ht="21.75">
      <c r="A281" s="1278"/>
      <c r="B281" s="978"/>
      <c r="C281" s="107"/>
      <c r="D281" s="107" cm="1" t="str">
        <f t="array" ref="D281:D281">D280</f>
        <v>7</v>
      </c>
      <c r="E281" s="621">
        <v>22.5</v>
      </c>
      <c r="F281" s="50" cm="1" t="str">
        <f t="array" ref="F281:F281">OFFSET(E281,-1,1)</f>
        <v>1</v>
      </c>
      <c r="G281" s="107" t="s">
        <v>375</v>
      </c>
      <c r="H281" s="107"/>
      <c r="I281" s="107" t="s">
        <v>1228</v>
      </c>
      <c r="J281" s="107"/>
      <c r="K281" s="158" t="s">
        <v>1228</v>
      </c>
      <c r="L281" s="980"/>
      <c r="M281" s="107"/>
      <c r="N281" s="107"/>
      <c r="O281" s="107"/>
      <c r="P281" s="107"/>
      <c r="Q281" s="107"/>
      <c r="R281" s="107"/>
      <c r="S281" s="107"/>
      <c r="T281" s="465" cm="1" t="str">
        <f t="array" ref="T281:T281">T280</f>
        <v>true</v>
      </c>
      <c r="U281" s="107"/>
      <c r="V281" s="107"/>
      <c r="W281" s="107"/>
      <c r="X281" s="1596"/>
      <c r="Y281" s="1278"/>
      <c r="Z281" s="1546"/>
      <c r="AA281" s="1278"/>
      <c r="AB281" s="300" t="str">
        <f>D281&amp;".1"</f>
        <v>7.1</v>
      </c>
      <c r="AC281" s="762" t="s">
        <v>2875</v>
      </c>
      <c r="AD281" s="300" t="s">
        <v>1514</v>
      </c>
      <c r="AE281" s="3946"/>
      <c r="AF281" s="3946"/>
      <c r="AG281" s="3946"/>
      <c r="AH281" s="1114">
        <f>AG281-AF281</f>
        <v>0</v>
      </c>
      <c r="AI281" s="3946"/>
      <c r="AJ281" s="3946">
        <f>_xlfn.SUMIFS('Корректировка НВВ'!$AF$25:$AF$282,'Корректировка НВВ'!$F$25:$F$282,$F281,'Корректировка НВВ'!$I$25:$I$282,$G281)</f>
        <v>0</v>
      </c>
      <c r="AK281" s="3946"/>
      <c r="AL281" s="3946"/>
      <c r="AM281" s="3946"/>
      <c r="AN281" s="3946"/>
      <c r="AO281" s="1241"/>
      <c r="AP281" s="1241"/>
      <c r="AQ281" s="1241"/>
      <c r="AR281" s="1241"/>
      <c r="AS281" s="1241"/>
      <c r="AT281" s="3946">
        <f>_xlfn.SUMIFS('Корректировка НВВ'!$AG$25:$AG$282,'Корректировка НВВ'!$F$25:$F$282,$F281,'Корректировка НВВ'!$I$25:$I$282,$G281)</f>
        <v>0</v>
      </c>
      <c r="AU281" s="3946"/>
      <c r="AV281" s="3946"/>
      <c r="AW281" s="3946"/>
      <c r="AX281" s="3946"/>
      <c r="AY281" s="1241"/>
      <c r="AZ281" s="1241"/>
      <c r="BA281" s="1241"/>
      <c r="BB281" s="1241"/>
      <c r="BC281" s="1241"/>
      <c r="BD281" s="1115"/>
      <c r="BE281" s="1115"/>
      <c r="BF281" s="1115"/>
      <c r="BG281" s="1115"/>
      <c r="BH281" s="1115"/>
      <c r="BI281" s="1115"/>
      <c r="BJ281" s="1115"/>
      <c r="BK281" s="1115"/>
      <c r="BL281" s="1115"/>
      <c r="BM281" s="1115"/>
      <c r="BN281" s="7433"/>
      <c r="BO281" s="7437" t="str">
        <f>IF(_xlfn.IFERROR(INDEX('Корректировка НВВ'!$K$26:$L$282,MATCH($F281&amp;"1komm",'Корректировка НВВ'!$K$26:$K$282,0),2),"")=0,"",_xlfn.IFERROR(INDEX('Корректировка НВВ'!$K$26:$L$282,MATCH($F281&amp;"1komm",'Корректировка НВВ'!$K$26:$K$282,0),2),""))</f>
        <v/>
      </c>
      <c r="BP281" s="7433"/>
      <c r="BQ281" s="1278"/>
      <c r="BR281" s="1278"/>
      <c r="BS281" s="1064" t="s">
        <v>2876</v>
      </c>
      <c r="BT281" s="1064"/>
      <c r="BU281" s="1064"/>
      <c r="BV281" s="979"/>
      <c r="BW281" s="979"/>
    </row>
    <row s="1834" customFormat="1" customHeight="1" ht="98.25">
      <c r="A282" s="1278"/>
      <c r="B282" s="978"/>
      <c r="C282" s="107"/>
      <c r="D282" s="107" cm="1" t="str">
        <f t="array" ref="D282:D282">D281</f>
        <v>7</v>
      </c>
      <c r="E282" s="621">
        <v>101.25</v>
      </c>
      <c r="F282" s="50" cm="1" t="str">
        <f t="array" ref="F282:F282">OFFSET(E282,-1,1)</f>
        <v>1</v>
      </c>
      <c r="G282" s="107" t="s">
        <v>2877</v>
      </c>
      <c r="H282" s="107"/>
      <c r="I282" s="107" t="s">
        <v>1275</v>
      </c>
      <c r="J282" s="107"/>
      <c r="K282" s="158" t="s">
        <v>1275</v>
      </c>
      <c r="L282" s="980"/>
      <c r="M282" s="107"/>
      <c r="N282" s="107"/>
      <c r="O282" s="107"/>
      <c r="P282" s="107"/>
      <c r="Q282" s="107"/>
      <c r="R282" s="107"/>
      <c r="S282" s="107"/>
      <c r="T282" s="465" cm="1" t="str">
        <f t="array" ref="T282:T282">T281</f>
        <v>true</v>
      </c>
      <c r="U282" s="107"/>
      <c r="V282" s="107"/>
      <c r="W282" s="107"/>
      <c r="X282" s="1596"/>
      <c r="Y282" s="1278"/>
      <c r="Z282" s="1546"/>
      <c r="AA282" s="1278"/>
      <c r="AB282" s="300" t="str">
        <f>D282&amp;".2"</f>
        <v>7.2</v>
      </c>
      <c r="AC282" s="762" t="s">
        <v>2878</v>
      </c>
      <c r="AD282" s="300" t="s">
        <v>1514</v>
      </c>
      <c r="AE282" s="3946"/>
      <c r="AF282" s="3946"/>
      <c r="AG282" s="3946"/>
      <c r="AH282" s="1114">
        <f>AG282-AF282</f>
        <v>0</v>
      </c>
      <c r="AI282" s="3946"/>
      <c r="AJ282" s="3946">
        <f>_xlfn.SUMIFS('Корректировка НВВ'!$AF$25:$AF$282,'Корректировка НВВ'!$F$25:$F$282,$F282,'Корректировка НВВ'!$I$25:$I$282,$G282)</f>
        <v>0</v>
      </c>
      <c r="AK282" s="3946"/>
      <c r="AL282" s="3946"/>
      <c r="AM282" s="3946"/>
      <c r="AN282" s="3946"/>
      <c r="AO282" s="1241"/>
      <c r="AP282" s="1241"/>
      <c r="AQ282" s="1241"/>
      <c r="AR282" s="1241"/>
      <c r="AS282" s="1241"/>
      <c r="AT282" s="3946">
        <f>_xlfn.SUMIFS('Корректировка НВВ'!$AG$25:$AG$282,'Корректировка НВВ'!$F$25:$F$282,$F282,'Корректировка НВВ'!$I$25:$I$282,$G282)</f>
        <v>0</v>
      </c>
      <c r="AU282" s="3946"/>
      <c r="AV282" s="3946"/>
      <c r="AW282" s="3946"/>
      <c r="AX282" s="3946"/>
      <c r="AY282" s="1241"/>
      <c r="AZ282" s="1241"/>
      <c r="BA282" s="1241"/>
      <c r="BB282" s="1241"/>
      <c r="BC282" s="1241"/>
      <c r="BD282" s="1115"/>
      <c r="BE282" s="1115"/>
      <c r="BF282" s="1115"/>
      <c r="BG282" s="1115"/>
      <c r="BH282" s="1115"/>
      <c r="BI282" s="1115"/>
      <c r="BJ282" s="1115"/>
      <c r="BK282" s="1115"/>
      <c r="BL282" s="1115"/>
      <c r="BM282" s="1115"/>
      <c r="BN282" s="7433"/>
      <c r="BO282" s="7437" t="str">
        <f>IF(_xlfn.IFERROR(INDEX('Корректировка НВВ'!$K$26:$L$282,MATCH($F282&amp;"2komm",'Корректировка НВВ'!$K$26:$K$282,0),2),"")=0,"",_xlfn.IFERROR(INDEX('Корректировка НВВ'!$K$26:$L$282,MATCH($F282&amp;"2komm",'Корректировка НВВ'!$K$26:$K$282,0),2),""))</f>
        <v/>
      </c>
      <c r="BP282" s="7433"/>
      <c r="BQ282" s="1278"/>
      <c r="BR282" s="1278"/>
      <c r="BS282" s="1064" t="s">
        <v>2879</v>
      </c>
      <c r="BT282" s="1064"/>
      <c r="BU282" s="1064"/>
      <c r="BV282" s="979"/>
      <c r="BW282" s="979"/>
    </row>
    <row s="1834" customFormat="1" customHeight="1" ht="43.5">
      <c r="A283" s="1278"/>
      <c r="B283" s="978"/>
      <c r="C283" s="107"/>
      <c r="D283" s="107" cm="1" t="str">
        <f t="array" ref="D283:D283">D282</f>
        <v>7</v>
      </c>
      <c r="E283" s="621">
        <v>45</v>
      </c>
      <c r="F283" s="50" cm="1" t="str">
        <f t="array" ref="F283:F283">OFFSET(E283,-1,1)</f>
        <v>1</v>
      </c>
      <c r="G283" s="107"/>
      <c r="H283" s="107"/>
      <c r="I283" s="107" t="s">
        <v>1290</v>
      </c>
      <c r="J283" s="107"/>
      <c r="K283" s="158" t="s">
        <v>1290</v>
      </c>
      <c r="L283" s="980"/>
      <c r="M283" s="107"/>
      <c r="N283" s="107"/>
      <c r="O283" s="107"/>
      <c r="P283" s="107"/>
      <c r="Q283" s="107"/>
      <c r="R283" s="107"/>
      <c r="S283" s="107"/>
      <c r="T283" s="465" cm="1" t="str">
        <f t="array" ref="T283:T283">T282</f>
        <v>true</v>
      </c>
      <c r="U283" s="107"/>
      <c r="V283" s="107"/>
      <c r="W283" s="107"/>
      <c r="X283" s="1596"/>
      <c r="Y283" s="1278"/>
      <c r="Z283" s="1546"/>
      <c r="AA283" s="1278"/>
      <c r="AB283" s="300" t="str">
        <f>D283&amp;".3"</f>
        <v>7.3</v>
      </c>
      <c r="AC283" s="762" t="s">
        <v>2880</v>
      </c>
      <c r="AD283" s="300" t="s">
        <v>1514</v>
      </c>
      <c r="AE283" s="3946"/>
      <c r="AF283" s="3946"/>
      <c r="AG283" s="3946"/>
      <c r="AH283" s="1114">
        <f>AG283-AF283</f>
        <v>0</v>
      </c>
      <c r="AI283" s="3946"/>
      <c r="AJ283" s="3946">
        <f>_xlfn.SUMIFS('Корректировка НВВ'!$AF$25:$AF$282,'Корректировка НВВ'!$F$25:$F$282,$F283,'Корректировка НВВ'!$I$25:$I$282,"L1")+_xlfn.SUMIFS('Корректировка НВВ'!$AF$25:$AF$282,'Корректировка НВВ'!$F$25:$F$282,$F283,'Корректировка НВВ'!$I$25:$I$282,"L2")</f>
        <v>0</v>
      </c>
      <c r="AK283" s="3946"/>
      <c r="AL283" s="3946"/>
      <c r="AM283" s="3946"/>
      <c r="AN283" s="3946"/>
      <c r="AO283" s="1241"/>
      <c r="AP283" s="1241"/>
      <c r="AQ283" s="1241"/>
      <c r="AR283" s="1241"/>
      <c r="AS283" s="1241"/>
      <c r="AT283" s="3946">
        <f>_xlfn.SUMIFS('Корректировка НВВ'!$AG$25:$AG$282,'Корректировка НВВ'!$F$25:$F$282,$F283,'Корректировка НВВ'!$I$25:$I$282,"L1")+_xlfn.SUMIFS('Корректировка НВВ'!$AF$25:$AF$282,'Корректировка НВВ'!$F$25:$F$282,$F283,'Корректировка НВВ'!$I$25:$I$282,"L2")</f>
        <v>0</v>
      </c>
      <c r="AU283" s="3946"/>
      <c r="AV283" s="3946"/>
      <c r="AW283" s="3946"/>
      <c r="AX283" s="3946"/>
      <c r="AY283" s="1241"/>
      <c r="AZ283" s="1241"/>
      <c r="BA283" s="1241"/>
      <c r="BB283" s="1241"/>
      <c r="BC283" s="1241"/>
      <c r="BD283" s="1115"/>
      <c r="BE283" s="1115"/>
      <c r="BF283" s="1115"/>
      <c r="BG283" s="1115"/>
      <c r="BH283" s="1115"/>
      <c r="BI283" s="1115"/>
      <c r="BJ283" s="1115"/>
      <c r="BK283" s="1115"/>
      <c r="BL283" s="1115"/>
      <c r="BM283" s="1115"/>
      <c r="BN283" s="7433"/>
      <c r="BO283" s="7437"/>
      <c r="BP283" s="7433"/>
      <c r="BQ283" s="1278"/>
      <c r="BR283" s="1278"/>
      <c r="BS283" s="1064" t="s">
        <v>2881</v>
      </c>
      <c r="BT283" s="1064"/>
      <c r="BU283" s="1064"/>
      <c r="BV283" s="979"/>
      <c r="BW283" s="979"/>
    </row>
    <row s="1834" customFormat="1" customHeight="1" ht="87.75" hidden="1">
      <c r="A284" s="1278"/>
      <c r="B284" s="445">
        <f>S171="Водоотведение"</f>
        <v>0</v>
      </c>
      <c r="C284" s="107"/>
      <c r="D284" s="107" cm="1" t="str">
        <f t="array" ref="D284:D284">D283</f>
        <v>7</v>
      </c>
      <c r="E284" s="621">
        <v>90</v>
      </c>
      <c r="F284" s="50" cm="1" t="str">
        <f t="array" ref="F284:F284">OFFSET(E284,-1,1)</f>
        <v>1</v>
      </c>
      <c r="G284" s="107" t="s">
        <v>2882</v>
      </c>
      <c r="H284" s="848"/>
      <c r="I284" s="107" t="s">
        <v>1456</v>
      </c>
      <c r="J284" s="107"/>
      <c r="K284" s="158" t="s">
        <v>1456</v>
      </c>
      <c r="L284" s="980" t="s">
        <v>1454</v>
      </c>
      <c r="M284" s="107"/>
      <c r="N284" s="107"/>
      <c r="O284" s="107"/>
      <c r="P284" s="107"/>
      <c r="Q284" s="107"/>
      <c r="R284" s="107"/>
      <c r="S284" s="107"/>
      <c r="T284" s="465" cm="1" t="str">
        <f t="array" ref="T284:T284">T283</f>
        <v>true</v>
      </c>
      <c r="U284" s="107"/>
      <c r="V284" s="107"/>
      <c r="W284" s="107"/>
      <c r="X284" s="1596"/>
      <c r="Y284" s="1278"/>
      <c r="Z284" s="1546"/>
      <c r="AA284" s="1278"/>
      <c r="AB284" s="300" t="str">
        <f>D284&amp;".4"</f>
        <v>7.4</v>
      </c>
      <c r="AC284" s="762" t="s">
        <v>2552</v>
      </c>
      <c r="AD284" s="766" t="s">
        <v>1514</v>
      </c>
      <c r="AE284" s="1241"/>
      <c r="AF284" s="1241"/>
      <c r="AG284" s="1241"/>
      <c r="AH284" s="1114">
        <f>AG284-AF284</f>
        <v>0</v>
      </c>
      <c r="AI284" s="1241"/>
      <c r="AJ284" s="1241">
        <f>_xlfn.SUMIFS('Корректировка НВВ'!$AF$25:$AF$282,'Корректировка НВВ'!$F$25:$F$282,$F284,'Корректировка НВВ'!$I$25:$I$282,$G284)</f>
        <v>0</v>
      </c>
      <c r="AK284" s="1241"/>
      <c r="AL284" s="1241"/>
      <c r="AM284" s="1241"/>
      <c r="AN284" s="1241"/>
      <c r="AO284" s="1241"/>
      <c r="AP284" s="1241"/>
      <c r="AQ284" s="1241"/>
      <c r="AR284" s="1241"/>
      <c r="AS284" s="1241"/>
      <c r="AT284" s="1241">
        <f>_xlfn.SUMIFS('Корректировка НВВ'!$AG$25:$AG$282,'Корректировка НВВ'!$F$25:$F$282,$F284,'Корректировка НВВ'!$I$25:$I$282,$G284)</f>
        <v>0</v>
      </c>
      <c r="AU284" s="1241"/>
      <c r="AV284" s="1241"/>
      <c r="AW284" s="1241"/>
      <c r="AX284" s="1241"/>
      <c r="AY284" s="1241"/>
      <c r="AZ284" s="1241"/>
      <c r="BA284" s="1241"/>
      <c r="BB284" s="1241"/>
      <c r="BC284" s="1241"/>
      <c r="BD284" s="1115"/>
      <c r="BE284" s="1115"/>
      <c r="BF284" s="1115"/>
      <c r="BG284" s="1115"/>
      <c r="BH284" s="1115"/>
      <c r="BI284" s="1115"/>
      <c r="BJ284" s="1115"/>
      <c r="BK284" s="1115"/>
      <c r="BL284" s="1115"/>
      <c r="BM284" s="1115"/>
      <c r="BN284" s="1238"/>
      <c r="BO284" s="1242" t="str">
        <f>IF(_xlfn.IFERROR(INDEX('Корректировка НВВ'!$K$26:$L$282,MATCH($F284&amp;"3komm",'Корректировка НВВ'!$K$26:$K$282,0),2),"")=0,"",_xlfn.IFERROR(INDEX('Корректировка НВВ'!$K$26:$L$282,MATCH($F284&amp;"3komm",'Корректировка НВВ'!$K$26:$K$282,0),2),""))</f>
        <v/>
      </c>
      <c r="BP284" s="1238"/>
      <c r="BQ284" s="1278"/>
      <c r="BR284" s="1278"/>
      <c r="BS284" s="1064" t="s">
        <v>2098</v>
      </c>
      <c r="BT284" s="1064"/>
      <c r="BU284" s="1064"/>
      <c r="BV284" s="979"/>
      <c r="BW284" s="979"/>
    </row>
    <row s="1834" customFormat="1" customHeight="1" ht="54.75" hidden="1">
      <c r="A285" s="1278"/>
      <c r="B285" s="445" cm="1" t="str">
        <f t="array" ref="B285:B285">B284</f>
        <v>false</v>
      </c>
      <c r="C285" s="107"/>
      <c r="D285" s="107" cm="1" t="str">
        <f t="array" ref="D285:D285">D284</f>
        <v>7</v>
      </c>
      <c r="E285" s="621">
        <v>56.25</v>
      </c>
      <c r="F285" s="50" cm="1" t="str">
        <f t="array" ref="F285:F285">OFFSET(E285,-1,1)</f>
        <v>1</v>
      </c>
      <c r="G285" s="107" t="s">
        <v>2883</v>
      </c>
      <c r="H285" s="848"/>
      <c r="I285" s="107" t="s">
        <v>1492</v>
      </c>
      <c r="J285" s="107"/>
      <c r="K285" s="158" t="s">
        <v>1492</v>
      </c>
      <c r="L285" s="980" t="s">
        <v>1456</v>
      </c>
      <c r="M285" s="107"/>
      <c r="N285" s="107"/>
      <c r="O285" s="107"/>
      <c r="P285" s="107"/>
      <c r="Q285" s="107"/>
      <c r="R285" s="107"/>
      <c r="S285" s="107"/>
      <c r="T285" s="465" cm="1" t="str">
        <f t="array" ref="T285:T285">T284</f>
        <v>true</v>
      </c>
      <c r="U285" s="107"/>
      <c r="V285" s="107"/>
      <c r="W285" s="107"/>
      <c r="X285" s="1596"/>
      <c r="Y285" s="1278"/>
      <c r="Z285" s="1546"/>
      <c r="AA285" s="1278"/>
      <c r="AB285" s="300" t="str">
        <f>D285&amp;".5"</f>
        <v>7.5</v>
      </c>
      <c r="AC285" s="762" t="s">
        <v>2553</v>
      </c>
      <c r="AD285" s="766" t="s">
        <v>1514</v>
      </c>
      <c r="AE285" s="1241"/>
      <c r="AF285" s="1241"/>
      <c r="AG285" s="1241"/>
      <c r="AH285" s="1114">
        <f>AG285-AF285</f>
        <v>0</v>
      </c>
      <c r="AI285" s="1241"/>
      <c r="AJ285" s="1241">
        <f>_xlfn.SUMIFS('Корректировка НВВ'!$AF$25:$AF$282,'Корректировка НВВ'!$F$25:$F$282,$F285,'Корректировка НВВ'!$I$25:$I$282,$G285)</f>
        <v>0</v>
      </c>
      <c r="AK285" s="1241"/>
      <c r="AL285" s="1241"/>
      <c r="AM285" s="1241"/>
      <c r="AN285" s="1241"/>
      <c r="AO285" s="1241"/>
      <c r="AP285" s="1241"/>
      <c r="AQ285" s="1241"/>
      <c r="AR285" s="1241"/>
      <c r="AS285" s="1241"/>
      <c r="AT285" s="1241">
        <f>_xlfn.SUMIFS('Корректировка НВВ'!$AG$25:$AG$282,'Корректировка НВВ'!$F$25:$F$282,$F285,'Корректировка НВВ'!$I$25:$I$282,$G285)</f>
        <v>0</v>
      </c>
      <c r="AU285" s="1241"/>
      <c r="AV285" s="1241"/>
      <c r="AW285" s="1241"/>
      <c r="AX285" s="1241"/>
      <c r="AY285" s="1241"/>
      <c r="AZ285" s="1241"/>
      <c r="BA285" s="1241"/>
      <c r="BB285" s="1241"/>
      <c r="BC285" s="1241"/>
      <c r="BD285" s="1115"/>
      <c r="BE285" s="1115"/>
      <c r="BF285" s="1115"/>
      <c r="BG285" s="1115"/>
      <c r="BH285" s="1115"/>
      <c r="BI285" s="1115"/>
      <c r="BJ285" s="1115"/>
      <c r="BK285" s="1115"/>
      <c r="BL285" s="1115"/>
      <c r="BM285" s="1115"/>
      <c r="BN285" s="1238"/>
      <c r="BO285" s="1242" t="str">
        <f>IF(_xlfn.IFERROR(INDEX('Корректировка НВВ'!$K$26:$L$282,MATCH($F285&amp;"4komm",'Корректировка НВВ'!$K$26:$K$282,0),2),"")=0,"",_xlfn.IFERROR(INDEX('Корректировка НВВ'!$K$26:$L$282,MATCH($F285&amp;"4komm",'Корректировка НВВ'!$K$26:$K$282,0),2),""))</f>
        <v/>
      </c>
      <c r="BP285" s="1238"/>
      <c r="BQ285" s="1278"/>
      <c r="BR285" s="1278"/>
      <c r="BS285" s="1064" t="s">
        <v>2102</v>
      </c>
      <c r="BT285" s="1064"/>
      <c r="BU285" s="1064"/>
      <c r="BV285" s="979"/>
      <c r="BW285" s="979"/>
    </row>
    <row s="1834" customFormat="1" customHeight="1" ht="14.25">
      <c r="A286" s="1278"/>
      <c r="B286" s="427"/>
      <c r="C286" s="107"/>
      <c r="D286" s="107" cm="1" t="str">
        <f t="array" ref="D286:D286">D285</f>
        <v>7</v>
      </c>
      <c r="E286" s="621">
        <v>15</v>
      </c>
      <c r="F286" s="50" cm="1" t="str">
        <f t="array" ref="F286:F286">OFFSET(E286,-1,1)</f>
        <v>1</v>
      </c>
      <c r="G286" s="107" t="s">
        <v>2884</v>
      </c>
      <c r="H286" s="107"/>
      <c r="I286" s="107" t="s">
        <v>1493</v>
      </c>
      <c r="J286" s="107"/>
      <c r="K286" s="158" t="s">
        <v>1493</v>
      </c>
      <c r="L286" s="980" t="s">
        <v>1492</v>
      </c>
      <c r="M286" s="107"/>
      <c r="N286" s="107"/>
      <c r="O286" s="107"/>
      <c r="P286" s="107"/>
      <c r="Q286" s="107"/>
      <c r="R286" s="107"/>
      <c r="S286" s="107"/>
      <c r="T286" s="465" cm="1" t="str">
        <f t="array" ref="T286:T286">T285</f>
        <v>true</v>
      </c>
      <c r="U286" s="107"/>
      <c r="V286" s="107"/>
      <c r="W286" s="107"/>
      <c r="X286" s="1596"/>
      <c r="Y286" s="1278"/>
      <c r="Z286" s="1546"/>
      <c r="AA286" s="1278"/>
      <c r="AB286" s="300" t="str">
        <f>IF(B285,D286&amp;".6",D286&amp;".4")</f>
        <v>7.4</v>
      </c>
      <c r="AC286" s="762" t="s">
        <v>2316</v>
      </c>
      <c r="AD286" s="300" t="s">
        <v>1514</v>
      </c>
      <c r="AE286" s="3946"/>
      <c r="AF286" s="3946"/>
      <c r="AG286" s="3946"/>
      <c r="AH286" s="1114">
        <f>AG286-AF286</f>
        <v>0</v>
      </c>
      <c r="AI286" s="3946"/>
      <c r="AJ286" s="3946">
        <f>_xlfn.SUMIFS('Корректировка НВВ'!$AF$25:$AF$282,'Корректировка НВВ'!$F$25:$F$282,$F286,'Корректировка НВВ'!$I$25:$I$282,$G286)</f>
        <v>0</v>
      </c>
      <c r="AK286" s="3946"/>
      <c r="AL286" s="3946"/>
      <c r="AM286" s="3946"/>
      <c r="AN286" s="3946"/>
      <c r="AO286" s="1241"/>
      <c r="AP286" s="1241"/>
      <c r="AQ286" s="1241"/>
      <c r="AR286" s="1241"/>
      <c r="AS286" s="1241"/>
      <c r="AT286" s="3946">
        <f>_xlfn.SUMIFS('Корректировка НВВ'!$AG$25:$AG$282,'Корректировка НВВ'!$F$25:$F$282,$F286,'Корректировка НВВ'!$I$25:$I$282,$G286)</f>
        <v>0</v>
      </c>
      <c r="AU286" s="3946"/>
      <c r="AV286" s="3946"/>
      <c r="AW286" s="3946"/>
      <c r="AX286" s="3946"/>
      <c r="AY286" s="1241"/>
      <c r="AZ286" s="1241"/>
      <c r="BA286" s="1241"/>
      <c r="BB286" s="1241"/>
      <c r="BC286" s="1241"/>
      <c r="BD286" s="1115"/>
      <c r="BE286" s="1115"/>
      <c r="BF286" s="1115"/>
      <c r="BG286" s="1115"/>
      <c r="BH286" s="1115"/>
      <c r="BI286" s="1115"/>
      <c r="BJ286" s="1115"/>
      <c r="BK286" s="1115"/>
      <c r="BL286" s="1115"/>
      <c r="BM286" s="1115"/>
      <c r="BN286" s="7433"/>
      <c r="BO286" s="7437" t="str">
        <f>IF(_xlfn.IFERROR(INDEX('Корректировка НВВ'!$K$26:$L$282,MATCH($F286&amp;"5komm",'Корректировка НВВ'!$K$26:$K$282,0),2),"")=0,"",_xlfn.IFERROR(INDEX('Корректировка НВВ'!$K$26:$L$282,MATCH($F286&amp;"5komm",'Корректировка НВВ'!$K$26:$K$282,0),2),""))</f>
        <v/>
      </c>
      <c r="BP286" s="7433"/>
      <c r="BQ286" s="1278"/>
      <c r="BR286" s="1278"/>
      <c r="BS286" s="1064" t="s">
        <v>2885</v>
      </c>
      <c r="BT286" s="1064"/>
      <c r="BU286" s="1064"/>
      <c r="BV286" s="979"/>
      <c r="BW286" s="979"/>
    </row>
    <row s="1834" customFormat="1" customHeight="1" ht="23.25">
      <c r="A287" s="1278"/>
      <c r="B287" s="978"/>
      <c r="C287" s="107"/>
      <c r="D287" s="107" cm="1" t="str">
        <f t="array" ref="D287:D287">D286</f>
        <v>7</v>
      </c>
      <c r="E287" s="621">
        <v>15</v>
      </c>
      <c r="F287" s="50" cm="1" t="str">
        <f t="array" ref="F287:F287">OFFSET(E287,-1,1)</f>
        <v>1</v>
      </c>
      <c r="G287" s="107" t="s">
        <v>2886</v>
      </c>
      <c r="H287" s="107"/>
      <c r="I287" s="107" t="s">
        <v>2561</v>
      </c>
      <c r="J287" s="107"/>
      <c r="K287" s="158" t="s">
        <v>2561</v>
      </c>
      <c r="L287" s="980" t="s">
        <v>1493</v>
      </c>
      <c r="M287" s="107"/>
      <c r="N287" s="107"/>
      <c r="O287" s="107"/>
      <c r="P287" s="107"/>
      <c r="Q287" s="107"/>
      <c r="R287" s="107"/>
      <c r="S287" s="107"/>
      <c r="T287" s="465" cm="1" t="str">
        <f t="array" ref="T287:T287">T286</f>
        <v>true</v>
      </c>
      <c r="U287" s="107"/>
      <c r="V287" s="107"/>
      <c r="W287" s="107"/>
      <c r="X287" s="1596"/>
      <c r="Y287" s="1278"/>
      <c r="Z287" s="1546"/>
      <c r="AA287" s="1278"/>
      <c r="AB287" s="300" t="str">
        <f>IF(B285,D286&amp;".7",D286&amp;".5")</f>
        <v>7.5</v>
      </c>
      <c r="AC287" s="762" t="s">
        <v>2278</v>
      </c>
      <c r="AD287" s="300" t="s">
        <v>1514</v>
      </c>
      <c r="AE287" s="3946">
        <f>AE288+AE289</f>
        <v>0</v>
      </c>
      <c r="AF287" s="3946">
        <f>AF288+AF289</f>
        <v>0</v>
      </c>
      <c r="AG287" s="3946">
        <f>AG288+AG289</f>
        <v>0</v>
      </c>
      <c r="AH287" s="1114">
        <f>AG287-AF287</f>
        <v>0</v>
      </c>
      <c r="AI287" s="3946">
        <f>AI288+AI289</f>
        <v>0</v>
      </c>
      <c r="AJ287" s="3946">
        <f>_xlfn.SUMIFS('Корректировка НВВ'!$AF$25:$AF$282,'Корректировка НВВ'!$F$25:$F$282,$F287,'Корректировка НВВ'!$I$25:$I$282,$G287)</f>
        <v>0</v>
      </c>
      <c r="AK287" s="3946">
        <f>AK288+AK289</f>
        <v>0</v>
      </c>
      <c r="AL287" s="3946">
        <f>AL288+AL289</f>
        <v>0</v>
      </c>
      <c r="AM287" s="3946">
        <f>AM288+AM289</f>
        <v>0</v>
      </c>
      <c r="AN287" s="3946">
        <f>AN288+AN289</f>
        <v>0</v>
      </c>
      <c r="AO287" s="1241">
        <f>AO288+AO289</f>
        <v>0</v>
      </c>
      <c r="AP287" s="1241">
        <f>AP288+AP289</f>
        <v>0</v>
      </c>
      <c r="AQ287" s="1241">
        <f>AQ288+AQ289</f>
        <v>0</v>
      </c>
      <c r="AR287" s="1241">
        <f>AR288+AR289</f>
        <v>0</v>
      </c>
      <c r="AS287" s="1241">
        <f>AS288+AS289</f>
        <v>0</v>
      </c>
      <c r="AT287" s="3946">
        <f>_xlfn.SUMIFS('Корректировка НВВ'!$AG$25:$AG$282,'Корректировка НВВ'!$F$25:$F$282,$F287,'Корректировка НВВ'!$I$25:$I$282,$G287)</f>
        <v>0</v>
      </c>
      <c r="AU287" s="3946">
        <f>AU288+AU289</f>
        <v>0</v>
      </c>
      <c r="AV287" s="3946">
        <f>AV288+AV289</f>
        <v>0</v>
      </c>
      <c r="AW287" s="3946">
        <f>AW288+AW289</f>
        <v>0</v>
      </c>
      <c r="AX287" s="3946">
        <f>AX288+AX289</f>
        <v>0</v>
      </c>
      <c r="AY287" s="1241">
        <f>AY288+AY289</f>
        <v>0</v>
      </c>
      <c r="AZ287" s="1241">
        <f>AZ288+AZ289</f>
        <v>0</v>
      </c>
      <c r="BA287" s="1241">
        <f>BA288+BA289</f>
        <v>0</v>
      </c>
      <c r="BB287" s="1241">
        <f>BB288+BB289</f>
        <v>0</v>
      </c>
      <c r="BC287" s="1241">
        <f>BC288+BC289</f>
        <v>0</v>
      </c>
      <c r="BD287" s="1114">
        <f>IF(AI287=0,0,(AT287-AI287)/AI287*100)</f>
        <v>0</v>
      </c>
      <c r="BE287" s="1114">
        <f>IF(AT287=0,0,(AU287-AT287)/AT287*100)</f>
        <v>0</v>
      </c>
      <c r="BF287" s="1114">
        <f>IF(AU287=0,0,(AV287-AU287)/AU287*100)</f>
        <v>0</v>
      </c>
      <c r="BG287" s="1114">
        <f>IF(AV287=0,0,(AW287-AV287)/AV287*100)</f>
        <v>0</v>
      </c>
      <c r="BH287" s="1114">
        <f>IF(AW287=0,0,(AX287-AW287)/AW287*100)</f>
        <v>0</v>
      </c>
      <c r="BI287" s="1114">
        <f>IF(AX287=0,0,(AY287-AX287)/AX287*100)</f>
        <v>0</v>
      </c>
      <c r="BJ287" s="1114">
        <f>IF(AY287=0,0,(AZ287-AY287)/AY287*100)</f>
        <v>0</v>
      </c>
      <c r="BK287" s="1114">
        <f>IF(AZ287=0,0,(BA287-AZ287)/AZ287*100)</f>
        <v>0</v>
      </c>
      <c r="BL287" s="1114">
        <f>IF(BA287=0,0,(BB287-BA287)/BA287*100)</f>
        <v>0</v>
      </c>
      <c r="BM287" s="1114">
        <f>IF(BB287=0,0,(BC287-BB287)/BB287*100)</f>
        <v>0</v>
      </c>
      <c r="BN287" s="7433"/>
      <c r="BO287" s="7437" t="str">
        <f>IF(_xlfn.IFERROR(INDEX('Корректировка НВВ'!$K$26:$L$282,MATCH($F287&amp;"6komm",'Корректировка НВВ'!$K$26:$K$282,0),2),"")=0,"",_xlfn.IFERROR(INDEX('Корректировка НВВ'!$K$26:$L$282,MATCH($F287&amp;"6komm",'Корректировка НВВ'!$K$26:$K$282,0),2),""))</f>
        <v/>
      </c>
      <c r="BP287" s="7433"/>
      <c r="BQ287" s="1278"/>
      <c r="BR287" s="1278"/>
      <c r="BS287" s="1064" t="s">
        <v>2280</v>
      </c>
      <c r="BT287" s="1064"/>
      <c r="BU287" s="1064"/>
      <c r="BV287" s="979"/>
      <c r="BW287" s="979"/>
    </row>
    <row s="1834" customFormat="1" customHeight="1" ht="21.75">
      <c r="A288" s="1278"/>
      <c r="B288" s="978"/>
      <c r="C288" s="107"/>
      <c r="D288" s="107" cm="1" t="str">
        <f t="array" ref="D288:D288">D287</f>
        <v>7</v>
      </c>
      <c r="E288" s="621">
        <v>22.5</v>
      </c>
      <c r="F288" s="50" cm="1" t="str">
        <f t="array" ref="F288:F288">OFFSET(E288,-1,1)</f>
        <v>1</v>
      </c>
      <c r="G288" s="107" t="s">
        <v>2887</v>
      </c>
      <c r="H288" s="107"/>
      <c r="I288" s="107" t="s">
        <v>2888</v>
      </c>
      <c r="J288" s="107"/>
      <c r="K288" s="158" t="s">
        <v>2888</v>
      </c>
      <c r="L288" s="980" t="s">
        <v>2556</v>
      </c>
      <c r="M288" s="107"/>
      <c r="N288" s="107"/>
      <c r="O288" s="107"/>
      <c r="P288" s="107"/>
      <c r="Q288" s="107"/>
      <c r="R288" s="107"/>
      <c r="S288" s="107"/>
      <c r="T288" s="465" cm="1" t="str">
        <f t="array" ref="T288:T288">T287</f>
        <v>true</v>
      </c>
      <c r="U288" s="107"/>
      <c r="V288" s="107"/>
      <c r="W288" s="107"/>
      <c r="X288" s="1596"/>
      <c r="Y288" s="1278"/>
      <c r="Z288" s="1546"/>
      <c r="AA288" s="1278"/>
      <c r="AB288" s="300" t="str">
        <f>AB287&amp;".1"</f>
        <v>7.5.1</v>
      </c>
      <c r="AC288" s="781" t="s">
        <v>2281</v>
      </c>
      <c r="AD288" s="300" t="s">
        <v>1514</v>
      </c>
      <c r="AE288" s="3946"/>
      <c r="AF288" s="3946"/>
      <c r="AG288" s="3946"/>
      <c r="AH288" s="1114">
        <f>AG288-AF288</f>
        <v>0</v>
      </c>
      <c r="AI288" s="3946"/>
      <c r="AJ288" s="3946">
        <f>_xlfn.SUMIFS('Корректировка НВВ'!$AF$25:$AF$282,'Корректировка НВВ'!$F$25:$F$282,$F288,'Корректировка НВВ'!$I$25:$I$282,$G288)</f>
        <v>0</v>
      </c>
      <c r="AK288" s="3946"/>
      <c r="AL288" s="3946"/>
      <c r="AM288" s="3946"/>
      <c r="AN288" s="3946"/>
      <c r="AO288" s="1241"/>
      <c r="AP288" s="1241"/>
      <c r="AQ288" s="1241"/>
      <c r="AR288" s="1241"/>
      <c r="AS288" s="1241"/>
      <c r="AT288" s="3946">
        <f>_xlfn.SUMIFS('Корректировка НВВ'!$AG$25:$AG$282,'Корректировка НВВ'!$F$25:$F$282,$F288,'Корректировка НВВ'!$I$25:$I$282,$G288)</f>
        <v>0</v>
      </c>
      <c r="AU288" s="3946"/>
      <c r="AV288" s="3946"/>
      <c r="AW288" s="3946"/>
      <c r="AX288" s="3946"/>
      <c r="AY288" s="1241"/>
      <c r="AZ288" s="1241"/>
      <c r="BA288" s="1241"/>
      <c r="BB288" s="1241"/>
      <c r="BC288" s="1241"/>
      <c r="BD288" s="1115"/>
      <c r="BE288" s="1115"/>
      <c r="BF288" s="1115"/>
      <c r="BG288" s="1115"/>
      <c r="BH288" s="1115"/>
      <c r="BI288" s="1115"/>
      <c r="BJ288" s="1115"/>
      <c r="BK288" s="1115"/>
      <c r="BL288" s="1115"/>
      <c r="BM288" s="1115"/>
      <c r="BN288" s="7433"/>
      <c r="BO288" s="7437" t="str">
        <f>IF(_xlfn.IFERROR(INDEX('Корректировка НВВ'!$K$26:$L$282,MATCH($F288&amp;"7komm",'Корректировка НВВ'!$K$26:$K$282,0),2),"")=0,"",_xlfn.IFERROR(INDEX('Корректировка НВВ'!$K$26:$L$282,MATCH($F288&amp;"7komm",'Корректировка НВВ'!$K$26:$K$282,0),2),""))</f>
        <v/>
      </c>
      <c r="BP288" s="7433"/>
      <c r="BQ288" s="1278"/>
      <c r="BR288" s="1278"/>
      <c r="BS288" s="1064" t="s">
        <v>2282</v>
      </c>
      <c r="BT288" s="1064"/>
      <c r="BU288" s="1064"/>
      <c r="BV288" s="979"/>
      <c r="BW288" s="979"/>
    </row>
    <row s="1834" customFormat="1" customHeight="1" ht="21.75">
      <c r="A289" s="1278"/>
      <c r="B289" s="978"/>
      <c r="C289" s="107"/>
      <c r="D289" s="107" cm="1" t="str">
        <f t="array" ref="D289:D289">D288</f>
        <v>7</v>
      </c>
      <c r="E289" s="621">
        <v>22.5</v>
      </c>
      <c r="F289" s="50" cm="1" t="str">
        <f t="array" ref="F289:F289">OFFSET(E289,-1,1)</f>
        <v>1</v>
      </c>
      <c r="G289" s="107" t="s">
        <v>2889</v>
      </c>
      <c r="H289" s="107"/>
      <c r="I289" s="107" t="s">
        <v>2890</v>
      </c>
      <c r="J289" s="107"/>
      <c r="K289" s="158" t="s">
        <v>2890</v>
      </c>
      <c r="L289" s="980" t="s">
        <v>2558</v>
      </c>
      <c r="M289" s="107"/>
      <c r="N289" s="107"/>
      <c r="O289" s="107"/>
      <c r="P289" s="107"/>
      <c r="Q289" s="107"/>
      <c r="R289" s="107"/>
      <c r="S289" s="107"/>
      <c r="T289" s="465" cm="1" t="str">
        <f t="array" ref="T289:T289">T288</f>
        <v>true</v>
      </c>
      <c r="U289" s="107"/>
      <c r="V289" s="107"/>
      <c r="W289" s="107"/>
      <c r="X289" s="1596"/>
      <c r="Y289" s="1278"/>
      <c r="Z289" s="1546"/>
      <c r="AA289" s="1278"/>
      <c r="AB289" s="300" t="str">
        <f>AB287&amp;".2"</f>
        <v>7.5.2</v>
      </c>
      <c r="AC289" s="781" t="s">
        <v>2283</v>
      </c>
      <c r="AD289" s="300" t="s">
        <v>1514</v>
      </c>
      <c r="AE289" s="3946"/>
      <c r="AF289" s="3946"/>
      <c r="AG289" s="3946"/>
      <c r="AH289" s="1114">
        <f>AG289-AF289</f>
        <v>0</v>
      </c>
      <c r="AI289" s="3946"/>
      <c r="AJ289" s="3946">
        <f>_xlfn.SUMIFS('Корректировка НВВ'!$AF$25:$AF$282,'Корректировка НВВ'!$F$25:$F$282,$F289,'Корректировка НВВ'!$I$25:$I$282,$G289)</f>
        <v>0</v>
      </c>
      <c r="AK289" s="3946"/>
      <c r="AL289" s="3946"/>
      <c r="AM289" s="3946"/>
      <c r="AN289" s="3946"/>
      <c r="AO289" s="1241"/>
      <c r="AP289" s="1241"/>
      <c r="AQ289" s="1241"/>
      <c r="AR289" s="1241"/>
      <c r="AS289" s="1241"/>
      <c r="AT289" s="3946">
        <f>_xlfn.SUMIFS('Корректировка НВВ'!$AG$25:$AG$282,'Корректировка НВВ'!$F$25:$F$282,$F289,'Корректировка НВВ'!$I$25:$I$282,$G289)</f>
        <v>0</v>
      </c>
      <c r="AU289" s="3946"/>
      <c r="AV289" s="3946"/>
      <c r="AW289" s="3946"/>
      <c r="AX289" s="3946"/>
      <c r="AY289" s="1241"/>
      <c r="AZ289" s="1241"/>
      <c r="BA289" s="1241"/>
      <c r="BB289" s="1241"/>
      <c r="BC289" s="1241"/>
      <c r="BD289" s="1115"/>
      <c r="BE289" s="1115"/>
      <c r="BF289" s="1115"/>
      <c r="BG289" s="1115"/>
      <c r="BH289" s="1115"/>
      <c r="BI289" s="1115"/>
      <c r="BJ289" s="1115"/>
      <c r="BK289" s="1115"/>
      <c r="BL289" s="1115"/>
      <c r="BM289" s="1115"/>
      <c r="BN289" s="7433"/>
      <c r="BO289" s="7437" t="str">
        <f>IF(_xlfn.IFERROR(INDEX('Корректировка НВВ'!$K$26:$L$282,MATCH($F289&amp;"8komm",'Корректировка НВВ'!$K$26:$K$282,0),2),"")=0,"",_xlfn.IFERROR(INDEX('Корректировка НВВ'!$K$26:$L$282,MATCH($F289&amp;"8komm",'Корректировка НВВ'!$K$26:$K$282,0),2),""))</f>
        <v/>
      </c>
      <c r="BP289" s="7433"/>
      <c r="BQ289" s="1278"/>
      <c r="BR289" s="1278"/>
      <c r="BS289" s="1064" t="s">
        <v>2284</v>
      </c>
      <c r="BT289" s="1064"/>
      <c r="BU289" s="1064"/>
      <c r="BV289" s="979"/>
      <c r="BW289" s="979"/>
    </row>
    <row s="1834" customFormat="1" customHeight="1" ht="0">
      <c r="A290" s="1278"/>
      <c r="B290" s="978"/>
      <c r="C290" s="107"/>
      <c r="D290" s="107" cm="1" t="str">
        <f t="array" ref="D290:D290">D289</f>
        <v>7</v>
      </c>
      <c r="E290" s="621">
        <v>15</v>
      </c>
      <c r="F290" s="50" cm="1" t="str">
        <f t="array" ref="F290:F290">OFFSET(E290,-1,1)</f>
        <v>1</v>
      </c>
      <c r="G290" s="107" t="s">
        <v>320</v>
      </c>
      <c r="H290" s="107"/>
      <c r="I290" s="107" t="s">
        <v>2562</v>
      </c>
      <c r="J290" s="107"/>
      <c r="K290" s="158" t="s">
        <v>2562</v>
      </c>
      <c r="L290" s="980" t="s">
        <v>2561</v>
      </c>
      <c r="M290" s="107"/>
      <c r="N290" s="107"/>
      <c r="O290" s="107"/>
      <c r="P290" s="107"/>
      <c r="Q290" s="107"/>
      <c r="R290" s="107"/>
      <c r="S290" s="107"/>
      <c r="T290" s="465" cm="1" t="str">
        <f t="array" ref="T290:T290">T289</f>
        <v>true</v>
      </c>
      <c r="U290" s="107"/>
      <c r="V290" s="107"/>
      <c r="W290" s="107"/>
      <c r="X290" s="1596"/>
      <c r="Y290" s="1278"/>
      <c r="Z290" s="1546"/>
      <c r="AA290" s="1278"/>
      <c r="AB290" s="300" t="str">
        <f>IF(B285,D286&amp;".8",D286&amp;".6")</f>
        <v>7.6</v>
      </c>
      <c r="AC290" s="782" t="s">
        <v>2285</v>
      </c>
      <c r="AD290" s="300" t="s">
        <v>1514</v>
      </c>
      <c r="AE290" s="3946"/>
      <c r="AF290" s="3946"/>
      <c r="AG290" s="3946"/>
      <c r="AH290" s="1114">
        <f>AG290-AF290</f>
        <v>0</v>
      </c>
      <c r="AI290" s="3946"/>
      <c r="AJ290" s="3946">
        <f>_xlfn.SUMIFS('Корректировка НВВ'!$AF$25:$AF$282,'Корректировка НВВ'!$F$25:$F$282,$F290,'Корректировка НВВ'!$I$25:$I$282,$G290)</f>
        <v>0</v>
      </c>
      <c r="AK290" s="3946"/>
      <c r="AL290" s="3946"/>
      <c r="AM290" s="3946"/>
      <c r="AN290" s="3946"/>
      <c r="AO290" s="1241"/>
      <c r="AP290" s="1241"/>
      <c r="AQ290" s="1241"/>
      <c r="AR290" s="1241"/>
      <c r="AS290" s="1241"/>
      <c r="AT290" s="3946">
        <f>_xlfn.SUMIFS('Корректировка НВВ'!$AG$25:$AG$282,'Корректировка НВВ'!$F$25:$F$282,$F290,'Корректировка НВВ'!$I$25:$I$282,$G290)</f>
        <v>0</v>
      </c>
      <c r="AU290" s="3946"/>
      <c r="AV290" s="3946"/>
      <c r="AW290" s="3946"/>
      <c r="AX290" s="3946"/>
      <c r="AY290" s="1241"/>
      <c r="AZ290" s="1241"/>
      <c r="BA290" s="1241"/>
      <c r="BB290" s="1241"/>
      <c r="BC290" s="1241"/>
      <c r="BD290" s="1115"/>
      <c r="BE290" s="1115"/>
      <c r="BF290" s="1115"/>
      <c r="BG290" s="1115"/>
      <c r="BH290" s="1115"/>
      <c r="BI290" s="1115"/>
      <c r="BJ290" s="1115"/>
      <c r="BK290" s="1115"/>
      <c r="BL290" s="1115"/>
      <c r="BM290" s="1115"/>
      <c r="BN290" s="7433"/>
      <c r="BO290" s="7437" t="str">
        <f>IF(_xlfn.IFERROR(INDEX('Корректировка НВВ'!$K$26:$L$282,MATCH($F290&amp;"9komm",'Корректировка НВВ'!$K$26:$K$282,0),2),"")=0,"",_xlfn.IFERROR(INDEX('Корректировка НВВ'!$K$26:$L$282,MATCH($F290&amp;"9komm",'Корректировка НВВ'!$K$26:$K$282,0),2),""))</f>
        <v/>
      </c>
      <c r="BP290" s="7433"/>
      <c r="BQ290" s="1278"/>
      <c r="BR290" s="1278"/>
      <c r="BS290" s="1064" t="s">
        <v>2891</v>
      </c>
      <c r="BT290" s="1064"/>
      <c r="BU290" s="1064"/>
      <c r="BV290" s="979"/>
      <c r="BW290" s="979"/>
    </row>
    <row s="1834" customFormat="1" customHeight="1" ht="0">
      <c r="A291" s="1278"/>
      <c r="B291" s="978"/>
      <c r="C291" s="107"/>
      <c r="D291" s="107" cm="1" t="str">
        <f t="array" ref="D291:D291">D290</f>
        <v>7</v>
      </c>
      <c r="E291" s="621">
        <v>15</v>
      </c>
      <c r="F291" s="50" cm="1" t="str">
        <f t="array" ref="F291:F291">OFFSET(E291,-1,1)</f>
        <v>1</v>
      </c>
      <c r="G291" s="107" t="s">
        <v>2892</v>
      </c>
      <c r="H291" s="107"/>
      <c r="I291" s="107" t="s">
        <v>2563</v>
      </c>
      <c r="J291" s="107"/>
      <c r="K291" s="158" t="s">
        <v>2563</v>
      </c>
      <c r="L291" s="980" t="s">
        <v>2562</v>
      </c>
      <c r="M291" s="107"/>
      <c r="N291" s="107"/>
      <c r="O291" s="107"/>
      <c r="P291" s="107"/>
      <c r="Q291" s="107"/>
      <c r="R291" s="107"/>
      <c r="S291" s="107"/>
      <c r="T291" s="465" cm="1" t="str">
        <f t="array" ref="T291:T291">T290</f>
        <v>true</v>
      </c>
      <c r="U291" s="107"/>
      <c r="V291" s="107"/>
      <c r="W291" s="107"/>
      <c r="X291" s="1596"/>
      <c r="Y291" s="1278"/>
      <c r="Z291" s="1546"/>
      <c r="AA291" s="1278"/>
      <c r="AB291" s="300" t="str">
        <f>IF(B285,D286&amp;".9",D286&amp;".7")</f>
        <v>7.7</v>
      </c>
      <c r="AC291" s="782" t="s">
        <v>2287</v>
      </c>
      <c r="AD291" s="300" t="s">
        <v>1514</v>
      </c>
      <c r="AE291" s="3946"/>
      <c r="AF291" s="3946"/>
      <c r="AG291" s="3946"/>
      <c r="AH291" s="1114">
        <f>AG291-AF291</f>
        <v>0</v>
      </c>
      <c r="AI291" s="3946"/>
      <c r="AJ291" s="3946">
        <f>_xlfn.SUMIFS('Корректировка НВВ'!$AF$25:$AF$282,'Корректировка НВВ'!$F$25:$F$282,$F291,'Корректировка НВВ'!$I$25:$I$282,$G291)</f>
        <v>0</v>
      </c>
      <c r="AK291" s="3946"/>
      <c r="AL291" s="3946"/>
      <c r="AM291" s="3946"/>
      <c r="AN291" s="3946"/>
      <c r="AO291" s="1241"/>
      <c r="AP291" s="1241"/>
      <c r="AQ291" s="1241"/>
      <c r="AR291" s="1241"/>
      <c r="AS291" s="1241"/>
      <c r="AT291" s="3946">
        <f>_xlfn.SUMIFS('Корректировка НВВ'!$AG$25:$AG$282,'Корректировка НВВ'!$F$25:$F$282,$F291,'Корректировка НВВ'!$I$25:$I$282,$G291)</f>
        <v>0</v>
      </c>
      <c r="AU291" s="3946"/>
      <c r="AV291" s="3946"/>
      <c r="AW291" s="3946"/>
      <c r="AX291" s="3946"/>
      <c r="AY291" s="1241"/>
      <c r="AZ291" s="1241"/>
      <c r="BA291" s="1241"/>
      <c r="BB291" s="1241"/>
      <c r="BC291" s="1241"/>
      <c r="BD291" s="1115"/>
      <c r="BE291" s="1115"/>
      <c r="BF291" s="1115"/>
      <c r="BG291" s="1115"/>
      <c r="BH291" s="1115"/>
      <c r="BI291" s="1115"/>
      <c r="BJ291" s="1115"/>
      <c r="BK291" s="1115"/>
      <c r="BL291" s="1115"/>
      <c r="BM291" s="1115"/>
      <c r="BN291" s="7433"/>
      <c r="BO291" s="7437" t="str">
        <f>IF(_xlfn.IFERROR(INDEX('Корректировка НВВ'!$K$26:$L$282,MATCH($F291&amp;"10komm",'Корректировка НВВ'!$K$26:$K$282,0),2),"")=0,"",_xlfn.IFERROR(INDEX('Корректировка НВВ'!$K$26:$L$282,MATCH($F291&amp;"10komm",'Корректировка НВВ'!$K$26:$K$282,0),2),""))</f>
        <v/>
      </c>
      <c r="BP291" s="7433"/>
      <c r="BQ291" s="1278"/>
      <c r="BR291" s="1278"/>
      <c r="BS291" s="1064" t="s">
        <v>2288</v>
      </c>
      <c r="BT291" s="1064"/>
      <c r="BU291" s="1064"/>
      <c r="BV291" s="979"/>
      <c r="BW291" s="979"/>
    </row>
    <row s="7493" customFormat="1" customHeight="1" ht="54.75">
      <c r="A292" s="700"/>
      <c r="B292" s="435"/>
      <c r="C292" s="109"/>
      <c r="D292" s="109">
        <f>D291+1</f>
        <v>8</v>
      </c>
      <c r="E292" s="826">
        <v>21</v>
      </c>
      <c r="F292" s="50" cm="1" t="str">
        <f t="array" ref="F292:F292">OFFSET(E292,-1,1)</f>
        <v>1</v>
      </c>
      <c r="G292" s="109"/>
      <c r="H292" s="109"/>
      <c r="I292" s="109" t="s">
        <v>1297</v>
      </c>
      <c r="J292" s="109"/>
      <c r="K292" s="162" t="s">
        <v>1297</v>
      </c>
      <c r="L292" s="985"/>
      <c r="M292" s="109"/>
      <c r="N292" s="109"/>
      <c r="O292" s="109"/>
      <c r="P292" s="109"/>
      <c r="Q292" s="109"/>
      <c r="R292" s="109"/>
      <c r="S292" s="109"/>
      <c r="T292" s="465" cm="1" t="str">
        <f t="array" ref="T292:T292">T291</f>
        <v>true</v>
      </c>
      <c r="U292" s="109"/>
      <c r="V292" s="109"/>
      <c r="W292" s="109"/>
      <c r="X292" s="1596"/>
      <c r="Y292" s="700"/>
      <c r="Z292" s="1546"/>
      <c r="AA292" s="700"/>
      <c r="AB292" s="211" cm="1" t="str">
        <f t="array" ref="AB292:AB292">D292</f>
        <v>8</v>
      </c>
      <c r="AC292" s="212" t="s">
        <v>2893</v>
      </c>
      <c r="AD292" s="211" t="s">
        <v>1514</v>
      </c>
      <c r="AE292" s="7432"/>
      <c r="AF292" s="7432"/>
      <c r="AG292" s="7432"/>
      <c r="AH292" s="778">
        <f>AG292-AF292</f>
        <v>0</v>
      </c>
      <c r="AI292" s="7432"/>
      <c r="AJ292" s="7432">
        <v>-7873.9549</v>
      </c>
      <c r="AK292" s="7432">
        <v>9687.31</v>
      </c>
      <c r="AL292" s="7432">
        <v>16905.77</v>
      </c>
      <c r="AM292" s="7432">
        <v>12921.19</v>
      </c>
      <c r="AN292" s="7432">
        <v>-31640.32</v>
      </c>
      <c r="AO292" s="1237"/>
      <c r="AP292" s="1237"/>
      <c r="AQ292" s="1237"/>
      <c r="AR292" s="1237"/>
      <c r="AS292" s="1237"/>
      <c r="AT292" s="7432">
        <v>-7977.1205</v>
      </c>
      <c r="AU292" s="7432">
        <v>9574.7529</v>
      </c>
      <c r="AV292" s="7432">
        <v>16787.6978</v>
      </c>
      <c r="AW292" s="7432">
        <v>12795.7289</v>
      </c>
      <c r="AX292" s="7432">
        <v>-31181.0592</v>
      </c>
      <c r="AY292" s="1237"/>
      <c r="AZ292" s="1237"/>
      <c r="BA292" s="1237"/>
      <c r="BB292" s="1237"/>
      <c r="BC292" s="1237"/>
      <c r="BD292" s="216"/>
      <c r="BE292" s="216"/>
      <c r="BF292" s="216"/>
      <c r="BG292" s="216"/>
      <c r="BH292" s="216"/>
      <c r="BI292" s="216"/>
      <c r="BJ292" s="216"/>
      <c r="BK292" s="216"/>
      <c r="BL292" s="216"/>
      <c r="BM292" s="216"/>
      <c r="BN292" s="7436"/>
      <c r="BO292" s="7436" t="s">
        <v>2931</v>
      </c>
      <c r="BP292" s="7436"/>
      <c r="BQ292" s="700"/>
      <c r="BR292" s="700"/>
      <c r="BS292" s="1070" t="s">
        <v>2894</v>
      </c>
      <c r="BT292" s="1070"/>
      <c r="BU292" s="1070"/>
      <c r="BV292" s="707"/>
      <c r="BW292" s="707"/>
    </row>
    <row s="1834" customFormat="1" customHeight="1" ht="14.25">
      <c r="A293" s="1278"/>
      <c r="B293" s="978"/>
      <c r="C293" s="107"/>
      <c r="D293" s="109" cm="1" t="str">
        <f t="array" ref="D293:D293">D292</f>
        <v>8</v>
      </c>
      <c r="E293" s="621">
        <v>15</v>
      </c>
      <c r="F293" s="50" cm="1" t="str">
        <f t="array" ref="F293:F293">OFFSET(E293,-1,1)</f>
        <v>1</v>
      </c>
      <c r="G293" s="107"/>
      <c r="H293" s="107"/>
      <c r="I293" s="107" t="s">
        <v>1300</v>
      </c>
      <c r="J293" s="107"/>
      <c r="K293" s="158" t="s">
        <v>1300</v>
      </c>
      <c r="L293" s="980"/>
      <c r="M293" s="107"/>
      <c r="N293" s="107"/>
      <c r="O293" s="107"/>
      <c r="P293" s="107"/>
      <c r="Q293" s="107"/>
      <c r="R293" s="107"/>
      <c r="S293" s="107"/>
      <c r="T293" s="465" cm="1" t="str">
        <f t="array" ref="T293:T293">T292</f>
        <v>true</v>
      </c>
      <c r="U293" s="107"/>
      <c r="V293" s="107"/>
      <c r="W293" s="107"/>
      <c r="X293" s="1596"/>
      <c r="Y293" s="1278"/>
      <c r="Z293" s="1546"/>
      <c r="AA293" s="1278"/>
      <c r="AB293" s="300" t="str">
        <f>D293&amp;".1"</f>
        <v>8.1</v>
      </c>
      <c r="AC293" s="762" t="s">
        <v>2895</v>
      </c>
      <c r="AD293" s="300" t="s">
        <v>1170</v>
      </c>
      <c r="AE293" s="1114">
        <f>IF(AE294=0,0,AE292/(AE294+AE279)*100)</f>
        <v>0</v>
      </c>
      <c r="AF293" s="1114">
        <f>IF(AF294=0,0,AF292/(AF294+AF279)*100)</f>
        <v>0</v>
      </c>
      <c r="AG293" s="1114">
        <f>IF(AG294=0,0,AG292/(AG294+AG279)*100)</f>
        <v>0</v>
      </c>
      <c r="AH293" s="1114">
        <f>AG293-AF293</f>
        <v>0</v>
      </c>
      <c r="AI293" s="1114">
        <f>IF(AI294=0,0,AI292/(AI294+AI279)*100)</f>
        <v>0</v>
      </c>
      <c r="AJ293" s="1114">
        <f>IF(AJ294=0,0,AJ292/(AJ294+AJ279)*100)</f>
        <v>-3.52578224094025</v>
      </c>
      <c r="AK293" s="1114">
        <f>IF(AK294=0,0,AK292/(AK294+AK279)*100)</f>
        <v>4.15740717829667</v>
      </c>
      <c r="AL293" s="1114">
        <f>IF(AL294=0,0,AL292/(AL294+AL279)*100)</f>
        <v>6.96501477953644</v>
      </c>
      <c r="AM293" s="1114">
        <f>IF(AM294=0,0,AM292/(AM294+AM279)*100)</f>
        <v>5.02944139556325</v>
      </c>
      <c r="AN293" s="1114">
        <f>IF(AN294=0,0,AN292/(AN294+AN279)*100)</f>
        <v>-10.0282853324732</v>
      </c>
      <c r="AO293" s="1114">
        <f>IF(AO294=0,0,AO292/(AO294+AO279)*100)</f>
        <v>0</v>
      </c>
      <c r="AP293" s="1114">
        <f>IF(AP294=0,0,AP292/(AP294+AP279)*100)</f>
        <v>0</v>
      </c>
      <c r="AQ293" s="1114">
        <f>IF(AQ294=0,0,AQ292/(AQ294+AQ279)*100)</f>
        <v>0</v>
      </c>
      <c r="AR293" s="1114">
        <f>IF(AR294=0,0,AR292/(AR294+AR279)*100)</f>
        <v>0</v>
      </c>
      <c r="AS293" s="1114">
        <f>IF(AS294=0,0,AS292/(AS294+AS279)*100)</f>
        <v>0</v>
      </c>
      <c r="AT293" s="1114">
        <f>IF(AT294=0,0,AT292/(AT294+AT279)*100)</f>
        <v>-3.57032817178699</v>
      </c>
      <c r="AU293" s="1114">
        <f>IF(AU294=0,0,AU292/(AU294+AU279)*100)</f>
        <v>4.10711824326328</v>
      </c>
      <c r="AV293" s="1114">
        <f>IF(AV294=0,0,AV292/(AV294+AV279)*100)</f>
        <v>6.913007350899</v>
      </c>
      <c r="AW293" s="1114">
        <f>IF(AW294=0,0,AW292/(AW294+AW279)*100)</f>
        <v>4.97817575346543</v>
      </c>
      <c r="AX293" s="1114">
        <f>IF(AX294=0,0,AX292/(AX294+AX279)*100)</f>
        <v>-9.87767155771876</v>
      </c>
      <c r="AY293" s="1114">
        <f>IF(AY294=0,0,AY292/(AY294+AY279)*100)</f>
        <v>0</v>
      </c>
      <c r="AZ293" s="1114">
        <f>IF(AZ294=0,0,AZ292/(AZ294+AZ279)*100)</f>
        <v>0</v>
      </c>
      <c r="BA293" s="1114">
        <f>IF(BA294=0,0,BA292/(BA294+BA279)*100)</f>
        <v>0</v>
      </c>
      <c r="BB293" s="1114">
        <f>IF(BB294=0,0,BB292/(BB294+BB279)*100)</f>
        <v>0</v>
      </c>
      <c r="BC293" s="1114">
        <f>IF(BC294=0,0,BC292/(BC294+BC279)*100)</f>
        <v>0</v>
      </c>
      <c r="BD293" s="1115"/>
      <c r="BE293" s="1115"/>
      <c r="BF293" s="1115"/>
      <c r="BG293" s="1115"/>
      <c r="BH293" s="1115"/>
      <c r="BI293" s="1115"/>
      <c r="BJ293" s="1115"/>
      <c r="BK293" s="1115"/>
      <c r="BL293" s="1115"/>
      <c r="BM293" s="1115"/>
      <c r="BN293" s="7433"/>
      <c r="BO293" s="7433"/>
      <c r="BP293" s="7433"/>
      <c r="BQ293" s="1278"/>
      <c r="BR293" s="1278"/>
      <c r="BS293" s="1064" t="s">
        <v>2896</v>
      </c>
      <c r="BT293" s="1064"/>
      <c r="BU293" s="1064"/>
      <c r="BV293" s="979"/>
      <c r="BW293" s="979"/>
    </row>
    <row s="7494" customFormat="1" customHeight="1" ht="20.25">
      <c r="A294" s="700"/>
      <c r="B294" s="435"/>
      <c r="C294" s="109"/>
      <c r="D294" s="109">
        <f>D293+1</f>
        <v>9</v>
      </c>
      <c r="E294" s="826">
        <v>21</v>
      </c>
      <c r="F294" s="50" cm="1" t="str">
        <f t="array" ref="F294:F294">OFFSET(E294,-1,1)</f>
        <v>1</v>
      </c>
      <c r="G294" s="109"/>
      <c r="H294" s="107"/>
      <c r="I294" s="107" t="s">
        <v>1454</v>
      </c>
      <c r="J294" s="109"/>
      <c r="K294" s="158" t="s">
        <v>1454</v>
      </c>
      <c r="L294" s="985" t="s">
        <v>2563</v>
      </c>
      <c r="M294" s="109"/>
      <c r="N294" s="109"/>
      <c r="O294" s="109"/>
      <c r="P294" s="109"/>
      <c r="Q294" s="109"/>
      <c r="R294" s="109"/>
      <c r="S294" s="109"/>
      <c r="T294" s="465" cm="1" t="str">
        <f t="array" ref="T294:T294">T293</f>
        <v>true</v>
      </c>
      <c r="U294" s="109"/>
      <c r="V294" s="109"/>
      <c r="W294" s="109"/>
      <c r="X294" s="1596"/>
      <c r="Y294" s="700"/>
      <c r="Z294" s="1546"/>
      <c r="AA294" s="700"/>
      <c r="AB294" s="211" cm="1" t="str">
        <f t="array" ref="AB294:AB294">D294</f>
        <v>9</v>
      </c>
      <c r="AC294" s="212" t="s">
        <v>2564</v>
      </c>
      <c r="AD294" s="234" t="s">
        <v>1514</v>
      </c>
      <c r="AE294" s="213">
        <f>AE172+AE222+AE258+AE259+AE261+AE266+AE267+AE270</f>
        <v>0</v>
      </c>
      <c r="AF294" s="213">
        <f>AF172+AF222+AF258+AF259+AF261+AF266+AF267+AF270</f>
        <v>0</v>
      </c>
      <c r="AG294" s="213">
        <f>AG172+AG222+AG258+AG259+AG261+AG266+AG267+AG270</f>
        <v>0</v>
      </c>
      <c r="AH294" s="778">
        <f>AG294-AF294</f>
        <v>0</v>
      </c>
      <c r="AI294" s="213">
        <f>AI172+AI222+AI258+AI259+AI261+AI266+AI267+AI270</f>
        <v>0</v>
      </c>
      <c r="AJ294" s="213">
        <f>AJ172+AJ222+AJ258+AJ259+AJ261+AJ266+AJ267+AJ270</f>
        <v>223325.048511793</v>
      </c>
      <c r="AK294" s="213">
        <f>AK172+AK222+AK258+AK259+AK261+AK266+AK267+AK270</f>
        <v>233013.260057173</v>
      </c>
      <c r="AL294" s="213">
        <f>AL172+AL222+AL258+AL259+AL261+AL266+AL267+AL270</f>
        <v>242724.108061766</v>
      </c>
      <c r="AM294" s="213">
        <f>AM172+AM222+AM258+AM259+AM261+AM266+AM267+AM270</f>
        <v>256911.036112251</v>
      </c>
      <c r="AN294" s="213">
        <f>AN172+AN222+AN258+AN259+AN261+AN266+AN267+AN270</f>
        <v>315510.76730479</v>
      </c>
      <c r="AO294" s="213">
        <f>AO172+AO222+AO258+AO259+AO261+AO266+AO267+AO270</f>
        <v>177482.948810478</v>
      </c>
      <c r="AP294" s="213">
        <f>AP172+AP222+AP258+AP259+AP261+AP266+AP267+AP270</f>
        <v>177482.948810478</v>
      </c>
      <c r="AQ294" s="213">
        <f>AQ172+AQ222+AQ258+AQ259+AQ261+AQ266+AQ267+AQ270</f>
        <v>177482.948810478</v>
      </c>
      <c r="AR294" s="213">
        <f>AR172+AR222+AR258+AR259+AR261+AR266+AR267+AR270</f>
        <v>177482.948810478</v>
      </c>
      <c r="AS294" s="213">
        <f>AS172+AS222+AS258+AS259+AS261+AS266+AS267+AS270</f>
        <v>177482.948810478</v>
      </c>
      <c r="AT294" s="213">
        <f>AT172+AT222+AT258+AT259+AT261+AT266+AT267+AT270</f>
        <v>223428.214891724</v>
      </c>
      <c r="AU294" s="213">
        <f>AU172+AU222+AU258+AU259+AU261+AU266+AU267+AU270</f>
        <v>233125.815544878</v>
      </c>
      <c r="AV294" s="213">
        <f>AV172+AV222+AV258+AV259+AV261+AV266+AV267+AV270</f>
        <v>242842.18065842</v>
      </c>
      <c r="AW294" s="213">
        <f>AW172+AW222+AW258+AW259+AW261+AW266+AW267+AW270</f>
        <v>257036.50360461</v>
      </c>
      <c r="AX294" s="213">
        <f>AX172+AX222+AX258+AX259+AX261+AX266+AX267+AX270</f>
        <v>315672.160364899</v>
      </c>
      <c r="AY294" s="213">
        <f>AY172+AY222+AY258+AY259+AY261+AY266+AY267+AY270</f>
        <v>177482.951058002</v>
      </c>
      <c r="AZ294" s="213">
        <f>AZ172+AZ222+AZ258+AZ259+AZ261+AZ266+AZ267+AZ270</f>
        <v>177482.951058002</v>
      </c>
      <c r="BA294" s="213">
        <f>BA172+BA222+BA258+BA259+BA261+BA266+BA267+BA270</f>
        <v>177482.951058002</v>
      </c>
      <c r="BB294" s="213">
        <f>BB172+BB222+BB258+BB259+BB261+BB266+BB267+BB270</f>
        <v>177482.951058002</v>
      </c>
      <c r="BC294" s="213">
        <f>BC172+BC222+BC258+BC259+BC261+BC266+BC267+BC270</f>
        <v>177482.951058002</v>
      </c>
      <c r="BD294" s="778">
        <f>IF(AI294=0,0,(AT294-AI294)/AI294*100)</f>
        <v>0</v>
      </c>
      <c r="BE294" s="778">
        <f>IF(AT294=0,0,(AU294-AT294)/AT294*100)</f>
        <v>4.34036527474991</v>
      </c>
      <c r="BF294" s="778">
        <f>IF(AU294=0,0,(AV294-AU294)/AU294*100)</f>
        <v>4.16786321619175</v>
      </c>
      <c r="BG294" s="778">
        <f>IF(AV294=0,0,(AW294-AV294)/AV294*100)</f>
        <v>5.84508132306539</v>
      </c>
      <c r="BH294" s="778">
        <f>IF(AW294=0,0,(AX294-AW294)/AW294*100)</f>
        <v>22.8121904624435</v>
      </c>
      <c r="BI294" s="778">
        <f>IF(AX294=0,0,(AY294-AX294)/AX294*100)</f>
        <v>-43.7761787885122</v>
      </c>
      <c r="BJ294" s="778">
        <f>IF(AY294=0,0,(AZ294-AY294)/AY294*100)</f>
        <v>0</v>
      </c>
      <c r="BK294" s="778">
        <f>IF(AZ294=0,0,(BA294-AZ294)/AZ294*100)</f>
        <v>0</v>
      </c>
      <c r="BL294" s="778">
        <f>IF(BA294=0,0,(BB294-BA294)/BA294*100)</f>
        <v>0</v>
      </c>
      <c r="BM294" s="778">
        <f>IF(BB294=0,0,(BC294-BB294)/BB294*100)</f>
        <v>0</v>
      </c>
      <c r="BN294" s="7433"/>
      <c r="BO294" s="7433"/>
      <c r="BP294" s="7433"/>
      <c r="BQ294" s="700"/>
      <c r="BR294" s="700"/>
      <c r="BS294" s="1070" t="s">
        <v>2565</v>
      </c>
      <c r="BT294" s="1070"/>
      <c r="BU294" s="1070"/>
      <c r="BV294" s="707"/>
      <c r="BW294" s="707"/>
    </row>
    <row s="7495" customFormat="1" customHeight="1" ht="20.25">
      <c r="A295" s="700"/>
      <c r="B295" s="435"/>
      <c r="C295" s="109"/>
      <c r="D295" s="109">
        <f>D294+1</f>
        <v>10</v>
      </c>
      <c r="E295" s="826">
        <v>21</v>
      </c>
      <c r="F295" s="50" cm="1" t="str">
        <f t="array" ref="F295:F295">OFFSET(E295,-1,1)</f>
        <v>1</v>
      </c>
      <c r="G295" s="109"/>
      <c r="H295" s="107"/>
      <c r="I295" s="107" t="s">
        <v>2574</v>
      </c>
      <c r="J295" s="109"/>
      <c r="K295" s="158" t="s">
        <v>2574</v>
      </c>
      <c r="L295" s="985"/>
      <c r="M295" s="109"/>
      <c r="N295" s="109"/>
      <c r="O295" s="109"/>
      <c r="P295" s="109"/>
      <c r="Q295" s="109"/>
      <c r="R295" s="109"/>
      <c r="S295" s="109"/>
      <c r="T295" s="465" cm="1" t="str">
        <f t="array" ref="T295:T295">T294</f>
        <v>true</v>
      </c>
      <c r="U295" s="109"/>
      <c r="V295" s="109"/>
      <c r="W295" s="109"/>
      <c r="X295" s="1596"/>
      <c r="Y295" s="700"/>
      <c r="Z295" s="1546"/>
      <c r="AA295" s="700"/>
      <c r="AB295" s="211" cm="1" t="str">
        <f t="array" ref="AB295:AB295">D295</f>
        <v>10</v>
      </c>
      <c r="AC295" s="212" t="s">
        <v>2897</v>
      </c>
      <c r="AD295" s="211" t="s">
        <v>1514</v>
      </c>
      <c r="AE295" s="213">
        <f>AE294+AE279+AE292</f>
        <v>0</v>
      </c>
      <c r="AF295" s="213">
        <f>AF294+AF279+AF292</f>
        <v>0</v>
      </c>
      <c r="AG295" s="213">
        <f>AG294+AG279+AG292</f>
        <v>0</v>
      </c>
      <c r="AH295" s="213">
        <f>AH294+AH279+AH292</f>
        <v>0</v>
      </c>
      <c r="AI295" s="213">
        <f>AI294+AI279+AI292</f>
        <v>0</v>
      </c>
      <c r="AJ295" s="213">
        <f>AJ294+AJ279+AJ292</f>
        <v>215451.093611793</v>
      </c>
      <c r="AK295" s="213">
        <f>AK294+AK279+AK292</f>
        <v>242700.570057173</v>
      </c>
      <c r="AL295" s="213">
        <f>AL294+AL279+AL292</f>
        <v>259629.878061766</v>
      </c>
      <c r="AM295" s="213">
        <f>AM294+AM279+AM292</f>
        <v>269832.226112251</v>
      </c>
      <c r="AN295" s="213">
        <f>AN294+AN279+AN292</f>
        <v>283870.44730479</v>
      </c>
      <c r="AO295" s="213">
        <f>AO294+AO279+AO292</f>
        <v>177482.948810478</v>
      </c>
      <c r="AP295" s="213">
        <f>AP294+AP279+AP292</f>
        <v>177482.948810478</v>
      </c>
      <c r="AQ295" s="213">
        <f>AQ294+AQ279+AQ292</f>
        <v>177482.948810478</v>
      </c>
      <c r="AR295" s="213">
        <f>AR294+AR279+AR292</f>
        <v>177482.948810478</v>
      </c>
      <c r="AS295" s="213">
        <f>AS294+AS279+AS292</f>
        <v>177482.948810478</v>
      </c>
      <c r="AT295" s="213">
        <f>AT294+AT279+AT292</f>
        <v>215451.094391724</v>
      </c>
      <c r="AU295" s="213">
        <f>AU294+AU279+AU292</f>
        <v>242700.568444878</v>
      </c>
      <c r="AV295" s="213">
        <f>AV294+AV279+AV292</f>
        <v>259629.87845842</v>
      </c>
      <c r="AW295" s="213">
        <f>AW294+AW279+AW292</f>
        <v>269832.23250461</v>
      </c>
      <c r="AX295" s="213">
        <f>AX294+AX279+AX292</f>
        <v>284491.101164899</v>
      </c>
      <c r="AY295" s="213">
        <f>AY294+AY279+AY292</f>
        <v>177482.951058002</v>
      </c>
      <c r="AZ295" s="213">
        <f>AZ294+AZ279+AZ292</f>
        <v>177482.951058002</v>
      </c>
      <c r="BA295" s="213">
        <f>BA294+BA279+BA292</f>
        <v>177482.951058002</v>
      </c>
      <c r="BB295" s="213">
        <f>BB294+BB279+BB292</f>
        <v>177482.951058002</v>
      </c>
      <c r="BC295" s="213">
        <f>BC294+BC279+BC292</f>
        <v>177482.951058002</v>
      </c>
      <c r="BD295" s="778">
        <f>IF(AI295=0,0,(AT295-AI295)/AI295*100)</f>
        <v>0</v>
      </c>
      <c r="BE295" s="778">
        <f>IF(AT295=0,0,(AU295-AT295)/AT295*100)</f>
        <v>12.6476377992354</v>
      </c>
      <c r="BF295" s="778">
        <f>IF(AU295=0,0,(AV295-AU295)/AU295*100)</f>
        <v>6.97538951887002</v>
      </c>
      <c r="BG295" s="778">
        <f>IF(AV295=0,0,(AW295-AV295)/AV295*100)</f>
        <v>3.92957625168857</v>
      </c>
      <c r="BH295" s="778">
        <f>IF(AW295=0,0,(AX295-AW295)/AW295*100)</f>
        <v>5.4325862126344</v>
      </c>
      <c r="BI295" s="778">
        <f>IF(AX295=0,0,(AY295-AX295)/AX295*100)</f>
        <v>-37.6138830595169</v>
      </c>
      <c r="BJ295" s="778">
        <f>IF(AY295=0,0,(AZ295-AY295)/AY295*100)</f>
        <v>0</v>
      </c>
      <c r="BK295" s="778">
        <f>IF(AZ295=0,0,(BA295-AZ295)/AZ295*100)</f>
        <v>0</v>
      </c>
      <c r="BL295" s="778">
        <f>IF(BA295=0,0,(BB295-BA295)/BA295*100)</f>
        <v>0</v>
      </c>
      <c r="BM295" s="778">
        <f>IF(BB295=0,0,(BC295-BB295)/BB295*100)</f>
        <v>0</v>
      </c>
      <c r="BN295" s="7433"/>
      <c r="BO295" s="7433"/>
      <c r="BP295" s="7433"/>
      <c r="BQ295" s="700"/>
      <c r="BR295" s="700"/>
      <c r="BS295" s="1070" t="s">
        <v>2898</v>
      </c>
      <c r="BT295" s="1070"/>
      <c r="BU295" s="1070"/>
      <c r="BV295" s="707"/>
      <c r="BW295" s="707"/>
    </row>
    <row s="1834" customFormat="1" customHeight="1" ht="14.25" hidden="1">
      <c r="A296" s="1278"/>
      <c r="B296" s="445">
        <f>A171="двухставочный"</f>
        <v>0</v>
      </c>
      <c r="C296" s="107"/>
      <c r="D296" s="107" cm="1" t="str">
        <f t="array" ref="D296:D296">D295</f>
        <v>10</v>
      </c>
      <c r="E296" s="621">
        <v>15</v>
      </c>
      <c r="F296" s="50" cm="1" t="str">
        <f t="array" ref="F296:F296">OFFSET(E296,-1,1)</f>
        <v>1</v>
      </c>
      <c r="G296" s="107"/>
      <c r="H296" s="848"/>
      <c r="I296" s="848" t="s">
        <v>2577</v>
      </c>
      <c r="J296" s="107"/>
      <c r="K296" s="379" t="s">
        <v>2577</v>
      </c>
      <c r="L296" s="980" t="s">
        <v>2566</v>
      </c>
      <c r="M296" s="107"/>
      <c r="N296" s="107"/>
      <c r="O296" s="107"/>
      <c r="P296" s="107"/>
      <c r="Q296" s="107"/>
      <c r="R296" s="107"/>
      <c r="S296" s="107"/>
      <c r="T296" s="465" cm="1" t="str">
        <f t="array" ref="T296:T296">T295</f>
        <v>true</v>
      </c>
      <c r="U296" s="107"/>
      <c r="V296" s="107"/>
      <c r="W296" s="107"/>
      <c r="X296" s="1596"/>
      <c r="Y296" s="1278"/>
      <c r="Z296" s="1546"/>
      <c r="AA296" s="1278"/>
      <c r="AB296" s="300" t="str">
        <f>D296&amp;".1"</f>
        <v>10.1</v>
      </c>
      <c r="AC296" s="1112" t="s">
        <v>2568</v>
      </c>
      <c r="AD296" s="300" t="s">
        <v>1514</v>
      </c>
      <c r="AE296" s="1241"/>
      <c r="AF296" s="1241"/>
      <c r="AG296" s="1241"/>
      <c r="AH296" s="1114">
        <f>AG296-AF296</f>
        <v>0</v>
      </c>
      <c r="AI296" s="1241"/>
      <c r="AJ296" s="1241"/>
      <c r="AK296" s="1241"/>
      <c r="AL296" s="1241"/>
      <c r="AM296" s="1241"/>
      <c r="AN296" s="1241"/>
      <c r="AO296" s="1241"/>
      <c r="AP296" s="1241"/>
      <c r="AQ296" s="1241"/>
      <c r="AR296" s="1241"/>
      <c r="AS296" s="1241"/>
      <c r="AT296" s="1241"/>
      <c r="AU296" s="1241"/>
      <c r="AV296" s="1241"/>
      <c r="AW296" s="1241"/>
      <c r="AX296" s="1241"/>
      <c r="AY296" s="1241"/>
      <c r="AZ296" s="1241"/>
      <c r="BA296" s="1241"/>
      <c r="BB296" s="1241"/>
      <c r="BC296" s="1241"/>
      <c r="BD296" s="1115"/>
      <c r="BE296" s="1115"/>
      <c r="BF296" s="1115"/>
      <c r="BG296" s="1115"/>
      <c r="BH296" s="1115"/>
      <c r="BI296" s="1115"/>
      <c r="BJ296" s="1115"/>
      <c r="BK296" s="1115"/>
      <c r="BL296" s="1115"/>
      <c r="BM296" s="1115"/>
      <c r="BN296" s="1238"/>
      <c r="BO296" s="1238"/>
      <c r="BP296" s="1238"/>
      <c r="BQ296" s="1278"/>
      <c r="BR296" s="1278"/>
      <c r="BS296" s="1062" t="s">
        <v>2569</v>
      </c>
      <c r="BT296" s="1064"/>
      <c r="BU296" s="1064"/>
      <c r="BV296" s="979"/>
      <c r="BW296" s="979"/>
    </row>
    <row s="1834" customFormat="1" customHeight="1" ht="14.25" hidden="1">
      <c r="A297" s="1278"/>
      <c r="B297" s="445">
        <f>A171="двухставочный"</f>
        <v>0</v>
      </c>
      <c r="C297" s="107"/>
      <c r="D297" s="107" cm="1" t="str">
        <f t="array" ref="D297:D297">D296</f>
        <v>10</v>
      </c>
      <c r="E297" s="621">
        <v>15</v>
      </c>
      <c r="F297" s="50" cm="1" t="str">
        <f t="array" ref="F297:F297">OFFSET(E297,-1,1)</f>
        <v>1</v>
      </c>
      <c r="G297" s="107"/>
      <c r="H297" s="848"/>
      <c r="I297" s="848" t="s">
        <v>2581</v>
      </c>
      <c r="J297" s="107"/>
      <c r="K297" s="379" t="s">
        <v>2581</v>
      </c>
      <c r="L297" s="980" t="s">
        <v>2570</v>
      </c>
      <c r="M297" s="107"/>
      <c r="N297" s="107"/>
      <c r="O297" s="107"/>
      <c r="P297" s="107"/>
      <c r="Q297" s="107"/>
      <c r="R297" s="107"/>
      <c r="S297" s="107"/>
      <c r="T297" s="465" cm="1" t="str">
        <f t="array" ref="T297:T297">T296</f>
        <v>true</v>
      </c>
      <c r="U297" s="107"/>
      <c r="V297" s="107"/>
      <c r="W297" s="107"/>
      <c r="X297" s="1596"/>
      <c r="Y297" s="1278"/>
      <c r="Z297" s="1546"/>
      <c r="AA297" s="1278"/>
      <c r="AB297" s="300" t="str">
        <f>D297&amp;".2"</f>
        <v>10.2</v>
      </c>
      <c r="AC297" s="1112" t="s">
        <v>2572</v>
      </c>
      <c r="AD297" s="300" t="s">
        <v>1514</v>
      </c>
      <c r="AE297" s="1241"/>
      <c r="AF297" s="1241"/>
      <c r="AG297" s="1241"/>
      <c r="AH297" s="1114">
        <f>AG297-AF297</f>
        <v>0</v>
      </c>
      <c r="AI297" s="1241"/>
      <c r="AJ297" s="1241"/>
      <c r="AK297" s="1241"/>
      <c r="AL297" s="1241"/>
      <c r="AM297" s="1241"/>
      <c r="AN297" s="1241"/>
      <c r="AO297" s="1241"/>
      <c r="AP297" s="1241"/>
      <c r="AQ297" s="1241"/>
      <c r="AR297" s="1241"/>
      <c r="AS297" s="1241"/>
      <c r="AT297" s="1241"/>
      <c r="AU297" s="1241"/>
      <c r="AV297" s="1241"/>
      <c r="AW297" s="1241"/>
      <c r="AX297" s="1241"/>
      <c r="AY297" s="1241"/>
      <c r="AZ297" s="1241"/>
      <c r="BA297" s="1241"/>
      <c r="BB297" s="1241"/>
      <c r="BC297" s="1241"/>
      <c r="BD297" s="1115"/>
      <c r="BE297" s="1115"/>
      <c r="BF297" s="1115"/>
      <c r="BG297" s="1115"/>
      <c r="BH297" s="1115"/>
      <c r="BI297" s="1115"/>
      <c r="BJ297" s="1115"/>
      <c r="BK297" s="1115"/>
      <c r="BL297" s="1115"/>
      <c r="BM297" s="1115"/>
      <c r="BN297" s="1238"/>
      <c r="BO297" s="1238"/>
      <c r="BP297" s="1238"/>
      <c r="BQ297" s="1278"/>
      <c r="BR297" s="1278"/>
      <c r="BS297" s="1062" t="s">
        <v>2573</v>
      </c>
      <c r="BT297" s="1064"/>
      <c r="BU297" s="1064"/>
      <c r="BV297" s="979"/>
      <c r="BW297" s="979"/>
    </row>
    <row s="7496" customFormat="1" customHeight="1" ht="20.25">
      <c r="A298" s="700"/>
      <c r="B298" s="435"/>
      <c r="C298" s="109"/>
      <c r="D298" s="109">
        <f>D297+1</f>
        <v>11</v>
      </c>
      <c r="E298" s="826">
        <v>21</v>
      </c>
      <c r="F298" s="50" cm="1" t="str">
        <f t="array" ref="F298:F298">OFFSET(E298,-1,1)</f>
        <v>1</v>
      </c>
      <c r="G298" s="107" t="s">
        <v>2346</v>
      </c>
      <c r="H298" s="107"/>
      <c r="I298" s="107" t="s">
        <v>2601</v>
      </c>
      <c r="J298" s="109"/>
      <c r="K298" s="158" t="s">
        <v>2601</v>
      </c>
      <c r="L298" s="985" t="s">
        <v>2574</v>
      </c>
      <c r="M298" s="109"/>
      <c r="N298" s="109"/>
      <c r="O298" s="109"/>
      <c r="P298" s="109"/>
      <c r="Q298" s="109"/>
      <c r="R298" s="109"/>
      <c r="S298" s="109"/>
      <c r="T298" s="465" cm="1" t="str">
        <f t="array" ref="T298:T298">T297</f>
        <v>true</v>
      </c>
      <c r="U298" s="109"/>
      <c r="V298" s="109"/>
      <c r="W298" s="109"/>
      <c r="X298" s="1596"/>
      <c r="Y298" s="700"/>
      <c r="Z298" s="1546"/>
      <c r="AA298" s="700"/>
      <c r="AB298" s="211" cm="1" t="str">
        <f t="array" ref="AB298:AB298">D298</f>
        <v>11</v>
      </c>
      <c r="AC298" s="212" t="s">
        <v>2575</v>
      </c>
      <c r="AD298" s="211" t="s">
        <v>1247</v>
      </c>
      <c r="AE298" s="785">
        <f>_xlfn.SUMIFS(Баланс!AE$26:AE$482,Баланс!$F$26:$F$482,$F298,Баланс!$G$26:$G$482,"ПО")</f>
        <v>0</v>
      </c>
      <c r="AF298" s="785">
        <f>_xlfn.SUMIFS(Баланс!AF$26:AF$482,Баланс!$F$26:$F$482,$F298,Баланс!$G$26:$G$482,"ПО")</f>
        <v>0</v>
      </c>
      <c r="AG298" s="785">
        <f>_xlfn.SUMIFS(Баланс!AG$26:AG$482,Баланс!$F$26:$F$482,$F298,Баланс!$G$26:$G$482,"ПО")</f>
        <v>0</v>
      </c>
      <c r="AH298" s="785">
        <f>AG298-AF298</f>
        <v>0</v>
      </c>
      <c r="AI298" s="785">
        <f>_xlfn.SUMIFS(Баланс!AH$26:AH$482,Баланс!$F$26:$F$482,$F298,Баланс!$G$26:$G$482,"ПО")</f>
        <v>0</v>
      </c>
      <c r="AJ298" s="785">
        <f>_xlfn.SUMIFS(Баланс!AI$26:AI$482,Баланс!$F$26:$F$482,$F298,Баланс!$G$26:$G$482,"ПО")</f>
        <v>2356.20182</v>
      </c>
      <c r="AK298" s="785">
        <f>_xlfn.SUMIFS(Баланс!AJ$26:AJ$482,Баланс!$F$26:$F$482,$F298,Баланс!$G$26:$G$482,"ПО")</f>
        <v>2356.20182</v>
      </c>
      <c r="AL298" s="785">
        <f>_xlfn.SUMIFS(Баланс!AK$26:AK$482,Баланс!$F$26:$F$482,$F298,Баланс!$G$26:$G$482,"ПО")</f>
        <v>2356.20182</v>
      </c>
      <c r="AM298" s="785">
        <f>_xlfn.SUMIFS(Баланс!AL$26:AL$482,Баланс!$F$26:$F$482,$F298,Баланс!$G$26:$G$482,"ПО")</f>
        <v>2356.20182</v>
      </c>
      <c r="AN298" s="785">
        <f>_xlfn.SUMIFS(Баланс!AM$26:AM$482,Баланс!$F$26:$F$482,$F298,Баланс!$G$26:$G$482,"ПО")</f>
        <v>2356.20182</v>
      </c>
      <c r="AO298" s="785">
        <f>_xlfn.SUMIFS(Баланс!AN$26:AN$482,Баланс!$F$26:$F$482,$F298,Баланс!$G$26:$G$482,"ПО")</f>
        <v>0</v>
      </c>
      <c r="AP298" s="785">
        <f>_xlfn.SUMIFS(Баланс!AO$26:AO$482,Баланс!$F$26:$F$482,$F298,Баланс!$G$26:$G$482,"ПО")</f>
        <v>0</v>
      </c>
      <c r="AQ298" s="785">
        <f>_xlfn.SUMIFS(Баланс!AP$26:AP$482,Баланс!$F$26:$F$482,$F298,Баланс!$G$26:$G$482,"ПО")</f>
        <v>0</v>
      </c>
      <c r="AR298" s="785">
        <f>_xlfn.SUMIFS(Баланс!AQ$26:AQ$482,Баланс!$F$26:$F$482,$F298,Баланс!$G$26:$G$482,"ПО")</f>
        <v>0</v>
      </c>
      <c r="AS298" s="785">
        <f>_xlfn.SUMIFS(Баланс!AR$26:AR$482,Баланс!$F$26:$F$482,$F298,Баланс!$G$26:$G$482,"ПО")</f>
        <v>0</v>
      </c>
      <c r="AT298" s="785">
        <f>_xlfn.SUMIFS(Баланс!AS$26:AS$482,Баланс!$F$26:$F$482,$F298,Баланс!$G$26:$G$482,"ПО")</f>
        <v>2356.20182</v>
      </c>
      <c r="AU298" s="785">
        <f>_xlfn.SUMIFS(Баланс!AT$26:AT$482,Баланс!$F$26:$F$482,$F298,Баланс!$G$26:$G$482,"ПО")</f>
        <v>2356.20182</v>
      </c>
      <c r="AV298" s="785">
        <f>_xlfn.SUMIFS(Баланс!AU$26:AU$482,Баланс!$F$26:$F$482,$F298,Баланс!$G$26:$G$482,"ПО")</f>
        <v>2356.20182</v>
      </c>
      <c r="AW298" s="785">
        <f>_xlfn.SUMIFS(Баланс!AV$26:AV$482,Баланс!$F$26:$F$482,$F298,Баланс!$G$26:$G$482,"ПО")</f>
        <v>2356.20182</v>
      </c>
      <c r="AX298" s="785">
        <f>_xlfn.SUMIFS(Баланс!AW$26:AW$482,Баланс!$F$26:$F$482,$F298,Баланс!$G$26:$G$482,"ПО")</f>
        <v>2356.20182</v>
      </c>
      <c r="AY298" s="785">
        <f>_xlfn.SUMIFS(Баланс!AX$26:AX$482,Баланс!$F$26:$F$482,$F298,Баланс!$G$26:$G$482,"ПО")</f>
        <v>0</v>
      </c>
      <c r="AZ298" s="785">
        <f>_xlfn.SUMIFS(Баланс!AY$26:AY$482,Баланс!$F$26:$F$482,$F298,Баланс!$G$26:$G$482,"ПО")</f>
        <v>0</v>
      </c>
      <c r="BA298" s="785">
        <f>_xlfn.SUMIFS(Баланс!AZ$26:AZ$482,Баланс!$F$26:$F$482,$F298,Баланс!$G$26:$G$482,"ПО")</f>
        <v>0</v>
      </c>
      <c r="BB298" s="785">
        <f>_xlfn.SUMIFS(Баланс!BA$26:BA$482,Баланс!$F$26:$F$482,$F298,Баланс!$G$26:$G$482,"ПО")</f>
        <v>0</v>
      </c>
      <c r="BC298" s="785">
        <f>_xlfn.SUMIFS(Баланс!BB$26:BB$482,Баланс!$F$26:$F$482,$F298,Баланс!$G$26:$G$482,"ПО")</f>
        <v>0</v>
      </c>
      <c r="BD298" s="216"/>
      <c r="BE298" s="216"/>
      <c r="BF298" s="216"/>
      <c r="BG298" s="216"/>
      <c r="BH298" s="216"/>
      <c r="BI298" s="216"/>
      <c r="BJ298" s="216"/>
      <c r="BK298" s="216"/>
      <c r="BL298" s="216"/>
      <c r="BM298" s="216"/>
      <c r="BN298" s="7433"/>
      <c r="BO298" s="7433"/>
      <c r="BP298" s="7433"/>
      <c r="BQ298" s="700"/>
      <c r="BR298" s="700"/>
      <c r="BS298" s="1063" t="s">
        <v>2576</v>
      </c>
      <c r="BT298" s="1070"/>
      <c r="BU298" s="1070"/>
      <c r="BV298" s="707"/>
      <c r="BW298" s="707"/>
    </row>
    <row s="1834" customFormat="1" customHeight="1" ht="23.25">
      <c r="A299" s="1278"/>
      <c r="B299" s="978"/>
      <c r="C299" s="107"/>
      <c r="D299" s="107" cm="1" t="str">
        <f t="array" ref="D299:D299">D298</f>
        <v>11</v>
      </c>
      <c r="E299" s="621">
        <v>15</v>
      </c>
      <c r="F299" s="50" cm="1" t="str">
        <f t="array" ref="F299:F299">OFFSET(E299,-1,1)</f>
        <v>1</v>
      </c>
      <c r="G299" s="107" t="s">
        <v>2373</v>
      </c>
      <c r="H299" s="107"/>
      <c r="I299" s="107" t="s">
        <v>2899</v>
      </c>
      <c r="J299" s="107"/>
      <c r="K299" s="158" t="s">
        <v>2899</v>
      </c>
      <c r="L299" s="980" t="s">
        <v>2577</v>
      </c>
      <c r="M299" s="107"/>
      <c r="N299" s="107"/>
      <c r="O299" s="107"/>
      <c r="P299" s="107"/>
      <c r="Q299" s="107"/>
      <c r="R299" s="107"/>
      <c r="S299" s="107"/>
      <c r="T299" s="465" cm="1" t="str">
        <f t="array" ref="T299:T299">T298</f>
        <v>true</v>
      </c>
      <c r="U299" s="107"/>
      <c r="V299" s="107"/>
      <c r="W299" s="107"/>
      <c r="X299" s="1596"/>
      <c r="Y299" s="1278"/>
      <c r="Z299" s="1546"/>
      <c r="AA299" s="1278"/>
      <c r="AB299" s="300" t="str">
        <f>D299&amp;".1"</f>
        <v>11.1</v>
      </c>
      <c r="AC299" s="1111" t="s">
        <v>2579</v>
      </c>
      <c r="AD299" s="300" t="s">
        <v>1247</v>
      </c>
      <c r="AE299" s="7434">
        <f>IF(AE$24="2026 год",AE298/12*9,AE298/2)</f>
        <v>0</v>
      </c>
      <c r="AF299" s="7434">
        <f>IF(AF$24="2026 год",AF298/12*9,AF298/2)</f>
        <v>0</v>
      </c>
      <c r="AG299" s="7434">
        <f>IF(AG$24="2026 год",AG298/12*9,AG298/2)</f>
        <v>0</v>
      </c>
      <c r="AH299" s="1113">
        <f>AG299-AF299</f>
        <v>0</v>
      </c>
      <c r="AI299" s="7434">
        <f>IF(AI$24="2026 год",AI298/12*9,AI298/2)</f>
        <v>0</v>
      </c>
      <c r="AJ299" s="7434">
        <f>IF(AJ$24="2026 год",AJ298/12*9,AJ298/2)</f>
        <v>1767.151365</v>
      </c>
      <c r="AK299" s="7434">
        <f>IF(AK$24="2026 год",AK298/12*9,AK298/2)</f>
        <v>1178.10091</v>
      </c>
      <c r="AL299" s="7434">
        <f>IF(AL$24="2026 год",AL298/12*9,AL298/2)</f>
        <v>1178.10091</v>
      </c>
      <c r="AM299" s="7434">
        <f>IF(AM$24="2026 год",AM298/12*9,AM298/2)</f>
        <v>1178.10091</v>
      </c>
      <c r="AN299" s="7434">
        <f>IF(AN$24="2026 год",AN298/12*9,AN298/2)</f>
        <v>1178.10091</v>
      </c>
      <c r="AO299" s="1239">
        <f>IF(AO$24="2026 год",AO298/12*9,AO298/2)</f>
        <v>0</v>
      </c>
      <c r="AP299" s="1239">
        <f>IF(AP$24="2026 год",AP298/12*9,AP298/2)</f>
        <v>0</v>
      </c>
      <c r="AQ299" s="1239">
        <f>IF(AQ$24="2026 год",AQ298/12*9,AQ298/2)</f>
        <v>0</v>
      </c>
      <c r="AR299" s="1239">
        <f>IF(AR$24="2026 год",AR298/12*9,AR298/2)</f>
        <v>0</v>
      </c>
      <c r="AS299" s="1239">
        <f>IF(AS$24="2026 год",AS298/12*9,AS298/2)</f>
        <v>0</v>
      </c>
      <c r="AT299" s="7497">
        <f>IF(AT$24="2026 год",AT298/12*9,AT298/2)</f>
        <v>1767.151365</v>
      </c>
      <c r="AU299" s="7497">
        <f>IF(AU$24="2026 год",AU298/12*9,AU298/2)</f>
        <v>1178.10091</v>
      </c>
      <c r="AV299" s="7434">
        <f>IF(AV$24="2026 год",AV298/12*9,AV298/2)</f>
        <v>1178.10091</v>
      </c>
      <c r="AW299" s="7434">
        <f>IF(AW$24="2026 год",AW298/12*9,AW298/2)</f>
        <v>1178.10091</v>
      </c>
      <c r="AX299" s="7434">
        <f>IF(AX$24="2026 год",AX298/12*9,AX298/2)</f>
        <v>1178.10091</v>
      </c>
      <c r="AY299" s="1239">
        <f>IF(AY$24="2026 год",AY298/12*9,AY298/2)</f>
        <v>0</v>
      </c>
      <c r="AZ299" s="1239">
        <f>IF(AZ$24="2026 год",AZ298/12*9,AZ298/2)</f>
        <v>0</v>
      </c>
      <c r="BA299" s="1239">
        <f>IF(BA$24="2026 год",BA298/12*9,BA298/2)</f>
        <v>0</v>
      </c>
      <c r="BB299" s="1239">
        <f>IF(BB$24="2026 год",BB298/12*9,BB298/2)</f>
        <v>0</v>
      </c>
      <c r="BC299" s="1239">
        <f>IF(BC$24="2026 год",BC298/12*9,BC298/2)</f>
        <v>0</v>
      </c>
      <c r="BD299" s="1115"/>
      <c r="BE299" s="1115"/>
      <c r="BF299" s="1115"/>
      <c r="BG299" s="1115"/>
      <c r="BH299" s="1115"/>
      <c r="BI299" s="1115"/>
      <c r="BJ299" s="1115"/>
      <c r="BK299" s="1115"/>
      <c r="BL299" s="1115"/>
      <c r="BM299" s="1115"/>
      <c r="BN299" s="7433"/>
      <c r="BO299" s="7433"/>
      <c r="BP299" s="7433"/>
      <c r="BQ299" s="1278"/>
      <c r="BR299" s="1278"/>
      <c r="BS299" s="1062" t="s">
        <v>2580</v>
      </c>
      <c r="BT299" s="1064"/>
      <c r="BU299" s="1064"/>
      <c r="BV299" s="979"/>
      <c r="BW299" s="979"/>
    </row>
    <row s="1834" customFormat="1" customHeight="1" ht="45">
      <c r="A300" s="1278"/>
      <c r="B300" s="978"/>
      <c r="C300" s="107"/>
      <c r="D300" s="107" cm="1" t="str">
        <f t="array" ref="D300:D300">D299</f>
        <v>11</v>
      </c>
      <c r="E300" s="621">
        <v>15</v>
      </c>
      <c r="F300" s="50" cm="1" t="str">
        <f t="array" ref="F300:F300">OFFSET(E300,-1,1)</f>
        <v>1</v>
      </c>
      <c r="G300" s="107" t="s">
        <v>2334</v>
      </c>
      <c r="H300" s="107"/>
      <c r="I300" s="107" t="s">
        <v>2900</v>
      </c>
      <c r="J300" s="107"/>
      <c r="K300" s="158" t="s">
        <v>2900</v>
      </c>
      <c r="L300" s="980" t="s">
        <v>2581</v>
      </c>
      <c r="M300" s="107"/>
      <c r="N300" s="107"/>
      <c r="O300" s="107"/>
      <c r="P300" s="107"/>
      <c r="Q300" s="107"/>
      <c r="R300" s="107"/>
      <c r="S300" s="107"/>
      <c r="T300" s="465" cm="1" t="str">
        <f t="array" ref="T300:T300">T299</f>
        <v>true</v>
      </c>
      <c r="U300" s="107"/>
      <c r="V300" s="107"/>
      <c r="W300" s="107"/>
      <c r="X300" s="1596"/>
      <c r="Y300" s="1278"/>
      <c r="Z300" s="1546"/>
      <c r="AA300" s="1278"/>
      <c r="AB300" s="300" t="str">
        <f>D300&amp;".2"</f>
        <v>11.2</v>
      </c>
      <c r="AC300" s="1111" t="s">
        <v>2583</v>
      </c>
      <c r="AD300" s="300" t="s">
        <v>2337</v>
      </c>
      <c r="AE300" s="3946"/>
      <c r="AF300" s="3946"/>
      <c r="AG300" s="3946"/>
      <c r="AH300" s="1114">
        <f>AG300-AF300</f>
        <v>0</v>
      </c>
      <c r="AI300" s="3946"/>
      <c r="AJ300" s="3946">
        <v>89.21</v>
      </c>
      <c r="AK300" s="3946">
        <v>98.13</v>
      </c>
      <c r="AL300" s="3946">
        <v>107.88</v>
      </c>
      <c r="AM300" s="3946">
        <v>112.5</v>
      </c>
      <c r="AN300" s="3946">
        <v>116.54</v>
      </c>
      <c r="AO300" s="1241"/>
      <c r="AP300" s="1241"/>
      <c r="AQ300" s="1241"/>
      <c r="AR300" s="1241"/>
      <c r="AS300" s="1241"/>
      <c r="AT300" s="3946">
        <v>89.21</v>
      </c>
      <c r="AU300" s="3946" cm="1" t="str">
        <f t="array" ref="AU300:AU300">AT302</f>
        <v>98.1299999506392</v>
      </c>
      <c r="AV300" s="3946" cm="1" t="str">
        <f t="array" ref="AV300:AV300">AU302</f>
        <v>107.880000028801</v>
      </c>
      <c r="AW300" s="3946" cm="1" t="str">
        <f t="array" ref="AW300:AW300">AV302</f>
        <v>112.499999897028</v>
      </c>
      <c r="AX300" s="3946" cm="1" t="str">
        <f t="array" ref="AX300:AX300">AW302</f>
        <v>116.540000169358</v>
      </c>
      <c r="AY300" s="1241" cm="1" t="str">
        <f t="array" ref="AY300:AY300">AX302</f>
        <v>124.942795362053</v>
      </c>
      <c r="AZ300" s="1241" cm="1" t="str">
        <f t="array" ref="AZ300:AZ300">AY302</f>
        <v>0</v>
      </c>
      <c r="BA300" s="1241" cm="1" t="str">
        <f t="array" ref="BA300:BA300">AZ302</f>
        <v>0</v>
      </c>
      <c r="BB300" s="1241" cm="1" t="str">
        <f t="array" ref="BB300:BB300">BA302</f>
        <v>0</v>
      </c>
      <c r="BC300" s="1241" cm="1" t="str">
        <f t="array" ref="BC300:BC300">BB302</f>
        <v>0</v>
      </c>
      <c r="BD300" s="1115"/>
      <c r="BE300" s="1115"/>
      <c r="BF300" s="1115"/>
      <c r="BG300" s="1115"/>
      <c r="BH300" s="1115"/>
      <c r="BI300" s="1115"/>
      <c r="BJ300" s="1115"/>
      <c r="BK300" s="1115"/>
      <c r="BL300" s="1115"/>
      <c r="BM300" s="1115"/>
      <c r="BN300" s="7433"/>
      <c r="BO300" s="7433" t="s">
        <v>2932</v>
      </c>
      <c r="BP300" s="7433"/>
      <c r="BQ300" s="1278"/>
      <c r="BR300" s="1278"/>
      <c r="BS300" s="1062" t="s">
        <v>2584</v>
      </c>
      <c r="BT300" s="1064"/>
      <c r="BU300" s="1064"/>
      <c r="BV300" s="979"/>
      <c r="BW300" s="979"/>
    </row>
    <row s="1834" customFormat="1" customHeight="1" ht="23.25">
      <c r="A301" s="1278"/>
      <c r="B301" s="978"/>
      <c r="C301" s="107"/>
      <c r="D301" s="107" cm="1" t="str">
        <f t="array" ref="D301:D301">D300</f>
        <v>11</v>
      </c>
      <c r="E301" s="621">
        <v>15</v>
      </c>
      <c r="F301" s="50" cm="1" t="str">
        <f t="array" ref="F301:F301">OFFSET(E301,-1,1)</f>
        <v>1</v>
      </c>
      <c r="G301" s="107" t="s">
        <v>2386</v>
      </c>
      <c r="H301" s="107"/>
      <c r="I301" s="107" t="s">
        <v>2901</v>
      </c>
      <c r="J301" s="107"/>
      <c r="K301" s="158" t="s">
        <v>2901</v>
      </c>
      <c r="L301" s="980" t="s">
        <v>2585</v>
      </c>
      <c r="M301" s="107"/>
      <c r="N301" s="107"/>
      <c r="O301" s="107"/>
      <c r="P301" s="107"/>
      <c r="Q301" s="107"/>
      <c r="R301" s="107"/>
      <c r="S301" s="107"/>
      <c r="T301" s="465" cm="1" t="str">
        <f t="array" ref="T301:T301">T300</f>
        <v>true</v>
      </c>
      <c r="U301" s="107"/>
      <c r="V301" s="107"/>
      <c r="W301" s="107"/>
      <c r="X301" s="1596"/>
      <c r="Y301" s="1278"/>
      <c r="Z301" s="1546"/>
      <c r="AA301" s="1278"/>
      <c r="AB301" s="300" t="str">
        <f>D301&amp;".3"</f>
        <v>11.3</v>
      </c>
      <c r="AC301" s="1111" t="s">
        <v>2902</v>
      </c>
      <c r="AD301" s="300" t="s">
        <v>1247</v>
      </c>
      <c r="AE301" s="1113">
        <f>AE298-AE299</f>
        <v>0</v>
      </c>
      <c r="AF301" s="1113">
        <f>AF298-AF299</f>
        <v>0</v>
      </c>
      <c r="AG301" s="1113">
        <f>AG298-AG299</f>
        <v>0</v>
      </c>
      <c r="AH301" s="1113">
        <f>AG301-AF301</f>
        <v>0</v>
      </c>
      <c r="AI301" s="1113">
        <f>AI298-AI299</f>
        <v>0</v>
      </c>
      <c r="AJ301" s="1113">
        <f>AJ298-AJ299</f>
        <v>589.050455</v>
      </c>
      <c r="AK301" s="1113">
        <f>AK298-AK299</f>
        <v>1178.10091</v>
      </c>
      <c r="AL301" s="1113">
        <f>AL298-AL299</f>
        <v>1178.10091</v>
      </c>
      <c r="AM301" s="1113">
        <f>AM298-AM299</f>
        <v>1178.10091</v>
      </c>
      <c r="AN301" s="1113">
        <f>AN298-AN299</f>
        <v>1178.10091</v>
      </c>
      <c r="AO301" s="1113">
        <f>AO298-AO299</f>
        <v>0</v>
      </c>
      <c r="AP301" s="1113">
        <f>AP298-AP299</f>
        <v>0</v>
      </c>
      <c r="AQ301" s="1113">
        <f>AQ298-AQ299</f>
        <v>0</v>
      </c>
      <c r="AR301" s="1113">
        <f>AR298-AR299</f>
        <v>0</v>
      </c>
      <c r="AS301" s="1113">
        <f>AS298-AS299</f>
        <v>0</v>
      </c>
      <c r="AT301" s="1113">
        <f>AT298-AT299</f>
        <v>589.050455</v>
      </c>
      <c r="AU301" s="1113">
        <f>AU298-AU299</f>
        <v>1178.10091</v>
      </c>
      <c r="AV301" s="1113">
        <f>AV298-AV299</f>
        <v>1178.10091</v>
      </c>
      <c r="AW301" s="1113">
        <f>AW298-AW299</f>
        <v>1178.10091</v>
      </c>
      <c r="AX301" s="1113">
        <f>AX298-AX299</f>
        <v>1178.10091</v>
      </c>
      <c r="AY301" s="1113">
        <f>AY298-AY299</f>
        <v>0</v>
      </c>
      <c r="AZ301" s="1113">
        <f>AZ298-AZ299</f>
        <v>0</v>
      </c>
      <c r="BA301" s="1113">
        <f>BA298-BA299</f>
        <v>0</v>
      </c>
      <c r="BB301" s="1113">
        <f>BB298-BB299</f>
        <v>0</v>
      </c>
      <c r="BC301" s="1113">
        <f>BC298-BC299</f>
        <v>0</v>
      </c>
      <c r="BD301" s="1115"/>
      <c r="BE301" s="1115"/>
      <c r="BF301" s="1115"/>
      <c r="BG301" s="1115"/>
      <c r="BH301" s="1115"/>
      <c r="BI301" s="1115"/>
      <c r="BJ301" s="1115"/>
      <c r="BK301" s="1115"/>
      <c r="BL301" s="1115"/>
      <c r="BM301" s="1115"/>
      <c r="BN301" s="7433"/>
      <c r="BO301" s="7433"/>
      <c r="BP301" s="7433"/>
      <c r="BQ301" s="1278"/>
      <c r="BR301" s="1278"/>
      <c r="BS301" s="1062" t="s">
        <v>2588</v>
      </c>
      <c r="BT301" s="1064"/>
      <c r="BU301" s="1064"/>
      <c r="BV301" s="979"/>
      <c r="BW301" s="979"/>
    </row>
    <row s="1834" customFormat="1" customHeight="1" ht="14.25">
      <c r="A302" s="1278"/>
      <c r="B302" s="978"/>
      <c r="C302" s="107"/>
      <c r="D302" s="107" cm="1" t="str">
        <f t="array" ref="D302:D302">D301</f>
        <v>11</v>
      </c>
      <c r="E302" s="621">
        <v>15</v>
      </c>
      <c r="F302" s="50" cm="1" t="str">
        <f t="array" ref="F302:F302">OFFSET(E302,-1,1)</f>
        <v>1</v>
      </c>
      <c r="G302" s="107" t="s">
        <v>2339</v>
      </c>
      <c r="H302" s="107"/>
      <c r="I302" s="107" t="s">
        <v>2903</v>
      </c>
      <c r="J302" s="107"/>
      <c r="K302" s="158" t="s">
        <v>2903</v>
      </c>
      <c r="L302" s="980" t="s">
        <v>2589</v>
      </c>
      <c r="M302" s="107"/>
      <c r="N302" s="107"/>
      <c r="O302" s="107"/>
      <c r="P302" s="107"/>
      <c r="Q302" s="107"/>
      <c r="R302" s="107"/>
      <c r="S302" s="107"/>
      <c r="T302" s="465" cm="1" t="str">
        <f t="array" ref="T302:T302">T301</f>
        <v>true</v>
      </c>
      <c r="U302" s="107"/>
      <c r="V302" s="107"/>
      <c r="W302" s="107"/>
      <c r="X302" s="1596"/>
      <c r="Y302" s="1278"/>
      <c r="Z302" s="1546"/>
      <c r="AA302" s="1278"/>
      <c r="AB302" s="300" t="str">
        <f>D302&amp;".4"</f>
        <v>11.4</v>
      </c>
      <c r="AC302" s="1111" t="s">
        <v>2591</v>
      </c>
      <c r="AD302" s="300" t="s">
        <v>2337</v>
      </c>
      <c r="AE302" s="3946">
        <f>IF(AE301=0,0,(AE295-AE299*AE300)/AE301)</f>
        <v>0</v>
      </c>
      <c r="AF302" s="3946">
        <f>IF(AF301=0,0,(AF295-AF299*AF300)/AF301)</f>
        <v>0</v>
      </c>
      <c r="AG302" s="3946">
        <f>IF(AG301=0,0,(AG295-AG299*AG300)/AG301)</f>
        <v>0</v>
      </c>
      <c r="AH302" s="1114">
        <f>AG302-AF302</f>
        <v>0</v>
      </c>
      <c r="AI302" s="3946">
        <f>IF(AI301=0,0,(AI295-AI299*AI300)/AI301)</f>
        <v>0</v>
      </c>
      <c r="AJ302" s="3946">
        <f>IF(AJ301=0,0,(AJ295-AJ299*AJ300)/AJ301)</f>
        <v>98.1299986265913</v>
      </c>
      <c r="AK302" s="3946">
        <f>IF(AK301=0,0,(AK295-AK299*AK300)/AK301)</f>
        <v>107.880001347994</v>
      </c>
      <c r="AL302" s="3946">
        <f>IF(AL301=0,0,(AL295-AL299*AL300)/AL301)</f>
        <v>112.49999958914</v>
      </c>
      <c r="AM302" s="3946">
        <f>IF(AM301=0,0,(AM295-AM299*AM300)/AM301)</f>
        <v>116.539994640401</v>
      </c>
      <c r="AN302" s="3946">
        <f>IF(AN301=0,0,(AN295-AN299*AN300)/AN301)</f>
        <v>124.41596981144</v>
      </c>
      <c r="AO302" s="1241">
        <f>IF(AO301=0,0,(AO295-AO299*AO300)/AO301)</f>
        <v>0</v>
      </c>
      <c r="AP302" s="1241">
        <f>IF(AP301=0,0,(AP295-AP299*AP300)/AP301)</f>
        <v>0</v>
      </c>
      <c r="AQ302" s="1241">
        <f>IF(AQ301=0,0,(AQ295-AQ299*AQ300)/AQ301)</f>
        <v>0</v>
      </c>
      <c r="AR302" s="1241">
        <f>IF(AR301=0,0,(AR295-AR299*AR300)/AR301)</f>
        <v>0</v>
      </c>
      <c r="AS302" s="1241">
        <f>IF(AS301=0,0,(AS295-AS299*AS300)/AS301)</f>
        <v>0</v>
      </c>
      <c r="AT302" s="3946">
        <f>IF(AT301=0,0,(AT295-AT299*AT300)/AT301)</f>
        <v>98.1299999506392</v>
      </c>
      <c r="AU302" s="3946">
        <f>IF(AU301=0,0,(AU295-AU299*AU300)/AU301)</f>
        <v>107.880000028801</v>
      </c>
      <c r="AV302" s="3946">
        <f>IF(AV301=0,0,(AV295-AV299*AV300)/AV301)</f>
        <v>112.499999897028</v>
      </c>
      <c r="AW302" s="3946">
        <f>IF(AW301=0,0,(AW295-AW299*AW300)/AW301)</f>
        <v>116.540000169358</v>
      </c>
      <c r="AX302" s="3946">
        <f>IF(AX301=0,0,(AX295-AX299*AX300)/AX301)</f>
        <v>124.942795362053</v>
      </c>
      <c r="AY302" s="1241">
        <f>IF(AY301=0,0,(AY295-AY299*AY300)/AY301)</f>
        <v>0</v>
      </c>
      <c r="AZ302" s="1241">
        <f>IF(AZ301=0,0,(AZ295-AZ299*AZ300)/AZ301)</f>
        <v>0</v>
      </c>
      <c r="BA302" s="1241">
        <f>IF(BA301=0,0,(BA295-BA299*BA300)/BA301)</f>
        <v>0</v>
      </c>
      <c r="BB302" s="1241">
        <f>IF(BB301=0,0,(BB295-BB299*BB300)/BB301)</f>
        <v>0</v>
      </c>
      <c r="BC302" s="1241">
        <f>IF(BC301=0,0,(BC295-BC299*BC300)/BC301)</f>
        <v>0</v>
      </c>
      <c r="BD302" s="1115"/>
      <c r="BE302" s="1115"/>
      <c r="BF302" s="1115"/>
      <c r="BG302" s="1115"/>
      <c r="BH302" s="1115"/>
      <c r="BI302" s="1115"/>
      <c r="BJ302" s="1115"/>
      <c r="BK302" s="1115"/>
      <c r="BL302" s="1115"/>
      <c r="BM302" s="1115"/>
      <c r="BN302" s="7433"/>
      <c r="BO302" s="7433"/>
      <c r="BP302" s="7433"/>
      <c r="BQ302" s="1278"/>
      <c r="BR302" s="1278"/>
      <c r="BS302" s="1062" t="s">
        <v>2592</v>
      </c>
      <c r="BT302" s="1064"/>
      <c r="BU302" s="1064"/>
      <c r="BV302" s="979"/>
      <c r="BW302" s="979"/>
    </row>
    <row s="1834" customFormat="1" customHeight="1" ht="14.25">
      <c r="A303" s="1278"/>
      <c r="B303" s="978"/>
      <c r="C303" s="107"/>
      <c r="D303" s="107" cm="1" t="str">
        <f t="array" ref="D303:D303">D302</f>
        <v>11</v>
      </c>
      <c r="E303" s="621">
        <v>15</v>
      </c>
      <c r="F303" s="50" cm="1" t="str">
        <f t="array" ref="F303:F303">OFFSET(E303,-1,1)</f>
        <v>1</v>
      </c>
      <c r="G303" s="107"/>
      <c r="H303" s="107"/>
      <c r="I303" s="107" t="s">
        <v>2904</v>
      </c>
      <c r="J303" s="107"/>
      <c r="K303" s="158" t="s">
        <v>2904</v>
      </c>
      <c r="L303" s="980" t="s">
        <v>2593</v>
      </c>
      <c r="M303" s="107"/>
      <c r="N303" s="107"/>
      <c r="O303" s="107"/>
      <c r="P303" s="107"/>
      <c r="Q303" s="107"/>
      <c r="R303" s="107"/>
      <c r="S303" s="107"/>
      <c r="T303" s="465" cm="1" t="str">
        <f t="array" ref="T303:T303">T302</f>
        <v>true</v>
      </c>
      <c r="U303" s="107"/>
      <c r="V303" s="107"/>
      <c r="W303" s="107"/>
      <c r="X303" s="1596"/>
      <c r="Y303" s="1278"/>
      <c r="Z303" s="1546"/>
      <c r="AA303" s="1278"/>
      <c r="AB303" s="300" t="str">
        <f>D303&amp;".5"</f>
        <v>11.5</v>
      </c>
      <c r="AC303" s="1111" t="s">
        <v>2595</v>
      </c>
      <c r="AD303" s="300" t="s">
        <v>1170</v>
      </c>
      <c r="AE303" s="1114">
        <f>IF(AE300=0,0,AE302/AE300*100)</f>
        <v>0</v>
      </c>
      <c r="AF303" s="1114">
        <f>IF(AF300=0,0,AF302/AF300*100)</f>
        <v>0</v>
      </c>
      <c r="AG303" s="1114">
        <f>IF(AG300=0,0,AG302/AG300*100)</f>
        <v>0</v>
      </c>
      <c r="AH303" s="1115"/>
      <c r="AI303" s="1114">
        <f>IF(AI300=0,0,AI302/AI300*100)</f>
        <v>0</v>
      </c>
      <c r="AJ303" s="1114">
        <f>IF(AJ300=0,0,AJ302/AJ300*100)</f>
        <v>109.998877509911</v>
      </c>
      <c r="AK303" s="1114">
        <f>IF(AK300=0,0,AK302/AK300*100)</f>
        <v>109.935800823391</v>
      </c>
      <c r="AL303" s="1114">
        <f>IF(AL300=0,0,AL302/AL300*100)</f>
        <v>104.28253577043</v>
      </c>
      <c r="AM303" s="1114">
        <f>IF(AM300=0,0,AM302/AM300*100)</f>
        <v>103.591106347023</v>
      </c>
      <c r="AN303" s="1114">
        <f>IF(AN300=0,0,AN302/AN300*100)</f>
        <v>106.758168707259</v>
      </c>
      <c r="AO303" s="1114">
        <f>IF(AO300=0,0,AO302/AO300*100)</f>
        <v>0</v>
      </c>
      <c r="AP303" s="1114">
        <f>IF(AP300=0,0,AP302/AP300*100)</f>
        <v>0</v>
      </c>
      <c r="AQ303" s="1114">
        <f>IF(AQ300=0,0,AQ302/AQ300*100)</f>
        <v>0</v>
      </c>
      <c r="AR303" s="1114">
        <f>IF(AR300=0,0,AR302/AR300*100)</f>
        <v>0</v>
      </c>
      <c r="AS303" s="1114">
        <f>IF(AS300=0,0,AS302/AS300*100)</f>
        <v>0</v>
      </c>
      <c r="AT303" s="1114">
        <f>IF(AT300=0,0,AT302/AT300*100)</f>
        <v>109.998878994103</v>
      </c>
      <c r="AU303" s="1114">
        <f>IF(AU300=0,0,AU302/AU300*100)</f>
        <v>109.935799534359</v>
      </c>
      <c r="AV303" s="1114">
        <f>IF(AV300=0,0,AV302/AV300*100)</f>
        <v>104.282536027988</v>
      </c>
      <c r="AW303" s="1114">
        <f>IF(AW300=0,0,AW302/AW300*100)</f>
        <v>103.591111356469</v>
      </c>
      <c r="AX303" s="1114">
        <f>IF(AX300=0,0,AX302/AX300*100)</f>
        <v>107.210224112308</v>
      </c>
      <c r="AY303" s="1114">
        <f>IF(AY300=0,0,AY302/AY300*100)</f>
        <v>0</v>
      </c>
      <c r="AZ303" s="1114">
        <f>IF(AZ300=0,0,AZ302/AZ300*100)</f>
        <v>0</v>
      </c>
      <c r="BA303" s="1114">
        <f>IF(BA300=0,0,BA302/BA300*100)</f>
        <v>0</v>
      </c>
      <c r="BB303" s="1114">
        <f>IF(BB300=0,0,BB302/BB300*100)</f>
        <v>0</v>
      </c>
      <c r="BC303" s="1114">
        <f>IF(BC300=0,0,BC302/BC300*100)</f>
        <v>0</v>
      </c>
      <c r="BD303" s="1115"/>
      <c r="BE303" s="1115"/>
      <c r="BF303" s="1115"/>
      <c r="BG303" s="1115"/>
      <c r="BH303" s="1115"/>
      <c r="BI303" s="1115"/>
      <c r="BJ303" s="1115"/>
      <c r="BK303" s="1115"/>
      <c r="BL303" s="1115"/>
      <c r="BM303" s="1115"/>
      <c r="BN303" s="7433"/>
      <c r="BO303" s="7433"/>
      <c r="BP303" s="7433"/>
      <c r="BQ303" s="1278"/>
      <c r="BR303" s="1278"/>
      <c r="BS303" s="1062" t="s">
        <v>2596</v>
      </c>
      <c r="BT303" s="1064"/>
      <c r="BU303" s="1064"/>
      <c r="BV303" s="979"/>
      <c r="BW303" s="979"/>
    </row>
    <row s="1834" customFormat="1" customHeight="1" ht="14.25">
      <c r="A304" s="1278"/>
      <c r="B304" s="978"/>
      <c r="C304" s="107"/>
      <c r="D304" s="107" cm="1" t="str">
        <f t="array" ref="D304:D304">D303</f>
        <v>11</v>
      </c>
      <c r="E304" s="621">
        <v>15</v>
      </c>
      <c r="F304" s="50" cm="1" t="str">
        <f t="array" ref="F304:F304">OFFSET(E304,-1,1)</f>
        <v>1</v>
      </c>
      <c r="G304" s="107"/>
      <c r="H304" s="107"/>
      <c r="I304" s="107" t="s">
        <v>2905</v>
      </c>
      <c r="J304" s="107"/>
      <c r="K304" s="158" t="s">
        <v>2905</v>
      </c>
      <c r="L304" s="980" t="s">
        <v>2597</v>
      </c>
      <c r="M304" s="107"/>
      <c r="N304" s="107"/>
      <c r="O304" s="107"/>
      <c r="P304" s="107"/>
      <c r="Q304" s="107"/>
      <c r="R304" s="107"/>
      <c r="S304" s="107"/>
      <c r="T304" s="465" cm="1" t="str">
        <f t="array" ref="T304:T304">T303</f>
        <v>true</v>
      </c>
      <c r="U304" s="107"/>
      <c r="V304" s="107"/>
      <c r="W304" s="107"/>
      <c r="X304" s="1596"/>
      <c r="Y304" s="1278"/>
      <c r="Z304" s="1546"/>
      <c r="AA304" s="1278"/>
      <c r="AB304" s="300" t="str">
        <f>D304&amp;".6"</f>
        <v>11.6</v>
      </c>
      <c r="AC304" s="1111" t="s">
        <v>2599</v>
      </c>
      <c r="AD304" s="300" t="s">
        <v>2337</v>
      </c>
      <c r="AE304" s="3946">
        <f>IF(AE298=0,0,AE295/AE298)</f>
        <v>0</v>
      </c>
      <c r="AF304" s="3946">
        <f>IF(AF298=0,0,AF295/AF298)</f>
        <v>0</v>
      </c>
      <c r="AG304" s="3946">
        <f>IF(AG298=0,0,AG295/AG298)</f>
        <v>0</v>
      </c>
      <c r="AH304" s="1114">
        <f>AG304-AF304</f>
        <v>0</v>
      </c>
      <c r="AI304" s="3946">
        <f>IF(AI298=0,0,AI295/AI298)</f>
        <v>0</v>
      </c>
      <c r="AJ304" s="3946">
        <f>IF(AJ298=0,0,AJ295/AJ298)</f>
        <v>91.4399996566478</v>
      </c>
      <c r="AK304" s="3946">
        <f>IF(AK298=0,0,AK295/AK298)</f>
        <v>103.005000673997</v>
      </c>
      <c r="AL304" s="3946">
        <f>IF(AL298=0,0,AL295/AL298)</f>
        <v>110.18999979457</v>
      </c>
      <c r="AM304" s="3946">
        <f>IF(AM298=0,0,AM295/AM298)</f>
        <v>114.5199973202</v>
      </c>
      <c r="AN304" s="3946">
        <f>IF(AN298=0,0,AN295/AN298)</f>
        <v>120.47798490572</v>
      </c>
      <c r="AO304" s="1241">
        <f>IF(AO298=0,0,AO295/AO298)</f>
        <v>0</v>
      </c>
      <c r="AP304" s="1241">
        <f>IF(AP298=0,0,AP295/AP298)</f>
        <v>0</v>
      </c>
      <c r="AQ304" s="1241">
        <f>IF(AQ298=0,0,AQ295/AQ298)</f>
        <v>0</v>
      </c>
      <c r="AR304" s="1241">
        <f>IF(AR298=0,0,AR295/AR298)</f>
        <v>0</v>
      </c>
      <c r="AS304" s="1241">
        <f>IF(AS298=0,0,AS295/AS298)</f>
        <v>0</v>
      </c>
      <c r="AT304" s="3946">
        <f>IF(AT298=0,0,AT295/AT298)</f>
        <v>91.4399999876598</v>
      </c>
      <c r="AU304" s="3946">
        <f>IF(AU298=0,0,AU295/AU298)</f>
        <v>103.00499998972</v>
      </c>
      <c r="AV304" s="3946">
        <f>IF(AV298=0,0,AV295/AV298)</f>
        <v>110.189999962915</v>
      </c>
      <c r="AW304" s="3946">
        <f>IF(AW298=0,0,AW295/AW298)</f>
        <v>114.520000033193</v>
      </c>
      <c r="AX304" s="3946">
        <f>IF(AX298=0,0,AX295/AX298)</f>
        <v>120.741397765705</v>
      </c>
      <c r="AY304" s="1241">
        <f>IF(AY298=0,0,AY295/AY298)</f>
        <v>0</v>
      </c>
      <c r="AZ304" s="1241">
        <f>IF(AZ298=0,0,AZ295/AZ298)</f>
        <v>0</v>
      </c>
      <c r="BA304" s="1241">
        <f>IF(BA298=0,0,BA295/BA298)</f>
        <v>0</v>
      </c>
      <c r="BB304" s="1241">
        <f>IF(BB298=0,0,BB295/BB298)</f>
        <v>0</v>
      </c>
      <c r="BC304" s="1241">
        <f>IF(BC298=0,0,BC295/BC298)</f>
        <v>0</v>
      </c>
      <c r="BD304" s="1115"/>
      <c r="BE304" s="1115"/>
      <c r="BF304" s="1115"/>
      <c r="BG304" s="1115"/>
      <c r="BH304" s="1115"/>
      <c r="BI304" s="1115"/>
      <c r="BJ304" s="1115"/>
      <c r="BK304" s="1115"/>
      <c r="BL304" s="1115"/>
      <c r="BM304" s="1115"/>
      <c r="BN304" s="7433"/>
      <c r="BO304" s="7433"/>
      <c r="BP304" s="7433"/>
      <c r="BQ304" s="1278"/>
      <c r="BR304" s="1278"/>
      <c r="BS304" s="1062" t="s">
        <v>2600</v>
      </c>
      <c r="BT304" s="1064"/>
      <c r="BU304" s="1064"/>
      <c r="BV304" s="979"/>
      <c r="BW304" s="979"/>
    </row>
    <row s="7498" customFormat="1" customHeight="1" ht="20.25">
      <c r="A305" s="700"/>
      <c r="B305" s="435"/>
      <c r="C305" s="109"/>
      <c r="D305" s="109">
        <f>D304+1</f>
        <v>12</v>
      </c>
      <c r="E305" s="826">
        <v>21</v>
      </c>
      <c r="F305" s="50" cm="1" t="str">
        <f t="array" ref="F305:F305">OFFSET(E305,-1,1)</f>
        <v>1</v>
      </c>
      <c r="G305" s="109"/>
      <c r="H305" s="107"/>
      <c r="I305" s="107" t="s">
        <v>2604</v>
      </c>
      <c r="J305" s="109"/>
      <c r="K305" s="158" t="s">
        <v>2604</v>
      </c>
      <c r="L305" s="985" t="s">
        <v>2601</v>
      </c>
      <c r="M305" s="109"/>
      <c r="N305" s="109"/>
      <c r="O305" s="109"/>
      <c r="P305" s="109"/>
      <c r="Q305" s="109"/>
      <c r="R305" s="109"/>
      <c r="S305" s="109"/>
      <c r="T305" s="465" cm="1" t="str">
        <f t="array" ref="T305:T305">T304</f>
        <v>true</v>
      </c>
      <c r="U305" s="109"/>
      <c r="V305" s="109"/>
      <c r="W305" s="109"/>
      <c r="X305" s="1596"/>
      <c r="Y305" s="700"/>
      <c r="Z305" s="1546"/>
      <c r="AA305" s="700"/>
      <c r="AB305" s="211" cm="1" t="str">
        <f t="array" ref="AB305:AB305">D305</f>
        <v>12</v>
      </c>
      <c r="AC305" s="212" t="s">
        <v>2602</v>
      </c>
      <c r="AD305" s="211" t="s">
        <v>1514</v>
      </c>
      <c r="AE305" s="7499">
        <f>IF(AE298=0,0,AE295/AE298*AE306)</f>
        <v>0</v>
      </c>
      <c r="AF305" s="7499">
        <f>IF(AF298=0,0,AF295/AF298*AF306)</f>
        <v>0</v>
      </c>
      <c r="AG305" s="7499">
        <f>IF(AG298=0,0,AG295/AG298*AG306)</f>
        <v>0</v>
      </c>
      <c r="AH305" s="213">
        <f>AH307*AH308+AH309*AH310</f>
        <v>0</v>
      </c>
      <c r="AI305" s="7499">
        <f>IF(AI298=0,0,AI295/AI298*AI306)</f>
        <v>0</v>
      </c>
      <c r="AJ305" s="7499">
        <f>IF(AJ298=0,0,AJ295/AJ298*AJ306)</f>
        <v>96830.3784924073</v>
      </c>
      <c r="AK305" s="7499">
        <f>IF(AK298=0,0,AK295/AK298*AK306)</f>
        <v>109077.135163229</v>
      </c>
      <c r="AL305" s="7499">
        <f>IF(AL298=0,0,AL295/AL298*AL306)</f>
        <v>116685.68926346</v>
      </c>
      <c r="AM305" s="7499">
        <f>IF(AM298=0,0,AM295/AM298*AM306)</f>
        <v>121270.939710226</v>
      </c>
      <c r="AN305" s="7499">
        <f>IF(AN298=0,0,AN295/AN298*AN306)</f>
        <v>127580.150068114</v>
      </c>
      <c r="AO305" s="1250">
        <f>IF(AO298=0,0,AO295/AO298*AO306)</f>
        <v>0</v>
      </c>
      <c r="AP305" s="1250">
        <f>IF(AP298=0,0,AP295/AP298*AP306)</f>
        <v>0</v>
      </c>
      <c r="AQ305" s="1250">
        <f>IF(AQ298=0,0,AQ295/AQ298*AQ306)</f>
        <v>0</v>
      </c>
      <c r="AR305" s="1250">
        <f>IF(AR298=0,0,AR295/AR298*AR306)</f>
        <v>0</v>
      </c>
      <c r="AS305" s="1250">
        <f>IF(AS298=0,0,AS295/AS298*AS306)</f>
        <v>0</v>
      </c>
      <c r="AT305" s="7499">
        <f>IF(AT298=0,0,AT295/AT298*AT306)</f>
        <v>96830.3788429323</v>
      </c>
      <c r="AU305" s="7499">
        <f>IF(AU298=0,0,AU295/AU298*AU306)</f>
        <v>109077.134438614</v>
      </c>
      <c r="AV305" s="7499">
        <f>IF(AV298=0,0,AV295/AV298*AV306)</f>
        <v>116685.689441729</v>
      </c>
      <c r="AW305" s="7499">
        <f>IF(AW298=0,0,AW295/AW298*AW306)</f>
        <v>121270.94258315</v>
      </c>
      <c r="AX305" s="7499">
        <f>IF(AX298=0,0,AX295/AX298*AX306)</f>
        <v>127859.091089854</v>
      </c>
      <c r="AY305" s="1250">
        <f>IF(AY298=0,0,AY295/AY298*AY306)</f>
        <v>0</v>
      </c>
      <c r="AZ305" s="1250">
        <f>IF(AZ298=0,0,AZ295/AZ298*AZ306)</f>
        <v>0</v>
      </c>
      <c r="BA305" s="1250">
        <f>IF(BA298=0,0,BA295/BA298*BA306)</f>
        <v>0</v>
      </c>
      <c r="BB305" s="1250">
        <f>IF(BB298=0,0,BB295/BB298*BB306)</f>
        <v>0</v>
      </c>
      <c r="BC305" s="1250">
        <f>IF(BC298=0,0,BC295/BC298*BC306)</f>
        <v>0</v>
      </c>
      <c r="BD305" s="778">
        <f>IF(AI305=0,0,(AT305-AI305)/AI305*100)</f>
        <v>0</v>
      </c>
      <c r="BE305" s="778">
        <f>IF(AT305=0,0,(AU305-AT305)/AT305*100)</f>
        <v>12.6476377992356</v>
      </c>
      <c r="BF305" s="778">
        <f>IF(AU305=0,0,(AV305-AU305)/AU305*100)</f>
        <v>6.97538951887017</v>
      </c>
      <c r="BG305" s="778">
        <f>IF(AV305=0,0,(AW305-AV305)/AV305*100)</f>
        <v>3.92957625168834</v>
      </c>
      <c r="BH305" s="778">
        <f>IF(AW305=0,0,(AX305-AW305)/AW305*100)</f>
        <v>5.43258621263442</v>
      </c>
      <c r="BI305" s="778">
        <f>IF(AX305=0,0,(AY305-AX305)/AX305*100)</f>
        <v>-100</v>
      </c>
      <c r="BJ305" s="778">
        <f>IF(AY305=0,0,(AZ305-AY305)/AY305*100)</f>
        <v>0</v>
      </c>
      <c r="BK305" s="778">
        <f>IF(AZ305=0,0,(BA305-AZ305)/AZ305*100)</f>
        <v>0</v>
      </c>
      <c r="BL305" s="778">
        <f>IF(BA305=0,0,(BB305-BA305)/BA305*100)</f>
        <v>0</v>
      </c>
      <c r="BM305" s="778">
        <f>IF(BB305=0,0,(BC305-BB305)/BB305*100)</f>
        <v>0</v>
      </c>
      <c r="BN305" s="7433"/>
      <c r="BO305" s="7433"/>
      <c r="BP305" s="7433"/>
      <c r="BQ305" s="700"/>
      <c r="BR305" s="700"/>
      <c r="BS305" s="1063" t="s">
        <v>2603</v>
      </c>
      <c r="BT305" s="1070"/>
      <c r="BU305" s="1070"/>
      <c r="BV305" s="707"/>
      <c r="BW305" s="707"/>
    </row>
    <row s="7500" customFormat="1" customHeight="1" ht="20.25">
      <c r="A306" s="700"/>
      <c r="B306" s="435"/>
      <c r="C306" s="109"/>
      <c r="D306" s="109">
        <f>D305+1</f>
        <v>13</v>
      </c>
      <c r="E306" s="826">
        <v>21</v>
      </c>
      <c r="F306" s="50" cm="1" t="str">
        <f t="array" ref="F306:F306">OFFSET(E306,-1,1)</f>
        <v>1</v>
      </c>
      <c r="G306" s="107" t="s">
        <v>2359</v>
      </c>
      <c r="H306" s="107"/>
      <c r="I306" s="107" t="s">
        <v>2906</v>
      </c>
      <c r="J306" s="109"/>
      <c r="K306" s="158" t="s">
        <v>2906</v>
      </c>
      <c r="L306" s="985" t="s">
        <v>2604</v>
      </c>
      <c r="M306" s="109"/>
      <c r="N306" s="109"/>
      <c r="O306" s="109"/>
      <c r="P306" s="109"/>
      <c r="Q306" s="109"/>
      <c r="R306" s="109"/>
      <c r="S306" s="109"/>
      <c r="T306" s="465" cm="1" t="str">
        <f t="array" ref="T306:T306">T305</f>
        <v>true</v>
      </c>
      <c r="U306" s="109"/>
      <c r="V306" s="109"/>
      <c r="W306" s="109"/>
      <c r="X306" s="1596"/>
      <c r="Y306" s="700"/>
      <c r="Z306" s="1546"/>
      <c r="AA306" s="700"/>
      <c r="AB306" s="211" cm="1" t="str">
        <f t="array" ref="AB306:AB306">D306</f>
        <v>13</v>
      </c>
      <c r="AC306" s="212" t="s">
        <v>2605</v>
      </c>
      <c r="AD306" s="211" t="s">
        <v>1247</v>
      </c>
      <c r="AE306" s="785">
        <f>_xlfn.SUMIFS(Баланс!AE$26:AE$482,Баланс!$F$26:$F$482,$F306,Баланс!$G$26:$G$482,"население")</f>
        <v>0</v>
      </c>
      <c r="AF306" s="785">
        <f>_xlfn.SUMIFS(Баланс!AF$26:AF$482,Баланс!$F$26:$F$482,$F306,Баланс!$G$26:$G$482,"население")</f>
        <v>0</v>
      </c>
      <c r="AG306" s="785">
        <f>_xlfn.SUMIFS(Баланс!AG$26:AG$482,Баланс!$F$26:$F$482,$F306,Баланс!$G$26:$G$482,"население")</f>
        <v>0</v>
      </c>
      <c r="AH306" s="785">
        <f>AG306-AF306</f>
        <v>0</v>
      </c>
      <c r="AI306" s="785">
        <f>_xlfn.SUMIFS(Баланс!AH$26:AH$482,Баланс!$F$26:$F$482,$F306,Баланс!$G$26:$G$482,"население")</f>
        <v>0</v>
      </c>
      <c r="AJ306" s="785">
        <f>_xlfn.SUMIFS(Баланс!AI$26:AI$482,Баланс!$F$26:$F$482,$F306,Баланс!$G$26:$G$482,"население")</f>
        <v>1058.9499</v>
      </c>
      <c r="AK306" s="785">
        <f>_xlfn.SUMIFS(Баланс!AJ$26:AJ$482,Баланс!$F$26:$F$482,$F306,Баланс!$G$26:$G$482,"население")</f>
        <v>1058.9499</v>
      </c>
      <c r="AL306" s="785">
        <f>_xlfn.SUMIFS(Баланс!AK$26:AK$482,Баланс!$F$26:$F$482,$F306,Баланс!$G$26:$G$482,"население")</f>
        <v>1058.9499</v>
      </c>
      <c r="AM306" s="785">
        <f>_xlfn.SUMIFS(Баланс!AL$26:AL$482,Баланс!$F$26:$F$482,$F306,Баланс!$G$26:$G$482,"население")</f>
        <v>1058.9499</v>
      </c>
      <c r="AN306" s="785">
        <f>_xlfn.SUMIFS(Баланс!AM$26:AM$482,Баланс!$F$26:$F$482,$F306,Баланс!$G$26:$G$482,"население")</f>
        <v>1058.9499</v>
      </c>
      <c r="AO306" s="785">
        <f>_xlfn.SUMIFS(Баланс!AN$26:AN$482,Баланс!$F$26:$F$482,$F306,Баланс!$G$26:$G$482,"население")</f>
        <v>0</v>
      </c>
      <c r="AP306" s="785">
        <f>_xlfn.SUMIFS(Баланс!AO$26:AO$482,Баланс!$F$26:$F$482,$F306,Баланс!$G$26:$G$482,"население")</f>
        <v>0</v>
      </c>
      <c r="AQ306" s="785">
        <f>_xlfn.SUMIFS(Баланс!AP$26:AP$482,Баланс!$F$26:$F$482,$F306,Баланс!$G$26:$G$482,"население")</f>
        <v>0</v>
      </c>
      <c r="AR306" s="785">
        <f>_xlfn.SUMIFS(Баланс!AQ$26:AQ$482,Баланс!$F$26:$F$482,$F306,Баланс!$G$26:$G$482,"население")</f>
        <v>0</v>
      </c>
      <c r="AS306" s="785">
        <f>_xlfn.SUMIFS(Баланс!AR$26:AR$482,Баланс!$F$26:$F$482,$F306,Баланс!$G$26:$G$482,"население")</f>
        <v>0</v>
      </c>
      <c r="AT306" s="785">
        <f>_xlfn.SUMIFS(Баланс!AS$26:AS$482,Баланс!$F$26:$F$482,$F306,Баланс!$G$26:$G$482,"население")</f>
        <v>1058.9499</v>
      </c>
      <c r="AU306" s="785">
        <f>_xlfn.SUMIFS(Баланс!AT$26:AT$482,Баланс!$F$26:$F$482,$F306,Баланс!$G$26:$G$482,"население")</f>
        <v>1058.9499</v>
      </c>
      <c r="AV306" s="785">
        <f>_xlfn.SUMIFS(Баланс!AU$26:AU$482,Баланс!$F$26:$F$482,$F306,Баланс!$G$26:$G$482,"население")</f>
        <v>1058.9499</v>
      </c>
      <c r="AW306" s="785">
        <f>_xlfn.SUMIFS(Баланс!AV$26:AV$482,Баланс!$F$26:$F$482,$F306,Баланс!$G$26:$G$482,"население")</f>
        <v>1058.9499</v>
      </c>
      <c r="AX306" s="785">
        <f>_xlfn.SUMIFS(Баланс!AW$26:AW$482,Баланс!$F$26:$F$482,$F306,Баланс!$G$26:$G$482,"население")</f>
        <v>1058.9499</v>
      </c>
      <c r="AY306" s="785">
        <f>_xlfn.SUMIFS(Баланс!AX$26:AX$482,Баланс!$F$26:$F$482,$F306,Баланс!$G$26:$G$482,"население")</f>
        <v>0</v>
      </c>
      <c r="AZ306" s="785">
        <f>_xlfn.SUMIFS(Баланс!AY$26:AY$482,Баланс!$F$26:$F$482,$F306,Баланс!$G$26:$G$482,"население")</f>
        <v>0</v>
      </c>
      <c r="BA306" s="785">
        <f>_xlfn.SUMIFS(Баланс!AZ$26:AZ$482,Баланс!$F$26:$F$482,$F306,Баланс!$G$26:$G$482,"население")</f>
        <v>0</v>
      </c>
      <c r="BB306" s="785">
        <f>_xlfn.SUMIFS(Баланс!BA$26:BA$482,Баланс!$F$26:$F$482,$F306,Баланс!$G$26:$G$482,"население")</f>
        <v>0</v>
      </c>
      <c r="BC306" s="785">
        <f>_xlfn.SUMIFS(Баланс!BB$26:BB$482,Баланс!$F$26:$F$482,$F306,Баланс!$G$26:$G$482,"население")</f>
        <v>0</v>
      </c>
      <c r="BD306" s="216"/>
      <c r="BE306" s="216"/>
      <c r="BF306" s="216"/>
      <c r="BG306" s="216"/>
      <c r="BH306" s="216"/>
      <c r="BI306" s="216"/>
      <c r="BJ306" s="216"/>
      <c r="BK306" s="216"/>
      <c r="BL306" s="216"/>
      <c r="BM306" s="216"/>
      <c r="BN306" s="7433"/>
      <c r="BO306" s="7433"/>
      <c r="BP306" s="7433"/>
      <c r="BQ306" s="700"/>
      <c r="BR306" s="700"/>
      <c r="BS306" s="1063" t="s">
        <v>2606</v>
      </c>
      <c r="BT306" s="1070"/>
      <c r="BU306" s="1070"/>
      <c r="BV306" s="707"/>
      <c r="BW306" s="707"/>
    </row>
    <row s="1834" customFormat="1" customHeight="1" ht="23.25">
      <c r="A307" s="1278"/>
      <c r="B307" s="978"/>
      <c r="C307" s="107"/>
      <c r="D307" s="107" cm="1" t="str">
        <f t="array" ref="D307:D307">D306</f>
        <v>13</v>
      </c>
      <c r="E307" s="621">
        <v>15</v>
      </c>
      <c r="F307" s="50" cm="1" t="str">
        <f t="array" ref="F307:F307">OFFSET(E307,-1,1)</f>
        <v>1</v>
      </c>
      <c r="G307" s="107" t="s">
        <v>2393</v>
      </c>
      <c r="H307" s="107"/>
      <c r="I307" s="107" t="s">
        <v>2907</v>
      </c>
      <c r="J307" s="107"/>
      <c r="K307" s="158" t="s">
        <v>2907</v>
      </c>
      <c r="L307" s="980" t="s">
        <v>2607</v>
      </c>
      <c r="M307" s="107"/>
      <c r="N307" s="107"/>
      <c r="O307" s="107"/>
      <c r="P307" s="107"/>
      <c r="Q307" s="107"/>
      <c r="R307" s="107"/>
      <c r="S307" s="107"/>
      <c r="T307" s="465" cm="1" t="str">
        <f t="array" ref="T307:T307">T306</f>
        <v>true</v>
      </c>
      <c r="U307" s="107"/>
      <c r="V307" s="107"/>
      <c r="W307" s="107"/>
      <c r="X307" s="1596"/>
      <c r="Y307" s="1278"/>
      <c r="Z307" s="1546"/>
      <c r="AA307" s="1278"/>
      <c r="AB307" s="300" t="str">
        <f>D307&amp;".1"</f>
        <v>13.1</v>
      </c>
      <c r="AC307" s="1111" t="s">
        <v>2609</v>
      </c>
      <c r="AD307" s="300" t="s">
        <v>1247</v>
      </c>
      <c r="AE307" s="7434">
        <f>IF(AE$24="2026 год",AE306/12*9,AE306/2)</f>
        <v>0</v>
      </c>
      <c r="AF307" s="7434">
        <f>IF(AF$24="2026 год",AF306/12*9,AF306/2)</f>
        <v>0</v>
      </c>
      <c r="AG307" s="7434">
        <f>IF(AG$24="2026 год",AG306/12*9,AG306/2)</f>
        <v>0</v>
      </c>
      <c r="AH307" s="1113">
        <f>AG307-AF307</f>
        <v>0</v>
      </c>
      <c r="AI307" s="7434">
        <f>IF(AI$24="2026 год",AI306/12*9,AI306/2)</f>
        <v>0</v>
      </c>
      <c r="AJ307" s="7434">
        <f>IF(AJ$24="2026 год",AJ306/12*9,AJ306/2)</f>
        <v>794.212425</v>
      </c>
      <c r="AK307" s="7434">
        <f>IF(AK$24="2026 год",AK306/12*9,AK306/2)</f>
        <v>529.47495</v>
      </c>
      <c r="AL307" s="7434">
        <f>IF(AL$24="2026 год",AL306/12*9,AL306/2)</f>
        <v>529.47495</v>
      </c>
      <c r="AM307" s="7434">
        <f>IF(AM$24="2026 год",AM306/12*9,AM306/2)</f>
        <v>529.47495</v>
      </c>
      <c r="AN307" s="7434">
        <f>IF(AN$24="2026 год",AN306/12*9,AN306/2)</f>
        <v>529.47495</v>
      </c>
      <c r="AO307" s="1239">
        <f>IF(AO$24="2026 год",AO306/12*9,AO306/2)</f>
        <v>0</v>
      </c>
      <c r="AP307" s="1239">
        <f>IF(AP$24="2026 год",AP306/12*9,AP306/2)</f>
        <v>0</v>
      </c>
      <c r="AQ307" s="1239">
        <f>IF(AQ$24="2026 год",AQ306/12*9,AQ306/2)</f>
        <v>0</v>
      </c>
      <c r="AR307" s="1239">
        <f>IF(AR$24="2026 год",AR306/12*9,AR306/2)</f>
        <v>0</v>
      </c>
      <c r="AS307" s="1239">
        <f>IF(AS$24="2026 год",AS306/12*9,AS306/2)</f>
        <v>0</v>
      </c>
      <c r="AT307" s="7497">
        <f>IF(AT$24="2026 год",AT306/12*9,AT306/2)</f>
        <v>794.212425</v>
      </c>
      <c r="AU307" s="7497">
        <f>IF(AU$24="2026 год",AU306/12*9,AU306/2)</f>
        <v>529.47495</v>
      </c>
      <c r="AV307" s="7434">
        <f>IF(AV$24="2026 год",AV306/12*9,AV306/2)</f>
        <v>529.47495</v>
      </c>
      <c r="AW307" s="7434">
        <f>IF(AW$24="2026 год",AW306/12*9,AW306/2)</f>
        <v>529.47495</v>
      </c>
      <c r="AX307" s="7434">
        <f>IF(AX$24="2026 год",AX306/12*9,AX306/2)</f>
        <v>529.47495</v>
      </c>
      <c r="AY307" s="1239">
        <f>IF(AY$24="2026 год",AY306/12*9,AY306/2)</f>
        <v>0</v>
      </c>
      <c r="AZ307" s="1239">
        <f>IF(AZ$24="2026 год",AZ306/12*9,AZ306/2)</f>
        <v>0</v>
      </c>
      <c r="BA307" s="1239">
        <f>IF(BA$24="2026 год",BA306/12*9,BA306/2)</f>
        <v>0</v>
      </c>
      <c r="BB307" s="1239">
        <f>IF(BB$24="2026 год",BB306/12*9,BB306/2)</f>
        <v>0</v>
      </c>
      <c r="BC307" s="1239">
        <f>IF(BC$24="2026 год",BC306/12*9,BC306/2)</f>
        <v>0</v>
      </c>
      <c r="BD307" s="1115"/>
      <c r="BE307" s="1115"/>
      <c r="BF307" s="1115"/>
      <c r="BG307" s="1115"/>
      <c r="BH307" s="1115"/>
      <c r="BI307" s="1115"/>
      <c r="BJ307" s="1115"/>
      <c r="BK307" s="1115"/>
      <c r="BL307" s="1115"/>
      <c r="BM307" s="1115"/>
      <c r="BN307" s="7433"/>
      <c r="BO307" s="7433"/>
      <c r="BP307" s="7433"/>
      <c r="BQ307" s="1278"/>
      <c r="BR307" s="1278"/>
      <c r="BS307" s="1062" t="s">
        <v>2610</v>
      </c>
      <c r="BT307" s="1064"/>
      <c r="BU307" s="1064"/>
      <c r="BV307" s="979"/>
      <c r="BW307" s="979"/>
    </row>
    <row s="1834" customFormat="1" customHeight="1" ht="23.25">
      <c r="A308" s="1278"/>
      <c r="B308" s="978"/>
      <c r="C308" s="107"/>
      <c r="D308" s="107" cm="1" t="str">
        <f t="array" ref="D308:D308">D307</f>
        <v>13</v>
      </c>
      <c r="E308" s="621">
        <v>15</v>
      </c>
      <c r="F308" s="50" cm="1" t="str">
        <f t="array" ref="F308:F308">OFFSET(E308,-1,1)</f>
        <v>1</v>
      </c>
      <c r="G308" s="107" t="s">
        <v>2349</v>
      </c>
      <c r="H308" s="107"/>
      <c r="I308" s="107" t="s">
        <v>2908</v>
      </c>
      <c r="J308" s="107"/>
      <c r="K308" s="158" t="s">
        <v>2908</v>
      </c>
      <c r="L308" s="980" t="s">
        <v>2611</v>
      </c>
      <c r="M308" s="107"/>
      <c r="N308" s="107"/>
      <c r="O308" s="107"/>
      <c r="P308" s="107"/>
      <c r="Q308" s="107"/>
      <c r="R308" s="107"/>
      <c r="S308" s="107"/>
      <c r="T308" s="465" cm="1" t="str">
        <f t="array" ref="T308:T308">T307</f>
        <v>true</v>
      </c>
      <c r="U308" s="107"/>
      <c r="V308" s="107"/>
      <c r="W308" s="107"/>
      <c r="X308" s="1596"/>
      <c r="Y308" s="1278"/>
      <c r="Z308" s="1546"/>
      <c r="AA308" s="1278"/>
      <c r="AB308" s="300" t="str">
        <f>D308&amp;".2"</f>
        <v>13.2</v>
      </c>
      <c r="AC308" s="1111" t="s">
        <v>2613</v>
      </c>
      <c r="AD308" s="300" t="s">
        <v>2337</v>
      </c>
      <c r="AE308" s="3946">
        <f>IF(AE306=0,0,AE300*(1+Сценарии!AE$26/100))</f>
        <v>0</v>
      </c>
      <c r="AF308" s="7501">
        <f>IF(AF306=0,0,AF300*(1+Сценарии!AF$26/100))</f>
        <v>0</v>
      </c>
      <c r="AG308" s="7501">
        <f>IF(AG306=0,0,AG300*(1+Сценарии!AG$26/100))</f>
        <v>0</v>
      </c>
      <c r="AH308" s="1114">
        <f>AG308-AF308</f>
        <v>0</v>
      </c>
      <c r="AI308" s="3946">
        <f>IF(AI306=0,0,AI300*(1+Сценарии!AI$26/100))</f>
        <v>0</v>
      </c>
      <c r="AJ308" s="7501">
        <f>IF(AJ306=0,0,AJ300*(1+Сценарии!AJ$26/100))</f>
        <v>108.8362</v>
      </c>
      <c r="AK308" s="7501">
        <f>IF(AK306=0,0,AK300*(1+Сценарии!AO$26/100))</f>
        <v>119.7186</v>
      </c>
      <c r="AL308" s="7501">
        <f>IF(AL306=0,0,AL300*(1+Сценарии!AP$26/100))</f>
        <v>131.6136</v>
      </c>
      <c r="AM308" s="7501">
        <f>IF(AM306=0,0,AM300*(1+Сценарии!AQ$26/100))</f>
        <v>137.25</v>
      </c>
      <c r="AN308" s="7501">
        <f>IF(AN306=0,0,AN300*(1+Сценарии!AR$26/100))</f>
        <v>142.1788</v>
      </c>
      <c r="AO308" s="1262">
        <f>IF(AO306=0,0,AO300*(1+Сценарии!AS$26/100))</f>
        <v>0</v>
      </c>
      <c r="AP308" s="1262">
        <f>IF(AP306=0,0,AP300*(1+Сценарии!AT$26/100))</f>
        <v>0</v>
      </c>
      <c r="AQ308" s="1262">
        <f>IF(AQ306=0,0,AQ300*(1+Сценарии!AU$26/100))</f>
        <v>0</v>
      </c>
      <c r="AR308" s="1262">
        <f>IF(AR306=0,0,AR300*(1+Сценарии!AV$26/100))</f>
        <v>0</v>
      </c>
      <c r="AS308" s="1262">
        <f>IF(AS306=0,0,AS300*(1+Сценарии!AW$26/100))</f>
        <v>0</v>
      </c>
      <c r="AT308" s="3946">
        <f>IF(AT306=0,0,AT300*(1+Сценарии!AK$26/100))</f>
        <v>108.8362</v>
      </c>
      <c r="AU308" s="3946">
        <f>IF(AU306=0,0,AU300*(1+Сценарии!AX$26/100))</f>
        <v>119.71859993978</v>
      </c>
      <c r="AV308" s="7501">
        <f>IF(AV306=0,0,AV300*(1+Сценарии!AY$26/100))</f>
        <v>131.613600035137</v>
      </c>
      <c r="AW308" s="7501">
        <f>IF(AW306=0,0,AW300*(1+Сценарии!AZ$26/100))</f>
        <v>137.249999874374</v>
      </c>
      <c r="AX308" s="7501">
        <f>IF(AX306=0,0,AX300*(1+Сценарии!BA$26/100))</f>
        <v>142.178800206617</v>
      </c>
      <c r="AY308" s="1262">
        <f>IF(AY306=0,0,AY300*(1+Сценарии!BB$26/100))</f>
        <v>0</v>
      </c>
      <c r="AZ308" s="1262">
        <f>IF(AZ306=0,0,AZ300*(1+Сценарии!BC$26/100))</f>
        <v>0</v>
      </c>
      <c r="BA308" s="1262">
        <f>IF(BA306=0,0,BA300*(1+Сценарии!BD$26/100))</f>
        <v>0</v>
      </c>
      <c r="BB308" s="1262">
        <f>IF(BB306=0,0,BB300*(1+Сценарии!BE$26/100))</f>
        <v>0</v>
      </c>
      <c r="BC308" s="1262">
        <f>IF(BC306=0,0,BC300*(1+Сценарии!BF$26/100))</f>
        <v>0</v>
      </c>
      <c r="BD308" s="1115"/>
      <c r="BE308" s="1115"/>
      <c r="BF308" s="1115"/>
      <c r="BG308" s="1115"/>
      <c r="BH308" s="1115"/>
      <c r="BI308" s="1115"/>
      <c r="BJ308" s="1115"/>
      <c r="BK308" s="1115"/>
      <c r="BL308" s="1115"/>
      <c r="BM308" s="1115"/>
      <c r="BN308" s="7433"/>
      <c r="BO308" s="7433"/>
      <c r="BP308" s="7433"/>
      <c r="BQ308" s="1278"/>
      <c r="BR308" s="1278"/>
      <c r="BS308" s="1062" t="s">
        <v>2614</v>
      </c>
      <c r="BT308" s="1064"/>
      <c r="BU308" s="1064"/>
      <c r="BV308" s="979"/>
      <c r="BW308" s="979"/>
    </row>
    <row s="1834" customFormat="1" customHeight="1" ht="23.25">
      <c r="A309" s="1278"/>
      <c r="B309" s="978"/>
      <c r="C309" s="107"/>
      <c r="D309" s="107" cm="1" t="str">
        <f t="array" ref="D309:D309">D308</f>
        <v>13</v>
      </c>
      <c r="E309" s="621">
        <v>15</v>
      </c>
      <c r="F309" s="50" cm="1" t="str">
        <f t="array" ref="F309:F309">OFFSET(E309,-1,1)</f>
        <v>1</v>
      </c>
      <c r="G309" s="107" t="s">
        <v>2400</v>
      </c>
      <c r="H309" s="107"/>
      <c r="I309" s="107" t="s">
        <v>2909</v>
      </c>
      <c r="J309" s="107"/>
      <c r="K309" s="107" t="s">
        <v>2909</v>
      </c>
      <c r="L309" s="980" t="s">
        <v>2615</v>
      </c>
      <c r="M309" s="107"/>
      <c r="N309" s="107"/>
      <c r="O309" s="107"/>
      <c r="P309" s="107"/>
      <c r="Q309" s="107"/>
      <c r="R309" s="107"/>
      <c r="S309" s="107"/>
      <c r="T309" s="465" cm="1" t="str">
        <f t="array" ref="T309:T309">T308</f>
        <v>true</v>
      </c>
      <c r="U309" s="107"/>
      <c r="V309" s="107"/>
      <c r="W309" s="107"/>
      <c r="X309" s="1596"/>
      <c r="Y309" s="1278"/>
      <c r="Z309" s="1546"/>
      <c r="AA309" s="1278"/>
      <c r="AB309" s="300" t="str">
        <f>D309&amp;".3"</f>
        <v>13.3</v>
      </c>
      <c r="AC309" s="1111" t="s">
        <v>2587</v>
      </c>
      <c r="AD309" s="300" t="s">
        <v>1247</v>
      </c>
      <c r="AE309" s="1113">
        <f>AE306-AE307</f>
        <v>0</v>
      </c>
      <c r="AF309" s="1113">
        <f>AF306-AF307</f>
        <v>0</v>
      </c>
      <c r="AG309" s="1113">
        <f>AG306-AG307</f>
        <v>0</v>
      </c>
      <c r="AH309" s="1113">
        <f>AG309-AF309</f>
        <v>0</v>
      </c>
      <c r="AI309" s="1113">
        <f>AI306-AI307</f>
        <v>0</v>
      </c>
      <c r="AJ309" s="1113">
        <f>AJ306-AJ307</f>
        <v>264.737475</v>
      </c>
      <c r="AK309" s="1113">
        <f>AK306-AK307</f>
        <v>529.47495</v>
      </c>
      <c r="AL309" s="1113">
        <f>AL306-AL307</f>
        <v>529.47495</v>
      </c>
      <c r="AM309" s="1113">
        <f>AM306-AM307</f>
        <v>529.47495</v>
      </c>
      <c r="AN309" s="1113">
        <f>AN306-AN307</f>
        <v>529.47495</v>
      </c>
      <c r="AO309" s="1113">
        <f>AO306-AO307</f>
        <v>0</v>
      </c>
      <c r="AP309" s="1113">
        <f>AP306-AP307</f>
        <v>0</v>
      </c>
      <c r="AQ309" s="1113">
        <f>AQ306-AQ307</f>
        <v>0</v>
      </c>
      <c r="AR309" s="1113">
        <f>AR306-AR307</f>
        <v>0</v>
      </c>
      <c r="AS309" s="1113">
        <f>AS306-AS307</f>
        <v>0</v>
      </c>
      <c r="AT309" s="1113">
        <f>AT306-AT307</f>
        <v>264.737475</v>
      </c>
      <c r="AU309" s="1113">
        <f>AU306-AU307</f>
        <v>529.47495</v>
      </c>
      <c r="AV309" s="1113">
        <f>AV306-AV307</f>
        <v>529.47495</v>
      </c>
      <c r="AW309" s="1113">
        <f>AW306-AW307</f>
        <v>529.47495</v>
      </c>
      <c r="AX309" s="1113">
        <f>AX306-AX307</f>
        <v>529.47495</v>
      </c>
      <c r="AY309" s="1113">
        <f>AY306-AY307</f>
        <v>0</v>
      </c>
      <c r="AZ309" s="1113">
        <f>AZ306-AZ307</f>
        <v>0</v>
      </c>
      <c r="BA309" s="1113">
        <f>BA306-BA307</f>
        <v>0</v>
      </c>
      <c r="BB309" s="1113">
        <f>BB306-BB307</f>
        <v>0</v>
      </c>
      <c r="BC309" s="1113">
        <f>BC306-BC307</f>
        <v>0</v>
      </c>
      <c r="BD309" s="1115"/>
      <c r="BE309" s="1115"/>
      <c r="BF309" s="1115"/>
      <c r="BG309" s="1115"/>
      <c r="BH309" s="1115"/>
      <c r="BI309" s="1115"/>
      <c r="BJ309" s="1115"/>
      <c r="BK309" s="1115"/>
      <c r="BL309" s="1115"/>
      <c r="BM309" s="1115"/>
      <c r="BN309" s="7433"/>
      <c r="BO309" s="7433"/>
      <c r="BP309" s="7433"/>
      <c r="BQ309" s="1278"/>
      <c r="BR309" s="1278"/>
      <c r="BS309" s="1062" t="s">
        <v>2617</v>
      </c>
      <c r="BT309" s="1064"/>
      <c r="BU309" s="1064"/>
      <c r="BV309" s="979"/>
      <c r="BW309" s="979"/>
    </row>
    <row s="1834" customFormat="1" customHeight="1" ht="14.25">
      <c r="A310" s="1278"/>
      <c r="B310" s="978"/>
      <c r="C310" s="107"/>
      <c r="D310" s="107" cm="1" t="str">
        <f t="array" ref="D310:D310">D309</f>
        <v>13</v>
      </c>
      <c r="E310" s="621">
        <v>15</v>
      </c>
      <c r="F310" s="50" cm="1" t="str">
        <f t="array" ref="F310:F310">OFFSET(E310,-1,1)</f>
        <v>1</v>
      </c>
      <c r="G310" s="107" t="s">
        <v>2353</v>
      </c>
      <c r="H310" s="107"/>
      <c r="I310" s="107" t="s">
        <v>2910</v>
      </c>
      <c r="J310" s="107"/>
      <c r="K310" s="107" t="s">
        <v>2910</v>
      </c>
      <c r="L310" s="980" t="s">
        <v>2618</v>
      </c>
      <c r="M310" s="107"/>
      <c r="N310" s="107"/>
      <c r="O310" s="107"/>
      <c r="P310" s="107"/>
      <c r="Q310" s="107"/>
      <c r="R310" s="107"/>
      <c r="S310" s="107"/>
      <c r="T310" s="465" cm="1" t="str">
        <f t="array" ref="T310:T310">T309</f>
        <v>true</v>
      </c>
      <c r="U310" s="107"/>
      <c r="V310" s="107"/>
      <c r="W310" s="107"/>
      <c r="X310" s="1596"/>
      <c r="Y310" s="1278"/>
      <c r="Z310" s="1546"/>
      <c r="AA310" s="1278"/>
      <c r="AB310" s="300" t="str">
        <f>D310&amp;".4"</f>
        <v>13.4</v>
      </c>
      <c r="AC310" s="1111" t="s">
        <v>2591</v>
      </c>
      <c r="AD310" s="300" t="s">
        <v>2337</v>
      </c>
      <c r="AE310" s="3946">
        <f>IF(AE306=0,0,AE302*(1+Сценарии!AE$26/100))</f>
        <v>0</v>
      </c>
      <c r="AF310" s="7501">
        <f>IF(AF306=0,0,AF302*(1+Сценарии!AF$26/100))</f>
        <v>0</v>
      </c>
      <c r="AG310" s="7501">
        <f>IF(AG306=0,0,AG302*(1+Сценарии!AG$26/100))</f>
        <v>0</v>
      </c>
      <c r="AH310" s="1114">
        <f>AG310-AF310</f>
        <v>0</v>
      </c>
      <c r="AI310" s="3946">
        <f>IF(AI306=0,0,AI302*(1+Сценарии!AI$26/100))</f>
        <v>0</v>
      </c>
      <c r="AJ310" s="7501">
        <f>IF(AJ306=0,0,AJ302*(1+Сценарии!AJ$26/100))</f>
        <v>119.718598324441</v>
      </c>
      <c r="AK310" s="3946">
        <f>IF(AK306=0,0,AK302*(1+Сценарии!AO$26/100))</f>
        <v>131.613601644553</v>
      </c>
      <c r="AL310" s="7501">
        <f>IF(AL306=0,0,AL302*(1+Сценарии!AP$26/100))</f>
        <v>137.249999498751</v>
      </c>
      <c r="AM310" s="7501">
        <f>IF(AM306=0,0,AM302*(1+Сценарии!AQ$26/100))</f>
        <v>142.178793461289</v>
      </c>
      <c r="AN310" s="7501">
        <f>IF(AN306=0,0,AN302*(1+Сценарии!AR$26/100))</f>
        <v>151.787483169957</v>
      </c>
      <c r="AO310" s="1262">
        <f>IF(AO306=0,0,AO302*(1+Сценарии!AS$26/100))</f>
        <v>0</v>
      </c>
      <c r="AP310" s="1262">
        <f>IF(AP306=0,0,AP302*(1+Сценарии!AT$26/100))</f>
        <v>0</v>
      </c>
      <c r="AQ310" s="1262">
        <f>IF(AQ306=0,0,AQ302*(1+Сценарии!AU$26/100))</f>
        <v>0</v>
      </c>
      <c r="AR310" s="1262">
        <f>IF(AR306=0,0,AR302*(1+Сценарии!AV$26/100))</f>
        <v>0</v>
      </c>
      <c r="AS310" s="1262">
        <f>IF(AS306=0,0,AS302*(1+Сценарии!AW$26/100))</f>
        <v>0</v>
      </c>
      <c r="AT310" s="3946">
        <f>IF(AT306=0,0,AT302*(1+Сценарии!AK$26/100))</f>
        <v>119.71859993978</v>
      </c>
      <c r="AU310" s="3946">
        <f>IF(AU306=0,0,AU302*(1+Сценарии!AX$26/100))</f>
        <v>131.613600035137</v>
      </c>
      <c r="AV310" s="7501">
        <f>IF(AV306=0,0,AV302*(1+Сценарии!AY$26/100))</f>
        <v>137.249999874374</v>
      </c>
      <c r="AW310" s="7501">
        <f>IF(AW306=0,0,AW302*(1+Сценарии!AZ$26/100))</f>
        <v>142.178800206617</v>
      </c>
      <c r="AX310" s="7501">
        <f>IF(AX306=0,0,AX302*(1+Сценарии!BA$26/100))</f>
        <v>152.430210341705</v>
      </c>
      <c r="AY310" s="1262">
        <f>IF(AY306=0,0,AY302*(1+Сценарии!BB$26/100))</f>
        <v>0</v>
      </c>
      <c r="AZ310" s="1262">
        <f>IF(AZ306=0,0,AZ302*(1+Сценарии!BC$26/100))</f>
        <v>0</v>
      </c>
      <c r="BA310" s="1262">
        <f>IF(BA306=0,0,BA302*(1+Сценарии!BD$26/100))</f>
        <v>0</v>
      </c>
      <c r="BB310" s="1262">
        <f>IF(BB306=0,0,BB302*(1+Сценарии!BE$26/100))</f>
        <v>0</v>
      </c>
      <c r="BC310" s="1262">
        <f>IF(BC306=0,0,BC302*(1+Сценарии!BF$26/100))</f>
        <v>0</v>
      </c>
      <c r="BD310" s="1115"/>
      <c r="BE310" s="1115"/>
      <c r="BF310" s="1115"/>
      <c r="BG310" s="1115"/>
      <c r="BH310" s="1115"/>
      <c r="BI310" s="1115"/>
      <c r="BJ310" s="1115"/>
      <c r="BK310" s="1115"/>
      <c r="BL310" s="1115"/>
      <c r="BM310" s="1115"/>
      <c r="BN310" s="7433"/>
      <c r="BO310" s="7433"/>
      <c r="BP310" s="7433"/>
      <c r="BQ310" s="1278"/>
      <c r="BR310" s="1278"/>
      <c r="BS310" s="1062" t="s">
        <v>2621</v>
      </c>
      <c r="BT310" s="1064"/>
      <c r="BU310" s="1064"/>
      <c r="BV310" s="979"/>
      <c r="BW310" s="979"/>
    </row>
    <row s="1834" customFormat="1" customHeight="1" ht="14.25">
      <c r="A311" s="1278"/>
      <c r="B311" s="978"/>
      <c r="C311" s="107"/>
      <c r="D311" s="107">
        <f>D310+1</f>
        <v>14</v>
      </c>
      <c r="E311" s="621">
        <v>15</v>
      </c>
      <c r="F311" s="50" cm="1" t="str">
        <f t="array" ref="F311:F311">OFFSET(E311,-1,1)</f>
        <v>1</v>
      </c>
      <c r="G311" s="107"/>
      <c r="H311" s="107"/>
      <c r="I311" s="107"/>
      <c r="J311" s="107"/>
      <c r="K311" s="107"/>
      <c r="L311" s="980"/>
      <c r="M311" s="107"/>
      <c r="N311" s="107"/>
      <c r="O311" s="107"/>
      <c r="P311" s="107"/>
      <c r="Q311" s="107"/>
      <c r="R311" s="107"/>
      <c r="S311" s="107"/>
      <c r="T311" s="465" cm="1" t="str">
        <f t="array" ref="T311:T311">T310</f>
        <v>true</v>
      </c>
      <c r="U311" s="107"/>
      <c r="V311" s="107"/>
      <c r="W311" s="107"/>
      <c r="X311" s="1596"/>
      <c r="Y311" s="1278"/>
      <c r="Z311" s="1546"/>
      <c r="AA311" s="1278"/>
      <c r="AB311" s="211" cm="1" t="str">
        <f t="array" ref="AB311:AB311">D311</f>
        <v>14</v>
      </c>
      <c r="AC311" s="212" t="s">
        <v>2622</v>
      </c>
      <c r="AD311" s="211" t="s">
        <v>1514</v>
      </c>
      <c r="AE311" s="3946"/>
      <c r="AF311" s="3946"/>
      <c r="AG311" s="3946"/>
      <c r="AH311" s="1114">
        <f>AG311-AF311</f>
        <v>0</v>
      </c>
      <c r="AI311" s="3946"/>
      <c r="AJ311" s="3946"/>
      <c r="AK311" s="3946"/>
      <c r="AL311" s="3946"/>
      <c r="AM311" s="3946"/>
      <c r="AN311" s="3946"/>
      <c r="AO311" s="1241"/>
      <c r="AP311" s="1241"/>
      <c r="AQ311" s="1241"/>
      <c r="AR311" s="1241"/>
      <c r="AS311" s="1241"/>
      <c r="AT311" s="3946"/>
      <c r="AU311" s="3946"/>
      <c r="AV311" s="3946"/>
      <c r="AW311" s="3946"/>
      <c r="AX311" s="3946"/>
      <c r="AY311" s="1241"/>
      <c r="AZ311" s="1241"/>
      <c r="BA311" s="1241"/>
      <c r="BB311" s="1241"/>
      <c r="BC311" s="1241"/>
      <c r="BD311" s="1115"/>
      <c r="BE311" s="1115"/>
      <c r="BF311" s="1115"/>
      <c r="BG311" s="1115"/>
      <c r="BH311" s="1115"/>
      <c r="BI311" s="1115"/>
      <c r="BJ311" s="1115"/>
      <c r="BK311" s="1115"/>
      <c r="BL311" s="1115"/>
      <c r="BM311" s="1115"/>
      <c r="BN311" s="7433"/>
      <c r="BO311" s="7433"/>
      <c r="BP311" s="7433"/>
      <c r="BQ311" s="1278"/>
      <c r="BR311" s="1278"/>
      <c r="BS311" s="1062" t="s">
        <v>2623</v>
      </c>
      <c r="BT311" s="1064"/>
      <c r="BU311" s="1064"/>
      <c r="BV311" s="979"/>
      <c r="BW311" s="979"/>
    </row>
    <row s="1233" customFormat="1" customHeight="1" ht="20.25">
      <c r="A312" s="1233"/>
      <c r="B312" s="753"/>
      <c r="C312" s="107"/>
      <c r="D312" s="107" cm="1" t="str">
        <f t="array" ref="D312:D312">D311</f>
        <v>14</v>
      </c>
      <c r="E312" s="621">
        <v>21</v>
      </c>
      <c r="F312" s="50" cm="1" t="str">
        <f t="array" ref="F312:F312">OFFSET(E312,-1,1)</f>
        <v>1</v>
      </c>
      <c r="G312" s="107"/>
      <c r="H312" s="107"/>
      <c r="I312" s="107"/>
      <c r="J312" s="107"/>
      <c r="K312" s="107"/>
      <c r="L312" s="980"/>
      <c r="M312" s="107"/>
      <c r="N312" s="107"/>
      <c r="O312" s="107"/>
      <c r="P312" s="107"/>
      <c r="Q312" s="107"/>
      <c r="R312" s="107"/>
      <c r="S312" s="107"/>
      <c r="T312" s="465" cm="1" t="str">
        <f t="array" ref="T312:T312">T311</f>
        <v>true</v>
      </c>
      <c r="U312" s="107"/>
      <c r="V312" s="107"/>
      <c r="W312" s="107"/>
      <c r="X312" s="1596"/>
      <c r="Y312" s="1233"/>
      <c r="Z312" s="1546"/>
      <c r="AA312" s="1233"/>
      <c r="AB312" s="300" t="str">
        <f>D312&amp;".1"</f>
        <v>14.1</v>
      </c>
      <c r="AC312" s="762" t="s">
        <v>2625</v>
      </c>
      <c r="AD312" s="300" t="s">
        <v>1514</v>
      </c>
      <c r="AE312" s="3946"/>
      <c r="AF312" s="3946"/>
      <c r="AG312" s="3946"/>
      <c r="AH312" s="1114">
        <f>AG312-AF312</f>
        <v>0</v>
      </c>
      <c r="AI312" s="3946"/>
      <c r="AJ312" s="3946"/>
      <c r="AK312" s="3946"/>
      <c r="AL312" s="3946"/>
      <c r="AM312" s="3946"/>
      <c r="AN312" s="3946"/>
      <c r="AO312" s="1241"/>
      <c r="AP312" s="1241"/>
      <c r="AQ312" s="1241"/>
      <c r="AR312" s="1241"/>
      <c r="AS312" s="1241"/>
      <c r="AT312" s="3946"/>
      <c r="AU312" s="3946"/>
      <c r="AV312" s="3946"/>
      <c r="AW312" s="3946"/>
      <c r="AX312" s="3946"/>
      <c r="AY312" s="1241"/>
      <c r="AZ312" s="1241"/>
      <c r="BA312" s="1241"/>
      <c r="BB312" s="1241"/>
      <c r="BC312" s="1241"/>
      <c r="BD312" s="1115"/>
      <c r="BE312" s="1115"/>
      <c r="BF312" s="1115"/>
      <c r="BG312" s="1115"/>
      <c r="BH312" s="1115"/>
      <c r="BI312" s="1115"/>
      <c r="BJ312" s="1115"/>
      <c r="BK312" s="1115"/>
      <c r="BL312" s="1115"/>
      <c r="BM312" s="1115"/>
      <c r="BN312" s="7433"/>
      <c r="BO312" s="7433"/>
      <c r="BP312" s="7433"/>
      <c r="BQ312" s="1233"/>
      <c r="BR312" s="1233"/>
      <c r="BS312" s="1062" t="s">
        <v>2626</v>
      </c>
      <c r="BT312" s="1071"/>
      <c r="BU312" s="1071"/>
      <c r="BV312" s="1072"/>
      <c r="BW312" s="1072"/>
    </row>
    <row s="1233" customFormat="1" customHeight="1" ht="64.5">
      <c r="A313" s="1233"/>
      <c r="B313" s="753"/>
      <c r="C313" s="107"/>
      <c r="D313" s="107" cm="1" t="str">
        <f t="array" ref="D313:D313">D312</f>
        <v>14</v>
      </c>
      <c r="E313" s="621">
        <v>66.6</v>
      </c>
      <c r="F313" s="50" cm="1" t="str">
        <f t="array" ref="F313:F313">OFFSET(E313,-1,1)</f>
        <v>1</v>
      </c>
      <c r="G313" s="107"/>
      <c r="H313" s="107"/>
      <c r="I313" s="107"/>
      <c r="J313" s="107"/>
      <c r="K313" s="107"/>
      <c r="L313" s="980"/>
      <c r="M313" s="107"/>
      <c r="N313" s="107"/>
      <c r="O313" s="107"/>
      <c r="P313" s="107"/>
      <c r="Q313" s="107"/>
      <c r="R313" s="107"/>
      <c r="S313" s="107"/>
      <c r="T313" s="465" cm="1" t="str">
        <f t="array" ref="T313:T313">T312</f>
        <v>true</v>
      </c>
      <c r="U313" s="107"/>
      <c r="V313" s="107"/>
      <c r="W313" s="107"/>
      <c r="X313" s="1596"/>
      <c r="Y313" s="1233"/>
      <c r="Z313" s="1546"/>
      <c r="AA313" s="1233"/>
      <c r="AB313" s="300" t="str">
        <f>D313&amp;".2"</f>
        <v>14.2</v>
      </c>
      <c r="AC313" s="762" t="s">
        <v>2628</v>
      </c>
      <c r="AD313" s="300" t="s">
        <v>1514</v>
      </c>
      <c r="AE313" s="3946"/>
      <c r="AF313" s="3946"/>
      <c r="AG313" s="3946"/>
      <c r="AH313" s="1114">
        <f>AG313-AF313</f>
        <v>0</v>
      </c>
      <c r="AI313" s="3946"/>
      <c r="AJ313" s="3946"/>
      <c r="AK313" s="3946"/>
      <c r="AL313" s="3946"/>
      <c r="AM313" s="3946"/>
      <c r="AN313" s="3946"/>
      <c r="AO313" s="1241"/>
      <c r="AP313" s="1241"/>
      <c r="AQ313" s="1241"/>
      <c r="AR313" s="1241"/>
      <c r="AS313" s="1241"/>
      <c r="AT313" s="3946"/>
      <c r="AU313" s="3946"/>
      <c r="AV313" s="3946"/>
      <c r="AW313" s="3946"/>
      <c r="AX313" s="3946"/>
      <c r="AY313" s="1241"/>
      <c r="AZ313" s="1241"/>
      <c r="BA313" s="1241"/>
      <c r="BB313" s="1241"/>
      <c r="BC313" s="1241"/>
      <c r="BD313" s="1115"/>
      <c r="BE313" s="1115"/>
      <c r="BF313" s="1115"/>
      <c r="BG313" s="1115"/>
      <c r="BH313" s="1115"/>
      <c r="BI313" s="1115"/>
      <c r="BJ313" s="1115"/>
      <c r="BK313" s="1115"/>
      <c r="BL313" s="1115"/>
      <c r="BM313" s="1115"/>
      <c r="BN313" s="7433"/>
      <c r="BO313" s="7433"/>
      <c r="BP313" s="7433"/>
      <c r="BQ313" s="1233"/>
      <c r="BR313" s="1233"/>
      <c r="BS313" s="1062" t="s">
        <v>2629</v>
      </c>
      <c r="BT313" s="1071"/>
      <c r="BU313" s="1071"/>
      <c r="BV313" s="1072"/>
      <c r="BW313" s="1072"/>
    </row>
    <row s="1233" customFormat="1" customHeight="1" ht="44.25">
      <c r="A314" s="1233"/>
      <c r="B314" s="753"/>
      <c r="C314" s="107"/>
      <c r="D314" s="107" cm="1" t="str">
        <f t="array" ref="D314:D314">D313</f>
        <v>14</v>
      </c>
      <c r="E314" s="621">
        <v>45.6</v>
      </c>
      <c r="F314" s="50" cm="1" t="str">
        <f t="array" ref="F314:F314">OFFSET(E314,-1,1)</f>
        <v>1</v>
      </c>
      <c r="G314" s="107"/>
      <c r="H314" s="107"/>
      <c r="I314" s="107"/>
      <c r="J314" s="107"/>
      <c r="K314" s="107"/>
      <c r="L314" s="980"/>
      <c r="M314" s="107"/>
      <c r="N314" s="107"/>
      <c r="O314" s="107"/>
      <c r="P314" s="107"/>
      <c r="Q314" s="107"/>
      <c r="R314" s="107"/>
      <c r="S314" s="107"/>
      <c r="T314" s="465" cm="1" t="str">
        <f t="array" ref="T314:T314">T313</f>
        <v>true</v>
      </c>
      <c r="U314" s="107"/>
      <c r="V314" s="107"/>
      <c r="W314" s="107"/>
      <c r="X314" s="1596"/>
      <c r="Y314" s="1233"/>
      <c r="Z314" s="1546"/>
      <c r="AA314" s="1233"/>
      <c r="AB314" s="300" t="str">
        <f>D314&amp;".3"</f>
        <v>14.3</v>
      </c>
      <c r="AC314" s="762" t="s">
        <v>2911</v>
      </c>
      <c r="AD314" s="300" t="s">
        <v>1514</v>
      </c>
      <c r="AE314" s="1115"/>
      <c r="AF314" s="3946"/>
      <c r="AG314" s="3946"/>
      <c r="AH314" s="1114">
        <f>AG314-AF314</f>
        <v>0</v>
      </c>
      <c r="AI314" s="1115"/>
      <c r="AJ314" s="1115"/>
      <c r="AK314" s="1115"/>
      <c r="AL314" s="1115"/>
      <c r="AM314" s="1115"/>
      <c r="AN314" s="1115"/>
      <c r="AO314" s="1115"/>
      <c r="AP314" s="1115"/>
      <c r="AQ314" s="1115"/>
      <c r="AR314" s="1115"/>
      <c r="AS314" s="1115"/>
      <c r="AT314" s="1115"/>
      <c r="AU314" s="1115"/>
      <c r="AV314" s="1115"/>
      <c r="AW314" s="1115"/>
      <c r="AX314" s="1115"/>
      <c r="AY314" s="1115"/>
      <c r="AZ314" s="1115"/>
      <c r="BA314" s="1115"/>
      <c r="BB314" s="1115"/>
      <c r="BC314" s="1115"/>
      <c r="BD314" s="1115"/>
      <c r="BE314" s="1115"/>
      <c r="BF314" s="1115"/>
      <c r="BG314" s="1115"/>
      <c r="BH314" s="1115"/>
      <c r="BI314" s="1115"/>
      <c r="BJ314" s="1115"/>
      <c r="BK314" s="1115"/>
      <c r="BL314" s="1115"/>
      <c r="BM314" s="1115"/>
      <c r="BN314" s="7433"/>
      <c r="BO314" s="7433"/>
      <c r="BP314" s="7433"/>
      <c r="BQ314" s="1233"/>
      <c r="BR314" s="1233"/>
      <c r="BS314" s="1071" t="s">
        <v>2912</v>
      </c>
      <c r="BT314" s="1071"/>
      <c r="BU314" s="1071"/>
      <c r="BV314" s="1072"/>
      <c r="BW314" s="1072"/>
    </row>
    <row s="538" customFormat="1" customHeight="1" ht="14.25">
      <c r="A315" s="1758"/>
      <c r="B315" s="428"/>
      <c r="C315" s="426"/>
      <c r="D315" s="426"/>
      <c r="E315" s="619">
        <v>15</v>
      </c>
      <c r="F315" s="493" cm="1" t="str">
        <f t="array" ref="F315:F315">X315</f>
        <v>2</v>
      </c>
      <c r="G315" s="493" cm="1" t="str">
        <f t="array" ref="G315:G315">INDEX('Общие сведения'!$AK$179:$AK$250,MATCH($X315,'Общие сведения'!$Z$179:$Z$250,0))</f>
        <v>одноставочный</v>
      </c>
      <c r="H315" s="426"/>
      <c r="I315" s="493"/>
      <c r="J315" s="426"/>
      <c r="K315" s="426"/>
      <c r="L315" s="982"/>
      <c r="M315" s="426"/>
      <c r="N315" s="426"/>
      <c r="O315" s="426"/>
      <c r="P315" s="426"/>
      <c r="Q315" s="426"/>
      <c r="R315" s="426"/>
      <c r="S315" s="426" cm="1" t="str">
        <f t="array" ref="S315:S315">INDEX('Общие сведения'!$AE$179:$AE$250,MATCH($X315,'Общие сведения'!$Z$179:$Z$250,0))</f>
        <v>Водоснабжение</v>
      </c>
      <c r="T315" s="465">
        <f>X315&gt;0</f>
        <v>1</v>
      </c>
      <c r="U315" s="426"/>
      <c r="V315" s="426" cm="1" t="str">
        <f t="array" ref="V315:V315">'Калькуляция (МЭОР)'!$AB$197</f>
        <v>Тариф 2 (Водоснабжение) - тариф на питьевую воду (Доп. признак не требуется)</v>
      </c>
      <c r="W315" s="426"/>
      <c r="X315" s="1596" t="s">
        <v>285</v>
      </c>
      <c r="Y315" s="1758"/>
      <c r="Z315" s="1546"/>
      <c r="AA315" s="1758"/>
      <c r="AB315" s="381" cm="1" t="str">
        <f t="array" ref="AB315:AB315">'Калькуляция (МЭОР)'!$AB$197</f>
        <v>Тариф 2 (Водоснабжение) - тариф на питьевую воду (Доп. признак не требуется)</v>
      </c>
      <c r="AC315" s="252"/>
      <c r="AD315" s="252"/>
      <c r="AE315" s="252"/>
      <c r="AF315" s="252"/>
      <c r="AG315" s="252"/>
      <c r="AH315" s="252"/>
      <c r="AI315" s="252"/>
      <c r="AJ315" s="252"/>
      <c r="AK315" s="252"/>
      <c r="AL315" s="252"/>
      <c r="AM315" s="252"/>
      <c r="AN315" s="252"/>
      <c r="AO315" s="252"/>
      <c r="AP315" s="252"/>
      <c r="AQ315" s="252"/>
      <c r="AR315" s="252"/>
      <c r="AS315" s="252"/>
      <c r="AT315" s="252"/>
      <c r="AU315" s="252"/>
      <c r="AV315" s="252"/>
      <c r="AW315" s="252"/>
      <c r="AX315" s="252"/>
      <c r="AY315" s="252"/>
      <c r="AZ315" s="252"/>
      <c r="BA315" s="252"/>
      <c r="BB315" s="252"/>
      <c r="BC315" s="252"/>
      <c r="BD315" s="252"/>
      <c r="BE315" s="252"/>
      <c r="BF315" s="252"/>
      <c r="BG315" s="252"/>
      <c r="BH315" s="252"/>
      <c r="BI315" s="252"/>
      <c r="BJ315" s="252"/>
      <c r="BK315" s="252"/>
      <c r="BL315" s="252"/>
      <c r="BM315" s="252"/>
      <c r="BN315" s="252"/>
      <c r="BO315" s="252"/>
      <c r="BP315" s="252"/>
      <c r="BQ315" s="1758"/>
      <c r="BR315" s="1758"/>
      <c r="BS315" s="997"/>
      <c r="BT315" s="997"/>
      <c r="BU315" s="997"/>
      <c r="BV315" s="618"/>
      <c r="BW315" s="618"/>
    </row>
    <row s="7502" customFormat="1" customHeight="1" ht="96.75">
      <c r="A316" s="161"/>
      <c r="B316" s="434"/>
      <c r="C316" s="855"/>
      <c r="D316" s="855"/>
      <c r="E316" s="856">
        <v>21</v>
      </c>
      <c r="F316" s="50" cm="1" t="str">
        <f t="array" ref="F316:F316">OFFSET(E316,-1,1)</f>
        <v>2</v>
      </c>
      <c r="G316" s="855"/>
      <c r="H316" s="112"/>
      <c r="I316" s="112" t="s">
        <v>332</v>
      </c>
      <c r="J316" s="855"/>
      <c r="K316" s="377" t="s">
        <v>332</v>
      </c>
      <c r="L316" s="983"/>
      <c r="M316" s="855"/>
      <c r="N316" s="855"/>
      <c r="O316" s="855"/>
      <c r="P316" s="855"/>
      <c r="Q316" s="855"/>
      <c r="R316" s="855"/>
      <c r="S316" s="855"/>
      <c r="T316" s="465" cm="1" t="str">
        <f t="array" ref="T316:T316">T315</f>
        <v>true</v>
      </c>
      <c r="U316" s="855"/>
      <c r="V316" s="855"/>
      <c r="W316" s="855"/>
      <c r="X316" s="1596"/>
      <c r="Y316" s="161"/>
      <c r="Z316" s="1546"/>
      <c r="AA316" s="161"/>
      <c r="AB316" s="234" t="s">
        <v>276</v>
      </c>
      <c r="AC316" s="212" t="s">
        <v>2636</v>
      </c>
      <c r="AD316" s="234" t="s">
        <v>1514</v>
      </c>
      <c r="AE316" s="778">
        <f>SUM(AE318,AE335,AE341,AE361,AE362,AE363)</f>
        <v>0</v>
      </c>
      <c r="AF316" s="778">
        <f>SUM(AF318,AF335,AF341,AF361,AF362,AF363)</f>
        <v>0</v>
      </c>
      <c r="AG316" s="778">
        <f>SUM(AG318,AG335,AG341,AG361,AG362,AG363)</f>
        <v>0</v>
      </c>
      <c r="AH316" s="778">
        <f>AG316-AF316</f>
        <v>0</v>
      </c>
      <c r="AI316" s="778">
        <f>SUM(AI318,AI335,AI341,AI361,AI362,AI363)</f>
        <v>0</v>
      </c>
      <c r="AJ316" s="778">
        <f>SUM(AJ318,AJ335,AJ341,AJ361,AJ362,AJ363)</f>
        <v>43221.4896612396</v>
      </c>
      <c r="AK316" s="7432">
        <f>AJ316*AK317</f>
        <v>44500.8457552123</v>
      </c>
      <c r="AL316" s="7432">
        <f>AK316*AL317</f>
        <v>45818.0707895666</v>
      </c>
      <c r="AM316" s="7432">
        <f>AL316*AM317</f>
        <v>47174.2856849378</v>
      </c>
      <c r="AN316" s="7432">
        <f>AM316*AN317</f>
        <v>48570.644541212</v>
      </c>
      <c r="AO316" s="1237">
        <f>AN316*AO317</f>
        <v>48570.644541212</v>
      </c>
      <c r="AP316" s="1237">
        <f>AO316*AP317</f>
        <v>48570.644541212</v>
      </c>
      <c r="AQ316" s="1237">
        <f>AP316*AQ317</f>
        <v>48570.644541212</v>
      </c>
      <c r="AR316" s="1237">
        <f>AQ316*AR317</f>
        <v>48570.644541212</v>
      </c>
      <c r="AS316" s="1237">
        <f>AR316*AS317</f>
        <v>48570.644541212</v>
      </c>
      <c r="AT316" s="778">
        <f>SUM(AT318,AT335,AT341,AT361,AT362,AT363)</f>
        <v>43221.4896612396</v>
      </c>
      <c r="AU316" s="7432">
        <f>AT316*AU317</f>
        <v>44500.8457552123</v>
      </c>
      <c r="AV316" s="7432">
        <f>AU316*AV317</f>
        <v>45818.0707895666</v>
      </c>
      <c r="AW316" s="7432">
        <f>AV316*AW317</f>
        <v>47174.2856849378</v>
      </c>
      <c r="AX316" s="7432">
        <f>AW316*AX317</f>
        <v>48570.644541212</v>
      </c>
      <c r="AY316" s="1237">
        <f>AX316*AY317</f>
        <v>48570.644541212</v>
      </c>
      <c r="AZ316" s="1237">
        <f>AY316*AZ317</f>
        <v>48570.644541212</v>
      </c>
      <c r="BA316" s="1237">
        <f>AZ316*BA317</f>
        <v>48570.644541212</v>
      </c>
      <c r="BB316" s="1237">
        <f>BA316*BB317</f>
        <v>48570.644541212</v>
      </c>
      <c r="BC316" s="1237">
        <f>BB316*BC317</f>
        <v>48570.644541212</v>
      </c>
      <c r="BD316" s="778">
        <f>IF(AI316=0,0,(AT316-AI316)/AI316*100)</f>
        <v>0</v>
      </c>
      <c r="BE316" s="778">
        <f>IF(AT316=0,0,(AU316-AT316)/AT316*100)</f>
        <v>2.96000000000003</v>
      </c>
      <c r="BF316" s="778">
        <f>IF(AU316=0,0,(AV316-AU316)/AU316*100)</f>
        <v>2.96000000000003</v>
      </c>
      <c r="BG316" s="778">
        <f>IF(AV316=0,0,(AW316-AV316)/AV316*100)</f>
        <v>2.96000000000007</v>
      </c>
      <c r="BH316" s="778">
        <f>IF(AW316=0,0,(AX316-AW316)/AW316*100)</f>
        <v>2.96000000000009</v>
      </c>
      <c r="BI316" s="778">
        <f>IF(AX316=0,0,(AY316-AX316)/AX316*100)</f>
        <v>0</v>
      </c>
      <c r="BJ316" s="778">
        <f>IF(AY316=0,0,(AZ316-AY316)/AY316*100)</f>
        <v>0</v>
      </c>
      <c r="BK316" s="778">
        <f>IF(AZ316=0,0,(BA316-AZ316)/AZ316*100)</f>
        <v>0</v>
      </c>
      <c r="BL316" s="778">
        <f>IF(BA316=0,0,(BB316-BA316)/BA316*100)</f>
        <v>0</v>
      </c>
      <c r="BM316" s="778">
        <f>IF(BB316=0,0,(BC316-BB316)/BB316*100)</f>
        <v>0</v>
      </c>
      <c r="BN316" s="7433"/>
      <c r="BO316" s="7433" t="s">
        <v>2913</v>
      </c>
      <c r="BP316" s="7433"/>
      <c r="BQ316" s="160"/>
      <c r="BR316" s="161"/>
      <c r="BS316" s="1068" t="s">
        <v>1239</v>
      </c>
      <c r="BT316" s="1068"/>
      <c r="BU316" s="1068"/>
      <c r="BV316" s="705"/>
      <c r="BW316" s="705"/>
    </row>
    <row s="1834" customFormat="1" customHeight="1" ht="75.75">
      <c r="A317" s="1278"/>
      <c r="B317" s="978"/>
      <c r="C317" s="107"/>
      <c r="D317" s="107"/>
      <c r="E317" s="621">
        <v>15</v>
      </c>
      <c r="F317" s="50" cm="1" t="str">
        <f t="array" ref="F317:F317">OFFSET(E317,-1,1)</f>
        <v>2</v>
      </c>
      <c r="G317" s="107"/>
      <c r="H317" s="857"/>
      <c r="I317" s="857" t="s">
        <v>1175</v>
      </c>
      <c r="J317" s="107"/>
      <c r="K317" s="378" t="s">
        <v>1175</v>
      </c>
      <c r="L317" s="980"/>
      <c r="M317" s="107"/>
      <c r="N317" s="107"/>
      <c r="O317" s="107"/>
      <c r="P317" s="107"/>
      <c r="Q317" s="107"/>
      <c r="R317" s="107"/>
      <c r="S317" s="107"/>
      <c r="T317" s="465" cm="1" t="str">
        <f t="array" ref="T317:T317">T316</f>
        <v>true</v>
      </c>
      <c r="U317" s="107"/>
      <c r="V317" s="107"/>
      <c r="W317" s="107"/>
      <c r="X317" s="1596"/>
      <c r="Y317" s="1278"/>
      <c r="Z317" s="1546"/>
      <c r="AA317" s="1278"/>
      <c r="AB317" s="300" t="s">
        <v>1628</v>
      </c>
      <c r="AC317" s="762" t="s">
        <v>2637</v>
      </c>
      <c r="AD317" s="300"/>
      <c r="AE317" s="7434"/>
      <c r="AF317" s="7434"/>
      <c r="AG317" s="7434"/>
      <c r="AH317" s="1113">
        <f>AG317-AF317</f>
        <v>0</v>
      </c>
      <c r="AI317" s="7434"/>
      <c r="AJ317" s="7434"/>
      <c r="AK317" s="7435">
        <f>_xlfn.SUMIFS(INDEX(Сценарии!$AE$25:$BF$163,,MATCH(AK$8,Сценарии!$AE$8:$BF$8,0)),Сценарии!$F$25:$F$163,$F317,Сценарии!$G$25:$G$163,"ИОР")</f>
        <v>1.0296</v>
      </c>
      <c r="AL317" s="7435">
        <f>_xlfn.SUMIFS(INDEX(Сценарии!$AE$25:$BF$163,,MATCH(AL$8,Сценарии!$AE$8:$BF$8,0)),Сценарии!$F$25:$F$163,$F317,Сценарии!$G$25:$G$163,"ИОР")</f>
        <v>1.0296</v>
      </c>
      <c r="AM317" s="7435">
        <f>_xlfn.SUMIFS(INDEX(Сценарии!$AE$25:$BF$163,,MATCH(AM$8,Сценарии!$AE$8:$BF$8,0)),Сценарии!$F$25:$F$163,$F317,Сценарии!$G$25:$G$163,"ИОР")</f>
        <v>1.0296</v>
      </c>
      <c r="AN317" s="7435">
        <f>_xlfn.SUMIFS(INDEX(Сценарии!$AE$25:$BF$163,,MATCH(AN$8,Сценарии!$AE$8:$BF$8,0)),Сценарии!$F$25:$F$163,$F317,Сценарии!$G$25:$G$163,"ИОР")</f>
        <v>1.0296</v>
      </c>
      <c r="AO317" s="1239">
        <f>_xlfn.SUMIFS(INDEX(Сценарии!$AE$25:$BF$163,,MATCH(AO$8,Сценарии!$AE$8:$BF$8,0)),Сценарии!$F$25:$F$163,$F317,Сценарии!$G$25:$G$163,"ИОР")</f>
        <v>1</v>
      </c>
      <c r="AP317" s="1239">
        <f>_xlfn.SUMIFS(INDEX(Сценарии!$AE$25:$BF$163,,MATCH(AP$8,Сценарии!$AE$8:$BF$8,0)),Сценарии!$F$25:$F$163,$F317,Сценарии!$G$25:$G$163,"ИОР")</f>
        <v>1</v>
      </c>
      <c r="AQ317" s="1239">
        <f>_xlfn.SUMIFS(INDEX(Сценарии!$AE$25:$BF$163,,MATCH(AQ$8,Сценарии!$AE$8:$BF$8,0)),Сценарии!$F$25:$F$163,$F317,Сценарии!$G$25:$G$163,"ИОР")</f>
        <v>1</v>
      </c>
      <c r="AR317" s="1239">
        <f>_xlfn.SUMIFS(INDEX(Сценарии!$AE$25:$BF$163,,MATCH(AR$8,Сценарии!$AE$8:$BF$8,0)),Сценарии!$F$25:$F$163,$F317,Сценарии!$G$25:$G$163,"ИОР")</f>
        <v>1</v>
      </c>
      <c r="AS317" s="1239">
        <f>_xlfn.SUMIFS(INDEX(Сценарии!$AE$25:$BF$163,,MATCH(AS$8,Сценарии!$AE$8:$BF$8,0)),Сценарии!$F$25:$F$163,$F317,Сценарии!$G$25:$G$163,"ИОР")</f>
        <v>1</v>
      </c>
      <c r="AT317" s="7434"/>
      <c r="AU317" s="7435">
        <f>_xlfn.SUMIFS(INDEX(Сценарии!$AE$25:$BF$163,,MATCH(AU$8,Сценарии!$AE$8:$BF$8,0)),Сценарии!$F$25:$F$163,$F317,Сценарии!$G$25:$G$163,"ИОР")</f>
        <v>1.0296</v>
      </c>
      <c r="AV317" s="7435">
        <f>_xlfn.SUMIFS(INDEX(Сценарии!$AE$25:$BF$163,,MATCH(AV$8,Сценарии!$AE$8:$BF$8,0)),Сценарии!$F$25:$F$163,$F317,Сценарии!$G$25:$G$163,"ИОР")</f>
        <v>1.0296</v>
      </c>
      <c r="AW317" s="7435">
        <f>_xlfn.SUMIFS(INDEX(Сценарии!$AE$25:$BF$163,,MATCH(AW$8,Сценарии!$AE$8:$BF$8,0)),Сценарии!$F$25:$F$163,$F317,Сценарии!$G$25:$G$163,"ИОР")</f>
        <v>1.0296</v>
      </c>
      <c r="AX317" s="7435">
        <f>_xlfn.SUMIFS(INDEX(Сценарии!$AE$25:$BF$163,,MATCH(AX$8,Сценарии!$AE$8:$BF$8,0)),Сценарии!$F$25:$F$163,$F317,Сценарии!$G$25:$G$163,"ИОР")</f>
        <v>1.0296</v>
      </c>
      <c r="AY317" s="1239">
        <f>_xlfn.SUMIFS(INDEX(Сценарии!$AE$25:$BF$163,,MATCH(AY$8,Сценарии!$AE$8:$BF$8,0)),Сценарии!$F$25:$F$163,$F317,Сценарии!$G$25:$G$163,"ИОР")</f>
        <v>1</v>
      </c>
      <c r="AZ317" s="1239">
        <f>_xlfn.SUMIFS(INDEX(Сценарии!$AE$25:$BF$163,,MATCH(AZ$8,Сценарии!$AE$8:$BF$8,0)),Сценарии!$F$25:$F$163,$F317,Сценарии!$G$25:$G$163,"ИОР")</f>
        <v>1</v>
      </c>
      <c r="BA317" s="1239">
        <f>_xlfn.SUMIFS(INDEX(Сценарии!$AE$25:$BF$163,,MATCH(BA$8,Сценарии!$AE$8:$BF$8,0)),Сценарии!$F$25:$F$163,$F317,Сценарии!$G$25:$G$163,"ИОР")</f>
        <v>1</v>
      </c>
      <c r="BB317" s="1239">
        <f>_xlfn.SUMIFS(INDEX(Сценарии!$AE$25:$BF$163,,MATCH(BB$8,Сценарии!$AE$8:$BF$8,0)),Сценарии!$F$25:$F$163,$F317,Сценарии!$G$25:$G$163,"ИОР")</f>
        <v>1</v>
      </c>
      <c r="BC317" s="1239">
        <f>_xlfn.SUMIFS(INDEX(Сценарии!$AE$25:$BF$163,,MATCH(BC$8,Сценарии!$AE$8:$BF$8,0)),Сценарии!$F$25:$F$163,$F317,Сценарии!$G$25:$G$163,"ИОР")</f>
        <v>1</v>
      </c>
      <c r="BD317" s="1114">
        <f>IF(AI317=0,0,(AT317-AI317)/AI317*100)</f>
        <v>0</v>
      </c>
      <c r="BE317" s="1115"/>
      <c r="BF317" s="1115"/>
      <c r="BG317" s="1115"/>
      <c r="BH317" s="1115"/>
      <c r="BI317" s="1115"/>
      <c r="BJ317" s="1115"/>
      <c r="BK317" s="1115"/>
      <c r="BL317" s="1115"/>
      <c r="BM317" s="1115"/>
      <c r="BN317" s="7433"/>
      <c r="BO317" s="7433" t="s">
        <v>2914</v>
      </c>
      <c r="BP317" s="7433"/>
      <c r="BQ317" s="1278"/>
      <c r="BR317" s="1278"/>
      <c r="BS317" s="1064" t="s">
        <v>2638</v>
      </c>
      <c r="BT317" s="1064"/>
      <c r="BU317" s="1064"/>
      <c r="BV317" s="979"/>
      <c r="BW317" s="979"/>
    </row>
    <row s="434" customFormat="1" customHeight="1" ht="65.25">
      <c r="A318" s="160"/>
      <c r="B318" s="434"/>
      <c r="C318" s="858"/>
      <c r="D318" s="858"/>
      <c r="E318" s="859">
        <v>21</v>
      </c>
      <c r="F318" s="50" cm="1" t="str">
        <f t="array" ref="F318:F318">OFFSET(E318,-1,1)</f>
        <v>2</v>
      </c>
      <c r="G318" s="858"/>
      <c r="H318" s="112"/>
      <c r="I318" s="112" t="s">
        <v>1179</v>
      </c>
      <c r="J318" s="858"/>
      <c r="K318" s="377" t="s">
        <v>1179</v>
      </c>
      <c r="L318" s="984" t="s">
        <v>332</v>
      </c>
      <c r="M318" s="858"/>
      <c r="N318" s="858"/>
      <c r="O318" s="858"/>
      <c r="P318" s="858"/>
      <c r="Q318" s="858"/>
      <c r="R318" s="858"/>
      <c r="S318" s="858"/>
      <c r="T318" s="465" cm="1" t="str">
        <f t="array" ref="T318:T318">T317</f>
        <v>true</v>
      </c>
      <c r="U318" s="858"/>
      <c r="V318" s="858"/>
      <c r="W318" s="858"/>
      <c r="X318" s="1596"/>
      <c r="Y318" s="160"/>
      <c r="Z318" s="1546"/>
      <c r="AA318" s="160"/>
      <c r="AB318" s="234" t="s">
        <v>1631</v>
      </c>
      <c r="AC318" s="361" t="s">
        <v>2434</v>
      </c>
      <c r="AD318" s="234" t="s">
        <v>1514</v>
      </c>
      <c r="AE318" s="778">
        <f>SUM(AE319,AE322,AE323,AE326,AE327)</f>
        <v>0</v>
      </c>
      <c r="AF318" s="778">
        <f>SUM(AF319,AF322,AF323,AF326,AF327)</f>
        <v>0</v>
      </c>
      <c r="AG318" s="778">
        <f>SUM(AG319,AG322,AG323,AG326,AG327)</f>
        <v>0</v>
      </c>
      <c r="AH318" s="778">
        <f>AG318-AF318</f>
        <v>0</v>
      </c>
      <c r="AI318" s="778">
        <f>SUM(AI319,AI322,AI323,AI326,AI327)</f>
        <v>0</v>
      </c>
      <c r="AJ318" s="778">
        <f>SUM(AJ319,AJ322,AJ323,AJ326,AJ327)</f>
        <v>15188.6908774244</v>
      </c>
      <c r="AK318" s="216"/>
      <c r="AL318" s="216"/>
      <c r="AM318" s="216"/>
      <c r="AN318" s="216"/>
      <c r="AO318" s="216"/>
      <c r="AP318" s="216"/>
      <c r="AQ318" s="216"/>
      <c r="AR318" s="216"/>
      <c r="AS318" s="216"/>
      <c r="AT318" s="778">
        <f>SUM(AT319,AT322,AT323,AT326,AT327)</f>
        <v>15188.6908774244</v>
      </c>
      <c r="AU318" s="216"/>
      <c r="AV318" s="216"/>
      <c r="AW318" s="216"/>
      <c r="AX318" s="216"/>
      <c r="AY318" s="216"/>
      <c r="AZ318" s="216"/>
      <c r="BA318" s="216"/>
      <c r="BB318" s="216"/>
      <c r="BC318" s="216"/>
      <c r="BD318" s="778">
        <f>IF(AI318=0,0,(AT318-AI318)/AI318*100)</f>
        <v>0</v>
      </c>
      <c r="BE318" s="216"/>
      <c r="BF318" s="216"/>
      <c r="BG318" s="216"/>
      <c r="BH318" s="216"/>
      <c r="BI318" s="216"/>
      <c r="BJ318" s="216"/>
      <c r="BK318" s="216"/>
      <c r="BL318" s="216"/>
      <c r="BM318" s="216"/>
      <c r="BN318" s="7436"/>
      <c r="BO318" s="7436" t="s">
        <v>2915</v>
      </c>
      <c r="BP318" s="7436"/>
      <c r="BQ318" s="160"/>
      <c r="BR318" s="160"/>
      <c r="BS318" s="1062" t="s">
        <v>1230</v>
      </c>
      <c r="BT318" s="1069"/>
      <c r="BU318" s="1069"/>
      <c r="BV318" s="706"/>
      <c r="BW318" s="706"/>
    </row>
    <row s="1834" customFormat="1" customHeight="1" ht="14.25">
      <c r="A319" s="1278"/>
      <c r="B319" s="978"/>
      <c r="C319" s="107"/>
      <c r="D319" s="107"/>
      <c r="E319" s="621">
        <v>15</v>
      </c>
      <c r="F319" s="50" cm="1" t="str">
        <f t="array" ref="F319:F319">OFFSET(E319,-1,1)</f>
        <v>2</v>
      </c>
      <c r="G319" s="107"/>
      <c r="H319" s="857"/>
      <c r="I319" s="857" t="s">
        <v>2068</v>
      </c>
      <c r="J319" s="107"/>
      <c r="K319" s="378" t="s">
        <v>2068</v>
      </c>
      <c r="L319" s="980" t="s">
        <v>1175</v>
      </c>
      <c r="M319" s="107"/>
      <c r="N319" s="107"/>
      <c r="O319" s="107"/>
      <c r="P319" s="107"/>
      <c r="Q319" s="107"/>
      <c r="R319" s="107"/>
      <c r="S319" s="107"/>
      <c r="T319" s="465" cm="1" t="str">
        <f t="array" ref="T319:T319">T318</f>
        <v>true</v>
      </c>
      <c r="U319" s="107"/>
      <c r="V319" s="107"/>
      <c r="W319" s="107"/>
      <c r="X319" s="1596"/>
      <c r="Y319" s="1278"/>
      <c r="Z319" s="1546"/>
      <c r="AA319" s="1278"/>
      <c r="AB319" s="300" t="s">
        <v>2069</v>
      </c>
      <c r="AC319" s="765" t="s">
        <v>2639</v>
      </c>
      <c r="AD319" s="766" t="s">
        <v>1514</v>
      </c>
      <c r="AE319" s="1114">
        <f>SUM(AE320,AE321)</f>
        <v>0</v>
      </c>
      <c r="AF319" s="1114">
        <f>SUM(AF320,AF321)</f>
        <v>0</v>
      </c>
      <c r="AG319" s="1114">
        <f>SUM(AG320,AG321)</f>
        <v>0</v>
      </c>
      <c r="AH319" s="1114">
        <f>AG319-AF319</f>
        <v>0</v>
      </c>
      <c r="AI319" s="1114">
        <f>SUM(AI320,AI321)</f>
        <v>0</v>
      </c>
      <c r="AJ319" s="1114">
        <f>SUM(AJ320,AJ321)</f>
        <v>154.14455</v>
      </c>
      <c r="AK319" s="1115"/>
      <c r="AL319" s="1115"/>
      <c r="AM319" s="1115"/>
      <c r="AN319" s="1115"/>
      <c r="AO319" s="1115"/>
      <c r="AP319" s="1115"/>
      <c r="AQ319" s="1115"/>
      <c r="AR319" s="1115"/>
      <c r="AS319" s="1115"/>
      <c r="AT319" s="1114">
        <f>SUM(AT320,AT321)</f>
        <v>154.14455</v>
      </c>
      <c r="AU319" s="1115"/>
      <c r="AV319" s="1115"/>
      <c r="AW319" s="1115"/>
      <c r="AX319" s="1115"/>
      <c r="AY319" s="1115"/>
      <c r="AZ319" s="1115"/>
      <c r="BA319" s="1115"/>
      <c r="BB319" s="1115"/>
      <c r="BC319" s="1115"/>
      <c r="BD319" s="1114">
        <f>IF(AI319=0,0,(AT319-AI319)/AI319*100)</f>
        <v>0</v>
      </c>
      <c r="BE319" s="1115"/>
      <c r="BF319" s="1115"/>
      <c r="BG319" s="1115"/>
      <c r="BH319" s="1115"/>
      <c r="BI319" s="1115"/>
      <c r="BJ319" s="1115"/>
      <c r="BK319" s="1115"/>
      <c r="BL319" s="1115"/>
      <c r="BM319" s="1115"/>
      <c r="BN319" s="7433"/>
      <c r="BO319" s="7433"/>
      <c r="BP319" s="7433"/>
      <c r="BQ319" s="110"/>
      <c r="BR319" s="1278"/>
      <c r="BS319" s="1063" t="s">
        <v>2436</v>
      </c>
      <c r="BT319" s="1064"/>
      <c r="BU319" s="1064"/>
      <c r="BV319" s="979"/>
      <c r="BW319" s="979"/>
    </row>
    <row s="1834" customFormat="1" customHeight="1" ht="14.25">
      <c r="A320" s="1278"/>
      <c r="B320" s="978"/>
      <c r="C320" s="107"/>
      <c r="D320" s="107"/>
      <c r="E320" s="621">
        <v>15</v>
      </c>
      <c r="F320" s="50" cm="1" t="str">
        <f t="array" ref="F320:F320">OFFSET(E320,-1,1)</f>
        <v>2</v>
      </c>
      <c r="G320" s="107"/>
      <c r="H320" s="857"/>
      <c r="I320" s="857" t="s">
        <v>2640</v>
      </c>
      <c r="J320" s="107"/>
      <c r="K320" s="378" t="s">
        <v>2640</v>
      </c>
      <c r="L320" s="980" t="s">
        <v>1739</v>
      </c>
      <c r="M320" s="107"/>
      <c r="N320" s="107"/>
      <c r="O320" s="107"/>
      <c r="P320" s="107"/>
      <c r="Q320" s="107"/>
      <c r="R320" s="107"/>
      <c r="S320" s="107"/>
      <c r="T320" s="465" cm="1" t="str">
        <f t="array" ref="T320:T320">T319</f>
        <v>true</v>
      </c>
      <c r="U320" s="107"/>
      <c r="V320" s="107"/>
      <c r="W320" s="107"/>
      <c r="X320" s="1596"/>
      <c r="Y320" s="1278"/>
      <c r="Z320" s="1546"/>
      <c r="AA320" s="1278"/>
      <c r="AB320" s="300" t="s">
        <v>2641</v>
      </c>
      <c r="AC320" s="768" t="s">
        <v>2439</v>
      </c>
      <c r="AD320" s="766" t="s">
        <v>1514</v>
      </c>
      <c r="AE320" s="1743">
        <f>_xlfn.SUMIFS('Сырье и материалы'!AE$25:AE$162,'Сырье и материалы'!$F$25:$F$162,$F320,'Сырье и материалы'!$I$25:$I$162,"Горюче-смазочные материалы")</f>
        <v>0</v>
      </c>
      <c r="AF320" s="1743">
        <f>_xlfn.SUMIFS('Сырье и материалы'!AF$25:AF$162,'Сырье и материалы'!$F$25:$F$162,$F320,'Сырье и материалы'!$I$25:$I$162,"Горюче-смазочные материалы")</f>
        <v>0</v>
      </c>
      <c r="AG320" s="1743">
        <f>_xlfn.SUMIFS('Сырье и материалы'!AG$25:AG$162,'Сырье и материалы'!$F$25:$F$162,$F320,'Сырье и материалы'!$I$25:$I$162,"Горюче-смазочные материалы")</f>
        <v>0</v>
      </c>
      <c r="AH320" s="1114">
        <f>AG320-AF320</f>
        <v>0</v>
      </c>
      <c r="AI320" s="1743">
        <f>_xlfn.SUMIFS('Сырье и материалы'!AH$25:AH$162,'Сырье и материалы'!$F$25:$F$162,$F320,'Сырье и материалы'!$I$25:$I$162,"Горюче-смазочные материалы")</f>
        <v>0</v>
      </c>
      <c r="AJ320" s="1743">
        <f>_xlfn.SUMIFS('Сырье и материалы'!AI$25:AI$162,'Сырье и материалы'!$F$25:$F$162,$F320,'Сырье и материалы'!$I$25:$I$162,"Горюче-смазочные материалы")</f>
        <v>0</v>
      </c>
      <c r="AK320" s="1115"/>
      <c r="AL320" s="1115"/>
      <c r="AM320" s="1115"/>
      <c r="AN320" s="1115"/>
      <c r="AO320" s="1115"/>
      <c r="AP320" s="1115"/>
      <c r="AQ320" s="1115"/>
      <c r="AR320" s="1115"/>
      <c r="AS320" s="1115"/>
      <c r="AT320" s="1743">
        <f>_xlfn.SUMIFS('Сырье и материалы'!AS$25:AS$162,'Сырье и материалы'!$F$25:$F$162,$F320,'Сырье и материалы'!$I$25:$I$162,"Горюче-смазочные материалы")</f>
        <v>0</v>
      </c>
      <c r="AU320" s="1115"/>
      <c r="AV320" s="1115"/>
      <c r="AW320" s="1115"/>
      <c r="AX320" s="1115"/>
      <c r="AY320" s="1115"/>
      <c r="AZ320" s="1115"/>
      <c r="BA320" s="1115"/>
      <c r="BB320" s="1115"/>
      <c r="BC320" s="1115"/>
      <c r="BD320" s="1114">
        <f>IF(AI320=0,0,(AT320-AI320)/AI320*100)</f>
        <v>0</v>
      </c>
      <c r="BE320" s="1115"/>
      <c r="BF320" s="1115"/>
      <c r="BG320" s="1115"/>
      <c r="BH320" s="1115"/>
      <c r="BI320" s="1115"/>
      <c r="BJ320" s="1115"/>
      <c r="BK320" s="1115"/>
      <c r="BL320" s="1115"/>
      <c r="BM320" s="1115"/>
      <c r="BN320" s="7433"/>
      <c r="BO320" s="7433"/>
      <c r="BP320" s="7433"/>
      <c r="BQ320" s="1278"/>
      <c r="BR320" s="1278"/>
      <c r="BS320" s="1062" t="s">
        <v>2440</v>
      </c>
      <c r="BT320" s="1064"/>
      <c r="BU320" s="1064"/>
      <c r="BV320" s="979"/>
      <c r="BW320" s="979"/>
    </row>
    <row s="1834" customFormat="1" customHeight="1" ht="65.25">
      <c r="A321" s="1278"/>
      <c r="B321" s="978"/>
      <c r="C321" s="107"/>
      <c r="D321" s="107"/>
      <c r="E321" s="621">
        <v>15</v>
      </c>
      <c r="F321" s="50" cm="1" t="str">
        <f t="array" ref="F321:F321">OFFSET(E321,-1,1)</f>
        <v>2</v>
      </c>
      <c r="G321" s="107"/>
      <c r="H321" s="857"/>
      <c r="I321" s="857" t="s">
        <v>2642</v>
      </c>
      <c r="J321" s="107"/>
      <c r="K321" s="378" t="s">
        <v>2642</v>
      </c>
      <c r="L321" s="980" t="s">
        <v>2043</v>
      </c>
      <c r="M321" s="107"/>
      <c r="N321" s="107"/>
      <c r="O321" s="107"/>
      <c r="P321" s="107"/>
      <c r="Q321" s="107"/>
      <c r="R321" s="107"/>
      <c r="S321" s="107"/>
      <c r="T321" s="465" cm="1" t="str">
        <f t="array" ref="T321:T321">T320</f>
        <v>true</v>
      </c>
      <c r="U321" s="107"/>
      <c r="V321" s="107"/>
      <c r="W321" s="107"/>
      <c r="X321" s="1596"/>
      <c r="Y321" s="1278"/>
      <c r="Z321" s="1546"/>
      <c r="AA321" s="1278"/>
      <c r="AB321" s="300" t="s">
        <v>2643</v>
      </c>
      <c r="AC321" s="768" t="s">
        <v>2441</v>
      </c>
      <c r="AD321" s="766" t="s">
        <v>1514</v>
      </c>
      <c r="AE321" s="1743">
        <f>_xlfn.SUMIFS('Сырье и материалы'!AE$25:AE$162,'Сырье и материалы'!$F$25:$F$162,$F321,'Сырье и материалы'!$I$25:$I$162,"Материалы")</f>
        <v>0</v>
      </c>
      <c r="AF321" s="1743">
        <f>_xlfn.SUMIFS('Сырье и материалы'!AF$25:AF$162,'Сырье и материалы'!$F$25:$F$162,$F321,'Сырье и материалы'!$I$25:$I$162,"Материалы")</f>
        <v>0</v>
      </c>
      <c r="AG321" s="1743">
        <f>_xlfn.SUMIFS('Сырье и материалы'!AG$25:AG$162,'Сырье и материалы'!$F$25:$F$162,$F321,'Сырье и материалы'!$I$25:$I$162,"Материалы")</f>
        <v>0</v>
      </c>
      <c r="AH321" s="1114">
        <f>AG321-AF321</f>
        <v>0</v>
      </c>
      <c r="AI321" s="1743">
        <f>_xlfn.SUMIFS('Сырье и материалы'!AH$25:AH$162,'Сырье и материалы'!$F$25:$F$162,$F321,'Сырье и материалы'!$I$25:$I$162,"Материалы")</f>
        <v>0</v>
      </c>
      <c r="AJ321" s="1743">
        <f>_xlfn.SUMIFS('Сырье и материалы'!AI$25:AI$162,'Сырье и материалы'!$F$25:$F$162,$F321,'Сырье и материалы'!$I$25:$I$162,"Материалы")</f>
        <v>154.14455</v>
      </c>
      <c r="AK321" s="1115"/>
      <c r="AL321" s="1115"/>
      <c r="AM321" s="1115"/>
      <c r="AN321" s="1115"/>
      <c r="AO321" s="1115"/>
      <c r="AP321" s="1115"/>
      <c r="AQ321" s="1115"/>
      <c r="AR321" s="1115"/>
      <c r="AS321" s="1115"/>
      <c r="AT321" s="1743">
        <f>_xlfn.SUMIFS('Сырье и материалы'!AS$25:AS$162,'Сырье и материалы'!$F$25:$F$162,$F321,'Сырье и материалы'!$I$25:$I$162,"Материалы")</f>
        <v>154.14455</v>
      </c>
      <c r="AU321" s="1115"/>
      <c r="AV321" s="1115"/>
      <c r="AW321" s="1115"/>
      <c r="AX321" s="1115"/>
      <c r="AY321" s="1115"/>
      <c r="AZ321" s="1115"/>
      <c r="BA321" s="1115"/>
      <c r="BB321" s="1115"/>
      <c r="BC321" s="1115"/>
      <c r="BD321" s="1114">
        <f>IF(AI321=0,0,(AT321-AI321)/AI321*100)</f>
        <v>0</v>
      </c>
      <c r="BE321" s="1115"/>
      <c r="BF321" s="1115"/>
      <c r="BG321" s="1115"/>
      <c r="BH321" s="1115"/>
      <c r="BI321" s="1115"/>
      <c r="BJ321" s="1115"/>
      <c r="BK321" s="1115"/>
      <c r="BL321" s="1115"/>
      <c r="BM321" s="1115"/>
      <c r="BN321" s="7433"/>
      <c r="BO321" s="7433" t="s">
        <v>2933</v>
      </c>
      <c r="BP321" s="7433"/>
      <c r="BQ321" s="1278"/>
      <c r="BR321" s="1278"/>
      <c r="BS321" s="1062" t="s">
        <v>2442</v>
      </c>
      <c r="BT321" s="1064"/>
      <c r="BU321" s="1064"/>
      <c r="BV321" s="979"/>
      <c r="BW321" s="979"/>
    </row>
    <row s="1834" customFormat="1" customHeight="1" ht="33.75">
      <c r="A322" s="1278"/>
      <c r="B322" s="978"/>
      <c r="C322" s="107"/>
      <c r="D322" s="107"/>
      <c r="E322" s="621">
        <v>22.5</v>
      </c>
      <c r="F322" s="50" cm="1" t="str">
        <f t="array" ref="F322:F322">OFFSET(E322,-1,1)</f>
        <v>2</v>
      </c>
      <c r="G322" s="107"/>
      <c r="H322" s="857"/>
      <c r="I322" s="857" t="s">
        <v>2071</v>
      </c>
      <c r="J322" s="107"/>
      <c r="K322" s="378" t="s">
        <v>2071</v>
      </c>
      <c r="L322" s="980" t="s">
        <v>1182</v>
      </c>
      <c r="M322" s="107"/>
      <c r="N322" s="107"/>
      <c r="O322" s="107"/>
      <c r="P322" s="107"/>
      <c r="Q322" s="107"/>
      <c r="R322" s="107"/>
      <c r="S322" s="107"/>
      <c r="T322" s="465" cm="1" t="str">
        <f t="array" ref="T322:T322">T321</f>
        <v>true</v>
      </c>
      <c r="U322" s="107"/>
      <c r="V322" s="107"/>
      <c r="W322" s="107"/>
      <c r="X322" s="1596"/>
      <c r="Y322" s="1278"/>
      <c r="Z322" s="1546"/>
      <c r="AA322" s="1278"/>
      <c r="AB322" s="300" t="s">
        <v>2072</v>
      </c>
      <c r="AC322" s="765" t="s">
        <v>2644</v>
      </c>
      <c r="AD322" s="766" t="s">
        <v>1514</v>
      </c>
      <c r="AE322" s="3946"/>
      <c r="AF322" s="3946"/>
      <c r="AG322" s="3946"/>
      <c r="AH322" s="1114">
        <f>AG322-AF322</f>
        <v>0</v>
      </c>
      <c r="AI322" s="3946"/>
      <c r="AJ322" s="3946">
        <v>52.252752</v>
      </c>
      <c r="AK322" s="1115"/>
      <c r="AL322" s="1115"/>
      <c r="AM322" s="1115"/>
      <c r="AN322" s="1115"/>
      <c r="AO322" s="1115"/>
      <c r="AP322" s="1115"/>
      <c r="AQ322" s="1115"/>
      <c r="AR322" s="1115"/>
      <c r="AS322" s="1115"/>
      <c r="AT322" s="3946">
        <f>52.252752</f>
        <v>52.252752</v>
      </c>
      <c r="AU322" s="1115"/>
      <c r="AV322" s="1115"/>
      <c r="AW322" s="1115"/>
      <c r="AX322" s="1115"/>
      <c r="AY322" s="1115"/>
      <c r="AZ322" s="1115"/>
      <c r="BA322" s="1115"/>
      <c r="BB322" s="1115"/>
      <c r="BC322" s="1115"/>
      <c r="BD322" s="1114">
        <f>IF(AI322=0,0,(AT322-AI322)/AI322*100)</f>
        <v>0</v>
      </c>
      <c r="BE322" s="1115"/>
      <c r="BF322" s="1115"/>
      <c r="BG322" s="1115"/>
      <c r="BH322" s="1115"/>
      <c r="BI322" s="1115"/>
      <c r="BJ322" s="1115"/>
      <c r="BK322" s="1115"/>
      <c r="BL322" s="1115"/>
      <c r="BM322" s="1115"/>
      <c r="BN322" s="7433"/>
      <c r="BO322" s="7433" t="s">
        <v>2934</v>
      </c>
      <c r="BP322" s="7433"/>
      <c r="BQ322" s="1278"/>
      <c r="BR322" s="1278"/>
      <c r="BS322" s="1063" t="s">
        <v>2467</v>
      </c>
      <c r="BT322" s="1064"/>
      <c r="BU322" s="1064"/>
      <c r="BV322" s="979"/>
      <c r="BW322" s="979"/>
    </row>
    <row s="1834" customFormat="1" customHeight="1" ht="33.75">
      <c r="A323" s="1278"/>
      <c r="B323" s="978"/>
      <c r="C323" s="107"/>
      <c r="D323" s="107"/>
      <c r="E323" s="621">
        <v>22.5</v>
      </c>
      <c r="F323" s="50" cm="1" t="str">
        <f t="array" ref="F323:F323">OFFSET(E323,-1,1)</f>
        <v>2</v>
      </c>
      <c r="G323" s="107"/>
      <c r="H323" s="857"/>
      <c r="I323" s="857" t="s">
        <v>2075</v>
      </c>
      <c r="J323" s="107"/>
      <c r="K323" s="378" t="s">
        <v>2075</v>
      </c>
      <c r="L323" s="980" t="s">
        <v>1186</v>
      </c>
      <c r="M323" s="107"/>
      <c r="N323" s="107"/>
      <c r="O323" s="107"/>
      <c r="P323" s="107"/>
      <c r="Q323" s="107"/>
      <c r="R323" s="107"/>
      <c r="S323" s="107"/>
      <c r="T323" s="465" cm="1" t="str">
        <f t="array" ref="T323:T323">T322</f>
        <v>true</v>
      </c>
      <c r="U323" s="107"/>
      <c r="V323" s="107"/>
      <c r="W323" s="107"/>
      <c r="X323" s="1596"/>
      <c r="Y323" s="1278"/>
      <c r="Z323" s="1546"/>
      <c r="AA323" s="1278"/>
      <c r="AB323" s="300" t="s">
        <v>2076</v>
      </c>
      <c r="AC323" s="765" t="s">
        <v>2645</v>
      </c>
      <c r="AD323" s="766" t="s">
        <v>1514</v>
      </c>
      <c r="AE323" s="1116">
        <f>AE324+AE325</f>
        <v>0</v>
      </c>
      <c r="AF323" s="1116">
        <f>AF324+AF325</f>
        <v>0</v>
      </c>
      <c r="AG323" s="1116">
        <f>AG324+AG325</f>
        <v>0</v>
      </c>
      <c r="AH323" s="1114">
        <f>AG323-AF323</f>
        <v>0</v>
      </c>
      <c r="AI323" s="1116">
        <f>AI324+AI325</f>
        <v>0</v>
      </c>
      <c r="AJ323" s="1116">
        <f>AJ324+AJ325</f>
        <v>14422.4669717044</v>
      </c>
      <c r="AK323" s="1115"/>
      <c r="AL323" s="1115"/>
      <c r="AM323" s="1115"/>
      <c r="AN323" s="1115"/>
      <c r="AO323" s="1115"/>
      <c r="AP323" s="1115"/>
      <c r="AQ323" s="1115"/>
      <c r="AR323" s="1115"/>
      <c r="AS323" s="1115"/>
      <c r="AT323" s="1116">
        <f>AT324+AT325</f>
        <v>14422.4669717044</v>
      </c>
      <c r="AU323" s="1115"/>
      <c r="AV323" s="1115"/>
      <c r="AW323" s="1115"/>
      <c r="AX323" s="1115"/>
      <c r="AY323" s="1115"/>
      <c r="AZ323" s="1115"/>
      <c r="BA323" s="1115"/>
      <c r="BB323" s="1115"/>
      <c r="BC323" s="1115"/>
      <c r="BD323" s="1114">
        <f>IF(AI323=0,0,(AT323-AI323)/AI323*100)</f>
        <v>0</v>
      </c>
      <c r="BE323" s="1115"/>
      <c r="BF323" s="1115"/>
      <c r="BG323" s="1115"/>
      <c r="BH323" s="1115"/>
      <c r="BI323" s="1115"/>
      <c r="BJ323" s="1115"/>
      <c r="BK323" s="1115"/>
      <c r="BL323" s="1115"/>
      <c r="BM323" s="1115"/>
      <c r="BN323" s="7433"/>
      <c r="BO323" s="7433" t="s">
        <v>2919</v>
      </c>
      <c r="BP323" s="7433"/>
      <c r="BQ323" s="1278"/>
      <c r="BR323" s="1278"/>
      <c r="BS323" s="1063" t="s">
        <v>2646</v>
      </c>
      <c r="BT323" s="1064"/>
      <c r="BU323" s="1064"/>
      <c r="BV323" s="979"/>
      <c r="BW323" s="979"/>
    </row>
    <row s="1834" customFormat="1" customHeight="1" ht="12.75">
      <c r="A324" s="1278"/>
      <c r="B324" s="978"/>
      <c r="C324" s="107"/>
      <c r="D324" s="107"/>
      <c r="E324" s="621">
        <v>15</v>
      </c>
      <c r="F324" s="50" cm="1" t="str">
        <f t="array" ref="F324:F324">OFFSET(E324,-1,1)</f>
        <v>2</v>
      </c>
      <c r="G324" s="374" t="s">
        <v>1866</v>
      </c>
      <c r="H324" s="857"/>
      <c r="I324" s="857" t="s">
        <v>2220</v>
      </c>
      <c r="J324" s="107"/>
      <c r="K324" s="378" t="s">
        <v>2220</v>
      </c>
      <c r="L324" s="980" t="s">
        <v>2095</v>
      </c>
      <c r="M324" s="107"/>
      <c r="N324" s="107"/>
      <c r="O324" s="107"/>
      <c r="P324" s="107"/>
      <c r="Q324" s="107"/>
      <c r="R324" s="107"/>
      <c r="S324" s="107"/>
      <c r="T324" s="465" cm="1" t="str">
        <f t="array" ref="T324:T324">T323</f>
        <v>true</v>
      </c>
      <c r="U324" s="107"/>
      <c r="V324" s="107"/>
      <c r="W324" s="107"/>
      <c r="X324" s="1596"/>
      <c r="Y324" s="1278"/>
      <c r="Z324" s="1546"/>
      <c r="AA324" s="1278"/>
      <c r="AB324" s="300" t="s">
        <v>2647</v>
      </c>
      <c r="AC324" s="768" t="s">
        <v>2470</v>
      </c>
      <c r="AD324" s="766" t="s">
        <v>1514</v>
      </c>
      <c r="AE324" s="1114">
        <f>_xlfn.SUMIFS(ФОТ!AE$25:AE$188,ФОТ!$F$25:$F$188,$F324,ФОТ!$G$25:$G$188,$G324)</f>
        <v>0</v>
      </c>
      <c r="AF324" s="1114">
        <f>_xlfn.SUMIFS(ФОТ!AF$25:AF$188,ФОТ!$F$25:$F$188,$F324,ФОТ!$G$25:$G$188,$G324)</f>
        <v>0</v>
      </c>
      <c r="AG324" s="1114">
        <f>_xlfn.SUMIFS(ФОТ!AG$25:AG$188,ФОТ!$F$25:$F$188,$F324,ФОТ!$G$25:$G$188,$G324)</f>
        <v>0</v>
      </c>
      <c r="AH324" s="1114">
        <f>AG324-AF324</f>
        <v>0</v>
      </c>
      <c r="AI324" s="1114">
        <f>_xlfn.SUMIFS(ФОТ!AH$25:AH$188,ФОТ!$F$25:$F$188,$F324,ФОТ!$G$25:$G$188,$G324)</f>
        <v>0</v>
      </c>
      <c r="AJ324" s="1114">
        <f>_xlfn.SUMIFS(ФОТ!AI$25:AI$188,ФОТ!$F$25:$F$188,$F324,ФОТ!$G$25:$G$188,$G324)</f>
        <v>11077.1635727376</v>
      </c>
      <c r="AK324" s="1115"/>
      <c r="AL324" s="1115"/>
      <c r="AM324" s="1115"/>
      <c r="AN324" s="1115"/>
      <c r="AO324" s="1115"/>
      <c r="AP324" s="1115"/>
      <c r="AQ324" s="1115"/>
      <c r="AR324" s="1115"/>
      <c r="AS324" s="1115"/>
      <c r="AT324" s="1114">
        <f>_xlfn.SUMIFS(ФОТ!AJ$25:AJ$188,ФОТ!$F$25:$F$188,$F324,ФОТ!$G$25:$G$188,$G324)</f>
        <v>11077.1635727376</v>
      </c>
      <c r="AU324" s="1115"/>
      <c r="AV324" s="1115"/>
      <c r="AW324" s="1115"/>
      <c r="AX324" s="1115"/>
      <c r="AY324" s="1115"/>
      <c r="AZ324" s="1115"/>
      <c r="BA324" s="1115"/>
      <c r="BB324" s="1115"/>
      <c r="BC324" s="1115"/>
      <c r="BD324" s="1114">
        <f>IF(AI324=0,0,(AT324-AI324)/AI324*100)</f>
        <v>0</v>
      </c>
      <c r="BE324" s="1115"/>
      <c r="BF324" s="1115"/>
      <c r="BG324" s="1115"/>
      <c r="BH324" s="1115"/>
      <c r="BI324" s="1115"/>
      <c r="BJ324" s="1115"/>
      <c r="BK324" s="1115"/>
      <c r="BL324" s="1115"/>
      <c r="BM324" s="1115"/>
      <c r="BN324" s="7433"/>
      <c r="BO324" s="7437" t="s">
        <v>2920</v>
      </c>
      <c r="BP324" s="7433"/>
      <c r="BQ324" s="1278"/>
      <c r="BR324" s="1278"/>
      <c r="BS324" s="1062" t="s">
        <v>2471</v>
      </c>
      <c r="BT324" s="1064"/>
      <c r="BU324" s="1064"/>
      <c r="BV324" s="979"/>
      <c r="BW324" s="979"/>
    </row>
    <row s="1834" customFormat="1" customHeight="1" ht="33.75">
      <c r="A325" s="1278"/>
      <c r="B325" s="978"/>
      <c r="C325" s="107"/>
      <c r="D325" s="107"/>
      <c r="E325" s="621">
        <v>22.5</v>
      </c>
      <c r="F325" s="50" cm="1" t="str">
        <f t="array" ref="F325:F325">OFFSET(E325,-1,1)</f>
        <v>2</v>
      </c>
      <c r="G325" s="374" t="s">
        <v>1878</v>
      </c>
      <c r="H325" s="857"/>
      <c r="I325" s="857" t="s">
        <v>2224</v>
      </c>
      <c r="J325" s="107"/>
      <c r="K325" s="378" t="s">
        <v>2224</v>
      </c>
      <c r="L325" s="980" t="s">
        <v>2096</v>
      </c>
      <c r="M325" s="107"/>
      <c r="N325" s="107"/>
      <c r="O325" s="107"/>
      <c r="P325" s="107"/>
      <c r="Q325" s="107"/>
      <c r="R325" s="107"/>
      <c r="S325" s="107"/>
      <c r="T325" s="465" cm="1" t="str">
        <f t="array" ref="T325:T325">T324</f>
        <v>true</v>
      </c>
      <c r="U325" s="107"/>
      <c r="V325" s="107"/>
      <c r="W325" s="107"/>
      <c r="X325" s="1596"/>
      <c r="Y325" s="1278"/>
      <c r="Z325" s="1546"/>
      <c r="AA325" s="1278"/>
      <c r="AB325" s="300" t="s">
        <v>2648</v>
      </c>
      <c r="AC325" s="768" t="s">
        <v>2649</v>
      </c>
      <c r="AD325" s="766" t="s">
        <v>1514</v>
      </c>
      <c r="AE325" s="1114">
        <f>_xlfn.SUMIFS(ФОТ!AE$25:AE$188,ФОТ!$F$25:$F$188,$F325,ФОТ!$G$25:$G$188,$G325)</f>
        <v>0</v>
      </c>
      <c r="AF325" s="1114">
        <f>_xlfn.SUMIFS(ФОТ!AF$25:AF$188,ФОТ!$F$25:$F$188,$F325,ФОТ!$G$25:$G$188,$G325)</f>
        <v>0</v>
      </c>
      <c r="AG325" s="1114">
        <f>_xlfn.SUMIFS(ФОТ!AG$25:AG$188,ФОТ!$F$25:$F$188,$F325,ФОТ!$G$25:$G$188,$G325)</f>
        <v>0</v>
      </c>
      <c r="AH325" s="1114">
        <f>AG325-AF325</f>
        <v>0</v>
      </c>
      <c r="AI325" s="1114">
        <f>_xlfn.SUMIFS(ФОТ!AH$25:AH$188,ФОТ!$F$25:$F$188,$F325,ФОТ!$G$25:$G$188,$G325)</f>
        <v>0</v>
      </c>
      <c r="AJ325" s="1114">
        <f>_xlfn.SUMIFS(ФОТ!AI$25:AI$188,ФОТ!$F$25:$F$188,$F325,ФОТ!$G$25:$G$188,$G325)</f>
        <v>3345.30339896675</v>
      </c>
      <c r="AK325" s="1115"/>
      <c r="AL325" s="1115"/>
      <c r="AM325" s="1115"/>
      <c r="AN325" s="1115"/>
      <c r="AO325" s="1115"/>
      <c r="AP325" s="1115"/>
      <c r="AQ325" s="1115"/>
      <c r="AR325" s="1115"/>
      <c r="AS325" s="1115"/>
      <c r="AT325" s="1114">
        <f>_xlfn.SUMIFS(ФОТ!AJ$25:AJ$188,ФОТ!$F$25:$F$188,$F325,ФОТ!$G$25:$G$188,$G325)</f>
        <v>3345.30339896675</v>
      </c>
      <c r="AU325" s="1115"/>
      <c r="AV325" s="1115"/>
      <c r="AW325" s="1115"/>
      <c r="AX325" s="1115"/>
      <c r="AY325" s="1115"/>
      <c r="AZ325" s="1115"/>
      <c r="BA325" s="1115"/>
      <c r="BB325" s="1115"/>
      <c r="BC325" s="1115"/>
      <c r="BD325" s="1114">
        <f>IF(AI325=0,0,(AT325-AI325)/AI325*100)</f>
        <v>0</v>
      </c>
      <c r="BE325" s="1115"/>
      <c r="BF325" s="1115"/>
      <c r="BG325" s="1115"/>
      <c r="BH325" s="1115"/>
      <c r="BI325" s="1115"/>
      <c r="BJ325" s="1115"/>
      <c r="BK325" s="1115"/>
      <c r="BL325" s="1115"/>
      <c r="BM325" s="1115"/>
      <c r="BN325" s="7433"/>
      <c r="BO325" s="7437" t="s">
        <v>1232</v>
      </c>
      <c r="BP325" s="7433"/>
      <c r="BQ325" s="1278"/>
      <c r="BR325" s="1278"/>
      <c r="BS325" s="1062" t="s">
        <v>2473</v>
      </c>
      <c r="BT325" s="1064"/>
      <c r="BU325" s="1064"/>
      <c r="BV325" s="979"/>
      <c r="BW325" s="979"/>
    </row>
    <row s="1834" customFormat="1" customHeight="1" ht="75.75">
      <c r="A326" s="1278"/>
      <c r="B326" s="978"/>
      <c r="C326" s="107"/>
      <c r="D326" s="107"/>
      <c r="E326" s="621">
        <v>15</v>
      </c>
      <c r="F326" s="50" cm="1" t="str">
        <f t="array" ref="F326:F326">OFFSET(E326,-1,1)</f>
        <v>2</v>
      </c>
      <c r="G326" s="107"/>
      <c r="H326" s="857"/>
      <c r="I326" s="857" t="s">
        <v>2235</v>
      </c>
      <c r="J326" s="107"/>
      <c r="K326" s="378" t="s">
        <v>2235</v>
      </c>
      <c r="L326" s="980" t="s">
        <v>2475</v>
      </c>
      <c r="M326" s="107"/>
      <c r="N326" s="107"/>
      <c r="O326" s="107"/>
      <c r="P326" s="107"/>
      <c r="Q326" s="107"/>
      <c r="R326" s="107"/>
      <c r="S326" s="107"/>
      <c r="T326" s="465" cm="1" t="str">
        <f t="array" ref="T326:T326">T325</f>
        <v>true</v>
      </c>
      <c r="U326" s="107"/>
      <c r="V326" s="107"/>
      <c r="W326" s="107"/>
      <c r="X326" s="1596"/>
      <c r="Y326" s="1278"/>
      <c r="Z326" s="1546"/>
      <c r="AA326" s="1278"/>
      <c r="AB326" s="300" t="s">
        <v>2449</v>
      </c>
      <c r="AC326" s="765" t="s">
        <v>2650</v>
      </c>
      <c r="AD326" s="766" t="s">
        <v>1514</v>
      </c>
      <c r="AE326" s="3946"/>
      <c r="AF326" s="3946"/>
      <c r="AG326" s="3946"/>
      <c r="AH326" s="1114">
        <f>AG326-AF326</f>
        <v>0</v>
      </c>
      <c r="AI326" s="3946"/>
      <c r="AJ326" s="3946">
        <v>21.80828232</v>
      </c>
      <c r="AK326" s="1115"/>
      <c r="AL326" s="1115"/>
      <c r="AM326" s="1115"/>
      <c r="AN326" s="1115"/>
      <c r="AO326" s="1115"/>
      <c r="AP326" s="1115"/>
      <c r="AQ326" s="1115"/>
      <c r="AR326" s="1115"/>
      <c r="AS326" s="1115"/>
      <c r="AT326" s="3946">
        <f>(9.9*2.0801)+(9.9*0.1168)*1.051</f>
        <v>21.80828232</v>
      </c>
      <c r="AU326" s="1115"/>
      <c r="AV326" s="1115"/>
      <c r="AW326" s="1115"/>
      <c r="AX326" s="1115"/>
      <c r="AY326" s="1115"/>
      <c r="AZ326" s="1115"/>
      <c r="BA326" s="1115"/>
      <c r="BB326" s="1115"/>
      <c r="BC326" s="1115"/>
      <c r="BD326" s="1114">
        <f>IF(AI326=0,0,(AT326-AI326)/AI326*100)</f>
        <v>0</v>
      </c>
      <c r="BE326" s="1115"/>
      <c r="BF326" s="1115"/>
      <c r="BG326" s="1115"/>
      <c r="BH326" s="1115"/>
      <c r="BI326" s="1115"/>
      <c r="BJ326" s="1115"/>
      <c r="BK326" s="1115"/>
      <c r="BL326" s="1115"/>
      <c r="BM326" s="1115"/>
      <c r="BN326" s="7433"/>
      <c r="BO326" s="7433" t="s">
        <v>2935</v>
      </c>
      <c r="BP326" s="7433"/>
      <c r="BQ326" s="1278"/>
      <c r="BR326" s="1278"/>
      <c r="BS326" s="1063" t="s">
        <v>2478</v>
      </c>
      <c r="BT326" s="1064"/>
      <c r="BU326" s="1064"/>
      <c r="BV326" s="979"/>
      <c r="BW326" s="979"/>
    </row>
    <row s="1834" customFormat="1" customHeight="1" ht="14.25">
      <c r="A327" s="1278"/>
      <c r="B327" s="978"/>
      <c r="C327" s="107"/>
      <c r="D327" s="107"/>
      <c r="E327" s="621">
        <v>15</v>
      </c>
      <c r="F327" s="50" cm="1" t="str">
        <f t="array" ref="F327:F327">OFFSET(E327,-1,1)</f>
        <v>2</v>
      </c>
      <c r="G327" s="107"/>
      <c r="H327" s="857"/>
      <c r="I327" s="857" t="s">
        <v>2239</v>
      </c>
      <c r="J327" s="107"/>
      <c r="K327" s="378" t="s">
        <v>2239</v>
      </c>
      <c r="L327" s="980" t="s">
        <v>2479</v>
      </c>
      <c r="M327" s="1278"/>
      <c r="N327" s="107"/>
      <c r="O327" s="107"/>
      <c r="P327" s="107"/>
      <c r="Q327" s="107"/>
      <c r="R327" s="107"/>
      <c r="S327" s="107"/>
      <c r="T327" s="465" cm="1" t="str">
        <f t="array" ref="T327:T327">T326</f>
        <v>true</v>
      </c>
      <c r="U327" s="107"/>
      <c r="V327" s="107"/>
      <c r="W327" s="107"/>
      <c r="X327" s="1596"/>
      <c r="Y327" s="1278"/>
      <c r="Z327" s="1546"/>
      <c r="AA327" s="1278"/>
      <c r="AB327" s="300" t="s">
        <v>2451</v>
      </c>
      <c r="AC327" s="765" t="s">
        <v>2651</v>
      </c>
      <c r="AD327" s="300" t="s">
        <v>1514</v>
      </c>
      <c r="AE327" s="1116">
        <f>SUM(AE328:AE334)</f>
        <v>0</v>
      </c>
      <c r="AF327" s="1116">
        <f>SUM(AF328:AF334)</f>
        <v>0</v>
      </c>
      <c r="AG327" s="1116">
        <f>SUM(AG328:AG334)</f>
        <v>0</v>
      </c>
      <c r="AH327" s="1114">
        <f>AG327-AF327</f>
        <v>0</v>
      </c>
      <c r="AI327" s="1116">
        <f>SUM(AI328:AI334)</f>
        <v>0</v>
      </c>
      <c r="AJ327" s="1116">
        <f>SUM(AJ328:AJ334)</f>
        <v>538.0183214</v>
      </c>
      <c r="AK327" s="1115"/>
      <c r="AL327" s="1115"/>
      <c r="AM327" s="1115"/>
      <c r="AN327" s="1115"/>
      <c r="AO327" s="1115"/>
      <c r="AP327" s="1115"/>
      <c r="AQ327" s="1115"/>
      <c r="AR327" s="1115"/>
      <c r="AS327" s="1115"/>
      <c r="AT327" s="1116">
        <f>SUM(AT328:AT334)</f>
        <v>538.0183214</v>
      </c>
      <c r="AU327" s="1115"/>
      <c r="AV327" s="1115"/>
      <c r="AW327" s="1115"/>
      <c r="AX327" s="1115"/>
      <c r="AY327" s="1115"/>
      <c r="AZ327" s="1115"/>
      <c r="BA327" s="1115"/>
      <c r="BB327" s="1115"/>
      <c r="BC327" s="1115"/>
      <c r="BD327" s="1114">
        <f>IF(AI327=0,0,(AT327-AI327)/AI327*100)</f>
        <v>0</v>
      </c>
      <c r="BE327" s="1115"/>
      <c r="BF327" s="1115"/>
      <c r="BG327" s="1115"/>
      <c r="BH327" s="1115"/>
      <c r="BI327" s="1115"/>
      <c r="BJ327" s="1115"/>
      <c r="BK327" s="1115"/>
      <c r="BL327" s="1115"/>
      <c r="BM327" s="1115"/>
      <c r="BN327" s="7433"/>
      <c r="BO327" s="7433"/>
      <c r="BP327" s="7433"/>
      <c r="BQ327" s="1278"/>
      <c r="BR327" s="1278"/>
      <c r="BS327" s="1063" t="s">
        <v>2652</v>
      </c>
      <c r="BT327" s="1064"/>
      <c r="BU327" s="1064"/>
      <c r="BV327" s="979"/>
      <c r="BW327" s="979"/>
    </row>
    <row s="1834" customFormat="1" customHeight="1" ht="0">
      <c r="A328" s="1278"/>
      <c r="B328" s="978"/>
      <c r="C328" s="107"/>
      <c r="D328" s="107"/>
      <c r="E328" s="621">
        <v>15</v>
      </c>
      <c r="F328" s="50" cm="1" t="str">
        <f t="array" ref="F328:F328">OFFSET(E328,-1,1)</f>
        <v>2</v>
      </c>
      <c r="G328" s="107"/>
      <c r="H328" s="857"/>
      <c r="I328" s="857" t="s">
        <v>2653</v>
      </c>
      <c r="J328" s="107"/>
      <c r="K328" s="378" t="s">
        <v>2653</v>
      </c>
      <c r="L328" s="980" t="s">
        <v>2479</v>
      </c>
      <c r="M328" s="107" t="s">
        <v>2487</v>
      </c>
      <c r="N328" s="107"/>
      <c r="O328" s="107"/>
      <c r="P328" s="107"/>
      <c r="Q328" s="107"/>
      <c r="R328" s="107"/>
      <c r="S328" s="107"/>
      <c r="T328" s="465" cm="1" t="str">
        <f t="array" ref="T328:T328">T327</f>
        <v>true</v>
      </c>
      <c r="U328" s="107"/>
      <c r="V328" s="107"/>
      <c r="W328" s="107"/>
      <c r="X328" s="1596"/>
      <c r="Y328" s="1278"/>
      <c r="Z328" s="1546"/>
      <c r="AA328" s="1278"/>
      <c r="AB328" s="300" t="s">
        <v>2654</v>
      </c>
      <c r="AC328" s="768" t="s">
        <v>2655</v>
      </c>
      <c r="AD328" s="300" t="s">
        <v>1514</v>
      </c>
      <c r="AE328" s="3946"/>
      <c r="AF328" s="3946"/>
      <c r="AG328" s="3946"/>
      <c r="AH328" s="1114">
        <f>AG328-AF328</f>
        <v>0</v>
      </c>
      <c r="AI328" s="3946"/>
      <c r="AJ328" s="3946"/>
      <c r="AK328" s="1115"/>
      <c r="AL328" s="1115"/>
      <c r="AM328" s="1115"/>
      <c r="AN328" s="1115"/>
      <c r="AO328" s="1115"/>
      <c r="AP328" s="1115"/>
      <c r="AQ328" s="1115"/>
      <c r="AR328" s="1115"/>
      <c r="AS328" s="1115"/>
      <c r="AT328" s="3946"/>
      <c r="AU328" s="1115"/>
      <c r="AV328" s="1115"/>
      <c r="AW328" s="1115"/>
      <c r="AX328" s="1115"/>
      <c r="AY328" s="1115"/>
      <c r="AZ328" s="1115"/>
      <c r="BA328" s="1115"/>
      <c r="BB328" s="1115"/>
      <c r="BC328" s="1115"/>
      <c r="BD328" s="1114">
        <f>IF(AI328=0,0,(AT328-AI328)/AI328*100)</f>
        <v>0</v>
      </c>
      <c r="BE328" s="1115"/>
      <c r="BF328" s="1115"/>
      <c r="BG328" s="1115"/>
      <c r="BH328" s="1115"/>
      <c r="BI328" s="1115"/>
      <c r="BJ328" s="1115"/>
      <c r="BK328" s="1115"/>
      <c r="BL328" s="1115"/>
      <c r="BM328" s="1115"/>
      <c r="BN328" s="7433"/>
      <c r="BO328" s="7433"/>
      <c r="BP328" s="7433"/>
      <c r="BQ328" s="1278"/>
      <c r="BR328" s="1278"/>
      <c r="BS328" s="1062" t="s">
        <v>2490</v>
      </c>
      <c r="BT328" s="1064"/>
      <c r="BU328" s="1064"/>
      <c r="BV328" s="979"/>
      <c r="BW328" s="979"/>
    </row>
    <row s="1834" customFormat="1" customHeight="1" ht="0">
      <c r="A329" s="1278"/>
      <c r="B329" s="978"/>
      <c r="C329" s="107"/>
      <c r="D329" s="107"/>
      <c r="E329" s="621">
        <v>22.5</v>
      </c>
      <c r="F329" s="50" cm="1" t="str">
        <f t="array" ref="F329:F329">OFFSET(E329,-1,1)</f>
        <v>2</v>
      </c>
      <c r="G329" s="107"/>
      <c r="H329" s="857"/>
      <c r="I329" s="857" t="s">
        <v>2656</v>
      </c>
      <c r="J329" s="107"/>
      <c r="K329" s="378" t="s">
        <v>2656</v>
      </c>
      <c r="L329" s="980" t="s">
        <v>2479</v>
      </c>
      <c r="M329" s="107" t="s">
        <v>2483</v>
      </c>
      <c r="N329" s="107"/>
      <c r="O329" s="107"/>
      <c r="P329" s="107"/>
      <c r="Q329" s="107"/>
      <c r="R329" s="107"/>
      <c r="S329" s="107"/>
      <c r="T329" s="465" cm="1" t="str">
        <f t="array" ref="T329:T329">T328</f>
        <v>true</v>
      </c>
      <c r="U329" s="107"/>
      <c r="V329" s="107"/>
      <c r="W329" s="107"/>
      <c r="X329" s="1596"/>
      <c r="Y329" s="1278"/>
      <c r="Z329" s="1546"/>
      <c r="AA329" s="1278"/>
      <c r="AB329" s="300" t="s">
        <v>2657</v>
      </c>
      <c r="AC329" s="768" t="s">
        <v>2658</v>
      </c>
      <c r="AD329" s="300" t="s">
        <v>1514</v>
      </c>
      <c r="AE329" s="3946"/>
      <c r="AF329" s="3946"/>
      <c r="AG329" s="3946"/>
      <c r="AH329" s="1114">
        <f>AG329-AF329</f>
        <v>0</v>
      </c>
      <c r="AI329" s="3946"/>
      <c r="AJ329" s="3946"/>
      <c r="AK329" s="1115"/>
      <c r="AL329" s="1115"/>
      <c r="AM329" s="1115"/>
      <c r="AN329" s="1115"/>
      <c r="AO329" s="1115"/>
      <c r="AP329" s="1115"/>
      <c r="AQ329" s="1115"/>
      <c r="AR329" s="1115"/>
      <c r="AS329" s="1115"/>
      <c r="AT329" s="3946"/>
      <c r="AU329" s="1115"/>
      <c r="AV329" s="1115"/>
      <c r="AW329" s="1115"/>
      <c r="AX329" s="1115"/>
      <c r="AY329" s="1115"/>
      <c r="AZ329" s="1115"/>
      <c r="BA329" s="1115"/>
      <c r="BB329" s="1115"/>
      <c r="BC329" s="1115"/>
      <c r="BD329" s="1114">
        <f>IF(AI329=0,0,(AT329-AI329)/AI329*100)</f>
        <v>0</v>
      </c>
      <c r="BE329" s="1115"/>
      <c r="BF329" s="1115"/>
      <c r="BG329" s="1115"/>
      <c r="BH329" s="1115"/>
      <c r="BI329" s="1115"/>
      <c r="BJ329" s="1115"/>
      <c r="BK329" s="1115"/>
      <c r="BL329" s="1115"/>
      <c r="BM329" s="1115"/>
      <c r="BN329" s="7433"/>
      <c r="BO329" s="7433"/>
      <c r="BP329" s="7433"/>
      <c r="BQ329" s="1278"/>
      <c r="BR329" s="1278"/>
      <c r="BS329" s="1064" t="s">
        <v>2659</v>
      </c>
      <c r="BT329" s="1064"/>
      <c r="BU329" s="1064"/>
      <c r="BV329" s="979"/>
      <c r="BW329" s="979"/>
    </row>
    <row s="1834" customFormat="1" customHeight="1" ht="21.75">
      <c r="A330" s="1278"/>
      <c r="B330" s="978"/>
      <c r="C330" s="107"/>
      <c r="D330" s="107"/>
      <c r="E330" s="621">
        <v>22.5</v>
      </c>
      <c r="F330" s="50" cm="1" t="str">
        <f t="array" ref="F330:F330">OFFSET(E330,-1,1)</f>
        <v>2</v>
      </c>
      <c r="G330" s="107"/>
      <c r="H330" s="857"/>
      <c r="I330" s="857" t="s">
        <v>2660</v>
      </c>
      <c r="J330" s="107"/>
      <c r="K330" s="378" t="s">
        <v>2660</v>
      </c>
      <c r="L330" s="1278"/>
      <c r="M330" s="1278"/>
      <c r="N330" s="107"/>
      <c r="O330" s="107"/>
      <c r="P330" s="107"/>
      <c r="Q330" s="107"/>
      <c r="R330" s="107"/>
      <c r="S330" s="107"/>
      <c r="T330" s="465" cm="1" t="str">
        <f t="array" ref="T330:T330">T329</f>
        <v>true</v>
      </c>
      <c r="U330" s="107"/>
      <c r="V330" s="107"/>
      <c r="W330" s="107"/>
      <c r="X330" s="1596"/>
      <c r="Y330" s="1278"/>
      <c r="Z330" s="1546"/>
      <c r="AA330" s="1278"/>
      <c r="AB330" s="300" t="s">
        <v>2661</v>
      </c>
      <c r="AC330" s="769" t="s">
        <v>2662</v>
      </c>
      <c r="AD330" s="300" t="s">
        <v>1514</v>
      </c>
      <c r="AE330" s="3946"/>
      <c r="AF330" s="3946"/>
      <c r="AG330" s="3946"/>
      <c r="AH330" s="1114">
        <f>AG330-AF330</f>
        <v>0</v>
      </c>
      <c r="AI330" s="3946"/>
      <c r="AJ330" s="3946">
        <v>538.0183214</v>
      </c>
      <c r="AK330" s="1115"/>
      <c r="AL330" s="1115"/>
      <c r="AM330" s="1115"/>
      <c r="AN330" s="1115"/>
      <c r="AO330" s="1115"/>
      <c r="AP330" s="1115"/>
      <c r="AQ330" s="1115"/>
      <c r="AR330" s="1115"/>
      <c r="AS330" s="1115"/>
      <c r="AT330" s="3946">
        <f>32.576796+6.8792154+3.02688+17.69183+37.0436+352.85+87.95</f>
        <v>538.0183214</v>
      </c>
      <c r="AU330" s="1115"/>
      <c r="AV330" s="1115"/>
      <c r="AW330" s="1115"/>
      <c r="AX330" s="1115"/>
      <c r="AY330" s="1115"/>
      <c r="AZ330" s="1115"/>
      <c r="BA330" s="1115"/>
      <c r="BB330" s="1115"/>
      <c r="BC330" s="1115"/>
      <c r="BD330" s="1114">
        <f>IF(AI330=0,0,(AT330-AI330)/AI330*100)</f>
        <v>0</v>
      </c>
      <c r="BE330" s="1115"/>
      <c r="BF330" s="1115"/>
      <c r="BG330" s="1115"/>
      <c r="BH330" s="1115"/>
      <c r="BI330" s="1115"/>
      <c r="BJ330" s="1115"/>
      <c r="BK330" s="1115"/>
      <c r="BL330" s="1115"/>
      <c r="BM330" s="1115"/>
      <c r="BN330" s="7433"/>
      <c r="BO330" s="7433"/>
      <c r="BP330" s="7433"/>
      <c r="BQ330" s="1278"/>
      <c r="BR330" s="1278"/>
      <c r="BS330" s="1064" t="s">
        <v>2663</v>
      </c>
      <c r="BT330" s="1064"/>
      <c r="BU330" s="1064"/>
      <c r="BV330" s="979"/>
      <c r="BW330" s="979"/>
    </row>
    <row s="1834" customFormat="1" customHeight="1" ht="0">
      <c r="A331" s="1278"/>
      <c r="B331" s="978"/>
      <c r="C331" s="107"/>
      <c r="D331" s="107"/>
      <c r="E331" s="621">
        <v>22.5</v>
      </c>
      <c r="F331" s="50" cm="1" t="str">
        <f t="array" ref="F331:F331">OFFSET(E331,-1,1)</f>
        <v>2</v>
      </c>
      <c r="G331" s="107"/>
      <c r="H331" s="857"/>
      <c r="I331" s="857" t="s">
        <v>2664</v>
      </c>
      <c r="J331" s="107"/>
      <c r="K331" s="378" t="s">
        <v>2664</v>
      </c>
      <c r="L331" s="980"/>
      <c r="M331" s="1278"/>
      <c r="N331" s="107"/>
      <c r="O331" s="107"/>
      <c r="P331" s="107"/>
      <c r="Q331" s="107"/>
      <c r="R331" s="107"/>
      <c r="S331" s="107"/>
      <c r="T331" s="465" cm="1" t="str">
        <f t="array" ref="T331:T331">T330</f>
        <v>true</v>
      </c>
      <c r="U331" s="107"/>
      <c r="V331" s="107"/>
      <c r="W331" s="107"/>
      <c r="X331" s="1596"/>
      <c r="Y331" s="1278"/>
      <c r="Z331" s="1546"/>
      <c r="AA331" s="1278"/>
      <c r="AB331" s="300" t="s">
        <v>2665</v>
      </c>
      <c r="AC331" s="769" t="s">
        <v>2666</v>
      </c>
      <c r="AD331" s="300" t="s">
        <v>1514</v>
      </c>
      <c r="AE331" s="3946"/>
      <c r="AF331" s="3946"/>
      <c r="AG331" s="3946"/>
      <c r="AH331" s="1114">
        <f>AG331-AF331</f>
        <v>0</v>
      </c>
      <c r="AI331" s="3946"/>
      <c r="AJ331" s="3946"/>
      <c r="AK331" s="1115"/>
      <c r="AL331" s="1115"/>
      <c r="AM331" s="1115"/>
      <c r="AN331" s="1115"/>
      <c r="AO331" s="1115"/>
      <c r="AP331" s="1115"/>
      <c r="AQ331" s="1115"/>
      <c r="AR331" s="1115"/>
      <c r="AS331" s="1115"/>
      <c r="AT331" s="3946"/>
      <c r="AU331" s="1115"/>
      <c r="AV331" s="1115"/>
      <c r="AW331" s="1115"/>
      <c r="AX331" s="1115"/>
      <c r="AY331" s="1115"/>
      <c r="AZ331" s="1115"/>
      <c r="BA331" s="1115"/>
      <c r="BB331" s="1115"/>
      <c r="BC331" s="1115"/>
      <c r="BD331" s="1114">
        <f>IF(AI331=0,0,(AT331-AI331)/AI331*100)</f>
        <v>0</v>
      </c>
      <c r="BE331" s="1115"/>
      <c r="BF331" s="1115"/>
      <c r="BG331" s="1115"/>
      <c r="BH331" s="1115"/>
      <c r="BI331" s="1115"/>
      <c r="BJ331" s="1115"/>
      <c r="BK331" s="1115"/>
      <c r="BL331" s="1115"/>
      <c r="BM331" s="1115"/>
      <c r="BN331" s="7433"/>
      <c r="BO331" s="7433"/>
      <c r="BP331" s="7433"/>
      <c r="BQ331" s="1278"/>
      <c r="BR331" s="1278"/>
      <c r="BS331" s="1064" t="s">
        <v>2667</v>
      </c>
      <c r="BT331" s="1064"/>
      <c r="BU331" s="1064"/>
      <c r="BV331" s="979"/>
      <c r="BW331" s="979"/>
    </row>
    <row s="1834" customFormat="1" customHeight="1" ht="0">
      <c r="A332" s="1278"/>
      <c r="B332" s="978"/>
      <c r="C332" s="107"/>
      <c r="D332" s="107"/>
      <c r="E332" s="621">
        <v>45</v>
      </c>
      <c r="F332" s="50" cm="1" t="str">
        <f t="array" ref="F332:F332">OFFSET(E332,-1,1)</f>
        <v>2</v>
      </c>
      <c r="G332" s="107"/>
      <c r="H332" s="857"/>
      <c r="I332" s="857" t="s">
        <v>2668</v>
      </c>
      <c r="J332" s="107"/>
      <c r="K332" s="378" t="s">
        <v>2668</v>
      </c>
      <c r="L332" s="980" t="s">
        <v>2479</v>
      </c>
      <c r="M332" s="107" t="s">
        <v>2491</v>
      </c>
      <c r="N332" s="107"/>
      <c r="O332" s="107"/>
      <c r="P332" s="107"/>
      <c r="Q332" s="107"/>
      <c r="R332" s="107"/>
      <c r="S332" s="107"/>
      <c r="T332" s="465" cm="1" t="str">
        <f t="array" ref="T332:T332">T331</f>
        <v>true</v>
      </c>
      <c r="U332" s="107"/>
      <c r="V332" s="107"/>
      <c r="W332" s="107"/>
      <c r="X332" s="1596"/>
      <c r="Y332" s="1278"/>
      <c r="Z332" s="1546"/>
      <c r="AA332" s="1278"/>
      <c r="AB332" s="300" t="s">
        <v>2669</v>
      </c>
      <c r="AC332" s="768" t="s">
        <v>2670</v>
      </c>
      <c r="AD332" s="300" t="s">
        <v>1514</v>
      </c>
      <c r="AE332" s="3946"/>
      <c r="AF332" s="3946"/>
      <c r="AG332" s="3946"/>
      <c r="AH332" s="1114">
        <f>AG332-AF332</f>
        <v>0</v>
      </c>
      <c r="AI332" s="3946"/>
      <c r="AJ332" s="3946"/>
      <c r="AK332" s="1115"/>
      <c r="AL332" s="1115"/>
      <c r="AM332" s="1115"/>
      <c r="AN332" s="1115"/>
      <c r="AO332" s="1115"/>
      <c r="AP332" s="1115"/>
      <c r="AQ332" s="1115"/>
      <c r="AR332" s="1115"/>
      <c r="AS332" s="1115"/>
      <c r="AT332" s="3946"/>
      <c r="AU332" s="1115"/>
      <c r="AV332" s="1115"/>
      <c r="AW332" s="1115"/>
      <c r="AX332" s="1115"/>
      <c r="AY332" s="1115"/>
      <c r="AZ332" s="1115"/>
      <c r="BA332" s="1115"/>
      <c r="BB332" s="1115"/>
      <c r="BC332" s="1115"/>
      <c r="BD332" s="1114">
        <f>IF(AI332=0,0,(AT332-AI332)/AI332*100)</f>
        <v>0</v>
      </c>
      <c r="BE332" s="1115"/>
      <c r="BF332" s="1115"/>
      <c r="BG332" s="1115"/>
      <c r="BH332" s="1115"/>
      <c r="BI332" s="1115"/>
      <c r="BJ332" s="1115"/>
      <c r="BK332" s="1115"/>
      <c r="BL332" s="1115"/>
      <c r="BM332" s="1115"/>
      <c r="BN332" s="7433"/>
      <c r="BO332" s="7433"/>
      <c r="BP332" s="7433"/>
      <c r="BQ332" s="1278"/>
      <c r="BR332" s="1278"/>
      <c r="BS332" s="1064" t="s">
        <v>2494</v>
      </c>
      <c r="BT332" s="1064"/>
      <c r="BU332" s="1064"/>
      <c r="BV332" s="979"/>
      <c r="BW332" s="979"/>
    </row>
    <row s="1834" customFormat="1" customHeight="1" ht="0">
      <c r="A333" s="1278"/>
      <c r="B333" s="978"/>
      <c r="C333" s="107"/>
      <c r="D333" s="107"/>
      <c r="E333" s="621">
        <v>15</v>
      </c>
      <c r="F333" s="50" cm="1" t="str">
        <f t="array" ref="F333:F333">OFFSET(E333,-1,1)</f>
        <v>2</v>
      </c>
      <c r="G333" s="107"/>
      <c r="H333" s="857"/>
      <c r="I333" s="857" t="s">
        <v>2671</v>
      </c>
      <c r="J333" s="107"/>
      <c r="K333" s="378" t="s">
        <v>2671</v>
      </c>
      <c r="L333" s="980" t="s">
        <v>2479</v>
      </c>
      <c r="M333" s="107" t="s">
        <v>2495</v>
      </c>
      <c r="N333" s="107"/>
      <c r="O333" s="107"/>
      <c r="P333" s="107"/>
      <c r="Q333" s="107"/>
      <c r="R333" s="107"/>
      <c r="S333" s="107"/>
      <c r="T333" s="465" cm="1" t="str">
        <f t="array" ref="T333:T333">T332</f>
        <v>true</v>
      </c>
      <c r="U333" s="107"/>
      <c r="V333" s="107"/>
      <c r="W333" s="107"/>
      <c r="X333" s="1596"/>
      <c r="Y333" s="1278"/>
      <c r="Z333" s="1546"/>
      <c r="AA333" s="1278"/>
      <c r="AB333" s="300" t="s">
        <v>2672</v>
      </c>
      <c r="AC333" s="768" t="s">
        <v>2497</v>
      </c>
      <c r="AD333" s="300" t="s">
        <v>1514</v>
      </c>
      <c r="AE333" s="3946"/>
      <c r="AF333" s="3946"/>
      <c r="AG333" s="3946"/>
      <c r="AH333" s="1114">
        <f>AG333-AF333</f>
        <v>0</v>
      </c>
      <c r="AI333" s="3946"/>
      <c r="AJ333" s="3946"/>
      <c r="AK333" s="1115"/>
      <c r="AL333" s="1115"/>
      <c r="AM333" s="1115"/>
      <c r="AN333" s="1115"/>
      <c r="AO333" s="1115"/>
      <c r="AP333" s="1115"/>
      <c r="AQ333" s="1115"/>
      <c r="AR333" s="1115"/>
      <c r="AS333" s="1115"/>
      <c r="AT333" s="3946"/>
      <c r="AU333" s="1115"/>
      <c r="AV333" s="1115"/>
      <c r="AW333" s="1115"/>
      <c r="AX333" s="1115"/>
      <c r="AY333" s="1115"/>
      <c r="AZ333" s="1115"/>
      <c r="BA333" s="1115"/>
      <c r="BB333" s="1115"/>
      <c r="BC333" s="1115"/>
      <c r="BD333" s="1114">
        <f>IF(AI333=0,0,(AT333-AI333)/AI333*100)</f>
        <v>0</v>
      </c>
      <c r="BE333" s="1115"/>
      <c r="BF333" s="1115"/>
      <c r="BG333" s="1115"/>
      <c r="BH333" s="1115"/>
      <c r="BI333" s="1115"/>
      <c r="BJ333" s="1115"/>
      <c r="BK333" s="1115"/>
      <c r="BL333" s="1115"/>
      <c r="BM333" s="1115"/>
      <c r="BN333" s="7433"/>
      <c r="BO333" s="7433"/>
      <c r="BP333" s="7433"/>
      <c r="BQ333" s="1278"/>
      <c r="BR333" s="1278"/>
      <c r="BS333" s="1064" t="s">
        <v>2498</v>
      </c>
      <c r="BT333" s="1064"/>
      <c r="BU333" s="1064"/>
      <c r="BV333" s="979"/>
      <c r="BW333" s="979"/>
    </row>
    <row s="1834" customFormat="1" customHeight="1" ht="0">
      <c r="A334" s="1278"/>
      <c r="B334" s="978"/>
      <c r="C334" s="107"/>
      <c r="D334" s="107"/>
      <c r="E334" s="621">
        <v>15</v>
      </c>
      <c r="F334" s="50" cm="1" t="str">
        <f t="array" ref="F334:F334">OFFSET(E334,-1,1)</f>
        <v>2</v>
      </c>
      <c r="G334" s="107"/>
      <c r="H334" s="857"/>
      <c r="I334" s="857" t="s">
        <v>2673</v>
      </c>
      <c r="J334" s="107"/>
      <c r="K334" s="378" t="s">
        <v>2673</v>
      </c>
      <c r="L334" s="980"/>
      <c r="M334" s="107"/>
      <c r="N334" s="107"/>
      <c r="O334" s="107"/>
      <c r="P334" s="107"/>
      <c r="Q334" s="107"/>
      <c r="R334" s="107"/>
      <c r="S334" s="107"/>
      <c r="T334" s="465" cm="1" t="str">
        <f t="array" ref="T334:T334">T333</f>
        <v>true</v>
      </c>
      <c r="U334" s="107"/>
      <c r="V334" s="107"/>
      <c r="W334" s="107"/>
      <c r="X334" s="1596"/>
      <c r="Y334" s="1278"/>
      <c r="Z334" s="1546"/>
      <c r="AA334" s="1278"/>
      <c r="AB334" s="300" t="s">
        <v>2674</v>
      </c>
      <c r="AC334" s="768" t="s">
        <v>2675</v>
      </c>
      <c r="AD334" s="300" t="s">
        <v>1514</v>
      </c>
      <c r="AE334" s="3946"/>
      <c r="AF334" s="3946"/>
      <c r="AG334" s="3946"/>
      <c r="AH334" s="1114">
        <f>AG334-AF334</f>
        <v>0</v>
      </c>
      <c r="AI334" s="3946"/>
      <c r="AJ334" s="1353"/>
      <c r="AK334" s="1115"/>
      <c r="AL334" s="1115"/>
      <c r="AM334" s="1115"/>
      <c r="AN334" s="1115"/>
      <c r="AO334" s="1115"/>
      <c r="AP334" s="1115"/>
      <c r="AQ334" s="1115"/>
      <c r="AR334" s="1115"/>
      <c r="AS334" s="1115"/>
      <c r="AT334" s="1367"/>
      <c r="AU334" s="1115"/>
      <c r="AV334" s="1115"/>
      <c r="AW334" s="1115"/>
      <c r="AX334" s="1115"/>
      <c r="AY334" s="1115"/>
      <c r="AZ334" s="1115"/>
      <c r="BA334" s="1115"/>
      <c r="BB334" s="1115"/>
      <c r="BC334" s="1115"/>
      <c r="BD334" s="1114">
        <f>IF(AI334=0,0,(AT334-AI334)/AI334*100)</f>
        <v>0</v>
      </c>
      <c r="BE334" s="1115"/>
      <c r="BF334" s="1115"/>
      <c r="BG334" s="1115"/>
      <c r="BH334" s="1115"/>
      <c r="BI334" s="1115"/>
      <c r="BJ334" s="1115"/>
      <c r="BK334" s="1115"/>
      <c r="BL334" s="1115"/>
      <c r="BM334" s="1115"/>
      <c r="BN334" s="7433"/>
      <c r="BO334" s="7433"/>
      <c r="BP334" s="7433"/>
      <c r="BQ334" s="1278"/>
      <c r="BR334" s="1278"/>
      <c r="BS334" s="1064" t="s">
        <v>2482</v>
      </c>
      <c r="BT334" s="1064"/>
      <c r="BU334" s="1064"/>
      <c r="BV334" s="979"/>
      <c r="BW334" s="979"/>
    </row>
    <row s="7503" customFormat="1" customHeight="1" ht="20.25">
      <c r="A335" s="700"/>
      <c r="B335" s="435"/>
      <c r="C335" s="109"/>
      <c r="D335" s="109"/>
      <c r="E335" s="826">
        <v>21</v>
      </c>
      <c r="F335" s="50" cm="1" t="str">
        <f t="array" ref="F335:F335">OFFSET(E335,-1,1)</f>
        <v>2</v>
      </c>
      <c r="G335" s="109"/>
      <c r="H335" s="857"/>
      <c r="I335" s="857" t="s">
        <v>1182</v>
      </c>
      <c r="J335" s="109"/>
      <c r="K335" s="378" t="s">
        <v>1182</v>
      </c>
      <c r="L335" s="985"/>
      <c r="M335" s="109"/>
      <c r="N335" s="109"/>
      <c r="O335" s="109"/>
      <c r="P335" s="109"/>
      <c r="Q335" s="109"/>
      <c r="R335" s="109"/>
      <c r="S335" s="109"/>
      <c r="T335" s="465" cm="1" t="str">
        <f t="array" ref="T335:T335">T334</f>
        <v>true</v>
      </c>
      <c r="U335" s="109"/>
      <c r="V335" s="109"/>
      <c r="W335" s="109"/>
      <c r="X335" s="1596"/>
      <c r="Y335" s="700"/>
      <c r="Z335" s="1546"/>
      <c r="AA335" s="700"/>
      <c r="AB335" s="211" t="s">
        <v>1634</v>
      </c>
      <c r="AC335" s="361" t="s">
        <v>2501</v>
      </c>
      <c r="AD335" s="211" t="s">
        <v>1514</v>
      </c>
      <c r="AE335" s="213">
        <f>AE336+AE337+AE338</f>
        <v>0</v>
      </c>
      <c r="AF335" s="213">
        <f>AF336+AF337+AF338</f>
        <v>0</v>
      </c>
      <c r="AG335" s="213">
        <f>AG336+AG337+AG338</f>
        <v>0</v>
      </c>
      <c r="AH335" s="778">
        <f>AG335-AF335</f>
        <v>0</v>
      </c>
      <c r="AI335" s="213">
        <f>AI336+AI337+AI338</f>
        <v>0</v>
      </c>
      <c r="AJ335" s="213">
        <f>AJ336+AJ337+AJ338</f>
        <v>20287.80246</v>
      </c>
      <c r="AK335" s="216"/>
      <c r="AL335" s="216"/>
      <c r="AM335" s="216"/>
      <c r="AN335" s="216"/>
      <c r="AO335" s="216"/>
      <c r="AP335" s="216"/>
      <c r="AQ335" s="216"/>
      <c r="AR335" s="216"/>
      <c r="AS335" s="216"/>
      <c r="AT335" s="213">
        <f>AT336+AT337+AT338</f>
        <v>20287.80246</v>
      </c>
      <c r="AU335" s="216"/>
      <c r="AV335" s="216"/>
      <c r="AW335" s="216"/>
      <c r="AX335" s="216"/>
      <c r="AY335" s="216"/>
      <c r="AZ335" s="216"/>
      <c r="BA335" s="216"/>
      <c r="BB335" s="216"/>
      <c r="BC335" s="216"/>
      <c r="BD335" s="778">
        <f>IF(AI335=0,0,(AT335-AI335)/AI335*100)</f>
        <v>0</v>
      </c>
      <c r="BE335" s="216"/>
      <c r="BF335" s="216"/>
      <c r="BG335" s="216"/>
      <c r="BH335" s="216"/>
      <c r="BI335" s="216"/>
      <c r="BJ335" s="216"/>
      <c r="BK335" s="216"/>
      <c r="BL335" s="216"/>
      <c r="BM335" s="216"/>
      <c r="BN335" s="7436"/>
      <c r="BO335" s="7436"/>
      <c r="BP335" s="7436"/>
      <c r="BQ335" s="700"/>
      <c r="BR335" s="700"/>
      <c r="BS335" s="1063" t="s">
        <v>2502</v>
      </c>
      <c r="BT335" s="1070"/>
      <c r="BU335" s="1070"/>
      <c r="BV335" s="707"/>
      <c r="BW335" s="707"/>
    </row>
    <row s="1834" customFormat="1" customHeight="1" ht="0">
      <c r="A336" s="1278"/>
      <c r="B336" s="978"/>
      <c r="C336" s="107"/>
      <c r="D336" s="107"/>
      <c r="E336" s="621">
        <v>22.5</v>
      </c>
      <c r="F336" s="50" cm="1" t="str">
        <f t="array" ref="F336:F336">OFFSET(E336,-1,1)</f>
        <v>2</v>
      </c>
      <c r="G336" s="107"/>
      <c r="H336" s="857"/>
      <c r="I336" s="857" t="s">
        <v>2081</v>
      </c>
      <c r="J336" s="107"/>
      <c r="K336" s="378" t="s">
        <v>2081</v>
      </c>
      <c r="L336" s="980"/>
      <c r="M336" s="107"/>
      <c r="N336" s="107"/>
      <c r="O336" s="107"/>
      <c r="P336" s="107"/>
      <c r="Q336" s="107"/>
      <c r="R336" s="107"/>
      <c r="S336" s="107"/>
      <c r="T336" s="465" cm="1" t="str">
        <f t="array" ref="T336:T336">T335</f>
        <v>true</v>
      </c>
      <c r="U336" s="107"/>
      <c r="V336" s="107"/>
      <c r="W336" s="107"/>
      <c r="X336" s="1596"/>
      <c r="Y336" s="1278"/>
      <c r="Z336" s="1546"/>
      <c r="AA336" s="1278"/>
      <c r="AB336" s="300" t="s">
        <v>2082</v>
      </c>
      <c r="AC336" s="765" t="s">
        <v>2676</v>
      </c>
      <c r="AD336" s="300" t="s">
        <v>1514</v>
      </c>
      <c r="AE336" s="3946"/>
      <c r="AF336" s="3946"/>
      <c r="AG336" s="3946"/>
      <c r="AH336" s="1114">
        <f>AG336-AF336</f>
        <v>0</v>
      </c>
      <c r="AI336" s="3946"/>
      <c r="AJ336" s="3946"/>
      <c r="AK336" s="1115"/>
      <c r="AL336" s="1115"/>
      <c r="AM336" s="1115"/>
      <c r="AN336" s="1115"/>
      <c r="AO336" s="1115"/>
      <c r="AP336" s="1115"/>
      <c r="AQ336" s="1115"/>
      <c r="AR336" s="1115"/>
      <c r="AS336" s="1115"/>
      <c r="AT336" s="3946"/>
      <c r="AU336" s="1115"/>
      <c r="AV336" s="1115"/>
      <c r="AW336" s="1115"/>
      <c r="AX336" s="1115"/>
      <c r="AY336" s="1115"/>
      <c r="AZ336" s="1115"/>
      <c r="BA336" s="1115"/>
      <c r="BB336" s="1115"/>
      <c r="BC336" s="1115"/>
      <c r="BD336" s="1114">
        <f>IF(AI336=0,0,(AT336-AI336)/AI336*100)</f>
        <v>0</v>
      </c>
      <c r="BE336" s="1115"/>
      <c r="BF336" s="1115"/>
      <c r="BG336" s="1115"/>
      <c r="BH336" s="1115"/>
      <c r="BI336" s="1115"/>
      <c r="BJ336" s="1115"/>
      <c r="BK336" s="1115"/>
      <c r="BL336" s="1115"/>
      <c r="BM336" s="1115"/>
      <c r="BN336" s="7433"/>
      <c r="BO336" s="7433"/>
      <c r="BP336" s="7433"/>
      <c r="BQ336" s="1278"/>
      <c r="BR336" s="1278"/>
      <c r="BS336" s="1062" t="s">
        <v>2504</v>
      </c>
      <c r="BT336" s="1064"/>
      <c r="BU336" s="1064"/>
      <c r="BV336" s="979"/>
      <c r="BW336" s="979"/>
    </row>
    <row s="1834" customFormat="1" customHeight="1" ht="44.25">
      <c r="A337" s="1278"/>
      <c r="B337" s="978"/>
      <c r="C337" s="107"/>
      <c r="D337" s="107"/>
      <c r="E337" s="621">
        <v>22.5</v>
      </c>
      <c r="F337" s="50" cm="1" t="str">
        <f t="array" ref="F337:F337">OFFSET(E337,-1,1)</f>
        <v>2</v>
      </c>
      <c r="G337" s="107"/>
      <c r="H337" s="857"/>
      <c r="I337" s="857" t="s">
        <v>2085</v>
      </c>
      <c r="J337" s="107"/>
      <c r="K337" s="378" t="s">
        <v>2085</v>
      </c>
      <c r="L337" s="980"/>
      <c r="M337" s="107"/>
      <c r="N337" s="107"/>
      <c r="O337" s="107"/>
      <c r="P337" s="107"/>
      <c r="Q337" s="107"/>
      <c r="R337" s="107"/>
      <c r="S337" s="107"/>
      <c r="T337" s="465" cm="1" t="str">
        <f t="array" ref="T337:T337">T336</f>
        <v>true</v>
      </c>
      <c r="U337" s="107"/>
      <c r="V337" s="107"/>
      <c r="W337" s="107"/>
      <c r="X337" s="1596"/>
      <c r="Y337" s="1278"/>
      <c r="Z337" s="1546"/>
      <c r="AA337" s="1278"/>
      <c r="AB337" s="300" t="s">
        <v>2086</v>
      </c>
      <c r="AC337" s="765" t="s">
        <v>2677</v>
      </c>
      <c r="AD337" s="300" t="s">
        <v>1514</v>
      </c>
      <c r="AE337" s="3946"/>
      <c r="AF337" s="3946"/>
      <c r="AG337" s="3946"/>
      <c r="AH337" s="1114">
        <f>AG337-AF337</f>
        <v>0</v>
      </c>
      <c r="AI337" s="3946"/>
      <c r="AJ337" s="3946">
        <v>20287.80246</v>
      </c>
      <c r="AK337" s="1115"/>
      <c r="AL337" s="1115"/>
      <c r="AM337" s="1115"/>
      <c r="AN337" s="1115"/>
      <c r="AO337" s="1115"/>
      <c r="AP337" s="1115"/>
      <c r="AQ337" s="1115"/>
      <c r="AR337" s="1115"/>
      <c r="AS337" s="1115"/>
      <c r="AT337" s="3946">
        <v>20287.80246</v>
      </c>
      <c r="AU337" s="1115"/>
      <c r="AV337" s="1115"/>
      <c r="AW337" s="1115"/>
      <c r="AX337" s="1115"/>
      <c r="AY337" s="1115"/>
      <c r="AZ337" s="1115"/>
      <c r="BA337" s="1115"/>
      <c r="BB337" s="1115"/>
      <c r="BC337" s="1115"/>
      <c r="BD337" s="1114">
        <f>IF(AI337=0,0,(AT337-AI337)/AI337*100)</f>
        <v>0</v>
      </c>
      <c r="BE337" s="1115"/>
      <c r="BF337" s="1115"/>
      <c r="BG337" s="1115"/>
      <c r="BH337" s="1115"/>
      <c r="BI337" s="1115"/>
      <c r="BJ337" s="1115"/>
      <c r="BK337" s="1115"/>
      <c r="BL337" s="1115"/>
      <c r="BM337" s="1115"/>
      <c r="BN337" s="7433"/>
      <c r="BO337" s="7433" t="s">
        <v>2925</v>
      </c>
      <c r="BP337" s="7433"/>
      <c r="BQ337" s="1278"/>
      <c r="BR337" s="1278"/>
      <c r="BS337" s="1064" t="s">
        <v>2678</v>
      </c>
      <c r="BT337" s="1064"/>
      <c r="BU337" s="1064"/>
      <c r="BV337" s="979"/>
      <c r="BW337" s="979"/>
    </row>
    <row s="1834" customFormat="1" customHeight="1" ht="0">
      <c r="A338" s="1278"/>
      <c r="B338" s="978"/>
      <c r="C338" s="107"/>
      <c r="D338" s="107"/>
      <c r="E338" s="621">
        <v>22.5</v>
      </c>
      <c r="F338" s="50" cm="1" t="str">
        <f t="array" ref="F338:F338">OFFSET(E338,-1,1)</f>
        <v>2</v>
      </c>
      <c r="G338" s="107"/>
      <c r="H338" s="857"/>
      <c r="I338" s="857" t="s">
        <v>2089</v>
      </c>
      <c r="J338" s="107"/>
      <c r="K338" s="378" t="s">
        <v>2089</v>
      </c>
      <c r="L338" s="980" t="s">
        <v>1196</v>
      </c>
      <c r="M338" s="107"/>
      <c r="N338" s="107"/>
      <c r="O338" s="107"/>
      <c r="P338" s="107"/>
      <c r="Q338" s="107"/>
      <c r="R338" s="107"/>
      <c r="S338" s="107"/>
      <c r="T338" s="465" cm="1" t="str">
        <f t="array" ref="T338:T338">T337</f>
        <v>true</v>
      </c>
      <c r="U338" s="107"/>
      <c r="V338" s="107"/>
      <c r="W338" s="107"/>
      <c r="X338" s="1596"/>
      <c r="Y338" s="1278"/>
      <c r="Z338" s="1546"/>
      <c r="AA338" s="1278"/>
      <c r="AB338" s="300" t="s">
        <v>2090</v>
      </c>
      <c r="AC338" s="765" t="s">
        <v>2679</v>
      </c>
      <c r="AD338" s="300" t="s">
        <v>1514</v>
      </c>
      <c r="AE338" s="1116">
        <f>AE339+AE340</f>
        <v>0</v>
      </c>
      <c r="AF338" s="1116">
        <f>AF339+AF340</f>
        <v>0</v>
      </c>
      <c r="AG338" s="1116">
        <f>AG339+AG340</f>
        <v>0</v>
      </c>
      <c r="AH338" s="1114">
        <f>AG338-AF338</f>
        <v>0</v>
      </c>
      <c r="AI338" s="1116">
        <f>AI339+AI340</f>
        <v>0</v>
      </c>
      <c r="AJ338" s="1116">
        <f>AJ339+AJ340</f>
        <v>0</v>
      </c>
      <c r="AK338" s="1115"/>
      <c r="AL338" s="1115"/>
      <c r="AM338" s="1115"/>
      <c r="AN338" s="1115"/>
      <c r="AO338" s="1115"/>
      <c r="AP338" s="1115"/>
      <c r="AQ338" s="1115"/>
      <c r="AR338" s="1115"/>
      <c r="AS338" s="1115"/>
      <c r="AT338" s="1116">
        <f>AT339+AT340</f>
        <v>0</v>
      </c>
      <c r="AU338" s="1115"/>
      <c r="AV338" s="1115"/>
      <c r="AW338" s="1115"/>
      <c r="AX338" s="1115"/>
      <c r="AY338" s="1115"/>
      <c r="AZ338" s="1115"/>
      <c r="BA338" s="1115"/>
      <c r="BB338" s="1115"/>
      <c r="BC338" s="1115"/>
      <c r="BD338" s="1114">
        <f>IF(AI338=0,0,(AT338-AI338)/AI338*100)</f>
        <v>0</v>
      </c>
      <c r="BE338" s="1115"/>
      <c r="BF338" s="1115"/>
      <c r="BG338" s="1115"/>
      <c r="BH338" s="1115"/>
      <c r="BI338" s="1115"/>
      <c r="BJ338" s="1115"/>
      <c r="BK338" s="1115"/>
      <c r="BL338" s="1115"/>
      <c r="BM338" s="1115"/>
      <c r="BN338" s="7433"/>
      <c r="BO338" s="7433"/>
      <c r="BP338" s="7433"/>
      <c r="BQ338" s="1278"/>
      <c r="BR338" s="1278"/>
      <c r="BS338" s="1062" t="s">
        <v>2506</v>
      </c>
      <c r="BT338" s="1064"/>
      <c r="BU338" s="1064"/>
      <c r="BV338" s="979"/>
      <c r="BW338" s="979"/>
    </row>
    <row s="1834" customFormat="1" customHeight="1" ht="0">
      <c r="A339" s="1278"/>
      <c r="B339" s="978"/>
      <c r="C339" s="107"/>
      <c r="D339" s="107"/>
      <c r="E339" s="621">
        <v>15</v>
      </c>
      <c r="F339" s="50" cm="1" t="str">
        <f t="array" ref="F339:F339">OFFSET(E339,-1,1)</f>
        <v>2</v>
      </c>
      <c r="G339" s="848" t="s">
        <v>1881</v>
      </c>
      <c r="H339" s="857"/>
      <c r="I339" s="857" t="s">
        <v>2680</v>
      </c>
      <c r="J339" s="107"/>
      <c r="K339" s="378" t="s">
        <v>2680</v>
      </c>
      <c r="L339" s="980" t="s">
        <v>2507</v>
      </c>
      <c r="M339" s="107"/>
      <c r="N339" s="107"/>
      <c r="O339" s="107"/>
      <c r="P339" s="107"/>
      <c r="Q339" s="107"/>
      <c r="R339" s="107"/>
      <c r="S339" s="107"/>
      <c r="T339" s="465" cm="1" t="str">
        <f t="array" ref="T339:T339">T338</f>
        <v>true</v>
      </c>
      <c r="U339" s="107"/>
      <c r="V339" s="107"/>
      <c r="W339" s="107"/>
      <c r="X339" s="1596"/>
      <c r="Y339" s="1278"/>
      <c r="Z339" s="1546"/>
      <c r="AA339" s="1278"/>
      <c r="AB339" s="300" t="s">
        <v>2681</v>
      </c>
      <c r="AC339" s="768" t="s">
        <v>2508</v>
      </c>
      <c r="AD339" s="300" t="s">
        <v>1514</v>
      </c>
      <c r="AE339" s="1114">
        <f>_xlfn.SUMIFS(ФОТ!AE$25:AE$188,ФОТ!$F$25:$F$188,$F339,ФОТ!$G$25:$G$188,$G339)</f>
        <v>0</v>
      </c>
      <c r="AF339" s="1114">
        <f>_xlfn.SUMIFS(ФОТ!AF$25:AF$188,ФОТ!$F$25:$F$188,$F339,ФОТ!$G$25:$G$188,$G339)</f>
        <v>0</v>
      </c>
      <c r="AG339" s="1114">
        <f>_xlfn.SUMIFS(ФОТ!AG$25:AG$188,ФОТ!$F$25:$F$188,$F339,ФОТ!$G$25:$G$188,$G339)</f>
        <v>0</v>
      </c>
      <c r="AH339" s="1114">
        <f>AG339-AF339</f>
        <v>0</v>
      </c>
      <c r="AI339" s="1114">
        <f>_xlfn.SUMIFS(ФОТ!AH$25:AH$188,ФОТ!$F$25:$F$188,$F339,ФОТ!$G$25:$G$188,$G339)</f>
        <v>0</v>
      </c>
      <c r="AJ339" s="1114">
        <f>_xlfn.SUMIFS(ФОТ!AI$25:AI$188,ФОТ!$F$25:$F$188,$F339,ФОТ!$G$25:$G$188,$G339)</f>
        <v>0</v>
      </c>
      <c r="AK339" s="1115"/>
      <c r="AL339" s="1115"/>
      <c r="AM339" s="1115"/>
      <c r="AN339" s="1115"/>
      <c r="AO339" s="1115"/>
      <c r="AP339" s="1115"/>
      <c r="AQ339" s="1115"/>
      <c r="AR339" s="1115"/>
      <c r="AS339" s="1115"/>
      <c r="AT339" s="1114">
        <f>_xlfn.SUMIFS(ФОТ!AJ$25:AJ$188,ФОТ!$F$25:$F$188,$F339,ФОТ!$G$25:$G$188,$G339)</f>
        <v>0</v>
      </c>
      <c r="AU339" s="1115"/>
      <c r="AV339" s="1115"/>
      <c r="AW339" s="1115"/>
      <c r="AX339" s="1115"/>
      <c r="AY339" s="1115"/>
      <c r="AZ339" s="1115"/>
      <c r="BA339" s="1115"/>
      <c r="BB339" s="1115"/>
      <c r="BC339" s="1115"/>
      <c r="BD339" s="1114">
        <f>IF(AI339=0,0,(AT339-AI339)/AI339*100)</f>
        <v>0</v>
      </c>
      <c r="BE339" s="1115"/>
      <c r="BF339" s="1115"/>
      <c r="BG339" s="1115"/>
      <c r="BH339" s="1115"/>
      <c r="BI339" s="1115"/>
      <c r="BJ339" s="1115"/>
      <c r="BK339" s="1115"/>
      <c r="BL339" s="1115"/>
      <c r="BM339" s="1115"/>
      <c r="BN339" s="7433"/>
      <c r="BO339" s="7437" t="str">
        <f>IF(_xlfn.IFERROR(INDEX(ФОТ!$K$26:$L$188,MATCH($F339&amp;"3komm",ФОТ!$K$26:$K$188,0),2),"")=0,"",_xlfn.IFERROR(INDEX(ФОТ!$K$26:$L$188,MATCH($F339&amp;"3komm",ФОТ!$K$26:$K$188,0),2),""))</f>
        <v/>
      </c>
      <c r="BP339" s="7433"/>
      <c r="BQ339" s="1278"/>
      <c r="BR339" s="1278"/>
      <c r="BS339" s="1062" t="s">
        <v>2509</v>
      </c>
      <c r="BT339" s="1064"/>
      <c r="BU339" s="1064"/>
      <c r="BV339" s="979"/>
      <c r="BW339" s="979"/>
    </row>
    <row s="1834" customFormat="1" customHeight="1" ht="0">
      <c r="A340" s="1278"/>
      <c r="B340" s="978"/>
      <c r="C340" s="107"/>
      <c r="D340" s="107"/>
      <c r="E340" s="621">
        <v>22.5</v>
      </c>
      <c r="F340" s="50" cm="1" t="str">
        <f t="array" ref="F340:F340">OFFSET(E340,-1,1)</f>
        <v>2</v>
      </c>
      <c r="G340" s="848" t="s">
        <v>1886</v>
      </c>
      <c r="H340" s="857"/>
      <c r="I340" s="857" t="s">
        <v>2682</v>
      </c>
      <c r="J340" s="107"/>
      <c r="K340" s="378" t="s">
        <v>2682</v>
      </c>
      <c r="L340" s="980" t="s">
        <v>2510</v>
      </c>
      <c r="M340" s="107"/>
      <c r="N340" s="107"/>
      <c r="O340" s="107"/>
      <c r="P340" s="107"/>
      <c r="Q340" s="107"/>
      <c r="R340" s="107"/>
      <c r="S340" s="107"/>
      <c r="T340" s="465" cm="1" t="str">
        <f t="array" ref="T340:T340">T339</f>
        <v>true</v>
      </c>
      <c r="U340" s="107"/>
      <c r="V340" s="107"/>
      <c r="W340" s="107"/>
      <c r="X340" s="1596"/>
      <c r="Y340" s="1278"/>
      <c r="Z340" s="1546"/>
      <c r="AA340" s="1278"/>
      <c r="AB340" s="300" t="s">
        <v>2683</v>
      </c>
      <c r="AC340" s="768" t="s">
        <v>2684</v>
      </c>
      <c r="AD340" s="300" t="s">
        <v>1514</v>
      </c>
      <c r="AE340" s="1114">
        <f>_xlfn.SUMIFS(ФОТ!AE$25:AE$188,ФОТ!$F$25:$F$188,$F340,ФОТ!$G$25:$G$188,$G340)</f>
        <v>0</v>
      </c>
      <c r="AF340" s="1114">
        <f>_xlfn.SUMIFS(ФОТ!AF$25:AF$188,ФОТ!$F$25:$F$188,$F340,ФОТ!$G$25:$G$188,$G340)</f>
        <v>0</v>
      </c>
      <c r="AG340" s="1114">
        <f>_xlfn.SUMIFS(ФОТ!AG$25:AG$188,ФОТ!$F$25:$F$188,$F340,ФОТ!$G$25:$G$188,$G340)</f>
        <v>0</v>
      </c>
      <c r="AH340" s="1114">
        <f>AG340-AF340</f>
        <v>0</v>
      </c>
      <c r="AI340" s="1114">
        <f>_xlfn.SUMIFS(ФОТ!AH$25:AH$188,ФОТ!$F$25:$F$188,$F340,ФОТ!$G$25:$G$188,$G340)</f>
        <v>0</v>
      </c>
      <c r="AJ340" s="1114">
        <f>_xlfn.SUMIFS(ФОТ!AI$25:AI$188,ФОТ!$F$25:$F$188,$F340,ФОТ!$G$25:$G$188,$G340)</f>
        <v>0</v>
      </c>
      <c r="AK340" s="1115"/>
      <c r="AL340" s="1115"/>
      <c r="AM340" s="1115"/>
      <c r="AN340" s="1115"/>
      <c r="AO340" s="1115"/>
      <c r="AP340" s="1115"/>
      <c r="AQ340" s="1115"/>
      <c r="AR340" s="1115"/>
      <c r="AS340" s="1115"/>
      <c r="AT340" s="1114">
        <f>_xlfn.SUMIFS(ФОТ!AJ$25:AJ$188,ФОТ!$F$25:$F$188,$F340,ФОТ!$G$25:$G$188,$G340)</f>
        <v>0</v>
      </c>
      <c r="AU340" s="1115"/>
      <c r="AV340" s="1115"/>
      <c r="AW340" s="1115"/>
      <c r="AX340" s="1115"/>
      <c r="AY340" s="1115"/>
      <c r="AZ340" s="1115"/>
      <c r="BA340" s="1115"/>
      <c r="BB340" s="1115"/>
      <c r="BC340" s="1115"/>
      <c r="BD340" s="1114">
        <f>IF(AI340=0,0,(AT340-AI340)/AI340*100)</f>
        <v>0</v>
      </c>
      <c r="BE340" s="1115"/>
      <c r="BF340" s="1115"/>
      <c r="BG340" s="1115"/>
      <c r="BH340" s="1115"/>
      <c r="BI340" s="1115"/>
      <c r="BJ340" s="1115"/>
      <c r="BK340" s="1115"/>
      <c r="BL340" s="1115"/>
      <c r="BM340" s="1115"/>
      <c r="BN340" s="7433"/>
      <c r="BO340" s="7437" t="str">
        <f>IF(_xlfn.IFERROR(INDEX(ФОТ!$K$26:$L$188,MATCH($F340&amp;"4komm",ФОТ!$K$26:$K$188,0),2),"")=0,"",_xlfn.IFERROR(INDEX(ФОТ!$K$26:$L$188,MATCH($F340&amp;"4komm",ФОТ!$K$26:$K$188,0),2),""))</f>
        <v/>
      </c>
      <c r="BP340" s="7433"/>
      <c r="BQ340" s="1278"/>
      <c r="BR340" s="1278"/>
      <c r="BS340" s="1062" t="s">
        <v>2512</v>
      </c>
      <c r="BT340" s="1064"/>
      <c r="BU340" s="1064"/>
      <c r="BV340" s="979"/>
      <c r="BW340" s="979"/>
    </row>
    <row s="7504" customFormat="1" customHeight="1" ht="20.25">
      <c r="A341" s="700"/>
      <c r="B341" s="435"/>
      <c r="C341" s="109"/>
      <c r="D341" s="109"/>
      <c r="E341" s="826">
        <v>21</v>
      </c>
      <c r="F341" s="50" cm="1" t="str">
        <f t="array" ref="F341:F341">OFFSET(E341,-1,1)</f>
        <v>2</v>
      </c>
      <c r="G341" s="109"/>
      <c r="H341" s="857"/>
      <c r="I341" s="857" t="s">
        <v>1186</v>
      </c>
      <c r="J341" s="109"/>
      <c r="K341" s="378" t="s">
        <v>1186</v>
      </c>
      <c r="L341" s="985" t="s">
        <v>334</v>
      </c>
      <c r="M341" s="109"/>
      <c r="N341" s="109"/>
      <c r="O341" s="109"/>
      <c r="P341" s="109"/>
      <c r="Q341" s="109"/>
      <c r="R341" s="109"/>
      <c r="S341" s="109"/>
      <c r="T341" s="465" cm="1" t="str">
        <f t="array" ref="T341:T341">T340</f>
        <v>true</v>
      </c>
      <c r="U341" s="109"/>
      <c r="V341" s="109"/>
      <c r="W341" s="109"/>
      <c r="X341" s="1596"/>
      <c r="Y341" s="700"/>
      <c r="Z341" s="1546"/>
      <c r="AA341" s="700"/>
      <c r="AB341" s="211" t="s">
        <v>1637</v>
      </c>
      <c r="AC341" s="361" t="s">
        <v>2685</v>
      </c>
      <c r="AD341" s="211" t="s">
        <v>1514</v>
      </c>
      <c r="AE341" s="213">
        <f>AE342+AE350+AE353+AE354+AE355+AE356+AE357</f>
        <v>0</v>
      </c>
      <c r="AF341" s="213">
        <f>AF342+AF350+AF353+AF354+AF355+AF356+AF357</f>
        <v>0</v>
      </c>
      <c r="AG341" s="213">
        <f>AG342+AG350+AG353+AG354+AG355+AG356+AG357</f>
        <v>0</v>
      </c>
      <c r="AH341" s="778">
        <f>AG341-AF341</f>
        <v>0</v>
      </c>
      <c r="AI341" s="213">
        <f>AI342+AI350+AI353+AI354+AI355+AI356+AI357</f>
        <v>0</v>
      </c>
      <c r="AJ341" s="213">
        <f>AJ342+AJ350+AJ353+AJ354+AJ355+AJ356+AJ357</f>
        <v>7744.9963238152</v>
      </c>
      <c r="AK341" s="216"/>
      <c r="AL341" s="216"/>
      <c r="AM341" s="216"/>
      <c r="AN341" s="216"/>
      <c r="AO341" s="216"/>
      <c r="AP341" s="216"/>
      <c r="AQ341" s="216"/>
      <c r="AR341" s="216"/>
      <c r="AS341" s="216"/>
      <c r="AT341" s="213">
        <f>AT342+AT350+AT353+AT354+AT355+AT356+AT357</f>
        <v>7744.9963238152</v>
      </c>
      <c r="AU341" s="216"/>
      <c r="AV341" s="216"/>
      <c r="AW341" s="216"/>
      <c r="AX341" s="216"/>
      <c r="AY341" s="216"/>
      <c r="AZ341" s="216"/>
      <c r="BA341" s="216"/>
      <c r="BB341" s="216"/>
      <c r="BC341" s="216"/>
      <c r="BD341" s="778">
        <f>IF(AI341=0,0,(AT341-AI341)/AI341*100)</f>
        <v>0</v>
      </c>
      <c r="BE341" s="216"/>
      <c r="BF341" s="216"/>
      <c r="BG341" s="216"/>
      <c r="BH341" s="216"/>
      <c r="BI341" s="216"/>
      <c r="BJ341" s="216"/>
      <c r="BK341" s="216"/>
      <c r="BL341" s="216"/>
      <c r="BM341" s="216"/>
      <c r="BN341" s="7436"/>
      <c r="BO341" s="7436" t="s">
        <v>2926</v>
      </c>
      <c r="BP341" s="7436"/>
      <c r="BQ341" s="700"/>
      <c r="BR341" s="700"/>
      <c r="BS341" s="1063" t="s">
        <v>2514</v>
      </c>
      <c r="BT341" s="1070"/>
      <c r="BU341" s="1070"/>
      <c r="BV341" s="707"/>
      <c r="BW341" s="707"/>
    </row>
    <row s="1834" customFormat="1" customHeight="1" ht="21.75">
      <c r="A342" s="1278"/>
      <c r="B342" s="978"/>
      <c r="C342" s="107"/>
      <c r="D342" s="107"/>
      <c r="E342" s="621">
        <v>22.5</v>
      </c>
      <c r="F342" s="50" cm="1" t="str">
        <f t="array" ref="F342:F342">OFFSET(E342,-1,1)</f>
        <v>2</v>
      </c>
      <c r="G342" s="107" t="s">
        <v>1916</v>
      </c>
      <c r="H342" s="857"/>
      <c r="I342" s="857" t="s">
        <v>2095</v>
      </c>
      <c r="J342" s="107"/>
      <c r="K342" s="378" t="s">
        <v>2095</v>
      </c>
      <c r="L342" s="980" t="s">
        <v>1658</v>
      </c>
      <c r="M342" s="107"/>
      <c r="N342" s="107"/>
      <c r="O342" s="107"/>
      <c r="P342" s="107"/>
      <c r="Q342" s="107"/>
      <c r="R342" s="107"/>
      <c r="S342" s="107"/>
      <c r="T342" s="465" cm="1" t="str">
        <f t="array" ref="T342:T342">T341</f>
        <v>true</v>
      </c>
      <c r="U342" s="107"/>
      <c r="V342" s="107"/>
      <c r="W342" s="107"/>
      <c r="X342" s="1596"/>
      <c r="Y342" s="1278"/>
      <c r="Z342" s="1546"/>
      <c r="AA342" s="1278"/>
      <c r="AB342" s="300" t="s">
        <v>1752</v>
      </c>
      <c r="AC342" s="765" t="s">
        <v>2686</v>
      </c>
      <c r="AD342" s="300" t="s">
        <v>1514</v>
      </c>
      <c r="AE342" s="1114">
        <f>_xlfn.SUMIFS(Административные!AE$25:AE$122,Административные!$F$25:$F$122,$F342,Административные!$G$25:$G$122,$G342)</f>
        <v>0</v>
      </c>
      <c r="AF342" s="1114">
        <f>_xlfn.SUMIFS(Административные!AF$25:AF$122,Административные!$F$25:$F$122,$F342,Административные!$G$25:$G$122,$G342)</f>
        <v>0</v>
      </c>
      <c r="AG342" s="1114">
        <f>_xlfn.SUMIFS(Административные!AG$25:AG$122,Административные!$F$25:$F$122,$F342,Административные!$G$25:$G$122,$G342)</f>
        <v>0</v>
      </c>
      <c r="AH342" s="1114">
        <f>AG342-AF342</f>
        <v>0</v>
      </c>
      <c r="AI342" s="1114">
        <f>_xlfn.SUMIFS(Административные!AH$25:AH$122,Административные!$F$25:$F$122,$F342,Административные!$G$25:$G$122,$G342)</f>
        <v>0</v>
      </c>
      <c r="AJ342" s="1114">
        <f>_xlfn.SUMIFS(Административные!AI$25:AI$122,Административные!$F$25:$F$122,$F342,Административные!$G$25:$G$122,$G342)</f>
        <v>1383.777938</v>
      </c>
      <c r="AK342" s="1115"/>
      <c r="AL342" s="1115"/>
      <c r="AM342" s="1115"/>
      <c r="AN342" s="1115"/>
      <c r="AO342" s="1115"/>
      <c r="AP342" s="1115"/>
      <c r="AQ342" s="1115"/>
      <c r="AR342" s="1115"/>
      <c r="AS342" s="1115"/>
      <c r="AT342" s="1114">
        <f>_xlfn.SUMIFS(Административные!AJ$25:AJ$122,Административные!$F$25:$F$122,$F342,Административные!$G$25:$G$122,$G342)</f>
        <v>1383.777938</v>
      </c>
      <c r="AU342" s="1115"/>
      <c r="AV342" s="1115"/>
      <c r="AW342" s="1115"/>
      <c r="AX342" s="1115"/>
      <c r="AY342" s="1115"/>
      <c r="AZ342" s="1115"/>
      <c r="BA342" s="1115"/>
      <c r="BB342" s="1115"/>
      <c r="BC342" s="1115"/>
      <c r="BD342" s="1114">
        <f>IF(AI342=0,0,(AT342-AI342)/AI342*100)</f>
        <v>0</v>
      </c>
      <c r="BE342" s="1115"/>
      <c r="BF342" s="1115"/>
      <c r="BG342" s="1115"/>
      <c r="BH342" s="1115"/>
      <c r="BI342" s="1115"/>
      <c r="BJ342" s="1115"/>
      <c r="BK342" s="1115"/>
      <c r="BL342" s="1115"/>
      <c r="BM342" s="1115"/>
      <c r="BN342" s="7433"/>
      <c r="BO342" s="7437" t="str">
        <f>IF(_xlfn.IFERROR(INDEX(Административные!$K$26:$L$122,MATCH($F342&amp;"17komm",Административные!$K$26:$K$122,0),2),"")=0,"",_xlfn.IFERROR(INDEX(Административные!$K$26:$L$122,MATCH($F342&amp;"17komm",Административные!$K$26:$K$122,0),2),""))</f>
        <v>Учтены расходы по выданным долгосрочным параметрам и соответствуют предложению организации.</v>
      </c>
      <c r="BP342" s="7433"/>
      <c r="BQ342" s="1278"/>
      <c r="BR342" s="1278"/>
      <c r="BS342" s="1062" t="s">
        <v>1918</v>
      </c>
      <c r="BT342" s="1064"/>
      <c r="BU342" s="1064"/>
      <c r="BV342" s="979"/>
      <c r="BW342" s="979"/>
    </row>
    <row s="1834" customFormat="1" customHeight="1" ht="45">
      <c r="A343" s="1278"/>
      <c r="B343" s="978"/>
      <c r="C343" s="107"/>
      <c r="D343" s="107"/>
      <c r="E343" s="621">
        <v>15</v>
      </c>
      <c r="F343" s="50" cm="1" t="str">
        <f t="array" ref="F343:F343">OFFSET(E343,-1,1)</f>
        <v>2</v>
      </c>
      <c r="G343" s="107" t="s">
        <v>1919</v>
      </c>
      <c r="H343" s="857"/>
      <c r="I343" s="857" t="s">
        <v>2687</v>
      </c>
      <c r="J343" s="107"/>
      <c r="K343" s="378" t="s">
        <v>2687</v>
      </c>
      <c r="L343" s="980"/>
      <c r="M343" s="107"/>
      <c r="N343" s="107"/>
      <c r="O343" s="107"/>
      <c r="P343" s="107"/>
      <c r="Q343" s="107"/>
      <c r="R343" s="107"/>
      <c r="S343" s="107"/>
      <c r="T343" s="465" cm="1" t="str">
        <f t="array" ref="T343:T343">T342</f>
        <v>true</v>
      </c>
      <c r="U343" s="107"/>
      <c r="V343" s="107"/>
      <c r="W343" s="107"/>
      <c r="X343" s="1596"/>
      <c r="Y343" s="1278"/>
      <c r="Z343" s="1546"/>
      <c r="AA343" s="1278"/>
      <c r="AB343" s="300" t="s">
        <v>2688</v>
      </c>
      <c r="AC343" s="768" t="s">
        <v>1920</v>
      </c>
      <c r="AD343" s="300" t="s">
        <v>1514</v>
      </c>
      <c r="AE343" s="1114">
        <f>_xlfn.SUMIFS(Административные!AE$25:AE$122,Административные!$F$25:$F$122,$F343,Административные!$G$25:$G$122,$G343)</f>
        <v>0</v>
      </c>
      <c r="AF343" s="1114">
        <f>_xlfn.SUMIFS(Административные!AF$25:AF$122,Административные!$F$25:$F$122,$F343,Административные!$G$25:$G$122,$G343)</f>
        <v>0</v>
      </c>
      <c r="AG343" s="1114">
        <f>_xlfn.SUMIFS(Административные!AG$25:AG$122,Административные!$F$25:$F$122,$F343,Административные!$G$25:$G$122,$G343)</f>
        <v>0</v>
      </c>
      <c r="AH343" s="1114">
        <f>AG343-AF343</f>
        <v>0</v>
      </c>
      <c r="AI343" s="1114">
        <f>_xlfn.SUMIFS(Административные!AH$25:AH$122,Административные!$F$25:$F$122,$F343,Административные!$G$25:$G$122,$G343)</f>
        <v>0</v>
      </c>
      <c r="AJ343" s="1114">
        <f>_xlfn.SUMIFS(Административные!AI$25:AI$122,Административные!$F$25:$F$122,$F343,Административные!$G$25:$G$122,$G343)</f>
        <v>17.622268</v>
      </c>
      <c r="AK343" s="1115"/>
      <c r="AL343" s="1115"/>
      <c r="AM343" s="1115"/>
      <c r="AN343" s="1115"/>
      <c r="AO343" s="1115"/>
      <c r="AP343" s="1115"/>
      <c r="AQ343" s="1115"/>
      <c r="AR343" s="1115"/>
      <c r="AS343" s="1115"/>
      <c r="AT343" s="1114">
        <f>_xlfn.SUMIFS(Административные!AJ$25:AJ$122,Административные!$F$25:$F$122,$F343,Административные!$G$25:$G$122,$G343)</f>
        <v>17.622268</v>
      </c>
      <c r="AU343" s="1115"/>
      <c r="AV343" s="1115"/>
      <c r="AW343" s="1115"/>
      <c r="AX343" s="1115"/>
      <c r="AY343" s="1115"/>
      <c r="AZ343" s="1115"/>
      <c r="BA343" s="1115"/>
      <c r="BB343" s="1115"/>
      <c r="BC343" s="1115"/>
      <c r="BD343" s="1114">
        <f>IF(AI343=0,0,(AT343-AI343)/AI343*100)</f>
        <v>0</v>
      </c>
      <c r="BE343" s="1115"/>
      <c r="BF343" s="1115"/>
      <c r="BG343" s="1115"/>
      <c r="BH343" s="1115"/>
      <c r="BI343" s="1115"/>
      <c r="BJ343" s="1115"/>
      <c r="BK343" s="1115"/>
      <c r="BL343" s="1115"/>
      <c r="BM343" s="1115"/>
      <c r="BN343" s="7433"/>
      <c r="BO343" s="7437" t="str">
        <f>IF(_xlfn.IFERROR(INDEX(Административные!$K$26:$L$122,MATCH($F343&amp;"18komm",Административные!$K$26:$K$122,0),2),"")=0,"",_xlfn.IFERROR(INDEX(Административные!$K$26:$L$122,MATCH($F343&amp;"18komm",Административные!$K$26:$K$122,0),2),""))</f>
        <v>рассчитано по факту с января по май 2025 года предыдущей организации в пересчете на годовые показатели, с применением ИПЦ Минэкономразвития России на 2026 год 105,1%.</v>
      </c>
      <c r="BP343" s="7433"/>
      <c r="BQ343" s="1278"/>
      <c r="BR343" s="1278"/>
      <c r="BS343" s="1064" t="s">
        <v>1921</v>
      </c>
      <c r="BT343" s="1064"/>
      <c r="BU343" s="1064"/>
      <c r="BV343" s="979"/>
      <c r="BW343" s="979"/>
    </row>
    <row s="1834" customFormat="1" customHeight="1" ht="0">
      <c r="A344" s="1278"/>
      <c r="B344" s="978"/>
      <c r="C344" s="107"/>
      <c r="D344" s="107"/>
      <c r="E344" s="621">
        <v>15</v>
      </c>
      <c r="F344" s="50" cm="1" t="str">
        <f t="array" ref="F344:F344">OFFSET(E344,-1,1)</f>
        <v>2</v>
      </c>
      <c r="G344" s="107" t="s">
        <v>1922</v>
      </c>
      <c r="H344" s="857"/>
      <c r="I344" s="857" t="s">
        <v>2689</v>
      </c>
      <c r="J344" s="107"/>
      <c r="K344" s="378" t="s">
        <v>2689</v>
      </c>
      <c r="L344" s="980"/>
      <c r="M344" s="107"/>
      <c r="N344" s="107"/>
      <c r="O344" s="107"/>
      <c r="P344" s="107"/>
      <c r="Q344" s="107"/>
      <c r="R344" s="107"/>
      <c r="S344" s="107"/>
      <c r="T344" s="465" cm="1" t="str">
        <f t="array" ref="T344:T344">T343</f>
        <v>true</v>
      </c>
      <c r="U344" s="107"/>
      <c r="V344" s="107"/>
      <c r="W344" s="107"/>
      <c r="X344" s="1596"/>
      <c r="Y344" s="1278"/>
      <c r="Z344" s="1546"/>
      <c r="AA344" s="1278"/>
      <c r="AB344" s="300" t="s">
        <v>2690</v>
      </c>
      <c r="AC344" s="768" t="s">
        <v>1923</v>
      </c>
      <c r="AD344" s="300" t="s">
        <v>1514</v>
      </c>
      <c r="AE344" s="1114">
        <f>_xlfn.SUMIFS(Административные!AE$25:AE$122,Административные!$F$25:$F$122,$F344,Административные!$G$25:$G$122,$G344)</f>
        <v>0</v>
      </c>
      <c r="AF344" s="1114">
        <f>_xlfn.SUMIFS(Административные!AF$25:AF$122,Административные!$F$25:$F$122,$F344,Административные!$G$25:$G$122,$G344)</f>
        <v>0</v>
      </c>
      <c r="AG344" s="1114">
        <f>_xlfn.SUMIFS(Административные!AG$25:AG$122,Административные!$F$25:$F$122,$F344,Административные!$G$25:$G$122,$G344)</f>
        <v>0</v>
      </c>
      <c r="AH344" s="1114">
        <f>AG344-AF344</f>
        <v>0</v>
      </c>
      <c r="AI344" s="1114">
        <f>_xlfn.SUMIFS(Административные!AH$25:AH$122,Административные!$F$25:$F$122,$F344,Административные!$G$25:$G$122,$G344)</f>
        <v>0</v>
      </c>
      <c r="AJ344" s="1114">
        <f>_xlfn.SUMIFS(Административные!AI$25:AI$122,Административные!$F$25:$F$122,$F344,Административные!$G$25:$G$122,$G344)</f>
        <v>0</v>
      </c>
      <c r="AK344" s="1115"/>
      <c r="AL344" s="1115"/>
      <c r="AM344" s="1115"/>
      <c r="AN344" s="1115"/>
      <c r="AO344" s="1115"/>
      <c r="AP344" s="1115"/>
      <c r="AQ344" s="1115"/>
      <c r="AR344" s="1115"/>
      <c r="AS344" s="1115"/>
      <c r="AT344" s="1114">
        <f>_xlfn.SUMIFS(Административные!AJ$25:AJ$122,Административные!$F$25:$F$122,$F344,Административные!$G$25:$G$122,$G344)</f>
        <v>0</v>
      </c>
      <c r="AU344" s="1115"/>
      <c r="AV344" s="1115"/>
      <c r="AW344" s="1115"/>
      <c r="AX344" s="1115"/>
      <c r="AY344" s="1115"/>
      <c r="AZ344" s="1115"/>
      <c r="BA344" s="1115"/>
      <c r="BB344" s="1115"/>
      <c r="BC344" s="1115"/>
      <c r="BD344" s="1114">
        <f>IF(AI344=0,0,(AT344-AI344)/AI344*100)</f>
        <v>0</v>
      </c>
      <c r="BE344" s="1115"/>
      <c r="BF344" s="1115"/>
      <c r="BG344" s="1115"/>
      <c r="BH344" s="1115"/>
      <c r="BI344" s="1115"/>
      <c r="BJ344" s="1115"/>
      <c r="BK344" s="1115"/>
      <c r="BL344" s="1115"/>
      <c r="BM344" s="1115"/>
      <c r="BN344" s="7433"/>
      <c r="BO344" s="7437" t="str">
        <f>IF(_xlfn.IFERROR(INDEX(Административные!$K$26:$L$122,MATCH($F344&amp;"11komm",Административные!$K$26:$K$122,0),2),"")=0,"",_xlfn.IFERROR(INDEX(Административные!$K$26:$L$122,MATCH($F344&amp;"11komm",Административные!$K$26:$K$122,0),2),""))</f>
        <v/>
      </c>
      <c r="BP344" s="7433"/>
      <c r="BQ344" s="1278"/>
      <c r="BR344" s="1278"/>
      <c r="BS344" s="1064" t="s">
        <v>1924</v>
      </c>
      <c r="BT344" s="1064"/>
      <c r="BU344" s="1064"/>
      <c r="BV344" s="979"/>
      <c r="BW344" s="979"/>
    </row>
    <row s="1834" customFormat="1" customHeight="1" ht="0">
      <c r="A345" s="1278"/>
      <c r="B345" s="978"/>
      <c r="C345" s="107"/>
      <c r="D345" s="107"/>
      <c r="E345" s="621">
        <v>15</v>
      </c>
      <c r="F345" s="50" cm="1" t="str">
        <f t="array" ref="F345:F345">OFFSET(E345,-1,1)</f>
        <v>2</v>
      </c>
      <c r="G345" s="107" t="s">
        <v>1925</v>
      </c>
      <c r="H345" s="857"/>
      <c r="I345" s="857" t="s">
        <v>2691</v>
      </c>
      <c r="J345" s="107"/>
      <c r="K345" s="378" t="s">
        <v>2691</v>
      </c>
      <c r="L345" s="980"/>
      <c r="M345" s="107"/>
      <c r="N345" s="107"/>
      <c r="O345" s="107"/>
      <c r="P345" s="107"/>
      <c r="Q345" s="107"/>
      <c r="R345" s="107"/>
      <c r="S345" s="107"/>
      <c r="T345" s="465" cm="1" t="str">
        <f t="array" ref="T345:T345">T344</f>
        <v>true</v>
      </c>
      <c r="U345" s="107"/>
      <c r="V345" s="107"/>
      <c r="W345" s="107"/>
      <c r="X345" s="1596"/>
      <c r="Y345" s="1278"/>
      <c r="Z345" s="1546"/>
      <c r="AA345" s="1278"/>
      <c r="AB345" s="300" t="s">
        <v>2692</v>
      </c>
      <c r="AC345" s="768" t="s">
        <v>1926</v>
      </c>
      <c r="AD345" s="300" t="s">
        <v>1514</v>
      </c>
      <c r="AE345" s="1114">
        <f>_xlfn.SUMIFS(Административные!AE$25:AE$122,Административные!$F$25:$F$122,$F345,Административные!$G$25:$G$122,$G345)</f>
        <v>0</v>
      </c>
      <c r="AF345" s="1114">
        <f>_xlfn.SUMIFS(Административные!AF$25:AF$122,Административные!$F$25:$F$122,$F345,Административные!$G$25:$G$122,$G345)</f>
        <v>0</v>
      </c>
      <c r="AG345" s="1114">
        <f>_xlfn.SUMIFS(Административные!AG$25:AG$122,Административные!$F$25:$F$122,$F345,Административные!$G$25:$G$122,$G345)</f>
        <v>0</v>
      </c>
      <c r="AH345" s="1114">
        <f>AG345-AF345</f>
        <v>0</v>
      </c>
      <c r="AI345" s="1114">
        <f>_xlfn.SUMIFS(Административные!AH$25:AH$122,Административные!$F$25:$F$122,$F345,Административные!$G$25:$G$122,$G345)</f>
        <v>0</v>
      </c>
      <c r="AJ345" s="1114">
        <f>_xlfn.SUMIFS(Административные!AI$25:AI$122,Административные!$F$25:$F$122,$F345,Административные!$G$25:$G$122,$G345)</f>
        <v>0</v>
      </c>
      <c r="AK345" s="1115"/>
      <c r="AL345" s="1115"/>
      <c r="AM345" s="1115"/>
      <c r="AN345" s="1115"/>
      <c r="AO345" s="1115"/>
      <c r="AP345" s="1115"/>
      <c r="AQ345" s="1115"/>
      <c r="AR345" s="1115"/>
      <c r="AS345" s="1115"/>
      <c r="AT345" s="1114">
        <f>_xlfn.SUMIFS(Административные!AJ$25:AJ$122,Административные!$F$25:$F$122,$F345,Административные!$G$25:$G$122,$G345)</f>
        <v>0</v>
      </c>
      <c r="AU345" s="1115"/>
      <c r="AV345" s="1115"/>
      <c r="AW345" s="1115"/>
      <c r="AX345" s="1115"/>
      <c r="AY345" s="1115"/>
      <c r="AZ345" s="1115"/>
      <c r="BA345" s="1115"/>
      <c r="BB345" s="1115"/>
      <c r="BC345" s="1115"/>
      <c r="BD345" s="1114">
        <f>IF(AI345=0,0,(AT345-AI345)/AI345*100)</f>
        <v>0</v>
      </c>
      <c r="BE345" s="1115"/>
      <c r="BF345" s="1115"/>
      <c r="BG345" s="1115"/>
      <c r="BH345" s="1115"/>
      <c r="BI345" s="1115"/>
      <c r="BJ345" s="1115"/>
      <c r="BK345" s="1115"/>
      <c r="BL345" s="1115"/>
      <c r="BM345" s="1115"/>
      <c r="BN345" s="7433"/>
      <c r="BO345" s="7437" t="str">
        <f>IF(_xlfn.IFERROR(INDEX(Административные!$K$26:$L$122,MATCH($F345&amp;"12komm",Административные!$K$26:$K$122,0),2),"")=0,"",_xlfn.IFERROR(INDEX(Административные!$K$26:$L$122,MATCH($F345&amp;"12komm",Административные!$K$26:$K$122,0),2),""))</f>
        <v/>
      </c>
      <c r="BP345" s="7433"/>
      <c r="BQ345" s="1278"/>
      <c r="BR345" s="1278"/>
      <c r="BS345" s="1064" t="s">
        <v>1927</v>
      </c>
      <c r="BT345" s="1064"/>
      <c r="BU345" s="1064"/>
      <c r="BV345" s="979"/>
      <c r="BW345" s="979"/>
    </row>
    <row s="1834" customFormat="1" customHeight="1" ht="0">
      <c r="A346" s="1278"/>
      <c r="B346" s="978"/>
      <c r="C346" s="107"/>
      <c r="D346" s="107"/>
      <c r="E346" s="621">
        <v>15</v>
      </c>
      <c r="F346" s="50" cm="1" t="str">
        <f t="array" ref="F346:F346">OFFSET(E346,-1,1)</f>
        <v>2</v>
      </c>
      <c r="G346" s="107" t="s">
        <v>1928</v>
      </c>
      <c r="H346" s="857"/>
      <c r="I346" s="857" t="s">
        <v>2693</v>
      </c>
      <c r="J346" s="107"/>
      <c r="K346" s="378" t="s">
        <v>2693</v>
      </c>
      <c r="L346" s="980"/>
      <c r="M346" s="107"/>
      <c r="N346" s="107"/>
      <c r="O346" s="107"/>
      <c r="P346" s="107"/>
      <c r="Q346" s="107"/>
      <c r="R346" s="107"/>
      <c r="S346" s="107"/>
      <c r="T346" s="465" cm="1" t="str">
        <f t="array" ref="T346:T346">T345</f>
        <v>true</v>
      </c>
      <c r="U346" s="107"/>
      <c r="V346" s="107"/>
      <c r="W346" s="107"/>
      <c r="X346" s="1596"/>
      <c r="Y346" s="1278"/>
      <c r="Z346" s="1546"/>
      <c r="AA346" s="1278"/>
      <c r="AB346" s="300" t="s">
        <v>2694</v>
      </c>
      <c r="AC346" s="768" t="s">
        <v>1929</v>
      </c>
      <c r="AD346" s="300" t="s">
        <v>1514</v>
      </c>
      <c r="AE346" s="1114">
        <f>_xlfn.SUMIFS(Административные!AE$25:AE$122,Административные!$F$25:$F$122,$F346,Административные!$G$25:$G$122,$G346)</f>
        <v>0</v>
      </c>
      <c r="AF346" s="1114">
        <f>_xlfn.SUMIFS(Административные!AF$25:AF$122,Административные!$F$25:$F$122,$F346,Административные!$G$25:$G$122,$G346)</f>
        <v>0</v>
      </c>
      <c r="AG346" s="1114">
        <f>_xlfn.SUMIFS(Административные!AG$25:AG$122,Административные!$F$25:$F$122,$F346,Административные!$G$25:$G$122,$G346)</f>
        <v>0</v>
      </c>
      <c r="AH346" s="1114">
        <f>AG346-AF346</f>
        <v>0</v>
      </c>
      <c r="AI346" s="1114">
        <f>_xlfn.SUMIFS(Административные!AH$25:AH$122,Административные!$F$25:$F$122,$F346,Административные!$G$25:$G$122,$G346)</f>
        <v>0</v>
      </c>
      <c r="AJ346" s="1114">
        <f>_xlfn.SUMIFS(Административные!AI$25:AI$122,Административные!$F$25:$F$122,$F346,Административные!$G$25:$G$122,$G346)</f>
        <v>0</v>
      </c>
      <c r="AK346" s="1115"/>
      <c r="AL346" s="1115"/>
      <c r="AM346" s="1115"/>
      <c r="AN346" s="1115"/>
      <c r="AO346" s="1115"/>
      <c r="AP346" s="1115"/>
      <c r="AQ346" s="1115"/>
      <c r="AR346" s="1115"/>
      <c r="AS346" s="1115"/>
      <c r="AT346" s="1114">
        <f>_xlfn.SUMIFS(Административные!AJ$25:AJ$122,Административные!$F$25:$F$122,$F346,Административные!$G$25:$G$122,$G346)</f>
        <v>0</v>
      </c>
      <c r="AU346" s="1115"/>
      <c r="AV346" s="1115"/>
      <c r="AW346" s="1115"/>
      <c r="AX346" s="1115"/>
      <c r="AY346" s="1115"/>
      <c r="AZ346" s="1115"/>
      <c r="BA346" s="1115"/>
      <c r="BB346" s="1115"/>
      <c r="BC346" s="1115"/>
      <c r="BD346" s="1114">
        <f>IF(AI346=0,0,(AT346-AI346)/AI346*100)</f>
        <v>0</v>
      </c>
      <c r="BE346" s="1115"/>
      <c r="BF346" s="1115"/>
      <c r="BG346" s="1115"/>
      <c r="BH346" s="1115"/>
      <c r="BI346" s="1115"/>
      <c r="BJ346" s="1115"/>
      <c r="BK346" s="1115"/>
      <c r="BL346" s="1115"/>
      <c r="BM346" s="1115"/>
      <c r="BN346" s="7433"/>
      <c r="BO346" s="7437" t="str">
        <f>IF(_xlfn.IFERROR(INDEX(Административные!$K$26:$L$122,MATCH($F346&amp;"13komm",Административные!$K$26:$K$122,0),2),"")=0,"",_xlfn.IFERROR(INDEX(Административные!$K$26:$L$122,MATCH($F346&amp;"13komm",Административные!$K$26:$K$122,0),2),""))</f>
        <v/>
      </c>
      <c r="BP346" s="7433"/>
      <c r="BQ346" s="1278"/>
      <c r="BR346" s="1278"/>
      <c r="BS346" s="1064" t="s">
        <v>1930</v>
      </c>
      <c r="BT346" s="1064"/>
      <c r="BU346" s="1064"/>
      <c r="BV346" s="979"/>
      <c r="BW346" s="979"/>
    </row>
    <row s="1834" customFormat="1" customHeight="1" ht="0">
      <c r="A347" s="1278"/>
      <c r="B347" s="978"/>
      <c r="C347" s="107"/>
      <c r="D347" s="107"/>
      <c r="E347" s="621">
        <v>15</v>
      </c>
      <c r="F347" s="50" cm="1" t="str">
        <f t="array" ref="F347:F347">OFFSET(E347,-1,1)</f>
        <v>2</v>
      </c>
      <c r="G347" s="107" t="s">
        <v>1931</v>
      </c>
      <c r="H347" s="857"/>
      <c r="I347" s="857" t="s">
        <v>2695</v>
      </c>
      <c r="J347" s="107"/>
      <c r="K347" s="378" t="s">
        <v>2695</v>
      </c>
      <c r="L347" s="980"/>
      <c r="M347" s="107"/>
      <c r="N347" s="107"/>
      <c r="O347" s="107"/>
      <c r="P347" s="107"/>
      <c r="Q347" s="107"/>
      <c r="R347" s="107"/>
      <c r="S347" s="107"/>
      <c r="T347" s="465" cm="1" t="str">
        <f t="array" ref="T347:T347">T346</f>
        <v>true</v>
      </c>
      <c r="U347" s="107"/>
      <c r="V347" s="107"/>
      <c r="W347" s="107"/>
      <c r="X347" s="1596"/>
      <c r="Y347" s="1278"/>
      <c r="Z347" s="1546"/>
      <c r="AA347" s="1278"/>
      <c r="AB347" s="300" t="s">
        <v>2696</v>
      </c>
      <c r="AC347" s="768" t="s">
        <v>1932</v>
      </c>
      <c r="AD347" s="300" t="s">
        <v>1514</v>
      </c>
      <c r="AE347" s="787">
        <f>_xlfn.SUMIFS(Административные!AE$25:AE$122,Административные!$F$25:$F$122,$F347,Административные!$G$25:$G$122,$G347)</f>
        <v>0</v>
      </c>
      <c r="AF347" s="787">
        <f>_xlfn.SUMIFS(Административные!AF$25:AF$122,Административные!$F$25:$F$122,$F347,Административные!$G$25:$G$122,$G347)</f>
        <v>0</v>
      </c>
      <c r="AG347" s="787">
        <f>_xlfn.SUMIFS(Административные!AG$25:AG$122,Административные!$F$25:$F$122,$F347,Административные!$G$25:$G$122,$G347)</f>
        <v>0</v>
      </c>
      <c r="AH347" s="767">
        <f>AG347-AF347</f>
        <v>0</v>
      </c>
      <c r="AI347" s="787">
        <f>_xlfn.SUMIFS(Административные!AH$25:AH$122,Административные!$F$25:$F$122,$F347,Административные!$G$25:$G$122,$G347)</f>
        <v>0</v>
      </c>
      <c r="AJ347" s="787">
        <f>_xlfn.SUMIFS(Административные!AI$25:AI$122,Административные!$F$25:$F$122,$F347,Административные!$G$25:$G$122,$G347)</f>
        <v>0</v>
      </c>
      <c r="AK347" s="763"/>
      <c r="AL347" s="763"/>
      <c r="AM347" s="763"/>
      <c r="AN347" s="763"/>
      <c r="AO347" s="763"/>
      <c r="AP347" s="763"/>
      <c r="AQ347" s="763"/>
      <c r="AR347" s="763"/>
      <c r="AS347" s="763"/>
      <c r="AT347" s="787">
        <f>_xlfn.SUMIFS(Административные!AJ$25:AJ$122,Административные!$F$25:$F$122,$F347,Административные!$G$25:$G$122,$G347)</f>
        <v>0</v>
      </c>
      <c r="AU347" s="1115"/>
      <c r="AV347" s="1115"/>
      <c r="AW347" s="1115"/>
      <c r="AX347" s="1115"/>
      <c r="AY347" s="1115"/>
      <c r="AZ347" s="1115"/>
      <c r="BA347" s="1115"/>
      <c r="BB347" s="1115"/>
      <c r="BC347" s="1115"/>
      <c r="BD347" s="1114">
        <f>IF(AI347=0,0,(AT347-AI347)/AI347*100)</f>
        <v>0</v>
      </c>
      <c r="BE347" s="1115"/>
      <c r="BF347" s="1115"/>
      <c r="BG347" s="1115"/>
      <c r="BH347" s="1115"/>
      <c r="BI347" s="1115"/>
      <c r="BJ347" s="1115"/>
      <c r="BK347" s="1115"/>
      <c r="BL347" s="1115"/>
      <c r="BM347" s="1115"/>
      <c r="BN347" s="7433"/>
      <c r="BO347" s="7437" t="str">
        <f>IF(_xlfn.IFERROR(INDEX(Административные!$K$26:$L$122,MATCH($F347&amp;"14komm",Административные!$K$26:$K$122,0),2),"")=0,"",_xlfn.IFERROR(INDEX(Административные!$K$26:$L$122,MATCH($F347&amp;"14komm",Административные!$K$26:$K$122,0),2),""))</f>
        <v/>
      </c>
      <c r="BP347" s="7433"/>
      <c r="BQ347" s="1278"/>
      <c r="BR347" s="1278"/>
      <c r="BS347" s="1064" t="s">
        <v>2697</v>
      </c>
      <c r="BT347" s="1064"/>
      <c r="BU347" s="1064"/>
      <c r="BV347" s="979"/>
      <c r="BW347" s="979"/>
    </row>
    <row s="1834" customFormat="1" customHeight="1" ht="24">
      <c r="A348" s="1278"/>
      <c r="B348" s="978"/>
      <c r="C348" s="107"/>
      <c r="D348" s="107"/>
      <c r="E348" s="621">
        <v>15</v>
      </c>
      <c r="F348" s="50" cm="1" t="str">
        <f t="array" ref="F348:F348">OFFSET(E348,-1,1)</f>
        <v>2</v>
      </c>
      <c r="G348" s="107" t="s">
        <v>1934</v>
      </c>
      <c r="H348" s="857"/>
      <c r="I348" s="857" t="s">
        <v>2698</v>
      </c>
      <c r="J348" s="107"/>
      <c r="K348" s="378" t="s">
        <v>2698</v>
      </c>
      <c r="L348" s="980"/>
      <c r="M348" s="107"/>
      <c r="N348" s="107"/>
      <c r="O348" s="107"/>
      <c r="P348" s="107"/>
      <c r="Q348" s="107"/>
      <c r="R348" s="107"/>
      <c r="S348" s="107"/>
      <c r="T348" s="465" cm="1" t="str">
        <f t="array" ref="T348:T348">T347</f>
        <v>true</v>
      </c>
      <c r="U348" s="107"/>
      <c r="V348" s="107"/>
      <c r="W348" s="107"/>
      <c r="X348" s="1596"/>
      <c r="Y348" s="1278"/>
      <c r="Z348" s="1546"/>
      <c r="AA348" s="1278"/>
      <c r="AB348" s="300" t="s">
        <v>2699</v>
      </c>
      <c r="AC348" s="768" t="s">
        <v>1937</v>
      </c>
      <c r="AD348" s="300" t="s">
        <v>1514</v>
      </c>
      <c r="AE348" s="1114">
        <f>_xlfn.SUMIFS(Административные!AE$25:AE$122,Административные!$F$25:$F$122,$F348,Административные!$G$25:$G$122,$G348)</f>
        <v>0</v>
      </c>
      <c r="AF348" s="1114">
        <f>_xlfn.SUMIFS(Административные!AF$25:AF$122,Административные!$F$25:$F$122,$F348,Административные!$G$25:$G$122,$G348)</f>
        <v>0</v>
      </c>
      <c r="AG348" s="1114">
        <f>_xlfn.SUMIFS(Административные!AG$25:AG$122,Административные!$F$25:$F$122,$F348,Административные!$G$25:$G$122,$G348)</f>
        <v>0</v>
      </c>
      <c r="AH348" s="1114">
        <f>AG348-AF348</f>
        <v>0</v>
      </c>
      <c r="AI348" s="1114">
        <f>_xlfn.SUMIFS(Административные!AH$25:AH$122,Административные!$F$25:$F$122,$F348,Административные!$G$25:$G$122,$G348)</f>
        <v>0</v>
      </c>
      <c r="AJ348" s="1114">
        <f>_xlfn.SUMIFS(Административные!AI$25:AI$122,Административные!$F$25:$F$122,$F348,Административные!$G$25:$G$122,$G348)</f>
        <v>4.236081</v>
      </c>
      <c r="AK348" s="1115"/>
      <c r="AL348" s="1115"/>
      <c r="AM348" s="1115"/>
      <c r="AN348" s="1115"/>
      <c r="AO348" s="1115"/>
      <c r="AP348" s="1115"/>
      <c r="AQ348" s="1115"/>
      <c r="AR348" s="1115"/>
      <c r="AS348" s="1115"/>
      <c r="AT348" s="1114">
        <f>_xlfn.SUMIFS(Административные!AJ$25:AJ$122,Административные!$F$25:$F$122,$F348,Административные!$G$25:$G$122,$G348)</f>
        <v>4.236081</v>
      </c>
      <c r="AU348" s="1115"/>
      <c r="AV348" s="1115"/>
      <c r="AW348" s="1115"/>
      <c r="AX348" s="1115"/>
      <c r="AY348" s="1115"/>
      <c r="AZ348" s="1115"/>
      <c r="BA348" s="1115"/>
      <c r="BB348" s="1115"/>
      <c r="BC348" s="1115"/>
      <c r="BD348" s="1114">
        <f>IF(AI348=0,0,(AT348-AI348)/AI348*100)</f>
        <v>0</v>
      </c>
      <c r="BE348" s="1115"/>
      <c r="BF348" s="1115"/>
      <c r="BG348" s="1115"/>
      <c r="BH348" s="1115"/>
      <c r="BI348" s="1115"/>
      <c r="BJ348" s="1115"/>
      <c r="BK348" s="1115"/>
      <c r="BL348" s="1115"/>
      <c r="BM348" s="1115"/>
      <c r="BN348" s="7433"/>
      <c r="BO348" s="7437" t="str">
        <f>IF(_xlfn.IFERROR(INDEX(Административные!$K$26:$L$122,MATCH($F348&amp;"15komm",Административные!$K$26:$K$122,0),2),"")=0,"",_xlfn.IFERROR(INDEX(Административные!$K$26:$L$122,MATCH($F348&amp;"15komm",Административные!$K$26:$K$122,0),2),""))</f>
        <v>по расчету организации, не превышает факт 2025 года предыдущей организации.</v>
      </c>
      <c r="BP348" s="7433"/>
      <c r="BQ348" s="1278"/>
      <c r="BR348" s="1278"/>
      <c r="BS348" s="1064" t="s">
        <v>1938</v>
      </c>
      <c r="BT348" s="1064"/>
      <c r="BU348" s="1064"/>
      <c r="BV348" s="979"/>
      <c r="BW348" s="979"/>
    </row>
    <row s="1834" customFormat="1" customHeight="1" ht="193.5">
      <c r="A349" s="1278"/>
      <c r="B349" s="978"/>
      <c r="C349" s="107"/>
      <c r="D349" s="107"/>
      <c r="E349" s="621">
        <v>15</v>
      </c>
      <c r="F349" s="50" cm="1" t="str">
        <f t="array" ref="F349:F349">OFFSET(E349,-1,1)</f>
        <v>2</v>
      </c>
      <c r="G349" s="107" t="s">
        <v>1939</v>
      </c>
      <c r="H349" s="857"/>
      <c r="I349" s="857" t="s">
        <v>2700</v>
      </c>
      <c r="J349" s="107"/>
      <c r="K349" s="378" t="s">
        <v>2700</v>
      </c>
      <c r="L349" s="980"/>
      <c r="M349" s="107"/>
      <c r="N349" s="107"/>
      <c r="O349" s="107"/>
      <c r="P349" s="107"/>
      <c r="Q349" s="107"/>
      <c r="R349" s="107"/>
      <c r="S349" s="107"/>
      <c r="T349" s="465" cm="1" t="str">
        <f t="array" ref="T349:T349">T348</f>
        <v>true</v>
      </c>
      <c r="U349" s="107"/>
      <c r="V349" s="107"/>
      <c r="W349" s="107"/>
      <c r="X349" s="1596"/>
      <c r="Y349" s="1278"/>
      <c r="Z349" s="1546"/>
      <c r="AA349" s="1278"/>
      <c r="AB349" s="300" t="s">
        <v>2701</v>
      </c>
      <c r="AC349" s="768" t="s">
        <v>1942</v>
      </c>
      <c r="AD349" s="300" t="s">
        <v>1514</v>
      </c>
      <c r="AE349" s="1114">
        <f>_xlfn.SUMIFS(Административные!AE$25:AE$122,Административные!$F$25:$F$122,$F349,Административные!$G$25:$G$122,$G349)</f>
        <v>0</v>
      </c>
      <c r="AF349" s="1114">
        <f>_xlfn.SUMIFS(Административные!AF$25:AF$122,Административные!$F$25:$F$122,$F349,Административные!$G$25:$G$122,$G349)</f>
        <v>0</v>
      </c>
      <c r="AG349" s="1114">
        <f>_xlfn.SUMIFS(Административные!AG$25:AG$122,Административные!$F$25:$F$122,$F349,Административные!$G$25:$G$122,$G349)</f>
        <v>0</v>
      </c>
      <c r="AH349" s="1114">
        <f>AG349-AF349</f>
        <v>0</v>
      </c>
      <c r="AI349" s="1114">
        <f>_xlfn.SUMIFS(Административные!AH$25:AH$122,Административные!$F$25:$F$122,$F349,Административные!$G$25:$G$122,$G349)</f>
        <v>0</v>
      </c>
      <c r="AJ349" s="1114">
        <f>_xlfn.SUMIFS(Административные!AI$25:AI$122,Административные!$F$25:$F$122,$F349,Административные!$G$25:$G$122,$G349)</f>
        <v>1361.919589</v>
      </c>
      <c r="AK349" s="1115"/>
      <c r="AL349" s="1115"/>
      <c r="AM349" s="1115"/>
      <c r="AN349" s="1115"/>
      <c r="AO349" s="1115"/>
      <c r="AP349" s="1115"/>
      <c r="AQ349" s="1115"/>
      <c r="AR349" s="1115"/>
      <c r="AS349" s="1115"/>
      <c r="AT349" s="1114">
        <f>_xlfn.SUMIFS(Административные!AJ$25:AJ$122,Административные!$F$25:$F$122,$F349,Административные!$G$25:$G$122,$G349)</f>
        <v>1361.919589</v>
      </c>
      <c r="AU349" s="1115"/>
      <c r="AV349" s="1115"/>
      <c r="AW349" s="1115"/>
      <c r="AX349" s="1115"/>
      <c r="AY349" s="1115"/>
      <c r="AZ349" s="1115"/>
      <c r="BA349" s="1115"/>
      <c r="BB349" s="1115"/>
      <c r="BC349" s="1115"/>
      <c r="BD349" s="1114">
        <f>IF(AI349=0,0,(AT349-AI349)/AI349*100)</f>
        <v>0</v>
      </c>
      <c r="BE349" s="1115"/>
      <c r="BF349" s="1115"/>
      <c r="BG349" s="1115"/>
      <c r="BH349" s="1115"/>
      <c r="BI349" s="1115"/>
      <c r="BJ349" s="1115"/>
      <c r="BK349" s="1115"/>
      <c r="BL349" s="1115"/>
      <c r="BM349" s="1115"/>
      <c r="BN349" s="7433"/>
      <c r="BO349" s="7437" t="str">
        <f>IF(_xlfn.IFERROR(INDEX(Административные!$K$26:$L$122,MATCH($F349&amp;"16komm",Административные!$K$26:$K$122,0),2),"")=0,"",_xlfn.IFERROR(INDEX(Административные!$K$26:$L$122,MATCH($F349&amp;"16komm",Административные!$K$26:$K$122,0),2),""))</f>
        <v>Учтены расходы:
1. По факту с января по май 2025 года в пересчете на годовые показатели, с применением ИПЦ Минэкономразвития России на 2026 год 105,1%:
- прочие расходы (спец.одежда, инструм., хозинвент., матер.на общехоз.и произв.нужды) 94,44 т.р.;
- расходы на канцелярию 65,44 т.р.;
- прочие услуги (изгот. печатей, постановка ККТ на учет, разм.рекламы по трудоустройству, доступ к серверу, изгот. сервис.карты) 41,57 т.р.
- почтовые расходы, типография, обсл.оргтех. 15,70 т.р.;
- расходы на покупку бут.воды. 3,51 т.р.;
2. Услуги по начисл. и сбору ВС и ВО 1139,44 т.р. приняты по факту с июня 2024 года по май 2025 года, с применением ИПЦ Минэкономразвития на 2025 год 109,0%, на 2026 год 105,1%.
3. По расчету организации ТБО 1,83 т.р. не превышает факт 2025 предыдущей организации.
</v>
      </c>
      <c r="BP349" s="7433"/>
      <c r="BQ349" s="1278"/>
      <c r="BR349" s="1278"/>
      <c r="BS349" s="1064" t="s">
        <v>2702</v>
      </c>
      <c r="BT349" s="1064"/>
      <c r="BU349" s="1064"/>
      <c r="BV349" s="979"/>
      <c r="BW349" s="979"/>
    </row>
    <row s="1834" customFormat="1" customHeight="1" ht="33.75">
      <c r="A350" s="1278"/>
      <c r="B350" s="978"/>
      <c r="C350" s="107"/>
      <c r="D350" s="107"/>
      <c r="E350" s="621">
        <v>22.5</v>
      </c>
      <c r="F350" s="50" cm="1" t="str">
        <f t="array" ref="F350:F350">OFFSET(E350,-1,1)</f>
        <v>2</v>
      </c>
      <c r="G350" s="107"/>
      <c r="H350" s="857"/>
      <c r="I350" s="857" t="s">
        <v>2096</v>
      </c>
      <c r="J350" s="107"/>
      <c r="K350" s="378" t="s">
        <v>2096</v>
      </c>
      <c r="L350" s="980" t="s">
        <v>1660</v>
      </c>
      <c r="M350" s="107"/>
      <c r="N350" s="107"/>
      <c r="O350" s="107"/>
      <c r="P350" s="107"/>
      <c r="Q350" s="107"/>
      <c r="R350" s="107"/>
      <c r="S350" s="107"/>
      <c r="T350" s="465" cm="1" t="str">
        <f t="array" ref="T350:T350">T349</f>
        <v>true</v>
      </c>
      <c r="U350" s="107"/>
      <c r="V350" s="107"/>
      <c r="W350" s="107"/>
      <c r="X350" s="1596"/>
      <c r="Y350" s="1278"/>
      <c r="Z350" s="1546"/>
      <c r="AA350" s="1278"/>
      <c r="AB350" s="300" t="s">
        <v>1755</v>
      </c>
      <c r="AC350" s="765" t="s">
        <v>2703</v>
      </c>
      <c r="AD350" s="300" t="s">
        <v>1514</v>
      </c>
      <c r="AE350" s="1116">
        <f>AE351+AE352</f>
        <v>0</v>
      </c>
      <c r="AF350" s="1116">
        <f>AF351+AF352</f>
        <v>0</v>
      </c>
      <c r="AG350" s="1116">
        <f>AG351+AG352</f>
        <v>0</v>
      </c>
      <c r="AH350" s="1114">
        <f>AG350-AF350</f>
        <v>0</v>
      </c>
      <c r="AI350" s="1116">
        <f>AI351+AI352</f>
        <v>0</v>
      </c>
      <c r="AJ350" s="1116">
        <f>AJ351+AJ352</f>
        <v>6356.5286608152</v>
      </c>
      <c r="AK350" s="1115"/>
      <c r="AL350" s="1115"/>
      <c r="AM350" s="1115"/>
      <c r="AN350" s="1115"/>
      <c r="AO350" s="1115"/>
      <c r="AP350" s="1115"/>
      <c r="AQ350" s="1115"/>
      <c r="AR350" s="1115"/>
      <c r="AS350" s="1115"/>
      <c r="AT350" s="1116">
        <f>AT351+AT352</f>
        <v>6356.5286608152</v>
      </c>
      <c r="AU350" s="1115"/>
      <c r="AV350" s="1115"/>
      <c r="AW350" s="1115"/>
      <c r="AX350" s="1115"/>
      <c r="AY350" s="1115"/>
      <c r="AZ350" s="1115"/>
      <c r="BA350" s="1115"/>
      <c r="BB350" s="1115"/>
      <c r="BC350" s="1115"/>
      <c r="BD350" s="1114">
        <f>IF(AI350=0,0,(AT350-AI350)/AI350*100)</f>
        <v>0</v>
      </c>
      <c r="BE350" s="1115"/>
      <c r="BF350" s="1115"/>
      <c r="BG350" s="1115"/>
      <c r="BH350" s="1115"/>
      <c r="BI350" s="1115"/>
      <c r="BJ350" s="1115"/>
      <c r="BK350" s="1115"/>
      <c r="BL350" s="1115"/>
      <c r="BM350" s="1115"/>
      <c r="BN350" s="7433"/>
      <c r="BO350" s="7433" t="s">
        <v>2919</v>
      </c>
      <c r="BP350" s="7433"/>
      <c r="BQ350" s="1278"/>
      <c r="BR350" s="1278"/>
      <c r="BS350" s="1062" t="s">
        <v>2517</v>
      </c>
      <c r="BT350" s="1064"/>
      <c r="BU350" s="1064"/>
      <c r="BV350" s="979"/>
      <c r="BW350" s="979"/>
    </row>
    <row s="1834" customFormat="1" customHeight="1" ht="23.25">
      <c r="A351" s="1278"/>
      <c r="B351" s="978"/>
      <c r="C351" s="107"/>
      <c r="D351" s="107"/>
      <c r="E351" s="621">
        <v>15</v>
      </c>
      <c r="F351" s="50" cm="1" t="str">
        <f t="array" ref="F351:F351">OFFSET(E351,-1,1)</f>
        <v>2</v>
      </c>
      <c r="G351" s="107" t="s">
        <v>1889</v>
      </c>
      <c r="H351" s="857"/>
      <c r="I351" s="857" t="s">
        <v>2704</v>
      </c>
      <c r="J351" s="107"/>
      <c r="K351" s="378" t="s">
        <v>2704</v>
      </c>
      <c r="L351" s="980" t="s">
        <v>1211</v>
      </c>
      <c r="M351" s="107"/>
      <c r="N351" s="107"/>
      <c r="O351" s="107"/>
      <c r="P351" s="107"/>
      <c r="Q351" s="107"/>
      <c r="R351" s="107"/>
      <c r="S351" s="107"/>
      <c r="T351" s="465" cm="1" t="str">
        <f t="array" ref="T351:T351">T350</f>
        <v>true</v>
      </c>
      <c r="U351" s="107"/>
      <c r="V351" s="107"/>
      <c r="W351" s="107"/>
      <c r="X351" s="1596"/>
      <c r="Y351" s="1278"/>
      <c r="Z351" s="1546"/>
      <c r="AA351" s="1278"/>
      <c r="AB351" s="300" t="s">
        <v>2705</v>
      </c>
      <c r="AC351" s="768" t="s">
        <v>2518</v>
      </c>
      <c r="AD351" s="771" t="s">
        <v>1514</v>
      </c>
      <c r="AE351" s="1114">
        <f>_xlfn.SUMIFS(ФОТ!AE$25:AE$188,ФОТ!$F$25:$F$188,$F351,ФОТ!$G$25:$G$188,$G351)</f>
        <v>0</v>
      </c>
      <c r="AF351" s="1114">
        <f>_xlfn.SUMIFS(ФОТ!AF$25:AF$188,ФОТ!$F$25:$F$188,$F351,ФОТ!$G$25:$G$188,$G351)</f>
        <v>0</v>
      </c>
      <c r="AG351" s="1114">
        <f>_xlfn.SUMIFS(ФОТ!AG$25:AG$188,ФОТ!$F$25:$F$188,$F351,ФОТ!$G$25:$G$188,$G351)</f>
        <v>0</v>
      </c>
      <c r="AH351" s="1114">
        <f>AG351-AF351</f>
        <v>0</v>
      </c>
      <c r="AI351" s="1114">
        <f>_xlfn.SUMIFS(ФОТ!AH$25:AH$188,ФОТ!$F$25:$F$188,$F351,ФОТ!$G$25:$G$188,$G351)</f>
        <v>0</v>
      </c>
      <c r="AJ351" s="1114">
        <f>_xlfn.SUMIFS(ФОТ!AI$25:AI$188,ФОТ!$F$25:$F$188,$F351,ФОТ!$G$25:$G$188,$G351)</f>
        <v>4882.1264676</v>
      </c>
      <c r="AK351" s="1115"/>
      <c r="AL351" s="1115"/>
      <c r="AM351" s="1115"/>
      <c r="AN351" s="1115"/>
      <c r="AO351" s="1115"/>
      <c r="AP351" s="1115"/>
      <c r="AQ351" s="1115"/>
      <c r="AR351" s="1115"/>
      <c r="AS351" s="1115"/>
      <c r="AT351" s="1114">
        <f>_xlfn.SUMIFS(ФОТ!AJ$25:AJ$188,ФОТ!$F$25:$F$188,$F351,ФОТ!$G$25:$G$188,$G351)</f>
        <v>4882.1264676</v>
      </c>
      <c r="AU351" s="1115"/>
      <c r="AV351" s="1115"/>
      <c r="AW351" s="1115"/>
      <c r="AX351" s="1115"/>
      <c r="AY351" s="1115"/>
      <c r="AZ351" s="1115"/>
      <c r="BA351" s="1115"/>
      <c r="BB351" s="1115"/>
      <c r="BC351" s="1115"/>
      <c r="BD351" s="1114">
        <f>IF(AI351=0,0,(AT351-AI351)/AI351*100)</f>
        <v>0</v>
      </c>
      <c r="BE351" s="1115"/>
      <c r="BF351" s="1115"/>
      <c r="BG351" s="1115"/>
      <c r="BH351" s="1115"/>
      <c r="BI351" s="1115"/>
      <c r="BJ351" s="1115"/>
      <c r="BK351" s="1115"/>
      <c r="BL351" s="1115"/>
      <c r="BM351" s="1115"/>
      <c r="BN351" s="7433"/>
      <c r="BO351" s="7437" t="s">
        <v>2920</v>
      </c>
      <c r="BP351" s="7433"/>
      <c r="BQ351" s="1278"/>
      <c r="BR351" s="1278"/>
      <c r="BS351" s="1062" t="s">
        <v>1915</v>
      </c>
      <c r="BT351" s="1064"/>
      <c r="BU351" s="1064"/>
      <c r="BV351" s="979"/>
      <c r="BW351" s="979"/>
    </row>
    <row s="1834" customFormat="1" customHeight="1" ht="33.75">
      <c r="A352" s="1278"/>
      <c r="B352" s="978"/>
      <c r="C352" s="107"/>
      <c r="D352" s="107"/>
      <c r="E352" s="621">
        <v>22.5</v>
      </c>
      <c r="F352" s="50" cm="1" t="str">
        <f t="array" ref="F352:F352">OFFSET(E352,-1,1)</f>
        <v>2</v>
      </c>
      <c r="G352" s="107" t="s">
        <v>1894</v>
      </c>
      <c r="H352" s="857"/>
      <c r="I352" s="857" t="s">
        <v>2706</v>
      </c>
      <c r="J352" s="107"/>
      <c r="K352" s="378" t="s">
        <v>2706</v>
      </c>
      <c r="L352" s="980" t="s">
        <v>1216</v>
      </c>
      <c r="M352" s="107"/>
      <c r="N352" s="107"/>
      <c r="O352" s="107"/>
      <c r="P352" s="107"/>
      <c r="Q352" s="107"/>
      <c r="R352" s="107"/>
      <c r="S352" s="107"/>
      <c r="T352" s="465" cm="1" t="str">
        <f t="array" ref="T352:T352">T351</f>
        <v>true</v>
      </c>
      <c r="U352" s="107"/>
      <c r="V352" s="107"/>
      <c r="W352" s="107"/>
      <c r="X352" s="1596"/>
      <c r="Y352" s="1278"/>
      <c r="Z352" s="1546"/>
      <c r="AA352" s="1278"/>
      <c r="AB352" s="300" t="s">
        <v>2707</v>
      </c>
      <c r="AC352" s="768" t="s">
        <v>2708</v>
      </c>
      <c r="AD352" s="300" t="s">
        <v>1514</v>
      </c>
      <c r="AE352" s="1114">
        <f>_xlfn.SUMIFS(ФОТ!AE$25:AE$188,ФОТ!$F$25:$F$188,$F352,ФОТ!$G$25:$G$188,$G352)</f>
        <v>0</v>
      </c>
      <c r="AF352" s="1114">
        <f>_xlfn.SUMIFS(ФОТ!AF$25:AF$188,ФОТ!$F$25:$F$188,$F352,ФОТ!$G$25:$G$188,$G352)</f>
        <v>0</v>
      </c>
      <c r="AG352" s="1114">
        <f>_xlfn.SUMIFS(ФОТ!AG$25:AG$188,ФОТ!$F$25:$F$188,$F352,ФОТ!$G$25:$G$188,$G352)</f>
        <v>0</v>
      </c>
      <c r="AH352" s="1114">
        <f>AG352-AF352</f>
        <v>0</v>
      </c>
      <c r="AI352" s="1114">
        <f>_xlfn.SUMIFS(ФОТ!AH$25:AH$188,ФОТ!$F$25:$F$188,$F352,ФОТ!$G$25:$G$188,$G352)</f>
        <v>0</v>
      </c>
      <c r="AJ352" s="1114">
        <f>_xlfn.SUMIFS(ФОТ!AI$25:AI$188,ФОТ!$F$25:$F$188,$F352,ФОТ!$G$25:$G$188,$G352)</f>
        <v>1474.4021932152</v>
      </c>
      <c r="AK352" s="1115"/>
      <c r="AL352" s="1115"/>
      <c r="AM352" s="1115"/>
      <c r="AN352" s="1115"/>
      <c r="AO352" s="1115"/>
      <c r="AP352" s="1115"/>
      <c r="AQ352" s="1115"/>
      <c r="AR352" s="1115"/>
      <c r="AS352" s="1115"/>
      <c r="AT352" s="1114">
        <f>_xlfn.SUMIFS(ФОТ!AJ$25:AJ$188,ФОТ!$F$25:$F$188,$F352,ФОТ!$G$25:$G$188,$G352)</f>
        <v>1474.4021932152</v>
      </c>
      <c r="AU352" s="1115"/>
      <c r="AV352" s="1115"/>
      <c r="AW352" s="1115"/>
      <c r="AX352" s="1115"/>
      <c r="AY352" s="1115"/>
      <c r="AZ352" s="1115"/>
      <c r="BA352" s="1115"/>
      <c r="BB352" s="1115"/>
      <c r="BC352" s="1115"/>
      <c r="BD352" s="1114">
        <f>IF(AI352=0,0,(AT352-AI352)/AI352*100)</f>
        <v>0</v>
      </c>
      <c r="BE352" s="1115"/>
      <c r="BF352" s="1115"/>
      <c r="BG352" s="1115"/>
      <c r="BH352" s="1115"/>
      <c r="BI352" s="1115"/>
      <c r="BJ352" s="1115"/>
      <c r="BK352" s="1115"/>
      <c r="BL352" s="1115"/>
      <c r="BM352" s="1115"/>
      <c r="BN352" s="7433"/>
      <c r="BO352" s="7437" t="str">
        <f>IF(_xlfn.IFERROR(INDEX(ФОТ!$K$26:$L$188,MATCH($F352&amp;"6komm",ФОТ!$K$26:$K$188,0),2),"")=0,"",_xlfn.IFERROR(INDEX(ФОТ!$K$26:$L$188,MATCH($F352&amp;"6komm",ФОТ!$K$26:$K$188,0),2),""))</f>
        <v>на основании Налогового кодекса РФ (часть вторая) от 05.08.2000 № 117-ФЗ в размере 30%, а также в соответствии с Федеральным законом от 24.07.1998 № 125 – ФЗ (0,20%).</v>
      </c>
      <c r="BP352" s="7433"/>
      <c r="BQ352" s="1278"/>
      <c r="BR352" s="1278"/>
      <c r="BS352" s="1062" t="s">
        <v>2520</v>
      </c>
      <c r="BT352" s="1064"/>
      <c r="BU352" s="1064"/>
      <c r="BV352" s="979"/>
      <c r="BW352" s="979"/>
    </row>
    <row s="1834" customFormat="1" customHeight="1" ht="33.75">
      <c r="A353" s="1278"/>
      <c r="B353" s="978"/>
      <c r="C353" s="107"/>
      <c r="D353" s="107"/>
      <c r="E353" s="621">
        <v>33.75</v>
      </c>
      <c r="F353" s="50" cm="1" t="str">
        <f t="array" ref="F353:F353">OFFSET(E353,-1,1)</f>
        <v>2</v>
      </c>
      <c r="G353" s="848" t="s">
        <v>1944</v>
      </c>
      <c r="H353" s="857"/>
      <c r="I353" s="857" t="s">
        <v>2099</v>
      </c>
      <c r="J353" s="107"/>
      <c r="K353" s="378" t="s">
        <v>2099</v>
      </c>
      <c r="L353" s="980" t="s">
        <v>1662</v>
      </c>
      <c r="M353" s="107"/>
      <c r="N353" s="107"/>
      <c r="O353" s="107"/>
      <c r="P353" s="107"/>
      <c r="Q353" s="107"/>
      <c r="R353" s="107"/>
      <c r="S353" s="107"/>
      <c r="T353" s="465" cm="1" t="str">
        <f t="array" ref="T353:T353">T352</f>
        <v>true</v>
      </c>
      <c r="U353" s="107"/>
      <c r="V353" s="107"/>
      <c r="W353" s="107"/>
      <c r="X353" s="1596"/>
      <c r="Y353" s="1278"/>
      <c r="Z353" s="1546"/>
      <c r="AA353" s="1278"/>
      <c r="AB353" s="300" t="s">
        <v>2100</v>
      </c>
      <c r="AC353" s="765" t="s">
        <v>2709</v>
      </c>
      <c r="AD353" s="300" t="s">
        <v>1514</v>
      </c>
      <c r="AE353" s="1114">
        <f>_xlfn.SUMIFS(Административные!AE$25:AE$122,Административные!$F$25:$F$122,$F353,Административные!$G$25:$G$122,$G353)</f>
        <v>0</v>
      </c>
      <c r="AF353" s="1114">
        <f>_xlfn.SUMIFS(Административные!AF$25:AF$122,Административные!$F$25:$F$122,$F353,Административные!$G$25:$G$122,$G353)</f>
        <v>0</v>
      </c>
      <c r="AG353" s="1114">
        <f>_xlfn.SUMIFS(Административные!AG$25:AG$122,Административные!$F$25:$F$122,$F353,Административные!$G$25:$G$122,$G353)</f>
        <v>0</v>
      </c>
      <c r="AH353" s="1114">
        <f>AG353-AF353</f>
        <v>0</v>
      </c>
      <c r="AI353" s="1114">
        <f>_xlfn.SUMIFS(Административные!AH$25:AH$122,Административные!$F$25:$F$122,$F353,Административные!$G$25:$G$122,$G353)</f>
        <v>0</v>
      </c>
      <c r="AJ353" s="1114">
        <f>_xlfn.SUMIFS(Административные!AI$25:AI$122,Административные!$F$25:$F$122,$F353,Административные!$G$25:$G$122,$G353)</f>
        <v>0</v>
      </c>
      <c r="AK353" s="1115"/>
      <c r="AL353" s="1115"/>
      <c r="AM353" s="1115"/>
      <c r="AN353" s="1115"/>
      <c r="AO353" s="1115"/>
      <c r="AP353" s="1115"/>
      <c r="AQ353" s="1115"/>
      <c r="AR353" s="1115"/>
      <c r="AS353" s="1115"/>
      <c r="AT353" s="1114">
        <f>_xlfn.SUMIFS(Административные!AJ$25:AJ$122,Административные!$F$25:$F$122,$F353,Административные!$G$25:$G$122,$G353)</f>
        <v>0</v>
      </c>
      <c r="AU353" s="1115"/>
      <c r="AV353" s="1115"/>
      <c r="AW353" s="1115"/>
      <c r="AX353" s="1115"/>
      <c r="AY353" s="1115"/>
      <c r="AZ353" s="1115"/>
      <c r="BA353" s="1115"/>
      <c r="BB353" s="1115"/>
      <c r="BC353" s="1115"/>
      <c r="BD353" s="1114">
        <f>IF(AI353=0,0,(AT353-AI353)/AI353*100)</f>
        <v>0</v>
      </c>
      <c r="BE353" s="1115"/>
      <c r="BF353" s="1115"/>
      <c r="BG353" s="1115"/>
      <c r="BH353" s="1115"/>
      <c r="BI353" s="1115"/>
      <c r="BJ353" s="1115"/>
      <c r="BK353" s="1115"/>
      <c r="BL353" s="1115"/>
      <c r="BM353" s="1115"/>
      <c r="BN353" s="7433"/>
      <c r="BO353" s="7437" t="str">
        <f>IF(_xlfn.IFERROR(INDEX(Административные!$K$26:$L$122,MATCH($F353&amp;"2komm",Административные!$K$26:$K$122,0),2),"")=0,"",_xlfn.IFERROR(INDEX(Административные!$K$26:$L$122,MATCH($F353&amp;"2komm",Административные!$K$26:$K$122,0),2),""))</f>
        <v/>
      </c>
      <c r="BP353" s="7433"/>
      <c r="BQ353" s="1278"/>
      <c r="BR353" s="1278"/>
      <c r="BS353" s="1062" t="s">
        <v>1946</v>
      </c>
      <c r="BT353" s="1064"/>
      <c r="BU353" s="1064"/>
      <c r="BV353" s="979"/>
      <c r="BW353" s="979"/>
    </row>
    <row s="1834" customFormat="1" customHeight="1" ht="14.25">
      <c r="A354" s="1278"/>
      <c r="B354" s="978"/>
      <c r="C354" s="107"/>
      <c r="D354" s="107"/>
      <c r="E354" s="621">
        <v>15</v>
      </c>
      <c r="F354" s="50" cm="1" t="str">
        <f t="array" ref="F354:F354">OFFSET(E354,-1,1)</f>
        <v>2</v>
      </c>
      <c r="G354" s="848" t="s">
        <v>1947</v>
      </c>
      <c r="H354" s="857"/>
      <c r="I354" s="857" t="s">
        <v>2103</v>
      </c>
      <c r="J354" s="107"/>
      <c r="K354" s="378" t="s">
        <v>2103</v>
      </c>
      <c r="L354" s="980" t="s">
        <v>1664</v>
      </c>
      <c r="M354" s="107"/>
      <c r="N354" s="107"/>
      <c r="O354" s="107"/>
      <c r="P354" s="107"/>
      <c r="Q354" s="107"/>
      <c r="R354" s="107"/>
      <c r="S354" s="107"/>
      <c r="T354" s="465" cm="1" t="str">
        <f t="array" ref="T354:T354">T353</f>
        <v>true</v>
      </c>
      <c r="U354" s="107"/>
      <c r="V354" s="107"/>
      <c r="W354" s="107"/>
      <c r="X354" s="1596"/>
      <c r="Y354" s="1278"/>
      <c r="Z354" s="1546"/>
      <c r="AA354" s="1278"/>
      <c r="AB354" s="300" t="s">
        <v>2104</v>
      </c>
      <c r="AC354" s="765" t="s">
        <v>2710</v>
      </c>
      <c r="AD354" s="300" t="s">
        <v>1514</v>
      </c>
      <c r="AE354" s="1114">
        <f>_xlfn.SUMIFS(Административные!AE$25:AE$122,Административные!$F$25:$F$122,$F354,Административные!$G$25:$G$122,$G354)</f>
        <v>0</v>
      </c>
      <c r="AF354" s="1114">
        <f>_xlfn.SUMIFS(Административные!AF$25:AF$122,Административные!$F$25:$F$122,$F354,Административные!$G$25:$G$122,$G354)</f>
        <v>0</v>
      </c>
      <c r="AG354" s="1114">
        <f>_xlfn.SUMIFS(Административные!AG$25:AG$122,Административные!$F$25:$F$122,$F354,Административные!$G$25:$G$122,$G354)</f>
        <v>0</v>
      </c>
      <c r="AH354" s="1114">
        <f>AG354-AF354</f>
        <v>0</v>
      </c>
      <c r="AI354" s="1114">
        <f>_xlfn.SUMIFS(Административные!AH$25:AH$122,Административные!$F$25:$F$122,$F354,Административные!$G$25:$G$122,$G354)</f>
        <v>0</v>
      </c>
      <c r="AJ354" s="1114">
        <f>_xlfn.SUMIFS(Административные!AI$25:AI$122,Административные!$F$25:$F$122,$F354,Административные!$G$25:$G$122,$G354)</f>
        <v>4.689725</v>
      </c>
      <c r="AK354" s="1115"/>
      <c r="AL354" s="1115"/>
      <c r="AM354" s="1115"/>
      <c r="AN354" s="1115"/>
      <c r="AO354" s="1115"/>
      <c r="AP354" s="1115"/>
      <c r="AQ354" s="1115"/>
      <c r="AR354" s="1115"/>
      <c r="AS354" s="1115"/>
      <c r="AT354" s="1114">
        <f>_xlfn.SUMIFS(Административные!AJ$25:AJ$122,Административные!$F$25:$F$122,$F354,Административные!$G$25:$G$122,$G354)</f>
        <v>4.689725</v>
      </c>
      <c r="AU354" s="1115"/>
      <c r="AV354" s="1115"/>
      <c r="AW354" s="1115"/>
      <c r="AX354" s="1115"/>
      <c r="AY354" s="1115"/>
      <c r="AZ354" s="1115"/>
      <c r="BA354" s="1115"/>
      <c r="BB354" s="1115"/>
      <c r="BC354" s="1115"/>
      <c r="BD354" s="1114">
        <f>IF(AI354=0,0,(AT354-AI354)/AI354*100)</f>
        <v>0</v>
      </c>
      <c r="BE354" s="1115"/>
      <c r="BF354" s="1115"/>
      <c r="BG354" s="1115"/>
      <c r="BH354" s="1115"/>
      <c r="BI354" s="1115"/>
      <c r="BJ354" s="1115"/>
      <c r="BK354" s="1115"/>
      <c r="BL354" s="1115"/>
      <c r="BM354" s="1115"/>
      <c r="BN354" s="7433"/>
      <c r="BO354" s="7437" t="str">
        <f>IF(_xlfn.IFERROR(INDEX(Административные!$K$26:$L$122,MATCH($F354&amp;"3komm",Административные!$K$26:$K$122,0),2),"")=0,"",_xlfn.IFERROR(INDEX(Административные!$K$26:$L$122,MATCH($F354&amp;"3komm",Административные!$K$26:$K$122,0),2),""))</f>
        <v>рассчитано по факту 2024 года предыдущей организации, с применением ИПЦ Минэкономразвития России на 2025 год 109,0%, на 2026 год 105,1%.</v>
      </c>
      <c r="BP354" s="7433"/>
      <c r="BQ354" s="1278"/>
      <c r="BR354" s="1278"/>
      <c r="BS354" s="1062" t="s">
        <v>1949</v>
      </c>
      <c r="BT354" s="1064"/>
      <c r="BU354" s="1064"/>
      <c r="BV354" s="979"/>
      <c r="BW354" s="979"/>
    </row>
    <row s="1834" customFormat="1" customHeight="1" ht="14.25">
      <c r="A355" s="1278"/>
      <c r="B355" s="978"/>
      <c r="C355" s="107"/>
      <c r="D355" s="107"/>
      <c r="E355" s="621">
        <v>15</v>
      </c>
      <c r="F355" s="50" cm="1" t="str">
        <f t="array" ref="F355:F355">OFFSET(E355,-1,1)</f>
        <v>2</v>
      </c>
      <c r="G355" s="848" t="s">
        <v>1950</v>
      </c>
      <c r="H355" s="857"/>
      <c r="I355" s="857" t="s">
        <v>2711</v>
      </c>
      <c r="J355" s="107"/>
      <c r="K355" s="378" t="s">
        <v>2711</v>
      </c>
      <c r="L355" s="980" t="s">
        <v>1667</v>
      </c>
      <c r="M355" s="107"/>
      <c r="N355" s="107"/>
      <c r="O355" s="107"/>
      <c r="P355" s="107"/>
      <c r="Q355" s="107"/>
      <c r="R355" s="107"/>
      <c r="S355" s="107"/>
      <c r="T355" s="465" cm="1" t="str">
        <f t="array" ref="T355:T355">T354</f>
        <v>true</v>
      </c>
      <c r="U355" s="107"/>
      <c r="V355" s="107"/>
      <c r="W355" s="107"/>
      <c r="X355" s="1596"/>
      <c r="Y355" s="1278"/>
      <c r="Z355" s="1546"/>
      <c r="AA355" s="1278"/>
      <c r="AB355" s="300" t="s">
        <v>2712</v>
      </c>
      <c r="AC355" s="765" t="s">
        <v>2713</v>
      </c>
      <c r="AD355" s="300" t="s">
        <v>1514</v>
      </c>
      <c r="AE355" s="1114">
        <f>_xlfn.SUMIFS(Административные!AE$25:AE$122,Административные!$F$25:$F$122,$F355,Административные!$G$25:$G$122,$G355)</f>
        <v>0</v>
      </c>
      <c r="AF355" s="1114">
        <f>_xlfn.SUMIFS(Административные!AF$25:AF$122,Административные!$F$25:$F$122,$F355,Административные!$G$25:$G$122,$G355)</f>
        <v>0</v>
      </c>
      <c r="AG355" s="1114">
        <f>_xlfn.SUMIFS(Административные!AG$25:AG$122,Административные!$F$25:$F$122,$F355,Административные!$G$25:$G$122,$G355)</f>
        <v>0</v>
      </c>
      <c r="AH355" s="1114">
        <f>AG355-AF355</f>
        <v>0</v>
      </c>
      <c r="AI355" s="1114">
        <f>_xlfn.SUMIFS(Административные!AH$25:AH$122,Административные!$F$25:$F$122,$F355,Административные!$G$25:$G$122,$G355)</f>
        <v>0</v>
      </c>
      <c r="AJ355" s="1114">
        <f>_xlfn.SUMIFS(Административные!AI$25:AI$122,Административные!$F$25:$F$122,$F355,Административные!$G$25:$G$122,$G355)</f>
        <v>0</v>
      </c>
      <c r="AK355" s="1115"/>
      <c r="AL355" s="1115"/>
      <c r="AM355" s="1115"/>
      <c r="AN355" s="1115"/>
      <c r="AO355" s="1115"/>
      <c r="AP355" s="1115"/>
      <c r="AQ355" s="1115"/>
      <c r="AR355" s="1115"/>
      <c r="AS355" s="1115"/>
      <c r="AT355" s="1114">
        <f>_xlfn.SUMIFS(Административные!AJ$25:AJ$122,Административные!$F$25:$F$122,$F355,Административные!$G$25:$G$122,$G355)</f>
        <v>0</v>
      </c>
      <c r="AU355" s="1115"/>
      <c r="AV355" s="1115"/>
      <c r="AW355" s="1115"/>
      <c r="AX355" s="1115"/>
      <c r="AY355" s="1115"/>
      <c r="AZ355" s="1115"/>
      <c r="BA355" s="1115"/>
      <c r="BB355" s="1115"/>
      <c r="BC355" s="1115"/>
      <c r="BD355" s="1114">
        <f>IF(AI355=0,0,(AT355-AI355)/AI355*100)</f>
        <v>0</v>
      </c>
      <c r="BE355" s="1115"/>
      <c r="BF355" s="1115"/>
      <c r="BG355" s="1115"/>
      <c r="BH355" s="1115"/>
      <c r="BI355" s="1115"/>
      <c r="BJ355" s="1115"/>
      <c r="BK355" s="1115"/>
      <c r="BL355" s="1115"/>
      <c r="BM355" s="1115"/>
      <c r="BN355" s="7433"/>
      <c r="BO355" s="7437" t="str">
        <f>IF(_xlfn.IFERROR(INDEX(Административные!$K$26:$L$122,MATCH($F355&amp;"4komm",Административные!$K$26:$K$122,0),2),"")=0,"",_xlfn.IFERROR(INDEX(Административные!$K$26:$L$122,MATCH($F355&amp;"4komm",Административные!$K$26:$K$122,0),2),""))</f>
        <v/>
      </c>
      <c r="BP355" s="7433"/>
      <c r="BQ355" s="1278"/>
      <c r="BR355" s="1278"/>
      <c r="BS355" s="1062" t="s">
        <v>1952</v>
      </c>
      <c r="BT355" s="1064"/>
      <c r="BU355" s="1064"/>
      <c r="BV355" s="979"/>
      <c r="BW355" s="979"/>
    </row>
    <row s="1834" customFormat="1" customHeight="1" ht="0">
      <c r="A356" s="1278"/>
      <c r="B356" s="978"/>
      <c r="C356" s="107"/>
      <c r="D356" s="107"/>
      <c r="E356" s="621">
        <v>15</v>
      </c>
      <c r="F356" s="50" cm="1" t="str">
        <f t="array" ref="F356:F356">OFFSET(E356,-1,1)</f>
        <v>2</v>
      </c>
      <c r="G356" s="848" t="s">
        <v>1953</v>
      </c>
      <c r="H356" s="857"/>
      <c r="I356" s="857" t="s">
        <v>2714</v>
      </c>
      <c r="J356" s="107"/>
      <c r="K356" s="378" t="s">
        <v>2714</v>
      </c>
      <c r="L356" s="980" t="s">
        <v>1935</v>
      </c>
      <c r="M356" s="107"/>
      <c r="N356" s="107"/>
      <c r="O356" s="107"/>
      <c r="P356" s="107"/>
      <c r="Q356" s="107"/>
      <c r="R356" s="107"/>
      <c r="S356" s="107"/>
      <c r="T356" s="465" cm="1" t="str">
        <f t="array" ref="T356:T356">T355</f>
        <v>true</v>
      </c>
      <c r="U356" s="107"/>
      <c r="V356" s="107"/>
      <c r="W356" s="107"/>
      <c r="X356" s="1596"/>
      <c r="Y356" s="1278"/>
      <c r="Z356" s="1546"/>
      <c r="AA356" s="1278"/>
      <c r="AB356" s="300" t="s">
        <v>2715</v>
      </c>
      <c r="AC356" s="765" t="s">
        <v>2716</v>
      </c>
      <c r="AD356" s="300" t="s">
        <v>1514</v>
      </c>
      <c r="AE356" s="1114">
        <f>_xlfn.SUMIFS(Административные!AE$25:AE$122,Административные!$F$25:$F$122,$F356,Административные!$G$25:$G$122,$G356)</f>
        <v>0</v>
      </c>
      <c r="AF356" s="1114">
        <f>_xlfn.SUMIFS(Административные!AF$25:AF$122,Административные!$F$25:$F$122,$F356,Административные!$G$25:$G$122,$G356)</f>
        <v>0</v>
      </c>
      <c r="AG356" s="1114">
        <f>_xlfn.SUMIFS(Административные!AG$25:AG$122,Административные!$F$25:$F$122,$F356,Административные!$G$25:$G$122,$G356)</f>
        <v>0</v>
      </c>
      <c r="AH356" s="1114">
        <f>AG356-AF356</f>
        <v>0</v>
      </c>
      <c r="AI356" s="1114">
        <f>_xlfn.SUMIFS(Административные!AH$25:AH$122,Административные!$F$25:$F$122,$F356,Административные!$G$25:$G$122,$G356)</f>
        <v>0</v>
      </c>
      <c r="AJ356" s="1114">
        <f>_xlfn.SUMIFS(Административные!AI$25:AI$122,Административные!$F$25:$F$122,$F356,Административные!$G$25:$G$122,$G356)</f>
        <v>0</v>
      </c>
      <c r="AK356" s="1115"/>
      <c r="AL356" s="1115"/>
      <c r="AM356" s="1115"/>
      <c r="AN356" s="1115"/>
      <c r="AO356" s="1115"/>
      <c r="AP356" s="1115"/>
      <c r="AQ356" s="1115"/>
      <c r="AR356" s="1115"/>
      <c r="AS356" s="1115"/>
      <c r="AT356" s="1114">
        <f>_xlfn.SUMIFS(Административные!AJ$25:AJ$122,Административные!$F$25:$F$122,$F356,Административные!$G$25:$G$122,$G356)</f>
        <v>0</v>
      </c>
      <c r="AU356" s="1115"/>
      <c r="AV356" s="1115"/>
      <c r="AW356" s="1115"/>
      <c r="AX356" s="1115"/>
      <c r="AY356" s="1115"/>
      <c r="AZ356" s="1115"/>
      <c r="BA356" s="1115"/>
      <c r="BB356" s="1115"/>
      <c r="BC356" s="1115"/>
      <c r="BD356" s="1114">
        <f>IF(AI356=0,0,(AT356-AI356)/AI356*100)</f>
        <v>0</v>
      </c>
      <c r="BE356" s="1115"/>
      <c r="BF356" s="1115"/>
      <c r="BG356" s="1115"/>
      <c r="BH356" s="1115"/>
      <c r="BI356" s="1115"/>
      <c r="BJ356" s="1115"/>
      <c r="BK356" s="1115"/>
      <c r="BL356" s="1115"/>
      <c r="BM356" s="1115"/>
      <c r="BN356" s="7433"/>
      <c r="BO356" s="7437" t="str">
        <f>IF(_xlfn.IFERROR(INDEX(Административные!$K$26:$L$122,MATCH($F356&amp;"5komm",Административные!$K$26:$K$122,0),2),"")=0,"",_xlfn.IFERROR(INDEX(Административные!$K$26:$L$122,MATCH($F356&amp;"5komm",Административные!$K$26:$K$122,0),2),""))</f>
        <v/>
      </c>
      <c r="BP356" s="7433"/>
      <c r="BQ356" s="1278"/>
      <c r="BR356" s="1278"/>
      <c r="BS356" s="1062" t="s">
        <v>2522</v>
      </c>
      <c r="BT356" s="1064"/>
      <c r="BU356" s="1064"/>
      <c r="BV356" s="979"/>
      <c r="BW356" s="979"/>
    </row>
    <row s="1834" customFormat="1" customHeight="1" ht="0">
      <c r="A357" s="1278"/>
      <c r="B357" s="978"/>
      <c r="C357" s="107"/>
      <c r="D357" s="107"/>
      <c r="E357" s="621">
        <v>15</v>
      </c>
      <c r="F357" s="50" cm="1" t="str">
        <f t="array" ref="F357:F357">OFFSET(E357,-1,1)</f>
        <v>2</v>
      </c>
      <c r="G357" s="848" t="s">
        <v>1956</v>
      </c>
      <c r="H357" s="857"/>
      <c r="I357" s="857" t="s">
        <v>2717</v>
      </c>
      <c r="J357" s="107"/>
      <c r="K357" s="378" t="s">
        <v>2717</v>
      </c>
      <c r="L357" s="980" t="s">
        <v>1940</v>
      </c>
      <c r="M357" s="107"/>
      <c r="N357" s="107"/>
      <c r="O357" s="107"/>
      <c r="P357" s="107"/>
      <c r="Q357" s="107"/>
      <c r="R357" s="107"/>
      <c r="S357" s="107"/>
      <c r="T357" s="465" cm="1" t="str">
        <f t="array" ref="T357:T357">T356</f>
        <v>true</v>
      </c>
      <c r="U357" s="107"/>
      <c r="V357" s="107"/>
      <c r="W357" s="107"/>
      <c r="X357" s="1596"/>
      <c r="Y357" s="1278"/>
      <c r="Z357" s="1546"/>
      <c r="AA357" s="1278"/>
      <c r="AB357" s="300" t="s">
        <v>2718</v>
      </c>
      <c r="AC357" s="765" t="s">
        <v>2719</v>
      </c>
      <c r="AD357" s="300" t="s">
        <v>1514</v>
      </c>
      <c r="AE357" s="1114">
        <f>_xlfn.SUMIFS(Административные!AE$25:AE$122,Административные!$F$25:$F$122,$F357,Административные!$G$25:$G$122,$G357)</f>
        <v>0</v>
      </c>
      <c r="AF357" s="1114">
        <f>_xlfn.SUMIFS(Административные!AF$25:AF$122,Административные!$F$25:$F$122,$F357,Административные!$G$25:$G$122,$G357)</f>
        <v>0</v>
      </c>
      <c r="AG357" s="1114">
        <f>_xlfn.SUMIFS(Административные!AG$25:AG$122,Административные!$F$25:$F$122,$F357,Административные!$G$25:$G$122,$G357)</f>
        <v>0</v>
      </c>
      <c r="AH357" s="1114">
        <f>AG357-AF357</f>
        <v>0</v>
      </c>
      <c r="AI357" s="1114">
        <f>_xlfn.SUMIFS(Административные!AH$25:AH$122,Административные!$F$25:$F$122,$F357,Административные!$G$25:$G$122,$G357)</f>
        <v>0</v>
      </c>
      <c r="AJ357" s="1114">
        <f>_xlfn.SUMIFS(Административные!AI$25:AI$122,Административные!$F$25:$F$122,$F357,Административные!$G$25:$G$122,$G357)</f>
        <v>0</v>
      </c>
      <c r="AK357" s="1115"/>
      <c r="AL357" s="1115"/>
      <c r="AM357" s="1115"/>
      <c r="AN357" s="1115"/>
      <c r="AO357" s="1115"/>
      <c r="AP357" s="1115"/>
      <c r="AQ357" s="1115"/>
      <c r="AR357" s="1115"/>
      <c r="AS357" s="1115"/>
      <c r="AT357" s="1114">
        <f>_xlfn.SUMIFS(Административные!AJ$25:AJ$122,Административные!$F$25:$F$122,$F357,Административные!$G$25:$G$122,$G357)</f>
        <v>0</v>
      </c>
      <c r="AU357" s="1115"/>
      <c r="AV357" s="1115"/>
      <c r="AW357" s="1115"/>
      <c r="AX357" s="1115"/>
      <c r="AY357" s="1115"/>
      <c r="AZ357" s="1115"/>
      <c r="BA357" s="1115"/>
      <c r="BB357" s="1115"/>
      <c r="BC357" s="1115"/>
      <c r="BD357" s="1114">
        <f>IF(AI357=0,0,(AT357-AI357)/AI357*100)</f>
        <v>0</v>
      </c>
      <c r="BE357" s="1115"/>
      <c r="BF357" s="1115"/>
      <c r="BG357" s="1115"/>
      <c r="BH357" s="1115"/>
      <c r="BI357" s="1115"/>
      <c r="BJ357" s="1115"/>
      <c r="BK357" s="1115"/>
      <c r="BL357" s="1115"/>
      <c r="BM357" s="1115"/>
      <c r="BN357" s="7433"/>
      <c r="BO357" s="7437" t="str">
        <f>IF(_xlfn.IFERROR(INDEX(Административные!$K$26:$L$122,MATCH($F357&amp;"6komm",Административные!$K$26:$K$122,0),2),"")=0,"",_xlfn.IFERROR(INDEX(Административные!$K$26:$L$122,MATCH($F357&amp;"6komm",Административные!$K$26:$K$122,0),2),""))</f>
        <v/>
      </c>
      <c r="BP357" s="7433"/>
      <c r="BQ357" s="1278"/>
      <c r="BR357" s="1278"/>
      <c r="BS357" s="1062" t="s">
        <v>2524</v>
      </c>
      <c r="BT357" s="1064"/>
      <c r="BU357" s="1064"/>
      <c r="BV357" s="979"/>
      <c r="BW357" s="979"/>
    </row>
    <row s="1834" customFormat="1" customHeight="1" ht="0">
      <c r="A358" s="1278"/>
      <c r="B358" s="978"/>
      <c r="C358" s="107"/>
      <c r="D358" s="107"/>
      <c r="E358" s="621">
        <v>15</v>
      </c>
      <c r="F358" s="50" cm="1" t="str">
        <f t="array" ref="F358:F358">OFFSET(E358,-1,1)</f>
        <v>2</v>
      </c>
      <c r="G358" s="848" t="s">
        <v>1958</v>
      </c>
      <c r="H358" s="857"/>
      <c r="I358" s="857" t="s">
        <v>2720</v>
      </c>
      <c r="J358" s="107"/>
      <c r="K358" s="378" t="s">
        <v>2720</v>
      </c>
      <c r="L358" s="980" t="s">
        <v>2525</v>
      </c>
      <c r="M358" s="107"/>
      <c r="N358" s="107"/>
      <c r="O358" s="107"/>
      <c r="P358" s="107"/>
      <c r="Q358" s="107"/>
      <c r="R358" s="107"/>
      <c r="S358" s="107"/>
      <c r="T358" s="465" cm="1" t="str">
        <f t="array" ref="T358:T358">T357</f>
        <v>true</v>
      </c>
      <c r="U358" s="107"/>
      <c r="V358" s="107"/>
      <c r="W358" s="107"/>
      <c r="X358" s="1596"/>
      <c r="Y358" s="1278"/>
      <c r="Z358" s="1546"/>
      <c r="AA358" s="1278"/>
      <c r="AB358" s="300" t="s">
        <v>2721</v>
      </c>
      <c r="AC358" s="768" t="s">
        <v>2527</v>
      </c>
      <c r="AD358" s="300" t="s">
        <v>1514</v>
      </c>
      <c r="AE358" s="1114">
        <f>_xlfn.SUMIFS(Административные!AE$25:AE$122,Административные!$F$25:$F$122,$F358,Административные!$G$25:$G$122,$G358)</f>
        <v>0</v>
      </c>
      <c r="AF358" s="1114">
        <f>_xlfn.SUMIFS(Административные!AF$25:AF$122,Административные!$F$25:$F$122,$F358,Административные!$G$25:$G$122,$G358)</f>
        <v>0</v>
      </c>
      <c r="AG358" s="1114">
        <f>_xlfn.SUMIFS(Административные!AG$25:AG$122,Административные!$F$25:$F$122,$F358,Административные!$G$25:$G$122,$G358)</f>
        <v>0</v>
      </c>
      <c r="AH358" s="1114">
        <f>AG358-AF358</f>
        <v>0</v>
      </c>
      <c r="AI358" s="1114">
        <f>_xlfn.SUMIFS(Административные!AH$25:AH$122,Административные!$F$25:$F$122,$F358,Административные!$G$25:$G$122,$G358)</f>
        <v>0</v>
      </c>
      <c r="AJ358" s="1114">
        <f>_xlfn.SUMIFS(Административные!AI$25:AI$122,Административные!$F$25:$F$122,$F358,Административные!$G$25:$G$122,$G358)</f>
        <v>0</v>
      </c>
      <c r="AK358" s="1115"/>
      <c r="AL358" s="1115"/>
      <c r="AM358" s="1115"/>
      <c r="AN358" s="1115"/>
      <c r="AO358" s="1115"/>
      <c r="AP358" s="1115"/>
      <c r="AQ358" s="1115"/>
      <c r="AR358" s="1115"/>
      <c r="AS358" s="1115"/>
      <c r="AT358" s="1114">
        <f>_xlfn.SUMIFS(Административные!AJ$25:AJ$122,Административные!$F$25:$F$122,$F358,Административные!$G$25:$G$122,$G358)</f>
        <v>0</v>
      </c>
      <c r="AU358" s="1115"/>
      <c r="AV358" s="1115"/>
      <c r="AW358" s="1115"/>
      <c r="AX358" s="1115"/>
      <c r="AY358" s="1115"/>
      <c r="AZ358" s="1115"/>
      <c r="BA358" s="1115"/>
      <c r="BB358" s="1115"/>
      <c r="BC358" s="1115"/>
      <c r="BD358" s="1114">
        <f>IF(AI358=0,0,(AT358-AI358)/AI358*100)</f>
        <v>0</v>
      </c>
      <c r="BE358" s="1115"/>
      <c r="BF358" s="1115"/>
      <c r="BG358" s="1115"/>
      <c r="BH358" s="1115"/>
      <c r="BI358" s="1115"/>
      <c r="BJ358" s="1115"/>
      <c r="BK358" s="1115"/>
      <c r="BL358" s="1115"/>
      <c r="BM358" s="1115"/>
      <c r="BN358" s="7433"/>
      <c r="BO358" s="7437" t="str">
        <f>IF(_xlfn.IFERROR(INDEX(Административные!$K$26:$L$122,MATCH($F358&amp;"7komm",Административные!$K$26:$K$122,0),2),"")=0,"",_xlfn.IFERROR(INDEX(Административные!$K$26:$L$122,MATCH($F358&amp;"7komm",Административные!$K$26:$K$122,0),2),""))</f>
        <v/>
      </c>
      <c r="BP358" s="7433"/>
      <c r="BQ358" s="1278"/>
      <c r="BR358" s="1278"/>
      <c r="BS358" s="1062" t="s">
        <v>2528</v>
      </c>
      <c r="BT358" s="1064"/>
      <c r="BU358" s="1064"/>
      <c r="BV358" s="979"/>
      <c r="BW358" s="979"/>
    </row>
    <row s="1834" customFormat="1" customHeight="1" ht="0">
      <c r="A359" s="1278"/>
      <c r="B359" s="978"/>
      <c r="C359" s="107"/>
      <c r="D359" s="107"/>
      <c r="E359" s="621">
        <v>15</v>
      </c>
      <c r="F359" s="50" cm="1" t="str">
        <f t="array" ref="F359:F359">OFFSET(E359,-1,1)</f>
        <v>2</v>
      </c>
      <c r="G359" s="848" t="s">
        <v>1961</v>
      </c>
      <c r="H359" s="857"/>
      <c r="I359" s="857" t="s">
        <v>2722</v>
      </c>
      <c r="J359" s="107"/>
      <c r="K359" s="378" t="s">
        <v>2722</v>
      </c>
      <c r="L359" s="980" t="s">
        <v>2529</v>
      </c>
      <c r="M359" s="107"/>
      <c r="N359" s="107"/>
      <c r="O359" s="107"/>
      <c r="P359" s="107"/>
      <c r="Q359" s="107"/>
      <c r="R359" s="107"/>
      <c r="S359" s="107"/>
      <c r="T359" s="465" cm="1" t="str">
        <f t="array" ref="T359:T359">T358</f>
        <v>true</v>
      </c>
      <c r="U359" s="107"/>
      <c r="V359" s="107"/>
      <c r="W359" s="107"/>
      <c r="X359" s="1596"/>
      <c r="Y359" s="1278"/>
      <c r="Z359" s="1546"/>
      <c r="AA359" s="1278"/>
      <c r="AB359" s="300" t="s">
        <v>2723</v>
      </c>
      <c r="AC359" s="768" t="s">
        <v>1962</v>
      </c>
      <c r="AD359" s="300" t="s">
        <v>1514</v>
      </c>
      <c r="AE359" s="1114">
        <f>_xlfn.SUMIFS(Административные!AE$25:AE$122,Административные!$F$25:$F$122,$F359,Административные!$G$25:$G$122,$G359)</f>
        <v>0</v>
      </c>
      <c r="AF359" s="1114">
        <f>_xlfn.SUMIFS(Административные!AF$25:AF$122,Административные!$F$25:$F$122,$F359,Административные!$G$25:$G$122,$G359)</f>
        <v>0</v>
      </c>
      <c r="AG359" s="1114">
        <f>_xlfn.SUMIFS(Административные!AG$25:AG$122,Административные!$F$25:$F$122,$F359,Административные!$G$25:$G$122,$G359)</f>
        <v>0</v>
      </c>
      <c r="AH359" s="1114">
        <f>AG359-AF359</f>
        <v>0</v>
      </c>
      <c r="AI359" s="1114">
        <f>_xlfn.SUMIFS(Административные!AH$25:AH$122,Административные!$F$25:$F$122,$F359,Административные!$G$25:$G$122,$G359)</f>
        <v>0</v>
      </c>
      <c r="AJ359" s="1114">
        <f>_xlfn.SUMIFS(Административные!AI$25:AI$122,Административные!$F$25:$F$122,$F359,Административные!$G$25:$G$122,$G359)</f>
        <v>0</v>
      </c>
      <c r="AK359" s="1115"/>
      <c r="AL359" s="1115"/>
      <c r="AM359" s="1115"/>
      <c r="AN359" s="1115"/>
      <c r="AO359" s="1115"/>
      <c r="AP359" s="1115"/>
      <c r="AQ359" s="1115"/>
      <c r="AR359" s="1115"/>
      <c r="AS359" s="1115"/>
      <c r="AT359" s="1114">
        <f>_xlfn.SUMIFS(Административные!AJ$25:AJ$122,Административные!$F$25:$F$122,$F359,Административные!$G$25:$G$122,$G359)</f>
        <v>0</v>
      </c>
      <c r="AU359" s="1115"/>
      <c r="AV359" s="1115"/>
      <c r="AW359" s="1115"/>
      <c r="AX359" s="1115"/>
      <c r="AY359" s="1115"/>
      <c r="AZ359" s="1115"/>
      <c r="BA359" s="1115"/>
      <c r="BB359" s="1115"/>
      <c r="BC359" s="1115"/>
      <c r="BD359" s="1114">
        <f>IF(AI359=0,0,(AT359-AI359)/AI359*100)</f>
        <v>0</v>
      </c>
      <c r="BE359" s="1115"/>
      <c r="BF359" s="1115"/>
      <c r="BG359" s="1115"/>
      <c r="BH359" s="1115"/>
      <c r="BI359" s="1115"/>
      <c r="BJ359" s="1115"/>
      <c r="BK359" s="1115"/>
      <c r="BL359" s="1115"/>
      <c r="BM359" s="1115"/>
      <c r="BN359" s="7433"/>
      <c r="BO359" s="7437" t="str">
        <f>IF(_xlfn.IFERROR(INDEX(Административные!$K$26:$L$122,MATCH($F359&amp;"8komm",Административные!$K$26:$K$122,0),2),"")=0,"",_xlfn.IFERROR(INDEX(Административные!$K$26:$L$122,MATCH($F359&amp;"8komm",Административные!$K$26:$K$122,0),2),""))</f>
        <v/>
      </c>
      <c r="BP359" s="7433"/>
      <c r="BQ359" s="1278"/>
      <c r="BR359" s="1278"/>
      <c r="BS359" s="1062" t="s">
        <v>2531</v>
      </c>
      <c r="BT359" s="1064"/>
      <c r="BU359" s="1064"/>
      <c r="BV359" s="979"/>
      <c r="BW359" s="979"/>
    </row>
    <row s="1834" customFormat="1" customHeight="1" ht="0">
      <c r="A360" s="1278"/>
      <c r="B360" s="978"/>
      <c r="C360" s="107"/>
      <c r="D360" s="107"/>
      <c r="E360" s="621">
        <v>15</v>
      </c>
      <c r="F360" s="50" cm="1" t="str">
        <f t="array" ref="F360:F360">OFFSET(E360,-1,1)</f>
        <v>2</v>
      </c>
      <c r="G360" s="107" t="s">
        <v>1964</v>
      </c>
      <c r="H360" s="857"/>
      <c r="I360" s="857" t="s">
        <v>2724</v>
      </c>
      <c r="J360" s="107"/>
      <c r="K360" s="378" t="s">
        <v>2724</v>
      </c>
      <c r="L360" s="980" t="s">
        <v>2532</v>
      </c>
      <c r="M360" s="107"/>
      <c r="N360" s="107"/>
      <c r="O360" s="107"/>
      <c r="P360" s="107"/>
      <c r="Q360" s="107"/>
      <c r="R360" s="107"/>
      <c r="S360" s="107"/>
      <c r="T360" s="465" cm="1" t="str">
        <f t="array" ref="T360:T360">T359</f>
        <v>true</v>
      </c>
      <c r="U360" s="107"/>
      <c r="V360" s="107"/>
      <c r="W360" s="107"/>
      <c r="X360" s="1596"/>
      <c r="Y360" s="1278"/>
      <c r="Z360" s="1546"/>
      <c r="AA360" s="1278"/>
      <c r="AB360" s="300" t="s">
        <v>2725</v>
      </c>
      <c r="AC360" s="768" t="s">
        <v>1965</v>
      </c>
      <c r="AD360" s="300" t="s">
        <v>1514</v>
      </c>
      <c r="AE360" s="1114">
        <f>_xlfn.SUMIFS(Административные!AE$25:AE$122,Административные!$F$25:$F$122,$F360,Административные!$G$25:$G$122,$G360)</f>
        <v>0</v>
      </c>
      <c r="AF360" s="1114">
        <f>_xlfn.SUMIFS(Административные!AF$25:AF$122,Административные!$F$25:$F$122,$F360,Административные!$G$25:$G$122,$G360)</f>
        <v>0</v>
      </c>
      <c r="AG360" s="1114">
        <f>_xlfn.SUMIFS(Административные!AG$25:AG$122,Административные!$F$25:$F$122,$F360,Административные!$G$25:$G$122,$G360)</f>
        <v>0</v>
      </c>
      <c r="AH360" s="1114">
        <f>AG360-AF360</f>
        <v>0</v>
      </c>
      <c r="AI360" s="1114">
        <f>_xlfn.SUMIFS(Административные!AH$25:AH$122,Административные!$F$25:$F$122,$F360,Административные!$G$25:$G$122,$G360)</f>
        <v>0</v>
      </c>
      <c r="AJ360" s="1116">
        <f>_xlfn.SUMIFS(Административные!AI$25:AI$122,Административные!$F$25:$F$122,$F360,Административные!$G$25:$G$122,$G360)</f>
        <v>0</v>
      </c>
      <c r="AK360" s="1115"/>
      <c r="AL360" s="1115"/>
      <c r="AM360" s="1115"/>
      <c r="AN360" s="1115"/>
      <c r="AO360" s="1115"/>
      <c r="AP360" s="1115"/>
      <c r="AQ360" s="1115"/>
      <c r="AR360" s="1115"/>
      <c r="AS360" s="1115"/>
      <c r="AT360" s="1116">
        <f>_xlfn.SUMIFS(Административные!AJ$25:AJ$122,Административные!$F$25:$F$122,$F360,Административные!$G$25:$G$122,$G360)</f>
        <v>0</v>
      </c>
      <c r="AU360" s="1115"/>
      <c r="AV360" s="1115"/>
      <c r="AW360" s="1115"/>
      <c r="AX360" s="1115"/>
      <c r="AY360" s="1115"/>
      <c r="AZ360" s="1115"/>
      <c r="BA360" s="1115"/>
      <c r="BB360" s="1115"/>
      <c r="BC360" s="1115"/>
      <c r="BD360" s="1114">
        <f>IF(AI360=0,0,(AT360-AI360)/AI360*100)</f>
        <v>0</v>
      </c>
      <c r="BE360" s="1115"/>
      <c r="BF360" s="1115"/>
      <c r="BG360" s="1115"/>
      <c r="BH360" s="1115"/>
      <c r="BI360" s="1115"/>
      <c r="BJ360" s="1115"/>
      <c r="BK360" s="1115"/>
      <c r="BL360" s="1115"/>
      <c r="BM360" s="1115"/>
      <c r="BN360" s="7433"/>
      <c r="BO360" s="7437" t="str">
        <f>IF(_xlfn.IFERROR(INDEX(Административные!$K$26:$L$122,MATCH($F360&amp;"9komm",Административные!$K$26:$K$122,0),2),"")=0,"",_xlfn.IFERROR(INDEX(Административные!$K$26:$L$122,MATCH($F360&amp;"9komm",Административные!$K$26:$K$122,0),2),""))</f>
        <v/>
      </c>
      <c r="BP360" s="7433"/>
      <c r="BQ360" s="1278"/>
      <c r="BR360" s="1278"/>
      <c r="BS360" s="1062" t="s">
        <v>2534</v>
      </c>
      <c r="BT360" s="1064"/>
      <c r="BU360" s="1064"/>
      <c r="BV360" s="979"/>
      <c r="BW360" s="979"/>
    </row>
    <row s="1834" customFormat="1" customHeight="1" ht="0">
      <c r="A361" s="1278"/>
      <c r="B361" s="432">
        <f>STATUS_GO="да"</f>
        <v>1</v>
      </c>
      <c r="C361" s="107"/>
      <c r="D361" s="107"/>
      <c r="E361" s="621">
        <v>22.5</v>
      </c>
      <c r="F361" s="50" cm="1" t="str">
        <f t="array" ref="F361:F361">OFFSET(E361,-1,1)</f>
        <v>2</v>
      </c>
      <c r="G361" s="107"/>
      <c r="H361" s="857"/>
      <c r="I361" s="857" t="s">
        <v>1640</v>
      </c>
      <c r="J361" s="107"/>
      <c r="K361" s="378" t="s">
        <v>1640</v>
      </c>
      <c r="L361" s="980" t="s">
        <v>336</v>
      </c>
      <c r="M361" s="107"/>
      <c r="N361" s="107"/>
      <c r="O361" s="107"/>
      <c r="P361" s="107"/>
      <c r="Q361" s="107"/>
      <c r="R361" s="107"/>
      <c r="S361" s="107"/>
      <c r="T361" s="465" cm="1" t="str">
        <f t="array" ref="T361:T361">T360</f>
        <v>true</v>
      </c>
      <c r="U361" s="107"/>
      <c r="V361" s="107"/>
      <c r="W361" s="107"/>
      <c r="X361" s="1596"/>
      <c r="Y361" s="1278"/>
      <c r="Z361" s="1546"/>
      <c r="AA361" s="1278"/>
      <c r="AB361" s="300" t="s">
        <v>1641</v>
      </c>
      <c r="AC361" s="762" t="s">
        <v>2726</v>
      </c>
      <c r="AD361" s="300" t="s">
        <v>1514</v>
      </c>
      <c r="AE361" s="1114">
        <f>_xlfn.SUMIFS('Сбытовые расходы ГО'!AE$25:AE$87,'Сбытовые расходы ГО'!$F$25:$F$87,$F361,'Сбытовые расходы ГО'!$G$25:$G$87,"L0")-_xlfn.SUMIFS('Сбытовые расходы ГО'!AE$25:AE$87,'Сбытовые расходы ГО'!$F$25:$F$87,$F361,'Сбытовые расходы ГО'!$G$25:$G$87,"L1")</f>
        <v>0</v>
      </c>
      <c r="AF361" s="1114">
        <f>_xlfn.SUMIFS('Сбытовые расходы ГО'!AF$25:AF$87,'Сбытовые расходы ГО'!$F$25:$F$87,$F361,'Сбытовые расходы ГО'!$G$25:$G$87,"L0")-_xlfn.SUMIFS('Сбытовые расходы ГО'!AF$25:AF$87,'Сбытовые расходы ГО'!$F$25:$F$87,$F361,'Сбытовые расходы ГО'!$G$25:$G$87,"L1")</f>
        <v>0</v>
      </c>
      <c r="AG361" s="1114">
        <f>_xlfn.SUMIFS('Сбытовые расходы ГО'!AG$25:AG$87,'Сбытовые расходы ГО'!$F$25:$F$87,$F361,'Сбытовые расходы ГО'!$G$25:$G$87,"L0")-_xlfn.SUMIFS('Сбытовые расходы ГО'!AG$25:AG$87,'Сбытовые расходы ГО'!$F$25:$F$87,$F361,'Сбытовые расходы ГО'!$G$25:$G$87,"L1")</f>
        <v>0</v>
      </c>
      <c r="AH361" s="1114">
        <f>AG361-AF361</f>
        <v>0</v>
      </c>
      <c r="AI361" s="1114">
        <f>_xlfn.SUMIFS('Сбытовые расходы ГО'!AH$25:AH$87,'Сбытовые расходы ГО'!$F$25:$F$87,$F361,'Сбытовые расходы ГО'!$G$25:$G$87,"L0")-_xlfn.SUMIFS('Сбытовые расходы ГО'!AH$25:AH$87,'Сбытовые расходы ГО'!$F$25:$F$87,$F361,'Сбытовые расходы ГО'!$G$25:$G$87,"L1")</f>
        <v>0</v>
      </c>
      <c r="AJ361" s="1114">
        <f>_xlfn.SUMIFS('Сбытовые расходы ГО'!AI$25:AI$87,'Сбытовые расходы ГО'!$F$25:$F$87,$F361,'Сбытовые расходы ГО'!$G$25:$G$87,"L0")-_xlfn.SUMIFS('Сбытовые расходы ГО'!AI$25:AI$87,'Сбытовые расходы ГО'!$F$25:$F$87,$F361,'Сбытовые расходы ГО'!$G$25:$G$87,"L1")</f>
        <v>0</v>
      </c>
      <c r="AK361" s="1115"/>
      <c r="AL361" s="1115"/>
      <c r="AM361" s="1115"/>
      <c r="AN361" s="1115"/>
      <c r="AO361" s="1115"/>
      <c r="AP361" s="1115"/>
      <c r="AQ361" s="1115"/>
      <c r="AR361" s="1115"/>
      <c r="AS361" s="1115"/>
      <c r="AT361" s="1114">
        <f>_xlfn.SUMIFS('Сбытовые расходы ГО'!AJ$25:AJ$87,'Сбытовые расходы ГО'!$F$25:$F$87,$F361,'Сбытовые расходы ГО'!$G$25:$G$87,"L0")-_xlfn.SUMIFS('Сбытовые расходы ГО'!AJ$25:AJ$87,'Сбытовые расходы ГО'!$F$25:$F$87,$F361,'Сбытовые расходы ГО'!$G$25:$G$87,"L1")</f>
        <v>0</v>
      </c>
      <c r="AU361" s="1115"/>
      <c r="AV361" s="1115"/>
      <c r="AW361" s="1115"/>
      <c r="AX361" s="1115"/>
      <c r="AY361" s="1115"/>
      <c r="AZ361" s="1115"/>
      <c r="BA361" s="1115"/>
      <c r="BB361" s="1115"/>
      <c r="BC361" s="1115"/>
      <c r="BD361" s="1114">
        <f>IF(AI361=0,0,(AT361-AI361)/AI361*100)</f>
        <v>0</v>
      </c>
      <c r="BE361" s="1115"/>
      <c r="BF361" s="1115"/>
      <c r="BG361" s="1115"/>
      <c r="BH361" s="1115"/>
      <c r="BI361" s="1115"/>
      <c r="BJ361" s="1115"/>
      <c r="BK361" s="1115"/>
      <c r="BL361" s="1115"/>
      <c r="BM361" s="1115"/>
      <c r="BN361" s="7433"/>
      <c r="BO361" s="7433"/>
      <c r="BP361" s="7433"/>
      <c r="BQ361" s="1278"/>
      <c r="BR361" s="1278"/>
      <c r="BS361" s="1063" t="s">
        <v>2536</v>
      </c>
      <c r="BT361" s="1064"/>
      <c r="BU361" s="1064"/>
      <c r="BV361" s="979"/>
      <c r="BW361" s="979"/>
    </row>
    <row s="1834" customFormat="1" customHeight="1" ht="0">
      <c r="A362" s="1278"/>
      <c r="B362" s="978"/>
      <c r="C362" s="107"/>
      <c r="D362" s="107"/>
      <c r="E362" s="621">
        <v>15</v>
      </c>
      <c r="F362" s="50" cm="1" t="str">
        <f t="array" ref="F362:F362">OFFSET(E362,-1,1)</f>
        <v>2</v>
      </c>
      <c r="G362" s="107"/>
      <c r="H362" s="857"/>
      <c r="I362" s="857" t="s">
        <v>2475</v>
      </c>
      <c r="J362" s="107"/>
      <c r="K362" s="378" t="s">
        <v>2475</v>
      </c>
      <c r="L362" s="980"/>
      <c r="M362" s="107"/>
      <c r="N362" s="107"/>
      <c r="O362" s="107"/>
      <c r="P362" s="107"/>
      <c r="Q362" s="107"/>
      <c r="R362" s="107"/>
      <c r="S362" s="107"/>
      <c r="T362" s="465" cm="1" t="str">
        <f t="array" ref="T362:T362">T361</f>
        <v>true</v>
      </c>
      <c r="U362" s="107"/>
      <c r="V362" s="107"/>
      <c r="W362" s="107"/>
      <c r="X362" s="1596"/>
      <c r="Y362" s="1278"/>
      <c r="Z362" s="1546"/>
      <c r="AA362" s="1278"/>
      <c r="AB362" s="300" t="s">
        <v>2476</v>
      </c>
      <c r="AC362" s="762" t="s">
        <v>2727</v>
      </c>
      <c r="AD362" s="300" t="s">
        <v>1514</v>
      </c>
      <c r="AE362" s="3946"/>
      <c r="AF362" s="3946"/>
      <c r="AG362" s="3946"/>
      <c r="AH362" s="1114">
        <f>AG362-AF362</f>
        <v>0</v>
      </c>
      <c r="AI362" s="3946"/>
      <c r="AJ362" s="3946"/>
      <c r="AK362" s="1115"/>
      <c r="AL362" s="1115"/>
      <c r="AM362" s="1115"/>
      <c r="AN362" s="1115"/>
      <c r="AO362" s="1115"/>
      <c r="AP362" s="1115"/>
      <c r="AQ362" s="1115"/>
      <c r="AR362" s="1115"/>
      <c r="AS362" s="1115"/>
      <c r="AT362" s="3946"/>
      <c r="AU362" s="1115"/>
      <c r="AV362" s="1115"/>
      <c r="AW362" s="1115"/>
      <c r="AX362" s="1115"/>
      <c r="AY362" s="1115"/>
      <c r="AZ362" s="1115"/>
      <c r="BA362" s="1115"/>
      <c r="BB362" s="1115"/>
      <c r="BC362" s="1115"/>
      <c r="BD362" s="1114">
        <f>IF(AI362=0,0,(AT362-AI362)/AI362*100)</f>
        <v>0</v>
      </c>
      <c r="BE362" s="1115"/>
      <c r="BF362" s="1115"/>
      <c r="BG362" s="1115"/>
      <c r="BH362" s="1115"/>
      <c r="BI362" s="1115"/>
      <c r="BJ362" s="1115"/>
      <c r="BK362" s="1115"/>
      <c r="BL362" s="1115"/>
      <c r="BM362" s="1115"/>
      <c r="BN362" s="7433"/>
      <c r="BO362" s="7433"/>
      <c r="BP362" s="7433"/>
      <c r="BQ362" s="1278"/>
      <c r="BR362" s="1278"/>
      <c r="BS362" s="1064" t="s">
        <v>2728</v>
      </c>
      <c r="BT362" s="1064"/>
      <c r="BU362" s="1064"/>
      <c r="BV362" s="979"/>
      <c r="BW362" s="979"/>
    </row>
    <row s="7505" customFormat="1" customHeight="1" ht="0">
      <c r="A363" s="700"/>
      <c r="B363" s="435"/>
      <c r="C363" s="109"/>
      <c r="D363" s="109"/>
      <c r="E363" s="826">
        <v>21</v>
      </c>
      <c r="F363" s="50" cm="1" t="str">
        <f t="array" ref="F363:F363">OFFSET(E363,-1,1)</f>
        <v>2</v>
      </c>
      <c r="G363" s="109"/>
      <c r="H363" s="857"/>
      <c r="I363" s="857" t="s">
        <v>2479</v>
      </c>
      <c r="J363" s="109"/>
      <c r="K363" s="378" t="s">
        <v>2479</v>
      </c>
      <c r="L363" s="985"/>
      <c r="M363" s="109"/>
      <c r="N363" s="109"/>
      <c r="O363" s="109"/>
      <c r="P363" s="109"/>
      <c r="Q363" s="109"/>
      <c r="R363" s="109"/>
      <c r="S363" s="109"/>
      <c r="T363" s="465">
        <f>AND(F363&gt;0,method_reg="Метод индексации")</f>
        <v>1</v>
      </c>
      <c r="U363" s="109"/>
      <c r="V363" s="109"/>
      <c r="W363" s="109"/>
      <c r="X363" s="1596"/>
      <c r="Y363" s="700"/>
      <c r="Z363" s="1546"/>
      <c r="AA363" s="700"/>
      <c r="AB363" s="211" t="s">
        <v>2480</v>
      </c>
      <c r="AC363" s="361" t="s">
        <v>2729</v>
      </c>
      <c r="AD363" s="211" t="s">
        <v>1514</v>
      </c>
      <c r="AE363" s="213">
        <f>SUM(AE364:AE365)</f>
        <v>0</v>
      </c>
      <c r="AF363" s="213">
        <f>SUM(AF364:AF365)</f>
        <v>0</v>
      </c>
      <c r="AG363" s="213">
        <f>SUM(AG364:AG365)</f>
        <v>0</v>
      </c>
      <c r="AH363" s="778">
        <f>AG363-AF363</f>
        <v>0</v>
      </c>
      <c r="AI363" s="213">
        <f>SUM(AI364:AI365)</f>
        <v>0</v>
      </c>
      <c r="AJ363" s="213">
        <f>SUM(AJ364:AJ365)</f>
        <v>0</v>
      </c>
      <c r="AK363" s="216"/>
      <c r="AL363" s="216"/>
      <c r="AM363" s="216"/>
      <c r="AN363" s="216"/>
      <c r="AO363" s="216"/>
      <c r="AP363" s="216"/>
      <c r="AQ363" s="216"/>
      <c r="AR363" s="216"/>
      <c r="AS363" s="216"/>
      <c r="AT363" s="213">
        <f>SUM(AT364:AT365)</f>
        <v>0</v>
      </c>
      <c r="AU363" s="216"/>
      <c r="AV363" s="216"/>
      <c r="AW363" s="216"/>
      <c r="AX363" s="216"/>
      <c r="AY363" s="216"/>
      <c r="AZ363" s="216"/>
      <c r="BA363" s="216"/>
      <c r="BB363" s="216"/>
      <c r="BC363" s="216"/>
      <c r="BD363" s="778">
        <f>IF(AI363=0,0,(AT363-AI363)/AI363*100)</f>
        <v>0</v>
      </c>
      <c r="BE363" s="216"/>
      <c r="BF363" s="216"/>
      <c r="BG363" s="216"/>
      <c r="BH363" s="216"/>
      <c r="BI363" s="216"/>
      <c r="BJ363" s="216"/>
      <c r="BK363" s="216"/>
      <c r="BL363" s="216"/>
      <c r="BM363" s="216"/>
      <c r="BN363" s="7436"/>
      <c r="BO363" s="7436"/>
      <c r="BP363" s="7436"/>
      <c r="BQ363" s="700"/>
      <c r="BR363" s="700"/>
      <c r="BS363" s="1070" t="s">
        <v>2730</v>
      </c>
      <c r="BT363" s="1070"/>
      <c r="BU363" s="1070"/>
      <c r="BV363" s="707"/>
      <c r="BW363" s="707"/>
    </row>
    <row s="1834" customFormat="1" customHeight="1" ht="0" hidden="1">
      <c r="A364" s="1278"/>
      <c r="B364" s="432">
        <f>method_reg="Метод индексации"</f>
        <v>1</v>
      </c>
      <c r="C364" s="107"/>
      <c r="D364" s="107"/>
      <c r="E364" s="621">
        <v>15</v>
      </c>
      <c r="F364" s="50" cm="1" t="str">
        <f t="array" ref="F364:F364">OFFSET(E364,-1,1)</f>
        <v>2</v>
      </c>
      <c r="G364" s="107"/>
      <c r="H364" s="107"/>
      <c r="I364" s="857" t="s">
        <v>2479</v>
      </c>
      <c r="J364" s="107" cm="1" t="str">
        <f t="array" ref="J364:J364">AC364</f>
        <v>0</v>
      </c>
      <c r="K364" s="378" t="s">
        <v>2479</v>
      </c>
      <c r="L364" s="980"/>
      <c r="M364" s="107"/>
      <c r="N364" s="107"/>
      <c r="O364" s="107"/>
      <c r="P364" s="107"/>
      <c r="Q364" s="107"/>
      <c r="R364" s="107"/>
      <c r="S364" s="107"/>
      <c r="T364" s="465">
        <f>AND(F364&gt;0,Y364&gt;0)</f>
        <v>0</v>
      </c>
      <c r="U364" s="107"/>
      <c r="V364" s="107"/>
      <c r="W364" s="107" t="s">
        <v>174</v>
      </c>
      <c r="X364" s="1596"/>
      <c r="Y364" s="158">
        <v>0</v>
      </c>
      <c r="Z364" s="1546"/>
      <c r="AA364" s="420" t="s">
        <v>175</v>
      </c>
      <c r="AB364" s="300" t="str">
        <f>"1.7."&amp;Y364</f>
        <v>1.7.0</v>
      </c>
      <c r="AC364" s="1243"/>
      <c r="AD364" s="300" t="s">
        <v>1514</v>
      </c>
      <c r="AE364" s="1241"/>
      <c r="AF364" s="1241"/>
      <c r="AG364" s="1241"/>
      <c r="AH364" s="1114">
        <f>AG364-AF364</f>
        <v>0</v>
      </c>
      <c r="AI364" s="1241"/>
      <c r="AJ364" s="1241"/>
      <c r="AK364" s="1115"/>
      <c r="AL364" s="1115"/>
      <c r="AM364" s="1115"/>
      <c r="AN364" s="1115"/>
      <c r="AO364" s="1115"/>
      <c r="AP364" s="1115"/>
      <c r="AQ364" s="1115"/>
      <c r="AR364" s="1115"/>
      <c r="AS364" s="1115"/>
      <c r="AT364" s="1241"/>
      <c r="AU364" s="1115"/>
      <c r="AV364" s="1115"/>
      <c r="AW364" s="1115"/>
      <c r="AX364" s="1115"/>
      <c r="AY364" s="1115"/>
      <c r="AZ364" s="1115"/>
      <c r="BA364" s="1115"/>
      <c r="BB364" s="1115"/>
      <c r="BC364" s="1115"/>
      <c r="BD364" s="1114">
        <f>IF(AI364=0,0,(AT364-AI364)/AI364*100)</f>
        <v>0</v>
      </c>
      <c r="BE364" s="1115"/>
      <c r="BF364" s="1115"/>
      <c r="BG364" s="1115"/>
      <c r="BH364" s="1115"/>
      <c r="BI364" s="1115"/>
      <c r="BJ364" s="1115"/>
      <c r="BK364" s="1115"/>
      <c r="BL364" s="1115"/>
      <c r="BM364" s="1115"/>
      <c r="BN364" s="1238"/>
      <c r="BO364" s="1238"/>
      <c r="BP364" s="1238"/>
      <c r="BQ364" s="1278"/>
      <c r="BR364" s="1278"/>
      <c r="BS364" s="1064" t="s">
        <v>2730</v>
      </c>
      <c r="BT364" s="1064" t="s">
        <v>2731</v>
      </c>
      <c r="BU364" s="1064" cm="1" t="str">
        <f t="array" ref="BU364:BU364">AC364</f>
        <v>0</v>
      </c>
      <c r="BV364" s="979"/>
      <c r="BW364" s="703" t="b">
        <v>1</v>
      </c>
    </row>
    <row s="1834" customFormat="1" customHeight="1" ht="0">
      <c r="A365" s="1278"/>
      <c r="B365" s="432" cm="1" t="str">
        <f t="array" ref="B365:B365">B364</f>
        <v>true</v>
      </c>
      <c r="C365" s="107"/>
      <c r="D365" s="107"/>
      <c r="E365" s="621">
        <v>15</v>
      </c>
      <c r="F365" s="50" cm="1" t="str">
        <f t="array" ref="F365:F365">OFFSET(E365,-1,1)</f>
        <v>2</v>
      </c>
      <c r="G365" s="480"/>
      <c r="H365" s="107"/>
      <c r="I365" s="107"/>
      <c r="J365" s="107" t="s">
        <v>2732</v>
      </c>
      <c r="K365" s="1278"/>
      <c r="L365" s="980"/>
      <c r="M365" s="107"/>
      <c r="N365" s="107"/>
      <c r="O365" s="107"/>
      <c r="P365" s="107"/>
      <c r="Q365" s="107"/>
      <c r="R365" s="107"/>
      <c r="S365" s="107"/>
      <c r="T365" s="465">
        <f>F365&gt;0</f>
        <v>1</v>
      </c>
      <c r="U365" s="107"/>
      <c r="V365" s="107"/>
      <c r="W365" s="829" t="s">
        <v>399</v>
      </c>
      <c r="X365" s="1596"/>
      <c r="Y365" s="1278"/>
      <c r="Z365" s="1546"/>
      <c r="AA365" s="1278"/>
      <c r="AB365" s="874"/>
      <c r="AC365" s="260" t="s">
        <v>178</v>
      </c>
      <c r="AD365" s="776"/>
      <c r="AE365" s="776"/>
      <c r="AF365" s="776"/>
      <c r="AG365" s="776"/>
      <c r="AH365" s="776"/>
      <c r="AI365" s="776"/>
      <c r="AJ365" s="776"/>
      <c r="AK365" s="776"/>
      <c r="AL365" s="776"/>
      <c r="AM365" s="776"/>
      <c r="AN365" s="776"/>
      <c r="AO365" s="776"/>
      <c r="AP365" s="776"/>
      <c r="AQ365" s="776"/>
      <c r="AR365" s="776"/>
      <c r="AS365" s="776"/>
      <c r="AT365" s="776"/>
      <c r="AU365" s="776"/>
      <c r="AV365" s="776"/>
      <c r="AW365" s="776"/>
      <c r="AX365" s="776"/>
      <c r="AY365" s="776"/>
      <c r="AZ365" s="776"/>
      <c r="BA365" s="776"/>
      <c r="BB365" s="776"/>
      <c r="BC365" s="776"/>
      <c r="BD365" s="776"/>
      <c r="BE365" s="776"/>
      <c r="BF365" s="776"/>
      <c r="BG365" s="776"/>
      <c r="BH365" s="776"/>
      <c r="BI365" s="776"/>
      <c r="BJ365" s="776"/>
      <c r="BK365" s="776"/>
      <c r="BL365" s="776"/>
      <c r="BM365" s="776"/>
      <c r="BN365" s="776"/>
      <c r="BO365" s="776"/>
      <c r="BP365" s="777"/>
      <c r="BQ365" s="1278"/>
      <c r="BR365" s="1278"/>
      <c r="BS365" s="1064"/>
      <c r="BT365" s="1064"/>
      <c r="BU365" s="1064"/>
      <c r="BV365" s="703" t="s">
        <v>2731</v>
      </c>
      <c r="BW365" s="979"/>
    </row>
    <row s="7547" customFormat="1" customHeight="1" ht="20.25">
      <c r="A366" s="700"/>
      <c r="B366" s="435"/>
      <c r="C366" s="109"/>
      <c r="D366" s="109"/>
      <c r="E366" s="826">
        <v>21</v>
      </c>
      <c r="F366" s="50" cm="1" t="str">
        <f t="array" ref="F366:F366">OFFSET(E366,-1,1)</f>
        <v>2</v>
      </c>
      <c r="G366" s="109"/>
      <c r="H366" s="107"/>
      <c r="I366" s="107" t="s">
        <v>333</v>
      </c>
      <c r="J366" s="109"/>
      <c r="K366" s="158" t="s">
        <v>333</v>
      </c>
      <c r="L366" s="985"/>
      <c r="M366" s="109"/>
      <c r="N366" s="109"/>
      <c r="O366" s="109"/>
      <c r="P366" s="109"/>
      <c r="Q366" s="109"/>
      <c r="R366" s="109"/>
      <c r="S366" s="109"/>
      <c r="T366" s="465">
        <f>F366&gt;0</f>
        <v>1</v>
      </c>
      <c r="U366" s="109"/>
      <c r="V366" s="109"/>
      <c r="W366" s="109"/>
      <c r="X366" s="1596"/>
      <c r="Y366" s="700"/>
      <c r="Z366" s="1546"/>
      <c r="AA366" s="700"/>
      <c r="AB366" s="234" t="s">
        <v>285</v>
      </c>
      <c r="AC366" s="212" t="s">
        <v>2733</v>
      </c>
      <c r="AD366" s="234" t="s">
        <v>1514</v>
      </c>
      <c r="AE366" s="213">
        <f>AE367+AE379+AE380++AE391+AE392+AE393+AE395+AE396+AE397+AE398+AE401</f>
        <v>0</v>
      </c>
      <c r="AF366" s="213">
        <f>AF367+AF379+AF380++AF391+AF392+AF393+AF395+AF396+AF397+AF398+AF401</f>
        <v>0</v>
      </c>
      <c r="AG366" s="213">
        <f>AG367+AG379+AG380++AG391+AG392+AG393+AG395+AG396+AG397+AG398+AG401</f>
        <v>0</v>
      </c>
      <c r="AH366" s="778">
        <f>AG366-AF366</f>
        <v>0</v>
      </c>
      <c r="AI366" s="213">
        <f>AI367+AI379+AI380++AI391+AI392+AI393+AI395+AI396+AI397+AI398+AI401</f>
        <v>0</v>
      </c>
      <c r="AJ366" s="213">
        <f>AJ367+AJ379+AJ380++AJ391+AJ392+AJ393+AJ395+AJ396+AJ397+AJ398+AJ401</f>
        <v>73415.4153028</v>
      </c>
      <c r="AK366" s="213">
        <f>AK367+AK379+AK380++AK391+AK392+AK393+AK395+AK396+AK397+AK398+AK401</f>
        <v>80552.4748106432</v>
      </c>
      <c r="AL366" s="213">
        <f>AL367+AL379+AL380++AL391+AL392+AL393+AL395+AL396+AL397+AL398+AL401</f>
        <v>83592.7250075476</v>
      </c>
      <c r="AM366" s="213">
        <f>AM367+AM379+AM380++AM391+AM392+AM393+AM395+AM396+AM397+AM398+AM401</f>
        <v>85963.4976898345</v>
      </c>
      <c r="AN366" s="213">
        <f>AN367+AN379+AN380++AN391+AN392+AN393+AN395+AN396+AN397+AN398+AN401</f>
        <v>88439.3102800482</v>
      </c>
      <c r="AO366" s="213">
        <f>AO367+AO379+AO380++AO391+AO392+AO393+AO395+AO396+AO397+AO398+AO401</f>
        <v>0</v>
      </c>
      <c r="AP366" s="213">
        <f>AP367+AP379+AP380++AP391+AP392+AP393+AP395+AP396+AP397+AP398+AP401</f>
        <v>0</v>
      </c>
      <c r="AQ366" s="213">
        <f>AQ367+AQ379+AQ380++AQ391+AQ392+AQ393+AQ395+AQ396+AQ397+AQ398+AQ401</f>
        <v>0</v>
      </c>
      <c r="AR366" s="213">
        <f>AR367+AR379+AR380++AR391+AR392+AR393+AR395+AR396+AR397+AR398+AR401</f>
        <v>0</v>
      </c>
      <c r="AS366" s="213">
        <f>AS367+AS379+AS380++AS391+AS392+AS393+AS395+AS396+AS397+AS398+AS401</f>
        <v>0</v>
      </c>
      <c r="AT366" s="213">
        <f>AT367+AT379+AT380++AT391+AT392+AT393+AT395+AT396+AT397+AT398+AT401</f>
        <v>73415.4153028</v>
      </c>
      <c r="AU366" s="213">
        <f>AU367+AU379+AU380++AU391+AU392+AU393+AU395+AU396+AU397+AU398+AU401</f>
        <v>80552.4748106432</v>
      </c>
      <c r="AV366" s="213">
        <f>AV367+AV379+AV380++AV391+AV392+AV393+AV395+AV396+AV397+AV398+AV401</f>
        <v>83592.8600575476</v>
      </c>
      <c r="AW366" s="213">
        <f>AW367+AW379+AW380++AW391+AW392+AW393+AW395+AW396+AW397+AW398+AW401</f>
        <v>85962.8063998345</v>
      </c>
      <c r="AX366" s="213">
        <f>AX367+AX379+AX380++AX391+AX392+AX393+AX395+AX396+AX397+AX398+AX401</f>
        <v>88530.4314000482</v>
      </c>
      <c r="AY366" s="213">
        <f>AY367+AY379+AY380++AY391+AY392+AY393+AY395+AY396+AY397+AY398+AY401</f>
        <v>0</v>
      </c>
      <c r="AZ366" s="213">
        <f>AZ367+AZ379+AZ380++AZ391+AZ392+AZ393+AZ395+AZ396+AZ397+AZ398+AZ401</f>
        <v>0</v>
      </c>
      <c r="BA366" s="213">
        <f>BA367+BA379+BA380++BA391+BA392+BA393+BA395+BA396+BA397+BA398+BA401</f>
        <v>0</v>
      </c>
      <c r="BB366" s="213">
        <f>BB367+BB379+BB380++BB391+BB392+BB393+BB395+BB396+BB397+BB398+BB401</f>
        <v>0</v>
      </c>
      <c r="BC366" s="213">
        <f>BC367+BC379+BC380++BC391+BC392+BC393+BC395+BC396+BC397+BC398+BC401</f>
        <v>0</v>
      </c>
      <c r="BD366" s="778">
        <f>IF(AI366=0,0,(AT366-AI366)/AI366*100)</f>
        <v>0</v>
      </c>
      <c r="BE366" s="778">
        <f>IF(AT366=0,0,(AU366-AT366)/AT366*100)</f>
        <v>9.72147263405999</v>
      </c>
      <c r="BF366" s="778">
        <f>IF(AU366=0,0,(AV366-AU366)/AU366*100)</f>
        <v>3.77441568871909</v>
      </c>
      <c r="BG366" s="778">
        <f>IF(AV366=0,0,(AW366-AV366)/AV366*100)</f>
        <v>2.83510618090512</v>
      </c>
      <c r="BH366" s="778">
        <f>IF(AW366=0,0,(AX366-AW366)/AW366*100)</f>
        <v>2.9869022519705</v>
      </c>
      <c r="BI366" s="778">
        <f>IF(AX366=0,0,(AY366-AX366)/AX366*100)</f>
        <v>-100</v>
      </c>
      <c r="BJ366" s="778">
        <f>IF(AY366=0,0,(AZ366-AY366)/AY366*100)</f>
        <v>0</v>
      </c>
      <c r="BK366" s="778">
        <f>IF(AZ366=0,0,(BA366-AZ366)/AZ366*100)</f>
        <v>0</v>
      </c>
      <c r="BL366" s="778">
        <f>IF(BA366=0,0,(BB366-BA366)/BA366*100)</f>
        <v>0</v>
      </c>
      <c r="BM366" s="778">
        <f>IF(BB366=0,0,(BC366-BB366)/BB366*100)</f>
        <v>0</v>
      </c>
      <c r="BN366" s="7433"/>
      <c r="BO366" s="7433"/>
      <c r="BP366" s="7433"/>
      <c r="BQ366" s="160"/>
      <c r="BR366" s="700"/>
      <c r="BS366" s="1070" t="s">
        <v>2734</v>
      </c>
      <c r="BT366" s="1070"/>
      <c r="BU366" s="1070"/>
      <c r="BV366" s="707"/>
      <c r="BW366" s="707"/>
    </row>
    <row s="7548" customFormat="1" customHeight="1" ht="21.75">
      <c r="A367" s="700"/>
      <c r="B367" s="435"/>
      <c r="C367" s="109"/>
      <c r="D367" s="109"/>
      <c r="E367" s="826">
        <v>22.5</v>
      </c>
      <c r="F367" s="50" cm="1" t="str">
        <f t="array" ref="F367:F367">OFFSET(E367,-1,1)</f>
        <v>2</v>
      </c>
      <c r="G367" s="374" cm="1" t="str">
        <f t="array" ref="G367:G367">F366</f>
        <v>2</v>
      </c>
      <c r="H367" s="107"/>
      <c r="I367" s="107" t="s">
        <v>1193</v>
      </c>
      <c r="J367" s="109"/>
      <c r="K367" s="158" t="s">
        <v>1193</v>
      </c>
      <c r="L367" s="985" t="s">
        <v>1179</v>
      </c>
      <c r="M367" s="109"/>
      <c r="N367" s="109"/>
      <c r="O367" s="109"/>
      <c r="P367" s="109"/>
      <c r="Q367" s="109"/>
      <c r="R367" s="109"/>
      <c r="S367" s="109"/>
      <c r="T367" s="465" cm="1" t="str">
        <f t="array" ref="T367:T367">T366</f>
        <v>true</v>
      </c>
      <c r="U367" s="109"/>
      <c r="V367" s="109"/>
      <c r="W367" s="109"/>
      <c r="X367" s="1596"/>
      <c r="Y367" s="700"/>
      <c r="Z367" s="1546"/>
      <c r="AA367" s="700"/>
      <c r="AB367" s="211" t="s">
        <v>1250</v>
      </c>
      <c r="AC367" s="361" t="s">
        <v>2735</v>
      </c>
      <c r="AD367" s="211" t="s">
        <v>1514</v>
      </c>
      <c r="AE367" s="213">
        <f>SUM(AE368:AE378)</f>
        <v>0</v>
      </c>
      <c r="AF367" s="213">
        <f>SUM(AF368:AF378)</f>
        <v>0</v>
      </c>
      <c r="AG367" s="213">
        <f>SUM(AG368:AG378)</f>
        <v>0</v>
      </c>
      <c r="AH367" s="778">
        <f>AG367-AF367</f>
        <v>0</v>
      </c>
      <c r="AI367" s="213">
        <f>SUM(AI368:AI378)</f>
        <v>0</v>
      </c>
      <c r="AJ367" s="213">
        <f>SUM(AJ368:AJ378)</f>
        <v>73212.173294</v>
      </c>
      <c r="AK367" s="213">
        <f>SUM(AK368:AK378)</f>
        <v>80360.30505</v>
      </c>
      <c r="AL367" s="213">
        <f>SUM(AL368:AL378)</f>
        <v>83396.76</v>
      </c>
      <c r="AM367" s="213">
        <f>SUM(AM368:AM378)</f>
        <v>85566.07</v>
      </c>
      <c r="AN367" s="213">
        <f>SUM(AN368:AN378)</f>
        <v>88092.42</v>
      </c>
      <c r="AO367" s="213">
        <f>SUM(AO368:AO378)</f>
        <v>0</v>
      </c>
      <c r="AP367" s="213">
        <f>SUM(AP368:AP378)</f>
        <v>0</v>
      </c>
      <c r="AQ367" s="213">
        <f>SUM(AQ368:AQ378)</f>
        <v>0</v>
      </c>
      <c r="AR367" s="213">
        <f>SUM(AR368:AR378)</f>
        <v>0</v>
      </c>
      <c r="AS367" s="213">
        <f>SUM(AS368:AS378)</f>
        <v>0</v>
      </c>
      <c r="AT367" s="213">
        <f>SUM(AT368:AT378)</f>
        <v>73212.173294</v>
      </c>
      <c r="AU367" s="213">
        <f>SUM(AU368:AU378)</f>
        <v>80360.30505</v>
      </c>
      <c r="AV367" s="213">
        <f>SUM(AV368:AV378)</f>
        <v>83396.89505</v>
      </c>
      <c r="AW367" s="213">
        <f>SUM(AW368:AW378)</f>
        <v>85565.37871</v>
      </c>
      <c r="AX367" s="213">
        <f>SUM(AX368:AX378)</f>
        <v>88183.54112</v>
      </c>
      <c r="AY367" s="213">
        <f>SUM(AY368:AY378)</f>
        <v>0</v>
      </c>
      <c r="AZ367" s="213">
        <f>SUM(AZ368:AZ378)</f>
        <v>0</v>
      </c>
      <c r="BA367" s="213">
        <f>SUM(BA368:BA378)</f>
        <v>0</v>
      </c>
      <c r="BB367" s="213">
        <f>SUM(BB368:BB378)</f>
        <v>0</v>
      </c>
      <c r="BC367" s="213">
        <f>SUM(BC368:BC378)</f>
        <v>0</v>
      </c>
      <c r="BD367" s="778">
        <f>IF(AI367=0,0,(AT367-AI367)/AI367*100)</f>
        <v>0</v>
      </c>
      <c r="BE367" s="778">
        <f>IF(AT367=0,0,(AU367-AT367)/AT367*100)</f>
        <v>9.76358361511148</v>
      </c>
      <c r="BF367" s="778">
        <f>IF(AU367=0,0,(AV367-AU367)/AU367*100)</f>
        <v>3.77871885641879</v>
      </c>
      <c r="BG367" s="778">
        <f>IF(AV367=0,0,(AW367-AV367)/AV367*100)</f>
        <v>2.60019711609155</v>
      </c>
      <c r="BH367" s="778">
        <f>IF(AW367=0,0,(AX367-AW367)/AW367*100)</f>
        <v>3.05983851117345</v>
      </c>
      <c r="BI367" s="778">
        <f>IF(AX367=0,0,(AY367-AX367)/AX367*100)</f>
        <v>-100</v>
      </c>
      <c r="BJ367" s="778">
        <f>IF(AY367=0,0,(AZ367-AY367)/AY367*100)</f>
        <v>0</v>
      </c>
      <c r="BK367" s="778">
        <f>IF(AZ367=0,0,(BA367-AZ367)/AZ367*100)</f>
        <v>0</v>
      </c>
      <c r="BL367" s="778">
        <f>IF(BA367=0,0,(BB367-BA367)/BA367*100)</f>
        <v>0</v>
      </c>
      <c r="BM367" s="778">
        <f>IF(BB367=0,0,(BC367-BB367)/BB367*100)</f>
        <v>0</v>
      </c>
      <c r="BN367" s="7436"/>
      <c r="BO367" s="7436"/>
      <c r="BP367" s="7436"/>
      <c r="BQ367" s="700"/>
      <c r="BR367" s="700"/>
      <c r="BS367" s="1070" t="s">
        <v>2736</v>
      </c>
      <c r="BT367" s="1070"/>
      <c r="BU367" s="1070"/>
      <c r="BV367" s="707"/>
      <c r="BW367" s="707"/>
    </row>
    <row s="1834" customFormat="1" customHeight="1" ht="0">
      <c r="A368" s="1278"/>
      <c r="B368" s="978"/>
      <c r="C368" s="107"/>
      <c r="D368" s="107"/>
      <c r="E368" s="621">
        <v>15</v>
      </c>
      <c r="F368" s="50" cm="1" t="str">
        <f t="array" ref="F368:F368">OFFSET(E368,-1,1)</f>
        <v>2</v>
      </c>
      <c r="G368" s="107" t="s">
        <v>1819</v>
      </c>
      <c r="H368" s="107"/>
      <c r="I368" s="107" t="s">
        <v>2295</v>
      </c>
      <c r="J368" s="107"/>
      <c r="K368" s="158" t="s">
        <v>2295</v>
      </c>
      <c r="L368" s="980" t="s">
        <v>2071</v>
      </c>
      <c r="M368" s="107"/>
      <c r="N368" s="107"/>
      <c r="O368" s="107"/>
      <c r="P368" s="107"/>
      <c r="Q368" s="107"/>
      <c r="R368" s="107"/>
      <c r="S368" s="107"/>
      <c r="T368" s="465" cm="1" t="str">
        <f t="array" ref="T368:T368">T367</f>
        <v>true</v>
      </c>
      <c r="U368" s="107"/>
      <c r="V368" s="107"/>
      <c r="W368" s="107"/>
      <c r="X368" s="1596"/>
      <c r="Y368" s="1278"/>
      <c r="Z368" s="1546"/>
      <c r="AA368" s="1278"/>
      <c r="AB368" s="300" t="s">
        <v>1201</v>
      </c>
      <c r="AC368" s="765" t="s">
        <v>2737</v>
      </c>
      <c r="AD368" s="300" t="s">
        <v>1514</v>
      </c>
      <c r="AE368" s="1114">
        <f>_xlfn.SUMIFS(Покупка!AE$25:AE$372,Покупка!$F$25:$F$372,$F368,Покупка!$AC$25:$AC$372,$G368)</f>
        <v>0</v>
      </c>
      <c r="AF368" s="1114">
        <f>_xlfn.SUMIFS(Покупка!AF$25:AF$372,Покупка!$F$25:$F$372,$F368,Покупка!$AC$25:$AC$372,$G368)</f>
        <v>0</v>
      </c>
      <c r="AG368" s="1114">
        <f>_xlfn.SUMIFS(Покупка!AG$25:AG$372,Покупка!$F$25:$F$372,$F368,Покупка!$AC$25:$AC$372,$G368)</f>
        <v>0</v>
      </c>
      <c r="AH368" s="1114">
        <f>AG368-AF368</f>
        <v>0</v>
      </c>
      <c r="AI368" s="1114">
        <f>_xlfn.SUMIFS(Покупка!AH$25:AH$372,Покупка!$F$25:$F$372,$F368,Покупка!$AC$25:$AC$372,$G368)</f>
        <v>0</v>
      </c>
      <c r="AJ368" s="1114">
        <f>_xlfn.SUMIFS(Покупка!AI$25:AI$372,Покупка!$F$25:$F$372,$F368,Покупка!$AC$25:$AC$372,$G368)</f>
        <v>0</v>
      </c>
      <c r="AK368" s="1114">
        <f>_xlfn.SUMIFS(Покупка!AJ$25:AJ$372,Покупка!$F$25:$F$372,$F368,Покупка!$AC$25:$AC$372,$G368)</f>
        <v>0</v>
      </c>
      <c r="AL368" s="1114">
        <f>_xlfn.SUMIFS(Покупка!AK$25:AK$372,Покупка!$F$25:$F$372,$F368,Покупка!$AC$25:$AC$372,$G368)</f>
        <v>0</v>
      </c>
      <c r="AM368" s="1114">
        <f>_xlfn.SUMIFS(Покупка!AL$25:AL$372,Покупка!$F$25:$F$372,$F368,Покупка!$AC$25:$AC$372,$G368)</f>
        <v>0</v>
      </c>
      <c r="AN368" s="1114">
        <f>_xlfn.SUMIFS(Покупка!AM$25:AM$372,Покупка!$F$25:$F$372,$F368,Покупка!$AC$25:$AC$372,$G368)</f>
        <v>0</v>
      </c>
      <c r="AO368" s="1114">
        <f>_xlfn.SUMIFS(Покупка!AN$25:AN$372,Покупка!$F$25:$F$372,$F368,Покупка!$AC$25:$AC$372,$G368)</f>
        <v>0</v>
      </c>
      <c r="AP368" s="1114">
        <f>_xlfn.SUMIFS(Покупка!AO$25:AO$372,Покупка!$F$25:$F$372,$F368,Покупка!$AC$25:$AC$372,$G368)</f>
        <v>0</v>
      </c>
      <c r="AQ368" s="1114">
        <f>_xlfn.SUMIFS(Покупка!AP$25:AP$372,Покупка!$F$25:$F$372,$F368,Покупка!$AC$25:$AC$372,$G368)</f>
        <v>0</v>
      </c>
      <c r="AR368" s="1114">
        <f>_xlfn.SUMIFS(Покупка!AQ$25:AQ$372,Покупка!$F$25:$F$372,$F368,Покупка!$AC$25:$AC$372,$G368)</f>
        <v>0</v>
      </c>
      <c r="AS368" s="1114">
        <f>_xlfn.SUMIFS(Покупка!AR$25:AR$372,Покупка!$F$25:$F$372,$F368,Покупка!$AC$25:$AC$372,$G368)</f>
        <v>0</v>
      </c>
      <c r="AT368" s="1114">
        <f>_xlfn.SUMIFS(Покупка!AS$25:AS$372,Покупка!$F$25:$F$372,$F368,Покупка!$AC$25:$AC$372,$G368)</f>
        <v>0</v>
      </c>
      <c r="AU368" s="1114">
        <f>_xlfn.SUMIFS(Покупка!AT$25:AT$372,Покупка!$F$25:$F$372,$F368,Покупка!$AC$25:$AC$372,$G368)</f>
        <v>0</v>
      </c>
      <c r="AV368" s="1114">
        <f>_xlfn.SUMIFS(Покупка!AU$25:AU$372,Покупка!$F$25:$F$372,$F368,Покупка!$AC$25:$AC$372,$G368)</f>
        <v>0</v>
      </c>
      <c r="AW368" s="1114">
        <f>_xlfn.SUMIFS(Покупка!AV$25:AV$372,Покупка!$F$25:$F$372,$F368,Покупка!$AC$25:$AC$372,$G368)</f>
        <v>0</v>
      </c>
      <c r="AX368" s="1114">
        <f>_xlfn.SUMIFS(Покупка!AW$25:AW$372,Покупка!$F$25:$F$372,$F368,Покупка!$AC$25:$AC$372,$G368)</f>
        <v>0</v>
      </c>
      <c r="AY368" s="1114">
        <f>_xlfn.SUMIFS(Покупка!AX$25:AX$372,Покупка!$F$25:$F$372,$F368,Покупка!$AC$25:$AC$372,$G368)</f>
        <v>0</v>
      </c>
      <c r="AZ368" s="1114">
        <f>_xlfn.SUMIFS(Покупка!AY$25:AY$372,Покупка!$F$25:$F$372,$F368,Покупка!$AC$25:$AC$372,$G368)</f>
        <v>0</v>
      </c>
      <c r="BA368" s="1114">
        <f>_xlfn.SUMIFS(Покупка!AZ$25:AZ$372,Покупка!$F$25:$F$372,$F368,Покупка!$AC$25:$AC$372,$G368)</f>
        <v>0</v>
      </c>
      <c r="BB368" s="1114">
        <f>_xlfn.SUMIFS(Покупка!BA$25:BA$372,Покупка!$F$25:$F$372,$F368,Покупка!$AC$25:$AC$372,$G368)</f>
        <v>0</v>
      </c>
      <c r="BC368" s="1114">
        <f>_xlfn.SUMIFS(Покупка!BB$25:BB$372,Покупка!$F$25:$F$372,$F368,Покупка!$AC$25:$AC$372,$G368)</f>
        <v>0</v>
      </c>
      <c r="BD368" s="1114">
        <f>IF(AI368=0,0,(AT368-AI368)/AI368*100)</f>
        <v>0</v>
      </c>
      <c r="BE368" s="1114">
        <f>IF(AT368=0,0,(AU368-AT368)/AT368*100)</f>
        <v>0</v>
      </c>
      <c r="BF368" s="1114">
        <f>IF(AU368=0,0,(AV368-AU368)/AU368*100)</f>
        <v>0</v>
      </c>
      <c r="BG368" s="1114">
        <f>IF(AV368=0,0,(AW368-AV368)/AV368*100)</f>
        <v>0</v>
      </c>
      <c r="BH368" s="1114">
        <f>IF(AW368=0,0,(AX368-AW368)/AW368*100)</f>
        <v>0</v>
      </c>
      <c r="BI368" s="1114">
        <f>IF(AX368=0,0,(AY368-AX368)/AX368*100)</f>
        <v>0</v>
      </c>
      <c r="BJ368" s="1114">
        <f>IF(AY368=0,0,(AZ368-AY368)/AY368*100)</f>
        <v>0</v>
      </c>
      <c r="BK368" s="1114">
        <f>IF(AZ368=0,0,(BA368-AZ368)/AZ368*100)</f>
        <v>0</v>
      </c>
      <c r="BL368" s="1114">
        <f>IF(BA368=0,0,(BB368-BA368)/BA368*100)</f>
        <v>0</v>
      </c>
      <c r="BM368" s="1114">
        <f>IF(BB368=0,0,(BC368-BB368)/BB368*100)</f>
        <v>0</v>
      </c>
      <c r="BN368" s="7433"/>
      <c r="BO368" s="7437" t="str">
        <f>IF(_xlfn.IFERROR(INDEX(Покупка!$K$26:$L$372,MATCH($F368&amp;"6komm",Покупка!$K$26:$K$372,0),2),"")=0,"",_xlfn.IFERROR(INDEX(Покупка!$K$26:$L$372,MATCH($F368&amp;"6komm",Покупка!$K$26:$K$372,0),2),""))</f>
        <v/>
      </c>
      <c r="BP368" s="7433"/>
      <c r="BQ368" s="1278"/>
      <c r="BR368" s="1278"/>
      <c r="BS368" s="1064" t="s">
        <v>1820</v>
      </c>
      <c r="BT368" s="1064"/>
      <c r="BU368" s="1064"/>
      <c r="BV368" s="979"/>
      <c r="BW368" s="979"/>
    </row>
    <row s="1834" customFormat="1" customHeight="1" ht="0">
      <c r="A369" s="1278"/>
      <c r="B369" s="978"/>
      <c r="C369" s="107"/>
      <c r="D369" s="107"/>
      <c r="E369" s="621">
        <v>15</v>
      </c>
      <c r="F369" s="50" cm="1" t="str">
        <f t="array" ref="F369:F369">OFFSET(E369,-1,1)</f>
        <v>2</v>
      </c>
      <c r="G369" s="107" t="s">
        <v>1841</v>
      </c>
      <c r="H369" s="107"/>
      <c r="I369" s="107" t="s">
        <v>2299</v>
      </c>
      <c r="J369" s="107"/>
      <c r="K369" s="107" t="s">
        <v>2299</v>
      </c>
      <c r="L369" s="980" t="s">
        <v>2075</v>
      </c>
      <c r="M369" s="107"/>
      <c r="N369" s="107"/>
      <c r="O369" s="107"/>
      <c r="P369" s="107"/>
      <c r="Q369" s="107"/>
      <c r="R369" s="107"/>
      <c r="S369" s="107"/>
      <c r="T369" s="465" cm="1" t="str">
        <f t="array" ref="T369:T369">T368</f>
        <v>true</v>
      </c>
      <c r="U369" s="107"/>
      <c r="V369" s="107"/>
      <c r="W369" s="107"/>
      <c r="X369" s="1596"/>
      <c r="Y369" s="1278"/>
      <c r="Z369" s="1546"/>
      <c r="AA369" s="1278"/>
      <c r="AB369" s="300" t="s">
        <v>2738</v>
      </c>
      <c r="AC369" s="765" t="s">
        <v>2739</v>
      </c>
      <c r="AD369" s="300" t="s">
        <v>1514</v>
      </c>
      <c r="AE369" s="1114">
        <f>_xlfn.SUMIFS(Покупка!AE$25:AE$372,Покупка!$F$25:$F$372,$F369,Покупка!$AC$25:$AC$372,$G369)</f>
        <v>0</v>
      </c>
      <c r="AF369" s="1114">
        <f>_xlfn.SUMIFS(Покупка!AF$25:AF$372,Покупка!$F$25:$F$372,$F369,Покупка!$AC$25:$AC$372,$G369)</f>
        <v>0</v>
      </c>
      <c r="AG369" s="1114">
        <f>_xlfn.SUMIFS(Покупка!AG$25:AG$372,Покупка!$F$25:$F$372,$F369,Покупка!$AC$25:$AC$372,$G369)</f>
        <v>0</v>
      </c>
      <c r="AH369" s="1114">
        <f>AG369-AF369</f>
        <v>0</v>
      </c>
      <c r="AI369" s="1114">
        <f>_xlfn.SUMIFS(Покупка!AH$25:AH$372,Покупка!$F$25:$F$372,$F369,Покупка!$AC$25:$AC$372,$G369)</f>
        <v>0</v>
      </c>
      <c r="AJ369" s="1114">
        <f>_xlfn.SUMIFS(Покупка!AI$25:AI$372,Покупка!$F$25:$F$372,$F369,Покупка!$AC$25:$AC$372,$G369)</f>
        <v>0</v>
      </c>
      <c r="AK369" s="1114">
        <f>_xlfn.SUMIFS(Покупка!AJ$25:AJ$372,Покупка!$F$25:$F$372,$F369,Покупка!$AC$25:$AC$372,$G369)</f>
        <v>0</v>
      </c>
      <c r="AL369" s="1114">
        <f>_xlfn.SUMIFS(Покупка!AK$25:AK$372,Покупка!$F$25:$F$372,$F369,Покупка!$AC$25:$AC$372,$G369)</f>
        <v>0</v>
      </c>
      <c r="AM369" s="1114">
        <f>_xlfn.SUMIFS(Покупка!AL$25:AL$372,Покупка!$F$25:$F$372,$F369,Покупка!$AC$25:$AC$372,$G369)</f>
        <v>0</v>
      </c>
      <c r="AN369" s="1114">
        <f>_xlfn.SUMIFS(Покупка!AM$25:AM$372,Покупка!$F$25:$F$372,$F369,Покупка!$AC$25:$AC$372,$G369)</f>
        <v>0</v>
      </c>
      <c r="AO369" s="1114">
        <f>_xlfn.SUMIFS(Покупка!AN$25:AN$372,Покупка!$F$25:$F$372,$F369,Покупка!$AC$25:$AC$372,$G369)</f>
        <v>0</v>
      </c>
      <c r="AP369" s="1114">
        <f>_xlfn.SUMIFS(Покупка!AO$25:AO$372,Покупка!$F$25:$F$372,$F369,Покупка!$AC$25:$AC$372,$G369)</f>
        <v>0</v>
      </c>
      <c r="AQ369" s="1114">
        <f>_xlfn.SUMIFS(Покупка!AP$25:AP$372,Покупка!$F$25:$F$372,$F369,Покупка!$AC$25:$AC$372,$G369)</f>
        <v>0</v>
      </c>
      <c r="AR369" s="1114">
        <f>_xlfn.SUMIFS(Покупка!AQ$25:AQ$372,Покупка!$F$25:$F$372,$F369,Покупка!$AC$25:$AC$372,$G369)</f>
        <v>0</v>
      </c>
      <c r="AS369" s="1114">
        <f>_xlfn.SUMIFS(Покупка!AR$25:AR$372,Покупка!$F$25:$F$372,$F369,Покупка!$AC$25:$AC$372,$G369)</f>
        <v>0</v>
      </c>
      <c r="AT369" s="1114">
        <f>_xlfn.SUMIFS(Покупка!AS$25:AS$372,Покупка!$F$25:$F$372,$F369,Покупка!$AC$25:$AC$372,$G369)</f>
        <v>0</v>
      </c>
      <c r="AU369" s="1114">
        <f>_xlfn.SUMIFS(Покупка!AT$25:AT$372,Покупка!$F$25:$F$372,$F369,Покупка!$AC$25:$AC$372,$G369)</f>
        <v>0</v>
      </c>
      <c r="AV369" s="1114">
        <f>_xlfn.SUMIFS(Покупка!AU$25:AU$372,Покупка!$F$25:$F$372,$F369,Покупка!$AC$25:$AC$372,$G369)</f>
        <v>0</v>
      </c>
      <c r="AW369" s="1114">
        <f>_xlfn.SUMIFS(Покупка!AV$25:AV$372,Покупка!$F$25:$F$372,$F369,Покупка!$AC$25:$AC$372,$G369)</f>
        <v>0</v>
      </c>
      <c r="AX369" s="1114">
        <f>_xlfn.SUMIFS(Покупка!AW$25:AW$372,Покупка!$F$25:$F$372,$F369,Покупка!$AC$25:$AC$372,$G369)</f>
        <v>0</v>
      </c>
      <c r="AY369" s="1114">
        <f>_xlfn.SUMIFS(Покупка!AX$25:AX$372,Покупка!$F$25:$F$372,$F369,Покупка!$AC$25:$AC$372,$G369)</f>
        <v>0</v>
      </c>
      <c r="AZ369" s="1114">
        <f>_xlfn.SUMIFS(Покупка!AY$25:AY$372,Покупка!$F$25:$F$372,$F369,Покупка!$AC$25:$AC$372,$G369)</f>
        <v>0</v>
      </c>
      <c r="BA369" s="1114">
        <f>_xlfn.SUMIFS(Покупка!AZ$25:AZ$372,Покупка!$F$25:$F$372,$F369,Покупка!$AC$25:$AC$372,$G369)</f>
        <v>0</v>
      </c>
      <c r="BB369" s="1114">
        <f>_xlfn.SUMIFS(Покупка!BA$25:BA$372,Покупка!$F$25:$F$372,$F369,Покупка!$AC$25:$AC$372,$G369)</f>
        <v>0</v>
      </c>
      <c r="BC369" s="1114">
        <f>_xlfn.SUMIFS(Покупка!BB$25:BB$372,Покупка!$F$25:$F$372,$F369,Покупка!$AC$25:$AC$372,$G369)</f>
        <v>0</v>
      </c>
      <c r="BD369" s="1114">
        <f>IF(AI369=0,0,(AT369-AI369)/AI369*100)</f>
        <v>0</v>
      </c>
      <c r="BE369" s="1114">
        <f>IF(AT369=0,0,(AU369-AT369)/AT369*100)</f>
        <v>0</v>
      </c>
      <c r="BF369" s="1114">
        <f>IF(AU369=0,0,(AV369-AU369)/AU369*100)</f>
        <v>0</v>
      </c>
      <c r="BG369" s="1114">
        <f>IF(AV369=0,0,(AW369-AV369)/AV369*100)</f>
        <v>0</v>
      </c>
      <c r="BH369" s="1114">
        <f>IF(AW369=0,0,(AX369-AW369)/AW369*100)</f>
        <v>0</v>
      </c>
      <c r="BI369" s="1114">
        <f>IF(AX369=0,0,(AY369-AX369)/AX369*100)</f>
        <v>0</v>
      </c>
      <c r="BJ369" s="1114">
        <f>IF(AY369=0,0,(AZ369-AY369)/AY369*100)</f>
        <v>0</v>
      </c>
      <c r="BK369" s="1114">
        <f>IF(AZ369=0,0,(BA369-AZ369)/AZ369*100)</f>
        <v>0</v>
      </c>
      <c r="BL369" s="1114">
        <f>IF(BA369=0,0,(BB369-BA369)/BA369*100)</f>
        <v>0</v>
      </c>
      <c r="BM369" s="1114">
        <f>IF(BB369=0,0,(BC369-BB369)/BB369*100)</f>
        <v>0</v>
      </c>
      <c r="BN369" s="7433"/>
      <c r="BO369" s="7437" t="str">
        <f>IF(_xlfn.IFERROR(INDEX(Покупка!$K$26:$L$372,MATCH($F369&amp;"7komm",Покупка!$K$26:$K$372,0),2),"")=0,"",_xlfn.IFERROR(INDEX(Покупка!$K$26:$L$372,MATCH($F369&amp;"7komm",Покупка!$K$26:$K$372,0),2),""))</f>
        <v/>
      </c>
      <c r="BP369" s="7433"/>
      <c r="BQ369" s="1278"/>
      <c r="BR369" s="1278"/>
      <c r="BS369" s="1064" t="s">
        <v>1842</v>
      </c>
      <c r="BT369" s="1064"/>
      <c r="BU369" s="1064"/>
      <c r="BV369" s="979"/>
      <c r="BW369" s="979"/>
    </row>
    <row s="1834" customFormat="1" customHeight="1" ht="0">
      <c r="A370" s="1278"/>
      <c r="B370" s="978"/>
      <c r="C370" s="107"/>
      <c r="D370" s="107"/>
      <c r="E370" s="621">
        <v>15</v>
      </c>
      <c r="F370" s="50" cm="1" t="str">
        <f t="array" ref="F370:F370">OFFSET(E370,-1,1)</f>
        <v>2</v>
      </c>
      <c r="G370" s="107" t="s">
        <v>1793</v>
      </c>
      <c r="H370" s="107"/>
      <c r="I370" s="107" t="s">
        <v>2374</v>
      </c>
      <c r="J370" s="107"/>
      <c r="K370" s="107" t="s">
        <v>2374</v>
      </c>
      <c r="L370" s="980" t="s">
        <v>2244</v>
      </c>
      <c r="M370" s="107"/>
      <c r="N370" s="107"/>
      <c r="O370" s="107"/>
      <c r="P370" s="107"/>
      <c r="Q370" s="107"/>
      <c r="R370" s="107"/>
      <c r="S370" s="107"/>
      <c r="T370" s="465" cm="1" t="str">
        <f t="array" ref="T370:T370">T369</f>
        <v>true</v>
      </c>
      <c r="U370" s="107"/>
      <c r="V370" s="107"/>
      <c r="W370" s="107"/>
      <c r="X370" s="1596"/>
      <c r="Y370" s="1278"/>
      <c r="Z370" s="1546"/>
      <c r="AA370" s="1278"/>
      <c r="AB370" s="300" t="s">
        <v>2740</v>
      </c>
      <c r="AC370" s="765" t="s">
        <v>2741</v>
      </c>
      <c r="AD370" s="300" t="s">
        <v>1514</v>
      </c>
      <c r="AE370" s="1114">
        <f>_xlfn.SUMIFS(Покупка!AE$25:AE$372,Покупка!$F$25:$F$372,$F370,Покупка!$AC$25:$AC$372,$G370)</f>
        <v>0</v>
      </c>
      <c r="AF370" s="1114">
        <f>_xlfn.SUMIFS(Покупка!AF$25:AF$372,Покупка!$F$25:$F$372,$F370,Покупка!$AC$25:$AC$372,$G370)</f>
        <v>0</v>
      </c>
      <c r="AG370" s="1114">
        <f>_xlfn.SUMIFS(Покупка!AG$25:AG$372,Покупка!$F$25:$F$372,$F370,Покупка!$AC$25:$AC$372,$G370)</f>
        <v>0</v>
      </c>
      <c r="AH370" s="1114">
        <f>AG370-AF370</f>
        <v>0</v>
      </c>
      <c r="AI370" s="1114">
        <f>_xlfn.SUMIFS(Покупка!AH$25:AH$372,Покупка!$F$25:$F$372,$F370,Покупка!$AC$25:$AC$372,$G370)</f>
        <v>0</v>
      </c>
      <c r="AJ370" s="1114">
        <f>_xlfn.SUMIFS(Покупка!AI$25:AI$372,Покупка!$F$25:$F$372,$F370,Покупка!$AC$25:$AC$372,$G370)</f>
        <v>0</v>
      </c>
      <c r="AK370" s="1114">
        <f>_xlfn.SUMIFS(Покупка!AJ$25:AJ$372,Покупка!$F$25:$F$372,$F370,Покупка!$AC$25:$AC$372,$G370)</f>
        <v>0</v>
      </c>
      <c r="AL370" s="1114">
        <f>_xlfn.SUMIFS(Покупка!AK$25:AK$372,Покупка!$F$25:$F$372,$F370,Покупка!$AC$25:$AC$372,$G370)</f>
        <v>0</v>
      </c>
      <c r="AM370" s="1114">
        <f>_xlfn.SUMIFS(Покупка!AL$25:AL$372,Покупка!$F$25:$F$372,$F370,Покупка!$AC$25:$AC$372,$G370)</f>
        <v>0</v>
      </c>
      <c r="AN370" s="1114">
        <f>_xlfn.SUMIFS(Покупка!AM$25:AM$372,Покупка!$F$25:$F$372,$F370,Покупка!$AC$25:$AC$372,$G370)</f>
        <v>0</v>
      </c>
      <c r="AO370" s="1114">
        <f>_xlfn.SUMIFS(Покупка!AN$25:AN$372,Покупка!$F$25:$F$372,$F370,Покупка!$AC$25:$AC$372,$G370)</f>
        <v>0</v>
      </c>
      <c r="AP370" s="1114">
        <f>_xlfn.SUMIFS(Покупка!AO$25:AO$372,Покупка!$F$25:$F$372,$F370,Покупка!$AC$25:$AC$372,$G370)</f>
        <v>0</v>
      </c>
      <c r="AQ370" s="1114">
        <f>_xlfn.SUMIFS(Покупка!AP$25:AP$372,Покупка!$F$25:$F$372,$F370,Покупка!$AC$25:$AC$372,$G370)</f>
        <v>0</v>
      </c>
      <c r="AR370" s="1114">
        <f>_xlfn.SUMIFS(Покупка!AQ$25:AQ$372,Покупка!$F$25:$F$372,$F370,Покупка!$AC$25:$AC$372,$G370)</f>
        <v>0</v>
      </c>
      <c r="AS370" s="1114">
        <f>_xlfn.SUMIFS(Покупка!AR$25:AR$372,Покупка!$F$25:$F$372,$F370,Покупка!$AC$25:$AC$372,$G370)</f>
        <v>0</v>
      </c>
      <c r="AT370" s="1114">
        <f>_xlfn.SUMIFS(Покупка!AS$25:AS$372,Покупка!$F$25:$F$372,$F370,Покупка!$AC$25:$AC$372,$G370)</f>
        <v>0</v>
      </c>
      <c r="AU370" s="1114">
        <f>_xlfn.SUMIFS(Покупка!AT$25:AT$372,Покупка!$F$25:$F$372,$F370,Покупка!$AC$25:$AC$372,$G370)</f>
        <v>0</v>
      </c>
      <c r="AV370" s="1114">
        <f>_xlfn.SUMIFS(Покупка!AU$25:AU$372,Покупка!$F$25:$F$372,$F370,Покупка!$AC$25:$AC$372,$G370)</f>
        <v>0</v>
      </c>
      <c r="AW370" s="1114">
        <f>_xlfn.SUMIFS(Покупка!AV$25:AV$372,Покупка!$F$25:$F$372,$F370,Покупка!$AC$25:$AC$372,$G370)</f>
        <v>0</v>
      </c>
      <c r="AX370" s="1114">
        <f>_xlfn.SUMIFS(Покупка!AW$25:AW$372,Покупка!$F$25:$F$372,$F370,Покупка!$AC$25:$AC$372,$G370)</f>
        <v>0</v>
      </c>
      <c r="AY370" s="1114">
        <f>_xlfn.SUMIFS(Покупка!AX$25:AX$372,Покупка!$F$25:$F$372,$F370,Покупка!$AC$25:$AC$372,$G370)</f>
        <v>0</v>
      </c>
      <c r="AZ370" s="1114">
        <f>_xlfn.SUMIFS(Покупка!AY$25:AY$372,Покупка!$F$25:$F$372,$F370,Покупка!$AC$25:$AC$372,$G370)</f>
        <v>0</v>
      </c>
      <c r="BA370" s="1114">
        <f>_xlfn.SUMIFS(Покупка!AZ$25:AZ$372,Покупка!$F$25:$F$372,$F370,Покупка!$AC$25:$AC$372,$G370)</f>
        <v>0</v>
      </c>
      <c r="BB370" s="1114">
        <f>_xlfn.SUMIFS(Покупка!BA$25:BA$372,Покупка!$F$25:$F$372,$F370,Покупка!$AC$25:$AC$372,$G370)</f>
        <v>0</v>
      </c>
      <c r="BC370" s="1114">
        <f>_xlfn.SUMIFS(Покупка!BB$25:BB$372,Покупка!$F$25:$F$372,$F370,Покупка!$AC$25:$AC$372,$G370)</f>
        <v>0</v>
      </c>
      <c r="BD370" s="1114">
        <f>IF(AI370=0,0,(AT370-AI370)/AI370*100)</f>
        <v>0</v>
      </c>
      <c r="BE370" s="1114">
        <f>IF(AT370=0,0,(AU370-AT370)/AT370*100)</f>
        <v>0</v>
      </c>
      <c r="BF370" s="1114">
        <f>IF(AU370=0,0,(AV370-AU370)/AU370*100)</f>
        <v>0</v>
      </c>
      <c r="BG370" s="1114">
        <f>IF(AV370=0,0,(AW370-AV370)/AV370*100)</f>
        <v>0</v>
      </c>
      <c r="BH370" s="1114">
        <f>IF(AW370=0,0,(AX370-AW370)/AW370*100)</f>
        <v>0</v>
      </c>
      <c r="BI370" s="1114">
        <f>IF(AX370=0,0,(AY370-AX370)/AX370*100)</f>
        <v>0</v>
      </c>
      <c r="BJ370" s="1114">
        <f>IF(AY370=0,0,(AZ370-AY370)/AY370*100)</f>
        <v>0</v>
      </c>
      <c r="BK370" s="1114">
        <f>IF(AZ370=0,0,(BA370-AZ370)/AZ370*100)</f>
        <v>0</v>
      </c>
      <c r="BL370" s="1114">
        <f>IF(BA370=0,0,(BB370-BA370)/BA370*100)</f>
        <v>0</v>
      </c>
      <c r="BM370" s="1114">
        <f>IF(BB370=0,0,(BC370-BB370)/BB370*100)</f>
        <v>0</v>
      </c>
      <c r="BN370" s="7433"/>
      <c r="BO370" s="7437" t="str">
        <f>IF(_xlfn.IFERROR(INDEX(Покупка!$K$26:$L$372,MATCH($F370&amp;"2komm",Покупка!$K$26:$K$372,0),2),"")=0,"",_xlfn.IFERROR(INDEX(Покупка!$K$26:$L$372,MATCH($F370&amp;"2komm",Покупка!$K$26:$K$372,0),2),""))</f>
        <v/>
      </c>
      <c r="BP370" s="7433"/>
      <c r="BQ370" s="1278"/>
      <c r="BR370" s="1278"/>
      <c r="BS370" s="1064" t="s">
        <v>2742</v>
      </c>
      <c r="BT370" s="1064"/>
      <c r="BU370" s="1064"/>
      <c r="BV370" s="979"/>
      <c r="BW370" s="979"/>
    </row>
    <row s="1834" customFormat="1" customHeight="1" ht="45.609375">
      <c r="A371" s="1278"/>
      <c r="B371" s="978"/>
      <c r="C371" s="107"/>
      <c r="D371" s="107"/>
      <c r="E371" s="621">
        <v>15</v>
      </c>
      <c r="F371" s="50" cm="1" t="str">
        <f t="array" ref="F371:F371">OFFSET(E371,-1,1)</f>
        <v>2</v>
      </c>
      <c r="G371" s="107" t="s">
        <v>1780</v>
      </c>
      <c r="H371" s="107"/>
      <c r="I371" s="107" t="s">
        <v>2376</v>
      </c>
      <c r="J371" s="107"/>
      <c r="K371" s="107" t="s">
        <v>2376</v>
      </c>
      <c r="L371" s="980" t="s">
        <v>2239</v>
      </c>
      <c r="M371" s="107"/>
      <c r="N371" s="107"/>
      <c r="O371" s="107"/>
      <c r="P371" s="107"/>
      <c r="Q371" s="107"/>
      <c r="R371" s="107"/>
      <c r="S371" s="107"/>
      <c r="T371" s="465" cm="1" t="str">
        <f t="array" ref="T371:T371">T370</f>
        <v>true</v>
      </c>
      <c r="U371" s="107"/>
      <c r="V371" s="107"/>
      <c r="W371" s="107"/>
      <c r="X371" s="1596"/>
      <c r="Y371" s="1278"/>
      <c r="Z371" s="1546"/>
      <c r="AA371" s="1278"/>
      <c r="AB371" s="300" t="s">
        <v>2743</v>
      </c>
      <c r="AC371" s="765" t="s">
        <v>2744</v>
      </c>
      <c r="AD371" s="300" t="s">
        <v>1514</v>
      </c>
      <c r="AE371" s="1114">
        <f>_xlfn.SUMIFS(Покупка!AE$25:AE$372,Покупка!$F$25:$F$372,$F371,Покупка!$AC$25:$AC$372,$G371)</f>
        <v>0</v>
      </c>
      <c r="AF371" s="1114">
        <f>_xlfn.SUMIFS(Покупка!AF$25:AF$372,Покупка!$F$25:$F$372,$F371,Покупка!$AC$25:$AC$372,$G371)</f>
        <v>0</v>
      </c>
      <c r="AG371" s="1114">
        <f>_xlfn.SUMIFS(Покупка!AG$25:AG$372,Покупка!$F$25:$F$372,$F371,Покупка!$AC$25:$AC$372,$G371)</f>
        <v>0</v>
      </c>
      <c r="AH371" s="1114">
        <f>AG371-AF371</f>
        <v>0</v>
      </c>
      <c r="AI371" s="1114">
        <f>_xlfn.SUMIFS(Покупка!AH$25:AH$372,Покупка!$F$25:$F$372,$F371,Покупка!$AC$25:$AC$372,$G371)</f>
        <v>0</v>
      </c>
      <c r="AJ371" s="1114">
        <f>_xlfn.SUMIFS(Покупка!AI$25:AI$372,Покупка!$F$25:$F$372,$F371,Покупка!$AC$25:$AC$372,$G371)</f>
        <v>73212.173294</v>
      </c>
      <c r="AK371" s="1114">
        <f>_xlfn.SUMIFS(Покупка!AJ$25:AJ$372,Покупка!$F$25:$F$372,$F371,Покупка!$AC$25:$AC$372,$G371)</f>
        <v>80360.30505</v>
      </c>
      <c r="AL371" s="1114">
        <f>_xlfn.SUMIFS(Покупка!AK$25:AK$372,Покупка!$F$25:$F$372,$F371,Покупка!$AC$25:$AC$372,$G371)</f>
        <v>83396.76</v>
      </c>
      <c r="AM371" s="1114">
        <f>_xlfn.SUMIFS(Покупка!AL$25:AL$372,Покупка!$F$25:$F$372,$F371,Покупка!$AC$25:$AC$372,$G371)</f>
        <v>85566.07</v>
      </c>
      <c r="AN371" s="1114">
        <f>_xlfn.SUMIFS(Покупка!AM$25:AM$372,Покупка!$F$25:$F$372,$F371,Покупка!$AC$25:$AC$372,$G371)</f>
        <v>88092.42</v>
      </c>
      <c r="AO371" s="1114">
        <f>_xlfn.SUMIFS(Покупка!AN$25:AN$372,Покупка!$F$25:$F$372,$F371,Покупка!$AC$25:$AC$372,$G371)</f>
        <v>0</v>
      </c>
      <c r="AP371" s="1114">
        <f>_xlfn.SUMIFS(Покупка!AO$25:AO$372,Покупка!$F$25:$F$372,$F371,Покупка!$AC$25:$AC$372,$G371)</f>
        <v>0</v>
      </c>
      <c r="AQ371" s="1114">
        <f>_xlfn.SUMIFS(Покупка!AP$25:AP$372,Покупка!$F$25:$F$372,$F371,Покупка!$AC$25:$AC$372,$G371)</f>
        <v>0</v>
      </c>
      <c r="AR371" s="1114">
        <f>_xlfn.SUMIFS(Покупка!AQ$25:AQ$372,Покупка!$F$25:$F$372,$F371,Покупка!$AC$25:$AC$372,$G371)</f>
        <v>0</v>
      </c>
      <c r="AS371" s="1114">
        <f>_xlfn.SUMIFS(Покупка!AR$25:AR$372,Покупка!$F$25:$F$372,$F371,Покупка!$AC$25:$AC$372,$G371)</f>
        <v>0</v>
      </c>
      <c r="AT371" s="1114">
        <f>_xlfn.SUMIFS(Покупка!AS$25:AS$372,Покупка!$F$25:$F$372,$F371,Покупка!$AC$25:$AC$372,$G371)</f>
        <v>73212.173294</v>
      </c>
      <c r="AU371" s="1114">
        <f>_xlfn.SUMIFS(Покупка!AT$25:AT$372,Покупка!$F$25:$F$372,$F371,Покупка!$AC$25:$AC$372,$G371)</f>
        <v>80360.30505</v>
      </c>
      <c r="AV371" s="1114">
        <f>_xlfn.SUMIFS(Покупка!AU$25:AU$372,Покупка!$F$25:$F$372,$F371,Покупка!$AC$25:$AC$372,$G371)</f>
        <v>83396.89505</v>
      </c>
      <c r="AW371" s="1114">
        <f>_xlfn.SUMIFS(Покупка!AV$25:AV$372,Покупка!$F$25:$F$372,$F371,Покупка!$AC$25:$AC$372,$G371)</f>
        <v>85565.37871</v>
      </c>
      <c r="AX371" s="1114">
        <f>_xlfn.SUMIFS(Покупка!AW$25:AW$372,Покупка!$F$25:$F$372,$F371,Покупка!$AC$25:$AC$372,$G371)</f>
        <v>88183.54112</v>
      </c>
      <c r="AY371" s="1114">
        <f>_xlfn.SUMIFS(Покупка!AX$25:AX$372,Покупка!$F$25:$F$372,$F371,Покупка!$AC$25:$AC$372,$G371)</f>
        <v>0</v>
      </c>
      <c r="AZ371" s="1114">
        <f>_xlfn.SUMIFS(Покупка!AY$25:AY$372,Покупка!$F$25:$F$372,$F371,Покупка!$AC$25:$AC$372,$G371)</f>
        <v>0</v>
      </c>
      <c r="BA371" s="1114">
        <f>_xlfn.SUMIFS(Покупка!AZ$25:AZ$372,Покупка!$F$25:$F$372,$F371,Покупка!$AC$25:$AC$372,$G371)</f>
        <v>0</v>
      </c>
      <c r="BB371" s="1114">
        <f>_xlfn.SUMIFS(Покупка!BA$25:BA$372,Покупка!$F$25:$F$372,$F371,Покупка!$AC$25:$AC$372,$G371)</f>
        <v>0</v>
      </c>
      <c r="BC371" s="1114">
        <f>_xlfn.SUMIFS(Покупка!BB$25:BB$372,Покупка!$F$25:$F$372,$F371,Покупка!$AC$25:$AC$372,$G371)</f>
        <v>0</v>
      </c>
      <c r="BD371" s="1114">
        <f>IF(AI371=0,0,(AT371-AI371)/AI371*100)</f>
        <v>0</v>
      </c>
      <c r="BE371" s="1114">
        <f>IF(AT371=0,0,(AU371-AT371)/AT371*100)</f>
        <v>9.76358361511148</v>
      </c>
      <c r="BF371" s="1114">
        <f>IF(AU371=0,0,(AV371-AU371)/AU371*100)</f>
        <v>3.77871885641879</v>
      </c>
      <c r="BG371" s="1114">
        <f>IF(AV371=0,0,(AW371-AV371)/AV371*100)</f>
        <v>2.60019711609155</v>
      </c>
      <c r="BH371" s="1114">
        <f>IF(AW371=0,0,(AX371-AW371)/AW371*100)</f>
        <v>3.05983851117345</v>
      </c>
      <c r="BI371" s="1114">
        <f>IF(AX371=0,0,(AY371-AX371)/AX371*100)</f>
        <v>-100</v>
      </c>
      <c r="BJ371" s="1114">
        <f>IF(AY371=0,0,(AZ371-AY371)/AY371*100)</f>
        <v>0</v>
      </c>
      <c r="BK371" s="1114">
        <f>IF(AZ371=0,0,(BA371-AZ371)/AZ371*100)</f>
        <v>0</v>
      </c>
      <c r="BL371" s="1114">
        <f>IF(BA371=0,0,(BB371-BA371)/BA371*100)</f>
        <v>0</v>
      </c>
      <c r="BM371" s="1114">
        <f>IF(BB371=0,0,(BC371-BB371)/BB371*100)</f>
        <v>0</v>
      </c>
      <c r="BN371" s="7433"/>
      <c r="BO371" s="7437" t="str">
        <f>IF(_xlfn.IFERROR(INDEX(Покупка!$K$26:$L$372,MATCH($F371&amp;"1komm",Покупка!$K$26:$K$372,0),2),"")=0,"",_xlfn.IFERROR(INDEX(Покупка!$K$26:$L$372,MATCH($F371&amp;"1komm",Покупка!$K$26:$K$372,0),2),""))</f>
        <v>В соответствии с п.49 Методических указаний 1746-э. </v>
      </c>
      <c r="BP371" s="7433"/>
      <c r="BQ371" s="1278"/>
      <c r="BR371" s="1278"/>
      <c r="BS371" s="1064" t="s">
        <v>2745</v>
      </c>
      <c r="BT371" s="1064"/>
      <c r="BU371" s="1064"/>
      <c r="BV371" s="979"/>
      <c r="BW371" s="979"/>
    </row>
    <row s="1834" customFormat="1" customHeight="1" ht="0">
      <c r="A372" s="1278"/>
      <c r="B372" s="978"/>
      <c r="C372" s="107"/>
      <c r="D372" s="107"/>
      <c r="E372" s="621">
        <v>15</v>
      </c>
      <c r="F372" s="50" cm="1" t="str">
        <f t="array" ref="F372:F372">OFFSET(E372,-1,1)</f>
        <v>2</v>
      </c>
      <c r="G372" s="107" t="s">
        <v>1847</v>
      </c>
      <c r="H372" s="107"/>
      <c r="I372" s="107" t="s">
        <v>2379</v>
      </c>
      <c r="J372" s="107"/>
      <c r="K372" s="107" t="s">
        <v>2379</v>
      </c>
      <c r="L372" s="980"/>
      <c r="M372" s="107"/>
      <c r="N372" s="107"/>
      <c r="O372" s="107"/>
      <c r="P372" s="107"/>
      <c r="Q372" s="107"/>
      <c r="R372" s="107"/>
      <c r="S372" s="107"/>
      <c r="T372" s="465" cm="1" t="str">
        <f t="array" ref="T372:T372">T371</f>
        <v>true</v>
      </c>
      <c r="U372" s="107"/>
      <c r="V372" s="107"/>
      <c r="W372" s="107"/>
      <c r="X372" s="1596"/>
      <c r="Y372" s="1278"/>
      <c r="Z372" s="1546"/>
      <c r="AA372" s="1278"/>
      <c r="AB372" s="300" t="s">
        <v>2746</v>
      </c>
      <c r="AC372" s="765" t="s">
        <v>2747</v>
      </c>
      <c r="AD372" s="300" t="s">
        <v>1514</v>
      </c>
      <c r="AE372" s="1114">
        <f>_xlfn.SUMIFS(Покупка!AE$25:AE$372,Покупка!$F$25:$F$372,$F372,Покупка!$AC$25:$AC$372,$G372)</f>
        <v>0</v>
      </c>
      <c r="AF372" s="1114">
        <f>_xlfn.SUMIFS(Покупка!AF$25:AF$372,Покупка!$F$25:$F$372,$F372,Покупка!$AC$25:$AC$372,$G372)</f>
        <v>0</v>
      </c>
      <c r="AG372" s="1114">
        <f>_xlfn.SUMIFS(Покупка!AG$25:AG$372,Покупка!$F$25:$F$372,$F372,Покупка!$AC$25:$AC$372,$G372)</f>
        <v>0</v>
      </c>
      <c r="AH372" s="1114">
        <f>AG372-AF372</f>
        <v>0</v>
      </c>
      <c r="AI372" s="1114">
        <f>_xlfn.SUMIFS(Покупка!AH$25:AH$372,Покупка!$F$25:$F$372,$F372,Покупка!$AC$25:$AC$372,$G372)</f>
        <v>0</v>
      </c>
      <c r="AJ372" s="1114">
        <f>_xlfn.SUMIFS(Покупка!AI$25:AI$372,Покупка!$F$25:$F$372,$F372,Покупка!$AC$25:$AC$372,$G372)</f>
        <v>0</v>
      </c>
      <c r="AK372" s="1114">
        <f>_xlfn.SUMIFS(Покупка!AJ$25:AJ$372,Покупка!$F$25:$F$372,$F372,Покупка!$AC$25:$AC$372,$G372)</f>
        <v>0</v>
      </c>
      <c r="AL372" s="1114">
        <f>_xlfn.SUMIFS(Покупка!AK$25:AK$372,Покупка!$F$25:$F$372,$F372,Покупка!$AC$25:$AC$372,$G372)</f>
        <v>0</v>
      </c>
      <c r="AM372" s="1114">
        <f>_xlfn.SUMIFS(Покупка!AL$25:AL$372,Покупка!$F$25:$F$372,$F372,Покупка!$AC$25:$AC$372,$G372)</f>
        <v>0</v>
      </c>
      <c r="AN372" s="1114">
        <f>_xlfn.SUMIFS(Покупка!AM$25:AM$372,Покупка!$F$25:$F$372,$F372,Покупка!$AC$25:$AC$372,$G372)</f>
        <v>0</v>
      </c>
      <c r="AO372" s="1114">
        <f>_xlfn.SUMIFS(Покупка!AN$25:AN$372,Покупка!$F$25:$F$372,$F372,Покупка!$AC$25:$AC$372,$G372)</f>
        <v>0</v>
      </c>
      <c r="AP372" s="1114">
        <f>_xlfn.SUMIFS(Покупка!AO$25:AO$372,Покупка!$F$25:$F$372,$F372,Покупка!$AC$25:$AC$372,$G372)</f>
        <v>0</v>
      </c>
      <c r="AQ372" s="1114">
        <f>_xlfn.SUMIFS(Покупка!AP$25:AP$372,Покупка!$F$25:$F$372,$F372,Покупка!$AC$25:$AC$372,$G372)</f>
        <v>0</v>
      </c>
      <c r="AR372" s="1114">
        <f>_xlfn.SUMIFS(Покупка!AQ$25:AQ$372,Покупка!$F$25:$F$372,$F372,Покупка!$AC$25:$AC$372,$G372)</f>
        <v>0</v>
      </c>
      <c r="AS372" s="1114">
        <f>_xlfn.SUMIFS(Покупка!AR$25:AR$372,Покупка!$F$25:$F$372,$F372,Покупка!$AC$25:$AC$372,$G372)</f>
        <v>0</v>
      </c>
      <c r="AT372" s="1114">
        <f>_xlfn.SUMIFS(Покупка!AS$25:AS$372,Покупка!$F$25:$F$372,$F372,Покупка!$AC$25:$AC$372,$G372)</f>
        <v>0</v>
      </c>
      <c r="AU372" s="1114">
        <f>_xlfn.SUMIFS(Покупка!AT$25:AT$372,Покупка!$F$25:$F$372,$F372,Покупка!$AC$25:$AC$372,$G372)</f>
        <v>0</v>
      </c>
      <c r="AV372" s="1114">
        <f>_xlfn.SUMIFS(Покупка!AU$25:AU$372,Покупка!$F$25:$F$372,$F372,Покупка!$AC$25:$AC$372,$G372)</f>
        <v>0</v>
      </c>
      <c r="AW372" s="1114">
        <f>_xlfn.SUMIFS(Покупка!AV$25:AV$372,Покупка!$F$25:$F$372,$F372,Покупка!$AC$25:$AC$372,$G372)</f>
        <v>0</v>
      </c>
      <c r="AX372" s="1114">
        <f>_xlfn.SUMIFS(Покупка!AW$25:AW$372,Покупка!$F$25:$F$372,$F372,Покупка!$AC$25:$AC$372,$G372)</f>
        <v>0</v>
      </c>
      <c r="AY372" s="1114">
        <f>_xlfn.SUMIFS(Покупка!AX$25:AX$372,Покупка!$F$25:$F$372,$F372,Покупка!$AC$25:$AC$372,$G372)</f>
        <v>0</v>
      </c>
      <c r="AZ372" s="1114">
        <f>_xlfn.SUMIFS(Покупка!AY$25:AY$372,Покупка!$F$25:$F$372,$F372,Покупка!$AC$25:$AC$372,$G372)</f>
        <v>0</v>
      </c>
      <c r="BA372" s="1114">
        <f>_xlfn.SUMIFS(Покупка!AZ$25:AZ$372,Покупка!$F$25:$F$372,$F372,Покупка!$AC$25:$AC$372,$G372)</f>
        <v>0</v>
      </c>
      <c r="BB372" s="1114">
        <f>_xlfn.SUMIFS(Покупка!BA$25:BA$372,Покупка!$F$25:$F$372,$F372,Покупка!$AC$25:$AC$372,$G372)</f>
        <v>0</v>
      </c>
      <c r="BC372" s="1114">
        <f>_xlfn.SUMIFS(Покупка!BB$25:BB$372,Покупка!$F$25:$F$372,$F372,Покупка!$AC$25:$AC$372,$G372)</f>
        <v>0</v>
      </c>
      <c r="BD372" s="1114">
        <f>IF(AI372=0,0,(AT372-AI372)/AI372*100)</f>
        <v>0</v>
      </c>
      <c r="BE372" s="1114">
        <f>IF(AT372=0,0,(AU372-AT372)/AT372*100)</f>
        <v>0</v>
      </c>
      <c r="BF372" s="1114">
        <f>IF(AU372=0,0,(AV372-AU372)/AU372*100)</f>
        <v>0</v>
      </c>
      <c r="BG372" s="1114">
        <f>IF(AV372=0,0,(AW372-AV372)/AV372*100)</f>
        <v>0</v>
      </c>
      <c r="BH372" s="1114">
        <f>IF(AW372=0,0,(AX372-AW372)/AW372*100)</f>
        <v>0</v>
      </c>
      <c r="BI372" s="1114">
        <f>IF(AX372=0,0,(AY372-AX372)/AX372*100)</f>
        <v>0</v>
      </c>
      <c r="BJ372" s="1114">
        <f>IF(AY372=0,0,(AZ372-AY372)/AY372*100)</f>
        <v>0</v>
      </c>
      <c r="BK372" s="1114">
        <f>IF(AZ372=0,0,(BA372-AZ372)/AZ372*100)</f>
        <v>0</v>
      </c>
      <c r="BL372" s="1114">
        <f>IF(BA372=0,0,(BB372-BA372)/BA372*100)</f>
        <v>0</v>
      </c>
      <c r="BM372" s="1114">
        <f>IF(BB372=0,0,(BC372-BB372)/BB372*100)</f>
        <v>0</v>
      </c>
      <c r="BN372" s="7433"/>
      <c r="BO372" s="7437" t="str">
        <f>IF(_xlfn.IFERROR(INDEX(Покупка!$K$26:$L$372,MATCH($F372&amp;"8komm",Покупка!$K$26:$K$372,0),2),"")=0,"",_xlfn.IFERROR(INDEX(Покупка!$K$26:$L$372,MATCH($F372&amp;"8komm",Покупка!$K$26:$K$372,0),2),""))</f>
        <v/>
      </c>
      <c r="BP372" s="7433"/>
      <c r="BQ372" s="1278"/>
      <c r="BR372" s="1278"/>
      <c r="BS372" s="1064" t="s">
        <v>1848</v>
      </c>
      <c r="BT372" s="1064"/>
      <c r="BU372" s="1064"/>
      <c r="BV372" s="979"/>
      <c r="BW372" s="979"/>
    </row>
    <row s="1834" customFormat="1" customHeight="1" ht="0">
      <c r="A373" s="1278"/>
      <c r="B373" s="978"/>
      <c r="C373" s="107"/>
      <c r="D373" s="107"/>
      <c r="E373" s="621">
        <v>15</v>
      </c>
      <c r="F373" s="50" cm="1" t="str">
        <f t="array" ref="F373:F373">OFFSET(E373,-1,1)</f>
        <v>2</v>
      </c>
      <c r="G373" s="107"/>
      <c r="H373" s="107"/>
      <c r="I373" s="107" t="s">
        <v>2748</v>
      </c>
      <c r="J373" s="107"/>
      <c r="K373" s="107" t="s">
        <v>2748</v>
      </c>
      <c r="L373" s="980"/>
      <c r="M373" s="107"/>
      <c r="N373" s="107"/>
      <c r="O373" s="107"/>
      <c r="P373" s="107"/>
      <c r="Q373" s="107"/>
      <c r="R373" s="107"/>
      <c r="S373" s="107"/>
      <c r="T373" s="465" cm="1" t="str">
        <f t="array" ref="T373:T373">T372</f>
        <v>true</v>
      </c>
      <c r="U373" s="107"/>
      <c r="V373" s="107"/>
      <c r="W373" s="107"/>
      <c r="X373" s="1596"/>
      <c r="Y373" s="1278"/>
      <c r="Z373" s="1546"/>
      <c r="AA373" s="1278"/>
      <c r="AB373" s="300" t="s">
        <v>2749</v>
      </c>
      <c r="AC373" s="765" t="s">
        <v>2750</v>
      </c>
      <c r="AD373" s="300" t="s">
        <v>1514</v>
      </c>
      <c r="AE373" s="3946"/>
      <c r="AF373" s="3946"/>
      <c r="AG373" s="3946"/>
      <c r="AH373" s="1114">
        <f>AG373-AF373</f>
        <v>0</v>
      </c>
      <c r="AI373" s="3946"/>
      <c r="AJ373" s="3946"/>
      <c r="AK373" s="3946"/>
      <c r="AL373" s="3946"/>
      <c r="AM373" s="3946"/>
      <c r="AN373" s="3946"/>
      <c r="AO373" s="1241"/>
      <c r="AP373" s="1241"/>
      <c r="AQ373" s="1241"/>
      <c r="AR373" s="1241"/>
      <c r="AS373" s="1241"/>
      <c r="AT373" s="3946"/>
      <c r="AU373" s="3946"/>
      <c r="AV373" s="3946"/>
      <c r="AW373" s="3946"/>
      <c r="AX373" s="3946"/>
      <c r="AY373" s="1241"/>
      <c r="AZ373" s="1241"/>
      <c r="BA373" s="1241"/>
      <c r="BB373" s="1241"/>
      <c r="BC373" s="1241"/>
      <c r="BD373" s="1114">
        <f>IF(AI373=0,0,(AT373-AI373)/AI373*100)</f>
        <v>0</v>
      </c>
      <c r="BE373" s="1114">
        <f>IF(AT373=0,0,(AU373-AT373)/AT373*100)</f>
        <v>0</v>
      </c>
      <c r="BF373" s="1114">
        <f>IF(AU373=0,0,(AV373-AU373)/AU373*100)</f>
        <v>0</v>
      </c>
      <c r="BG373" s="1114">
        <f>IF(AV373=0,0,(AW373-AV373)/AV373*100)</f>
        <v>0</v>
      </c>
      <c r="BH373" s="1114">
        <f>IF(AW373=0,0,(AX373-AW373)/AW373*100)</f>
        <v>0</v>
      </c>
      <c r="BI373" s="1114">
        <f>IF(AX373=0,0,(AY373-AX373)/AX373*100)</f>
        <v>0</v>
      </c>
      <c r="BJ373" s="1114">
        <f>IF(AY373=0,0,(AZ373-AY373)/AY373*100)</f>
        <v>0</v>
      </c>
      <c r="BK373" s="1114">
        <f>IF(AZ373=0,0,(BA373-AZ373)/AZ373*100)</f>
        <v>0</v>
      </c>
      <c r="BL373" s="1114">
        <f>IF(BA373=0,0,(BB373-BA373)/BA373*100)</f>
        <v>0</v>
      </c>
      <c r="BM373" s="1114">
        <f>IF(BB373=0,0,(BC373-BB373)/BB373*100)</f>
        <v>0</v>
      </c>
      <c r="BN373" s="7433"/>
      <c r="BO373" s="7433"/>
      <c r="BP373" s="7433"/>
      <c r="BQ373" s="1278"/>
      <c r="BR373" s="1278"/>
      <c r="BS373" s="1064" t="s">
        <v>2751</v>
      </c>
      <c r="BT373" s="1064"/>
      <c r="BU373" s="1064"/>
      <c r="BV373" s="979"/>
      <c r="BW373" s="979"/>
    </row>
    <row s="1834" customFormat="1" customHeight="1" ht="0">
      <c r="A374" s="1278"/>
      <c r="B374" s="978"/>
      <c r="C374" s="107"/>
      <c r="D374" s="107"/>
      <c r="E374" s="621">
        <v>15</v>
      </c>
      <c r="F374" s="50" cm="1" t="str">
        <f t="array" ref="F374:F374">OFFSET(E374,-1,1)</f>
        <v>2</v>
      </c>
      <c r="G374" s="107"/>
      <c r="H374" s="107"/>
      <c r="I374" s="107" t="s">
        <v>2752</v>
      </c>
      <c r="J374" s="107"/>
      <c r="K374" s="107" t="s">
        <v>2752</v>
      </c>
      <c r="L374" s="980"/>
      <c r="M374" s="107"/>
      <c r="N374" s="107"/>
      <c r="O374" s="107"/>
      <c r="P374" s="107"/>
      <c r="Q374" s="107"/>
      <c r="R374" s="107"/>
      <c r="S374" s="107"/>
      <c r="T374" s="465" cm="1" t="str">
        <f t="array" ref="T374:T374">T373</f>
        <v>true</v>
      </c>
      <c r="U374" s="107"/>
      <c r="V374" s="107"/>
      <c r="W374" s="107"/>
      <c r="X374" s="1596"/>
      <c r="Y374" s="1278"/>
      <c r="Z374" s="1546"/>
      <c r="AA374" s="1278"/>
      <c r="AB374" s="300" t="s">
        <v>2753</v>
      </c>
      <c r="AC374" s="765" t="s">
        <v>2754</v>
      </c>
      <c r="AD374" s="300" t="s">
        <v>1514</v>
      </c>
      <c r="AE374" s="3946"/>
      <c r="AF374" s="3946"/>
      <c r="AG374" s="3946"/>
      <c r="AH374" s="1114">
        <f>AG374-AF374</f>
        <v>0</v>
      </c>
      <c r="AI374" s="3946"/>
      <c r="AJ374" s="3946"/>
      <c r="AK374" s="3946"/>
      <c r="AL374" s="3946"/>
      <c r="AM374" s="3946"/>
      <c r="AN374" s="3946"/>
      <c r="AO374" s="1241"/>
      <c r="AP374" s="1241"/>
      <c r="AQ374" s="1241"/>
      <c r="AR374" s="1241"/>
      <c r="AS374" s="1241"/>
      <c r="AT374" s="3946"/>
      <c r="AU374" s="3946"/>
      <c r="AV374" s="3946"/>
      <c r="AW374" s="3946"/>
      <c r="AX374" s="3946"/>
      <c r="AY374" s="1241"/>
      <c r="AZ374" s="1241"/>
      <c r="BA374" s="1241"/>
      <c r="BB374" s="1241"/>
      <c r="BC374" s="1241"/>
      <c r="BD374" s="1114">
        <f>IF(AI374=0,0,(AT374-AI374)/AI374*100)</f>
        <v>0</v>
      </c>
      <c r="BE374" s="1114">
        <f>IF(AT374=0,0,(AU374-AT374)/AT374*100)</f>
        <v>0</v>
      </c>
      <c r="BF374" s="1114">
        <f>IF(AU374=0,0,(AV374-AU374)/AU374*100)</f>
        <v>0</v>
      </c>
      <c r="BG374" s="1114">
        <f>IF(AV374=0,0,(AW374-AV374)/AV374*100)</f>
        <v>0</v>
      </c>
      <c r="BH374" s="1114">
        <f>IF(AW374=0,0,(AX374-AW374)/AW374*100)</f>
        <v>0</v>
      </c>
      <c r="BI374" s="1114">
        <f>IF(AX374=0,0,(AY374-AX374)/AX374*100)</f>
        <v>0</v>
      </c>
      <c r="BJ374" s="1114">
        <f>IF(AY374=0,0,(AZ374-AY374)/AY374*100)</f>
        <v>0</v>
      </c>
      <c r="BK374" s="1114">
        <f>IF(AZ374=0,0,(BA374-AZ374)/AZ374*100)</f>
        <v>0</v>
      </c>
      <c r="BL374" s="1114">
        <f>IF(BA374=0,0,(BB374-BA374)/BA374*100)</f>
        <v>0</v>
      </c>
      <c r="BM374" s="1114">
        <f>IF(BB374=0,0,(BC374-BB374)/BB374*100)</f>
        <v>0</v>
      </c>
      <c r="BN374" s="7433"/>
      <c r="BO374" s="7433"/>
      <c r="BP374" s="7433"/>
      <c r="BQ374" s="1278"/>
      <c r="BR374" s="1278"/>
      <c r="BS374" s="1064" t="s">
        <v>2755</v>
      </c>
      <c r="BT374" s="1064"/>
      <c r="BU374" s="1064"/>
      <c r="BV374" s="979"/>
      <c r="BW374" s="979"/>
    </row>
    <row s="1834" customFormat="1" customHeight="1" ht="0">
      <c r="A375" s="1278"/>
      <c r="B375" s="978"/>
      <c r="C375" s="107"/>
      <c r="D375" s="107"/>
      <c r="E375" s="621">
        <v>15</v>
      </c>
      <c r="F375" s="50" cm="1" t="str">
        <f t="array" ref="F375:F375">OFFSET(E375,-1,1)</f>
        <v>2</v>
      </c>
      <c r="G375" s="107" t="s">
        <v>1799</v>
      </c>
      <c r="H375" s="107"/>
      <c r="I375" s="107" t="s">
        <v>2756</v>
      </c>
      <c r="J375" s="107"/>
      <c r="K375" s="107" t="s">
        <v>2756</v>
      </c>
      <c r="L375" s="980" t="s">
        <v>2253</v>
      </c>
      <c r="M375" s="107"/>
      <c r="N375" s="107"/>
      <c r="O375" s="107"/>
      <c r="P375" s="107"/>
      <c r="Q375" s="107"/>
      <c r="R375" s="107"/>
      <c r="S375" s="107"/>
      <c r="T375" s="465" cm="1" t="str">
        <f t="array" ref="T375:T375">T374</f>
        <v>true</v>
      </c>
      <c r="U375" s="107"/>
      <c r="V375" s="107"/>
      <c r="W375" s="107"/>
      <c r="X375" s="1596"/>
      <c r="Y375" s="1278"/>
      <c r="Z375" s="1546"/>
      <c r="AA375" s="1278"/>
      <c r="AB375" s="300" t="s">
        <v>2757</v>
      </c>
      <c r="AC375" s="765" t="s">
        <v>2758</v>
      </c>
      <c r="AD375" s="300" t="s">
        <v>1514</v>
      </c>
      <c r="AE375" s="1114">
        <f>_xlfn.SUMIFS(Покупка!AE$25:AE$372,Покупка!$F$25:$F$372,$F375,Покупка!$AC$25:$AC$372,$G375)</f>
        <v>0</v>
      </c>
      <c r="AF375" s="1114">
        <f>_xlfn.SUMIFS(Покупка!AF$25:AF$372,Покупка!$F$25:$F$372,$F375,Покупка!$AC$25:$AC$372,$G375)</f>
        <v>0</v>
      </c>
      <c r="AG375" s="1114">
        <f>_xlfn.SUMIFS(Покупка!AG$25:AG$372,Покупка!$F$25:$F$372,$F375,Покупка!$AC$25:$AC$372,$G375)</f>
        <v>0</v>
      </c>
      <c r="AH375" s="1114">
        <f>AG375-AF375</f>
        <v>0</v>
      </c>
      <c r="AI375" s="1114">
        <f>_xlfn.SUMIFS(Покупка!AH$25:AH$372,Покупка!$F$25:$F$372,$F375,Покупка!$AC$25:$AC$372,$G375)</f>
        <v>0</v>
      </c>
      <c r="AJ375" s="1114">
        <f>_xlfn.SUMIFS(Покупка!AI$25:AI$372,Покупка!$F$25:$F$372,$F375,Покупка!$AC$25:$AC$372,$G375)</f>
        <v>0</v>
      </c>
      <c r="AK375" s="1114">
        <f>_xlfn.SUMIFS(Покупка!AJ$25:AJ$372,Покупка!$F$25:$F$372,$F375,Покупка!$AC$25:$AC$372,$G375)</f>
        <v>0</v>
      </c>
      <c r="AL375" s="1114">
        <f>_xlfn.SUMIFS(Покупка!AK$25:AK$372,Покупка!$F$25:$F$372,$F375,Покупка!$AC$25:$AC$372,$G375)</f>
        <v>0</v>
      </c>
      <c r="AM375" s="1114">
        <f>_xlfn.SUMIFS(Покупка!AL$25:AL$372,Покупка!$F$25:$F$372,$F375,Покупка!$AC$25:$AC$372,$G375)</f>
        <v>0</v>
      </c>
      <c r="AN375" s="1114">
        <f>_xlfn.SUMIFS(Покупка!AM$25:AM$372,Покупка!$F$25:$F$372,$F375,Покупка!$AC$25:$AC$372,$G375)</f>
        <v>0</v>
      </c>
      <c r="AO375" s="1114">
        <f>_xlfn.SUMIFS(Покупка!AN$25:AN$372,Покупка!$F$25:$F$372,$F375,Покупка!$AC$25:$AC$372,$G375)</f>
        <v>0</v>
      </c>
      <c r="AP375" s="1114">
        <f>_xlfn.SUMIFS(Покупка!AO$25:AO$372,Покупка!$F$25:$F$372,$F375,Покупка!$AC$25:$AC$372,$G375)</f>
        <v>0</v>
      </c>
      <c r="AQ375" s="1114">
        <f>_xlfn.SUMIFS(Покупка!AP$25:AP$372,Покупка!$F$25:$F$372,$F375,Покупка!$AC$25:$AC$372,$G375)</f>
        <v>0</v>
      </c>
      <c r="AR375" s="1114">
        <f>_xlfn.SUMIFS(Покупка!AQ$25:AQ$372,Покупка!$F$25:$F$372,$F375,Покупка!$AC$25:$AC$372,$G375)</f>
        <v>0</v>
      </c>
      <c r="AS375" s="1114">
        <f>_xlfn.SUMIFS(Покупка!AR$25:AR$372,Покупка!$F$25:$F$372,$F375,Покупка!$AC$25:$AC$372,$G375)</f>
        <v>0</v>
      </c>
      <c r="AT375" s="1114">
        <f>_xlfn.SUMIFS(Покупка!AS$25:AS$372,Покупка!$F$25:$F$372,$F375,Покупка!$AC$25:$AC$372,$G375)</f>
        <v>0</v>
      </c>
      <c r="AU375" s="1114">
        <f>_xlfn.SUMIFS(Покупка!AT$25:AT$372,Покупка!$F$25:$F$372,$F375,Покупка!$AC$25:$AC$372,$G375)</f>
        <v>0</v>
      </c>
      <c r="AV375" s="1114">
        <f>_xlfn.SUMIFS(Покупка!AU$25:AU$372,Покупка!$F$25:$F$372,$F375,Покупка!$AC$25:$AC$372,$G375)</f>
        <v>0</v>
      </c>
      <c r="AW375" s="1114">
        <f>_xlfn.SUMIFS(Покупка!AV$25:AV$372,Покупка!$F$25:$F$372,$F375,Покупка!$AC$25:$AC$372,$G375)</f>
        <v>0</v>
      </c>
      <c r="AX375" s="1114">
        <f>_xlfn.SUMIFS(Покупка!AW$25:AW$372,Покупка!$F$25:$F$372,$F375,Покупка!$AC$25:$AC$372,$G375)</f>
        <v>0</v>
      </c>
      <c r="AY375" s="1114">
        <f>_xlfn.SUMIFS(Покупка!AX$25:AX$372,Покупка!$F$25:$F$372,$F375,Покупка!$AC$25:$AC$372,$G375)</f>
        <v>0</v>
      </c>
      <c r="AZ375" s="1114">
        <f>_xlfn.SUMIFS(Покупка!AY$25:AY$372,Покупка!$F$25:$F$372,$F375,Покупка!$AC$25:$AC$372,$G375)</f>
        <v>0</v>
      </c>
      <c r="BA375" s="1114">
        <f>_xlfn.SUMIFS(Покупка!AZ$25:AZ$372,Покупка!$F$25:$F$372,$F375,Покупка!$AC$25:$AC$372,$G375)</f>
        <v>0</v>
      </c>
      <c r="BB375" s="1114">
        <f>_xlfn.SUMIFS(Покупка!BA$25:BA$372,Покупка!$F$25:$F$372,$F375,Покупка!$AC$25:$AC$372,$G375)</f>
        <v>0</v>
      </c>
      <c r="BC375" s="1114">
        <f>_xlfn.SUMIFS(Покупка!BB$25:BB$372,Покупка!$F$25:$F$372,$F375,Покупка!$AC$25:$AC$372,$G375)</f>
        <v>0</v>
      </c>
      <c r="BD375" s="1114">
        <f>IF(AI375=0,0,(AT375-AI375)/AI375*100)</f>
        <v>0</v>
      </c>
      <c r="BE375" s="1114">
        <f>IF(AT375=0,0,(AU375-AT375)/AT375*100)</f>
        <v>0</v>
      </c>
      <c r="BF375" s="1114">
        <f>IF(AU375=0,0,(AV375-AU375)/AU375*100)</f>
        <v>0</v>
      </c>
      <c r="BG375" s="1114">
        <f>IF(AV375=0,0,(AW375-AV375)/AV375*100)</f>
        <v>0</v>
      </c>
      <c r="BH375" s="1114">
        <f>IF(AW375=0,0,(AX375-AW375)/AW375*100)</f>
        <v>0</v>
      </c>
      <c r="BI375" s="1114">
        <f>IF(AX375=0,0,(AY375-AX375)/AX375*100)</f>
        <v>0</v>
      </c>
      <c r="BJ375" s="1114">
        <f>IF(AY375=0,0,(AZ375-AY375)/AY375*100)</f>
        <v>0</v>
      </c>
      <c r="BK375" s="1114">
        <f>IF(AZ375=0,0,(BA375-AZ375)/AZ375*100)</f>
        <v>0</v>
      </c>
      <c r="BL375" s="1114">
        <f>IF(BA375=0,0,(BB375-BA375)/BA375*100)</f>
        <v>0</v>
      </c>
      <c r="BM375" s="1114">
        <f>IF(BB375=0,0,(BC375-BB375)/BB375*100)</f>
        <v>0</v>
      </c>
      <c r="BN375" s="7433"/>
      <c r="BO375" s="7437" t="str">
        <f>IF(_xlfn.IFERROR(INDEX(Покупка!$K$26:$L$372,MATCH($F375&amp;"3komm",Покупка!$K$26:$K$372,0),2),"")=0,"",_xlfn.IFERROR(INDEX(Покупка!$K$26:$L$372,MATCH($F375&amp;"3komm",Покупка!$K$26:$K$372,0),2),""))</f>
        <v/>
      </c>
      <c r="BP375" s="7433"/>
      <c r="BQ375" s="1278"/>
      <c r="BR375" s="1278"/>
      <c r="BS375" s="1064" t="s">
        <v>2459</v>
      </c>
      <c r="BT375" s="1064"/>
      <c r="BU375" s="1064"/>
      <c r="BV375" s="979"/>
      <c r="BW375" s="979"/>
    </row>
    <row s="1834" customFormat="1" customHeight="1" ht="0">
      <c r="A376" s="1278"/>
      <c r="B376" s="978"/>
      <c r="C376" s="107"/>
      <c r="D376" s="107"/>
      <c r="E376" s="621">
        <v>15</v>
      </c>
      <c r="F376" s="50" cm="1" t="str">
        <f t="array" ref="F376:F376">OFFSET(E376,-1,1)</f>
        <v>2</v>
      </c>
      <c r="G376" s="107" t="s">
        <v>1805</v>
      </c>
      <c r="H376" s="107"/>
      <c r="I376" s="107" t="s">
        <v>2759</v>
      </c>
      <c r="J376" s="107"/>
      <c r="K376" s="107" t="s">
        <v>2759</v>
      </c>
      <c r="L376" s="980" t="s">
        <v>2258</v>
      </c>
      <c r="M376" s="107"/>
      <c r="N376" s="107"/>
      <c r="O376" s="107"/>
      <c r="P376" s="107"/>
      <c r="Q376" s="107"/>
      <c r="R376" s="107"/>
      <c r="S376" s="107"/>
      <c r="T376" s="465" cm="1" t="str">
        <f t="array" ref="T376:T376">T375</f>
        <v>true</v>
      </c>
      <c r="U376" s="107"/>
      <c r="V376" s="107"/>
      <c r="W376" s="107"/>
      <c r="X376" s="1596"/>
      <c r="Y376" s="1278"/>
      <c r="Z376" s="1546"/>
      <c r="AA376" s="1278"/>
      <c r="AB376" s="300" t="s">
        <v>2760</v>
      </c>
      <c r="AC376" s="765" t="s">
        <v>2761</v>
      </c>
      <c r="AD376" s="300" t="s">
        <v>1514</v>
      </c>
      <c r="AE376" s="1114">
        <f>_xlfn.SUMIFS(Покупка!AE$25:AE$372,Покупка!$F$25:$F$372,$F376,Покупка!$AC$25:$AC$372,$G376)</f>
        <v>0</v>
      </c>
      <c r="AF376" s="1114">
        <f>_xlfn.SUMIFS(Покупка!AF$25:AF$372,Покупка!$F$25:$F$372,$F376,Покупка!$AC$25:$AC$372,$G376)</f>
        <v>0</v>
      </c>
      <c r="AG376" s="1114">
        <f>_xlfn.SUMIFS(Покупка!AG$25:AG$372,Покупка!$F$25:$F$372,$F376,Покупка!$AC$25:$AC$372,$G376)</f>
        <v>0</v>
      </c>
      <c r="AH376" s="1114">
        <f>AG376-AF376</f>
        <v>0</v>
      </c>
      <c r="AI376" s="1114">
        <f>_xlfn.SUMIFS(Покупка!AH$25:AH$372,Покупка!$F$25:$F$372,$F376,Покупка!$AC$25:$AC$372,$G376)</f>
        <v>0</v>
      </c>
      <c r="AJ376" s="1114">
        <f>_xlfn.SUMIFS(Покупка!AI$25:AI$372,Покупка!$F$25:$F$372,$F376,Покупка!$AC$25:$AC$372,$G376)</f>
        <v>0</v>
      </c>
      <c r="AK376" s="1114">
        <f>_xlfn.SUMIFS(Покупка!AJ$25:AJ$372,Покупка!$F$25:$F$372,$F376,Покупка!$AC$25:$AC$372,$G376)</f>
        <v>0</v>
      </c>
      <c r="AL376" s="1114">
        <f>_xlfn.SUMIFS(Покупка!AK$25:AK$372,Покупка!$F$25:$F$372,$F376,Покупка!$AC$25:$AC$372,$G376)</f>
        <v>0</v>
      </c>
      <c r="AM376" s="1114">
        <f>_xlfn.SUMIFS(Покупка!AL$25:AL$372,Покупка!$F$25:$F$372,$F376,Покупка!$AC$25:$AC$372,$G376)</f>
        <v>0</v>
      </c>
      <c r="AN376" s="1114">
        <f>_xlfn.SUMIFS(Покупка!AM$25:AM$372,Покупка!$F$25:$F$372,$F376,Покупка!$AC$25:$AC$372,$G376)</f>
        <v>0</v>
      </c>
      <c r="AO376" s="1114">
        <f>_xlfn.SUMIFS(Покупка!AN$25:AN$372,Покупка!$F$25:$F$372,$F376,Покупка!$AC$25:$AC$372,$G376)</f>
        <v>0</v>
      </c>
      <c r="AP376" s="1114">
        <f>_xlfn.SUMIFS(Покупка!AO$25:AO$372,Покупка!$F$25:$F$372,$F376,Покупка!$AC$25:$AC$372,$G376)</f>
        <v>0</v>
      </c>
      <c r="AQ376" s="1114">
        <f>_xlfn.SUMIFS(Покупка!AP$25:AP$372,Покупка!$F$25:$F$372,$F376,Покупка!$AC$25:$AC$372,$G376)</f>
        <v>0</v>
      </c>
      <c r="AR376" s="1114">
        <f>_xlfn.SUMIFS(Покупка!AQ$25:AQ$372,Покупка!$F$25:$F$372,$F376,Покупка!$AC$25:$AC$372,$G376)</f>
        <v>0</v>
      </c>
      <c r="AS376" s="1114">
        <f>_xlfn.SUMIFS(Покупка!AR$25:AR$372,Покупка!$F$25:$F$372,$F376,Покупка!$AC$25:$AC$372,$G376)</f>
        <v>0</v>
      </c>
      <c r="AT376" s="1114">
        <f>_xlfn.SUMIFS(Покупка!AS$25:AS$372,Покупка!$F$25:$F$372,$F376,Покупка!$AC$25:$AC$372,$G376)</f>
        <v>0</v>
      </c>
      <c r="AU376" s="1114">
        <f>_xlfn.SUMIFS(Покупка!AT$25:AT$372,Покупка!$F$25:$F$372,$F376,Покупка!$AC$25:$AC$372,$G376)</f>
        <v>0</v>
      </c>
      <c r="AV376" s="1114">
        <f>_xlfn.SUMIFS(Покупка!AU$25:AU$372,Покупка!$F$25:$F$372,$F376,Покупка!$AC$25:$AC$372,$G376)</f>
        <v>0</v>
      </c>
      <c r="AW376" s="1114">
        <f>_xlfn.SUMIFS(Покупка!AV$25:AV$372,Покупка!$F$25:$F$372,$F376,Покупка!$AC$25:$AC$372,$G376)</f>
        <v>0</v>
      </c>
      <c r="AX376" s="1114">
        <f>_xlfn.SUMIFS(Покупка!AW$25:AW$372,Покупка!$F$25:$F$372,$F376,Покупка!$AC$25:$AC$372,$G376)</f>
        <v>0</v>
      </c>
      <c r="AY376" s="1114">
        <f>_xlfn.SUMIFS(Покупка!AX$25:AX$372,Покупка!$F$25:$F$372,$F376,Покупка!$AC$25:$AC$372,$G376)</f>
        <v>0</v>
      </c>
      <c r="AZ376" s="1114">
        <f>_xlfn.SUMIFS(Покупка!AY$25:AY$372,Покупка!$F$25:$F$372,$F376,Покупка!$AC$25:$AC$372,$G376)</f>
        <v>0</v>
      </c>
      <c r="BA376" s="1114">
        <f>_xlfn.SUMIFS(Покупка!AZ$25:AZ$372,Покупка!$F$25:$F$372,$F376,Покупка!$AC$25:$AC$372,$G376)</f>
        <v>0</v>
      </c>
      <c r="BB376" s="1114">
        <f>_xlfn.SUMIFS(Покупка!BA$25:BA$372,Покупка!$F$25:$F$372,$F376,Покупка!$AC$25:$AC$372,$G376)</f>
        <v>0</v>
      </c>
      <c r="BC376" s="1114">
        <f>_xlfn.SUMIFS(Покупка!BB$25:BB$372,Покупка!$F$25:$F$372,$F376,Покупка!$AC$25:$AC$372,$G376)</f>
        <v>0</v>
      </c>
      <c r="BD376" s="1114">
        <f>IF(AI376=0,0,(AT376-AI376)/AI376*100)</f>
        <v>0</v>
      </c>
      <c r="BE376" s="1114">
        <f>IF(AT376=0,0,(AU376-AT376)/AT376*100)</f>
        <v>0</v>
      </c>
      <c r="BF376" s="1114">
        <f>IF(AU376=0,0,(AV376-AU376)/AU376*100)</f>
        <v>0</v>
      </c>
      <c r="BG376" s="1114">
        <f>IF(AV376=0,0,(AW376-AV376)/AV376*100)</f>
        <v>0</v>
      </c>
      <c r="BH376" s="1114">
        <f>IF(AW376=0,0,(AX376-AW376)/AW376*100)</f>
        <v>0</v>
      </c>
      <c r="BI376" s="1114">
        <f>IF(AX376=0,0,(AY376-AX376)/AX376*100)</f>
        <v>0</v>
      </c>
      <c r="BJ376" s="1114">
        <f>IF(AY376=0,0,(AZ376-AY376)/AY376*100)</f>
        <v>0</v>
      </c>
      <c r="BK376" s="1114">
        <f>IF(AZ376=0,0,(BA376-AZ376)/AZ376*100)</f>
        <v>0</v>
      </c>
      <c r="BL376" s="1114">
        <f>IF(BA376=0,0,(BB376-BA376)/BA376*100)</f>
        <v>0</v>
      </c>
      <c r="BM376" s="1114">
        <f>IF(BB376=0,0,(BC376-BB376)/BB376*100)</f>
        <v>0</v>
      </c>
      <c r="BN376" s="7433"/>
      <c r="BO376" s="7437" t="str">
        <f>IF(_xlfn.IFERROR(INDEX(Покупка!$K$26:$L$372,MATCH($F376&amp;"4komm",Покупка!$K$26:$K$372,0),2),"")=0,"",_xlfn.IFERROR(INDEX(Покупка!$K$26:$L$372,MATCH($F375&amp;"3komm",Покупка!$K$26:$K$372,0),2),""))</f>
        <v/>
      </c>
      <c r="BP376" s="7433"/>
      <c r="BQ376" s="1278"/>
      <c r="BR376" s="1278"/>
      <c r="BS376" s="1064" t="s">
        <v>2462</v>
      </c>
      <c r="BT376" s="1064"/>
      <c r="BU376" s="1064"/>
      <c r="BV376" s="979"/>
      <c r="BW376" s="979"/>
    </row>
    <row s="1834" customFormat="1" customHeight="1" ht="0">
      <c r="A377" s="1278"/>
      <c r="B377" s="978"/>
      <c r="C377" s="107"/>
      <c r="D377" s="107"/>
      <c r="E377" s="621">
        <v>15</v>
      </c>
      <c r="F377" s="50" cm="1" t="str">
        <f t="array" ref="F377:F377">OFFSET(E377,-1,1)</f>
        <v>2</v>
      </c>
      <c r="G377" s="107" t="s">
        <v>1812</v>
      </c>
      <c r="H377" s="107"/>
      <c r="I377" s="107" t="s">
        <v>2762</v>
      </c>
      <c r="J377" s="107"/>
      <c r="K377" s="107" t="s">
        <v>2762</v>
      </c>
      <c r="L377" s="980" t="s">
        <v>2268</v>
      </c>
      <c r="M377" s="107"/>
      <c r="N377" s="107"/>
      <c r="O377" s="107"/>
      <c r="P377" s="107"/>
      <c r="Q377" s="107"/>
      <c r="R377" s="107"/>
      <c r="S377" s="107"/>
      <c r="T377" s="465" cm="1" t="str">
        <f t="array" ref="T377:T377">T376</f>
        <v>true</v>
      </c>
      <c r="U377" s="107"/>
      <c r="V377" s="107"/>
      <c r="W377" s="107"/>
      <c r="X377" s="1596"/>
      <c r="Y377" s="1278"/>
      <c r="Z377" s="1546"/>
      <c r="AA377" s="1278"/>
      <c r="AB377" s="300" t="s">
        <v>2763</v>
      </c>
      <c r="AC377" s="765" t="s">
        <v>2764</v>
      </c>
      <c r="AD377" s="300" t="s">
        <v>1514</v>
      </c>
      <c r="AE377" s="1114">
        <f>_xlfn.SUMIFS(Покупка!AE$25:AE$372,Покупка!$F$25:$F$372,$F377,Покупка!$AC$25:$AC$372,$G377)</f>
        <v>0</v>
      </c>
      <c r="AF377" s="1114">
        <f>_xlfn.SUMIFS(Покупка!AF$25:AF$372,Покупка!$F$25:$F$372,$F377,Покупка!$AC$25:$AC$372,$G377)</f>
        <v>0</v>
      </c>
      <c r="AG377" s="1114">
        <f>_xlfn.SUMIFS(Покупка!AG$25:AG$372,Покупка!$F$25:$F$372,$F377,Покупка!$AC$25:$AC$372,$G377)</f>
        <v>0</v>
      </c>
      <c r="AH377" s="1114">
        <f>AG377-AF377</f>
        <v>0</v>
      </c>
      <c r="AI377" s="1114">
        <f>_xlfn.SUMIFS(Покупка!AH$25:AH$372,Покупка!$F$25:$F$372,$F377,Покупка!$AC$25:$AC$372,$G377)</f>
        <v>0</v>
      </c>
      <c r="AJ377" s="1114">
        <f>_xlfn.SUMIFS(Покупка!AI$25:AI$372,Покупка!$F$25:$F$372,$F377,Покупка!$AC$25:$AC$372,$G377)</f>
        <v>0</v>
      </c>
      <c r="AK377" s="1114">
        <f>_xlfn.SUMIFS(Покупка!AJ$25:AJ$372,Покупка!$F$25:$F$372,$F377,Покупка!$AC$25:$AC$372,$G377)</f>
        <v>0</v>
      </c>
      <c r="AL377" s="1114">
        <f>_xlfn.SUMIFS(Покупка!AK$25:AK$372,Покупка!$F$25:$F$372,$F377,Покупка!$AC$25:$AC$372,$G377)</f>
        <v>0</v>
      </c>
      <c r="AM377" s="1114">
        <f>_xlfn.SUMIFS(Покупка!AL$25:AL$372,Покупка!$F$25:$F$372,$F377,Покупка!$AC$25:$AC$372,$G377)</f>
        <v>0</v>
      </c>
      <c r="AN377" s="1114">
        <f>_xlfn.SUMIFS(Покупка!AM$25:AM$372,Покупка!$F$25:$F$372,$F377,Покупка!$AC$25:$AC$372,$G377)</f>
        <v>0</v>
      </c>
      <c r="AO377" s="1114">
        <f>_xlfn.SUMIFS(Покупка!AN$25:AN$372,Покупка!$F$25:$F$372,$F377,Покупка!$AC$25:$AC$372,$G377)</f>
        <v>0</v>
      </c>
      <c r="AP377" s="1114">
        <f>_xlfn.SUMIFS(Покупка!AO$25:AO$372,Покупка!$F$25:$F$372,$F377,Покупка!$AC$25:$AC$372,$G377)</f>
        <v>0</v>
      </c>
      <c r="AQ377" s="1114">
        <f>_xlfn.SUMIFS(Покупка!AP$25:AP$372,Покупка!$F$25:$F$372,$F377,Покупка!$AC$25:$AC$372,$G377)</f>
        <v>0</v>
      </c>
      <c r="AR377" s="1114">
        <f>_xlfn.SUMIFS(Покупка!AQ$25:AQ$372,Покупка!$F$25:$F$372,$F377,Покупка!$AC$25:$AC$372,$G377)</f>
        <v>0</v>
      </c>
      <c r="AS377" s="1114">
        <f>_xlfn.SUMIFS(Покупка!AR$25:AR$372,Покупка!$F$25:$F$372,$F377,Покупка!$AC$25:$AC$372,$G377)</f>
        <v>0</v>
      </c>
      <c r="AT377" s="1114">
        <f>_xlfn.SUMIFS(Покупка!AS$25:AS$372,Покупка!$F$25:$F$372,$F377,Покупка!$AC$25:$AC$372,$G377)</f>
        <v>0</v>
      </c>
      <c r="AU377" s="1114">
        <f>_xlfn.SUMIFS(Покупка!AT$25:AT$372,Покупка!$F$25:$F$372,$F377,Покупка!$AC$25:$AC$372,$G377)</f>
        <v>0</v>
      </c>
      <c r="AV377" s="1114">
        <f>_xlfn.SUMIFS(Покупка!AU$25:AU$372,Покупка!$F$25:$F$372,$F377,Покупка!$AC$25:$AC$372,$G377)</f>
        <v>0</v>
      </c>
      <c r="AW377" s="1114">
        <f>_xlfn.SUMIFS(Покупка!AV$25:AV$372,Покупка!$F$25:$F$372,$F377,Покупка!$AC$25:$AC$372,$G377)</f>
        <v>0</v>
      </c>
      <c r="AX377" s="1114">
        <f>_xlfn.SUMIFS(Покупка!AW$25:AW$372,Покупка!$F$25:$F$372,$F377,Покупка!$AC$25:$AC$372,$G377)</f>
        <v>0</v>
      </c>
      <c r="AY377" s="1114">
        <f>_xlfn.SUMIFS(Покупка!AX$25:AX$372,Покупка!$F$25:$F$372,$F377,Покупка!$AC$25:$AC$372,$G377)</f>
        <v>0</v>
      </c>
      <c r="AZ377" s="1114">
        <f>_xlfn.SUMIFS(Покупка!AY$25:AY$372,Покупка!$F$25:$F$372,$F377,Покупка!$AC$25:$AC$372,$G377)</f>
        <v>0</v>
      </c>
      <c r="BA377" s="1114">
        <f>_xlfn.SUMIFS(Покупка!AZ$25:AZ$372,Покупка!$F$25:$F$372,$F377,Покупка!$AC$25:$AC$372,$G377)</f>
        <v>0</v>
      </c>
      <c r="BB377" s="1114">
        <f>_xlfn.SUMIFS(Покупка!BA$25:BA$372,Покупка!$F$25:$F$372,$F377,Покупка!$AC$25:$AC$372,$G377)</f>
        <v>0</v>
      </c>
      <c r="BC377" s="1114">
        <f>_xlfn.SUMIFS(Покупка!BB$25:BB$372,Покупка!$F$25:$F$372,$F377,Покупка!$AC$25:$AC$372,$G377)</f>
        <v>0</v>
      </c>
      <c r="BD377" s="1114">
        <f>IF(AI377=0,0,(AT377-AI377)/AI377*100)</f>
        <v>0</v>
      </c>
      <c r="BE377" s="1114">
        <f>IF(AT377=0,0,(AU377-AT377)/AT377*100)</f>
        <v>0</v>
      </c>
      <c r="BF377" s="1114">
        <f>IF(AU377=0,0,(AV377-AU377)/AU377*100)</f>
        <v>0</v>
      </c>
      <c r="BG377" s="1114">
        <f>IF(AV377=0,0,(AW377-AV377)/AV377*100)</f>
        <v>0</v>
      </c>
      <c r="BH377" s="1114">
        <f>IF(AW377=0,0,(AX377-AW377)/AW377*100)</f>
        <v>0</v>
      </c>
      <c r="BI377" s="1114">
        <f>IF(AX377=0,0,(AY377-AX377)/AX377*100)</f>
        <v>0</v>
      </c>
      <c r="BJ377" s="1114">
        <f>IF(AY377=0,0,(AZ377-AY377)/AY377*100)</f>
        <v>0</v>
      </c>
      <c r="BK377" s="1114">
        <f>IF(AZ377=0,0,(BA377-AZ377)/AZ377*100)</f>
        <v>0</v>
      </c>
      <c r="BL377" s="1114">
        <f>IF(BA377=0,0,(BB377-BA377)/BA377*100)</f>
        <v>0</v>
      </c>
      <c r="BM377" s="1114">
        <f>IF(BB377=0,0,(BC377-BB377)/BB377*100)</f>
        <v>0</v>
      </c>
      <c r="BN377" s="7433"/>
      <c r="BO377" s="7437" t="str">
        <f>IF(_xlfn.IFERROR(INDEX(Покупка!$K$26:$L$372,MATCH($F377&amp;"5komm",Покупка!$K$26:$K$372,0),2),"")=0,"",_xlfn.IFERROR(INDEX(Покупка!$K$26:$L$372,MATCH($F377&amp;"5komm",Покупка!$K$26:$K$372,0),2),""))</f>
        <v/>
      </c>
      <c r="BP377" s="7433"/>
      <c r="BQ377" s="1278"/>
      <c r="BR377" s="1278"/>
      <c r="BS377" s="1064" t="s">
        <v>2465</v>
      </c>
      <c r="BT377" s="1064"/>
      <c r="BU377" s="1064"/>
      <c r="BV377" s="979"/>
      <c r="BW377" s="979"/>
    </row>
    <row s="1834" customFormat="1" customHeight="1" ht="0">
      <c r="A378" s="1278"/>
      <c r="B378" s="978"/>
      <c r="C378" s="107"/>
      <c r="D378" s="107"/>
      <c r="E378" s="621">
        <v>15</v>
      </c>
      <c r="F378" s="50" cm="1" t="str">
        <f t="array" ref="F378:F378">OFFSET(E378,-1,1)</f>
        <v>2</v>
      </c>
      <c r="G378" s="107" t="s">
        <v>1853</v>
      </c>
      <c r="H378" s="107"/>
      <c r="I378" s="107"/>
      <c r="J378" s="107"/>
      <c r="K378" s="107"/>
      <c r="L378" s="980" t="s">
        <v>2235</v>
      </c>
      <c r="M378" s="107"/>
      <c r="N378" s="107"/>
      <c r="O378" s="107"/>
      <c r="P378" s="107"/>
      <c r="Q378" s="107"/>
      <c r="R378" s="107"/>
      <c r="S378" s="107"/>
      <c r="T378" s="465" cm="1" t="str">
        <f t="array" ref="T378:T378">T377</f>
        <v>true</v>
      </c>
      <c r="U378" s="107"/>
      <c r="V378" s="107"/>
      <c r="W378" s="107"/>
      <c r="X378" s="1596"/>
      <c r="Y378" s="1278"/>
      <c r="Z378" s="1546"/>
      <c r="AA378" s="1278"/>
      <c r="AB378" s="300" t="s">
        <v>2765</v>
      </c>
      <c r="AC378" s="765" t="s">
        <v>2766</v>
      </c>
      <c r="AD378" s="300" t="s">
        <v>1514</v>
      </c>
      <c r="AE378" s="1114">
        <f>_xlfn.SUMIFS(Покупка!AE$25:AE$372,Покупка!$F$25:$F$372,$F378,Покупка!$AC$25:$AC$372,$G378)</f>
        <v>0</v>
      </c>
      <c r="AF378" s="1114">
        <f>_xlfn.SUMIFS(Покупка!AF$25:AF$372,Покупка!$F$25:$F$372,$F378,Покупка!$AC$25:$AC$372,$G378)</f>
        <v>0</v>
      </c>
      <c r="AG378" s="1114">
        <f>_xlfn.SUMIFS(Покупка!AG$25:AG$372,Покупка!$F$25:$F$372,$F378,Покупка!$AC$25:$AC$372,$G378)</f>
        <v>0</v>
      </c>
      <c r="AH378" s="1114">
        <f>AG378-AF378</f>
        <v>0</v>
      </c>
      <c r="AI378" s="1114">
        <f>_xlfn.SUMIFS(Покупка!AH$25:AH$372,Покупка!$F$25:$F$372,$F378,Покупка!$AC$25:$AC$372,$G378)</f>
        <v>0</v>
      </c>
      <c r="AJ378" s="1114">
        <f>_xlfn.SUMIFS(Покупка!AI$25:AI$372,Покупка!$F$25:$F$372,$F378,Покупка!$AC$25:$AC$372,$G378)</f>
        <v>0</v>
      </c>
      <c r="AK378" s="1114">
        <f>_xlfn.SUMIFS(Покупка!AJ$25:AJ$372,Покупка!$F$25:$F$372,$F378,Покупка!$AC$25:$AC$372,$G378)</f>
        <v>0</v>
      </c>
      <c r="AL378" s="1114">
        <f>_xlfn.SUMIFS(Покупка!AK$25:AK$372,Покупка!$F$25:$F$372,$F378,Покупка!$AC$25:$AC$372,$G378)</f>
        <v>0</v>
      </c>
      <c r="AM378" s="1114">
        <f>_xlfn.SUMIFS(Покупка!AL$25:AL$372,Покупка!$F$25:$F$372,$F378,Покупка!$AC$25:$AC$372,$G378)</f>
        <v>0</v>
      </c>
      <c r="AN378" s="1114">
        <f>_xlfn.SUMIFS(Покупка!AM$25:AM$372,Покупка!$F$25:$F$372,$F378,Покупка!$AC$25:$AC$372,$G378)</f>
        <v>0</v>
      </c>
      <c r="AO378" s="1114">
        <f>_xlfn.SUMIFS(Покупка!AN$25:AN$372,Покупка!$F$25:$F$372,$F378,Покупка!$AC$25:$AC$372,$G378)</f>
        <v>0</v>
      </c>
      <c r="AP378" s="1114">
        <f>_xlfn.SUMIFS(Покупка!AO$25:AO$372,Покупка!$F$25:$F$372,$F378,Покупка!$AC$25:$AC$372,$G378)</f>
        <v>0</v>
      </c>
      <c r="AQ378" s="1114">
        <f>_xlfn.SUMIFS(Покупка!AP$25:AP$372,Покупка!$F$25:$F$372,$F378,Покупка!$AC$25:$AC$372,$G378)</f>
        <v>0</v>
      </c>
      <c r="AR378" s="1114">
        <f>_xlfn.SUMIFS(Покупка!AQ$25:AQ$372,Покупка!$F$25:$F$372,$F378,Покупка!$AC$25:$AC$372,$G378)</f>
        <v>0</v>
      </c>
      <c r="AS378" s="1114">
        <f>_xlfn.SUMIFS(Покупка!AR$25:AR$372,Покупка!$F$25:$F$372,$F378,Покупка!$AC$25:$AC$372,$G378)</f>
        <v>0</v>
      </c>
      <c r="AT378" s="1114">
        <f>_xlfn.SUMIFS(Покупка!AS$25:AS$372,Покупка!$F$25:$F$372,$F378,Покупка!$AC$25:$AC$372,$G378)</f>
        <v>0</v>
      </c>
      <c r="AU378" s="1114">
        <f>_xlfn.SUMIFS(Покупка!AT$25:AT$372,Покупка!$F$25:$F$372,$F378,Покупка!$AC$25:$AC$372,$G378)</f>
        <v>0</v>
      </c>
      <c r="AV378" s="1114">
        <f>_xlfn.SUMIFS(Покупка!AU$25:AU$372,Покупка!$F$25:$F$372,$F378,Покупка!$AC$25:$AC$372,$G378)</f>
        <v>0</v>
      </c>
      <c r="AW378" s="1114">
        <f>_xlfn.SUMIFS(Покупка!AV$25:AV$372,Покупка!$F$25:$F$372,$F378,Покупка!$AC$25:$AC$372,$G378)</f>
        <v>0</v>
      </c>
      <c r="AX378" s="1114">
        <f>_xlfn.SUMIFS(Покупка!AW$25:AW$372,Покупка!$F$25:$F$372,$F378,Покупка!$AC$25:$AC$372,$G378)</f>
        <v>0</v>
      </c>
      <c r="AY378" s="1114">
        <f>_xlfn.SUMIFS(Покупка!AX$25:AX$372,Покупка!$F$25:$F$372,$F378,Покупка!$AC$25:$AC$372,$G378)</f>
        <v>0</v>
      </c>
      <c r="AZ378" s="1114">
        <f>_xlfn.SUMIFS(Покупка!AY$25:AY$372,Покупка!$F$25:$F$372,$F378,Покупка!$AC$25:$AC$372,$G378)</f>
        <v>0</v>
      </c>
      <c r="BA378" s="1114">
        <f>_xlfn.SUMIFS(Покупка!AZ$25:AZ$372,Покупка!$F$25:$F$372,$F378,Покупка!$AC$25:$AC$372,$G378)</f>
        <v>0</v>
      </c>
      <c r="BB378" s="1114">
        <f>_xlfn.SUMIFS(Покупка!BA$25:BA$372,Покупка!$F$25:$F$372,$F378,Покупка!$AC$25:$AC$372,$G378)</f>
        <v>0</v>
      </c>
      <c r="BC378" s="1114">
        <f>_xlfn.SUMIFS(Покупка!BB$25:BB$372,Покупка!$F$25:$F$372,$F378,Покупка!$AC$25:$AC$372,$G378)</f>
        <v>0</v>
      </c>
      <c r="BD378" s="1114">
        <f>IF(AI378=0,0,(AT378-AI378)/AI378*100)</f>
        <v>0</v>
      </c>
      <c r="BE378" s="1114">
        <f>IF(AT378=0,0,(AU378-AT378)/AT378*100)</f>
        <v>0</v>
      </c>
      <c r="BF378" s="1114">
        <f>IF(AU378=0,0,(AV378-AU378)/AU378*100)</f>
        <v>0</v>
      </c>
      <c r="BG378" s="1114">
        <f>IF(AV378=0,0,(AW378-AV378)/AV378*100)</f>
        <v>0</v>
      </c>
      <c r="BH378" s="1114">
        <f>IF(AW378=0,0,(AX378-AW378)/AW378*100)</f>
        <v>0</v>
      </c>
      <c r="BI378" s="1114">
        <f>IF(AX378=0,0,(AY378-AX378)/AX378*100)</f>
        <v>0</v>
      </c>
      <c r="BJ378" s="1114">
        <f>IF(AY378=0,0,(AZ378-AY378)/AY378*100)</f>
        <v>0</v>
      </c>
      <c r="BK378" s="1114">
        <f>IF(AZ378=0,0,(BA378-AZ378)/AZ378*100)</f>
        <v>0</v>
      </c>
      <c r="BL378" s="1114">
        <f>IF(BA378=0,0,(BB378-BA378)/BA378*100)</f>
        <v>0</v>
      </c>
      <c r="BM378" s="1114">
        <f>IF(BB378=0,0,(BC378-BB378)/BB378*100)</f>
        <v>0</v>
      </c>
      <c r="BN378" s="7433"/>
      <c r="BO378" s="7437" t="str">
        <f>IF(_xlfn.IFERROR(INDEX(Покупка!$K$26:$L$372,MATCH($F378&amp;"9komm",Покупка!$K$26:$K$372,0),2),"")=0,"",_xlfn.IFERROR(INDEX(Покупка!$K$26:$L$372,MATCH($F378&amp;"9komm",Покупка!$K$26:$K$372,0),2),""))</f>
        <v/>
      </c>
      <c r="BP378" s="7433"/>
      <c r="BQ378" s="1278"/>
      <c r="BR378" s="1278"/>
      <c r="BS378" s="1064" t="s">
        <v>1854</v>
      </c>
      <c r="BT378" s="1064"/>
      <c r="BU378" s="1064"/>
      <c r="BV378" s="979"/>
      <c r="BW378" s="979"/>
    </row>
    <row s="1834" customFormat="1" customHeight="1" ht="23.25">
      <c r="A379" s="1278"/>
      <c r="B379" s="978"/>
      <c r="C379" s="107"/>
      <c r="D379" s="107"/>
      <c r="E379" s="621">
        <v>15</v>
      </c>
      <c r="F379" s="50" cm="1" t="str">
        <f t="array" ref="F379:F379">OFFSET(E379,-1,1)</f>
        <v>2</v>
      </c>
      <c r="G379" s="107"/>
      <c r="H379" s="107"/>
      <c r="I379" s="107" t="s">
        <v>1196</v>
      </c>
      <c r="J379" s="107"/>
      <c r="K379" s="107" t="s">
        <v>1196</v>
      </c>
      <c r="L379" s="980"/>
      <c r="M379" s="107"/>
      <c r="N379" s="107"/>
      <c r="O379" s="107"/>
      <c r="P379" s="107"/>
      <c r="Q379" s="107"/>
      <c r="R379" s="107"/>
      <c r="S379" s="107"/>
      <c r="T379" s="465" cm="1" t="str">
        <f t="array" ref="T379:T379">T378</f>
        <v>true</v>
      </c>
      <c r="U379" s="107"/>
      <c r="V379" s="107"/>
      <c r="W379" s="107"/>
      <c r="X379" s="1596"/>
      <c r="Y379" s="1278"/>
      <c r="Z379" s="1546"/>
      <c r="AA379" s="1278"/>
      <c r="AB379" s="300" t="s">
        <v>1254</v>
      </c>
      <c r="AC379" s="762" t="s">
        <v>2767</v>
      </c>
      <c r="AD379" s="779" t="s">
        <v>1514</v>
      </c>
      <c r="AE379" s="1114">
        <f>_xlfn.SUMIFS('Сырье и материалы'!AE$25:AE$162,'Сырье и материалы'!$F$25:$F$162,$F379,'Сырье и материалы'!$I$25:$I$162,"Реагенты")</f>
        <v>0</v>
      </c>
      <c r="AF379" s="1114">
        <f>_xlfn.SUMIFS('Сырье и материалы'!AF$25:AF$162,'Сырье и материалы'!$F$25:$F$162,$F379,'Сырье и материалы'!$I$25:$I$162,"Реагенты")</f>
        <v>0</v>
      </c>
      <c r="AG379" s="1114">
        <f>_xlfn.SUMIFS('Сырье и материалы'!AG$25:AG$162,'Сырье и материалы'!$F$25:$F$162,$F379,'Сырье и материалы'!$I$25:$I$162,"Реагенты")</f>
        <v>0</v>
      </c>
      <c r="AH379" s="1114">
        <f>AG379-AF379</f>
        <v>0</v>
      </c>
      <c r="AI379" s="1114">
        <f>_xlfn.SUMIFS('Сырье и материалы'!AH$25:AH$162,'Сырье и материалы'!$F$25:$F$162,$F379,'Сырье и материалы'!$I$25:$I$162,"Реагенты")</f>
        <v>0</v>
      </c>
      <c r="AJ379" s="1114">
        <f>_xlfn.SUMIFS('Сырье и материалы'!AI$25:AI$162,'Сырье и материалы'!$F$25:$F$162,$F379,'Сырье и материалы'!$I$25:$I$162,"Реагенты")</f>
        <v>8.2885088</v>
      </c>
      <c r="AK379" s="1114">
        <f>_xlfn.SUMIFS('Сырье и материалы'!AJ$25:AJ$162,'Сырье и материалы'!$F$25:$F$162,$F379,'Сырье и материалы'!$I$25:$I$162,"Реагенты")</f>
        <v>8.6117606432</v>
      </c>
      <c r="AL379" s="1114">
        <f>_xlfn.SUMIFS('Сырье и материалы'!AK$25:AK$162,'Сырье и материалы'!$F$25:$F$162,$F379,'Сырье и материалы'!$I$25:$I$162,"Реагенты")</f>
        <v>8.9390075476416</v>
      </c>
      <c r="AM379" s="1114">
        <f>_xlfn.SUMIFS('Сырье и материалы'!AL$25:AL$162,'Сырье и материалы'!$F$25:$F$162,$F379,'Сырье и материалы'!$I$25:$I$162,"Реагенты")</f>
        <v>9.27868983445198</v>
      </c>
      <c r="AN379" s="1114">
        <f>_xlfn.SUMIFS('Сырье и материалы'!AM$25:AM$162,'Сырье и материалы'!$F$25:$F$162,$F379,'Сырье и материалы'!$I$25:$I$162,"Реагенты")</f>
        <v>9.63128004816116</v>
      </c>
      <c r="AO379" s="1114">
        <f>_xlfn.SUMIFS('Сырье и материалы'!AN$25:AN$162,'Сырье и материалы'!$F$25:$F$162,$F379,'Сырье и материалы'!$I$25:$I$162,"Реагенты")</f>
        <v>0</v>
      </c>
      <c r="AP379" s="1114">
        <f>_xlfn.SUMIFS('Сырье и материалы'!AO$25:AO$162,'Сырье и материалы'!$F$25:$F$162,$F379,'Сырье и материалы'!$I$25:$I$162,"Реагенты")</f>
        <v>0</v>
      </c>
      <c r="AQ379" s="1114">
        <f>_xlfn.SUMIFS('Сырье и материалы'!AP$25:AP$162,'Сырье и материалы'!$F$25:$F$162,$F379,'Сырье и материалы'!$I$25:$I$162,"Реагенты")</f>
        <v>0</v>
      </c>
      <c r="AR379" s="1114">
        <f>_xlfn.SUMIFS('Сырье и материалы'!AQ$25:AQ$162,'Сырье и материалы'!$F$25:$F$162,$F379,'Сырье и материалы'!$I$25:$I$162,"Реагенты")</f>
        <v>0</v>
      </c>
      <c r="AS379" s="1114">
        <f>_xlfn.SUMIFS('Сырье и материалы'!AR$25:AR$162,'Сырье и материалы'!$F$25:$F$162,$F379,'Сырье и материалы'!$I$25:$I$162,"Реагенты")</f>
        <v>0</v>
      </c>
      <c r="AT379" s="1114">
        <f>_xlfn.SUMIFS('Сырье и материалы'!AS$25:AS$162,'Сырье и материалы'!$F$25:$F$162,$F379,'Сырье и материалы'!$I$25:$I$162,"Реагенты")</f>
        <v>8.2885088</v>
      </c>
      <c r="AU379" s="1114">
        <f>_xlfn.SUMIFS('Сырье и материалы'!AT$25:AT$162,'Сырье и материалы'!$F$25:$F$162,$F379,'Сырье и материалы'!$I$25:$I$162,"Реагенты")</f>
        <v>8.6117606432</v>
      </c>
      <c r="AV379" s="1114">
        <f>_xlfn.SUMIFS('Сырье и материалы'!AU$25:AU$162,'Сырье и материалы'!$F$25:$F$162,$F379,'Сырье и материалы'!$I$25:$I$162,"Реагенты")</f>
        <v>8.9390075476416</v>
      </c>
      <c r="AW379" s="1114">
        <f>_xlfn.SUMIFS('Сырье и материалы'!AV$25:AV$162,'Сырье и материалы'!$F$25:$F$162,$F379,'Сырье и материалы'!$I$25:$I$162,"Реагенты")</f>
        <v>9.27868983445198</v>
      </c>
      <c r="AX379" s="1114">
        <f>_xlfn.SUMIFS('Сырье и материалы'!AW$25:AW$162,'Сырье и материалы'!$F$25:$F$162,$F379,'Сырье и материалы'!$I$25:$I$162,"Реагенты")</f>
        <v>9.63128004816116</v>
      </c>
      <c r="AY379" s="1114">
        <f>_xlfn.SUMIFS('Сырье и материалы'!AX$25:AX$162,'Сырье и материалы'!$F$25:$F$162,$F379,'Сырье и материалы'!$I$25:$I$162,"Реагенты")</f>
        <v>0</v>
      </c>
      <c r="AZ379" s="1114">
        <f>_xlfn.SUMIFS('Сырье и материалы'!AY$25:AY$162,'Сырье и материалы'!$F$25:$F$162,$F379,'Сырье и материалы'!$I$25:$I$162,"Реагенты")</f>
        <v>0</v>
      </c>
      <c r="BA379" s="1114">
        <f>_xlfn.SUMIFS('Сырье и материалы'!AZ$25:AZ$162,'Сырье и материалы'!$F$25:$F$162,$F379,'Сырье и материалы'!$I$25:$I$162,"Реагенты")</f>
        <v>0</v>
      </c>
      <c r="BB379" s="1114">
        <f>_xlfn.SUMIFS('Сырье и материалы'!BA$25:BA$162,'Сырье и материалы'!$F$25:$F$162,$F379,'Сырье и материалы'!$I$25:$I$162,"Реагенты")</f>
        <v>0</v>
      </c>
      <c r="BC379" s="1114">
        <f>_xlfn.SUMIFS('Сырье и материалы'!BB$25:BB$162,'Сырье и материалы'!$F$25:$F$162,$F379,'Сырье и материалы'!$I$25:$I$162,"Реагенты")</f>
        <v>0</v>
      </c>
      <c r="BD379" s="1114">
        <f>IF(AI379=0,0,(AT379-AI379)/AI379*100)</f>
        <v>0</v>
      </c>
      <c r="BE379" s="1114">
        <f>IF(AT379=0,0,(AU379-AT379)/AT379*100)</f>
        <v>3.9</v>
      </c>
      <c r="BF379" s="1114">
        <f>IF(AU379=0,0,(AV379-AU379)/AU379*100)</f>
        <v>3.8</v>
      </c>
      <c r="BG379" s="1114">
        <f>IF(AV379=0,0,(AW379-AV379)/AV379*100)</f>
        <v>3.8</v>
      </c>
      <c r="BH379" s="1114">
        <f>IF(AW379=0,0,(AX379-AW379)/AW379*100)</f>
        <v>3.8000000000001</v>
      </c>
      <c r="BI379" s="1114">
        <f>IF(AX379=0,0,(AY379-AX379)/AX379*100)</f>
        <v>-100</v>
      </c>
      <c r="BJ379" s="1114">
        <f>IF(AY379=0,0,(AZ379-AY379)/AY379*100)</f>
        <v>0</v>
      </c>
      <c r="BK379" s="1114">
        <f>IF(AZ379=0,0,(BA379-AZ379)/AZ379*100)</f>
        <v>0</v>
      </c>
      <c r="BL379" s="1114">
        <f>IF(BA379=0,0,(BB379-BA379)/BA379*100)</f>
        <v>0</v>
      </c>
      <c r="BM379" s="1114">
        <f>IF(BB379=0,0,(BC379-BB379)/BB379*100)</f>
        <v>0</v>
      </c>
      <c r="BN379" s="7433"/>
      <c r="BO379" s="7437" t="s">
        <v>2927</v>
      </c>
      <c r="BP379" s="7433"/>
      <c r="BQ379" s="1278"/>
      <c r="BR379" s="1278"/>
      <c r="BS379" s="1064" t="s">
        <v>2438</v>
      </c>
      <c r="BT379" s="1064"/>
      <c r="BU379" s="1064"/>
      <c r="BV379" s="979"/>
      <c r="BW379" s="979"/>
    </row>
    <row s="7549" customFormat="1" customHeight="1" ht="20.25">
      <c r="A380" s="700"/>
      <c r="B380" s="435"/>
      <c r="C380" s="109"/>
      <c r="D380" s="109"/>
      <c r="E380" s="826">
        <v>21</v>
      </c>
      <c r="F380" s="50" cm="1" t="str">
        <f t="array" ref="F380:F380">OFFSET(E380,-1,1)</f>
        <v>2</v>
      </c>
      <c r="G380" s="109"/>
      <c r="H380" s="107"/>
      <c r="I380" s="107" t="s">
        <v>1648</v>
      </c>
      <c r="J380" s="109"/>
      <c r="K380" s="107" t="s">
        <v>1648</v>
      </c>
      <c r="L380" s="985" t="s">
        <v>1228</v>
      </c>
      <c r="M380" s="109"/>
      <c r="N380" s="109"/>
      <c r="O380" s="109"/>
      <c r="P380" s="109"/>
      <c r="Q380" s="109"/>
      <c r="R380" s="109"/>
      <c r="S380" s="109"/>
      <c r="T380" s="465" cm="1" t="str">
        <f t="array" ref="T380:T380">T379</f>
        <v>true</v>
      </c>
      <c r="U380" s="109"/>
      <c r="V380" s="109"/>
      <c r="W380" s="109"/>
      <c r="X380" s="1596"/>
      <c r="Y380" s="700"/>
      <c r="Z380" s="1546"/>
      <c r="AA380" s="700"/>
      <c r="AB380" s="211" t="s">
        <v>1258</v>
      </c>
      <c r="AC380" s="361" t="s">
        <v>2768</v>
      </c>
      <c r="AD380" s="211" t="s">
        <v>1514</v>
      </c>
      <c r="AE380" s="778">
        <f>SUM(AE381:AE390)</f>
        <v>0</v>
      </c>
      <c r="AF380" s="778">
        <f>SUM(AF381:AF390)</f>
        <v>0</v>
      </c>
      <c r="AG380" s="778">
        <f>SUM(AG381:AG390)</f>
        <v>0</v>
      </c>
      <c r="AH380" s="778">
        <f>AG380-AF380</f>
        <v>0</v>
      </c>
      <c r="AI380" s="778">
        <f>SUM(AI381:AI390)</f>
        <v>0</v>
      </c>
      <c r="AJ380" s="213">
        <f>SUM(AJ381:AJ390)</f>
        <v>179.0635</v>
      </c>
      <c r="AK380" s="778">
        <f>SUM(AK381:AK390)</f>
        <v>167.668</v>
      </c>
      <c r="AL380" s="778">
        <f>SUM(AL381:AL390)</f>
        <v>171.136</v>
      </c>
      <c r="AM380" s="778">
        <f>SUM(AM381:AM390)</f>
        <v>372.259</v>
      </c>
      <c r="AN380" s="778">
        <f>SUM(AN381:AN390)</f>
        <v>321.369</v>
      </c>
      <c r="AO380" s="778">
        <f>SUM(AO381:AO390)</f>
        <v>0</v>
      </c>
      <c r="AP380" s="778">
        <f>SUM(AP381:AP390)</f>
        <v>0</v>
      </c>
      <c r="AQ380" s="778">
        <f>SUM(AQ381:AQ390)</f>
        <v>0</v>
      </c>
      <c r="AR380" s="778">
        <f>SUM(AR381:AR390)</f>
        <v>0</v>
      </c>
      <c r="AS380" s="778">
        <f>SUM(AS381:AS390)</f>
        <v>0</v>
      </c>
      <c r="AT380" s="213">
        <f>SUM(AT381:AT390)</f>
        <v>179.0635</v>
      </c>
      <c r="AU380" s="778">
        <f>SUM(AU381:AU390)</f>
        <v>167.668</v>
      </c>
      <c r="AV380" s="778">
        <f>SUM(AV381:AV390)</f>
        <v>171.136</v>
      </c>
      <c r="AW380" s="778">
        <f>SUM(AW381:AW390)</f>
        <v>372.259</v>
      </c>
      <c r="AX380" s="778">
        <f>SUM(AX381:AX390)</f>
        <v>321.369</v>
      </c>
      <c r="AY380" s="778">
        <f>SUM(AY381:AY390)</f>
        <v>0</v>
      </c>
      <c r="AZ380" s="778">
        <f>SUM(AZ381:AZ390)</f>
        <v>0</v>
      </c>
      <c r="BA380" s="778">
        <f>SUM(BA381:BA390)</f>
        <v>0</v>
      </c>
      <c r="BB380" s="778">
        <f>SUM(BB381:BB390)</f>
        <v>0</v>
      </c>
      <c r="BC380" s="778">
        <f>SUM(BC381:BC390)</f>
        <v>0</v>
      </c>
      <c r="BD380" s="778">
        <f>IF(AI380=0,0,(AT380-AI380)/AI380*100)</f>
        <v>0</v>
      </c>
      <c r="BE380" s="778">
        <f>IF(AT380=0,0,(AU380-AT380)/AT380*100)</f>
        <v>-6.36394351724388</v>
      </c>
      <c r="BF380" s="778">
        <f>IF(AU380=0,0,(AV380-AU380)/AU380*100)</f>
        <v>2.06837321373189</v>
      </c>
      <c r="BG380" s="778">
        <f>IF(AV380=0,0,(AW380-AV380)/AV380*100)</f>
        <v>117.522321428571</v>
      </c>
      <c r="BH380" s="778">
        <f>IF(AW380=0,0,(AX380-AW380)/AW380*100)</f>
        <v>-13.6705895626432</v>
      </c>
      <c r="BI380" s="778">
        <f>IF(AX380=0,0,(AY380-AX380)/AX380*100)</f>
        <v>-100</v>
      </c>
      <c r="BJ380" s="778">
        <f>IF(AY380=0,0,(AZ380-AY380)/AY380*100)</f>
        <v>0</v>
      </c>
      <c r="BK380" s="778">
        <f>IF(AZ380=0,0,(BA380-AZ380)/AZ380*100)</f>
        <v>0</v>
      </c>
      <c r="BL380" s="778">
        <f>IF(BA380=0,0,(BB380-BA380)/BA380*100)</f>
        <v>0</v>
      </c>
      <c r="BM380" s="778">
        <f>IF(BB380=0,0,(BC380-BB380)/BB380*100)</f>
        <v>0</v>
      </c>
      <c r="BN380" s="7436"/>
      <c r="BO380" s="7437" t="str">
        <f>IF(_xlfn.IFERROR(INDEX(Налоги!$K$26:$L$101,MATCH($F380&amp;"komm",Налоги!$K$26:$K$101,0),2),"")=0,"",_xlfn.IFERROR(INDEX(Налоги!$K$26:$L$101,MATCH($F380&amp;"komm",Налоги!$K$26:$K$101,0),2),""))</f>
        <v>В соответствии с п.п. 2 п. 49 Методических указаний 1746-э.</v>
      </c>
      <c r="BP380" s="7436"/>
      <c r="BQ380" s="700"/>
      <c r="BR380" s="700"/>
      <c r="BS380" s="1070" t="s">
        <v>1999</v>
      </c>
      <c r="BT380" s="1070"/>
      <c r="BU380" s="1070"/>
      <c r="BV380" s="707"/>
      <c r="BW380" s="707"/>
    </row>
    <row s="1834" customFormat="1" customHeight="1" ht="0">
      <c r="A381" s="1278"/>
      <c r="B381" s="978"/>
      <c r="C381" s="107"/>
      <c r="D381" s="107"/>
      <c r="E381" s="621">
        <v>15</v>
      </c>
      <c r="F381" s="50" cm="1" t="str">
        <f t="array" ref="F381:F381">OFFSET(E381,-1,1)</f>
        <v>2</v>
      </c>
      <c r="G381" s="922">
        <v>7</v>
      </c>
      <c r="H381" s="107"/>
      <c r="I381" s="107" t="s">
        <v>2769</v>
      </c>
      <c r="J381" s="107"/>
      <c r="K381" s="107" t="s">
        <v>2769</v>
      </c>
      <c r="L381" s="980"/>
      <c r="M381" s="107"/>
      <c r="N381" s="107"/>
      <c r="O381" s="107"/>
      <c r="P381" s="107"/>
      <c r="Q381" s="107"/>
      <c r="R381" s="107"/>
      <c r="S381" s="107"/>
      <c r="T381" s="465" cm="1" t="str">
        <f t="array" ref="T381:T381">T380</f>
        <v>true</v>
      </c>
      <c r="U381" s="107"/>
      <c r="V381" s="107"/>
      <c r="W381" s="107"/>
      <c r="X381" s="1596"/>
      <c r="Y381" s="1278"/>
      <c r="Z381" s="1546"/>
      <c r="AA381" s="1278"/>
      <c r="AB381" s="300" t="s">
        <v>1212</v>
      </c>
      <c r="AC381" s="765" t="s">
        <v>2013</v>
      </c>
      <c r="AD381" s="300" t="s">
        <v>1514</v>
      </c>
      <c r="AE381" s="1114">
        <f>_xlfn.SUMIFS(Налоги!AE$25:AE$101,Налоги!$F$25:$F$101,$F381,Налоги!$AB$25:$AB$101,$G381)</f>
        <v>0</v>
      </c>
      <c r="AF381" s="1114">
        <f>_xlfn.SUMIFS(Налоги!AF$25:AF$101,Налоги!$F$25:$F$101,$F381,Налоги!$AB$25:$AB$101,$G381)</f>
        <v>0</v>
      </c>
      <c r="AG381" s="1114">
        <f>_xlfn.SUMIFS(Налоги!AG$25:AG$101,Налоги!$F$25:$F$101,$F381,Налоги!$AB$25:$AB$101,$G381)</f>
        <v>0</v>
      </c>
      <c r="AH381" s="1114">
        <f>AG381-AF381</f>
        <v>0</v>
      </c>
      <c r="AI381" s="1114">
        <f>_xlfn.SUMIFS(Налоги!AH$25:AH$101,Налоги!$F$25:$F$101,$F381,Налоги!$AB$25:$AB$101,$G381)</f>
        <v>0</v>
      </c>
      <c r="AJ381" s="1114">
        <f>_xlfn.SUMIFS(Налоги!AI$25:AI$101,Налоги!$F$25:$F$101,$F381,Налоги!$AB$25:$AB$101,$G381)</f>
        <v>0</v>
      </c>
      <c r="AK381" s="1114">
        <f>_xlfn.SUMIFS(Налоги!AJ$25:AJ$101,Налоги!$F$25:$F$101,$F381,Налоги!$AB$25:$AB$101,$G381)</f>
        <v>0</v>
      </c>
      <c r="AL381" s="1114">
        <f>_xlfn.SUMIFS(Налоги!AK$25:AK$101,Налоги!$F$25:$F$101,$F381,Налоги!$AB$25:$AB$101,$G381)</f>
        <v>0</v>
      </c>
      <c r="AM381" s="1114">
        <f>_xlfn.SUMIFS(Налоги!AL$25:AL$101,Налоги!$F$25:$F$101,$F381,Налоги!$AB$25:$AB$101,$G381)</f>
        <v>0</v>
      </c>
      <c r="AN381" s="1114">
        <f>_xlfn.SUMIFS(Налоги!AM$25:AM$101,Налоги!$F$25:$F$101,$F381,Налоги!$AB$25:$AB$101,$G381)</f>
        <v>0</v>
      </c>
      <c r="AO381" s="1114">
        <f>_xlfn.SUMIFS(Налоги!AN$25:AN$101,Налоги!$F$25:$F$101,$F381,Налоги!$AB$25:$AB$101,$G381)</f>
        <v>0</v>
      </c>
      <c r="AP381" s="1114">
        <f>_xlfn.SUMIFS(Налоги!AO$25:AO$101,Налоги!$F$25:$F$101,$F381,Налоги!$AB$25:$AB$101,$G381)</f>
        <v>0</v>
      </c>
      <c r="AQ381" s="1114">
        <f>_xlfn.SUMIFS(Налоги!AP$25:AP$101,Налоги!$F$25:$F$101,$F381,Налоги!$AB$25:$AB$101,$G381)</f>
        <v>0</v>
      </c>
      <c r="AR381" s="1114">
        <f>_xlfn.SUMIFS(Налоги!AQ$25:AQ$101,Налоги!$F$25:$F$101,$F381,Налоги!$AB$25:$AB$101,$G381)</f>
        <v>0</v>
      </c>
      <c r="AS381" s="1114">
        <f>_xlfn.SUMIFS(Налоги!AR$25:AR$101,Налоги!$F$25:$F$101,$F381,Налоги!$AB$25:$AB$101,$G381)</f>
        <v>0</v>
      </c>
      <c r="AT381" s="1114">
        <f>_xlfn.SUMIFS(Налоги!AS$25:AS$101,Налоги!$F$25:$F$101,$F381,Налоги!$AB$25:$AB$101,$G381)</f>
        <v>0</v>
      </c>
      <c r="AU381" s="1114">
        <f>_xlfn.SUMIFS(Налоги!AT$25:AT$101,Налоги!$F$25:$F$101,$F381,Налоги!$AB$25:$AB$101,$G381)</f>
        <v>0</v>
      </c>
      <c r="AV381" s="1114">
        <f>_xlfn.SUMIFS(Налоги!AU$25:AU$101,Налоги!$F$25:$F$101,$F381,Налоги!$AB$25:$AB$101,$G381)</f>
        <v>0</v>
      </c>
      <c r="AW381" s="1114">
        <f>_xlfn.SUMIFS(Налоги!AV$25:AV$101,Налоги!$F$25:$F$101,$F381,Налоги!$AB$25:$AB$101,$G381)</f>
        <v>0</v>
      </c>
      <c r="AX381" s="1114">
        <f>_xlfn.SUMIFS(Налоги!AW$25:AW$101,Налоги!$F$25:$F$101,$F381,Налоги!$AB$25:$AB$101,$G381)</f>
        <v>0</v>
      </c>
      <c r="AY381" s="1114">
        <f>_xlfn.SUMIFS(Налоги!AX$25:AX$101,Налоги!$F$25:$F$101,$F381,Налоги!$AB$25:$AB$101,$G381)</f>
        <v>0</v>
      </c>
      <c r="AZ381" s="1114">
        <f>_xlfn.SUMIFS(Налоги!AY$25:AY$101,Налоги!$F$25:$F$101,$F381,Налоги!$AB$25:$AB$101,$G381)</f>
        <v>0</v>
      </c>
      <c r="BA381" s="1114">
        <f>_xlfn.SUMIFS(Налоги!AZ$25:AZ$101,Налоги!$F$25:$F$101,$F381,Налоги!$AB$25:$AB$101,$G381)</f>
        <v>0</v>
      </c>
      <c r="BB381" s="1114">
        <f>_xlfn.SUMIFS(Налоги!BA$25:BA$101,Налоги!$F$25:$F$101,$F381,Налоги!$AB$25:$AB$101,$G381)</f>
        <v>0</v>
      </c>
      <c r="BC381" s="1114">
        <f>_xlfn.SUMIFS(Налоги!BB$25:BB$101,Налоги!$F$25:$F$101,$F381,Налоги!$AB$25:$AB$101,$G381)</f>
        <v>0</v>
      </c>
      <c r="BD381" s="1114">
        <f>IF(AI381=0,0,(AT381-AI381)/AI381*100)</f>
        <v>0</v>
      </c>
      <c r="BE381" s="1114">
        <f>IF(AT381=0,0,(AU381-AT381)/AT381*100)</f>
        <v>0</v>
      </c>
      <c r="BF381" s="1114">
        <f>IF(AU381=0,0,(AV381-AU381)/AU381*100)</f>
        <v>0</v>
      </c>
      <c r="BG381" s="1114">
        <f>IF(AV381=0,0,(AW381-AV381)/AV381*100)</f>
        <v>0</v>
      </c>
      <c r="BH381" s="1114">
        <f>IF(AW381=0,0,(AX381-AW381)/AW381*100)</f>
        <v>0</v>
      </c>
      <c r="BI381" s="1114">
        <f>IF(AX381=0,0,(AY381-AX381)/AX381*100)</f>
        <v>0</v>
      </c>
      <c r="BJ381" s="1114">
        <f>IF(AY381=0,0,(AZ381-AY381)/AY381*100)</f>
        <v>0</v>
      </c>
      <c r="BK381" s="1114">
        <f>IF(AZ381=0,0,(BA381-AZ381)/AZ381*100)</f>
        <v>0</v>
      </c>
      <c r="BL381" s="1114">
        <f>IF(BA381=0,0,(BB381-BA381)/BA381*100)</f>
        <v>0</v>
      </c>
      <c r="BM381" s="1114">
        <f>IF(BB381=0,0,(BC381-BB381)/BB381*100)</f>
        <v>0</v>
      </c>
      <c r="BN381" s="7433"/>
      <c r="BO381" s="7437" t="str">
        <f>IF(_xlfn.IFERROR(INDEX(Налоги!$K$26:$L$101,MATCH($F381&amp;"7komm",Налоги!$K$26:$K$101,0),2),"")=0,"",_xlfn.IFERROR(INDEX(Налоги!$K$26:$L$101,MATCH($F381&amp;"7komm",Налоги!$K$26:$K$101,0),2),""))</f>
        <v/>
      </c>
      <c r="BP381" s="7433"/>
      <c r="BQ381" s="1278"/>
      <c r="BR381" s="1278"/>
      <c r="BS381" s="1064" t="s">
        <v>2770</v>
      </c>
      <c r="BT381" s="1064"/>
      <c r="BU381" s="1064"/>
      <c r="BV381" s="979"/>
      <c r="BW381" s="979"/>
    </row>
    <row s="1834" customFormat="1" customHeight="1" ht="96.75">
      <c r="A382" s="1278"/>
      <c r="B382" s="978"/>
      <c r="C382" s="107"/>
      <c r="D382" s="107"/>
      <c r="E382" s="621">
        <v>15</v>
      </c>
      <c r="F382" s="50" cm="1" t="str">
        <f t="array" ref="F382:F382">OFFSET(E382,-1,1)</f>
        <v>2</v>
      </c>
      <c r="G382" s="922">
        <v>6</v>
      </c>
      <c r="H382" s="107"/>
      <c r="I382" s="107" t="s">
        <v>2771</v>
      </c>
      <c r="J382" s="107"/>
      <c r="K382" s="107" t="s">
        <v>2771</v>
      </c>
      <c r="L382" s="980"/>
      <c r="M382" s="107"/>
      <c r="N382" s="107"/>
      <c r="O382" s="107"/>
      <c r="P382" s="107"/>
      <c r="Q382" s="107"/>
      <c r="R382" s="107"/>
      <c r="S382" s="107"/>
      <c r="T382" s="465" cm="1" t="str">
        <f t="array" ref="T382:T382">T381</f>
        <v>true</v>
      </c>
      <c r="U382" s="107"/>
      <c r="V382" s="107"/>
      <c r="W382" s="107"/>
      <c r="X382" s="1596"/>
      <c r="Y382" s="1278"/>
      <c r="Z382" s="1546"/>
      <c r="AA382" s="1278"/>
      <c r="AB382" s="300" t="s">
        <v>2225</v>
      </c>
      <c r="AC382" s="765" t="s">
        <v>2772</v>
      </c>
      <c r="AD382" s="300" t="s">
        <v>1514</v>
      </c>
      <c r="AE382" s="1114">
        <f>_xlfn.SUMIFS(Налоги!AE$25:AE$101,Налоги!$F$25:$F$101,$F382,Налоги!$AB$25:$AB$101,$G382)</f>
        <v>0</v>
      </c>
      <c r="AF382" s="1114">
        <f>_xlfn.SUMIFS(Налоги!AF$25:AF$101,Налоги!$F$25:$F$101,$F382,Налоги!$AB$25:$AB$101,$G382)</f>
        <v>0</v>
      </c>
      <c r="AG382" s="1114">
        <f>_xlfn.SUMIFS(Налоги!AG$25:AG$101,Налоги!$F$25:$F$101,$F382,Налоги!$AB$25:$AB$101,$G382)</f>
        <v>0</v>
      </c>
      <c r="AH382" s="1114">
        <f>AG382-AF382</f>
        <v>0</v>
      </c>
      <c r="AI382" s="1114">
        <f>_xlfn.SUMIFS(Налоги!AH$25:AH$101,Налоги!$F$25:$F$101,$F382,Налоги!$AB$25:$AB$101,$G382)</f>
        <v>0</v>
      </c>
      <c r="AJ382" s="1114">
        <f>_xlfn.SUMIFS(Налоги!AI$25:AI$101,Налоги!$F$25:$F$101,$F382,Налоги!$AB$25:$AB$101,$G382)</f>
        <v>179.0635</v>
      </c>
      <c r="AK382" s="1114">
        <f>_xlfn.SUMIFS(Налоги!AJ$25:AJ$101,Налоги!$F$25:$F$101,$F382,Налоги!$AB$25:$AB$101,$G382)</f>
        <v>167.668</v>
      </c>
      <c r="AL382" s="1114">
        <f>_xlfn.SUMIFS(Налоги!AK$25:AK$101,Налоги!$F$25:$F$101,$F382,Налоги!$AB$25:$AB$101,$G382)</f>
        <v>156.476</v>
      </c>
      <c r="AM382" s="1114">
        <f>_xlfn.SUMIFS(Налоги!AL$25:AL$101,Налоги!$F$25:$F$101,$F382,Налоги!$AB$25:$AB$101,$G382)</f>
        <v>291.179</v>
      </c>
      <c r="AN382" s="1114">
        <f>_xlfn.SUMIFS(Налоги!AM$25:AM$101,Налоги!$F$25:$F$101,$F382,Налоги!$AB$25:$AB$101,$G382)</f>
        <v>269.609</v>
      </c>
      <c r="AO382" s="1114">
        <f>_xlfn.SUMIFS(Налоги!AN$25:AN$101,Налоги!$F$25:$F$101,$F382,Налоги!$AB$25:$AB$101,$G382)</f>
        <v>0</v>
      </c>
      <c r="AP382" s="1114">
        <f>_xlfn.SUMIFS(Налоги!AO$25:AO$101,Налоги!$F$25:$F$101,$F382,Налоги!$AB$25:$AB$101,$G382)</f>
        <v>0</v>
      </c>
      <c r="AQ382" s="1114">
        <f>_xlfn.SUMIFS(Налоги!AP$25:AP$101,Налоги!$F$25:$F$101,$F382,Налоги!$AB$25:$AB$101,$G382)</f>
        <v>0</v>
      </c>
      <c r="AR382" s="1114">
        <f>_xlfn.SUMIFS(Налоги!AQ$25:AQ$101,Налоги!$F$25:$F$101,$F382,Налоги!$AB$25:$AB$101,$G382)</f>
        <v>0</v>
      </c>
      <c r="AS382" s="1114">
        <f>_xlfn.SUMIFS(Налоги!AR$25:AR$101,Налоги!$F$25:$F$101,$F382,Налоги!$AB$25:$AB$101,$G382)</f>
        <v>0</v>
      </c>
      <c r="AT382" s="1114">
        <f>_xlfn.SUMIFS(Налоги!AS$25:AS$101,Налоги!$F$25:$F$101,$F382,Налоги!$AB$25:$AB$101,$G382)</f>
        <v>179.0635</v>
      </c>
      <c r="AU382" s="1114">
        <f>_xlfn.SUMIFS(Налоги!AT$25:AT$101,Налоги!$F$25:$F$101,$F382,Налоги!$AB$25:$AB$101,$G382)</f>
        <v>167.668</v>
      </c>
      <c r="AV382" s="1114">
        <f>_xlfn.SUMIFS(Налоги!AU$25:AU$101,Налоги!$F$25:$F$101,$F382,Налоги!$AB$25:$AB$101,$G382)</f>
        <v>156.476</v>
      </c>
      <c r="AW382" s="1114">
        <f>_xlfn.SUMIFS(Налоги!AV$25:AV$101,Налоги!$F$25:$F$101,$F382,Налоги!$AB$25:$AB$101,$G382)</f>
        <v>291.179</v>
      </c>
      <c r="AX382" s="1114">
        <f>_xlfn.SUMIFS(Налоги!AW$25:AW$101,Налоги!$F$25:$F$101,$F382,Налоги!$AB$25:$AB$101,$G382)</f>
        <v>269.609</v>
      </c>
      <c r="AY382" s="1114">
        <f>_xlfn.SUMIFS(Налоги!AX$25:AX$101,Налоги!$F$25:$F$101,$F382,Налоги!$AB$25:$AB$101,$G382)</f>
        <v>0</v>
      </c>
      <c r="AZ382" s="1114">
        <f>_xlfn.SUMIFS(Налоги!AY$25:AY$101,Налоги!$F$25:$F$101,$F382,Налоги!$AB$25:$AB$101,$G382)</f>
        <v>0</v>
      </c>
      <c r="BA382" s="1114">
        <f>_xlfn.SUMIFS(Налоги!AZ$25:AZ$101,Налоги!$F$25:$F$101,$F382,Налоги!$AB$25:$AB$101,$G382)</f>
        <v>0</v>
      </c>
      <c r="BB382" s="1114">
        <f>_xlfn.SUMIFS(Налоги!BA$25:BA$101,Налоги!$F$25:$F$101,$F382,Налоги!$AB$25:$AB$101,$G382)</f>
        <v>0</v>
      </c>
      <c r="BC382" s="1114">
        <f>_xlfn.SUMIFS(Налоги!BB$25:BB$101,Налоги!$F$25:$F$101,$F382,Налоги!$AB$25:$AB$101,$G382)</f>
        <v>0</v>
      </c>
      <c r="BD382" s="1114">
        <f>IF(AI382=0,0,(AT382-AI382)/AI382*100)</f>
        <v>0</v>
      </c>
      <c r="BE382" s="1114">
        <f>IF(AT382=0,0,(AU382-AT382)/AT382*100)</f>
        <v>-6.36394351724388</v>
      </c>
      <c r="BF382" s="1114">
        <f>IF(AU382=0,0,(AV382-AU382)/AU382*100)</f>
        <v>-6.67509602309326</v>
      </c>
      <c r="BG382" s="1114">
        <f>IF(AV382=0,0,(AW382-AV382)/AV382*100)</f>
        <v>86.0854060686623</v>
      </c>
      <c r="BH382" s="1114">
        <f>IF(AW382=0,0,(AX382-AW382)/AW382*100)</f>
        <v>-7.40781443716751</v>
      </c>
      <c r="BI382" s="1114">
        <f>IF(AX382=0,0,(AY382-AX382)/AX382*100)</f>
        <v>-100</v>
      </c>
      <c r="BJ382" s="1114">
        <f>IF(AY382=0,0,(AZ382-AY382)/AY382*100)</f>
        <v>0</v>
      </c>
      <c r="BK382" s="1114">
        <f>IF(AZ382=0,0,(BA382-AZ382)/AZ382*100)</f>
        <v>0</v>
      </c>
      <c r="BL382" s="1114">
        <f>IF(BA382=0,0,(BB382-BA382)/BA382*100)</f>
        <v>0</v>
      </c>
      <c r="BM382" s="1114">
        <f>IF(BB382=0,0,(BC382-BB382)/BB382*100)</f>
        <v>0</v>
      </c>
      <c r="BN382" s="7433"/>
      <c r="BO382" s="7437" t="str">
        <f>IF(_xlfn.IFERROR(INDEX(Налоги!$K$26:$L$101,MATCH($F382&amp;"6komm",Налоги!$K$26:$K$101,0),2),"")=0,"",_xlfn.IFERROR(INDEX(Налоги!$K$26:$L$101,MATCH($F382&amp;"6komm",Налоги!$K$26:$K$101,0),2),""))</f>
        <v>в соответствии с п.1 ст.308 Налогового кодекса РФ от 05.08.2000 № 117-ФЗ, с учетом уменьшения суммы налога на 50% на 2024-2028 годы в соответствии с Законом от 24.11.2033 № 107-ОЗ "О внесении изменения в статью 4 Закона Кемеровской области-кузбасса "О налоге на имущество организаций". Налог рассчитан по остаточной стоимости, данные получены из материалов, представленных организацией при получении долгосрочных параметров регулирования.</v>
      </c>
      <c r="BP382" s="7433"/>
      <c r="BQ382" s="1278"/>
      <c r="BR382" s="1278"/>
      <c r="BS382" s="1064" t="s">
        <v>2773</v>
      </c>
      <c r="BT382" s="1064"/>
      <c r="BU382" s="1064"/>
      <c r="BV382" s="979"/>
      <c r="BW382" s="979"/>
    </row>
    <row s="1834" customFormat="1" customHeight="1" ht="0">
      <c r="A383" s="1278"/>
      <c r="B383" s="978"/>
      <c r="C383" s="107"/>
      <c r="D383" s="107"/>
      <c r="E383" s="621">
        <v>15</v>
      </c>
      <c r="F383" s="50" cm="1" t="str">
        <f t="array" ref="F383:F383">OFFSET(E383,-1,1)</f>
        <v>2</v>
      </c>
      <c r="G383" s="922">
        <v>2</v>
      </c>
      <c r="H383" s="107"/>
      <c r="I383" s="107" t="s">
        <v>2774</v>
      </c>
      <c r="J383" s="107"/>
      <c r="K383" s="107" t="s">
        <v>2774</v>
      </c>
      <c r="L383" s="980"/>
      <c r="M383" s="107"/>
      <c r="N383" s="107"/>
      <c r="O383" s="107"/>
      <c r="P383" s="107"/>
      <c r="Q383" s="107"/>
      <c r="R383" s="107"/>
      <c r="S383" s="107"/>
      <c r="T383" s="465" cm="1" t="str">
        <f t="array" ref="T383:T383">T382</f>
        <v>true</v>
      </c>
      <c r="U383" s="107"/>
      <c r="V383" s="107"/>
      <c r="W383" s="107"/>
      <c r="X383" s="1596"/>
      <c r="Y383" s="1278"/>
      <c r="Z383" s="1546"/>
      <c r="AA383" s="1278"/>
      <c r="AB383" s="300" t="s">
        <v>2230</v>
      </c>
      <c r="AC383" s="765" t="s">
        <v>2775</v>
      </c>
      <c r="AD383" s="300" t="s">
        <v>1514</v>
      </c>
      <c r="AE383" s="1114">
        <f>_xlfn.SUMIFS(Налоги!AE$25:AE$101,Налоги!$F$25:$F$101,$F383,Налоги!$AB$25:$AB$101,$G383)</f>
        <v>0</v>
      </c>
      <c r="AF383" s="1114">
        <f>_xlfn.SUMIFS(Налоги!AF$25:AF$101,Налоги!$F$25:$F$101,$F383,Налоги!$AB$25:$AB$101,$G383)</f>
        <v>0</v>
      </c>
      <c r="AG383" s="1114">
        <f>_xlfn.SUMIFS(Налоги!AG$25:AG$101,Налоги!$F$25:$F$101,$F383,Налоги!$AB$25:$AB$101,$G383)</f>
        <v>0</v>
      </c>
      <c r="AH383" s="1114">
        <f>AG383-AF383</f>
        <v>0</v>
      </c>
      <c r="AI383" s="1114">
        <f>_xlfn.SUMIFS(Налоги!AH$25:AH$101,Налоги!$F$25:$F$101,$F383,Налоги!$AB$25:$AB$101,$G383)</f>
        <v>0</v>
      </c>
      <c r="AJ383" s="1114">
        <f>_xlfn.SUMIFS(Налоги!AI$25:AI$101,Налоги!$F$25:$F$101,$F383,Налоги!$AB$25:$AB$101,$G383)</f>
        <v>0</v>
      </c>
      <c r="AK383" s="1114">
        <f>_xlfn.SUMIFS(Налоги!AJ$25:AJ$101,Налоги!$F$25:$F$101,$F383,Налоги!$AB$25:$AB$101,$G383)</f>
        <v>0</v>
      </c>
      <c r="AL383" s="1114">
        <f>_xlfn.SUMIFS(Налоги!AK$25:AK$101,Налоги!$F$25:$F$101,$F383,Налоги!$AB$25:$AB$101,$G383)</f>
        <v>0</v>
      </c>
      <c r="AM383" s="1114">
        <f>_xlfn.SUMIFS(Налоги!AL$25:AL$101,Налоги!$F$25:$F$101,$F383,Налоги!$AB$25:$AB$101,$G383)</f>
        <v>0</v>
      </c>
      <c r="AN383" s="1114">
        <f>_xlfn.SUMIFS(Налоги!AM$25:AM$101,Налоги!$F$25:$F$101,$F383,Налоги!$AB$25:$AB$101,$G383)</f>
        <v>0</v>
      </c>
      <c r="AO383" s="1114">
        <f>_xlfn.SUMIFS(Налоги!AN$25:AN$101,Налоги!$F$25:$F$101,$F383,Налоги!$AB$25:$AB$101,$G383)</f>
        <v>0</v>
      </c>
      <c r="AP383" s="1114">
        <f>_xlfn.SUMIFS(Налоги!AO$25:AO$101,Налоги!$F$25:$F$101,$F383,Налоги!$AB$25:$AB$101,$G383)</f>
        <v>0</v>
      </c>
      <c r="AQ383" s="1114">
        <f>_xlfn.SUMIFS(Налоги!AP$25:AP$101,Налоги!$F$25:$F$101,$F383,Налоги!$AB$25:$AB$101,$G383)</f>
        <v>0</v>
      </c>
      <c r="AR383" s="1114">
        <f>_xlfn.SUMIFS(Налоги!AQ$25:AQ$101,Налоги!$F$25:$F$101,$F383,Налоги!$AB$25:$AB$101,$G383)</f>
        <v>0</v>
      </c>
      <c r="AS383" s="1114">
        <f>_xlfn.SUMIFS(Налоги!AR$25:AR$101,Налоги!$F$25:$F$101,$F383,Налоги!$AB$25:$AB$101,$G383)</f>
        <v>0</v>
      </c>
      <c r="AT383" s="1114">
        <f>_xlfn.SUMIFS(Налоги!AS$25:AS$101,Налоги!$F$25:$F$101,$F383,Налоги!$AB$25:$AB$101,$G383)</f>
        <v>0</v>
      </c>
      <c r="AU383" s="1114">
        <f>_xlfn.SUMIFS(Налоги!AT$25:AT$101,Налоги!$F$25:$F$101,$F383,Налоги!$AB$25:$AB$101,$G383)</f>
        <v>0</v>
      </c>
      <c r="AV383" s="1114">
        <f>_xlfn.SUMIFS(Налоги!AU$25:AU$101,Налоги!$F$25:$F$101,$F383,Налоги!$AB$25:$AB$101,$G383)</f>
        <v>0</v>
      </c>
      <c r="AW383" s="1114">
        <f>_xlfn.SUMIFS(Налоги!AV$25:AV$101,Налоги!$F$25:$F$101,$F383,Налоги!$AB$25:$AB$101,$G383)</f>
        <v>0</v>
      </c>
      <c r="AX383" s="1114">
        <f>_xlfn.SUMIFS(Налоги!AW$25:AW$101,Налоги!$F$25:$F$101,$F383,Налоги!$AB$25:$AB$101,$G383)</f>
        <v>0</v>
      </c>
      <c r="AY383" s="1114">
        <f>_xlfn.SUMIFS(Налоги!AX$25:AX$101,Налоги!$F$25:$F$101,$F383,Налоги!$AB$25:$AB$101,$G383)</f>
        <v>0</v>
      </c>
      <c r="AZ383" s="1114">
        <f>_xlfn.SUMIFS(Налоги!AY$25:AY$101,Налоги!$F$25:$F$101,$F383,Налоги!$AB$25:$AB$101,$G383)</f>
        <v>0</v>
      </c>
      <c r="BA383" s="1114">
        <f>_xlfn.SUMIFS(Налоги!AZ$25:AZ$101,Налоги!$F$25:$F$101,$F383,Налоги!$AB$25:$AB$101,$G383)</f>
        <v>0</v>
      </c>
      <c r="BB383" s="1114">
        <f>_xlfn.SUMIFS(Налоги!BA$25:BA$101,Налоги!$F$25:$F$101,$F383,Налоги!$AB$25:$AB$101,$G383)</f>
        <v>0</v>
      </c>
      <c r="BC383" s="1114">
        <f>_xlfn.SUMIFS(Налоги!BB$25:BB$101,Налоги!$F$25:$F$101,$F383,Налоги!$AB$25:$AB$101,$G383)</f>
        <v>0</v>
      </c>
      <c r="BD383" s="1114">
        <f>IF(AI383=0,0,(AT383-AI383)/AI383*100)</f>
        <v>0</v>
      </c>
      <c r="BE383" s="1114">
        <f>IF(AT383=0,0,(AU383-AT383)/AT383*100)</f>
        <v>0</v>
      </c>
      <c r="BF383" s="1114">
        <f>IF(AU383=0,0,(AV383-AU383)/AU383*100)</f>
        <v>0</v>
      </c>
      <c r="BG383" s="1114">
        <f>IF(AV383=0,0,(AW383-AV383)/AV383*100)</f>
        <v>0</v>
      </c>
      <c r="BH383" s="1114">
        <f>IF(AW383=0,0,(AX383-AW383)/AW383*100)</f>
        <v>0</v>
      </c>
      <c r="BI383" s="1114">
        <f>IF(AX383=0,0,(AY383-AX383)/AX383*100)</f>
        <v>0</v>
      </c>
      <c r="BJ383" s="1114">
        <f>IF(AY383=0,0,(AZ383-AY383)/AY383*100)</f>
        <v>0</v>
      </c>
      <c r="BK383" s="1114">
        <f>IF(AZ383=0,0,(BA383-AZ383)/AZ383*100)</f>
        <v>0</v>
      </c>
      <c r="BL383" s="1114">
        <f>IF(BA383=0,0,(BB383-BA383)/BA383*100)</f>
        <v>0</v>
      </c>
      <c r="BM383" s="1114">
        <f>IF(BB383=0,0,(BC383-BB383)/BB383*100)</f>
        <v>0</v>
      </c>
      <c r="BN383" s="7433"/>
      <c r="BO383" s="7437" t="str">
        <f>IF(_xlfn.IFERROR(INDEX(Налоги!$K$26:$L$101,MATCH($F383&amp;"2komm",Налоги!$K$26:$K$101,0),2),"")=0,"",_xlfn.IFERROR(INDEX(Налоги!$K$26:$L$101,MATCH($F383&amp;"2komm",Налоги!$K$26:$K$101,0),2),""))</f>
        <v/>
      </c>
      <c r="BP383" s="7433"/>
      <c r="BQ383" s="1278"/>
      <c r="BR383" s="1278"/>
      <c r="BS383" s="1064" t="s">
        <v>2776</v>
      </c>
      <c r="BT383" s="1064"/>
      <c r="BU383" s="1064"/>
      <c r="BV383" s="979"/>
      <c r="BW383" s="979"/>
    </row>
    <row s="1834" customFormat="1" customHeight="1" ht="0">
      <c r="A384" s="1278"/>
      <c r="B384" s="978"/>
      <c r="C384" s="107"/>
      <c r="D384" s="107"/>
      <c r="E384" s="621">
        <v>15</v>
      </c>
      <c r="F384" s="50" cm="1" t="str">
        <f t="array" ref="F384:F384">OFFSET(E384,-1,1)</f>
        <v>2</v>
      </c>
      <c r="G384" s="922">
        <v>4</v>
      </c>
      <c r="H384" s="107"/>
      <c r="I384" s="107" t="s">
        <v>2777</v>
      </c>
      <c r="J384" s="107"/>
      <c r="K384" s="107" t="s">
        <v>2777</v>
      </c>
      <c r="L384" s="980"/>
      <c r="M384" s="107"/>
      <c r="N384" s="107"/>
      <c r="O384" s="107"/>
      <c r="P384" s="107"/>
      <c r="Q384" s="107"/>
      <c r="R384" s="107"/>
      <c r="S384" s="107"/>
      <c r="T384" s="465" cm="1" t="str">
        <f t="array" ref="T384:T384">T383</f>
        <v>true</v>
      </c>
      <c r="U384" s="107"/>
      <c r="V384" s="107"/>
      <c r="W384" s="107"/>
      <c r="X384" s="1596"/>
      <c r="Y384" s="1278"/>
      <c r="Z384" s="1546"/>
      <c r="AA384" s="1278"/>
      <c r="AB384" s="300" t="s">
        <v>2778</v>
      </c>
      <c r="AC384" s="765" t="s">
        <v>2779</v>
      </c>
      <c r="AD384" s="300" t="s">
        <v>1514</v>
      </c>
      <c r="AE384" s="1114">
        <f>_xlfn.SUMIFS(Налоги!AE$25:AE$101,Налоги!$F$25:$F$101,$F384,Налоги!$AB$25:$AB$101,$G384)</f>
        <v>0</v>
      </c>
      <c r="AF384" s="1114">
        <f>_xlfn.SUMIFS(Налоги!AF$25:AF$101,Налоги!$F$25:$F$101,$F384,Налоги!$AB$25:$AB$101,$G384)</f>
        <v>0</v>
      </c>
      <c r="AG384" s="1114">
        <f>_xlfn.SUMIFS(Налоги!AG$25:AG$101,Налоги!$F$25:$F$101,$F384,Налоги!$AB$25:$AB$101,$G384)</f>
        <v>0</v>
      </c>
      <c r="AH384" s="1114">
        <f>AG384-AF384</f>
        <v>0</v>
      </c>
      <c r="AI384" s="1114">
        <f>_xlfn.SUMIFS(Налоги!AH$25:AH$101,Налоги!$F$25:$F$101,$F384,Налоги!$AB$25:$AB$101,$G384)</f>
        <v>0</v>
      </c>
      <c r="AJ384" s="1114">
        <f>_xlfn.SUMIFS(Налоги!AI$25:AI$101,Налоги!$F$25:$F$101,$F384,Налоги!$AB$25:$AB$101,$G384)</f>
        <v>0</v>
      </c>
      <c r="AK384" s="1114">
        <f>_xlfn.SUMIFS(Налоги!AJ$25:AJ$101,Налоги!$F$25:$F$101,$F384,Налоги!$AB$25:$AB$101,$G384)</f>
        <v>0</v>
      </c>
      <c r="AL384" s="1114">
        <f>_xlfn.SUMIFS(Налоги!AK$25:AK$101,Налоги!$F$25:$F$101,$F384,Налоги!$AB$25:$AB$101,$G384)</f>
        <v>0</v>
      </c>
      <c r="AM384" s="1114">
        <f>_xlfn.SUMIFS(Налоги!AL$25:AL$101,Налоги!$F$25:$F$101,$F384,Налоги!$AB$25:$AB$101,$G384)</f>
        <v>0</v>
      </c>
      <c r="AN384" s="1114">
        <f>_xlfn.SUMIFS(Налоги!AM$25:AM$101,Налоги!$F$25:$F$101,$F384,Налоги!$AB$25:$AB$101,$G384)</f>
        <v>0</v>
      </c>
      <c r="AO384" s="1114">
        <f>_xlfn.SUMIFS(Налоги!AN$25:AN$101,Налоги!$F$25:$F$101,$F384,Налоги!$AB$25:$AB$101,$G384)</f>
        <v>0</v>
      </c>
      <c r="AP384" s="1114">
        <f>_xlfn.SUMIFS(Налоги!AO$25:AO$101,Налоги!$F$25:$F$101,$F384,Налоги!$AB$25:$AB$101,$G384)</f>
        <v>0</v>
      </c>
      <c r="AQ384" s="1114">
        <f>_xlfn.SUMIFS(Налоги!AP$25:AP$101,Налоги!$F$25:$F$101,$F384,Налоги!$AB$25:$AB$101,$G384)</f>
        <v>0</v>
      </c>
      <c r="AR384" s="1114">
        <f>_xlfn.SUMIFS(Налоги!AQ$25:AQ$101,Налоги!$F$25:$F$101,$F384,Налоги!$AB$25:$AB$101,$G384)</f>
        <v>0</v>
      </c>
      <c r="AS384" s="1114">
        <f>_xlfn.SUMIFS(Налоги!AR$25:AR$101,Налоги!$F$25:$F$101,$F384,Налоги!$AB$25:$AB$101,$G384)</f>
        <v>0</v>
      </c>
      <c r="AT384" s="1114">
        <f>_xlfn.SUMIFS(Налоги!AS$25:AS$101,Налоги!$F$25:$F$101,$F384,Налоги!$AB$25:$AB$101,$G384)</f>
        <v>0</v>
      </c>
      <c r="AU384" s="1114">
        <f>_xlfn.SUMIFS(Налоги!AT$25:AT$101,Налоги!$F$25:$F$101,$F384,Налоги!$AB$25:$AB$101,$G384)</f>
        <v>0</v>
      </c>
      <c r="AV384" s="1114">
        <f>_xlfn.SUMIFS(Налоги!AU$25:AU$101,Налоги!$F$25:$F$101,$F384,Налоги!$AB$25:$AB$101,$G384)</f>
        <v>0</v>
      </c>
      <c r="AW384" s="1114">
        <f>_xlfn.SUMIFS(Налоги!AV$25:AV$101,Налоги!$F$25:$F$101,$F384,Налоги!$AB$25:$AB$101,$G384)</f>
        <v>0</v>
      </c>
      <c r="AX384" s="1114">
        <f>_xlfn.SUMIFS(Налоги!AW$25:AW$101,Налоги!$F$25:$F$101,$F384,Налоги!$AB$25:$AB$101,$G384)</f>
        <v>0</v>
      </c>
      <c r="AY384" s="1114">
        <f>_xlfn.SUMIFS(Налоги!AX$25:AX$101,Налоги!$F$25:$F$101,$F384,Налоги!$AB$25:$AB$101,$G384)</f>
        <v>0</v>
      </c>
      <c r="AZ384" s="1114">
        <f>_xlfn.SUMIFS(Налоги!AY$25:AY$101,Налоги!$F$25:$F$101,$F384,Налоги!$AB$25:$AB$101,$G384)</f>
        <v>0</v>
      </c>
      <c r="BA384" s="1114">
        <f>_xlfn.SUMIFS(Налоги!AZ$25:AZ$101,Налоги!$F$25:$F$101,$F384,Налоги!$AB$25:$AB$101,$G384)</f>
        <v>0</v>
      </c>
      <c r="BB384" s="1114">
        <f>_xlfn.SUMIFS(Налоги!BA$25:BA$101,Налоги!$F$25:$F$101,$F384,Налоги!$AB$25:$AB$101,$G384)</f>
        <v>0</v>
      </c>
      <c r="BC384" s="1114">
        <f>_xlfn.SUMIFS(Налоги!BB$25:BB$101,Налоги!$F$25:$F$101,$F384,Налоги!$AB$25:$AB$101,$G384)</f>
        <v>0</v>
      </c>
      <c r="BD384" s="1114">
        <f>IF(AI384=0,0,(AT384-AI384)/AI384*100)</f>
        <v>0</v>
      </c>
      <c r="BE384" s="1114">
        <f>IF(AT384=0,0,(AU384-AT384)/AT384*100)</f>
        <v>0</v>
      </c>
      <c r="BF384" s="1114">
        <f>IF(AU384=0,0,(AV384-AU384)/AU384*100)</f>
        <v>0</v>
      </c>
      <c r="BG384" s="1114">
        <f>IF(AV384=0,0,(AW384-AV384)/AV384*100)</f>
        <v>0</v>
      </c>
      <c r="BH384" s="1114">
        <f>IF(AW384=0,0,(AX384-AW384)/AW384*100)</f>
        <v>0</v>
      </c>
      <c r="BI384" s="1114">
        <f>IF(AX384=0,0,(AY384-AX384)/AX384*100)</f>
        <v>0</v>
      </c>
      <c r="BJ384" s="1114">
        <f>IF(AY384=0,0,(AZ384-AY384)/AY384*100)</f>
        <v>0</v>
      </c>
      <c r="BK384" s="1114">
        <f>IF(AZ384=0,0,(BA384-AZ384)/AZ384*100)</f>
        <v>0</v>
      </c>
      <c r="BL384" s="1114">
        <f>IF(BA384=0,0,(BB384-BA384)/BA384*100)</f>
        <v>0</v>
      </c>
      <c r="BM384" s="1114">
        <f>IF(BB384=0,0,(BC384-BB384)/BB384*100)</f>
        <v>0</v>
      </c>
      <c r="BN384" s="7433"/>
      <c r="BO384" s="7437" t="str">
        <f>IF(_xlfn.IFERROR(INDEX(Налоги!$K$26:$L$101,MATCH($F384&amp;"4komm",Налоги!$K$26:$K$101,0),2),"")=0,"",_xlfn.IFERROR(INDEX(Налоги!$K$26:$L$101,MATCH($F384&amp;"4komm",Налоги!$K$26:$K$101,0),2),""))</f>
        <v/>
      </c>
      <c r="BP384" s="7433"/>
      <c r="BQ384" s="1278"/>
      <c r="BR384" s="1278"/>
      <c r="BS384" s="1064" t="s">
        <v>2780</v>
      </c>
      <c r="BT384" s="1064"/>
      <c r="BU384" s="1064"/>
      <c r="BV384" s="979"/>
      <c r="BW384" s="979"/>
    </row>
    <row s="1834" customFormat="1" customHeight="1" ht="0">
      <c r="A385" s="1278"/>
      <c r="B385" s="978"/>
      <c r="C385" s="107"/>
      <c r="D385" s="107"/>
      <c r="E385" s="621">
        <v>15</v>
      </c>
      <c r="F385" s="50" cm="1" t="str">
        <f t="array" ref="F385:F385">OFFSET(E385,-1,1)</f>
        <v>2</v>
      </c>
      <c r="G385" s="922">
        <v>5</v>
      </c>
      <c r="H385" s="107"/>
      <c r="I385" s="107" t="s">
        <v>2781</v>
      </c>
      <c r="J385" s="107"/>
      <c r="K385" s="107" t="s">
        <v>2781</v>
      </c>
      <c r="L385" s="980"/>
      <c r="M385" s="107"/>
      <c r="N385" s="107"/>
      <c r="O385" s="107"/>
      <c r="P385" s="107"/>
      <c r="Q385" s="107"/>
      <c r="R385" s="107"/>
      <c r="S385" s="107"/>
      <c r="T385" s="465" cm="1" t="str">
        <f t="array" ref="T385:T385">T384</f>
        <v>true</v>
      </c>
      <c r="U385" s="107"/>
      <c r="V385" s="107"/>
      <c r="W385" s="107"/>
      <c r="X385" s="1596"/>
      <c r="Y385" s="1278"/>
      <c r="Z385" s="1546"/>
      <c r="AA385" s="1278"/>
      <c r="AB385" s="300" t="s">
        <v>2782</v>
      </c>
      <c r="AC385" s="765" t="s">
        <v>2783</v>
      </c>
      <c r="AD385" s="300" t="s">
        <v>1514</v>
      </c>
      <c r="AE385" s="1114">
        <f>_xlfn.SUMIFS(Налоги!AE$25:AE$101,Налоги!$F$25:$F$101,$F385,Налоги!$AB$25:$AB$101,$G385)</f>
        <v>0</v>
      </c>
      <c r="AF385" s="1114">
        <f>_xlfn.SUMIFS(Налоги!AF$25:AF$101,Налоги!$F$25:$F$101,$F385,Налоги!$AB$25:$AB$101,$G385)</f>
        <v>0</v>
      </c>
      <c r="AG385" s="1114">
        <f>_xlfn.SUMIFS(Налоги!AG$25:AG$101,Налоги!$F$25:$F$101,$F385,Налоги!$AB$25:$AB$101,$G385)</f>
        <v>0</v>
      </c>
      <c r="AH385" s="1114">
        <f>AG385-AF385</f>
        <v>0</v>
      </c>
      <c r="AI385" s="1114">
        <f>_xlfn.SUMIFS(Налоги!AH$25:AH$101,Налоги!$F$25:$F$101,$F385,Налоги!$AB$25:$AB$101,$G385)</f>
        <v>0</v>
      </c>
      <c r="AJ385" s="1114">
        <f>_xlfn.SUMIFS(Налоги!AI$25:AI$101,Налоги!$F$25:$F$101,$F385,Налоги!$AB$25:$AB$101,$G385)</f>
        <v>0</v>
      </c>
      <c r="AK385" s="1114">
        <f>_xlfn.SUMIFS(Налоги!AJ$25:AJ$101,Налоги!$F$25:$F$101,$F385,Налоги!$AB$25:$AB$101,$G385)</f>
        <v>0</v>
      </c>
      <c r="AL385" s="1114">
        <f>_xlfn.SUMIFS(Налоги!AK$25:AK$101,Налоги!$F$25:$F$101,$F385,Налоги!$AB$25:$AB$101,$G385)</f>
        <v>0</v>
      </c>
      <c r="AM385" s="1114">
        <f>_xlfn.SUMIFS(Налоги!AL$25:AL$101,Налоги!$F$25:$F$101,$F385,Налоги!$AB$25:$AB$101,$G385)</f>
        <v>0</v>
      </c>
      <c r="AN385" s="1114">
        <f>_xlfn.SUMIFS(Налоги!AM$25:AM$101,Налоги!$F$25:$F$101,$F385,Налоги!$AB$25:$AB$101,$G385)</f>
        <v>0</v>
      </c>
      <c r="AO385" s="1114">
        <f>_xlfn.SUMIFS(Налоги!AN$25:AN$101,Налоги!$F$25:$F$101,$F385,Налоги!$AB$25:$AB$101,$G385)</f>
        <v>0</v>
      </c>
      <c r="AP385" s="1114">
        <f>_xlfn.SUMIFS(Налоги!AO$25:AO$101,Налоги!$F$25:$F$101,$F385,Налоги!$AB$25:$AB$101,$G385)</f>
        <v>0</v>
      </c>
      <c r="AQ385" s="1114">
        <f>_xlfn.SUMIFS(Налоги!AP$25:AP$101,Налоги!$F$25:$F$101,$F385,Налоги!$AB$25:$AB$101,$G385)</f>
        <v>0</v>
      </c>
      <c r="AR385" s="1114">
        <f>_xlfn.SUMIFS(Налоги!AQ$25:AQ$101,Налоги!$F$25:$F$101,$F385,Налоги!$AB$25:$AB$101,$G385)</f>
        <v>0</v>
      </c>
      <c r="AS385" s="1114">
        <f>_xlfn.SUMIFS(Налоги!AR$25:AR$101,Налоги!$F$25:$F$101,$F385,Налоги!$AB$25:$AB$101,$G385)</f>
        <v>0</v>
      </c>
      <c r="AT385" s="1114">
        <f>_xlfn.SUMIFS(Налоги!AS$25:AS$101,Налоги!$F$25:$F$101,$F385,Налоги!$AB$25:$AB$101,$G385)</f>
        <v>0</v>
      </c>
      <c r="AU385" s="1114">
        <f>_xlfn.SUMIFS(Налоги!AT$25:AT$101,Налоги!$F$25:$F$101,$F385,Налоги!$AB$25:$AB$101,$G385)</f>
        <v>0</v>
      </c>
      <c r="AV385" s="1114">
        <f>_xlfn.SUMIFS(Налоги!AU$25:AU$101,Налоги!$F$25:$F$101,$F385,Налоги!$AB$25:$AB$101,$G385)</f>
        <v>0</v>
      </c>
      <c r="AW385" s="1114">
        <f>_xlfn.SUMIFS(Налоги!AV$25:AV$101,Налоги!$F$25:$F$101,$F385,Налоги!$AB$25:$AB$101,$G385)</f>
        <v>0</v>
      </c>
      <c r="AX385" s="1114">
        <f>_xlfn.SUMIFS(Налоги!AW$25:AW$101,Налоги!$F$25:$F$101,$F385,Налоги!$AB$25:$AB$101,$G385)</f>
        <v>0</v>
      </c>
      <c r="AY385" s="1114">
        <f>_xlfn.SUMIFS(Налоги!AX$25:AX$101,Налоги!$F$25:$F$101,$F385,Налоги!$AB$25:$AB$101,$G385)</f>
        <v>0</v>
      </c>
      <c r="AZ385" s="1114">
        <f>_xlfn.SUMIFS(Налоги!AY$25:AY$101,Налоги!$F$25:$F$101,$F385,Налоги!$AB$25:$AB$101,$G385)</f>
        <v>0</v>
      </c>
      <c r="BA385" s="1114">
        <f>_xlfn.SUMIFS(Налоги!AZ$25:AZ$101,Налоги!$F$25:$F$101,$F385,Налоги!$AB$25:$AB$101,$G385)</f>
        <v>0</v>
      </c>
      <c r="BB385" s="1114">
        <f>_xlfn.SUMIFS(Налоги!BA$25:BA$101,Налоги!$F$25:$F$101,$F385,Налоги!$AB$25:$AB$101,$G385)</f>
        <v>0</v>
      </c>
      <c r="BC385" s="1114">
        <f>_xlfn.SUMIFS(Налоги!BB$25:BB$101,Налоги!$F$25:$F$101,$F385,Налоги!$AB$25:$AB$101,$G385)</f>
        <v>0</v>
      </c>
      <c r="BD385" s="1114">
        <f>IF(AI385=0,0,(AT385-AI385)/AI385*100)</f>
        <v>0</v>
      </c>
      <c r="BE385" s="1114">
        <f>IF(AT385=0,0,(AU385-AT385)/AT385*100)</f>
        <v>0</v>
      </c>
      <c r="BF385" s="1114">
        <f>IF(AU385=0,0,(AV385-AU385)/AU385*100)</f>
        <v>0</v>
      </c>
      <c r="BG385" s="1114">
        <f>IF(AV385=0,0,(AW385-AV385)/AV385*100)</f>
        <v>0</v>
      </c>
      <c r="BH385" s="1114">
        <f>IF(AW385=0,0,(AX385-AW385)/AW385*100)</f>
        <v>0</v>
      </c>
      <c r="BI385" s="1114">
        <f>IF(AX385=0,0,(AY385-AX385)/AX385*100)</f>
        <v>0</v>
      </c>
      <c r="BJ385" s="1114">
        <f>IF(AY385=0,0,(AZ385-AY385)/AY385*100)</f>
        <v>0</v>
      </c>
      <c r="BK385" s="1114">
        <f>IF(AZ385=0,0,(BA385-AZ385)/AZ385*100)</f>
        <v>0</v>
      </c>
      <c r="BL385" s="1114">
        <f>IF(BA385=0,0,(BB385-BA385)/BA385*100)</f>
        <v>0</v>
      </c>
      <c r="BM385" s="1114">
        <f>IF(BB385=0,0,(BC385-BB385)/BB385*100)</f>
        <v>0</v>
      </c>
      <c r="BN385" s="7433"/>
      <c r="BO385" s="7437" t="str">
        <f>IF(_xlfn.IFERROR(INDEX(Налоги!$K$26:$L$101,MATCH($F385&amp;"5komm",Налоги!$K$26:$K$101,0),2),"")=0,"",_xlfn.IFERROR(INDEX(Налоги!$K$26:$L$101,MATCH($F385&amp;"5komm",Налоги!$K$26:$K$101,0),2),""))</f>
        <v/>
      </c>
      <c r="BP385" s="7433"/>
      <c r="BQ385" s="1278"/>
      <c r="BR385" s="1278"/>
      <c r="BS385" s="1064" t="s">
        <v>2784</v>
      </c>
      <c r="BT385" s="1064"/>
      <c r="BU385" s="1064"/>
      <c r="BV385" s="979"/>
      <c r="BW385" s="979"/>
    </row>
    <row s="1834" customFormat="1" customHeight="1" ht="0">
      <c r="A386" s="1278"/>
      <c r="B386" s="978"/>
      <c r="C386" s="107"/>
      <c r="D386" s="107"/>
      <c r="E386" s="621">
        <v>15</v>
      </c>
      <c r="F386" s="50" cm="1" t="str">
        <f t="array" ref="F386:F386">OFFSET(E386,-1,1)</f>
        <v>2</v>
      </c>
      <c r="G386" s="922">
        <v>1</v>
      </c>
      <c r="H386" s="107"/>
      <c r="I386" s="107" t="s">
        <v>2785</v>
      </c>
      <c r="J386" s="107"/>
      <c r="K386" s="107" t="s">
        <v>2785</v>
      </c>
      <c r="L386" s="980"/>
      <c r="M386" s="107"/>
      <c r="N386" s="107"/>
      <c r="O386" s="107"/>
      <c r="P386" s="107"/>
      <c r="Q386" s="107"/>
      <c r="R386" s="107"/>
      <c r="S386" s="107"/>
      <c r="T386" s="465" cm="1" t="str">
        <f t="array" ref="T386:T386">T385</f>
        <v>true</v>
      </c>
      <c r="U386" s="107"/>
      <c r="V386" s="107"/>
      <c r="W386" s="107"/>
      <c r="X386" s="1596"/>
      <c r="Y386" s="1278"/>
      <c r="Z386" s="1546"/>
      <c r="AA386" s="1278"/>
      <c r="AB386" s="300" t="s">
        <v>2786</v>
      </c>
      <c r="AC386" s="765" t="s">
        <v>2787</v>
      </c>
      <c r="AD386" s="300" t="s">
        <v>1514</v>
      </c>
      <c r="AE386" s="1114">
        <f>_xlfn.SUMIFS(Налоги!AE$25:AE$101,Налоги!$F$25:$F$101,$F386,Налоги!$AB$25:$AB$101,$G386)</f>
        <v>0</v>
      </c>
      <c r="AF386" s="1114">
        <f>_xlfn.SUMIFS(Налоги!AF$25:AF$101,Налоги!$F$25:$F$101,$F386,Налоги!$AB$25:$AB$101,$G386)</f>
        <v>0</v>
      </c>
      <c r="AG386" s="1114">
        <f>_xlfn.SUMIFS(Налоги!AG$25:AG$101,Налоги!$F$25:$F$101,$F386,Налоги!$AB$25:$AB$101,$G386)</f>
        <v>0</v>
      </c>
      <c r="AH386" s="1114">
        <f>AG386-AF386</f>
        <v>0</v>
      </c>
      <c r="AI386" s="1114">
        <f>_xlfn.SUMIFS(Налоги!AH$25:AH$101,Налоги!$F$25:$F$101,$F386,Налоги!$AB$25:$AB$101,$G386)</f>
        <v>0</v>
      </c>
      <c r="AJ386" s="1114">
        <f>_xlfn.SUMIFS(Налоги!AI$25:AI$101,Налоги!$F$25:$F$101,$F386,Налоги!$AB$25:$AB$101,$G386)</f>
        <v>0</v>
      </c>
      <c r="AK386" s="1114">
        <f>_xlfn.SUMIFS(Налоги!AJ$25:AJ$101,Налоги!$F$25:$F$101,$F386,Налоги!$AB$25:$AB$101,$G386)</f>
        <v>0</v>
      </c>
      <c r="AL386" s="1114">
        <f>_xlfn.SUMIFS(Налоги!AK$25:AK$101,Налоги!$F$25:$F$101,$F386,Налоги!$AB$25:$AB$101,$G386)</f>
        <v>0</v>
      </c>
      <c r="AM386" s="1114">
        <f>_xlfn.SUMIFS(Налоги!AL$25:AL$101,Налоги!$F$25:$F$101,$F386,Налоги!$AB$25:$AB$101,$G386)</f>
        <v>0</v>
      </c>
      <c r="AN386" s="1114">
        <f>_xlfn.SUMIFS(Налоги!AM$25:AM$101,Налоги!$F$25:$F$101,$F386,Налоги!$AB$25:$AB$101,$G386)</f>
        <v>0</v>
      </c>
      <c r="AO386" s="1114">
        <f>_xlfn.SUMIFS(Налоги!AN$25:AN$101,Налоги!$F$25:$F$101,$F386,Налоги!$AB$25:$AB$101,$G386)</f>
        <v>0</v>
      </c>
      <c r="AP386" s="1114">
        <f>_xlfn.SUMIFS(Налоги!AO$25:AO$101,Налоги!$F$25:$F$101,$F386,Налоги!$AB$25:$AB$101,$G386)</f>
        <v>0</v>
      </c>
      <c r="AQ386" s="1114">
        <f>_xlfn.SUMIFS(Налоги!AP$25:AP$101,Налоги!$F$25:$F$101,$F386,Налоги!$AB$25:$AB$101,$G386)</f>
        <v>0</v>
      </c>
      <c r="AR386" s="1114">
        <f>_xlfn.SUMIFS(Налоги!AQ$25:AQ$101,Налоги!$F$25:$F$101,$F386,Налоги!$AB$25:$AB$101,$G386)</f>
        <v>0</v>
      </c>
      <c r="AS386" s="1114">
        <f>_xlfn.SUMIFS(Налоги!AR$25:AR$101,Налоги!$F$25:$F$101,$F386,Налоги!$AB$25:$AB$101,$G386)</f>
        <v>0</v>
      </c>
      <c r="AT386" s="1114">
        <f>_xlfn.SUMIFS(Налоги!AS$25:AS$101,Налоги!$F$25:$F$101,$F386,Налоги!$AB$25:$AB$101,$G386)</f>
        <v>0</v>
      </c>
      <c r="AU386" s="1114">
        <f>_xlfn.SUMIFS(Налоги!AT$25:AT$101,Налоги!$F$25:$F$101,$F386,Налоги!$AB$25:$AB$101,$G386)</f>
        <v>0</v>
      </c>
      <c r="AV386" s="1114">
        <f>_xlfn.SUMIFS(Налоги!AU$25:AU$101,Налоги!$F$25:$F$101,$F386,Налоги!$AB$25:$AB$101,$G386)</f>
        <v>0</v>
      </c>
      <c r="AW386" s="1114">
        <f>_xlfn.SUMIFS(Налоги!AV$25:AV$101,Налоги!$F$25:$F$101,$F386,Налоги!$AB$25:$AB$101,$G386)</f>
        <v>0</v>
      </c>
      <c r="AX386" s="1114">
        <f>_xlfn.SUMIFS(Налоги!AW$25:AW$101,Налоги!$F$25:$F$101,$F386,Налоги!$AB$25:$AB$101,$G386)</f>
        <v>0</v>
      </c>
      <c r="AY386" s="1114">
        <f>_xlfn.SUMIFS(Налоги!AX$25:AX$101,Налоги!$F$25:$F$101,$F386,Налоги!$AB$25:$AB$101,$G386)</f>
        <v>0</v>
      </c>
      <c r="AZ386" s="1114">
        <f>_xlfn.SUMIFS(Налоги!AY$25:AY$101,Налоги!$F$25:$F$101,$F386,Налоги!$AB$25:$AB$101,$G386)</f>
        <v>0</v>
      </c>
      <c r="BA386" s="1114">
        <f>_xlfn.SUMIFS(Налоги!AZ$25:AZ$101,Налоги!$F$25:$F$101,$F386,Налоги!$AB$25:$AB$101,$G386)</f>
        <v>0</v>
      </c>
      <c r="BB386" s="1114">
        <f>_xlfn.SUMIFS(Налоги!BA$25:BA$101,Налоги!$F$25:$F$101,$F386,Налоги!$AB$25:$AB$101,$G386)</f>
        <v>0</v>
      </c>
      <c r="BC386" s="1114">
        <f>_xlfn.SUMIFS(Налоги!BB$25:BB$101,Налоги!$F$25:$F$101,$F386,Налоги!$AB$25:$AB$101,$G386)</f>
        <v>0</v>
      </c>
      <c r="BD386" s="1114">
        <f>IF(AI386=0,0,(AT386-AI386)/AI386*100)</f>
        <v>0</v>
      </c>
      <c r="BE386" s="1114">
        <f>IF(AT386=0,0,(AU386-AT386)/AT386*100)</f>
        <v>0</v>
      </c>
      <c r="BF386" s="1114">
        <f>IF(AU386=0,0,(AV386-AU386)/AU386*100)</f>
        <v>0</v>
      </c>
      <c r="BG386" s="1114">
        <f>IF(AV386=0,0,(AW386-AV386)/AV386*100)</f>
        <v>0</v>
      </c>
      <c r="BH386" s="1114">
        <f>IF(AW386=0,0,(AX386-AW386)/AW386*100)</f>
        <v>0</v>
      </c>
      <c r="BI386" s="1114">
        <f>IF(AX386=0,0,(AY386-AX386)/AX386*100)</f>
        <v>0</v>
      </c>
      <c r="BJ386" s="1114">
        <f>IF(AY386=0,0,(AZ386-AY386)/AY386*100)</f>
        <v>0</v>
      </c>
      <c r="BK386" s="1114">
        <f>IF(AZ386=0,0,(BA386-AZ386)/AZ386*100)</f>
        <v>0</v>
      </c>
      <c r="BL386" s="1114">
        <f>IF(BA386=0,0,(BB386-BA386)/BA386*100)</f>
        <v>0</v>
      </c>
      <c r="BM386" s="1114">
        <f>IF(BB386=0,0,(BC386-BB386)/BB386*100)</f>
        <v>0</v>
      </c>
      <c r="BN386" s="7433"/>
      <c r="BO386" s="7437" t="str">
        <f>IF(_xlfn.IFERROR(INDEX(Налоги!$K$26:$L$101,MATCH($F386&amp;"1komm",Налоги!$K$26:$K$101,0),2),"")=0,"",_xlfn.IFERROR(INDEX(Налоги!$K$26:$L$101,MATCH($F386&amp;"1komm",Налоги!$K$26:$K$101,0),2),""))</f>
        <v/>
      </c>
      <c r="BP386" s="7433"/>
      <c r="BQ386" s="1278"/>
      <c r="BR386" s="1278"/>
      <c r="BS386" s="1064" t="s">
        <v>2788</v>
      </c>
      <c r="BT386" s="1064"/>
      <c r="BU386" s="1064"/>
      <c r="BV386" s="979"/>
      <c r="BW386" s="979"/>
    </row>
    <row s="1834" customFormat="1" customHeight="1" ht="0">
      <c r="A387" s="1278"/>
      <c r="B387" s="978"/>
      <c r="C387" s="107"/>
      <c r="D387" s="107"/>
      <c r="E387" s="621">
        <v>15</v>
      </c>
      <c r="F387" s="50" cm="1" t="str">
        <f t="array" ref="F387:F387">OFFSET(E387,-1,1)</f>
        <v>2</v>
      </c>
      <c r="G387" s="922">
        <v>3</v>
      </c>
      <c r="H387" s="107"/>
      <c r="I387" s="107" t="s">
        <v>2789</v>
      </c>
      <c r="J387" s="107"/>
      <c r="K387" s="107" t="s">
        <v>2789</v>
      </c>
      <c r="L387" s="980"/>
      <c r="M387" s="107"/>
      <c r="N387" s="107"/>
      <c r="O387" s="107"/>
      <c r="P387" s="107"/>
      <c r="Q387" s="107"/>
      <c r="R387" s="107"/>
      <c r="S387" s="107"/>
      <c r="T387" s="465" cm="1" t="str">
        <f t="array" ref="T387:T387">T386</f>
        <v>true</v>
      </c>
      <c r="U387" s="107"/>
      <c r="V387" s="107"/>
      <c r="W387" s="107"/>
      <c r="X387" s="1596"/>
      <c r="Y387" s="1278"/>
      <c r="Z387" s="1546"/>
      <c r="AA387" s="1278"/>
      <c r="AB387" s="300" t="s">
        <v>2790</v>
      </c>
      <c r="AC387" s="765" t="s">
        <v>2791</v>
      </c>
      <c r="AD387" s="300" t="s">
        <v>1514</v>
      </c>
      <c r="AE387" s="1114">
        <f>_xlfn.SUMIFS(Налоги!AE$25:AE$101,Налоги!$F$25:$F$101,$F387,Налоги!$AB$25:$AB$101,$G387)</f>
        <v>0</v>
      </c>
      <c r="AF387" s="1114">
        <f>_xlfn.SUMIFS(Налоги!AF$25:AF$101,Налоги!$F$25:$F$101,$F387,Налоги!$AB$25:$AB$101,$G387)</f>
        <v>0</v>
      </c>
      <c r="AG387" s="1114">
        <f>_xlfn.SUMIFS(Налоги!AG$25:AG$101,Налоги!$F$25:$F$101,$F387,Налоги!$AB$25:$AB$101,$G387)</f>
        <v>0</v>
      </c>
      <c r="AH387" s="1114">
        <f>AG387-AF387</f>
        <v>0</v>
      </c>
      <c r="AI387" s="1114">
        <f>_xlfn.SUMIFS(Налоги!AH$25:AH$101,Налоги!$F$25:$F$101,$F387,Налоги!$AB$25:$AB$101,$G387)</f>
        <v>0</v>
      </c>
      <c r="AJ387" s="1114">
        <f>_xlfn.SUMIFS(Налоги!AI$25:AI$101,Налоги!$F$25:$F$101,$F387,Налоги!$AB$25:$AB$101,$G387)</f>
        <v>0</v>
      </c>
      <c r="AK387" s="1114">
        <f>_xlfn.SUMIFS(Налоги!AJ$25:AJ$101,Налоги!$F$25:$F$101,$F387,Налоги!$AB$25:$AB$101,$G387)</f>
        <v>0</v>
      </c>
      <c r="AL387" s="1114">
        <f>_xlfn.SUMIFS(Налоги!AK$25:AK$101,Налоги!$F$25:$F$101,$F387,Налоги!$AB$25:$AB$101,$G387)</f>
        <v>0</v>
      </c>
      <c r="AM387" s="1114">
        <f>_xlfn.SUMIFS(Налоги!AL$25:AL$101,Налоги!$F$25:$F$101,$F387,Налоги!$AB$25:$AB$101,$G387)</f>
        <v>0</v>
      </c>
      <c r="AN387" s="1114">
        <f>_xlfn.SUMIFS(Налоги!AM$25:AM$101,Налоги!$F$25:$F$101,$F387,Налоги!$AB$25:$AB$101,$G387)</f>
        <v>0</v>
      </c>
      <c r="AO387" s="1114">
        <f>_xlfn.SUMIFS(Налоги!AN$25:AN$101,Налоги!$F$25:$F$101,$F387,Налоги!$AB$25:$AB$101,$G387)</f>
        <v>0</v>
      </c>
      <c r="AP387" s="1114">
        <f>_xlfn.SUMIFS(Налоги!AO$25:AO$101,Налоги!$F$25:$F$101,$F387,Налоги!$AB$25:$AB$101,$G387)</f>
        <v>0</v>
      </c>
      <c r="AQ387" s="1114">
        <f>_xlfn.SUMIFS(Налоги!AP$25:AP$101,Налоги!$F$25:$F$101,$F387,Налоги!$AB$25:$AB$101,$G387)</f>
        <v>0</v>
      </c>
      <c r="AR387" s="1114">
        <f>_xlfn.SUMIFS(Налоги!AQ$25:AQ$101,Налоги!$F$25:$F$101,$F387,Налоги!$AB$25:$AB$101,$G387)</f>
        <v>0</v>
      </c>
      <c r="AS387" s="1114">
        <f>_xlfn.SUMIFS(Налоги!AR$25:AR$101,Налоги!$F$25:$F$101,$F387,Налоги!$AB$25:$AB$101,$G387)</f>
        <v>0</v>
      </c>
      <c r="AT387" s="1114">
        <f>_xlfn.SUMIFS(Налоги!AS$25:AS$101,Налоги!$F$25:$F$101,$F387,Налоги!$AB$25:$AB$101,$G387)</f>
        <v>0</v>
      </c>
      <c r="AU387" s="1114">
        <f>_xlfn.SUMIFS(Налоги!AT$25:AT$101,Налоги!$F$25:$F$101,$F387,Налоги!$AB$25:$AB$101,$G387)</f>
        <v>0</v>
      </c>
      <c r="AV387" s="1114">
        <f>_xlfn.SUMIFS(Налоги!AU$25:AU$101,Налоги!$F$25:$F$101,$F387,Налоги!$AB$25:$AB$101,$G387)</f>
        <v>0</v>
      </c>
      <c r="AW387" s="1114">
        <f>_xlfn.SUMIFS(Налоги!AV$25:AV$101,Налоги!$F$25:$F$101,$F387,Налоги!$AB$25:$AB$101,$G387)</f>
        <v>0</v>
      </c>
      <c r="AX387" s="1114">
        <f>_xlfn.SUMIFS(Налоги!AW$25:AW$101,Налоги!$F$25:$F$101,$F387,Налоги!$AB$25:$AB$101,$G387)</f>
        <v>0</v>
      </c>
      <c r="AY387" s="1114">
        <f>_xlfn.SUMIFS(Налоги!AX$25:AX$101,Налоги!$F$25:$F$101,$F387,Налоги!$AB$25:$AB$101,$G387)</f>
        <v>0</v>
      </c>
      <c r="AZ387" s="1114">
        <f>_xlfn.SUMIFS(Налоги!AY$25:AY$101,Налоги!$F$25:$F$101,$F387,Налоги!$AB$25:$AB$101,$G387)</f>
        <v>0</v>
      </c>
      <c r="BA387" s="1114">
        <f>_xlfn.SUMIFS(Налоги!AZ$25:AZ$101,Налоги!$F$25:$F$101,$F387,Налоги!$AB$25:$AB$101,$G387)</f>
        <v>0</v>
      </c>
      <c r="BB387" s="1114">
        <f>_xlfn.SUMIFS(Налоги!BA$25:BA$101,Налоги!$F$25:$F$101,$F387,Налоги!$AB$25:$AB$101,$G387)</f>
        <v>0</v>
      </c>
      <c r="BC387" s="1114">
        <f>_xlfn.SUMIFS(Налоги!BB$25:BB$101,Налоги!$F$25:$F$101,$F387,Налоги!$AB$25:$AB$101,$G387)</f>
        <v>0</v>
      </c>
      <c r="BD387" s="1114">
        <f>IF(AI387=0,0,(AT387-AI387)/AI387*100)</f>
        <v>0</v>
      </c>
      <c r="BE387" s="1114">
        <f>IF(AT387=0,0,(AU387-AT387)/AT387*100)</f>
        <v>0</v>
      </c>
      <c r="BF387" s="1114">
        <f>IF(AU387=0,0,(AV387-AU387)/AU387*100)</f>
        <v>0</v>
      </c>
      <c r="BG387" s="1114">
        <f>IF(AV387=0,0,(AW387-AV387)/AV387*100)</f>
        <v>0</v>
      </c>
      <c r="BH387" s="1114">
        <f>IF(AW387=0,0,(AX387-AW387)/AW387*100)</f>
        <v>0</v>
      </c>
      <c r="BI387" s="1114">
        <f>IF(AX387=0,0,(AY387-AX387)/AX387*100)</f>
        <v>0</v>
      </c>
      <c r="BJ387" s="1114">
        <f>IF(AY387=0,0,(AZ387-AY387)/AY387*100)</f>
        <v>0</v>
      </c>
      <c r="BK387" s="1114">
        <f>IF(AZ387=0,0,(BA387-AZ387)/AZ387*100)</f>
        <v>0</v>
      </c>
      <c r="BL387" s="1114">
        <f>IF(BA387=0,0,(BB387-BA387)/BA387*100)</f>
        <v>0</v>
      </c>
      <c r="BM387" s="1114">
        <f>IF(BB387=0,0,(BC387-BB387)/BB387*100)</f>
        <v>0</v>
      </c>
      <c r="BN387" s="7433"/>
      <c r="BO387" s="7437" t="str">
        <f>IF(_xlfn.IFERROR(INDEX(Налоги!$K$26:$L$101,MATCH($F387&amp;"5komm",Налоги!$K$26:$K$101,0),2),"")=0,"",_xlfn.IFERROR(INDEX(Налоги!$K$26:$L$101,MATCH($F387&amp;"5komm",Налоги!$K$26:$K$101,0),2),""))</f>
        <v/>
      </c>
      <c r="BP387" s="7433"/>
      <c r="BQ387" s="1278"/>
      <c r="BR387" s="1278"/>
      <c r="BS387" s="1064" t="s">
        <v>2792</v>
      </c>
      <c r="BT387" s="1064"/>
      <c r="BU387" s="1064"/>
      <c r="BV387" s="979"/>
      <c r="BW387" s="979"/>
    </row>
    <row s="1834" customFormat="1" customHeight="1" ht="0">
      <c r="A388" s="1278"/>
      <c r="B388" s="978"/>
      <c r="C388" s="107"/>
      <c r="D388" s="107"/>
      <c r="E388" s="621">
        <v>15</v>
      </c>
      <c r="F388" s="50" cm="1" t="str">
        <f t="array" ref="F388:F388">OFFSET(E388,-1,1)</f>
        <v>2</v>
      </c>
      <c r="G388" s="922">
        <v>8</v>
      </c>
      <c r="H388" s="107"/>
      <c r="I388" s="107" t="s">
        <v>2793</v>
      </c>
      <c r="J388" s="107"/>
      <c r="K388" s="107" t="s">
        <v>2793</v>
      </c>
      <c r="L388" s="980"/>
      <c r="M388" s="107"/>
      <c r="N388" s="107"/>
      <c r="O388" s="107"/>
      <c r="P388" s="107"/>
      <c r="Q388" s="107"/>
      <c r="R388" s="107"/>
      <c r="S388" s="107"/>
      <c r="T388" s="465" cm="1" t="str">
        <f t="array" ref="T388:T388">T387</f>
        <v>true</v>
      </c>
      <c r="U388" s="107"/>
      <c r="V388" s="107"/>
      <c r="W388" s="107"/>
      <c r="X388" s="1596"/>
      <c r="Y388" s="1278"/>
      <c r="Z388" s="1546"/>
      <c r="AA388" s="1278"/>
      <c r="AB388" s="300" t="s">
        <v>2794</v>
      </c>
      <c r="AC388" s="765" t="s">
        <v>2795</v>
      </c>
      <c r="AD388" s="300" t="s">
        <v>1514</v>
      </c>
      <c r="AE388" s="1114">
        <f>_xlfn.SUMIFS(Налоги!AE$25:AE$101,Налоги!$F$25:$F$101,$F388,Налоги!$AB$25:$AB$101,$G388)</f>
        <v>0</v>
      </c>
      <c r="AF388" s="1114">
        <f>_xlfn.SUMIFS(Налоги!AF$25:AF$101,Налоги!$F$25:$F$101,$F388,Налоги!$AB$25:$AB$101,$G388)</f>
        <v>0</v>
      </c>
      <c r="AG388" s="1114">
        <f>_xlfn.SUMIFS(Налоги!AG$25:AG$101,Налоги!$F$25:$F$101,$F388,Налоги!$AB$25:$AB$101,$G388)</f>
        <v>0</v>
      </c>
      <c r="AH388" s="1114">
        <f>AG388-AF388</f>
        <v>0</v>
      </c>
      <c r="AI388" s="1114">
        <f>_xlfn.SUMIFS(Налоги!AH$25:AH$101,Налоги!$F$25:$F$101,$F388,Налоги!$AB$25:$AB$101,$G388)</f>
        <v>0</v>
      </c>
      <c r="AJ388" s="1114">
        <f>_xlfn.SUMIFS(Налоги!AI$25:AI$101,Налоги!$F$25:$F$101,$F388,Налоги!$AB$25:$AB$101,$G388)</f>
        <v>0</v>
      </c>
      <c r="AK388" s="1114">
        <f>_xlfn.SUMIFS(Налоги!AJ$25:AJ$101,Налоги!$F$25:$F$101,$F388,Налоги!$AB$25:$AB$101,$G388)</f>
        <v>0</v>
      </c>
      <c r="AL388" s="1114">
        <f>_xlfn.SUMIFS(Налоги!AK$25:AK$101,Налоги!$F$25:$F$101,$F388,Налоги!$AB$25:$AB$101,$G388)</f>
        <v>0</v>
      </c>
      <c r="AM388" s="1114">
        <f>_xlfn.SUMIFS(Налоги!AL$25:AL$101,Налоги!$F$25:$F$101,$F388,Налоги!$AB$25:$AB$101,$G388)</f>
        <v>0</v>
      </c>
      <c r="AN388" s="1114">
        <f>_xlfn.SUMIFS(Налоги!AM$25:AM$101,Налоги!$F$25:$F$101,$F388,Налоги!$AB$25:$AB$101,$G388)</f>
        <v>0</v>
      </c>
      <c r="AO388" s="1114">
        <f>_xlfn.SUMIFS(Налоги!AN$25:AN$101,Налоги!$F$25:$F$101,$F388,Налоги!$AB$25:$AB$101,$G388)</f>
        <v>0</v>
      </c>
      <c r="AP388" s="1114">
        <f>_xlfn.SUMIFS(Налоги!AO$25:AO$101,Налоги!$F$25:$F$101,$F388,Налоги!$AB$25:$AB$101,$G388)</f>
        <v>0</v>
      </c>
      <c r="AQ388" s="1114">
        <f>_xlfn.SUMIFS(Налоги!AP$25:AP$101,Налоги!$F$25:$F$101,$F388,Налоги!$AB$25:$AB$101,$G388)</f>
        <v>0</v>
      </c>
      <c r="AR388" s="1114">
        <f>_xlfn.SUMIFS(Налоги!AQ$25:AQ$101,Налоги!$F$25:$F$101,$F388,Налоги!$AB$25:$AB$101,$G388)</f>
        <v>0</v>
      </c>
      <c r="AS388" s="1114">
        <f>_xlfn.SUMIFS(Налоги!AR$25:AR$101,Налоги!$F$25:$F$101,$F388,Налоги!$AB$25:$AB$101,$G388)</f>
        <v>0</v>
      </c>
      <c r="AT388" s="1114">
        <f>_xlfn.SUMIFS(Налоги!AS$25:AS$101,Налоги!$F$25:$F$101,$F388,Налоги!$AB$25:$AB$101,$G388)</f>
        <v>0</v>
      </c>
      <c r="AU388" s="1114">
        <f>_xlfn.SUMIFS(Налоги!AT$25:AT$101,Налоги!$F$25:$F$101,$F388,Налоги!$AB$25:$AB$101,$G388)</f>
        <v>0</v>
      </c>
      <c r="AV388" s="1114">
        <f>_xlfn.SUMIFS(Налоги!AU$25:AU$101,Налоги!$F$25:$F$101,$F388,Налоги!$AB$25:$AB$101,$G388)</f>
        <v>0</v>
      </c>
      <c r="AW388" s="1114">
        <f>_xlfn.SUMIFS(Налоги!AV$25:AV$101,Налоги!$F$25:$F$101,$F388,Налоги!$AB$25:$AB$101,$G388)</f>
        <v>0</v>
      </c>
      <c r="AX388" s="1114">
        <f>_xlfn.SUMIFS(Налоги!AW$25:AW$101,Налоги!$F$25:$F$101,$F388,Налоги!$AB$25:$AB$101,$G388)</f>
        <v>0</v>
      </c>
      <c r="AY388" s="1114">
        <f>_xlfn.SUMIFS(Налоги!AX$25:AX$101,Налоги!$F$25:$F$101,$F388,Налоги!$AB$25:$AB$101,$G388)</f>
        <v>0</v>
      </c>
      <c r="AZ388" s="1114">
        <f>_xlfn.SUMIFS(Налоги!AY$25:AY$101,Налоги!$F$25:$F$101,$F388,Налоги!$AB$25:$AB$101,$G388)</f>
        <v>0</v>
      </c>
      <c r="BA388" s="1114">
        <f>_xlfn.SUMIFS(Налоги!AZ$25:AZ$101,Налоги!$F$25:$F$101,$F388,Налоги!$AB$25:$AB$101,$G388)</f>
        <v>0</v>
      </c>
      <c r="BB388" s="1114">
        <f>_xlfn.SUMIFS(Налоги!BA$25:BA$101,Налоги!$F$25:$F$101,$F388,Налоги!$AB$25:$AB$101,$G388)</f>
        <v>0</v>
      </c>
      <c r="BC388" s="1114">
        <f>_xlfn.SUMIFS(Налоги!BB$25:BB$101,Налоги!$F$25:$F$101,$F388,Налоги!$AB$25:$AB$101,$G388)</f>
        <v>0</v>
      </c>
      <c r="BD388" s="1114">
        <f>IF(AI388=0,0,(AT388-AI388)/AI388*100)</f>
        <v>0</v>
      </c>
      <c r="BE388" s="1114">
        <f>IF(AT388=0,0,(AU388-AT388)/AT388*100)</f>
        <v>0</v>
      </c>
      <c r="BF388" s="1114">
        <f>IF(AU388=0,0,(AV388-AU388)/AU388*100)</f>
        <v>0</v>
      </c>
      <c r="BG388" s="1114">
        <f>IF(AV388=0,0,(AW388-AV388)/AV388*100)</f>
        <v>0</v>
      </c>
      <c r="BH388" s="1114">
        <f>IF(AW388=0,0,(AX388-AW388)/AW388*100)</f>
        <v>0</v>
      </c>
      <c r="BI388" s="1114">
        <f>IF(AX388=0,0,(AY388-AX388)/AX388*100)</f>
        <v>0</v>
      </c>
      <c r="BJ388" s="1114">
        <f>IF(AY388=0,0,(AZ388-AY388)/AY388*100)</f>
        <v>0</v>
      </c>
      <c r="BK388" s="1114">
        <f>IF(AZ388=0,0,(BA388-AZ388)/AZ388*100)</f>
        <v>0</v>
      </c>
      <c r="BL388" s="1114">
        <f>IF(BA388=0,0,(BB388-BA388)/BA388*100)</f>
        <v>0</v>
      </c>
      <c r="BM388" s="1114">
        <f>IF(BB388=0,0,(BC388-BB388)/BB388*100)</f>
        <v>0</v>
      </c>
      <c r="BN388" s="7433"/>
      <c r="BO388" s="7437" t="str">
        <f>IF(_xlfn.IFERROR(INDEX(Налоги!$K$26:$L$101,MATCH($F388&amp;"8komm",Налоги!$K$26:$K$101,0),2),"")=0,"",_xlfn.IFERROR(INDEX(Налоги!$K$26:$L$101,MATCH($F388&amp;"8komm",Налоги!$K$26:$K$101,0),2),""))</f>
        <v/>
      </c>
      <c r="BP388" s="7433"/>
      <c r="BQ388" s="1278"/>
      <c r="BR388" s="1278"/>
      <c r="BS388" s="1064" t="s">
        <v>2017</v>
      </c>
      <c r="BT388" s="1064"/>
      <c r="BU388" s="1064"/>
      <c r="BV388" s="979"/>
      <c r="BW388" s="979"/>
    </row>
    <row s="1233" customFormat="1" customHeight="1" ht="0">
      <c r="A389" s="1233"/>
      <c r="B389" s="753"/>
      <c r="C389" s="107"/>
      <c r="D389" s="107"/>
      <c r="E389" s="621">
        <v>15</v>
      </c>
      <c r="F389" s="50" cm="1" t="str">
        <f t="array" ref="F389:F389">OFFSET(E389,-1,1)</f>
        <v>2</v>
      </c>
      <c r="G389" s="922">
        <v>9</v>
      </c>
      <c r="H389" s="107"/>
      <c r="I389" s="107"/>
      <c r="J389" s="107"/>
      <c r="K389" s="107"/>
      <c r="L389" s="980"/>
      <c r="M389" s="107"/>
      <c r="N389" s="107"/>
      <c r="O389" s="107"/>
      <c r="P389" s="107"/>
      <c r="Q389" s="107"/>
      <c r="R389" s="107"/>
      <c r="S389" s="107"/>
      <c r="T389" s="465" cm="1" t="str">
        <f t="array" ref="T389:T389">T388</f>
        <v>true</v>
      </c>
      <c r="U389" s="107"/>
      <c r="V389" s="107"/>
      <c r="W389" s="107"/>
      <c r="X389" s="1596"/>
      <c r="Y389" s="1233"/>
      <c r="Z389" s="1546"/>
      <c r="AA389" s="1233"/>
      <c r="AB389" s="300" t="s">
        <v>2796</v>
      </c>
      <c r="AC389" s="780" t="s">
        <v>2797</v>
      </c>
      <c r="AD389" s="300" t="s">
        <v>1514</v>
      </c>
      <c r="AE389" s="1114">
        <f>_xlfn.SUMIFS(Налоги!AE$25:AE$101,Налоги!$F$25:$F$101,$F389,Налоги!$AB$25:$AB$101,$G389)</f>
        <v>0</v>
      </c>
      <c r="AF389" s="1114">
        <f>_xlfn.SUMIFS(Налоги!AF$25:AF$101,Налоги!$F$25:$F$101,$F389,Налоги!$AB$25:$AB$101,$G389)</f>
        <v>0</v>
      </c>
      <c r="AG389" s="1114">
        <f>_xlfn.SUMIFS(Налоги!AG$25:AG$101,Налоги!$F$25:$F$101,$F389,Налоги!$AB$25:$AB$101,$G389)</f>
        <v>0</v>
      </c>
      <c r="AH389" s="1114">
        <f>AG389-AF389</f>
        <v>0</v>
      </c>
      <c r="AI389" s="1114">
        <f>_xlfn.SUMIFS(Налоги!AH$25:AH$101,Налоги!$F$25:$F$101,$F389,Налоги!$AB$25:$AB$101,$G389)</f>
        <v>0</v>
      </c>
      <c r="AJ389" s="1114">
        <f>_xlfn.SUMIFS(Налоги!AI$25:AI$101,Налоги!$F$25:$F$101,$F389,Налоги!$AB$25:$AB$101,$G389)</f>
        <v>0</v>
      </c>
      <c r="AK389" s="1114">
        <f>_xlfn.SUMIFS(Налоги!AJ$25:AJ$101,Налоги!$F$25:$F$101,$F389,Налоги!$AB$25:$AB$101,$G389)</f>
        <v>0</v>
      </c>
      <c r="AL389" s="1114">
        <f>_xlfn.SUMIFS(Налоги!AK$25:AK$101,Налоги!$F$25:$F$101,$F389,Налоги!$AB$25:$AB$101,$G389)</f>
        <v>0</v>
      </c>
      <c r="AM389" s="1114">
        <f>_xlfn.SUMIFS(Налоги!AL$25:AL$101,Налоги!$F$25:$F$101,$F389,Налоги!$AB$25:$AB$101,$G389)</f>
        <v>0</v>
      </c>
      <c r="AN389" s="1114">
        <f>_xlfn.SUMIFS(Налоги!AM$25:AM$101,Налоги!$F$25:$F$101,$F389,Налоги!$AB$25:$AB$101,$G389)</f>
        <v>0</v>
      </c>
      <c r="AO389" s="1114">
        <f>_xlfn.SUMIFS(Налоги!AN$25:AN$101,Налоги!$F$25:$F$101,$F389,Налоги!$AB$25:$AB$101,$G389)</f>
        <v>0</v>
      </c>
      <c r="AP389" s="1114">
        <f>_xlfn.SUMIFS(Налоги!AO$25:AO$101,Налоги!$F$25:$F$101,$F389,Налоги!$AB$25:$AB$101,$G389)</f>
        <v>0</v>
      </c>
      <c r="AQ389" s="1114">
        <f>_xlfn.SUMIFS(Налоги!AP$25:AP$101,Налоги!$F$25:$F$101,$F389,Налоги!$AB$25:$AB$101,$G389)</f>
        <v>0</v>
      </c>
      <c r="AR389" s="1114">
        <f>_xlfn.SUMIFS(Налоги!AQ$25:AQ$101,Налоги!$F$25:$F$101,$F389,Налоги!$AB$25:$AB$101,$G389)</f>
        <v>0</v>
      </c>
      <c r="AS389" s="1114">
        <f>_xlfn.SUMIFS(Налоги!AR$25:AR$101,Налоги!$F$25:$F$101,$F389,Налоги!$AB$25:$AB$101,$G389)</f>
        <v>0</v>
      </c>
      <c r="AT389" s="1114">
        <f>_xlfn.SUMIFS(Налоги!AS$25:AS$101,Налоги!$F$25:$F$101,$F389,Налоги!$AB$25:$AB$101,$G389)</f>
        <v>0</v>
      </c>
      <c r="AU389" s="1114">
        <f>_xlfn.SUMIFS(Налоги!AT$25:AT$101,Налоги!$F$25:$F$101,$F389,Налоги!$AB$25:$AB$101,$G389)</f>
        <v>0</v>
      </c>
      <c r="AV389" s="1114">
        <f>_xlfn.SUMIFS(Налоги!AU$25:AU$101,Налоги!$F$25:$F$101,$F389,Налоги!$AB$25:$AB$101,$G389)</f>
        <v>0</v>
      </c>
      <c r="AW389" s="1114">
        <f>_xlfn.SUMIFS(Налоги!AV$25:AV$101,Налоги!$F$25:$F$101,$F389,Налоги!$AB$25:$AB$101,$G389)</f>
        <v>0</v>
      </c>
      <c r="AX389" s="1114">
        <f>_xlfn.SUMIFS(Налоги!AW$25:AW$101,Налоги!$F$25:$F$101,$F389,Налоги!$AB$25:$AB$101,$G389)</f>
        <v>0</v>
      </c>
      <c r="AY389" s="1114">
        <f>_xlfn.SUMIFS(Налоги!AX$25:AX$101,Налоги!$F$25:$F$101,$F389,Налоги!$AB$25:$AB$101,$G389)</f>
        <v>0</v>
      </c>
      <c r="AZ389" s="1114">
        <f>_xlfn.SUMIFS(Налоги!AY$25:AY$101,Налоги!$F$25:$F$101,$F389,Налоги!$AB$25:$AB$101,$G389)</f>
        <v>0</v>
      </c>
      <c r="BA389" s="1114">
        <f>_xlfn.SUMIFS(Налоги!AZ$25:AZ$101,Налоги!$F$25:$F$101,$F389,Налоги!$AB$25:$AB$101,$G389)</f>
        <v>0</v>
      </c>
      <c r="BB389" s="1114">
        <f>_xlfn.SUMIFS(Налоги!BA$25:BA$101,Налоги!$F$25:$F$101,$F389,Налоги!$AB$25:$AB$101,$G389)</f>
        <v>0</v>
      </c>
      <c r="BC389" s="1114">
        <f>_xlfn.SUMIFS(Налоги!BB$25:BB$101,Налоги!$F$25:$F$101,$F389,Налоги!$AB$25:$AB$101,$G389)</f>
        <v>0</v>
      </c>
      <c r="BD389" s="1114">
        <f>IF(AI389=0,0,(AT389-AI389)/AI389*100)</f>
        <v>0</v>
      </c>
      <c r="BE389" s="1114">
        <f>IF(AT389=0,0,(AU389-AT389)/AT389*100)</f>
        <v>0</v>
      </c>
      <c r="BF389" s="1114">
        <f>IF(AU389=0,0,(AV389-AU389)/AU389*100)</f>
        <v>0</v>
      </c>
      <c r="BG389" s="1114">
        <f>IF(AV389=0,0,(AW389-AV389)/AV389*100)</f>
        <v>0</v>
      </c>
      <c r="BH389" s="1114">
        <f>IF(AW389=0,0,(AX389-AW389)/AW389*100)</f>
        <v>0</v>
      </c>
      <c r="BI389" s="1114">
        <f>IF(AX389=0,0,(AY389-AX389)/AX389*100)</f>
        <v>0</v>
      </c>
      <c r="BJ389" s="1114">
        <f>IF(AY389=0,0,(AZ389-AY389)/AY389*100)</f>
        <v>0</v>
      </c>
      <c r="BK389" s="1114">
        <f>IF(AZ389=0,0,(BA389-AZ389)/AZ389*100)</f>
        <v>0</v>
      </c>
      <c r="BL389" s="1114">
        <f>IF(BA389=0,0,(BB389-BA389)/BA389*100)</f>
        <v>0</v>
      </c>
      <c r="BM389" s="1114">
        <f>IF(BB389=0,0,(BC389-BB389)/BB389*100)</f>
        <v>0</v>
      </c>
      <c r="BN389" s="7433"/>
      <c r="BO389" s="7437" t="str">
        <f>IF(_xlfn.IFERROR(INDEX(Налоги!$K$26:$L$101,MATCH($F389&amp;"9komm",Налоги!$K$26:$K$101,0),2),"")=0,"",_xlfn.IFERROR(INDEX(Налоги!$K$26:$L$101,MATCH($F389&amp;"9komm",Налоги!$K$26:$K$101,0),2),""))</f>
        <v/>
      </c>
      <c r="BP389" s="7433"/>
      <c r="BQ389" s="1233"/>
      <c r="BR389" s="1233"/>
      <c r="BS389" s="1071" t="s">
        <v>2798</v>
      </c>
      <c r="BT389" s="1071"/>
      <c r="BU389" s="1071"/>
      <c r="BV389" s="1072"/>
      <c r="BW389" s="1072"/>
    </row>
    <row s="1834" customFormat="1" customHeight="1" ht="65.25">
      <c r="A390" s="1278"/>
      <c r="B390" s="978"/>
      <c r="C390" s="107"/>
      <c r="D390" s="107"/>
      <c r="E390" s="621">
        <v>15</v>
      </c>
      <c r="F390" s="50" cm="1" t="str">
        <f t="array" ref="F390:F390">OFFSET(E390,-1,1)</f>
        <v>2</v>
      </c>
      <c r="G390" s="922">
        <v>10</v>
      </c>
      <c r="H390" s="107"/>
      <c r="I390" s="107" t="s">
        <v>2799</v>
      </c>
      <c r="J390" s="107"/>
      <c r="K390" s="107" t="s">
        <v>2799</v>
      </c>
      <c r="L390" s="980"/>
      <c r="M390" s="107"/>
      <c r="N390" s="107"/>
      <c r="O390" s="107"/>
      <c r="P390" s="107"/>
      <c r="Q390" s="107"/>
      <c r="R390" s="107"/>
      <c r="S390" s="107"/>
      <c r="T390" s="465" cm="1" t="str">
        <f t="array" ref="T390:T390">T389</f>
        <v>true</v>
      </c>
      <c r="U390" s="107"/>
      <c r="V390" s="107"/>
      <c r="W390" s="107"/>
      <c r="X390" s="1596"/>
      <c r="Y390" s="1278"/>
      <c r="Z390" s="1546"/>
      <c r="AA390" s="1278"/>
      <c r="AB390" s="300" t="s">
        <v>2800</v>
      </c>
      <c r="AC390" s="781" t="s">
        <v>2801</v>
      </c>
      <c r="AD390" s="300" t="s">
        <v>1514</v>
      </c>
      <c r="AE390" s="1114">
        <f>_xlfn.SUMIFS(Налоги!AE$25:AE$101,Налоги!$F$25:$F$101,$F390,Налоги!$AB$25:$AB$101,$G390)</f>
        <v>0</v>
      </c>
      <c r="AF390" s="1114">
        <f>_xlfn.SUMIFS(Налоги!AF$25:AF$101,Налоги!$F$25:$F$101,$F390,Налоги!$AB$25:$AB$101,$G390)</f>
        <v>0</v>
      </c>
      <c r="AG390" s="1114">
        <f>_xlfn.SUMIFS(Налоги!AG$25:AG$101,Налоги!$F$25:$F$101,$F390,Налоги!$AB$25:$AB$101,$G390)</f>
        <v>0</v>
      </c>
      <c r="AH390" s="1114">
        <f>AG390-AF390</f>
        <v>0</v>
      </c>
      <c r="AI390" s="1114">
        <f>_xlfn.SUMIFS(Налоги!AH$25:AH$101,Налоги!$F$25:$F$101,$F390,Налоги!$AB$25:$AB$101,$G390)</f>
        <v>0</v>
      </c>
      <c r="AJ390" s="1114">
        <f>_xlfn.SUMIFS(Налоги!AI$25:AI$101,Налоги!$F$25:$F$101,$F390,Налоги!$AB$25:$AB$101,$G390)</f>
        <v>0</v>
      </c>
      <c r="AK390" s="1114">
        <f>_xlfn.SUMIFS(Налоги!AJ$25:AJ$101,Налоги!$F$25:$F$101,$F390,Налоги!$AB$25:$AB$101,$G390)</f>
        <v>0</v>
      </c>
      <c r="AL390" s="1114">
        <f>_xlfn.SUMIFS(Налоги!AK$25:AK$101,Налоги!$F$25:$F$101,$F390,Налоги!$AB$25:$AB$101,$G390)</f>
        <v>14.66</v>
      </c>
      <c r="AM390" s="1114">
        <f>_xlfn.SUMIFS(Налоги!AL$25:AL$101,Налоги!$F$25:$F$101,$F390,Налоги!$AB$25:$AB$101,$G390)</f>
        <v>81.08</v>
      </c>
      <c r="AN390" s="1114">
        <f>_xlfn.SUMIFS(Налоги!AM$25:AM$101,Налоги!$F$25:$F$101,$F390,Налоги!$AB$25:$AB$101,$G390)</f>
        <v>51.76</v>
      </c>
      <c r="AO390" s="1114">
        <f>_xlfn.SUMIFS(Налоги!AN$25:AN$101,Налоги!$F$25:$F$101,$F390,Налоги!$AB$25:$AB$101,$G390)</f>
        <v>0</v>
      </c>
      <c r="AP390" s="1114">
        <f>_xlfn.SUMIFS(Налоги!AO$25:AO$101,Налоги!$F$25:$F$101,$F390,Налоги!$AB$25:$AB$101,$G390)</f>
        <v>0</v>
      </c>
      <c r="AQ390" s="1114">
        <f>_xlfn.SUMIFS(Налоги!AP$25:AP$101,Налоги!$F$25:$F$101,$F390,Налоги!$AB$25:$AB$101,$G390)</f>
        <v>0</v>
      </c>
      <c r="AR390" s="1114">
        <f>_xlfn.SUMIFS(Налоги!AQ$25:AQ$101,Налоги!$F$25:$F$101,$F390,Налоги!$AB$25:$AB$101,$G390)</f>
        <v>0</v>
      </c>
      <c r="AS390" s="1114">
        <f>_xlfn.SUMIFS(Налоги!AR$25:AR$101,Налоги!$F$25:$F$101,$F390,Налоги!$AB$25:$AB$101,$G390)</f>
        <v>0</v>
      </c>
      <c r="AT390" s="1114">
        <f>_xlfn.SUMIFS(Налоги!AS$25:AS$101,Налоги!$F$25:$F$101,$F390,Налоги!$AB$25:$AB$101,$G390)</f>
        <v>0</v>
      </c>
      <c r="AU390" s="1114">
        <f>_xlfn.SUMIFS(Налоги!AT$25:AT$101,Налоги!$F$25:$F$101,$F390,Налоги!$AB$25:$AB$101,$G390)</f>
        <v>0</v>
      </c>
      <c r="AV390" s="1114">
        <f>_xlfn.SUMIFS(Налоги!AU$25:AU$101,Налоги!$F$25:$F$101,$F390,Налоги!$AB$25:$AB$101,$G390)</f>
        <v>14.66</v>
      </c>
      <c r="AW390" s="1114">
        <f>_xlfn.SUMIFS(Налоги!AV$25:AV$101,Налоги!$F$25:$F$101,$F390,Налоги!$AB$25:$AB$101,$G390)</f>
        <v>81.08</v>
      </c>
      <c r="AX390" s="1114">
        <f>_xlfn.SUMIFS(Налоги!AW$25:AW$101,Налоги!$F$25:$F$101,$F390,Налоги!$AB$25:$AB$101,$G390)</f>
        <v>51.76</v>
      </c>
      <c r="AY390" s="1114">
        <f>_xlfn.SUMIFS(Налоги!AX$25:AX$101,Налоги!$F$25:$F$101,$F390,Налоги!$AB$25:$AB$101,$G390)</f>
        <v>0</v>
      </c>
      <c r="AZ390" s="1114">
        <f>_xlfn.SUMIFS(Налоги!AY$25:AY$101,Налоги!$F$25:$F$101,$F390,Налоги!$AB$25:$AB$101,$G390)</f>
        <v>0</v>
      </c>
      <c r="BA390" s="1114">
        <f>_xlfn.SUMIFS(Налоги!AZ$25:AZ$101,Налоги!$F$25:$F$101,$F390,Налоги!$AB$25:$AB$101,$G390)</f>
        <v>0</v>
      </c>
      <c r="BB390" s="1114">
        <f>_xlfn.SUMIFS(Налоги!BA$25:BA$101,Налоги!$F$25:$F$101,$F390,Налоги!$AB$25:$AB$101,$G390)</f>
        <v>0</v>
      </c>
      <c r="BC390" s="1114">
        <f>_xlfn.SUMIFS(Налоги!BB$25:BB$101,Налоги!$F$25:$F$101,$F390,Налоги!$AB$25:$AB$101,$G390)</f>
        <v>0</v>
      </c>
      <c r="BD390" s="1114">
        <f>IF(AI390=0,0,(AT390-AI390)/AI390*100)</f>
        <v>0</v>
      </c>
      <c r="BE390" s="1114">
        <f>IF(AT390=0,0,(AU390-AT390)/AT390*100)</f>
        <v>0</v>
      </c>
      <c r="BF390" s="1114">
        <f>IF(AU390=0,0,(AV390-AU390)/AU390*100)</f>
        <v>0</v>
      </c>
      <c r="BG390" s="1114">
        <f>IF(AV390=0,0,(AW390-AV390)/AV390*100)</f>
        <v>453.069577080491</v>
      </c>
      <c r="BH390" s="1114">
        <f>IF(AW390=0,0,(AX390-AW390)/AW390*100)</f>
        <v>-36.1618154908732</v>
      </c>
      <c r="BI390" s="1114">
        <f>IF(AX390=0,0,(AY390-AX390)/AX390*100)</f>
        <v>-100</v>
      </c>
      <c r="BJ390" s="1114">
        <f>IF(AY390=0,0,(AZ390-AY390)/AY390*100)</f>
        <v>0</v>
      </c>
      <c r="BK390" s="1114">
        <f>IF(AZ390=0,0,(BA390-AZ390)/AZ390*100)</f>
        <v>0</v>
      </c>
      <c r="BL390" s="1114">
        <f>IF(BA390=0,0,(BB390-BA390)/BA390*100)</f>
        <v>0</v>
      </c>
      <c r="BM390" s="1114">
        <f>IF(BB390=0,0,(BC390-BB390)/BB390*100)</f>
        <v>0</v>
      </c>
      <c r="BN390" s="7433"/>
      <c r="BO390" s="7437" t="s">
        <v>2928</v>
      </c>
      <c r="BP390" s="7433"/>
      <c r="BQ390" s="1278"/>
      <c r="BR390" s="1278"/>
      <c r="BS390" s="1064" t="s">
        <v>2802</v>
      </c>
      <c r="BT390" s="1064"/>
      <c r="BU390" s="1064"/>
      <c r="BV390" s="979"/>
      <c r="BW390" s="979"/>
    </row>
    <row s="1834" customFormat="1" customHeight="1" ht="0">
      <c r="A391" s="1278"/>
      <c r="B391" s="978"/>
      <c r="C391" s="107"/>
      <c r="D391" s="107"/>
      <c r="E391" s="621">
        <v>67.5</v>
      </c>
      <c r="F391" s="50" cm="1" t="str">
        <f t="array" ref="F391:F391">OFFSET(E391,-1,1)</f>
        <v>2</v>
      </c>
      <c r="G391" s="107" t="s">
        <v>2178</v>
      </c>
      <c r="H391" s="107"/>
      <c r="I391" s="107" t="s">
        <v>1650</v>
      </c>
      <c r="J391" s="107"/>
      <c r="K391" s="158" t="s">
        <v>1650</v>
      </c>
      <c r="L391" s="980"/>
      <c r="M391" s="107"/>
      <c r="N391" s="107"/>
      <c r="O391" s="107"/>
      <c r="P391" s="107"/>
      <c r="Q391" s="107"/>
      <c r="R391" s="107"/>
      <c r="S391" s="107"/>
      <c r="T391" s="465" cm="1" t="str">
        <f t="array" ref="T391:T391">T390</f>
        <v>true</v>
      </c>
      <c r="U391" s="107"/>
      <c r="V391" s="107"/>
      <c r="W391" s="107"/>
      <c r="X391" s="1596"/>
      <c r="Y391" s="1278"/>
      <c r="Z391" s="1546"/>
      <c r="AA391" s="1278"/>
      <c r="AB391" s="300" t="s">
        <v>1651</v>
      </c>
      <c r="AC391" s="782" t="s">
        <v>2181</v>
      </c>
      <c r="AD391" s="300" t="s">
        <v>1514</v>
      </c>
      <c r="AE391" s="4750"/>
      <c r="AF391" s="4750"/>
      <c r="AG391" s="4750"/>
      <c r="AH391" s="1114">
        <f>AG391-AF391</f>
        <v>0</v>
      </c>
      <c r="AI391" s="4750"/>
      <c r="AJ391" s="4750"/>
      <c r="AK391" s="4750"/>
      <c r="AL391" s="4750"/>
      <c r="AM391" s="4750"/>
      <c r="AN391" s="4750"/>
      <c r="AO391" s="1244"/>
      <c r="AP391" s="1244"/>
      <c r="AQ391" s="1244"/>
      <c r="AR391" s="1244"/>
      <c r="AS391" s="1244"/>
      <c r="AT391" s="4750"/>
      <c r="AU391" s="4750"/>
      <c r="AV391" s="4750"/>
      <c r="AW391" s="4750"/>
      <c r="AX391" s="4750"/>
      <c r="AY391" s="1244"/>
      <c r="AZ391" s="1244"/>
      <c r="BA391" s="1244"/>
      <c r="BB391" s="1244"/>
      <c r="BC391" s="1244"/>
      <c r="BD391" s="1114">
        <f>IF(AI391=0,0,(AT391-AI391)/AI391*100)</f>
        <v>0</v>
      </c>
      <c r="BE391" s="1114">
        <f>IF(AT391=0,0,(AU391-AT391)/AT391*100)</f>
        <v>0</v>
      </c>
      <c r="BF391" s="1114">
        <f>IF(AU391=0,0,(AV391-AU391)/AU391*100)</f>
        <v>0</v>
      </c>
      <c r="BG391" s="1114">
        <f>IF(AV391=0,0,(AW391-AV391)/AV391*100)</f>
        <v>0</v>
      </c>
      <c r="BH391" s="1114">
        <f>IF(AW391=0,0,(AX391-AW391)/AW391*100)</f>
        <v>0</v>
      </c>
      <c r="BI391" s="1114">
        <f>IF(AX391=0,0,(AY391-AX391)/AX391*100)</f>
        <v>0</v>
      </c>
      <c r="BJ391" s="1114">
        <f>IF(AY391=0,0,(AZ391-AY391)/AY391*100)</f>
        <v>0</v>
      </c>
      <c r="BK391" s="1114">
        <f>IF(AZ391=0,0,(BA391-AZ391)/AZ391*100)</f>
        <v>0</v>
      </c>
      <c r="BL391" s="1114">
        <f>IF(BA391=0,0,(BB391-BA391)/BA391*100)</f>
        <v>0</v>
      </c>
      <c r="BM391" s="1114">
        <f>IF(BB391=0,0,(BC391-BB391)/BB391*100)</f>
        <v>0</v>
      </c>
      <c r="BN391" s="7433"/>
      <c r="BO391" s="7433"/>
      <c r="BP391" s="7433"/>
      <c r="BQ391" s="1278"/>
      <c r="BR391" s="1278"/>
      <c r="BS391" s="1064" t="s">
        <v>2803</v>
      </c>
      <c r="BT391" s="1064"/>
      <c r="BU391" s="1064"/>
      <c r="BV391" s="979"/>
      <c r="BW391" s="979"/>
    </row>
    <row s="1834" customFormat="1" customHeight="1" ht="44.25">
      <c r="A392" s="1278"/>
      <c r="B392" s="978"/>
      <c r="C392" s="107"/>
      <c r="D392" s="107"/>
      <c r="E392" s="621">
        <v>15</v>
      </c>
      <c r="F392" s="50" cm="1" t="str">
        <f t="array" ref="F392:F392">OFFSET(E392,-1,1)</f>
        <v>2</v>
      </c>
      <c r="G392" s="107" t="s">
        <v>1730</v>
      </c>
      <c r="H392" s="107"/>
      <c r="I392" s="107" t="s">
        <v>1653</v>
      </c>
      <c r="J392" s="107"/>
      <c r="K392" s="158" t="s">
        <v>1653</v>
      </c>
      <c r="L392" s="980" t="s">
        <v>1225</v>
      </c>
      <c r="M392" s="107"/>
      <c r="N392" s="107"/>
      <c r="O392" s="107"/>
      <c r="P392" s="107"/>
      <c r="Q392" s="107"/>
      <c r="R392" s="107"/>
      <c r="S392" s="107"/>
      <c r="T392" s="465" cm="1" t="str">
        <f t="array" ref="T392:T392">T391</f>
        <v>true</v>
      </c>
      <c r="U392" s="107"/>
      <c r="V392" s="107"/>
      <c r="W392" s="107"/>
      <c r="X392" s="1596"/>
      <c r="Y392" s="1278"/>
      <c r="Z392" s="1546"/>
      <c r="AA392" s="1278"/>
      <c r="AB392" s="300" t="s">
        <v>1654</v>
      </c>
      <c r="AC392" s="762" t="s">
        <v>1730</v>
      </c>
      <c r="AD392" s="300" t="s">
        <v>1514</v>
      </c>
      <c r="AE392" s="1114">
        <f>_xlfn.SUMIFS(Аренда!AE$25:AE$77,Аренда!$F$25:$F$77,$F392,Аренда!$G$25:$G$77,"Арендная и концессионная плата, лизинговые платежи")</f>
        <v>0</v>
      </c>
      <c r="AF392" s="1114">
        <f>_xlfn.SUMIFS(Аренда!AF$25:AF$77,Аренда!$F$25:$F$77,$F392,Аренда!$G$25:$G$77,"Арендная и концессионная плата, лизинговые платежи")</f>
        <v>0</v>
      </c>
      <c r="AG392" s="1114">
        <f>_xlfn.SUMIFS(Аренда!AG$25:AG$77,Аренда!$F$25:$F$77,$F392,Аренда!$G$25:$G$77,"Арендная и концессионная плата, лизинговые платежи")</f>
        <v>0</v>
      </c>
      <c r="AH392" s="1114">
        <f>AG392-AF392</f>
        <v>0</v>
      </c>
      <c r="AI392" s="1114">
        <f>_xlfn.SUMIFS(Аренда!AH$25:AH$77,Аренда!$F$25:$F$77,$F392,Аренда!$G$25:$G$77,"Арендная и концессионная плата, лизинговые платежи")</f>
        <v>0</v>
      </c>
      <c r="AJ392" s="1114">
        <f>_xlfn.SUMIFS(Аренда!AI$25:AI$77,Аренда!$F$25:$F$77,$F392,Аренда!$G$25:$G$77,"Арендная и концессионная плата, лизинговые платежи")</f>
        <v>15.89</v>
      </c>
      <c r="AK392" s="1114">
        <f>_xlfn.SUMIFS(Аренда!AJ$25:AJ$77,Аренда!$F$25:$F$77,$F392,Аренда!$G$25:$G$77,"Арендная и концессионная плата, лизинговые платежи")</f>
        <v>15.89</v>
      </c>
      <c r="AL392" s="1114">
        <f>_xlfn.SUMIFS(Аренда!AK$25:AK$77,Аренда!$F$25:$F$77,$F392,Аренда!$G$25:$G$77,"Арендная и концессионная плата, лизинговые платежи")</f>
        <v>15.89</v>
      </c>
      <c r="AM392" s="1114">
        <f>_xlfn.SUMIFS(Аренда!AL$25:AL$77,Аренда!$F$25:$F$77,$F392,Аренда!$G$25:$G$77,"Арендная и концессионная плата, лизинговые платежи")</f>
        <v>15.89</v>
      </c>
      <c r="AN392" s="1114">
        <f>_xlfn.SUMIFS(Аренда!AM$25:AM$77,Аренда!$F$25:$F$77,$F392,Аренда!$G$25:$G$77,"Арендная и концессионная плата, лизинговые платежи")</f>
        <v>15.89</v>
      </c>
      <c r="AO392" s="1114">
        <f>_xlfn.SUMIFS(Аренда!AN$25:AN$77,Аренда!$F$25:$F$77,$F392,Аренда!$G$25:$G$77,"Арендная и концессионная плата, лизинговые платежи")</f>
        <v>0</v>
      </c>
      <c r="AP392" s="1114">
        <f>_xlfn.SUMIFS(Аренда!AO$25:AO$77,Аренда!$F$25:$F$77,$F392,Аренда!$G$25:$G$77,"Арендная и концессионная плата, лизинговые платежи")</f>
        <v>0</v>
      </c>
      <c r="AQ392" s="1114">
        <f>_xlfn.SUMIFS(Аренда!AP$25:AP$77,Аренда!$F$25:$F$77,$F392,Аренда!$G$25:$G$77,"Арендная и концессионная плата, лизинговые платежи")</f>
        <v>0</v>
      </c>
      <c r="AR392" s="1114">
        <f>_xlfn.SUMIFS(Аренда!AQ$25:AQ$77,Аренда!$F$25:$F$77,$F392,Аренда!$G$25:$G$77,"Арендная и концессионная плата, лизинговые платежи")</f>
        <v>0</v>
      </c>
      <c r="AS392" s="1114">
        <f>_xlfn.SUMIFS(Аренда!AR$25:AR$77,Аренда!$F$25:$F$77,$F392,Аренда!$G$25:$G$77,"Арендная и концессионная плата, лизинговые платежи")</f>
        <v>0</v>
      </c>
      <c r="AT392" s="1114">
        <f>_xlfn.SUMIFS(Аренда!AS$25:AS$77,Аренда!$F$25:$F$77,$F392,Аренда!$G$25:$G$77,"Арендная и концессионная плата, лизинговые платежи")</f>
        <v>15.89</v>
      </c>
      <c r="AU392" s="1114">
        <f>_xlfn.SUMIFS(Аренда!AT$25:AT$77,Аренда!$F$25:$F$77,$F392,Аренда!$G$25:$G$77,"Арендная и концессионная плата, лизинговые платежи")</f>
        <v>15.89</v>
      </c>
      <c r="AV392" s="1114">
        <f>_xlfn.SUMIFS(Аренда!AU$25:AU$77,Аренда!$F$25:$F$77,$F392,Аренда!$G$25:$G$77,"Арендная и концессионная плата, лизинговые платежи")</f>
        <v>15.89</v>
      </c>
      <c r="AW392" s="1114">
        <f>_xlfn.SUMIFS(Аренда!AV$25:AV$77,Аренда!$F$25:$F$77,$F392,Аренда!$G$25:$G$77,"Арендная и концессионная плата, лизинговые платежи")</f>
        <v>15.89</v>
      </c>
      <c r="AX392" s="1114">
        <f>_xlfn.SUMIFS(Аренда!AW$25:AW$77,Аренда!$F$25:$F$77,$F392,Аренда!$G$25:$G$77,"Арендная и концессионная плата, лизинговые платежи")</f>
        <v>15.89</v>
      </c>
      <c r="AY392" s="1114">
        <f>_xlfn.SUMIFS(Аренда!AX$25:AX$77,Аренда!$F$25:$F$77,$F392,Аренда!$G$25:$G$77,"Арендная и концессионная плата, лизинговые платежи")</f>
        <v>0</v>
      </c>
      <c r="AZ392" s="1114">
        <f>_xlfn.SUMIFS(Аренда!AY$25:AY$77,Аренда!$F$25:$F$77,$F392,Аренда!$G$25:$G$77,"Арендная и концессионная плата, лизинговые платежи")</f>
        <v>0</v>
      </c>
      <c r="BA392" s="1114">
        <f>_xlfn.SUMIFS(Аренда!AZ$25:AZ$77,Аренда!$F$25:$F$77,$F392,Аренда!$G$25:$G$77,"Арендная и концессионная плата, лизинговые платежи")</f>
        <v>0</v>
      </c>
      <c r="BB392" s="1114">
        <f>_xlfn.SUMIFS(Аренда!BA$25:BA$77,Аренда!$F$25:$F$77,$F392,Аренда!$G$25:$G$77,"Арендная и концессионная плата, лизинговые платежи")</f>
        <v>0</v>
      </c>
      <c r="BC392" s="1114">
        <f>_xlfn.SUMIFS(Аренда!BB$25:BB$77,Аренда!$F$25:$F$77,$F392,Аренда!$G$25:$G$77,"Арендная и концессионная плата, лизинговые платежи")</f>
        <v>0</v>
      </c>
      <c r="BD392" s="1114">
        <f>IF(AI392=0,0,(AT392-AI392)/AI392*100)</f>
        <v>0</v>
      </c>
      <c r="BE392" s="1114">
        <f>IF(AT392=0,0,(AU392-AT392)/AT392*100)</f>
        <v>0</v>
      </c>
      <c r="BF392" s="1114">
        <f>IF(AU392=0,0,(AV392-AU392)/AU392*100)</f>
        <v>0</v>
      </c>
      <c r="BG392" s="1114">
        <f>IF(AV392=0,0,(AW392-AV392)/AV392*100)</f>
        <v>0</v>
      </c>
      <c r="BH392" s="1114">
        <f>IF(AW392=0,0,(AX392-AW392)/AW392*100)</f>
        <v>0</v>
      </c>
      <c r="BI392" s="1114">
        <f>IF(AX392=0,0,(AY392-AX392)/AX392*100)</f>
        <v>-100</v>
      </c>
      <c r="BJ392" s="1114">
        <f>IF(AY392=0,0,(AZ392-AY392)/AY392*100)</f>
        <v>0</v>
      </c>
      <c r="BK392" s="1114">
        <f>IF(AZ392=0,0,(BA392-AZ392)/AZ392*100)</f>
        <v>0</v>
      </c>
      <c r="BL392" s="1114">
        <f>IF(BA392=0,0,(BB392-BA392)/BA392*100)</f>
        <v>0</v>
      </c>
      <c r="BM392" s="1114">
        <f>IF(BB392=0,0,(BC392-BB392)/BB392*100)</f>
        <v>0</v>
      </c>
      <c r="BN392" s="7433"/>
      <c r="BO392" s="7487" t="s">
        <v>2929</v>
      </c>
      <c r="BP392" s="7433"/>
      <c r="BQ392" s="1278"/>
      <c r="BR392" s="1278"/>
      <c r="BS392" s="1064" t="s">
        <v>2804</v>
      </c>
      <c r="BT392" s="1064"/>
      <c r="BU392" s="1064"/>
      <c r="BV392" s="979"/>
      <c r="BW392" s="979"/>
    </row>
    <row s="1834" customFormat="1" customHeight="1" ht="0">
      <c r="A393" s="1278"/>
      <c r="B393" s="432">
        <f>STATUS_GO="да"</f>
        <v>1</v>
      </c>
      <c r="C393" s="107"/>
      <c r="D393" s="107"/>
      <c r="E393" s="621">
        <v>15</v>
      </c>
      <c r="F393" s="50" cm="1" t="str">
        <f t="array" ref="F393:F393">OFFSET(E393,-1,1)</f>
        <v>2</v>
      </c>
      <c r="G393" s="107"/>
      <c r="H393" s="107"/>
      <c r="I393" s="107" t="s">
        <v>2805</v>
      </c>
      <c r="J393" s="107"/>
      <c r="K393" s="158" t="s">
        <v>2805</v>
      </c>
      <c r="L393" s="980"/>
      <c r="M393" s="107"/>
      <c r="N393" s="107"/>
      <c r="O393" s="107"/>
      <c r="P393" s="107"/>
      <c r="Q393" s="107"/>
      <c r="R393" s="107"/>
      <c r="S393" s="107"/>
      <c r="T393" s="465" cm="1" t="str">
        <f t="array" ref="T393:T393">T392</f>
        <v>true</v>
      </c>
      <c r="U393" s="107"/>
      <c r="V393" s="107"/>
      <c r="W393" s="107"/>
      <c r="X393" s="1596"/>
      <c r="Y393" s="1278"/>
      <c r="Z393" s="1546"/>
      <c r="AA393" s="1278"/>
      <c r="AB393" s="300" t="s">
        <v>2245</v>
      </c>
      <c r="AC393" s="762" t="s">
        <v>2806</v>
      </c>
      <c r="AD393" s="300" t="s">
        <v>1514</v>
      </c>
      <c r="AE393" s="3946" cm="1" t="str">
        <f t="array" ref="AE393:AE393">AE394</f>
        <v>0</v>
      </c>
      <c r="AF393" s="3946" cm="1" t="str">
        <f t="array" ref="AF393:AF393">AF394</f>
        <v>0</v>
      </c>
      <c r="AG393" s="3946" cm="1" t="str">
        <f t="array" ref="AG393:AG393">AG394</f>
        <v>0</v>
      </c>
      <c r="AH393" s="1114">
        <f>AG393-AF393</f>
        <v>0</v>
      </c>
      <c r="AI393" s="3946" cm="1" t="str">
        <f t="array" ref="AI393:AI393">AI394</f>
        <v>0</v>
      </c>
      <c r="AJ393" s="3946" cm="1" t="str">
        <f t="array" ref="AJ393:AJ393">AJ394</f>
        <v>0</v>
      </c>
      <c r="AK393" s="3946" cm="1" t="str">
        <f t="array" ref="AK393:AK393">AK394</f>
        <v>0</v>
      </c>
      <c r="AL393" s="3946" cm="1" t="str">
        <f t="array" ref="AL393:AL393">AL394</f>
        <v>0</v>
      </c>
      <c r="AM393" s="3946" cm="1" t="str">
        <f t="array" ref="AM393:AM393">AM394</f>
        <v>0</v>
      </c>
      <c r="AN393" s="3946" cm="1" t="str">
        <f t="array" ref="AN393:AN393">AN394</f>
        <v>0</v>
      </c>
      <c r="AO393" s="1241" cm="1" t="str">
        <f t="array" ref="AO393:AO393">AO394</f>
        <v>0</v>
      </c>
      <c r="AP393" s="1241" cm="1" t="str">
        <f t="array" ref="AP393:AP393">AP394</f>
        <v>0</v>
      </c>
      <c r="AQ393" s="1241" cm="1" t="str">
        <f t="array" ref="AQ393:AQ393">AQ394</f>
        <v>0</v>
      </c>
      <c r="AR393" s="1241" cm="1" t="str">
        <f t="array" ref="AR393:AR393">AR394</f>
        <v>0</v>
      </c>
      <c r="AS393" s="1241" cm="1" t="str">
        <f t="array" ref="AS393:AS393">AS394</f>
        <v>0</v>
      </c>
      <c r="AT393" s="3946" cm="1" t="str">
        <f t="array" ref="AT393:AT393">AT394</f>
        <v>0</v>
      </c>
      <c r="AU393" s="3946" cm="1" t="str">
        <f t="array" ref="AU393:AU393">AU394</f>
        <v>0</v>
      </c>
      <c r="AV393" s="3946" cm="1" t="str">
        <f t="array" ref="AV393:AV393">AV394</f>
        <v>0</v>
      </c>
      <c r="AW393" s="3946" cm="1" t="str">
        <f t="array" ref="AW393:AW393">AW394</f>
        <v>0</v>
      </c>
      <c r="AX393" s="3946" cm="1" t="str">
        <f t="array" ref="AX393:AX393">AX394</f>
        <v>0</v>
      </c>
      <c r="AY393" s="1241" cm="1" t="str">
        <f t="array" ref="AY393:AY393">AY394</f>
        <v>0</v>
      </c>
      <c r="AZ393" s="1241" cm="1" t="str">
        <f t="array" ref="AZ393:AZ393">AZ394</f>
        <v>0</v>
      </c>
      <c r="BA393" s="1241" cm="1" t="str">
        <f t="array" ref="BA393:BA393">BA394</f>
        <v>0</v>
      </c>
      <c r="BB393" s="1241" cm="1" t="str">
        <f t="array" ref="BB393:BB393">BB394</f>
        <v>0</v>
      </c>
      <c r="BC393" s="1241" cm="1" t="str">
        <f t="array" ref="BC393:BC393">BC394</f>
        <v>0</v>
      </c>
      <c r="BD393" s="1114">
        <f>IF(AI393=0,0,(AT393-AI393)/AI393*100)</f>
        <v>0</v>
      </c>
      <c r="BE393" s="1114">
        <f>IF(AT393=0,0,(AU393-AT393)/AT393*100)</f>
        <v>0</v>
      </c>
      <c r="BF393" s="1114">
        <f>IF(AU393=0,0,(AV393-AU393)/AU393*100)</f>
        <v>0</v>
      </c>
      <c r="BG393" s="1114">
        <f>IF(AV393=0,0,(AW393-AV393)/AV393*100)</f>
        <v>0</v>
      </c>
      <c r="BH393" s="1114">
        <f>IF(AW393=0,0,(AX393-AW393)/AW393*100)</f>
        <v>0</v>
      </c>
      <c r="BI393" s="1114">
        <f>IF(AX393=0,0,(AY393-AX393)/AX393*100)</f>
        <v>0</v>
      </c>
      <c r="BJ393" s="1114">
        <f>IF(AY393=0,0,(AZ393-AY393)/AY393*100)</f>
        <v>0</v>
      </c>
      <c r="BK393" s="1114">
        <f>IF(AZ393=0,0,(BA393-AZ393)/AZ393*100)</f>
        <v>0</v>
      </c>
      <c r="BL393" s="1114">
        <f>IF(BA393=0,0,(BB393-BA393)/BA393*100)</f>
        <v>0</v>
      </c>
      <c r="BM393" s="1114">
        <f>IF(BB393=0,0,(BC393-BB393)/BB393*100)</f>
        <v>0</v>
      </c>
      <c r="BN393" s="7433"/>
      <c r="BO393" s="7433"/>
      <c r="BP393" s="7433"/>
      <c r="BQ393" s="1278"/>
      <c r="BR393" s="1278"/>
      <c r="BS393" s="1064" t="s">
        <v>2807</v>
      </c>
      <c r="BT393" s="1064"/>
      <c r="BU393" s="1064"/>
      <c r="BV393" s="979"/>
      <c r="BW393" s="979"/>
    </row>
    <row s="1834" customFormat="1" customHeight="1" ht="0">
      <c r="A394" s="1278"/>
      <c r="B394" s="432">
        <f>STATUS_GO="да"</f>
        <v>1</v>
      </c>
      <c r="C394" s="107"/>
      <c r="D394" s="107"/>
      <c r="E394" s="621">
        <v>15</v>
      </c>
      <c r="F394" s="50" cm="1" t="str">
        <f t="array" ref="F394:F394">OFFSET(E394,-1,1)</f>
        <v>2</v>
      </c>
      <c r="G394" s="107" t="s">
        <v>2187</v>
      </c>
      <c r="H394" s="107"/>
      <c r="I394" s="107" t="s">
        <v>2808</v>
      </c>
      <c r="J394" s="107"/>
      <c r="K394" s="158" t="s">
        <v>2808</v>
      </c>
      <c r="L394" s="980"/>
      <c r="M394" s="107"/>
      <c r="N394" s="107"/>
      <c r="O394" s="107"/>
      <c r="P394" s="107"/>
      <c r="Q394" s="107"/>
      <c r="R394" s="107"/>
      <c r="S394" s="107"/>
      <c r="T394" s="465" cm="1" t="str">
        <f t="array" ref="T394:T394">T393</f>
        <v>true</v>
      </c>
      <c r="U394" s="107"/>
      <c r="V394" s="107"/>
      <c r="W394" s="107"/>
      <c r="X394" s="1596"/>
      <c r="Y394" s="1278"/>
      <c r="Z394" s="1546"/>
      <c r="AA394" s="1278"/>
      <c r="AB394" s="300" t="s">
        <v>2809</v>
      </c>
      <c r="AC394" s="765" t="s">
        <v>2187</v>
      </c>
      <c r="AD394" s="300" t="s">
        <v>1514</v>
      </c>
      <c r="AE394" s="1114">
        <f>_xlfn.SUMIFS('Сбытовые расходы ГО'!AE$25:AE$87,'Сбытовые расходы ГО'!$F$25:$F$87,$F394,'Сбытовые расходы ГО'!$G$25:$G$87,"l1")</f>
        <v>0</v>
      </c>
      <c r="AF394" s="1114">
        <f>_xlfn.SUMIFS('Сбытовые расходы ГО'!AF$25:AF$87,'Сбытовые расходы ГО'!$F$25:$F$87,$F394,'Сбытовые расходы ГО'!$G$25:$G$87,"l1")</f>
        <v>0</v>
      </c>
      <c r="AG394" s="1114">
        <f>_xlfn.SUMIFS('Сбытовые расходы ГО'!AG$25:AG$87,'Сбытовые расходы ГО'!$F$25:$F$87,$F394,'Сбытовые расходы ГО'!$G$25:$G$87,"l1")</f>
        <v>0</v>
      </c>
      <c r="AH394" s="1114">
        <f>AG394-AF394</f>
        <v>0</v>
      </c>
      <c r="AI394" s="1114">
        <f>_xlfn.SUMIFS('Сбытовые расходы ГО'!AH$25:AH$87,'Сбытовые расходы ГО'!$F$25:$F$87,$F394,'Сбытовые расходы ГО'!$G$25:$G$87,"l1")</f>
        <v>0</v>
      </c>
      <c r="AJ394" s="1114">
        <f>_xlfn.SUMIFS('Сбытовые расходы ГО'!AI$25:AI$87,'Сбытовые расходы ГО'!$F$25:$F$87,$F394,'Сбытовые расходы ГО'!$G$25:$G$87,"l1")</f>
        <v>0</v>
      </c>
      <c r="AK394" s="3946"/>
      <c r="AL394" s="3946"/>
      <c r="AM394" s="3946"/>
      <c r="AN394" s="3946"/>
      <c r="AO394" s="1241"/>
      <c r="AP394" s="1241"/>
      <c r="AQ394" s="1241"/>
      <c r="AR394" s="1241"/>
      <c r="AS394" s="1241"/>
      <c r="AT394" s="1114">
        <f>_xlfn.SUMIFS('Сбытовые расходы ГО'!AJ$25:AJ$87,'Сбытовые расходы ГО'!$F$25:$F$87,$F394,'Сбытовые расходы ГО'!$G$25:$G$87,"l1")</f>
        <v>0</v>
      </c>
      <c r="AU394" s="3946"/>
      <c r="AV394" s="3946"/>
      <c r="AW394" s="3946"/>
      <c r="AX394" s="3946"/>
      <c r="AY394" s="1241"/>
      <c r="AZ394" s="1241"/>
      <c r="BA394" s="1241"/>
      <c r="BB394" s="1241"/>
      <c r="BC394" s="1241"/>
      <c r="BD394" s="1114">
        <f>IF(AI394=0,0,(AT394-AI394)/AI394*100)</f>
        <v>0</v>
      </c>
      <c r="BE394" s="1114">
        <f>IF(AT394=0,0,(AU394-AT394)/AT394*100)</f>
        <v>0</v>
      </c>
      <c r="BF394" s="1114">
        <f>IF(AU394=0,0,(AV394-AU394)/AU394*100)</f>
        <v>0</v>
      </c>
      <c r="BG394" s="1114">
        <f>IF(AV394=0,0,(AW394-AV394)/AV394*100)</f>
        <v>0</v>
      </c>
      <c r="BH394" s="1114">
        <f>IF(AW394=0,0,(AX394-AW394)/AW394*100)</f>
        <v>0</v>
      </c>
      <c r="BI394" s="1114">
        <f>IF(AX394=0,0,(AY394-AX394)/AX394*100)</f>
        <v>0</v>
      </c>
      <c r="BJ394" s="1114">
        <f>IF(AY394=0,0,(AZ394-AY394)/AY394*100)</f>
        <v>0</v>
      </c>
      <c r="BK394" s="1114">
        <f>IF(AZ394=0,0,(BA394-AZ394)/AZ394*100)</f>
        <v>0</v>
      </c>
      <c r="BL394" s="1114">
        <f>IF(BA394=0,0,(BB394-BA394)/BA394*100)</f>
        <v>0</v>
      </c>
      <c r="BM394" s="1114">
        <f>IF(BB394=0,0,(BC394-BB394)/BB394*100)</f>
        <v>0</v>
      </c>
      <c r="BN394" s="7433"/>
      <c r="BO394" s="7487" t="str">
        <f>IF(_xlfn.IFERROR(INDEX('Сбытовые расходы ГО'!$K$26:$M$87,MATCH($F394&amp;"komm",'Сбытовые расходы ГО'!$K$26:$K$87,0),2),"")=0,"",_xlfn.IFERROR(INDEX('Сбытовые расходы ГО'!$K$26:$M$87,MATCH($F394&amp;"komm",'Сбытовые расходы ГО'!$K$26:$K$87,0),2),""))</f>
        <v/>
      </c>
      <c r="BP394" s="7433"/>
      <c r="BQ394" s="1278"/>
      <c r="BR394" s="1278"/>
      <c r="BS394" s="1064" t="s">
        <v>2810</v>
      </c>
      <c r="BT394" s="1064"/>
      <c r="BU394" s="1064"/>
      <c r="BV394" s="979"/>
      <c r="BW394" s="979"/>
    </row>
    <row s="1834" customFormat="1" customHeight="1" ht="0">
      <c r="A395" s="1278"/>
      <c r="B395" s="978"/>
      <c r="C395" s="107"/>
      <c r="D395" s="107"/>
      <c r="E395" s="621">
        <v>15</v>
      </c>
      <c r="F395" s="50" cm="1" t="str">
        <f t="array" ref="F395:F395">OFFSET(E395,-1,1)</f>
        <v>2</v>
      </c>
      <c r="G395" s="107" t="s">
        <v>2192</v>
      </c>
      <c r="H395" s="107"/>
      <c r="I395" s="107" t="s">
        <v>2811</v>
      </c>
      <c r="J395" s="107"/>
      <c r="K395" s="158" t="s">
        <v>2811</v>
      </c>
      <c r="L395" s="980"/>
      <c r="M395" s="107"/>
      <c r="N395" s="107"/>
      <c r="O395" s="107"/>
      <c r="P395" s="107"/>
      <c r="Q395" s="107"/>
      <c r="R395" s="107"/>
      <c r="S395" s="107"/>
      <c r="T395" s="465" cm="1" t="str">
        <f t="array" ref="T395:T395">T394</f>
        <v>true</v>
      </c>
      <c r="U395" s="107"/>
      <c r="V395" s="107"/>
      <c r="W395" s="107"/>
      <c r="X395" s="1596"/>
      <c r="Y395" s="1278"/>
      <c r="Z395" s="1546"/>
      <c r="AA395" s="1278"/>
      <c r="AB395" s="300" t="s">
        <v>2250</v>
      </c>
      <c r="AC395" s="762" t="s">
        <v>2192</v>
      </c>
      <c r="AD395" s="300" t="s">
        <v>1514</v>
      </c>
      <c r="AE395" s="3946"/>
      <c r="AF395" s="3946"/>
      <c r="AG395" s="3946"/>
      <c r="AH395" s="1114">
        <f>AG395-AF395</f>
        <v>0</v>
      </c>
      <c r="AI395" s="3946"/>
      <c r="AJ395" s="3946">
        <f>_xlfn.SUMIFS(Экономия_корр!AE$25:AE$67,Экономия_корр!$F$25:$F$67,$F395,Экономия_корр!$AC$25:$AC$67,"Экономия расходов с учетом ИПЦ")</f>
        <v>0</v>
      </c>
      <c r="AK395" s="3946">
        <f>_xlfn.SUMIFS(Экономия_корр!AF$25:AF$67,Экономия_корр!$F$25:$F$67,$F395,Экономия_корр!$AC$25:$AC$67,"Экономия расходов с учетом ИПЦ")</f>
        <v>0</v>
      </c>
      <c r="AL395" s="3946">
        <f>_xlfn.SUMIFS(Экономия_корр!AG$25:AG$67,Экономия_корр!$F$25:$F$67,$F395,Экономия_корр!$AC$25:$AC$67,"Экономия расходов с учетом ИПЦ")</f>
        <v>0</v>
      </c>
      <c r="AM395" s="3946">
        <f>_xlfn.SUMIFS(Экономия_корр!AH$25:AH$67,Экономия_корр!$F$25:$F$67,$F395,Экономия_корр!$AC$25:$AC$67,"Экономия расходов с учетом ИПЦ")</f>
        <v>0</v>
      </c>
      <c r="AN395" s="3946">
        <f>_xlfn.SUMIFS(Экономия_корр!AI$25:AI$67,Экономия_корр!$F$25:$F$67,$F395,Экономия_корр!$AC$25:$AC$67,"Экономия расходов с учетом ИПЦ")</f>
        <v>0</v>
      </c>
      <c r="AO395" s="1241">
        <f>_xlfn.SUMIFS(Экономия_корр!AJ$25:AJ$67,Экономия_корр!$F$25:$F$67,$F395,Экономия_корр!$AC$25:$AC$67,"Экономия расходов с учетом ИПЦ")</f>
        <v>0</v>
      </c>
      <c r="AP395" s="1241">
        <f>_xlfn.SUMIFS(Экономия_корр!AK$25:AK$67,Экономия_корр!$F$25:$F$67,$F395,Экономия_корр!$AC$25:$AC$67,"Экономия расходов с учетом ИПЦ")</f>
        <v>0</v>
      </c>
      <c r="AQ395" s="1241">
        <f>_xlfn.SUMIFS(Экономия_корр!AL$25:AL$67,Экономия_корр!$F$25:$F$67,$F395,Экономия_корр!$AC$25:$AC$67,"Экономия расходов с учетом ИПЦ")</f>
        <v>0</v>
      </c>
      <c r="AR395" s="1241">
        <f>_xlfn.SUMIFS(Экономия_корр!AM$25:AM$67,Экономия_корр!$F$25:$F$67,$F395,Экономия_корр!$AC$25:$AC$67,"Экономия расходов с учетом ИПЦ")</f>
        <v>0</v>
      </c>
      <c r="AS395" s="1241">
        <f>_xlfn.SUMIFS(Экономия_корр!AN$25:AN$67,Экономия_корр!$F$25:$F$67,$F395,Экономия_корр!$AC$25:$AC$67,"Экономия расходов с учетом ИПЦ")</f>
        <v>0</v>
      </c>
      <c r="AT395" s="3946">
        <f>_xlfn.SUMIFS(Экономия_корр!AO$25:AO$67,Экономия_корр!$F$25:$F$67,$F395,Экономия_корр!$AC$25:$AC$67,"Экономия расходов с учетом ИПЦ")</f>
        <v>0</v>
      </c>
      <c r="AU395" s="3946">
        <f>_xlfn.SUMIFS(Экономия_корр!AP$25:AP$67,Экономия_корр!$F$25:$F$67,$F395,Экономия_корр!$AC$25:$AC$67,"Экономия расходов с учетом ИПЦ")</f>
        <v>0</v>
      </c>
      <c r="AV395" s="3946">
        <f>_xlfn.SUMIFS(Экономия_корр!AQ$25:AQ$67,Экономия_корр!$F$25:$F$67,$F395,Экономия_корр!$AC$25:$AC$67,"Экономия расходов с учетом ИПЦ")</f>
        <v>0</v>
      </c>
      <c r="AW395" s="3946">
        <f>_xlfn.SUMIFS(Экономия_корр!AR$25:AR$67,Экономия_корр!$F$25:$F$67,$F395,Экономия_корр!$AC$25:$AC$67,"Экономия расходов с учетом ИПЦ")</f>
        <v>0</v>
      </c>
      <c r="AX395" s="3946">
        <f>_xlfn.SUMIFS(Экономия_корр!AS$25:AS$67,Экономия_корр!$F$25:$F$67,$F395,Экономия_корр!$AC$25:$AC$67,"Экономия расходов с учетом ИПЦ")</f>
        <v>0</v>
      </c>
      <c r="AY395" s="1241">
        <f>_xlfn.SUMIFS(Экономия_корр!AT$25:AT$67,Экономия_корр!$F$25:$F$67,$F395,Экономия_корр!$AC$25:$AC$67,"Экономия расходов с учетом ИПЦ")</f>
        <v>0</v>
      </c>
      <c r="AZ395" s="1241">
        <f>_xlfn.SUMIFS(Экономия_корр!AU$25:AU$67,Экономия_корр!$F$25:$F$67,$F395,Экономия_корр!$AC$25:$AC$67,"Экономия расходов с учетом ИПЦ")</f>
        <v>0</v>
      </c>
      <c r="BA395" s="1241">
        <f>_xlfn.SUMIFS(Экономия_корр!AV$25:AV$67,Экономия_корр!$F$25:$F$67,$F395,Экономия_корр!$AC$25:$AC$67,"Экономия расходов с учетом ИПЦ")</f>
        <v>0</v>
      </c>
      <c r="BB395" s="1241">
        <f>_xlfn.SUMIFS(Экономия_корр!AW$25:AW$67,Экономия_корр!$F$25:$F$67,$F395,Экономия_корр!$AC$25:$AC$67,"Экономия расходов с учетом ИПЦ")</f>
        <v>0</v>
      </c>
      <c r="BC395" s="1241">
        <f>_xlfn.SUMIFS(Экономия_корр!AX$25:AX$67,Экономия_корр!$F$25:$F$67,$F395,Экономия_корр!$AC$25:$AC$67,"Экономия расходов с учетом ИПЦ")</f>
        <v>0</v>
      </c>
      <c r="BD395" s="1114">
        <f>IF(AI395=0,0,(AT395-AI395)/AI395*100)</f>
        <v>0</v>
      </c>
      <c r="BE395" s="1114">
        <f>IF(AT395=0,0,(AU395-AT395)/AT395*100)</f>
        <v>0</v>
      </c>
      <c r="BF395" s="1114">
        <f>IF(AU395=0,0,(AV395-AU395)/AU395*100)</f>
        <v>0</v>
      </c>
      <c r="BG395" s="1114">
        <f>IF(AV395=0,0,(AW395-AV395)/AV395*100)</f>
        <v>0</v>
      </c>
      <c r="BH395" s="1114">
        <f>IF(AW395=0,0,(AX395-AW395)/AW395*100)</f>
        <v>0</v>
      </c>
      <c r="BI395" s="1114">
        <f>IF(AX395=0,0,(AY395-AX395)/AX395*100)</f>
        <v>0</v>
      </c>
      <c r="BJ395" s="1114">
        <f>IF(AY395=0,0,(AZ395-AY395)/AY395*100)</f>
        <v>0</v>
      </c>
      <c r="BK395" s="1114">
        <f>IF(AZ395=0,0,(BA395-AZ395)/AZ395*100)</f>
        <v>0</v>
      </c>
      <c r="BL395" s="1114">
        <f>IF(BA395=0,0,(BB395-BA395)/BA395*100)</f>
        <v>0</v>
      </c>
      <c r="BM395" s="1114">
        <f>IF(BB395=0,0,(BC395-BB395)/BB395*100)</f>
        <v>0</v>
      </c>
      <c r="BN395" s="7433"/>
      <c r="BO395" s="7433"/>
      <c r="BP395" s="7433"/>
      <c r="BQ395" s="1278"/>
      <c r="BR395" s="1278"/>
      <c r="BS395" s="1064" t="s">
        <v>2812</v>
      </c>
      <c r="BT395" s="1064"/>
      <c r="BU395" s="1064"/>
      <c r="BV395" s="979"/>
      <c r="BW395" s="979"/>
    </row>
    <row s="1834" customFormat="1" customHeight="1" ht="0">
      <c r="A396" s="1278"/>
      <c r="B396" s="978"/>
      <c r="C396" s="107"/>
      <c r="D396" s="107"/>
      <c r="E396" s="621">
        <v>15</v>
      </c>
      <c r="F396" s="50" cm="1" t="str">
        <f t="array" ref="F396:F396">OFFSET(E396,-1,1)</f>
        <v>2</v>
      </c>
      <c r="G396" s="107" t="s">
        <v>2197</v>
      </c>
      <c r="H396" s="107"/>
      <c r="I396" s="107" t="s">
        <v>2813</v>
      </c>
      <c r="J396" s="107"/>
      <c r="K396" s="158" t="s">
        <v>2813</v>
      </c>
      <c r="L396" s="980"/>
      <c r="M396" s="107"/>
      <c r="N396" s="107"/>
      <c r="O396" s="107"/>
      <c r="P396" s="107"/>
      <c r="Q396" s="107"/>
      <c r="R396" s="107"/>
      <c r="S396" s="107"/>
      <c r="T396" s="465" cm="1" t="str">
        <f t="array" ref="T396:T396">T395</f>
        <v>true</v>
      </c>
      <c r="U396" s="107"/>
      <c r="V396" s="107"/>
      <c r="W396" s="107"/>
      <c r="X396" s="1596"/>
      <c r="Y396" s="1278"/>
      <c r="Z396" s="1546"/>
      <c r="AA396" s="1278"/>
      <c r="AB396" s="300" t="s">
        <v>2814</v>
      </c>
      <c r="AC396" s="762" t="s">
        <v>2197</v>
      </c>
      <c r="AD396" s="300" t="s">
        <v>1514</v>
      </c>
      <c r="AE396" s="3946"/>
      <c r="AF396" s="3946"/>
      <c r="AG396" s="3946"/>
      <c r="AH396" s="1114">
        <f>AG396-AF396</f>
        <v>0</v>
      </c>
      <c r="AI396" s="3946"/>
      <c r="AJ396" s="3946"/>
      <c r="AK396" s="3946"/>
      <c r="AL396" s="3946"/>
      <c r="AM396" s="3946"/>
      <c r="AN396" s="3946"/>
      <c r="AO396" s="1241"/>
      <c r="AP396" s="1241"/>
      <c r="AQ396" s="1241"/>
      <c r="AR396" s="1241"/>
      <c r="AS396" s="1241"/>
      <c r="AT396" s="3946"/>
      <c r="AU396" s="3946"/>
      <c r="AV396" s="3946"/>
      <c r="AW396" s="3946"/>
      <c r="AX396" s="3946"/>
      <c r="AY396" s="1241"/>
      <c r="AZ396" s="1241"/>
      <c r="BA396" s="1241"/>
      <c r="BB396" s="1241"/>
      <c r="BC396" s="1241"/>
      <c r="BD396" s="1114">
        <f>IF(AI396=0,0,(AT396-AI396)/AI396*100)</f>
        <v>0</v>
      </c>
      <c r="BE396" s="1114">
        <f>IF(AT396=0,0,(AU396-AT396)/AT396*100)</f>
        <v>0</v>
      </c>
      <c r="BF396" s="1114">
        <f>IF(AU396=0,0,(AV396-AU396)/AU396*100)</f>
        <v>0</v>
      </c>
      <c r="BG396" s="1114">
        <f>IF(AV396=0,0,(AW396-AV396)/AV396*100)</f>
        <v>0</v>
      </c>
      <c r="BH396" s="1114">
        <f>IF(AW396=0,0,(AX396-AW396)/AW396*100)</f>
        <v>0</v>
      </c>
      <c r="BI396" s="1114">
        <f>IF(AX396=0,0,(AY396-AX396)/AX396*100)</f>
        <v>0</v>
      </c>
      <c r="BJ396" s="1114">
        <f>IF(AY396=0,0,(AZ396-AY396)/AY396*100)</f>
        <v>0</v>
      </c>
      <c r="BK396" s="1114">
        <f>IF(AZ396=0,0,(BA396-AZ396)/AZ396*100)</f>
        <v>0</v>
      </c>
      <c r="BL396" s="1114">
        <f>IF(BA396=0,0,(BB396-BA396)/BA396*100)</f>
        <v>0</v>
      </c>
      <c r="BM396" s="1114">
        <f>IF(BB396=0,0,(BC396-BB396)/BB396*100)</f>
        <v>0</v>
      </c>
      <c r="BN396" s="7433"/>
      <c r="BO396" s="7433"/>
      <c r="BP396" s="7433"/>
      <c r="BQ396" s="1278"/>
      <c r="BR396" s="1278"/>
      <c r="BS396" s="1064" t="s">
        <v>2551</v>
      </c>
      <c r="BT396" s="1064"/>
      <c r="BU396" s="1064"/>
      <c r="BV396" s="979"/>
      <c r="BW396" s="979"/>
    </row>
    <row s="1834" customFormat="1" customHeight="1" ht="0">
      <c r="A397" s="1278"/>
      <c r="B397" s="978"/>
      <c r="C397" s="107"/>
      <c r="D397" s="107"/>
      <c r="E397" s="621">
        <v>15</v>
      </c>
      <c r="F397" s="50" cm="1" t="str">
        <f t="array" ref="F397:F397">OFFSET(E397,-1,1)</f>
        <v>2</v>
      </c>
      <c r="G397" s="107" t="s">
        <v>2202</v>
      </c>
      <c r="H397" s="107"/>
      <c r="I397" s="107" t="s">
        <v>2815</v>
      </c>
      <c r="J397" s="107"/>
      <c r="K397" s="158" t="s">
        <v>2815</v>
      </c>
      <c r="L397" s="980"/>
      <c r="M397" s="107"/>
      <c r="N397" s="107"/>
      <c r="O397" s="107"/>
      <c r="P397" s="107"/>
      <c r="Q397" s="107"/>
      <c r="R397" s="107"/>
      <c r="S397" s="107"/>
      <c r="T397" s="465" cm="1" t="str">
        <f t="array" ref="T397:T397">T396</f>
        <v>true</v>
      </c>
      <c r="U397" s="107"/>
      <c r="V397" s="107"/>
      <c r="W397" s="107"/>
      <c r="X397" s="1596"/>
      <c r="Y397" s="1278"/>
      <c r="Z397" s="1546"/>
      <c r="AA397" s="1278"/>
      <c r="AB397" s="300" t="s">
        <v>2269</v>
      </c>
      <c r="AC397" s="762" t="s">
        <v>2202</v>
      </c>
      <c r="AD397" s="300" t="s">
        <v>1514</v>
      </c>
      <c r="AE397" s="3946"/>
      <c r="AF397" s="3946"/>
      <c r="AG397" s="3946"/>
      <c r="AH397" s="1114">
        <f>AG397-AF397</f>
        <v>0</v>
      </c>
      <c r="AI397" s="3946"/>
      <c r="AJ397" s="3946"/>
      <c r="AK397" s="3946"/>
      <c r="AL397" s="3946"/>
      <c r="AM397" s="3946"/>
      <c r="AN397" s="3946"/>
      <c r="AO397" s="1241"/>
      <c r="AP397" s="1241"/>
      <c r="AQ397" s="1241"/>
      <c r="AR397" s="1241"/>
      <c r="AS397" s="1241"/>
      <c r="AT397" s="3946"/>
      <c r="AU397" s="3946"/>
      <c r="AV397" s="3946"/>
      <c r="AW397" s="3946"/>
      <c r="AX397" s="3946"/>
      <c r="AY397" s="1241"/>
      <c r="AZ397" s="1241"/>
      <c r="BA397" s="1241"/>
      <c r="BB397" s="1241"/>
      <c r="BC397" s="1241"/>
      <c r="BD397" s="1114">
        <f>IF(AI397=0,0,(AT397-AI397)/AI397*100)</f>
        <v>0</v>
      </c>
      <c r="BE397" s="1114">
        <f>IF(AT397=0,0,(AU397-AT397)/AT397*100)</f>
        <v>0</v>
      </c>
      <c r="BF397" s="1114">
        <f>IF(AU397=0,0,(AV397-AU397)/AU397*100)</f>
        <v>0</v>
      </c>
      <c r="BG397" s="1114">
        <f>IF(AV397=0,0,(AW397-AV397)/AV397*100)</f>
        <v>0</v>
      </c>
      <c r="BH397" s="1114">
        <f>IF(AW397=0,0,(AX397-AW397)/AW397*100)</f>
        <v>0</v>
      </c>
      <c r="BI397" s="1114">
        <f>IF(AX397=0,0,(AY397-AX397)/AX397*100)</f>
        <v>0</v>
      </c>
      <c r="BJ397" s="1114">
        <f>IF(AY397=0,0,(AZ397-AY397)/AY397*100)</f>
        <v>0</v>
      </c>
      <c r="BK397" s="1114">
        <f>IF(AZ397=0,0,(BA397-AZ397)/AZ397*100)</f>
        <v>0</v>
      </c>
      <c r="BL397" s="1114">
        <f>IF(BA397=0,0,(BB397-BA397)/BA397*100)</f>
        <v>0</v>
      </c>
      <c r="BM397" s="1114">
        <f>IF(BB397=0,0,(BC397-BB397)/BB397*100)</f>
        <v>0</v>
      </c>
      <c r="BN397" s="7433"/>
      <c r="BO397" s="7433"/>
      <c r="BP397" s="7433"/>
      <c r="BQ397" s="1278"/>
      <c r="BR397" s="1278"/>
      <c r="BS397" s="1064" t="s">
        <v>2816</v>
      </c>
      <c r="BT397" s="1064"/>
      <c r="BU397" s="1064"/>
      <c r="BV397" s="979"/>
      <c r="BW397" s="979"/>
    </row>
    <row s="1834" customFormat="1" customHeight="1" ht="0">
      <c r="A398" s="1278"/>
      <c r="B398" s="978"/>
      <c r="C398" s="107"/>
      <c r="D398" s="107"/>
      <c r="E398" s="621">
        <v>15</v>
      </c>
      <c r="F398" s="50" cm="1" t="str">
        <f t="array" ref="F398:F398">OFFSET(E398,-1,1)</f>
        <v>2</v>
      </c>
      <c r="G398" s="107" t="s">
        <v>2207</v>
      </c>
      <c r="H398" s="107"/>
      <c r="I398" s="107" t="s">
        <v>2817</v>
      </c>
      <c r="J398" s="107"/>
      <c r="K398" s="158" t="s">
        <v>2817</v>
      </c>
      <c r="L398" s="980"/>
      <c r="M398" s="107"/>
      <c r="N398" s="107"/>
      <c r="O398" s="107"/>
      <c r="P398" s="107"/>
      <c r="Q398" s="107"/>
      <c r="R398" s="107"/>
      <c r="S398" s="107"/>
      <c r="T398" s="465" cm="1" t="str">
        <f t="array" ref="T398:T398">T397</f>
        <v>true</v>
      </c>
      <c r="U398" s="107"/>
      <c r="V398" s="107"/>
      <c r="W398" s="107"/>
      <c r="X398" s="1596"/>
      <c r="Y398" s="1278"/>
      <c r="Z398" s="1546"/>
      <c r="AA398" s="1278"/>
      <c r="AB398" s="300" t="s">
        <v>2273</v>
      </c>
      <c r="AC398" s="762" t="s">
        <v>2207</v>
      </c>
      <c r="AD398" s="300" t="s">
        <v>1514</v>
      </c>
      <c r="AE398" s="1116">
        <f>SUM(AE399,AE400)</f>
        <v>0</v>
      </c>
      <c r="AF398" s="1114">
        <f>SUM(AF399,AF400)</f>
        <v>0</v>
      </c>
      <c r="AG398" s="1114">
        <f>SUM(AG399,AG400)</f>
        <v>0</v>
      </c>
      <c r="AH398" s="1114">
        <f>AG398-AF398</f>
        <v>0</v>
      </c>
      <c r="AI398" s="1114">
        <f>SUM(AI399,AI400)</f>
        <v>0</v>
      </c>
      <c r="AJ398" s="1116">
        <f>SUM(AJ399,AJ400)</f>
        <v>0</v>
      </c>
      <c r="AK398" s="1114">
        <f>SUM(AK399,AK400)</f>
        <v>0</v>
      </c>
      <c r="AL398" s="1114">
        <f>SUM(AL399,AL400)</f>
        <v>0</v>
      </c>
      <c r="AM398" s="1114">
        <f>SUM(AM399,AM400)</f>
        <v>0</v>
      </c>
      <c r="AN398" s="1114">
        <f>SUM(AN399,AN400)</f>
        <v>0</v>
      </c>
      <c r="AO398" s="1114">
        <f>SUM(AO399,AO400)</f>
        <v>0</v>
      </c>
      <c r="AP398" s="1114">
        <f>SUM(AP399,AP400)</f>
        <v>0</v>
      </c>
      <c r="AQ398" s="1114">
        <f>SUM(AQ399,AQ400)</f>
        <v>0</v>
      </c>
      <c r="AR398" s="1114">
        <f>SUM(AR399,AR400)</f>
        <v>0</v>
      </c>
      <c r="AS398" s="1114">
        <f>SUM(AS399,AS400)</f>
        <v>0</v>
      </c>
      <c r="AT398" s="1116">
        <f>SUM(AT399,AT400)</f>
        <v>0</v>
      </c>
      <c r="AU398" s="1114">
        <f>SUM(AU399,AU400)</f>
        <v>0</v>
      </c>
      <c r="AV398" s="1114">
        <f>SUM(AV399,AV400)</f>
        <v>0</v>
      </c>
      <c r="AW398" s="1114">
        <f>SUM(AW399,AW400)</f>
        <v>0</v>
      </c>
      <c r="AX398" s="1114">
        <f>SUM(AX399,AX400)</f>
        <v>0</v>
      </c>
      <c r="AY398" s="1114">
        <f>SUM(AY399,AY400)</f>
        <v>0</v>
      </c>
      <c r="AZ398" s="1114">
        <f>SUM(AZ399,AZ400)</f>
        <v>0</v>
      </c>
      <c r="BA398" s="1114">
        <f>SUM(BA399,BA400)</f>
        <v>0</v>
      </c>
      <c r="BB398" s="1114">
        <f>SUM(BB399,BB400)</f>
        <v>0</v>
      </c>
      <c r="BC398" s="1114">
        <f>SUM(BC399,BC400)</f>
        <v>0</v>
      </c>
      <c r="BD398" s="1114">
        <f>IF(AI398=0,0,(AT398-AI398)/AI398*100)</f>
        <v>0</v>
      </c>
      <c r="BE398" s="1114">
        <f>IF(AT398=0,0,(AU398-AT398)/AT398*100)</f>
        <v>0</v>
      </c>
      <c r="BF398" s="1114">
        <f>IF(AU398=0,0,(AV398-AU398)/AU398*100)</f>
        <v>0</v>
      </c>
      <c r="BG398" s="1114">
        <f>IF(AV398=0,0,(AW398-AV398)/AV398*100)</f>
        <v>0</v>
      </c>
      <c r="BH398" s="1114">
        <f>IF(AW398=0,0,(AX398-AW398)/AW398*100)</f>
        <v>0</v>
      </c>
      <c r="BI398" s="1114">
        <f>IF(AX398=0,0,(AY398-AX398)/AX398*100)</f>
        <v>0</v>
      </c>
      <c r="BJ398" s="1114">
        <f>IF(AY398=0,0,(AZ398-AY398)/AY398*100)</f>
        <v>0</v>
      </c>
      <c r="BK398" s="1114">
        <f>IF(AZ398=0,0,(BA398-AZ398)/AZ398*100)</f>
        <v>0</v>
      </c>
      <c r="BL398" s="1114">
        <f>IF(BA398=0,0,(BB398-BA398)/BA398*100)</f>
        <v>0</v>
      </c>
      <c r="BM398" s="1114">
        <f>IF(BB398=0,0,(BC398-BB398)/BB398*100)</f>
        <v>0</v>
      </c>
      <c r="BN398" s="7433"/>
      <c r="BO398" s="7433"/>
      <c r="BP398" s="7433"/>
      <c r="BQ398" s="1278"/>
      <c r="BR398" s="1278"/>
      <c r="BS398" s="1064" t="s">
        <v>2818</v>
      </c>
      <c r="BT398" s="1064"/>
      <c r="BU398" s="1064"/>
      <c r="BV398" s="979"/>
      <c r="BW398" s="979"/>
    </row>
    <row s="1834" customFormat="1" customHeight="1" ht="0">
      <c r="A399" s="1278"/>
      <c r="B399" s="978"/>
      <c r="C399" s="107"/>
      <c r="D399" s="107"/>
      <c r="E399" s="621">
        <v>15</v>
      </c>
      <c r="F399" s="50" cm="1" t="str">
        <f t="array" ref="F399:F399">OFFSET(E399,-1,1)</f>
        <v>2</v>
      </c>
      <c r="G399" s="107"/>
      <c r="H399" s="107"/>
      <c r="I399" s="107" t="s">
        <v>2819</v>
      </c>
      <c r="J399" s="107"/>
      <c r="K399" s="158" t="s">
        <v>2819</v>
      </c>
      <c r="L399" s="980"/>
      <c r="M399" s="107"/>
      <c r="N399" s="107"/>
      <c r="O399" s="107"/>
      <c r="P399" s="107"/>
      <c r="Q399" s="107"/>
      <c r="R399" s="107"/>
      <c r="S399" s="107"/>
      <c r="T399" s="465" cm="1" t="str">
        <f t="array" ref="T399:T399">T398</f>
        <v>true</v>
      </c>
      <c r="U399" s="107"/>
      <c r="V399" s="107"/>
      <c r="W399" s="107"/>
      <c r="X399" s="1596"/>
      <c r="Y399" s="1278"/>
      <c r="Z399" s="1546"/>
      <c r="AA399" s="1278"/>
      <c r="AB399" s="300" t="s">
        <v>2820</v>
      </c>
      <c r="AC399" s="765" t="s">
        <v>2821</v>
      </c>
      <c r="AD399" s="300" t="s">
        <v>1514</v>
      </c>
      <c r="AE399" s="3946"/>
      <c r="AF399" s="3946"/>
      <c r="AG399" s="3946"/>
      <c r="AH399" s="1114">
        <f>AG399-AF399</f>
        <v>0</v>
      </c>
      <c r="AI399" s="3946"/>
      <c r="AJ399" s="3946"/>
      <c r="AK399" s="3946"/>
      <c r="AL399" s="3946"/>
      <c r="AM399" s="3946"/>
      <c r="AN399" s="3946"/>
      <c r="AO399" s="1241"/>
      <c r="AP399" s="1241"/>
      <c r="AQ399" s="1241"/>
      <c r="AR399" s="1241"/>
      <c r="AS399" s="1241"/>
      <c r="AT399" s="3946"/>
      <c r="AU399" s="3946"/>
      <c r="AV399" s="3946"/>
      <c r="AW399" s="3946"/>
      <c r="AX399" s="3946"/>
      <c r="AY399" s="1241"/>
      <c r="AZ399" s="1241"/>
      <c r="BA399" s="1241"/>
      <c r="BB399" s="1241"/>
      <c r="BC399" s="1241"/>
      <c r="BD399" s="1114">
        <f>IF(AI399=0,0,(AT399-AI399)/AI399*100)</f>
        <v>0</v>
      </c>
      <c r="BE399" s="1114">
        <f>IF(AT399=0,0,(AU399-AT399)/AT399*100)</f>
        <v>0</v>
      </c>
      <c r="BF399" s="1114">
        <f>IF(AU399=0,0,(AV399-AU399)/AU399*100)</f>
        <v>0</v>
      </c>
      <c r="BG399" s="1114">
        <f>IF(AV399=0,0,(AW399-AV399)/AV399*100)</f>
        <v>0</v>
      </c>
      <c r="BH399" s="1114">
        <f>IF(AW399=0,0,(AX399-AW399)/AW399*100)</f>
        <v>0</v>
      </c>
      <c r="BI399" s="1114">
        <f>IF(AX399=0,0,(AY399-AX399)/AX399*100)</f>
        <v>0</v>
      </c>
      <c r="BJ399" s="1114">
        <f>IF(AY399=0,0,(AZ399-AY399)/AY399*100)</f>
        <v>0</v>
      </c>
      <c r="BK399" s="1114">
        <f>IF(AZ399=0,0,(BA399-AZ399)/AZ399*100)</f>
        <v>0</v>
      </c>
      <c r="BL399" s="1114">
        <f>IF(BA399=0,0,(BB399-BA399)/BA399*100)</f>
        <v>0</v>
      </c>
      <c r="BM399" s="1114">
        <f>IF(BB399=0,0,(BC399-BB399)/BB399*100)</f>
        <v>0</v>
      </c>
      <c r="BN399" s="7433"/>
      <c r="BO399" s="7433"/>
      <c r="BP399" s="7433"/>
      <c r="BQ399" s="1278"/>
      <c r="BR399" s="1278"/>
      <c r="BS399" s="1064" t="s">
        <v>1991</v>
      </c>
      <c r="BT399" s="1064"/>
      <c r="BU399" s="1064"/>
      <c r="BV399" s="979"/>
      <c r="BW399" s="979"/>
    </row>
    <row s="1834" customFormat="1" customHeight="1" ht="0">
      <c r="A400" s="1278"/>
      <c r="B400" s="978"/>
      <c r="C400" s="107"/>
      <c r="D400" s="107"/>
      <c r="E400" s="621">
        <v>15</v>
      </c>
      <c r="F400" s="50" cm="1" t="str">
        <f t="array" ref="F400:F400">OFFSET(E400,-1,1)</f>
        <v>2</v>
      </c>
      <c r="G400" s="107"/>
      <c r="H400" s="107"/>
      <c r="I400" s="107" t="s">
        <v>2822</v>
      </c>
      <c r="J400" s="107"/>
      <c r="K400" s="158" t="s">
        <v>2822</v>
      </c>
      <c r="L400" s="980" t="s">
        <v>1640</v>
      </c>
      <c r="M400" s="107"/>
      <c r="N400" s="107"/>
      <c r="O400" s="107"/>
      <c r="P400" s="107"/>
      <c r="Q400" s="107"/>
      <c r="R400" s="107"/>
      <c r="S400" s="107"/>
      <c r="T400" s="465" cm="1" t="str">
        <f t="array" ref="T400:T400">T399</f>
        <v>true</v>
      </c>
      <c r="U400" s="107"/>
      <c r="V400" s="107"/>
      <c r="W400" s="107"/>
      <c r="X400" s="1596"/>
      <c r="Y400" s="1278"/>
      <c r="Z400" s="1546"/>
      <c r="AA400" s="1278"/>
      <c r="AB400" s="300" t="s">
        <v>2823</v>
      </c>
      <c r="AC400" s="765" t="s">
        <v>2824</v>
      </c>
      <c r="AD400" s="300" t="s">
        <v>1514</v>
      </c>
      <c r="AE400" s="3946"/>
      <c r="AF400" s="3946"/>
      <c r="AG400" s="3946"/>
      <c r="AH400" s="1114">
        <f>AG400-AF400</f>
        <v>0</v>
      </c>
      <c r="AI400" s="3946"/>
      <c r="AJ400" s="3946"/>
      <c r="AK400" s="3946"/>
      <c r="AL400" s="3946"/>
      <c r="AM400" s="3946"/>
      <c r="AN400" s="3946"/>
      <c r="AO400" s="1241"/>
      <c r="AP400" s="1241"/>
      <c r="AQ400" s="1241"/>
      <c r="AR400" s="1241"/>
      <c r="AS400" s="1241"/>
      <c r="AT400" s="3946"/>
      <c r="AU400" s="3946"/>
      <c r="AV400" s="3946"/>
      <c r="AW400" s="3946"/>
      <c r="AX400" s="3946"/>
      <c r="AY400" s="1241"/>
      <c r="AZ400" s="1241"/>
      <c r="BA400" s="1241"/>
      <c r="BB400" s="1241"/>
      <c r="BC400" s="1241"/>
      <c r="BD400" s="1114">
        <f>IF(AI400=0,0,(AT400-AI400)/AI400*100)</f>
        <v>0</v>
      </c>
      <c r="BE400" s="1114">
        <f>IF(AT400=0,0,(AU400-AT400)/AT400*100)</f>
        <v>0</v>
      </c>
      <c r="BF400" s="1114">
        <f>IF(AU400=0,0,(AV400-AU400)/AU400*100)</f>
        <v>0</v>
      </c>
      <c r="BG400" s="1114">
        <f>IF(AV400=0,0,(AW400-AV400)/AV400*100)</f>
        <v>0</v>
      </c>
      <c r="BH400" s="1114">
        <f>IF(AW400=0,0,(AX400-AW400)/AW400*100)</f>
        <v>0</v>
      </c>
      <c r="BI400" s="1114">
        <f>IF(AX400=0,0,(AY400-AX400)/AX400*100)</f>
        <v>0</v>
      </c>
      <c r="BJ400" s="1114">
        <f>IF(AY400=0,0,(AZ400-AY400)/AY400*100)</f>
        <v>0</v>
      </c>
      <c r="BK400" s="1114">
        <f>IF(AZ400=0,0,(BA400-AZ400)/AZ400*100)</f>
        <v>0</v>
      </c>
      <c r="BL400" s="1114">
        <f>IF(BA400=0,0,(BB400-BA400)/BA400*100)</f>
        <v>0</v>
      </c>
      <c r="BM400" s="1114">
        <f>IF(BB400=0,0,(BC400-BB400)/BB400*100)</f>
        <v>0</v>
      </c>
      <c r="BN400" s="7433"/>
      <c r="BO400" s="7433"/>
      <c r="BP400" s="7433"/>
      <c r="BQ400" s="1278"/>
      <c r="BR400" s="1278"/>
      <c r="BS400" s="1064" t="s">
        <v>2825</v>
      </c>
      <c r="BT400" s="1064"/>
      <c r="BU400" s="1064"/>
      <c r="BV400" s="979"/>
      <c r="BW400" s="979"/>
    </row>
    <row s="1834" customFormat="1" customHeight="1" ht="0">
      <c r="A401" s="1278"/>
      <c r="B401" s="978"/>
      <c r="C401" s="107"/>
      <c r="D401" s="107"/>
      <c r="E401" s="621">
        <v>22.5</v>
      </c>
      <c r="F401" s="50" cm="1" t="str">
        <f t="array" ref="F401:F401">OFFSET(E401,-1,1)</f>
        <v>2</v>
      </c>
      <c r="G401" s="107" t="s">
        <v>2212</v>
      </c>
      <c r="H401" s="107"/>
      <c r="I401" s="107" t="s">
        <v>2826</v>
      </c>
      <c r="J401" s="107"/>
      <c r="K401" s="158" t="s">
        <v>2826</v>
      </c>
      <c r="L401" s="980"/>
      <c r="M401" s="107"/>
      <c r="N401" s="107"/>
      <c r="O401" s="107"/>
      <c r="P401" s="107"/>
      <c r="Q401" s="107"/>
      <c r="R401" s="107"/>
      <c r="S401" s="107"/>
      <c r="T401" s="465" cm="1" t="str">
        <f t="array" ref="T401:T401">T400</f>
        <v>true</v>
      </c>
      <c r="U401" s="107"/>
      <c r="V401" s="107"/>
      <c r="W401" s="107"/>
      <c r="X401" s="1596"/>
      <c r="Y401" s="1278"/>
      <c r="Z401" s="1546"/>
      <c r="AA401" s="1278"/>
      <c r="AB401" s="300" t="s">
        <v>2276</v>
      </c>
      <c r="AC401" s="762" t="s">
        <v>2827</v>
      </c>
      <c r="AD401" s="300" t="s">
        <v>1514</v>
      </c>
      <c r="AE401" s="3946"/>
      <c r="AF401" s="3946"/>
      <c r="AG401" s="3946"/>
      <c r="AH401" s="1114">
        <f>AG401-AF401</f>
        <v>0</v>
      </c>
      <c r="AI401" s="3946"/>
      <c r="AJ401" s="3946"/>
      <c r="AK401" s="3946"/>
      <c r="AL401" s="3946"/>
      <c r="AM401" s="3946"/>
      <c r="AN401" s="3946"/>
      <c r="AO401" s="1241"/>
      <c r="AP401" s="1241"/>
      <c r="AQ401" s="1241"/>
      <c r="AR401" s="1241"/>
      <c r="AS401" s="1241"/>
      <c r="AT401" s="3946"/>
      <c r="AU401" s="3946"/>
      <c r="AV401" s="3946"/>
      <c r="AW401" s="3946"/>
      <c r="AX401" s="3946"/>
      <c r="AY401" s="1241"/>
      <c r="AZ401" s="1241"/>
      <c r="BA401" s="1241"/>
      <c r="BB401" s="1241"/>
      <c r="BC401" s="1241"/>
      <c r="BD401" s="1114">
        <f>IF(AI401=0,0,(AT401-AI401)/AI401*100)</f>
        <v>0</v>
      </c>
      <c r="BE401" s="1114">
        <f>IF(AT401=0,0,(AU401-AT401)/AT401*100)</f>
        <v>0</v>
      </c>
      <c r="BF401" s="1114">
        <f>IF(AU401=0,0,(AV401-AU401)/AU401*100)</f>
        <v>0</v>
      </c>
      <c r="BG401" s="1114">
        <f>IF(AV401=0,0,(AW401-AV401)/AV401*100)</f>
        <v>0</v>
      </c>
      <c r="BH401" s="1114">
        <f>IF(AW401=0,0,(AX401-AW401)/AW401*100)</f>
        <v>0</v>
      </c>
      <c r="BI401" s="1114">
        <f>IF(AX401=0,0,(AY401-AX401)/AX401*100)</f>
        <v>0</v>
      </c>
      <c r="BJ401" s="1114">
        <f>IF(AY401=0,0,(AZ401-AY401)/AY401*100)</f>
        <v>0</v>
      </c>
      <c r="BK401" s="1114">
        <f>IF(AZ401=0,0,(BA401-AZ401)/AZ401*100)</f>
        <v>0</v>
      </c>
      <c r="BL401" s="1114">
        <f>IF(BA401=0,0,(BB401-BA401)/BA401*100)</f>
        <v>0</v>
      </c>
      <c r="BM401" s="1114">
        <f>IF(BB401=0,0,(BC401-BB401)/BB401*100)</f>
        <v>0</v>
      </c>
      <c r="BN401" s="7433"/>
      <c r="BO401" s="7433"/>
      <c r="BP401" s="7433"/>
      <c r="BQ401" s="1278"/>
      <c r="BR401" s="1278"/>
      <c r="BS401" s="1064" t="s">
        <v>2828</v>
      </c>
      <c r="BT401" s="1064"/>
      <c r="BU401" s="1064"/>
      <c r="BV401" s="979"/>
      <c r="BW401" s="979"/>
    </row>
    <row s="7550" customFormat="1" customHeight="1" ht="180.75">
      <c r="A402" s="700"/>
      <c r="B402" s="435"/>
      <c r="C402" s="109"/>
      <c r="D402" s="109"/>
      <c r="E402" s="826">
        <v>21</v>
      </c>
      <c r="F402" s="50" cm="1" t="str">
        <f t="array" ref="F402:F402">OFFSET(E402,-1,1)</f>
        <v>2</v>
      </c>
      <c r="G402" s="107" t="s">
        <v>2829</v>
      </c>
      <c r="H402" s="107"/>
      <c r="I402" s="107" t="s">
        <v>334</v>
      </c>
      <c r="J402" s="109"/>
      <c r="K402" s="158" t="s">
        <v>334</v>
      </c>
      <c r="L402" s="985" t="s">
        <v>2068</v>
      </c>
      <c r="M402" s="109"/>
      <c r="N402" s="109"/>
      <c r="O402" s="109"/>
      <c r="P402" s="109"/>
      <c r="Q402" s="109"/>
      <c r="R402" s="109"/>
      <c r="S402" s="109"/>
      <c r="T402" s="465" cm="1" t="str">
        <f t="array" ref="T402:T402">T401</f>
        <v>true</v>
      </c>
      <c r="U402" s="109"/>
      <c r="V402" s="109"/>
      <c r="W402" s="109"/>
      <c r="X402" s="1596"/>
      <c r="Y402" s="700"/>
      <c r="Z402" s="1546"/>
      <c r="AA402" s="700"/>
      <c r="AB402" s="211" t="s">
        <v>289</v>
      </c>
      <c r="AC402" s="212" t="s">
        <v>2830</v>
      </c>
      <c r="AD402" s="211" t="s">
        <v>1514</v>
      </c>
      <c r="AE402" s="778">
        <f>_xlfn.SUMIFS(ЭЭ!AE$25:AE$189,ЭЭ!$F$25:$F$189,$F402,ЭЭ!$AC$25:$AC$189,"Всего по тарифу")</f>
        <v>0</v>
      </c>
      <c r="AF402" s="778">
        <f>_xlfn.SUMIFS(ЭЭ!AF$25:AF$189,ЭЭ!$F$25:$F$189,$F402,ЭЭ!$AC$25:$AC$189,"Всего по тарифу")</f>
        <v>0</v>
      </c>
      <c r="AG402" s="778">
        <f>_xlfn.SUMIFS(ЭЭ!AG$25:AG$189,ЭЭ!$F$25:$F$189,$F402,ЭЭ!$AC$25:$AC$189,"Всего по тарифу")</f>
        <v>0</v>
      </c>
      <c r="AH402" s="778">
        <f>AG402-AF402</f>
        <v>0</v>
      </c>
      <c r="AI402" s="778">
        <f>_xlfn.SUMIFS(ЭЭ!AH$25:AH$189,ЭЭ!$F$25:$F$189,$F402,ЭЭ!$AC$25:$AC$189,"Всего по тарифу")</f>
        <v>0</v>
      </c>
      <c r="AJ402" s="778">
        <f>_xlfn.SUMIFS(ЭЭ!AI$25:AI$189,ЭЭ!$F$25:$F$189,$F402,ЭЭ!$AC$25:$AC$189,"Всего по тарифу")</f>
        <v>4424.17</v>
      </c>
      <c r="AK402" s="778">
        <f>_xlfn.SUMIFS(ЭЭ!AJ$25:AJ$189,ЭЭ!$F$25:$F$189,$F402,ЭЭ!$AC$25:$AC$189,"Всего по тарифу")</f>
        <v>4826.77</v>
      </c>
      <c r="AL402" s="778">
        <f>_xlfn.SUMIFS(ЭЭ!AK$25:AK$189,ЭЭ!$F$25:$F$189,$F402,ЭЭ!$AC$25:$AC$189,"Всего по тарифу")</f>
        <v>5063.28</v>
      </c>
      <c r="AM402" s="778">
        <f>_xlfn.SUMIFS(ЭЭ!AL$25:AL$189,ЭЭ!$F$25:$F$189,$F402,ЭЭ!$AC$25:$AC$189,"Всего по тарифу")</f>
        <v>5311.38</v>
      </c>
      <c r="AN402" s="778">
        <f>_xlfn.SUMIFS(ЭЭ!AM$25:AM$189,ЭЭ!$F$25:$F$189,$F402,ЭЭ!$AC$25:$AC$189,"Всего по тарифу")</f>
        <v>5571.64</v>
      </c>
      <c r="AO402" s="778">
        <f>_xlfn.SUMIFS(ЭЭ!AN$25:AN$189,ЭЭ!$F$25:$F$189,$F402,ЭЭ!$AC$25:$AC$189,"Всего по тарифу")</f>
        <v>0</v>
      </c>
      <c r="AP402" s="778">
        <f>_xlfn.SUMIFS(ЭЭ!AO$25:AO$189,ЭЭ!$F$25:$F$189,$F402,ЭЭ!$AC$25:$AC$189,"Всего по тарифу")</f>
        <v>0</v>
      </c>
      <c r="AQ402" s="778">
        <f>_xlfn.SUMIFS(ЭЭ!AP$25:AP$189,ЭЭ!$F$25:$F$189,$F402,ЭЭ!$AC$25:$AC$189,"Всего по тарифу")</f>
        <v>0</v>
      </c>
      <c r="AR402" s="778">
        <f>_xlfn.SUMIFS(ЭЭ!AQ$25:AQ$189,ЭЭ!$F$25:$F$189,$F402,ЭЭ!$AC$25:$AC$189,"Всего по тарифу")</f>
        <v>0</v>
      </c>
      <c r="AS402" s="778">
        <f>_xlfn.SUMIFS(ЭЭ!AR$25:AR$189,ЭЭ!$F$25:$F$189,$F402,ЭЭ!$AC$25:$AC$189,"Всего по тарифу")</f>
        <v>0</v>
      </c>
      <c r="AT402" s="778">
        <f>_xlfn.SUMIFS(ЭЭ!AS$25:AS$189,ЭЭ!$F$25:$F$189,$F402,ЭЭ!$AC$25:$AC$189,"Всего по тарифу")</f>
        <v>4424.16764612032</v>
      </c>
      <c r="AU402" s="778">
        <f>_xlfn.SUMIFS(ЭЭ!AT$25:AT$189,ЭЭ!$F$25:$F$189,$F402,ЭЭ!$AC$25:$AC$189,"Всего по тарифу")</f>
        <v>4826.76690191727</v>
      </c>
      <c r="AV402" s="778">
        <f>_xlfn.SUMIFS(ЭЭ!AU$25:AU$189,ЭЭ!$F$25:$F$189,$F402,ЭЭ!$AC$25:$AC$189,"Всего по тарифу")</f>
        <v>5063.27848011121</v>
      </c>
      <c r="AW402" s="778">
        <f>_xlfn.SUMIFS(ЭЭ!AV$25:AV$189,ЭЭ!$F$25:$F$189,$F402,ЭЭ!$AC$25:$AC$189,"Всего по тарифу")</f>
        <v>5311.02442465204</v>
      </c>
      <c r="AX402" s="778">
        <f>_xlfn.SUMIFS(ЭЭ!AW$25:AW$189,ЭЭ!$F$25:$F$189,$F402,ЭЭ!$AC$25:$AC$189,"Всего по тарифу")</f>
        <v>5564.69940310494</v>
      </c>
      <c r="AY402" s="778">
        <f>_xlfn.SUMIFS(ЭЭ!AX$25:AX$189,ЭЭ!$F$25:$F$189,$F402,ЭЭ!$AC$25:$AC$189,"Всего по тарифу")</f>
        <v>0</v>
      </c>
      <c r="AZ402" s="778">
        <f>_xlfn.SUMIFS(ЭЭ!AY$25:AY$189,ЭЭ!$F$25:$F$189,$F402,ЭЭ!$AC$25:$AC$189,"Всего по тарифу")</f>
        <v>0</v>
      </c>
      <c r="BA402" s="778">
        <f>_xlfn.SUMIFS(ЭЭ!AZ$25:AZ$189,ЭЭ!$F$25:$F$189,$F402,ЭЭ!$AC$25:$AC$189,"Всего по тарифу")</f>
        <v>0</v>
      </c>
      <c r="BB402" s="778">
        <f>_xlfn.SUMIFS(ЭЭ!BA$25:BA$189,ЭЭ!$F$25:$F$189,$F402,ЭЭ!$AC$25:$AC$189,"Всего по тарифу")</f>
        <v>0</v>
      </c>
      <c r="BC402" s="778">
        <f>_xlfn.SUMIFS(ЭЭ!BB$25:BB$189,ЭЭ!$F$25:$F$189,$F402,ЭЭ!$AC$25:$AC$189,"Всего по тарифу")</f>
        <v>0</v>
      </c>
      <c r="BD402" s="778">
        <f>IF(AI402=0,0,(AT402-AI402)/AI402*100)</f>
        <v>0</v>
      </c>
      <c r="BE402" s="778">
        <f>IF(AT402=0,0,(AU402-AT402)/AT402*100)</f>
        <v>9.1</v>
      </c>
      <c r="BF402" s="778">
        <f>IF(AU402=0,0,(AV402-AU402)/AU402*100)</f>
        <v>4.89999999999988</v>
      </c>
      <c r="BG402" s="778">
        <f>IF(AV402=0,0,(AW402-AV402)/AV402*100)</f>
        <v>4.89299463803911</v>
      </c>
      <c r="BH402" s="778">
        <f>IF(AW402=0,0,(AX402-AW402)/AW402*100)</f>
        <v>4.77638508449375</v>
      </c>
      <c r="BI402" s="778">
        <f>IF(AX402=0,0,(AY402-AX402)/AX402*100)</f>
        <v>-100</v>
      </c>
      <c r="BJ402" s="778">
        <f>IF(AY402=0,0,(AZ402-AY402)/AY402*100)</f>
        <v>0</v>
      </c>
      <c r="BK402" s="778">
        <f>IF(AZ402=0,0,(BA402-AZ402)/AZ402*100)</f>
        <v>0</v>
      </c>
      <c r="BL402" s="778">
        <f>IF(BA402=0,0,(BB402-BA402)/BA402*100)</f>
        <v>0</v>
      </c>
      <c r="BM402" s="778">
        <f>IF(BB402=0,0,(BC402-BB402)/BB402*100)</f>
        <v>0</v>
      </c>
      <c r="BN402" s="7433"/>
      <c r="BO402" s="7487" t="str">
        <f>IF(_xlfn.IFERROR(INDEX(ЭЭ!$K$26:$L$189,MATCH($F402&amp;"komm",ЭЭ!$K$26:$K$189,0),2),"")=0,"",_xlfn.IFERROR(INDEX(ЭЭ!$K$26:$L$189,MATCH($F402&amp;"komm",ЭЭ!$K$26:$K$189,0),2),""))</f>
        <v>В соответствии с п. 20 Методических указаний расходы регулируемой организации на приобретаемые электрическую энергию (мощность), тепловую энергию (мощность), другие виды энергетических ресурсов, холодную воду, теплоноситель определяются как сумма произведений расчетных экономически (технологически, технически) обоснованных объемов приобретаемых электрической энергии (мощности), тепловой энергии (мощности), других видов энергетических ресурсов холодной воды на соответственно плановые (расчетные) цены (тарифы) на электрическую энергию (мощность), тепловую энергию (мощность), другие виды энергетических ресурсов, холодную воду. Объемы приобретаемой электрической энергии (мощности), тепловой энергии (мощности) определяются с учетом показателей надежности, качества, энергетической эффективности в сфере водоснабжения и (или) водоотведения, определенных в установленном порядке.</v>
      </c>
      <c r="BP402" s="7433"/>
      <c r="BQ402" s="700"/>
      <c r="BR402" s="700"/>
      <c r="BS402" s="1070" t="s">
        <v>2446</v>
      </c>
      <c r="BT402" s="1070"/>
      <c r="BU402" s="1070"/>
      <c r="BV402" s="707"/>
      <c r="BW402" s="707"/>
    </row>
    <row s="7551" customFormat="1" customHeight="1" ht="33.75">
      <c r="A403" s="700"/>
      <c r="B403" s="162">
        <f>method_reg="Метод индексации"</f>
        <v>1</v>
      </c>
      <c r="C403" s="109"/>
      <c r="D403" s="109"/>
      <c r="E403" s="826">
        <v>22.5</v>
      </c>
      <c r="F403" s="50" cm="1" t="str">
        <f t="array" ref="F403:F403">OFFSET(E403,-1,1)</f>
        <v>2</v>
      </c>
      <c r="G403" s="107" t="s">
        <v>2234</v>
      </c>
      <c r="H403" s="107"/>
      <c r="I403" s="107" t="s">
        <v>336</v>
      </c>
      <c r="J403" s="109"/>
      <c r="K403" s="158"/>
      <c r="L403" s="985" t="s">
        <v>335</v>
      </c>
      <c r="M403" s="109"/>
      <c r="N403" s="109"/>
      <c r="O403" s="109"/>
      <c r="P403" s="109"/>
      <c r="Q403" s="109"/>
      <c r="R403" s="109"/>
      <c r="S403" s="109"/>
      <c r="T403" s="465" cm="1" t="str">
        <f t="array" ref="T403:T403">T402</f>
        <v>true</v>
      </c>
      <c r="U403" s="109"/>
      <c r="V403" s="109"/>
      <c r="W403" s="109"/>
      <c r="X403" s="1596"/>
      <c r="Y403" s="700"/>
      <c r="Z403" s="1546"/>
      <c r="AA403" s="700"/>
      <c r="AB403" s="211" t="s">
        <v>295</v>
      </c>
      <c r="AC403" s="212" t="s">
        <v>2831</v>
      </c>
      <c r="AD403" s="211" t="s">
        <v>1514</v>
      </c>
      <c r="AE403" s="778">
        <f>_xlfn.SUMIFS(Амортизация!AE$25:AE$272,Амортизация!$F$25:$F$272,$F403,Амортизация!$AC$25:$AC$272,"Сумма амортизационных отчислений")</f>
        <v>0</v>
      </c>
      <c r="AF403" s="778">
        <f>_xlfn.SUMIFS(Амортизация!AF$25:AF$272,Амортизация!$F$25:$F$272,$F403,Амортизация!$AC$25:$AC$272,"Сумма амортизационных отчислений")</f>
        <v>0</v>
      </c>
      <c r="AG403" s="778">
        <f>_xlfn.SUMIFS(Амортизация!AG$25:AG$272,Амортизация!$F$25:$F$272,$F403,Амортизация!$AC$25:$AC$272,"Сумма амортизационных отчислений")</f>
        <v>0</v>
      </c>
      <c r="AH403" s="778">
        <f>AG403-AF403</f>
        <v>0</v>
      </c>
      <c r="AI403" s="778">
        <f>_xlfn.SUMIFS(Амортизация!AH$25:AH$272,Амортизация!$F$25:$F$272,$F403,Амортизация!$AC$25:$AC$272,"Сумма амортизационных отчислений")</f>
        <v>0</v>
      </c>
      <c r="AJ403" s="778">
        <f>_xlfn.SUMIFS(Амортизация!AI$25:AI$272,Амортизация!$F$25:$F$272,$F403,Амортизация!$AC$25:$AC$272,"Сумма амортизационных отчислений")</f>
        <v>0</v>
      </c>
      <c r="AK403" s="778">
        <f>_xlfn.SUMIFS(Амортизация!AJ$25:AJ$272,Амортизация!$F$25:$F$272,$F403,Амортизация!$AC$25:$AC$272,"Сумма амортизационных отчислений")</f>
        <v>0</v>
      </c>
      <c r="AL403" s="778">
        <f>_xlfn.SUMIFS(Амортизация!AK$25:AK$272,Амортизация!$F$25:$F$272,$F403,Амортизация!$AC$25:$AC$272,"Сумма амортизационных отчислений")</f>
        <v>1332.66</v>
      </c>
      <c r="AM403" s="778">
        <f>_xlfn.SUMIFS(Амортизация!AL$25:AL$272,Амортизация!$F$25:$F$272,$F403,Амортизация!$AC$25:$AC$272,"Сумма амортизационных отчислений")</f>
        <v>4705.35</v>
      </c>
      <c r="AN403" s="778">
        <f>_xlfn.SUMIFS(Амортизация!AM$25:AM$272,Амортизация!$F$25:$F$272,$F403,Амортизация!$AC$25:$AC$272,"Сумма амортизационных отчислений")</f>
        <v>19775.36</v>
      </c>
      <c r="AO403" s="778">
        <f>_xlfn.SUMIFS(Амортизация!AN$25:AN$272,Амортизация!$F$25:$F$272,$F403,Амортизация!$AC$25:$AC$272,"Сумма амортизационных отчислений")</f>
        <v>0</v>
      </c>
      <c r="AP403" s="778">
        <f>_xlfn.SUMIFS(Амортизация!AO$25:AO$272,Амортизация!$F$25:$F$272,$F403,Амортизация!$AC$25:$AC$272,"Сумма амортизационных отчислений")</f>
        <v>0</v>
      </c>
      <c r="AQ403" s="778">
        <f>_xlfn.SUMIFS(Амортизация!AP$25:AP$272,Амортизация!$F$25:$F$272,$F403,Амортизация!$AC$25:$AC$272,"Сумма амортизационных отчислений")</f>
        <v>0</v>
      </c>
      <c r="AR403" s="778">
        <f>_xlfn.SUMIFS(Амортизация!AQ$25:AQ$272,Амортизация!$F$25:$F$272,$F403,Амортизация!$AC$25:$AC$272,"Сумма амортизационных отчислений")</f>
        <v>0</v>
      </c>
      <c r="AS403" s="778">
        <f>_xlfn.SUMIFS(Амортизация!AR$25:AR$272,Амортизация!$F$25:$F$272,$F403,Амортизация!$AC$25:$AC$272,"Сумма амортизационных отчислений")</f>
        <v>0</v>
      </c>
      <c r="AT403" s="778">
        <f>_xlfn.SUMIFS(Амортизация!AS$25:AS$272,Амортизация!$F$25:$F$272,$F403,Амортизация!$AC$25:$AC$272,"Сумма амортизационных отчислений")</f>
        <v>0</v>
      </c>
      <c r="AU403" s="778">
        <f>_xlfn.SUMIFS(Амортизация!AT$25:AT$272,Амортизация!$F$25:$F$272,$F403,Амортизация!$AC$25:$AC$272,"Сумма амортизационных отчислений")</f>
        <v>0</v>
      </c>
      <c r="AV403" s="778">
        <f>_xlfn.SUMIFS(Амортизация!AU$25:AU$272,Амортизация!$F$25:$F$272,$F403,Амортизация!$AC$25:$AC$272,"Сумма амортизационных отчислений")</f>
        <v>1332.66</v>
      </c>
      <c r="AW403" s="778">
        <f>_xlfn.SUMIFS(Амортизация!AV$25:AV$272,Амортизация!$F$25:$F$272,$F403,Амортизация!$AC$25:$AC$272,"Сумма амортизационных отчислений")</f>
        <v>4705.35</v>
      </c>
      <c r="AX403" s="778">
        <f>_xlfn.SUMIFS(Амортизация!AW$25:AW$272,Амортизация!$F$25:$F$272,$F403,Амортизация!$AC$25:$AC$272,"Сумма амортизационных отчислений")</f>
        <v>19775.36</v>
      </c>
      <c r="AY403" s="778">
        <f>_xlfn.SUMIFS(Амортизация!AX$25:AX$272,Амортизация!$F$25:$F$272,$F403,Амортизация!$AC$25:$AC$272,"Сумма амортизационных отчислений")</f>
        <v>0</v>
      </c>
      <c r="AZ403" s="778">
        <f>_xlfn.SUMIFS(Амортизация!AY$25:AY$272,Амортизация!$F$25:$F$272,$F403,Амортизация!$AC$25:$AC$272,"Сумма амортизационных отчислений")</f>
        <v>0</v>
      </c>
      <c r="BA403" s="778">
        <f>_xlfn.SUMIFS(Амортизация!AZ$25:AZ$272,Амортизация!$F$25:$F$272,$F403,Амортизация!$AC$25:$AC$272,"Сумма амортизационных отчислений")</f>
        <v>0</v>
      </c>
      <c r="BB403" s="778">
        <f>_xlfn.SUMIFS(Амортизация!BA$25:BA$272,Амортизация!$F$25:$F$272,$F403,Амортизация!$AC$25:$AC$272,"Сумма амортизационных отчислений")</f>
        <v>0</v>
      </c>
      <c r="BC403" s="778">
        <f>_xlfn.SUMIFS(Амортизация!BB$25:BB$272,Амортизация!$F$25:$F$272,$F403,Амортизация!$AC$25:$AC$272,"Сумма амортизационных отчислений")</f>
        <v>0</v>
      </c>
      <c r="BD403" s="778">
        <f>IF(AI403=0,0,(AT403-AI403)/AI403*100)</f>
        <v>0</v>
      </c>
      <c r="BE403" s="778">
        <f>IF(AT403=0,0,(AU403-AT403)/AT403*100)</f>
        <v>0</v>
      </c>
      <c r="BF403" s="778">
        <f>IF(AU403=0,0,(AV403-AU403)/AU403*100)</f>
        <v>0</v>
      </c>
      <c r="BG403" s="778">
        <f>IF(AV403=0,0,(AW403-AV403)/AV403*100)</f>
        <v>253.079555175364</v>
      </c>
      <c r="BH403" s="778">
        <f>IF(AW403=0,0,(AX403-AW403)/AW403*100)</f>
        <v>320.273943489857</v>
      </c>
      <c r="BI403" s="778">
        <f>IF(AX403=0,0,(AY403-AX403)/AX403*100)</f>
        <v>-100</v>
      </c>
      <c r="BJ403" s="778">
        <f>IF(AY403=0,0,(AZ403-AY403)/AY403*100)</f>
        <v>0</v>
      </c>
      <c r="BK403" s="778">
        <f>IF(AZ403=0,0,(BA403-AZ403)/AZ403*100)</f>
        <v>0</v>
      </c>
      <c r="BL403" s="778">
        <f>IF(BA403=0,0,(BB403-BA403)/BA403*100)</f>
        <v>0</v>
      </c>
      <c r="BM403" s="778">
        <f>IF(BB403=0,0,(BC403-BB403)/BB403*100)</f>
        <v>0</v>
      </c>
      <c r="BN403" s="7433"/>
      <c r="BO403" s="7437" t="str">
        <f>IF(_xlfn.IFERROR(INDEX(Амортизация!$K$26:$L$272,MATCH($F403&amp;"komm",Амортизация!$K$26:$K$272,0),2),"")=0,"",_xlfn.IFERROR(INDEX(Амортизация!$K$26:$L$272,MATCH($F403&amp;"komm",Амортизация!$K$26:$K$272,0),2),""))</f>
        <v/>
      </c>
      <c r="BP403" s="7433"/>
      <c r="BQ403" s="700"/>
      <c r="BR403" s="700"/>
      <c r="BS403" s="1070" t="s">
        <v>1960</v>
      </c>
      <c r="BT403" s="1070"/>
      <c r="BU403" s="1070"/>
      <c r="BV403" s="707"/>
      <c r="BW403" s="707"/>
    </row>
    <row s="1834" customFormat="1" customHeight="1" ht="23.25">
      <c r="A404" s="1278"/>
      <c r="B404" s="432" cm="1" t="str">
        <f t="array" ref="B404:B404">B403</f>
        <v>true</v>
      </c>
      <c r="C404" s="107"/>
      <c r="D404" s="107"/>
      <c r="E404" s="621">
        <v>15</v>
      </c>
      <c r="F404" s="50" cm="1" t="str">
        <f t="array" ref="F404:F404">OFFSET(E404,-1,1)</f>
        <v>2</v>
      </c>
      <c r="G404" s="107"/>
      <c r="H404" s="107"/>
      <c r="I404" s="107" t="s">
        <v>1249</v>
      </c>
      <c r="J404" s="107"/>
      <c r="K404" s="1278"/>
      <c r="L404" s="980" t="s">
        <v>1263</v>
      </c>
      <c r="M404" s="107"/>
      <c r="N404" s="107"/>
      <c r="O404" s="107"/>
      <c r="P404" s="107"/>
      <c r="Q404" s="107"/>
      <c r="R404" s="107"/>
      <c r="S404" s="107"/>
      <c r="T404" s="465" cm="1" t="str">
        <f t="array" ref="T404:T404">T403</f>
        <v>true</v>
      </c>
      <c r="U404" s="107"/>
      <c r="V404" s="107"/>
      <c r="W404" s="107"/>
      <c r="X404" s="1596"/>
      <c r="Y404" s="1278"/>
      <c r="Z404" s="1546"/>
      <c r="AA404" s="1278"/>
      <c r="AB404" s="300" t="s">
        <v>1384</v>
      </c>
      <c r="AC404" s="762" t="s">
        <v>2538</v>
      </c>
      <c r="AD404" s="300" t="s">
        <v>1514</v>
      </c>
      <c r="AE404" s="3946">
        <f>_xlfn.SUMIFS('ИП + источники'!AF$27:AF$203,'ИП + источники'!$F$27:$F$203,$F404,'ИП + источники'!$AC$27:$AC$203,"Амортизационные отчисления")+_xlfn.SUMIFS('ИП + источники'!AF$27:AF$203,'ИП + источники'!$F$27:$F$203,$F404,'ИП + источники'!$AC$27:$AC$203,"погашение займов и кредитов из амортизации")</f>
        <v>0</v>
      </c>
      <c r="AF404" s="3946">
        <f>_xlfn.SUMIFS('ИП + источники'!AG$27:AG$203,'ИП + источники'!$F$27:$F$203,$F404,'ИП + источники'!$AC$27:$AC$203,"Амортизационные отчисления")+_xlfn.SUMIFS('ИП + источники'!AG$27:AG$203,'ИП + источники'!$F$27:$F$203,$F404,'ИП + источники'!$AC$27:$AC$203,"погашение займов и кредитов из амортизации")</f>
        <v>0</v>
      </c>
      <c r="AG404" s="3946">
        <f>_xlfn.SUMIFS('ИП + источники'!AH$27:AH$203,'ИП + источники'!$F$27:$F$203,$F404,'ИП + источники'!$AC$27:$AC$203,"Амортизационные отчисления")+_xlfn.SUMIFS('ИП + источники'!AH$27:AH$203,'ИП + источники'!$F$27:$F$203,$F404,'ИП + источники'!$AC$27:$AC$203,"погашение займов и кредитов из амортизации")</f>
        <v>0</v>
      </c>
      <c r="AH404" s="1114">
        <f>AG404-AF404</f>
        <v>0</v>
      </c>
      <c r="AI404" s="3946">
        <f>_xlfn.SUMIFS('ИП + источники'!AJ$27:AJ$203,'ИП + источники'!$F$27:$F$203,$F404,'ИП + источники'!$AC$27:$AC$203,"Амортизационные отчисления")+_xlfn.SUMIFS('ИП + источники'!AJ$27:AJ$203,'ИП + источники'!$F$27:$F$203,$F404,'ИП + источники'!$AC$27:$AC$203,"погашение займов и кредитов из амортизации")</f>
        <v>0</v>
      </c>
      <c r="AJ404" s="3946">
        <f>_xlfn.SUMIFS('ИП + источники'!AK$27:AK$203,'ИП + источники'!$F$27:$F$203,$F404,'ИП + источники'!$AC$27:$AC$203,"Амортизационные отчисления")+_xlfn.SUMIFS('ИП + источники'!AK$27:AK$203,'ИП + источники'!$F$27:$F$203,$F404,'ИП + источники'!$AC$27:$AC$203,"погашение займов и кредитов из амортизации")</f>
        <v>0</v>
      </c>
      <c r="AK404" s="3946">
        <f>_xlfn.SUMIFS('ИП + источники'!AL$27:AL$203,'ИП + источники'!$F$27:$F$203,$F404,'ИП + источники'!$AC$27:$AC$203,"Амортизационные отчисления")+_xlfn.SUMIFS('ИП + источники'!AL$27:AL$203,'ИП + источники'!$F$27:$F$203,$F404,'ИП + источники'!$AC$27:$AC$203,"погашение займов и кредитов из амортизации")</f>
        <v>0</v>
      </c>
      <c r="AL404" s="3946">
        <f>_xlfn.SUMIFS('ИП + источники'!AM$27:AM$203,'ИП + источники'!$F$27:$F$203,$F404,'ИП + источники'!$AC$27:$AC$203,"Амортизационные отчисления")+_xlfn.SUMIFS('ИП + источники'!AM$27:AM$203,'ИП + источники'!$F$27:$F$203,$F404,'ИП + источники'!$AC$27:$AC$203,"погашение займов и кредитов из амортизации")</f>
        <v>0</v>
      </c>
      <c r="AM404" s="3946">
        <f>_xlfn.SUMIFS('ИП + источники'!AN$27:AN$203,'ИП + источники'!$F$27:$F$203,$F404,'ИП + источники'!$AC$27:$AC$203,"Амортизационные отчисления")+_xlfn.SUMIFS('ИП + источники'!AN$27:AN$203,'ИП + источники'!$F$27:$F$203,$F404,'ИП + источники'!$AC$27:$AC$203,"погашение займов и кредитов из амортизации")</f>
        <v>0</v>
      </c>
      <c r="AN404" s="3946">
        <f>_xlfn.SUMIFS('ИП + источники'!AO$27:AO$203,'ИП + источники'!$F$27:$F$203,$F404,'ИП + источники'!$AC$27:$AC$203,"Амортизационные отчисления")+_xlfn.SUMIFS('ИП + источники'!AO$27:AO$203,'ИП + источники'!$F$27:$F$203,$F404,'ИП + источники'!$AC$27:$AC$203,"погашение займов и кредитов из амортизации")</f>
        <v>0</v>
      </c>
      <c r="AO404" s="1241">
        <f>_xlfn.SUMIFS('ИП + источники'!AP$27:AP$203,'ИП + источники'!$F$27:$F$203,$F404,'ИП + источники'!$AC$27:$AC$203,"Амортизационные отчисления")+_xlfn.SUMIFS('ИП + источники'!AP$27:AP$203,'ИП + источники'!$F$27:$F$203,$F404,'ИП + источники'!$AC$27:$AC$203,"погашение займов и кредитов из амортизации")</f>
        <v>0</v>
      </c>
      <c r="AP404" s="1241">
        <f>_xlfn.SUMIFS('ИП + источники'!AQ$27:AQ$203,'ИП + источники'!$F$27:$F$203,$F404,'ИП + источники'!$AC$27:$AC$203,"Амортизационные отчисления")+_xlfn.SUMIFS('ИП + источники'!AQ$27:AQ$203,'ИП + источники'!$F$27:$F$203,$F404,'ИП + источники'!$AC$27:$AC$203,"погашение займов и кредитов из амортизации")</f>
        <v>0</v>
      </c>
      <c r="AQ404" s="1241">
        <f>_xlfn.SUMIFS('ИП + источники'!AR$27:AR$203,'ИП + источники'!$F$27:$F$203,$F404,'ИП + источники'!$AC$27:$AC$203,"Амортизационные отчисления")+_xlfn.SUMIFS('ИП + источники'!AR$27:AR$203,'ИП + источники'!$F$27:$F$203,$F404,'ИП + источники'!$AC$27:$AC$203,"погашение займов и кредитов из амортизации")</f>
        <v>0</v>
      </c>
      <c r="AR404" s="1241">
        <f>_xlfn.SUMIFS('ИП + источники'!AS$27:AS$203,'ИП + источники'!$F$27:$F$203,$F404,'ИП + источники'!$AC$27:$AC$203,"Амортизационные отчисления")+_xlfn.SUMIFS('ИП + источники'!AS$27:AS$203,'ИП + источники'!$F$27:$F$203,$F404,'ИП + источники'!$AC$27:$AC$203,"погашение займов и кредитов из амортизации")</f>
        <v>0</v>
      </c>
      <c r="AS404" s="1241">
        <f>_xlfn.SUMIFS('ИП + источники'!AT$27:AT$203,'ИП + источники'!$F$27:$F$203,$F404,'ИП + источники'!$AC$27:$AC$203,"Амортизационные отчисления")+_xlfn.SUMIFS('ИП + источники'!AT$27:AT$203,'ИП + источники'!$F$27:$F$203,$F404,'ИП + источники'!$AC$27:$AC$203,"погашение займов и кредитов из амортизации")</f>
        <v>0</v>
      </c>
      <c r="AT404" s="3946">
        <f>_xlfn.SUMIFS('ИП + источники'!AU$27:AU$203,'ИП + источники'!$F$27:$F$203,$F404,'ИП + источники'!$AC$27:$AC$203,"Амортизационные отчисления")+_xlfn.SUMIFS('ИП + источники'!AU$27:AU$203,'ИП + источники'!$F$27:$F$203,$F404,'ИП + источники'!$AC$27:$AC$203,"погашение займов и кредитов из амортизации")</f>
        <v>0</v>
      </c>
      <c r="AU404" s="3946">
        <f>_xlfn.SUMIFS('ИП + источники'!AV$27:AV$203,'ИП + источники'!$F$27:$F$203,$F404,'ИП + источники'!$AC$27:$AC$203,"Амортизационные отчисления")+_xlfn.SUMIFS('ИП + источники'!AV$27:AV$203,'ИП + источники'!$F$27:$F$203,$F404,'ИП + источники'!$AC$27:$AC$203,"погашение займов и кредитов из амортизации")</f>
        <v>0</v>
      </c>
      <c r="AV404" s="3946" cm="1" t="str">
        <f t="array" ref="AV404:AV404">AV403</f>
        <v>1332.66</v>
      </c>
      <c r="AW404" s="3946" cm="1" t="str">
        <f t="array" ref="AW404:AW404">AW403</f>
        <v>4705.35</v>
      </c>
      <c r="AX404" s="3946" cm="1" t="str">
        <f t="array" ref="AX404:AX404">AX403</f>
        <v>19775.36</v>
      </c>
      <c r="AY404" s="1241">
        <f>_xlfn.SUMIFS('ИП + источники'!AZ$27:AZ$203,'ИП + источники'!$F$27:$F$203,$F404,'ИП + источники'!$AC$27:$AC$203,"Амортизационные отчисления")+_xlfn.SUMIFS('ИП + источники'!AZ$27:AZ$203,'ИП + источники'!$F$27:$F$203,$F404,'ИП + источники'!$AC$27:$AC$203,"погашение займов и кредитов из амортизации")</f>
        <v>0</v>
      </c>
      <c r="AZ404" s="1241">
        <f>_xlfn.SUMIFS('ИП + источники'!BA$27:BA$203,'ИП + источники'!$F$27:$F$203,$F404,'ИП + источники'!$AC$27:$AC$203,"Амортизационные отчисления")+_xlfn.SUMIFS('ИП + источники'!BA$27:BA$203,'ИП + источники'!$F$27:$F$203,$F404,'ИП + источники'!$AC$27:$AC$203,"погашение займов и кредитов из амортизации")</f>
        <v>0</v>
      </c>
      <c r="BA404" s="1241">
        <f>_xlfn.SUMIFS('ИП + источники'!BB$27:BB$203,'ИП + источники'!$F$27:$F$203,$F404,'ИП + источники'!$AC$27:$AC$203,"Амортизационные отчисления")+_xlfn.SUMIFS('ИП + источники'!BB$27:BB$203,'ИП + источники'!$F$27:$F$203,$F404,'ИП + источники'!$AC$27:$AC$203,"погашение займов и кредитов из амортизации")</f>
        <v>0</v>
      </c>
      <c r="BB404" s="1241">
        <f>_xlfn.SUMIFS('ИП + источники'!BC$27:BC$203,'ИП + источники'!$F$27:$F$203,$F404,'ИП + источники'!$AC$27:$AC$203,"Амортизационные отчисления")+_xlfn.SUMIFS('ИП + источники'!BC$27:BC$203,'ИП + источники'!$F$27:$F$203,$F404,'ИП + источники'!$AC$27:$AC$203,"погашение займов и кредитов из амортизации")</f>
        <v>0</v>
      </c>
      <c r="BC404" s="1241">
        <f>_xlfn.SUMIFS('ИП + источники'!BD$27:BD$203,'ИП + источники'!$F$27:$F$203,$F404,'ИП + источники'!$AC$27:$AC$203,"Амортизационные отчисления")+_xlfn.SUMIFS('ИП + источники'!BD$27:BD$203,'ИП + источники'!$F$27:$F$203,$F404,'ИП + источники'!$AC$27:$AC$203,"погашение займов и кредитов из амортизации")</f>
        <v>0</v>
      </c>
      <c r="BD404" s="1114">
        <f>IF(AI404=0,0,(AT404-AI404)/AI404*100)</f>
        <v>0</v>
      </c>
      <c r="BE404" s="1114">
        <f>IF(AT404=0,0,(AU404-AT404)/AT404*100)</f>
        <v>0</v>
      </c>
      <c r="BF404" s="1114">
        <f>IF(AU404=0,0,(AV404-AU404)/AU404*100)</f>
        <v>0</v>
      </c>
      <c r="BG404" s="1114">
        <f>IF(AV404=0,0,(AW404-AV404)/AV404*100)</f>
        <v>253.079555175364</v>
      </c>
      <c r="BH404" s="1114">
        <f>IF(AW404=0,0,(AX404-AW404)/AW404*100)</f>
        <v>320.273943489857</v>
      </c>
      <c r="BI404" s="1114">
        <f>IF(AX404=0,0,(AY404-AX404)/AX404*100)</f>
        <v>-100</v>
      </c>
      <c r="BJ404" s="1114">
        <f>IF(AY404=0,0,(AZ404-AY404)/AY404*100)</f>
        <v>0</v>
      </c>
      <c r="BK404" s="1114">
        <f>IF(AZ404=0,0,(BA404-AZ404)/AZ404*100)</f>
        <v>0</v>
      </c>
      <c r="BL404" s="1114">
        <f>IF(BA404=0,0,(BB404-BA404)/BA404*100)</f>
        <v>0</v>
      </c>
      <c r="BM404" s="1114">
        <f>IF(BB404=0,0,(BC404-BB404)/BB404*100)</f>
        <v>0</v>
      </c>
      <c r="BN404" s="7433"/>
      <c r="BO404" s="7433" t="s">
        <v>2930</v>
      </c>
      <c r="BP404" s="7433"/>
      <c r="BQ404" s="1278"/>
      <c r="BR404" s="1278"/>
      <c r="BS404" s="1064" t="s">
        <v>2539</v>
      </c>
      <c r="BT404" s="1064"/>
      <c r="BU404" s="1064"/>
      <c r="BV404" s="979"/>
      <c r="BW404" s="979"/>
    </row>
    <row s="7552" customFormat="1" customHeight="1" ht="20.25">
      <c r="A405" s="700"/>
      <c r="B405" s="432" cm="1" t="str">
        <f t="array" ref="B405:B405">B404</f>
        <v>true</v>
      </c>
      <c r="C405" s="109"/>
      <c r="D405" s="109"/>
      <c r="E405" s="826">
        <v>21</v>
      </c>
      <c r="F405" s="50" cm="1" t="str">
        <f t="array" ref="F405:F405">OFFSET(E405,-1,1)</f>
        <v>2</v>
      </c>
      <c r="G405" s="107" t="s">
        <v>2238</v>
      </c>
      <c r="H405" s="107"/>
      <c r="I405" s="107" t="s">
        <v>335</v>
      </c>
      <c r="J405" s="109"/>
      <c r="K405" s="158"/>
      <c r="L405" s="985" t="s">
        <v>1275</v>
      </c>
      <c r="M405" s="109"/>
      <c r="N405" s="109"/>
      <c r="O405" s="109"/>
      <c r="P405" s="109"/>
      <c r="Q405" s="109"/>
      <c r="R405" s="109"/>
      <c r="S405" s="109"/>
      <c r="T405" s="465" cm="1" t="str">
        <f t="array" ref="T405:T405">T404</f>
        <v>true</v>
      </c>
      <c r="U405" s="109"/>
      <c r="V405" s="109"/>
      <c r="W405" s="109"/>
      <c r="X405" s="1596"/>
      <c r="Y405" s="700"/>
      <c r="Z405" s="1546"/>
      <c r="AA405" s="700"/>
      <c r="AB405" s="211" t="s">
        <v>443</v>
      </c>
      <c r="AC405" s="212" t="s">
        <v>2238</v>
      </c>
      <c r="AD405" s="234" t="s">
        <v>1514</v>
      </c>
      <c r="AE405" s="213">
        <f>AE406+AE407+AE408+AE409</f>
        <v>0</v>
      </c>
      <c r="AF405" s="213">
        <f>AF406+AF407+AF408+AF409</f>
        <v>0</v>
      </c>
      <c r="AG405" s="213">
        <f>AG406+AG407+AG408+AG409</f>
        <v>0</v>
      </c>
      <c r="AH405" s="213">
        <f>AG405-AF405</f>
        <v>0</v>
      </c>
      <c r="AI405" s="213">
        <f>AI406+AI407+AI408+AI409</f>
        <v>0</v>
      </c>
      <c r="AJ405" s="213">
        <f>AJ406+AJ407+AJ408+AJ409</f>
        <v>0</v>
      </c>
      <c r="AK405" s="213">
        <f>AK406+AK407+AK408+AK409</f>
        <v>0</v>
      </c>
      <c r="AL405" s="213">
        <f>AL406+AL407+AL408+AL409</f>
        <v>0</v>
      </c>
      <c r="AM405" s="213">
        <f>AM406+AM407+AM408+AM409</f>
        <v>0</v>
      </c>
      <c r="AN405" s="213">
        <f>AN406+AN407+AN408+AN409</f>
        <v>0</v>
      </c>
      <c r="AO405" s="213">
        <f>AO406+AO407+AO408+AO409</f>
        <v>0</v>
      </c>
      <c r="AP405" s="213">
        <f>AP406+AP407+AP408+AP409</f>
        <v>0</v>
      </c>
      <c r="AQ405" s="213">
        <f>AQ406+AQ407+AQ408+AQ409</f>
        <v>0</v>
      </c>
      <c r="AR405" s="213">
        <f>AR406+AR407+AR408+AR409</f>
        <v>0</v>
      </c>
      <c r="AS405" s="213">
        <f>AS406+AS407+AS408+AS409</f>
        <v>0</v>
      </c>
      <c r="AT405" s="213">
        <f>AT406+AT407+AT408+AT409</f>
        <v>0</v>
      </c>
      <c r="AU405" s="213">
        <f>AU406+AU407+AU408+AU409</f>
        <v>0</v>
      </c>
      <c r="AV405" s="213">
        <f>AV406+AV407+AV408+AV409</f>
        <v>0</v>
      </c>
      <c r="AW405" s="213">
        <f>AW406+AW407+AW408+AW409</f>
        <v>0</v>
      </c>
      <c r="AX405" s="213">
        <f>AX406+AX407+AX408+AX409</f>
        <v>0</v>
      </c>
      <c r="AY405" s="213">
        <f>AY406+AY407+AY408+AY409</f>
        <v>0</v>
      </c>
      <c r="AZ405" s="213">
        <f>AZ406+AZ407+AZ408+AZ409</f>
        <v>0</v>
      </c>
      <c r="BA405" s="213">
        <f>BA406+BA407+BA408+BA409</f>
        <v>0</v>
      </c>
      <c r="BB405" s="213">
        <f>BB406+BB407+BB408+BB409</f>
        <v>0</v>
      </c>
      <c r="BC405" s="213">
        <f>BC406+BC407+BC408+BC409</f>
        <v>0</v>
      </c>
      <c r="BD405" s="778">
        <f>IF(AI405=0,0,(AT405-AI405)/AI405*100)</f>
        <v>0</v>
      </c>
      <c r="BE405" s="778">
        <f>IF(AT405=0,0,(AU405-AT405)/AT405*100)</f>
        <v>0</v>
      </c>
      <c r="BF405" s="778">
        <f>IF(AU405=0,0,(AV405-AU405)/AU405*100)</f>
        <v>0</v>
      </c>
      <c r="BG405" s="778">
        <f>IF(AV405=0,0,(AW405-AV405)/AV405*100)</f>
        <v>0</v>
      </c>
      <c r="BH405" s="778">
        <f>IF(AW405=0,0,(AX405-AW405)/AW405*100)</f>
        <v>0</v>
      </c>
      <c r="BI405" s="778">
        <f>IF(AX405=0,0,(AY405-AX405)/AX405*100)</f>
        <v>0</v>
      </c>
      <c r="BJ405" s="778">
        <f>IF(AY405=0,0,(AZ405-AY405)/AY405*100)</f>
        <v>0</v>
      </c>
      <c r="BK405" s="778">
        <f>IF(AZ405=0,0,(BA405-AZ405)/AZ405*100)</f>
        <v>0</v>
      </c>
      <c r="BL405" s="778">
        <f>IF(BA405=0,0,(BB405-BA405)/BA405*100)</f>
        <v>0</v>
      </c>
      <c r="BM405" s="778">
        <f>IF(BB405=0,0,(BC405-BB405)/BB405*100)</f>
        <v>0</v>
      </c>
      <c r="BN405" s="7433"/>
      <c r="BO405" s="7433"/>
      <c r="BP405" s="7433"/>
      <c r="BQ405" s="700"/>
      <c r="BR405" s="700"/>
      <c r="BS405" s="1063" t="s">
        <v>2242</v>
      </c>
      <c r="BT405" s="1070"/>
      <c r="BU405" s="1070"/>
      <c r="BV405" s="707"/>
      <c r="BW405" s="707"/>
    </row>
    <row s="1834" customFormat="1" customHeight="1" ht="14.25">
      <c r="A406" s="1278"/>
      <c r="B406" s="432" cm="1" t="str">
        <f t="array" ref="B406:B406">B405</f>
        <v>true</v>
      </c>
      <c r="C406" s="107"/>
      <c r="D406" s="107"/>
      <c r="E406" s="621">
        <v>15</v>
      </c>
      <c r="F406" s="50" cm="1" t="str">
        <f t="array" ref="F406:F406">OFFSET(E406,-1,1)</f>
        <v>2</v>
      </c>
      <c r="G406" s="107"/>
      <c r="H406" s="107"/>
      <c r="I406" s="107" t="s">
        <v>1263</v>
      </c>
      <c r="J406" s="107"/>
      <c r="K406" s="1278"/>
      <c r="L406" s="980"/>
      <c r="M406" s="107"/>
      <c r="N406" s="107"/>
      <c r="O406" s="107"/>
      <c r="P406" s="107"/>
      <c r="Q406" s="107"/>
      <c r="R406" s="107"/>
      <c r="S406" s="107"/>
      <c r="T406" s="465" cm="1" t="str">
        <f t="array" ref="T406:T406">T405</f>
        <v>true</v>
      </c>
      <c r="U406" s="107"/>
      <c r="V406" s="107"/>
      <c r="W406" s="107"/>
      <c r="X406" s="1596"/>
      <c r="Y406" s="1278"/>
      <c r="Z406" s="1546"/>
      <c r="AA406" s="1278"/>
      <c r="AB406" s="300" t="s">
        <v>1391</v>
      </c>
      <c r="AC406" s="762" t="s">
        <v>2832</v>
      </c>
      <c r="AD406" s="300" t="s">
        <v>1514</v>
      </c>
      <c r="AE406" s="3946">
        <f>_xlfn.SUMIFS('ИП + источники'!AF$27:AF$203,'ИП + источники'!$F$27:$F$203,$F406,'ИП + источники'!$AC$27:$AC$203,"погашение займов и кредитов из нормативной прибыли")</f>
        <v>0</v>
      </c>
      <c r="AF406" s="3946">
        <f>_xlfn.SUMIFS('ИП + источники'!AG$27:AG$203,'ИП + источники'!$F$27:$F$203,$F406,'ИП + источники'!$AC$27:$AC$203,"погашение займов и кредитов из нормативной прибыли")</f>
        <v>0</v>
      </c>
      <c r="AG406" s="3946">
        <f>_xlfn.SUMIFS('ИП + источники'!AH$27:AH$203,'ИП + источники'!$F$27:$F$203,$F406,'ИП + источники'!$AC$27:$AC$203,"погашение займов и кредитов из нормативной прибыли")</f>
        <v>0</v>
      </c>
      <c r="AH406" s="1114">
        <f>AG406-AF406</f>
        <v>0</v>
      </c>
      <c r="AI406" s="3946">
        <f>_xlfn.SUMIFS('ИП + источники'!AJ$27:AJ$203,'ИП + источники'!$F$27:$F$203,$F406,'ИП + источники'!$AC$27:$AC$203,"погашение займов и кредитов из нормативной прибыли")</f>
        <v>0</v>
      </c>
      <c r="AJ406" s="3946">
        <f>_xlfn.SUMIFS('ИП + источники'!AK$27:AK$203,'ИП + источники'!$F$27:$F$203,$F406,'ИП + источники'!$AC$27:$AC$203,"погашение займов и кредитов из нормативной прибыли")</f>
        <v>0</v>
      </c>
      <c r="AK406" s="3946">
        <f>_xlfn.SUMIFS('ИП + источники'!AL$27:AL$203,'ИП + источники'!$F$27:$F$203,$F406,'ИП + источники'!$AC$27:$AC$203,"погашение займов и кредитов из нормативной прибыли")</f>
        <v>0</v>
      </c>
      <c r="AL406" s="3946">
        <f>_xlfn.SUMIFS('ИП + источники'!AM$27:AM$203,'ИП + источники'!$F$27:$F$203,$F406,'ИП + источники'!$AC$27:$AC$203,"погашение займов и кредитов из нормативной прибыли")</f>
        <v>0</v>
      </c>
      <c r="AM406" s="3946">
        <f>_xlfn.SUMIFS('ИП + источники'!AN$27:AN$203,'ИП + источники'!$F$27:$F$203,$F406,'ИП + источники'!$AC$27:$AC$203,"погашение займов и кредитов из нормативной прибыли")</f>
        <v>0</v>
      </c>
      <c r="AN406" s="3946">
        <f>_xlfn.SUMIFS('ИП + источники'!AO$27:AO$203,'ИП + источники'!$F$27:$F$203,$F406,'ИП + источники'!$AC$27:$AC$203,"погашение займов и кредитов из нормативной прибыли")</f>
        <v>0</v>
      </c>
      <c r="AO406" s="1241">
        <f>_xlfn.SUMIFS('ИП + источники'!AP$27:AP$203,'ИП + источники'!$F$27:$F$203,$F406,'ИП + источники'!$AC$27:$AC$203,"погашение займов и кредитов из нормативной прибыли")</f>
        <v>0</v>
      </c>
      <c r="AP406" s="1241">
        <f>_xlfn.SUMIFS('ИП + источники'!AQ$27:AQ$203,'ИП + источники'!$F$27:$F$203,$F406,'ИП + источники'!$AC$27:$AC$203,"погашение займов и кредитов из нормативной прибыли")</f>
        <v>0</v>
      </c>
      <c r="AQ406" s="1241">
        <f>_xlfn.SUMIFS('ИП + источники'!AR$27:AR$203,'ИП + источники'!$F$27:$F$203,$F406,'ИП + источники'!$AC$27:$AC$203,"погашение займов и кредитов из нормативной прибыли")</f>
        <v>0</v>
      </c>
      <c r="AR406" s="1241">
        <f>_xlfn.SUMIFS('ИП + источники'!AS$27:AS$203,'ИП + источники'!$F$27:$F$203,$F406,'ИП + источники'!$AC$27:$AC$203,"погашение займов и кредитов из нормативной прибыли")</f>
        <v>0</v>
      </c>
      <c r="AS406" s="1241">
        <f>_xlfn.SUMIFS('ИП + источники'!AT$27:AT$203,'ИП + источники'!$F$27:$F$203,$F406,'ИП + источники'!$AC$27:$AC$203,"погашение займов и кредитов из нормативной прибыли")</f>
        <v>0</v>
      </c>
      <c r="AT406" s="3946">
        <f>_xlfn.SUMIFS('ИП + источники'!AU$27:AU$203,'ИП + источники'!$F$27:$F$203,$F406,'ИП + источники'!$AC$27:$AC$203,"погашение займов и кредитов из нормативной прибыли")</f>
        <v>0</v>
      </c>
      <c r="AU406" s="3946">
        <f>_xlfn.SUMIFS('ИП + источники'!AV$27:AV$203,'ИП + источники'!$F$27:$F$203,$F406,'ИП + источники'!$AC$27:$AC$203,"погашение займов и кредитов из нормативной прибыли")</f>
        <v>0</v>
      </c>
      <c r="AV406" s="3946">
        <f>_xlfn.SUMIFS('ИП + источники'!AW$27:AW$203,'ИП + источники'!$F$27:$F$203,$F406,'ИП + источники'!$AC$27:$AC$203,"погашение займов и кредитов из нормативной прибыли")</f>
        <v>0</v>
      </c>
      <c r="AW406" s="3946">
        <f>_xlfn.SUMIFS('ИП + источники'!AX$27:AX$203,'ИП + источники'!$F$27:$F$203,$F406,'ИП + источники'!$AC$27:$AC$203,"погашение займов и кредитов из нормативной прибыли")</f>
        <v>0</v>
      </c>
      <c r="AX406" s="3946">
        <f>_xlfn.SUMIFS('ИП + источники'!AY$27:AY$203,'ИП + источники'!$F$27:$F$203,$F406,'ИП + источники'!$AC$27:$AC$203,"погашение займов и кредитов из нормативной прибыли")</f>
        <v>0</v>
      </c>
      <c r="AY406" s="1241">
        <f>_xlfn.SUMIFS('ИП + источники'!AZ$27:AZ$203,'ИП + источники'!$F$27:$F$203,$F406,'ИП + источники'!$AC$27:$AC$203,"погашение займов и кредитов из нормативной прибыли")</f>
        <v>0</v>
      </c>
      <c r="AZ406" s="1241">
        <f>_xlfn.SUMIFS('ИП + источники'!BA$27:BA$203,'ИП + источники'!$F$27:$F$203,$F406,'ИП + источники'!$AC$27:$AC$203,"погашение займов и кредитов из нормативной прибыли")</f>
        <v>0</v>
      </c>
      <c r="BA406" s="1241">
        <f>_xlfn.SUMIFS('ИП + источники'!BB$27:BB$203,'ИП + источники'!$F$27:$F$203,$F406,'ИП + источники'!$AC$27:$AC$203,"погашение займов и кредитов из нормативной прибыли")</f>
        <v>0</v>
      </c>
      <c r="BB406" s="1241">
        <f>_xlfn.SUMIFS('ИП + источники'!BC$27:BC$203,'ИП + источники'!$F$27:$F$203,$F406,'ИП + источники'!$AC$27:$AC$203,"погашение займов и кредитов из нормативной прибыли")</f>
        <v>0</v>
      </c>
      <c r="BC406" s="1241">
        <f>_xlfn.SUMIFS('ИП + источники'!BD$27:BD$203,'ИП + источники'!$F$27:$F$203,$F406,'ИП + источники'!$AC$27:$AC$203,"погашение займов и кредитов из нормативной прибыли")</f>
        <v>0</v>
      </c>
      <c r="BD406" s="1114">
        <f>IF(AI406=0,0,(AT406-AI406)/AI406*100)</f>
        <v>0</v>
      </c>
      <c r="BE406" s="1114">
        <f>IF(AT406=0,0,(AU406-AT406)/AT406*100)</f>
        <v>0</v>
      </c>
      <c r="BF406" s="1114">
        <f>IF(AU406=0,0,(AV406-AU406)/AU406*100)</f>
        <v>0</v>
      </c>
      <c r="BG406" s="1114">
        <f>IF(AV406=0,0,(AW406-AV406)/AV406*100)</f>
        <v>0</v>
      </c>
      <c r="BH406" s="1114">
        <f>IF(AW406=0,0,(AX406-AW406)/AW406*100)</f>
        <v>0</v>
      </c>
      <c r="BI406" s="1114">
        <f>IF(AX406=0,0,(AY406-AX406)/AX406*100)</f>
        <v>0</v>
      </c>
      <c r="BJ406" s="1114">
        <f>IF(AY406=0,0,(AZ406-AY406)/AY406*100)</f>
        <v>0</v>
      </c>
      <c r="BK406" s="1114">
        <f>IF(AZ406=0,0,(BA406-AZ406)/AZ406*100)</f>
        <v>0</v>
      </c>
      <c r="BL406" s="1114">
        <f>IF(BA406=0,0,(BB406-BA406)/BA406*100)</f>
        <v>0</v>
      </c>
      <c r="BM406" s="1114">
        <f>IF(BB406=0,0,(BC406-BB406)/BB406*100)</f>
        <v>0</v>
      </c>
      <c r="BN406" s="7433"/>
      <c r="BO406" s="7437" t="str">
        <f>IF(_xlfn.IFERROR(INDEX('ИП + источники'!$K$57:$L$203,MATCH($F406&amp;"2komm",'ИП + источники'!$K$57:$K$203,0),2),"")=0,"",_xlfn.IFERROR(INDEX('ИП + источники'!$K$57:$L$203,MATCH($F406&amp;"2komm",'ИП + источники'!$K$57:$K$203,0),2),""))</f>
        <v/>
      </c>
      <c r="BP406" s="7433"/>
      <c r="BQ406" s="1278"/>
      <c r="BR406" s="1278"/>
      <c r="BS406" s="1064" t="s">
        <v>2833</v>
      </c>
      <c r="BT406" s="1064"/>
      <c r="BU406" s="1064"/>
      <c r="BV406" s="979"/>
      <c r="BW406" s="979"/>
    </row>
    <row s="1834" customFormat="1" customHeight="1" ht="14.25">
      <c r="A407" s="1278"/>
      <c r="B407" s="432" cm="1" t="str">
        <f t="array" ref="B407:B407">B406</f>
        <v>true</v>
      </c>
      <c r="C407" s="107"/>
      <c r="D407" s="107"/>
      <c r="E407" s="621">
        <v>15</v>
      </c>
      <c r="F407" s="50" cm="1" t="str">
        <f t="array" ref="F407:F407">OFFSET(E407,-1,1)</f>
        <v>2</v>
      </c>
      <c r="G407" s="107"/>
      <c r="H407" s="107"/>
      <c r="I407" s="107" t="s">
        <v>1267</v>
      </c>
      <c r="J407" s="107"/>
      <c r="K407" s="1278"/>
      <c r="L407" s="980"/>
      <c r="M407" s="107"/>
      <c r="N407" s="107"/>
      <c r="O407" s="107"/>
      <c r="P407" s="107"/>
      <c r="Q407" s="107"/>
      <c r="R407" s="107"/>
      <c r="S407" s="107"/>
      <c r="T407" s="465" cm="1" t="str">
        <f t="array" ref="T407:T407">T406</f>
        <v>true</v>
      </c>
      <c r="U407" s="107"/>
      <c r="V407" s="107"/>
      <c r="W407" s="107"/>
      <c r="X407" s="1596"/>
      <c r="Y407" s="1278"/>
      <c r="Z407" s="1546"/>
      <c r="AA407" s="1278"/>
      <c r="AB407" s="300" t="s">
        <v>1394</v>
      </c>
      <c r="AC407" s="762" t="s">
        <v>2834</v>
      </c>
      <c r="AD407" s="300" t="s">
        <v>1514</v>
      </c>
      <c r="AE407" s="3946">
        <f>_xlfn.SUMIFS('ИП + источники'!AF$27:AF$203,'ИП + источники'!$F$27:$F$203,$F407,'ИП + источники'!$AC$27:$AC$203,"уплата процентов по кредитам из нормативной прибыли")</f>
        <v>0</v>
      </c>
      <c r="AF407" s="3946">
        <f>_xlfn.SUMIFS('ИП + источники'!AG$27:AG$203,'ИП + источники'!$F$27:$F$203,$F407,'ИП + источники'!$AC$27:$AC$203,"уплата процентов по кредитам из нормативной прибыли")</f>
        <v>0</v>
      </c>
      <c r="AG407" s="3946">
        <f>_xlfn.SUMIFS('ИП + источники'!AH$27:AH$203,'ИП + источники'!$F$27:$F$203,$F407,'ИП + источники'!$AC$27:$AC$203,"уплата процентов по кредитам из нормативной прибыли")</f>
        <v>0</v>
      </c>
      <c r="AH407" s="1114">
        <f>AG407-AF407</f>
        <v>0</v>
      </c>
      <c r="AI407" s="3946">
        <f>_xlfn.SUMIFS('ИП + источники'!AJ$27:AJ$203,'ИП + источники'!$F$27:$F$203,$F407,'ИП + источники'!$AC$27:$AC$203,"уплата процентов по кредитам из нормативной прибыли")</f>
        <v>0</v>
      </c>
      <c r="AJ407" s="3946">
        <f>_xlfn.SUMIFS('ИП + источники'!AK$27:AK$203,'ИП + источники'!$F$27:$F$203,$F407,'ИП + источники'!$AC$27:$AC$203,"уплата процентов по кредитам из нормативной прибыли")</f>
        <v>0</v>
      </c>
      <c r="AK407" s="3946">
        <f>_xlfn.SUMIFS('ИП + источники'!AL$27:AL$203,'ИП + источники'!$F$27:$F$203,$F407,'ИП + источники'!$AC$27:$AC$203,"уплата процентов по кредитам из нормативной прибыли")</f>
        <v>0</v>
      </c>
      <c r="AL407" s="3946">
        <f>_xlfn.SUMIFS('ИП + источники'!AM$27:AM$203,'ИП + источники'!$F$27:$F$203,$F407,'ИП + источники'!$AC$27:$AC$203,"уплата процентов по кредитам из нормативной прибыли")</f>
        <v>0</v>
      </c>
      <c r="AM407" s="3946">
        <f>_xlfn.SUMIFS('ИП + источники'!AN$27:AN$203,'ИП + источники'!$F$27:$F$203,$F407,'ИП + источники'!$AC$27:$AC$203,"уплата процентов по кредитам из нормативной прибыли")</f>
        <v>0</v>
      </c>
      <c r="AN407" s="3946">
        <f>_xlfn.SUMIFS('ИП + источники'!AO$27:AO$203,'ИП + источники'!$F$27:$F$203,$F407,'ИП + источники'!$AC$27:$AC$203,"уплата процентов по кредитам из нормативной прибыли")</f>
        <v>0</v>
      </c>
      <c r="AO407" s="1241">
        <f>_xlfn.SUMIFS('ИП + источники'!AP$27:AP$203,'ИП + источники'!$F$27:$F$203,$F407,'ИП + источники'!$AC$27:$AC$203,"уплата процентов по кредитам из нормативной прибыли")</f>
        <v>0</v>
      </c>
      <c r="AP407" s="1241">
        <f>_xlfn.SUMIFS('ИП + источники'!AQ$27:AQ$203,'ИП + источники'!$F$27:$F$203,$F407,'ИП + источники'!$AC$27:$AC$203,"уплата процентов по кредитам из нормативной прибыли")</f>
        <v>0</v>
      </c>
      <c r="AQ407" s="1241">
        <f>_xlfn.SUMIFS('ИП + источники'!AR$27:AR$203,'ИП + источники'!$F$27:$F$203,$F407,'ИП + источники'!$AC$27:$AC$203,"уплата процентов по кредитам из нормативной прибыли")</f>
        <v>0</v>
      </c>
      <c r="AR407" s="1241">
        <f>_xlfn.SUMIFS('ИП + источники'!AS$27:AS$203,'ИП + источники'!$F$27:$F$203,$F407,'ИП + источники'!$AC$27:$AC$203,"уплата процентов по кредитам из нормативной прибыли")</f>
        <v>0</v>
      </c>
      <c r="AS407" s="1241">
        <f>_xlfn.SUMIFS('ИП + источники'!AT$27:AT$203,'ИП + источники'!$F$27:$F$203,$F407,'ИП + источники'!$AC$27:$AC$203,"уплата процентов по кредитам из нормативной прибыли")</f>
        <v>0</v>
      </c>
      <c r="AT407" s="3946">
        <f>_xlfn.SUMIFS('ИП + источники'!AU$27:AU$203,'ИП + источники'!$F$27:$F$203,$F407,'ИП + источники'!$AC$27:$AC$203,"уплата процентов по кредитам из нормативной прибыли")</f>
        <v>0</v>
      </c>
      <c r="AU407" s="3946">
        <f>_xlfn.SUMIFS('ИП + источники'!AV$27:AV$203,'ИП + источники'!$F$27:$F$203,$F407,'ИП + источники'!$AC$27:$AC$203,"уплата процентов по кредитам из нормативной прибыли")</f>
        <v>0</v>
      </c>
      <c r="AV407" s="3946">
        <f>_xlfn.SUMIFS('ИП + источники'!AW$27:AW$203,'ИП + источники'!$F$27:$F$203,$F407,'ИП + источники'!$AC$27:$AC$203,"уплата процентов по кредитам из нормативной прибыли")</f>
        <v>0</v>
      </c>
      <c r="AW407" s="3946">
        <f>_xlfn.SUMIFS('ИП + источники'!AX$27:AX$203,'ИП + источники'!$F$27:$F$203,$F407,'ИП + источники'!$AC$27:$AC$203,"уплата процентов по кредитам из нормативной прибыли")</f>
        <v>0</v>
      </c>
      <c r="AX407" s="3946">
        <f>_xlfn.SUMIFS('ИП + источники'!AY$27:AY$203,'ИП + источники'!$F$27:$F$203,$F407,'ИП + источники'!$AC$27:$AC$203,"уплата процентов по кредитам из нормативной прибыли")</f>
        <v>0</v>
      </c>
      <c r="AY407" s="1241">
        <f>_xlfn.SUMIFS('ИП + источники'!AZ$27:AZ$203,'ИП + источники'!$F$27:$F$203,$F407,'ИП + источники'!$AC$27:$AC$203,"уплата процентов по кредитам из нормативной прибыли")</f>
        <v>0</v>
      </c>
      <c r="AZ407" s="1241">
        <f>_xlfn.SUMIFS('ИП + источники'!BA$27:BA$203,'ИП + источники'!$F$27:$F$203,$F407,'ИП + источники'!$AC$27:$AC$203,"уплата процентов по кредитам из нормативной прибыли")</f>
        <v>0</v>
      </c>
      <c r="BA407" s="1241">
        <f>_xlfn.SUMIFS('ИП + источники'!BB$27:BB$203,'ИП + источники'!$F$27:$F$203,$F407,'ИП + источники'!$AC$27:$AC$203,"уплата процентов по кредитам из нормативной прибыли")</f>
        <v>0</v>
      </c>
      <c r="BB407" s="1241">
        <f>_xlfn.SUMIFS('ИП + источники'!BC$27:BC$203,'ИП + источники'!$F$27:$F$203,$F407,'ИП + источники'!$AC$27:$AC$203,"уплата процентов по кредитам из нормативной прибыли")</f>
        <v>0</v>
      </c>
      <c r="BC407" s="1241">
        <f>_xlfn.SUMIFS('ИП + источники'!BD$27:BD$203,'ИП + источники'!$F$27:$F$203,$F407,'ИП + источники'!$AC$27:$AC$203,"уплата процентов по кредитам из нормативной прибыли")</f>
        <v>0</v>
      </c>
      <c r="BD407" s="1114">
        <f>IF(AI407=0,0,(AT407-AI407)/AI407*100)</f>
        <v>0</v>
      </c>
      <c r="BE407" s="1114">
        <f>IF(AT407=0,0,(AU407-AT407)/AT407*100)</f>
        <v>0</v>
      </c>
      <c r="BF407" s="1114">
        <f>IF(AU407=0,0,(AV407-AU407)/AU407*100)</f>
        <v>0</v>
      </c>
      <c r="BG407" s="1114">
        <f>IF(AV407=0,0,(AW407-AV407)/AV407*100)</f>
        <v>0</v>
      </c>
      <c r="BH407" s="1114">
        <f>IF(AW407=0,0,(AX407-AW407)/AW407*100)</f>
        <v>0</v>
      </c>
      <c r="BI407" s="1114">
        <f>IF(AX407=0,0,(AY407-AX407)/AX407*100)</f>
        <v>0</v>
      </c>
      <c r="BJ407" s="1114">
        <f>IF(AY407=0,0,(AZ407-AY407)/AY407*100)</f>
        <v>0</v>
      </c>
      <c r="BK407" s="1114">
        <f>IF(AZ407=0,0,(BA407-AZ407)/AZ407*100)</f>
        <v>0</v>
      </c>
      <c r="BL407" s="1114">
        <f>IF(BA407=0,0,(BB407-BA407)/BA407*100)</f>
        <v>0</v>
      </c>
      <c r="BM407" s="1114">
        <f>IF(BB407=0,0,(BC407-BB407)/BB407*100)</f>
        <v>0</v>
      </c>
      <c r="BN407" s="7433"/>
      <c r="BO407" s="7437" t="str">
        <f>IF(_xlfn.IFERROR(INDEX('ИП + источники'!$K$57:$L$203,MATCH($F407&amp;"3komm",'ИП + источники'!$K$57:$K$203,0),2),"")=0,"",_xlfn.IFERROR(INDEX('ИП + источники'!$K$57:$L$203,MATCH($F407&amp;"3komm",'ИП + источники'!$K$57:$K$203,0),2),""))</f>
        <v/>
      </c>
      <c r="BP407" s="7433"/>
      <c r="BQ407" s="1278"/>
      <c r="BR407" s="1278"/>
      <c r="BS407" s="1064" t="s">
        <v>2835</v>
      </c>
      <c r="BT407" s="1064"/>
      <c r="BU407" s="1064"/>
      <c r="BV407" s="979"/>
      <c r="BW407" s="979"/>
    </row>
    <row s="1834" customFormat="1" customHeight="1" ht="14.25">
      <c r="A408" s="1278"/>
      <c r="B408" s="432" cm="1" t="str">
        <f t="array" ref="B408:B408">B407</f>
        <v>true</v>
      </c>
      <c r="C408" s="107"/>
      <c r="D408" s="107"/>
      <c r="E408" s="621">
        <v>15</v>
      </c>
      <c r="F408" s="50" cm="1" t="str">
        <f t="array" ref="F408:F408">OFFSET(E408,-1,1)</f>
        <v>2</v>
      </c>
      <c r="G408" s="107"/>
      <c r="H408" s="107"/>
      <c r="I408" s="107" t="s">
        <v>1479</v>
      </c>
      <c r="J408" s="107"/>
      <c r="K408" s="1278"/>
      <c r="L408" s="980" t="s">
        <v>1282</v>
      </c>
      <c r="M408" s="107"/>
      <c r="N408" s="107"/>
      <c r="O408" s="107"/>
      <c r="P408" s="107"/>
      <c r="Q408" s="107"/>
      <c r="R408" s="107"/>
      <c r="S408" s="107"/>
      <c r="T408" s="465" cm="1" t="str">
        <f t="array" ref="T408:T408">T407</f>
        <v>true</v>
      </c>
      <c r="U408" s="107"/>
      <c r="V408" s="107"/>
      <c r="W408" s="107"/>
      <c r="X408" s="1596"/>
      <c r="Y408" s="1278"/>
      <c r="Z408" s="1546"/>
      <c r="AA408" s="1278"/>
      <c r="AB408" s="300" t="s">
        <v>1683</v>
      </c>
      <c r="AC408" s="762" t="s">
        <v>2836</v>
      </c>
      <c r="AD408" s="300" t="s">
        <v>1514</v>
      </c>
      <c r="AE408" s="3946">
        <f>_xlfn.SUMIFS('ИП + источники'!AF$27:AF$203,'ИП + источники'!$F$27:$F$203,$F408,'ИП + источники'!$AC$27:$AC$203,"Прибыль на капвложения")</f>
        <v>0</v>
      </c>
      <c r="AF408" s="3946">
        <f>_xlfn.SUMIFS('ИП + источники'!AG$27:AG$203,'ИП + источники'!$F$27:$F$203,$F408,'ИП + источники'!$AC$27:$AC$203,"Прибыль на капвложения")</f>
        <v>0</v>
      </c>
      <c r="AG408" s="3946">
        <f>_xlfn.SUMIFS('ИП + источники'!AH$27:AH$203,'ИП + источники'!$F$27:$F$203,$F408,'ИП + источники'!$AC$27:$AC$203,"Прибыль на капвложения")</f>
        <v>0</v>
      </c>
      <c r="AH408" s="1114">
        <f>AG408-AF408</f>
        <v>0</v>
      </c>
      <c r="AI408" s="3946">
        <f>_xlfn.SUMIFS('ИП + источники'!AJ$27:AJ$203,'ИП + источники'!$F$27:$F$203,$F408,'ИП + источники'!$AC$27:$AC$203,"Прибыль на капвложения")</f>
        <v>0</v>
      </c>
      <c r="AJ408" s="3946">
        <f>_xlfn.SUMIFS('ИП + источники'!AK$27:AK$203,'ИП + источники'!$F$27:$F$203,$F408,'ИП + источники'!$AC$27:$AC$203,"Прибыль на капвложения")</f>
        <v>0</v>
      </c>
      <c r="AK408" s="3946">
        <f>_xlfn.SUMIFS('ИП + источники'!AL$27:AL$203,'ИП + источники'!$F$27:$F$203,$F408,'ИП + источники'!$AC$27:$AC$203,"Прибыль на капвложения")</f>
        <v>0</v>
      </c>
      <c r="AL408" s="3946">
        <f>_xlfn.SUMIFS('ИП + источники'!AM$27:AM$203,'ИП + источники'!$F$27:$F$203,$F408,'ИП + источники'!$AC$27:$AC$203,"Прибыль на капвложения")</f>
        <v>0</v>
      </c>
      <c r="AM408" s="3946">
        <f>_xlfn.SUMIFS('ИП + источники'!AN$27:AN$203,'ИП + источники'!$F$27:$F$203,$F408,'ИП + источники'!$AC$27:$AC$203,"Прибыль на капвложения")</f>
        <v>0</v>
      </c>
      <c r="AN408" s="3946">
        <f>_xlfn.SUMIFS('ИП + источники'!AO$27:AO$203,'ИП + источники'!$F$27:$F$203,$F408,'ИП + источники'!$AC$27:$AC$203,"Прибыль на капвложения")</f>
        <v>0</v>
      </c>
      <c r="AO408" s="1241">
        <f>_xlfn.SUMIFS('ИП + источники'!AP$27:AP$203,'ИП + источники'!$F$27:$F$203,$F408,'ИП + источники'!$AC$27:$AC$203,"Прибыль на капвложения")</f>
        <v>0</v>
      </c>
      <c r="AP408" s="1241">
        <f>_xlfn.SUMIFS('ИП + источники'!AQ$27:AQ$203,'ИП + источники'!$F$27:$F$203,$F408,'ИП + источники'!$AC$27:$AC$203,"Прибыль на капвложения")</f>
        <v>0</v>
      </c>
      <c r="AQ408" s="1241">
        <f>_xlfn.SUMIFS('ИП + источники'!AR$27:AR$203,'ИП + источники'!$F$27:$F$203,$F408,'ИП + источники'!$AC$27:$AC$203,"Прибыль на капвложения")</f>
        <v>0</v>
      </c>
      <c r="AR408" s="1241">
        <f>_xlfn.SUMIFS('ИП + источники'!AS$27:AS$203,'ИП + источники'!$F$27:$F$203,$F408,'ИП + источники'!$AC$27:$AC$203,"Прибыль на капвложения")</f>
        <v>0</v>
      </c>
      <c r="AS408" s="1241">
        <f>_xlfn.SUMIFS('ИП + источники'!AT$27:AT$203,'ИП + источники'!$F$27:$F$203,$F408,'ИП + источники'!$AC$27:$AC$203,"Прибыль на капвложения")</f>
        <v>0</v>
      </c>
      <c r="AT408" s="3946">
        <f>_xlfn.SUMIFS('ИП + источники'!AU$27:AU$203,'ИП + источники'!$F$27:$F$203,$F408,'ИП + источники'!$AC$27:$AC$203,"Прибыль на капвложения")</f>
        <v>0</v>
      </c>
      <c r="AU408" s="3946">
        <f>_xlfn.SUMIFS('ИП + источники'!AV$27:AV$203,'ИП + источники'!$F$27:$F$203,$F408,'ИП + источники'!$AC$27:$AC$203,"Прибыль на капвложения")</f>
        <v>0</v>
      </c>
      <c r="AV408" s="3946">
        <f>_xlfn.SUMIFS('ИП + источники'!AW$27:AW$203,'ИП + источники'!$F$27:$F$203,$F408,'ИП + источники'!$AC$27:$AC$203,"Прибыль на капвложения")</f>
        <v>0</v>
      </c>
      <c r="AW408" s="3946">
        <f>_xlfn.SUMIFS('ИП + источники'!AX$27:AX$203,'ИП + источники'!$F$27:$F$203,$F408,'ИП + источники'!$AC$27:$AC$203,"Прибыль на капвложения")</f>
        <v>0</v>
      </c>
      <c r="AX408" s="3946">
        <f>_xlfn.SUMIFS('ИП + источники'!AY$27:AY$203,'ИП + источники'!$F$27:$F$203,$F408,'ИП + источники'!$AC$27:$AC$203,"Прибыль на капвложения")</f>
        <v>0</v>
      </c>
      <c r="AY408" s="1241">
        <f>_xlfn.SUMIFS('ИП + источники'!AZ$27:AZ$203,'ИП + источники'!$F$27:$F$203,$F408,'ИП + источники'!$AC$27:$AC$203,"Прибыль на капвложения")</f>
        <v>0</v>
      </c>
      <c r="AZ408" s="1241">
        <f>_xlfn.SUMIFS('ИП + источники'!BA$27:BA$203,'ИП + источники'!$F$27:$F$203,$F408,'ИП + источники'!$AC$27:$AC$203,"Прибыль на капвложения")</f>
        <v>0</v>
      </c>
      <c r="BA408" s="1241">
        <f>_xlfn.SUMIFS('ИП + источники'!BB$27:BB$203,'ИП + источники'!$F$27:$F$203,$F408,'ИП + источники'!$AC$27:$AC$203,"Прибыль на капвложения")</f>
        <v>0</v>
      </c>
      <c r="BB408" s="1241">
        <f>_xlfn.SUMIFS('ИП + источники'!BC$27:BC$203,'ИП + источники'!$F$27:$F$203,$F408,'ИП + источники'!$AC$27:$AC$203,"Прибыль на капвложения")</f>
        <v>0</v>
      </c>
      <c r="BC408" s="1241">
        <f>_xlfn.SUMIFS('ИП + источники'!BD$27:BD$203,'ИП + источники'!$F$27:$F$203,$F408,'ИП + источники'!$AC$27:$AC$203,"Прибыль на капвложения")</f>
        <v>0</v>
      </c>
      <c r="BD408" s="1114">
        <f>IF(AI408=0,0,(AT408-AI408)/AI408*100)</f>
        <v>0</v>
      </c>
      <c r="BE408" s="1114">
        <f>IF(AT408=0,0,(AU408-AT408)/AT408*100)</f>
        <v>0</v>
      </c>
      <c r="BF408" s="1114">
        <f>IF(AU408=0,0,(AV408-AU408)/AU408*100)</f>
        <v>0</v>
      </c>
      <c r="BG408" s="1114">
        <f>IF(AV408=0,0,(AW408-AV408)/AV408*100)</f>
        <v>0</v>
      </c>
      <c r="BH408" s="1114">
        <f>IF(AW408=0,0,(AX408-AW408)/AW408*100)</f>
        <v>0</v>
      </c>
      <c r="BI408" s="1114">
        <f>IF(AX408=0,0,(AY408-AX408)/AX408*100)</f>
        <v>0</v>
      </c>
      <c r="BJ408" s="1114">
        <f>IF(AY408=0,0,(AZ408-AY408)/AY408*100)</f>
        <v>0</v>
      </c>
      <c r="BK408" s="1114">
        <f>IF(AZ408=0,0,(BA408-AZ408)/AZ408*100)</f>
        <v>0</v>
      </c>
      <c r="BL408" s="1114">
        <f>IF(BA408=0,0,(BB408-BA408)/BA408*100)</f>
        <v>0</v>
      </c>
      <c r="BM408" s="1114">
        <f>IF(BB408=0,0,(BC408-BB408)/BB408*100)</f>
        <v>0</v>
      </c>
      <c r="BN408" s="7433"/>
      <c r="BO408" s="7437" t="str">
        <f>IF(_xlfn.IFERROR(INDEX('ИП + источники'!$K$57:$L$203,MATCH($F408&amp;"1komm",'ИП + источники'!$K$57:$K$203,0),2),"")=0,"",_xlfn.IFERROR(INDEX('ИП + источники'!$K$57:$L$203,MATCH($F408&amp;"1komm",'ИП + источники'!$K$57:$K$203,0),2),""))</f>
        <v/>
      </c>
      <c r="BP408" s="7433"/>
      <c r="BQ408" s="1278"/>
      <c r="BR408" s="1278"/>
      <c r="BS408" s="1064" t="s">
        <v>2546</v>
      </c>
      <c r="BT408" s="1064"/>
      <c r="BU408" s="1064"/>
      <c r="BV408" s="979"/>
      <c r="BW408" s="979"/>
    </row>
    <row s="1834" customFormat="1" customHeight="1" ht="21.75">
      <c r="A409" s="1278"/>
      <c r="B409" s="432" cm="1" t="str">
        <f t="array" ref="B409:B409">B408</f>
        <v>true</v>
      </c>
      <c r="C409" s="107"/>
      <c r="D409" s="107"/>
      <c r="E409" s="621">
        <v>22.5</v>
      </c>
      <c r="F409" s="50" cm="1" t="str">
        <f t="array" ref="F409:F409">OFFSET(E409,-1,1)</f>
        <v>2</v>
      </c>
      <c r="G409" s="107" t="s">
        <v>2837</v>
      </c>
      <c r="H409" s="107"/>
      <c r="I409" s="107" t="s">
        <v>1685</v>
      </c>
      <c r="J409" s="107"/>
      <c r="K409" s="1278"/>
      <c r="L409" s="980" t="s">
        <v>1286</v>
      </c>
      <c r="M409" s="107"/>
      <c r="N409" s="107"/>
      <c r="O409" s="107"/>
      <c r="P409" s="107"/>
      <c r="Q409" s="107"/>
      <c r="R409" s="107"/>
      <c r="S409" s="107"/>
      <c r="T409" s="465" cm="1" t="str">
        <f t="array" ref="T409:T409">T408</f>
        <v>true</v>
      </c>
      <c r="U409" s="107"/>
      <c r="V409" s="107"/>
      <c r="W409" s="107"/>
      <c r="X409" s="1596"/>
      <c r="Y409" s="1278"/>
      <c r="Z409" s="1546"/>
      <c r="AA409" s="1278"/>
      <c r="AB409" s="300" t="s">
        <v>1686</v>
      </c>
      <c r="AC409" s="762" t="s">
        <v>2838</v>
      </c>
      <c r="AD409" s="300" t="s">
        <v>1514</v>
      </c>
      <c r="AE409" s="3946"/>
      <c r="AF409" s="3946"/>
      <c r="AG409" s="3946"/>
      <c r="AH409" s="1114">
        <f>AG409-AF409</f>
        <v>0</v>
      </c>
      <c r="AI409" s="3946"/>
      <c r="AJ409" s="3946"/>
      <c r="AK409" s="3946"/>
      <c r="AL409" s="3946"/>
      <c r="AM409" s="3946"/>
      <c r="AN409" s="3946"/>
      <c r="AO409" s="1241"/>
      <c r="AP409" s="1241"/>
      <c r="AQ409" s="1241"/>
      <c r="AR409" s="1241"/>
      <c r="AS409" s="1241"/>
      <c r="AT409" s="3946"/>
      <c r="AU409" s="3946"/>
      <c r="AV409" s="3946"/>
      <c r="AW409" s="3946"/>
      <c r="AX409" s="3946"/>
      <c r="AY409" s="1241"/>
      <c r="AZ409" s="1241"/>
      <c r="BA409" s="1241"/>
      <c r="BB409" s="1241"/>
      <c r="BC409" s="1241"/>
      <c r="BD409" s="1114">
        <f>IF(AI409=0,0,(AT409-AI409)/AI409*100)</f>
        <v>0</v>
      </c>
      <c r="BE409" s="1114">
        <f>IF(AT409=0,0,(AU409-AT409)/AT409*100)</f>
        <v>0</v>
      </c>
      <c r="BF409" s="1114">
        <f>IF(AU409=0,0,(AV409-AU409)/AU409*100)</f>
        <v>0</v>
      </c>
      <c r="BG409" s="1114">
        <f>IF(AV409=0,0,(AW409-AV409)/AV409*100)</f>
        <v>0</v>
      </c>
      <c r="BH409" s="1114">
        <f>IF(AW409=0,0,(AX409-AW409)/AW409*100)</f>
        <v>0</v>
      </c>
      <c r="BI409" s="1114">
        <f>IF(AX409=0,0,(AY409-AX409)/AX409*100)</f>
        <v>0</v>
      </c>
      <c r="BJ409" s="1114">
        <f>IF(AY409=0,0,(AZ409-AY409)/AY409*100)</f>
        <v>0</v>
      </c>
      <c r="BK409" s="1114">
        <f>IF(AZ409=0,0,(BA409-AZ409)/AZ409*100)</f>
        <v>0</v>
      </c>
      <c r="BL409" s="1114">
        <f>IF(BA409=0,0,(BB409-BA409)/BA409*100)</f>
        <v>0</v>
      </c>
      <c r="BM409" s="1114">
        <f>IF(BB409=0,0,(BC409-BB409)/BB409*100)</f>
        <v>0</v>
      </c>
      <c r="BN409" s="7433"/>
      <c r="BO409" s="7433"/>
      <c r="BP409" s="7433"/>
      <c r="BQ409" s="1278"/>
      <c r="BR409" s="1278"/>
      <c r="BS409" s="1064" t="s">
        <v>2839</v>
      </c>
      <c r="BT409" s="1064"/>
      <c r="BU409" s="1064"/>
      <c r="BV409" s="979"/>
      <c r="BW409" s="979"/>
    </row>
    <row s="1834" customFormat="1" customHeight="1" ht="0">
      <c r="A410" s="1278"/>
      <c r="B410" s="432">
        <f>AND(method_reg="Метод индексации",STATUS_GO="да")</f>
        <v>1</v>
      </c>
      <c r="C410" s="107"/>
      <c r="D410" s="107"/>
      <c r="E410" s="621">
        <v>15</v>
      </c>
      <c r="F410" s="50" cm="1" t="str">
        <f t="array" ref="F410:F410">OFFSET(E410,-1,1)</f>
        <v>2</v>
      </c>
      <c r="G410" s="107" t="s">
        <v>2549</v>
      </c>
      <c r="H410" s="107"/>
      <c r="I410" s="107" t="s">
        <v>1225</v>
      </c>
      <c r="J410" s="107"/>
      <c r="K410" s="1278"/>
      <c r="L410" s="980" t="s">
        <v>1290</v>
      </c>
      <c r="M410" s="107"/>
      <c r="N410" s="107"/>
      <c r="O410" s="107"/>
      <c r="P410" s="107"/>
      <c r="Q410" s="107"/>
      <c r="R410" s="107"/>
      <c r="S410" s="107"/>
      <c r="T410" s="465" cm="1" t="str">
        <f t="array" ref="T410:T410">T409</f>
        <v>true</v>
      </c>
      <c r="U410" s="107"/>
      <c r="V410" s="107"/>
      <c r="W410" s="107"/>
      <c r="X410" s="1596"/>
      <c r="Y410" s="1278"/>
      <c r="Z410" s="1546"/>
      <c r="AA410" s="1278"/>
      <c r="AB410" s="300" t="s">
        <v>446</v>
      </c>
      <c r="AC410" s="452" t="s">
        <v>2549</v>
      </c>
      <c r="AD410" s="300" t="s">
        <v>1514</v>
      </c>
      <c r="AE410" s="3946"/>
      <c r="AF410" s="3946"/>
      <c r="AG410" s="3946"/>
      <c r="AH410" s="1114">
        <f>AG410-AF410</f>
        <v>0</v>
      </c>
      <c r="AI410" s="3946"/>
      <c r="AJ410" s="3946"/>
      <c r="AK410" s="3946"/>
      <c r="AL410" s="3946"/>
      <c r="AM410" s="3946"/>
      <c r="AN410" s="3946"/>
      <c r="AO410" s="1241"/>
      <c r="AP410" s="1241"/>
      <c r="AQ410" s="1241"/>
      <c r="AR410" s="1241"/>
      <c r="AS410" s="1241"/>
      <c r="AT410" s="3946"/>
      <c r="AU410" s="3946"/>
      <c r="AV410" s="3946"/>
      <c r="AW410" s="3946"/>
      <c r="AX410" s="3946"/>
      <c r="AY410" s="1241"/>
      <c r="AZ410" s="1241"/>
      <c r="BA410" s="1241"/>
      <c r="BB410" s="1241"/>
      <c r="BC410" s="1241"/>
      <c r="BD410" s="1114">
        <f>IF(AI410=0,0,(AT410-AI410)/AI410*100)</f>
        <v>0</v>
      </c>
      <c r="BE410" s="1114">
        <f>IF(AT410=0,0,(AU410-AT410)/AT410*100)</f>
        <v>0</v>
      </c>
      <c r="BF410" s="1114">
        <f>IF(AU410=0,0,(AV410-AU410)/AU410*100)</f>
        <v>0</v>
      </c>
      <c r="BG410" s="1114">
        <f>IF(AV410=0,0,(AW410-AV410)/AV410*100)</f>
        <v>0</v>
      </c>
      <c r="BH410" s="1114">
        <f>IF(AW410=0,0,(AX410-AW410)/AW410*100)</f>
        <v>0</v>
      </c>
      <c r="BI410" s="1114">
        <f>IF(AX410=0,0,(AY410-AX410)/AX410*100)</f>
        <v>0</v>
      </c>
      <c r="BJ410" s="1114">
        <f>IF(AY410=0,0,(AZ410-AY410)/AY410*100)</f>
        <v>0</v>
      </c>
      <c r="BK410" s="1114">
        <f>IF(AZ410=0,0,(BA410-AZ410)/AZ410*100)</f>
        <v>0</v>
      </c>
      <c r="BL410" s="1114">
        <f>IF(BA410=0,0,(BB410-BA410)/BA410*100)</f>
        <v>0</v>
      </c>
      <c r="BM410" s="1114">
        <f>IF(BB410=0,0,(BC410-BB410)/BB410*100)</f>
        <v>0</v>
      </c>
      <c r="BN410" s="7433"/>
      <c r="BO410" s="7433"/>
      <c r="BP410" s="7433"/>
      <c r="BQ410" s="1278"/>
      <c r="BR410" s="1278"/>
      <c r="BS410" s="1064" t="s">
        <v>2550</v>
      </c>
      <c r="BT410" s="1064"/>
      <c r="BU410" s="1064"/>
      <c r="BV410" s="979"/>
      <c r="BW410" s="979"/>
    </row>
    <row s="1834" customFormat="1" customHeight="1" ht="14.25" hidden="1">
      <c r="A411" s="1278"/>
      <c r="B411" s="860">
        <f>method_reg="Метод обеспечения доходности инвестированного капитала"</f>
        <v>0</v>
      </c>
      <c r="C411" s="107"/>
      <c r="D411" s="107"/>
      <c r="E411" s="621">
        <v>15</v>
      </c>
      <c r="F411" s="50" cm="1" t="str">
        <f t="array" ref="F411:F411">OFFSET(E411,-1,1)</f>
        <v>2</v>
      </c>
      <c r="G411" s="107"/>
      <c r="H411" s="107"/>
      <c r="I411" s="107"/>
      <c r="J411" s="107"/>
      <c r="K411" s="107" t="s">
        <v>336</v>
      </c>
      <c r="L411" s="980"/>
      <c r="M411" s="107"/>
      <c r="N411" s="107"/>
      <c r="O411" s="107"/>
      <c r="P411" s="107"/>
      <c r="Q411" s="107"/>
      <c r="R411" s="107"/>
      <c r="S411" s="107"/>
      <c r="T411" s="860" cm="1" t="str">
        <f t="array" ref="T411:T411">T410</f>
        <v>true</v>
      </c>
      <c r="U411" s="107"/>
      <c r="V411" s="107"/>
      <c r="W411" s="107"/>
      <c r="X411" s="1596"/>
      <c r="Y411" s="1278"/>
      <c r="Z411" s="1546"/>
      <c r="AA411" s="1278"/>
      <c r="AB411" s="794" t="s">
        <v>295</v>
      </c>
      <c r="AC411" s="793" t="s">
        <v>2840</v>
      </c>
      <c r="AD411" s="794" t="s">
        <v>1514</v>
      </c>
      <c r="AE411" s="1246"/>
      <c r="AF411" s="1246"/>
      <c r="AG411" s="1246"/>
      <c r="AH411" s="761">
        <f>AG411-AF411</f>
        <v>0</v>
      </c>
      <c r="AI411" s="1246"/>
      <c r="AJ411" s="1246"/>
      <c r="AK411" s="1246"/>
      <c r="AL411" s="1246"/>
      <c r="AM411" s="1246"/>
      <c r="AN411" s="1246"/>
      <c r="AO411" s="1246"/>
      <c r="AP411" s="1246"/>
      <c r="AQ411" s="1246"/>
      <c r="AR411" s="1246"/>
      <c r="AS411" s="1246"/>
      <c r="AT411" s="1246"/>
      <c r="AU411" s="1246"/>
      <c r="AV411" s="1246"/>
      <c r="AW411" s="1246"/>
      <c r="AX411" s="1246"/>
      <c r="AY411" s="1246"/>
      <c r="AZ411" s="1246"/>
      <c r="BA411" s="1246"/>
      <c r="BB411" s="1246"/>
      <c r="BC411" s="1246"/>
      <c r="BD411" s="761">
        <f>IF(AI411=0,0,(AT411-AI411)/AI411*100)</f>
        <v>0</v>
      </c>
      <c r="BE411" s="761">
        <f>IF(AT411=0,0,(AU411-AT411)/AT411*100)</f>
        <v>0</v>
      </c>
      <c r="BF411" s="761">
        <f>IF(AU411=0,0,(AV411-AU411)/AU411*100)</f>
        <v>0</v>
      </c>
      <c r="BG411" s="761">
        <f>IF(AV411=0,0,(AW411-AV411)/AV411*100)</f>
        <v>0</v>
      </c>
      <c r="BH411" s="761">
        <f>IF(AW411=0,0,(AX411-AW411)/AW411*100)</f>
        <v>0</v>
      </c>
      <c r="BI411" s="761">
        <f>IF(AX411=0,0,(AY411-AX411)/AX411*100)</f>
        <v>0</v>
      </c>
      <c r="BJ411" s="761">
        <f>IF(AY411=0,0,(AZ411-AY411)/AY411*100)</f>
        <v>0</v>
      </c>
      <c r="BK411" s="761">
        <f>IF(AZ411=0,0,(BA411-AZ411)/AZ411*100)</f>
        <v>0</v>
      </c>
      <c r="BL411" s="761">
        <f>IF(BA411=0,0,(BB411-BA411)/BA411*100)</f>
        <v>0</v>
      </c>
      <c r="BM411" s="761">
        <f>IF(BB411=0,0,(BC411-BB411)/BB411*100)</f>
        <v>0</v>
      </c>
      <c r="BN411" s="1247"/>
      <c r="BO411" s="1247"/>
      <c r="BP411" s="1247"/>
      <c r="BQ411" s="1278"/>
      <c r="BR411" s="1278"/>
      <c r="BS411" s="1064" t="s">
        <v>2841</v>
      </c>
      <c r="BT411" s="1064"/>
      <c r="BU411" s="1064"/>
      <c r="BV411" s="979"/>
      <c r="BW411" s="979"/>
    </row>
    <row s="1834" customFormat="1" customHeight="1" ht="14.25" hidden="1">
      <c r="A412" s="1278"/>
      <c r="B412" s="860" cm="1" t="str">
        <f t="array" ref="B412:B412">B411</f>
        <v>false</v>
      </c>
      <c r="C412" s="107"/>
      <c r="D412" s="107"/>
      <c r="E412" s="621">
        <v>15</v>
      </c>
      <c r="F412" s="50" cm="1" t="str">
        <f t="array" ref="F412:F412">OFFSET(E412,-1,1)</f>
        <v>2</v>
      </c>
      <c r="G412" s="107"/>
      <c r="H412" s="107"/>
      <c r="I412" s="107"/>
      <c r="J412" s="107"/>
      <c r="K412" s="107" t="s">
        <v>1249</v>
      </c>
      <c r="L412" s="980"/>
      <c r="M412" s="107"/>
      <c r="N412" s="107"/>
      <c r="O412" s="107"/>
      <c r="P412" s="107"/>
      <c r="Q412" s="107"/>
      <c r="R412" s="107"/>
      <c r="S412" s="107"/>
      <c r="T412" s="860" cm="1" t="str">
        <f t="array" ref="T412:T412">T411</f>
        <v>true</v>
      </c>
      <c r="U412" s="107"/>
      <c r="V412" s="107"/>
      <c r="W412" s="107"/>
      <c r="X412" s="1596"/>
      <c r="Y412" s="1278"/>
      <c r="Z412" s="1546"/>
      <c r="AA412" s="1278"/>
      <c r="AB412" s="797" t="s">
        <v>1384</v>
      </c>
      <c r="AC412" s="796" t="s">
        <v>2842</v>
      </c>
      <c r="AD412" s="797" t="s">
        <v>1514</v>
      </c>
      <c r="AE412" s="1248"/>
      <c r="AF412" s="1248"/>
      <c r="AG412" s="1248"/>
      <c r="AH412" s="763"/>
      <c r="AI412" s="1248"/>
      <c r="AJ412" s="1248"/>
      <c r="AK412" s="1248"/>
      <c r="AL412" s="1248"/>
      <c r="AM412" s="1248"/>
      <c r="AN412" s="1248"/>
      <c r="AO412" s="1248"/>
      <c r="AP412" s="1248"/>
      <c r="AQ412" s="1248"/>
      <c r="AR412" s="1248"/>
      <c r="AS412" s="1248"/>
      <c r="AT412" s="1248"/>
      <c r="AU412" s="1248"/>
      <c r="AV412" s="1248"/>
      <c r="AW412" s="1248"/>
      <c r="AX412" s="1248"/>
      <c r="AY412" s="1248"/>
      <c r="AZ412" s="1248"/>
      <c r="BA412" s="1248"/>
      <c r="BB412" s="1248"/>
      <c r="BC412" s="1248"/>
      <c r="BD412" s="763"/>
      <c r="BE412" s="763"/>
      <c r="BF412" s="763"/>
      <c r="BG412" s="763"/>
      <c r="BH412" s="763"/>
      <c r="BI412" s="763"/>
      <c r="BJ412" s="763"/>
      <c r="BK412" s="763"/>
      <c r="BL412" s="763"/>
      <c r="BM412" s="763"/>
      <c r="BN412" s="1249"/>
      <c r="BO412" s="1249"/>
      <c r="BP412" s="1249"/>
      <c r="BQ412" s="1278"/>
      <c r="BR412" s="1278"/>
      <c r="BS412" s="1064" t="s">
        <v>2843</v>
      </c>
      <c r="BT412" s="1064"/>
      <c r="BU412" s="1064"/>
      <c r="BV412" s="979"/>
      <c r="BW412" s="979"/>
    </row>
    <row s="1834" customFormat="1" customHeight="1" ht="14.25" hidden="1">
      <c r="A413" s="1278"/>
      <c r="B413" s="860" cm="1" t="str">
        <f t="array" ref="B413:B413">B412</f>
        <v>false</v>
      </c>
      <c r="C413" s="107"/>
      <c r="D413" s="107"/>
      <c r="E413" s="621">
        <v>15</v>
      </c>
      <c r="F413" s="50" cm="1" t="str">
        <f t="array" ref="F413:F413">OFFSET(E413,-1,1)</f>
        <v>2</v>
      </c>
      <c r="G413" s="107"/>
      <c r="H413" s="107"/>
      <c r="I413" s="107"/>
      <c r="J413" s="107"/>
      <c r="K413" s="107" t="s">
        <v>1253</v>
      </c>
      <c r="L413" s="980"/>
      <c r="M413" s="107"/>
      <c r="N413" s="107"/>
      <c r="O413" s="107"/>
      <c r="P413" s="107"/>
      <c r="Q413" s="107"/>
      <c r="R413" s="107"/>
      <c r="S413" s="107"/>
      <c r="T413" s="860" cm="1" t="str">
        <f t="array" ref="T413:T413">T412</f>
        <v>true</v>
      </c>
      <c r="U413" s="107"/>
      <c r="V413" s="107"/>
      <c r="W413" s="107"/>
      <c r="X413" s="1596"/>
      <c r="Y413" s="1278"/>
      <c r="Z413" s="1546"/>
      <c r="AA413" s="1278"/>
      <c r="AB413" s="797" t="s">
        <v>1387</v>
      </c>
      <c r="AC413" s="796" t="s">
        <v>2844</v>
      </c>
      <c r="AD413" s="797" t="s">
        <v>2845</v>
      </c>
      <c r="AE413" s="1248"/>
      <c r="AF413" s="1248"/>
      <c r="AG413" s="1248"/>
      <c r="AH413" s="763"/>
      <c r="AI413" s="1248"/>
      <c r="AJ413" s="1248"/>
      <c r="AK413" s="1248"/>
      <c r="AL413" s="1248"/>
      <c r="AM413" s="1248"/>
      <c r="AN413" s="1248"/>
      <c r="AO413" s="1248"/>
      <c r="AP413" s="1248"/>
      <c r="AQ413" s="1248"/>
      <c r="AR413" s="1248"/>
      <c r="AS413" s="1248"/>
      <c r="AT413" s="1248"/>
      <c r="AU413" s="1248"/>
      <c r="AV413" s="1248"/>
      <c r="AW413" s="1248"/>
      <c r="AX413" s="1248"/>
      <c r="AY413" s="1248"/>
      <c r="AZ413" s="1248"/>
      <c r="BA413" s="1248"/>
      <c r="BB413" s="1248"/>
      <c r="BC413" s="1248"/>
      <c r="BD413" s="763"/>
      <c r="BE413" s="763"/>
      <c r="BF413" s="763"/>
      <c r="BG413" s="763"/>
      <c r="BH413" s="763"/>
      <c r="BI413" s="763"/>
      <c r="BJ413" s="763"/>
      <c r="BK413" s="763"/>
      <c r="BL413" s="763"/>
      <c r="BM413" s="763"/>
      <c r="BN413" s="1249"/>
      <c r="BO413" s="1249"/>
      <c r="BP413" s="1249"/>
      <c r="BQ413" s="1278"/>
      <c r="BR413" s="1278"/>
      <c r="BS413" s="1064" t="s">
        <v>2846</v>
      </c>
      <c r="BT413" s="1064"/>
      <c r="BU413" s="1064"/>
      <c r="BV413" s="979"/>
      <c r="BW413" s="979"/>
    </row>
    <row s="1834" customFormat="1" customHeight="1" ht="14.25" hidden="1">
      <c r="A414" s="1278"/>
      <c r="B414" s="860" cm="1" t="str">
        <f t="array" ref="B414:B414">B413</f>
        <v>false</v>
      </c>
      <c r="C414" s="107"/>
      <c r="D414" s="107"/>
      <c r="E414" s="621">
        <v>15</v>
      </c>
      <c r="F414" s="50" cm="1" t="str">
        <f t="array" ref="F414:F414">OFFSET(E414,-1,1)</f>
        <v>2</v>
      </c>
      <c r="G414" s="107"/>
      <c r="H414" s="107"/>
      <c r="I414" s="107"/>
      <c r="J414" s="107"/>
      <c r="K414" s="107" t="s">
        <v>335</v>
      </c>
      <c r="L414" s="980"/>
      <c r="M414" s="107"/>
      <c r="N414" s="107"/>
      <c r="O414" s="107"/>
      <c r="P414" s="107"/>
      <c r="Q414" s="107"/>
      <c r="R414" s="107"/>
      <c r="S414" s="107"/>
      <c r="T414" s="860" cm="1" t="str">
        <f t="array" ref="T414:T414">T413</f>
        <v>true</v>
      </c>
      <c r="U414" s="107"/>
      <c r="V414" s="107"/>
      <c r="W414" s="107"/>
      <c r="X414" s="1596"/>
      <c r="Y414" s="1278"/>
      <c r="Z414" s="1546"/>
      <c r="AA414" s="1278"/>
      <c r="AB414" s="794" t="s">
        <v>443</v>
      </c>
      <c r="AC414" s="793" t="s">
        <v>2847</v>
      </c>
      <c r="AD414" s="794" t="s">
        <v>1514</v>
      </c>
      <c r="AE414" s="1246"/>
      <c r="AF414" s="1246"/>
      <c r="AG414" s="1246"/>
      <c r="AH414" s="761">
        <f>AG414-AF414</f>
        <v>0</v>
      </c>
      <c r="AI414" s="1246"/>
      <c r="AJ414" s="1246"/>
      <c r="AK414" s="1246"/>
      <c r="AL414" s="1246"/>
      <c r="AM414" s="1246"/>
      <c r="AN414" s="1246"/>
      <c r="AO414" s="1246"/>
      <c r="AP414" s="1246"/>
      <c r="AQ414" s="1246"/>
      <c r="AR414" s="1246"/>
      <c r="AS414" s="1246"/>
      <c r="AT414" s="1246"/>
      <c r="AU414" s="1246"/>
      <c r="AV414" s="1246"/>
      <c r="AW414" s="1246"/>
      <c r="AX414" s="1246"/>
      <c r="AY414" s="1246"/>
      <c r="AZ414" s="1246"/>
      <c r="BA414" s="1246"/>
      <c r="BB414" s="1246"/>
      <c r="BC414" s="1246"/>
      <c r="BD414" s="761">
        <f>IF(AI414=0,0,(AT414-AI414)/AI414*100)</f>
        <v>0</v>
      </c>
      <c r="BE414" s="761">
        <f>IF(AT414=0,0,(AU414-AT414)/AT414*100)</f>
        <v>0</v>
      </c>
      <c r="BF414" s="761">
        <f>IF(AU414=0,0,(AV414-AU414)/AU414*100)</f>
        <v>0</v>
      </c>
      <c r="BG414" s="761">
        <f>IF(AV414=0,0,(AW414-AV414)/AV414*100)</f>
        <v>0</v>
      </c>
      <c r="BH414" s="761">
        <f>IF(AW414=0,0,(AX414-AW414)/AW414*100)</f>
        <v>0</v>
      </c>
      <c r="BI414" s="761">
        <f>IF(AX414=0,0,(AY414-AX414)/AX414*100)</f>
        <v>0</v>
      </c>
      <c r="BJ414" s="761">
        <f>IF(AY414=0,0,(AZ414-AY414)/AY414*100)</f>
        <v>0</v>
      </c>
      <c r="BK414" s="761">
        <f>IF(AZ414=0,0,(BA414-AZ414)/AZ414*100)</f>
        <v>0</v>
      </c>
      <c r="BL414" s="761">
        <f>IF(BA414=0,0,(BB414-BA414)/BA414*100)</f>
        <v>0</v>
      </c>
      <c r="BM414" s="761">
        <f>IF(BB414=0,0,(BC414-BB414)/BB414*100)</f>
        <v>0</v>
      </c>
      <c r="BN414" s="1247"/>
      <c r="BO414" s="1247"/>
      <c r="BP414" s="1247"/>
      <c r="BQ414" s="1278"/>
      <c r="BR414" s="1278"/>
      <c r="BS414" s="1064" t="s">
        <v>2848</v>
      </c>
      <c r="BT414" s="1064"/>
      <c r="BU414" s="1064"/>
      <c r="BV414" s="979"/>
      <c r="BW414" s="979"/>
    </row>
    <row s="1834" customFormat="1" customHeight="1" ht="14.25" hidden="1">
      <c r="A415" s="1278"/>
      <c r="B415" s="860" cm="1" t="str">
        <f t="array" ref="B415:B415">B414</f>
        <v>false</v>
      </c>
      <c r="C415" s="107"/>
      <c r="D415" s="107"/>
      <c r="E415" s="621">
        <v>15</v>
      </c>
      <c r="F415" s="50" cm="1" t="str">
        <f t="array" ref="F415:F415">OFFSET(E415,-1,1)</f>
        <v>2</v>
      </c>
      <c r="G415" s="107"/>
      <c r="H415" s="107"/>
      <c r="I415" s="107"/>
      <c r="J415" s="107"/>
      <c r="K415" s="107" t="s">
        <v>1263</v>
      </c>
      <c r="L415" s="980"/>
      <c r="M415" s="107"/>
      <c r="N415" s="107"/>
      <c r="O415" s="107"/>
      <c r="P415" s="107"/>
      <c r="Q415" s="107"/>
      <c r="R415" s="107"/>
      <c r="S415" s="107"/>
      <c r="T415" s="860" cm="1" t="str">
        <f t="array" ref="T415:T415">T414</f>
        <v>true</v>
      </c>
      <c r="U415" s="107"/>
      <c r="V415" s="107"/>
      <c r="W415" s="107"/>
      <c r="X415" s="1596"/>
      <c r="Y415" s="1278"/>
      <c r="Z415" s="1546"/>
      <c r="AA415" s="1278"/>
      <c r="AB415" s="797" t="s">
        <v>1391</v>
      </c>
      <c r="AC415" s="796" t="s">
        <v>2849</v>
      </c>
      <c r="AD415" s="797" t="s">
        <v>1514</v>
      </c>
      <c r="AE415" s="1248"/>
      <c r="AF415" s="1248"/>
      <c r="AG415" s="1248"/>
      <c r="AH415" s="763"/>
      <c r="AI415" s="1248"/>
      <c r="AJ415" s="1248"/>
      <c r="AK415" s="1248"/>
      <c r="AL415" s="1248"/>
      <c r="AM415" s="1248"/>
      <c r="AN415" s="1248"/>
      <c r="AO415" s="1248"/>
      <c r="AP415" s="1248"/>
      <c r="AQ415" s="1248"/>
      <c r="AR415" s="1248"/>
      <c r="AS415" s="1248"/>
      <c r="AT415" s="1248"/>
      <c r="AU415" s="1248"/>
      <c r="AV415" s="1248"/>
      <c r="AW415" s="1248"/>
      <c r="AX415" s="1248"/>
      <c r="AY415" s="1248"/>
      <c r="AZ415" s="1248"/>
      <c r="BA415" s="1248"/>
      <c r="BB415" s="1248"/>
      <c r="BC415" s="1248"/>
      <c r="BD415" s="763"/>
      <c r="BE415" s="763"/>
      <c r="BF415" s="763"/>
      <c r="BG415" s="763"/>
      <c r="BH415" s="763"/>
      <c r="BI415" s="763"/>
      <c r="BJ415" s="763"/>
      <c r="BK415" s="763"/>
      <c r="BL415" s="763"/>
      <c r="BM415" s="763"/>
      <c r="BN415" s="1249"/>
      <c r="BO415" s="1249"/>
      <c r="BP415" s="1249"/>
      <c r="BQ415" s="1278"/>
      <c r="BR415" s="1278"/>
      <c r="BS415" s="1064" t="s">
        <v>2850</v>
      </c>
      <c r="BT415" s="1064"/>
      <c r="BU415" s="1064"/>
      <c r="BV415" s="979"/>
      <c r="BW415" s="979"/>
    </row>
    <row s="1834" customFormat="1" customHeight="1" ht="14.25" hidden="1">
      <c r="A416" s="1278"/>
      <c r="B416" s="860" cm="1" t="str">
        <f t="array" ref="B416:B416">B415</f>
        <v>false</v>
      </c>
      <c r="C416" s="107"/>
      <c r="D416" s="107"/>
      <c r="E416" s="621">
        <v>15</v>
      </c>
      <c r="F416" s="50" cm="1" t="str">
        <f t="array" ref="F416:F416">OFFSET(E416,-1,1)</f>
        <v>2</v>
      </c>
      <c r="G416" s="107"/>
      <c r="H416" s="107"/>
      <c r="I416" s="107"/>
      <c r="J416" s="107"/>
      <c r="K416" s="107" t="s">
        <v>1267</v>
      </c>
      <c r="L416" s="980"/>
      <c r="M416" s="107"/>
      <c r="N416" s="107"/>
      <c r="O416" s="107"/>
      <c r="P416" s="107"/>
      <c r="Q416" s="107"/>
      <c r="R416" s="107"/>
      <c r="S416" s="107"/>
      <c r="T416" s="860" cm="1" t="str">
        <f t="array" ref="T416:T416">T415</f>
        <v>true</v>
      </c>
      <c r="U416" s="107"/>
      <c r="V416" s="107"/>
      <c r="W416" s="107"/>
      <c r="X416" s="1596"/>
      <c r="Y416" s="1278"/>
      <c r="Z416" s="1546"/>
      <c r="AA416" s="1278"/>
      <c r="AB416" s="797" t="s">
        <v>1394</v>
      </c>
      <c r="AC416" s="796" t="s">
        <v>2851</v>
      </c>
      <c r="AD416" s="797" t="s">
        <v>1170</v>
      </c>
      <c r="AE416" s="1248"/>
      <c r="AF416" s="1248"/>
      <c r="AG416" s="1248"/>
      <c r="AH416" s="763"/>
      <c r="AI416" s="1248"/>
      <c r="AJ416" s="1248"/>
      <c r="AK416" s="1248"/>
      <c r="AL416" s="1248"/>
      <c r="AM416" s="1248"/>
      <c r="AN416" s="1248"/>
      <c r="AO416" s="1248"/>
      <c r="AP416" s="1248"/>
      <c r="AQ416" s="1248"/>
      <c r="AR416" s="1248"/>
      <c r="AS416" s="1248"/>
      <c r="AT416" s="1248"/>
      <c r="AU416" s="1248"/>
      <c r="AV416" s="1248"/>
      <c r="AW416" s="1248"/>
      <c r="AX416" s="1248"/>
      <c r="AY416" s="1248"/>
      <c r="AZ416" s="1248"/>
      <c r="BA416" s="1248"/>
      <c r="BB416" s="1248"/>
      <c r="BC416" s="1248"/>
      <c r="BD416" s="763"/>
      <c r="BE416" s="763"/>
      <c r="BF416" s="763"/>
      <c r="BG416" s="763"/>
      <c r="BH416" s="763"/>
      <c r="BI416" s="763"/>
      <c r="BJ416" s="763"/>
      <c r="BK416" s="763"/>
      <c r="BL416" s="763"/>
      <c r="BM416" s="763"/>
      <c r="BN416" s="1249"/>
      <c r="BO416" s="1249"/>
      <c r="BP416" s="1249"/>
      <c r="BQ416" s="1278"/>
      <c r="BR416" s="1278"/>
      <c r="BS416" s="1064" t="s">
        <v>2852</v>
      </c>
      <c r="BT416" s="1064"/>
      <c r="BU416" s="1064"/>
      <c r="BV416" s="979"/>
      <c r="BW416" s="979"/>
    </row>
    <row s="1834" customFormat="1" customHeight="1" ht="14.25" hidden="1">
      <c r="A417" s="1278"/>
      <c r="B417" s="860" cm="1" t="str">
        <f t="array" ref="B417:B417">B416</f>
        <v>false</v>
      </c>
      <c r="C417" s="107"/>
      <c r="D417" s="107"/>
      <c r="E417" s="621">
        <v>15</v>
      </c>
      <c r="F417" s="50" cm="1" t="str">
        <f t="array" ref="F417:F417">OFFSET(E417,-1,1)</f>
        <v>2</v>
      </c>
      <c r="G417" s="107"/>
      <c r="H417" s="107"/>
      <c r="I417" s="107"/>
      <c r="J417" s="107"/>
      <c r="K417" s="107" t="s">
        <v>1479</v>
      </c>
      <c r="L417" s="980"/>
      <c r="M417" s="107"/>
      <c r="N417" s="107"/>
      <c r="O417" s="107"/>
      <c r="P417" s="107"/>
      <c r="Q417" s="107"/>
      <c r="R417" s="107"/>
      <c r="S417" s="107"/>
      <c r="T417" s="860" cm="1" t="str">
        <f t="array" ref="T417:T417">T416</f>
        <v>true</v>
      </c>
      <c r="U417" s="107"/>
      <c r="V417" s="107"/>
      <c r="W417" s="107"/>
      <c r="X417" s="1596"/>
      <c r="Y417" s="1278"/>
      <c r="Z417" s="1546"/>
      <c r="AA417" s="1278"/>
      <c r="AB417" s="797" t="s">
        <v>1683</v>
      </c>
      <c r="AC417" s="796" t="s">
        <v>2853</v>
      </c>
      <c r="AD417" s="797" t="s">
        <v>1514</v>
      </c>
      <c r="AE417" s="1248"/>
      <c r="AF417" s="1248"/>
      <c r="AG417" s="1248"/>
      <c r="AH417" s="763"/>
      <c r="AI417" s="1248"/>
      <c r="AJ417" s="1248"/>
      <c r="AK417" s="1248"/>
      <c r="AL417" s="1248"/>
      <c r="AM417" s="1248"/>
      <c r="AN417" s="1248"/>
      <c r="AO417" s="1248"/>
      <c r="AP417" s="1248"/>
      <c r="AQ417" s="1248"/>
      <c r="AR417" s="1248"/>
      <c r="AS417" s="1248"/>
      <c r="AT417" s="1248"/>
      <c r="AU417" s="1248"/>
      <c r="AV417" s="1248"/>
      <c r="AW417" s="1248"/>
      <c r="AX417" s="1248"/>
      <c r="AY417" s="1248"/>
      <c r="AZ417" s="1248"/>
      <c r="BA417" s="1248"/>
      <c r="BB417" s="1248"/>
      <c r="BC417" s="1248"/>
      <c r="BD417" s="763"/>
      <c r="BE417" s="763"/>
      <c r="BF417" s="763"/>
      <c r="BG417" s="763"/>
      <c r="BH417" s="763"/>
      <c r="BI417" s="763"/>
      <c r="BJ417" s="763"/>
      <c r="BK417" s="763"/>
      <c r="BL417" s="763"/>
      <c r="BM417" s="763"/>
      <c r="BN417" s="1249"/>
      <c r="BO417" s="1249"/>
      <c r="BP417" s="1249"/>
      <c r="BQ417" s="1278"/>
      <c r="BR417" s="1278"/>
      <c r="BS417" s="1064" t="s">
        <v>2854</v>
      </c>
      <c r="BT417" s="1064"/>
      <c r="BU417" s="1064"/>
      <c r="BV417" s="979"/>
      <c r="BW417" s="979"/>
    </row>
    <row s="1834" customFormat="1" customHeight="1" ht="14.25" hidden="1">
      <c r="A418" s="1278"/>
      <c r="B418" s="860" cm="1" t="str">
        <f t="array" ref="B418:B418">B417</f>
        <v>false</v>
      </c>
      <c r="C418" s="107"/>
      <c r="D418" s="107"/>
      <c r="E418" s="621">
        <v>15</v>
      </c>
      <c r="F418" s="50" cm="1" t="str">
        <f t="array" ref="F418:F418">OFFSET(E418,-1,1)</f>
        <v>2</v>
      </c>
      <c r="G418" s="107"/>
      <c r="H418" s="107"/>
      <c r="I418" s="107"/>
      <c r="J418" s="107"/>
      <c r="K418" s="107" t="s">
        <v>1685</v>
      </c>
      <c r="L418" s="980"/>
      <c r="M418" s="107"/>
      <c r="N418" s="107"/>
      <c r="O418" s="107"/>
      <c r="P418" s="107"/>
      <c r="Q418" s="107"/>
      <c r="R418" s="107"/>
      <c r="S418" s="107"/>
      <c r="T418" s="860" cm="1" t="str">
        <f t="array" ref="T418:T418">T417</f>
        <v>true</v>
      </c>
      <c r="U418" s="107"/>
      <c r="V418" s="107"/>
      <c r="W418" s="107"/>
      <c r="X418" s="1596"/>
      <c r="Y418" s="1278"/>
      <c r="Z418" s="1546"/>
      <c r="AA418" s="1278"/>
      <c r="AB418" s="797" t="s">
        <v>1686</v>
      </c>
      <c r="AC418" s="796" t="s">
        <v>2855</v>
      </c>
      <c r="AD418" s="797" t="s">
        <v>1514</v>
      </c>
      <c r="AE418" s="1248"/>
      <c r="AF418" s="1248"/>
      <c r="AG418" s="1248"/>
      <c r="AH418" s="763"/>
      <c r="AI418" s="1248"/>
      <c r="AJ418" s="1248"/>
      <c r="AK418" s="1248"/>
      <c r="AL418" s="1248"/>
      <c r="AM418" s="1248"/>
      <c r="AN418" s="1248"/>
      <c r="AO418" s="1248"/>
      <c r="AP418" s="1248"/>
      <c r="AQ418" s="1248"/>
      <c r="AR418" s="1248"/>
      <c r="AS418" s="1248"/>
      <c r="AT418" s="1248"/>
      <c r="AU418" s="1248"/>
      <c r="AV418" s="1248"/>
      <c r="AW418" s="1248"/>
      <c r="AX418" s="1248"/>
      <c r="AY418" s="1248"/>
      <c r="AZ418" s="1248"/>
      <c r="BA418" s="1248"/>
      <c r="BB418" s="1248"/>
      <c r="BC418" s="1248"/>
      <c r="BD418" s="763"/>
      <c r="BE418" s="763"/>
      <c r="BF418" s="763"/>
      <c r="BG418" s="763"/>
      <c r="BH418" s="763"/>
      <c r="BI418" s="763"/>
      <c r="BJ418" s="763"/>
      <c r="BK418" s="763"/>
      <c r="BL418" s="763"/>
      <c r="BM418" s="763"/>
      <c r="BN418" s="1249"/>
      <c r="BO418" s="1249"/>
      <c r="BP418" s="1249"/>
      <c r="BQ418" s="1278"/>
      <c r="BR418" s="1278"/>
      <c r="BS418" s="1064" t="s">
        <v>2856</v>
      </c>
      <c r="BT418" s="1064"/>
      <c r="BU418" s="1064"/>
      <c r="BV418" s="979"/>
      <c r="BW418" s="979"/>
    </row>
    <row s="1834" customFormat="1" customHeight="1" ht="14.25" hidden="1">
      <c r="A419" s="1278"/>
      <c r="B419" s="860" cm="1" t="str">
        <f t="array" ref="B419:B419">B418</f>
        <v>false</v>
      </c>
      <c r="C419" s="107"/>
      <c r="D419" s="107"/>
      <c r="E419" s="621">
        <v>15</v>
      </c>
      <c r="F419" s="50" cm="1" t="str">
        <f t="array" ref="F419:F419">OFFSET(E419,-1,1)</f>
        <v>2</v>
      </c>
      <c r="G419" s="107"/>
      <c r="H419" s="107"/>
      <c r="I419" s="107"/>
      <c r="J419" s="107"/>
      <c r="K419" s="107" t="s">
        <v>2857</v>
      </c>
      <c r="L419" s="980"/>
      <c r="M419" s="107"/>
      <c r="N419" s="107"/>
      <c r="O419" s="107"/>
      <c r="P419" s="107"/>
      <c r="Q419" s="107"/>
      <c r="R419" s="107"/>
      <c r="S419" s="107"/>
      <c r="T419" s="860" cm="1" t="str">
        <f t="array" ref="T419:T419">T418</f>
        <v>true</v>
      </c>
      <c r="U419" s="107"/>
      <c r="V419" s="107"/>
      <c r="W419" s="107"/>
      <c r="X419" s="1596"/>
      <c r="Y419" s="1278"/>
      <c r="Z419" s="1546"/>
      <c r="AA419" s="1278"/>
      <c r="AB419" s="797" t="s">
        <v>2858</v>
      </c>
      <c r="AC419" s="798" t="s">
        <v>2859</v>
      </c>
      <c r="AD419" s="797" t="s">
        <v>1170</v>
      </c>
      <c r="AE419" s="1248"/>
      <c r="AF419" s="1248"/>
      <c r="AG419" s="1248"/>
      <c r="AH419" s="763"/>
      <c r="AI419" s="1248"/>
      <c r="AJ419" s="1248"/>
      <c r="AK419" s="1248"/>
      <c r="AL419" s="1248"/>
      <c r="AM419" s="1248"/>
      <c r="AN419" s="1248"/>
      <c r="AO419" s="1248"/>
      <c r="AP419" s="1248"/>
      <c r="AQ419" s="1248"/>
      <c r="AR419" s="1248"/>
      <c r="AS419" s="1248"/>
      <c r="AT419" s="1248"/>
      <c r="AU419" s="1248"/>
      <c r="AV419" s="1248"/>
      <c r="AW419" s="1248"/>
      <c r="AX419" s="1248"/>
      <c r="AY419" s="1248"/>
      <c r="AZ419" s="1248"/>
      <c r="BA419" s="1248"/>
      <c r="BB419" s="1248"/>
      <c r="BC419" s="1248"/>
      <c r="BD419" s="763"/>
      <c r="BE419" s="763"/>
      <c r="BF419" s="763"/>
      <c r="BG419" s="763"/>
      <c r="BH419" s="763"/>
      <c r="BI419" s="763"/>
      <c r="BJ419" s="763"/>
      <c r="BK419" s="763"/>
      <c r="BL419" s="763"/>
      <c r="BM419" s="763"/>
      <c r="BN419" s="1249"/>
      <c r="BO419" s="1249"/>
      <c r="BP419" s="1249"/>
      <c r="BQ419" s="1278"/>
      <c r="BR419" s="1278"/>
      <c r="BS419" s="1064" t="s">
        <v>2860</v>
      </c>
      <c r="BT419" s="1064"/>
      <c r="BU419" s="1064"/>
      <c r="BV419" s="979"/>
      <c r="BW419" s="979"/>
    </row>
    <row s="1834" customFormat="1" customHeight="1" ht="14.25" hidden="1">
      <c r="A420" s="1278"/>
      <c r="B420" s="860" cm="1" t="str">
        <f t="array" ref="B420:B420">B419</f>
        <v>false</v>
      </c>
      <c r="C420" s="107"/>
      <c r="D420" s="107"/>
      <c r="E420" s="621">
        <v>15</v>
      </c>
      <c r="F420" s="50" cm="1" t="str">
        <f t="array" ref="F420:F420">OFFSET(E420,-1,1)</f>
        <v>2</v>
      </c>
      <c r="G420" s="107"/>
      <c r="H420" s="107"/>
      <c r="I420" s="107"/>
      <c r="J420" s="107"/>
      <c r="K420" s="107" t="s">
        <v>1688</v>
      </c>
      <c r="L420" s="980"/>
      <c r="M420" s="107"/>
      <c r="N420" s="107"/>
      <c r="O420" s="107"/>
      <c r="P420" s="107"/>
      <c r="Q420" s="107"/>
      <c r="R420" s="107"/>
      <c r="S420" s="107"/>
      <c r="T420" s="860" cm="1" t="str">
        <f t="array" ref="T420:T420">T419</f>
        <v>true</v>
      </c>
      <c r="U420" s="107"/>
      <c r="V420" s="107"/>
      <c r="W420" s="107"/>
      <c r="X420" s="1596"/>
      <c r="Y420" s="1278"/>
      <c r="Z420" s="1546"/>
      <c r="AA420" s="1278"/>
      <c r="AB420" s="797" t="s">
        <v>1689</v>
      </c>
      <c r="AC420" s="796" t="s">
        <v>2861</v>
      </c>
      <c r="AD420" s="797" t="s">
        <v>1170</v>
      </c>
      <c r="AE420" s="1248"/>
      <c r="AF420" s="1248"/>
      <c r="AG420" s="1248"/>
      <c r="AH420" s="763"/>
      <c r="AI420" s="1248"/>
      <c r="AJ420" s="1248"/>
      <c r="AK420" s="1248"/>
      <c r="AL420" s="1248"/>
      <c r="AM420" s="1248"/>
      <c r="AN420" s="1248"/>
      <c r="AO420" s="1248"/>
      <c r="AP420" s="1248"/>
      <c r="AQ420" s="1248"/>
      <c r="AR420" s="1248"/>
      <c r="AS420" s="1248"/>
      <c r="AT420" s="1248"/>
      <c r="AU420" s="1248"/>
      <c r="AV420" s="1248"/>
      <c r="AW420" s="1248"/>
      <c r="AX420" s="1248"/>
      <c r="AY420" s="1248"/>
      <c r="AZ420" s="1248"/>
      <c r="BA420" s="1248"/>
      <c r="BB420" s="1248"/>
      <c r="BC420" s="1248"/>
      <c r="BD420" s="763"/>
      <c r="BE420" s="763"/>
      <c r="BF420" s="763"/>
      <c r="BG420" s="763"/>
      <c r="BH420" s="763"/>
      <c r="BI420" s="763"/>
      <c r="BJ420" s="763"/>
      <c r="BK420" s="763"/>
      <c r="BL420" s="763"/>
      <c r="BM420" s="763"/>
      <c r="BN420" s="1249"/>
      <c r="BO420" s="1249"/>
      <c r="BP420" s="1249"/>
      <c r="BQ420" s="1278"/>
      <c r="BR420" s="1278"/>
      <c r="BS420" s="1064" t="s">
        <v>2862</v>
      </c>
      <c r="BT420" s="1064"/>
      <c r="BU420" s="1064"/>
      <c r="BV420" s="979"/>
      <c r="BW420" s="979"/>
    </row>
    <row s="1834" customFormat="1" customHeight="1" ht="14.25" hidden="1">
      <c r="A421" s="1278"/>
      <c r="B421" s="860" cm="1" t="str">
        <f t="array" ref="B421:B421">B420</f>
        <v>false</v>
      </c>
      <c r="C421" s="107"/>
      <c r="D421" s="107"/>
      <c r="E421" s="621">
        <v>15</v>
      </c>
      <c r="F421" s="50" cm="1" t="str">
        <f t="array" ref="F421:F421">OFFSET(E421,-1,1)</f>
        <v>2</v>
      </c>
      <c r="G421" s="107"/>
      <c r="H421" s="107"/>
      <c r="I421" s="107"/>
      <c r="J421" s="107"/>
      <c r="K421" s="107" t="s">
        <v>2863</v>
      </c>
      <c r="L421" s="980"/>
      <c r="M421" s="107"/>
      <c r="N421" s="107"/>
      <c r="O421" s="107"/>
      <c r="P421" s="107"/>
      <c r="Q421" s="107"/>
      <c r="R421" s="107"/>
      <c r="S421" s="107"/>
      <c r="T421" s="860" cm="1" t="str">
        <f t="array" ref="T421:T421">T420</f>
        <v>true</v>
      </c>
      <c r="U421" s="107"/>
      <c r="V421" s="107"/>
      <c r="W421" s="107"/>
      <c r="X421" s="1596"/>
      <c r="Y421" s="1278"/>
      <c r="Z421" s="1546"/>
      <c r="AA421" s="1278"/>
      <c r="AB421" s="797" t="s">
        <v>2864</v>
      </c>
      <c r="AC421" s="798" t="s">
        <v>2865</v>
      </c>
      <c r="AD421" s="797" t="s">
        <v>1170</v>
      </c>
      <c r="AE421" s="1248"/>
      <c r="AF421" s="1248"/>
      <c r="AG421" s="1248"/>
      <c r="AH421" s="763"/>
      <c r="AI421" s="1248"/>
      <c r="AJ421" s="1248"/>
      <c r="AK421" s="1248"/>
      <c r="AL421" s="1248"/>
      <c r="AM421" s="1248"/>
      <c r="AN421" s="1248"/>
      <c r="AO421" s="1248"/>
      <c r="AP421" s="1248"/>
      <c r="AQ421" s="1248"/>
      <c r="AR421" s="1248"/>
      <c r="AS421" s="1248"/>
      <c r="AT421" s="1248"/>
      <c r="AU421" s="1248"/>
      <c r="AV421" s="1248"/>
      <c r="AW421" s="1248"/>
      <c r="AX421" s="1248"/>
      <c r="AY421" s="1248"/>
      <c r="AZ421" s="1248"/>
      <c r="BA421" s="1248"/>
      <c r="BB421" s="1248"/>
      <c r="BC421" s="1248"/>
      <c r="BD421" s="763"/>
      <c r="BE421" s="763"/>
      <c r="BF421" s="763"/>
      <c r="BG421" s="763"/>
      <c r="BH421" s="763"/>
      <c r="BI421" s="763"/>
      <c r="BJ421" s="763"/>
      <c r="BK421" s="763"/>
      <c r="BL421" s="763"/>
      <c r="BM421" s="763"/>
      <c r="BN421" s="1249"/>
      <c r="BO421" s="1249"/>
      <c r="BP421" s="1249"/>
      <c r="BQ421" s="1278"/>
      <c r="BR421" s="1278"/>
      <c r="BS421" s="1064" t="s">
        <v>2866</v>
      </c>
      <c r="BT421" s="1064"/>
      <c r="BU421" s="1064"/>
      <c r="BV421" s="979"/>
      <c r="BW421" s="979"/>
    </row>
    <row s="1834" customFormat="1" customHeight="1" ht="14.25" hidden="1">
      <c r="A422" s="1278"/>
      <c r="B422" s="860" cm="1" t="str">
        <f t="array" ref="B422:B422">B421</f>
        <v>false</v>
      </c>
      <c r="C422" s="107"/>
      <c r="D422" s="107"/>
      <c r="E422" s="621">
        <v>15</v>
      </c>
      <c r="F422" s="50" cm="1" t="str">
        <f t="array" ref="F422:F422">OFFSET(E422,-1,1)</f>
        <v>2</v>
      </c>
      <c r="G422" s="107"/>
      <c r="H422" s="107"/>
      <c r="I422" s="107"/>
      <c r="J422" s="107"/>
      <c r="K422" s="107" t="s">
        <v>2867</v>
      </c>
      <c r="L422" s="980"/>
      <c r="M422" s="107"/>
      <c r="N422" s="107"/>
      <c r="O422" s="107"/>
      <c r="P422" s="107"/>
      <c r="Q422" s="107"/>
      <c r="R422" s="107"/>
      <c r="S422" s="107"/>
      <c r="T422" s="860" cm="1" t="str">
        <f t="array" ref="T422:T422">T421</f>
        <v>true</v>
      </c>
      <c r="U422" s="107"/>
      <c r="V422" s="107"/>
      <c r="W422" s="107"/>
      <c r="X422" s="1596"/>
      <c r="Y422" s="1278"/>
      <c r="Z422" s="1546"/>
      <c r="AA422" s="1278"/>
      <c r="AB422" s="797" t="s">
        <v>2868</v>
      </c>
      <c r="AC422" s="798" t="s">
        <v>2869</v>
      </c>
      <c r="AD422" s="797" t="s">
        <v>1170</v>
      </c>
      <c r="AE422" s="1248"/>
      <c r="AF422" s="1248"/>
      <c r="AG422" s="1248"/>
      <c r="AH422" s="763"/>
      <c r="AI422" s="1248"/>
      <c r="AJ422" s="1248"/>
      <c r="AK422" s="1248"/>
      <c r="AL422" s="1248"/>
      <c r="AM422" s="1248"/>
      <c r="AN422" s="1248"/>
      <c r="AO422" s="1248"/>
      <c r="AP422" s="1248"/>
      <c r="AQ422" s="1248"/>
      <c r="AR422" s="1248"/>
      <c r="AS422" s="1248"/>
      <c r="AT422" s="1248"/>
      <c r="AU422" s="1248"/>
      <c r="AV422" s="1248"/>
      <c r="AW422" s="1248"/>
      <c r="AX422" s="1248"/>
      <c r="AY422" s="1248"/>
      <c r="AZ422" s="1248"/>
      <c r="BA422" s="1248"/>
      <c r="BB422" s="1248"/>
      <c r="BC422" s="1248"/>
      <c r="BD422" s="763"/>
      <c r="BE422" s="763"/>
      <c r="BF422" s="763"/>
      <c r="BG422" s="763"/>
      <c r="BH422" s="763"/>
      <c r="BI422" s="763"/>
      <c r="BJ422" s="763"/>
      <c r="BK422" s="763"/>
      <c r="BL422" s="763"/>
      <c r="BM422" s="763"/>
      <c r="BN422" s="1249"/>
      <c r="BO422" s="1249"/>
      <c r="BP422" s="1249"/>
      <c r="BQ422" s="1278"/>
      <c r="BR422" s="1278"/>
      <c r="BS422" s="1064" t="s">
        <v>2870</v>
      </c>
      <c r="BT422" s="1064"/>
      <c r="BU422" s="1064"/>
      <c r="BV422" s="979"/>
      <c r="BW422" s="979"/>
    </row>
    <row s="7553" customFormat="1" customHeight="1" ht="20.25">
      <c r="A423" s="700"/>
      <c r="B423" s="435"/>
      <c r="C423" s="109"/>
      <c r="D423" s="109" t="str">
        <f>IF(B422,"6","7")</f>
        <v>7</v>
      </c>
      <c r="E423" s="826">
        <v>21</v>
      </c>
      <c r="F423" s="50" cm="1" t="str">
        <f t="array" ref="F423:F423">OFFSET(E423,-1,1)</f>
        <v>2</v>
      </c>
      <c r="G423" s="107" t="s">
        <v>2871</v>
      </c>
      <c r="H423" s="107"/>
      <c r="I423" s="384" t="s">
        <v>2872</v>
      </c>
      <c r="J423" s="109"/>
      <c r="K423" s="380" t="s">
        <v>2872</v>
      </c>
      <c r="L423" s="985"/>
      <c r="M423" s="109"/>
      <c r="N423" s="109"/>
      <c r="O423" s="109"/>
      <c r="P423" s="109"/>
      <c r="Q423" s="109"/>
      <c r="R423" s="109"/>
      <c r="S423" s="109"/>
      <c r="T423" s="465" cm="1" t="str">
        <f t="array" ref="T423:T423">T422</f>
        <v>true</v>
      </c>
      <c r="U423" s="109"/>
      <c r="V423" s="109"/>
      <c r="W423" s="109"/>
      <c r="X423" s="1596"/>
      <c r="Y423" s="700"/>
      <c r="Z423" s="1546"/>
      <c r="AA423" s="700"/>
      <c r="AB423" s="211" cm="1" t="str">
        <f t="array" ref="AB423:AB423">D423</f>
        <v>7</v>
      </c>
      <c r="AC423" s="219" t="s">
        <v>2323</v>
      </c>
      <c r="AD423" s="211" t="s">
        <v>1514</v>
      </c>
      <c r="AE423" s="7432"/>
      <c r="AF423" s="7432"/>
      <c r="AG423" s="7432"/>
      <c r="AH423" s="778">
        <f>AG423-AF423</f>
        <v>0</v>
      </c>
      <c r="AI423" s="7432"/>
      <c r="AJ423" s="7492">
        <f>_xlfn.SUMIFS('Корректировка НВВ'!$AF$25:$AF$282,'Корректировка НВВ'!$F$25:$F$282,$F423,'Корректировка НВВ'!$I$25:$I$282,$G423)</f>
        <v>0</v>
      </c>
      <c r="AK423" s="7432"/>
      <c r="AL423" s="7432"/>
      <c r="AM423" s="7432"/>
      <c r="AN423" s="7432"/>
      <c r="AO423" s="1237"/>
      <c r="AP423" s="1237"/>
      <c r="AQ423" s="1237"/>
      <c r="AR423" s="1237"/>
      <c r="AS423" s="1237"/>
      <c r="AT423" s="7492">
        <f>_xlfn.SUMIFS('Корректировка НВВ'!$AG$25:$AG$282,'Корректировка НВВ'!$F$25:$F$282,$F423,'Корректировка НВВ'!$I$25:$I$282,$G423)</f>
        <v>0</v>
      </c>
      <c r="AU423" s="7432"/>
      <c r="AV423" s="7432"/>
      <c r="AW423" s="7432"/>
      <c r="AX423" s="7432"/>
      <c r="AY423" s="1237"/>
      <c r="AZ423" s="1237"/>
      <c r="BA423" s="1237"/>
      <c r="BB423" s="1237"/>
      <c r="BC423" s="1237"/>
      <c r="BD423" s="778">
        <f>IF(AI423=0,0,(AT423-AI423)/AI423*100)</f>
        <v>0</v>
      </c>
      <c r="BE423" s="778">
        <f>IF(AT423=0,0,(AU423-AT423)/AT423*100)</f>
        <v>0</v>
      </c>
      <c r="BF423" s="778">
        <f>IF(AU423=0,0,(AV423-AU423)/AU423*100)</f>
        <v>0</v>
      </c>
      <c r="BG423" s="778">
        <f>IF(AV423=0,0,(AW423-AV423)/AV423*100)</f>
        <v>0</v>
      </c>
      <c r="BH423" s="778">
        <f>IF(AW423=0,0,(AX423-AW423)/AW423*100)</f>
        <v>0</v>
      </c>
      <c r="BI423" s="778">
        <f>IF(AX423=0,0,(AY423-AX423)/AX423*100)</f>
        <v>0</v>
      </c>
      <c r="BJ423" s="778">
        <f>IF(AY423=0,0,(AZ423-AY423)/AY423*100)</f>
        <v>0</v>
      </c>
      <c r="BK423" s="778">
        <f>IF(AZ423=0,0,(BA423-AZ423)/AZ423*100)</f>
        <v>0</v>
      </c>
      <c r="BL423" s="778">
        <f>IF(BA423=0,0,(BB423-BA423)/BA423*100)</f>
        <v>0</v>
      </c>
      <c r="BM423" s="778">
        <f>IF(BB423=0,0,(BC423-BB423)/BB423*100)</f>
        <v>0</v>
      </c>
      <c r="BN423" s="7436"/>
      <c r="BO423" s="7437" t="str">
        <f>IF(_xlfn.IFERROR(INDEX('Корректировка НВВ'!$K$26:$L$282,MATCH($F423&amp;"11komm",'Корректировка НВВ'!$K$26:$K$282,0),2),"")=0,"",_xlfn.IFERROR(INDEX('Корректировка НВВ'!$K$26:$L$282,MATCH($F423&amp;"11komm",'Корректировка НВВ'!$K$26:$K$282,0),2),""))</f>
        <v/>
      </c>
      <c r="BP423" s="7436"/>
      <c r="BQ423" s="700"/>
      <c r="BR423" s="700"/>
      <c r="BS423" s="1070" t="s">
        <v>2873</v>
      </c>
      <c r="BT423" s="1070"/>
      <c r="BU423" s="1070"/>
      <c r="BV423" s="707"/>
      <c r="BW423" s="707"/>
    </row>
    <row s="1834" customFormat="1" customHeight="1" ht="14.25">
      <c r="A424" s="1278"/>
      <c r="B424" s="978"/>
      <c r="C424" s="107"/>
      <c r="D424" s="107" cm="1" t="str">
        <f t="array" ref="D424:D424">D423</f>
        <v>7</v>
      </c>
      <c r="E424" s="621">
        <v>15</v>
      </c>
      <c r="F424" s="50" cm="1" t="str">
        <f t="array" ref="F424:F424">OFFSET(E424,-1,1)</f>
        <v>2</v>
      </c>
      <c r="G424" s="107"/>
      <c r="H424" s="107"/>
      <c r="I424" s="107"/>
      <c r="J424" s="107"/>
      <c r="K424" s="1278"/>
      <c r="L424" s="980"/>
      <c r="M424" s="107"/>
      <c r="N424" s="107"/>
      <c r="O424" s="107"/>
      <c r="P424" s="107"/>
      <c r="Q424" s="107"/>
      <c r="R424" s="107"/>
      <c r="S424" s="107"/>
      <c r="T424" s="465" cm="1" t="str">
        <f t="array" ref="T424:T424">T423</f>
        <v>true</v>
      </c>
      <c r="U424" s="107"/>
      <c r="V424" s="107"/>
      <c r="W424" s="107"/>
      <c r="X424" s="1596"/>
      <c r="Y424" s="1278"/>
      <c r="Z424" s="1546"/>
      <c r="AA424" s="1278"/>
      <c r="AB424" s="300"/>
      <c r="AC424" s="452" t="s">
        <v>2874</v>
      </c>
      <c r="AD424" s="300"/>
      <c r="AE424" s="1115"/>
      <c r="AF424" s="1115"/>
      <c r="AG424" s="1115"/>
      <c r="AH424" s="1115"/>
      <c r="AI424" s="1115"/>
      <c r="AJ424" s="1115"/>
      <c r="AK424" s="1115"/>
      <c r="AL424" s="1115"/>
      <c r="AM424" s="1115"/>
      <c r="AN424" s="1115"/>
      <c r="AO424" s="1115"/>
      <c r="AP424" s="1115"/>
      <c r="AQ424" s="1115"/>
      <c r="AR424" s="1115"/>
      <c r="AS424" s="1115"/>
      <c r="AT424" s="1115"/>
      <c r="AU424" s="1115"/>
      <c r="AV424" s="1115"/>
      <c r="AW424" s="1115"/>
      <c r="AX424" s="1115"/>
      <c r="AY424" s="1115"/>
      <c r="AZ424" s="1115"/>
      <c r="BA424" s="1115"/>
      <c r="BB424" s="1115"/>
      <c r="BC424" s="1115"/>
      <c r="BD424" s="1115"/>
      <c r="BE424" s="1115"/>
      <c r="BF424" s="1115"/>
      <c r="BG424" s="1115"/>
      <c r="BH424" s="1115"/>
      <c r="BI424" s="1115"/>
      <c r="BJ424" s="1115"/>
      <c r="BK424" s="1115"/>
      <c r="BL424" s="1115"/>
      <c r="BM424" s="1115"/>
      <c r="BN424" s="1117"/>
      <c r="BO424" s="1117"/>
      <c r="BP424" s="1117"/>
      <c r="BQ424" s="1278"/>
      <c r="BR424" s="1278"/>
      <c r="BS424" s="1064"/>
      <c r="BT424" s="1064"/>
      <c r="BU424" s="1064"/>
      <c r="BV424" s="979"/>
      <c r="BW424" s="979"/>
    </row>
    <row s="1834" customFormat="1" customHeight="1" ht="33.75">
      <c r="A425" s="1278"/>
      <c r="B425" s="978"/>
      <c r="C425" s="107"/>
      <c r="D425" s="107" cm="1" t="str">
        <f t="array" ref="D425:D425">D424</f>
        <v>7</v>
      </c>
      <c r="E425" s="621">
        <v>22.5</v>
      </c>
      <c r="F425" s="50" cm="1" t="str">
        <f t="array" ref="F425:F425">OFFSET(E425,-1,1)</f>
        <v>2</v>
      </c>
      <c r="G425" s="107" t="s">
        <v>375</v>
      </c>
      <c r="H425" s="107"/>
      <c r="I425" s="107" t="s">
        <v>1228</v>
      </c>
      <c r="J425" s="107"/>
      <c r="K425" s="158" t="s">
        <v>1228</v>
      </c>
      <c r="L425" s="980"/>
      <c r="M425" s="107"/>
      <c r="N425" s="107"/>
      <c r="O425" s="107"/>
      <c r="P425" s="107"/>
      <c r="Q425" s="107"/>
      <c r="R425" s="107"/>
      <c r="S425" s="107"/>
      <c r="T425" s="465" cm="1" t="str">
        <f t="array" ref="T425:T425">T424</f>
        <v>true</v>
      </c>
      <c r="U425" s="107"/>
      <c r="V425" s="107"/>
      <c r="W425" s="107"/>
      <c r="X425" s="1596"/>
      <c r="Y425" s="1278"/>
      <c r="Z425" s="1546"/>
      <c r="AA425" s="1278"/>
      <c r="AB425" s="300" t="str">
        <f>D425&amp;".1"</f>
        <v>7.1</v>
      </c>
      <c r="AC425" s="762" t="s">
        <v>2875</v>
      </c>
      <c r="AD425" s="300" t="s">
        <v>1514</v>
      </c>
      <c r="AE425" s="3946"/>
      <c r="AF425" s="3946"/>
      <c r="AG425" s="3946"/>
      <c r="AH425" s="1114">
        <f>AG425-AF425</f>
        <v>0</v>
      </c>
      <c r="AI425" s="3946"/>
      <c r="AJ425" s="3946">
        <f>_xlfn.SUMIFS('Корректировка НВВ'!$AF$25:$AF$282,'Корректировка НВВ'!$F$25:$F$282,$F425,'Корректировка НВВ'!$I$25:$I$282,$G425)</f>
        <v>0</v>
      </c>
      <c r="AK425" s="3946"/>
      <c r="AL425" s="3946"/>
      <c r="AM425" s="3946"/>
      <c r="AN425" s="3946"/>
      <c r="AO425" s="1241"/>
      <c r="AP425" s="1241"/>
      <c r="AQ425" s="1241"/>
      <c r="AR425" s="1241"/>
      <c r="AS425" s="1241"/>
      <c r="AT425" s="3946">
        <f>_xlfn.SUMIFS('Корректировка НВВ'!$AG$25:$AG$282,'Корректировка НВВ'!$F$25:$F$282,$F425,'Корректировка НВВ'!$I$25:$I$282,$G425)</f>
        <v>0</v>
      </c>
      <c r="AU425" s="3946"/>
      <c r="AV425" s="3946"/>
      <c r="AW425" s="3946"/>
      <c r="AX425" s="3946"/>
      <c r="AY425" s="1241"/>
      <c r="AZ425" s="1241"/>
      <c r="BA425" s="1241"/>
      <c r="BB425" s="1241"/>
      <c r="BC425" s="1241"/>
      <c r="BD425" s="1115"/>
      <c r="BE425" s="1115"/>
      <c r="BF425" s="1115"/>
      <c r="BG425" s="1115"/>
      <c r="BH425" s="1115"/>
      <c r="BI425" s="1115"/>
      <c r="BJ425" s="1115"/>
      <c r="BK425" s="1115"/>
      <c r="BL425" s="1115"/>
      <c r="BM425" s="1115"/>
      <c r="BN425" s="7433"/>
      <c r="BO425" s="7437" t="str">
        <f>IF(_xlfn.IFERROR(INDEX('Корректировка НВВ'!$K$26:$L$282,MATCH($F425&amp;"1komm",'Корректировка НВВ'!$K$26:$K$282,0),2),"")=0,"",_xlfn.IFERROR(INDEX('Корректировка НВВ'!$K$26:$L$282,MATCH($F425&amp;"1komm",'Корректировка НВВ'!$K$26:$K$282,0),2),""))</f>
        <v/>
      </c>
      <c r="BP425" s="7433"/>
      <c r="BQ425" s="1278"/>
      <c r="BR425" s="1278"/>
      <c r="BS425" s="1064" t="s">
        <v>2876</v>
      </c>
      <c r="BT425" s="1064"/>
      <c r="BU425" s="1064"/>
      <c r="BV425" s="979"/>
      <c r="BW425" s="979"/>
    </row>
    <row s="1834" customFormat="1" customHeight="1" ht="98.25">
      <c r="A426" s="1278"/>
      <c r="B426" s="978"/>
      <c r="C426" s="107"/>
      <c r="D426" s="107" cm="1" t="str">
        <f t="array" ref="D426:D426">D425</f>
        <v>7</v>
      </c>
      <c r="E426" s="621">
        <v>101.25</v>
      </c>
      <c r="F426" s="50" cm="1" t="str">
        <f t="array" ref="F426:F426">OFFSET(E426,-1,1)</f>
        <v>2</v>
      </c>
      <c r="G426" s="107" t="s">
        <v>2877</v>
      </c>
      <c r="H426" s="107"/>
      <c r="I426" s="107" t="s">
        <v>1275</v>
      </c>
      <c r="J426" s="107"/>
      <c r="K426" s="158" t="s">
        <v>1275</v>
      </c>
      <c r="L426" s="980"/>
      <c r="M426" s="107"/>
      <c r="N426" s="107"/>
      <c r="O426" s="107"/>
      <c r="P426" s="107"/>
      <c r="Q426" s="107"/>
      <c r="R426" s="107"/>
      <c r="S426" s="107"/>
      <c r="T426" s="465" cm="1" t="str">
        <f t="array" ref="T426:T426">T425</f>
        <v>true</v>
      </c>
      <c r="U426" s="107"/>
      <c r="V426" s="107"/>
      <c r="W426" s="107"/>
      <c r="X426" s="1596"/>
      <c r="Y426" s="1278"/>
      <c r="Z426" s="1546"/>
      <c r="AA426" s="1278"/>
      <c r="AB426" s="300" t="str">
        <f>D426&amp;".2"</f>
        <v>7.2</v>
      </c>
      <c r="AC426" s="762" t="s">
        <v>2878</v>
      </c>
      <c r="AD426" s="300" t="s">
        <v>1514</v>
      </c>
      <c r="AE426" s="3946"/>
      <c r="AF426" s="3946"/>
      <c r="AG426" s="3946"/>
      <c r="AH426" s="1114">
        <f>AG426-AF426</f>
        <v>0</v>
      </c>
      <c r="AI426" s="3946"/>
      <c r="AJ426" s="3946">
        <f>_xlfn.SUMIFS('Корректировка НВВ'!$AF$25:$AF$282,'Корректировка НВВ'!$F$25:$F$282,$F426,'Корректировка НВВ'!$I$25:$I$282,$G426)</f>
        <v>0</v>
      </c>
      <c r="AK426" s="3946"/>
      <c r="AL426" s="3946"/>
      <c r="AM426" s="3946"/>
      <c r="AN426" s="3946"/>
      <c r="AO426" s="1241"/>
      <c r="AP426" s="1241"/>
      <c r="AQ426" s="1241"/>
      <c r="AR426" s="1241"/>
      <c r="AS426" s="1241"/>
      <c r="AT426" s="3946">
        <f>_xlfn.SUMIFS('Корректировка НВВ'!$AG$25:$AG$282,'Корректировка НВВ'!$F$25:$F$282,$F426,'Корректировка НВВ'!$I$25:$I$282,$G426)</f>
        <v>0</v>
      </c>
      <c r="AU426" s="3946"/>
      <c r="AV426" s="3946"/>
      <c r="AW426" s="3946"/>
      <c r="AX426" s="3946"/>
      <c r="AY426" s="1241"/>
      <c r="AZ426" s="1241"/>
      <c r="BA426" s="1241"/>
      <c r="BB426" s="1241"/>
      <c r="BC426" s="1241"/>
      <c r="BD426" s="1115"/>
      <c r="BE426" s="1115"/>
      <c r="BF426" s="1115"/>
      <c r="BG426" s="1115"/>
      <c r="BH426" s="1115"/>
      <c r="BI426" s="1115"/>
      <c r="BJ426" s="1115"/>
      <c r="BK426" s="1115"/>
      <c r="BL426" s="1115"/>
      <c r="BM426" s="1115"/>
      <c r="BN426" s="7433"/>
      <c r="BO426" s="7437" t="str">
        <f>IF(_xlfn.IFERROR(INDEX('Корректировка НВВ'!$K$26:$L$282,MATCH($F426&amp;"2komm",'Корректировка НВВ'!$K$26:$K$282,0),2),"")=0,"",_xlfn.IFERROR(INDEX('Корректировка НВВ'!$K$26:$L$282,MATCH($F426&amp;"2komm",'Корректировка НВВ'!$K$26:$K$282,0),2),""))</f>
        <v/>
      </c>
      <c r="BP426" s="7433"/>
      <c r="BQ426" s="1278"/>
      <c r="BR426" s="1278"/>
      <c r="BS426" s="1064" t="s">
        <v>2879</v>
      </c>
      <c r="BT426" s="1064"/>
      <c r="BU426" s="1064"/>
      <c r="BV426" s="979"/>
      <c r="BW426" s="979"/>
    </row>
    <row s="1834" customFormat="1" customHeight="1" ht="43.5">
      <c r="A427" s="1278"/>
      <c r="B427" s="978"/>
      <c r="C427" s="107"/>
      <c r="D427" s="107" cm="1" t="str">
        <f t="array" ref="D427:D427">D426</f>
        <v>7</v>
      </c>
      <c r="E427" s="621">
        <v>45</v>
      </c>
      <c r="F427" s="50" cm="1" t="str">
        <f t="array" ref="F427:F427">OFFSET(E427,-1,1)</f>
        <v>2</v>
      </c>
      <c r="G427" s="107"/>
      <c r="H427" s="107"/>
      <c r="I427" s="107" t="s">
        <v>1290</v>
      </c>
      <c r="J427" s="107"/>
      <c r="K427" s="158" t="s">
        <v>1290</v>
      </c>
      <c r="L427" s="980"/>
      <c r="M427" s="107"/>
      <c r="N427" s="107"/>
      <c r="O427" s="107"/>
      <c r="P427" s="107"/>
      <c r="Q427" s="107"/>
      <c r="R427" s="107"/>
      <c r="S427" s="107"/>
      <c r="T427" s="465" cm="1" t="str">
        <f t="array" ref="T427:T427">T426</f>
        <v>true</v>
      </c>
      <c r="U427" s="107"/>
      <c r="V427" s="107"/>
      <c r="W427" s="107"/>
      <c r="X427" s="1596"/>
      <c r="Y427" s="1278"/>
      <c r="Z427" s="1546"/>
      <c r="AA427" s="1278"/>
      <c r="AB427" s="300" t="str">
        <f>D427&amp;".3"</f>
        <v>7.3</v>
      </c>
      <c r="AC427" s="762" t="s">
        <v>2880</v>
      </c>
      <c r="AD427" s="300" t="s">
        <v>1514</v>
      </c>
      <c r="AE427" s="3946"/>
      <c r="AF427" s="3946"/>
      <c r="AG427" s="3946"/>
      <c r="AH427" s="1114">
        <f>AG427-AF427</f>
        <v>0</v>
      </c>
      <c r="AI427" s="3946"/>
      <c r="AJ427" s="3946">
        <f>_xlfn.SUMIFS('Корректировка НВВ'!$AF$25:$AF$282,'Корректировка НВВ'!$F$25:$F$282,$F427,'Корректировка НВВ'!$I$25:$I$282,"L1")+_xlfn.SUMIFS('Корректировка НВВ'!$AF$25:$AF$282,'Корректировка НВВ'!$F$25:$F$282,$F427,'Корректировка НВВ'!$I$25:$I$282,"L2")</f>
        <v>0</v>
      </c>
      <c r="AK427" s="3946"/>
      <c r="AL427" s="3946"/>
      <c r="AM427" s="3946"/>
      <c r="AN427" s="3946"/>
      <c r="AO427" s="1241"/>
      <c r="AP427" s="1241"/>
      <c r="AQ427" s="1241"/>
      <c r="AR427" s="1241"/>
      <c r="AS427" s="1241"/>
      <c r="AT427" s="3946">
        <f>_xlfn.SUMIFS('Корректировка НВВ'!$AG$25:$AG$282,'Корректировка НВВ'!$F$25:$F$282,$F427,'Корректировка НВВ'!$I$25:$I$282,"L1")+_xlfn.SUMIFS('Корректировка НВВ'!$AF$25:$AF$282,'Корректировка НВВ'!$F$25:$F$282,$F427,'Корректировка НВВ'!$I$25:$I$282,"L2")</f>
        <v>0</v>
      </c>
      <c r="AU427" s="3946"/>
      <c r="AV427" s="3946"/>
      <c r="AW427" s="3946"/>
      <c r="AX427" s="3946"/>
      <c r="AY427" s="1241"/>
      <c r="AZ427" s="1241"/>
      <c r="BA427" s="1241"/>
      <c r="BB427" s="1241"/>
      <c r="BC427" s="1241"/>
      <c r="BD427" s="1115"/>
      <c r="BE427" s="1115"/>
      <c r="BF427" s="1115"/>
      <c r="BG427" s="1115"/>
      <c r="BH427" s="1115"/>
      <c r="BI427" s="1115"/>
      <c r="BJ427" s="1115"/>
      <c r="BK427" s="1115"/>
      <c r="BL427" s="1115"/>
      <c r="BM427" s="1115"/>
      <c r="BN427" s="7433"/>
      <c r="BO427" s="7437"/>
      <c r="BP427" s="7433"/>
      <c r="BQ427" s="1278"/>
      <c r="BR427" s="1278"/>
      <c r="BS427" s="1064" t="s">
        <v>2881</v>
      </c>
      <c r="BT427" s="1064"/>
      <c r="BU427" s="1064"/>
      <c r="BV427" s="979"/>
      <c r="BW427" s="979"/>
    </row>
    <row s="1834" customFormat="1" customHeight="1" ht="87.75" hidden="1">
      <c r="A428" s="1278"/>
      <c r="B428" s="445">
        <f>S315="Водоотведение"</f>
        <v>0</v>
      </c>
      <c r="C428" s="107"/>
      <c r="D428" s="107" cm="1" t="str">
        <f t="array" ref="D428:D428">D427</f>
        <v>7</v>
      </c>
      <c r="E428" s="621">
        <v>90</v>
      </c>
      <c r="F428" s="50" cm="1" t="str">
        <f t="array" ref="F428:F428">OFFSET(E428,-1,1)</f>
        <v>2</v>
      </c>
      <c r="G428" s="107" t="s">
        <v>2882</v>
      </c>
      <c r="H428" s="848"/>
      <c r="I428" s="107" t="s">
        <v>1456</v>
      </c>
      <c r="J428" s="107"/>
      <c r="K428" s="158" t="s">
        <v>1456</v>
      </c>
      <c r="L428" s="980" t="s">
        <v>1454</v>
      </c>
      <c r="M428" s="107"/>
      <c r="N428" s="107"/>
      <c r="O428" s="107"/>
      <c r="P428" s="107"/>
      <c r="Q428" s="107"/>
      <c r="R428" s="107"/>
      <c r="S428" s="107"/>
      <c r="T428" s="465" cm="1" t="str">
        <f t="array" ref="T428:T428">T427</f>
        <v>true</v>
      </c>
      <c r="U428" s="107"/>
      <c r="V428" s="107"/>
      <c r="W428" s="107"/>
      <c r="X428" s="1596"/>
      <c r="Y428" s="1278"/>
      <c r="Z428" s="1546"/>
      <c r="AA428" s="1278"/>
      <c r="AB428" s="300" t="str">
        <f>D428&amp;".4"</f>
        <v>7.4</v>
      </c>
      <c r="AC428" s="762" t="s">
        <v>2552</v>
      </c>
      <c r="AD428" s="766" t="s">
        <v>1514</v>
      </c>
      <c r="AE428" s="1241"/>
      <c r="AF428" s="1241"/>
      <c r="AG428" s="1241"/>
      <c r="AH428" s="1114">
        <f>AG428-AF428</f>
        <v>0</v>
      </c>
      <c r="AI428" s="1241"/>
      <c r="AJ428" s="1241">
        <f>_xlfn.SUMIFS('Корректировка НВВ'!$AF$25:$AF$282,'Корректировка НВВ'!$F$25:$F$282,$F428,'Корректировка НВВ'!$I$25:$I$282,$G428)</f>
        <v>0</v>
      </c>
      <c r="AK428" s="1241"/>
      <c r="AL428" s="1241"/>
      <c r="AM428" s="1241"/>
      <c r="AN428" s="1241"/>
      <c r="AO428" s="1241"/>
      <c r="AP428" s="1241"/>
      <c r="AQ428" s="1241"/>
      <c r="AR428" s="1241"/>
      <c r="AS428" s="1241"/>
      <c r="AT428" s="1241">
        <f>_xlfn.SUMIFS('Корректировка НВВ'!$AG$25:$AG$282,'Корректировка НВВ'!$F$25:$F$282,$F428,'Корректировка НВВ'!$I$25:$I$282,$G428)</f>
        <v>0</v>
      </c>
      <c r="AU428" s="1241"/>
      <c r="AV428" s="1241"/>
      <c r="AW428" s="1241"/>
      <c r="AX428" s="1241"/>
      <c r="AY428" s="1241"/>
      <c r="AZ428" s="1241"/>
      <c r="BA428" s="1241"/>
      <c r="BB428" s="1241"/>
      <c r="BC428" s="1241"/>
      <c r="BD428" s="1115"/>
      <c r="BE428" s="1115"/>
      <c r="BF428" s="1115"/>
      <c r="BG428" s="1115"/>
      <c r="BH428" s="1115"/>
      <c r="BI428" s="1115"/>
      <c r="BJ428" s="1115"/>
      <c r="BK428" s="1115"/>
      <c r="BL428" s="1115"/>
      <c r="BM428" s="1115"/>
      <c r="BN428" s="1238"/>
      <c r="BO428" s="1242" t="str">
        <f>IF(_xlfn.IFERROR(INDEX('Корректировка НВВ'!$K$26:$L$282,MATCH($F428&amp;"3komm",'Корректировка НВВ'!$K$26:$K$282,0),2),"")=0,"",_xlfn.IFERROR(INDEX('Корректировка НВВ'!$K$26:$L$282,MATCH($F428&amp;"3komm",'Корректировка НВВ'!$K$26:$K$282,0),2),""))</f>
        <v/>
      </c>
      <c r="BP428" s="1238"/>
      <c r="BQ428" s="1278"/>
      <c r="BR428" s="1278"/>
      <c r="BS428" s="1064" t="s">
        <v>2098</v>
      </c>
      <c r="BT428" s="1064"/>
      <c r="BU428" s="1064"/>
      <c r="BV428" s="979"/>
      <c r="BW428" s="979"/>
    </row>
    <row s="1834" customFormat="1" customHeight="1" ht="54.75" hidden="1">
      <c r="A429" s="1278"/>
      <c r="B429" s="445" cm="1" t="str">
        <f t="array" ref="B429:B429">B428</f>
        <v>false</v>
      </c>
      <c r="C429" s="107"/>
      <c r="D429" s="107" cm="1" t="str">
        <f t="array" ref="D429:D429">D428</f>
        <v>7</v>
      </c>
      <c r="E429" s="621">
        <v>56.25</v>
      </c>
      <c r="F429" s="50" cm="1" t="str">
        <f t="array" ref="F429:F429">OFFSET(E429,-1,1)</f>
        <v>2</v>
      </c>
      <c r="G429" s="107" t="s">
        <v>2883</v>
      </c>
      <c r="H429" s="848"/>
      <c r="I429" s="107" t="s">
        <v>1492</v>
      </c>
      <c r="J429" s="107"/>
      <c r="K429" s="158" t="s">
        <v>1492</v>
      </c>
      <c r="L429" s="980" t="s">
        <v>1456</v>
      </c>
      <c r="M429" s="107"/>
      <c r="N429" s="107"/>
      <c r="O429" s="107"/>
      <c r="P429" s="107"/>
      <c r="Q429" s="107"/>
      <c r="R429" s="107"/>
      <c r="S429" s="107"/>
      <c r="T429" s="465" cm="1" t="str">
        <f t="array" ref="T429:T429">T428</f>
        <v>true</v>
      </c>
      <c r="U429" s="107"/>
      <c r="V429" s="107"/>
      <c r="W429" s="107"/>
      <c r="X429" s="1596"/>
      <c r="Y429" s="1278"/>
      <c r="Z429" s="1546"/>
      <c r="AA429" s="1278"/>
      <c r="AB429" s="300" t="str">
        <f>D429&amp;".5"</f>
        <v>7.5</v>
      </c>
      <c r="AC429" s="762" t="s">
        <v>2553</v>
      </c>
      <c r="AD429" s="766" t="s">
        <v>1514</v>
      </c>
      <c r="AE429" s="1241"/>
      <c r="AF429" s="1241"/>
      <c r="AG429" s="1241"/>
      <c r="AH429" s="1114">
        <f>AG429-AF429</f>
        <v>0</v>
      </c>
      <c r="AI429" s="1241"/>
      <c r="AJ429" s="1241">
        <f>_xlfn.SUMIFS('Корректировка НВВ'!$AF$25:$AF$282,'Корректировка НВВ'!$F$25:$F$282,$F429,'Корректировка НВВ'!$I$25:$I$282,$G429)</f>
        <v>0</v>
      </c>
      <c r="AK429" s="1241"/>
      <c r="AL429" s="1241"/>
      <c r="AM429" s="1241"/>
      <c r="AN429" s="1241"/>
      <c r="AO429" s="1241"/>
      <c r="AP429" s="1241"/>
      <c r="AQ429" s="1241"/>
      <c r="AR429" s="1241"/>
      <c r="AS429" s="1241"/>
      <c r="AT429" s="1241">
        <f>_xlfn.SUMIFS('Корректировка НВВ'!$AG$25:$AG$282,'Корректировка НВВ'!$F$25:$F$282,$F429,'Корректировка НВВ'!$I$25:$I$282,$G429)</f>
        <v>0</v>
      </c>
      <c r="AU429" s="1241"/>
      <c r="AV429" s="1241"/>
      <c r="AW429" s="1241"/>
      <c r="AX429" s="1241"/>
      <c r="AY429" s="1241"/>
      <c r="AZ429" s="1241"/>
      <c r="BA429" s="1241"/>
      <c r="BB429" s="1241"/>
      <c r="BC429" s="1241"/>
      <c r="BD429" s="1115"/>
      <c r="BE429" s="1115"/>
      <c r="BF429" s="1115"/>
      <c r="BG429" s="1115"/>
      <c r="BH429" s="1115"/>
      <c r="BI429" s="1115"/>
      <c r="BJ429" s="1115"/>
      <c r="BK429" s="1115"/>
      <c r="BL429" s="1115"/>
      <c r="BM429" s="1115"/>
      <c r="BN429" s="1238"/>
      <c r="BO429" s="1242" t="str">
        <f>IF(_xlfn.IFERROR(INDEX('Корректировка НВВ'!$K$26:$L$282,MATCH($F429&amp;"4komm",'Корректировка НВВ'!$K$26:$K$282,0),2),"")=0,"",_xlfn.IFERROR(INDEX('Корректировка НВВ'!$K$26:$L$282,MATCH($F429&amp;"4komm",'Корректировка НВВ'!$K$26:$K$282,0),2),""))</f>
        <v/>
      </c>
      <c r="BP429" s="1238"/>
      <c r="BQ429" s="1278"/>
      <c r="BR429" s="1278"/>
      <c r="BS429" s="1064" t="s">
        <v>2102</v>
      </c>
      <c r="BT429" s="1064"/>
      <c r="BU429" s="1064"/>
      <c r="BV429" s="979"/>
      <c r="BW429" s="979"/>
    </row>
    <row s="1834" customFormat="1" customHeight="1" ht="14.25">
      <c r="A430" s="1278"/>
      <c r="B430" s="427"/>
      <c r="C430" s="107"/>
      <c r="D430" s="107" cm="1" t="str">
        <f t="array" ref="D430:D430">D429</f>
        <v>7</v>
      </c>
      <c r="E430" s="621">
        <v>15</v>
      </c>
      <c r="F430" s="50" cm="1" t="str">
        <f t="array" ref="F430:F430">OFFSET(E430,-1,1)</f>
        <v>2</v>
      </c>
      <c r="G430" s="107" t="s">
        <v>2884</v>
      </c>
      <c r="H430" s="107"/>
      <c r="I430" s="107" t="s">
        <v>1493</v>
      </c>
      <c r="J430" s="107"/>
      <c r="K430" s="158" t="s">
        <v>1493</v>
      </c>
      <c r="L430" s="980" t="s">
        <v>1492</v>
      </c>
      <c r="M430" s="107"/>
      <c r="N430" s="107"/>
      <c r="O430" s="107"/>
      <c r="P430" s="107"/>
      <c r="Q430" s="107"/>
      <c r="R430" s="107"/>
      <c r="S430" s="107"/>
      <c r="T430" s="465" cm="1" t="str">
        <f t="array" ref="T430:T430">T429</f>
        <v>true</v>
      </c>
      <c r="U430" s="107"/>
      <c r="V430" s="107"/>
      <c r="W430" s="107"/>
      <c r="X430" s="1596"/>
      <c r="Y430" s="1278"/>
      <c r="Z430" s="1546"/>
      <c r="AA430" s="1278"/>
      <c r="AB430" s="300" t="str">
        <f>IF(B429,D430&amp;".6",D430&amp;".4")</f>
        <v>7.4</v>
      </c>
      <c r="AC430" s="762" t="s">
        <v>2316</v>
      </c>
      <c r="AD430" s="300" t="s">
        <v>1514</v>
      </c>
      <c r="AE430" s="3946"/>
      <c r="AF430" s="3946"/>
      <c r="AG430" s="3946"/>
      <c r="AH430" s="1114">
        <f>AG430-AF430</f>
        <v>0</v>
      </c>
      <c r="AI430" s="3946"/>
      <c r="AJ430" s="3946">
        <f>_xlfn.SUMIFS('Корректировка НВВ'!$AF$25:$AF$282,'Корректировка НВВ'!$F$25:$F$282,$F430,'Корректировка НВВ'!$I$25:$I$282,$G430)</f>
        <v>0</v>
      </c>
      <c r="AK430" s="3946"/>
      <c r="AL430" s="3946"/>
      <c r="AM430" s="3946"/>
      <c r="AN430" s="3946"/>
      <c r="AO430" s="1241"/>
      <c r="AP430" s="1241"/>
      <c r="AQ430" s="1241"/>
      <c r="AR430" s="1241"/>
      <c r="AS430" s="1241"/>
      <c r="AT430" s="3946">
        <f>_xlfn.SUMIFS('Корректировка НВВ'!$AG$25:$AG$282,'Корректировка НВВ'!$F$25:$F$282,$F430,'Корректировка НВВ'!$I$25:$I$282,$G430)</f>
        <v>0</v>
      </c>
      <c r="AU430" s="3946"/>
      <c r="AV430" s="3946"/>
      <c r="AW430" s="3946"/>
      <c r="AX430" s="3946"/>
      <c r="AY430" s="1241"/>
      <c r="AZ430" s="1241"/>
      <c r="BA430" s="1241"/>
      <c r="BB430" s="1241"/>
      <c r="BC430" s="1241"/>
      <c r="BD430" s="1115"/>
      <c r="BE430" s="1115"/>
      <c r="BF430" s="1115"/>
      <c r="BG430" s="1115"/>
      <c r="BH430" s="1115"/>
      <c r="BI430" s="1115"/>
      <c r="BJ430" s="1115"/>
      <c r="BK430" s="1115"/>
      <c r="BL430" s="1115"/>
      <c r="BM430" s="1115"/>
      <c r="BN430" s="7433"/>
      <c r="BO430" s="7437" t="str">
        <f>IF(_xlfn.IFERROR(INDEX('Корректировка НВВ'!$K$26:$L$282,MATCH($F430&amp;"5komm",'Корректировка НВВ'!$K$26:$K$282,0),2),"")=0,"",_xlfn.IFERROR(INDEX('Корректировка НВВ'!$K$26:$L$282,MATCH($F430&amp;"5komm",'Корректировка НВВ'!$K$26:$K$282,0),2),""))</f>
        <v/>
      </c>
      <c r="BP430" s="7433"/>
      <c r="BQ430" s="1278"/>
      <c r="BR430" s="1278"/>
      <c r="BS430" s="1064" t="s">
        <v>2885</v>
      </c>
      <c r="BT430" s="1064"/>
      <c r="BU430" s="1064"/>
      <c r="BV430" s="979"/>
      <c r="BW430" s="979"/>
    </row>
    <row s="1834" customFormat="1" customHeight="1" ht="23.25">
      <c r="A431" s="1278"/>
      <c r="B431" s="978"/>
      <c r="C431" s="107"/>
      <c r="D431" s="107" cm="1" t="str">
        <f t="array" ref="D431:D431">D430</f>
        <v>7</v>
      </c>
      <c r="E431" s="621">
        <v>15</v>
      </c>
      <c r="F431" s="50" cm="1" t="str">
        <f t="array" ref="F431:F431">OFFSET(E431,-1,1)</f>
        <v>2</v>
      </c>
      <c r="G431" s="107" t="s">
        <v>2886</v>
      </c>
      <c r="H431" s="107"/>
      <c r="I431" s="107" t="s">
        <v>2561</v>
      </c>
      <c r="J431" s="107"/>
      <c r="K431" s="158" t="s">
        <v>2561</v>
      </c>
      <c r="L431" s="980" t="s">
        <v>1493</v>
      </c>
      <c r="M431" s="107"/>
      <c r="N431" s="107"/>
      <c r="O431" s="107"/>
      <c r="P431" s="107"/>
      <c r="Q431" s="107"/>
      <c r="R431" s="107"/>
      <c r="S431" s="107"/>
      <c r="T431" s="465" cm="1" t="str">
        <f t="array" ref="T431:T431">T430</f>
        <v>true</v>
      </c>
      <c r="U431" s="107"/>
      <c r="V431" s="107"/>
      <c r="W431" s="107"/>
      <c r="X431" s="1596"/>
      <c r="Y431" s="1278"/>
      <c r="Z431" s="1546"/>
      <c r="AA431" s="1278"/>
      <c r="AB431" s="300" t="str">
        <f>IF(B429,D430&amp;".7",D430&amp;".5")</f>
        <v>7.5</v>
      </c>
      <c r="AC431" s="762" t="s">
        <v>2278</v>
      </c>
      <c r="AD431" s="300" t="s">
        <v>1514</v>
      </c>
      <c r="AE431" s="3946">
        <f>AE432+AE433</f>
        <v>0</v>
      </c>
      <c r="AF431" s="3946">
        <f>AF432+AF433</f>
        <v>0</v>
      </c>
      <c r="AG431" s="3946">
        <f>AG432+AG433</f>
        <v>0</v>
      </c>
      <c r="AH431" s="1114">
        <f>AG431-AF431</f>
        <v>0</v>
      </c>
      <c r="AI431" s="3946">
        <f>AI432+AI433</f>
        <v>0</v>
      </c>
      <c r="AJ431" s="3946">
        <f>_xlfn.SUMIFS('Корректировка НВВ'!$AF$25:$AF$282,'Корректировка НВВ'!$F$25:$F$282,$F431,'Корректировка НВВ'!$I$25:$I$282,$G431)</f>
        <v>0</v>
      </c>
      <c r="AK431" s="3946">
        <f>AK432+AK433</f>
        <v>0</v>
      </c>
      <c r="AL431" s="3946">
        <f>AL432+AL433</f>
        <v>0</v>
      </c>
      <c r="AM431" s="3946">
        <f>AM432+AM433</f>
        <v>0</v>
      </c>
      <c r="AN431" s="3946">
        <f>AN432+AN433</f>
        <v>0</v>
      </c>
      <c r="AO431" s="1241">
        <f>AO432+AO433</f>
        <v>0</v>
      </c>
      <c r="AP431" s="1241">
        <f>AP432+AP433</f>
        <v>0</v>
      </c>
      <c r="AQ431" s="1241">
        <f>AQ432+AQ433</f>
        <v>0</v>
      </c>
      <c r="AR431" s="1241">
        <f>AR432+AR433</f>
        <v>0</v>
      </c>
      <c r="AS431" s="1241">
        <f>AS432+AS433</f>
        <v>0</v>
      </c>
      <c r="AT431" s="3946">
        <f>_xlfn.SUMIFS('Корректировка НВВ'!$AG$25:$AG$282,'Корректировка НВВ'!$F$25:$F$282,$F431,'Корректировка НВВ'!$I$25:$I$282,$G431)</f>
        <v>0</v>
      </c>
      <c r="AU431" s="3946">
        <f>AU432+AU433</f>
        <v>0</v>
      </c>
      <c r="AV431" s="3946">
        <f>AV432+AV433</f>
        <v>0</v>
      </c>
      <c r="AW431" s="3946">
        <f>AW432+AW433</f>
        <v>0</v>
      </c>
      <c r="AX431" s="3946">
        <f>AX432+AX433</f>
        <v>0</v>
      </c>
      <c r="AY431" s="1241">
        <f>AY432+AY433</f>
        <v>0</v>
      </c>
      <c r="AZ431" s="1241">
        <f>AZ432+AZ433</f>
        <v>0</v>
      </c>
      <c r="BA431" s="1241">
        <f>BA432+BA433</f>
        <v>0</v>
      </c>
      <c r="BB431" s="1241">
        <f>BB432+BB433</f>
        <v>0</v>
      </c>
      <c r="BC431" s="1241">
        <f>BC432+BC433</f>
        <v>0</v>
      </c>
      <c r="BD431" s="1114">
        <f>IF(AI431=0,0,(AT431-AI431)/AI431*100)</f>
        <v>0</v>
      </c>
      <c r="BE431" s="1114">
        <f>IF(AT431=0,0,(AU431-AT431)/AT431*100)</f>
        <v>0</v>
      </c>
      <c r="BF431" s="1114">
        <f>IF(AU431=0,0,(AV431-AU431)/AU431*100)</f>
        <v>0</v>
      </c>
      <c r="BG431" s="1114">
        <f>IF(AV431=0,0,(AW431-AV431)/AV431*100)</f>
        <v>0</v>
      </c>
      <c r="BH431" s="1114">
        <f>IF(AW431=0,0,(AX431-AW431)/AW431*100)</f>
        <v>0</v>
      </c>
      <c r="BI431" s="1114">
        <f>IF(AX431=0,0,(AY431-AX431)/AX431*100)</f>
        <v>0</v>
      </c>
      <c r="BJ431" s="1114">
        <f>IF(AY431=0,0,(AZ431-AY431)/AY431*100)</f>
        <v>0</v>
      </c>
      <c r="BK431" s="1114">
        <f>IF(AZ431=0,0,(BA431-AZ431)/AZ431*100)</f>
        <v>0</v>
      </c>
      <c r="BL431" s="1114">
        <f>IF(BA431=0,0,(BB431-BA431)/BA431*100)</f>
        <v>0</v>
      </c>
      <c r="BM431" s="1114">
        <f>IF(BB431=0,0,(BC431-BB431)/BB431*100)</f>
        <v>0</v>
      </c>
      <c r="BN431" s="7433"/>
      <c r="BO431" s="7437" t="str">
        <f>IF(_xlfn.IFERROR(INDEX('Корректировка НВВ'!$K$26:$L$282,MATCH($F431&amp;"6komm",'Корректировка НВВ'!$K$26:$K$282,0),2),"")=0,"",_xlfn.IFERROR(INDEX('Корректировка НВВ'!$K$26:$L$282,MATCH($F431&amp;"6komm",'Корректировка НВВ'!$K$26:$K$282,0),2),""))</f>
        <v/>
      </c>
      <c r="BP431" s="7433"/>
      <c r="BQ431" s="1278"/>
      <c r="BR431" s="1278"/>
      <c r="BS431" s="1064" t="s">
        <v>2280</v>
      </c>
      <c r="BT431" s="1064"/>
      <c r="BU431" s="1064"/>
      <c r="BV431" s="979"/>
      <c r="BW431" s="979"/>
    </row>
    <row s="1834" customFormat="1" customHeight="1" ht="21.75">
      <c r="A432" s="1278"/>
      <c r="B432" s="978"/>
      <c r="C432" s="107"/>
      <c r="D432" s="107" cm="1" t="str">
        <f t="array" ref="D432:D432">D431</f>
        <v>7</v>
      </c>
      <c r="E432" s="621">
        <v>22.5</v>
      </c>
      <c r="F432" s="50" cm="1" t="str">
        <f t="array" ref="F432:F432">OFFSET(E432,-1,1)</f>
        <v>2</v>
      </c>
      <c r="G432" s="107" t="s">
        <v>2887</v>
      </c>
      <c r="H432" s="107"/>
      <c r="I432" s="107" t="s">
        <v>2888</v>
      </c>
      <c r="J432" s="107"/>
      <c r="K432" s="158" t="s">
        <v>2888</v>
      </c>
      <c r="L432" s="980" t="s">
        <v>2556</v>
      </c>
      <c r="M432" s="107"/>
      <c r="N432" s="107"/>
      <c r="O432" s="107"/>
      <c r="P432" s="107"/>
      <c r="Q432" s="107"/>
      <c r="R432" s="107"/>
      <c r="S432" s="107"/>
      <c r="T432" s="465" cm="1" t="str">
        <f t="array" ref="T432:T432">T431</f>
        <v>true</v>
      </c>
      <c r="U432" s="107"/>
      <c r="V432" s="107"/>
      <c r="W432" s="107"/>
      <c r="X432" s="1596"/>
      <c r="Y432" s="1278"/>
      <c r="Z432" s="1546"/>
      <c r="AA432" s="1278"/>
      <c r="AB432" s="300" t="str">
        <f>AB431&amp;".1"</f>
        <v>7.5.1</v>
      </c>
      <c r="AC432" s="781" t="s">
        <v>2281</v>
      </c>
      <c r="AD432" s="300" t="s">
        <v>1514</v>
      </c>
      <c r="AE432" s="3946"/>
      <c r="AF432" s="3946"/>
      <c r="AG432" s="3946"/>
      <c r="AH432" s="1114">
        <f>AG432-AF432</f>
        <v>0</v>
      </c>
      <c r="AI432" s="3946"/>
      <c r="AJ432" s="3946">
        <f>_xlfn.SUMIFS('Корректировка НВВ'!$AF$25:$AF$282,'Корректировка НВВ'!$F$25:$F$282,$F432,'Корректировка НВВ'!$I$25:$I$282,$G432)</f>
        <v>0</v>
      </c>
      <c r="AK432" s="3946"/>
      <c r="AL432" s="3946"/>
      <c r="AM432" s="3946"/>
      <c r="AN432" s="3946"/>
      <c r="AO432" s="1241"/>
      <c r="AP432" s="1241"/>
      <c r="AQ432" s="1241"/>
      <c r="AR432" s="1241"/>
      <c r="AS432" s="1241"/>
      <c r="AT432" s="3946">
        <f>_xlfn.SUMIFS('Корректировка НВВ'!$AG$25:$AG$282,'Корректировка НВВ'!$F$25:$F$282,$F432,'Корректировка НВВ'!$I$25:$I$282,$G432)</f>
        <v>0</v>
      </c>
      <c r="AU432" s="3946"/>
      <c r="AV432" s="3946"/>
      <c r="AW432" s="3946"/>
      <c r="AX432" s="3946"/>
      <c r="AY432" s="1241"/>
      <c r="AZ432" s="1241"/>
      <c r="BA432" s="1241"/>
      <c r="BB432" s="1241"/>
      <c r="BC432" s="1241"/>
      <c r="BD432" s="1115"/>
      <c r="BE432" s="1115"/>
      <c r="BF432" s="1115"/>
      <c r="BG432" s="1115"/>
      <c r="BH432" s="1115"/>
      <c r="BI432" s="1115"/>
      <c r="BJ432" s="1115"/>
      <c r="BK432" s="1115"/>
      <c r="BL432" s="1115"/>
      <c r="BM432" s="1115"/>
      <c r="BN432" s="7433"/>
      <c r="BO432" s="7437" t="str">
        <f>IF(_xlfn.IFERROR(INDEX('Корректировка НВВ'!$K$26:$L$282,MATCH($F432&amp;"7komm",'Корректировка НВВ'!$K$26:$K$282,0),2),"")=0,"",_xlfn.IFERROR(INDEX('Корректировка НВВ'!$K$26:$L$282,MATCH($F432&amp;"7komm",'Корректировка НВВ'!$K$26:$K$282,0),2),""))</f>
        <v/>
      </c>
      <c r="BP432" s="7433"/>
      <c r="BQ432" s="1278"/>
      <c r="BR432" s="1278"/>
      <c r="BS432" s="1064" t="s">
        <v>2282</v>
      </c>
      <c r="BT432" s="1064"/>
      <c r="BU432" s="1064"/>
      <c r="BV432" s="979"/>
      <c r="BW432" s="979"/>
    </row>
    <row s="1834" customFormat="1" customHeight="1" ht="21.75">
      <c r="A433" s="1278"/>
      <c r="B433" s="978"/>
      <c r="C433" s="107"/>
      <c r="D433" s="107" cm="1" t="str">
        <f t="array" ref="D433:D433">D432</f>
        <v>7</v>
      </c>
      <c r="E433" s="621">
        <v>22.5</v>
      </c>
      <c r="F433" s="50" cm="1" t="str">
        <f t="array" ref="F433:F433">OFFSET(E433,-1,1)</f>
        <v>2</v>
      </c>
      <c r="G433" s="107" t="s">
        <v>2889</v>
      </c>
      <c r="H433" s="107"/>
      <c r="I433" s="107" t="s">
        <v>2890</v>
      </c>
      <c r="J433" s="107"/>
      <c r="K433" s="158" t="s">
        <v>2890</v>
      </c>
      <c r="L433" s="980" t="s">
        <v>2558</v>
      </c>
      <c r="M433" s="107"/>
      <c r="N433" s="107"/>
      <c r="O433" s="107"/>
      <c r="P433" s="107"/>
      <c r="Q433" s="107"/>
      <c r="R433" s="107"/>
      <c r="S433" s="107"/>
      <c r="T433" s="465" cm="1" t="str">
        <f t="array" ref="T433:T433">T432</f>
        <v>true</v>
      </c>
      <c r="U433" s="107"/>
      <c r="V433" s="107"/>
      <c r="W433" s="107"/>
      <c r="X433" s="1596"/>
      <c r="Y433" s="1278"/>
      <c r="Z433" s="1546"/>
      <c r="AA433" s="1278"/>
      <c r="AB433" s="300" t="str">
        <f>AB431&amp;".2"</f>
        <v>7.5.2</v>
      </c>
      <c r="AC433" s="781" t="s">
        <v>2283</v>
      </c>
      <c r="AD433" s="300" t="s">
        <v>1514</v>
      </c>
      <c r="AE433" s="3946"/>
      <c r="AF433" s="3946"/>
      <c r="AG433" s="3946"/>
      <c r="AH433" s="1114">
        <f>AG433-AF433</f>
        <v>0</v>
      </c>
      <c r="AI433" s="3946"/>
      <c r="AJ433" s="3946">
        <f>_xlfn.SUMIFS('Корректировка НВВ'!$AF$25:$AF$282,'Корректировка НВВ'!$F$25:$F$282,$F433,'Корректировка НВВ'!$I$25:$I$282,$G433)</f>
        <v>0</v>
      </c>
      <c r="AK433" s="3946"/>
      <c r="AL433" s="3946"/>
      <c r="AM433" s="3946"/>
      <c r="AN433" s="3946"/>
      <c r="AO433" s="1241"/>
      <c r="AP433" s="1241"/>
      <c r="AQ433" s="1241"/>
      <c r="AR433" s="1241"/>
      <c r="AS433" s="1241"/>
      <c r="AT433" s="3946">
        <f>_xlfn.SUMIFS('Корректировка НВВ'!$AG$25:$AG$282,'Корректировка НВВ'!$F$25:$F$282,$F433,'Корректировка НВВ'!$I$25:$I$282,$G433)</f>
        <v>0</v>
      </c>
      <c r="AU433" s="3946"/>
      <c r="AV433" s="3946"/>
      <c r="AW433" s="3946"/>
      <c r="AX433" s="3946"/>
      <c r="AY433" s="1241"/>
      <c r="AZ433" s="1241"/>
      <c r="BA433" s="1241"/>
      <c r="BB433" s="1241"/>
      <c r="BC433" s="1241"/>
      <c r="BD433" s="1115"/>
      <c r="BE433" s="1115"/>
      <c r="BF433" s="1115"/>
      <c r="BG433" s="1115"/>
      <c r="BH433" s="1115"/>
      <c r="BI433" s="1115"/>
      <c r="BJ433" s="1115"/>
      <c r="BK433" s="1115"/>
      <c r="BL433" s="1115"/>
      <c r="BM433" s="1115"/>
      <c r="BN433" s="7433"/>
      <c r="BO433" s="7437" t="str">
        <f>IF(_xlfn.IFERROR(INDEX('Корректировка НВВ'!$K$26:$L$282,MATCH($F433&amp;"8komm",'Корректировка НВВ'!$K$26:$K$282,0),2),"")=0,"",_xlfn.IFERROR(INDEX('Корректировка НВВ'!$K$26:$L$282,MATCH($F433&amp;"8komm",'Корректировка НВВ'!$K$26:$K$282,0),2),""))</f>
        <v/>
      </c>
      <c r="BP433" s="7433"/>
      <c r="BQ433" s="1278"/>
      <c r="BR433" s="1278"/>
      <c r="BS433" s="1064" t="s">
        <v>2284</v>
      </c>
      <c r="BT433" s="1064"/>
      <c r="BU433" s="1064"/>
      <c r="BV433" s="979"/>
      <c r="BW433" s="979"/>
    </row>
    <row s="1834" customFormat="1" customHeight="1" ht="0">
      <c r="A434" s="1278"/>
      <c r="B434" s="978"/>
      <c r="C434" s="107"/>
      <c r="D434" s="107" cm="1" t="str">
        <f t="array" ref="D434:D434">D433</f>
        <v>7</v>
      </c>
      <c r="E434" s="621">
        <v>15</v>
      </c>
      <c r="F434" s="50" cm="1" t="str">
        <f t="array" ref="F434:F434">OFFSET(E434,-1,1)</f>
        <v>2</v>
      </c>
      <c r="G434" s="107" t="s">
        <v>320</v>
      </c>
      <c r="H434" s="107"/>
      <c r="I434" s="107" t="s">
        <v>2562</v>
      </c>
      <c r="J434" s="107"/>
      <c r="K434" s="158" t="s">
        <v>2562</v>
      </c>
      <c r="L434" s="980" t="s">
        <v>2561</v>
      </c>
      <c r="M434" s="107"/>
      <c r="N434" s="107"/>
      <c r="O434" s="107"/>
      <c r="P434" s="107"/>
      <c r="Q434" s="107"/>
      <c r="R434" s="107"/>
      <c r="S434" s="107"/>
      <c r="T434" s="465" cm="1" t="str">
        <f t="array" ref="T434:T434">T433</f>
        <v>true</v>
      </c>
      <c r="U434" s="107"/>
      <c r="V434" s="107"/>
      <c r="W434" s="107"/>
      <c r="X434" s="1596"/>
      <c r="Y434" s="1278"/>
      <c r="Z434" s="1546"/>
      <c r="AA434" s="1278"/>
      <c r="AB434" s="300" t="str">
        <f>IF(B429,D430&amp;".8",D430&amp;".6")</f>
        <v>7.6</v>
      </c>
      <c r="AC434" s="782" t="s">
        <v>2285</v>
      </c>
      <c r="AD434" s="300" t="s">
        <v>1514</v>
      </c>
      <c r="AE434" s="3946"/>
      <c r="AF434" s="3946"/>
      <c r="AG434" s="3946"/>
      <c r="AH434" s="1114">
        <f>AG434-AF434</f>
        <v>0</v>
      </c>
      <c r="AI434" s="3946"/>
      <c r="AJ434" s="3946">
        <f>_xlfn.SUMIFS('Корректировка НВВ'!$AF$25:$AF$282,'Корректировка НВВ'!$F$25:$F$282,$F434,'Корректировка НВВ'!$I$25:$I$282,$G434)</f>
        <v>0</v>
      </c>
      <c r="AK434" s="3946"/>
      <c r="AL434" s="3946"/>
      <c r="AM434" s="3946"/>
      <c r="AN434" s="3946"/>
      <c r="AO434" s="1241"/>
      <c r="AP434" s="1241"/>
      <c r="AQ434" s="1241"/>
      <c r="AR434" s="1241"/>
      <c r="AS434" s="1241"/>
      <c r="AT434" s="3946">
        <f>_xlfn.SUMIFS('Корректировка НВВ'!$AG$25:$AG$282,'Корректировка НВВ'!$F$25:$F$282,$F434,'Корректировка НВВ'!$I$25:$I$282,$G434)</f>
        <v>0</v>
      </c>
      <c r="AU434" s="3946"/>
      <c r="AV434" s="3946"/>
      <c r="AW434" s="3946"/>
      <c r="AX434" s="3946"/>
      <c r="AY434" s="1241"/>
      <c r="AZ434" s="1241"/>
      <c r="BA434" s="1241"/>
      <c r="BB434" s="1241"/>
      <c r="BC434" s="1241"/>
      <c r="BD434" s="1115"/>
      <c r="BE434" s="1115"/>
      <c r="BF434" s="1115"/>
      <c r="BG434" s="1115"/>
      <c r="BH434" s="1115"/>
      <c r="BI434" s="1115"/>
      <c r="BJ434" s="1115"/>
      <c r="BK434" s="1115"/>
      <c r="BL434" s="1115"/>
      <c r="BM434" s="1115"/>
      <c r="BN434" s="7433"/>
      <c r="BO434" s="7437" t="str">
        <f>IF(_xlfn.IFERROR(INDEX('Корректировка НВВ'!$K$26:$L$282,MATCH($F434&amp;"9komm",'Корректировка НВВ'!$K$26:$K$282,0),2),"")=0,"",_xlfn.IFERROR(INDEX('Корректировка НВВ'!$K$26:$L$282,MATCH($F434&amp;"9komm",'Корректировка НВВ'!$K$26:$K$282,0),2),""))</f>
        <v/>
      </c>
      <c r="BP434" s="7433"/>
      <c r="BQ434" s="1278"/>
      <c r="BR434" s="1278"/>
      <c r="BS434" s="1064" t="s">
        <v>2891</v>
      </c>
      <c r="BT434" s="1064"/>
      <c r="BU434" s="1064"/>
      <c r="BV434" s="979"/>
      <c r="BW434" s="979"/>
    </row>
    <row s="1834" customFormat="1" customHeight="1" ht="0">
      <c r="A435" s="1278"/>
      <c r="B435" s="978"/>
      <c r="C435" s="107"/>
      <c r="D435" s="107" cm="1" t="str">
        <f t="array" ref="D435:D435">D434</f>
        <v>7</v>
      </c>
      <c r="E435" s="621">
        <v>15</v>
      </c>
      <c r="F435" s="50" cm="1" t="str">
        <f t="array" ref="F435:F435">OFFSET(E435,-1,1)</f>
        <v>2</v>
      </c>
      <c r="G435" s="107" t="s">
        <v>2892</v>
      </c>
      <c r="H435" s="107"/>
      <c r="I435" s="107" t="s">
        <v>2563</v>
      </c>
      <c r="J435" s="107"/>
      <c r="K435" s="158" t="s">
        <v>2563</v>
      </c>
      <c r="L435" s="980" t="s">
        <v>2562</v>
      </c>
      <c r="M435" s="107"/>
      <c r="N435" s="107"/>
      <c r="O435" s="107"/>
      <c r="P435" s="107"/>
      <c r="Q435" s="107"/>
      <c r="R435" s="107"/>
      <c r="S435" s="107"/>
      <c r="T435" s="465" cm="1" t="str">
        <f t="array" ref="T435:T435">T434</f>
        <v>true</v>
      </c>
      <c r="U435" s="107"/>
      <c r="V435" s="107"/>
      <c r="W435" s="107"/>
      <c r="X435" s="1596"/>
      <c r="Y435" s="1278"/>
      <c r="Z435" s="1546"/>
      <c r="AA435" s="1278"/>
      <c r="AB435" s="300" t="str">
        <f>IF(B429,D430&amp;".9",D430&amp;".7")</f>
        <v>7.7</v>
      </c>
      <c r="AC435" s="782" t="s">
        <v>2287</v>
      </c>
      <c r="AD435" s="300" t="s">
        <v>1514</v>
      </c>
      <c r="AE435" s="3946"/>
      <c r="AF435" s="3946"/>
      <c r="AG435" s="3946"/>
      <c r="AH435" s="1114">
        <f>AG435-AF435</f>
        <v>0</v>
      </c>
      <c r="AI435" s="3946"/>
      <c r="AJ435" s="3946">
        <f>_xlfn.SUMIFS('Корректировка НВВ'!$AF$25:$AF$282,'Корректировка НВВ'!$F$25:$F$282,$F435,'Корректировка НВВ'!$I$25:$I$282,$G435)</f>
        <v>0</v>
      </c>
      <c r="AK435" s="3946"/>
      <c r="AL435" s="3946"/>
      <c r="AM435" s="3946"/>
      <c r="AN435" s="3946"/>
      <c r="AO435" s="1241"/>
      <c r="AP435" s="1241"/>
      <c r="AQ435" s="1241"/>
      <c r="AR435" s="1241"/>
      <c r="AS435" s="1241"/>
      <c r="AT435" s="3946">
        <f>_xlfn.SUMIFS('Корректировка НВВ'!$AG$25:$AG$282,'Корректировка НВВ'!$F$25:$F$282,$F435,'Корректировка НВВ'!$I$25:$I$282,$G435)</f>
        <v>0</v>
      </c>
      <c r="AU435" s="3946"/>
      <c r="AV435" s="3946"/>
      <c r="AW435" s="3946"/>
      <c r="AX435" s="3946"/>
      <c r="AY435" s="1241"/>
      <c r="AZ435" s="1241"/>
      <c r="BA435" s="1241"/>
      <c r="BB435" s="1241"/>
      <c r="BC435" s="1241"/>
      <c r="BD435" s="1115"/>
      <c r="BE435" s="1115"/>
      <c r="BF435" s="1115"/>
      <c r="BG435" s="1115"/>
      <c r="BH435" s="1115"/>
      <c r="BI435" s="1115"/>
      <c r="BJ435" s="1115"/>
      <c r="BK435" s="1115"/>
      <c r="BL435" s="1115"/>
      <c r="BM435" s="1115"/>
      <c r="BN435" s="7433"/>
      <c r="BO435" s="7437" t="str">
        <f>IF(_xlfn.IFERROR(INDEX('Корректировка НВВ'!$K$26:$L$282,MATCH($F435&amp;"10komm",'Корректировка НВВ'!$K$26:$K$282,0),2),"")=0,"",_xlfn.IFERROR(INDEX('Корректировка НВВ'!$K$26:$L$282,MATCH($F435&amp;"10komm",'Корректировка НВВ'!$K$26:$K$282,0),2),""))</f>
        <v/>
      </c>
      <c r="BP435" s="7433"/>
      <c r="BQ435" s="1278"/>
      <c r="BR435" s="1278"/>
      <c r="BS435" s="1064" t="s">
        <v>2288</v>
      </c>
      <c r="BT435" s="1064"/>
      <c r="BU435" s="1064"/>
      <c r="BV435" s="979"/>
      <c r="BW435" s="979"/>
    </row>
    <row s="7554" customFormat="1" customHeight="1" ht="54.75">
      <c r="A436" s="700"/>
      <c r="B436" s="435"/>
      <c r="C436" s="109"/>
      <c r="D436" s="109">
        <f>D435+1</f>
        <v>8</v>
      </c>
      <c r="E436" s="826">
        <v>21</v>
      </c>
      <c r="F436" s="50" cm="1" t="str">
        <f t="array" ref="F436:F436">OFFSET(E436,-1,1)</f>
        <v>2</v>
      </c>
      <c r="G436" s="109"/>
      <c r="H436" s="109"/>
      <c r="I436" s="109" t="s">
        <v>1297</v>
      </c>
      <c r="J436" s="109"/>
      <c r="K436" s="162" t="s">
        <v>1297</v>
      </c>
      <c r="L436" s="985"/>
      <c r="M436" s="109"/>
      <c r="N436" s="109"/>
      <c r="O436" s="109"/>
      <c r="P436" s="109"/>
      <c r="Q436" s="109"/>
      <c r="R436" s="109"/>
      <c r="S436" s="109"/>
      <c r="T436" s="465" cm="1" t="str">
        <f t="array" ref="T436:T436">T435</f>
        <v>true</v>
      </c>
      <c r="U436" s="109"/>
      <c r="V436" s="109"/>
      <c r="W436" s="109"/>
      <c r="X436" s="1596"/>
      <c r="Y436" s="700"/>
      <c r="Z436" s="1546"/>
      <c r="AA436" s="700"/>
      <c r="AB436" s="211" cm="1" t="str">
        <f t="array" ref="AB436:AB436">D436</f>
        <v>8</v>
      </c>
      <c r="AC436" s="212" t="s">
        <v>2893</v>
      </c>
      <c r="AD436" s="211" t="s">
        <v>1514</v>
      </c>
      <c r="AE436" s="7432"/>
      <c r="AF436" s="7432"/>
      <c r="AG436" s="7432"/>
      <c r="AH436" s="778">
        <f>AG436-AF436</f>
        <v>0</v>
      </c>
      <c r="AI436" s="7432"/>
      <c r="AJ436" s="7432">
        <v>-2518.16</v>
      </c>
      <c r="AK436" s="7432">
        <v>1318.35</v>
      </c>
      <c r="AL436" s="7432">
        <v>4819.787</v>
      </c>
      <c r="AM436" s="7432">
        <v>5394.902</v>
      </c>
      <c r="AN436" s="7432">
        <v>-9014.88</v>
      </c>
      <c r="AO436" s="1237"/>
      <c r="AP436" s="1237"/>
      <c r="AQ436" s="1237"/>
      <c r="AR436" s="1237"/>
      <c r="AS436" s="1237"/>
      <c r="AT436" s="7432">
        <v>-2518.1589</v>
      </c>
      <c r="AU436" s="7432">
        <v>1318.3525</v>
      </c>
      <c r="AV436" s="7432">
        <v>4819.7876</v>
      </c>
      <c r="AW436" s="7432">
        <v>5400.9677</v>
      </c>
      <c r="AX436" s="7432">
        <v>-9020.9468</v>
      </c>
      <c r="AY436" s="1237"/>
      <c r="AZ436" s="1237"/>
      <c r="BA436" s="1237"/>
      <c r="BB436" s="1237"/>
      <c r="BC436" s="1237"/>
      <c r="BD436" s="216"/>
      <c r="BE436" s="216"/>
      <c r="BF436" s="216"/>
      <c r="BG436" s="216"/>
      <c r="BH436" s="216"/>
      <c r="BI436" s="216"/>
      <c r="BJ436" s="216"/>
      <c r="BK436" s="216"/>
      <c r="BL436" s="216"/>
      <c r="BM436" s="216"/>
      <c r="BN436" s="7436"/>
      <c r="BO436" s="7436" t="s">
        <v>2931</v>
      </c>
      <c r="BP436" s="7436"/>
      <c r="BQ436" s="700"/>
      <c r="BR436" s="700"/>
      <c r="BS436" s="1070" t="s">
        <v>2894</v>
      </c>
      <c r="BT436" s="1070"/>
      <c r="BU436" s="1070"/>
      <c r="BV436" s="707"/>
      <c r="BW436" s="707"/>
    </row>
    <row s="1834" customFormat="1" customHeight="1" ht="14.25">
      <c r="A437" s="1278"/>
      <c r="B437" s="978"/>
      <c r="C437" s="107"/>
      <c r="D437" s="109" cm="1" t="str">
        <f t="array" ref="D437:D437">D436</f>
        <v>8</v>
      </c>
      <c r="E437" s="621">
        <v>15</v>
      </c>
      <c r="F437" s="50" cm="1" t="str">
        <f t="array" ref="F437:F437">OFFSET(E437,-1,1)</f>
        <v>2</v>
      </c>
      <c r="G437" s="107"/>
      <c r="H437" s="107"/>
      <c r="I437" s="107" t="s">
        <v>1300</v>
      </c>
      <c r="J437" s="107"/>
      <c r="K437" s="158" t="s">
        <v>1300</v>
      </c>
      <c r="L437" s="980"/>
      <c r="M437" s="107"/>
      <c r="N437" s="107"/>
      <c r="O437" s="107"/>
      <c r="P437" s="107"/>
      <c r="Q437" s="107"/>
      <c r="R437" s="107"/>
      <c r="S437" s="107"/>
      <c r="T437" s="465" cm="1" t="str">
        <f t="array" ref="T437:T437">T436</f>
        <v>true</v>
      </c>
      <c r="U437" s="107"/>
      <c r="V437" s="107"/>
      <c r="W437" s="107"/>
      <c r="X437" s="1596"/>
      <c r="Y437" s="1278"/>
      <c r="Z437" s="1546"/>
      <c r="AA437" s="1278"/>
      <c r="AB437" s="300" t="str">
        <f>D437&amp;".1"</f>
        <v>8.1</v>
      </c>
      <c r="AC437" s="762" t="s">
        <v>2895</v>
      </c>
      <c r="AD437" s="300" t="s">
        <v>1170</v>
      </c>
      <c r="AE437" s="1114">
        <f>IF(AE438=0,0,AE436/(AE438+AE423)*100)</f>
        <v>0</v>
      </c>
      <c r="AF437" s="1114">
        <f>IF(AF438=0,0,AF436/(AF438+AF423)*100)</f>
        <v>0</v>
      </c>
      <c r="AG437" s="1114">
        <f>IF(AG438=0,0,AG436/(AG438+AG423)*100)</f>
        <v>0</v>
      </c>
      <c r="AH437" s="1114">
        <f>AG437-AF437</f>
        <v>0</v>
      </c>
      <c r="AI437" s="1114">
        <f>IF(AI438=0,0,AI436/(AI438+AI423)*100)</f>
        <v>0</v>
      </c>
      <c r="AJ437" s="1114">
        <f>IF(AJ438=0,0,AJ436/(AJ438+AJ423)*100)</f>
        <v>-2.08007404588799</v>
      </c>
      <c r="AK437" s="1114">
        <f>IF(AK438=0,0,AK436/(AK438+AK423)*100)</f>
        <v>1.01505164822128</v>
      </c>
      <c r="AL437" s="1114">
        <f>IF(AL438=0,0,AL436/(AL438+AL423)*100)</f>
        <v>3.54900437869329</v>
      </c>
      <c r="AM437" s="1114">
        <f>IF(AM438=0,0,AM436/(AM438+AM423)*100)</f>
        <v>3.7685867338855</v>
      </c>
      <c r="AN437" s="1114">
        <f>IF(AN438=0,0,AN436/(AN438+AN423)*100)</f>
        <v>-5.55250621072842</v>
      </c>
      <c r="AO437" s="1114">
        <f>IF(AO438=0,0,AO436/(AO438+AO423)*100)</f>
        <v>0</v>
      </c>
      <c r="AP437" s="1114">
        <f>IF(AP438=0,0,AP436/(AP438+AP423)*100)</f>
        <v>0</v>
      </c>
      <c r="AQ437" s="1114">
        <f>IF(AQ438=0,0,AQ436/(AQ438+AQ423)*100)</f>
        <v>0</v>
      </c>
      <c r="AR437" s="1114">
        <f>IF(AR438=0,0,AR436/(AR438+AR423)*100)</f>
        <v>0</v>
      </c>
      <c r="AS437" s="1114">
        <f>IF(AS438=0,0,AS436/(AS438+AS423)*100)</f>
        <v>0</v>
      </c>
      <c r="AT437" s="1114">
        <f>IF(AT438=0,0,AT436/(AT438+AT423)*100)</f>
        <v>-2.08007317770012</v>
      </c>
      <c r="AU437" s="1114">
        <f>IF(AU438=0,0,AU436/(AU438+AU423)*100)</f>
        <v>1.01505359728613</v>
      </c>
      <c r="AV437" s="1114">
        <f>IF(AV438=0,0,AV436/(AV438+AV423)*100)</f>
        <v>3.54900133099069</v>
      </c>
      <c r="AW437" s="1114">
        <f>IF(AW438=0,0,AW436/(AW438+AW423)*100)</f>
        <v>3.77285149406036</v>
      </c>
      <c r="AX437" s="1114">
        <f>IF(AX438=0,0,AX436/(AX438+AX423)*100)</f>
        <v>-5.55336354974136</v>
      </c>
      <c r="AY437" s="1114">
        <f>IF(AY438=0,0,AY436/(AY438+AY423)*100)</f>
        <v>0</v>
      </c>
      <c r="AZ437" s="1114">
        <f>IF(AZ438=0,0,AZ436/(AZ438+AZ423)*100)</f>
        <v>0</v>
      </c>
      <c r="BA437" s="1114">
        <f>IF(BA438=0,0,BA436/(BA438+BA423)*100)</f>
        <v>0</v>
      </c>
      <c r="BB437" s="1114">
        <f>IF(BB438=0,0,BB436/(BB438+BB423)*100)</f>
        <v>0</v>
      </c>
      <c r="BC437" s="1114">
        <f>IF(BC438=0,0,BC436/(BC438+BC423)*100)</f>
        <v>0</v>
      </c>
      <c r="BD437" s="1115"/>
      <c r="BE437" s="1115"/>
      <c r="BF437" s="1115"/>
      <c r="BG437" s="1115"/>
      <c r="BH437" s="1115"/>
      <c r="BI437" s="1115"/>
      <c r="BJ437" s="1115"/>
      <c r="BK437" s="1115"/>
      <c r="BL437" s="1115"/>
      <c r="BM437" s="1115"/>
      <c r="BN437" s="7433"/>
      <c r="BO437" s="7433"/>
      <c r="BP437" s="7433"/>
      <c r="BQ437" s="1278"/>
      <c r="BR437" s="1278"/>
      <c r="BS437" s="1064" t="s">
        <v>2896</v>
      </c>
      <c r="BT437" s="1064"/>
      <c r="BU437" s="1064"/>
      <c r="BV437" s="979"/>
      <c r="BW437" s="979"/>
    </row>
    <row s="7555" customFormat="1" customHeight="1" ht="20.25">
      <c r="A438" s="700"/>
      <c r="B438" s="435"/>
      <c r="C438" s="109"/>
      <c r="D438" s="109">
        <f>D437+1</f>
        <v>9</v>
      </c>
      <c r="E438" s="826">
        <v>21</v>
      </c>
      <c r="F438" s="50" cm="1" t="str">
        <f t="array" ref="F438:F438">OFFSET(E438,-1,1)</f>
        <v>2</v>
      </c>
      <c r="G438" s="109"/>
      <c r="H438" s="107"/>
      <c r="I438" s="107" t="s">
        <v>1454</v>
      </c>
      <c r="J438" s="109"/>
      <c r="K438" s="158" t="s">
        <v>1454</v>
      </c>
      <c r="L438" s="985" t="s">
        <v>2563</v>
      </c>
      <c r="M438" s="109"/>
      <c r="N438" s="109"/>
      <c r="O438" s="109"/>
      <c r="P438" s="109"/>
      <c r="Q438" s="109"/>
      <c r="R438" s="109"/>
      <c r="S438" s="109"/>
      <c r="T438" s="465" cm="1" t="str">
        <f t="array" ref="T438:T438">T437</f>
        <v>true</v>
      </c>
      <c r="U438" s="109"/>
      <c r="V438" s="109"/>
      <c r="W438" s="109"/>
      <c r="X438" s="1596"/>
      <c r="Y438" s="700"/>
      <c r="Z438" s="1546"/>
      <c r="AA438" s="700"/>
      <c r="AB438" s="211" cm="1" t="str">
        <f t="array" ref="AB438:AB438">D438</f>
        <v>9</v>
      </c>
      <c r="AC438" s="212" t="s">
        <v>2564</v>
      </c>
      <c r="AD438" s="234" t="s">
        <v>1514</v>
      </c>
      <c r="AE438" s="213">
        <f>AE316+AE366+AE402+AE403+AE405+AE410+AE411+AE414</f>
        <v>0</v>
      </c>
      <c r="AF438" s="213">
        <f>AF316+AF366+AF402+AF403+AF405+AF410+AF411+AF414</f>
        <v>0</v>
      </c>
      <c r="AG438" s="213">
        <f>AG316+AG366+AG402+AG403+AG405+AG410+AG411+AG414</f>
        <v>0</v>
      </c>
      <c r="AH438" s="778">
        <f>AG438-AF438</f>
        <v>0</v>
      </c>
      <c r="AI438" s="213">
        <f>AI316+AI366+AI402+AI403+AI405+AI410+AI411+AI414</f>
        <v>0</v>
      </c>
      <c r="AJ438" s="213">
        <f>AJ316+AJ366+AJ402+AJ403+AJ405+AJ410+AJ411+AJ414</f>
        <v>121061.07496404</v>
      </c>
      <c r="AK438" s="213">
        <f>AK316+AK366+AK402+AK403+AK405+AK410+AK411+AK414</f>
        <v>129880.090565855</v>
      </c>
      <c r="AL438" s="213">
        <f>AL316+AL366+AL402+AL403+AL405+AL410+AL411+AL414</f>
        <v>135806.735797114</v>
      </c>
      <c r="AM438" s="213">
        <f>AM316+AM366+AM402+AM403+AM405+AM410+AM411+AM414</f>
        <v>143154.513374772</v>
      </c>
      <c r="AN438" s="213">
        <f>AN316+AN366+AN402+AN403+AN405+AN410+AN411+AN414</f>
        <v>162356.95482126</v>
      </c>
      <c r="AO438" s="213">
        <f>AO316+AO366+AO402+AO403+AO405+AO410+AO411+AO414</f>
        <v>48570.644541212</v>
      </c>
      <c r="AP438" s="213">
        <f>AP316+AP366+AP402+AP403+AP405+AP410+AP411+AP414</f>
        <v>48570.644541212</v>
      </c>
      <c r="AQ438" s="213">
        <f>AQ316+AQ366+AQ402+AQ403+AQ405+AQ410+AQ411+AQ414</f>
        <v>48570.644541212</v>
      </c>
      <c r="AR438" s="213">
        <f>AR316+AR366+AR402+AR403+AR405+AR410+AR411+AR414</f>
        <v>48570.644541212</v>
      </c>
      <c r="AS438" s="213">
        <f>AS316+AS366+AS402+AS403+AS405+AS410+AS411+AS414</f>
        <v>48570.644541212</v>
      </c>
      <c r="AT438" s="213">
        <f>AT316+AT366+AT402+AT403+AT405+AT410+AT411+AT414</f>
        <v>121061.07261016</v>
      </c>
      <c r="AU438" s="213">
        <f>AU316+AU366+AU402+AU403+AU405+AU410+AU411+AU414</f>
        <v>129880.087467773</v>
      </c>
      <c r="AV438" s="213">
        <f>AV316+AV366+AV402+AV403+AV405+AV410+AV411+AV414</f>
        <v>135806.869327225</v>
      </c>
      <c r="AW438" s="213">
        <f>AW316+AW366+AW402+AW403+AW405+AW410+AW411+AW414</f>
        <v>143153.466509424</v>
      </c>
      <c r="AX438" s="213">
        <f>AX316+AX366+AX402+AX403+AX405+AX410+AX411+AX414</f>
        <v>162441.135344365</v>
      </c>
      <c r="AY438" s="213">
        <f>AY316+AY366+AY402+AY403+AY405+AY410+AY411+AY414</f>
        <v>48570.644541212</v>
      </c>
      <c r="AZ438" s="213">
        <f>AZ316+AZ366+AZ402+AZ403+AZ405+AZ410+AZ411+AZ414</f>
        <v>48570.644541212</v>
      </c>
      <c r="BA438" s="213">
        <f>BA316+BA366+BA402+BA403+BA405+BA410+BA411+BA414</f>
        <v>48570.644541212</v>
      </c>
      <c r="BB438" s="213">
        <f>BB316+BB366+BB402+BB403+BB405+BB410+BB411+BB414</f>
        <v>48570.644541212</v>
      </c>
      <c r="BC438" s="213">
        <f>BC316+BC366+BC402+BC403+BC405+BC410+BC411+BC414</f>
        <v>48570.644541212</v>
      </c>
      <c r="BD438" s="778">
        <f>IF(AI438=0,0,(AT438-AI438)/AI438*100)</f>
        <v>0</v>
      </c>
      <c r="BE438" s="778">
        <f>IF(AT438=0,0,(AU438-AT438)/AT438*100)</f>
        <v>7.28476517469156</v>
      </c>
      <c r="BF438" s="778">
        <f>IF(AU438=0,0,(AV438-AU438)/AU438*100)</f>
        <v>4.56327214972241</v>
      </c>
      <c r="BG438" s="778">
        <f>IF(AV438=0,0,(AW438-AV438)/AV438*100)</f>
        <v>5.40959173758543</v>
      </c>
      <c r="BH438" s="778">
        <f>IF(AW438=0,0,(AX438-AW438)/AW438*100)</f>
        <v>13.473420731779</v>
      </c>
      <c r="BI438" s="778">
        <f>IF(AX438=0,0,(AY438-AX438)/AX438*100)</f>
        <v>-70.0995413272351</v>
      </c>
      <c r="BJ438" s="778">
        <f>IF(AY438=0,0,(AZ438-AY438)/AY438*100)</f>
        <v>0</v>
      </c>
      <c r="BK438" s="778">
        <f>IF(AZ438=0,0,(BA438-AZ438)/AZ438*100)</f>
        <v>0</v>
      </c>
      <c r="BL438" s="778">
        <f>IF(BA438=0,0,(BB438-BA438)/BA438*100)</f>
        <v>0</v>
      </c>
      <c r="BM438" s="778">
        <f>IF(BB438=0,0,(BC438-BB438)/BB438*100)</f>
        <v>0</v>
      </c>
      <c r="BN438" s="7433"/>
      <c r="BO438" s="7433"/>
      <c r="BP438" s="7433"/>
      <c r="BQ438" s="700"/>
      <c r="BR438" s="700"/>
      <c r="BS438" s="1070" t="s">
        <v>2565</v>
      </c>
      <c r="BT438" s="1070"/>
      <c r="BU438" s="1070"/>
      <c r="BV438" s="707"/>
      <c r="BW438" s="707"/>
    </row>
    <row s="7556" customFormat="1" customHeight="1" ht="20.25">
      <c r="A439" s="700"/>
      <c r="B439" s="435"/>
      <c r="C439" s="109"/>
      <c r="D439" s="109">
        <f>D438+1</f>
        <v>10</v>
      </c>
      <c r="E439" s="826">
        <v>21</v>
      </c>
      <c r="F439" s="50" cm="1" t="str">
        <f t="array" ref="F439:F439">OFFSET(E439,-1,1)</f>
        <v>2</v>
      </c>
      <c r="G439" s="109"/>
      <c r="H439" s="107"/>
      <c r="I439" s="107" t="s">
        <v>2574</v>
      </c>
      <c r="J439" s="109"/>
      <c r="K439" s="158" t="s">
        <v>2574</v>
      </c>
      <c r="L439" s="985"/>
      <c r="M439" s="109"/>
      <c r="N439" s="109"/>
      <c r="O439" s="109"/>
      <c r="P439" s="109"/>
      <c r="Q439" s="109"/>
      <c r="R439" s="109"/>
      <c r="S439" s="109"/>
      <c r="T439" s="465" cm="1" t="str">
        <f t="array" ref="T439:T439">T438</f>
        <v>true</v>
      </c>
      <c r="U439" s="109"/>
      <c r="V439" s="109"/>
      <c r="W439" s="109"/>
      <c r="X439" s="1596"/>
      <c r="Y439" s="700"/>
      <c r="Z439" s="1546"/>
      <c r="AA439" s="700"/>
      <c r="AB439" s="211" cm="1" t="str">
        <f t="array" ref="AB439:AB439">D439</f>
        <v>10</v>
      </c>
      <c r="AC439" s="212" t="s">
        <v>2897</v>
      </c>
      <c r="AD439" s="211" t="s">
        <v>1514</v>
      </c>
      <c r="AE439" s="213">
        <f>AE438+AE423+AE436</f>
        <v>0</v>
      </c>
      <c r="AF439" s="213">
        <f>AF438+AF423+AF436</f>
        <v>0</v>
      </c>
      <c r="AG439" s="213">
        <f>AG438+AG423+AG436</f>
        <v>0</v>
      </c>
      <c r="AH439" s="213">
        <f>AH438+AH423+AH436</f>
        <v>0</v>
      </c>
      <c r="AI439" s="213">
        <f>AI438+AI423+AI436</f>
        <v>0</v>
      </c>
      <c r="AJ439" s="213">
        <f>AJ438+AJ423+AJ436</f>
        <v>118542.91496404</v>
      </c>
      <c r="AK439" s="213">
        <f>AK438+AK423+AK436</f>
        <v>131198.440565855</v>
      </c>
      <c r="AL439" s="213">
        <f>AL438+AL423+AL436</f>
        <v>140626.522797114</v>
      </c>
      <c r="AM439" s="213">
        <f>AM438+AM423+AM436</f>
        <v>148549.415374772</v>
      </c>
      <c r="AN439" s="213">
        <f>AN438+AN423+AN436</f>
        <v>153342.07482126</v>
      </c>
      <c r="AO439" s="213">
        <f>AO438+AO423+AO436</f>
        <v>48570.644541212</v>
      </c>
      <c r="AP439" s="213">
        <f>AP438+AP423+AP436</f>
        <v>48570.644541212</v>
      </c>
      <c r="AQ439" s="213">
        <f>AQ438+AQ423+AQ436</f>
        <v>48570.644541212</v>
      </c>
      <c r="AR439" s="213">
        <f>AR438+AR423+AR436</f>
        <v>48570.644541212</v>
      </c>
      <c r="AS439" s="213">
        <f>AS438+AS423+AS436</f>
        <v>48570.644541212</v>
      </c>
      <c r="AT439" s="213">
        <f>AT438+AT423+AT436</f>
        <v>118542.91371016</v>
      </c>
      <c r="AU439" s="213">
        <f>AU438+AU423+AU436</f>
        <v>131198.439967773</v>
      </c>
      <c r="AV439" s="213">
        <f>AV438+AV423+AV436</f>
        <v>140626.656927225</v>
      </c>
      <c r="AW439" s="213">
        <f>AW438+AW423+AW436</f>
        <v>148554.434209424</v>
      </c>
      <c r="AX439" s="213">
        <f>AX438+AX423+AX436</f>
        <v>153420.188544365</v>
      </c>
      <c r="AY439" s="213">
        <f>AY438+AY423+AY436</f>
        <v>48570.644541212</v>
      </c>
      <c r="AZ439" s="213">
        <f>AZ438+AZ423+AZ436</f>
        <v>48570.644541212</v>
      </c>
      <c r="BA439" s="213">
        <f>BA438+BA423+BA436</f>
        <v>48570.644541212</v>
      </c>
      <c r="BB439" s="213">
        <f>BB438+BB423+BB436</f>
        <v>48570.644541212</v>
      </c>
      <c r="BC439" s="213">
        <f>BC438+BC423+BC436</f>
        <v>48570.644541212</v>
      </c>
      <c r="BD439" s="778">
        <f>IF(AI439=0,0,(AT439-AI439)/AI439*100)</f>
        <v>0</v>
      </c>
      <c r="BE439" s="778">
        <f>IF(AT439=0,0,(AU439-AT439)/AT439*100)</f>
        <v>10.6759028114966</v>
      </c>
      <c r="BF439" s="778">
        <f>IF(AU439=0,0,(AV439-AU439)/AU439*100)</f>
        <v>7.18622642294215</v>
      </c>
      <c r="BG439" s="778">
        <f>IF(AV439=0,0,(AW439-AV439)/AV439*100)</f>
        <v>5.63746408783768</v>
      </c>
      <c r="BH439" s="778">
        <f>IF(AW439=0,0,(AX439-AW439)/AW439*100)</f>
        <v>3.27540161344595</v>
      </c>
      <c r="BI439" s="778">
        <f>IF(AX439=0,0,(AY439-AX439)/AX439*100)</f>
        <v>-68.3414255959106</v>
      </c>
      <c r="BJ439" s="778">
        <f>IF(AY439=0,0,(AZ439-AY439)/AY439*100)</f>
        <v>0</v>
      </c>
      <c r="BK439" s="778">
        <f>IF(AZ439=0,0,(BA439-AZ439)/AZ439*100)</f>
        <v>0</v>
      </c>
      <c r="BL439" s="778">
        <f>IF(BA439=0,0,(BB439-BA439)/BA439*100)</f>
        <v>0</v>
      </c>
      <c r="BM439" s="778">
        <f>IF(BB439=0,0,(BC439-BB439)/BB439*100)</f>
        <v>0</v>
      </c>
      <c r="BN439" s="7433"/>
      <c r="BO439" s="7433"/>
      <c r="BP439" s="7433"/>
      <c r="BQ439" s="700"/>
      <c r="BR439" s="700"/>
      <c r="BS439" s="1070" t="s">
        <v>2898</v>
      </c>
      <c r="BT439" s="1070"/>
      <c r="BU439" s="1070"/>
      <c r="BV439" s="707"/>
      <c r="BW439" s="707"/>
    </row>
    <row s="1834" customFormat="1" customHeight="1" ht="14.25" hidden="1">
      <c r="A440" s="1278"/>
      <c r="B440" s="445">
        <f>A315="двухставочный"</f>
        <v>0</v>
      </c>
      <c r="C440" s="107"/>
      <c r="D440" s="107" cm="1" t="str">
        <f t="array" ref="D440:D440">D439</f>
        <v>10</v>
      </c>
      <c r="E440" s="621">
        <v>15</v>
      </c>
      <c r="F440" s="50" cm="1" t="str">
        <f t="array" ref="F440:F440">OFFSET(E440,-1,1)</f>
        <v>2</v>
      </c>
      <c r="G440" s="107"/>
      <c r="H440" s="848"/>
      <c r="I440" s="848" t="s">
        <v>2577</v>
      </c>
      <c r="J440" s="107"/>
      <c r="K440" s="379" t="s">
        <v>2577</v>
      </c>
      <c r="L440" s="980" t="s">
        <v>2566</v>
      </c>
      <c r="M440" s="107"/>
      <c r="N440" s="107"/>
      <c r="O440" s="107"/>
      <c r="P440" s="107"/>
      <c r="Q440" s="107"/>
      <c r="R440" s="107"/>
      <c r="S440" s="107"/>
      <c r="T440" s="465" cm="1" t="str">
        <f t="array" ref="T440:T440">T439</f>
        <v>true</v>
      </c>
      <c r="U440" s="107"/>
      <c r="V440" s="107"/>
      <c r="W440" s="107"/>
      <c r="X440" s="1596"/>
      <c r="Y440" s="1278"/>
      <c r="Z440" s="1546"/>
      <c r="AA440" s="1278"/>
      <c r="AB440" s="300" t="str">
        <f>D440&amp;".1"</f>
        <v>10.1</v>
      </c>
      <c r="AC440" s="1112" t="s">
        <v>2568</v>
      </c>
      <c r="AD440" s="300" t="s">
        <v>1514</v>
      </c>
      <c r="AE440" s="1241"/>
      <c r="AF440" s="1241"/>
      <c r="AG440" s="1241"/>
      <c r="AH440" s="1114">
        <f>AG440-AF440</f>
        <v>0</v>
      </c>
      <c r="AI440" s="1241"/>
      <c r="AJ440" s="1241"/>
      <c r="AK440" s="1241"/>
      <c r="AL440" s="1241"/>
      <c r="AM440" s="1241"/>
      <c r="AN440" s="1241"/>
      <c r="AO440" s="1241"/>
      <c r="AP440" s="1241"/>
      <c r="AQ440" s="1241"/>
      <c r="AR440" s="1241"/>
      <c r="AS440" s="1241"/>
      <c r="AT440" s="1241"/>
      <c r="AU440" s="1241"/>
      <c r="AV440" s="1241"/>
      <c r="AW440" s="1241"/>
      <c r="AX440" s="1241"/>
      <c r="AY440" s="1241"/>
      <c r="AZ440" s="1241"/>
      <c r="BA440" s="1241"/>
      <c r="BB440" s="1241"/>
      <c r="BC440" s="1241"/>
      <c r="BD440" s="1115"/>
      <c r="BE440" s="1115"/>
      <c r="BF440" s="1115"/>
      <c r="BG440" s="1115"/>
      <c r="BH440" s="1115"/>
      <c r="BI440" s="1115"/>
      <c r="BJ440" s="1115"/>
      <c r="BK440" s="1115"/>
      <c r="BL440" s="1115"/>
      <c r="BM440" s="1115"/>
      <c r="BN440" s="1238"/>
      <c r="BO440" s="1238"/>
      <c r="BP440" s="1238"/>
      <c r="BQ440" s="1278"/>
      <c r="BR440" s="1278"/>
      <c r="BS440" s="1062" t="s">
        <v>2569</v>
      </c>
      <c r="BT440" s="1064"/>
      <c r="BU440" s="1064"/>
      <c r="BV440" s="979"/>
      <c r="BW440" s="979"/>
    </row>
    <row s="1834" customFormat="1" customHeight="1" ht="14.25" hidden="1">
      <c r="A441" s="1278"/>
      <c r="B441" s="445">
        <f>A315="двухставочный"</f>
        <v>0</v>
      </c>
      <c r="C441" s="107"/>
      <c r="D441" s="107" cm="1" t="str">
        <f t="array" ref="D441:D441">D440</f>
        <v>10</v>
      </c>
      <c r="E441" s="621">
        <v>15</v>
      </c>
      <c r="F441" s="50" cm="1" t="str">
        <f t="array" ref="F441:F441">OFFSET(E441,-1,1)</f>
        <v>2</v>
      </c>
      <c r="G441" s="107"/>
      <c r="H441" s="848"/>
      <c r="I441" s="848" t="s">
        <v>2581</v>
      </c>
      <c r="J441" s="107"/>
      <c r="K441" s="379" t="s">
        <v>2581</v>
      </c>
      <c r="L441" s="980" t="s">
        <v>2570</v>
      </c>
      <c r="M441" s="107"/>
      <c r="N441" s="107"/>
      <c r="O441" s="107"/>
      <c r="P441" s="107"/>
      <c r="Q441" s="107"/>
      <c r="R441" s="107"/>
      <c r="S441" s="107"/>
      <c r="T441" s="465" cm="1" t="str">
        <f t="array" ref="T441:T441">T440</f>
        <v>true</v>
      </c>
      <c r="U441" s="107"/>
      <c r="V441" s="107"/>
      <c r="W441" s="107"/>
      <c r="X441" s="1596"/>
      <c r="Y441" s="1278"/>
      <c r="Z441" s="1546"/>
      <c r="AA441" s="1278"/>
      <c r="AB441" s="300" t="str">
        <f>D441&amp;".2"</f>
        <v>10.2</v>
      </c>
      <c r="AC441" s="1112" t="s">
        <v>2572</v>
      </c>
      <c r="AD441" s="300" t="s">
        <v>1514</v>
      </c>
      <c r="AE441" s="1241"/>
      <c r="AF441" s="1241"/>
      <c r="AG441" s="1241"/>
      <c r="AH441" s="1114">
        <f>AG441-AF441</f>
        <v>0</v>
      </c>
      <c r="AI441" s="1241"/>
      <c r="AJ441" s="1241"/>
      <c r="AK441" s="1241"/>
      <c r="AL441" s="1241"/>
      <c r="AM441" s="1241"/>
      <c r="AN441" s="1241"/>
      <c r="AO441" s="1241"/>
      <c r="AP441" s="1241"/>
      <c r="AQ441" s="1241"/>
      <c r="AR441" s="1241"/>
      <c r="AS441" s="1241"/>
      <c r="AT441" s="1241"/>
      <c r="AU441" s="1241"/>
      <c r="AV441" s="1241"/>
      <c r="AW441" s="1241"/>
      <c r="AX441" s="1241"/>
      <c r="AY441" s="1241"/>
      <c r="AZ441" s="1241"/>
      <c r="BA441" s="1241"/>
      <c r="BB441" s="1241"/>
      <c r="BC441" s="1241"/>
      <c r="BD441" s="1115"/>
      <c r="BE441" s="1115"/>
      <c r="BF441" s="1115"/>
      <c r="BG441" s="1115"/>
      <c r="BH441" s="1115"/>
      <c r="BI441" s="1115"/>
      <c r="BJ441" s="1115"/>
      <c r="BK441" s="1115"/>
      <c r="BL441" s="1115"/>
      <c r="BM441" s="1115"/>
      <c r="BN441" s="1238"/>
      <c r="BO441" s="1238"/>
      <c r="BP441" s="1238"/>
      <c r="BQ441" s="1278"/>
      <c r="BR441" s="1278"/>
      <c r="BS441" s="1062" t="s">
        <v>2573</v>
      </c>
      <c r="BT441" s="1064"/>
      <c r="BU441" s="1064"/>
      <c r="BV441" s="979"/>
      <c r="BW441" s="979"/>
    </row>
    <row s="7557" customFormat="1" customHeight="1" ht="20.25">
      <c r="A442" s="700"/>
      <c r="B442" s="435"/>
      <c r="C442" s="109"/>
      <c r="D442" s="109">
        <f>D441+1</f>
        <v>11</v>
      </c>
      <c r="E442" s="826">
        <v>21</v>
      </c>
      <c r="F442" s="50" cm="1" t="str">
        <f t="array" ref="F442:F442">OFFSET(E442,-1,1)</f>
        <v>2</v>
      </c>
      <c r="G442" s="107" t="s">
        <v>2346</v>
      </c>
      <c r="H442" s="107"/>
      <c r="I442" s="107" t="s">
        <v>2601</v>
      </c>
      <c r="J442" s="109"/>
      <c r="K442" s="158" t="s">
        <v>2601</v>
      </c>
      <c r="L442" s="985" t="s">
        <v>2574</v>
      </c>
      <c r="M442" s="109"/>
      <c r="N442" s="109"/>
      <c r="O442" s="109"/>
      <c r="P442" s="109"/>
      <c r="Q442" s="109"/>
      <c r="R442" s="109"/>
      <c r="S442" s="109"/>
      <c r="T442" s="465" cm="1" t="str">
        <f t="array" ref="T442:T442">T441</f>
        <v>true</v>
      </c>
      <c r="U442" s="109"/>
      <c r="V442" s="109"/>
      <c r="W442" s="109"/>
      <c r="X442" s="1596"/>
      <c r="Y442" s="700"/>
      <c r="Z442" s="1546"/>
      <c r="AA442" s="700"/>
      <c r="AB442" s="211" cm="1" t="str">
        <f t="array" ref="AB442:AB442">D442</f>
        <v>11</v>
      </c>
      <c r="AC442" s="212" t="s">
        <v>2575</v>
      </c>
      <c r="AD442" s="211" t="s">
        <v>1247</v>
      </c>
      <c r="AE442" s="785">
        <f>_xlfn.SUMIFS(Баланс!AE$26:AE$482,Баланс!$F$26:$F$482,$F442,Баланс!$G$26:$G$482,"ПО")</f>
        <v>0</v>
      </c>
      <c r="AF442" s="785">
        <f>_xlfn.SUMIFS(Баланс!AF$26:AF$482,Баланс!$F$26:$F$482,$F442,Баланс!$G$26:$G$482,"ПО")</f>
        <v>0</v>
      </c>
      <c r="AG442" s="785">
        <f>_xlfn.SUMIFS(Баланс!AG$26:AG$482,Баланс!$F$26:$F$482,$F442,Баланс!$G$26:$G$482,"ПО")</f>
        <v>0</v>
      </c>
      <c r="AH442" s="785">
        <f>AG442-AF442</f>
        <v>0</v>
      </c>
      <c r="AI442" s="785">
        <f>_xlfn.SUMIFS(Баланс!AH$26:AH$482,Баланс!$F$26:$F$482,$F442,Баланс!$G$26:$G$482,"ПО")</f>
        <v>0</v>
      </c>
      <c r="AJ442" s="785">
        <f>_xlfn.SUMIFS(Баланс!AI$26:AI$482,Баланс!$F$26:$F$482,$F442,Баланс!$G$26:$G$482,"ПО")</f>
        <v>1091.22881</v>
      </c>
      <c r="AK442" s="785">
        <f>_xlfn.SUMIFS(Баланс!AJ$26:AJ$482,Баланс!$F$26:$F$482,$F442,Баланс!$G$26:$G$482,"ПО")</f>
        <v>1091.22881</v>
      </c>
      <c r="AL442" s="785">
        <f>_xlfn.SUMIFS(Баланс!AK$26:AK$482,Баланс!$F$26:$F$482,$F442,Баланс!$G$26:$G$482,"ПО")</f>
        <v>1091.22881</v>
      </c>
      <c r="AM442" s="785">
        <f>_xlfn.SUMIFS(Баланс!AL$26:AL$482,Баланс!$F$26:$F$482,$F442,Баланс!$G$26:$G$482,"ПО")</f>
        <v>1091.22881</v>
      </c>
      <c r="AN442" s="785">
        <f>_xlfn.SUMIFS(Баланс!AM$26:AM$482,Баланс!$F$26:$F$482,$F442,Баланс!$G$26:$G$482,"ПО")</f>
        <v>1091.22881</v>
      </c>
      <c r="AO442" s="785">
        <f>_xlfn.SUMIFS(Баланс!AN$26:AN$482,Баланс!$F$26:$F$482,$F442,Баланс!$G$26:$G$482,"ПО")</f>
        <v>0</v>
      </c>
      <c r="AP442" s="785">
        <f>_xlfn.SUMIFS(Баланс!AO$26:AO$482,Баланс!$F$26:$F$482,$F442,Баланс!$G$26:$G$482,"ПО")</f>
        <v>0</v>
      </c>
      <c r="AQ442" s="785">
        <f>_xlfn.SUMIFS(Баланс!AP$26:AP$482,Баланс!$F$26:$F$482,$F442,Баланс!$G$26:$G$482,"ПО")</f>
        <v>0</v>
      </c>
      <c r="AR442" s="785">
        <f>_xlfn.SUMIFS(Баланс!AQ$26:AQ$482,Баланс!$F$26:$F$482,$F442,Баланс!$G$26:$G$482,"ПО")</f>
        <v>0</v>
      </c>
      <c r="AS442" s="785">
        <f>_xlfn.SUMIFS(Баланс!AR$26:AR$482,Баланс!$F$26:$F$482,$F442,Баланс!$G$26:$G$482,"ПО")</f>
        <v>0</v>
      </c>
      <c r="AT442" s="785">
        <f>_xlfn.SUMIFS(Баланс!AS$26:AS$482,Баланс!$F$26:$F$482,$F442,Баланс!$G$26:$G$482,"ПО")</f>
        <v>1091.22881</v>
      </c>
      <c r="AU442" s="785">
        <f>_xlfn.SUMIFS(Баланс!AT$26:AT$482,Баланс!$F$26:$F$482,$F442,Баланс!$G$26:$G$482,"ПО")</f>
        <v>1091.22881</v>
      </c>
      <c r="AV442" s="785">
        <f>_xlfn.SUMIFS(Баланс!AU$26:AU$482,Баланс!$F$26:$F$482,$F442,Баланс!$G$26:$G$482,"ПО")</f>
        <v>1091.22881</v>
      </c>
      <c r="AW442" s="785">
        <f>_xlfn.SUMIFS(Баланс!AV$26:AV$482,Баланс!$F$26:$F$482,$F442,Баланс!$G$26:$G$482,"ПО")</f>
        <v>1091.22881</v>
      </c>
      <c r="AX442" s="785">
        <f>_xlfn.SUMIFS(Баланс!AW$26:AW$482,Баланс!$F$26:$F$482,$F442,Баланс!$G$26:$G$482,"ПО")</f>
        <v>1091.22881</v>
      </c>
      <c r="AY442" s="785">
        <f>_xlfn.SUMIFS(Баланс!AX$26:AX$482,Баланс!$F$26:$F$482,$F442,Баланс!$G$26:$G$482,"ПО")</f>
        <v>0</v>
      </c>
      <c r="AZ442" s="785">
        <f>_xlfn.SUMIFS(Баланс!AY$26:AY$482,Баланс!$F$26:$F$482,$F442,Баланс!$G$26:$G$482,"ПО")</f>
        <v>0</v>
      </c>
      <c r="BA442" s="785">
        <f>_xlfn.SUMIFS(Баланс!AZ$26:AZ$482,Баланс!$F$26:$F$482,$F442,Баланс!$G$26:$G$482,"ПО")</f>
        <v>0</v>
      </c>
      <c r="BB442" s="785">
        <f>_xlfn.SUMIFS(Баланс!BA$26:BA$482,Баланс!$F$26:$F$482,$F442,Баланс!$G$26:$G$482,"ПО")</f>
        <v>0</v>
      </c>
      <c r="BC442" s="785">
        <f>_xlfn.SUMIFS(Баланс!BB$26:BB$482,Баланс!$F$26:$F$482,$F442,Баланс!$G$26:$G$482,"ПО")</f>
        <v>0</v>
      </c>
      <c r="BD442" s="216"/>
      <c r="BE442" s="216"/>
      <c r="BF442" s="216"/>
      <c r="BG442" s="216"/>
      <c r="BH442" s="216"/>
      <c r="BI442" s="216"/>
      <c r="BJ442" s="216"/>
      <c r="BK442" s="216"/>
      <c r="BL442" s="216"/>
      <c r="BM442" s="216"/>
      <c r="BN442" s="7433"/>
      <c r="BO442" s="7433"/>
      <c r="BP442" s="7433"/>
      <c r="BQ442" s="700"/>
      <c r="BR442" s="700"/>
      <c r="BS442" s="1063" t="s">
        <v>2576</v>
      </c>
      <c r="BT442" s="1070"/>
      <c r="BU442" s="1070"/>
      <c r="BV442" s="707"/>
      <c r="BW442" s="707"/>
    </row>
    <row s="1834" customFormat="1" customHeight="1" ht="23.25">
      <c r="A443" s="1278"/>
      <c r="B443" s="978"/>
      <c r="C443" s="107"/>
      <c r="D443" s="107" cm="1" t="str">
        <f t="array" ref="D443:D443">D442</f>
        <v>11</v>
      </c>
      <c r="E443" s="621">
        <v>15</v>
      </c>
      <c r="F443" s="50" cm="1" t="str">
        <f t="array" ref="F443:F443">OFFSET(E443,-1,1)</f>
        <v>2</v>
      </c>
      <c r="G443" s="107" t="s">
        <v>2373</v>
      </c>
      <c r="H443" s="107"/>
      <c r="I443" s="107" t="s">
        <v>2899</v>
      </c>
      <c r="J443" s="107"/>
      <c r="K443" s="158" t="s">
        <v>2899</v>
      </c>
      <c r="L443" s="980" t="s">
        <v>2577</v>
      </c>
      <c r="M443" s="107"/>
      <c r="N443" s="107"/>
      <c r="O443" s="107"/>
      <c r="P443" s="107"/>
      <c r="Q443" s="107"/>
      <c r="R443" s="107"/>
      <c r="S443" s="107"/>
      <c r="T443" s="465" cm="1" t="str">
        <f t="array" ref="T443:T443">T442</f>
        <v>true</v>
      </c>
      <c r="U443" s="107"/>
      <c r="V443" s="107"/>
      <c r="W443" s="107"/>
      <c r="X443" s="1596"/>
      <c r="Y443" s="1278"/>
      <c r="Z443" s="1546"/>
      <c r="AA443" s="1278"/>
      <c r="AB443" s="300" t="str">
        <f>D443&amp;".1"</f>
        <v>11.1</v>
      </c>
      <c r="AC443" s="1111" t="s">
        <v>2579</v>
      </c>
      <c r="AD443" s="300" t="s">
        <v>1247</v>
      </c>
      <c r="AE443" s="7434">
        <f>IF(AE$24="2026 год",AE442/12*9,AE442/2)</f>
        <v>0</v>
      </c>
      <c r="AF443" s="7434">
        <f>IF(AF$24="2026 год",AF442/12*9,AF442/2)</f>
        <v>0</v>
      </c>
      <c r="AG443" s="7434">
        <f>IF(AG$24="2026 год",AG442/12*9,AG442/2)</f>
        <v>0</v>
      </c>
      <c r="AH443" s="1113">
        <f>AG443-AF443</f>
        <v>0</v>
      </c>
      <c r="AI443" s="7434">
        <f>IF(AI$24="2026 год",AI442/12*9,AI442/2)</f>
        <v>0</v>
      </c>
      <c r="AJ443" s="7434">
        <f>IF(AJ$24="2026 год",AJ442/12*9,AJ442/2)</f>
        <v>818.4216075</v>
      </c>
      <c r="AK443" s="7434">
        <f>IF(AK$24="2026 год",AK442/12*9,AK442/2)</f>
        <v>545.614405</v>
      </c>
      <c r="AL443" s="7434">
        <f>IF(AL$24="2026 год",AL442/12*9,AL442/2)</f>
        <v>545.614405</v>
      </c>
      <c r="AM443" s="7434">
        <f>IF(AM$24="2026 год",AM442/12*9,AM442/2)</f>
        <v>545.614405</v>
      </c>
      <c r="AN443" s="7434">
        <f>IF(AN$24="2026 год",AN442/12*9,AN442/2)</f>
        <v>545.614405</v>
      </c>
      <c r="AO443" s="1239">
        <f>IF(AO$24="2026 год",AO442/12*9,AO442/2)</f>
        <v>0</v>
      </c>
      <c r="AP443" s="1239">
        <f>IF(AP$24="2026 год",AP442/12*9,AP442/2)</f>
        <v>0</v>
      </c>
      <c r="AQ443" s="1239">
        <f>IF(AQ$24="2026 год",AQ442/12*9,AQ442/2)</f>
        <v>0</v>
      </c>
      <c r="AR443" s="1239">
        <f>IF(AR$24="2026 год",AR442/12*9,AR442/2)</f>
        <v>0</v>
      </c>
      <c r="AS443" s="1239">
        <f>IF(AS$24="2026 год",AS442/12*9,AS442/2)</f>
        <v>0</v>
      </c>
      <c r="AT443" s="7497">
        <f>IF(AT$24="2026 год",AT442/12*9,AT442/2)</f>
        <v>818.4216075</v>
      </c>
      <c r="AU443" s="7497">
        <f>IF(AU$24="2026 год",AU442/12*9,AU442/2)</f>
        <v>545.614405</v>
      </c>
      <c r="AV443" s="7434">
        <f>IF(AV$24="2026 год",AV442/12*9,AV442/2)</f>
        <v>545.614405</v>
      </c>
      <c r="AW443" s="7434">
        <f>IF(AW$24="2026 год",AW442/12*9,AW442/2)</f>
        <v>545.614405</v>
      </c>
      <c r="AX443" s="7434">
        <f>IF(AX$24="2026 год",AX442/12*9,AX442/2)</f>
        <v>545.614405</v>
      </c>
      <c r="AY443" s="1239">
        <f>IF(AY$24="2026 год",AY442/12*9,AY442/2)</f>
        <v>0</v>
      </c>
      <c r="AZ443" s="1239">
        <f>IF(AZ$24="2026 год",AZ442/12*9,AZ442/2)</f>
        <v>0</v>
      </c>
      <c r="BA443" s="1239">
        <f>IF(BA$24="2026 год",BA442/12*9,BA442/2)</f>
        <v>0</v>
      </c>
      <c r="BB443" s="1239">
        <f>IF(BB$24="2026 год",BB442/12*9,BB442/2)</f>
        <v>0</v>
      </c>
      <c r="BC443" s="1239">
        <f>IF(BC$24="2026 год",BC442/12*9,BC442/2)</f>
        <v>0</v>
      </c>
      <c r="BD443" s="1115"/>
      <c r="BE443" s="1115"/>
      <c r="BF443" s="1115"/>
      <c r="BG443" s="1115"/>
      <c r="BH443" s="1115"/>
      <c r="BI443" s="1115"/>
      <c r="BJ443" s="1115"/>
      <c r="BK443" s="1115"/>
      <c r="BL443" s="1115"/>
      <c r="BM443" s="1115"/>
      <c r="BN443" s="7433"/>
      <c r="BO443" s="7433"/>
      <c r="BP443" s="7433"/>
      <c r="BQ443" s="1278"/>
      <c r="BR443" s="1278"/>
      <c r="BS443" s="1062" t="s">
        <v>2580</v>
      </c>
      <c r="BT443" s="1064"/>
      <c r="BU443" s="1064"/>
      <c r="BV443" s="979"/>
      <c r="BW443" s="979"/>
    </row>
    <row s="1834" customFormat="1" customHeight="1" ht="45">
      <c r="A444" s="1278"/>
      <c r="B444" s="978"/>
      <c r="C444" s="107"/>
      <c r="D444" s="107" cm="1" t="str">
        <f t="array" ref="D444:D444">D443</f>
        <v>11</v>
      </c>
      <c r="E444" s="621">
        <v>15</v>
      </c>
      <c r="F444" s="50" cm="1" t="str">
        <f t="array" ref="F444:F444">OFFSET(E444,-1,1)</f>
        <v>2</v>
      </c>
      <c r="G444" s="107" t="s">
        <v>2334</v>
      </c>
      <c r="H444" s="107"/>
      <c r="I444" s="107" t="s">
        <v>2900</v>
      </c>
      <c r="J444" s="107"/>
      <c r="K444" s="158" t="s">
        <v>2900</v>
      </c>
      <c r="L444" s="980" t="s">
        <v>2581</v>
      </c>
      <c r="M444" s="107"/>
      <c r="N444" s="107"/>
      <c r="O444" s="107"/>
      <c r="P444" s="107"/>
      <c r="Q444" s="107"/>
      <c r="R444" s="107"/>
      <c r="S444" s="107"/>
      <c r="T444" s="465" cm="1" t="str">
        <f t="array" ref="T444:T444">T443</f>
        <v>true</v>
      </c>
      <c r="U444" s="107"/>
      <c r="V444" s="107"/>
      <c r="W444" s="107"/>
      <c r="X444" s="1596"/>
      <c r="Y444" s="1278"/>
      <c r="Z444" s="1546"/>
      <c r="AA444" s="1278"/>
      <c r="AB444" s="300" t="str">
        <f>D444&amp;".2"</f>
        <v>11.2</v>
      </c>
      <c r="AC444" s="1111" t="s">
        <v>2583</v>
      </c>
      <c r="AD444" s="300" t="s">
        <v>2337</v>
      </c>
      <c r="AE444" s="3946"/>
      <c r="AF444" s="3946"/>
      <c r="AG444" s="3946"/>
      <c r="AH444" s="1114">
        <f>AG444-AF444</f>
        <v>0</v>
      </c>
      <c r="AI444" s="3946"/>
      <c r="AJ444" s="3946">
        <v>106.01</v>
      </c>
      <c r="AK444" s="3946">
        <v>116.5</v>
      </c>
      <c r="AL444" s="3946">
        <v>123.96</v>
      </c>
      <c r="AM444" s="3946">
        <v>133.78</v>
      </c>
      <c r="AN444" s="3946">
        <v>138.49</v>
      </c>
      <c r="AO444" s="1241"/>
      <c r="AP444" s="1241"/>
      <c r="AQ444" s="1241"/>
      <c r="AR444" s="1241"/>
      <c r="AS444" s="1241"/>
      <c r="AT444" s="3946">
        <v>106.01</v>
      </c>
      <c r="AU444" s="3946" cm="1" t="str">
        <f t="array" ref="AU444:AU444">AT446</f>
        <v>116.50000002872</v>
      </c>
      <c r="AV444" s="3946" cm="1" t="str">
        <f t="array" ref="AV444:AV444">AU446</f>
        <v>123.960000230571</v>
      </c>
      <c r="AW444" s="3946" cm="1" t="str">
        <f t="array" ref="AW444:AW444">AV446</f>
        <v>133.78000010396</v>
      </c>
      <c r="AX444" s="3946" cm="1" t="str">
        <f t="array" ref="AX444:AX444">AW446</f>
        <v>138.490000189423</v>
      </c>
      <c r="AY444" s="1241" cm="1" t="str">
        <f t="array" ref="AY444:AY444">AX446</f>
        <v>142.697936086499</v>
      </c>
      <c r="AZ444" s="1241" cm="1" t="str">
        <f t="array" ref="AZ444:AZ444">AY446</f>
        <v>0</v>
      </c>
      <c r="BA444" s="1241" cm="1" t="str">
        <f t="array" ref="BA444:BA444">AZ446</f>
        <v>0</v>
      </c>
      <c r="BB444" s="1241" cm="1" t="str">
        <f t="array" ref="BB444:BB444">BA446</f>
        <v>0</v>
      </c>
      <c r="BC444" s="1241" cm="1" t="str">
        <f t="array" ref="BC444:BC444">BB446</f>
        <v>0</v>
      </c>
      <c r="BD444" s="1115"/>
      <c r="BE444" s="1115"/>
      <c r="BF444" s="1115"/>
      <c r="BG444" s="1115"/>
      <c r="BH444" s="1115"/>
      <c r="BI444" s="1115"/>
      <c r="BJ444" s="1115"/>
      <c r="BK444" s="1115"/>
      <c r="BL444" s="1115"/>
      <c r="BM444" s="1115"/>
      <c r="BN444" s="7433"/>
      <c r="BO444" s="7433" t="s">
        <v>2932</v>
      </c>
      <c r="BP444" s="7433"/>
      <c r="BQ444" s="1278"/>
      <c r="BR444" s="1278"/>
      <c r="BS444" s="1062" t="s">
        <v>2584</v>
      </c>
      <c r="BT444" s="1064"/>
      <c r="BU444" s="1064"/>
      <c r="BV444" s="979"/>
      <c r="BW444" s="979"/>
    </row>
    <row s="1834" customFormat="1" customHeight="1" ht="23.25">
      <c r="A445" s="1278"/>
      <c r="B445" s="978"/>
      <c r="C445" s="107"/>
      <c r="D445" s="107" cm="1" t="str">
        <f t="array" ref="D445:D445">D444</f>
        <v>11</v>
      </c>
      <c r="E445" s="621">
        <v>15</v>
      </c>
      <c r="F445" s="50" cm="1" t="str">
        <f t="array" ref="F445:F445">OFFSET(E445,-1,1)</f>
        <v>2</v>
      </c>
      <c r="G445" s="107" t="s">
        <v>2386</v>
      </c>
      <c r="H445" s="107"/>
      <c r="I445" s="107" t="s">
        <v>2901</v>
      </c>
      <c r="J445" s="107"/>
      <c r="K445" s="158" t="s">
        <v>2901</v>
      </c>
      <c r="L445" s="980" t="s">
        <v>2585</v>
      </c>
      <c r="M445" s="107"/>
      <c r="N445" s="107"/>
      <c r="O445" s="107"/>
      <c r="P445" s="107"/>
      <c r="Q445" s="107"/>
      <c r="R445" s="107"/>
      <c r="S445" s="107"/>
      <c r="T445" s="465" cm="1" t="str">
        <f t="array" ref="T445:T445">T444</f>
        <v>true</v>
      </c>
      <c r="U445" s="107"/>
      <c r="V445" s="107"/>
      <c r="W445" s="107"/>
      <c r="X445" s="1596"/>
      <c r="Y445" s="1278"/>
      <c r="Z445" s="1546"/>
      <c r="AA445" s="1278"/>
      <c r="AB445" s="300" t="str">
        <f>D445&amp;".3"</f>
        <v>11.3</v>
      </c>
      <c r="AC445" s="1111" t="s">
        <v>2902</v>
      </c>
      <c r="AD445" s="300" t="s">
        <v>1247</v>
      </c>
      <c r="AE445" s="1113">
        <f>AE442-AE443</f>
        <v>0</v>
      </c>
      <c r="AF445" s="1113">
        <f>AF442-AF443</f>
        <v>0</v>
      </c>
      <c r="AG445" s="1113">
        <f>AG442-AG443</f>
        <v>0</v>
      </c>
      <c r="AH445" s="1113">
        <f>AG445-AF445</f>
        <v>0</v>
      </c>
      <c r="AI445" s="1113">
        <f>AI442-AI443</f>
        <v>0</v>
      </c>
      <c r="AJ445" s="1113">
        <f>AJ442-AJ443</f>
        <v>272.8072025</v>
      </c>
      <c r="AK445" s="1113">
        <f>AK442-AK443</f>
        <v>545.614405</v>
      </c>
      <c r="AL445" s="1113">
        <f>AL442-AL443</f>
        <v>545.614405</v>
      </c>
      <c r="AM445" s="1113">
        <f>AM442-AM443</f>
        <v>545.614405</v>
      </c>
      <c r="AN445" s="1113">
        <f>AN442-AN443</f>
        <v>545.614405</v>
      </c>
      <c r="AO445" s="1113">
        <f>AO442-AO443</f>
        <v>0</v>
      </c>
      <c r="AP445" s="1113">
        <f>AP442-AP443</f>
        <v>0</v>
      </c>
      <c r="AQ445" s="1113">
        <f>AQ442-AQ443</f>
        <v>0</v>
      </c>
      <c r="AR445" s="1113">
        <f>AR442-AR443</f>
        <v>0</v>
      </c>
      <c r="AS445" s="1113">
        <f>AS442-AS443</f>
        <v>0</v>
      </c>
      <c r="AT445" s="1113">
        <f>AT442-AT443</f>
        <v>272.8072025</v>
      </c>
      <c r="AU445" s="1113">
        <f>AU442-AU443</f>
        <v>545.614405</v>
      </c>
      <c r="AV445" s="1113">
        <f>AV442-AV443</f>
        <v>545.614405</v>
      </c>
      <c r="AW445" s="1113">
        <f>AW442-AW443</f>
        <v>545.614405</v>
      </c>
      <c r="AX445" s="1113">
        <f>AX442-AX443</f>
        <v>545.614405</v>
      </c>
      <c r="AY445" s="1113">
        <f>AY442-AY443</f>
        <v>0</v>
      </c>
      <c r="AZ445" s="1113">
        <f>AZ442-AZ443</f>
        <v>0</v>
      </c>
      <c r="BA445" s="1113">
        <f>BA442-BA443</f>
        <v>0</v>
      </c>
      <c r="BB445" s="1113">
        <f>BB442-BB443</f>
        <v>0</v>
      </c>
      <c r="BC445" s="1113">
        <f>BC442-BC443</f>
        <v>0</v>
      </c>
      <c r="BD445" s="1115"/>
      <c r="BE445" s="1115"/>
      <c r="BF445" s="1115"/>
      <c r="BG445" s="1115"/>
      <c r="BH445" s="1115"/>
      <c r="BI445" s="1115"/>
      <c r="BJ445" s="1115"/>
      <c r="BK445" s="1115"/>
      <c r="BL445" s="1115"/>
      <c r="BM445" s="1115"/>
      <c r="BN445" s="7433"/>
      <c r="BO445" s="7433"/>
      <c r="BP445" s="7433"/>
      <c r="BQ445" s="1278"/>
      <c r="BR445" s="1278"/>
      <c r="BS445" s="1062" t="s">
        <v>2588</v>
      </c>
      <c r="BT445" s="1064"/>
      <c r="BU445" s="1064"/>
      <c r="BV445" s="979"/>
      <c r="BW445" s="979"/>
    </row>
    <row s="1834" customFormat="1" customHeight="1" ht="14.25">
      <c r="A446" s="1278"/>
      <c r="B446" s="978"/>
      <c r="C446" s="107"/>
      <c r="D446" s="107" cm="1" t="str">
        <f t="array" ref="D446:D446">D445</f>
        <v>11</v>
      </c>
      <c r="E446" s="621">
        <v>15</v>
      </c>
      <c r="F446" s="50" cm="1" t="str">
        <f t="array" ref="F446:F446">OFFSET(E446,-1,1)</f>
        <v>2</v>
      </c>
      <c r="G446" s="107" t="s">
        <v>2339</v>
      </c>
      <c r="H446" s="107"/>
      <c r="I446" s="107" t="s">
        <v>2903</v>
      </c>
      <c r="J446" s="107"/>
      <c r="K446" s="158" t="s">
        <v>2903</v>
      </c>
      <c r="L446" s="980" t="s">
        <v>2589</v>
      </c>
      <c r="M446" s="107"/>
      <c r="N446" s="107"/>
      <c r="O446" s="107"/>
      <c r="P446" s="107"/>
      <c r="Q446" s="107"/>
      <c r="R446" s="107"/>
      <c r="S446" s="107"/>
      <c r="T446" s="465" cm="1" t="str">
        <f t="array" ref="T446:T446">T445</f>
        <v>true</v>
      </c>
      <c r="U446" s="107"/>
      <c r="V446" s="107"/>
      <c r="W446" s="107"/>
      <c r="X446" s="1596"/>
      <c r="Y446" s="1278"/>
      <c r="Z446" s="1546"/>
      <c r="AA446" s="1278"/>
      <c r="AB446" s="300" t="str">
        <f>D446&amp;".4"</f>
        <v>11.4</v>
      </c>
      <c r="AC446" s="1111" t="s">
        <v>2591</v>
      </c>
      <c r="AD446" s="300" t="s">
        <v>2337</v>
      </c>
      <c r="AE446" s="3946">
        <f>IF(AE445=0,0,(AE439-AE443*AE444)/AE445)</f>
        <v>0</v>
      </c>
      <c r="AF446" s="3946">
        <f>IF(AF445=0,0,(AF439-AF443*AF444)/AF445)</f>
        <v>0</v>
      </c>
      <c r="AG446" s="3946">
        <f>IF(AG445=0,0,(AG439-AG443*AG444)/AG445)</f>
        <v>0</v>
      </c>
      <c r="AH446" s="1114">
        <f>AG446-AF446</f>
        <v>0</v>
      </c>
      <c r="AI446" s="3946">
        <f>IF(AI445=0,0,(AI439-AI443*AI444)/AI445)</f>
        <v>0</v>
      </c>
      <c r="AJ446" s="3946">
        <f>IF(AJ445=0,0,(AJ439-AJ443*AJ444)/AJ445)</f>
        <v>116.500004624933</v>
      </c>
      <c r="AK446" s="3946">
        <f>IF(AK445=0,0,(AK439-AK443*AK444)/AK445)</f>
        <v>123.960001355454</v>
      </c>
      <c r="AL446" s="3946">
        <f>IF(AL445=0,0,(AL439-AL443*AL444)/AL445)</f>
        <v>133.779754501375</v>
      </c>
      <c r="AM446" s="3946">
        <v>138.49</v>
      </c>
      <c r="AN446" s="3946">
        <v>142.76</v>
      </c>
      <c r="AO446" s="1241">
        <f>IF(AO445=0,0,(AO439-AO443*AO444)/AO445)</f>
        <v>0</v>
      </c>
      <c r="AP446" s="1241">
        <f>IF(AP445=0,0,(AP439-AP443*AP444)/AP445)</f>
        <v>0</v>
      </c>
      <c r="AQ446" s="1241">
        <f>IF(AQ445=0,0,(AQ439-AQ443*AQ444)/AQ445)</f>
        <v>0</v>
      </c>
      <c r="AR446" s="1241">
        <f>IF(AR445=0,0,(AR439-AR443*AR444)/AR445)</f>
        <v>0</v>
      </c>
      <c r="AS446" s="1241">
        <f>IF(AS445=0,0,(AS439-AS443*AS444)/AS445)</f>
        <v>0</v>
      </c>
      <c r="AT446" s="3946">
        <f>IF(AT445=0,0,(AT439-AT443*AT444)/AT445)</f>
        <v>116.50000002872</v>
      </c>
      <c r="AU446" s="3946">
        <f>IF(AU445=0,0,(AU439-AU443*AU444)/AU445)</f>
        <v>123.960000230571</v>
      </c>
      <c r="AV446" s="3946">
        <f>IF(AV445=0,0,(AV439-AV443*AV444)/AV445)</f>
        <v>133.78000010396</v>
      </c>
      <c r="AW446" s="3946">
        <f>IF(AW445=0,0,(AW439-AW443*AW444)/AW445)</f>
        <v>138.490000189423</v>
      </c>
      <c r="AX446" s="3946">
        <f>IF(AX445=0,0,(AX439-AX443*AX444)/AX445)</f>
        <v>142.697936086499</v>
      </c>
      <c r="AY446" s="1241">
        <f>IF(AY445=0,0,(AY439-AY443*AY444)/AY445)</f>
        <v>0</v>
      </c>
      <c r="AZ446" s="1241">
        <f>IF(AZ445=0,0,(AZ439-AZ443*AZ444)/AZ445)</f>
        <v>0</v>
      </c>
      <c r="BA446" s="1241">
        <f>IF(BA445=0,0,(BA439-BA443*BA444)/BA445)</f>
        <v>0</v>
      </c>
      <c r="BB446" s="1241">
        <f>IF(BB445=0,0,(BB439-BB443*BB444)/BB445)</f>
        <v>0</v>
      </c>
      <c r="BC446" s="1241">
        <f>IF(BC445=0,0,(BC439-BC443*BC444)/BC445)</f>
        <v>0</v>
      </c>
      <c r="BD446" s="1115"/>
      <c r="BE446" s="1115"/>
      <c r="BF446" s="1115"/>
      <c r="BG446" s="1115"/>
      <c r="BH446" s="1115"/>
      <c r="BI446" s="1115"/>
      <c r="BJ446" s="1115"/>
      <c r="BK446" s="1115"/>
      <c r="BL446" s="1115"/>
      <c r="BM446" s="1115"/>
      <c r="BN446" s="7433"/>
      <c r="BO446" s="7433"/>
      <c r="BP446" s="7433"/>
      <c r="BQ446" s="1278"/>
      <c r="BR446" s="1278"/>
      <c r="BS446" s="1062" t="s">
        <v>2592</v>
      </c>
      <c r="BT446" s="1064"/>
      <c r="BU446" s="1064"/>
      <c r="BV446" s="979"/>
      <c r="BW446" s="979"/>
    </row>
    <row s="1834" customFormat="1" customHeight="1" ht="14.25">
      <c r="A447" s="1278"/>
      <c r="B447" s="978"/>
      <c r="C447" s="107"/>
      <c r="D447" s="107" cm="1" t="str">
        <f t="array" ref="D447:D447">D446</f>
        <v>11</v>
      </c>
      <c r="E447" s="621">
        <v>15</v>
      </c>
      <c r="F447" s="50" cm="1" t="str">
        <f t="array" ref="F447:F447">OFFSET(E447,-1,1)</f>
        <v>2</v>
      </c>
      <c r="G447" s="107"/>
      <c r="H447" s="107"/>
      <c r="I447" s="107" t="s">
        <v>2904</v>
      </c>
      <c r="J447" s="107"/>
      <c r="K447" s="158" t="s">
        <v>2904</v>
      </c>
      <c r="L447" s="980" t="s">
        <v>2593</v>
      </c>
      <c r="M447" s="107"/>
      <c r="N447" s="107"/>
      <c r="O447" s="107"/>
      <c r="P447" s="107"/>
      <c r="Q447" s="107"/>
      <c r="R447" s="107"/>
      <c r="S447" s="107"/>
      <c r="T447" s="465" cm="1" t="str">
        <f t="array" ref="T447:T447">T446</f>
        <v>true</v>
      </c>
      <c r="U447" s="107"/>
      <c r="V447" s="107"/>
      <c r="W447" s="107"/>
      <c r="X447" s="1596"/>
      <c r="Y447" s="1278"/>
      <c r="Z447" s="1546"/>
      <c r="AA447" s="1278"/>
      <c r="AB447" s="300" t="str">
        <f>D447&amp;".5"</f>
        <v>11.5</v>
      </c>
      <c r="AC447" s="1111" t="s">
        <v>2595</v>
      </c>
      <c r="AD447" s="300" t="s">
        <v>1170</v>
      </c>
      <c r="AE447" s="1114">
        <f>IF(AE444=0,0,AE446/AE444*100)</f>
        <v>0</v>
      </c>
      <c r="AF447" s="1114">
        <f>IF(AF444=0,0,AF446/AF444*100)</f>
        <v>0</v>
      </c>
      <c r="AG447" s="1114">
        <f>IF(AG444=0,0,AG446/AG444*100)</f>
        <v>0</v>
      </c>
      <c r="AH447" s="1115"/>
      <c r="AI447" s="1114">
        <f>IF(AI444=0,0,AI446/AI444*100)</f>
        <v>0</v>
      </c>
      <c r="AJ447" s="1114">
        <f>IF(AJ444=0,0,AJ446/AJ444*100)</f>
        <v>109.895297259629</v>
      </c>
      <c r="AK447" s="1114">
        <f>IF(AK444=0,0,AK446/AK444*100)</f>
        <v>106.403434639875</v>
      </c>
      <c r="AL447" s="1114">
        <f>IF(AL444=0,0,AL446/AL444*100)</f>
        <v>107.921712246995</v>
      </c>
      <c r="AM447" s="1114">
        <f>IF(AM444=0,0,AM446/AM444*100)</f>
        <v>103.520705636119</v>
      </c>
      <c r="AN447" s="1114">
        <f>IF(AN444=0,0,AN446/AN444*100)</f>
        <v>103.083255108672</v>
      </c>
      <c r="AO447" s="1114">
        <f>IF(AO444=0,0,AO446/AO444*100)</f>
        <v>0</v>
      </c>
      <c r="AP447" s="1114">
        <f>IF(AP444=0,0,AP446/AP444*100)</f>
        <v>0</v>
      </c>
      <c r="AQ447" s="1114">
        <f>IF(AQ444=0,0,AQ446/AQ444*100)</f>
        <v>0</v>
      </c>
      <c r="AR447" s="1114">
        <f>IF(AR444=0,0,AR446/AR444*100)</f>
        <v>0</v>
      </c>
      <c r="AS447" s="1114">
        <f>IF(AS444=0,0,AS446/AS444*100)</f>
        <v>0</v>
      </c>
      <c r="AT447" s="1114">
        <f>IF(AT444=0,0,AT446/AT444*100)</f>
        <v>109.895292923988</v>
      </c>
      <c r="AU447" s="1114">
        <f>IF(AU444=0,0,AU446/AU444*100)</f>
        <v>106.403433648079</v>
      </c>
      <c r="AV447" s="1114">
        <f>IF(AV444=0,0,AV446/AV444*100)</f>
        <v>107.921910176769</v>
      </c>
      <c r="AW447" s="1114">
        <f>IF(AW444=0,0,AW446/AW444*100)</f>
        <v>103.520705697266</v>
      </c>
      <c r="AX447" s="1114">
        <f>IF(AX444=0,0,AX446/AX444*100)</f>
        <v>103.038440242126</v>
      </c>
      <c r="AY447" s="1114">
        <f>IF(AY444=0,0,AY446/AY444*100)</f>
        <v>0</v>
      </c>
      <c r="AZ447" s="1114">
        <f>IF(AZ444=0,0,AZ446/AZ444*100)</f>
        <v>0</v>
      </c>
      <c r="BA447" s="1114">
        <f>IF(BA444=0,0,BA446/BA444*100)</f>
        <v>0</v>
      </c>
      <c r="BB447" s="1114">
        <f>IF(BB444=0,0,BB446/BB444*100)</f>
        <v>0</v>
      </c>
      <c r="BC447" s="1114">
        <f>IF(BC444=0,0,BC446/BC444*100)</f>
        <v>0</v>
      </c>
      <c r="BD447" s="1115"/>
      <c r="BE447" s="1115"/>
      <c r="BF447" s="1115"/>
      <c r="BG447" s="1115"/>
      <c r="BH447" s="1115"/>
      <c r="BI447" s="1115"/>
      <c r="BJ447" s="1115"/>
      <c r="BK447" s="1115"/>
      <c r="BL447" s="1115"/>
      <c r="BM447" s="1115"/>
      <c r="BN447" s="7433"/>
      <c r="BO447" s="7433"/>
      <c r="BP447" s="7433"/>
      <c r="BQ447" s="1278"/>
      <c r="BR447" s="1278"/>
      <c r="BS447" s="1062" t="s">
        <v>2596</v>
      </c>
      <c r="BT447" s="1064"/>
      <c r="BU447" s="1064"/>
      <c r="BV447" s="979"/>
      <c r="BW447" s="979"/>
    </row>
    <row s="1834" customFormat="1" customHeight="1" ht="14.25">
      <c r="A448" s="1278"/>
      <c r="B448" s="978"/>
      <c r="C448" s="107"/>
      <c r="D448" s="107" cm="1" t="str">
        <f t="array" ref="D448:D448">D447</f>
        <v>11</v>
      </c>
      <c r="E448" s="621">
        <v>15</v>
      </c>
      <c r="F448" s="50" cm="1" t="str">
        <f t="array" ref="F448:F448">OFFSET(E448,-1,1)</f>
        <v>2</v>
      </c>
      <c r="G448" s="107"/>
      <c r="H448" s="107"/>
      <c r="I448" s="107" t="s">
        <v>2905</v>
      </c>
      <c r="J448" s="107"/>
      <c r="K448" s="158" t="s">
        <v>2905</v>
      </c>
      <c r="L448" s="980" t="s">
        <v>2597</v>
      </c>
      <c r="M448" s="107"/>
      <c r="N448" s="107"/>
      <c r="O448" s="107"/>
      <c r="P448" s="107"/>
      <c r="Q448" s="107"/>
      <c r="R448" s="107"/>
      <c r="S448" s="107"/>
      <c r="T448" s="465" cm="1" t="str">
        <f t="array" ref="T448:T448">T447</f>
        <v>true</v>
      </c>
      <c r="U448" s="107"/>
      <c r="V448" s="107"/>
      <c r="W448" s="107"/>
      <c r="X448" s="1596"/>
      <c r="Y448" s="1278"/>
      <c r="Z448" s="1546"/>
      <c r="AA448" s="1278"/>
      <c r="AB448" s="300" t="str">
        <f>D448&amp;".6"</f>
        <v>11.6</v>
      </c>
      <c r="AC448" s="1111" t="s">
        <v>2599</v>
      </c>
      <c r="AD448" s="300" t="s">
        <v>2337</v>
      </c>
      <c r="AE448" s="3946">
        <f>IF(AE442=0,0,AE439/AE442)</f>
        <v>0</v>
      </c>
      <c r="AF448" s="3946">
        <f>IF(AF442=0,0,AF439/AF442)</f>
        <v>0</v>
      </c>
      <c r="AG448" s="3946">
        <f>IF(AG442=0,0,AG439/AG442)</f>
        <v>0</v>
      </c>
      <c r="AH448" s="1114">
        <f>AG448-AF448</f>
        <v>0</v>
      </c>
      <c r="AI448" s="3946">
        <f>IF(AI442=0,0,AI439/AI442)</f>
        <v>0</v>
      </c>
      <c r="AJ448" s="3946">
        <f>IF(AJ442=0,0,AJ439/AJ442)</f>
        <v>108.632501156233</v>
      </c>
      <c r="AK448" s="3946">
        <f>IF(AK442=0,0,AK439/AK442)</f>
        <v>120.230000677727</v>
      </c>
      <c r="AL448" s="3946">
        <f>IF(AL442=0,0,AL439/AL442)</f>
        <v>128.869877250688</v>
      </c>
      <c r="AM448" s="3946">
        <f>IF(AM442=0,0,AM439/AM442)</f>
        <v>136.13040089619</v>
      </c>
      <c r="AN448" s="3946">
        <f>IF(AN442=0,0,AN439/AN442)</f>
        <v>140.522384871107</v>
      </c>
      <c r="AO448" s="1241">
        <f>IF(AO442=0,0,AO439/AO442)</f>
        <v>0</v>
      </c>
      <c r="AP448" s="1241">
        <f>IF(AP442=0,0,AP439/AP442)</f>
        <v>0</v>
      </c>
      <c r="AQ448" s="1241">
        <f>IF(AQ442=0,0,AQ439/AQ442)</f>
        <v>0</v>
      </c>
      <c r="AR448" s="1241">
        <f>IF(AR442=0,0,AR439/AR442)</f>
        <v>0</v>
      </c>
      <c r="AS448" s="1241">
        <f>IF(AS442=0,0,AS439/AS442)</f>
        <v>0</v>
      </c>
      <c r="AT448" s="3946">
        <f>IF(AT442=0,0,AT439/AT442)</f>
        <v>108.63250000718</v>
      </c>
      <c r="AU448" s="3946">
        <f>IF(AU442=0,0,AU439/AU442)</f>
        <v>120.230000129646</v>
      </c>
      <c r="AV448" s="3946">
        <f>IF(AV442=0,0,AV439/AV442)</f>
        <v>128.870000167266</v>
      </c>
      <c r="AW448" s="3946">
        <f>IF(AW442=0,0,AW439/AW442)</f>
        <v>136.135000146692</v>
      </c>
      <c r="AX448" s="3946">
        <f>IF(AX442=0,0,AX439/AX442)</f>
        <v>140.593968137961</v>
      </c>
      <c r="AY448" s="1241">
        <f>IF(AY442=0,0,AY439/AY442)</f>
        <v>0</v>
      </c>
      <c r="AZ448" s="1241">
        <f>IF(AZ442=0,0,AZ439/AZ442)</f>
        <v>0</v>
      </c>
      <c r="BA448" s="1241">
        <f>IF(BA442=0,0,BA439/BA442)</f>
        <v>0</v>
      </c>
      <c r="BB448" s="1241">
        <f>IF(BB442=0,0,BB439/BB442)</f>
        <v>0</v>
      </c>
      <c r="BC448" s="1241">
        <f>IF(BC442=0,0,BC439/BC442)</f>
        <v>0</v>
      </c>
      <c r="BD448" s="1115"/>
      <c r="BE448" s="1115"/>
      <c r="BF448" s="1115"/>
      <c r="BG448" s="1115"/>
      <c r="BH448" s="1115"/>
      <c r="BI448" s="1115"/>
      <c r="BJ448" s="1115"/>
      <c r="BK448" s="1115"/>
      <c r="BL448" s="1115"/>
      <c r="BM448" s="1115"/>
      <c r="BN448" s="7433"/>
      <c r="BO448" s="7433"/>
      <c r="BP448" s="7433"/>
      <c r="BQ448" s="1278"/>
      <c r="BR448" s="1278"/>
      <c r="BS448" s="1062" t="s">
        <v>2600</v>
      </c>
      <c r="BT448" s="1064"/>
      <c r="BU448" s="1064"/>
      <c r="BV448" s="979"/>
      <c r="BW448" s="979"/>
    </row>
    <row s="7558" customFormat="1" customHeight="1" ht="20.25">
      <c r="A449" s="700"/>
      <c r="B449" s="435"/>
      <c r="C449" s="109"/>
      <c r="D449" s="109">
        <f>D448+1</f>
        <v>12</v>
      </c>
      <c r="E449" s="826">
        <v>21</v>
      </c>
      <c r="F449" s="50" cm="1" t="str">
        <f t="array" ref="F449:F449">OFFSET(E449,-1,1)</f>
        <v>2</v>
      </c>
      <c r="G449" s="109"/>
      <c r="H449" s="107"/>
      <c r="I449" s="107" t="s">
        <v>2604</v>
      </c>
      <c r="J449" s="109"/>
      <c r="K449" s="158" t="s">
        <v>2604</v>
      </c>
      <c r="L449" s="985" t="s">
        <v>2601</v>
      </c>
      <c r="M449" s="109"/>
      <c r="N449" s="109"/>
      <c r="O449" s="109"/>
      <c r="P449" s="109"/>
      <c r="Q449" s="109"/>
      <c r="R449" s="109"/>
      <c r="S449" s="109"/>
      <c r="T449" s="465" cm="1" t="str">
        <f t="array" ref="T449:T449">T448</f>
        <v>true</v>
      </c>
      <c r="U449" s="109"/>
      <c r="V449" s="109"/>
      <c r="W449" s="109"/>
      <c r="X449" s="1596"/>
      <c r="Y449" s="700"/>
      <c r="Z449" s="1546"/>
      <c r="AA449" s="700"/>
      <c r="AB449" s="211" cm="1" t="str">
        <f t="array" ref="AB449:AB449">D449</f>
        <v>12</v>
      </c>
      <c r="AC449" s="212" t="s">
        <v>2602</v>
      </c>
      <c r="AD449" s="211" t="s">
        <v>1514</v>
      </c>
      <c r="AE449" s="7499">
        <f>IF(AE442=0,0,AE439/AE442*AE450)</f>
        <v>0</v>
      </c>
      <c r="AF449" s="7499">
        <f>IF(AF442=0,0,AF439/AF442*AF450)</f>
        <v>0</v>
      </c>
      <c r="AG449" s="7499">
        <f>IF(AG442=0,0,AG439/AG442*AG450)</f>
        <v>0</v>
      </c>
      <c r="AH449" s="213">
        <f>AH451*AH452+AH453*AH454</f>
        <v>0</v>
      </c>
      <c r="AI449" s="7499">
        <f>IF(AI442=0,0,AI439/AI442*AI450)</f>
        <v>0</v>
      </c>
      <c r="AJ449" s="7499">
        <f>IF(AJ442=0,0,AJ439/AJ442*AJ450)</f>
        <v>74172.7954737853</v>
      </c>
      <c r="AK449" s="7499">
        <f>IF(AK442=0,0,AK439/AK442*AK450)</f>
        <v>82091.4105370427</v>
      </c>
      <c r="AL449" s="7499">
        <f>IF(AL442=0,0,AL439/AL442*AL450)</f>
        <v>87990.6008451377</v>
      </c>
      <c r="AM449" s="7499">
        <f>IF(AM442=0,0,AM439/AM442*AM450)</f>
        <v>92947.9877197701</v>
      </c>
      <c r="AN449" s="7499">
        <f>IF(AN442=0,0,AN439/AN442*AN450)</f>
        <v>95946.7746907814</v>
      </c>
      <c r="AO449" s="1250">
        <f>IF(AO442=0,0,AO439/AO442*AO450)</f>
        <v>0</v>
      </c>
      <c r="AP449" s="1250">
        <f>IF(AP442=0,0,AP439/AP442*AP450)</f>
        <v>0</v>
      </c>
      <c r="AQ449" s="1250">
        <f>IF(AQ442=0,0,AQ439/AQ442*AQ450)</f>
        <v>0</v>
      </c>
      <c r="AR449" s="1250">
        <f>IF(AR442=0,0,AR439/AR442*AR450)</f>
        <v>0</v>
      </c>
      <c r="AS449" s="1250">
        <f>IF(AS442=0,0,AS439/AS442*AS450)</f>
        <v>0</v>
      </c>
      <c r="AT449" s="7499">
        <f>IF(AT442=0,0,AT439/AT442*AT450)</f>
        <v>74172.7946892274</v>
      </c>
      <c r="AU449" s="7499">
        <f>IF(AU442=0,0,AU439/AU442*AU450)</f>
        <v>82091.4101628202</v>
      </c>
      <c r="AV449" s="7499">
        <f>IF(AV442=0,0,AV439/AV442*AV450)</f>
        <v>87990.6847709067</v>
      </c>
      <c r="AW449" s="7499">
        <f>IF(AW442=0,0,AW439/AW442*AW450)</f>
        <v>92951.128025509</v>
      </c>
      <c r="AX449" s="7499">
        <f>IF(AX442=0,0,AX439/AX442*AX450)</f>
        <v>95995.6507725727</v>
      </c>
      <c r="AY449" s="1250">
        <f>IF(AY442=0,0,AY439/AY442*AY450)</f>
        <v>0</v>
      </c>
      <c r="AZ449" s="1250">
        <f>IF(AZ442=0,0,AZ439/AZ442*AZ450)</f>
        <v>0</v>
      </c>
      <c r="BA449" s="1250">
        <f>IF(BA442=0,0,BA439/BA442*BA450)</f>
        <v>0</v>
      </c>
      <c r="BB449" s="1250">
        <f>IF(BB442=0,0,BB439/BB442*BB450)</f>
        <v>0</v>
      </c>
      <c r="BC449" s="1250">
        <f>IF(BC442=0,0,BC439/BC442*BC450)</f>
        <v>0</v>
      </c>
      <c r="BD449" s="778">
        <f>IF(AI449=0,0,(AT449-AI449)/AI449*100)</f>
        <v>0</v>
      </c>
      <c r="BE449" s="778">
        <f>IF(AT449=0,0,(AU449-AT449)/AT449*100)</f>
        <v>10.6759028114966</v>
      </c>
      <c r="BF449" s="778">
        <f>IF(AU449=0,0,(AV449-AU449)/AU449*100)</f>
        <v>7.18622642294225</v>
      </c>
      <c r="BG449" s="778">
        <f>IF(AV449=0,0,(AW449-AV449)/AV449*100)</f>
        <v>5.63746408783766</v>
      </c>
      <c r="BH449" s="778">
        <f>IF(AW449=0,0,(AX449-AW449)/AW449*100)</f>
        <v>3.27540161344592</v>
      </c>
      <c r="BI449" s="778">
        <f>IF(AX449=0,0,(AY449-AX449)/AX449*100)</f>
        <v>-100</v>
      </c>
      <c r="BJ449" s="778">
        <f>IF(AY449=0,0,(AZ449-AY449)/AY449*100)</f>
        <v>0</v>
      </c>
      <c r="BK449" s="778">
        <f>IF(AZ449=0,0,(BA449-AZ449)/AZ449*100)</f>
        <v>0</v>
      </c>
      <c r="BL449" s="778">
        <f>IF(BA449=0,0,(BB449-BA449)/BA449*100)</f>
        <v>0</v>
      </c>
      <c r="BM449" s="778">
        <f>IF(BB449=0,0,(BC449-BB449)/BB449*100)</f>
        <v>0</v>
      </c>
      <c r="BN449" s="7433"/>
      <c r="BO449" s="7433"/>
      <c r="BP449" s="7433"/>
      <c r="BQ449" s="700"/>
      <c r="BR449" s="700"/>
      <c r="BS449" s="1063" t="s">
        <v>2603</v>
      </c>
      <c r="BT449" s="1070"/>
      <c r="BU449" s="1070"/>
      <c r="BV449" s="707"/>
      <c r="BW449" s="707"/>
    </row>
    <row s="7559" customFormat="1" customHeight="1" ht="20.25">
      <c r="A450" s="700"/>
      <c r="B450" s="435"/>
      <c r="C450" s="109"/>
      <c r="D450" s="109">
        <f>D449+1</f>
        <v>13</v>
      </c>
      <c r="E450" s="826">
        <v>21</v>
      </c>
      <c r="F450" s="50" cm="1" t="str">
        <f t="array" ref="F450:F450">OFFSET(E450,-1,1)</f>
        <v>2</v>
      </c>
      <c r="G450" s="107" t="s">
        <v>2359</v>
      </c>
      <c r="H450" s="107"/>
      <c r="I450" s="107" t="s">
        <v>2906</v>
      </c>
      <c r="J450" s="109"/>
      <c r="K450" s="158" t="s">
        <v>2906</v>
      </c>
      <c r="L450" s="985" t="s">
        <v>2604</v>
      </c>
      <c r="M450" s="109"/>
      <c r="N450" s="109"/>
      <c r="O450" s="109"/>
      <c r="P450" s="109"/>
      <c r="Q450" s="109"/>
      <c r="R450" s="109"/>
      <c r="S450" s="109"/>
      <c r="T450" s="465" cm="1" t="str">
        <f t="array" ref="T450:T450">T449</f>
        <v>true</v>
      </c>
      <c r="U450" s="109"/>
      <c r="V450" s="109"/>
      <c r="W450" s="109"/>
      <c r="X450" s="1596"/>
      <c r="Y450" s="700"/>
      <c r="Z450" s="1546"/>
      <c r="AA450" s="700"/>
      <c r="AB450" s="211" cm="1" t="str">
        <f t="array" ref="AB450:AB450">D450</f>
        <v>13</v>
      </c>
      <c r="AC450" s="212" t="s">
        <v>2605</v>
      </c>
      <c r="AD450" s="211" t="s">
        <v>1247</v>
      </c>
      <c r="AE450" s="785">
        <f>_xlfn.SUMIFS(Баланс!AE$26:AE$482,Баланс!$F$26:$F$482,$F450,Баланс!$G$26:$G$482,"население")</f>
        <v>0</v>
      </c>
      <c r="AF450" s="785">
        <f>_xlfn.SUMIFS(Баланс!AF$26:AF$482,Баланс!$F$26:$F$482,$F450,Баланс!$G$26:$G$482,"население")</f>
        <v>0</v>
      </c>
      <c r="AG450" s="785">
        <f>_xlfn.SUMIFS(Баланс!AG$26:AG$482,Баланс!$F$26:$F$482,$F450,Баланс!$G$26:$G$482,"население")</f>
        <v>0</v>
      </c>
      <c r="AH450" s="785">
        <f>AG450-AF450</f>
        <v>0</v>
      </c>
      <c r="AI450" s="785">
        <f>_xlfn.SUMIFS(Баланс!AH$26:AH$482,Баланс!$F$26:$F$482,$F450,Баланс!$G$26:$G$482,"население")</f>
        <v>0</v>
      </c>
      <c r="AJ450" s="785">
        <f>_xlfn.SUMIFS(Баланс!AI$26:AI$482,Баланс!$F$26:$F$482,$F450,Баланс!$G$26:$G$482,"население")</f>
        <v>682.78641</v>
      </c>
      <c r="AK450" s="785">
        <f>_xlfn.SUMIFS(Баланс!AJ$26:AJ$482,Баланс!$F$26:$F$482,$F450,Баланс!$G$26:$G$482,"население")</f>
        <v>682.78641</v>
      </c>
      <c r="AL450" s="785">
        <f>_xlfn.SUMIFS(Баланс!AK$26:AK$482,Баланс!$F$26:$F$482,$F450,Баланс!$G$26:$G$482,"население")</f>
        <v>682.78641</v>
      </c>
      <c r="AM450" s="785">
        <f>_xlfn.SUMIFS(Баланс!AL$26:AL$482,Баланс!$F$26:$F$482,$F450,Баланс!$G$26:$G$482,"население")</f>
        <v>682.78641</v>
      </c>
      <c r="AN450" s="785">
        <f>_xlfn.SUMIFS(Баланс!AM$26:AM$482,Баланс!$F$26:$F$482,$F450,Баланс!$G$26:$G$482,"население")</f>
        <v>682.78641</v>
      </c>
      <c r="AO450" s="785">
        <f>_xlfn.SUMIFS(Баланс!AN$26:AN$482,Баланс!$F$26:$F$482,$F450,Баланс!$G$26:$G$482,"население")</f>
        <v>0</v>
      </c>
      <c r="AP450" s="785">
        <f>_xlfn.SUMIFS(Баланс!AO$26:AO$482,Баланс!$F$26:$F$482,$F450,Баланс!$G$26:$G$482,"население")</f>
        <v>0</v>
      </c>
      <c r="AQ450" s="785">
        <f>_xlfn.SUMIFS(Баланс!AP$26:AP$482,Баланс!$F$26:$F$482,$F450,Баланс!$G$26:$G$482,"население")</f>
        <v>0</v>
      </c>
      <c r="AR450" s="785">
        <f>_xlfn.SUMIFS(Баланс!AQ$26:AQ$482,Баланс!$F$26:$F$482,$F450,Баланс!$G$26:$G$482,"население")</f>
        <v>0</v>
      </c>
      <c r="AS450" s="785">
        <f>_xlfn.SUMIFS(Баланс!AR$26:AR$482,Баланс!$F$26:$F$482,$F450,Баланс!$G$26:$G$482,"население")</f>
        <v>0</v>
      </c>
      <c r="AT450" s="785">
        <f>_xlfn.SUMIFS(Баланс!AS$26:AS$482,Баланс!$F$26:$F$482,$F450,Баланс!$G$26:$G$482,"население")</f>
        <v>682.78641</v>
      </c>
      <c r="AU450" s="785">
        <f>_xlfn.SUMIFS(Баланс!AT$26:AT$482,Баланс!$F$26:$F$482,$F450,Баланс!$G$26:$G$482,"население")</f>
        <v>682.78641</v>
      </c>
      <c r="AV450" s="785">
        <f>_xlfn.SUMIFS(Баланс!AU$26:AU$482,Баланс!$F$26:$F$482,$F450,Баланс!$G$26:$G$482,"население")</f>
        <v>682.78641</v>
      </c>
      <c r="AW450" s="785">
        <f>_xlfn.SUMIFS(Баланс!AV$26:AV$482,Баланс!$F$26:$F$482,$F450,Баланс!$G$26:$G$482,"население")</f>
        <v>682.78641</v>
      </c>
      <c r="AX450" s="785">
        <f>_xlfn.SUMIFS(Баланс!AW$26:AW$482,Баланс!$F$26:$F$482,$F450,Баланс!$G$26:$G$482,"население")</f>
        <v>682.78641</v>
      </c>
      <c r="AY450" s="785">
        <f>_xlfn.SUMIFS(Баланс!AX$26:AX$482,Баланс!$F$26:$F$482,$F450,Баланс!$G$26:$G$482,"население")</f>
        <v>0</v>
      </c>
      <c r="AZ450" s="785">
        <f>_xlfn.SUMIFS(Баланс!AY$26:AY$482,Баланс!$F$26:$F$482,$F450,Баланс!$G$26:$G$482,"население")</f>
        <v>0</v>
      </c>
      <c r="BA450" s="785">
        <f>_xlfn.SUMIFS(Баланс!AZ$26:AZ$482,Баланс!$F$26:$F$482,$F450,Баланс!$G$26:$G$482,"население")</f>
        <v>0</v>
      </c>
      <c r="BB450" s="785">
        <f>_xlfn.SUMIFS(Баланс!BA$26:BA$482,Баланс!$F$26:$F$482,$F450,Баланс!$G$26:$G$482,"население")</f>
        <v>0</v>
      </c>
      <c r="BC450" s="785">
        <f>_xlfn.SUMIFS(Баланс!BB$26:BB$482,Баланс!$F$26:$F$482,$F450,Баланс!$G$26:$G$482,"население")</f>
        <v>0</v>
      </c>
      <c r="BD450" s="216"/>
      <c r="BE450" s="216"/>
      <c r="BF450" s="216"/>
      <c r="BG450" s="216"/>
      <c r="BH450" s="216"/>
      <c r="BI450" s="216"/>
      <c r="BJ450" s="216"/>
      <c r="BK450" s="216"/>
      <c r="BL450" s="216"/>
      <c r="BM450" s="216"/>
      <c r="BN450" s="7433"/>
      <c r="BO450" s="7433"/>
      <c r="BP450" s="7433"/>
      <c r="BQ450" s="700"/>
      <c r="BR450" s="700"/>
      <c r="BS450" s="1063" t="s">
        <v>2606</v>
      </c>
      <c r="BT450" s="1070"/>
      <c r="BU450" s="1070"/>
      <c r="BV450" s="707"/>
      <c r="BW450" s="707"/>
    </row>
    <row s="1834" customFormat="1" customHeight="1" ht="24">
      <c r="A451" s="1278"/>
      <c r="B451" s="978"/>
      <c r="C451" s="107"/>
      <c r="D451" s="107" cm="1" t="str">
        <f t="array" ref="D451:D451">D450</f>
        <v>13</v>
      </c>
      <c r="E451" s="621">
        <v>15</v>
      </c>
      <c r="F451" s="50" cm="1" t="str">
        <f t="array" ref="F451:F451">OFFSET(E451,-1,1)</f>
        <v>2</v>
      </c>
      <c r="G451" s="107" t="s">
        <v>2393</v>
      </c>
      <c r="H451" s="107"/>
      <c r="I451" s="107" t="s">
        <v>2907</v>
      </c>
      <c r="J451" s="107"/>
      <c r="K451" s="158" t="s">
        <v>2907</v>
      </c>
      <c r="L451" s="980" t="s">
        <v>2607</v>
      </c>
      <c r="M451" s="107"/>
      <c r="N451" s="107"/>
      <c r="O451" s="107"/>
      <c r="P451" s="107"/>
      <c r="Q451" s="107"/>
      <c r="R451" s="107"/>
      <c r="S451" s="107"/>
      <c r="T451" s="465" cm="1" t="str">
        <f t="array" ref="T451:T451">T450</f>
        <v>true</v>
      </c>
      <c r="U451" s="107"/>
      <c r="V451" s="107"/>
      <c r="W451" s="107"/>
      <c r="X451" s="1596"/>
      <c r="Y451" s="1278"/>
      <c r="Z451" s="1546"/>
      <c r="AA451" s="1278"/>
      <c r="AB451" s="300" t="str">
        <f>D451&amp;".1"</f>
        <v>13.1</v>
      </c>
      <c r="AC451" s="1111" t="s">
        <v>2609</v>
      </c>
      <c r="AD451" s="300" t="s">
        <v>1247</v>
      </c>
      <c r="AE451" s="7434">
        <f>IF(AE$24="2026 год",AE450/12*9,AE450/2)</f>
        <v>0</v>
      </c>
      <c r="AF451" s="7434">
        <f>IF(AF$24="2026 год",AF450/12*9,AF450/2)</f>
        <v>0</v>
      </c>
      <c r="AG451" s="7434">
        <f>IF(AG$24="2026 год",AG450/12*9,AG450/2)</f>
        <v>0</v>
      </c>
      <c r="AH451" s="1113">
        <f>AG451-AF451</f>
        <v>0</v>
      </c>
      <c r="AI451" s="7434">
        <f>IF(AI$24="2026 год",AI450/12*9,AI450/2)</f>
        <v>0</v>
      </c>
      <c r="AJ451" s="7434">
        <f>IF(AJ$24="2026 год",AJ450/12*9,AJ450/2)</f>
        <v>512.0898075</v>
      </c>
      <c r="AK451" s="7434">
        <f>IF(AK$24="2026 год",AK450/12*9,AK450/2)</f>
        <v>341.393205</v>
      </c>
      <c r="AL451" s="7434">
        <f>IF(AL$24="2026 год",AL450/12*9,AL450/2)</f>
        <v>341.393205</v>
      </c>
      <c r="AM451" s="7434">
        <f>IF(AM$24="2026 год",AM450/12*9,AM450/2)</f>
        <v>341.393205</v>
      </c>
      <c r="AN451" s="7434">
        <f>IF(AN$24="2026 год",AN450/12*9,AN450/2)</f>
        <v>341.393205</v>
      </c>
      <c r="AO451" s="1239">
        <f>IF(AO$24="2026 год",AO450/12*9,AO450/2)</f>
        <v>0</v>
      </c>
      <c r="AP451" s="1239">
        <f>IF(AP$24="2026 год",AP450/12*9,AP450/2)</f>
        <v>0</v>
      </c>
      <c r="AQ451" s="1239">
        <f>IF(AQ$24="2026 год",AQ450/12*9,AQ450/2)</f>
        <v>0</v>
      </c>
      <c r="AR451" s="1239">
        <f>IF(AR$24="2026 год",AR450/12*9,AR450/2)</f>
        <v>0</v>
      </c>
      <c r="AS451" s="1239">
        <f>IF(AS$24="2026 год",AS450/12*9,AS450/2)</f>
        <v>0</v>
      </c>
      <c r="AT451" s="7497">
        <f>IF(AT$24="2026 год",AT450/12*9,AT450/2)</f>
        <v>512.0898075</v>
      </c>
      <c r="AU451" s="7497">
        <f>IF(AU$24="2026 год",AU450/12*9,AU450/2)</f>
        <v>341.393205</v>
      </c>
      <c r="AV451" s="7434">
        <f>IF(AV$24="2026 год",AV450/12*9,AV450/2)</f>
        <v>341.393205</v>
      </c>
      <c r="AW451" s="7434">
        <f>IF(AW$24="2026 год",AW450/12*9,AW450/2)</f>
        <v>341.393205</v>
      </c>
      <c r="AX451" s="7434">
        <f>IF(AX$24="2026 год",AX450/12*9,AX450/2)</f>
        <v>341.393205</v>
      </c>
      <c r="AY451" s="1239">
        <f>IF(AY$24="2026 год",AY450/12*9,AY450/2)</f>
        <v>0</v>
      </c>
      <c r="AZ451" s="1239">
        <f>IF(AZ$24="2026 год",AZ450/12*9,AZ450/2)</f>
        <v>0</v>
      </c>
      <c r="BA451" s="1239">
        <f>IF(BA$24="2026 год",BA450/12*9,BA450/2)</f>
        <v>0</v>
      </c>
      <c r="BB451" s="1239">
        <f>IF(BB$24="2026 год",BB450/12*9,BB450/2)</f>
        <v>0</v>
      </c>
      <c r="BC451" s="1239">
        <f>IF(BC$24="2026 год",BC450/12*9,BC450/2)</f>
        <v>0</v>
      </c>
      <c r="BD451" s="1115"/>
      <c r="BE451" s="1115"/>
      <c r="BF451" s="1115"/>
      <c r="BG451" s="1115"/>
      <c r="BH451" s="1115"/>
      <c r="BI451" s="1115"/>
      <c r="BJ451" s="1115"/>
      <c r="BK451" s="1115"/>
      <c r="BL451" s="1115"/>
      <c r="BM451" s="1115"/>
      <c r="BN451" s="7433"/>
      <c r="BO451" s="7433"/>
      <c r="BP451" s="7433"/>
      <c r="BQ451" s="1278"/>
      <c r="BR451" s="1278"/>
      <c r="BS451" s="1062" t="s">
        <v>2610</v>
      </c>
      <c r="BT451" s="1064"/>
      <c r="BU451" s="1064"/>
      <c r="BV451" s="979"/>
      <c r="BW451" s="979"/>
    </row>
    <row s="1834" customFormat="1" customHeight="1" ht="24">
      <c r="A452" s="1278"/>
      <c r="B452" s="978"/>
      <c r="C452" s="107"/>
      <c r="D452" s="107" cm="1" t="str">
        <f t="array" ref="D452:D452">D451</f>
        <v>13</v>
      </c>
      <c r="E452" s="621">
        <v>15</v>
      </c>
      <c r="F452" s="50" cm="1" t="str">
        <f t="array" ref="F452:F452">OFFSET(E452,-1,1)</f>
        <v>2</v>
      </c>
      <c r="G452" s="107" t="s">
        <v>2349</v>
      </c>
      <c r="H452" s="107"/>
      <c r="I452" s="107" t="s">
        <v>2908</v>
      </c>
      <c r="J452" s="107"/>
      <c r="K452" s="158" t="s">
        <v>2908</v>
      </c>
      <c r="L452" s="980" t="s">
        <v>2611</v>
      </c>
      <c r="M452" s="107"/>
      <c r="N452" s="107"/>
      <c r="O452" s="107"/>
      <c r="P452" s="107"/>
      <c r="Q452" s="107"/>
      <c r="R452" s="107"/>
      <c r="S452" s="107"/>
      <c r="T452" s="465" cm="1" t="str">
        <f t="array" ref="T452:T452">T451</f>
        <v>true</v>
      </c>
      <c r="U452" s="107"/>
      <c r="V452" s="107"/>
      <c r="W452" s="107"/>
      <c r="X452" s="1596"/>
      <c r="Y452" s="1278"/>
      <c r="Z452" s="1546"/>
      <c r="AA452" s="1278"/>
      <c r="AB452" s="300" t="str">
        <f>D452&amp;".2"</f>
        <v>13.2</v>
      </c>
      <c r="AC452" s="1111" t="s">
        <v>2613</v>
      </c>
      <c r="AD452" s="300" t="s">
        <v>2337</v>
      </c>
      <c r="AE452" s="3946">
        <f>IF(AE450=0,0,AE444*(1+Сценарии!AE$26/100))</f>
        <v>0</v>
      </c>
      <c r="AF452" s="7501">
        <f>IF(AF450=0,0,AF444*(1+Сценарии!AF$26/100))</f>
        <v>0</v>
      </c>
      <c r="AG452" s="7501">
        <f>IF(AG450=0,0,AG444*(1+Сценарии!AG$26/100))</f>
        <v>0</v>
      </c>
      <c r="AH452" s="1114">
        <f>AG452-AF452</f>
        <v>0</v>
      </c>
      <c r="AI452" s="3946">
        <f>IF(AI450=0,0,AI444*(1+Сценарии!AI$26/100))</f>
        <v>0</v>
      </c>
      <c r="AJ452" s="7501">
        <f>IF(AJ450=0,0,AJ444*(1+Сценарии!AJ$26/100))</f>
        <v>129.3322</v>
      </c>
      <c r="AK452" s="7501">
        <f>IF(AK450=0,0,AK444*(1+Сценарии!AO$26/100))</f>
        <v>142.13</v>
      </c>
      <c r="AL452" s="7501">
        <f>IF(AL450=0,0,AL444*(1+Сценарии!AP$26/100))</f>
        <v>151.2312</v>
      </c>
      <c r="AM452" s="7501">
        <f>IF(AM450=0,0,AM444*(1+Сценарии!AQ$26/100))</f>
        <v>163.2116</v>
      </c>
      <c r="AN452" s="7501">
        <f>IF(AN450=0,0,AN444*(1+Сценарии!AR$26/100))</f>
        <v>168.9578</v>
      </c>
      <c r="AO452" s="1262">
        <f>IF(AO450=0,0,AO444*(1+Сценарии!AS$26/100))</f>
        <v>0</v>
      </c>
      <c r="AP452" s="1262">
        <f>IF(AP450=0,0,AP444*(1+Сценарии!AT$26/100))</f>
        <v>0</v>
      </c>
      <c r="AQ452" s="1262">
        <f>IF(AQ450=0,0,AQ444*(1+Сценарии!AU$26/100))</f>
        <v>0</v>
      </c>
      <c r="AR452" s="1262">
        <f>IF(AR450=0,0,AR444*(1+Сценарии!AV$26/100))</f>
        <v>0</v>
      </c>
      <c r="AS452" s="1262">
        <f>IF(AS450=0,0,AS444*(1+Сценарии!AW$26/100))</f>
        <v>0</v>
      </c>
      <c r="AT452" s="3946">
        <f>IF(AT450=0,0,AT444*(1+Сценарии!AK$26/100))</f>
        <v>129.3322</v>
      </c>
      <c r="AU452" s="3946">
        <f>IF(AU450=0,0,AU444*(1+Сценарии!AX$26/100))</f>
        <v>142.130000035038</v>
      </c>
      <c r="AV452" s="7501">
        <f>IF(AV450=0,0,AV444*(1+Сценарии!AY$26/100))</f>
        <v>151.231200281297</v>
      </c>
      <c r="AW452" s="7501">
        <f>IF(AW450=0,0,AW444*(1+Сценарии!AZ$26/100))</f>
        <v>163.211600126831</v>
      </c>
      <c r="AX452" s="7501">
        <f>IF(AX450=0,0,AX444*(1+Сценарии!BA$26/100))</f>
        <v>168.957800231096</v>
      </c>
      <c r="AY452" s="1262">
        <f>IF(AY450=0,0,AY444*(1+Сценарии!BB$26/100))</f>
        <v>0</v>
      </c>
      <c r="AZ452" s="1262">
        <f>IF(AZ450=0,0,AZ444*(1+Сценарии!BC$26/100))</f>
        <v>0</v>
      </c>
      <c r="BA452" s="1262">
        <f>IF(BA450=0,0,BA444*(1+Сценарии!BD$26/100))</f>
        <v>0</v>
      </c>
      <c r="BB452" s="1262">
        <f>IF(BB450=0,0,BB444*(1+Сценарии!BE$26/100))</f>
        <v>0</v>
      </c>
      <c r="BC452" s="1262">
        <f>IF(BC450=0,0,BC444*(1+Сценарии!BF$26/100))</f>
        <v>0</v>
      </c>
      <c r="BD452" s="1115"/>
      <c r="BE452" s="1115"/>
      <c r="BF452" s="1115"/>
      <c r="BG452" s="1115"/>
      <c r="BH452" s="1115"/>
      <c r="BI452" s="1115"/>
      <c r="BJ452" s="1115"/>
      <c r="BK452" s="1115"/>
      <c r="BL452" s="1115"/>
      <c r="BM452" s="1115"/>
      <c r="BN452" s="7433"/>
      <c r="BO452" s="7433"/>
      <c r="BP452" s="7433"/>
      <c r="BQ452" s="1278"/>
      <c r="BR452" s="1278"/>
      <c r="BS452" s="1062" t="s">
        <v>2614</v>
      </c>
      <c r="BT452" s="1064"/>
      <c r="BU452" s="1064"/>
      <c r="BV452" s="979"/>
      <c r="BW452" s="979"/>
    </row>
    <row s="1834" customFormat="1" customHeight="1" ht="24">
      <c r="A453" s="1278"/>
      <c r="B453" s="978"/>
      <c r="C453" s="107"/>
      <c r="D453" s="107" cm="1" t="str">
        <f t="array" ref="D453:D453">D452</f>
        <v>13</v>
      </c>
      <c r="E453" s="621">
        <v>15</v>
      </c>
      <c r="F453" s="50" cm="1" t="str">
        <f t="array" ref="F453:F453">OFFSET(E453,-1,1)</f>
        <v>2</v>
      </c>
      <c r="G453" s="107" t="s">
        <v>2400</v>
      </c>
      <c r="H453" s="107"/>
      <c r="I453" s="107" t="s">
        <v>2909</v>
      </c>
      <c r="J453" s="107"/>
      <c r="K453" s="107" t="s">
        <v>2909</v>
      </c>
      <c r="L453" s="980" t="s">
        <v>2615</v>
      </c>
      <c r="M453" s="107"/>
      <c r="N453" s="107"/>
      <c r="O453" s="107"/>
      <c r="P453" s="107"/>
      <c r="Q453" s="107"/>
      <c r="R453" s="107"/>
      <c r="S453" s="107"/>
      <c r="T453" s="465" cm="1" t="str">
        <f t="array" ref="T453:T453">T452</f>
        <v>true</v>
      </c>
      <c r="U453" s="107"/>
      <c r="V453" s="107"/>
      <c r="W453" s="107"/>
      <c r="X453" s="1596"/>
      <c r="Y453" s="1278"/>
      <c r="Z453" s="1546"/>
      <c r="AA453" s="1278"/>
      <c r="AB453" s="300" t="str">
        <f>D453&amp;".3"</f>
        <v>13.3</v>
      </c>
      <c r="AC453" s="1111" t="s">
        <v>2587</v>
      </c>
      <c r="AD453" s="300" t="s">
        <v>1247</v>
      </c>
      <c r="AE453" s="1113">
        <f>AE450-AE451</f>
        <v>0</v>
      </c>
      <c r="AF453" s="1113">
        <f>AF450-AF451</f>
        <v>0</v>
      </c>
      <c r="AG453" s="1113">
        <f>AG450-AG451</f>
        <v>0</v>
      </c>
      <c r="AH453" s="1113">
        <f>AG453-AF453</f>
        <v>0</v>
      </c>
      <c r="AI453" s="1113">
        <f>AI450-AI451</f>
        <v>0</v>
      </c>
      <c r="AJ453" s="1113">
        <f>AJ450-AJ451</f>
        <v>170.6966025</v>
      </c>
      <c r="AK453" s="1113">
        <f>AK450-AK451</f>
        <v>341.393205</v>
      </c>
      <c r="AL453" s="1113">
        <f>AL450-AL451</f>
        <v>341.393205</v>
      </c>
      <c r="AM453" s="1113">
        <f>AM450-AM451</f>
        <v>341.393205</v>
      </c>
      <c r="AN453" s="1113">
        <f>AN450-AN451</f>
        <v>341.393205</v>
      </c>
      <c r="AO453" s="1113">
        <f>AO450-AO451</f>
        <v>0</v>
      </c>
      <c r="AP453" s="1113">
        <f>AP450-AP451</f>
        <v>0</v>
      </c>
      <c r="AQ453" s="1113">
        <f>AQ450-AQ451</f>
        <v>0</v>
      </c>
      <c r="AR453" s="1113">
        <f>AR450-AR451</f>
        <v>0</v>
      </c>
      <c r="AS453" s="1113">
        <f>AS450-AS451</f>
        <v>0</v>
      </c>
      <c r="AT453" s="1113">
        <f>AT450-AT451</f>
        <v>170.6966025</v>
      </c>
      <c r="AU453" s="1113">
        <f>AU450-AU451</f>
        <v>341.393205</v>
      </c>
      <c r="AV453" s="1113">
        <f>AV450-AV451</f>
        <v>341.393205</v>
      </c>
      <c r="AW453" s="1113">
        <f>AW450-AW451</f>
        <v>341.393205</v>
      </c>
      <c r="AX453" s="1113">
        <f>AX450-AX451</f>
        <v>341.393205</v>
      </c>
      <c r="AY453" s="1113">
        <f>AY450-AY451</f>
        <v>0</v>
      </c>
      <c r="AZ453" s="1113">
        <f>AZ450-AZ451</f>
        <v>0</v>
      </c>
      <c r="BA453" s="1113">
        <f>BA450-BA451</f>
        <v>0</v>
      </c>
      <c r="BB453" s="1113">
        <f>BB450-BB451</f>
        <v>0</v>
      </c>
      <c r="BC453" s="1113">
        <f>BC450-BC451</f>
        <v>0</v>
      </c>
      <c r="BD453" s="1115"/>
      <c r="BE453" s="1115"/>
      <c r="BF453" s="1115"/>
      <c r="BG453" s="1115"/>
      <c r="BH453" s="1115"/>
      <c r="BI453" s="1115"/>
      <c r="BJ453" s="1115"/>
      <c r="BK453" s="1115"/>
      <c r="BL453" s="1115"/>
      <c r="BM453" s="1115"/>
      <c r="BN453" s="7433"/>
      <c r="BO453" s="7433"/>
      <c r="BP453" s="7433"/>
      <c r="BQ453" s="1278"/>
      <c r="BR453" s="1278"/>
      <c r="BS453" s="1062" t="s">
        <v>2617</v>
      </c>
      <c r="BT453" s="1064"/>
      <c r="BU453" s="1064"/>
      <c r="BV453" s="979"/>
      <c r="BW453" s="979"/>
    </row>
    <row s="1834" customFormat="1" customHeight="1" ht="14.25">
      <c r="A454" s="1278"/>
      <c r="B454" s="978"/>
      <c r="C454" s="107"/>
      <c r="D454" s="107" cm="1" t="str">
        <f t="array" ref="D454:D454">D453</f>
        <v>13</v>
      </c>
      <c r="E454" s="621">
        <v>15</v>
      </c>
      <c r="F454" s="50" cm="1" t="str">
        <f t="array" ref="F454:F454">OFFSET(E454,-1,1)</f>
        <v>2</v>
      </c>
      <c r="G454" s="107" t="s">
        <v>2353</v>
      </c>
      <c r="H454" s="107"/>
      <c r="I454" s="107" t="s">
        <v>2910</v>
      </c>
      <c r="J454" s="107"/>
      <c r="K454" s="107" t="s">
        <v>2910</v>
      </c>
      <c r="L454" s="980" t="s">
        <v>2618</v>
      </c>
      <c r="M454" s="107"/>
      <c r="N454" s="107"/>
      <c r="O454" s="107"/>
      <c r="P454" s="107"/>
      <c r="Q454" s="107"/>
      <c r="R454" s="107"/>
      <c r="S454" s="107"/>
      <c r="T454" s="465" cm="1" t="str">
        <f t="array" ref="T454:T454">T453</f>
        <v>true</v>
      </c>
      <c r="U454" s="107"/>
      <c r="V454" s="107"/>
      <c r="W454" s="107"/>
      <c r="X454" s="1596"/>
      <c r="Y454" s="1278"/>
      <c r="Z454" s="1546"/>
      <c r="AA454" s="1278"/>
      <c r="AB454" s="300" t="str">
        <f>D454&amp;".4"</f>
        <v>13.4</v>
      </c>
      <c r="AC454" s="1111" t="s">
        <v>2591</v>
      </c>
      <c r="AD454" s="300" t="s">
        <v>2337</v>
      </c>
      <c r="AE454" s="3946">
        <f>IF(AE450=0,0,AE446*(1+Сценарии!AE$26/100))</f>
        <v>0</v>
      </c>
      <c r="AF454" s="7501">
        <f>IF(AF450=0,0,AF446*(1+Сценарии!AF$26/100))</f>
        <v>0</v>
      </c>
      <c r="AG454" s="7501">
        <f>IF(AG450=0,0,AG446*(1+Сценарии!AG$26/100))</f>
        <v>0</v>
      </c>
      <c r="AH454" s="1114">
        <f>AG454-AF454</f>
        <v>0</v>
      </c>
      <c r="AI454" s="3946">
        <f>IF(AI450=0,0,AI446*(1+Сценарии!AI$26/100))</f>
        <v>0</v>
      </c>
      <c r="AJ454" s="7501">
        <f>IF(AJ450=0,0,AJ446*(1+Сценарии!AJ$26/100))</f>
        <v>142.130005642418</v>
      </c>
      <c r="AK454" s="3946">
        <f>IF(AK450=0,0,AK446*(1+Сценарии!AO$26/100))</f>
        <v>151.231201653654</v>
      </c>
      <c r="AL454" s="7501">
        <f>IF(AL450=0,0,AL446*(1+Сценарии!AP$26/100))</f>
        <v>163.211300491678</v>
      </c>
      <c r="AM454" s="7501">
        <f>IF(AM450=0,0,AM446*(1+Сценарии!AQ$26/100))</f>
        <v>168.9578</v>
      </c>
      <c r="AN454" s="7501">
        <f>IF(AN450=0,0,AN446*(1+Сценарии!AR$26/100))</f>
        <v>174.1672</v>
      </c>
      <c r="AO454" s="1262">
        <f>IF(AO450=0,0,AO446*(1+Сценарии!AS$26/100))</f>
        <v>0</v>
      </c>
      <c r="AP454" s="1262">
        <f>IF(AP450=0,0,AP446*(1+Сценарии!AT$26/100))</f>
        <v>0</v>
      </c>
      <c r="AQ454" s="1262">
        <f>IF(AQ450=0,0,AQ446*(1+Сценарии!AU$26/100))</f>
        <v>0</v>
      </c>
      <c r="AR454" s="1262">
        <f>IF(AR450=0,0,AR446*(1+Сценарии!AV$26/100))</f>
        <v>0</v>
      </c>
      <c r="AS454" s="1262">
        <f>IF(AS450=0,0,AS446*(1+Сценарии!AW$26/100))</f>
        <v>0</v>
      </c>
      <c r="AT454" s="3946">
        <f>IF(AT450=0,0,AT446*(1+Сценарии!AK$26/100))</f>
        <v>142.130000035038</v>
      </c>
      <c r="AU454" s="3946">
        <f>IF(AU450=0,0,AU446*(1+Сценарии!AX$26/100))</f>
        <v>151.231200281297</v>
      </c>
      <c r="AV454" s="7501">
        <f>IF(AV450=0,0,AV446*(1+Сценарии!AY$26/100))</f>
        <v>163.211600126831</v>
      </c>
      <c r="AW454" s="7501">
        <f>IF(AW450=0,0,AW446*(1+Сценарии!AZ$26/100))</f>
        <v>168.957800231096</v>
      </c>
      <c r="AX454" s="7501">
        <f>IF(AX450=0,0,AX446*(1+Сценарии!BA$26/100))</f>
        <v>174.091482025529</v>
      </c>
      <c r="AY454" s="1262">
        <f>IF(AY450=0,0,AY446*(1+Сценарии!BB$26/100))</f>
        <v>0</v>
      </c>
      <c r="AZ454" s="1262">
        <f>IF(AZ450=0,0,AZ446*(1+Сценарии!BC$26/100))</f>
        <v>0</v>
      </c>
      <c r="BA454" s="1262">
        <f>IF(BA450=0,0,BA446*(1+Сценарии!BD$26/100))</f>
        <v>0</v>
      </c>
      <c r="BB454" s="1262">
        <f>IF(BB450=0,0,BB446*(1+Сценарии!BE$26/100))</f>
        <v>0</v>
      </c>
      <c r="BC454" s="1262">
        <f>IF(BC450=0,0,BC446*(1+Сценарии!BF$26/100))</f>
        <v>0</v>
      </c>
      <c r="BD454" s="1115"/>
      <c r="BE454" s="1115"/>
      <c r="BF454" s="1115"/>
      <c r="BG454" s="1115"/>
      <c r="BH454" s="1115"/>
      <c r="BI454" s="1115"/>
      <c r="BJ454" s="1115"/>
      <c r="BK454" s="1115"/>
      <c r="BL454" s="1115"/>
      <c r="BM454" s="1115"/>
      <c r="BN454" s="7433"/>
      <c r="BO454" s="7433"/>
      <c r="BP454" s="7433"/>
      <c r="BQ454" s="1278"/>
      <c r="BR454" s="1278"/>
      <c r="BS454" s="1062" t="s">
        <v>2621</v>
      </c>
      <c r="BT454" s="1064"/>
      <c r="BU454" s="1064"/>
      <c r="BV454" s="979"/>
      <c r="BW454" s="979"/>
    </row>
    <row s="1834" customFormat="1" customHeight="1" ht="14.25">
      <c r="A455" s="1278"/>
      <c r="B455" s="978"/>
      <c r="C455" s="107"/>
      <c r="D455" s="107">
        <f>D454+1</f>
        <v>14</v>
      </c>
      <c r="E455" s="621">
        <v>15</v>
      </c>
      <c r="F455" s="50" cm="1" t="str">
        <f t="array" ref="F455:F455">OFFSET(E455,-1,1)</f>
        <v>2</v>
      </c>
      <c r="G455" s="107"/>
      <c r="H455" s="107"/>
      <c r="I455" s="107"/>
      <c r="J455" s="107"/>
      <c r="K455" s="107"/>
      <c r="L455" s="980"/>
      <c r="M455" s="107"/>
      <c r="N455" s="107"/>
      <c r="O455" s="107"/>
      <c r="P455" s="107"/>
      <c r="Q455" s="107"/>
      <c r="R455" s="107"/>
      <c r="S455" s="107"/>
      <c r="T455" s="465" cm="1" t="str">
        <f t="array" ref="T455:T455">T454</f>
        <v>true</v>
      </c>
      <c r="U455" s="107"/>
      <c r="V455" s="107"/>
      <c r="W455" s="107"/>
      <c r="X455" s="1596"/>
      <c r="Y455" s="1278"/>
      <c r="Z455" s="1546"/>
      <c r="AA455" s="1278"/>
      <c r="AB455" s="211" cm="1" t="str">
        <f t="array" ref="AB455:AB455">D455</f>
        <v>14</v>
      </c>
      <c r="AC455" s="212" t="s">
        <v>2622</v>
      </c>
      <c r="AD455" s="211" t="s">
        <v>1514</v>
      </c>
      <c r="AE455" s="3946"/>
      <c r="AF455" s="3946"/>
      <c r="AG455" s="3946"/>
      <c r="AH455" s="1114">
        <f>AG455-AF455</f>
        <v>0</v>
      </c>
      <c r="AI455" s="3946"/>
      <c r="AJ455" s="3946"/>
      <c r="AK455" s="3946"/>
      <c r="AL455" s="3946"/>
      <c r="AM455" s="3946"/>
      <c r="AN455" s="3946"/>
      <c r="AO455" s="1241"/>
      <c r="AP455" s="1241"/>
      <c r="AQ455" s="1241"/>
      <c r="AR455" s="1241"/>
      <c r="AS455" s="1241"/>
      <c r="AT455" s="3946"/>
      <c r="AU455" s="3946"/>
      <c r="AV455" s="3946"/>
      <c r="AW455" s="3946"/>
      <c r="AX455" s="3946"/>
      <c r="AY455" s="1241"/>
      <c r="AZ455" s="1241"/>
      <c r="BA455" s="1241"/>
      <c r="BB455" s="1241"/>
      <c r="BC455" s="1241"/>
      <c r="BD455" s="1115"/>
      <c r="BE455" s="1115"/>
      <c r="BF455" s="1115"/>
      <c r="BG455" s="1115"/>
      <c r="BH455" s="1115"/>
      <c r="BI455" s="1115"/>
      <c r="BJ455" s="1115"/>
      <c r="BK455" s="1115"/>
      <c r="BL455" s="1115"/>
      <c r="BM455" s="1115"/>
      <c r="BN455" s="7433"/>
      <c r="BO455" s="7433"/>
      <c r="BP455" s="7433"/>
      <c r="BQ455" s="1278"/>
      <c r="BR455" s="1278"/>
      <c r="BS455" s="1062" t="s">
        <v>2623</v>
      </c>
      <c r="BT455" s="1064"/>
      <c r="BU455" s="1064"/>
      <c r="BV455" s="979"/>
      <c r="BW455" s="979"/>
    </row>
    <row s="1233" customFormat="1" customHeight="1" ht="20.25">
      <c r="A456" s="1233"/>
      <c r="B456" s="753"/>
      <c r="C456" s="107"/>
      <c r="D456" s="107" cm="1" t="str">
        <f t="array" ref="D456:D456">D455</f>
        <v>14</v>
      </c>
      <c r="E456" s="621">
        <v>21</v>
      </c>
      <c r="F456" s="50" cm="1" t="str">
        <f t="array" ref="F456:F456">OFFSET(E456,-1,1)</f>
        <v>2</v>
      </c>
      <c r="G456" s="107"/>
      <c r="H456" s="107"/>
      <c r="I456" s="107"/>
      <c r="J456" s="107"/>
      <c r="K456" s="107"/>
      <c r="L456" s="980"/>
      <c r="M456" s="107"/>
      <c r="N456" s="107"/>
      <c r="O456" s="107"/>
      <c r="P456" s="107"/>
      <c r="Q456" s="107"/>
      <c r="R456" s="107"/>
      <c r="S456" s="107"/>
      <c r="T456" s="465" cm="1" t="str">
        <f t="array" ref="T456:T456">T455</f>
        <v>true</v>
      </c>
      <c r="U456" s="107"/>
      <c r="V456" s="107"/>
      <c r="W456" s="107"/>
      <c r="X456" s="1596"/>
      <c r="Y456" s="1233"/>
      <c r="Z456" s="1546"/>
      <c r="AA456" s="1233"/>
      <c r="AB456" s="300" t="str">
        <f>D456&amp;".1"</f>
        <v>14.1</v>
      </c>
      <c r="AC456" s="762" t="s">
        <v>2625</v>
      </c>
      <c r="AD456" s="300" t="s">
        <v>1514</v>
      </c>
      <c r="AE456" s="3946"/>
      <c r="AF456" s="3946"/>
      <c r="AG456" s="3946"/>
      <c r="AH456" s="1114">
        <f>AG456-AF456</f>
        <v>0</v>
      </c>
      <c r="AI456" s="3946"/>
      <c r="AJ456" s="3946"/>
      <c r="AK456" s="3946"/>
      <c r="AL456" s="3946"/>
      <c r="AM456" s="3946"/>
      <c r="AN456" s="3946"/>
      <c r="AO456" s="1241"/>
      <c r="AP456" s="1241"/>
      <c r="AQ456" s="1241"/>
      <c r="AR456" s="1241"/>
      <c r="AS456" s="1241"/>
      <c r="AT456" s="3946"/>
      <c r="AU456" s="3946"/>
      <c r="AV456" s="3946"/>
      <c r="AW456" s="3946"/>
      <c r="AX456" s="3946"/>
      <c r="AY456" s="1241"/>
      <c r="AZ456" s="1241"/>
      <c r="BA456" s="1241"/>
      <c r="BB456" s="1241"/>
      <c r="BC456" s="1241"/>
      <c r="BD456" s="1115"/>
      <c r="BE456" s="1115"/>
      <c r="BF456" s="1115"/>
      <c r="BG456" s="1115"/>
      <c r="BH456" s="1115"/>
      <c r="BI456" s="1115"/>
      <c r="BJ456" s="1115"/>
      <c r="BK456" s="1115"/>
      <c r="BL456" s="1115"/>
      <c r="BM456" s="1115"/>
      <c r="BN456" s="7433"/>
      <c r="BO456" s="7433"/>
      <c r="BP456" s="7433"/>
      <c r="BQ456" s="1233"/>
      <c r="BR456" s="1233"/>
      <c r="BS456" s="1062" t="s">
        <v>2626</v>
      </c>
      <c r="BT456" s="1071"/>
      <c r="BU456" s="1071"/>
      <c r="BV456" s="1072"/>
      <c r="BW456" s="1072"/>
    </row>
    <row s="1233" customFormat="1" customHeight="1" ht="64.5">
      <c r="A457" s="1233"/>
      <c r="B457" s="753"/>
      <c r="C457" s="107"/>
      <c r="D457" s="107" cm="1" t="str">
        <f t="array" ref="D457:D457">D456</f>
        <v>14</v>
      </c>
      <c r="E457" s="621">
        <v>66.6</v>
      </c>
      <c r="F457" s="50" cm="1" t="str">
        <f t="array" ref="F457:F457">OFFSET(E457,-1,1)</f>
        <v>2</v>
      </c>
      <c r="G457" s="107"/>
      <c r="H457" s="107"/>
      <c r="I457" s="107"/>
      <c r="J457" s="107"/>
      <c r="K457" s="107"/>
      <c r="L457" s="980"/>
      <c r="M457" s="107"/>
      <c r="N457" s="107"/>
      <c r="O457" s="107"/>
      <c r="P457" s="107"/>
      <c r="Q457" s="107"/>
      <c r="R457" s="107"/>
      <c r="S457" s="107"/>
      <c r="T457" s="465" cm="1" t="str">
        <f t="array" ref="T457:T457">T456</f>
        <v>true</v>
      </c>
      <c r="U457" s="107"/>
      <c r="V457" s="107"/>
      <c r="W457" s="107"/>
      <c r="X457" s="1596"/>
      <c r="Y457" s="1233"/>
      <c r="Z457" s="1546"/>
      <c r="AA457" s="1233"/>
      <c r="AB457" s="300" t="str">
        <f>D457&amp;".2"</f>
        <v>14.2</v>
      </c>
      <c r="AC457" s="762" t="s">
        <v>2628</v>
      </c>
      <c r="AD457" s="300" t="s">
        <v>1514</v>
      </c>
      <c r="AE457" s="3946"/>
      <c r="AF457" s="3946"/>
      <c r="AG457" s="3946"/>
      <c r="AH457" s="1114">
        <f>AG457-AF457</f>
        <v>0</v>
      </c>
      <c r="AI457" s="3946"/>
      <c r="AJ457" s="3946"/>
      <c r="AK457" s="3946"/>
      <c r="AL457" s="3946"/>
      <c r="AM457" s="3946"/>
      <c r="AN457" s="3946"/>
      <c r="AO457" s="1241"/>
      <c r="AP457" s="1241"/>
      <c r="AQ457" s="1241"/>
      <c r="AR457" s="1241"/>
      <c r="AS457" s="1241"/>
      <c r="AT457" s="3946"/>
      <c r="AU457" s="3946"/>
      <c r="AV457" s="3946"/>
      <c r="AW457" s="3946"/>
      <c r="AX457" s="3946"/>
      <c r="AY457" s="1241"/>
      <c r="AZ457" s="1241"/>
      <c r="BA457" s="1241"/>
      <c r="BB457" s="1241"/>
      <c r="BC457" s="1241"/>
      <c r="BD457" s="1115"/>
      <c r="BE457" s="1115"/>
      <c r="BF457" s="1115"/>
      <c r="BG457" s="1115"/>
      <c r="BH457" s="1115"/>
      <c r="BI457" s="1115"/>
      <c r="BJ457" s="1115"/>
      <c r="BK457" s="1115"/>
      <c r="BL457" s="1115"/>
      <c r="BM457" s="1115"/>
      <c r="BN457" s="7433"/>
      <c r="BO457" s="7433"/>
      <c r="BP457" s="7433"/>
      <c r="BQ457" s="1233"/>
      <c r="BR457" s="1233"/>
      <c r="BS457" s="1062" t="s">
        <v>2629</v>
      </c>
      <c r="BT457" s="1071"/>
      <c r="BU457" s="1071"/>
      <c r="BV457" s="1072"/>
      <c r="BW457" s="1072"/>
    </row>
    <row s="1233" customFormat="1" customHeight="1" ht="44.25">
      <c r="A458" s="1233"/>
      <c r="B458" s="753"/>
      <c r="C458" s="107"/>
      <c r="D458" s="107" cm="1" t="str">
        <f t="array" ref="D458:D458">D457</f>
        <v>14</v>
      </c>
      <c r="E458" s="621">
        <v>45.6</v>
      </c>
      <c r="F458" s="50" cm="1" t="str">
        <f t="array" ref="F458:F458">OFFSET(E458,-1,1)</f>
        <v>2</v>
      </c>
      <c r="G458" s="107"/>
      <c r="H458" s="107"/>
      <c r="I458" s="107"/>
      <c r="J458" s="107"/>
      <c r="K458" s="107"/>
      <c r="L458" s="980"/>
      <c r="M458" s="107"/>
      <c r="N458" s="107"/>
      <c r="O458" s="107"/>
      <c r="P458" s="107"/>
      <c r="Q458" s="107"/>
      <c r="R458" s="107"/>
      <c r="S458" s="107"/>
      <c r="T458" s="465" cm="1" t="str">
        <f t="array" ref="T458:T458">T457</f>
        <v>true</v>
      </c>
      <c r="U458" s="107"/>
      <c r="V458" s="107"/>
      <c r="W458" s="107"/>
      <c r="X458" s="1596"/>
      <c r="Y458" s="1233"/>
      <c r="Z458" s="1546"/>
      <c r="AA458" s="1233"/>
      <c r="AB458" s="300" t="str">
        <f>D458&amp;".3"</f>
        <v>14.3</v>
      </c>
      <c r="AC458" s="762" t="s">
        <v>2911</v>
      </c>
      <c r="AD458" s="300" t="s">
        <v>1514</v>
      </c>
      <c r="AE458" s="1115"/>
      <c r="AF458" s="3946"/>
      <c r="AG458" s="3946"/>
      <c r="AH458" s="1114">
        <f>AG458-AF458</f>
        <v>0</v>
      </c>
      <c r="AI458" s="1115"/>
      <c r="AJ458" s="1115"/>
      <c r="AK458" s="1115"/>
      <c r="AL458" s="1115"/>
      <c r="AM458" s="1115"/>
      <c r="AN458" s="1115"/>
      <c r="AO458" s="1115"/>
      <c r="AP458" s="1115"/>
      <c r="AQ458" s="1115"/>
      <c r="AR458" s="1115"/>
      <c r="AS458" s="1115"/>
      <c r="AT458" s="1115"/>
      <c r="AU458" s="1115"/>
      <c r="AV458" s="1115"/>
      <c r="AW458" s="1115"/>
      <c r="AX458" s="1115"/>
      <c r="AY458" s="1115"/>
      <c r="AZ458" s="1115"/>
      <c r="BA458" s="1115"/>
      <c r="BB458" s="1115"/>
      <c r="BC458" s="1115"/>
      <c r="BD458" s="1115"/>
      <c r="BE458" s="1115"/>
      <c r="BF458" s="1115"/>
      <c r="BG458" s="1115"/>
      <c r="BH458" s="1115"/>
      <c r="BI458" s="1115"/>
      <c r="BJ458" s="1115"/>
      <c r="BK458" s="1115"/>
      <c r="BL458" s="1115"/>
      <c r="BM458" s="1115"/>
      <c r="BN458" s="7433"/>
      <c r="BO458" s="7433"/>
      <c r="BP458" s="7433"/>
      <c r="BQ458" s="1233"/>
      <c r="BR458" s="1233"/>
      <c r="BS458" s="1071" t="s">
        <v>2912</v>
      </c>
      <c r="BT458" s="1071"/>
      <c r="BU458" s="1071"/>
      <c r="BV458" s="1072"/>
      <c r="BW458" s="1072"/>
    </row>
    <row s="538" customFormat="1" customHeight="1" ht="14.25">
      <c r="A459" s="1758"/>
      <c r="B459" s="428"/>
      <c r="C459" s="426"/>
      <c r="D459" s="426"/>
      <c r="E459" s="619">
        <v>15</v>
      </c>
      <c r="F459" s="493" cm="1" t="str">
        <f t="array" ref="F459:F459">X459</f>
        <v>3</v>
      </c>
      <c r="G459" s="493" cm="1" t="str">
        <f t="array" ref="G459:G459">INDEX('Общие сведения'!$AK$179:$AK$250,MATCH($X459,'Общие сведения'!$Z$179:$Z$250,0))</f>
        <v>одноставочный</v>
      </c>
      <c r="H459" s="426"/>
      <c r="I459" s="493"/>
      <c r="J459" s="426"/>
      <c r="K459" s="426"/>
      <c r="L459" s="982"/>
      <c r="M459" s="426"/>
      <c r="N459" s="426"/>
      <c r="O459" s="426"/>
      <c r="P459" s="426"/>
      <c r="Q459" s="426"/>
      <c r="R459" s="426"/>
      <c r="S459" s="426" cm="1" t="str">
        <f t="array" ref="S459:S459">INDEX('Общие сведения'!$AE$179:$AE$250,MATCH($X459,'Общие сведения'!$Z$179:$Z$250,0))</f>
        <v>Водоотведение</v>
      </c>
      <c r="T459" s="465">
        <f>X459&gt;0</f>
        <v>1</v>
      </c>
      <c r="U459" s="426"/>
      <c r="V459" s="426" cm="1" t="str">
        <f t="array" ref="V459:V459">'Калькуляция (МЭОР)'!$AB$282</f>
        <v>Тариф 3 (Водоотведение) - тариф на водоотведение (Доп. признак не требуется)</v>
      </c>
      <c r="W459" s="426"/>
      <c r="X459" s="1596" t="s">
        <v>289</v>
      </c>
      <c r="Y459" s="1758"/>
      <c r="Z459" s="1546"/>
      <c r="AA459" s="1758"/>
      <c r="AB459" s="381" cm="1" t="str">
        <f t="array" ref="AB459:AB459">'Калькуляция (МЭОР)'!$AB$282</f>
        <v>Тариф 3 (Водоотведение) - тариф на водоотведение (Доп. признак не требуется)</v>
      </c>
      <c r="AC459" s="252"/>
      <c r="AD459" s="252"/>
      <c r="AE459" s="252"/>
      <c r="AF459" s="252"/>
      <c r="AG459" s="252"/>
      <c r="AH459" s="252"/>
      <c r="AI459" s="252"/>
      <c r="AJ459" s="252"/>
      <c r="AK459" s="252"/>
      <c r="AL459" s="252"/>
      <c r="AM459" s="252"/>
      <c r="AN459" s="252"/>
      <c r="AO459" s="252"/>
      <c r="AP459" s="252"/>
      <c r="AQ459" s="252"/>
      <c r="AR459" s="252"/>
      <c r="AS459" s="252"/>
      <c r="AT459" s="252"/>
      <c r="AU459" s="252"/>
      <c r="AV459" s="252"/>
      <c r="AW459" s="252"/>
      <c r="AX459" s="252"/>
      <c r="AY459" s="252"/>
      <c r="AZ459" s="252"/>
      <c r="BA459" s="252"/>
      <c r="BB459" s="252"/>
      <c r="BC459" s="252"/>
      <c r="BD459" s="252"/>
      <c r="BE459" s="252"/>
      <c r="BF459" s="252"/>
      <c r="BG459" s="252"/>
      <c r="BH459" s="252"/>
      <c r="BI459" s="252"/>
      <c r="BJ459" s="252"/>
      <c r="BK459" s="252"/>
      <c r="BL459" s="252"/>
      <c r="BM459" s="252"/>
      <c r="BN459" s="252"/>
      <c r="BO459" s="252"/>
      <c r="BP459" s="252"/>
      <c r="BQ459" s="1758"/>
      <c r="BR459" s="1758"/>
      <c r="BS459" s="997"/>
      <c r="BT459" s="997"/>
      <c r="BU459" s="997"/>
      <c r="BV459" s="618"/>
      <c r="BW459" s="618"/>
    </row>
    <row s="7560" customFormat="1" customHeight="1" ht="96.75">
      <c r="A460" s="161"/>
      <c r="B460" s="434"/>
      <c r="C460" s="855"/>
      <c r="D460" s="855"/>
      <c r="E460" s="856">
        <v>21</v>
      </c>
      <c r="F460" s="50" cm="1" t="str">
        <f t="array" ref="F460:F460">OFFSET(E460,-1,1)</f>
        <v>3</v>
      </c>
      <c r="G460" s="855"/>
      <c r="H460" s="112"/>
      <c r="I460" s="112" t="s">
        <v>332</v>
      </c>
      <c r="J460" s="855"/>
      <c r="K460" s="377" t="s">
        <v>332</v>
      </c>
      <c r="L460" s="983"/>
      <c r="M460" s="855"/>
      <c r="N460" s="855"/>
      <c r="O460" s="855"/>
      <c r="P460" s="855"/>
      <c r="Q460" s="855"/>
      <c r="R460" s="855"/>
      <c r="S460" s="855"/>
      <c r="T460" s="465" cm="1" t="str">
        <f t="array" ref="T460:T460">T459</f>
        <v>true</v>
      </c>
      <c r="U460" s="855"/>
      <c r="V460" s="855"/>
      <c r="W460" s="855"/>
      <c r="X460" s="1596"/>
      <c r="Y460" s="161"/>
      <c r="Z460" s="1546"/>
      <c r="AA460" s="161"/>
      <c r="AB460" s="234" t="s">
        <v>276</v>
      </c>
      <c r="AC460" s="212" t="s">
        <v>2636</v>
      </c>
      <c r="AD460" s="234" t="s">
        <v>1514</v>
      </c>
      <c r="AE460" s="778">
        <f>SUM(AE462,AE479,AE485,AE505,AE506,AE507)</f>
        <v>0</v>
      </c>
      <c r="AF460" s="778">
        <f>SUM(AF462,AF479,AF485,AF505,AF506,AF507)</f>
        <v>0</v>
      </c>
      <c r="AG460" s="778">
        <f>SUM(AG462,AG479,AG485,AG505,AG506,AG507)</f>
        <v>0</v>
      </c>
      <c r="AH460" s="778">
        <f>AG460-AF460</f>
        <v>0</v>
      </c>
      <c r="AI460" s="778">
        <f>SUM(AI462,AI479,AI485,AI505,AI506,AI507)</f>
        <v>0</v>
      </c>
      <c r="AJ460" s="778">
        <f>SUM(AJ462,AJ479,AJ485,AJ505,AJ506,AJ507)</f>
        <v>117142.333628601</v>
      </c>
      <c r="AK460" s="7432">
        <v>120609.85</v>
      </c>
      <c r="AL460" s="7432">
        <v>124179.9</v>
      </c>
      <c r="AM460" s="7432">
        <f>AL460*AM461</f>
        <v>127855.62504</v>
      </c>
      <c r="AN460" s="7432">
        <f>AM460*AN461</f>
        <v>131640.151541184</v>
      </c>
      <c r="AO460" s="1237">
        <f>AN460*AO461</f>
        <v>131640.151541184</v>
      </c>
      <c r="AP460" s="1237">
        <f>AO460*AP461</f>
        <v>131640.151541184</v>
      </c>
      <c r="AQ460" s="1237">
        <f>AP460*AQ461</f>
        <v>131640.151541184</v>
      </c>
      <c r="AR460" s="1237">
        <f>AQ460*AR461</f>
        <v>131640.151541184</v>
      </c>
      <c r="AS460" s="1237">
        <f>AR460*AS461</f>
        <v>131640.151541184</v>
      </c>
      <c r="AT460" s="778">
        <f>SUM(AT462,AT479,AT485,AT505,AT506,AT507)</f>
        <v>117142.433628601</v>
      </c>
      <c r="AU460" s="7432">
        <f>AT460*AU461</f>
        <v>120609.849664008</v>
      </c>
      <c r="AV460" s="7432">
        <f>AU460*AV461</f>
        <v>124179.901214063</v>
      </c>
      <c r="AW460" s="7432">
        <f>AV460*AW461</f>
        <v>127855.626289999</v>
      </c>
      <c r="AX460" s="7432">
        <f>AW460*AX461</f>
        <v>131640.152828183</v>
      </c>
      <c r="AY460" s="1237">
        <f>AX460*AY461</f>
        <v>131640.152828183</v>
      </c>
      <c r="AZ460" s="1237">
        <f>AY460*AZ461</f>
        <v>131640.152828183</v>
      </c>
      <c r="BA460" s="1237">
        <f>AZ460*BA461</f>
        <v>131640.152828183</v>
      </c>
      <c r="BB460" s="1237">
        <f>BA460*BB461</f>
        <v>131640.152828183</v>
      </c>
      <c r="BC460" s="1237">
        <f>BB460*BC461</f>
        <v>131640.152828183</v>
      </c>
      <c r="BD460" s="778">
        <f>IF(AI460=0,0,(AT460-AI460)/AI460*100)</f>
        <v>0</v>
      </c>
      <c r="BE460" s="778">
        <f>IF(AT460=0,0,(AU460-AT460)/AT460*100)</f>
        <v>2.96000000000035</v>
      </c>
      <c r="BF460" s="778">
        <f>IF(AU460=0,0,(AV460-AU460)/AU460*100)</f>
        <v>2.9600000000003</v>
      </c>
      <c r="BG460" s="778">
        <f>IF(AV460=0,0,(AW460-AV460)/AV460*100)</f>
        <v>2.95999999999979</v>
      </c>
      <c r="BH460" s="778">
        <f>IF(AW460=0,0,(AX460-AW460)/AW460*100)</f>
        <v>2.96000000000002</v>
      </c>
      <c r="BI460" s="778">
        <f>IF(AX460=0,0,(AY460-AX460)/AX460*100)</f>
        <v>0</v>
      </c>
      <c r="BJ460" s="778">
        <f>IF(AY460=0,0,(AZ460-AY460)/AY460*100)</f>
        <v>0</v>
      </c>
      <c r="BK460" s="778">
        <f>IF(AZ460=0,0,(BA460-AZ460)/AZ460*100)</f>
        <v>0</v>
      </c>
      <c r="BL460" s="778">
        <f>IF(BA460=0,0,(BB460-BA460)/BA460*100)</f>
        <v>0</v>
      </c>
      <c r="BM460" s="778">
        <f>IF(BB460=0,0,(BC460-BB460)/BB460*100)</f>
        <v>0</v>
      </c>
      <c r="BN460" s="7433"/>
      <c r="BO460" s="7433" t="s">
        <v>2913</v>
      </c>
      <c r="BP460" s="7433"/>
      <c r="BQ460" s="160"/>
      <c r="BR460" s="161"/>
      <c r="BS460" s="1068" t="s">
        <v>1239</v>
      </c>
      <c r="BT460" s="1068"/>
      <c r="BU460" s="1068"/>
      <c r="BV460" s="705"/>
      <c r="BW460" s="705"/>
    </row>
    <row s="1834" customFormat="1" customHeight="1" ht="75.75">
      <c r="A461" s="1278"/>
      <c r="B461" s="978"/>
      <c r="C461" s="107"/>
      <c r="D461" s="107"/>
      <c r="E461" s="621">
        <v>15</v>
      </c>
      <c r="F461" s="50" cm="1" t="str">
        <f t="array" ref="F461:F461">OFFSET(E461,-1,1)</f>
        <v>3</v>
      </c>
      <c r="G461" s="107"/>
      <c r="H461" s="857"/>
      <c r="I461" s="857" t="s">
        <v>1175</v>
      </c>
      <c r="J461" s="107"/>
      <c r="K461" s="378" t="s">
        <v>1175</v>
      </c>
      <c r="L461" s="980"/>
      <c r="M461" s="107"/>
      <c r="N461" s="107"/>
      <c r="O461" s="107"/>
      <c r="P461" s="107"/>
      <c r="Q461" s="107"/>
      <c r="R461" s="107"/>
      <c r="S461" s="107"/>
      <c r="T461" s="465" cm="1" t="str">
        <f t="array" ref="T461:T461">T460</f>
        <v>true</v>
      </c>
      <c r="U461" s="107"/>
      <c r="V461" s="107"/>
      <c r="W461" s="107"/>
      <c r="X461" s="1596"/>
      <c r="Y461" s="1278"/>
      <c r="Z461" s="1546"/>
      <c r="AA461" s="1278"/>
      <c r="AB461" s="300" t="s">
        <v>1628</v>
      </c>
      <c r="AC461" s="762" t="s">
        <v>2637</v>
      </c>
      <c r="AD461" s="300"/>
      <c r="AE461" s="7434"/>
      <c r="AF461" s="7434"/>
      <c r="AG461" s="7434"/>
      <c r="AH461" s="1113">
        <f>AG461-AF461</f>
        <v>0</v>
      </c>
      <c r="AI461" s="7434"/>
      <c r="AJ461" s="7434"/>
      <c r="AK461" s="7435">
        <f>_xlfn.SUMIFS(INDEX(Сценарии!$AE$25:$BF$163,,MATCH(AK$8,Сценарии!$AE$8:$BF$8,0)),Сценарии!$F$25:$F$163,$F461,Сценарии!$G$25:$G$163,"ИОР")</f>
        <v>1.0296</v>
      </c>
      <c r="AL461" s="7435">
        <f>_xlfn.SUMIFS(INDEX(Сценарии!$AE$25:$BF$163,,MATCH(AL$8,Сценарии!$AE$8:$BF$8,0)),Сценарии!$F$25:$F$163,$F461,Сценарии!$G$25:$G$163,"ИОР")</f>
        <v>1.0296</v>
      </c>
      <c r="AM461" s="7435">
        <f>_xlfn.SUMIFS(INDEX(Сценарии!$AE$25:$BF$163,,MATCH(AM$8,Сценарии!$AE$8:$BF$8,0)),Сценарии!$F$25:$F$163,$F461,Сценарии!$G$25:$G$163,"ИОР")</f>
        <v>1.0296</v>
      </c>
      <c r="AN461" s="7435">
        <f>_xlfn.SUMIFS(INDEX(Сценарии!$AE$25:$BF$163,,MATCH(AN$8,Сценарии!$AE$8:$BF$8,0)),Сценарии!$F$25:$F$163,$F461,Сценарии!$G$25:$G$163,"ИОР")</f>
        <v>1.0296</v>
      </c>
      <c r="AO461" s="1239">
        <f>_xlfn.SUMIFS(INDEX(Сценарии!$AE$25:$BF$163,,MATCH(AO$8,Сценарии!$AE$8:$BF$8,0)),Сценарии!$F$25:$F$163,$F461,Сценарии!$G$25:$G$163,"ИОР")</f>
        <v>1</v>
      </c>
      <c r="AP461" s="1239">
        <f>_xlfn.SUMIFS(INDEX(Сценарии!$AE$25:$BF$163,,MATCH(AP$8,Сценарии!$AE$8:$BF$8,0)),Сценарии!$F$25:$F$163,$F461,Сценарии!$G$25:$G$163,"ИОР")</f>
        <v>1</v>
      </c>
      <c r="AQ461" s="1239">
        <f>_xlfn.SUMIFS(INDEX(Сценарии!$AE$25:$BF$163,,MATCH(AQ$8,Сценарии!$AE$8:$BF$8,0)),Сценарии!$F$25:$F$163,$F461,Сценарии!$G$25:$G$163,"ИОР")</f>
        <v>1</v>
      </c>
      <c r="AR461" s="1239">
        <f>_xlfn.SUMIFS(INDEX(Сценарии!$AE$25:$BF$163,,MATCH(AR$8,Сценарии!$AE$8:$BF$8,0)),Сценарии!$F$25:$F$163,$F461,Сценарии!$G$25:$G$163,"ИОР")</f>
        <v>1</v>
      </c>
      <c r="AS461" s="1239">
        <f>_xlfn.SUMIFS(INDEX(Сценарии!$AE$25:$BF$163,,MATCH(AS$8,Сценарии!$AE$8:$BF$8,0)),Сценарии!$F$25:$F$163,$F461,Сценарии!$G$25:$G$163,"ИОР")</f>
        <v>1</v>
      </c>
      <c r="AT461" s="7434"/>
      <c r="AU461" s="7435">
        <f>_xlfn.SUMIFS(INDEX(Сценарии!$AE$25:$BF$163,,MATCH(AU$8,Сценарии!$AE$8:$BF$8,0)),Сценарии!$F$25:$F$163,$F461,Сценарии!$G$25:$G$163,"ИОР")</f>
        <v>1.0296</v>
      </c>
      <c r="AV461" s="7435">
        <f>_xlfn.SUMIFS(INDEX(Сценарии!$AE$25:$BF$163,,MATCH(AV$8,Сценарии!$AE$8:$BF$8,0)),Сценарии!$F$25:$F$163,$F461,Сценарии!$G$25:$G$163,"ИОР")</f>
        <v>1.0296</v>
      </c>
      <c r="AW461" s="7435">
        <f>_xlfn.SUMIFS(INDEX(Сценарии!$AE$25:$BF$163,,MATCH(AW$8,Сценарии!$AE$8:$BF$8,0)),Сценарии!$F$25:$F$163,$F461,Сценарии!$G$25:$G$163,"ИОР")</f>
        <v>1.0296</v>
      </c>
      <c r="AX461" s="7435">
        <f>_xlfn.SUMIFS(INDEX(Сценарии!$AE$25:$BF$163,,MATCH(AX$8,Сценарии!$AE$8:$BF$8,0)),Сценарии!$F$25:$F$163,$F461,Сценарии!$G$25:$G$163,"ИОР")</f>
        <v>1.0296</v>
      </c>
      <c r="AY461" s="1239">
        <f>_xlfn.SUMIFS(INDEX(Сценарии!$AE$25:$BF$163,,MATCH(AY$8,Сценарии!$AE$8:$BF$8,0)),Сценарии!$F$25:$F$163,$F461,Сценарии!$G$25:$G$163,"ИОР")</f>
        <v>1</v>
      </c>
      <c r="AZ461" s="1239">
        <f>_xlfn.SUMIFS(INDEX(Сценарии!$AE$25:$BF$163,,MATCH(AZ$8,Сценарии!$AE$8:$BF$8,0)),Сценарии!$F$25:$F$163,$F461,Сценарии!$G$25:$G$163,"ИОР")</f>
        <v>1</v>
      </c>
      <c r="BA461" s="1239">
        <f>_xlfn.SUMIFS(INDEX(Сценарии!$AE$25:$BF$163,,MATCH(BA$8,Сценарии!$AE$8:$BF$8,0)),Сценарии!$F$25:$F$163,$F461,Сценарии!$G$25:$G$163,"ИОР")</f>
        <v>1</v>
      </c>
      <c r="BB461" s="1239">
        <f>_xlfn.SUMIFS(INDEX(Сценарии!$AE$25:$BF$163,,MATCH(BB$8,Сценарии!$AE$8:$BF$8,0)),Сценарии!$F$25:$F$163,$F461,Сценарии!$G$25:$G$163,"ИОР")</f>
        <v>1</v>
      </c>
      <c r="BC461" s="1239">
        <f>_xlfn.SUMIFS(INDEX(Сценарии!$AE$25:$BF$163,,MATCH(BC$8,Сценарии!$AE$8:$BF$8,0)),Сценарии!$F$25:$F$163,$F461,Сценарии!$G$25:$G$163,"ИОР")</f>
        <v>1</v>
      </c>
      <c r="BD461" s="1114">
        <f>IF(AI461=0,0,(AT461-AI461)/AI461*100)</f>
        <v>0</v>
      </c>
      <c r="BE461" s="1115"/>
      <c r="BF461" s="1115"/>
      <c r="BG461" s="1115"/>
      <c r="BH461" s="1115"/>
      <c r="BI461" s="1115"/>
      <c r="BJ461" s="1115"/>
      <c r="BK461" s="1115"/>
      <c r="BL461" s="1115"/>
      <c r="BM461" s="1115"/>
      <c r="BN461" s="7433"/>
      <c r="BO461" s="7433" t="s">
        <v>2914</v>
      </c>
      <c r="BP461" s="7433"/>
      <c r="BQ461" s="1278"/>
      <c r="BR461" s="1278"/>
      <c r="BS461" s="1064" t="s">
        <v>2638</v>
      </c>
      <c r="BT461" s="1064"/>
      <c r="BU461" s="1064"/>
      <c r="BV461" s="979"/>
      <c r="BW461" s="979"/>
    </row>
    <row s="434" customFormat="1" customHeight="1" ht="65.25">
      <c r="A462" s="160"/>
      <c r="B462" s="434"/>
      <c r="C462" s="858"/>
      <c r="D462" s="858"/>
      <c r="E462" s="859">
        <v>21</v>
      </c>
      <c r="F462" s="50" cm="1" t="str">
        <f t="array" ref="F462:F462">OFFSET(E462,-1,1)</f>
        <v>3</v>
      </c>
      <c r="G462" s="858"/>
      <c r="H462" s="112"/>
      <c r="I462" s="112" t="s">
        <v>1179</v>
      </c>
      <c r="J462" s="858"/>
      <c r="K462" s="377" t="s">
        <v>1179</v>
      </c>
      <c r="L462" s="984" t="s">
        <v>332</v>
      </c>
      <c r="M462" s="858"/>
      <c r="N462" s="858"/>
      <c r="O462" s="858"/>
      <c r="P462" s="858"/>
      <c r="Q462" s="858"/>
      <c r="R462" s="858"/>
      <c r="S462" s="858"/>
      <c r="T462" s="465" cm="1" t="str">
        <f t="array" ref="T462:T462">T461</f>
        <v>true</v>
      </c>
      <c r="U462" s="858"/>
      <c r="V462" s="858"/>
      <c r="W462" s="858"/>
      <c r="X462" s="1596"/>
      <c r="Y462" s="160"/>
      <c r="Z462" s="1546"/>
      <c r="AA462" s="160"/>
      <c r="AB462" s="234" t="s">
        <v>1631</v>
      </c>
      <c r="AC462" s="361" t="s">
        <v>2434</v>
      </c>
      <c r="AD462" s="234" t="s">
        <v>1514</v>
      </c>
      <c r="AE462" s="778">
        <f>SUM(AE463,AE466,AE467,AE470,AE471)</f>
        <v>0</v>
      </c>
      <c r="AF462" s="778">
        <f>SUM(AF463,AF466,AF467,AF470,AF471)</f>
        <v>0</v>
      </c>
      <c r="AG462" s="778">
        <f>SUM(AG463,AG466,AG467,AG470,AG471)</f>
        <v>0</v>
      </c>
      <c r="AH462" s="778">
        <f>AG462-AF462</f>
        <v>0</v>
      </c>
      <c r="AI462" s="778">
        <f>SUM(AI463,AI466,AI467,AI470,AI471)</f>
        <v>0</v>
      </c>
      <c r="AJ462" s="778">
        <f>SUM(AJ463,AJ466,AJ467,AJ470,AJ471)</f>
        <v>89566.5424590769</v>
      </c>
      <c r="AK462" s="216"/>
      <c r="AL462" s="216"/>
      <c r="AM462" s="216"/>
      <c r="AN462" s="216"/>
      <c r="AO462" s="216"/>
      <c r="AP462" s="216"/>
      <c r="AQ462" s="216"/>
      <c r="AR462" s="216"/>
      <c r="AS462" s="216"/>
      <c r="AT462" s="778">
        <f>SUM(AT463,AT466,AT467,AT470,AT471)</f>
        <v>89566.5424590769</v>
      </c>
      <c r="AU462" s="216"/>
      <c r="AV462" s="216"/>
      <c r="AW462" s="216"/>
      <c r="AX462" s="216"/>
      <c r="AY462" s="216"/>
      <c r="AZ462" s="216"/>
      <c r="BA462" s="216"/>
      <c r="BB462" s="216"/>
      <c r="BC462" s="216"/>
      <c r="BD462" s="778">
        <f>IF(AI462=0,0,(AT462-AI462)/AI462*100)</f>
        <v>0</v>
      </c>
      <c r="BE462" s="216"/>
      <c r="BF462" s="216"/>
      <c r="BG462" s="216"/>
      <c r="BH462" s="216"/>
      <c r="BI462" s="216"/>
      <c r="BJ462" s="216"/>
      <c r="BK462" s="216"/>
      <c r="BL462" s="216"/>
      <c r="BM462" s="216"/>
      <c r="BN462" s="7436"/>
      <c r="BO462" s="7436" t="s">
        <v>2915</v>
      </c>
      <c r="BP462" s="7436"/>
      <c r="BQ462" s="160"/>
      <c r="BR462" s="160"/>
      <c r="BS462" s="1062" t="s">
        <v>1230</v>
      </c>
      <c r="BT462" s="1069"/>
      <c r="BU462" s="1069"/>
      <c r="BV462" s="706"/>
      <c r="BW462" s="706"/>
    </row>
    <row s="1834" customFormat="1" customHeight="1" ht="23.25">
      <c r="A463" s="1278"/>
      <c r="B463" s="978"/>
      <c r="C463" s="107"/>
      <c r="D463" s="107"/>
      <c r="E463" s="621">
        <v>15</v>
      </c>
      <c r="F463" s="50" cm="1" t="str">
        <f t="array" ref="F463:F463">OFFSET(E463,-1,1)</f>
        <v>3</v>
      </c>
      <c r="G463" s="107"/>
      <c r="H463" s="857"/>
      <c r="I463" s="857" t="s">
        <v>2068</v>
      </c>
      <c r="J463" s="107"/>
      <c r="K463" s="378" t="s">
        <v>2068</v>
      </c>
      <c r="L463" s="980" t="s">
        <v>1175</v>
      </c>
      <c r="M463" s="107"/>
      <c r="N463" s="107"/>
      <c r="O463" s="107"/>
      <c r="P463" s="107"/>
      <c r="Q463" s="107"/>
      <c r="R463" s="107"/>
      <c r="S463" s="107"/>
      <c r="T463" s="465" cm="1" t="str">
        <f t="array" ref="T463:T463">T462</f>
        <v>true</v>
      </c>
      <c r="U463" s="107"/>
      <c r="V463" s="107"/>
      <c r="W463" s="107"/>
      <c r="X463" s="1596"/>
      <c r="Y463" s="1278"/>
      <c r="Z463" s="1546"/>
      <c r="AA463" s="1278"/>
      <c r="AB463" s="300" t="s">
        <v>2069</v>
      </c>
      <c r="AC463" s="765" t="s">
        <v>2639</v>
      </c>
      <c r="AD463" s="766" t="s">
        <v>1514</v>
      </c>
      <c r="AE463" s="1114">
        <f>SUM(AE464,AE465)</f>
        <v>0</v>
      </c>
      <c r="AF463" s="1114">
        <f>SUM(AF464,AF465)</f>
        <v>0</v>
      </c>
      <c r="AG463" s="1114">
        <f>SUM(AG464,AG465)</f>
        <v>0</v>
      </c>
      <c r="AH463" s="1114">
        <f>AG463-AF463</f>
        <v>0</v>
      </c>
      <c r="AI463" s="1114">
        <f>SUM(AI464,AI465)</f>
        <v>0</v>
      </c>
      <c r="AJ463" s="1114">
        <f>SUM(AJ464,AJ465)</f>
        <v>1312.481606</v>
      </c>
      <c r="AK463" s="1115"/>
      <c r="AL463" s="1115"/>
      <c r="AM463" s="1115"/>
      <c r="AN463" s="1115"/>
      <c r="AO463" s="1115"/>
      <c r="AP463" s="1115"/>
      <c r="AQ463" s="1115"/>
      <c r="AR463" s="1115"/>
      <c r="AS463" s="1115"/>
      <c r="AT463" s="1114">
        <f>SUM(AT464,AT465)</f>
        <v>1312.481606</v>
      </c>
      <c r="AU463" s="1115"/>
      <c r="AV463" s="1115"/>
      <c r="AW463" s="1115"/>
      <c r="AX463" s="1115"/>
      <c r="AY463" s="1115"/>
      <c r="AZ463" s="1115"/>
      <c r="BA463" s="1115"/>
      <c r="BB463" s="1115"/>
      <c r="BC463" s="1115"/>
      <c r="BD463" s="1114">
        <f>IF(AI463=0,0,(AT463-AI463)/AI463*100)</f>
        <v>0</v>
      </c>
      <c r="BE463" s="1115"/>
      <c r="BF463" s="1115"/>
      <c r="BG463" s="1115"/>
      <c r="BH463" s="1115"/>
      <c r="BI463" s="1115"/>
      <c r="BJ463" s="1115"/>
      <c r="BK463" s="1115"/>
      <c r="BL463" s="1115"/>
      <c r="BM463" s="1115"/>
      <c r="BN463" s="7433"/>
      <c r="BO463" s="7433"/>
      <c r="BP463" s="7433"/>
      <c r="BQ463" s="110"/>
      <c r="BR463" s="1278"/>
      <c r="BS463" s="1063" t="s">
        <v>2436</v>
      </c>
      <c r="BT463" s="1064"/>
      <c r="BU463" s="1064"/>
      <c r="BV463" s="979"/>
      <c r="BW463" s="979"/>
    </row>
    <row s="1834" customFormat="1" customHeight="1" ht="44.25">
      <c r="A464" s="1278"/>
      <c r="B464" s="978"/>
      <c r="C464" s="107"/>
      <c r="D464" s="107"/>
      <c r="E464" s="621">
        <v>15</v>
      </c>
      <c r="F464" s="50" cm="1" t="str">
        <f t="array" ref="F464:F464">OFFSET(E464,-1,1)</f>
        <v>3</v>
      </c>
      <c r="G464" s="107"/>
      <c r="H464" s="857"/>
      <c r="I464" s="857" t="s">
        <v>2640</v>
      </c>
      <c r="J464" s="107"/>
      <c r="K464" s="378" t="s">
        <v>2640</v>
      </c>
      <c r="L464" s="980" t="s">
        <v>1739</v>
      </c>
      <c r="M464" s="107"/>
      <c r="N464" s="107"/>
      <c r="O464" s="107"/>
      <c r="P464" s="107"/>
      <c r="Q464" s="107"/>
      <c r="R464" s="107"/>
      <c r="S464" s="107"/>
      <c r="T464" s="465" cm="1" t="str">
        <f t="array" ref="T464:T464">T463</f>
        <v>true</v>
      </c>
      <c r="U464" s="107"/>
      <c r="V464" s="107"/>
      <c r="W464" s="107"/>
      <c r="X464" s="1596"/>
      <c r="Y464" s="1278"/>
      <c r="Z464" s="1546"/>
      <c r="AA464" s="1278"/>
      <c r="AB464" s="300" t="s">
        <v>2641</v>
      </c>
      <c r="AC464" s="768" t="s">
        <v>2439</v>
      </c>
      <c r="AD464" s="766" t="s">
        <v>1514</v>
      </c>
      <c r="AE464" s="1743">
        <f>_xlfn.SUMIFS('Сырье и материалы'!AE$25:AE$162,'Сырье и материалы'!$F$25:$F$162,$F464,'Сырье и материалы'!$I$25:$I$162,"Горюче-смазочные материалы")</f>
        <v>0</v>
      </c>
      <c r="AF464" s="1743">
        <f>_xlfn.SUMIFS('Сырье и материалы'!AF$25:AF$162,'Сырье и материалы'!$F$25:$F$162,$F464,'Сырье и материалы'!$I$25:$I$162,"Горюче-смазочные материалы")</f>
        <v>0</v>
      </c>
      <c r="AG464" s="1743">
        <f>_xlfn.SUMIFS('Сырье и материалы'!AG$25:AG$162,'Сырье и материалы'!$F$25:$F$162,$F464,'Сырье и материалы'!$I$25:$I$162,"Горюче-смазочные материалы")</f>
        <v>0</v>
      </c>
      <c r="AH464" s="1114">
        <f>AG464-AF464</f>
        <v>0</v>
      </c>
      <c r="AI464" s="1743">
        <f>_xlfn.SUMIFS('Сырье и материалы'!AH$25:AH$162,'Сырье и материалы'!$F$25:$F$162,$F464,'Сырье и материалы'!$I$25:$I$162,"Горюче-смазочные материалы")</f>
        <v>0</v>
      </c>
      <c r="AJ464" s="1743">
        <f>_xlfn.SUMIFS('Сырье и материалы'!AI$25:AI$162,'Сырье и материалы'!$F$25:$F$162,$F464,'Сырье и материалы'!$I$25:$I$162,"Горюче-смазочные материалы")</f>
        <v>242</v>
      </c>
      <c r="AK464" s="1115"/>
      <c r="AL464" s="1115"/>
      <c r="AM464" s="1115"/>
      <c r="AN464" s="1115"/>
      <c r="AO464" s="1115"/>
      <c r="AP464" s="1115"/>
      <c r="AQ464" s="1115"/>
      <c r="AR464" s="1115"/>
      <c r="AS464" s="1115"/>
      <c r="AT464" s="1743">
        <f>_xlfn.SUMIFS('Сырье и материалы'!AS$25:AS$162,'Сырье и материалы'!$F$25:$F$162,$F464,'Сырье и материалы'!$I$25:$I$162,"Горюче-смазочные материалы")</f>
        <v>242</v>
      </c>
      <c r="AU464" s="1115"/>
      <c r="AV464" s="1115"/>
      <c r="AW464" s="1115"/>
      <c r="AX464" s="1115"/>
      <c r="AY464" s="1115"/>
      <c r="AZ464" s="1115"/>
      <c r="BA464" s="1115"/>
      <c r="BB464" s="1115"/>
      <c r="BC464" s="1115"/>
      <c r="BD464" s="1114">
        <f>IF(AI464=0,0,(AT464-AI464)/AI464*100)</f>
        <v>0</v>
      </c>
      <c r="BE464" s="1115"/>
      <c r="BF464" s="1115"/>
      <c r="BG464" s="1115"/>
      <c r="BH464" s="1115"/>
      <c r="BI464" s="1115"/>
      <c r="BJ464" s="1115"/>
      <c r="BK464" s="1115"/>
      <c r="BL464" s="1115"/>
      <c r="BM464" s="1115"/>
      <c r="BN464" s="7433"/>
      <c r="BO464" s="7433" t="s">
        <v>2936</v>
      </c>
      <c r="BP464" s="7433"/>
      <c r="BQ464" s="1278"/>
      <c r="BR464" s="1278"/>
      <c r="BS464" s="1062" t="s">
        <v>2440</v>
      </c>
      <c r="BT464" s="1064"/>
      <c r="BU464" s="1064"/>
      <c r="BV464" s="979"/>
      <c r="BW464" s="979"/>
    </row>
    <row s="1834" customFormat="1" customHeight="1" ht="75.75">
      <c r="A465" s="1278"/>
      <c r="B465" s="978"/>
      <c r="C465" s="107"/>
      <c r="D465" s="107"/>
      <c r="E465" s="621">
        <v>15</v>
      </c>
      <c r="F465" s="50" cm="1" t="str">
        <f t="array" ref="F465:F465">OFFSET(E465,-1,1)</f>
        <v>3</v>
      </c>
      <c r="G465" s="107"/>
      <c r="H465" s="857"/>
      <c r="I465" s="857" t="s">
        <v>2642</v>
      </c>
      <c r="J465" s="107"/>
      <c r="K465" s="378" t="s">
        <v>2642</v>
      </c>
      <c r="L465" s="980" t="s">
        <v>2043</v>
      </c>
      <c r="M465" s="107"/>
      <c r="N465" s="107"/>
      <c r="O465" s="107"/>
      <c r="P465" s="107"/>
      <c r="Q465" s="107"/>
      <c r="R465" s="107"/>
      <c r="S465" s="107"/>
      <c r="T465" s="465" cm="1" t="str">
        <f t="array" ref="T465:T465">T464</f>
        <v>true</v>
      </c>
      <c r="U465" s="107"/>
      <c r="V465" s="107"/>
      <c r="W465" s="107"/>
      <c r="X465" s="1596"/>
      <c r="Y465" s="1278"/>
      <c r="Z465" s="1546"/>
      <c r="AA465" s="1278"/>
      <c r="AB465" s="300" t="s">
        <v>2643</v>
      </c>
      <c r="AC465" s="768" t="s">
        <v>2441</v>
      </c>
      <c r="AD465" s="766" t="s">
        <v>1514</v>
      </c>
      <c r="AE465" s="1743">
        <f>_xlfn.SUMIFS('Сырье и материалы'!AE$25:AE$162,'Сырье и материалы'!$F$25:$F$162,$F465,'Сырье и материалы'!$I$25:$I$162,"Материалы")</f>
        <v>0</v>
      </c>
      <c r="AF465" s="1743">
        <f>_xlfn.SUMIFS('Сырье и материалы'!AF$25:AF$162,'Сырье и материалы'!$F$25:$F$162,$F465,'Сырье и материалы'!$I$25:$I$162,"Материалы")</f>
        <v>0</v>
      </c>
      <c r="AG465" s="1743">
        <f>_xlfn.SUMIFS('Сырье и материалы'!AG$25:AG$162,'Сырье и материалы'!$F$25:$F$162,$F465,'Сырье и материалы'!$I$25:$I$162,"Материалы")</f>
        <v>0</v>
      </c>
      <c r="AH465" s="1114">
        <f>AG465-AF465</f>
        <v>0</v>
      </c>
      <c r="AI465" s="1743">
        <f>_xlfn.SUMIFS('Сырье и материалы'!AH$25:AH$162,'Сырье и материалы'!$F$25:$F$162,$F465,'Сырье и материалы'!$I$25:$I$162,"Материалы")</f>
        <v>0</v>
      </c>
      <c r="AJ465" s="1743">
        <f>_xlfn.SUMIFS('Сырье и материалы'!AI$25:AI$162,'Сырье и материалы'!$F$25:$F$162,$F465,'Сырье и материалы'!$I$25:$I$162,"Материалы")</f>
        <v>1070.481606</v>
      </c>
      <c r="AK465" s="1115"/>
      <c r="AL465" s="1115"/>
      <c r="AM465" s="1115"/>
      <c r="AN465" s="1115"/>
      <c r="AO465" s="1115"/>
      <c r="AP465" s="1115"/>
      <c r="AQ465" s="1115"/>
      <c r="AR465" s="1115"/>
      <c r="AS465" s="1115"/>
      <c r="AT465" s="1743">
        <f>_xlfn.SUMIFS('Сырье и материалы'!AS$25:AS$162,'Сырье и материалы'!$F$25:$F$162,$F465,'Сырье и материалы'!$I$25:$I$162,"Материалы")</f>
        <v>1070.481606</v>
      </c>
      <c r="AU465" s="1115"/>
      <c r="AV465" s="1115"/>
      <c r="AW465" s="1115"/>
      <c r="AX465" s="1115"/>
      <c r="AY465" s="1115"/>
      <c r="AZ465" s="1115"/>
      <c r="BA465" s="1115"/>
      <c r="BB465" s="1115"/>
      <c r="BC465" s="1115"/>
      <c r="BD465" s="1114">
        <f>IF(AI465=0,0,(AT465-AI465)/AI465*100)</f>
        <v>0</v>
      </c>
      <c r="BE465" s="1115"/>
      <c r="BF465" s="1115"/>
      <c r="BG465" s="1115"/>
      <c r="BH465" s="1115"/>
      <c r="BI465" s="1115"/>
      <c r="BJ465" s="1115"/>
      <c r="BK465" s="1115"/>
      <c r="BL465" s="1115"/>
      <c r="BM465" s="1115"/>
      <c r="BN465" s="7433"/>
      <c r="BO465" s="7433" t="s">
        <v>2937</v>
      </c>
      <c r="BP465" s="7433"/>
      <c r="BQ465" s="1278"/>
      <c r="BR465" s="1278"/>
      <c r="BS465" s="1062" t="s">
        <v>2442</v>
      </c>
      <c r="BT465" s="1064"/>
      <c r="BU465" s="1064"/>
      <c r="BV465" s="979"/>
      <c r="BW465" s="979"/>
    </row>
    <row s="1834" customFormat="1" customHeight="1" ht="54.75">
      <c r="A466" s="1278"/>
      <c r="B466" s="978"/>
      <c r="C466" s="107"/>
      <c r="D466" s="107"/>
      <c r="E466" s="621">
        <v>22.5</v>
      </c>
      <c r="F466" s="50" cm="1" t="str">
        <f t="array" ref="F466:F466">OFFSET(E466,-1,1)</f>
        <v>3</v>
      </c>
      <c r="G466" s="107"/>
      <c r="H466" s="857"/>
      <c r="I466" s="857" t="s">
        <v>2071</v>
      </c>
      <c r="J466" s="107"/>
      <c r="K466" s="378" t="s">
        <v>2071</v>
      </c>
      <c r="L466" s="980" t="s">
        <v>1182</v>
      </c>
      <c r="M466" s="107"/>
      <c r="N466" s="107"/>
      <c r="O466" s="107"/>
      <c r="P466" s="107"/>
      <c r="Q466" s="107"/>
      <c r="R466" s="107"/>
      <c r="S466" s="107"/>
      <c r="T466" s="465" cm="1" t="str">
        <f t="array" ref="T466:T466">T465</f>
        <v>true</v>
      </c>
      <c r="U466" s="107"/>
      <c r="V466" s="107"/>
      <c r="W466" s="107"/>
      <c r="X466" s="1596"/>
      <c r="Y466" s="1278"/>
      <c r="Z466" s="1546"/>
      <c r="AA466" s="1278"/>
      <c r="AB466" s="300" t="s">
        <v>2072</v>
      </c>
      <c r="AC466" s="765" t="s">
        <v>2644</v>
      </c>
      <c r="AD466" s="766" t="s">
        <v>1514</v>
      </c>
      <c r="AE466" s="3946"/>
      <c r="AF466" s="3946"/>
      <c r="AG466" s="3946"/>
      <c r="AH466" s="1114">
        <f>AG466-AF466</f>
        <v>0</v>
      </c>
      <c r="AI466" s="3946"/>
      <c r="AJ466" s="3946">
        <v>237.7532</v>
      </c>
      <c r="AK466" s="1115"/>
      <c r="AL466" s="1115"/>
      <c r="AM466" s="1115"/>
      <c r="AN466" s="1115"/>
      <c r="AO466" s="1115"/>
      <c r="AP466" s="1115"/>
      <c r="AQ466" s="1115"/>
      <c r="AR466" s="1115"/>
      <c r="AS466" s="1115"/>
      <c r="AT466" s="3946">
        <f>204.50595+33.24725</f>
        <v>237.7532</v>
      </c>
      <c r="AU466" s="1115"/>
      <c r="AV466" s="1115"/>
      <c r="AW466" s="1115"/>
      <c r="AX466" s="1115"/>
      <c r="AY466" s="1115"/>
      <c r="AZ466" s="1115"/>
      <c r="BA466" s="1115"/>
      <c r="BB466" s="1115"/>
      <c r="BC466" s="1115"/>
      <c r="BD466" s="1114">
        <f>IF(AI466=0,0,(AT466-AI466)/AI466*100)</f>
        <v>0</v>
      </c>
      <c r="BE466" s="1115"/>
      <c r="BF466" s="1115"/>
      <c r="BG466" s="1115"/>
      <c r="BH466" s="1115"/>
      <c r="BI466" s="1115"/>
      <c r="BJ466" s="1115"/>
      <c r="BK466" s="1115"/>
      <c r="BL466" s="1115"/>
      <c r="BM466" s="1115"/>
      <c r="BN466" s="7433"/>
      <c r="BO466" s="7433" t="s">
        <v>2938</v>
      </c>
      <c r="BP466" s="7433"/>
      <c r="BQ466" s="1278"/>
      <c r="BR466" s="1278"/>
      <c r="BS466" s="1063" t="s">
        <v>2467</v>
      </c>
      <c r="BT466" s="1064"/>
      <c r="BU466" s="1064"/>
      <c r="BV466" s="979"/>
      <c r="BW466" s="979"/>
    </row>
    <row s="1834" customFormat="1" customHeight="1" ht="33.75">
      <c r="A467" s="1278"/>
      <c r="B467" s="978"/>
      <c r="C467" s="107"/>
      <c r="D467" s="107"/>
      <c r="E467" s="621">
        <v>22.5</v>
      </c>
      <c r="F467" s="50" cm="1" t="str">
        <f t="array" ref="F467:F467">OFFSET(E467,-1,1)</f>
        <v>3</v>
      </c>
      <c r="G467" s="107"/>
      <c r="H467" s="857"/>
      <c r="I467" s="857" t="s">
        <v>2075</v>
      </c>
      <c r="J467" s="107"/>
      <c r="K467" s="378" t="s">
        <v>2075</v>
      </c>
      <c r="L467" s="980" t="s">
        <v>1186</v>
      </c>
      <c r="M467" s="107"/>
      <c r="N467" s="107"/>
      <c r="O467" s="107"/>
      <c r="P467" s="107"/>
      <c r="Q467" s="107"/>
      <c r="R467" s="107"/>
      <c r="S467" s="107"/>
      <c r="T467" s="465" cm="1" t="str">
        <f t="array" ref="T467:T467">T466</f>
        <v>true</v>
      </c>
      <c r="U467" s="107"/>
      <c r="V467" s="107"/>
      <c r="W467" s="107"/>
      <c r="X467" s="1596"/>
      <c r="Y467" s="1278"/>
      <c r="Z467" s="1546"/>
      <c r="AA467" s="1278"/>
      <c r="AB467" s="300" t="s">
        <v>2076</v>
      </c>
      <c r="AC467" s="765" t="s">
        <v>2645</v>
      </c>
      <c r="AD467" s="766" t="s">
        <v>1514</v>
      </c>
      <c r="AE467" s="1116">
        <f>AE468+AE469</f>
        <v>0</v>
      </c>
      <c r="AF467" s="1116">
        <f>AF468+AF469</f>
        <v>0</v>
      </c>
      <c r="AG467" s="1116">
        <f>AG468+AG469</f>
        <v>0</v>
      </c>
      <c r="AH467" s="1114">
        <f>AG467-AF467</f>
        <v>0</v>
      </c>
      <c r="AI467" s="1116">
        <f>AI468+AI469</f>
        <v>0</v>
      </c>
      <c r="AJ467" s="1116">
        <f>AJ468+AJ469</f>
        <v>83165.9009010769</v>
      </c>
      <c r="AK467" s="1115"/>
      <c r="AL467" s="1115"/>
      <c r="AM467" s="1115"/>
      <c r="AN467" s="1115"/>
      <c r="AO467" s="1115"/>
      <c r="AP467" s="1115"/>
      <c r="AQ467" s="1115"/>
      <c r="AR467" s="1115"/>
      <c r="AS467" s="1115"/>
      <c r="AT467" s="1116">
        <f>AT468+AT469</f>
        <v>83165.9009010769</v>
      </c>
      <c r="AU467" s="1115"/>
      <c r="AV467" s="1115"/>
      <c r="AW467" s="1115"/>
      <c r="AX467" s="1115"/>
      <c r="AY467" s="1115"/>
      <c r="AZ467" s="1115"/>
      <c r="BA467" s="1115"/>
      <c r="BB467" s="1115"/>
      <c r="BC467" s="1115"/>
      <c r="BD467" s="1114">
        <f>IF(AI467=0,0,(AT467-AI467)/AI467*100)</f>
        <v>0</v>
      </c>
      <c r="BE467" s="1115"/>
      <c r="BF467" s="1115"/>
      <c r="BG467" s="1115"/>
      <c r="BH467" s="1115"/>
      <c r="BI467" s="1115"/>
      <c r="BJ467" s="1115"/>
      <c r="BK467" s="1115"/>
      <c r="BL467" s="1115"/>
      <c r="BM467" s="1115"/>
      <c r="BN467" s="7433"/>
      <c r="BO467" s="7433" t="s">
        <v>2919</v>
      </c>
      <c r="BP467" s="7433"/>
      <c r="BQ467" s="1278"/>
      <c r="BR467" s="1278"/>
      <c r="BS467" s="1063" t="s">
        <v>2646</v>
      </c>
      <c r="BT467" s="1064"/>
      <c r="BU467" s="1064"/>
      <c r="BV467" s="979"/>
      <c r="BW467" s="979"/>
    </row>
    <row s="1834" customFormat="1" customHeight="1" ht="23.25">
      <c r="A468" s="1278"/>
      <c r="B468" s="978"/>
      <c r="C468" s="107"/>
      <c r="D468" s="107"/>
      <c r="E468" s="621">
        <v>15</v>
      </c>
      <c r="F468" s="50" cm="1" t="str">
        <f t="array" ref="F468:F468">OFFSET(E468,-1,1)</f>
        <v>3</v>
      </c>
      <c r="G468" s="374" t="s">
        <v>1866</v>
      </c>
      <c r="H468" s="857"/>
      <c r="I468" s="857" t="s">
        <v>2220</v>
      </c>
      <c r="J468" s="107"/>
      <c r="K468" s="378" t="s">
        <v>2220</v>
      </c>
      <c r="L468" s="980" t="s">
        <v>2095</v>
      </c>
      <c r="M468" s="107"/>
      <c r="N468" s="107"/>
      <c r="O468" s="107"/>
      <c r="P468" s="107"/>
      <c r="Q468" s="107"/>
      <c r="R468" s="107"/>
      <c r="S468" s="107"/>
      <c r="T468" s="465" cm="1" t="str">
        <f t="array" ref="T468:T468">T467</f>
        <v>true</v>
      </c>
      <c r="U468" s="107"/>
      <c r="V468" s="107"/>
      <c r="W468" s="107"/>
      <c r="X468" s="1596"/>
      <c r="Y468" s="1278"/>
      <c r="Z468" s="1546"/>
      <c r="AA468" s="1278"/>
      <c r="AB468" s="300" t="s">
        <v>2647</v>
      </c>
      <c r="AC468" s="768" t="s">
        <v>2470</v>
      </c>
      <c r="AD468" s="766" t="s">
        <v>1514</v>
      </c>
      <c r="AE468" s="1114">
        <f>_xlfn.SUMIFS(ФОТ!AE$25:AE$188,ФОТ!$F$25:$F$188,$F468,ФОТ!$G$25:$G$188,$G468)</f>
        <v>0</v>
      </c>
      <c r="AF468" s="1114">
        <f>_xlfn.SUMIFS(ФОТ!AF$25:AF$188,ФОТ!$F$25:$F$188,$F468,ФОТ!$G$25:$G$188,$G468)</f>
        <v>0</v>
      </c>
      <c r="AG468" s="1114">
        <f>_xlfn.SUMIFS(ФОТ!AG$25:AG$188,ФОТ!$F$25:$F$188,$F468,ФОТ!$G$25:$G$188,$G468)</f>
        <v>0</v>
      </c>
      <c r="AH468" s="1114">
        <f>AG468-AF468</f>
        <v>0</v>
      </c>
      <c r="AI468" s="1114">
        <f>_xlfn.SUMIFS(ФОТ!AH$25:AH$188,ФОТ!$F$25:$F$188,$F468,ФОТ!$G$25:$G$188,$G468)</f>
        <v>0</v>
      </c>
      <c r="AJ468" s="1114">
        <f>_xlfn.SUMIFS(ФОТ!AI$25:AI$188,ФОТ!$F$25:$F$188,$F468,ФОТ!$G$25:$G$188,$G468)</f>
        <v>63875.4999240222</v>
      </c>
      <c r="AK468" s="1115"/>
      <c r="AL468" s="1115"/>
      <c r="AM468" s="1115"/>
      <c r="AN468" s="1115"/>
      <c r="AO468" s="1115"/>
      <c r="AP468" s="1115"/>
      <c r="AQ468" s="1115"/>
      <c r="AR468" s="1115"/>
      <c r="AS468" s="1115"/>
      <c r="AT468" s="1114">
        <f>_xlfn.SUMIFS(ФОТ!AJ$25:AJ$188,ФОТ!$F$25:$F$188,$F468,ФОТ!$G$25:$G$188,$G468)</f>
        <v>63875.4999240222</v>
      </c>
      <c r="AU468" s="1115"/>
      <c r="AV468" s="1115"/>
      <c r="AW468" s="1115"/>
      <c r="AX468" s="1115"/>
      <c r="AY468" s="1115"/>
      <c r="AZ468" s="1115"/>
      <c r="BA468" s="1115"/>
      <c r="BB468" s="1115"/>
      <c r="BC468" s="1115"/>
      <c r="BD468" s="1114">
        <f>IF(AI468=0,0,(AT468-AI468)/AI468*100)</f>
        <v>0</v>
      </c>
      <c r="BE468" s="1115"/>
      <c r="BF468" s="1115"/>
      <c r="BG468" s="1115"/>
      <c r="BH468" s="1115"/>
      <c r="BI468" s="1115"/>
      <c r="BJ468" s="1115"/>
      <c r="BK468" s="1115"/>
      <c r="BL468" s="1115"/>
      <c r="BM468" s="1115"/>
      <c r="BN468" s="7433"/>
      <c r="BO468" s="7437" t="s">
        <v>2920</v>
      </c>
      <c r="BP468" s="7433"/>
      <c r="BQ468" s="1278"/>
      <c r="BR468" s="1278"/>
      <c r="BS468" s="1062" t="s">
        <v>2471</v>
      </c>
      <c r="BT468" s="1064"/>
      <c r="BU468" s="1064"/>
      <c r="BV468" s="979"/>
      <c r="BW468" s="979"/>
    </row>
    <row s="1834" customFormat="1" customHeight="1" ht="33.75">
      <c r="A469" s="1278"/>
      <c r="B469" s="978"/>
      <c r="C469" s="107"/>
      <c r="D469" s="107"/>
      <c r="E469" s="621">
        <v>22.5</v>
      </c>
      <c r="F469" s="50" cm="1" t="str">
        <f t="array" ref="F469:F469">OFFSET(E469,-1,1)</f>
        <v>3</v>
      </c>
      <c r="G469" s="374" t="s">
        <v>1878</v>
      </c>
      <c r="H469" s="857"/>
      <c r="I469" s="857" t="s">
        <v>2224</v>
      </c>
      <c r="J469" s="107"/>
      <c r="K469" s="378" t="s">
        <v>2224</v>
      </c>
      <c r="L469" s="980" t="s">
        <v>2096</v>
      </c>
      <c r="M469" s="107"/>
      <c r="N469" s="107"/>
      <c r="O469" s="107"/>
      <c r="P469" s="107"/>
      <c r="Q469" s="107"/>
      <c r="R469" s="107"/>
      <c r="S469" s="107"/>
      <c r="T469" s="465" cm="1" t="str">
        <f t="array" ref="T469:T469">T468</f>
        <v>true</v>
      </c>
      <c r="U469" s="107"/>
      <c r="V469" s="107"/>
      <c r="W469" s="107"/>
      <c r="X469" s="1596"/>
      <c r="Y469" s="1278"/>
      <c r="Z469" s="1546"/>
      <c r="AA469" s="1278"/>
      <c r="AB469" s="300" t="s">
        <v>2648</v>
      </c>
      <c r="AC469" s="768" t="s">
        <v>2649</v>
      </c>
      <c r="AD469" s="766" t="s">
        <v>1514</v>
      </c>
      <c r="AE469" s="1114">
        <f>_xlfn.SUMIFS(ФОТ!AE$25:AE$188,ФОТ!$F$25:$F$188,$F469,ФОТ!$G$25:$G$188,$G469)</f>
        <v>0</v>
      </c>
      <c r="AF469" s="1114">
        <f>_xlfn.SUMIFS(ФОТ!AF$25:AF$188,ФОТ!$F$25:$F$188,$F469,ФОТ!$G$25:$G$188,$G469)</f>
        <v>0</v>
      </c>
      <c r="AG469" s="1114">
        <f>_xlfn.SUMIFS(ФОТ!AG$25:AG$188,ФОТ!$F$25:$F$188,$F469,ФОТ!$G$25:$G$188,$G469)</f>
        <v>0</v>
      </c>
      <c r="AH469" s="1114">
        <f>AG469-AF469</f>
        <v>0</v>
      </c>
      <c r="AI469" s="1114">
        <f>_xlfn.SUMIFS(ФОТ!AH$25:AH$188,ФОТ!$F$25:$F$188,$F469,ФОТ!$G$25:$G$188,$G469)</f>
        <v>0</v>
      </c>
      <c r="AJ469" s="1114">
        <f>_xlfn.SUMIFS(ФОТ!AI$25:AI$188,ФОТ!$F$25:$F$188,$F469,ФОТ!$G$25:$G$188,$G469)</f>
        <v>19290.4009770547</v>
      </c>
      <c r="AK469" s="1115"/>
      <c r="AL469" s="1115"/>
      <c r="AM469" s="1115"/>
      <c r="AN469" s="1115"/>
      <c r="AO469" s="1115"/>
      <c r="AP469" s="1115"/>
      <c r="AQ469" s="1115"/>
      <c r="AR469" s="1115"/>
      <c r="AS469" s="1115"/>
      <c r="AT469" s="1114">
        <f>_xlfn.SUMIFS(ФОТ!AJ$25:AJ$188,ФОТ!$F$25:$F$188,$F469,ФОТ!$G$25:$G$188,$G469)</f>
        <v>19290.4009770547</v>
      </c>
      <c r="AU469" s="1115"/>
      <c r="AV469" s="1115"/>
      <c r="AW469" s="1115"/>
      <c r="AX469" s="1115"/>
      <c r="AY469" s="1115"/>
      <c r="AZ469" s="1115"/>
      <c r="BA469" s="1115"/>
      <c r="BB469" s="1115"/>
      <c r="BC469" s="1115"/>
      <c r="BD469" s="1114">
        <f>IF(AI469=0,0,(AT469-AI469)/AI469*100)</f>
        <v>0</v>
      </c>
      <c r="BE469" s="1115"/>
      <c r="BF469" s="1115"/>
      <c r="BG469" s="1115"/>
      <c r="BH469" s="1115"/>
      <c r="BI469" s="1115"/>
      <c r="BJ469" s="1115"/>
      <c r="BK469" s="1115"/>
      <c r="BL469" s="1115"/>
      <c r="BM469" s="1115"/>
      <c r="BN469" s="7433"/>
      <c r="BO469" s="7437" t="str">
        <f>IF(_xlfn.IFERROR(INDEX(ФОТ!$K$26:$L$188,MATCH($F469&amp;"2komm",ФОТ!$K$26:$K$188,0),2),"")=0,"",_xlfn.IFERROR(INDEX(ФОТ!$K$26:$L$188,MATCH($F469&amp;"2komm",ФОТ!$K$26:$K$188,0),2),""))</f>
        <v>на основании Налогового кодекса РФ (часть вторая) от 05.08.2000 № 117-ФЗ в размере 30%, а также в соответствии с Федеральным законом от 24.07.1998 № 125 – ФЗ (0,20%).</v>
      </c>
      <c r="BP469" s="7433"/>
      <c r="BQ469" s="1278"/>
      <c r="BR469" s="1278"/>
      <c r="BS469" s="1062" t="s">
        <v>2473</v>
      </c>
      <c r="BT469" s="1064"/>
      <c r="BU469" s="1064"/>
      <c r="BV469" s="979"/>
      <c r="BW469" s="979"/>
    </row>
    <row s="1834" customFormat="1" customHeight="1" ht="14.25">
      <c r="A470" s="1278"/>
      <c r="B470" s="978"/>
      <c r="C470" s="107"/>
      <c r="D470" s="107"/>
      <c r="E470" s="621">
        <v>15</v>
      </c>
      <c r="F470" s="50" cm="1" t="str">
        <f t="array" ref="F470:F470">OFFSET(E470,-1,1)</f>
        <v>3</v>
      </c>
      <c r="G470" s="107"/>
      <c r="H470" s="857"/>
      <c r="I470" s="857" t="s">
        <v>2235</v>
      </c>
      <c r="J470" s="107"/>
      <c r="K470" s="378" t="s">
        <v>2235</v>
      </c>
      <c r="L470" s="980" t="s">
        <v>2475</v>
      </c>
      <c r="M470" s="107"/>
      <c r="N470" s="107"/>
      <c r="O470" s="107"/>
      <c r="P470" s="107"/>
      <c r="Q470" s="107"/>
      <c r="R470" s="107"/>
      <c r="S470" s="107"/>
      <c r="T470" s="465" cm="1" t="str">
        <f t="array" ref="T470:T470">T469</f>
        <v>true</v>
      </c>
      <c r="U470" s="107"/>
      <c r="V470" s="107"/>
      <c r="W470" s="107"/>
      <c r="X470" s="1596"/>
      <c r="Y470" s="1278"/>
      <c r="Z470" s="1546"/>
      <c r="AA470" s="1278"/>
      <c r="AB470" s="300" t="s">
        <v>2449</v>
      </c>
      <c r="AC470" s="765" t="s">
        <v>2650</v>
      </c>
      <c r="AD470" s="766" t="s">
        <v>1514</v>
      </c>
      <c r="AE470" s="3946"/>
      <c r="AF470" s="3946"/>
      <c r="AG470" s="3946"/>
      <c r="AH470" s="1114">
        <f>AG470-AF470</f>
        <v>0</v>
      </c>
      <c r="AI470" s="3946"/>
      <c r="AJ470" s="3946"/>
      <c r="AK470" s="1115"/>
      <c r="AL470" s="1115"/>
      <c r="AM470" s="1115"/>
      <c r="AN470" s="1115"/>
      <c r="AO470" s="1115"/>
      <c r="AP470" s="1115"/>
      <c r="AQ470" s="1115"/>
      <c r="AR470" s="1115"/>
      <c r="AS470" s="1115"/>
      <c r="AT470" s="3946"/>
      <c r="AU470" s="1115"/>
      <c r="AV470" s="1115"/>
      <c r="AW470" s="1115"/>
      <c r="AX470" s="1115"/>
      <c r="AY470" s="1115"/>
      <c r="AZ470" s="1115"/>
      <c r="BA470" s="1115"/>
      <c r="BB470" s="1115"/>
      <c r="BC470" s="1115"/>
      <c r="BD470" s="1114">
        <f>IF(AI470=0,0,(AT470-AI470)/AI470*100)</f>
        <v>0</v>
      </c>
      <c r="BE470" s="1115"/>
      <c r="BF470" s="1115"/>
      <c r="BG470" s="1115"/>
      <c r="BH470" s="1115"/>
      <c r="BI470" s="1115"/>
      <c r="BJ470" s="1115"/>
      <c r="BK470" s="1115"/>
      <c r="BL470" s="1115"/>
      <c r="BM470" s="1115"/>
      <c r="BN470" s="7433"/>
      <c r="BO470" s="7433"/>
      <c r="BP470" s="7433"/>
      <c r="BQ470" s="1278"/>
      <c r="BR470" s="1278"/>
      <c r="BS470" s="1063" t="s">
        <v>2478</v>
      </c>
      <c r="BT470" s="1064"/>
      <c r="BU470" s="1064"/>
      <c r="BV470" s="979"/>
      <c r="BW470" s="979"/>
    </row>
    <row s="1834" customFormat="1" customHeight="1" ht="14.25">
      <c r="A471" s="1278"/>
      <c r="B471" s="978"/>
      <c r="C471" s="107"/>
      <c r="D471" s="107"/>
      <c r="E471" s="621">
        <v>15</v>
      </c>
      <c r="F471" s="50" cm="1" t="str">
        <f t="array" ref="F471:F471">OFFSET(E471,-1,1)</f>
        <v>3</v>
      </c>
      <c r="G471" s="107"/>
      <c r="H471" s="857"/>
      <c r="I471" s="857" t="s">
        <v>2239</v>
      </c>
      <c r="J471" s="107"/>
      <c r="K471" s="378" t="s">
        <v>2239</v>
      </c>
      <c r="L471" s="980" t="s">
        <v>2479</v>
      </c>
      <c r="M471" s="1278"/>
      <c r="N471" s="107"/>
      <c r="O471" s="107"/>
      <c r="P471" s="107"/>
      <c r="Q471" s="107"/>
      <c r="R471" s="107"/>
      <c r="S471" s="107"/>
      <c r="T471" s="465" cm="1" t="str">
        <f t="array" ref="T471:T471">T470</f>
        <v>true</v>
      </c>
      <c r="U471" s="107"/>
      <c r="V471" s="107"/>
      <c r="W471" s="107"/>
      <c r="X471" s="1596"/>
      <c r="Y471" s="1278"/>
      <c r="Z471" s="1546"/>
      <c r="AA471" s="1278"/>
      <c r="AB471" s="300" t="s">
        <v>2451</v>
      </c>
      <c r="AC471" s="765" t="s">
        <v>2651</v>
      </c>
      <c r="AD471" s="300" t="s">
        <v>1514</v>
      </c>
      <c r="AE471" s="1116">
        <f>SUM(AE472:AE478)</f>
        <v>0</v>
      </c>
      <c r="AF471" s="1116">
        <f>SUM(AF472:AF478)</f>
        <v>0</v>
      </c>
      <c r="AG471" s="1116">
        <f>SUM(AG472:AG478)</f>
        <v>0</v>
      </c>
      <c r="AH471" s="1114">
        <f>AG471-AF471</f>
        <v>0</v>
      </c>
      <c r="AI471" s="1116">
        <f>SUM(AI472:AI478)</f>
        <v>0</v>
      </c>
      <c r="AJ471" s="1116">
        <f>SUM(AJ472:AJ478)</f>
        <v>4850.406752</v>
      </c>
      <c r="AK471" s="1115"/>
      <c r="AL471" s="1115"/>
      <c r="AM471" s="1115"/>
      <c r="AN471" s="1115"/>
      <c r="AO471" s="1115"/>
      <c r="AP471" s="1115"/>
      <c r="AQ471" s="1115"/>
      <c r="AR471" s="1115"/>
      <c r="AS471" s="1115"/>
      <c r="AT471" s="1116">
        <f>SUM(AT472:AT478)</f>
        <v>4850.406752</v>
      </c>
      <c r="AU471" s="1115"/>
      <c r="AV471" s="1115"/>
      <c r="AW471" s="1115"/>
      <c r="AX471" s="1115"/>
      <c r="AY471" s="1115"/>
      <c r="AZ471" s="1115"/>
      <c r="BA471" s="1115"/>
      <c r="BB471" s="1115"/>
      <c r="BC471" s="1115"/>
      <c r="BD471" s="1114">
        <f>IF(AI471=0,0,(AT471-AI471)/AI471*100)</f>
        <v>0</v>
      </c>
      <c r="BE471" s="1115"/>
      <c r="BF471" s="1115"/>
      <c r="BG471" s="1115"/>
      <c r="BH471" s="1115"/>
      <c r="BI471" s="1115"/>
      <c r="BJ471" s="1115"/>
      <c r="BK471" s="1115"/>
      <c r="BL471" s="1115"/>
      <c r="BM471" s="1115"/>
      <c r="BN471" s="7433"/>
      <c r="BO471" s="7433"/>
      <c r="BP471" s="7433"/>
      <c r="BQ471" s="1278"/>
      <c r="BR471" s="1278"/>
      <c r="BS471" s="1063" t="s">
        <v>2652</v>
      </c>
      <c r="BT471" s="1064"/>
      <c r="BU471" s="1064"/>
      <c r="BV471" s="979"/>
      <c r="BW471" s="979"/>
    </row>
    <row s="1834" customFormat="1" customHeight="1" ht="0">
      <c r="A472" s="1278"/>
      <c r="B472" s="978"/>
      <c r="C472" s="107"/>
      <c r="D472" s="107"/>
      <c r="E472" s="621">
        <v>15</v>
      </c>
      <c r="F472" s="50" cm="1" t="str">
        <f t="array" ref="F472:F472">OFFSET(E472,-1,1)</f>
        <v>3</v>
      </c>
      <c r="G472" s="107"/>
      <c r="H472" s="857"/>
      <c r="I472" s="857" t="s">
        <v>2653</v>
      </c>
      <c r="J472" s="107"/>
      <c r="K472" s="378" t="s">
        <v>2653</v>
      </c>
      <c r="L472" s="980" t="s">
        <v>2479</v>
      </c>
      <c r="M472" s="107" t="s">
        <v>2487</v>
      </c>
      <c r="N472" s="107"/>
      <c r="O472" s="107"/>
      <c r="P472" s="107"/>
      <c r="Q472" s="107"/>
      <c r="R472" s="107"/>
      <c r="S472" s="107"/>
      <c r="T472" s="465" cm="1" t="str">
        <f t="array" ref="T472:T472">T471</f>
        <v>true</v>
      </c>
      <c r="U472" s="107"/>
      <c r="V472" s="107"/>
      <c r="W472" s="107"/>
      <c r="X472" s="1596"/>
      <c r="Y472" s="1278"/>
      <c r="Z472" s="1546"/>
      <c r="AA472" s="1278"/>
      <c r="AB472" s="300" t="s">
        <v>2654</v>
      </c>
      <c r="AC472" s="768" t="s">
        <v>2655</v>
      </c>
      <c r="AD472" s="300" t="s">
        <v>1514</v>
      </c>
      <c r="AE472" s="3946"/>
      <c r="AF472" s="3946"/>
      <c r="AG472" s="3946"/>
      <c r="AH472" s="1114">
        <f>AG472-AF472</f>
        <v>0</v>
      </c>
      <c r="AI472" s="3946"/>
      <c r="AJ472" s="3946"/>
      <c r="AK472" s="1115"/>
      <c r="AL472" s="1115"/>
      <c r="AM472" s="1115"/>
      <c r="AN472" s="1115"/>
      <c r="AO472" s="1115"/>
      <c r="AP472" s="1115"/>
      <c r="AQ472" s="1115"/>
      <c r="AR472" s="1115"/>
      <c r="AS472" s="1115"/>
      <c r="AT472" s="3946"/>
      <c r="AU472" s="1115"/>
      <c r="AV472" s="1115"/>
      <c r="AW472" s="1115"/>
      <c r="AX472" s="1115"/>
      <c r="AY472" s="1115"/>
      <c r="AZ472" s="1115"/>
      <c r="BA472" s="1115"/>
      <c r="BB472" s="1115"/>
      <c r="BC472" s="1115"/>
      <c r="BD472" s="1114">
        <f>IF(AI472=0,0,(AT472-AI472)/AI472*100)</f>
        <v>0</v>
      </c>
      <c r="BE472" s="1115"/>
      <c r="BF472" s="1115"/>
      <c r="BG472" s="1115"/>
      <c r="BH472" s="1115"/>
      <c r="BI472" s="1115"/>
      <c r="BJ472" s="1115"/>
      <c r="BK472" s="1115"/>
      <c r="BL472" s="1115"/>
      <c r="BM472" s="1115"/>
      <c r="BN472" s="7433"/>
      <c r="BO472" s="7433"/>
      <c r="BP472" s="7433"/>
      <c r="BQ472" s="1278"/>
      <c r="BR472" s="1278"/>
      <c r="BS472" s="1062" t="s">
        <v>2490</v>
      </c>
      <c r="BT472" s="1064"/>
      <c r="BU472" s="1064"/>
      <c r="BV472" s="979"/>
      <c r="BW472" s="979"/>
    </row>
    <row s="1834" customFormat="1" customHeight="1" ht="0">
      <c r="A473" s="1278"/>
      <c r="B473" s="978"/>
      <c r="C473" s="107"/>
      <c r="D473" s="107"/>
      <c r="E473" s="621">
        <v>22.5</v>
      </c>
      <c r="F473" s="50" cm="1" t="str">
        <f t="array" ref="F473:F473">OFFSET(E473,-1,1)</f>
        <v>3</v>
      </c>
      <c r="G473" s="107"/>
      <c r="H473" s="857"/>
      <c r="I473" s="857" t="s">
        <v>2656</v>
      </c>
      <c r="J473" s="107"/>
      <c r="K473" s="378" t="s">
        <v>2656</v>
      </c>
      <c r="L473" s="980" t="s">
        <v>2479</v>
      </c>
      <c r="M473" s="107" t="s">
        <v>2483</v>
      </c>
      <c r="N473" s="107"/>
      <c r="O473" s="107"/>
      <c r="P473" s="107"/>
      <c r="Q473" s="107"/>
      <c r="R473" s="107"/>
      <c r="S473" s="107"/>
      <c r="T473" s="465" cm="1" t="str">
        <f t="array" ref="T473:T473">T472</f>
        <v>true</v>
      </c>
      <c r="U473" s="107"/>
      <c r="V473" s="107"/>
      <c r="W473" s="107"/>
      <c r="X473" s="1596"/>
      <c r="Y473" s="1278"/>
      <c r="Z473" s="1546"/>
      <c r="AA473" s="1278"/>
      <c r="AB473" s="300" t="s">
        <v>2657</v>
      </c>
      <c r="AC473" s="768" t="s">
        <v>2658</v>
      </c>
      <c r="AD473" s="300" t="s">
        <v>1514</v>
      </c>
      <c r="AE473" s="3946"/>
      <c r="AF473" s="3946"/>
      <c r="AG473" s="3946"/>
      <c r="AH473" s="1114">
        <f>AG473-AF473</f>
        <v>0</v>
      </c>
      <c r="AI473" s="3946"/>
      <c r="AJ473" s="3946"/>
      <c r="AK473" s="1115"/>
      <c r="AL473" s="1115"/>
      <c r="AM473" s="1115"/>
      <c r="AN473" s="1115"/>
      <c r="AO473" s="1115"/>
      <c r="AP473" s="1115"/>
      <c r="AQ473" s="1115"/>
      <c r="AR473" s="1115"/>
      <c r="AS473" s="1115"/>
      <c r="AT473" s="3946"/>
      <c r="AU473" s="1115"/>
      <c r="AV473" s="1115"/>
      <c r="AW473" s="1115"/>
      <c r="AX473" s="1115"/>
      <c r="AY473" s="1115"/>
      <c r="AZ473" s="1115"/>
      <c r="BA473" s="1115"/>
      <c r="BB473" s="1115"/>
      <c r="BC473" s="1115"/>
      <c r="BD473" s="1114">
        <f>IF(AI473=0,0,(AT473-AI473)/AI473*100)</f>
        <v>0</v>
      </c>
      <c r="BE473" s="1115"/>
      <c r="BF473" s="1115"/>
      <c r="BG473" s="1115"/>
      <c r="BH473" s="1115"/>
      <c r="BI473" s="1115"/>
      <c r="BJ473" s="1115"/>
      <c r="BK473" s="1115"/>
      <c r="BL473" s="1115"/>
      <c r="BM473" s="1115"/>
      <c r="BN473" s="7433"/>
      <c r="BO473" s="7433"/>
      <c r="BP473" s="7433"/>
      <c r="BQ473" s="1278"/>
      <c r="BR473" s="1278"/>
      <c r="BS473" s="1064" t="s">
        <v>2659</v>
      </c>
      <c r="BT473" s="1064"/>
      <c r="BU473" s="1064"/>
      <c r="BV473" s="979"/>
      <c r="BW473" s="979"/>
    </row>
    <row s="1834" customFormat="1" customHeight="1" ht="264.75">
      <c r="A474" s="1278"/>
      <c r="B474" s="978"/>
      <c r="C474" s="107"/>
      <c r="D474" s="107"/>
      <c r="E474" s="621">
        <v>22.5</v>
      </c>
      <c r="F474" s="50" cm="1" t="str">
        <f t="array" ref="F474:F474">OFFSET(E474,-1,1)</f>
        <v>3</v>
      </c>
      <c r="G474" s="107"/>
      <c r="H474" s="857"/>
      <c r="I474" s="857" t="s">
        <v>2660</v>
      </c>
      <c r="J474" s="107"/>
      <c r="K474" s="378" t="s">
        <v>2660</v>
      </c>
      <c r="L474" s="1278"/>
      <c r="M474" s="1278"/>
      <c r="N474" s="107"/>
      <c r="O474" s="107"/>
      <c r="P474" s="107"/>
      <c r="Q474" s="107"/>
      <c r="R474" s="107"/>
      <c r="S474" s="107"/>
      <c r="T474" s="465" cm="1" t="str">
        <f t="array" ref="T474:T474">T473</f>
        <v>true</v>
      </c>
      <c r="U474" s="107"/>
      <c r="V474" s="107"/>
      <c r="W474" s="107"/>
      <c r="X474" s="1596"/>
      <c r="Y474" s="1278"/>
      <c r="Z474" s="1546"/>
      <c r="AA474" s="1278"/>
      <c r="AB474" s="300" t="s">
        <v>2661</v>
      </c>
      <c r="AC474" s="769" t="s">
        <v>2662</v>
      </c>
      <c r="AD474" s="300" t="s">
        <v>1514</v>
      </c>
      <c r="AE474" s="3946"/>
      <c r="AF474" s="3946"/>
      <c r="AG474" s="3946"/>
      <c r="AH474" s="1114">
        <f>AG474-AF474</f>
        <v>0</v>
      </c>
      <c r="AI474" s="3946"/>
      <c r="AJ474" s="3946">
        <v>1320.87998</v>
      </c>
      <c r="AK474" s="1115"/>
      <c r="AL474" s="1115"/>
      <c r="AM474" s="1115"/>
      <c r="AN474" s="1115"/>
      <c r="AO474" s="1115"/>
      <c r="AP474" s="1115"/>
      <c r="AQ474" s="1115"/>
      <c r="AR474" s="1115"/>
      <c r="AS474" s="1115"/>
      <c r="AT474" s="3946">
        <f>110.939+56.1234+40.5978+63.953+999.48+49.78678</f>
        <v>1320.87998</v>
      </c>
      <c r="AU474" s="1115"/>
      <c r="AV474" s="1115"/>
      <c r="AW474" s="1115"/>
      <c r="AX474" s="1115"/>
      <c r="AY474" s="1115"/>
      <c r="AZ474" s="1115"/>
      <c r="BA474" s="1115"/>
      <c r="BB474" s="1115"/>
      <c r="BC474" s="1115"/>
      <c r="BD474" s="1114">
        <f>IF(AI474=0,0,(AT474-AI474)/AI474*100)</f>
        <v>0</v>
      </c>
      <c r="BE474" s="1115"/>
      <c r="BF474" s="1115"/>
      <c r="BG474" s="1115"/>
      <c r="BH474" s="1115"/>
      <c r="BI474" s="1115"/>
      <c r="BJ474" s="1115"/>
      <c r="BK474" s="1115"/>
      <c r="BL474" s="1115"/>
      <c r="BM474" s="1115"/>
      <c r="BN474" s="7433"/>
      <c r="BO474" s="7433" t="s">
        <v>2939</v>
      </c>
      <c r="BP474" s="7433"/>
      <c r="BQ474" s="1278"/>
      <c r="BR474" s="1278"/>
      <c r="BS474" s="1064" t="s">
        <v>2663</v>
      </c>
      <c r="BT474" s="1064"/>
      <c r="BU474" s="1064"/>
      <c r="BV474" s="979"/>
      <c r="BW474" s="979"/>
    </row>
    <row s="1834" customFormat="1" customHeight="1" ht="21.75">
      <c r="A475" s="1278"/>
      <c r="B475" s="978"/>
      <c r="C475" s="107"/>
      <c r="D475" s="107"/>
      <c r="E475" s="621">
        <v>22.5</v>
      </c>
      <c r="F475" s="50" cm="1" t="str">
        <f t="array" ref="F475:F475">OFFSET(E475,-1,1)</f>
        <v>3</v>
      </c>
      <c r="G475" s="107"/>
      <c r="H475" s="857"/>
      <c r="I475" s="857" t="s">
        <v>2664</v>
      </c>
      <c r="J475" s="107"/>
      <c r="K475" s="378" t="s">
        <v>2664</v>
      </c>
      <c r="L475" s="980"/>
      <c r="M475" s="1278"/>
      <c r="N475" s="107"/>
      <c r="O475" s="107"/>
      <c r="P475" s="107"/>
      <c r="Q475" s="107"/>
      <c r="R475" s="107"/>
      <c r="S475" s="107"/>
      <c r="T475" s="465" cm="1" t="str">
        <f t="array" ref="T475:T475">T474</f>
        <v>true</v>
      </c>
      <c r="U475" s="107"/>
      <c r="V475" s="107"/>
      <c r="W475" s="107"/>
      <c r="X475" s="1596"/>
      <c r="Y475" s="1278"/>
      <c r="Z475" s="1546"/>
      <c r="AA475" s="1278"/>
      <c r="AB475" s="300" t="s">
        <v>2665</v>
      </c>
      <c r="AC475" s="769" t="s">
        <v>2666</v>
      </c>
      <c r="AD475" s="300" t="s">
        <v>1514</v>
      </c>
      <c r="AE475" s="3946"/>
      <c r="AF475" s="3946"/>
      <c r="AG475" s="3946"/>
      <c r="AH475" s="1114">
        <f>AG475-AF475</f>
        <v>0</v>
      </c>
      <c r="AI475" s="3946"/>
      <c r="AJ475" s="3946"/>
      <c r="AK475" s="1115"/>
      <c r="AL475" s="1115"/>
      <c r="AM475" s="1115"/>
      <c r="AN475" s="1115"/>
      <c r="AO475" s="1115"/>
      <c r="AP475" s="1115"/>
      <c r="AQ475" s="1115"/>
      <c r="AR475" s="1115"/>
      <c r="AS475" s="1115"/>
      <c r="AT475" s="3946"/>
      <c r="AU475" s="1115"/>
      <c r="AV475" s="1115"/>
      <c r="AW475" s="1115"/>
      <c r="AX475" s="1115"/>
      <c r="AY475" s="1115"/>
      <c r="AZ475" s="1115"/>
      <c r="BA475" s="1115"/>
      <c r="BB475" s="1115"/>
      <c r="BC475" s="1115"/>
      <c r="BD475" s="1114">
        <f>IF(AI475=0,0,(AT475-AI475)/AI475*100)</f>
        <v>0</v>
      </c>
      <c r="BE475" s="1115"/>
      <c r="BF475" s="1115"/>
      <c r="BG475" s="1115"/>
      <c r="BH475" s="1115"/>
      <c r="BI475" s="1115"/>
      <c r="BJ475" s="1115"/>
      <c r="BK475" s="1115"/>
      <c r="BL475" s="1115"/>
      <c r="BM475" s="1115"/>
      <c r="BN475" s="7433"/>
      <c r="BO475" s="7433"/>
      <c r="BP475" s="7433"/>
      <c r="BQ475" s="1278"/>
      <c r="BR475" s="1278"/>
      <c r="BS475" s="1064" t="s">
        <v>2667</v>
      </c>
      <c r="BT475" s="1064"/>
      <c r="BU475" s="1064"/>
      <c r="BV475" s="979"/>
      <c r="BW475" s="979"/>
    </row>
    <row s="1834" customFormat="1" customHeight="1" ht="65.25">
      <c r="A476" s="1278"/>
      <c r="B476" s="978"/>
      <c r="C476" s="107"/>
      <c r="D476" s="107"/>
      <c r="E476" s="621">
        <v>45</v>
      </c>
      <c r="F476" s="50" cm="1" t="str">
        <f t="array" ref="F476:F476">OFFSET(E476,-1,1)</f>
        <v>3</v>
      </c>
      <c r="G476" s="107"/>
      <c r="H476" s="857"/>
      <c r="I476" s="857" t="s">
        <v>2668</v>
      </c>
      <c r="J476" s="107"/>
      <c r="K476" s="378" t="s">
        <v>2668</v>
      </c>
      <c r="L476" s="980" t="s">
        <v>2479</v>
      </c>
      <c r="M476" s="107" t="s">
        <v>2491</v>
      </c>
      <c r="N476" s="107"/>
      <c r="O476" s="107"/>
      <c r="P476" s="107"/>
      <c r="Q476" s="107"/>
      <c r="R476" s="107"/>
      <c r="S476" s="107"/>
      <c r="T476" s="465" cm="1" t="str">
        <f t="array" ref="T476:T476">T475</f>
        <v>true</v>
      </c>
      <c r="U476" s="107"/>
      <c r="V476" s="107"/>
      <c r="W476" s="107"/>
      <c r="X476" s="1596"/>
      <c r="Y476" s="1278"/>
      <c r="Z476" s="1546"/>
      <c r="AA476" s="1278"/>
      <c r="AB476" s="300" t="s">
        <v>2669</v>
      </c>
      <c r="AC476" s="768" t="s">
        <v>2670</v>
      </c>
      <c r="AD476" s="300" t="s">
        <v>1514</v>
      </c>
      <c r="AE476" s="3946"/>
      <c r="AF476" s="3946"/>
      <c r="AG476" s="3946"/>
      <c r="AH476" s="1114">
        <f>AG476-AF476</f>
        <v>0</v>
      </c>
      <c r="AI476" s="3946"/>
      <c r="AJ476" s="3946">
        <v>1982.78</v>
      </c>
      <c r="AK476" s="1115"/>
      <c r="AL476" s="1115"/>
      <c r="AM476" s="1115"/>
      <c r="AN476" s="1115"/>
      <c r="AO476" s="1115"/>
      <c r="AP476" s="1115"/>
      <c r="AQ476" s="1115"/>
      <c r="AR476" s="1115"/>
      <c r="AS476" s="1115"/>
      <c r="AT476" s="3946">
        <v>1982.78</v>
      </c>
      <c r="AU476" s="1115"/>
      <c r="AV476" s="1115"/>
      <c r="AW476" s="1115"/>
      <c r="AX476" s="1115"/>
      <c r="AY476" s="1115"/>
      <c r="AZ476" s="1115"/>
      <c r="BA476" s="1115"/>
      <c r="BB476" s="1115"/>
      <c r="BC476" s="1115"/>
      <c r="BD476" s="1114">
        <f>IF(AI476=0,0,(AT476-AI476)/AI476*100)</f>
        <v>0</v>
      </c>
      <c r="BE476" s="1115"/>
      <c r="BF476" s="1115"/>
      <c r="BG476" s="1115"/>
      <c r="BH476" s="1115"/>
      <c r="BI476" s="1115"/>
      <c r="BJ476" s="1115"/>
      <c r="BK476" s="1115"/>
      <c r="BL476" s="1115"/>
      <c r="BM476" s="1115"/>
      <c r="BN476" s="7433"/>
      <c r="BO476" s="7433" t="s">
        <v>2923</v>
      </c>
      <c r="BP476" s="7433"/>
      <c r="BQ476" s="1278"/>
      <c r="BR476" s="1278"/>
      <c r="BS476" s="1064" t="s">
        <v>2494</v>
      </c>
      <c r="BT476" s="1064"/>
      <c r="BU476" s="1064"/>
      <c r="BV476" s="979"/>
      <c r="BW476" s="979"/>
    </row>
    <row s="1834" customFormat="1" customHeight="1" ht="14.25">
      <c r="A477" s="1278"/>
      <c r="B477" s="978"/>
      <c r="C477" s="107"/>
      <c r="D477" s="107"/>
      <c r="E477" s="621">
        <v>15</v>
      </c>
      <c r="F477" s="50" cm="1" t="str">
        <f t="array" ref="F477:F477">OFFSET(E477,-1,1)</f>
        <v>3</v>
      </c>
      <c r="G477" s="107"/>
      <c r="H477" s="857"/>
      <c r="I477" s="857" t="s">
        <v>2671</v>
      </c>
      <c r="J477" s="107"/>
      <c r="K477" s="378" t="s">
        <v>2671</v>
      </c>
      <c r="L477" s="980" t="s">
        <v>2479</v>
      </c>
      <c r="M477" s="107" t="s">
        <v>2495</v>
      </c>
      <c r="N477" s="107"/>
      <c r="O477" s="107"/>
      <c r="P477" s="107"/>
      <c r="Q477" s="107"/>
      <c r="R477" s="107"/>
      <c r="S477" s="107"/>
      <c r="T477" s="465" cm="1" t="str">
        <f t="array" ref="T477:T477">T476</f>
        <v>true</v>
      </c>
      <c r="U477" s="107"/>
      <c r="V477" s="107"/>
      <c r="W477" s="107"/>
      <c r="X477" s="1596"/>
      <c r="Y477" s="1278"/>
      <c r="Z477" s="1546"/>
      <c r="AA477" s="1278"/>
      <c r="AB477" s="300" t="s">
        <v>2672</v>
      </c>
      <c r="AC477" s="768" t="s">
        <v>2497</v>
      </c>
      <c r="AD477" s="300" t="s">
        <v>1514</v>
      </c>
      <c r="AE477" s="3946"/>
      <c r="AF477" s="3946"/>
      <c r="AG477" s="3946"/>
      <c r="AH477" s="1114">
        <f>AG477-AF477</f>
        <v>0</v>
      </c>
      <c r="AI477" s="3946"/>
      <c r="AJ477" s="3946"/>
      <c r="AK477" s="1115"/>
      <c r="AL477" s="1115"/>
      <c r="AM477" s="1115"/>
      <c r="AN477" s="1115"/>
      <c r="AO477" s="1115"/>
      <c r="AP477" s="1115"/>
      <c r="AQ477" s="1115"/>
      <c r="AR477" s="1115"/>
      <c r="AS477" s="1115"/>
      <c r="AT477" s="3946"/>
      <c r="AU477" s="1115"/>
      <c r="AV477" s="1115"/>
      <c r="AW477" s="1115"/>
      <c r="AX477" s="1115"/>
      <c r="AY477" s="1115"/>
      <c r="AZ477" s="1115"/>
      <c r="BA477" s="1115"/>
      <c r="BB477" s="1115"/>
      <c r="BC477" s="1115"/>
      <c r="BD477" s="1114">
        <f>IF(AI477=0,0,(AT477-AI477)/AI477*100)</f>
        <v>0</v>
      </c>
      <c r="BE477" s="1115"/>
      <c r="BF477" s="1115"/>
      <c r="BG477" s="1115"/>
      <c r="BH477" s="1115"/>
      <c r="BI477" s="1115"/>
      <c r="BJ477" s="1115"/>
      <c r="BK477" s="1115"/>
      <c r="BL477" s="1115"/>
      <c r="BM477" s="1115"/>
      <c r="BN477" s="7433"/>
      <c r="BO477" s="7433"/>
      <c r="BP477" s="7433"/>
      <c r="BQ477" s="1278"/>
      <c r="BR477" s="1278"/>
      <c r="BS477" s="1064" t="s">
        <v>2498</v>
      </c>
      <c r="BT477" s="1064"/>
      <c r="BU477" s="1064"/>
      <c r="BV477" s="979"/>
      <c r="BW477" s="979"/>
    </row>
    <row s="1834" customFormat="1" customHeight="1" ht="86.25">
      <c r="A478" s="1278"/>
      <c r="B478" s="978"/>
      <c r="C478" s="107"/>
      <c r="D478" s="107"/>
      <c r="E478" s="621">
        <v>15</v>
      </c>
      <c r="F478" s="50" cm="1" t="str">
        <f t="array" ref="F478:F478">OFFSET(E478,-1,1)</f>
        <v>3</v>
      </c>
      <c r="G478" s="107"/>
      <c r="H478" s="857"/>
      <c r="I478" s="857" t="s">
        <v>2673</v>
      </c>
      <c r="J478" s="107"/>
      <c r="K478" s="378" t="s">
        <v>2673</v>
      </c>
      <c r="L478" s="980"/>
      <c r="M478" s="107"/>
      <c r="N478" s="107"/>
      <c r="O478" s="107"/>
      <c r="P478" s="107"/>
      <c r="Q478" s="107"/>
      <c r="R478" s="107"/>
      <c r="S478" s="107"/>
      <c r="T478" s="465" cm="1" t="str">
        <f t="array" ref="T478:T478">T477</f>
        <v>true</v>
      </c>
      <c r="U478" s="107"/>
      <c r="V478" s="107"/>
      <c r="W478" s="107"/>
      <c r="X478" s="1596"/>
      <c r="Y478" s="1278"/>
      <c r="Z478" s="1546"/>
      <c r="AA478" s="1278"/>
      <c r="AB478" s="300" t="s">
        <v>2674</v>
      </c>
      <c r="AC478" s="768" t="s">
        <v>2675</v>
      </c>
      <c r="AD478" s="300" t="s">
        <v>1514</v>
      </c>
      <c r="AE478" s="3946"/>
      <c r="AF478" s="3946"/>
      <c r="AG478" s="3946"/>
      <c r="AH478" s="1114">
        <f>AG478-AF478</f>
        <v>0</v>
      </c>
      <c r="AI478" s="3946"/>
      <c r="AJ478" s="1353">
        <v>1546.746772</v>
      </c>
      <c r="AK478" s="1115"/>
      <c r="AL478" s="1115"/>
      <c r="AM478" s="1115"/>
      <c r="AN478" s="1115"/>
      <c r="AO478" s="1115"/>
      <c r="AP478" s="1115"/>
      <c r="AQ478" s="1115"/>
      <c r="AR478" s="1115"/>
      <c r="AS478" s="1115"/>
      <c r="AT478" s="1367">
        <f>163.45+548.405/5*12*1.051</f>
        <v>1546.746772</v>
      </c>
      <c r="AU478" s="1115"/>
      <c r="AV478" s="1115"/>
      <c r="AW478" s="1115"/>
      <c r="AX478" s="1115"/>
      <c r="AY478" s="1115"/>
      <c r="AZ478" s="1115"/>
      <c r="BA478" s="1115"/>
      <c r="BB478" s="1115"/>
      <c r="BC478" s="1115"/>
      <c r="BD478" s="1114">
        <f>IF(AI478=0,0,(AT478-AI478)/AI478*100)</f>
        <v>0</v>
      </c>
      <c r="BE478" s="1115"/>
      <c r="BF478" s="1115"/>
      <c r="BG478" s="1115"/>
      <c r="BH478" s="1115"/>
      <c r="BI478" s="1115"/>
      <c r="BJ478" s="1115"/>
      <c r="BK478" s="1115"/>
      <c r="BL478" s="1115"/>
      <c r="BM478" s="1115"/>
      <c r="BN478" s="7433"/>
      <c r="BO478" s="7433" t="s">
        <v>2940</v>
      </c>
      <c r="BP478" s="7433"/>
      <c r="BQ478" s="1278"/>
      <c r="BR478" s="1278"/>
      <c r="BS478" s="1064" t="s">
        <v>2482</v>
      </c>
      <c r="BT478" s="1064"/>
      <c r="BU478" s="1064"/>
      <c r="BV478" s="979"/>
      <c r="BW478" s="979"/>
    </row>
    <row s="7561" customFormat="1" customHeight="1" ht="20.25">
      <c r="A479" s="700"/>
      <c r="B479" s="435"/>
      <c r="C479" s="109"/>
      <c r="D479" s="109"/>
      <c r="E479" s="826">
        <v>21</v>
      </c>
      <c r="F479" s="50" cm="1" t="str">
        <f t="array" ref="F479:F479">OFFSET(E479,-1,1)</f>
        <v>3</v>
      </c>
      <c r="G479" s="109"/>
      <c r="H479" s="857"/>
      <c r="I479" s="857" t="s">
        <v>1182</v>
      </c>
      <c r="J479" s="109"/>
      <c r="K479" s="378" t="s">
        <v>1182</v>
      </c>
      <c r="L479" s="985"/>
      <c r="M479" s="109"/>
      <c r="N479" s="109"/>
      <c r="O479" s="109"/>
      <c r="P479" s="109"/>
      <c r="Q479" s="109"/>
      <c r="R479" s="109"/>
      <c r="S479" s="109"/>
      <c r="T479" s="465" cm="1" t="str">
        <f t="array" ref="T479:T479">T478</f>
        <v>true</v>
      </c>
      <c r="U479" s="109"/>
      <c r="V479" s="109"/>
      <c r="W479" s="109"/>
      <c r="X479" s="1596"/>
      <c r="Y479" s="700"/>
      <c r="Z479" s="1546"/>
      <c r="AA479" s="700"/>
      <c r="AB479" s="211" t="s">
        <v>1634</v>
      </c>
      <c r="AC479" s="361" t="s">
        <v>2501</v>
      </c>
      <c r="AD479" s="211" t="s">
        <v>1514</v>
      </c>
      <c r="AE479" s="213">
        <f>AE480+AE481+AE482</f>
        <v>0</v>
      </c>
      <c r="AF479" s="213">
        <f>AF480+AF481+AF482</f>
        <v>0</v>
      </c>
      <c r="AG479" s="213">
        <f>AG480+AG481+AG482</f>
        <v>0</v>
      </c>
      <c r="AH479" s="778">
        <f>AG479-AF479</f>
        <v>0</v>
      </c>
      <c r="AI479" s="213">
        <f>AI480+AI481+AI482</f>
        <v>0</v>
      </c>
      <c r="AJ479" s="213">
        <f>AJ480+AJ481+AJ482</f>
        <v>10537.01</v>
      </c>
      <c r="AK479" s="216"/>
      <c r="AL479" s="216"/>
      <c r="AM479" s="216"/>
      <c r="AN479" s="216"/>
      <c r="AO479" s="216"/>
      <c r="AP479" s="216"/>
      <c r="AQ479" s="216"/>
      <c r="AR479" s="216"/>
      <c r="AS479" s="216"/>
      <c r="AT479" s="213">
        <f>AT480+AT481+AT482</f>
        <v>10537.01</v>
      </c>
      <c r="AU479" s="216"/>
      <c r="AV479" s="216"/>
      <c r="AW479" s="216"/>
      <c r="AX479" s="216"/>
      <c r="AY479" s="216"/>
      <c r="AZ479" s="216"/>
      <c r="BA479" s="216"/>
      <c r="BB479" s="216"/>
      <c r="BC479" s="216"/>
      <c r="BD479" s="778">
        <f>IF(AI479=0,0,(AT479-AI479)/AI479*100)</f>
        <v>0</v>
      </c>
      <c r="BE479" s="216"/>
      <c r="BF479" s="216"/>
      <c r="BG479" s="216"/>
      <c r="BH479" s="216"/>
      <c r="BI479" s="216"/>
      <c r="BJ479" s="216"/>
      <c r="BK479" s="216"/>
      <c r="BL479" s="216"/>
      <c r="BM479" s="216"/>
      <c r="BN479" s="7436"/>
      <c r="BO479" s="7436"/>
      <c r="BP479" s="7436"/>
      <c r="BQ479" s="700"/>
      <c r="BR479" s="700"/>
      <c r="BS479" s="1063" t="s">
        <v>2502</v>
      </c>
      <c r="BT479" s="1070"/>
      <c r="BU479" s="1070"/>
      <c r="BV479" s="707"/>
      <c r="BW479" s="707"/>
    </row>
    <row s="1834" customFormat="1" customHeight="1" ht="0">
      <c r="A480" s="1278"/>
      <c r="B480" s="978"/>
      <c r="C480" s="107"/>
      <c r="D480" s="107"/>
      <c r="E480" s="621">
        <v>22.5</v>
      </c>
      <c r="F480" s="50" cm="1" t="str">
        <f t="array" ref="F480:F480">OFFSET(E480,-1,1)</f>
        <v>3</v>
      </c>
      <c r="G480" s="107"/>
      <c r="H480" s="857"/>
      <c r="I480" s="857" t="s">
        <v>2081</v>
      </c>
      <c r="J480" s="107"/>
      <c r="K480" s="378" t="s">
        <v>2081</v>
      </c>
      <c r="L480" s="980"/>
      <c r="M480" s="107"/>
      <c r="N480" s="107"/>
      <c r="O480" s="107"/>
      <c r="P480" s="107"/>
      <c r="Q480" s="107"/>
      <c r="R480" s="107"/>
      <c r="S480" s="107"/>
      <c r="T480" s="465" cm="1" t="str">
        <f t="array" ref="T480:T480">T479</f>
        <v>true</v>
      </c>
      <c r="U480" s="107"/>
      <c r="V480" s="107"/>
      <c r="W480" s="107"/>
      <c r="X480" s="1596"/>
      <c r="Y480" s="1278"/>
      <c r="Z480" s="1546"/>
      <c r="AA480" s="1278"/>
      <c r="AB480" s="300" t="s">
        <v>2082</v>
      </c>
      <c r="AC480" s="765" t="s">
        <v>2676</v>
      </c>
      <c r="AD480" s="300" t="s">
        <v>1514</v>
      </c>
      <c r="AE480" s="3946"/>
      <c r="AF480" s="3946"/>
      <c r="AG480" s="3946"/>
      <c r="AH480" s="1114">
        <f>AG480-AF480</f>
        <v>0</v>
      </c>
      <c r="AI480" s="3946"/>
      <c r="AJ480" s="3946"/>
      <c r="AK480" s="1115"/>
      <c r="AL480" s="1115"/>
      <c r="AM480" s="1115"/>
      <c r="AN480" s="1115"/>
      <c r="AO480" s="1115"/>
      <c r="AP480" s="1115"/>
      <c r="AQ480" s="1115"/>
      <c r="AR480" s="1115"/>
      <c r="AS480" s="1115"/>
      <c r="AT480" s="3946"/>
      <c r="AU480" s="1115"/>
      <c r="AV480" s="1115"/>
      <c r="AW480" s="1115"/>
      <c r="AX480" s="1115"/>
      <c r="AY480" s="1115"/>
      <c r="AZ480" s="1115"/>
      <c r="BA480" s="1115"/>
      <c r="BB480" s="1115"/>
      <c r="BC480" s="1115"/>
      <c r="BD480" s="1114">
        <f>IF(AI480=0,0,(AT480-AI480)/AI480*100)</f>
        <v>0</v>
      </c>
      <c r="BE480" s="1115"/>
      <c r="BF480" s="1115"/>
      <c r="BG480" s="1115"/>
      <c r="BH480" s="1115"/>
      <c r="BI480" s="1115"/>
      <c r="BJ480" s="1115"/>
      <c r="BK480" s="1115"/>
      <c r="BL480" s="1115"/>
      <c r="BM480" s="1115"/>
      <c r="BN480" s="7433"/>
      <c r="BO480" s="7433"/>
      <c r="BP480" s="7433"/>
      <c r="BQ480" s="1278"/>
      <c r="BR480" s="1278"/>
      <c r="BS480" s="1062" t="s">
        <v>2504</v>
      </c>
      <c r="BT480" s="1064"/>
      <c r="BU480" s="1064"/>
      <c r="BV480" s="979"/>
      <c r="BW480" s="979"/>
    </row>
    <row s="1834" customFormat="1" customHeight="1" ht="44.25">
      <c r="A481" s="1278"/>
      <c r="B481" s="978"/>
      <c r="C481" s="107"/>
      <c r="D481" s="107"/>
      <c r="E481" s="621">
        <v>22.5</v>
      </c>
      <c r="F481" s="50" cm="1" t="str">
        <f t="array" ref="F481:F481">OFFSET(E481,-1,1)</f>
        <v>3</v>
      </c>
      <c r="G481" s="107"/>
      <c r="H481" s="857"/>
      <c r="I481" s="857" t="s">
        <v>2085</v>
      </c>
      <c r="J481" s="107"/>
      <c r="K481" s="378" t="s">
        <v>2085</v>
      </c>
      <c r="L481" s="980"/>
      <c r="M481" s="107"/>
      <c r="N481" s="107"/>
      <c r="O481" s="107"/>
      <c r="P481" s="107"/>
      <c r="Q481" s="107"/>
      <c r="R481" s="107"/>
      <c r="S481" s="107"/>
      <c r="T481" s="465" cm="1" t="str">
        <f t="array" ref="T481:T481">T480</f>
        <v>true</v>
      </c>
      <c r="U481" s="107"/>
      <c r="V481" s="107"/>
      <c r="W481" s="107"/>
      <c r="X481" s="1596"/>
      <c r="Y481" s="1278"/>
      <c r="Z481" s="1546"/>
      <c r="AA481" s="1278"/>
      <c r="AB481" s="300" t="s">
        <v>2086</v>
      </c>
      <c r="AC481" s="765" t="s">
        <v>2677</v>
      </c>
      <c r="AD481" s="300" t="s">
        <v>1514</v>
      </c>
      <c r="AE481" s="3946"/>
      <c r="AF481" s="3946"/>
      <c r="AG481" s="3946"/>
      <c r="AH481" s="1114">
        <f>AG481-AF481</f>
        <v>0</v>
      </c>
      <c r="AI481" s="3946"/>
      <c r="AJ481" s="3946">
        <v>10537.01</v>
      </c>
      <c r="AK481" s="1115"/>
      <c r="AL481" s="1115"/>
      <c r="AM481" s="1115"/>
      <c r="AN481" s="1115"/>
      <c r="AO481" s="1115"/>
      <c r="AP481" s="1115"/>
      <c r="AQ481" s="1115"/>
      <c r="AR481" s="1115"/>
      <c r="AS481" s="1115"/>
      <c r="AT481" s="3946">
        <v>10537.01</v>
      </c>
      <c r="AU481" s="1115"/>
      <c r="AV481" s="1115"/>
      <c r="AW481" s="1115"/>
      <c r="AX481" s="1115"/>
      <c r="AY481" s="1115"/>
      <c r="AZ481" s="1115"/>
      <c r="BA481" s="1115"/>
      <c r="BB481" s="1115"/>
      <c r="BC481" s="1115"/>
      <c r="BD481" s="1114">
        <f>IF(AI481=0,0,(AT481-AI481)/AI481*100)</f>
        <v>0</v>
      </c>
      <c r="BE481" s="1115"/>
      <c r="BF481" s="1115"/>
      <c r="BG481" s="1115"/>
      <c r="BH481" s="1115"/>
      <c r="BI481" s="1115"/>
      <c r="BJ481" s="1115"/>
      <c r="BK481" s="1115"/>
      <c r="BL481" s="1115"/>
      <c r="BM481" s="1115"/>
      <c r="BN481" s="7433"/>
      <c r="BO481" s="7433" t="s">
        <v>2925</v>
      </c>
      <c r="BP481" s="7433"/>
      <c r="BQ481" s="1278"/>
      <c r="BR481" s="1278"/>
      <c r="BS481" s="1064" t="s">
        <v>2678</v>
      </c>
      <c r="BT481" s="1064"/>
      <c r="BU481" s="1064"/>
      <c r="BV481" s="979"/>
      <c r="BW481" s="979"/>
    </row>
    <row s="1834" customFormat="1" customHeight="1" ht="0">
      <c r="A482" s="1278"/>
      <c r="B482" s="978"/>
      <c r="C482" s="107"/>
      <c r="D482" s="107"/>
      <c r="E482" s="621">
        <v>22.5</v>
      </c>
      <c r="F482" s="50" cm="1" t="str">
        <f t="array" ref="F482:F482">OFFSET(E482,-1,1)</f>
        <v>3</v>
      </c>
      <c r="G482" s="107"/>
      <c r="H482" s="857"/>
      <c r="I482" s="857" t="s">
        <v>2089</v>
      </c>
      <c r="J482" s="107"/>
      <c r="K482" s="378" t="s">
        <v>2089</v>
      </c>
      <c r="L482" s="980" t="s">
        <v>1196</v>
      </c>
      <c r="M482" s="107"/>
      <c r="N482" s="107"/>
      <c r="O482" s="107"/>
      <c r="P482" s="107"/>
      <c r="Q482" s="107"/>
      <c r="R482" s="107"/>
      <c r="S482" s="107"/>
      <c r="T482" s="465" cm="1" t="str">
        <f t="array" ref="T482:T482">T481</f>
        <v>true</v>
      </c>
      <c r="U482" s="107"/>
      <c r="V482" s="107"/>
      <c r="W482" s="107"/>
      <c r="X482" s="1596"/>
      <c r="Y482" s="1278"/>
      <c r="Z482" s="1546"/>
      <c r="AA482" s="1278"/>
      <c r="AB482" s="300" t="s">
        <v>2090</v>
      </c>
      <c r="AC482" s="765" t="s">
        <v>2679</v>
      </c>
      <c r="AD482" s="300" t="s">
        <v>1514</v>
      </c>
      <c r="AE482" s="1116">
        <f>AE483+AE484</f>
        <v>0</v>
      </c>
      <c r="AF482" s="1116">
        <f>AF483+AF484</f>
        <v>0</v>
      </c>
      <c r="AG482" s="1116">
        <f>AG483+AG484</f>
        <v>0</v>
      </c>
      <c r="AH482" s="1114">
        <f>AG482-AF482</f>
        <v>0</v>
      </c>
      <c r="AI482" s="1116">
        <f>AI483+AI484</f>
        <v>0</v>
      </c>
      <c r="AJ482" s="1116">
        <f>AJ483+AJ484</f>
        <v>0</v>
      </c>
      <c r="AK482" s="1115"/>
      <c r="AL482" s="1115"/>
      <c r="AM482" s="1115"/>
      <c r="AN482" s="1115"/>
      <c r="AO482" s="1115"/>
      <c r="AP482" s="1115"/>
      <c r="AQ482" s="1115"/>
      <c r="AR482" s="1115"/>
      <c r="AS482" s="1115"/>
      <c r="AT482" s="1116">
        <f>AT483+AT484</f>
        <v>0</v>
      </c>
      <c r="AU482" s="1115"/>
      <c r="AV482" s="1115"/>
      <c r="AW482" s="1115"/>
      <c r="AX482" s="1115"/>
      <c r="AY482" s="1115"/>
      <c r="AZ482" s="1115"/>
      <c r="BA482" s="1115"/>
      <c r="BB482" s="1115"/>
      <c r="BC482" s="1115"/>
      <c r="BD482" s="1114">
        <f>IF(AI482=0,0,(AT482-AI482)/AI482*100)</f>
        <v>0</v>
      </c>
      <c r="BE482" s="1115"/>
      <c r="BF482" s="1115"/>
      <c r="BG482" s="1115"/>
      <c r="BH482" s="1115"/>
      <c r="BI482" s="1115"/>
      <c r="BJ482" s="1115"/>
      <c r="BK482" s="1115"/>
      <c r="BL482" s="1115"/>
      <c r="BM482" s="1115"/>
      <c r="BN482" s="7433"/>
      <c r="BO482" s="7433"/>
      <c r="BP482" s="7433"/>
      <c r="BQ482" s="1278"/>
      <c r="BR482" s="1278"/>
      <c r="BS482" s="1062" t="s">
        <v>2506</v>
      </c>
      <c r="BT482" s="1064"/>
      <c r="BU482" s="1064"/>
      <c r="BV482" s="979"/>
      <c r="BW482" s="979"/>
    </row>
    <row s="1834" customFormat="1" customHeight="1" ht="0">
      <c r="A483" s="1278"/>
      <c r="B483" s="978"/>
      <c r="C483" s="107"/>
      <c r="D483" s="107"/>
      <c r="E483" s="621">
        <v>15</v>
      </c>
      <c r="F483" s="50" cm="1" t="str">
        <f t="array" ref="F483:F483">OFFSET(E483,-1,1)</f>
        <v>3</v>
      </c>
      <c r="G483" s="848" t="s">
        <v>1881</v>
      </c>
      <c r="H483" s="857"/>
      <c r="I483" s="857" t="s">
        <v>2680</v>
      </c>
      <c r="J483" s="107"/>
      <c r="K483" s="378" t="s">
        <v>2680</v>
      </c>
      <c r="L483" s="980" t="s">
        <v>2507</v>
      </c>
      <c r="M483" s="107"/>
      <c r="N483" s="107"/>
      <c r="O483" s="107"/>
      <c r="P483" s="107"/>
      <c r="Q483" s="107"/>
      <c r="R483" s="107"/>
      <c r="S483" s="107"/>
      <c r="T483" s="465" cm="1" t="str">
        <f t="array" ref="T483:T483">T482</f>
        <v>true</v>
      </c>
      <c r="U483" s="107"/>
      <c r="V483" s="107"/>
      <c r="W483" s="107"/>
      <c r="X483" s="1596"/>
      <c r="Y483" s="1278"/>
      <c r="Z483" s="1546"/>
      <c r="AA483" s="1278"/>
      <c r="AB483" s="300" t="s">
        <v>2681</v>
      </c>
      <c r="AC483" s="768" t="s">
        <v>2508</v>
      </c>
      <c r="AD483" s="300" t="s">
        <v>1514</v>
      </c>
      <c r="AE483" s="1114">
        <f>_xlfn.SUMIFS(ФОТ!AE$25:AE$188,ФОТ!$F$25:$F$188,$F483,ФОТ!$G$25:$G$188,$G483)</f>
        <v>0</v>
      </c>
      <c r="AF483" s="1114">
        <f>_xlfn.SUMIFS(ФОТ!AF$25:AF$188,ФОТ!$F$25:$F$188,$F483,ФОТ!$G$25:$G$188,$G483)</f>
        <v>0</v>
      </c>
      <c r="AG483" s="1114">
        <f>_xlfn.SUMIFS(ФОТ!AG$25:AG$188,ФОТ!$F$25:$F$188,$F483,ФОТ!$G$25:$G$188,$G483)</f>
        <v>0</v>
      </c>
      <c r="AH483" s="1114">
        <f>AG483-AF483</f>
        <v>0</v>
      </c>
      <c r="AI483" s="1114">
        <f>_xlfn.SUMIFS(ФОТ!AH$25:AH$188,ФОТ!$F$25:$F$188,$F483,ФОТ!$G$25:$G$188,$G483)</f>
        <v>0</v>
      </c>
      <c r="AJ483" s="1114">
        <f>_xlfn.SUMIFS(ФОТ!AI$25:AI$188,ФОТ!$F$25:$F$188,$F483,ФОТ!$G$25:$G$188,$G483)</f>
        <v>0</v>
      </c>
      <c r="AK483" s="1115"/>
      <c r="AL483" s="1115"/>
      <c r="AM483" s="1115"/>
      <c r="AN483" s="1115"/>
      <c r="AO483" s="1115"/>
      <c r="AP483" s="1115"/>
      <c r="AQ483" s="1115"/>
      <c r="AR483" s="1115"/>
      <c r="AS483" s="1115"/>
      <c r="AT483" s="1114">
        <f>_xlfn.SUMIFS(ФОТ!AJ$25:AJ$188,ФОТ!$F$25:$F$188,$F483,ФОТ!$G$25:$G$188,$G483)</f>
        <v>0</v>
      </c>
      <c r="AU483" s="1115"/>
      <c r="AV483" s="1115"/>
      <c r="AW483" s="1115"/>
      <c r="AX483" s="1115"/>
      <c r="AY483" s="1115"/>
      <c r="AZ483" s="1115"/>
      <c r="BA483" s="1115"/>
      <c r="BB483" s="1115"/>
      <c r="BC483" s="1115"/>
      <c r="BD483" s="1114">
        <f>IF(AI483=0,0,(AT483-AI483)/AI483*100)</f>
        <v>0</v>
      </c>
      <c r="BE483" s="1115"/>
      <c r="BF483" s="1115"/>
      <c r="BG483" s="1115"/>
      <c r="BH483" s="1115"/>
      <c r="BI483" s="1115"/>
      <c r="BJ483" s="1115"/>
      <c r="BK483" s="1115"/>
      <c r="BL483" s="1115"/>
      <c r="BM483" s="1115"/>
      <c r="BN483" s="7433"/>
      <c r="BO483" s="7437" t="str">
        <f>IF(_xlfn.IFERROR(INDEX(ФОТ!$K$26:$L$188,MATCH($F483&amp;"3komm",ФОТ!$K$26:$K$188,0),2),"")=0,"",_xlfn.IFERROR(INDEX(ФОТ!$K$26:$L$188,MATCH($F483&amp;"3komm",ФОТ!$K$26:$K$188,0),2),""))</f>
        <v/>
      </c>
      <c r="BP483" s="7433"/>
      <c r="BQ483" s="1278"/>
      <c r="BR483" s="1278"/>
      <c r="BS483" s="1062" t="s">
        <v>2509</v>
      </c>
      <c r="BT483" s="1064"/>
      <c r="BU483" s="1064"/>
      <c r="BV483" s="979"/>
      <c r="BW483" s="979"/>
    </row>
    <row s="1834" customFormat="1" customHeight="1" ht="0">
      <c r="A484" s="1278"/>
      <c r="B484" s="978"/>
      <c r="C484" s="107"/>
      <c r="D484" s="107"/>
      <c r="E484" s="621">
        <v>22.5</v>
      </c>
      <c r="F484" s="50" cm="1" t="str">
        <f t="array" ref="F484:F484">OFFSET(E484,-1,1)</f>
        <v>3</v>
      </c>
      <c r="G484" s="848" t="s">
        <v>1886</v>
      </c>
      <c r="H484" s="857"/>
      <c r="I484" s="857" t="s">
        <v>2682</v>
      </c>
      <c r="J484" s="107"/>
      <c r="K484" s="378" t="s">
        <v>2682</v>
      </c>
      <c r="L484" s="980" t="s">
        <v>2510</v>
      </c>
      <c r="M484" s="107"/>
      <c r="N484" s="107"/>
      <c r="O484" s="107"/>
      <c r="P484" s="107"/>
      <c r="Q484" s="107"/>
      <c r="R484" s="107"/>
      <c r="S484" s="107"/>
      <c r="T484" s="465" cm="1" t="str">
        <f t="array" ref="T484:T484">T483</f>
        <v>true</v>
      </c>
      <c r="U484" s="107"/>
      <c r="V484" s="107"/>
      <c r="W484" s="107"/>
      <c r="X484" s="1596"/>
      <c r="Y484" s="1278"/>
      <c r="Z484" s="1546"/>
      <c r="AA484" s="1278"/>
      <c r="AB484" s="300" t="s">
        <v>2683</v>
      </c>
      <c r="AC484" s="768" t="s">
        <v>2684</v>
      </c>
      <c r="AD484" s="300" t="s">
        <v>1514</v>
      </c>
      <c r="AE484" s="1114">
        <f>_xlfn.SUMIFS(ФОТ!AE$25:AE$188,ФОТ!$F$25:$F$188,$F484,ФОТ!$G$25:$G$188,$G484)</f>
        <v>0</v>
      </c>
      <c r="AF484" s="1114">
        <f>_xlfn.SUMIFS(ФОТ!AF$25:AF$188,ФОТ!$F$25:$F$188,$F484,ФОТ!$G$25:$G$188,$G484)</f>
        <v>0</v>
      </c>
      <c r="AG484" s="1114">
        <f>_xlfn.SUMIFS(ФОТ!AG$25:AG$188,ФОТ!$F$25:$F$188,$F484,ФОТ!$G$25:$G$188,$G484)</f>
        <v>0</v>
      </c>
      <c r="AH484" s="1114">
        <f>AG484-AF484</f>
        <v>0</v>
      </c>
      <c r="AI484" s="1114">
        <f>_xlfn.SUMIFS(ФОТ!AH$25:AH$188,ФОТ!$F$25:$F$188,$F484,ФОТ!$G$25:$G$188,$G484)</f>
        <v>0</v>
      </c>
      <c r="AJ484" s="1114">
        <f>_xlfn.SUMIFS(ФОТ!AI$25:AI$188,ФОТ!$F$25:$F$188,$F484,ФОТ!$G$25:$G$188,$G484)</f>
        <v>0</v>
      </c>
      <c r="AK484" s="1115"/>
      <c r="AL484" s="1115"/>
      <c r="AM484" s="1115"/>
      <c r="AN484" s="1115"/>
      <c r="AO484" s="1115"/>
      <c r="AP484" s="1115"/>
      <c r="AQ484" s="1115"/>
      <c r="AR484" s="1115"/>
      <c r="AS484" s="1115"/>
      <c r="AT484" s="1114">
        <f>_xlfn.SUMIFS(ФОТ!AJ$25:AJ$188,ФОТ!$F$25:$F$188,$F484,ФОТ!$G$25:$G$188,$G484)</f>
        <v>0</v>
      </c>
      <c r="AU484" s="1115"/>
      <c r="AV484" s="1115"/>
      <c r="AW484" s="1115"/>
      <c r="AX484" s="1115"/>
      <c r="AY484" s="1115"/>
      <c r="AZ484" s="1115"/>
      <c r="BA484" s="1115"/>
      <c r="BB484" s="1115"/>
      <c r="BC484" s="1115"/>
      <c r="BD484" s="1114">
        <f>IF(AI484=0,0,(AT484-AI484)/AI484*100)</f>
        <v>0</v>
      </c>
      <c r="BE484" s="1115"/>
      <c r="BF484" s="1115"/>
      <c r="BG484" s="1115"/>
      <c r="BH484" s="1115"/>
      <c r="BI484" s="1115"/>
      <c r="BJ484" s="1115"/>
      <c r="BK484" s="1115"/>
      <c r="BL484" s="1115"/>
      <c r="BM484" s="1115"/>
      <c r="BN484" s="7433"/>
      <c r="BO484" s="7437" t="str">
        <f>IF(_xlfn.IFERROR(INDEX(ФОТ!$K$26:$L$188,MATCH($F484&amp;"4komm",ФОТ!$K$26:$K$188,0),2),"")=0,"",_xlfn.IFERROR(INDEX(ФОТ!$K$26:$L$188,MATCH($F484&amp;"4komm",ФОТ!$K$26:$K$188,0),2),""))</f>
        <v/>
      </c>
      <c r="BP484" s="7433"/>
      <c r="BQ484" s="1278"/>
      <c r="BR484" s="1278"/>
      <c r="BS484" s="1062" t="s">
        <v>2512</v>
      </c>
      <c r="BT484" s="1064"/>
      <c r="BU484" s="1064"/>
      <c r="BV484" s="979"/>
      <c r="BW484" s="979"/>
    </row>
    <row s="7562" customFormat="1" customHeight="1" ht="20.25">
      <c r="A485" s="700"/>
      <c r="B485" s="435"/>
      <c r="C485" s="109"/>
      <c r="D485" s="109"/>
      <c r="E485" s="826">
        <v>21</v>
      </c>
      <c r="F485" s="50" cm="1" t="str">
        <f t="array" ref="F485:F485">OFFSET(E485,-1,1)</f>
        <v>3</v>
      </c>
      <c r="G485" s="109"/>
      <c r="H485" s="857"/>
      <c r="I485" s="857" t="s">
        <v>1186</v>
      </c>
      <c r="J485" s="109"/>
      <c r="K485" s="378" t="s">
        <v>1186</v>
      </c>
      <c r="L485" s="985" t="s">
        <v>334</v>
      </c>
      <c r="M485" s="109"/>
      <c r="N485" s="109"/>
      <c r="O485" s="109"/>
      <c r="P485" s="109"/>
      <c r="Q485" s="109"/>
      <c r="R485" s="109"/>
      <c r="S485" s="109"/>
      <c r="T485" s="465" cm="1" t="str">
        <f t="array" ref="T485:T485">T484</f>
        <v>true</v>
      </c>
      <c r="U485" s="109"/>
      <c r="V485" s="109"/>
      <c r="W485" s="109"/>
      <c r="X485" s="1596"/>
      <c r="Y485" s="700"/>
      <c r="Z485" s="1546"/>
      <c r="AA485" s="700"/>
      <c r="AB485" s="211" t="s">
        <v>1637</v>
      </c>
      <c r="AC485" s="361" t="s">
        <v>2685</v>
      </c>
      <c r="AD485" s="211" t="s">
        <v>1514</v>
      </c>
      <c r="AE485" s="213">
        <f>AE486+AE494+AE497+AE498+AE499+AE500+AE501</f>
        <v>0</v>
      </c>
      <c r="AF485" s="213">
        <f>AF486+AF494+AF497+AF498+AF499+AF500+AF501</f>
        <v>0</v>
      </c>
      <c r="AG485" s="213">
        <f>AG486+AG494+AG497+AG498+AG499+AG500+AG501</f>
        <v>0</v>
      </c>
      <c r="AH485" s="778">
        <f>AG485-AF485</f>
        <v>0</v>
      </c>
      <c r="AI485" s="213">
        <f>AI486+AI494+AI497+AI498+AI499+AI500+AI501</f>
        <v>0</v>
      </c>
      <c r="AJ485" s="213">
        <f>AJ486+AJ494+AJ497+AJ498+AJ499+AJ500+AJ501</f>
        <v>17038.7811695243</v>
      </c>
      <c r="AK485" s="216"/>
      <c r="AL485" s="216"/>
      <c r="AM485" s="216"/>
      <c r="AN485" s="216"/>
      <c r="AO485" s="216"/>
      <c r="AP485" s="216"/>
      <c r="AQ485" s="216"/>
      <c r="AR485" s="216"/>
      <c r="AS485" s="216"/>
      <c r="AT485" s="213">
        <f>AT486+AT494+AT497+AT498+AT499+AT500+AT501</f>
        <v>17038.8811695243</v>
      </c>
      <c r="AU485" s="216"/>
      <c r="AV485" s="216"/>
      <c r="AW485" s="216"/>
      <c r="AX485" s="216"/>
      <c r="AY485" s="216"/>
      <c r="AZ485" s="216"/>
      <c r="BA485" s="216"/>
      <c r="BB485" s="216"/>
      <c r="BC485" s="216"/>
      <c r="BD485" s="778">
        <f>IF(AI485=0,0,(AT485-AI485)/AI485*100)</f>
        <v>0</v>
      </c>
      <c r="BE485" s="216"/>
      <c r="BF485" s="216"/>
      <c r="BG485" s="216"/>
      <c r="BH485" s="216"/>
      <c r="BI485" s="216"/>
      <c r="BJ485" s="216"/>
      <c r="BK485" s="216"/>
      <c r="BL485" s="216"/>
      <c r="BM485" s="216"/>
      <c r="BN485" s="7436"/>
      <c r="BO485" s="7436" t="s">
        <v>2926</v>
      </c>
      <c r="BP485" s="7436"/>
      <c r="BQ485" s="700"/>
      <c r="BR485" s="700"/>
      <c r="BS485" s="1063" t="s">
        <v>2514</v>
      </c>
      <c r="BT485" s="1070"/>
      <c r="BU485" s="1070"/>
      <c r="BV485" s="707"/>
      <c r="BW485" s="707"/>
    </row>
    <row s="1834" customFormat="1" customHeight="1" ht="21.75">
      <c r="A486" s="1278"/>
      <c r="B486" s="978"/>
      <c r="C486" s="107"/>
      <c r="D486" s="107"/>
      <c r="E486" s="621">
        <v>22.5</v>
      </c>
      <c r="F486" s="50" cm="1" t="str">
        <f t="array" ref="F486:F486">OFFSET(E486,-1,1)</f>
        <v>3</v>
      </c>
      <c r="G486" s="107" t="s">
        <v>1916</v>
      </c>
      <c r="H486" s="857"/>
      <c r="I486" s="857" t="s">
        <v>2095</v>
      </c>
      <c r="J486" s="107"/>
      <c r="K486" s="378" t="s">
        <v>2095</v>
      </c>
      <c r="L486" s="980" t="s">
        <v>1658</v>
      </c>
      <c r="M486" s="107"/>
      <c r="N486" s="107"/>
      <c r="O486" s="107"/>
      <c r="P486" s="107"/>
      <c r="Q486" s="107"/>
      <c r="R486" s="107"/>
      <c r="S486" s="107"/>
      <c r="T486" s="465" cm="1" t="str">
        <f t="array" ref="T486:T486">T485</f>
        <v>true</v>
      </c>
      <c r="U486" s="107"/>
      <c r="V486" s="107"/>
      <c r="W486" s="107"/>
      <c r="X486" s="1596"/>
      <c r="Y486" s="1278"/>
      <c r="Z486" s="1546"/>
      <c r="AA486" s="1278"/>
      <c r="AB486" s="300" t="s">
        <v>1752</v>
      </c>
      <c r="AC486" s="765" t="s">
        <v>2686</v>
      </c>
      <c r="AD486" s="300" t="s">
        <v>1514</v>
      </c>
      <c r="AE486" s="1114">
        <f>_xlfn.SUMIFS(Административные!AE$25:AE$122,Административные!$F$25:$F$122,$F486,Административные!$G$25:$G$122,$G486)</f>
        <v>0</v>
      </c>
      <c r="AF486" s="1114">
        <f>_xlfn.SUMIFS(Административные!AF$25:AF$122,Административные!$F$25:$F$122,$F486,Административные!$G$25:$G$122,$G486)</f>
        <v>0</v>
      </c>
      <c r="AG486" s="1114">
        <f>_xlfn.SUMIFS(Административные!AG$25:AG$122,Административные!$F$25:$F$122,$F486,Административные!$G$25:$G$122,$G486)</f>
        <v>0</v>
      </c>
      <c r="AH486" s="1114">
        <f>AG486-AF486</f>
        <v>0</v>
      </c>
      <c r="AI486" s="1114">
        <f>_xlfn.SUMIFS(Административные!AH$25:AH$122,Административные!$F$25:$F$122,$F486,Административные!$G$25:$G$122,$G486)</f>
        <v>0</v>
      </c>
      <c r="AJ486" s="1114">
        <f>_xlfn.SUMIFS(Административные!AI$25:AI$122,Административные!$F$25:$F$122,$F486,Административные!$G$25:$G$122,$G486)</f>
        <v>2298.25335</v>
      </c>
      <c r="AK486" s="1115"/>
      <c r="AL486" s="1115"/>
      <c r="AM486" s="1115"/>
      <c r="AN486" s="1115"/>
      <c r="AO486" s="1115"/>
      <c r="AP486" s="1115"/>
      <c r="AQ486" s="1115"/>
      <c r="AR486" s="1115"/>
      <c r="AS486" s="1115"/>
      <c r="AT486" s="1114">
        <f>_xlfn.SUMIFS(Административные!AJ$25:AJ$122,Административные!$F$25:$F$122,$F486,Административные!$G$25:$G$122,$G486)</f>
        <v>2298.35335</v>
      </c>
      <c r="AU486" s="1115"/>
      <c r="AV486" s="1115"/>
      <c r="AW486" s="1115"/>
      <c r="AX486" s="1115"/>
      <c r="AY486" s="1115"/>
      <c r="AZ486" s="1115"/>
      <c r="BA486" s="1115"/>
      <c r="BB486" s="1115"/>
      <c r="BC486" s="1115"/>
      <c r="BD486" s="1114">
        <f>IF(AI486=0,0,(AT486-AI486)/AI486*100)</f>
        <v>0</v>
      </c>
      <c r="BE486" s="1115"/>
      <c r="BF486" s="1115"/>
      <c r="BG486" s="1115"/>
      <c r="BH486" s="1115"/>
      <c r="BI486" s="1115"/>
      <c r="BJ486" s="1115"/>
      <c r="BK486" s="1115"/>
      <c r="BL486" s="1115"/>
      <c r="BM486" s="1115"/>
      <c r="BN486" s="7433"/>
      <c r="BO486" s="7437" t="str">
        <f>IF(_xlfn.IFERROR(INDEX(Административные!$K$26:$L$122,MATCH($F486&amp;"17komm",Административные!$K$26:$K$122,0),2),"")=0,"",_xlfn.IFERROR(INDEX(Административные!$K$26:$L$122,MATCH($F486&amp;"17komm",Административные!$K$26:$K$122,0),2),""))</f>
        <v>Учтены расходы по выданным долгосрочным параметрам и соответствуют предложению организации.</v>
      </c>
      <c r="BP486" s="7433"/>
      <c r="BQ486" s="1278"/>
      <c r="BR486" s="1278"/>
      <c r="BS486" s="1062" t="s">
        <v>1918</v>
      </c>
      <c r="BT486" s="1064"/>
      <c r="BU486" s="1064"/>
      <c r="BV486" s="979"/>
      <c r="BW486" s="979"/>
    </row>
    <row s="1834" customFormat="1" customHeight="1" ht="24">
      <c r="A487" s="1278"/>
      <c r="B487" s="978"/>
      <c r="C487" s="107"/>
      <c r="D487" s="107"/>
      <c r="E487" s="621">
        <v>15</v>
      </c>
      <c r="F487" s="50" cm="1" t="str">
        <f t="array" ref="F487:F487">OFFSET(E487,-1,1)</f>
        <v>3</v>
      </c>
      <c r="G487" s="107" t="s">
        <v>1919</v>
      </c>
      <c r="H487" s="857"/>
      <c r="I487" s="857" t="s">
        <v>2687</v>
      </c>
      <c r="J487" s="107"/>
      <c r="K487" s="378" t="s">
        <v>2687</v>
      </c>
      <c r="L487" s="980"/>
      <c r="M487" s="107"/>
      <c r="N487" s="107"/>
      <c r="O487" s="107"/>
      <c r="P487" s="107"/>
      <c r="Q487" s="107"/>
      <c r="R487" s="107"/>
      <c r="S487" s="107"/>
      <c r="T487" s="465" cm="1" t="str">
        <f t="array" ref="T487:T487">T486</f>
        <v>true</v>
      </c>
      <c r="U487" s="107"/>
      <c r="V487" s="107"/>
      <c r="W487" s="107"/>
      <c r="X487" s="1596"/>
      <c r="Y487" s="1278"/>
      <c r="Z487" s="1546"/>
      <c r="AA487" s="1278"/>
      <c r="AB487" s="300" t="s">
        <v>2688</v>
      </c>
      <c r="AC487" s="768" t="s">
        <v>1920</v>
      </c>
      <c r="AD487" s="300" t="s">
        <v>1514</v>
      </c>
      <c r="AE487" s="1114">
        <f>_xlfn.SUMIFS(Административные!AE$25:AE$122,Административные!$F$25:$F$122,$F487,Административные!$G$25:$G$122,$G487)</f>
        <v>0</v>
      </c>
      <c r="AF487" s="1114">
        <f>_xlfn.SUMIFS(Административные!AF$25:AF$122,Административные!$F$25:$F$122,$F487,Административные!$G$25:$G$122,$G487)</f>
        <v>0</v>
      </c>
      <c r="AG487" s="1114">
        <f>_xlfn.SUMIFS(Административные!AG$25:AG$122,Административные!$F$25:$F$122,$F487,Административные!$G$25:$G$122,$G487)</f>
        <v>0</v>
      </c>
      <c r="AH487" s="1114">
        <f>AG487-AF487</f>
        <v>0</v>
      </c>
      <c r="AI487" s="1114">
        <f>_xlfn.SUMIFS(Административные!AH$25:AH$122,Административные!$F$25:$F$122,$F487,Административные!$G$25:$G$122,$G487)</f>
        <v>0</v>
      </c>
      <c r="AJ487" s="1114">
        <f>_xlfn.SUMIFS(Административные!AI$25:AI$122,Административные!$F$25:$F$122,$F487,Административные!$G$25:$G$122,$G487)</f>
        <v>67.48</v>
      </c>
      <c r="AK487" s="1115"/>
      <c r="AL487" s="1115"/>
      <c r="AM487" s="1115"/>
      <c r="AN487" s="1115"/>
      <c r="AO487" s="1115"/>
      <c r="AP487" s="1115"/>
      <c r="AQ487" s="1115"/>
      <c r="AR487" s="1115"/>
      <c r="AS487" s="1115"/>
      <c r="AT487" s="1114">
        <f>_xlfn.SUMIFS(Административные!AJ$25:AJ$122,Административные!$F$25:$F$122,$F487,Административные!$G$25:$G$122,$G487)</f>
        <v>67.48</v>
      </c>
      <c r="AU487" s="1115"/>
      <c r="AV487" s="1115"/>
      <c r="AW487" s="1115"/>
      <c r="AX487" s="1115"/>
      <c r="AY487" s="1115"/>
      <c r="AZ487" s="1115"/>
      <c r="BA487" s="1115"/>
      <c r="BB487" s="1115"/>
      <c r="BC487" s="1115"/>
      <c r="BD487" s="1114">
        <f>IF(AI487=0,0,(AT487-AI487)/AI487*100)</f>
        <v>0</v>
      </c>
      <c r="BE487" s="1115"/>
      <c r="BF487" s="1115"/>
      <c r="BG487" s="1115"/>
      <c r="BH487" s="1115"/>
      <c r="BI487" s="1115"/>
      <c r="BJ487" s="1115"/>
      <c r="BK487" s="1115"/>
      <c r="BL487" s="1115"/>
      <c r="BM487" s="1115"/>
      <c r="BN487" s="7433"/>
      <c r="BO487" s="7437" t="str">
        <f>IF(_xlfn.IFERROR(INDEX(Административные!$K$26:$L$122,MATCH($F487&amp;"18komm",Административные!$K$26:$K$122,0),2),"")=0,"",_xlfn.IFERROR(INDEX(Административные!$K$26:$L$122,MATCH($F487&amp;"18komm",Административные!$K$26:$K$122,0),2),""))</f>
        <v>по расчету организации, не превышает факт 2025 года предыдущей организации.</v>
      </c>
      <c r="BP487" s="7433"/>
      <c r="BQ487" s="1278"/>
      <c r="BR487" s="1278"/>
      <c r="BS487" s="1064" t="s">
        <v>1921</v>
      </c>
      <c r="BT487" s="1064"/>
      <c r="BU487" s="1064"/>
      <c r="BV487" s="979"/>
      <c r="BW487" s="979"/>
    </row>
    <row s="1834" customFormat="1" customHeight="1" ht="0">
      <c r="A488" s="1278"/>
      <c r="B488" s="978"/>
      <c r="C488" s="107"/>
      <c r="D488" s="107"/>
      <c r="E488" s="621">
        <v>15</v>
      </c>
      <c r="F488" s="50" cm="1" t="str">
        <f t="array" ref="F488:F488">OFFSET(E488,-1,1)</f>
        <v>3</v>
      </c>
      <c r="G488" s="107" t="s">
        <v>1922</v>
      </c>
      <c r="H488" s="857"/>
      <c r="I488" s="857" t="s">
        <v>2689</v>
      </c>
      <c r="J488" s="107"/>
      <c r="K488" s="378" t="s">
        <v>2689</v>
      </c>
      <c r="L488" s="980"/>
      <c r="M488" s="107"/>
      <c r="N488" s="107"/>
      <c r="O488" s="107"/>
      <c r="P488" s="107"/>
      <c r="Q488" s="107"/>
      <c r="R488" s="107"/>
      <c r="S488" s="107"/>
      <c r="T488" s="465" cm="1" t="str">
        <f t="array" ref="T488:T488">T487</f>
        <v>true</v>
      </c>
      <c r="U488" s="107"/>
      <c r="V488" s="107"/>
      <c r="W488" s="107"/>
      <c r="X488" s="1596"/>
      <c r="Y488" s="1278"/>
      <c r="Z488" s="1546"/>
      <c r="AA488" s="1278"/>
      <c r="AB488" s="300" t="s">
        <v>2690</v>
      </c>
      <c r="AC488" s="768" t="s">
        <v>1923</v>
      </c>
      <c r="AD488" s="300" t="s">
        <v>1514</v>
      </c>
      <c r="AE488" s="1114">
        <f>_xlfn.SUMIFS(Административные!AE$25:AE$122,Административные!$F$25:$F$122,$F488,Административные!$G$25:$G$122,$G488)</f>
        <v>0</v>
      </c>
      <c r="AF488" s="1114">
        <f>_xlfn.SUMIFS(Административные!AF$25:AF$122,Административные!$F$25:$F$122,$F488,Административные!$G$25:$G$122,$G488)</f>
        <v>0</v>
      </c>
      <c r="AG488" s="1114">
        <f>_xlfn.SUMIFS(Административные!AG$25:AG$122,Административные!$F$25:$F$122,$F488,Административные!$G$25:$G$122,$G488)</f>
        <v>0</v>
      </c>
      <c r="AH488" s="1114">
        <f>AG488-AF488</f>
        <v>0</v>
      </c>
      <c r="AI488" s="1114">
        <f>_xlfn.SUMIFS(Административные!AH$25:AH$122,Административные!$F$25:$F$122,$F488,Административные!$G$25:$G$122,$G488)</f>
        <v>0</v>
      </c>
      <c r="AJ488" s="1114">
        <f>_xlfn.SUMIFS(Административные!AI$25:AI$122,Административные!$F$25:$F$122,$F488,Административные!$G$25:$G$122,$G488)</f>
        <v>0</v>
      </c>
      <c r="AK488" s="1115"/>
      <c r="AL488" s="1115"/>
      <c r="AM488" s="1115"/>
      <c r="AN488" s="1115"/>
      <c r="AO488" s="1115"/>
      <c r="AP488" s="1115"/>
      <c r="AQ488" s="1115"/>
      <c r="AR488" s="1115"/>
      <c r="AS488" s="1115"/>
      <c r="AT488" s="1114">
        <f>_xlfn.SUMIFS(Административные!AJ$25:AJ$122,Административные!$F$25:$F$122,$F488,Административные!$G$25:$G$122,$G488)</f>
        <v>0</v>
      </c>
      <c r="AU488" s="1115"/>
      <c r="AV488" s="1115"/>
      <c r="AW488" s="1115"/>
      <c r="AX488" s="1115"/>
      <c r="AY488" s="1115"/>
      <c r="AZ488" s="1115"/>
      <c r="BA488" s="1115"/>
      <c r="BB488" s="1115"/>
      <c r="BC488" s="1115"/>
      <c r="BD488" s="1114">
        <f>IF(AI488=0,0,(AT488-AI488)/AI488*100)</f>
        <v>0</v>
      </c>
      <c r="BE488" s="1115"/>
      <c r="BF488" s="1115"/>
      <c r="BG488" s="1115"/>
      <c r="BH488" s="1115"/>
      <c r="BI488" s="1115"/>
      <c r="BJ488" s="1115"/>
      <c r="BK488" s="1115"/>
      <c r="BL488" s="1115"/>
      <c r="BM488" s="1115"/>
      <c r="BN488" s="7433"/>
      <c r="BO488" s="7437" t="str">
        <f>IF(_xlfn.IFERROR(INDEX(Административные!$K$26:$L$122,MATCH($F488&amp;"11komm",Административные!$K$26:$K$122,0),2),"")=0,"",_xlfn.IFERROR(INDEX(Административные!$K$26:$L$122,MATCH($F488&amp;"11komm",Административные!$K$26:$K$122,0),2),""))</f>
        <v/>
      </c>
      <c r="BP488" s="7433"/>
      <c r="BQ488" s="1278"/>
      <c r="BR488" s="1278"/>
      <c r="BS488" s="1064" t="s">
        <v>1924</v>
      </c>
      <c r="BT488" s="1064"/>
      <c r="BU488" s="1064"/>
      <c r="BV488" s="979"/>
      <c r="BW488" s="979"/>
    </row>
    <row s="1834" customFormat="1" customHeight="1" ht="0">
      <c r="A489" s="1278"/>
      <c r="B489" s="978"/>
      <c r="C489" s="107"/>
      <c r="D489" s="107"/>
      <c r="E489" s="621">
        <v>15</v>
      </c>
      <c r="F489" s="50" cm="1" t="str">
        <f t="array" ref="F489:F489">OFFSET(E489,-1,1)</f>
        <v>3</v>
      </c>
      <c r="G489" s="107" t="s">
        <v>1925</v>
      </c>
      <c r="H489" s="857"/>
      <c r="I489" s="857" t="s">
        <v>2691</v>
      </c>
      <c r="J489" s="107"/>
      <c r="K489" s="378" t="s">
        <v>2691</v>
      </c>
      <c r="L489" s="980"/>
      <c r="M489" s="107"/>
      <c r="N489" s="107"/>
      <c r="O489" s="107"/>
      <c r="P489" s="107"/>
      <c r="Q489" s="107"/>
      <c r="R489" s="107"/>
      <c r="S489" s="107"/>
      <c r="T489" s="465" cm="1" t="str">
        <f t="array" ref="T489:T489">T488</f>
        <v>true</v>
      </c>
      <c r="U489" s="107"/>
      <c r="V489" s="107"/>
      <c r="W489" s="107"/>
      <c r="X489" s="1596"/>
      <c r="Y489" s="1278"/>
      <c r="Z489" s="1546"/>
      <c r="AA489" s="1278"/>
      <c r="AB489" s="300" t="s">
        <v>2692</v>
      </c>
      <c r="AC489" s="768" t="s">
        <v>1926</v>
      </c>
      <c r="AD489" s="300" t="s">
        <v>1514</v>
      </c>
      <c r="AE489" s="1114">
        <f>_xlfn.SUMIFS(Административные!AE$25:AE$122,Административные!$F$25:$F$122,$F489,Административные!$G$25:$G$122,$G489)</f>
        <v>0</v>
      </c>
      <c r="AF489" s="1114">
        <f>_xlfn.SUMIFS(Административные!AF$25:AF$122,Административные!$F$25:$F$122,$F489,Административные!$G$25:$G$122,$G489)</f>
        <v>0</v>
      </c>
      <c r="AG489" s="1114">
        <f>_xlfn.SUMIFS(Административные!AG$25:AG$122,Административные!$F$25:$F$122,$F489,Административные!$G$25:$G$122,$G489)</f>
        <v>0</v>
      </c>
      <c r="AH489" s="1114">
        <f>AG489-AF489</f>
        <v>0</v>
      </c>
      <c r="AI489" s="1114">
        <f>_xlfn.SUMIFS(Административные!AH$25:AH$122,Административные!$F$25:$F$122,$F489,Административные!$G$25:$G$122,$G489)</f>
        <v>0</v>
      </c>
      <c r="AJ489" s="1114">
        <f>_xlfn.SUMIFS(Административные!AI$25:AI$122,Административные!$F$25:$F$122,$F489,Административные!$G$25:$G$122,$G489)</f>
        <v>0</v>
      </c>
      <c r="AK489" s="1115"/>
      <c r="AL489" s="1115"/>
      <c r="AM489" s="1115"/>
      <c r="AN489" s="1115"/>
      <c r="AO489" s="1115"/>
      <c r="AP489" s="1115"/>
      <c r="AQ489" s="1115"/>
      <c r="AR489" s="1115"/>
      <c r="AS489" s="1115"/>
      <c r="AT489" s="1114">
        <f>_xlfn.SUMIFS(Административные!AJ$25:AJ$122,Административные!$F$25:$F$122,$F489,Административные!$G$25:$G$122,$G489)</f>
        <v>0</v>
      </c>
      <c r="AU489" s="1115"/>
      <c r="AV489" s="1115"/>
      <c r="AW489" s="1115"/>
      <c r="AX489" s="1115"/>
      <c r="AY489" s="1115"/>
      <c r="AZ489" s="1115"/>
      <c r="BA489" s="1115"/>
      <c r="BB489" s="1115"/>
      <c r="BC489" s="1115"/>
      <c r="BD489" s="1114">
        <f>IF(AI489=0,0,(AT489-AI489)/AI489*100)</f>
        <v>0</v>
      </c>
      <c r="BE489" s="1115"/>
      <c r="BF489" s="1115"/>
      <c r="BG489" s="1115"/>
      <c r="BH489" s="1115"/>
      <c r="BI489" s="1115"/>
      <c r="BJ489" s="1115"/>
      <c r="BK489" s="1115"/>
      <c r="BL489" s="1115"/>
      <c r="BM489" s="1115"/>
      <c r="BN489" s="7433"/>
      <c r="BO489" s="7437" t="str">
        <f>IF(_xlfn.IFERROR(INDEX(Административные!$K$26:$L$122,MATCH($F489&amp;"12komm",Административные!$K$26:$K$122,0),2),"")=0,"",_xlfn.IFERROR(INDEX(Административные!$K$26:$L$122,MATCH($F489&amp;"12komm",Административные!$K$26:$K$122,0),2),""))</f>
        <v/>
      </c>
      <c r="BP489" s="7433"/>
      <c r="BQ489" s="1278"/>
      <c r="BR489" s="1278"/>
      <c r="BS489" s="1064" t="s">
        <v>1927</v>
      </c>
      <c r="BT489" s="1064"/>
      <c r="BU489" s="1064"/>
      <c r="BV489" s="979"/>
      <c r="BW489" s="979"/>
    </row>
    <row s="1834" customFormat="1" customHeight="1" ht="0">
      <c r="A490" s="1278"/>
      <c r="B490" s="978"/>
      <c r="C490" s="107"/>
      <c r="D490" s="107"/>
      <c r="E490" s="621">
        <v>15</v>
      </c>
      <c r="F490" s="50" cm="1" t="str">
        <f t="array" ref="F490:F490">OFFSET(E490,-1,1)</f>
        <v>3</v>
      </c>
      <c r="G490" s="107" t="s">
        <v>1928</v>
      </c>
      <c r="H490" s="857"/>
      <c r="I490" s="857" t="s">
        <v>2693</v>
      </c>
      <c r="J490" s="107"/>
      <c r="K490" s="378" t="s">
        <v>2693</v>
      </c>
      <c r="L490" s="980"/>
      <c r="M490" s="107"/>
      <c r="N490" s="107"/>
      <c r="O490" s="107"/>
      <c r="P490" s="107"/>
      <c r="Q490" s="107"/>
      <c r="R490" s="107"/>
      <c r="S490" s="107"/>
      <c r="T490" s="465" cm="1" t="str">
        <f t="array" ref="T490:T490">T489</f>
        <v>true</v>
      </c>
      <c r="U490" s="107"/>
      <c r="V490" s="107"/>
      <c r="W490" s="107"/>
      <c r="X490" s="1596"/>
      <c r="Y490" s="1278"/>
      <c r="Z490" s="1546"/>
      <c r="AA490" s="1278"/>
      <c r="AB490" s="300" t="s">
        <v>2694</v>
      </c>
      <c r="AC490" s="768" t="s">
        <v>1929</v>
      </c>
      <c r="AD490" s="300" t="s">
        <v>1514</v>
      </c>
      <c r="AE490" s="1114">
        <f>_xlfn.SUMIFS(Административные!AE$25:AE$122,Административные!$F$25:$F$122,$F490,Административные!$G$25:$G$122,$G490)</f>
        <v>0</v>
      </c>
      <c r="AF490" s="1114">
        <f>_xlfn.SUMIFS(Административные!AF$25:AF$122,Административные!$F$25:$F$122,$F490,Административные!$G$25:$G$122,$G490)</f>
        <v>0</v>
      </c>
      <c r="AG490" s="1114">
        <f>_xlfn.SUMIFS(Административные!AG$25:AG$122,Административные!$F$25:$F$122,$F490,Административные!$G$25:$G$122,$G490)</f>
        <v>0</v>
      </c>
      <c r="AH490" s="1114">
        <f>AG490-AF490</f>
        <v>0</v>
      </c>
      <c r="AI490" s="1114">
        <f>_xlfn.SUMIFS(Административные!AH$25:AH$122,Административные!$F$25:$F$122,$F490,Административные!$G$25:$G$122,$G490)</f>
        <v>0</v>
      </c>
      <c r="AJ490" s="1114">
        <f>_xlfn.SUMIFS(Административные!AI$25:AI$122,Административные!$F$25:$F$122,$F490,Административные!$G$25:$G$122,$G490)</f>
        <v>0</v>
      </c>
      <c r="AK490" s="1115"/>
      <c r="AL490" s="1115"/>
      <c r="AM490" s="1115"/>
      <c r="AN490" s="1115"/>
      <c r="AO490" s="1115"/>
      <c r="AP490" s="1115"/>
      <c r="AQ490" s="1115"/>
      <c r="AR490" s="1115"/>
      <c r="AS490" s="1115"/>
      <c r="AT490" s="1114">
        <f>_xlfn.SUMIFS(Административные!AJ$25:AJ$122,Административные!$F$25:$F$122,$F490,Административные!$G$25:$G$122,$G490)</f>
        <v>0</v>
      </c>
      <c r="AU490" s="1115"/>
      <c r="AV490" s="1115"/>
      <c r="AW490" s="1115"/>
      <c r="AX490" s="1115"/>
      <c r="AY490" s="1115"/>
      <c r="AZ490" s="1115"/>
      <c r="BA490" s="1115"/>
      <c r="BB490" s="1115"/>
      <c r="BC490" s="1115"/>
      <c r="BD490" s="1114">
        <f>IF(AI490=0,0,(AT490-AI490)/AI490*100)</f>
        <v>0</v>
      </c>
      <c r="BE490" s="1115"/>
      <c r="BF490" s="1115"/>
      <c r="BG490" s="1115"/>
      <c r="BH490" s="1115"/>
      <c r="BI490" s="1115"/>
      <c r="BJ490" s="1115"/>
      <c r="BK490" s="1115"/>
      <c r="BL490" s="1115"/>
      <c r="BM490" s="1115"/>
      <c r="BN490" s="7433"/>
      <c r="BO490" s="7437" t="str">
        <f>IF(_xlfn.IFERROR(INDEX(Административные!$K$26:$L$122,MATCH($F490&amp;"13komm",Административные!$K$26:$K$122,0),2),"")=0,"",_xlfn.IFERROR(INDEX(Административные!$K$26:$L$122,MATCH($F490&amp;"13komm",Административные!$K$26:$K$122,0),2),""))</f>
        <v/>
      </c>
      <c r="BP490" s="7433"/>
      <c r="BQ490" s="1278"/>
      <c r="BR490" s="1278"/>
      <c r="BS490" s="1064" t="s">
        <v>1930</v>
      </c>
      <c r="BT490" s="1064"/>
      <c r="BU490" s="1064"/>
      <c r="BV490" s="979"/>
      <c r="BW490" s="979"/>
    </row>
    <row s="1834" customFormat="1" customHeight="1" ht="0">
      <c r="A491" s="1278"/>
      <c r="B491" s="978"/>
      <c r="C491" s="107"/>
      <c r="D491" s="107"/>
      <c r="E491" s="621">
        <v>15</v>
      </c>
      <c r="F491" s="50" cm="1" t="str">
        <f t="array" ref="F491:F491">OFFSET(E491,-1,1)</f>
        <v>3</v>
      </c>
      <c r="G491" s="107" t="s">
        <v>1931</v>
      </c>
      <c r="H491" s="857"/>
      <c r="I491" s="857" t="s">
        <v>2695</v>
      </c>
      <c r="J491" s="107"/>
      <c r="K491" s="378" t="s">
        <v>2695</v>
      </c>
      <c r="L491" s="980"/>
      <c r="M491" s="107"/>
      <c r="N491" s="107"/>
      <c r="O491" s="107"/>
      <c r="P491" s="107"/>
      <c r="Q491" s="107"/>
      <c r="R491" s="107"/>
      <c r="S491" s="107"/>
      <c r="T491" s="465" cm="1" t="str">
        <f t="array" ref="T491:T491">T490</f>
        <v>true</v>
      </c>
      <c r="U491" s="107"/>
      <c r="V491" s="107"/>
      <c r="W491" s="107"/>
      <c r="X491" s="1596"/>
      <c r="Y491" s="1278"/>
      <c r="Z491" s="1546"/>
      <c r="AA491" s="1278"/>
      <c r="AB491" s="300" t="s">
        <v>2696</v>
      </c>
      <c r="AC491" s="768" t="s">
        <v>1932</v>
      </c>
      <c r="AD491" s="300" t="s">
        <v>1514</v>
      </c>
      <c r="AE491" s="787">
        <f>_xlfn.SUMIFS(Административные!AE$25:AE$122,Административные!$F$25:$F$122,$F491,Административные!$G$25:$G$122,$G491)</f>
        <v>0</v>
      </c>
      <c r="AF491" s="787">
        <f>_xlfn.SUMIFS(Административные!AF$25:AF$122,Административные!$F$25:$F$122,$F491,Административные!$G$25:$G$122,$G491)</f>
        <v>0</v>
      </c>
      <c r="AG491" s="787">
        <f>_xlfn.SUMIFS(Административные!AG$25:AG$122,Административные!$F$25:$F$122,$F491,Административные!$G$25:$G$122,$G491)</f>
        <v>0</v>
      </c>
      <c r="AH491" s="767">
        <f>AG491-AF491</f>
        <v>0</v>
      </c>
      <c r="AI491" s="787">
        <f>_xlfn.SUMIFS(Административные!AH$25:AH$122,Административные!$F$25:$F$122,$F491,Административные!$G$25:$G$122,$G491)</f>
        <v>0</v>
      </c>
      <c r="AJ491" s="787">
        <f>_xlfn.SUMIFS(Административные!AI$25:AI$122,Административные!$F$25:$F$122,$F491,Административные!$G$25:$G$122,$G491)</f>
        <v>0</v>
      </c>
      <c r="AK491" s="763"/>
      <c r="AL491" s="763"/>
      <c r="AM491" s="763"/>
      <c r="AN491" s="763"/>
      <c r="AO491" s="763"/>
      <c r="AP491" s="763"/>
      <c r="AQ491" s="763"/>
      <c r="AR491" s="763"/>
      <c r="AS491" s="763"/>
      <c r="AT491" s="787">
        <f>_xlfn.SUMIFS(Административные!AJ$25:AJ$122,Административные!$F$25:$F$122,$F491,Административные!$G$25:$G$122,$G491)</f>
        <v>0</v>
      </c>
      <c r="AU491" s="1115"/>
      <c r="AV491" s="1115"/>
      <c r="AW491" s="1115"/>
      <c r="AX491" s="1115"/>
      <c r="AY491" s="1115"/>
      <c r="AZ491" s="1115"/>
      <c r="BA491" s="1115"/>
      <c r="BB491" s="1115"/>
      <c r="BC491" s="1115"/>
      <c r="BD491" s="1114">
        <f>IF(AI491=0,0,(AT491-AI491)/AI491*100)</f>
        <v>0</v>
      </c>
      <c r="BE491" s="1115"/>
      <c r="BF491" s="1115"/>
      <c r="BG491" s="1115"/>
      <c r="BH491" s="1115"/>
      <c r="BI491" s="1115"/>
      <c r="BJ491" s="1115"/>
      <c r="BK491" s="1115"/>
      <c r="BL491" s="1115"/>
      <c r="BM491" s="1115"/>
      <c r="BN491" s="7433"/>
      <c r="BO491" s="7437" t="str">
        <f>IF(_xlfn.IFERROR(INDEX(Административные!$K$26:$L$122,MATCH($F491&amp;"14komm",Административные!$K$26:$K$122,0),2),"")=0,"",_xlfn.IFERROR(INDEX(Административные!$K$26:$L$122,MATCH($F491&amp;"14komm",Административные!$K$26:$K$122,0),2),""))</f>
        <v/>
      </c>
      <c r="BP491" s="7433"/>
      <c r="BQ491" s="1278"/>
      <c r="BR491" s="1278"/>
      <c r="BS491" s="1064" t="s">
        <v>2697</v>
      </c>
      <c r="BT491" s="1064"/>
      <c r="BU491" s="1064"/>
      <c r="BV491" s="979"/>
      <c r="BW491" s="979"/>
    </row>
    <row s="1834" customFormat="1" customHeight="1" ht="24">
      <c r="A492" s="1278"/>
      <c r="B492" s="978"/>
      <c r="C492" s="107"/>
      <c r="D492" s="107"/>
      <c r="E492" s="621">
        <v>15</v>
      </c>
      <c r="F492" s="50" cm="1" t="str">
        <f t="array" ref="F492:F492">OFFSET(E492,-1,1)</f>
        <v>3</v>
      </c>
      <c r="G492" s="107" t="s">
        <v>1934</v>
      </c>
      <c r="H492" s="857"/>
      <c r="I492" s="857" t="s">
        <v>2698</v>
      </c>
      <c r="J492" s="107"/>
      <c r="K492" s="378" t="s">
        <v>2698</v>
      </c>
      <c r="L492" s="980"/>
      <c r="M492" s="107"/>
      <c r="N492" s="107"/>
      <c r="O492" s="107"/>
      <c r="P492" s="107"/>
      <c r="Q492" s="107"/>
      <c r="R492" s="107"/>
      <c r="S492" s="107"/>
      <c r="T492" s="465" cm="1" t="str">
        <f t="array" ref="T492:T492">T491</f>
        <v>true</v>
      </c>
      <c r="U492" s="107"/>
      <c r="V492" s="107"/>
      <c r="W492" s="107"/>
      <c r="X492" s="1596"/>
      <c r="Y492" s="1278"/>
      <c r="Z492" s="1546"/>
      <c r="AA492" s="1278"/>
      <c r="AB492" s="300" t="s">
        <v>2699</v>
      </c>
      <c r="AC492" s="768" t="s">
        <v>1937</v>
      </c>
      <c r="AD492" s="300" t="s">
        <v>1514</v>
      </c>
      <c r="AE492" s="1114">
        <f>_xlfn.SUMIFS(Административные!AE$25:AE$122,Административные!$F$25:$F$122,$F492,Административные!$G$25:$G$122,$G492)</f>
        <v>0</v>
      </c>
      <c r="AF492" s="1114">
        <f>_xlfn.SUMIFS(Административные!AF$25:AF$122,Административные!$F$25:$F$122,$F492,Административные!$G$25:$G$122,$G492)</f>
        <v>0</v>
      </c>
      <c r="AG492" s="1114">
        <f>_xlfn.SUMIFS(Административные!AG$25:AG$122,Административные!$F$25:$F$122,$F492,Административные!$G$25:$G$122,$G492)</f>
        <v>0</v>
      </c>
      <c r="AH492" s="1114">
        <f>AG492-AF492</f>
        <v>0</v>
      </c>
      <c r="AI492" s="1114">
        <f>_xlfn.SUMIFS(Административные!AH$25:AH$122,Административные!$F$25:$F$122,$F492,Административные!$G$25:$G$122,$G492)</f>
        <v>0</v>
      </c>
      <c r="AJ492" s="1114">
        <f>_xlfn.SUMIFS(Административные!AI$25:AI$122,Административные!$F$25:$F$122,$F492,Административные!$G$25:$G$122,$G492)</f>
        <v>20.75</v>
      </c>
      <c r="AK492" s="1115"/>
      <c r="AL492" s="1115"/>
      <c r="AM492" s="1115"/>
      <c r="AN492" s="1115"/>
      <c r="AO492" s="1115"/>
      <c r="AP492" s="1115"/>
      <c r="AQ492" s="1115"/>
      <c r="AR492" s="1115"/>
      <c r="AS492" s="1115"/>
      <c r="AT492" s="1114">
        <f>_xlfn.SUMIFS(Административные!AJ$25:AJ$122,Административные!$F$25:$F$122,$F492,Административные!$G$25:$G$122,$G492)</f>
        <v>20.75</v>
      </c>
      <c r="AU492" s="1115"/>
      <c r="AV492" s="1115"/>
      <c r="AW492" s="1115"/>
      <c r="AX492" s="1115"/>
      <c r="AY492" s="1115"/>
      <c r="AZ492" s="1115"/>
      <c r="BA492" s="1115"/>
      <c r="BB492" s="1115"/>
      <c r="BC492" s="1115"/>
      <c r="BD492" s="1114">
        <f>IF(AI492=0,0,(AT492-AI492)/AI492*100)</f>
        <v>0</v>
      </c>
      <c r="BE492" s="1115"/>
      <c r="BF492" s="1115"/>
      <c r="BG492" s="1115"/>
      <c r="BH492" s="1115"/>
      <c r="BI492" s="1115"/>
      <c r="BJ492" s="1115"/>
      <c r="BK492" s="1115"/>
      <c r="BL492" s="1115"/>
      <c r="BM492" s="1115"/>
      <c r="BN492" s="7433"/>
      <c r="BO492" s="7437" t="str">
        <f>IF(_xlfn.IFERROR(INDEX(Административные!$K$26:$L$122,MATCH($F492&amp;"15komm",Административные!$K$26:$K$122,0),2),"")=0,"",_xlfn.IFERROR(INDEX(Административные!$K$26:$L$122,MATCH($F492&amp;"15komm",Административные!$K$26:$K$122,0),2),""))</f>
        <v>по расчету организации, не превышает факт 2025 года предыдущей организации.</v>
      </c>
      <c r="BP492" s="7433"/>
      <c r="BQ492" s="1278"/>
      <c r="BR492" s="1278"/>
      <c r="BS492" s="1064" t="s">
        <v>1938</v>
      </c>
      <c r="BT492" s="1064"/>
      <c r="BU492" s="1064"/>
      <c r="BV492" s="979"/>
      <c r="BW492" s="979"/>
    </row>
    <row s="1834" customFormat="1" customHeight="1" ht="214.5">
      <c r="A493" s="1278"/>
      <c r="B493" s="978"/>
      <c r="C493" s="107"/>
      <c r="D493" s="107"/>
      <c r="E493" s="621">
        <v>15</v>
      </c>
      <c r="F493" s="50" cm="1" t="str">
        <f t="array" ref="F493:F493">OFFSET(E493,-1,1)</f>
        <v>3</v>
      </c>
      <c r="G493" s="107" t="s">
        <v>1939</v>
      </c>
      <c r="H493" s="857"/>
      <c r="I493" s="857" t="s">
        <v>2700</v>
      </c>
      <c r="J493" s="107"/>
      <c r="K493" s="378" t="s">
        <v>2700</v>
      </c>
      <c r="L493" s="980"/>
      <c r="M493" s="107"/>
      <c r="N493" s="107"/>
      <c r="O493" s="107"/>
      <c r="P493" s="107"/>
      <c r="Q493" s="107"/>
      <c r="R493" s="107"/>
      <c r="S493" s="107"/>
      <c r="T493" s="465" cm="1" t="str">
        <f t="array" ref="T493:T493">T492</f>
        <v>true</v>
      </c>
      <c r="U493" s="107"/>
      <c r="V493" s="107"/>
      <c r="W493" s="107"/>
      <c r="X493" s="1596"/>
      <c r="Y493" s="1278"/>
      <c r="Z493" s="1546"/>
      <c r="AA493" s="1278"/>
      <c r="AB493" s="300" t="s">
        <v>2701</v>
      </c>
      <c r="AC493" s="768" t="s">
        <v>1942</v>
      </c>
      <c r="AD493" s="300" t="s">
        <v>1514</v>
      </c>
      <c r="AE493" s="1114">
        <f>_xlfn.SUMIFS(Административные!AE$25:AE$122,Административные!$F$25:$F$122,$F493,Административные!$G$25:$G$122,$G493)</f>
        <v>0</v>
      </c>
      <c r="AF493" s="1114">
        <f>_xlfn.SUMIFS(Административные!AF$25:AF$122,Административные!$F$25:$F$122,$F493,Административные!$G$25:$G$122,$G493)</f>
        <v>0</v>
      </c>
      <c r="AG493" s="1114">
        <f>_xlfn.SUMIFS(Административные!AG$25:AG$122,Административные!$F$25:$F$122,$F493,Административные!$G$25:$G$122,$G493)</f>
        <v>0</v>
      </c>
      <c r="AH493" s="1114">
        <f>AG493-AF493</f>
        <v>0</v>
      </c>
      <c r="AI493" s="1114">
        <f>_xlfn.SUMIFS(Административные!AH$25:AH$122,Административные!$F$25:$F$122,$F493,Административные!$G$25:$G$122,$G493)</f>
        <v>0</v>
      </c>
      <c r="AJ493" s="1114">
        <f>_xlfn.SUMIFS(Административные!AI$25:AI$122,Административные!$F$25:$F$122,$F493,Административные!$G$25:$G$122,$G493)</f>
        <v>2210.02335</v>
      </c>
      <c r="AK493" s="1115"/>
      <c r="AL493" s="1115"/>
      <c r="AM493" s="1115"/>
      <c r="AN493" s="1115"/>
      <c r="AO493" s="1115"/>
      <c r="AP493" s="1115"/>
      <c r="AQ493" s="1115"/>
      <c r="AR493" s="1115"/>
      <c r="AS493" s="1115"/>
      <c r="AT493" s="1114">
        <f>_xlfn.SUMIFS(Административные!AJ$25:AJ$122,Административные!$F$25:$F$122,$F493,Административные!$G$25:$G$122,$G493)</f>
        <v>2210.12335</v>
      </c>
      <c r="AU493" s="1115"/>
      <c r="AV493" s="1115"/>
      <c r="AW493" s="1115"/>
      <c r="AX493" s="1115"/>
      <c r="AY493" s="1115"/>
      <c r="AZ493" s="1115"/>
      <c r="BA493" s="1115"/>
      <c r="BB493" s="1115"/>
      <c r="BC493" s="1115"/>
      <c r="BD493" s="1114">
        <f>IF(AI493=0,0,(AT493-AI493)/AI493*100)</f>
        <v>0</v>
      </c>
      <c r="BE493" s="1115"/>
      <c r="BF493" s="1115"/>
      <c r="BG493" s="1115"/>
      <c r="BH493" s="1115"/>
      <c r="BI493" s="1115"/>
      <c r="BJ493" s="1115"/>
      <c r="BK493" s="1115"/>
      <c r="BL493" s="1115"/>
      <c r="BM493" s="1115"/>
      <c r="BN493" s="7433"/>
      <c r="BO493" s="7437" t="str">
        <f>IF(_xlfn.IFERROR(INDEX(Административные!$K$26:$L$122,MATCH($F493&amp;"16komm",Административные!$K$26:$K$122,0),2),"")=0,"",_xlfn.IFERROR(INDEX(Административные!$K$26:$L$122,MATCH($F493&amp;"16komm",Административные!$K$26:$K$122,0),2),""))</f>
        <v>Учтены расходы:
1.	По факту с января по май 2025 года в пересчете на годовые показатели, с применением ИПЦ Минэкономразвития России на 2026 год 105,1%:
- расходы на канцелярию 47,92 т.р.;
- прочие услуги 52,09 т.р.
- почтовые расходы, типография, обсл.оргтех. 22,06 т.р.;
2. Услуги по начисл. и сбору ВС и ВО 1350,47 т.р. по факту с июня 2024 года по май 2025 года, с применением ИЦП Минэкономразвития на 2025 год 109,0%, на 2026 год 105,1%.
3. Электроэнергия 443,70 т.р. по факту с июня 2024 года по май 2025 года, с применением ИЦП Минэкономразвития на 2025 год 114,4%, на 2026 год 113,2%;
4. Прочие расходы (спец.одежда, инструм., хозинвент., матер.на общехоз.и произв.нужды) 273,84 т.р. по факту с июня по декабрь 2024 года предыдущей организации в пересчете на годовые показатели, с применением ИПЦ Минэкономразвития на 2025 год 109,0%, на 2026 год 105,1%;
 5. ТБО 20,04 т.р. по расчету организации не превышает факт 2025 предыдущей организации.</v>
      </c>
      <c r="BP493" s="7433"/>
      <c r="BQ493" s="1278"/>
      <c r="BR493" s="1278"/>
      <c r="BS493" s="1064" t="s">
        <v>2702</v>
      </c>
      <c r="BT493" s="1064"/>
      <c r="BU493" s="1064"/>
      <c r="BV493" s="979"/>
      <c r="BW493" s="979"/>
    </row>
    <row s="1834" customFormat="1" customHeight="1" ht="33.75">
      <c r="A494" s="1278"/>
      <c r="B494" s="978"/>
      <c r="C494" s="107"/>
      <c r="D494" s="107"/>
      <c r="E494" s="621">
        <v>22.5</v>
      </c>
      <c r="F494" s="50" cm="1" t="str">
        <f t="array" ref="F494:F494">OFFSET(E494,-1,1)</f>
        <v>3</v>
      </c>
      <c r="G494" s="107"/>
      <c r="H494" s="857"/>
      <c r="I494" s="857" t="s">
        <v>2096</v>
      </c>
      <c r="J494" s="107"/>
      <c r="K494" s="378" t="s">
        <v>2096</v>
      </c>
      <c r="L494" s="980" t="s">
        <v>1660</v>
      </c>
      <c r="M494" s="107"/>
      <c r="N494" s="107"/>
      <c r="O494" s="107"/>
      <c r="P494" s="107"/>
      <c r="Q494" s="107"/>
      <c r="R494" s="107"/>
      <c r="S494" s="107"/>
      <c r="T494" s="465" cm="1" t="str">
        <f t="array" ref="T494:T494">T493</f>
        <v>true</v>
      </c>
      <c r="U494" s="107"/>
      <c r="V494" s="107"/>
      <c r="W494" s="107"/>
      <c r="X494" s="1596"/>
      <c r="Y494" s="1278"/>
      <c r="Z494" s="1546"/>
      <c r="AA494" s="1278"/>
      <c r="AB494" s="300" t="s">
        <v>1755</v>
      </c>
      <c r="AC494" s="765" t="s">
        <v>2703</v>
      </c>
      <c r="AD494" s="300" t="s">
        <v>1514</v>
      </c>
      <c r="AE494" s="1116">
        <f>AE495+AE496</f>
        <v>0</v>
      </c>
      <c r="AF494" s="1116">
        <f>AF495+AF496</f>
        <v>0</v>
      </c>
      <c r="AG494" s="1116">
        <f>AG495+AG496</f>
        <v>0</v>
      </c>
      <c r="AH494" s="1114">
        <f>AG494-AF494</f>
        <v>0</v>
      </c>
      <c r="AI494" s="1116">
        <f>AI495+AI496</f>
        <v>0</v>
      </c>
      <c r="AJ494" s="1116">
        <f>AJ495+AJ496</f>
        <v>14740.5278195243</v>
      </c>
      <c r="AK494" s="1115"/>
      <c r="AL494" s="1115"/>
      <c r="AM494" s="1115"/>
      <c r="AN494" s="1115"/>
      <c r="AO494" s="1115"/>
      <c r="AP494" s="1115"/>
      <c r="AQ494" s="1115"/>
      <c r="AR494" s="1115"/>
      <c r="AS494" s="1115"/>
      <c r="AT494" s="1116">
        <f>AT495+AT496</f>
        <v>14740.5278195243</v>
      </c>
      <c r="AU494" s="1115"/>
      <c r="AV494" s="1115"/>
      <c r="AW494" s="1115"/>
      <c r="AX494" s="1115"/>
      <c r="AY494" s="1115"/>
      <c r="AZ494" s="1115"/>
      <c r="BA494" s="1115"/>
      <c r="BB494" s="1115"/>
      <c r="BC494" s="1115"/>
      <c r="BD494" s="1114">
        <f>IF(AI494=0,0,(AT494-AI494)/AI494*100)</f>
        <v>0</v>
      </c>
      <c r="BE494" s="1115"/>
      <c r="BF494" s="1115"/>
      <c r="BG494" s="1115"/>
      <c r="BH494" s="1115"/>
      <c r="BI494" s="1115"/>
      <c r="BJ494" s="1115"/>
      <c r="BK494" s="1115"/>
      <c r="BL494" s="1115"/>
      <c r="BM494" s="1115"/>
      <c r="BN494" s="7433"/>
      <c r="BO494" s="7433" t="s">
        <v>2919</v>
      </c>
      <c r="BP494" s="7433"/>
      <c r="BQ494" s="1278"/>
      <c r="BR494" s="1278"/>
      <c r="BS494" s="1062" t="s">
        <v>2517</v>
      </c>
      <c r="BT494" s="1064"/>
      <c r="BU494" s="1064"/>
      <c r="BV494" s="979"/>
      <c r="BW494" s="979"/>
    </row>
    <row s="1834" customFormat="1" customHeight="1" ht="23.25">
      <c r="A495" s="1278"/>
      <c r="B495" s="978"/>
      <c r="C495" s="107"/>
      <c r="D495" s="107"/>
      <c r="E495" s="621">
        <v>15</v>
      </c>
      <c r="F495" s="50" cm="1" t="str">
        <f t="array" ref="F495:F495">OFFSET(E495,-1,1)</f>
        <v>3</v>
      </c>
      <c r="G495" s="107" t="s">
        <v>1889</v>
      </c>
      <c r="H495" s="857"/>
      <c r="I495" s="857" t="s">
        <v>2704</v>
      </c>
      <c r="J495" s="107"/>
      <c r="K495" s="378" t="s">
        <v>2704</v>
      </c>
      <c r="L495" s="980" t="s">
        <v>1211</v>
      </c>
      <c r="M495" s="107"/>
      <c r="N495" s="107"/>
      <c r="O495" s="107"/>
      <c r="P495" s="107"/>
      <c r="Q495" s="107"/>
      <c r="R495" s="107"/>
      <c r="S495" s="107"/>
      <c r="T495" s="465" cm="1" t="str">
        <f t="array" ref="T495:T495">T494</f>
        <v>true</v>
      </c>
      <c r="U495" s="107"/>
      <c r="V495" s="107"/>
      <c r="W495" s="107"/>
      <c r="X495" s="1596"/>
      <c r="Y495" s="1278"/>
      <c r="Z495" s="1546"/>
      <c r="AA495" s="1278"/>
      <c r="AB495" s="300" t="s">
        <v>2705</v>
      </c>
      <c r="AC495" s="768" t="s">
        <v>2518</v>
      </c>
      <c r="AD495" s="771" t="s">
        <v>1514</v>
      </c>
      <c r="AE495" s="1114">
        <f>_xlfn.SUMIFS(ФОТ!AE$25:AE$188,ФОТ!$F$25:$F$188,$F495,ФОТ!$G$25:$G$188,$G495)</f>
        <v>0</v>
      </c>
      <c r="AF495" s="1114">
        <f>_xlfn.SUMIFS(ФОТ!AF$25:AF$188,ФОТ!$F$25:$F$188,$F495,ФОТ!$G$25:$G$188,$G495)</f>
        <v>0</v>
      </c>
      <c r="AG495" s="1114">
        <f>_xlfn.SUMIFS(ФОТ!AG$25:AG$188,ФОТ!$F$25:$F$188,$F495,ФОТ!$G$25:$G$188,$G495)</f>
        <v>0</v>
      </c>
      <c r="AH495" s="1114">
        <f>AG495-AF495</f>
        <v>0</v>
      </c>
      <c r="AI495" s="1114">
        <f>_xlfn.SUMIFS(ФОТ!AH$25:AH$188,ФОТ!$F$25:$F$188,$F495,ФОТ!$G$25:$G$188,$G495)</f>
        <v>0</v>
      </c>
      <c r="AJ495" s="1114">
        <f>_xlfn.SUMIFS(ФОТ!AI$25:AI$188,ФОТ!$F$25:$F$188,$F495,ФОТ!$G$25:$G$188,$G495)</f>
        <v>11321.4499381907</v>
      </c>
      <c r="AK495" s="1115"/>
      <c r="AL495" s="1115"/>
      <c r="AM495" s="1115"/>
      <c r="AN495" s="1115"/>
      <c r="AO495" s="1115"/>
      <c r="AP495" s="1115"/>
      <c r="AQ495" s="1115"/>
      <c r="AR495" s="1115"/>
      <c r="AS495" s="1115"/>
      <c r="AT495" s="1114">
        <f>_xlfn.SUMIFS(ФОТ!AJ$25:AJ$188,ФОТ!$F$25:$F$188,$F495,ФОТ!$G$25:$G$188,$G495)</f>
        <v>11321.4499381907</v>
      </c>
      <c r="AU495" s="1115"/>
      <c r="AV495" s="1115"/>
      <c r="AW495" s="1115"/>
      <c r="AX495" s="1115"/>
      <c r="AY495" s="1115"/>
      <c r="AZ495" s="1115"/>
      <c r="BA495" s="1115"/>
      <c r="BB495" s="1115"/>
      <c r="BC495" s="1115"/>
      <c r="BD495" s="1114">
        <f>IF(AI495=0,0,(AT495-AI495)/AI495*100)</f>
        <v>0</v>
      </c>
      <c r="BE495" s="1115"/>
      <c r="BF495" s="1115"/>
      <c r="BG495" s="1115"/>
      <c r="BH495" s="1115"/>
      <c r="BI495" s="1115"/>
      <c r="BJ495" s="1115"/>
      <c r="BK495" s="1115"/>
      <c r="BL495" s="1115"/>
      <c r="BM495" s="1115"/>
      <c r="BN495" s="7433"/>
      <c r="BO495" s="7437" t="s">
        <v>2920</v>
      </c>
      <c r="BP495" s="7433"/>
      <c r="BQ495" s="1278"/>
      <c r="BR495" s="1278"/>
      <c r="BS495" s="1062" t="s">
        <v>1915</v>
      </c>
      <c r="BT495" s="1064"/>
      <c r="BU495" s="1064"/>
      <c r="BV495" s="979"/>
      <c r="BW495" s="979"/>
    </row>
    <row s="1834" customFormat="1" customHeight="1" ht="33.75">
      <c r="A496" s="1278"/>
      <c r="B496" s="978"/>
      <c r="C496" s="107"/>
      <c r="D496" s="107"/>
      <c r="E496" s="621">
        <v>22.5</v>
      </c>
      <c r="F496" s="50" cm="1" t="str">
        <f t="array" ref="F496:F496">OFFSET(E496,-1,1)</f>
        <v>3</v>
      </c>
      <c r="G496" s="107" t="s">
        <v>1894</v>
      </c>
      <c r="H496" s="857"/>
      <c r="I496" s="857" t="s">
        <v>2706</v>
      </c>
      <c r="J496" s="107"/>
      <c r="K496" s="378" t="s">
        <v>2706</v>
      </c>
      <c r="L496" s="980" t="s">
        <v>1216</v>
      </c>
      <c r="M496" s="107"/>
      <c r="N496" s="107"/>
      <c r="O496" s="107"/>
      <c r="P496" s="107"/>
      <c r="Q496" s="107"/>
      <c r="R496" s="107"/>
      <c r="S496" s="107"/>
      <c r="T496" s="465" cm="1" t="str">
        <f t="array" ref="T496:T496">T495</f>
        <v>true</v>
      </c>
      <c r="U496" s="107"/>
      <c r="V496" s="107"/>
      <c r="W496" s="107"/>
      <c r="X496" s="1596"/>
      <c r="Y496" s="1278"/>
      <c r="Z496" s="1546"/>
      <c r="AA496" s="1278"/>
      <c r="AB496" s="300" t="s">
        <v>2707</v>
      </c>
      <c r="AC496" s="768" t="s">
        <v>2708</v>
      </c>
      <c r="AD496" s="300" t="s">
        <v>1514</v>
      </c>
      <c r="AE496" s="1114">
        <f>_xlfn.SUMIFS(ФОТ!AE$25:AE$188,ФОТ!$F$25:$F$188,$F496,ФОТ!$G$25:$G$188,$G496)</f>
        <v>0</v>
      </c>
      <c r="AF496" s="1114">
        <f>_xlfn.SUMIFS(ФОТ!AF$25:AF$188,ФОТ!$F$25:$F$188,$F496,ФОТ!$G$25:$G$188,$G496)</f>
        <v>0</v>
      </c>
      <c r="AG496" s="1114">
        <f>_xlfn.SUMIFS(ФОТ!AG$25:AG$188,ФОТ!$F$25:$F$188,$F496,ФОТ!$G$25:$G$188,$G496)</f>
        <v>0</v>
      </c>
      <c r="AH496" s="1114">
        <f>AG496-AF496</f>
        <v>0</v>
      </c>
      <c r="AI496" s="1114">
        <f>_xlfn.SUMIFS(ФОТ!AH$25:AH$188,ФОТ!$F$25:$F$188,$F496,ФОТ!$G$25:$G$188,$G496)</f>
        <v>0</v>
      </c>
      <c r="AJ496" s="1114">
        <f>_xlfn.SUMIFS(ФОТ!AI$25:AI$188,ФОТ!$F$25:$F$188,$F496,ФОТ!$G$25:$G$188,$G496)</f>
        <v>3419.07788133359</v>
      </c>
      <c r="AK496" s="1115"/>
      <c r="AL496" s="1115"/>
      <c r="AM496" s="1115"/>
      <c r="AN496" s="1115"/>
      <c r="AO496" s="1115"/>
      <c r="AP496" s="1115"/>
      <c r="AQ496" s="1115"/>
      <c r="AR496" s="1115"/>
      <c r="AS496" s="1115"/>
      <c r="AT496" s="1114">
        <f>_xlfn.SUMIFS(ФОТ!AJ$25:AJ$188,ФОТ!$F$25:$F$188,$F496,ФОТ!$G$25:$G$188,$G496)</f>
        <v>3419.07788133359</v>
      </c>
      <c r="AU496" s="1115"/>
      <c r="AV496" s="1115"/>
      <c r="AW496" s="1115"/>
      <c r="AX496" s="1115"/>
      <c r="AY496" s="1115"/>
      <c r="AZ496" s="1115"/>
      <c r="BA496" s="1115"/>
      <c r="BB496" s="1115"/>
      <c r="BC496" s="1115"/>
      <c r="BD496" s="1114">
        <f>IF(AI496=0,0,(AT496-AI496)/AI496*100)</f>
        <v>0</v>
      </c>
      <c r="BE496" s="1115"/>
      <c r="BF496" s="1115"/>
      <c r="BG496" s="1115"/>
      <c r="BH496" s="1115"/>
      <c r="BI496" s="1115"/>
      <c r="BJ496" s="1115"/>
      <c r="BK496" s="1115"/>
      <c r="BL496" s="1115"/>
      <c r="BM496" s="1115"/>
      <c r="BN496" s="7433"/>
      <c r="BO496" s="7437" t="str">
        <f>IF(_xlfn.IFERROR(INDEX(ФОТ!$K$26:$L$188,MATCH($F496&amp;"6komm",ФОТ!$K$26:$K$188,0),2),"")=0,"",_xlfn.IFERROR(INDEX(ФОТ!$K$26:$L$188,MATCH($F496&amp;"6komm",ФОТ!$K$26:$K$188,0),2),""))</f>
        <v>на основании Налогового кодекса РФ (часть вторая) от 05.08.2000 № 117-ФЗ в размере 30%, а также в соответствии с Федеральным законом от 24.07.1998 № 125 – ФЗ (0,20%).</v>
      </c>
      <c r="BP496" s="7433"/>
      <c r="BQ496" s="1278"/>
      <c r="BR496" s="1278"/>
      <c r="BS496" s="1062" t="s">
        <v>2520</v>
      </c>
      <c r="BT496" s="1064"/>
      <c r="BU496" s="1064"/>
      <c r="BV496" s="979"/>
      <c r="BW496" s="979"/>
    </row>
    <row s="1834" customFormat="1" customHeight="1" ht="0">
      <c r="A497" s="1278"/>
      <c r="B497" s="978"/>
      <c r="C497" s="107"/>
      <c r="D497" s="107"/>
      <c r="E497" s="621">
        <v>33.75</v>
      </c>
      <c r="F497" s="50" cm="1" t="str">
        <f t="array" ref="F497:F497">OFFSET(E497,-1,1)</f>
        <v>3</v>
      </c>
      <c r="G497" s="848" t="s">
        <v>1944</v>
      </c>
      <c r="H497" s="857"/>
      <c r="I497" s="857" t="s">
        <v>2099</v>
      </c>
      <c r="J497" s="107"/>
      <c r="K497" s="378" t="s">
        <v>2099</v>
      </c>
      <c r="L497" s="980" t="s">
        <v>1662</v>
      </c>
      <c r="M497" s="107"/>
      <c r="N497" s="107"/>
      <c r="O497" s="107"/>
      <c r="P497" s="107"/>
      <c r="Q497" s="107"/>
      <c r="R497" s="107"/>
      <c r="S497" s="107"/>
      <c r="T497" s="465" cm="1" t="str">
        <f t="array" ref="T497:T497">T496</f>
        <v>true</v>
      </c>
      <c r="U497" s="107"/>
      <c r="V497" s="107"/>
      <c r="W497" s="107"/>
      <c r="X497" s="1596"/>
      <c r="Y497" s="1278"/>
      <c r="Z497" s="1546"/>
      <c r="AA497" s="1278"/>
      <c r="AB497" s="300" t="s">
        <v>2100</v>
      </c>
      <c r="AC497" s="765" t="s">
        <v>2709</v>
      </c>
      <c r="AD497" s="300" t="s">
        <v>1514</v>
      </c>
      <c r="AE497" s="1114">
        <f>_xlfn.SUMIFS(Административные!AE$25:AE$122,Административные!$F$25:$F$122,$F497,Административные!$G$25:$G$122,$G497)</f>
        <v>0</v>
      </c>
      <c r="AF497" s="1114">
        <f>_xlfn.SUMIFS(Административные!AF$25:AF$122,Административные!$F$25:$F$122,$F497,Административные!$G$25:$G$122,$G497)</f>
        <v>0</v>
      </c>
      <c r="AG497" s="1114">
        <f>_xlfn.SUMIFS(Административные!AG$25:AG$122,Административные!$F$25:$F$122,$F497,Административные!$G$25:$G$122,$G497)</f>
        <v>0</v>
      </c>
      <c r="AH497" s="1114">
        <f>AG497-AF497</f>
        <v>0</v>
      </c>
      <c r="AI497" s="1114">
        <f>_xlfn.SUMIFS(Административные!AH$25:AH$122,Административные!$F$25:$F$122,$F497,Административные!$G$25:$G$122,$G497)</f>
        <v>0</v>
      </c>
      <c r="AJ497" s="1114">
        <f>_xlfn.SUMIFS(Административные!AI$25:AI$122,Административные!$F$25:$F$122,$F497,Административные!$G$25:$G$122,$G497)</f>
        <v>0</v>
      </c>
      <c r="AK497" s="1115"/>
      <c r="AL497" s="1115"/>
      <c r="AM497" s="1115"/>
      <c r="AN497" s="1115"/>
      <c r="AO497" s="1115"/>
      <c r="AP497" s="1115"/>
      <c r="AQ497" s="1115"/>
      <c r="AR497" s="1115"/>
      <c r="AS497" s="1115"/>
      <c r="AT497" s="1114">
        <f>_xlfn.SUMIFS(Административные!AJ$25:AJ$122,Административные!$F$25:$F$122,$F497,Административные!$G$25:$G$122,$G497)</f>
        <v>0</v>
      </c>
      <c r="AU497" s="1115"/>
      <c r="AV497" s="1115"/>
      <c r="AW497" s="1115"/>
      <c r="AX497" s="1115"/>
      <c r="AY497" s="1115"/>
      <c r="AZ497" s="1115"/>
      <c r="BA497" s="1115"/>
      <c r="BB497" s="1115"/>
      <c r="BC497" s="1115"/>
      <c r="BD497" s="1114">
        <f>IF(AI497=0,0,(AT497-AI497)/AI497*100)</f>
        <v>0</v>
      </c>
      <c r="BE497" s="1115"/>
      <c r="BF497" s="1115"/>
      <c r="BG497" s="1115"/>
      <c r="BH497" s="1115"/>
      <c r="BI497" s="1115"/>
      <c r="BJ497" s="1115"/>
      <c r="BK497" s="1115"/>
      <c r="BL497" s="1115"/>
      <c r="BM497" s="1115"/>
      <c r="BN497" s="7433"/>
      <c r="BO497" s="7437" t="str">
        <f>IF(_xlfn.IFERROR(INDEX(Административные!$K$26:$L$122,MATCH($F497&amp;"2komm",Административные!$K$26:$K$122,0),2),"")=0,"",_xlfn.IFERROR(INDEX(Административные!$K$26:$L$122,MATCH($F497&amp;"2komm",Административные!$K$26:$K$122,0),2),""))</f>
        <v/>
      </c>
      <c r="BP497" s="7433"/>
      <c r="BQ497" s="1278"/>
      <c r="BR497" s="1278"/>
      <c r="BS497" s="1062" t="s">
        <v>1946</v>
      </c>
      <c r="BT497" s="1064"/>
      <c r="BU497" s="1064"/>
      <c r="BV497" s="979"/>
      <c r="BW497" s="979"/>
    </row>
    <row s="1834" customFormat="1" customHeight="1" ht="0">
      <c r="A498" s="1278"/>
      <c r="B498" s="978"/>
      <c r="C498" s="107"/>
      <c r="D498" s="107"/>
      <c r="E498" s="621">
        <v>15</v>
      </c>
      <c r="F498" s="50" cm="1" t="str">
        <f t="array" ref="F498:F498">OFFSET(E498,-1,1)</f>
        <v>3</v>
      </c>
      <c r="G498" s="848" t="s">
        <v>1947</v>
      </c>
      <c r="H498" s="857"/>
      <c r="I498" s="857" t="s">
        <v>2103</v>
      </c>
      <c r="J498" s="107"/>
      <c r="K498" s="378" t="s">
        <v>2103</v>
      </c>
      <c r="L498" s="980" t="s">
        <v>1664</v>
      </c>
      <c r="M498" s="107"/>
      <c r="N498" s="107"/>
      <c r="O498" s="107"/>
      <c r="P498" s="107"/>
      <c r="Q498" s="107"/>
      <c r="R498" s="107"/>
      <c r="S498" s="107"/>
      <c r="T498" s="465" cm="1" t="str">
        <f t="array" ref="T498:T498">T497</f>
        <v>true</v>
      </c>
      <c r="U498" s="107"/>
      <c r="V498" s="107"/>
      <c r="W498" s="107"/>
      <c r="X498" s="1596"/>
      <c r="Y498" s="1278"/>
      <c r="Z498" s="1546"/>
      <c r="AA498" s="1278"/>
      <c r="AB498" s="300" t="s">
        <v>2104</v>
      </c>
      <c r="AC498" s="765" t="s">
        <v>2710</v>
      </c>
      <c r="AD498" s="300" t="s">
        <v>1514</v>
      </c>
      <c r="AE498" s="1114">
        <f>_xlfn.SUMIFS(Административные!AE$25:AE$122,Административные!$F$25:$F$122,$F498,Административные!$G$25:$G$122,$G498)</f>
        <v>0</v>
      </c>
      <c r="AF498" s="1114">
        <f>_xlfn.SUMIFS(Административные!AF$25:AF$122,Административные!$F$25:$F$122,$F498,Административные!$G$25:$G$122,$G498)</f>
        <v>0</v>
      </c>
      <c r="AG498" s="1114">
        <f>_xlfn.SUMIFS(Административные!AG$25:AG$122,Административные!$F$25:$F$122,$F498,Административные!$G$25:$G$122,$G498)</f>
        <v>0</v>
      </c>
      <c r="AH498" s="1114">
        <f>AG498-AF498</f>
        <v>0</v>
      </c>
      <c r="AI498" s="1114">
        <f>_xlfn.SUMIFS(Административные!AH$25:AH$122,Административные!$F$25:$F$122,$F498,Административные!$G$25:$G$122,$G498)</f>
        <v>0</v>
      </c>
      <c r="AJ498" s="1114">
        <f>_xlfn.SUMIFS(Административные!AI$25:AI$122,Административные!$F$25:$F$122,$F498,Административные!$G$25:$G$122,$G498)</f>
        <v>0</v>
      </c>
      <c r="AK498" s="1115"/>
      <c r="AL498" s="1115"/>
      <c r="AM498" s="1115"/>
      <c r="AN498" s="1115"/>
      <c r="AO498" s="1115"/>
      <c r="AP498" s="1115"/>
      <c r="AQ498" s="1115"/>
      <c r="AR498" s="1115"/>
      <c r="AS498" s="1115"/>
      <c r="AT498" s="1114">
        <f>_xlfn.SUMIFS(Административные!AJ$25:AJ$122,Административные!$F$25:$F$122,$F498,Административные!$G$25:$G$122,$G498)</f>
        <v>0</v>
      </c>
      <c r="AU498" s="1115"/>
      <c r="AV498" s="1115"/>
      <c r="AW498" s="1115"/>
      <c r="AX498" s="1115"/>
      <c r="AY498" s="1115"/>
      <c r="AZ498" s="1115"/>
      <c r="BA498" s="1115"/>
      <c r="BB498" s="1115"/>
      <c r="BC498" s="1115"/>
      <c r="BD498" s="1114">
        <f>IF(AI498=0,0,(AT498-AI498)/AI498*100)</f>
        <v>0</v>
      </c>
      <c r="BE498" s="1115"/>
      <c r="BF498" s="1115"/>
      <c r="BG498" s="1115"/>
      <c r="BH498" s="1115"/>
      <c r="BI498" s="1115"/>
      <c r="BJ498" s="1115"/>
      <c r="BK498" s="1115"/>
      <c r="BL498" s="1115"/>
      <c r="BM498" s="1115"/>
      <c r="BN498" s="7433"/>
      <c r="BO498" s="7437" t="str">
        <f>IF(_xlfn.IFERROR(INDEX(Административные!$K$26:$L$122,MATCH($F498&amp;"3komm",Административные!$K$26:$K$122,0),2),"")=0,"",_xlfn.IFERROR(INDEX(Административные!$K$26:$L$122,MATCH($F498&amp;"3komm",Административные!$K$26:$K$122,0),2),""))</f>
        <v/>
      </c>
      <c r="BP498" s="7433"/>
      <c r="BQ498" s="1278"/>
      <c r="BR498" s="1278"/>
      <c r="BS498" s="1062" t="s">
        <v>1949</v>
      </c>
      <c r="BT498" s="1064"/>
      <c r="BU498" s="1064"/>
      <c r="BV498" s="979"/>
      <c r="BW498" s="979"/>
    </row>
    <row s="1834" customFormat="1" customHeight="1" ht="0">
      <c r="A499" s="1278"/>
      <c r="B499" s="978"/>
      <c r="C499" s="107"/>
      <c r="D499" s="107"/>
      <c r="E499" s="621">
        <v>15</v>
      </c>
      <c r="F499" s="50" cm="1" t="str">
        <f t="array" ref="F499:F499">OFFSET(E499,-1,1)</f>
        <v>3</v>
      </c>
      <c r="G499" s="848" t="s">
        <v>1950</v>
      </c>
      <c r="H499" s="857"/>
      <c r="I499" s="857" t="s">
        <v>2711</v>
      </c>
      <c r="J499" s="107"/>
      <c r="K499" s="378" t="s">
        <v>2711</v>
      </c>
      <c r="L499" s="980" t="s">
        <v>1667</v>
      </c>
      <c r="M499" s="107"/>
      <c r="N499" s="107"/>
      <c r="O499" s="107"/>
      <c r="P499" s="107"/>
      <c r="Q499" s="107"/>
      <c r="R499" s="107"/>
      <c r="S499" s="107"/>
      <c r="T499" s="465" cm="1" t="str">
        <f t="array" ref="T499:T499">T498</f>
        <v>true</v>
      </c>
      <c r="U499" s="107"/>
      <c r="V499" s="107"/>
      <c r="W499" s="107"/>
      <c r="X499" s="1596"/>
      <c r="Y499" s="1278"/>
      <c r="Z499" s="1546"/>
      <c r="AA499" s="1278"/>
      <c r="AB499" s="300" t="s">
        <v>2712</v>
      </c>
      <c r="AC499" s="765" t="s">
        <v>2713</v>
      </c>
      <c r="AD499" s="300" t="s">
        <v>1514</v>
      </c>
      <c r="AE499" s="1114">
        <f>_xlfn.SUMIFS(Административные!AE$25:AE$122,Административные!$F$25:$F$122,$F499,Административные!$G$25:$G$122,$G499)</f>
        <v>0</v>
      </c>
      <c r="AF499" s="1114">
        <f>_xlfn.SUMIFS(Административные!AF$25:AF$122,Административные!$F$25:$F$122,$F499,Административные!$G$25:$G$122,$G499)</f>
        <v>0</v>
      </c>
      <c r="AG499" s="1114">
        <f>_xlfn.SUMIFS(Административные!AG$25:AG$122,Административные!$F$25:$F$122,$F499,Административные!$G$25:$G$122,$G499)</f>
        <v>0</v>
      </c>
      <c r="AH499" s="1114">
        <f>AG499-AF499</f>
        <v>0</v>
      </c>
      <c r="AI499" s="1114">
        <f>_xlfn.SUMIFS(Административные!AH$25:AH$122,Административные!$F$25:$F$122,$F499,Административные!$G$25:$G$122,$G499)</f>
        <v>0</v>
      </c>
      <c r="AJ499" s="1114">
        <f>_xlfn.SUMIFS(Административные!AI$25:AI$122,Административные!$F$25:$F$122,$F499,Административные!$G$25:$G$122,$G499)</f>
        <v>0</v>
      </c>
      <c r="AK499" s="1115"/>
      <c r="AL499" s="1115"/>
      <c r="AM499" s="1115"/>
      <c r="AN499" s="1115"/>
      <c r="AO499" s="1115"/>
      <c r="AP499" s="1115"/>
      <c r="AQ499" s="1115"/>
      <c r="AR499" s="1115"/>
      <c r="AS499" s="1115"/>
      <c r="AT499" s="1114">
        <f>_xlfn.SUMIFS(Административные!AJ$25:AJ$122,Административные!$F$25:$F$122,$F499,Административные!$G$25:$G$122,$G499)</f>
        <v>0</v>
      </c>
      <c r="AU499" s="1115"/>
      <c r="AV499" s="1115"/>
      <c r="AW499" s="1115"/>
      <c r="AX499" s="1115"/>
      <c r="AY499" s="1115"/>
      <c r="AZ499" s="1115"/>
      <c r="BA499" s="1115"/>
      <c r="BB499" s="1115"/>
      <c r="BC499" s="1115"/>
      <c r="BD499" s="1114">
        <f>IF(AI499=0,0,(AT499-AI499)/AI499*100)</f>
        <v>0</v>
      </c>
      <c r="BE499" s="1115"/>
      <c r="BF499" s="1115"/>
      <c r="BG499" s="1115"/>
      <c r="BH499" s="1115"/>
      <c r="BI499" s="1115"/>
      <c r="BJ499" s="1115"/>
      <c r="BK499" s="1115"/>
      <c r="BL499" s="1115"/>
      <c r="BM499" s="1115"/>
      <c r="BN499" s="7433"/>
      <c r="BO499" s="7437" t="str">
        <f>IF(_xlfn.IFERROR(INDEX(Административные!$K$26:$L$122,MATCH($F499&amp;"4komm",Административные!$K$26:$K$122,0),2),"")=0,"",_xlfn.IFERROR(INDEX(Административные!$K$26:$L$122,MATCH($F499&amp;"4komm",Административные!$K$26:$K$122,0),2),""))</f>
        <v/>
      </c>
      <c r="BP499" s="7433"/>
      <c r="BQ499" s="1278"/>
      <c r="BR499" s="1278"/>
      <c r="BS499" s="1062" t="s">
        <v>1952</v>
      </c>
      <c r="BT499" s="1064"/>
      <c r="BU499" s="1064"/>
      <c r="BV499" s="979"/>
      <c r="BW499" s="979"/>
    </row>
    <row s="1834" customFormat="1" customHeight="1" ht="0">
      <c r="A500" s="1278"/>
      <c r="B500" s="978"/>
      <c r="C500" s="107"/>
      <c r="D500" s="107"/>
      <c r="E500" s="621">
        <v>15</v>
      </c>
      <c r="F500" s="50" cm="1" t="str">
        <f t="array" ref="F500:F500">OFFSET(E500,-1,1)</f>
        <v>3</v>
      </c>
      <c r="G500" s="848" t="s">
        <v>1953</v>
      </c>
      <c r="H500" s="857"/>
      <c r="I500" s="857" t="s">
        <v>2714</v>
      </c>
      <c r="J500" s="107"/>
      <c r="K500" s="378" t="s">
        <v>2714</v>
      </c>
      <c r="L500" s="980" t="s">
        <v>1935</v>
      </c>
      <c r="M500" s="107"/>
      <c r="N500" s="107"/>
      <c r="O500" s="107"/>
      <c r="P500" s="107"/>
      <c r="Q500" s="107"/>
      <c r="R500" s="107"/>
      <c r="S500" s="107"/>
      <c r="T500" s="465" cm="1" t="str">
        <f t="array" ref="T500:T500">T499</f>
        <v>true</v>
      </c>
      <c r="U500" s="107"/>
      <c r="V500" s="107"/>
      <c r="W500" s="107"/>
      <c r="X500" s="1596"/>
      <c r="Y500" s="1278"/>
      <c r="Z500" s="1546"/>
      <c r="AA500" s="1278"/>
      <c r="AB500" s="300" t="s">
        <v>2715</v>
      </c>
      <c r="AC500" s="765" t="s">
        <v>2716</v>
      </c>
      <c r="AD500" s="300" t="s">
        <v>1514</v>
      </c>
      <c r="AE500" s="1114">
        <f>_xlfn.SUMIFS(Административные!AE$25:AE$122,Административные!$F$25:$F$122,$F500,Административные!$G$25:$G$122,$G500)</f>
        <v>0</v>
      </c>
      <c r="AF500" s="1114">
        <f>_xlfn.SUMIFS(Административные!AF$25:AF$122,Административные!$F$25:$F$122,$F500,Административные!$G$25:$G$122,$G500)</f>
        <v>0</v>
      </c>
      <c r="AG500" s="1114">
        <f>_xlfn.SUMIFS(Административные!AG$25:AG$122,Административные!$F$25:$F$122,$F500,Административные!$G$25:$G$122,$G500)</f>
        <v>0</v>
      </c>
      <c r="AH500" s="1114">
        <f>AG500-AF500</f>
        <v>0</v>
      </c>
      <c r="AI500" s="1114">
        <f>_xlfn.SUMIFS(Административные!AH$25:AH$122,Административные!$F$25:$F$122,$F500,Административные!$G$25:$G$122,$G500)</f>
        <v>0</v>
      </c>
      <c r="AJ500" s="1114">
        <f>_xlfn.SUMIFS(Административные!AI$25:AI$122,Административные!$F$25:$F$122,$F500,Административные!$G$25:$G$122,$G500)</f>
        <v>0</v>
      </c>
      <c r="AK500" s="1115"/>
      <c r="AL500" s="1115"/>
      <c r="AM500" s="1115"/>
      <c r="AN500" s="1115"/>
      <c r="AO500" s="1115"/>
      <c r="AP500" s="1115"/>
      <c r="AQ500" s="1115"/>
      <c r="AR500" s="1115"/>
      <c r="AS500" s="1115"/>
      <c r="AT500" s="1114">
        <f>_xlfn.SUMIFS(Административные!AJ$25:AJ$122,Административные!$F$25:$F$122,$F500,Административные!$G$25:$G$122,$G500)</f>
        <v>0</v>
      </c>
      <c r="AU500" s="1115"/>
      <c r="AV500" s="1115"/>
      <c r="AW500" s="1115"/>
      <c r="AX500" s="1115"/>
      <c r="AY500" s="1115"/>
      <c r="AZ500" s="1115"/>
      <c r="BA500" s="1115"/>
      <c r="BB500" s="1115"/>
      <c r="BC500" s="1115"/>
      <c r="BD500" s="1114">
        <f>IF(AI500=0,0,(AT500-AI500)/AI500*100)</f>
        <v>0</v>
      </c>
      <c r="BE500" s="1115"/>
      <c r="BF500" s="1115"/>
      <c r="BG500" s="1115"/>
      <c r="BH500" s="1115"/>
      <c r="BI500" s="1115"/>
      <c r="BJ500" s="1115"/>
      <c r="BK500" s="1115"/>
      <c r="BL500" s="1115"/>
      <c r="BM500" s="1115"/>
      <c r="BN500" s="7433"/>
      <c r="BO500" s="7437" t="str">
        <f>IF(_xlfn.IFERROR(INDEX(Административные!$K$26:$L$122,MATCH($F500&amp;"5komm",Административные!$K$26:$K$122,0),2),"")=0,"",_xlfn.IFERROR(INDEX(Административные!$K$26:$L$122,MATCH($F500&amp;"5komm",Административные!$K$26:$K$122,0),2),""))</f>
        <v/>
      </c>
      <c r="BP500" s="7433"/>
      <c r="BQ500" s="1278"/>
      <c r="BR500" s="1278"/>
      <c r="BS500" s="1062" t="s">
        <v>2522</v>
      </c>
      <c r="BT500" s="1064"/>
      <c r="BU500" s="1064"/>
      <c r="BV500" s="979"/>
      <c r="BW500" s="979"/>
    </row>
    <row s="1834" customFormat="1" customHeight="1" ht="0">
      <c r="A501" s="1278"/>
      <c r="B501" s="978"/>
      <c r="C501" s="107"/>
      <c r="D501" s="107"/>
      <c r="E501" s="621">
        <v>15</v>
      </c>
      <c r="F501" s="50" cm="1" t="str">
        <f t="array" ref="F501:F501">OFFSET(E501,-1,1)</f>
        <v>3</v>
      </c>
      <c r="G501" s="848" t="s">
        <v>1956</v>
      </c>
      <c r="H501" s="857"/>
      <c r="I501" s="857" t="s">
        <v>2717</v>
      </c>
      <c r="J501" s="107"/>
      <c r="K501" s="378" t="s">
        <v>2717</v>
      </c>
      <c r="L501" s="980" t="s">
        <v>1940</v>
      </c>
      <c r="M501" s="107"/>
      <c r="N501" s="107"/>
      <c r="O501" s="107"/>
      <c r="P501" s="107"/>
      <c r="Q501" s="107"/>
      <c r="R501" s="107"/>
      <c r="S501" s="107"/>
      <c r="T501" s="465" cm="1" t="str">
        <f t="array" ref="T501:T501">T500</f>
        <v>true</v>
      </c>
      <c r="U501" s="107"/>
      <c r="V501" s="107"/>
      <c r="W501" s="107"/>
      <c r="X501" s="1596"/>
      <c r="Y501" s="1278"/>
      <c r="Z501" s="1546"/>
      <c r="AA501" s="1278"/>
      <c r="AB501" s="300" t="s">
        <v>2718</v>
      </c>
      <c r="AC501" s="765" t="s">
        <v>2719</v>
      </c>
      <c r="AD501" s="300" t="s">
        <v>1514</v>
      </c>
      <c r="AE501" s="1114">
        <f>_xlfn.SUMIFS(Административные!AE$25:AE$122,Административные!$F$25:$F$122,$F501,Административные!$G$25:$G$122,$G501)</f>
        <v>0</v>
      </c>
      <c r="AF501" s="1114">
        <f>_xlfn.SUMIFS(Административные!AF$25:AF$122,Административные!$F$25:$F$122,$F501,Административные!$G$25:$G$122,$G501)</f>
        <v>0</v>
      </c>
      <c r="AG501" s="1114">
        <f>_xlfn.SUMIFS(Административные!AG$25:AG$122,Административные!$F$25:$F$122,$F501,Административные!$G$25:$G$122,$G501)</f>
        <v>0</v>
      </c>
      <c r="AH501" s="1114">
        <f>AG501-AF501</f>
        <v>0</v>
      </c>
      <c r="AI501" s="1114">
        <f>_xlfn.SUMIFS(Административные!AH$25:AH$122,Административные!$F$25:$F$122,$F501,Административные!$G$25:$G$122,$G501)</f>
        <v>0</v>
      </c>
      <c r="AJ501" s="1114">
        <f>_xlfn.SUMIFS(Административные!AI$25:AI$122,Административные!$F$25:$F$122,$F501,Административные!$G$25:$G$122,$G501)</f>
        <v>0</v>
      </c>
      <c r="AK501" s="1115"/>
      <c r="AL501" s="1115"/>
      <c r="AM501" s="1115"/>
      <c r="AN501" s="1115"/>
      <c r="AO501" s="1115"/>
      <c r="AP501" s="1115"/>
      <c r="AQ501" s="1115"/>
      <c r="AR501" s="1115"/>
      <c r="AS501" s="1115"/>
      <c r="AT501" s="1114">
        <f>_xlfn.SUMIFS(Административные!AJ$25:AJ$122,Административные!$F$25:$F$122,$F501,Административные!$G$25:$G$122,$G501)</f>
        <v>0</v>
      </c>
      <c r="AU501" s="1115"/>
      <c r="AV501" s="1115"/>
      <c r="AW501" s="1115"/>
      <c r="AX501" s="1115"/>
      <c r="AY501" s="1115"/>
      <c r="AZ501" s="1115"/>
      <c r="BA501" s="1115"/>
      <c r="BB501" s="1115"/>
      <c r="BC501" s="1115"/>
      <c r="BD501" s="1114">
        <f>IF(AI501=0,0,(AT501-AI501)/AI501*100)</f>
        <v>0</v>
      </c>
      <c r="BE501" s="1115"/>
      <c r="BF501" s="1115"/>
      <c r="BG501" s="1115"/>
      <c r="BH501" s="1115"/>
      <c r="BI501" s="1115"/>
      <c r="BJ501" s="1115"/>
      <c r="BK501" s="1115"/>
      <c r="BL501" s="1115"/>
      <c r="BM501" s="1115"/>
      <c r="BN501" s="7433"/>
      <c r="BO501" s="7437" t="str">
        <f>IF(_xlfn.IFERROR(INDEX(Административные!$K$26:$L$122,MATCH($F501&amp;"6komm",Административные!$K$26:$K$122,0),2),"")=0,"",_xlfn.IFERROR(INDEX(Административные!$K$26:$L$122,MATCH($F501&amp;"6komm",Административные!$K$26:$K$122,0),2),""))</f>
        <v/>
      </c>
      <c r="BP501" s="7433"/>
      <c r="BQ501" s="1278"/>
      <c r="BR501" s="1278"/>
      <c r="BS501" s="1062" t="s">
        <v>2524</v>
      </c>
      <c r="BT501" s="1064"/>
      <c r="BU501" s="1064"/>
      <c r="BV501" s="979"/>
      <c r="BW501" s="979"/>
    </row>
    <row s="1834" customFormat="1" customHeight="1" ht="0">
      <c r="A502" s="1278"/>
      <c r="B502" s="978"/>
      <c r="C502" s="107"/>
      <c r="D502" s="107"/>
      <c r="E502" s="621">
        <v>15</v>
      </c>
      <c r="F502" s="50" cm="1" t="str">
        <f t="array" ref="F502:F502">OFFSET(E502,-1,1)</f>
        <v>3</v>
      </c>
      <c r="G502" s="848" t="s">
        <v>1958</v>
      </c>
      <c r="H502" s="857"/>
      <c r="I502" s="857" t="s">
        <v>2720</v>
      </c>
      <c r="J502" s="107"/>
      <c r="K502" s="378" t="s">
        <v>2720</v>
      </c>
      <c r="L502" s="980" t="s">
        <v>2525</v>
      </c>
      <c r="M502" s="107"/>
      <c r="N502" s="107"/>
      <c r="O502" s="107"/>
      <c r="P502" s="107"/>
      <c r="Q502" s="107"/>
      <c r="R502" s="107"/>
      <c r="S502" s="107"/>
      <c r="T502" s="465" cm="1" t="str">
        <f t="array" ref="T502:T502">T501</f>
        <v>true</v>
      </c>
      <c r="U502" s="107"/>
      <c r="V502" s="107"/>
      <c r="W502" s="107"/>
      <c r="X502" s="1596"/>
      <c r="Y502" s="1278"/>
      <c r="Z502" s="1546"/>
      <c r="AA502" s="1278"/>
      <c r="AB502" s="300" t="s">
        <v>2721</v>
      </c>
      <c r="AC502" s="768" t="s">
        <v>2527</v>
      </c>
      <c r="AD502" s="300" t="s">
        <v>1514</v>
      </c>
      <c r="AE502" s="1114">
        <f>_xlfn.SUMIFS(Административные!AE$25:AE$122,Административные!$F$25:$F$122,$F502,Административные!$G$25:$G$122,$G502)</f>
        <v>0</v>
      </c>
      <c r="AF502" s="1114">
        <f>_xlfn.SUMIFS(Административные!AF$25:AF$122,Административные!$F$25:$F$122,$F502,Административные!$G$25:$G$122,$G502)</f>
        <v>0</v>
      </c>
      <c r="AG502" s="1114">
        <f>_xlfn.SUMIFS(Административные!AG$25:AG$122,Административные!$F$25:$F$122,$F502,Административные!$G$25:$G$122,$G502)</f>
        <v>0</v>
      </c>
      <c r="AH502" s="1114">
        <f>AG502-AF502</f>
        <v>0</v>
      </c>
      <c r="AI502" s="1114">
        <f>_xlfn.SUMIFS(Административные!AH$25:AH$122,Административные!$F$25:$F$122,$F502,Административные!$G$25:$G$122,$G502)</f>
        <v>0</v>
      </c>
      <c r="AJ502" s="1114">
        <f>_xlfn.SUMIFS(Административные!AI$25:AI$122,Административные!$F$25:$F$122,$F502,Административные!$G$25:$G$122,$G502)</f>
        <v>0</v>
      </c>
      <c r="AK502" s="1115"/>
      <c r="AL502" s="1115"/>
      <c r="AM502" s="1115"/>
      <c r="AN502" s="1115"/>
      <c r="AO502" s="1115"/>
      <c r="AP502" s="1115"/>
      <c r="AQ502" s="1115"/>
      <c r="AR502" s="1115"/>
      <c r="AS502" s="1115"/>
      <c r="AT502" s="1114">
        <f>_xlfn.SUMIFS(Административные!AJ$25:AJ$122,Административные!$F$25:$F$122,$F502,Административные!$G$25:$G$122,$G502)</f>
        <v>0</v>
      </c>
      <c r="AU502" s="1115"/>
      <c r="AV502" s="1115"/>
      <c r="AW502" s="1115"/>
      <c r="AX502" s="1115"/>
      <c r="AY502" s="1115"/>
      <c r="AZ502" s="1115"/>
      <c r="BA502" s="1115"/>
      <c r="BB502" s="1115"/>
      <c r="BC502" s="1115"/>
      <c r="BD502" s="1114">
        <f>IF(AI502=0,0,(AT502-AI502)/AI502*100)</f>
        <v>0</v>
      </c>
      <c r="BE502" s="1115"/>
      <c r="BF502" s="1115"/>
      <c r="BG502" s="1115"/>
      <c r="BH502" s="1115"/>
      <c r="BI502" s="1115"/>
      <c r="BJ502" s="1115"/>
      <c r="BK502" s="1115"/>
      <c r="BL502" s="1115"/>
      <c r="BM502" s="1115"/>
      <c r="BN502" s="7433"/>
      <c r="BO502" s="7437" t="str">
        <f>IF(_xlfn.IFERROR(INDEX(Административные!$K$26:$L$122,MATCH($F502&amp;"7komm",Административные!$K$26:$K$122,0),2),"")=0,"",_xlfn.IFERROR(INDEX(Административные!$K$26:$L$122,MATCH($F502&amp;"7komm",Административные!$K$26:$K$122,0),2),""))</f>
        <v/>
      </c>
      <c r="BP502" s="7433"/>
      <c r="BQ502" s="1278"/>
      <c r="BR502" s="1278"/>
      <c r="BS502" s="1062" t="s">
        <v>2528</v>
      </c>
      <c r="BT502" s="1064"/>
      <c r="BU502" s="1064"/>
      <c r="BV502" s="979"/>
      <c r="BW502" s="979"/>
    </row>
    <row s="1834" customFormat="1" customHeight="1" ht="0">
      <c r="A503" s="1278"/>
      <c r="B503" s="978"/>
      <c r="C503" s="107"/>
      <c r="D503" s="107"/>
      <c r="E503" s="621">
        <v>15</v>
      </c>
      <c r="F503" s="50" cm="1" t="str">
        <f t="array" ref="F503:F503">OFFSET(E503,-1,1)</f>
        <v>3</v>
      </c>
      <c r="G503" s="848" t="s">
        <v>1961</v>
      </c>
      <c r="H503" s="857"/>
      <c r="I503" s="857" t="s">
        <v>2722</v>
      </c>
      <c r="J503" s="107"/>
      <c r="K503" s="378" t="s">
        <v>2722</v>
      </c>
      <c r="L503" s="980" t="s">
        <v>2529</v>
      </c>
      <c r="M503" s="107"/>
      <c r="N503" s="107"/>
      <c r="O503" s="107"/>
      <c r="P503" s="107"/>
      <c r="Q503" s="107"/>
      <c r="R503" s="107"/>
      <c r="S503" s="107"/>
      <c r="T503" s="465" cm="1" t="str">
        <f t="array" ref="T503:T503">T502</f>
        <v>true</v>
      </c>
      <c r="U503" s="107"/>
      <c r="V503" s="107"/>
      <c r="W503" s="107"/>
      <c r="X503" s="1596"/>
      <c r="Y503" s="1278"/>
      <c r="Z503" s="1546"/>
      <c r="AA503" s="1278"/>
      <c r="AB503" s="300" t="s">
        <v>2723</v>
      </c>
      <c r="AC503" s="768" t="s">
        <v>1962</v>
      </c>
      <c r="AD503" s="300" t="s">
        <v>1514</v>
      </c>
      <c r="AE503" s="1114">
        <f>_xlfn.SUMIFS(Административные!AE$25:AE$122,Административные!$F$25:$F$122,$F503,Административные!$G$25:$G$122,$G503)</f>
        <v>0</v>
      </c>
      <c r="AF503" s="1114">
        <f>_xlfn.SUMIFS(Административные!AF$25:AF$122,Административные!$F$25:$F$122,$F503,Административные!$G$25:$G$122,$G503)</f>
        <v>0</v>
      </c>
      <c r="AG503" s="1114">
        <f>_xlfn.SUMIFS(Административные!AG$25:AG$122,Административные!$F$25:$F$122,$F503,Административные!$G$25:$G$122,$G503)</f>
        <v>0</v>
      </c>
      <c r="AH503" s="1114">
        <f>AG503-AF503</f>
        <v>0</v>
      </c>
      <c r="AI503" s="1114">
        <f>_xlfn.SUMIFS(Административные!AH$25:AH$122,Административные!$F$25:$F$122,$F503,Административные!$G$25:$G$122,$G503)</f>
        <v>0</v>
      </c>
      <c r="AJ503" s="1114">
        <f>_xlfn.SUMIFS(Административные!AI$25:AI$122,Административные!$F$25:$F$122,$F503,Административные!$G$25:$G$122,$G503)</f>
        <v>0</v>
      </c>
      <c r="AK503" s="1115"/>
      <c r="AL503" s="1115"/>
      <c r="AM503" s="1115"/>
      <c r="AN503" s="1115"/>
      <c r="AO503" s="1115"/>
      <c r="AP503" s="1115"/>
      <c r="AQ503" s="1115"/>
      <c r="AR503" s="1115"/>
      <c r="AS503" s="1115"/>
      <c r="AT503" s="1114">
        <f>_xlfn.SUMIFS(Административные!AJ$25:AJ$122,Административные!$F$25:$F$122,$F503,Административные!$G$25:$G$122,$G503)</f>
        <v>0</v>
      </c>
      <c r="AU503" s="1115"/>
      <c r="AV503" s="1115"/>
      <c r="AW503" s="1115"/>
      <c r="AX503" s="1115"/>
      <c r="AY503" s="1115"/>
      <c r="AZ503" s="1115"/>
      <c r="BA503" s="1115"/>
      <c r="BB503" s="1115"/>
      <c r="BC503" s="1115"/>
      <c r="BD503" s="1114">
        <f>IF(AI503=0,0,(AT503-AI503)/AI503*100)</f>
        <v>0</v>
      </c>
      <c r="BE503" s="1115"/>
      <c r="BF503" s="1115"/>
      <c r="BG503" s="1115"/>
      <c r="BH503" s="1115"/>
      <c r="BI503" s="1115"/>
      <c r="BJ503" s="1115"/>
      <c r="BK503" s="1115"/>
      <c r="BL503" s="1115"/>
      <c r="BM503" s="1115"/>
      <c r="BN503" s="7433"/>
      <c r="BO503" s="7437" t="str">
        <f>IF(_xlfn.IFERROR(INDEX(Административные!$K$26:$L$122,MATCH($F503&amp;"8komm",Административные!$K$26:$K$122,0),2),"")=0,"",_xlfn.IFERROR(INDEX(Административные!$K$26:$L$122,MATCH($F503&amp;"8komm",Административные!$K$26:$K$122,0),2),""))</f>
        <v/>
      </c>
      <c r="BP503" s="7433"/>
      <c r="BQ503" s="1278"/>
      <c r="BR503" s="1278"/>
      <c r="BS503" s="1062" t="s">
        <v>2531</v>
      </c>
      <c r="BT503" s="1064"/>
      <c r="BU503" s="1064"/>
      <c r="BV503" s="979"/>
      <c r="BW503" s="979"/>
    </row>
    <row s="1834" customFormat="1" customHeight="1" ht="0">
      <c r="A504" s="1278"/>
      <c r="B504" s="978"/>
      <c r="C504" s="107"/>
      <c r="D504" s="107"/>
      <c r="E504" s="621">
        <v>15</v>
      </c>
      <c r="F504" s="50" cm="1" t="str">
        <f t="array" ref="F504:F504">OFFSET(E504,-1,1)</f>
        <v>3</v>
      </c>
      <c r="G504" s="107" t="s">
        <v>1964</v>
      </c>
      <c r="H504" s="857"/>
      <c r="I504" s="857" t="s">
        <v>2724</v>
      </c>
      <c r="J504" s="107"/>
      <c r="K504" s="378" t="s">
        <v>2724</v>
      </c>
      <c r="L504" s="980" t="s">
        <v>2532</v>
      </c>
      <c r="M504" s="107"/>
      <c r="N504" s="107"/>
      <c r="O504" s="107"/>
      <c r="P504" s="107"/>
      <c r="Q504" s="107"/>
      <c r="R504" s="107"/>
      <c r="S504" s="107"/>
      <c r="T504" s="465" cm="1" t="str">
        <f t="array" ref="T504:T504">T503</f>
        <v>true</v>
      </c>
      <c r="U504" s="107"/>
      <c r="V504" s="107"/>
      <c r="W504" s="107"/>
      <c r="X504" s="1596"/>
      <c r="Y504" s="1278"/>
      <c r="Z504" s="1546"/>
      <c r="AA504" s="1278"/>
      <c r="AB504" s="300" t="s">
        <v>2725</v>
      </c>
      <c r="AC504" s="768" t="s">
        <v>1965</v>
      </c>
      <c r="AD504" s="300" t="s">
        <v>1514</v>
      </c>
      <c r="AE504" s="1114">
        <f>_xlfn.SUMIFS(Административные!AE$25:AE$122,Административные!$F$25:$F$122,$F504,Административные!$G$25:$G$122,$G504)</f>
        <v>0</v>
      </c>
      <c r="AF504" s="1114">
        <f>_xlfn.SUMIFS(Административные!AF$25:AF$122,Административные!$F$25:$F$122,$F504,Административные!$G$25:$G$122,$G504)</f>
        <v>0</v>
      </c>
      <c r="AG504" s="1114">
        <f>_xlfn.SUMIFS(Административные!AG$25:AG$122,Административные!$F$25:$F$122,$F504,Административные!$G$25:$G$122,$G504)</f>
        <v>0</v>
      </c>
      <c r="AH504" s="1114">
        <f>AG504-AF504</f>
        <v>0</v>
      </c>
      <c r="AI504" s="1114">
        <f>_xlfn.SUMIFS(Административные!AH$25:AH$122,Административные!$F$25:$F$122,$F504,Административные!$G$25:$G$122,$G504)</f>
        <v>0</v>
      </c>
      <c r="AJ504" s="1116">
        <f>_xlfn.SUMIFS(Административные!AI$25:AI$122,Административные!$F$25:$F$122,$F504,Административные!$G$25:$G$122,$G504)</f>
        <v>0</v>
      </c>
      <c r="AK504" s="1115"/>
      <c r="AL504" s="1115"/>
      <c r="AM504" s="1115"/>
      <c r="AN504" s="1115"/>
      <c r="AO504" s="1115"/>
      <c r="AP504" s="1115"/>
      <c r="AQ504" s="1115"/>
      <c r="AR504" s="1115"/>
      <c r="AS504" s="1115"/>
      <c r="AT504" s="1116">
        <f>_xlfn.SUMIFS(Административные!AJ$25:AJ$122,Административные!$F$25:$F$122,$F504,Административные!$G$25:$G$122,$G504)</f>
        <v>0</v>
      </c>
      <c r="AU504" s="1115"/>
      <c r="AV504" s="1115"/>
      <c r="AW504" s="1115"/>
      <c r="AX504" s="1115"/>
      <c r="AY504" s="1115"/>
      <c r="AZ504" s="1115"/>
      <c r="BA504" s="1115"/>
      <c r="BB504" s="1115"/>
      <c r="BC504" s="1115"/>
      <c r="BD504" s="1114">
        <f>IF(AI504=0,0,(AT504-AI504)/AI504*100)</f>
        <v>0</v>
      </c>
      <c r="BE504" s="1115"/>
      <c r="BF504" s="1115"/>
      <c r="BG504" s="1115"/>
      <c r="BH504" s="1115"/>
      <c r="BI504" s="1115"/>
      <c r="BJ504" s="1115"/>
      <c r="BK504" s="1115"/>
      <c r="BL504" s="1115"/>
      <c r="BM504" s="1115"/>
      <c r="BN504" s="7433"/>
      <c r="BO504" s="7437" t="str">
        <f>IF(_xlfn.IFERROR(INDEX(Административные!$K$26:$L$122,MATCH($F504&amp;"9komm",Административные!$K$26:$K$122,0),2),"")=0,"",_xlfn.IFERROR(INDEX(Административные!$K$26:$L$122,MATCH($F504&amp;"9komm",Административные!$K$26:$K$122,0),2),""))</f>
        <v/>
      </c>
      <c r="BP504" s="7433"/>
      <c r="BQ504" s="1278"/>
      <c r="BR504" s="1278"/>
      <c r="BS504" s="1062" t="s">
        <v>2534</v>
      </c>
      <c r="BT504" s="1064"/>
      <c r="BU504" s="1064"/>
      <c r="BV504" s="979"/>
      <c r="BW504" s="979"/>
    </row>
    <row s="1834" customFormat="1" customHeight="1" ht="0">
      <c r="A505" s="1278"/>
      <c r="B505" s="432">
        <f>STATUS_GO="да"</f>
        <v>1</v>
      </c>
      <c r="C505" s="107"/>
      <c r="D505" s="107"/>
      <c r="E505" s="621">
        <v>22.5</v>
      </c>
      <c r="F505" s="50" cm="1" t="str">
        <f t="array" ref="F505:F505">OFFSET(E505,-1,1)</f>
        <v>3</v>
      </c>
      <c r="G505" s="107"/>
      <c r="H505" s="857"/>
      <c r="I505" s="857" t="s">
        <v>1640</v>
      </c>
      <c r="J505" s="107"/>
      <c r="K505" s="378" t="s">
        <v>1640</v>
      </c>
      <c r="L505" s="980" t="s">
        <v>336</v>
      </c>
      <c r="M505" s="107"/>
      <c r="N505" s="107"/>
      <c r="O505" s="107"/>
      <c r="P505" s="107"/>
      <c r="Q505" s="107"/>
      <c r="R505" s="107"/>
      <c r="S505" s="107"/>
      <c r="T505" s="465" cm="1" t="str">
        <f t="array" ref="T505:T505">T504</f>
        <v>true</v>
      </c>
      <c r="U505" s="107"/>
      <c r="V505" s="107"/>
      <c r="W505" s="107"/>
      <c r="X505" s="1596"/>
      <c r="Y505" s="1278"/>
      <c r="Z505" s="1546"/>
      <c r="AA505" s="1278"/>
      <c r="AB505" s="300" t="s">
        <v>1641</v>
      </c>
      <c r="AC505" s="762" t="s">
        <v>2726</v>
      </c>
      <c r="AD505" s="300" t="s">
        <v>1514</v>
      </c>
      <c r="AE505" s="1114">
        <f>_xlfn.SUMIFS('Сбытовые расходы ГО'!AE$25:AE$87,'Сбытовые расходы ГО'!$F$25:$F$87,$F505,'Сбытовые расходы ГО'!$G$25:$G$87,"L0")-_xlfn.SUMIFS('Сбытовые расходы ГО'!AE$25:AE$87,'Сбытовые расходы ГО'!$F$25:$F$87,$F505,'Сбытовые расходы ГО'!$G$25:$G$87,"L1")</f>
        <v>0</v>
      </c>
      <c r="AF505" s="1114">
        <f>_xlfn.SUMIFS('Сбытовые расходы ГО'!AF$25:AF$87,'Сбытовые расходы ГО'!$F$25:$F$87,$F505,'Сбытовые расходы ГО'!$G$25:$G$87,"L0")-_xlfn.SUMIFS('Сбытовые расходы ГО'!AF$25:AF$87,'Сбытовые расходы ГО'!$F$25:$F$87,$F505,'Сбытовые расходы ГО'!$G$25:$G$87,"L1")</f>
        <v>0</v>
      </c>
      <c r="AG505" s="1114">
        <f>_xlfn.SUMIFS('Сбытовые расходы ГО'!AG$25:AG$87,'Сбытовые расходы ГО'!$F$25:$F$87,$F505,'Сбытовые расходы ГО'!$G$25:$G$87,"L0")-_xlfn.SUMIFS('Сбытовые расходы ГО'!AG$25:AG$87,'Сбытовые расходы ГО'!$F$25:$F$87,$F505,'Сбытовые расходы ГО'!$G$25:$G$87,"L1")</f>
        <v>0</v>
      </c>
      <c r="AH505" s="1114">
        <f>AG505-AF505</f>
        <v>0</v>
      </c>
      <c r="AI505" s="1114">
        <f>_xlfn.SUMIFS('Сбытовые расходы ГО'!AH$25:AH$87,'Сбытовые расходы ГО'!$F$25:$F$87,$F505,'Сбытовые расходы ГО'!$G$25:$G$87,"L0")-_xlfn.SUMIFS('Сбытовые расходы ГО'!AH$25:AH$87,'Сбытовые расходы ГО'!$F$25:$F$87,$F505,'Сбытовые расходы ГО'!$G$25:$G$87,"L1")</f>
        <v>0</v>
      </c>
      <c r="AJ505" s="1114">
        <f>_xlfn.SUMIFS('Сбытовые расходы ГО'!AI$25:AI$87,'Сбытовые расходы ГО'!$F$25:$F$87,$F505,'Сбытовые расходы ГО'!$G$25:$G$87,"L0")-_xlfn.SUMIFS('Сбытовые расходы ГО'!AI$25:AI$87,'Сбытовые расходы ГО'!$F$25:$F$87,$F505,'Сбытовые расходы ГО'!$G$25:$G$87,"L1")</f>
        <v>0</v>
      </c>
      <c r="AK505" s="1115"/>
      <c r="AL505" s="1115"/>
      <c r="AM505" s="1115"/>
      <c r="AN505" s="1115"/>
      <c r="AO505" s="1115"/>
      <c r="AP505" s="1115"/>
      <c r="AQ505" s="1115"/>
      <c r="AR505" s="1115"/>
      <c r="AS505" s="1115"/>
      <c r="AT505" s="1114">
        <f>_xlfn.SUMIFS('Сбытовые расходы ГО'!AJ$25:AJ$87,'Сбытовые расходы ГО'!$F$25:$F$87,$F505,'Сбытовые расходы ГО'!$G$25:$G$87,"L0")-_xlfn.SUMIFS('Сбытовые расходы ГО'!AJ$25:AJ$87,'Сбытовые расходы ГО'!$F$25:$F$87,$F505,'Сбытовые расходы ГО'!$G$25:$G$87,"L1")</f>
        <v>0</v>
      </c>
      <c r="AU505" s="1115"/>
      <c r="AV505" s="1115"/>
      <c r="AW505" s="1115"/>
      <c r="AX505" s="1115"/>
      <c r="AY505" s="1115"/>
      <c r="AZ505" s="1115"/>
      <c r="BA505" s="1115"/>
      <c r="BB505" s="1115"/>
      <c r="BC505" s="1115"/>
      <c r="BD505" s="1114">
        <f>IF(AI505=0,0,(AT505-AI505)/AI505*100)</f>
        <v>0</v>
      </c>
      <c r="BE505" s="1115"/>
      <c r="BF505" s="1115"/>
      <c r="BG505" s="1115"/>
      <c r="BH505" s="1115"/>
      <c r="BI505" s="1115"/>
      <c r="BJ505" s="1115"/>
      <c r="BK505" s="1115"/>
      <c r="BL505" s="1115"/>
      <c r="BM505" s="1115"/>
      <c r="BN505" s="7433"/>
      <c r="BO505" s="7433"/>
      <c r="BP505" s="7433"/>
      <c r="BQ505" s="1278"/>
      <c r="BR505" s="1278"/>
      <c r="BS505" s="1063" t="s">
        <v>2536</v>
      </c>
      <c r="BT505" s="1064"/>
      <c r="BU505" s="1064"/>
      <c r="BV505" s="979"/>
      <c r="BW505" s="979"/>
    </row>
    <row s="1834" customFormat="1" customHeight="1" ht="0">
      <c r="A506" s="1278"/>
      <c r="B506" s="978"/>
      <c r="C506" s="107"/>
      <c r="D506" s="107"/>
      <c r="E506" s="621">
        <v>15</v>
      </c>
      <c r="F506" s="50" cm="1" t="str">
        <f t="array" ref="F506:F506">OFFSET(E506,-1,1)</f>
        <v>3</v>
      </c>
      <c r="G506" s="107"/>
      <c r="H506" s="857"/>
      <c r="I506" s="857" t="s">
        <v>2475</v>
      </c>
      <c r="J506" s="107"/>
      <c r="K506" s="378" t="s">
        <v>2475</v>
      </c>
      <c r="L506" s="980"/>
      <c r="M506" s="107"/>
      <c r="N506" s="107"/>
      <c r="O506" s="107"/>
      <c r="P506" s="107"/>
      <c r="Q506" s="107"/>
      <c r="R506" s="107"/>
      <c r="S506" s="107"/>
      <c r="T506" s="465" cm="1" t="str">
        <f t="array" ref="T506:T506">T505</f>
        <v>true</v>
      </c>
      <c r="U506" s="107"/>
      <c r="V506" s="107"/>
      <c r="W506" s="107"/>
      <c r="X506" s="1596"/>
      <c r="Y506" s="1278"/>
      <c r="Z506" s="1546"/>
      <c r="AA506" s="1278"/>
      <c r="AB506" s="300" t="s">
        <v>2476</v>
      </c>
      <c r="AC506" s="762" t="s">
        <v>2727</v>
      </c>
      <c r="AD506" s="300" t="s">
        <v>1514</v>
      </c>
      <c r="AE506" s="3946"/>
      <c r="AF506" s="3946"/>
      <c r="AG506" s="3946"/>
      <c r="AH506" s="1114">
        <f>AG506-AF506</f>
        <v>0</v>
      </c>
      <c r="AI506" s="3946"/>
      <c r="AJ506" s="3946"/>
      <c r="AK506" s="1115"/>
      <c r="AL506" s="1115"/>
      <c r="AM506" s="1115"/>
      <c r="AN506" s="1115"/>
      <c r="AO506" s="1115"/>
      <c r="AP506" s="1115"/>
      <c r="AQ506" s="1115"/>
      <c r="AR506" s="1115"/>
      <c r="AS506" s="1115"/>
      <c r="AT506" s="3946"/>
      <c r="AU506" s="1115"/>
      <c r="AV506" s="1115"/>
      <c r="AW506" s="1115"/>
      <c r="AX506" s="1115"/>
      <c r="AY506" s="1115"/>
      <c r="AZ506" s="1115"/>
      <c r="BA506" s="1115"/>
      <c r="BB506" s="1115"/>
      <c r="BC506" s="1115"/>
      <c r="BD506" s="1114">
        <f>IF(AI506=0,0,(AT506-AI506)/AI506*100)</f>
        <v>0</v>
      </c>
      <c r="BE506" s="1115"/>
      <c r="BF506" s="1115"/>
      <c r="BG506" s="1115"/>
      <c r="BH506" s="1115"/>
      <c r="BI506" s="1115"/>
      <c r="BJ506" s="1115"/>
      <c r="BK506" s="1115"/>
      <c r="BL506" s="1115"/>
      <c r="BM506" s="1115"/>
      <c r="BN506" s="7433"/>
      <c r="BO506" s="7433"/>
      <c r="BP506" s="7433"/>
      <c r="BQ506" s="1278"/>
      <c r="BR506" s="1278"/>
      <c r="BS506" s="1064" t="s">
        <v>2728</v>
      </c>
      <c r="BT506" s="1064"/>
      <c r="BU506" s="1064"/>
      <c r="BV506" s="979"/>
      <c r="BW506" s="979"/>
    </row>
    <row s="7563" customFormat="1" customHeight="1" ht="0">
      <c r="A507" s="700"/>
      <c r="B507" s="435"/>
      <c r="C507" s="109"/>
      <c r="D507" s="109"/>
      <c r="E507" s="826">
        <v>21</v>
      </c>
      <c r="F507" s="50" cm="1" t="str">
        <f t="array" ref="F507:F507">OFFSET(E507,-1,1)</f>
        <v>3</v>
      </c>
      <c r="G507" s="109"/>
      <c r="H507" s="857"/>
      <c r="I507" s="857" t="s">
        <v>2479</v>
      </c>
      <c r="J507" s="109"/>
      <c r="K507" s="378" t="s">
        <v>2479</v>
      </c>
      <c r="L507" s="985"/>
      <c r="M507" s="109"/>
      <c r="N507" s="109"/>
      <c r="O507" s="109"/>
      <c r="P507" s="109"/>
      <c r="Q507" s="109"/>
      <c r="R507" s="109"/>
      <c r="S507" s="109"/>
      <c r="T507" s="465">
        <f>AND(F507&gt;0,method_reg="Метод индексации")</f>
        <v>1</v>
      </c>
      <c r="U507" s="109"/>
      <c r="V507" s="109"/>
      <c r="W507" s="109"/>
      <c r="X507" s="1596"/>
      <c r="Y507" s="700"/>
      <c r="Z507" s="1546"/>
      <c r="AA507" s="700"/>
      <c r="AB507" s="211" t="s">
        <v>2480</v>
      </c>
      <c r="AC507" s="361" t="s">
        <v>2729</v>
      </c>
      <c r="AD507" s="211" t="s">
        <v>1514</v>
      </c>
      <c r="AE507" s="213">
        <f>SUM(AE508:AE509)</f>
        <v>0</v>
      </c>
      <c r="AF507" s="213">
        <f>SUM(AF508:AF509)</f>
        <v>0</v>
      </c>
      <c r="AG507" s="213">
        <f>SUM(AG508:AG509)</f>
        <v>0</v>
      </c>
      <c r="AH507" s="778">
        <f>AG507-AF507</f>
        <v>0</v>
      </c>
      <c r="AI507" s="213">
        <f>SUM(AI508:AI509)</f>
        <v>0</v>
      </c>
      <c r="AJ507" s="213">
        <f>SUM(AJ508:AJ509)</f>
        <v>0</v>
      </c>
      <c r="AK507" s="216"/>
      <c r="AL507" s="216"/>
      <c r="AM507" s="216"/>
      <c r="AN507" s="216"/>
      <c r="AO507" s="216"/>
      <c r="AP507" s="216"/>
      <c r="AQ507" s="216"/>
      <c r="AR507" s="216"/>
      <c r="AS507" s="216"/>
      <c r="AT507" s="213">
        <f>SUM(AT508:AT509)</f>
        <v>0</v>
      </c>
      <c r="AU507" s="216"/>
      <c r="AV507" s="216"/>
      <c r="AW507" s="216"/>
      <c r="AX507" s="216"/>
      <c r="AY507" s="216"/>
      <c r="AZ507" s="216"/>
      <c r="BA507" s="216"/>
      <c r="BB507" s="216"/>
      <c r="BC507" s="216"/>
      <c r="BD507" s="778">
        <f>IF(AI507=0,0,(AT507-AI507)/AI507*100)</f>
        <v>0</v>
      </c>
      <c r="BE507" s="216"/>
      <c r="BF507" s="216"/>
      <c r="BG507" s="216"/>
      <c r="BH507" s="216"/>
      <c r="BI507" s="216"/>
      <c r="BJ507" s="216"/>
      <c r="BK507" s="216"/>
      <c r="BL507" s="216"/>
      <c r="BM507" s="216"/>
      <c r="BN507" s="7436"/>
      <c r="BO507" s="7436"/>
      <c r="BP507" s="7436"/>
      <c r="BQ507" s="700"/>
      <c r="BR507" s="700"/>
      <c r="BS507" s="1070" t="s">
        <v>2730</v>
      </c>
      <c r="BT507" s="1070"/>
      <c r="BU507" s="1070"/>
      <c r="BV507" s="707"/>
      <c r="BW507" s="707"/>
    </row>
    <row s="1834" customFormat="1" customHeight="1" ht="0" hidden="1">
      <c r="A508" s="1278"/>
      <c r="B508" s="432">
        <f>method_reg="Метод индексации"</f>
        <v>1</v>
      </c>
      <c r="C508" s="107"/>
      <c r="D508" s="107"/>
      <c r="E508" s="621">
        <v>15</v>
      </c>
      <c r="F508" s="50" cm="1" t="str">
        <f t="array" ref="F508:F508">OFFSET(E508,-1,1)</f>
        <v>3</v>
      </c>
      <c r="G508" s="107"/>
      <c r="H508" s="107"/>
      <c r="I508" s="857" t="s">
        <v>2479</v>
      </c>
      <c r="J508" s="107" cm="1" t="str">
        <f t="array" ref="J508:J508">AC508</f>
        <v>0</v>
      </c>
      <c r="K508" s="378" t="s">
        <v>2479</v>
      </c>
      <c r="L508" s="980"/>
      <c r="M508" s="107"/>
      <c r="N508" s="107"/>
      <c r="O508" s="107"/>
      <c r="P508" s="107"/>
      <c r="Q508" s="107"/>
      <c r="R508" s="107"/>
      <c r="S508" s="107"/>
      <c r="T508" s="465">
        <f>AND(F508&gt;0,Y508&gt;0)</f>
        <v>0</v>
      </c>
      <c r="U508" s="107"/>
      <c r="V508" s="107"/>
      <c r="W508" s="107" t="s">
        <v>174</v>
      </c>
      <c r="X508" s="1596"/>
      <c r="Y508" s="158">
        <v>0</v>
      </c>
      <c r="Z508" s="1546"/>
      <c r="AA508" s="420" t="s">
        <v>175</v>
      </c>
      <c r="AB508" s="300" t="str">
        <f>"1.7."&amp;Y508</f>
        <v>1.7.0</v>
      </c>
      <c r="AC508" s="1243"/>
      <c r="AD508" s="300" t="s">
        <v>1514</v>
      </c>
      <c r="AE508" s="1241"/>
      <c r="AF508" s="1241"/>
      <c r="AG508" s="1241"/>
      <c r="AH508" s="1114">
        <f>AG508-AF508</f>
        <v>0</v>
      </c>
      <c r="AI508" s="1241"/>
      <c r="AJ508" s="1241"/>
      <c r="AK508" s="1115"/>
      <c r="AL508" s="1115"/>
      <c r="AM508" s="1115"/>
      <c r="AN508" s="1115"/>
      <c r="AO508" s="1115"/>
      <c r="AP508" s="1115"/>
      <c r="AQ508" s="1115"/>
      <c r="AR508" s="1115"/>
      <c r="AS508" s="1115"/>
      <c r="AT508" s="1241"/>
      <c r="AU508" s="1115"/>
      <c r="AV508" s="1115"/>
      <c r="AW508" s="1115"/>
      <c r="AX508" s="1115"/>
      <c r="AY508" s="1115"/>
      <c r="AZ508" s="1115"/>
      <c r="BA508" s="1115"/>
      <c r="BB508" s="1115"/>
      <c r="BC508" s="1115"/>
      <c r="BD508" s="1114">
        <f>IF(AI508=0,0,(AT508-AI508)/AI508*100)</f>
        <v>0</v>
      </c>
      <c r="BE508" s="1115"/>
      <c r="BF508" s="1115"/>
      <c r="BG508" s="1115"/>
      <c r="BH508" s="1115"/>
      <c r="BI508" s="1115"/>
      <c r="BJ508" s="1115"/>
      <c r="BK508" s="1115"/>
      <c r="BL508" s="1115"/>
      <c r="BM508" s="1115"/>
      <c r="BN508" s="1238"/>
      <c r="BO508" s="1238"/>
      <c r="BP508" s="1238"/>
      <c r="BQ508" s="1278"/>
      <c r="BR508" s="1278"/>
      <c r="BS508" s="1064" t="s">
        <v>2730</v>
      </c>
      <c r="BT508" s="1064" t="s">
        <v>2731</v>
      </c>
      <c r="BU508" s="1064" cm="1" t="str">
        <f t="array" ref="BU508:BU508">AC508</f>
        <v>0</v>
      </c>
      <c r="BV508" s="979"/>
      <c r="BW508" s="703" t="b">
        <v>1</v>
      </c>
    </row>
    <row s="1834" customFormat="1" customHeight="1" ht="0">
      <c r="A509" s="1278"/>
      <c r="B509" s="432" cm="1" t="str">
        <f t="array" ref="B509:B509">B508</f>
        <v>true</v>
      </c>
      <c r="C509" s="107"/>
      <c r="D509" s="107"/>
      <c r="E509" s="621">
        <v>15</v>
      </c>
      <c r="F509" s="50" cm="1" t="str">
        <f t="array" ref="F509:F509">OFFSET(E509,-1,1)</f>
        <v>3</v>
      </c>
      <c r="G509" s="480"/>
      <c r="H509" s="107"/>
      <c r="I509" s="107"/>
      <c r="J509" s="107" t="s">
        <v>2732</v>
      </c>
      <c r="K509" s="1278"/>
      <c r="L509" s="980"/>
      <c r="M509" s="107"/>
      <c r="N509" s="107"/>
      <c r="O509" s="107"/>
      <c r="P509" s="107"/>
      <c r="Q509" s="107"/>
      <c r="R509" s="107"/>
      <c r="S509" s="107"/>
      <c r="T509" s="465">
        <f>F509&gt;0</f>
        <v>1</v>
      </c>
      <c r="U509" s="107"/>
      <c r="V509" s="107"/>
      <c r="W509" s="829" t="s">
        <v>399</v>
      </c>
      <c r="X509" s="1596"/>
      <c r="Y509" s="1278"/>
      <c r="Z509" s="1546"/>
      <c r="AA509" s="1278"/>
      <c r="AB509" s="874"/>
      <c r="AC509" s="260" t="s">
        <v>178</v>
      </c>
      <c r="AD509" s="776"/>
      <c r="AE509" s="776"/>
      <c r="AF509" s="776"/>
      <c r="AG509" s="776"/>
      <c r="AH509" s="776"/>
      <c r="AI509" s="776"/>
      <c r="AJ509" s="776"/>
      <c r="AK509" s="776"/>
      <c r="AL509" s="776"/>
      <c r="AM509" s="776"/>
      <c r="AN509" s="776"/>
      <c r="AO509" s="776"/>
      <c r="AP509" s="776"/>
      <c r="AQ509" s="776"/>
      <c r="AR509" s="776"/>
      <c r="AS509" s="776"/>
      <c r="AT509" s="776"/>
      <c r="AU509" s="776"/>
      <c r="AV509" s="776"/>
      <c r="AW509" s="776"/>
      <c r="AX509" s="776"/>
      <c r="AY509" s="776"/>
      <c r="AZ509" s="776"/>
      <c r="BA509" s="776"/>
      <c r="BB509" s="776"/>
      <c r="BC509" s="776"/>
      <c r="BD509" s="776"/>
      <c r="BE509" s="776"/>
      <c r="BF509" s="776"/>
      <c r="BG509" s="776"/>
      <c r="BH509" s="776"/>
      <c r="BI509" s="776"/>
      <c r="BJ509" s="776"/>
      <c r="BK509" s="776"/>
      <c r="BL509" s="776"/>
      <c r="BM509" s="776"/>
      <c r="BN509" s="776"/>
      <c r="BO509" s="776"/>
      <c r="BP509" s="777"/>
      <c r="BQ509" s="1278"/>
      <c r="BR509" s="1278"/>
      <c r="BS509" s="1064"/>
      <c r="BT509" s="1064"/>
      <c r="BU509" s="1064"/>
      <c r="BV509" s="703" t="s">
        <v>2731</v>
      </c>
      <c r="BW509" s="979"/>
    </row>
    <row s="7605" customFormat="1" customHeight="1" ht="20.25">
      <c r="A510" s="700"/>
      <c r="B510" s="435"/>
      <c r="C510" s="109"/>
      <c r="D510" s="109"/>
      <c r="E510" s="826">
        <v>21</v>
      </c>
      <c r="F510" s="50" cm="1" t="str">
        <f t="array" ref="F510:F510">OFFSET(E510,-1,1)</f>
        <v>3</v>
      </c>
      <c r="G510" s="109"/>
      <c r="H510" s="107"/>
      <c r="I510" s="107" t="s">
        <v>333</v>
      </c>
      <c r="J510" s="109"/>
      <c r="K510" s="158" t="s">
        <v>333</v>
      </c>
      <c r="L510" s="985"/>
      <c r="M510" s="109"/>
      <c r="N510" s="109"/>
      <c r="O510" s="109"/>
      <c r="P510" s="109"/>
      <c r="Q510" s="109"/>
      <c r="R510" s="109"/>
      <c r="S510" s="109"/>
      <c r="T510" s="465">
        <f>F510&gt;0</f>
        <v>1</v>
      </c>
      <c r="U510" s="109"/>
      <c r="V510" s="109"/>
      <c r="W510" s="109"/>
      <c r="X510" s="1596"/>
      <c r="Y510" s="700"/>
      <c r="Z510" s="1546"/>
      <c r="AA510" s="700"/>
      <c r="AB510" s="234" t="s">
        <v>285</v>
      </c>
      <c r="AC510" s="212" t="s">
        <v>2733</v>
      </c>
      <c r="AD510" s="234" t="s">
        <v>1514</v>
      </c>
      <c r="AE510" s="213">
        <f>AE511+AE523+AE524++AE535+AE536+AE537+AE539+AE540+AE541+AE542+AE545</f>
        <v>0</v>
      </c>
      <c r="AF510" s="213">
        <f>AF511+AF523+AF524++AF535+AF536+AF537+AF539+AF540+AF541+AF542+AF545</f>
        <v>0</v>
      </c>
      <c r="AG510" s="213">
        <f>AG511+AG523+AG524++AG535+AG536+AG537+AG539+AG540+AG541+AG542+AG545</f>
        <v>0</v>
      </c>
      <c r="AH510" s="778">
        <f>AG510-AF510</f>
        <v>0</v>
      </c>
      <c r="AI510" s="213">
        <f>AI511+AI523+AI524++AI535+AI536+AI537+AI539+AI540+AI541+AI542+AI545</f>
        <v>0</v>
      </c>
      <c r="AJ510" s="213">
        <f>AJ511+AJ523+AJ524++AJ535+AJ536+AJ537+AJ539+AJ540+AJ541+AJ542+AJ545</f>
        <v>2040.4990032</v>
      </c>
      <c r="AK510" s="213">
        <f>AK511+AK523+AK524++AK535+AK536+AK537+AK539+AK540+AK541+AK542+AK545</f>
        <v>2091.1622983248</v>
      </c>
      <c r="AL510" s="213">
        <f>AL511+AL523+AL524++AL535+AL536+AL537+AL539+AL540+AL541+AL542+AL545</f>
        <v>2161.3087023709</v>
      </c>
      <c r="AM510" s="213">
        <f>AM511+AM523+AM524++AM535+AM536+AM537+AM539+AM540+AM541+AM542+AM545</f>
        <v>2367.30350120242</v>
      </c>
      <c r="AN510" s="213">
        <f>AN511+AN523+AN524++AN535+AN536+AN537+AN539+AN540+AN541+AN542+AN545</f>
        <v>2389.12119455519</v>
      </c>
      <c r="AO510" s="213">
        <f>AO511+AO523+AO524++AO535+AO536+AO537+AO539+AO540+AO541+AO542+AO545</f>
        <v>0</v>
      </c>
      <c r="AP510" s="213">
        <f>AP511+AP523+AP524++AP535+AP536+AP537+AP539+AP540+AP541+AP542+AP545</f>
        <v>0</v>
      </c>
      <c r="AQ510" s="213">
        <f>AQ511+AQ523+AQ524++AQ535+AQ536+AQ537+AQ539+AQ540+AQ541+AQ542+AQ545</f>
        <v>0</v>
      </c>
      <c r="AR510" s="213">
        <f>AR511+AR523+AR524++AR535+AR536+AR537+AR539+AR540+AR541+AR542+AR545</f>
        <v>0</v>
      </c>
      <c r="AS510" s="213">
        <f>AS511+AS523+AS524++AS535+AS536+AS537+AS539+AS540+AS541+AS542+AS545</f>
        <v>0</v>
      </c>
      <c r="AT510" s="213">
        <f>AT511+AT523+AT524++AT535+AT536+AT537+AT539+AT540+AT541+AT542+AT545</f>
        <v>2040.5030168</v>
      </c>
      <c r="AU510" s="213">
        <f>AU511+AU523+AU524++AU535+AU536+AU537+AU539+AU540+AU541+AU542+AU545</f>
        <v>2091.1662124688</v>
      </c>
      <c r="AV510" s="213">
        <f>AV511+AV523+AV524++AV535+AV536+AV537+AV539+AV540+AV541+AV542+AV545</f>
        <v>2161.3117023709</v>
      </c>
      <c r="AW510" s="213">
        <f>AW511+AW523+AW524++AW535+AW536+AW537+AW539+AW540+AW541+AW542+AW545</f>
        <v>2367.30350120242</v>
      </c>
      <c r="AX510" s="213">
        <f>AX511+AX523+AX524++AX535+AX536+AX537+AX539+AX540+AX541+AX542+AX545</f>
        <v>2389.12119455519</v>
      </c>
      <c r="AY510" s="213">
        <f>AY511+AY523+AY524++AY535+AY536+AY537+AY539+AY540+AY541+AY542+AY545</f>
        <v>0</v>
      </c>
      <c r="AZ510" s="213">
        <f>AZ511+AZ523+AZ524++AZ535+AZ536+AZ537+AZ539+AZ540+AZ541+AZ542+AZ545</f>
        <v>0</v>
      </c>
      <c r="BA510" s="213">
        <f>BA511+BA523+BA524++BA535+BA536+BA537+BA539+BA540+BA541+BA542+BA545</f>
        <v>0</v>
      </c>
      <c r="BB510" s="213">
        <f>BB511+BB523+BB524++BB535+BB536+BB537+BB539+BB540+BB541+BB542+BB545</f>
        <v>0</v>
      </c>
      <c r="BC510" s="213">
        <f>BC511+BC523+BC524++BC535+BC536+BC537+BC539+BC540+BC541+BC542+BC545</f>
        <v>0</v>
      </c>
      <c r="BD510" s="778">
        <f>IF(AI510=0,0,(AT510-AI510)/AI510*100)</f>
        <v>0</v>
      </c>
      <c r="BE510" s="778">
        <f>IF(AT510=0,0,(AU510-AT510)/AT510*100)</f>
        <v>2.48287776355519</v>
      </c>
      <c r="BF510" s="778">
        <f>IF(AU510=0,0,(AV510-AU510)/AU510*100)</f>
        <v>3.35437180860374</v>
      </c>
      <c r="BG510" s="778">
        <f>IF(AV510=0,0,(AW510-AV510)/AV510*100)</f>
        <v>9.53086954582038</v>
      </c>
      <c r="BH510" s="778">
        <f>IF(AW510=0,0,(AX510-AW510)/AW510*100)</f>
        <v>0.921626371172431</v>
      </c>
      <c r="BI510" s="778">
        <f>IF(AX510=0,0,(AY510-AX510)/AX510*100)</f>
        <v>-100</v>
      </c>
      <c r="BJ510" s="778">
        <f>IF(AY510=0,0,(AZ510-AY510)/AY510*100)</f>
        <v>0</v>
      </c>
      <c r="BK510" s="778">
        <f>IF(AZ510=0,0,(BA510-AZ510)/AZ510*100)</f>
        <v>0</v>
      </c>
      <c r="BL510" s="778">
        <f>IF(BA510=0,0,(BB510-BA510)/BA510*100)</f>
        <v>0</v>
      </c>
      <c r="BM510" s="778">
        <f>IF(BB510=0,0,(BC510-BB510)/BB510*100)</f>
        <v>0</v>
      </c>
      <c r="BN510" s="7433"/>
      <c r="BO510" s="7433"/>
      <c r="BP510" s="7433"/>
      <c r="BQ510" s="160"/>
      <c r="BR510" s="700"/>
      <c r="BS510" s="1070" t="s">
        <v>2734</v>
      </c>
      <c r="BT510" s="1070"/>
      <c r="BU510" s="1070"/>
      <c r="BV510" s="707"/>
      <c r="BW510" s="707"/>
    </row>
    <row s="7606" customFormat="1" customHeight="1" ht="0">
      <c r="A511" s="700"/>
      <c r="B511" s="435"/>
      <c r="C511" s="109"/>
      <c r="D511" s="109"/>
      <c r="E511" s="826">
        <v>22.5</v>
      </c>
      <c r="F511" s="50" cm="1" t="str">
        <f t="array" ref="F511:F511">OFFSET(E511,-1,1)</f>
        <v>3</v>
      </c>
      <c r="G511" s="374" cm="1" t="str">
        <f t="array" ref="G511:G511">F510</f>
        <v>3</v>
      </c>
      <c r="H511" s="107"/>
      <c r="I511" s="107" t="s">
        <v>1193</v>
      </c>
      <c r="J511" s="109"/>
      <c r="K511" s="158" t="s">
        <v>1193</v>
      </c>
      <c r="L511" s="985" t="s">
        <v>1179</v>
      </c>
      <c r="M511" s="109"/>
      <c r="N511" s="109"/>
      <c r="O511" s="109"/>
      <c r="P511" s="109"/>
      <c r="Q511" s="109"/>
      <c r="R511" s="109"/>
      <c r="S511" s="109"/>
      <c r="T511" s="465" cm="1" t="str">
        <f t="array" ref="T511:T511">T510</f>
        <v>true</v>
      </c>
      <c r="U511" s="109"/>
      <c r="V511" s="109"/>
      <c r="W511" s="109"/>
      <c r="X511" s="1596"/>
      <c r="Y511" s="700"/>
      <c r="Z511" s="1546"/>
      <c r="AA511" s="700"/>
      <c r="AB511" s="211" t="s">
        <v>1250</v>
      </c>
      <c r="AC511" s="361" t="s">
        <v>2735</v>
      </c>
      <c r="AD511" s="211" t="s">
        <v>1514</v>
      </c>
      <c r="AE511" s="213">
        <f>SUM(AE512:AE522)</f>
        <v>0</v>
      </c>
      <c r="AF511" s="213">
        <f>SUM(AF512:AF522)</f>
        <v>0</v>
      </c>
      <c r="AG511" s="213">
        <f>SUM(AG512:AG522)</f>
        <v>0</v>
      </c>
      <c r="AH511" s="778">
        <f>AG511-AF511</f>
        <v>0</v>
      </c>
      <c r="AI511" s="213">
        <f>SUM(AI512:AI522)</f>
        <v>0</v>
      </c>
      <c r="AJ511" s="213">
        <f>SUM(AJ512:AJ522)</f>
        <v>0</v>
      </c>
      <c r="AK511" s="213">
        <f>SUM(AK512:AK522)</f>
        <v>0</v>
      </c>
      <c r="AL511" s="213">
        <f>SUM(AL512:AL522)</f>
        <v>0</v>
      </c>
      <c r="AM511" s="213">
        <f>SUM(AM512:AM522)</f>
        <v>0</v>
      </c>
      <c r="AN511" s="213">
        <f>SUM(AN512:AN522)</f>
        <v>0</v>
      </c>
      <c r="AO511" s="213">
        <f>SUM(AO512:AO522)</f>
        <v>0</v>
      </c>
      <c r="AP511" s="213">
        <f>SUM(AP512:AP522)</f>
        <v>0</v>
      </c>
      <c r="AQ511" s="213">
        <f>SUM(AQ512:AQ522)</f>
        <v>0</v>
      </c>
      <c r="AR511" s="213">
        <f>SUM(AR512:AR522)</f>
        <v>0</v>
      </c>
      <c r="AS511" s="213">
        <f>SUM(AS512:AS522)</f>
        <v>0</v>
      </c>
      <c r="AT511" s="213">
        <f>SUM(AT512:AT522)</f>
        <v>0</v>
      </c>
      <c r="AU511" s="213">
        <f>SUM(AU512:AU522)</f>
        <v>0</v>
      </c>
      <c r="AV511" s="213">
        <f>SUM(AV512:AV522)</f>
        <v>0</v>
      </c>
      <c r="AW511" s="213">
        <f>SUM(AW512:AW522)</f>
        <v>0</v>
      </c>
      <c r="AX511" s="213">
        <f>SUM(AX512:AX522)</f>
        <v>0</v>
      </c>
      <c r="AY511" s="213">
        <f>SUM(AY512:AY522)</f>
        <v>0</v>
      </c>
      <c r="AZ511" s="213">
        <f>SUM(AZ512:AZ522)</f>
        <v>0</v>
      </c>
      <c r="BA511" s="213">
        <f>SUM(BA512:BA522)</f>
        <v>0</v>
      </c>
      <c r="BB511" s="213">
        <f>SUM(BB512:BB522)</f>
        <v>0</v>
      </c>
      <c r="BC511" s="213">
        <f>SUM(BC512:BC522)</f>
        <v>0</v>
      </c>
      <c r="BD511" s="778">
        <f>IF(AI511=0,0,(AT511-AI511)/AI511*100)</f>
        <v>0</v>
      </c>
      <c r="BE511" s="778">
        <f>IF(AT511=0,0,(AU511-AT511)/AT511*100)</f>
        <v>0</v>
      </c>
      <c r="BF511" s="778">
        <f>IF(AU511=0,0,(AV511-AU511)/AU511*100)</f>
        <v>0</v>
      </c>
      <c r="BG511" s="778">
        <f>IF(AV511=0,0,(AW511-AV511)/AV511*100)</f>
        <v>0</v>
      </c>
      <c r="BH511" s="778">
        <f>IF(AW511=0,0,(AX511-AW511)/AW511*100)</f>
        <v>0</v>
      </c>
      <c r="BI511" s="778">
        <f>IF(AX511=0,0,(AY511-AX511)/AX511*100)</f>
        <v>0</v>
      </c>
      <c r="BJ511" s="778">
        <f>IF(AY511=0,0,(AZ511-AY511)/AY511*100)</f>
        <v>0</v>
      </c>
      <c r="BK511" s="778">
        <f>IF(AZ511=0,0,(BA511-AZ511)/AZ511*100)</f>
        <v>0</v>
      </c>
      <c r="BL511" s="778">
        <f>IF(BA511=0,0,(BB511-BA511)/BA511*100)</f>
        <v>0</v>
      </c>
      <c r="BM511" s="778">
        <f>IF(BB511=0,0,(BC511-BB511)/BB511*100)</f>
        <v>0</v>
      </c>
      <c r="BN511" s="7436"/>
      <c r="BO511" s="7436"/>
      <c r="BP511" s="7436"/>
      <c r="BQ511" s="700"/>
      <c r="BR511" s="700"/>
      <c r="BS511" s="1070" t="s">
        <v>2736</v>
      </c>
      <c r="BT511" s="1070"/>
      <c r="BU511" s="1070"/>
      <c r="BV511" s="707"/>
      <c r="BW511" s="707"/>
    </row>
    <row s="1834" customFormat="1" customHeight="1" ht="0">
      <c r="A512" s="1278"/>
      <c r="B512" s="978"/>
      <c r="C512" s="107"/>
      <c r="D512" s="107"/>
      <c r="E512" s="621">
        <v>15</v>
      </c>
      <c r="F512" s="50" cm="1" t="str">
        <f t="array" ref="F512:F512">OFFSET(E512,-1,1)</f>
        <v>3</v>
      </c>
      <c r="G512" s="107" t="s">
        <v>1819</v>
      </c>
      <c r="H512" s="107"/>
      <c r="I512" s="107" t="s">
        <v>2295</v>
      </c>
      <c r="J512" s="107"/>
      <c r="K512" s="158" t="s">
        <v>2295</v>
      </c>
      <c r="L512" s="980" t="s">
        <v>2071</v>
      </c>
      <c r="M512" s="107"/>
      <c r="N512" s="107"/>
      <c r="O512" s="107"/>
      <c r="P512" s="107"/>
      <c r="Q512" s="107"/>
      <c r="R512" s="107"/>
      <c r="S512" s="107"/>
      <c r="T512" s="465" cm="1" t="str">
        <f t="array" ref="T512:T512">T511</f>
        <v>true</v>
      </c>
      <c r="U512" s="107"/>
      <c r="V512" s="107"/>
      <c r="W512" s="107"/>
      <c r="X512" s="1596"/>
      <c r="Y512" s="1278"/>
      <c r="Z512" s="1546"/>
      <c r="AA512" s="1278"/>
      <c r="AB512" s="300" t="s">
        <v>1201</v>
      </c>
      <c r="AC512" s="765" t="s">
        <v>2737</v>
      </c>
      <c r="AD512" s="300" t="s">
        <v>1514</v>
      </c>
      <c r="AE512" s="1114">
        <f>_xlfn.SUMIFS(Покупка!AE$25:AE$372,Покупка!$F$25:$F$372,$F512,Покупка!$AC$25:$AC$372,$G512)</f>
        <v>0</v>
      </c>
      <c r="AF512" s="1114">
        <f>_xlfn.SUMIFS(Покупка!AF$25:AF$372,Покупка!$F$25:$F$372,$F512,Покупка!$AC$25:$AC$372,$G512)</f>
        <v>0</v>
      </c>
      <c r="AG512" s="1114">
        <f>_xlfn.SUMIFS(Покупка!AG$25:AG$372,Покупка!$F$25:$F$372,$F512,Покупка!$AC$25:$AC$372,$G512)</f>
        <v>0</v>
      </c>
      <c r="AH512" s="1114">
        <f>AG512-AF512</f>
        <v>0</v>
      </c>
      <c r="AI512" s="1114">
        <f>_xlfn.SUMIFS(Покупка!AH$25:AH$372,Покупка!$F$25:$F$372,$F512,Покупка!$AC$25:$AC$372,$G512)</f>
        <v>0</v>
      </c>
      <c r="AJ512" s="1114">
        <f>_xlfn.SUMIFS(Покупка!AI$25:AI$372,Покупка!$F$25:$F$372,$F512,Покупка!$AC$25:$AC$372,$G512)</f>
        <v>0</v>
      </c>
      <c r="AK512" s="1114">
        <f>_xlfn.SUMIFS(Покупка!AJ$25:AJ$372,Покупка!$F$25:$F$372,$F512,Покупка!$AC$25:$AC$372,$G512)</f>
        <v>0</v>
      </c>
      <c r="AL512" s="1114">
        <f>_xlfn.SUMIFS(Покупка!AK$25:AK$372,Покупка!$F$25:$F$372,$F512,Покупка!$AC$25:$AC$372,$G512)</f>
        <v>0</v>
      </c>
      <c r="AM512" s="1114">
        <f>_xlfn.SUMIFS(Покупка!AL$25:AL$372,Покупка!$F$25:$F$372,$F512,Покупка!$AC$25:$AC$372,$G512)</f>
        <v>0</v>
      </c>
      <c r="AN512" s="1114">
        <f>_xlfn.SUMIFS(Покупка!AM$25:AM$372,Покупка!$F$25:$F$372,$F512,Покупка!$AC$25:$AC$372,$G512)</f>
        <v>0</v>
      </c>
      <c r="AO512" s="1114">
        <f>_xlfn.SUMIFS(Покупка!AN$25:AN$372,Покупка!$F$25:$F$372,$F512,Покупка!$AC$25:$AC$372,$G512)</f>
        <v>0</v>
      </c>
      <c r="AP512" s="1114">
        <f>_xlfn.SUMIFS(Покупка!AO$25:AO$372,Покупка!$F$25:$F$372,$F512,Покупка!$AC$25:$AC$372,$G512)</f>
        <v>0</v>
      </c>
      <c r="AQ512" s="1114">
        <f>_xlfn.SUMIFS(Покупка!AP$25:AP$372,Покупка!$F$25:$F$372,$F512,Покупка!$AC$25:$AC$372,$G512)</f>
        <v>0</v>
      </c>
      <c r="AR512" s="1114">
        <f>_xlfn.SUMIFS(Покупка!AQ$25:AQ$372,Покупка!$F$25:$F$372,$F512,Покупка!$AC$25:$AC$372,$G512)</f>
        <v>0</v>
      </c>
      <c r="AS512" s="1114">
        <f>_xlfn.SUMIFS(Покупка!AR$25:AR$372,Покупка!$F$25:$F$372,$F512,Покупка!$AC$25:$AC$372,$G512)</f>
        <v>0</v>
      </c>
      <c r="AT512" s="1114">
        <f>_xlfn.SUMIFS(Покупка!AS$25:AS$372,Покупка!$F$25:$F$372,$F512,Покупка!$AC$25:$AC$372,$G512)</f>
        <v>0</v>
      </c>
      <c r="AU512" s="1114">
        <f>_xlfn.SUMIFS(Покупка!AT$25:AT$372,Покупка!$F$25:$F$372,$F512,Покупка!$AC$25:$AC$372,$G512)</f>
        <v>0</v>
      </c>
      <c r="AV512" s="1114">
        <f>_xlfn.SUMIFS(Покупка!AU$25:AU$372,Покупка!$F$25:$F$372,$F512,Покупка!$AC$25:$AC$372,$G512)</f>
        <v>0</v>
      </c>
      <c r="AW512" s="1114">
        <f>_xlfn.SUMIFS(Покупка!AV$25:AV$372,Покупка!$F$25:$F$372,$F512,Покупка!$AC$25:$AC$372,$G512)</f>
        <v>0</v>
      </c>
      <c r="AX512" s="1114">
        <f>_xlfn.SUMIFS(Покупка!AW$25:AW$372,Покупка!$F$25:$F$372,$F512,Покупка!$AC$25:$AC$372,$G512)</f>
        <v>0</v>
      </c>
      <c r="AY512" s="1114">
        <f>_xlfn.SUMIFS(Покупка!AX$25:AX$372,Покупка!$F$25:$F$372,$F512,Покупка!$AC$25:$AC$372,$G512)</f>
        <v>0</v>
      </c>
      <c r="AZ512" s="1114">
        <f>_xlfn.SUMIFS(Покупка!AY$25:AY$372,Покупка!$F$25:$F$372,$F512,Покупка!$AC$25:$AC$372,$G512)</f>
        <v>0</v>
      </c>
      <c r="BA512" s="1114">
        <f>_xlfn.SUMIFS(Покупка!AZ$25:AZ$372,Покупка!$F$25:$F$372,$F512,Покупка!$AC$25:$AC$372,$G512)</f>
        <v>0</v>
      </c>
      <c r="BB512" s="1114">
        <f>_xlfn.SUMIFS(Покупка!BA$25:BA$372,Покупка!$F$25:$F$372,$F512,Покупка!$AC$25:$AC$372,$G512)</f>
        <v>0</v>
      </c>
      <c r="BC512" s="1114">
        <f>_xlfn.SUMIFS(Покупка!BB$25:BB$372,Покупка!$F$25:$F$372,$F512,Покупка!$AC$25:$AC$372,$G512)</f>
        <v>0</v>
      </c>
      <c r="BD512" s="1114">
        <f>IF(AI512=0,0,(AT512-AI512)/AI512*100)</f>
        <v>0</v>
      </c>
      <c r="BE512" s="1114">
        <f>IF(AT512=0,0,(AU512-AT512)/AT512*100)</f>
        <v>0</v>
      </c>
      <c r="BF512" s="1114">
        <f>IF(AU512=0,0,(AV512-AU512)/AU512*100)</f>
        <v>0</v>
      </c>
      <c r="BG512" s="1114">
        <f>IF(AV512=0,0,(AW512-AV512)/AV512*100)</f>
        <v>0</v>
      </c>
      <c r="BH512" s="1114">
        <f>IF(AW512=0,0,(AX512-AW512)/AW512*100)</f>
        <v>0</v>
      </c>
      <c r="BI512" s="1114">
        <f>IF(AX512=0,0,(AY512-AX512)/AX512*100)</f>
        <v>0</v>
      </c>
      <c r="BJ512" s="1114">
        <f>IF(AY512=0,0,(AZ512-AY512)/AY512*100)</f>
        <v>0</v>
      </c>
      <c r="BK512" s="1114">
        <f>IF(AZ512=0,0,(BA512-AZ512)/AZ512*100)</f>
        <v>0</v>
      </c>
      <c r="BL512" s="1114">
        <f>IF(BA512=0,0,(BB512-BA512)/BA512*100)</f>
        <v>0</v>
      </c>
      <c r="BM512" s="1114">
        <f>IF(BB512=0,0,(BC512-BB512)/BB512*100)</f>
        <v>0</v>
      </c>
      <c r="BN512" s="7433"/>
      <c r="BO512" s="7437" t="str">
        <f>IF(_xlfn.IFERROR(INDEX(Покупка!$K$26:$L$372,MATCH($F512&amp;"6komm",Покупка!$K$26:$K$372,0),2),"")=0,"",_xlfn.IFERROR(INDEX(Покупка!$K$26:$L$372,MATCH($F512&amp;"6komm",Покупка!$K$26:$K$372,0),2),""))</f>
        <v/>
      </c>
      <c r="BP512" s="7433"/>
      <c r="BQ512" s="1278"/>
      <c r="BR512" s="1278"/>
      <c r="BS512" s="1064" t="s">
        <v>1820</v>
      </c>
      <c r="BT512" s="1064"/>
      <c r="BU512" s="1064"/>
      <c r="BV512" s="979"/>
      <c r="BW512" s="979"/>
    </row>
    <row s="1834" customFormat="1" customHeight="1" ht="0">
      <c r="A513" s="1278"/>
      <c r="B513" s="978"/>
      <c r="C513" s="107"/>
      <c r="D513" s="107"/>
      <c r="E513" s="621">
        <v>15</v>
      </c>
      <c r="F513" s="50" cm="1" t="str">
        <f t="array" ref="F513:F513">OFFSET(E513,-1,1)</f>
        <v>3</v>
      </c>
      <c r="G513" s="107" t="s">
        <v>1841</v>
      </c>
      <c r="H513" s="107"/>
      <c r="I513" s="107" t="s">
        <v>2299</v>
      </c>
      <c r="J513" s="107"/>
      <c r="K513" s="107" t="s">
        <v>2299</v>
      </c>
      <c r="L513" s="980" t="s">
        <v>2075</v>
      </c>
      <c r="M513" s="107"/>
      <c r="N513" s="107"/>
      <c r="O513" s="107"/>
      <c r="P513" s="107"/>
      <c r="Q513" s="107"/>
      <c r="R513" s="107"/>
      <c r="S513" s="107"/>
      <c r="T513" s="465" cm="1" t="str">
        <f t="array" ref="T513:T513">T512</f>
        <v>true</v>
      </c>
      <c r="U513" s="107"/>
      <c r="V513" s="107"/>
      <c r="W513" s="107"/>
      <c r="X513" s="1596"/>
      <c r="Y513" s="1278"/>
      <c r="Z513" s="1546"/>
      <c r="AA513" s="1278"/>
      <c r="AB513" s="300" t="s">
        <v>2738</v>
      </c>
      <c r="AC513" s="765" t="s">
        <v>2739</v>
      </c>
      <c r="AD513" s="300" t="s">
        <v>1514</v>
      </c>
      <c r="AE513" s="1114">
        <f>_xlfn.SUMIFS(Покупка!AE$25:AE$372,Покупка!$F$25:$F$372,$F513,Покупка!$AC$25:$AC$372,$G513)</f>
        <v>0</v>
      </c>
      <c r="AF513" s="1114">
        <f>_xlfn.SUMIFS(Покупка!AF$25:AF$372,Покупка!$F$25:$F$372,$F513,Покупка!$AC$25:$AC$372,$G513)</f>
        <v>0</v>
      </c>
      <c r="AG513" s="1114">
        <f>_xlfn.SUMIFS(Покупка!AG$25:AG$372,Покупка!$F$25:$F$372,$F513,Покупка!$AC$25:$AC$372,$G513)</f>
        <v>0</v>
      </c>
      <c r="AH513" s="1114">
        <f>AG513-AF513</f>
        <v>0</v>
      </c>
      <c r="AI513" s="1114">
        <f>_xlfn.SUMIFS(Покупка!AH$25:AH$372,Покупка!$F$25:$F$372,$F513,Покупка!$AC$25:$AC$372,$G513)</f>
        <v>0</v>
      </c>
      <c r="AJ513" s="1114">
        <f>_xlfn.SUMIFS(Покупка!AI$25:AI$372,Покупка!$F$25:$F$372,$F513,Покупка!$AC$25:$AC$372,$G513)</f>
        <v>0</v>
      </c>
      <c r="AK513" s="1114">
        <f>_xlfn.SUMIFS(Покупка!AJ$25:AJ$372,Покупка!$F$25:$F$372,$F513,Покупка!$AC$25:$AC$372,$G513)</f>
        <v>0</v>
      </c>
      <c r="AL513" s="1114">
        <f>_xlfn.SUMIFS(Покупка!AK$25:AK$372,Покупка!$F$25:$F$372,$F513,Покупка!$AC$25:$AC$372,$G513)</f>
        <v>0</v>
      </c>
      <c r="AM513" s="1114">
        <f>_xlfn.SUMIFS(Покупка!AL$25:AL$372,Покупка!$F$25:$F$372,$F513,Покупка!$AC$25:$AC$372,$G513)</f>
        <v>0</v>
      </c>
      <c r="AN513" s="1114">
        <f>_xlfn.SUMIFS(Покупка!AM$25:AM$372,Покупка!$F$25:$F$372,$F513,Покупка!$AC$25:$AC$372,$G513)</f>
        <v>0</v>
      </c>
      <c r="AO513" s="1114">
        <f>_xlfn.SUMIFS(Покупка!AN$25:AN$372,Покупка!$F$25:$F$372,$F513,Покупка!$AC$25:$AC$372,$G513)</f>
        <v>0</v>
      </c>
      <c r="AP513" s="1114">
        <f>_xlfn.SUMIFS(Покупка!AO$25:AO$372,Покупка!$F$25:$F$372,$F513,Покупка!$AC$25:$AC$372,$G513)</f>
        <v>0</v>
      </c>
      <c r="AQ513" s="1114">
        <f>_xlfn.SUMIFS(Покупка!AP$25:AP$372,Покупка!$F$25:$F$372,$F513,Покупка!$AC$25:$AC$372,$G513)</f>
        <v>0</v>
      </c>
      <c r="AR513" s="1114">
        <f>_xlfn.SUMIFS(Покупка!AQ$25:AQ$372,Покупка!$F$25:$F$372,$F513,Покупка!$AC$25:$AC$372,$G513)</f>
        <v>0</v>
      </c>
      <c r="AS513" s="1114">
        <f>_xlfn.SUMIFS(Покупка!AR$25:AR$372,Покупка!$F$25:$F$372,$F513,Покупка!$AC$25:$AC$372,$G513)</f>
        <v>0</v>
      </c>
      <c r="AT513" s="1114">
        <f>_xlfn.SUMIFS(Покупка!AS$25:AS$372,Покупка!$F$25:$F$372,$F513,Покупка!$AC$25:$AC$372,$G513)</f>
        <v>0</v>
      </c>
      <c r="AU513" s="1114">
        <f>_xlfn.SUMIFS(Покупка!AT$25:AT$372,Покупка!$F$25:$F$372,$F513,Покупка!$AC$25:$AC$372,$G513)</f>
        <v>0</v>
      </c>
      <c r="AV513" s="1114">
        <f>_xlfn.SUMIFS(Покупка!AU$25:AU$372,Покупка!$F$25:$F$372,$F513,Покупка!$AC$25:$AC$372,$G513)</f>
        <v>0</v>
      </c>
      <c r="AW513" s="1114">
        <f>_xlfn.SUMIFS(Покупка!AV$25:AV$372,Покупка!$F$25:$F$372,$F513,Покупка!$AC$25:$AC$372,$G513)</f>
        <v>0</v>
      </c>
      <c r="AX513" s="1114">
        <f>_xlfn.SUMIFS(Покупка!AW$25:AW$372,Покупка!$F$25:$F$372,$F513,Покупка!$AC$25:$AC$372,$G513)</f>
        <v>0</v>
      </c>
      <c r="AY513" s="1114">
        <f>_xlfn.SUMIFS(Покупка!AX$25:AX$372,Покупка!$F$25:$F$372,$F513,Покупка!$AC$25:$AC$372,$G513)</f>
        <v>0</v>
      </c>
      <c r="AZ513" s="1114">
        <f>_xlfn.SUMIFS(Покупка!AY$25:AY$372,Покупка!$F$25:$F$372,$F513,Покупка!$AC$25:$AC$372,$G513)</f>
        <v>0</v>
      </c>
      <c r="BA513" s="1114">
        <f>_xlfn.SUMIFS(Покупка!AZ$25:AZ$372,Покупка!$F$25:$F$372,$F513,Покупка!$AC$25:$AC$372,$G513)</f>
        <v>0</v>
      </c>
      <c r="BB513" s="1114">
        <f>_xlfn.SUMIFS(Покупка!BA$25:BA$372,Покупка!$F$25:$F$372,$F513,Покупка!$AC$25:$AC$372,$G513)</f>
        <v>0</v>
      </c>
      <c r="BC513" s="1114">
        <f>_xlfn.SUMIFS(Покупка!BB$25:BB$372,Покупка!$F$25:$F$372,$F513,Покупка!$AC$25:$AC$372,$G513)</f>
        <v>0</v>
      </c>
      <c r="BD513" s="1114">
        <f>IF(AI513=0,0,(AT513-AI513)/AI513*100)</f>
        <v>0</v>
      </c>
      <c r="BE513" s="1114">
        <f>IF(AT513=0,0,(AU513-AT513)/AT513*100)</f>
        <v>0</v>
      </c>
      <c r="BF513" s="1114">
        <f>IF(AU513=0,0,(AV513-AU513)/AU513*100)</f>
        <v>0</v>
      </c>
      <c r="BG513" s="1114">
        <f>IF(AV513=0,0,(AW513-AV513)/AV513*100)</f>
        <v>0</v>
      </c>
      <c r="BH513" s="1114">
        <f>IF(AW513=0,0,(AX513-AW513)/AW513*100)</f>
        <v>0</v>
      </c>
      <c r="BI513" s="1114">
        <f>IF(AX513=0,0,(AY513-AX513)/AX513*100)</f>
        <v>0</v>
      </c>
      <c r="BJ513" s="1114">
        <f>IF(AY513=0,0,(AZ513-AY513)/AY513*100)</f>
        <v>0</v>
      </c>
      <c r="BK513" s="1114">
        <f>IF(AZ513=0,0,(BA513-AZ513)/AZ513*100)</f>
        <v>0</v>
      </c>
      <c r="BL513" s="1114">
        <f>IF(BA513=0,0,(BB513-BA513)/BA513*100)</f>
        <v>0</v>
      </c>
      <c r="BM513" s="1114">
        <f>IF(BB513=0,0,(BC513-BB513)/BB513*100)</f>
        <v>0</v>
      </c>
      <c r="BN513" s="7433"/>
      <c r="BO513" s="7437" t="str">
        <f>IF(_xlfn.IFERROR(INDEX(Покупка!$K$26:$L$372,MATCH($F513&amp;"7komm",Покупка!$K$26:$K$372,0),2),"")=0,"",_xlfn.IFERROR(INDEX(Покупка!$K$26:$L$372,MATCH($F513&amp;"7komm",Покупка!$K$26:$K$372,0),2),""))</f>
        <v/>
      </c>
      <c r="BP513" s="7433"/>
      <c r="BQ513" s="1278"/>
      <c r="BR513" s="1278"/>
      <c r="BS513" s="1064" t="s">
        <v>1842</v>
      </c>
      <c r="BT513" s="1064"/>
      <c r="BU513" s="1064"/>
      <c r="BV513" s="979"/>
      <c r="BW513" s="979"/>
    </row>
    <row s="1834" customFormat="1" customHeight="1" ht="0">
      <c r="A514" s="1278"/>
      <c r="B514" s="978"/>
      <c r="C514" s="107"/>
      <c r="D514" s="107"/>
      <c r="E514" s="621">
        <v>15</v>
      </c>
      <c r="F514" s="50" cm="1" t="str">
        <f t="array" ref="F514:F514">OFFSET(E514,-1,1)</f>
        <v>3</v>
      </c>
      <c r="G514" s="107" t="s">
        <v>1793</v>
      </c>
      <c r="H514" s="107"/>
      <c r="I514" s="107" t="s">
        <v>2374</v>
      </c>
      <c r="J514" s="107"/>
      <c r="K514" s="107" t="s">
        <v>2374</v>
      </c>
      <c r="L514" s="980" t="s">
        <v>2244</v>
      </c>
      <c r="M514" s="107"/>
      <c r="N514" s="107"/>
      <c r="O514" s="107"/>
      <c r="P514" s="107"/>
      <c r="Q514" s="107"/>
      <c r="R514" s="107"/>
      <c r="S514" s="107"/>
      <c r="T514" s="465" cm="1" t="str">
        <f t="array" ref="T514:T514">T513</f>
        <v>true</v>
      </c>
      <c r="U514" s="107"/>
      <c r="V514" s="107"/>
      <c r="W514" s="107"/>
      <c r="X514" s="1596"/>
      <c r="Y514" s="1278"/>
      <c r="Z514" s="1546"/>
      <c r="AA514" s="1278"/>
      <c r="AB514" s="300" t="s">
        <v>2740</v>
      </c>
      <c r="AC514" s="765" t="s">
        <v>2741</v>
      </c>
      <c r="AD514" s="300" t="s">
        <v>1514</v>
      </c>
      <c r="AE514" s="1114">
        <f>_xlfn.SUMIFS(Покупка!AE$25:AE$372,Покупка!$F$25:$F$372,$F514,Покупка!$AC$25:$AC$372,$G514)</f>
        <v>0</v>
      </c>
      <c r="AF514" s="1114">
        <f>_xlfn.SUMIFS(Покупка!AF$25:AF$372,Покупка!$F$25:$F$372,$F514,Покупка!$AC$25:$AC$372,$G514)</f>
        <v>0</v>
      </c>
      <c r="AG514" s="1114">
        <f>_xlfn.SUMIFS(Покупка!AG$25:AG$372,Покупка!$F$25:$F$372,$F514,Покупка!$AC$25:$AC$372,$G514)</f>
        <v>0</v>
      </c>
      <c r="AH514" s="1114">
        <f>AG514-AF514</f>
        <v>0</v>
      </c>
      <c r="AI514" s="1114">
        <f>_xlfn.SUMIFS(Покупка!AH$25:AH$372,Покупка!$F$25:$F$372,$F514,Покупка!$AC$25:$AC$372,$G514)</f>
        <v>0</v>
      </c>
      <c r="AJ514" s="1114">
        <f>_xlfn.SUMIFS(Покупка!AI$25:AI$372,Покупка!$F$25:$F$372,$F514,Покупка!$AC$25:$AC$372,$G514)</f>
        <v>0</v>
      </c>
      <c r="AK514" s="1114">
        <f>_xlfn.SUMIFS(Покупка!AJ$25:AJ$372,Покупка!$F$25:$F$372,$F514,Покупка!$AC$25:$AC$372,$G514)</f>
        <v>0</v>
      </c>
      <c r="AL514" s="1114">
        <f>_xlfn.SUMIFS(Покупка!AK$25:AK$372,Покупка!$F$25:$F$372,$F514,Покупка!$AC$25:$AC$372,$G514)</f>
        <v>0</v>
      </c>
      <c r="AM514" s="1114">
        <f>_xlfn.SUMIFS(Покупка!AL$25:AL$372,Покупка!$F$25:$F$372,$F514,Покупка!$AC$25:$AC$372,$G514)</f>
        <v>0</v>
      </c>
      <c r="AN514" s="1114">
        <f>_xlfn.SUMIFS(Покупка!AM$25:AM$372,Покупка!$F$25:$F$372,$F514,Покупка!$AC$25:$AC$372,$G514)</f>
        <v>0</v>
      </c>
      <c r="AO514" s="1114">
        <f>_xlfn.SUMIFS(Покупка!AN$25:AN$372,Покупка!$F$25:$F$372,$F514,Покупка!$AC$25:$AC$372,$G514)</f>
        <v>0</v>
      </c>
      <c r="AP514" s="1114">
        <f>_xlfn.SUMIFS(Покупка!AO$25:AO$372,Покупка!$F$25:$F$372,$F514,Покупка!$AC$25:$AC$372,$G514)</f>
        <v>0</v>
      </c>
      <c r="AQ514" s="1114">
        <f>_xlfn.SUMIFS(Покупка!AP$25:AP$372,Покупка!$F$25:$F$372,$F514,Покупка!$AC$25:$AC$372,$G514)</f>
        <v>0</v>
      </c>
      <c r="AR514" s="1114">
        <f>_xlfn.SUMIFS(Покупка!AQ$25:AQ$372,Покупка!$F$25:$F$372,$F514,Покупка!$AC$25:$AC$372,$G514)</f>
        <v>0</v>
      </c>
      <c r="AS514" s="1114">
        <f>_xlfn.SUMIFS(Покупка!AR$25:AR$372,Покупка!$F$25:$F$372,$F514,Покупка!$AC$25:$AC$372,$G514)</f>
        <v>0</v>
      </c>
      <c r="AT514" s="1114">
        <f>_xlfn.SUMIFS(Покупка!AS$25:AS$372,Покупка!$F$25:$F$372,$F514,Покупка!$AC$25:$AC$372,$G514)</f>
        <v>0</v>
      </c>
      <c r="AU514" s="1114">
        <f>_xlfn.SUMIFS(Покупка!AT$25:AT$372,Покупка!$F$25:$F$372,$F514,Покупка!$AC$25:$AC$372,$G514)</f>
        <v>0</v>
      </c>
      <c r="AV514" s="1114">
        <f>_xlfn.SUMIFS(Покупка!AU$25:AU$372,Покупка!$F$25:$F$372,$F514,Покупка!$AC$25:$AC$372,$G514)</f>
        <v>0</v>
      </c>
      <c r="AW514" s="1114">
        <f>_xlfn.SUMIFS(Покупка!AV$25:AV$372,Покупка!$F$25:$F$372,$F514,Покупка!$AC$25:$AC$372,$G514)</f>
        <v>0</v>
      </c>
      <c r="AX514" s="1114">
        <f>_xlfn.SUMIFS(Покупка!AW$25:AW$372,Покупка!$F$25:$F$372,$F514,Покупка!$AC$25:$AC$372,$G514)</f>
        <v>0</v>
      </c>
      <c r="AY514" s="1114">
        <f>_xlfn.SUMIFS(Покупка!AX$25:AX$372,Покупка!$F$25:$F$372,$F514,Покупка!$AC$25:$AC$372,$G514)</f>
        <v>0</v>
      </c>
      <c r="AZ514" s="1114">
        <f>_xlfn.SUMIFS(Покупка!AY$25:AY$372,Покупка!$F$25:$F$372,$F514,Покупка!$AC$25:$AC$372,$G514)</f>
        <v>0</v>
      </c>
      <c r="BA514" s="1114">
        <f>_xlfn.SUMIFS(Покупка!AZ$25:AZ$372,Покупка!$F$25:$F$372,$F514,Покупка!$AC$25:$AC$372,$G514)</f>
        <v>0</v>
      </c>
      <c r="BB514" s="1114">
        <f>_xlfn.SUMIFS(Покупка!BA$25:BA$372,Покупка!$F$25:$F$372,$F514,Покупка!$AC$25:$AC$372,$G514)</f>
        <v>0</v>
      </c>
      <c r="BC514" s="1114">
        <f>_xlfn.SUMIFS(Покупка!BB$25:BB$372,Покупка!$F$25:$F$372,$F514,Покупка!$AC$25:$AC$372,$G514)</f>
        <v>0</v>
      </c>
      <c r="BD514" s="1114">
        <f>IF(AI514=0,0,(AT514-AI514)/AI514*100)</f>
        <v>0</v>
      </c>
      <c r="BE514" s="1114">
        <f>IF(AT514=0,0,(AU514-AT514)/AT514*100)</f>
        <v>0</v>
      </c>
      <c r="BF514" s="1114">
        <f>IF(AU514=0,0,(AV514-AU514)/AU514*100)</f>
        <v>0</v>
      </c>
      <c r="BG514" s="1114">
        <f>IF(AV514=0,0,(AW514-AV514)/AV514*100)</f>
        <v>0</v>
      </c>
      <c r="BH514" s="1114">
        <f>IF(AW514=0,0,(AX514-AW514)/AW514*100)</f>
        <v>0</v>
      </c>
      <c r="BI514" s="1114">
        <f>IF(AX514=0,0,(AY514-AX514)/AX514*100)</f>
        <v>0</v>
      </c>
      <c r="BJ514" s="1114">
        <f>IF(AY514=0,0,(AZ514-AY514)/AY514*100)</f>
        <v>0</v>
      </c>
      <c r="BK514" s="1114">
        <f>IF(AZ514=0,0,(BA514-AZ514)/AZ514*100)</f>
        <v>0</v>
      </c>
      <c r="BL514" s="1114">
        <f>IF(BA514=0,0,(BB514-BA514)/BA514*100)</f>
        <v>0</v>
      </c>
      <c r="BM514" s="1114">
        <f>IF(BB514=0,0,(BC514-BB514)/BB514*100)</f>
        <v>0</v>
      </c>
      <c r="BN514" s="7433"/>
      <c r="BO514" s="7437" t="str">
        <f>IF(_xlfn.IFERROR(INDEX(Покупка!$K$26:$L$372,MATCH($F514&amp;"2komm",Покупка!$K$26:$K$372,0),2),"")=0,"",_xlfn.IFERROR(INDEX(Покупка!$K$26:$L$372,MATCH($F514&amp;"2komm",Покупка!$K$26:$K$372,0),2),""))</f>
        <v/>
      </c>
      <c r="BP514" s="7433"/>
      <c r="BQ514" s="1278"/>
      <c r="BR514" s="1278"/>
      <c r="BS514" s="1064" t="s">
        <v>2742</v>
      </c>
      <c r="BT514" s="1064"/>
      <c r="BU514" s="1064"/>
      <c r="BV514" s="979"/>
      <c r="BW514" s="979"/>
    </row>
    <row s="1834" customFormat="1" customHeight="1" ht="0">
      <c r="A515" s="1278"/>
      <c r="B515" s="978"/>
      <c r="C515" s="107"/>
      <c r="D515" s="107"/>
      <c r="E515" s="621">
        <v>15</v>
      </c>
      <c r="F515" s="50" cm="1" t="str">
        <f t="array" ref="F515:F515">OFFSET(E515,-1,1)</f>
        <v>3</v>
      </c>
      <c r="G515" s="107" t="s">
        <v>1780</v>
      </c>
      <c r="H515" s="107"/>
      <c r="I515" s="107" t="s">
        <v>2376</v>
      </c>
      <c r="J515" s="107"/>
      <c r="K515" s="107" t="s">
        <v>2376</v>
      </c>
      <c r="L515" s="980" t="s">
        <v>2239</v>
      </c>
      <c r="M515" s="107"/>
      <c r="N515" s="107"/>
      <c r="O515" s="107"/>
      <c r="P515" s="107"/>
      <c r="Q515" s="107"/>
      <c r="R515" s="107"/>
      <c r="S515" s="107"/>
      <c r="T515" s="465" cm="1" t="str">
        <f t="array" ref="T515:T515">T514</f>
        <v>true</v>
      </c>
      <c r="U515" s="107"/>
      <c r="V515" s="107"/>
      <c r="W515" s="107"/>
      <c r="X515" s="1596"/>
      <c r="Y515" s="1278"/>
      <c r="Z515" s="1546"/>
      <c r="AA515" s="1278"/>
      <c r="AB515" s="300" t="s">
        <v>2743</v>
      </c>
      <c r="AC515" s="765" t="s">
        <v>2744</v>
      </c>
      <c r="AD515" s="300" t="s">
        <v>1514</v>
      </c>
      <c r="AE515" s="1114">
        <f>_xlfn.SUMIFS(Покупка!AE$25:AE$372,Покупка!$F$25:$F$372,$F515,Покупка!$AC$25:$AC$372,$G515)</f>
        <v>0</v>
      </c>
      <c r="AF515" s="1114">
        <f>_xlfn.SUMIFS(Покупка!AF$25:AF$372,Покупка!$F$25:$F$372,$F515,Покупка!$AC$25:$AC$372,$G515)</f>
        <v>0</v>
      </c>
      <c r="AG515" s="1114">
        <f>_xlfn.SUMIFS(Покупка!AG$25:AG$372,Покупка!$F$25:$F$372,$F515,Покупка!$AC$25:$AC$372,$G515)</f>
        <v>0</v>
      </c>
      <c r="AH515" s="1114">
        <f>AG515-AF515</f>
        <v>0</v>
      </c>
      <c r="AI515" s="1114">
        <f>_xlfn.SUMIFS(Покупка!AH$25:AH$372,Покупка!$F$25:$F$372,$F515,Покупка!$AC$25:$AC$372,$G515)</f>
        <v>0</v>
      </c>
      <c r="AJ515" s="1114">
        <f>_xlfn.SUMIFS(Покупка!AI$25:AI$372,Покупка!$F$25:$F$372,$F515,Покупка!$AC$25:$AC$372,$G515)</f>
        <v>0</v>
      </c>
      <c r="AK515" s="1114">
        <f>_xlfn.SUMIFS(Покупка!AJ$25:AJ$372,Покупка!$F$25:$F$372,$F515,Покупка!$AC$25:$AC$372,$G515)</f>
        <v>0</v>
      </c>
      <c r="AL515" s="1114">
        <f>_xlfn.SUMIFS(Покупка!AK$25:AK$372,Покупка!$F$25:$F$372,$F515,Покупка!$AC$25:$AC$372,$G515)</f>
        <v>0</v>
      </c>
      <c r="AM515" s="1114">
        <f>_xlfn.SUMIFS(Покупка!AL$25:AL$372,Покупка!$F$25:$F$372,$F515,Покупка!$AC$25:$AC$372,$G515)</f>
        <v>0</v>
      </c>
      <c r="AN515" s="1114">
        <f>_xlfn.SUMIFS(Покупка!AM$25:AM$372,Покупка!$F$25:$F$372,$F515,Покупка!$AC$25:$AC$372,$G515)</f>
        <v>0</v>
      </c>
      <c r="AO515" s="1114">
        <f>_xlfn.SUMIFS(Покупка!AN$25:AN$372,Покупка!$F$25:$F$372,$F515,Покупка!$AC$25:$AC$372,$G515)</f>
        <v>0</v>
      </c>
      <c r="AP515" s="1114">
        <f>_xlfn.SUMIFS(Покупка!AO$25:AO$372,Покупка!$F$25:$F$372,$F515,Покупка!$AC$25:$AC$372,$G515)</f>
        <v>0</v>
      </c>
      <c r="AQ515" s="1114">
        <f>_xlfn.SUMIFS(Покупка!AP$25:AP$372,Покупка!$F$25:$F$372,$F515,Покупка!$AC$25:$AC$372,$G515)</f>
        <v>0</v>
      </c>
      <c r="AR515" s="1114">
        <f>_xlfn.SUMIFS(Покупка!AQ$25:AQ$372,Покупка!$F$25:$F$372,$F515,Покупка!$AC$25:$AC$372,$G515)</f>
        <v>0</v>
      </c>
      <c r="AS515" s="1114">
        <f>_xlfn.SUMIFS(Покупка!AR$25:AR$372,Покупка!$F$25:$F$372,$F515,Покупка!$AC$25:$AC$372,$G515)</f>
        <v>0</v>
      </c>
      <c r="AT515" s="1114">
        <f>_xlfn.SUMIFS(Покупка!AS$25:AS$372,Покупка!$F$25:$F$372,$F515,Покупка!$AC$25:$AC$372,$G515)</f>
        <v>0</v>
      </c>
      <c r="AU515" s="1114">
        <f>_xlfn.SUMIFS(Покупка!AT$25:AT$372,Покупка!$F$25:$F$372,$F515,Покупка!$AC$25:$AC$372,$G515)</f>
        <v>0</v>
      </c>
      <c r="AV515" s="1114">
        <f>_xlfn.SUMIFS(Покупка!AU$25:AU$372,Покупка!$F$25:$F$372,$F515,Покупка!$AC$25:$AC$372,$G515)</f>
        <v>0</v>
      </c>
      <c r="AW515" s="1114">
        <f>_xlfn.SUMIFS(Покупка!AV$25:AV$372,Покупка!$F$25:$F$372,$F515,Покупка!$AC$25:$AC$372,$G515)</f>
        <v>0</v>
      </c>
      <c r="AX515" s="1114">
        <f>_xlfn.SUMIFS(Покупка!AW$25:AW$372,Покупка!$F$25:$F$372,$F515,Покупка!$AC$25:$AC$372,$G515)</f>
        <v>0</v>
      </c>
      <c r="AY515" s="1114">
        <f>_xlfn.SUMIFS(Покупка!AX$25:AX$372,Покупка!$F$25:$F$372,$F515,Покупка!$AC$25:$AC$372,$G515)</f>
        <v>0</v>
      </c>
      <c r="AZ515" s="1114">
        <f>_xlfn.SUMIFS(Покупка!AY$25:AY$372,Покупка!$F$25:$F$372,$F515,Покупка!$AC$25:$AC$372,$G515)</f>
        <v>0</v>
      </c>
      <c r="BA515" s="1114">
        <f>_xlfn.SUMIFS(Покупка!AZ$25:AZ$372,Покупка!$F$25:$F$372,$F515,Покупка!$AC$25:$AC$372,$G515)</f>
        <v>0</v>
      </c>
      <c r="BB515" s="1114">
        <f>_xlfn.SUMIFS(Покупка!BA$25:BA$372,Покупка!$F$25:$F$372,$F515,Покупка!$AC$25:$AC$372,$G515)</f>
        <v>0</v>
      </c>
      <c r="BC515" s="1114">
        <f>_xlfn.SUMIFS(Покупка!BB$25:BB$372,Покупка!$F$25:$F$372,$F515,Покупка!$AC$25:$AC$372,$G515)</f>
        <v>0</v>
      </c>
      <c r="BD515" s="1114">
        <f>IF(AI515=0,0,(AT515-AI515)/AI515*100)</f>
        <v>0</v>
      </c>
      <c r="BE515" s="1114">
        <f>IF(AT515=0,0,(AU515-AT515)/AT515*100)</f>
        <v>0</v>
      </c>
      <c r="BF515" s="1114">
        <f>IF(AU515=0,0,(AV515-AU515)/AU515*100)</f>
        <v>0</v>
      </c>
      <c r="BG515" s="1114">
        <f>IF(AV515=0,0,(AW515-AV515)/AV515*100)</f>
        <v>0</v>
      </c>
      <c r="BH515" s="1114">
        <f>IF(AW515=0,0,(AX515-AW515)/AW515*100)</f>
        <v>0</v>
      </c>
      <c r="BI515" s="1114">
        <f>IF(AX515=0,0,(AY515-AX515)/AX515*100)</f>
        <v>0</v>
      </c>
      <c r="BJ515" s="1114">
        <f>IF(AY515=0,0,(AZ515-AY515)/AY515*100)</f>
        <v>0</v>
      </c>
      <c r="BK515" s="1114">
        <f>IF(AZ515=0,0,(BA515-AZ515)/AZ515*100)</f>
        <v>0</v>
      </c>
      <c r="BL515" s="1114">
        <f>IF(BA515=0,0,(BB515-BA515)/BA515*100)</f>
        <v>0</v>
      </c>
      <c r="BM515" s="1114">
        <f>IF(BB515=0,0,(BC515-BB515)/BB515*100)</f>
        <v>0</v>
      </c>
      <c r="BN515" s="7433"/>
      <c r="BO515" s="7437" t="str">
        <f>IF(_xlfn.IFERROR(INDEX(Покупка!$K$26:$L$372,MATCH($F515&amp;"1komm",Покупка!$K$26:$K$372,0),2),"")=0,"",_xlfn.IFERROR(INDEX(Покупка!$K$26:$L$372,MATCH($F515&amp;"1komm",Покупка!$K$26:$K$372,0),2),""))</f>
        <v/>
      </c>
      <c r="BP515" s="7433"/>
      <c r="BQ515" s="1278"/>
      <c r="BR515" s="1278"/>
      <c r="BS515" s="1064" t="s">
        <v>2745</v>
      </c>
      <c r="BT515" s="1064"/>
      <c r="BU515" s="1064"/>
      <c r="BV515" s="979"/>
      <c r="BW515" s="979"/>
    </row>
    <row s="1834" customFormat="1" customHeight="1" ht="0">
      <c r="A516" s="1278"/>
      <c r="B516" s="978"/>
      <c r="C516" s="107"/>
      <c r="D516" s="107"/>
      <c r="E516" s="621">
        <v>15</v>
      </c>
      <c r="F516" s="50" cm="1" t="str">
        <f t="array" ref="F516:F516">OFFSET(E516,-1,1)</f>
        <v>3</v>
      </c>
      <c r="G516" s="107" t="s">
        <v>1847</v>
      </c>
      <c r="H516" s="107"/>
      <c r="I516" s="107" t="s">
        <v>2379</v>
      </c>
      <c r="J516" s="107"/>
      <c r="K516" s="107" t="s">
        <v>2379</v>
      </c>
      <c r="L516" s="980"/>
      <c r="M516" s="107"/>
      <c r="N516" s="107"/>
      <c r="O516" s="107"/>
      <c r="P516" s="107"/>
      <c r="Q516" s="107"/>
      <c r="R516" s="107"/>
      <c r="S516" s="107"/>
      <c r="T516" s="465" cm="1" t="str">
        <f t="array" ref="T516:T516">T515</f>
        <v>true</v>
      </c>
      <c r="U516" s="107"/>
      <c r="V516" s="107"/>
      <c r="W516" s="107"/>
      <c r="X516" s="1596"/>
      <c r="Y516" s="1278"/>
      <c r="Z516" s="1546"/>
      <c r="AA516" s="1278"/>
      <c r="AB516" s="300" t="s">
        <v>2746</v>
      </c>
      <c r="AC516" s="765" t="s">
        <v>2747</v>
      </c>
      <c r="AD516" s="300" t="s">
        <v>1514</v>
      </c>
      <c r="AE516" s="1114">
        <f>_xlfn.SUMIFS(Покупка!AE$25:AE$372,Покупка!$F$25:$F$372,$F516,Покупка!$AC$25:$AC$372,$G516)</f>
        <v>0</v>
      </c>
      <c r="AF516" s="1114">
        <f>_xlfn.SUMIFS(Покупка!AF$25:AF$372,Покупка!$F$25:$F$372,$F516,Покупка!$AC$25:$AC$372,$G516)</f>
        <v>0</v>
      </c>
      <c r="AG516" s="1114">
        <f>_xlfn.SUMIFS(Покупка!AG$25:AG$372,Покупка!$F$25:$F$372,$F516,Покупка!$AC$25:$AC$372,$G516)</f>
        <v>0</v>
      </c>
      <c r="AH516" s="1114">
        <f>AG516-AF516</f>
        <v>0</v>
      </c>
      <c r="AI516" s="1114">
        <f>_xlfn.SUMIFS(Покупка!AH$25:AH$372,Покупка!$F$25:$F$372,$F516,Покупка!$AC$25:$AC$372,$G516)</f>
        <v>0</v>
      </c>
      <c r="AJ516" s="1114">
        <f>_xlfn.SUMIFS(Покупка!AI$25:AI$372,Покупка!$F$25:$F$372,$F516,Покупка!$AC$25:$AC$372,$G516)</f>
        <v>0</v>
      </c>
      <c r="AK516" s="1114">
        <f>_xlfn.SUMIFS(Покупка!AJ$25:AJ$372,Покупка!$F$25:$F$372,$F516,Покупка!$AC$25:$AC$372,$G516)</f>
        <v>0</v>
      </c>
      <c r="AL516" s="1114">
        <f>_xlfn.SUMIFS(Покупка!AK$25:AK$372,Покупка!$F$25:$F$372,$F516,Покупка!$AC$25:$AC$372,$G516)</f>
        <v>0</v>
      </c>
      <c r="AM516" s="1114">
        <f>_xlfn.SUMIFS(Покупка!AL$25:AL$372,Покупка!$F$25:$F$372,$F516,Покупка!$AC$25:$AC$372,$G516)</f>
        <v>0</v>
      </c>
      <c r="AN516" s="1114">
        <f>_xlfn.SUMIFS(Покупка!AM$25:AM$372,Покупка!$F$25:$F$372,$F516,Покупка!$AC$25:$AC$372,$G516)</f>
        <v>0</v>
      </c>
      <c r="AO516" s="1114">
        <f>_xlfn.SUMIFS(Покупка!AN$25:AN$372,Покупка!$F$25:$F$372,$F516,Покупка!$AC$25:$AC$372,$G516)</f>
        <v>0</v>
      </c>
      <c r="AP516" s="1114">
        <f>_xlfn.SUMIFS(Покупка!AO$25:AO$372,Покупка!$F$25:$F$372,$F516,Покупка!$AC$25:$AC$372,$G516)</f>
        <v>0</v>
      </c>
      <c r="AQ516" s="1114">
        <f>_xlfn.SUMIFS(Покупка!AP$25:AP$372,Покупка!$F$25:$F$372,$F516,Покупка!$AC$25:$AC$372,$G516)</f>
        <v>0</v>
      </c>
      <c r="AR516" s="1114">
        <f>_xlfn.SUMIFS(Покупка!AQ$25:AQ$372,Покупка!$F$25:$F$372,$F516,Покупка!$AC$25:$AC$372,$G516)</f>
        <v>0</v>
      </c>
      <c r="AS516" s="1114">
        <f>_xlfn.SUMIFS(Покупка!AR$25:AR$372,Покупка!$F$25:$F$372,$F516,Покупка!$AC$25:$AC$372,$G516)</f>
        <v>0</v>
      </c>
      <c r="AT516" s="1114">
        <f>_xlfn.SUMIFS(Покупка!AS$25:AS$372,Покупка!$F$25:$F$372,$F516,Покупка!$AC$25:$AC$372,$G516)</f>
        <v>0</v>
      </c>
      <c r="AU516" s="1114">
        <f>_xlfn.SUMIFS(Покупка!AT$25:AT$372,Покупка!$F$25:$F$372,$F516,Покупка!$AC$25:$AC$372,$G516)</f>
        <v>0</v>
      </c>
      <c r="AV516" s="1114">
        <f>_xlfn.SUMIFS(Покупка!AU$25:AU$372,Покупка!$F$25:$F$372,$F516,Покупка!$AC$25:$AC$372,$G516)</f>
        <v>0</v>
      </c>
      <c r="AW516" s="1114">
        <f>_xlfn.SUMIFS(Покупка!AV$25:AV$372,Покупка!$F$25:$F$372,$F516,Покупка!$AC$25:$AC$372,$G516)</f>
        <v>0</v>
      </c>
      <c r="AX516" s="1114">
        <f>_xlfn.SUMIFS(Покупка!AW$25:AW$372,Покупка!$F$25:$F$372,$F516,Покупка!$AC$25:$AC$372,$G516)</f>
        <v>0</v>
      </c>
      <c r="AY516" s="1114">
        <f>_xlfn.SUMIFS(Покупка!AX$25:AX$372,Покупка!$F$25:$F$372,$F516,Покупка!$AC$25:$AC$372,$G516)</f>
        <v>0</v>
      </c>
      <c r="AZ516" s="1114">
        <f>_xlfn.SUMIFS(Покупка!AY$25:AY$372,Покупка!$F$25:$F$372,$F516,Покупка!$AC$25:$AC$372,$G516)</f>
        <v>0</v>
      </c>
      <c r="BA516" s="1114">
        <f>_xlfn.SUMIFS(Покупка!AZ$25:AZ$372,Покупка!$F$25:$F$372,$F516,Покупка!$AC$25:$AC$372,$G516)</f>
        <v>0</v>
      </c>
      <c r="BB516" s="1114">
        <f>_xlfn.SUMIFS(Покупка!BA$25:BA$372,Покупка!$F$25:$F$372,$F516,Покупка!$AC$25:$AC$372,$G516)</f>
        <v>0</v>
      </c>
      <c r="BC516" s="1114">
        <f>_xlfn.SUMIFS(Покупка!BB$25:BB$372,Покупка!$F$25:$F$372,$F516,Покупка!$AC$25:$AC$372,$G516)</f>
        <v>0</v>
      </c>
      <c r="BD516" s="1114">
        <f>IF(AI516=0,0,(AT516-AI516)/AI516*100)</f>
        <v>0</v>
      </c>
      <c r="BE516" s="1114">
        <f>IF(AT516=0,0,(AU516-AT516)/AT516*100)</f>
        <v>0</v>
      </c>
      <c r="BF516" s="1114">
        <f>IF(AU516=0,0,(AV516-AU516)/AU516*100)</f>
        <v>0</v>
      </c>
      <c r="BG516" s="1114">
        <f>IF(AV516=0,0,(AW516-AV516)/AV516*100)</f>
        <v>0</v>
      </c>
      <c r="BH516" s="1114">
        <f>IF(AW516=0,0,(AX516-AW516)/AW516*100)</f>
        <v>0</v>
      </c>
      <c r="BI516" s="1114">
        <f>IF(AX516=0,0,(AY516-AX516)/AX516*100)</f>
        <v>0</v>
      </c>
      <c r="BJ516" s="1114">
        <f>IF(AY516=0,0,(AZ516-AY516)/AY516*100)</f>
        <v>0</v>
      </c>
      <c r="BK516" s="1114">
        <f>IF(AZ516=0,0,(BA516-AZ516)/AZ516*100)</f>
        <v>0</v>
      </c>
      <c r="BL516" s="1114">
        <f>IF(BA516=0,0,(BB516-BA516)/BA516*100)</f>
        <v>0</v>
      </c>
      <c r="BM516" s="1114">
        <f>IF(BB516=0,0,(BC516-BB516)/BB516*100)</f>
        <v>0</v>
      </c>
      <c r="BN516" s="7433"/>
      <c r="BO516" s="7437" t="str">
        <f>IF(_xlfn.IFERROR(INDEX(Покупка!$K$26:$L$372,MATCH($F516&amp;"8komm",Покупка!$K$26:$K$372,0),2),"")=0,"",_xlfn.IFERROR(INDEX(Покупка!$K$26:$L$372,MATCH($F516&amp;"8komm",Покупка!$K$26:$K$372,0),2),""))</f>
        <v/>
      </c>
      <c r="BP516" s="7433"/>
      <c r="BQ516" s="1278"/>
      <c r="BR516" s="1278"/>
      <c r="BS516" s="1064" t="s">
        <v>1848</v>
      </c>
      <c r="BT516" s="1064"/>
      <c r="BU516" s="1064"/>
      <c r="BV516" s="979"/>
      <c r="BW516" s="979"/>
    </row>
    <row s="1834" customFormat="1" customHeight="1" ht="0">
      <c r="A517" s="1278"/>
      <c r="B517" s="978"/>
      <c r="C517" s="107"/>
      <c r="D517" s="107"/>
      <c r="E517" s="621">
        <v>15</v>
      </c>
      <c r="F517" s="50" cm="1" t="str">
        <f t="array" ref="F517:F517">OFFSET(E517,-1,1)</f>
        <v>3</v>
      </c>
      <c r="G517" s="107"/>
      <c r="H517" s="107"/>
      <c r="I517" s="107" t="s">
        <v>2748</v>
      </c>
      <c r="J517" s="107"/>
      <c r="K517" s="107" t="s">
        <v>2748</v>
      </c>
      <c r="L517" s="980"/>
      <c r="M517" s="107"/>
      <c r="N517" s="107"/>
      <c r="O517" s="107"/>
      <c r="P517" s="107"/>
      <c r="Q517" s="107"/>
      <c r="R517" s="107"/>
      <c r="S517" s="107"/>
      <c r="T517" s="465" cm="1" t="str">
        <f t="array" ref="T517:T517">T516</f>
        <v>true</v>
      </c>
      <c r="U517" s="107"/>
      <c r="V517" s="107"/>
      <c r="W517" s="107"/>
      <c r="X517" s="1596"/>
      <c r="Y517" s="1278"/>
      <c r="Z517" s="1546"/>
      <c r="AA517" s="1278"/>
      <c r="AB517" s="300" t="s">
        <v>2749</v>
      </c>
      <c r="AC517" s="765" t="s">
        <v>2750</v>
      </c>
      <c r="AD517" s="300" t="s">
        <v>1514</v>
      </c>
      <c r="AE517" s="3946"/>
      <c r="AF517" s="3946"/>
      <c r="AG517" s="3946"/>
      <c r="AH517" s="1114">
        <f>AG517-AF517</f>
        <v>0</v>
      </c>
      <c r="AI517" s="3946"/>
      <c r="AJ517" s="3946"/>
      <c r="AK517" s="3946"/>
      <c r="AL517" s="3946"/>
      <c r="AM517" s="3946"/>
      <c r="AN517" s="3946"/>
      <c r="AO517" s="1241"/>
      <c r="AP517" s="1241"/>
      <c r="AQ517" s="1241"/>
      <c r="AR517" s="1241"/>
      <c r="AS517" s="1241"/>
      <c r="AT517" s="3946"/>
      <c r="AU517" s="3946"/>
      <c r="AV517" s="3946"/>
      <c r="AW517" s="3946"/>
      <c r="AX517" s="3946"/>
      <c r="AY517" s="1241"/>
      <c r="AZ517" s="1241"/>
      <c r="BA517" s="1241"/>
      <c r="BB517" s="1241"/>
      <c r="BC517" s="1241"/>
      <c r="BD517" s="1114">
        <f>IF(AI517=0,0,(AT517-AI517)/AI517*100)</f>
        <v>0</v>
      </c>
      <c r="BE517" s="1114">
        <f>IF(AT517=0,0,(AU517-AT517)/AT517*100)</f>
        <v>0</v>
      </c>
      <c r="BF517" s="1114">
        <f>IF(AU517=0,0,(AV517-AU517)/AU517*100)</f>
        <v>0</v>
      </c>
      <c r="BG517" s="1114">
        <f>IF(AV517=0,0,(AW517-AV517)/AV517*100)</f>
        <v>0</v>
      </c>
      <c r="BH517" s="1114">
        <f>IF(AW517=0,0,(AX517-AW517)/AW517*100)</f>
        <v>0</v>
      </c>
      <c r="BI517" s="1114">
        <f>IF(AX517=0,0,(AY517-AX517)/AX517*100)</f>
        <v>0</v>
      </c>
      <c r="BJ517" s="1114">
        <f>IF(AY517=0,0,(AZ517-AY517)/AY517*100)</f>
        <v>0</v>
      </c>
      <c r="BK517" s="1114">
        <f>IF(AZ517=0,0,(BA517-AZ517)/AZ517*100)</f>
        <v>0</v>
      </c>
      <c r="BL517" s="1114">
        <f>IF(BA517=0,0,(BB517-BA517)/BA517*100)</f>
        <v>0</v>
      </c>
      <c r="BM517" s="1114">
        <f>IF(BB517=0,0,(BC517-BB517)/BB517*100)</f>
        <v>0</v>
      </c>
      <c r="BN517" s="7433"/>
      <c r="BO517" s="7433"/>
      <c r="BP517" s="7433"/>
      <c r="BQ517" s="1278"/>
      <c r="BR517" s="1278"/>
      <c r="BS517" s="1064" t="s">
        <v>2751</v>
      </c>
      <c r="BT517" s="1064"/>
      <c r="BU517" s="1064"/>
      <c r="BV517" s="979"/>
      <c r="BW517" s="979"/>
    </row>
    <row s="1834" customFormat="1" customHeight="1" ht="0">
      <c r="A518" s="1278"/>
      <c r="B518" s="978"/>
      <c r="C518" s="107"/>
      <c r="D518" s="107"/>
      <c r="E518" s="621">
        <v>15</v>
      </c>
      <c r="F518" s="50" cm="1" t="str">
        <f t="array" ref="F518:F518">OFFSET(E518,-1,1)</f>
        <v>3</v>
      </c>
      <c r="G518" s="107"/>
      <c r="H518" s="107"/>
      <c r="I518" s="107" t="s">
        <v>2752</v>
      </c>
      <c r="J518" s="107"/>
      <c r="K518" s="107" t="s">
        <v>2752</v>
      </c>
      <c r="L518" s="980"/>
      <c r="M518" s="107"/>
      <c r="N518" s="107"/>
      <c r="O518" s="107"/>
      <c r="P518" s="107"/>
      <c r="Q518" s="107"/>
      <c r="R518" s="107"/>
      <c r="S518" s="107"/>
      <c r="T518" s="465" cm="1" t="str">
        <f t="array" ref="T518:T518">T517</f>
        <v>true</v>
      </c>
      <c r="U518" s="107"/>
      <c r="V518" s="107"/>
      <c r="W518" s="107"/>
      <c r="X518" s="1596"/>
      <c r="Y518" s="1278"/>
      <c r="Z518" s="1546"/>
      <c r="AA518" s="1278"/>
      <c r="AB518" s="300" t="s">
        <v>2753</v>
      </c>
      <c r="AC518" s="765" t="s">
        <v>2754</v>
      </c>
      <c r="AD518" s="300" t="s">
        <v>1514</v>
      </c>
      <c r="AE518" s="3946"/>
      <c r="AF518" s="3946"/>
      <c r="AG518" s="3946"/>
      <c r="AH518" s="1114">
        <f>AG518-AF518</f>
        <v>0</v>
      </c>
      <c r="AI518" s="3946"/>
      <c r="AJ518" s="3946"/>
      <c r="AK518" s="3946"/>
      <c r="AL518" s="3946"/>
      <c r="AM518" s="3946"/>
      <c r="AN518" s="3946"/>
      <c r="AO518" s="1241"/>
      <c r="AP518" s="1241"/>
      <c r="AQ518" s="1241"/>
      <c r="AR518" s="1241"/>
      <c r="AS518" s="1241"/>
      <c r="AT518" s="3946"/>
      <c r="AU518" s="3946"/>
      <c r="AV518" s="3946"/>
      <c r="AW518" s="3946"/>
      <c r="AX518" s="3946"/>
      <c r="AY518" s="1241"/>
      <c r="AZ518" s="1241"/>
      <c r="BA518" s="1241"/>
      <c r="BB518" s="1241"/>
      <c r="BC518" s="1241"/>
      <c r="BD518" s="1114">
        <f>IF(AI518=0,0,(AT518-AI518)/AI518*100)</f>
        <v>0</v>
      </c>
      <c r="BE518" s="1114">
        <f>IF(AT518=0,0,(AU518-AT518)/AT518*100)</f>
        <v>0</v>
      </c>
      <c r="BF518" s="1114">
        <f>IF(AU518=0,0,(AV518-AU518)/AU518*100)</f>
        <v>0</v>
      </c>
      <c r="BG518" s="1114">
        <f>IF(AV518=0,0,(AW518-AV518)/AV518*100)</f>
        <v>0</v>
      </c>
      <c r="BH518" s="1114">
        <f>IF(AW518=0,0,(AX518-AW518)/AW518*100)</f>
        <v>0</v>
      </c>
      <c r="BI518" s="1114">
        <f>IF(AX518=0,0,(AY518-AX518)/AX518*100)</f>
        <v>0</v>
      </c>
      <c r="BJ518" s="1114">
        <f>IF(AY518=0,0,(AZ518-AY518)/AY518*100)</f>
        <v>0</v>
      </c>
      <c r="BK518" s="1114">
        <f>IF(AZ518=0,0,(BA518-AZ518)/AZ518*100)</f>
        <v>0</v>
      </c>
      <c r="BL518" s="1114">
        <f>IF(BA518=0,0,(BB518-BA518)/BA518*100)</f>
        <v>0</v>
      </c>
      <c r="BM518" s="1114">
        <f>IF(BB518=0,0,(BC518-BB518)/BB518*100)</f>
        <v>0</v>
      </c>
      <c r="BN518" s="7433"/>
      <c r="BO518" s="7433"/>
      <c r="BP518" s="7433"/>
      <c r="BQ518" s="1278"/>
      <c r="BR518" s="1278"/>
      <c r="BS518" s="1064" t="s">
        <v>2755</v>
      </c>
      <c r="BT518" s="1064"/>
      <c r="BU518" s="1064"/>
      <c r="BV518" s="979"/>
      <c r="BW518" s="979"/>
    </row>
    <row s="1834" customFormat="1" customHeight="1" ht="0">
      <c r="A519" s="1278"/>
      <c r="B519" s="978"/>
      <c r="C519" s="107"/>
      <c r="D519" s="107"/>
      <c r="E519" s="621">
        <v>15</v>
      </c>
      <c r="F519" s="50" cm="1" t="str">
        <f t="array" ref="F519:F519">OFFSET(E519,-1,1)</f>
        <v>3</v>
      </c>
      <c r="G519" s="107" t="s">
        <v>1799</v>
      </c>
      <c r="H519" s="107"/>
      <c r="I519" s="107" t="s">
        <v>2756</v>
      </c>
      <c r="J519" s="107"/>
      <c r="K519" s="107" t="s">
        <v>2756</v>
      </c>
      <c r="L519" s="980" t="s">
        <v>2253</v>
      </c>
      <c r="M519" s="107"/>
      <c r="N519" s="107"/>
      <c r="O519" s="107"/>
      <c r="P519" s="107"/>
      <c r="Q519" s="107"/>
      <c r="R519" s="107"/>
      <c r="S519" s="107"/>
      <c r="T519" s="465" cm="1" t="str">
        <f t="array" ref="T519:T519">T518</f>
        <v>true</v>
      </c>
      <c r="U519" s="107"/>
      <c r="V519" s="107"/>
      <c r="W519" s="107"/>
      <c r="X519" s="1596"/>
      <c r="Y519" s="1278"/>
      <c r="Z519" s="1546"/>
      <c r="AA519" s="1278"/>
      <c r="AB519" s="300" t="s">
        <v>2757</v>
      </c>
      <c r="AC519" s="765" t="s">
        <v>2758</v>
      </c>
      <c r="AD519" s="300" t="s">
        <v>1514</v>
      </c>
      <c r="AE519" s="1114">
        <f>_xlfn.SUMIFS(Покупка!AE$25:AE$372,Покупка!$F$25:$F$372,$F519,Покупка!$AC$25:$AC$372,$G519)</f>
        <v>0</v>
      </c>
      <c r="AF519" s="1114">
        <f>_xlfn.SUMIFS(Покупка!AF$25:AF$372,Покупка!$F$25:$F$372,$F519,Покупка!$AC$25:$AC$372,$G519)</f>
        <v>0</v>
      </c>
      <c r="AG519" s="1114">
        <f>_xlfn.SUMIFS(Покупка!AG$25:AG$372,Покупка!$F$25:$F$372,$F519,Покупка!$AC$25:$AC$372,$G519)</f>
        <v>0</v>
      </c>
      <c r="AH519" s="1114">
        <f>AG519-AF519</f>
        <v>0</v>
      </c>
      <c r="AI519" s="1114">
        <f>_xlfn.SUMIFS(Покупка!AH$25:AH$372,Покупка!$F$25:$F$372,$F519,Покупка!$AC$25:$AC$372,$G519)</f>
        <v>0</v>
      </c>
      <c r="AJ519" s="1114">
        <f>_xlfn.SUMIFS(Покупка!AI$25:AI$372,Покупка!$F$25:$F$372,$F519,Покупка!$AC$25:$AC$372,$G519)</f>
        <v>0</v>
      </c>
      <c r="AK519" s="1114">
        <f>_xlfn.SUMIFS(Покупка!AJ$25:AJ$372,Покупка!$F$25:$F$372,$F519,Покупка!$AC$25:$AC$372,$G519)</f>
        <v>0</v>
      </c>
      <c r="AL519" s="1114">
        <f>_xlfn.SUMIFS(Покупка!AK$25:AK$372,Покупка!$F$25:$F$372,$F519,Покупка!$AC$25:$AC$372,$G519)</f>
        <v>0</v>
      </c>
      <c r="AM519" s="1114">
        <f>_xlfn.SUMIFS(Покупка!AL$25:AL$372,Покупка!$F$25:$F$372,$F519,Покупка!$AC$25:$AC$372,$G519)</f>
        <v>0</v>
      </c>
      <c r="AN519" s="1114">
        <f>_xlfn.SUMIFS(Покупка!AM$25:AM$372,Покупка!$F$25:$F$372,$F519,Покупка!$AC$25:$AC$372,$G519)</f>
        <v>0</v>
      </c>
      <c r="AO519" s="1114">
        <f>_xlfn.SUMIFS(Покупка!AN$25:AN$372,Покупка!$F$25:$F$372,$F519,Покупка!$AC$25:$AC$372,$G519)</f>
        <v>0</v>
      </c>
      <c r="AP519" s="1114">
        <f>_xlfn.SUMIFS(Покупка!AO$25:AO$372,Покупка!$F$25:$F$372,$F519,Покупка!$AC$25:$AC$372,$G519)</f>
        <v>0</v>
      </c>
      <c r="AQ519" s="1114">
        <f>_xlfn.SUMIFS(Покупка!AP$25:AP$372,Покупка!$F$25:$F$372,$F519,Покупка!$AC$25:$AC$372,$G519)</f>
        <v>0</v>
      </c>
      <c r="AR519" s="1114">
        <f>_xlfn.SUMIFS(Покупка!AQ$25:AQ$372,Покупка!$F$25:$F$372,$F519,Покупка!$AC$25:$AC$372,$G519)</f>
        <v>0</v>
      </c>
      <c r="AS519" s="1114">
        <f>_xlfn.SUMIFS(Покупка!AR$25:AR$372,Покупка!$F$25:$F$372,$F519,Покупка!$AC$25:$AC$372,$G519)</f>
        <v>0</v>
      </c>
      <c r="AT519" s="1114">
        <f>_xlfn.SUMIFS(Покупка!AS$25:AS$372,Покупка!$F$25:$F$372,$F519,Покупка!$AC$25:$AC$372,$G519)</f>
        <v>0</v>
      </c>
      <c r="AU519" s="1114">
        <f>_xlfn.SUMIFS(Покупка!AT$25:AT$372,Покупка!$F$25:$F$372,$F519,Покупка!$AC$25:$AC$372,$G519)</f>
        <v>0</v>
      </c>
      <c r="AV519" s="1114">
        <f>_xlfn.SUMIFS(Покупка!AU$25:AU$372,Покупка!$F$25:$F$372,$F519,Покупка!$AC$25:$AC$372,$G519)</f>
        <v>0</v>
      </c>
      <c r="AW519" s="1114">
        <f>_xlfn.SUMIFS(Покупка!AV$25:AV$372,Покупка!$F$25:$F$372,$F519,Покупка!$AC$25:$AC$372,$G519)</f>
        <v>0</v>
      </c>
      <c r="AX519" s="1114">
        <f>_xlfn.SUMIFS(Покупка!AW$25:AW$372,Покупка!$F$25:$F$372,$F519,Покупка!$AC$25:$AC$372,$G519)</f>
        <v>0</v>
      </c>
      <c r="AY519" s="1114">
        <f>_xlfn.SUMIFS(Покупка!AX$25:AX$372,Покупка!$F$25:$F$372,$F519,Покупка!$AC$25:$AC$372,$G519)</f>
        <v>0</v>
      </c>
      <c r="AZ519" s="1114">
        <f>_xlfn.SUMIFS(Покупка!AY$25:AY$372,Покупка!$F$25:$F$372,$F519,Покупка!$AC$25:$AC$372,$G519)</f>
        <v>0</v>
      </c>
      <c r="BA519" s="1114">
        <f>_xlfn.SUMIFS(Покупка!AZ$25:AZ$372,Покупка!$F$25:$F$372,$F519,Покупка!$AC$25:$AC$372,$G519)</f>
        <v>0</v>
      </c>
      <c r="BB519" s="1114">
        <f>_xlfn.SUMIFS(Покупка!BA$25:BA$372,Покупка!$F$25:$F$372,$F519,Покупка!$AC$25:$AC$372,$G519)</f>
        <v>0</v>
      </c>
      <c r="BC519" s="1114">
        <f>_xlfn.SUMIFS(Покупка!BB$25:BB$372,Покупка!$F$25:$F$372,$F519,Покупка!$AC$25:$AC$372,$G519)</f>
        <v>0</v>
      </c>
      <c r="BD519" s="1114">
        <f>IF(AI519=0,0,(AT519-AI519)/AI519*100)</f>
        <v>0</v>
      </c>
      <c r="BE519" s="1114">
        <f>IF(AT519=0,0,(AU519-AT519)/AT519*100)</f>
        <v>0</v>
      </c>
      <c r="BF519" s="1114">
        <f>IF(AU519=0,0,(AV519-AU519)/AU519*100)</f>
        <v>0</v>
      </c>
      <c r="BG519" s="1114">
        <f>IF(AV519=0,0,(AW519-AV519)/AV519*100)</f>
        <v>0</v>
      </c>
      <c r="BH519" s="1114">
        <f>IF(AW519=0,0,(AX519-AW519)/AW519*100)</f>
        <v>0</v>
      </c>
      <c r="BI519" s="1114">
        <f>IF(AX519=0,0,(AY519-AX519)/AX519*100)</f>
        <v>0</v>
      </c>
      <c r="BJ519" s="1114">
        <f>IF(AY519=0,0,(AZ519-AY519)/AY519*100)</f>
        <v>0</v>
      </c>
      <c r="BK519" s="1114">
        <f>IF(AZ519=0,0,(BA519-AZ519)/AZ519*100)</f>
        <v>0</v>
      </c>
      <c r="BL519" s="1114">
        <f>IF(BA519=0,0,(BB519-BA519)/BA519*100)</f>
        <v>0</v>
      </c>
      <c r="BM519" s="1114">
        <f>IF(BB519=0,0,(BC519-BB519)/BB519*100)</f>
        <v>0</v>
      </c>
      <c r="BN519" s="7433"/>
      <c r="BO519" s="7437" t="str">
        <f>IF(_xlfn.IFERROR(INDEX(Покупка!$K$26:$L$372,MATCH($F519&amp;"3komm",Покупка!$K$26:$K$372,0),2),"")=0,"",_xlfn.IFERROR(INDEX(Покупка!$K$26:$L$372,MATCH($F519&amp;"3komm",Покупка!$K$26:$K$372,0),2),""))</f>
        <v/>
      </c>
      <c r="BP519" s="7433"/>
      <c r="BQ519" s="1278"/>
      <c r="BR519" s="1278"/>
      <c r="BS519" s="1064" t="s">
        <v>2459</v>
      </c>
      <c r="BT519" s="1064"/>
      <c r="BU519" s="1064"/>
      <c r="BV519" s="979"/>
      <c r="BW519" s="979"/>
    </row>
    <row s="1834" customFormat="1" customHeight="1" ht="0">
      <c r="A520" s="1278"/>
      <c r="B520" s="978"/>
      <c r="C520" s="107"/>
      <c r="D520" s="107"/>
      <c r="E520" s="621">
        <v>15</v>
      </c>
      <c r="F520" s="50" cm="1" t="str">
        <f t="array" ref="F520:F520">OFFSET(E520,-1,1)</f>
        <v>3</v>
      </c>
      <c r="G520" s="107" t="s">
        <v>1805</v>
      </c>
      <c r="H520" s="107"/>
      <c r="I520" s="107" t="s">
        <v>2759</v>
      </c>
      <c r="J520" s="107"/>
      <c r="K520" s="107" t="s">
        <v>2759</v>
      </c>
      <c r="L520" s="980" t="s">
        <v>2258</v>
      </c>
      <c r="M520" s="107"/>
      <c r="N520" s="107"/>
      <c r="O520" s="107"/>
      <c r="P520" s="107"/>
      <c r="Q520" s="107"/>
      <c r="R520" s="107"/>
      <c r="S520" s="107"/>
      <c r="T520" s="465" cm="1" t="str">
        <f t="array" ref="T520:T520">T519</f>
        <v>true</v>
      </c>
      <c r="U520" s="107"/>
      <c r="V520" s="107"/>
      <c r="W520" s="107"/>
      <c r="X520" s="1596"/>
      <c r="Y520" s="1278"/>
      <c r="Z520" s="1546"/>
      <c r="AA520" s="1278"/>
      <c r="AB520" s="300" t="s">
        <v>2760</v>
      </c>
      <c r="AC520" s="765" t="s">
        <v>2761</v>
      </c>
      <c r="AD520" s="300" t="s">
        <v>1514</v>
      </c>
      <c r="AE520" s="1114">
        <f>_xlfn.SUMIFS(Покупка!AE$25:AE$372,Покупка!$F$25:$F$372,$F520,Покупка!$AC$25:$AC$372,$G520)</f>
        <v>0</v>
      </c>
      <c r="AF520" s="1114">
        <f>_xlfn.SUMIFS(Покупка!AF$25:AF$372,Покупка!$F$25:$F$372,$F520,Покупка!$AC$25:$AC$372,$G520)</f>
        <v>0</v>
      </c>
      <c r="AG520" s="1114">
        <f>_xlfn.SUMIFS(Покупка!AG$25:AG$372,Покупка!$F$25:$F$372,$F520,Покупка!$AC$25:$AC$372,$G520)</f>
        <v>0</v>
      </c>
      <c r="AH520" s="1114">
        <f>AG520-AF520</f>
        <v>0</v>
      </c>
      <c r="AI520" s="1114">
        <f>_xlfn.SUMIFS(Покупка!AH$25:AH$372,Покупка!$F$25:$F$372,$F520,Покупка!$AC$25:$AC$372,$G520)</f>
        <v>0</v>
      </c>
      <c r="AJ520" s="1114">
        <f>_xlfn.SUMIFS(Покупка!AI$25:AI$372,Покупка!$F$25:$F$372,$F520,Покупка!$AC$25:$AC$372,$G520)</f>
        <v>0</v>
      </c>
      <c r="AK520" s="1114">
        <f>_xlfn.SUMIFS(Покупка!AJ$25:AJ$372,Покупка!$F$25:$F$372,$F520,Покупка!$AC$25:$AC$372,$G520)</f>
        <v>0</v>
      </c>
      <c r="AL520" s="1114">
        <f>_xlfn.SUMIFS(Покупка!AK$25:AK$372,Покупка!$F$25:$F$372,$F520,Покупка!$AC$25:$AC$372,$G520)</f>
        <v>0</v>
      </c>
      <c r="AM520" s="1114">
        <f>_xlfn.SUMIFS(Покупка!AL$25:AL$372,Покупка!$F$25:$F$372,$F520,Покупка!$AC$25:$AC$372,$G520)</f>
        <v>0</v>
      </c>
      <c r="AN520" s="1114">
        <f>_xlfn.SUMIFS(Покупка!AM$25:AM$372,Покупка!$F$25:$F$372,$F520,Покупка!$AC$25:$AC$372,$G520)</f>
        <v>0</v>
      </c>
      <c r="AO520" s="1114">
        <f>_xlfn.SUMIFS(Покупка!AN$25:AN$372,Покупка!$F$25:$F$372,$F520,Покупка!$AC$25:$AC$372,$G520)</f>
        <v>0</v>
      </c>
      <c r="AP520" s="1114">
        <f>_xlfn.SUMIFS(Покупка!AO$25:AO$372,Покупка!$F$25:$F$372,$F520,Покупка!$AC$25:$AC$372,$G520)</f>
        <v>0</v>
      </c>
      <c r="AQ520" s="1114">
        <f>_xlfn.SUMIFS(Покупка!AP$25:AP$372,Покупка!$F$25:$F$372,$F520,Покупка!$AC$25:$AC$372,$G520)</f>
        <v>0</v>
      </c>
      <c r="AR520" s="1114">
        <f>_xlfn.SUMIFS(Покупка!AQ$25:AQ$372,Покупка!$F$25:$F$372,$F520,Покупка!$AC$25:$AC$372,$G520)</f>
        <v>0</v>
      </c>
      <c r="AS520" s="1114">
        <f>_xlfn.SUMIFS(Покупка!AR$25:AR$372,Покупка!$F$25:$F$372,$F520,Покупка!$AC$25:$AC$372,$G520)</f>
        <v>0</v>
      </c>
      <c r="AT520" s="1114">
        <f>_xlfn.SUMIFS(Покупка!AS$25:AS$372,Покупка!$F$25:$F$372,$F520,Покупка!$AC$25:$AC$372,$G520)</f>
        <v>0</v>
      </c>
      <c r="AU520" s="1114">
        <f>_xlfn.SUMIFS(Покупка!AT$25:AT$372,Покупка!$F$25:$F$372,$F520,Покупка!$AC$25:$AC$372,$G520)</f>
        <v>0</v>
      </c>
      <c r="AV520" s="1114">
        <f>_xlfn.SUMIFS(Покупка!AU$25:AU$372,Покупка!$F$25:$F$372,$F520,Покупка!$AC$25:$AC$372,$G520)</f>
        <v>0</v>
      </c>
      <c r="AW520" s="1114">
        <f>_xlfn.SUMIFS(Покупка!AV$25:AV$372,Покупка!$F$25:$F$372,$F520,Покупка!$AC$25:$AC$372,$G520)</f>
        <v>0</v>
      </c>
      <c r="AX520" s="1114">
        <f>_xlfn.SUMIFS(Покупка!AW$25:AW$372,Покупка!$F$25:$F$372,$F520,Покупка!$AC$25:$AC$372,$G520)</f>
        <v>0</v>
      </c>
      <c r="AY520" s="1114">
        <f>_xlfn.SUMIFS(Покупка!AX$25:AX$372,Покупка!$F$25:$F$372,$F520,Покупка!$AC$25:$AC$372,$G520)</f>
        <v>0</v>
      </c>
      <c r="AZ520" s="1114">
        <f>_xlfn.SUMIFS(Покупка!AY$25:AY$372,Покупка!$F$25:$F$372,$F520,Покупка!$AC$25:$AC$372,$G520)</f>
        <v>0</v>
      </c>
      <c r="BA520" s="1114">
        <f>_xlfn.SUMIFS(Покупка!AZ$25:AZ$372,Покупка!$F$25:$F$372,$F520,Покупка!$AC$25:$AC$372,$G520)</f>
        <v>0</v>
      </c>
      <c r="BB520" s="1114">
        <f>_xlfn.SUMIFS(Покупка!BA$25:BA$372,Покупка!$F$25:$F$372,$F520,Покупка!$AC$25:$AC$372,$G520)</f>
        <v>0</v>
      </c>
      <c r="BC520" s="1114">
        <f>_xlfn.SUMIFS(Покупка!BB$25:BB$372,Покупка!$F$25:$F$372,$F520,Покупка!$AC$25:$AC$372,$G520)</f>
        <v>0</v>
      </c>
      <c r="BD520" s="1114">
        <f>IF(AI520=0,0,(AT520-AI520)/AI520*100)</f>
        <v>0</v>
      </c>
      <c r="BE520" s="1114">
        <f>IF(AT520=0,0,(AU520-AT520)/AT520*100)</f>
        <v>0</v>
      </c>
      <c r="BF520" s="1114">
        <f>IF(AU520=0,0,(AV520-AU520)/AU520*100)</f>
        <v>0</v>
      </c>
      <c r="BG520" s="1114">
        <f>IF(AV520=0,0,(AW520-AV520)/AV520*100)</f>
        <v>0</v>
      </c>
      <c r="BH520" s="1114">
        <f>IF(AW520=0,0,(AX520-AW520)/AW520*100)</f>
        <v>0</v>
      </c>
      <c r="BI520" s="1114">
        <f>IF(AX520=0,0,(AY520-AX520)/AX520*100)</f>
        <v>0</v>
      </c>
      <c r="BJ520" s="1114">
        <f>IF(AY520=0,0,(AZ520-AY520)/AY520*100)</f>
        <v>0</v>
      </c>
      <c r="BK520" s="1114">
        <f>IF(AZ520=0,0,(BA520-AZ520)/AZ520*100)</f>
        <v>0</v>
      </c>
      <c r="BL520" s="1114">
        <f>IF(BA520=0,0,(BB520-BA520)/BA520*100)</f>
        <v>0</v>
      </c>
      <c r="BM520" s="1114">
        <f>IF(BB520=0,0,(BC520-BB520)/BB520*100)</f>
        <v>0</v>
      </c>
      <c r="BN520" s="7433"/>
      <c r="BO520" s="7437" t="str">
        <f>IF(_xlfn.IFERROR(INDEX(Покупка!$K$26:$L$372,MATCH($F520&amp;"4komm",Покупка!$K$26:$K$372,0),2),"")=0,"",_xlfn.IFERROR(INDEX(Покупка!$K$26:$L$372,MATCH($F519&amp;"3komm",Покупка!$K$26:$K$372,0),2),""))</f>
        <v/>
      </c>
      <c r="BP520" s="7433"/>
      <c r="BQ520" s="1278"/>
      <c r="BR520" s="1278"/>
      <c r="BS520" s="1064" t="s">
        <v>2462</v>
      </c>
      <c r="BT520" s="1064"/>
      <c r="BU520" s="1064"/>
      <c r="BV520" s="979"/>
      <c r="BW520" s="979"/>
    </row>
    <row s="1834" customFormat="1" customHeight="1" ht="0">
      <c r="A521" s="1278"/>
      <c r="B521" s="978"/>
      <c r="C521" s="107"/>
      <c r="D521" s="107"/>
      <c r="E521" s="621">
        <v>15</v>
      </c>
      <c r="F521" s="50" cm="1" t="str">
        <f t="array" ref="F521:F521">OFFSET(E521,-1,1)</f>
        <v>3</v>
      </c>
      <c r="G521" s="107" t="s">
        <v>1812</v>
      </c>
      <c r="H521" s="107"/>
      <c r="I521" s="107" t="s">
        <v>2762</v>
      </c>
      <c r="J521" s="107"/>
      <c r="K521" s="107" t="s">
        <v>2762</v>
      </c>
      <c r="L521" s="980" t="s">
        <v>2268</v>
      </c>
      <c r="M521" s="107"/>
      <c r="N521" s="107"/>
      <c r="O521" s="107"/>
      <c r="P521" s="107"/>
      <c r="Q521" s="107"/>
      <c r="R521" s="107"/>
      <c r="S521" s="107"/>
      <c r="T521" s="465" cm="1" t="str">
        <f t="array" ref="T521:T521">T520</f>
        <v>true</v>
      </c>
      <c r="U521" s="107"/>
      <c r="V521" s="107"/>
      <c r="W521" s="107"/>
      <c r="X521" s="1596"/>
      <c r="Y521" s="1278"/>
      <c r="Z521" s="1546"/>
      <c r="AA521" s="1278"/>
      <c r="AB521" s="300" t="s">
        <v>2763</v>
      </c>
      <c r="AC521" s="765" t="s">
        <v>2764</v>
      </c>
      <c r="AD521" s="300" t="s">
        <v>1514</v>
      </c>
      <c r="AE521" s="1114">
        <f>_xlfn.SUMIFS(Покупка!AE$25:AE$372,Покупка!$F$25:$F$372,$F521,Покупка!$AC$25:$AC$372,$G521)</f>
        <v>0</v>
      </c>
      <c r="AF521" s="1114">
        <f>_xlfn.SUMIFS(Покупка!AF$25:AF$372,Покупка!$F$25:$F$372,$F521,Покупка!$AC$25:$AC$372,$G521)</f>
        <v>0</v>
      </c>
      <c r="AG521" s="1114">
        <f>_xlfn.SUMIFS(Покупка!AG$25:AG$372,Покупка!$F$25:$F$372,$F521,Покупка!$AC$25:$AC$372,$G521)</f>
        <v>0</v>
      </c>
      <c r="AH521" s="1114">
        <f>AG521-AF521</f>
        <v>0</v>
      </c>
      <c r="AI521" s="1114">
        <f>_xlfn.SUMIFS(Покупка!AH$25:AH$372,Покупка!$F$25:$F$372,$F521,Покупка!$AC$25:$AC$372,$G521)</f>
        <v>0</v>
      </c>
      <c r="AJ521" s="1114">
        <f>_xlfn.SUMIFS(Покупка!AI$25:AI$372,Покупка!$F$25:$F$372,$F521,Покупка!$AC$25:$AC$372,$G521)</f>
        <v>0</v>
      </c>
      <c r="AK521" s="1114">
        <f>_xlfn.SUMIFS(Покупка!AJ$25:AJ$372,Покупка!$F$25:$F$372,$F521,Покупка!$AC$25:$AC$372,$G521)</f>
        <v>0</v>
      </c>
      <c r="AL521" s="1114">
        <f>_xlfn.SUMIFS(Покупка!AK$25:AK$372,Покупка!$F$25:$F$372,$F521,Покупка!$AC$25:$AC$372,$G521)</f>
        <v>0</v>
      </c>
      <c r="AM521" s="1114">
        <f>_xlfn.SUMIFS(Покупка!AL$25:AL$372,Покупка!$F$25:$F$372,$F521,Покупка!$AC$25:$AC$372,$G521)</f>
        <v>0</v>
      </c>
      <c r="AN521" s="1114">
        <f>_xlfn.SUMIFS(Покупка!AM$25:AM$372,Покупка!$F$25:$F$372,$F521,Покупка!$AC$25:$AC$372,$G521)</f>
        <v>0</v>
      </c>
      <c r="AO521" s="1114">
        <f>_xlfn.SUMIFS(Покупка!AN$25:AN$372,Покупка!$F$25:$F$372,$F521,Покупка!$AC$25:$AC$372,$G521)</f>
        <v>0</v>
      </c>
      <c r="AP521" s="1114">
        <f>_xlfn.SUMIFS(Покупка!AO$25:AO$372,Покупка!$F$25:$F$372,$F521,Покупка!$AC$25:$AC$372,$G521)</f>
        <v>0</v>
      </c>
      <c r="AQ521" s="1114">
        <f>_xlfn.SUMIFS(Покупка!AP$25:AP$372,Покупка!$F$25:$F$372,$F521,Покупка!$AC$25:$AC$372,$G521)</f>
        <v>0</v>
      </c>
      <c r="AR521" s="1114">
        <f>_xlfn.SUMIFS(Покупка!AQ$25:AQ$372,Покупка!$F$25:$F$372,$F521,Покупка!$AC$25:$AC$372,$G521)</f>
        <v>0</v>
      </c>
      <c r="AS521" s="1114">
        <f>_xlfn.SUMIFS(Покупка!AR$25:AR$372,Покупка!$F$25:$F$372,$F521,Покупка!$AC$25:$AC$372,$G521)</f>
        <v>0</v>
      </c>
      <c r="AT521" s="1114">
        <f>_xlfn.SUMIFS(Покупка!AS$25:AS$372,Покупка!$F$25:$F$372,$F521,Покупка!$AC$25:$AC$372,$G521)</f>
        <v>0</v>
      </c>
      <c r="AU521" s="1114">
        <f>_xlfn.SUMIFS(Покупка!AT$25:AT$372,Покупка!$F$25:$F$372,$F521,Покупка!$AC$25:$AC$372,$G521)</f>
        <v>0</v>
      </c>
      <c r="AV521" s="1114">
        <f>_xlfn.SUMIFS(Покупка!AU$25:AU$372,Покупка!$F$25:$F$372,$F521,Покупка!$AC$25:$AC$372,$G521)</f>
        <v>0</v>
      </c>
      <c r="AW521" s="1114">
        <f>_xlfn.SUMIFS(Покупка!AV$25:AV$372,Покупка!$F$25:$F$372,$F521,Покупка!$AC$25:$AC$372,$G521)</f>
        <v>0</v>
      </c>
      <c r="AX521" s="1114">
        <f>_xlfn.SUMIFS(Покупка!AW$25:AW$372,Покупка!$F$25:$F$372,$F521,Покупка!$AC$25:$AC$372,$G521)</f>
        <v>0</v>
      </c>
      <c r="AY521" s="1114">
        <f>_xlfn.SUMIFS(Покупка!AX$25:AX$372,Покупка!$F$25:$F$372,$F521,Покупка!$AC$25:$AC$372,$G521)</f>
        <v>0</v>
      </c>
      <c r="AZ521" s="1114">
        <f>_xlfn.SUMIFS(Покупка!AY$25:AY$372,Покупка!$F$25:$F$372,$F521,Покупка!$AC$25:$AC$372,$G521)</f>
        <v>0</v>
      </c>
      <c r="BA521" s="1114">
        <f>_xlfn.SUMIFS(Покупка!AZ$25:AZ$372,Покупка!$F$25:$F$372,$F521,Покупка!$AC$25:$AC$372,$G521)</f>
        <v>0</v>
      </c>
      <c r="BB521" s="1114">
        <f>_xlfn.SUMIFS(Покупка!BA$25:BA$372,Покупка!$F$25:$F$372,$F521,Покупка!$AC$25:$AC$372,$G521)</f>
        <v>0</v>
      </c>
      <c r="BC521" s="1114">
        <f>_xlfn.SUMIFS(Покупка!BB$25:BB$372,Покупка!$F$25:$F$372,$F521,Покупка!$AC$25:$AC$372,$G521)</f>
        <v>0</v>
      </c>
      <c r="BD521" s="1114">
        <f>IF(AI521=0,0,(AT521-AI521)/AI521*100)</f>
        <v>0</v>
      </c>
      <c r="BE521" s="1114">
        <f>IF(AT521=0,0,(AU521-AT521)/AT521*100)</f>
        <v>0</v>
      </c>
      <c r="BF521" s="1114">
        <f>IF(AU521=0,0,(AV521-AU521)/AU521*100)</f>
        <v>0</v>
      </c>
      <c r="BG521" s="1114">
        <f>IF(AV521=0,0,(AW521-AV521)/AV521*100)</f>
        <v>0</v>
      </c>
      <c r="BH521" s="1114">
        <f>IF(AW521=0,0,(AX521-AW521)/AW521*100)</f>
        <v>0</v>
      </c>
      <c r="BI521" s="1114">
        <f>IF(AX521=0,0,(AY521-AX521)/AX521*100)</f>
        <v>0</v>
      </c>
      <c r="BJ521" s="1114">
        <f>IF(AY521=0,0,(AZ521-AY521)/AY521*100)</f>
        <v>0</v>
      </c>
      <c r="BK521" s="1114">
        <f>IF(AZ521=0,0,(BA521-AZ521)/AZ521*100)</f>
        <v>0</v>
      </c>
      <c r="BL521" s="1114">
        <f>IF(BA521=0,0,(BB521-BA521)/BA521*100)</f>
        <v>0</v>
      </c>
      <c r="BM521" s="1114">
        <f>IF(BB521=0,0,(BC521-BB521)/BB521*100)</f>
        <v>0</v>
      </c>
      <c r="BN521" s="7433"/>
      <c r="BO521" s="7437" t="str">
        <f>IF(_xlfn.IFERROR(INDEX(Покупка!$K$26:$L$372,MATCH($F521&amp;"5komm",Покупка!$K$26:$K$372,0),2),"")=0,"",_xlfn.IFERROR(INDEX(Покупка!$K$26:$L$372,MATCH($F521&amp;"5komm",Покупка!$K$26:$K$372,0),2),""))</f>
        <v/>
      </c>
      <c r="BP521" s="7433"/>
      <c r="BQ521" s="1278"/>
      <c r="BR521" s="1278"/>
      <c r="BS521" s="1064" t="s">
        <v>2465</v>
      </c>
      <c r="BT521" s="1064"/>
      <c r="BU521" s="1064"/>
      <c r="BV521" s="979"/>
      <c r="BW521" s="979"/>
    </row>
    <row s="1834" customFormat="1" customHeight="1" ht="0">
      <c r="A522" s="1278"/>
      <c r="B522" s="978"/>
      <c r="C522" s="107"/>
      <c r="D522" s="107"/>
      <c r="E522" s="621">
        <v>15</v>
      </c>
      <c r="F522" s="50" cm="1" t="str">
        <f t="array" ref="F522:F522">OFFSET(E522,-1,1)</f>
        <v>3</v>
      </c>
      <c r="G522" s="107" t="s">
        <v>1853</v>
      </c>
      <c r="H522" s="107"/>
      <c r="I522" s="107"/>
      <c r="J522" s="107"/>
      <c r="K522" s="107"/>
      <c r="L522" s="980" t="s">
        <v>2235</v>
      </c>
      <c r="M522" s="107"/>
      <c r="N522" s="107"/>
      <c r="O522" s="107"/>
      <c r="P522" s="107"/>
      <c r="Q522" s="107"/>
      <c r="R522" s="107"/>
      <c r="S522" s="107"/>
      <c r="T522" s="465" cm="1" t="str">
        <f t="array" ref="T522:T522">T521</f>
        <v>true</v>
      </c>
      <c r="U522" s="107"/>
      <c r="V522" s="107"/>
      <c r="W522" s="107"/>
      <c r="X522" s="1596"/>
      <c r="Y522" s="1278"/>
      <c r="Z522" s="1546"/>
      <c r="AA522" s="1278"/>
      <c r="AB522" s="300" t="s">
        <v>2765</v>
      </c>
      <c r="AC522" s="765" t="s">
        <v>2766</v>
      </c>
      <c r="AD522" s="300" t="s">
        <v>1514</v>
      </c>
      <c r="AE522" s="1114">
        <f>_xlfn.SUMIFS(Покупка!AE$25:AE$372,Покупка!$F$25:$F$372,$F522,Покупка!$AC$25:$AC$372,$G522)</f>
        <v>0</v>
      </c>
      <c r="AF522" s="1114">
        <f>_xlfn.SUMIFS(Покупка!AF$25:AF$372,Покупка!$F$25:$F$372,$F522,Покупка!$AC$25:$AC$372,$G522)</f>
        <v>0</v>
      </c>
      <c r="AG522" s="1114">
        <f>_xlfn.SUMIFS(Покупка!AG$25:AG$372,Покупка!$F$25:$F$372,$F522,Покупка!$AC$25:$AC$372,$G522)</f>
        <v>0</v>
      </c>
      <c r="AH522" s="1114">
        <f>AG522-AF522</f>
        <v>0</v>
      </c>
      <c r="AI522" s="1114">
        <f>_xlfn.SUMIFS(Покупка!AH$25:AH$372,Покупка!$F$25:$F$372,$F522,Покупка!$AC$25:$AC$372,$G522)</f>
        <v>0</v>
      </c>
      <c r="AJ522" s="1114">
        <f>_xlfn.SUMIFS(Покупка!AI$25:AI$372,Покупка!$F$25:$F$372,$F522,Покупка!$AC$25:$AC$372,$G522)</f>
        <v>0</v>
      </c>
      <c r="AK522" s="1114">
        <f>_xlfn.SUMIFS(Покупка!AJ$25:AJ$372,Покупка!$F$25:$F$372,$F522,Покупка!$AC$25:$AC$372,$G522)</f>
        <v>0</v>
      </c>
      <c r="AL522" s="1114">
        <f>_xlfn.SUMIFS(Покупка!AK$25:AK$372,Покупка!$F$25:$F$372,$F522,Покупка!$AC$25:$AC$372,$G522)</f>
        <v>0</v>
      </c>
      <c r="AM522" s="1114">
        <f>_xlfn.SUMIFS(Покупка!AL$25:AL$372,Покупка!$F$25:$F$372,$F522,Покупка!$AC$25:$AC$372,$G522)</f>
        <v>0</v>
      </c>
      <c r="AN522" s="1114">
        <f>_xlfn.SUMIFS(Покупка!AM$25:AM$372,Покупка!$F$25:$F$372,$F522,Покупка!$AC$25:$AC$372,$G522)</f>
        <v>0</v>
      </c>
      <c r="AO522" s="1114">
        <f>_xlfn.SUMIFS(Покупка!AN$25:AN$372,Покупка!$F$25:$F$372,$F522,Покупка!$AC$25:$AC$372,$G522)</f>
        <v>0</v>
      </c>
      <c r="AP522" s="1114">
        <f>_xlfn.SUMIFS(Покупка!AO$25:AO$372,Покупка!$F$25:$F$372,$F522,Покупка!$AC$25:$AC$372,$G522)</f>
        <v>0</v>
      </c>
      <c r="AQ522" s="1114">
        <f>_xlfn.SUMIFS(Покупка!AP$25:AP$372,Покупка!$F$25:$F$372,$F522,Покупка!$AC$25:$AC$372,$G522)</f>
        <v>0</v>
      </c>
      <c r="AR522" s="1114">
        <f>_xlfn.SUMIFS(Покупка!AQ$25:AQ$372,Покупка!$F$25:$F$372,$F522,Покупка!$AC$25:$AC$372,$G522)</f>
        <v>0</v>
      </c>
      <c r="AS522" s="1114">
        <f>_xlfn.SUMIFS(Покупка!AR$25:AR$372,Покупка!$F$25:$F$372,$F522,Покупка!$AC$25:$AC$372,$G522)</f>
        <v>0</v>
      </c>
      <c r="AT522" s="1114">
        <f>_xlfn.SUMIFS(Покупка!AS$25:AS$372,Покупка!$F$25:$F$372,$F522,Покупка!$AC$25:$AC$372,$G522)</f>
        <v>0</v>
      </c>
      <c r="AU522" s="1114">
        <f>_xlfn.SUMIFS(Покупка!AT$25:AT$372,Покупка!$F$25:$F$372,$F522,Покупка!$AC$25:$AC$372,$G522)</f>
        <v>0</v>
      </c>
      <c r="AV522" s="1114">
        <f>_xlfn.SUMIFS(Покупка!AU$25:AU$372,Покупка!$F$25:$F$372,$F522,Покупка!$AC$25:$AC$372,$G522)</f>
        <v>0</v>
      </c>
      <c r="AW522" s="1114">
        <f>_xlfn.SUMIFS(Покупка!AV$25:AV$372,Покупка!$F$25:$F$372,$F522,Покупка!$AC$25:$AC$372,$G522)</f>
        <v>0</v>
      </c>
      <c r="AX522" s="1114">
        <f>_xlfn.SUMIFS(Покупка!AW$25:AW$372,Покупка!$F$25:$F$372,$F522,Покупка!$AC$25:$AC$372,$G522)</f>
        <v>0</v>
      </c>
      <c r="AY522" s="1114">
        <f>_xlfn.SUMIFS(Покупка!AX$25:AX$372,Покупка!$F$25:$F$372,$F522,Покупка!$AC$25:$AC$372,$G522)</f>
        <v>0</v>
      </c>
      <c r="AZ522" s="1114">
        <f>_xlfn.SUMIFS(Покупка!AY$25:AY$372,Покупка!$F$25:$F$372,$F522,Покупка!$AC$25:$AC$372,$G522)</f>
        <v>0</v>
      </c>
      <c r="BA522" s="1114">
        <f>_xlfn.SUMIFS(Покупка!AZ$25:AZ$372,Покупка!$F$25:$F$372,$F522,Покупка!$AC$25:$AC$372,$G522)</f>
        <v>0</v>
      </c>
      <c r="BB522" s="1114">
        <f>_xlfn.SUMIFS(Покупка!BA$25:BA$372,Покупка!$F$25:$F$372,$F522,Покупка!$AC$25:$AC$372,$G522)</f>
        <v>0</v>
      </c>
      <c r="BC522" s="1114">
        <f>_xlfn.SUMIFS(Покупка!BB$25:BB$372,Покупка!$F$25:$F$372,$F522,Покупка!$AC$25:$AC$372,$G522)</f>
        <v>0</v>
      </c>
      <c r="BD522" s="1114">
        <f>IF(AI522=0,0,(AT522-AI522)/AI522*100)</f>
        <v>0</v>
      </c>
      <c r="BE522" s="1114">
        <f>IF(AT522=0,0,(AU522-AT522)/AT522*100)</f>
        <v>0</v>
      </c>
      <c r="BF522" s="1114">
        <f>IF(AU522=0,0,(AV522-AU522)/AU522*100)</f>
        <v>0</v>
      </c>
      <c r="BG522" s="1114">
        <f>IF(AV522=0,0,(AW522-AV522)/AV522*100)</f>
        <v>0</v>
      </c>
      <c r="BH522" s="1114">
        <f>IF(AW522=0,0,(AX522-AW522)/AW522*100)</f>
        <v>0</v>
      </c>
      <c r="BI522" s="1114">
        <f>IF(AX522=0,0,(AY522-AX522)/AX522*100)</f>
        <v>0</v>
      </c>
      <c r="BJ522" s="1114">
        <f>IF(AY522=0,0,(AZ522-AY522)/AY522*100)</f>
        <v>0</v>
      </c>
      <c r="BK522" s="1114">
        <f>IF(AZ522=0,0,(BA522-AZ522)/AZ522*100)</f>
        <v>0</v>
      </c>
      <c r="BL522" s="1114">
        <f>IF(BA522=0,0,(BB522-BA522)/BA522*100)</f>
        <v>0</v>
      </c>
      <c r="BM522" s="1114">
        <f>IF(BB522=0,0,(BC522-BB522)/BB522*100)</f>
        <v>0</v>
      </c>
      <c r="BN522" s="7433"/>
      <c r="BO522" s="7437" t="str">
        <f>IF(_xlfn.IFERROR(INDEX(Покупка!$K$26:$L$372,MATCH($F522&amp;"9komm",Покупка!$K$26:$K$372,0),2),"")=0,"",_xlfn.IFERROR(INDEX(Покупка!$K$26:$L$372,MATCH($F522&amp;"9komm",Покупка!$K$26:$K$372,0),2),""))</f>
        <v/>
      </c>
      <c r="BP522" s="7433"/>
      <c r="BQ522" s="1278"/>
      <c r="BR522" s="1278"/>
      <c r="BS522" s="1064" t="s">
        <v>1854</v>
      </c>
      <c r="BT522" s="1064"/>
      <c r="BU522" s="1064"/>
      <c r="BV522" s="979"/>
      <c r="BW522" s="979"/>
    </row>
    <row s="1834" customFormat="1" customHeight="1" ht="23.25">
      <c r="A523" s="1278"/>
      <c r="B523" s="978"/>
      <c r="C523" s="107"/>
      <c r="D523" s="107"/>
      <c r="E523" s="621">
        <v>15</v>
      </c>
      <c r="F523" s="50" cm="1" t="str">
        <f t="array" ref="F523:F523">OFFSET(E523,-1,1)</f>
        <v>3</v>
      </c>
      <c r="G523" s="107"/>
      <c r="H523" s="107"/>
      <c r="I523" s="107" t="s">
        <v>1196</v>
      </c>
      <c r="J523" s="107"/>
      <c r="K523" s="107" t="s">
        <v>1196</v>
      </c>
      <c r="L523" s="980"/>
      <c r="M523" s="107"/>
      <c r="N523" s="107"/>
      <c r="O523" s="107"/>
      <c r="P523" s="107"/>
      <c r="Q523" s="107"/>
      <c r="R523" s="107"/>
      <c r="S523" s="107"/>
      <c r="T523" s="465" cm="1" t="str">
        <f t="array" ref="T523:T523">T522</f>
        <v>true</v>
      </c>
      <c r="U523" s="107"/>
      <c r="V523" s="107"/>
      <c r="W523" s="107"/>
      <c r="X523" s="1596"/>
      <c r="Y523" s="1278"/>
      <c r="Z523" s="1546"/>
      <c r="AA523" s="1278"/>
      <c r="AB523" s="300" t="s">
        <v>1254</v>
      </c>
      <c r="AC523" s="762" t="s">
        <v>2767</v>
      </c>
      <c r="AD523" s="779" t="s">
        <v>1514</v>
      </c>
      <c r="AE523" s="1114">
        <f>_xlfn.SUMIFS('Сырье и материалы'!AE$25:AE$162,'Сырье и материалы'!$F$25:$F$162,$F523,'Сырье и материалы'!$I$25:$I$162,"Реагенты")</f>
        <v>0</v>
      </c>
      <c r="AF523" s="1114">
        <f>_xlfn.SUMIFS('Сырье и материалы'!AF$25:AF$162,'Сырье и материалы'!$F$25:$F$162,$F523,'Сырье и материалы'!$I$25:$I$162,"Реагенты")</f>
        <v>0</v>
      </c>
      <c r="AG523" s="1114">
        <f>_xlfn.SUMIFS('Сырье и материалы'!AG$25:AG$162,'Сырье и материалы'!$F$25:$F$162,$F523,'Сырье и материалы'!$I$25:$I$162,"Реагенты")</f>
        <v>0</v>
      </c>
      <c r="AH523" s="1114">
        <f>AG523-AF523</f>
        <v>0</v>
      </c>
      <c r="AI523" s="1114">
        <f>_xlfn.SUMIFS('Сырье и материалы'!AH$25:AH$162,'Сырье и материалы'!$F$25:$F$162,$F523,'Сырье и материалы'!$I$25:$I$162,"Реагенты")</f>
        <v>0</v>
      </c>
      <c r="AJ523" s="1114">
        <f>_xlfn.SUMIFS('Сырье и материалы'!AI$25:AI$162,'Сырье и материалы'!$F$25:$F$162,$F523,'Сырье и материалы'!$I$25:$I$162,"Реагенты")</f>
        <v>1661.9050032</v>
      </c>
      <c r="AK523" s="1114">
        <f>_xlfn.SUMIFS('Сырье и материалы'!AJ$25:AJ$162,'Сырье и материалы'!$F$25:$F$162,$F523,'Сырье и материалы'!$I$25:$I$162,"Реагенты")</f>
        <v>1726.7192983248</v>
      </c>
      <c r="AL523" s="1114">
        <f>_xlfn.SUMIFS('Сырье и материалы'!AK$25:AK$162,'Сырье и материалы'!$F$25:$F$162,$F523,'Сырье и материалы'!$I$25:$I$162,"Реагенты")</f>
        <v>1792.33463166114</v>
      </c>
      <c r="AM523" s="1114">
        <f>_xlfn.SUMIFS('Сырье и материалы'!AL$25:AL$162,'Сырье и материалы'!$F$25:$F$162,$F523,'Сырье и материалы'!$I$25:$I$162,"Реагенты")</f>
        <v>1860.44334766427</v>
      </c>
      <c r="AN523" s="1114">
        <f>_xlfn.SUMIFS('Сырье и материалы'!AM$25:AM$162,'Сырье и материалы'!$F$25:$F$162,$F523,'Сырье и материалы'!$I$25:$I$162,"Реагенты")</f>
        <v>1931.14019487551</v>
      </c>
      <c r="AO523" s="1114">
        <f>_xlfn.SUMIFS('Сырье и материалы'!AN$25:AN$162,'Сырье и материалы'!$F$25:$F$162,$F523,'Сырье и материалы'!$I$25:$I$162,"Реагенты")</f>
        <v>0</v>
      </c>
      <c r="AP523" s="1114">
        <f>_xlfn.SUMIFS('Сырье и материалы'!AO$25:AO$162,'Сырье и материалы'!$F$25:$F$162,$F523,'Сырье и материалы'!$I$25:$I$162,"Реагенты")</f>
        <v>0</v>
      </c>
      <c r="AQ523" s="1114">
        <f>_xlfn.SUMIFS('Сырье и материалы'!AP$25:AP$162,'Сырье и материалы'!$F$25:$F$162,$F523,'Сырье и материалы'!$I$25:$I$162,"Реагенты")</f>
        <v>0</v>
      </c>
      <c r="AR523" s="1114">
        <f>_xlfn.SUMIFS('Сырье и материалы'!AQ$25:AQ$162,'Сырье и материалы'!$F$25:$F$162,$F523,'Сырье и материалы'!$I$25:$I$162,"Реагенты")</f>
        <v>0</v>
      </c>
      <c r="AS523" s="1114">
        <f>_xlfn.SUMIFS('Сырье и материалы'!AR$25:AR$162,'Сырье и материалы'!$F$25:$F$162,$F523,'Сырье и материалы'!$I$25:$I$162,"Реагенты")</f>
        <v>0</v>
      </c>
      <c r="AT523" s="1114">
        <f>_xlfn.SUMIFS('Сырье и материалы'!AS$25:AS$162,'Сырье и материалы'!$F$25:$F$162,$F523,'Сырье и материалы'!$I$25:$I$162,"Реагенты")</f>
        <v>1661.9050032</v>
      </c>
      <c r="AU523" s="1114">
        <f>_xlfn.SUMIFS('Сырье и материалы'!AT$25:AT$162,'Сырье и материалы'!$F$25:$F$162,$F523,'Сырье и материалы'!$I$25:$I$162,"Реагенты")</f>
        <v>1726.7192983248</v>
      </c>
      <c r="AV523" s="1114">
        <f>_xlfn.SUMIFS('Сырье и материалы'!AU$25:AU$162,'Сырье и материалы'!$F$25:$F$162,$F523,'Сырье и материалы'!$I$25:$I$162,"Реагенты")</f>
        <v>1792.33463166114</v>
      </c>
      <c r="AW523" s="1114">
        <f>_xlfn.SUMIFS('Сырье и материалы'!AV$25:AV$162,'Сырье и материалы'!$F$25:$F$162,$F523,'Сырье и материалы'!$I$25:$I$162,"Реагенты")</f>
        <v>1860.44334766427</v>
      </c>
      <c r="AX523" s="1114">
        <f>_xlfn.SUMIFS('Сырье и материалы'!AW$25:AW$162,'Сырье и материалы'!$F$25:$F$162,$F523,'Сырье и материалы'!$I$25:$I$162,"Реагенты")</f>
        <v>1931.14019487551</v>
      </c>
      <c r="AY523" s="1114">
        <f>_xlfn.SUMIFS('Сырье и материалы'!AX$25:AX$162,'Сырье и материалы'!$F$25:$F$162,$F523,'Сырье и материалы'!$I$25:$I$162,"Реагенты")</f>
        <v>0</v>
      </c>
      <c r="AZ523" s="1114">
        <f>_xlfn.SUMIFS('Сырье и материалы'!AY$25:AY$162,'Сырье и материалы'!$F$25:$F$162,$F523,'Сырье и материалы'!$I$25:$I$162,"Реагенты")</f>
        <v>0</v>
      </c>
      <c r="BA523" s="1114">
        <f>_xlfn.SUMIFS('Сырье и материалы'!AZ$25:AZ$162,'Сырье и материалы'!$F$25:$F$162,$F523,'Сырье и материалы'!$I$25:$I$162,"Реагенты")</f>
        <v>0</v>
      </c>
      <c r="BB523" s="1114">
        <f>_xlfn.SUMIFS('Сырье и материалы'!BA$25:BA$162,'Сырье и материалы'!$F$25:$F$162,$F523,'Сырье и материалы'!$I$25:$I$162,"Реагенты")</f>
        <v>0</v>
      </c>
      <c r="BC523" s="1114">
        <f>_xlfn.SUMIFS('Сырье и материалы'!BB$25:BB$162,'Сырье и материалы'!$F$25:$F$162,$F523,'Сырье и материалы'!$I$25:$I$162,"Реагенты")</f>
        <v>0</v>
      </c>
      <c r="BD523" s="1114">
        <f>IF(AI523=0,0,(AT523-AI523)/AI523*100)</f>
        <v>0</v>
      </c>
      <c r="BE523" s="1114">
        <f>IF(AT523=0,0,(AU523-AT523)/AT523*100)</f>
        <v>3.9</v>
      </c>
      <c r="BF523" s="1114">
        <f>IF(AU523=0,0,(AV523-AU523)/AU523*100)</f>
        <v>3.79999999999986</v>
      </c>
      <c r="BG523" s="1114">
        <f>IF(AV523=0,0,(AW523-AV523)/AV523*100)</f>
        <v>3.80000000000037</v>
      </c>
      <c r="BH523" s="1114">
        <f>IF(AW523=0,0,(AX523-AW523)/AW523*100)</f>
        <v>3.79999999999987</v>
      </c>
      <c r="BI523" s="1114">
        <f>IF(AX523=0,0,(AY523-AX523)/AX523*100)</f>
        <v>-100</v>
      </c>
      <c r="BJ523" s="1114">
        <f>IF(AY523=0,0,(AZ523-AY523)/AY523*100)</f>
        <v>0</v>
      </c>
      <c r="BK523" s="1114">
        <f>IF(AZ523=0,0,(BA523-AZ523)/AZ523*100)</f>
        <v>0</v>
      </c>
      <c r="BL523" s="1114">
        <f>IF(BA523=0,0,(BB523-BA523)/BA523*100)</f>
        <v>0</v>
      </c>
      <c r="BM523" s="1114">
        <f>IF(BB523=0,0,(BC523-BB523)/BB523*100)</f>
        <v>0</v>
      </c>
      <c r="BN523" s="7433"/>
      <c r="BO523" s="7437" t="s">
        <v>2927</v>
      </c>
      <c r="BP523" s="7433"/>
      <c r="BQ523" s="1278"/>
      <c r="BR523" s="1278"/>
      <c r="BS523" s="1064" t="s">
        <v>2438</v>
      </c>
      <c r="BT523" s="1064"/>
      <c r="BU523" s="1064"/>
      <c r="BV523" s="979"/>
      <c r="BW523" s="979"/>
    </row>
    <row s="7607" customFormat="1" customHeight="1" ht="20.25">
      <c r="A524" s="700"/>
      <c r="B524" s="435"/>
      <c r="C524" s="109"/>
      <c r="D524" s="109"/>
      <c r="E524" s="826">
        <v>21</v>
      </c>
      <c r="F524" s="50" cm="1" t="str">
        <f t="array" ref="F524:F524">OFFSET(E524,-1,1)</f>
        <v>3</v>
      </c>
      <c r="G524" s="109"/>
      <c r="H524" s="107"/>
      <c r="I524" s="107" t="s">
        <v>1648</v>
      </c>
      <c r="J524" s="109"/>
      <c r="K524" s="107" t="s">
        <v>1648</v>
      </c>
      <c r="L524" s="985" t="s">
        <v>1228</v>
      </c>
      <c r="M524" s="109"/>
      <c r="N524" s="109"/>
      <c r="O524" s="109"/>
      <c r="P524" s="109"/>
      <c r="Q524" s="109"/>
      <c r="R524" s="109"/>
      <c r="S524" s="109"/>
      <c r="T524" s="465" cm="1" t="str">
        <f t="array" ref="T524:T524">T523</f>
        <v>true</v>
      </c>
      <c r="U524" s="109"/>
      <c r="V524" s="109"/>
      <c r="W524" s="109"/>
      <c r="X524" s="1596"/>
      <c r="Y524" s="700"/>
      <c r="Z524" s="1546"/>
      <c r="AA524" s="700"/>
      <c r="AB524" s="211" t="s">
        <v>1258</v>
      </c>
      <c r="AC524" s="361" t="s">
        <v>2768</v>
      </c>
      <c r="AD524" s="211" t="s">
        <v>1514</v>
      </c>
      <c r="AE524" s="778">
        <f>SUM(AE525:AE534)</f>
        <v>0</v>
      </c>
      <c r="AF524" s="778">
        <f>SUM(AF525:AF534)</f>
        <v>0</v>
      </c>
      <c r="AG524" s="778">
        <f>SUM(AG525:AG534)</f>
        <v>0</v>
      </c>
      <c r="AH524" s="778">
        <f>AG524-AF524</f>
        <v>0</v>
      </c>
      <c r="AI524" s="778">
        <f>SUM(AI525:AI534)</f>
        <v>0</v>
      </c>
      <c r="AJ524" s="213">
        <f>SUM(AJ525:AJ534)</f>
        <v>184.694</v>
      </c>
      <c r="AK524" s="778">
        <f>SUM(AK525:AK534)</f>
        <v>170.543</v>
      </c>
      <c r="AL524" s="778">
        <f>SUM(AL525:AL534)</f>
        <v>175.07407070976</v>
      </c>
      <c r="AM524" s="778">
        <f>SUM(AM525:AM534)</f>
        <v>312.96015353815</v>
      </c>
      <c r="AN524" s="778">
        <f>SUM(AN525:AN534)</f>
        <v>264.080999679676</v>
      </c>
      <c r="AO524" s="778">
        <f>SUM(AO525:AO534)</f>
        <v>0</v>
      </c>
      <c r="AP524" s="778">
        <f>SUM(AP525:AP534)</f>
        <v>0</v>
      </c>
      <c r="AQ524" s="778">
        <f>SUM(AQ525:AQ534)</f>
        <v>0</v>
      </c>
      <c r="AR524" s="778">
        <f>SUM(AR525:AR534)</f>
        <v>0</v>
      </c>
      <c r="AS524" s="778">
        <f>SUM(AS525:AS534)</f>
        <v>0</v>
      </c>
      <c r="AT524" s="213">
        <f>SUM(AT525:AT534)</f>
        <v>184.6980136</v>
      </c>
      <c r="AU524" s="778">
        <f>SUM(AU525:AU534)</f>
        <v>170.546914144</v>
      </c>
      <c r="AV524" s="778">
        <f>SUM(AV525:AV534)</f>
        <v>175.07707070976</v>
      </c>
      <c r="AW524" s="778">
        <f>SUM(AW525:AW534)</f>
        <v>312.96015353815</v>
      </c>
      <c r="AX524" s="778">
        <f>SUM(AX525:AX534)</f>
        <v>264.080999679676</v>
      </c>
      <c r="AY524" s="778">
        <f>SUM(AY525:AY534)</f>
        <v>0</v>
      </c>
      <c r="AZ524" s="778">
        <f>SUM(AZ525:AZ534)</f>
        <v>0</v>
      </c>
      <c r="BA524" s="778">
        <f>SUM(BA525:BA534)</f>
        <v>0</v>
      </c>
      <c r="BB524" s="778">
        <f>SUM(BB525:BB534)</f>
        <v>0</v>
      </c>
      <c r="BC524" s="778">
        <f>SUM(BC525:BC534)</f>
        <v>0</v>
      </c>
      <c r="BD524" s="778">
        <f>IF(AI524=0,0,(AT524-AI524)/AI524*100)</f>
        <v>0</v>
      </c>
      <c r="BE524" s="778">
        <f>IF(AT524=0,0,(AU524-AT524)/AT524*100)</f>
        <v>-7.66174967460505</v>
      </c>
      <c r="BF524" s="778">
        <f>IF(AU524=0,0,(AV524-AU524)/AU524*100)</f>
        <v>2.65625243851378</v>
      </c>
      <c r="BG524" s="778">
        <f>IF(AV524=0,0,(AW524-AV524)/AV524*100)</f>
        <v>78.7556487376753</v>
      </c>
      <c r="BH524" s="778">
        <f>IF(AW524=0,0,(AX524-AW524)/AW524*100)</f>
        <v>-15.6183313772933</v>
      </c>
      <c r="BI524" s="778">
        <f>IF(AX524=0,0,(AY524-AX524)/AX524*100)</f>
        <v>-100</v>
      </c>
      <c r="BJ524" s="778">
        <f>IF(AY524=0,0,(AZ524-AY524)/AY524*100)</f>
        <v>0</v>
      </c>
      <c r="BK524" s="778">
        <f>IF(AZ524=0,0,(BA524-AZ524)/AZ524*100)</f>
        <v>0</v>
      </c>
      <c r="BL524" s="778">
        <f>IF(BA524=0,0,(BB524-BA524)/BA524*100)</f>
        <v>0</v>
      </c>
      <c r="BM524" s="778">
        <f>IF(BB524=0,0,(BC524-BB524)/BB524*100)</f>
        <v>0</v>
      </c>
      <c r="BN524" s="7436"/>
      <c r="BO524" s="7437" t="str">
        <f>IF(_xlfn.IFERROR(INDEX(Налоги!$K$26:$L$101,MATCH($F524&amp;"komm",Налоги!$K$26:$K$101,0),2),"")=0,"",_xlfn.IFERROR(INDEX(Налоги!$K$26:$L$101,MATCH($F524&amp;"komm",Налоги!$K$26:$K$101,0),2),""))</f>
        <v>В соответствии с п.п. 2 п. 49 Методических указаний 1746-э.</v>
      </c>
      <c r="BP524" s="7436"/>
      <c r="BQ524" s="700"/>
      <c r="BR524" s="700"/>
      <c r="BS524" s="1070" t="s">
        <v>1999</v>
      </c>
      <c r="BT524" s="1070"/>
      <c r="BU524" s="1070"/>
      <c r="BV524" s="707"/>
      <c r="BW524" s="707"/>
    </row>
    <row s="1834" customFormat="1" customHeight="1" ht="0">
      <c r="A525" s="1278"/>
      <c r="B525" s="978"/>
      <c r="C525" s="107"/>
      <c r="D525" s="107"/>
      <c r="E525" s="621">
        <v>15</v>
      </c>
      <c r="F525" s="50" cm="1" t="str">
        <f t="array" ref="F525:F525">OFFSET(E525,-1,1)</f>
        <v>3</v>
      </c>
      <c r="G525" s="922">
        <v>7</v>
      </c>
      <c r="H525" s="107"/>
      <c r="I525" s="107" t="s">
        <v>2769</v>
      </c>
      <c r="J525" s="107"/>
      <c r="K525" s="107" t="s">
        <v>2769</v>
      </c>
      <c r="L525" s="980"/>
      <c r="M525" s="107"/>
      <c r="N525" s="107"/>
      <c r="O525" s="107"/>
      <c r="P525" s="107"/>
      <c r="Q525" s="107"/>
      <c r="R525" s="107"/>
      <c r="S525" s="107"/>
      <c r="T525" s="465" cm="1" t="str">
        <f t="array" ref="T525:T525">T524</f>
        <v>true</v>
      </c>
      <c r="U525" s="107"/>
      <c r="V525" s="107"/>
      <c r="W525" s="107"/>
      <c r="X525" s="1596"/>
      <c r="Y525" s="1278"/>
      <c r="Z525" s="1546"/>
      <c r="AA525" s="1278"/>
      <c r="AB525" s="300" t="s">
        <v>1212</v>
      </c>
      <c r="AC525" s="765" t="s">
        <v>2013</v>
      </c>
      <c r="AD525" s="300" t="s">
        <v>1514</v>
      </c>
      <c r="AE525" s="1114">
        <f>_xlfn.SUMIFS(Налоги!AE$25:AE$101,Налоги!$F$25:$F$101,$F525,Налоги!$AB$25:$AB$101,$G525)</f>
        <v>0</v>
      </c>
      <c r="AF525" s="1114">
        <f>_xlfn.SUMIFS(Налоги!AF$25:AF$101,Налоги!$F$25:$F$101,$F525,Налоги!$AB$25:$AB$101,$G525)</f>
        <v>0</v>
      </c>
      <c r="AG525" s="1114">
        <f>_xlfn.SUMIFS(Налоги!AG$25:AG$101,Налоги!$F$25:$F$101,$F525,Налоги!$AB$25:$AB$101,$G525)</f>
        <v>0</v>
      </c>
      <c r="AH525" s="1114">
        <f>AG525-AF525</f>
        <v>0</v>
      </c>
      <c r="AI525" s="1114">
        <f>_xlfn.SUMIFS(Налоги!AH$25:AH$101,Налоги!$F$25:$F$101,$F525,Налоги!$AB$25:$AB$101,$G525)</f>
        <v>0</v>
      </c>
      <c r="AJ525" s="1114">
        <f>_xlfn.SUMIFS(Налоги!AI$25:AI$101,Налоги!$F$25:$F$101,$F525,Налоги!$AB$25:$AB$101,$G525)</f>
        <v>0</v>
      </c>
      <c r="AK525" s="1114">
        <f>_xlfn.SUMIFS(Налоги!AJ$25:AJ$101,Налоги!$F$25:$F$101,$F525,Налоги!$AB$25:$AB$101,$G525)</f>
        <v>0</v>
      </c>
      <c r="AL525" s="1114">
        <f>_xlfn.SUMIFS(Налоги!AK$25:AK$101,Налоги!$F$25:$F$101,$F525,Налоги!$AB$25:$AB$101,$G525)</f>
        <v>0</v>
      </c>
      <c r="AM525" s="1114">
        <f>_xlfn.SUMIFS(Налоги!AL$25:AL$101,Налоги!$F$25:$F$101,$F525,Налоги!$AB$25:$AB$101,$G525)</f>
        <v>0</v>
      </c>
      <c r="AN525" s="1114">
        <f>_xlfn.SUMIFS(Налоги!AM$25:AM$101,Налоги!$F$25:$F$101,$F525,Налоги!$AB$25:$AB$101,$G525)</f>
        <v>0</v>
      </c>
      <c r="AO525" s="1114">
        <f>_xlfn.SUMIFS(Налоги!AN$25:AN$101,Налоги!$F$25:$F$101,$F525,Налоги!$AB$25:$AB$101,$G525)</f>
        <v>0</v>
      </c>
      <c r="AP525" s="1114">
        <f>_xlfn.SUMIFS(Налоги!AO$25:AO$101,Налоги!$F$25:$F$101,$F525,Налоги!$AB$25:$AB$101,$G525)</f>
        <v>0</v>
      </c>
      <c r="AQ525" s="1114">
        <f>_xlfn.SUMIFS(Налоги!AP$25:AP$101,Налоги!$F$25:$F$101,$F525,Налоги!$AB$25:$AB$101,$G525)</f>
        <v>0</v>
      </c>
      <c r="AR525" s="1114">
        <f>_xlfn.SUMIFS(Налоги!AQ$25:AQ$101,Налоги!$F$25:$F$101,$F525,Налоги!$AB$25:$AB$101,$G525)</f>
        <v>0</v>
      </c>
      <c r="AS525" s="1114">
        <f>_xlfn.SUMIFS(Налоги!AR$25:AR$101,Налоги!$F$25:$F$101,$F525,Налоги!$AB$25:$AB$101,$G525)</f>
        <v>0</v>
      </c>
      <c r="AT525" s="1114">
        <f>_xlfn.SUMIFS(Налоги!AS$25:AS$101,Налоги!$F$25:$F$101,$F525,Налоги!$AB$25:$AB$101,$G525)</f>
        <v>0</v>
      </c>
      <c r="AU525" s="1114">
        <f>_xlfn.SUMIFS(Налоги!AT$25:AT$101,Налоги!$F$25:$F$101,$F525,Налоги!$AB$25:$AB$101,$G525)</f>
        <v>0</v>
      </c>
      <c r="AV525" s="1114">
        <f>_xlfn.SUMIFS(Налоги!AU$25:AU$101,Налоги!$F$25:$F$101,$F525,Налоги!$AB$25:$AB$101,$G525)</f>
        <v>0</v>
      </c>
      <c r="AW525" s="1114">
        <f>_xlfn.SUMIFS(Налоги!AV$25:AV$101,Налоги!$F$25:$F$101,$F525,Налоги!$AB$25:$AB$101,$G525)</f>
        <v>0</v>
      </c>
      <c r="AX525" s="1114">
        <f>_xlfn.SUMIFS(Налоги!AW$25:AW$101,Налоги!$F$25:$F$101,$F525,Налоги!$AB$25:$AB$101,$G525)</f>
        <v>0</v>
      </c>
      <c r="AY525" s="1114">
        <f>_xlfn.SUMIFS(Налоги!AX$25:AX$101,Налоги!$F$25:$F$101,$F525,Налоги!$AB$25:$AB$101,$G525)</f>
        <v>0</v>
      </c>
      <c r="AZ525" s="1114">
        <f>_xlfn.SUMIFS(Налоги!AY$25:AY$101,Налоги!$F$25:$F$101,$F525,Налоги!$AB$25:$AB$101,$G525)</f>
        <v>0</v>
      </c>
      <c r="BA525" s="1114">
        <f>_xlfn.SUMIFS(Налоги!AZ$25:AZ$101,Налоги!$F$25:$F$101,$F525,Налоги!$AB$25:$AB$101,$G525)</f>
        <v>0</v>
      </c>
      <c r="BB525" s="1114">
        <f>_xlfn.SUMIFS(Налоги!BA$25:BA$101,Налоги!$F$25:$F$101,$F525,Налоги!$AB$25:$AB$101,$G525)</f>
        <v>0</v>
      </c>
      <c r="BC525" s="1114">
        <f>_xlfn.SUMIFS(Налоги!BB$25:BB$101,Налоги!$F$25:$F$101,$F525,Налоги!$AB$25:$AB$101,$G525)</f>
        <v>0</v>
      </c>
      <c r="BD525" s="1114">
        <f>IF(AI525=0,0,(AT525-AI525)/AI525*100)</f>
        <v>0</v>
      </c>
      <c r="BE525" s="1114">
        <f>IF(AT525=0,0,(AU525-AT525)/AT525*100)</f>
        <v>0</v>
      </c>
      <c r="BF525" s="1114">
        <f>IF(AU525=0,0,(AV525-AU525)/AU525*100)</f>
        <v>0</v>
      </c>
      <c r="BG525" s="1114">
        <f>IF(AV525=0,0,(AW525-AV525)/AV525*100)</f>
        <v>0</v>
      </c>
      <c r="BH525" s="1114">
        <f>IF(AW525=0,0,(AX525-AW525)/AW525*100)</f>
        <v>0</v>
      </c>
      <c r="BI525" s="1114">
        <f>IF(AX525=0,0,(AY525-AX525)/AX525*100)</f>
        <v>0</v>
      </c>
      <c r="BJ525" s="1114">
        <f>IF(AY525=0,0,(AZ525-AY525)/AY525*100)</f>
        <v>0</v>
      </c>
      <c r="BK525" s="1114">
        <f>IF(AZ525=0,0,(BA525-AZ525)/AZ525*100)</f>
        <v>0</v>
      </c>
      <c r="BL525" s="1114">
        <f>IF(BA525=0,0,(BB525-BA525)/BA525*100)</f>
        <v>0</v>
      </c>
      <c r="BM525" s="1114">
        <f>IF(BB525=0,0,(BC525-BB525)/BB525*100)</f>
        <v>0</v>
      </c>
      <c r="BN525" s="7433"/>
      <c r="BO525" s="7437" t="str">
        <f>IF(_xlfn.IFERROR(INDEX(Налоги!$K$26:$L$101,MATCH($F525&amp;"7komm",Налоги!$K$26:$K$101,0),2),"")=0,"",_xlfn.IFERROR(INDEX(Налоги!$K$26:$L$101,MATCH($F525&amp;"7komm",Налоги!$K$26:$K$101,0),2),""))</f>
        <v/>
      </c>
      <c r="BP525" s="7433"/>
      <c r="BQ525" s="1278"/>
      <c r="BR525" s="1278"/>
      <c r="BS525" s="1064" t="s">
        <v>2770</v>
      </c>
      <c r="BT525" s="1064"/>
      <c r="BU525" s="1064"/>
      <c r="BV525" s="979"/>
      <c r="BW525" s="979"/>
    </row>
    <row s="1834" customFormat="1" customHeight="1" ht="96.75">
      <c r="A526" s="1278"/>
      <c r="B526" s="978"/>
      <c r="C526" s="107"/>
      <c r="D526" s="107"/>
      <c r="E526" s="621">
        <v>15</v>
      </c>
      <c r="F526" s="50" cm="1" t="str">
        <f t="array" ref="F526:F526">OFFSET(E526,-1,1)</f>
        <v>3</v>
      </c>
      <c r="G526" s="922">
        <v>6</v>
      </c>
      <c r="H526" s="107"/>
      <c r="I526" s="107" t="s">
        <v>2771</v>
      </c>
      <c r="J526" s="107"/>
      <c r="K526" s="107" t="s">
        <v>2771</v>
      </c>
      <c r="L526" s="980"/>
      <c r="M526" s="107"/>
      <c r="N526" s="107"/>
      <c r="O526" s="107"/>
      <c r="P526" s="107"/>
      <c r="Q526" s="107"/>
      <c r="R526" s="107"/>
      <c r="S526" s="107"/>
      <c r="T526" s="465" cm="1" t="str">
        <f t="array" ref="T526:T526">T525</f>
        <v>true</v>
      </c>
      <c r="U526" s="107"/>
      <c r="V526" s="107"/>
      <c r="W526" s="107"/>
      <c r="X526" s="1596"/>
      <c r="Y526" s="1278"/>
      <c r="Z526" s="1546"/>
      <c r="AA526" s="1278"/>
      <c r="AB526" s="300" t="s">
        <v>2225</v>
      </c>
      <c r="AC526" s="765" t="s">
        <v>2772</v>
      </c>
      <c r="AD526" s="300" t="s">
        <v>1514</v>
      </c>
      <c r="AE526" s="1114">
        <f>_xlfn.SUMIFS(Налоги!AE$25:AE$101,Налоги!$F$25:$F$101,$F526,Налоги!$AB$25:$AB$101,$G526)</f>
        <v>0</v>
      </c>
      <c r="AF526" s="1114">
        <f>_xlfn.SUMIFS(Налоги!AF$25:AF$101,Налоги!$F$25:$F$101,$F526,Налоги!$AB$25:$AB$101,$G526)</f>
        <v>0</v>
      </c>
      <c r="AG526" s="1114">
        <f>_xlfn.SUMIFS(Налоги!AG$25:AG$101,Налоги!$F$25:$F$101,$F526,Налоги!$AB$25:$AB$101,$G526)</f>
        <v>0</v>
      </c>
      <c r="AH526" s="1114">
        <f>AG526-AF526</f>
        <v>0</v>
      </c>
      <c r="AI526" s="1114">
        <f>_xlfn.SUMIFS(Налоги!AH$25:AH$101,Налоги!$F$25:$F$101,$F526,Налоги!$AB$25:$AB$101,$G526)</f>
        <v>0</v>
      </c>
      <c r="AJ526" s="1114">
        <f>_xlfn.SUMIFS(Налоги!AI$25:AI$101,Налоги!$F$25:$F$101,$F526,Налоги!$AB$25:$AB$101,$G526)</f>
        <v>114.807</v>
      </c>
      <c r="AK526" s="1114">
        <f>_xlfn.SUMIFS(Налоги!AJ$25:AJ$101,Налоги!$F$25:$F$101,$F526,Налоги!$AB$25:$AB$101,$G526)</f>
        <v>98.047</v>
      </c>
      <c r="AL526" s="1114">
        <f>_xlfn.SUMIFS(Налоги!AK$25:AK$101,Налоги!$F$25:$F$101,$F526,Налоги!$AB$25:$AB$101,$G526)</f>
        <v>83.737</v>
      </c>
      <c r="AM526" s="1114">
        <f>_xlfn.SUMIFS(Налоги!AL$25:AL$101,Налоги!$F$25:$F$101,$F526,Налоги!$AB$25:$AB$101,$G526)</f>
        <v>145.154</v>
      </c>
      <c r="AN526" s="1114">
        <f>_xlfn.SUMIFS(Налоги!AM$25:AM$101,Налоги!$F$25:$F$101,$F526,Налоги!$AB$25:$AB$101,$G526)</f>
        <v>125.613</v>
      </c>
      <c r="AO526" s="1114">
        <f>_xlfn.SUMIFS(Налоги!AN$25:AN$101,Налоги!$F$25:$F$101,$F526,Налоги!$AB$25:$AB$101,$G526)</f>
        <v>0</v>
      </c>
      <c r="AP526" s="1114">
        <f>_xlfn.SUMIFS(Налоги!AO$25:AO$101,Налоги!$F$25:$F$101,$F526,Налоги!$AB$25:$AB$101,$G526)</f>
        <v>0</v>
      </c>
      <c r="AQ526" s="1114">
        <f>_xlfn.SUMIFS(Налоги!AP$25:AP$101,Налоги!$F$25:$F$101,$F526,Налоги!$AB$25:$AB$101,$G526)</f>
        <v>0</v>
      </c>
      <c r="AR526" s="1114">
        <f>_xlfn.SUMIFS(Налоги!AQ$25:AQ$101,Налоги!$F$25:$F$101,$F526,Налоги!$AB$25:$AB$101,$G526)</f>
        <v>0</v>
      </c>
      <c r="AS526" s="1114">
        <f>_xlfn.SUMIFS(Налоги!AR$25:AR$101,Налоги!$F$25:$F$101,$F526,Налоги!$AB$25:$AB$101,$G526)</f>
        <v>0</v>
      </c>
      <c r="AT526" s="1114">
        <f>_xlfn.SUMIFS(Налоги!AS$25:AS$101,Налоги!$F$25:$F$101,$F526,Налоги!$AB$25:$AB$101,$G526)</f>
        <v>114.808</v>
      </c>
      <c r="AU526" s="1114">
        <f>_xlfn.SUMIFS(Налоги!AT$25:AT$101,Налоги!$F$25:$F$101,$F526,Налоги!$AB$25:$AB$101,$G526)</f>
        <v>98.0505</v>
      </c>
      <c r="AV526" s="1114">
        <f>_xlfn.SUMIFS(Налоги!AU$25:AU$101,Налоги!$F$25:$F$101,$F526,Налоги!$AB$25:$AB$101,$G526)</f>
        <v>83.74</v>
      </c>
      <c r="AW526" s="1114">
        <f>_xlfn.SUMIFS(Налоги!AV$25:AV$101,Налоги!$F$25:$F$101,$F526,Налоги!$AB$25:$AB$101,$G526)</f>
        <v>145.154</v>
      </c>
      <c r="AX526" s="1114">
        <f>_xlfn.SUMIFS(Налоги!AW$25:AW$101,Налоги!$F$25:$F$101,$F526,Налоги!$AB$25:$AB$101,$G526)</f>
        <v>125.613</v>
      </c>
      <c r="AY526" s="1114">
        <f>_xlfn.SUMIFS(Налоги!AX$25:AX$101,Налоги!$F$25:$F$101,$F526,Налоги!$AB$25:$AB$101,$G526)</f>
        <v>0</v>
      </c>
      <c r="AZ526" s="1114">
        <f>_xlfn.SUMIFS(Налоги!AY$25:AY$101,Налоги!$F$25:$F$101,$F526,Налоги!$AB$25:$AB$101,$G526)</f>
        <v>0</v>
      </c>
      <c r="BA526" s="1114">
        <f>_xlfn.SUMIFS(Налоги!AZ$25:AZ$101,Налоги!$F$25:$F$101,$F526,Налоги!$AB$25:$AB$101,$G526)</f>
        <v>0</v>
      </c>
      <c r="BB526" s="1114">
        <f>_xlfn.SUMIFS(Налоги!BA$25:BA$101,Налоги!$F$25:$F$101,$F526,Налоги!$AB$25:$AB$101,$G526)</f>
        <v>0</v>
      </c>
      <c r="BC526" s="1114">
        <f>_xlfn.SUMIFS(Налоги!BB$25:BB$101,Налоги!$F$25:$F$101,$F526,Налоги!$AB$25:$AB$101,$G526)</f>
        <v>0</v>
      </c>
      <c r="BD526" s="1114">
        <f>IF(AI526=0,0,(AT526-AI526)/AI526*100)</f>
        <v>0</v>
      </c>
      <c r="BE526" s="1114">
        <f>IF(AT526=0,0,(AU526-AT526)/AT526*100)</f>
        <v>-14.5961082851369</v>
      </c>
      <c r="BF526" s="1114">
        <f>IF(AU526=0,0,(AV526-AU526)/AU526*100)</f>
        <v>-14.5950301120341</v>
      </c>
      <c r="BG526" s="1114">
        <f>IF(AV526=0,0,(AW526-AV526)/AV526*100)</f>
        <v>73.3389061380463</v>
      </c>
      <c r="BH526" s="1114">
        <f>IF(AW526=0,0,(AX526-AW526)/AW526*100)</f>
        <v>-13.4622538820839</v>
      </c>
      <c r="BI526" s="1114">
        <f>IF(AX526=0,0,(AY526-AX526)/AX526*100)</f>
        <v>-100</v>
      </c>
      <c r="BJ526" s="1114">
        <f>IF(AY526=0,0,(AZ526-AY526)/AY526*100)</f>
        <v>0</v>
      </c>
      <c r="BK526" s="1114">
        <f>IF(AZ526=0,0,(BA526-AZ526)/AZ526*100)</f>
        <v>0</v>
      </c>
      <c r="BL526" s="1114">
        <f>IF(BA526=0,0,(BB526-BA526)/BA526*100)</f>
        <v>0</v>
      </c>
      <c r="BM526" s="1114">
        <f>IF(BB526=0,0,(BC526-BB526)/BB526*100)</f>
        <v>0</v>
      </c>
      <c r="BN526" s="7433"/>
      <c r="BO526" s="7437" t="str">
        <f>IF(_xlfn.IFERROR(INDEX(Налоги!$K$26:$L$101,MATCH($F526&amp;"6komm",Налоги!$K$26:$K$101,0),2),"")=0,"",_xlfn.IFERROR(INDEX(Налоги!$K$26:$L$101,MATCH($F526&amp;"6komm",Налоги!$K$26:$K$101,0),2),""))</f>
        <v>в соответствии с п.1 ст.308 Налогового кодекса РФ от 05.08.2000 № 117-ФЗ, с учетом уменьшения суммы налога на 50% на 2024-2028 годы в соответствии с Законом от 24.11.2033 № 107-ОЗ "О внесении изменения в статью 4 Закона Кемеровской области-кузбасса "О налоге на имущество организаций". Налог рассчитан по остаточной стоимости, данные получены из материалов, представленных организацией при получении долгосрочных параметров регулирования.</v>
      </c>
      <c r="BP526" s="7433"/>
      <c r="BQ526" s="1278"/>
      <c r="BR526" s="1278"/>
      <c r="BS526" s="1064" t="s">
        <v>2773</v>
      </c>
      <c r="BT526" s="1064"/>
      <c r="BU526" s="1064"/>
      <c r="BV526" s="979"/>
      <c r="BW526" s="979"/>
    </row>
    <row s="1834" customFormat="1" customHeight="1" ht="0">
      <c r="A527" s="1278"/>
      <c r="B527" s="978"/>
      <c r="C527" s="107"/>
      <c r="D527" s="107"/>
      <c r="E527" s="621">
        <v>15</v>
      </c>
      <c r="F527" s="50" cm="1" t="str">
        <f t="array" ref="F527:F527">OFFSET(E527,-1,1)</f>
        <v>3</v>
      </c>
      <c r="G527" s="922">
        <v>2</v>
      </c>
      <c r="H527" s="107"/>
      <c r="I527" s="107" t="s">
        <v>2774</v>
      </c>
      <c r="J527" s="107"/>
      <c r="K527" s="107" t="s">
        <v>2774</v>
      </c>
      <c r="L527" s="980"/>
      <c r="M527" s="107"/>
      <c r="N527" s="107"/>
      <c r="O527" s="107"/>
      <c r="P527" s="107"/>
      <c r="Q527" s="107"/>
      <c r="R527" s="107"/>
      <c r="S527" s="107"/>
      <c r="T527" s="465" cm="1" t="str">
        <f t="array" ref="T527:T527">T526</f>
        <v>true</v>
      </c>
      <c r="U527" s="107"/>
      <c r="V527" s="107"/>
      <c r="W527" s="107"/>
      <c r="X527" s="1596"/>
      <c r="Y527" s="1278"/>
      <c r="Z527" s="1546"/>
      <c r="AA527" s="1278"/>
      <c r="AB527" s="300" t="s">
        <v>2230</v>
      </c>
      <c r="AC527" s="765" t="s">
        <v>2775</v>
      </c>
      <c r="AD527" s="300" t="s">
        <v>1514</v>
      </c>
      <c r="AE527" s="1114">
        <f>_xlfn.SUMIFS(Налоги!AE$25:AE$101,Налоги!$F$25:$F$101,$F527,Налоги!$AB$25:$AB$101,$G527)</f>
        <v>0</v>
      </c>
      <c r="AF527" s="1114">
        <f>_xlfn.SUMIFS(Налоги!AF$25:AF$101,Налоги!$F$25:$F$101,$F527,Налоги!$AB$25:$AB$101,$G527)</f>
        <v>0</v>
      </c>
      <c r="AG527" s="1114">
        <f>_xlfn.SUMIFS(Налоги!AG$25:AG$101,Налоги!$F$25:$F$101,$F527,Налоги!$AB$25:$AB$101,$G527)</f>
        <v>0</v>
      </c>
      <c r="AH527" s="1114">
        <f>AG527-AF527</f>
        <v>0</v>
      </c>
      <c r="AI527" s="1114">
        <f>_xlfn.SUMIFS(Налоги!AH$25:AH$101,Налоги!$F$25:$F$101,$F527,Налоги!$AB$25:$AB$101,$G527)</f>
        <v>0</v>
      </c>
      <c r="AJ527" s="1114">
        <f>_xlfn.SUMIFS(Налоги!AI$25:AI$101,Налоги!$F$25:$F$101,$F527,Налоги!$AB$25:$AB$101,$G527)</f>
        <v>0</v>
      </c>
      <c r="AK527" s="1114">
        <f>_xlfn.SUMIFS(Налоги!AJ$25:AJ$101,Налоги!$F$25:$F$101,$F527,Налоги!$AB$25:$AB$101,$G527)</f>
        <v>0</v>
      </c>
      <c r="AL527" s="1114">
        <f>_xlfn.SUMIFS(Налоги!AK$25:AK$101,Налоги!$F$25:$F$101,$F527,Налоги!$AB$25:$AB$101,$G527)</f>
        <v>0</v>
      </c>
      <c r="AM527" s="1114">
        <f>_xlfn.SUMIFS(Налоги!AL$25:AL$101,Налоги!$F$25:$F$101,$F527,Налоги!$AB$25:$AB$101,$G527)</f>
        <v>0</v>
      </c>
      <c r="AN527" s="1114">
        <f>_xlfn.SUMIFS(Налоги!AM$25:AM$101,Налоги!$F$25:$F$101,$F527,Налоги!$AB$25:$AB$101,$G527)</f>
        <v>0</v>
      </c>
      <c r="AO527" s="1114">
        <f>_xlfn.SUMIFS(Налоги!AN$25:AN$101,Налоги!$F$25:$F$101,$F527,Налоги!$AB$25:$AB$101,$G527)</f>
        <v>0</v>
      </c>
      <c r="AP527" s="1114">
        <f>_xlfn.SUMIFS(Налоги!AO$25:AO$101,Налоги!$F$25:$F$101,$F527,Налоги!$AB$25:$AB$101,$G527)</f>
        <v>0</v>
      </c>
      <c r="AQ527" s="1114">
        <f>_xlfn.SUMIFS(Налоги!AP$25:AP$101,Налоги!$F$25:$F$101,$F527,Налоги!$AB$25:$AB$101,$G527)</f>
        <v>0</v>
      </c>
      <c r="AR527" s="1114">
        <f>_xlfn.SUMIFS(Налоги!AQ$25:AQ$101,Налоги!$F$25:$F$101,$F527,Налоги!$AB$25:$AB$101,$G527)</f>
        <v>0</v>
      </c>
      <c r="AS527" s="1114">
        <f>_xlfn.SUMIFS(Налоги!AR$25:AR$101,Налоги!$F$25:$F$101,$F527,Налоги!$AB$25:$AB$101,$G527)</f>
        <v>0</v>
      </c>
      <c r="AT527" s="1114">
        <f>_xlfn.SUMIFS(Налоги!AS$25:AS$101,Налоги!$F$25:$F$101,$F527,Налоги!$AB$25:$AB$101,$G527)</f>
        <v>0</v>
      </c>
      <c r="AU527" s="1114">
        <f>_xlfn.SUMIFS(Налоги!AT$25:AT$101,Налоги!$F$25:$F$101,$F527,Налоги!$AB$25:$AB$101,$G527)</f>
        <v>0</v>
      </c>
      <c r="AV527" s="1114">
        <f>_xlfn.SUMIFS(Налоги!AU$25:AU$101,Налоги!$F$25:$F$101,$F527,Налоги!$AB$25:$AB$101,$G527)</f>
        <v>0</v>
      </c>
      <c r="AW527" s="1114">
        <f>_xlfn.SUMIFS(Налоги!AV$25:AV$101,Налоги!$F$25:$F$101,$F527,Налоги!$AB$25:$AB$101,$G527)</f>
        <v>0</v>
      </c>
      <c r="AX527" s="1114">
        <f>_xlfn.SUMIFS(Налоги!AW$25:AW$101,Налоги!$F$25:$F$101,$F527,Налоги!$AB$25:$AB$101,$G527)</f>
        <v>0</v>
      </c>
      <c r="AY527" s="1114">
        <f>_xlfn.SUMIFS(Налоги!AX$25:AX$101,Налоги!$F$25:$F$101,$F527,Налоги!$AB$25:$AB$101,$G527)</f>
        <v>0</v>
      </c>
      <c r="AZ527" s="1114">
        <f>_xlfn.SUMIFS(Налоги!AY$25:AY$101,Налоги!$F$25:$F$101,$F527,Налоги!$AB$25:$AB$101,$G527)</f>
        <v>0</v>
      </c>
      <c r="BA527" s="1114">
        <f>_xlfn.SUMIFS(Налоги!AZ$25:AZ$101,Налоги!$F$25:$F$101,$F527,Налоги!$AB$25:$AB$101,$G527)</f>
        <v>0</v>
      </c>
      <c r="BB527" s="1114">
        <f>_xlfn.SUMIFS(Налоги!BA$25:BA$101,Налоги!$F$25:$F$101,$F527,Налоги!$AB$25:$AB$101,$G527)</f>
        <v>0</v>
      </c>
      <c r="BC527" s="1114">
        <f>_xlfn.SUMIFS(Налоги!BB$25:BB$101,Налоги!$F$25:$F$101,$F527,Налоги!$AB$25:$AB$101,$G527)</f>
        <v>0</v>
      </c>
      <c r="BD527" s="1114">
        <f>IF(AI527=0,0,(AT527-AI527)/AI527*100)</f>
        <v>0</v>
      </c>
      <c r="BE527" s="1114">
        <f>IF(AT527=0,0,(AU527-AT527)/AT527*100)</f>
        <v>0</v>
      </c>
      <c r="BF527" s="1114">
        <f>IF(AU527=0,0,(AV527-AU527)/AU527*100)</f>
        <v>0</v>
      </c>
      <c r="BG527" s="1114">
        <f>IF(AV527=0,0,(AW527-AV527)/AV527*100)</f>
        <v>0</v>
      </c>
      <c r="BH527" s="1114">
        <f>IF(AW527=0,0,(AX527-AW527)/AW527*100)</f>
        <v>0</v>
      </c>
      <c r="BI527" s="1114">
        <f>IF(AX527=0,0,(AY527-AX527)/AX527*100)</f>
        <v>0</v>
      </c>
      <c r="BJ527" s="1114">
        <f>IF(AY527=0,0,(AZ527-AY527)/AY527*100)</f>
        <v>0</v>
      </c>
      <c r="BK527" s="1114">
        <f>IF(AZ527=0,0,(BA527-AZ527)/AZ527*100)</f>
        <v>0</v>
      </c>
      <c r="BL527" s="1114">
        <f>IF(BA527=0,0,(BB527-BA527)/BA527*100)</f>
        <v>0</v>
      </c>
      <c r="BM527" s="1114">
        <f>IF(BB527=0,0,(BC527-BB527)/BB527*100)</f>
        <v>0</v>
      </c>
      <c r="BN527" s="7433"/>
      <c r="BO527" s="7437" t="str">
        <f>IF(_xlfn.IFERROR(INDEX(Налоги!$K$26:$L$101,MATCH($F527&amp;"2komm",Налоги!$K$26:$K$101,0),2),"")=0,"",_xlfn.IFERROR(INDEX(Налоги!$K$26:$L$101,MATCH($F527&amp;"2komm",Налоги!$K$26:$K$101,0),2),""))</f>
        <v/>
      </c>
      <c r="BP527" s="7433"/>
      <c r="BQ527" s="1278"/>
      <c r="BR527" s="1278"/>
      <c r="BS527" s="1064" t="s">
        <v>2776</v>
      </c>
      <c r="BT527" s="1064"/>
      <c r="BU527" s="1064"/>
      <c r="BV527" s="979"/>
      <c r="BW527" s="979"/>
    </row>
    <row s="1834" customFormat="1" customHeight="1" ht="0">
      <c r="A528" s="1278"/>
      <c r="B528" s="978"/>
      <c r="C528" s="107"/>
      <c r="D528" s="107"/>
      <c r="E528" s="621">
        <v>15</v>
      </c>
      <c r="F528" s="50" cm="1" t="str">
        <f t="array" ref="F528:F528">OFFSET(E528,-1,1)</f>
        <v>3</v>
      </c>
      <c r="G528" s="922">
        <v>4</v>
      </c>
      <c r="H528" s="107"/>
      <c r="I528" s="107" t="s">
        <v>2777</v>
      </c>
      <c r="J528" s="107"/>
      <c r="K528" s="107" t="s">
        <v>2777</v>
      </c>
      <c r="L528" s="980"/>
      <c r="M528" s="107"/>
      <c r="N528" s="107"/>
      <c r="O528" s="107"/>
      <c r="P528" s="107"/>
      <c r="Q528" s="107"/>
      <c r="R528" s="107"/>
      <c r="S528" s="107"/>
      <c r="T528" s="465" cm="1" t="str">
        <f t="array" ref="T528:T528">T527</f>
        <v>true</v>
      </c>
      <c r="U528" s="107"/>
      <c r="V528" s="107"/>
      <c r="W528" s="107"/>
      <c r="X528" s="1596"/>
      <c r="Y528" s="1278"/>
      <c r="Z528" s="1546"/>
      <c r="AA528" s="1278"/>
      <c r="AB528" s="300" t="s">
        <v>2778</v>
      </c>
      <c r="AC528" s="765" t="s">
        <v>2779</v>
      </c>
      <c r="AD528" s="300" t="s">
        <v>1514</v>
      </c>
      <c r="AE528" s="1114">
        <f>_xlfn.SUMIFS(Налоги!AE$25:AE$101,Налоги!$F$25:$F$101,$F528,Налоги!$AB$25:$AB$101,$G528)</f>
        <v>0</v>
      </c>
      <c r="AF528" s="1114">
        <f>_xlfn.SUMIFS(Налоги!AF$25:AF$101,Налоги!$F$25:$F$101,$F528,Налоги!$AB$25:$AB$101,$G528)</f>
        <v>0</v>
      </c>
      <c r="AG528" s="1114">
        <f>_xlfn.SUMIFS(Налоги!AG$25:AG$101,Налоги!$F$25:$F$101,$F528,Налоги!$AB$25:$AB$101,$G528)</f>
        <v>0</v>
      </c>
      <c r="AH528" s="1114">
        <f>AG528-AF528</f>
        <v>0</v>
      </c>
      <c r="AI528" s="1114">
        <f>_xlfn.SUMIFS(Налоги!AH$25:AH$101,Налоги!$F$25:$F$101,$F528,Налоги!$AB$25:$AB$101,$G528)</f>
        <v>0</v>
      </c>
      <c r="AJ528" s="1114">
        <f>_xlfn.SUMIFS(Налоги!AI$25:AI$101,Налоги!$F$25:$F$101,$F528,Налоги!$AB$25:$AB$101,$G528)</f>
        <v>0</v>
      </c>
      <c r="AK528" s="1114">
        <f>_xlfn.SUMIFS(Налоги!AJ$25:AJ$101,Налоги!$F$25:$F$101,$F528,Налоги!$AB$25:$AB$101,$G528)</f>
        <v>0</v>
      </c>
      <c r="AL528" s="1114">
        <f>_xlfn.SUMIFS(Налоги!AK$25:AK$101,Налоги!$F$25:$F$101,$F528,Налоги!$AB$25:$AB$101,$G528)</f>
        <v>0</v>
      </c>
      <c r="AM528" s="1114">
        <f>_xlfn.SUMIFS(Налоги!AL$25:AL$101,Налоги!$F$25:$F$101,$F528,Налоги!$AB$25:$AB$101,$G528)</f>
        <v>0</v>
      </c>
      <c r="AN528" s="1114">
        <f>_xlfn.SUMIFS(Налоги!AM$25:AM$101,Налоги!$F$25:$F$101,$F528,Налоги!$AB$25:$AB$101,$G528)</f>
        <v>0</v>
      </c>
      <c r="AO528" s="1114">
        <f>_xlfn.SUMIFS(Налоги!AN$25:AN$101,Налоги!$F$25:$F$101,$F528,Налоги!$AB$25:$AB$101,$G528)</f>
        <v>0</v>
      </c>
      <c r="AP528" s="1114">
        <f>_xlfn.SUMIFS(Налоги!AO$25:AO$101,Налоги!$F$25:$F$101,$F528,Налоги!$AB$25:$AB$101,$G528)</f>
        <v>0</v>
      </c>
      <c r="AQ528" s="1114">
        <f>_xlfn.SUMIFS(Налоги!AP$25:AP$101,Налоги!$F$25:$F$101,$F528,Налоги!$AB$25:$AB$101,$G528)</f>
        <v>0</v>
      </c>
      <c r="AR528" s="1114">
        <f>_xlfn.SUMIFS(Налоги!AQ$25:AQ$101,Налоги!$F$25:$F$101,$F528,Налоги!$AB$25:$AB$101,$G528)</f>
        <v>0</v>
      </c>
      <c r="AS528" s="1114">
        <f>_xlfn.SUMIFS(Налоги!AR$25:AR$101,Налоги!$F$25:$F$101,$F528,Налоги!$AB$25:$AB$101,$G528)</f>
        <v>0</v>
      </c>
      <c r="AT528" s="1114">
        <f>_xlfn.SUMIFS(Налоги!AS$25:AS$101,Налоги!$F$25:$F$101,$F528,Налоги!$AB$25:$AB$101,$G528)</f>
        <v>0</v>
      </c>
      <c r="AU528" s="1114">
        <f>_xlfn.SUMIFS(Налоги!AT$25:AT$101,Налоги!$F$25:$F$101,$F528,Налоги!$AB$25:$AB$101,$G528)</f>
        <v>0</v>
      </c>
      <c r="AV528" s="1114">
        <f>_xlfn.SUMIFS(Налоги!AU$25:AU$101,Налоги!$F$25:$F$101,$F528,Налоги!$AB$25:$AB$101,$G528)</f>
        <v>0</v>
      </c>
      <c r="AW528" s="1114">
        <f>_xlfn.SUMIFS(Налоги!AV$25:AV$101,Налоги!$F$25:$F$101,$F528,Налоги!$AB$25:$AB$101,$G528)</f>
        <v>0</v>
      </c>
      <c r="AX528" s="1114">
        <f>_xlfn.SUMIFS(Налоги!AW$25:AW$101,Налоги!$F$25:$F$101,$F528,Налоги!$AB$25:$AB$101,$G528)</f>
        <v>0</v>
      </c>
      <c r="AY528" s="1114">
        <f>_xlfn.SUMIFS(Налоги!AX$25:AX$101,Налоги!$F$25:$F$101,$F528,Налоги!$AB$25:$AB$101,$G528)</f>
        <v>0</v>
      </c>
      <c r="AZ528" s="1114">
        <f>_xlfn.SUMIFS(Налоги!AY$25:AY$101,Налоги!$F$25:$F$101,$F528,Налоги!$AB$25:$AB$101,$G528)</f>
        <v>0</v>
      </c>
      <c r="BA528" s="1114">
        <f>_xlfn.SUMIFS(Налоги!AZ$25:AZ$101,Налоги!$F$25:$F$101,$F528,Налоги!$AB$25:$AB$101,$G528)</f>
        <v>0</v>
      </c>
      <c r="BB528" s="1114">
        <f>_xlfn.SUMIFS(Налоги!BA$25:BA$101,Налоги!$F$25:$F$101,$F528,Налоги!$AB$25:$AB$101,$G528)</f>
        <v>0</v>
      </c>
      <c r="BC528" s="1114">
        <f>_xlfn.SUMIFS(Налоги!BB$25:BB$101,Налоги!$F$25:$F$101,$F528,Налоги!$AB$25:$AB$101,$G528)</f>
        <v>0</v>
      </c>
      <c r="BD528" s="1114">
        <f>IF(AI528=0,0,(AT528-AI528)/AI528*100)</f>
        <v>0</v>
      </c>
      <c r="BE528" s="1114">
        <f>IF(AT528=0,0,(AU528-AT528)/AT528*100)</f>
        <v>0</v>
      </c>
      <c r="BF528" s="1114">
        <f>IF(AU528=0,0,(AV528-AU528)/AU528*100)</f>
        <v>0</v>
      </c>
      <c r="BG528" s="1114">
        <f>IF(AV528=0,0,(AW528-AV528)/AV528*100)</f>
        <v>0</v>
      </c>
      <c r="BH528" s="1114">
        <f>IF(AW528=0,0,(AX528-AW528)/AW528*100)</f>
        <v>0</v>
      </c>
      <c r="BI528" s="1114">
        <f>IF(AX528=0,0,(AY528-AX528)/AX528*100)</f>
        <v>0</v>
      </c>
      <c r="BJ528" s="1114">
        <f>IF(AY528=0,0,(AZ528-AY528)/AY528*100)</f>
        <v>0</v>
      </c>
      <c r="BK528" s="1114">
        <f>IF(AZ528=0,0,(BA528-AZ528)/AZ528*100)</f>
        <v>0</v>
      </c>
      <c r="BL528" s="1114">
        <f>IF(BA528=0,0,(BB528-BA528)/BA528*100)</f>
        <v>0</v>
      </c>
      <c r="BM528" s="1114">
        <f>IF(BB528=0,0,(BC528-BB528)/BB528*100)</f>
        <v>0</v>
      </c>
      <c r="BN528" s="7433"/>
      <c r="BO528" s="7437" t="str">
        <f>IF(_xlfn.IFERROR(INDEX(Налоги!$K$26:$L$101,MATCH($F528&amp;"4komm",Налоги!$K$26:$K$101,0),2),"")=0,"",_xlfn.IFERROR(INDEX(Налоги!$K$26:$L$101,MATCH($F528&amp;"4komm",Налоги!$K$26:$K$101,0),2),""))</f>
        <v/>
      </c>
      <c r="BP528" s="7433"/>
      <c r="BQ528" s="1278"/>
      <c r="BR528" s="1278"/>
      <c r="BS528" s="1064" t="s">
        <v>2780</v>
      </c>
      <c r="BT528" s="1064"/>
      <c r="BU528" s="1064"/>
      <c r="BV528" s="979"/>
      <c r="BW528" s="979"/>
    </row>
    <row s="1834" customFormat="1" customHeight="1" ht="0">
      <c r="A529" s="1278"/>
      <c r="B529" s="978"/>
      <c r="C529" s="107"/>
      <c r="D529" s="107"/>
      <c r="E529" s="621">
        <v>15</v>
      </c>
      <c r="F529" s="50" cm="1" t="str">
        <f t="array" ref="F529:F529">OFFSET(E529,-1,1)</f>
        <v>3</v>
      </c>
      <c r="G529" s="922">
        <v>5</v>
      </c>
      <c r="H529" s="107"/>
      <c r="I529" s="107" t="s">
        <v>2781</v>
      </c>
      <c r="J529" s="107"/>
      <c r="K529" s="107" t="s">
        <v>2781</v>
      </c>
      <c r="L529" s="980"/>
      <c r="M529" s="107"/>
      <c r="N529" s="107"/>
      <c r="O529" s="107"/>
      <c r="P529" s="107"/>
      <c r="Q529" s="107"/>
      <c r="R529" s="107"/>
      <c r="S529" s="107"/>
      <c r="T529" s="465" cm="1" t="str">
        <f t="array" ref="T529:T529">T528</f>
        <v>true</v>
      </c>
      <c r="U529" s="107"/>
      <c r="V529" s="107"/>
      <c r="W529" s="107"/>
      <c r="X529" s="1596"/>
      <c r="Y529" s="1278"/>
      <c r="Z529" s="1546"/>
      <c r="AA529" s="1278"/>
      <c r="AB529" s="300" t="s">
        <v>2782</v>
      </c>
      <c r="AC529" s="765" t="s">
        <v>2783</v>
      </c>
      <c r="AD529" s="300" t="s">
        <v>1514</v>
      </c>
      <c r="AE529" s="1114">
        <f>_xlfn.SUMIFS(Налоги!AE$25:AE$101,Налоги!$F$25:$F$101,$F529,Налоги!$AB$25:$AB$101,$G529)</f>
        <v>0</v>
      </c>
      <c r="AF529" s="1114">
        <f>_xlfn.SUMIFS(Налоги!AF$25:AF$101,Налоги!$F$25:$F$101,$F529,Налоги!$AB$25:$AB$101,$G529)</f>
        <v>0</v>
      </c>
      <c r="AG529" s="1114">
        <f>_xlfn.SUMIFS(Налоги!AG$25:AG$101,Налоги!$F$25:$F$101,$F529,Налоги!$AB$25:$AB$101,$G529)</f>
        <v>0</v>
      </c>
      <c r="AH529" s="1114">
        <f>AG529-AF529</f>
        <v>0</v>
      </c>
      <c r="AI529" s="1114">
        <f>_xlfn.SUMIFS(Налоги!AH$25:AH$101,Налоги!$F$25:$F$101,$F529,Налоги!$AB$25:$AB$101,$G529)</f>
        <v>0</v>
      </c>
      <c r="AJ529" s="1114">
        <f>_xlfn.SUMIFS(Налоги!AI$25:AI$101,Налоги!$F$25:$F$101,$F529,Налоги!$AB$25:$AB$101,$G529)</f>
        <v>0</v>
      </c>
      <c r="AK529" s="1114">
        <f>_xlfn.SUMIFS(Налоги!AJ$25:AJ$101,Налоги!$F$25:$F$101,$F529,Налоги!$AB$25:$AB$101,$G529)</f>
        <v>0</v>
      </c>
      <c r="AL529" s="1114">
        <f>_xlfn.SUMIFS(Налоги!AK$25:AK$101,Налоги!$F$25:$F$101,$F529,Налоги!$AB$25:$AB$101,$G529)</f>
        <v>0</v>
      </c>
      <c r="AM529" s="1114">
        <f>_xlfn.SUMIFS(Налоги!AL$25:AL$101,Налоги!$F$25:$F$101,$F529,Налоги!$AB$25:$AB$101,$G529)</f>
        <v>0</v>
      </c>
      <c r="AN529" s="1114">
        <f>_xlfn.SUMIFS(Налоги!AM$25:AM$101,Налоги!$F$25:$F$101,$F529,Налоги!$AB$25:$AB$101,$G529)</f>
        <v>0</v>
      </c>
      <c r="AO529" s="1114">
        <f>_xlfn.SUMIFS(Налоги!AN$25:AN$101,Налоги!$F$25:$F$101,$F529,Налоги!$AB$25:$AB$101,$G529)</f>
        <v>0</v>
      </c>
      <c r="AP529" s="1114">
        <f>_xlfn.SUMIFS(Налоги!AO$25:AO$101,Налоги!$F$25:$F$101,$F529,Налоги!$AB$25:$AB$101,$G529)</f>
        <v>0</v>
      </c>
      <c r="AQ529" s="1114">
        <f>_xlfn.SUMIFS(Налоги!AP$25:AP$101,Налоги!$F$25:$F$101,$F529,Налоги!$AB$25:$AB$101,$G529)</f>
        <v>0</v>
      </c>
      <c r="AR529" s="1114">
        <f>_xlfn.SUMIFS(Налоги!AQ$25:AQ$101,Налоги!$F$25:$F$101,$F529,Налоги!$AB$25:$AB$101,$G529)</f>
        <v>0</v>
      </c>
      <c r="AS529" s="1114">
        <f>_xlfn.SUMIFS(Налоги!AR$25:AR$101,Налоги!$F$25:$F$101,$F529,Налоги!$AB$25:$AB$101,$G529)</f>
        <v>0</v>
      </c>
      <c r="AT529" s="1114">
        <f>_xlfn.SUMIFS(Налоги!AS$25:AS$101,Налоги!$F$25:$F$101,$F529,Налоги!$AB$25:$AB$101,$G529)</f>
        <v>0</v>
      </c>
      <c r="AU529" s="1114">
        <f>_xlfn.SUMIFS(Налоги!AT$25:AT$101,Налоги!$F$25:$F$101,$F529,Налоги!$AB$25:$AB$101,$G529)</f>
        <v>0</v>
      </c>
      <c r="AV529" s="1114">
        <f>_xlfn.SUMIFS(Налоги!AU$25:AU$101,Налоги!$F$25:$F$101,$F529,Налоги!$AB$25:$AB$101,$G529)</f>
        <v>0</v>
      </c>
      <c r="AW529" s="1114">
        <f>_xlfn.SUMIFS(Налоги!AV$25:AV$101,Налоги!$F$25:$F$101,$F529,Налоги!$AB$25:$AB$101,$G529)</f>
        <v>0</v>
      </c>
      <c r="AX529" s="1114">
        <f>_xlfn.SUMIFS(Налоги!AW$25:AW$101,Налоги!$F$25:$F$101,$F529,Налоги!$AB$25:$AB$101,$G529)</f>
        <v>0</v>
      </c>
      <c r="AY529" s="1114">
        <f>_xlfn.SUMIFS(Налоги!AX$25:AX$101,Налоги!$F$25:$F$101,$F529,Налоги!$AB$25:$AB$101,$G529)</f>
        <v>0</v>
      </c>
      <c r="AZ529" s="1114">
        <f>_xlfn.SUMIFS(Налоги!AY$25:AY$101,Налоги!$F$25:$F$101,$F529,Налоги!$AB$25:$AB$101,$G529)</f>
        <v>0</v>
      </c>
      <c r="BA529" s="1114">
        <f>_xlfn.SUMIFS(Налоги!AZ$25:AZ$101,Налоги!$F$25:$F$101,$F529,Налоги!$AB$25:$AB$101,$G529)</f>
        <v>0</v>
      </c>
      <c r="BB529" s="1114">
        <f>_xlfn.SUMIFS(Налоги!BA$25:BA$101,Налоги!$F$25:$F$101,$F529,Налоги!$AB$25:$AB$101,$G529)</f>
        <v>0</v>
      </c>
      <c r="BC529" s="1114">
        <f>_xlfn.SUMIFS(Налоги!BB$25:BB$101,Налоги!$F$25:$F$101,$F529,Налоги!$AB$25:$AB$101,$G529)</f>
        <v>0</v>
      </c>
      <c r="BD529" s="1114">
        <f>IF(AI529=0,0,(AT529-AI529)/AI529*100)</f>
        <v>0</v>
      </c>
      <c r="BE529" s="1114">
        <f>IF(AT529=0,0,(AU529-AT529)/AT529*100)</f>
        <v>0</v>
      </c>
      <c r="BF529" s="1114">
        <f>IF(AU529=0,0,(AV529-AU529)/AU529*100)</f>
        <v>0</v>
      </c>
      <c r="BG529" s="1114">
        <f>IF(AV529=0,0,(AW529-AV529)/AV529*100)</f>
        <v>0</v>
      </c>
      <c r="BH529" s="1114">
        <f>IF(AW529=0,0,(AX529-AW529)/AW529*100)</f>
        <v>0</v>
      </c>
      <c r="BI529" s="1114">
        <f>IF(AX529=0,0,(AY529-AX529)/AX529*100)</f>
        <v>0</v>
      </c>
      <c r="BJ529" s="1114">
        <f>IF(AY529=0,0,(AZ529-AY529)/AY529*100)</f>
        <v>0</v>
      </c>
      <c r="BK529" s="1114">
        <f>IF(AZ529=0,0,(BA529-AZ529)/AZ529*100)</f>
        <v>0</v>
      </c>
      <c r="BL529" s="1114">
        <f>IF(BA529=0,0,(BB529-BA529)/BA529*100)</f>
        <v>0</v>
      </c>
      <c r="BM529" s="1114">
        <f>IF(BB529=0,0,(BC529-BB529)/BB529*100)</f>
        <v>0</v>
      </c>
      <c r="BN529" s="7433"/>
      <c r="BO529" s="7437" t="str">
        <f>IF(_xlfn.IFERROR(INDEX(Налоги!$K$26:$L$101,MATCH($F529&amp;"5komm",Налоги!$K$26:$K$101,0),2),"")=0,"",_xlfn.IFERROR(INDEX(Налоги!$K$26:$L$101,MATCH($F529&amp;"5komm",Налоги!$K$26:$K$101,0),2),""))</f>
        <v/>
      </c>
      <c r="BP529" s="7433"/>
      <c r="BQ529" s="1278"/>
      <c r="BR529" s="1278"/>
      <c r="BS529" s="1064" t="s">
        <v>2784</v>
      </c>
      <c r="BT529" s="1064"/>
      <c r="BU529" s="1064"/>
      <c r="BV529" s="979"/>
      <c r="BW529" s="979"/>
    </row>
    <row s="1834" customFormat="1" customHeight="1" ht="14.25">
      <c r="A530" s="1278"/>
      <c r="B530" s="978"/>
      <c r="C530" s="107"/>
      <c r="D530" s="107"/>
      <c r="E530" s="621">
        <v>15</v>
      </c>
      <c r="F530" s="50" cm="1" t="str">
        <f t="array" ref="F530:F530">OFFSET(E530,-1,1)</f>
        <v>3</v>
      </c>
      <c r="G530" s="922">
        <v>1</v>
      </c>
      <c r="H530" s="107"/>
      <c r="I530" s="107" t="s">
        <v>2785</v>
      </c>
      <c r="J530" s="107"/>
      <c r="K530" s="107" t="s">
        <v>2785</v>
      </c>
      <c r="L530" s="980"/>
      <c r="M530" s="107"/>
      <c r="N530" s="107"/>
      <c r="O530" s="107"/>
      <c r="P530" s="107"/>
      <c r="Q530" s="107"/>
      <c r="R530" s="107"/>
      <c r="S530" s="107"/>
      <c r="T530" s="465" cm="1" t="str">
        <f t="array" ref="T530:T530">T529</f>
        <v>true</v>
      </c>
      <c r="U530" s="107"/>
      <c r="V530" s="107"/>
      <c r="W530" s="107"/>
      <c r="X530" s="1596"/>
      <c r="Y530" s="1278"/>
      <c r="Z530" s="1546"/>
      <c r="AA530" s="1278"/>
      <c r="AB530" s="300" t="s">
        <v>2786</v>
      </c>
      <c r="AC530" s="765" t="s">
        <v>2787</v>
      </c>
      <c r="AD530" s="300" t="s">
        <v>1514</v>
      </c>
      <c r="AE530" s="1114">
        <f>_xlfn.SUMIFS(Налоги!AE$25:AE$101,Налоги!$F$25:$F$101,$F530,Налоги!$AB$25:$AB$101,$G530)</f>
        <v>0</v>
      </c>
      <c r="AF530" s="1114">
        <f>_xlfn.SUMIFS(Налоги!AF$25:AF$101,Налоги!$F$25:$F$101,$F530,Налоги!$AB$25:$AB$101,$G530)</f>
        <v>0</v>
      </c>
      <c r="AG530" s="1114">
        <f>_xlfn.SUMIFS(Налоги!AG$25:AG$101,Налоги!$F$25:$F$101,$F530,Налоги!$AB$25:$AB$101,$G530)</f>
        <v>0</v>
      </c>
      <c r="AH530" s="1114">
        <f>AG530-AF530</f>
        <v>0</v>
      </c>
      <c r="AI530" s="1114">
        <f>_xlfn.SUMIFS(Налоги!AH$25:AH$101,Налоги!$F$25:$F$101,$F530,Налоги!$AB$25:$AB$101,$G530)</f>
        <v>0</v>
      </c>
      <c r="AJ530" s="1114">
        <f>_xlfn.SUMIFS(Налоги!AI$25:AI$101,Налоги!$F$25:$F$101,$F530,Налоги!$AB$25:$AB$101,$G530)</f>
        <v>4.73</v>
      </c>
      <c r="AK530" s="1114">
        <f>_xlfn.SUMIFS(Налоги!AJ$25:AJ$101,Налоги!$F$25:$F$101,$F530,Налоги!$AB$25:$AB$101,$G530)</f>
        <v>4.73</v>
      </c>
      <c r="AL530" s="1114">
        <f>_xlfn.SUMIFS(Налоги!AK$25:AK$101,Налоги!$F$25:$F$101,$F530,Налоги!$AB$25:$AB$101,$G530)</f>
        <v>4.73</v>
      </c>
      <c r="AM530" s="1114">
        <f>_xlfn.SUMIFS(Налоги!AL$25:AL$101,Налоги!$F$25:$F$101,$F530,Налоги!$AB$25:$AB$101,$G530)</f>
        <v>4.73</v>
      </c>
      <c r="AN530" s="1114">
        <f>_xlfn.SUMIFS(Налоги!AM$25:AM$101,Налоги!$F$25:$F$101,$F530,Налоги!$AB$25:$AB$101,$G530)</f>
        <v>4.73</v>
      </c>
      <c r="AO530" s="1114">
        <f>_xlfn.SUMIFS(Налоги!AN$25:AN$101,Налоги!$F$25:$F$101,$F530,Налоги!$AB$25:$AB$101,$G530)</f>
        <v>0</v>
      </c>
      <c r="AP530" s="1114">
        <f>_xlfn.SUMIFS(Налоги!AO$25:AO$101,Налоги!$F$25:$F$101,$F530,Налоги!$AB$25:$AB$101,$G530)</f>
        <v>0</v>
      </c>
      <c r="AQ530" s="1114">
        <f>_xlfn.SUMIFS(Налоги!AP$25:AP$101,Налоги!$F$25:$F$101,$F530,Налоги!$AB$25:$AB$101,$G530)</f>
        <v>0</v>
      </c>
      <c r="AR530" s="1114">
        <f>_xlfn.SUMIFS(Налоги!AQ$25:AQ$101,Налоги!$F$25:$F$101,$F530,Налоги!$AB$25:$AB$101,$G530)</f>
        <v>0</v>
      </c>
      <c r="AS530" s="1114">
        <f>_xlfn.SUMIFS(Налоги!AR$25:AR$101,Налоги!$F$25:$F$101,$F530,Налоги!$AB$25:$AB$101,$G530)</f>
        <v>0</v>
      </c>
      <c r="AT530" s="1114">
        <f>_xlfn.SUMIFS(Налоги!AS$25:AS$101,Налоги!$F$25:$F$101,$F530,Налоги!$AB$25:$AB$101,$G530)</f>
        <v>4.73</v>
      </c>
      <c r="AU530" s="1114">
        <f>_xlfn.SUMIFS(Налоги!AT$25:AT$101,Налоги!$F$25:$F$101,$F530,Налоги!$AB$25:$AB$101,$G530)</f>
        <v>4.73</v>
      </c>
      <c r="AV530" s="1114">
        <f>_xlfn.SUMIFS(Налоги!AU$25:AU$101,Налоги!$F$25:$F$101,$F530,Налоги!$AB$25:$AB$101,$G530)</f>
        <v>4.73</v>
      </c>
      <c r="AW530" s="1114">
        <f>_xlfn.SUMIFS(Налоги!AV$25:AV$101,Налоги!$F$25:$F$101,$F530,Налоги!$AB$25:$AB$101,$G530)</f>
        <v>4.73</v>
      </c>
      <c r="AX530" s="1114">
        <f>_xlfn.SUMIFS(Налоги!AW$25:AW$101,Налоги!$F$25:$F$101,$F530,Налоги!$AB$25:$AB$101,$G530)</f>
        <v>4.73</v>
      </c>
      <c r="AY530" s="1114">
        <f>_xlfn.SUMIFS(Налоги!AX$25:AX$101,Налоги!$F$25:$F$101,$F530,Налоги!$AB$25:$AB$101,$G530)</f>
        <v>0</v>
      </c>
      <c r="AZ530" s="1114">
        <f>_xlfn.SUMIFS(Налоги!AY$25:AY$101,Налоги!$F$25:$F$101,$F530,Налоги!$AB$25:$AB$101,$G530)</f>
        <v>0</v>
      </c>
      <c r="BA530" s="1114">
        <f>_xlfn.SUMIFS(Налоги!AZ$25:AZ$101,Налоги!$F$25:$F$101,$F530,Налоги!$AB$25:$AB$101,$G530)</f>
        <v>0</v>
      </c>
      <c r="BB530" s="1114">
        <f>_xlfn.SUMIFS(Налоги!BA$25:BA$101,Налоги!$F$25:$F$101,$F530,Налоги!$AB$25:$AB$101,$G530)</f>
        <v>0</v>
      </c>
      <c r="BC530" s="1114">
        <f>_xlfn.SUMIFS(Налоги!BB$25:BB$101,Налоги!$F$25:$F$101,$F530,Налоги!$AB$25:$AB$101,$G530)</f>
        <v>0</v>
      </c>
      <c r="BD530" s="1114">
        <f>IF(AI530=0,0,(AT530-AI530)/AI530*100)</f>
        <v>0</v>
      </c>
      <c r="BE530" s="1114">
        <f>IF(AT530=0,0,(AU530-AT530)/AT530*100)</f>
        <v>0</v>
      </c>
      <c r="BF530" s="1114">
        <f>IF(AU530=0,0,(AV530-AU530)/AU530*100)</f>
        <v>0</v>
      </c>
      <c r="BG530" s="1114">
        <f>IF(AV530=0,0,(AW530-AV530)/AV530*100)</f>
        <v>0</v>
      </c>
      <c r="BH530" s="1114">
        <f>IF(AW530=0,0,(AX530-AW530)/AW530*100)</f>
        <v>0</v>
      </c>
      <c r="BI530" s="1114">
        <f>IF(AX530=0,0,(AY530-AX530)/AX530*100)</f>
        <v>-100</v>
      </c>
      <c r="BJ530" s="1114">
        <f>IF(AY530=0,0,(AZ530-AY530)/AY530*100)</f>
        <v>0</v>
      </c>
      <c r="BK530" s="1114">
        <f>IF(AZ530=0,0,(BA530-AZ530)/AZ530*100)</f>
        <v>0</v>
      </c>
      <c r="BL530" s="1114">
        <f>IF(BA530=0,0,(BB530-BA530)/BA530*100)</f>
        <v>0</v>
      </c>
      <c r="BM530" s="1114">
        <f>IF(BB530=0,0,(BC530-BB530)/BB530*100)</f>
        <v>0</v>
      </c>
      <c r="BN530" s="7433"/>
      <c r="BO530" s="7437" t="str">
        <f>IF(_xlfn.IFERROR(INDEX(Налоги!$K$26:$L$101,MATCH($F530&amp;"1komm",Налоги!$K$26:$K$101,0),2),"")=0,"",_xlfn.IFERROR(INDEX(Налоги!$K$26:$L$101,MATCH($F530&amp;"1komm",Налоги!$K$26:$K$101,0),2),""))</f>
        <v>по предложению организации.</v>
      </c>
      <c r="BP530" s="7433"/>
      <c r="BQ530" s="1278"/>
      <c r="BR530" s="1278"/>
      <c r="BS530" s="1064" t="s">
        <v>2788</v>
      </c>
      <c r="BT530" s="1064"/>
      <c r="BU530" s="1064"/>
      <c r="BV530" s="979"/>
      <c r="BW530" s="979"/>
    </row>
    <row s="1834" customFormat="1" customHeight="1" ht="44.25">
      <c r="A531" s="1278"/>
      <c r="B531" s="978"/>
      <c r="C531" s="107"/>
      <c r="D531" s="107"/>
      <c r="E531" s="621">
        <v>15</v>
      </c>
      <c r="F531" s="50" cm="1" t="str">
        <f t="array" ref="F531:F531">OFFSET(E531,-1,1)</f>
        <v>3</v>
      </c>
      <c r="G531" s="922">
        <v>3</v>
      </c>
      <c r="H531" s="107"/>
      <c r="I531" s="107" t="s">
        <v>2789</v>
      </c>
      <c r="J531" s="107"/>
      <c r="K531" s="107" t="s">
        <v>2789</v>
      </c>
      <c r="L531" s="980"/>
      <c r="M531" s="107"/>
      <c r="N531" s="107"/>
      <c r="O531" s="107"/>
      <c r="P531" s="107"/>
      <c r="Q531" s="107"/>
      <c r="R531" s="107"/>
      <c r="S531" s="107"/>
      <c r="T531" s="465" cm="1" t="str">
        <f t="array" ref="T531:T531">T530</f>
        <v>true</v>
      </c>
      <c r="U531" s="107"/>
      <c r="V531" s="107"/>
      <c r="W531" s="107"/>
      <c r="X531" s="1596"/>
      <c r="Y531" s="1278"/>
      <c r="Z531" s="1546"/>
      <c r="AA531" s="1278"/>
      <c r="AB531" s="300" t="s">
        <v>2790</v>
      </c>
      <c r="AC531" s="765" t="s">
        <v>2791</v>
      </c>
      <c r="AD531" s="300" t="s">
        <v>1514</v>
      </c>
      <c r="AE531" s="1114">
        <f>_xlfn.SUMIFS(Налоги!AE$25:AE$101,Налоги!$F$25:$F$101,$F531,Налоги!$AB$25:$AB$101,$G531)</f>
        <v>0</v>
      </c>
      <c r="AF531" s="1114">
        <f>_xlfn.SUMIFS(Налоги!AF$25:AF$101,Налоги!$F$25:$F$101,$F531,Налоги!$AB$25:$AB$101,$G531)</f>
        <v>0</v>
      </c>
      <c r="AG531" s="1114">
        <f>_xlfn.SUMIFS(Налоги!AG$25:AG$101,Налоги!$F$25:$F$101,$F531,Налоги!$AB$25:$AB$101,$G531)</f>
        <v>0</v>
      </c>
      <c r="AH531" s="1114">
        <f>AG531-AF531</f>
        <v>0</v>
      </c>
      <c r="AI531" s="1114">
        <f>_xlfn.SUMIFS(Налоги!AH$25:AH$101,Налоги!$F$25:$F$101,$F531,Налоги!$AB$25:$AB$101,$G531)</f>
        <v>0</v>
      </c>
      <c r="AJ531" s="1114">
        <f>_xlfn.SUMIFS(Налоги!AI$25:AI$101,Налоги!$F$25:$F$101,$F531,Налоги!$AB$25:$AB$101,$G531)</f>
        <v>65.157</v>
      </c>
      <c r="AK531" s="1114">
        <f>_xlfn.SUMIFS(Налоги!AJ$25:AJ$101,Налоги!$F$25:$F$101,$F531,Налоги!$AB$25:$AB$101,$G531)</f>
        <v>67.766</v>
      </c>
      <c r="AL531" s="1114">
        <f>_xlfn.SUMIFS(Налоги!AK$25:AK$101,Налоги!$F$25:$F$101,$F531,Налоги!$AB$25:$AB$101,$G531)</f>
        <v>70.47707070976</v>
      </c>
      <c r="AM531" s="1114">
        <f>_xlfn.SUMIFS(Налоги!AL$25:AL$101,Налоги!$F$25:$F$101,$F531,Налоги!$AB$25:$AB$101,$G531)</f>
        <v>73.2961535381504</v>
      </c>
      <c r="AN531" s="1114">
        <f>_xlfn.SUMIFS(Налоги!AM$25:AM$101,Налоги!$F$25:$F$101,$F531,Налоги!$AB$25:$AB$101,$G531)</f>
        <v>76.2279996796764</v>
      </c>
      <c r="AO531" s="1114">
        <f>_xlfn.SUMIFS(Налоги!AN$25:AN$101,Налоги!$F$25:$F$101,$F531,Налоги!$AB$25:$AB$101,$G531)</f>
        <v>0</v>
      </c>
      <c r="AP531" s="1114">
        <f>_xlfn.SUMIFS(Налоги!AO$25:AO$101,Налоги!$F$25:$F$101,$F531,Налоги!$AB$25:$AB$101,$G531)</f>
        <v>0</v>
      </c>
      <c r="AQ531" s="1114">
        <f>_xlfn.SUMIFS(Налоги!AP$25:AP$101,Налоги!$F$25:$F$101,$F531,Налоги!$AB$25:$AB$101,$G531)</f>
        <v>0</v>
      </c>
      <c r="AR531" s="1114">
        <f>_xlfn.SUMIFS(Налоги!AQ$25:AQ$101,Налоги!$F$25:$F$101,$F531,Налоги!$AB$25:$AB$101,$G531)</f>
        <v>0</v>
      </c>
      <c r="AS531" s="1114">
        <f>_xlfn.SUMIFS(Налоги!AR$25:AR$101,Налоги!$F$25:$F$101,$F531,Налоги!$AB$25:$AB$101,$G531)</f>
        <v>0</v>
      </c>
      <c r="AT531" s="1114">
        <f>_xlfn.SUMIFS(Налоги!AS$25:AS$101,Налоги!$F$25:$F$101,$F531,Налоги!$AB$25:$AB$101,$G531)</f>
        <v>65.1600136</v>
      </c>
      <c r="AU531" s="1114">
        <f>_xlfn.SUMIFS(Налоги!AT$25:AT$101,Налоги!$F$25:$F$101,$F531,Налоги!$AB$25:$AB$101,$G531)</f>
        <v>67.766414144</v>
      </c>
      <c r="AV531" s="1114">
        <f>_xlfn.SUMIFS(Налоги!AU$25:AU$101,Налоги!$F$25:$F$101,$F531,Налоги!$AB$25:$AB$101,$G531)</f>
        <v>70.47707070976</v>
      </c>
      <c r="AW531" s="1114">
        <f>_xlfn.SUMIFS(Налоги!AV$25:AV$101,Налоги!$F$25:$F$101,$F531,Налоги!$AB$25:$AB$101,$G531)</f>
        <v>73.2961535381504</v>
      </c>
      <c r="AX531" s="1114">
        <f>_xlfn.SUMIFS(Налоги!AW$25:AW$101,Налоги!$F$25:$F$101,$F531,Налоги!$AB$25:$AB$101,$G531)</f>
        <v>76.2279996796764</v>
      </c>
      <c r="AY531" s="1114">
        <f>_xlfn.SUMIFS(Налоги!AX$25:AX$101,Налоги!$F$25:$F$101,$F531,Налоги!$AB$25:$AB$101,$G531)</f>
        <v>0</v>
      </c>
      <c r="AZ531" s="1114">
        <f>_xlfn.SUMIFS(Налоги!AY$25:AY$101,Налоги!$F$25:$F$101,$F531,Налоги!$AB$25:$AB$101,$G531)</f>
        <v>0</v>
      </c>
      <c r="BA531" s="1114">
        <f>_xlfn.SUMIFS(Налоги!AZ$25:AZ$101,Налоги!$F$25:$F$101,$F531,Налоги!$AB$25:$AB$101,$G531)</f>
        <v>0</v>
      </c>
      <c r="BB531" s="1114">
        <f>_xlfn.SUMIFS(Налоги!BA$25:BA$101,Налоги!$F$25:$F$101,$F531,Налоги!$AB$25:$AB$101,$G531)</f>
        <v>0</v>
      </c>
      <c r="BC531" s="1114">
        <f>_xlfn.SUMIFS(Налоги!BB$25:BB$101,Налоги!$F$25:$F$101,$F531,Налоги!$AB$25:$AB$101,$G531)</f>
        <v>0</v>
      </c>
      <c r="BD531" s="1114">
        <f>IF(AI531=0,0,(AT531-AI531)/AI531*100)</f>
        <v>0</v>
      </c>
      <c r="BE531" s="1114">
        <f>IF(AT531=0,0,(AU531-AT531)/AT531*100)</f>
        <v>4</v>
      </c>
      <c r="BF531" s="1114">
        <f>IF(AU531=0,0,(AV531-AU531)/AU531*100)</f>
        <v>4</v>
      </c>
      <c r="BG531" s="1114">
        <f>IF(AV531=0,0,(AW531-AV531)/AV531*100)</f>
        <v>4</v>
      </c>
      <c r="BH531" s="1114">
        <f>IF(AW531=0,0,(AX531-AW531)/AW531*100)</f>
        <v>4</v>
      </c>
      <c r="BI531" s="1114">
        <f>IF(AX531=0,0,(AY531-AX531)/AX531*100)</f>
        <v>-100</v>
      </c>
      <c r="BJ531" s="1114">
        <f>IF(AY531=0,0,(AZ531-AY531)/AY531*100)</f>
        <v>0</v>
      </c>
      <c r="BK531" s="1114">
        <f>IF(AZ531=0,0,(BA531-AZ531)/AZ531*100)</f>
        <v>0</v>
      </c>
      <c r="BL531" s="1114">
        <f>IF(BA531=0,0,(BB531-BA531)/BA531*100)</f>
        <v>0</v>
      </c>
      <c r="BM531" s="1114">
        <f>IF(BB531=0,0,(BC531-BB531)/BB531*100)</f>
        <v>0</v>
      </c>
      <c r="BN531" s="7433"/>
      <c r="BO531" s="7437" t="s">
        <v>2024</v>
      </c>
      <c r="BP531" s="7433"/>
      <c r="BQ531" s="1278"/>
      <c r="BR531" s="1278"/>
      <c r="BS531" s="1064" t="s">
        <v>2792</v>
      </c>
      <c r="BT531" s="1064"/>
      <c r="BU531" s="1064"/>
      <c r="BV531" s="979"/>
      <c r="BW531" s="979"/>
    </row>
    <row s="1834" customFormat="1" customHeight="1" ht="0">
      <c r="A532" s="1278"/>
      <c r="B532" s="978"/>
      <c r="C532" s="107"/>
      <c r="D532" s="107"/>
      <c r="E532" s="621">
        <v>15</v>
      </c>
      <c r="F532" s="50" cm="1" t="str">
        <f t="array" ref="F532:F532">OFFSET(E532,-1,1)</f>
        <v>3</v>
      </c>
      <c r="G532" s="922">
        <v>8</v>
      </c>
      <c r="H532" s="107"/>
      <c r="I532" s="107" t="s">
        <v>2793</v>
      </c>
      <c r="J532" s="107"/>
      <c r="K532" s="107" t="s">
        <v>2793</v>
      </c>
      <c r="L532" s="980"/>
      <c r="M532" s="107"/>
      <c r="N532" s="107"/>
      <c r="O532" s="107"/>
      <c r="P532" s="107"/>
      <c r="Q532" s="107"/>
      <c r="R532" s="107"/>
      <c r="S532" s="107"/>
      <c r="T532" s="465" cm="1" t="str">
        <f t="array" ref="T532:T532">T531</f>
        <v>true</v>
      </c>
      <c r="U532" s="107"/>
      <c r="V532" s="107"/>
      <c r="W532" s="107"/>
      <c r="X532" s="1596"/>
      <c r="Y532" s="1278"/>
      <c r="Z532" s="1546"/>
      <c r="AA532" s="1278"/>
      <c r="AB532" s="300" t="s">
        <v>2794</v>
      </c>
      <c r="AC532" s="765" t="s">
        <v>2795</v>
      </c>
      <c r="AD532" s="300" t="s">
        <v>1514</v>
      </c>
      <c r="AE532" s="1114">
        <f>_xlfn.SUMIFS(Налоги!AE$25:AE$101,Налоги!$F$25:$F$101,$F532,Налоги!$AB$25:$AB$101,$G532)</f>
        <v>0</v>
      </c>
      <c r="AF532" s="1114">
        <f>_xlfn.SUMIFS(Налоги!AF$25:AF$101,Налоги!$F$25:$F$101,$F532,Налоги!$AB$25:$AB$101,$G532)</f>
        <v>0</v>
      </c>
      <c r="AG532" s="1114">
        <f>_xlfn.SUMIFS(Налоги!AG$25:AG$101,Налоги!$F$25:$F$101,$F532,Налоги!$AB$25:$AB$101,$G532)</f>
        <v>0</v>
      </c>
      <c r="AH532" s="1114">
        <f>AG532-AF532</f>
        <v>0</v>
      </c>
      <c r="AI532" s="1114">
        <f>_xlfn.SUMIFS(Налоги!AH$25:AH$101,Налоги!$F$25:$F$101,$F532,Налоги!$AB$25:$AB$101,$G532)</f>
        <v>0</v>
      </c>
      <c r="AJ532" s="1114">
        <f>_xlfn.SUMIFS(Налоги!AI$25:AI$101,Налоги!$F$25:$F$101,$F532,Налоги!$AB$25:$AB$101,$G532)</f>
        <v>0</v>
      </c>
      <c r="AK532" s="1114">
        <f>_xlfn.SUMIFS(Налоги!AJ$25:AJ$101,Налоги!$F$25:$F$101,$F532,Налоги!$AB$25:$AB$101,$G532)</f>
        <v>0</v>
      </c>
      <c r="AL532" s="1114">
        <f>_xlfn.SUMIFS(Налоги!AK$25:AK$101,Налоги!$F$25:$F$101,$F532,Налоги!$AB$25:$AB$101,$G532)</f>
        <v>0</v>
      </c>
      <c r="AM532" s="1114">
        <f>_xlfn.SUMIFS(Налоги!AL$25:AL$101,Налоги!$F$25:$F$101,$F532,Налоги!$AB$25:$AB$101,$G532)</f>
        <v>0</v>
      </c>
      <c r="AN532" s="1114">
        <f>_xlfn.SUMIFS(Налоги!AM$25:AM$101,Налоги!$F$25:$F$101,$F532,Налоги!$AB$25:$AB$101,$G532)</f>
        <v>0</v>
      </c>
      <c r="AO532" s="1114">
        <f>_xlfn.SUMIFS(Налоги!AN$25:AN$101,Налоги!$F$25:$F$101,$F532,Налоги!$AB$25:$AB$101,$G532)</f>
        <v>0</v>
      </c>
      <c r="AP532" s="1114">
        <f>_xlfn.SUMIFS(Налоги!AO$25:AO$101,Налоги!$F$25:$F$101,$F532,Налоги!$AB$25:$AB$101,$G532)</f>
        <v>0</v>
      </c>
      <c r="AQ532" s="1114">
        <f>_xlfn.SUMIFS(Налоги!AP$25:AP$101,Налоги!$F$25:$F$101,$F532,Налоги!$AB$25:$AB$101,$G532)</f>
        <v>0</v>
      </c>
      <c r="AR532" s="1114">
        <f>_xlfn.SUMIFS(Налоги!AQ$25:AQ$101,Налоги!$F$25:$F$101,$F532,Налоги!$AB$25:$AB$101,$G532)</f>
        <v>0</v>
      </c>
      <c r="AS532" s="1114">
        <f>_xlfn.SUMIFS(Налоги!AR$25:AR$101,Налоги!$F$25:$F$101,$F532,Налоги!$AB$25:$AB$101,$G532)</f>
        <v>0</v>
      </c>
      <c r="AT532" s="1114">
        <f>_xlfn.SUMIFS(Налоги!AS$25:AS$101,Налоги!$F$25:$F$101,$F532,Налоги!$AB$25:$AB$101,$G532)</f>
        <v>0</v>
      </c>
      <c r="AU532" s="1114">
        <f>_xlfn.SUMIFS(Налоги!AT$25:AT$101,Налоги!$F$25:$F$101,$F532,Налоги!$AB$25:$AB$101,$G532)</f>
        <v>0</v>
      </c>
      <c r="AV532" s="1114">
        <f>_xlfn.SUMIFS(Налоги!AU$25:AU$101,Налоги!$F$25:$F$101,$F532,Налоги!$AB$25:$AB$101,$G532)</f>
        <v>0</v>
      </c>
      <c r="AW532" s="1114">
        <f>_xlfn.SUMIFS(Налоги!AV$25:AV$101,Налоги!$F$25:$F$101,$F532,Налоги!$AB$25:$AB$101,$G532)</f>
        <v>0</v>
      </c>
      <c r="AX532" s="1114">
        <f>_xlfn.SUMIFS(Налоги!AW$25:AW$101,Налоги!$F$25:$F$101,$F532,Налоги!$AB$25:$AB$101,$G532)</f>
        <v>0</v>
      </c>
      <c r="AY532" s="1114">
        <f>_xlfn.SUMIFS(Налоги!AX$25:AX$101,Налоги!$F$25:$F$101,$F532,Налоги!$AB$25:$AB$101,$G532)</f>
        <v>0</v>
      </c>
      <c r="AZ532" s="1114">
        <f>_xlfn.SUMIFS(Налоги!AY$25:AY$101,Налоги!$F$25:$F$101,$F532,Налоги!$AB$25:$AB$101,$G532)</f>
        <v>0</v>
      </c>
      <c r="BA532" s="1114">
        <f>_xlfn.SUMIFS(Налоги!AZ$25:AZ$101,Налоги!$F$25:$F$101,$F532,Налоги!$AB$25:$AB$101,$G532)</f>
        <v>0</v>
      </c>
      <c r="BB532" s="1114">
        <f>_xlfn.SUMIFS(Налоги!BA$25:BA$101,Налоги!$F$25:$F$101,$F532,Налоги!$AB$25:$AB$101,$G532)</f>
        <v>0</v>
      </c>
      <c r="BC532" s="1114">
        <f>_xlfn.SUMIFS(Налоги!BB$25:BB$101,Налоги!$F$25:$F$101,$F532,Налоги!$AB$25:$AB$101,$G532)</f>
        <v>0</v>
      </c>
      <c r="BD532" s="1114">
        <f>IF(AI532=0,0,(AT532-AI532)/AI532*100)</f>
        <v>0</v>
      </c>
      <c r="BE532" s="1114">
        <f>IF(AT532=0,0,(AU532-AT532)/AT532*100)</f>
        <v>0</v>
      </c>
      <c r="BF532" s="1114">
        <f>IF(AU532=0,0,(AV532-AU532)/AU532*100)</f>
        <v>0</v>
      </c>
      <c r="BG532" s="1114">
        <f>IF(AV532=0,0,(AW532-AV532)/AV532*100)</f>
        <v>0</v>
      </c>
      <c r="BH532" s="1114">
        <f>IF(AW532=0,0,(AX532-AW532)/AW532*100)</f>
        <v>0</v>
      </c>
      <c r="BI532" s="1114">
        <f>IF(AX532=0,0,(AY532-AX532)/AX532*100)</f>
        <v>0</v>
      </c>
      <c r="BJ532" s="1114">
        <f>IF(AY532=0,0,(AZ532-AY532)/AY532*100)</f>
        <v>0</v>
      </c>
      <c r="BK532" s="1114">
        <f>IF(AZ532=0,0,(BA532-AZ532)/AZ532*100)</f>
        <v>0</v>
      </c>
      <c r="BL532" s="1114">
        <f>IF(BA532=0,0,(BB532-BA532)/BA532*100)</f>
        <v>0</v>
      </c>
      <c r="BM532" s="1114">
        <f>IF(BB532=0,0,(BC532-BB532)/BB532*100)</f>
        <v>0</v>
      </c>
      <c r="BN532" s="7433"/>
      <c r="BO532" s="7437" t="str">
        <f>IF(_xlfn.IFERROR(INDEX(Налоги!$K$26:$L$101,MATCH($F532&amp;"8komm",Налоги!$K$26:$K$101,0),2),"")=0,"",_xlfn.IFERROR(INDEX(Налоги!$K$26:$L$101,MATCH($F532&amp;"8komm",Налоги!$K$26:$K$101,0),2),""))</f>
        <v/>
      </c>
      <c r="BP532" s="7433"/>
      <c r="BQ532" s="1278"/>
      <c r="BR532" s="1278"/>
      <c r="BS532" s="1064" t="s">
        <v>2017</v>
      </c>
      <c r="BT532" s="1064"/>
      <c r="BU532" s="1064"/>
      <c r="BV532" s="979"/>
      <c r="BW532" s="979"/>
    </row>
    <row s="1233" customFormat="1" customHeight="1" ht="0">
      <c r="A533" s="1233"/>
      <c r="B533" s="753"/>
      <c r="C533" s="107"/>
      <c r="D533" s="107"/>
      <c r="E533" s="621">
        <v>15</v>
      </c>
      <c r="F533" s="50" cm="1" t="str">
        <f t="array" ref="F533:F533">OFFSET(E533,-1,1)</f>
        <v>3</v>
      </c>
      <c r="G533" s="922">
        <v>9</v>
      </c>
      <c r="H533" s="107"/>
      <c r="I533" s="107"/>
      <c r="J533" s="107"/>
      <c r="K533" s="107"/>
      <c r="L533" s="980"/>
      <c r="M533" s="107"/>
      <c r="N533" s="107"/>
      <c r="O533" s="107"/>
      <c r="P533" s="107"/>
      <c r="Q533" s="107"/>
      <c r="R533" s="107"/>
      <c r="S533" s="107"/>
      <c r="T533" s="465" cm="1" t="str">
        <f t="array" ref="T533:T533">T532</f>
        <v>true</v>
      </c>
      <c r="U533" s="107"/>
      <c r="V533" s="107"/>
      <c r="W533" s="107"/>
      <c r="X533" s="1596"/>
      <c r="Y533" s="1233"/>
      <c r="Z533" s="1546"/>
      <c r="AA533" s="1233"/>
      <c r="AB533" s="300" t="s">
        <v>2796</v>
      </c>
      <c r="AC533" s="780" t="s">
        <v>2797</v>
      </c>
      <c r="AD533" s="300" t="s">
        <v>1514</v>
      </c>
      <c r="AE533" s="1114">
        <f>_xlfn.SUMIFS(Налоги!AE$25:AE$101,Налоги!$F$25:$F$101,$F533,Налоги!$AB$25:$AB$101,$G533)</f>
        <v>0</v>
      </c>
      <c r="AF533" s="1114">
        <f>_xlfn.SUMIFS(Налоги!AF$25:AF$101,Налоги!$F$25:$F$101,$F533,Налоги!$AB$25:$AB$101,$G533)</f>
        <v>0</v>
      </c>
      <c r="AG533" s="1114">
        <f>_xlfn.SUMIFS(Налоги!AG$25:AG$101,Налоги!$F$25:$F$101,$F533,Налоги!$AB$25:$AB$101,$G533)</f>
        <v>0</v>
      </c>
      <c r="AH533" s="1114">
        <f>AG533-AF533</f>
        <v>0</v>
      </c>
      <c r="AI533" s="1114">
        <f>_xlfn.SUMIFS(Налоги!AH$25:AH$101,Налоги!$F$25:$F$101,$F533,Налоги!$AB$25:$AB$101,$G533)</f>
        <v>0</v>
      </c>
      <c r="AJ533" s="1114">
        <f>_xlfn.SUMIFS(Налоги!AI$25:AI$101,Налоги!$F$25:$F$101,$F533,Налоги!$AB$25:$AB$101,$G533)</f>
        <v>0</v>
      </c>
      <c r="AK533" s="1114">
        <f>_xlfn.SUMIFS(Налоги!AJ$25:AJ$101,Налоги!$F$25:$F$101,$F533,Налоги!$AB$25:$AB$101,$G533)</f>
        <v>0</v>
      </c>
      <c r="AL533" s="1114">
        <f>_xlfn.SUMIFS(Налоги!AK$25:AK$101,Налоги!$F$25:$F$101,$F533,Налоги!$AB$25:$AB$101,$G533)</f>
        <v>0</v>
      </c>
      <c r="AM533" s="1114">
        <f>_xlfn.SUMIFS(Налоги!AL$25:AL$101,Налоги!$F$25:$F$101,$F533,Налоги!$AB$25:$AB$101,$G533)</f>
        <v>0</v>
      </c>
      <c r="AN533" s="1114">
        <f>_xlfn.SUMIFS(Налоги!AM$25:AM$101,Налоги!$F$25:$F$101,$F533,Налоги!$AB$25:$AB$101,$G533)</f>
        <v>0</v>
      </c>
      <c r="AO533" s="1114">
        <f>_xlfn.SUMIFS(Налоги!AN$25:AN$101,Налоги!$F$25:$F$101,$F533,Налоги!$AB$25:$AB$101,$G533)</f>
        <v>0</v>
      </c>
      <c r="AP533" s="1114">
        <f>_xlfn.SUMIFS(Налоги!AO$25:AO$101,Налоги!$F$25:$F$101,$F533,Налоги!$AB$25:$AB$101,$G533)</f>
        <v>0</v>
      </c>
      <c r="AQ533" s="1114">
        <f>_xlfn.SUMIFS(Налоги!AP$25:AP$101,Налоги!$F$25:$F$101,$F533,Налоги!$AB$25:$AB$101,$G533)</f>
        <v>0</v>
      </c>
      <c r="AR533" s="1114">
        <f>_xlfn.SUMIFS(Налоги!AQ$25:AQ$101,Налоги!$F$25:$F$101,$F533,Налоги!$AB$25:$AB$101,$G533)</f>
        <v>0</v>
      </c>
      <c r="AS533" s="1114">
        <f>_xlfn.SUMIFS(Налоги!AR$25:AR$101,Налоги!$F$25:$F$101,$F533,Налоги!$AB$25:$AB$101,$G533)</f>
        <v>0</v>
      </c>
      <c r="AT533" s="1114">
        <f>_xlfn.SUMIFS(Налоги!AS$25:AS$101,Налоги!$F$25:$F$101,$F533,Налоги!$AB$25:$AB$101,$G533)</f>
        <v>0</v>
      </c>
      <c r="AU533" s="1114">
        <f>_xlfn.SUMIFS(Налоги!AT$25:AT$101,Налоги!$F$25:$F$101,$F533,Налоги!$AB$25:$AB$101,$G533)</f>
        <v>0</v>
      </c>
      <c r="AV533" s="1114">
        <f>_xlfn.SUMIFS(Налоги!AU$25:AU$101,Налоги!$F$25:$F$101,$F533,Налоги!$AB$25:$AB$101,$G533)</f>
        <v>0</v>
      </c>
      <c r="AW533" s="1114">
        <f>_xlfn.SUMIFS(Налоги!AV$25:AV$101,Налоги!$F$25:$F$101,$F533,Налоги!$AB$25:$AB$101,$G533)</f>
        <v>0</v>
      </c>
      <c r="AX533" s="1114">
        <f>_xlfn.SUMIFS(Налоги!AW$25:AW$101,Налоги!$F$25:$F$101,$F533,Налоги!$AB$25:$AB$101,$G533)</f>
        <v>0</v>
      </c>
      <c r="AY533" s="1114">
        <f>_xlfn.SUMIFS(Налоги!AX$25:AX$101,Налоги!$F$25:$F$101,$F533,Налоги!$AB$25:$AB$101,$G533)</f>
        <v>0</v>
      </c>
      <c r="AZ533" s="1114">
        <f>_xlfn.SUMIFS(Налоги!AY$25:AY$101,Налоги!$F$25:$F$101,$F533,Налоги!$AB$25:$AB$101,$G533)</f>
        <v>0</v>
      </c>
      <c r="BA533" s="1114">
        <f>_xlfn.SUMIFS(Налоги!AZ$25:AZ$101,Налоги!$F$25:$F$101,$F533,Налоги!$AB$25:$AB$101,$G533)</f>
        <v>0</v>
      </c>
      <c r="BB533" s="1114">
        <f>_xlfn.SUMIFS(Налоги!BA$25:BA$101,Налоги!$F$25:$F$101,$F533,Налоги!$AB$25:$AB$101,$G533)</f>
        <v>0</v>
      </c>
      <c r="BC533" s="1114">
        <f>_xlfn.SUMIFS(Налоги!BB$25:BB$101,Налоги!$F$25:$F$101,$F533,Налоги!$AB$25:$AB$101,$G533)</f>
        <v>0</v>
      </c>
      <c r="BD533" s="1114">
        <f>IF(AI533=0,0,(AT533-AI533)/AI533*100)</f>
        <v>0</v>
      </c>
      <c r="BE533" s="1114">
        <f>IF(AT533=0,0,(AU533-AT533)/AT533*100)</f>
        <v>0</v>
      </c>
      <c r="BF533" s="1114">
        <f>IF(AU533=0,0,(AV533-AU533)/AU533*100)</f>
        <v>0</v>
      </c>
      <c r="BG533" s="1114">
        <f>IF(AV533=0,0,(AW533-AV533)/AV533*100)</f>
        <v>0</v>
      </c>
      <c r="BH533" s="1114">
        <f>IF(AW533=0,0,(AX533-AW533)/AW533*100)</f>
        <v>0</v>
      </c>
      <c r="BI533" s="1114">
        <f>IF(AX533=0,0,(AY533-AX533)/AX533*100)</f>
        <v>0</v>
      </c>
      <c r="BJ533" s="1114">
        <f>IF(AY533=0,0,(AZ533-AY533)/AY533*100)</f>
        <v>0</v>
      </c>
      <c r="BK533" s="1114">
        <f>IF(AZ533=0,0,(BA533-AZ533)/AZ533*100)</f>
        <v>0</v>
      </c>
      <c r="BL533" s="1114">
        <f>IF(BA533=0,0,(BB533-BA533)/BA533*100)</f>
        <v>0</v>
      </c>
      <c r="BM533" s="1114">
        <f>IF(BB533=0,0,(BC533-BB533)/BB533*100)</f>
        <v>0</v>
      </c>
      <c r="BN533" s="7433"/>
      <c r="BO533" s="7437" t="str">
        <f>IF(_xlfn.IFERROR(INDEX(Налоги!$K$26:$L$101,MATCH($F533&amp;"9komm",Налоги!$K$26:$K$101,0),2),"")=0,"",_xlfn.IFERROR(INDEX(Налоги!$K$26:$L$101,MATCH($F533&amp;"9komm",Налоги!$K$26:$K$101,0),2),""))</f>
        <v/>
      </c>
      <c r="BP533" s="7433"/>
      <c r="BQ533" s="1233"/>
      <c r="BR533" s="1233"/>
      <c r="BS533" s="1071" t="s">
        <v>2798</v>
      </c>
      <c r="BT533" s="1071"/>
      <c r="BU533" s="1071"/>
      <c r="BV533" s="1072"/>
      <c r="BW533" s="1072"/>
    </row>
    <row s="1834" customFormat="1" customHeight="1" ht="65.25">
      <c r="A534" s="1278"/>
      <c r="B534" s="978"/>
      <c r="C534" s="107"/>
      <c r="D534" s="107"/>
      <c r="E534" s="621">
        <v>15</v>
      </c>
      <c r="F534" s="50" cm="1" t="str">
        <f t="array" ref="F534:F534">OFFSET(E534,-1,1)</f>
        <v>3</v>
      </c>
      <c r="G534" s="922">
        <v>10</v>
      </c>
      <c r="H534" s="107"/>
      <c r="I534" s="107" t="s">
        <v>2799</v>
      </c>
      <c r="J534" s="107"/>
      <c r="K534" s="107" t="s">
        <v>2799</v>
      </c>
      <c r="L534" s="980"/>
      <c r="M534" s="107"/>
      <c r="N534" s="107"/>
      <c r="O534" s="107"/>
      <c r="P534" s="107"/>
      <c r="Q534" s="107"/>
      <c r="R534" s="107"/>
      <c r="S534" s="107"/>
      <c r="T534" s="465" cm="1" t="str">
        <f t="array" ref="T534:T534">T533</f>
        <v>true</v>
      </c>
      <c r="U534" s="107"/>
      <c r="V534" s="107"/>
      <c r="W534" s="107"/>
      <c r="X534" s="1596"/>
      <c r="Y534" s="1278"/>
      <c r="Z534" s="1546"/>
      <c r="AA534" s="1278"/>
      <c r="AB534" s="300" t="s">
        <v>2800</v>
      </c>
      <c r="AC534" s="781" t="s">
        <v>2801</v>
      </c>
      <c r="AD534" s="300" t="s">
        <v>1514</v>
      </c>
      <c r="AE534" s="1114">
        <f>_xlfn.SUMIFS(Налоги!AE$25:AE$101,Налоги!$F$25:$F$101,$F534,Налоги!$AB$25:$AB$101,$G534)</f>
        <v>0</v>
      </c>
      <c r="AF534" s="1114">
        <f>_xlfn.SUMIFS(Налоги!AF$25:AF$101,Налоги!$F$25:$F$101,$F534,Налоги!$AB$25:$AB$101,$G534)</f>
        <v>0</v>
      </c>
      <c r="AG534" s="1114">
        <f>_xlfn.SUMIFS(Налоги!AG$25:AG$101,Налоги!$F$25:$F$101,$F534,Налоги!$AB$25:$AB$101,$G534)</f>
        <v>0</v>
      </c>
      <c r="AH534" s="1114">
        <f>AG534-AF534</f>
        <v>0</v>
      </c>
      <c r="AI534" s="1114">
        <f>_xlfn.SUMIFS(Налоги!AH$25:AH$101,Налоги!$F$25:$F$101,$F534,Налоги!$AB$25:$AB$101,$G534)</f>
        <v>0</v>
      </c>
      <c r="AJ534" s="1114">
        <f>_xlfn.SUMIFS(Налоги!AI$25:AI$101,Налоги!$F$25:$F$101,$F534,Налоги!$AB$25:$AB$101,$G534)</f>
        <v>0</v>
      </c>
      <c r="AK534" s="1114">
        <f>_xlfn.SUMIFS(Налоги!AJ$25:AJ$101,Налоги!$F$25:$F$101,$F534,Налоги!$AB$25:$AB$101,$G534)</f>
        <v>0</v>
      </c>
      <c r="AL534" s="1114">
        <f>_xlfn.SUMIFS(Налоги!AK$25:AK$101,Налоги!$F$25:$F$101,$F534,Налоги!$AB$25:$AB$101,$G534)</f>
        <v>16.13</v>
      </c>
      <c r="AM534" s="1114">
        <f>_xlfn.SUMIFS(Налоги!AL$25:AL$101,Налоги!$F$25:$F$101,$F534,Налоги!$AB$25:$AB$101,$G534)</f>
        <v>89.78</v>
      </c>
      <c r="AN534" s="1114">
        <f>_xlfn.SUMIFS(Налоги!AM$25:AM$101,Налоги!$F$25:$F$101,$F534,Налоги!$AB$25:$AB$101,$G534)</f>
        <v>57.51</v>
      </c>
      <c r="AO534" s="1114">
        <f>_xlfn.SUMIFS(Налоги!AN$25:AN$101,Налоги!$F$25:$F$101,$F534,Налоги!$AB$25:$AB$101,$G534)</f>
        <v>0</v>
      </c>
      <c r="AP534" s="1114">
        <f>_xlfn.SUMIFS(Налоги!AO$25:AO$101,Налоги!$F$25:$F$101,$F534,Налоги!$AB$25:$AB$101,$G534)</f>
        <v>0</v>
      </c>
      <c r="AQ534" s="1114">
        <f>_xlfn.SUMIFS(Налоги!AP$25:AP$101,Налоги!$F$25:$F$101,$F534,Налоги!$AB$25:$AB$101,$G534)</f>
        <v>0</v>
      </c>
      <c r="AR534" s="1114">
        <f>_xlfn.SUMIFS(Налоги!AQ$25:AQ$101,Налоги!$F$25:$F$101,$F534,Налоги!$AB$25:$AB$101,$G534)</f>
        <v>0</v>
      </c>
      <c r="AS534" s="1114">
        <f>_xlfn.SUMIFS(Налоги!AR$25:AR$101,Налоги!$F$25:$F$101,$F534,Налоги!$AB$25:$AB$101,$G534)</f>
        <v>0</v>
      </c>
      <c r="AT534" s="1114">
        <f>_xlfn.SUMIFS(Налоги!AS$25:AS$101,Налоги!$F$25:$F$101,$F534,Налоги!$AB$25:$AB$101,$G534)</f>
        <v>0</v>
      </c>
      <c r="AU534" s="1114">
        <f>_xlfn.SUMIFS(Налоги!AT$25:AT$101,Налоги!$F$25:$F$101,$F534,Налоги!$AB$25:$AB$101,$G534)</f>
        <v>0</v>
      </c>
      <c r="AV534" s="1114">
        <f>_xlfn.SUMIFS(Налоги!AU$25:AU$101,Налоги!$F$25:$F$101,$F534,Налоги!$AB$25:$AB$101,$G534)</f>
        <v>16.13</v>
      </c>
      <c r="AW534" s="1114">
        <f>_xlfn.SUMIFS(Налоги!AV$25:AV$101,Налоги!$F$25:$F$101,$F534,Налоги!$AB$25:$AB$101,$G534)</f>
        <v>89.78</v>
      </c>
      <c r="AX534" s="1114">
        <f>_xlfn.SUMIFS(Налоги!AW$25:AW$101,Налоги!$F$25:$F$101,$F534,Налоги!$AB$25:$AB$101,$G534)</f>
        <v>57.51</v>
      </c>
      <c r="AY534" s="1114">
        <f>_xlfn.SUMIFS(Налоги!AX$25:AX$101,Налоги!$F$25:$F$101,$F534,Налоги!$AB$25:$AB$101,$G534)</f>
        <v>0</v>
      </c>
      <c r="AZ534" s="1114">
        <f>_xlfn.SUMIFS(Налоги!AY$25:AY$101,Налоги!$F$25:$F$101,$F534,Налоги!$AB$25:$AB$101,$G534)</f>
        <v>0</v>
      </c>
      <c r="BA534" s="1114">
        <f>_xlfn.SUMIFS(Налоги!AZ$25:AZ$101,Налоги!$F$25:$F$101,$F534,Налоги!$AB$25:$AB$101,$G534)</f>
        <v>0</v>
      </c>
      <c r="BB534" s="1114">
        <f>_xlfn.SUMIFS(Налоги!BA$25:BA$101,Налоги!$F$25:$F$101,$F534,Налоги!$AB$25:$AB$101,$G534)</f>
        <v>0</v>
      </c>
      <c r="BC534" s="1114">
        <f>_xlfn.SUMIFS(Налоги!BB$25:BB$101,Налоги!$F$25:$F$101,$F534,Налоги!$AB$25:$AB$101,$G534)</f>
        <v>0</v>
      </c>
      <c r="BD534" s="1114">
        <f>IF(AI534=0,0,(AT534-AI534)/AI534*100)</f>
        <v>0</v>
      </c>
      <c r="BE534" s="1114">
        <f>IF(AT534=0,0,(AU534-AT534)/AT534*100)</f>
        <v>0</v>
      </c>
      <c r="BF534" s="1114">
        <f>IF(AU534=0,0,(AV534-AU534)/AU534*100)</f>
        <v>0</v>
      </c>
      <c r="BG534" s="1114">
        <f>IF(AV534=0,0,(AW534-AV534)/AV534*100)</f>
        <v>456.602603843769</v>
      </c>
      <c r="BH534" s="1114">
        <f>IF(AW534=0,0,(AX534-AW534)/AW534*100)</f>
        <v>-35.9434172421475</v>
      </c>
      <c r="BI534" s="1114">
        <f>IF(AX534=0,0,(AY534-AX534)/AX534*100)</f>
        <v>-100</v>
      </c>
      <c r="BJ534" s="1114">
        <f>IF(AY534=0,0,(AZ534-AY534)/AY534*100)</f>
        <v>0</v>
      </c>
      <c r="BK534" s="1114">
        <f>IF(AZ534=0,0,(BA534-AZ534)/AZ534*100)</f>
        <v>0</v>
      </c>
      <c r="BL534" s="1114">
        <f>IF(BA534=0,0,(BB534-BA534)/BA534*100)</f>
        <v>0</v>
      </c>
      <c r="BM534" s="1114">
        <f>IF(BB534=0,0,(BC534-BB534)/BB534*100)</f>
        <v>0</v>
      </c>
      <c r="BN534" s="7433"/>
      <c r="BO534" s="7437" t="s">
        <v>2941</v>
      </c>
      <c r="BP534" s="7433"/>
      <c r="BQ534" s="1278"/>
      <c r="BR534" s="1278"/>
      <c r="BS534" s="1064" t="s">
        <v>2802</v>
      </c>
      <c r="BT534" s="1064"/>
      <c r="BU534" s="1064"/>
      <c r="BV534" s="979"/>
      <c r="BW534" s="979"/>
    </row>
    <row s="1834" customFormat="1" customHeight="1" ht="0">
      <c r="A535" s="1278"/>
      <c r="B535" s="978"/>
      <c r="C535" s="107"/>
      <c r="D535" s="107"/>
      <c r="E535" s="621">
        <v>67.5</v>
      </c>
      <c r="F535" s="50" cm="1" t="str">
        <f t="array" ref="F535:F535">OFFSET(E535,-1,1)</f>
        <v>3</v>
      </c>
      <c r="G535" s="107" t="s">
        <v>2178</v>
      </c>
      <c r="H535" s="107"/>
      <c r="I535" s="107" t="s">
        <v>1650</v>
      </c>
      <c r="J535" s="107"/>
      <c r="K535" s="158" t="s">
        <v>1650</v>
      </c>
      <c r="L535" s="980"/>
      <c r="M535" s="107"/>
      <c r="N535" s="107"/>
      <c r="O535" s="107"/>
      <c r="P535" s="107"/>
      <c r="Q535" s="107"/>
      <c r="R535" s="107"/>
      <c r="S535" s="107"/>
      <c r="T535" s="465" cm="1" t="str">
        <f t="array" ref="T535:T535">T534</f>
        <v>true</v>
      </c>
      <c r="U535" s="107"/>
      <c r="V535" s="107"/>
      <c r="W535" s="107"/>
      <c r="X535" s="1596"/>
      <c r="Y535" s="1278"/>
      <c r="Z535" s="1546"/>
      <c r="AA535" s="1278"/>
      <c r="AB535" s="300" t="s">
        <v>1651</v>
      </c>
      <c r="AC535" s="782" t="s">
        <v>2181</v>
      </c>
      <c r="AD535" s="300" t="s">
        <v>1514</v>
      </c>
      <c r="AE535" s="4750"/>
      <c r="AF535" s="4750"/>
      <c r="AG535" s="4750"/>
      <c r="AH535" s="1114">
        <f>AG535-AF535</f>
        <v>0</v>
      </c>
      <c r="AI535" s="4750"/>
      <c r="AJ535" s="4750"/>
      <c r="AK535" s="4750"/>
      <c r="AL535" s="4750"/>
      <c r="AM535" s="4750"/>
      <c r="AN535" s="4750"/>
      <c r="AO535" s="1244"/>
      <c r="AP535" s="1244"/>
      <c r="AQ535" s="1244"/>
      <c r="AR535" s="1244"/>
      <c r="AS535" s="1244"/>
      <c r="AT535" s="4750"/>
      <c r="AU535" s="4750"/>
      <c r="AV535" s="4750"/>
      <c r="AW535" s="4750"/>
      <c r="AX535" s="4750"/>
      <c r="AY535" s="1244"/>
      <c r="AZ535" s="1244"/>
      <c r="BA535" s="1244"/>
      <c r="BB535" s="1244"/>
      <c r="BC535" s="1244"/>
      <c r="BD535" s="1114">
        <f>IF(AI535=0,0,(AT535-AI535)/AI535*100)</f>
        <v>0</v>
      </c>
      <c r="BE535" s="1114">
        <f>IF(AT535=0,0,(AU535-AT535)/AT535*100)</f>
        <v>0</v>
      </c>
      <c r="BF535" s="1114">
        <f>IF(AU535=0,0,(AV535-AU535)/AU535*100)</f>
        <v>0</v>
      </c>
      <c r="BG535" s="1114">
        <f>IF(AV535=0,0,(AW535-AV535)/AV535*100)</f>
        <v>0</v>
      </c>
      <c r="BH535" s="1114">
        <f>IF(AW535=0,0,(AX535-AW535)/AW535*100)</f>
        <v>0</v>
      </c>
      <c r="BI535" s="1114">
        <f>IF(AX535=0,0,(AY535-AX535)/AX535*100)</f>
        <v>0</v>
      </c>
      <c r="BJ535" s="1114">
        <f>IF(AY535=0,0,(AZ535-AY535)/AY535*100)</f>
        <v>0</v>
      </c>
      <c r="BK535" s="1114">
        <f>IF(AZ535=0,0,(BA535-AZ535)/AZ535*100)</f>
        <v>0</v>
      </c>
      <c r="BL535" s="1114">
        <f>IF(BA535=0,0,(BB535-BA535)/BA535*100)</f>
        <v>0</v>
      </c>
      <c r="BM535" s="1114">
        <f>IF(BB535=0,0,(BC535-BB535)/BB535*100)</f>
        <v>0</v>
      </c>
      <c r="BN535" s="7433"/>
      <c r="BO535" s="7433"/>
      <c r="BP535" s="7433"/>
      <c r="BQ535" s="1278"/>
      <c r="BR535" s="1278"/>
      <c r="BS535" s="1064" t="s">
        <v>2803</v>
      </c>
      <c r="BT535" s="1064"/>
      <c r="BU535" s="1064"/>
      <c r="BV535" s="979"/>
      <c r="BW535" s="979"/>
    </row>
    <row s="1834" customFormat="1" customHeight="1" ht="44.25">
      <c r="A536" s="1278"/>
      <c r="B536" s="978"/>
      <c r="C536" s="107"/>
      <c r="D536" s="107"/>
      <c r="E536" s="621">
        <v>15</v>
      </c>
      <c r="F536" s="50" cm="1" t="str">
        <f t="array" ref="F536:F536">OFFSET(E536,-1,1)</f>
        <v>3</v>
      </c>
      <c r="G536" s="107" t="s">
        <v>1730</v>
      </c>
      <c r="H536" s="107"/>
      <c r="I536" s="107" t="s">
        <v>1653</v>
      </c>
      <c r="J536" s="107"/>
      <c r="K536" s="158" t="s">
        <v>1653</v>
      </c>
      <c r="L536" s="980" t="s">
        <v>1225</v>
      </c>
      <c r="M536" s="107"/>
      <c r="N536" s="107"/>
      <c r="O536" s="107"/>
      <c r="P536" s="107"/>
      <c r="Q536" s="107"/>
      <c r="R536" s="107"/>
      <c r="S536" s="107"/>
      <c r="T536" s="465" cm="1" t="str">
        <f t="array" ref="T536:T536">T535</f>
        <v>true</v>
      </c>
      <c r="U536" s="107"/>
      <c r="V536" s="107"/>
      <c r="W536" s="107"/>
      <c r="X536" s="1596"/>
      <c r="Y536" s="1278"/>
      <c r="Z536" s="1546"/>
      <c r="AA536" s="1278"/>
      <c r="AB536" s="300" t="s">
        <v>1654</v>
      </c>
      <c r="AC536" s="762" t="s">
        <v>1730</v>
      </c>
      <c r="AD536" s="300" t="s">
        <v>1514</v>
      </c>
      <c r="AE536" s="1114">
        <f>_xlfn.SUMIFS(Аренда!AE$25:AE$77,Аренда!$F$25:$F$77,$F536,Аренда!$G$25:$G$77,"Арендная и концессионная плата, лизинговые платежи")</f>
        <v>0</v>
      </c>
      <c r="AF536" s="1114">
        <f>_xlfn.SUMIFS(Аренда!AF$25:AF$77,Аренда!$F$25:$F$77,$F536,Аренда!$G$25:$G$77,"Арендная и концессионная плата, лизинговые платежи")</f>
        <v>0</v>
      </c>
      <c r="AG536" s="1114">
        <f>_xlfn.SUMIFS(Аренда!AG$25:AG$77,Аренда!$F$25:$F$77,$F536,Аренда!$G$25:$G$77,"Арендная и концессионная плата, лизинговые платежи")</f>
        <v>0</v>
      </c>
      <c r="AH536" s="1114">
        <f>AG536-AF536</f>
        <v>0</v>
      </c>
      <c r="AI536" s="1114">
        <f>_xlfn.SUMIFS(Аренда!AH$25:AH$77,Аренда!$F$25:$F$77,$F536,Аренда!$G$25:$G$77,"Арендная и концессионная плата, лизинговые платежи")</f>
        <v>0</v>
      </c>
      <c r="AJ536" s="1114">
        <f>_xlfn.SUMIFS(Аренда!AI$25:AI$77,Аренда!$F$25:$F$77,$F536,Аренда!$G$25:$G$77,"Арендная и концессионная плата, лизинговые платежи")</f>
        <v>193.9</v>
      </c>
      <c r="AK536" s="1114">
        <f>_xlfn.SUMIFS(Аренда!AJ$25:AJ$77,Аренда!$F$25:$F$77,$F536,Аренда!$G$25:$G$77,"Арендная и концессионная плата, лизинговые платежи")</f>
        <v>193.9</v>
      </c>
      <c r="AL536" s="1114">
        <f>_xlfn.SUMIFS(Аренда!AK$25:AK$77,Аренда!$F$25:$F$77,$F536,Аренда!$G$25:$G$77,"Арендная и концессионная плата, лизинговые платежи")</f>
        <v>193.9</v>
      </c>
      <c r="AM536" s="1114">
        <f>_xlfn.SUMIFS(Аренда!AL$25:AL$77,Аренда!$F$25:$F$77,$F536,Аренда!$G$25:$G$77,"Арендная и концессионная плата, лизинговые платежи")</f>
        <v>193.9</v>
      </c>
      <c r="AN536" s="1114">
        <f>_xlfn.SUMIFS(Аренда!AM$25:AM$77,Аренда!$F$25:$F$77,$F536,Аренда!$G$25:$G$77,"Арендная и концессионная плата, лизинговые платежи")</f>
        <v>193.9</v>
      </c>
      <c r="AO536" s="1114">
        <f>_xlfn.SUMIFS(Аренда!AN$25:AN$77,Аренда!$F$25:$F$77,$F536,Аренда!$G$25:$G$77,"Арендная и концессионная плата, лизинговые платежи")</f>
        <v>0</v>
      </c>
      <c r="AP536" s="1114">
        <f>_xlfn.SUMIFS(Аренда!AO$25:AO$77,Аренда!$F$25:$F$77,$F536,Аренда!$G$25:$G$77,"Арендная и концессионная плата, лизинговые платежи")</f>
        <v>0</v>
      </c>
      <c r="AQ536" s="1114">
        <f>_xlfn.SUMIFS(Аренда!AP$25:AP$77,Аренда!$F$25:$F$77,$F536,Аренда!$G$25:$G$77,"Арендная и концессионная плата, лизинговые платежи")</f>
        <v>0</v>
      </c>
      <c r="AR536" s="1114">
        <f>_xlfn.SUMIFS(Аренда!AQ$25:AQ$77,Аренда!$F$25:$F$77,$F536,Аренда!$G$25:$G$77,"Арендная и концессионная плата, лизинговые платежи")</f>
        <v>0</v>
      </c>
      <c r="AS536" s="1114">
        <f>_xlfn.SUMIFS(Аренда!AR$25:AR$77,Аренда!$F$25:$F$77,$F536,Аренда!$G$25:$G$77,"Арендная и концессионная плата, лизинговые платежи")</f>
        <v>0</v>
      </c>
      <c r="AT536" s="1114">
        <f>_xlfn.SUMIFS(Аренда!AS$25:AS$77,Аренда!$F$25:$F$77,$F536,Аренда!$G$25:$G$77,"Арендная и концессионная плата, лизинговые платежи")</f>
        <v>193.9</v>
      </c>
      <c r="AU536" s="1114">
        <f>_xlfn.SUMIFS(Аренда!AT$25:AT$77,Аренда!$F$25:$F$77,$F536,Аренда!$G$25:$G$77,"Арендная и концессионная плата, лизинговые платежи")</f>
        <v>193.9</v>
      </c>
      <c r="AV536" s="1114">
        <f>_xlfn.SUMIFS(Аренда!AU$25:AU$77,Аренда!$F$25:$F$77,$F536,Аренда!$G$25:$G$77,"Арендная и концессионная плата, лизинговые платежи")</f>
        <v>193.9</v>
      </c>
      <c r="AW536" s="1114">
        <f>_xlfn.SUMIFS(Аренда!AV$25:AV$77,Аренда!$F$25:$F$77,$F536,Аренда!$G$25:$G$77,"Арендная и концессионная плата, лизинговые платежи")</f>
        <v>193.9</v>
      </c>
      <c r="AX536" s="1114">
        <f>_xlfn.SUMIFS(Аренда!AW$25:AW$77,Аренда!$F$25:$F$77,$F536,Аренда!$G$25:$G$77,"Арендная и концессионная плата, лизинговые платежи")</f>
        <v>193.9</v>
      </c>
      <c r="AY536" s="1114">
        <f>_xlfn.SUMIFS(Аренда!AX$25:AX$77,Аренда!$F$25:$F$77,$F536,Аренда!$G$25:$G$77,"Арендная и концессионная плата, лизинговые платежи")</f>
        <v>0</v>
      </c>
      <c r="AZ536" s="1114">
        <f>_xlfn.SUMIFS(Аренда!AY$25:AY$77,Аренда!$F$25:$F$77,$F536,Аренда!$G$25:$G$77,"Арендная и концессионная плата, лизинговые платежи")</f>
        <v>0</v>
      </c>
      <c r="BA536" s="1114">
        <f>_xlfn.SUMIFS(Аренда!AZ$25:AZ$77,Аренда!$F$25:$F$77,$F536,Аренда!$G$25:$G$77,"Арендная и концессионная плата, лизинговые платежи")</f>
        <v>0</v>
      </c>
      <c r="BB536" s="1114">
        <f>_xlfn.SUMIFS(Аренда!BA$25:BA$77,Аренда!$F$25:$F$77,$F536,Аренда!$G$25:$G$77,"Арендная и концессионная плата, лизинговые платежи")</f>
        <v>0</v>
      </c>
      <c r="BC536" s="1114">
        <f>_xlfn.SUMIFS(Аренда!BB$25:BB$77,Аренда!$F$25:$F$77,$F536,Аренда!$G$25:$G$77,"Арендная и концессионная плата, лизинговые платежи")</f>
        <v>0</v>
      </c>
      <c r="BD536" s="1114">
        <f>IF(AI536=0,0,(AT536-AI536)/AI536*100)</f>
        <v>0</v>
      </c>
      <c r="BE536" s="1114">
        <f>IF(AT536=0,0,(AU536-AT536)/AT536*100)</f>
        <v>0</v>
      </c>
      <c r="BF536" s="1114">
        <f>IF(AU536=0,0,(AV536-AU536)/AU536*100)</f>
        <v>0</v>
      </c>
      <c r="BG536" s="1114">
        <f>IF(AV536=0,0,(AW536-AV536)/AV536*100)</f>
        <v>0</v>
      </c>
      <c r="BH536" s="1114">
        <f>IF(AW536=0,0,(AX536-AW536)/AW536*100)</f>
        <v>0</v>
      </c>
      <c r="BI536" s="1114">
        <f>IF(AX536=0,0,(AY536-AX536)/AX536*100)</f>
        <v>-100</v>
      </c>
      <c r="BJ536" s="1114">
        <f>IF(AY536=0,0,(AZ536-AY536)/AY536*100)</f>
        <v>0</v>
      </c>
      <c r="BK536" s="1114">
        <f>IF(AZ536=0,0,(BA536-AZ536)/AZ536*100)</f>
        <v>0</v>
      </c>
      <c r="BL536" s="1114">
        <f>IF(BA536=0,0,(BB536-BA536)/BA536*100)</f>
        <v>0</v>
      </c>
      <c r="BM536" s="1114">
        <f>IF(BB536=0,0,(BC536-BB536)/BB536*100)</f>
        <v>0</v>
      </c>
      <c r="BN536" s="7433"/>
      <c r="BO536" s="7487" t="s">
        <v>2929</v>
      </c>
      <c r="BP536" s="7433"/>
      <c r="BQ536" s="1278"/>
      <c r="BR536" s="1278"/>
      <c r="BS536" s="1064" t="s">
        <v>2804</v>
      </c>
      <c r="BT536" s="1064"/>
      <c r="BU536" s="1064"/>
      <c r="BV536" s="979"/>
      <c r="BW536" s="979"/>
    </row>
    <row s="1834" customFormat="1" customHeight="1" ht="0">
      <c r="A537" s="1278"/>
      <c r="B537" s="432">
        <f>STATUS_GO="да"</f>
        <v>1</v>
      </c>
      <c r="C537" s="107"/>
      <c r="D537" s="107"/>
      <c r="E537" s="621">
        <v>15</v>
      </c>
      <c r="F537" s="50" cm="1" t="str">
        <f t="array" ref="F537:F537">OFFSET(E537,-1,1)</f>
        <v>3</v>
      </c>
      <c r="G537" s="107"/>
      <c r="H537" s="107"/>
      <c r="I537" s="107" t="s">
        <v>2805</v>
      </c>
      <c r="J537" s="107"/>
      <c r="K537" s="158" t="s">
        <v>2805</v>
      </c>
      <c r="L537" s="980"/>
      <c r="M537" s="107"/>
      <c r="N537" s="107"/>
      <c r="O537" s="107"/>
      <c r="P537" s="107"/>
      <c r="Q537" s="107"/>
      <c r="R537" s="107"/>
      <c r="S537" s="107"/>
      <c r="T537" s="465" cm="1" t="str">
        <f t="array" ref="T537:T537">T536</f>
        <v>true</v>
      </c>
      <c r="U537" s="107"/>
      <c r="V537" s="107"/>
      <c r="W537" s="107"/>
      <c r="X537" s="1596"/>
      <c r="Y537" s="1278"/>
      <c r="Z537" s="1546"/>
      <c r="AA537" s="1278"/>
      <c r="AB537" s="300" t="s">
        <v>2245</v>
      </c>
      <c r="AC537" s="762" t="s">
        <v>2806</v>
      </c>
      <c r="AD537" s="300" t="s">
        <v>1514</v>
      </c>
      <c r="AE537" s="3946" cm="1" t="str">
        <f t="array" ref="AE537:AE537">AE538</f>
        <v>0</v>
      </c>
      <c r="AF537" s="3946" cm="1" t="str">
        <f t="array" ref="AF537:AF537">AF538</f>
        <v>0</v>
      </c>
      <c r="AG537" s="3946" cm="1" t="str">
        <f t="array" ref="AG537:AG537">AG538</f>
        <v>0</v>
      </c>
      <c r="AH537" s="1114">
        <f>AG537-AF537</f>
        <v>0</v>
      </c>
      <c r="AI537" s="3946" cm="1" t="str">
        <f t="array" ref="AI537:AI537">AI538</f>
        <v>0</v>
      </c>
      <c r="AJ537" s="3946" cm="1" t="str">
        <f t="array" ref="AJ537:AJ537">AJ538</f>
        <v>0</v>
      </c>
      <c r="AK537" s="3946" cm="1" t="str">
        <f t="array" ref="AK537:AK537">AK538</f>
        <v>0</v>
      </c>
      <c r="AL537" s="3946" cm="1" t="str">
        <f t="array" ref="AL537:AL537">AL538</f>
        <v>0</v>
      </c>
      <c r="AM537" s="3946" cm="1" t="str">
        <f t="array" ref="AM537:AM537">AM538</f>
        <v>0</v>
      </c>
      <c r="AN537" s="3946" cm="1" t="str">
        <f t="array" ref="AN537:AN537">AN538</f>
        <v>0</v>
      </c>
      <c r="AO537" s="1241" cm="1" t="str">
        <f t="array" ref="AO537:AO537">AO538</f>
        <v>0</v>
      </c>
      <c r="AP537" s="1241" cm="1" t="str">
        <f t="array" ref="AP537:AP537">AP538</f>
        <v>0</v>
      </c>
      <c r="AQ537" s="1241" cm="1" t="str">
        <f t="array" ref="AQ537:AQ537">AQ538</f>
        <v>0</v>
      </c>
      <c r="AR537" s="1241" cm="1" t="str">
        <f t="array" ref="AR537:AR537">AR538</f>
        <v>0</v>
      </c>
      <c r="AS537" s="1241" cm="1" t="str">
        <f t="array" ref="AS537:AS537">AS538</f>
        <v>0</v>
      </c>
      <c r="AT537" s="3946" cm="1" t="str">
        <f t="array" ref="AT537:AT537">AT538</f>
        <v>0</v>
      </c>
      <c r="AU537" s="3946" cm="1" t="str">
        <f t="array" ref="AU537:AU537">AU538</f>
        <v>0</v>
      </c>
      <c r="AV537" s="3946" cm="1" t="str">
        <f t="array" ref="AV537:AV537">AV538</f>
        <v>0</v>
      </c>
      <c r="AW537" s="3946" cm="1" t="str">
        <f t="array" ref="AW537:AW537">AW538</f>
        <v>0</v>
      </c>
      <c r="AX537" s="3946" cm="1" t="str">
        <f t="array" ref="AX537:AX537">AX538</f>
        <v>0</v>
      </c>
      <c r="AY537" s="1241" cm="1" t="str">
        <f t="array" ref="AY537:AY537">AY538</f>
        <v>0</v>
      </c>
      <c r="AZ537" s="1241" cm="1" t="str">
        <f t="array" ref="AZ537:AZ537">AZ538</f>
        <v>0</v>
      </c>
      <c r="BA537" s="1241" cm="1" t="str">
        <f t="array" ref="BA537:BA537">BA538</f>
        <v>0</v>
      </c>
      <c r="BB537" s="1241" cm="1" t="str">
        <f t="array" ref="BB537:BB537">BB538</f>
        <v>0</v>
      </c>
      <c r="BC537" s="1241" cm="1" t="str">
        <f t="array" ref="BC537:BC537">BC538</f>
        <v>0</v>
      </c>
      <c r="BD537" s="1114">
        <f>IF(AI537=0,0,(AT537-AI537)/AI537*100)</f>
        <v>0</v>
      </c>
      <c r="BE537" s="1114">
        <f>IF(AT537=0,0,(AU537-AT537)/AT537*100)</f>
        <v>0</v>
      </c>
      <c r="BF537" s="1114">
        <f>IF(AU537=0,0,(AV537-AU537)/AU537*100)</f>
        <v>0</v>
      </c>
      <c r="BG537" s="1114">
        <f>IF(AV537=0,0,(AW537-AV537)/AV537*100)</f>
        <v>0</v>
      </c>
      <c r="BH537" s="1114">
        <f>IF(AW537=0,0,(AX537-AW537)/AW537*100)</f>
        <v>0</v>
      </c>
      <c r="BI537" s="1114">
        <f>IF(AX537=0,0,(AY537-AX537)/AX537*100)</f>
        <v>0</v>
      </c>
      <c r="BJ537" s="1114">
        <f>IF(AY537=0,0,(AZ537-AY537)/AY537*100)</f>
        <v>0</v>
      </c>
      <c r="BK537" s="1114">
        <f>IF(AZ537=0,0,(BA537-AZ537)/AZ537*100)</f>
        <v>0</v>
      </c>
      <c r="BL537" s="1114">
        <f>IF(BA537=0,0,(BB537-BA537)/BA537*100)</f>
        <v>0</v>
      </c>
      <c r="BM537" s="1114">
        <f>IF(BB537=0,0,(BC537-BB537)/BB537*100)</f>
        <v>0</v>
      </c>
      <c r="BN537" s="7433"/>
      <c r="BO537" s="7433"/>
      <c r="BP537" s="7433"/>
      <c r="BQ537" s="1278"/>
      <c r="BR537" s="1278"/>
      <c r="BS537" s="1064" t="s">
        <v>2807</v>
      </c>
      <c r="BT537" s="1064"/>
      <c r="BU537" s="1064"/>
      <c r="BV537" s="979"/>
      <c r="BW537" s="979"/>
    </row>
    <row s="1834" customFormat="1" customHeight="1" ht="0">
      <c r="A538" s="1278"/>
      <c r="B538" s="432">
        <f>STATUS_GO="да"</f>
        <v>1</v>
      </c>
      <c r="C538" s="107"/>
      <c r="D538" s="107"/>
      <c r="E538" s="621">
        <v>15</v>
      </c>
      <c r="F538" s="50" cm="1" t="str">
        <f t="array" ref="F538:F538">OFFSET(E538,-1,1)</f>
        <v>3</v>
      </c>
      <c r="G538" s="107" t="s">
        <v>2187</v>
      </c>
      <c r="H538" s="107"/>
      <c r="I538" s="107" t="s">
        <v>2808</v>
      </c>
      <c r="J538" s="107"/>
      <c r="K538" s="158" t="s">
        <v>2808</v>
      </c>
      <c r="L538" s="980"/>
      <c r="M538" s="107"/>
      <c r="N538" s="107"/>
      <c r="O538" s="107"/>
      <c r="P538" s="107"/>
      <c r="Q538" s="107"/>
      <c r="R538" s="107"/>
      <c r="S538" s="107"/>
      <c r="T538" s="465" cm="1" t="str">
        <f t="array" ref="T538:T538">T537</f>
        <v>true</v>
      </c>
      <c r="U538" s="107"/>
      <c r="V538" s="107"/>
      <c r="W538" s="107"/>
      <c r="X538" s="1596"/>
      <c r="Y538" s="1278"/>
      <c r="Z538" s="1546"/>
      <c r="AA538" s="1278"/>
      <c r="AB538" s="300" t="s">
        <v>2809</v>
      </c>
      <c r="AC538" s="765" t="s">
        <v>2187</v>
      </c>
      <c r="AD538" s="300" t="s">
        <v>1514</v>
      </c>
      <c r="AE538" s="1114">
        <f>_xlfn.SUMIFS('Сбытовые расходы ГО'!AE$25:AE$87,'Сбытовые расходы ГО'!$F$25:$F$87,$F538,'Сбытовые расходы ГО'!$G$25:$G$87,"l1")</f>
        <v>0</v>
      </c>
      <c r="AF538" s="1114">
        <f>_xlfn.SUMIFS('Сбытовые расходы ГО'!AF$25:AF$87,'Сбытовые расходы ГО'!$F$25:$F$87,$F538,'Сбытовые расходы ГО'!$G$25:$G$87,"l1")</f>
        <v>0</v>
      </c>
      <c r="AG538" s="1114">
        <f>_xlfn.SUMIFS('Сбытовые расходы ГО'!AG$25:AG$87,'Сбытовые расходы ГО'!$F$25:$F$87,$F538,'Сбытовые расходы ГО'!$G$25:$G$87,"l1")</f>
        <v>0</v>
      </c>
      <c r="AH538" s="1114">
        <f>AG538-AF538</f>
        <v>0</v>
      </c>
      <c r="AI538" s="1114">
        <f>_xlfn.SUMIFS('Сбытовые расходы ГО'!AH$25:AH$87,'Сбытовые расходы ГО'!$F$25:$F$87,$F538,'Сбытовые расходы ГО'!$G$25:$G$87,"l1")</f>
        <v>0</v>
      </c>
      <c r="AJ538" s="1114">
        <f>_xlfn.SUMIFS('Сбытовые расходы ГО'!AI$25:AI$87,'Сбытовые расходы ГО'!$F$25:$F$87,$F538,'Сбытовые расходы ГО'!$G$25:$G$87,"l1")</f>
        <v>0</v>
      </c>
      <c r="AK538" s="3946"/>
      <c r="AL538" s="3946"/>
      <c r="AM538" s="3946"/>
      <c r="AN538" s="3946"/>
      <c r="AO538" s="1241"/>
      <c r="AP538" s="1241"/>
      <c r="AQ538" s="1241"/>
      <c r="AR538" s="1241"/>
      <c r="AS538" s="1241"/>
      <c r="AT538" s="1114">
        <f>_xlfn.SUMIFS('Сбытовые расходы ГО'!AJ$25:AJ$87,'Сбытовые расходы ГО'!$F$25:$F$87,$F538,'Сбытовые расходы ГО'!$G$25:$G$87,"l1")</f>
        <v>0</v>
      </c>
      <c r="AU538" s="3946"/>
      <c r="AV538" s="3946"/>
      <c r="AW538" s="3946"/>
      <c r="AX538" s="3946"/>
      <c r="AY538" s="1241"/>
      <c r="AZ538" s="1241"/>
      <c r="BA538" s="1241"/>
      <c r="BB538" s="1241"/>
      <c r="BC538" s="1241"/>
      <c r="BD538" s="1114">
        <f>IF(AI538=0,0,(AT538-AI538)/AI538*100)</f>
        <v>0</v>
      </c>
      <c r="BE538" s="1114">
        <f>IF(AT538=0,0,(AU538-AT538)/AT538*100)</f>
        <v>0</v>
      </c>
      <c r="BF538" s="1114">
        <f>IF(AU538=0,0,(AV538-AU538)/AU538*100)</f>
        <v>0</v>
      </c>
      <c r="BG538" s="1114">
        <f>IF(AV538=0,0,(AW538-AV538)/AV538*100)</f>
        <v>0</v>
      </c>
      <c r="BH538" s="1114">
        <f>IF(AW538=0,0,(AX538-AW538)/AW538*100)</f>
        <v>0</v>
      </c>
      <c r="BI538" s="1114">
        <f>IF(AX538=0,0,(AY538-AX538)/AX538*100)</f>
        <v>0</v>
      </c>
      <c r="BJ538" s="1114">
        <f>IF(AY538=0,0,(AZ538-AY538)/AY538*100)</f>
        <v>0</v>
      </c>
      <c r="BK538" s="1114">
        <f>IF(AZ538=0,0,(BA538-AZ538)/AZ538*100)</f>
        <v>0</v>
      </c>
      <c r="BL538" s="1114">
        <f>IF(BA538=0,0,(BB538-BA538)/BA538*100)</f>
        <v>0</v>
      </c>
      <c r="BM538" s="1114">
        <f>IF(BB538=0,0,(BC538-BB538)/BB538*100)</f>
        <v>0</v>
      </c>
      <c r="BN538" s="7433"/>
      <c r="BO538" s="7487" t="str">
        <f>IF(_xlfn.IFERROR(INDEX('Сбытовые расходы ГО'!$K$26:$M$87,MATCH($F538&amp;"komm",'Сбытовые расходы ГО'!$K$26:$K$87,0),2),"")=0,"",_xlfn.IFERROR(INDEX('Сбытовые расходы ГО'!$K$26:$M$87,MATCH($F538&amp;"komm",'Сбытовые расходы ГО'!$K$26:$K$87,0),2),""))</f>
        <v/>
      </c>
      <c r="BP538" s="7433"/>
      <c r="BQ538" s="1278"/>
      <c r="BR538" s="1278"/>
      <c r="BS538" s="1064" t="s">
        <v>2810</v>
      </c>
      <c r="BT538" s="1064"/>
      <c r="BU538" s="1064"/>
      <c r="BV538" s="979"/>
      <c r="BW538" s="979"/>
    </row>
    <row s="1834" customFormat="1" customHeight="1" ht="0">
      <c r="A539" s="1278"/>
      <c r="B539" s="978"/>
      <c r="C539" s="107"/>
      <c r="D539" s="107"/>
      <c r="E539" s="621">
        <v>15</v>
      </c>
      <c r="F539" s="50" cm="1" t="str">
        <f t="array" ref="F539:F539">OFFSET(E539,-1,1)</f>
        <v>3</v>
      </c>
      <c r="G539" s="107" t="s">
        <v>2192</v>
      </c>
      <c r="H539" s="107"/>
      <c r="I539" s="107" t="s">
        <v>2811</v>
      </c>
      <c r="J539" s="107"/>
      <c r="K539" s="158" t="s">
        <v>2811</v>
      </c>
      <c r="L539" s="980"/>
      <c r="M539" s="107"/>
      <c r="N539" s="107"/>
      <c r="O539" s="107"/>
      <c r="P539" s="107"/>
      <c r="Q539" s="107"/>
      <c r="R539" s="107"/>
      <c r="S539" s="107"/>
      <c r="T539" s="465" cm="1" t="str">
        <f t="array" ref="T539:T539">T538</f>
        <v>true</v>
      </c>
      <c r="U539" s="107"/>
      <c r="V539" s="107"/>
      <c r="W539" s="107"/>
      <c r="X539" s="1596"/>
      <c r="Y539" s="1278"/>
      <c r="Z539" s="1546"/>
      <c r="AA539" s="1278"/>
      <c r="AB539" s="300" t="s">
        <v>2250</v>
      </c>
      <c r="AC539" s="762" t="s">
        <v>2192</v>
      </c>
      <c r="AD539" s="300" t="s">
        <v>1514</v>
      </c>
      <c r="AE539" s="3946"/>
      <c r="AF539" s="3946"/>
      <c r="AG539" s="3946"/>
      <c r="AH539" s="1114">
        <f>AG539-AF539</f>
        <v>0</v>
      </c>
      <c r="AI539" s="3946"/>
      <c r="AJ539" s="3946">
        <f>_xlfn.SUMIFS(Экономия_корр!AE$25:AE$67,Экономия_корр!$F$25:$F$67,$F539,Экономия_корр!$AC$25:$AC$67,"Экономия расходов с учетом ИПЦ")</f>
        <v>0</v>
      </c>
      <c r="AK539" s="3946">
        <f>_xlfn.SUMIFS(Экономия_корр!AF$25:AF$67,Экономия_корр!$F$25:$F$67,$F539,Экономия_корр!$AC$25:$AC$67,"Экономия расходов с учетом ИПЦ")</f>
        <v>0</v>
      </c>
      <c r="AL539" s="3946">
        <f>_xlfn.SUMIFS(Экономия_корр!AG$25:AG$67,Экономия_корр!$F$25:$F$67,$F539,Экономия_корр!$AC$25:$AC$67,"Экономия расходов с учетом ИПЦ")</f>
        <v>0</v>
      </c>
      <c r="AM539" s="3946">
        <f>_xlfn.SUMIFS(Экономия_корр!AH$25:AH$67,Экономия_корр!$F$25:$F$67,$F539,Экономия_корр!$AC$25:$AC$67,"Экономия расходов с учетом ИПЦ")</f>
        <v>0</v>
      </c>
      <c r="AN539" s="3946">
        <f>_xlfn.SUMIFS(Экономия_корр!AI$25:AI$67,Экономия_корр!$F$25:$F$67,$F539,Экономия_корр!$AC$25:$AC$67,"Экономия расходов с учетом ИПЦ")</f>
        <v>0</v>
      </c>
      <c r="AO539" s="1241">
        <f>_xlfn.SUMIFS(Экономия_корр!AJ$25:AJ$67,Экономия_корр!$F$25:$F$67,$F539,Экономия_корр!$AC$25:$AC$67,"Экономия расходов с учетом ИПЦ")</f>
        <v>0</v>
      </c>
      <c r="AP539" s="1241">
        <f>_xlfn.SUMIFS(Экономия_корр!AK$25:AK$67,Экономия_корр!$F$25:$F$67,$F539,Экономия_корр!$AC$25:$AC$67,"Экономия расходов с учетом ИПЦ")</f>
        <v>0</v>
      </c>
      <c r="AQ539" s="1241">
        <f>_xlfn.SUMIFS(Экономия_корр!AL$25:AL$67,Экономия_корр!$F$25:$F$67,$F539,Экономия_корр!$AC$25:$AC$67,"Экономия расходов с учетом ИПЦ")</f>
        <v>0</v>
      </c>
      <c r="AR539" s="1241">
        <f>_xlfn.SUMIFS(Экономия_корр!AM$25:AM$67,Экономия_корр!$F$25:$F$67,$F539,Экономия_корр!$AC$25:$AC$67,"Экономия расходов с учетом ИПЦ")</f>
        <v>0</v>
      </c>
      <c r="AS539" s="1241">
        <f>_xlfn.SUMIFS(Экономия_корр!AN$25:AN$67,Экономия_корр!$F$25:$F$67,$F539,Экономия_корр!$AC$25:$AC$67,"Экономия расходов с учетом ИПЦ")</f>
        <v>0</v>
      </c>
      <c r="AT539" s="3946">
        <f>_xlfn.SUMIFS(Экономия_корр!AO$25:AO$67,Экономия_корр!$F$25:$F$67,$F539,Экономия_корр!$AC$25:$AC$67,"Экономия расходов с учетом ИПЦ")</f>
        <v>0</v>
      </c>
      <c r="AU539" s="3946">
        <f>_xlfn.SUMIFS(Экономия_корр!AP$25:AP$67,Экономия_корр!$F$25:$F$67,$F539,Экономия_корр!$AC$25:$AC$67,"Экономия расходов с учетом ИПЦ")</f>
        <v>0</v>
      </c>
      <c r="AV539" s="3946">
        <f>_xlfn.SUMIFS(Экономия_корр!AQ$25:AQ$67,Экономия_корр!$F$25:$F$67,$F539,Экономия_корр!$AC$25:$AC$67,"Экономия расходов с учетом ИПЦ")</f>
        <v>0</v>
      </c>
      <c r="AW539" s="3946">
        <f>_xlfn.SUMIFS(Экономия_корр!AR$25:AR$67,Экономия_корр!$F$25:$F$67,$F539,Экономия_корр!$AC$25:$AC$67,"Экономия расходов с учетом ИПЦ")</f>
        <v>0</v>
      </c>
      <c r="AX539" s="3946">
        <f>_xlfn.SUMIFS(Экономия_корр!AS$25:AS$67,Экономия_корр!$F$25:$F$67,$F539,Экономия_корр!$AC$25:$AC$67,"Экономия расходов с учетом ИПЦ")</f>
        <v>0</v>
      </c>
      <c r="AY539" s="1241">
        <f>_xlfn.SUMIFS(Экономия_корр!AT$25:AT$67,Экономия_корр!$F$25:$F$67,$F539,Экономия_корр!$AC$25:$AC$67,"Экономия расходов с учетом ИПЦ")</f>
        <v>0</v>
      </c>
      <c r="AZ539" s="1241">
        <f>_xlfn.SUMIFS(Экономия_корр!AU$25:AU$67,Экономия_корр!$F$25:$F$67,$F539,Экономия_корр!$AC$25:$AC$67,"Экономия расходов с учетом ИПЦ")</f>
        <v>0</v>
      </c>
      <c r="BA539" s="1241">
        <f>_xlfn.SUMIFS(Экономия_корр!AV$25:AV$67,Экономия_корр!$F$25:$F$67,$F539,Экономия_корр!$AC$25:$AC$67,"Экономия расходов с учетом ИПЦ")</f>
        <v>0</v>
      </c>
      <c r="BB539" s="1241">
        <f>_xlfn.SUMIFS(Экономия_корр!AW$25:AW$67,Экономия_корр!$F$25:$F$67,$F539,Экономия_корр!$AC$25:$AC$67,"Экономия расходов с учетом ИПЦ")</f>
        <v>0</v>
      </c>
      <c r="BC539" s="1241">
        <f>_xlfn.SUMIFS(Экономия_корр!AX$25:AX$67,Экономия_корр!$F$25:$F$67,$F539,Экономия_корр!$AC$25:$AC$67,"Экономия расходов с учетом ИПЦ")</f>
        <v>0</v>
      </c>
      <c r="BD539" s="1114">
        <f>IF(AI539=0,0,(AT539-AI539)/AI539*100)</f>
        <v>0</v>
      </c>
      <c r="BE539" s="1114">
        <f>IF(AT539=0,0,(AU539-AT539)/AT539*100)</f>
        <v>0</v>
      </c>
      <c r="BF539" s="1114">
        <f>IF(AU539=0,0,(AV539-AU539)/AU539*100)</f>
        <v>0</v>
      </c>
      <c r="BG539" s="1114">
        <f>IF(AV539=0,0,(AW539-AV539)/AV539*100)</f>
        <v>0</v>
      </c>
      <c r="BH539" s="1114">
        <f>IF(AW539=0,0,(AX539-AW539)/AW539*100)</f>
        <v>0</v>
      </c>
      <c r="BI539" s="1114">
        <f>IF(AX539=0,0,(AY539-AX539)/AX539*100)</f>
        <v>0</v>
      </c>
      <c r="BJ539" s="1114">
        <f>IF(AY539=0,0,(AZ539-AY539)/AY539*100)</f>
        <v>0</v>
      </c>
      <c r="BK539" s="1114">
        <f>IF(AZ539=0,0,(BA539-AZ539)/AZ539*100)</f>
        <v>0</v>
      </c>
      <c r="BL539" s="1114">
        <f>IF(BA539=0,0,(BB539-BA539)/BA539*100)</f>
        <v>0</v>
      </c>
      <c r="BM539" s="1114">
        <f>IF(BB539=0,0,(BC539-BB539)/BB539*100)</f>
        <v>0</v>
      </c>
      <c r="BN539" s="7433"/>
      <c r="BO539" s="7433"/>
      <c r="BP539" s="7433"/>
      <c r="BQ539" s="1278"/>
      <c r="BR539" s="1278"/>
      <c r="BS539" s="1064" t="s">
        <v>2812</v>
      </c>
      <c r="BT539" s="1064"/>
      <c r="BU539" s="1064"/>
      <c r="BV539" s="979"/>
      <c r="BW539" s="979"/>
    </row>
    <row s="1834" customFormat="1" customHeight="1" ht="0">
      <c r="A540" s="1278"/>
      <c r="B540" s="978"/>
      <c r="C540" s="107"/>
      <c r="D540" s="107"/>
      <c r="E540" s="621">
        <v>15</v>
      </c>
      <c r="F540" s="50" cm="1" t="str">
        <f t="array" ref="F540:F540">OFFSET(E540,-1,1)</f>
        <v>3</v>
      </c>
      <c r="G540" s="107" t="s">
        <v>2197</v>
      </c>
      <c r="H540" s="107"/>
      <c r="I540" s="107" t="s">
        <v>2813</v>
      </c>
      <c r="J540" s="107"/>
      <c r="K540" s="158" t="s">
        <v>2813</v>
      </c>
      <c r="L540" s="980"/>
      <c r="M540" s="107"/>
      <c r="N540" s="107"/>
      <c r="O540" s="107"/>
      <c r="P540" s="107"/>
      <c r="Q540" s="107"/>
      <c r="R540" s="107"/>
      <c r="S540" s="107"/>
      <c r="T540" s="465" cm="1" t="str">
        <f t="array" ref="T540:T540">T539</f>
        <v>true</v>
      </c>
      <c r="U540" s="107"/>
      <c r="V540" s="107"/>
      <c r="W540" s="107"/>
      <c r="X540" s="1596"/>
      <c r="Y540" s="1278"/>
      <c r="Z540" s="1546"/>
      <c r="AA540" s="1278"/>
      <c r="AB540" s="300" t="s">
        <v>2814</v>
      </c>
      <c r="AC540" s="762" t="s">
        <v>2197</v>
      </c>
      <c r="AD540" s="300" t="s">
        <v>1514</v>
      </c>
      <c r="AE540" s="3946"/>
      <c r="AF540" s="3946"/>
      <c r="AG540" s="3946"/>
      <c r="AH540" s="1114">
        <f>AG540-AF540</f>
        <v>0</v>
      </c>
      <c r="AI540" s="3946"/>
      <c r="AJ540" s="3946"/>
      <c r="AK540" s="3946"/>
      <c r="AL540" s="3946"/>
      <c r="AM540" s="3946"/>
      <c r="AN540" s="3946"/>
      <c r="AO540" s="1241"/>
      <c r="AP540" s="1241"/>
      <c r="AQ540" s="1241"/>
      <c r="AR540" s="1241"/>
      <c r="AS540" s="1241"/>
      <c r="AT540" s="3946"/>
      <c r="AU540" s="3946"/>
      <c r="AV540" s="3946"/>
      <c r="AW540" s="3946"/>
      <c r="AX540" s="3946"/>
      <c r="AY540" s="1241"/>
      <c r="AZ540" s="1241"/>
      <c r="BA540" s="1241"/>
      <c r="BB540" s="1241"/>
      <c r="BC540" s="1241"/>
      <c r="BD540" s="1114">
        <f>IF(AI540=0,0,(AT540-AI540)/AI540*100)</f>
        <v>0</v>
      </c>
      <c r="BE540" s="1114">
        <f>IF(AT540=0,0,(AU540-AT540)/AT540*100)</f>
        <v>0</v>
      </c>
      <c r="BF540" s="1114">
        <f>IF(AU540=0,0,(AV540-AU540)/AU540*100)</f>
        <v>0</v>
      </c>
      <c r="BG540" s="1114">
        <f>IF(AV540=0,0,(AW540-AV540)/AV540*100)</f>
        <v>0</v>
      </c>
      <c r="BH540" s="1114">
        <f>IF(AW540=0,0,(AX540-AW540)/AW540*100)</f>
        <v>0</v>
      </c>
      <c r="BI540" s="1114">
        <f>IF(AX540=0,0,(AY540-AX540)/AX540*100)</f>
        <v>0</v>
      </c>
      <c r="BJ540" s="1114">
        <f>IF(AY540=0,0,(AZ540-AY540)/AY540*100)</f>
        <v>0</v>
      </c>
      <c r="BK540" s="1114">
        <f>IF(AZ540=0,0,(BA540-AZ540)/AZ540*100)</f>
        <v>0</v>
      </c>
      <c r="BL540" s="1114">
        <f>IF(BA540=0,0,(BB540-BA540)/BA540*100)</f>
        <v>0</v>
      </c>
      <c r="BM540" s="1114">
        <f>IF(BB540=0,0,(BC540-BB540)/BB540*100)</f>
        <v>0</v>
      </c>
      <c r="BN540" s="7433"/>
      <c r="BO540" s="7433"/>
      <c r="BP540" s="7433"/>
      <c r="BQ540" s="1278"/>
      <c r="BR540" s="1278"/>
      <c r="BS540" s="1064" t="s">
        <v>2551</v>
      </c>
      <c r="BT540" s="1064"/>
      <c r="BU540" s="1064"/>
      <c r="BV540" s="979"/>
      <c r="BW540" s="979"/>
    </row>
    <row s="1834" customFormat="1" customHeight="1" ht="0">
      <c r="A541" s="1278"/>
      <c r="B541" s="978"/>
      <c r="C541" s="107"/>
      <c r="D541" s="107"/>
      <c r="E541" s="621">
        <v>15</v>
      </c>
      <c r="F541" s="50" cm="1" t="str">
        <f t="array" ref="F541:F541">OFFSET(E541,-1,1)</f>
        <v>3</v>
      </c>
      <c r="G541" s="107" t="s">
        <v>2202</v>
      </c>
      <c r="H541" s="107"/>
      <c r="I541" s="107" t="s">
        <v>2815</v>
      </c>
      <c r="J541" s="107"/>
      <c r="K541" s="158" t="s">
        <v>2815</v>
      </c>
      <c r="L541" s="980"/>
      <c r="M541" s="107"/>
      <c r="N541" s="107"/>
      <c r="O541" s="107"/>
      <c r="P541" s="107"/>
      <c r="Q541" s="107"/>
      <c r="R541" s="107"/>
      <c r="S541" s="107"/>
      <c r="T541" s="465" cm="1" t="str">
        <f t="array" ref="T541:T541">T540</f>
        <v>true</v>
      </c>
      <c r="U541" s="107"/>
      <c r="V541" s="107"/>
      <c r="W541" s="107"/>
      <c r="X541" s="1596"/>
      <c r="Y541" s="1278"/>
      <c r="Z541" s="1546"/>
      <c r="AA541" s="1278"/>
      <c r="AB541" s="300" t="s">
        <v>2269</v>
      </c>
      <c r="AC541" s="762" t="s">
        <v>2202</v>
      </c>
      <c r="AD541" s="300" t="s">
        <v>1514</v>
      </c>
      <c r="AE541" s="3946"/>
      <c r="AF541" s="3946"/>
      <c r="AG541" s="3946"/>
      <c r="AH541" s="1114">
        <f>AG541-AF541</f>
        <v>0</v>
      </c>
      <c r="AI541" s="3946"/>
      <c r="AJ541" s="3946"/>
      <c r="AK541" s="3946"/>
      <c r="AL541" s="3946"/>
      <c r="AM541" s="3946"/>
      <c r="AN541" s="3946"/>
      <c r="AO541" s="1241"/>
      <c r="AP541" s="1241"/>
      <c r="AQ541" s="1241"/>
      <c r="AR541" s="1241"/>
      <c r="AS541" s="1241"/>
      <c r="AT541" s="3946"/>
      <c r="AU541" s="3946"/>
      <c r="AV541" s="3946"/>
      <c r="AW541" s="3946"/>
      <c r="AX541" s="3946"/>
      <c r="AY541" s="1241"/>
      <c r="AZ541" s="1241"/>
      <c r="BA541" s="1241"/>
      <c r="BB541" s="1241"/>
      <c r="BC541" s="1241"/>
      <c r="BD541" s="1114">
        <f>IF(AI541=0,0,(AT541-AI541)/AI541*100)</f>
        <v>0</v>
      </c>
      <c r="BE541" s="1114">
        <f>IF(AT541=0,0,(AU541-AT541)/AT541*100)</f>
        <v>0</v>
      </c>
      <c r="BF541" s="1114">
        <f>IF(AU541=0,0,(AV541-AU541)/AU541*100)</f>
        <v>0</v>
      </c>
      <c r="BG541" s="1114">
        <f>IF(AV541=0,0,(AW541-AV541)/AV541*100)</f>
        <v>0</v>
      </c>
      <c r="BH541" s="1114">
        <f>IF(AW541=0,0,(AX541-AW541)/AW541*100)</f>
        <v>0</v>
      </c>
      <c r="BI541" s="1114">
        <f>IF(AX541=0,0,(AY541-AX541)/AX541*100)</f>
        <v>0</v>
      </c>
      <c r="BJ541" s="1114">
        <f>IF(AY541=0,0,(AZ541-AY541)/AY541*100)</f>
        <v>0</v>
      </c>
      <c r="BK541" s="1114">
        <f>IF(AZ541=0,0,(BA541-AZ541)/AZ541*100)</f>
        <v>0</v>
      </c>
      <c r="BL541" s="1114">
        <f>IF(BA541=0,0,(BB541-BA541)/BA541*100)</f>
        <v>0</v>
      </c>
      <c r="BM541" s="1114">
        <f>IF(BB541=0,0,(BC541-BB541)/BB541*100)</f>
        <v>0</v>
      </c>
      <c r="BN541" s="7433"/>
      <c r="BO541" s="7433"/>
      <c r="BP541" s="7433"/>
      <c r="BQ541" s="1278"/>
      <c r="BR541" s="1278"/>
      <c r="BS541" s="1064" t="s">
        <v>2816</v>
      </c>
      <c r="BT541" s="1064"/>
      <c r="BU541" s="1064"/>
      <c r="BV541" s="979"/>
      <c r="BW541" s="979"/>
    </row>
    <row s="1834" customFormat="1" customHeight="1" ht="0">
      <c r="A542" s="1278"/>
      <c r="B542" s="978"/>
      <c r="C542" s="107"/>
      <c r="D542" s="107"/>
      <c r="E542" s="621">
        <v>15</v>
      </c>
      <c r="F542" s="50" cm="1" t="str">
        <f t="array" ref="F542:F542">OFFSET(E542,-1,1)</f>
        <v>3</v>
      </c>
      <c r="G542" s="107" t="s">
        <v>2207</v>
      </c>
      <c r="H542" s="107"/>
      <c r="I542" s="107" t="s">
        <v>2817</v>
      </c>
      <c r="J542" s="107"/>
      <c r="K542" s="158" t="s">
        <v>2817</v>
      </c>
      <c r="L542" s="980"/>
      <c r="M542" s="107"/>
      <c r="N542" s="107"/>
      <c r="O542" s="107"/>
      <c r="P542" s="107"/>
      <c r="Q542" s="107"/>
      <c r="R542" s="107"/>
      <c r="S542" s="107"/>
      <c r="T542" s="465" cm="1" t="str">
        <f t="array" ref="T542:T542">T541</f>
        <v>true</v>
      </c>
      <c r="U542" s="107"/>
      <c r="V542" s="107"/>
      <c r="W542" s="107"/>
      <c r="X542" s="1596"/>
      <c r="Y542" s="1278"/>
      <c r="Z542" s="1546"/>
      <c r="AA542" s="1278"/>
      <c r="AB542" s="300" t="s">
        <v>2273</v>
      </c>
      <c r="AC542" s="762" t="s">
        <v>2207</v>
      </c>
      <c r="AD542" s="300" t="s">
        <v>1514</v>
      </c>
      <c r="AE542" s="1116">
        <f>SUM(AE543,AE544)</f>
        <v>0</v>
      </c>
      <c r="AF542" s="1114">
        <f>SUM(AF543,AF544)</f>
        <v>0</v>
      </c>
      <c r="AG542" s="1114">
        <f>SUM(AG543,AG544)</f>
        <v>0</v>
      </c>
      <c r="AH542" s="1114">
        <f>AG542-AF542</f>
        <v>0</v>
      </c>
      <c r="AI542" s="1114">
        <f>SUM(AI543,AI544)</f>
        <v>0</v>
      </c>
      <c r="AJ542" s="1116">
        <f>SUM(AJ543,AJ544)</f>
        <v>0</v>
      </c>
      <c r="AK542" s="1114">
        <f>SUM(AK543,AK544)</f>
        <v>0</v>
      </c>
      <c r="AL542" s="1114">
        <f>SUM(AL543,AL544)</f>
        <v>0</v>
      </c>
      <c r="AM542" s="1114">
        <f>SUM(AM543,AM544)</f>
        <v>0</v>
      </c>
      <c r="AN542" s="1114">
        <f>SUM(AN543,AN544)</f>
        <v>0</v>
      </c>
      <c r="AO542" s="1114">
        <f>SUM(AO543,AO544)</f>
        <v>0</v>
      </c>
      <c r="AP542" s="1114">
        <f>SUM(AP543,AP544)</f>
        <v>0</v>
      </c>
      <c r="AQ542" s="1114">
        <f>SUM(AQ543,AQ544)</f>
        <v>0</v>
      </c>
      <c r="AR542" s="1114">
        <f>SUM(AR543,AR544)</f>
        <v>0</v>
      </c>
      <c r="AS542" s="1114">
        <f>SUM(AS543,AS544)</f>
        <v>0</v>
      </c>
      <c r="AT542" s="1116">
        <f>SUM(AT543,AT544)</f>
        <v>0</v>
      </c>
      <c r="AU542" s="1114">
        <f>SUM(AU543,AU544)</f>
        <v>0</v>
      </c>
      <c r="AV542" s="1114">
        <f>SUM(AV543,AV544)</f>
        <v>0</v>
      </c>
      <c r="AW542" s="1114">
        <f>SUM(AW543,AW544)</f>
        <v>0</v>
      </c>
      <c r="AX542" s="1114">
        <f>SUM(AX543,AX544)</f>
        <v>0</v>
      </c>
      <c r="AY542" s="1114">
        <f>SUM(AY543,AY544)</f>
        <v>0</v>
      </c>
      <c r="AZ542" s="1114">
        <f>SUM(AZ543,AZ544)</f>
        <v>0</v>
      </c>
      <c r="BA542" s="1114">
        <f>SUM(BA543,BA544)</f>
        <v>0</v>
      </c>
      <c r="BB542" s="1114">
        <f>SUM(BB543,BB544)</f>
        <v>0</v>
      </c>
      <c r="BC542" s="1114">
        <f>SUM(BC543,BC544)</f>
        <v>0</v>
      </c>
      <c r="BD542" s="1114">
        <f>IF(AI542=0,0,(AT542-AI542)/AI542*100)</f>
        <v>0</v>
      </c>
      <c r="BE542" s="1114">
        <f>IF(AT542=0,0,(AU542-AT542)/AT542*100)</f>
        <v>0</v>
      </c>
      <c r="BF542" s="1114">
        <f>IF(AU542=0,0,(AV542-AU542)/AU542*100)</f>
        <v>0</v>
      </c>
      <c r="BG542" s="1114">
        <f>IF(AV542=0,0,(AW542-AV542)/AV542*100)</f>
        <v>0</v>
      </c>
      <c r="BH542" s="1114">
        <f>IF(AW542=0,0,(AX542-AW542)/AW542*100)</f>
        <v>0</v>
      </c>
      <c r="BI542" s="1114">
        <f>IF(AX542=0,0,(AY542-AX542)/AX542*100)</f>
        <v>0</v>
      </c>
      <c r="BJ542" s="1114">
        <f>IF(AY542=0,0,(AZ542-AY542)/AY542*100)</f>
        <v>0</v>
      </c>
      <c r="BK542" s="1114">
        <f>IF(AZ542=0,0,(BA542-AZ542)/AZ542*100)</f>
        <v>0</v>
      </c>
      <c r="BL542" s="1114">
        <f>IF(BA542=0,0,(BB542-BA542)/BA542*100)</f>
        <v>0</v>
      </c>
      <c r="BM542" s="1114">
        <f>IF(BB542=0,0,(BC542-BB542)/BB542*100)</f>
        <v>0</v>
      </c>
      <c r="BN542" s="7433"/>
      <c r="BO542" s="7433"/>
      <c r="BP542" s="7433"/>
      <c r="BQ542" s="1278"/>
      <c r="BR542" s="1278"/>
      <c r="BS542" s="1064" t="s">
        <v>2818</v>
      </c>
      <c r="BT542" s="1064"/>
      <c r="BU542" s="1064"/>
      <c r="BV542" s="979"/>
      <c r="BW542" s="979"/>
    </row>
    <row s="1834" customFormat="1" customHeight="1" ht="0">
      <c r="A543" s="1278"/>
      <c r="B543" s="978"/>
      <c r="C543" s="107"/>
      <c r="D543" s="107"/>
      <c r="E543" s="621">
        <v>15</v>
      </c>
      <c r="F543" s="50" cm="1" t="str">
        <f t="array" ref="F543:F543">OFFSET(E543,-1,1)</f>
        <v>3</v>
      </c>
      <c r="G543" s="107"/>
      <c r="H543" s="107"/>
      <c r="I543" s="107" t="s">
        <v>2819</v>
      </c>
      <c r="J543" s="107"/>
      <c r="K543" s="158" t="s">
        <v>2819</v>
      </c>
      <c r="L543" s="980"/>
      <c r="M543" s="107"/>
      <c r="N543" s="107"/>
      <c r="O543" s="107"/>
      <c r="P543" s="107"/>
      <c r="Q543" s="107"/>
      <c r="R543" s="107"/>
      <c r="S543" s="107"/>
      <c r="T543" s="465" cm="1" t="str">
        <f t="array" ref="T543:T543">T542</f>
        <v>true</v>
      </c>
      <c r="U543" s="107"/>
      <c r="V543" s="107"/>
      <c r="W543" s="107"/>
      <c r="X543" s="1596"/>
      <c r="Y543" s="1278"/>
      <c r="Z543" s="1546"/>
      <c r="AA543" s="1278"/>
      <c r="AB543" s="300" t="s">
        <v>2820</v>
      </c>
      <c r="AC543" s="765" t="s">
        <v>2821</v>
      </c>
      <c r="AD543" s="300" t="s">
        <v>1514</v>
      </c>
      <c r="AE543" s="3946"/>
      <c r="AF543" s="3946"/>
      <c r="AG543" s="3946"/>
      <c r="AH543" s="1114">
        <f>AG543-AF543</f>
        <v>0</v>
      </c>
      <c r="AI543" s="3946"/>
      <c r="AJ543" s="3946"/>
      <c r="AK543" s="3946"/>
      <c r="AL543" s="3946"/>
      <c r="AM543" s="3946"/>
      <c r="AN543" s="3946"/>
      <c r="AO543" s="1241"/>
      <c r="AP543" s="1241"/>
      <c r="AQ543" s="1241"/>
      <c r="AR543" s="1241"/>
      <c r="AS543" s="1241"/>
      <c r="AT543" s="3946"/>
      <c r="AU543" s="3946"/>
      <c r="AV543" s="3946"/>
      <c r="AW543" s="3946"/>
      <c r="AX543" s="3946"/>
      <c r="AY543" s="1241"/>
      <c r="AZ543" s="1241"/>
      <c r="BA543" s="1241"/>
      <c r="BB543" s="1241"/>
      <c r="BC543" s="1241"/>
      <c r="BD543" s="1114">
        <f>IF(AI543=0,0,(AT543-AI543)/AI543*100)</f>
        <v>0</v>
      </c>
      <c r="BE543" s="1114">
        <f>IF(AT543=0,0,(AU543-AT543)/AT543*100)</f>
        <v>0</v>
      </c>
      <c r="BF543" s="1114">
        <f>IF(AU543=0,0,(AV543-AU543)/AU543*100)</f>
        <v>0</v>
      </c>
      <c r="BG543" s="1114">
        <f>IF(AV543=0,0,(AW543-AV543)/AV543*100)</f>
        <v>0</v>
      </c>
      <c r="BH543" s="1114">
        <f>IF(AW543=0,0,(AX543-AW543)/AW543*100)</f>
        <v>0</v>
      </c>
      <c r="BI543" s="1114">
        <f>IF(AX543=0,0,(AY543-AX543)/AX543*100)</f>
        <v>0</v>
      </c>
      <c r="BJ543" s="1114">
        <f>IF(AY543=0,0,(AZ543-AY543)/AY543*100)</f>
        <v>0</v>
      </c>
      <c r="BK543" s="1114">
        <f>IF(AZ543=0,0,(BA543-AZ543)/AZ543*100)</f>
        <v>0</v>
      </c>
      <c r="BL543" s="1114">
        <f>IF(BA543=0,0,(BB543-BA543)/BA543*100)</f>
        <v>0</v>
      </c>
      <c r="BM543" s="1114">
        <f>IF(BB543=0,0,(BC543-BB543)/BB543*100)</f>
        <v>0</v>
      </c>
      <c r="BN543" s="7433"/>
      <c r="BO543" s="7433"/>
      <c r="BP543" s="7433"/>
      <c r="BQ543" s="1278"/>
      <c r="BR543" s="1278"/>
      <c r="BS543" s="1064" t="s">
        <v>1991</v>
      </c>
      <c r="BT543" s="1064"/>
      <c r="BU543" s="1064"/>
      <c r="BV543" s="979"/>
      <c r="BW543" s="979"/>
    </row>
    <row s="1834" customFormat="1" customHeight="1" ht="0">
      <c r="A544" s="1278"/>
      <c r="B544" s="978"/>
      <c r="C544" s="107"/>
      <c r="D544" s="107"/>
      <c r="E544" s="621">
        <v>15</v>
      </c>
      <c r="F544" s="50" cm="1" t="str">
        <f t="array" ref="F544:F544">OFFSET(E544,-1,1)</f>
        <v>3</v>
      </c>
      <c r="G544" s="107"/>
      <c r="H544" s="107"/>
      <c r="I544" s="107" t="s">
        <v>2822</v>
      </c>
      <c r="J544" s="107"/>
      <c r="K544" s="158" t="s">
        <v>2822</v>
      </c>
      <c r="L544" s="980" t="s">
        <v>1640</v>
      </c>
      <c r="M544" s="107"/>
      <c r="N544" s="107"/>
      <c r="O544" s="107"/>
      <c r="P544" s="107"/>
      <c r="Q544" s="107"/>
      <c r="R544" s="107"/>
      <c r="S544" s="107"/>
      <c r="T544" s="465" cm="1" t="str">
        <f t="array" ref="T544:T544">T543</f>
        <v>true</v>
      </c>
      <c r="U544" s="107"/>
      <c r="V544" s="107"/>
      <c r="W544" s="107"/>
      <c r="X544" s="1596"/>
      <c r="Y544" s="1278"/>
      <c r="Z544" s="1546"/>
      <c r="AA544" s="1278"/>
      <c r="AB544" s="300" t="s">
        <v>2823</v>
      </c>
      <c r="AC544" s="765" t="s">
        <v>2824</v>
      </c>
      <c r="AD544" s="300" t="s">
        <v>1514</v>
      </c>
      <c r="AE544" s="3946"/>
      <c r="AF544" s="3946"/>
      <c r="AG544" s="3946"/>
      <c r="AH544" s="1114">
        <f>AG544-AF544</f>
        <v>0</v>
      </c>
      <c r="AI544" s="3946"/>
      <c r="AJ544" s="3946"/>
      <c r="AK544" s="3946"/>
      <c r="AL544" s="3946"/>
      <c r="AM544" s="3946"/>
      <c r="AN544" s="3946"/>
      <c r="AO544" s="1241"/>
      <c r="AP544" s="1241"/>
      <c r="AQ544" s="1241"/>
      <c r="AR544" s="1241"/>
      <c r="AS544" s="1241"/>
      <c r="AT544" s="3946"/>
      <c r="AU544" s="3946"/>
      <c r="AV544" s="3946"/>
      <c r="AW544" s="3946"/>
      <c r="AX544" s="3946"/>
      <c r="AY544" s="1241"/>
      <c r="AZ544" s="1241"/>
      <c r="BA544" s="1241"/>
      <c r="BB544" s="1241"/>
      <c r="BC544" s="1241"/>
      <c r="BD544" s="1114">
        <f>IF(AI544=0,0,(AT544-AI544)/AI544*100)</f>
        <v>0</v>
      </c>
      <c r="BE544" s="1114">
        <f>IF(AT544=0,0,(AU544-AT544)/AT544*100)</f>
        <v>0</v>
      </c>
      <c r="BF544" s="1114">
        <f>IF(AU544=0,0,(AV544-AU544)/AU544*100)</f>
        <v>0</v>
      </c>
      <c r="BG544" s="1114">
        <f>IF(AV544=0,0,(AW544-AV544)/AV544*100)</f>
        <v>0</v>
      </c>
      <c r="BH544" s="1114">
        <f>IF(AW544=0,0,(AX544-AW544)/AW544*100)</f>
        <v>0</v>
      </c>
      <c r="BI544" s="1114">
        <f>IF(AX544=0,0,(AY544-AX544)/AX544*100)</f>
        <v>0</v>
      </c>
      <c r="BJ544" s="1114">
        <f>IF(AY544=0,0,(AZ544-AY544)/AY544*100)</f>
        <v>0</v>
      </c>
      <c r="BK544" s="1114">
        <f>IF(AZ544=0,0,(BA544-AZ544)/AZ544*100)</f>
        <v>0</v>
      </c>
      <c r="BL544" s="1114">
        <f>IF(BA544=0,0,(BB544-BA544)/BA544*100)</f>
        <v>0</v>
      </c>
      <c r="BM544" s="1114">
        <f>IF(BB544=0,0,(BC544-BB544)/BB544*100)</f>
        <v>0</v>
      </c>
      <c r="BN544" s="7433"/>
      <c r="BO544" s="7433"/>
      <c r="BP544" s="7433"/>
      <c r="BQ544" s="1278"/>
      <c r="BR544" s="1278"/>
      <c r="BS544" s="1064" t="s">
        <v>2825</v>
      </c>
      <c r="BT544" s="1064"/>
      <c r="BU544" s="1064"/>
      <c r="BV544" s="979"/>
      <c r="BW544" s="979"/>
    </row>
    <row s="1834" customFormat="1" customHeight="1" ht="0">
      <c r="A545" s="1278"/>
      <c r="B545" s="978"/>
      <c r="C545" s="107"/>
      <c r="D545" s="107"/>
      <c r="E545" s="621">
        <v>22.5</v>
      </c>
      <c r="F545" s="50" cm="1" t="str">
        <f t="array" ref="F545:F545">OFFSET(E545,-1,1)</f>
        <v>3</v>
      </c>
      <c r="G545" s="107" t="s">
        <v>2212</v>
      </c>
      <c r="H545" s="107"/>
      <c r="I545" s="107" t="s">
        <v>2826</v>
      </c>
      <c r="J545" s="107"/>
      <c r="K545" s="158" t="s">
        <v>2826</v>
      </c>
      <c r="L545" s="980"/>
      <c r="M545" s="107"/>
      <c r="N545" s="107"/>
      <c r="O545" s="107"/>
      <c r="P545" s="107"/>
      <c r="Q545" s="107"/>
      <c r="R545" s="107"/>
      <c r="S545" s="107"/>
      <c r="T545" s="465" cm="1" t="str">
        <f t="array" ref="T545:T545">T544</f>
        <v>true</v>
      </c>
      <c r="U545" s="107"/>
      <c r="V545" s="107"/>
      <c r="W545" s="107"/>
      <c r="X545" s="1596"/>
      <c r="Y545" s="1278"/>
      <c r="Z545" s="1546"/>
      <c r="AA545" s="1278"/>
      <c r="AB545" s="300" t="s">
        <v>2276</v>
      </c>
      <c r="AC545" s="762" t="s">
        <v>2827</v>
      </c>
      <c r="AD545" s="300" t="s">
        <v>1514</v>
      </c>
      <c r="AE545" s="3946"/>
      <c r="AF545" s="3946"/>
      <c r="AG545" s="3946"/>
      <c r="AH545" s="1114">
        <f>AG545-AF545</f>
        <v>0</v>
      </c>
      <c r="AI545" s="3946"/>
      <c r="AJ545" s="3946"/>
      <c r="AK545" s="3946"/>
      <c r="AL545" s="3946"/>
      <c r="AM545" s="3946"/>
      <c r="AN545" s="3946"/>
      <c r="AO545" s="1241"/>
      <c r="AP545" s="1241"/>
      <c r="AQ545" s="1241"/>
      <c r="AR545" s="1241"/>
      <c r="AS545" s="1241"/>
      <c r="AT545" s="3946"/>
      <c r="AU545" s="3946"/>
      <c r="AV545" s="3946"/>
      <c r="AW545" s="3946"/>
      <c r="AX545" s="3946"/>
      <c r="AY545" s="1241"/>
      <c r="AZ545" s="1241"/>
      <c r="BA545" s="1241"/>
      <c r="BB545" s="1241"/>
      <c r="BC545" s="1241"/>
      <c r="BD545" s="1114">
        <f>IF(AI545=0,0,(AT545-AI545)/AI545*100)</f>
        <v>0</v>
      </c>
      <c r="BE545" s="1114">
        <f>IF(AT545=0,0,(AU545-AT545)/AT545*100)</f>
        <v>0</v>
      </c>
      <c r="BF545" s="1114">
        <f>IF(AU545=0,0,(AV545-AU545)/AU545*100)</f>
        <v>0</v>
      </c>
      <c r="BG545" s="1114">
        <f>IF(AV545=0,0,(AW545-AV545)/AV545*100)</f>
        <v>0</v>
      </c>
      <c r="BH545" s="1114">
        <f>IF(AW545=0,0,(AX545-AW545)/AW545*100)</f>
        <v>0</v>
      </c>
      <c r="BI545" s="1114">
        <f>IF(AX545=0,0,(AY545-AX545)/AX545*100)</f>
        <v>0</v>
      </c>
      <c r="BJ545" s="1114">
        <f>IF(AY545=0,0,(AZ545-AY545)/AY545*100)</f>
        <v>0</v>
      </c>
      <c r="BK545" s="1114">
        <f>IF(AZ545=0,0,(BA545-AZ545)/AZ545*100)</f>
        <v>0</v>
      </c>
      <c r="BL545" s="1114">
        <f>IF(BA545=0,0,(BB545-BA545)/BA545*100)</f>
        <v>0</v>
      </c>
      <c r="BM545" s="1114">
        <f>IF(BB545=0,0,(BC545-BB545)/BB545*100)</f>
        <v>0</v>
      </c>
      <c r="BN545" s="7433"/>
      <c r="BO545" s="7433"/>
      <c r="BP545" s="7433"/>
      <c r="BQ545" s="1278"/>
      <c r="BR545" s="1278"/>
      <c r="BS545" s="1064" t="s">
        <v>2828</v>
      </c>
      <c r="BT545" s="1064"/>
      <c r="BU545" s="1064"/>
      <c r="BV545" s="979"/>
      <c r="BW545" s="979"/>
    </row>
    <row s="7608" customFormat="1" customHeight="1" ht="180.75">
      <c r="A546" s="700"/>
      <c r="B546" s="435"/>
      <c r="C546" s="109"/>
      <c r="D546" s="109"/>
      <c r="E546" s="826">
        <v>21</v>
      </c>
      <c r="F546" s="50" cm="1" t="str">
        <f t="array" ref="F546:F546">OFFSET(E546,-1,1)</f>
        <v>3</v>
      </c>
      <c r="G546" s="107" t="s">
        <v>2829</v>
      </c>
      <c r="H546" s="107"/>
      <c r="I546" s="107" t="s">
        <v>334</v>
      </c>
      <c r="J546" s="109"/>
      <c r="K546" s="158" t="s">
        <v>334</v>
      </c>
      <c r="L546" s="985" t="s">
        <v>2068</v>
      </c>
      <c r="M546" s="109"/>
      <c r="N546" s="109"/>
      <c r="O546" s="109"/>
      <c r="P546" s="109"/>
      <c r="Q546" s="109"/>
      <c r="R546" s="109"/>
      <c r="S546" s="109"/>
      <c r="T546" s="465" cm="1" t="str">
        <f t="array" ref="T546:T546">T545</f>
        <v>true</v>
      </c>
      <c r="U546" s="109"/>
      <c r="V546" s="109"/>
      <c r="W546" s="109"/>
      <c r="X546" s="1596"/>
      <c r="Y546" s="700"/>
      <c r="Z546" s="1546"/>
      <c r="AA546" s="700"/>
      <c r="AB546" s="211" t="s">
        <v>289</v>
      </c>
      <c r="AC546" s="212" t="s">
        <v>2830</v>
      </c>
      <c r="AD546" s="211" t="s">
        <v>1514</v>
      </c>
      <c r="AE546" s="778">
        <f>_xlfn.SUMIFS(ЭЭ!AE$25:AE$189,ЭЭ!$F$25:$F$189,$F546,ЭЭ!$AC$25:$AC$189,"Всего по тарифу")</f>
        <v>0</v>
      </c>
      <c r="AF546" s="778">
        <f>_xlfn.SUMIFS(ЭЭ!AF$25:AF$189,ЭЭ!$F$25:$F$189,$F546,ЭЭ!$AC$25:$AC$189,"Всего по тарифу")</f>
        <v>0</v>
      </c>
      <c r="AG546" s="778">
        <f>_xlfn.SUMIFS(ЭЭ!AG$25:AG$189,ЭЭ!$F$25:$F$189,$F546,ЭЭ!$AC$25:$AC$189,"Всего по тарифу")</f>
        <v>0</v>
      </c>
      <c r="AH546" s="778">
        <f>AG546-AF546</f>
        <v>0</v>
      </c>
      <c r="AI546" s="778">
        <f>_xlfn.SUMIFS(ЭЭ!AH$25:AH$189,ЭЭ!$F$25:$F$189,$F546,ЭЭ!$AC$25:$AC$189,"Всего по тарифу")</f>
        <v>0</v>
      </c>
      <c r="AJ546" s="778">
        <f>_xlfn.SUMIFS(ЭЭ!AI$25:AI$189,ЭЭ!$F$25:$F$189,$F546,ЭЭ!$AC$25:$AC$189,"Всего по тарифу")</f>
        <v>23644.503378224</v>
      </c>
      <c r="AK546" s="778">
        <f>_xlfn.SUMIFS(ЭЭ!AJ$25:AJ$189,ЭЭ!$F$25:$F$189,$F546,ЭЭ!$AC$25:$AC$189,"Всего по тарифу")</f>
        <v>25796.1531856423</v>
      </c>
      <c r="AL546" s="778">
        <f>_xlfn.SUMIFS(ЭЭ!AK$25:AK$189,ЭЭ!$F$25:$F$189,$F546,ЭЭ!$AC$25:$AC$189,"Всего по тарифу")</f>
        <v>27060.1646917388</v>
      </c>
      <c r="AM546" s="778">
        <f>_xlfn.SUMIFS(ЭЭ!AL$25:AL$189,ЭЭ!$F$25:$F$189,$F546,ЭЭ!$AC$25:$AC$189,"Всего по тарифу")</f>
        <v>28386.112761634</v>
      </c>
      <c r="AN546" s="778">
        <f>_xlfn.SUMIFS(ЭЭ!AM$25:AM$189,ЭЭ!$F$25:$F$189,$F546,ЭЭ!$AC$25:$AC$189,"Всего по тарифу")</f>
        <v>29777.032286954</v>
      </c>
      <c r="AO546" s="778">
        <f>_xlfn.SUMIFS(ЭЭ!AN$25:AN$189,ЭЭ!$F$25:$F$189,$F546,ЭЭ!$AC$25:$AC$189,"Всего по тарифу")</f>
        <v>0</v>
      </c>
      <c r="AP546" s="778">
        <f>_xlfn.SUMIFS(ЭЭ!AO$25:AO$189,ЭЭ!$F$25:$F$189,$F546,ЭЭ!$AC$25:$AC$189,"Всего по тарифу")</f>
        <v>0</v>
      </c>
      <c r="AQ546" s="778">
        <f>_xlfn.SUMIFS(ЭЭ!AP$25:AP$189,ЭЭ!$F$25:$F$189,$F546,ЭЭ!$AC$25:$AC$189,"Всего по тарифу")</f>
        <v>0</v>
      </c>
      <c r="AR546" s="778">
        <f>_xlfn.SUMIFS(ЭЭ!AQ$25:AQ$189,ЭЭ!$F$25:$F$189,$F546,ЭЭ!$AC$25:$AC$189,"Всего по тарифу")</f>
        <v>0</v>
      </c>
      <c r="AS546" s="778">
        <f>_xlfn.SUMIFS(ЭЭ!AR$25:AR$189,ЭЭ!$F$25:$F$189,$F546,ЭЭ!$AC$25:$AC$189,"Всего по тарифу")</f>
        <v>0</v>
      </c>
      <c r="AT546" s="778">
        <f>_xlfn.SUMIFS(ЭЭ!AS$25:AS$189,ЭЭ!$F$25:$F$189,$F546,ЭЭ!$AC$25:$AC$189,"Всего по тарифу")</f>
        <v>23644.503378224</v>
      </c>
      <c r="AU546" s="778">
        <f>_xlfn.SUMIFS(ЭЭ!AT$25:AT$189,ЭЭ!$F$25:$F$189,$F546,ЭЭ!$AC$25:$AC$189,"Всего по тарифу")</f>
        <v>25796.1531856423</v>
      </c>
      <c r="AV546" s="778">
        <f>_xlfn.SUMIFS(ЭЭ!AU$25:AU$189,ЭЭ!$F$25:$F$189,$F546,ЭЭ!$AC$25:$AC$189,"Всего по тарифу")</f>
        <v>27060.1646917388</v>
      </c>
      <c r="AW546" s="778">
        <f>_xlfn.SUMIFS(ЭЭ!AV$25:AV$189,ЭЭ!$F$25:$F$189,$F546,ЭЭ!$AC$25:$AC$189,"Всего по тарифу")</f>
        <v>28386.112761634</v>
      </c>
      <c r="AX546" s="778">
        <f>_xlfn.SUMIFS(ЭЭ!AW$25:AW$189,ЭЭ!$F$25:$F$189,$F546,ЭЭ!$AC$25:$AC$189,"Всего по тарифу")</f>
        <v>29777.032286954</v>
      </c>
      <c r="AY546" s="778">
        <f>_xlfn.SUMIFS(ЭЭ!AX$25:AX$189,ЭЭ!$F$25:$F$189,$F546,ЭЭ!$AC$25:$AC$189,"Всего по тарифу")</f>
        <v>0</v>
      </c>
      <c r="AZ546" s="778">
        <f>_xlfn.SUMIFS(ЭЭ!AY$25:AY$189,ЭЭ!$F$25:$F$189,$F546,ЭЭ!$AC$25:$AC$189,"Всего по тарифу")</f>
        <v>0</v>
      </c>
      <c r="BA546" s="778">
        <f>_xlfn.SUMIFS(ЭЭ!AZ$25:AZ$189,ЭЭ!$F$25:$F$189,$F546,ЭЭ!$AC$25:$AC$189,"Всего по тарифу")</f>
        <v>0</v>
      </c>
      <c r="BB546" s="778">
        <f>_xlfn.SUMIFS(ЭЭ!BA$25:BA$189,ЭЭ!$F$25:$F$189,$F546,ЭЭ!$AC$25:$AC$189,"Всего по тарифу")</f>
        <v>0</v>
      </c>
      <c r="BC546" s="778">
        <f>_xlfn.SUMIFS(ЭЭ!BB$25:BB$189,ЭЭ!$F$25:$F$189,$F546,ЭЭ!$AC$25:$AC$189,"Всего по тарифу")</f>
        <v>0</v>
      </c>
      <c r="BD546" s="778">
        <f>IF(AI546=0,0,(AT546-AI546)/AI546*100)</f>
        <v>0</v>
      </c>
      <c r="BE546" s="778">
        <f>IF(AT546=0,0,(AU546-AT546)/AT546*100)</f>
        <v>9.09999999999965</v>
      </c>
      <c r="BF546" s="778">
        <f>IF(AU546=0,0,(AV546-AU546)/AU546*100)</f>
        <v>4.90000000000011</v>
      </c>
      <c r="BG546" s="778">
        <f>IF(AV546=0,0,(AW546-AV546)/AV546*100)</f>
        <v>4.9</v>
      </c>
      <c r="BH546" s="778">
        <f>IF(AW546=0,0,(AX546-AW546)/AW546*100)</f>
        <v>4.89999999999976</v>
      </c>
      <c r="BI546" s="778">
        <f>IF(AX546=0,0,(AY546-AX546)/AX546*100)</f>
        <v>-100</v>
      </c>
      <c r="BJ546" s="778">
        <f>IF(AY546=0,0,(AZ546-AY546)/AY546*100)</f>
        <v>0</v>
      </c>
      <c r="BK546" s="778">
        <f>IF(AZ546=0,0,(BA546-AZ546)/AZ546*100)</f>
        <v>0</v>
      </c>
      <c r="BL546" s="778">
        <f>IF(BA546=0,0,(BB546-BA546)/BA546*100)</f>
        <v>0</v>
      </c>
      <c r="BM546" s="778">
        <f>IF(BB546=0,0,(BC546-BB546)/BB546*100)</f>
        <v>0</v>
      </c>
      <c r="BN546" s="7433"/>
      <c r="BO546" s="7487" t="str">
        <f>IF(_xlfn.IFERROR(INDEX(ЭЭ!$K$26:$L$189,MATCH($F546&amp;"komm",ЭЭ!$K$26:$K$189,0),2),"")=0,"",_xlfn.IFERROR(INDEX(ЭЭ!$K$26:$L$189,MATCH($F546&amp;"komm",ЭЭ!$K$26:$K$189,0),2),""))</f>
        <v>В соответствии с п. 20 Методических указаний расходы регулируемой организации на приобретаемые электрическую энергию (мощность), тепловую энергию (мощность), другие виды энергетических ресурсов, холодную воду, теплоноситель определяются как сумма произведений расчетных экономически (технологически, технически) обоснованных объемов приобретаемых электрической энергии (мощности), тепловой энергии (мощности), других видов энергетических ресурсов холодной воды на соответственно плановые (расчетные) цены (тарифы) на электрическую энергию (мощность), тепловую энергию (мощность), другие виды энергетических ресурсов, холодную воду. Объемы приобретаемой электрической энергии (мощности), тепловой энергии (мощности) определяются с учетом показателей надежности, качества, энергетической эффективности в сфере водоснабжения и (или) водоотведения, определенных в установленном порядке.</v>
      </c>
      <c r="BP546" s="7433"/>
      <c r="BQ546" s="700"/>
      <c r="BR546" s="700"/>
      <c r="BS546" s="1070" t="s">
        <v>2446</v>
      </c>
      <c r="BT546" s="1070"/>
      <c r="BU546" s="1070"/>
      <c r="BV546" s="707"/>
      <c r="BW546" s="707"/>
    </row>
    <row s="7609" customFormat="1" customHeight="1" ht="33.75">
      <c r="A547" s="700"/>
      <c r="B547" s="162">
        <f>method_reg="Метод индексации"</f>
        <v>1</v>
      </c>
      <c r="C547" s="109"/>
      <c r="D547" s="109"/>
      <c r="E547" s="826">
        <v>22.5</v>
      </c>
      <c r="F547" s="50" cm="1" t="str">
        <f t="array" ref="F547:F547">OFFSET(E547,-1,1)</f>
        <v>3</v>
      </c>
      <c r="G547" s="107" t="s">
        <v>2234</v>
      </c>
      <c r="H547" s="107"/>
      <c r="I547" s="107" t="s">
        <v>336</v>
      </c>
      <c r="J547" s="109"/>
      <c r="K547" s="158"/>
      <c r="L547" s="985" t="s">
        <v>335</v>
      </c>
      <c r="M547" s="109"/>
      <c r="N547" s="109"/>
      <c r="O547" s="109"/>
      <c r="P547" s="109"/>
      <c r="Q547" s="109"/>
      <c r="R547" s="109"/>
      <c r="S547" s="109"/>
      <c r="T547" s="465" cm="1" t="str">
        <f t="array" ref="T547:T547">T546</f>
        <v>true</v>
      </c>
      <c r="U547" s="109"/>
      <c r="V547" s="109"/>
      <c r="W547" s="109"/>
      <c r="X547" s="1596"/>
      <c r="Y547" s="700"/>
      <c r="Z547" s="1546"/>
      <c r="AA547" s="700"/>
      <c r="AB547" s="211" t="s">
        <v>295</v>
      </c>
      <c r="AC547" s="212" t="s">
        <v>2831</v>
      </c>
      <c r="AD547" s="211" t="s">
        <v>1514</v>
      </c>
      <c r="AE547" s="778">
        <f>_xlfn.SUMIFS(Амортизация!AE$25:AE$272,Амортизация!$F$25:$F$272,$F547,Амортизация!$AC$25:$AC$272,"Сумма амортизационных отчислений")</f>
        <v>0</v>
      </c>
      <c r="AF547" s="778">
        <f>_xlfn.SUMIFS(Амортизация!AF$25:AF$272,Амортизация!$F$25:$F$272,$F547,Амортизация!$AC$25:$AC$272,"Сумма амортизационных отчислений")</f>
        <v>0</v>
      </c>
      <c r="AG547" s="778">
        <f>_xlfn.SUMIFS(Амортизация!AG$25:AG$272,Амортизация!$F$25:$F$272,$F547,Амортизация!$AC$25:$AC$272,"Сумма амортизационных отчислений")</f>
        <v>0</v>
      </c>
      <c r="AH547" s="778">
        <f>AG547-AF547</f>
        <v>0</v>
      </c>
      <c r="AI547" s="778">
        <f>_xlfn.SUMIFS(Амортизация!AH$25:AH$272,Амортизация!$F$25:$F$272,$F547,Амортизация!$AC$25:$AC$272,"Сумма амортизационных отчислений")</f>
        <v>0</v>
      </c>
      <c r="AJ547" s="778">
        <f>_xlfn.SUMIFS(Амортизация!AI$25:AI$272,Амортизация!$F$25:$F$272,$F547,Амортизация!$AC$25:$AC$272,"Сумма амортизационных отчислений")</f>
        <v>0</v>
      </c>
      <c r="AK547" s="778">
        <f>_xlfn.SUMIFS(Амортизация!AJ$25:AJ$272,Амортизация!$F$25:$F$272,$F547,Амортизация!$AC$25:$AC$272,"Сумма амортизационных отчислений")</f>
        <v>0</v>
      </c>
      <c r="AL547" s="778">
        <f>_xlfn.SUMIFS(Амортизация!AK$25:AK$272,Амортизация!$F$25:$F$272,$F547,Амортизация!$AC$25:$AC$272,"Сумма амортизационных отчислений")</f>
        <v>1466.67</v>
      </c>
      <c r="AM547" s="778">
        <f>_xlfn.SUMIFS(Амортизация!AL$25:AL$272,Амортизация!$F$25:$F$272,$F547,Амортизация!$AC$25:$AC$272,"Сумма амортизационных отчислений")</f>
        <v>5228.58</v>
      </c>
      <c r="AN547" s="778">
        <f>_xlfn.SUMIFS(Амортизация!AM$25:AM$272,Амортизация!$F$25:$F$272,$F547,Амортизация!$AC$25:$AC$272,"Сумма амортизационных отчислений")</f>
        <v>19556.45</v>
      </c>
      <c r="AO547" s="778">
        <f>_xlfn.SUMIFS(Амортизация!AN$25:AN$272,Амортизация!$F$25:$F$272,$F547,Амортизация!$AC$25:$AC$272,"Сумма амортизационных отчислений")</f>
        <v>0</v>
      </c>
      <c r="AP547" s="778">
        <f>_xlfn.SUMIFS(Амортизация!AO$25:AO$272,Амортизация!$F$25:$F$272,$F547,Амортизация!$AC$25:$AC$272,"Сумма амортизационных отчислений")</f>
        <v>0</v>
      </c>
      <c r="AQ547" s="778">
        <f>_xlfn.SUMIFS(Амортизация!AP$25:AP$272,Амортизация!$F$25:$F$272,$F547,Амортизация!$AC$25:$AC$272,"Сумма амортизационных отчислений")</f>
        <v>0</v>
      </c>
      <c r="AR547" s="778">
        <f>_xlfn.SUMIFS(Амортизация!AQ$25:AQ$272,Амортизация!$F$25:$F$272,$F547,Амортизация!$AC$25:$AC$272,"Сумма амортизационных отчислений")</f>
        <v>0</v>
      </c>
      <c r="AS547" s="778">
        <f>_xlfn.SUMIFS(Амортизация!AR$25:AR$272,Амортизация!$F$25:$F$272,$F547,Амортизация!$AC$25:$AC$272,"Сумма амортизационных отчислений")</f>
        <v>0</v>
      </c>
      <c r="AT547" s="778">
        <f>_xlfn.SUMIFS(Амортизация!AS$25:AS$272,Амортизация!$F$25:$F$272,$F547,Амортизация!$AC$25:$AC$272,"Сумма амортизационных отчислений")</f>
        <v>0</v>
      </c>
      <c r="AU547" s="778">
        <f>_xlfn.SUMIFS(Амортизация!AT$25:AT$272,Амортизация!$F$25:$F$272,$F547,Амортизация!$AC$25:$AC$272,"Сумма амортизационных отчислений")</f>
        <v>0</v>
      </c>
      <c r="AV547" s="778">
        <f>_xlfn.SUMIFS(Амортизация!AU$25:AU$272,Амортизация!$F$25:$F$272,$F547,Амортизация!$AC$25:$AC$272,"Сумма амортизационных отчислений")</f>
        <v>1466.67</v>
      </c>
      <c r="AW547" s="778">
        <f>_xlfn.SUMIFS(Амортизация!AV$25:AV$272,Амортизация!$F$25:$F$272,$F547,Амортизация!$AC$25:$AC$272,"Сумма амортизационных отчислений")</f>
        <v>5228.58</v>
      </c>
      <c r="AX547" s="778">
        <f>_xlfn.SUMIFS(Амортизация!AW$25:AW$272,Амортизация!$F$25:$F$272,$F547,Амортизация!$AC$25:$AC$272,"Сумма амортизационных отчислений")</f>
        <v>19556.45</v>
      </c>
      <c r="AY547" s="778">
        <f>_xlfn.SUMIFS(Амортизация!AX$25:AX$272,Амортизация!$F$25:$F$272,$F547,Амортизация!$AC$25:$AC$272,"Сумма амортизационных отчислений")</f>
        <v>0</v>
      </c>
      <c r="AZ547" s="778">
        <f>_xlfn.SUMIFS(Амортизация!AY$25:AY$272,Амортизация!$F$25:$F$272,$F547,Амортизация!$AC$25:$AC$272,"Сумма амортизационных отчислений")</f>
        <v>0</v>
      </c>
      <c r="BA547" s="778">
        <f>_xlfn.SUMIFS(Амортизация!AZ$25:AZ$272,Амортизация!$F$25:$F$272,$F547,Амортизация!$AC$25:$AC$272,"Сумма амортизационных отчислений")</f>
        <v>0</v>
      </c>
      <c r="BB547" s="778">
        <f>_xlfn.SUMIFS(Амортизация!BA$25:BA$272,Амортизация!$F$25:$F$272,$F547,Амортизация!$AC$25:$AC$272,"Сумма амортизационных отчислений")</f>
        <v>0</v>
      </c>
      <c r="BC547" s="778">
        <f>_xlfn.SUMIFS(Амортизация!BB$25:BB$272,Амортизация!$F$25:$F$272,$F547,Амортизация!$AC$25:$AC$272,"Сумма амортизационных отчислений")</f>
        <v>0</v>
      </c>
      <c r="BD547" s="778">
        <f>IF(AI547=0,0,(AT547-AI547)/AI547*100)</f>
        <v>0</v>
      </c>
      <c r="BE547" s="778">
        <f>IF(AT547=0,0,(AU547-AT547)/AT547*100)</f>
        <v>0</v>
      </c>
      <c r="BF547" s="778">
        <f>IF(AU547=0,0,(AV547-AU547)/AU547*100)</f>
        <v>0</v>
      </c>
      <c r="BG547" s="778">
        <f>IF(AV547=0,0,(AW547-AV547)/AV547*100)</f>
        <v>256.493280697089</v>
      </c>
      <c r="BH547" s="778">
        <f>IF(AW547=0,0,(AX547-AW547)/AW547*100)</f>
        <v>274.029851317184</v>
      </c>
      <c r="BI547" s="778">
        <f>IF(AX547=0,0,(AY547-AX547)/AX547*100)</f>
        <v>-100</v>
      </c>
      <c r="BJ547" s="778">
        <f>IF(AY547=0,0,(AZ547-AY547)/AY547*100)</f>
        <v>0</v>
      </c>
      <c r="BK547" s="778">
        <f>IF(AZ547=0,0,(BA547-AZ547)/AZ547*100)</f>
        <v>0</v>
      </c>
      <c r="BL547" s="778">
        <f>IF(BA547=0,0,(BB547-BA547)/BA547*100)</f>
        <v>0</v>
      </c>
      <c r="BM547" s="778">
        <f>IF(BB547=0,0,(BC547-BB547)/BB547*100)</f>
        <v>0</v>
      </c>
      <c r="BN547" s="7433"/>
      <c r="BO547" s="7437" t="str">
        <f>IF(_xlfn.IFERROR(INDEX(Амортизация!$K$26:$L$272,MATCH($F547&amp;"komm",Амортизация!$K$26:$K$272,0),2),"")=0,"",_xlfn.IFERROR(INDEX(Амортизация!$K$26:$L$272,MATCH($F547&amp;"komm",Амортизация!$K$26:$K$272,0),2),""))</f>
        <v/>
      </c>
      <c r="BP547" s="7433"/>
      <c r="BQ547" s="700"/>
      <c r="BR547" s="700"/>
      <c r="BS547" s="1070" t="s">
        <v>1960</v>
      </c>
      <c r="BT547" s="1070"/>
      <c r="BU547" s="1070"/>
      <c r="BV547" s="707"/>
      <c r="BW547" s="707"/>
    </row>
    <row s="1834" customFormat="1" customHeight="1" ht="23.25">
      <c r="A548" s="1278"/>
      <c r="B548" s="432" cm="1" t="str">
        <f t="array" ref="B548:B548">B547</f>
        <v>true</v>
      </c>
      <c r="C548" s="107"/>
      <c r="D548" s="107"/>
      <c r="E548" s="621">
        <v>15</v>
      </c>
      <c r="F548" s="50" cm="1" t="str">
        <f t="array" ref="F548:F548">OFFSET(E548,-1,1)</f>
        <v>3</v>
      </c>
      <c r="G548" s="107"/>
      <c r="H548" s="107"/>
      <c r="I548" s="107" t="s">
        <v>1249</v>
      </c>
      <c r="J548" s="107"/>
      <c r="K548" s="1278"/>
      <c r="L548" s="980" t="s">
        <v>1263</v>
      </c>
      <c r="M548" s="107"/>
      <c r="N548" s="107"/>
      <c r="O548" s="107"/>
      <c r="P548" s="107"/>
      <c r="Q548" s="107"/>
      <c r="R548" s="107"/>
      <c r="S548" s="107"/>
      <c r="T548" s="465" cm="1" t="str">
        <f t="array" ref="T548:T548">T547</f>
        <v>true</v>
      </c>
      <c r="U548" s="107"/>
      <c r="V548" s="107"/>
      <c r="W548" s="107"/>
      <c r="X548" s="1596"/>
      <c r="Y548" s="1278"/>
      <c r="Z548" s="1546"/>
      <c r="AA548" s="1278"/>
      <c r="AB548" s="300" t="s">
        <v>1384</v>
      </c>
      <c r="AC548" s="762" t="s">
        <v>2538</v>
      </c>
      <c r="AD548" s="300" t="s">
        <v>1514</v>
      </c>
      <c r="AE548" s="3946">
        <f>_xlfn.SUMIFS('ИП + источники'!AF$27:AF$203,'ИП + источники'!$F$27:$F$203,$F548,'ИП + источники'!$AC$27:$AC$203,"Амортизационные отчисления")+_xlfn.SUMIFS('ИП + источники'!AF$27:AF$203,'ИП + источники'!$F$27:$F$203,$F548,'ИП + источники'!$AC$27:$AC$203,"погашение займов и кредитов из амортизации")</f>
        <v>0</v>
      </c>
      <c r="AF548" s="3946">
        <f>_xlfn.SUMIFS('ИП + источники'!AG$27:AG$203,'ИП + источники'!$F$27:$F$203,$F548,'ИП + источники'!$AC$27:$AC$203,"Амортизационные отчисления")+_xlfn.SUMIFS('ИП + источники'!AG$27:AG$203,'ИП + источники'!$F$27:$F$203,$F548,'ИП + источники'!$AC$27:$AC$203,"погашение займов и кредитов из амортизации")</f>
        <v>0</v>
      </c>
      <c r="AG548" s="3946">
        <f>_xlfn.SUMIFS('ИП + источники'!AH$27:AH$203,'ИП + источники'!$F$27:$F$203,$F548,'ИП + источники'!$AC$27:$AC$203,"Амортизационные отчисления")+_xlfn.SUMIFS('ИП + источники'!AH$27:AH$203,'ИП + источники'!$F$27:$F$203,$F548,'ИП + источники'!$AC$27:$AC$203,"погашение займов и кредитов из амортизации")</f>
        <v>0</v>
      </c>
      <c r="AH548" s="1114">
        <f>AG548-AF548</f>
        <v>0</v>
      </c>
      <c r="AI548" s="3946">
        <f>_xlfn.SUMIFS('ИП + источники'!AJ$27:AJ$203,'ИП + источники'!$F$27:$F$203,$F548,'ИП + источники'!$AC$27:$AC$203,"Амортизационные отчисления")+_xlfn.SUMIFS('ИП + источники'!AJ$27:AJ$203,'ИП + источники'!$F$27:$F$203,$F548,'ИП + источники'!$AC$27:$AC$203,"погашение займов и кредитов из амортизации")</f>
        <v>0</v>
      </c>
      <c r="AJ548" s="3946">
        <f>_xlfn.SUMIFS('ИП + источники'!AK$27:AK$203,'ИП + источники'!$F$27:$F$203,$F548,'ИП + источники'!$AC$27:$AC$203,"Амортизационные отчисления")+_xlfn.SUMIFS('ИП + источники'!AK$27:AK$203,'ИП + источники'!$F$27:$F$203,$F548,'ИП + источники'!$AC$27:$AC$203,"погашение займов и кредитов из амортизации")</f>
        <v>0</v>
      </c>
      <c r="AK548" s="3946">
        <f>_xlfn.SUMIFS('ИП + источники'!AL$27:AL$203,'ИП + источники'!$F$27:$F$203,$F548,'ИП + источники'!$AC$27:$AC$203,"Амортизационные отчисления")+_xlfn.SUMIFS('ИП + источники'!AL$27:AL$203,'ИП + источники'!$F$27:$F$203,$F548,'ИП + источники'!$AC$27:$AC$203,"погашение займов и кредитов из амортизации")</f>
        <v>0</v>
      </c>
      <c r="AL548" s="3946">
        <f>_xlfn.SUMIFS('ИП + источники'!AM$27:AM$203,'ИП + источники'!$F$27:$F$203,$F548,'ИП + источники'!$AC$27:$AC$203,"Амортизационные отчисления")+_xlfn.SUMIFS('ИП + источники'!AM$27:AM$203,'ИП + источники'!$F$27:$F$203,$F548,'ИП + источники'!$AC$27:$AC$203,"погашение займов и кредитов из амортизации")</f>
        <v>0</v>
      </c>
      <c r="AM548" s="3946">
        <f>_xlfn.SUMIFS('ИП + источники'!AN$27:AN$203,'ИП + источники'!$F$27:$F$203,$F548,'ИП + источники'!$AC$27:$AC$203,"Амортизационные отчисления")+_xlfn.SUMIFS('ИП + источники'!AN$27:AN$203,'ИП + источники'!$F$27:$F$203,$F548,'ИП + источники'!$AC$27:$AC$203,"погашение займов и кредитов из амортизации")</f>
        <v>0</v>
      </c>
      <c r="AN548" s="3946">
        <f>_xlfn.SUMIFS('ИП + источники'!AO$27:AO$203,'ИП + источники'!$F$27:$F$203,$F548,'ИП + источники'!$AC$27:$AC$203,"Амортизационные отчисления")+_xlfn.SUMIFS('ИП + источники'!AO$27:AO$203,'ИП + источники'!$F$27:$F$203,$F548,'ИП + источники'!$AC$27:$AC$203,"погашение займов и кредитов из амортизации")</f>
        <v>0</v>
      </c>
      <c r="AO548" s="1241">
        <f>_xlfn.SUMIFS('ИП + источники'!AP$27:AP$203,'ИП + источники'!$F$27:$F$203,$F548,'ИП + источники'!$AC$27:$AC$203,"Амортизационные отчисления")+_xlfn.SUMIFS('ИП + источники'!AP$27:AP$203,'ИП + источники'!$F$27:$F$203,$F548,'ИП + источники'!$AC$27:$AC$203,"погашение займов и кредитов из амортизации")</f>
        <v>0</v>
      </c>
      <c r="AP548" s="1241">
        <f>_xlfn.SUMIFS('ИП + источники'!AQ$27:AQ$203,'ИП + источники'!$F$27:$F$203,$F548,'ИП + источники'!$AC$27:$AC$203,"Амортизационные отчисления")+_xlfn.SUMIFS('ИП + источники'!AQ$27:AQ$203,'ИП + источники'!$F$27:$F$203,$F548,'ИП + источники'!$AC$27:$AC$203,"погашение займов и кредитов из амортизации")</f>
        <v>0</v>
      </c>
      <c r="AQ548" s="1241">
        <f>_xlfn.SUMIFS('ИП + источники'!AR$27:AR$203,'ИП + источники'!$F$27:$F$203,$F548,'ИП + источники'!$AC$27:$AC$203,"Амортизационные отчисления")+_xlfn.SUMIFS('ИП + источники'!AR$27:AR$203,'ИП + источники'!$F$27:$F$203,$F548,'ИП + источники'!$AC$27:$AC$203,"погашение займов и кредитов из амортизации")</f>
        <v>0</v>
      </c>
      <c r="AR548" s="1241">
        <f>_xlfn.SUMIFS('ИП + источники'!AS$27:AS$203,'ИП + источники'!$F$27:$F$203,$F548,'ИП + источники'!$AC$27:$AC$203,"Амортизационные отчисления")+_xlfn.SUMIFS('ИП + источники'!AS$27:AS$203,'ИП + источники'!$F$27:$F$203,$F548,'ИП + источники'!$AC$27:$AC$203,"погашение займов и кредитов из амортизации")</f>
        <v>0</v>
      </c>
      <c r="AS548" s="1241">
        <f>_xlfn.SUMIFS('ИП + источники'!AT$27:AT$203,'ИП + источники'!$F$27:$F$203,$F548,'ИП + источники'!$AC$27:$AC$203,"Амортизационные отчисления")+_xlfn.SUMIFS('ИП + источники'!AT$27:AT$203,'ИП + источники'!$F$27:$F$203,$F548,'ИП + источники'!$AC$27:$AC$203,"погашение займов и кредитов из амортизации")</f>
        <v>0</v>
      </c>
      <c r="AT548" s="3946">
        <f>_xlfn.SUMIFS('ИП + источники'!AU$27:AU$203,'ИП + источники'!$F$27:$F$203,$F548,'ИП + источники'!$AC$27:$AC$203,"Амортизационные отчисления")+_xlfn.SUMIFS('ИП + источники'!AU$27:AU$203,'ИП + источники'!$F$27:$F$203,$F548,'ИП + источники'!$AC$27:$AC$203,"погашение займов и кредитов из амортизации")</f>
        <v>0</v>
      </c>
      <c r="AU548" s="3946">
        <f>_xlfn.SUMIFS('ИП + источники'!AV$27:AV$203,'ИП + источники'!$F$27:$F$203,$F548,'ИП + источники'!$AC$27:$AC$203,"Амортизационные отчисления")+_xlfn.SUMIFS('ИП + источники'!AV$27:AV$203,'ИП + источники'!$F$27:$F$203,$F548,'ИП + источники'!$AC$27:$AC$203,"погашение займов и кредитов из амортизации")</f>
        <v>0</v>
      </c>
      <c r="AV548" s="3946" cm="1" t="str">
        <f t="array" ref="AV548:AV548">AV547</f>
        <v>1466.67</v>
      </c>
      <c r="AW548" s="3946" cm="1" t="str">
        <f t="array" ref="AW548:AW548">AW547</f>
        <v>5228.58</v>
      </c>
      <c r="AX548" s="3946" cm="1" t="str">
        <f t="array" ref="AX548:AX548">AX547</f>
        <v>19556.45</v>
      </c>
      <c r="AY548" s="1241">
        <f>_xlfn.SUMIFS('ИП + источники'!AZ$27:AZ$203,'ИП + источники'!$F$27:$F$203,$F548,'ИП + источники'!$AC$27:$AC$203,"Амортизационные отчисления")+_xlfn.SUMIFS('ИП + источники'!AZ$27:AZ$203,'ИП + источники'!$F$27:$F$203,$F548,'ИП + источники'!$AC$27:$AC$203,"погашение займов и кредитов из амортизации")</f>
        <v>0</v>
      </c>
      <c r="AZ548" s="1241">
        <f>_xlfn.SUMIFS('ИП + источники'!BA$27:BA$203,'ИП + источники'!$F$27:$F$203,$F548,'ИП + источники'!$AC$27:$AC$203,"Амортизационные отчисления")+_xlfn.SUMIFS('ИП + источники'!BA$27:BA$203,'ИП + источники'!$F$27:$F$203,$F548,'ИП + источники'!$AC$27:$AC$203,"погашение займов и кредитов из амортизации")</f>
        <v>0</v>
      </c>
      <c r="BA548" s="1241">
        <f>_xlfn.SUMIFS('ИП + источники'!BB$27:BB$203,'ИП + источники'!$F$27:$F$203,$F548,'ИП + источники'!$AC$27:$AC$203,"Амортизационные отчисления")+_xlfn.SUMIFS('ИП + источники'!BB$27:BB$203,'ИП + источники'!$F$27:$F$203,$F548,'ИП + источники'!$AC$27:$AC$203,"погашение займов и кредитов из амортизации")</f>
        <v>0</v>
      </c>
      <c r="BB548" s="1241">
        <f>_xlfn.SUMIFS('ИП + источники'!BC$27:BC$203,'ИП + источники'!$F$27:$F$203,$F548,'ИП + источники'!$AC$27:$AC$203,"Амортизационные отчисления")+_xlfn.SUMIFS('ИП + источники'!BC$27:BC$203,'ИП + источники'!$F$27:$F$203,$F548,'ИП + источники'!$AC$27:$AC$203,"погашение займов и кредитов из амортизации")</f>
        <v>0</v>
      </c>
      <c r="BC548" s="1241">
        <f>_xlfn.SUMIFS('ИП + источники'!BD$27:BD$203,'ИП + источники'!$F$27:$F$203,$F548,'ИП + источники'!$AC$27:$AC$203,"Амортизационные отчисления")+_xlfn.SUMIFS('ИП + источники'!BD$27:BD$203,'ИП + источники'!$F$27:$F$203,$F548,'ИП + источники'!$AC$27:$AC$203,"погашение займов и кредитов из амортизации")</f>
        <v>0</v>
      </c>
      <c r="BD548" s="1114">
        <f>IF(AI548=0,0,(AT548-AI548)/AI548*100)</f>
        <v>0</v>
      </c>
      <c r="BE548" s="1114">
        <f>IF(AT548=0,0,(AU548-AT548)/AT548*100)</f>
        <v>0</v>
      </c>
      <c r="BF548" s="1114">
        <f>IF(AU548=0,0,(AV548-AU548)/AU548*100)</f>
        <v>0</v>
      </c>
      <c r="BG548" s="1114">
        <f>IF(AV548=0,0,(AW548-AV548)/AV548*100)</f>
        <v>256.493280697089</v>
      </c>
      <c r="BH548" s="1114">
        <f>IF(AW548=0,0,(AX548-AW548)/AW548*100)</f>
        <v>274.029851317184</v>
      </c>
      <c r="BI548" s="1114">
        <f>IF(AX548=0,0,(AY548-AX548)/AX548*100)</f>
        <v>-100</v>
      </c>
      <c r="BJ548" s="1114">
        <f>IF(AY548=0,0,(AZ548-AY548)/AY548*100)</f>
        <v>0</v>
      </c>
      <c r="BK548" s="1114">
        <f>IF(AZ548=0,0,(BA548-AZ548)/AZ548*100)</f>
        <v>0</v>
      </c>
      <c r="BL548" s="1114">
        <f>IF(BA548=0,0,(BB548-BA548)/BA548*100)</f>
        <v>0</v>
      </c>
      <c r="BM548" s="1114">
        <f>IF(BB548=0,0,(BC548-BB548)/BB548*100)</f>
        <v>0</v>
      </c>
      <c r="BN548" s="7433"/>
      <c r="BO548" s="7433" t="s">
        <v>2930</v>
      </c>
      <c r="BP548" s="7433"/>
      <c r="BQ548" s="1278"/>
      <c r="BR548" s="1278"/>
      <c r="BS548" s="1064" t="s">
        <v>2539</v>
      </c>
      <c r="BT548" s="1064"/>
      <c r="BU548" s="1064"/>
      <c r="BV548" s="979"/>
      <c r="BW548" s="979"/>
    </row>
    <row s="7610" customFormat="1" customHeight="1" ht="20.25">
      <c r="A549" s="700"/>
      <c r="B549" s="432" cm="1" t="str">
        <f t="array" ref="B549:B549">B548</f>
        <v>true</v>
      </c>
      <c r="C549" s="109"/>
      <c r="D549" s="109"/>
      <c r="E549" s="826">
        <v>21</v>
      </c>
      <c r="F549" s="50" cm="1" t="str">
        <f t="array" ref="F549:F549">OFFSET(E549,-1,1)</f>
        <v>3</v>
      </c>
      <c r="G549" s="107" t="s">
        <v>2238</v>
      </c>
      <c r="H549" s="107"/>
      <c r="I549" s="107" t="s">
        <v>335</v>
      </c>
      <c r="J549" s="109"/>
      <c r="K549" s="158"/>
      <c r="L549" s="985" t="s">
        <v>1275</v>
      </c>
      <c r="M549" s="109"/>
      <c r="N549" s="109"/>
      <c r="O549" s="109"/>
      <c r="P549" s="109"/>
      <c r="Q549" s="109"/>
      <c r="R549" s="109"/>
      <c r="S549" s="109"/>
      <c r="T549" s="465" cm="1" t="str">
        <f t="array" ref="T549:T549">T548</f>
        <v>true</v>
      </c>
      <c r="U549" s="109"/>
      <c r="V549" s="109"/>
      <c r="W549" s="109"/>
      <c r="X549" s="1596"/>
      <c r="Y549" s="700"/>
      <c r="Z549" s="1546"/>
      <c r="AA549" s="700"/>
      <c r="AB549" s="211" t="s">
        <v>443</v>
      </c>
      <c r="AC549" s="212" t="s">
        <v>2238</v>
      </c>
      <c r="AD549" s="234" t="s">
        <v>1514</v>
      </c>
      <c r="AE549" s="213">
        <f>AE550+AE551+AE552+AE553</f>
        <v>0</v>
      </c>
      <c r="AF549" s="213">
        <f>AF550+AF551+AF552+AF553</f>
        <v>0</v>
      </c>
      <c r="AG549" s="213">
        <f>AG550+AG551+AG552+AG553</f>
        <v>0</v>
      </c>
      <c r="AH549" s="213">
        <f>AG549-AF549</f>
        <v>0</v>
      </c>
      <c r="AI549" s="213">
        <f>AI550+AI551+AI552+AI553</f>
        <v>0</v>
      </c>
      <c r="AJ549" s="213">
        <f>AJ550+AJ551+AJ552+AJ553</f>
        <v>0</v>
      </c>
      <c r="AK549" s="213">
        <f>AK550+AK551+AK552+AK553</f>
        <v>0</v>
      </c>
      <c r="AL549" s="213">
        <f>AL550+AL551+AL552+AL553</f>
        <v>0</v>
      </c>
      <c r="AM549" s="213">
        <f>AM550+AM551+AM552+AM553</f>
        <v>0</v>
      </c>
      <c r="AN549" s="213">
        <f>AN550+AN551+AN552+AN553</f>
        <v>0</v>
      </c>
      <c r="AO549" s="213">
        <f>AO550+AO551+AO552+AO553</f>
        <v>0</v>
      </c>
      <c r="AP549" s="213">
        <f>AP550+AP551+AP552+AP553</f>
        <v>0</v>
      </c>
      <c r="AQ549" s="213">
        <f>AQ550+AQ551+AQ552+AQ553</f>
        <v>0</v>
      </c>
      <c r="AR549" s="213">
        <f>AR550+AR551+AR552+AR553</f>
        <v>0</v>
      </c>
      <c r="AS549" s="213">
        <f>AS550+AS551+AS552+AS553</f>
        <v>0</v>
      </c>
      <c r="AT549" s="213">
        <f>AT550+AT551+AT552+AT553</f>
        <v>0</v>
      </c>
      <c r="AU549" s="213">
        <f>AU550+AU551+AU552+AU553</f>
        <v>0</v>
      </c>
      <c r="AV549" s="213">
        <f>AV550+AV551+AV552+AV553</f>
        <v>0</v>
      </c>
      <c r="AW549" s="213">
        <f>AW550+AW551+AW552+AW553</f>
        <v>0</v>
      </c>
      <c r="AX549" s="213">
        <f>AX550+AX551+AX552+AX553</f>
        <v>0</v>
      </c>
      <c r="AY549" s="213">
        <f>AY550+AY551+AY552+AY553</f>
        <v>0</v>
      </c>
      <c r="AZ549" s="213">
        <f>AZ550+AZ551+AZ552+AZ553</f>
        <v>0</v>
      </c>
      <c r="BA549" s="213">
        <f>BA550+BA551+BA552+BA553</f>
        <v>0</v>
      </c>
      <c r="BB549" s="213">
        <f>BB550+BB551+BB552+BB553</f>
        <v>0</v>
      </c>
      <c r="BC549" s="213">
        <f>BC550+BC551+BC552+BC553</f>
        <v>0</v>
      </c>
      <c r="BD549" s="778">
        <f>IF(AI549=0,0,(AT549-AI549)/AI549*100)</f>
        <v>0</v>
      </c>
      <c r="BE549" s="778">
        <f>IF(AT549=0,0,(AU549-AT549)/AT549*100)</f>
        <v>0</v>
      </c>
      <c r="BF549" s="778">
        <f>IF(AU549=0,0,(AV549-AU549)/AU549*100)</f>
        <v>0</v>
      </c>
      <c r="BG549" s="778">
        <f>IF(AV549=0,0,(AW549-AV549)/AV549*100)</f>
        <v>0</v>
      </c>
      <c r="BH549" s="778">
        <f>IF(AW549=0,0,(AX549-AW549)/AW549*100)</f>
        <v>0</v>
      </c>
      <c r="BI549" s="778">
        <f>IF(AX549=0,0,(AY549-AX549)/AX549*100)</f>
        <v>0</v>
      </c>
      <c r="BJ549" s="778">
        <f>IF(AY549=0,0,(AZ549-AY549)/AY549*100)</f>
        <v>0</v>
      </c>
      <c r="BK549" s="778">
        <f>IF(AZ549=0,0,(BA549-AZ549)/AZ549*100)</f>
        <v>0</v>
      </c>
      <c r="BL549" s="778">
        <f>IF(BA549=0,0,(BB549-BA549)/BA549*100)</f>
        <v>0</v>
      </c>
      <c r="BM549" s="778">
        <f>IF(BB549=0,0,(BC549-BB549)/BB549*100)</f>
        <v>0</v>
      </c>
      <c r="BN549" s="7433"/>
      <c r="BO549" s="7433"/>
      <c r="BP549" s="7433"/>
      <c r="BQ549" s="700"/>
      <c r="BR549" s="700"/>
      <c r="BS549" s="1063" t="s">
        <v>2242</v>
      </c>
      <c r="BT549" s="1070"/>
      <c r="BU549" s="1070"/>
      <c r="BV549" s="707"/>
      <c r="BW549" s="707"/>
    </row>
    <row s="1834" customFormat="1" customHeight="1" ht="14.25">
      <c r="A550" s="1278"/>
      <c r="B550" s="432" cm="1" t="str">
        <f t="array" ref="B550:B550">B549</f>
        <v>true</v>
      </c>
      <c r="C550" s="107"/>
      <c r="D550" s="107"/>
      <c r="E550" s="621">
        <v>15</v>
      </c>
      <c r="F550" s="50" cm="1" t="str">
        <f t="array" ref="F550:F550">OFFSET(E550,-1,1)</f>
        <v>3</v>
      </c>
      <c r="G550" s="107"/>
      <c r="H550" s="107"/>
      <c r="I550" s="107" t="s">
        <v>1263</v>
      </c>
      <c r="J550" s="107"/>
      <c r="K550" s="1278"/>
      <c r="L550" s="980"/>
      <c r="M550" s="107"/>
      <c r="N550" s="107"/>
      <c r="O550" s="107"/>
      <c r="P550" s="107"/>
      <c r="Q550" s="107"/>
      <c r="R550" s="107"/>
      <c r="S550" s="107"/>
      <c r="T550" s="465" cm="1" t="str">
        <f t="array" ref="T550:T550">T549</f>
        <v>true</v>
      </c>
      <c r="U550" s="107"/>
      <c r="V550" s="107"/>
      <c r="W550" s="107"/>
      <c r="X550" s="1596"/>
      <c r="Y550" s="1278"/>
      <c r="Z550" s="1546"/>
      <c r="AA550" s="1278"/>
      <c r="AB550" s="300" t="s">
        <v>1391</v>
      </c>
      <c r="AC550" s="762" t="s">
        <v>2832</v>
      </c>
      <c r="AD550" s="300" t="s">
        <v>1514</v>
      </c>
      <c r="AE550" s="3946">
        <f>_xlfn.SUMIFS('ИП + источники'!AF$27:AF$203,'ИП + источники'!$F$27:$F$203,$F550,'ИП + источники'!$AC$27:$AC$203,"погашение займов и кредитов из нормативной прибыли")</f>
        <v>0</v>
      </c>
      <c r="AF550" s="3946">
        <f>_xlfn.SUMIFS('ИП + источники'!AG$27:AG$203,'ИП + источники'!$F$27:$F$203,$F550,'ИП + источники'!$AC$27:$AC$203,"погашение займов и кредитов из нормативной прибыли")</f>
        <v>0</v>
      </c>
      <c r="AG550" s="3946">
        <f>_xlfn.SUMIFS('ИП + источники'!AH$27:AH$203,'ИП + источники'!$F$27:$F$203,$F550,'ИП + источники'!$AC$27:$AC$203,"погашение займов и кредитов из нормативной прибыли")</f>
        <v>0</v>
      </c>
      <c r="AH550" s="1114">
        <f>AG550-AF550</f>
        <v>0</v>
      </c>
      <c r="AI550" s="3946">
        <f>_xlfn.SUMIFS('ИП + источники'!AJ$27:AJ$203,'ИП + источники'!$F$27:$F$203,$F550,'ИП + источники'!$AC$27:$AC$203,"погашение займов и кредитов из нормативной прибыли")</f>
        <v>0</v>
      </c>
      <c r="AJ550" s="3946">
        <f>_xlfn.SUMIFS('ИП + источники'!AK$27:AK$203,'ИП + источники'!$F$27:$F$203,$F550,'ИП + источники'!$AC$27:$AC$203,"погашение займов и кредитов из нормативной прибыли")</f>
        <v>0</v>
      </c>
      <c r="AK550" s="3946">
        <f>_xlfn.SUMIFS('ИП + источники'!AL$27:AL$203,'ИП + источники'!$F$27:$F$203,$F550,'ИП + источники'!$AC$27:$AC$203,"погашение займов и кредитов из нормативной прибыли")</f>
        <v>0</v>
      </c>
      <c r="AL550" s="3946">
        <f>_xlfn.SUMIFS('ИП + источники'!AM$27:AM$203,'ИП + источники'!$F$27:$F$203,$F550,'ИП + источники'!$AC$27:$AC$203,"погашение займов и кредитов из нормативной прибыли")</f>
        <v>0</v>
      </c>
      <c r="AM550" s="3946">
        <f>_xlfn.SUMIFS('ИП + источники'!AN$27:AN$203,'ИП + источники'!$F$27:$F$203,$F550,'ИП + источники'!$AC$27:$AC$203,"погашение займов и кредитов из нормативной прибыли")</f>
        <v>0</v>
      </c>
      <c r="AN550" s="3946">
        <f>_xlfn.SUMIFS('ИП + источники'!AO$27:AO$203,'ИП + источники'!$F$27:$F$203,$F550,'ИП + источники'!$AC$27:$AC$203,"погашение займов и кредитов из нормативной прибыли")</f>
        <v>0</v>
      </c>
      <c r="AO550" s="1241">
        <f>_xlfn.SUMIFS('ИП + источники'!AP$27:AP$203,'ИП + источники'!$F$27:$F$203,$F550,'ИП + источники'!$AC$27:$AC$203,"погашение займов и кредитов из нормативной прибыли")</f>
        <v>0</v>
      </c>
      <c r="AP550" s="1241">
        <f>_xlfn.SUMIFS('ИП + источники'!AQ$27:AQ$203,'ИП + источники'!$F$27:$F$203,$F550,'ИП + источники'!$AC$27:$AC$203,"погашение займов и кредитов из нормативной прибыли")</f>
        <v>0</v>
      </c>
      <c r="AQ550" s="1241">
        <f>_xlfn.SUMIFS('ИП + источники'!AR$27:AR$203,'ИП + источники'!$F$27:$F$203,$F550,'ИП + источники'!$AC$27:$AC$203,"погашение займов и кредитов из нормативной прибыли")</f>
        <v>0</v>
      </c>
      <c r="AR550" s="1241">
        <f>_xlfn.SUMIFS('ИП + источники'!AS$27:AS$203,'ИП + источники'!$F$27:$F$203,$F550,'ИП + источники'!$AC$27:$AC$203,"погашение займов и кредитов из нормативной прибыли")</f>
        <v>0</v>
      </c>
      <c r="AS550" s="1241">
        <f>_xlfn.SUMIFS('ИП + источники'!AT$27:AT$203,'ИП + источники'!$F$27:$F$203,$F550,'ИП + источники'!$AC$27:$AC$203,"погашение займов и кредитов из нормативной прибыли")</f>
        <v>0</v>
      </c>
      <c r="AT550" s="3946">
        <f>_xlfn.SUMIFS('ИП + источники'!AU$27:AU$203,'ИП + источники'!$F$27:$F$203,$F550,'ИП + источники'!$AC$27:$AC$203,"погашение займов и кредитов из нормативной прибыли")</f>
        <v>0</v>
      </c>
      <c r="AU550" s="3946">
        <f>_xlfn.SUMIFS('ИП + источники'!AV$27:AV$203,'ИП + источники'!$F$27:$F$203,$F550,'ИП + источники'!$AC$27:$AC$203,"погашение займов и кредитов из нормативной прибыли")</f>
        <v>0</v>
      </c>
      <c r="AV550" s="3946">
        <f>_xlfn.SUMIFS('ИП + источники'!AW$27:AW$203,'ИП + источники'!$F$27:$F$203,$F550,'ИП + источники'!$AC$27:$AC$203,"погашение займов и кредитов из нормативной прибыли")</f>
        <v>0</v>
      </c>
      <c r="AW550" s="3946">
        <f>_xlfn.SUMIFS('ИП + источники'!AX$27:AX$203,'ИП + источники'!$F$27:$F$203,$F550,'ИП + источники'!$AC$27:$AC$203,"погашение займов и кредитов из нормативной прибыли")</f>
        <v>0</v>
      </c>
      <c r="AX550" s="3946">
        <f>_xlfn.SUMIFS('ИП + источники'!AY$27:AY$203,'ИП + источники'!$F$27:$F$203,$F550,'ИП + источники'!$AC$27:$AC$203,"погашение займов и кредитов из нормативной прибыли")</f>
        <v>0</v>
      </c>
      <c r="AY550" s="1241">
        <f>_xlfn.SUMIFS('ИП + источники'!AZ$27:AZ$203,'ИП + источники'!$F$27:$F$203,$F550,'ИП + источники'!$AC$27:$AC$203,"погашение займов и кредитов из нормативной прибыли")</f>
        <v>0</v>
      </c>
      <c r="AZ550" s="1241">
        <f>_xlfn.SUMIFS('ИП + источники'!BA$27:BA$203,'ИП + источники'!$F$27:$F$203,$F550,'ИП + источники'!$AC$27:$AC$203,"погашение займов и кредитов из нормативной прибыли")</f>
        <v>0</v>
      </c>
      <c r="BA550" s="1241">
        <f>_xlfn.SUMIFS('ИП + источники'!BB$27:BB$203,'ИП + источники'!$F$27:$F$203,$F550,'ИП + источники'!$AC$27:$AC$203,"погашение займов и кредитов из нормативной прибыли")</f>
        <v>0</v>
      </c>
      <c r="BB550" s="1241">
        <f>_xlfn.SUMIFS('ИП + источники'!BC$27:BC$203,'ИП + источники'!$F$27:$F$203,$F550,'ИП + источники'!$AC$27:$AC$203,"погашение займов и кредитов из нормативной прибыли")</f>
        <v>0</v>
      </c>
      <c r="BC550" s="1241">
        <f>_xlfn.SUMIFS('ИП + источники'!BD$27:BD$203,'ИП + источники'!$F$27:$F$203,$F550,'ИП + источники'!$AC$27:$AC$203,"погашение займов и кредитов из нормативной прибыли")</f>
        <v>0</v>
      </c>
      <c r="BD550" s="1114">
        <f>IF(AI550=0,0,(AT550-AI550)/AI550*100)</f>
        <v>0</v>
      </c>
      <c r="BE550" s="1114">
        <f>IF(AT550=0,0,(AU550-AT550)/AT550*100)</f>
        <v>0</v>
      </c>
      <c r="BF550" s="1114">
        <f>IF(AU550=0,0,(AV550-AU550)/AU550*100)</f>
        <v>0</v>
      </c>
      <c r="BG550" s="1114">
        <f>IF(AV550=0,0,(AW550-AV550)/AV550*100)</f>
        <v>0</v>
      </c>
      <c r="BH550" s="1114">
        <f>IF(AW550=0,0,(AX550-AW550)/AW550*100)</f>
        <v>0</v>
      </c>
      <c r="BI550" s="1114">
        <f>IF(AX550=0,0,(AY550-AX550)/AX550*100)</f>
        <v>0</v>
      </c>
      <c r="BJ550" s="1114">
        <f>IF(AY550=0,0,(AZ550-AY550)/AY550*100)</f>
        <v>0</v>
      </c>
      <c r="BK550" s="1114">
        <f>IF(AZ550=0,0,(BA550-AZ550)/AZ550*100)</f>
        <v>0</v>
      </c>
      <c r="BL550" s="1114">
        <f>IF(BA550=0,0,(BB550-BA550)/BA550*100)</f>
        <v>0</v>
      </c>
      <c r="BM550" s="1114">
        <f>IF(BB550=0,0,(BC550-BB550)/BB550*100)</f>
        <v>0</v>
      </c>
      <c r="BN550" s="7433"/>
      <c r="BO550" s="7437" t="str">
        <f>IF(_xlfn.IFERROR(INDEX('ИП + источники'!$K$57:$L$203,MATCH($F550&amp;"2komm",'ИП + источники'!$K$57:$K$203,0),2),"")=0,"",_xlfn.IFERROR(INDEX('ИП + источники'!$K$57:$L$203,MATCH($F550&amp;"2komm",'ИП + источники'!$K$57:$K$203,0),2),""))</f>
        <v/>
      </c>
      <c r="BP550" s="7433"/>
      <c r="BQ550" s="1278"/>
      <c r="BR550" s="1278"/>
      <c r="BS550" s="1064" t="s">
        <v>2833</v>
      </c>
      <c r="BT550" s="1064"/>
      <c r="BU550" s="1064"/>
      <c r="BV550" s="979"/>
      <c r="BW550" s="979"/>
    </row>
    <row s="1834" customFormat="1" customHeight="1" ht="14.25">
      <c r="A551" s="1278"/>
      <c r="B551" s="432" cm="1" t="str">
        <f t="array" ref="B551:B551">B550</f>
        <v>true</v>
      </c>
      <c r="C551" s="107"/>
      <c r="D551" s="107"/>
      <c r="E551" s="621">
        <v>15</v>
      </c>
      <c r="F551" s="50" cm="1" t="str">
        <f t="array" ref="F551:F551">OFFSET(E551,-1,1)</f>
        <v>3</v>
      </c>
      <c r="G551" s="107"/>
      <c r="H551" s="107"/>
      <c r="I551" s="107" t="s">
        <v>1267</v>
      </c>
      <c r="J551" s="107"/>
      <c r="K551" s="1278"/>
      <c r="L551" s="980"/>
      <c r="M551" s="107"/>
      <c r="N551" s="107"/>
      <c r="O551" s="107"/>
      <c r="P551" s="107"/>
      <c r="Q551" s="107"/>
      <c r="R551" s="107"/>
      <c r="S551" s="107"/>
      <c r="T551" s="465" cm="1" t="str">
        <f t="array" ref="T551:T551">T550</f>
        <v>true</v>
      </c>
      <c r="U551" s="107"/>
      <c r="V551" s="107"/>
      <c r="W551" s="107"/>
      <c r="X551" s="1596"/>
      <c r="Y551" s="1278"/>
      <c r="Z551" s="1546"/>
      <c r="AA551" s="1278"/>
      <c r="AB551" s="300" t="s">
        <v>1394</v>
      </c>
      <c r="AC551" s="762" t="s">
        <v>2834</v>
      </c>
      <c r="AD551" s="300" t="s">
        <v>1514</v>
      </c>
      <c r="AE551" s="3946">
        <f>_xlfn.SUMIFS('ИП + источники'!AF$27:AF$203,'ИП + источники'!$F$27:$F$203,$F551,'ИП + источники'!$AC$27:$AC$203,"уплата процентов по кредитам из нормативной прибыли")</f>
        <v>0</v>
      </c>
      <c r="AF551" s="3946">
        <f>_xlfn.SUMIFS('ИП + источники'!AG$27:AG$203,'ИП + источники'!$F$27:$F$203,$F551,'ИП + источники'!$AC$27:$AC$203,"уплата процентов по кредитам из нормативной прибыли")</f>
        <v>0</v>
      </c>
      <c r="AG551" s="3946">
        <f>_xlfn.SUMIFS('ИП + источники'!AH$27:AH$203,'ИП + источники'!$F$27:$F$203,$F551,'ИП + источники'!$AC$27:$AC$203,"уплата процентов по кредитам из нормативной прибыли")</f>
        <v>0</v>
      </c>
      <c r="AH551" s="1114">
        <f>AG551-AF551</f>
        <v>0</v>
      </c>
      <c r="AI551" s="3946">
        <f>_xlfn.SUMIFS('ИП + источники'!AJ$27:AJ$203,'ИП + источники'!$F$27:$F$203,$F551,'ИП + источники'!$AC$27:$AC$203,"уплата процентов по кредитам из нормативной прибыли")</f>
        <v>0</v>
      </c>
      <c r="AJ551" s="3946">
        <f>_xlfn.SUMIFS('ИП + источники'!AK$27:AK$203,'ИП + источники'!$F$27:$F$203,$F551,'ИП + источники'!$AC$27:$AC$203,"уплата процентов по кредитам из нормативной прибыли")</f>
        <v>0</v>
      </c>
      <c r="AK551" s="3946">
        <f>_xlfn.SUMIFS('ИП + источники'!AL$27:AL$203,'ИП + источники'!$F$27:$F$203,$F551,'ИП + источники'!$AC$27:$AC$203,"уплата процентов по кредитам из нормативной прибыли")</f>
        <v>0</v>
      </c>
      <c r="AL551" s="3946">
        <f>_xlfn.SUMIFS('ИП + источники'!AM$27:AM$203,'ИП + источники'!$F$27:$F$203,$F551,'ИП + источники'!$AC$27:$AC$203,"уплата процентов по кредитам из нормативной прибыли")</f>
        <v>0</v>
      </c>
      <c r="AM551" s="3946">
        <f>_xlfn.SUMIFS('ИП + источники'!AN$27:AN$203,'ИП + источники'!$F$27:$F$203,$F551,'ИП + источники'!$AC$27:$AC$203,"уплата процентов по кредитам из нормативной прибыли")</f>
        <v>0</v>
      </c>
      <c r="AN551" s="3946">
        <f>_xlfn.SUMIFS('ИП + источники'!AO$27:AO$203,'ИП + источники'!$F$27:$F$203,$F551,'ИП + источники'!$AC$27:$AC$203,"уплата процентов по кредитам из нормативной прибыли")</f>
        <v>0</v>
      </c>
      <c r="AO551" s="1241">
        <f>_xlfn.SUMIFS('ИП + источники'!AP$27:AP$203,'ИП + источники'!$F$27:$F$203,$F551,'ИП + источники'!$AC$27:$AC$203,"уплата процентов по кредитам из нормативной прибыли")</f>
        <v>0</v>
      </c>
      <c r="AP551" s="1241">
        <f>_xlfn.SUMIFS('ИП + источники'!AQ$27:AQ$203,'ИП + источники'!$F$27:$F$203,$F551,'ИП + источники'!$AC$27:$AC$203,"уплата процентов по кредитам из нормативной прибыли")</f>
        <v>0</v>
      </c>
      <c r="AQ551" s="1241">
        <f>_xlfn.SUMIFS('ИП + источники'!AR$27:AR$203,'ИП + источники'!$F$27:$F$203,$F551,'ИП + источники'!$AC$27:$AC$203,"уплата процентов по кредитам из нормативной прибыли")</f>
        <v>0</v>
      </c>
      <c r="AR551" s="1241">
        <f>_xlfn.SUMIFS('ИП + источники'!AS$27:AS$203,'ИП + источники'!$F$27:$F$203,$F551,'ИП + источники'!$AC$27:$AC$203,"уплата процентов по кредитам из нормативной прибыли")</f>
        <v>0</v>
      </c>
      <c r="AS551" s="1241">
        <f>_xlfn.SUMIFS('ИП + источники'!AT$27:AT$203,'ИП + источники'!$F$27:$F$203,$F551,'ИП + источники'!$AC$27:$AC$203,"уплата процентов по кредитам из нормативной прибыли")</f>
        <v>0</v>
      </c>
      <c r="AT551" s="3946">
        <f>_xlfn.SUMIFS('ИП + источники'!AU$27:AU$203,'ИП + источники'!$F$27:$F$203,$F551,'ИП + источники'!$AC$27:$AC$203,"уплата процентов по кредитам из нормативной прибыли")</f>
        <v>0</v>
      </c>
      <c r="AU551" s="3946">
        <f>_xlfn.SUMIFS('ИП + источники'!AV$27:AV$203,'ИП + источники'!$F$27:$F$203,$F551,'ИП + источники'!$AC$27:$AC$203,"уплата процентов по кредитам из нормативной прибыли")</f>
        <v>0</v>
      </c>
      <c r="AV551" s="3946">
        <f>_xlfn.SUMIFS('ИП + источники'!AW$27:AW$203,'ИП + источники'!$F$27:$F$203,$F551,'ИП + источники'!$AC$27:$AC$203,"уплата процентов по кредитам из нормативной прибыли")</f>
        <v>0</v>
      </c>
      <c r="AW551" s="3946">
        <f>_xlfn.SUMIFS('ИП + источники'!AX$27:AX$203,'ИП + источники'!$F$27:$F$203,$F551,'ИП + источники'!$AC$27:$AC$203,"уплата процентов по кредитам из нормативной прибыли")</f>
        <v>0</v>
      </c>
      <c r="AX551" s="3946">
        <f>_xlfn.SUMIFS('ИП + источники'!AY$27:AY$203,'ИП + источники'!$F$27:$F$203,$F551,'ИП + источники'!$AC$27:$AC$203,"уплата процентов по кредитам из нормативной прибыли")</f>
        <v>0</v>
      </c>
      <c r="AY551" s="1241">
        <f>_xlfn.SUMIFS('ИП + источники'!AZ$27:AZ$203,'ИП + источники'!$F$27:$F$203,$F551,'ИП + источники'!$AC$27:$AC$203,"уплата процентов по кредитам из нормативной прибыли")</f>
        <v>0</v>
      </c>
      <c r="AZ551" s="1241">
        <f>_xlfn.SUMIFS('ИП + источники'!BA$27:BA$203,'ИП + источники'!$F$27:$F$203,$F551,'ИП + источники'!$AC$27:$AC$203,"уплата процентов по кредитам из нормативной прибыли")</f>
        <v>0</v>
      </c>
      <c r="BA551" s="1241">
        <f>_xlfn.SUMIFS('ИП + источники'!BB$27:BB$203,'ИП + источники'!$F$27:$F$203,$F551,'ИП + источники'!$AC$27:$AC$203,"уплата процентов по кредитам из нормативной прибыли")</f>
        <v>0</v>
      </c>
      <c r="BB551" s="1241">
        <f>_xlfn.SUMIFS('ИП + источники'!BC$27:BC$203,'ИП + источники'!$F$27:$F$203,$F551,'ИП + источники'!$AC$27:$AC$203,"уплата процентов по кредитам из нормативной прибыли")</f>
        <v>0</v>
      </c>
      <c r="BC551" s="1241">
        <f>_xlfn.SUMIFS('ИП + источники'!BD$27:BD$203,'ИП + источники'!$F$27:$F$203,$F551,'ИП + источники'!$AC$27:$AC$203,"уплата процентов по кредитам из нормативной прибыли")</f>
        <v>0</v>
      </c>
      <c r="BD551" s="1114">
        <f>IF(AI551=0,0,(AT551-AI551)/AI551*100)</f>
        <v>0</v>
      </c>
      <c r="BE551" s="1114">
        <f>IF(AT551=0,0,(AU551-AT551)/AT551*100)</f>
        <v>0</v>
      </c>
      <c r="BF551" s="1114">
        <f>IF(AU551=0,0,(AV551-AU551)/AU551*100)</f>
        <v>0</v>
      </c>
      <c r="BG551" s="1114">
        <f>IF(AV551=0,0,(AW551-AV551)/AV551*100)</f>
        <v>0</v>
      </c>
      <c r="BH551" s="1114">
        <f>IF(AW551=0,0,(AX551-AW551)/AW551*100)</f>
        <v>0</v>
      </c>
      <c r="BI551" s="1114">
        <f>IF(AX551=0,0,(AY551-AX551)/AX551*100)</f>
        <v>0</v>
      </c>
      <c r="BJ551" s="1114">
        <f>IF(AY551=0,0,(AZ551-AY551)/AY551*100)</f>
        <v>0</v>
      </c>
      <c r="BK551" s="1114">
        <f>IF(AZ551=0,0,(BA551-AZ551)/AZ551*100)</f>
        <v>0</v>
      </c>
      <c r="BL551" s="1114">
        <f>IF(BA551=0,0,(BB551-BA551)/BA551*100)</f>
        <v>0</v>
      </c>
      <c r="BM551" s="1114">
        <f>IF(BB551=0,0,(BC551-BB551)/BB551*100)</f>
        <v>0</v>
      </c>
      <c r="BN551" s="7433"/>
      <c r="BO551" s="7437" t="str">
        <f>IF(_xlfn.IFERROR(INDEX('ИП + источники'!$K$57:$L$203,MATCH($F551&amp;"3komm",'ИП + источники'!$K$57:$K$203,0),2),"")=0,"",_xlfn.IFERROR(INDEX('ИП + источники'!$K$57:$L$203,MATCH($F551&amp;"3komm",'ИП + источники'!$K$57:$K$203,0),2),""))</f>
        <v/>
      </c>
      <c r="BP551" s="7433"/>
      <c r="BQ551" s="1278"/>
      <c r="BR551" s="1278"/>
      <c r="BS551" s="1064" t="s">
        <v>2835</v>
      </c>
      <c r="BT551" s="1064"/>
      <c r="BU551" s="1064"/>
      <c r="BV551" s="979"/>
      <c r="BW551" s="979"/>
    </row>
    <row s="1834" customFormat="1" customHeight="1" ht="14.25">
      <c r="A552" s="1278"/>
      <c r="B552" s="432" cm="1" t="str">
        <f t="array" ref="B552:B552">B551</f>
        <v>true</v>
      </c>
      <c r="C552" s="107"/>
      <c r="D552" s="107"/>
      <c r="E552" s="621">
        <v>15</v>
      </c>
      <c r="F552" s="50" cm="1" t="str">
        <f t="array" ref="F552:F552">OFFSET(E552,-1,1)</f>
        <v>3</v>
      </c>
      <c r="G552" s="107"/>
      <c r="H552" s="107"/>
      <c r="I552" s="107" t="s">
        <v>1479</v>
      </c>
      <c r="J552" s="107"/>
      <c r="K552" s="1278"/>
      <c r="L552" s="980" t="s">
        <v>1282</v>
      </c>
      <c r="M552" s="107"/>
      <c r="N552" s="107"/>
      <c r="O552" s="107"/>
      <c r="P552" s="107"/>
      <c r="Q552" s="107"/>
      <c r="R552" s="107"/>
      <c r="S552" s="107"/>
      <c r="T552" s="465" cm="1" t="str">
        <f t="array" ref="T552:T552">T551</f>
        <v>true</v>
      </c>
      <c r="U552" s="107"/>
      <c r="V552" s="107"/>
      <c r="W552" s="107"/>
      <c r="X552" s="1596"/>
      <c r="Y552" s="1278"/>
      <c r="Z552" s="1546"/>
      <c r="AA552" s="1278"/>
      <c r="AB552" s="300" t="s">
        <v>1683</v>
      </c>
      <c r="AC552" s="762" t="s">
        <v>2836</v>
      </c>
      <c r="AD552" s="300" t="s">
        <v>1514</v>
      </c>
      <c r="AE552" s="3946">
        <f>_xlfn.SUMIFS('ИП + источники'!AF$27:AF$203,'ИП + источники'!$F$27:$F$203,$F552,'ИП + источники'!$AC$27:$AC$203,"Прибыль на капвложения")</f>
        <v>0</v>
      </c>
      <c r="AF552" s="3946">
        <f>_xlfn.SUMIFS('ИП + источники'!AG$27:AG$203,'ИП + источники'!$F$27:$F$203,$F552,'ИП + источники'!$AC$27:$AC$203,"Прибыль на капвложения")</f>
        <v>0</v>
      </c>
      <c r="AG552" s="3946">
        <f>_xlfn.SUMIFS('ИП + источники'!AH$27:AH$203,'ИП + источники'!$F$27:$F$203,$F552,'ИП + источники'!$AC$27:$AC$203,"Прибыль на капвложения")</f>
        <v>0</v>
      </c>
      <c r="AH552" s="1114">
        <f>AG552-AF552</f>
        <v>0</v>
      </c>
      <c r="AI552" s="3946">
        <f>_xlfn.SUMIFS('ИП + источники'!AJ$27:AJ$203,'ИП + источники'!$F$27:$F$203,$F552,'ИП + источники'!$AC$27:$AC$203,"Прибыль на капвложения")</f>
        <v>0</v>
      </c>
      <c r="AJ552" s="3946">
        <f>_xlfn.SUMIFS('ИП + источники'!AK$27:AK$203,'ИП + источники'!$F$27:$F$203,$F552,'ИП + источники'!$AC$27:$AC$203,"Прибыль на капвложения")</f>
        <v>0</v>
      </c>
      <c r="AK552" s="3946">
        <f>_xlfn.SUMIFS('ИП + источники'!AL$27:AL$203,'ИП + источники'!$F$27:$F$203,$F552,'ИП + источники'!$AC$27:$AC$203,"Прибыль на капвложения")</f>
        <v>0</v>
      </c>
      <c r="AL552" s="3946">
        <f>_xlfn.SUMIFS('ИП + источники'!AM$27:AM$203,'ИП + источники'!$F$27:$F$203,$F552,'ИП + источники'!$AC$27:$AC$203,"Прибыль на капвложения")</f>
        <v>0</v>
      </c>
      <c r="AM552" s="3946">
        <f>_xlfn.SUMIFS('ИП + источники'!AN$27:AN$203,'ИП + источники'!$F$27:$F$203,$F552,'ИП + источники'!$AC$27:$AC$203,"Прибыль на капвложения")</f>
        <v>0</v>
      </c>
      <c r="AN552" s="3946">
        <f>_xlfn.SUMIFS('ИП + источники'!AO$27:AO$203,'ИП + источники'!$F$27:$F$203,$F552,'ИП + источники'!$AC$27:$AC$203,"Прибыль на капвложения")</f>
        <v>0</v>
      </c>
      <c r="AO552" s="1241">
        <f>_xlfn.SUMIFS('ИП + источники'!AP$27:AP$203,'ИП + источники'!$F$27:$F$203,$F552,'ИП + источники'!$AC$27:$AC$203,"Прибыль на капвложения")</f>
        <v>0</v>
      </c>
      <c r="AP552" s="1241">
        <f>_xlfn.SUMIFS('ИП + источники'!AQ$27:AQ$203,'ИП + источники'!$F$27:$F$203,$F552,'ИП + источники'!$AC$27:$AC$203,"Прибыль на капвложения")</f>
        <v>0</v>
      </c>
      <c r="AQ552" s="1241">
        <f>_xlfn.SUMIFS('ИП + источники'!AR$27:AR$203,'ИП + источники'!$F$27:$F$203,$F552,'ИП + источники'!$AC$27:$AC$203,"Прибыль на капвложения")</f>
        <v>0</v>
      </c>
      <c r="AR552" s="1241">
        <f>_xlfn.SUMIFS('ИП + источники'!AS$27:AS$203,'ИП + источники'!$F$27:$F$203,$F552,'ИП + источники'!$AC$27:$AC$203,"Прибыль на капвложения")</f>
        <v>0</v>
      </c>
      <c r="AS552" s="1241">
        <f>_xlfn.SUMIFS('ИП + источники'!AT$27:AT$203,'ИП + источники'!$F$27:$F$203,$F552,'ИП + источники'!$AC$27:$AC$203,"Прибыль на капвложения")</f>
        <v>0</v>
      </c>
      <c r="AT552" s="3946">
        <f>_xlfn.SUMIFS('ИП + источники'!AU$27:AU$203,'ИП + источники'!$F$27:$F$203,$F552,'ИП + источники'!$AC$27:$AC$203,"Прибыль на капвложения")</f>
        <v>0</v>
      </c>
      <c r="AU552" s="3946">
        <f>_xlfn.SUMIFS('ИП + источники'!AV$27:AV$203,'ИП + источники'!$F$27:$F$203,$F552,'ИП + источники'!$AC$27:$AC$203,"Прибыль на капвложения")</f>
        <v>0</v>
      </c>
      <c r="AV552" s="3946">
        <f>_xlfn.SUMIFS('ИП + источники'!AW$27:AW$203,'ИП + источники'!$F$27:$F$203,$F552,'ИП + источники'!$AC$27:$AC$203,"Прибыль на капвложения")</f>
        <v>0</v>
      </c>
      <c r="AW552" s="3946">
        <f>_xlfn.SUMIFS('ИП + источники'!AX$27:AX$203,'ИП + источники'!$F$27:$F$203,$F552,'ИП + источники'!$AC$27:$AC$203,"Прибыль на капвложения")</f>
        <v>0</v>
      </c>
      <c r="AX552" s="3946">
        <f>_xlfn.SUMIFS('ИП + источники'!AY$27:AY$203,'ИП + источники'!$F$27:$F$203,$F552,'ИП + источники'!$AC$27:$AC$203,"Прибыль на капвложения")</f>
        <v>0</v>
      </c>
      <c r="AY552" s="1241">
        <f>_xlfn.SUMIFS('ИП + источники'!AZ$27:AZ$203,'ИП + источники'!$F$27:$F$203,$F552,'ИП + источники'!$AC$27:$AC$203,"Прибыль на капвложения")</f>
        <v>0</v>
      </c>
      <c r="AZ552" s="1241">
        <f>_xlfn.SUMIFS('ИП + источники'!BA$27:BA$203,'ИП + источники'!$F$27:$F$203,$F552,'ИП + источники'!$AC$27:$AC$203,"Прибыль на капвложения")</f>
        <v>0</v>
      </c>
      <c r="BA552" s="1241">
        <f>_xlfn.SUMIFS('ИП + источники'!BB$27:BB$203,'ИП + источники'!$F$27:$F$203,$F552,'ИП + источники'!$AC$27:$AC$203,"Прибыль на капвложения")</f>
        <v>0</v>
      </c>
      <c r="BB552" s="1241">
        <f>_xlfn.SUMIFS('ИП + источники'!BC$27:BC$203,'ИП + источники'!$F$27:$F$203,$F552,'ИП + источники'!$AC$27:$AC$203,"Прибыль на капвложения")</f>
        <v>0</v>
      </c>
      <c r="BC552" s="1241">
        <f>_xlfn.SUMIFS('ИП + источники'!BD$27:BD$203,'ИП + источники'!$F$27:$F$203,$F552,'ИП + источники'!$AC$27:$AC$203,"Прибыль на капвложения")</f>
        <v>0</v>
      </c>
      <c r="BD552" s="1114">
        <f>IF(AI552=0,0,(AT552-AI552)/AI552*100)</f>
        <v>0</v>
      </c>
      <c r="BE552" s="1114">
        <f>IF(AT552=0,0,(AU552-AT552)/AT552*100)</f>
        <v>0</v>
      </c>
      <c r="BF552" s="1114">
        <f>IF(AU552=0,0,(AV552-AU552)/AU552*100)</f>
        <v>0</v>
      </c>
      <c r="BG552" s="1114">
        <f>IF(AV552=0,0,(AW552-AV552)/AV552*100)</f>
        <v>0</v>
      </c>
      <c r="BH552" s="1114">
        <f>IF(AW552=0,0,(AX552-AW552)/AW552*100)</f>
        <v>0</v>
      </c>
      <c r="BI552" s="1114">
        <f>IF(AX552=0,0,(AY552-AX552)/AX552*100)</f>
        <v>0</v>
      </c>
      <c r="BJ552" s="1114">
        <f>IF(AY552=0,0,(AZ552-AY552)/AY552*100)</f>
        <v>0</v>
      </c>
      <c r="BK552" s="1114">
        <f>IF(AZ552=0,0,(BA552-AZ552)/AZ552*100)</f>
        <v>0</v>
      </c>
      <c r="BL552" s="1114">
        <f>IF(BA552=0,0,(BB552-BA552)/BA552*100)</f>
        <v>0</v>
      </c>
      <c r="BM552" s="1114">
        <f>IF(BB552=0,0,(BC552-BB552)/BB552*100)</f>
        <v>0</v>
      </c>
      <c r="BN552" s="7433"/>
      <c r="BO552" s="7437" t="str">
        <f>IF(_xlfn.IFERROR(INDEX('ИП + источники'!$K$57:$L$203,MATCH($F552&amp;"1komm",'ИП + источники'!$K$57:$K$203,0),2),"")=0,"",_xlfn.IFERROR(INDEX('ИП + источники'!$K$57:$L$203,MATCH($F552&amp;"1komm",'ИП + источники'!$K$57:$K$203,0),2),""))</f>
        <v/>
      </c>
      <c r="BP552" s="7433"/>
      <c r="BQ552" s="1278"/>
      <c r="BR552" s="1278"/>
      <c r="BS552" s="1064" t="s">
        <v>2546</v>
      </c>
      <c r="BT552" s="1064"/>
      <c r="BU552" s="1064"/>
      <c r="BV552" s="979"/>
      <c r="BW552" s="979"/>
    </row>
    <row s="1834" customFormat="1" customHeight="1" ht="21.75">
      <c r="A553" s="1278"/>
      <c r="B553" s="432" cm="1" t="str">
        <f t="array" ref="B553:B553">B552</f>
        <v>true</v>
      </c>
      <c r="C553" s="107"/>
      <c r="D553" s="107"/>
      <c r="E553" s="621">
        <v>22.5</v>
      </c>
      <c r="F553" s="50" cm="1" t="str">
        <f t="array" ref="F553:F553">OFFSET(E553,-1,1)</f>
        <v>3</v>
      </c>
      <c r="G553" s="107" t="s">
        <v>2837</v>
      </c>
      <c r="H553" s="107"/>
      <c r="I553" s="107" t="s">
        <v>1685</v>
      </c>
      <c r="J553" s="107"/>
      <c r="K553" s="1278"/>
      <c r="L553" s="980" t="s">
        <v>1286</v>
      </c>
      <c r="M553" s="107"/>
      <c r="N553" s="107"/>
      <c r="O553" s="107"/>
      <c r="P553" s="107"/>
      <c r="Q553" s="107"/>
      <c r="R553" s="107"/>
      <c r="S553" s="107"/>
      <c r="T553" s="465" cm="1" t="str">
        <f t="array" ref="T553:T553">T552</f>
        <v>true</v>
      </c>
      <c r="U553" s="107"/>
      <c r="V553" s="107"/>
      <c r="W553" s="107"/>
      <c r="X553" s="1596"/>
      <c r="Y553" s="1278"/>
      <c r="Z553" s="1546"/>
      <c r="AA553" s="1278"/>
      <c r="AB553" s="300" t="s">
        <v>1686</v>
      </c>
      <c r="AC553" s="762" t="s">
        <v>2838</v>
      </c>
      <c r="AD553" s="300" t="s">
        <v>1514</v>
      </c>
      <c r="AE553" s="3946"/>
      <c r="AF553" s="3946"/>
      <c r="AG553" s="3946"/>
      <c r="AH553" s="1114">
        <f>AG553-AF553</f>
        <v>0</v>
      </c>
      <c r="AI553" s="3946"/>
      <c r="AJ553" s="3946"/>
      <c r="AK553" s="3946"/>
      <c r="AL553" s="3946"/>
      <c r="AM553" s="3946"/>
      <c r="AN553" s="3946"/>
      <c r="AO553" s="1241"/>
      <c r="AP553" s="1241"/>
      <c r="AQ553" s="1241"/>
      <c r="AR553" s="1241"/>
      <c r="AS553" s="1241"/>
      <c r="AT553" s="3946"/>
      <c r="AU553" s="3946"/>
      <c r="AV553" s="3946"/>
      <c r="AW553" s="3946"/>
      <c r="AX553" s="3946"/>
      <c r="AY553" s="1241"/>
      <c r="AZ553" s="1241"/>
      <c r="BA553" s="1241"/>
      <c r="BB553" s="1241"/>
      <c r="BC553" s="1241"/>
      <c r="BD553" s="1114">
        <f>IF(AI553=0,0,(AT553-AI553)/AI553*100)</f>
        <v>0</v>
      </c>
      <c r="BE553" s="1114">
        <f>IF(AT553=0,0,(AU553-AT553)/AT553*100)</f>
        <v>0</v>
      </c>
      <c r="BF553" s="1114">
        <f>IF(AU553=0,0,(AV553-AU553)/AU553*100)</f>
        <v>0</v>
      </c>
      <c r="BG553" s="1114">
        <f>IF(AV553=0,0,(AW553-AV553)/AV553*100)</f>
        <v>0</v>
      </c>
      <c r="BH553" s="1114">
        <f>IF(AW553=0,0,(AX553-AW553)/AW553*100)</f>
        <v>0</v>
      </c>
      <c r="BI553" s="1114">
        <f>IF(AX553=0,0,(AY553-AX553)/AX553*100)</f>
        <v>0</v>
      </c>
      <c r="BJ553" s="1114">
        <f>IF(AY553=0,0,(AZ553-AY553)/AY553*100)</f>
        <v>0</v>
      </c>
      <c r="BK553" s="1114">
        <f>IF(AZ553=0,0,(BA553-AZ553)/AZ553*100)</f>
        <v>0</v>
      </c>
      <c r="BL553" s="1114">
        <f>IF(BA553=0,0,(BB553-BA553)/BA553*100)</f>
        <v>0</v>
      </c>
      <c r="BM553" s="1114">
        <f>IF(BB553=0,0,(BC553-BB553)/BB553*100)</f>
        <v>0</v>
      </c>
      <c r="BN553" s="7433"/>
      <c r="BO553" s="7433"/>
      <c r="BP553" s="7433"/>
      <c r="BQ553" s="1278"/>
      <c r="BR553" s="1278"/>
      <c r="BS553" s="1064" t="s">
        <v>2839</v>
      </c>
      <c r="BT553" s="1064"/>
      <c r="BU553" s="1064"/>
      <c r="BV553" s="979"/>
      <c r="BW553" s="979"/>
    </row>
    <row s="1834" customFormat="1" customHeight="1" ht="0">
      <c r="A554" s="1278"/>
      <c r="B554" s="432">
        <f>AND(method_reg="Метод индексации",STATUS_GO="да")</f>
        <v>1</v>
      </c>
      <c r="C554" s="107"/>
      <c r="D554" s="107"/>
      <c r="E554" s="621">
        <v>15</v>
      </c>
      <c r="F554" s="50" cm="1" t="str">
        <f t="array" ref="F554:F554">OFFSET(E554,-1,1)</f>
        <v>3</v>
      </c>
      <c r="G554" s="107" t="s">
        <v>2549</v>
      </c>
      <c r="H554" s="107"/>
      <c r="I554" s="107" t="s">
        <v>1225</v>
      </c>
      <c r="J554" s="107"/>
      <c r="K554" s="1278"/>
      <c r="L554" s="980" t="s">
        <v>1290</v>
      </c>
      <c r="M554" s="107"/>
      <c r="N554" s="107"/>
      <c r="O554" s="107"/>
      <c r="P554" s="107"/>
      <c r="Q554" s="107"/>
      <c r="R554" s="107"/>
      <c r="S554" s="107"/>
      <c r="T554" s="465" cm="1" t="str">
        <f t="array" ref="T554:T554">T553</f>
        <v>true</v>
      </c>
      <c r="U554" s="107"/>
      <c r="V554" s="107"/>
      <c r="W554" s="107"/>
      <c r="X554" s="1596"/>
      <c r="Y554" s="1278"/>
      <c r="Z554" s="1546"/>
      <c r="AA554" s="1278"/>
      <c r="AB554" s="300" t="s">
        <v>446</v>
      </c>
      <c r="AC554" s="452" t="s">
        <v>2549</v>
      </c>
      <c r="AD554" s="300" t="s">
        <v>1514</v>
      </c>
      <c r="AE554" s="3946"/>
      <c r="AF554" s="3946"/>
      <c r="AG554" s="3946"/>
      <c r="AH554" s="1114">
        <f>AG554-AF554</f>
        <v>0</v>
      </c>
      <c r="AI554" s="3946"/>
      <c r="AJ554" s="3946"/>
      <c r="AK554" s="3946"/>
      <c r="AL554" s="3946"/>
      <c r="AM554" s="3946"/>
      <c r="AN554" s="3946"/>
      <c r="AO554" s="1241"/>
      <c r="AP554" s="1241"/>
      <c r="AQ554" s="1241"/>
      <c r="AR554" s="1241"/>
      <c r="AS554" s="1241"/>
      <c r="AT554" s="3946"/>
      <c r="AU554" s="3946"/>
      <c r="AV554" s="3946"/>
      <c r="AW554" s="3946"/>
      <c r="AX554" s="3946"/>
      <c r="AY554" s="1241"/>
      <c r="AZ554" s="1241"/>
      <c r="BA554" s="1241"/>
      <c r="BB554" s="1241"/>
      <c r="BC554" s="1241"/>
      <c r="BD554" s="1114">
        <f>IF(AI554=0,0,(AT554-AI554)/AI554*100)</f>
        <v>0</v>
      </c>
      <c r="BE554" s="1114">
        <f>IF(AT554=0,0,(AU554-AT554)/AT554*100)</f>
        <v>0</v>
      </c>
      <c r="BF554" s="1114">
        <f>IF(AU554=0,0,(AV554-AU554)/AU554*100)</f>
        <v>0</v>
      </c>
      <c r="BG554" s="1114">
        <f>IF(AV554=0,0,(AW554-AV554)/AV554*100)</f>
        <v>0</v>
      </c>
      <c r="BH554" s="1114">
        <f>IF(AW554=0,0,(AX554-AW554)/AW554*100)</f>
        <v>0</v>
      </c>
      <c r="BI554" s="1114">
        <f>IF(AX554=0,0,(AY554-AX554)/AX554*100)</f>
        <v>0</v>
      </c>
      <c r="BJ554" s="1114">
        <f>IF(AY554=0,0,(AZ554-AY554)/AY554*100)</f>
        <v>0</v>
      </c>
      <c r="BK554" s="1114">
        <f>IF(AZ554=0,0,(BA554-AZ554)/AZ554*100)</f>
        <v>0</v>
      </c>
      <c r="BL554" s="1114">
        <f>IF(BA554=0,0,(BB554-BA554)/BA554*100)</f>
        <v>0</v>
      </c>
      <c r="BM554" s="1114">
        <f>IF(BB554=0,0,(BC554-BB554)/BB554*100)</f>
        <v>0</v>
      </c>
      <c r="BN554" s="7433"/>
      <c r="BO554" s="7433"/>
      <c r="BP554" s="7433"/>
      <c r="BQ554" s="1278"/>
      <c r="BR554" s="1278"/>
      <c r="BS554" s="1064" t="s">
        <v>2550</v>
      </c>
      <c r="BT554" s="1064"/>
      <c r="BU554" s="1064"/>
      <c r="BV554" s="979"/>
      <c r="BW554" s="979"/>
    </row>
    <row s="1834" customFormat="1" customHeight="1" ht="14.25" hidden="1">
      <c r="A555" s="1278"/>
      <c r="B555" s="860">
        <f>method_reg="Метод обеспечения доходности инвестированного капитала"</f>
        <v>0</v>
      </c>
      <c r="C555" s="107"/>
      <c r="D555" s="107"/>
      <c r="E555" s="621">
        <v>15</v>
      </c>
      <c r="F555" s="50" cm="1" t="str">
        <f t="array" ref="F555:F555">OFFSET(E555,-1,1)</f>
        <v>3</v>
      </c>
      <c r="G555" s="107"/>
      <c r="H555" s="107"/>
      <c r="I555" s="107"/>
      <c r="J555" s="107"/>
      <c r="K555" s="107" t="s">
        <v>336</v>
      </c>
      <c r="L555" s="980"/>
      <c r="M555" s="107"/>
      <c r="N555" s="107"/>
      <c r="O555" s="107"/>
      <c r="P555" s="107"/>
      <c r="Q555" s="107"/>
      <c r="R555" s="107"/>
      <c r="S555" s="107"/>
      <c r="T555" s="860" cm="1" t="str">
        <f t="array" ref="T555:T555">T554</f>
        <v>true</v>
      </c>
      <c r="U555" s="107"/>
      <c r="V555" s="107"/>
      <c r="W555" s="107"/>
      <c r="X555" s="1596"/>
      <c r="Y555" s="1278"/>
      <c r="Z555" s="1546"/>
      <c r="AA555" s="1278"/>
      <c r="AB555" s="794" t="s">
        <v>295</v>
      </c>
      <c r="AC555" s="793" t="s">
        <v>2840</v>
      </c>
      <c r="AD555" s="794" t="s">
        <v>1514</v>
      </c>
      <c r="AE555" s="1246"/>
      <c r="AF555" s="1246"/>
      <c r="AG555" s="1246"/>
      <c r="AH555" s="761">
        <f>AG555-AF555</f>
        <v>0</v>
      </c>
      <c r="AI555" s="1246"/>
      <c r="AJ555" s="1246"/>
      <c r="AK555" s="1246"/>
      <c r="AL555" s="1246"/>
      <c r="AM555" s="1246"/>
      <c r="AN555" s="1246"/>
      <c r="AO555" s="1246"/>
      <c r="AP555" s="1246"/>
      <c r="AQ555" s="1246"/>
      <c r="AR555" s="1246"/>
      <c r="AS555" s="1246"/>
      <c r="AT555" s="1246"/>
      <c r="AU555" s="1246"/>
      <c r="AV555" s="1246"/>
      <c r="AW555" s="1246"/>
      <c r="AX555" s="1246"/>
      <c r="AY555" s="1246"/>
      <c r="AZ555" s="1246"/>
      <c r="BA555" s="1246"/>
      <c r="BB555" s="1246"/>
      <c r="BC555" s="1246"/>
      <c r="BD555" s="761">
        <f>IF(AI555=0,0,(AT555-AI555)/AI555*100)</f>
        <v>0</v>
      </c>
      <c r="BE555" s="761">
        <f>IF(AT555=0,0,(AU555-AT555)/AT555*100)</f>
        <v>0</v>
      </c>
      <c r="BF555" s="761">
        <f>IF(AU555=0,0,(AV555-AU555)/AU555*100)</f>
        <v>0</v>
      </c>
      <c r="BG555" s="761">
        <f>IF(AV555=0,0,(AW555-AV555)/AV555*100)</f>
        <v>0</v>
      </c>
      <c r="BH555" s="761">
        <f>IF(AW555=0,0,(AX555-AW555)/AW555*100)</f>
        <v>0</v>
      </c>
      <c r="BI555" s="761">
        <f>IF(AX555=0,0,(AY555-AX555)/AX555*100)</f>
        <v>0</v>
      </c>
      <c r="BJ555" s="761">
        <f>IF(AY555=0,0,(AZ555-AY555)/AY555*100)</f>
        <v>0</v>
      </c>
      <c r="BK555" s="761">
        <f>IF(AZ555=0,0,(BA555-AZ555)/AZ555*100)</f>
        <v>0</v>
      </c>
      <c r="BL555" s="761">
        <f>IF(BA555=0,0,(BB555-BA555)/BA555*100)</f>
        <v>0</v>
      </c>
      <c r="BM555" s="761">
        <f>IF(BB555=0,0,(BC555-BB555)/BB555*100)</f>
        <v>0</v>
      </c>
      <c r="BN555" s="1247"/>
      <c r="BO555" s="1247"/>
      <c r="BP555" s="1247"/>
      <c r="BQ555" s="1278"/>
      <c r="BR555" s="1278"/>
      <c r="BS555" s="1064" t="s">
        <v>2841</v>
      </c>
      <c r="BT555" s="1064"/>
      <c r="BU555" s="1064"/>
      <c r="BV555" s="979"/>
      <c r="BW555" s="979"/>
    </row>
    <row s="1834" customFormat="1" customHeight="1" ht="14.25" hidden="1">
      <c r="A556" s="1278"/>
      <c r="B556" s="860" cm="1" t="str">
        <f t="array" ref="B556:B556">B555</f>
        <v>false</v>
      </c>
      <c r="C556" s="107"/>
      <c r="D556" s="107"/>
      <c r="E556" s="621">
        <v>15</v>
      </c>
      <c r="F556" s="50" cm="1" t="str">
        <f t="array" ref="F556:F556">OFFSET(E556,-1,1)</f>
        <v>3</v>
      </c>
      <c r="G556" s="107"/>
      <c r="H556" s="107"/>
      <c r="I556" s="107"/>
      <c r="J556" s="107"/>
      <c r="K556" s="107" t="s">
        <v>1249</v>
      </c>
      <c r="L556" s="980"/>
      <c r="M556" s="107"/>
      <c r="N556" s="107"/>
      <c r="O556" s="107"/>
      <c r="P556" s="107"/>
      <c r="Q556" s="107"/>
      <c r="R556" s="107"/>
      <c r="S556" s="107"/>
      <c r="T556" s="860" cm="1" t="str">
        <f t="array" ref="T556:T556">T555</f>
        <v>true</v>
      </c>
      <c r="U556" s="107"/>
      <c r="V556" s="107"/>
      <c r="W556" s="107"/>
      <c r="X556" s="1596"/>
      <c r="Y556" s="1278"/>
      <c r="Z556" s="1546"/>
      <c r="AA556" s="1278"/>
      <c r="AB556" s="797" t="s">
        <v>1384</v>
      </c>
      <c r="AC556" s="796" t="s">
        <v>2842</v>
      </c>
      <c r="AD556" s="797" t="s">
        <v>1514</v>
      </c>
      <c r="AE556" s="1248"/>
      <c r="AF556" s="1248"/>
      <c r="AG556" s="1248"/>
      <c r="AH556" s="763"/>
      <c r="AI556" s="1248"/>
      <c r="AJ556" s="1248"/>
      <c r="AK556" s="1248"/>
      <c r="AL556" s="1248"/>
      <c r="AM556" s="1248"/>
      <c r="AN556" s="1248"/>
      <c r="AO556" s="1248"/>
      <c r="AP556" s="1248"/>
      <c r="AQ556" s="1248"/>
      <c r="AR556" s="1248"/>
      <c r="AS556" s="1248"/>
      <c r="AT556" s="1248"/>
      <c r="AU556" s="1248"/>
      <c r="AV556" s="1248"/>
      <c r="AW556" s="1248"/>
      <c r="AX556" s="1248"/>
      <c r="AY556" s="1248"/>
      <c r="AZ556" s="1248"/>
      <c r="BA556" s="1248"/>
      <c r="BB556" s="1248"/>
      <c r="BC556" s="1248"/>
      <c r="BD556" s="763"/>
      <c r="BE556" s="763"/>
      <c r="BF556" s="763"/>
      <c r="BG556" s="763"/>
      <c r="BH556" s="763"/>
      <c r="BI556" s="763"/>
      <c r="BJ556" s="763"/>
      <c r="BK556" s="763"/>
      <c r="BL556" s="763"/>
      <c r="BM556" s="763"/>
      <c r="BN556" s="1249"/>
      <c r="BO556" s="1249"/>
      <c r="BP556" s="1249"/>
      <c r="BQ556" s="1278"/>
      <c r="BR556" s="1278"/>
      <c r="BS556" s="1064" t="s">
        <v>2843</v>
      </c>
      <c r="BT556" s="1064"/>
      <c r="BU556" s="1064"/>
      <c r="BV556" s="979"/>
      <c r="BW556" s="979"/>
    </row>
    <row s="1834" customFormat="1" customHeight="1" ht="14.25" hidden="1">
      <c r="A557" s="1278"/>
      <c r="B557" s="860" cm="1" t="str">
        <f t="array" ref="B557:B557">B556</f>
        <v>false</v>
      </c>
      <c r="C557" s="107"/>
      <c r="D557" s="107"/>
      <c r="E557" s="621">
        <v>15</v>
      </c>
      <c r="F557" s="50" cm="1" t="str">
        <f t="array" ref="F557:F557">OFFSET(E557,-1,1)</f>
        <v>3</v>
      </c>
      <c r="G557" s="107"/>
      <c r="H557" s="107"/>
      <c r="I557" s="107"/>
      <c r="J557" s="107"/>
      <c r="K557" s="107" t="s">
        <v>1253</v>
      </c>
      <c r="L557" s="980"/>
      <c r="M557" s="107"/>
      <c r="N557" s="107"/>
      <c r="O557" s="107"/>
      <c r="P557" s="107"/>
      <c r="Q557" s="107"/>
      <c r="R557" s="107"/>
      <c r="S557" s="107"/>
      <c r="T557" s="860" cm="1" t="str">
        <f t="array" ref="T557:T557">T556</f>
        <v>true</v>
      </c>
      <c r="U557" s="107"/>
      <c r="V557" s="107"/>
      <c r="W557" s="107"/>
      <c r="X557" s="1596"/>
      <c r="Y557" s="1278"/>
      <c r="Z557" s="1546"/>
      <c r="AA557" s="1278"/>
      <c r="AB557" s="797" t="s">
        <v>1387</v>
      </c>
      <c r="AC557" s="796" t="s">
        <v>2844</v>
      </c>
      <c r="AD557" s="797" t="s">
        <v>2845</v>
      </c>
      <c r="AE557" s="1248"/>
      <c r="AF557" s="1248"/>
      <c r="AG557" s="1248"/>
      <c r="AH557" s="763"/>
      <c r="AI557" s="1248"/>
      <c r="AJ557" s="1248"/>
      <c r="AK557" s="1248"/>
      <c r="AL557" s="1248"/>
      <c r="AM557" s="1248"/>
      <c r="AN557" s="1248"/>
      <c r="AO557" s="1248"/>
      <c r="AP557" s="1248"/>
      <c r="AQ557" s="1248"/>
      <c r="AR557" s="1248"/>
      <c r="AS557" s="1248"/>
      <c r="AT557" s="1248"/>
      <c r="AU557" s="1248"/>
      <c r="AV557" s="1248"/>
      <c r="AW557" s="1248"/>
      <c r="AX557" s="1248"/>
      <c r="AY557" s="1248"/>
      <c r="AZ557" s="1248"/>
      <c r="BA557" s="1248"/>
      <c r="BB557" s="1248"/>
      <c r="BC557" s="1248"/>
      <c r="BD557" s="763"/>
      <c r="BE557" s="763"/>
      <c r="BF557" s="763"/>
      <c r="BG557" s="763"/>
      <c r="BH557" s="763"/>
      <c r="BI557" s="763"/>
      <c r="BJ557" s="763"/>
      <c r="BK557" s="763"/>
      <c r="BL557" s="763"/>
      <c r="BM557" s="763"/>
      <c r="BN557" s="1249"/>
      <c r="BO557" s="1249"/>
      <c r="BP557" s="1249"/>
      <c r="BQ557" s="1278"/>
      <c r="BR557" s="1278"/>
      <c r="BS557" s="1064" t="s">
        <v>2846</v>
      </c>
      <c r="BT557" s="1064"/>
      <c r="BU557" s="1064"/>
      <c r="BV557" s="979"/>
      <c r="BW557" s="979"/>
    </row>
    <row s="1834" customFormat="1" customHeight="1" ht="14.25" hidden="1">
      <c r="A558" s="1278"/>
      <c r="B558" s="860" cm="1" t="str">
        <f t="array" ref="B558:B558">B557</f>
        <v>false</v>
      </c>
      <c r="C558" s="107"/>
      <c r="D558" s="107"/>
      <c r="E558" s="621">
        <v>15</v>
      </c>
      <c r="F558" s="50" cm="1" t="str">
        <f t="array" ref="F558:F558">OFFSET(E558,-1,1)</f>
        <v>3</v>
      </c>
      <c r="G558" s="107"/>
      <c r="H558" s="107"/>
      <c r="I558" s="107"/>
      <c r="J558" s="107"/>
      <c r="K558" s="107" t="s">
        <v>335</v>
      </c>
      <c r="L558" s="980"/>
      <c r="M558" s="107"/>
      <c r="N558" s="107"/>
      <c r="O558" s="107"/>
      <c r="P558" s="107"/>
      <c r="Q558" s="107"/>
      <c r="R558" s="107"/>
      <c r="S558" s="107"/>
      <c r="T558" s="860" cm="1" t="str">
        <f t="array" ref="T558:T558">T557</f>
        <v>true</v>
      </c>
      <c r="U558" s="107"/>
      <c r="V558" s="107"/>
      <c r="W558" s="107"/>
      <c r="X558" s="1596"/>
      <c r="Y558" s="1278"/>
      <c r="Z558" s="1546"/>
      <c r="AA558" s="1278"/>
      <c r="AB558" s="794" t="s">
        <v>443</v>
      </c>
      <c r="AC558" s="793" t="s">
        <v>2847</v>
      </c>
      <c r="AD558" s="794" t="s">
        <v>1514</v>
      </c>
      <c r="AE558" s="1246"/>
      <c r="AF558" s="1246"/>
      <c r="AG558" s="1246"/>
      <c r="AH558" s="761">
        <f>AG558-AF558</f>
        <v>0</v>
      </c>
      <c r="AI558" s="1246"/>
      <c r="AJ558" s="1246"/>
      <c r="AK558" s="1246"/>
      <c r="AL558" s="1246"/>
      <c r="AM558" s="1246"/>
      <c r="AN558" s="1246"/>
      <c r="AO558" s="1246"/>
      <c r="AP558" s="1246"/>
      <c r="AQ558" s="1246"/>
      <c r="AR558" s="1246"/>
      <c r="AS558" s="1246"/>
      <c r="AT558" s="1246"/>
      <c r="AU558" s="1246"/>
      <c r="AV558" s="1246"/>
      <c r="AW558" s="1246"/>
      <c r="AX558" s="1246"/>
      <c r="AY558" s="1246"/>
      <c r="AZ558" s="1246"/>
      <c r="BA558" s="1246"/>
      <c r="BB558" s="1246"/>
      <c r="BC558" s="1246"/>
      <c r="BD558" s="761">
        <f>IF(AI558=0,0,(AT558-AI558)/AI558*100)</f>
        <v>0</v>
      </c>
      <c r="BE558" s="761">
        <f>IF(AT558=0,0,(AU558-AT558)/AT558*100)</f>
        <v>0</v>
      </c>
      <c r="BF558" s="761">
        <f>IF(AU558=0,0,(AV558-AU558)/AU558*100)</f>
        <v>0</v>
      </c>
      <c r="BG558" s="761">
        <f>IF(AV558=0,0,(AW558-AV558)/AV558*100)</f>
        <v>0</v>
      </c>
      <c r="BH558" s="761">
        <f>IF(AW558=0,0,(AX558-AW558)/AW558*100)</f>
        <v>0</v>
      </c>
      <c r="BI558" s="761">
        <f>IF(AX558=0,0,(AY558-AX558)/AX558*100)</f>
        <v>0</v>
      </c>
      <c r="BJ558" s="761">
        <f>IF(AY558=0,0,(AZ558-AY558)/AY558*100)</f>
        <v>0</v>
      </c>
      <c r="BK558" s="761">
        <f>IF(AZ558=0,0,(BA558-AZ558)/AZ558*100)</f>
        <v>0</v>
      </c>
      <c r="BL558" s="761">
        <f>IF(BA558=0,0,(BB558-BA558)/BA558*100)</f>
        <v>0</v>
      </c>
      <c r="BM558" s="761">
        <f>IF(BB558=0,0,(BC558-BB558)/BB558*100)</f>
        <v>0</v>
      </c>
      <c r="BN558" s="1247"/>
      <c r="BO558" s="1247"/>
      <c r="BP558" s="1247"/>
      <c r="BQ558" s="1278"/>
      <c r="BR558" s="1278"/>
      <c r="BS558" s="1064" t="s">
        <v>2848</v>
      </c>
      <c r="BT558" s="1064"/>
      <c r="BU558" s="1064"/>
      <c r="BV558" s="979"/>
      <c r="BW558" s="979"/>
    </row>
    <row s="1834" customFormat="1" customHeight="1" ht="14.25" hidden="1">
      <c r="A559" s="1278"/>
      <c r="B559" s="860" cm="1" t="str">
        <f t="array" ref="B559:B559">B558</f>
        <v>false</v>
      </c>
      <c r="C559" s="107"/>
      <c r="D559" s="107"/>
      <c r="E559" s="621">
        <v>15</v>
      </c>
      <c r="F559" s="50" cm="1" t="str">
        <f t="array" ref="F559:F559">OFFSET(E559,-1,1)</f>
        <v>3</v>
      </c>
      <c r="G559" s="107"/>
      <c r="H559" s="107"/>
      <c r="I559" s="107"/>
      <c r="J559" s="107"/>
      <c r="K559" s="107" t="s">
        <v>1263</v>
      </c>
      <c r="L559" s="980"/>
      <c r="M559" s="107"/>
      <c r="N559" s="107"/>
      <c r="O559" s="107"/>
      <c r="P559" s="107"/>
      <c r="Q559" s="107"/>
      <c r="R559" s="107"/>
      <c r="S559" s="107"/>
      <c r="T559" s="860" cm="1" t="str">
        <f t="array" ref="T559:T559">T558</f>
        <v>true</v>
      </c>
      <c r="U559" s="107"/>
      <c r="V559" s="107"/>
      <c r="W559" s="107"/>
      <c r="X559" s="1596"/>
      <c r="Y559" s="1278"/>
      <c r="Z559" s="1546"/>
      <c r="AA559" s="1278"/>
      <c r="AB559" s="797" t="s">
        <v>1391</v>
      </c>
      <c r="AC559" s="796" t="s">
        <v>2849</v>
      </c>
      <c r="AD559" s="797" t="s">
        <v>1514</v>
      </c>
      <c r="AE559" s="1248"/>
      <c r="AF559" s="1248"/>
      <c r="AG559" s="1248"/>
      <c r="AH559" s="763"/>
      <c r="AI559" s="1248"/>
      <c r="AJ559" s="1248"/>
      <c r="AK559" s="1248"/>
      <c r="AL559" s="1248"/>
      <c r="AM559" s="1248"/>
      <c r="AN559" s="1248"/>
      <c r="AO559" s="1248"/>
      <c r="AP559" s="1248"/>
      <c r="AQ559" s="1248"/>
      <c r="AR559" s="1248"/>
      <c r="AS559" s="1248"/>
      <c r="AT559" s="1248"/>
      <c r="AU559" s="1248"/>
      <c r="AV559" s="1248"/>
      <c r="AW559" s="1248"/>
      <c r="AX559" s="1248"/>
      <c r="AY559" s="1248"/>
      <c r="AZ559" s="1248"/>
      <c r="BA559" s="1248"/>
      <c r="BB559" s="1248"/>
      <c r="BC559" s="1248"/>
      <c r="BD559" s="763"/>
      <c r="BE559" s="763"/>
      <c r="BF559" s="763"/>
      <c r="BG559" s="763"/>
      <c r="BH559" s="763"/>
      <c r="BI559" s="763"/>
      <c r="BJ559" s="763"/>
      <c r="BK559" s="763"/>
      <c r="BL559" s="763"/>
      <c r="BM559" s="763"/>
      <c r="BN559" s="1249"/>
      <c r="BO559" s="1249"/>
      <c r="BP559" s="1249"/>
      <c r="BQ559" s="1278"/>
      <c r="BR559" s="1278"/>
      <c r="BS559" s="1064" t="s">
        <v>2850</v>
      </c>
      <c r="BT559" s="1064"/>
      <c r="BU559" s="1064"/>
      <c r="BV559" s="979"/>
      <c r="BW559" s="979"/>
    </row>
    <row s="1834" customFormat="1" customHeight="1" ht="14.25" hidden="1">
      <c r="A560" s="1278"/>
      <c r="B560" s="860" cm="1" t="str">
        <f t="array" ref="B560:B560">B559</f>
        <v>false</v>
      </c>
      <c r="C560" s="107"/>
      <c r="D560" s="107"/>
      <c r="E560" s="621">
        <v>15</v>
      </c>
      <c r="F560" s="50" cm="1" t="str">
        <f t="array" ref="F560:F560">OFFSET(E560,-1,1)</f>
        <v>3</v>
      </c>
      <c r="G560" s="107"/>
      <c r="H560" s="107"/>
      <c r="I560" s="107"/>
      <c r="J560" s="107"/>
      <c r="K560" s="107" t="s">
        <v>1267</v>
      </c>
      <c r="L560" s="980"/>
      <c r="M560" s="107"/>
      <c r="N560" s="107"/>
      <c r="O560" s="107"/>
      <c r="P560" s="107"/>
      <c r="Q560" s="107"/>
      <c r="R560" s="107"/>
      <c r="S560" s="107"/>
      <c r="T560" s="860" cm="1" t="str">
        <f t="array" ref="T560:T560">T559</f>
        <v>true</v>
      </c>
      <c r="U560" s="107"/>
      <c r="V560" s="107"/>
      <c r="W560" s="107"/>
      <c r="X560" s="1596"/>
      <c r="Y560" s="1278"/>
      <c r="Z560" s="1546"/>
      <c r="AA560" s="1278"/>
      <c r="AB560" s="797" t="s">
        <v>1394</v>
      </c>
      <c r="AC560" s="796" t="s">
        <v>2851</v>
      </c>
      <c r="AD560" s="797" t="s">
        <v>1170</v>
      </c>
      <c r="AE560" s="1248"/>
      <c r="AF560" s="1248"/>
      <c r="AG560" s="1248"/>
      <c r="AH560" s="763"/>
      <c r="AI560" s="1248"/>
      <c r="AJ560" s="1248"/>
      <c r="AK560" s="1248"/>
      <c r="AL560" s="1248"/>
      <c r="AM560" s="1248"/>
      <c r="AN560" s="1248"/>
      <c r="AO560" s="1248"/>
      <c r="AP560" s="1248"/>
      <c r="AQ560" s="1248"/>
      <c r="AR560" s="1248"/>
      <c r="AS560" s="1248"/>
      <c r="AT560" s="1248"/>
      <c r="AU560" s="1248"/>
      <c r="AV560" s="1248"/>
      <c r="AW560" s="1248"/>
      <c r="AX560" s="1248"/>
      <c r="AY560" s="1248"/>
      <c r="AZ560" s="1248"/>
      <c r="BA560" s="1248"/>
      <c r="BB560" s="1248"/>
      <c r="BC560" s="1248"/>
      <c r="BD560" s="763"/>
      <c r="BE560" s="763"/>
      <c r="BF560" s="763"/>
      <c r="BG560" s="763"/>
      <c r="BH560" s="763"/>
      <c r="BI560" s="763"/>
      <c r="BJ560" s="763"/>
      <c r="BK560" s="763"/>
      <c r="BL560" s="763"/>
      <c r="BM560" s="763"/>
      <c r="BN560" s="1249"/>
      <c r="BO560" s="1249"/>
      <c r="BP560" s="1249"/>
      <c r="BQ560" s="1278"/>
      <c r="BR560" s="1278"/>
      <c r="BS560" s="1064" t="s">
        <v>2852</v>
      </c>
      <c r="BT560" s="1064"/>
      <c r="BU560" s="1064"/>
      <c r="BV560" s="979"/>
      <c r="BW560" s="979"/>
    </row>
    <row s="1834" customFormat="1" customHeight="1" ht="14.25" hidden="1">
      <c r="A561" s="1278"/>
      <c r="B561" s="860" cm="1" t="str">
        <f t="array" ref="B561:B561">B560</f>
        <v>false</v>
      </c>
      <c r="C561" s="107"/>
      <c r="D561" s="107"/>
      <c r="E561" s="621">
        <v>15</v>
      </c>
      <c r="F561" s="50" cm="1" t="str">
        <f t="array" ref="F561:F561">OFFSET(E561,-1,1)</f>
        <v>3</v>
      </c>
      <c r="G561" s="107"/>
      <c r="H561" s="107"/>
      <c r="I561" s="107"/>
      <c r="J561" s="107"/>
      <c r="K561" s="107" t="s">
        <v>1479</v>
      </c>
      <c r="L561" s="980"/>
      <c r="M561" s="107"/>
      <c r="N561" s="107"/>
      <c r="O561" s="107"/>
      <c r="P561" s="107"/>
      <c r="Q561" s="107"/>
      <c r="R561" s="107"/>
      <c r="S561" s="107"/>
      <c r="T561" s="860" cm="1" t="str">
        <f t="array" ref="T561:T561">T560</f>
        <v>true</v>
      </c>
      <c r="U561" s="107"/>
      <c r="V561" s="107"/>
      <c r="W561" s="107"/>
      <c r="X561" s="1596"/>
      <c r="Y561" s="1278"/>
      <c r="Z561" s="1546"/>
      <c r="AA561" s="1278"/>
      <c r="AB561" s="797" t="s">
        <v>1683</v>
      </c>
      <c r="AC561" s="796" t="s">
        <v>2853</v>
      </c>
      <c r="AD561" s="797" t="s">
        <v>1514</v>
      </c>
      <c r="AE561" s="1248"/>
      <c r="AF561" s="1248"/>
      <c r="AG561" s="1248"/>
      <c r="AH561" s="763"/>
      <c r="AI561" s="1248"/>
      <c r="AJ561" s="1248"/>
      <c r="AK561" s="1248"/>
      <c r="AL561" s="1248"/>
      <c r="AM561" s="1248"/>
      <c r="AN561" s="1248"/>
      <c r="AO561" s="1248"/>
      <c r="AP561" s="1248"/>
      <c r="AQ561" s="1248"/>
      <c r="AR561" s="1248"/>
      <c r="AS561" s="1248"/>
      <c r="AT561" s="1248"/>
      <c r="AU561" s="1248"/>
      <c r="AV561" s="1248"/>
      <c r="AW561" s="1248"/>
      <c r="AX561" s="1248"/>
      <c r="AY561" s="1248"/>
      <c r="AZ561" s="1248"/>
      <c r="BA561" s="1248"/>
      <c r="BB561" s="1248"/>
      <c r="BC561" s="1248"/>
      <c r="BD561" s="763"/>
      <c r="BE561" s="763"/>
      <c r="BF561" s="763"/>
      <c r="BG561" s="763"/>
      <c r="BH561" s="763"/>
      <c r="BI561" s="763"/>
      <c r="BJ561" s="763"/>
      <c r="BK561" s="763"/>
      <c r="BL561" s="763"/>
      <c r="BM561" s="763"/>
      <c r="BN561" s="1249"/>
      <c r="BO561" s="1249"/>
      <c r="BP561" s="1249"/>
      <c r="BQ561" s="1278"/>
      <c r="BR561" s="1278"/>
      <c r="BS561" s="1064" t="s">
        <v>2854</v>
      </c>
      <c r="BT561" s="1064"/>
      <c r="BU561" s="1064"/>
      <c r="BV561" s="979"/>
      <c r="BW561" s="979"/>
    </row>
    <row s="1834" customFormat="1" customHeight="1" ht="14.25" hidden="1">
      <c r="A562" s="1278"/>
      <c r="B562" s="860" cm="1" t="str">
        <f t="array" ref="B562:B562">B561</f>
        <v>false</v>
      </c>
      <c r="C562" s="107"/>
      <c r="D562" s="107"/>
      <c r="E562" s="621">
        <v>15</v>
      </c>
      <c r="F562" s="50" cm="1" t="str">
        <f t="array" ref="F562:F562">OFFSET(E562,-1,1)</f>
        <v>3</v>
      </c>
      <c r="G562" s="107"/>
      <c r="H562" s="107"/>
      <c r="I562" s="107"/>
      <c r="J562" s="107"/>
      <c r="K562" s="107" t="s">
        <v>1685</v>
      </c>
      <c r="L562" s="980"/>
      <c r="M562" s="107"/>
      <c r="N562" s="107"/>
      <c r="O562" s="107"/>
      <c r="P562" s="107"/>
      <c r="Q562" s="107"/>
      <c r="R562" s="107"/>
      <c r="S562" s="107"/>
      <c r="T562" s="860" cm="1" t="str">
        <f t="array" ref="T562:T562">T561</f>
        <v>true</v>
      </c>
      <c r="U562" s="107"/>
      <c r="V562" s="107"/>
      <c r="W562" s="107"/>
      <c r="X562" s="1596"/>
      <c r="Y562" s="1278"/>
      <c r="Z562" s="1546"/>
      <c r="AA562" s="1278"/>
      <c r="AB562" s="797" t="s">
        <v>1686</v>
      </c>
      <c r="AC562" s="796" t="s">
        <v>2855</v>
      </c>
      <c r="AD562" s="797" t="s">
        <v>1514</v>
      </c>
      <c r="AE562" s="1248"/>
      <c r="AF562" s="1248"/>
      <c r="AG562" s="1248"/>
      <c r="AH562" s="763"/>
      <c r="AI562" s="1248"/>
      <c r="AJ562" s="1248"/>
      <c r="AK562" s="1248"/>
      <c r="AL562" s="1248"/>
      <c r="AM562" s="1248"/>
      <c r="AN562" s="1248"/>
      <c r="AO562" s="1248"/>
      <c r="AP562" s="1248"/>
      <c r="AQ562" s="1248"/>
      <c r="AR562" s="1248"/>
      <c r="AS562" s="1248"/>
      <c r="AT562" s="1248"/>
      <c r="AU562" s="1248"/>
      <c r="AV562" s="1248"/>
      <c r="AW562" s="1248"/>
      <c r="AX562" s="1248"/>
      <c r="AY562" s="1248"/>
      <c r="AZ562" s="1248"/>
      <c r="BA562" s="1248"/>
      <c r="BB562" s="1248"/>
      <c r="BC562" s="1248"/>
      <c r="BD562" s="763"/>
      <c r="BE562" s="763"/>
      <c r="BF562" s="763"/>
      <c r="BG562" s="763"/>
      <c r="BH562" s="763"/>
      <c r="BI562" s="763"/>
      <c r="BJ562" s="763"/>
      <c r="BK562" s="763"/>
      <c r="BL562" s="763"/>
      <c r="BM562" s="763"/>
      <c r="BN562" s="1249"/>
      <c r="BO562" s="1249"/>
      <c r="BP562" s="1249"/>
      <c r="BQ562" s="1278"/>
      <c r="BR562" s="1278"/>
      <c r="BS562" s="1064" t="s">
        <v>2856</v>
      </c>
      <c r="BT562" s="1064"/>
      <c r="BU562" s="1064"/>
      <c r="BV562" s="979"/>
      <c r="BW562" s="979"/>
    </row>
    <row s="1834" customFormat="1" customHeight="1" ht="14.25" hidden="1">
      <c r="A563" s="1278"/>
      <c r="B563" s="860" cm="1" t="str">
        <f t="array" ref="B563:B563">B562</f>
        <v>false</v>
      </c>
      <c r="C563" s="107"/>
      <c r="D563" s="107"/>
      <c r="E563" s="621">
        <v>15</v>
      </c>
      <c r="F563" s="50" cm="1" t="str">
        <f t="array" ref="F563:F563">OFFSET(E563,-1,1)</f>
        <v>3</v>
      </c>
      <c r="G563" s="107"/>
      <c r="H563" s="107"/>
      <c r="I563" s="107"/>
      <c r="J563" s="107"/>
      <c r="K563" s="107" t="s">
        <v>2857</v>
      </c>
      <c r="L563" s="980"/>
      <c r="M563" s="107"/>
      <c r="N563" s="107"/>
      <c r="O563" s="107"/>
      <c r="P563" s="107"/>
      <c r="Q563" s="107"/>
      <c r="R563" s="107"/>
      <c r="S563" s="107"/>
      <c r="T563" s="860" cm="1" t="str">
        <f t="array" ref="T563:T563">T562</f>
        <v>true</v>
      </c>
      <c r="U563" s="107"/>
      <c r="V563" s="107"/>
      <c r="W563" s="107"/>
      <c r="X563" s="1596"/>
      <c r="Y563" s="1278"/>
      <c r="Z563" s="1546"/>
      <c r="AA563" s="1278"/>
      <c r="AB563" s="797" t="s">
        <v>2858</v>
      </c>
      <c r="AC563" s="798" t="s">
        <v>2859</v>
      </c>
      <c r="AD563" s="797" t="s">
        <v>1170</v>
      </c>
      <c r="AE563" s="1248"/>
      <c r="AF563" s="1248"/>
      <c r="AG563" s="1248"/>
      <c r="AH563" s="763"/>
      <c r="AI563" s="1248"/>
      <c r="AJ563" s="1248"/>
      <c r="AK563" s="1248"/>
      <c r="AL563" s="1248"/>
      <c r="AM563" s="1248"/>
      <c r="AN563" s="1248"/>
      <c r="AO563" s="1248"/>
      <c r="AP563" s="1248"/>
      <c r="AQ563" s="1248"/>
      <c r="AR563" s="1248"/>
      <c r="AS563" s="1248"/>
      <c r="AT563" s="1248"/>
      <c r="AU563" s="1248"/>
      <c r="AV563" s="1248"/>
      <c r="AW563" s="1248"/>
      <c r="AX563" s="1248"/>
      <c r="AY563" s="1248"/>
      <c r="AZ563" s="1248"/>
      <c r="BA563" s="1248"/>
      <c r="BB563" s="1248"/>
      <c r="BC563" s="1248"/>
      <c r="BD563" s="763"/>
      <c r="BE563" s="763"/>
      <c r="BF563" s="763"/>
      <c r="BG563" s="763"/>
      <c r="BH563" s="763"/>
      <c r="BI563" s="763"/>
      <c r="BJ563" s="763"/>
      <c r="BK563" s="763"/>
      <c r="BL563" s="763"/>
      <c r="BM563" s="763"/>
      <c r="BN563" s="1249"/>
      <c r="BO563" s="1249"/>
      <c r="BP563" s="1249"/>
      <c r="BQ563" s="1278"/>
      <c r="BR563" s="1278"/>
      <c r="BS563" s="1064" t="s">
        <v>2860</v>
      </c>
      <c r="BT563" s="1064"/>
      <c r="BU563" s="1064"/>
      <c r="BV563" s="979"/>
      <c r="BW563" s="979"/>
    </row>
    <row s="1834" customFormat="1" customHeight="1" ht="14.25" hidden="1">
      <c r="A564" s="1278"/>
      <c r="B564" s="860" cm="1" t="str">
        <f t="array" ref="B564:B564">B563</f>
        <v>false</v>
      </c>
      <c r="C564" s="107"/>
      <c r="D564" s="107"/>
      <c r="E564" s="621">
        <v>15</v>
      </c>
      <c r="F564" s="50" cm="1" t="str">
        <f t="array" ref="F564:F564">OFFSET(E564,-1,1)</f>
        <v>3</v>
      </c>
      <c r="G564" s="107"/>
      <c r="H564" s="107"/>
      <c r="I564" s="107"/>
      <c r="J564" s="107"/>
      <c r="K564" s="107" t="s">
        <v>1688</v>
      </c>
      <c r="L564" s="980"/>
      <c r="M564" s="107"/>
      <c r="N564" s="107"/>
      <c r="O564" s="107"/>
      <c r="P564" s="107"/>
      <c r="Q564" s="107"/>
      <c r="R564" s="107"/>
      <c r="S564" s="107"/>
      <c r="T564" s="860" cm="1" t="str">
        <f t="array" ref="T564:T564">T563</f>
        <v>true</v>
      </c>
      <c r="U564" s="107"/>
      <c r="V564" s="107"/>
      <c r="W564" s="107"/>
      <c r="X564" s="1596"/>
      <c r="Y564" s="1278"/>
      <c r="Z564" s="1546"/>
      <c r="AA564" s="1278"/>
      <c r="AB564" s="797" t="s">
        <v>1689</v>
      </c>
      <c r="AC564" s="796" t="s">
        <v>2861</v>
      </c>
      <c r="AD564" s="797" t="s">
        <v>1170</v>
      </c>
      <c r="AE564" s="1248"/>
      <c r="AF564" s="1248"/>
      <c r="AG564" s="1248"/>
      <c r="AH564" s="763"/>
      <c r="AI564" s="1248"/>
      <c r="AJ564" s="1248"/>
      <c r="AK564" s="1248"/>
      <c r="AL564" s="1248"/>
      <c r="AM564" s="1248"/>
      <c r="AN564" s="1248"/>
      <c r="AO564" s="1248"/>
      <c r="AP564" s="1248"/>
      <c r="AQ564" s="1248"/>
      <c r="AR564" s="1248"/>
      <c r="AS564" s="1248"/>
      <c r="AT564" s="1248"/>
      <c r="AU564" s="1248"/>
      <c r="AV564" s="1248"/>
      <c r="AW564" s="1248"/>
      <c r="AX564" s="1248"/>
      <c r="AY564" s="1248"/>
      <c r="AZ564" s="1248"/>
      <c r="BA564" s="1248"/>
      <c r="BB564" s="1248"/>
      <c r="BC564" s="1248"/>
      <c r="BD564" s="763"/>
      <c r="BE564" s="763"/>
      <c r="BF564" s="763"/>
      <c r="BG564" s="763"/>
      <c r="BH564" s="763"/>
      <c r="BI564" s="763"/>
      <c r="BJ564" s="763"/>
      <c r="BK564" s="763"/>
      <c r="BL564" s="763"/>
      <c r="BM564" s="763"/>
      <c r="BN564" s="1249"/>
      <c r="BO564" s="1249"/>
      <c r="BP564" s="1249"/>
      <c r="BQ564" s="1278"/>
      <c r="BR564" s="1278"/>
      <c r="BS564" s="1064" t="s">
        <v>2862</v>
      </c>
      <c r="BT564" s="1064"/>
      <c r="BU564" s="1064"/>
      <c r="BV564" s="979"/>
      <c r="BW564" s="979"/>
    </row>
    <row s="1834" customFormat="1" customHeight="1" ht="14.25" hidden="1">
      <c r="A565" s="1278"/>
      <c r="B565" s="860" cm="1" t="str">
        <f t="array" ref="B565:B565">B564</f>
        <v>false</v>
      </c>
      <c r="C565" s="107"/>
      <c r="D565" s="107"/>
      <c r="E565" s="621">
        <v>15</v>
      </c>
      <c r="F565" s="50" cm="1" t="str">
        <f t="array" ref="F565:F565">OFFSET(E565,-1,1)</f>
        <v>3</v>
      </c>
      <c r="G565" s="107"/>
      <c r="H565" s="107"/>
      <c r="I565" s="107"/>
      <c r="J565" s="107"/>
      <c r="K565" s="107" t="s">
        <v>2863</v>
      </c>
      <c r="L565" s="980"/>
      <c r="M565" s="107"/>
      <c r="N565" s="107"/>
      <c r="O565" s="107"/>
      <c r="P565" s="107"/>
      <c r="Q565" s="107"/>
      <c r="R565" s="107"/>
      <c r="S565" s="107"/>
      <c r="T565" s="860" cm="1" t="str">
        <f t="array" ref="T565:T565">T564</f>
        <v>true</v>
      </c>
      <c r="U565" s="107"/>
      <c r="V565" s="107"/>
      <c r="W565" s="107"/>
      <c r="X565" s="1596"/>
      <c r="Y565" s="1278"/>
      <c r="Z565" s="1546"/>
      <c r="AA565" s="1278"/>
      <c r="AB565" s="797" t="s">
        <v>2864</v>
      </c>
      <c r="AC565" s="798" t="s">
        <v>2865</v>
      </c>
      <c r="AD565" s="797" t="s">
        <v>1170</v>
      </c>
      <c r="AE565" s="1248"/>
      <c r="AF565" s="1248"/>
      <c r="AG565" s="1248"/>
      <c r="AH565" s="763"/>
      <c r="AI565" s="1248"/>
      <c r="AJ565" s="1248"/>
      <c r="AK565" s="1248"/>
      <c r="AL565" s="1248"/>
      <c r="AM565" s="1248"/>
      <c r="AN565" s="1248"/>
      <c r="AO565" s="1248"/>
      <c r="AP565" s="1248"/>
      <c r="AQ565" s="1248"/>
      <c r="AR565" s="1248"/>
      <c r="AS565" s="1248"/>
      <c r="AT565" s="1248"/>
      <c r="AU565" s="1248"/>
      <c r="AV565" s="1248"/>
      <c r="AW565" s="1248"/>
      <c r="AX565" s="1248"/>
      <c r="AY565" s="1248"/>
      <c r="AZ565" s="1248"/>
      <c r="BA565" s="1248"/>
      <c r="BB565" s="1248"/>
      <c r="BC565" s="1248"/>
      <c r="BD565" s="763"/>
      <c r="BE565" s="763"/>
      <c r="BF565" s="763"/>
      <c r="BG565" s="763"/>
      <c r="BH565" s="763"/>
      <c r="BI565" s="763"/>
      <c r="BJ565" s="763"/>
      <c r="BK565" s="763"/>
      <c r="BL565" s="763"/>
      <c r="BM565" s="763"/>
      <c r="BN565" s="1249"/>
      <c r="BO565" s="1249"/>
      <c r="BP565" s="1249"/>
      <c r="BQ565" s="1278"/>
      <c r="BR565" s="1278"/>
      <c r="BS565" s="1064" t="s">
        <v>2866</v>
      </c>
      <c r="BT565" s="1064"/>
      <c r="BU565" s="1064"/>
      <c r="BV565" s="979"/>
      <c r="BW565" s="979"/>
    </row>
    <row s="1834" customFormat="1" customHeight="1" ht="14.25" hidden="1">
      <c r="A566" s="1278"/>
      <c r="B566" s="860" cm="1" t="str">
        <f t="array" ref="B566:B566">B565</f>
        <v>false</v>
      </c>
      <c r="C566" s="107"/>
      <c r="D566" s="107"/>
      <c r="E566" s="621">
        <v>15</v>
      </c>
      <c r="F566" s="50" cm="1" t="str">
        <f t="array" ref="F566:F566">OFFSET(E566,-1,1)</f>
        <v>3</v>
      </c>
      <c r="G566" s="107"/>
      <c r="H566" s="107"/>
      <c r="I566" s="107"/>
      <c r="J566" s="107"/>
      <c r="K566" s="107" t="s">
        <v>2867</v>
      </c>
      <c r="L566" s="980"/>
      <c r="M566" s="107"/>
      <c r="N566" s="107"/>
      <c r="O566" s="107"/>
      <c r="P566" s="107"/>
      <c r="Q566" s="107"/>
      <c r="R566" s="107"/>
      <c r="S566" s="107"/>
      <c r="T566" s="860" cm="1" t="str">
        <f t="array" ref="T566:T566">T565</f>
        <v>true</v>
      </c>
      <c r="U566" s="107"/>
      <c r="V566" s="107"/>
      <c r="W566" s="107"/>
      <c r="X566" s="1596"/>
      <c r="Y566" s="1278"/>
      <c r="Z566" s="1546"/>
      <c r="AA566" s="1278"/>
      <c r="AB566" s="797" t="s">
        <v>2868</v>
      </c>
      <c r="AC566" s="798" t="s">
        <v>2869</v>
      </c>
      <c r="AD566" s="797" t="s">
        <v>1170</v>
      </c>
      <c r="AE566" s="1248"/>
      <c r="AF566" s="1248"/>
      <c r="AG566" s="1248"/>
      <c r="AH566" s="763"/>
      <c r="AI566" s="1248"/>
      <c r="AJ566" s="1248"/>
      <c r="AK566" s="1248"/>
      <c r="AL566" s="1248"/>
      <c r="AM566" s="1248"/>
      <c r="AN566" s="1248"/>
      <c r="AO566" s="1248"/>
      <c r="AP566" s="1248"/>
      <c r="AQ566" s="1248"/>
      <c r="AR566" s="1248"/>
      <c r="AS566" s="1248"/>
      <c r="AT566" s="1248"/>
      <c r="AU566" s="1248"/>
      <c r="AV566" s="1248"/>
      <c r="AW566" s="1248"/>
      <c r="AX566" s="1248"/>
      <c r="AY566" s="1248"/>
      <c r="AZ566" s="1248"/>
      <c r="BA566" s="1248"/>
      <c r="BB566" s="1248"/>
      <c r="BC566" s="1248"/>
      <c r="BD566" s="763"/>
      <c r="BE566" s="763"/>
      <c r="BF566" s="763"/>
      <c r="BG566" s="763"/>
      <c r="BH566" s="763"/>
      <c r="BI566" s="763"/>
      <c r="BJ566" s="763"/>
      <c r="BK566" s="763"/>
      <c r="BL566" s="763"/>
      <c r="BM566" s="763"/>
      <c r="BN566" s="1249"/>
      <c r="BO566" s="1249"/>
      <c r="BP566" s="1249"/>
      <c r="BQ566" s="1278"/>
      <c r="BR566" s="1278"/>
      <c r="BS566" s="1064" t="s">
        <v>2870</v>
      </c>
      <c r="BT566" s="1064"/>
      <c r="BU566" s="1064"/>
      <c r="BV566" s="979"/>
      <c r="BW566" s="979"/>
    </row>
    <row s="7611" customFormat="1" customHeight="1" ht="20.25">
      <c r="A567" s="700"/>
      <c r="B567" s="435"/>
      <c r="C567" s="109"/>
      <c r="D567" s="109" t="str">
        <f>IF(B566,"6","7")</f>
        <v>7</v>
      </c>
      <c r="E567" s="826">
        <v>21</v>
      </c>
      <c r="F567" s="50" cm="1" t="str">
        <f t="array" ref="F567:F567">OFFSET(E567,-1,1)</f>
        <v>3</v>
      </c>
      <c r="G567" s="107" t="s">
        <v>2871</v>
      </c>
      <c r="H567" s="107"/>
      <c r="I567" s="384" t="s">
        <v>2872</v>
      </c>
      <c r="J567" s="109"/>
      <c r="K567" s="380" t="s">
        <v>2872</v>
      </c>
      <c r="L567" s="985"/>
      <c r="M567" s="109"/>
      <c r="N567" s="109"/>
      <c r="O567" s="109"/>
      <c r="P567" s="109"/>
      <c r="Q567" s="109"/>
      <c r="R567" s="109"/>
      <c r="S567" s="109"/>
      <c r="T567" s="465" cm="1" t="str">
        <f t="array" ref="T567:T567">T566</f>
        <v>true</v>
      </c>
      <c r="U567" s="109"/>
      <c r="V567" s="109"/>
      <c r="W567" s="109"/>
      <c r="X567" s="1596"/>
      <c r="Y567" s="700"/>
      <c r="Z567" s="1546"/>
      <c r="AA567" s="700"/>
      <c r="AB567" s="211" cm="1" t="str">
        <f t="array" ref="AB567:AB567">D567</f>
        <v>7</v>
      </c>
      <c r="AC567" s="219" t="s">
        <v>2323</v>
      </c>
      <c r="AD567" s="211" t="s">
        <v>1514</v>
      </c>
      <c r="AE567" s="7432"/>
      <c r="AF567" s="7432"/>
      <c r="AG567" s="7432"/>
      <c r="AH567" s="778">
        <f>AG567-AF567</f>
        <v>0</v>
      </c>
      <c r="AI567" s="7432"/>
      <c r="AJ567" s="7492">
        <f>_xlfn.SUMIFS('Корректировка НВВ'!$AF$25:$AF$282,'Корректировка НВВ'!$F$25:$F$282,$F567,'Корректировка НВВ'!$I$25:$I$282,$G567)</f>
        <v>0</v>
      </c>
      <c r="AK567" s="7432"/>
      <c r="AL567" s="7432"/>
      <c r="AM567" s="7432"/>
      <c r="AN567" s="7432"/>
      <c r="AO567" s="1237"/>
      <c r="AP567" s="1237"/>
      <c r="AQ567" s="1237"/>
      <c r="AR567" s="1237"/>
      <c r="AS567" s="1237"/>
      <c r="AT567" s="7492">
        <f>_xlfn.SUMIFS('Корректировка НВВ'!$AG$25:$AG$282,'Корректировка НВВ'!$F$25:$F$282,$F567,'Корректировка НВВ'!$I$25:$I$282,$G567)</f>
        <v>0</v>
      </c>
      <c r="AU567" s="7432"/>
      <c r="AV567" s="7432"/>
      <c r="AW567" s="7432"/>
      <c r="AX567" s="7432"/>
      <c r="AY567" s="1237"/>
      <c r="AZ567" s="1237"/>
      <c r="BA567" s="1237"/>
      <c r="BB567" s="1237"/>
      <c r="BC567" s="1237"/>
      <c r="BD567" s="778">
        <f>IF(AI567=0,0,(AT567-AI567)/AI567*100)</f>
        <v>0</v>
      </c>
      <c r="BE567" s="778">
        <f>IF(AT567=0,0,(AU567-AT567)/AT567*100)</f>
        <v>0</v>
      </c>
      <c r="BF567" s="778">
        <f>IF(AU567=0,0,(AV567-AU567)/AU567*100)</f>
        <v>0</v>
      </c>
      <c r="BG567" s="778">
        <f>IF(AV567=0,0,(AW567-AV567)/AV567*100)</f>
        <v>0</v>
      </c>
      <c r="BH567" s="778">
        <f>IF(AW567=0,0,(AX567-AW567)/AW567*100)</f>
        <v>0</v>
      </c>
      <c r="BI567" s="778">
        <f>IF(AX567=0,0,(AY567-AX567)/AX567*100)</f>
        <v>0</v>
      </c>
      <c r="BJ567" s="778">
        <f>IF(AY567=0,0,(AZ567-AY567)/AY567*100)</f>
        <v>0</v>
      </c>
      <c r="BK567" s="778">
        <f>IF(AZ567=0,0,(BA567-AZ567)/AZ567*100)</f>
        <v>0</v>
      </c>
      <c r="BL567" s="778">
        <f>IF(BA567=0,0,(BB567-BA567)/BA567*100)</f>
        <v>0</v>
      </c>
      <c r="BM567" s="778">
        <f>IF(BB567=0,0,(BC567-BB567)/BB567*100)</f>
        <v>0</v>
      </c>
      <c r="BN567" s="7436"/>
      <c r="BO567" s="7437" t="str">
        <f>IF(_xlfn.IFERROR(INDEX('Корректировка НВВ'!$K$26:$L$282,MATCH($F567&amp;"11komm",'Корректировка НВВ'!$K$26:$K$282,0),2),"")=0,"",_xlfn.IFERROR(INDEX('Корректировка НВВ'!$K$26:$L$282,MATCH($F567&amp;"11komm",'Корректировка НВВ'!$K$26:$K$282,0),2),""))</f>
        <v/>
      </c>
      <c r="BP567" s="7436"/>
      <c r="BQ567" s="700"/>
      <c r="BR567" s="700"/>
      <c r="BS567" s="1070" t="s">
        <v>2873</v>
      </c>
      <c r="BT567" s="1070"/>
      <c r="BU567" s="1070"/>
      <c r="BV567" s="707"/>
      <c r="BW567" s="707"/>
    </row>
    <row s="1834" customFormat="1" customHeight="1" ht="14.25">
      <c r="A568" s="1278"/>
      <c r="B568" s="978"/>
      <c r="C568" s="107"/>
      <c r="D568" s="107" cm="1" t="str">
        <f t="array" ref="D568:D568">D567</f>
        <v>7</v>
      </c>
      <c r="E568" s="621">
        <v>15</v>
      </c>
      <c r="F568" s="50" cm="1" t="str">
        <f t="array" ref="F568:F568">OFFSET(E568,-1,1)</f>
        <v>3</v>
      </c>
      <c r="G568" s="107"/>
      <c r="H568" s="107"/>
      <c r="I568" s="107"/>
      <c r="J568" s="107"/>
      <c r="K568" s="1278"/>
      <c r="L568" s="980"/>
      <c r="M568" s="107"/>
      <c r="N568" s="107"/>
      <c r="O568" s="107"/>
      <c r="P568" s="107"/>
      <c r="Q568" s="107"/>
      <c r="R568" s="107"/>
      <c r="S568" s="107"/>
      <c r="T568" s="465" cm="1" t="str">
        <f t="array" ref="T568:T568">T567</f>
        <v>true</v>
      </c>
      <c r="U568" s="107"/>
      <c r="V568" s="107"/>
      <c r="W568" s="107"/>
      <c r="X568" s="1596"/>
      <c r="Y568" s="1278"/>
      <c r="Z568" s="1546"/>
      <c r="AA568" s="1278"/>
      <c r="AB568" s="300"/>
      <c r="AC568" s="452" t="s">
        <v>2874</v>
      </c>
      <c r="AD568" s="300"/>
      <c r="AE568" s="1115"/>
      <c r="AF568" s="1115"/>
      <c r="AG568" s="1115"/>
      <c r="AH568" s="1115"/>
      <c r="AI568" s="1115"/>
      <c r="AJ568" s="1115"/>
      <c r="AK568" s="1115"/>
      <c r="AL568" s="1115"/>
      <c r="AM568" s="1115"/>
      <c r="AN568" s="1115"/>
      <c r="AO568" s="1115"/>
      <c r="AP568" s="1115"/>
      <c r="AQ568" s="1115"/>
      <c r="AR568" s="1115"/>
      <c r="AS568" s="1115"/>
      <c r="AT568" s="1115"/>
      <c r="AU568" s="1115"/>
      <c r="AV568" s="1115"/>
      <c r="AW568" s="1115"/>
      <c r="AX568" s="1115"/>
      <c r="AY568" s="1115"/>
      <c r="AZ568" s="1115"/>
      <c r="BA568" s="1115"/>
      <c r="BB568" s="1115"/>
      <c r="BC568" s="1115"/>
      <c r="BD568" s="1115"/>
      <c r="BE568" s="1115"/>
      <c r="BF568" s="1115"/>
      <c r="BG568" s="1115"/>
      <c r="BH568" s="1115"/>
      <c r="BI568" s="1115"/>
      <c r="BJ568" s="1115"/>
      <c r="BK568" s="1115"/>
      <c r="BL568" s="1115"/>
      <c r="BM568" s="1115"/>
      <c r="BN568" s="1117"/>
      <c r="BO568" s="1117"/>
      <c r="BP568" s="1117"/>
      <c r="BQ568" s="1278"/>
      <c r="BR568" s="1278"/>
      <c r="BS568" s="1064"/>
      <c r="BT568" s="1064"/>
      <c r="BU568" s="1064"/>
      <c r="BV568" s="979"/>
      <c r="BW568" s="979"/>
    </row>
    <row s="1834" customFormat="1" customHeight="1" ht="33.75">
      <c r="A569" s="1278"/>
      <c r="B569" s="978"/>
      <c r="C569" s="107"/>
      <c r="D569" s="107" cm="1" t="str">
        <f t="array" ref="D569:D569">D568</f>
        <v>7</v>
      </c>
      <c r="E569" s="621">
        <v>22.5</v>
      </c>
      <c r="F569" s="50" cm="1" t="str">
        <f t="array" ref="F569:F569">OFFSET(E569,-1,1)</f>
        <v>3</v>
      </c>
      <c r="G569" s="107" t="s">
        <v>375</v>
      </c>
      <c r="H569" s="107"/>
      <c r="I569" s="107" t="s">
        <v>1228</v>
      </c>
      <c r="J569" s="107"/>
      <c r="K569" s="158" t="s">
        <v>1228</v>
      </c>
      <c r="L569" s="980"/>
      <c r="M569" s="107"/>
      <c r="N569" s="107"/>
      <c r="O569" s="107"/>
      <c r="P569" s="107"/>
      <c r="Q569" s="107"/>
      <c r="R569" s="107"/>
      <c r="S569" s="107"/>
      <c r="T569" s="465" cm="1" t="str">
        <f t="array" ref="T569:T569">T568</f>
        <v>true</v>
      </c>
      <c r="U569" s="107"/>
      <c r="V569" s="107"/>
      <c r="W569" s="107"/>
      <c r="X569" s="1596"/>
      <c r="Y569" s="1278"/>
      <c r="Z569" s="1546"/>
      <c r="AA569" s="1278"/>
      <c r="AB569" s="300" t="str">
        <f>D569&amp;".1"</f>
        <v>7.1</v>
      </c>
      <c r="AC569" s="762" t="s">
        <v>2875</v>
      </c>
      <c r="AD569" s="300" t="s">
        <v>1514</v>
      </c>
      <c r="AE569" s="3946"/>
      <c r="AF569" s="3946"/>
      <c r="AG569" s="3946"/>
      <c r="AH569" s="1114">
        <f>AG569-AF569</f>
        <v>0</v>
      </c>
      <c r="AI569" s="3946"/>
      <c r="AJ569" s="3946">
        <f>_xlfn.SUMIFS('Корректировка НВВ'!$AF$25:$AF$282,'Корректировка НВВ'!$F$25:$F$282,$F569,'Корректировка НВВ'!$I$25:$I$282,$G569)</f>
        <v>0</v>
      </c>
      <c r="AK569" s="3946"/>
      <c r="AL569" s="3946"/>
      <c r="AM569" s="3946"/>
      <c r="AN569" s="3946"/>
      <c r="AO569" s="1241"/>
      <c r="AP569" s="1241"/>
      <c r="AQ569" s="1241"/>
      <c r="AR569" s="1241"/>
      <c r="AS569" s="1241"/>
      <c r="AT569" s="3946">
        <f>_xlfn.SUMIFS('Корректировка НВВ'!$AG$25:$AG$282,'Корректировка НВВ'!$F$25:$F$282,$F569,'Корректировка НВВ'!$I$25:$I$282,$G569)</f>
        <v>0</v>
      </c>
      <c r="AU569" s="3946"/>
      <c r="AV569" s="3946"/>
      <c r="AW569" s="3946"/>
      <c r="AX569" s="3946"/>
      <c r="AY569" s="1241"/>
      <c r="AZ569" s="1241"/>
      <c r="BA569" s="1241"/>
      <c r="BB569" s="1241"/>
      <c r="BC569" s="1241"/>
      <c r="BD569" s="1115"/>
      <c r="BE569" s="1115"/>
      <c r="BF569" s="1115"/>
      <c r="BG569" s="1115"/>
      <c r="BH569" s="1115"/>
      <c r="BI569" s="1115"/>
      <c r="BJ569" s="1115"/>
      <c r="BK569" s="1115"/>
      <c r="BL569" s="1115"/>
      <c r="BM569" s="1115"/>
      <c r="BN569" s="7433"/>
      <c r="BO569" s="7437" t="str">
        <f>IF(_xlfn.IFERROR(INDEX('Корректировка НВВ'!$K$26:$L$282,MATCH($F569&amp;"1komm",'Корректировка НВВ'!$K$26:$K$282,0),2),"")=0,"",_xlfn.IFERROR(INDEX('Корректировка НВВ'!$K$26:$L$282,MATCH($F569&amp;"1komm",'Корректировка НВВ'!$K$26:$K$282,0),2),""))</f>
        <v/>
      </c>
      <c r="BP569" s="7433"/>
      <c r="BQ569" s="1278"/>
      <c r="BR569" s="1278"/>
      <c r="BS569" s="1064" t="s">
        <v>2876</v>
      </c>
      <c r="BT569" s="1064"/>
      <c r="BU569" s="1064"/>
      <c r="BV569" s="979"/>
      <c r="BW569" s="979"/>
    </row>
    <row s="1834" customFormat="1" customHeight="1" ht="98.25">
      <c r="A570" s="1278"/>
      <c r="B570" s="978"/>
      <c r="C570" s="107"/>
      <c r="D570" s="107" cm="1" t="str">
        <f t="array" ref="D570:D570">D569</f>
        <v>7</v>
      </c>
      <c r="E570" s="621">
        <v>101.25</v>
      </c>
      <c r="F570" s="50" cm="1" t="str">
        <f t="array" ref="F570:F570">OFFSET(E570,-1,1)</f>
        <v>3</v>
      </c>
      <c r="G570" s="107" t="s">
        <v>2877</v>
      </c>
      <c r="H570" s="107"/>
      <c r="I570" s="107" t="s">
        <v>1275</v>
      </c>
      <c r="J570" s="107"/>
      <c r="K570" s="158" t="s">
        <v>1275</v>
      </c>
      <c r="L570" s="980"/>
      <c r="M570" s="107"/>
      <c r="N570" s="107"/>
      <c r="O570" s="107"/>
      <c r="P570" s="107"/>
      <c r="Q570" s="107"/>
      <c r="R570" s="107"/>
      <c r="S570" s="107"/>
      <c r="T570" s="465" cm="1" t="str">
        <f t="array" ref="T570:T570">T569</f>
        <v>true</v>
      </c>
      <c r="U570" s="107"/>
      <c r="V570" s="107"/>
      <c r="W570" s="107"/>
      <c r="X570" s="1596"/>
      <c r="Y570" s="1278"/>
      <c r="Z570" s="1546"/>
      <c r="AA570" s="1278"/>
      <c r="AB570" s="300" t="str">
        <f>D570&amp;".2"</f>
        <v>7.2</v>
      </c>
      <c r="AC570" s="762" t="s">
        <v>2878</v>
      </c>
      <c r="AD570" s="300" t="s">
        <v>1514</v>
      </c>
      <c r="AE570" s="3946"/>
      <c r="AF570" s="3946"/>
      <c r="AG570" s="3946"/>
      <c r="AH570" s="1114">
        <f>AG570-AF570</f>
        <v>0</v>
      </c>
      <c r="AI570" s="3946"/>
      <c r="AJ570" s="3946">
        <f>_xlfn.SUMIFS('Корректировка НВВ'!$AF$25:$AF$282,'Корректировка НВВ'!$F$25:$F$282,$F570,'Корректировка НВВ'!$I$25:$I$282,$G570)</f>
        <v>0</v>
      </c>
      <c r="AK570" s="3946"/>
      <c r="AL570" s="3946"/>
      <c r="AM570" s="3946"/>
      <c r="AN570" s="3946"/>
      <c r="AO570" s="1241"/>
      <c r="AP570" s="1241"/>
      <c r="AQ570" s="1241"/>
      <c r="AR570" s="1241"/>
      <c r="AS570" s="1241"/>
      <c r="AT570" s="3946">
        <f>_xlfn.SUMIFS('Корректировка НВВ'!$AG$25:$AG$282,'Корректировка НВВ'!$F$25:$F$282,$F570,'Корректировка НВВ'!$I$25:$I$282,$G570)</f>
        <v>0</v>
      </c>
      <c r="AU570" s="3946"/>
      <c r="AV570" s="3946"/>
      <c r="AW570" s="3946"/>
      <c r="AX570" s="3946"/>
      <c r="AY570" s="1241"/>
      <c r="AZ570" s="1241"/>
      <c r="BA570" s="1241"/>
      <c r="BB570" s="1241"/>
      <c r="BC570" s="1241"/>
      <c r="BD570" s="1115"/>
      <c r="BE570" s="1115"/>
      <c r="BF570" s="1115"/>
      <c r="BG570" s="1115"/>
      <c r="BH570" s="1115"/>
      <c r="BI570" s="1115"/>
      <c r="BJ570" s="1115"/>
      <c r="BK570" s="1115"/>
      <c r="BL570" s="1115"/>
      <c r="BM570" s="1115"/>
      <c r="BN570" s="7433"/>
      <c r="BO570" s="7437" t="str">
        <f>IF(_xlfn.IFERROR(INDEX('Корректировка НВВ'!$K$26:$L$282,MATCH($F570&amp;"2komm",'Корректировка НВВ'!$K$26:$K$282,0),2),"")=0,"",_xlfn.IFERROR(INDEX('Корректировка НВВ'!$K$26:$L$282,MATCH($F570&amp;"2komm",'Корректировка НВВ'!$K$26:$K$282,0),2),""))</f>
        <v/>
      </c>
      <c r="BP570" s="7433"/>
      <c r="BQ570" s="1278"/>
      <c r="BR570" s="1278"/>
      <c r="BS570" s="1064" t="s">
        <v>2879</v>
      </c>
      <c r="BT570" s="1064"/>
      <c r="BU570" s="1064"/>
      <c r="BV570" s="979"/>
      <c r="BW570" s="979"/>
    </row>
    <row s="1834" customFormat="1" customHeight="1" ht="43.5">
      <c r="A571" s="1278"/>
      <c r="B571" s="978"/>
      <c r="C571" s="107"/>
      <c r="D571" s="107" cm="1" t="str">
        <f t="array" ref="D571:D571">D570</f>
        <v>7</v>
      </c>
      <c r="E571" s="621">
        <v>45</v>
      </c>
      <c r="F571" s="50" cm="1" t="str">
        <f t="array" ref="F571:F571">OFFSET(E571,-1,1)</f>
        <v>3</v>
      </c>
      <c r="G571" s="107"/>
      <c r="H571" s="107"/>
      <c r="I571" s="107" t="s">
        <v>1290</v>
      </c>
      <c r="J571" s="107"/>
      <c r="K571" s="158" t="s">
        <v>1290</v>
      </c>
      <c r="L571" s="980"/>
      <c r="M571" s="107"/>
      <c r="N571" s="107"/>
      <c r="O571" s="107"/>
      <c r="P571" s="107"/>
      <c r="Q571" s="107"/>
      <c r="R571" s="107"/>
      <c r="S571" s="107"/>
      <c r="T571" s="465" cm="1" t="str">
        <f t="array" ref="T571:T571">T570</f>
        <v>true</v>
      </c>
      <c r="U571" s="107"/>
      <c r="V571" s="107"/>
      <c r="W571" s="107"/>
      <c r="X571" s="1596"/>
      <c r="Y571" s="1278"/>
      <c r="Z571" s="1546"/>
      <c r="AA571" s="1278"/>
      <c r="AB571" s="300" t="str">
        <f>D571&amp;".3"</f>
        <v>7.3</v>
      </c>
      <c r="AC571" s="762" t="s">
        <v>2880</v>
      </c>
      <c r="AD571" s="300" t="s">
        <v>1514</v>
      </c>
      <c r="AE571" s="3946"/>
      <c r="AF571" s="3946"/>
      <c r="AG571" s="3946"/>
      <c r="AH571" s="1114">
        <f>AG571-AF571</f>
        <v>0</v>
      </c>
      <c r="AI571" s="3946"/>
      <c r="AJ571" s="3946">
        <f>_xlfn.SUMIFS('Корректировка НВВ'!$AF$25:$AF$282,'Корректировка НВВ'!$F$25:$F$282,$F571,'Корректировка НВВ'!$I$25:$I$282,"L1")+_xlfn.SUMIFS('Корректировка НВВ'!$AF$25:$AF$282,'Корректировка НВВ'!$F$25:$F$282,$F571,'Корректировка НВВ'!$I$25:$I$282,"L2")</f>
        <v>0</v>
      </c>
      <c r="AK571" s="3946"/>
      <c r="AL571" s="3946"/>
      <c r="AM571" s="3946"/>
      <c r="AN571" s="3946"/>
      <c r="AO571" s="1241"/>
      <c r="AP571" s="1241"/>
      <c r="AQ571" s="1241"/>
      <c r="AR571" s="1241"/>
      <c r="AS571" s="1241"/>
      <c r="AT571" s="3946">
        <f>_xlfn.SUMIFS('Корректировка НВВ'!$AG$25:$AG$282,'Корректировка НВВ'!$F$25:$F$282,$F571,'Корректировка НВВ'!$I$25:$I$282,"L1")+_xlfn.SUMIFS('Корректировка НВВ'!$AF$25:$AF$282,'Корректировка НВВ'!$F$25:$F$282,$F571,'Корректировка НВВ'!$I$25:$I$282,"L2")</f>
        <v>0</v>
      </c>
      <c r="AU571" s="3946"/>
      <c r="AV571" s="3946"/>
      <c r="AW571" s="3946"/>
      <c r="AX571" s="3946"/>
      <c r="AY571" s="1241"/>
      <c r="AZ571" s="1241"/>
      <c r="BA571" s="1241"/>
      <c r="BB571" s="1241"/>
      <c r="BC571" s="1241"/>
      <c r="BD571" s="1115"/>
      <c r="BE571" s="1115"/>
      <c r="BF571" s="1115"/>
      <c r="BG571" s="1115"/>
      <c r="BH571" s="1115"/>
      <c r="BI571" s="1115"/>
      <c r="BJ571" s="1115"/>
      <c r="BK571" s="1115"/>
      <c r="BL571" s="1115"/>
      <c r="BM571" s="1115"/>
      <c r="BN571" s="7433"/>
      <c r="BO571" s="7437"/>
      <c r="BP571" s="7433"/>
      <c r="BQ571" s="1278"/>
      <c r="BR571" s="1278"/>
      <c r="BS571" s="1064" t="s">
        <v>2881</v>
      </c>
      <c r="BT571" s="1064"/>
      <c r="BU571" s="1064"/>
      <c r="BV571" s="979"/>
      <c r="BW571" s="979"/>
    </row>
    <row s="1834" customFormat="1" customHeight="1" ht="87.75">
      <c r="A572" s="1278"/>
      <c r="B572" s="445">
        <f>S459="Водоотведение"</f>
        <v>1</v>
      </c>
      <c r="C572" s="107"/>
      <c r="D572" s="107" cm="1" t="str">
        <f t="array" ref="D572:D572">D571</f>
        <v>7</v>
      </c>
      <c r="E572" s="621">
        <v>90</v>
      </c>
      <c r="F572" s="50" cm="1" t="str">
        <f t="array" ref="F572:F572">OFFSET(E572,-1,1)</f>
        <v>3</v>
      </c>
      <c r="G572" s="107" t="s">
        <v>2882</v>
      </c>
      <c r="H572" s="848"/>
      <c r="I572" s="107" t="s">
        <v>1456</v>
      </c>
      <c r="J572" s="107"/>
      <c r="K572" s="158" t="s">
        <v>1456</v>
      </c>
      <c r="L572" s="980" t="s">
        <v>1454</v>
      </c>
      <c r="M572" s="107"/>
      <c r="N572" s="107"/>
      <c r="O572" s="107"/>
      <c r="P572" s="107"/>
      <c r="Q572" s="107"/>
      <c r="R572" s="107"/>
      <c r="S572" s="107"/>
      <c r="T572" s="465" cm="1" t="str">
        <f t="array" ref="T572:T572">T571</f>
        <v>true</v>
      </c>
      <c r="U572" s="107"/>
      <c r="V572" s="107"/>
      <c r="W572" s="107"/>
      <c r="X572" s="1596"/>
      <c r="Y572" s="1278"/>
      <c r="Z572" s="1546"/>
      <c r="AA572" s="1278"/>
      <c r="AB572" s="300" t="str">
        <f>D572&amp;".4"</f>
        <v>7.4</v>
      </c>
      <c r="AC572" s="762" t="s">
        <v>2552</v>
      </c>
      <c r="AD572" s="766" t="s">
        <v>1514</v>
      </c>
      <c r="AE572" s="3946"/>
      <c r="AF572" s="3946"/>
      <c r="AG572" s="3946"/>
      <c r="AH572" s="1114">
        <f>AG572-AF572</f>
        <v>0</v>
      </c>
      <c r="AI572" s="3946"/>
      <c r="AJ572" s="3946">
        <f>_xlfn.SUMIFS('Корректировка НВВ'!$AF$25:$AF$282,'Корректировка НВВ'!$F$25:$F$282,$F572,'Корректировка НВВ'!$I$25:$I$282,$G572)</f>
        <v>0</v>
      </c>
      <c r="AK572" s="3946"/>
      <c r="AL572" s="3946"/>
      <c r="AM572" s="3946"/>
      <c r="AN572" s="3946"/>
      <c r="AO572" s="1241"/>
      <c r="AP572" s="1241"/>
      <c r="AQ572" s="1241"/>
      <c r="AR572" s="1241"/>
      <c r="AS572" s="1241"/>
      <c r="AT572" s="3946">
        <f>_xlfn.SUMIFS('Корректировка НВВ'!$AG$25:$AG$282,'Корректировка НВВ'!$F$25:$F$282,$F572,'Корректировка НВВ'!$I$25:$I$282,$G572)</f>
        <v>0</v>
      </c>
      <c r="AU572" s="3946"/>
      <c r="AV572" s="3946"/>
      <c r="AW572" s="3946"/>
      <c r="AX572" s="3946"/>
      <c r="AY572" s="1241"/>
      <c r="AZ572" s="1241"/>
      <c r="BA572" s="1241"/>
      <c r="BB572" s="1241"/>
      <c r="BC572" s="1241"/>
      <c r="BD572" s="1115"/>
      <c r="BE572" s="1115"/>
      <c r="BF572" s="1115"/>
      <c r="BG572" s="1115"/>
      <c r="BH572" s="1115"/>
      <c r="BI572" s="1115"/>
      <c r="BJ572" s="1115"/>
      <c r="BK572" s="1115"/>
      <c r="BL572" s="1115"/>
      <c r="BM572" s="1115"/>
      <c r="BN572" s="7433"/>
      <c r="BO572" s="7437" t="str">
        <f>IF(_xlfn.IFERROR(INDEX('Корректировка НВВ'!$K$26:$L$282,MATCH($F572&amp;"3komm",'Корректировка НВВ'!$K$26:$K$282,0),2),"")=0,"",_xlfn.IFERROR(INDEX('Корректировка НВВ'!$K$26:$L$282,MATCH($F572&amp;"3komm",'Корректировка НВВ'!$K$26:$K$282,0),2),""))</f>
        <v/>
      </c>
      <c r="BP572" s="7433"/>
      <c r="BQ572" s="1278"/>
      <c r="BR572" s="1278"/>
      <c r="BS572" s="1064" t="s">
        <v>2098</v>
      </c>
      <c r="BT572" s="1064"/>
      <c r="BU572" s="1064"/>
      <c r="BV572" s="979"/>
      <c r="BW572" s="979"/>
    </row>
    <row s="1834" customFormat="1" customHeight="1" ht="54.75">
      <c r="A573" s="1278"/>
      <c r="B573" s="445" cm="1" t="str">
        <f t="array" ref="B573:B573">B572</f>
        <v>true</v>
      </c>
      <c r="C573" s="107"/>
      <c r="D573" s="107" cm="1" t="str">
        <f t="array" ref="D573:D573">D572</f>
        <v>7</v>
      </c>
      <c r="E573" s="621">
        <v>56.25</v>
      </c>
      <c r="F573" s="50" cm="1" t="str">
        <f t="array" ref="F573:F573">OFFSET(E573,-1,1)</f>
        <v>3</v>
      </c>
      <c r="G573" s="107" t="s">
        <v>2883</v>
      </c>
      <c r="H573" s="848"/>
      <c r="I573" s="107" t="s">
        <v>1492</v>
      </c>
      <c r="J573" s="107"/>
      <c r="K573" s="158" t="s">
        <v>1492</v>
      </c>
      <c r="L573" s="980" t="s">
        <v>1456</v>
      </c>
      <c r="M573" s="107"/>
      <c r="N573" s="107"/>
      <c r="O573" s="107"/>
      <c r="P573" s="107"/>
      <c r="Q573" s="107"/>
      <c r="R573" s="107"/>
      <c r="S573" s="107"/>
      <c r="T573" s="465" cm="1" t="str">
        <f t="array" ref="T573:T573">T572</f>
        <v>true</v>
      </c>
      <c r="U573" s="107"/>
      <c r="V573" s="107"/>
      <c r="W573" s="107"/>
      <c r="X573" s="1596"/>
      <c r="Y573" s="1278"/>
      <c r="Z573" s="1546"/>
      <c r="AA573" s="1278"/>
      <c r="AB573" s="300" t="str">
        <f>D573&amp;".5"</f>
        <v>7.5</v>
      </c>
      <c r="AC573" s="762" t="s">
        <v>2553</v>
      </c>
      <c r="AD573" s="766" t="s">
        <v>1514</v>
      </c>
      <c r="AE573" s="3946"/>
      <c r="AF573" s="3946"/>
      <c r="AG573" s="3946"/>
      <c r="AH573" s="1114">
        <f>AG573-AF573</f>
        <v>0</v>
      </c>
      <c r="AI573" s="3946"/>
      <c r="AJ573" s="3946">
        <f>_xlfn.SUMIFS('Корректировка НВВ'!$AF$25:$AF$282,'Корректировка НВВ'!$F$25:$F$282,$F573,'Корректировка НВВ'!$I$25:$I$282,$G573)</f>
        <v>0</v>
      </c>
      <c r="AK573" s="3946"/>
      <c r="AL573" s="3946"/>
      <c r="AM573" s="3946"/>
      <c r="AN573" s="3946"/>
      <c r="AO573" s="1241"/>
      <c r="AP573" s="1241"/>
      <c r="AQ573" s="1241"/>
      <c r="AR573" s="1241"/>
      <c r="AS573" s="1241"/>
      <c r="AT573" s="3946">
        <f>_xlfn.SUMIFS('Корректировка НВВ'!$AG$25:$AG$282,'Корректировка НВВ'!$F$25:$F$282,$F573,'Корректировка НВВ'!$I$25:$I$282,$G573)</f>
        <v>0</v>
      </c>
      <c r="AU573" s="3946"/>
      <c r="AV573" s="3946"/>
      <c r="AW573" s="3946"/>
      <c r="AX573" s="3946"/>
      <c r="AY573" s="1241"/>
      <c r="AZ573" s="1241"/>
      <c r="BA573" s="1241"/>
      <c r="BB573" s="1241"/>
      <c r="BC573" s="1241"/>
      <c r="BD573" s="1115"/>
      <c r="BE573" s="1115"/>
      <c r="BF573" s="1115"/>
      <c r="BG573" s="1115"/>
      <c r="BH573" s="1115"/>
      <c r="BI573" s="1115"/>
      <c r="BJ573" s="1115"/>
      <c r="BK573" s="1115"/>
      <c r="BL573" s="1115"/>
      <c r="BM573" s="1115"/>
      <c r="BN573" s="7433"/>
      <c r="BO573" s="7437" t="str">
        <f>IF(_xlfn.IFERROR(INDEX('Корректировка НВВ'!$K$26:$L$282,MATCH($F573&amp;"4komm",'Корректировка НВВ'!$K$26:$K$282,0),2),"")=0,"",_xlfn.IFERROR(INDEX('Корректировка НВВ'!$K$26:$L$282,MATCH($F573&amp;"4komm",'Корректировка НВВ'!$K$26:$K$282,0),2),""))</f>
        <v/>
      </c>
      <c r="BP573" s="7433"/>
      <c r="BQ573" s="1278"/>
      <c r="BR573" s="1278"/>
      <c r="BS573" s="1064" t="s">
        <v>2102</v>
      </c>
      <c r="BT573" s="1064"/>
      <c r="BU573" s="1064"/>
      <c r="BV573" s="979"/>
      <c r="BW573" s="979"/>
    </row>
    <row s="1834" customFormat="1" customHeight="1" ht="14.25">
      <c r="A574" s="1278"/>
      <c r="B574" s="427"/>
      <c r="C574" s="107"/>
      <c r="D574" s="107" cm="1" t="str">
        <f t="array" ref="D574:D574">D573</f>
        <v>7</v>
      </c>
      <c r="E574" s="621">
        <v>15</v>
      </c>
      <c r="F574" s="50" cm="1" t="str">
        <f t="array" ref="F574:F574">OFFSET(E574,-1,1)</f>
        <v>3</v>
      </c>
      <c r="G574" s="107" t="s">
        <v>2884</v>
      </c>
      <c r="H574" s="107"/>
      <c r="I574" s="107" t="s">
        <v>1493</v>
      </c>
      <c r="J574" s="107"/>
      <c r="K574" s="158" t="s">
        <v>1493</v>
      </c>
      <c r="L574" s="980" t="s">
        <v>1492</v>
      </c>
      <c r="M574" s="107"/>
      <c r="N574" s="107"/>
      <c r="O574" s="107"/>
      <c r="P574" s="107"/>
      <c r="Q574" s="107"/>
      <c r="R574" s="107"/>
      <c r="S574" s="107"/>
      <c r="T574" s="465" cm="1" t="str">
        <f t="array" ref="T574:T574">T573</f>
        <v>true</v>
      </c>
      <c r="U574" s="107"/>
      <c r="V574" s="107"/>
      <c r="W574" s="107"/>
      <c r="X574" s="1596"/>
      <c r="Y574" s="1278"/>
      <c r="Z574" s="1546"/>
      <c r="AA574" s="1278"/>
      <c r="AB574" s="300" t="str">
        <f>IF(B573,D574&amp;".6",D574&amp;".4")</f>
        <v>7.6</v>
      </c>
      <c r="AC574" s="762" t="s">
        <v>2316</v>
      </c>
      <c r="AD574" s="300" t="s">
        <v>1514</v>
      </c>
      <c r="AE574" s="3946"/>
      <c r="AF574" s="3946"/>
      <c r="AG574" s="3946"/>
      <c r="AH574" s="1114">
        <f>AG574-AF574</f>
        <v>0</v>
      </c>
      <c r="AI574" s="3946"/>
      <c r="AJ574" s="3946">
        <f>_xlfn.SUMIFS('Корректировка НВВ'!$AF$25:$AF$282,'Корректировка НВВ'!$F$25:$F$282,$F574,'Корректировка НВВ'!$I$25:$I$282,$G574)</f>
        <v>0</v>
      </c>
      <c r="AK574" s="3946"/>
      <c r="AL574" s="3946"/>
      <c r="AM574" s="3946"/>
      <c r="AN574" s="3946"/>
      <c r="AO574" s="1241"/>
      <c r="AP574" s="1241"/>
      <c r="AQ574" s="1241"/>
      <c r="AR574" s="1241"/>
      <c r="AS574" s="1241"/>
      <c r="AT574" s="3946">
        <f>_xlfn.SUMIFS('Корректировка НВВ'!$AG$25:$AG$282,'Корректировка НВВ'!$F$25:$F$282,$F574,'Корректировка НВВ'!$I$25:$I$282,$G574)</f>
        <v>0</v>
      </c>
      <c r="AU574" s="3946"/>
      <c r="AV574" s="3946"/>
      <c r="AW574" s="3946"/>
      <c r="AX574" s="3946"/>
      <c r="AY574" s="1241"/>
      <c r="AZ574" s="1241"/>
      <c r="BA574" s="1241"/>
      <c r="BB574" s="1241"/>
      <c r="BC574" s="1241"/>
      <c r="BD574" s="1115"/>
      <c r="BE574" s="1115"/>
      <c r="BF574" s="1115"/>
      <c r="BG574" s="1115"/>
      <c r="BH574" s="1115"/>
      <c r="BI574" s="1115"/>
      <c r="BJ574" s="1115"/>
      <c r="BK574" s="1115"/>
      <c r="BL574" s="1115"/>
      <c r="BM574" s="1115"/>
      <c r="BN574" s="7433"/>
      <c r="BO574" s="7437" t="str">
        <f>IF(_xlfn.IFERROR(INDEX('Корректировка НВВ'!$K$26:$L$282,MATCH($F574&amp;"5komm",'Корректировка НВВ'!$K$26:$K$282,0),2),"")=0,"",_xlfn.IFERROR(INDEX('Корректировка НВВ'!$K$26:$L$282,MATCH($F574&amp;"5komm",'Корректировка НВВ'!$K$26:$K$282,0),2),""))</f>
        <v/>
      </c>
      <c r="BP574" s="7433"/>
      <c r="BQ574" s="1278"/>
      <c r="BR574" s="1278"/>
      <c r="BS574" s="1064" t="s">
        <v>2885</v>
      </c>
      <c r="BT574" s="1064"/>
      <c r="BU574" s="1064"/>
      <c r="BV574" s="979"/>
      <c r="BW574" s="979"/>
    </row>
    <row s="1834" customFormat="1" customHeight="1" ht="14.25">
      <c r="A575" s="1278"/>
      <c r="B575" s="978"/>
      <c r="C575" s="107"/>
      <c r="D575" s="107" cm="1" t="str">
        <f t="array" ref="D575:D575">D574</f>
        <v>7</v>
      </c>
      <c r="E575" s="621">
        <v>15</v>
      </c>
      <c r="F575" s="50" cm="1" t="str">
        <f t="array" ref="F575:F575">OFFSET(E575,-1,1)</f>
        <v>3</v>
      </c>
      <c r="G575" s="107" t="s">
        <v>2886</v>
      </c>
      <c r="H575" s="107"/>
      <c r="I575" s="107" t="s">
        <v>2561</v>
      </c>
      <c r="J575" s="107"/>
      <c r="K575" s="158" t="s">
        <v>2561</v>
      </c>
      <c r="L575" s="980" t="s">
        <v>1493</v>
      </c>
      <c r="M575" s="107"/>
      <c r="N575" s="107"/>
      <c r="O575" s="107"/>
      <c r="P575" s="107"/>
      <c r="Q575" s="107"/>
      <c r="R575" s="107"/>
      <c r="S575" s="107"/>
      <c r="T575" s="465" cm="1" t="str">
        <f t="array" ref="T575:T575">T574</f>
        <v>true</v>
      </c>
      <c r="U575" s="107"/>
      <c r="V575" s="107"/>
      <c r="W575" s="107"/>
      <c r="X575" s="1596"/>
      <c r="Y575" s="1278"/>
      <c r="Z575" s="1546"/>
      <c r="AA575" s="1278"/>
      <c r="AB575" s="300" t="str">
        <f>IF(B573,D574&amp;".7",D574&amp;".5")</f>
        <v>7.7</v>
      </c>
      <c r="AC575" s="762" t="s">
        <v>2278</v>
      </c>
      <c r="AD575" s="300" t="s">
        <v>1514</v>
      </c>
      <c r="AE575" s="3946">
        <f>AE576+AE577</f>
        <v>0</v>
      </c>
      <c r="AF575" s="3946">
        <f>AF576+AF577</f>
        <v>0</v>
      </c>
      <c r="AG575" s="3946">
        <f>AG576+AG577</f>
        <v>0</v>
      </c>
      <c r="AH575" s="1114">
        <f>AG575-AF575</f>
        <v>0</v>
      </c>
      <c r="AI575" s="3946">
        <f>AI576+AI577</f>
        <v>0</v>
      </c>
      <c r="AJ575" s="3946">
        <f>_xlfn.SUMIFS('Корректировка НВВ'!$AF$25:$AF$282,'Корректировка НВВ'!$F$25:$F$282,$F575,'Корректировка НВВ'!$I$25:$I$282,$G575)</f>
        <v>0</v>
      </c>
      <c r="AK575" s="3946">
        <f>AK576+AK577</f>
        <v>0</v>
      </c>
      <c r="AL575" s="3946">
        <f>AL576+AL577</f>
        <v>0</v>
      </c>
      <c r="AM575" s="3946">
        <f>AM576+AM577</f>
        <v>0</v>
      </c>
      <c r="AN575" s="3946">
        <f>AN576+AN577</f>
        <v>0</v>
      </c>
      <c r="AO575" s="1241">
        <f>AO576+AO577</f>
        <v>0</v>
      </c>
      <c r="AP575" s="1241">
        <f>AP576+AP577</f>
        <v>0</v>
      </c>
      <c r="AQ575" s="1241">
        <f>AQ576+AQ577</f>
        <v>0</v>
      </c>
      <c r="AR575" s="1241">
        <f>AR576+AR577</f>
        <v>0</v>
      </c>
      <c r="AS575" s="1241">
        <f>AS576+AS577</f>
        <v>0</v>
      </c>
      <c r="AT575" s="3946">
        <f>_xlfn.SUMIFS('Корректировка НВВ'!$AG$25:$AG$282,'Корректировка НВВ'!$F$25:$F$282,$F575,'Корректировка НВВ'!$I$25:$I$282,$G575)</f>
        <v>0</v>
      </c>
      <c r="AU575" s="3946">
        <f>AU576+AU577</f>
        <v>0</v>
      </c>
      <c r="AV575" s="3946">
        <f>AV576+AV577</f>
        <v>0</v>
      </c>
      <c r="AW575" s="3946">
        <f>AW576+AW577</f>
        <v>0</v>
      </c>
      <c r="AX575" s="3946">
        <f>AX576+AX577</f>
        <v>0</v>
      </c>
      <c r="AY575" s="1241">
        <f>AY576+AY577</f>
        <v>0</v>
      </c>
      <c r="AZ575" s="1241">
        <f>AZ576+AZ577</f>
        <v>0</v>
      </c>
      <c r="BA575" s="1241">
        <f>BA576+BA577</f>
        <v>0</v>
      </c>
      <c r="BB575" s="1241">
        <f>BB576+BB577</f>
        <v>0</v>
      </c>
      <c r="BC575" s="1241">
        <f>BC576+BC577</f>
        <v>0</v>
      </c>
      <c r="BD575" s="1114">
        <f>IF(AI575=0,0,(AT575-AI575)/AI575*100)</f>
        <v>0</v>
      </c>
      <c r="BE575" s="1114">
        <f>IF(AT575=0,0,(AU575-AT575)/AT575*100)</f>
        <v>0</v>
      </c>
      <c r="BF575" s="1114">
        <f>IF(AU575=0,0,(AV575-AU575)/AU575*100)</f>
        <v>0</v>
      </c>
      <c r="BG575" s="1114">
        <f>IF(AV575=0,0,(AW575-AV575)/AV575*100)</f>
        <v>0</v>
      </c>
      <c r="BH575" s="1114">
        <f>IF(AW575=0,0,(AX575-AW575)/AW575*100)</f>
        <v>0</v>
      </c>
      <c r="BI575" s="1114">
        <f>IF(AX575=0,0,(AY575-AX575)/AX575*100)</f>
        <v>0</v>
      </c>
      <c r="BJ575" s="1114">
        <f>IF(AY575=0,0,(AZ575-AY575)/AY575*100)</f>
        <v>0</v>
      </c>
      <c r="BK575" s="1114">
        <f>IF(AZ575=0,0,(BA575-AZ575)/AZ575*100)</f>
        <v>0</v>
      </c>
      <c r="BL575" s="1114">
        <f>IF(BA575=0,0,(BB575-BA575)/BA575*100)</f>
        <v>0</v>
      </c>
      <c r="BM575" s="1114">
        <f>IF(BB575=0,0,(BC575-BB575)/BB575*100)</f>
        <v>0</v>
      </c>
      <c r="BN575" s="7433"/>
      <c r="BO575" s="7437" t="str">
        <f>IF(_xlfn.IFERROR(INDEX('Корректировка НВВ'!$K$26:$L$282,MATCH($F575&amp;"6komm",'Корректировка НВВ'!$K$26:$K$282,0),2),"")=0,"",_xlfn.IFERROR(INDEX('Корректировка НВВ'!$K$26:$L$282,MATCH($F575&amp;"6komm",'Корректировка НВВ'!$K$26:$K$282,0),2),""))</f>
        <v/>
      </c>
      <c r="BP575" s="7433"/>
      <c r="BQ575" s="1278"/>
      <c r="BR575" s="1278"/>
      <c r="BS575" s="1064" t="s">
        <v>2280</v>
      </c>
      <c r="BT575" s="1064"/>
      <c r="BU575" s="1064"/>
      <c r="BV575" s="979"/>
      <c r="BW575" s="979"/>
    </row>
    <row s="1834" customFormat="1" customHeight="1" ht="21.75">
      <c r="A576" s="1278"/>
      <c r="B576" s="978"/>
      <c r="C576" s="107"/>
      <c r="D576" s="107" cm="1" t="str">
        <f t="array" ref="D576:D576">D575</f>
        <v>7</v>
      </c>
      <c r="E576" s="621">
        <v>22.5</v>
      </c>
      <c r="F576" s="50" cm="1" t="str">
        <f t="array" ref="F576:F576">OFFSET(E576,-1,1)</f>
        <v>3</v>
      </c>
      <c r="G576" s="107" t="s">
        <v>2887</v>
      </c>
      <c r="H576" s="107"/>
      <c r="I576" s="107" t="s">
        <v>2888</v>
      </c>
      <c r="J576" s="107"/>
      <c r="K576" s="158" t="s">
        <v>2888</v>
      </c>
      <c r="L576" s="980" t="s">
        <v>2556</v>
      </c>
      <c r="M576" s="107"/>
      <c r="N576" s="107"/>
      <c r="O576" s="107"/>
      <c r="P576" s="107"/>
      <c r="Q576" s="107"/>
      <c r="R576" s="107"/>
      <c r="S576" s="107"/>
      <c r="T576" s="465" cm="1" t="str">
        <f t="array" ref="T576:T576">T575</f>
        <v>true</v>
      </c>
      <c r="U576" s="107"/>
      <c r="V576" s="107"/>
      <c r="W576" s="107"/>
      <c r="X576" s="1596"/>
      <c r="Y576" s="1278"/>
      <c r="Z576" s="1546"/>
      <c r="AA576" s="1278"/>
      <c r="AB576" s="300" t="str">
        <f>AB575&amp;".1"</f>
        <v>7.7.1</v>
      </c>
      <c r="AC576" s="781" t="s">
        <v>2281</v>
      </c>
      <c r="AD576" s="300" t="s">
        <v>1514</v>
      </c>
      <c r="AE576" s="3946"/>
      <c r="AF576" s="3946"/>
      <c r="AG576" s="3946"/>
      <c r="AH576" s="1114">
        <f>AG576-AF576</f>
        <v>0</v>
      </c>
      <c r="AI576" s="3946"/>
      <c r="AJ576" s="3946">
        <f>_xlfn.SUMIFS('Корректировка НВВ'!$AF$25:$AF$282,'Корректировка НВВ'!$F$25:$F$282,$F576,'Корректировка НВВ'!$I$25:$I$282,$G576)</f>
        <v>0</v>
      </c>
      <c r="AK576" s="3946"/>
      <c r="AL576" s="3946"/>
      <c r="AM576" s="3946"/>
      <c r="AN576" s="3946"/>
      <c r="AO576" s="1241"/>
      <c r="AP576" s="1241"/>
      <c r="AQ576" s="1241"/>
      <c r="AR576" s="1241"/>
      <c r="AS576" s="1241"/>
      <c r="AT576" s="3946">
        <f>_xlfn.SUMIFS('Корректировка НВВ'!$AG$25:$AG$282,'Корректировка НВВ'!$F$25:$F$282,$F576,'Корректировка НВВ'!$I$25:$I$282,$G576)</f>
        <v>0</v>
      </c>
      <c r="AU576" s="3946"/>
      <c r="AV576" s="3946"/>
      <c r="AW576" s="3946"/>
      <c r="AX576" s="3946"/>
      <c r="AY576" s="1241"/>
      <c r="AZ576" s="1241"/>
      <c r="BA576" s="1241"/>
      <c r="BB576" s="1241"/>
      <c r="BC576" s="1241"/>
      <c r="BD576" s="1115"/>
      <c r="BE576" s="1115"/>
      <c r="BF576" s="1115"/>
      <c r="BG576" s="1115"/>
      <c r="BH576" s="1115"/>
      <c r="BI576" s="1115"/>
      <c r="BJ576" s="1115"/>
      <c r="BK576" s="1115"/>
      <c r="BL576" s="1115"/>
      <c r="BM576" s="1115"/>
      <c r="BN576" s="7433"/>
      <c r="BO576" s="7437" t="str">
        <f>IF(_xlfn.IFERROR(INDEX('Корректировка НВВ'!$K$26:$L$282,MATCH($F576&amp;"7komm",'Корректировка НВВ'!$K$26:$K$282,0),2),"")=0,"",_xlfn.IFERROR(INDEX('Корректировка НВВ'!$K$26:$L$282,MATCH($F576&amp;"7komm",'Корректировка НВВ'!$K$26:$K$282,0),2),""))</f>
        <v/>
      </c>
      <c r="BP576" s="7433"/>
      <c r="BQ576" s="1278"/>
      <c r="BR576" s="1278"/>
      <c r="BS576" s="1064" t="s">
        <v>2282</v>
      </c>
      <c r="BT576" s="1064"/>
      <c r="BU576" s="1064"/>
      <c r="BV576" s="979"/>
      <c r="BW576" s="979"/>
    </row>
    <row s="1834" customFormat="1" customHeight="1" ht="21.75">
      <c r="A577" s="1278"/>
      <c r="B577" s="978"/>
      <c r="C577" s="107"/>
      <c r="D577" s="107" cm="1" t="str">
        <f t="array" ref="D577:D577">D576</f>
        <v>7</v>
      </c>
      <c r="E577" s="621">
        <v>22.5</v>
      </c>
      <c r="F577" s="50" cm="1" t="str">
        <f t="array" ref="F577:F577">OFFSET(E577,-1,1)</f>
        <v>3</v>
      </c>
      <c r="G577" s="107" t="s">
        <v>2889</v>
      </c>
      <c r="H577" s="107"/>
      <c r="I577" s="107" t="s">
        <v>2890</v>
      </c>
      <c r="J577" s="107"/>
      <c r="K577" s="158" t="s">
        <v>2890</v>
      </c>
      <c r="L577" s="980" t="s">
        <v>2558</v>
      </c>
      <c r="M577" s="107"/>
      <c r="N577" s="107"/>
      <c r="O577" s="107"/>
      <c r="P577" s="107"/>
      <c r="Q577" s="107"/>
      <c r="R577" s="107"/>
      <c r="S577" s="107"/>
      <c r="T577" s="465" cm="1" t="str">
        <f t="array" ref="T577:T577">T576</f>
        <v>true</v>
      </c>
      <c r="U577" s="107"/>
      <c r="V577" s="107"/>
      <c r="W577" s="107"/>
      <c r="X577" s="1596"/>
      <c r="Y577" s="1278"/>
      <c r="Z577" s="1546"/>
      <c r="AA577" s="1278"/>
      <c r="AB577" s="300" t="str">
        <f>AB575&amp;".2"</f>
        <v>7.7.2</v>
      </c>
      <c r="AC577" s="781" t="s">
        <v>2283</v>
      </c>
      <c r="AD577" s="300" t="s">
        <v>1514</v>
      </c>
      <c r="AE577" s="3946"/>
      <c r="AF577" s="3946"/>
      <c r="AG577" s="3946"/>
      <c r="AH577" s="1114">
        <f>AG577-AF577</f>
        <v>0</v>
      </c>
      <c r="AI577" s="3946"/>
      <c r="AJ577" s="3946">
        <f>_xlfn.SUMIFS('Корректировка НВВ'!$AF$25:$AF$282,'Корректировка НВВ'!$F$25:$F$282,$F577,'Корректировка НВВ'!$I$25:$I$282,$G577)</f>
        <v>0</v>
      </c>
      <c r="AK577" s="3946"/>
      <c r="AL577" s="3946"/>
      <c r="AM577" s="3946"/>
      <c r="AN577" s="3946"/>
      <c r="AO577" s="1241"/>
      <c r="AP577" s="1241"/>
      <c r="AQ577" s="1241"/>
      <c r="AR577" s="1241"/>
      <c r="AS577" s="1241"/>
      <c r="AT577" s="3946">
        <f>_xlfn.SUMIFS('Корректировка НВВ'!$AG$25:$AG$282,'Корректировка НВВ'!$F$25:$F$282,$F577,'Корректировка НВВ'!$I$25:$I$282,$G577)</f>
        <v>0</v>
      </c>
      <c r="AU577" s="3946"/>
      <c r="AV577" s="3946"/>
      <c r="AW577" s="3946"/>
      <c r="AX577" s="3946"/>
      <c r="AY577" s="1241"/>
      <c r="AZ577" s="1241"/>
      <c r="BA577" s="1241"/>
      <c r="BB577" s="1241"/>
      <c r="BC577" s="1241"/>
      <c r="BD577" s="1115"/>
      <c r="BE577" s="1115"/>
      <c r="BF577" s="1115"/>
      <c r="BG577" s="1115"/>
      <c r="BH577" s="1115"/>
      <c r="BI577" s="1115"/>
      <c r="BJ577" s="1115"/>
      <c r="BK577" s="1115"/>
      <c r="BL577" s="1115"/>
      <c r="BM577" s="1115"/>
      <c r="BN577" s="7433"/>
      <c r="BO577" s="7437" t="str">
        <f>IF(_xlfn.IFERROR(INDEX('Корректировка НВВ'!$K$26:$L$282,MATCH($F577&amp;"8komm",'Корректировка НВВ'!$K$26:$K$282,0),2),"")=0,"",_xlfn.IFERROR(INDEX('Корректировка НВВ'!$K$26:$L$282,MATCH($F577&amp;"8komm",'Корректировка НВВ'!$K$26:$K$282,0),2),""))</f>
        <v/>
      </c>
      <c r="BP577" s="7433"/>
      <c r="BQ577" s="1278"/>
      <c r="BR577" s="1278"/>
      <c r="BS577" s="1064" t="s">
        <v>2284</v>
      </c>
      <c r="BT577" s="1064"/>
      <c r="BU577" s="1064"/>
      <c r="BV577" s="979"/>
      <c r="BW577" s="979"/>
    </row>
    <row s="1834" customFormat="1" customHeight="1" ht="0">
      <c r="A578" s="1278"/>
      <c r="B578" s="978"/>
      <c r="C578" s="107"/>
      <c r="D578" s="107" cm="1" t="str">
        <f t="array" ref="D578:D578">D577</f>
        <v>7</v>
      </c>
      <c r="E578" s="621">
        <v>15</v>
      </c>
      <c r="F578" s="50" cm="1" t="str">
        <f t="array" ref="F578:F578">OFFSET(E578,-1,1)</f>
        <v>3</v>
      </c>
      <c r="G578" s="107" t="s">
        <v>320</v>
      </c>
      <c r="H578" s="107"/>
      <c r="I578" s="107" t="s">
        <v>2562</v>
      </c>
      <c r="J578" s="107"/>
      <c r="K578" s="158" t="s">
        <v>2562</v>
      </c>
      <c r="L578" s="980" t="s">
        <v>2561</v>
      </c>
      <c r="M578" s="107"/>
      <c r="N578" s="107"/>
      <c r="O578" s="107"/>
      <c r="P578" s="107"/>
      <c r="Q578" s="107"/>
      <c r="R578" s="107"/>
      <c r="S578" s="107"/>
      <c r="T578" s="465" cm="1" t="str">
        <f t="array" ref="T578:T578">T577</f>
        <v>true</v>
      </c>
      <c r="U578" s="107"/>
      <c r="V578" s="107"/>
      <c r="W578" s="107"/>
      <c r="X578" s="1596"/>
      <c r="Y578" s="1278"/>
      <c r="Z578" s="1546"/>
      <c r="AA578" s="1278"/>
      <c r="AB578" s="300" t="str">
        <f>IF(B573,D574&amp;".8",D574&amp;".6")</f>
        <v>7.8</v>
      </c>
      <c r="AC578" s="782" t="s">
        <v>2285</v>
      </c>
      <c r="AD578" s="300" t="s">
        <v>1514</v>
      </c>
      <c r="AE578" s="3946"/>
      <c r="AF578" s="3946"/>
      <c r="AG578" s="3946"/>
      <c r="AH578" s="1114">
        <f>AG578-AF578</f>
        <v>0</v>
      </c>
      <c r="AI578" s="3946"/>
      <c r="AJ578" s="3946">
        <f>_xlfn.SUMIFS('Корректировка НВВ'!$AF$25:$AF$282,'Корректировка НВВ'!$F$25:$F$282,$F578,'Корректировка НВВ'!$I$25:$I$282,$G578)</f>
        <v>0</v>
      </c>
      <c r="AK578" s="3946"/>
      <c r="AL578" s="3946"/>
      <c r="AM578" s="3946"/>
      <c r="AN578" s="3946"/>
      <c r="AO578" s="1241"/>
      <c r="AP578" s="1241"/>
      <c r="AQ578" s="1241"/>
      <c r="AR578" s="1241"/>
      <c r="AS578" s="1241"/>
      <c r="AT578" s="3946">
        <f>_xlfn.SUMIFS('Корректировка НВВ'!$AG$25:$AG$282,'Корректировка НВВ'!$F$25:$F$282,$F578,'Корректировка НВВ'!$I$25:$I$282,$G578)</f>
        <v>0</v>
      </c>
      <c r="AU578" s="3946"/>
      <c r="AV578" s="3946"/>
      <c r="AW578" s="3946"/>
      <c r="AX578" s="3946"/>
      <c r="AY578" s="1241"/>
      <c r="AZ578" s="1241"/>
      <c r="BA578" s="1241"/>
      <c r="BB578" s="1241"/>
      <c r="BC578" s="1241"/>
      <c r="BD578" s="1115"/>
      <c r="BE578" s="1115"/>
      <c r="BF578" s="1115"/>
      <c r="BG578" s="1115"/>
      <c r="BH578" s="1115"/>
      <c r="BI578" s="1115"/>
      <c r="BJ578" s="1115"/>
      <c r="BK578" s="1115"/>
      <c r="BL578" s="1115"/>
      <c r="BM578" s="1115"/>
      <c r="BN578" s="7433"/>
      <c r="BO578" s="7437" t="str">
        <f>IF(_xlfn.IFERROR(INDEX('Корректировка НВВ'!$K$26:$L$282,MATCH($F578&amp;"9komm",'Корректировка НВВ'!$K$26:$K$282,0),2),"")=0,"",_xlfn.IFERROR(INDEX('Корректировка НВВ'!$K$26:$L$282,MATCH($F578&amp;"9komm",'Корректировка НВВ'!$K$26:$K$282,0),2),""))</f>
        <v/>
      </c>
      <c r="BP578" s="7433"/>
      <c r="BQ578" s="1278"/>
      <c r="BR578" s="1278"/>
      <c r="BS578" s="1064" t="s">
        <v>2891</v>
      </c>
      <c r="BT578" s="1064"/>
      <c r="BU578" s="1064"/>
      <c r="BV578" s="979"/>
      <c r="BW578" s="979"/>
    </row>
    <row s="1834" customFormat="1" customHeight="1" ht="0">
      <c r="A579" s="1278"/>
      <c r="B579" s="978"/>
      <c r="C579" s="107"/>
      <c r="D579" s="107" cm="1" t="str">
        <f t="array" ref="D579:D579">D578</f>
        <v>7</v>
      </c>
      <c r="E579" s="621">
        <v>15</v>
      </c>
      <c r="F579" s="50" cm="1" t="str">
        <f t="array" ref="F579:F579">OFFSET(E579,-1,1)</f>
        <v>3</v>
      </c>
      <c r="G579" s="107" t="s">
        <v>2892</v>
      </c>
      <c r="H579" s="107"/>
      <c r="I579" s="107" t="s">
        <v>2563</v>
      </c>
      <c r="J579" s="107"/>
      <c r="K579" s="158" t="s">
        <v>2563</v>
      </c>
      <c r="L579" s="980" t="s">
        <v>2562</v>
      </c>
      <c r="M579" s="107"/>
      <c r="N579" s="107"/>
      <c r="O579" s="107"/>
      <c r="P579" s="107"/>
      <c r="Q579" s="107"/>
      <c r="R579" s="107"/>
      <c r="S579" s="107"/>
      <c r="T579" s="465" cm="1" t="str">
        <f t="array" ref="T579:T579">T578</f>
        <v>true</v>
      </c>
      <c r="U579" s="107"/>
      <c r="V579" s="107"/>
      <c r="W579" s="107"/>
      <c r="X579" s="1596"/>
      <c r="Y579" s="1278"/>
      <c r="Z579" s="1546"/>
      <c r="AA579" s="1278"/>
      <c r="AB579" s="300" t="str">
        <f>IF(B573,D574&amp;".9",D574&amp;".7")</f>
        <v>7.9</v>
      </c>
      <c r="AC579" s="782" t="s">
        <v>2287</v>
      </c>
      <c r="AD579" s="300" t="s">
        <v>1514</v>
      </c>
      <c r="AE579" s="3946"/>
      <c r="AF579" s="3946"/>
      <c r="AG579" s="3946"/>
      <c r="AH579" s="1114">
        <f>AG579-AF579</f>
        <v>0</v>
      </c>
      <c r="AI579" s="3946"/>
      <c r="AJ579" s="3946">
        <f>_xlfn.SUMIFS('Корректировка НВВ'!$AF$25:$AF$282,'Корректировка НВВ'!$F$25:$F$282,$F579,'Корректировка НВВ'!$I$25:$I$282,$G579)</f>
        <v>0</v>
      </c>
      <c r="AK579" s="3946"/>
      <c r="AL579" s="3946"/>
      <c r="AM579" s="3946"/>
      <c r="AN579" s="3946"/>
      <c r="AO579" s="1241"/>
      <c r="AP579" s="1241"/>
      <c r="AQ579" s="1241"/>
      <c r="AR579" s="1241"/>
      <c r="AS579" s="1241"/>
      <c r="AT579" s="3946">
        <f>_xlfn.SUMIFS('Корректировка НВВ'!$AG$25:$AG$282,'Корректировка НВВ'!$F$25:$F$282,$F579,'Корректировка НВВ'!$I$25:$I$282,$G579)</f>
        <v>0</v>
      </c>
      <c r="AU579" s="3946"/>
      <c r="AV579" s="3946"/>
      <c r="AW579" s="3946"/>
      <c r="AX579" s="3946"/>
      <c r="AY579" s="1241"/>
      <c r="AZ579" s="1241"/>
      <c r="BA579" s="1241"/>
      <c r="BB579" s="1241"/>
      <c r="BC579" s="1241"/>
      <c r="BD579" s="1115"/>
      <c r="BE579" s="1115"/>
      <c r="BF579" s="1115"/>
      <c r="BG579" s="1115"/>
      <c r="BH579" s="1115"/>
      <c r="BI579" s="1115"/>
      <c r="BJ579" s="1115"/>
      <c r="BK579" s="1115"/>
      <c r="BL579" s="1115"/>
      <c r="BM579" s="1115"/>
      <c r="BN579" s="7433"/>
      <c r="BO579" s="7437" t="str">
        <f>IF(_xlfn.IFERROR(INDEX('Корректировка НВВ'!$K$26:$L$282,MATCH($F579&amp;"10komm",'Корректировка НВВ'!$K$26:$K$282,0),2),"")=0,"",_xlfn.IFERROR(INDEX('Корректировка НВВ'!$K$26:$L$282,MATCH($F579&amp;"10komm",'Корректировка НВВ'!$K$26:$K$282,0),2),""))</f>
        <v/>
      </c>
      <c r="BP579" s="7433"/>
      <c r="BQ579" s="1278"/>
      <c r="BR579" s="1278"/>
      <c r="BS579" s="1064" t="s">
        <v>2288</v>
      </c>
      <c r="BT579" s="1064"/>
      <c r="BU579" s="1064"/>
      <c r="BV579" s="979"/>
      <c r="BW579" s="979"/>
    </row>
    <row s="7612" customFormat="1" customHeight="1" ht="54.75">
      <c r="A580" s="700"/>
      <c r="B580" s="435"/>
      <c r="C580" s="109"/>
      <c r="D580" s="109">
        <f>D579+1</f>
        <v>8</v>
      </c>
      <c r="E580" s="826">
        <v>21</v>
      </c>
      <c r="F580" s="50" cm="1" t="str">
        <f t="array" ref="F580:F580">OFFSET(E580,-1,1)</f>
        <v>3</v>
      </c>
      <c r="G580" s="109"/>
      <c r="H580" s="109"/>
      <c r="I580" s="109" t="s">
        <v>1297</v>
      </c>
      <c r="J580" s="109"/>
      <c r="K580" s="162" t="s">
        <v>1297</v>
      </c>
      <c r="L580" s="985"/>
      <c r="M580" s="109"/>
      <c r="N580" s="109"/>
      <c r="O580" s="109"/>
      <c r="P580" s="109"/>
      <c r="Q580" s="109"/>
      <c r="R580" s="109"/>
      <c r="S580" s="109"/>
      <c r="T580" s="465" cm="1" t="str">
        <f t="array" ref="T580:T580">T579</f>
        <v>true</v>
      </c>
      <c r="U580" s="109"/>
      <c r="V580" s="109"/>
      <c r="W580" s="109"/>
      <c r="X580" s="1596"/>
      <c r="Y580" s="700"/>
      <c r="Z580" s="1546"/>
      <c r="AA580" s="700"/>
      <c r="AB580" s="211" cm="1" t="str">
        <f t="array" ref="AB580:AB580">D580</f>
        <v>8</v>
      </c>
      <c r="AC580" s="212" t="s">
        <v>2893</v>
      </c>
      <c r="AD580" s="211" t="s">
        <v>1514</v>
      </c>
      <c r="AE580" s="7432"/>
      <c r="AF580" s="7432"/>
      <c r="AG580" s="7432"/>
      <c r="AH580" s="778">
        <f>AG580-AF580</f>
        <v>0</v>
      </c>
      <c r="AI580" s="7432"/>
      <c r="AJ580" s="7432">
        <v>-5460.45</v>
      </c>
      <c r="AK580" s="7432">
        <v>5373.06</v>
      </c>
      <c r="AL580" s="7432">
        <v>8883.67</v>
      </c>
      <c r="AM580" s="7432">
        <v>4245.59</v>
      </c>
      <c r="AN580" s="7432">
        <v>-13041.88</v>
      </c>
      <c r="AO580" s="1237"/>
      <c r="AP580" s="1237"/>
      <c r="AQ580" s="1237"/>
      <c r="AR580" s="1237"/>
      <c r="AS580" s="1237"/>
      <c r="AT580" s="7432">
        <v>-5460.4508</v>
      </c>
      <c r="AU580" s="7432">
        <v>5373.063</v>
      </c>
      <c r="AV580" s="7432">
        <v>8883.6715</v>
      </c>
      <c r="AW580" s="7432">
        <v>4245.5902</v>
      </c>
      <c r="AX580" s="7432">
        <v>-13041.875</v>
      </c>
      <c r="AY580" s="1237"/>
      <c r="AZ580" s="1237"/>
      <c r="BA580" s="1237"/>
      <c r="BB580" s="1237"/>
      <c r="BC580" s="1237"/>
      <c r="BD580" s="216"/>
      <c r="BE580" s="216"/>
      <c r="BF580" s="216"/>
      <c r="BG580" s="216"/>
      <c r="BH580" s="216"/>
      <c r="BI580" s="216"/>
      <c r="BJ580" s="216"/>
      <c r="BK580" s="216"/>
      <c r="BL580" s="216"/>
      <c r="BM580" s="216"/>
      <c r="BN580" s="7436"/>
      <c r="BO580" s="7436" t="s">
        <v>2931</v>
      </c>
      <c r="BP580" s="7436"/>
      <c r="BQ580" s="700"/>
      <c r="BR580" s="700"/>
      <c r="BS580" s="1070" t="s">
        <v>2894</v>
      </c>
      <c r="BT580" s="1070"/>
      <c r="BU580" s="1070"/>
      <c r="BV580" s="707"/>
      <c r="BW580" s="707"/>
    </row>
    <row s="1834" customFormat="1" customHeight="1" ht="14.25">
      <c r="A581" s="1278"/>
      <c r="B581" s="978"/>
      <c r="C581" s="107"/>
      <c r="D581" s="109" cm="1" t="str">
        <f t="array" ref="D581:D581">D580</f>
        <v>8</v>
      </c>
      <c r="E581" s="621">
        <v>15</v>
      </c>
      <c r="F581" s="50" cm="1" t="str">
        <f t="array" ref="F581:F581">OFFSET(E581,-1,1)</f>
        <v>3</v>
      </c>
      <c r="G581" s="107"/>
      <c r="H581" s="107"/>
      <c r="I581" s="107" t="s">
        <v>1300</v>
      </c>
      <c r="J581" s="107"/>
      <c r="K581" s="158" t="s">
        <v>1300</v>
      </c>
      <c r="L581" s="980"/>
      <c r="M581" s="107"/>
      <c r="N581" s="107"/>
      <c r="O581" s="107"/>
      <c r="P581" s="107"/>
      <c r="Q581" s="107"/>
      <c r="R581" s="107"/>
      <c r="S581" s="107"/>
      <c r="T581" s="465" cm="1" t="str">
        <f t="array" ref="T581:T581">T580</f>
        <v>true</v>
      </c>
      <c r="U581" s="107"/>
      <c r="V581" s="107"/>
      <c r="W581" s="107"/>
      <c r="X581" s="1596"/>
      <c r="Y581" s="1278"/>
      <c r="Z581" s="1546"/>
      <c r="AA581" s="1278"/>
      <c r="AB581" s="300" t="str">
        <f>D581&amp;".1"</f>
        <v>8.1</v>
      </c>
      <c r="AC581" s="762" t="s">
        <v>2895</v>
      </c>
      <c r="AD581" s="300" t="s">
        <v>1170</v>
      </c>
      <c r="AE581" s="1114">
        <f>IF(AE582=0,0,AE580/(AE582+AE567)*100)</f>
        <v>0</v>
      </c>
      <c r="AF581" s="1114">
        <f>IF(AF582=0,0,AF580/(AF582+AF567)*100)</f>
        <v>0</v>
      </c>
      <c r="AG581" s="1114">
        <f>IF(AG582=0,0,AG580/(AG582+AG567)*100)</f>
        <v>0</v>
      </c>
      <c r="AH581" s="1114">
        <f>AG581-AF581</f>
        <v>0</v>
      </c>
      <c r="AI581" s="1114">
        <f>IF(AI582=0,0,AI580/(AI582+AI567)*100)</f>
        <v>0</v>
      </c>
      <c r="AJ581" s="1114">
        <f>IF(AJ582=0,0,AJ580/(AJ582+AJ567)*100)</f>
        <v>-3.82311268454712</v>
      </c>
      <c r="AK581" s="1114">
        <f>IF(AK582=0,0,AK580/(AK582+AK567)*100)</f>
        <v>3.6182912869001</v>
      </c>
      <c r="AL581" s="1114">
        <f>IF(AL582=0,0,AL580/(AL582+AL567)*100)</f>
        <v>5.73628348709277</v>
      </c>
      <c r="AM581" s="1114">
        <f>IF(AM582=0,0,AM580/(AM582+AM567)*100)</f>
        <v>2.59134011238633</v>
      </c>
      <c r="AN581" s="1114">
        <f>IF(AN582=0,0,AN580/(AN582+AN567)*100)</f>
        <v>-7.11261128160184</v>
      </c>
      <c r="AO581" s="1114">
        <f>IF(AO582=0,0,AO580/(AO582+AO567)*100)</f>
        <v>0</v>
      </c>
      <c r="AP581" s="1114">
        <f>IF(AP582=0,0,AP580/(AP582+AP567)*100)</f>
        <v>0</v>
      </c>
      <c r="AQ581" s="1114">
        <f>IF(AQ582=0,0,AQ580/(AQ582+AQ567)*100)</f>
        <v>0</v>
      </c>
      <c r="AR581" s="1114">
        <f>IF(AR582=0,0,AR580/(AR582+AR567)*100)</f>
        <v>0</v>
      </c>
      <c r="AS581" s="1114">
        <f>IF(AS582=0,0,AS580/(AS582+AS567)*100)</f>
        <v>0</v>
      </c>
      <c r="AT581" s="1114">
        <f>IF(AT582=0,0,AT580/(AT582+AT567)*100)</f>
        <v>-3.8231104604947</v>
      </c>
      <c r="AU581" s="1114">
        <f>IF(AU582=0,0,AU580/(AU582+AU567)*100)</f>
        <v>3.61829321995516</v>
      </c>
      <c r="AV581" s="1114">
        <f>IF(AV582=0,0,AV580/(AV582+AV567)*100)</f>
        <v>5.73628429957115</v>
      </c>
      <c r="AW581" s="1114">
        <f>IF(AW582=0,0,AW580/(AW582+AW567)*100)</f>
        <v>2.59134021468779</v>
      </c>
      <c r="AX581" s="1114">
        <f>IF(AX582=0,0,AX580/(AX582+AX567)*100)</f>
        <v>-7.11260850484426</v>
      </c>
      <c r="AY581" s="1114">
        <f>IF(AY582=0,0,AY580/(AY582+AY567)*100)</f>
        <v>0</v>
      </c>
      <c r="AZ581" s="1114">
        <f>IF(AZ582=0,0,AZ580/(AZ582+AZ567)*100)</f>
        <v>0</v>
      </c>
      <c r="BA581" s="1114">
        <f>IF(BA582=0,0,BA580/(BA582+BA567)*100)</f>
        <v>0</v>
      </c>
      <c r="BB581" s="1114">
        <f>IF(BB582=0,0,BB580/(BB582+BB567)*100)</f>
        <v>0</v>
      </c>
      <c r="BC581" s="1114">
        <f>IF(BC582=0,0,BC580/(BC582+BC567)*100)</f>
        <v>0</v>
      </c>
      <c r="BD581" s="1115"/>
      <c r="BE581" s="1115"/>
      <c r="BF581" s="1115"/>
      <c r="BG581" s="1115"/>
      <c r="BH581" s="1115"/>
      <c r="BI581" s="1115"/>
      <c r="BJ581" s="1115"/>
      <c r="BK581" s="1115"/>
      <c r="BL581" s="1115"/>
      <c r="BM581" s="1115"/>
      <c r="BN581" s="7433"/>
      <c r="BO581" s="7433"/>
      <c r="BP581" s="7433"/>
      <c r="BQ581" s="1278"/>
      <c r="BR581" s="1278"/>
      <c r="BS581" s="1064" t="s">
        <v>2896</v>
      </c>
      <c r="BT581" s="1064"/>
      <c r="BU581" s="1064"/>
      <c r="BV581" s="979"/>
      <c r="BW581" s="979"/>
    </row>
    <row s="7613" customFormat="1" customHeight="1" ht="20.25">
      <c r="A582" s="700"/>
      <c r="B582" s="435"/>
      <c r="C582" s="109"/>
      <c r="D582" s="109">
        <f>D581+1</f>
        <v>9</v>
      </c>
      <c r="E582" s="826">
        <v>21</v>
      </c>
      <c r="F582" s="50" cm="1" t="str">
        <f t="array" ref="F582:F582">OFFSET(E582,-1,1)</f>
        <v>3</v>
      </c>
      <c r="G582" s="109"/>
      <c r="H582" s="107"/>
      <c r="I582" s="107" t="s">
        <v>1454</v>
      </c>
      <c r="J582" s="109"/>
      <c r="K582" s="158" t="s">
        <v>1454</v>
      </c>
      <c r="L582" s="985" t="s">
        <v>2563</v>
      </c>
      <c r="M582" s="109"/>
      <c r="N582" s="109"/>
      <c r="O582" s="109"/>
      <c r="P582" s="109"/>
      <c r="Q582" s="109"/>
      <c r="R582" s="109"/>
      <c r="S582" s="109"/>
      <c r="T582" s="465" cm="1" t="str">
        <f t="array" ref="T582:T582">T581</f>
        <v>true</v>
      </c>
      <c r="U582" s="109"/>
      <c r="V582" s="109"/>
      <c r="W582" s="109"/>
      <c r="X582" s="1596"/>
      <c r="Y582" s="700"/>
      <c r="Z582" s="1546"/>
      <c r="AA582" s="700"/>
      <c r="AB582" s="211" cm="1" t="str">
        <f t="array" ref="AB582:AB582">D582</f>
        <v>9</v>
      </c>
      <c r="AC582" s="212" t="s">
        <v>2564</v>
      </c>
      <c r="AD582" s="234" t="s">
        <v>1514</v>
      </c>
      <c r="AE582" s="213">
        <f>AE460+AE510+AE546+AE547+AE549+AE554+AE555+AE558</f>
        <v>0</v>
      </c>
      <c r="AF582" s="213">
        <f>AF460+AF510+AF546+AF547+AF549+AF554+AF555+AF558</f>
        <v>0</v>
      </c>
      <c r="AG582" s="213">
        <f>AG460+AG510+AG546+AG547+AG549+AG554+AG555+AG558</f>
        <v>0</v>
      </c>
      <c r="AH582" s="778">
        <f>AG582-AF582</f>
        <v>0</v>
      </c>
      <c r="AI582" s="213">
        <f>AI460+AI510+AI546+AI547+AI549+AI554+AI555+AI558</f>
        <v>0</v>
      </c>
      <c r="AJ582" s="213">
        <f>AJ460+AJ510+AJ546+AJ547+AJ549+AJ554+AJ555+AJ558</f>
        <v>142827.336010025</v>
      </c>
      <c r="AK582" s="213">
        <f>AK460+AK510+AK546+AK547+AK549+AK554+AK555+AK558</f>
        <v>148497.165483967</v>
      </c>
      <c r="AL582" s="213">
        <f>AL460+AL510+AL546+AL547+AL549+AL554+AL555+AL558</f>
        <v>154868.04339411</v>
      </c>
      <c r="AM582" s="213">
        <f>AM460+AM510+AM546+AM547+AM549+AM554+AM555+AM558</f>
        <v>163837.621302836</v>
      </c>
      <c r="AN582" s="213">
        <f>AN460+AN510+AN546+AN547+AN549+AN554+AN555+AN558</f>
        <v>183362.755022693</v>
      </c>
      <c r="AO582" s="213">
        <f>AO460+AO510+AO546+AO547+AO549+AO554+AO555+AO558</f>
        <v>131640.151541184</v>
      </c>
      <c r="AP582" s="213">
        <f>AP460+AP510+AP546+AP547+AP549+AP554+AP555+AP558</f>
        <v>131640.151541184</v>
      </c>
      <c r="AQ582" s="213">
        <f>AQ460+AQ510+AQ546+AQ547+AQ549+AQ554+AQ555+AQ558</f>
        <v>131640.151541184</v>
      </c>
      <c r="AR582" s="213">
        <f>AR460+AR510+AR546+AR547+AR549+AR554+AR555+AR558</f>
        <v>131640.151541184</v>
      </c>
      <c r="AS582" s="213">
        <f>AS460+AS510+AS546+AS547+AS549+AS554+AS555+AS558</f>
        <v>131640.151541184</v>
      </c>
      <c r="AT582" s="213">
        <f>AT460+AT510+AT546+AT547+AT549+AT554+AT555+AT558</f>
        <v>142827.440023625</v>
      </c>
      <c r="AU582" s="213">
        <f>AU460+AU510+AU546+AU547+AU549+AU554+AU555+AU558</f>
        <v>148497.169062119</v>
      </c>
      <c r="AV582" s="213">
        <f>AV460+AV510+AV546+AV547+AV549+AV554+AV555+AV558</f>
        <v>154868.047608173</v>
      </c>
      <c r="AW582" s="213">
        <f>AW460+AW510+AW546+AW547+AW549+AW554+AW555+AW558</f>
        <v>163837.622552835</v>
      </c>
      <c r="AX582" s="213">
        <f>AX460+AX510+AX546+AX547+AX549+AX554+AX555+AX558</f>
        <v>183362.756309692</v>
      </c>
      <c r="AY582" s="213">
        <f>AY460+AY510+AY546+AY547+AY549+AY554+AY555+AY558</f>
        <v>131640.152828183</v>
      </c>
      <c r="AZ582" s="213">
        <f>AZ460+AZ510+AZ546+AZ547+AZ549+AZ554+AZ555+AZ558</f>
        <v>131640.152828183</v>
      </c>
      <c r="BA582" s="213">
        <f>BA460+BA510+BA546+BA547+BA549+BA554+BA555+BA558</f>
        <v>131640.152828183</v>
      </c>
      <c r="BB582" s="213">
        <f>BB460+BB510+BB546+BB547+BB549+BB554+BB555+BB558</f>
        <v>131640.152828183</v>
      </c>
      <c r="BC582" s="213">
        <f>BC460+BC510+BC546+BC547+BC549+BC554+BC555+BC558</f>
        <v>131640.152828183</v>
      </c>
      <c r="BD582" s="778">
        <f>IF(AI582=0,0,(AT582-AI582)/AI582*100)</f>
        <v>0</v>
      </c>
      <c r="BE582" s="778">
        <f>IF(AT582=0,0,(AU582-AT582)/AT582*100)</f>
        <v>3.9696356929426</v>
      </c>
      <c r="BF582" s="778">
        <f>IF(AU582=0,0,(AV582-AU582)/AU582*100)</f>
        <v>4.29023569020964</v>
      </c>
      <c r="BG582" s="778">
        <f>IF(AV582=0,0,(AW582-AV582)/AV582*100)</f>
        <v>5.79175309767943</v>
      </c>
      <c r="BH582" s="778">
        <f>IF(AW582=0,0,(AX582-AW582)/AW582*100)</f>
        <v>11.9173688269069</v>
      </c>
      <c r="BI582" s="778">
        <f>IF(AX582=0,0,(AY582-AX582)/AX582*100)</f>
        <v>-28.2078021308491</v>
      </c>
      <c r="BJ582" s="778">
        <f>IF(AY582=0,0,(AZ582-AY582)/AY582*100)</f>
        <v>0</v>
      </c>
      <c r="BK582" s="778">
        <f>IF(AZ582=0,0,(BA582-AZ582)/AZ582*100)</f>
        <v>0</v>
      </c>
      <c r="BL582" s="778">
        <f>IF(BA582=0,0,(BB582-BA582)/BA582*100)</f>
        <v>0</v>
      </c>
      <c r="BM582" s="778">
        <f>IF(BB582=0,0,(BC582-BB582)/BB582*100)</f>
        <v>0</v>
      </c>
      <c r="BN582" s="7433"/>
      <c r="BO582" s="7433"/>
      <c r="BP582" s="7433"/>
      <c r="BQ582" s="700"/>
      <c r="BR582" s="700"/>
      <c r="BS582" s="1070" t="s">
        <v>2565</v>
      </c>
      <c r="BT582" s="1070"/>
      <c r="BU582" s="1070"/>
      <c r="BV582" s="707"/>
      <c r="BW582" s="707"/>
    </row>
    <row s="7614" customFormat="1" customHeight="1" ht="20.25">
      <c r="A583" s="700"/>
      <c r="B583" s="435"/>
      <c r="C583" s="109"/>
      <c r="D583" s="109">
        <f>D582+1</f>
        <v>10</v>
      </c>
      <c r="E583" s="826">
        <v>21</v>
      </c>
      <c r="F583" s="50" cm="1" t="str">
        <f t="array" ref="F583:F583">OFFSET(E583,-1,1)</f>
        <v>3</v>
      </c>
      <c r="G583" s="109"/>
      <c r="H583" s="107"/>
      <c r="I583" s="107" t="s">
        <v>2574</v>
      </c>
      <c r="J583" s="109"/>
      <c r="K583" s="158" t="s">
        <v>2574</v>
      </c>
      <c r="L583" s="985"/>
      <c r="M583" s="109"/>
      <c r="N583" s="109"/>
      <c r="O583" s="109"/>
      <c r="P583" s="109"/>
      <c r="Q583" s="109"/>
      <c r="R583" s="109"/>
      <c r="S583" s="109"/>
      <c r="T583" s="465" cm="1" t="str">
        <f t="array" ref="T583:T583">T582</f>
        <v>true</v>
      </c>
      <c r="U583" s="109"/>
      <c r="V583" s="109"/>
      <c r="W583" s="109"/>
      <c r="X583" s="1596"/>
      <c r="Y583" s="700"/>
      <c r="Z583" s="1546"/>
      <c r="AA583" s="700"/>
      <c r="AB583" s="211" cm="1" t="str">
        <f t="array" ref="AB583:AB583">D583</f>
        <v>10</v>
      </c>
      <c r="AC583" s="212" t="s">
        <v>2897</v>
      </c>
      <c r="AD583" s="211" t="s">
        <v>1514</v>
      </c>
      <c r="AE583" s="213">
        <f>AE582+AE567+AE580</f>
        <v>0</v>
      </c>
      <c r="AF583" s="213">
        <f>AF582+AF567+AF580</f>
        <v>0</v>
      </c>
      <c r="AG583" s="213">
        <f>AG582+AG567+AG580</f>
        <v>0</v>
      </c>
      <c r="AH583" s="213">
        <f>AH582+AH567+AH580</f>
        <v>0</v>
      </c>
      <c r="AI583" s="213">
        <f>AI582+AI567+AI580</f>
        <v>0</v>
      </c>
      <c r="AJ583" s="213">
        <f>AJ582+AJ567+AJ580</f>
        <v>137366.886010025</v>
      </c>
      <c r="AK583" s="213">
        <f>AK582+AK567+AK580</f>
        <v>153870.225483967</v>
      </c>
      <c r="AL583" s="213">
        <f>AL582+AL567+AL580</f>
        <v>163751.71339411</v>
      </c>
      <c r="AM583" s="213">
        <f>AM582+AM567+AM580</f>
        <v>168083.211302836</v>
      </c>
      <c r="AN583" s="213">
        <f>AN582+AN567+AN580</f>
        <v>170320.875022693</v>
      </c>
      <c r="AO583" s="213">
        <f>AO582+AO567+AO580</f>
        <v>131640.151541184</v>
      </c>
      <c r="AP583" s="213">
        <f>AP582+AP567+AP580</f>
        <v>131640.151541184</v>
      </c>
      <c r="AQ583" s="213">
        <f>AQ582+AQ567+AQ580</f>
        <v>131640.151541184</v>
      </c>
      <c r="AR583" s="213">
        <f>AR582+AR567+AR580</f>
        <v>131640.151541184</v>
      </c>
      <c r="AS583" s="213">
        <f>AS582+AS567+AS580</f>
        <v>131640.151541184</v>
      </c>
      <c r="AT583" s="213">
        <f>AT582+AT567+AT580</f>
        <v>137366.989223625</v>
      </c>
      <c r="AU583" s="213">
        <f>AU582+AU567+AU580</f>
        <v>153870.232062119</v>
      </c>
      <c r="AV583" s="213">
        <f>AV582+AV567+AV580</f>
        <v>163751.719108173</v>
      </c>
      <c r="AW583" s="213">
        <f>AW582+AW567+AW580</f>
        <v>168083.212752835</v>
      </c>
      <c r="AX583" s="213">
        <f>AX582+AX567+AX580</f>
        <v>170320.881309692</v>
      </c>
      <c r="AY583" s="213">
        <f>AY582+AY567+AY580</f>
        <v>131640.152828183</v>
      </c>
      <c r="AZ583" s="213">
        <f>AZ582+AZ567+AZ580</f>
        <v>131640.152828183</v>
      </c>
      <c r="BA583" s="213">
        <f>BA582+BA567+BA580</f>
        <v>131640.152828183</v>
      </c>
      <c r="BB583" s="213">
        <f>BB582+BB567+BB580</f>
        <v>131640.152828183</v>
      </c>
      <c r="BC583" s="213">
        <f>BC582+BC567+BC580</f>
        <v>131640.152828183</v>
      </c>
      <c r="BD583" s="778">
        <f>IF(AI583=0,0,(AT583-AI583)/AI583*100)</f>
        <v>0</v>
      </c>
      <c r="BE583" s="778">
        <f>IF(AT583=0,0,(AU583-AT583)/AT583*100)</f>
        <v>12.0139801649345</v>
      </c>
      <c r="BF583" s="778">
        <f>IF(AU583=0,0,(AV583-AU583)/AU583*100)</f>
        <v>6.42196148899337</v>
      </c>
      <c r="BG583" s="778">
        <f>IF(AV583=0,0,(AW583-AV583)/AV583*100)</f>
        <v>2.64515918871096</v>
      </c>
      <c r="BH583" s="778">
        <f>IF(AW583=0,0,(AX583-AW583)/AW583*100)</f>
        <v>1.33128616487564</v>
      </c>
      <c r="BI583" s="778">
        <f>IF(AX583=0,0,(AY583-AX583)/AX583*100)</f>
        <v>-22.7105027780924</v>
      </c>
      <c r="BJ583" s="778">
        <f>IF(AY583=0,0,(AZ583-AY583)/AY583*100)</f>
        <v>0</v>
      </c>
      <c r="BK583" s="778">
        <f>IF(AZ583=0,0,(BA583-AZ583)/AZ583*100)</f>
        <v>0</v>
      </c>
      <c r="BL583" s="778">
        <f>IF(BA583=0,0,(BB583-BA583)/BA583*100)</f>
        <v>0</v>
      </c>
      <c r="BM583" s="778">
        <f>IF(BB583=0,0,(BC583-BB583)/BB583*100)</f>
        <v>0</v>
      </c>
      <c r="BN583" s="7433"/>
      <c r="BO583" s="7433"/>
      <c r="BP583" s="7433"/>
      <c r="BQ583" s="700"/>
      <c r="BR583" s="700"/>
      <c r="BS583" s="1070" t="s">
        <v>2898</v>
      </c>
      <c r="BT583" s="1070"/>
      <c r="BU583" s="1070"/>
      <c r="BV583" s="707"/>
      <c r="BW583" s="707"/>
    </row>
    <row s="1834" customFormat="1" customHeight="1" ht="14.25" hidden="1">
      <c r="A584" s="1278"/>
      <c r="B584" s="445">
        <f>A459="двухставочный"</f>
        <v>0</v>
      </c>
      <c r="C584" s="107"/>
      <c r="D584" s="107" cm="1" t="str">
        <f t="array" ref="D584:D584">D583</f>
        <v>10</v>
      </c>
      <c r="E584" s="621">
        <v>15</v>
      </c>
      <c r="F584" s="50" cm="1" t="str">
        <f t="array" ref="F584:F584">OFFSET(E584,-1,1)</f>
        <v>3</v>
      </c>
      <c r="G584" s="107"/>
      <c r="H584" s="848"/>
      <c r="I584" s="848" t="s">
        <v>2577</v>
      </c>
      <c r="J584" s="107"/>
      <c r="K584" s="379" t="s">
        <v>2577</v>
      </c>
      <c r="L584" s="980" t="s">
        <v>2566</v>
      </c>
      <c r="M584" s="107"/>
      <c r="N584" s="107"/>
      <c r="O584" s="107"/>
      <c r="P584" s="107"/>
      <c r="Q584" s="107"/>
      <c r="R584" s="107"/>
      <c r="S584" s="107"/>
      <c r="T584" s="465" cm="1" t="str">
        <f t="array" ref="T584:T584">T583</f>
        <v>true</v>
      </c>
      <c r="U584" s="107"/>
      <c r="V584" s="107"/>
      <c r="W584" s="107"/>
      <c r="X584" s="1596"/>
      <c r="Y584" s="1278"/>
      <c r="Z584" s="1546"/>
      <c r="AA584" s="1278"/>
      <c r="AB584" s="300" t="str">
        <f>D584&amp;".1"</f>
        <v>10.1</v>
      </c>
      <c r="AC584" s="1112" t="s">
        <v>2568</v>
      </c>
      <c r="AD584" s="300" t="s">
        <v>1514</v>
      </c>
      <c r="AE584" s="1241"/>
      <c r="AF584" s="1241"/>
      <c r="AG584" s="1241"/>
      <c r="AH584" s="1114">
        <f>AG584-AF584</f>
        <v>0</v>
      </c>
      <c r="AI584" s="1241"/>
      <c r="AJ584" s="1241"/>
      <c r="AK584" s="1241"/>
      <c r="AL584" s="1241"/>
      <c r="AM584" s="1241"/>
      <c r="AN584" s="1241"/>
      <c r="AO584" s="1241"/>
      <c r="AP584" s="1241"/>
      <c r="AQ584" s="1241"/>
      <c r="AR584" s="1241"/>
      <c r="AS584" s="1241"/>
      <c r="AT584" s="1241"/>
      <c r="AU584" s="1241"/>
      <c r="AV584" s="1241"/>
      <c r="AW584" s="1241"/>
      <c r="AX584" s="1241"/>
      <c r="AY584" s="1241"/>
      <c r="AZ584" s="1241"/>
      <c r="BA584" s="1241"/>
      <c r="BB584" s="1241"/>
      <c r="BC584" s="1241"/>
      <c r="BD584" s="1115"/>
      <c r="BE584" s="1115"/>
      <c r="BF584" s="1115"/>
      <c r="BG584" s="1115"/>
      <c r="BH584" s="1115"/>
      <c r="BI584" s="1115"/>
      <c r="BJ584" s="1115"/>
      <c r="BK584" s="1115"/>
      <c r="BL584" s="1115"/>
      <c r="BM584" s="1115"/>
      <c r="BN584" s="1238"/>
      <c r="BO584" s="1238"/>
      <c r="BP584" s="1238"/>
      <c r="BQ584" s="1278"/>
      <c r="BR584" s="1278"/>
      <c r="BS584" s="1062" t="s">
        <v>2569</v>
      </c>
      <c r="BT584" s="1064"/>
      <c r="BU584" s="1064"/>
      <c r="BV584" s="979"/>
      <c r="BW584" s="979"/>
    </row>
    <row s="1834" customFormat="1" customHeight="1" ht="14.25" hidden="1">
      <c r="A585" s="1278"/>
      <c r="B585" s="445">
        <f>A459="двухставочный"</f>
        <v>0</v>
      </c>
      <c r="C585" s="107"/>
      <c r="D585" s="107" cm="1" t="str">
        <f t="array" ref="D585:D585">D584</f>
        <v>10</v>
      </c>
      <c r="E585" s="621">
        <v>15</v>
      </c>
      <c r="F585" s="50" cm="1" t="str">
        <f t="array" ref="F585:F585">OFFSET(E585,-1,1)</f>
        <v>3</v>
      </c>
      <c r="G585" s="107"/>
      <c r="H585" s="848"/>
      <c r="I585" s="848" t="s">
        <v>2581</v>
      </c>
      <c r="J585" s="107"/>
      <c r="K585" s="379" t="s">
        <v>2581</v>
      </c>
      <c r="L585" s="980" t="s">
        <v>2570</v>
      </c>
      <c r="M585" s="107"/>
      <c r="N585" s="107"/>
      <c r="O585" s="107"/>
      <c r="P585" s="107"/>
      <c r="Q585" s="107"/>
      <c r="R585" s="107"/>
      <c r="S585" s="107"/>
      <c r="T585" s="465" cm="1" t="str">
        <f t="array" ref="T585:T585">T584</f>
        <v>true</v>
      </c>
      <c r="U585" s="107"/>
      <c r="V585" s="107"/>
      <c r="W585" s="107"/>
      <c r="X585" s="1596"/>
      <c r="Y585" s="1278"/>
      <c r="Z585" s="1546"/>
      <c r="AA585" s="1278"/>
      <c r="AB585" s="300" t="str">
        <f>D585&amp;".2"</f>
        <v>10.2</v>
      </c>
      <c r="AC585" s="1112" t="s">
        <v>2572</v>
      </c>
      <c r="AD585" s="300" t="s">
        <v>1514</v>
      </c>
      <c r="AE585" s="1241"/>
      <c r="AF585" s="1241"/>
      <c r="AG585" s="1241"/>
      <c r="AH585" s="1114">
        <f>AG585-AF585</f>
        <v>0</v>
      </c>
      <c r="AI585" s="1241"/>
      <c r="AJ585" s="1241"/>
      <c r="AK585" s="1241"/>
      <c r="AL585" s="1241"/>
      <c r="AM585" s="1241"/>
      <c r="AN585" s="1241"/>
      <c r="AO585" s="1241"/>
      <c r="AP585" s="1241"/>
      <c r="AQ585" s="1241"/>
      <c r="AR585" s="1241"/>
      <c r="AS585" s="1241"/>
      <c r="AT585" s="1241"/>
      <c r="AU585" s="1241"/>
      <c r="AV585" s="1241"/>
      <c r="AW585" s="1241"/>
      <c r="AX585" s="1241"/>
      <c r="AY585" s="1241"/>
      <c r="AZ585" s="1241"/>
      <c r="BA585" s="1241"/>
      <c r="BB585" s="1241"/>
      <c r="BC585" s="1241"/>
      <c r="BD585" s="1115"/>
      <c r="BE585" s="1115"/>
      <c r="BF585" s="1115"/>
      <c r="BG585" s="1115"/>
      <c r="BH585" s="1115"/>
      <c r="BI585" s="1115"/>
      <c r="BJ585" s="1115"/>
      <c r="BK585" s="1115"/>
      <c r="BL585" s="1115"/>
      <c r="BM585" s="1115"/>
      <c r="BN585" s="1238"/>
      <c r="BO585" s="1238"/>
      <c r="BP585" s="1238"/>
      <c r="BQ585" s="1278"/>
      <c r="BR585" s="1278"/>
      <c r="BS585" s="1062" t="s">
        <v>2573</v>
      </c>
      <c r="BT585" s="1064"/>
      <c r="BU585" s="1064"/>
      <c r="BV585" s="979"/>
      <c r="BW585" s="979"/>
    </row>
    <row s="7615" customFormat="1" customHeight="1" ht="20.25">
      <c r="A586" s="700"/>
      <c r="B586" s="435"/>
      <c r="C586" s="109"/>
      <c r="D586" s="109">
        <f>D585+1</f>
        <v>11</v>
      </c>
      <c r="E586" s="826">
        <v>21</v>
      </c>
      <c r="F586" s="50" cm="1" t="str">
        <f t="array" ref="F586:F586">OFFSET(E586,-1,1)</f>
        <v>3</v>
      </c>
      <c r="G586" s="107" t="s">
        <v>2346</v>
      </c>
      <c r="H586" s="107"/>
      <c r="I586" s="107" t="s">
        <v>2601</v>
      </c>
      <c r="J586" s="109"/>
      <c r="K586" s="158" t="s">
        <v>2601</v>
      </c>
      <c r="L586" s="985" t="s">
        <v>2574</v>
      </c>
      <c r="M586" s="109"/>
      <c r="N586" s="109"/>
      <c r="O586" s="109"/>
      <c r="P586" s="109"/>
      <c r="Q586" s="109"/>
      <c r="R586" s="109"/>
      <c r="S586" s="109"/>
      <c r="T586" s="465" cm="1" t="str">
        <f t="array" ref="T586:T586">T585</f>
        <v>true</v>
      </c>
      <c r="U586" s="109"/>
      <c r="V586" s="109"/>
      <c r="W586" s="109"/>
      <c r="X586" s="1596"/>
      <c r="Y586" s="700"/>
      <c r="Z586" s="1546"/>
      <c r="AA586" s="700"/>
      <c r="AB586" s="211" cm="1" t="str">
        <f t="array" ref="AB586:AB586">D586</f>
        <v>11</v>
      </c>
      <c r="AC586" s="212" t="s">
        <v>2575</v>
      </c>
      <c r="AD586" s="211" t="s">
        <v>1247</v>
      </c>
      <c r="AE586" s="785">
        <f>_xlfn.SUMIFS(Баланс!AE$26:AE$482,Баланс!$F$26:$F$482,$F586,Баланс!$G$26:$G$482,"ПО")</f>
        <v>0</v>
      </c>
      <c r="AF586" s="785">
        <f>_xlfn.SUMIFS(Баланс!AF$26:AF$482,Баланс!$F$26:$F$482,$F586,Баланс!$G$26:$G$482,"ПО")</f>
        <v>0</v>
      </c>
      <c r="AG586" s="785">
        <f>_xlfn.SUMIFS(Баланс!AG$26:AG$482,Баланс!$F$26:$F$482,$F586,Баланс!$G$26:$G$482,"ПО")</f>
        <v>0</v>
      </c>
      <c r="AH586" s="785">
        <f>AG586-AF586</f>
        <v>0</v>
      </c>
      <c r="AI586" s="785">
        <f>_xlfn.SUMIFS(Баланс!AH$26:AH$482,Баланс!$F$26:$F$482,$F586,Баланс!$G$26:$G$482,"ПО")</f>
        <v>0</v>
      </c>
      <c r="AJ586" s="785">
        <f>_xlfn.SUMIFS(Баланс!AI$26:AI$482,Баланс!$F$26:$F$482,$F586,Баланс!$G$26:$G$482,"ПО")</f>
        <v>1778.84536</v>
      </c>
      <c r="AK586" s="785">
        <f>_xlfn.SUMIFS(Баланс!AJ$26:AJ$482,Баланс!$F$26:$F$482,$F586,Баланс!$G$26:$G$482,"ПО")</f>
        <v>1778.84536</v>
      </c>
      <c r="AL586" s="785">
        <f>_xlfn.SUMIFS(Баланс!AK$26:AK$482,Баланс!$F$26:$F$482,$F586,Баланс!$G$26:$G$482,"ПО")</f>
        <v>1778.84536</v>
      </c>
      <c r="AM586" s="785">
        <f>_xlfn.SUMIFS(Баланс!AL$26:AL$482,Баланс!$F$26:$F$482,$F586,Баланс!$G$26:$G$482,"ПО")</f>
        <v>1778.84536</v>
      </c>
      <c r="AN586" s="785">
        <f>_xlfn.SUMIFS(Баланс!AM$26:AM$482,Баланс!$F$26:$F$482,$F586,Баланс!$G$26:$G$482,"ПО")</f>
        <v>1778.84536</v>
      </c>
      <c r="AO586" s="785">
        <f>_xlfn.SUMIFS(Баланс!AN$26:AN$482,Баланс!$F$26:$F$482,$F586,Баланс!$G$26:$G$482,"ПО")</f>
        <v>0</v>
      </c>
      <c r="AP586" s="785">
        <f>_xlfn.SUMIFS(Баланс!AO$26:AO$482,Баланс!$F$26:$F$482,$F586,Баланс!$G$26:$G$482,"ПО")</f>
        <v>0</v>
      </c>
      <c r="AQ586" s="785">
        <f>_xlfn.SUMIFS(Баланс!AP$26:AP$482,Баланс!$F$26:$F$482,$F586,Баланс!$G$26:$G$482,"ПО")</f>
        <v>0</v>
      </c>
      <c r="AR586" s="785">
        <f>_xlfn.SUMIFS(Баланс!AQ$26:AQ$482,Баланс!$F$26:$F$482,$F586,Баланс!$G$26:$G$482,"ПО")</f>
        <v>0</v>
      </c>
      <c r="AS586" s="785">
        <f>_xlfn.SUMIFS(Баланс!AR$26:AR$482,Баланс!$F$26:$F$482,$F586,Баланс!$G$26:$G$482,"ПО")</f>
        <v>0</v>
      </c>
      <c r="AT586" s="785">
        <f>_xlfn.SUMIFS(Баланс!AS$26:AS$482,Баланс!$F$26:$F$482,$F586,Баланс!$G$26:$G$482,"ПО")</f>
        <v>1778.84536</v>
      </c>
      <c r="AU586" s="785">
        <f>_xlfn.SUMIFS(Баланс!AT$26:AT$482,Баланс!$F$26:$F$482,$F586,Баланс!$G$26:$G$482,"ПО")</f>
        <v>1778.84536</v>
      </c>
      <c r="AV586" s="785">
        <f>_xlfn.SUMIFS(Баланс!AU$26:AU$482,Баланс!$F$26:$F$482,$F586,Баланс!$G$26:$G$482,"ПО")</f>
        <v>1778.84536</v>
      </c>
      <c r="AW586" s="785">
        <f>_xlfn.SUMIFS(Баланс!AV$26:AV$482,Баланс!$F$26:$F$482,$F586,Баланс!$G$26:$G$482,"ПО")</f>
        <v>1778.84536</v>
      </c>
      <c r="AX586" s="785">
        <f>_xlfn.SUMIFS(Баланс!AW$26:AW$482,Баланс!$F$26:$F$482,$F586,Баланс!$G$26:$G$482,"ПО")</f>
        <v>1778.84536</v>
      </c>
      <c r="AY586" s="785">
        <f>_xlfn.SUMIFS(Баланс!AX$26:AX$482,Баланс!$F$26:$F$482,$F586,Баланс!$G$26:$G$482,"ПО")</f>
        <v>0</v>
      </c>
      <c r="AZ586" s="785">
        <f>_xlfn.SUMIFS(Баланс!AY$26:AY$482,Баланс!$F$26:$F$482,$F586,Баланс!$G$26:$G$482,"ПО")</f>
        <v>0</v>
      </c>
      <c r="BA586" s="785">
        <f>_xlfn.SUMIFS(Баланс!AZ$26:AZ$482,Баланс!$F$26:$F$482,$F586,Баланс!$G$26:$G$482,"ПО")</f>
        <v>0</v>
      </c>
      <c r="BB586" s="785">
        <f>_xlfn.SUMIFS(Баланс!BA$26:BA$482,Баланс!$F$26:$F$482,$F586,Баланс!$G$26:$G$482,"ПО")</f>
        <v>0</v>
      </c>
      <c r="BC586" s="785">
        <f>_xlfn.SUMIFS(Баланс!BB$26:BB$482,Баланс!$F$26:$F$482,$F586,Баланс!$G$26:$G$482,"ПО")</f>
        <v>0</v>
      </c>
      <c r="BD586" s="216"/>
      <c r="BE586" s="216"/>
      <c r="BF586" s="216"/>
      <c r="BG586" s="216"/>
      <c r="BH586" s="216"/>
      <c r="BI586" s="216"/>
      <c r="BJ586" s="216"/>
      <c r="BK586" s="216"/>
      <c r="BL586" s="216"/>
      <c r="BM586" s="216"/>
      <c r="BN586" s="7433"/>
      <c r="BO586" s="7433"/>
      <c r="BP586" s="7433"/>
      <c r="BQ586" s="700"/>
      <c r="BR586" s="700"/>
      <c r="BS586" s="1063" t="s">
        <v>2576</v>
      </c>
      <c r="BT586" s="1070"/>
      <c r="BU586" s="1070"/>
      <c r="BV586" s="707"/>
      <c r="BW586" s="707"/>
    </row>
    <row s="1834" customFormat="1" customHeight="1" ht="23.25">
      <c r="A587" s="1278"/>
      <c r="B587" s="978"/>
      <c r="C587" s="107"/>
      <c r="D587" s="107" cm="1" t="str">
        <f t="array" ref="D587:D587">D586</f>
        <v>11</v>
      </c>
      <c r="E587" s="621">
        <v>15</v>
      </c>
      <c r="F587" s="50" cm="1" t="str">
        <f t="array" ref="F587:F587">OFFSET(E587,-1,1)</f>
        <v>3</v>
      </c>
      <c r="G587" s="107" t="s">
        <v>2373</v>
      </c>
      <c r="H587" s="107"/>
      <c r="I587" s="107" t="s">
        <v>2899</v>
      </c>
      <c r="J587" s="107"/>
      <c r="K587" s="158" t="s">
        <v>2899</v>
      </c>
      <c r="L587" s="980" t="s">
        <v>2577</v>
      </c>
      <c r="M587" s="107"/>
      <c r="N587" s="107"/>
      <c r="O587" s="107"/>
      <c r="P587" s="107"/>
      <c r="Q587" s="107"/>
      <c r="R587" s="107"/>
      <c r="S587" s="107"/>
      <c r="T587" s="465" cm="1" t="str">
        <f t="array" ref="T587:T587">T586</f>
        <v>true</v>
      </c>
      <c r="U587" s="107"/>
      <c r="V587" s="107"/>
      <c r="W587" s="107"/>
      <c r="X587" s="1596"/>
      <c r="Y587" s="1278"/>
      <c r="Z587" s="1546"/>
      <c r="AA587" s="1278"/>
      <c r="AB587" s="300" t="str">
        <f>D587&amp;".1"</f>
        <v>11.1</v>
      </c>
      <c r="AC587" s="1111" t="s">
        <v>2579</v>
      </c>
      <c r="AD587" s="300" t="s">
        <v>1247</v>
      </c>
      <c r="AE587" s="7434">
        <f>IF(AE$24="2026 год",AE586/12*9,AE586/2)</f>
        <v>0</v>
      </c>
      <c r="AF587" s="7434">
        <f>IF(AF$24="2026 год",AF586/12*9,AF586/2)</f>
        <v>0</v>
      </c>
      <c r="AG587" s="7434">
        <f>IF(AG$24="2026 год",AG586/12*9,AG586/2)</f>
        <v>0</v>
      </c>
      <c r="AH587" s="1113">
        <f>AG587-AF587</f>
        <v>0</v>
      </c>
      <c r="AI587" s="7434">
        <f>IF(AI$24="2026 год",AI586/12*9,AI586/2)</f>
        <v>0</v>
      </c>
      <c r="AJ587" s="7434">
        <f>IF(AJ$24="2026 год",AJ586/12*9,AJ586/2)</f>
        <v>1334.13402</v>
      </c>
      <c r="AK587" s="7434">
        <f>IF(AK$24="2026 год",AK586/12*9,AK586/2)</f>
        <v>889.42268</v>
      </c>
      <c r="AL587" s="7434">
        <f>IF(AL$24="2026 год",AL586/12*9,AL586/2)</f>
        <v>889.42268</v>
      </c>
      <c r="AM587" s="7434">
        <f>IF(AM$24="2026 год",AM586/12*9,AM586/2)</f>
        <v>889.42268</v>
      </c>
      <c r="AN587" s="7434">
        <f>IF(AN$24="2026 год",AN586/12*9,AN586/2)</f>
        <v>889.42268</v>
      </c>
      <c r="AO587" s="1239">
        <f>IF(AO$24="2026 год",AO586/12*9,AO586/2)</f>
        <v>0</v>
      </c>
      <c r="AP587" s="1239">
        <f>IF(AP$24="2026 год",AP586/12*9,AP586/2)</f>
        <v>0</v>
      </c>
      <c r="AQ587" s="1239">
        <f>IF(AQ$24="2026 год",AQ586/12*9,AQ586/2)</f>
        <v>0</v>
      </c>
      <c r="AR587" s="1239">
        <f>IF(AR$24="2026 год",AR586/12*9,AR586/2)</f>
        <v>0</v>
      </c>
      <c r="AS587" s="1239">
        <f>IF(AS$24="2026 год",AS586/12*9,AS586/2)</f>
        <v>0</v>
      </c>
      <c r="AT587" s="7497">
        <f>IF(AT$24="2026 год",AT586/12*9,AT586/2)</f>
        <v>1334.13402</v>
      </c>
      <c r="AU587" s="7497">
        <f>IF(AU$24="2026 год",AU586/12*9,AU586/2)</f>
        <v>889.42268</v>
      </c>
      <c r="AV587" s="7434">
        <f>IF(AV$24="2026 год",AV586/12*9,AV586/2)</f>
        <v>889.42268</v>
      </c>
      <c r="AW587" s="7434">
        <f>IF(AW$24="2026 год",AW586/12*9,AW586/2)</f>
        <v>889.42268</v>
      </c>
      <c r="AX587" s="7434">
        <f>IF(AX$24="2026 год",AX586/12*9,AX586/2)</f>
        <v>889.42268</v>
      </c>
      <c r="AY587" s="1239">
        <f>IF(AY$24="2026 год",AY586/12*9,AY586/2)</f>
        <v>0</v>
      </c>
      <c r="AZ587" s="1239">
        <f>IF(AZ$24="2026 год",AZ586/12*9,AZ586/2)</f>
        <v>0</v>
      </c>
      <c r="BA587" s="1239">
        <f>IF(BA$24="2026 год",BA586/12*9,BA586/2)</f>
        <v>0</v>
      </c>
      <c r="BB587" s="1239">
        <f>IF(BB$24="2026 год",BB586/12*9,BB586/2)</f>
        <v>0</v>
      </c>
      <c r="BC587" s="1239">
        <f>IF(BC$24="2026 год",BC586/12*9,BC586/2)</f>
        <v>0</v>
      </c>
      <c r="BD587" s="1115"/>
      <c r="BE587" s="1115"/>
      <c r="BF587" s="1115"/>
      <c r="BG587" s="1115"/>
      <c r="BH587" s="1115"/>
      <c r="BI587" s="1115"/>
      <c r="BJ587" s="1115"/>
      <c r="BK587" s="1115"/>
      <c r="BL587" s="1115"/>
      <c r="BM587" s="1115"/>
      <c r="BN587" s="7433"/>
      <c r="BO587" s="7433"/>
      <c r="BP587" s="7433"/>
      <c r="BQ587" s="1278"/>
      <c r="BR587" s="1278"/>
      <c r="BS587" s="1062" t="s">
        <v>2580</v>
      </c>
      <c r="BT587" s="1064"/>
      <c r="BU587" s="1064"/>
      <c r="BV587" s="979"/>
      <c r="BW587" s="979"/>
    </row>
    <row s="1834" customFormat="1" customHeight="1" ht="45">
      <c r="A588" s="1278"/>
      <c r="B588" s="978"/>
      <c r="C588" s="107"/>
      <c r="D588" s="107" cm="1" t="str">
        <f t="array" ref="D588:D588">D587</f>
        <v>11</v>
      </c>
      <c r="E588" s="621">
        <v>15</v>
      </c>
      <c r="F588" s="50" cm="1" t="str">
        <f t="array" ref="F588:F588">OFFSET(E588,-1,1)</f>
        <v>3</v>
      </c>
      <c r="G588" s="107" t="s">
        <v>2334</v>
      </c>
      <c r="H588" s="107"/>
      <c r="I588" s="107" t="s">
        <v>2900</v>
      </c>
      <c r="J588" s="107"/>
      <c r="K588" s="158" t="s">
        <v>2900</v>
      </c>
      <c r="L588" s="980" t="s">
        <v>2581</v>
      </c>
      <c r="M588" s="107"/>
      <c r="N588" s="107"/>
      <c r="O588" s="107"/>
      <c r="P588" s="107"/>
      <c r="Q588" s="107"/>
      <c r="R588" s="107"/>
      <c r="S588" s="107"/>
      <c r="T588" s="465" cm="1" t="str">
        <f t="array" ref="T588:T588">T587</f>
        <v>true</v>
      </c>
      <c r="U588" s="107"/>
      <c r="V588" s="107"/>
      <c r="W588" s="107"/>
      <c r="X588" s="1596"/>
      <c r="Y588" s="1278"/>
      <c r="Z588" s="1546"/>
      <c r="AA588" s="1278"/>
      <c r="AB588" s="300" t="str">
        <f>D588&amp;".2"</f>
        <v>11.2</v>
      </c>
      <c r="AC588" s="1111" t="s">
        <v>2583</v>
      </c>
      <c r="AD588" s="300" t="s">
        <v>2337</v>
      </c>
      <c r="AE588" s="3946"/>
      <c r="AF588" s="3946"/>
      <c r="AG588" s="3946"/>
      <c r="AH588" s="1114">
        <f>AG588-AF588</f>
        <v>0</v>
      </c>
      <c r="AI588" s="3946"/>
      <c r="AJ588" s="3946">
        <v>75.34</v>
      </c>
      <c r="AK588" s="3946">
        <v>82.87</v>
      </c>
      <c r="AL588" s="3946">
        <v>90.13</v>
      </c>
      <c r="AM588" s="3946">
        <v>93.98</v>
      </c>
      <c r="AN588" s="3946">
        <v>95</v>
      </c>
      <c r="AO588" s="1241"/>
      <c r="AP588" s="1241"/>
      <c r="AQ588" s="1241"/>
      <c r="AR588" s="1241"/>
      <c r="AS588" s="1241"/>
      <c r="AT588" s="3946">
        <v>75.34</v>
      </c>
      <c r="AU588" s="3946" cm="1" t="str">
        <f t="array" ref="AU588:AU588">AT590</f>
        <v>82.8702325351654</v>
      </c>
      <c r="AV588" s="3946" cm="1" t="str">
        <f t="array" ref="AV588:AV588">AU590</f>
        <v>90.1298893665147</v>
      </c>
      <c r="AW588" s="3946" cm="1" t="str">
        <f t="array" ref="AW588:AW588">AV590</f>
        <v>93.9802337396029</v>
      </c>
      <c r="AX588" s="3946" cm="1" t="str">
        <f t="array" ref="AX588:AX588">AW590</f>
        <v>94.9998952052032</v>
      </c>
      <c r="AY588" s="1241" cm="1" t="str">
        <f t="array" ref="AY588:AY588">AX590</f>
        <v>96.4961000506092</v>
      </c>
      <c r="AZ588" s="1241" cm="1" t="str">
        <f t="array" ref="AZ588:AZ588">AY590</f>
        <v>0</v>
      </c>
      <c r="BA588" s="1241" cm="1" t="str">
        <f t="array" ref="BA588:BA588">AZ590</f>
        <v>0</v>
      </c>
      <c r="BB588" s="1241" cm="1" t="str">
        <f t="array" ref="BB588:BB588">BA590</f>
        <v>0</v>
      </c>
      <c r="BC588" s="1241" cm="1" t="str">
        <f t="array" ref="BC588:BC588">BB590</f>
        <v>0</v>
      </c>
      <c r="BD588" s="1115"/>
      <c r="BE588" s="1115"/>
      <c r="BF588" s="1115"/>
      <c r="BG588" s="1115"/>
      <c r="BH588" s="1115"/>
      <c r="BI588" s="1115"/>
      <c r="BJ588" s="1115"/>
      <c r="BK588" s="1115"/>
      <c r="BL588" s="1115"/>
      <c r="BM588" s="1115"/>
      <c r="BN588" s="7433"/>
      <c r="BO588" s="7433" t="s">
        <v>2932</v>
      </c>
      <c r="BP588" s="7433"/>
      <c r="BQ588" s="1278"/>
      <c r="BR588" s="1278"/>
      <c r="BS588" s="1062" t="s">
        <v>2584</v>
      </c>
      <c r="BT588" s="1064"/>
      <c r="BU588" s="1064"/>
      <c r="BV588" s="979"/>
      <c r="BW588" s="979"/>
    </row>
    <row s="1834" customFormat="1" customHeight="1" ht="23.25">
      <c r="A589" s="1278"/>
      <c r="B589" s="978"/>
      <c r="C589" s="107"/>
      <c r="D589" s="107" cm="1" t="str">
        <f t="array" ref="D589:D589">D588</f>
        <v>11</v>
      </c>
      <c r="E589" s="621">
        <v>15</v>
      </c>
      <c r="F589" s="50" cm="1" t="str">
        <f t="array" ref="F589:F589">OFFSET(E589,-1,1)</f>
        <v>3</v>
      </c>
      <c r="G589" s="107" t="s">
        <v>2386</v>
      </c>
      <c r="H589" s="107"/>
      <c r="I589" s="107" t="s">
        <v>2901</v>
      </c>
      <c r="J589" s="107"/>
      <c r="K589" s="158" t="s">
        <v>2901</v>
      </c>
      <c r="L589" s="980" t="s">
        <v>2585</v>
      </c>
      <c r="M589" s="107"/>
      <c r="N589" s="107"/>
      <c r="O589" s="107"/>
      <c r="P589" s="107"/>
      <c r="Q589" s="107"/>
      <c r="R589" s="107"/>
      <c r="S589" s="107"/>
      <c r="T589" s="465" cm="1" t="str">
        <f t="array" ref="T589:T589">T588</f>
        <v>true</v>
      </c>
      <c r="U589" s="107"/>
      <c r="V589" s="107"/>
      <c r="W589" s="107"/>
      <c r="X589" s="1596"/>
      <c r="Y589" s="1278"/>
      <c r="Z589" s="1546"/>
      <c r="AA589" s="1278"/>
      <c r="AB589" s="300" t="str">
        <f>D589&amp;".3"</f>
        <v>11.3</v>
      </c>
      <c r="AC589" s="1111" t="s">
        <v>2902</v>
      </c>
      <c r="AD589" s="300" t="s">
        <v>1247</v>
      </c>
      <c r="AE589" s="1113">
        <f>AE586-AE587</f>
        <v>0</v>
      </c>
      <c r="AF589" s="1113">
        <f>AF586-AF587</f>
        <v>0</v>
      </c>
      <c r="AG589" s="1113">
        <f>AG586-AG587</f>
        <v>0</v>
      </c>
      <c r="AH589" s="1113">
        <f>AG589-AF589</f>
        <v>0</v>
      </c>
      <c r="AI589" s="1113">
        <f>AI586-AI587</f>
        <v>0</v>
      </c>
      <c r="AJ589" s="1113">
        <f>AJ586-AJ587</f>
        <v>444.71134</v>
      </c>
      <c r="AK589" s="1113">
        <f>AK586-AK587</f>
        <v>889.42268</v>
      </c>
      <c r="AL589" s="1113">
        <f>AL586-AL587</f>
        <v>889.42268</v>
      </c>
      <c r="AM589" s="1113">
        <f>AM586-AM587</f>
        <v>889.42268</v>
      </c>
      <c r="AN589" s="1113">
        <f>AN586-AN587</f>
        <v>889.42268</v>
      </c>
      <c r="AO589" s="1113">
        <f>AO586-AO587</f>
        <v>0</v>
      </c>
      <c r="AP589" s="1113">
        <f>AP586-AP587</f>
        <v>0</v>
      </c>
      <c r="AQ589" s="1113">
        <f>AQ586-AQ587</f>
        <v>0</v>
      </c>
      <c r="AR589" s="1113">
        <f>AR586-AR587</f>
        <v>0</v>
      </c>
      <c r="AS589" s="1113">
        <f>AS586-AS587</f>
        <v>0</v>
      </c>
      <c r="AT589" s="1113">
        <f>AT586-AT587</f>
        <v>444.71134</v>
      </c>
      <c r="AU589" s="1113">
        <f>AU586-AU587</f>
        <v>889.42268</v>
      </c>
      <c r="AV589" s="1113">
        <f>AV586-AV587</f>
        <v>889.42268</v>
      </c>
      <c r="AW589" s="1113">
        <f>AW586-AW587</f>
        <v>889.42268</v>
      </c>
      <c r="AX589" s="1113">
        <f>AX586-AX587</f>
        <v>889.42268</v>
      </c>
      <c r="AY589" s="1113">
        <f>AY586-AY587</f>
        <v>0</v>
      </c>
      <c r="AZ589" s="1113">
        <f>AZ586-AZ587</f>
        <v>0</v>
      </c>
      <c r="BA589" s="1113">
        <f>BA586-BA587</f>
        <v>0</v>
      </c>
      <c r="BB589" s="1113">
        <f>BB586-BB587</f>
        <v>0</v>
      </c>
      <c r="BC589" s="1113">
        <f>BC586-BC587</f>
        <v>0</v>
      </c>
      <c r="BD589" s="1115"/>
      <c r="BE589" s="1115"/>
      <c r="BF589" s="1115"/>
      <c r="BG589" s="1115"/>
      <c r="BH589" s="1115"/>
      <c r="BI589" s="1115"/>
      <c r="BJ589" s="1115"/>
      <c r="BK589" s="1115"/>
      <c r="BL589" s="1115"/>
      <c r="BM589" s="1115"/>
      <c r="BN589" s="7433"/>
      <c r="BO589" s="7433"/>
      <c r="BP589" s="7433"/>
      <c r="BQ589" s="1278"/>
      <c r="BR589" s="1278"/>
      <c r="BS589" s="1062" t="s">
        <v>2588</v>
      </c>
      <c r="BT589" s="1064"/>
      <c r="BU589" s="1064"/>
      <c r="BV589" s="979"/>
      <c r="BW589" s="979"/>
    </row>
    <row s="1834" customFormat="1" customHeight="1" ht="14.25">
      <c r="A590" s="1278"/>
      <c r="B590" s="978"/>
      <c r="C590" s="107"/>
      <c r="D590" s="107" cm="1" t="str">
        <f t="array" ref="D590:D590">D589</f>
        <v>11</v>
      </c>
      <c r="E590" s="621">
        <v>15</v>
      </c>
      <c r="F590" s="50" cm="1" t="str">
        <f t="array" ref="F590:F590">OFFSET(E590,-1,1)</f>
        <v>3</v>
      </c>
      <c r="G590" s="107" t="s">
        <v>2339</v>
      </c>
      <c r="H590" s="107"/>
      <c r="I590" s="107" t="s">
        <v>2903</v>
      </c>
      <c r="J590" s="107"/>
      <c r="K590" s="158" t="s">
        <v>2903</v>
      </c>
      <c r="L590" s="980" t="s">
        <v>2589</v>
      </c>
      <c r="M590" s="107"/>
      <c r="N590" s="107"/>
      <c r="O590" s="107"/>
      <c r="P590" s="107"/>
      <c r="Q590" s="107"/>
      <c r="R590" s="107"/>
      <c r="S590" s="107"/>
      <c r="T590" s="465" cm="1" t="str">
        <f t="array" ref="T590:T590">T589</f>
        <v>true</v>
      </c>
      <c r="U590" s="107"/>
      <c r="V590" s="107"/>
      <c r="W590" s="107"/>
      <c r="X590" s="1596"/>
      <c r="Y590" s="1278"/>
      <c r="Z590" s="1546"/>
      <c r="AA590" s="1278"/>
      <c r="AB590" s="300" t="str">
        <f>D590&amp;".4"</f>
        <v>11.4</v>
      </c>
      <c r="AC590" s="1111" t="s">
        <v>2591</v>
      </c>
      <c r="AD590" s="300" t="s">
        <v>2337</v>
      </c>
      <c r="AE590" s="3946">
        <f>IF(AE589=0,0,(AE583-AE587*AE588)/AE589)</f>
        <v>0</v>
      </c>
      <c r="AF590" s="3946">
        <f>IF(AF589=0,0,(AF583-AF587*AF588)/AF589)</f>
        <v>0</v>
      </c>
      <c r="AG590" s="3946">
        <f>IF(AG589=0,0,(AG583-AG587*AG588)/AG589)</f>
        <v>0</v>
      </c>
      <c r="AH590" s="1114">
        <f>AG590-AF590</f>
        <v>0</v>
      </c>
      <c r="AI590" s="3946">
        <f>IF(AI589=0,0,(AI583-AI587*AI588)/AI589)</f>
        <v>0</v>
      </c>
      <c r="AJ590" s="3946">
        <f>IF(AJ589=0,0,(AJ583-AJ587*AJ588)/AJ589)</f>
        <v>82.8700004439396</v>
      </c>
      <c r="AK590" s="3946">
        <f>IF(AK589=0,0,(AK583-AK587*AK588)/AK589)</f>
        <v>90.1301145057005</v>
      </c>
      <c r="AL590" s="3946">
        <f>IF(AL589=0,0,(AL583-AL587*AL588)/AL589)</f>
        <v>93.9801166816547</v>
      </c>
      <c r="AM590" s="3946">
        <f>IF(AM589=0,0,(AM583-AM587*AM588)/AM589)</f>
        <v>95.0001273145362</v>
      </c>
      <c r="AN590" s="3946">
        <f>IF(AN589=0,0,(AN583-AN587*AN588)/AN589)</f>
        <v>96.4959881871834</v>
      </c>
      <c r="AO590" s="1241">
        <f>IF(AO589=0,0,(AO583-AO587*AO588)/AO589)</f>
        <v>0</v>
      </c>
      <c r="AP590" s="1241">
        <f>IF(AP589=0,0,(AP583-AP587*AP588)/AP589)</f>
        <v>0</v>
      </c>
      <c r="AQ590" s="1241">
        <f>IF(AQ589=0,0,(AQ583-AQ587*AQ588)/AQ589)</f>
        <v>0</v>
      </c>
      <c r="AR590" s="1241">
        <f>IF(AR589=0,0,(AR583-AR587*AR588)/AR589)</f>
        <v>0</v>
      </c>
      <c r="AS590" s="1241">
        <f>IF(AS589=0,0,(AS583-AS587*AS588)/AS589)</f>
        <v>0</v>
      </c>
      <c r="AT590" s="3946">
        <f>IF(AT589=0,0,(AT583-AT587*AT588)/AT589)</f>
        <v>82.8702325351654</v>
      </c>
      <c r="AU590" s="3946">
        <f>IF(AU589=0,0,(AU583-AU587*AU588)/AU589)</f>
        <v>90.1298893665147</v>
      </c>
      <c r="AV590" s="3946">
        <f>IF(AV589=0,0,(AV583-AV587*AV588)/AV589)</f>
        <v>93.9802337396029</v>
      </c>
      <c r="AW590" s="3946">
        <f>IF(AW589=0,0,(AW583-AW587*AW588)/AW589)</f>
        <v>94.9998952052032</v>
      </c>
      <c r="AX590" s="3946">
        <f>IF(AX589=0,0,(AX583-AX587*AX588)/AX589)</f>
        <v>96.4961000506092</v>
      </c>
      <c r="AY590" s="1241">
        <f>IF(AY589=0,0,(AY583-AY587*AY588)/AY589)</f>
        <v>0</v>
      </c>
      <c r="AZ590" s="1241">
        <f>IF(AZ589=0,0,(AZ583-AZ587*AZ588)/AZ589)</f>
        <v>0</v>
      </c>
      <c r="BA590" s="1241">
        <f>IF(BA589=0,0,(BA583-BA587*BA588)/BA589)</f>
        <v>0</v>
      </c>
      <c r="BB590" s="1241">
        <f>IF(BB589=0,0,(BB583-BB587*BB588)/BB589)</f>
        <v>0</v>
      </c>
      <c r="BC590" s="1241">
        <f>IF(BC589=0,0,(BC583-BC587*BC588)/BC589)</f>
        <v>0</v>
      </c>
      <c r="BD590" s="1115"/>
      <c r="BE590" s="1115"/>
      <c r="BF590" s="1115"/>
      <c r="BG590" s="1115"/>
      <c r="BH590" s="1115"/>
      <c r="BI590" s="1115"/>
      <c r="BJ590" s="1115"/>
      <c r="BK590" s="1115"/>
      <c r="BL590" s="1115"/>
      <c r="BM590" s="1115"/>
      <c r="BN590" s="7433"/>
      <c r="BO590" s="7433"/>
      <c r="BP590" s="7433"/>
      <c r="BQ590" s="1278"/>
      <c r="BR590" s="1278"/>
      <c r="BS590" s="1062" t="s">
        <v>2592</v>
      </c>
      <c r="BT590" s="1064"/>
      <c r="BU590" s="1064"/>
      <c r="BV590" s="979"/>
      <c r="BW590" s="979"/>
    </row>
    <row s="1834" customFormat="1" customHeight="1" ht="14.25">
      <c r="A591" s="1278"/>
      <c r="B591" s="978"/>
      <c r="C591" s="107"/>
      <c r="D591" s="107" cm="1" t="str">
        <f t="array" ref="D591:D591">D590</f>
        <v>11</v>
      </c>
      <c r="E591" s="621">
        <v>15</v>
      </c>
      <c r="F591" s="50" cm="1" t="str">
        <f t="array" ref="F591:F591">OFFSET(E591,-1,1)</f>
        <v>3</v>
      </c>
      <c r="G591" s="107"/>
      <c r="H591" s="107"/>
      <c r="I591" s="107" t="s">
        <v>2904</v>
      </c>
      <c r="J591" s="107"/>
      <c r="K591" s="158" t="s">
        <v>2904</v>
      </c>
      <c r="L591" s="980" t="s">
        <v>2593</v>
      </c>
      <c r="M591" s="107"/>
      <c r="N591" s="107"/>
      <c r="O591" s="107"/>
      <c r="P591" s="107"/>
      <c r="Q591" s="107"/>
      <c r="R591" s="107"/>
      <c r="S591" s="107"/>
      <c r="T591" s="465" cm="1" t="str">
        <f t="array" ref="T591:T591">T590</f>
        <v>true</v>
      </c>
      <c r="U591" s="107"/>
      <c r="V591" s="107"/>
      <c r="W591" s="107"/>
      <c r="X591" s="1596"/>
      <c r="Y591" s="1278"/>
      <c r="Z591" s="1546"/>
      <c r="AA591" s="1278"/>
      <c r="AB591" s="300" t="str">
        <f>D591&amp;".5"</f>
        <v>11.5</v>
      </c>
      <c r="AC591" s="1111" t="s">
        <v>2595</v>
      </c>
      <c r="AD591" s="300" t="s">
        <v>1170</v>
      </c>
      <c r="AE591" s="1114">
        <f>IF(AE588=0,0,AE590/AE588*100)</f>
        <v>0</v>
      </c>
      <c r="AF591" s="1114">
        <f>IF(AF588=0,0,AF590/AF588*100)</f>
        <v>0</v>
      </c>
      <c r="AG591" s="1114">
        <f>IF(AG588=0,0,AG590/AG588*100)</f>
        <v>0</v>
      </c>
      <c r="AH591" s="1115"/>
      <c r="AI591" s="1114">
        <f>IF(AI588=0,0,AI590/AI588*100)</f>
        <v>0</v>
      </c>
      <c r="AJ591" s="1114">
        <f>IF(AJ588=0,0,AJ590/AJ588*100)</f>
        <v>109.994691324581</v>
      </c>
      <c r="AK591" s="1114">
        <f>IF(AK588=0,0,AK590/AK588*100)</f>
        <v>108.760847720165</v>
      </c>
      <c r="AL591" s="1114">
        <f>IF(AL588=0,0,AL590/AL588*100)</f>
        <v>104.271737137085</v>
      </c>
      <c r="AM591" s="1114">
        <f>IF(AM588=0,0,AM590/AM588*100)</f>
        <v>101.085472775629</v>
      </c>
      <c r="AN591" s="1114">
        <f>IF(AN588=0,0,AN590/AN588*100)</f>
        <v>101.574724407561</v>
      </c>
      <c r="AO591" s="1114">
        <f>IF(AO588=0,0,AO590/AO588*100)</f>
        <v>0</v>
      </c>
      <c r="AP591" s="1114">
        <f>IF(AP588=0,0,AP590/AP588*100)</f>
        <v>0</v>
      </c>
      <c r="AQ591" s="1114">
        <f>IF(AQ588=0,0,AQ590/AQ588*100)</f>
        <v>0</v>
      </c>
      <c r="AR591" s="1114">
        <f>IF(AR588=0,0,AR590/AR588*100)</f>
        <v>0</v>
      </c>
      <c r="AS591" s="1114">
        <f>IF(AS588=0,0,AS590/AS588*100)</f>
        <v>0</v>
      </c>
      <c r="AT591" s="1114">
        <f>IF(AT588=0,0,AT590/AT588*100)</f>
        <v>109.994999383018</v>
      </c>
      <c r="AU591" s="1114">
        <f>IF(AU588=0,0,AU590/AU588*100)</f>
        <v>108.760270858741</v>
      </c>
      <c r="AV591" s="1114">
        <f>IF(AV588=0,0,AV590/AV588*100)</f>
        <v>104.271995006485</v>
      </c>
      <c r="AW591" s="1114">
        <f>IF(AW588=0,0,AW590/AW588*100)</f>
        <v>101.084974387727</v>
      </c>
      <c r="AX591" s="1114">
        <f>IF(AX588=0,0,AX590/AX588*100)</f>
        <v>101.574954206185</v>
      </c>
      <c r="AY591" s="1114">
        <f>IF(AY588=0,0,AY590/AY588*100)</f>
        <v>0</v>
      </c>
      <c r="AZ591" s="1114">
        <f>IF(AZ588=0,0,AZ590/AZ588*100)</f>
        <v>0</v>
      </c>
      <c r="BA591" s="1114">
        <f>IF(BA588=0,0,BA590/BA588*100)</f>
        <v>0</v>
      </c>
      <c r="BB591" s="1114">
        <f>IF(BB588=0,0,BB590/BB588*100)</f>
        <v>0</v>
      </c>
      <c r="BC591" s="1114">
        <f>IF(BC588=0,0,BC590/BC588*100)</f>
        <v>0</v>
      </c>
      <c r="BD591" s="1115"/>
      <c r="BE591" s="1115"/>
      <c r="BF591" s="1115"/>
      <c r="BG591" s="1115"/>
      <c r="BH591" s="1115"/>
      <c r="BI591" s="1115"/>
      <c r="BJ591" s="1115"/>
      <c r="BK591" s="1115"/>
      <c r="BL591" s="1115"/>
      <c r="BM591" s="1115"/>
      <c r="BN591" s="7433"/>
      <c r="BO591" s="7433"/>
      <c r="BP591" s="7433"/>
      <c r="BQ591" s="1278"/>
      <c r="BR591" s="1278"/>
      <c r="BS591" s="1062" t="s">
        <v>2596</v>
      </c>
      <c r="BT591" s="1064"/>
      <c r="BU591" s="1064"/>
      <c r="BV591" s="979"/>
      <c r="BW591" s="979"/>
    </row>
    <row s="1834" customFormat="1" customHeight="1" ht="14.25">
      <c r="A592" s="1278"/>
      <c r="B592" s="978"/>
      <c r="C592" s="107"/>
      <c r="D592" s="107" cm="1" t="str">
        <f t="array" ref="D592:D592">D591</f>
        <v>11</v>
      </c>
      <c r="E592" s="621">
        <v>15</v>
      </c>
      <c r="F592" s="50" cm="1" t="str">
        <f t="array" ref="F592:F592">OFFSET(E592,-1,1)</f>
        <v>3</v>
      </c>
      <c r="G592" s="107"/>
      <c r="H592" s="107"/>
      <c r="I592" s="107" t="s">
        <v>2905</v>
      </c>
      <c r="J592" s="107"/>
      <c r="K592" s="158" t="s">
        <v>2905</v>
      </c>
      <c r="L592" s="980" t="s">
        <v>2597</v>
      </c>
      <c r="M592" s="107"/>
      <c r="N592" s="107"/>
      <c r="O592" s="107"/>
      <c r="P592" s="107"/>
      <c r="Q592" s="107"/>
      <c r="R592" s="107"/>
      <c r="S592" s="107"/>
      <c r="T592" s="465" cm="1" t="str">
        <f t="array" ref="T592:T592">T591</f>
        <v>true</v>
      </c>
      <c r="U592" s="107"/>
      <c r="V592" s="107"/>
      <c r="W592" s="107"/>
      <c r="X592" s="1596"/>
      <c r="Y592" s="1278"/>
      <c r="Z592" s="1546"/>
      <c r="AA592" s="1278"/>
      <c r="AB592" s="300" t="str">
        <f>D592&amp;".6"</f>
        <v>11.6</v>
      </c>
      <c r="AC592" s="1111" t="s">
        <v>2599</v>
      </c>
      <c r="AD592" s="300" t="s">
        <v>2337</v>
      </c>
      <c r="AE592" s="3946">
        <f>IF(AE586=0,0,AE583/AE586)</f>
        <v>0</v>
      </c>
      <c r="AF592" s="3946">
        <f>IF(AF586=0,0,AF583/AF586)</f>
        <v>0</v>
      </c>
      <c r="AG592" s="3946">
        <f>IF(AG586=0,0,AG583/AG586)</f>
        <v>0</v>
      </c>
      <c r="AH592" s="1114">
        <f>AG592-AF592</f>
        <v>0</v>
      </c>
      <c r="AI592" s="3946">
        <f>IF(AI586=0,0,AI583/AI586)</f>
        <v>0</v>
      </c>
      <c r="AJ592" s="3946">
        <f>IF(AJ586=0,0,AJ583/AJ586)</f>
        <v>77.2225001109849</v>
      </c>
      <c r="AK592" s="3946">
        <f>IF(AK586=0,0,AK583/AK586)</f>
        <v>86.5000572528502</v>
      </c>
      <c r="AL592" s="3946">
        <f>IF(AL586=0,0,AL583/AL586)</f>
        <v>92.0550583408273</v>
      </c>
      <c r="AM592" s="3946">
        <f>IF(AM586=0,0,AM583/AM586)</f>
        <v>94.4900636572681</v>
      </c>
      <c r="AN592" s="3946">
        <f>IF(AN586=0,0,AN583/AN586)</f>
        <v>95.7479940935917</v>
      </c>
      <c r="AO592" s="1241">
        <f>IF(AO586=0,0,AO583/AO586)</f>
        <v>0</v>
      </c>
      <c r="AP592" s="1241">
        <f>IF(AP586=0,0,AP583/AP586)</f>
        <v>0</v>
      </c>
      <c r="AQ592" s="1241">
        <f>IF(AQ586=0,0,AQ583/AQ586)</f>
        <v>0</v>
      </c>
      <c r="AR592" s="1241">
        <f>IF(AR586=0,0,AR583/AR586)</f>
        <v>0</v>
      </c>
      <c r="AS592" s="1241">
        <f>IF(AS586=0,0,AS583/AS586)</f>
        <v>0</v>
      </c>
      <c r="AT592" s="3946">
        <f>IF(AT586=0,0,AT583/AT586)</f>
        <v>77.2225581337913</v>
      </c>
      <c r="AU592" s="3946">
        <f>IF(AU586=0,0,AU583/AU586)</f>
        <v>86.50006095084</v>
      </c>
      <c r="AV592" s="3946">
        <f>IF(AV586=0,0,AV583/AV586)</f>
        <v>92.0550615530588</v>
      </c>
      <c r="AW592" s="3946">
        <f>IF(AW586=0,0,AW583/AW586)</f>
        <v>94.490064472403</v>
      </c>
      <c r="AX592" s="3946">
        <f>IF(AX586=0,0,AX583/AX586)</f>
        <v>95.7479976279062</v>
      </c>
      <c r="AY592" s="1241">
        <f>IF(AY586=0,0,AY583/AY586)</f>
        <v>0</v>
      </c>
      <c r="AZ592" s="1241">
        <f>IF(AZ586=0,0,AZ583/AZ586)</f>
        <v>0</v>
      </c>
      <c r="BA592" s="1241">
        <f>IF(BA586=0,0,BA583/BA586)</f>
        <v>0</v>
      </c>
      <c r="BB592" s="1241">
        <f>IF(BB586=0,0,BB583/BB586)</f>
        <v>0</v>
      </c>
      <c r="BC592" s="1241">
        <f>IF(BC586=0,0,BC583/BC586)</f>
        <v>0</v>
      </c>
      <c r="BD592" s="1115"/>
      <c r="BE592" s="1115"/>
      <c r="BF592" s="1115"/>
      <c r="BG592" s="1115"/>
      <c r="BH592" s="1115"/>
      <c r="BI592" s="1115"/>
      <c r="BJ592" s="1115"/>
      <c r="BK592" s="1115"/>
      <c r="BL592" s="1115"/>
      <c r="BM592" s="1115"/>
      <c r="BN592" s="7433"/>
      <c r="BO592" s="7433"/>
      <c r="BP592" s="7433"/>
      <c r="BQ592" s="1278"/>
      <c r="BR592" s="1278"/>
      <c r="BS592" s="1062" t="s">
        <v>2600</v>
      </c>
      <c r="BT592" s="1064"/>
      <c r="BU592" s="1064"/>
      <c r="BV592" s="979"/>
      <c r="BW592" s="979"/>
    </row>
    <row s="7616" customFormat="1" customHeight="1" ht="20.25">
      <c r="A593" s="700"/>
      <c r="B593" s="435"/>
      <c r="C593" s="109"/>
      <c r="D593" s="109">
        <f>D592+1</f>
        <v>12</v>
      </c>
      <c r="E593" s="826">
        <v>21</v>
      </c>
      <c r="F593" s="50" cm="1" t="str">
        <f t="array" ref="F593:F593">OFFSET(E593,-1,1)</f>
        <v>3</v>
      </c>
      <c r="G593" s="109"/>
      <c r="H593" s="107"/>
      <c r="I593" s="107" t="s">
        <v>2604</v>
      </c>
      <c r="J593" s="109"/>
      <c r="K593" s="158" t="s">
        <v>2604</v>
      </c>
      <c r="L593" s="985" t="s">
        <v>2601</v>
      </c>
      <c r="M593" s="109"/>
      <c r="N593" s="109"/>
      <c r="O593" s="109"/>
      <c r="P593" s="109"/>
      <c r="Q593" s="109"/>
      <c r="R593" s="109"/>
      <c r="S593" s="109"/>
      <c r="T593" s="465" cm="1" t="str">
        <f t="array" ref="T593:T593">T592</f>
        <v>true</v>
      </c>
      <c r="U593" s="109"/>
      <c r="V593" s="109"/>
      <c r="W593" s="109"/>
      <c r="X593" s="1596"/>
      <c r="Y593" s="700"/>
      <c r="Z593" s="1546"/>
      <c r="AA593" s="700"/>
      <c r="AB593" s="211" cm="1" t="str">
        <f t="array" ref="AB593:AB593">D593</f>
        <v>12</v>
      </c>
      <c r="AC593" s="212" t="s">
        <v>2602</v>
      </c>
      <c r="AD593" s="211" t="s">
        <v>1514</v>
      </c>
      <c r="AE593" s="7499">
        <f>IF(AE586=0,0,AE583/AE586*AE594)</f>
        <v>0</v>
      </c>
      <c r="AF593" s="7499">
        <f>IF(AF586=0,0,AF583/AF586*AF594)</f>
        <v>0</v>
      </c>
      <c r="AG593" s="7499">
        <f>IF(AG586=0,0,AG583/AG586*AG594)</f>
        <v>0</v>
      </c>
      <c r="AH593" s="213">
        <f>AH595*AH596+AH597*AH598</f>
        <v>0</v>
      </c>
      <c r="AI593" s="7499">
        <f>IF(AI586=0,0,AI583/AI586*AI594)</f>
        <v>0</v>
      </c>
      <c r="AJ593" s="7499">
        <f>IF(AJ586=0,0,AJ583/AJ586*AJ594)</f>
        <v>111705.367354744</v>
      </c>
      <c r="AK593" s="7499">
        <f>IF(AK586=0,0,AK583/AK586*AK594)</f>
        <v>125125.716698488</v>
      </c>
      <c r="AL593" s="7499">
        <f>IF(AL586=0,0,AL583/AL586*AL594)</f>
        <v>133161.243083889</v>
      </c>
      <c r="AM593" s="7499">
        <f>IF(AM586=0,0,AM583/AM586*AM594)</f>
        <v>136683.573531529</v>
      </c>
      <c r="AN593" s="7499">
        <f>IF(AN586=0,0,AN583/AN586*AN594)</f>
        <v>138503.219117909</v>
      </c>
      <c r="AO593" s="1250">
        <f>IF(AO586=0,0,AO583/AO586*AO594)</f>
        <v>0</v>
      </c>
      <c r="AP593" s="1250">
        <f>IF(AP586=0,0,AP583/AP586*AP594)</f>
        <v>0</v>
      </c>
      <c r="AQ593" s="1250">
        <f>IF(AQ586=0,0,AQ583/AQ586*AQ594)</f>
        <v>0</v>
      </c>
      <c r="AR593" s="1250">
        <f>IF(AR586=0,0,AR583/AR586*AR594)</f>
        <v>0</v>
      </c>
      <c r="AS593" s="1250">
        <f>IF(AS586=0,0,AS583/AS586*AS594)</f>
        <v>0</v>
      </c>
      <c r="AT593" s="7499">
        <f>IF(AT586=0,0,AT583/AT586*AT594)</f>
        <v>111705.451287003</v>
      </c>
      <c r="AU593" s="7499">
        <f>IF(AU586=0,0,AU583/AU586*AU594)</f>
        <v>125125.722047774</v>
      </c>
      <c r="AV593" s="7499">
        <f>IF(AV586=0,0,AV583/AV586*AV594)</f>
        <v>133161.247730507</v>
      </c>
      <c r="AW593" s="7499">
        <f>IF(AW586=0,0,AW583/AW586*AW594)</f>
        <v>136683.574710653</v>
      </c>
      <c r="AX593" s="7499">
        <f>IF(AX586=0,0,AX583/AX586*AX594)</f>
        <v>138503.224230434</v>
      </c>
      <c r="AY593" s="1250">
        <f>IF(AY586=0,0,AY583/AY586*AY594)</f>
        <v>0</v>
      </c>
      <c r="AZ593" s="1250">
        <f>IF(AZ586=0,0,AZ583/AZ586*AZ594)</f>
        <v>0</v>
      </c>
      <c r="BA593" s="1250">
        <f>IF(BA586=0,0,BA583/BA586*BA594)</f>
        <v>0</v>
      </c>
      <c r="BB593" s="1250">
        <f>IF(BB586=0,0,BB583/BB586*BB594)</f>
        <v>0</v>
      </c>
      <c r="BC593" s="1250">
        <f>IF(BC586=0,0,BC583/BC586*BC594)</f>
        <v>0</v>
      </c>
      <c r="BD593" s="778">
        <f>IF(AI593=0,0,(AT593-AI593)/AI593*100)</f>
        <v>0</v>
      </c>
      <c r="BE593" s="778">
        <f>IF(AT593=0,0,(AU593-AT593)/AT593*100)</f>
        <v>12.0139801649344</v>
      </c>
      <c r="BF593" s="778">
        <f>IF(AU593=0,0,(AV593-AU593)/AU593*100)</f>
        <v>6.42196148899341</v>
      </c>
      <c r="BG593" s="778">
        <f>IF(AV593=0,0,(AW593-AV593)/AV593*100)</f>
        <v>2.64515918871121</v>
      </c>
      <c r="BH593" s="778">
        <f>IF(AW593=0,0,(AX593-AW593)/AW593*100)</f>
        <v>1.33128616487609</v>
      </c>
      <c r="BI593" s="778">
        <f>IF(AX593=0,0,(AY593-AX593)/AX593*100)</f>
        <v>-100</v>
      </c>
      <c r="BJ593" s="778">
        <f>IF(AY593=0,0,(AZ593-AY593)/AY593*100)</f>
        <v>0</v>
      </c>
      <c r="BK593" s="778">
        <f>IF(AZ593=0,0,(BA593-AZ593)/AZ593*100)</f>
        <v>0</v>
      </c>
      <c r="BL593" s="778">
        <f>IF(BA593=0,0,(BB593-BA593)/BA593*100)</f>
        <v>0</v>
      </c>
      <c r="BM593" s="778">
        <f>IF(BB593=0,0,(BC593-BB593)/BB593*100)</f>
        <v>0</v>
      </c>
      <c r="BN593" s="7433"/>
      <c r="BO593" s="7433"/>
      <c r="BP593" s="7433"/>
      <c r="BQ593" s="700"/>
      <c r="BR593" s="700"/>
      <c r="BS593" s="1063" t="s">
        <v>2603</v>
      </c>
      <c r="BT593" s="1070"/>
      <c r="BU593" s="1070"/>
      <c r="BV593" s="707"/>
      <c r="BW593" s="707"/>
    </row>
    <row s="7617" customFormat="1" customHeight="1" ht="20.25">
      <c r="A594" s="700"/>
      <c r="B594" s="435"/>
      <c r="C594" s="109"/>
      <c r="D594" s="109">
        <f>D593+1</f>
        <v>13</v>
      </c>
      <c r="E594" s="826">
        <v>21</v>
      </c>
      <c r="F594" s="50" cm="1" t="str">
        <f t="array" ref="F594:F594">OFFSET(E594,-1,1)</f>
        <v>3</v>
      </c>
      <c r="G594" s="107" t="s">
        <v>2359</v>
      </c>
      <c r="H594" s="107"/>
      <c r="I594" s="107" t="s">
        <v>2906</v>
      </c>
      <c r="J594" s="109"/>
      <c r="K594" s="158" t="s">
        <v>2906</v>
      </c>
      <c r="L594" s="985" t="s">
        <v>2604</v>
      </c>
      <c r="M594" s="109"/>
      <c r="N594" s="109"/>
      <c r="O594" s="109"/>
      <c r="P594" s="109"/>
      <c r="Q594" s="109"/>
      <c r="R594" s="109"/>
      <c r="S594" s="109"/>
      <c r="T594" s="465" cm="1" t="str">
        <f t="array" ref="T594:T594">T593</f>
        <v>true</v>
      </c>
      <c r="U594" s="109"/>
      <c r="V594" s="109"/>
      <c r="W594" s="109"/>
      <c r="X594" s="1596"/>
      <c r="Y594" s="700"/>
      <c r="Z594" s="1546"/>
      <c r="AA594" s="700"/>
      <c r="AB594" s="211" cm="1" t="str">
        <f t="array" ref="AB594:AB594">D594</f>
        <v>13</v>
      </c>
      <c r="AC594" s="212" t="s">
        <v>2605</v>
      </c>
      <c r="AD594" s="211" t="s">
        <v>1247</v>
      </c>
      <c r="AE594" s="785">
        <f>_xlfn.SUMIFS(Баланс!AE$26:AE$482,Баланс!$F$26:$F$482,$F594,Баланс!$G$26:$G$482,"население")</f>
        <v>0</v>
      </c>
      <c r="AF594" s="785">
        <f>_xlfn.SUMIFS(Баланс!AF$26:AF$482,Баланс!$F$26:$F$482,$F594,Баланс!$G$26:$G$482,"население")</f>
        <v>0</v>
      </c>
      <c r="AG594" s="785">
        <f>_xlfn.SUMIFS(Баланс!AG$26:AG$482,Баланс!$F$26:$F$482,$F594,Баланс!$G$26:$G$482,"население")</f>
        <v>0</v>
      </c>
      <c r="AH594" s="785">
        <f>AG594-AF594</f>
        <v>0</v>
      </c>
      <c r="AI594" s="785">
        <f>_xlfn.SUMIFS(Баланс!AH$26:AH$482,Баланс!$F$26:$F$482,$F594,Баланс!$G$26:$G$482,"население")</f>
        <v>0</v>
      </c>
      <c r="AJ594" s="785">
        <f>_xlfn.SUMIFS(Баланс!AI$26:AI$482,Баланс!$F$26:$F$482,$F594,Баланс!$G$26:$G$482,"население")</f>
        <v>1446.53912</v>
      </c>
      <c r="AK594" s="785">
        <f>_xlfn.SUMIFS(Баланс!AJ$26:AJ$482,Баланс!$F$26:$F$482,$F594,Баланс!$G$26:$G$482,"население")</f>
        <v>1446.53912</v>
      </c>
      <c r="AL594" s="785">
        <f>_xlfn.SUMIFS(Баланс!AK$26:AK$482,Баланс!$F$26:$F$482,$F594,Баланс!$G$26:$G$482,"население")</f>
        <v>1446.53912</v>
      </c>
      <c r="AM594" s="785">
        <f>_xlfn.SUMIFS(Баланс!AL$26:AL$482,Баланс!$F$26:$F$482,$F594,Баланс!$G$26:$G$482,"население")</f>
        <v>1446.53912</v>
      </c>
      <c r="AN594" s="785">
        <f>_xlfn.SUMIFS(Баланс!AM$26:AM$482,Баланс!$F$26:$F$482,$F594,Баланс!$G$26:$G$482,"население")</f>
        <v>1446.53912</v>
      </c>
      <c r="AO594" s="785">
        <f>_xlfn.SUMIFS(Баланс!AN$26:AN$482,Баланс!$F$26:$F$482,$F594,Баланс!$G$26:$G$482,"население")</f>
        <v>0</v>
      </c>
      <c r="AP594" s="785">
        <f>_xlfn.SUMIFS(Баланс!AO$26:AO$482,Баланс!$F$26:$F$482,$F594,Баланс!$G$26:$G$482,"население")</f>
        <v>0</v>
      </c>
      <c r="AQ594" s="785">
        <f>_xlfn.SUMIFS(Баланс!AP$26:AP$482,Баланс!$F$26:$F$482,$F594,Баланс!$G$26:$G$482,"население")</f>
        <v>0</v>
      </c>
      <c r="AR594" s="785">
        <f>_xlfn.SUMIFS(Баланс!AQ$26:AQ$482,Баланс!$F$26:$F$482,$F594,Баланс!$G$26:$G$482,"население")</f>
        <v>0</v>
      </c>
      <c r="AS594" s="785">
        <f>_xlfn.SUMIFS(Баланс!AR$26:AR$482,Баланс!$F$26:$F$482,$F594,Баланс!$G$26:$G$482,"население")</f>
        <v>0</v>
      </c>
      <c r="AT594" s="785">
        <f>_xlfn.SUMIFS(Баланс!AS$26:AS$482,Баланс!$F$26:$F$482,$F594,Баланс!$G$26:$G$482,"население")</f>
        <v>1446.53912</v>
      </c>
      <c r="AU594" s="785">
        <f>_xlfn.SUMIFS(Баланс!AT$26:AT$482,Баланс!$F$26:$F$482,$F594,Баланс!$G$26:$G$482,"население")</f>
        <v>1446.53912</v>
      </c>
      <c r="AV594" s="785">
        <f>_xlfn.SUMIFS(Баланс!AU$26:AU$482,Баланс!$F$26:$F$482,$F594,Баланс!$G$26:$G$482,"население")</f>
        <v>1446.53912</v>
      </c>
      <c r="AW594" s="785">
        <f>_xlfn.SUMIFS(Баланс!AV$26:AV$482,Баланс!$F$26:$F$482,$F594,Баланс!$G$26:$G$482,"население")</f>
        <v>1446.53912</v>
      </c>
      <c r="AX594" s="785">
        <f>_xlfn.SUMIFS(Баланс!AW$26:AW$482,Баланс!$F$26:$F$482,$F594,Баланс!$G$26:$G$482,"население")</f>
        <v>1446.53912</v>
      </c>
      <c r="AY594" s="785">
        <f>_xlfn.SUMIFS(Баланс!AX$26:AX$482,Баланс!$F$26:$F$482,$F594,Баланс!$G$26:$G$482,"население")</f>
        <v>0</v>
      </c>
      <c r="AZ594" s="785">
        <f>_xlfn.SUMIFS(Баланс!AY$26:AY$482,Баланс!$F$26:$F$482,$F594,Баланс!$G$26:$G$482,"население")</f>
        <v>0</v>
      </c>
      <c r="BA594" s="785">
        <f>_xlfn.SUMIFS(Баланс!AZ$26:AZ$482,Баланс!$F$26:$F$482,$F594,Баланс!$G$26:$G$482,"население")</f>
        <v>0</v>
      </c>
      <c r="BB594" s="785">
        <f>_xlfn.SUMIFS(Баланс!BA$26:BA$482,Баланс!$F$26:$F$482,$F594,Баланс!$G$26:$G$482,"население")</f>
        <v>0</v>
      </c>
      <c r="BC594" s="785">
        <f>_xlfn.SUMIFS(Баланс!BB$26:BB$482,Баланс!$F$26:$F$482,$F594,Баланс!$G$26:$G$482,"население")</f>
        <v>0</v>
      </c>
      <c r="BD594" s="216"/>
      <c r="BE594" s="216"/>
      <c r="BF594" s="216"/>
      <c r="BG594" s="216"/>
      <c r="BH594" s="216"/>
      <c r="BI594" s="216"/>
      <c r="BJ594" s="216"/>
      <c r="BK594" s="216"/>
      <c r="BL594" s="216"/>
      <c r="BM594" s="216"/>
      <c r="BN594" s="7433"/>
      <c r="BO594" s="7433"/>
      <c r="BP594" s="7433"/>
      <c r="BQ594" s="700"/>
      <c r="BR594" s="700"/>
      <c r="BS594" s="1063" t="s">
        <v>2606</v>
      </c>
      <c r="BT594" s="1070"/>
      <c r="BU594" s="1070"/>
      <c r="BV594" s="707"/>
      <c r="BW594" s="707"/>
    </row>
    <row s="1834" customFormat="1" customHeight="1" ht="23.25">
      <c r="A595" s="1278"/>
      <c r="B595" s="978"/>
      <c r="C595" s="107"/>
      <c r="D595" s="107" cm="1" t="str">
        <f t="array" ref="D595:D595">D594</f>
        <v>13</v>
      </c>
      <c r="E595" s="621">
        <v>15</v>
      </c>
      <c r="F595" s="50" cm="1" t="str">
        <f t="array" ref="F595:F595">OFFSET(E595,-1,1)</f>
        <v>3</v>
      </c>
      <c r="G595" s="107" t="s">
        <v>2393</v>
      </c>
      <c r="H595" s="107"/>
      <c r="I595" s="107" t="s">
        <v>2907</v>
      </c>
      <c r="J595" s="107"/>
      <c r="K595" s="158" t="s">
        <v>2907</v>
      </c>
      <c r="L595" s="980" t="s">
        <v>2607</v>
      </c>
      <c r="M595" s="107"/>
      <c r="N595" s="107"/>
      <c r="O595" s="107"/>
      <c r="P595" s="107"/>
      <c r="Q595" s="107"/>
      <c r="R595" s="107"/>
      <c r="S595" s="107"/>
      <c r="T595" s="465" cm="1" t="str">
        <f t="array" ref="T595:T595">T594</f>
        <v>true</v>
      </c>
      <c r="U595" s="107"/>
      <c r="V595" s="107"/>
      <c r="W595" s="107"/>
      <c r="X595" s="1596"/>
      <c r="Y595" s="1278"/>
      <c r="Z595" s="1546"/>
      <c r="AA595" s="1278"/>
      <c r="AB595" s="300" t="str">
        <f>D595&amp;".1"</f>
        <v>13.1</v>
      </c>
      <c r="AC595" s="1111" t="s">
        <v>2609</v>
      </c>
      <c r="AD595" s="300" t="s">
        <v>1247</v>
      </c>
      <c r="AE595" s="7434">
        <f>IF(AE$24="2026 год",AE594/12*9,AE594/2)</f>
        <v>0</v>
      </c>
      <c r="AF595" s="7434">
        <f>IF(AF$24="2026 год",AF594/12*9,AF594/2)</f>
        <v>0</v>
      </c>
      <c r="AG595" s="7434">
        <f>IF(AG$24="2026 год",AG594/12*9,AG594/2)</f>
        <v>0</v>
      </c>
      <c r="AH595" s="1113">
        <f>AG595-AF595</f>
        <v>0</v>
      </c>
      <c r="AI595" s="7434">
        <f>IF(AI$24="2026 год",AI594/12*9,AI594/2)</f>
        <v>0</v>
      </c>
      <c r="AJ595" s="7434">
        <f>IF(AJ$24="2026 год",AJ594/12*9,AJ594/2)</f>
        <v>1084.90434</v>
      </c>
      <c r="AK595" s="7434">
        <f>IF(AK$24="2026 год",AK594/12*9,AK594/2)</f>
        <v>723.26956</v>
      </c>
      <c r="AL595" s="7434">
        <f>IF(AL$24="2026 год",AL594/12*9,AL594/2)</f>
        <v>723.26956</v>
      </c>
      <c r="AM595" s="7434">
        <f>IF(AM$24="2026 год",AM594/12*9,AM594/2)</f>
        <v>723.26956</v>
      </c>
      <c r="AN595" s="7434">
        <f>IF(AN$24="2026 год",AN594/12*9,AN594/2)</f>
        <v>723.26956</v>
      </c>
      <c r="AO595" s="1239">
        <f>IF(AO$24="2026 год",AO594/12*9,AO594/2)</f>
        <v>0</v>
      </c>
      <c r="AP595" s="1239">
        <f>IF(AP$24="2026 год",AP594/12*9,AP594/2)</f>
        <v>0</v>
      </c>
      <c r="AQ595" s="1239">
        <f>IF(AQ$24="2026 год",AQ594/12*9,AQ594/2)</f>
        <v>0</v>
      </c>
      <c r="AR595" s="1239">
        <f>IF(AR$24="2026 год",AR594/12*9,AR594/2)</f>
        <v>0</v>
      </c>
      <c r="AS595" s="1239">
        <f>IF(AS$24="2026 год",AS594/12*9,AS594/2)</f>
        <v>0</v>
      </c>
      <c r="AT595" s="7497">
        <f>IF(AT$24="2026 год",AT594/12*9,AT594/2)</f>
        <v>1084.90434</v>
      </c>
      <c r="AU595" s="7497">
        <f>IF(AU$24="2026 год",AU594/12*9,AU594/2)</f>
        <v>723.26956</v>
      </c>
      <c r="AV595" s="7434">
        <f>IF(AV$24="2026 год",AV594/12*9,AV594/2)</f>
        <v>723.26956</v>
      </c>
      <c r="AW595" s="7434">
        <f>IF(AW$24="2026 год",AW594/12*9,AW594/2)</f>
        <v>723.26956</v>
      </c>
      <c r="AX595" s="7434">
        <f>IF(AX$24="2026 год",AX594/12*9,AX594/2)</f>
        <v>723.26956</v>
      </c>
      <c r="AY595" s="1239">
        <f>IF(AY$24="2026 год",AY594/12*9,AY594/2)</f>
        <v>0</v>
      </c>
      <c r="AZ595" s="1239">
        <f>IF(AZ$24="2026 год",AZ594/12*9,AZ594/2)</f>
        <v>0</v>
      </c>
      <c r="BA595" s="1239">
        <f>IF(BA$24="2026 год",BA594/12*9,BA594/2)</f>
        <v>0</v>
      </c>
      <c r="BB595" s="1239">
        <f>IF(BB$24="2026 год",BB594/12*9,BB594/2)</f>
        <v>0</v>
      </c>
      <c r="BC595" s="1239">
        <f>IF(BC$24="2026 год",BC594/12*9,BC594/2)</f>
        <v>0</v>
      </c>
      <c r="BD595" s="1115"/>
      <c r="BE595" s="1115"/>
      <c r="BF595" s="1115"/>
      <c r="BG595" s="1115"/>
      <c r="BH595" s="1115"/>
      <c r="BI595" s="1115"/>
      <c r="BJ595" s="1115"/>
      <c r="BK595" s="1115"/>
      <c r="BL595" s="1115"/>
      <c r="BM595" s="1115"/>
      <c r="BN595" s="7433"/>
      <c r="BO595" s="7433"/>
      <c r="BP595" s="7433"/>
      <c r="BQ595" s="1278"/>
      <c r="BR595" s="1278"/>
      <c r="BS595" s="1062" t="s">
        <v>2610</v>
      </c>
      <c r="BT595" s="1064"/>
      <c r="BU595" s="1064"/>
      <c r="BV595" s="979"/>
      <c r="BW595" s="979"/>
    </row>
    <row s="1834" customFormat="1" customHeight="1" ht="23.25">
      <c r="A596" s="1278"/>
      <c r="B596" s="978"/>
      <c r="C596" s="107"/>
      <c r="D596" s="107" cm="1" t="str">
        <f t="array" ref="D596:D596">D595</f>
        <v>13</v>
      </c>
      <c r="E596" s="621">
        <v>15</v>
      </c>
      <c r="F596" s="50" cm="1" t="str">
        <f t="array" ref="F596:F596">OFFSET(E596,-1,1)</f>
        <v>3</v>
      </c>
      <c r="G596" s="107" t="s">
        <v>2349</v>
      </c>
      <c r="H596" s="107"/>
      <c r="I596" s="107" t="s">
        <v>2908</v>
      </c>
      <c r="J596" s="107"/>
      <c r="K596" s="158" t="s">
        <v>2908</v>
      </c>
      <c r="L596" s="980" t="s">
        <v>2611</v>
      </c>
      <c r="M596" s="107"/>
      <c r="N596" s="107"/>
      <c r="O596" s="107"/>
      <c r="P596" s="107"/>
      <c r="Q596" s="107"/>
      <c r="R596" s="107"/>
      <c r="S596" s="107"/>
      <c r="T596" s="465" cm="1" t="str">
        <f t="array" ref="T596:T596">T595</f>
        <v>true</v>
      </c>
      <c r="U596" s="107"/>
      <c r="V596" s="107"/>
      <c r="W596" s="107"/>
      <c r="X596" s="1596"/>
      <c r="Y596" s="1278"/>
      <c r="Z596" s="1546"/>
      <c r="AA596" s="1278"/>
      <c r="AB596" s="300" t="str">
        <f>D596&amp;".2"</f>
        <v>13.2</v>
      </c>
      <c r="AC596" s="1111" t="s">
        <v>2613</v>
      </c>
      <c r="AD596" s="300" t="s">
        <v>2337</v>
      </c>
      <c r="AE596" s="3946">
        <f>IF(AE594=0,0,AE588*(1+Сценарии!AE$26/100))</f>
        <v>0</v>
      </c>
      <c r="AF596" s="7501">
        <f>IF(AF594=0,0,AF588*(1+Сценарии!AF$26/100))</f>
        <v>0</v>
      </c>
      <c r="AG596" s="7501">
        <f>IF(AG594=0,0,AG588*(1+Сценарии!AG$26/100))</f>
        <v>0</v>
      </c>
      <c r="AH596" s="1114">
        <f>AG596-AF596</f>
        <v>0</v>
      </c>
      <c r="AI596" s="3946">
        <f>IF(AI594=0,0,AI588*(1+Сценарии!AI$26/100))</f>
        <v>0</v>
      </c>
      <c r="AJ596" s="7501">
        <f>IF(AJ594=0,0,AJ588*(1+Сценарии!AJ$26/100))</f>
        <v>91.9148</v>
      </c>
      <c r="AK596" s="7501">
        <f>IF(AK594=0,0,AK588*(1+Сценарии!AO$26/100))</f>
        <v>101.1014</v>
      </c>
      <c r="AL596" s="7501">
        <f>IF(AL594=0,0,AL588*(1+Сценарии!AP$26/100))</f>
        <v>109.9586</v>
      </c>
      <c r="AM596" s="7501">
        <f>IF(AM594=0,0,AM588*(1+Сценарии!AQ$26/100))</f>
        <v>114.6556</v>
      </c>
      <c r="AN596" s="7501">
        <f>IF(AN594=0,0,AN588*(1+Сценарии!AR$26/100))</f>
        <v>115.9</v>
      </c>
      <c r="AO596" s="1262">
        <f>IF(AO594=0,0,AO588*(1+Сценарии!AS$26/100))</f>
        <v>0</v>
      </c>
      <c r="AP596" s="1262">
        <f>IF(AP594=0,0,AP588*(1+Сценарии!AT$26/100))</f>
        <v>0</v>
      </c>
      <c r="AQ596" s="1262">
        <f>IF(AQ594=0,0,AQ588*(1+Сценарии!AU$26/100))</f>
        <v>0</v>
      </c>
      <c r="AR596" s="1262">
        <f>IF(AR594=0,0,AR588*(1+Сценарии!AV$26/100))</f>
        <v>0</v>
      </c>
      <c r="AS596" s="1262">
        <f>IF(AS594=0,0,AS588*(1+Сценарии!AW$26/100))</f>
        <v>0</v>
      </c>
      <c r="AT596" s="3946">
        <f>IF(AT594=0,0,AT588*(1+Сценарии!AK$26/100))</f>
        <v>91.9148</v>
      </c>
      <c r="AU596" s="3946">
        <f>IF(AU594=0,0,AU588*(1+Сценарии!AX$26/100))</f>
        <v>101.101683692902</v>
      </c>
      <c r="AV596" s="7501">
        <f>IF(AV594=0,0,AV588*(1+Сценарии!AY$26/100))</f>
        <v>109.958465027148</v>
      </c>
      <c r="AW596" s="7501">
        <f>IF(AW594=0,0,AW588*(1+Сценарии!AZ$26/100))</f>
        <v>114.655885162316</v>
      </c>
      <c r="AX596" s="7501">
        <f>IF(AX594=0,0,AX588*(1+Сценарии!BA$26/100))</f>
        <v>115.899872150348</v>
      </c>
      <c r="AY596" s="1262">
        <f>IF(AY594=0,0,AY588*(1+Сценарии!BB$26/100))</f>
        <v>0</v>
      </c>
      <c r="AZ596" s="1262">
        <f>IF(AZ594=0,0,AZ588*(1+Сценарии!BC$26/100))</f>
        <v>0</v>
      </c>
      <c r="BA596" s="1262">
        <f>IF(BA594=0,0,BA588*(1+Сценарии!BD$26/100))</f>
        <v>0</v>
      </c>
      <c r="BB596" s="1262">
        <f>IF(BB594=0,0,BB588*(1+Сценарии!BE$26/100))</f>
        <v>0</v>
      </c>
      <c r="BC596" s="1262">
        <f>IF(BC594=0,0,BC588*(1+Сценарии!BF$26/100))</f>
        <v>0</v>
      </c>
      <c r="BD596" s="1115"/>
      <c r="BE596" s="1115"/>
      <c r="BF596" s="1115"/>
      <c r="BG596" s="1115"/>
      <c r="BH596" s="1115"/>
      <c r="BI596" s="1115"/>
      <c r="BJ596" s="1115"/>
      <c r="BK596" s="1115"/>
      <c r="BL596" s="1115"/>
      <c r="BM596" s="1115"/>
      <c r="BN596" s="7433"/>
      <c r="BO596" s="7433"/>
      <c r="BP596" s="7433"/>
      <c r="BQ596" s="1278"/>
      <c r="BR596" s="1278"/>
      <c r="BS596" s="1062" t="s">
        <v>2614</v>
      </c>
      <c r="BT596" s="1064"/>
      <c r="BU596" s="1064"/>
      <c r="BV596" s="979"/>
      <c r="BW596" s="979"/>
    </row>
    <row s="1834" customFormat="1" customHeight="1" ht="23.25">
      <c r="A597" s="1278"/>
      <c r="B597" s="978"/>
      <c r="C597" s="107"/>
      <c r="D597" s="107" cm="1" t="str">
        <f t="array" ref="D597:D597">D596</f>
        <v>13</v>
      </c>
      <c r="E597" s="621">
        <v>15</v>
      </c>
      <c r="F597" s="50" cm="1" t="str">
        <f t="array" ref="F597:F597">OFFSET(E597,-1,1)</f>
        <v>3</v>
      </c>
      <c r="G597" s="107" t="s">
        <v>2400</v>
      </c>
      <c r="H597" s="107"/>
      <c r="I597" s="107" t="s">
        <v>2909</v>
      </c>
      <c r="J597" s="107"/>
      <c r="K597" s="107" t="s">
        <v>2909</v>
      </c>
      <c r="L597" s="980" t="s">
        <v>2615</v>
      </c>
      <c r="M597" s="107"/>
      <c r="N597" s="107"/>
      <c r="O597" s="107"/>
      <c r="P597" s="107"/>
      <c r="Q597" s="107"/>
      <c r="R597" s="107"/>
      <c r="S597" s="107"/>
      <c r="T597" s="465" cm="1" t="str">
        <f t="array" ref="T597:T597">T596</f>
        <v>true</v>
      </c>
      <c r="U597" s="107"/>
      <c r="V597" s="107"/>
      <c r="W597" s="107"/>
      <c r="X597" s="1596"/>
      <c r="Y597" s="1278"/>
      <c r="Z597" s="1546"/>
      <c r="AA597" s="1278"/>
      <c r="AB597" s="300" t="str">
        <f>D597&amp;".3"</f>
        <v>13.3</v>
      </c>
      <c r="AC597" s="1111" t="s">
        <v>2587</v>
      </c>
      <c r="AD597" s="300" t="s">
        <v>1247</v>
      </c>
      <c r="AE597" s="1113">
        <f>AE594-AE595</f>
        <v>0</v>
      </c>
      <c r="AF597" s="1113">
        <f>AF594-AF595</f>
        <v>0</v>
      </c>
      <c r="AG597" s="1113">
        <f>AG594-AG595</f>
        <v>0</v>
      </c>
      <c r="AH597" s="1113">
        <f>AG597-AF597</f>
        <v>0</v>
      </c>
      <c r="AI597" s="1113">
        <f>AI594-AI595</f>
        <v>0</v>
      </c>
      <c r="AJ597" s="1113">
        <f>AJ594-AJ595</f>
        <v>361.63478</v>
      </c>
      <c r="AK597" s="1113">
        <f>AK594-AK595</f>
        <v>723.26956</v>
      </c>
      <c r="AL597" s="1113">
        <f>AL594-AL595</f>
        <v>723.26956</v>
      </c>
      <c r="AM597" s="1113">
        <f>AM594-AM595</f>
        <v>723.26956</v>
      </c>
      <c r="AN597" s="1113">
        <f>AN594-AN595</f>
        <v>723.26956</v>
      </c>
      <c r="AO597" s="1113">
        <f>AO594-AO595</f>
        <v>0</v>
      </c>
      <c r="AP597" s="1113">
        <f>AP594-AP595</f>
        <v>0</v>
      </c>
      <c r="AQ597" s="1113">
        <f>AQ594-AQ595</f>
        <v>0</v>
      </c>
      <c r="AR597" s="1113">
        <f>AR594-AR595</f>
        <v>0</v>
      </c>
      <c r="AS597" s="1113">
        <f>AS594-AS595</f>
        <v>0</v>
      </c>
      <c r="AT597" s="1113">
        <f>AT594-AT595</f>
        <v>361.63478</v>
      </c>
      <c r="AU597" s="1113">
        <f>AU594-AU595</f>
        <v>723.26956</v>
      </c>
      <c r="AV597" s="1113">
        <f>AV594-AV595</f>
        <v>723.26956</v>
      </c>
      <c r="AW597" s="1113">
        <f>AW594-AW595</f>
        <v>723.26956</v>
      </c>
      <c r="AX597" s="1113">
        <f>AX594-AX595</f>
        <v>723.26956</v>
      </c>
      <c r="AY597" s="1113">
        <f>AY594-AY595</f>
        <v>0</v>
      </c>
      <c r="AZ597" s="1113">
        <f>AZ594-AZ595</f>
        <v>0</v>
      </c>
      <c r="BA597" s="1113">
        <f>BA594-BA595</f>
        <v>0</v>
      </c>
      <c r="BB597" s="1113">
        <f>BB594-BB595</f>
        <v>0</v>
      </c>
      <c r="BC597" s="1113">
        <f>BC594-BC595</f>
        <v>0</v>
      </c>
      <c r="BD597" s="1115"/>
      <c r="BE597" s="1115"/>
      <c r="BF597" s="1115"/>
      <c r="BG597" s="1115"/>
      <c r="BH597" s="1115"/>
      <c r="BI597" s="1115"/>
      <c r="BJ597" s="1115"/>
      <c r="BK597" s="1115"/>
      <c r="BL597" s="1115"/>
      <c r="BM597" s="1115"/>
      <c r="BN597" s="7433"/>
      <c r="BO597" s="7433"/>
      <c r="BP597" s="7433"/>
      <c r="BQ597" s="1278"/>
      <c r="BR597" s="1278"/>
      <c r="BS597" s="1062" t="s">
        <v>2617</v>
      </c>
      <c r="BT597" s="1064"/>
      <c r="BU597" s="1064"/>
      <c r="BV597" s="979"/>
      <c r="BW597" s="979"/>
    </row>
    <row s="1834" customFormat="1" customHeight="1" ht="14.25">
      <c r="A598" s="1278"/>
      <c r="B598" s="978"/>
      <c r="C598" s="107"/>
      <c r="D598" s="107" cm="1" t="str">
        <f t="array" ref="D598:D598">D597</f>
        <v>13</v>
      </c>
      <c r="E598" s="621">
        <v>15</v>
      </c>
      <c r="F598" s="50" cm="1" t="str">
        <f t="array" ref="F598:F598">OFFSET(E598,-1,1)</f>
        <v>3</v>
      </c>
      <c r="G598" s="107" t="s">
        <v>2353</v>
      </c>
      <c r="H598" s="107"/>
      <c r="I598" s="107" t="s">
        <v>2910</v>
      </c>
      <c r="J598" s="107"/>
      <c r="K598" s="107" t="s">
        <v>2910</v>
      </c>
      <c r="L598" s="980" t="s">
        <v>2618</v>
      </c>
      <c r="M598" s="107"/>
      <c r="N598" s="107"/>
      <c r="O598" s="107"/>
      <c r="P598" s="107"/>
      <c r="Q598" s="107"/>
      <c r="R598" s="107"/>
      <c r="S598" s="107"/>
      <c r="T598" s="465" cm="1" t="str">
        <f t="array" ref="T598:T598">T597</f>
        <v>true</v>
      </c>
      <c r="U598" s="107"/>
      <c r="V598" s="107"/>
      <c r="W598" s="107"/>
      <c r="X598" s="1596"/>
      <c r="Y598" s="1278"/>
      <c r="Z598" s="1546"/>
      <c r="AA598" s="1278"/>
      <c r="AB598" s="300" t="str">
        <f>D598&amp;".4"</f>
        <v>13.4</v>
      </c>
      <c r="AC598" s="1111" t="s">
        <v>2591</v>
      </c>
      <c r="AD598" s="300" t="s">
        <v>2337</v>
      </c>
      <c r="AE598" s="3946">
        <f>IF(AE594=0,0,AE590*(1+Сценарии!AE$26/100))</f>
        <v>0</v>
      </c>
      <c r="AF598" s="7501">
        <f>IF(AF594=0,0,AF590*(1+Сценарии!AF$26/100))</f>
        <v>0</v>
      </c>
      <c r="AG598" s="7501">
        <f>IF(AG594=0,0,AG590*(1+Сценарии!AG$26/100))</f>
        <v>0</v>
      </c>
      <c r="AH598" s="1114">
        <f>AG598-AF598</f>
        <v>0</v>
      </c>
      <c r="AI598" s="3946">
        <f>IF(AI594=0,0,AI590*(1+Сценарии!AI$26/100))</f>
        <v>0</v>
      </c>
      <c r="AJ598" s="7501">
        <f>IF(AJ594=0,0,AJ590*(1+Сценарии!AJ$26/100))</f>
        <v>101.101400541606</v>
      </c>
      <c r="AK598" s="3946">
        <f>IF(AK594=0,0,AK590*(1+Сценарии!AO$26/100))</f>
        <v>109.958739696955</v>
      </c>
      <c r="AL598" s="7501">
        <f>IF(AL594=0,0,AL590*(1+Сценарии!AP$26/100))</f>
        <v>114.655742351619</v>
      </c>
      <c r="AM598" s="7501">
        <f>IF(AM594=0,0,AM590*(1+Сценарии!AQ$26/100))</f>
        <v>115.900155323734</v>
      </c>
      <c r="AN598" s="7501">
        <f>IF(AN594=0,0,AN590*(1+Сценарии!AR$26/100))</f>
        <v>117.725105588364</v>
      </c>
      <c r="AO598" s="1262">
        <f>IF(AO594=0,0,AO590*(1+Сценарии!AS$26/100))</f>
        <v>0</v>
      </c>
      <c r="AP598" s="1262">
        <f>IF(AP594=0,0,AP590*(1+Сценарии!AT$26/100))</f>
        <v>0</v>
      </c>
      <c r="AQ598" s="1262">
        <f>IF(AQ594=0,0,AQ590*(1+Сценарии!AU$26/100))</f>
        <v>0</v>
      </c>
      <c r="AR598" s="1262">
        <f>IF(AR594=0,0,AR590*(1+Сценарии!AV$26/100))</f>
        <v>0</v>
      </c>
      <c r="AS598" s="1262">
        <f>IF(AS594=0,0,AS590*(1+Сценарии!AW$26/100))</f>
        <v>0</v>
      </c>
      <c r="AT598" s="3946">
        <f>IF(AT594=0,0,AT590*(1+Сценарии!AK$26/100))</f>
        <v>101.101683692902</v>
      </c>
      <c r="AU598" s="3946">
        <f>IF(AU594=0,0,AU590*(1+Сценарии!AX$26/100))</f>
        <v>109.958465027148</v>
      </c>
      <c r="AV598" s="7501">
        <f>IF(AV594=0,0,AV590*(1+Сценарии!AY$26/100))</f>
        <v>114.655885162316</v>
      </c>
      <c r="AW598" s="7501">
        <f>IF(AW594=0,0,AW590*(1+Сценарии!AZ$26/100))</f>
        <v>115.899872150348</v>
      </c>
      <c r="AX598" s="7501">
        <f>IF(AX594=0,0,AX590*(1+Сценарии!BA$26/100))</f>
        <v>117.725242061743</v>
      </c>
      <c r="AY598" s="1262">
        <f>IF(AY594=0,0,AY590*(1+Сценарии!BB$26/100))</f>
        <v>0</v>
      </c>
      <c r="AZ598" s="1262">
        <f>IF(AZ594=0,0,AZ590*(1+Сценарии!BC$26/100))</f>
        <v>0</v>
      </c>
      <c r="BA598" s="1262">
        <f>IF(BA594=0,0,BA590*(1+Сценарии!BD$26/100))</f>
        <v>0</v>
      </c>
      <c r="BB598" s="1262">
        <f>IF(BB594=0,0,BB590*(1+Сценарии!BE$26/100))</f>
        <v>0</v>
      </c>
      <c r="BC598" s="1262">
        <f>IF(BC594=0,0,BC590*(1+Сценарии!BF$26/100))</f>
        <v>0</v>
      </c>
      <c r="BD598" s="1115"/>
      <c r="BE598" s="1115"/>
      <c r="BF598" s="1115"/>
      <c r="BG598" s="1115"/>
      <c r="BH598" s="1115"/>
      <c r="BI598" s="1115"/>
      <c r="BJ598" s="1115"/>
      <c r="BK598" s="1115"/>
      <c r="BL598" s="1115"/>
      <c r="BM598" s="1115"/>
      <c r="BN598" s="7433"/>
      <c r="BO598" s="7433"/>
      <c r="BP598" s="7433"/>
      <c r="BQ598" s="1278"/>
      <c r="BR598" s="1278"/>
      <c r="BS598" s="1062" t="s">
        <v>2621</v>
      </c>
      <c r="BT598" s="1064"/>
      <c r="BU598" s="1064"/>
      <c r="BV598" s="979"/>
      <c r="BW598" s="979"/>
    </row>
    <row s="1834" customFormat="1" customHeight="1" ht="14.25">
      <c r="A599" s="1278"/>
      <c r="B599" s="978"/>
      <c r="C599" s="107"/>
      <c r="D599" s="107">
        <f>D598+1</f>
        <v>14</v>
      </c>
      <c r="E599" s="621">
        <v>15</v>
      </c>
      <c r="F599" s="50" cm="1" t="str">
        <f t="array" ref="F599:F599">OFFSET(E599,-1,1)</f>
        <v>3</v>
      </c>
      <c r="G599" s="107"/>
      <c r="H599" s="107"/>
      <c r="I599" s="107"/>
      <c r="J599" s="107"/>
      <c r="K599" s="107"/>
      <c r="L599" s="980"/>
      <c r="M599" s="107"/>
      <c r="N599" s="107"/>
      <c r="O599" s="107"/>
      <c r="P599" s="107"/>
      <c r="Q599" s="107"/>
      <c r="R599" s="107"/>
      <c r="S599" s="107"/>
      <c r="T599" s="465" cm="1" t="str">
        <f t="array" ref="T599:T599">T598</f>
        <v>true</v>
      </c>
      <c r="U599" s="107"/>
      <c r="V599" s="107"/>
      <c r="W599" s="107"/>
      <c r="X599" s="1596"/>
      <c r="Y599" s="1278"/>
      <c r="Z599" s="1546"/>
      <c r="AA599" s="1278"/>
      <c r="AB599" s="211" cm="1" t="str">
        <f t="array" ref="AB599:AB599">D599</f>
        <v>14</v>
      </c>
      <c r="AC599" s="212" t="s">
        <v>2622</v>
      </c>
      <c r="AD599" s="211" t="s">
        <v>1514</v>
      </c>
      <c r="AE599" s="3946"/>
      <c r="AF599" s="3946"/>
      <c r="AG599" s="3946"/>
      <c r="AH599" s="1114">
        <f>AG599-AF599</f>
        <v>0</v>
      </c>
      <c r="AI599" s="3946"/>
      <c r="AJ599" s="3946"/>
      <c r="AK599" s="3946"/>
      <c r="AL599" s="3946"/>
      <c r="AM599" s="3946"/>
      <c r="AN599" s="3946"/>
      <c r="AO599" s="1241"/>
      <c r="AP599" s="1241"/>
      <c r="AQ599" s="1241"/>
      <c r="AR599" s="1241"/>
      <c r="AS599" s="1241"/>
      <c r="AT599" s="3946"/>
      <c r="AU599" s="3946"/>
      <c r="AV599" s="3946"/>
      <c r="AW599" s="3946"/>
      <c r="AX599" s="3946"/>
      <c r="AY599" s="1241"/>
      <c r="AZ599" s="1241"/>
      <c r="BA599" s="1241"/>
      <c r="BB599" s="1241"/>
      <c r="BC599" s="1241"/>
      <c r="BD599" s="1115"/>
      <c r="BE599" s="1115"/>
      <c r="BF599" s="1115"/>
      <c r="BG599" s="1115"/>
      <c r="BH599" s="1115"/>
      <c r="BI599" s="1115"/>
      <c r="BJ599" s="1115"/>
      <c r="BK599" s="1115"/>
      <c r="BL599" s="1115"/>
      <c r="BM599" s="1115"/>
      <c r="BN599" s="7433"/>
      <c r="BO599" s="7433"/>
      <c r="BP599" s="7433"/>
      <c r="BQ599" s="1278"/>
      <c r="BR599" s="1278"/>
      <c r="BS599" s="1062" t="s">
        <v>2623</v>
      </c>
      <c r="BT599" s="1064"/>
      <c r="BU599" s="1064"/>
      <c r="BV599" s="979"/>
      <c r="BW599" s="979"/>
    </row>
    <row s="1233" customFormat="1" customHeight="1" ht="20.25">
      <c r="A600" s="1233"/>
      <c r="B600" s="753"/>
      <c r="C600" s="107"/>
      <c r="D600" s="107" cm="1" t="str">
        <f t="array" ref="D600:D600">D599</f>
        <v>14</v>
      </c>
      <c r="E600" s="621">
        <v>21</v>
      </c>
      <c r="F600" s="50" cm="1" t="str">
        <f t="array" ref="F600:F600">OFFSET(E600,-1,1)</f>
        <v>3</v>
      </c>
      <c r="G600" s="107"/>
      <c r="H600" s="107"/>
      <c r="I600" s="107"/>
      <c r="J600" s="107"/>
      <c r="K600" s="107"/>
      <c r="L600" s="980"/>
      <c r="M600" s="107"/>
      <c r="N600" s="107"/>
      <c r="O600" s="107"/>
      <c r="P600" s="107"/>
      <c r="Q600" s="107"/>
      <c r="R600" s="107"/>
      <c r="S600" s="107"/>
      <c r="T600" s="465" cm="1" t="str">
        <f t="array" ref="T600:T600">T599</f>
        <v>true</v>
      </c>
      <c r="U600" s="107"/>
      <c r="V600" s="107"/>
      <c r="W600" s="107"/>
      <c r="X600" s="1596"/>
      <c r="Y600" s="1233"/>
      <c r="Z600" s="1546"/>
      <c r="AA600" s="1233"/>
      <c r="AB600" s="300" t="str">
        <f>D600&amp;".1"</f>
        <v>14.1</v>
      </c>
      <c r="AC600" s="762" t="s">
        <v>2625</v>
      </c>
      <c r="AD600" s="300" t="s">
        <v>1514</v>
      </c>
      <c r="AE600" s="3946"/>
      <c r="AF600" s="3946"/>
      <c r="AG600" s="3946"/>
      <c r="AH600" s="1114">
        <f>AG600-AF600</f>
        <v>0</v>
      </c>
      <c r="AI600" s="3946"/>
      <c r="AJ600" s="3946"/>
      <c r="AK600" s="3946"/>
      <c r="AL600" s="3946"/>
      <c r="AM600" s="3946"/>
      <c r="AN600" s="3946"/>
      <c r="AO600" s="1241"/>
      <c r="AP600" s="1241"/>
      <c r="AQ600" s="1241"/>
      <c r="AR600" s="1241"/>
      <c r="AS600" s="1241"/>
      <c r="AT600" s="3946"/>
      <c r="AU600" s="3946"/>
      <c r="AV600" s="3946"/>
      <c r="AW600" s="3946"/>
      <c r="AX600" s="3946"/>
      <c r="AY600" s="1241"/>
      <c r="AZ600" s="1241"/>
      <c r="BA600" s="1241"/>
      <c r="BB600" s="1241"/>
      <c r="BC600" s="1241"/>
      <c r="BD600" s="1115"/>
      <c r="BE600" s="1115"/>
      <c r="BF600" s="1115"/>
      <c r="BG600" s="1115"/>
      <c r="BH600" s="1115"/>
      <c r="BI600" s="1115"/>
      <c r="BJ600" s="1115"/>
      <c r="BK600" s="1115"/>
      <c r="BL600" s="1115"/>
      <c r="BM600" s="1115"/>
      <c r="BN600" s="7433"/>
      <c r="BO600" s="7433"/>
      <c r="BP600" s="7433"/>
      <c r="BQ600" s="1233"/>
      <c r="BR600" s="1233"/>
      <c r="BS600" s="1062" t="s">
        <v>2626</v>
      </c>
      <c r="BT600" s="1071"/>
      <c r="BU600" s="1071"/>
      <c r="BV600" s="1072"/>
      <c r="BW600" s="1072"/>
    </row>
    <row s="1233" customFormat="1" customHeight="1" ht="64.5">
      <c r="A601" s="1233"/>
      <c r="B601" s="753"/>
      <c r="C601" s="107"/>
      <c r="D601" s="107" cm="1" t="str">
        <f t="array" ref="D601:D601">D600</f>
        <v>14</v>
      </c>
      <c r="E601" s="621">
        <v>66.6</v>
      </c>
      <c r="F601" s="50" cm="1" t="str">
        <f t="array" ref="F601:F601">OFFSET(E601,-1,1)</f>
        <v>3</v>
      </c>
      <c r="G601" s="107"/>
      <c r="H601" s="107"/>
      <c r="I601" s="107"/>
      <c r="J601" s="107"/>
      <c r="K601" s="107"/>
      <c r="L601" s="980"/>
      <c r="M601" s="107"/>
      <c r="N601" s="107"/>
      <c r="O601" s="107"/>
      <c r="P601" s="107"/>
      <c r="Q601" s="107"/>
      <c r="R601" s="107"/>
      <c r="S601" s="107"/>
      <c r="T601" s="465" cm="1" t="str">
        <f t="array" ref="T601:T601">T600</f>
        <v>true</v>
      </c>
      <c r="U601" s="107"/>
      <c r="V601" s="107"/>
      <c r="W601" s="107"/>
      <c r="X601" s="1596"/>
      <c r="Y601" s="1233"/>
      <c r="Z601" s="1546"/>
      <c r="AA601" s="1233"/>
      <c r="AB601" s="300" t="str">
        <f>D601&amp;".2"</f>
        <v>14.2</v>
      </c>
      <c r="AC601" s="762" t="s">
        <v>2628</v>
      </c>
      <c r="AD601" s="300" t="s">
        <v>1514</v>
      </c>
      <c r="AE601" s="3946"/>
      <c r="AF601" s="3946"/>
      <c r="AG601" s="3946"/>
      <c r="AH601" s="1114">
        <f>AG601-AF601</f>
        <v>0</v>
      </c>
      <c r="AI601" s="3946"/>
      <c r="AJ601" s="3946"/>
      <c r="AK601" s="3946"/>
      <c r="AL601" s="3946"/>
      <c r="AM601" s="3946"/>
      <c r="AN601" s="3946"/>
      <c r="AO601" s="1241"/>
      <c r="AP601" s="1241"/>
      <c r="AQ601" s="1241"/>
      <c r="AR601" s="1241"/>
      <c r="AS601" s="1241"/>
      <c r="AT601" s="3946"/>
      <c r="AU601" s="3946"/>
      <c r="AV601" s="3946"/>
      <c r="AW601" s="3946"/>
      <c r="AX601" s="3946"/>
      <c r="AY601" s="1241"/>
      <c r="AZ601" s="1241"/>
      <c r="BA601" s="1241"/>
      <c r="BB601" s="1241"/>
      <c r="BC601" s="1241"/>
      <c r="BD601" s="1115"/>
      <c r="BE601" s="1115"/>
      <c r="BF601" s="1115"/>
      <c r="BG601" s="1115"/>
      <c r="BH601" s="1115"/>
      <c r="BI601" s="1115"/>
      <c r="BJ601" s="1115"/>
      <c r="BK601" s="1115"/>
      <c r="BL601" s="1115"/>
      <c r="BM601" s="1115"/>
      <c r="BN601" s="7433"/>
      <c r="BO601" s="7433"/>
      <c r="BP601" s="7433"/>
      <c r="BQ601" s="1233"/>
      <c r="BR601" s="1233"/>
      <c r="BS601" s="1062" t="s">
        <v>2629</v>
      </c>
      <c r="BT601" s="1071"/>
      <c r="BU601" s="1071"/>
      <c r="BV601" s="1072"/>
      <c r="BW601" s="1072"/>
    </row>
    <row s="1233" customFormat="1" customHeight="1" ht="44.25">
      <c r="A602" s="1233"/>
      <c r="B602" s="753"/>
      <c r="C602" s="107"/>
      <c r="D602" s="107" cm="1" t="str">
        <f t="array" ref="D602:D602">D601</f>
        <v>14</v>
      </c>
      <c r="E602" s="621">
        <v>45.6</v>
      </c>
      <c r="F602" s="50" cm="1" t="str">
        <f t="array" ref="F602:F602">OFFSET(E602,-1,1)</f>
        <v>3</v>
      </c>
      <c r="G602" s="107"/>
      <c r="H602" s="107"/>
      <c r="I602" s="107"/>
      <c r="J602" s="107"/>
      <c r="K602" s="107"/>
      <c r="L602" s="980"/>
      <c r="M602" s="107"/>
      <c r="N602" s="107"/>
      <c r="O602" s="107"/>
      <c r="P602" s="107"/>
      <c r="Q602" s="107"/>
      <c r="R602" s="107"/>
      <c r="S602" s="107"/>
      <c r="T602" s="465" cm="1" t="str">
        <f t="array" ref="T602:T602">T601</f>
        <v>true</v>
      </c>
      <c r="U602" s="107"/>
      <c r="V602" s="107"/>
      <c r="W602" s="107"/>
      <c r="X602" s="1596"/>
      <c r="Y602" s="1233"/>
      <c r="Z602" s="1546"/>
      <c r="AA602" s="1233"/>
      <c r="AB602" s="300" t="str">
        <f>D602&amp;".3"</f>
        <v>14.3</v>
      </c>
      <c r="AC602" s="762" t="s">
        <v>2911</v>
      </c>
      <c r="AD602" s="300" t="s">
        <v>1514</v>
      </c>
      <c r="AE602" s="1115"/>
      <c r="AF602" s="3946"/>
      <c r="AG602" s="3946"/>
      <c r="AH602" s="1114">
        <f>AG602-AF602</f>
        <v>0</v>
      </c>
      <c r="AI602" s="1115"/>
      <c r="AJ602" s="1115"/>
      <c r="AK602" s="1115"/>
      <c r="AL602" s="1115"/>
      <c r="AM602" s="1115"/>
      <c r="AN602" s="1115"/>
      <c r="AO602" s="1115"/>
      <c r="AP602" s="1115"/>
      <c r="AQ602" s="1115"/>
      <c r="AR602" s="1115"/>
      <c r="AS602" s="1115"/>
      <c r="AT602" s="1115"/>
      <c r="AU602" s="1115"/>
      <c r="AV602" s="1115"/>
      <c r="AW602" s="1115"/>
      <c r="AX602" s="1115"/>
      <c r="AY602" s="1115"/>
      <c r="AZ602" s="1115"/>
      <c r="BA602" s="1115"/>
      <c r="BB602" s="1115"/>
      <c r="BC602" s="1115"/>
      <c r="BD602" s="1115"/>
      <c r="BE602" s="1115"/>
      <c r="BF602" s="1115"/>
      <c r="BG602" s="1115"/>
      <c r="BH602" s="1115"/>
      <c r="BI602" s="1115"/>
      <c r="BJ602" s="1115"/>
      <c r="BK602" s="1115"/>
      <c r="BL602" s="1115"/>
      <c r="BM602" s="1115"/>
      <c r="BN602" s="7433"/>
      <c r="BO602" s="7433"/>
      <c r="BP602" s="7433"/>
      <c r="BQ602" s="1233"/>
      <c r="BR602" s="1233"/>
      <c r="BS602" s="1071" t="s">
        <v>2912</v>
      </c>
      <c r="BT602" s="1071"/>
      <c r="BU602" s="1071"/>
      <c r="BV602" s="1072"/>
      <c r="BW602" s="1072"/>
    </row>
    <row s="538" customFormat="1" customHeight="1" ht="14.25">
      <c r="A603" s="1758"/>
      <c r="B603" s="428"/>
      <c r="C603" s="426"/>
      <c r="D603" s="426"/>
      <c r="E603" s="619">
        <v>15</v>
      </c>
      <c r="F603" s="493" cm="1" t="str">
        <f t="array" ref="F603:F603">X603</f>
        <v>4</v>
      </c>
      <c r="G603" s="493" cm="1" t="str">
        <f t="array" ref="G603:G603">INDEX('Общие сведения'!$AK$179:$AK$250,MATCH($X603,'Общие сведения'!$Z$179:$Z$250,0))</f>
        <v>одноставочный</v>
      </c>
      <c r="H603" s="426"/>
      <c r="I603" s="493"/>
      <c r="J603" s="426"/>
      <c r="K603" s="426"/>
      <c r="L603" s="982"/>
      <c r="M603" s="426"/>
      <c r="N603" s="426"/>
      <c r="O603" s="426"/>
      <c r="P603" s="426"/>
      <c r="Q603" s="426"/>
      <c r="R603" s="426"/>
      <c r="S603" s="426" cm="1" t="str">
        <f t="array" ref="S603:S603">INDEX('Общие сведения'!$AE$179:$AE$250,MATCH($X603,'Общие сведения'!$Z$179:$Z$250,0))</f>
        <v>Водоотведение</v>
      </c>
      <c r="T603" s="465">
        <f>X603&gt;0</f>
        <v>1</v>
      </c>
      <c r="U603" s="426"/>
      <c r="V603" s="426" cm="1" t="str">
        <f t="array" ref="V603:V603">'Калькуляция (МЭОР)'!$AB$367</f>
        <v>Тариф 4 (Водоотведение) - тариф на водоотведение (Доп. признак не требуется)</v>
      </c>
      <c r="W603" s="426"/>
      <c r="X603" s="1596" t="s">
        <v>295</v>
      </c>
      <c r="Y603" s="1758"/>
      <c r="Z603" s="1546"/>
      <c r="AA603" s="1758"/>
      <c r="AB603" s="381" cm="1" t="str">
        <f t="array" ref="AB603:AB603">'Калькуляция (МЭОР)'!$AB$367</f>
        <v>Тариф 4 (Водоотведение) - тариф на водоотведение (Доп. признак не требуется)</v>
      </c>
      <c r="AC603" s="252"/>
      <c r="AD603" s="252"/>
      <c r="AE603" s="252"/>
      <c r="AF603" s="252"/>
      <c r="AG603" s="252"/>
      <c r="AH603" s="252"/>
      <c r="AI603" s="252"/>
      <c r="AJ603" s="252"/>
      <c r="AK603" s="252"/>
      <c r="AL603" s="252"/>
      <c r="AM603" s="252"/>
      <c r="AN603" s="252"/>
      <c r="AO603" s="252"/>
      <c r="AP603" s="252"/>
      <c r="AQ603" s="252"/>
      <c r="AR603" s="252"/>
      <c r="AS603" s="252"/>
      <c r="AT603" s="252"/>
      <c r="AU603" s="252"/>
      <c r="AV603" s="252"/>
      <c r="AW603" s="252"/>
      <c r="AX603" s="252"/>
      <c r="AY603" s="252"/>
      <c r="AZ603" s="252"/>
      <c r="BA603" s="252"/>
      <c r="BB603" s="252"/>
      <c r="BC603" s="252"/>
      <c r="BD603" s="252"/>
      <c r="BE603" s="252"/>
      <c r="BF603" s="252"/>
      <c r="BG603" s="252"/>
      <c r="BH603" s="252"/>
      <c r="BI603" s="252"/>
      <c r="BJ603" s="252"/>
      <c r="BK603" s="252"/>
      <c r="BL603" s="252"/>
      <c r="BM603" s="252"/>
      <c r="BN603" s="252"/>
      <c r="BO603" s="252"/>
      <c r="BP603" s="252"/>
      <c r="BQ603" s="1758"/>
      <c r="BR603" s="1758"/>
      <c r="BS603" s="997"/>
      <c r="BT603" s="997"/>
      <c r="BU603" s="997"/>
      <c r="BV603" s="618"/>
      <c r="BW603" s="618"/>
    </row>
    <row s="7618" customFormat="1" customHeight="1" ht="96.75">
      <c r="A604" s="161"/>
      <c r="B604" s="434"/>
      <c r="C604" s="855"/>
      <c r="D604" s="855"/>
      <c r="E604" s="856">
        <v>21</v>
      </c>
      <c r="F604" s="50" cm="1" t="str">
        <f t="array" ref="F604:F604">OFFSET(E604,-1,1)</f>
        <v>4</v>
      </c>
      <c r="G604" s="855"/>
      <c r="H604" s="112"/>
      <c r="I604" s="112" t="s">
        <v>332</v>
      </c>
      <c r="J604" s="855"/>
      <c r="K604" s="377" t="s">
        <v>332</v>
      </c>
      <c r="L604" s="983"/>
      <c r="M604" s="855"/>
      <c r="N604" s="855"/>
      <c r="O604" s="855"/>
      <c r="P604" s="855"/>
      <c r="Q604" s="855"/>
      <c r="R604" s="855"/>
      <c r="S604" s="855"/>
      <c r="T604" s="465" cm="1" t="str">
        <f t="array" ref="T604:T604">T603</f>
        <v>true</v>
      </c>
      <c r="U604" s="855"/>
      <c r="V604" s="855"/>
      <c r="W604" s="855"/>
      <c r="X604" s="1596"/>
      <c r="Y604" s="161"/>
      <c r="Z604" s="1546"/>
      <c r="AA604" s="161"/>
      <c r="AB604" s="234" t="s">
        <v>276</v>
      </c>
      <c r="AC604" s="212" t="s">
        <v>2636</v>
      </c>
      <c r="AD604" s="234" t="s">
        <v>1514</v>
      </c>
      <c r="AE604" s="778">
        <f>SUM(AE606,AE623,AE629,AE649,AE650,AE651)</f>
        <v>0</v>
      </c>
      <c r="AF604" s="778">
        <f>SUM(AF606,AF623,AF629,AF649,AF650,AF651)</f>
        <v>0</v>
      </c>
      <c r="AG604" s="778">
        <f>SUM(AG606,AG623,AG629,AG649,AG650,AG651)</f>
        <v>0</v>
      </c>
      <c r="AH604" s="778">
        <f>AG604-AF604</f>
        <v>0</v>
      </c>
      <c r="AI604" s="778">
        <f>SUM(AI606,AI623,AI629,AI649,AI650,AI651)</f>
        <v>0</v>
      </c>
      <c r="AJ604" s="778">
        <f>SUM(AJ606,AJ623,AJ629,AJ649,AJ650,AJ651)</f>
        <v>112322.901770886</v>
      </c>
      <c r="AK604" s="7432">
        <f>AJ604*AK605</f>
        <v>115647.659663304</v>
      </c>
      <c r="AL604" s="7432">
        <f>AK604*AL605</f>
        <v>119070.830389338</v>
      </c>
      <c r="AM604" s="7432">
        <f>AL604*AM605</f>
        <v>122595.326968862</v>
      </c>
      <c r="AN604" s="7432">
        <f>AM604*AN605</f>
        <v>126224.14864714</v>
      </c>
      <c r="AO604" s="1237">
        <f>AN604*AO605</f>
        <v>126224.14864714</v>
      </c>
      <c r="AP604" s="1237">
        <f>AO604*AP605</f>
        <v>126224.14864714</v>
      </c>
      <c r="AQ604" s="1237">
        <f>AP604*AQ605</f>
        <v>126224.14864714</v>
      </c>
      <c r="AR604" s="1237">
        <f>AQ604*AR605</f>
        <v>126224.14864714</v>
      </c>
      <c r="AS604" s="1237">
        <f>AR604*AS605</f>
        <v>126224.14864714</v>
      </c>
      <c r="AT604" s="778">
        <f>SUM(AT606,AT623,AT629,AT649,AT650,AT651)</f>
        <v>112322.901770886</v>
      </c>
      <c r="AU604" s="7432">
        <f>AT604*AU605</f>
        <v>115647.659663304</v>
      </c>
      <c r="AV604" s="7432">
        <f>AU604*AV605</f>
        <v>119070.830389338</v>
      </c>
      <c r="AW604" s="7432">
        <f>AV604*AW605</f>
        <v>122595.326968862</v>
      </c>
      <c r="AX604" s="7432">
        <f>AW604*AX605</f>
        <v>126224.14864714</v>
      </c>
      <c r="AY604" s="1237">
        <f>AX604*AY605</f>
        <v>126224.14864714</v>
      </c>
      <c r="AZ604" s="1237">
        <f>AY604*AZ605</f>
        <v>126224.14864714</v>
      </c>
      <c r="BA604" s="1237">
        <f>AZ604*BA605</f>
        <v>126224.14864714</v>
      </c>
      <c r="BB604" s="1237">
        <f>BA604*BB605</f>
        <v>126224.14864714</v>
      </c>
      <c r="BC604" s="1237">
        <f>BB604*BC605</f>
        <v>126224.14864714</v>
      </c>
      <c r="BD604" s="778">
        <f>IF(AI604=0,0,(AT604-AI604)/AI604*100)</f>
        <v>0</v>
      </c>
      <c r="BE604" s="778">
        <f>IF(AT604=0,0,(AU604-AT604)/AT604*100)</f>
        <v>2.9599999999998</v>
      </c>
      <c r="BF604" s="778">
        <f>IF(AU604=0,0,(AV604-AU604)/AU604*100)</f>
        <v>2.96000000000018</v>
      </c>
      <c r="BG604" s="778">
        <f>IF(AV604=0,0,(AW604-AV604)/AV604*100)</f>
        <v>2.95999999999966</v>
      </c>
      <c r="BH604" s="778">
        <f>IF(AW604=0,0,(AX604-AW604)/AW604*100)</f>
        <v>2.95999999999974</v>
      </c>
      <c r="BI604" s="778">
        <f>IF(AX604=0,0,(AY604-AX604)/AX604*100)</f>
        <v>0</v>
      </c>
      <c r="BJ604" s="778">
        <f>IF(AY604=0,0,(AZ604-AY604)/AY604*100)</f>
        <v>0</v>
      </c>
      <c r="BK604" s="778">
        <f>IF(AZ604=0,0,(BA604-AZ604)/AZ604*100)</f>
        <v>0</v>
      </c>
      <c r="BL604" s="778">
        <f>IF(BA604=0,0,(BB604-BA604)/BA604*100)</f>
        <v>0</v>
      </c>
      <c r="BM604" s="778">
        <f>IF(BB604=0,0,(BC604-BB604)/BB604*100)</f>
        <v>0</v>
      </c>
      <c r="BN604" s="7433"/>
      <c r="BO604" s="7433" t="s">
        <v>2913</v>
      </c>
      <c r="BP604" s="7433"/>
      <c r="BQ604" s="160"/>
      <c r="BR604" s="161"/>
      <c r="BS604" s="1068" t="s">
        <v>1239</v>
      </c>
      <c r="BT604" s="1068"/>
      <c r="BU604" s="1068"/>
      <c r="BV604" s="705"/>
      <c r="BW604" s="705"/>
    </row>
    <row s="1834" customFormat="1" customHeight="1" ht="75.75">
      <c r="A605" s="1278"/>
      <c r="B605" s="978"/>
      <c r="C605" s="107"/>
      <c r="D605" s="107"/>
      <c r="E605" s="621">
        <v>15</v>
      </c>
      <c r="F605" s="50" cm="1" t="str">
        <f t="array" ref="F605:F605">OFFSET(E605,-1,1)</f>
        <v>4</v>
      </c>
      <c r="G605" s="107"/>
      <c r="H605" s="857"/>
      <c r="I605" s="857" t="s">
        <v>1175</v>
      </c>
      <c r="J605" s="107"/>
      <c r="K605" s="378" t="s">
        <v>1175</v>
      </c>
      <c r="L605" s="980"/>
      <c r="M605" s="107"/>
      <c r="N605" s="107"/>
      <c r="O605" s="107"/>
      <c r="P605" s="107"/>
      <c r="Q605" s="107"/>
      <c r="R605" s="107"/>
      <c r="S605" s="107"/>
      <c r="T605" s="465" cm="1" t="str">
        <f t="array" ref="T605:T605">T604</f>
        <v>true</v>
      </c>
      <c r="U605" s="107"/>
      <c r="V605" s="107"/>
      <c r="W605" s="107"/>
      <c r="X605" s="1596"/>
      <c r="Y605" s="1278"/>
      <c r="Z605" s="1546"/>
      <c r="AA605" s="1278"/>
      <c r="AB605" s="300" t="s">
        <v>1628</v>
      </c>
      <c r="AC605" s="762" t="s">
        <v>2637</v>
      </c>
      <c r="AD605" s="300"/>
      <c r="AE605" s="7434"/>
      <c r="AF605" s="7434"/>
      <c r="AG605" s="7434"/>
      <c r="AH605" s="1113">
        <f>AG605-AF605</f>
        <v>0</v>
      </c>
      <c r="AI605" s="7434"/>
      <c r="AJ605" s="7434"/>
      <c r="AK605" s="7435">
        <f>_xlfn.SUMIFS(INDEX(Сценарии!$AE$25:$BF$163,,MATCH(AK$8,Сценарии!$AE$8:$BF$8,0)),Сценарии!$F$25:$F$163,$F605,Сценарии!$G$25:$G$163,"ИОР")</f>
        <v>1.0296</v>
      </c>
      <c r="AL605" s="7435">
        <f>_xlfn.SUMIFS(INDEX(Сценарии!$AE$25:$BF$163,,MATCH(AL$8,Сценарии!$AE$8:$BF$8,0)),Сценарии!$F$25:$F$163,$F605,Сценарии!$G$25:$G$163,"ИОР")</f>
        <v>1.0296</v>
      </c>
      <c r="AM605" s="7435">
        <f>_xlfn.SUMIFS(INDEX(Сценарии!$AE$25:$BF$163,,MATCH(AM$8,Сценарии!$AE$8:$BF$8,0)),Сценарии!$F$25:$F$163,$F605,Сценарии!$G$25:$G$163,"ИОР")</f>
        <v>1.0296</v>
      </c>
      <c r="AN605" s="7435">
        <f>_xlfn.SUMIFS(INDEX(Сценарии!$AE$25:$BF$163,,MATCH(AN$8,Сценарии!$AE$8:$BF$8,0)),Сценарии!$F$25:$F$163,$F605,Сценарии!$G$25:$G$163,"ИОР")</f>
        <v>1.0296</v>
      </c>
      <c r="AO605" s="1239">
        <f>_xlfn.SUMIFS(INDEX(Сценарии!$AE$25:$BF$163,,MATCH(AO$8,Сценарии!$AE$8:$BF$8,0)),Сценарии!$F$25:$F$163,$F605,Сценарии!$G$25:$G$163,"ИОР")</f>
        <v>1</v>
      </c>
      <c r="AP605" s="1239">
        <f>_xlfn.SUMIFS(INDEX(Сценарии!$AE$25:$BF$163,,MATCH(AP$8,Сценарии!$AE$8:$BF$8,0)),Сценарии!$F$25:$F$163,$F605,Сценарии!$G$25:$G$163,"ИОР")</f>
        <v>1</v>
      </c>
      <c r="AQ605" s="1239">
        <f>_xlfn.SUMIFS(INDEX(Сценарии!$AE$25:$BF$163,,MATCH(AQ$8,Сценарии!$AE$8:$BF$8,0)),Сценарии!$F$25:$F$163,$F605,Сценарии!$G$25:$G$163,"ИОР")</f>
        <v>1</v>
      </c>
      <c r="AR605" s="1239">
        <f>_xlfn.SUMIFS(INDEX(Сценарии!$AE$25:$BF$163,,MATCH(AR$8,Сценарии!$AE$8:$BF$8,0)),Сценарии!$F$25:$F$163,$F605,Сценарии!$G$25:$G$163,"ИОР")</f>
        <v>1</v>
      </c>
      <c r="AS605" s="1239">
        <f>_xlfn.SUMIFS(INDEX(Сценарии!$AE$25:$BF$163,,MATCH(AS$8,Сценарии!$AE$8:$BF$8,0)),Сценарии!$F$25:$F$163,$F605,Сценарии!$G$25:$G$163,"ИОР")</f>
        <v>1</v>
      </c>
      <c r="AT605" s="7434"/>
      <c r="AU605" s="7435">
        <f>_xlfn.SUMIFS(INDEX(Сценарии!$AE$25:$BF$163,,MATCH(AU$8,Сценарии!$AE$8:$BF$8,0)),Сценарии!$F$25:$F$163,$F605,Сценарии!$G$25:$G$163,"ИОР")</f>
        <v>1.0296</v>
      </c>
      <c r="AV605" s="7435">
        <f>_xlfn.SUMIFS(INDEX(Сценарии!$AE$25:$BF$163,,MATCH(AV$8,Сценарии!$AE$8:$BF$8,0)),Сценарии!$F$25:$F$163,$F605,Сценарии!$G$25:$G$163,"ИОР")</f>
        <v>1.0296</v>
      </c>
      <c r="AW605" s="7435">
        <f>_xlfn.SUMIFS(INDEX(Сценарии!$AE$25:$BF$163,,MATCH(AW$8,Сценарии!$AE$8:$BF$8,0)),Сценарии!$F$25:$F$163,$F605,Сценарии!$G$25:$G$163,"ИОР")</f>
        <v>1.0296</v>
      </c>
      <c r="AX605" s="7435">
        <f>_xlfn.SUMIFS(INDEX(Сценарии!$AE$25:$BF$163,,MATCH(AX$8,Сценарии!$AE$8:$BF$8,0)),Сценарии!$F$25:$F$163,$F605,Сценарии!$G$25:$G$163,"ИОР")</f>
        <v>1.0296</v>
      </c>
      <c r="AY605" s="1239">
        <f>_xlfn.SUMIFS(INDEX(Сценарии!$AE$25:$BF$163,,MATCH(AY$8,Сценарии!$AE$8:$BF$8,0)),Сценарии!$F$25:$F$163,$F605,Сценарии!$G$25:$G$163,"ИОР")</f>
        <v>1</v>
      </c>
      <c r="AZ605" s="1239">
        <f>_xlfn.SUMIFS(INDEX(Сценарии!$AE$25:$BF$163,,MATCH(AZ$8,Сценарии!$AE$8:$BF$8,0)),Сценарии!$F$25:$F$163,$F605,Сценарии!$G$25:$G$163,"ИОР")</f>
        <v>1</v>
      </c>
      <c r="BA605" s="1239">
        <f>_xlfn.SUMIFS(INDEX(Сценарии!$AE$25:$BF$163,,MATCH(BA$8,Сценарии!$AE$8:$BF$8,0)),Сценарии!$F$25:$F$163,$F605,Сценарии!$G$25:$G$163,"ИОР")</f>
        <v>1</v>
      </c>
      <c r="BB605" s="1239">
        <f>_xlfn.SUMIFS(INDEX(Сценарии!$AE$25:$BF$163,,MATCH(BB$8,Сценарии!$AE$8:$BF$8,0)),Сценарии!$F$25:$F$163,$F605,Сценарии!$G$25:$G$163,"ИОР")</f>
        <v>1</v>
      </c>
      <c r="BC605" s="1239">
        <f>_xlfn.SUMIFS(INDEX(Сценарии!$AE$25:$BF$163,,MATCH(BC$8,Сценарии!$AE$8:$BF$8,0)),Сценарии!$F$25:$F$163,$F605,Сценарии!$G$25:$G$163,"ИОР")</f>
        <v>1</v>
      </c>
      <c r="BD605" s="1114">
        <f>IF(AI605=0,0,(AT605-AI605)/AI605*100)</f>
        <v>0</v>
      </c>
      <c r="BE605" s="1115"/>
      <c r="BF605" s="1115"/>
      <c r="BG605" s="1115"/>
      <c r="BH605" s="1115"/>
      <c r="BI605" s="1115"/>
      <c r="BJ605" s="1115"/>
      <c r="BK605" s="1115"/>
      <c r="BL605" s="1115"/>
      <c r="BM605" s="1115"/>
      <c r="BN605" s="7433"/>
      <c r="BO605" s="7433" t="s">
        <v>2914</v>
      </c>
      <c r="BP605" s="7433"/>
      <c r="BQ605" s="1278"/>
      <c r="BR605" s="1278"/>
      <c r="BS605" s="1064" t="s">
        <v>2638</v>
      </c>
      <c r="BT605" s="1064"/>
      <c r="BU605" s="1064"/>
      <c r="BV605" s="979"/>
      <c r="BW605" s="979"/>
    </row>
    <row s="434" customFormat="1" customHeight="1" ht="65.25">
      <c r="A606" s="160"/>
      <c r="B606" s="434"/>
      <c r="C606" s="858"/>
      <c r="D606" s="858"/>
      <c r="E606" s="859">
        <v>21</v>
      </c>
      <c r="F606" s="50" cm="1" t="str">
        <f t="array" ref="F606:F606">OFFSET(E606,-1,1)</f>
        <v>4</v>
      </c>
      <c r="G606" s="858"/>
      <c r="H606" s="112"/>
      <c r="I606" s="112" t="s">
        <v>1179</v>
      </c>
      <c r="J606" s="858"/>
      <c r="K606" s="377" t="s">
        <v>1179</v>
      </c>
      <c r="L606" s="984" t="s">
        <v>332</v>
      </c>
      <c r="M606" s="858"/>
      <c r="N606" s="858"/>
      <c r="O606" s="858"/>
      <c r="P606" s="858"/>
      <c r="Q606" s="858"/>
      <c r="R606" s="858"/>
      <c r="S606" s="858"/>
      <c r="T606" s="465" cm="1" t="str">
        <f t="array" ref="T606:T606">T605</f>
        <v>true</v>
      </c>
      <c r="U606" s="858"/>
      <c r="V606" s="858"/>
      <c r="W606" s="858"/>
      <c r="X606" s="1596"/>
      <c r="Y606" s="160"/>
      <c r="Z606" s="1546"/>
      <c r="AA606" s="160"/>
      <c r="AB606" s="234" t="s">
        <v>1631</v>
      </c>
      <c r="AC606" s="361" t="s">
        <v>2434</v>
      </c>
      <c r="AD606" s="234" t="s">
        <v>1514</v>
      </c>
      <c r="AE606" s="778">
        <f>SUM(AE607,AE610,AE611,AE614,AE615)</f>
        <v>0</v>
      </c>
      <c r="AF606" s="778">
        <f>SUM(AF607,AF610,AF611,AF614,AF615)</f>
        <v>0</v>
      </c>
      <c r="AG606" s="778">
        <f>SUM(AG607,AG610,AG611,AG614,AG615)</f>
        <v>0</v>
      </c>
      <c r="AH606" s="778">
        <f>AG606-AF606</f>
        <v>0</v>
      </c>
      <c r="AI606" s="778">
        <f>SUM(AI607,AI610,AI611,AI614,AI615)</f>
        <v>0</v>
      </c>
      <c r="AJ606" s="778">
        <f>SUM(AJ607,AJ610,AJ611,AJ614,AJ615)</f>
        <v>76175.416817108</v>
      </c>
      <c r="AK606" s="216"/>
      <c r="AL606" s="216"/>
      <c r="AM606" s="216"/>
      <c r="AN606" s="216"/>
      <c r="AO606" s="216"/>
      <c r="AP606" s="216"/>
      <c r="AQ606" s="216"/>
      <c r="AR606" s="216"/>
      <c r="AS606" s="216"/>
      <c r="AT606" s="778">
        <f>SUM(AT607,AT610,AT611,AT614,AT615)</f>
        <v>76175.416817108</v>
      </c>
      <c r="AU606" s="216"/>
      <c r="AV606" s="216"/>
      <c r="AW606" s="216"/>
      <c r="AX606" s="216"/>
      <c r="AY606" s="216"/>
      <c r="AZ606" s="216"/>
      <c r="BA606" s="216"/>
      <c r="BB606" s="216"/>
      <c r="BC606" s="216"/>
      <c r="BD606" s="778">
        <f>IF(AI606=0,0,(AT606-AI606)/AI606*100)</f>
        <v>0</v>
      </c>
      <c r="BE606" s="216"/>
      <c r="BF606" s="216"/>
      <c r="BG606" s="216"/>
      <c r="BH606" s="216"/>
      <c r="BI606" s="216"/>
      <c r="BJ606" s="216"/>
      <c r="BK606" s="216"/>
      <c r="BL606" s="216"/>
      <c r="BM606" s="216"/>
      <c r="BN606" s="7436"/>
      <c r="BO606" s="7436" t="s">
        <v>2915</v>
      </c>
      <c r="BP606" s="7436"/>
      <c r="BQ606" s="160"/>
      <c r="BR606" s="160"/>
      <c r="BS606" s="1062" t="s">
        <v>1230</v>
      </c>
      <c r="BT606" s="1069"/>
      <c r="BU606" s="1069"/>
      <c r="BV606" s="706"/>
      <c r="BW606" s="706"/>
    </row>
    <row s="1834" customFormat="1" customHeight="1" ht="23.25">
      <c r="A607" s="1278"/>
      <c r="B607" s="978"/>
      <c r="C607" s="107"/>
      <c r="D607" s="107"/>
      <c r="E607" s="621">
        <v>15</v>
      </c>
      <c r="F607" s="50" cm="1" t="str">
        <f t="array" ref="F607:F607">OFFSET(E607,-1,1)</f>
        <v>4</v>
      </c>
      <c r="G607" s="107"/>
      <c r="H607" s="857"/>
      <c r="I607" s="857" t="s">
        <v>2068</v>
      </c>
      <c r="J607" s="107"/>
      <c r="K607" s="378" t="s">
        <v>2068</v>
      </c>
      <c r="L607" s="980" t="s">
        <v>1175</v>
      </c>
      <c r="M607" s="107"/>
      <c r="N607" s="107"/>
      <c r="O607" s="107"/>
      <c r="P607" s="107"/>
      <c r="Q607" s="107"/>
      <c r="R607" s="107"/>
      <c r="S607" s="107"/>
      <c r="T607" s="465" cm="1" t="str">
        <f t="array" ref="T607:T607">T606</f>
        <v>true</v>
      </c>
      <c r="U607" s="107"/>
      <c r="V607" s="107"/>
      <c r="W607" s="107"/>
      <c r="X607" s="1596"/>
      <c r="Y607" s="1278"/>
      <c r="Z607" s="1546"/>
      <c r="AA607" s="1278"/>
      <c r="AB607" s="300" t="s">
        <v>2069</v>
      </c>
      <c r="AC607" s="765" t="s">
        <v>2639</v>
      </c>
      <c r="AD607" s="766" t="s">
        <v>1514</v>
      </c>
      <c r="AE607" s="1114">
        <f>SUM(AE608,AE609)</f>
        <v>0</v>
      </c>
      <c r="AF607" s="1114">
        <f>SUM(AF608,AF609)</f>
        <v>0</v>
      </c>
      <c r="AG607" s="1114">
        <f>SUM(AG608,AG609)</f>
        <v>0</v>
      </c>
      <c r="AH607" s="1114">
        <f>AG607-AF607</f>
        <v>0</v>
      </c>
      <c r="AI607" s="1114">
        <f>SUM(AI608,AI609)</f>
        <v>0</v>
      </c>
      <c r="AJ607" s="1114">
        <f>SUM(AJ608,AJ609)</f>
        <v>524.12559</v>
      </c>
      <c r="AK607" s="1115"/>
      <c r="AL607" s="1115"/>
      <c r="AM607" s="1115"/>
      <c r="AN607" s="1115"/>
      <c r="AO607" s="1115"/>
      <c r="AP607" s="1115"/>
      <c r="AQ607" s="1115"/>
      <c r="AR607" s="1115"/>
      <c r="AS607" s="1115"/>
      <c r="AT607" s="1114">
        <f>SUM(AT608,AT609)</f>
        <v>524.12559</v>
      </c>
      <c r="AU607" s="1115"/>
      <c r="AV607" s="1115"/>
      <c r="AW607" s="1115"/>
      <c r="AX607" s="1115"/>
      <c r="AY607" s="1115"/>
      <c r="AZ607" s="1115"/>
      <c r="BA607" s="1115"/>
      <c r="BB607" s="1115"/>
      <c r="BC607" s="1115"/>
      <c r="BD607" s="1114">
        <f>IF(AI607=0,0,(AT607-AI607)/AI607*100)</f>
        <v>0</v>
      </c>
      <c r="BE607" s="1115"/>
      <c r="BF607" s="1115"/>
      <c r="BG607" s="1115"/>
      <c r="BH607" s="1115"/>
      <c r="BI607" s="1115"/>
      <c r="BJ607" s="1115"/>
      <c r="BK607" s="1115"/>
      <c r="BL607" s="1115"/>
      <c r="BM607" s="1115"/>
      <c r="BN607" s="7433"/>
      <c r="BO607" s="7433"/>
      <c r="BP607" s="7433"/>
      <c r="BQ607" s="110"/>
      <c r="BR607" s="1278"/>
      <c r="BS607" s="1063" t="s">
        <v>2436</v>
      </c>
      <c r="BT607" s="1064"/>
      <c r="BU607" s="1064"/>
      <c r="BV607" s="979"/>
      <c r="BW607" s="979"/>
    </row>
    <row s="1834" customFormat="1" customHeight="1" ht="44.25">
      <c r="A608" s="1278"/>
      <c r="B608" s="978"/>
      <c r="C608" s="107"/>
      <c r="D608" s="107"/>
      <c r="E608" s="621">
        <v>15</v>
      </c>
      <c r="F608" s="50" cm="1" t="str">
        <f t="array" ref="F608:F608">OFFSET(E608,-1,1)</f>
        <v>4</v>
      </c>
      <c r="G608" s="107"/>
      <c r="H608" s="857"/>
      <c r="I608" s="857" t="s">
        <v>2640</v>
      </c>
      <c r="J608" s="107"/>
      <c r="K608" s="378" t="s">
        <v>2640</v>
      </c>
      <c r="L608" s="980" t="s">
        <v>1739</v>
      </c>
      <c r="M608" s="107"/>
      <c r="N608" s="107"/>
      <c r="O608" s="107"/>
      <c r="P608" s="107"/>
      <c r="Q608" s="107"/>
      <c r="R608" s="107"/>
      <c r="S608" s="107"/>
      <c r="T608" s="465" cm="1" t="str">
        <f t="array" ref="T608:T608">T607</f>
        <v>true</v>
      </c>
      <c r="U608" s="107"/>
      <c r="V608" s="107"/>
      <c r="W608" s="107"/>
      <c r="X608" s="1596"/>
      <c r="Y608" s="1278"/>
      <c r="Z608" s="1546"/>
      <c r="AA608" s="1278"/>
      <c r="AB608" s="300" t="s">
        <v>2641</v>
      </c>
      <c r="AC608" s="768" t="s">
        <v>2439</v>
      </c>
      <c r="AD608" s="766" t="s">
        <v>1514</v>
      </c>
      <c r="AE608" s="1743">
        <f>_xlfn.SUMIFS('Сырье и материалы'!AE$25:AE$162,'Сырье и материалы'!$F$25:$F$162,$F608,'Сырье и материалы'!$I$25:$I$162,"Горюче-смазочные материалы")</f>
        <v>0</v>
      </c>
      <c r="AF608" s="1743">
        <f>_xlfn.SUMIFS('Сырье и материалы'!AF$25:AF$162,'Сырье и материалы'!$F$25:$F$162,$F608,'Сырье и материалы'!$I$25:$I$162,"Горюче-смазочные материалы")</f>
        <v>0</v>
      </c>
      <c r="AG608" s="1743">
        <f>_xlfn.SUMIFS('Сырье и материалы'!AG$25:AG$162,'Сырье и материалы'!$F$25:$F$162,$F608,'Сырье и материалы'!$I$25:$I$162,"Горюче-смазочные материалы")</f>
        <v>0</v>
      </c>
      <c r="AH608" s="1114">
        <f>AG608-AF608</f>
        <v>0</v>
      </c>
      <c r="AI608" s="1743">
        <f>_xlfn.SUMIFS('Сырье и материалы'!AH$25:AH$162,'Сырье и материалы'!$F$25:$F$162,$F608,'Сырье и материалы'!$I$25:$I$162,"Горюче-смазочные материалы")</f>
        <v>0</v>
      </c>
      <c r="AJ608" s="1743">
        <f>_xlfn.SUMIFS('Сырье и материалы'!AI$25:AI$162,'Сырье и материалы'!$F$25:$F$162,$F608,'Сырье и материалы'!$I$25:$I$162,"Горюче-смазочные материалы")</f>
        <v>151</v>
      </c>
      <c r="AK608" s="1115"/>
      <c r="AL608" s="1115"/>
      <c r="AM608" s="1115"/>
      <c r="AN608" s="1115"/>
      <c r="AO608" s="1115"/>
      <c r="AP608" s="1115"/>
      <c r="AQ608" s="1115"/>
      <c r="AR608" s="1115"/>
      <c r="AS608" s="1115"/>
      <c r="AT608" s="1743">
        <f>_xlfn.SUMIFS('Сырье и материалы'!AS$25:AS$162,'Сырье и материалы'!$F$25:$F$162,$F608,'Сырье и материалы'!$I$25:$I$162,"Горюче-смазочные материалы")</f>
        <v>151</v>
      </c>
      <c r="AU608" s="1115"/>
      <c r="AV608" s="1115"/>
      <c r="AW608" s="1115"/>
      <c r="AX608" s="1115"/>
      <c r="AY608" s="1115"/>
      <c r="AZ608" s="1115"/>
      <c r="BA608" s="1115"/>
      <c r="BB608" s="1115"/>
      <c r="BC608" s="1115"/>
      <c r="BD608" s="1114">
        <f>IF(AI608=0,0,(AT608-AI608)/AI608*100)</f>
        <v>0</v>
      </c>
      <c r="BE608" s="1115"/>
      <c r="BF608" s="1115"/>
      <c r="BG608" s="1115"/>
      <c r="BH608" s="1115"/>
      <c r="BI608" s="1115"/>
      <c r="BJ608" s="1115"/>
      <c r="BK608" s="1115"/>
      <c r="BL608" s="1115"/>
      <c r="BM608" s="1115"/>
      <c r="BN608" s="7433"/>
      <c r="BO608" s="7433" t="s">
        <v>2936</v>
      </c>
      <c r="BP608" s="7433"/>
      <c r="BQ608" s="1278"/>
      <c r="BR608" s="1278"/>
      <c r="BS608" s="1062" t="s">
        <v>2440</v>
      </c>
      <c r="BT608" s="1064"/>
      <c r="BU608" s="1064"/>
      <c r="BV608" s="979"/>
      <c r="BW608" s="979"/>
    </row>
    <row s="1834" customFormat="1" customHeight="1" ht="65.25">
      <c r="A609" s="1278"/>
      <c r="B609" s="978"/>
      <c r="C609" s="107"/>
      <c r="D609" s="107"/>
      <c r="E609" s="621">
        <v>15</v>
      </c>
      <c r="F609" s="50" cm="1" t="str">
        <f t="array" ref="F609:F609">OFFSET(E609,-1,1)</f>
        <v>4</v>
      </c>
      <c r="G609" s="107"/>
      <c r="H609" s="857"/>
      <c r="I609" s="857" t="s">
        <v>2642</v>
      </c>
      <c r="J609" s="107"/>
      <c r="K609" s="378" t="s">
        <v>2642</v>
      </c>
      <c r="L609" s="980" t="s">
        <v>2043</v>
      </c>
      <c r="M609" s="107"/>
      <c r="N609" s="107"/>
      <c r="O609" s="107"/>
      <c r="P609" s="107"/>
      <c r="Q609" s="107"/>
      <c r="R609" s="107"/>
      <c r="S609" s="107"/>
      <c r="T609" s="465" cm="1" t="str">
        <f t="array" ref="T609:T609">T608</f>
        <v>true</v>
      </c>
      <c r="U609" s="107"/>
      <c r="V609" s="107"/>
      <c r="W609" s="107"/>
      <c r="X609" s="1596"/>
      <c r="Y609" s="1278"/>
      <c r="Z609" s="1546"/>
      <c r="AA609" s="1278"/>
      <c r="AB609" s="300" t="s">
        <v>2643</v>
      </c>
      <c r="AC609" s="768" t="s">
        <v>2441</v>
      </c>
      <c r="AD609" s="766" t="s">
        <v>1514</v>
      </c>
      <c r="AE609" s="1743">
        <f>_xlfn.SUMIFS('Сырье и материалы'!AE$25:AE$162,'Сырье и материалы'!$F$25:$F$162,$F609,'Сырье и материалы'!$I$25:$I$162,"Материалы")</f>
        <v>0</v>
      </c>
      <c r="AF609" s="1743">
        <f>_xlfn.SUMIFS('Сырье и материалы'!AF$25:AF$162,'Сырье и материалы'!$F$25:$F$162,$F609,'Сырье и материалы'!$I$25:$I$162,"Материалы")</f>
        <v>0</v>
      </c>
      <c r="AG609" s="1743">
        <f>_xlfn.SUMIFS('Сырье и материалы'!AG$25:AG$162,'Сырье и материалы'!$F$25:$F$162,$F609,'Сырье и материалы'!$I$25:$I$162,"Материалы")</f>
        <v>0</v>
      </c>
      <c r="AH609" s="1114">
        <f>AG609-AF609</f>
        <v>0</v>
      </c>
      <c r="AI609" s="1743">
        <f>_xlfn.SUMIFS('Сырье и материалы'!AH$25:AH$162,'Сырье и материалы'!$F$25:$F$162,$F609,'Сырье и материалы'!$I$25:$I$162,"Материалы")</f>
        <v>0</v>
      </c>
      <c r="AJ609" s="1743">
        <f>_xlfn.SUMIFS('Сырье и материалы'!AI$25:AI$162,'Сырье и материалы'!$F$25:$F$162,$F609,'Сырье и материалы'!$I$25:$I$162,"Материалы")</f>
        <v>373.12559</v>
      </c>
      <c r="AK609" s="1115"/>
      <c r="AL609" s="1115"/>
      <c r="AM609" s="1115"/>
      <c r="AN609" s="1115"/>
      <c r="AO609" s="1115"/>
      <c r="AP609" s="1115"/>
      <c r="AQ609" s="1115"/>
      <c r="AR609" s="1115"/>
      <c r="AS609" s="1115"/>
      <c r="AT609" s="1743">
        <f>_xlfn.SUMIFS('Сырье и материалы'!AS$25:AS$162,'Сырье и материалы'!$F$25:$F$162,$F609,'Сырье и материалы'!$I$25:$I$162,"Материалы")</f>
        <v>373.12559</v>
      </c>
      <c r="AU609" s="1115"/>
      <c r="AV609" s="1115"/>
      <c r="AW609" s="1115"/>
      <c r="AX609" s="1115"/>
      <c r="AY609" s="1115"/>
      <c r="AZ609" s="1115"/>
      <c r="BA609" s="1115"/>
      <c r="BB609" s="1115"/>
      <c r="BC609" s="1115"/>
      <c r="BD609" s="1114">
        <f>IF(AI609=0,0,(AT609-AI609)/AI609*100)</f>
        <v>0</v>
      </c>
      <c r="BE609" s="1115"/>
      <c r="BF609" s="1115"/>
      <c r="BG609" s="1115"/>
      <c r="BH609" s="1115"/>
      <c r="BI609" s="1115"/>
      <c r="BJ609" s="1115"/>
      <c r="BK609" s="1115"/>
      <c r="BL609" s="1115"/>
      <c r="BM609" s="1115"/>
      <c r="BN609" s="7433"/>
      <c r="BO609" s="7433" t="s">
        <v>2933</v>
      </c>
      <c r="BP609" s="7433"/>
      <c r="BQ609" s="1278"/>
      <c r="BR609" s="1278"/>
      <c r="BS609" s="1062" t="s">
        <v>2442</v>
      </c>
      <c r="BT609" s="1064"/>
      <c r="BU609" s="1064"/>
      <c r="BV609" s="979"/>
      <c r="BW609" s="979"/>
    </row>
    <row s="1834" customFormat="1" customHeight="1" ht="44.25">
      <c r="A610" s="1278"/>
      <c r="B610" s="978"/>
      <c r="C610" s="107"/>
      <c r="D610" s="107"/>
      <c r="E610" s="621">
        <v>22.5</v>
      </c>
      <c r="F610" s="50" cm="1" t="str">
        <f t="array" ref="F610:F610">OFFSET(E610,-1,1)</f>
        <v>4</v>
      </c>
      <c r="G610" s="107"/>
      <c r="H610" s="857"/>
      <c r="I610" s="857" t="s">
        <v>2071</v>
      </c>
      <c r="J610" s="107"/>
      <c r="K610" s="378" t="s">
        <v>2071</v>
      </c>
      <c r="L610" s="980" t="s">
        <v>1182</v>
      </c>
      <c r="M610" s="107"/>
      <c r="N610" s="107"/>
      <c r="O610" s="107"/>
      <c r="P610" s="107"/>
      <c r="Q610" s="107"/>
      <c r="R610" s="107"/>
      <c r="S610" s="107"/>
      <c r="T610" s="465" cm="1" t="str">
        <f t="array" ref="T610:T610">T609</f>
        <v>true</v>
      </c>
      <c r="U610" s="107"/>
      <c r="V610" s="107"/>
      <c r="W610" s="107"/>
      <c r="X610" s="1596"/>
      <c r="Y610" s="1278"/>
      <c r="Z610" s="1546"/>
      <c r="AA610" s="1278"/>
      <c r="AB610" s="300" t="s">
        <v>2072</v>
      </c>
      <c r="AC610" s="765" t="s">
        <v>2644</v>
      </c>
      <c r="AD610" s="766" t="s">
        <v>1514</v>
      </c>
      <c r="AE610" s="3946"/>
      <c r="AF610" s="3946"/>
      <c r="AG610" s="3946"/>
      <c r="AH610" s="1114">
        <f>AG610-AF610</f>
        <v>0</v>
      </c>
      <c r="AI610" s="3946"/>
      <c r="AJ610" s="3946">
        <v>285.077789</v>
      </c>
      <c r="AK610" s="1115"/>
      <c r="AL610" s="1115"/>
      <c r="AM610" s="1115"/>
      <c r="AN610" s="1115"/>
      <c r="AO610" s="1115"/>
      <c r="AP610" s="1115"/>
      <c r="AQ610" s="1115"/>
      <c r="AR610" s="1115"/>
      <c r="AS610" s="1115"/>
      <c r="AT610" s="3946">
        <v>285.077789</v>
      </c>
      <c r="AU610" s="1115"/>
      <c r="AV610" s="1115"/>
      <c r="AW610" s="1115"/>
      <c r="AX610" s="1115"/>
      <c r="AY610" s="1115"/>
      <c r="AZ610" s="1115"/>
      <c r="BA610" s="1115"/>
      <c r="BB610" s="1115"/>
      <c r="BC610" s="1115"/>
      <c r="BD610" s="1114">
        <f>IF(AI610=0,0,(AT610-AI610)/AI610*100)</f>
        <v>0</v>
      </c>
      <c r="BE610" s="1115"/>
      <c r="BF610" s="1115"/>
      <c r="BG610" s="1115"/>
      <c r="BH610" s="1115"/>
      <c r="BI610" s="1115"/>
      <c r="BJ610" s="1115"/>
      <c r="BK610" s="1115"/>
      <c r="BL610" s="1115"/>
      <c r="BM610" s="1115"/>
      <c r="BN610" s="7433"/>
      <c r="BO610" s="7433" t="s">
        <v>2942</v>
      </c>
      <c r="BP610" s="7433"/>
      <c r="BQ610" s="1278"/>
      <c r="BR610" s="1278"/>
      <c r="BS610" s="1063" t="s">
        <v>2467</v>
      </c>
      <c r="BT610" s="1064"/>
      <c r="BU610" s="1064"/>
      <c r="BV610" s="979"/>
      <c r="BW610" s="979"/>
    </row>
    <row s="1834" customFormat="1" customHeight="1" ht="33.75">
      <c r="A611" s="1278"/>
      <c r="B611" s="978"/>
      <c r="C611" s="107"/>
      <c r="D611" s="107"/>
      <c r="E611" s="621">
        <v>22.5</v>
      </c>
      <c r="F611" s="50" cm="1" t="str">
        <f t="array" ref="F611:F611">OFFSET(E611,-1,1)</f>
        <v>4</v>
      </c>
      <c r="G611" s="107"/>
      <c r="H611" s="857"/>
      <c r="I611" s="857" t="s">
        <v>2075</v>
      </c>
      <c r="J611" s="107"/>
      <c r="K611" s="378" t="s">
        <v>2075</v>
      </c>
      <c r="L611" s="980" t="s">
        <v>1186</v>
      </c>
      <c r="M611" s="107"/>
      <c r="N611" s="107"/>
      <c r="O611" s="107"/>
      <c r="P611" s="107"/>
      <c r="Q611" s="107"/>
      <c r="R611" s="107"/>
      <c r="S611" s="107"/>
      <c r="T611" s="465" cm="1" t="str">
        <f t="array" ref="T611:T611">T610</f>
        <v>true</v>
      </c>
      <c r="U611" s="107"/>
      <c r="V611" s="107"/>
      <c r="W611" s="107"/>
      <c r="X611" s="1596"/>
      <c r="Y611" s="1278"/>
      <c r="Z611" s="1546"/>
      <c r="AA611" s="1278"/>
      <c r="AB611" s="300" t="s">
        <v>2076</v>
      </c>
      <c r="AC611" s="765" t="s">
        <v>2645</v>
      </c>
      <c r="AD611" s="766" t="s">
        <v>1514</v>
      </c>
      <c r="AE611" s="1116">
        <f>AE612+AE613</f>
        <v>0</v>
      </c>
      <c r="AF611" s="1116">
        <f>AF612+AF613</f>
        <v>0</v>
      </c>
      <c r="AG611" s="1116">
        <f>AG612+AG613</f>
        <v>0</v>
      </c>
      <c r="AH611" s="1114">
        <f>AG611-AF611</f>
        <v>0</v>
      </c>
      <c r="AI611" s="1116">
        <f>AI612+AI613</f>
        <v>0</v>
      </c>
      <c r="AJ611" s="1116">
        <f>AJ612+AJ613</f>
        <v>69715.3605871</v>
      </c>
      <c r="AK611" s="1115"/>
      <c r="AL611" s="1115"/>
      <c r="AM611" s="1115"/>
      <c r="AN611" s="1115"/>
      <c r="AO611" s="1115"/>
      <c r="AP611" s="1115"/>
      <c r="AQ611" s="1115"/>
      <c r="AR611" s="1115"/>
      <c r="AS611" s="1115"/>
      <c r="AT611" s="1116">
        <f>AT612+AT613</f>
        <v>69715.3605871</v>
      </c>
      <c r="AU611" s="1115"/>
      <c r="AV611" s="1115"/>
      <c r="AW611" s="1115"/>
      <c r="AX611" s="1115"/>
      <c r="AY611" s="1115"/>
      <c r="AZ611" s="1115"/>
      <c r="BA611" s="1115"/>
      <c r="BB611" s="1115"/>
      <c r="BC611" s="1115"/>
      <c r="BD611" s="1114">
        <f>IF(AI611=0,0,(AT611-AI611)/AI611*100)</f>
        <v>0</v>
      </c>
      <c r="BE611" s="1115"/>
      <c r="BF611" s="1115"/>
      <c r="BG611" s="1115"/>
      <c r="BH611" s="1115"/>
      <c r="BI611" s="1115"/>
      <c r="BJ611" s="1115"/>
      <c r="BK611" s="1115"/>
      <c r="BL611" s="1115"/>
      <c r="BM611" s="1115"/>
      <c r="BN611" s="7433"/>
      <c r="BO611" s="7433" t="s">
        <v>2919</v>
      </c>
      <c r="BP611" s="7433"/>
      <c r="BQ611" s="1278"/>
      <c r="BR611" s="1278"/>
      <c r="BS611" s="1063" t="s">
        <v>2646</v>
      </c>
      <c r="BT611" s="1064"/>
      <c r="BU611" s="1064"/>
      <c r="BV611" s="979"/>
      <c r="BW611" s="979"/>
    </row>
    <row s="1834" customFormat="1" customHeight="1" ht="23.25">
      <c r="A612" s="1278"/>
      <c r="B612" s="978"/>
      <c r="C612" s="107"/>
      <c r="D612" s="107"/>
      <c r="E612" s="621">
        <v>15</v>
      </c>
      <c r="F612" s="50" cm="1" t="str">
        <f t="array" ref="F612:F612">OFFSET(E612,-1,1)</f>
        <v>4</v>
      </c>
      <c r="G612" s="374" t="s">
        <v>1866</v>
      </c>
      <c r="H612" s="857"/>
      <c r="I612" s="857" t="s">
        <v>2220</v>
      </c>
      <c r="J612" s="107"/>
      <c r="K612" s="378" t="s">
        <v>2220</v>
      </c>
      <c r="L612" s="980" t="s">
        <v>2095</v>
      </c>
      <c r="M612" s="107"/>
      <c r="N612" s="107"/>
      <c r="O612" s="107"/>
      <c r="P612" s="107"/>
      <c r="Q612" s="107"/>
      <c r="R612" s="107"/>
      <c r="S612" s="107"/>
      <c r="T612" s="465" cm="1" t="str">
        <f t="array" ref="T612:T612">T611</f>
        <v>true</v>
      </c>
      <c r="U612" s="107"/>
      <c r="V612" s="107"/>
      <c r="W612" s="107"/>
      <c r="X612" s="1596"/>
      <c r="Y612" s="1278"/>
      <c r="Z612" s="1546"/>
      <c r="AA612" s="1278"/>
      <c r="AB612" s="300" t="s">
        <v>2647</v>
      </c>
      <c r="AC612" s="768" t="s">
        <v>2470</v>
      </c>
      <c r="AD612" s="766" t="s">
        <v>1514</v>
      </c>
      <c r="AE612" s="1114">
        <f>_xlfn.SUMIFS(ФОТ!AE$25:AE$188,ФОТ!$F$25:$F$188,$F612,ФОТ!$G$25:$G$188,$G612)</f>
        <v>0</v>
      </c>
      <c r="AF612" s="1114">
        <f>_xlfn.SUMIFS(ФОТ!AF$25:AF$188,ФОТ!$F$25:$F$188,$F612,ФОТ!$G$25:$G$188,$G612)</f>
        <v>0</v>
      </c>
      <c r="AG612" s="1114">
        <f>_xlfn.SUMIFS(ФОТ!AG$25:AG$188,ФОТ!$F$25:$F$188,$F612,ФОТ!$G$25:$G$188,$G612)</f>
        <v>0</v>
      </c>
      <c r="AH612" s="1114">
        <f>AG612-AF612</f>
        <v>0</v>
      </c>
      <c r="AI612" s="1114">
        <f>_xlfn.SUMIFS(ФОТ!AH$25:AH$188,ФОТ!$F$25:$F$188,$F612,ФОТ!$G$25:$G$188,$G612)</f>
        <v>0</v>
      </c>
      <c r="AJ612" s="1114">
        <f>_xlfn.SUMIFS(ФОТ!AI$25:AI$188,ФОТ!$F$25:$F$188,$F612,ФОТ!$G$25:$G$188,$G612)</f>
        <v>53544.823799616</v>
      </c>
      <c r="AK612" s="1115"/>
      <c r="AL612" s="1115"/>
      <c r="AM612" s="1115"/>
      <c r="AN612" s="1115"/>
      <c r="AO612" s="1115"/>
      <c r="AP612" s="1115"/>
      <c r="AQ612" s="1115"/>
      <c r="AR612" s="1115"/>
      <c r="AS612" s="1115"/>
      <c r="AT612" s="1114">
        <f>_xlfn.SUMIFS(ФОТ!AJ$25:AJ$188,ФОТ!$F$25:$F$188,$F612,ФОТ!$G$25:$G$188,$G612)</f>
        <v>53544.823799616</v>
      </c>
      <c r="AU612" s="1115"/>
      <c r="AV612" s="1115"/>
      <c r="AW612" s="1115"/>
      <c r="AX612" s="1115"/>
      <c r="AY612" s="1115"/>
      <c r="AZ612" s="1115"/>
      <c r="BA612" s="1115"/>
      <c r="BB612" s="1115"/>
      <c r="BC612" s="1115"/>
      <c r="BD612" s="1114">
        <f>IF(AI612=0,0,(AT612-AI612)/AI612*100)</f>
        <v>0</v>
      </c>
      <c r="BE612" s="1115"/>
      <c r="BF612" s="1115"/>
      <c r="BG612" s="1115"/>
      <c r="BH612" s="1115"/>
      <c r="BI612" s="1115"/>
      <c r="BJ612" s="1115"/>
      <c r="BK612" s="1115"/>
      <c r="BL612" s="1115"/>
      <c r="BM612" s="1115"/>
      <c r="BN612" s="7433"/>
      <c r="BO612" s="7437" t="s">
        <v>2920</v>
      </c>
      <c r="BP612" s="7433"/>
      <c r="BQ612" s="1278"/>
      <c r="BR612" s="1278"/>
      <c r="BS612" s="1062" t="s">
        <v>2471</v>
      </c>
      <c r="BT612" s="1064"/>
      <c r="BU612" s="1064"/>
      <c r="BV612" s="979"/>
      <c r="BW612" s="979"/>
    </row>
    <row s="1834" customFormat="1" customHeight="1" ht="33.75">
      <c r="A613" s="1278"/>
      <c r="B613" s="978"/>
      <c r="C613" s="107"/>
      <c r="D613" s="107"/>
      <c r="E613" s="621">
        <v>22.5</v>
      </c>
      <c r="F613" s="50" cm="1" t="str">
        <f t="array" ref="F613:F613">OFFSET(E613,-1,1)</f>
        <v>4</v>
      </c>
      <c r="G613" s="374" t="s">
        <v>1878</v>
      </c>
      <c r="H613" s="857"/>
      <c r="I613" s="857" t="s">
        <v>2224</v>
      </c>
      <c r="J613" s="107"/>
      <c r="K613" s="378" t="s">
        <v>2224</v>
      </c>
      <c r="L613" s="980" t="s">
        <v>2096</v>
      </c>
      <c r="M613" s="107"/>
      <c r="N613" s="107"/>
      <c r="O613" s="107"/>
      <c r="P613" s="107"/>
      <c r="Q613" s="107"/>
      <c r="R613" s="107"/>
      <c r="S613" s="107"/>
      <c r="T613" s="465" cm="1" t="str">
        <f t="array" ref="T613:T613">T612</f>
        <v>true</v>
      </c>
      <c r="U613" s="107"/>
      <c r="V613" s="107"/>
      <c r="W613" s="107"/>
      <c r="X613" s="1596"/>
      <c r="Y613" s="1278"/>
      <c r="Z613" s="1546"/>
      <c r="AA613" s="1278"/>
      <c r="AB613" s="300" t="s">
        <v>2648</v>
      </c>
      <c r="AC613" s="768" t="s">
        <v>2649</v>
      </c>
      <c r="AD613" s="766" t="s">
        <v>1514</v>
      </c>
      <c r="AE613" s="1114">
        <f>_xlfn.SUMIFS(ФОТ!AE$25:AE$188,ФОТ!$F$25:$F$188,$F613,ФОТ!$G$25:$G$188,$G613)</f>
        <v>0</v>
      </c>
      <c r="AF613" s="1114">
        <f>_xlfn.SUMIFS(ФОТ!AF$25:AF$188,ФОТ!$F$25:$F$188,$F613,ФОТ!$G$25:$G$188,$G613)</f>
        <v>0</v>
      </c>
      <c r="AG613" s="1114">
        <f>_xlfn.SUMIFS(ФОТ!AG$25:AG$188,ФОТ!$F$25:$F$188,$F613,ФОТ!$G$25:$G$188,$G613)</f>
        <v>0</v>
      </c>
      <c r="AH613" s="1114">
        <f>AG613-AF613</f>
        <v>0</v>
      </c>
      <c r="AI613" s="1114">
        <f>_xlfn.SUMIFS(ФОТ!AH$25:AH$188,ФОТ!$F$25:$F$188,$F613,ФОТ!$G$25:$G$188,$G613)</f>
        <v>0</v>
      </c>
      <c r="AJ613" s="1114">
        <f>_xlfn.SUMIFS(ФОТ!AI$25:AI$188,ФОТ!$F$25:$F$188,$F613,ФОТ!$G$25:$G$188,$G613)</f>
        <v>16170.536787484</v>
      </c>
      <c r="AK613" s="1115"/>
      <c r="AL613" s="1115"/>
      <c r="AM613" s="1115"/>
      <c r="AN613" s="1115"/>
      <c r="AO613" s="1115"/>
      <c r="AP613" s="1115"/>
      <c r="AQ613" s="1115"/>
      <c r="AR613" s="1115"/>
      <c r="AS613" s="1115"/>
      <c r="AT613" s="1114">
        <f>_xlfn.SUMIFS(ФОТ!AJ$25:AJ$188,ФОТ!$F$25:$F$188,$F613,ФОТ!$G$25:$G$188,$G613)</f>
        <v>16170.536787484</v>
      </c>
      <c r="AU613" s="1115"/>
      <c r="AV613" s="1115"/>
      <c r="AW613" s="1115"/>
      <c r="AX613" s="1115"/>
      <c r="AY613" s="1115"/>
      <c r="AZ613" s="1115"/>
      <c r="BA613" s="1115"/>
      <c r="BB613" s="1115"/>
      <c r="BC613" s="1115"/>
      <c r="BD613" s="1114">
        <f>IF(AI613=0,0,(AT613-AI613)/AI613*100)</f>
        <v>0</v>
      </c>
      <c r="BE613" s="1115"/>
      <c r="BF613" s="1115"/>
      <c r="BG613" s="1115"/>
      <c r="BH613" s="1115"/>
      <c r="BI613" s="1115"/>
      <c r="BJ613" s="1115"/>
      <c r="BK613" s="1115"/>
      <c r="BL613" s="1115"/>
      <c r="BM613" s="1115"/>
      <c r="BN613" s="7433"/>
      <c r="BO613" s="7437" t="str">
        <f>IF(_xlfn.IFERROR(INDEX(ФОТ!$K$26:$L$188,MATCH($F613&amp;"2komm",ФОТ!$K$26:$K$188,0),2),"")=0,"",_xlfn.IFERROR(INDEX(ФОТ!$K$26:$L$188,MATCH($F613&amp;"2komm",ФОТ!$K$26:$K$188,0),2),""))</f>
        <v>на основании Налогового кодекса РФ (часть вторая) от 05.08.2000 № 117-ФЗ в размере 30%, а также в соответствии с Федеральным законом от 24.07.1998 № 125 – ФЗ (0,20%).</v>
      </c>
      <c r="BP613" s="7433"/>
      <c r="BQ613" s="1278"/>
      <c r="BR613" s="1278"/>
      <c r="BS613" s="1062" t="s">
        <v>2473</v>
      </c>
      <c r="BT613" s="1064"/>
      <c r="BU613" s="1064"/>
      <c r="BV613" s="979"/>
      <c r="BW613" s="979"/>
    </row>
    <row s="1834" customFormat="1" customHeight="1" ht="75.75">
      <c r="A614" s="1278"/>
      <c r="B614" s="978"/>
      <c r="C614" s="107"/>
      <c r="D614" s="107"/>
      <c r="E614" s="621">
        <v>15</v>
      </c>
      <c r="F614" s="50" cm="1" t="str">
        <f t="array" ref="F614:F614">OFFSET(E614,-1,1)</f>
        <v>4</v>
      </c>
      <c r="G614" s="107"/>
      <c r="H614" s="857"/>
      <c r="I614" s="857" t="s">
        <v>2235</v>
      </c>
      <c r="J614" s="107"/>
      <c r="K614" s="378" t="s">
        <v>2235</v>
      </c>
      <c r="L614" s="980" t="s">
        <v>2475</v>
      </c>
      <c r="M614" s="107"/>
      <c r="N614" s="107"/>
      <c r="O614" s="107"/>
      <c r="P614" s="107"/>
      <c r="Q614" s="107"/>
      <c r="R614" s="107"/>
      <c r="S614" s="107"/>
      <c r="T614" s="465" cm="1" t="str">
        <f t="array" ref="T614:T614">T613</f>
        <v>true</v>
      </c>
      <c r="U614" s="107"/>
      <c r="V614" s="107"/>
      <c r="W614" s="107"/>
      <c r="X614" s="1596"/>
      <c r="Y614" s="1278"/>
      <c r="Z614" s="1546"/>
      <c r="AA614" s="1278"/>
      <c r="AB614" s="300" t="s">
        <v>2449</v>
      </c>
      <c r="AC614" s="765" t="s">
        <v>2650</v>
      </c>
      <c r="AD614" s="766" t="s">
        <v>1514</v>
      </c>
      <c r="AE614" s="3946"/>
      <c r="AF614" s="3946"/>
      <c r="AG614" s="3946"/>
      <c r="AH614" s="1114">
        <f>AG614-AF614</f>
        <v>0</v>
      </c>
      <c r="AI614" s="3946"/>
      <c r="AJ614" s="3946">
        <v>305.227838208</v>
      </c>
      <c r="AK614" s="1115"/>
      <c r="AL614" s="1115"/>
      <c r="AM614" s="1115"/>
      <c r="AN614" s="1115"/>
      <c r="AO614" s="1115"/>
      <c r="AP614" s="1115"/>
      <c r="AQ614" s="1115"/>
      <c r="AR614" s="1115"/>
      <c r="AS614" s="1115"/>
      <c r="AT614" s="3946">
        <f>(138.56*2.0801)+(138.56*0.1168)*1.051</f>
        <v>305.227838208</v>
      </c>
      <c r="AU614" s="1115"/>
      <c r="AV614" s="1115"/>
      <c r="AW614" s="1115"/>
      <c r="AX614" s="1115"/>
      <c r="AY614" s="1115"/>
      <c r="AZ614" s="1115"/>
      <c r="BA614" s="1115"/>
      <c r="BB614" s="1115"/>
      <c r="BC614" s="1115"/>
      <c r="BD614" s="1114">
        <f>IF(AI614=0,0,(AT614-AI614)/AI614*100)</f>
        <v>0</v>
      </c>
      <c r="BE614" s="1115"/>
      <c r="BF614" s="1115"/>
      <c r="BG614" s="1115"/>
      <c r="BH614" s="1115"/>
      <c r="BI614" s="1115"/>
      <c r="BJ614" s="1115"/>
      <c r="BK614" s="1115"/>
      <c r="BL614" s="1115"/>
      <c r="BM614" s="1115"/>
      <c r="BN614" s="7433"/>
      <c r="BO614" s="7433" t="s">
        <v>2943</v>
      </c>
      <c r="BP614" s="7433"/>
      <c r="BQ614" s="1278"/>
      <c r="BR614" s="1278"/>
      <c r="BS614" s="1063" t="s">
        <v>2478</v>
      </c>
      <c r="BT614" s="1064"/>
      <c r="BU614" s="1064"/>
      <c r="BV614" s="979"/>
      <c r="BW614" s="979"/>
    </row>
    <row s="1834" customFormat="1" customHeight="1" ht="14.25">
      <c r="A615" s="1278"/>
      <c r="B615" s="978"/>
      <c r="C615" s="107"/>
      <c r="D615" s="107"/>
      <c r="E615" s="621">
        <v>15</v>
      </c>
      <c r="F615" s="50" cm="1" t="str">
        <f t="array" ref="F615:F615">OFFSET(E615,-1,1)</f>
        <v>4</v>
      </c>
      <c r="G615" s="107"/>
      <c r="H615" s="857"/>
      <c r="I615" s="857" t="s">
        <v>2239</v>
      </c>
      <c r="J615" s="107"/>
      <c r="K615" s="378" t="s">
        <v>2239</v>
      </c>
      <c r="L615" s="980" t="s">
        <v>2479</v>
      </c>
      <c r="M615" s="1278"/>
      <c r="N615" s="107"/>
      <c r="O615" s="107"/>
      <c r="P615" s="107"/>
      <c r="Q615" s="107"/>
      <c r="R615" s="107"/>
      <c r="S615" s="107"/>
      <c r="T615" s="465" cm="1" t="str">
        <f t="array" ref="T615:T615">T614</f>
        <v>true</v>
      </c>
      <c r="U615" s="107"/>
      <c r="V615" s="107"/>
      <c r="W615" s="107"/>
      <c r="X615" s="1596"/>
      <c r="Y615" s="1278"/>
      <c r="Z615" s="1546"/>
      <c r="AA615" s="1278"/>
      <c r="AB615" s="300" t="s">
        <v>2451</v>
      </c>
      <c r="AC615" s="765" t="s">
        <v>2651</v>
      </c>
      <c r="AD615" s="300" t="s">
        <v>1514</v>
      </c>
      <c r="AE615" s="1116">
        <f>SUM(AE616:AE622)</f>
        <v>0</v>
      </c>
      <c r="AF615" s="1116">
        <f>SUM(AF616:AF622)</f>
        <v>0</v>
      </c>
      <c r="AG615" s="1116">
        <f>SUM(AG616:AG622)</f>
        <v>0</v>
      </c>
      <c r="AH615" s="1114">
        <f>AG615-AF615</f>
        <v>0</v>
      </c>
      <c r="AI615" s="1116">
        <f>SUM(AI616:AI622)</f>
        <v>0</v>
      </c>
      <c r="AJ615" s="1116">
        <f>SUM(AJ616:AJ622)</f>
        <v>5345.6250128</v>
      </c>
      <c r="AK615" s="1115"/>
      <c r="AL615" s="1115"/>
      <c r="AM615" s="1115"/>
      <c r="AN615" s="1115"/>
      <c r="AO615" s="1115"/>
      <c r="AP615" s="1115"/>
      <c r="AQ615" s="1115"/>
      <c r="AR615" s="1115"/>
      <c r="AS615" s="1115"/>
      <c r="AT615" s="1116">
        <f>SUM(AT616:AT622)</f>
        <v>5345.6250128</v>
      </c>
      <c r="AU615" s="1115"/>
      <c r="AV615" s="1115"/>
      <c r="AW615" s="1115"/>
      <c r="AX615" s="1115"/>
      <c r="AY615" s="1115"/>
      <c r="AZ615" s="1115"/>
      <c r="BA615" s="1115"/>
      <c r="BB615" s="1115"/>
      <c r="BC615" s="1115"/>
      <c r="BD615" s="1114">
        <f>IF(AI615=0,0,(AT615-AI615)/AI615*100)</f>
        <v>0</v>
      </c>
      <c r="BE615" s="1115"/>
      <c r="BF615" s="1115"/>
      <c r="BG615" s="1115"/>
      <c r="BH615" s="1115"/>
      <c r="BI615" s="1115"/>
      <c r="BJ615" s="1115"/>
      <c r="BK615" s="1115"/>
      <c r="BL615" s="1115"/>
      <c r="BM615" s="1115"/>
      <c r="BN615" s="7433"/>
      <c r="BO615" s="7433"/>
      <c r="BP615" s="7433"/>
      <c r="BQ615" s="1278"/>
      <c r="BR615" s="1278"/>
      <c r="BS615" s="1063" t="s">
        <v>2652</v>
      </c>
      <c r="BT615" s="1064"/>
      <c r="BU615" s="1064"/>
      <c r="BV615" s="979"/>
      <c r="BW615" s="979"/>
    </row>
    <row s="1834" customFormat="1" customHeight="1" ht="0">
      <c r="A616" s="1278"/>
      <c r="B616" s="978"/>
      <c r="C616" s="107"/>
      <c r="D616" s="107"/>
      <c r="E616" s="621">
        <v>15</v>
      </c>
      <c r="F616" s="50" cm="1" t="str">
        <f t="array" ref="F616:F616">OFFSET(E616,-1,1)</f>
        <v>4</v>
      </c>
      <c r="G616" s="107"/>
      <c r="H616" s="857"/>
      <c r="I616" s="857" t="s">
        <v>2653</v>
      </c>
      <c r="J616" s="107"/>
      <c r="K616" s="378" t="s">
        <v>2653</v>
      </c>
      <c r="L616" s="980" t="s">
        <v>2479</v>
      </c>
      <c r="M616" s="107" t="s">
        <v>2487</v>
      </c>
      <c r="N616" s="107"/>
      <c r="O616" s="107"/>
      <c r="P616" s="107"/>
      <c r="Q616" s="107"/>
      <c r="R616" s="107"/>
      <c r="S616" s="107"/>
      <c r="T616" s="465" cm="1" t="str">
        <f t="array" ref="T616:T616">T615</f>
        <v>true</v>
      </c>
      <c r="U616" s="107"/>
      <c r="V616" s="107"/>
      <c r="W616" s="107"/>
      <c r="X616" s="1596"/>
      <c r="Y616" s="1278"/>
      <c r="Z616" s="1546"/>
      <c r="AA616" s="1278"/>
      <c r="AB616" s="300" t="s">
        <v>2654</v>
      </c>
      <c r="AC616" s="768" t="s">
        <v>2655</v>
      </c>
      <c r="AD616" s="300" t="s">
        <v>1514</v>
      </c>
      <c r="AE616" s="3946"/>
      <c r="AF616" s="3946"/>
      <c r="AG616" s="3946"/>
      <c r="AH616" s="1114">
        <f>AG616-AF616</f>
        <v>0</v>
      </c>
      <c r="AI616" s="3946"/>
      <c r="AJ616" s="3946"/>
      <c r="AK616" s="1115"/>
      <c r="AL616" s="1115"/>
      <c r="AM616" s="1115"/>
      <c r="AN616" s="1115"/>
      <c r="AO616" s="1115"/>
      <c r="AP616" s="1115"/>
      <c r="AQ616" s="1115"/>
      <c r="AR616" s="1115"/>
      <c r="AS616" s="1115"/>
      <c r="AT616" s="3946"/>
      <c r="AU616" s="1115"/>
      <c r="AV616" s="1115"/>
      <c r="AW616" s="1115"/>
      <c r="AX616" s="1115"/>
      <c r="AY616" s="1115"/>
      <c r="AZ616" s="1115"/>
      <c r="BA616" s="1115"/>
      <c r="BB616" s="1115"/>
      <c r="BC616" s="1115"/>
      <c r="BD616" s="1114">
        <f>IF(AI616=0,0,(AT616-AI616)/AI616*100)</f>
        <v>0</v>
      </c>
      <c r="BE616" s="1115"/>
      <c r="BF616" s="1115"/>
      <c r="BG616" s="1115"/>
      <c r="BH616" s="1115"/>
      <c r="BI616" s="1115"/>
      <c r="BJ616" s="1115"/>
      <c r="BK616" s="1115"/>
      <c r="BL616" s="1115"/>
      <c r="BM616" s="1115"/>
      <c r="BN616" s="7433"/>
      <c r="BO616" s="7433"/>
      <c r="BP616" s="7433"/>
      <c r="BQ616" s="1278"/>
      <c r="BR616" s="1278"/>
      <c r="BS616" s="1062" t="s">
        <v>2490</v>
      </c>
      <c r="BT616" s="1064"/>
      <c r="BU616" s="1064"/>
      <c r="BV616" s="979"/>
      <c r="BW616" s="979"/>
    </row>
    <row s="1834" customFormat="1" customHeight="1" ht="0">
      <c r="A617" s="1278"/>
      <c r="B617" s="978"/>
      <c r="C617" s="107"/>
      <c r="D617" s="107"/>
      <c r="E617" s="621">
        <v>22.5</v>
      </c>
      <c r="F617" s="50" cm="1" t="str">
        <f t="array" ref="F617:F617">OFFSET(E617,-1,1)</f>
        <v>4</v>
      </c>
      <c r="G617" s="107"/>
      <c r="H617" s="857"/>
      <c r="I617" s="857" t="s">
        <v>2656</v>
      </c>
      <c r="J617" s="107"/>
      <c r="K617" s="378" t="s">
        <v>2656</v>
      </c>
      <c r="L617" s="980" t="s">
        <v>2479</v>
      </c>
      <c r="M617" s="107" t="s">
        <v>2483</v>
      </c>
      <c r="N617" s="107"/>
      <c r="O617" s="107"/>
      <c r="P617" s="107"/>
      <c r="Q617" s="107"/>
      <c r="R617" s="107"/>
      <c r="S617" s="107"/>
      <c r="T617" s="465" cm="1" t="str">
        <f t="array" ref="T617:T617">T616</f>
        <v>true</v>
      </c>
      <c r="U617" s="107"/>
      <c r="V617" s="107"/>
      <c r="W617" s="107"/>
      <c r="X617" s="1596"/>
      <c r="Y617" s="1278"/>
      <c r="Z617" s="1546"/>
      <c r="AA617" s="1278"/>
      <c r="AB617" s="300" t="s">
        <v>2657</v>
      </c>
      <c r="AC617" s="768" t="s">
        <v>2658</v>
      </c>
      <c r="AD617" s="300" t="s">
        <v>1514</v>
      </c>
      <c r="AE617" s="3946"/>
      <c r="AF617" s="3946"/>
      <c r="AG617" s="3946"/>
      <c r="AH617" s="1114">
        <f>AG617-AF617</f>
        <v>0</v>
      </c>
      <c r="AI617" s="3946"/>
      <c r="AJ617" s="3946"/>
      <c r="AK617" s="1115"/>
      <c r="AL617" s="1115"/>
      <c r="AM617" s="1115"/>
      <c r="AN617" s="1115"/>
      <c r="AO617" s="1115"/>
      <c r="AP617" s="1115"/>
      <c r="AQ617" s="1115"/>
      <c r="AR617" s="1115"/>
      <c r="AS617" s="1115"/>
      <c r="AT617" s="3946"/>
      <c r="AU617" s="1115"/>
      <c r="AV617" s="1115"/>
      <c r="AW617" s="1115"/>
      <c r="AX617" s="1115"/>
      <c r="AY617" s="1115"/>
      <c r="AZ617" s="1115"/>
      <c r="BA617" s="1115"/>
      <c r="BB617" s="1115"/>
      <c r="BC617" s="1115"/>
      <c r="BD617" s="1114">
        <f>IF(AI617=0,0,(AT617-AI617)/AI617*100)</f>
        <v>0</v>
      </c>
      <c r="BE617" s="1115"/>
      <c r="BF617" s="1115"/>
      <c r="BG617" s="1115"/>
      <c r="BH617" s="1115"/>
      <c r="BI617" s="1115"/>
      <c r="BJ617" s="1115"/>
      <c r="BK617" s="1115"/>
      <c r="BL617" s="1115"/>
      <c r="BM617" s="1115"/>
      <c r="BN617" s="7433"/>
      <c r="BO617" s="7433"/>
      <c r="BP617" s="7433"/>
      <c r="BQ617" s="1278"/>
      <c r="BR617" s="1278"/>
      <c r="BS617" s="1064" t="s">
        <v>2659</v>
      </c>
      <c r="BT617" s="1064"/>
      <c r="BU617" s="1064"/>
      <c r="BV617" s="979"/>
      <c r="BW617" s="979"/>
    </row>
    <row s="1834" customFormat="1" customHeight="1" ht="21.75">
      <c r="A618" s="1278"/>
      <c r="B618" s="978"/>
      <c r="C618" s="107"/>
      <c r="D618" s="107"/>
      <c r="E618" s="621">
        <v>22.5</v>
      </c>
      <c r="F618" s="50" cm="1" t="str">
        <f t="array" ref="F618:F618">OFFSET(E618,-1,1)</f>
        <v>4</v>
      </c>
      <c r="G618" s="107"/>
      <c r="H618" s="857"/>
      <c r="I618" s="857" t="s">
        <v>2660</v>
      </c>
      <c r="J618" s="107"/>
      <c r="K618" s="378" t="s">
        <v>2660</v>
      </c>
      <c r="L618" s="1278"/>
      <c r="M618" s="1278"/>
      <c r="N618" s="107"/>
      <c r="O618" s="107"/>
      <c r="P618" s="107"/>
      <c r="Q618" s="107"/>
      <c r="R618" s="107"/>
      <c r="S618" s="107"/>
      <c r="T618" s="465" cm="1" t="str">
        <f t="array" ref="T618:T618">T617</f>
        <v>true</v>
      </c>
      <c r="U618" s="107"/>
      <c r="V618" s="107"/>
      <c r="W618" s="107"/>
      <c r="X618" s="1596"/>
      <c r="Y618" s="1278"/>
      <c r="Z618" s="1546"/>
      <c r="AA618" s="1278"/>
      <c r="AB618" s="300" t="s">
        <v>2661</v>
      </c>
      <c r="AC618" s="769" t="s">
        <v>2662</v>
      </c>
      <c r="AD618" s="300" t="s">
        <v>1514</v>
      </c>
      <c r="AE618" s="3946"/>
      <c r="AF618" s="3946"/>
      <c r="AG618" s="3946"/>
      <c r="AH618" s="1114">
        <f>AG618-AF618</f>
        <v>0</v>
      </c>
      <c r="AI618" s="3946"/>
      <c r="AJ618" s="3946">
        <v>1689.32654</v>
      </c>
      <c r="AK618" s="1115"/>
      <c r="AL618" s="1115"/>
      <c r="AM618" s="1115"/>
      <c r="AN618" s="1115"/>
      <c r="AO618" s="1115"/>
      <c r="AP618" s="1115"/>
      <c r="AQ618" s="1115"/>
      <c r="AR618" s="1115"/>
      <c r="AS618" s="1115"/>
      <c r="AT618" s="3946">
        <f>110.39914+61.73387+56.62788+40.20075+84.87490+1335.49</f>
        <v>1689.32654</v>
      </c>
      <c r="AU618" s="1115"/>
      <c r="AV618" s="1115"/>
      <c r="AW618" s="1115"/>
      <c r="AX618" s="1115"/>
      <c r="AY618" s="1115"/>
      <c r="AZ618" s="1115"/>
      <c r="BA618" s="1115"/>
      <c r="BB618" s="1115"/>
      <c r="BC618" s="1115"/>
      <c r="BD618" s="1114">
        <f>IF(AI618=0,0,(AT618-AI618)/AI618*100)</f>
        <v>0</v>
      </c>
      <c r="BE618" s="1115"/>
      <c r="BF618" s="1115"/>
      <c r="BG618" s="1115"/>
      <c r="BH618" s="1115"/>
      <c r="BI618" s="1115"/>
      <c r="BJ618" s="1115"/>
      <c r="BK618" s="1115"/>
      <c r="BL618" s="1115"/>
      <c r="BM618" s="1115"/>
      <c r="BN618" s="7433"/>
      <c r="BO618" s="7433"/>
      <c r="BP618" s="7433"/>
      <c r="BQ618" s="1278"/>
      <c r="BR618" s="1278"/>
      <c r="BS618" s="1064" t="s">
        <v>2663</v>
      </c>
      <c r="BT618" s="1064"/>
      <c r="BU618" s="1064"/>
      <c r="BV618" s="979"/>
      <c r="BW618" s="979"/>
    </row>
    <row s="1834" customFormat="1" customHeight="1" ht="0">
      <c r="A619" s="1278"/>
      <c r="B619" s="978"/>
      <c r="C619" s="107"/>
      <c r="D619" s="107"/>
      <c r="E619" s="621">
        <v>22.5</v>
      </c>
      <c r="F619" s="50" cm="1" t="str">
        <f t="array" ref="F619:F619">OFFSET(E619,-1,1)</f>
        <v>4</v>
      </c>
      <c r="G619" s="107"/>
      <c r="H619" s="857"/>
      <c r="I619" s="857" t="s">
        <v>2664</v>
      </c>
      <c r="J619" s="107"/>
      <c r="K619" s="378" t="s">
        <v>2664</v>
      </c>
      <c r="L619" s="980"/>
      <c r="M619" s="1278"/>
      <c r="N619" s="107"/>
      <c r="O619" s="107"/>
      <c r="P619" s="107"/>
      <c r="Q619" s="107"/>
      <c r="R619" s="107"/>
      <c r="S619" s="107"/>
      <c r="T619" s="465" cm="1" t="str">
        <f t="array" ref="T619:T619">T618</f>
        <v>true</v>
      </c>
      <c r="U619" s="107"/>
      <c r="V619" s="107"/>
      <c r="W619" s="107"/>
      <c r="X619" s="1596"/>
      <c r="Y619" s="1278"/>
      <c r="Z619" s="1546"/>
      <c r="AA619" s="1278"/>
      <c r="AB619" s="300" t="s">
        <v>2665</v>
      </c>
      <c r="AC619" s="769" t="s">
        <v>2666</v>
      </c>
      <c r="AD619" s="300" t="s">
        <v>1514</v>
      </c>
      <c r="AE619" s="3946"/>
      <c r="AF619" s="3946"/>
      <c r="AG619" s="3946"/>
      <c r="AH619" s="1114">
        <f>AG619-AF619</f>
        <v>0</v>
      </c>
      <c r="AI619" s="3946"/>
      <c r="AJ619" s="3946"/>
      <c r="AK619" s="1115"/>
      <c r="AL619" s="1115"/>
      <c r="AM619" s="1115"/>
      <c r="AN619" s="1115"/>
      <c r="AO619" s="1115"/>
      <c r="AP619" s="1115"/>
      <c r="AQ619" s="1115"/>
      <c r="AR619" s="1115"/>
      <c r="AS619" s="1115"/>
      <c r="AT619" s="3946"/>
      <c r="AU619" s="1115"/>
      <c r="AV619" s="1115"/>
      <c r="AW619" s="1115"/>
      <c r="AX619" s="1115"/>
      <c r="AY619" s="1115"/>
      <c r="AZ619" s="1115"/>
      <c r="BA619" s="1115"/>
      <c r="BB619" s="1115"/>
      <c r="BC619" s="1115"/>
      <c r="BD619" s="1114">
        <f>IF(AI619=0,0,(AT619-AI619)/AI619*100)</f>
        <v>0</v>
      </c>
      <c r="BE619" s="1115"/>
      <c r="BF619" s="1115"/>
      <c r="BG619" s="1115"/>
      <c r="BH619" s="1115"/>
      <c r="BI619" s="1115"/>
      <c r="BJ619" s="1115"/>
      <c r="BK619" s="1115"/>
      <c r="BL619" s="1115"/>
      <c r="BM619" s="1115"/>
      <c r="BN619" s="7433"/>
      <c r="BO619" s="7433"/>
      <c r="BP619" s="7433"/>
      <c r="BQ619" s="1278"/>
      <c r="BR619" s="1278"/>
      <c r="BS619" s="1064" t="s">
        <v>2667</v>
      </c>
      <c r="BT619" s="1064"/>
      <c r="BU619" s="1064"/>
      <c r="BV619" s="979"/>
      <c r="BW619" s="979"/>
    </row>
    <row s="1834" customFormat="1" customHeight="1" ht="65.25">
      <c r="A620" s="1278"/>
      <c r="B620" s="978"/>
      <c r="C620" s="107"/>
      <c r="D620" s="107"/>
      <c r="E620" s="621">
        <v>45</v>
      </c>
      <c r="F620" s="50" cm="1" t="str">
        <f t="array" ref="F620:F620">OFFSET(E620,-1,1)</f>
        <v>4</v>
      </c>
      <c r="G620" s="107"/>
      <c r="H620" s="857"/>
      <c r="I620" s="857" t="s">
        <v>2668</v>
      </c>
      <c r="J620" s="107"/>
      <c r="K620" s="378" t="s">
        <v>2668</v>
      </c>
      <c r="L620" s="980" t="s">
        <v>2479</v>
      </c>
      <c r="M620" s="107" t="s">
        <v>2491</v>
      </c>
      <c r="N620" s="107"/>
      <c r="O620" s="107"/>
      <c r="P620" s="107"/>
      <c r="Q620" s="107"/>
      <c r="R620" s="107"/>
      <c r="S620" s="107"/>
      <c r="T620" s="465" cm="1" t="str">
        <f t="array" ref="T620:T620">T619</f>
        <v>true</v>
      </c>
      <c r="U620" s="107"/>
      <c r="V620" s="107"/>
      <c r="W620" s="107"/>
      <c r="X620" s="1596"/>
      <c r="Y620" s="1278"/>
      <c r="Z620" s="1546"/>
      <c r="AA620" s="1278"/>
      <c r="AB620" s="300" t="s">
        <v>2669</v>
      </c>
      <c r="AC620" s="768" t="s">
        <v>2670</v>
      </c>
      <c r="AD620" s="300" t="s">
        <v>1514</v>
      </c>
      <c r="AE620" s="3946"/>
      <c r="AF620" s="3946"/>
      <c r="AG620" s="3946"/>
      <c r="AH620" s="1114">
        <f>AG620-AF620</f>
        <v>0</v>
      </c>
      <c r="AI620" s="3946"/>
      <c r="AJ620" s="3946">
        <v>2159.64</v>
      </c>
      <c r="AK620" s="1115"/>
      <c r="AL620" s="1115"/>
      <c r="AM620" s="1115"/>
      <c r="AN620" s="1115"/>
      <c r="AO620" s="1115"/>
      <c r="AP620" s="1115"/>
      <c r="AQ620" s="1115"/>
      <c r="AR620" s="1115"/>
      <c r="AS620" s="1115"/>
      <c r="AT620" s="3946">
        <v>2159.64</v>
      </c>
      <c r="AU620" s="1115"/>
      <c r="AV620" s="1115"/>
      <c r="AW620" s="1115"/>
      <c r="AX620" s="1115"/>
      <c r="AY620" s="1115"/>
      <c r="AZ620" s="1115"/>
      <c r="BA620" s="1115"/>
      <c r="BB620" s="1115"/>
      <c r="BC620" s="1115"/>
      <c r="BD620" s="1114">
        <f>IF(AI620=0,0,(AT620-AI620)/AI620*100)</f>
        <v>0</v>
      </c>
      <c r="BE620" s="1115"/>
      <c r="BF620" s="1115"/>
      <c r="BG620" s="1115"/>
      <c r="BH620" s="1115"/>
      <c r="BI620" s="1115"/>
      <c r="BJ620" s="1115"/>
      <c r="BK620" s="1115"/>
      <c r="BL620" s="1115"/>
      <c r="BM620" s="1115"/>
      <c r="BN620" s="7433"/>
      <c r="BO620" s="7433" t="s">
        <v>2923</v>
      </c>
      <c r="BP620" s="7433"/>
      <c r="BQ620" s="1278"/>
      <c r="BR620" s="1278"/>
      <c r="BS620" s="1064" t="s">
        <v>2494</v>
      </c>
      <c r="BT620" s="1064"/>
      <c r="BU620" s="1064"/>
      <c r="BV620" s="979"/>
      <c r="BW620" s="979"/>
    </row>
    <row s="1834" customFormat="1" customHeight="1" ht="0">
      <c r="A621" s="1278"/>
      <c r="B621" s="978"/>
      <c r="C621" s="107"/>
      <c r="D621" s="107"/>
      <c r="E621" s="621">
        <v>15</v>
      </c>
      <c r="F621" s="50" cm="1" t="str">
        <f t="array" ref="F621:F621">OFFSET(E621,-1,1)</f>
        <v>4</v>
      </c>
      <c r="G621" s="107"/>
      <c r="H621" s="857"/>
      <c r="I621" s="857" t="s">
        <v>2671</v>
      </c>
      <c r="J621" s="107"/>
      <c r="K621" s="378" t="s">
        <v>2671</v>
      </c>
      <c r="L621" s="980" t="s">
        <v>2479</v>
      </c>
      <c r="M621" s="107" t="s">
        <v>2495</v>
      </c>
      <c r="N621" s="107"/>
      <c r="O621" s="107"/>
      <c r="P621" s="107"/>
      <c r="Q621" s="107"/>
      <c r="R621" s="107"/>
      <c r="S621" s="107"/>
      <c r="T621" s="465" cm="1" t="str">
        <f t="array" ref="T621:T621">T620</f>
        <v>true</v>
      </c>
      <c r="U621" s="107"/>
      <c r="V621" s="107"/>
      <c r="W621" s="107"/>
      <c r="X621" s="1596"/>
      <c r="Y621" s="1278"/>
      <c r="Z621" s="1546"/>
      <c r="AA621" s="1278"/>
      <c r="AB621" s="300" t="s">
        <v>2672</v>
      </c>
      <c r="AC621" s="768" t="s">
        <v>2497</v>
      </c>
      <c r="AD621" s="300" t="s">
        <v>1514</v>
      </c>
      <c r="AE621" s="3946"/>
      <c r="AF621" s="3946"/>
      <c r="AG621" s="3946"/>
      <c r="AH621" s="1114">
        <f>AG621-AF621</f>
        <v>0</v>
      </c>
      <c r="AI621" s="3946"/>
      <c r="AJ621" s="3946"/>
      <c r="AK621" s="1115"/>
      <c r="AL621" s="1115"/>
      <c r="AM621" s="1115"/>
      <c r="AN621" s="1115"/>
      <c r="AO621" s="1115"/>
      <c r="AP621" s="1115"/>
      <c r="AQ621" s="1115"/>
      <c r="AR621" s="1115"/>
      <c r="AS621" s="1115"/>
      <c r="AT621" s="3946"/>
      <c r="AU621" s="1115"/>
      <c r="AV621" s="1115"/>
      <c r="AW621" s="1115"/>
      <c r="AX621" s="1115"/>
      <c r="AY621" s="1115"/>
      <c r="AZ621" s="1115"/>
      <c r="BA621" s="1115"/>
      <c r="BB621" s="1115"/>
      <c r="BC621" s="1115"/>
      <c r="BD621" s="1114">
        <f>IF(AI621=0,0,(AT621-AI621)/AI621*100)</f>
        <v>0</v>
      </c>
      <c r="BE621" s="1115"/>
      <c r="BF621" s="1115"/>
      <c r="BG621" s="1115"/>
      <c r="BH621" s="1115"/>
      <c r="BI621" s="1115"/>
      <c r="BJ621" s="1115"/>
      <c r="BK621" s="1115"/>
      <c r="BL621" s="1115"/>
      <c r="BM621" s="1115"/>
      <c r="BN621" s="7433"/>
      <c r="BO621" s="7433"/>
      <c r="BP621" s="7433"/>
      <c r="BQ621" s="1278"/>
      <c r="BR621" s="1278"/>
      <c r="BS621" s="1064" t="s">
        <v>2498</v>
      </c>
      <c r="BT621" s="1064"/>
      <c r="BU621" s="1064"/>
      <c r="BV621" s="979"/>
      <c r="BW621" s="979"/>
    </row>
    <row s="1834" customFormat="1" customHeight="1" ht="86.25">
      <c r="A622" s="1278"/>
      <c r="B622" s="978"/>
      <c r="C622" s="107"/>
      <c r="D622" s="107"/>
      <c r="E622" s="621">
        <v>15</v>
      </c>
      <c r="F622" s="50" cm="1" t="str">
        <f t="array" ref="F622:F622">OFFSET(E622,-1,1)</f>
        <v>4</v>
      </c>
      <c r="G622" s="107"/>
      <c r="H622" s="857"/>
      <c r="I622" s="857" t="s">
        <v>2673</v>
      </c>
      <c r="J622" s="107"/>
      <c r="K622" s="378" t="s">
        <v>2673</v>
      </c>
      <c r="L622" s="980"/>
      <c r="M622" s="107"/>
      <c r="N622" s="107"/>
      <c r="O622" s="107"/>
      <c r="P622" s="107"/>
      <c r="Q622" s="107"/>
      <c r="R622" s="107"/>
      <c r="S622" s="107"/>
      <c r="T622" s="465" cm="1" t="str">
        <f t="array" ref="T622:T622">T621</f>
        <v>true</v>
      </c>
      <c r="U622" s="107"/>
      <c r="V622" s="107"/>
      <c r="W622" s="107"/>
      <c r="X622" s="1596"/>
      <c r="Y622" s="1278"/>
      <c r="Z622" s="1546"/>
      <c r="AA622" s="1278"/>
      <c r="AB622" s="300" t="s">
        <v>2674</v>
      </c>
      <c r="AC622" s="768" t="s">
        <v>2675</v>
      </c>
      <c r="AD622" s="300" t="s">
        <v>1514</v>
      </c>
      <c r="AE622" s="3946"/>
      <c r="AF622" s="3946"/>
      <c r="AG622" s="3946"/>
      <c r="AH622" s="1114">
        <f>AG622-AF622</f>
        <v>0</v>
      </c>
      <c r="AI622" s="3946"/>
      <c r="AJ622" s="1353">
        <v>1496.6584728</v>
      </c>
      <c r="AK622" s="1115"/>
      <c r="AL622" s="1115"/>
      <c r="AM622" s="1115"/>
      <c r="AN622" s="1115"/>
      <c r="AO622" s="1115"/>
      <c r="AP622" s="1115"/>
      <c r="AQ622" s="1115"/>
      <c r="AR622" s="1115"/>
      <c r="AS622" s="1115"/>
      <c r="AT622" s="1367">
        <f>593.347/5*12*1.051</f>
        <v>1496.6584728</v>
      </c>
      <c r="AU622" s="1115"/>
      <c r="AV622" s="1115"/>
      <c r="AW622" s="1115"/>
      <c r="AX622" s="1115"/>
      <c r="AY622" s="1115"/>
      <c r="AZ622" s="1115"/>
      <c r="BA622" s="1115"/>
      <c r="BB622" s="1115"/>
      <c r="BC622" s="1115"/>
      <c r="BD622" s="1114">
        <f>IF(AI622=0,0,(AT622-AI622)/AI622*100)</f>
        <v>0</v>
      </c>
      <c r="BE622" s="1115"/>
      <c r="BF622" s="1115"/>
      <c r="BG622" s="1115"/>
      <c r="BH622" s="1115"/>
      <c r="BI622" s="1115"/>
      <c r="BJ622" s="1115"/>
      <c r="BK622" s="1115"/>
      <c r="BL622" s="1115"/>
      <c r="BM622" s="1115"/>
      <c r="BN622" s="7433"/>
      <c r="BO622" s="7433" t="s">
        <v>2944</v>
      </c>
      <c r="BP622" s="7433"/>
      <c r="BQ622" s="1278"/>
      <c r="BR622" s="1278"/>
      <c r="BS622" s="1064" t="s">
        <v>2482</v>
      </c>
      <c r="BT622" s="1064"/>
      <c r="BU622" s="1064"/>
      <c r="BV622" s="979"/>
      <c r="BW622" s="979"/>
    </row>
    <row s="7619" customFormat="1" customHeight="1" ht="20.25">
      <c r="A623" s="700"/>
      <c r="B623" s="435"/>
      <c r="C623" s="109"/>
      <c r="D623" s="109"/>
      <c r="E623" s="826">
        <v>21</v>
      </c>
      <c r="F623" s="50" cm="1" t="str">
        <f t="array" ref="F623:F623">OFFSET(E623,-1,1)</f>
        <v>4</v>
      </c>
      <c r="G623" s="109"/>
      <c r="H623" s="857"/>
      <c r="I623" s="857" t="s">
        <v>1182</v>
      </c>
      <c r="J623" s="109"/>
      <c r="K623" s="378" t="s">
        <v>1182</v>
      </c>
      <c r="L623" s="985"/>
      <c r="M623" s="109"/>
      <c r="N623" s="109"/>
      <c r="O623" s="109"/>
      <c r="P623" s="109"/>
      <c r="Q623" s="109"/>
      <c r="R623" s="109"/>
      <c r="S623" s="109"/>
      <c r="T623" s="465" cm="1" t="str">
        <f t="array" ref="T623:T623">T622</f>
        <v>true</v>
      </c>
      <c r="U623" s="109"/>
      <c r="V623" s="109"/>
      <c r="W623" s="109"/>
      <c r="X623" s="1596"/>
      <c r="Y623" s="700"/>
      <c r="Z623" s="1546"/>
      <c r="AA623" s="700"/>
      <c r="AB623" s="211" t="s">
        <v>1634</v>
      </c>
      <c r="AC623" s="361" t="s">
        <v>2501</v>
      </c>
      <c r="AD623" s="211" t="s">
        <v>1514</v>
      </c>
      <c r="AE623" s="213">
        <f>AE624+AE625+AE626</f>
        <v>0</v>
      </c>
      <c r="AF623" s="213">
        <f>AF624+AF625+AF626</f>
        <v>0</v>
      </c>
      <c r="AG623" s="213">
        <f>AG624+AG625+AG626</f>
        <v>0</v>
      </c>
      <c r="AH623" s="778">
        <f>AG623-AF623</f>
        <v>0</v>
      </c>
      <c r="AI623" s="213">
        <f>AI624+AI625+AI626</f>
        <v>0</v>
      </c>
      <c r="AJ623" s="213">
        <f>AJ624+AJ625+AJ626</f>
        <v>10415.159</v>
      </c>
      <c r="AK623" s="216"/>
      <c r="AL623" s="216"/>
      <c r="AM623" s="216"/>
      <c r="AN623" s="216"/>
      <c r="AO623" s="216"/>
      <c r="AP623" s="216"/>
      <c r="AQ623" s="216"/>
      <c r="AR623" s="216"/>
      <c r="AS623" s="216"/>
      <c r="AT623" s="213">
        <f>AT624+AT625+AT626</f>
        <v>10415.159</v>
      </c>
      <c r="AU623" s="216"/>
      <c r="AV623" s="216"/>
      <c r="AW623" s="216"/>
      <c r="AX623" s="216"/>
      <c r="AY623" s="216"/>
      <c r="AZ623" s="216"/>
      <c r="BA623" s="216"/>
      <c r="BB623" s="216"/>
      <c r="BC623" s="216"/>
      <c r="BD623" s="778">
        <f>IF(AI623=0,0,(AT623-AI623)/AI623*100)</f>
        <v>0</v>
      </c>
      <c r="BE623" s="216"/>
      <c r="BF623" s="216"/>
      <c r="BG623" s="216"/>
      <c r="BH623" s="216"/>
      <c r="BI623" s="216"/>
      <c r="BJ623" s="216"/>
      <c r="BK623" s="216"/>
      <c r="BL623" s="216"/>
      <c r="BM623" s="216"/>
      <c r="BN623" s="7436"/>
      <c r="BO623" s="7436"/>
      <c r="BP623" s="7436"/>
      <c r="BQ623" s="700"/>
      <c r="BR623" s="700"/>
      <c r="BS623" s="1063" t="s">
        <v>2502</v>
      </c>
      <c r="BT623" s="1070"/>
      <c r="BU623" s="1070"/>
      <c r="BV623" s="707"/>
      <c r="BW623" s="707"/>
    </row>
    <row s="1834" customFormat="1" customHeight="1" ht="0">
      <c r="A624" s="1278"/>
      <c r="B624" s="978"/>
      <c r="C624" s="107"/>
      <c r="D624" s="107"/>
      <c r="E624" s="621">
        <v>22.5</v>
      </c>
      <c r="F624" s="50" cm="1" t="str">
        <f t="array" ref="F624:F624">OFFSET(E624,-1,1)</f>
        <v>4</v>
      </c>
      <c r="G624" s="107"/>
      <c r="H624" s="857"/>
      <c r="I624" s="857" t="s">
        <v>2081</v>
      </c>
      <c r="J624" s="107"/>
      <c r="K624" s="378" t="s">
        <v>2081</v>
      </c>
      <c r="L624" s="980"/>
      <c r="M624" s="107"/>
      <c r="N624" s="107"/>
      <c r="O624" s="107"/>
      <c r="P624" s="107"/>
      <c r="Q624" s="107"/>
      <c r="R624" s="107"/>
      <c r="S624" s="107"/>
      <c r="T624" s="465" cm="1" t="str">
        <f t="array" ref="T624:T624">T623</f>
        <v>true</v>
      </c>
      <c r="U624" s="107"/>
      <c r="V624" s="107"/>
      <c r="W624" s="107"/>
      <c r="X624" s="1596"/>
      <c r="Y624" s="1278"/>
      <c r="Z624" s="1546"/>
      <c r="AA624" s="1278"/>
      <c r="AB624" s="300" t="s">
        <v>2082</v>
      </c>
      <c r="AC624" s="765" t="s">
        <v>2676</v>
      </c>
      <c r="AD624" s="300" t="s">
        <v>1514</v>
      </c>
      <c r="AE624" s="3946"/>
      <c r="AF624" s="3946"/>
      <c r="AG624" s="3946"/>
      <c r="AH624" s="1114">
        <f>AG624-AF624</f>
        <v>0</v>
      </c>
      <c r="AI624" s="3946"/>
      <c r="AJ624" s="3946"/>
      <c r="AK624" s="1115"/>
      <c r="AL624" s="1115"/>
      <c r="AM624" s="1115"/>
      <c r="AN624" s="1115"/>
      <c r="AO624" s="1115"/>
      <c r="AP624" s="1115"/>
      <c r="AQ624" s="1115"/>
      <c r="AR624" s="1115"/>
      <c r="AS624" s="1115"/>
      <c r="AT624" s="3946"/>
      <c r="AU624" s="1115"/>
      <c r="AV624" s="1115"/>
      <c r="AW624" s="1115"/>
      <c r="AX624" s="1115"/>
      <c r="AY624" s="1115"/>
      <c r="AZ624" s="1115"/>
      <c r="BA624" s="1115"/>
      <c r="BB624" s="1115"/>
      <c r="BC624" s="1115"/>
      <c r="BD624" s="1114">
        <f>IF(AI624=0,0,(AT624-AI624)/AI624*100)</f>
        <v>0</v>
      </c>
      <c r="BE624" s="1115"/>
      <c r="BF624" s="1115"/>
      <c r="BG624" s="1115"/>
      <c r="BH624" s="1115"/>
      <c r="BI624" s="1115"/>
      <c r="BJ624" s="1115"/>
      <c r="BK624" s="1115"/>
      <c r="BL624" s="1115"/>
      <c r="BM624" s="1115"/>
      <c r="BN624" s="7433"/>
      <c r="BO624" s="7433"/>
      <c r="BP624" s="7433"/>
      <c r="BQ624" s="1278"/>
      <c r="BR624" s="1278"/>
      <c r="BS624" s="1062" t="s">
        <v>2504</v>
      </c>
      <c r="BT624" s="1064"/>
      <c r="BU624" s="1064"/>
      <c r="BV624" s="979"/>
      <c r="BW624" s="979"/>
    </row>
    <row s="1834" customFormat="1" customHeight="1" ht="44.25">
      <c r="A625" s="1278"/>
      <c r="B625" s="978"/>
      <c r="C625" s="107"/>
      <c r="D625" s="107"/>
      <c r="E625" s="621">
        <v>22.5</v>
      </c>
      <c r="F625" s="50" cm="1" t="str">
        <f t="array" ref="F625:F625">OFFSET(E625,-1,1)</f>
        <v>4</v>
      </c>
      <c r="G625" s="107"/>
      <c r="H625" s="857"/>
      <c r="I625" s="857" t="s">
        <v>2085</v>
      </c>
      <c r="J625" s="107"/>
      <c r="K625" s="378" t="s">
        <v>2085</v>
      </c>
      <c r="L625" s="980"/>
      <c r="M625" s="107"/>
      <c r="N625" s="107"/>
      <c r="O625" s="107"/>
      <c r="P625" s="107"/>
      <c r="Q625" s="107"/>
      <c r="R625" s="107"/>
      <c r="S625" s="107"/>
      <c r="T625" s="465" cm="1" t="str">
        <f t="array" ref="T625:T625">T624</f>
        <v>true</v>
      </c>
      <c r="U625" s="107"/>
      <c r="V625" s="107"/>
      <c r="W625" s="107"/>
      <c r="X625" s="1596"/>
      <c r="Y625" s="1278"/>
      <c r="Z625" s="1546"/>
      <c r="AA625" s="1278"/>
      <c r="AB625" s="300" t="s">
        <v>2086</v>
      </c>
      <c r="AC625" s="765" t="s">
        <v>2677</v>
      </c>
      <c r="AD625" s="300" t="s">
        <v>1514</v>
      </c>
      <c r="AE625" s="3946"/>
      <c r="AF625" s="3946"/>
      <c r="AG625" s="3946"/>
      <c r="AH625" s="1114">
        <f>AG625-AF625</f>
        <v>0</v>
      </c>
      <c r="AI625" s="3946"/>
      <c r="AJ625" s="3946">
        <v>10415.159</v>
      </c>
      <c r="AK625" s="1115"/>
      <c r="AL625" s="1115"/>
      <c r="AM625" s="1115"/>
      <c r="AN625" s="1115"/>
      <c r="AO625" s="1115"/>
      <c r="AP625" s="1115"/>
      <c r="AQ625" s="1115"/>
      <c r="AR625" s="1115"/>
      <c r="AS625" s="1115"/>
      <c r="AT625" s="3946">
        <v>10415.159</v>
      </c>
      <c r="AU625" s="1115"/>
      <c r="AV625" s="1115"/>
      <c r="AW625" s="1115"/>
      <c r="AX625" s="1115"/>
      <c r="AY625" s="1115"/>
      <c r="AZ625" s="1115"/>
      <c r="BA625" s="1115"/>
      <c r="BB625" s="1115"/>
      <c r="BC625" s="1115"/>
      <c r="BD625" s="1114">
        <f>IF(AI625=0,0,(AT625-AI625)/AI625*100)</f>
        <v>0</v>
      </c>
      <c r="BE625" s="1115"/>
      <c r="BF625" s="1115"/>
      <c r="BG625" s="1115"/>
      <c r="BH625" s="1115"/>
      <c r="BI625" s="1115"/>
      <c r="BJ625" s="1115"/>
      <c r="BK625" s="1115"/>
      <c r="BL625" s="1115"/>
      <c r="BM625" s="1115"/>
      <c r="BN625" s="7433"/>
      <c r="BO625" s="7433" t="s">
        <v>2925</v>
      </c>
      <c r="BP625" s="7433"/>
      <c r="BQ625" s="1278"/>
      <c r="BR625" s="1278"/>
      <c r="BS625" s="1064" t="s">
        <v>2678</v>
      </c>
      <c r="BT625" s="1064"/>
      <c r="BU625" s="1064"/>
      <c r="BV625" s="979"/>
      <c r="BW625" s="979"/>
    </row>
    <row s="1834" customFormat="1" customHeight="1" ht="0">
      <c r="A626" s="1278"/>
      <c r="B626" s="978"/>
      <c r="C626" s="107"/>
      <c r="D626" s="107"/>
      <c r="E626" s="621">
        <v>22.5</v>
      </c>
      <c r="F626" s="50" cm="1" t="str">
        <f t="array" ref="F626:F626">OFFSET(E626,-1,1)</f>
        <v>4</v>
      </c>
      <c r="G626" s="107"/>
      <c r="H626" s="857"/>
      <c r="I626" s="857" t="s">
        <v>2089</v>
      </c>
      <c r="J626" s="107"/>
      <c r="K626" s="378" t="s">
        <v>2089</v>
      </c>
      <c r="L626" s="980" t="s">
        <v>1196</v>
      </c>
      <c r="M626" s="107"/>
      <c r="N626" s="107"/>
      <c r="O626" s="107"/>
      <c r="P626" s="107"/>
      <c r="Q626" s="107"/>
      <c r="R626" s="107"/>
      <c r="S626" s="107"/>
      <c r="T626" s="465" cm="1" t="str">
        <f t="array" ref="T626:T626">T625</f>
        <v>true</v>
      </c>
      <c r="U626" s="107"/>
      <c r="V626" s="107"/>
      <c r="W626" s="107"/>
      <c r="X626" s="1596"/>
      <c r="Y626" s="1278"/>
      <c r="Z626" s="1546"/>
      <c r="AA626" s="1278"/>
      <c r="AB626" s="300" t="s">
        <v>2090</v>
      </c>
      <c r="AC626" s="765" t="s">
        <v>2679</v>
      </c>
      <c r="AD626" s="300" t="s">
        <v>1514</v>
      </c>
      <c r="AE626" s="1116">
        <f>AE627+AE628</f>
        <v>0</v>
      </c>
      <c r="AF626" s="1116">
        <f>AF627+AF628</f>
        <v>0</v>
      </c>
      <c r="AG626" s="1116">
        <f>AG627+AG628</f>
        <v>0</v>
      </c>
      <c r="AH626" s="1114">
        <f>AG626-AF626</f>
        <v>0</v>
      </c>
      <c r="AI626" s="1116">
        <f>AI627+AI628</f>
        <v>0</v>
      </c>
      <c r="AJ626" s="1116">
        <f>AJ627+AJ628</f>
        <v>0</v>
      </c>
      <c r="AK626" s="1115"/>
      <c r="AL626" s="1115"/>
      <c r="AM626" s="1115"/>
      <c r="AN626" s="1115"/>
      <c r="AO626" s="1115"/>
      <c r="AP626" s="1115"/>
      <c r="AQ626" s="1115"/>
      <c r="AR626" s="1115"/>
      <c r="AS626" s="1115"/>
      <c r="AT626" s="1116">
        <f>AT627+AT628</f>
        <v>0</v>
      </c>
      <c r="AU626" s="1115"/>
      <c r="AV626" s="1115"/>
      <c r="AW626" s="1115"/>
      <c r="AX626" s="1115"/>
      <c r="AY626" s="1115"/>
      <c r="AZ626" s="1115"/>
      <c r="BA626" s="1115"/>
      <c r="BB626" s="1115"/>
      <c r="BC626" s="1115"/>
      <c r="BD626" s="1114">
        <f>IF(AI626=0,0,(AT626-AI626)/AI626*100)</f>
        <v>0</v>
      </c>
      <c r="BE626" s="1115"/>
      <c r="BF626" s="1115"/>
      <c r="BG626" s="1115"/>
      <c r="BH626" s="1115"/>
      <c r="BI626" s="1115"/>
      <c r="BJ626" s="1115"/>
      <c r="BK626" s="1115"/>
      <c r="BL626" s="1115"/>
      <c r="BM626" s="1115"/>
      <c r="BN626" s="7433"/>
      <c r="BO626" s="7433"/>
      <c r="BP626" s="7433"/>
      <c r="BQ626" s="1278"/>
      <c r="BR626" s="1278"/>
      <c r="BS626" s="1062" t="s">
        <v>2506</v>
      </c>
      <c r="BT626" s="1064"/>
      <c r="BU626" s="1064"/>
      <c r="BV626" s="979"/>
      <c r="BW626" s="979"/>
    </row>
    <row s="1834" customFormat="1" customHeight="1" ht="0">
      <c r="A627" s="1278"/>
      <c r="B627" s="978"/>
      <c r="C627" s="107"/>
      <c r="D627" s="107"/>
      <c r="E627" s="621">
        <v>15</v>
      </c>
      <c r="F627" s="50" cm="1" t="str">
        <f t="array" ref="F627:F627">OFFSET(E627,-1,1)</f>
        <v>4</v>
      </c>
      <c r="G627" s="848" t="s">
        <v>1881</v>
      </c>
      <c r="H627" s="857"/>
      <c r="I627" s="857" t="s">
        <v>2680</v>
      </c>
      <c r="J627" s="107"/>
      <c r="K627" s="378" t="s">
        <v>2680</v>
      </c>
      <c r="L627" s="980" t="s">
        <v>2507</v>
      </c>
      <c r="M627" s="107"/>
      <c r="N627" s="107"/>
      <c r="O627" s="107"/>
      <c r="P627" s="107"/>
      <c r="Q627" s="107"/>
      <c r="R627" s="107"/>
      <c r="S627" s="107"/>
      <c r="T627" s="465" cm="1" t="str">
        <f t="array" ref="T627:T627">T626</f>
        <v>true</v>
      </c>
      <c r="U627" s="107"/>
      <c r="V627" s="107"/>
      <c r="W627" s="107"/>
      <c r="X627" s="1596"/>
      <c r="Y627" s="1278"/>
      <c r="Z627" s="1546"/>
      <c r="AA627" s="1278"/>
      <c r="AB627" s="300" t="s">
        <v>2681</v>
      </c>
      <c r="AC627" s="768" t="s">
        <v>2508</v>
      </c>
      <c r="AD627" s="300" t="s">
        <v>1514</v>
      </c>
      <c r="AE627" s="1114">
        <f>_xlfn.SUMIFS(ФОТ!AE$25:AE$188,ФОТ!$F$25:$F$188,$F627,ФОТ!$G$25:$G$188,$G627)</f>
        <v>0</v>
      </c>
      <c r="AF627" s="1114">
        <f>_xlfn.SUMIFS(ФОТ!AF$25:AF$188,ФОТ!$F$25:$F$188,$F627,ФОТ!$G$25:$G$188,$G627)</f>
        <v>0</v>
      </c>
      <c r="AG627" s="1114">
        <f>_xlfn.SUMIFS(ФОТ!AG$25:AG$188,ФОТ!$F$25:$F$188,$F627,ФОТ!$G$25:$G$188,$G627)</f>
        <v>0</v>
      </c>
      <c r="AH627" s="1114">
        <f>AG627-AF627</f>
        <v>0</v>
      </c>
      <c r="AI627" s="1114">
        <f>_xlfn.SUMIFS(ФОТ!AH$25:AH$188,ФОТ!$F$25:$F$188,$F627,ФОТ!$G$25:$G$188,$G627)</f>
        <v>0</v>
      </c>
      <c r="AJ627" s="1114">
        <f>_xlfn.SUMIFS(ФОТ!AI$25:AI$188,ФОТ!$F$25:$F$188,$F627,ФОТ!$G$25:$G$188,$G627)</f>
        <v>0</v>
      </c>
      <c r="AK627" s="1115"/>
      <c r="AL627" s="1115"/>
      <c r="AM627" s="1115"/>
      <c r="AN627" s="1115"/>
      <c r="AO627" s="1115"/>
      <c r="AP627" s="1115"/>
      <c r="AQ627" s="1115"/>
      <c r="AR627" s="1115"/>
      <c r="AS627" s="1115"/>
      <c r="AT627" s="1114">
        <f>_xlfn.SUMIFS(ФОТ!AJ$25:AJ$188,ФОТ!$F$25:$F$188,$F627,ФОТ!$G$25:$G$188,$G627)</f>
        <v>0</v>
      </c>
      <c r="AU627" s="1115"/>
      <c r="AV627" s="1115"/>
      <c r="AW627" s="1115"/>
      <c r="AX627" s="1115"/>
      <c r="AY627" s="1115"/>
      <c r="AZ627" s="1115"/>
      <c r="BA627" s="1115"/>
      <c r="BB627" s="1115"/>
      <c r="BC627" s="1115"/>
      <c r="BD627" s="1114">
        <f>IF(AI627=0,0,(AT627-AI627)/AI627*100)</f>
        <v>0</v>
      </c>
      <c r="BE627" s="1115"/>
      <c r="BF627" s="1115"/>
      <c r="BG627" s="1115"/>
      <c r="BH627" s="1115"/>
      <c r="BI627" s="1115"/>
      <c r="BJ627" s="1115"/>
      <c r="BK627" s="1115"/>
      <c r="BL627" s="1115"/>
      <c r="BM627" s="1115"/>
      <c r="BN627" s="7433"/>
      <c r="BO627" s="7437" t="str">
        <f>IF(_xlfn.IFERROR(INDEX(ФОТ!$K$26:$L$188,MATCH($F627&amp;"3komm",ФОТ!$K$26:$K$188,0),2),"")=0,"",_xlfn.IFERROR(INDEX(ФОТ!$K$26:$L$188,MATCH($F627&amp;"3komm",ФОТ!$K$26:$K$188,0),2),""))</f>
        <v/>
      </c>
      <c r="BP627" s="7433"/>
      <c r="BQ627" s="1278"/>
      <c r="BR627" s="1278"/>
      <c r="BS627" s="1062" t="s">
        <v>2509</v>
      </c>
      <c r="BT627" s="1064"/>
      <c r="BU627" s="1064"/>
      <c r="BV627" s="979"/>
      <c r="BW627" s="979"/>
    </row>
    <row s="1834" customFormat="1" customHeight="1" ht="0">
      <c r="A628" s="1278"/>
      <c r="B628" s="978"/>
      <c r="C628" s="107"/>
      <c r="D628" s="107"/>
      <c r="E628" s="621">
        <v>22.5</v>
      </c>
      <c r="F628" s="50" cm="1" t="str">
        <f t="array" ref="F628:F628">OFFSET(E628,-1,1)</f>
        <v>4</v>
      </c>
      <c r="G628" s="848" t="s">
        <v>1886</v>
      </c>
      <c r="H628" s="857"/>
      <c r="I628" s="857" t="s">
        <v>2682</v>
      </c>
      <c r="J628" s="107"/>
      <c r="K628" s="378" t="s">
        <v>2682</v>
      </c>
      <c r="L628" s="980" t="s">
        <v>2510</v>
      </c>
      <c r="M628" s="107"/>
      <c r="N628" s="107"/>
      <c r="O628" s="107"/>
      <c r="P628" s="107"/>
      <c r="Q628" s="107"/>
      <c r="R628" s="107"/>
      <c r="S628" s="107"/>
      <c r="T628" s="465" cm="1" t="str">
        <f t="array" ref="T628:T628">T627</f>
        <v>true</v>
      </c>
      <c r="U628" s="107"/>
      <c r="V628" s="107"/>
      <c r="W628" s="107"/>
      <c r="X628" s="1596"/>
      <c r="Y628" s="1278"/>
      <c r="Z628" s="1546"/>
      <c r="AA628" s="1278"/>
      <c r="AB628" s="300" t="s">
        <v>2683</v>
      </c>
      <c r="AC628" s="768" t="s">
        <v>2684</v>
      </c>
      <c r="AD628" s="300" t="s">
        <v>1514</v>
      </c>
      <c r="AE628" s="1114">
        <f>_xlfn.SUMIFS(ФОТ!AE$25:AE$188,ФОТ!$F$25:$F$188,$F628,ФОТ!$G$25:$G$188,$G628)</f>
        <v>0</v>
      </c>
      <c r="AF628" s="1114">
        <f>_xlfn.SUMIFS(ФОТ!AF$25:AF$188,ФОТ!$F$25:$F$188,$F628,ФОТ!$G$25:$G$188,$G628)</f>
        <v>0</v>
      </c>
      <c r="AG628" s="1114">
        <f>_xlfn.SUMIFS(ФОТ!AG$25:AG$188,ФОТ!$F$25:$F$188,$F628,ФОТ!$G$25:$G$188,$G628)</f>
        <v>0</v>
      </c>
      <c r="AH628" s="1114">
        <f>AG628-AF628</f>
        <v>0</v>
      </c>
      <c r="AI628" s="1114">
        <f>_xlfn.SUMIFS(ФОТ!AH$25:AH$188,ФОТ!$F$25:$F$188,$F628,ФОТ!$G$25:$G$188,$G628)</f>
        <v>0</v>
      </c>
      <c r="AJ628" s="1114">
        <f>_xlfn.SUMIFS(ФОТ!AI$25:AI$188,ФОТ!$F$25:$F$188,$F628,ФОТ!$G$25:$G$188,$G628)</f>
        <v>0</v>
      </c>
      <c r="AK628" s="1115"/>
      <c r="AL628" s="1115"/>
      <c r="AM628" s="1115"/>
      <c r="AN628" s="1115"/>
      <c r="AO628" s="1115"/>
      <c r="AP628" s="1115"/>
      <c r="AQ628" s="1115"/>
      <c r="AR628" s="1115"/>
      <c r="AS628" s="1115"/>
      <c r="AT628" s="1114">
        <f>_xlfn.SUMIFS(ФОТ!AJ$25:AJ$188,ФОТ!$F$25:$F$188,$F628,ФОТ!$G$25:$G$188,$G628)</f>
        <v>0</v>
      </c>
      <c r="AU628" s="1115"/>
      <c r="AV628" s="1115"/>
      <c r="AW628" s="1115"/>
      <c r="AX628" s="1115"/>
      <c r="AY628" s="1115"/>
      <c r="AZ628" s="1115"/>
      <c r="BA628" s="1115"/>
      <c r="BB628" s="1115"/>
      <c r="BC628" s="1115"/>
      <c r="BD628" s="1114">
        <f>IF(AI628=0,0,(AT628-AI628)/AI628*100)</f>
        <v>0</v>
      </c>
      <c r="BE628" s="1115"/>
      <c r="BF628" s="1115"/>
      <c r="BG628" s="1115"/>
      <c r="BH628" s="1115"/>
      <c r="BI628" s="1115"/>
      <c r="BJ628" s="1115"/>
      <c r="BK628" s="1115"/>
      <c r="BL628" s="1115"/>
      <c r="BM628" s="1115"/>
      <c r="BN628" s="7433"/>
      <c r="BO628" s="7437" t="str">
        <f>IF(_xlfn.IFERROR(INDEX(ФОТ!$K$26:$L$188,MATCH($F628&amp;"4komm",ФОТ!$K$26:$K$188,0),2),"")=0,"",_xlfn.IFERROR(INDEX(ФОТ!$K$26:$L$188,MATCH($F628&amp;"4komm",ФОТ!$K$26:$K$188,0),2),""))</f>
        <v/>
      </c>
      <c r="BP628" s="7433"/>
      <c r="BQ628" s="1278"/>
      <c r="BR628" s="1278"/>
      <c r="BS628" s="1062" t="s">
        <v>2512</v>
      </c>
      <c r="BT628" s="1064"/>
      <c r="BU628" s="1064"/>
      <c r="BV628" s="979"/>
      <c r="BW628" s="979"/>
    </row>
    <row s="7620" customFormat="1" customHeight="1" ht="20.25">
      <c r="A629" s="700"/>
      <c r="B629" s="435"/>
      <c r="C629" s="109"/>
      <c r="D629" s="109"/>
      <c r="E629" s="826">
        <v>21</v>
      </c>
      <c r="F629" s="50" cm="1" t="str">
        <f t="array" ref="F629:F629">OFFSET(E629,-1,1)</f>
        <v>4</v>
      </c>
      <c r="G629" s="109"/>
      <c r="H629" s="857"/>
      <c r="I629" s="857" t="s">
        <v>1186</v>
      </c>
      <c r="J629" s="109"/>
      <c r="K629" s="378" t="s">
        <v>1186</v>
      </c>
      <c r="L629" s="985" t="s">
        <v>334</v>
      </c>
      <c r="M629" s="109"/>
      <c r="N629" s="109"/>
      <c r="O629" s="109"/>
      <c r="P629" s="109"/>
      <c r="Q629" s="109"/>
      <c r="R629" s="109"/>
      <c r="S629" s="109"/>
      <c r="T629" s="465" cm="1" t="str">
        <f t="array" ref="T629:T629">T628</f>
        <v>true</v>
      </c>
      <c r="U629" s="109"/>
      <c r="V629" s="109"/>
      <c r="W629" s="109"/>
      <c r="X629" s="1596"/>
      <c r="Y629" s="700"/>
      <c r="Z629" s="1546"/>
      <c r="AA629" s="700"/>
      <c r="AB629" s="211" t="s">
        <v>1637</v>
      </c>
      <c r="AC629" s="361" t="s">
        <v>2685</v>
      </c>
      <c r="AD629" s="211" t="s">
        <v>1514</v>
      </c>
      <c r="AE629" s="213">
        <f>AE630+AE638+AE641+AE642+AE643+AE644+AE645</f>
        <v>0</v>
      </c>
      <c r="AF629" s="213">
        <f>AF630+AF638+AF641+AF642+AF643+AF644+AF645</f>
        <v>0</v>
      </c>
      <c r="AG629" s="213">
        <f>AG630+AG638+AG641+AG642+AG643+AG644+AG645</f>
        <v>0</v>
      </c>
      <c r="AH629" s="778">
        <f>AG629-AF629</f>
        <v>0</v>
      </c>
      <c r="AI629" s="213">
        <f>AI630+AI638+AI641+AI642+AI643+AI644+AI645</f>
        <v>0</v>
      </c>
      <c r="AJ629" s="213">
        <f>AJ630+AJ638+AJ641+AJ642+AJ643+AJ644+AJ645</f>
        <v>25732.3259537776</v>
      </c>
      <c r="AK629" s="216"/>
      <c r="AL629" s="216"/>
      <c r="AM629" s="216"/>
      <c r="AN629" s="216"/>
      <c r="AO629" s="216"/>
      <c r="AP629" s="216"/>
      <c r="AQ629" s="216"/>
      <c r="AR629" s="216"/>
      <c r="AS629" s="216"/>
      <c r="AT629" s="213">
        <f>AT630+AT638+AT641+AT642+AT643+AT644+AT645</f>
        <v>25732.3259537776</v>
      </c>
      <c r="AU629" s="216"/>
      <c r="AV629" s="216"/>
      <c r="AW629" s="216"/>
      <c r="AX629" s="216"/>
      <c r="AY629" s="216"/>
      <c r="AZ629" s="216"/>
      <c r="BA629" s="216"/>
      <c r="BB629" s="216"/>
      <c r="BC629" s="216"/>
      <c r="BD629" s="778">
        <f>IF(AI629=0,0,(AT629-AI629)/AI629*100)</f>
        <v>0</v>
      </c>
      <c r="BE629" s="216"/>
      <c r="BF629" s="216"/>
      <c r="BG629" s="216"/>
      <c r="BH629" s="216"/>
      <c r="BI629" s="216"/>
      <c r="BJ629" s="216"/>
      <c r="BK629" s="216"/>
      <c r="BL629" s="216"/>
      <c r="BM629" s="216"/>
      <c r="BN629" s="7436"/>
      <c r="BO629" s="7436" t="s">
        <v>2926</v>
      </c>
      <c r="BP629" s="7436"/>
      <c r="BQ629" s="700"/>
      <c r="BR629" s="700"/>
      <c r="BS629" s="1063" t="s">
        <v>2514</v>
      </c>
      <c r="BT629" s="1070"/>
      <c r="BU629" s="1070"/>
      <c r="BV629" s="707"/>
      <c r="BW629" s="707"/>
    </row>
    <row s="1834" customFormat="1" customHeight="1" ht="21.75">
      <c r="A630" s="1278"/>
      <c r="B630" s="978"/>
      <c r="C630" s="107"/>
      <c r="D630" s="107"/>
      <c r="E630" s="621">
        <v>22.5</v>
      </c>
      <c r="F630" s="50" cm="1" t="str">
        <f t="array" ref="F630:F630">OFFSET(E630,-1,1)</f>
        <v>4</v>
      </c>
      <c r="G630" s="107" t="s">
        <v>1916</v>
      </c>
      <c r="H630" s="857"/>
      <c r="I630" s="857" t="s">
        <v>2095</v>
      </c>
      <c r="J630" s="107"/>
      <c r="K630" s="378" t="s">
        <v>2095</v>
      </c>
      <c r="L630" s="980" t="s">
        <v>1658</v>
      </c>
      <c r="M630" s="107"/>
      <c r="N630" s="107"/>
      <c r="O630" s="107"/>
      <c r="P630" s="107"/>
      <c r="Q630" s="107"/>
      <c r="R630" s="107"/>
      <c r="S630" s="107"/>
      <c r="T630" s="465" cm="1" t="str">
        <f t="array" ref="T630:T630">T629</f>
        <v>true</v>
      </c>
      <c r="U630" s="107"/>
      <c r="V630" s="107"/>
      <c r="W630" s="107"/>
      <c r="X630" s="1596"/>
      <c r="Y630" s="1278"/>
      <c r="Z630" s="1546"/>
      <c r="AA630" s="1278"/>
      <c r="AB630" s="300" t="s">
        <v>1752</v>
      </c>
      <c r="AC630" s="765" t="s">
        <v>2686</v>
      </c>
      <c r="AD630" s="300" t="s">
        <v>1514</v>
      </c>
      <c r="AE630" s="1114">
        <f>_xlfn.SUMIFS(Административные!AE$25:AE$122,Административные!$F$25:$F$122,$F630,Административные!$G$25:$G$122,$G630)</f>
        <v>0</v>
      </c>
      <c r="AF630" s="1114">
        <f>_xlfn.SUMIFS(Административные!AF$25:AF$122,Административные!$F$25:$F$122,$F630,Административные!$G$25:$G$122,$G630)</f>
        <v>0</v>
      </c>
      <c r="AG630" s="1114">
        <f>_xlfn.SUMIFS(Административные!AG$25:AG$122,Административные!$F$25:$F$122,$F630,Административные!$G$25:$G$122,$G630)</f>
        <v>0</v>
      </c>
      <c r="AH630" s="1114">
        <f>AG630-AF630</f>
        <v>0</v>
      </c>
      <c r="AI630" s="1114">
        <f>_xlfn.SUMIFS(Административные!AH$25:AH$122,Административные!$F$25:$F$122,$F630,Административные!$G$25:$G$122,$G630)</f>
        <v>0</v>
      </c>
      <c r="AJ630" s="1114">
        <f>_xlfn.SUMIFS(Административные!AI$25:AI$122,Административные!$F$25:$F$122,$F630,Административные!$G$25:$G$122,$G630)</f>
        <v>1237.342555</v>
      </c>
      <c r="AK630" s="1115"/>
      <c r="AL630" s="1115"/>
      <c r="AM630" s="1115"/>
      <c r="AN630" s="1115"/>
      <c r="AO630" s="1115"/>
      <c r="AP630" s="1115"/>
      <c r="AQ630" s="1115"/>
      <c r="AR630" s="1115"/>
      <c r="AS630" s="1115"/>
      <c r="AT630" s="1114">
        <f>_xlfn.SUMIFS(Административные!AJ$25:AJ$122,Административные!$F$25:$F$122,$F630,Административные!$G$25:$G$122,$G630)</f>
        <v>1237.342555</v>
      </c>
      <c r="AU630" s="1115"/>
      <c r="AV630" s="1115"/>
      <c r="AW630" s="1115"/>
      <c r="AX630" s="1115"/>
      <c r="AY630" s="1115"/>
      <c r="AZ630" s="1115"/>
      <c r="BA630" s="1115"/>
      <c r="BB630" s="1115"/>
      <c r="BC630" s="1115"/>
      <c r="BD630" s="1114">
        <f>IF(AI630=0,0,(AT630-AI630)/AI630*100)</f>
        <v>0</v>
      </c>
      <c r="BE630" s="1115"/>
      <c r="BF630" s="1115"/>
      <c r="BG630" s="1115"/>
      <c r="BH630" s="1115"/>
      <c r="BI630" s="1115"/>
      <c r="BJ630" s="1115"/>
      <c r="BK630" s="1115"/>
      <c r="BL630" s="1115"/>
      <c r="BM630" s="1115"/>
      <c r="BN630" s="7433"/>
      <c r="BO630" s="7437" t="str">
        <f>IF(_xlfn.IFERROR(INDEX(Административные!$K$26:$L$122,MATCH($F630&amp;"17komm",Административные!$K$26:$K$122,0),2),"")=0,"",_xlfn.IFERROR(INDEX(Административные!$K$26:$L$122,MATCH($F630&amp;"17komm",Административные!$K$26:$K$122,0),2),""))</f>
        <v>Учтены расходы по выданным долгосрочным параметрам и соответствуют предложению организации.</v>
      </c>
      <c r="BP630" s="7433"/>
      <c r="BQ630" s="1278"/>
      <c r="BR630" s="1278"/>
      <c r="BS630" s="1062" t="s">
        <v>1918</v>
      </c>
      <c r="BT630" s="1064"/>
      <c r="BU630" s="1064"/>
      <c r="BV630" s="979"/>
      <c r="BW630" s="979"/>
    </row>
    <row s="1834" customFormat="1" customHeight="1" ht="45">
      <c r="A631" s="1278"/>
      <c r="B631" s="978"/>
      <c r="C631" s="107"/>
      <c r="D631" s="107"/>
      <c r="E631" s="621">
        <v>15</v>
      </c>
      <c r="F631" s="50" cm="1" t="str">
        <f t="array" ref="F631:F631">OFFSET(E631,-1,1)</f>
        <v>4</v>
      </c>
      <c r="G631" s="107" t="s">
        <v>1919</v>
      </c>
      <c r="H631" s="857"/>
      <c r="I631" s="857" t="s">
        <v>2687</v>
      </c>
      <c r="J631" s="107"/>
      <c r="K631" s="378" t="s">
        <v>2687</v>
      </c>
      <c r="L631" s="980"/>
      <c r="M631" s="107"/>
      <c r="N631" s="107"/>
      <c r="O631" s="107"/>
      <c r="P631" s="107"/>
      <c r="Q631" s="107"/>
      <c r="R631" s="107"/>
      <c r="S631" s="107"/>
      <c r="T631" s="465" cm="1" t="str">
        <f t="array" ref="T631:T631">T630</f>
        <v>true</v>
      </c>
      <c r="U631" s="107"/>
      <c r="V631" s="107"/>
      <c r="W631" s="107"/>
      <c r="X631" s="1596"/>
      <c r="Y631" s="1278"/>
      <c r="Z631" s="1546"/>
      <c r="AA631" s="1278"/>
      <c r="AB631" s="300" t="s">
        <v>2688</v>
      </c>
      <c r="AC631" s="768" t="s">
        <v>1920</v>
      </c>
      <c r="AD631" s="300" t="s">
        <v>1514</v>
      </c>
      <c r="AE631" s="1114">
        <f>_xlfn.SUMIFS(Административные!AE$25:AE$122,Административные!$F$25:$F$122,$F631,Административные!$G$25:$G$122,$G631)</f>
        <v>0</v>
      </c>
      <c r="AF631" s="1114">
        <f>_xlfn.SUMIFS(Административные!AF$25:AF$122,Административные!$F$25:$F$122,$F631,Административные!$G$25:$G$122,$G631)</f>
        <v>0</v>
      </c>
      <c r="AG631" s="1114">
        <f>_xlfn.SUMIFS(Административные!AG$25:AG$122,Административные!$F$25:$F$122,$F631,Административные!$G$25:$G$122,$G631)</f>
        <v>0</v>
      </c>
      <c r="AH631" s="1114">
        <f>AG631-AF631</f>
        <v>0</v>
      </c>
      <c r="AI631" s="1114">
        <f>_xlfn.SUMIFS(Административные!AH$25:AH$122,Административные!$F$25:$F$122,$F631,Административные!$G$25:$G$122,$G631)</f>
        <v>0</v>
      </c>
      <c r="AJ631" s="1114">
        <f>_xlfn.SUMIFS(Административные!AI$25:AI$122,Административные!$F$25:$F$122,$F631,Административные!$G$25:$G$122,$G631)</f>
        <v>68.197877</v>
      </c>
      <c r="AK631" s="1115"/>
      <c r="AL631" s="1115"/>
      <c r="AM631" s="1115"/>
      <c r="AN631" s="1115"/>
      <c r="AO631" s="1115"/>
      <c r="AP631" s="1115"/>
      <c r="AQ631" s="1115"/>
      <c r="AR631" s="1115"/>
      <c r="AS631" s="1115"/>
      <c r="AT631" s="1114">
        <f>_xlfn.SUMIFS(Административные!AJ$25:AJ$122,Административные!$F$25:$F$122,$F631,Административные!$G$25:$G$122,$G631)</f>
        <v>68.197877</v>
      </c>
      <c r="AU631" s="1115"/>
      <c r="AV631" s="1115"/>
      <c r="AW631" s="1115"/>
      <c r="AX631" s="1115"/>
      <c r="AY631" s="1115"/>
      <c r="AZ631" s="1115"/>
      <c r="BA631" s="1115"/>
      <c r="BB631" s="1115"/>
      <c r="BC631" s="1115"/>
      <c r="BD631" s="1114">
        <f>IF(AI631=0,0,(AT631-AI631)/AI631*100)</f>
        <v>0</v>
      </c>
      <c r="BE631" s="1115"/>
      <c r="BF631" s="1115"/>
      <c r="BG631" s="1115"/>
      <c r="BH631" s="1115"/>
      <c r="BI631" s="1115"/>
      <c r="BJ631" s="1115"/>
      <c r="BK631" s="1115"/>
      <c r="BL631" s="1115"/>
      <c r="BM631" s="1115"/>
      <c r="BN631" s="7433"/>
      <c r="BO631" s="7437" t="str">
        <f>IF(_xlfn.IFERROR(INDEX(Административные!$K$26:$L$122,MATCH($F631&amp;"18komm",Административные!$K$26:$K$122,0),2),"")=0,"",_xlfn.IFERROR(INDEX(Административные!$K$26:$L$122,MATCH($F631&amp;"18komm",Административные!$K$26:$K$122,0),2),""))</f>
        <v>рассчитано по факту с января по май 2025 года предыдущей организации в пересчете на годовые показатели, с применением ИПЦ Минэкономразвития России на 2026 год 105,1%.</v>
      </c>
      <c r="BP631" s="7433"/>
      <c r="BQ631" s="1278"/>
      <c r="BR631" s="1278"/>
      <c r="BS631" s="1064" t="s">
        <v>1921</v>
      </c>
      <c r="BT631" s="1064"/>
      <c r="BU631" s="1064"/>
      <c r="BV631" s="979"/>
      <c r="BW631" s="979"/>
    </row>
    <row s="1834" customFormat="1" customHeight="1" ht="0">
      <c r="A632" s="1278"/>
      <c r="B632" s="978"/>
      <c r="C632" s="107"/>
      <c r="D632" s="107"/>
      <c r="E632" s="621">
        <v>15</v>
      </c>
      <c r="F632" s="50" cm="1" t="str">
        <f t="array" ref="F632:F632">OFFSET(E632,-1,1)</f>
        <v>4</v>
      </c>
      <c r="G632" s="107" t="s">
        <v>1922</v>
      </c>
      <c r="H632" s="857"/>
      <c r="I632" s="857" t="s">
        <v>2689</v>
      </c>
      <c r="J632" s="107"/>
      <c r="K632" s="378" t="s">
        <v>2689</v>
      </c>
      <c r="L632" s="980"/>
      <c r="M632" s="107"/>
      <c r="N632" s="107"/>
      <c r="O632" s="107"/>
      <c r="P632" s="107"/>
      <c r="Q632" s="107"/>
      <c r="R632" s="107"/>
      <c r="S632" s="107"/>
      <c r="T632" s="465" cm="1" t="str">
        <f t="array" ref="T632:T632">T631</f>
        <v>true</v>
      </c>
      <c r="U632" s="107"/>
      <c r="V632" s="107"/>
      <c r="W632" s="107"/>
      <c r="X632" s="1596"/>
      <c r="Y632" s="1278"/>
      <c r="Z632" s="1546"/>
      <c r="AA632" s="1278"/>
      <c r="AB632" s="300" t="s">
        <v>2690</v>
      </c>
      <c r="AC632" s="768" t="s">
        <v>1923</v>
      </c>
      <c r="AD632" s="300" t="s">
        <v>1514</v>
      </c>
      <c r="AE632" s="1114">
        <f>_xlfn.SUMIFS(Административные!AE$25:AE$122,Административные!$F$25:$F$122,$F632,Административные!$G$25:$G$122,$G632)</f>
        <v>0</v>
      </c>
      <c r="AF632" s="1114">
        <f>_xlfn.SUMIFS(Административные!AF$25:AF$122,Административные!$F$25:$F$122,$F632,Административные!$G$25:$G$122,$G632)</f>
        <v>0</v>
      </c>
      <c r="AG632" s="1114">
        <f>_xlfn.SUMIFS(Административные!AG$25:AG$122,Административные!$F$25:$F$122,$F632,Административные!$G$25:$G$122,$G632)</f>
        <v>0</v>
      </c>
      <c r="AH632" s="1114">
        <f>AG632-AF632</f>
        <v>0</v>
      </c>
      <c r="AI632" s="1114">
        <f>_xlfn.SUMIFS(Административные!AH$25:AH$122,Административные!$F$25:$F$122,$F632,Административные!$G$25:$G$122,$G632)</f>
        <v>0</v>
      </c>
      <c r="AJ632" s="1114">
        <f>_xlfn.SUMIFS(Административные!AI$25:AI$122,Административные!$F$25:$F$122,$F632,Административные!$G$25:$G$122,$G632)</f>
        <v>0</v>
      </c>
      <c r="AK632" s="1115"/>
      <c r="AL632" s="1115"/>
      <c r="AM632" s="1115"/>
      <c r="AN632" s="1115"/>
      <c r="AO632" s="1115"/>
      <c r="AP632" s="1115"/>
      <c r="AQ632" s="1115"/>
      <c r="AR632" s="1115"/>
      <c r="AS632" s="1115"/>
      <c r="AT632" s="1114">
        <f>_xlfn.SUMIFS(Административные!AJ$25:AJ$122,Административные!$F$25:$F$122,$F632,Административные!$G$25:$G$122,$G632)</f>
        <v>0</v>
      </c>
      <c r="AU632" s="1115"/>
      <c r="AV632" s="1115"/>
      <c r="AW632" s="1115"/>
      <c r="AX632" s="1115"/>
      <c r="AY632" s="1115"/>
      <c r="AZ632" s="1115"/>
      <c r="BA632" s="1115"/>
      <c r="BB632" s="1115"/>
      <c r="BC632" s="1115"/>
      <c r="BD632" s="1114">
        <f>IF(AI632=0,0,(AT632-AI632)/AI632*100)</f>
        <v>0</v>
      </c>
      <c r="BE632" s="1115"/>
      <c r="BF632" s="1115"/>
      <c r="BG632" s="1115"/>
      <c r="BH632" s="1115"/>
      <c r="BI632" s="1115"/>
      <c r="BJ632" s="1115"/>
      <c r="BK632" s="1115"/>
      <c r="BL632" s="1115"/>
      <c r="BM632" s="1115"/>
      <c r="BN632" s="7433"/>
      <c r="BO632" s="7437" t="str">
        <f>IF(_xlfn.IFERROR(INDEX(Административные!$K$26:$L$122,MATCH($F632&amp;"11komm",Административные!$K$26:$K$122,0),2),"")=0,"",_xlfn.IFERROR(INDEX(Административные!$K$26:$L$122,MATCH($F632&amp;"11komm",Административные!$K$26:$K$122,0),2),""))</f>
        <v/>
      </c>
      <c r="BP632" s="7433"/>
      <c r="BQ632" s="1278"/>
      <c r="BR632" s="1278"/>
      <c r="BS632" s="1064" t="s">
        <v>1924</v>
      </c>
      <c r="BT632" s="1064"/>
      <c r="BU632" s="1064"/>
      <c r="BV632" s="979"/>
      <c r="BW632" s="979"/>
    </row>
    <row s="1834" customFormat="1" customHeight="1" ht="0">
      <c r="A633" s="1278"/>
      <c r="B633" s="978"/>
      <c r="C633" s="107"/>
      <c r="D633" s="107"/>
      <c r="E633" s="621">
        <v>15</v>
      </c>
      <c r="F633" s="50" cm="1" t="str">
        <f t="array" ref="F633:F633">OFFSET(E633,-1,1)</f>
        <v>4</v>
      </c>
      <c r="G633" s="107" t="s">
        <v>1925</v>
      </c>
      <c r="H633" s="857"/>
      <c r="I633" s="857" t="s">
        <v>2691</v>
      </c>
      <c r="J633" s="107"/>
      <c r="K633" s="378" t="s">
        <v>2691</v>
      </c>
      <c r="L633" s="980"/>
      <c r="M633" s="107"/>
      <c r="N633" s="107"/>
      <c r="O633" s="107"/>
      <c r="P633" s="107"/>
      <c r="Q633" s="107"/>
      <c r="R633" s="107"/>
      <c r="S633" s="107"/>
      <c r="T633" s="465" cm="1" t="str">
        <f t="array" ref="T633:T633">T632</f>
        <v>true</v>
      </c>
      <c r="U633" s="107"/>
      <c r="V633" s="107"/>
      <c r="W633" s="107"/>
      <c r="X633" s="1596"/>
      <c r="Y633" s="1278"/>
      <c r="Z633" s="1546"/>
      <c r="AA633" s="1278"/>
      <c r="AB633" s="300" t="s">
        <v>2692</v>
      </c>
      <c r="AC633" s="768" t="s">
        <v>1926</v>
      </c>
      <c r="AD633" s="300" t="s">
        <v>1514</v>
      </c>
      <c r="AE633" s="1114">
        <f>_xlfn.SUMIFS(Административные!AE$25:AE$122,Административные!$F$25:$F$122,$F633,Административные!$G$25:$G$122,$G633)</f>
        <v>0</v>
      </c>
      <c r="AF633" s="1114">
        <f>_xlfn.SUMIFS(Административные!AF$25:AF$122,Административные!$F$25:$F$122,$F633,Административные!$G$25:$G$122,$G633)</f>
        <v>0</v>
      </c>
      <c r="AG633" s="1114">
        <f>_xlfn.SUMIFS(Административные!AG$25:AG$122,Административные!$F$25:$F$122,$F633,Административные!$G$25:$G$122,$G633)</f>
        <v>0</v>
      </c>
      <c r="AH633" s="1114">
        <f>AG633-AF633</f>
        <v>0</v>
      </c>
      <c r="AI633" s="1114">
        <f>_xlfn.SUMIFS(Административные!AH$25:AH$122,Административные!$F$25:$F$122,$F633,Административные!$G$25:$G$122,$G633)</f>
        <v>0</v>
      </c>
      <c r="AJ633" s="1114">
        <f>_xlfn.SUMIFS(Административные!AI$25:AI$122,Административные!$F$25:$F$122,$F633,Административные!$G$25:$G$122,$G633)</f>
        <v>0</v>
      </c>
      <c r="AK633" s="1115"/>
      <c r="AL633" s="1115"/>
      <c r="AM633" s="1115"/>
      <c r="AN633" s="1115"/>
      <c r="AO633" s="1115"/>
      <c r="AP633" s="1115"/>
      <c r="AQ633" s="1115"/>
      <c r="AR633" s="1115"/>
      <c r="AS633" s="1115"/>
      <c r="AT633" s="1114">
        <f>_xlfn.SUMIFS(Административные!AJ$25:AJ$122,Административные!$F$25:$F$122,$F633,Административные!$G$25:$G$122,$G633)</f>
        <v>0</v>
      </c>
      <c r="AU633" s="1115"/>
      <c r="AV633" s="1115"/>
      <c r="AW633" s="1115"/>
      <c r="AX633" s="1115"/>
      <c r="AY633" s="1115"/>
      <c r="AZ633" s="1115"/>
      <c r="BA633" s="1115"/>
      <c r="BB633" s="1115"/>
      <c r="BC633" s="1115"/>
      <c r="BD633" s="1114">
        <f>IF(AI633=0,0,(AT633-AI633)/AI633*100)</f>
        <v>0</v>
      </c>
      <c r="BE633" s="1115"/>
      <c r="BF633" s="1115"/>
      <c r="BG633" s="1115"/>
      <c r="BH633" s="1115"/>
      <c r="BI633" s="1115"/>
      <c r="BJ633" s="1115"/>
      <c r="BK633" s="1115"/>
      <c r="BL633" s="1115"/>
      <c r="BM633" s="1115"/>
      <c r="BN633" s="7433"/>
      <c r="BO633" s="7437" t="str">
        <f>IF(_xlfn.IFERROR(INDEX(Административные!$K$26:$L$122,MATCH($F633&amp;"12komm",Административные!$K$26:$K$122,0),2),"")=0,"",_xlfn.IFERROR(INDEX(Административные!$K$26:$L$122,MATCH($F633&amp;"12komm",Административные!$K$26:$K$122,0),2),""))</f>
        <v/>
      </c>
      <c r="BP633" s="7433"/>
      <c r="BQ633" s="1278"/>
      <c r="BR633" s="1278"/>
      <c r="BS633" s="1064" t="s">
        <v>1927</v>
      </c>
      <c r="BT633" s="1064"/>
      <c r="BU633" s="1064"/>
      <c r="BV633" s="979"/>
      <c r="BW633" s="979"/>
    </row>
    <row s="1834" customFormat="1" customHeight="1" ht="0">
      <c r="A634" s="1278"/>
      <c r="B634" s="978"/>
      <c r="C634" s="107"/>
      <c r="D634" s="107"/>
      <c r="E634" s="621">
        <v>15</v>
      </c>
      <c r="F634" s="50" cm="1" t="str">
        <f t="array" ref="F634:F634">OFFSET(E634,-1,1)</f>
        <v>4</v>
      </c>
      <c r="G634" s="107" t="s">
        <v>1928</v>
      </c>
      <c r="H634" s="857"/>
      <c r="I634" s="857" t="s">
        <v>2693</v>
      </c>
      <c r="J634" s="107"/>
      <c r="K634" s="378" t="s">
        <v>2693</v>
      </c>
      <c r="L634" s="980"/>
      <c r="M634" s="107"/>
      <c r="N634" s="107"/>
      <c r="O634" s="107"/>
      <c r="P634" s="107"/>
      <c r="Q634" s="107"/>
      <c r="R634" s="107"/>
      <c r="S634" s="107"/>
      <c r="T634" s="465" cm="1" t="str">
        <f t="array" ref="T634:T634">T633</f>
        <v>true</v>
      </c>
      <c r="U634" s="107"/>
      <c r="V634" s="107"/>
      <c r="W634" s="107"/>
      <c r="X634" s="1596"/>
      <c r="Y634" s="1278"/>
      <c r="Z634" s="1546"/>
      <c r="AA634" s="1278"/>
      <c r="AB634" s="300" t="s">
        <v>2694</v>
      </c>
      <c r="AC634" s="768" t="s">
        <v>1929</v>
      </c>
      <c r="AD634" s="300" t="s">
        <v>1514</v>
      </c>
      <c r="AE634" s="1114">
        <f>_xlfn.SUMIFS(Административные!AE$25:AE$122,Административные!$F$25:$F$122,$F634,Административные!$G$25:$G$122,$G634)</f>
        <v>0</v>
      </c>
      <c r="AF634" s="1114">
        <f>_xlfn.SUMIFS(Административные!AF$25:AF$122,Административные!$F$25:$F$122,$F634,Административные!$G$25:$G$122,$G634)</f>
        <v>0</v>
      </c>
      <c r="AG634" s="1114">
        <f>_xlfn.SUMIFS(Административные!AG$25:AG$122,Административные!$F$25:$F$122,$F634,Административные!$G$25:$G$122,$G634)</f>
        <v>0</v>
      </c>
      <c r="AH634" s="1114">
        <f>AG634-AF634</f>
        <v>0</v>
      </c>
      <c r="AI634" s="1114">
        <f>_xlfn.SUMIFS(Административные!AH$25:AH$122,Административные!$F$25:$F$122,$F634,Административные!$G$25:$G$122,$G634)</f>
        <v>0</v>
      </c>
      <c r="AJ634" s="1114">
        <f>_xlfn.SUMIFS(Административные!AI$25:AI$122,Административные!$F$25:$F$122,$F634,Административные!$G$25:$G$122,$G634)</f>
        <v>0</v>
      </c>
      <c r="AK634" s="1115"/>
      <c r="AL634" s="1115"/>
      <c r="AM634" s="1115"/>
      <c r="AN634" s="1115"/>
      <c r="AO634" s="1115"/>
      <c r="AP634" s="1115"/>
      <c r="AQ634" s="1115"/>
      <c r="AR634" s="1115"/>
      <c r="AS634" s="1115"/>
      <c r="AT634" s="1114">
        <f>_xlfn.SUMIFS(Административные!AJ$25:AJ$122,Административные!$F$25:$F$122,$F634,Административные!$G$25:$G$122,$G634)</f>
        <v>0</v>
      </c>
      <c r="AU634" s="1115"/>
      <c r="AV634" s="1115"/>
      <c r="AW634" s="1115"/>
      <c r="AX634" s="1115"/>
      <c r="AY634" s="1115"/>
      <c r="AZ634" s="1115"/>
      <c r="BA634" s="1115"/>
      <c r="BB634" s="1115"/>
      <c r="BC634" s="1115"/>
      <c r="BD634" s="1114">
        <f>IF(AI634=0,0,(AT634-AI634)/AI634*100)</f>
        <v>0</v>
      </c>
      <c r="BE634" s="1115"/>
      <c r="BF634" s="1115"/>
      <c r="BG634" s="1115"/>
      <c r="BH634" s="1115"/>
      <c r="BI634" s="1115"/>
      <c r="BJ634" s="1115"/>
      <c r="BK634" s="1115"/>
      <c r="BL634" s="1115"/>
      <c r="BM634" s="1115"/>
      <c r="BN634" s="7433"/>
      <c r="BO634" s="7437" t="str">
        <f>IF(_xlfn.IFERROR(INDEX(Административные!$K$26:$L$122,MATCH($F634&amp;"13komm",Административные!$K$26:$K$122,0),2),"")=0,"",_xlfn.IFERROR(INDEX(Административные!$K$26:$L$122,MATCH($F634&amp;"13komm",Административные!$K$26:$K$122,0),2),""))</f>
        <v/>
      </c>
      <c r="BP634" s="7433"/>
      <c r="BQ634" s="1278"/>
      <c r="BR634" s="1278"/>
      <c r="BS634" s="1064" t="s">
        <v>1930</v>
      </c>
      <c r="BT634" s="1064"/>
      <c r="BU634" s="1064"/>
      <c r="BV634" s="979"/>
      <c r="BW634" s="979"/>
    </row>
    <row s="1834" customFormat="1" customHeight="1" ht="0">
      <c r="A635" s="1278"/>
      <c r="B635" s="978"/>
      <c r="C635" s="107"/>
      <c r="D635" s="107"/>
      <c r="E635" s="621">
        <v>15</v>
      </c>
      <c r="F635" s="50" cm="1" t="str">
        <f t="array" ref="F635:F635">OFFSET(E635,-1,1)</f>
        <v>4</v>
      </c>
      <c r="G635" s="107" t="s">
        <v>1931</v>
      </c>
      <c r="H635" s="857"/>
      <c r="I635" s="857" t="s">
        <v>2695</v>
      </c>
      <c r="J635" s="107"/>
      <c r="K635" s="378" t="s">
        <v>2695</v>
      </c>
      <c r="L635" s="980"/>
      <c r="M635" s="107"/>
      <c r="N635" s="107"/>
      <c r="O635" s="107"/>
      <c r="P635" s="107"/>
      <c r="Q635" s="107"/>
      <c r="R635" s="107"/>
      <c r="S635" s="107"/>
      <c r="T635" s="465" cm="1" t="str">
        <f t="array" ref="T635:T635">T634</f>
        <v>true</v>
      </c>
      <c r="U635" s="107"/>
      <c r="V635" s="107"/>
      <c r="W635" s="107"/>
      <c r="X635" s="1596"/>
      <c r="Y635" s="1278"/>
      <c r="Z635" s="1546"/>
      <c r="AA635" s="1278"/>
      <c r="AB635" s="300" t="s">
        <v>2696</v>
      </c>
      <c r="AC635" s="768" t="s">
        <v>1932</v>
      </c>
      <c r="AD635" s="300" t="s">
        <v>1514</v>
      </c>
      <c r="AE635" s="787">
        <f>_xlfn.SUMIFS(Административные!AE$25:AE$122,Административные!$F$25:$F$122,$F635,Административные!$G$25:$G$122,$G635)</f>
        <v>0</v>
      </c>
      <c r="AF635" s="787">
        <f>_xlfn.SUMIFS(Административные!AF$25:AF$122,Административные!$F$25:$F$122,$F635,Административные!$G$25:$G$122,$G635)</f>
        <v>0</v>
      </c>
      <c r="AG635" s="787">
        <f>_xlfn.SUMIFS(Административные!AG$25:AG$122,Административные!$F$25:$F$122,$F635,Административные!$G$25:$G$122,$G635)</f>
        <v>0</v>
      </c>
      <c r="AH635" s="767">
        <f>AG635-AF635</f>
        <v>0</v>
      </c>
      <c r="AI635" s="787">
        <f>_xlfn.SUMIFS(Административные!AH$25:AH$122,Административные!$F$25:$F$122,$F635,Административные!$G$25:$G$122,$G635)</f>
        <v>0</v>
      </c>
      <c r="AJ635" s="787">
        <f>_xlfn.SUMIFS(Административные!AI$25:AI$122,Административные!$F$25:$F$122,$F635,Административные!$G$25:$G$122,$G635)</f>
        <v>0</v>
      </c>
      <c r="AK635" s="763"/>
      <c r="AL635" s="763"/>
      <c r="AM635" s="763"/>
      <c r="AN635" s="763"/>
      <c r="AO635" s="763"/>
      <c r="AP635" s="763"/>
      <c r="AQ635" s="763"/>
      <c r="AR635" s="763"/>
      <c r="AS635" s="763"/>
      <c r="AT635" s="787">
        <f>_xlfn.SUMIFS(Административные!AJ$25:AJ$122,Административные!$F$25:$F$122,$F635,Административные!$G$25:$G$122,$G635)</f>
        <v>0</v>
      </c>
      <c r="AU635" s="1115"/>
      <c r="AV635" s="1115"/>
      <c r="AW635" s="1115"/>
      <c r="AX635" s="1115"/>
      <c r="AY635" s="1115"/>
      <c r="AZ635" s="1115"/>
      <c r="BA635" s="1115"/>
      <c r="BB635" s="1115"/>
      <c r="BC635" s="1115"/>
      <c r="BD635" s="1114">
        <f>IF(AI635=0,0,(AT635-AI635)/AI635*100)</f>
        <v>0</v>
      </c>
      <c r="BE635" s="1115"/>
      <c r="BF635" s="1115"/>
      <c r="BG635" s="1115"/>
      <c r="BH635" s="1115"/>
      <c r="BI635" s="1115"/>
      <c r="BJ635" s="1115"/>
      <c r="BK635" s="1115"/>
      <c r="BL635" s="1115"/>
      <c r="BM635" s="1115"/>
      <c r="BN635" s="7433"/>
      <c r="BO635" s="7437" t="str">
        <f>IF(_xlfn.IFERROR(INDEX(Административные!$K$26:$L$122,MATCH($F635&amp;"14komm",Административные!$K$26:$K$122,0),2),"")=0,"",_xlfn.IFERROR(INDEX(Административные!$K$26:$L$122,MATCH($F635&amp;"14komm",Административные!$K$26:$K$122,0),2),""))</f>
        <v/>
      </c>
      <c r="BP635" s="7433"/>
      <c r="BQ635" s="1278"/>
      <c r="BR635" s="1278"/>
      <c r="BS635" s="1064" t="s">
        <v>2697</v>
      </c>
      <c r="BT635" s="1064"/>
      <c r="BU635" s="1064"/>
      <c r="BV635" s="979"/>
      <c r="BW635" s="979"/>
    </row>
    <row s="1834" customFormat="1" customHeight="1" ht="24">
      <c r="A636" s="1278"/>
      <c r="B636" s="978"/>
      <c r="C636" s="107"/>
      <c r="D636" s="107"/>
      <c r="E636" s="621">
        <v>15</v>
      </c>
      <c r="F636" s="50" cm="1" t="str">
        <f t="array" ref="F636:F636">OFFSET(E636,-1,1)</f>
        <v>4</v>
      </c>
      <c r="G636" s="107" t="s">
        <v>1934</v>
      </c>
      <c r="H636" s="857"/>
      <c r="I636" s="857" t="s">
        <v>2698</v>
      </c>
      <c r="J636" s="107"/>
      <c r="K636" s="378" t="s">
        <v>2698</v>
      </c>
      <c r="L636" s="980"/>
      <c r="M636" s="107"/>
      <c r="N636" s="107"/>
      <c r="O636" s="107"/>
      <c r="P636" s="107"/>
      <c r="Q636" s="107"/>
      <c r="R636" s="107"/>
      <c r="S636" s="107"/>
      <c r="T636" s="465" cm="1" t="str">
        <f t="array" ref="T636:T636">T635</f>
        <v>true</v>
      </c>
      <c r="U636" s="107"/>
      <c r="V636" s="107"/>
      <c r="W636" s="107"/>
      <c r="X636" s="1596"/>
      <c r="Y636" s="1278"/>
      <c r="Z636" s="1546"/>
      <c r="AA636" s="1278"/>
      <c r="AB636" s="300" t="s">
        <v>2699</v>
      </c>
      <c r="AC636" s="768" t="s">
        <v>1937</v>
      </c>
      <c r="AD636" s="300" t="s">
        <v>1514</v>
      </c>
      <c r="AE636" s="1114">
        <f>_xlfn.SUMIFS(Административные!AE$25:AE$122,Административные!$F$25:$F$122,$F636,Административные!$G$25:$G$122,$G636)</f>
        <v>0</v>
      </c>
      <c r="AF636" s="1114">
        <f>_xlfn.SUMIFS(Административные!AF$25:AF$122,Административные!$F$25:$F$122,$F636,Административные!$G$25:$G$122,$G636)</f>
        <v>0</v>
      </c>
      <c r="AG636" s="1114">
        <f>_xlfn.SUMIFS(Административные!AG$25:AG$122,Административные!$F$25:$F$122,$F636,Административные!$G$25:$G$122,$G636)</f>
        <v>0</v>
      </c>
      <c r="AH636" s="1114">
        <f>AG636-AF636</f>
        <v>0</v>
      </c>
      <c r="AI636" s="1114">
        <f>_xlfn.SUMIFS(Административные!AH$25:AH$122,Административные!$F$25:$F$122,$F636,Административные!$G$25:$G$122,$G636)</f>
        <v>0</v>
      </c>
      <c r="AJ636" s="1114">
        <f>_xlfn.SUMIFS(Административные!AI$25:AI$122,Административные!$F$25:$F$122,$F636,Административные!$G$25:$G$122,$G636)</f>
        <v>20.976834</v>
      </c>
      <c r="AK636" s="1115"/>
      <c r="AL636" s="1115"/>
      <c r="AM636" s="1115"/>
      <c r="AN636" s="1115"/>
      <c r="AO636" s="1115"/>
      <c r="AP636" s="1115"/>
      <c r="AQ636" s="1115"/>
      <c r="AR636" s="1115"/>
      <c r="AS636" s="1115"/>
      <c r="AT636" s="1114">
        <f>_xlfn.SUMIFS(Административные!AJ$25:AJ$122,Административные!$F$25:$F$122,$F636,Административные!$G$25:$G$122,$G636)</f>
        <v>20.976834</v>
      </c>
      <c r="AU636" s="1115"/>
      <c r="AV636" s="1115"/>
      <c r="AW636" s="1115"/>
      <c r="AX636" s="1115"/>
      <c r="AY636" s="1115"/>
      <c r="AZ636" s="1115"/>
      <c r="BA636" s="1115"/>
      <c r="BB636" s="1115"/>
      <c r="BC636" s="1115"/>
      <c r="BD636" s="1114">
        <f>IF(AI636=0,0,(AT636-AI636)/AI636*100)</f>
        <v>0</v>
      </c>
      <c r="BE636" s="1115"/>
      <c r="BF636" s="1115"/>
      <c r="BG636" s="1115"/>
      <c r="BH636" s="1115"/>
      <c r="BI636" s="1115"/>
      <c r="BJ636" s="1115"/>
      <c r="BK636" s="1115"/>
      <c r="BL636" s="1115"/>
      <c r="BM636" s="1115"/>
      <c r="BN636" s="7433"/>
      <c r="BO636" s="7437" t="str">
        <f>IF(_xlfn.IFERROR(INDEX(Административные!$K$26:$L$122,MATCH($F636&amp;"15komm",Административные!$K$26:$K$122,0),2),"")=0,"",_xlfn.IFERROR(INDEX(Административные!$K$26:$L$122,MATCH($F636&amp;"15komm",Административные!$K$26:$K$122,0),2),""))</f>
        <v>по расчету организации, не превышает факт 2025 года предыдущей организации.</v>
      </c>
      <c r="BP636" s="7433"/>
      <c r="BQ636" s="1278"/>
      <c r="BR636" s="1278"/>
      <c r="BS636" s="1064" t="s">
        <v>1938</v>
      </c>
      <c r="BT636" s="1064"/>
      <c r="BU636" s="1064"/>
      <c r="BV636" s="979"/>
      <c r="BW636" s="979"/>
    </row>
    <row s="1834" customFormat="1" customHeight="1" ht="182.25">
      <c r="A637" s="1278"/>
      <c r="B637" s="978"/>
      <c r="C637" s="107"/>
      <c r="D637" s="107"/>
      <c r="E637" s="621">
        <v>15</v>
      </c>
      <c r="F637" s="50" cm="1" t="str">
        <f t="array" ref="F637:F637">OFFSET(E637,-1,1)</f>
        <v>4</v>
      </c>
      <c r="G637" s="107" t="s">
        <v>1939</v>
      </c>
      <c r="H637" s="857"/>
      <c r="I637" s="857" t="s">
        <v>2700</v>
      </c>
      <c r="J637" s="107"/>
      <c r="K637" s="378" t="s">
        <v>2700</v>
      </c>
      <c r="L637" s="980"/>
      <c r="M637" s="107"/>
      <c r="N637" s="107"/>
      <c r="O637" s="107"/>
      <c r="P637" s="107"/>
      <c r="Q637" s="107"/>
      <c r="R637" s="107"/>
      <c r="S637" s="107"/>
      <c r="T637" s="465" cm="1" t="str">
        <f t="array" ref="T637:T637">T636</f>
        <v>true</v>
      </c>
      <c r="U637" s="107"/>
      <c r="V637" s="107"/>
      <c r="W637" s="107"/>
      <c r="X637" s="1596"/>
      <c r="Y637" s="1278"/>
      <c r="Z637" s="1546"/>
      <c r="AA637" s="1278"/>
      <c r="AB637" s="300" t="s">
        <v>2701</v>
      </c>
      <c r="AC637" s="768" t="s">
        <v>1942</v>
      </c>
      <c r="AD637" s="300" t="s">
        <v>1514</v>
      </c>
      <c r="AE637" s="1114">
        <f>_xlfn.SUMIFS(Административные!AE$25:AE$122,Административные!$F$25:$F$122,$F637,Административные!$G$25:$G$122,$G637)</f>
        <v>0</v>
      </c>
      <c r="AF637" s="1114">
        <f>_xlfn.SUMIFS(Административные!AF$25:AF$122,Административные!$F$25:$F$122,$F637,Административные!$G$25:$G$122,$G637)</f>
        <v>0</v>
      </c>
      <c r="AG637" s="1114">
        <f>_xlfn.SUMIFS(Административные!AG$25:AG$122,Административные!$F$25:$F$122,$F637,Административные!$G$25:$G$122,$G637)</f>
        <v>0</v>
      </c>
      <c r="AH637" s="1114">
        <f>AG637-AF637</f>
        <v>0</v>
      </c>
      <c r="AI637" s="1114">
        <f>_xlfn.SUMIFS(Административные!AH$25:AH$122,Административные!$F$25:$F$122,$F637,Административные!$G$25:$G$122,$G637)</f>
        <v>0</v>
      </c>
      <c r="AJ637" s="1114">
        <f>_xlfn.SUMIFS(Административные!AI$25:AI$122,Административные!$F$25:$F$122,$F637,Административные!$G$25:$G$122,$G637)</f>
        <v>1148.167844</v>
      </c>
      <c r="AK637" s="1115"/>
      <c r="AL637" s="1115"/>
      <c r="AM637" s="1115"/>
      <c r="AN637" s="1115"/>
      <c r="AO637" s="1115"/>
      <c r="AP637" s="1115"/>
      <c r="AQ637" s="1115"/>
      <c r="AR637" s="1115"/>
      <c r="AS637" s="1115"/>
      <c r="AT637" s="1114">
        <f>_xlfn.SUMIFS(Административные!AJ$25:AJ$122,Административные!$F$25:$F$122,$F637,Административные!$G$25:$G$122,$G637)</f>
        <v>1148.167844</v>
      </c>
      <c r="AU637" s="1115"/>
      <c r="AV637" s="1115"/>
      <c r="AW637" s="1115"/>
      <c r="AX637" s="1115"/>
      <c r="AY637" s="1115"/>
      <c r="AZ637" s="1115"/>
      <c r="BA637" s="1115"/>
      <c r="BB637" s="1115"/>
      <c r="BC637" s="1115"/>
      <c r="BD637" s="1114">
        <f>IF(AI637=0,0,(AT637-AI637)/AI637*100)</f>
        <v>0</v>
      </c>
      <c r="BE637" s="1115"/>
      <c r="BF637" s="1115"/>
      <c r="BG637" s="1115"/>
      <c r="BH637" s="1115"/>
      <c r="BI637" s="1115"/>
      <c r="BJ637" s="1115"/>
      <c r="BK637" s="1115"/>
      <c r="BL637" s="1115"/>
      <c r="BM637" s="1115"/>
      <c r="BN637" s="7433"/>
      <c r="BO637" s="7437" t="str">
        <f>IF(_xlfn.IFERROR(INDEX(Административные!$K$26:$L$122,MATCH($F637&amp;"16komm",Административные!$K$26:$K$122,0),2),"")=0,"",_xlfn.IFERROR(INDEX(Административные!$K$26:$L$122,MATCH($F637&amp;"16komm",Административные!$K$26:$K$122,0),2),""))</f>
        <v>Учтены расходы:
1. По факту с января по май 2025 года в пересчете на годовые показатели, с применением ИПЦ Минэкономразвития России на 2026 год 105,1%:
- прочие расходы (спец.одежда, инструм., хозинвент., матер.на общехоз.и произв.нужды) 363,93 т.р.;
- расходы на канцелярию 245,43 т.р.;
- прочие услуги (изгот. печатей, постановка ККТ на учет, разм.рекламы по трудоустройству, доступ к серверу, изгот. сервис.карты) 97,52 т.р.
- почтовые расходы, типография, обсл.оргтех. 62,04 т.р.;
2. Услуги по начисл. и сбору ВС и ВО 367,49 т.р. приняты по факту с июня 2024 года по май 2025 года, с применением ИПЦ Минэкономразвития на 2025 год 109,0%, на 2026 год 105,1%.
3. По расчету организации ТБО 11,76 т.р. не превышает факт 2025 предыдущей организации.
</v>
      </c>
      <c r="BP637" s="7433"/>
      <c r="BQ637" s="1278"/>
      <c r="BR637" s="1278"/>
      <c r="BS637" s="1064" t="s">
        <v>2702</v>
      </c>
      <c r="BT637" s="1064"/>
      <c r="BU637" s="1064"/>
      <c r="BV637" s="979"/>
      <c r="BW637" s="979"/>
    </row>
    <row s="1834" customFormat="1" customHeight="1" ht="33.75">
      <c r="A638" s="1278"/>
      <c r="B638" s="978"/>
      <c r="C638" s="107"/>
      <c r="D638" s="107"/>
      <c r="E638" s="621">
        <v>22.5</v>
      </c>
      <c r="F638" s="50" cm="1" t="str">
        <f t="array" ref="F638:F638">OFFSET(E638,-1,1)</f>
        <v>4</v>
      </c>
      <c r="G638" s="107"/>
      <c r="H638" s="857"/>
      <c r="I638" s="857" t="s">
        <v>2096</v>
      </c>
      <c r="J638" s="107"/>
      <c r="K638" s="378" t="s">
        <v>2096</v>
      </c>
      <c r="L638" s="980" t="s">
        <v>1660</v>
      </c>
      <c r="M638" s="107"/>
      <c r="N638" s="107"/>
      <c r="O638" s="107"/>
      <c r="P638" s="107"/>
      <c r="Q638" s="107"/>
      <c r="R638" s="107"/>
      <c r="S638" s="107"/>
      <c r="T638" s="465" cm="1" t="str">
        <f t="array" ref="T638:T638">T637</f>
        <v>true</v>
      </c>
      <c r="U638" s="107"/>
      <c r="V638" s="107"/>
      <c r="W638" s="107"/>
      <c r="X638" s="1596"/>
      <c r="Y638" s="1278"/>
      <c r="Z638" s="1546"/>
      <c r="AA638" s="1278"/>
      <c r="AB638" s="300" t="s">
        <v>1755</v>
      </c>
      <c r="AC638" s="765" t="s">
        <v>2703</v>
      </c>
      <c r="AD638" s="300" t="s">
        <v>1514</v>
      </c>
      <c r="AE638" s="1116">
        <f>AE639+AE640</f>
        <v>0</v>
      </c>
      <c r="AF638" s="1116">
        <f>AF639+AF640</f>
        <v>0</v>
      </c>
      <c r="AG638" s="1116">
        <f>AG639+AG640</f>
        <v>0</v>
      </c>
      <c r="AH638" s="1114">
        <f>AG638-AF638</f>
        <v>0</v>
      </c>
      <c r="AI638" s="1116">
        <f>AI639+AI640</f>
        <v>0</v>
      </c>
      <c r="AJ638" s="1116">
        <f>AJ639+AJ640</f>
        <v>24472.6353437776</v>
      </c>
      <c r="AK638" s="1115"/>
      <c r="AL638" s="1115"/>
      <c r="AM638" s="1115"/>
      <c r="AN638" s="1115"/>
      <c r="AO638" s="1115"/>
      <c r="AP638" s="1115"/>
      <c r="AQ638" s="1115"/>
      <c r="AR638" s="1115"/>
      <c r="AS638" s="1115"/>
      <c r="AT638" s="1116">
        <f>AT639+AT640</f>
        <v>24472.6353437776</v>
      </c>
      <c r="AU638" s="1115"/>
      <c r="AV638" s="1115"/>
      <c r="AW638" s="1115"/>
      <c r="AX638" s="1115"/>
      <c r="AY638" s="1115"/>
      <c r="AZ638" s="1115"/>
      <c r="BA638" s="1115"/>
      <c r="BB638" s="1115"/>
      <c r="BC638" s="1115"/>
      <c r="BD638" s="1114">
        <f>IF(AI638=0,0,(AT638-AI638)/AI638*100)</f>
        <v>0</v>
      </c>
      <c r="BE638" s="1115"/>
      <c r="BF638" s="1115"/>
      <c r="BG638" s="1115"/>
      <c r="BH638" s="1115"/>
      <c r="BI638" s="1115"/>
      <c r="BJ638" s="1115"/>
      <c r="BK638" s="1115"/>
      <c r="BL638" s="1115"/>
      <c r="BM638" s="1115"/>
      <c r="BN638" s="7433"/>
      <c r="BO638" s="7433" t="s">
        <v>2919</v>
      </c>
      <c r="BP638" s="7433"/>
      <c r="BQ638" s="1278"/>
      <c r="BR638" s="1278"/>
      <c r="BS638" s="1062" t="s">
        <v>2517</v>
      </c>
      <c r="BT638" s="1064"/>
      <c r="BU638" s="1064"/>
      <c r="BV638" s="979"/>
      <c r="BW638" s="979"/>
    </row>
    <row s="1834" customFormat="1" customHeight="1" ht="23.25">
      <c r="A639" s="1278"/>
      <c r="B639" s="978"/>
      <c r="C639" s="107"/>
      <c r="D639" s="107"/>
      <c r="E639" s="621">
        <v>15</v>
      </c>
      <c r="F639" s="50" cm="1" t="str">
        <f t="array" ref="F639:F639">OFFSET(E639,-1,1)</f>
        <v>4</v>
      </c>
      <c r="G639" s="107" t="s">
        <v>1889</v>
      </c>
      <c r="H639" s="857"/>
      <c r="I639" s="857" t="s">
        <v>2704</v>
      </c>
      <c r="J639" s="107"/>
      <c r="K639" s="378" t="s">
        <v>2704</v>
      </c>
      <c r="L639" s="980" t="s">
        <v>1211</v>
      </c>
      <c r="M639" s="107"/>
      <c r="N639" s="107"/>
      <c r="O639" s="107"/>
      <c r="P639" s="107"/>
      <c r="Q639" s="107"/>
      <c r="R639" s="107"/>
      <c r="S639" s="107"/>
      <c r="T639" s="465" cm="1" t="str">
        <f t="array" ref="T639:T639">T638</f>
        <v>true</v>
      </c>
      <c r="U639" s="107"/>
      <c r="V639" s="107"/>
      <c r="W639" s="107"/>
      <c r="X639" s="1596"/>
      <c r="Y639" s="1278"/>
      <c r="Z639" s="1546"/>
      <c r="AA639" s="1278"/>
      <c r="AB639" s="300" t="s">
        <v>2705</v>
      </c>
      <c r="AC639" s="768" t="s">
        <v>2518</v>
      </c>
      <c r="AD639" s="771" t="s">
        <v>1514</v>
      </c>
      <c r="AE639" s="1114">
        <f>_xlfn.SUMIFS(ФОТ!AE$25:AE$188,ФОТ!$F$25:$F$188,$F639,ФОТ!$G$25:$G$188,$G639)</f>
        <v>0</v>
      </c>
      <c r="AF639" s="1114">
        <f>_xlfn.SUMIFS(ФОТ!AF$25:AF$188,ФОТ!$F$25:$F$188,$F639,ФОТ!$G$25:$G$188,$G639)</f>
        <v>0</v>
      </c>
      <c r="AG639" s="1114">
        <f>_xlfn.SUMIFS(ФОТ!AG$25:AG$188,ФОТ!$F$25:$F$188,$F639,ФОТ!$G$25:$G$188,$G639)</f>
        <v>0</v>
      </c>
      <c r="AH639" s="1114">
        <f>AG639-AF639</f>
        <v>0</v>
      </c>
      <c r="AI639" s="1114">
        <f>_xlfn.SUMIFS(ФОТ!AH$25:AH$188,ФОТ!$F$25:$F$188,$F639,ФОТ!$G$25:$G$188,$G639)</f>
        <v>0</v>
      </c>
      <c r="AJ639" s="1114">
        <f>_xlfn.SUMIFS(ФОТ!AI$25:AI$188,ФОТ!$F$25:$F$188,$F639,ФОТ!$G$25:$G$188,$G639)</f>
        <v>18796.1868999828</v>
      </c>
      <c r="AK639" s="1115"/>
      <c r="AL639" s="1115"/>
      <c r="AM639" s="1115"/>
      <c r="AN639" s="1115"/>
      <c r="AO639" s="1115"/>
      <c r="AP639" s="1115"/>
      <c r="AQ639" s="1115"/>
      <c r="AR639" s="1115"/>
      <c r="AS639" s="1115"/>
      <c r="AT639" s="1114">
        <f>_xlfn.SUMIFS(ФОТ!AJ$25:AJ$188,ФОТ!$F$25:$F$188,$F639,ФОТ!$G$25:$G$188,$G639)</f>
        <v>18796.1868999828</v>
      </c>
      <c r="AU639" s="1115"/>
      <c r="AV639" s="1115"/>
      <c r="AW639" s="1115"/>
      <c r="AX639" s="1115"/>
      <c r="AY639" s="1115"/>
      <c r="AZ639" s="1115"/>
      <c r="BA639" s="1115"/>
      <c r="BB639" s="1115"/>
      <c r="BC639" s="1115"/>
      <c r="BD639" s="1114">
        <f>IF(AI639=0,0,(AT639-AI639)/AI639*100)</f>
        <v>0</v>
      </c>
      <c r="BE639" s="1115"/>
      <c r="BF639" s="1115"/>
      <c r="BG639" s="1115"/>
      <c r="BH639" s="1115"/>
      <c r="BI639" s="1115"/>
      <c r="BJ639" s="1115"/>
      <c r="BK639" s="1115"/>
      <c r="BL639" s="1115"/>
      <c r="BM639" s="1115"/>
      <c r="BN639" s="7433"/>
      <c r="BO639" s="7437" t="s">
        <v>2920</v>
      </c>
      <c r="BP639" s="7433"/>
      <c r="BQ639" s="1278"/>
      <c r="BR639" s="1278"/>
      <c r="BS639" s="1062" t="s">
        <v>1915</v>
      </c>
      <c r="BT639" s="1064"/>
      <c r="BU639" s="1064"/>
      <c r="BV639" s="979"/>
      <c r="BW639" s="979"/>
    </row>
    <row s="1834" customFormat="1" customHeight="1" ht="33.75">
      <c r="A640" s="1278"/>
      <c r="B640" s="978"/>
      <c r="C640" s="107"/>
      <c r="D640" s="107"/>
      <c r="E640" s="621">
        <v>22.5</v>
      </c>
      <c r="F640" s="50" cm="1" t="str">
        <f t="array" ref="F640:F640">OFFSET(E640,-1,1)</f>
        <v>4</v>
      </c>
      <c r="G640" s="107" t="s">
        <v>1894</v>
      </c>
      <c r="H640" s="857"/>
      <c r="I640" s="857" t="s">
        <v>2706</v>
      </c>
      <c r="J640" s="107"/>
      <c r="K640" s="378" t="s">
        <v>2706</v>
      </c>
      <c r="L640" s="980" t="s">
        <v>1216</v>
      </c>
      <c r="M640" s="107"/>
      <c r="N640" s="107"/>
      <c r="O640" s="107"/>
      <c r="P640" s="107"/>
      <c r="Q640" s="107"/>
      <c r="R640" s="107"/>
      <c r="S640" s="107"/>
      <c r="T640" s="465" cm="1" t="str">
        <f t="array" ref="T640:T640">T639</f>
        <v>true</v>
      </c>
      <c r="U640" s="107"/>
      <c r="V640" s="107"/>
      <c r="W640" s="107"/>
      <c r="X640" s="1596"/>
      <c r="Y640" s="1278"/>
      <c r="Z640" s="1546"/>
      <c r="AA640" s="1278"/>
      <c r="AB640" s="300" t="s">
        <v>2707</v>
      </c>
      <c r="AC640" s="768" t="s">
        <v>2708</v>
      </c>
      <c r="AD640" s="300" t="s">
        <v>1514</v>
      </c>
      <c r="AE640" s="1114">
        <f>_xlfn.SUMIFS(ФОТ!AE$25:AE$188,ФОТ!$F$25:$F$188,$F640,ФОТ!$G$25:$G$188,$G640)</f>
        <v>0</v>
      </c>
      <c r="AF640" s="1114">
        <f>_xlfn.SUMIFS(ФОТ!AF$25:AF$188,ФОТ!$F$25:$F$188,$F640,ФОТ!$G$25:$G$188,$G640)</f>
        <v>0</v>
      </c>
      <c r="AG640" s="1114">
        <f>_xlfn.SUMIFS(ФОТ!AG$25:AG$188,ФОТ!$F$25:$F$188,$F640,ФОТ!$G$25:$G$188,$G640)</f>
        <v>0</v>
      </c>
      <c r="AH640" s="1114">
        <f>AG640-AF640</f>
        <v>0</v>
      </c>
      <c r="AI640" s="1114">
        <f>_xlfn.SUMIFS(ФОТ!AH$25:AH$188,ФОТ!$F$25:$F$188,$F640,ФОТ!$G$25:$G$188,$G640)</f>
        <v>0</v>
      </c>
      <c r="AJ640" s="1114">
        <f>_xlfn.SUMIFS(ФОТ!AI$25:AI$188,ФОТ!$F$25:$F$188,$F640,ФОТ!$G$25:$G$188,$G640)</f>
        <v>5676.44844379481</v>
      </c>
      <c r="AK640" s="1115"/>
      <c r="AL640" s="1115"/>
      <c r="AM640" s="1115"/>
      <c r="AN640" s="1115"/>
      <c r="AO640" s="1115"/>
      <c r="AP640" s="1115"/>
      <c r="AQ640" s="1115"/>
      <c r="AR640" s="1115"/>
      <c r="AS640" s="1115"/>
      <c r="AT640" s="1114">
        <f>_xlfn.SUMIFS(ФОТ!AJ$25:AJ$188,ФОТ!$F$25:$F$188,$F640,ФОТ!$G$25:$G$188,$G640)</f>
        <v>5676.44844379481</v>
      </c>
      <c r="AU640" s="1115"/>
      <c r="AV640" s="1115"/>
      <c r="AW640" s="1115"/>
      <c r="AX640" s="1115"/>
      <c r="AY640" s="1115"/>
      <c r="AZ640" s="1115"/>
      <c r="BA640" s="1115"/>
      <c r="BB640" s="1115"/>
      <c r="BC640" s="1115"/>
      <c r="BD640" s="1114">
        <f>IF(AI640=0,0,(AT640-AI640)/AI640*100)</f>
        <v>0</v>
      </c>
      <c r="BE640" s="1115"/>
      <c r="BF640" s="1115"/>
      <c r="BG640" s="1115"/>
      <c r="BH640" s="1115"/>
      <c r="BI640" s="1115"/>
      <c r="BJ640" s="1115"/>
      <c r="BK640" s="1115"/>
      <c r="BL640" s="1115"/>
      <c r="BM640" s="1115"/>
      <c r="BN640" s="7433"/>
      <c r="BO640" s="7437" t="str">
        <f>IF(_xlfn.IFERROR(INDEX(ФОТ!$K$26:$L$188,MATCH($F640&amp;"6komm",ФОТ!$K$26:$K$188,0),2),"")=0,"",_xlfn.IFERROR(INDEX(ФОТ!$K$26:$L$188,MATCH($F640&amp;"6komm",ФОТ!$K$26:$K$188,0),2),""))</f>
        <v>на основании Налогового кодекса РФ (часть вторая) от 05.08.2000 № 117-ФЗ в размере 30%, а также в соответствии с Федеральным законом от 24.07.1998 № 125 – ФЗ (0,20%).</v>
      </c>
      <c r="BP640" s="7433"/>
      <c r="BQ640" s="1278"/>
      <c r="BR640" s="1278"/>
      <c r="BS640" s="1062" t="s">
        <v>2520</v>
      </c>
      <c r="BT640" s="1064"/>
      <c r="BU640" s="1064"/>
      <c r="BV640" s="979"/>
      <c r="BW640" s="979"/>
    </row>
    <row s="1834" customFormat="1" customHeight="1" ht="32.25">
      <c r="A641" s="1278"/>
      <c r="B641" s="978"/>
      <c r="C641" s="107"/>
      <c r="D641" s="107"/>
      <c r="E641" s="621">
        <v>33.75</v>
      </c>
      <c r="F641" s="50" cm="1" t="str">
        <f t="array" ref="F641:F641">OFFSET(E641,-1,1)</f>
        <v>4</v>
      </c>
      <c r="G641" s="848" t="s">
        <v>1944</v>
      </c>
      <c r="H641" s="857"/>
      <c r="I641" s="857" t="s">
        <v>2099</v>
      </c>
      <c r="J641" s="107"/>
      <c r="K641" s="378" t="s">
        <v>2099</v>
      </c>
      <c r="L641" s="980" t="s">
        <v>1662</v>
      </c>
      <c r="M641" s="107"/>
      <c r="N641" s="107"/>
      <c r="O641" s="107"/>
      <c r="P641" s="107"/>
      <c r="Q641" s="107"/>
      <c r="R641" s="107"/>
      <c r="S641" s="107"/>
      <c r="T641" s="465" cm="1" t="str">
        <f t="array" ref="T641:T641">T640</f>
        <v>true</v>
      </c>
      <c r="U641" s="107"/>
      <c r="V641" s="107"/>
      <c r="W641" s="107"/>
      <c r="X641" s="1596"/>
      <c r="Y641" s="1278"/>
      <c r="Z641" s="1546"/>
      <c r="AA641" s="1278"/>
      <c r="AB641" s="300" t="s">
        <v>2100</v>
      </c>
      <c r="AC641" s="765" t="s">
        <v>2709</v>
      </c>
      <c r="AD641" s="300" t="s">
        <v>1514</v>
      </c>
      <c r="AE641" s="1114">
        <f>_xlfn.SUMIFS(Административные!AE$25:AE$122,Административные!$F$25:$F$122,$F641,Административные!$G$25:$G$122,$G641)</f>
        <v>0</v>
      </c>
      <c r="AF641" s="1114">
        <f>_xlfn.SUMIFS(Административные!AF$25:AF$122,Административные!$F$25:$F$122,$F641,Административные!$G$25:$G$122,$G641)</f>
        <v>0</v>
      </c>
      <c r="AG641" s="1114">
        <f>_xlfn.SUMIFS(Административные!AG$25:AG$122,Административные!$F$25:$F$122,$F641,Административные!$G$25:$G$122,$G641)</f>
        <v>0</v>
      </c>
      <c r="AH641" s="1114">
        <f>AG641-AF641</f>
        <v>0</v>
      </c>
      <c r="AI641" s="1114">
        <f>_xlfn.SUMIFS(Административные!AH$25:AH$122,Административные!$F$25:$F$122,$F641,Административные!$G$25:$G$122,$G641)</f>
        <v>0</v>
      </c>
      <c r="AJ641" s="1114">
        <f>_xlfn.SUMIFS(Административные!AI$25:AI$122,Административные!$F$25:$F$122,$F641,Административные!$G$25:$G$122,$G641)</f>
        <v>0</v>
      </c>
      <c r="AK641" s="1115"/>
      <c r="AL641" s="1115"/>
      <c r="AM641" s="1115"/>
      <c r="AN641" s="1115"/>
      <c r="AO641" s="1115"/>
      <c r="AP641" s="1115"/>
      <c r="AQ641" s="1115"/>
      <c r="AR641" s="1115"/>
      <c r="AS641" s="1115"/>
      <c r="AT641" s="1114">
        <f>_xlfn.SUMIFS(Административные!AJ$25:AJ$122,Административные!$F$25:$F$122,$F641,Административные!$G$25:$G$122,$G641)</f>
        <v>0</v>
      </c>
      <c r="AU641" s="1115"/>
      <c r="AV641" s="1115"/>
      <c r="AW641" s="1115"/>
      <c r="AX641" s="1115"/>
      <c r="AY641" s="1115"/>
      <c r="AZ641" s="1115"/>
      <c r="BA641" s="1115"/>
      <c r="BB641" s="1115"/>
      <c r="BC641" s="1115"/>
      <c r="BD641" s="1114">
        <f>IF(AI641=0,0,(AT641-AI641)/AI641*100)</f>
        <v>0</v>
      </c>
      <c r="BE641" s="1115"/>
      <c r="BF641" s="1115"/>
      <c r="BG641" s="1115"/>
      <c r="BH641" s="1115"/>
      <c r="BI641" s="1115"/>
      <c r="BJ641" s="1115"/>
      <c r="BK641" s="1115"/>
      <c r="BL641" s="1115"/>
      <c r="BM641" s="1115"/>
      <c r="BN641" s="7433"/>
      <c r="BO641" s="7437" t="str">
        <f>IF(_xlfn.IFERROR(INDEX(Административные!$K$26:$L$122,MATCH($F641&amp;"2komm",Административные!$K$26:$K$122,0),2),"")=0,"",_xlfn.IFERROR(INDEX(Административные!$K$26:$L$122,MATCH($F641&amp;"2komm",Административные!$K$26:$K$122,0),2),""))</f>
        <v/>
      </c>
      <c r="BP641" s="7433"/>
      <c r="BQ641" s="1278"/>
      <c r="BR641" s="1278"/>
      <c r="BS641" s="1062" t="s">
        <v>1946</v>
      </c>
      <c r="BT641" s="1064"/>
      <c r="BU641" s="1064"/>
      <c r="BV641" s="979"/>
      <c r="BW641" s="979"/>
    </row>
    <row s="1834" customFormat="1" customHeight="1" ht="14.25">
      <c r="A642" s="1278"/>
      <c r="B642" s="978"/>
      <c r="C642" s="107"/>
      <c r="D642" s="107"/>
      <c r="E642" s="621">
        <v>15</v>
      </c>
      <c r="F642" s="50" cm="1" t="str">
        <f t="array" ref="F642:F642">OFFSET(E642,-1,1)</f>
        <v>4</v>
      </c>
      <c r="G642" s="848" t="s">
        <v>1947</v>
      </c>
      <c r="H642" s="857"/>
      <c r="I642" s="857" t="s">
        <v>2103</v>
      </c>
      <c r="J642" s="107"/>
      <c r="K642" s="378" t="s">
        <v>2103</v>
      </c>
      <c r="L642" s="980" t="s">
        <v>1664</v>
      </c>
      <c r="M642" s="107"/>
      <c r="N642" s="107"/>
      <c r="O642" s="107"/>
      <c r="P642" s="107"/>
      <c r="Q642" s="107"/>
      <c r="R642" s="107"/>
      <c r="S642" s="107"/>
      <c r="T642" s="465" cm="1" t="str">
        <f t="array" ref="T642:T642">T641</f>
        <v>true</v>
      </c>
      <c r="U642" s="107"/>
      <c r="V642" s="107"/>
      <c r="W642" s="107"/>
      <c r="X642" s="1596"/>
      <c r="Y642" s="1278"/>
      <c r="Z642" s="1546"/>
      <c r="AA642" s="1278"/>
      <c r="AB642" s="300" t="s">
        <v>2104</v>
      </c>
      <c r="AC642" s="765" t="s">
        <v>2710</v>
      </c>
      <c r="AD642" s="300" t="s">
        <v>1514</v>
      </c>
      <c r="AE642" s="1114">
        <f>_xlfn.SUMIFS(Административные!AE$25:AE$122,Административные!$F$25:$F$122,$F642,Административные!$G$25:$G$122,$G642)</f>
        <v>0</v>
      </c>
      <c r="AF642" s="1114">
        <f>_xlfn.SUMIFS(Административные!AF$25:AF$122,Административные!$F$25:$F$122,$F642,Административные!$G$25:$G$122,$G642)</f>
        <v>0</v>
      </c>
      <c r="AG642" s="1114">
        <f>_xlfn.SUMIFS(Административные!AG$25:AG$122,Административные!$F$25:$F$122,$F642,Административные!$G$25:$G$122,$G642)</f>
        <v>0</v>
      </c>
      <c r="AH642" s="1114">
        <f>AG642-AF642</f>
        <v>0</v>
      </c>
      <c r="AI642" s="1114">
        <f>_xlfn.SUMIFS(Административные!AH$25:AH$122,Административные!$F$25:$F$122,$F642,Административные!$G$25:$G$122,$G642)</f>
        <v>0</v>
      </c>
      <c r="AJ642" s="1114">
        <f>_xlfn.SUMIFS(Административные!AI$25:AI$122,Административные!$F$25:$F$122,$F642,Административные!$G$25:$G$122,$G642)</f>
        <v>22.348055</v>
      </c>
      <c r="AK642" s="1115"/>
      <c r="AL642" s="1115"/>
      <c r="AM642" s="1115"/>
      <c r="AN642" s="1115"/>
      <c r="AO642" s="1115"/>
      <c r="AP642" s="1115"/>
      <c r="AQ642" s="1115"/>
      <c r="AR642" s="1115"/>
      <c r="AS642" s="1115"/>
      <c r="AT642" s="1114">
        <f>_xlfn.SUMIFS(Административные!AJ$25:AJ$122,Административные!$F$25:$F$122,$F642,Административные!$G$25:$G$122,$G642)</f>
        <v>22.348055</v>
      </c>
      <c r="AU642" s="1115"/>
      <c r="AV642" s="1115"/>
      <c r="AW642" s="1115"/>
      <c r="AX642" s="1115"/>
      <c r="AY642" s="1115"/>
      <c r="AZ642" s="1115"/>
      <c r="BA642" s="1115"/>
      <c r="BB642" s="1115"/>
      <c r="BC642" s="1115"/>
      <c r="BD642" s="1114">
        <f>IF(AI642=0,0,(AT642-AI642)/AI642*100)</f>
        <v>0</v>
      </c>
      <c r="BE642" s="1115"/>
      <c r="BF642" s="1115"/>
      <c r="BG642" s="1115"/>
      <c r="BH642" s="1115"/>
      <c r="BI642" s="1115"/>
      <c r="BJ642" s="1115"/>
      <c r="BK642" s="1115"/>
      <c r="BL642" s="1115"/>
      <c r="BM642" s="1115"/>
      <c r="BN642" s="7433"/>
      <c r="BO642" s="7437" t="str">
        <f>IF(_xlfn.IFERROR(INDEX(Административные!$K$26:$L$122,MATCH($F642&amp;"3komm",Административные!$K$26:$K$122,0),2),"")=0,"",_xlfn.IFERROR(INDEX(Административные!$K$26:$L$122,MATCH($F642&amp;"3komm",Административные!$K$26:$K$122,0),2),""))</f>
        <v>рассчитано по факту 2024 года предыдущей организации, с применением ИПЦ Минэкономразвития России на 2025 год 109,0%, на 2026 год 105,1%.</v>
      </c>
      <c r="BP642" s="7433"/>
      <c r="BQ642" s="1278"/>
      <c r="BR642" s="1278"/>
      <c r="BS642" s="1062" t="s">
        <v>1949</v>
      </c>
      <c r="BT642" s="1064"/>
      <c r="BU642" s="1064"/>
      <c r="BV642" s="979"/>
      <c r="BW642" s="979"/>
    </row>
    <row s="1834" customFormat="1" customHeight="1" ht="0">
      <c r="A643" s="1278"/>
      <c r="B643" s="978"/>
      <c r="C643" s="107"/>
      <c r="D643" s="107"/>
      <c r="E643" s="621">
        <v>15</v>
      </c>
      <c r="F643" s="50" cm="1" t="str">
        <f t="array" ref="F643:F643">OFFSET(E643,-1,1)</f>
        <v>4</v>
      </c>
      <c r="G643" s="848" t="s">
        <v>1950</v>
      </c>
      <c r="H643" s="857"/>
      <c r="I643" s="857" t="s">
        <v>2711</v>
      </c>
      <c r="J643" s="107"/>
      <c r="K643" s="378" t="s">
        <v>2711</v>
      </c>
      <c r="L643" s="980" t="s">
        <v>1667</v>
      </c>
      <c r="M643" s="107"/>
      <c r="N643" s="107"/>
      <c r="O643" s="107"/>
      <c r="P643" s="107"/>
      <c r="Q643" s="107"/>
      <c r="R643" s="107"/>
      <c r="S643" s="107"/>
      <c r="T643" s="465" cm="1" t="str">
        <f t="array" ref="T643:T643">T642</f>
        <v>true</v>
      </c>
      <c r="U643" s="107"/>
      <c r="V643" s="107"/>
      <c r="W643" s="107"/>
      <c r="X643" s="1596"/>
      <c r="Y643" s="1278"/>
      <c r="Z643" s="1546"/>
      <c r="AA643" s="1278"/>
      <c r="AB643" s="300" t="s">
        <v>2712</v>
      </c>
      <c r="AC643" s="765" t="s">
        <v>2713</v>
      </c>
      <c r="AD643" s="300" t="s">
        <v>1514</v>
      </c>
      <c r="AE643" s="1114">
        <f>_xlfn.SUMIFS(Административные!AE$25:AE$122,Административные!$F$25:$F$122,$F643,Административные!$G$25:$G$122,$G643)</f>
        <v>0</v>
      </c>
      <c r="AF643" s="1114">
        <f>_xlfn.SUMIFS(Административные!AF$25:AF$122,Административные!$F$25:$F$122,$F643,Административные!$G$25:$G$122,$G643)</f>
        <v>0</v>
      </c>
      <c r="AG643" s="1114">
        <f>_xlfn.SUMIFS(Административные!AG$25:AG$122,Административные!$F$25:$F$122,$F643,Административные!$G$25:$G$122,$G643)</f>
        <v>0</v>
      </c>
      <c r="AH643" s="1114">
        <f>AG643-AF643</f>
        <v>0</v>
      </c>
      <c r="AI643" s="1114">
        <f>_xlfn.SUMIFS(Административные!AH$25:AH$122,Административные!$F$25:$F$122,$F643,Административные!$G$25:$G$122,$G643)</f>
        <v>0</v>
      </c>
      <c r="AJ643" s="1114">
        <f>_xlfn.SUMIFS(Административные!AI$25:AI$122,Административные!$F$25:$F$122,$F643,Административные!$G$25:$G$122,$G643)</f>
        <v>0</v>
      </c>
      <c r="AK643" s="1115"/>
      <c r="AL643" s="1115"/>
      <c r="AM643" s="1115"/>
      <c r="AN643" s="1115"/>
      <c r="AO643" s="1115"/>
      <c r="AP643" s="1115"/>
      <c r="AQ643" s="1115"/>
      <c r="AR643" s="1115"/>
      <c r="AS643" s="1115"/>
      <c r="AT643" s="1114">
        <f>_xlfn.SUMIFS(Административные!AJ$25:AJ$122,Административные!$F$25:$F$122,$F643,Административные!$G$25:$G$122,$G643)</f>
        <v>0</v>
      </c>
      <c r="AU643" s="1115"/>
      <c r="AV643" s="1115"/>
      <c r="AW643" s="1115"/>
      <c r="AX643" s="1115"/>
      <c r="AY643" s="1115"/>
      <c r="AZ643" s="1115"/>
      <c r="BA643" s="1115"/>
      <c r="BB643" s="1115"/>
      <c r="BC643" s="1115"/>
      <c r="BD643" s="1114">
        <f>IF(AI643=0,0,(AT643-AI643)/AI643*100)</f>
        <v>0</v>
      </c>
      <c r="BE643" s="1115"/>
      <c r="BF643" s="1115"/>
      <c r="BG643" s="1115"/>
      <c r="BH643" s="1115"/>
      <c r="BI643" s="1115"/>
      <c r="BJ643" s="1115"/>
      <c r="BK643" s="1115"/>
      <c r="BL643" s="1115"/>
      <c r="BM643" s="1115"/>
      <c r="BN643" s="7433"/>
      <c r="BO643" s="7437" t="str">
        <f>IF(_xlfn.IFERROR(INDEX(Административные!$K$26:$L$122,MATCH($F643&amp;"4komm",Административные!$K$26:$K$122,0),2),"")=0,"",_xlfn.IFERROR(INDEX(Административные!$K$26:$L$122,MATCH($F643&amp;"4komm",Административные!$K$26:$K$122,0),2),""))</f>
        <v/>
      </c>
      <c r="BP643" s="7433"/>
      <c r="BQ643" s="1278"/>
      <c r="BR643" s="1278"/>
      <c r="BS643" s="1062" t="s">
        <v>1952</v>
      </c>
      <c r="BT643" s="1064"/>
      <c r="BU643" s="1064"/>
      <c r="BV643" s="979"/>
      <c r="BW643" s="979"/>
    </row>
    <row s="1834" customFormat="1" customHeight="1" ht="0">
      <c r="A644" s="1278"/>
      <c r="B644" s="978"/>
      <c r="C644" s="107"/>
      <c r="D644" s="107"/>
      <c r="E644" s="621">
        <v>15</v>
      </c>
      <c r="F644" s="50" cm="1" t="str">
        <f t="array" ref="F644:F644">OFFSET(E644,-1,1)</f>
        <v>4</v>
      </c>
      <c r="G644" s="848" t="s">
        <v>1953</v>
      </c>
      <c r="H644" s="857"/>
      <c r="I644" s="857" t="s">
        <v>2714</v>
      </c>
      <c r="J644" s="107"/>
      <c r="K644" s="378" t="s">
        <v>2714</v>
      </c>
      <c r="L644" s="980" t="s">
        <v>1935</v>
      </c>
      <c r="M644" s="107"/>
      <c r="N644" s="107"/>
      <c r="O644" s="107"/>
      <c r="P644" s="107"/>
      <c r="Q644" s="107"/>
      <c r="R644" s="107"/>
      <c r="S644" s="107"/>
      <c r="T644" s="465" cm="1" t="str">
        <f t="array" ref="T644:T644">T643</f>
        <v>true</v>
      </c>
      <c r="U644" s="107"/>
      <c r="V644" s="107"/>
      <c r="W644" s="107"/>
      <c r="X644" s="1596"/>
      <c r="Y644" s="1278"/>
      <c r="Z644" s="1546"/>
      <c r="AA644" s="1278"/>
      <c r="AB644" s="300" t="s">
        <v>2715</v>
      </c>
      <c r="AC644" s="765" t="s">
        <v>2716</v>
      </c>
      <c r="AD644" s="300" t="s">
        <v>1514</v>
      </c>
      <c r="AE644" s="1114">
        <f>_xlfn.SUMIFS(Административные!AE$25:AE$122,Административные!$F$25:$F$122,$F644,Административные!$G$25:$G$122,$G644)</f>
        <v>0</v>
      </c>
      <c r="AF644" s="1114">
        <f>_xlfn.SUMIFS(Административные!AF$25:AF$122,Административные!$F$25:$F$122,$F644,Административные!$G$25:$G$122,$G644)</f>
        <v>0</v>
      </c>
      <c r="AG644" s="1114">
        <f>_xlfn.SUMIFS(Административные!AG$25:AG$122,Административные!$F$25:$F$122,$F644,Административные!$G$25:$G$122,$G644)</f>
        <v>0</v>
      </c>
      <c r="AH644" s="1114">
        <f>AG644-AF644</f>
        <v>0</v>
      </c>
      <c r="AI644" s="1114">
        <f>_xlfn.SUMIFS(Административные!AH$25:AH$122,Административные!$F$25:$F$122,$F644,Административные!$G$25:$G$122,$G644)</f>
        <v>0</v>
      </c>
      <c r="AJ644" s="1114">
        <f>_xlfn.SUMIFS(Административные!AI$25:AI$122,Административные!$F$25:$F$122,$F644,Административные!$G$25:$G$122,$G644)</f>
        <v>0</v>
      </c>
      <c r="AK644" s="1115"/>
      <c r="AL644" s="1115"/>
      <c r="AM644" s="1115"/>
      <c r="AN644" s="1115"/>
      <c r="AO644" s="1115"/>
      <c r="AP644" s="1115"/>
      <c r="AQ644" s="1115"/>
      <c r="AR644" s="1115"/>
      <c r="AS644" s="1115"/>
      <c r="AT644" s="1114">
        <f>_xlfn.SUMIFS(Административные!AJ$25:AJ$122,Административные!$F$25:$F$122,$F644,Административные!$G$25:$G$122,$G644)</f>
        <v>0</v>
      </c>
      <c r="AU644" s="1115"/>
      <c r="AV644" s="1115"/>
      <c r="AW644" s="1115"/>
      <c r="AX644" s="1115"/>
      <c r="AY644" s="1115"/>
      <c r="AZ644" s="1115"/>
      <c r="BA644" s="1115"/>
      <c r="BB644" s="1115"/>
      <c r="BC644" s="1115"/>
      <c r="BD644" s="1114">
        <f>IF(AI644=0,0,(AT644-AI644)/AI644*100)</f>
        <v>0</v>
      </c>
      <c r="BE644" s="1115"/>
      <c r="BF644" s="1115"/>
      <c r="BG644" s="1115"/>
      <c r="BH644" s="1115"/>
      <c r="BI644" s="1115"/>
      <c r="BJ644" s="1115"/>
      <c r="BK644" s="1115"/>
      <c r="BL644" s="1115"/>
      <c r="BM644" s="1115"/>
      <c r="BN644" s="7433"/>
      <c r="BO644" s="7437" t="str">
        <f>IF(_xlfn.IFERROR(INDEX(Административные!$K$26:$L$122,MATCH($F644&amp;"5komm",Административные!$K$26:$K$122,0),2),"")=0,"",_xlfn.IFERROR(INDEX(Административные!$K$26:$L$122,MATCH($F644&amp;"5komm",Административные!$K$26:$K$122,0),2),""))</f>
        <v/>
      </c>
      <c r="BP644" s="7433"/>
      <c r="BQ644" s="1278"/>
      <c r="BR644" s="1278"/>
      <c r="BS644" s="1062" t="s">
        <v>2522</v>
      </c>
      <c r="BT644" s="1064"/>
      <c r="BU644" s="1064"/>
      <c r="BV644" s="979"/>
      <c r="BW644" s="979"/>
    </row>
    <row s="1834" customFormat="1" customHeight="1" ht="0">
      <c r="A645" s="1278"/>
      <c r="B645" s="978"/>
      <c r="C645" s="107"/>
      <c r="D645" s="107"/>
      <c r="E645" s="621">
        <v>15</v>
      </c>
      <c r="F645" s="50" cm="1" t="str">
        <f t="array" ref="F645:F645">OFFSET(E645,-1,1)</f>
        <v>4</v>
      </c>
      <c r="G645" s="848" t="s">
        <v>1956</v>
      </c>
      <c r="H645" s="857"/>
      <c r="I645" s="857" t="s">
        <v>2717</v>
      </c>
      <c r="J645" s="107"/>
      <c r="K645" s="378" t="s">
        <v>2717</v>
      </c>
      <c r="L645" s="980" t="s">
        <v>1940</v>
      </c>
      <c r="M645" s="107"/>
      <c r="N645" s="107"/>
      <c r="O645" s="107"/>
      <c r="P645" s="107"/>
      <c r="Q645" s="107"/>
      <c r="R645" s="107"/>
      <c r="S645" s="107"/>
      <c r="T645" s="465" cm="1" t="str">
        <f t="array" ref="T645:T645">T644</f>
        <v>true</v>
      </c>
      <c r="U645" s="107"/>
      <c r="V645" s="107"/>
      <c r="W645" s="107"/>
      <c r="X645" s="1596"/>
      <c r="Y645" s="1278"/>
      <c r="Z645" s="1546"/>
      <c r="AA645" s="1278"/>
      <c r="AB645" s="300" t="s">
        <v>2718</v>
      </c>
      <c r="AC645" s="765" t="s">
        <v>2719</v>
      </c>
      <c r="AD645" s="300" t="s">
        <v>1514</v>
      </c>
      <c r="AE645" s="1114">
        <f>_xlfn.SUMIFS(Административные!AE$25:AE$122,Административные!$F$25:$F$122,$F645,Административные!$G$25:$G$122,$G645)</f>
        <v>0</v>
      </c>
      <c r="AF645" s="1114">
        <f>_xlfn.SUMIFS(Административные!AF$25:AF$122,Административные!$F$25:$F$122,$F645,Административные!$G$25:$G$122,$G645)</f>
        <v>0</v>
      </c>
      <c r="AG645" s="1114">
        <f>_xlfn.SUMIFS(Административные!AG$25:AG$122,Административные!$F$25:$F$122,$F645,Административные!$G$25:$G$122,$G645)</f>
        <v>0</v>
      </c>
      <c r="AH645" s="1114">
        <f>AG645-AF645</f>
        <v>0</v>
      </c>
      <c r="AI645" s="1114">
        <f>_xlfn.SUMIFS(Административные!AH$25:AH$122,Административные!$F$25:$F$122,$F645,Административные!$G$25:$G$122,$G645)</f>
        <v>0</v>
      </c>
      <c r="AJ645" s="1114">
        <f>_xlfn.SUMIFS(Административные!AI$25:AI$122,Административные!$F$25:$F$122,$F645,Административные!$G$25:$G$122,$G645)</f>
        <v>0</v>
      </c>
      <c r="AK645" s="1115"/>
      <c r="AL645" s="1115"/>
      <c r="AM645" s="1115"/>
      <c r="AN645" s="1115"/>
      <c r="AO645" s="1115"/>
      <c r="AP645" s="1115"/>
      <c r="AQ645" s="1115"/>
      <c r="AR645" s="1115"/>
      <c r="AS645" s="1115"/>
      <c r="AT645" s="1114">
        <f>_xlfn.SUMIFS(Административные!AJ$25:AJ$122,Административные!$F$25:$F$122,$F645,Административные!$G$25:$G$122,$G645)</f>
        <v>0</v>
      </c>
      <c r="AU645" s="1115"/>
      <c r="AV645" s="1115"/>
      <c r="AW645" s="1115"/>
      <c r="AX645" s="1115"/>
      <c r="AY645" s="1115"/>
      <c r="AZ645" s="1115"/>
      <c r="BA645" s="1115"/>
      <c r="BB645" s="1115"/>
      <c r="BC645" s="1115"/>
      <c r="BD645" s="1114">
        <f>IF(AI645=0,0,(AT645-AI645)/AI645*100)</f>
        <v>0</v>
      </c>
      <c r="BE645" s="1115"/>
      <c r="BF645" s="1115"/>
      <c r="BG645" s="1115"/>
      <c r="BH645" s="1115"/>
      <c r="BI645" s="1115"/>
      <c r="BJ645" s="1115"/>
      <c r="BK645" s="1115"/>
      <c r="BL645" s="1115"/>
      <c r="BM645" s="1115"/>
      <c r="BN645" s="7433"/>
      <c r="BO645" s="7437" t="str">
        <f>IF(_xlfn.IFERROR(INDEX(Административные!$K$26:$L$122,MATCH($F645&amp;"6komm",Административные!$K$26:$K$122,0),2),"")=0,"",_xlfn.IFERROR(INDEX(Административные!$K$26:$L$122,MATCH($F645&amp;"6komm",Административные!$K$26:$K$122,0),2),""))</f>
        <v/>
      </c>
      <c r="BP645" s="7433"/>
      <c r="BQ645" s="1278"/>
      <c r="BR645" s="1278"/>
      <c r="BS645" s="1062" t="s">
        <v>2524</v>
      </c>
      <c r="BT645" s="1064"/>
      <c r="BU645" s="1064"/>
      <c r="BV645" s="979"/>
      <c r="BW645" s="979"/>
    </row>
    <row s="1834" customFormat="1" customHeight="1" ht="0">
      <c r="A646" s="1278"/>
      <c r="B646" s="978"/>
      <c r="C646" s="107"/>
      <c r="D646" s="107"/>
      <c r="E646" s="621">
        <v>15</v>
      </c>
      <c r="F646" s="50" cm="1" t="str">
        <f t="array" ref="F646:F646">OFFSET(E646,-1,1)</f>
        <v>4</v>
      </c>
      <c r="G646" s="848" t="s">
        <v>1958</v>
      </c>
      <c r="H646" s="857"/>
      <c r="I646" s="857" t="s">
        <v>2720</v>
      </c>
      <c r="J646" s="107"/>
      <c r="K646" s="378" t="s">
        <v>2720</v>
      </c>
      <c r="L646" s="980" t="s">
        <v>2525</v>
      </c>
      <c r="M646" s="107"/>
      <c r="N646" s="107"/>
      <c r="O646" s="107"/>
      <c r="P646" s="107"/>
      <c r="Q646" s="107"/>
      <c r="R646" s="107"/>
      <c r="S646" s="107"/>
      <c r="T646" s="465" cm="1" t="str">
        <f t="array" ref="T646:T646">T645</f>
        <v>true</v>
      </c>
      <c r="U646" s="107"/>
      <c r="V646" s="107"/>
      <c r="W646" s="107"/>
      <c r="X646" s="1596"/>
      <c r="Y646" s="1278"/>
      <c r="Z646" s="1546"/>
      <c r="AA646" s="1278"/>
      <c r="AB646" s="300" t="s">
        <v>2721</v>
      </c>
      <c r="AC646" s="768" t="s">
        <v>2527</v>
      </c>
      <c r="AD646" s="300" t="s">
        <v>1514</v>
      </c>
      <c r="AE646" s="1114">
        <f>_xlfn.SUMIFS(Административные!AE$25:AE$122,Административные!$F$25:$F$122,$F646,Административные!$G$25:$G$122,$G646)</f>
        <v>0</v>
      </c>
      <c r="AF646" s="1114">
        <f>_xlfn.SUMIFS(Административные!AF$25:AF$122,Административные!$F$25:$F$122,$F646,Административные!$G$25:$G$122,$G646)</f>
        <v>0</v>
      </c>
      <c r="AG646" s="1114">
        <f>_xlfn.SUMIFS(Административные!AG$25:AG$122,Административные!$F$25:$F$122,$F646,Административные!$G$25:$G$122,$G646)</f>
        <v>0</v>
      </c>
      <c r="AH646" s="1114">
        <f>AG646-AF646</f>
        <v>0</v>
      </c>
      <c r="AI646" s="1114">
        <f>_xlfn.SUMIFS(Административные!AH$25:AH$122,Административные!$F$25:$F$122,$F646,Административные!$G$25:$G$122,$G646)</f>
        <v>0</v>
      </c>
      <c r="AJ646" s="1114">
        <f>_xlfn.SUMIFS(Административные!AI$25:AI$122,Административные!$F$25:$F$122,$F646,Административные!$G$25:$G$122,$G646)</f>
        <v>0</v>
      </c>
      <c r="AK646" s="1115"/>
      <c r="AL646" s="1115"/>
      <c r="AM646" s="1115"/>
      <c r="AN646" s="1115"/>
      <c r="AO646" s="1115"/>
      <c r="AP646" s="1115"/>
      <c r="AQ646" s="1115"/>
      <c r="AR646" s="1115"/>
      <c r="AS646" s="1115"/>
      <c r="AT646" s="1114">
        <f>_xlfn.SUMIFS(Административные!AJ$25:AJ$122,Административные!$F$25:$F$122,$F646,Административные!$G$25:$G$122,$G646)</f>
        <v>0</v>
      </c>
      <c r="AU646" s="1115"/>
      <c r="AV646" s="1115"/>
      <c r="AW646" s="1115"/>
      <c r="AX646" s="1115"/>
      <c r="AY646" s="1115"/>
      <c r="AZ646" s="1115"/>
      <c r="BA646" s="1115"/>
      <c r="BB646" s="1115"/>
      <c r="BC646" s="1115"/>
      <c r="BD646" s="1114">
        <f>IF(AI646=0,0,(AT646-AI646)/AI646*100)</f>
        <v>0</v>
      </c>
      <c r="BE646" s="1115"/>
      <c r="BF646" s="1115"/>
      <c r="BG646" s="1115"/>
      <c r="BH646" s="1115"/>
      <c r="BI646" s="1115"/>
      <c r="BJ646" s="1115"/>
      <c r="BK646" s="1115"/>
      <c r="BL646" s="1115"/>
      <c r="BM646" s="1115"/>
      <c r="BN646" s="7433"/>
      <c r="BO646" s="7437" t="str">
        <f>IF(_xlfn.IFERROR(INDEX(Административные!$K$26:$L$122,MATCH($F646&amp;"7komm",Административные!$K$26:$K$122,0),2),"")=0,"",_xlfn.IFERROR(INDEX(Административные!$K$26:$L$122,MATCH($F646&amp;"7komm",Административные!$K$26:$K$122,0),2),""))</f>
        <v/>
      </c>
      <c r="BP646" s="7433"/>
      <c r="BQ646" s="1278"/>
      <c r="BR646" s="1278"/>
      <c r="BS646" s="1062" t="s">
        <v>2528</v>
      </c>
      <c r="BT646" s="1064"/>
      <c r="BU646" s="1064"/>
      <c r="BV646" s="979"/>
      <c r="BW646" s="979"/>
    </row>
    <row s="1834" customFormat="1" customHeight="1" ht="0">
      <c r="A647" s="1278"/>
      <c r="B647" s="978"/>
      <c r="C647" s="107"/>
      <c r="D647" s="107"/>
      <c r="E647" s="621">
        <v>15</v>
      </c>
      <c r="F647" s="50" cm="1" t="str">
        <f t="array" ref="F647:F647">OFFSET(E647,-1,1)</f>
        <v>4</v>
      </c>
      <c r="G647" s="848" t="s">
        <v>1961</v>
      </c>
      <c r="H647" s="857"/>
      <c r="I647" s="857" t="s">
        <v>2722</v>
      </c>
      <c r="J647" s="107"/>
      <c r="K647" s="378" t="s">
        <v>2722</v>
      </c>
      <c r="L647" s="980" t="s">
        <v>2529</v>
      </c>
      <c r="M647" s="107"/>
      <c r="N647" s="107"/>
      <c r="O647" s="107"/>
      <c r="P647" s="107"/>
      <c r="Q647" s="107"/>
      <c r="R647" s="107"/>
      <c r="S647" s="107"/>
      <c r="T647" s="465" cm="1" t="str">
        <f t="array" ref="T647:T647">T646</f>
        <v>true</v>
      </c>
      <c r="U647" s="107"/>
      <c r="V647" s="107"/>
      <c r="W647" s="107"/>
      <c r="X647" s="1596"/>
      <c r="Y647" s="1278"/>
      <c r="Z647" s="1546"/>
      <c r="AA647" s="1278"/>
      <c r="AB647" s="300" t="s">
        <v>2723</v>
      </c>
      <c r="AC647" s="768" t="s">
        <v>1962</v>
      </c>
      <c r="AD647" s="300" t="s">
        <v>1514</v>
      </c>
      <c r="AE647" s="1114">
        <f>_xlfn.SUMIFS(Административные!AE$25:AE$122,Административные!$F$25:$F$122,$F647,Административные!$G$25:$G$122,$G647)</f>
        <v>0</v>
      </c>
      <c r="AF647" s="1114">
        <f>_xlfn.SUMIFS(Административные!AF$25:AF$122,Административные!$F$25:$F$122,$F647,Административные!$G$25:$G$122,$G647)</f>
        <v>0</v>
      </c>
      <c r="AG647" s="1114">
        <f>_xlfn.SUMIFS(Административные!AG$25:AG$122,Административные!$F$25:$F$122,$F647,Административные!$G$25:$G$122,$G647)</f>
        <v>0</v>
      </c>
      <c r="AH647" s="1114">
        <f>AG647-AF647</f>
        <v>0</v>
      </c>
      <c r="AI647" s="1114">
        <f>_xlfn.SUMIFS(Административные!AH$25:AH$122,Административные!$F$25:$F$122,$F647,Административные!$G$25:$G$122,$G647)</f>
        <v>0</v>
      </c>
      <c r="AJ647" s="1114">
        <f>_xlfn.SUMIFS(Административные!AI$25:AI$122,Административные!$F$25:$F$122,$F647,Административные!$G$25:$G$122,$G647)</f>
        <v>0</v>
      </c>
      <c r="AK647" s="1115"/>
      <c r="AL647" s="1115"/>
      <c r="AM647" s="1115"/>
      <c r="AN647" s="1115"/>
      <c r="AO647" s="1115"/>
      <c r="AP647" s="1115"/>
      <c r="AQ647" s="1115"/>
      <c r="AR647" s="1115"/>
      <c r="AS647" s="1115"/>
      <c r="AT647" s="1114">
        <f>_xlfn.SUMIFS(Административные!AJ$25:AJ$122,Административные!$F$25:$F$122,$F647,Административные!$G$25:$G$122,$G647)</f>
        <v>0</v>
      </c>
      <c r="AU647" s="1115"/>
      <c r="AV647" s="1115"/>
      <c r="AW647" s="1115"/>
      <c r="AX647" s="1115"/>
      <c r="AY647" s="1115"/>
      <c r="AZ647" s="1115"/>
      <c r="BA647" s="1115"/>
      <c r="BB647" s="1115"/>
      <c r="BC647" s="1115"/>
      <c r="BD647" s="1114">
        <f>IF(AI647=0,0,(AT647-AI647)/AI647*100)</f>
        <v>0</v>
      </c>
      <c r="BE647" s="1115"/>
      <c r="BF647" s="1115"/>
      <c r="BG647" s="1115"/>
      <c r="BH647" s="1115"/>
      <c r="BI647" s="1115"/>
      <c r="BJ647" s="1115"/>
      <c r="BK647" s="1115"/>
      <c r="BL647" s="1115"/>
      <c r="BM647" s="1115"/>
      <c r="BN647" s="7433"/>
      <c r="BO647" s="7437" t="str">
        <f>IF(_xlfn.IFERROR(INDEX(Административные!$K$26:$L$122,MATCH($F647&amp;"8komm",Административные!$K$26:$K$122,0),2),"")=0,"",_xlfn.IFERROR(INDEX(Административные!$K$26:$L$122,MATCH($F647&amp;"8komm",Административные!$K$26:$K$122,0),2),""))</f>
        <v/>
      </c>
      <c r="BP647" s="7433"/>
      <c r="BQ647" s="1278"/>
      <c r="BR647" s="1278"/>
      <c r="BS647" s="1062" t="s">
        <v>2531</v>
      </c>
      <c r="BT647" s="1064"/>
      <c r="BU647" s="1064"/>
      <c r="BV647" s="979"/>
      <c r="BW647" s="979"/>
    </row>
    <row s="1834" customFormat="1" customHeight="1" ht="0">
      <c r="A648" s="1278"/>
      <c r="B648" s="978"/>
      <c r="C648" s="107"/>
      <c r="D648" s="107"/>
      <c r="E648" s="621">
        <v>15</v>
      </c>
      <c r="F648" s="50" cm="1" t="str">
        <f t="array" ref="F648:F648">OFFSET(E648,-1,1)</f>
        <v>4</v>
      </c>
      <c r="G648" s="107" t="s">
        <v>1964</v>
      </c>
      <c r="H648" s="857"/>
      <c r="I648" s="857" t="s">
        <v>2724</v>
      </c>
      <c r="J648" s="107"/>
      <c r="K648" s="378" t="s">
        <v>2724</v>
      </c>
      <c r="L648" s="980" t="s">
        <v>2532</v>
      </c>
      <c r="M648" s="107"/>
      <c r="N648" s="107"/>
      <c r="O648" s="107"/>
      <c r="P648" s="107"/>
      <c r="Q648" s="107"/>
      <c r="R648" s="107"/>
      <c r="S648" s="107"/>
      <c r="T648" s="465" cm="1" t="str">
        <f t="array" ref="T648:T648">T647</f>
        <v>true</v>
      </c>
      <c r="U648" s="107"/>
      <c r="V648" s="107"/>
      <c r="W648" s="107"/>
      <c r="X648" s="1596"/>
      <c r="Y648" s="1278"/>
      <c r="Z648" s="1546"/>
      <c r="AA648" s="1278"/>
      <c r="AB648" s="300" t="s">
        <v>2725</v>
      </c>
      <c r="AC648" s="768" t="s">
        <v>1965</v>
      </c>
      <c r="AD648" s="300" t="s">
        <v>1514</v>
      </c>
      <c r="AE648" s="1114">
        <f>_xlfn.SUMIFS(Административные!AE$25:AE$122,Административные!$F$25:$F$122,$F648,Административные!$G$25:$G$122,$G648)</f>
        <v>0</v>
      </c>
      <c r="AF648" s="1114">
        <f>_xlfn.SUMIFS(Административные!AF$25:AF$122,Административные!$F$25:$F$122,$F648,Административные!$G$25:$G$122,$G648)</f>
        <v>0</v>
      </c>
      <c r="AG648" s="1114">
        <f>_xlfn.SUMIFS(Административные!AG$25:AG$122,Административные!$F$25:$F$122,$F648,Административные!$G$25:$G$122,$G648)</f>
        <v>0</v>
      </c>
      <c r="AH648" s="1114">
        <f>AG648-AF648</f>
        <v>0</v>
      </c>
      <c r="AI648" s="1114">
        <f>_xlfn.SUMIFS(Административные!AH$25:AH$122,Административные!$F$25:$F$122,$F648,Административные!$G$25:$G$122,$G648)</f>
        <v>0</v>
      </c>
      <c r="AJ648" s="1116">
        <f>_xlfn.SUMIFS(Административные!AI$25:AI$122,Административные!$F$25:$F$122,$F648,Административные!$G$25:$G$122,$G648)</f>
        <v>0</v>
      </c>
      <c r="AK648" s="1115"/>
      <c r="AL648" s="1115"/>
      <c r="AM648" s="1115"/>
      <c r="AN648" s="1115"/>
      <c r="AO648" s="1115"/>
      <c r="AP648" s="1115"/>
      <c r="AQ648" s="1115"/>
      <c r="AR648" s="1115"/>
      <c r="AS648" s="1115"/>
      <c r="AT648" s="1116">
        <f>_xlfn.SUMIFS(Административные!AJ$25:AJ$122,Административные!$F$25:$F$122,$F648,Административные!$G$25:$G$122,$G648)</f>
        <v>0</v>
      </c>
      <c r="AU648" s="1115"/>
      <c r="AV648" s="1115"/>
      <c r="AW648" s="1115"/>
      <c r="AX648" s="1115"/>
      <c r="AY648" s="1115"/>
      <c r="AZ648" s="1115"/>
      <c r="BA648" s="1115"/>
      <c r="BB648" s="1115"/>
      <c r="BC648" s="1115"/>
      <c r="BD648" s="1114">
        <f>IF(AI648=0,0,(AT648-AI648)/AI648*100)</f>
        <v>0</v>
      </c>
      <c r="BE648" s="1115"/>
      <c r="BF648" s="1115"/>
      <c r="BG648" s="1115"/>
      <c r="BH648" s="1115"/>
      <c r="BI648" s="1115"/>
      <c r="BJ648" s="1115"/>
      <c r="BK648" s="1115"/>
      <c r="BL648" s="1115"/>
      <c r="BM648" s="1115"/>
      <c r="BN648" s="7433"/>
      <c r="BO648" s="7437" t="str">
        <f>IF(_xlfn.IFERROR(INDEX(Административные!$K$26:$L$122,MATCH($F648&amp;"9komm",Административные!$K$26:$K$122,0),2),"")=0,"",_xlfn.IFERROR(INDEX(Административные!$K$26:$L$122,MATCH($F648&amp;"9komm",Административные!$K$26:$K$122,0),2),""))</f>
        <v/>
      </c>
      <c r="BP648" s="7433"/>
      <c r="BQ648" s="1278"/>
      <c r="BR648" s="1278"/>
      <c r="BS648" s="1062" t="s">
        <v>2534</v>
      </c>
      <c r="BT648" s="1064"/>
      <c r="BU648" s="1064"/>
      <c r="BV648" s="979"/>
      <c r="BW648" s="979"/>
    </row>
    <row s="1834" customFormat="1" customHeight="1" ht="0">
      <c r="A649" s="1278"/>
      <c r="B649" s="432">
        <f>STATUS_GO="да"</f>
        <v>1</v>
      </c>
      <c r="C649" s="107"/>
      <c r="D649" s="107"/>
      <c r="E649" s="621">
        <v>22.5</v>
      </c>
      <c r="F649" s="50" cm="1" t="str">
        <f t="array" ref="F649:F649">OFFSET(E649,-1,1)</f>
        <v>4</v>
      </c>
      <c r="G649" s="107"/>
      <c r="H649" s="857"/>
      <c r="I649" s="857" t="s">
        <v>1640</v>
      </c>
      <c r="J649" s="107"/>
      <c r="K649" s="378" t="s">
        <v>1640</v>
      </c>
      <c r="L649" s="980" t="s">
        <v>336</v>
      </c>
      <c r="M649" s="107"/>
      <c r="N649" s="107"/>
      <c r="O649" s="107"/>
      <c r="P649" s="107"/>
      <c r="Q649" s="107"/>
      <c r="R649" s="107"/>
      <c r="S649" s="107"/>
      <c r="T649" s="465" cm="1" t="str">
        <f t="array" ref="T649:T649">T648</f>
        <v>true</v>
      </c>
      <c r="U649" s="107"/>
      <c r="V649" s="107"/>
      <c r="W649" s="107"/>
      <c r="X649" s="1596"/>
      <c r="Y649" s="1278"/>
      <c r="Z649" s="1546"/>
      <c r="AA649" s="1278"/>
      <c r="AB649" s="300" t="s">
        <v>1641</v>
      </c>
      <c r="AC649" s="762" t="s">
        <v>2726</v>
      </c>
      <c r="AD649" s="300" t="s">
        <v>1514</v>
      </c>
      <c r="AE649" s="1114">
        <f>_xlfn.SUMIFS('Сбытовые расходы ГО'!AE$25:AE$87,'Сбытовые расходы ГО'!$F$25:$F$87,$F649,'Сбытовые расходы ГО'!$G$25:$G$87,"L0")-_xlfn.SUMIFS('Сбытовые расходы ГО'!AE$25:AE$87,'Сбытовые расходы ГО'!$F$25:$F$87,$F649,'Сбытовые расходы ГО'!$G$25:$G$87,"L1")</f>
        <v>0</v>
      </c>
      <c r="AF649" s="1114">
        <f>_xlfn.SUMIFS('Сбытовые расходы ГО'!AF$25:AF$87,'Сбытовые расходы ГО'!$F$25:$F$87,$F649,'Сбытовые расходы ГО'!$G$25:$G$87,"L0")-_xlfn.SUMIFS('Сбытовые расходы ГО'!AF$25:AF$87,'Сбытовые расходы ГО'!$F$25:$F$87,$F649,'Сбытовые расходы ГО'!$G$25:$G$87,"L1")</f>
        <v>0</v>
      </c>
      <c r="AG649" s="1114">
        <f>_xlfn.SUMIFS('Сбытовые расходы ГО'!AG$25:AG$87,'Сбытовые расходы ГО'!$F$25:$F$87,$F649,'Сбытовые расходы ГО'!$G$25:$G$87,"L0")-_xlfn.SUMIFS('Сбытовые расходы ГО'!AG$25:AG$87,'Сбытовые расходы ГО'!$F$25:$F$87,$F649,'Сбытовые расходы ГО'!$G$25:$G$87,"L1")</f>
        <v>0</v>
      </c>
      <c r="AH649" s="1114">
        <f>AG649-AF649</f>
        <v>0</v>
      </c>
      <c r="AI649" s="1114">
        <f>_xlfn.SUMIFS('Сбытовые расходы ГО'!AH$25:AH$87,'Сбытовые расходы ГО'!$F$25:$F$87,$F649,'Сбытовые расходы ГО'!$G$25:$G$87,"L0")-_xlfn.SUMIFS('Сбытовые расходы ГО'!AH$25:AH$87,'Сбытовые расходы ГО'!$F$25:$F$87,$F649,'Сбытовые расходы ГО'!$G$25:$G$87,"L1")</f>
        <v>0</v>
      </c>
      <c r="AJ649" s="1114">
        <f>_xlfn.SUMIFS('Сбытовые расходы ГО'!AI$25:AI$87,'Сбытовые расходы ГО'!$F$25:$F$87,$F649,'Сбытовые расходы ГО'!$G$25:$G$87,"L0")-_xlfn.SUMIFS('Сбытовые расходы ГО'!AI$25:AI$87,'Сбытовые расходы ГО'!$F$25:$F$87,$F649,'Сбытовые расходы ГО'!$G$25:$G$87,"L1")</f>
        <v>0</v>
      </c>
      <c r="AK649" s="1115"/>
      <c r="AL649" s="1115"/>
      <c r="AM649" s="1115"/>
      <c r="AN649" s="1115"/>
      <c r="AO649" s="1115"/>
      <c r="AP649" s="1115"/>
      <c r="AQ649" s="1115"/>
      <c r="AR649" s="1115"/>
      <c r="AS649" s="1115"/>
      <c r="AT649" s="1114">
        <f>_xlfn.SUMIFS('Сбытовые расходы ГО'!AJ$25:AJ$87,'Сбытовые расходы ГО'!$F$25:$F$87,$F649,'Сбытовые расходы ГО'!$G$25:$G$87,"L0")-_xlfn.SUMIFS('Сбытовые расходы ГО'!AJ$25:AJ$87,'Сбытовые расходы ГО'!$F$25:$F$87,$F649,'Сбытовые расходы ГО'!$G$25:$G$87,"L1")</f>
        <v>0</v>
      </c>
      <c r="AU649" s="1115"/>
      <c r="AV649" s="1115"/>
      <c r="AW649" s="1115"/>
      <c r="AX649" s="1115"/>
      <c r="AY649" s="1115"/>
      <c r="AZ649" s="1115"/>
      <c r="BA649" s="1115"/>
      <c r="BB649" s="1115"/>
      <c r="BC649" s="1115"/>
      <c r="BD649" s="1114">
        <f>IF(AI649=0,0,(AT649-AI649)/AI649*100)</f>
        <v>0</v>
      </c>
      <c r="BE649" s="1115"/>
      <c r="BF649" s="1115"/>
      <c r="BG649" s="1115"/>
      <c r="BH649" s="1115"/>
      <c r="BI649" s="1115"/>
      <c r="BJ649" s="1115"/>
      <c r="BK649" s="1115"/>
      <c r="BL649" s="1115"/>
      <c r="BM649" s="1115"/>
      <c r="BN649" s="7433"/>
      <c r="BO649" s="7433"/>
      <c r="BP649" s="7433"/>
      <c r="BQ649" s="1278"/>
      <c r="BR649" s="1278"/>
      <c r="BS649" s="1063" t="s">
        <v>2536</v>
      </c>
      <c r="BT649" s="1064"/>
      <c r="BU649" s="1064"/>
      <c r="BV649" s="979"/>
      <c r="BW649" s="979"/>
    </row>
    <row s="1834" customFormat="1" customHeight="1" ht="0">
      <c r="A650" s="1278"/>
      <c r="B650" s="978"/>
      <c r="C650" s="107"/>
      <c r="D650" s="107"/>
      <c r="E650" s="621">
        <v>15</v>
      </c>
      <c r="F650" s="50" cm="1" t="str">
        <f t="array" ref="F650:F650">OFFSET(E650,-1,1)</f>
        <v>4</v>
      </c>
      <c r="G650" s="107"/>
      <c r="H650" s="857"/>
      <c r="I650" s="857" t="s">
        <v>2475</v>
      </c>
      <c r="J650" s="107"/>
      <c r="K650" s="378" t="s">
        <v>2475</v>
      </c>
      <c r="L650" s="980"/>
      <c r="M650" s="107"/>
      <c r="N650" s="107"/>
      <c r="O650" s="107"/>
      <c r="P650" s="107"/>
      <c r="Q650" s="107"/>
      <c r="R650" s="107"/>
      <c r="S650" s="107"/>
      <c r="T650" s="465" cm="1" t="str">
        <f t="array" ref="T650:T650">T649</f>
        <v>true</v>
      </c>
      <c r="U650" s="107"/>
      <c r="V650" s="107"/>
      <c r="W650" s="107"/>
      <c r="X650" s="1596"/>
      <c r="Y650" s="1278"/>
      <c r="Z650" s="1546"/>
      <c r="AA650" s="1278"/>
      <c r="AB650" s="300" t="s">
        <v>2476</v>
      </c>
      <c r="AC650" s="762" t="s">
        <v>2727</v>
      </c>
      <c r="AD650" s="300" t="s">
        <v>1514</v>
      </c>
      <c r="AE650" s="3946"/>
      <c r="AF650" s="3946"/>
      <c r="AG650" s="3946"/>
      <c r="AH650" s="1114">
        <f>AG650-AF650</f>
        <v>0</v>
      </c>
      <c r="AI650" s="3946"/>
      <c r="AJ650" s="3946"/>
      <c r="AK650" s="1115"/>
      <c r="AL650" s="1115"/>
      <c r="AM650" s="1115"/>
      <c r="AN650" s="1115"/>
      <c r="AO650" s="1115"/>
      <c r="AP650" s="1115"/>
      <c r="AQ650" s="1115"/>
      <c r="AR650" s="1115"/>
      <c r="AS650" s="1115"/>
      <c r="AT650" s="3946"/>
      <c r="AU650" s="1115"/>
      <c r="AV650" s="1115"/>
      <c r="AW650" s="1115"/>
      <c r="AX650" s="1115"/>
      <c r="AY650" s="1115"/>
      <c r="AZ650" s="1115"/>
      <c r="BA650" s="1115"/>
      <c r="BB650" s="1115"/>
      <c r="BC650" s="1115"/>
      <c r="BD650" s="1114">
        <f>IF(AI650=0,0,(AT650-AI650)/AI650*100)</f>
        <v>0</v>
      </c>
      <c r="BE650" s="1115"/>
      <c r="BF650" s="1115"/>
      <c r="BG650" s="1115"/>
      <c r="BH650" s="1115"/>
      <c r="BI650" s="1115"/>
      <c r="BJ650" s="1115"/>
      <c r="BK650" s="1115"/>
      <c r="BL650" s="1115"/>
      <c r="BM650" s="1115"/>
      <c r="BN650" s="7433"/>
      <c r="BO650" s="7433"/>
      <c r="BP650" s="7433"/>
      <c r="BQ650" s="1278"/>
      <c r="BR650" s="1278"/>
      <c r="BS650" s="1064" t="s">
        <v>2728</v>
      </c>
      <c r="BT650" s="1064"/>
      <c r="BU650" s="1064"/>
      <c r="BV650" s="979"/>
      <c r="BW650" s="979"/>
    </row>
    <row s="7621" customFormat="1" customHeight="1" ht="0">
      <c r="A651" s="700"/>
      <c r="B651" s="435"/>
      <c r="C651" s="109"/>
      <c r="D651" s="109"/>
      <c r="E651" s="826">
        <v>21</v>
      </c>
      <c r="F651" s="50" cm="1" t="str">
        <f t="array" ref="F651:F651">OFFSET(E651,-1,1)</f>
        <v>4</v>
      </c>
      <c r="G651" s="109"/>
      <c r="H651" s="857"/>
      <c r="I651" s="857" t="s">
        <v>2479</v>
      </c>
      <c r="J651" s="109"/>
      <c r="K651" s="378" t="s">
        <v>2479</v>
      </c>
      <c r="L651" s="985"/>
      <c r="M651" s="109"/>
      <c r="N651" s="109"/>
      <c r="O651" s="109"/>
      <c r="P651" s="109"/>
      <c r="Q651" s="109"/>
      <c r="R651" s="109"/>
      <c r="S651" s="109"/>
      <c r="T651" s="465">
        <f>AND(F651&gt;0,method_reg="Метод индексации")</f>
        <v>1</v>
      </c>
      <c r="U651" s="109"/>
      <c r="V651" s="109"/>
      <c r="W651" s="109"/>
      <c r="X651" s="1596"/>
      <c r="Y651" s="700"/>
      <c r="Z651" s="1546"/>
      <c r="AA651" s="700"/>
      <c r="AB651" s="211" t="s">
        <v>2480</v>
      </c>
      <c r="AC651" s="361" t="s">
        <v>2729</v>
      </c>
      <c r="AD651" s="211" t="s">
        <v>1514</v>
      </c>
      <c r="AE651" s="213">
        <f>SUM(AE652:AE653)</f>
        <v>0</v>
      </c>
      <c r="AF651" s="213">
        <f>SUM(AF652:AF653)</f>
        <v>0</v>
      </c>
      <c r="AG651" s="213">
        <f>SUM(AG652:AG653)</f>
        <v>0</v>
      </c>
      <c r="AH651" s="778">
        <f>AG651-AF651</f>
        <v>0</v>
      </c>
      <c r="AI651" s="213">
        <f>SUM(AI652:AI653)</f>
        <v>0</v>
      </c>
      <c r="AJ651" s="213">
        <f>SUM(AJ652:AJ653)</f>
        <v>0</v>
      </c>
      <c r="AK651" s="216"/>
      <c r="AL651" s="216"/>
      <c r="AM651" s="216"/>
      <c r="AN651" s="216"/>
      <c r="AO651" s="216"/>
      <c r="AP651" s="216"/>
      <c r="AQ651" s="216"/>
      <c r="AR651" s="216"/>
      <c r="AS651" s="216"/>
      <c r="AT651" s="213">
        <f>SUM(AT652:AT653)</f>
        <v>0</v>
      </c>
      <c r="AU651" s="216"/>
      <c r="AV651" s="216"/>
      <c r="AW651" s="216"/>
      <c r="AX651" s="216"/>
      <c r="AY651" s="216"/>
      <c r="AZ651" s="216"/>
      <c r="BA651" s="216"/>
      <c r="BB651" s="216"/>
      <c r="BC651" s="216"/>
      <c r="BD651" s="778">
        <f>IF(AI651=0,0,(AT651-AI651)/AI651*100)</f>
        <v>0</v>
      </c>
      <c r="BE651" s="216"/>
      <c r="BF651" s="216"/>
      <c r="BG651" s="216"/>
      <c r="BH651" s="216"/>
      <c r="BI651" s="216"/>
      <c r="BJ651" s="216"/>
      <c r="BK651" s="216"/>
      <c r="BL651" s="216"/>
      <c r="BM651" s="216"/>
      <c r="BN651" s="7436"/>
      <c r="BO651" s="7436"/>
      <c r="BP651" s="7436"/>
      <c r="BQ651" s="700"/>
      <c r="BR651" s="700"/>
      <c r="BS651" s="1070" t="s">
        <v>2730</v>
      </c>
      <c r="BT651" s="1070"/>
      <c r="BU651" s="1070"/>
      <c r="BV651" s="707"/>
      <c r="BW651" s="707"/>
    </row>
    <row s="1834" customFormat="1" customHeight="1" ht="0" hidden="1">
      <c r="A652" s="1278"/>
      <c r="B652" s="432">
        <f>method_reg="Метод индексации"</f>
        <v>1</v>
      </c>
      <c r="C652" s="107"/>
      <c r="D652" s="107"/>
      <c r="E652" s="621">
        <v>15</v>
      </c>
      <c r="F652" s="50" cm="1" t="str">
        <f t="array" ref="F652:F652">OFFSET(E652,-1,1)</f>
        <v>4</v>
      </c>
      <c r="G652" s="107"/>
      <c r="H652" s="107"/>
      <c r="I652" s="857" t="s">
        <v>2479</v>
      </c>
      <c r="J652" s="107" cm="1" t="str">
        <f t="array" ref="J652:J652">AC652</f>
        <v>0</v>
      </c>
      <c r="K652" s="378" t="s">
        <v>2479</v>
      </c>
      <c r="L652" s="980"/>
      <c r="M652" s="107"/>
      <c r="N652" s="107"/>
      <c r="O652" s="107"/>
      <c r="P652" s="107"/>
      <c r="Q652" s="107"/>
      <c r="R652" s="107"/>
      <c r="S652" s="107"/>
      <c r="T652" s="465">
        <f>AND(F652&gt;0,Y652&gt;0)</f>
        <v>0</v>
      </c>
      <c r="U652" s="107"/>
      <c r="V652" s="107"/>
      <c r="W652" s="107" t="s">
        <v>174</v>
      </c>
      <c r="X652" s="1596"/>
      <c r="Y652" s="158">
        <v>0</v>
      </c>
      <c r="Z652" s="1546"/>
      <c r="AA652" s="420" t="s">
        <v>175</v>
      </c>
      <c r="AB652" s="300" t="str">
        <f>"1.7."&amp;Y652</f>
        <v>1.7.0</v>
      </c>
      <c r="AC652" s="1243"/>
      <c r="AD652" s="300" t="s">
        <v>1514</v>
      </c>
      <c r="AE652" s="1241"/>
      <c r="AF652" s="1241"/>
      <c r="AG652" s="1241"/>
      <c r="AH652" s="1114">
        <f>AG652-AF652</f>
        <v>0</v>
      </c>
      <c r="AI652" s="1241"/>
      <c r="AJ652" s="1241"/>
      <c r="AK652" s="1115"/>
      <c r="AL652" s="1115"/>
      <c r="AM652" s="1115"/>
      <c r="AN652" s="1115"/>
      <c r="AO652" s="1115"/>
      <c r="AP652" s="1115"/>
      <c r="AQ652" s="1115"/>
      <c r="AR652" s="1115"/>
      <c r="AS652" s="1115"/>
      <c r="AT652" s="1241"/>
      <c r="AU652" s="1115"/>
      <c r="AV652" s="1115"/>
      <c r="AW652" s="1115"/>
      <c r="AX652" s="1115"/>
      <c r="AY652" s="1115"/>
      <c r="AZ652" s="1115"/>
      <c r="BA652" s="1115"/>
      <c r="BB652" s="1115"/>
      <c r="BC652" s="1115"/>
      <c r="BD652" s="1114">
        <f>IF(AI652=0,0,(AT652-AI652)/AI652*100)</f>
        <v>0</v>
      </c>
      <c r="BE652" s="1115"/>
      <c r="BF652" s="1115"/>
      <c r="BG652" s="1115"/>
      <c r="BH652" s="1115"/>
      <c r="BI652" s="1115"/>
      <c r="BJ652" s="1115"/>
      <c r="BK652" s="1115"/>
      <c r="BL652" s="1115"/>
      <c r="BM652" s="1115"/>
      <c r="BN652" s="1238"/>
      <c r="BO652" s="1238"/>
      <c r="BP652" s="1238"/>
      <c r="BQ652" s="1278"/>
      <c r="BR652" s="1278"/>
      <c r="BS652" s="1064" t="s">
        <v>2730</v>
      </c>
      <c r="BT652" s="1064" t="s">
        <v>2731</v>
      </c>
      <c r="BU652" s="1064" cm="1" t="str">
        <f t="array" ref="BU652:BU652">AC652</f>
        <v>0</v>
      </c>
      <c r="BV652" s="979"/>
      <c r="BW652" s="703" t="b">
        <v>1</v>
      </c>
    </row>
    <row s="1834" customFormat="1" customHeight="1" ht="0">
      <c r="A653" s="1278"/>
      <c r="B653" s="432" cm="1" t="str">
        <f t="array" ref="B653:B653">B652</f>
        <v>true</v>
      </c>
      <c r="C653" s="107"/>
      <c r="D653" s="107"/>
      <c r="E653" s="621">
        <v>15</v>
      </c>
      <c r="F653" s="50" cm="1" t="str">
        <f t="array" ref="F653:F653">OFFSET(E653,-1,1)</f>
        <v>4</v>
      </c>
      <c r="G653" s="480"/>
      <c r="H653" s="107"/>
      <c r="I653" s="107"/>
      <c r="J653" s="107" t="s">
        <v>2732</v>
      </c>
      <c r="K653" s="1278"/>
      <c r="L653" s="980"/>
      <c r="M653" s="107"/>
      <c r="N653" s="107"/>
      <c r="O653" s="107"/>
      <c r="P653" s="107"/>
      <c r="Q653" s="107"/>
      <c r="R653" s="107"/>
      <c r="S653" s="107"/>
      <c r="T653" s="465">
        <f>F653&gt;0</f>
        <v>1</v>
      </c>
      <c r="U653" s="107"/>
      <c r="V653" s="107"/>
      <c r="W653" s="829" t="s">
        <v>399</v>
      </c>
      <c r="X653" s="1596"/>
      <c r="Y653" s="1278"/>
      <c r="Z653" s="1546"/>
      <c r="AA653" s="1278"/>
      <c r="AB653" s="874"/>
      <c r="AC653" s="260" t="s">
        <v>178</v>
      </c>
      <c r="AD653" s="776"/>
      <c r="AE653" s="776"/>
      <c r="AF653" s="776"/>
      <c r="AG653" s="776"/>
      <c r="AH653" s="776"/>
      <c r="AI653" s="776"/>
      <c r="AJ653" s="776"/>
      <c r="AK653" s="776"/>
      <c r="AL653" s="776"/>
      <c r="AM653" s="776"/>
      <c r="AN653" s="776"/>
      <c r="AO653" s="776"/>
      <c r="AP653" s="776"/>
      <c r="AQ653" s="776"/>
      <c r="AR653" s="776"/>
      <c r="AS653" s="776"/>
      <c r="AT653" s="776"/>
      <c r="AU653" s="776"/>
      <c r="AV653" s="776"/>
      <c r="AW653" s="776"/>
      <c r="AX653" s="776"/>
      <c r="AY653" s="776"/>
      <c r="AZ653" s="776"/>
      <c r="BA653" s="776"/>
      <c r="BB653" s="776"/>
      <c r="BC653" s="776"/>
      <c r="BD653" s="776"/>
      <c r="BE653" s="776"/>
      <c r="BF653" s="776"/>
      <c r="BG653" s="776"/>
      <c r="BH653" s="776"/>
      <c r="BI653" s="776"/>
      <c r="BJ653" s="776"/>
      <c r="BK653" s="776"/>
      <c r="BL653" s="776"/>
      <c r="BM653" s="776"/>
      <c r="BN653" s="776"/>
      <c r="BO653" s="776"/>
      <c r="BP653" s="777"/>
      <c r="BQ653" s="1278"/>
      <c r="BR653" s="1278"/>
      <c r="BS653" s="1064"/>
      <c r="BT653" s="1064"/>
      <c r="BU653" s="1064"/>
      <c r="BV653" s="703" t="s">
        <v>2731</v>
      </c>
      <c r="BW653" s="979"/>
    </row>
    <row s="7663" customFormat="1" customHeight="1" ht="20.25">
      <c r="A654" s="700"/>
      <c r="B654" s="435"/>
      <c r="C654" s="109"/>
      <c r="D654" s="109"/>
      <c r="E654" s="826">
        <v>21</v>
      </c>
      <c r="F654" s="50" cm="1" t="str">
        <f t="array" ref="F654:F654">OFFSET(E654,-1,1)</f>
        <v>4</v>
      </c>
      <c r="G654" s="109"/>
      <c r="H654" s="107"/>
      <c r="I654" s="107" t="s">
        <v>333</v>
      </c>
      <c r="J654" s="109"/>
      <c r="K654" s="158" t="s">
        <v>333</v>
      </c>
      <c r="L654" s="985"/>
      <c r="M654" s="109"/>
      <c r="N654" s="109"/>
      <c r="O654" s="109"/>
      <c r="P654" s="109"/>
      <c r="Q654" s="109"/>
      <c r="R654" s="109"/>
      <c r="S654" s="109"/>
      <c r="T654" s="465">
        <f>F654&gt;0</f>
        <v>1</v>
      </c>
      <c r="U654" s="109"/>
      <c r="V654" s="109"/>
      <c r="W654" s="109"/>
      <c r="X654" s="1596"/>
      <c r="Y654" s="700"/>
      <c r="Z654" s="1546"/>
      <c r="AA654" s="700"/>
      <c r="AB654" s="234" t="s">
        <v>285</v>
      </c>
      <c r="AC654" s="212" t="s">
        <v>2733</v>
      </c>
      <c r="AD654" s="234" t="s">
        <v>1514</v>
      </c>
      <c r="AE654" s="213">
        <f>AE655+AE667+AE668++AE679+AE680+AE681+AE683+AE684+AE685+AE686+AE689</f>
        <v>0</v>
      </c>
      <c r="AF654" s="213">
        <f>AF655+AF667+AF668++AF679+AF680+AF681+AF683+AF684+AF685+AF686+AF689</f>
        <v>0</v>
      </c>
      <c r="AG654" s="213">
        <f>AG655+AG667+AG668++AG679+AG680+AG681+AG683+AG684+AG685+AG686+AG689</f>
        <v>0</v>
      </c>
      <c r="AH654" s="778">
        <f>AG654-AF654</f>
        <v>0</v>
      </c>
      <c r="AI654" s="213">
        <f>AI655+AI667+AI668++AI679+AI680+AI681+AI683+AI684+AI685+AI686+AI689</f>
        <v>0</v>
      </c>
      <c r="AJ654" s="213">
        <f>AJ655+AJ667+AJ668++AJ679+AJ680+AJ681+AJ683+AJ684+AJ685+AJ686+AJ689</f>
        <v>4675.39317234286</v>
      </c>
      <c r="AK654" s="213">
        <f>AK655+AK667+AK668++AK679+AK680+AK681+AK683+AK684+AK685+AK686+AK689</f>
        <v>4789.61019024857</v>
      </c>
      <c r="AL654" s="213">
        <f>AL655+AL667+AL668++AL679+AL680+AL681+AL683+AL684+AL685+AL686+AL689</f>
        <v>4928.82614070145</v>
      </c>
      <c r="AM654" s="213">
        <f>AM655+AM667+AM668++AM679+AM680+AM681+AM683+AM684+AM685+AM686+AM689</f>
        <v>5392.44452260047</v>
      </c>
      <c r="AN654" s="213">
        <f>AN655+AN667+AN668++AN679+AN680+AN681+AN683+AN684+AN685+AN686+AN689</f>
        <v>5453.42912959376</v>
      </c>
      <c r="AO654" s="213">
        <f>AO655+AO667+AO668++AO679+AO680+AO681+AO683+AO684+AO685+AO686+AO689</f>
        <v>0</v>
      </c>
      <c r="AP654" s="213">
        <f>AP655+AP667+AP668++AP679+AP680+AP681+AP683+AP684+AP685+AP686+AP689</f>
        <v>0</v>
      </c>
      <c r="AQ654" s="213">
        <f>AQ655+AQ667+AQ668++AQ679+AQ680+AQ681+AQ683+AQ684+AQ685+AQ686+AQ689</f>
        <v>0</v>
      </c>
      <c r="AR654" s="213">
        <f>AR655+AR667+AR668++AR679+AR680+AR681+AR683+AR684+AR685+AR686+AR689</f>
        <v>0</v>
      </c>
      <c r="AS654" s="213">
        <f>AS655+AS667+AS668++AS679+AS680+AS681+AS683+AS684+AS685+AS686+AS689</f>
        <v>0</v>
      </c>
      <c r="AT654" s="213">
        <f>AT655+AT667+AT668++AT679+AT680+AT681+AT683+AT684+AT685+AT686+AT689</f>
        <v>4675.39317234286</v>
      </c>
      <c r="AU654" s="213">
        <f>AU655+AU667+AU668++AU679+AU680+AU681+AU683+AU684+AU685+AU686+AU689</f>
        <v>4789.61019024857</v>
      </c>
      <c r="AV654" s="213">
        <f>AV655+AV667+AV668++AV679+AV680+AV681+AV683+AV684+AV685+AV686+AV689</f>
        <v>4928.82614070145</v>
      </c>
      <c r="AW654" s="213">
        <f>AW655+AW667+AW668++AW679+AW680+AW681+AW683+AW684+AW685+AW686+AW689</f>
        <v>5392.44452260047</v>
      </c>
      <c r="AX654" s="213">
        <f>AX655+AX667+AX668++AX679+AX680+AX681+AX683+AX684+AX685+AX686+AX689</f>
        <v>5453.42912959376</v>
      </c>
      <c r="AY654" s="213">
        <f>AY655+AY667+AY668++AY679+AY680+AY681+AY683+AY684+AY685+AY686+AY689</f>
        <v>0</v>
      </c>
      <c r="AZ654" s="213">
        <f>AZ655+AZ667+AZ668++AZ679+AZ680+AZ681+AZ683+AZ684+AZ685+AZ686+AZ689</f>
        <v>0</v>
      </c>
      <c r="BA654" s="213">
        <f>BA655+BA667+BA668++BA679+BA680+BA681+BA683+BA684+BA685+BA686+BA689</f>
        <v>0</v>
      </c>
      <c r="BB654" s="213">
        <f>BB655+BB667+BB668++BB679+BB680+BB681+BB683+BB684+BB685+BB686+BB689</f>
        <v>0</v>
      </c>
      <c r="BC654" s="213">
        <f>BC655+BC667+BC668++BC679+BC680+BC681+BC683+BC684+BC685+BC686+BC689</f>
        <v>0</v>
      </c>
      <c r="BD654" s="778">
        <f>IF(AI654=0,0,(AT654-AI654)/AI654*100)</f>
        <v>0</v>
      </c>
      <c r="BE654" s="778">
        <f>IF(AT654=0,0,(AU654-AT654)/AT654*100)</f>
        <v>2.44293931430957</v>
      </c>
      <c r="BF654" s="778">
        <f>IF(AU654=0,0,(AV654-AU654)/AU654*100)</f>
        <v>2.90662381536429</v>
      </c>
      <c r="BG654" s="778">
        <f>IF(AV654=0,0,(AW654-AV654)/AV654*100)</f>
        <v>9.40626365516395</v>
      </c>
      <c r="BH654" s="778">
        <f>IF(AW654=0,0,(AX654-AW654)/AW654*100)</f>
        <v>1.13092692447174</v>
      </c>
      <c r="BI654" s="778">
        <f>IF(AX654=0,0,(AY654-AX654)/AX654*100)</f>
        <v>-100</v>
      </c>
      <c r="BJ654" s="778">
        <f>IF(AY654=0,0,(AZ654-AY654)/AY654*100)</f>
        <v>0</v>
      </c>
      <c r="BK654" s="778">
        <f>IF(AZ654=0,0,(BA654-AZ654)/AZ654*100)</f>
        <v>0</v>
      </c>
      <c r="BL654" s="778">
        <f>IF(BA654=0,0,(BB654-BA654)/BA654*100)</f>
        <v>0</v>
      </c>
      <c r="BM654" s="778">
        <f>IF(BB654=0,0,(BC654-BB654)/BB654*100)</f>
        <v>0</v>
      </c>
      <c r="BN654" s="7433"/>
      <c r="BO654" s="7433"/>
      <c r="BP654" s="7433"/>
      <c r="BQ654" s="160"/>
      <c r="BR654" s="700"/>
      <c r="BS654" s="1070" t="s">
        <v>2734</v>
      </c>
      <c r="BT654" s="1070"/>
      <c r="BU654" s="1070"/>
      <c r="BV654" s="707"/>
      <c r="BW654" s="707"/>
    </row>
    <row s="7664" customFormat="1" customHeight="1" ht="21.75">
      <c r="A655" s="700"/>
      <c r="B655" s="435"/>
      <c r="C655" s="109"/>
      <c r="D655" s="109"/>
      <c r="E655" s="826">
        <v>22.5</v>
      </c>
      <c r="F655" s="50" cm="1" t="str">
        <f t="array" ref="F655:F655">OFFSET(E655,-1,1)</f>
        <v>4</v>
      </c>
      <c r="G655" s="374" cm="1" t="str">
        <f t="array" ref="G655:G655">F654</f>
        <v>4</v>
      </c>
      <c r="H655" s="107"/>
      <c r="I655" s="107" t="s">
        <v>1193</v>
      </c>
      <c r="J655" s="109"/>
      <c r="K655" s="158" t="s">
        <v>1193</v>
      </c>
      <c r="L655" s="985" t="s">
        <v>1179</v>
      </c>
      <c r="M655" s="109"/>
      <c r="N655" s="109"/>
      <c r="O655" s="109"/>
      <c r="P655" s="109"/>
      <c r="Q655" s="109"/>
      <c r="R655" s="109"/>
      <c r="S655" s="109"/>
      <c r="T655" s="465" cm="1" t="str">
        <f t="array" ref="T655:T655">T654</f>
        <v>true</v>
      </c>
      <c r="U655" s="109"/>
      <c r="V655" s="109"/>
      <c r="W655" s="109"/>
      <c r="X655" s="1596"/>
      <c r="Y655" s="700"/>
      <c r="Z655" s="1546"/>
      <c r="AA655" s="700"/>
      <c r="AB655" s="211" t="s">
        <v>1250</v>
      </c>
      <c r="AC655" s="361" t="s">
        <v>2735</v>
      </c>
      <c r="AD655" s="211" t="s">
        <v>1514</v>
      </c>
      <c r="AE655" s="213">
        <f>SUM(AE656:AE666)</f>
        <v>0</v>
      </c>
      <c r="AF655" s="213">
        <f>SUM(AF656:AF666)</f>
        <v>0</v>
      </c>
      <c r="AG655" s="213">
        <f>SUM(AG656:AG666)</f>
        <v>0</v>
      </c>
      <c r="AH655" s="778">
        <f>AG655-AF655</f>
        <v>0</v>
      </c>
      <c r="AI655" s="213">
        <f>SUM(AI656:AI666)</f>
        <v>0</v>
      </c>
      <c r="AJ655" s="213">
        <f>SUM(AJ656:AJ666)</f>
        <v>0</v>
      </c>
      <c r="AK655" s="213">
        <f>SUM(AK656:AK666)</f>
        <v>0</v>
      </c>
      <c r="AL655" s="213">
        <f>SUM(AL656:AL666)</f>
        <v>0</v>
      </c>
      <c r="AM655" s="213">
        <f>SUM(AM656:AM666)</f>
        <v>0</v>
      </c>
      <c r="AN655" s="213">
        <f>SUM(AN656:AN666)</f>
        <v>0</v>
      </c>
      <c r="AO655" s="213">
        <f>SUM(AO656:AO666)</f>
        <v>0</v>
      </c>
      <c r="AP655" s="213">
        <f>SUM(AP656:AP666)</f>
        <v>0</v>
      </c>
      <c r="AQ655" s="213">
        <f>SUM(AQ656:AQ666)</f>
        <v>0</v>
      </c>
      <c r="AR655" s="213">
        <f>SUM(AR656:AR666)</f>
        <v>0</v>
      </c>
      <c r="AS655" s="213">
        <f>SUM(AS656:AS666)</f>
        <v>0</v>
      </c>
      <c r="AT655" s="213">
        <f>SUM(AT656:AT666)</f>
        <v>0</v>
      </c>
      <c r="AU655" s="213">
        <f>SUM(AU656:AU666)</f>
        <v>0</v>
      </c>
      <c r="AV655" s="213">
        <f>SUM(AV656:AV666)</f>
        <v>0</v>
      </c>
      <c r="AW655" s="213">
        <f>SUM(AW656:AW666)</f>
        <v>0</v>
      </c>
      <c r="AX655" s="213">
        <f>SUM(AX656:AX666)</f>
        <v>0</v>
      </c>
      <c r="AY655" s="213">
        <f>SUM(AY656:AY666)</f>
        <v>0</v>
      </c>
      <c r="AZ655" s="213">
        <f>SUM(AZ656:AZ666)</f>
        <v>0</v>
      </c>
      <c r="BA655" s="213">
        <f>SUM(BA656:BA666)</f>
        <v>0</v>
      </c>
      <c r="BB655" s="213">
        <f>SUM(BB656:BB666)</f>
        <v>0</v>
      </c>
      <c r="BC655" s="213">
        <f>SUM(BC656:BC666)</f>
        <v>0</v>
      </c>
      <c r="BD655" s="778">
        <f>IF(AI655=0,0,(AT655-AI655)/AI655*100)</f>
        <v>0</v>
      </c>
      <c r="BE655" s="778">
        <f>IF(AT655=0,0,(AU655-AT655)/AT655*100)</f>
        <v>0</v>
      </c>
      <c r="BF655" s="778">
        <f>IF(AU655=0,0,(AV655-AU655)/AU655*100)</f>
        <v>0</v>
      </c>
      <c r="BG655" s="778">
        <f>IF(AV655=0,0,(AW655-AV655)/AV655*100)</f>
        <v>0</v>
      </c>
      <c r="BH655" s="778">
        <f>IF(AW655=0,0,(AX655-AW655)/AW655*100)</f>
        <v>0</v>
      </c>
      <c r="BI655" s="778">
        <f>IF(AX655=0,0,(AY655-AX655)/AX655*100)</f>
        <v>0</v>
      </c>
      <c r="BJ655" s="778">
        <f>IF(AY655=0,0,(AZ655-AY655)/AY655*100)</f>
        <v>0</v>
      </c>
      <c r="BK655" s="778">
        <f>IF(AZ655=0,0,(BA655-AZ655)/AZ655*100)</f>
        <v>0</v>
      </c>
      <c r="BL655" s="778">
        <f>IF(BA655=0,0,(BB655-BA655)/BA655*100)</f>
        <v>0</v>
      </c>
      <c r="BM655" s="778">
        <f>IF(BB655=0,0,(BC655-BB655)/BB655*100)</f>
        <v>0</v>
      </c>
      <c r="BN655" s="7436"/>
      <c r="BO655" s="7436"/>
      <c r="BP655" s="7436"/>
      <c r="BQ655" s="700"/>
      <c r="BR655" s="700"/>
      <c r="BS655" s="1070" t="s">
        <v>2736</v>
      </c>
      <c r="BT655" s="1070"/>
      <c r="BU655" s="1070"/>
      <c r="BV655" s="707"/>
      <c r="BW655" s="707"/>
    </row>
    <row s="1834" customFormat="1" customHeight="1" ht="0">
      <c r="A656" s="1278"/>
      <c r="B656" s="978"/>
      <c r="C656" s="107"/>
      <c r="D656" s="107"/>
      <c r="E656" s="621">
        <v>15</v>
      </c>
      <c r="F656" s="50" cm="1" t="str">
        <f t="array" ref="F656:F656">OFFSET(E656,-1,1)</f>
        <v>4</v>
      </c>
      <c r="G656" s="107" t="s">
        <v>1819</v>
      </c>
      <c r="H656" s="107"/>
      <c r="I656" s="107" t="s">
        <v>2295</v>
      </c>
      <c r="J656" s="107"/>
      <c r="K656" s="158" t="s">
        <v>2295</v>
      </c>
      <c r="L656" s="980" t="s">
        <v>2071</v>
      </c>
      <c r="M656" s="107"/>
      <c r="N656" s="107"/>
      <c r="O656" s="107"/>
      <c r="P656" s="107"/>
      <c r="Q656" s="107"/>
      <c r="R656" s="107"/>
      <c r="S656" s="107"/>
      <c r="T656" s="465" cm="1" t="str">
        <f t="array" ref="T656:T656">T655</f>
        <v>true</v>
      </c>
      <c r="U656" s="107"/>
      <c r="V656" s="107"/>
      <c r="W656" s="107"/>
      <c r="X656" s="1596"/>
      <c r="Y656" s="1278"/>
      <c r="Z656" s="1546"/>
      <c r="AA656" s="1278"/>
      <c r="AB656" s="300" t="s">
        <v>1201</v>
      </c>
      <c r="AC656" s="765" t="s">
        <v>2737</v>
      </c>
      <c r="AD656" s="300" t="s">
        <v>1514</v>
      </c>
      <c r="AE656" s="1114">
        <f>_xlfn.SUMIFS(Покупка!AE$25:AE$372,Покупка!$F$25:$F$372,$F656,Покупка!$AC$25:$AC$372,$G656)</f>
        <v>0</v>
      </c>
      <c r="AF656" s="1114">
        <f>_xlfn.SUMIFS(Покупка!AF$25:AF$372,Покупка!$F$25:$F$372,$F656,Покупка!$AC$25:$AC$372,$G656)</f>
        <v>0</v>
      </c>
      <c r="AG656" s="1114">
        <f>_xlfn.SUMIFS(Покупка!AG$25:AG$372,Покупка!$F$25:$F$372,$F656,Покупка!$AC$25:$AC$372,$G656)</f>
        <v>0</v>
      </c>
      <c r="AH656" s="1114">
        <f>AG656-AF656</f>
        <v>0</v>
      </c>
      <c r="AI656" s="1114">
        <f>_xlfn.SUMIFS(Покупка!AH$25:AH$372,Покупка!$F$25:$F$372,$F656,Покупка!$AC$25:$AC$372,$G656)</f>
        <v>0</v>
      </c>
      <c r="AJ656" s="1114">
        <f>_xlfn.SUMIFS(Покупка!AI$25:AI$372,Покупка!$F$25:$F$372,$F656,Покупка!$AC$25:$AC$372,$G656)</f>
        <v>0</v>
      </c>
      <c r="AK656" s="1114">
        <f>_xlfn.SUMIFS(Покупка!AJ$25:AJ$372,Покупка!$F$25:$F$372,$F656,Покупка!$AC$25:$AC$372,$G656)</f>
        <v>0</v>
      </c>
      <c r="AL656" s="1114">
        <f>_xlfn.SUMIFS(Покупка!AK$25:AK$372,Покупка!$F$25:$F$372,$F656,Покупка!$AC$25:$AC$372,$G656)</f>
        <v>0</v>
      </c>
      <c r="AM656" s="1114">
        <f>_xlfn.SUMIFS(Покупка!AL$25:AL$372,Покупка!$F$25:$F$372,$F656,Покупка!$AC$25:$AC$372,$G656)</f>
        <v>0</v>
      </c>
      <c r="AN656" s="1114">
        <f>_xlfn.SUMIFS(Покупка!AM$25:AM$372,Покупка!$F$25:$F$372,$F656,Покупка!$AC$25:$AC$372,$G656)</f>
        <v>0</v>
      </c>
      <c r="AO656" s="1114">
        <f>_xlfn.SUMIFS(Покупка!AN$25:AN$372,Покупка!$F$25:$F$372,$F656,Покупка!$AC$25:$AC$372,$G656)</f>
        <v>0</v>
      </c>
      <c r="AP656" s="1114">
        <f>_xlfn.SUMIFS(Покупка!AO$25:AO$372,Покупка!$F$25:$F$372,$F656,Покупка!$AC$25:$AC$372,$G656)</f>
        <v>0</v>
      </c>
      <c r="AQ656" s="1114">
        <f>_xlfn.SUMIFS(Покупка!AP$25:AP$372,Покупка!$F$25:$F$372,$F656,Покупка!$AC$25:$AC$372,$G656)</f>
        <v>0</v>
      </c>
      <c r="AR656" s="1114">
        <f>_xlfn.SUMIFS(Покупка!AQ$25:AQ$372,Покупка!$F$25:$F$372,$F656,Покупка!$AC$25:$AC$372,$G656)</f>
        <v>0</v>
      </c>
      <c r="AS656" s="1114">
        <f>_xlfn.SUMIFS(Покупка!AR$25:AR$372,Покупка!$F$25:$F$372,$F656,Покупка!$AC$25:$AC$372,$G656)</f>
        <v>0</v>
      </c>
      <c r="AT656" s="1114">
        <f>_xlfn.SUMIFS(Покупка!AS$25:AS$372,Покупка!$F$25:$F$372,$F656,Покупка!$AC$25:$AC$372,$G656)</f>
        <v>0</v>
      </c>
      <c r="AU656" s="1114">
        <f>_xlfn.SUMIFS(Покупка!AT$25:AT$372,Покупка!$F$25:$F$372,$F656,Покупка!$AC$25:$AC$372,$G656)</f>
        <v>0</v>
      </c>
      <c r="AV656" s="1114">
        <f>_xlfn.SUMIFS(Покупка!AU$25:AU$372,Покупка!$F$25:$F$372,$F656,Покупка!$AC$25:$AC$372,$G656)</f>
        <v>0</v>
      </c>
      <c r="AW656" s="1114">
        <f>_xlfn.SUMIFS(Покупка!AV$25:AV$372,Покупка!$F$25:$F$372,$F656,Покупка!$AC$25:$AC$372,$G656)</f>
        <v>0</v>
      </c>
      <c r="AX656" s="1114">
        <f>_xlfn.SUMIFS(Покупка!AW$25:AW$372,Покупка!$F$25:$F$372,$F656,Покупка!$AC$25:$AC$372,$G656)</f>
        <v>0</v>
      </c>
      <c r="AY656" s="1114">
        <f>_xlfn.SUMIFS(Покупка!AX$25:AX$372,Покупка!$F$25:$F$372,$F656,Покупка!$AC$25:$AC$372,$G656)</f>
        <v>0</v>
      </c>
      <c r="AZ656" s="1114">
        <f>_xlfn.SUMIFS(Покупка!AY$25:AY$372,Покупка!$F$25:$F$372,$F656,Покупка!$AC$25:$AC$372,$G656)</f>
        <v>0</v>
      </c>
      <c r="BA656" s="1114">
        <f>_xlfn.SUMIFS(Покупка!AZ$25:AZ$372,Покупка!$F$25:$F$372,$F656,Покупка!$AC$25:$AC$372,$G656)</f>
        <v>0</v>
      </c>
      <c r="BB656" s="1114">
        <f>_xlfn.SUMIFS(Покупка!BA$25:BA$372,Покупка!$F$25:$F$372,$F656,Покупка!$AC$25:$AC$372,$G656)</f>
        <v>0</v>
      </c>
      <c r="BC656" s="1114">
        <f>_xlfn.SUMIFS(Покупка!BB$25:BB$372,Покупка!$F$25:$F$372,$F656,Покупка!$AC$25:$AC$372,$G656)</f>
        <v>0</v>
      </c>
      <c r="BD656" s="1114">
        <f>IF(AI656=0,0,(AT656-AI656)/AI656*100)</f>
        <v>0</v>
      </c>
      <c r="BE656" s="1114">
        <f>IF(AT656=0,0,(AU656-AT656)/AT656*100)</f>
        <v>0</v>
      </c>
      <c r="BF656" s="1114">
        <f>IF(AU656=0,0,(AV656-AU656)/AU656*100)</f>
        <v>0</v>
      </c>
      <c r="BG656" s="1114">
        <f>IF(AV656=0,0,(AW656-AV656)/AV656*100)</f>
        <v>0</v>
      </c>
      <c r="BH656" s="1114">
        <f>IF(AW656=0,0,(AX656-AW656)/AW656*100)</f>
        <v>0</v>
      </c>
      <c r="BI656" s="1114">
        <f>IF(AX656=0,0,(AY656-AX656)/AX656*100)</f>
        <v>0</v>
      </c>
      <c r="BJ656" s="1114">
        <f>IF(AY656=0,0,(AZ656-AY656)/AY656*100)</f>
        <v>0</v>
      </c>
      <c r="BK656" s="1114">
        <f>IF(AZ656=0,0,(BA656-AZ656)/AZ656*100)</f>
        <v>0</v>
      </c>
      <c r="BL656" s="1114">
        <f>IF(BA656=0,0,(BB656-BA656)/BA656*100)</f>
        <v>0</v>
      </c>
      <c r="BM656" s="1114">
        <f>IF(BB656=0,0,(BC656-BB656)/BB656*100)</f>
        <v>0</v>
      </c>
      <c r="BN656" s="7433"/>
      <c r="BO656" s="7437" t="str">
        <f>IF(_xlfn.IFERROR(INDEX(Покупка!$K$26:$L$372,MATCH($F656&amp;"6komm",Покупка!$K$26:$K$372,0),2),"")=0,"",_xlfn.IFERROR(INDEX(Покупка!$K$26:$L$372,MATCH($F656&amp;"6komm",Покупка!$K$26:$K$372,0),2),""))</f>
        <v/>
      </c>
      <c r="BP656" s="7433"/>
      <c r="BQ656" s="1278"/>
      <c r="BR656" s="1278"/>
      <c r="BS656" s="1064" t="s">
        <v>1820</v>
      </c>
      <c r="BT656" s="1064"/>
      <c r="BU656" s="1064"/>
      <c r="BV656" s="979"/>
      <c r="BW656" s="979"/>
    </row>
    <row s="1834" customFormat="1" customHeight="1" ht="0">
      <c r="A657" s="1278"/>
      <c r="B657" s="978"/>
      <c r="C657" s="107"/>
      <c r="D657" s="107"/>
      <c r="E657" s="621">
        <v>15</v>
      </c>
      <c r="F657" s="50" cm="1" t="str">
        <f t="array" ref="F657:F657">OFFSET(E657,-1,1)</f>
        <v>4</v>
      </c>
      <c r="G657" s="107" t="s">
        <v>1841</v>
      </c>
      <c r="H657" s="107"/>
      <c r="I657" s="107" t="s">
        <v>2299</v>
      </c>
      <c r="J657" s="107"/>
      <c r="K657" s="107" t="s">
        <v>2299</v>
      </c>
      <c r="L657" s="980" t="s">
        <v>2075</v>
      </c>
      <c r="M657" s="107"/>
      <c r="N657" s="107"/>
      <c r="O657" s="107"/>
      <c r="P657" s="107"/>
      <c r="Q657" s="107"/>
      <c r="R657" s="107"/>
      <c r="S657" s="107"/>
      <c r="T657" s="465" cm="1" t="str">
        <f t="array" ref="T657:T657">T656</f>
        <v>true</v>
      </c>
      <c r="U657" s="107"/>
      <c r="V657" s="107"/>
      <c r="W657" s="107"/>
      <c r="X657" s="1596"/>
      <c r="Y657" s="1278"/>
      <c r="Z657" s="1546"/>
      <c r="AA657" s="1278"/>
      <c r="AB657" s="300" t="s">
        <v>2738</v>
      </c>
      <c r="AC657" s="765" t="s">
        <v>2739</v>
      </c>
      <c r="AD657" s="300" t="s">
        <v>1514</v>
      </c>
      <c r="AE657" s="1114">
        <f>_xlfn.SUMIFS(Покупка!AE$25:AE$372,Покупка!$F$25:$F$372,$F657,Покупка!$AC$25:$AC$372,$G657)</f>
        <v>0</v>
      </c>
      <c r="AF657" s="1114">
        <f>_xlfn.SUMIFS(Покупка!AF$25:AF$372,Покупка!$F$25:$F$372,$F657,Покупка!$AC$25:$AC$372,$G657)</f>
        <v>0</v>
      </c>
      <c r="AG657" s="1114">
        <f>_xlfn.SUMIFS(Покупка!AG$25:AG$372,Покупка!$F$25:$F$372,$F657,Покупка!$AC$25:$AC$372,$G657)</f>
        <v>0</v>
      </c>
      <c r="AH657" s="1114">
        <f>AG657-AF657</f>
        <v>0</v>
      </c>
      <c r="AI657" s="1114">
        <f>_xlfn.SUMIFS(Покупка!AH$25:AH$372,Покупка!$F$25:$F$372,$F657,Покупка!$AC$25:$AC$372,$G657)</f>
        <v>0</v>
      </c>
      <c r="AJ657" s="1114">
        <f>_xlfn.SUMIFS(Покупка!AI$25:AI$372,Покупка!$F$25:$F$372,$F657,Покупка!$AC$25:$AC$372,$G657)</f>
        <v>0</v>
      </c>
      <c r="AK657" s="1114">
        <f>_xlfn.SUMIFS(Покупка!AJ$25:AJ$372,Покупка!$F$25:$F$372,$F657,Покупка!$AC$25:$AC$372,$G657)</f>
        <v>0</v>
      </c>
      <c r="AL657" s="1114">
        <f>_xlfn.SUMIFS(Покупка!AK$25:AK$372,Покупка!$F$25:$F$372,$F657,Покупка!$AC$25:$AC$372,$G657)</f>
        <v>0</v>
      </c>
      <c r="AM657" s="1114">
        <f>_xlfn.SUMIFS(Покупка!AL$25:AL$372,Покупка!$F$25:$F$372,$F657,Покупка!$AC$25:$AC$372,$G657)</f>
        <v>0</v>
      </c>
      <c r="AN657" s="1114">
        <f>_xlfn.SUMIFS(Покупка!AM$25:AM$372,Покупка!$F$25:$F$372,$F657,Покупка!$AC$25:$AC$372,$G657)</f>
        <v>0</v>
      </c>
      <c r="AO657" s="1114">
        <f>_xlfn.SUMIFS(Покупка!AN$25:AN$372,Покупка!$F$25:$F$372,$F657,Покупка!$AC$25:$AC$372,$G657)</f>
        <v>0</v>
      </c>
      <c r="AP657" s="1114">
        <f>_xlfn.SUMIFS(Покупка!AO$25:AO$372,Покупка!$F$25:$F$372,$F657,Покупка!$AC$25:$AC$372,$G657)</f>
        <v>0</v>
      </c>
      <c r="AQ657" s="1114">
        <f>_xlfn.SUMIFS(Покупка!AP$25:AP$372,Покупка!$F$25:$F$372,$F657,Покупка!$AC$25:$AC$372,$G657)</f>
        <v>0</v>
      </c>
      <c r="AR657" s="1114">
        <f>_xlfn.SUMIFS(Покупка!AQ$25:AQ$372,Покупка!$F$25:$F$372,$F657,Покупка!$AC$25:$AC$372,$G657)</f>
        <v>0</v>
      </c>
      <c r="AS657" s="1114">
        <f>_xlfn.SUMIFS(Покупка!AR$25:AR$372,Покупка!$F$25:$F$372,$F657,Покупка!$AC$25:$AC$372,$G657)</f>
        <v>0</v>
      </c>
      <c r="AT657" s="1114">
        <f>_xlfn.SUMIFS(Покупка!AS$25:AS$372,Покупка!$F$25:$F$372,$F657,Покупка!$AC$25:$AC$372,$G657)</f>
        <v>0</v>
      </c>
      <c r="AU657" s="1114">
        <f>_xlfn.SUMIFS(Покупка!AT$25:AT$372,Покупка!$F$25:$F$372,$F657,Покупка!$AC$25:$AC$372,$G657)</f>
        <v>0</v>
      </c>
      <c r="AV657" s="1114">
        <f>_xlfn.SUMIFS(Покупка!AU$25:AU$372,Покупка!$F$25:$F$372,$F657,Покупка!$AC$25:$AC$372,$G657)</f>
        <v>0</v>
      </c>
      <c r="AW657" s="1114">
        <f>_xlfn.SUMIFS(Покупка!AV$25:AV$372,Покупка!$F$25:$F$372,$F657,Покупка!$AC$25:$AC$372,$G657)</f>
        <v>0</v>
      </c>
      <c r="AX657" s="1114">
        <f>_xlfn.SUMIFS(Покупка!AW$25:AW$372,Покупка!$F$25:$F$372,$F657,Покупка!$AC$25:$AC$372,$G657)</f>
        <v>0</v>
      </c>
      <c r="AY657" s="1114">
        <f>_xlfn.SUMIFS(Покупка!AX$25:AX$372,Покупка!$F$25:$F$372,$F657,Покупка!$AC$25:$AC$372,$G657)</f>
        <v>0</v>
      </c>
      <c r="AZ657" s="1114">
        <f>_xlfn.SUMIFS(Покупка!AY$25:AY$372,Покупка!$F$25:$F$372,$F657,Покупка!$AC$25:$AC$372,$G657)</f>
        <v>0</v>
      </c>
      <c r="BA657" s="1114">
        <f>_xlfn.SUMIFS(Покупка!AZ$25:AZ$372,Покупка!$F$25:$F$372,$F657,Покупка!$AC$25:$AC$372,$G657)</f>
        <v>0</v>
      </c>
      <c r="BB657" s="1114">
        <f>_xlfn.SUMIFS(Покупка!BA$25:BA$372,Покупка!$F$25:$F$372,$F657,Покупка!$AC$25:$AC$372,$G657)</f>
        <v>0</v>
      </c>
      <c r="BC657" s="1114">
        <f>_xlfn.SUMIFS(Покупка!BB$25:BB$372,Покупка!$F$25:$F$372,$F657,Покупка!$AC$25:$AC$372,$G657)</f>
        <v>0</v>
      </c>
      <c r="BD657" s="1114">
        <f>IF(AI657=0,0,(AT657-AI657)/AI657*100)</f>
        <v>0</v>
      </c>
      <c r="BE657" s="1114">
        <f>IF(AT657=0,0,(AU657-AT657)/AT657*100)</f>
        <v>0</v>
      </c>
      <c r="BF657" s="1114">
        <f>IF(AU657=0,0,(AV657-AU657)/AU657*100)</f>
        <v>0</v>
      </c>
      <c r="BG657" s="1114">
        <f>IF(AV657=0,0,(AW657-AV657)/AV657*100)</f>
        <v>0</v>
      </c>
      <c r="BH657" s="1114">
        <f>IF(AW657=0,0,(AX657-AW657)/AW657*100)</f>
        <v>0</v>
      </c>
      <c r="BI657" s="1114">
        <f>IF(AX657=0,0,(AY657-AX657)/AX657*100)</f>
        <v>0</v>
      </c>
      <c r="BJ657" s="1114">
        <f>IF(AY657=0,0,(AZ657-AY657)/AY657*100)</f>
        <v>0</v>
      </c>
      <c r="BK657" s="1114">
        <f>IF(AZ657=0,0,(BA657-AZ657)/AZ657*100)</f>
        <v>0</v>
      </c>
      <c r="BL657" s="1114">
        <f>IF(BA657=0,0,(BB657-BA657)/BA657*100)</f>
        <v>0</v>
      </c>
      <c r="BM657" s="1114">
        <f>IF(BB657=0,0,(BC657-BB657)/BB657*100)</f>
        <v>0</v>
      </c>
      <c r="BN657" s="7433"/>
      <c r="BO657" s="7437" t="str">
        <f>IF(_xlfn.IFERROR(INDEX(Покупка!$K$26:$L$372,MATCH($F657&amp;"7komm",Покупка!$K$26:$K$372,0),2),"")=0,"",_xlfn.IFERROR(INDEX(Покупка!$K$26:$L$372,MATCH($F657&amp;"7komm",Покупка!$K$26:$K$372,0),2),""))</f>
        <v/>
      </c>
      <c r="BP657" s="7433"/>
      <c r="BQ657" s="1278"/>
      <c r="BR657" s="1278"/>
      <c r="BS657" s="1064" t="s">
        <v>1842</v>
      </c>
      <c r="BT657" s="1064"/>
      <c r="BU657" s="1064"/>
      <c r="BV657" s="979"/>
      <c r="BW657" s="979"/>
    </row>
    <row s="1834" customFormat="1" customHeight="1" ht="0">
      <c r="A658" s="1278"/>
      <c r="B658" s="978"/>
      <c r="C658" s="107"/>
      <c r="D658" s="107"/>
      <c r="E658" s="621">
        <v>15</v>
      </c>
      <c r="F658" s="50" cm="1" t="str">
        <f t="array" ref="F658:F658">OFFSET(E658,-1,1)</f>
        <v>4</v>
      </c>
      <c r="G658" s="107" t="s">
        <v>1793</v>
      </c>
      <c r="H658" s="107"/>
      <c r="I658" s="107" t="s">
        <v>2374</v>
      </c>
      <c r="J658" s="107"/>
      <c r="K658" s="107" t="s">
        <v>2374</v>
      </c>
      <c r="L658" s="980" t="s">
        <v>2244</v>
      </c>
      <c r="M658" s="107"/>
      <c r="N658" s="107"/>
      <c r="O658" s="107"/>
      <c r="P658" s="107"/>
      <c r="Q658" s="107"/>
      <c r="R658" s="107"/>
      <c r="S658" s="107"/>
      <c r="T658" s="465" cm="1" t="str">
        <f t="array" ref="T658:T658">T657</f>
        <v>true</v>
      </c>
      <c r="U658" s="107"/>
      <c r="V658" s="107"/>
      <c r="W658" s="107"/>
      <c r="X658" s="1596"/>
      <c r="Y658" s="1278"/>
      <c r="Z658" s="1546"/>
      <c r="AA658" s="1278"/>
      <c r="AB658" s="300" t="s">
        <v>2740</v>
      </c>
      <c r="AC658" s="765" t="s">
        <v>2741</v>
      </c>
      <c r="AD658" s="300" t="s">
        <v>1514</v>
      </c>
      <c r="AE658" s="1114">
        <f>_xlfn.SUMIFS(Покупка!AE$25:AE$372,Покупка!$F$25:$F$372,$F658,Покупка!$AC$25:$AC$372,$G658)</f>
        <v>0</v>
      </c>
      <c r="AF658" s="1114">
        <f>_xlfn.SUMIFS(Покупка!AF$25:AF$372,Покупка!$F$25:$F$372,$F658,Покупка!$AC$25:$AC$372,$G658)</f>
        <v>0</v>
      </c>
      <c r="AG658" s="1114">
        <f>_xlfn.SUMIFS(Покупка!AG$25:AG$372,Покупка!$F$25:$F$372,$F658,Покупка!$AC$25:$AC$372,$G658)</f>
        <v>0</v>
      </c>
      <c r="AH658" s="1114">
        <f>AG658-AF658</f>
        <v>0</v>
      </c>
      <c r="AI658" s="1114">
        <f>_xlfn.SUMIFS(Покупка!AH$25:AH$372,Покупка!$F$25:$F$372,$F658,Покупка!$AC$25:$AC$372,$G658)</f>
        <v>0</v>
      </c>
      <c r="AJ658" s="1114">
        <f>_xlfn.SUMIFS(Покупка!AI$25:AI$372,Покупка!$F$25:$F$372,$F658,Покупка!$AC$25:$AC$372,$G658)</f>
        <v>0</v>
      </c>
      <c r="AK658" s="1114">
        <f>_xlfn.SUMIFS(Покупка!AJ$25:AJ$372,Покупка!$F$25:$F$372,$F658,Покупка!$AC$25:$AC$372,$G658)</f>
        <v>0</v>
      </c>
      <c r="AL658" s="1114">
        <f>_xlfn.SUMIFS(Покупка!AK$25:AK$372,Покупка!$F$25:$F$372,$F658,Покупка!$AC$25:$AC$372,$G658)</f>
        <v>0</v>
      </c>
      <c r="AM658" s="1114">
        <f>_xlfn.SUMIFS(Покупка!AL$25:AL$372,Покупка!$F$25:$F$372,$F658,Покупка!$AC$25:$AC$372,$G658)</f>
        <v>0</v>
      </c>
      <c r="AN658" s="1114">
        <f>_xlfn.SUMIFS(Покупка!AM$25:AM$372,Покупка!$F$25:$F$372,$F658,Покупка!$AC$25:$AC$372,$G658)</f>
        <v>0</v>
      </c>
      <c r="AO658" s="1114">
        <f>_xlfn.SUMIFS(Покупка!AN$25:AN$372,Покупка!$F$25:$F$372,$F658,Покупка!$AC$25:$AC$372,$G658)</f>
        <v>0</v>
      </c>
      <c r="AP658" s="1114">
        <f>_xlfn.SUMIFS(Покупка!AO$25:AO$372,Покупка!$F$25:$F$372,$F658,Покупка!$AC$25:$AC$372,$G658)</f>
        <v>0</v>
      </c>
      <c r="AQ658" s="1114">
        <f>_xlfn.SUMIFS(Покупка!AP$25:AP$372,Покупка!$F$25:$F$372,$F658,Покупка!$AC$25:$AC$372,$G658)</f>
        <v>0</v>
      </c>
      <c r="AR658" s="1114">
        <f>_xlfn.SUMIFS(Покупка!AQ$25:AQ$372,Покупка!$F$25:$F$372,$F658,Покупка!$AC$25:$AC$372,$G658)</f>
        <v>0</v>
      </c>
      <c r="AS658" s="1114">
        <f>_xlfn.SUMIFS(Покупка!AR$25:AR$372,Покупка!$F$25:$F$372,$F658,Покупка!$AC$25:$AC$372,$G658)</f>
        <v>0</v>
      </c>
      <c r="AT658" s="1114">
        <f>_xlfn.SUMIFS(Покупка!AS$25:AS$372,Покупка!$F$25:$F$372,$F658,Покупка!$AC$25:$AC$372,$G658)</f>
        <v>0</v>
      </c>
      <c r="AU658" s="1114">
        <f>_xlfn.SUMIFS(Покупка!AT$25:AT$372,Покупка!$F$25:$F$372,$F658,Покупка!$AC$25:$AC$372,$G658)</f>
        <v>0</v>
      </c>
      <c r="AV658" s="1114">
        <f>_xlfn.SUMIFS(Покупка!AU$25:AU$372,Покупка!$F$25:$F$372,$F658,Покупка!$AC$25:$AC$372,$G658)</f>
        <v>0</v>
      </c>
      <c r="AW658" s="1114">
        <f>_xlfn.SUMIFS(Покупка!AV$25:AV$372,Покупка!$F$25:$F$372,$F658,Покупка!$AC$25:$AC$372,$G658)</f>
        <v>0</v>
      </c>
      <c r="AX658" s="1114">
        <f>_xlfn.SUMIFS(Покупка!AW$25:AW$372,Покупка!$F$25:$F$372,$F658,Покупка!$AC$25:$AC$372,$G658)</f>
        <v>0</v>
      </c>
      <c r="AY658" s="1114">
        <f>_xlfn.SUMIFS(Покупка!AX$25:AX$372,Покупка!$F$25:$F$372,$F658,Покупка!$AC$25:$AC$372,$G658)</f>
        <v>0</v>
      </c>
      <c r="AZ658" s="1114">
        <f>_xlfn.SUMIFS(Покупка!AY$25:AY$372,Покупка!$F$25:$F$372,$F658,Покупка!$AC$25:$AC$372,$G658)</f>
        <v>0</v>
      </c>
      <c r="BA658" s="1114">
        <f>_xlfn.SUMIFS(Покупка!AZ$25:AZ$372,Покупка!$F$25:$F$372,$F658,Покупка!$AC$25:$AC$372,$G658)</f>
        <v>0</v>
      </c>
      <c r="BB658" s="1114">
        <f>_xlfn.SUMIFS(Покупка!BA$25:BA$372,Покупка!$F$25:$F$372,$F658,Покупка!$AC$25:$AC$372,$G658)</f>
        <v>0</v>
      </c>
      <c r="BC658" s="1114">
        <f>_xlfn.SUMIFS(Покупка!BB$25:BB$372,Покупка!$F$25:$F$372,$F658,Покупка!$AC$25:$AC$372,$G658)</f>
        <v>0</v>
      </c>
      <c r="BD658" s="1114">
        <f>IF(AI658=0,0,(AT658-AI658)/AI658*100)</f>
        <v>0</v>
      </c>
      <c r="BE658" s="1114">
        <f>IF(AT658=0,0,(AU658-AT658)/AT658*100)</f>
        <v>0</v>
      </c>
      <c r="BF658" s="1114">
        <f>IF(AU658=0,0,(AV658-AU658)/AU658*100)</f>
        <v>0</v>
      </c>
      <c r="BG658" s="1114">
        <f>IF(AV658=0,0,(AW658-AV658)/AV658*100)</f>
        <v>0</v>
      </c>
      <c r="BH658" s="1114">
        <f>IF(AW658=0,0,(AX658-AW658)/AW658*100)</f>
        <v>0</v>
      </c>
      <c r="BI658" s="1114">
        <f>IF(AX658=0,0,(AY658-AX658)/AX658*100)</f>
        <v>0</v>
      </c>
      <c r="BJ658" s="1114">
        <f>IF(AY658=0,0,(AZ658-AY658)/AY658*100)</f>
        <v>0</v>
      </c>
      <c r="BK658" s="1114">
        <f>IF(AZ658=0,0,(BA658-AZ658)/AZ658*100)</f>
        <v>0</v>
      </c>
      <c r="BL658" s="1114">
        <f>IF(BA658=0,0,(BB658-BA658)/BA658*100)</f>
        <v>0</v>
      </c>
      <c r="BM658" s="1114">
        <f>IF(BB658=0,0,(BC658-BB658)/BB658*100)</f>
        <v>0</v>
      </c>
      <c r="BN658" s="7433"/>
      <c r="BO658" s="7437" t="str">
        <f>IF(_xlfn.IFERROR(INDEX(Покупка!$K$26:$L$372,MATCH($F658&amp;"2komm",Покупка!$K$26:$K$372,0),2),"")=0,"",_xlfn.IFERROR(INDEX(Покупка!$K$26:$L$372,MATCH($F658&amp;"2komm",Покупка!$K$26:$K$372,0),2),""))</f>
        <v/>
      </c>
      <c r="BP658" s="7433"/>
      <c r="BQ658" s="1278"/>
      <c r="BR658" s="1278"/>
      <c r="BS658" s="1064" t="s">
        <v>2742</v>
      </c>
      <c r="BT658" s="1064"/>
      <c r="BU658" s="1064"/>
      <c r="BV658" s="979"/>
      <c r="BW658" s="979"/>
    </row>
    <row s="1834" customFormat="1" customHeight="1" ht="0">
      <c r="A659" s="1278"/>
      <c r="B659" s="978"/>
      <c r="C659" s="107"/>
      <c r="D659" s="107"/>
      <c r="E659" s="621">
        <v>15</v>
      </c>
      <c r="F659" s="50" cm="1" t="str">
        <f t="array" ref="F659:F659">OFFSET(E659,-1,1)</f>
        <v>4</v>
      </c>
      <c r="G659" s="107" t="s">
        <v>1780</v>
      </c>
      <c r="H659" s="107"/>
      <c r="I659" s="107" t="s">
        <v>2376</v>
      </c>
      <c r="J659" s="107"/>
      <c r="K659" s="107" t="s">
        <v>2376</v>
      </c>
      <c r="L659" s="980" t="s">
        <v>2239</v>
      </c>
      <c r="M659" s="107"/>
      <c r="N659" s="107"/>
      <c r="O659" s="107"/>
      <c r="P659" s="107"/>
      <c r="Q659" s="107"/>
      <c r="R659" s="107"/>
      <c r="S659" s="107"/>
      <c r="T659" s="465" cm="1" t="str">
        <f t="array" ref="T659:T659">T658</f>
        <v>true</v>
      </c>
      <c r="U659" s="107"/>
      <c r="V659" s="107"/>
      <c r="W659" s="107"/>
      <c r="X659" s="1596"/>
      <c r="Y659" s="1278"/>
      <c r="Z659" s="1546"/>
      <c r="AA659" s="1278"/>
      <c r="AB659" s="300" t="s">
        <v>2743</v>
      </c>
      <c r="AC659" s="765" t="s">
        <v>2744</v>
      </c>
      <c r="AD659" s="300" t="s">
        <v>1514</v>
      </c>
      <c r="AE659" s="1114">
        <f>_xlfn.SUMIFS(Покупка!AE$25:AE$372,Покупка!$F$25:$F$372,$F659,Покупка!$AC$25:$AC$372,$G659)</f>
        <v>0</v>
      </c>
      <c r="AF659" s="1114">
        <f>_xlfn.SUMIFS(Покупка!AF$25:AF$372,Покупка!$F$25:$F$372,$F659,Покупка!$AC$25:$AC$372,$G659)</f>
        <v>0</v>
      </c>
      <c r="AG659" s="1114">
        <f>_xlfn.SUMIFS(Покупка!AG$25:AG$372,Покупка!$F$25:$F$372,$F659,Покупка!$AC$25:$AC$372,$G659)</f>
        <v>0</v>
      </c>
      <c r="AH659" s="1114">
        <f>AG659-AF659</f>
        <v>0</v>
      </c>
      <c r="AI659" s="1114">
        <f>_xlfn.SUMIFS(Покупка!AH$25:AH$372,Покупка!$F$25:$F$372,$F659,Покупка!$AC$25:$AC$372,$G659)</f>
        <v>0</v>
      </c>
      <c r="AJ659" s="1114">
        <f>_xlfn.SUMIFS(Покупка!AI$25:AI$372,Покупка!$F$25:$F$372,$F659,Покупка!$AC$25:$AC$372,$G659)</f>
        <v>0</v>
      </c>
      <c r="AK659" s="1114">
        <f>_xlfn.SUMIFS(Покупка!AJ$25:AJ$372,Покупка!$F$25:$F$372,$F659,Покупка!$AC$25:$AC$372,$G659)</f>
        <v>0</v>
      </c>
      <c r="AL659" s="1114">
        <f>_xlfn.SUMIFS(Покупка!AK$25:AK$372,Покупка!$F$25:$F$372,$F659,Покупка!$AC$25:$AC$372,$G659)</f>
        <v>0</v>
      </c>
      <c r="AM659" s="1114">
        <f>_xlfn.SUMIFS(Покупка!AL$25:AL$372,Покупка!$F$25:$F$372,$F659,Покупка!$AC$25:$AC$372,$G659)</f>
        <v>0</v>
      </c>
      <c r="AN659" s="1114">
        <f>_xlfn.SUMIFS(Покупка!AM$25:AM$372,Покупка!$F$25:$F$372,$F659,Покупка!$AC$25:$AC$372,$G659)</f>
        <v>0</v>
      </c>
      <c r="AO659" s="1114">
        <f>_xlfn.SUMIFS(Покупка!AN$25:AN$372,Покупка!$F$25:$F$372,$F659,Покупка!$AC$25:$AC$372,$G659)</f>
        <v>0</v>
      </c>
      <c r="AP659" s="1114">
        <f>_xlfn.SUMIFS(Покупка!AO$25:AO$372,Покупка!$F$25:$F$372,$F659,Покупка!$AC$25:$AC$372,$G659)</f>
        <v>0</v>
      </c>
      <c r="AQ659" s="1114">
        <f>_xlfn.SUMIFS(Покупка!AP$25:AP$372,Покупка!$F$25:$F$372,$F659,Покупка!$AC$25:$AC$372,$G659)</f>
        <v>0</v>
      </c>
      <c r="AR659" s="1114">
        <f>_xlfn.SUMIFS(Покупка!AQ$25:AQ$372,Покупка!$F$25:$F$372,$F659,Покупка!$AC$25:$AC$372,$G659)</f>
        <v>0</v>
      </c>
      <c r="AS659" s="1114">
        <f>_xlfn.SUMIFS(Покупка!AR$25:AR$372,Покупка!$F$25:$F$372,$F659,Покупка!$AC$25:$AC$372,$G659)</f>
        <v>0</v>
      </c>
      <c r="AT659" s="1114">
        <f>_xlfn.SUMIFS(Покупка!AS$25:AS$372,Покупка!$F$25:$F$372,$F659,Покупка!$AC$25:$AC$372,$G659)</f>
        <v>0</v>
      </c>
      <c r="AU659" s="1114">
        <f>_xlfn.SUMIFS(Покупка!AT$25:AT$372,Покупка!$F$25:$F$372,$F659,Покупка!$AC$25:$AC$372,$G659)</f>
        <v>0</v>
      </c>
      <c r="AV659" s="1114">
        <f>_xlfn.SUMIFS(Покупка!AU$25:AU$372,Покупка!$F$25:$F$372,$F659,Покупка!$AC$25:$AC$372,$G659)</f>
        <v>0</v>
      </c>
      <c r="AW659" s="1114">
        <f>_xlfn.SUMIFS(Покупка!AV$25:AV$372,Покупка!$F$25:$F$372,$F659,Покупка!$AC$25:$AC$372,$G659)</f>
        <v>0</v>
      </c>
      <c r="AX659" s="1114">
        <f>_xlfn.SUMIFS(Покупка!AW$25:AW$372,Покупка!$F$25:$F$372,$F659,Покупка!$AC$25:$AC$372,$G659)</f>
        <v>0</v>
      </c>
      <c r="AY659" s="1114">
        <f>_xlfn.SUMIFS(Покупка!AX$25:AX$372,Покупка!$F$25:$F$372,$F659,Покупка!$AC$25:$AC$372,$G659)</f>
        <v>0</v>
      </c>
      <c r="AZ659" s="1114">
        <f>_xlfn.SUMIFS(Покупка!AY$25:AY$372,Покупка!$F$25:$F$372,$F659,Покупка!$AC$25:$AC$372,$G659)</f>
        <v>0</v>
      </c>
      <c r="BA659" s="1114">
        <f>_xlfn.SUMIFS(Покупка!AZ$25:AZ$372,Покупка!$F$25:$F$372,$F659,Покупка!$AC$25:$AC$372,$G659)</f>
        <v>0</v>
      </c>
      <c r="BB659" s="1114">
        <f>_xlfn.SUMIFS(Покупка!BA$25:BA$372,Покупка!$F$25:$F$372,$F659,Покупка!$AC$25:$AC$372,$G659)</f>
        <v>0</v>
      </c>
      <c r="BC659" s="1114">
        <f>_xlfn.SUMIFS(Покупка!BB$25:BB$372,Покупка!$F$25:$F$372,$F659,Покупка!$AC$25:$AC$372,$G659)</f>
        <v>0</v>
      </c>
      <c r="BD659" s="1114">
        <f>IF(AI659=0,0,(AT659-AI659)/AI659*100)</f>
        <v>0</v>
      </c>
      <c r="BE659" s="1114">
        <f>IF(AT659=0,0,(AU659-AT659)/AT659*100)</f>
        <v>0</v>
      </c>
      <c r="BF659" s="1114">
        <f>IF(AU659=0,0,(AV659-AU659)/AU659*100)</f>
        <v>0</v>
      </c>
      <c r="BG659" s="1114">
        <f>IF(AV659=0,0,(AW659-AV659)/AV659*100)</f>
        <v>0</v>
      </c>
      <c r="BH659" s="1114">
        <f>IF(AW659=0,0,(AX659-AW659)/AW659*100)</f>
        <v>0</v>
      </c>
      <c r="BI659" s="1114">
        <f>IF(AX659=0,0,(AY659-AX659)/AX659*100)</f>
        <v>0</v>
      </c>
      <c r="BJ659" s="1114">
        <f>IF(AY659=0,0,(AZ659-AY659)/AY659*100)</f>
        <v>0</v>
      </c>
      <c r="BK659" s="1114">
        <f>IF(AZ659=0,0,(BA659-AZ659)/AZ659*100)</f>
        <v>0</v>
      </c>
      <c r="BL659" s="1114">
        <f>IF(BA659=0,0,(BB659-BA659)/BA659*100)</f>
        <v>0</v>
      </c>
      <c r="BM659" s="1114">
        <f>IF(BB659=0,0,(BC659-BB659)/BB659*100)</f>
        <v>0</v>
      </c>
      <c r="BN659" s="7433"/>
      <c r="BO659" s="7437" t="str">
        <f>IF(_xlfn.IFERROR(INDEX(Покупка!$K$26:$L$372,MATCH($F659&amp;"1komm",Покупка!$K$26:$K$372,0),2),"")=0,"",_xlfn.IFERROR(INDEX(Покупка!$K$26:$L$372,MATCH($F659&amp;"1komm",Покупка!$K$26:$K$372,0),2),""))</f>
        <v/>
      </c>
      <c r="BP659" s="7433"/>
      <c r="BQ659" s="1278"/>
      <c r="BR659" s="1278"/>
      <c r="BS659" s="1064" t="s">
        <v>2745</v>
      </c>
      <c r="BT659" s="1064"/>
      <c r="BU659" s="1064"/>
      <c r="BV659" s="979"/>
      <c r="BW659" s="979"/>
    </row>
    <row s="1834" customFormat="1" customHeight="1" ht="0">
      <c r="A660" s="1278"/>
      <c r="B660" s="978"/>
      <c r="C660" s="107"/>
      <c r="D660" s="107"/>
      <c r="E660" s="621">
        <v>15</v>
      </c>
      <c r="F660" s="50" cm="1" t="str">
        <f t="array" ref="F660:F660">OFFSET(E660,-1,1)</f>
        <v>4</v>
      </c>
      <c r="G660" s="107" t="s">
        <v>1847</v>
      </c>
      <c r="H660" s="107"/>
      <c r="I660" s="107" t="s">
        <v>2379</v>
      </c>
      <c r="J660" s="107"/>
      <c r="K660" s="107" t="s">
        <v>2379</v>
      </c>
      <c r="L660" s="980"/>
      <c r="M660" s="107"/>
      <c r="N660" s="107"/>
      <c r="O660" s="107"/>
      <c r="P660" s="107"/>
      <c r="Q660" s="107"/>
      <c r="R660" s="107"/>
      <c r="S660" s="107"/>
      <c r="T660" s="465" cm="1" t="str">
        <f t="array" ref="T660:T660">T659</f>
        <v>true</v>
      </c>
      <c r="U660" s="107"/>
      <c r="V660" s="107"/>
      <c r="W660" s="107"/>
      <c r="X660" s="1596"/>
      <c r="Y660" s="1278"/>
      <c r="Z660" s="1546"/>
      <c r="AA660" s="1278"/>
      <c r="AB660" s="300" t="s">
        <v>2746</v>
      </c>
      <c r="AC660" s="765" t="s">
        <v>2747</v>
      </c>
      <c r="AD660" s="300" t="s">
        <v>1514</v>
      </c>
      <c r="AE660" s="1114">
        <f>_xlfn.SUMIFS(Покупка!AE$25:AE$372,Покупка!$F$25:$F$372,$F660,Покупка!$AC$25:$AC$372,$G660)</f>
        <v>0</v>
      </c>
      <c r="AF660" s="1114">
        <f>_xlfn.SUMIFS(Покупка!AF$25:AF$372,Покупка!$F$25:$F$372,$F660,Покупка!$AC$25:$AC$372,$G660)</f>
        <v>0</v>
      </c>
      <c r="AG660" s="1114">
        <f>_xlfn.SUMIFS(Покупка!AG$25:AG$372,Покупка!$F$25:$F$372,$F660,Покупка!$AC$25:$AC$372,$G660)</f>
        <v>0</v>
      </c>
      <c r="AH660" s="1114">
        <f>AG660-AF660</f>
        <v>0</v>
      </c>
      <c r="AI660" s="1114">
        <f>_xlfn.SUMIFS(Покупка!AH$25:AH$372,Покупка!$F$25:$F$372,$F660,Покупка!$AC$25:$AC$372,$G660)</f>
        <v>0</v>
      </c>
      <c r="AJ660" s="1114">
        <f>_xlfn.SUMIFS(Покупка!AI$25:AI$372,Покупка!$F$25:$F$372,$F660,Покупка!$AC$25:$AC$372,$G660)</f>
        <v>0</v>
      </c>
      <c r="AK660" s="1114">
        <f>_xlfn.SUMIFS(Покупка!AJ$25:AJ$372,Покупка!$F$25:$F$372,$F660,Покупка!$AC$25:$AC$372,$G660)</f>
        <v>0</v>
      </c>
      <c r="AL660" s="1114">
        <f>_xlfn.SUMIFS(Покупка!AK$25:AK$372,Покупка!$F$25:$F$372,$F660,Покупка!$AC$25:$AC$372,$G660)</f>
        <v>0</v>
      </c>
      <c r="AM660" s="1114">
        <f>_xlfn.SUMIFS(Покупка!AL$25:AL$372,Покупка!$F$25:$F$372,$F660,Покупка!$AC$25:$AC$372,$G660)</f>
        <v>0</v>
      </c>
      <c r="AN660" s="1114">
        <f>_xlfn.SUMIFS(Покупка!AM$25:AM$372,Покупка!$F$25:$F$372,$F660,Покупка!$AC$25:$AC$372,$G660)</f>
        <v>0</v>
      </c>
      <c r="AO660" s="1114">
        <f>_xlfn.SUMIFS(Покупка!AN$25:AN$372,Покупка!$F$25:$F$372,$F660,Покупка!$AC$25:$AC$372,$G660)</f>
        <v>0</v>
      </c>
      <c r="AP660" s="1114">
        <f>_xlfn.SUMIFS(Покупка!AO$25:AO$372,Покупка!$F$25:$F$372,$F660,Покупка!$AC$25:$AC$372,$G660)</f>
        <v>0</v>
      </c>
      <c r="AQ660" s="1114">
        <f>_xlfn.SUMIFS(Покупка!AP$25:AP$372,Покупка!$F$25:$F$372,$F660,Покупка!$AC$25:$AC$372,$G660)</f>
        <v>0</v>
      </c>
      <c r="AR660" s="1114">
        <f>_xlfn.SUMIFS(Покупка!AQ$25:AQ$372,Покупка!$F$25:$F$372,$F660,Покупка!$AC$25:$AC$372,$G660)</f>
        <v>0</v>
      </c>
      <c r="AS660" s="1114">
        <f>_xlfn.SUMIFS(Покупка!AR$25:AR$372,Покупка!$F$25:$F$372,$F660,Покупка!$AC$25:$AC$372,$G660)</f>
        <v>0</v>
      </c>
      <c r="AT660" s="1114">
        <f>_xlfn.SUMIFS(Покупка!AS$25:AS$372,Покупка!$F$25:$F$372,$F660,Покупка!$AC$25:$AC$372,$G660)</f>
        <v>0</v>
      </c>
      <c r="AU660" s="1114">
        <f>_xlfn.SUMIFS(Покупка!AT$25:AT$372,Покупка!$F$25:$F$372,$F660,Покупка!$AC$25:$AC$372,$G660)</f>
        <v>0</v>
      </c>
      <c r="AV660" s="1114">
        <f>_xlfn.SUMIFS(Покупка!AU$25:AU$372,Покупка!$F$25:$F$372,$F660,Покупка!$AC$25:$AC$372,$G660)</f>
        <v>0</v>
      </c>
      <c r="AW660" s="1114">
        <f>_xlfn.SUMIFS(Покупка!AV$25:AV$372,Покупка!$F$25:$F$372,$F660,Покупка!$AC$25:$AC$372,$G660)</f>
        <v>0</v>
      </c>
      <c r="AX660" s="1114">
        <f>_xlfn.SUMIFS(Покупка!AW$25:AW$372,Покупка!$F$25:$F$372,$F660,Покупка!$AC$25:$AC$372,$G660)</f>
        <v>0</v>
      </c>
      <c r="AY660" s="1114">
        <f>_xlfn.SUMIFS(Покупка!AX$25:AX$372,Покупка!$F$25:$F$372,$F660,Покупка!$AC$25:$AC$372,$G660)</f>
        <v>0</v>
      </c>
      <c r="AZ660" s="1114">
        <f>_xlfn.SUMIFS(Покупка!AY$25:AY$372,Покупка!$F$25:$F$372,$F660,Покупка!$AC$25:$AC$372,$G660)</f>
        <v>0</v>
      </c>
      <c r="BA660" s="1114">
        <f>_xlfn.SUMIFS(Покупка!AZ$25:AZ$372,Покупка!$F$25:$F$372,$F660,Покупка!$AC$25:$AC$372,$G660)</f>
        <v>0</v>
      </c>
      <c r="BB660" s="1114">
        <f>_xlfn.SUMIFS(Покупка!BA$25:BA$372,Покупка!$F$25:$F$372,$F660,Покупка!$AC$25:$AC$372,$G660)</f>
        <v>0</v>
      </c>
      <c r="BC660" s="1114">
        <f>_xlfn.SUMIFS(Покупка!BB$25:BB$372,Покупка!$F$25:$F$372,$F660,Покупка!$AC$25:$AC$372,$G660)</f>
        <v>0</v>
      </c>
      <c r="BD660" s="1114">
        <f>IF(AI660=0,0,(AT660-AI660)/AI660*100)</f>
        <v>0</v>
      </c>
      <c r="BE660" s="1114">
        <f>IF(AT660=0,0,(AU660-AT660)/AT660*100)</f>
        <v>0</v>
      </c>
      <c r="BF660" s="1114">
        <f>IF(AU660=0,0,(AV660-AU660)/AU660*100)</f>
        <v>0</v>
      </c>
      <c r="BG660" s="1114">
        <f>IF(AV660=0,0,(AW660-AV660)/AV660*100)</f>
        <v>0</v>
      </c>
      <c r="BH660" s="1114">
        <f>IF(AW660=0,0,(AX660-AW660)/AW660*100)</f>
        <v>0</v>
      </c>
      <c r="BI660" s="1114">
        <f>IF(AX660=0,0,(AY660-AX660)/AX660*100)</f>
        <v>0</v>
      </c>
      <c r="BJ660" s="1114">
        <f>IF(AY660=0,0,(AZ660-AY660)/AY660*100)</f>
        <v>0</v>
      </c>
      <c r="BK660" s="1114">
        <f>IF(AZ660=0,0,(BA660-AZ660)/AZ660*100)</f>
        <v>0</v>
      </c>
      <c r="BL660" s="1114">
        <f>IF(BA660=0,0,(BB660-BA660)/BA660*100)</f>
        <v>0</v>
      </c>
      <c r="BM660" s="1114">
        <f>IF(BB660=0,0,(BC660-BB660)/BB660*100)</f>
        <v>0</v>
      </c>
      <c r="BN660" s="7433"/>
      <c r="BO660" s="7437" t="str">
        <f>IF(_xlfn.IFERROR(INDEX(Покупка!$K$26:$L$372,MATCH($F660&amp;"8komm",Покупка!$K$26:$K$372,0),2),"")=0,"",_xlfn.IFERROR(INDEX(Покупка!$K$26:$L$372,MATCH($F660&amp;"8komm",Покупка!$K$26:$K$372,0),2),""))</f>
        <v/>
      </c>
      <c r="BP660" s="7433"/>
      <c r="BQ660" s="1278"/>
      <c r="BR660" s="1278"/>
      <c r="BS660" s="1064" t="s">
        <v>1848</v>
      </c>
      <c r="BT660" s="1064"/>
      <c r="BU660" s="1064"/>
      <c r="BV660" s="979"/>
      <c r="BW660" s="979"/>
    </row>
    <row s="1834" customFormat="1" customHeight="1" ht="0">
      <c r="A661" s="1278"/>
      <c r="B661" s="978"/>
      <c r="C661" s="107"/>
      <c r="D661" s="107"/>
      <c r="E661" s="621">
        <v>15</v>
      </c>
      <c r="F661" s="50" cm="1" t="str">
        <f t="array" ref="F661:F661">OFFSET(E661,-1,1)</f>
        <v>4</v>
      </c>
      <c r="G661" s="107"/>
      <c r="H661" s="107"/>
      <c r="I661" s="107" t="s">
        <v>2748</v>
      </c>
      <c r="J661" s="107"/>
      <c r="K661" s="107" t="s">
        <v>2748</v>
      </c>
      <c r="L661" s="980"/>
      <c r="M661" s="107"/>
      <c r="N661" s="107"/>
      <c r="O661" s="107"/>
      <c r="P661" s="107"/>
      <c r="Q661" s="107"/>
      <c r="R661" s="107"/>
      <c r="S661" s="107"/>
      <c r="T661" s="465" cm="1" t="str">
        <f t="array" ref="T661:T661">T660</f>
        <v>true</v>
      </c>
      <c r="U661" s="107"/>
      <c r="V661" s="107"/>
      <c r="W661" s="107"/>
      <c r="X661" s="1596"/>
      <c r="Y661" s="1278"/>
      <c r="Z661" s="1546"/>
      <c r="AA661" s="1278"/>
      <c r="AB661" s="300" t="s">
        <v>2749</v>
      </c>
      <c r="AC661" s="765" t="s">
        <v>2750</v>
      </c>
      <c r="AD661" s="300" t="s">
        <v>1514</v>
      </c>
      <c r="AE661" s="3946"/>
      <c r="AF661" s="3946"/>
      <c r="AG661" s="3946"/>
      <c r="AH661" s="1114">
        <f>AG661-AF661</f>
        <v>0</v>
      </c>
      <c r="AI661" s="3946"/>
      <c r="AJ661" s="3946"/>
      <c r="AK661" s="3946"/>
      <c r="AL661" s="3946"/>
      <c r="AM661" s="3946"/>
      <c r="AN661" s="3946"/>
      <c r="AO661" s="1241"/>
      <c r="AP661" s="1241"/>
      <c r="AQ661" s="1241"/>
      <c r="AR661" s="1241"/>
      <c r="AS661" s="1241"/>
      <c r="AT661" s="3946"/>
      <c r="AU661" s="3946"/>
      <c r="AV661" s="3946"/>
      <c r="AW661" s="3946"/>
      <c r="AX661" s="3946"/>
      <c r="AY661" s="1241"/>
      <c r="AZ661" s="1241"/>
      <c r="BA661" s="1241"/>
      <c r="BB661" s="1241"/>
      <c r="BC661" s="1241"/>
      <c r="BD661" s="1114">
        <f>IF(AI661=0,0,(AT661-AI661)/AI661*100)</f>
        <v>0</v>
      </c>
      <c r="BE661" s="1114">
        <f>IF(AT661=0,0,(AU661-AT661)/AT661*100)</f>
        <v>0</v>
      </c>
      <c r="BF661" s="1114">
        <f>IF(AU661=0,0,(AV661-AU661)/AU661*100)</f>
        <v>0</v>
      </c>
      <c r="BG661" s="1114">
        <f>IF(AV661=0,0,(AW661-AV661)/AV661*100)</f>
        <v>0</v>
      </c>
      <c r="BH661" s="1114">
        <f>IF(AW661=0,0,(AX661-AW661)/AW661*100)</f>
        <v>0</v>
      </c>
      <c r="BI661" s="1114">
        <f>IF(AX661=0,0,(AY661-AX661)/AX661*100)</f>
        <v>0</v>
      </c>
      <c r="BJ661" s="1114">
        <f>IF(AY661=0,0,(AZ661-AY661)/AY661*100)</f>
        <v>0</v>
      </c>
      <c r="BK661" s="1114">
        <f>IF(AZ661=0,0,(BA661-AZ661)/AZ661*100)</f>
        <v>0</v>
      </c>
      <c r="BL661" s="1114">
        <f>IF(BA661=0,0,(BB661-BA661)/BA661*100)</f>
        <v>0</v>
      </c>
      <c r="BM661" s="1114">
        <f>IF(BB661=0,0,(BC661-BB661)/BB661*100)</f>
        <v>0</v>
      </c>
      <c r="BN661" s="7433"/>
      <c r="BO661" s="7433"/>
      <c r="BP661" s="7433"/>
      <c r="BQ661" s="1278"/>
      <c r="BR661" s="1278"/>
      <c r="BS661" s="1064" t="s">
        <v>2751</v>
      </c>
      <c r="BT661" s="1064"/>
      <c r="BU661" s="1064"/>
      <c r="BV661" s="979"/>
      <c r="BW661" s="979"/>
    </row>
    <row s="1834" customFormat="1" customHeight="1" ht="0">
      <c r="A662" s="1278"/>
      <c r="B662" s="978"/>
      <c r="C662" s="107"/>
      <c r="D662" s="107"/>
      <c r="E662" s="621">
        <v>15</v>
      </c>
      <c r="F662" s="50" cm="1" t="str">
        <f t="array" ref="F662:F662">OFFSET(E662,-1,1)</f>
        <v>4</v>
      </c>
      <c r="G662" s="107"/>
      <c r="H662" s="107"/>
      <c r="I662" s="107" t="s">
        <v>2752</v>
      </c>
      <c r="J662" s="107"/>
      <c r="K662" s="107" t="s">
        <v>2752</v>
      </c>
      <c r="L662" s="980"/>
      <c r="M662" s="107"/>
      <c r="N662" s="107"/>
      <c r="O662" s="107"/>
      <c r="P662" s="107"/>
      <c r="Q662" s="107"/>
      <c r="R662" s="107"/>
      <c r="S662" s="107"/>
      <c r="T662" s="465" cm="1" t="str">
        <f t="array" ref="T662:T662">T661</f>
        <v>true</v>
      </c>
      <c r="U662" s="107"/>
      <c r="V662" s="107"/>
      <c r="W662" s="107"/>
      <c r="X662" s="1596"/>
      <c r="Y662" s="1278"/>
      <c r="Z662" s="1546"/>
      <c r="AA662" s="1278"/>
      <c r="AB662" s="300" t="s">
        <v>2753</v>
      </c>
      <c r="AC662" s="765" t="s">
        <v>2754</v>
      </c>
      <c r="AD662" s="300" t="s">
        <v>1514</v>
      </c>
      <c r="AE662" s="3946"/>
      <c r="AF662" s="3946"/>
      <c r="AG662" s="3946"/>
      <c r="AH662" s="1114">
        <f>AG662-AF662</f>
        <v>0</v>
      </c>
      <c r="AI662" s="3946"/>
      <c r="AJ662" s="3946"/>
      <c r="AK662" s="3946"/>
      <c r="AL662" s="3946"/>
      <c r="AM662" s="3946"/>
      <c r="AN662" s="3946"/>
      <c r="AO662" s="1241"/>
      <c r="AP662" s="1241"/>
      <c r="AQ662" s="1241"/>
      <c r="AR662" s="1241"/>
      <c r="AS662" s="1241"/>
      <c r="AT662" s="3946"/>
      <c r="AU662" s="3946"/>
      <c r="AV662" s="3946"/>
      <c r="AW662" s="3946"/>
      <c r="AX662" s="3946"/>
      <c r="AY662" s="1241"/>
      <c r="AZ662" s="1241"/>
      <c r="BA662" s="1241"/>
      <c r="BB662" s="1241"/>
      <c r="BC662" s="1241"/>
      <c r="BD662" s="1114">
        <f>IF(AI662=0,0,(AT662-AI662)/AI662*100)</f>
        <v>0</v>
      </c>
      <c r="BE662" s="1114">
        <f>IF(AT662=0,0,(AU662-AT662)/AT662*100)</f>
        <v>0</v>
      </c>
      <c r="BF662" s="1114">
        <f>IF(AU662=0,0,(AV662-AU662)/AU662*100)</f>
        <v>0</v>
      </c>
      <c r="BG662" s="1114">
        <f>IF(AV662=0,0,(AW662-AV662)/AV662*100)</f>
        <v>0</v>
      </c>
      <c r="BH662" s="1114">
        <f>IF(AW662=0,0,(AX662-AW662)/AW662*100)</f>
        <v>0</v>
      </c>
      <c r="BI662" s="1114">
        <f>IF(AX662=0,0,(AY662-AX662)/AX662*100)</f>
        <v>0</v>
      </c>
      <c r="BJ662" s="1114">
        <f>IF(AY662=0,0,(AZ662-AY662)/AY662*100)</f>
        <v>0</v>
      </c>
      <c r="BK662" s="1114">
        <f>IF(AZ662=0,0,(BA662-AZ662)/AZ662*100)</f>
        <v>0</v>
      </c>
      <c r="BL662" s="1114">
        <f>IF(BA662=0,0,(BB662-BA662)/BA662*100)</f>
        <v>0</v>
      </c>
      <c r="BM662" s="1114">
        <f>IF(BB662=0,0,(BC662-BB662)/BB662*100)</f>
        <v>0</v>
      </c>
      <c r="BN662" s="7433"/>
      <c r="BO662" s="7433"/>
      <c r="BP662" s="7433"/>
      <c r="BQ662" s="1278"/>
      <c r="BR662" s="1278"/>
      <c r="BS662" s="1064" t="s">
        <v>2755</v>
      </c>
      <c r="BT662" s="1064"/>
      <c r="BU662" s="1064"/>
      <c r="BV662" s="979"/>
      <c r="BW662" s="979"/>
    </row>
    <row s="1834" customFormat="1" customHeight="1" ht="0">
      <c r="A663" s="1278"/>
      <c r="B663" s="978"/>
      <c r="C663" s="107"/>
      <c r="D663" s="107"/>
      <c r="E663" s="621">
        <v>15</v>
      </c>
      <c r="F663" s="50" cm="1" t="str">
        <f t="array" ref="F663:F663">OFFSET(E663,-1,1)</f>
        <v>4</v>
      </c>
      <c r="G663" s="107" t="s">
        <v>1799</v>
      </c>
      <c r="H663" s="107"/>
      <c r="I663" s="107" t="s">
        <v>2756</v>
      </c>
      <c r="J663" s="107"/>
      <c r="K663" s="107" t="s">
        <v>2756</v>
      </c>
      <c r="L663" s="980" t="s">
        <v>2253</v>
      </c>
      <c r="M663" s="107"/>
      <c r="N663" s="107"/>
      <c r="O663" s="107"/>
      <c r="P663" s="107"/>
      <c r="Q663" s="107"/>
      <c r="R663" s="107"/>
      <c r="S663" s="107"/>
      <c r="T663" s="465" cm="1" t="str">
        <f t="array" ref="T663:T663">T662</f>
        <v>true</v>
      </c>
      <c r="U663" s="107"/>
      <c r="V663" s="107"/>
      <c r="W663" s="107"/>
      <c r="X663" s="1596"/>
      <c r="Y663" s="1278"/>
      <c r="Z663" s="1546"/>
      <c r="AA663" s="1278"/>
      <c r="AB663" s="300" t="s">
        <v>2757</v>
      </c>
      <c r="AC663" s="765" t="s">
        <v>2758</v>
      </c>
      <c r="AD663" s="300" t="s">
        <v>1514</v>
      </c>
      <c r="AE663" s="1114">
        <f>_xlfn.SUMIFS(Покупка!AE$25:AE$372,Покупка!$F$25:$F$372,$F663,Покупка!$AC$25:$AC$372,$G663)</f>
        <v>0</v>
      </c>
      <c r="AF663" s="1114">
        <f>_xlfn.SUMIFS(Покупка!AF$25:AF$372,Покупка!$F$25:$F$372,$F663,Покупка!$AC$25:$AC$372,$G663)</f>
        <v>0</v>
      </c>
      <c r="AG663" s="1114">
        <f>_xlfn.SUMIFS(Покупка!AG$25:AG$372,Покупка!$F$25:$F$372,$F663,Покупка!$AC$25:$AC$372,$G663)</f>
        <v>0</v>
      </c>
      <c r="AH663" s="1114">
        <f>AG663-AF663</f>
        <v>0</v>
      </c>
      <c r="AI663" s="1114">
        <f>_xlfn.SUMIFS(Покупка!AH$25:AH$372,Покупка!$F$25:$F$372,$F663,Покупка!$AC$25:$AC$372,$G663)</f>
        <v>0</v>
      </c>
      <c r="AJ663" s="1114">
        <f>_xlfn.SUMIFS(Покупка!AI$25:AI$372,Покупка!$F$25:$F$372,$F663,Покупка!$AC$25:$AC$372,$G663)</f>
        <v>0</v>
      </c>
      <c r="AK663" s="1114">
        <f>_xlfn.SUMIFS(Покупка!AJ$25:AJ$372,Покупка!$F$25:$F$372,$F663,Покупка!$AC$25:$AC$372,$G663)</f>
        <v>0</v>
      </c>
      <c r="AL663" s="1114">
        <f>_xlfn.SUMIFS(Покупка!AK$25:AK$372,Покупка!$F$25:$F$372,$F663,Покупка!$AC$25:$AC$372,$G663)</f>
        <v>0</v>
      </c>
      <c r="AM663" s="1114">
        <f>_xlfn.SUMIFS(Покупка!AL$25:AL$372,Покупка!$F$25:$F$372,$F663,Покупка!$AC$25:$AC$372,$G663)</f>
        <v>0</v>
      </c>
      <c r="AN663" s="1114">
        <f>_xlfn.SUMIFS(Покупка!AM$25:AM$372,Покупка!$F$25:$F$372,$F663,Покупка!$AC$25:$AC$372,$G663)</f>
        <v>0</v>
      </c>
      <c r="AO663" s="1114">
        <f>_xlfn.SUMIFS(Покупка!AN$25:AN$372,Покупка!$F$25:$F$372,$F663,Покупка!$AC$25:$AC$372,$G663)</f>
        <v>0</v>
      </c>
      <c r="AP663" s="1114">
        <f>_xlfn.SUMIFS(Покупка!AO$25:AO$372,Покупка!$F$25:$F$372,$F663,Покупка!$AC$25:$AC$372,$G663)</f>
        <v>0</v>
      </c>
      <c r="AQ663" s="1114">
        <f>_xlfn.SUMIFS(Покупка!AP$25:AP$372,Покупка!$F$25:$F$372,$F663,Покупка!$AC$25:$AC$372,$G663)</f>
        <v>0</v>
      </c>
      <c r="AR663" s="1114">
        <f>_xlfn.SUMIFS(Покупка!AQ$25:AQ$372,Покупка!$F$25:$F$372,$F663,Покупка!$AC$25:$AC$372,$G663)</f>
        <v>0</v>
      </c>
      <c r="AS663" s="1114">
        <f>_xlfn.SUMIFS(Покупка!AR$25:AR$372,Покупка!$F$25:$F$372,$F663,Покупка!$AC$25:$AC$372,$G663)</f>
        <v>0</v>
      </c>
      <c r="AT663" s="1114">
        <f>_xlfn.SUMIFS(Покупка!AS$25:AS$372,Покупка!$F$25:$F$372,$F663,Покупка!$AC$25:$AC$372,$G663)</f>
        <v>0</v>
      </c>
      <c r="AU663" s="1114">
        <f>_xlfn.SUMIFS(Покупка!AT$25:AT$372,Покупка!$F$25:$F$372,$F663,Покупка!$AC$25:$AC$372,$G663)</f>
        <v>0</v>
      </c>
      <c r="AV663" s="1114">
        <f>_xlfn.SUMIFS(Покупка!AU$25:AU$372,Покупка!$F$25:$F$372,$F663,Покупка!$AC$25:$AC$372,$G663)</f>
        <v>0</v>
      </c>
      <c r="AW663" s="1114">
        <f>_xlfn.SUMIFS(Покупка!AV$25:AV$372,Покупка!$F$25:$F$372,$F663,Покупка!$AC$25:$AC$372,$G663)</f>
        <v>0</v>
      </c>
      <c r="AX663" s="1114">
        <f>_xlfn.SUMIFS(Покупка!AW$25:AW$372,Покупка!$F$25:$F$372,$F663,Покупка!$AC$25:$AC$372,$G663)</f>
        <v>0</v>
      </c>
      <c r="AY663" s="1114">
        <f>_xlfn.SUMIFS(Покупка!AX$25:AX$372,Покупка!$F$25:$F$372,$F663,Покупка!$AC$25:$AC$372,$G663)</f>
        <v>0</v>
      </c>
      <c r="AZ663" s="1114">
        <f>_xlfn.SUMIFS(Покупка!AY$25:AY$372,Покупка!$F$25:$F$372,$F663,Покупка!$AC$25:$AC$372,$G663)</f>
        <v>0</v>
      </c>
      <c r="BA663" s="1114">
        <f>_xlfn.SUMIFS(Покупка!AZ$25:AZ$372,Покупка!$F$25:$F$372,$F663,Покупка!$AC$25:$AC$372,$G663)</f>
        <v>0</v>
      </c>
      <c r="BB663" s="1114">
        <f>_xlfn.SUMIFS(Покупка!BA$25:BA$372,Покупка!$F$25:$F$372,$F663,Покупка!$AC$25:$AC$372,$G663)</f>
        <v>0</v>
      </c>
      <c r="BC663" s="1114">
        <f>_xlfn.SUMIFS(Покупка!BB$25:BB$372,Покупка!$F$25:$F$372,$F663,Покупка!$AC$25:$AC$372,$G663)</f>
        <v>0</v>
      </c>
      <c r="BD663" s="1114">
        <f>IF(AI663=0,0,(AT663-AI663)/AI663*100)</f>
        <v>0</v>
      </c>
      <c r="BE663" s="1114">
        <f>IF(AT663=0,0,(AU663-AT663)/AT663*100)</f>
        <v>0</v>
      </c>
      <c r="BF663" s="1114">
        <f>IF(AU663=0,0,(AV663-AU663)/AU663*100)</f>
        <v>0</v>
      </c>
      <c r="BG663" s="1114">
        <f>IF(AV663=0,0,(AW663-AV663)/AV663*100)</f>
        <v>0</v>
      </c>
      <c r="BH663" s="1114">
        <f>IF(AW663=0,0,(AX663-AW663)/AW663*100)</f>
        <v>0</v>
      </c>
      <c r="BI663" s="1114">
        <f>IF(AX663=0,0,(AY663-AX663)/AX663*100)</f>
        <v>0</v>
      </c>
      <c r="BJ663" s="1114">
        <f>IF(AY663=0,0,(AZ663-AY663)/AY663*100)</f>
        <v>0</v>
      </c>
      <c r="BK663" s="1114">
        <f>IF(AZ663=0,0,(BA663-AZ663)/AZ663*100)</f>
        <v>0</v>
      </c>
      <c r="BL663" s="1114">
        <f>IF(BA663=0,0,(BB663-BA663)/BA663*100)</f>
        <v>0</v>
      </c>
      <c r="BM663" s="1114">
        <f>IF(BB663=0,0,(BC663-BB663)/BB663*100)</f>
        <v>0</v>
      </c>
      <c r="BN663" s="7433"/>
      <c r="BO663" s="7437" t="str">
        <f>IF(_xlfn.IFERROR(INDEX(Покупка!$K$26:$L$372,MATCH($F663&amp;"3komm",Покупка!$K$26:$K$372,0),2),"")=0,"",_xlfn.IFERROR(INDEX(Покупка!$K$26:$L$372,MATCH($F663&amp;"3komm",Покупка!$K$26:$K$372,0),2),""))</f>
        <v/>
      </c>
      <c r="BP663" s="7433"/>
      <c r="BQ663" s="1278"/>
      <c r="BR663" s="1278"/>
      <c r="BS663" s="1064" t="s">
        <v>2459</v>
      </c>
      <c r="BT663" s="1064"/>
      <c r="BU663" s="1064"/>
      <c r="BV663" s="979"/>
      <c r="BW663" s="979"/>
    </row>
    <row s="1834" customFormat="1" customHeight="1" ht="0">
      <c r="A664" s="1278"/>
      <c r="B664" s="978"/>
      <c r="C664" s="107"/>
      <c r="D664" s="107"/>
      <c r="E664" s="621">
        <v>15</v>
      </c>
      <c r="F664" s="50" cm="1" t="str">
        <f t="array" ref="F664:F664">OFFSET(E664,-1,1)</f>
        <v>4</v>
      </c>
      <c r="G664" s="107" t="s">
        <v>1805</v>
      </c>
      <c r="H664" s="107"/>
      <c r="I664" s="107" t="s">
        <v>2759</v>
      </c>
      <c r="J664" s="107"/>
      <c r="K664" s="107" t="s">
        <v>2759</v>
      </c>
      <c r="L664" s="980" t="s">
        <v>2258</v>
      </c>
      <c r="M664" s="107"/>
      <c r="N664" s="107"/>
      <c r="O664" s="107"/>
      <c r="P664" s="107"/>
      <c r="Q664" s="107"/>
      <c r="R664" s="107"/>
      <c r="S664" s="107"/>
      <c r="T664" s="465" cm="1" t="str">
        <f t="array" ref="T664:T664">T663</f>
        <v>true</v>
      </c>
      <c r="U664" s="107"/>
      <c r="V664" s="107"/>
      <c r="W664" s="107"/>
      <c r="X664" s="1596"/>
      <c r="Y664" s="1278"/>
      <c r="Z664" s="1546"/>
      <c r="AA664" s="1278"/>
      <c r="AB664" s="300" t="s">
        <v>2760</v>
      </c>
      <c r="AC664" s="765" t="s">
        <v>2761</v>
      </c>
      <c r="AD664" s="300" t="s">
        <v>1514</v>
      </c>
      <c r="AE664" s="1114">
        <f>_xlfn.SUMIFS(Покупка!AE$25:AE$372,Покупка!$F$25:$F$372,$F664,Покупка!$AC$25:$AC$372,$G664)</f>
        <v>0</v>
      </c>
      <c r="AF664" s="1114">
        <f>_xlfn.SUMIFS(Покупка!AF$25:AF$372,Покупка!$F$25:$F$372,$F664,Покупка!$AC$25:$AC$372,$G664)</f>
        <v>0</v>
      </c>
      <c r="AG664" s="1114">
        <f>_xlfn.SUMIFS(Покупка!AG$25:AG$372,Покупка!$F$25:$F$372,$F664,Покупка!$AC$25:$AC$372,$G664)</f>
        <v>0</v>
      </c>
      <c r="AH664" s="1114">
        <f>AG664-AF664</f>
        <v>0</v>
      </c>
      <c r="AI664" s="1114">
        <f>_xlfn.SUMIFS(Покупка!AH$25:AH$372,Покупка!$F$25:$F$372,$F664,Покупка!$AC$25:$AC$372,$G664)</f>
        <v>0</v>
      </c>
      <c r="AJ664" s="1114">
        <f>_xlfn.SUMIFS(Покупка!AI$25:AI$372,Покупка!$F$25:$F$372,$F664,Покупка!$AC$25:$AC$372,$G664)</f>
        <v>0</v>
      </c>
      <c r="AK664" s="1114">
        <f>_xlfn.SUMIFS(Покупка!AJ$25:AJ$372,Покупка!$F$25:$F$372,$F664,Покупка!$AC$25:$AC$372,$G664)</f>
        <v>0</v>
      </c>
      <c r="AL664" s="1114">
        <f>_xlfn.SUMIFS(Покупка!AK$25:AK$372,Покупка!$F$25:$F$372,$F664,Покупка!$AC$25:$AC$372,$G664)</f>
        <v>0</v>
      </c>
      <c r="AM664" s="1114">
        <f>_xlfn.SUMIFS(Покупка!AL$25:AL$372,Покупка!$F$25:$F$372,$F664,Покупка!$AC$25:$AC$372,$G664)</f>
        <v>0</v>
      </c>
      <c r="AN664" s="1114">
        <f>_xlfn.SUMIFS(Покупка!AM$25:AM$372,Покупка!$F$25:$F$372,$F664,Покупка!$AC$25:$AC$372,$G664)</f>
        <v>0</v>
      </c>
      <c r="AO664" s="1114">
        <f>_xlfn.SUMIFS(Покупка!AN$25:AN$372,Покупка!$F$25:$F$372,$F664,Покупка!$AC$25:$AC$372,$G664)</f>
        <v>0</v>
      </c>
      <c r="AP664" s="1114">
        <f>_xlfn.SUMIFS(Покупка!AO$25:AO$372,Покупка!$F$25:$F$372,$F664,Покупка!$AC$25:$AC$372,$G664)</f>
        <v>0</v>
      </c>
      <c r="AQ664" s="1114">
        <f>_xlfn.SUMIFS(Покупка!AP$25:AP$372,Покупка!$F$25:$F$372,$F664,Покупка!$AC$25:$AC$372,$G664)</f>
        <v>0</v>
      </c>
      <c r="AR664" s="1114">
        <f>_xlfn.SUMIFS(Покупка!AQ$25:AQ$372,Покупка!$F$25:$F$372,$F664,Покупка!$AC$25:$AC$372,$G664)</f>
        <v>0</v>
      </c>
      <c r="AS664" s="1114">
        <f>_xlfn.SUMIFS(Покупка!AR$25:AR$372,Покупка!$F$25:$F$372,$F664,Покупка!$AC$25:$AC$372,$G664)</f>
        <v>0</v>
      </c>
      <c r="AT664" s="1114">
        <f>_xlfn.SUMIFS(Покупка!AS$25:AS$372,Покупка!$F$25:$F$372,$F664,Покупка!$AC$25:$AC$372,$G664)</f>
        <v>0</v>
      </c>
      <c r="AU664" s="1114">
        <f>_xlfn.SUMIFS(Покупка!AT$25:AT$372,Покупка!$F$25:$F$372,$F664,Покупка!$AC$25:$AC$372,$G664)</f>
        <v>0</v>
      </c>
      <c r="AV664" s="1114">
        <f>_xlfn.SUMIFS(Покупка!AU$25:AU$372,Покупка!$F$25:$F$372,$F664,Покупка!$AC$25:$AC$372,$G664)</f>
        <v>0</v>
      </c>
      <c r="AW664" s="1114">
        <f>_xlfn.SUMIFS(Покупка!AV$25:AV$372,Покупка!$F$25:$F$372,$F664,Покупка!$AC$25:$AC$372,$G664)</f>
        <v>0</v>
      </c>
      <c r="AX664" s="1114">
        <f>_xlfn.SUMIFS(Покупка!AW$25:AW$372,Покупка!$F$25:$F$372,$F664,Покупка!$AC$25:$AC$372,$G664)</f>
        <v>0</v>
      </c>
      <c r="AY664" s="1114">
        <f>_xlfn.SUMIFS(Покупка!AX$25:AX$372,Покупка!$F$25:$F$372,$F664,Покупка!$AC$25:$AC$372,$G664)</f>
        <v>0</v>
      </c>
      <c r="AZ664" s="1114">
        <f>_xlfn.SUMIFS(Покупка!AY$25:AY$372,Покупка!$F$25:$F$372,$F664,Покупка!$AC$25:$AC$372,$G664)</f>
        <v>0</v>
      </c>
      <c r="BA664" s="1114">
        <f>_xlfn.SUMIFS(Покупка!AZ$25:AZ$372,Покупка!$F$25:$F$372,$F664,Покупка!$AC$25:$AC$372,$G664)</f>
        <v>0</v>
      </c>
      <c r="BB664" s="1114">
        <f>_xlfn.SUMIFS(Покупка!BA$25:BA$372,Покупка!$F$25:$F$372,$F664,Покупка!$AC$25:$AC$372,$G664)</f>
        <v>0</v>
      </c>
      <c r="BC664" s="1114">
        <f>_xlfn.SUMIFS(Покупка!BB$25:BB$372,Покупка!$F$25:$F$372,$F664,Покупка!$AC$25:$AC$372,$G664)</f>
        <v>0</v>
      </c>
      <c r="BD664" s="1114">
        <f>IF(AI664=0,0,(AT664-AI664)/AI664*100)</f>
        <v>0</v>
      </c>
      <c r="BE664" s="1114">
        <f>IF(AT664=0,0,(AU664-AT664)/AT664*100)</f>
        <v>0</v>
      </c>
      <c r="BF664" s="1114">
        <f>IF(AU664=0,0,(AV664-AU664)/AU664*100)</f>
        <v>0</v>
      </c>
      <c r="BG664" s="1114">
        <f>IF(AV664=0,0,(AW664-AV664)/AV664*100)</f>
        <v>0</v>
      </c>
      <c r="BH664" s="1114">
        <f>IF(AW664=0,0,(AX664-AW664)/AW664*100)</f>
        <v>0</v>
      </c>
      <c r="BI664" s="1114">
        <f>IF(AX664=0,0,(AY664-AX664)/AX664*100)</f>
        <v>0</v>
      </c>
      <c r="BJ664" s="1114">
        <f>IF(AY664=0,0,(AZ664-AY664)/AY664*100)</f>
        <v>0</v>
      </c>
      <c r="BK664" s="1114">
        <f>IF(AZ664=0,0,(BA664-AZ664)/AZ664*100)</f>
        <v>0</v>
      </c>
      <c r="BL664" s="1114">
        <f>IF(BA664=0,0,(BB664-BA664)/BA664*100)</f>
        <v>0</v>
      </c>
      <c r="BM664" s="1114">
        <f>IF(BB664=0,0,(BC664-BB664)/BB664*100)</f>
        <v>0</v>
      </c>
      <c r="BN664" s="7433"/>
      <c r="BO664" s="7437" t="str">
        <f>IF(_xlfn.IFERROR(INDEX(Покупка!$K$26:$L$372,MATCH($F664&amp;"4komm",Покупка!$K$26:$K$372,0),2),"")=0,"",_xlfn.IFERROR(INDEX(Покупка!$K$26:$L$372,MATCH($F663&amp;"3komm",Покупка!$K$26:$K$372,0),2),""))</f>
        <v/>
      </c>
      <c r="BP664" s="7433"/>
      <c r="BQ664" s="1278"/>
      <c r="BR664" s="1278"/>
      <c r="BS664" s="1064" t="s">
        <v>2462</v>
      </c>
      <c r="BT664" s="1064"/>
      <c r="BU664" s="1064"/>
      <c r="BV664" s="979"/>
      <c r="BW664" s="979"/>
    </row>
    <row s="1834" customFormat="1" customHeight="1" ht="0">
      <c r="A665" s="1278"/>
      <c r="B665" s="978"/>
      <c r="C665" s="107"/>
      <c r="D665" s="107"/>
      <c r="E665" s="621">
        <v>15</v>
      </c>
      <c r="F665" s="50" cm="1" t="str">
        <f t="array" ref="F665:F665">OFFSET(E665,-1,1)</f>
        <v>4</v>
      </c>
      <c r="G665" s="107" t="s">
        <v>1812</v>
      </c>
      <c r="H665" s="107"/>
      <c r="I665" s="107" t="s">
        <v>2762</v>
      </c>
      <c r="J665" s="107"/>
      <c r="K665" s="107" t="s">
        <v>2762</v>
      </c>
      <c r="L665" s="980" t="s">
        <v>2268</v>
      </c>
      <c r="M665" s="107"/>
      <c r="N665" s="107"/>
      <c r="O665" s="107"/>
      <c r="P665" s="107"/>
      <c r="Q665" s="107"/>
      <c r="R665" s="107"/>
      <c r="S665" s="107"/>
      <c r="T665" s="465" cm="1" t="str">
        <f t="array" ref="T665:T665">T664</f>
        <v>true</v>
      </c>
      <c r="U665" s="107"/>
      <c r="V665" s="107"/>
      <c r="W665" s="107"/>
      <c r="X665" s="1596"/>
      <c r="Y665" s="1278"/>
      <c r="Z665" s="1546"/>
      <c r="AA665" s="1278"/>
      <c r="AB665" s="300" t="s">
        <v>2763</v>
      </c>
      <c r="AC665" s="765" t="s">
        <v>2764</v>
      </c>
      <c r="AD665" s="300" t="s">
        <v>1514</v>
      </c>
      <c r="AE665" s="1114">
        <f>_xlfn.SUMIFS(Покупка!AE$25:AE$372,Покупка!$F$25:$F$372,$F665,Покупка!$AC$25:$AC$372,$G665)</f>
        <v>0</v>
      </c>
      <c r="AF665" s="1114">
        <f>_xlfn.SUMIFS(Покупка!AF$25:AF$372,Покупка!$F$25:$F$372,$F665,Покупка!$AC$25:$AC$372,$G665)</f>
        <v>0</v>
      </c>
      <c r="AG665" s="1114">
        <f>_xlfn.SUMIFS(Покупка!AG$25:AG$372,Покупка!$F$25:$F$372,$F665,Покупка!$AC$25:$AC$372,$G665)</f>
        <v>0</v>
      </c>
      <c r="AH665" s="1114">
        <f>AG665-AF665</f>
        <v>0</v>
      </c>
      <c r="AI665" s="1114">
        <f>_xlfn.SUMIFS(Покупка!AH$25:AH$372,Покупка!$F$25:$F$372,$F665,Покупка!$AC$25:$AC$372,$G665)</f>
        <v>0</v>
      </c>
      <c r="AJ665" s="1114">
        <f>_xlfn.SUMIFS(Покупка!AI$25:AI$372,Покупка!$F$25:$F$372,$F665,Покупка!$AC$25:$AC$372,$G665)</f>
        <v>0</v>
      </c>
      <c r="AK665" s="1114">
        <f>_xlfn.SUMIFS(Покупка!AJ$25:AJ$372,Покупка!$F$25:$F$372,$F665,Покупка!$AC$25:$AC$372,$G665)</f>
        <v>0</v>
      </c>
      <c r="AL665" s="1114">
        <f>_xlfn.SUMIFS(Покупка!AK$25:AK$372,Покупка!$F$25:$F$372,$F665,Покупка!$AC$25:$AC$372,$G665)</f>
        <v>0</v>
      </c>
      <c r="AM665" s="1114">
        <f>_xlfn.SUMIFS(Покупка!AL$25:AL$372,Покупка!$F$25:$F$372,$F665,Покупка!$AC$25:$AC$372,$G665)</f>
        <v>0</v>
      </c>
      <c r="AN665" s="1114">
        <f>_xlfn.SUMIFS(Покупка!AM$25:AM$372,Покупка!$F$25:$F$372,$F665,Покупка!$AC$25:$AC$372,$G665)</f>
        <v>0</v>
      </c>
      <c r="AO665" s="1114">
        <f>_xlfn.SUMIFS(Покупка!AN$25:AN$372,Покупка!$F$25:$F$372,$F665,Покупка!$AC$25:$AC$372,$G665)</f>
        <v>0</v>
      </c>
      <c r="AP665" s="1114">
        <f>_xlfn.SUMIFS(Покупка!AO$25:AO$372,Покупка!$F$25:$F$372,$F665,Покупка!$AC$25:$AC$372,$G665)</f>
        <v>0</v>
      </c>
      <c r="AQ665" s="1114">
        <f>_xlfn.SUMIFS(Покупка!AP$25:AP$372,Покупка!$F$25:$F$372,$F665,Покупка!$AC$25:$AC$372,$G665)</f>
        <v>0</v>
      </c>
      <c r="AR665" s="1114">
        <f>_xlfn.SUMIFS(Покупка!AQ$25:AQ$372,Покупка!$F$25:$F$372,$F665,Покупка!$AC$25:$AC$372,$G665)</f>
        <v>0</v>
      </c>
      <c r="AS665" s="1114">
        <f>_xlfn.SUMIFS(Покупка!AR$25:AR$372,Покупка!$F$25:$F$372,$F665,Покупка!$AC$25:$AC$372,$G665)</f>
        <v>0</v>
      </c>
      <c r="AT665" s="1114">
        <f>_xlfn.SUMIFS(Покупка!AS$25:AS$372,Покупка!$F$25:$F$372,$F665,Покупка!$AC$25:$AC$372,$G665)</f>
        <v>0</v>
      </c>
      <c r="AU665" s="1114">
        <f>_xlfn.SUMIFS(Покупка!AT$25:AT$372,Покупка!$F$25:$F$372,$F665,Покупка!$AC$25:$AC$372,$G665)</f>
        <v>0</v>
      </c>
      <c r="AV665" s="1114">
        <f>_xlfn.SUMIFS(Покупка!AU$25:AU$372,Покупка!$F$25:$F$372,$F665,Покупка!$AC$25:$AC$372,$G665)</f>
        <v>0</v>
      </c>
      <c r="AW665" s="1114">
        <f>_xlfn.SUMIFS(Покупка!AV$25:AV$372,Покупка!$F$25:$F$372,$F665,Покупка!$AC$25:$AC$372,$G665)</f>
        <v>0</v>
      </c>
      <c r="AX665" s="1114">
        <f>_xlfn.SUMIFS(Покупка!AW$25:AW$372,Покупка!$F$25:$F$372,$F665,Покупка!$AC$25:$AC$372,$G665)</f>
        <v>0</v>
      </c>
      <c r="AY665" s="1114">
        <f>_xlfn.SUMIFS(Покупка!AX$25:AX$372,Покупка!$F$25:$F$372,$F665,Покупка!$AC$25:$AC$372,$G665)</f>
        <v>0</v>
      </c>
      <c r="AZ665" s="1114">
        <f>_xlfn.SUMIFS(Покупка!AY$25:AY$372,Покупка!$F$25:$F$372,$F665,Покупка!$AC$25:$AC$372,$G665)</f>
        <v>0</v>
      </c>
      <c r="BA665" s="1114">
        <f>_xlfn.SUMIFS(Покупка!AZ$25:AZ$372,Покупка!$F$25:$F$372,$F665,Покупка!$AC$25:$AC$372,$G665)</f>
        <v>0</v>
      </c>
      <c r="BB665" s="1114">
        <f>_xlfn.SUMIFS(Покупка!BA$25:BA$372,Покупка!$F$25:$F$372,$F665,Покупка!$AC$25:$AC$372,$G665)</f>
        <v>0</v>
      </c>
      <c r="BC665" s="1114">
        <f>_xlfn.SUMIFS(Покупка!BB$25:BB$372,Покупка!$F$25:$F$372,$F665,Покупка!$AC$25:$AC$372,$G665)</f>
        <v>0</v>
      </c>
      <c r="BD665" s="1114">
        <f>IF(AI665=0,0,(AT665-AI665)/AI665*100)</f>
        <v>0</v>
      </c>
      <c r="BE665" s="1114">
        <f>IF(AT665=0,0,(AU665-AT665)/AT665*100)</f>
        <v>0</v>
      </c>
      <c r="BF665" s="1114">
        <f>IF(AU665=0,0,(AV665-AU665)/AU665*100)</f>
        <v>0</v>
      </c>
      <c r="BG665" s="1114">
        <f>IF(AV665=0,0,(AW665-AV665)/AV665*100)</f>
        <v>0</v>
      </c>
      <c r="BH665" s="1114">
        <f>IF(AW665=0,0,(AX665-AW665)/AW665*100)</f>
        <v>0</v>
      </c>
      <c r="BI665" s="1114">
        <f>IF(AX665=0,0,(AY665-AX665)/AX665*100)</f>
        <v>0</v>
      </c>
      <c r="BJ665" s="1114">
        <f>IF(AY665=0,0,(AZ665-AY665)/AY665*100)</f>
        <v>0</v>
      </c>
      <c r="BK665" s="1114">
        <f>IF(AZ665=0,0,(BA665-AZ665)/AZ665*100)</f>
        <v>0</v>
      </c>
      <c r="BL665" s="1114">
        <f>IF(BA665=0,0,(BB665-BA665)/BA665*100)</f>
        <v>0</v>
      </c>
      <c r="BM665" s="1114">
        <f>IF(BB665=0,0,(BC665-BB665)/BB665*100)</f>
        <v>0</v>
      </c>
      <c r="BN665" s="7433"/>
      <c r="BO665" s="7437" t="str">
        <f>IF(_xlfn.IFERROR(INDEX(Покупка!$K$26:$L$372,MATCH($F665&amp;"5komm",Покупка!$K$26:$K$372,0),2),"")=0,"",_xlfn.IFERROR(INDEX(Покупка!$K$26:$L$372,MATCH($F665&amp;"5komm",Покупка!$K$26:$K$372,0),2),""))</f>
        <v/>
      </c>
      <c r="BP665" s="7433"/>
      <c r="BQ665" s="1278"/>
      <c r="BR665" s="1278"/>
      <c r="BS665" s="1064" t="s">
        <v>2465</v>
      </c>
      <c r="BT665" s="1064"/>
      <c r="BU665" s="1064"/>
      <c r="BV665" s="979"/>
      <c r="BW665" s="979"/>
    </row>
    <row s="1834" customFormat="1" customHeight="1" ht="0">
      <c r="A666" s="1278"/>
      <c r="B666" s="978"/>
      <c r="C666" s="107"/>
      <c r="D666" s="107"/>
      <c r="E666" s="621">
        <v>15</v>
      </c>
      <c r="F666" s="50" cm="1" t="str">
        <f t="array" ref="F666:F666">OFFSET(E666,-1,1)</f>
        <v>4</v>
      </c>
      <c r="G666" s="107" t="s">
        <v>1853</v>
      </c>
      <c r="H666" s="107"/>
      <c r="I666" s="107"/>
      <c r="J666" s="107"/>
      <c r="K666" s="107"/>
      <c r="L666" s="980" t="s">
        <v>2235</v>
      </c>
      <c r="M666" s="107"/>
      <c r="N666" s="107"/>
      <c r="O666" s="107"/>
      <c r="P666" s="107"/>
      <c r="Q666" s="107"/>
      <c r="R666" s="107"/>
      <c r="S666" s="107"/>
      <c r="T666" s="465" cm="1" t="str">
        <f t="array" ref="T666:T666">T665</f>
        <v>true</v>
      </c>
      <c r="U666" s="107"/>
      <c r="V666" s="107"/>
      <c r="W666" s="107"/>
      <c r="X666" s="1596"/>
      <c r="Y666" s="1278"/>
      <c r="Z666" s="1546"/>
      <c r="AA666" s="1278"/>
      <c r="AB666" s="300" t="s">
        <v>2765</v>
      </c>
      <c r="AC666" s="765" t="s">
        <v>2766</v>
      </c>
      <c r="AD666" s="300" t="s">
        <v>1514</v>
      </c>
      <c r="AE666" s="1114">
        <f>_xlfn.SUMIFS(Покупка!AE$25:AE$372,Покупка!$F$25:$F$372,$F666,Покупка!$AC$25:$AC$372,$G666)</f>
        <v>0</v>
      </c>
      <c r="AF666" s="1114">
        <f>_xlfn.SUMIFS(Покупка!AF$25:AF$372,Покупка!$F$25:$F$372,$F666,Покупка!$AC$25:$AC$372,$G666)</f>
        <v>0</v>
      </c>
      <c r="AG666" s="1114">
        <f>_xlfn.SUMIFS(Покупка!AG$25:AG$372,Покупка!$F$25:$F$372,$F666,Покупка!$AC$25:$AC$372,$G666)</f>
        <v>0</v>
      </c>
      <c r="AH666" s="1114">
        <f>AG666-AF666</f>
        <v>0</v>
      </c>
      <c r="AI666" s="1114">
        <f>_xlfn.SUMIFS(Покупка!AH$25:AH$372,Покупка!$F$25:$F$372,$F666,Покупка!$AC$25:$AC$372,$G666)</f>
        <v>0</v>
      </c>
      <c r="AJ666" s="1114">
        <f>_xlfn.SUMIFS(Покупка!AI$25:AI$372,Покупка!$F$25:$F$372,$F666,Покупка!$AC$25:$AC$372,$G666)</f>
        <v>0</v>
      </c>
      <c r="AK666" s="1114">
        <f>_xlfn.SUMIFS(Покупка!AJ$25:AJ$372,Покупка!$F$25:$F$372,$F666,Покупка!$AC$25:$AC$372,$G666)</f>
        <v>0</v>
      </c>
      <c r="AL666" s="1114">
        <f>_xlfn.SUMIFS(Покупка!AK$25:AK$372,Покупка!$F$25:$F$372,$F666,Покупка!$AC$25:$AC$372,$G666)</f>
        <v>0</v>
      </c>
      <c r="AM666" s="1114">
        <f>_xlfn.SUMIFS(Покупка!AL$25:AL$372,Покупка!$F$25:$F$372,$F666,Покупка!$AC$25:$AC$372,$G666)</f>
        <v>0</v>
      </c>
      <c r="AN666" s="1114">
        <f>_xlfn.SUMIFS(Покупка!AM$25:AM$372,Покупка!$F$25:$F$372,$F666,Покупка!$AC$25:$AC$372,$G666)</f>
        <v>0</v>
      </c>
      <c r="AO666" s="1114">
        <f>_xlfn.SUMIFS(Покупка!AN$25:AN$372,Покупка!$F$25:$F$372,$F666,Покупка!$AC$25:$AC$372,$G666)</f>
        <v>0</v>
      </c>
      <c r="AP666" s="1114">
        <f>_xlfn.SUMIFS(Покупка!AO$25:AO$372,Покупка!$F$25:$F$372,$F666,Покупка!$AC$25:$AC$372,$G666)</f>
        <v>0</v>
      </c>
      <c r="AQ666" s="1114">
        <f>_xlfn.SUMIFS(Покупка!AP$25:AP$372,Покупка!$F$25:$F$372,$F666,Покупка!$AC$25:$AC$372,$G666)</f>
        <v>0</v>
      </c>
      <c r="AR666" s="1114">
        <f>_xlfn.SUMIFS(Покупка!AQ$25:AQ$372,Покупка!$F$25:$F$372,$F666,Покупка!$AC$25:$AC$372,$G666)</f>
        <v>0</v>
      </c>
      <c r="AS666" s="1114">
        <f>_xlfn.SUMIFS(Покупка!AR$25:AR$372,Покупка!$F$25:$F$372,$F666,Покупка!$AC$25:$AC$372,$G666)</f>
        <v>0</v>
      </c>
      <c r="AT666" s="1114">
        <f>_xlfn.SUMIFS(Покупка!AS$25:AS$372,Покупка!$F$25:$F$372,$F666,Покупка!$AC$25:$AC$372,$G666)</f>
        <v>0</v>
      </c>
      <c r="AU666" s="1114">
        <f>_xlfn.SUMIFS(Покупка!AT$25:AT$372,Покупка!$F$25:$F$372,$F666,Покупка!$AC$25:$AC$372,$G666)</f>
        <v>0</v>
      </c>
      <c r="AV666" s="1114">
        <f>_xlfn.SUMIFS(Покупка!AU$25:AU$372,Покупка!$F$25:$F$372,$F666,Покупка!$AC$25:$AC$372,$G666)</f>
        <v>0</v>
      </c>
      <c r="AW666" s="1114">
        <f>_xlfn.SUMIFS(Покупка!AV$25:AV$372,Покупка!$F$25:$F$372,$F666,Покупка!$AC$25:$AC$372,$G666)</f>
        <v>0</v>
      </c>
      <c r="AX666" s="1114">
        <f>_xlfn.SUMIFS(Покупка!AW$25:AW$372,Покупка!$F$25:$F$372,$F666,Покупка!$AC$25:$AC$372,$G666)</f>
        <v>0</v>
      </c>
      <c r="AY666" s="1114">
        <f>_xlfn.SUMIFS(Покупка!AX$25:AX$372,Покупка!$F$25:$F$372,$F666,Покупка!$AC$25:$AC$372,$G666)</f>
        <v>0</v>
      </c>
      <c r="AZ666" s="1114">
        <f>_xlfn.SUMIFS(Покупка!AY$25:AY$372,Покупка!$F$25:$F$372,$F666,Покупка!$AC$25:$AC$372,$G666)</f>
        <v>0</v>
      </c>
      <c r="BA666" s="1114">
        <f>_xlfn.SUMIFS(Покупка!AZ$25:AZ$372,Покупка!$F$25:$F$372,$F666,Покупка!$AC$25:$AC$372,$G666)</f>
        <v>0</v>
      </c>
      <c r="BB666" s="1114">
        <f>_xlfn.SUMIFS(Покупка!BA$25:BA$372,Покупка!$F$25:$F$372,$F666,Покупка!$AC$25:$AC$372,$G666)</f>
        <v>0</v>
      </c>
      <c r="BC666" s="1114">
        <f>_xlfn.SUMIFS(Покупка!BB$25:BB$372,Покупка!$F$25:$F$372,$F666,Покупка!$AC$25:$AC$372,$G666)</f>
        <v>0</v>
      </c>
      <c r="BD666" s="1114">
        <f>IF(AI666=0,0,(AT666-AI666)/AI666*100)</f>
        <v>0</v>
      </c>
      <c r="BE666" s="1114">
        <f>IF(AT666=0,0,(AU666-AT666)/AT666*100)</f>
        <v>0</v>
      </c>
      <c r="BF666" s="1114">
        <f>IF(AU666=0,0,(AV666-AU666)/AU666*100)</f>
        <v>0</v>
      </c>
      <c r="BG666" s="1114">
        <f>IF(AV666=0,0,(AW666-AV666)/AV666*100)</f>
        <v>0</v>
      </c>
      <c r="BH666" s="1114">
        <f>IF(AW666=0,0,(AX666-AW666)/AW666*100)</f>
        <v>0</v>
      </c>
      <c r="BI666" s="1114">
        <f>IF(AX666=0,0,(AY666-AX666)/AX666*100)</f>
        <v>0</v>
      </c>
      <c r="BJ666" s="1114">
        <f>IF(AY666=0,0,(AZ666-AY666)/AY666*100)</f>
        <v>0</v>
      </c>
      <c r="BK666" s="1114">
        <f>IF(AZ666=0,0,(BA666-AZ666)/AZ666*100)</f>
        <v>0</v>
      </c>
      <c r="BL666" s="1114">
        <f>IF(BA666=0,0,(BB666-BA666)/BA666*100)</f>
        <v>0</v>
      </c>
      <c r="BM666" s="1114">
        <f>IF(BB666=0,0,(BC666-BB666)/BB666*100)</f>
        <v>0</v>
      </c>
      <c r="BN666" s="7433"/>
      <c r="BO666" s="7437" t="str">
        <f>IF(_xlfn.IFERROR(INDEX(Покупка!$K$26:$L$372,MATCH($F666&amp;"9komm",Покупка!$K$26:$K$372,0),2),"")=0,"",_xlfn.IFERROR(INDEX(Покупка!$K$26:$L$372,MATCH($F666&amp;"9komm",Покупка!$K$26:$K$372,0),2),""))</f>
        <v/>
      </c>
      <c r="BP666" s="7433"/>
      <c r="BQ666" s="1278"/>
      <c r="BR666" s="1278"/>
      <c r="BS666" s="1064" t="s">
        <v>1854</v>
      </c>
      <c r="BT666" s="1064"/>
      <c r="BU666" s="1064"/>
      <c r="BV666" s="979"/>
      <c r="BW666" s="979"/>
    </row>
    <row s="1834" customFormat="1" customHeight="1" ht="23.25">
      <c r="A667" s="1278"/>
      <c r="B667" s="978"/>
      <c r="C667" s="107"/>
      <c r="D667" s="107"/>
      <c r="E667" s="621">
        <v>15</v>
      </c>
      <c r="F667" s="50" cm="1" t="str">
        <f t="array" ref="F667:F667">OFFSET(E667,-1,1)</f>
        <v>4</v>
      </c>
      <c r="G667" s="107"/>
      <c r="H667" s="107"/>
      <c r="I667" s="107" t="s">
        <v>1196</v>
      </c>
      <c r="J667" s="107"/>
      <c r="K667" s="107" t="s">
        <v>1196</v>
      </c>
      <c r="L667" s="980"/>
      <c r="M667" s="107"/>
      <c r="N667" s="107"/>
      <c r="O667" s="107"/>
      <c r="P667" s="107"/>
      <c r="Q667" s="107"/>
      <c r="R667" s="107"/>
      <c r="S667" s="107"/>
      <c r="T667" s="465" cm="1" t="str">
        <f t="array" ref="T667:T667">T666</f>
        <v>true</v>
      </c>
      <c r="U667" s="107"/>
      <c r="V667" s="107"/>
      <c r="W667" s="107"/>
      <c r="X667" s="1596"/>
      <c r="Y667" s="1278"/>
      <c r="Z667" s="1546"/>
      <c r="AA667" s="1278"/>
      <c r="AB667" s="300" t="s">
        <v>1254</v>
      </c>
      <c r="AC667" s="762" t="s">
        <v>2767</v>
      </c>
      <c r="AD667" s="779" t="s">
        <v>1514</v>
      </c>
      <c r="AE667" s="1114">
        <f>_xlfn.SUMIFS('Сырье и материалы'!AE$25:AE$162,'Сырье и материалы'!$F$25:$F$162,$F667,'Сырье и материалы'!$I$25:$I$162,"Реагенты")</f>
        <v>0</v>
      </c>
      <c r="AF667" s="1114">
        <f>_xlfn.SUMIFS('Сырье и материалы'!AF$25:AF$162,'Сырье и материалы'!$F$25:$F$162,$F667,'Сырье и материалы'!$I$25:$I$162,"Реагенты")</f>
        <v>0</v>
      </c>
      <c r="AG667" s="1114">
        <f>_xlfn.SUMIFS('Сырье и материалы'!AG$25:AG$162,'Сырье и материалы'!$F$25:$F$162,$F667,'Сырье и материалы'!$I$25:$I$162,"Реагенты")</f>
        <v>0</v>
      </c>
      <c r="AH667" s="1114">
        <f>AG667-AF667</f>
        <v>0</v>
      </c>
      <c r="AI667" s="1114">
        <f>_xlfn.SUMIFS('Сырье и материалы'!AH$25:AH$162,'Сырье и материалы'!$F$25:$F$162,$F667,'Сырье и материалы'!$I$25:$I$162,"Реагенты")</f>
        <v>0</v>
      </c>
      <c r="AJ667" s="1114">
        <f>_xlfn.SUMIFS('Сырье и материалы'!AI$25:AI$162,'Сырье и материалы'!$F$25:$F$162,$F667,'Сырье и материалы'!$I$25:$I$162,"Реагенты")</f>
        <v>3327.168988</v>
      </c>
      <c r="AK667" s="1114">
        <f>_xlfn.SUMIFS('Сырье и материалы'!AJ$25:AJ$162,'Сырье и материалы'!$F$25:$F$162,$F667,'Сырье и материалы'!$I$25:$I$162,"Реагенты")</f>
        <v>3456.928578532</v>
      </c>
      <c r="AL667" s="1114">
        <f>_xlfn.SUMIFS('Сырье и материалы'!AK$25:AK$162,'Сырье и материалы'!$F$25:$F$162,$F667,'Сырье и материалы'!$I$25:$I$162,"Реагенты")</f>
        <v>3588.29186451622</v>
      </c>
      <c r="AM667" s="1114">
        <f>_xlfn.SUMIFS('Сырье и материалы'!AL$25:AL$162,'Сырье и материалы'!$F$25:$F$162,$F667,'Сырье и материалы'!$I$25:$I$162,"Реагенты")</f>
        <v>3724.64695536783</v>
      </c>
      <c r="AN667" s="1114">
        <f>_xlfn.SUMIFS('Сырье и материалы'!AM$25:AM$162,'Сырье и материалы'!$F$25:$F$162,$F667,'Сырье и материалы'!$I$25:$I$162,"Реагенты")</f>
        <v>3866.18353967181</v>
      </c>
      <c r="AO667" s="1114">
        <f>_xlfn.SUMIFS('Сырье и материалы'!AN$25:AN$162,'Сырье и материалы'!$F$25:$F$162,$F667,'Сырье и материалы'!$I$25:$I$162,"Реагенты")</f>
        <v>0</v>
      </c>
      <c r="AP667" s="1114">
        <f>_xlfn.SUMIFS('Сырье и материалы'!AO$25:AO$162,'Сырье и материалы'!$F$25:$F$162,$F667,'Сырье и материалы'!$I$25:$I$162,"Реагенты")</f>
        <v>0</v>
      </c>
      <c r="AQ667" s="1114">
        <f>_xlfn.SUMIFS('Сырье и материалы'!AP$25:AP$162,'Сырье и материалы'!$F$25:$F$162,$F667,'Сырье и материалы'!$I$25:$I$162,"Реагенты")</f>
        <v>0</v>
      </c>
      <c r="AR667" s="1114">
        <f>_xlfn.SUMIFS('Сырье и материалы'!AQ$25:AQ$162,'Сырье и материалы'!$F$25:$F$162,$F667,'Сырье и материалы'!$I$25:$I$162,"Реагенты")</f>
        <v>0</v>
      </c>
      <c r="AS667" s="1114">
        <f>_xlfn.SUMIFS('Сырье и материалы'!AR$25:AR$162,'Сырье и материалы'!$F$25:$F$162,$F667,'Сырье и материалы'!$I$25:$I$162,"Реагенты")</f>
        <v>0</v>
      </c>
      <c r="AT667" s="1114">
        <f>_xlfn.SUMIFS('Сырье и материалы'!AS$25:AS$162,'Сырье и материалы'!$F$25:$F$162,$F667,'Сырье и материалы'!$I$25:$I$162,"Реагенты")</f>
        <v>3327.168988</v>
      </c>
      <c r="AU667" s="1114">
        <f>_xlfn.SUMIFS('Сырье и материалы'!AT$25:AT$162,'Сырье и материалы'!$F$25:$F$162,$F667,'Сырье и материалы'!$I$25:$I$162,"Реагенты")</f>
        <v>3456.928578532</v>
      </c>
      <c r="AV667" s="1114">
        <f>_xlfn.SUMIFS('Сырье и материалы'!AU$25:AU$162,'Сырье и материалы'!$F$25:$F$162,$F667,'Сырье и материалы'!$I$25:$I$162,"Реагенты")</f>
        <v>3588.29186451622</v>
      </c>
      <c r="AW667" s="1114">
        <f>_xlfn.SUMIFS('Сырье и материалы'!AV$25:AV$162,'Сырье и материалы'!$F$25:$F$162,$F667,'Сырье и материалы'!$I$25:$I$162,"Реагенты")</f>
        <v>3724.64695536783</v>
      </c>
      <c r="AX667" s="1114">
        <f>_xlfn.SUMIFS('Сырье и материалы'!AW$25:AW$162,'Сырье и материалы'!$F$25:$F$162,$F667,'Сырье и материалы'!$I$25:$I$162,"Реагенты")</f>
        <v>3866.18353967181</v>
      </c>
      <c r="AY667" s="1114">
        <f>_xlfn.SUMIFS('Сырье и материалы'!AX$25:AX$162,'Сырье и материалы'!$F$25:$F$162,$F667,'Сырье и материалы'!$I$25:$I$162,"Реагенты")</f>
        <v>0</v>
      </c>
      <c r="AZ667" s="1114">
        <f>_xlfn.SUMIFS('Сырье и материалы'!AY$25:AY$162,'Сырье и материалы'!$F$25:$F$162,$F667,'Сырье и материалы'!$I$25:$I$162,"Реагенты")</f>
        <v>0</v>
      </c>
      <c r="BA667" s="1114">
        <f>_xlfn.SUMIFS('Сырье и материалы'!AZ$25:AZ$162,'Сырье и материалы'!$F$25:$F$162,$F667,'Сырье и материалы'!$I$25:$I$162,"Реагенты")</f>
        <v>0</v>
      </c>
      <c r="BB667" s="1114">
        <f>_xlfn.SUMIFS('Сырье и материалы'!BA$25:BA$162,'Сырье и материалы'!$F$25:$F$162,$F667,'Сырье и материалы'!$I$25:$I$162,"Реагенты")</f>
        <v>0</v>
      </c>
      <c r="BC667" s="1114">
        <f>_xlfn.SUMIFS('Сырье и материалы'!BB$25:BB$162,'Сырье и материалы'!$F$25:$F$162,$F667,'Сырье и материалы'!$I$25:$I$162,"Реагенты")</f>
        <v>0</v>
      </c>
      <c r="BD667" s="1114">
        <f>IF(AI667=0,0,(AT667-AI667)/AI667*100)</f>
        <v>0</v>
      </c>
      <c r="BE667" s="1114">
        <f>IF(AT667=0,0,(AU667-AT667)/AT667*100)</f>
        <v>3.9</v>
      </c>
      <c r="BF667" s="1114">
        <f>IF(AU667=0,0,(AV667-AU667)/AU667*100)</f>
        <v>3.80000000000012</v>
      </c>
      <c r="BG667" s="1114">
        <f>IF(AV667=0,0,(AW667-AV667)/AV667*100)</f>
        <v>3.79999999999982</v>
      </c>
      <c r="BH667" s="1114">
        <f>IF(AW667=0,0,(AX667-AW667)/AW667*100)</f>
        <v>3.8000000000001</v>
      </c>
      <c r="BI667" s="1114">
        <f>IF(AX667=0,0,(AY667-AX667)/AX667*100)</f>
        <v>-100</v>
      </c>
      <c r="BJ667" s="1114">
        <f>IF(AY667=0,0,(AZ667-AY667)/AY667*100)</f>
        <v>0</v>
      </c>
      <c r="BK667" s="1114">
        <f>IF(AZ667=0,0,(BA667-AZ667)/AZ667*100)</f>
        <v>0</v>
      </c>
      <c r="BL667" s="1114">
        <f>IF(BA667=0,0,(BB667-BA667)/BA667*100)</f>
        <v>0</v>
      </c>
      <c r="BM667" s="1114">
        <f>IF(BB667=0,0,(BC667-BB667)/BB667*100)</f>
        <v>0</v>
      </c>
      <c r="BN667" s="7433"/>
      <c r="BO667" s="7437" t="s">
        <v>2927</v>
      </c>
      <c r="BP667" s="7433"/>
      <c r="BQ667" s="1278"/>
      <c r="BR667" s="1278"/>
      <c r="BS667" s="1064" t="s">
        <v>2438</v>
      </c>
      <c r="BT667" s="1064"/>
      <c r="BU667" s="1064"/>
      <c r="BV667" s="979"/>
      <c r="BW667" s="979"/>
    </row>
    <row s="7665" customFormat="1" customHeight="1" ht="20.25">
      <c r="A668" s="700"/>
      <c r="B668" s="435"/>
      <c r="C668" s="109"/>
      <c r="D668" s="109"/>
      <c r="E668" s="826">
        <v>21</v>
      </c>
      <c r="F668" s="50" cm="1" t="str">
        <f t="array" ref="F668:F668">OFFSET(E668,-1,1)</f>
        <v>4</v>
      </c>
      <c r="G668" s="109"/>
      <c r="H668" s="107"/>
      <c r="I668" s="107" t="s">
        <v>1648</v>
      </c>
      <c r="J668" s="109"/>
      <c r="K668" s="107" t="s">
        <v>1648</v>
      </c>
      <c r="L668" s="985" t="s">
        <v>1228</v>
      </c>
      <c r="M668" s="109"/>
      <c r="N668" s="109"/>
      <c r="O668" s="109"/>
      <c r="P668" s="109"/>
      <c r="Q668" s="109"/>
      <c r="R668" s="109"/>
      <c r="S668" s="109"/>
      <c r="T668" s="465" cm="1" t="str">
        <f t="array" ref="T668:T668">T667</f>
        <v>true</v>
      </c>
      <c r="U668" s="109"/>
      <c r="V668" s="109"/>
      <c r="W668" s="109"/>
      <c r="X668" s="1596"/>
      <c r="Y668" s="700"/>
      <c r="Z668" s="1546"/>
      <c r="AA668" s="700"/>
      <c r="AB668" s="211" t="s">
        <v>1258</v>
      </c>
      <c r="AC668" s="361" t="s">
        <v>2768</v>
      </c>
      <c r="AD668" s="211" t="s">
        <v>1514</v>
      </c>
      <c r="AE668" s="778">
        <f>SUM(AE669:AE678)</f>
        <v>0</v>
      </c>
      <c r="AF668" s="778">
        <f>SUM(AF669:AF678)</f>
        <v>0</v>
      </c>
      <c r="AG668" s="778">
        <f>SUM(AG669:AG678)</f>
        <v>0</v>
      </c>
      <c r="AH668" s="778">
        <f>AG668-AF668</f>
        <v>0</v>
      </c>
      <c r="AI668" s="778">
        <f>SUM(AI669:AI678)</f>
        <v>0</v>
      </c>
      <c r="AJ668" s="213">
        <f>SUM(AJ669:AJ678)</f>
        <v>375.984184342857</v>
      </c>
      <c r="AK668" s="778">
        <f>SUM(AK669:AK678)</f>
        <v>360.441611716571</v>
      </c>
      <c r="AL668" s="778">
        <f>SUM(AL669:AL678)</f>
        <v>368.294276185234</v>
      </c>
      <c r="AM668" s="778">
        <f>SUM(AM669:AM678)</f>
        <v>695.557567232644</v>
      </c>
      <c r="AN668" s="778">
        <f>SUM(AN669:AN678)</f>
        <v>615.00558992195</v>
      </c>
      <c r="AO668" s="778">
        <f>SUM(AO669:AO678)</f>
        <v>0</v>
      </c>
      <c r="AP668" s="778">
        <f>SUM(AP669:AP678)</f>
        <v>0</v>
      </c>
      <c r="AQ668" s="778">
        <f>SUM(AQ669:AQ678)</f>
        <v>0</v>
      </c>
      <c r="AR668" s="778">
        <f>SUM(AR669:AR678)</f>
        <v>0</v>
      </c>
      <c r="AS668" s="778">
        <f>SUM(AS669:AS678)</f>
        <v>0</v>
      </c>
      <c r="AT668" s="213">
        <f>SUM(AT669:AT678)</f>
        <v>375.984184342857</v>
      </c>
      <c r="AU668" s="778">
        <f>SUM(AU669:AU678)</f>
        <v>360.441611716571</v>
      </c>
      <c r="AV668" s="778">
        <f>SUM(AV669:AV678)</f>
        <v>368.294276185234</v>
      </c>
      <c r="AW668" s="778">
        <f>SUM(AW669:AW678)</f>
        <v>695.557567232644</v>
      </c>
      <c r="AX668" s="778">
        <f>SUM(AX669:AX678)</f>
        <v>615.00558992195</v>
      </c>
      <c r="AY668" s="778">
        <f>SUM(AY669:AY678)</f>
        <v>0</v>
      </c>
      <c r="AZ668" s="778">
        <f>SUM(AZ669:AZ678)</f>
        <v>0</v>
      </c>
      <c r="BA668" s="778">
        <f>SUM(BA669:BA678)</f>
        <v>0</v>
      </c>
      <c r="BB668" s="778">
        <f>SUM(BB669:BB678)</f>
        <v>0</v>
      </c>
      <c r="BC668" s="778">
        <f>SUM(BC669:BC678)</f>
        <v>0</v>
      </c>
      <c r="BD668" s="778">
        <f>IF(AI668=0,0,(AT668-AI668)/AI668*100)</f>
        <v>0</v>
      </c>
      <c r="BE668" s="778">
        <f>IF(AT668=0,0,(AU668-AT668)/AT668*100)</f>
        <v>-4.13383681376152</v>
      </c>
      <c r="BF668" s="778">
        <f>IF(AU668=0,0,(AV668-AU668)/AU668*100)</f>
        <v>2.17862317041182</v>
      </c>
      <c r="BG668" s="778">
        <f>IF(AV668=0,0,(AW668-AV668)/AV668*100)</f>
        <v>88.8591846816573</v>
      </c>
      <c r="BH668" s="778">
        <f>IF(AW668=0,0,(AX668-AW668)/AW668*100)</f>
        <v>-11.5809217102158</v>
      </c>
      <c r="BI668" s="778">
        <f>IF(AX668=0,0,(AY668-AX668)/AX668*100)</f>
        <v>-100</v>
      </c>
      <c r="BJ668" s="778">
        <f>IF(AY668=0,0,(AZ668-AY668)/AY668*100)</f>
        <v>0</v>
      </c>
      <c r="BK668" s="778">
        <f>IF(AZ668=0,0,(BA668-AZ668)/AZ668*100)</f>
        <v>0</v>
      </c>
      <c r="BL668" s="778">
        <f>IF(BA668=0,0,(BB668-BA668)/BA668*100)</f>
        <v>0</v>
      </c>
      <c r="BM668" s="778">
        <f>IF(BB668=0,0,(BC668-BB668)/BB668*100)</f>
        <v>0</v>
      </c>
      <c r="BN668" s="7436"/>
      <c r="BO668" s="7437" t="str">
        <f>IF(_xlfn.IFERROR(INDEX(Налоги!$K$26:$L$101,MATCH($F668&amp;"komm",Налоги!$K$26:$K$101,0),2),"")=0,"",_xlfn.IFERROR(INDEX(Налоги!$K$26:$L$101,MATCH($F668&amp;"komm",Налоги!$K$26:$K$101,0),2),""))</f>
        <v>В соответствии с п.п. 2 п. 49 Методических указаний 1746-э.</v>
      </c>
      <c r="BP668" s="7436"/>
      <c r="BQ668" s="700"/>
      <c r="BR668" s="700"/>
      <c r="BS668" s="1070" t="s">
        <v>1999</v>
      </c>
      <c r="BT668" s="1070"/>
      <c r="BU668" s="1070"/>
      <c r="BV668" s="707"/>
      <c r="BW668" s="707"/>
    </row>
    <row s="1834" customFormat="1" customHeight="1" ht="0">
      <c r="A669" s="1278"/>
      <c r="B669" s="978"/>
      <c r="C669" s="107"/>
      <c r="D669" s="107"/>
      <c r="E669" s="621">
        <v>15</v>
      </c>
      <c r="F669" s="50" cm="1" t="str">
        <f t="array" ref="F669:F669">OFFSET(E669,-1,1)</f>
        <v>4</v>
      </c>
      <c r="G669" s="922">
        <v>7</v>
      </c>
      <c r="H669" s="107"/>
      <c r="I669" s="107" t="s">
        <v>2769</v>
      </c>
      <c r="J669" s="107"/>
      <c r="K669" s="107" t="s">
        <v>2769</v>
      </c>
      <c r="L669" s="980"/>
      <c r="M669" s="107"/>
      <c r="N669" s="107"/>
      <c r="O669" s="107"/>
      <c r="P669" s="107"/>
      <c r="Q669" s="107"/>
      <c r="R669" s="107"/>
      <c r="S669" s="107"/>
      <c r="T669" s="465" cm="1" t="str">
        <f t="array" ref="T669:T669">T668</f>
        <v>true</v>
      </c>
      <c r="U669" s="107"/>
      <c r="V669" s="107"/>
      <c r="W669" s="107"/>
      <c r="X669" s="1596"/>
      <c r="Y669" s="1278"/>
      <c r="Z669" s="1546"/>
      <c r="AA669" s="1278"/>
      <c r="AB669" s="300" t="s">
        <v>1212</v>
      </c>
      <c r="AC669" s="765" t="s">
        <v>2013</v>
      </c>
      <c r="AD669" s="300" t="s">
        <v>1514</v>
      </c>
      <c r="AE669" s="1114">
        <f>_xlfn.SUMIFS(Налоги!AE$25:AE$101,Налоги!$F$25:$F$101,$F669,Налоги!$AB$25:$AB$101,$G669)</f>
        <v>0</v>
      </c>
      <c r="AF669" s="1114">
        <f>_xlfn.SUMIFS(Налоги!AF$25:AF$101,Налоги!$F$25:$F$101,$F669,Налоги!$AB$25:$AB$101,$G669)</f>
        <v>0</v>
      </c>
      <c r="AG669" s="1114">
        <f>_xlfn.SUMIFS(Налоги!AG$25:AG$101,Налоги!$F$25:$F$101,$F669,Налоги!$AB$25:$AB$101,$G669)</f>
        <v>0</v>
      </c>
      <c r="AH669" s="1114">
        <f>AG669-AF669</f>
        <v>0</v>
      </c>
      <c r="AI669" s="1114">
        <f>_xlfn.SUMIFS(Налоги!AH$25:AH$101,Налоги!$F$25:$F$101,$F669,Налоги!$AB$25:$AB$101,$G669)</f>
        <v>0</v>
      </c>
      <c r="AJ669" s="1114">
        <f>_xlfn.SUMIFS(Налоги!AI$25:AI$101,Налоги!$F$25:$F$101,$F669,Налоги!$AB$25:$AB$101,$G669)</f>
        <v>0</v>
      </c>
      <c r="AK669" s="1114">
        <f>_xlfn.SUMIFS(Налоги!AJ$25:AJ$101,Налоги!$F$25:$F$101,$F669,Налоги!$AB$25:$AB$101,$G669)</f>
        <v>0</v>
      </c>
      <c r="AL669" s="1114">
        <f>_xlfn.SUMIFS(Налоги!AK$25:AK$101,Налоги!$F$25:$F$101,$F669,Налоги!$AB$25:$AB$101,$G669)</f>
        <v>0</v>
      </c>
      <c r="AM669" s="1114">
        <f>_xlfn.SUMIFS(Налоги!AL$25:AL$101,Налоги!$F$25:$F$101,$F669,Налоги!$AB$25:$AB$101,$G669)</f>
        <v>0</v>
      </c>
      <c r="AN669" s="1114">
        <f>_xlfn.SUMIFS(Налоги!AM$25:AM$101,Налоги!$F$25:$F$101,$F669,Налоги!$AB$25:$AB$101,$G669)</f>
        <v>0</v>
      </c>
      <c r="AO669" s="1114">
        <f>_xlfn.SUMIFS(Налоги!AN$25:AN$101,Налоги!$F$25:$F$101,$F669,Налоги!$AB$25:$AB$101,$G669)</f>
        <v>0</v>
      </c>
      <c r="AP669" s="1114">
        <f>_xlfn.SUMIFS(Налоги!AO$25:AO$101,Налоги!$F$25:$F$101,$F669,Налоги!$AB$25:$AB$101,$G669)</f>
        <v>0</v>
      </c>
      <c r="AQ669" s="1114">
        <f>_xlfn.SUMIFS(Налоги!AP$25:AP$101,Налоги!$F$25:$F$101,$F669,Налоги!$AB$25:$AB$101,$G669)</f>
        <v>0</v>
      </c>
      <c r="AR669" s="1114">
        <f>_xlfn.SUMIFS(Налоги!AQ$25:AQ$101,Налоги!$F$25:$F$101,$F669,Налоги!$AB$25:$AB$101,$G669)</f>
        <v>0</v>
      </c>
      <c r="AS669" s="1114">
        <f>_xlfn.SUMIFS(Налоги!AR$25:AR$101,Налоги!$F$25:$F$101,$F669,Налоги!$AB$25:$AB$101,$G669)</f>
        <v>0</v>
      </c>
      <c r="AT669" s="1114">
        <f>_xlfn.SUMIFS(Налоги!AS$25:AS$101,Налоги!$F$25:$F$101,$F669,Налоги!$AB$25:$AB$101,$G669)</f>
        <v>0</v>
      </c>
      <c r="AU669" s="1114">
        <f>_xlfn.SUMIFS(Налоги!AT$25:AT$101,Налоги!$F$25:$F$101,$F669,Налоги!$AB$25:$AB$101,$G669)</f>
        <v>0</v>
      </c>
      <c r="AV669" s="1114">
        <f>_xlfn.SUMIFS(Налоги!AU$25:AU$101,Налоги!$F$25:$F$101,$F669,Налоги!$AB$25:$AB$101,$G669)</f>
        <v>0</v>
      </c>
      <c r="AW669" s="1114">
        <f>_xlfn.SUMIFS(Налоги!AV$25:AV$101,Налоги!$F$25:$F$101,$F669,Налоги!$AB$25:$AB$101,$G669)</f>
        <v>0</v>
      </c>
      <c r="AX669" s="1114">
        <f>_xlfn.SUMIFS(Налоги!AW$25:AW$101,Налоги!$F$25:$F$101,$F669,Налоги!$AB$25:$AB$101,$G669)</f>
        <v>0</v>
      </c>
      <c r="AY669" s="1114">
        <f>_xlfn.SUMIFS(Налоги!AX$25:AX$101,Налоги!$F$25:$F$101,$F669,Налоги!$AB$25:$AB$101,$G669)</f>
        <v>0</v>
      </c>
      <c r="AZ669" s="1114">
        <f>_xlfn.SUMIFS(Налоги!AY$25:AY$101,Налоги!$F$25:$F$101,$F669,Налоги!$AB$25:$AB$101,$G669)</f>
        <v>0</v>
      </c>
      <c r="BA669" s="1114">
        <f>_xlfn.SUMIFS(Налоги!AZ$25:AZ$101,Налоги!$F$25:$F$101,$F669,Налоги!$AB$25:$AB$101,$G669)</f>
        <v>0</v>
      </c>
      <c r="BB669" s="1114">
        <f>_xlfn.SUMIFS(Налоги!BA$25:BA$101,Налоги!$F$25:$F$101,$F669,Налоги!$AB$25:$AB$101,$G669)</f>
        <v>0</v>
      </c>
      <c r="BC669" s="1114">
        <f>_xlfn.SUMIFS(Налоги!BB$25:BB$101,Налоги!$F$25:$F$101,$F669,Налоги!$AB$25:$AB$101,$G669)</f>
        <v>0</v>
      </c>
      <c r="BD669" s="1114">
        <f>IF(AI669=0,0,(AT669-AI669)/AI669*100)</f>
        <v>0</v>
      </c>
      <c r="BE669" s="1114">
        <f>IF(AT669=0,0,(AU669-AT669)/AT669*100)</f>
        <v>0</v>
      </c>
      <c r="BF669" s="1114">
        <f>IF(AU669=0,0,(AV669-AU669)/AU669*100)</f>
        <v>0</v>
      </c>
      <c r="BG669" s="1114">
        <f>IF(AV669=0,0,(AW669-AV669)/AV669*100)</f>
        <v>0</v>
      </c>
      <c r="BH669" s="1114">
        <f>IF(AW669=0,0,(AX669-AW669)/AW669*100)</f>
        <v>0</v>
      </c>
      <c r="BI669" s="1114">
        <f>IF(AX669=0,0,(AY669-AX669)/AX669*100)</f>
        <v>0</v>
      </c>
      <c r="BJ669" s="1114">
        <f>IF(AY669=0,0,(AZ669-AY669)/AY669*100)</f>
        <v>0</v>
      </c>
      <c r="BK669" s="1114">
        <f>IF(AZ669=0,0,(BA669-AZ669)/AZ669*100)</f>
        <v>0</v>
      </c>
      <c r="BL669" s="1114">
        <f>IF(BA669=0,0,(BB669-BA669)/BA669*100)</f>
        <v>0</v>
      </c>
      <c r="BM669" s="1114">
        <f>IF(BB669=0,0,(BC669-BB669)/BB669*100)</f>
        <v>0</v>
      </c>
      <c r="BN669" s="7433"/>
      <c r="BO669" s="7437" t="str">
        <f>IF(_xlfn.IFERROR(INDEX(Налоги!$K$26:$L$101,MATCH($F669&amp;"7komm",Налоги!$K$26:$K$101,0),2),"")=0,"",_xlfn.IFERROR(INDEX(Налоги!$K$26:$L$101,MATCH($F669&amp;"7komm",Налоги!$K$26:$K$101,0),2),""))</f>
        <v/>
      </c>
      <c r="BP669" s="7433"/>
      <c r="BQ669" s="1278"/>
      <c r="BR669" s="1278"/>
      <c r="BS669" s="1064" t="s">
        <v>2770</v>
      </c>
      <c r="BT669" s="1064"/>
      <c r="BU669" s="1064"/>
      <c r="BV669" s="979"/>
      <c r="BW669" s="979"/>
    </row>
    <row s="1834" customFormat="1" customHeight="1" ht="96.75">
      <c r="A670" s="1278"/>
      <c r="B670" s="978"/>
      <c r="C670" s="107"/>
      <c r="D670" s="107"/>
      <c r="E670" s="621">
        <v>15</v>
      </c>
      <c r="F670" s="50" cm="1" t="str">
        <f t="array" ref="F670:F670">OFFSET(E670,-1,1)</f>
        <v>4</v>
      </c>
      <c r="G670" s="922">
        <v>6</v>
      </c>
      <c r="H670" s="107"/>
      <c r="I670" s="107" t="s">
        <v>2771</v>
      </c>
      <c r="J670" s="107"/>
      <c r="K670" s="107" t="s">
        <v>2771</v>
      </c>
      <c r="L670" s="980"/>
      <c r="M670" s="107"/>
      <c r="N670" s="107"/>
      <c r="O670" s="107"/>
      <c r="P670" s="107"/>
      <c r="Q670" s="107"/>
      <c r="R670" s="107"/>
      <c r="S670" s="107"/>
      <c r="T670" s="465" cm="1" t="str">
        <f t="array" ref="T670:T670">T669</f>
        <v>true</v>
      </c>
      <c r="U670" s="107"/>
      <c r="V670" s="107"/>
      <c r="W670" s="107"/>
      <c r="X670" s="1596"/>
      <c r="Y670" s="1278"/>
      <c r="Z670" s="1546"/>
      <c r="AA670" s="1278"/>
      <c r="AB670" s="300" t="s">
        <v>2225</v>
      </c>
      <c r="AC670" s="765" t="s">
        <v>2772</v>
      </c>
      <c r="AD670" s="300" t="s">
        <v>1514</v>
      </c>
      <c r="AE670" s="1114">
        <f>_xlfn.SUMIFS(Налоги!AE$25:AE$101,Налоги!$F$25:$F$101,$F670,Налоги!$AB$25:$AB$101,$G670)</f>
        <v>0</v>
      </c>
      <c r="AF670" s="1114">
        <f>_xlfn.SUMIFS(Налоги!AF$25:AF$101,Налоги!$F$25:$F$101,$F670,Налоги!$AB$25:$AB$101,$G670)</f>
        <v>0</v>
      </c>
      <c r="AG670" s="1114">
        <f>_xlfn.SUMIFS(Налоги!AG$25:AG$101,Налоги!$F$25:$F$101,$F670,Налоги!$AB$25:$AB$101,$G670)</f>
        <v>0</v>
      </c>
      <c r="AH670" s="1114">
        <f>AG670-AF670</f>
        <v>0</v>
      </c>
      <c r="AI670" s="1114">
        <f>_xlfn.SUMIFS(Налоги!AH$25:AH$101,Налоги!$F$25:$F$101,$F670,Налоги!$AB$25:$AB$101,$G670)</f>
        <v>0</v>
      </c>
      <c r="AJ670" s="1114">
        <f>_xlfn.SUMIFS(Налоги!AI$25:AI$101,Налоги!$F$25:$F$101,$F670,Налоги!$AB$25:$AB$101,$G670)</f>
        <v>291.7735</v>
      </c>
      <c r="AK670" s="1114">
        <f>_xlfn.SUMIFS(Налоги!AJ$25:AJ$101,Налоги!$F$25:$F$101,$F670,Налоги!$AB$25:$AB$101,$G670)</f>
        <v>272.8625</v>
      </c>
      <c r="AL670" s="1114">
        <f>_xlfn.SUMIFS(Налоги!AK$25:AK$101,Налоги!$F$25:$F$101,$F670,Налоги!$AB$25:$AB$101,$G670)</f>
        <v>253.952</v>
      </c>
      <c r="AM670" s="1114">
        <f>_xlfn.SUMIFS(Налоги!AL$25:AL$101,Налоги!$F$25:$F$101,$F670,Налоги!$AB$25:$AB$101,$G670)</f>
        <v>470.082</v>
      </c>
      <c r="AN670" s="1114">
        <f>_xlfn.SUMIFS(Налоги!AM$25:AM$101,Налоги!$F$25:$F$101,$F670,Налоги!$AB$25:$AB$101,$G670)</f>
        <v>432.261</v>
      </c>
      <c r="AO670" s="1114">
        <f>_xlfn.SUMIFS(Налоги!AN$25:AN$101,Налоги!$F$25:$F$101,$F670,Налоги!$AB$25:$AB$101,$G670)</f>
        <v>0</v>
      </c>
      <c r="AP670" s="1114">
        <f>_xlfn.SUMIFS(Налоги!AO$25:AO$101,Налоги!$F$25:$F$101,$F670,Налоги!$AB$25:$AB$101,$G670)</f>
        <v>0</v>
      </c>
      <c r="AQ670" s="1114">
        <f>_xlfn.SUMIFS(Налоги!AP$25:AP$101,Налоги!$F$25:$F$101,$F670,Налоги!$AB$25:$AB$101,$G670)</f>
        <v>0</v>
      </c>
      <c r="AR670" s="1114">
        <f>_xlfn.SUMIFS(Налоги!AQ$25:AQ$101,Налоги!$F$25:$F$101,$F670,Налоги!$AB$25:$AB$101,$G670)</f>
        <v>0</v>
      </c>
      <c r="AS670" s="1114">
        <f>_xlfn.SUMIFS(Налоги!AR$25:AR$101,Налоги!$F$25:$F$101,$F670,Налоги!$AB$25:$AB$101,$G670)</f>
        <v>0</v>
      </c>
      <c r="AT670" s="1114">
        <f>_xlfn.SUMIFS(Налоги!AS$25:AS$101,Налоги!$F$25:$F$101,$F670,Налоги!$AB$25:$AB$101,$G670)</f>
        <v>291.7735</v>
      </c>
      <c r="AU670" s="1114">
        <f>_xlfn.SUMIFS(Налоги!AT$25:AT$101,Налоги!$F$25:$F$101,$F670,Налоги!$AB$25:$AB$101,$G670)</f>
        <v>272.8625</v>
      </c>
      <c r="AV670" s="1114">
        <f>_xlfn.SUMIFS(Налоги!AU$25:AU$101,Налоги!$F$25:$F$101,$F670,Налоги!$AB$25:$AB$101,$G670)</f>
        <v>253.952</v>
      </c>
      <c r="AW670" s="1114">
        <f>_xlfn.SUMIFS(Налоги!AV$25:AV$101,Налоги!$F$25:$F$101,$F670,Налоги!$AB$25:$AB$101,$G670)</f>
        <v>470.082</v>
      </c>
      <c r="AX670" s="1114">
        <f>_xlfn.SUMIFS(Налоги!AW$25:AW$101,Налоги!$F$25:$F$101,$F670,Налоги!$AB$25:$AB$101,$G670)</f>
        <v>432.261</v>
      </c>
      <c r="AY670" s="1114">
        <f>_xlfn.SUMIFS(Налоги!AX$25:AX$101,Налоги!$F$25:$F$101,$F670,Налоги!$AB$25:$AB$101,$G670)</f>
        <v>0</v>
      </c>
      <c r="AZ670" s="1114">
        <f>_xlfn.SUMIFS(Налоги!AY$25:AY$101,Налоги!$F$25:$F$101,$F670,Налоги!$AB$25:$AB$101,$G670)</f>
        <v>0</v>
      </c>
      <c r="BA670" s="1114">
        <f>_xlfn.SUMIFS(Налоги!AZ$25:AZ$101,Налоги!$F$25:$F$101,$F670,Налоги!$AB$25:$AB$101,$G670)</f>
        <v>0</v>
      </c>
      <c r="BB670" s="1114">
        <f>_xlfn.SUMIFS(Налоги!BA$25:BA$101,Налоги!$F$25:$F$101,$F670,Налоги!$AB$25:$AB$101,$G670)</f>
        <v>0</v>
      </c>
      <c r="BC670" s="1114">
        <f>_xlfn.SUMIFS(Налоги!BB$25:BB$101,Налоги!$F$25:$F$101,$F670,Налоги!$AB$25:$AB$101,$G670)</f>
        <v>0</v>
      </c>
      <c r="BD670" s="1114">
        <f>IF(AI670=0,0,(AT670-AI670)/AI670*100)</f>
        <v>0</v>
      </c>
      <c r="BE670" s="1114">
        <f>IF(AT670=0,0,(AU670-AT670)/AT670*100)</f>
        <v>-6.48139738530058</v>
      </c>
      <c r="BF670" s="1114">
        <f>IF(AU670=0,0,(AV670-AU670)/AU670*100)</f>
        <v>-6.93041366988869</v>
      </c>
      <c r="BG670" s="1114">
        <f>IF(AV670=0,0,(AW670-AV670)/AV670*100)</f>
        <v>85.1066343245968</v>
      </c>
      <c r="BH670" s="1114">
        <f>IF(AW670=0,0,(AX670-AW670)/AW670*100)</f>
        <v>-8.04561757310426</v>
      </c>
      <c r="BI670" s="1114">
        <f>IF(AX670=0,0,(AY670-AX670)/AX670*100)</f>
        <v>-100</v>
      </c>
      <c r="BJ670" s="1114">
        <f>IF(AY670=0,0,(AZ670-AY670)/AY670*100)</f>
        <v>0</v>
      </c>
      <c r="BK670" s="1114">
        <f>IF(AZ670=0,0,(BA670-AZ670)/AZ670*100)</f>
        <v>0</v>
      </c>
      <c r="BL670" s="1114">
        <f>IF(BA670=0,0,(BB670-BA670)/BA670*100)</f>
        <v>0</v>
      </c>
      <c r="BM670" s="1114">
        <f>IF(BB670=0,0,(BC670-BB670)/BB670*100)</f>
        <v>0</v>
      </c>
      <c r="BN670" s="7433"/>
      <c r="BO670" s="7437" t="str">
        <f>IF(_xlfn.IFERROR(INDEX(Налоги!$K$26:$L$101,MATCH($F670&amp;"6komm",Налоги!$K$26:$K$101,0),2),"")=0,"",_xlfn.IFERROR(INDEX(Налоги!$K$26:$L$101,MATCH($F670&amp;"6komm",Налоги!$K$26:$K$101,0),2),""))</f>
        <v>в соответствии с п.1 ст.308 Налогового кодекса РФ от 05.08.2000 № 117-ФЗ, с учетом уменьшения суммы налога на 50% на 2024-2028 годы в соответствии с Законом от 24.11.2033 № 107-ОЗ "О внесении изменения в статью 4 Закона Кемеровской области-кузбасса "О налоге на имущество организаций". Налог рассчитан по остаточной стоимости, данные получены из материалов, представленных организацией при получении долгосрочных параметров регулирования.</v>
      </c>
      <c r="BP670" s="7433"/>
      <c r="BQ670" s="1278"/>
      <c r="BR670" s="1278"/>
      <c r="BS670" s="1064" t="s">
        <v>2773</v>
      </c>
      <c r="BT670" s="1064"/>
      <c r="BU670" s="1064"/>
      <c r="BV670" s="979"/>
      <c r="BW670" s="979"/>
    </row>
    <row s="1834" customFormat="1" customHeight="1" ht="0">
      <c r="A671" s="1278"/>
      <c r="B671" s="978"/>
      <c r="C671" s="107"/>
      <c r="D671" s="107"/>
      <c r="E671" s="621">
        <v>15</v>
      </c>
      <c r="F671" s="50" cm="1" t="str">
        <f t="array" ref="F671:F671">OFFSET(E671,-1,1)</f>
        <v>4</v>
      </c>
      <c r="G671" s="922">
        <v>2</v>
      </c>
      <c r="H671" s="107"/>
      <c r="I671" s="107" t="s">
        <v>2774</v>
      </c>
      <c r="J671" s="107"/>
      <c r="K671" s="107" t="s">
        <v>2774</v>
      </c>
      <c r="L671" s="980"/>
      <c r="M671" s="107"/>
      <c r="N671" s="107"/>
      <c r="O671" s="107"/>
      <c r="P671" s="107"/>
      <c r="Q671" s="107"/>
      <c r="R671" s="107"/>
      <c r="S671" s="107"/>
      <c r="T671" s="465" cm="1" t="str">
        <f t="array" ref="T671:T671">T670</f>
        <v>true</v>
      </c>
      <c r="U671" s="107"/>
      <c r="V671" s="107"/>
      <c r="W671" s="107"/>
      <c r="X671" s="1596"/>
      <c r="Y671" s="1278"/>
      <c r="Z671" s="1546"/>
      <c r="AA671" s="1278"/>
      <c r="AB671" s="300" t="s">
        <v>2230</v>
      </c>
      <c r="AC671" s="765" t="s">
        <v>2775</v>
      </c>
      <c r="AD671" s="300" t="s">
        <v>1514</v>
      </c>
      <c r="AE671" s="1114">
        <f>_xlfn.SUMIFS(Налоги!AE$25:AE$101,Налоги!$F$25:$F$101,$F671,Налоги!$AB$25:$AB$101,$G671)</f>
        <v>0</v>
      </c>
      <c r="AF671" s="1114">
        <f>_xlfn.SUMIFS(Налоги!AF$25:AF$101,Налоги!$F$25:$F$101,$F671,Налоги!$AB$25:$AB$101,$G671)</f>
        <v>0</v>
      </c>
      <c r="AG671" s="1114">
        <f>_xlfn.SUMIFS(Налоги!AG$25:AG$101,Налоги!$F$25:$F$101,$F671,Налоги!$AB$25:$AB$101,$G671)</f>
        <v>0</v>
      </c>
      <c r="AH671" s="1114">
        <f>AG671-AF671</f>
        <v>0</v>
      </c>
      <c r="AI671" s="1114">
        <f>_xlfn.SUMIFS(Налоги!AH$25:AH$101,Налоги!$F$25:$F$101,$F671,Налоги!$AB$25:$AB$101,$G671)</f>
        <v>0</v>
      </c>
      <c r="AJ671" s="1114">
        <f>_xlfn.SUMIFS(Налоги!AI$25:AI$101,Налоги!$F$25:$F$101,$F671,Налоги!$AB$25:$AB$101,$G671)</f>
        <v>0</v>
      </c>
      <c r="AK671" s="1114">
        <f>_xlfn.SUMIFS(Налоги!AJ$25:AJ$101,Налоги!$F$25:$F$101,$F671,Налоги!$AB$25:$AB$101,$G671)</f>
        <v>0</v>
      </c>
      <c r="AL671" s="1114">
        <f>_xlfn.SUMIFS(Налоги!AK$25:AK$101,Налоги!$F$25:$F$101,$F671,Налоги!$AB$25:$AB$101,$G671)</f>
        <v>0</v>
      </c>
      <c r="AM671" s="1114">
        <f>_xlfn.SUMIFS(Налоги!AL$25:AL$101,Налоги!$F$25:$F$101,$F671,Налоги!$AB$25:$AB$101,$G671)</f>
        <v>0</v>
      </c>
      <c r="AN671" s="1114">
        <f>_xlfn.SUMIFS(Налоги!AM$25:AM$101,Налоги!$F$25:$F$101,$F671,Налоги!$AB$25:$AB$101,$G671)</f>
        <v>0</v>
      </c>
      <c r="AO671" s="1114">
        <f>_xlfn.SUMIFS(Налоги!AN$25:AN$101,Налоги!$F$25:$F$101,$F671,Налоги!$AB$25:$AB$101,$G671)</f>
        <v>0</v>
      </c>
      <c r="AP671" s="1114">
        <f>_xlfn.SUMIFS(Налоги!AO$25:AO$101,Налоги!$F$25:$F$101,$F671,Налоги!$AB$25:$AB$101,$G671)</f>
        <v>0</v>
      </c>
      <c r="AQ671" s="1114">
        <f>_xlfn.SUMIFS(Налоги!AP$25:AP$101,Налоги!$F$25:$F$101,$F671,Налоги!$AB$25:$AB$101,$G671)</f>
        <v>0</v>
      </c>
      <c r="AR671" s="1114">
        <f>_xlfn.SUMIFS(Налоги!AQ$25:AQ$101,Налоги!$F$25:$F$101,$F671,Налоги!$AB$25:$AB$101,$G671)</f>
        <v>0</v>
      </c>
      <c r="AS671" s="1114">
        <f>_xlfn.SUMIFS(Налоги!AR$25:AR$101,Налоги!$F$25:$F$101,$F671,Налоги!$AB$25:$AB$101,$G671)</f>
        <v>0</v>
      </c>
      <c r="AT671" s="1114">
        <f>_xlfn.SUMIFS(Налоги!AS$25:AS$101,Налоги!$F$25:$F$101,$F671,Налоги!$AB$25:$AB$101,$G671)</f>
        <v>0</v>
      </c>
      <c r="AU671" s="1114">
        <f>_xlfn.SUMIFS(Налоги!AT$25:AT$101,Налоги!$F$25:$F$101,$F671,Налоги!$AB$25:$AB$101,$G671)</f>
        <v>0</v>
      </c>
      <c r="AV671" s="1114">
        <f>_xlfn.SUMIFS(Налоги!AU$25:AU$101,Налоги!$F$25:$F$101,$F671,Налоги!$AB$25:$AB$101,$G671)</f>
        <v>0</v>
      </c>
      <c r="AW671" s="1114">
        <f>_xlfn.SUMIFS(Налоги!AV$25:AV$101,Налоги!$F$25:$F$101,$F671,Налоги!$AB$25:$AB$101,$G671)</f>
        <v>0</v>
      </c>
      <c r="AX671" s="1114">
        <f>_xlfn.SUMIFS(Налоги!AW$25:AW$101,Налоги!$F$25:$F$101,$F671,Налоги!$AB$25:$AB$101,$G671)</f>
        <v>0</v>
      </c>
      <c r="AY671" s="1114">
        <f>_xlfn.SUMIFS(Налоги!AX$25:AX$101,Налоги!$F$25:$F$101,$F671,Налоги!$AB$25:$AB$101,$G671)</f>
        <v>0</v>
      </c>
      <c r="AZ671" s="1114">
        <f>_xlfn.SUMIFS(Налоги!AY$25:AY$101,Налоги!$F$25:$F$101,$F671,Налоги!$AB$25:$AB$101,$G671)</f>
        <v>0</v>
      </c>
      <c r="BA671" s="1114">
        <f>_xlfn.SUMIFS(Налоги!AZ$25:AZ$101,Налоги!$F$25:$F$101,$F671,Налоги!$AB$25:$AB$101,$G671)</f>
        <v>0</v>
      </c>
      <c r="BB671" s="1114">
        <f>_xlfn.SUMIFS(Налоги!BA$25:BA$101,Налоги!$F$25:$F$101,$F671,Налоги!$AB$25:$AB$101,$G671)</f>
        <v>0</v>
      </c>
      <c r="BC671" s="1114">
        <f>_xlfn.SUMIFS(Налоги!BB$25:BB$101,Налоги!$F$25:$F$101,$F671,Налоги!$AB$25:$AB$101,$G671)</f>
        <v>0</v>
      </c>
      <c r="BD671" s="1114">
        <f>IF(AI671=0,0,(AT671-AI671)/AI671*100)</f>
        <v>0</v>
      </c>
      <c r="BE671" s="1114">
        <f>IF(AT671=0,0,(AU671-AT671)/AT671*100)</f>
        <v>0</v>
      </c>
      <c r="BF671" s="1114">
        <f>IF(AU671=0,0,(AV671-AU671)/AU671*100)</f>
        <v>0</v>
      </c>
      <c r="BG671" s="1114">
        <f>IF(AV671=0,0,(AW671-AV671)/AV671*100)</f>
        <v>0</v>
      </c>
      <c r="BH671" s="1114">
        <f>IF(AW671=0,0,(AX671-AW671)/AW671*100)</f>
        <v>0</v>
      </c>
      <c r="BI671" s="1114">
        <f>IF(AX671=0,0,(AY671-AX671)/AX671*100)</f>
        <v>0</v>
      </c>
      <c r="BJ671" s="1114">
        <f>IF(AY671=0,0,(AZ671-AY671)/AY671*100)</f>
        <v>0</v>
      </c>
      <c r="BK671" s="1114">
        <f>IF(AZ671=0,0,(BA671-AZ671)/AZ671*100)</f>
        <v>0</v>
      </c>
      <c r="BL671" s="1114">
        <f>IF(BA671=0,0,(BB671-BA671)/BA671*100)</f>
        <v>0</v>
      </c>
      <c r="BM671" s="1114">
        <f>IF(BB671=0,0,(BC671-BB671)/BB671*100)</f>
        <v>0</v>
      </c>
      <c r="BN671" s="7433"/>
      <c r="BO671" s="7437" t="str">
        <f>IF(_xlfn.IFERROR(INDEX(Налоги!$K$26:$L$101,MATCH($F671&amp;"2komm",Налоги!$K$26:$K$101,0),2),"")=0,"",_xlfn.IFERROR(INDEX(Налоги!$K$26:$L$101,MATCH($F671&amp;"2komm",Налоги!$K$26:$K$101,0),2),""))</f>
        <v/>
      </c>
      <c r="BP671" s="7433"/>
      <c r="BQ671" s="1278"/>
      <c r="BR671" s="1278"/>
      <c r="BS671" s="1064" t="s">
        <v>2776</v>
      </c>
      <c r="BT671" s="1064"/>
      <c r="BU671" s="1064"/>
      <c r="BV671" s="979"/>
      <c r="BW671" s="979"/>
    </row>
    <row s="1834" customFormat="1" customHeight="1" ht="0">
      <c r="A672" s="1278"/>
      <c r="B672" s="978"/>
      <c r="C672" s="107"/>
      <c r="D672" s="107"/>
      <c r="E672" s="621">
        <v>15</v>
      </c>
      <c r="F672" s="50" cm="1" t="str">
        <f t="array" ref="F672:F672">OFFSET(E672,-1,1)</f>
        <v>4</v>
      </c>
      <c r="G672" s="922">
        <v>4</v>
      </c>
      <c r="H672" s="107"/>
      <c r="I672" s="107" t="s">
        <v>2777</v>
      </c>
      <c r="J672" s="107"/>
      <c r="K672" s="107" t="s">
        <v>2777</v>
      </c>
      <c r="L672" s="980"/>
      <c r="M672" s="107"/>
      <c r="N672" s="107"/>
      <c r="O672" s="107"/>
      <c r="P672" s="107"/>
      <c r="Q672" s="107"/>
      <c r="R672" s="107"/>
      <c r="S672" s="107"/>
      <c r="T672" s="465" cm="1" t="str">
        <f t="array" ref="T672:T672">T671</f>
        <v>true</v>
      </c>
      <c r="U672" s="107"/>
      <c r="V672" s="107"/>
      <c r="W672" s="107"/>
      <c r="X672" s="1596"/>
      <c r="Y672" s="1278"/>
      <c r="Z672" s="1546"/>
      <c r="AA672" s="1278"/>
      <c r="AB672" s="300" t="s">
        <v>2778</v>
      </c>
      <c r="AC672" s="765" t="s">
        <v>2779</v>
      </c>
      <c r="AD672" s="300" t="s">
        <v>1514</v>
      </c>
      <c r="AE672" s="1114">
        <f>_xlfn.SUMIFS(Налоги!AE$25:AE$101,Налоги!$F$25:$F$101,$F672,Налоги!$AB$25:$AB$101,$G672)</f>
        <v>0</v>
      </c>
      <c r="AF672" s="1114">
        <f>_xlfn.SUMIFS(Налоги!AF$25:AF$101,Налоги!$F$25:$F$101,$F672,Налоги!$AB$25:$AB$101,$G672)</f>
        <v>0</v>
      </c>
      <c r="AG672" s="1114">
        <f>_xlfn.SUMIFS(Налоги!AG$25:AG$101,Налоги!$F$25:$F$101,$F672,Налоги!$AB$25:$AB$101,$G672)</f>
        <v>0</v>
      </c>
      <c r="AH672" s="1114">
        <f>AG672-AF672</f>
        <v>0</v>
      </c>
      <c r="AI672" s="1114">
        <f>_xlfn.SUMIFS(Налоги!AH$25:AH$101,Налоги!$F$25:$F$101,$F672,Налоги!$AB$25:$AB$101,$G672)</f>
        <v>0</v>
      </c>
      <c r="AJ672" s="1114">
        <f>_xlfn.SUMIFS(Налоги!AI$25:AI$101,Налоги!$F$25:$F$101,$F672,Налоги!$AB$25:$AB$101,$G672)</f>
        <v>0</v>
      </c>
      <c r="AK672" s="1114">
        <f>_xlfn.SUMIFS(Налоги!AJ$25:AJ$101,Налоги!$F$25:$F$101,$F672,Налоги!$AB$25:$AB$101,$G672)</f>
        <v>0</v>
      </c>
      <c r="AL672" s="1114">
        <f>_xlfn.SUMIFS(Налоги!AK$25:AK$101,Налоги!$F$25:$F$101,$F672,Налоги!$AB$25:$AB$101,$G672)</f>
        <v>0</v>
      </c>
      <c r="AM672" s="1114">
        <f>_xlfn.SUMIFS(Налоги!AL$25:AL$101,Налоги!$F$25:$F$101,$F672,Налоги!$AB$25:$AB$101,$G672)</f>
        <v>0</v>
      </c>
      <c r="AN672" s="1114">
        <f>_xlfn.SUMIFS(Налоги!AM$25:AM$101,Налоги!$F$25:$F$101,$F672,Налоги!$AB$25:$AB$101,$G672)</f>
        <v>0</v>
      </c>
      <c r="AO672" s="1114">
        <f>_xlfn.SUMIFS(Налоги!AN$25:AN$101,Налоги!$F$25:$F$101,$F672,Налоги!$AB$25:$AB$101,$G672)</f>
        <v>0</v>
      </c>
      <c r="AP672" s="1114">
        <f>_xlfn.SUMIFS(Налоги!AO$25:AO$101,Налоги!$F$25:$F$101,$F672,Налоги!$AB$25:$AB$101,$G672)</f>
        <v>0</v>
      </c>
      <c r="AQ672" s="1114">
        <f>_xlfn.SUMIFS(Налоги!AP$25:AP$101,Налоги!$F$25:$F$101,$F672,Налоги!$AB$25:$AB$101,$G672)</f>
        <v>0</v>
      </c>
      <c r="AR672" s="1114">
        <f>_xlfn.SUMIFS(Налоги!AQ$25:AQ$101,Налоги!$F$25:$F$101,$F672,Налоги!$AB$25:$AB$101,$G672)</f>
        <v>0</v>
      </c>
      <c r="AS672" s="1114">
        <f>_xlfn.SUMIFS(Налоги!AR$25:AR$101,Налоги!$F$25:$F$101,$F672,Налоги!$AB$25:$AB$101,$G672)</f>
        <v>0</v>
      </c>
      <c r="AT672" s="1114">
        <f>_xlfn.SUMIFS(Налоги!AS$25:AS$101,Налоги!$F$25:$F$101,$F672,Налоги!$AB$25:$AB$101,$G672)</f>
        <v>0</v>
      </c>
      <c r="AU672" s="1114">
        <f>_xlfn.SUMIFS(Налоги!AT$25:AT$101,Налоги!$F$25:$F$101,$F672,Налоги!$AB$25:$AB$101,$G672)</f>
        <v>0</v>
      </c>
      <c r="AV672" s="1114">
        <f>_xlfn.SUMIFS(Налоги!AU$25:AU$101,Налоги!$F$25:$F$101,$F672,Налоги!$AB$25:$AB$101,$G672)</f>
        <v>0</v>
      </c>
      <c r="AW672" s="1114">
        <f>_xlfn.SUMIFS(Налоги!AV$25:AV$101,Налоги!$F$25:$F$101,$F672,Налоги!$AB$25:$AB$101,$G672)</f>
        <v>0</v>
      </c>
      <c r="AX672" s="1114">
        <f>_xlfn.SUMIFS(Налоги!AW$25:AW$101,Налоги!$F$25:$F$101,$F672,Налоги!$AB$25:$AB$101,$G672)</f>
        <v>0</v>
      </c>
      <c r="AY672" s="1114">
        <f>_xlfn.SUMIFS(Налоги!AX$25:AX$101,Налоги!$F$25:$F$101,$F672,Налоги!$AB$25:$AB$101,$G672)</f>
        <v>0</v>
      </c>
      <c r="AZ672" s="1114">
        <f>_xlfn.SUMIFS(Налоги!AY$25:AY$101,Налоги!$F$25:$F$101,$F672,Налоги!$AB$25:$AB$101,$G672)</f>
        <v>0</v>
      </c>
      <c r="BA672" s="1114">
        <f>_xlfn.SUMIFS(Налоги!AZ$25:AZ$101,Налоги!$F$25:$F$101,$F672,Налоги!$AB$25:$AB$101,$G672)</f>
        <v>0</v>
      </c>
      <c r="BB672" s="1114">
        <f>_xlfn.SUMIFS(Налоги!BA$25:BA$101,Налоги!$F$25:$F$101,$F672,Налоги!$AB$25:$AB$101,$G672)</f>
        <v>0</v>
      </c>
      <c r="BC672" s="1114">
        <f>_xlfn.SUMIFS(Налоги!BB$25:BB$101,Налоги!$F$25:$F$101,$F672,Налоги!$AB$25:$AB$101,$G672)</f>
        <v>0</v>
      </c>
      <c r="BD672" s="1114">
        <f>IF(AI672=0,0,(AT672-AI672)/AI672*100)</f>
        <v>0</v>
      </c>
      <c r="BE672" s="1114">
        <f>IF(AT672=0,0,(AU672-AT672)/AT672*100)</f>
        <v>0</v>
      </c>
      <c r="BF672" s="1114">
        <f>IF(AU672=0,0,(AV672-AU672)/AU672*100)</f>
        <v>0</v>
      </c>
      <c r="BG672" s="1114">
        <f>IF(AV672=0,0,(AW672-AV672)/AV672*100)</f>
        <v>0</v>
      </c>
      <c r="BH672" s="1114">
        <f>IF(AW672=0,0,(AX672-AW672)/AW672*100)</f>
        <v>0</v>
      </c>
      <c r="BI672" s="1114">
        <f>IF(AX672=0,0,(AY672-AX672)/AX672*100)</f>
        <v>0</v>
      </c>
      <c r="BJ672" s="1114">
        <f>IF(AY672=0,0,(AZ672-AY672)/AY672*100)</f>
        <v>0</v>
      </c>
      <c r="BK672" s="1114">
        <f>IF(AZ672=0,0,(BA672-AZ672)/AZ672*100)</f>
        <v>0</v>
      </c>
      <c r="BL672" s="1114">
        <f>IF(BA672=0,0,(BB672-BA672)/BA672*100)</f>
        <v>0</v>
      </c>
      <c r="BM672" s="1114">
        <f>IF(BB672=0,0,(BC672-BB672)/BB672*100)</f>
        <v>0</v>
      </c>
      <c r="BN672" s="7433"/>
      <c r="BO672" s="7437" t="str">
        <f>IF(_xlfn.IFERROR(INDEX(Налоги!$K$26:$L$101,MATCH($F672&amp;"4komm",Налоги!$K$26:$K$101,0),2),"")=0,"",_xlfn.IFERROR(INDEX(Налоги!$K$26:$L$101,MATCH($F672&amp;"4komm",Налоги!$K$26:$K$101,0),2),""))</f>
        <v/>
      </c>
      <c r="BP672" s="7433"/>
      <c r="BQ672" s="1278"/>
      <c r="BR672" s="1278"/>
      <c r="BS672" s="1064" t="s">
        <v>2780</v>
      </c>
      <c r="BT672" s="1064"/>
      <c r="BU672" s="1064"/>
      <c r="BV672" s="979"/>
      <c r="BW672" s="979"/>
    </row>
    <row s="1834" customFormat="1" customHeight="1" ht="0">
      <c r="A673" s="1278"/>
      <c r="B673" s="978"/>
      <c r="C673" s="107"/>
      <c r="D673" s="107"/>
      <c r="E673" s="621">
        <v>15</v>
      </c>
      <c r="F673" s="50" cm="1" t="str">
        <f t="array" ref="F673:F673">OFFSET(E673,-1,1)</f>
        <v>4</v>
      </c>
      <c r="G673" s="922">
        <v>5</v>
      </c>
      <c r="H673" s="107"/>
      <c r="I673" s="107" t="s">
        <v>2781</v>
      </c>
      <c r="J673" s="107"/>
      <c r="K673" s="107" t="s">
        <v>2781</v>
      </c>
      <c r="L673" s="980"/>
      <c r="M673" s="107"/>
      <c r="N673" s="107"/>
      <c r="O673" s="107"/>
      <c r="P673" s="107"/>
      <c r="Q673" s="107"/>
      <c r="R673" s="107"/>
      <c r="S673" s="107"/>
      <c r="T673" s="465" cm="1" t="str">
        <f t="array" ref="T673:T673">T672</f>
        <v>true</v>
      </c>
      <c r="U673" s="107"/>
      <c r="V673" s="107"/>
      <c r="W673" s="107"/>
      <c r="X673" s="1596"/>
      <c r="Y673" s="1278"/>
      <c r="Z673" s="1546"/>
      <c r="AA673" s="1278"/>
      <c r="AB673" s="300" t="s">
        <v>2782</v>
      </c>
      <c r="AC673" s="765" t="s">
        <v>2783</v>
      </c>
      <c r="AD673" s="300" t="s">
        <v>1514</v>
      </c>
      <c r="AE673" s="1114">
        <f>_xlfn.SUMIFS(Налоги!AE$25:AE$101,Налоги!$F$25:$F$101,$F673,Налоги!$AB$25:$AB$101,$G673)</f>
        <v>0</v>
      </c>
      <c r="AF673" s="1114">
        <f>_xlfn.SUMIFS(Налоги!AF$25:AF$101,Налоги!$F$25:$F$101,$F673,Налоги!$AB$25:$AB$101,$G673)</f>
        <v>0</v>
      </c>
      <c r="AG673" s="1114">
        <f>_xlfn.SUMIFS(Налоги!AG$25:AG$101,Налоги!$F$25:$F$101,$F673,Налоги!$AB$25:$AB$101,$G673)</f>
        <v>0</v>
      </c>
      <c r="AH673" s="1114">
        <f>AG673-AF673</f>
        <v>0</v>
      </c>
      <c r="AI673" s="1114">
        <f>_xlfn.SUMIFS(Налоги!AH$25:AH$101,Налоги!$F$25:$F$101,$F673,Налоги!$AB$25:$AB$101,$G673)</f>
        <v>0</v>
      </c>
      <c r="AJ673" s="1114">
        <f>_xlfn.SUMIFS(Налоги!AI$25:AI$101,Налоги!$F$25:$F$101,$F673,Налоги!$AB$25:$AB$101,$G673)</f>
        <v>0</v>
      </c>
      <c r="AK673" s="1114">
        <f>_xlfn.SUMIFS(Налоги!AJ$25:AJ$101,Налоги!$F$25:$F$101,$F673,Налоги!$AB$25:$AB$101,$G673)</f>
        <v>0</v>
      </c>
      <c r="AL673" s="1114">
        <f>_xlfn.SUMIFS(Налоги!AK$25:AK$101,Налоги!$F$25:$F$101,$F673,Налоги!$AB$25:$AB$101,$G673)</f>
        <v>0</v>
      </c>
      <c r="AM673" s="1114">
        <f>_xlfn.SUMIFS(Налоги!AL$25:AL$101,Налоги!$F$25:$F$101,$F673,Налоги!$AB$25:$AB$101,$G673)</f>
        <v>0</v>
      </c>
      <c r="AN673" s="1114">
        <f>_xlfn.SUMIFS(Налоги!AM$25:AM$101,Налоги!$F$25:$F$101,$F673,Налоги!$AB$25:$AB$101,$G673)</f>
        <v>0</v>
      </c>
      <c r="AO673" s="1114">
        <f>_xlfn.SUMIFS(Налоги!AN$25:AN$101,Налоги!$F$25:$F$101,$F673,Налоги!$AB$25:$AB$101,$G673)</f>
        <v>0</v>
      </c>
      <c r="AP673" s="1114">
        <f>_xlfn.SUMIFS(Налоги!AO$25:AO$101,Налоги!$F$25:$F$101,$F673,Налоги!$AB$25:$AB$101,$G673)</f>
        <v>0</v>
      </c>
      <c r="AQ673" s="1114">
        <f>_xlfn.SUMIFS(Налоги!AP$25:AP$101,Налоги!$F$25:$F$101,$F673,Налоги!$AB$25:$AB$101,$G673)</f>
        <v>0</v>
      </c>
      <c r="AR673" s="1114">
        <f>_xlfn.SUMIFS(Налоги!AQ$25:AQ$101,Налоги!$F$25:$F$101,$F673,Налоги!$AB$25:$AB$101,$G673)</f>
        <v>0</v>
      </c>
      <c r="AS673" s="1114">
        <f>_xlfn.SUMIFS(Налоги!AR$25:AR$101,Налоги!$F$25:$F$101,$F673,Налоги!$AB$25:$AB$101,$G673)</f>
        <v>0</v>
      </c>
      <c r="AT673" s="1114">
        <f>_xlfn.SUMIFS(Налоги!AS$25:AS$101,Налоги!$F$25:$F$101,$F673,Налоги!$AB$25:$AB$101,$G673)</f>
        <v>0</v>
      </c>
      <c r="AU673" s="1114">
        <f>_xlfn.SUMIFS(Налоги!AT$25:AT$101,Налоги!$F$25:$F$101,$F673,Налоги!$AB$25:$AB$101,$G673)</f>
        <v>0</v>
      </c>
      <c r="AV673" s="1114">
        <f>_xlfn.SUMIFS(Налоги!AU$25:AU$101,Налоги!$F$25:$F$101,$F673,Налоги!$AB$25:$AB$101,$G673)</f>
        <v>0</v>
      </c>
      <c r="AW673" s="1114">
        <f>_xlfn.SUMIFS(Налоги!AV$25:AV$101,Налоги!$F$25:$F$101,$F673,Налоги!$AB$25:$AB$101,$G673)</f>
        <v>0</v>
      </c>
      <c r="AX673" s="1114">
        <f>_xlfn.SUMIFS(Налоги!AW$25:AW$101,Налоги!$F$25:$F$101,$F673,Налоги!$AB$25:$AB$101,$G673)</f>
        <v>0</v>
      </c>
      <c r="AY673" s="1114">
        <f>_xlfn.SUMIFS(Налоги!AX$25:AX$101,Налоги!$F$25:$F$101,$F673,Налоги!$AB$25:$AB$101,$G673)</f>
        <v>0</v>
      </c>
      <c r="AZ673" s="1114">
        <f>_xlfn.SUMIFS(Налоги!AY$25:AY$101,Налоги!$F$25:$F$101,$F673,Налоги!$AB$25:$AB$101,$G673)</f>
        <v>0</v>
      </c>
      <c r="BA673" s="1114">
        <f>_xlfn.SUMIFS(Налоги!AZ$25:AZ$101,Налоги!$F$25:$F$101,$F673,Налоги!$AB$25:$AB$101,$G673)</f>
        <v>0</v>
      </c>
      <c r="BB673" s="1114">
        <f>_xlfn.SUMIFS(Налоги!BA$25:BA$101,Налоги!$F$25:$F$101,$F673,Налоги!$AB$25:$AB$101,$G673)</f>
        <v>0</v>
      </c>
      <c r="BC673" s="1114">
        <f>_xlfn.SUMIFS(Налоги!BB$25:BB$101,Налоги!$F$25:$F$101,$F673,Налоги!$AB$25:$AB$101,$G673)</f>
        <v>0</v>
      </c>
      <c r="BD673" s="1114">
        <f>IF(AI673=0,0,(AT673-AI673)/AI673*100)</f>
        <v>0</v>
      </c>
      <c r="BE673" s="1114">
        <f>IF(AT673=0,0,(AU673-AT673)/AT673*100)</f>
        <v>0</v>
      </c>
      <c r="BF673" s="1114">
        <f>IF(AU673=0,0,(AV673-AU673)/AU673*100)</f>
        <v>0</v>
      </c>
      <c r="BG673" s="1114">
        <f>IF(AV673=0,0,(AW673-AV673)/AV673*100)</f>
        <v>0</v>
      </c>
      <c r="BH673" s="1114">
        <f>IF(AW673=0,0,(AX673-AW673)/AW673*100)</f>
        <v>0</v>
      </c>
      <c r="BI673" s="1114">
        <f>IF(AX673=0,0,(AY673-AX673)/AX673*100)</f>
        <v>0</v>
      </c>
      <c r="BJ673" s="1114">
        <f>IF(AY673=0,0,(AZ673-AY673)/AY673*100)</f>
        <v>0</v>
      </c>
      <c r="BK673" s="1114">
        <f>IF(AZ673=0,0,(BA673-AZ673)/AZ673*100)</f>
        <v>0</v>
      </c>
      <c r="BL673" s="1114">
        <f>IF(BA673=0,0,(BB673-BA673)/BA673*100)</f>
        <v>0</v>
      </c>
      <c r="BM673" s="1114">
        <f>IF(BB673=0,0,(BC673-BB673)/BB673*100)</f>
        <v>0</v>
      </c>
      <c r="BN673" s="7433"/>
      <c r="BO673" s="7437" t="str">
        <f>IF(_xlfn.IFERROR(INDEX(Налоги!$K$26:$L$101,MATCH($F673&amp;"5komm",Налоги!$K$26:$K$101,0),2),"")=0,"",_xlfn.IFERROR(INDEX(Налоги!$K$26:$L$101,MATCH($F673&amp;"5komm",Налоги!$K$26:$K$101,0),2),""))</f>
        <v/>
      </c>
      <c r="BP673" s="7433"/>
      <c r="BQ673" s="1278"/>
      <c r="BR673" s="1278"/>
      <c r="BS673" s="1064" t="s">
        <v>2784</v>
      </c>
      <c r="BT673" s="1064"/>
      <c r="BU673" s="1064"/>
      <c r="BV673" s="979"/>
      <c r="BW673" s="979"/>
    </row>
    <row s="1834" customFormat="1" customHeight="1" ht="0">
      <c r="A674" s="1278"/>
      <c r="B674" s="978"/>
      <c r="C674" s="107"/>
      <c r="D674" s="107"/>
      <c r="E674" s="621">
        <v>15</v>
      </c>
      <c r="F674" s="50" cm="1" t="str">
        <f t="array" ref="F674:F674">OFFSET(E674,-1,1)</f>
        <v>4</v>
      </c>
      <c r="G674" s="922">
        <v>1</v>
      </c>
      <c r="H674" s="107"/>
      <c r="I674" s="107" t="s">
        <v>2785</v>
      </c>
      <c r="J674" s="107"/>
      <c r="K674" s="107" t="s">
        <v>2785</v>
      </c>
      <c r="L674" s="980"/>
      <c r="M674" s="107"/>
      <c r="N674" s="107"/>
      <c r="O674" s="107"/>
      <c r="P674" s="107"/>
      <c r="Q674" s="107"/>
      <c r="R674" s="107"/>
      <c r="S674" s="107"/>
      <c r="T674" s="465" cm="1" t="str">
        <f t="array" ref="T674:T674">T673</f>
        <v>true</v>
      </c>
      <c r="U674" s="107"/>
      <c r="V674" s="107"/>
      <c r="W674" s="107"/>
      <c r="X674" s="1596"/>
      <c r="Y674" s="1278"/>
      <c r="Z674" s="1546"/>
      <c r="AA674" s="1278"/>
      <c r="AB674" s="300" t="s">
        <v>2786</v>
      </c>
      <c r="AC674" s="765" t="s">
        <v>2787</v>
      </c>
      <c r="AD674" s="300" t="s">
        <v>1514</v>
      </c>
      <c r="AE674" s="1114">
        <f>_xlfn.SUMIFS(Налоги!AE$25:AE$101,Налоги!$F$25:$F$101,$F674,Налоги!$AB$25:$AB$101,$G674)</f>
        <v>0</v>
      </c>
      <c r="AF674" s="1114">
        <f>_xlfn.SUMIFS(Налоги!AF$25:AF$101,Налоги!$F$25:$F$101,$F674,Налоги!$AB$25:$AB$101,$G674)</f>
        <v>0</v>
      </c>
      <c r="AG674" s="1114">
        <f>_xlfn.SUMIFS(Налоги!AG$25:AG$101,Налоги!$F$25:$F$101,$F674,Налоги!$AB$25:$AB$101,$G674)</f>
        <v>0</v>
      </c>
      <c r="AH674" s="1114">
        <f>AG674-AF674</f>
        <v>0</v>
      </c>
      <c r="AI674" s="1114">
        <f>_xlfn.SUMIFS(Налоги!AH$25:AH$101,Налоги!$F$25:$F$101,$F674,Налоги!$AB$25:$AB$101,$G674)</f>
        <v>0</v>
      </c>
      <c r="AJ674" s="1114">
        <f>_xlfn.SUMIFS(Налоги!AI$25:AI$101,Налоги!$F$25:$F$101,$F674,Налоги!$AB$25:$AB$101,$G674)</f>
        <v>0</v>
      </c>
      <c r="AK674" s="1114">
        <f>_xlfn.SUMIFS(Налоги!AJ$25:AJ$101,Налоги!$F$25:$F$101,$F674,Налоги!$AB$25:$AB$101,$G674)</f>
        <v>0</v>
      </c>
      <c r="AL674" s="1114">
        <f>_xlfn.SUMIFS(Налоги!AK$25:AK$101,Налоги!$F$25:$F$101,$F674,Налоги!$AB$25:$AB$101,$G674)</f>
        <v>0</v>
      </c>
      <c r="AM674" s="1114">
        <f>_xlfn.SUMIFS(Налоги!AL$25:AL$101,Налоги!$F$25:$F$101,$F674,Налоги!$AB$25:$AB$101,$G674)</f>
        <v>0</v>
      </c>
      <c r="AN674" s="1114">
        <f>_xlfn.SUMIFS(Налоги!AM$25:AM$101,Налоги!$F$25:$F$101,$F674,Налоги!$AB$25:$AB$101,$G674)</f>
        <v>0</v>
      </c>
      <c r="AO674" s="1114">
        <f>_xlfn.SUMIFS(Налоги!AN$25:AN$101,Налоги!$F$25:$F$101,$F674,Налоги!$AB$25:$AB$101,$G674)</f>
        <v>0</v>
      </c>
      <c r="AP674" s="1114">
        <f>_xlfn.SUMIFS(Налоги!AO$25:AO$101,Налоги!$F$25:$F$101,$F674,Налоги!$AB$25:$AB$101,$G674)</f>
        <v>0</v>
      </c>
      <c r="AQ674" s="1114">
        <f>_xlfn.SUMIFS(Налоги!AP$25:AP$101,Налоги!$F$25:$F$101,$F674,Налоги!$AB$25:$AB$101,$G674)</f>
        <v>0</v>
      </c>
      <c r="AR674" s="1114">
        <f>_xlfn.SUMIFS(Налоги!AQ$25:AQ$101,Налоги!$F$25:$F$101,$F674,Налоги!$AB$25:$AB$101,$G674)</f>
        <v>0</v>
      </c>
      <c r="AS674" s="1114">
        <f>_xlfn.SUMIFS(Налоги!AR$25:AR$101,Налоги!$F$25:$F$101,$F674,Налоги!$AB$25:$AB$101,$G674)</f>
        <v>0</v>
      </c>
      <c r="AT674" s="1114">
        <f>_xlfn.SUMIFS(Налоги!AS$25:AS$101,Налоги!$F$25:$F$101,$F674,Налоги!$AB$25:$AB$101,$G674)</f>
        <v>0</v>
      </c>
      <c r="AU674" s="1114">
        <f>_xlfn.SUMIFS(Налоги!AT$25:AT$101,Налоги!$F$25:$F$101,$F674,Налоги!$AB$25:$AB$101,$G674)</f>
        <v>0</v>
      </c>
      <c r="AV674" s="1114">
        <f>_xlfn.SUMIFS(Налоги!AU$25:AU$101,Налоги!$F$25:$F$101,$F674,Налоги!$AB$25:$AB$101,$G674)</f>
        <v>0</v>
      </c>
      <c r="AW674" s="1114">
        <f>_xlfn.SUMIFS(Налоги!AV$25:AV$101,Налоги!$F$25:$F$101,$F674,Налоги!$AB$25:$AB$101,$G674)</f>
        <v>0</v>
      </c>
      <c r="AX674" s="1114">
        <f>_xlfn.SUMIFS(Налоги!AW$25:AW$101,Налоги!$F$25:$F$101,$F674,Налоги!$AB$25:$AB$101,$G674)</f>
        <v>0</v>
      </c>
      <c r="AY674" s="1114">
        <f>_xlfn.SUMIFS(Налоги!AX$25:AX$101,Налоги!$F$25:$F$101,$F674,Налоги!$AB$25:$AB$101,$G674)</f>
        <v>0</v>
      </c>
      <c r="AZ674" s="1114">
        <f>_xlfn.SUMIFS(Налоги!AY$25:AY$101,Налоги!$F$25:$F$101,$F674,Налоги!$AB$25:$AB$101,$G674)</f>
        <v>0</v>
      </c>
      <c r="BA674" s="1114">
        <f>_xlfn.SUMIFS(Налоги!AZ$25:AZ$101,Налоги!$F$25:$F$101,$F674,Налоги!$AB$25:$AB$101,$G674)</f>
        <v>0</v>
      </c>
      <c r="BB674" s="1114">
        <f>_xlfn.SUMIFS(Налоги!BA$25:BA$101,Налоги!$F$25:$F$101,$F674,Налоги!$AB$25:$AB$101,$G674)</f>
        <v>0</v>
      </c>
      <c r="BC674" s="1114">
        <f>_xlfn.SUMIFS(Налоги!BB$25:BB$101,Налоги!$F$25:$F$101,$F674,Налоги!$AB$25:$AB$101,$G674)</f>
        <v>0</v>
      </c>
      <c r="BD674" s="1114">
        <f>IF(AI674=0,0,(AT674-AI674)/AI674*100)</f>
        <v>0</v>
      </c>
      <c r="BE674" s="1114">
        <f>IF(AT674=0,0,(AU674-AT674)/AT674*100)</f>
        <v>0</v>
      </c>
      <c r="BF674" s="1114">
        <f>IF(AU674=0,0,(AV674-AU674)/AU674*100)</f>
        <v>0</v>
      </c>
      <c r="BG674" s="1114">
        <f>IF(AV674=0,0,(AW674-AV674)/AV674*100)</f>
        <v>0</v>
      </c>
      <c r="BH674" s="1114">
        <f>IF(AW674=0,0,(AX674-AW674)/AW674*100)</f>
        <v>0</v>
      </c>
      <c r="BI674" s="1114">
        <f>IF(AX674=0,0,(AY674-AX674)/AX674*100)</f>
        <v>0</v>
      </c>
      <c r="BJ674" s="1114">
        <f>IF(AY674=0,0,(AZ674-AY674)/AY674*100)</f>
        <v>0</v>
      </c>
      <c r="BK674" s="1114">
        <f>IF(AZ674=0,0,(BA674-AZ674)/AZ674*100)</f>
        <v>0</v>
      </c>
      <c r="BL674" s="1114">
        <f>IF(BA674=0,0,(BB674-BA674)/BA674*100)</f>
        <v>0</v>
      </c>
      <c r="BM674" s="1114">
        <f>IF(BB674=0,0,(BC674-BB674)/BB674*100)</f>
        <v>0</v>
      </c>
      <c r="BN674" s="7433"/>
      <c r="BO674" s="7437" t="str">
        <f>IF(_xlfn.IFERROR(INDEX(Налоги!$K$26:$L$101,MATCH($F674&amp;"1komm",Налоги!$K$26:$K$101,0),2),"")=0,"",_xlfn.IFERROR(INDEX(Налоги!$K$26:$L$101,MATCH($F674&amp;"1komm",Налоги!$K$26:$K$101,0),2),""))</f>
        <v/>
      </c>
      <c r="BP674" s="7433"/>
      <c r="BQ674" s="1278"/>
      <c r="BR674" s="1278"/>
      <c r="BS674" s="1064" t="s">
        <v>2788</v>
      </c>
      <c r="BT674" s="1064"/>
      <c r="BU674" s="1064"/>
      <c r="BV674" s="979"/>
      <c r="BW674" s="979"/>
    </row>
    <row s="1834" customFormat="1" customHeight="1" ht="44.25">
      <c r="A675" s="1278"/>
      <c r="B675" s="978"/>
      <c r="C675" s="107"/>
      <c r="D675" s="107"/>
      <c r="E675" s="621">
        <v>15</v>
      </c>
      <c r="F675" s="50" cm="1" t="str">
        <f t="array" ref="F675:F675">OFFSET(E675,-1,1)</f>
        <v>4</v>
      </c>
      <c r="G675" s="922">
        <v>3</v>
      </c>
      <c r="H675" s="107"/>
      <c r="I675" s="107" t="s">
        <v>2789</v>
      </c>
      <c r="J675" s="107"/>
      <c r="K675" s="107" t="s">
        <v>2789</v>
      </c>
      <c r="L675" s="980"/>
      <c r="M675" s="107"/>
      <c r="N675" s="107"/>
      <c r="O675" s="107"/>
      <c r="P675" s="107"/>
      <c r="Q675" s="107"/>
      <c r="R675" s="107"/>
      <c r="S675" s="107"/>
      <c r="T675" s="465" cm="1" t="str">
        <f t="array" ref="T675:T675">T674</f>
        <v>true</v>
      </c>
      <c r="U675" s="107"/>
      <c r="V675" s="107"/>
      <c r="W675" s="107"/>
      <c r="X675" s="1596"/>
      <c r="Y675" s="1278"/>
      <c r="Z675" s="1546"/>
      <c r="AA675" s="1278"/>
      <c r="AB675" s="300" t="s">
        <v>2790</v>
      </c>
      <c r="AC675" s="765" t="s">
        <v>2791</v>
      </c>
      <c r="AD675" s="300" t="s">
        <v>1514</v>
      </c>
      <c r="AE675" s="1114">
        <f>_xlfn.SUMIFS(Налоги!AE$25:AE$101,Налоги!$F$25:$F$101,$F675,Налоги!$AB$25:$AB$101,$G675)</f>
        <v>0</v>
      </c>
      <c r="AF675" s="1114">
        <f>_xlfn.SUMIFS(Налоги!AF$25:AF$101,Налоги!$F$25:$F$101,$F675,Налоги!$AB$25:$AB$101,$G675)</f>
        <v>0</v>
      </c>
      <c r="AG675" s="1114">
        <f>_xlfn.SUMIFS(Налоги!AG$25:AG$101,Налоги!$F$25:$F$101,$F675,Налоги!$AB$25:$AB$101,$G675)</f>
        <v>0</v>
      </c>
      <c r="AH675" s="1114">
        <f>AG675-AF675</f>
        <v>0</v>
      </c>
      <c r="AI675" s="1114">
        <f>_xlfn.SUMIFS(Налоги!AH$25:AH$101,Налоги!$F$25:$F$101,$F675,Налоги!$AB$25:$AB$101,$G675)</f>
        <v>0</v>
      </c>
      <c r="AJ675" s="1114">
        <f>_xlfn.SUMIFS(Налоги!AI$25:AI$101,Налоги!$F$25:$F$101,$F675,Налоги!$AB$25:$AB$101,$G675)</f>
        <v>84.2106843428571</v>
      </c>
      <c r="AK675" s="1114">
        <f>_xlfn.SUMIFS(Налоги!AJ$25:AJ$101,Налоги!$F$25:$F$101,$F675,Налоги!$AB$25:$AB$101,$G675)</f>
        <v>87.5791117165714</v>
      </c>
      <c r="AL675" s="1114">
        <f>_xlfn.SUMIFS(Налоги!AK$25:AK$101,Налоги!$F$25:$F$101,$F675,Налоги!$AB$25:$AB$101,$G675)</f>
        <v>91.0822761852343</v>
      </c>
      <c r="AM675" s="1114">
        <f>_xlfn.SUMIFS(Налоги!AL$25:AL$101,Налоги!$F$25:$F$101,$F675,Налоги!$AB$25:$AB$101,$G675)</f>
        <v>94.7255672326437</v>
      </c>
      <c r="AN675" s="1114">
        <f>_xlfn.SUMIFS(Налоги!AM$25:AM$101,Налоги!$F$25:$F$101,$F675,Налоги!$AB$25:$AB$101,$G675)</f>
        <v>98.5145899219495</v>
      </c>
      <c r="AO675" s="1114">
        <f>_xlfn.SUMIFS(Налоги!AN$25:AN$101,Налоги!$F$25:$F$101,$F675,Налоги!$AB$25:$AB$101,$G675)</f>
        <v>0</v>
      </c>
      <c r="AP675" s="1114">
        <f>_xlfn.SUMIFS(Налоги!AO$25:AO$101,Налоги!$F$25:$F$101,$F675,Налоги!$AB$25:$AB$101,$G675)</f>
        <v>0</v>
      </c>
      <c r="AQ675" s="1114">
        <f>_xlfn.SUMIFS(Налоги!AP$25:AP$101,Налоги!$F$25:$F$101,$F675,Налоги!$AB$25:$AB$101,$G675)</f>
        <v>0</v>
      </c>
      <c r="AR675" s="1114">
        <f>_xlfn.SUMIFS(Налоги!AQ$25:AQ$101,Налоги!$F$25:$F$101,$F675,Налоги!$AB$25:$AB$101,$G675)</f>
        <v>0</v>
      </c>
      <c r="AS675" s="1114">
        <f>_xlfn.SUMIFS(Налоги!AR$25:AR$101,Налоги!$F$25:$F$101,$F675,Налоги!$AB$25:$AB$101,$G675)</f>
        <v>0</v>
      </c>
      <c r="AT675" s="1114">
        <f>_xlfn.SUMIFS(Налоги!AS$25:AS$101,Налоги!$F$25:$F$101,$F675,Налоги!$AB$25:$AB$101,$G675)</f>
        <v>84.2106843428571</v>
      </c>
      <c r="AU675" s="1114">
        <f>_xlfn.SUMIFS(Налоги!AT$25:AT$101,Налоги!$F$25:$F$101,$F675,Налоги!$AB$25:$AB$101,$G675)</f>
        <v>87.5791117165714</v>
      </c>
      <c r="AV675" s="1114">
        <f>_xlfn.SUMIFS(Налоги!AU$25:AU$101,Налоги!$F$25:$F$101,$F675,Налоги!$AB$25:$AB$101,$G675)</f>
        <v>91.0822761852343</v>
      </c>
      <c r="AW675" s="1114">
        <f>_xlfn.SUMIFS(Налоги!AV$25:AV$101,Налоги!$F$25:$F$101,$F675,Налоги!$AB$25:$AB$101,$G675)</f>
        <v>94.7255672326437</v>
      </c>
      <c r="AX675" s="1114">
        <f>_xlfn.SUMIFS(Налоги!AW$25:AW$101,Налоги!$F$25:$F$101,$F675,Налоги!$AB$25:$AB$101,$G675)</f>
        <v>98.5145899219495</v>
      </c>
      <c r="AY675" s="1114">
        <f>_xlfn.SUMIFS(Налоги!AX$25:AX$101,Налоги!$F$25:$F$101,$F675,Налоги!$AB$25:$AB$101,$G675)</f>
        <v>0</v>
      </c>
      <c r="AZ675" s="1114">
        <f>_xlfn.SUMIFS(Налоги!AY$25:AY$101,Налоги!$F$25:$F$101,$F675,Налоги!$AB$25:$AB$101,$G675)</f>
        <v>0</v>
      </c>
      <c r="BA675" s="1114">
        <f>_xlfn.SUMIFS(Налоги!AZ$25:AZ$101,Налоги!$F$25:$F$101,$F675,Налоги!$AB$25:$AB$101,$G675)</f>
        <v>0</v>
      </c>
      <c r="BB675" s="1114">
        <f>_xlfn.SUMIFS(Налоги!BA$25:BA$101,Налоги!$F$25:$F$101,$F675,Налоги!$AB$25:$AB$101,$G675)</f>
        <v>0</v>
      </c>
      <c r="BC675" s="1114">
        <f>_xlfn.SUMIFS(Налоги!BB$25:BB$101,Налоги!$F$25:$F$101,$F675,Налоги!$AB$25:$AB$101,$G675)</f>
        <v>0</v>
      </c>
      <c r="BD675" s="1114">
        <f>IF(AI675=0,0,(AT675-AI675)/AI675*100)</f>
        <v>0</v>
      </c>
      <c r="BE675" s="1114">
        <f>IF(AT675=0,0,(AU675-AT675)/AT675*100)</f>
        <v>4</v>
      </c>
      <c r="BF675" s="1114">
        <f>IF(AU675=0,0,(AV675-AU675)/AU675*100)</f>
        <v>4</v>
      </c>
      <c r="BG675" s="1114">
        <f>IF(AV675=0,0,(AW675-AV675)/AV675*100)</f>
        <v>4</v>
      </c>
      <c r="BH675" s="1114">
        <f>IF(AW675=0,0,(AX675-AW675)/AW675*100)</f>
        <v>4</v>
      </c>
      <c r="BI675" s="1114">
        <f>IF(AX675=0,0,(AY675-AX675)/AX675*100)</f>
        <v>-100</v>
      </c>
      <c r="BJ675" s="1114">
        <f>IF(AY675=0,0,(AZ675-AY675)/AY675*100)</f>
        <v>0</v>
      </c>
      <c r="BK675" s="1114">
        <f>IF(AZ675=0,0,(BA675-AZ675)/AZ675*100)</f>
        <v>0</v>
      </c>
      <c r="BL675" s="1114">
        <f>IF(BA675=0,0,(BB675-BA675)/BA675*100)</f>
        <v>0</v>
      </c>
      <c r="BM675" s="1114">
        <f>IF(BB675=0,0,(BC675-BB675)/BB675*100)</f>
        <v>0</v>
      </c>
      <c r="BN675" s="7433"/>
      <c r="BO675" s="7437" t="s">
        <v>2024</v>
      </c>
      <c r="BP675" s="7433"/>
      <c r="BQ675" s="1278"/>
      <c r="BR675" s="1278"/>
      <c r="BS675" s="1064" t="s">
        <v>2792</v>
      </c>
      <c r="BT675" s="1064"/>
      <c r="BU675" s="1064"/>
      <c r="BV675" s="979"/>
      <c r="BW675" s="979"/>
    </row>
    <row s="1834" customFormat="1" customHeight="1" ht="0">
      <c r="A676" s="1278"/>
      <c r="B676" s="978"/>
      <c r="C676" s="107"/>
      <c r="D676" s="107"/>
      <c r="E676" s="621">
        <v>15</v>
      </c>
      <c r="F676" s="50" cm="1" t="str">
        <f t="array" ref="F676:F676">OFFSET(E676,-1,1)</f>
        <v>4</v>
      </c>
      <c r="G676" s="922">
        <v>8</v>
      </c>
      <c r="H676" s="107"/>
      <c r="I676" s="107" t="s">
        <v>2793</v>
      </c>
      <c r="J676" s="107"/>
      <c r="K676" s="107" t="s">
        <v>2793</v>
      </c>
      <c r="L676" s="980"/>
      <c r="M676" s="107"/>
      <c r="N676" s="107"/>
      <c r="O676" s="107"/>
      <c r="P676" s="107"/>
      <c r="Q676" s="107"/>
      <c r="R676" s="107"/>
      <c r="S676" s="107"/>
      <c r="T676" s="465" cm="1" t="str">
        <f t="array" ref="T676:T676">T675</f>
        <v>true</v>
      </c>
      <c r="U676" s="107"/>
      <c r="V676" s="107"/>
      <c r="W676" s="107"/>
      <c r="X676" s="1596"/>
      <c r="Y676" s="1278"/>
      <c r="Z676" s="1546"/>
      <c r="AA676" s="1278"/>
      <c r="AB676" s="300" t="s">
        <v>2794</v>
      </c>
      <c r="AC676" s="765" t="s">
        <v>2795</v>
      </c>
      <c r="AD676" s="300" t="s">
        <v>1514</v>
      </c>
      <c r="AE676" s="1114">
        <f>_xlfn.SUMIFS(Налоги!AE$25:AE$101,Налоги!$F$25:$F$101,$F676,Налоги!$AB$25:$AB$101,$G676)</f>
        <v>0</v>
      </c>
      <c r="AF676" s="1114">
        <f>_xlfn.SUMIFS(Налоги!AF$25:AF$101,Налоги!$F$25:$F$101,$F676,Налоги!$AB$25:$AB$101,$G676)</f>
        <v>0</v>
      </c>
      <c r="AG676" s="1114">
        <f>_xlfn.SUMIFS(Налоги!AG$25:AG$101,Налоги!$F$25:$F$101,$F676,Налоги!$AB$25:$AB$101,$G676)</f>
        <v>0</v>
      </c>
      <c r="AH676" s="1114">
        <f>AG676-AF676</f>
        <v>0</v>
      </c>
      <c r="AI676" s="1114">
        <f>_xlfn.SUMIFS(Налоги!AH$25:AH$101,Налоги!$F$25:$F$101,$F676,Налоги!$AB$25:$AB$101,$G676)</f>
        <v>0</v>
      </c>
      <c r="AJ676" s="1114">
        <f>_xlfn.SUMIFS(Налоги!AI$25:AI$101,Налоги!$F$25:$F$101,$F676,Налоги!$AB$25:$AB$101,$G676)</f>
        <v>0</v>
      </c>
      <c r="AK676" s="1114">
        <f>_xlfn.SUMIFS(Налоги!AJ$25:AJ$101,Налоги!$F$25:$F$101,$F676,Налоги!$AB$25:$AB$101,$G676)</f>
        <v>0</v>
      </c>
      <c r="AL676" s="1114">
        <f>_xlfn.SUMIFS(Налоги!AK$25:AK$101,Налоги!$F$25:$F$101,$F676,Налоги!$AB$25:$AB$101,$G676)</f>
        <v>0</v>
      </c>
      <c r="AM676" s="1114">
        <f>_xlfn.SUMIFS(Налоги!AL$25:AL$101,Налоги!$F$25:$F$101,$F676,Налоги!$AB$25:$AB$101,$G676)</f>
        <v>0</v>
      </c>
      <c r="AN676" s="1114">
        <f>_xlfn.SUMIFS(Налоги!AM$25:AM$101,Налоги!$F$25:$F$101,$F676,Налоги!$AB$25:$AB$101,$G676)</f>
        <v>0</v>
      </c>
      <c r="AO676" s="1114">
        <f>_xlfn.SUMIFS(Налоги!AN$25:AN$101,Налоги!$F$25:$F$101,$F676,Налоги!$AB$25:$AB$101,$G676)</f>
        <v>0</v>
      </c>
      <c r="AP676" s="1114">
        <f>_xlfn.SUMIFS(Налоги!AO$25:AO$101,Налоги!$F$25:$F$101,$F676,Налоги!$AB$25:$AB$101,$G676)</f>
        <v>0</v>
      </c>
      <c r="AQ676" s="1114">
        <f>_xlfn.SUMIFS(Налоги!AP$25:AP$101,Налоги!$F$25:$F$101,$F676,Налоги!$AB$25:$AB$101,$G676)</f>
        <v>0</v>
      </c>
      <c r="AR676" s="1114">
        <f>_xlfn.SUMIFS(Налоги!AQ$25:AQ$101,Налоги!$F$25:$F$101,$F676,Налоги!$AB$25:$AB$101,$G676)</f>
        <v>0</v>
      </c>
      <c r="AS676" s="1114">
        <f>_xlfn.SUMIFS(Налоги!AR$25:AR$101,Налоги!$F$25:$F$101,$F676,Налоги!$AB$25:$AB$101,$G676)</f>
        <v>0</v>
      </c>
      <c r="AT676" s="1114">
        <f>_xlfn.SUMIFS(Налоги!AS$25:AS$101,Налоги!$F$25:$F$101,$F676,Налоги!$AB$25:$AB$101,$G676)</f>
        <v>0</v>
      </c>
      <c r="AU676" s="1114">
        <f>_xlfn.SUMIFS(Налоги!AT$25:AT$101,Налоги!$F$25:$F$101,$F676,Налоги!$AB$25:$AB$101,$G676)</f>
        <v>0</v>
      </c>
      <c r="AV676" s="1114">
        <f>_xlfn.SUMIFS(Налоги!AU$25:AU$101,Налоги!$F$25:$F$101,$F676,Налоги!$AB$25:$AB$101,$G676)</f>
        <v>0</v>
      </c>
      <c r="AW676" s="1114">
        <f>_xlfn.SUMIFS(Налоги!AV$25:AV$101,Налоги!$F$25:$F$101,$F676,Налоги!$AB$25:$AB$101,$G676)</f>
        <v>0</v>
      </c>
      <c r="AX676" s="1114">
        <f>_xlfn.SUMIFS(Налоги!AW$25:AW$101,Налоги!$F$25:$F$101,$F676,Налоги!$AB$25:$AB$101,$G676)</f>
        <v>0</v>
      </c>
      <c r="AY676" s="1114">
        <f>_xlfn.SUMIFS(Налоги!AX$25:AX$101,Налоги!$F$25:$F$101,$F676,Налоги!$AB$25:$AB$101,$G676)</f>
        <v>0</v>
      </c>
      <c r="AZ676" s="1114">
        <f>_xlfn.SUMIFS(Налоги!AY$25:AY$101,Налоги!$F$25:$F$101,$F676,Налоги!$AB$25:$AB$101,$G676)</f>
        <v>0</v>
      </c>
      <c r="BA676" s="1114">
        <f>_xlfn.SUMIFS(Налоги!AZ$25:AZ$101,Налоги!$F$25:$F$101,$F676,Налоги!$AB$25:$AB$101,$G676)</f>
        <v>0</v>
      </c>
      <c r="BB676" s="1114">
        <f>_xlfn.SUMIFS(Налоги!BA$25:BA$101,Налоги!$F$25:$F$101,$F676,Налоги!$AB$25:$AB$101,$G676)</f>
        <v>0</v>
      </c>
      <c r="BC676" s="1114">
        <f>_xlfn.SUMIFS(Налоги!BB$25:BB$101,Налоги!$F$25:$F$101,$F676,Налоги!$AB$25:$AB$101,$G676)</f>
        <v>0</v>
      </c>
      <c r="BD676" s="1114">
        <f>IF(AI676=0,0,(AT676-AI676)/AI676*100)</f>
        <v>0</v>
      </c>
      <c r="BE676" s="1114">
        <f>IF(AT676=0,0,(AU676-AT676)/AT676*100)</f>
        <v>0</v>
      </c>
      <c r="BF676" s="1114">
        <f>IF(AU676=0,0,(AV676-AU676)/AU676*100)</f>
        <v>0</v>
      </c>
      <c r="BG676" s="1114">
        <f>IF(AV676=0,0,(AW676-AV676)/AV676*100)</f>
        <v>0</v>
      </c>
      <c r="BH676" s="1114">
        <f>IF(AW676=0,0,(AX676-AW676)/AW676*100)</f>
        <v>0</v>
      </c>
      <c r="BI676" s="1114">
        <f>IF(AX676=0,0,(AY676-AX676)/AX676*100)</f>
        <v>0</v>
      </c>
      <c r="BJ676" s="1114">
        <f>IF(AY676=0,0,(AZ676-AY676)/AY676*100)</f>
        <v>0</v>
      </c>
      <c r="BK676" s="1114">
        <f>IF(AZ676=0,0,(BA676-AZ676)/AZ676*100)</f>
        <v>0</v>
      </c>
      <c r="BL676" s="1114">
        <f>IF(BA676=0,0,(BB676-BA676)/BA676*100)</f>
        <v>0</v>
      </c>
      <c r="BM676" s="1114">
        <f>IF(BB676=0,0,(BC676-BB676)/BB676*100)</f>
        <v>0</v>
      </c>
      <c r="BN676" s="7433"/>
      <c r="BO676" s="7437" t="str">
        <f>IF(_xlfn.IFERROR(INDEX(Налоги!$K$26:$L$101,MATCH($F676&amp;"8komm",Налоги!$K$26:$K$101,0),2),"")=0,"",_xlfn.IFERROR(INDEX(Налоги!$K$26:$L$101,MATCH($F676&amp;"8komm",Налоги!$K$26:$K$101,0),2),""))</f>
        <v/>
      </c>
      <c r="BP676" s="7433"/>
      <c r="BQ676" s="1278"/>
      <c r="BR676" s="1278"/>
      <c r="BS676" s="1064" t="s">
        <v>2017</v>
      </c>
      <c r="BT676" s="1064"/>
      <c r="BU676" s="1064"/>
      <c r="BV676" s="979"/>
      <c r="BW676" s="979"/>
    </row>
    <row s="1233" customFormat="1" customHeight="1" ht="0">
      <c r="A677" s="1233"/>
      <c r="B677" s="753"/>
      <c r="C677" s="107"/>
      <c r="D677" s="107"/>
      <c r="E677" s="621">
        <v>15</v>
      </c>
      <c r="F677" s="50" cm="1" t="str">
        <f t="array" ref="F677:F677">OFFSET(E677,-1,1)</f>
        <v>4</v>
      </c>
      <c r="G677" s="922">
        <v>9</v>
      </c>
      <c r="H677" s="107"/>
      <c r="I677" s="107"/>
      <c r="J677" s="107"/>
      <c r="K677" s="107"/>
      <c r="L677" s="980"/>
      <c r="M677" s="107"/>
      <c r="N677" s="107"/>
      <c r="O677" s="107"/>
      <c r="P677" s="107"/>
      <c r="Q677" s="107"/>
      <c r="R677" s="107"/>
      <c r="S677" s="107"/>
      <c r="T677" s="465" cm="1" t="str">
        <f t="array" ref="T677:T677">T676</f>
        <v>true</v>
      </c>
      <c r="U677" s="107"/>
      <c r="V677" s="107"/>
      <c r="W677" s="107"/>
      <c r="X677" s="1596"/>
      <c r="Y677" s="1233"/>
      <c r="Z677" s="1546"/>
      <c r="AA677" s="1233"/>
      <c r="AB677" s="300" t="s">
        <v>2796</v>
      </c>
      <c r="AC677" s="780" t="s">
        <v>2797</v>
      </c>
      <c r="AD677" s="300" t="s">
        <v>1514</v>
      </c>
      <c r="AE677" s="1114">
        <f>_xlfn.SUMIFS(Налоги!AE$25:AE$101,Налоги!$F$25:$F$101,$F677,Налоги!$AB$25:$AB$101,$G677)</f>
        <v>0</v>
      </c>
      <c r="AF677" s="1114">
        <f>_xlfn.SUMIFS(Налоги!AF$25:AF$101,Налоги!$F$25:$F$101,$F677,Налоги!$AB$25:$AB$101,$G677)</f>
        <v>0</v>
      </c>
      <c r="AG677" s="1114">
        <f>_xlfn.SUMIFS(Налоги!AG$25:AG$101,Налоги!$F$25:$F$101,$F677,Налоги!$AB$25:$AB$101,$G677)</f>
        <v>0</v>
      </c>
      <c r="AH677" s="1114">
        <f>AG677-AF677</f>
        <v>0</v>
      </c>
      <c r="AI677" s="1114">
        <f>_xlfn.SUMIFS(Налоги!AH$25:AH$101,Налоги!$F$25:$F$101,$F677,Налоги!$AB$25:$AB$101,$G677)</f>
        <v>0</v>
      </c>
      <c r="AJ677" s="1114">
        <f>_xlfn.SUMIFS(Налоги!AI$25:AI$101,Налоги!$F$25:$F$101,$F677,Налоги!$AB$25:$AB$101,$G677)</f>
        <v>0</v>
      </c>
      <c r="AK677" s="1114">
        <f>_xlfn.SUMIFS(Налоги!AJ$25:AJ$101,Налоги!$F$25:$F$101,$F677,Налоги!$AB$25:$AB$101,$G677)</f>
        <v>0</v>
      </c>
      <c r="AL677" s="1114">
        <f>_xlfn.SUMIFS(Налоги!AK$25:AK$101,Налоги!$F$25:$F$101,$F677,Налоги!$AB$25:$AB$101,$G677)</f>
        <v>0</v>
      </c>
      <c r="AM677" s="1114">
        <f>_xlfn.SUMIFS(Налоги!AL$25:AL$101,Налоги!$F$25:$F$101,$F677,Налоги!$AB$25:$AB$101,$G677)</f>
        <v>0</v>
      </c>
      <c r="AN677" s="1114">
        <f>_xlfn.SUMIFS(Налоги!AM$25:AM$101,Налоги!$F$25:$F$101,$F677,Налоги!$AB$25:$AB$101,$G677)</f>
        <v>0</v>
      </c>
      <c r="AO677" s="1114">
        <f>_xlfn.SUMIFS(Налоги!AN$25:AN$101,Налоги!$F$25:$F$101,$F677,Налоги!$AB$25:$AB$101,$G677)</f>
        <v>0</v>
      </c>
      <c r="AP677" s="1114">
        <f>_xlfn.SUMIFS(Налоги!AO$25:AO$101,Налоги!$F$25:$F$101,$F677,Налоги!$AB$25:$AB$101,$G677)</f>
        <v>0</v>
      </c>
      <c r="AQ677" s="1114">
        <f>_xlfn.SUMIFS(Налоги!AP$25:AP$101,Налоги!$F$25:$F$101,$F677,Налоги!$AB$25:$AB$101,$G677)</f>
        <v>0</v>
      </c>
      <c r="AR677" s="1114">
        <f>_xlfn.SUMIFS(Налоги!AQ$25:AQ$101,Налоги!$F$25:$F$101,$F677,Налоги!$AB$25:$AB$101,$G677)</f>
        <v>0</v>
      </c>
      <c r="AS677" s="1114">
        <f>_xlfn.SUMIFS(Налоги!AR$25:AR$101,Налоги!$F$25:$F$101,$F677,Налоги!$AB$25:$AB$101,$G677)</f>
        <v>0</v>
      </c>
      <c r="AT677" s="1114">
        <f>_xlfn.SUMIFS(Налоги!AS$25:AS$101,Налоги!$F$25:$F$101,$F677,Налоги!$AB$25:$AB$101,$G677)</f>
        <v>0</v>
      </c>
      <c r="AU677" s="1114">
        <f>_xlfn.SUMIFS(Налоги!AT$25:AT$101,Налоги!$F$25:$F$101,$F677,Налоги!$AB$25:$AB$101,$G677)</f>
        <v>0</v>
      </c>
      <c r="AV677" s="1114">
        <f>_xlfn.SUMIFS(Налоги!AU$25:AU$101,Налоги!$F$25:$F$101,$F677,Налоги!$AB$25:$AB$101,$G677)</f>
        <v>0</v>
      </c>
      <c r="AW677" s="1114">
        <f>_xlfn.SUMIFS(Налоги!AV$25:AV$101,Налоги!$F$25:$F$101,$F677,Налоги!$AB$25:$AB$101,$G677)</f>
        <v>0</v>
      </c>
      <c r="AX677" s="1114">
        <f>_xlfn.SUMIFS(Налоги!AW$25:AW$101,Налоги!$F$25:$F$101,$F677,Налоги!$AB$25:$AB$101,$G677)</f>
        <v>0</v>
      </c>
      <c r="AY677" s="1114">
        <f>_xlfn.SUMIFS(Налоги!AX$25:AX$101,Налоги!$F$25:$F$101,$F677,Налоги!$AB$25:$AB$101,$G677)</f>
        <v>0</v>
      </c>
      <c r="AZ677" s="1114">
        <f>_xlfn.SUMIFS(Налоги!AY$25:AY$101,Налоги!$F$25:$F$101,$F677,Налоги!$AB$25:$AB$101,$G677)</f>
        <v>0</v>
      </c>
      <c r="BA677" s="1114">
        <f>_xlfn.SUMIFS(Налоги!AZ$25:AZ$101,Налоги!$F$25:$F$101,$F677,Налоги!$AB$25:$AB$101,$G677)</f>
        <v>0</v>
      </c>
      <c r="BB677" s="1114">
        <f>_xlfn.SUMIFS(Налоги!BA$25:BA$101,Налоги!$F$25:$F$101,$F677,Налоги!$AB$25:$AB$101,$G677)</f>
        <v>0</v>
      </c>
      <c r="BC677" s="1114">
        <f>_xlfn.SUMIFS(Налоги!BB$25:BB$101,Налоги!$F$25:$F$101,$F677,Налоги!$AB$25:$AB$101,$G677)</f>
        <v>0</v>
      </c>
      <c r="BD677" s="1114">
        <f>IF(AI677=0,0,(AT677-AI677)/AI677*100)</f>
        <v>0</v>
      </c>
      <c r="BE677" s="1114">
        <f>IF(AT677=0,0,(AU677-AT677)/AT677*100)</f>
        <v>0</v>
      </c>
      <c r="BF677" s="1114">
        <f>IF(AU677=0,0,(AV677-AU677)/AU677*100)</f>
        <v>0</v>
      </c>
      <c r="BG677" s="1114">
        <f>IF(AV677=0,0,(AW677-AV677)/AV677*100)</f>
        <v>0</v>
      </c>
      <c r="BH677" s="1114">
        <f>IF(AW677=0,0,(AX677-AW677)/AW677*100)</f>
        <v>0</v>
      </c>
      <c r="BI677" s="1114">
        <f>IF(AX677=0,0,(AY677-AX677)/AX677*100)</f>
        <v>0</v>
      </c>
      <c r="BJ677" s="1114">
        <f>IF(AY677=0,0,(AZ677-AY677)/AY677*100)</f>
        <v>0</v>
      </c>
      <c r="BK677" s="1114">
        <f>IF(AZ677=0,0,(BA677-AZ677)/AZ677*100)</f>
        <v>0</v>
      </c>
      <c r="BL677" s="1114">
        <f>IF(BA677=0,0,(BB677-BA677)/BA677*100)</f>
        <v>0</v>
      </c>
      <c r="BM677" s="1114">
        <f>IF(BB677=0,0,(BC677-BB677)/BB677*100)</f>
        <v>0</v>
      </c>
      <c r="BN677" s="7433"/>
      <c r="BO677" s="7437" t="str">
        <f>IF(_xlfn.IFERROR(INDEX(Налоги!$K$26:$L$101,MATCH($F677&amp;"9komm",Налоги!$K$26:$K$101,0),2),"")=0,"",_xlfn.IFERROR(INDEX(Налоги!$K$26:$L$101,MATCH($F677&amp;"9komm",Налоги!$K$26:$K$101,0),2),""))</f>
        <v/>
      </c>
      <c r="BP677" s="7433"/>
      <c r="BQ677" s="1233"/>
      <c r="BR677" s="1233"/>
      <c r="BS677" s="1071" t="s">
        <v>2798</v>
      </c>
      <c r="BT677" s="1071"/>
      <c r="BU677" s="1071"/>
      <c r="BV677" s="1072"/>
      <c r="BW677" s="1072"/>
    </row>
    <row s="1834" customFormat="1" customHeight="1" ht="65.25">
      <c r="A678" s="1278"/>
      <c r="B678" s="978"/>
      <c r="C678" s="107"/>
      <c r="D678" s="107"/>
      <c r="E678" s="621">
        <v>15</v>
      </c>
      <c r="F678" s="50" cm="1" t="str">
        <f t="array" ref="F678:F678">OFFSET(E678,-1,1)</f>
        <v>4</v>
      </c>
      <c r="G678" s="922">
        <v>10</v>
      </c>
      <c r="H678" s="107"/>
      <c r="I678" s="107" t="s">
        <v>2799</v>
      </c>
      <c r="J678" s="107"/>
      <c r="K678" s="107" t="s">
        <v>2799</v>
      </c>
      <c r="L678" s="980"/>
      <c r="M678" s="107"/>
      <c r="N678" s="107"/>
      <c r="O678" s="107"/>
      <c r="P678" s="107"/>
      <c r="Q678" s="107"/>
      <c r="R678" s="107"/>
      <c r="S678" s="107"/>
      <c r="T678" s="465" cm="1" t="str">
        <f t="array" ref="T678:T678">T677</f>
        <v>true</v>
      </c>
      <c r="U678" s="107"/>
      <c r="V678" s="107"/>
      <c r="W678" s="107"/>
      <c r="X678" s="1596"/>
      <c r="Y678" s="1278"/>
      <c r="Z678" s="1546"/>
      <c r="AA678" s="1278"/>
      <c r="AB678" s="300" t="s">
        <v>2800</v>
      </c>
      <c r="AC678" s="781" t="s">
        <v>2801</v>
      </c>
      <c r="AD678" s="300" t="s">
        <v>1514</v>
      </c>
      <c r="AE678" s="1114">
        <f>_xlfn.SUMIFS(Налоги!AE$25:AE$101,Налоги!$F$25:$F$101,$F678,Налоги!$AB$25:$AB$101,$G678)</f>
        <v>0</v>
      </c>
      <c r="AF678" s="1114">
        <f>_xlfn.SUMIFS(Налоги!AF$25:AF$101,Налоги!$F$25:$F$101,$F678,Налоги!$AB$25:$AB$101,$G678)</f>
        <v>0</v>
      </c>
      <c r="AG678" s="1114">
        <f>_xlfn.SUMIFS(Налоги!AG$25:AG$101,Налоги!$F$25:$F$101,$F678,Налоги!$AB$25:$AB$101,$G678)</f>
        <v>0</v>
      </c>
      <c r="AH678" s="1114">
        <f>AG678-AF678</f>
        <v>0</v>
      </c>
      <c r="AI678" s="1114">
        <f>_xlfn.SUMIFS(Налоги!AH$25:AH$101,Налоги!$F$25:$F$101,$F678,Налоги!$AB$25:$AB$101,$G678)</f>
        <v>0</v>
      </c>
      <c r="AJ678" s="1114">
        <f>_xlfn.SUMIFS(Налоги!AI$25:AI$101,Налоги!$F$25:$F$101,$F678,Налоги!$AB$25:$AB$101,$G678)</f>
        <v>0</v>
      </c>
      <c r="AK678" s="1114">
        <f>_xlfn.SUMIFS(Налоги!AJ$25:AJ$101,Налоги!$F$25:$F$101,$F678,Налоги!$AB$25:$AB$101,$G678)</f>
        <v>0</v>
      </c>
      <c r="AL678" s="1114">
        <f>_xlfn.SUMIFS(Налоги!AK$25:AK$101,Налоги!$F$25:$F$101,$F678,Налоги!$AB$25:$AB$101,$G678)</f>
        <v>23.26</v>
      </c>
      <c r="AM678" s="1114">
        <f>_xlfn.SUMIFS(Налоги!AL$25:AL$101,Налоги!$F$25:$F$101,$F678,Налоги!$AB$25:$AB$101,$G678)</f>
        <v>130.75</v>
      </c>
      <c r="AN678" s="1114">
        <f>_xlfn.SUMIFS(Налоги!AM$25:AM$101,Налоги!$F$25:$F$101,$F678,Налоги!$AB$25:$AB$101,$G678)</f>
        <v>84.23</v>
      </c>
      <c r="AO678" s="1114">
        <f>_xlfn.SUMIFS(Налоги!AN$25:AN$101,Налоги!$F$25:$F$101,$F678,Налоги!$AB$25:$AB$101,$G678)</f>
        <v>0</v>
      </c>
      <c r="AP678" s="1114">
        <f>_xlfn.SUMIFS(Налоги!AO$25:AO$101,Налоги!$F$25:$F$101,$F678,Налоги!$AB$25:$AB$101,$G678)</f>
        <v>0</v>
      </c>
      <c r="AQ678" s="1114">
        <f>_xlfn.SUMIFS(Налоги!AP$25:AP$101,Налоги!$F$25:$F$101,$F678,Налоги!$AB$25:$AB$101,$G678)</f>
        <v>0</v>
      </c>
      <c r="AR678" s="1114">
        <f>_xlfn.SUMIFS(Налоги!AQ$25:AQ$101,Налоги!$F$25:$F$101,$F678,Налоги!$AB$25:$AB$101,$G678)</f>
        <v>0</v>
      </c>
      <c r="AS678" s="1114">
        <f>_xlfn.SUMIFS(Налоги!AR$25:AR$101,Налоги!$F$25:$F$101,$F678,Налоги!$AB$25:$AB$101,$G678)</f>
        <v>0</v>
      </c>
      <c r="AT678" s="1114">
        <f>_xlfn.SUMIFS(Налоги!AS$25:AS$101,Налоги!$F$25:$F$101,$F678,Налоги!$AB$25:$AB$101,$G678)</f>
        <v>0</v>
      </c>
      <c r="AU678" s="1114">
        <f>_xlfn.SUMIFS(Налоги!AT$25:AT$101,Налоги!$F$25:$F$101,$F678,Налоги!$AB$25:$AB$101,$G678)</f>
        <v>0</v>
      </c>
      <c r="AV678" s="1114">
        <f>_xlfn.SUMIFS(Налоги!AU$25:AU$101,Налоги!$F$25:$F$101,$F678,Налоги!$AB$25:$AB$101,$G678)</f>
        <v>23.26</v>
      </c>
      <c r="AW678" s="1114">
        <f>_xlfn.SUMIFS(Налоги!AV$25:AV$101,Налоги!$F$25:$F$101,$F678,Налоги!$AB$25:$AB$101,$G678)</f>
        <v>130.75</v>
      </c>
      <c r="AX678" s="1114">
        <f>_xlfn.SUMIFS(Налоги!AW$25:AW$101,Налоги!$F$25:$F$101,$F678,Налоги!$AB$25:$AB$101,$G678)</f>
        <v>84.23</v>
      </c>
      <c r="AY678" s="1114">
        <f>_xlfn.SUMIFS(Налоги!AX$25:AX$101,Налоги!$F$25:$F$101,$F678,Налоги!$AB$25:$AB$101,$G678)</f>
        <v>0</v>
      </c>
      <c r="AZ678" s="1114">
        <f>_xlfn.SUMIFS(Налоги!AY$25:AY$101,Налоги!$F$25:$F$101,$F678,Налоги!$AB$25:$AB$101,$G678)</f>
        <v>0</v>
      </c>
      <c r="BA678" s="1114">
        <f>_xlfn.SUMIFS(Налоги!AZ$25:AZ$101,Налоги!$F$25:$F$101,$F678,Налоги!$AB$25:$AB$101,$G678)</f>
        <v>0</v>
      </c>
      <c r="BB678" s="1114">
        <f>_xlfn.SUMIFS(Налоги!BA$25:BA$101,Налоги!$F$25:$F$101,$F678,Налоги!$AB$25:$AB$101,$G678)</f>
        <v>0</v>
      </c>
      <c r="BC678" s="1114">
        <f>_xlfn.SUMIFS(Налоги!BB$25:BB$101,Налоги!$F$25:$F$101,$F678,Налоги!$AB$25:$AB$101,$G678)</f>
        <v>0</v>
      </c>
      <c r="BD678" s="1114">
        <f>IF(AI678=0,0,(AT678-AI678)/AI678*100)</f>
        <v>0</v>
      </c>
      <c r="BE678" s="1114">
        <f>IF(AT678=0,0,(AU678-AT678)/AT678*100)</f>
        <v>0</v>
      </c>
      <c r="BF678" s="1114">
        <f>IF(AU678=0,0,(AV678-AU678)/AU678*100)</f>
        <v>0</v>
      </c>
      <c r="BG678" s="1114">
        <f>IF(AV678=0,0,(AW678-AV678)/AV678*100)</f>
        <v>462.123817712812</v>
      </c>
      <c r="BH678" s="1114">
        <f>IF(AW678=0,0,(AX678-AW678)/AW678*100)</f>
        <v>-35.5793499043977</v>
      </c>
      <c r="BI678" s="1114">
        <f>IF(AX678=0,0,(AY678-AX678)/AX678*100)</f>
        <v>-100</v>
      </c>
      <c r="BJ678" s="1114">
        <f>IF(AY678=0,0,(AZ678-AY678)/AY678*100)</f>
        <v>0</v>
      </c>
      <c r="BK678" s="1114">
        <f>IF(AZ678=0,0,(BA678-AZ678)/AZ678*100)</f>
        <v>0</v>
      </c>
      <c r="BL678" s="1114">
        <f>IF(BA678=0,0,(BB678-BA678)/BA678*100)</f>
        <v>0</v>
      </c>
      <c r="BM678" s="1114">
        <f>IF(BB678=0,0,(BC678-BB678)/BB678*100)</f>
        <v>0</v>
      </c>
      <c r="BN678" s="7433"/>
      <c r="BO678" s="7437" t="s">
        <v>2928</v>
      </c>
      <c r="BP678" s="7433"/>
      <c r="BQ678" s="1278"/>
      <c r="BR678" s="1278"/>
      <c r="BS678" s="1064" t="s">
        <v>2802</v>
      </c>
      <c r="BT678" s="1064"/>
      <c r="BU678" s="1064"/>
      <c r="BV678" s="979"/>
      <c r="BW678" s="979"/>
    </row>
    <row s="1834" customFormat="1" customHeight="1" ht="0">
      <c r="A679" s="1278"/>
      <c r="B679" s="978"/>
      <c r="C679" s="107"/>
      <c r="D679" s="107"/>
      <c r="E679" s="621">
        <v>67.5</v>
      </c>
      <c r="F679" s="50" cm="1" t="str">
        <f t="array" ref="F679:F679">OFFSET(E679,-1,1)</f>
        <v>4</v>
      </c>
      <c r="G679" s="107" t="s">
        <v>2178</v>
      </c>
      <c r="H679" s="107"/>
      <c r="I679" s="107" t="s">
        <v>1650</v>
      </c>
      <c r="J679" s="107"/>
      <c r="K679" s="158" t="s">
        <v>1650</v>
      </c>
      <c r="L679" s="980"/>
      <c r="M679" s="107"/>
      <c r="N679" s="107"/>
      <c r="O679" s="107"/>
      <c r="P679" s="107"/>
      <c r="Q679" s="107"/>
      <c r="R679" s="107"/>
      <c r="S679" s="107"/>
      <c r="T679" s="465" cm="1" t="str">
        <f t="array" ref="T679:T679">T678</f>
        <v>true</v>
      </c>
      <c r="U679" s="107"/>
      <c r="V679" s="107"/>
      <c r="W679" s="107"/>
      <c r="X679" s="1596"/>
      <c r="Y679" s="1278"/>
      <c r="Z679" s="1546"/>
      <c r="AA679" s="1278"/>
      <c r="AB679" s="300" t="s">
        <v>1651</v>
      </c>
      <c r="AC679" s="782" t="s">
        <v>2181</v>
      </c>
      <c r="AD679" s="300" t="s">
        <v>1514</v>
      </c>
      <c r="AE679" s="4750"/>
      <c r="AF679" s="4750"/>
      <c r="AG679" s="4750"/>
      <c r="AH679" s="1114">
        <f>AG679-AF679</f>
        <v>0</v>
      </c>
      <c r="AI679" s="4750"/>
      <c r="AJ679" s="4750"/>
      <c r="AK679" s="4750"/>
      <c r="AL679" s="4750"/>
      <c r="AM679" s="4750"/>
      <c r="AN679" s="4750"/>
      <c r="AO679" s="1244"/>
      <c r="AP679" s="1244"/>
      <c r="AQ679" s="1244"/>
      <c r="AR679" s="1244"/>
      <c r="AS679" s="1244"/>
      <c r="AT679" s="4750"/>
      <c r="AU679" s="4750"/>
      <c r="AV679" s="4750"/>
      <c r="AW679" s="4750"/>
      <c r="AX679" s="4750"/>
      <c r="AY679" s="1244"/>
      <c r="AZ679" s="1244"/>
      <c r="BA679" s="1244"/>
      <c r="BB679" s="1244"/>
      <c r="BC679" s="1244"/>
      <c r="BD679" s="1114">
        <f>IF(AI679=0,0,(AT679-AI679)/AI679*100)</f>
        <v>0</v>
      </c>
      <c r="BE679" s="1114">
        <f>IF(AT679=0,0,(AU679-AT679)/AT679*100)</f>
        <v>0</v>
      </c>
      <c r="BF679" s="1114">
        <f>IF(AU679=0,0,(AV679-AU679)/AU679*100)</f>
        <v>0</v>
      </c>
      <c r="BG679" s="1114">
        <f>IF(AV679=0,0,(AW679-AV679)/AV679*100)</f>
        <v>0</v>
      </c>
      <c r="BH679" s="1114">
        <f>IF(AW679=0,0,(AX679-AW679)/AW679*100)</f>
        <v>0</v>
      </c>
      <c r="BI679" s="1114">
        <f>IF(AX679=0,0,(AY679-AX679)/AX679*100)</f>
        <v>0</v>
      </c>
      <c r="BJ679" s="1114">
        <f>IF(AY679=0,0,(AZ679-AY679)/AY679*100)</f>
        <v>0</v>
      </c>
      <c r="BK679" s="1114">
        <f>IF(AZ679=0,0,(BA679-AZ679)/AZ679*100)</f>
        <v>0</v>
      </c>
      <c r="BL679" s="1114">
        <f>IF(BA679=0,0,(BB679-BA679)/BA679*100)</f>
        <v>0</v>
      </c>
      <c r="BM679" s="1114">
        <f>IF(BB679=0,0,(BC679-BB679)/BB679*100)</f>
        <v>0</v>
      </c>
      <c r="BN679" s="7433"/>
      <c r="BO679" s="7433"/>
      <c r="BP679" s="7433"/>
      <c r="BQ679" s="1278"/>
      <c r="BR679" s="1278"/>
      <c r="BS679" s="1064" t="s">
        <v>2803</v>
      </c>
      <c r="BT679" s="1064"/>
      <c r="BU679" s="1064"/>
      <c r="BV679" s="979"/>
      <c r="BW679" s="979"/>
    </row>
    <row s="1834" customFormat="1" customHeight="1" ht="44.25">
      <c r="A680" s="1278"/>
      <c r="B680" s="978"/>
      <c r="C680" s="107"/>
      <c r="D680" s="107"/>
      <c r="E680" s="621">
        <v>15</v>
      </c>
      <c r="F680" s="50" cm="1" t="str">
        <f t="array" ref="F680:F680">OFFSET(E680,-1,1)</f>
        <v>4</v>
      </c>
      <c r="G680" s="107" t="s">
        <v>1730</v>
      </c>
      <c r="H680" s="107"/>
      <c r="I680" s="107" t="s">
        <v>1653</v>
      </c>
      <c r="J680" s="107"/>
      <c r="K680" s="158" t="s">
        <v>1653</v>
      </c>
      <c r="L680" s="980" t="s">
        <v>1225</v>
      </c>
      <c r="M680" s="107"/>
      <c r="N680" s="107"/>
      <c r="O680" s="107"/>
      <c r="P680" s="107"/>
      <c r="Q680" s="107"/>
      <c r="R680" s="107"/>
      <c r="S680" s="107"/>
      <c r="T680" s="465" cm="1" t="str">
        <f t="array" ref="T680:T680">T679</f>
        <v>true</v>
      </c>
      <c r="U680" s="107"/>
      <c r="V680" s="107"/>
      <c r="W680" s="107"/>
      <c r="X680" s="1596"/>
      <c r="Y680" s="1278"/>
      <c r="Z680" s="1546"/>
      <c r="AA680" s="1278"/>
      <c r="AB680" s="300" t="s">
        <v>1654</v>
      </c>
      <c r="AC680" s="762" t="s">
        <v>1730</v>
      </c>
      <c r="AD680" s="300" t="s">
        <v>1514</v>
      </c>
      <c r="AE680" s="1114">
        <f>_xlfn.SUMIFS(Аренда!AE$25:AE$77,Аренда!$F$25:$F$77,$F680,Аренда!$G$25:$G$77,"Арендная и концессионная плата, лизинговые платежи")</f>
        <v>0</v>
      </c>
      <c r="AF680" s="1114">
        <f>_xlfn.SUMIFS(Аренда!AF$25:AF$77,Аренда!$F$25:$F$77,$F680,Аренда!$G$25:$G$77,"Арендная и концессионная плата, лизинговые платежи")</f>
        <v>0</v>
      </c>
      <c r="AG680" s="1114">
        <f>_xlfn.SUMIFS(Аренда!AG$25:AG$77,Аренда!$F$25:$F$77,$F680,Аренда!$G$25:$G$77,"Арендная и концессионная плата, лизинговые платежи")</f>
        <v>0</v>
      </c>
      <c r="AH680" s="1114">
        <f>AG680-AF680</f>
        <v>0</v>
      </c>
      <c r="AI680" s="1114">
        <f>_xlfn.SUMIFS(Аренда!AH$25:AH$77,Аренда!$F$25:$F$77,$F680,Аренда!$G$25:$G$77,"Арендная и концессионная плата, лизинговые платежи")</f>
        <v>0</v>
      </c>
      <c r="AJ680" s="1114">
        <f>_xlfn.SUMIFS(Аренда!AI$25:AI$77,Аренда!$F$25:$F$77,$F680,Аренда!$G$25:$G$77,"Арендная и концессионная плата, лизинговые платежи")</f>
        <v>972.24</v>
      </c>
      <c r="AK680" s="1114">
        <f>_xlfn.SUMIFS(Аренда!AJ$25:AJ$77,Аренда!$F$25:$F$77,$F680,Аренда!$G$25:$G$77,"Арендная и концессионная плата, лизинговые платежи")</f>
        <v>972.24</v>
      </c>
      <c r="AL680" s="1114">
        <f>_xlfn.SUMIFS(Аренда!AK$25:AK$77,Аренда!$F$25:$F$77,$F680,Аренда!$G$25:$G$77,"Арендная и концессионная плата, лизинговые платежи")</f>
        <v>972.24</v>
      </c>
      <c r="AM680" s="1114">
        <f>_xlfn.SUMIFS(Аренда!AL$25:AL$77,Аренда!$F$25:$F$77,$F680,Аренда!$G$25:$G$77,"Арендная и концессионная плата, лизинговые платежи")</f>
        <v>972.24</v>
      </c>
      <c r="AN680" s="1114">
        <f>_xlfn.SUMIFS(Аренда!AM$25:AM$77,Аренда!$F$25:$F$77,$F680,Аренда!$G$25:$G$77,"Арендная и концессионная плата, лизинговые платежи")</f>
        <v>972.24</v>
      </c>
      <c r="AO680" s="1114">
        <f>_xlfn.SUMIFS(Аренда!AN$25:AN$77,Аренда!$F$25:$F$77,$F680,Аренда!$G$25:$G$77,"Арендная и концессионная плата, лизинговые платежи")</f>
        <v>0</v>
      </c>
      <c r="AP680" s="1114">
        <f>_xlfn.SUMIFS(Аренда!AO$25:AO$77,Аренда!$F$25:$F$77,$F680,Аренда!$G$25:$G$77,"Арендная и концессионная плата, лизинговые платежи")</f>
        <v>0</v>
      </c>
      <c r="AQ680" s="1114">
        <f>_xlfn.SUMIFS(Аренда!AP$25:AP$77,Аренда!$F$25:$F$77,$F680,Аренда!$G$25:$G$77,"Арендная и концессионная плата, лизинговые платежи")</f>
        <v>0</v>
      </c>
      <c r="AR680" s="1114">
        <f>_xlfn.SUMIFS(Аренда!AQ$25:AQ$77,Аренда!$F$25:$F$77,$F680,Аренда!$G$25:$G$77,"Арендная и концессионная плата, лизинговые платежи")</f>
        <v>0</v>
      </c>
      <c r="AS680" s="1114">
        <f>_xlfn.SUMIFS(Аренда!AR$25:AR$77,Аренда!$F$25:$F$77,$F680,Аренда!$G$25:$G$77,"Арендная и концессионная плата, лизинговые платежи")</f>
        <v>0</v>
      </c>
      <c r="AT680" s="1114">
        <f>_xlfn.SUMIFS(Аренда!AS$25:AS$77,Аренда!$F$25:$F$77,$F680,Аренда!$G$25:$G$77,"Арендная и концессионная плата, лизинговые платежи")</f>
        <v>972.24</v>
      </c>
      <c r="AU680" s="1114">
        <f>_xlfn.SUMIFS(Аренда!AT$25:AT$77,Аренда!$F$25:$F$77,$F680,Аренда!$G$25:$G$77,"Арендная и концессионная плата, лизинговые платежи")</f>
        <v>972.24</v>
      </c>
      <c r="AV680" s="1114">
        <f>_xlfn.SUMIFS(Аренда!AU$25:AU$77,Аренда!$F$25:$F$77,$F680,Аренда!$G$25:$G$77,"Арендная и концессионная плата, лизинговые платежи")</f>
        <v>972.24</v>
      </c>
      <c r="AW680" s="1114">
        <f>_xlfn.SUMIFS(Аренда!AV$25:AV$77,Аренда!$F$25:$F$77,$F680,Аренда!$G$25:$G$77,"Арендная и концессионная плата, лизинговые платежи")</f>
        <v>972.24</v>
      </c>
      <c r="AX680" s="1114">
        <f>_xlfn.SUMIFS(Аренда!AW$25:AW$77,Аренда!$F$25:$F$77,$F680,Аренда!$G$25:$G$77,"Арендная и концессионная плата, лизинговые платежи")</f>
        <v>972.24</v>
      </c>
      <c r="AY680" s="1114">
        <f>_xlfn.SUMIFS(Аренда!AX$25:AX$77,Аренда!$F$25:$F$77,$F680,Аренда!$G$25:$G$77,"Арендная и концессионная плата, лизинговые платежи")</f>
        <v>0</v>
      </c>
      <c r="AZ680" s="1114">
        <f>_xlfn.SUMIFS(Аренда!AY$25:AY$77,Аренда!$F$25:$F$77,$F680,Аренда!$G$25:$G$77,"Арендная и концессионная плата, лизинговые платежи")</f>
        <v>0</v>
      </c>
      <c r="BA680" s="1114">
        <f>_xlfn.SUMIFS(Аренда!AZ$25:AZ$77,Аренда!$F$25:$F$77,$F680,Аренда!$G$25:$G$77,"Арендная и концессионная плата, лизинговые платежи")</f>
        <v>0</v>
      </c>
      <c r="BB680" s="1114">
        <f>_xlfn.SUMIFS(Аренда!BA$25:BA$77,Аренда!$F$25:$F$77,$F680,Аренда!$G$25:$G$77,"Арендная и концессионная плата, лизинговые платежи")</f>
        <v>0</v>
      </c>
      <c r="BC680" s="1114">
        <f>_xlfn.SUMIFS(Аренда!BB$25:BB$77,Аренда!$F$25:$F$77,$F680,Аренда!$G$25:$G$77,"Арендная и концессионная плата, лизинговые платежи")</f>
        <v>0</v>
      </c>
      <c r="BD680" s="1114">
        <f>IF(AI680=0,0,(AT680-AI680)/AI680*100)</f>
        <v>0</v>
      </c>
      <c r="BE680" s="1114">
        <f>IF(AT680=0,0,(AU680-AT680)/AT680*100)</f>
        <v>0</v>
      </c>
      <c r="BF680" s="1114">
        <f>IF(AU680=0,0,(AV680-AU680)/AU680*100)</f>
        <v>0</v>
      </c>
      <c r="BG680" s="1114">
        <f>IF(AV680=0,0,(AW680-AV680)/AV680*100)</f>
        <v>0</v>
      </c>
      <c r="BH680" s="1114">
        <f>IF(AW680=0,0,(AX680-AW680)/AW680*100)</f>
        <v>0</v>
      </c>
      <c r="BI680" s="1114">
        <f>IF(AX680=0,0,(AY680-AX680)/AX680*100)</f>
        <v>-100</v>
      </c>
      <c r="BJ680" s="1114">
        <f>IF(AY680=0,0,(AZ680-AY680)/AY680*100)</f>
        <v>0</v>
      </c>
      <c r="BK680" s="1114">
        <f>IF(AZ680=0,0,(BA680-AZ680)/AZ680*100)</f>
        <v>0</v>
      </c>
      <c r="BL680" s="1114">
        <f>IF(BA680=0,0,(BB680-BA680)/BA680*100)</f>
        <v>0</v>
      </c>
      <c r="BM680" s="1114">
        <f>IF(BB680=0,0,(BC680-BB680)/BB680*100)</f>
        <v>0</v>
      </c>
      <c r="BN680" s="7433"/>
      <c r="BO680" s="7487" t="s">
        <v>2929</v>
      </c>
      <c r="BP680" s="7433"/>
      <c r="BQ680" s="1278"/>
      <c r="BR680" s="1278"/>
      <c r="BS680" s="1064" t="s">
        <v>2804</v>
      </c>
      <c r="BT680" s="1064"/>
      <c r="BU680" s="1064"/>
      <c r="BV680" s="979"/>
      <c r="BW680" s="979"/>
    </row>
    <row s="1834" customFormat="1" customHeight="1" ht="0">
      <c r="A681" s="1278"/>
      <c r="B681" s="432">
        <f>STATUS_GO="да"</f>
        <v>1</v>
      </c>
      <c r="C681" s="107"/>
      <c r="D681" s="107"/>
      <c r="E681" s="621">
        <v>15</v>
      </c>
      <c r="F681" s="50" cm="1" t="str">
        <f t="array" ref="F681:F681">OFFSET(E681,-1,1)</f>
        <v>4</v>
      </c>
      <c r="G681" s="107"/>
      <c r="H681" s="107"/>
      <c r="I681" s="107" t="s">
        <v>2805</v>
      </c>
      <c r="J681" s="107"/>
      <c r="K681" s="158" t="s">
        <v>2805</v>
      </c>
      <c r="L681" s="980"/>
      <c r="M681" s="107"/>
      <c r="N681" s="107"/>
      <c r="O681" s="107"/>
      <c r="P681" s="107"/>
      <c r="Q681" s="107"/>
      <c r="R681" s="107"/>
      <c r="S681" s="107"/>
      <c r="T681" s="465" cm="1" t="str">
        <f t="array" ref="T681:T681">T680</f>
        <v>true</v>
      </c>
      <c r="U681" s="107"/>
      <c r="V681" s="107"/>
      <c r="W681" s="107"/>
      <c r="X681" s="1596"/>
      <c r="Y681" s="1278"/>
      <c r="Z681" s="1546"/>
      <c r="AA681" s="1278"/>
      <c r="AB681" s="300" t="s">
        <v>2245</v>
      </c>
      <c r="AC681" s="762" t="s">
        <v>2806</v>
      </c>
      <c r="AD681" s="300" t="s">
        <v>1514</v>
      </c>
      <c r="AE681" s="3946" cm="1" t="str">
        <f t="array" ref="AE681:AE681">AE682</f>
        <v>0</v>
      </c>
      <c r="AF681" s="3946" cm="1" t="str">
        <f t="array" ref="AF681:AF681">AF682</f>
        <v>0</v>
      </c>
      <c r="AG681" s="3946" cm="1" t="str">
        <f t="array" ref="AG681:AG681">AG682</f>
        <v>0</v>
      </c>
      <c r="AH681" s="1114">
        <f>AG681-AF681</f>
        <v>0</v>
      </c>
      <c r="AI681" s="3946" cm="1" t="str">
        <f t="array" ref="AI681:AI681">AI682</f>
        <v>0</v>
      </c>
      <c r="AJ681" s="3946" cm="1" t="str">
        <f t="array" ref="AJ681:AJ681">AJ682</f>
        <v>0</v>
      </c>
      <c r="AK681" s="3946" cm="1" t="str">
        <f t="array" ref="AK681:AK681">AK682</f>
        <v>0</v>
      </c>
      <c r="AL681" s="3946" cm="1" t="str">
        <f t="array" ref="AL681:AL681">AL682</f>
        <v>0</v>
      </c>
      <c r="AM681" s="3946" cm="1" t="str">
        <f t="array" ref="AM681:AM681">AM682</f>
        <v>0</v>
      </c>
      <c r="AN681" s="3946" cm="1" t="str">
        <f t="array" ref="AN681:AN681">AN682</f>
        <v>0</v>
      </c>
      <c r="AO681" s="1241" cm="1" t="str">
        <f t="array" ref="AO681:AO681">AO682</f>
        <v>0</v>
      </c>
      <c r="AP681" s="1241" cm="1" t="str">
        <f t="array" ref="AP681:AP681">AP682</f>
        <v>0</v>
      </c>
      <c r="AQ681" s="1241" cm="1" t="str">
        <f t="array" ref="AQ681:AQ681">AQ682</f>
        <v>0</v>
      </c>
      <c r="AR681" s="1241" cm="1" t="str">
        <f t="array" ref="AR681:AR681">AR682</f>
        <v>0</v>
      </c>
      <c r="AS681" s="1241" cm="1" t="str">
        <f t="array" ref="AS681:AS681">AS682</f>
        <v>0</v>
      </c>
      <c r="AT681" s="3946" cm="1" t="str">
        <f t="array" ref="AT681:AT681">AT682</f>
        <v>0</v>
      </c>
      <c r="AU681" s="3946" cm="1" t="str">
        <f t="array" ref="AU681:AU681">AU682</f>
        <v>0</v>
      </c>
      <c r="AV681" s="3946" cm="1" t="str">
        <f t="array" ref="AV681:AV681">AV682</f>
        <v>0</v>
      </c>
      <c r="AW681" s="3946" cm="1" t="str">
        <f t="array" ref="AW681:AW681">AW682</f>
        <v>0</v>
      </c>
      <c r="AX681" s="3946" cm="1" t="str">
        <f t="array" ref="AX681:AX681">AX682</f>
        <v>0</v>
      </c>
      <c r="AY681" s="1241" cm="1" t="str">
        <f t="array" ref="AY681:AY681">AY682</f>
        <v>0</v>
      </c>
      <c r="AZ681" s="1241" cm="1" t="str">
        <f t="array" ref="AZ681:AZ681">AZ682</f>
        <v>0</v>
      </c>
      <c r="BA681" s="1241" cm="1" t="str">
        <f t="array" ref="BA681:BA681">BA682</f>
        <v>0</v>
      </c>
      <c r="BB681" s="1241" cm="1" t="str">
        <f t="array" ref="BB681:BB681">BB682</f>
        <v>0</v>
      </c>
      <c r="BC681" s="1241" cm="1" t="str">
        <f t="array" ref="BC681:BC681">BC682</f>
        <v>0</v>
      </c>
      <c r="BD681" s="1114">
        <f>IF(AI681=0,0,(AT681-AI681)/AI681*100)</f>
        <v>0</v>
      </c>
      <c r="BE681" s="1114">
        <f>IF(AT681=0,0,(AU681-AT681)/AT681*100)</f>
        <v>0</v>
      </c>
      <c r="BF681" s="1114">
        <f>IF(AU681=0,0,(AV681-AU681)/AU681*100)</f>
        <v>0</v>
      </c>
      <c r="BG681" s="1114">
        <f>IF(AV681=0,0,(AW681-AV681)/AV681*100)</f>
        <v>0</v>
      </c>
      <c r="BH681" s="1114">
        <f>IF(AW681=0,0,(AX681-AW681)/AW681*100)</f>
        <v>0</v>
      </c>
      <c r="BI681" s="1114">
        <f>IF(AX681=0,0,(AY681-AX681)/AX681*100)</f>
        <v>0</v>
      </c>
      <c r="BJ681" s="1114">
        <f>IF(AY681=0,0,(AZ681-AY681)/AY681*100)</f>
        <v>0</v>
      </c>
      <c r="BK681" s="1114">
        <f>IF(AZ681=0,0,(BA681-AZ681)/AZ681*100)</f>
        <v>0</v>
      </c>
      <c r="BL681" s="1114">
        <f>IF(BA681=0,0,(BB681-BA681)/BA681*100)</f>
        <v>0</v>
      </c>
      <c r="BM681" s="1114">
        <f>IF(BB681=0,0,(BC681-BB681)/BB681*100)</f>
        <v>0</v>
      </c>
      <c r="BN681" s="7433"/>
      <c r="BO681" s="7433"/>
      <c r="BP681" s="7433"/>
      <c r="BQ681" s="1278"/>
      <c r="BR681" s="1278"/>
      <c r="BS681" s="1064" t="s">
        <v>2807</v>
      </c>
      <c r="BT681" s="1064"/>
      <c r="BU681" s="1064"/>
      <c r="BV681" s="979"/>
      <c r="BW681" s="979"/>
    </row>
    <row s="1834" customFormat="1" customHeight="1" ht="0">
      <c r="A682" s="1278"/>
      <c r="B682" s="432">
        <f>STATUS_GO="да"</f>
        <v>1</v>
      </c>
      <c r="C682" s="107"/>
      <c r="D682" s="107"/>
      <c r="E682" s="621">
        <v>15</v>
      </c>
      <c r="F682" s="50" cm="1" t="str">
        <f t="array" ref="F682:F682">OFFSET(E682,-1,1)</f>
        <v>4</v>
      </c>
      <c r="G682" s="107" t="s">
        <v>2187</v>
      </c>
      <c r="H682" s="107"/>
      <c r="I682" s="107" t="s">
        <v>2808</v>
      </c>
      <c r="J682" s="107"/>
      <c r="K682" s="158" t="s">
        <v>2808</v>
      </c>
      <c r="L682" s="980"/>
      <c r="M682" s="107"/>
      <c r="N682" s="107"/>
      <c r="O682" s="107"/>
      <c r="P682" s="107"/>
      <c r="Q682" s="107"/>
      <c r="R682" s="107"/>
      <c r="S682" s="107"/>
      <c r="T682" s="465" cm="1" t="str">
        <f t="array" ref="T682:T682">T681</f>
        <v>true</v>
      </c>
      <c r="U682" s="107"/>
      <c r="V682" s="107"/>
      <c r="W682" s="107"/>
      <c r="X682" s="1596"/>
      <c r="Y682" s="1278"/>
      <c r="Z682" s="1546"/>
      <c r="AA682" s="1278"/>
      <c r="AB682" s="300" t="s">
        <v>2809</v>
      </c>
      <c r="AC682" s="765" t="s">
        <v>2187</v>
      </c>
      <c r="AD682" s="300" t="s">
        <v>1514</v>
      </c>
      <c r="AE682" s="1114">
        <f>_xlfn.SUMIFS('Сбытовые расходы ГО'!AE$25:AE$87,'Сбытовые расходы ГО'!$F$25:$F$87,$F682,'Сбытовые расходы ГО'!$G$25:$G$87,"l1")</f>
        <v>0</v>
      </c>
      <c r="AF682" s="1114">
        <f>_xlfn.SUMIFS('Сбытовые расходы ГО'!AF$25:AF$87,'Сбытовые расходы ГО'!$F$25:$F$87,$F682,'Сбытовые расходы ГО'!$G$25:$G$87,"l1")</f>
        <v>0</v>
      </c>
      <c r="AG682" s="1114">
        <f>_xlfn.SUMIFS('Сбытовые расходы ГО'!AG$25:AG$87,'Сбытовые расходы ГО'!$F$25:$F$87,$F682,'Сбытовые расходы ГО'!$G$25:$G$87,"l1")</f>
        <v>0</v>
      </c>
      <c r="AH682" s="1114">
        <f>AG682-AF682</f>
        <v>0</v>
      </c>
      <c r="AI682" s="1114">
        <f>_xlfn.SUMIFS('Сбытовые расходы ГО'!AH$25:AH$87,'Сбытовые расходы ГО'!$F$25:$F$87,$F682,'Сбытовые расходы ГО'!$G$25:$G$87,"l1")</f>
        <v>0</v>
      </c>
      <c r="AJ682" s="1114">
        <f>_xlfn.SUMIFS('Сбытовые расходы ГО'!AI$25:AI$87,'Сбытовые расходы ГО'!$F$25:$F$87,$F682,'Сбытовые расходы ГО'!$G$25:$G$87,"l1")</f>
        <v>0</v>
      </c>
      <c r="AK682" s="3946"/>
      <c r="AL682" s="3946"/>
      <c r="AM682" s="3946"/>
      <c r="AN682" s="3946"/>
      <c r="AO682" s="1241"/>
      <c r="AP682" s="1241"/>
      <c r="AQ682" s="1241"/>
      <c r="AR682" s="1241"/>
      <c r="AS682" s="1241"/>
      <c r="AT682" s="1114">
        <f>_xlfn.SUMIFS('Сбытовые расходы ГО'!AJ$25:AJ$87,'Сбытовые расходы ГО'!$F$25:$F$87,$F682,'Сбытовые расходы ГО'!$G$25:$G$87,"l1")</f>
        <v>0</v>
      </c>
      <c r="AU682" s="3946"/>
      <c r="AV682" s="3946"/>
      <c r="AW682" s="3946"/>
      <c r="AX682" s="3946"/>
      <c r="AY682" s="1241"/>
      <c r="AZ682" s="1241"/>
      <c r="BA682" s="1241"/>
      <c r="BB682" s="1241"/>
      <c r="BC682" s="1241"/>
      <c r="BD682" s="1114">
        <f>IF(AI682=0,0,(AT682-AI682)/AI682*100)</f>
        <v>0</v>
      </c>
      <c r="BE682" s="1114">
        <f>IF(AT682=0,0,(AU682-AT682)/AT682*100)</f>
        <v>0</v>
      </c>
      <c r="BF682" s="1114">
        <f>IF(AU682=0,0,(AV682-AU682)/AU682*100)</f>
        <v>0</v>
      </c>
      <c r="BG682" s="1114">
        <f>IF(AV682=0,0,(AW682-AV682)/AV682*100)</f>
        <v>0</v>
      </c>
      <c r="BH682" s="1114">
        <f>IF(AW682=0,0,(AX682-AW682)/AW682*100)</f>
        <v>0</v>
      </c>
      <c r="BI682" s="1114">
        <f>IF(AX682=0,0,(AY682-AX682)/AX682*100)</f>
        <v>0</v>
      </c>
      <c r="BJ682" s="1114">
        <f>IF(AY682=0,0,(AZ682-AY682)/AY682*100)</f>
        <v>0</v>
      </c>
      <c r="BK682" s="1114">
        <f>IF(AZ682=0,0,(BA682-AZ682)/AZ682*100)</f>
        <v>0</v>
      </c>
      <c r="BL682" s="1114">
        <f>IF(BA682=0,0,(BB682-BA682)/BA682*100)</f>
        <v>0</v>
      </c>
      <c r="BM682" s="1114">
        <f>IF(BB682=0,0,(BC682-BB682)/BB682*100)</f>
        <v>0</v>
      </c>
      <c r="BN682" s="7433"/>
      <c r="BO682" s="7487" t="str">
        <f>IF(_xlfn.IFERROR(INDEX('Сбытовые расходы ГО'!$K$26:$M$87,MATCH($F682&amp;"komm",'Сбытовые расходы ГО'!$K$26:$K$87,0),2),"")=0,"",_xlfn.IFERROR(INDEX('Сбытовые расходы ГО'!$K$26:$M$87,MATCH($F682&amp;"komm",'Сбытовые расходы ГО'!$K$26:$K$87,0),2),""))</f>
        <v/>
      </c>
      <c r="BP682" s="7433"/>
      <c r="BQ682" s="1278"/>
      <c r="BR682" s="1278"/>
      <c r="BS682" s="1064" t="s">
        <v>2810</v>
      </c>
      <c r="BT682" s="1064"/>
      <c r="BU682" s="1064"/>
      <c r="BV682" s="979"/>
      <c r="BW682" s="979"/>
    </row>
    <row s="1834" customFormat="1" customHeight="1" ht="0">
      <c r="A683" s="1278"/>
      <c r="B683" s="978"/>
      <c r="C683" s="107"/>
      <c r="D683" s="107"/>
      <c r="E683" s="621">
        <v>15</v>
      </c>
      <c r="F683" s="50" cm="1" t="str">
        <f t="array" ref="F683:F683">OFFSET(E683,-1,1)</f>
        <v>4</v>
      </c>
      <c r="G683" s="107" t="s">
        <v>2192</v>
      </c>
      <c r="H683" s="107"/>
      <c r="I683" s="107" t="s">
        <v>2811</v>
      </c>
      <c r="J683" s="107"/>
      <c r="K683" s="158" t="s">
        <v>2811</v>
      </c>
      <c r="L683" s="980"/>
      <c r="M683" s="107"/>
      <c r="N683" s="107"/>
      <c r="O683" s="107"/>
      <c r="P683" s="107"/>
      <c r="Q683" s="107"/>
      <c r="R683" s="107"/>
      <c r="S683" s="107"/>
      <c r="T683" s="465" cm="1" t="str">
        <f t="array" ref="T683:T683">T682</f>
        <v>true</v>
      </c>
      <c r="U683" s="107"/>
      <c r="V683" s="107"/>
      <c r="W683" s="107"/>
      <c r="X683" s="1596"/>
      <c r="Y683" s="1278"/>
      <c r="Z683" s="1546"/>
      <c r="AA683" s="1278"/>
      <c r="AB683" s="300" t="s">
        <v>2250</v>
      </c>
      <c r="AC683" s="762" t="s">
        <v>2192</v>
      </c>
      <c r="AD683" s="300" t="s">
        <v>1514</v>
      </c>
      <c r="AE683" s="3946"/>
      <c r="AF683" s="3946"/>
      <c r="AG683" s="3946"/>
      <c r="AH683" s="1114">
        <f>AG683-AF683</f>
        <v>0</v>
      </c>
      <c r="AI683" s="3946"/>
      <c r="AJ683" s="3946">
        <f>_xlfn.SUMIFS(Экономия_корр!AE$25:AE$67,Экономия_корр!$F$25:$F$67,$F683,Экономия_корр!$AC$25:$AC$67,"Экономия расходов с учетом ИПЦ")</f>
        <v>0</v>
      </c>
      <c r="AK683" s="3946">
        <f>_xlfn.SUMIFS(Экономия_корр!AF$25:AF$67,Экономия_корр!$F$25:$F$67,$F683,Экономия_корр!$AC$25:$AC$67,"Экономия расходов с учетом ИПЦ")</f>
        <v>0</v>
      </c>
      <c r="AL683" s="3946">
        <f>_xlfn.SUMIFS(Экономия_корр!AG$25:AG$67,Экономия_корр!$F$25:$F$67,$F683,Экономия_корр!$AC$25:$AC$67,"Экономия расходов с учетом ИПЦ")</f>
        <v>0</v>
      </c>
      <c r="AM683" s="3946">
        <f>_xlfn.SUMIFS(Экономия_корр!AH$25:AH$67,Экономия_корр!$F$25:$F$67,$F683,Экономия_корр!$AC$25:$AC$67,"Экономия расходов с учетом ИПЦ")</f>
        <v>0</v>
      </c>
      <c r="AN683" s="3946">
        <f>_xlfn.SUMIFS(Экономия_корр!AI$25:AI$67,Экономия_корр!$F$25:$F$67,$F683,Экономия_корр!$AC$25:$AC$67,"Экономия расходов с учетом ИПЦ")</f>
        <v>0</v>
      </c>
      <c r="AO683" s="1241">
        <f>_xlfn.SUMIFS(Экономия_корр!AJ$25:AJ$67,Экономия_корр!$F$25:$F$67,$F683,Экономия_корр!$AC$25:$AC$67,"Экономия расходов с учетом ИПЦ")</f>
        <v>0</v>
      </c>
      <c r="AP683" s="1241">
        <f>_xlfn.SUMIFS(Экономия_корр!AK$25:AK$67,Экономия_корр!$F$25:$F$67,$F683,Экономия_корр!$AC$25:$AC$67,"Экономия расходов с учетом ИПЦ")</f>
        <v>0</v>
      </c>
      <c r="AQ683" s="1241">
        <f>_xlfn.SUMIFS(Экономия_корр!AL$25:AL$67,Экономия_корр!$F$25:$F$67,$F683,Экономия_корр!$AC$25:$AC$67,"Экономия расходов с учетом ИПЦ")</f>
        <v>0</v>
      </c>
      <c r="AR683" s="1241">
        <f>_xlfn.SUMIFS(Экономия_корр!AM$25:AM$67,Экономия_корр!$F$25:$F$67,$F683,Экономия_корр!$AC$25:$AC$67,"Экономия расходов с учетом ИПЦ")</f>
        <v>0</v>
      </c>
      <c r="AS683" s="1241">
        <f>_xlfn.SUMIFS(Экономия_корр!AN$25:AN$67,Экономия_корр!$F$25:$F$67,$F683,Экономия_корр!$AC$25:$AC$67,"Экономия расходов с учетом ИПЦ")</f>
        <v>0</v>
      </c>
      <c r="AT683" s="3946">
        <f>_xlfn.SUMIFS(Экономия_корр!AO$25:AO$67,Экономия_корр!$F$25:$F$67,$F683,Экономия_корр!$AC$25:$AC$67,"Экономия расходов с учетом ИПЦ")</f>
        <v>0</v>
      </c>
      <c r="AU683" s="3946">
        <f>_xlfn.SUMIFS(Экономия_корр!AP$25:AP$67,Экономия_корр!$F$25:$F$67,$F683,Экономия_корр!$AC$25:$AC$67,"Экономия расходов с учетом ИПЦ")</f>
        <v>0</v>
      </c>
      <c r="AV683" s="3946">
        <f>_xlfn.SUMIFS(Экономия_корр!AQ$25:AQ$67,Экономия_корр!$F$25:$F$67,$F683,Экономия_корр!$AC$25:$AC$67,"Экономия расходов с учетом ИПЦ")</f>
        <v>0</v>
      </c>
      <c r="AW683" s="3946">
        <f>_xlfn.SUMIFS(Экономия_корр!AR$25:AR$67,Экономия_корр!$F$25:$F$67,$F683,Экономия_корр!$AC$25:$AC$67,"Экономия расходов с учетом ИПЦ")</f>
        <v>0</v>
      </c>
      <c r="AX683" s="3946">
        <f>_xlfn.SUMIFS(Экономия_корр!AS$25:AS$67,Экономия_корр!$F$25:$F$67,$F683,Экономия_корр!$AC$25:$AC$67,"Экономия расходов с учетом ИПЦ")</f>
        <v>0</v>
      </c>
      <c r="AY683" s="1241">
        <f>_xlfn.SUMIFS(Экономия_корр!AT$25:AT$67,Экономия_корр!$F$25:$F$67,$F683,Экономия_корр!$AC$25:$AC$67,"Экономия расходов с учетом ИПЦ")</f>
        <v>0</v>
      </c>
      <c r="AZ683" s="1241">
        <f>_xlfn.SUMIFS(Экономия_корр!AU$25:AU$67,Экономия_корр!$F$25:$F$67,$F683,Экономия_корр!$AC$25:$AC$67,"Экономия расходов с учетом ИПЦ")</f>
        <v>0</v>
      </c>
      <c r="BA683" s="1241">
        <f>_xlfn.SUMIFS(Экономия_корр!AV$25:AV$67,Экономия_корр!$F$25:$F$67,$F683,Экономия_корр!$AC$25:$AC$67,"Экономия расходов с учетом ИПЦ")</f>
        <v>0</v>
      </c>
      <c r="BB683" s="1241">
        <f>_xlfn.SUMIFS(Экономия_корр!AW$25:AW$67,Экономия_корр!$F$25:$F$67,$F683,Экономия_корр!$AC$25:$AC$67,"Экономия расходов с учетом ИПЦ")</f>
        <v>0</v>
      </c>
      <c r="BC683" s="1241">
        <f>_xlfn.SUMIFS(Экономия_корр!AX$25:AX$67,Экономия_корр!$F$25:$F$67,$F683,Экономия_корр!$AC$25:$AC$67,"Экономия расходов с учетом ИПЦ")</f>
        <v>0</v>
      </c>
      <c r="BD683" s="1114">
        <f>IF(AI683=0,0,(AT683-AI683)/AI683*100)</f>
        <v>0</v>
      </c>
      <c r="BE683" s="1114">
        <f>IF(AT683=0,0,(AU683-AT683)/AT683*100)</f>
        <v>0</v>
      </c>
      <c r="BF683" s="1114">
        <f>IF(AU683=0,0,(AV683-AU683)/AU683*100)</f>
        <v>0</v>
      </c>
      <c r="BG683" s="1114">
        <f>IF(AV683=0,0,(AW683-AV683)/AV683*100)</f>
        <v>0</v>
      </c>
      <c r="BH683" s="1114">
        <f>IF(AW683=0,0,(AX683-AW683)/AW683*100)</f>
        <v>0</v>
      </c>
      <c r="BI683" s="1114">
        <f>IF(AX683=0,0,(AY683-AX683)/AX683*100)</f>
        <v>0</v>
      </c>
      <c r="BJ683" s="1114">
        <f>IF(AY683=0,0,(AZ683-AY683)/AY683*100)</f>
        <v>0</v>
      </c>
      <c r="BK683" s="1114">
        <f>IF(AZ683=0,0,(BA683-AZ683)/AZ683*100)</f>
        <v>0</v>
      </c>
      <c r="BL683" s="1114">
        <f>IF(BA683=0,0,(BB683-BA683)/BA683*100)</f>
        <v>0</v>
      </c>
      <c r="BM683" s="1114">
        <f>IF(BB683=0,0,(BC683-BB683)/BB683*100)</f>
        <v>0</v>
      </c>
      <c r="BN683" s="7433"/>
      <c r="BO683" s="7433"/>
      <c r="BP683" s="7433"/>
      <c r="BQ683" s="1278"/>
      <c r="BR683" s="1278"/>
      <c r="BS683" s="1064" t="s">
        <v>2812</v>
      </c>
      <c r="BT683" s="1064"/>
      <c r="BU683" s="1064"/>
      <c r="BV683" s="979"/>
      <c r="BW683" s="979"/>
    </row>
    <row s="1834" customFormat="1" customHeight="1" ht="0">
      <c r="A684" s="1278"/>
      <c r="B684" s="978"/>
      <c r="C684" s="107"/>
      <c r="D684" s="107"/>
      <c r="E684" s="621">
        <v>15</v>
      </c>
      <c r="F684" s="50" cm="1" t="str">
        <f t="array" ref="F684:F684">OFFSET(E684,-1,1)</f>
        <v>4</v>
      </c>
      <c r="G684" s="107" t="s">
        <v>2197</v>
      </c>
      <c r="H684" s="107"/>
      <c r="I684" s="107" t="s">
        <v>2813</v>
      </c>
      <c r="J684" s="107"/>
      <c r="K684" s="158" t="s">
        <v>2813</v>
      </c>
      <c r="L684" s="980"/>
      <c r="M684" s="107"/>
      <c r="N684" s="107"/>
      <c r="O684" s="107"/>
      <c r="P684" s="107"/>
      <c r="Q684" s="107"/>
      <c r="R684" s="107"/>
      <c r="S684" s="107"/>
      <c r="T684" s="465" cm="1" t="str">
        <f t="array" ref="T684:T684">T683</f>
        <v>true</v>
      </c>
      <c r="U684" s="107"/>
      <c r="V684" s="107"/>
      <c r="W684" s="107"/>
      <c r="X684" s="1596"/>
      <c r="Y684" s="1278"/>
      <c r="Z684" s="1546"/>
      <c r="AA684" s="1278"/>
      <c r="AB684" s="300" t="s">
        <v>2814</v>
      </c>
      <c r="AC684" s="762" t="s">
        <v>2197</v>
      </c>
      <c r="AD684" s="300" t="s">
        <v>1514</v>
      </c>
      <c r="AE684" s="3946"/>
      <c r="AF684" s="3946"/>
      <c r="AG684" s="3946"/>
      <c r="AH684" s="1114">
        <f>AG684-AF684</f>
        <v>0</v>
      </c>
      <c r="AI684" s="3946"/>
      <c r="AJ684" s="3946"/>
      <c r="AK684" s="3946"/>
      <c r="AL684" s="3946"/>
      <c r="AM684" s="3946"/>
      <c r="AN684" s="3946"/>
      <c r="AO684" s="1241"/>
      <c r="AP684" s="1241"/>
      <c r="AQ684" s="1241"/>
      <c r="AR684" s="1241"/>
      <c r="AS684" s="1241"/>
      <c r="AT684" s="3946"/>
      <c r="AU684" s="3946"/>
      <c r="AV684" s="3946"/>
      <c r="AW684" s="3946"/>
      <c r="AX684" s="3946"/>
      <c r="AY684" s="1241"/>
      <c r="AZ684" s="1241"/>
      <c r="BA684" s="1241"/>
      <c r="BB684" s="1241"/>
      <c r="BC684" s="1241"/>
      <c r="BD684" s="1114">
        <f>IF(AI684=0,0,(AT684-AI684)/AI684*100)</f>
        <v>0</v>
      </c>
      <c r="BE684" s="1114">
        <f>IF(AT684=0,0,(AU684-AT684)/AT684*100)</f>
        <v>0</v>
      </c>
      <c r="BF684" s="1114">
        <f>IF(AU684=0,0,(AV684-AU684)/AU684*100)</f>
        <v>0</v>
      </c>
      <c r="BG684" s="1114">
        <f>IF(AV684=0,0,(AW684-AV684)/AV684*100)</f>
        <v>0</v>
      </c>
      <c r="BH684" s="1114">
        <f>IF(AW684=0,0,(AX684-AW684)/AW684*100)</f>
        <v>0</v>
      </c>
      <c r="BI684" s="1114">
        <f>IF(AX684=0,0,(AY684-AX684)/AX684*100)</f>
        <v>0</v>
      </c>
      <c r="BJ684" s="1114">
        <f>IF(AY684=0,0,(AZ684-AY684)/AY684*100)</f>
        <v>0</v>
      </c>
      <c r="BK684" s="1114">
        <f>IF(AZ684=0,0,(BA684-AZ684)/AZ684*100)</f>
        <v>0</v>
      </c>
      <c r="BL684" s="1114">
        <f>IF(BA684=0,0,(BB684-BA684)/BA684*100)</f>
        <v>0</v>
      </c>
      <c r="BM684" s="1114">
        <f>IF(BB684=0,0,(BC684-BB684)/BB684*100)</f>
        <v>0</v>
      </c>
      <c r="BN684" s="7433"/>
      <c r="BO684" s="7433"/>
      <c r="BP684" s="7433"/>
      <c r="BQ684" s="1278"/>
      <c r="BR684" s="1278"/>
      <c r="BS684" s="1064" t="s">
        <v>2551</v>
      </c>
      <c r="BT684" s="1064"/>
      <c r="BU684" s="1064"/>
      <c r="BV684" s="979"/>
      <c r="BW684" s="979"/>
    </row>
    <row s="1834" customFormat="1" customHeight="1" ht="0">
      <c r="A685" s="1278"/>
      <c r="B685" s="978"/>
      <c r="C685" s="107"/>
      <c r="D685" s="107"/>
      <c r="E685" s="621">
        <v>15</v>
      </c>
      <c r="F685" s="50" cm="1" t="str">
        <f t="array" ref="F685:F685">OFFSET(E685,-1,1)</f>
        <v>4</v>
      </c>
      <c r="G685" s="107" t="s">
        <v>2202</v>
      </c>
      <c r="H685" s="107"/>
      <c r="I685" s="107" t="s">
        <v>2815</v>
      </c>
      <c r="J685" s="107"/>
      <c r="K685" s="158" t="s">
        <v>2815</v>
      </c>
      <c r="L685" s="980"/>
      <c r="M685" s="107"/>
      <c r="N685" s="107"/>
      <c r="O685" s="107"/>
      <c r="P685" s="107"/>
      <c r="Q685" s="107"/>
      <c r="R685" s="107"/>
      <c r="S685" s="107"/>
      <c r="T685" s="465" cm="1" t="str">
        <f t="array" ref="T685:T685">T684</f>
        <v>true</v>
      </c>
      <c r="U685" s="107"/>
      <c r="V685" s="107"/>
      <c r="W685" s="107"/>
      <c r="X685" s="1596"/>
      <c r="Y685" s="1278"/>
      <c r="Z685" s="1546"/>
      <c r="AA685" s="1278"/>
      <c r="AB685" s="300" t="s">
        <v>2269</v>
      </c>
      <c r="AC685" s="762" t="s">
        <v>2202</v>
      </c>
      <c r="AD685" s="300" t="s">
        <v>1514</v>
      </c>
      <c r="AE685" s="3946"/>
      <c r="AF685" s="3946"/>
      <c r="AG685" s="3946"/>
      <c r="AH685" s="1114">
        <f>AG685-AF685</f>
        <v>0</v>
      </c>
      <c r="AI685" s="3946"/>
      <c r="AJ685" s="3946"/>
      <c r="AK685" s="3946"/>
      <c r="AL685" s="3946"/>
      <c r="AM685" s="3946"/>
      <c r="AN685" s="3946"/>
      <c r="AO685" s="1241"/>
      <c r="AP685" s="1241"/>
      <c r="AQ685" s="1241"/>
      <c r="AR685" s="1241"/>
      <c r="AS685" s="1241"/>
      <c r="AT685" s="3946"/>
      <c r="AU685" s="3946"/>
      <c r="AV685" s="3946"/>
      <c r="AW685" s="3946"/>
      <c r="AX685" s="3946"/>
      <c r="AY685" s="1241"/>
      <c r="AZ685" s="1241"/>
      <c r="BA685" s="1241"/>
      <c r="BB685" s="1241"/>
      <c r="BC685" s="1241"/>
      <c r="BD685" s="1114">
        <f>IF(AI685=0,0,(AT685-AI685)/AI685*100)</f>
        <v>0</v>
      </c>
      <c r="BE685" s="1114">
        <f>IF(AT685=0,0,(AU685-AT685)/AT685*100)</f>
        <v>0</v>
      </c>
      <c r="BF685" s="1114">
        <f>IF(AU685=0,0,(AV685-AU685)/AU685*100)</f>
        <v>0</v>
      </c>
      <c r="BG685" s="1114">
        <f>IF(AV685=0,0,(AW685-AV685)/AV685*100)</f>
        <v>0</v>
      </c>
      <c r="BH685" s="1114">
        <f>IF(AW685=0,0,(AX685-AW685)/AW685*100)</f>
        <v>0</v>
      </c>
      <c r="BI685" s="1114">
        <f>IF(AX685=0,0,(AY685-AX685)/AX685*100)</f>
        <v>0</v>
      </c>
      <c r="BJ685" s="1114">
        <f>IF(AY685=0,0,(AZ685-AY685)/AY685*100)</f>
        <v>0</v>
      </c>
      <c r="BK685" s="1114">
        <f>IF(AZ685=0,0,(BA685-AZ685)/AZ685*100)</f>
        <v>0</v>
      </c>
      <c r="BL685" s="1114">
        <f>IF(BA685=0,0,(BB685-BA685)/BA685*100)</f>
        <v>0</v>
      </c>
      <c r="BM685" s="1114">
        <f>IF(BB685=0,0,(BC685-BB685)/BB685*100)</f>
        <v>0</v>
      </c>
      <c r="BN685" s="7433"/>
      <c r="BO685" s="7433"/>
      <c r="BP685" s="7433"/>
      <c r="BQ685" s="1278"/>
      <c r="BR685" s="1278"/>
      <c r="BS685" s="1064" t="s">
        <v>2816</v>
      </c>
      <c r="BT685" s="1064"/>
      <c r="BU685" s="1064"/>
      <c r="BV685" s="979"/>
      <c r="BW685" s="979"/>
    </row>
    <row s="1834" customFormat="1" customHeight="1" ht="0">
      <c r="A686" s="1278"/>
      <c r="B686" s="978"/>
      <c r="C686" s="107"/>
      <c r="D686" s="107"/>
      <c r="E686" s="621">
        <v>15</v>
      </c>
      <c r="F686" s="50" cm="1" t="str">
        <f t="array" ref="F686:F686">OFFSET(E686,-1,1)</f>
        <v>4</v>
      </c>
      <c r="G686" s="107" t="s">
        <v>2207</v>
      </c>
      <c r="H686" s="107"/>
      <c r="I686" s="107" t="s">
        <v>2817</v>
      </c>
      <c r="J686" s="107"/>
      <c r="K686" s="158" t="s">
        <v>2817</v>
      </c>
      <c r="L686" s="980"/>
      <c r="M686" s="107"/>
      <c r="N686" s="107"/>
      <c r="O686" s="107"/>
      <c r="P686" s="107"/>
      <c r="Q686" s="107"/>
      <c r="R686" s="107"/>
      <c r="S686" s="107"/>
      <c r="T686" s="465" cm="1" t="str">
        <f t="array" ref="T686:T686">T685</f>
        <v>true</v>
      </c>
      <c r="U686" s="107"/>
      <c r="V686" s="107"/>
      <c r="W686" s="107"/>
      <c r="X686" s="1596"/>
      <c r="Y686" s="1278"/>
      <c r="Z686" s="1546"/>
      <c r="AA686" s="1278"/>
      <c r="AB686" s="300" t="s">
        <v>2273</v>
      </c>
      <c r="AC686" s="762" t="s">
        <v>2207</v>
      </c>
      <c r="AD686" s="300" t="s">
        <v>1514</v>
      </c>
      <c r="AE686" s="1116">
        <f>SUM(AE687,AE688)</f>
        <v>0</v>
      </c>
      <c r="AF686" s="1114">
        <f>SUM(AF687,AF688)</f>
        <v>0</v>
      </c>
      <c r="AG686" s="1114">
        <f>SUM(AG687,AG688)</f>
        <v>0</v>
      </c>
      <c r="AH686" s="1114">
        <f>AG686-AF686</f>
        <v>0</v>
      </c>
      <c r="AI686" s="1114">
        <f>SUM(AI687,AI688)</f>
        <v>0</v>
      </c>
      <c r="AJ686" s="1116">
        <f>SUM(AJ687,AJ688)</f>
        <v>0</v>
      </c>
      <c r="AK686" s="1114">
        <f>SUM(AK687,AK688)</f>
        <v>0</v>
      </c>
      <c r="AL686" s="1114">
        <f>SUM(AL687,AL688)</f>
        <v>0</v>
      </c>
      <c r="AM686" s="1114">
        <f>SUM(AM687,AM688)</f>
        <v>0</v>
      </c>
      <c r="AN686" s="1114">
        <f>SUM(AN687,AN688)</f>
        <v>0</v>
      </c>
      <c r="AO686" s="1114">
        <f>SUM(AO687,AO688)</f>
        <v>0</v>
      </c>
      <c r="AP686" s="1114">
        <f>SUM(AP687,AP688)</f>
        <v>0</v>
      </c>
      <c r="AQ686" s="1114">
        <f>SUM(AQ687,AQ688)</f>
        <v>0</v>
      </c>
      <c r="AR686" s="1114">
        <f>SUM(AR687,AR688)</f>
        <v>0</v>
      </c>
      <c r="AS686" s="1114">
        <f>SUM(AS687,AS688)</f>
        <v>0</v>
      </c>
      <c r="AT686" s="1116">
        <f>SUM(AT687,AT688)</f>
        <v>0</v>
      </c>
      <c r="AU686" s="1114">
        <f>SUM(AU687,AU688)</f>
        <v>0</v>
      </c>
      <c r="AV686" s="1114">
        <f>SUM(AV687,AV688)</f>
        <v>0</v>
      </c>
      <c r="AW686" s="1114">
        <f>SUM(AW687,AW688)</f>
        <v>0</v>
      </c>
      <c r="AX686" s="1114">
        <f>SUM(AX687,AX688)</f>
        <v>0</v>
      </c>
      <c r="AY686" s="1114">
        <f>SUM(AY687,AY688)</f>
        <v>0</v>
      </c>
      <c r="AZ686" s="1114">
        <f>SUM(AZ687,AZ688)</f>
        <v>0</v>
      </c>
      <c r="BA686" s="1114">
        <f>SUM(BA687,BA688)</f>
        <v>0</v>
      </c>
      <c r="BB686" s="1114">
        <f>SUM(BB687,BB688)</f>
        <v>0</v>
      </c>
      <c r="BC686" s="1114">
        <f>SUM(BC687,BC688)</f>
        <v>0</v>
      </c>
      <c r="BD686" s="1114">
        <f>IF(AI686=0,0,(AT686-AI686)/AI686*100)</f>
        <v>0</v>
      </c>
      <c r="BE686" s="1114">
        <f>IF(AT686=0,0,(AU686-AT686)/AT686*100)</f>
        <v>0</v>
      </c>
      <c r="BF686" s="1114">
        <f>IF(AU686=0,0,(AV686-AU686)/AU686*100)</f>
        <v>0</v>
      </c>
      <c r="BG686" s="1114">
        <f>IF(AV686=0,0,(AW686-AV686)/AV686*100)</f>
        <v>0</v>
      </c>
      <c r="BH686" s="1114">
        <f>IF(AW686=0,0,(AX686-AW686)/AW686*100)</f>
        <v>0</v>
      </c>
      <c r="BI686" s="1114">
        <f>IF(AX686=0,0,(AY686-AX686)/AX686*100)</f>
        <v>0</v>
      </c>
      <c r="BJ686" s="1114">
        <f>IF(AY686=0,0,(AZ686-AY686)/AY686*100)</f>
        <v>0</v>
      </c>
      <c r="BK686" s="1114">
        <f>IF(AZ686=0,0,(BA686-AZ686)/AZ686*100)</f>
        <v>0</v>
      </c>
      <c r="BL686" s="1114">
        <f>IF(BA686=0,0,(BB686-BA686)/BA686*100)</f>
        <v>0</v>
      </c>
      <c r="BM686" s="1114">
        <f>IF(BB686=0,0,(BC686-BB686)/BB686*100)</f>
        <v>0</v>
      </c>
      <c r="BN686" s="7433"/>
      <c r="BO686" s="7433"/>
      <c r="BP686" s="7433"/>
      <c r="BQ686" s="1278"/>
      <c r="BR686" s="1278"/>
      <c r="BS686" s="1064" t="s">
        <v>2818</v>
      </c>
      <c r="BT686" s="1064"/>
      <c r="BU686" s="1064"/>
      <c r="BV686" s="979"/>
      <c r="BW686" s="979"/>
    </row>
    <row s="1834" customFormat="1" customHeight="1" ht="0">
      <c r="A687" s="1278"/>
      <c r="B687" s="978"/>
      <c r="C687" s="107"/>
      <c r="D687" s="107"/>
      <c r="E687" s="621">
        <v>15</v>
      </c>
      <c r="F687" s="50" cm="1" t="str">
        <f t="array" ref="F687:F687">OFFSET(E687,-1,1)</f>
        <v>4</v>
      </c>
      <c r="G687" s="107"/>
      <c r="H687" s="107"/>
      <c r="I687" s="107" t="s">
        <v>2819</v>
      </c>
      <c r="J687" s="107"/>
      <c r="K687" s="158" t="s">
        <v>2819</v>
      </c>
      <c r="L687" s="980"/>
      <c r="M687" s="107"/>
      <c r="N687" s="107"/>
      <c r="O687" s="107"/>
      <c r="P687" s="107"/>
      <c r="Q687" s="107"/>
      <c r="R687" s="107"/>
      <c r="S687" s="107"/>
      <c r="T687" s="465" cm="1" t="str">
        <f t="array" ref="T687:T687">T686</f>
        <v>true</v>
      </c>
      <c r="U687" s="107"/>
      <c r="V687" s="107"/>
      <c r="W687" s="107"/>
      <c r="X687" s="1596"/>
      <c r="Y687" s="1278"/>
      <c r="Z687" s="1546"/>
      <c r="AA687" s="1278"/>
      <c r="AB687" s="300" t="s">
        <v>2820</v>
      </c>
      <c r="AC687" s="765" t="s">
        <v>2821</v>
      </c>
      <c r="AD687" s="300" t="s">
        <v>1514</v>
      </c>
      <c r="AE687" s="3946"/>
      <c r="AF687" s="3946"/>
      <c r="AG687" s="3946"/>
      <c r="AH687" s="1114">
        <f>AG687-AF687</f>
        <v>0</v>
      </c>
      <c r="AI687" s="3946"/>
      <c r="AJ687" s="3946"/>
      <c r="AK687" s="3946"/>
      <c r="AL687" s="3946"/>
      <c r="AM687" s="3946"/>
      <c r="AN687" s="3946"/>
      <c r="AO687" s="1241"/>
      <c r="AP687" s="1241"/>
      <c r="AQ687" s="1241"/>
      <c r="AR687" s="1241"/>
      <c r="AS687" s="1241"/>
      <c r="AT687" s="3946"/>
      <c r="AU687" s="3946"/>
      <c r="AV687" s="3946"/>
      <c r="AW687" s="3946"/>
      <c r="AX687" s="3946"/>
      <c r="AY687" s="1241"/>
      <c r="AZ687" s="1241"/>
      <c r="BA687" s="1241"/>
      <c r="BB687" s="1241"/>
      <c r="BC687" s="1241"/>
      <c r="BD687" s="1114">
        <f>IF(AI687=0,0,(AT687-AI687)/AI687*100)</f>
        <v>0</v>
      </c>
      <c r="BE687" s="1114">
        <f>IF(AT687=0,0,(AU687-AT687)/AT687*100)</f>
        <v>0</v>
      </c>
      <c r="BF687" s="1114">
        <f>IF(AU687=0,0,(AV687-AU687)/AU687*100)</f>
        <v>0</v>
      </c>
      <c r="BG687" s="1114">
        <f>IF(AV687=0,0,(AW687-AV687)/AV687*100)</f>
        <v>0</v>
      </c>
      <c r="BH687" s="1114">
        <f>IF(AW687=0,0,(AX687-AW687)/AW687*100)</f>
        <v>0</v>
      </c>
      <c r="BI687" s="1114">
        <f>IF(AX687=0,0,(AY687-AX687)/AX687*100)</f>
        <v>0</v>
      </c>
      <c r="BJ687" s="1114">
        <f>IF(AY687=0,0,(AZ687-AY687)/AY687*100)</f>
        <v>0</v>
      </c>
      <c r="BK687" s="1114">
        <f>IF(AZ687=0,0,(BA687-AZ687)/AZ687*100)</f>
        <v>0</v>
      </c>
      <c r="BL687" s="1114">
        <f>IF(BA687=0,0,(BB687-BA687)/BA687*100)</f>
        <v>0</v>
      </c>
      <c r="BM687" s="1114">
        <f>IF(BB687=0,0,(BC687-BB687)/BB687*100)</f>
        <v>0</v>
      </c>
      <c r="BN687" s="7433"/>
      <c r="BO687" s="7433"/>
      <c r="BP687" s="7433"/>
      <c r="BQ687" s="1278"/>
      <c r="BR687" s="1278"/>
      <c r="BS687" s="1064" t="s">
        <v>1991</v>
      </c>
      <c r="BT687" s="1064"/>
      <c r="BU687" s="1064"/>
      <c r="BV687" s="979"/>
      <c r="BW687" s="979"/>
    </row>
    <row s="1834" customFormat="1" customHeight="1" ht="0">
      <c r="A688" s="1278"/>
      <c r="B688" s="978"/>
      <c r="C688" s="107"/>
      <c r="D688" s="107"/>
      <c r="E688" s="621">
        <v>15</v>
      </c>
      <c r="F688" s="50" cm="1" t="str">
        <f t="array" ref="F688:F688">OFFSET(E688,-1,1)</f>
        <v>4</v>
      </c>
      <c r="G688" s="107"/>
      <c r="H688" s="107"/>
      <c r="I688" s="107" t="s">
        <v>2822</v>
      </c>
      <c r="J688" s="107"/>
      <c r="K688" s="158" t="s">
        <v>2822</v>
      </c>
      <c r="L688" s="980" t="s">
        <v>1640</v>
      </c>
      <c r="M688" s="107"/>
      <c r="N688" s="107"/>
      <c r="O688" s="107"/>
      <c r="P688" s="107"/>
      <c r="Q688" s="107"/>
      <c r="R688" s="107"/>
      <c r="S688" s="107"/>
      <c r="T688" s="465" cm="1" t="str">
        <f t="array" ref="T688:T688">T687</f>
        <v>true</v>
      </c>
      <c r="U688" s="107"/>
      <c r="V688" s="107"/>
      <c r="W688" s="107"/>
      <c r="X688" s="1596"/>
      <c r="Y688" s="1278"/>
      <c r="Z688" s="1546"/>
      <c r="AA688" s="1278"/>
      <c r="AB688" s="300" t="s">
        <v>2823</v>
      </c>
      <c r="AC688" s="765" t="s">
        <v>2824</v>
      </c>
      <c r="AD688" s="300" t="s">
        <v>1514</v>
      </c>
      <c r="AE688" s="3946"/>
      <c r="AF688" s="3946"/>
      <c r="AG688" s="3946"/>
      <c r="AH688" s="1114">
        <f>AG688-AF688</f>
        <v>0</v>
      </c>
      <c r="AI688" s="3946"/>
      <c r="AJ688" s="3946"/>
      <c r="AK688" s="3946"/>
      <c r="AL688" s="3946"/>
      <c r="AM688" s="3946"/>
      <c r="AN688" s="3946"/>
      <c r="AO688" s="1241"/>
      <c r="AP688" s="1241"/>
      <c r="AQ688" s="1241"/>
      <c r="AR688" s="1241"/>
      <c r="AS688" s="1241"/>
      <c r="AT688" s="3946"/>
      <c r="AU688" s="3946"/>
      <c r="AV688" s="3946"/>
      <c r="AW688" s="3946"/>
      <c r="AX688" s="3946"/>
      <c r="AY688" s="1241"/>
      <c r="AZ688" s="1241"/>
      <c r="BA688" s="1241"/>
      <c r="BB688" s="1241"/>
      <c r="BC688" s="1241"/>
      <c r="BD688" s="1114">
        <f>IF(AI688=0,0,(AT688-AI688)/AI688*100)</f>
        <v>0</v>
      </c>
      <c r="BE688" s="1114">
        <f>IF(AT688=0,0,(AU688-AT688)/AT688*100)</f>
        <v>0</v>
      </c>
      <c r="BF688" s="1114">
        <f>IF(AU688=0,0,(AV688-AU688)/AU688*100)</f>
        <v>0</v>
      </c>
      <c r="BG688" s="1114">
        <f>IF(AV688=0,0,(AW688-AV688)/AV688*100)</f>
        <v>0</v>
      </c>
      <c r="BH688" s="1114">
        <f>IF(AW688=0,0,(AX688-AW688)/AW688*100)</f>
        <v>0</v>
      </c>
      <c r="BI688" s="1114">
        <f>IF(AX688=0,0,(AY688-AX688)/AX688*100)</f>
        <v>0</v>
      </c>
      <c r="BJ688" s="1114">
        <f>IF(AY688=0,0,(AZ688-AY688)/AY688*100)</f>
        <v>0</v>
      </c>
      <c r="BK688" s="1114">
        <f>IF(AZ688=0,0,(BA688-AZ688)/AZ688*100)</f>
        <v>0</v>
      </c>
      <c r="BL688" s="1114">
        <f>IF(BA688=0,0,(BB688-BA688)/BA688*100)</f>
        <v>0</v>
      </c>
      <c r="BM688" s="1114">
        <f>IF(BB688=0,0,(BC688-BB688)/BB688*100)</f>
        <v>0</v>
      </c>
      <c r="BN688" s="7433"/>
      <c r="BO688" s="7433"/>
      <c r="BP688" s="7433"/>
      <c r="BQ688" s="1278"/>
      <c r="BR688" s="1278"/>
      <c r="BS688" s="1064" t="s">
        <v>2825</v>
      </c>
      <c r="BT688" s="1064"/>
      <c r="BU688" s="1064"/>
      <c r="BV688" s="979"/>
      <c r="BW688" s="979"/>
    </row>
    <row s="1834" customFormat="1" customHeight="1" ht="0">
      <c r="A689" s="1278"/>
      <c r="B689" s="978"/>
      <c r="C689" s="107"/>
      <c r="D689" s="107"/>
      <c r="E689" s="621">
        <v>22.5</v>
      </c>
      <c r="F689" s="50" cm="1" t="str">
        <f t="array" ref="F689:F689">OFFSET(E689,-1,1)</f>
        <v>4</v>
      </c>
      <c r="G689" s="107" t="s">
        <v>2212</v>
      </c>
      <c r="H689" s="107"/>
      <c r="I689" s="107" t="s">
        <v>2826</v>
      </c>
      <c r="J689" s="107"/>
      <c r="K689" s="158" t="s">
        <v>2826</v>
      </c>
      <c r="L689" s="980"/>
      <c r="M689" s="107"/>
      <c r="N689" s="107"/>
      <c r="O689" s="107"/>
      <c r="P689" s="107"/>
      <c r="Q689" s="107"/>
      <c r="R689" s="107"/>
      <c r="S689" s="107"/>
      <c r="T689" s="465" cm="1" t="str">
        <f t="array" ref="T689:T689">T688</f>
        <v>true</v>
      </c>
      <c r="U689" s="107"/>
      <c r="V689" s="107"/>
      <c r="W689" s="107"/>
      <c r="X689" s="1596"/>
      <c r="Y689" s="1278"/>
      <c r="Z689" s="1546"/>
      <c r="AA689" s="1278"/>
      <c r="AB689" s="300" t="s">
        <v>2276</v>
      </c>
      <c r="AC689" s="762" t="s">
        <v>2827</v>
      </c>
      <c r="AD689" s="300" t="s">
        <v>1514</v>
      </c>
      <c r="AE689" s="3946"/>
      <c r="AF689" s="3946"/>
      <c r="AG689" s="3946"/>
      <c r="AH689" s="1114">
        <f>AG689-AF689</f>
        <v>0</v>
      </c>
      <c r="AI689" s="3946"/>
      <c r="AJ689" s="3946"/>
      <c r="AK689" s="3946"/>
      <c r="AL689" s="3946"/>
      <c r="AM689" s="3946"/>
      <c r="AN689" s="3946"/>
      <c r="AO689" s="1241"/>
      <c r="AP689" s="1241"/>
      <c r="AQ689" s="1241"/>
      <c r="AR689" s="1241"/>
      <c r="AS689" s="1241"/>
      <c r="AT689" s="3946"/>
      <c r="AU689" s="3946"/>
      <c r="AV689" s="3946"/>
      <c r="AW689" s="3946"/>
      <c r="AX689" s="3946"/>
      <c r="AY689" s="1241"/>
      <c r="AZ689" s="1241"/>
      <c r="BA689" s="1241"/>
      <c r="BB689" s="1241"/>
      <c r="BC689" s="1241"/>
      <c r="BD689" s="1114">
        <f>IF(AI689=0,0,(AT689-AI689)/AI689*100)</f>
        <v>0</v>
      </c>
      <c r="BE689" s="1114">
        <f>IF(AT689=0,0,(AU689-AT689)/AT689*100)</f>
        <v>0</v>
      </c>
      <c r="BF689" s="1114">
        <f>IF(AU689=0,0,(AV689-AU689)/AU689*100)</f>
        <v>0</v>
      </c>
      <c r="BG689" s="1114">
        <f>IF(AV689=0,0,(AW689-AV689)/AV689*100)</f>
        <v>0</v>
      </c>
      <c r="BH689" s="1114">
        <f>IF(AW689=0,0,(AX689-AW689)/AW689*100)</f>
        <v>0</v>
      </c>
      <c r="BI689" s="1114">
        <f>IF(AX689=0,0,(AY689-AX689)/AX689*100)</f>
        <v>0</v>
      </c>
      <c r="BJ689" s="1114">
        <f>IF(AY689=0,0,(AZ689-AY689)/AY689*100)</f>
        <v>0</v>
      </c>
      <c r="BK689" s="1114">
        <f>IF(AZ689=0,0,(BA689-AZ689)/AZ689*100)</f>
        <v>0</v>
      </c>
      <c r="BL689" s="1114">
        <f>IF(BA689=0,0,(BB689-BA689)/BA689*100)</f>
        <v>0</v>
      </c>
      <c r="BM689" s="1114">
        <f>IF(BB689=0,0,(BC689-BB689)/BB689*100)</f>
        <v>0</v>
      </c>
      <c r="BN689" s="7433"/>
      <c r="BO689" s="7433"/>
      <c r="BP689" s="7433"/>
      <c r="BQ689" s="1278"/>
      <c r="BR689" s="1278"/>
      <c r="BS689" s="1064" t="s">
        <v>2828</v>
      </c>
      <c r="BT689" s="1064"/>
      <c r="BU689" s="1064"/>
      <c r="BV689" s="979"/>
      <c r="BW689" s="979"/>
    </row>
    <row s="7666" customFormat="1" customHeight="1" ht="180.75">
      <c r="A690" s="700"/>
      <c r="B690" s="435"/>
      <c r="C690" s="109"/>
      <c r="D690" s="109"/>
      <c r="E690" s="826">
        <v>21</v>
      </c>
      <c r="F690" s="50" cm="1" t="str">
        <f t="array" ref="F690:F690">OFFSET(E690,-1,1)</f>
        <v>4</v>
      </c>
      <c r="G690" s="107" t="s">
        <v>2829</v>
      </c>
      <c r="H690" s="107"/>
      <c r="I690" s="107" t="s">
        <v>334</v>
      </c>
      <c r="J690" s="109"/>
      <c r="K690" s="158" t="s">
        <v>334</v>
      </c>
      <c r="L690" s="985" t="s">
        <v>2068</v>
      </c>
      <c r="M690" s="109"/>
      <c r="N690" s="109"/>
      <c r="O690" s="109"/>
      <c r="P690" s="109"/>
      <c r="Q690" s="109"/>
      <c r="R690" s="109"/>
      <c r="S690" s="109"/>
      <c r="T690" s="465" cm="1" t="str">
        <f t="array" ref="T690:T690">T689</f>
        <v>true</v>
      </c>
      <c r="U690" s="109"/>
      <c r="V690" s="109"/>
      <c r="W690" s="109"/>
      <c r="X690" s="1596"/>
      <c r="Y690" s="700"/>
      <c r="Z690" s="1546"/>
      <c r="AA690" s="700"/>
      <c r="AB690" s="211" t="s">
        <v>289</v>
      </c>
      <c r="AC690" s="212" t="s">
        <v>2830</v>
      </c>
      <c r="AD690" s="211" t="s">
        <v>1514</v>
      </c>
      <c r="AE690" s="778">
        <f>_xlfn.SUMIFS(ЭЭ!AE$25:AE$189,ЭЭ!$F$25:$F$189,$F690,ЭЭ!$AC$25:$AC$189,"Всего по тарифу")</f>
        <v>0</v>
      </c>
      <c r="AF690" s="778">
        <f>_xlfn.SUMIFS(ЭЭ!AF$25:AF$189,ЭЭ!$F$25:$F$189,$F690,ЭЭ!$AC$25:$AC$189,"Всего по тарифу")</f>
        <v>0</v>
      </c>
      <c r="AG690" s="778">
        <f>_xlfn.SUMIFS(ЭЭ!AG$25:AG$189,ЭЭ!$F$25:$F$189,$F690,ЭЭ!$AC$25:$AC$189,"Всего по тарифу")</f>
        <v>0</v>
      </c>
      <c r="AH690" s="778">
        <f>AG690-AF690</f>
        <v>0</v>
      </c>
      <c r="AI690" s="778">
        <f>_xlfn.SUMIFS(ЭЭ!AH$25:AH$189,ЭЭ!$F$25:$F$189,$F690,ЭЭ!$AC$25:$AC$189,"Всего по тарифу")</f>
        <v>0</v>
      </c>
      <c r="AJ690" s="778">
        <f>_xlfn.SUMIFS(ЭЭ!AI$25:AI$189,ЭЭ!$F$25:$F$189,$F690,ЭЭ!$AC$25:$AC$189,"Всего по тарифу")</f>
        <v>8385.20781084891</v>
      </c>
      <c r="AK690" s="778">
        <f>_xlfn.SUMIFS(ЭЭ!AJ$25:AJ$189,ЭЭ!$F$25:$F$189,$F690,ЭЭ!$AC$25:$AC$189,"Всего по тарифу")</f>
        <v>9148.26172163616</v>
      </c>
      <c r="AL690" s="778">
        <f>_xlfn.SUMIFS(ЭЭ!AK$25:AK$189,ЭЭ!$F$25:$F$189,$F690,ЭЭ!$AC$25:$AC$189,"Всего по тарифу")</f>
        <v>9596.52654599633</v>
      </c>
      <c r="AM690" s="778">
        <f>_xlfn.SUMIFS(ЭЭ!AL$25:AL$189,ЭЭ!$F$25:$F$189,$F690,ЭЭ!$AC$25:$AC$189,"Всего по тарифу")</f>
        <v>10066.7563467501</v>
      </c>
      <c r="AN690" s="778">
        <f>_xlfn.SUMIFS(ЭЭ!AM$25:AM$189,ЭЭ!$F$25:$F$189,$F690,ЭЭ!$AC$25:$AC$189,"Всего по тарифу")</f>
        <v>10560.0274077409</v>
      </c>
      <c r="AO690" s="778">
        <f>_xlfn.SUMIFS(ЭЭ!AN$25:AN$189,ЭЭ!$F$25:$F$189,$F690,ЭЭ!$AC$25:$AC$189,"Всего по тарифу")</f>
        <v>0</v>
      </c>
      <c r="AP690" s="778">
        <f>_xlfn.SUMIFS(ЭЭ!AO$25:AO$189,ЭЭ!$F$25:$F$189,$F690,ЭЭ!$AC$25:$AC$189,"Всего по тарифу")</f>
        <v>0</v>
      </c>
      <c r="AQ690" s="778">
        <f>_xlfn.SUMIFS(ЭЭ!AP$25:AP$189,ЭЭ!$F$25:$F$189,$F690,ЭЭ!$AC$25:$AC$189,"Всего по тарифу")</f>
        <v>0</v>
      </c>
      <c r="AR690" s="778">
        <f>_xlfn.SUMIFS(ЭЭ!AQ$25:AQ$189,ЭЭ!$F$25:$F$189,$F690,ЭЭ!$AC$25:$AC$189,"Всего по тарифу")</f>
        <v>0</v>
      </c>
      <c r="AS690" s="778">
        <f>_xlfn.SUMIFS(ЭЭ!AR$25:AR$189,ЭЭ!$F$25:$F$189,$F690,ЭЭ!$AC$25:$AC$189,"Всего по тарифу")</f>
        <v>0</v>
      </c>
      <c r="AT690" s="778">
        <f>_xlfn.SUMIFS(ЭЭ!AS$25:AS$189,ЭЭ!$F$25:$F$189,$F690,ЭЭ!$AC$25:$AC$189,"Всего по тарифу")</f>
        <v>8385.20781084891</v>
      </c>
      <c r="AU690" s="778">
        <f>_xlfn.SUMIFS(ЭЭ!AT$25:AT$189,ЭЭ!$F$25:$F$189,$F690,ЭЭ!$AC$25:$AC$189,"Всего по тарифу")</f>
        <v>9148.26172163616</v>
      </c>
      <c r="AV690" s="778">
        <f>_xlfn.SUMIFS(ЭЭ!AU$25:AU$189,ЭЭ!$F$25:$F$189,$F690,ЭЭ!$AC$25:$AC$189,"Всего по тарифу")</f>
        <v>9596.52654599633</v>
      </c>
      <c r="AW690" s="778">
        <f>_xlfn.SUMIFS(ЭЭ!AV$25:AV$189,ЭЭ!$F$25:$F$189,$F690,ЭЭ!$AC$25:$AC$189,"Всего по тарифу")</f>
        <v>10066.7563467501</v>
      </c>
      <c r="AX690" s="778">
        <f>_xlfn.SUMIFS(ЭЭ!AW$25:AW$189,ЭЭ!$F$25:$F$189,$F690,ЭЭ!$AC$25:$AC$189,"Всего по тарифу")</f>
        <v>10560.0274077409</v>
      </c>
      <c r="AY690" s="778">
        <f>_xlfn.SUMIFS(ЭЭ!AX$25:AX$189,ЭЭ!$F$25:$F$189,$F690,ЭЭ!$AC$25:$AC$189,"Всего по тарифу")</f>
        <v>0</v>
      </c>
      <c r="AZ690" s="778">
        <f>_xlfn.SUMIFS(ЭЭ!AY$25:AY$189,ЭЭ!$F$25:$F$189,$F690,ЭЭ!$AC$25:$AC$189,"Всего по тарифу")</f>
        <v>0</v>
      </c>
      <c r="BA690" s="778">
        <f>_xlfn.SUMIFS(ЭЭ!AZ$25:AZ$189,ЭЭ!$F$25:$F$189,$F690,ЭЭ!$AC$25:$AC$189,"Всего по тарифу")</f>
        <v>0</v>
      </c>
      <c r="BB690" s="778">
        <f>_xlfn.SUMIFS(ЭЭ!BA$25:BA$189,ЭЭ!$F$25:$F$189,$F690,ЭЭ!$AC$25:$AC$189,"Всего по тарифу")</f>
        <v>0</v>
      </c>
      <c r="BC690" s="778">
        <f>_xlfn.SUMIFS(ЭЭ!BB$25:BB$189,ЭЭ!$F$25:$F$189,$F690,ЭЭ!$AC$25:$AC$189,"Всего по тарифу")</f>
        <v>0</v>
      </c>
      <c r="BD690" s="778">
        <f>IF(AI690=0,0,(AT690-AI690)/AI690*100)</f>
        <v>0</v>
      </c>
      <c r="BE690" s="778">
        <f>IF(AT690=0,0,(AU690-AT690)/AT690*100)</f>
        <v>9.1</v>
      </c>
      <c r="BF690" s="778">
        <f>IF(AU690=0,0,(AV690-AU690)/AU690*100)</f>
        <v>4.9</v>
      </c>
      <c r="BG690" s="778">
        <f>IF(AV690=0,0,(AW690-AV690)/AV690*100)</f>
        <v>4.89999999999948</v>
      </c>
      <c r="BH690" s="778">
        <f>IF(AW690=0,0,(AX690-AW690)/AW690*100)</f>
        <v>4.90000000000044</v>
      </c>
      <c r="BI690" s="778">
        <f>IF(AX690=0,0,(AY690-AX690)/AX690*100)</f>
        <v>-100</v>
      </c>
      <c r="BJ690" s="778">
        <f>IF(AY690=0,0,(AZ690-AY690)/AY690*100)</f>
        <v>0</v>
      </c>
      <c r="BK690" s="778">
        <f>IF(AZ690=0,0,(BA690-AZ690)/AZ690*100)</f>
        <v>0</v>
      </c>
      <c r="BL690" s="778">
        <f>IF(BA690=0,0,(BB690-BA690)/BA690*100)</f>
        <v>0</v>
      </c>
      <c r="BM690" s="778">
        <f>IF(BB690=0,0,(BC690-BB690)/BB690*100)</f>
        <v>0</v>
      </c>
      <c r="BN690" s="7433"/>
      <c r="BO690" s="7487" t="str">
        <f>IF(_xlfn.IFERROR(INDEX(ЭЭ!$K$26:$L$189,MATCH($F690&amp;"komm",ЭЭ!$K$26:$K$189,0),2),"")=0,"",_xlfn.IFERROR(INDEX(ЭЭ!$K$26:$L$189,MATCH($F690&amp;"komm",ЭЭ!$K$26:$K$189,0),2),""))</f>
        <v>В соответствии с п. 20 Методических указаний расходы регулируемой организации на приобретаемые электрическую энергию (мощность), тепловую энергию (мощность), другие виды энергетических ресурсов, холодную воду, теплоноситель определяются как сумма произведений расчетных экономически (технологически, технически) обоснованных объемов приобретаемых электрической энергии (мощности), тепловой энергии (мощности), других видов энергетических ресурсов холодной воды на соответственно плановые (расчетные) цены (тарифы) на электрическую энергию (мощность), тепловую энергию (мощность), другие виды энергетических ресурсов, холодную воду. Объемы приобретаемой электрической энергии (мощности), тепловой энергии (мощности) определяются с учетом показателей надежности, качества, энергетической эффективности в сфере водоснабжения и (или) водоотведения, определенных в установленном порядке.</v>
      </c>
      <c r="BP690" s="7433"/>
      <c r="BQ690" s="700"/>
      <c r="BR690" s="700"/>
      <c r="BS690" s="1070" t="s">
        <v>2446</v>
      </c>
      <c r="BT690" s="1070"/>
      <c r="BU690" s="1070"/>
      <c r="BV690" s="707"/>
      <c r="BW690" s="707"/>
    </row>
    <row s="7667" customFormat="1" customHeight="1" ht="33.75">
      <c r="A691" s="700"/>
      <c r="B691" s="162">
        <f>method_reg="Метод индексации"</f>
        <v>1</v>
      </c>
      <c r="C691" s="109"/>
      <c r="D691" s="109"/>
      <c r="E691" s="826">
        <v>22.5</v>
      </c>
      <c r="F691" s="50" cm="1" t="str">
        <f t="array" ref="F691:F691">OFFSET(E691,-1,1)</f>
        <v>4</v>
      </c>
      <c r="G691" s="107" t="s">
        <v>2234</v>
      </c>
      <c r="H691" s="107"/>
      <c r="I691" s="107" t="s">
        <v>336</v>
      </c>
      <c r="J691" s="109"/>
      <c r="K691" s="158"/>
      <c r="L691" s="985" t="s">
        <v>335</v>
      </c>
      <c r="M691" s="109"/>
      <c r="N691" s="109"/>
      <c r="O691" s="109"/>
      <c r="P691" s="109"/>
      <c r="Q691" s="109"/>
      <c r="R691" s="109"/>
      <c r="S691" s="109"/>
      <c r="T691" s="465" cm="1" t="str">
        <f t="array" ref="T691:T691">T690</f>
        <v>true</v>
      </c>
      <c r="U691" s="109"/>
      <c r="V691" s="109"/>
      <c r="W691" s="109"/>
      <c r="X691" s="1596"/>
      <c r="Y691" s="700"/>
      <c r="Z691" s="1546"/>
      <c r="AA691" s="700"/>
      <c r="AB691" s="211" t="s">
        <v>295</v>
      </c>
      <c r="AC691" s="212" t="s">
        <v>2831</v>
      </c>
      <c r="AD691" s="211" t="s">
        <v>1514</v>
      </c>
      <c r="AE691" s="778">
        <f>_xlfn.SUMIFS(Амортизация!AE$25:AE$272,Амортизация!$F$25:$F$272,$F691,Амортизация!$AC$25:$AC$272,"Сумма амортизационных отчислений")</f>
        <v>0</v>
      </c>
      <c r="AF691" s="778">
        <f>_xlfn.SUMIFS(Амортизация!AF$25:AF$272,Амортизация!$F$25:$F$272,$F691,Амортизация!$AC$25:$AC$272,"Сумма амортизационных отчислений")</f>
        <v>0</v>
      </c>
      <c r="AG691" s="778">
        <f>_xlfn.SUMIFS(Амортизация!AG$25:AG$272,Амортизация!$F$25:$F$272,$F691,Амортизация!$AC$25:$AC$272,"Сумма амортизационных отчислений")</f>
        <v>0</v>
      </c>
      <c r="AH691" s="778">
        <f>AG691-AF691</f>
        <v>0</v>
      </c>
      <c r="AI691" s="778">
        <f>_xlfn.SUMIFS(Амортизация!AH$25:AH$272,Амортизация!$F$25:$F$272,$F691,Амортизация!$AC$25:$AC$272,"Сумма амортизационных отчислений")</f>
        <v>0</v>
      </c>
      <c r="AJ691" s="778">
        <f>_xlfn.SUMIFS(Амортизация!AI$25:AI$272,Амортизация!$F$25:$F$272,$F691,Амортизация!$AC$25:$AC$272,"Сумма амортизационных отчислений")</f>
        <v>0</v>
      </c>
      <c r="AK691" s="778">
        <f>_xlfn.SUMIFS(Амортизация!AJ$25:AJ$272,Амортизация!$F$25:$F$272,$F691,Амортизация!$AC$25:$AC$272,"Сумма амортизационных отчислений")</f>
        <v>0</v>
      </c>
      <c r="AL691" s="778">
        <f>_xlfn.SUMIFS(Амортизация!AK$25:AK$272,Амортизация!$F$25:$F$272,$F691,Амортизация!$AC$25:$AC$272,"Сумма амортизационных отчислений")</f>
        <v>2114.31</v>
      </c>
      <c r="AM691" s="778">
        <f>_xlfn.SUMIFS(Амортизация!AL$25:AL$272,Амортизация!$F$25:$F$272,$F691,Амортизация!$AC$25:$AC$272,"Сумма амортизационных отчислений")</f>
        <v>7657.51</v>
      </c>
      <c r="AN691" s="778">
        <f>_xlfn.SUMIFS(Амортизация!AM$25:AM$272,Амортизация!$F$25:$F$272,$F691,Амортизация!$AC$25:$AC$272,"Сумма амортизационных отчислений")</f>
        <v>32710.78</v>
      </c>
      <c r="AO691" s="778">
        <f>_xlfn.SUMIFS(Амортизация!AN$25:AN$272,Амортизация!$F$25:$F$272,$F691,Амортизация!$AC$25:$AC$272,"Сумма амортизационных отчислений")</f>
        <v>0</v>
      </c>
      <c r="AP691" s="778">
        <f>_xlfn.SUMIFS(Амортизация!AO$25:AO$272,Амортизация!$F$25:$F$272,$F691,Амортизация!$AC$25:$AC$272,"Сумма амортизационных отчислений")</f>
        <v>0</v>
      </c>
      <c r="AQ691" s="778">
        <f>_xlfn.SUMIFS(Амортизация!AP$25:AP$272,Амортизация!$F$25:$F$272,$F691,Амортизация!$AC$25:$AC$272,"Сумма амортизационных отчислений")</f>
        <v>0</v>
      </c>
      <c r="AR691" s="778">
        <f>_xlfn.SUMIFS(Амортизация!AQ$25:AQ$272,Амортизация!$F$25:$F$272,$F691,Амортизация!$AC$25:$AC$272,"Сумма амортизационных отчислений")</f>
        <v>0</v>
      </c>
      <c r="AS691" s="778">
        <f>_xlfn.SUMIFS(Амортизация!AR$25:AR$272,Амортизация!$F$25:$F$272,$F691,Амортизация!$AC$25:$AC$272,"Сумма амортизационных отчислений")</f>
        <v>0</v>
      </c>
      <c r="AT691" s="778">
        <f>_xlfn.SUMIFS(Амортизация!AS$25:AS$272,Амортизация!$F$25:$F$272,$F691,Амортизация!$AC$25:$AC$272,"Сумма амортизационных отчислений")</f>
        <v>0</v>
      </c>
      <c r="AU691" s="778">
        <f>_xlfn.SUMIFS(Амортизация!AT$25:AT$272,Амортизация!$F$25:$F$272,$F691,Амортизация!$AC$25:$AC$272,"Сумма амортизационных отчислений")</f>
        <v>0</v>
      </c>
      <c r="AV691" s="778">
        <f>_xlfn.SUMIFS(Амортизация!AU$25:AU$272,Амортизация!$F$25:$F$272,$F691,Амортизация!$AC$25:$AC$272,"Сумма амортизационных отчислений")</f>
        <v>2114.31</v>
      </c>
      <c r="AW691" s="778">
        <f>_xlfn.SUMIFS(Амортизация!AV$25:AV$272,Амортизация!$F$25:$F$272,$F691,Амортизация!$AC$25:$AC$272,"Сумма амортизационных отчислений")</f>
        <v>7657.51</v>
      </c>
      <c r="AX691" s="778">
        <f>_xlfn.SUMIFS(Амортизация!AW$25:AW$272,Амортизация!$F$25:$F$272,$F691,Амортизация!$AC$25:$AC$272,"Сумма амортизационных отчислений")</f>
        <v>32710.78</v>
      </c>
      <c r="AY691" s="778">
        <f>_xlfn.SUMIFS(Амортизация!AX$25:AX$272,Амортизация!$F$25:$F$272,$F691,Амортизация!$AC$25:$AC$272,"Сумма амортизационных отчислений")</f>
        <v>0</v>
      </c>
      <c r="AZ691" s="778">
        <f>_xlfn.SUMIFS(Амортизация!AY$25:AY$272,Амортизация!$F$25:$F$272,$F691,Амортизация!$AC$25:$AC$272,"Сумма амортизационных отчислений")</f>
        <v>0</v>
      </c>
      <c r="BA691" s="778">
        <f>_xlfn.SUMIFS(Амортизация!AZ$25:AZ$272,Амортизация!$F$25:$F$272,$F691,Амортизация!$AC$25:$AC$272,"Сумма амортизационных отчислений")</f>
        <v>0</v>
      </c>
      <c r="BB691" s="778">
        <f>_xlfn.SUMIFS(Амортизация!BA$25:BA$272,Амортизация!$F$25:$F$272,$F691,Амортизация!$AC$25:$AC$272,"Сумма амортизационных отчислений")</f>
        <v>0</v>
      </c>
      <c r="BC691" s="778">
        <f>_xlfn.SUMIFS(Амортизация!BB$25:BB$272,Амортизация!$F$25:$F$272,$F691,Амортизация!$AC$25:$AC$272,"Сумма амортизационных отчислений")</f>
        <v>0</v>
      </c>
      <c r="BD691" s="778">
        <f>IF(AI691=0,0,(AT691-AI691)/AI691*100)</f>
        <v>0</v>
      </c>
      <c r="BE691" s="778">
        <f>IF(AT691=0,0,(AU691-AT691)/AT691*100)</f>
        <v>0</v>
      </c>
      <c r="BF691" s="778">
        <f>IF(AU691=0,0,(AV691-AU691)/AU691*100)</f>
        <v>0</v>
      </c>
      <c r="BG691" s="778">
        <f>IF(AV691=0,0,(AW691-AV691)/AV691*100)</f>
        <v>262.175366904569</v>
      </c>
      <c r="BH691" s="778">
        <f>IF(AW691=0,0,(AX691-AW691)/AW691*100)</f>
        <v>327.172540421103</v>
      </c>
      <c r="BI691" s="778">
        <f>IF(AX691=0,0,(AY691-AX691)/AX691*100)</f>
        <v>-100</v>
      </c>
      <c r="BJ691" s="778">
        <f>IF(AY691=0,0,(AZ691-AY691)/AY691*100)</f>
        <v>0</v>
      </c>
      <c r="BK691" s="778">
        <f>IF(AZ691=0,0,(BA691-AZ691)/AZ691*100)</f>
        <v>0</v>
      </c>
      <c r="BL691" s="778">
        <f>IF(BA691=0,0,(BB691-BA691)/BA691*100)</f>
        <v>0</v>
      </c>
      <c r="BM691" s="778">
        <f>IF(BB691=0,0,(BC691-BB691)/BB691*100)</f>
        <v>0</v>
      </c>
      <c r="BN691" s="7433"/>
      <c r="BO691" s="7437" t="str">
        <f>IF(_xlfn.IFERROR(INDEX(Амортизация!$K$26:$L$272,MATCH($F691&amp;"komm",Амортизация!$K$26:$K$272,0),2),"")=0,"",_xlfn.IFERROR(INDEX(Амортизация!$K$26:$L$272,MATCH($F691&amp;"komm",Амортизация!$K$26:$K$272,0),2),""))</f>
        <v/>
      </c>
      <c r="BP691" s="7433"/>
      <c r="BQ691" s="700"/>
      <c r="BR691" s="700"/>
      <c r="BS691" s="1070" t="s">
        <v>1960</v>
      </c>
      <c r="BT691" s="1070"/>
      <c r="BU691" s="1070"/>
      <c r="BV691" s="707"/>
      <c r="BW691" s="707"/>
    </row>
    <row s="1834" customFormat="1" customHeight="1" ht="23.25">
      <c r="A692" s="1278"/>
      <c r="B692" s="432" cm="1" t="str">
        <f t="array" ref="B692:B692">B691</f>
        <v>true</v>
      </c>
      <c r="C692" s="107"/>
      <c r="D692" s="107"/>
      <c r="E692" s="621">
        <v>15</v>
      </c>
      <c r="F692" s="50" cm="1" t="str">
        <f t="array" ref="F692:F692">OFFSET(E692,-1,1)</f>
        <v>4</v>
      </c>
      <c r="G692" s="107"/>
      <c r="H692" s="107"/>
      <c r="I692" s="107" t="s">
        <v>1249</v>
      </c>
      <c r="J692" s="107"/>
      <c r="K692" s="1278"/>
      <c r="L692" s="980" t="s">
        <v>1263</v>
      </c>
      <c r="M692" s="107"/>
      <c r="N692" s="107"/>
      <c r="O692" s="107"/>
      <c r="P692" s="107"/>
      <c r="Q692" s="107"/>
      <c r="R692" s="107"/>
      <c r="S692" s="107"/>
      <c r="T692" s="465" cm="1" t="str">
        <f t="array" ref="T692:T692">T691</f>
        <v>true</v>
      </c>
      <c r="U692" s="107"/>
      <c r="V692" s="107"/>
      <c r="W692" s="107"/>
      <c r="X692" s="1596"/>
      <c r="Y692" s="1278"/>
      <c r="Z692" s="1546"/>
      <c r="AA692" s="1278"/>
      <c r="AB692" s="300" t="s">
        <v>1384</v>
      </c>
      <c r="AC692" s="762" t="s">
        <v>2538</v>
      </c>
      <c r="AD692" s="300" t="s">
        <v>1514</v>
      </c>
      <c r="AE692" s="3946">
        <f>_xlfn.SUMIFS('ИП + источники'!AF$27:AF$203,'ИП + источники'!$F$27:$F$203,$F692,'ИП + источники'!$AC$27:$AC$203,"Амортизационные отчисления")+_xlfn.SUMIFS('ИП + источники'!AF$27:AF$203,'ИП + источники'!$F$27:$F$203,$F692,'ИП + источники'!$AC$27:$AC$203,"погашение займов и кредитов из амортизации")</f>
        <v>0</v>
      </c>
      <c r="AF692" s="3946">
        <f>_xlfn.SUMIFS('ИП + источники'!AG$27:AG$203,'ИП + источники'!$F$27:$F$203,$F692,'ИП + источники'!$AC$27:$AC$203,"Амортизационные отчисления")+_xlfn.SUMIFS('ИП + источники'!AG$27:AG$203,'ИП + источники'!$F$27:$F$203,$F692,'ИП + источники'!$AC$27:$AC$203,"погашение займов и кредитов из амортизации")</f>
        <v>0</v>
      </c>
      <c r="AG692" s="3946">
        <f>_xlfn.SUMIFS('ИП + источники'!AH$27:AH$203,'ИП + источники'!$F$27:$F$203,$F692,'ИП + источники'!$AC$27:$AC$203,"Амортизационные отчисления")+_xlfn.SUMIFS('ИП + источники'!AH$27:AH$203,'ИП + источники'!$F$27:$F$203,$F692,'ИП + источники'!$AC$27:$AC$203,"погашение займов и кредитов из амортизации")</f>
        <v>0</v>
      </c>
      <c r="AH692" s="1114">
        <f>AG692-AF692</f>
        <v>0</v>
      </c>
      <c r="AI692" s="3946">
        <f>_xlfn.SUMIFS('ИП + источники'!AJ$27:AJ$203,'ИП + источники'!$F$27:$F$203,$F692,'ИП + источники'!$AC$27:$AC$203,"Амортизационные отчисления")+_xlfn.SUMIFS('ИП + источники'!AJ$27:AJ$203,'ИП + источники'!$F$27:$F$203,$F692,'ИП + источники'!$AC$27:$AC$203,"погашение займов и кредитов из амортизации")</f>
        <v>0</v>
      </c>
      <c r="AJ692" s="3946">
        <f>_xlfn.SUMIFS('ИП + источники'!AK$27:AK$203,'ИП + источники'!$F$27:$F$203,$F692,'ИП + источники'!$AC$27:$AC$203,"Амортизационные отчисления")+_xlfn.SUMIFS('ИП + источники'!AK$27:AK$203,'ИП + источники'!$F$27:$F$203,$F692,'ИП + источники'!$AC$27:$AC$203,"погашение займов и кредитов из амортизации")</f>
        <v>0</v>
      </c>
      <c r="AK692" s="3946">
        <f>_xlfn.SUMIFS('ИП + источники'!AL$27:AL$203,'ИП + источники'!$F$27:$F$203,$F692,'ИП + источники'!$AC$27:$AC$203,"Амортизационные отчисления")+_xlfn.SUMIFS('ИП + источники'!AL$27:AL$203,'ИП + источники'!$F$27:$F$203,$F692,'ИП + источники'!$AC$27:$AC$203,"погашение займов и кредитов из амортизации")</f>
        <v>0</v>
      </c>
      <c r="AL692" s="3946">
        <f>_xlfn.SUMIFS('ИП + источники'!AM$27:AM$203,'ИП + источники'!$F$27:$F$203,$F692,'ИП + источники'!$AC$27:$AC$203,"Амортизационные отчисления")+_xlfn.SUMIFS('ИП + источники'!AM$27:AM$203,'ИП + источники'!$F$27:$F$203,$F692,'ИП + источники'!$AC$27:$AC$203,"погашение займов и кредитов из амортизации")</f>
        <v>0</v>
      </c>
      <c r="AM692" s="3946">
        <f>_xlfn.SUMIFS('ИП + источники'!AN$27:AN$203,'ИП + источники'!$F$27:$F$203,$F692,'ИП + источники'!$AC$27:$AC$203,"Амортизационные отчисления")+_xlfn.SUMIFS('ИП + источники'!AN$27:AN$203,'ИП + источники'!$F$27:$F$203,$F692,'ИП + источники'!$AC$27:$AC$203,"погашение займов и кредитов из амортизации")</f>
        <v>0</v>
      </c>
      <c r="AN692" s="3946">
        <f>_xlfn.SUMIFS('ИП + источники'!AO$27:AO$203,'ИП + источники'!$F$27:$F$203,$F692,'ИП + источники'!$AC$27:$AC$203,"Амортизационные отчисления")+_xlfn.SUMIFS('ИП + источники'!AO$27:AO$203,'ИП + источники'!$F$27:$F$203,$F692,'ИП + источники'!$AC$27:$AC$203,"погашение займов и кредитов из амортизации")</f>
        <v>0</v>
      </c>
      <c r="AO692" s="1241">
        <f>_xlfn.SUMIFS('ИП + источники'!AP$27:AP$203,'ИП + источники'!$F$27:$F$203,$F692,'ИП + источники'!$AC$27:$AC$203,"Амортизационные отчисления")+_xlfn.SUMIFS('ИП + источники'!AP$27:AP$203,'ИП + источники'!$F$27:$F$203,$F692,'ИП + источники'!$AC$27:$AC$203,"погашение займов и кредитов из амортизации")</f>
        <v>0</v>
      </c>
      <c r="AP692" s="1241">
        <f>_xlfn.SUMIFS('ИП + источники'!AQ$27:AQ$203,'ИП + источники'!$F$27:$F$203,$F692,'ИП + источники'!$AC$27:$AC$203,"Амортизационные отчисления")+_xlfn.SUMIFS('ИП + источники'!AQ$27:AQ$203,'ИП + источники'!$F$27:$F$203,$F692,'ИП + источники'!$AC$27:$AC$203,"погашение займов и кредитов из амортизации")</f>
        <v>0</v>
      </c>
      <c r="AQ692" s="1241">
        <f>_xlfn.SUMIFS('ИП + источники'!AR$27:AR$203,'ИП + источники'!$F$27:$F$203,$F692,'ИП + источники'!$AC$27:$AC$203,"Амортизационные отчисления")+_xlfn.SUMIFS('ИП + источники'!AR$27:AR$203,'ИП + источники'!$F$27:$F$203,$F692,'ИП + источники'!$AC$27:$AC$203,"погашение займов и кредитов из амортизации")</f>
        <v>0</v>
      </c>
      <c r="AR692" s="1241">
        <f>_xlfn.SUMIFS('ИП + источники'!AS$27:AS$203,'ИП + источники'!$F$27:$F$203,$F692,'ИП + источники'!$AC$27:$AC$203,"Амортизационные отчисления")+_xlfn.SUMIFS('ИП + источники'!AS$27:AS$203,'ИП + источники'!$F$27:$F$203,$F692,'ИП + источники'!$AC$27:$AC$203,"погашение займов и кредитов из амортизации")</f>
        <v>0</v>
      </c>
      <c r="AS692" s="1241">
        <f>_xlfn.SUMIFS('ИП + источники'!AT$27:AT$203,'ИП + источники'!$F$27:$F$203,$F692,'ИП + источники'!$AC$27:$AC$203,"Амортизационные отчисления")+_xlfn.SUMIFS('ИП + источники'!AT$27:AT$203,'ИП + источники'!$F$27:$F$203,$F692,'ИП + источники'!$AC$27:$AC$203,"погашение займов и кредитов из амортизации")</f>
        <v>0</v>
      </c>
      <c r="AT692" s="3946">
        <f>_xlfn.SUMIFS('ИП + источники'!AU$27:AU$203,'ИП + источники'!$F$27:$F$203,$F692,'ИП + источники'!$AC$27:$AC$203,"Амортизационные отчисления")+_xlfn.SUMIFS('ИП + источники'!AU$27:AU$203,'ИП + источники'!$F$27:$F$203,$F692,'ИП + источники'!$AC$27:$AC$203,"погашение займов и кредитов из амортизации")</f>
        <v>0</v>
      </c>
      <c r="AU692" s="3946">
        <f>_xlfn.SUMIFS('ИП + источники'!AV$27:AV$203,'ИП + источники'!$F$27:$F$203,$F692,'ИП + источники'!$AC$27:$AC$203,"Амортизационные отчисления")+_xlfn.SUMIFS('ИП + источники'!AV$27:AV$203,'ИП + источники'!$F$27:$F$203,$F692,'ИП + источники'!$AC$27:$AC$203,"погашение займов и кредитов из амортизации")</f>
        <v>0</v>
      </c>
      <c r="AV692" s="3946" cm="1" t="str">
        <f t="array" ref="AV692:AV692">AV691</f>
        <v>2114.31</v>
      </c>
      <c r="AW692" s="3946" cm="1" t="str">
        <f t="array" ref="AW692:AW692">AW691</f>
        <v>7657.51</v>
      </c>
      <c r="AX692" s="3946" cm="1" t="str">
        <f t="array" ref="AX692:AX692">AX691</f>
        <v>32710.78</v>
      </c>
      <c r="AY692" s="1241">
        <f>_xlfn.SUMIFS('ИП + источники'!AZ$27:AZ$203,'ИП + источники'!$F$27:$F$203,$F692,'ИП + источники'!$AC$27:$AC$203,"Амортизационные отчисления")+_xlfn.SUMIFS('ИП + источники'!AZ$27:AZ$203,'ИП + источники'!$F$27:$F$203,$F692,'ИП + источники'!$AC$27:$AC$203,"погашение займов и кредитов из амортизации")</f>
        <v>0</v>
      </c>
      <c r="AZ692" s="1241">
        <f>_xlfn.SUMIFS('ИП + источники'!BA$27:BA$203,'ИП + источники'!$F$27:$F$203,$F692,'ИП + источники'!$AC$27:$AC$203,"Амортизационные отчисления")+_xlfn.SUMIFS('ИП + источники'!BA$27:BA$203,'ИП + источники'!$F$27:$F$203,$F692,'ИП + источники'!$AC$27:$AC$203,"погашение займов и кредитов из амортизации")</f>
        <v>0</v>
      </c>
      <c r="BA692" s="1241">
        <f>_xlfn.SUMIFS('ИП + источники'!BB$27:BB$203,'ИП + источники'!$F$27:$F$203,$F692,'ИП + источники'!$AC$27:$AC$203,"Амортизационные отчисления")+_xlfn.SUMIFS('ИП + источники'!BB$27:BB$203,'ИП + источники'!$F$27:$F$203,$F692,'ИП + источники'!$AC$27:$AC$203,"погашение займов и кредитов из амортизации")</f>
        <v>0</v>
      </c>
      <c r="BB692" s="1241">
        <f>_xlfn.SUMIFS('ИП + источники'!BC$27:BC$203,'ИП + источники'!$F$27:$F$203,$F692,'ИП + источники'!$AC$27:$AC$203,"Амортизационные отчисления")+_xlfn.SUMIFS('ИП + источники'!BC$27:BC$203,'ИП + источники'!$F$27:$F$203,$F692,'ИП + источники'!$AC$27:$AC$203,"погашение займов и кредитов из амортизации")</f>
        <v>0</v>
      </c>
      <c r="BC692" s="1241">
        <f>_xlfn.SUMIFS('ИП + источники'!BD$27:BD$203,'ИП + источники'!$F$27:$F$203,$F692,'ИП + источники'!$AC$27:$AC$203,"Амортизационные отчисления")+_xlfn.SUMIFS('ИП + источники'!BD$27:BD$203,'ИП + источники'!$F$27:$F$203,$F692,'ИП + источники'!$AC$27:$AC$203,"погашение займов и кредитов из амортизации")</f>
        <v>0</v>
      </c>
      <c r="BD692" s="1114">
        <f>IF(AI692=0,0,(AT692-AI692)/AI692*100)</f>
        <v>0</v>
      </c>
      <c r="BE692" s="1114">
        <f>IF(AT692=0,0,(AU692-AT692)/AT692*100)</f>
        <v>0</v>
      </c>
      <c r="BF692" s="1114">
        <f>IF(AU692=0,0,(AV692-AU692)/AU692*100)</f>
        <v>0</v>
      </c>
      <c r="BG692" s="1114">
        <f>IF(AV692=0,0,(AW692-AV692)/AV692*100)</f>
        <v>262.175366904569</v>
      </c>
      <c r="BH692" s="1114">
        <f>IF(AW692=0,0,(AX692-AW692)/AW692*100)</f>
        <v>327.172540421103</v>
      </c>
      <c r="BI692" s="1114">
        <f>IF(AX692=0,0,(AY692-AX692)/AX692*100)</f>
        <v>-100</v>
      </c>
      <c r="BJ692" s="1114">
        <f>IF(AY692=0,0,(AZ692-AY692)/AY692*100)</f>
        <v>0</v>
      </c>
      <c r="BK692" s="1114">
        <f>IF(AZ692=0,0,(BA692-AZ692)/AZ692*100)</f>
        <v>0</v>
      </c>
      <c r="BL692" s="1114">
        <f>IF(BA692=0,0,(BB692-BA692)/BA692*100)</f>
        <v>0</v>
      </c>
      <c r="BM692" s="1114">
        <f>IF(BB692=0,0,(BC692-BB692)/BB692*100)</f>
        <v>0</v>
      </c>
      <c r="BN692" s="7433"/>
      <c r="BO692" s="7433" t="s">
        <v>2930</v>
      </c>
      <c r="BP692" s="7433"/>
      <c r="BQ692" s="1278"/>
      <c r="BR692" s="1278"/>
      <c r="BS692" s="1064" t="s">
        <v>2539</v>
      </c>
      <c r="BT692" s="1064"/>
      <c r="BU692" s="1064"/>
      <c r="BV692" s="979"/>
      <c r="BW692" s="979"/>
    </row>
    <row s="7668" customFormat="1" customHeight="1" ht="20.25">
      <c r="A693" s="700"/>
      <c r="B693" s="432" cm="1" t="str">
        <f t="array" ref="B693:B693">B692</f>
        <v>true</v>
      </c>
      <c r="C693" s="109"/>
      <c r="D693" s="109"/>
      <c r="E693" s="826">
        <v>21</v>
      </c>
      <c r="F693" s="50" cm="1" t="str">
        <f t="array" ref="F693:F693">OFFSET(E693,-1,1)</f>
        <v>4</v>
      </c>
      <c r="G693" s="107" t="s">
        <v>2238</v>
      </c>
      <c r="H693" s="107"/>
      <c r="I693" s="107" t="s">
        <v>335</v>
      </c>
      <c r="J693" s="109"/>
      <c r="K693" s="158"/>
      <c r="L693" s="985" t="s">
        <v>1275</v>
      </c>
      <c r="M693" s="109"/>
      <c r="N693" s="109"/>
      <c r="O693" s="109"/>
      <c r="P693" s="109"/>
      <c r="Q693" s="109"/>
      <c r="R693" s="109"/>
      <c r="S693" s="109"/>
      <c r="T693" s="465" cm="1" t="str">
        <f t="array" ref="T693:T693">T692</f>
        <v>true</v>
      </c>
      <c r="U693" s="109"/>
      <c r="V693" s="109"/>
      <c r="W693" s="109"/>
      <c r="X693" s="1596"/>
      <c r="Y693" s="700"/>
      <c r="Z693" s="1546"/>
      <c r="AA693" s="700"/>
      <c r="AB693" s="211" t="s">
        <v>443</v>
      </c>
      <c r="AC693" s="212" t="s">
        <v>2238</v>
      </c>
      <c r="AD693" s="234" t="s">
        <v>1514</v>
      </c>
      <c r="AE693" s="213">
        <f>AE694+AE695+AE696+AE697</f>
        <v>0</v>
      </c>
      <c r="AF693" s="213">
        <f>AF694+AF695+AF696+AF697</f>
        <v>0</v>
      </c>
      <c r="AG693" s="213">
        <f>AG694+AG695+AG696+AG697</f>
        <v>0</v>
      </c>
      <c r="AH693" s="213">
        <f>AG693-AF693</f>
        <v>0</v>
      </c>
      <c r="AI693" s="213">
        <f>AI694+AI695+AI696+AI697</f>
        <v>0</v>
      </c>
      <c r="AJ693" s="213">
        <f>AJ694+AJ695+AJ696+AJ697</f>
        <v>0</v>
      </c>
      <c r="AK693" s="213">
        <f>AK694+AK695+AK696+AK697</f>
        <v>0</v>
      </c>
      <c r="AL693" s="213">
        <f>AL694+AL695+AL696+AL697</f>
        <v>0</v>
      </c>
      <c r="AM693" s="213">
        <f>AM694+AM695+AM696+AM697</f>
        <v>0</v>
      </c>
      <c r="AN693" s="213">
        <f>AN694+AN695+AN696+AN697</f>
        <v>0</v>
      </c>
      <c r="AO693" s="213">
        <f>AO694+AO695+AO696+AO697</f>
        <v>0</v>
      </c>
      <c r="AP693" s="213">
        <f>AP694+AP695+AP696+AP697</f>
        <v>0</v>
      </c>
      <c r="AQ693" s="213">
        <f>AQ694+AQ695+AQ696+AQ697</f>
        <v>0</v>
      </c>
      <c r="AR693" s="213">
        <f>AR694+AR695+AR696+AR697</f>
        <v>0</v>
      </c>
      <c r="AS693" s="213">
        <f>AS694+AS695+AS696+AS697</f>
        <v>0</v>
      </c>
      <c r="AT693" s="213">
        <f>AT694+AT695+AT696+AT697</f>
        <v>0</v>
      </c>
      <c r="AU693" s="213">
        <f>AU694+AU695+AU696+AU697</f>
        <v>0</v>
      </c>
      <c r="AV693" s="213">
        <f>AV694+AV695+AV696+AV697</f>
        <v>0</v>
      </c>
      <c r="AW693" s="213">
        <f>AW694+AW695+AW696+AW697</f>
        <v>0</v>
      </c>
      <c r="AX693" s="213">
        <f>AX694+AX695+AX696+AX697</f>
        <v>0</v>
      </c>
      <c r="AY693" s="213">
        <f>AY694+AY695+AY696+AY697</f>
        <v>0</v>
      </c>
      <c r="AZ693" s="213">
        <f>AZ694+AZ695+AZ696+AZ697</f>
        <v>0</v>
      </c>
      <c r="BA693" s="213">
        <f>BA694+BA695+BA696+BA697</f>
        <v>0</v>
      </c>
      <c r="BB693" s="213">
        <f>BB694+BB695+BB696+BB697</f>
        <v>0</v>
      </c>
      <c r="BC693" s="213">
        <f>BC694+BC695+BC696+BC697</f>
        <v>0</v>
      </c>
      <c r="BD693" s="778">
        <f>IF(AI693=0,0,(AT693-AI693)/AI693*100)</f>
        <v>0</v>
      </c>
      <c r="BE693" s="778">
        <f>IF(AT693=0,0,(AU693-AT693)/AT693*100)</f>
        <v>0</v>
      </c>
      <c r="BF693" s="778">
        <f>IF(AU693=0,0,(AV693-AU693)/AU693*100)</f>
        <v>0</v>
      </c>
      <c r="BG693" s="778">
        <f>IF(AV693=0,0,(AW693-AV693)/AV693*100)</f>
        <v>0</v>
      </c>
      <c r="BH693" s="778">
        <f>IF(AW693=0,0,(AX693-AW693)/AW693*100)</f>
        <v>0</v>
      </c>
      <c r="BI693" s="778">
        <f>IF(AX693=0,0,(AY693-AX693)/AX693*100)</f>
        <v>0</v>
      </c>
      <c r="BJ693" s="778">
        <f>IF(AY693=0,0,(AZ693-AY693)/AY693*100)</f>
        <v>0</v>
      </c>
      <c r="BK693" s="778">
        <f>IF(AZ693=0,0,(BA693-AZ693)/AZ693*100)</f>
        <v>0</v>
      </c>
      <c r="BL693" s="778">
        <f>IF(BA693=0,0,(BB693-BA693)/BA693*100)</f>
        <v>0</v>
      </c>
      <c r="BM693" s="778">
        <f>IF(BB693=0,0,(BC693-BB693)/BB693*100)</f>
        <v>0</v>
      </c>
      <c r="BN693" s="7433"/>
      <c r="BO693" s="7433"/>
      <c r="BP693" s="7433"/>
      <c r="BQ693" s="700"/>
      <c r="BR693" s="700"/>
      <c r="BS693" s="1063" t="s">
        <v>2242</v>
      </c>
      <c r="BT693" s="1070"/>
      <c r="BU693" s="1070"/>
      <c r="BV693" s="707"/>
      <c r="BW693" s="707"/>
    </row>
    <row s="1834" customFormat="1" customHeight="1" ht="14.25">
      <c r="A694" s="1278"/>
      <c r="B694" s="432" cm="1" t="str">
        <f t="array" ref="B694:B694">B693</f>
        <v>true</v>
      </c>
      <c r="C694" s="107"/>
      <c r="D694" s="107"/>
      <c r="E694" s="621">
        <v>15</v>
      </c>
      <c r="F694" s="50" cm="1" t="str">
        <f t="array" ref="F694:F694">OFFSET(E694,-1,1)</f>
        <v>4</v>
      </c>
      <c r="G694" s="107"/>
      <c r="H694" s="107"/>
      <c r="I694" s="107" t="s">
        <v>1263</v>
      </c>
      <c r="J694" s="107"/>
      <c r="K694" s="1278"/>
      <c r="L694" s="980"/>
      <c r="M694" s="107"/>
      <c r="N694" s="107"/>
      <c r="O694" s="107"/>
      <c r="P694" s="107"/>
      <c r="Q694" s="107"/>
      <c r="R694" s="107"/>
      <c r="S694" s="107"/>
      <c r="T694" s="465" cm="1" t="str">
        <f t="array" ref="T694:T694">T693</f>
        <v>true</v>
      </c>
      <c r="U694" s="107"/>
      <c r="V694" s="107"/>
      <c r="W694" s="107"/>
      <c r="X694" s="1596"/>
      <c r="Y694" s="1278"/>
      <c r="Z694" s="1546"/>
      <c r="AA694" s="1278"/>
      <c r="AB694" s="300" t="s">
        <v>1391</v>
      </c>
      <c r="AC694" s="762" t="s">
        <v>2832</v>
      </c>
      <c r="AD694" s="300" t="s">
        <v>1514</v>
      </c>
      <c r="AE694" s="3946">
        <f>_xlfn.SUMIFS('ИП + источники'!AF$27:AF$203,'ИП + источники'!$F$27:$F$203,$F694,'ИП + источники'!$AC$27:$AC$203,"погашение займов и кредитов из нормативной прибыли")</f>
        <v>0</v>
      </c>
      <c r="AF694" s="3946">
        <f>_xlfn.SUMIFS('ИП + источники'!AG$27:AG$203,'ИП + источники'!$F$27:$F$203,$F694,'ИП + источники'!$AC$27:$AC$203,"погашение займов и кредитов из нормативной прибыли")</f>
        <v>0</v>
      </c>
      <c r="AG694" s="3946">
        <f>_xlfn.SUMIFS('ИП + источники'!AH$27:AH$203,'ИП + источники'!$F$27:$F$203,$F694,'ИП + источники'!$AC$27:$AC$203,"погашение займов и кредитов из нормативной прибыли")</f>
        <v>0</v>
      </c>
      <c r="AH694" s="1114">
        <f>AG694-AF694</f>
        <v>0</v>
      </c>
      <c r="AI694" s="3946">
        <f>_xlfn.SUMIFS('ИП + источники'!AJ$27:AJ$203,'ИП + источники'!$F$27:$F$203,$F694,'ИП + источники'!$AC$27:$AC$203,"погашение займов и кредитов из нормативной прибыли")</f>
        <v>0</v>
      </c>
      <c r="AJ694" s="3946">
        <f>_xlfn.SUMIFS('ИП + источники'!AK$27:AK$203,'ИП + источники'!$F$27:$F$203,$F694,'ИП + источники'!$AC$27:$AC$203,"погашение займов и кредитов из нормативной прибыли")</f>
        <v>0</v>
      </c>
      <c r="AK694" s="3946">
        <f>_xlfn.SUMIFS('ИП + источники'!AL$27:AL$203,'ИП + источники'!$F$27:$F$203,$F694,'ИП + источники'!$AC$27:$AC$203,"погашение займов и кредитов из нормативной прибыли")</f>
        <v>0</v>
      </c>
      <c r="AL694" s="3946">
        <f>_xlfn.SUMIFS('ИП + источники'!AM$27:AM$203,'ИП + источники'!$F$27:$F$203,$F694,'ИП + источники'!$AC$27:$AC$203,"погашение займов и кредитов из нормативной прибыли")</f>
        <v>0</v>
      </c>
      <c r="AM694" s="3946">
        <f>_xlfn.SUMIFS('ИП + источники'!AN$27:AN$203,'ИП + источники'!$F$27:$F$203,$F694,'ИП + источники'!$AC$27:$AC$203,"погашение займов и кредитов из нормативной прибыли")</f>
        <v>0</v>
      </c>
      <c r="AN694" s="3946">
        <f>_xlfn.SUMIFS('ИП + источники'!AO$27:AO$203,'ИП + источники'!$F$27:$F$203,$F694,'ИП + источники'!$AC$27:$AC$203,"погашение займов и кредитов из нормативной прибыли")</f>
        <v>0</v>
      </c>
      <c r="AO694" s="1241">
        <f>_xlfn.SUMIFS('ИП + источники'!AP$27:AP$203,'ИП + источники'!$F$27:$F$203,$F694,'ИП + источники'!$AC$27:$AC$203,"погашение займов и кредитов из нормативной прибыли")</f>
        <v>0</v>
      </c>
      <c r="AP694" s="1241">
        <f>_xlfn.SUMIFS('ИП + источники'!AQ$27:AQ$203,'ИП + источники'!$F$27:$F$203,$F694,'ИП + источники'!$AC$27:$AC$203,"погашение займов и кредитов из нормативной прибыли")</f>
        <v>0</v>
      </c>
      <c r="AQ694" s="1241">
        <f>_xlfn.SUMIFS('ИП + источники'!AR$27:AR$203,'ИП + источники'!$F$27:$F$203,$F694,'ИП + источники'!$AC$27:$AC$203,"погашение займов и кредитов из нормативной прибыли")</f>
        <v>0</v>
      </c>
      <c r="AR694" s="1241">
        <f>_xlfn.SUMIFS('ИП + источники'!AS$27:AS$203,'ИП + источники'!$F$27:$F$203,$F694,'ИП + источники'!$AC$27:$AC$203,"погашение займов и кредитов из нормативной прибыли")</f>
        <v>0</v>
      </c>
      <c r="AS694" s="1241">
        <f>_xlfn.SUMIFS('ИП + источники'!AT$27:AT$203,'ИП + источники'!$F$27:$F$203,$F694,'ИП + источники'!$AC$27:$AC$203,"погашение займов и кредитов из нормативной прибыли")</f>
        <v>0</v>
      </c>
      <c r="AT694" s="3946">
        <f>_xlfn.SUMIFS('ИП + источники'!AU$27:AU$203,'ИП + источники'!$F$27:$F$203,$F694,'ИП + источники'!$AC$27:$AC$203,"погашение займов и кредитов из нормативной прибыли")</f>
        <v>0</v>
      </c>
      <c r="AU694" s="3946">
        <f>_xlfn.SUMIFS('ИП + источники'!AV$27:AV$203,'ИП + источники'!$F$27:$F$203,$F694,'ИП + источники'!$AC$27:$AC$203,"погашение займов и кредитов из нормативной прибыли")</f>
        <v>0</v>
      </c>
      <c r="AV694" s="3946">
        <f>_xlfn.SUMIFS('ИП + источники'!AW$27:AW$203,'ИП + источники'!$F$27:$F$203,$F694,'ИП + источники'!$AC$27:$AC$203,"погашение займов и кредитов из нормативной прибыли")</f>
        <v>0</v>
      </c>
      <c r="AW694" s="3946">
        <f>_xlfn.SUMIFS('ИП + источники'!AX$27:AX$203,'ИП + источники'!$F$27:$F$203,$F694,'ИП + источники'!$AC$27:$AC$203,"погашение займов и кредитов из нормативной прибыли")</f>
        <v>0</v>
      </c>
      <c r="AX694" s="3946">
        <f>_xlfn.SUMIFS('ИП + источники'!AY$27:AY$203,'ИП + источники'!$F$27:$F$203,$F694,'ИП + источники'!$AC$27:$AC$203,"погашение займов и кредитов из нормативной прибыли")</f>
        <v>0</v>
      </c>
      <c r="AY694" s="1241">
        <f>_xlfn.SUMIFS('ИП + источники'!AZ$27:AZ$203,'ИП + источники'!$F$27:$F$203,$F694,'ИП + источники'!$AC$27:$AC$203,"погашение займов и кредитов из нормативной прибыли")</f>
        <v>0</v>
      </c>
      <c r="AZ694" s="1241">
        <f>_xlfn.SUMIFS('ИП + источники'!BA$27:BA$203,'ИП + источники'!$F$27:$F$203,$F694,'ИП + источники'!$AC$27:$AC$203,"погашение займов и кредитов из нормативной прибыли")</f>
        <v>0</v>
      </c>
      <c r="BA694" s="1241">
        <f>_xlfn.SUMIFS('ИП + источники'!BB$27:BB$203,'ИП + источники'!$F$27:$F$203,$F694,'ИП + источники'!$AC$27:$AC$203,"погашение займов и кредитов из нормативной прибыли")</f>
        <v>0</v>
      </c>
      <c r="BB694" s="1241">
        <f>_xlfn.SUMIFS('ИП + источники'!BC$27:BC$203,'ИП + источники'!$F$27:$F$203,$F694,'ИП + источники'!$AC$27:$AC$203,"погашение займов и кредитов из нормативной прибыли")</f>
        <v>0</v>
      </c>
      <c r="BC694" s="1241">
        <f>_xlfn.SUMIFS('ИП + источники'!BD$27:BD$203,'ИП + источники'!$F$27:$F$203,$F694,'ИП + источники'!$AC$27:$AC$203,"погашение займов и кредитов из нормативной прибыли")</f>
        <v>0</v>
      </c>
      <c r="BD694" s="1114">
        <f>IF(AI694=0,0,(AT694-AI694)/AI694*100)</f>
        <v>0</v>
      </c>
      <c r="BE694" s="1114">
        <f>IF(AT694=0,0,(AU694-AT694)/AT694*100)</f>
        <v>0</v>
      </c>
      <c r="BF694" s="1114">
        <f>IF(AU694=0,0,(AV694-AU694)/AU694*100)</f>
        <v>0</v>
      </c>
      <c r="BG694" s="1114">
        <f>IF(AV694=0,0,(AW694-AV694)/AV694*100)</f>
        <v>0</v>
      </c>
      <c r="BH694" s="1114">
        <f>IF(AW694=0,0,(AX694-AW694)/AW694*100)</f>
        <v>0</v>
      </c>
      <c r="BI694" s="1114">
        <f>IF(AX694=0,0,(AY694-AX694)/AX694*100)</f>
        <v>0</v>
      </c>
      <c r="BJ694" s="1114">
        <f>IF(AY694=0,0,(AZ694-AY694)/AY694*100)</f>
        <v>0</v>
      </c>
      <c r="BK694" s="1114">
        <f>IF(AZ694=0,0,(BA694-AZ694)/AZ694*100)</f>
        <v>0</v>
      </c>
      <c r="BL694" s="1114">
        <f>IF(BA694=0,0,(BB694-BA694)/BA694*100)</f>
        <v>0</v>
      </c>
      <c r="BM694" s="1114">
        <f>IF(BB694=0,0,(BC694-BB694)/BB694*100)</f>
        <v>0</v>
      </c>
      <c r="BN694" s="7433"/>
      <c r="BO694" s="7437" t="str">
        <f>IF(_xlfn.IFERROR(INDEX('ИП + источники'!$K$57:$L$203,MATCH($F694&amp;"2komm",'ИП + источники'!$K$57:$K$203,0),2),"")=0,"",_xlfn.IFERROR(INDEX('ИП + источники'!$K$57:$L$203,MATCH($F694&amp;"2komm",'ИП + источники'!$K$57:$K$203,0),2),""))</f>
        <v/>
      </c>
      <c r="BP694" s="7433"/>
      <c r="BQ694" s="1278"/>
      <c r="BR694" s="1278"/>
      <c r="BS694" s="1064" t="s">
        <v>2833</v>
      </c>
      <c r="BT694" s="1064"/>
      <c r="BU694" s="1064"/>
      <c r="BV694" s="979"/>
      <c r="BW694" s="979"/>
    </row>
    <row s="1834" customFormat="1" customHeight="1" ht="14.25">
      <c r="A695" s="1278"/>
      <c r="B695" s="432" cm="1" t="str">
        <f t="array" ref="B695:B695">B694</f>
        <v>true</v>
      </c>
      <c r="C695" s="107"/>
      <c r="D695" s="107"/>
      <c r="E695" s="621">
        <v>15</v>
      </c>
      <c r="F695" s="50" cm="1" t="str">
        <f t="array" ref="F695:F695">OFFSET(E695,-1,1)</f>
        <v>4</v>
      </c>
      <c r="G695" s="107"/>
      <c r="H695" s="107"/>
      <c r="I695" s="107" t="s">
        <v>1267</v>
      </c>
      <c r="J695" s="107"/>
      <c r="K695" s="1278"/>
      <c r="L695" s="980"/>
      <c r="M695" s="107"/>
      <c r="N695" s="107"/>
      <c r="O695" s="107"/>
      <c r="P695" s="107"/>
      <c r="Q695" s="107"/>
      <c r="R695" s="107"/>
      <c r="S695" s="107"/>
      <c r="T695" s="465" cm="1" t="str">
        <f t="array" ref="T695:T695">T694</f>
        <v>true</v>
      </c>
      <c r="U695" s="107"/>
      <c r="V695" s="107"/>
      <c r="W695" s="107"/>
      <c r="X695" s="1596"/>
      <c r="Y695" s="1278"/>
      <c r="Z695" s="1546"/>
      <c r="AA695" s="1278"/>
      <c r="AB695" s="300" t="s">
        <v>1394</v>
      </c>
      <c r="AC695" s="762" t="s">
        <v>2834</v>
      </c>
      <c r="AD695" s="300" t="s">
        <v>1514</v>
      </c>
      <c r="AE695" s="3946">
        <f>_xlfn.SUMIFS('ИП + источники'!AF$27:AF$203,'ИП + источники'!$F$27:$F$203,$F695,'ИП + источники'!$AC$27:$AC$203,"уплата процентов по кредитам из нормативной прибыли")</f>
        <v>0</v>
      </c>
      <c r="AF695" s="3946">
        <f>_xlfn.SUMIFS('ИП + источники'!AG$27:AG$203,'ИП + источники'!$F$27:$F$203,$F695,'ИП + источники'!$AC$27:$AC$203,"уплата процентов по кредитам из нормативной прибыли")</f>
        <v>0</v>
      </c>
      <c r="AG695" s="3946">
        <f>_xlfn.SUMIFS('ИП + источники'!AH$27:AH$203,'ИП + источники'!$F$27:$F$203,$F695,'ИП + источники'!$AC$27:$AC$203,"уплата процентов по кредитам из нормативной прибыли")</f>
        <v>0</v>
      </c>
      <c r="AH695" s="1114">
        <f>AG695-AF695</f>
        <v>0</v>
      </c>
      <c r="AI695" s="3946">
        <f>_xlfn.SUMIFS('ИП + источники'!AJ$27:AJ$203,'ИП + источники'!$F$27:$F$203,$F695,'ИП + источники'!$AC$27:$AC$203,"уплата процентов по кредитам из нормативной прибыли")</f>
        <v>0</v>
      </c>
      <c r="AJ695" s="3946">
        <f>_xlfn.SUMIFS('ИП + источники'!AK$27:AK$203,'ИП + источники'!$F$27:$F$203,$F695,'ИП + источники'!$AC$27:$AC$203,"уплата процентов по кредитам из нормативной прибыли")</f>
        <v>0</v>
      </c>
      <c r="AK695" s="3946">
        <f>_xlfn.SUMIFS('ИП + источники'!AL$27:AL$203,'ИП + источники'!$F$27:$F$203,$F695,'ИП + источники'!$AC$27:$AC$203,"уплата процентов по кредитам из нормативной прибыли")</f>
        <v>0</v>
      </c>
      <c r="AL695" s="3946">
        <f>_xlfn.SUMIFS('ИП + источники'!AM$27:AM$203,'ИП + источники'!$F$27:$F$203,$F695,'ИП + источники'!$AC$27:$AC$203,"уплата процентов по кредитам из нормативной прибыли")</f>
        <v>0</v>
      </c>
      <c r="AM695" s="3946">
        <f>_xlfn.SUMIFS('ИП + источники'!AN$27:AN$203,'ИП + источники'!$F$27:$F$203,$F695,'ИП + источники'!$AC$27:$AC$203,"уплата процентов по кредитам из нормативной прибыли")</f>
        <v>0</v>
      </c>
      <c r="AN695" s="3946">
        <f>_xlfn.SUMIFS('ИП + источники'!AO$27:AO$203,'ИП + источники'!$F$27:$F$203,$F695,'ИП + источники'!$AC$27:$AC$203,"уплата процентов по кредитам из нормативной прибыли")</f>
        <v>0</v>
      </c>
      <c r="AO695" s="1241">
        <f>_xlfn.SUMIFS('ИП + источники'!AP$27:AP$203,'ИП + источники'!$F$27:$F$203,$F695,'ИП + источники'!$AC$27:$AC$203,"уплата процентов по кредитам из нормативной прибыли")</f>
        <v>0</v>
      </c>
      <c r="AP695" s="1241">
        <f>_xlfn.SUMIFS('ИП + источники'!AQ$27:AQ$203,'ИП + источники'!$F$27:$F$203,$F695,'ИП + источники'!$AC$27:$AC$203,"уплата процентов по кредитам из нормативной прибыли")</f>
        <v>0</v>
      </c>
      <c r="AQ695" s="1241">
        <f>_xlfn.SUMIFS('ИП + источники'!AR$27:AR$203,'ИП + источники'!$F$27:$F$203,$F695,'ИП + источники'!$AC$27:$AC$203,"уплата процентов по кредитам из нормативной прибыли")</f>
        <v>0</v>
      </c>
      <c r="AR695" s="1241">
        <f>_xlfn.SUMIFS('ИП + источники'!AS$27:AS$203,'ИП + источники'!$F$27:$F$203,$F695,'ИП + источники'!$AC$27:$AC$203,"уплата процентов по кредитам из нормативной прибыли")</f>
        <v>0</v>
      </c>
      <c r="AS695" s="1241">
        <f>_xlfn.SUMIFS('ИП + источники'!AT$27:AT$203,'ИП + источники'!$F$27:$F$203,$F695,'ИП + источники'!$AC$27:$AC$203,"уплата процентов по кредитам из нормативной прибыли")</f>
        <v>0</v>
      </c>
      <c r="AT695" s="3946">
        <f>_xlfn.SUMIFS('ИП + источники'!AU$27:AU$203,'ИП + источники'!$F$27:$F$203,$F695,'ИП + источники'!$AC$27:$AC$203,"уплата процентов по кредитам из нормативной прибыли")</f>
        <v>0</v>
      </c>
      <c r="AU695" s="3946">
        <f>_xlfn.SUMIFS('ИП + источники'!AV$27:AV$203,'ИП + источники'!$F$27:$F$203,$F695,'ИП + источники'!$AC$27:$AC$203,"уплата процентов по кредитам из нормативной прибыли")</f>
        <v>0</v>
      </c>
      <c r="AV695" s="3946">
        <f>_xlfn.SUMIFS('ИП + источники'!AW$27:AW$203,'ИП + источники'!$F$27:$F$203,$F695,'ИП + источники'!$AC$27:$AC$203,"уплата процентов по кредитам из нормативной прибыли")</f>
        <v>0</v>
      </c>
      <c r="AW695" s="3946">
        <f>_xlfn.SUMIFS('ИП + источники'!AX$27:AX$203,'ИП + источники'!$F$27:$F$203,$F695,'ИП + источники'!$AC$27:$AC$203,"уплата процентов по кредитам из нормативной прибыли")</f>
        <v>0</v>
      </c>
      <c r="AX695" s="3946">
        <f>_xlfn.SUMIFS('ИП + источники'!AY$27:AY$203,'ИП + источники'!$F$27:$F$203,$F695,'ИП + источники'!$AC$27:$AC$203,"уплата процентов по кредитам из нормативной прибыли")</f>
        <v>0</v>
      </c>
      <c r="AY695" s="1241">
        <f>_xlfn.SUMIFS('ИП + источники'!AZ$27:AZ$203,'ИП + источники'!$F$27:$F$203,$F695,'ИП + источники'!$AC$27:$AC$203,"уплата процентов по кредитам из нормативной прибыли")</f>
        <v>0</v>
      </c>
      <c r="AZ695" s="1241">
        <f>_xlfn.SUMIFS('ИП + источники'!BA$27:BA$203,'ИП + источники'!$F$27:$F$203,$F695,'ИП + источники'!$AC$27:$AC$203,"уплата процентов по кредитам из нормативной прибыли")</f>
        <v>0</v>
      </c>
      <c r="BA695" s="1241">
        <f>_xlfn.SUMIFS('ИП + источники'!BB$27:BB$203,'ИП + источники'!$F$27:$F$203,$F695,'ИП + источники'!$AC$27:$AC$203,"уплата процентов по кредитам из нормативной прибыли")</f>
        <v>0</v>
      </c>
      <c r="BB695" s="1241">
        <f>_xlfn.SUMIFS('ИП + источники'!BC$27:BC$203,'ИП + источники'!$F$27:$F$203,$F695,'ИП + источники'!$AC$27:$AC$203,"уплата процентов по кредитам из нормативной прибыли")</f>
        <v>0</v>
      </c>
      <c r="BC695" s="1241">
        <f>_xlfn.SUMIFS('ИП + источники'!BD$27:BD$203,'ИП + источники'!$F$27:$F$203,$F695,'ИП + источники'!$AC$27:$AC$203,"уплата процентов по кредитам из нормативной прибыли")</f>
        <v>0</v>
      </c>
      <c r="BD695" s="1114">
        <f>IF(AI695=0,0,(AT695-AI695)/AI695*100)</f>
        <v>0</v>
      </c>
      <c r="BE695" s="1114">
        <f>IF(AT695=0,0,(AU695-AT695)/AT695*100)</f>
        <v>0</v>
      </c>
      <c r="BF695" s="1114">
        <f>IF(AU695=0,0,(AV695-AU695)/AU695*100)</f>
        <v>0</v>
      </c>
      <c r="BG695" s="1114">
        <f>IF(AV695=0,0,(AW695-AV695)/AV695*100)</f>
        <v>0</v>
      </c>
      <c r="BH695" s="1114">
        <f>IF(AW695=0,0,(AX695-AW695)/AW695*100)</f>
        <v>0</v>
      </c>
      <c r="BI695" s="1114">
        <f>IF(AX695=0,0,(AY695-AX695)/AX695*100)</f>
        <v>0</v>
      </c>
      <c r="BJ695" s="1114">
        <f>IF(AY695=0,0,(AZ695-AY695)/AY695*100)</f>
        <v>0</v>
      </c>
      <c r="BK695" s="1114">
        <f>IF(AZ695=0,0,(BA695-AZ695)/AZ695*100)</f>
        <v>0</v>
      </c>
      <c r="BL695" s="1114">
        <f>IF(BA695=0,0,(BB695-BA695)/BA695*100)</f>
        <v>0</v>
      </c>
      <c r="BM695" s="1114">
        <f>IF(BB695=0,0,(BC695-BB695)/BB695*100)</f>
        <v>0</v>
      </c>
      <c r="BN695" s="7433"/>
      <c r="BO695" s="7437" t="str">
        <f>IF(_xlfn.IFERROR(INDEX('ИП + источники'!$K$57:$L$203,MATCH($F695&amp;"3komm",'ИП + источники'!$K$57:$K$203,0),2),"")=0,"",_xlfn.IFERROR(INDEX('ИП + источники'!$K$57:$L$203,MATCH($F695&amp;"3komm",'ИП + источники'!$K$57:$K$203,0),2),""))</f>
        <v/>
      </c>
      <c r="BP695" s="7433"/>
      <c r="BQ695" s="1278"/>
      <c r="BR695" s="1278"/>
      <c r="BS695" s="1064" t="s">
        <v>2835</v>
      </c>
      <c r="BT695" s="1064"/>
      <c r="BU695" s="1064"/>
      <c r="BV695" s="979"/>
      <c r="BW695" s="979"/>
    </row>
    <row s="1834" customFormat="1" customHeight="1" ht="14.25">
      <c r="A696" s="1278"/>
      <c r="B696" s="432" cm="1" t="str">
        <f t="array" ref="B696:B696">B695</f>
        <v>true</v>
      </c>
      <c r="C696" s="107"/>
      <c r="D696" s="107"/>
      <c r="E696" s="621">
        <v>15</v>
      </c>
      <c r="F696" s="50" cm="1" t="str">
        <f t="array" ref="F696:F696">OFFSET(E696,-1,1)</f>
        <v>4</v>
      </c>
      <c r="G696" s="107"/>
      <c r="H696" s="107"/>
      <c r="I696" s="107" t="s">
        <v>1479</v>
      </c>
      <c r="J696" s="107"/>
      <c r="K696" s="1278"/>
      <c r="L696" s="980" t="s">
        <v>1282</v>
      </c>
      <c r="M696" s="107"/>
      <c r="N696" s="107"/>
      <c r="O696" s="107"/>
      <c r="P696" s="107"/>
      <c r="Q696" s="107"/>
      <c r="R696" s="107"/>
      <c r="S696" s="107"/>
      <c r="T696" s="465" cm="1" t="str">
        <f t="array" ref="T696:T696">T695</f>
        <v>true</v>
      </c>
      <c r="U696" s="107"/>
      <c r="V696" s="107"/>
      <c r="W696" s="107"/>
      <c r="X696" s="1596"/>
      <c r="Y696" s="1278"/>
      <c r="Z696" s="1546"/>
      <c r="AA696" s="1278"/>
      <c r="AB696" s="300" t="s">
        <v>1683</v>
      </c>
      <c r="AC696" s="762" t="s">
        <v>2836</v>
      </c>
      <c r="AD696" s="300" t="s">
        <v>1514</v>
      </c>
      <c r="AE696" s="3946">
        <f>_xlfn.SUMIFS('ИП + источники'!AF$27:AF$203,'ИП + источники'!$F$27:$F$203,$F696,'ИП + источники'!$AC$27:$AC$203,"Прибыль на капвложения")</f>
        <v>0</v>
      </c>
      <c r="AF696" s="3946">
        <f>_xlfn.SUMIFS('ИП + источники'!AG$27:AG$203,'ИП + источники'!$F$27:$F$203,$F696,'ИП + источники'!$AC$27:$AC$203,"Прибыль на капвложения")</f>
        <v>0</v>
      </c>
      <c r="AG696" s="3946">
        <f>_xlfn.SUMIFS('ИП + источники'!AH$27:AH$203,'ИП + источники'!$F$27:$F$203,$F696,'ИП + источники'!$AC$27:$AC$203,"Прибыль на капвложения")</f>
        <v>0</v>
      </c>
      <c r="AH696" s="1114">
        <f>AG696-AF696</f>
        <v>0</v>
      </c>
      <c r="AI696" s="3946">
        <f>_xlfn.SUMIFS('ИП + источники'!AJ$27:AJ$203,'ИП + источники'!$F$27:$F$203,$F696,'ИП + источники'!$AC$27:$AC$203,"Прибыль на капвложения")</f>
        <v>0</v>
      </c>
      <c r="AJ696" s="3946">
        <f>_xlfn.SUMIFS('ИП + источники'!AK$27:AK$203,'ИП + источники'!$F$27:$F$203,$F696,'ИП + источники'!$AC$27:$AC$203,"Прибыль на капвложения")</f>
        <v>0</v>
      </c>
      <c r="AK696" s="3946">
        <f>_xlfn.SUMIFS('ИП + источники'!AL$27:AL$203,'ИП + источники'!$F$27:$F$203,$F696,'ИП + источники'!$AC$27:$AC$203,"Прибыль на капвложения")</f>
        <v>0</v>
      </c>
      <c r="AL696" s="3946">
        <f>_xlfn.SUMIFS('ИП + источники'!AM$27:AM$203,'ИП + источники'!$F$27:$F$203,$F696,'ИП + источники'!$AC$27:$AC$203,"Прибыль на капвложения")</f>
        <v>0</v>
      </c>
      <c r="AM696" s="3946">
        <f>_xlfn.SUMIFS('ИП + источники'!AN$27:AN$203,'ИП + источники'!$F$27:$F$203,$F696,'ИП + источники'!$AC$27:$AC$203,"Прибыль на капвложения")</f>
        <v>0</v>
      </c>
      <c r="AN696" s="3946">
        <f>_xlfn.SUMIFS('ИП + источники'!AO$27:AO$203,'ИП + источники'!$F$27:$F$203,$F696,'ИП + источники'!$AC$27:$AC$203,"Прибыль на капвложения")</f>
        <v>0</v>
      </c>
      <c r="AO696" s="1241">
        <f>_xlfn.SUMIFS('ИП + источники'!AP$27:AP$203,'ИП + источники'!$F$27:$F$203,$F696,'ИП + источники'!$AC$27:$AC$203,"Прибыль на капвложения")</f>
        <v>0</v>
      </c>
      <c r="AP696" s="1241">
        <f>_xlfn.SUMIFS('ИП + источники'!AQ$27:AQ$203,'ИП + источники'!$F$27:$F$203,$F696,'ИП + источники'!$AC$27:$AC$203,"Прибыль на капвложения")</f>
        <v>0</v>
      </c>
      <c r="AQ696" s="1241">
        <f>_xlfn.SUMIFS('ИП + источники'!AR$27:AR$203,'ИП + источники'!$F$27:$F$203,$F696,'ИП + источники'!$AC$27:$AC$203,"Прибыль на капвложения")</f>
        <v>0</v>
      </c>
      <c r="AR696" s="1241">
        <f>_xlfn.SUMIFS('ИП + источники'!AS$27:AS$203,'ИП + источники'!$F$27:$F$203,$F696,'ИП + источники'!$AC$27:$AC$203,"Прибыль на капвложения")</f>
        <v>0</v>
      </c>
      <c r="AS696" s="1241">
        <f>_xlfn.SUMIFS('ИП + источники'!AT$27:AT$203,'ИП + источники'!$F$27:$F$203,$F696,'ИП + источники'!$AC$27:$AC$203,"Прибыль на капвложения")</f>
        <v>0</v>
      </c>
      <c r="AT696" s="3946">
        <f>_xlfn.SUMIFS('ИП + источники'!AU$27:AU$203,'ИП + источники'!$F$27:$F$203,$F696,'ИП + источники'!$AC$27:$AC$203,"Прибыль на капвложения")</f>
        <v>0</v>
      </c>
      <c r="AU696" s="3946">
        <f>_xlfn.SUMIFS('ИП + источники'!AV$27:AV$203,'ИП + источники'!$F$27:$F$203,$F696,'ИП + источники'!$AC$27:$AC$203,"Прибыль на капвложения")</f>
        <v>0</v>
      </c>
      <c r="AV696" s="3946">
        <f>_xlfn.SUMIFS('ИП + источники'!AW$27:AW$203,'ИП + источники'!$F$27:$F$203,$F696,'ИП + источники'!$AC$27:$AC$203,"Прибыль на капвложения")</f>
        <v>0</v>
      </c>
      <c r="AW696" s="3946">
        <f>_xlfn.SUMIFS('ИП + источники'!AX$27:AX$203,'ИП + источники'!$F$27:$F$203,$F696,'ИП + источники'!$AC$27:$AC$203,"Прибыль на капвложения")</f>
        <v>0</v>
      </c>
      <c r="AX696" s="3946">
        <f>_xlfn.SUMIFS('ИП + источники'!AY$27:AY$203,'ИП + источники'!$F$27:$F$203,$F696,'ИП + источники'!$AC$27:$AC$203,"Прибыль на капвложения")</f>
        <v>0</v>
      </c>
      <c r="AY696" s="1241">
        <f>_xlfn.SUMIFS('ИП + источники'!AZ$27:AZ$203,'ИП + источники'!$F$27:$F$203,$F696,'ИП + источники'!$AC$27:$AC$203,"Прибыль на капвложения")</f>
        <v>0</v>
      </c>
      <c r="AZ696" s="1241">
        <f>_xlfn.SUMIFS('ИП + источники'!BA$27:BA$203,'ИП + источники'!$F$27:$F$203,$F696,'ИП + источники'!$AC$27:$AC$203,"Прибыль на капвложения")</f>
        <v>0</v>
      </c>
      <c r="BA696" s="1241">
        <f>_xlfn.SUMIFS('ИП + источники'!BB$27:BB$203,'ИП + источники'!$F$27:$F$203,$F696,'ИП + источники'!$AC$27:$AC$203,"Прибыль на капвложения")</f>
        <v>0</v>
      </c>
      <c r="BB696" s="1241">
        <f>_xlfn.SUMIFS('ИП + источники'!BC$27:BC$203,'ИП + источники'!$F$27:$F$203,$F696,'ИП + источники'!$AC$27:$AC$203,"Прибыль на капвложения")</f>
        <v>0</v>
      </c>
      <c r="BC696" s="1241">
        <f>_xlfn.SUMIFS('ИП + источники'!BD$27:BD$203,'ИП + источники'!$F$27:$F$203,$F696,'ИП + источники'!$AC$27:$AC$203,"Прибыль на капвложения")</f>
        <v>0</v>
      </c>
      <c r="BD696" s="1114">
        <f>IF(AI696=0,0,(AT696-AI696)/AI696*100)</f>
        <v>0</v>
      </c>
      <c r="BE696" s="1114">
        <f>IF(AT696=0,0,(AU696-AT696)/AT696*100)</f>
        <v>0</v>
      </c>
      <c r="BF696" s="1114">
        <f>IF(AU696=0,0,(AV696-AU696)/AU696*100)</f>
        <v>0</v>
      </c>
      <c r="BG696" s="1114">
        <f>IF(AV696=0,0,(AW696-AV696)/AV696*100)</f>
        <v>0</v>
      </c>
      <c r="BH696" s="1114">
        <f>IF(AW696=0,0,(AX696-AW696)/AW696*100)</f>
        <v>0</v>
      </c>
      <c r="BI696" s="1114">
        <f>IF(AX696=0,0,(AY696-AX696)/AX696*100)</f>
        <v>0</v>
      </c>
      <c r="BJ696" s="1114">
        <f>IF(AY696=0,0,(AZ696-AY696)/AY696*100)</f>
        <v>0</v>
      </c>
      <c r="BK696" s="1114">
        <f>IF(AZ696=0,0,(BA696-AZ696)/AZ696*100)</f>
        <v>0</v>
      </c>
      <c r="BL696" s="1114">
        <f>IF(BA696=0,0,(BB696-BA696)/BA696*100)</f>
        <v>0</v>
      </c>
      <c r="BM696" s="1114">
        <f>IF(BB696=0,0,(BC696-BB696)/BB696*100)</f>
        <v>0</v>
      </c>
      <c r="BN696" s="7433"/>
      <c r="BO696" s="7437" t="str">
        <f>IF(_xlfn.IFERROR(INDEX('ИП + источники'!$K$57:$L$203,MATCH($F696&amp;"1komm",'ИП + источники'!$K$57:$K$203,0),2),"")=0,"",_xlfn.IFERROR(INDEX('ИП + источники'!$K$57:$L$203,MATCH($F696&amp;"1komm",'ИП + источники'!$K$57:$K$203,0),2),""))</f>
        <v/>
      </c>
      <c r="BP696" s="7433"/>
      <c r="BQ696" s="1278"/>
      <c r="BR696" s="1278"/>
      <c r="BS696" s="1064" t="s">
        <v>2546</v>
      </c>
      <c r="BT696" s="1064"/>
      <c r="BU696" s="1064"/>
      <c r="BV696" s="979"/>
      <c r="BW696" s="979"/>
    </row>
    <row s="1834" customFormat="1" customHeight="1" ht="21.75">
      <c r="A697" s="1278"/>
      <c r="B697" s="432" cm="1" t="str">
        <f t="array" ref="B697:B697">B696</f>
        <v>true</v>
      </c>
      <c r="C697" s="107"/>
      <c r="D697" s="107"/>
      <c r="E697" s="621">
        <v>22.5</v>
      </c>
      <c r="F697" s="50" cm="1" t="str">
        <f t="array" ref="F697:F697">OFFSET(E697,-1,1)</f>
        <v>4</v>
      </c>
      <c r="G697" s="107" t="s">
        <v>2837</v>
      </c>
      <c r="H697" s="107"/>
      <c r="I697" s="107" t="s">
        <v>1685</v>
      </c>
      <c r="J697" s="107"/>
      <c r="K697" s="1278"/>
      <c r="L697" s="980" t="s">
        <v>1286</v>
      </c>
      <c r="M697" s="107"/>
      <c r="N697" s="107"/>
      <c r="O697" s="107"/>
      <c r="P697" s="107"/>
      <c r="Q697" s="107"/>
      <c r="R697" s="107"/>
      <c r="S697" s="107"/>
      <c r="T697" s="465" cm="1" t="str">
        <f t="array" ref="T697:T697">T696</f>
        <v>true</v>
      </c>
      <c r="U697" s="107"/>
      <c r="V697" s="107"/>
      <c r="W697" s="107"/>
      <c r="X697" s="1596"/>
      <c r="Y697" s="1278"/>
      <c r="Z697" s="1546"/>
      <c r="AA697" s="1278"/>
      <c r="AB697" s="300" t="s">
        <v>1686</v>
      </c>
      <c r="AC697" s="762" t="s">
        <v>2838</v>
      </c>
      <c r="AD697" s="300" t="s">
        <v>1514</v>
      </c>
      <c r="AE697" s="3946"/>
      <c r="AF697" s="3946"/>
      <c r="AG697" s="3946"/>
      <c r="AH697" s="1114">
        <f>AG697-AF697</f>
        <v>0</v>
      </c>
      <c r="AI697" s="3946"/>
      <c r="AJ697" s="3946"/>
      <c r="AK697" s="3946"/>
      <c r="AL697" s="3946"/>
      <c r="AM697" s="3946"/>
      <c r="AN697" s="3946"/>
      <c r="AO697" s="1241"/>
      <c r="AP697" s="1241"/>
      <c r="AQ697" s="1241"/>
      <c r="AR697" s="1241"/>
      <c r="AS697" s="1241"/>
      <c r="AT697" s="3946"/>
      <c r="AU697" s="3946"/>
      <c r="AV697" s="3946"/>
      <c r="AW697" s="3946"/>
      <c r="AX697" s="3946"/>
      <c r="AY697" s="1241"/>
      <c r="AZ697" s="1241"/>
      <c r="BA697" s="1241"/>
      <c r="BB697" s="1241"/>
      <c r="BC697" s="1241"/>
      <c r="BD697" s="1114">
        <f>IF(AI697=0,0,(AT697-AI697)/AI697*100)</f>
        <v>0</v>
      </c>
      <c r="BE697" s="1114">
        <f>IF(AT697=0,0,(AU697-AT697)/AT697*100)</f>
        <v>0</v>
      </c>
      <c r="BF697" s="1114">
        <f>IF(AU697=0,0,(AV697-AU697)/AU697*100)</f>
        <v>0</v>
      </c>
      <c r="BG697" s="1114">
        <f>IF(AV697=0,0,(AW697-AV697)/AV697*100)</f>
        <v>0</v>
      </c>
      <c r="BH697" s="1114">
        <f>IF(AW697=0,0,(AX697-AW697)/AW697*100)</f>
        <v>0</v>
      </c>
      <c r="BI697" s="1114">
        <f>IF(AX697=0,0,(AY697-AX697)/AX697*100)</f>
        <v>0</v>
      </c>
      <c r="BJ697" s="1114">
        <f>IF(AY697=0,0,(AZ697-AY697)/AY697*100)</f>
        <v>0</v>
      </c>
      <c r="BK697" s="1114">
        <f>IF(AZ697=0,0,(BA697-AZ697)/AZ697*100)</f>
        <v>0</v>
      </c>
      <c r="BL697" s="1114">
        <f>IF(BA697=0,0,(BB697-BA697)/BA697*100)</f>
        <v>0</v>
      </c>
      <c r="BM697" s="1114">
        <f>IF(BB697=0,0,(BC697-BB697)/BB697*100)</f>
        <v>0</v>
      </c>
      <c r="BN697" s="7433"/>
      <c r="BO697" s="7433"/>
      <c r="BP697" s="7433"/>
      <c r="BQ697" s="1278"/>
      <c r="BR697" s="1278"/>
      <c r="BS697" s="1064" t="s">
        <v>2839</v>
      </c>
      <c r="BT697" s="1064"/>
      <c r="BU697" s="1064"/>
      <c r="BV697" s="979"/>
      <c r="BW697" s="979"/>
    </row>
    <row s="1834" customFormat="1" customHeight="1" ht="0">
      <c r="A698" s="1278"/>
      <c r="B698" s="432">
        <f>AND(method_reg="Метод индексации",STATUS_GO="да")</f>
        <v>1</v>
      </c>
      <c r="C698" s="107"/>
      <c r="D698" s="107"/>
      <c r="E698" s="621">
        <v>15</v>
      </c>
      <c r="F698" s="50" cm="1" t="str">
        <f t="array" ref="F698:F698">OFFSET(E698,-1,1)</f>
        <v>4</v>
      </c>
      <c r="G698" s="107" t="s">
        <v>2549</v>
      </c>
      <c r="H698" s="107"/>
      <c r="I698" s="107" t="s">
        <v>1225</v>
      </c>
      <c r="J698" s="107"/>
      <c r="K698" s="1278"/>
      <c r="L698" s="980" t="s">
        <v>1290</v>
      </c>
      <c r="M698" s="107"/>
      <c r="N698" s="107"/>
      <c r="O698" s="107"/>
      <c r="P698" s="107"/>
      <c r="Q698" s="107"/>
      <c r="R698" s="107"/>
      <c r="S698" s="107"/>
      <c r="T698" s="465" cm="1" t="str">
        <f t="array" ref="T698:T698">T697</f>
        <v>true</v>
      </c>
      <c r="U698" s="107"/>
      <c r="V698" s="107"/>
      <c r="W698" s="107"/>
      <c r="X698" s="1596"/>
      <c r="Y698" s="1278"/>
      <c r="Z698" s="1546"/>
      <c r="AA698" s="1278"/>
      <c r="AB698" s="300" t="s">
        <v>446</v>
      </c>
      <c r="AC698" s="452" t="s">
        <v>2549</v>
      </c>
      <c r="AD698" s="300" t="s">
        <v>1514</v>
      </c>
      <c r="AE698" s="3946"/>
      <c r="AF698" s="3946"/>
      <c r="AG698" s="3946"/>
      <c r="AH698" s="1114">
        <f>AG698-AF698</f>
        <v>0</v>
      </c>
      <c r="AI698" s="3946"/>
      <c r="AJ698" s="3946"/>
      <c r="AK698" s="3946"/>
      <c r="AL698" s="3946"/>
      <c r="AM698" s="3946"/>
      <c r="AN698" s="3946"/>
      <c r="AO698" s="1241"/>
      <c r="AP698" s="1241"/>
      <c r="AQ698" s="1241"/>
      <c r="AR698" s="1241"/>
      <c r="AS698" s="1241"/>
      <c r="AT698" s="3946"/>
      <c r="AU698" s="3946"/>
      <c r="AV698" s="3946"/>
      <c r="AW698" s="3946"/>
      <c r="AX698" s="3946"/>
      <c r="AY698" s="1241"/>
      <c r="AZ698" s="1241"/>
      <c r="BA698" s="1241"/>
      <c r="BB698" s="1241"/>
      <c r="BC698" s="1241"/>
      <c r="BD698" s="1114">
        <f>IF(AI698=0,0,(AT698-AI698)/AI698*100)</f>
        <v>0</v>
      </c>
      <c r="BE698" s="1114">
        <f>IF(AT698=0,0,(AU698-AT698)/AT698*100)</f>
        <v>0</v>
      </c>
      <c r="BF698" s="1114">
        <f>IF(AU698=0,0,(AV698-AU698)/AU698*100)</f>
        <v>0</v>
      </c>
      <c r="BG698" s="1114">
        <f>IF(AV698=0,0,(AW698-AV698)/AV698*100)</f>
        <v>0</v>
      </c>
      <c r="BH698" s="1114">
        <f>IF(AW698=0,0,(AX698-AW698)/AW698*100)</f>
        <v>0</v>
      </c>
      <c r="BI698" s="1114">
        <f>IF(AX698=0,0,(AY698-AX698)/AX698*100)</f>
        <v>0</v>
      </c>
      <c r="BJ698" s="1114">
        <f>IF(AY698=0,0,(AZ698-AY698)/AY698*100)</f>
        <v>0</v>
      </c>
      <c r="BK698" s="1114">
        <f>IF(AZ698=0,0,(BA698-AZ698)/AZ698*100)</f>
        <v>0</v>
      </c>
      <c r="BL698" s="1114">
        <f>IF(BA698=0,0,(BB698-BA698)/BA698*100)</f>
        <v>0</v>
      </c>
      <c r="BM698" s="1114">
        <f>IF(BB698=0,0,(BC698-BB698)/BB698*100)</f>
        <v>0</v>
      </c>
      <c r="BN698" s="7433"/>
      <c r="BO698" s="7433"/>
      <c r="BP698" s="7433"/>
      <c r="BQ698" s="1278"/>
      <c r="BR698" s="1278"/>
      <c r="BS698" s="1064" t="s">
        <v>2550</v>
      </c>
      <c r="BT698" s="1064"/>
      <c r="BU698" s="1064"/>
      <c r="BV698" s="979"/>
      <c r="BW698" s="979"/>
    </row>
    <row s="1834" customFormat="1" customHeight="1" ht="14.25" hidden="1">
      <c r="A699" s="1278"/>
      <c r="B699" s="860">
        <f>method_reg="Метод обеспечения доходности инвестированного капитала"</f>
        <v>0</v>
      </c>
      <c r="C699" s="107"/>
      <c r="D699" s="107"/>
      <c r="E699" s="621">
        <v>15</v>
      </c>
      <c r="F699" s="50" cm="1" t="str">
        <f t="array" ref="F699:F699">OFFSET(E699,-1,1)</f>
        <v>4</v>
      </c>
      <c r="G699" s="107"/>
      <c r="H699" s="107"/>
      <c r="I699" s="107"/>
      <c r="J699" s="107"/>
      <c r="K699" s="107" t="s">
        <v>336</v>
      </c>
      <c r="L699" s="980"/>
      <c r="M699" s="107"/>
      <c r="N699" s="107"/>
      <c r="O699" s="107"/>
      <c r="P699" s="107"/>
      <c r="Q699" s="107"/>
      <c r="R699" s="107"/>
      <c r="S699" s="107"/>
      <c r="T699" s="860" cm="1" t="str">
        <f t="array" ref="T699:T699">T698</f>
        <v>true</v>
      </c>
      <c r="U699" s="107"/>
      <c r="V699" s="107"/>
      <c r="W699" s="107"/>
      <c r="X699" s="1596"/>
      <c r="Y699" s="1278"/>
      <c r="Z699" s="1546"/>
      <c r="AA699" s="1278"/>
      <c r="AB699" s="794" t="s">
        <v>295</v>
      </c>
      <c r="AC699" s="793" t="s">
        <v>2840</v>
      </c>
      <c r="AD699" s="794" t="s">
        <v>1514</v>
      </c>
      <c r="AE699" s="1246"/>
      <c r="AF699" s="1246"/>
      <c r="AG699" s="1246"/>
      <c r="AH699" s="761">
        <f>AG699-AF699</f>
        <v>0</v>
      </c>
      <c r="AI699" s="1246"/>
      <c r="AJ699" s="1246"/>
      <c r="AK699" s="1246"/>
      <c r="AL699" s="1246"/>
      <c r="AM699" s="1246"/>
      <c r="AN699" s="1246"/>
      <c r="AO699" s="1246"/>
      <c r="AP699" s="1246"/>
      <c r="AQ699" s="1246"/>
      <c r="AR699" s="1246"/>
      <c r="AS699" s="1246"/>
      <c r="AT699" s="1246"/>
      <c r="AU699" s="1246"/>
      <c r="AV699" s="1246"/>
      <c r="AW699" s="1246"/>
      <c r="AX699" s="1246"/>
      <c r="AY699" s="1246"/>
      <c r="AZ699" s="1246"/>
      <c r="BA699" s="1246"/>
      <c r="BB699" s="1246"/>
      <c r="BC699" s="1246"/>
      <c r="BD699" s="761">
        <f>IF(AI699=0,0,(AT699-AI699)/AI699*100)</f>
        <v>0</v>
      </c>
      <c r="BE699" s="761">
        <f>IF(AT699=0,0,(AU699-AT699)/AT699*100)</f>
        <v>0</v>
      </c>
      <c r="BF699" s="761">
        <f>IF(AU699=0,0,(AV699-AU699)/AU699*100)</f>
        <v>0</v>
      </c>
      <c r="BG699" s="761">
        <f>IF(AV699=0,0,(AW699-AV699)/AV699*100)</f>
        <v>0</v>
      </c>
      <c r="BH699" s="761">
        <f>IF(AW699=0,0,(AX699-AW699)/AW699*100)</f>
        <v>0</v>
      </c>
      <c r="BI699" s="761">
        <f>IF(AX699=0,0,(AY699-AX699)/AX699*100)</f>
        <v>0</v>
      </c>
      <c r="BJ699" s="761">
        <f>IF(AY699=0,0,(AZ699-AY699)/AY699*100)</f>
        <v>0</v>
      </c>
      <c r="BK699" s="761">
        <f>IF(AZ699=0,0,(BA699-AZ699)/AZ699*100)</f>
        <v>0</v>
      </c>
      <c r="BL699" s="761">
        <f>IF(BA699=0,0,(BB699-BA699)/BA699*100)</f>
        <v>0</v>
      </c>
      <c r="BM699" s="761">
        <f>IF(BB699=0,0,(BC699-BB699)/BB699*100)</f>
        <v>0</v>
      </c>
      <c r="BN699" s="1247"/>
      <c r="BO699" s="1247"/>
      <c r="BP699" s="1247"/>
      <c r="BQ699" s="1278"/>
      <c r="BR699" s="1278"/>
      <c r="BS699" s="1064" t="s">
        <v>2841</v>
      </c>
      <c r="BT699" s="1064"/>
      <c r="BU699" s="1064"/>
      <c r="BV699" s="979"/>
      <c r="BW699" s="979"/>
    </row>
    <row s="1834" customFormat="1" customHeight="1" ht="14.25" hidden="1">
      <c r="A700" s="1278"/>
      <c r="B700" s="860" cm="1" t="str">
        <f t="array" ref="B700:B700">B699</f>
        <v>false</v>
      </c>
      <c r="C700" s="107"/>
      <c r="D700" s="107"/>
      <c r="E700" s="621">
        <v>15</v>
      </c>
      <c r="F700" s="50" cm="1" t="str">
        <f t="array" ref="F700:F700">OFFSET(E700,-1,1)</f>
        <v>4</v>
      </c>
      <c r="G700" s="107"/>
      <c r="H700" s="107"/>
      <c r="I700" s="107"/>
      <c r="J700" s="107"/>
      <c r="K700" s="107" t="s">
        <v>1249</v>
      </c>
      <c r="L700" s="980"/>
      <c r="M700" s="107"/>
      <c r="N700" s="107"/>
      <c r="O700" s="107"/>
      <c r="P700" s="107"/>
      <c r="Q700" s="107"/>
      <c r="R700" s="107"/>
      <c r="S700" s="107"/>
      <c r="T700" s="860" cm="1" t="str">
        <f t="array" ref="T700:T700">T699</f>
        <v>true</v>
      </c>
      <c r="U700" s="107"/>
      <c r="V700" s="107"/>
      <c r="W700" s="107"/>
      <c r="X700" s="1596"/>
      <c r="Y700" s="1278"/>
      <c r="Z700" s="1546"/>
      <c r="AA700" s="1278"/>
      <c r="AB700" s="797" t="s">
        <v>1384</v>
      </c>
      <c r="AC700" s="796" t="s">
        <v>2842</v>
      </c>
      <c r="AD700" s="797" t="s">
        <v>1514</v>
      </c>
      <c r="AE700" s="1248"/>
      <c r="AF700" s="1248"/>
      <c r="AG700" s="1248"/>
      <c r="AH700" s="763"/>
      <c r="AI700" s="1248"/>
      <c r="AJ700" s="1248"/>
      <c r="AK700" s="1248"/>
      <c r="AL700" s="1248"/>
      <c r="AM700" s="1248"/>
      <c r="AN700" s="1248"/>
      <c r="AO700" s="1248"/>
      <c r="AP700" s="1248"/>
      <c r="AQ700" s="1248"/>
      <c r="AR700" s="1248"/>
      <c r="AS700" s="1248"/>
      <c r="AT700" s="1248"/>
      <c r="AU700" s="1248"/>
      <c r="AV700" s="1248"/>
      <c r="AW700" s="1248"/>
      <c r="AX700" s="1248"/>
      <c r="AY700" s="1248"/>
      <c r="AZ700" s="1248"/>
      <c r="BA700" s="1248"/>
      <c r="BB700" s="1248"/>
      <c r="BC700" s="1248"/>
      <c r="BD700" s="763"/>
      <c r="BE700" s="763"/>
      <c r="BF700" s="763"/>
      <c r="BG700" s="763"/>
      <c r="BH700" s="763"/>
      <c r="BI700" s="763"/>
      <c r="BJ700" s="763"/>
      <c r="BK700" s="763"/>
      <c r="BL700" s="763"/>
      <c r="BM700" s="763"/>
      <c r="BN700" s="1249"/>
      <c r="BO700" s="1249"/>
      <c r="BP700" s="1249"/>
      <c r="BQ700" s="1278"/>
      <c r="BR700" s="1278"/>
      <c r="BS700" s="1064" t="s">
        <v>2843</v>
      </c>
      <c r="BT700" s="1064"/>
      <c r="BU700" s="1064"/>
      <c r="BV700" s="979"/>
      <c r="BW700" s="979"/>
    </row>
    <row s="1834" customFormat="1" customHeight="1" ht="14.25" hidden="1">
      <c r="A701" s="1278"/>
      <c r="B701" s="860" cm="1" t="str">
        <f t="array" ref="B701:B701">B700</f>
        <v>false</v>
      </c>
      <c r="C701" s="107"/>
      <c r="D701" s="107"/>
      <c r="E701" s="621">
        <v>15</v>
      </c>
      <c r="F701" s="50" cm="1" t="str">
        <f t="array" ref="F701:F701">OFFSET(E701,-1,1)</f>
        <v>4</v>
      </c>
      <c r="G701" s="107"/>
      <c r="H701" s="107"/>
      <c r="I701" s="107"/>
      <c r="J701" s="107"/>
      <c r="K701" s="107" t="s">
        <v>1253</v>
      </c>
      <c r="L701" s="980"/>
      <c r="M701" s="107"/>
      <c r="N701" s="107"/>
      <c r="O701" s="107"/>
      <c r="P701" s="107"/>
      <c r="Q701" s="107"/>
      <c r="R701" s="107"/>
      <c r="S701" s="107"/>
      <c r="T701" s="860" cm="1" t="str">
        <f t="array" ref="T701:T701">T700</f>
        <v>true</v>
      </c>
      <c r="U701" s="107"/>
      <c r="V701" s="107"/>
      <c r="W701" s="107"/>
      <c r="X701" s="1596"/>
      <c r="Y701" s="1278"/>
      <c r="Z701" s="1546"/>
      <c r="AA701" s="1278"/>
      <c r="AB701" s="797" t="s">
        <v>1387</v>
      </c>
      <c r="AC701" s="796" t="s">
        <v>2844</v>
      </c>
      <c r="AD701" s="797" t="s">
        <v>2845</v>
      </c>
      <c r="AE701" s="1248"/>
      <c r="AF701" s="1248"/>
      <c r="AG701" s="1248"/>
      <c r="AH701" s="763"/>
      <c r="AI701" s="1248"/>
      <c r="AJ701" s="1248"/>
      <c r="AK701" s="1248"/>
      <c r="AL701" s="1248"/>
      <c r="AM701" s="1248"/>
      <c r="AN701" s="1248"/>
      <c r="AO701" s="1248"/>
      <c r="AP701" s="1248"/>
      <c r="AQ701" s="1248"/>
      <c r="AR701" s="1248"/>
      <c r="AS701" s="1248"/>
      <c r="AT701" s="1248"/>
      <c r="AU701" s="1248"/>
      <c r="AV701" s="1248"/>
      <c r="AW701" s="1248"/>
      <c r="AX701" s="1248"/>
      <c r="AY701" s="1248"/>
      <c r="AZ701" s="1248"/>
      <c r="BA701" s="1248"/>
      <c r="BB701" s="1248"/>
      <c r="BC701" s="1248"/>
      <c r="BD701" s="763"/>
      <c r="BE701" s="763"/>
      <c r="BF701" s="763"/>
      <c r="BG701" s="763"/>
      <c r="BH701" s="763"/>
      <c r="BI701" s="763"/>
      <c r="BJ701" s="763"/>
      <c r="BK701" s="763"/>
      <c r="BL701" s="763"/>
      <c r="BM701" s="763"/>
      <c r="BN701" s="1249"/>
      <c r="BO701" s="1249"/>
      <c r="BP701" s="1249"/>
      <c r="BQ701" s="1278"/>
      <c r="BR701" s="1278"/>
      <c r="BS701" s="1064" t="s">
        <v>2846</v>
      </c>
      <c r="BT701" s="1064"/>
      <c r="BU701" s="1064"/>
      <c r="BV701" s="979"/>
      <c r="BW701" s="979"/>
    </row>
    <row s="1834" customFormat="1" customHeight="1" ht="14.25" hidden="1">
      <c r="A702" s="1278"/>
      <c r="B702" s="860" cm="1" t="str">
        <f t="array" ref="B702:B702">B701</f>
        <v>false</v>
      </c>
      <c r="C702" s="107"/>
      <c r="D702" s="107"/>
      <c r="E702" s="621">
        <v>15</v>
      </c>
      <c r="F702" s="50" cm="1" t="str">
        <f t="array" ref="F702:F702">OFFSET(E702,-1,1)</f>
        <v>4</v>
      </c>
      <c r="G702" s="107"/>
      <c r="H702" s="107"/>
      <c r="I702" s="107"/>
      <c r="J702" s="107"/>
      <c r="K702" s="107" t="s">
        <v>335</v>
      </c>
      <c r="L702" s="980"/>
      <c r="M702" s="107"/>
      <c r="N702" s="107"/>
      <c r="O702" s="107"/>
      <c r="P702" s="107"/>
      <c r="Q702" s="107"/>
      <c r="R702" s="107"/>
      <c r="S702" s="107"/>
      <c r="T702" s="860" cm="1" t="str">
        <f t="array" ref="T702:T702">T701</f>
        <v>true</v>
      </c>
      <c r="U702" s="107"/>
      <c r="V702" s="107"/>
      <c r="W702" s="107"/>
      <c r="X702" s="1596"/>
      <c r="Y702" s="1278"/>
      <c r="Z702" s="1546"/>
      <c r="AA702" s="1278"/>
      <c r="AB702" s="794" t="s">
        <v>443</v>
      </c>
      <c r="AC702" s="793" t="s">
        <v>2847</v>
      </c>
      <c r="AD702" s="794" t="s">
        <v>1514</v>
      </c>
      <c r="AE702" s="1246"/>
      <c r="AF702" s="1246"/>
      <c r="AG702" s="1246"/>
      <c r="AH702" s="761">
        <f>AG702-AF702</f>
        <v>0</v>
      </c>
      <c r="AI702" s="1246"/>
      <c r="AJ702" s="1246"/>
      <c r="AK702" s="1246"/>
      <c r="AL702" s="1246"/>
      <c r="AM702" s="1246"/>
      <c r="AN702" s="1246"/>
      <c r="AO702" s="1246"/>
      <c r="AP702" s="1246"/>
      <c r="AQ702" s="1246"/>
      <c r="AR702" s="1246"/>
      <c r="AS702" s="1246"/>
      <c r="AT702" s="1246"/>
      <c r="AU702" s="1246"/>
      <c r="AV702" s="1246"/>
      <c r="AW702" s="1246"/>
      <c r="AX702" s="1246"/>
      <c r="AY702" s="1246"/>
      <c r="AZ702" s="1246"/>
      <c r="BA702" s="1246"/>
      <c r="BB702" s="1246"/>
      <c r="BC702" s="1246"/>
      <c r="BD702" s="761">
        <f>IF(AI702=0,0,(AT702-AI702)/AI702*100)</f>
        <v>0</v>
      </c>
      <c r="BE702" s="761">
        <f>IF(AT702=0,0,(AU702-AT702)/AT702*100)</f>
        <v>0</v>
      </c>
      <c r="BF702" s="761">
        <f>IF(AU702=0,0,(AV702-AU702)/AU702*100)</f>
        <v>0</v>
      </c>
      <c r="BG702" s="761">
        <f>IF(AV702=0,0,(AW702-AV702)/AV702*100)</f>
        <v>0</v>
      </c>
      <c r="BH702" s="761">
        <f>IF(AW702=0,0,(AX702-AW702)/AW702*100)</f>
        <v>0</v>
      </c>
      <c r="BI702" s="761">
        <f>IF(AX702=0,0,(AY702-AX702)/AX702*100)</f>
        <v>0</v>
      </c>
      <c r="BJ702" s="761">
        <f>IF(AY702=0,0,(AZ702-AY702)/AY702*100)</f>
        <v>0</v>
      </c>
      <c r="BK702" s="761">
        <f>IF(AZ702=0,0,(BA702-AZ702)/AZ702*100)</f>
        <v>0</v>
      </c>
      <c r="BL702" s="761">
        <f>IF(BA702=0,0,(BB702-BA702)/BA702*100)</f>
        <v>0</v>
      </c>
      <c r="BM702" s="761">
        <f>IF(BB702=0,0,(BC702-BB702)/BB702*100)</f>
        <v>0</v>
      </c>
      <c r="BN702" s="1247"/>
      <c r="BO702" s="1247"/>
      <c r="BP702" s="1247"/>
      <c r="BQ702" s="1278"/>
      <c r="BR702" s="1278"/>
      <c r="BS702" s="1064" t="s">
        <v>2848</v>
      </c>
      <c r="BT702" s="1064"/>
      <c r="BU702" s="1064"/>
      <c r="BV702" s="979"/>
      <c r="BW702" s="979"/>
    </row>
    <row s="1834" customFormat="1" customHeight="1" ht="14.25" hidden="1">
      <c r="A703" s="1278"/>
      <c r="B703" s="860" cm="1" t="str">
        <f t="array" ref="B703:B703">B702</f>
        <v>false</v>
      </c>
      <c r="C703" s="107"/>
      <c r="D703" s="107"/>
      <c r="E703" s="621">
        <v>15</v>
      </c>
      <c r="F703" s="50" cm="1" t="str">
        <f t="array" ref="F703:F703">OFFSET(E703,-1,1)</f>
        <v>4</v>
      </c>
      <c r="G703" s="107"/>
      <c r="H703" s="107"/>
      <c r="I703" s="107"/>
      <c r="J703" s="107"/>
      <c r="K703" s="107" t="s">
        <v>1263</v>
      </c>
      <c r="L703" s="980"/>
      <c r="M703" s="107"/>
      <c r="N703" s="107"/>
      <c r="O703" s="107"/>
      <c r="P703" s="107"/>
      <c r="Q703" s="107"/>
      <c r="R703" s="107"/>
      <c r="S703" s="107"/>
      <c r="T703" s="860" cm="1" t="str">
        <f t="array" ref="T703:T703">T702</f>
        <v>true</v>
      </c>
      <c r="U703" s="107"/>
      <c r="V703" s="107"/>
      <c r="W703" s="107"/>
      <c r="X703" s="1596"/>
      <c r="Y703" s="1278"/>
      <c r="Z703" s="1546"/>
      <c r="AA703" s="1278"/>
      <c r="AB703" s="797" t="s">
        <v>1391</v>
      </c>
      <c r="AC703" s="796" t="s">
        <v>2849</v>
      </c>
      <c r="AD703" s="797" t="s">
        <v>1514</v>
      </c>
      <c r="AE703" s="1248"/>
      <c r="AF703" s="1248"/>
      <c r="AG703" s="1248"/>
      <c r="AH703" s="763"/>
      <c r="AI703" s="1248"/>
      <c r="AJ703" s="1248"/>
      <c r="AK703" s="1248"/>
      <c r="AL703" s="1248"/>
      <c r="AM703" s="1248"/>
      <c r="AN703" s="1248"/>
      <c r="AO703" s="1248"/>
      <c r="AP703" s="1248"/>
      <c r="AQ703" s="1248"/>
      <c r="AR703" s="1248"/>
      <c r="AS703" s="1248"/>
      <c r="AT703" s="1248"/>
      <c r="AU703" s="1248"/>
      <c r="AV703" s="1248"/>
      <c r="AW703" s="1248"/>
      <c r="AX703" s="1248"/>
      <c r="AY703" s="1248"/>
      <c r="AZ703" s="1248"/>
      <c r="BA703" s="1248"/>
      <c r="BB703" s="1248"/>
      <c r="BC703" s="1248"/>
      <c r="BD703" s="763"/>
      <c r="BE703" s="763"/>
      <c r="BF703" s="763"/>
      <c r="BG703" s="763"/>
      <c r="BH703" s="763"/>
      <c r="BI703" s="763"/>
      <c r="BJ703" s="763"/>
      <c r="BK703" s="763"/>
      <c r="BL703" s="763"/>
      <c r="BM703" s="763"/>
      <c r="BN703" s="1249"/>
      <c r="BO703" s="1249"/>
      <c r="BP703" s="1249"/>
      <c r="BQ703" s="1278"/>
      <c r="BR703" s="1278"/>
      <c r="BS703" s="1064" t="s">
        <v>2850</v>
      </c>
      <c r="BT703" s="1064"/>
      <c r="BU703" s="1064"/>
      <c r="BV703" s="979"/>
      <c r="BW703" s="979"/>
    </row>
    <row s="1834" customFormat="1" customHeight="1" ht="14.25" hidden="1">
      <c r="A704" s="1278"/>
      <c r="B704" s="860" cm="1" t="str">
        <f t="array" ref="B704:B704">B703</f>
        <v>false</v>
      </c>
      <c r="C704" s="107"/>
      <c r="D704" s="107"/>
      <c r="E704" s="621">
        <v>15</v>
      </c>
      <c r="F704" s="50" cm="1" t="str">
        <f t="array" ref="F704:F704">OFFSET(E704,-1,1)</f>
        <v>4</v>
      </c>
      <c r="G704" s="107"/>
      <c r="H704" s="107"/>
      <c r="I704" s="107"/>
      <c r="J704" s="107"/>
      <c r="K704" s="107" t="s">
        <v>1267</v>
      </c>
      <c r="L704" s="980"/>
      <c r="M704" s="107"/>
      <c r="N704" s="107"/>
      <c r="O704" s="107"/>
      <c r="P704" s="107"/>
      <c r="Q704" s="107"/>
      <c r="R704" s="107"/>
      <c r="S704" s="107"/>
      <c r="T704" s="860" cm="1" t="str">
        <f t="array" ref="T704:T704">T703</f>
        <v>true</v>
      </c>
      <c r="U704" s="107"/>
      <c r="V704" s="107"/>
      <c r="W704" s="107"/>
      <c r="X704" s="1596"/>
      <c r="Y704" s="1278"/>
      <c r="Z704" s="1546"/>
      <c r="AA704" s="1278"/>
      <c r="AB704" s="797" t="s">
        <v>1394</v>
      </c>
      <c r="AC704" s="796" t="s">
        <v>2851</v>
      </c>
      <c r="AD704" s="797" t="s">
        <v>1170</v>
      </c>
      <c r="AE704" s="1248"/>
      <c r="AF704" s="1248"/>
      <c r="AG704" s="1248"/>
      <c r="AH704" s="763"/>
      <c r="AI704" s="1248"/>
      <c r="AJ704" s="1248"/>
      <c r="AK704" s="1248"/>
      <c r="AL704" s="1248"/>
      <c r="AM704" s="1248"/>
      <c r="AN704" s="1248"/>
      <c r="AO704" s="1248"/>
      <c r="AP704" s="1248"/>
      <c r="AQ704" s="1248"/>
      <c r="AR704" s="1248"/>
      <c r="AS704" s="1248"/>
      <c r="AT704" s="1248"/>
      <c r="AU704" s="1248"/>
      <c r="AV704" s="1248"/>
      <c r="AW704" s="1248"/>
      <c r="AX704" s="1248"/>
      <c r="AY704" s="1248"/>
      <c r="AZ704" s="1248"/>
      <c r="BA704" s="1248"/>
      <c r="BB704" s="1248"/>
      <c r="BC704" s="1248"/>
      <c r="BD704" s="763"/>
      <c r="BE704" s="763"/>
      <c r="BF704" s="763"/>
      <c r="BG704" s="763"/>
      <c r="BH704" s="763"/>
      <c r="BI704" s="763"/>
      <c r="BJ704" s="763"/>
      <c r="BK704" s="763"/>
      <c r="BL704" s="763"/>
      <c r="BM704" s="763"/>
      <c r="BN704" s="1249"/>
      <c r="BO704" s="1249"/>
      <c r="BP704" s="1249"/>
      <c r="BQ704" s="1278"/>
      <c r="BR704" s="1278"/>
      <c r="BS704" s="1064" t="s">
        <v>2852</v>
      </c>
      <c r="BT704" s="1064"/>
      <c r="BU704" s="1064"/>
      <c r="BV704" s="979"/>
      <c r="BW704" s="979"/>
    </row>
    <row s="1834" customFormat="1" customHeight="1" ht="14.25" hidden="1">
      <c r="A705" s="1278"/>
      <c r="B705" s="860" cm="1" t="str">
        <f t="array" ref="B705:B705">B704</f>
        <v>false</v>
      </c>
      <c r="C705" s="107"/>
      <c r="D705" s="107"/>
      <c r="E705" s="621">
        <v>15</v>
      </c>
      <c r="F705" s="50" cm="1" t="str">
        <f t="array" ref="F705:F705">OFFSET(E705,-1,1)</f>
        <v>4</v>
      </c>
      <c r="G705" s="107"/>
      <c r="H705" s="107"/>
      <c r="I705" s="107"/>
      <c r="J705" s="107"/>
      <c r="K705" s="107" t="s">
        <v>1479</v>
      </c>
      <c r="L705" s="980"/>
      <c r="M705" s="107"/>
      <c r="N705" s="107"/>
      <c r="O705" s="107"/>
      <c r="P705" s="107"/>
      <c r="Q705" s="107"/>
      <c r="R705" s="107"/>
      <c r="S705" s="107"/>
      <c r="T705" s="860" cm="1" t="str">
        <f t="array" ref="T705:T705">T704</f>
        <v>true</v>
      </c>
      <c r="U705" s="107"/>
      <c r="V705" s="107"/>
      <c r="W705" s="107"/>
      <c r="X705" s="1596"/>
      <c r="Y705" s="1278"/>
      <c r="Z705" s="1546"/>
      <c r="AA705" s="1278"/>
      <c r="AB705" s="797" t="s">
        <v>1683</v>
      </c>
      <c r="AC705" s="796" t="s">
        <v>2853</v>
      </c>
      <c r="AD705" s="797" t="s">
        <v>1514</v>
      </c>
      <c r="AE705" s="1248"/>
      <c r="AF705" s="1248"/>
      <c r="AG705" s="1248"/>
      <c r="AH705" s="763"/>
      <c r="AI705" s="1248"/>
      <c r="AJ705" s="1248"/>
      <c r="AK705" s="1248"/>
      <c r="AL705" s="1248"/>
      <c r="AM705" s="1248"/>
      <c r="AN705" s="1248"/>
      <c r="AO705" s="1248"/>
      <c r="AP705" s="1248"/>
      <c r="AQ705" s="1248"/>
      <c r="AR705" s="1248"/>
      <c r="AS705" s="1248"/>
      <c r="AT705" s="1248"/>
      <c r="AU705" s="1248"/>
      <c r="AV705" s="1248"/>
      <c r="AW705" s="1248"/>
      <c r="AX705" s="1248"/>
      <c r="AY705" s="1248"/>
      <c r="AZ705" s="1248"/>
      <c r="BA705" s="1248"/>
      <c r="BB705" s="1248"/>
      <c r="BC705" s="1248"/>
      <c r="BD705" s="763"/>
      <c r="BE705" s="763"/>
      <c r="BF705" s="763"/>
      <c r="BG705" s="763"/>
      <c r="BH705" s="763"/>
      <c r="BI705" s="763"/>
      <c r="BJ705" s="763"/>
      <c r="BK705" s="763"/>
      <c r="BL705" s="763"/>
      <c r="BM705" s="763"/>
      <c r="BN705" s="1249"/>
      <c r="BO705" s="1249"/>
      <c r="BP705" s="1249"/>
      <c r="BQ705" s="1278"/>
      <c r="BR705" s="1278"/>
      <c r="BS705" s="1064" t="s">
        <v>2854</v>
      </c>
      <c r="BT705" s="1064"/>
      <c r="BU705" s="1064"/>
      <c r="BV705" s="979"/>
      <c r="BW705" s="979"/>
    </row>
    <row s="1834" customFormat="1" customHeight="1" ht="14.25" hidden="1">
      <c r="A706" s="1278"/>
      <c r="B706" s="860" cm="1" t="str">
        <f t="array" ref="B706:B706">B705</f>
        <v>false</v>
      </c>
      <c r="C706" s="107"/>
      <c r="D706" s="107"/>
      <c r="E706" s="621">
        <v>15</v>
      </c>
      <c r="F706" s="50" cm="1" t="str">
        <f t="array" ref="F706:F706">OFFSET(E706,-1,1)</f>
        <v>4</v>
      </c>
      <c r="G706" s="107"/>
      <c r="H706" s="107"/>
      <c r="I706" s="107"/>
      <c r="J706" s="107"/>
      <c r="K706" s="107" t="s">
        <v>1685</v>
      </c>
      <c r="L706" s="980"/>
      <c r="M706" s="107"/>
      <c r="N706" s="107"/>
      <c r="O706" s="107"/>
      <c r="P706" s="107"/>
      <c r="Q706" s="107"/>
      <c r="R706" s="107"/>
      <c r="S706" s="107"/>
      <c r="T706" s="860" cm="1" t="str">
        <f t="array" ref="T706:T706">T705</f>
        <v>true</v>
      </c>
      <c r="U706" s="107"/>
      <c r="V706" s="107"/>
      <c r="W706" s="107"/>
      <c r="X706" s="1596"/>
      <c r="Y706" s="1278"/>
      <c r="Z706" s="1546"/>
      <c r="AA706" s="1278"/>
      <c r="AB706" s="797" t="s">
        <v>1686</v>
      </c>
      <c r="AC706" s="796" t="s">
        <v>2855</v>
      </c>
      <c r="AD706" s="797" t="s">
        <v>1514</v>
      </c>
      <c r="AE706" s="1248"/>
      <c r="AF706" s="1248"/>
      <c r="AG706" s="1248"/>
      <c r="AH706" s="763"/>
      <c r="AI706" s="1248"/>
      <c r="AJ706" s="1248"/>
      <c r="AK706" s="1248"/>
      <c r="AL706" s="1248"/>
      <c r="AM706" s="1248"/>
      <c r="AN706" s="1248"/>
      <c r="AO706" s="1248"/>
      <c r="AP706" s="1248"/>
      <c r="AQ706" s="1248"/>
      <c r="AR706" s="1248"/>
      <c r="AS706" s="1248"/>
      <c r="AT706" s="1248"/>
      <c r="AU706" s="1248"/>
      <c r="AV706" s="1248"/>
      <c r="AW706" s="1248"/>
      <c r="AX706" s="1248"/>
      <c r="AY706" s="1248"/>
      <c r="AZ706" s="1248"/>
      <c r="BA706" s="1248"/>
      <c r="BB706" s="1248"/>
      <c r="BC706" s="1248"/>
      <c r="BD706" s="763"/>
      <c r="BE706" s="763"/>
      <c r="BF706" s="763"/>
      <c r="BG706" s="763"/>
      <c r="BH706" s="763"/>
      <c r="BI706" s="763"/>
      <c r="BJ706" s="763"/>
      <c r="BK706" s="763"/>
      <c r="BL706" s="763"/>
      <c r="BM706" s="763"/>
      <c r="BN706" s="1249"/>
      <c r="BO706" s="1249"/>
      <c r="BP706" s="1249"/>
      <c r="BQ706" s="1278"/>
      <c r="BR706" s="1278"/>
      <c r="BS706" s="1064" t="s">
        <v>2856</v>
      </c>
      <c r="BT706" s="1064"/>
      <c r="BU706" s="1064"/>
      <c r="BV706" s="979"/>
      <c r="BW706" s="979"/>
    </row>
    <row s="1834" customFormat="1" customHeight="1" ht="14.25" hidden="1">
      <c r="A707" s="1278"/>
      <c r="B707" s="860" cm="1" t="str">
        <f t="array" ref="B707:B707">B706</f>
        <v>false</v>
      </c>
      <c r="C707" s="107"/>
      <c r="D707" s="107"/>
      <c r="E707" s="621">
        <v>15</v>
      </c>
      <c r="F707" s="50" cm="1" t="str">
        <f t="array" ref="F707:F707">OFFSET(E707,-1,1)</f>
        <v>4</v>
      </c>
      <c r="G707" s="107"/>
      <c r="H707" s="107"/>
      <c r="I707" s="107"/>
      <c r="J707" s="107"/>
      <c r="K707" s="107" t="s">
        <v>2857</v>
      </c>
      <c r="L707" s="980"/>
      <c r="M707" s="107"/>
      <c r="N707" s="107"/>
      <c r="O707" s="107"/>
      <c r="P707" s="107"/>
      <c r="Q707" s="107"/>
      <c r="R707" s="107"/>
      <c r="S707" s="107"/>
      <c r="T707" s="860" cm="1" t="str">
        <f t="array" ref="T707:T707">T706</f>
        <v>true</v>
      </c>
      <c r="U707" s="107"/>
      <c r="V707" s="107"/>
      <c r="W707" s="107"/>
      <c r="X707" s="1596"/>
      <c r="Y707" s="1278"/>
      <c r="Z707" s="1546"/>
      <c r="AA707" s="1278"/>
      <c r="AB707" s="797" t="s">
        <v>2858</v>
      </c>
      <c r="AC707" s="798" t="s">
        <v>2859</v>
      </c>
      <c r="AD707" s="797" t="s">
        <v>1170</v>
      </c>
      <c r="AE707" s="1248"/>
      <c r="AF707" s="1248"/>
      <c r="AG707" s="1248"/>
      <c r="AH707" s="763"/>
      <c r="AI707" s="1248"/>
      <c r="AJ707" s="1248"/>
      <c r="AK707" s="1248"/>
      <c r="AL707" s="1248"/>
      <c r="AM707" s="1248"/>
      <c r="AN707" s="1248"/>
      <c r="AO707" s="1248"/>
      <c r="AP707" s="1248"/>
      <c r="AQ707" s="1248"/>
      <c r="AR707" s="1248"/>
      <c r="AS707" s="1248"/>
      <c r="AT707" s="1248"/>
      <c r="AU707" s="1248"/>
      <c r="AV707" s="1248"/>
      <c r="AW707" s="1248"/>
      <c r="AX707" s="1248"/>
      <c r="AY707" s="1248"/>
      <c r="AZ707" s="1248"/>
      <c r="BA707" s="1248"/>
      <c r="BB707" s="1248"/>
      <c r="BC707" s="1248"/>
      <c r="BD707" s="763"/>
      <c r="BE707" s="763"/>
      <c r="BF707" s="763"/>
      <c r="BG707" s="763"/>
      <c r="BH707" s="763"/>
      <c r="BI707" s="763"/>
      <c r="BJ707" s="763"/>
      <c r="BK707" s="763"/>
      <c r="BL707" s="763"/>
      <c r="BM707" s="763"/>
      <c r="BN707" s="1249"/>
      <c r="BO707" s="1249"/>
      <c r="BP707" s="1249"/>
      <c r="BQ707" s="1278"/>
      <c r="BR707" s="1278"/>
      <c r="BS707" s="1064" t="s">
        <v>2860</v>
      </c>
      <c r="BT707" s="1064"/>
      <c r="BU707" s="1064"/>
      <c r="BV707" s="979"/>
      <c r="BW707" s="979"/>
    </row>
    <row s="1834" customFormat="1" customHeight="1" ht="14.25" hidden="1">
      <c r="A708" s="1278"/>
      <c r="B708" s="860" cm="1" t="str">
        <f t="array" ref="B708:B708">B707</f>
        <v>false</v>
      </c>
      <c r="C708" s="107"/>
      <c r="D708" s="107"/>
      <c r="E708" s="621">
        <v>15</v>
      </c>
      <c r="F708" s="50" cm="1" t="str">
        <f t="array" ref="F708:F708">OFFSET(E708,-1,1)</f>
        <v>4</v>
      </c>
      <c r="G708" s="107"/>
      <c r="H708" s="107"/>
      <c r="I708" s="107"/>
      <c r="J708" s="107"/>
      <c r="K708" s="107" t="s">
        <v>1688</v>
      </c>
      <c r="L708" s="980"/>
      <c r="M708" s="107"/>
      <c r="N708" s="107"/>
      <c r="O708" s="107"/>
      <c r="P708" s="107"/>
      <c r="Q708" s="107"/>
      <c r="R708" s="107"/>
      <c r="S708" s="107"/>
      <c r="T708" s="860" cm="1" t="str">
        <f t="array" ref="T708:T708">T707</f>
        <v>true</v>
      </c>
      <c r="U708" s="107"/>
      <c r="V708" s="107"/>
      <c r="W708" s="107"/>
      <c r="X708" s="1596"/>
      <c r="Y708" s="1278"/>
      <c r="Z708" s="1546"/>
      <c r="AA708" s="1278"/>
      <c r="AB708" s="797" t="s">
        <v>1689</v>
      </c>
      <c r="AC708" s="796" t="s">
        <v>2861</v>
      </c>
      <c r="AD708" s="797" t="s">
        <v>1170</v>
      </c>
      <c r="AE708" s="1248"/>
      <c r="AF708" s="1248"/>
      <c r="AG708" s="1248"/>
      <c r="AH708" s="763"/>
      <c r="AI708" s="1248"/>
      <c r="AJ708" s="1248"/>
      <c r="AK708" s="1248"/>
      <c r="AL708" s="1248"/>
      <c r="AM708" s="1248"/>
      <c r="AN708" s="1248"/>
      <c r="AO708" s="1248"/>
      <c r="AP708" s="1248"/>
      <c r="AQ708" s="1248"/>
      <c r="AR708" s="1248"/>
      <c r="AS708" s="1248"/>
      <c r="AT708" s="1248"/>
      <c r="AU708" s="1248"/>
      <c r="AV708" s="1248"/>
      <c r="AW708" s="1248"/>
      <c r="AX708" s="1248"/>
      <c r="AY708" s="1248"/>
      <c r="AZ708" s="1248"/>
      <c r="BA708" s="1248"/>
      <c r="BB708" s="1248"/>
      <c r="BC708" s="1248"/>
      <c r="BD708" s="763"/>
      <c r="BE708" s="763"/>
      <c r="BF708" s="763"/>
      <c r="BG708" s="763"/>
      <c r="BH708" s="763"/>
      <c r="BI708" s="763"/>
      <c r="BJ708" s="763"/>
      <c r="BK708" s="763"/>
      <c r="BL708" s="763"/>
      <c r="BM708" s="763"/>
      <c r="BN708" s="1249"/>
      <c r="BO708" s="1249"/>
      <c r="BP708" s="1249"/>
      <c r="BQ708" s="1278"/>
      <c r="BR708" s="1278"/>
      <c r="BS708" s="1064" t="s">
        <v>2862</v>
      </c>
      <c r="BT708" s="1064"/>
      <c r="BU708" s="1064"/>
      <c r="BV708" s="979"/>
      <c r="BW708" s="979"/>
    </row>
    <row s="1834" customFormat="1" customHeight="1" ht="14.25" hidden="1">
      <c r="A709" s="1278"/>
      <c r="B709" s="860" cm="1" t="str">
        <f t="array" ref="B709:B709">B708</f>
        <v>false</v>
      </c>
      <c r="C709" s="107"/>
      <c r="D709" s="107"/>
      <c r="E709" s="621">
        <v>15</v>
      </c>
      <c r="F709" s="50" cm="1" t="str">
        <f t="array" ref="F709:F709">OFFSET(E709,-1,1)</f>
        <v>4</v>
      </c>
      <c r="G709" s="107"/>
      <c r="H709" s="107"/>
      <c r="I709" s="107"/>
      <c r="J709" s="107"/>
      <c r="K709" s="107" t="s">
        <v>2863</v>
      </c>
      <c r="L709" s="980"/>
      <c r="M709" s="107"/>
      <c r="N709" s="107"/>
      <c r="O709" s="107"/>
      <c r="P709" s="107"/>
      <c r="Q709" s="107"/>
      <c r="R709" s="107"/>
      <c r="S709" s="107"/>
      <c r="T709" s="860" cm="1" t="str">
        <f t="array" ref="T709:T709">T708</f>
        <v>true</v>
      </c>
      <c r="U709" s="107"/>
      <c r="V709" s="107"/>
      <c r="W709" s="107"/>
      <c r="X709" s="1596"/>
      <c r="Y709" s="1278"/>
      <c r="Z709" s="1546"/>
      <c r="AA709" s="1278"/>
      <c r="AB709" s="797" t="s">
        <v>2864</v>
      </c>
      <c r="AC709" s="798" t="s">
        <v>2865</v>
      </c>
      <c r="AD709" s="797" t="s">
        <v>1170</v>
      </c>
      <c r="AE709" s="1248"/>
      <c r="AF709" s="1248"/>
      <c r="AG709" s="1248"/>
      <c r="AH709" s="763"/>
      <c r="AI709" s="1248"/>
      <c r="AJ709" s="1248"/>
      <c r="AK709" s="1248"/>
      <c r="AL709" s="1248"/>
      <c r="AM709" s="1248"/>
      <c r="AN709" s="1248"/>
      <c r="AO709" s="1248"/>
      <c r="AP709" s="1248"/>
      <c r="AQ709" s="1248"/>
      <c r="AR709" s="1248"/>
      <c r="AS709" s="1248"/>
      <c r="AT709" s="1248"/>
      <c r="AU709" s="1248"/>
      <c r="AV709" s="1248"/>
      <c r="AW709" s="1248"/>
      <c r="AX709" s="1248"/>
      <c r="AY709" s="1248"/>
      <c r="AZ709" s="1248"/>
      <c r="BA709" s="1248"/>
      <c r="BB709" s="1248"/>
      <c r="BC709" s="1248"/>
      <c r="BD709" s="763"/>
      <c r="BE709" s="763"/>
      <c r="BF709" s="763"/>
      <c r="BG709" s="763"/>
      <c r="BH709" s="763"/>
      <c r="BI709" s="763"/>
      <c r="BJ709" s="763"/>
      <c r="BK709" s="763"/>
      <c r="BL709" s="763"/>
      <c r="BM709" s="763"/>
      <c r="BN709" s="1249"/>
      <c r="BO709" s="1249"/>
      <c r="BP709" s="1249"/>
      <c r="BQ709" s="1278"/>
      <c r="BR709" s="1278"/>
      <c r="BS709" s="1064" t="s">
        <v>2866</v>
      </c>
      <c r="BT709" s="1064"/>
      <c r="BU709" s="1064"/>
      <c r="BV709" s="979"/>
      <c r="BW709" s="979"/>
    </row>
    <row s="1834" customFormat="1" customHeight="1" ht="14.25" hidden="1">
      <c r="A710" s="1278"/>
      <c r="B710" s="860" cm="1" t="str">
        <f t="array" ref="B710:B710">B709</f>
        <v>false</v>
      </c>
      <c r="C710" s="107"/>
      <c r="D710" s="107"/>
      <c r="E710" s="621">
        <v>15</v>
      </c>
      <c r="F710" s="50" cm="1" t="str">
        <f t="array" ref="F710:F710">OFFSET(E710,-1,1)</f>
        <v>4</v>
      </c>
      <c r="G710" s="107"/>
      <c r="H710" s="107"/>
      <c r="I710" s="107"/>
      <c r="J710" s="107"/>
      <c r="K710" s="107" t="s">
        <v>2867</v>
      </c>
      <c r="L710" s="980"/>
      <c r="M710" s="107"/>
      <c r="N710" s="107"/>
      <c r="O710" s="107"/>
      <c r="P710" s="107"/>
      <c r="Q710" s="107"/>
      <c r="R710" s="107"/>
      <c r="S710" s="107"/>
      <c r="T710" s="860" cm="1" t="str">
        <f t="array" ref="T710:T710">T709</f>
        <v>true</v>
      </c>
      <c r="U710" s="107"/>
      <c r="V710" s="107"/>
      <c r="W710" s="107"/>
      <c r="X710" s="1596"/>
      <c r="Y710" s="1278"/>
      <c r="Z710" s="1546"/>
      <c r="AA710" s="1278"/>
      <c r="AB710" s="797" t="s">
        <v>2868</v>
      </c>
      <c r="AC710" s="798" t="s">
        <v>2869</v>
      </c>
      <c r="AD710" s="797" t="s">
        <v>1170</v>
      </c>
      <c r="AE710" s="1248"/>
      <c r="AF710" s="1248"/>
      <c r="AG710" s="1248"/>
      <c r="AH710" s="763"/>
      <c r="AI710" s="1248"/>
      <c r="AJ710" s="1248"/>
      <c r="AK710" s="1248"/>
      <c r="AL710" s="1248"/>
      <c r="AM710" s="1248"/>
      <c r="AN710" s="1248"/>
      <c r="AO710" s="1248"/>
      <c r="AP710" s="1248"/>
      <c r="AQ710" s="1248"/>
      <c r="AR710" s="1248"/>
      <c r="AS710" s="1248"/>
      <c r="AT710" s="1248"/>
      <c r="AU710" s="1248"/>
      <c r="AV710" s="1248"/>
      <c r="AW710" s="1248"/>
      <c r="AX710" s="1248"/>
      <c r="AY710" s="1248"/>
      <c r="AZ710" s="1248"/>
      <c r="BA710" s="1248"/>
      <c r="BB710" s="1248"/>
      <c r="BC710" s="1248"/>
      <c r="BD710" s="763"/>
      <c r="BE710" s="763"/>
      <c r="BF710" s="763"/>
      <c r="BG710" s="763"/>
      <c r="BH710" s="763"/>
      <c r="BI710" s="763"/>
      <c r="BJ710" s="763"/>
      <c r="BK710" s="763"/>
      <c r="BL710" s="763"/>
      <c r="BM710" s="763"/>
      <c r="BN710" s="1249"/>
      <c r="BO710" s="1249"/>
      <c r="BP710" s="1249"/>
      <c r="BQ710" s="1278"/>
      <c r="BR710" s="1278"/>
      <c r="BS710" s="1064" t="s">
        <v>2870</v>
      </c>
      <c r="BT710" s="1064"/>
      <c r="BU710" s="1064"/>
      <c r="BV710" s="979"/>
      <c r="BW710" s="979"/>
    </row>
    <row s="7669" customFormat="1" customHeight="1" ht="20.25">
      <c r="A711" s="700"/>
      <c r="B711" s="435"/>
      <c r="C711" s="109"/>
      <c r="D711" s="109" t="str">
        <f>IF(B710,"6","7")</f>
        <v>7</v>
      </c>
      <c r="E711" s="826">
        <v>21</v>
      </c>
      <c r="F711" s="50" cm="1" t="str">
        <f t="array" ref="F711:F711">OFFSET(E711,-1,1)</f>
        <v>4</v>
      </c>
      <c r="G711" s="107" t="s">
        <v>2871</v>
      </c>
      <c r="H711" s="107"/>
      <c r="I711" s="384" t="s">
        <v>2872</v>
      </c>
      <c r="J711" s="109"/>
      <c r="K711" s="380" t="s">
        <v>2872</v>
      </c>
      <c r="L711" s="985"/>
      <c r="M711" s="109"/>
      <c r="N711" s="109"/>
      <c r="O711" s="109"/>
      <c r="P711" s="109"/>
      <c r="Q711" s="109"/>
      <c r="R711" s="109"/>
      <c r="S711" s="109"/>
      <c r="T711" s="465" cm="1" t="str">
        <f t="array" ref="T711:T711">T710</f>
        <v>true</v>
      </c>
      <c r="U711" s="109"/>
      <c r="V711" s="109"/>
      <c r="W711" s="109"/>
      <c r="X711" s="1596"/>
      <c r="Y711" s="700"/>
      <c r="Z711" s="1546"/>
      <c r="AA711" s="700"/>
      <c r="AB711" s="211" cm="1" t="str">
        <f t="array" ref="AB711:AB711">D711</f>
        <v>7</v>
      </c>
      <c r="AC711" s="219" t="s">
        <v>2323</v>
      </c>
      <c r="AD711" s="211" t="s">
        <v>1514</v>
      </c>
      <c r="AE711" s="7432"/>
      <c r="AF711" s="7432"/>
      <c r="AG711" s="7432"/>
      <c r="AH711" s="778">
        <f>AG711-AF711</f>
        <v>0</v>
      </c>
      <c r="AI711" s="7432"/>
      <c r="AJ711" s="7492">
        <f>_xlfn.SUMIFS('Корректировка НВВ'!$AF$25:$AF$282,'Корректировка НВВ'!$F$25:$F$282,$F711,'Корректировка НВВ'!$I$25:$I$282,$G711)</f>
        <v>0</v>
      </c>
      <c r="AK711" s="7432"/>
      <c r="AL711" s="7432"/>
      <c r="AM711" s="7432"/>
      <c r="AN711" s="7432"/>
      <c r="AO711" s="1237"/>
      <c r="AP711" s="1237"/>
      <c r="AQ711" s="1237"/>
      <c r="AR711" s="1237"/>
      <c r="AS711" s="1237"/>
      <c r="AT711" s="7492">
        <f>_xlfn.SUMIFS('Корректировка НВВ'!$AG$25:$AG$282,'Корректировка НВВ'!$F$25:$F$282,$F711,'Корректировка НВВ'!$I$25:$I$282,$G711)</f>
        <v>0</v>
      </c>
      <c r="AU711" s="7432"/>
      <c r="AV711" s="7432"/>
      <c r="AW711" s="7432"/>
      <c r="AX711" s="7432"/>
      <c r="AY711" s="1237"/>
      <c r="AZ711" s="1237"/>
      <c r="BA711" s="1237"/>
      <c r="BB711" s="1237"/>
      <c r="BC711" s="1237"/>
      <c r="BD711" s="778">
        <f>IF(AI711=0,0,(AT711-AI711)/AI711*100)</f>
        <v>0</v>
      </c>
      <c r="BE711" s="778">
        <f>IF(AT711=0,0,(AU711-AT711)/AT711*100)</f>
        <v>0</v>
      </c>
      <c r="BF711" s="778">
        <f>IF(AU711=0,0,(AV711-AU711)/AU711*100)</f>
        <v>0</v>
      </c>
      <c r="BG711" s="778">
        <f>IF(AV711=0,0,(AW711-AV711)/AV711*100)</f>
        <v>0</v>
      </c>
      <c r="BH711" s="778">
        <f>IF(AW711=0,0,(AX711-AW711)/AW711*100)</f>
        <v>0</v>
      </c>
      <c r="BI711" s="778">
        <f>IF(AX711=0,0,(AY711-AX711)/AX711*100)</f>
        <v>0</v>
      </c>
      <c r="BJ711" s="778">
        <f>IF(AY711=0,0,(AZ711-AY711)/AY711*100)</f>
        <v>0</v>
      </c>
      <c r="BK711" s="778">
        <f>IF(AZ711=0,0,(BA711-AZ711)/AZ711*100)</f>
        <v>0</v>
      </c>
      <c r="BL711" s="778">
        <f>IF(BA711=0,0,(BB711-BA711)/BA711*100)</f>
        <v>0</v>
      </c>
      <c r="BM711" s="778">
        <f>IF(BB711=0,0,(BC711-BB711)/BB711*100)</f>
        <v>0</v>
      </c>
      <c r="BN711" s="7436"/>
      <c r="BO711" s="7437" t="str">
        <f>IF(_xlfn.IFERROR(INDEX('Корректировка НВВ'!$K$26:$L$282,MATCH($F711&amp;"11komm",'Корректировка НВВ'!$K$26:$K$282,0),2),"")=0,"",_xlfn.IFERROR(INDEX('Корректировка НВВ'!$K$26:$L$282,MATCH($F711&amp;"11komm",'Корректировка НВВ'!$K$26:$K$282,0),2),""))</f>
        <v/>
      </c>
      <c r="BP711" s="7436"/>
      <c r="BQ711" s="700"/>
      <c r="BR711" s="700"/>
      <c r="BS711" s="1070" t="s">
        <v>2873</v>
      </c>
      <c r="BT711" s="1070"/>
      <c r="BU711" s="1070"/>
      <c r="BV711" s="707"/>
      <c r="BW711" s="707"/>
    </row>
    <row s="1834" customFormat="1" customHeight="1" ht="14.25">
      <c r="A712" s="1278"/>
      <c r="B712" s="978"/>
      <c r="C712" s="107"/>
      <c r="D712" s="107" cm="1" t="str">
        <f t="array" ref="D712:D712">D711</f>
        <v>7</v>
      </c>
      <c r="E712" s="621">
        <v>15</v>
      </c>
      <c r="F712" s="50" cm="1" t="str">
        <f t="array" ref="F712:F712">OFFSET(E712,-1,1)</f>
        <v>4</v>
      </c>
      <c r="G712" s="107"/>
      <c r="H712" s="107"/>
      <c r="I712" s="107"/>
      <c r="J712" s="107"/>
      <c r="K712" s="1278"/>
      <c r="L712" s="980"/>
      <c r="M712" s="107"/>
      <c r="N712" s="107"/>
      <c r="O712" s="107"/>
      <c r="P712" s="107"/>
      <c r="Q712" s="107"/>
      <c r="R712" s="107"/>
      <c r="S712" s="107"/>
      <c r="T712" s="465" cm="1" t="str">
        <f t="array" ref="T712:T712">T711</f>
        <v>true</v>
      </c>
      <c r="U712" s="107"/>
      <c r="V712" s="107"/>
      <c r="W712" s="107"/>
      <c r="X712" s="1596"/>
      <c r="Y712" s="1278"/>
      <c r="Z712" s="1546"/>
      <c r="AA712" s="1278"/>
      <c r="AB712" s="300"/>
      <c r="AC712" s="452" t="s">
        <v>2874</v>
      </c>
      <c r="AD712" s="300"/>
      <c r="AE712" s="1115"/>
      <c r="AF712" s="1115"/>
      <c r="AG712" s="1115"/>
      <c r="AH712" s="1115"/>
      <c r="AI712" s="1115"/>
      <c r="AJ712" s="1115"/>
      <c r="AK712" s="1115"/>
      <c r="AL712" s="1115"/>
      <c r="AM712" s="1115"/>
      <c r="AN712" s="1115"/>
      <c r="AO712" s="1115"/>
      <c r="AP712" s="1115"/>
      <c r="AQ712" s="1115"/>
      <c r="AR712" s="1115"/>
      <c r="AS712" s="1115"/>
      <c r="AT712" s="1115"/>
      <c r="AU712" s="1115"/>
      <c r="AV712" s="1115"/>
      <c r="AW712" s="1115"/>
      <c r="AX712" s="1115"/>
      <c r="AY712" s="1115"/>
      <c r="AZ712" s="1115"/>
      <c r="BA712" s="1115"/>
      <c r="BB712" s="1115"/>
      <c r="BC712" s="1115"/>
      <c r="BD712" s="1115"/>
      <c r="BE712" s="1115"/>
      <c r="BF712" s="1115"/>
      <c r="BG712" s="1115"/>
      <c r="BH712" s="1115"/>
      <c r="BI712" s="1115"/>
      <c r="BJ712" s="1115"/>
      <c r="BK712" s="1115"/>
      <c r="BL712" s="1115"/>
      <c r="BM712" s="1115"/>
      <c r="BN712" s="1117"/>
      <c r="BO712" s="1117"/>
      <c r="BP712" s="1117"/>
      <c r="BQ712" s="1278"/>
      <c r="BR712" s="1278"/>
      <c r="BS712" s="1064"/>
      <c r="BT712" s="1064"/>
      <c r="BU712" s="1064"/>
      <c r="BV712" s="979"/>
      <c r="BW712" s="979"/>
    </row>
    <row s="1834" customFormat="1" customHeight="1" ht="21.75">
      <c r="A713" s="1278"/>
      <c r="B713" s="978"/>
      <c r="C713" s="107"/>
      <c r="D713" s="107" cm="1" t="str">
        <f t="array" ref="D713:D713">D712</f>
        <v>7</v>
      </c>
      <c r="E713" s="621">
        <v>22.5</v>
      </c>
      <c r="F713" s="50" cm="1" t="str">
        <f t="array" ref="F713:F713">OFFSET(E713,-1,1)</f>
        <v>4</v>
      </c>
      <c r="G713" s="107" t="s">
        <v>375</v>
      </c>
      <c r="H713" s="107"/>
      <c r="I713" s="107" t="s">
        <v>1228</v>
      </c>
      <c r="J713" s="107"/>
      <c r="K713" s="158" t="s">
        <v>1228</v>
      </c>
      <c r="L713" s="980"/>
      <c r="M713" s="107"/>
      <c r="N713" s="107"/>
      <c r="O713" s="107"/>
      <c r="P713" s="107"/>
      <c r="Q713" s="107"/>
      <c r="R713" s="107"/>
      <c r="S713" s="107"/>
      <c r="T713" s="465" cm="1" t="str">
        <f t="array" ref="T713:T713">T712</f>
        <v>true</v>
      </c>
      <c r="U713" s="107"/>
      <c r="V713" s="107"/>
      <c r="W713" s="107"/>
      <c r="X713" s="1596"/>
      <c r="Y713" s="1278"/>
      <c r="Z713" s="1546"/>
      <c r="AA713" s="1278"/>
      <c r="AB713" s="300" t="str">
        <f>D713&amp;".1"</f>
        <v>7.1</v>
      </c>
      <c r="AC713" s="762" t="s">
        <v>2875</v>
      </c>
      <c r="AD713" s="300" t="s">
        <v>1514</v>
      </c>
      <c r="AE713" s="3946"/>
      <c r="AF713" s="3946"/>
      <c r="AG713" s="3946"/>
      <c r="AH713" s="1114">
        <f>AG713-AF713</f>
        <v>0</v>
      </c>
      <c r="AI713" s="3946"/>
      <c r="AJ713" s="3946">
        <f>_xlfn.SUMIFS('Корректировка НВВ'!$AF$25:$AF$282,'Корректировка НВВ'!$F$25:$F$282,$F713,'Корректировка НВВ'!$I$25:$I$282,$G713)</f>
        <v>0</v>
      </c>
      <c r="AK713" s="3946"/>
      <c r="AL713" s="3946"/>
      <c r="AM713" s="3946"/>
      <c r="AN713" s="3946"/>
      <c r="AO713" s="1241"/>
      <c r="AP713" s="1241"/>
      <c r="AQ713" s="1241"/>
      <c r="AR713" s="1241"/>
      <c r="AS713" s="1241"/>
      <c r="AT713" s="3946">
        <f>_xlfn.SUMIFS('Корректировка НВВ'!$AG$25:$AG$282,'Корректировка НВВ'!$F$25:$F$282,$F713,'Корректировка НВВ'!$I$25:$I$282,$G713)</f>
        <v>0</v>
      </c>
      <c r="AU713" s="3946"/>
      <c r="AV713" s="3946"/>
      <c r="AW713" s="3946"/>
      <c r="AX713" s="3946"/>
      <c r="AY713" s="1241"/>
      <c r="AZ713" s="1241"/>
      <c r="BA713" s="1241"/>
      <c r="BB713" s="1241"/>
      <c r="BC713" s="1241"/>
      <c r="BD713" s="1115"/>
      <c r="BE713" s="1115"/>
      <c r="BF713" s="1115"/>
      <c r="BG713" s="1115"/>
      <c r="BH713" s="1115"/>
      <c r="BI713" s="1115"/>
      <c r="BJ713" s="1115"/>
      <c r="BK713" s="1115"/>
      <c r="BL713" s="1115"/>
      <c r="BM713" s="1115"/>
      <c r="BN713" s="7433"/>
      <c r="BO713" s="7437" t="str">
        <f>IF(_xlfn.IFERROR(INDEX('Корректировка НВВ'!$K$26:$L$282,MATCH($F713&amp;"1komm",'Корректировка НВВ'!$K$26:$K$282,0),2),"")=0,"",_xlfn.IFERROR(INDEX('Корректировка НВВ'!$K$26:$L$282,MATCH($F713&amp;"1komm",'Корректировка НВВ'!$K$26:$K$282,0),2),""))</f>
        <v/>
      </c>
      <c r="BP713" s="7433"/>
      <c r="BQ713" s="1278"/>
      <c r="BR713" s="1278"/>
      <c r="BS713" s="1064" t="s">
        <v>2876</v>
      </c>
      <c r="BT713" s="1064"/>
      <c r="BU713" s="1064"/>
      <c r="BV713" s="979"/>
      <c r="BW713" s="979"/>
    </row>
    <row s="1834" customFormat="1" customHeight="1" ht="98.25">
      <c r="A714" s="1278"/>
      <c r="B714" s="978"/>
      <c r="C714" s="107"/>
      <c r="D714" s="107" cm="1" t="str">
        <f t="array" ref="D714:D714">D713</f>
        <v>7</v>
      </c>
      <c r="E714" s="621">
        <v>101.25</v>
      </c>
      <c r="F714" s="50" cm="1" t="str">
        <f t="array" ref="F714:F714">OFFSET(E714,-1,1)</f>
        <v>4</v>
      </c>
      <c r="G714" s="107" t="s">
        <v>2877</v>
      </c>
      <c r="H714" s="107"/>
      <c r="I714" s="107" t="s">
        <v>1275</v>
      </c>
      <c r="J714" s="107"/>
      <c r="K714" s="158" t="s">
        <v>1275</v>
      </c>
      <c r="L714" s="980"/>
      <c r="M714" s="107"/>
      <c r="N714" s="107"/>
      <c r="O714" s="107"/>
      <c r="P714" s="107"/>
      <c r="Q714" s="107"/>
      <c r="R714" s="107"/>
      <c r="S714" s="107"/>
      <c r="T714" s="465" cm="1" t="str">
        <f t="array" ref="T714:T714">T713</f>
        <v>true</v>
      </c>
      <c r="U714" s="107"/>
      <c r="V714" s="107"/>
      <c r="W714" s="107"/>
      <c r="X714" s="1596"/>
      <c r="Y714" s="1278"/>
      <c r="Z714" s="1546"/>
      <c r="AA714" s="1278"/>
      <c r="AB714" s="300" t="str">
        <f>D714&amp;".2"</f>
        <v>7.2</v>
      </c>
      <c r="AC714" s="762" t="s">
        <v>2878</v>
      </c>
      <c r="AD714" s="300" t="s">
        <v>1514</v>
      </c>
      <c r="AE714" s="3946"/>
      <c r="AF714" s="3946"/>
      <c r="AG714" s="3946"/>
      <c r="AH714" s="1114">
        <f>AG714-AF714</f>
        <v>0</v>
      </c>
      <c r="AI714" s="3946"/>
      <c r="AJ714" s="3946">
        <f>_xlfn.SUMIFS('Корректировка НВВ'!$AF$25:$AF$282,'Корректировка НВВ'!$F$25:$F$282,$F714,'Корректировка НВВ'!$I$25:$I$282,$G714)</f>
        <v>0</v>
      </c>
      <c r="AK714" s="3946"/>
      <c r="AL714" s="3946"/>
      <c r="AM714" s="3946"/>
      <c r="AN714" s="3946"/>
      <c r="AO714" s="1241"/>
      <c r="AP714" s="1241"/>
      <c r="AQ714" s="1241"/>
      <c r="AR714" s="1241"/>
      <c r="AS714" s="1241"/>
      <c r="AT714" s="3946">
        <f>_xlfn.SUMIFS('Корректировка НВВ'!$AG$25:$AG$282,'Корректировка НВВ'!$F$25:$F$282,$F714,'Корректировка НВВ'!$I$25:$I$282,$G714)</f>
        <v>0</v>
      </c>
      <c r="AU714" s="3946"/>
      <c r="AV714" s="3946"/>
      <c r="AW714" s="3946"/>
      <c r="AX714" s="3946"/>
      <c r="AY714" s="1241"/>
      <c r="AZ714" s="1241"/>
      <c r="BA714" s="1241"/>
      <c r="BB714" s="1241"/>
      <c r="BC714" s="1241"/>
      <c r="BD714" s="1115"/>
      <c r="BE714" s="1115"/>
      <c r="BF714" s="1115"/>
      <c r="BG714" s="1115"/>
      <c r="BH714" s="1115"/>
      <c r="BI714" s="1115"/>
      <c r="BJ714" s="1115"/>
      <c r="BK714" s="1115"/>
      <c r="BL714" s="1115"/>
      <c r="BM714" s="1115"/>
      <c r="BN714" s="7433"/>
      <c r="BO714" s="7437" t="str">
        <f>IF(_xlfn.IFERROR(INDEX('Корректировка НВВ'!$K$26:$L$282,MATCH($F714&amp;"2komm",'Корректировка НВВ'!$K$26:$K$282,0),2),"")=0,"",_xlfn.IFERROR(INDEX('Корректировка НВВ'!$K$26:$L$282,MATCH($F714&amp;"2komm",'Корректировка НВВ'!$K$26:$K$282,0),2),""))</f>
        <v/>
      </c>
      <c r="BP714" s="7433"/>
      <c r="BQ714" s="1278"/>
      <c r="BR714" s="1278"/>
      <c r="BS714" s="1064" t="s">
        <v>2879</v>
      </c>
      <c r="BT714" s="1064"/>
      <c r="BU714" s="1064"/>
      <c r="BV714" s="979"/>
      <c r="BW714" s="979"/>
    </row>
    <row s="1834" customFormat="1" customHeight="1" ht="43.5">
      <c r="A715" s="1278"/>
      <c r="B715" s="978"/>
      <c r="C715" s="107"/>
      <c r="D715" s="107" cm="1" t="str">
        <f t="array" ref="D715:D715">D714</f>
        <v>7</v>
      </c>
      <c r="E715" s="621">
        <v>45</v>
      </c>
      <c r="F715" s="50" cm="1" t="str">
        <f t="array" ref="F715:F715">OFFSET(E715,-1,1)</f>
        <v>4</v>
      </c>
      <c r="G715" s="107"/>
      <c r="H715" s="107"/>
      <c r="I715" s="107" t="s">
        <v>1290</v>
      </c>
      <c r="J715" s="107"/>
      <c r="K715" s="158" t="s">
        <v>1290</v>
      </c>
      <c r="L715" s="980"/>
      <c r="M715" s="107"/>
      <c r="N715" s="107"/>
      <c r="O715" s="107"/>
      <c r="P715" s="107"/>
      <c r="Q715" s="107"/>
      <c r="R715" s="107"/>
      <c r="S715" s="107"/>
      <c r="T715" s="465" cm="1" t="str">
        <f t="array" ref="T715:T715">T714</f>
        <v>true</v>
      </c>
      <c r="U715" s="107"/>
      <c r="V715" s="107"/>
      <c r="W715" s="107"/>
      <c r="X715" s="1596"/>
      <c r="Y715" s="1278"/>
      <c r="Z715" s="1546"/>
      <c r="AA715" s="1278"/>
      <c r="AB715" s="300" t="str">
        <f>D715&amp;".3"</f>
        <v>7.3</v>
      </c>
      <c r="AC715" s="762" t="s">
        <v>2880</v>
      </c>
      <c r="AD715" s="300" t="s">
        <v>1514</v>
      </c>
      <c r="AE715" s="3946"/>
      <c r="AF715" s="3946"/>
      <c r="AG715" s="3946"/>
      <c r="AH715" s="1114">
        <f>AG715-AF715</f>
        <v>0</v>
      </c>
      <c r="AI715" s="3946"/>
      <c r="AJ715" s="3946">
        <f>_xlfn.SUMIFS('Корректировка НВВ'!$AF$25:$AF$282,'Корректировка НВВ'!$F$25:$F$282,$F715,'Корректировка НВВ'!$I$25:$I$282,"L1")+_xlfn.SUMIFS('Корректировка НВВ'!$AF$25:$AF$282,'Корректировка НВВ'!$F$25:$F$282,$F715,'Корректировка НВВ'!$I$25:$I$282,"L2")</f>
        <v>0</v>
      </c>
      <c r="AK715" s="3946"/>
      <c r="AL715" s="3946"/>
      <c r="AM715" s="3946"/>
      <c r="AN715" s="3946"/>
      <c r="AO715" s="1241"/>
      <c r="AP715" s="1241"/>
      <c r="AQ715" s="1241"/>
      <c r="AR715" s="1241"/>
      <c r="AS715" s="1241"/>
      <c r="AT715" s="3946">
        <f>_xlfn.SUMIFS('Корректировка НВВ'!$AG$25:$AG$282,'Корректировка НВВ'!$F$25:$F$282,$F715,'Корректировка НВВ'!$I$25:$I$282,"L1")+_xlfn.SUMIFS('Корректировка НВВ'!$AF$25:$AF$282,'Корректировка НВВ'!$F$25:$F$282,$F715,'Корректировка НВВ'!$I$25:$I$282,"L2")</f>
        <v>0</v>
      </c>
      <c r="AU715" s="3946"/>
      <c r="AV715" s="3946"/>
      <c r="AW715" s="3946"/>
      <c r="AX715" s="3946"/>
      <c r="AY715" s="1241"/>
      <c r="AZ715" s="1241"/>
      <c r="BA715" s="1241"/>
      <c r="BB715" s="1241"/>
      <c r="BC715" s="1241"/>
      <c r="BD715" s="1115"/>
      <c r="BE715" s="1115"/>
      <c r="BF715" s="1115"/>
      <c r="BG715" s="1115"/>
      <c r="BH715" s="1115"/>
      <c r="BI715" s="1115"/>
      <c r="BJ715" s="1115"/>
      <c r="BK715" s="1115"/>
      <c r="BL715" s="1115"/>
      <c r="BM715" s="1115"/>
      <c r="BN715" s="7433"/>
      <c r="BO715" s="7437"/>
      <c r="BP715" s="7433"/>
      <c r="BQ715" s="1278"/>
      <c r="BR715" s="1278"/>
      <c r="BS715" s="1064" t="s">
        <v>2881</v>
      </c>
      <c r="BT715" s="1064"/>
      <c r="BU715" s="1064"/>
      <c r="BV715" s="979"/>
      <c r="BW715" s="979"/>
    </row>
    <row s="1834" customFormat="1" customHeight="1" ht="87.75">
      <c r="A716" s="1278"/>
      <c r="B716" s="445">
        <f>S603="Водоотведение"</f>
        <v>1</v>
      </c>
      <c r="C716" s="107"/>
      <c r="D716" s="107" cm="1" t="str">
        <f t="array" ref="D716:D716">D715</f>
        <v>7</v>
      </c>
      <c r="E716" s="621">
        <v>90</v>
      </c>
      <c r="F716" s="50" cm="1" t="str">
        <f t="array" ref="F716:F716">OFFSET(E716,-1,1)</f>
        <v>4</v>
      </c>
      <c r="G716" s="107" t="s">
        <v>2882</v>
      </c>
      <c r="H716" s="848"/>
      <c r="I716" s="107" t="s">
        <v>1456</v>
      </c>
      <c r="J716" s="107"/>
      <c r="K716" s="158" t="s">
        <v>1456</v>
      </c>
      <c r="L716" s="980" t="s">
        <v>1454</v>
      </c>
      <c r="M716" s="107"/>
      <c r="N716" s="107"/>
      <c r="O716" s="107"/>
      <c r="P716" s="107"/>
      <c r="Q716" s="107"/>
      <c r="R716" s="107"/>
      <c r="S716" s="107"/>
      <c r="T716" s="465" cm="1" t="str">
        <f t="array" ref="T716:T716">T715</f>
        <v>true</v>
      </c>
      <c r="U716" s="107"/>
      <c r="V716" s="107"/>
      <c r="W716" s="107"/>
      <c r="X716" s="1596"/>
      <c r="Y716" s="1278"/>
      <c r="Z716" s="1546"/>
      <c r="AA716" s="1278"/>
      <c r="AB716" s="300" t="str">
        <f>D716&amp;".4"</f>
        <v>7.4</v>
      </c>
      <c r="AC716" s="762" t="s">
        <v>2552</v>
      </c>
      <c r="AD716" s="766" t="s">
        <v>1514</v>
      </c>
      <c r="AE716" s="3946"/>
      <c r="AF716" s="3946"/>
      <c r="AG716" s="3946"/>
      <c r="AH716" s="1114">
        <f>AG716-AF716</f>
        <v>0</v>
      </c>
      <c r="AI716" s="3946"/>
      <c r="AJ716" s="3946">
        <f>_xlfn.SUMIFS('Корректировка НВВ'!$AF$25:$AF$282,'Корректировка НВВ'!$F$25:$F$282,$F716,'Корректировка НВВ'!$I$25:$I$282,$G716)</f>
        <v>0</v>
      </c>
      <c r="AK716" s="3946"/>
      <c r="AL716" s="3946"/>
      <c r="AM716" s="3946"/>
      <c r="AN716" s="3946"/>
      <c r="AO716" s="1241"/>
      <c r="AP716" s="1241"/>
      <c r="AQ716" s="1241"/>
      <c r="AR716" s="1241"/>
      <c r="AS716" s="1241"/>
      <c r="AT716" s="3946">
        <f>_xlfn.SUMIFS('Корректировка НВВ'!$AG$25:$AG$282,'Корректировка НВВ'!$F$25:$F$282,$F716,'Корректировка НВВ'!$I$25:$I$282,$G716)</f>
        <v>0</v>
      </c>
      <c r="AU716" s="3946"/>
      <c r="AV716" s="3946"/>
      <c r="AW716" s="3946"/>
      <c r="AX716" s="3946"/>
      <c r="AY716" s="1241"/>
      <c r="AZ716" s="1241"/>
      <c r="BA716" s="1241"/>
      <c r="BB716" s="1241"/>
      <c r="BC716" s="1241"/>
      <c r="BD716" s="1115"/>
      <c r="BE716" s="1115"/>
      <c r="BF716" s="1115"/>
      <c r="BG716" s="1115"/>
      <c r="BH716" s="1115"/>
      <c r="BI716" s="1115"/>
      <c r="BJ716" s="1115"/>
      <c r="BK716" s="1115"/>
      <c r="BL716" s="1115"/>
      <c r="BM716" s="1115"/>
      <c r="BN716" s="7433"/>
      <c r="BO716" s="7437" t="str">
        <f>IF(_xlfn.IFERROR(INDEX('Корректировка НВВ'!$K$26:$L$282,MATCH($F716&amp;"3komm",'Корректировка НВВ'!$K$26:$K$282,0),2),"")=0,"",_xlfn.IFERROR(INDEX('Корректировка НВВ'!$K$26:$L$282,MATCH($F716&amp;"3komm",'Корректировка НВВ'!$K$26:$K$282,0),2),""))</f>
        <v/>
      </c>
      <c r="BP716" s="7433"/>
      <c r="BQ716" s="1278"/>
      <c r="BR716" s="1278"/>
      <c r="BS716" s="1064" t="s">
        <v>2098</v>
      </c>
      <c r="BT716" s="1064"/>
      <c r="BU716" s="1064"/>
      <c r="BV716" s="979"/>
      <c r="BW716" s="979"/>
    </row>
    <row s="1834" customFormat="1" customHeight="1" ht="54.75">
      <c r="A717" s="1278"/>
      <c r="B717" s="445" cm="1" t="str">
        <f t="array" ref="B717:B717">B716</f>
        <v>true</v>
      </c>
      <c r="C717" s="107"/>
      <c r="D717" s="107" cm="1" t="str">
        <f t="array" ref="D717:D717">D716</f>
        <v>7</v>
      </c>
      <c r="E717" s="621">
        <v>56.25</v>
      </c>
      <c r="F717" s="50" cm="1" t="str">
        <f t="array" ref="F717:F717">OFFSET(E717,-1,1)</f>
        <v>4</v>
      </c>
      <c r="G717" s="107" t="s">
        <v>2883</v>
      </c>
      <c r="H717" s="848"/>
      <c r="I717" s="107" t="s">
        <v>1492</v>
      </c>
      <c r="J717" s="107"/>
      <c r="K717" s="158" t="s">
        <v>1492</v>
      </c>
      <c r="L717" s="980" t="s">
        <v>1456</v>
      </c>
      <c r="M717" s="107"/>
      <c r="N717" s="107"/>
      <c r="O717" s="107"/>
      <c r="P717" s="107"/>
      <c r="Q717" s="107"/>
      <c r="R717" s="107"/>
      <c r="S717" s="107"/>
      <c r="T717" s="465" cm="1" t="str">
        <f t="array" ref="T717:T717">T716</f>
        <v>true</v>
      </c>
      <c r="U717" s="107"/>
      <c r="V717" s="107"/>
      <c r="W717" s="107"/>
      <c r="X717" s="1596"/>
      <c r="Y717" s="1278"/>
      <c r="Z717" s="1546"/>
      <c r="AA717" s="1278"/>
      <c r="AB717" s="300" t="str">
        <f>D717&amp;".5"</f>
        <v>7.5</v>
      </c>
      <c r="AC717" s="762" t="s">
        <v>2553</v>
      </c>
      <c r="AD717" s="766" t="s">
        <v>1514</v>
      </c>
      <c r="AE717" s="3946"/>
      <c r="AF717" s="3946"/>
      <c r="AG717" s="3946"/>
      <c r="AH717" s="1114">
        <f>AG717-AF717</f>
        <v>0</v>
      </c>
      <c r="AI717" s="3946"/>
      <c r="AJ717" s="3946">
        <f>_xlfn.SUMIFS('Корректировка НВВ'!$AF$25:$AF$282,'Корректировка НВВ'!$F$25:$F$282,$F717,'Корректировка НВВ'!$I$25:$I$282,$G717)</f>
        <v>0</v>
      </c>
      <c r="AK717" s="3946"/>
      <c r="AL717" s="3946"/>
      <c r="AM717" s="3946"/>
      <c r="AN717" s="3946"/>
      <c r="AO717" s="1241"/>
      <c r="AP717" s="1241"/>
      <c r="AQ717" s="1241"/>
      <c r="AR717" s="1241"/>
      <c r="AS717" s="1241"/>
      <c r="AT717" s="3946">
        <f>_xlfn.SUMIFS('Корректировка НВВ'!$AG$25:$AG$282,'Корректировка НВВ'!$F$25:$F$282,$F717,'Корректировка НВВ'!$I$25:$I$282,$G717)</f>
        <v>0</v>
      </c>
      <c r="AU717" s="3946"/>
      <c r="AV717" s="3946"/>
      <c r="AW717" s="3946"/>
      <c r="AX717" s="3946"/>
      <c r="AY717" s="1241"/>
      <c r="AZ717" s="1241"/>
      <c r="BA717" s="1241"/>
      <c r="BB717" s="1241"/>
      <c r="BC717" s="1241"/>
      <c r="BD717" s="1115"/>
      <c r="BE717" s="1115"/>
      <c r="BF717" s="1115"/>
      <c r="BG717" s="1115"/>
      <c r="BH717" s="1115"/>
      <c r="BI717" s="1115"/>
      <c r="BJ717" s="1115"/>
      <c r="BK717" s="1115"/>
      <c r="BL717" s="1115"/>
      <c r="BM717" s="1115"/>
      <c r="BN717" s="7433"/>
      <c r="BO717" s="7437" t="str">
        <f>IF(_xlfn.IFERROR(INDEX('Корректировка НВВ'!$K$26:$L$282,MATCH($F717&amp;"4komm",'Корректировка НВВ'!$K$26:$K$282,0),2),"")=0,"",_xlfn.IFERROR(INDEX('Корректировка НВВ'!$K$26:$L$282,MATCH($F717&amp;"4komm",'Корректировка НВВ'!$K$26:$K$282,0),2),""))</f>
        <v/>
      </c>
      <c r="BP717" s="7433"/>
      <c r="BQ717" s="1278"/>
      <c r="BR717" s="1278"/>
      <c r="BS717" s="1064" t="s">
        <v>2102</v>
      </c>
      <c r="BT717" s="1064"/>
      <c r="BU717" s="1064"/>
      <c r="BV717" s="979"/>
      <c r="BW717" s="979"/>
    </row>
    <row s="1834" customFormat="1" customHeight="1" ht="14.25">
      <c r="A718" s="1278"/>
      <c r="B718" s="427"/>
      <c r="C718" s="107"/>
      <c r="D718" s="107" cm="1" t="str">
        <f t="array" ref="D718:D718">D717</f>
        <v>7</v>
      </c>
      <c r="E718" s="621">
        <v>15</v>
      </c>
      <c r="F718" s="50" cm="1" t="str">
        <f t="array" ref="F718:F718">OFFSET(E718,-1,1)</f>
        <v>4</v>
      </c>
      <c r="G718" s="107" t="s">
        <v>2884</v>
      </c>
      <c r="H718" s="107"/>
      <c r="I718" s="107" t="s">
        <v>1493</v>
      </c>
      <c r="J718" s="107"/>
      <c r="K718" s="158" t="s">
        <v>1493</v>
      </c>
      <c r="L718" s="980" t="s">
        <v>1492</v>
      </c>
      <c r="M718" s="107"/>
      <c r="N718" s="107"/>
      <c r="O718" s="107"/>
      <c r="P718" s="107"/>
      <c r="Q718" s="107"/>
      <c r="R718" s="107"/>
      <c r="S718" s="107"/>
      <c r="T718" s="465" cm="1" t="str">
        <f t="array" ref="T718:T718">T717</f>
        <v>true</v>
      </c>
      <c r="U718" s="107"/>
      <c r="V718" s="107"/>
      <c r="W718" s="107"/>
      <c r="X718" s="1596"/>
      <c r="Y718" s="1278"/>
      <c r="Z718" s="1546"/>
      <c r="AA718" s="1278"/>
      <c r="AB718" s="300" t="str">
        <f>IF(B717,D718&amp;".6",D718&amp;".4")</f>
        <v>7.6</v>
      </c>
      <c r="AC718" s="762" t="s">
        <v>2316</v>
      </c>
      <c r="AD718" s="300" t="s">
        <v>1514</v>
      </c>
      <c r="AE718" s="3946"/>
      <c r="AF718" s="3946"/>
      <c r="AG718" s="3946"/>
      <c r="AH718" s="1114">
        <f>AG718-AF718</f>
        <v>0</v>
      </c>
      <c r="AI718" s="3946"/>
      <c r="AJ718" s="3946">
        <f>_xlfn.SUMIFS('Корректировка НВВ'!$AF$25:$AF$282,'Корректировка НВВ'!$F$25:$F$282,$F718,'Корректировка НВВ'!$I$25:$I$282,$G718)</f>
        <v>0</v>
      </c>
      <c r="AK718" s="3946"/>
      <c r="AL718" s="3946"/>
      <c r="AM718" s="3946"/>
      <c r="AN718" s="3946"/>
      <c r="AO718" s="1241"/>
      <c r="AP718" s="1241"/>
      <c r="AQ718" s="1241"/>
      <c r="AR718" s="1241"/>
      <c r="AS718" s="1241"/>
      <c r="AT718" s="3946">
        <f>_xlfn.SUMIFS('Корректировка НВВ'!$AG$25:$AG$282,'Корректировка НВВ'!$F$25:$F$282,$F718,'Корректировка НВВ'!$I$25:$I$282,$G718)</f>
        <v>0</v>
      </c>
      <c r="AU718" s="3946"/>
      <c r="AV718" s="3946"/>
      <c r="AW718" s="3946"/>
      <c r="AX718" s="3946"/>
      <c r="AY718" s="1241"/>
      <c r="AZ718" s="1241"/>
      <c r="BA718" s="1241"/>
      <c r="BB718" s="1241"/>
      <c r="BC718" s="1241"/>
      <c r="BD718" s="1115"/>
      <c r="BE718" s="1115"/>
      <c r="BF718" s="1115"/>
      <c r="BG718" s="1115"/>
      <c r="BH718" s="1115"/>
      <c r="BI718" s="1115"/>
      <c r="BJ718" s="1115"/>
      <c r="BK718" s="1115"/>
      <c r="BL718" s="1115"/>
      <c r="BM718" s="1115"/>
      <c r="BN718" s="7433"/>
      <c r="BO718" s="7437" t="str">
        <f>IF(_xlfn.IFERROR(INDEX('Корректировка НВВ'!$K$26:$L$282,MATCH($F718&amp;"5komm",'Корректировка НВВ'!$K$26:$K$282,0),2),"")=0,"",_xlfn.IFERROR(INDEX('Корректировка НВВ'!$K$26:$L$282,MATCH($F718&amp;"5komm",'Корректировка НВВ'!$K$26:$K$282,0),2),""))</f>
        <v/>
      </c>
      <c r="BP718" s="7433"/>
      <c r="BQ718" s="1278"/>
      <c r="BR718" s="1278"/>
      <c r="BS718" s="1064" t="s">
        <v>2885</v>
      </c>
      <c r="BT718" s="1064"/>
      <c r="BU718" s="1064"/>
      <c r="BV718" s="979"/>
      <c r="BW718" s="979"/>
    </row>
    <row s="1834" customFormat="1" customHeight="1" ht="14.25">
      <c r="A719" s="1278"/>
      <c r="B719" s="978"/>
      <c r="C719" s="107"/>
      <c r="D719" s="107" cm="1" t="str">
        <f t="array" ref="D719:D719">D718</f>
        <v>7</v>
      </c>
      <c r="E719" s="621">
        <v>15</v>
      </c>
      <c r="F719" s="50" cm="1" t="str">
        <f t="array" ref="F719:F719">OFFSET(E719,-1,1)</f>
        <v>4</v>
      </c>
      <c r="G719" s="107" t="s">
        <v>2886</v>
      </c>
      <c r="H719" s="107"/>
      <c r="I719" s="107" t="s">
        <v>2561</v>
      </c>
      <c r="J719" s="107"/>
      <c r="K719" s="158" t="s">
        <v>2561</v>
      </c>
      <c r="L719" s="980" t="s">
        <v>1493</v>
      </c>
      <c r="M719" s="107"/>
      <c r="N719" s="107"/>
      <c r="O719" s="107"/>
      <c r="P719" s="107"/>
      <c r="Q719" s="107"/>
      <c r="R719" s="107"/>
      <c r="S719" s="107"/>
      <c r="T719" s="465" cm="1" t="str">
        <f t="array" ref="T719:T719">T718</f>
        <v>true</v>
      </c>
      <c r="U719" s="107"/>
      <c r="V719" s="107"/>
      <c r="W719" s="107"/>
      <c r="X719" s="1596"/>
      <c r="Y719" s="1278"/>
      <c r="Z719" s="1546"/>
      <c r="AA719" s="1278"/>
      <c r="AB719" s="300" t="str">
        <f>IF(B717,D718&amp;".7",D718&amp;".5")</f>
        <v>7.7</v>
      </c>
      <c r="AC719" s="762" t="s">
        <v>2278</v>
      </c>
      <c r="AD719" s="300" t="s">
        <v>1514</v>
      </c>
      <c r="AE719" s="3946">
        <f>AE720+AE721</f>
        <v>0</v>
      </c>
      <c r="AF719" s="3946">
        <f>AF720+AF721</f>
        <v>0</v>
      </c>
      <c r="AG719" s="3946">
        <f>AG720+AG721</f>
        <v>0</v>
      </c>
      <c r="AH719" s="1114">
        <f>AG719-AF719</f>
        <v>0</v>
      </c>
      <c r="AI719" s="3946">
        <f>AI720+AI721</f>
        <v>0</v>
      </c>
      <c r="AJ719" s="3946">
        <f>_xlfn.SUMIFS('Корректировка НВВ'!$AF$25:$AF$282,'Корректировка НВВ'!$F$25:$F$282,$F719,'Корректировка НВВ'!$I$25:$I$282,$G719)</f>
        <v>0</v>
      </c>
      <c r="AK719" s="3946">
        <f>AK720+AK721</f>
        <v>0</v>
      </c>
      <c r="AL719" s="3946">
        <f>AL720+AL721</f>
        <v>0</v>
      </c>
      <c r="AM719" s="3946">
        <f>AM720+AM721</f>
        <v>0</v>
      </c>
      <c r="AN719" s="3946">
        <f>AN720+AN721</f>
        <v>0</v>
      </c>
      <c r="AO719" s="1241">
        <f>AO720+AO721</f>
        <v>0</v>
      </c>
      <c r="AP719" s="1241">
        <f>AP720+AP721</f>
        <v>0</v>
      </c>
      <c r="AQ719" s="1241">
        <f>AQ720+AQ721</f>
        <v>0</v>
      </c>
      <c r="AR719" s="1241">
        <f>AR720+AR721</f>
        <v>0</v>
      </c>
      <c r="AS719" s="1241">
        <f>AS720+AS721</f>
        <v>0</v>
      </c>
      <c r="AT719" s="3946">
        <f>_xlfn.SUMIFS('Корректировка НВВ'!$AG$25:$AG$282,'Корректировка НВВ'!$F$25:$F$282,$F719,'Корректировка НВВ'!$I$25:$I$282,$G719)</f>
        <v>0</v>
      </c>
      <c r="AU719" s="3946">
        <f>AU720+AU721</f>
        <v>0</v>
      </c>
      <c r="AV719" s="3946">
        <f>AV720+AV721</f>
        <v>0</v>
      </c>
      <c r="AW719" s="3946">
        <f>AW720+AW721</f>
        <v>0</v>
      </c>
      <c r="AX719" s="3946">
        <f>AX720+AX721</f>
        <v>0</v>
      </c>
      <c r="AY719" s="1241">
        <f>AY720+AY721</f>
        <v>0</v>
      </c>
      <c r="AZ719" s="1241">
        <f>AZ720+AZ721</f>
        <v>0</v>
      </c>
      <c r="BA719" s="1241">
        <f>BA720+BA721</f>
        <v>0</v>
      </c>
      <c r="BB719" s="1241">
        <f>BB720+BB721</f>
        <v>0</v>
      </c>
      <c r="BC719" s="1241">
        <f>BC720+BC721</f>
        <v>0</v>
      </c>
      <c r="BD719" s="1114">
        <f>IF(AI719=0,0,(AT719-AI719)/AI719*100)</f>
        <v>0</v>
      </c>
      <c r="BE719" s="1114">
        <f>IF(AT719=0,0,(AU719-AT719)/AT719*100)</f>
        <v>0</v>
      </c>
      <c r="BF719" s="1114">
        <f>IF(AU719=0,0,(AV719-AU719)/AU719*100)</f>
        <v>0</v>
      </c>
      <c r="BG719" s="1114">
        <f>IF(AV719=0,0,(AW719-AV719)/AV719*100)</f>
        <v>0</v>
      </c>
      <c r="BH719" s="1114">
        <f>IF(AW719=0,0,(AX719-AW719)/AW719*100)</f>
        <v>0</v>
      </c>
      <c r="BI719" s="1114">
        <f>IF(AX719=0,0,(AY719-AX719)/AX719*100)</f>
        <v>0</v>
      </c>
      <c r="BJ719" s="1114">
        <f>IF(AY719=0,0,(AZ719-AY719)/AY719*100)</f>
        <v>0</v>
      </c>
      <c r="BK719" s="1114">
        <f>IF(AZ719=0,0,(BA719-AZ719)/AZ719*100)</f>
        <v>0</v>
      </c>
      <c r="BL719" s="1114">
        <f>IF(BA719=0,0,(BB719-BA719)/BA719*100)</f>
        <v>0</v>
      </c>
      <c r="BM719" s="1114">
        <f>IF(BB719=0,0,(BC719-BB719)/BB719*100)</f>
        <v>0</v>
      </c>
      <c r="BN719" s="7433"/>
      <c r="BO719" s="7437" t="str">
        <f>IF(_xlfn.IFERROR(INDEX('Корректировка НВВ'!$K$26:$L$282,MATCH($F719&amp;"6komm",'Корректировка НВВ'!$K$26:$K$282,0),2),"")=0,"",_xlfn.IFERROR(INDEX('Корректировка НВВ'!$K$26:$L$282,MATCH($F719&amp;"6komm",'Корректировка НВВ'!$K$26:$K$282,0),2),""))</f>
        <v/>
      </c>
      <c r="BP719" s="7433"/>
      <c r="BQ719" s="1278"/>
      <c r="BR719" s="1278"/>
      <c r="BS719" s="1064" t="s">
        <v>2280</v>
      </c>
      <c r="BT719" s="1064"/>
      <c r="BU719" s="1064"/>
      <c r="BV719" s="979"/>
      <c r="BW719" s="979"/>
    </row>
    <row s="1834" customFormat="1" customHeight="1" ht="21.75">
      <c r="A720" s="1278"/>
      <c r="B720" s="978"/>
      <c r="C720" s="107"/>
      <c r="D720" s="107" cm="1" t="str">
        <f t="array" ref="D720:D720">D719</f>
        <v>7</v>
      </c>
      <c r="E720" s="621">
        <v>22.5</v>
      </c>
      <c r="F720" s="50" cm="1" t="str">
        <f t="array" ref="F720:F720">OFFSET(E720,-1,1)</f>
        <v>4</v>
      </c>
      <c r="G720" s="107" t="s">
        <v>2887</v>
      </c>
      <c r="H720" s="107"/>
      <c r="I720" s="107" t="s">
        <v>2888</v>
      </c>
      <c r="J720" s="107"/>
      <c r="K720" s="158" t="s">
        <v>2888</v>
      </c>
      <c r="L720" s="980" t="s">
        <v>2556</v>
      </c>
      <c r="M720" s="107"/>
      <c r="N720" s="107"/>
      <c r="O720" s="107"/>
      <c r="P720" s="107"/>
      <c r="Q720" s="107"/>
      <c r="R720" s="107"/>
      <c r="S720" s="107"/>
      <c r="T720" s="465" cm="1" t="str">
        <f t="array" ref="T720:T720">T719</f>
        <v>true</v>
      </c>
      <c r="U720" s="107"/>
      <c r="V720" s="107"/>
      <c r="W720" s="107"/>
      <c r="X720" s="1596"/>
      <c r="Y720" s="1278"/>
      <c r="Z720" s="1546"/>
      <c r="AA720" s="1278"/>
      <c r="AB720" s="300" t="str">
        <f>AB719&amp;".1"</f>
        <v>7.7.1</v>
      </c>
      <c r="AC720" s="781" t="s">
        <v>2281</v>
      </c>
      <c r="AD720" s="300" t="s">
        <v>1514</v>
      </c>
      <c r="AE720" s="3946"/>
      <c r="AF720" s="3946"/>
      <c r="AG720" s="3946"/>
      <c r="AH720" s="1114">
        <f>AG720-AF720</f>
        <v>0</v>
      </c>
      <c r="AI720" s="3946"/>
      <c r="AJ720" s="3946">
        <f>_xlfn.SUMIFS('Корректировка НВВ'!$AF$25:$AF$282,'Корректировка НВВ'!$F$25:$F$282,$F720,'Корректировка НВВ'!$I$25:$I$282,$G720)</f>
        <v>0</v>
      </c>
      <c r="AK720" s="3946"/>
      <c r="AL720" s="3946"/>
      <c r="AM720" s="3946"/>
      <c r="AN720" s="3946"/>
      <c r="AO720" s="1241"/>
      <c r="AP720" s="1241"/>
      <c r="AQ720" s="1241"/>
      <c r="AR720" s="1241"/>
      <c r="AS720" s="1241"/>
      <c r="AT720" s="3946">
        <f>_xlfn.SUMIFS('Корректировка НВВ'!$AG$25:$AG$282,'Корректировка НВВ'!$F$25:$F$282,$F720,'Корректировка НВВ'!$I$25:$I$282,$G720)</f>
        <v>0</v>
      </c>
      <c r="AU720" s="3946"/>
      <c r="AV720" s="3946"/>
      <c r="AW720" s="3946"/>
      <c r="AX720" s="3946"/>
      <c r="AY720" s="1241"/>
      <c r="AZ720" s="1241"/>
      <c r="BA720" s="1241"/>
      <c r="BB720" s="1241"/>
      <c r="BC720" s="1241"/>
      <c r="BD720" s="1115"/>
      <c r="BE720" s="1115"/>
      <c r="BF720" s="1115"/>
      <c r="BG720" s="1115"/>
      <c r="BH720" s="1115"/>
      <c r="BI720" s="1115"/>
      <c r="BJ720" s="1115"/>
      <c r="BK720" s="1115"/>
      <c r="BL720" s="1115"/>
      <c r="BM720" s="1115"/>
      <c r="BN720" s="7433"/>
      <c r="BO720" s="7437" t="str">
        <f>IF(_xlfn.IFERROR(INDEX('Корректировка НВВ'!$K$26:$L$282,MATCH($F720&amp;"7komm",'Корректировка НВВ'!$K$26:$K$282,0),2),"")=0,"",_xlfn.IFERROR(INDEX('Корректировка НВВ'!$K$26:$L$282,MATCH($F720&amp;"7komm",'Корректировка НВВ'!$K$26:$K$282,0),2),""))</f>
        <v/>
      </c>
      <c r="BP720" s="7433"/>
      <c r="BQ720" s="1278"/>
      <c r="BR720" s="1278"/>
      <c r="BS720" s="1064" t="s">
        <v>2282</v>
      </c>
      <c r="BT720" s="1064"/>
      <c r="BU720" s="1064"/>
      <c r="BV720" s="979"/>
      <c r="BW720" s="979"/>
    </row>
    <row s="1834" customFormat="1" customHeight="1" ht="21.75">
      <c r="A721" s="1278"/>
      <c r="B721" s="978"/>
      <c r="C721" s="107"/>
      <c r="D721" s="107" cm="1" t="str">
        <f t="array" ref="D721:D721">D720</f>
        <v>7</v>
      </c>
      <c r="E721" s="621">
        <v>22.5</v>
      </c>
      <c r="F721" s="50" cm="1" t="str">
        <f t="array" ref="F721:F721">OFFSET(E721,-1,1)</f>
        <v>4</v>
      </c>
      <c r="G721" s="107" t="s">
        <v>2889</v>
      </c>
      <c r="H721" s="107"/>
      <c r="I721" s="107" t="s">
        <v>2890</v>
      </c>
      <c r="J721" s="107"/>
      <c r="K721" s="158" t="s">
        <v>2890</v>
      </c>
      <c r="L721" s="980" t="s">
        <v>2558</v>
      </c>
      <c r="M721" s="107"/>
      <c r="N721" s="107"/>
      <c r="O721" s="107"/>
      <c r="P721" s="107"/>
      <c r="Q721" s="107"/>
      <c r="R721" s="107"/>
      <c r="S721" s="107"/>
      <c r="T721" s="465" cm="1" t="str">
        <f t="array" ref="T721:T721">T720</f>
        <v>true</v>
      </c>
      <c r="U721" s="107"/>
      <c r="V721" s="107"/>
      <c r="W721" s="107"/>
      <c r="X721" s="1596"/>
      <c r="Y721" s="1278"/>
      <c r="Z721" s="1546"/>
      <c r="AA721" s="1278"/>
      <c r="AB721" s="300" t="str">
        <f>AB719&amp;".2"</f>
        <v>7.7.2</v>
      </c>
      <c r="AC721" s="781" t="s">
        <v>2283</v>
      </c>
      <c r="AD721" s="300" t="s">
        <v>1514</v>
      </c>
      <c r="AE721" s="3946"/>
      <c r="AF721" s="3946"/>
      <c r="AG721" s="3946"/>
      <c r="AH721" s="1114">
        <f>AG721-AF721</f>
        <v>0</v>
      </c>
      <c r="AI721" s="3946"/>
      <c r="AJ721" s="3946">
        <f>_xlfn.SUMIFS('Корректировка НВВ'!$AF$25:$AF$282,'Корректировка НВВ'!$F$25:$F$282,$F721,'Корректировка НВВ'!$I$25:$I$282,$G721)</f>
        <v>0</v>
      </c>
      <c r="AK721" s="3946"/>
      <c r="AL721" s="3946"/>
      <c r="AM721" s="3946"/>
      <c r="AN721" s="3946"/>
      <c r="AO721" s="1241"/>
      <c r="AP721" s="1241"/>
      <c r="AQ721" s="1241"/>
      <c r="AR721" s="1241"/>
      <c r="AS721" s="1241"/>
      <c r="AT721" s="3946">
        <f>_xlfn.SUMIFS('Корректировка НВВ'!$AG$25:$AG$282,'Корректировка НВВ'!$F$25:$F$282,$F721,'Корректировка НВВ'!$I$25:$I$282,$G721)</f>
        <v>0</v>
      </c>
      <c r="AU721" s="3946"/>
      <c r="AV721" s="3946"/>
      <c r="AW721" s="3946"/>
      <c r="AX721" s="3946"/>
      <c r="AY721" s="1241"/>
      <c r="AZ721" s="1241"/>
      <c r="BA721" s="1241"/>
      <c r="BB721" s="1241"/>
      <c r="BC721" s="1241"/>
      <c r="BD721" s="1115"/>
      <c r="BE721" s="1115"/>
      <c r="BF721" s="1115"/>
      <c r="BG721" s="1115"/>
      <c r="BH721" s="1115"/>
      <c r="BI721" s="1115"/>
      <c r="BJ721" s="1115"/>
      <c r="BK721" s="1115"/>
      <c r="BL721" s="1115"/>
      <c r="BM721" s="1115"/>
      <c r="BN721" s="7433"/>
      <c r="BO721" s="7437" t="str">
        <f>IF(_xlfn.IFERROR(INDEX('Корректировка НВВ'!$K$26:$L$282,MATCH($F721&amp;"8komm",'Корректировка НВВ'!$K$26:$K$282,0),2),"")=0,"",_xlfn.IFERROR(INDEX('Корректировка НВВ'!$K$26:$L$282,MATCH($F721&amp;"8komm",'Корректировка НВВ'!$K$26:$K$282,0),2),""))</f>
        <v/>
      </c>
      <c r="BP721" s="7433"/>
      <c r="BQ721" s="1278"/>
      <c r="BR721" s="1278"/>
      <c r="BS721" s="1064" t="s">
        <v>2284</v>
      </c>
      <c r="BT721" s="1064"/>
      <c r="BU721" s="1064"/>
      <c r="BV721" s="979"/>
      <c r="BW721" s="979"/>
    </row>
    <row s="1834" customFormat="1" customHeight="1" ht="0">
      <c r="A722" s="1278"/>
      <c r="B722" s="978"/>
      <c r="C722" s="107"/>
      <c r="D722" s="107" cm="1" t="str">
        <f t="array" ref="D722:D722">D721</f>
        <v>7</v>
      </c>
      <c r="E722" s="621">
        <v>15</v>
      </c>
      <c r="F722" s="50" cm="1" t="str">
        <f t="array" ref="F722:F722">OFFSET(E722,-1,1)</f>
        <v>4</v>
      </c>
      <c r="G722" s="107" t="s">
        <v>320</v>
      </c>
      <c r="H722" s="107"/>
      <c r="I722" s="107" t="s">
        <v>2562</v>
      </c>
      <c r="J722" s="107"/>
      <c r="K722" s="158" t="s">
        <v>2562</v>
      </c>
      <c r="L722" s="980" t="s">
        <v>2561</v>
      </c>
      <c r="M722" s="107"/>
      <c r="N722" s="107"/>
      <c r="O722" s="107"/>
      <c r="P722" s="107"/>
      <c r="Q722" s="107"/>
      <c r="R722" s="107"/>
      <c r="S722" s="107"/>
      <c r="T722" s="465" cm="1" t="str">
        <f t="array" ref="T722:T722">T721</f>
        <v>true</v>
      </c>
      <c r="U722" s="107"/>
      <c r="V722" s="107"/>
      <c r="W722" s="107"/>
      <c r="X722" s="1596"/>
      <c r="Y722" s="1278"/>
      <c r="Z722" s="1546"/>
      <c r="AA722" s="1278"/>
      <c r="AB722" s="300" t="str">
        <f>IF(B717,D718&amp;".8",D718&amp;".6")</f>
        <v>7.8</v>
      </c>
      <c r="AC722" s="782" t="s">
        <v>2285</v>
      </c>
      <c r="AD722" s="300" t="s">
        <v>1514</v>
      </c>
      <c r="AE722" s="3946"/>
      <c r="AF722" s="3946"/>
      <c r="AG722" s="3946"/>
      <c r="AH722" s="1114">
        <f>AG722-AF722</f>
        <v>0</v>
      </c>
      <c r="AI722" s="3946"/>
      <c r="AJ722" s="3946">
        <f>_xlfn.SUMIFS('Корректировка НВВ'!$AF$25:$AF$282,'Корректировка НВВ'!$F$25:$F$282,$F722,'Корректировка НВВ'!$I$25:$I$282,$G722)</f>
        <v>0</v>
      </c>
      <c r="AK722" s="3946"/>
      <c r="AL722" s="3946"/>
      <c r="AM722" s="3946"/>
      <c r="AN722" s="3946"/>
      <c r="AO722" s="1241"/>
      <c r="AP722" s="1241"/>
      <c r="AQ722" s="1241"/>
      <c r="AR722" s="1241"/>
      <c r="AS722" s="1241"/>
      <c r="AT722" s="3946">
        <f>_xlfn.SUMIFS('Корректировка НВВ'!$AG$25:$AG$282,'Корректировка НВВ'!$F$25:$F$282,$F722,'Корректировка НВВ'!$I$25:$I$282,$G722)</f>
        <v>0</v>
      </c>
      <c r="AU722" s="3946"/>
      <c r="AV722" s="3946"/>
      <c r="AW722" s="3946"/>
      <c r="AX722" s="3946"/>
      <c r="AY722" s="1241"/>
      <c r="AZ722" s="1241"/>
      <c r="BA722" s="1241"/>
      <c r="BB722" s="1241"/>
      <c r="BC722" s="1241"/>
      <c r="BD722" s="1115"/>
      <c r="BE722" s="1115"/>
      <c r="BF722" s="1115"/>
      <c r="BG722" s="1115"/>
      <c r="BH722" s="1115"/>
      <c r="BI722" s="1115"/>
      <c r="BJ722" s="1115"/>
      <c r="BK722" s="1115"/>
      <c r="BL722" s="1115"/>
      <c r="BM722" s="1115"/>
      <c r="BN722" s="7433"/>
      <c r="BO722" s="7437" t="str">
        <f>IF(_xlfn.IFERROR(INDEX('Корректировка НВВ'!$K$26:$L$282,MATCH($F722&amp;"9komm",'Корректировка НВВ'!$K$26:$K$282,0),2),"")=0,"",_xlfn.IFERROR(INDEX('Корректировка НВВ'!$K$26:$L$282,MATCH($F722&amp;"9komm",'Корректировка НВВ'!$K$26:$K$282,0),2),""))</f>
        <v/>
      </c>
      <c r="BP722" s="7433"/>
      <c r="BQ722" s="1278"/>
      <c r="BR722" s="1278"/>
      <c r="BS722" s="1064" t="s">
        <v>2891</v>
      </c>
      <c r="BT722" s="1064"/>
      <c r="BU722" s="1064"/>
      <c r="BV722" s="979"/>
      <c r="BW722" s="979"/>
    </row>
    <row s="1834" customFormat="1" customHeight="1" ht="0">
      <c r="A723" s="1278"/>
      <c r="B723" s="978"/>
      <c r="C723" s="107"/>
      <c r="D723" s="107" cm="1" t="str">
        <f t="array" ref="D723:D723">D722</f>
        <v>7</v>
      </c>
      <c r="E723" s="621">
        <v>15</v>
      </c>
      <c r="F723" s="50" cm="1" t="str">
        <f t="array" ref="F723:F723">OFFSET(E723,-1,1)</f>
        <v>4</v>
      </c>
      <c r="G723" s="107" t="s">
        <v>2892</v>
      </c>
      <c r="H723" s="107"/>
      <c r="I723" s="107" t="s">
        <v>2563</v>
      </c>
      <c r="J723" s="107"/>
      <c r="K723" s="158" t="s">
        <v>2563</v>
      </c>
      <c r="L723" s="980" t="s">
        <v>2562</v>
      </c>
      <c r="M723" s="107"/>
      <c r="N723" s="107"/>
      <c r="O723" s="107"/>
      <c r="P723" s="107"/>
      <c r="Q723" s="107"/>
      <c r="R723" s="107"/>
      <c r="S723" s="107"/>
      <c r="T723" s="465" cm="1" t="str">
        <f t="array" ref="T723:T723">T722</f>
        <v>true</v>
      </c>
      <c r="U723" s="107"/>
      <c r="V723" s="107"/>
      <c r="W723" s="107"/>
      <c r="X723" s="1596"/>
      <c r="Y723" s="1278"/>
      <c r="Z723" s="1546"/>
      <c r="AA723" s="1278"/>
      <c r="AB723" s="300" t="str">
        <f>IF(B717,D718&amp;".9",D718&amp;".7")</f>
        <v>7.9</v>
      </c>
      <c r="AC723" s="782" t="s">
        <v>2287</v>
      </c>
      <c r="AD723" s="300" t="s">
        <v>1514</v>
      </c>
      <c r="AE723" s="3946"/>
      <c r="AF723" s="3946"/>
      <c r="AG723" s="3946"/>
      <c r="AH723" s="1114">
        <f>AG723-AF723</f>
        <v>0</v>
      </c>
      <c r="AI723" s="3946"/>
      <c r="AJ723" s="3946">
        <f>_xlfn.SUMIFS('Корректировка НВВ'!$AF$25:$AF$282,'Корректировка НВВ'!$F$25:$F$282,$F723,'Корректировка НВВ'!$I$25:$I$282,$G723)</f>
        <v>0</v>
      </c>
      <c r="AK723" s="3946"/>
      <c r="AL723" s="3946"/>
      <c r="AM723" s="3946"/>
      <c r="AN723" s="3946"/>
      <c r="AO723" s="1241"/>
      <c r="AP723" s="1241"/>
      <c r="AQ723" s="1241"/>
      <c r="AR723" s="1241"/>
      <c r="AS723" s="1241"/>
      <c r="AT723" s="3946">
        <f>_xlfn.SUMIFS('Корректировка НВВ'!$AG$25:$AG$282,'Корректировка НВВ'!$F$25:$F$282,$F723,'Корректировка НВВ'!$I$25:$I$282,$G723)</f>
        <v>0</v>
      </c>
      <c r="AU723" s="3946"/>
      <c r="AV723" s="3946"/>
      <c r="AW723" s="3946"/>
      <c r="AX723" s="3946"/>
      <c r="AY723" s="1241"/>
      <c r="AZ723" s="1241"/>
      <c r="BA723" s="1241"/>
      <c r="BB723" s="1241"/>
      <c r="BC723" s="1241"/>
      <c r="BD723" s="1115"/>
      <c r="BE723" s="1115"/>
      <c r="BF723" s="1115"/>
      <c r="BG723" s="1115"/>
      <c r="BH723" s="1115"/>
      <c r="BI723" s="1115"/>
      <c r="BJ723" s="1115"/>
      <c r="BK723" s="1115"/>
      <c r="BL723" s="1115"/>
      <c r="BM723" s="1115"/>
      <c r="BN723" s="7433"/>
      <c r="BO723" s="7437" t="str">
        <f>IF(_xlfn.IFERROR(INDEX('Корректировка НВВ'!$K$26:$L$282,MATCH($F723&amp;"10komm",'Корректировка НВВ'!$K$26:$K$282,0),2),"")=0,"",_xlfn.IFERROR(INDEX('Корректировка НВВ'!$K$26:$L$282,MATCH($F723&amp;"10komm",'Корректировка НВВ'!$K$26:$K$282,0),2),""))</f>
        <v/>
      </c>
      <c r="BP723" s="7433"/>
      <c r="BQ723" s="1278"/>
      <c r="BR723" s="1278"/>
      <c r="BS723" s="1064" t="s">
        <v>2288</v>
      </c>
      <c r="BT723" s="1064"/>
      <c r="BU723" s="1064"/>
      <c r="BV723" s="979"/>
      <c r="BW723" s="979"/>
    </row>
    <row s="7670" customFormat="1" customHeight="1" ht="54.75">
      <c r="A724" s="700"/>
      <c r="B724" s="435"/>
      <c r="C724" s="109"/>
      <c r="D724" s="109">
        <f>D723+1</f>
        <v>8</v>
      </c>
      <c r="E724" s="826">
        <v>21</v>
      </c>
      <c r="F724" s="50" cm="1" t="str">
        <f t="array" ref="F724:F724">OFFSET(E724,-1,1)</f>
        <v>4</v>
      </c>
      <c r="G724" s="109"/>
      <c r="H724" s="109"/>
      <c r="I724" s="109" t="s">
        <v>1297</v>
      </c>
      <c r="J724" s="109"/>
      <c r="K724" s="162" t="s">
        <v>1297</v>
      </c>
      <c r="L724" s="985"/>
      <c r="M724" s="109"/>
      <c r="N724" s="109"/>
      <c r="O724" s="109"/>
      <c r="P724" s="109"/>
      <c r="Q724" s="109"/>
      <c r="R724" s="109"/>
      <c r="S724" s="109"/>
      <c r="T724" s="465" cm="1" t="str">
        <f t="array" ref="T724:T724">T723</f>
        <v>true</v>
      </c>
      <c r="U724" s="109"/>
      <c r="V724" s="109"/>
      <c r="W724" s="109"/>
      <c r="X724" s="1596"/>
      <c r="Y724" s="700"/>
      <c r="Z724" s="1546"/>
      <c r="AA724" s="700"/>
      <c r="AB724" s="211" cm="1" t="str">
        <f t="array" ref="AB724:AB724">D724</f>
        <v>8</v>
      </c>
      <c r="AC724" s="212" t="s">
        <v>2893</v>
      </c>
      <c r="AD724" s="211" t="s">
        <v>1514</v>
      </c>
      <c r="AE724" s="7432"/>
      <c r="AF724" s="7432"/>
      <c r="AG724" s="7432"/>
      <c r="AH724" s="778">
        <f>AG724-AF724</f>
        <v>0</v>
      </c>
      <c r="AI724" s="7432"/>
      <c r="AJ724" s="7432">
        <v>6690.71</v>
      </c>
      <c r="AK724" s="7432">
        <v>9628.52</v>
      </c>
      <c r="AL724" s="7432">
        <v>7035.04</v>
      </c>
      <c r="AM724" s="7432">
        <v>272.817</v>
      </c>
      <c r="AN724" s="7432">
        <v>-23627.084</v>
      </c>
      <c r="AO724" s="1237"/>
      <c r="AP724" s="1237"/>
      <c r="AQ724" s="1237"/>
      <c r="AR724" s="1237"/>
      <c r="AS724" s="1237"/>
      <c r="AT724" s="7432">
        <v>6690.7097</v>
      </c>
      <c r="AU724" s="7432">
        <v>9628.5187</v>
      </c>
      <c r="AV724" s="7432">
        <v>7035.037</v>
      </c>
      <c r="AW724" s="7432">
        <v>272.8163</v>
      </c>
      <c r="AX724" s="7432">
        <v>-23627.0826</v>
      </c>
      <c r="AY724" s="1237"/>
      <c r="AZ724" s="1237"/>
      <c r="BA724" s="1237"/>
      <c r="BB724" s="1237"/>
      <c r="BC724" s="1237"/>
      <c r="BD724" s="216"/>
      <c r="BE724" s="216"/>
      <c r="BF724" s="216"/>
      <c r="BG724" s="216"/>
      <c r="BH724" s="216"/>
      <c r="BI724" s="216"/>
      <c r="BJ724" s="216"/>
      <c r="BK724" s="216"/>
      <c r="BL724" s="216"/>
      <c r="BM724" s="216"/>
      <c r="BN724" s="7436"/>
      <c r="BO724" s="7436" t="s">
        <v>2931</v>
      </c>
      <c r="BP724" s="7436"/>
      <c r="BQ724" s="700"/>
      <c r="BR724" s="700"/>
      <c r="BS724" s="1070" t="s">
        <v>2894</v>
      </c>
      <c r="BT724" s="1070"/>
      <c r="BU724" s="1070"/>
      <c r="BV724" s="707"/>
      <c r="BW724" s="707"/>
    </row>
    <row s="1834" customFormat="1" customHeight="1" ht="14.25">
      <c r="A725" s="1278"/>
      <c r="B725" s="978"/>
      <c r="C725" s="107"/>
      <c r="D725" s="109" cm="1" t="str">
        <f t="array" ref="D725:D725">D724</f>
        <v>8</v>
      </c>
      <c r="E725" s="621">
        <v>15</v>
      </c>
      <c r="F725" s="50" cm="1" t="str">
        <f t="array" ref="F725:F725">OFFSET(E725,-1,1)</f>
        <v>4</v>
      </c>
      <c r="G725" s="107"/>
      <c r="H725" s="107"/>
      <c r="I725" s="107" t="s">
        <v>1300</v>
      </c>
      <c r="J725" s="107"/>
      <c r="K725" s="158" t="s">
        <v>1300</v>
      </c>
      <c r="L725" s="980"/>
      <c r="M725" s="107"/>
      <c r="N725" s="107"/>
      <c r="O725" s="107"/>
      <c r="P725" s="107"/>
      <c r="Q725" s="107"/>
      <c r="R725" s="107"/>
      <c r="S725" s="107"/>
      <c r="T725" s="465" cm="1" t="str">
        <f t="array" ref="T725:T725">T724</f>
        <v>true</v>
      </c>
      <c r="U725" s="107"/>
      <c r="V725" s="107"/>
      <c r="W725" s="107"/>
      <c r="X725" s="1596"/>
      <c r="Y725" s="1278"/>
      <c r="Z725" s="1546"/>
      <c r="AA725" s="1278"/>
      <c r="AB725" s="300" t="str">
        <f>D725&amp;".1"</f>
        <v>8.1</v>
      </c>
      <c r="AC725" s="762" t="s">
        <v>2895</v>
      </c>
      <c r="AD725" s="300" t="s">
        <v>1170</v>
      </c>
      <c r="AE725" s="1114">
        <f>IF(AE726=0,0,AE724/(AE726+AE711)*100)</f>
        <v>0</v>
      </c>
      <c r="AF725" s="1114">
        <f>IF(AF726=0,0,AF724/(AF726+AF711)*100)</f>
        <v>0</v>
      </c>
      <c r="AG725" s="1114">
        <f>IF(AG726=0,0,AG724/(AG726+AG711)*100)</f>
        <v>0</v>
      </c>
      <c r="AH725" s="1114">
        <f>AG725-AF725</f>
        <v>0</v>
      </c>
      <c r="AI725" s="1114">
        <f>IF(AI726=0,0,AI724/(AI726+AI711)*100)</f>
        <v>0</v>
      </c>
      <c r="AJ725" s="1114">
        <f>IF(AJ726=0,0,AJ724/(AJ726+AJ711)*100)</f>
        <v>5.3361964317769</v>
      </c>
      <c r="AK725" s="1114">
        <f>IF(AK726=0,0,AK724/(AK726+AK711)*100)</f>
        <v>7.43024308575165</v>
      </c>
      <c r="AL725" s="1114">
        <f>IF(AL726=0,0,AL724/(AL726+AL711)*100)</f>
        <v>5.18385855105427</v>
      </c>
      <c r="AM725" s="1114">
        <f>IF(AM726=0,0,AM724/(AM726+AM711)*100)</f>
        <v>0.18723024126731</v>
      </c>
      <c r="AN725" s="1114">
        <f>IF(AN726=0,0,AN724/(AN726+AN711)*100)</f>
        <v>-13.505174097541</v>
      </c>
      <c r="AO725" s="1114">
        <f>IF(AO726=0,0,AO724/(AO726+AO711)*100)</f>
        <v>0</v>
      </c>
      <c r="AP725" s="1114">
        <f>IF(AP726=0,0,AP724/(AP726+AP711)*100)</f>
        <v>0</v>
      </c>
      <c r="AQ725" s="1114">
        <f>IF(AQ726=0,0,AQ724/(AQ726+AQ711)*100)</f>
        <v>0</v>
      </c>
      <c r="AR725" s="1114">
        <f>IF(AR726=0,0,AR724/(AR726+AR711)*100)</f>
        <v>0</v>
      </c>
      <c r="AS725" s="1114">
        <f>IF(AS726=0,0,AS724/(AS726+AS711)*100)</f>
        <v>0</v>
      </c>
      <c r="AT725" s="1114">
        <f>IF(AT726=0,0,AT724/(AT726+AT711)*100)</f>
        <v>5.33619619251097</v>
      </c>
      <c r="AU725" s="1114">
        <f>IF(AU726=0,0,AU724/(AU726+AU711)*100)</f>
        <v>7.43024208255323</v>
      </c>
      <c r="AV725" s="1114">
        <f>IF(AV726=0,0,AV724/(AV726+AV711)*100)</f>
        <v>5.18385634046617</v>
      </c>
      <c r="AW725" s="1114">
        <f>IF(AW726=0,0,AW724/(AW726+AW711)*100)</f>
        <v>0.187229760867742</v>
      </c>
      <c r="AX725" s="1114">
        <f>IF(AX726=0,0,AX724/(AX726+AX711)*100)</f>
        <v>-13.505173297305</v>
      </c>
      <c r="AY725" s="1114">
        <f>IF(AY726=0,0,AY724/(AY726+AY711)*100)</f>
        <v>0</v>
      </c>
      <c r="AZ725" s="1114">
        <f>IF(AZ726=0,0,AZ724/(AZ726+AZ711)*100)</f>
        <v>0</v>
      </c>
      <c r="BA725" s="1114">
        <f>IF(BA726=0,0,BA724/(BA726+BA711)*100)</f>
        <v>0</v>
      </c>
      <c r="BB725" s="1114">
        <f>IF(BB726=0,0,BB724/(BB726+BB711)*100)</f>
        <v>0</v>
      </c>
      <c r="BC725" s="1114">
        <f>IF(BC726=0,0,BC724/(BC726+BC711)*100)</f>
        <v>0</v>
      </c>
      <c r="BD725" s="1115"/>
      <c r="BE725" s="1115"/>
      <c r="BF725" s="1115"/>
      <c r="BG725" s="1115"/>
      <c r="BH725" s="1115"/>
      <c r="BI725" s="1115"/>
      <c r="BJ725" s="1115"/>
      <c r="BK725" s="1115"/>
      <c r="BL725" s="1115"/>
      <c r="BM725" s="1115"/>
      <c r="BN725" s="7433"/>
      <c r="BO725" s="7433"/>
      <c r="BP725" s="7433"/>
      <c r="BQ725" s="1278"/>
      <c r="BR725" s="1278"/>
      <c r="BS725" s="1064" t="s">
        <v>2896</v>
      </c>
      <c r="BT725" s="1064"/>
      <c r="BU725" s="1064"/>
      <c r="BV725" s="979"/>
      <c r="BW725" s="979"/>
    </row>
    <row s="7671" customFormat="1" customHeight="1" ht="20.25">
      <c r="A726" s="700"/>
      <c r="B726" s="435"/>
      <c r="C726" s="109"/>
      <c r="D726" s="109">
        <f>D725+1</f>
        <v>9</v>
      </c>
      <c r="E726" s="826">
        <v>21</v>
      </c>
      <c r="F726" s="50" cm="1" t="str">
        <f t="array" ref="F726:F726">OFFSET(E726,-1,1)</f>
        <v>4</v>
      </c>
      <c r="G726" s="109"/>
      <c r="H726" s="107"/>
      <c r="I726" s="107" t="s">
        <v>1454</v>
      </c>
      <c r="J726" s="109"/>
      <c r="K726" s="158" t="s">
        <v>1454</v>
      </c>
      <c r="L726" s="985" t="s">
        <v>2563</v>
      </c>
      <c r="M726" s="109"/>
      <c r="N726" s="109"/>
      <c r="O726" s="109"/>
      <c r="P726" s="109"/>
      <c r="Q726" s="109"/>
      <c r="R726" s="109"/>
      <c r="S726" s="109"/>
      <c r="T726" s="465" cm="1" t="str">
        <f t="array" ref="T726:T726">T725</f>
        <v>true</v>
      </c>
      <c r="U726" s="109"/>
      <c r="V726" s="109"/>
      <c r="W726" s="109"/>
      <c r="X726" s="1596"/>
      <c r="Y726" s="700"/>
      <c r="Z726" s="1546"/>
      <c r="AA726" s="700"/>
      <c r="AB726" s="211" cm="1" t="str">
        <f t="array" ref="AB726:AB726">D726</f>
        <v>9</v>
      </c>
      <c r="AC726" s="212" t="s">
        <v>2564</v>
      </c>
      <c r="AD726" s="234" t="s">
        <v>1514</v>
      </c>
      <c r="AE726" s="213">
        <f>AE604+AE654+AE690+AE691+AE693+AE698+AE699+AE702</f>
        <v>0</v>
      </c>
      <c r="AF726" s="213">
        <f>AF604+AF654+AF690+AF691+AF693+AF698+AF699+AF702</f>
        <v>0</v>
      </c>
      <c r="AG726" s="213">
        <f>AG604+AG654+AG690+AG691+AG693+AG698+AG699+AG702</f>
        <v>0</v>
      </c>
      <c r="AH726" s="778">
        <f>AG726-AF726</f>
        <v>0</v>
      </c>
      <c r="AI726" s="213">
        <f>AI604+AI654+AI690+AI691+AI693+AI698+AI699+AI702</f>
        <v>0</v>
      </c>
      <c r="AJ726" s="213">
        <f>AJ604+AJ654+AJ690+AJ691+AJ693+AJ698+AJ699+AJ702</f>
        <v>125383.502754078</v>
      </c>
      <c r="AK726" s="213">
        <f>AK604+AK654+AK690+AK691+AK693+AK698+AK699+AK702</f>
        <v>129585.531575189</v>
      </c>
      <c r="AL726" s="213">
        <f>AL604+AL654+AL690+AL691+AL693+AL698+AL699+AL702</f>
        <v>135710.493076036</v>
      </c>
      <c r="AM726" s="213">
        <f>AM604+AM654+AM690+AM691+AM693+AM698+AM699+AM702</f>
        <v>145712.037838213</v>
      </c>
      <c r="AN726" s="213">
        <f>AN604+AN654+AN690+AN691+AN693+AN698+AN699+AN702</f>
        <v>174948.385184475</v>
      </c>
      <c r="AO726" s="213">
        <f>AO604+AO654+AO690+AO691+AO693+AO698+AO699+AO702</f>
        <v>126224.14864714</v>
      </c>
      <c r="AP726" s="213">
        <f>AP604+AP654+AP690+AP691+AP693+AP698+AP699+AP702</f>
        <v>126224.14864714</v>
      </c>
      <c r="AQ726" s="213">
        <f>AQ604+AQ654+AQ690+AQ691+AQ693+AQ698+AQ699+AQ702</f>
        <v>126224.14864714</v>
      </c>
      <c r="AR726" s="213">
        <f>AR604+AR654+AR690+AR691+AR693+AR698+AR699+AR702</f>
        <v>126224.14864714</v>
      </c>
      <c r="AS726" s="213">
        <f>AS604+AS654+AS690+AS691+AS693+AS698+AS699+AS702</f>
        <v>126224.14864714</v>
      </c>
      <c r="AT726" s="213">
        <f>AT604+AT654+AT690+AT691+AT693+AT698+AT699+AT702</f>
        <v>125383.502754078</v>
      </c>
      <c r="AU726" s="213">
        <f>AU604+AU654+AU690+AU691+AU693+AU698+AU699+AU702</f>
        <v>129585.531575189</v>
      </c>
      <c r="AV726" s="213">
        <f>AV604+AV654+AV690+AV691+AV693+AV698+AV699+AV702</f>
        <v>135710.493076036</v>
      </c>
      <c r="AW726" s="213">
        <f>AW604+AW654+AW690+AW691+AW693+AW698+AW699+AW702</f>
        <v>145712.037838213</v>
      </c>
      <c r="AX726" s="213">
        <f>AX604+AX654+AX690+AX691+AX693+AX698+AX699+AX702</f>
        <v>174948.385184475</v>
      </c>
      <c r="AY726" s="213">
        <f>AY604+AY654+AY690+AY691+AY693+AY698+AY699+AY702</f>
        <v>126224.14864714</v>
      </c>
      <c r="AZ726" s="213">
        <f>AZ604+AZ654+AZ690+AZ691+AZ693+AZ698+AZ699+AZ702</f>
        <v>126224.14864714</v>
      </c>
      <c r="BA726" s="213">
        <f>BA604+BA654+BA690+BA691+BA693+BA698+BA699+BA702</f>
        <v>126224.14864714</v>
      </c>
      <c r="BB726" s="213">
        <f>BB604+BB654+BB690+BB691+BB693+BB698+BB699+BB702</f>
        <v>126224.14864714</v>
      </c>
      <c r="BC726" s="213">
        <f>BC604+BC654+BC690+BC691+BC693+BC698+BC699+BC702</f>
        <v>126224.14864714</v>
      </c>
      <c r="BD726" s="778">
        <f>IF(AI726=0,0,(AT726-AI726)/AI726*100)</f>
        <v>0</v>
      </c>
      <c r="BE726" s="778">
        <f>IF(AT726=0,0,(AU726-AT726)/AT726*100)</f>
        <v>3.35134106865134</v>
      </c>
      <c r="BF726" s="778">
        <f>IF(AU726=0,0,(AV726-AU726)/AU726*100)</f>
        <v>4.72657821162166</v>
      </c>
      <c r="BG726" s="778">
        <f>IF(AV726=0,0,(AW726-AV726)/AV726*100)</f>
        <v>7.36976525210423</v>
      </c>
      <c r="BH726" s="778">
        <f>IF(AW726=0,0,(AX726-AW726)/AW726*100)</f>
        <v>20.0644694700679</v>
      </c>
      <c r="BI726" s="778">
        <f>IF(AX726=0,0,(AY726-AX726)/AX726*100)</f>
        <v>-27.8506351950363</v>
      </c>
      <c r="BJ726" s="778">
        <f>IF(AY726=0,0,(AZ726-AY726)/AY726*100)</f>
        <v>0</v>
      </c>
      <c r="BK726" s="778">
        <f>IF(AZ726=0,0,(BA726-AZ726)/AZ726*100)</f>
        <v>0</v>
      </c>
      <c r="BL726" s="778">
        <f>IF(BA726=0,0,(BB726-BA726)/BA726*100)</f>
        <v>0</v>
      </c>
      <c r="BM726" s="778">
        <f>IF(BB726=0,0,(BC726-BB726)/BB726*100)</f>
        <v>0</v>
      </c>
      <c r="BN726" s="7433"/>
      <c r="BO726" s="7433"/>
      <c r="BP726" s="7433"/>
      <c r="BQ726" s="700"/>
      <c r="BR726" s="700"/>
      <c r="BS726" s="1070" t="s">
        <v>2565</v>
      </c>
      <c r="BT726" s="1070"/>
      <c r="BU726" s="1070"/>
      <c r="BV726" s="707"/>
      <c r="BW726" s="707"/>
    </row>
    <row s="7672" customFormat="1" customHeight="1" ht="20.25">
      <c r="A727" s="700"/>
      <c r="B727" s="435"/>
      <c r="C727" s="109"/>
      <c r="D727" s="109">
        <f>D726+1</f>
        <v>10</v>
      </c>
      <c r="E727" s="826">
        <v>21</v>
      </c>
      <c r="F727" s="50" cm="1" t="str">
        <f t="array" ref="F727:F727">OFFSET(E727,-1,1)</f>
        <v>4</v>
      </c>
      <c r="G727" s="109"/>
      <c r="H727" s="107"/>
      <c r="I727" s="107" t="s">
        <v>2574</v>
      </c>
      <c r="J727" s="109"/>
      <c r="K727" s="158" t="s">
        <v>2574</v>
      </c>
      <c r="L727" s="985"/>
      <c r="M727" s="109"/>
      <c r="N727" s="109"/>
      <c r="O727" s="109"/>
      <c r="P727" s="109"/>
      <c r="Q727" s="109"/>
      <c r="R727" s="109"/>
      <c r="S727" s="109"/>
      <c r="T727" s="465" cm="1" t="str">
        <f t="array" ref="T727:T727">T726</f>
        <v>true</v>
      </c>
      <c r="U727" s="109"/>
      <c r="V727" s="109"/>
      <c r="W727" s="109"/>
      <c r="X727" s="1596"/>
      <c r="Y727" s="700"/>
      <c r="Z727" s="1546"/>
      <c r="AA727" s="700"/>
      <c r="AB727" s="211" cm="1" t="str">
        <f t="array" ref="AB727:AB727">D727</f>
        <v>10</v>
      </c>
      <c r="AC727" s="212" t="s">
        <v>2897</v>
      </c>
      <c r="AD727" s="211" t="s">
        <v>1514</v>
      </c>
      <c r="AE727" s="213">
        <f>AE726+AE711+AE724</f>
        <v>0</v>
      </c>
      <c r="AF727" s="213">
        <f>AF726+AF711+AF724</f>
        <v>0</v>
      </c>
      <c r="AG727" s="213">
        <f>AG726+AG711+AG724</f>
        <v>0</v>
      </c>
      <c r="AH727" s="213">
        <f>AH726+AH711+AH724</f>
        <v>0</v>
      </c>
      <c r="AI727" s="213">
        <f>AI726+AI711+AI724</f>
        <v>0</v>
      </c>
      <c r="AJ727" s="213">
        <f>AJ726+AJ711+AJ724</f>
        <v>132074.212754078</v>
      </c>
      <c r="AK727" s="213">
        <f>AK726+AK711+AK724</f>
        <v>139214.051575189</v>
      </c>
      <c r="AL727" s="213">
        <f>AL726+AL711+AL724</f>
        <v>142745.533076036</v>
      </c>
      <c r="AM727" s="213">
        <f>AM726+AM711+AM724</f>
        <v>145984.854838213</v>
      </c>
      <c r="AN727" s="213">
        <f>AN726+AN711+AN724</f>
        <v>151321.301184475</v>
      </c>
      <c r="AO727" s="213">
        <f>AO726+AO711+AO724</f>
        <v>126224.14864714</v>
      </c>
      <c r="AP727" s="213">
        <f>AP726+AP711+AP724</f>
        <v>126224.14864714</v>
      </c>
      <c r="AQ727" s="213">
        <f>AQ726+AQ711+AQ724</f>
        <v>126224.14864714</v>
      </c>
      <c r="AR727" s="213">
        <f>AR726+AR711+AR724</f>
        <v>126224.14864714</v>
      </c>
      <c r="AS727" s="213">
        <f>AS726+AS711+AS724</f>
        <v>126224.14864714</v>
      </c>
      <c r="AT727" s="213">
        <f>AT726+AT711+AT724</f>
        <v>132074.212454078</v>
      </c>
      <c r="AU727" s="213">
        <f>AU726+AU711+AU724</f>
        <v>139214.050275189</v>
      </c>
      <c r="AV727" s="213">
        <f>AV726+AV711+AV724</f>
        <v>142745.530076036</v>
      </c>
      <c r="AW727" s="213">
        <f>AW726+AW711+AW724</f>
        <v>145984.854138213</v>
      </c>
      <c r="AX727" s="213">
        <f>AX726+AX711+AX724</f>
        <v>151321.302584475</v>
      </c>
      <c r="AY727" s="213">
        <f>AY726+AY711+AY724</f>
        <v>126224.14864714</v>
      </c>
      <c r="AZ727" s="213">
        <f>AZ726+AZ711+AZ724</f>
        <v>126224.14864714</v>
      </c>
      <c r="BA727" s="213">
        <f>BA726+BA711+BA724</f>
        <v>126224.14864714</v>
      </c>
      <c r="BB727" s="213">
        <f>BB726+BB711+BB724</f>
        <v>126224.14864714</v>
      </c>
      <c r="BC727" s="213">
        <f>BC726+BC711+BC724</f>
        <v>126224.14864714</v>
      </c>
      <c r="BD727" s="778">
        <f>IF(AI727=0,0,(AT727-AI727)/AI727*100)</f>
        <v>0</v>
      </c>
      <c r="BE727" s="778">
        <f>IF(AT727=0,0,(AU727-AT727)/AT727*100)</f>
        <v>5.40592874903078</v>
      </c>
      <c r="BF727" s="778">
        <f>IF(AU727=0,0,(AV727-AU727)/AU727*100)</f>
        <v>2.53672656880984</v>
      </c>
      <c r="BG727" s="778">
        <f>IF(AV727=0,0,(AW727-AV727)/AV727*100)</f>
        <v>2.26929982357523</v>
      </c>
      <c r="BH727" s="778">
        <f>IF(AW727=0,0,(AX727-AW727)/AW727*100)</f>
        <v>3.65548089064749</v>
      </c>
      <c r="BI727" s="778">
        <f>IF(AX727=0,0,(AY727-AX727)/AX727*100)</f>
        <v>-16.5853409326321</v>
      </c>
      <c r="BJ727" s="778">
        <f>IF(AY727=0,0,(AZ727-AY727)/AY727*100)</f>
        <v>0</v>
      </c>
      <c r="BK727" s="778">
        <f>IF(AZ727=0,0,(BA727-AZ727)/AZ727*100)</f>
        <v>0</v>
      </c>
      <c r="BL727" s="778">
        <f>IF(BA727=0,0,(BB727-BA727)/BA727*100)</f>
        <v>0</v>
      </c>
      <c r="BM727" s="778">
        <f>IF(BB727=0,0,(BC727-BB727)/BB727*100)</f>
        <v>0</v>
      </c>
      <c r="BN727" s="7433"/>
      <c r="BO727" s="7433"/>
      <c r="BP727" s="7433"/>
      <c r="BQ727" s="700"/>
      <c r="BR727" s="700"/>
      <c r="BS727" s="1070" t="s">
        <v>2898</v>
      </c>
      <c r="BT727" s="1070"/>
      <c r="BU727" s="1070"/>
      <c r="BV727" s="707"/>
      <c r="BW727" s="707"/>
    </row>
    <row s="1834" customFormat="1" customHeight="1" ht="14.25" hidden="1">
      <c r="A728" s="1278"/>
      <c r="B728" s="445">
        <f>A603="двухставочный"</f>
        <v>0</v>
      </c>
      <c r="C728" s="107"/>
      <c r="D728" s="107" cm="1" t="str">
        <f t="array" ref="D728:D728">D727</f>
        <v>10</v>
      </c>
      <c r="E728" s="621">
        <v>15</v>
      </c>
      <c r="F728" s="50" cm="1" t="str">
        <f t="array" ref="F728:F728">OFFSET(E728,-1,1)</f>
        <v>4</v>
      </c>
      <c r="G728" s="107"/>
      <c r="H728" s="848"/>
      <c r="I728" s="848" t="s">
        <v>2577</v>
      </c>
      <c r="J728" s="107"/>
      <c r="K728" s="379" t="s">
        <v>2577</v>
      </c>
      <c r="L728" s="980" t="s">
        <v>2566</v>
      </c>
      <c r="M728" s="107"/>
      <c r="N728" s="107"/>
      <c r="O728" s="107"/>
      <c r="P728" s="107"/>
      <c r="Q728" s="107"/>
      <c r="R728" s="107"/>
      <c r="S728" s="107"/>
      <c r="T728" s="465" cm="1" t="str">
        <f t="array" ref="T728:T728">T727</f>
        <v>true</v>
      </c>
      <c r="U728" s="107"/>
      <c r="V728" s="107"/>
      <c r="W728" s="107"/>
      <c r="X728" s="1596"/>
      <c r="Y728" s="1278"/>
      <c r="Z728" s="1546"/>
      <c r="AA728" s="1278"/>
      <c r="AB728" s="300" t="str">
        <f>D728&amp;".1"</f>
        <v>10.1</v>
      </c>
      <c r="AC728" s="1112" t="s">
        <v>2568</v>
      </c>
      <c r="AD728" s="300" t="s">
        <v>1514</v>
      </c>
      <c r="AE728" s="1241"/>
      <c r="AF728" s="1241"/>
      <c r="AG728" s="1241"/>
      <c r="AH728" s="1114">
        <f>AG728-AF728</f>
        <v>0</v>
      </c>
      <c r="AI728" s="1241"/>
      <c r="AJ728" s="1241"/>
      <c r="AK728" s="1241"/>
      <c r="AL728" s="1241"/>
      <c r="AM728" s="1241"/>
      <c r="AN728" s="1241"/>
      <c r="AO728" s="1241"/>
      <c r="AP728" s="1241"/>
      <c r="AQ728" s="1241"/>
      <c r="AR728" s="1241"/>
      <c r="AS728" s="1241"/>
      <c r="AT728" s="1241"/>
      <c r="AU728" s="1241"/>
      <c r="AV728" s="1241"/>
      <c r="AW728" s="1241"/>
      <c r="AX728" s="1241"/>
      <c r="AY728" s="1241"/>
      <c r="AZ728" s="1241"/>
      <c r="BA728" s="1241"/>
      <c r="BB728" s="1241"/>
      <c r="BC728" s="1241"/>
      <c r="BD728" s="1115"/>
      <c r="BE728" s="1115"/>
      <c r="BF728" s="1115"/>
      <c r="BG728" s="1115"/>
      <c r="BH728" s="1115"/>
      <c r="BI728" s="1115"/>
      <c r="BJ728" s="1115"/>
      <c r="BK728" s="1115"/>
      <c r="BL728" s="1115"/>
      <c r="BM728" s="1115"/>
      <c r="BN728" s="1238"/>
      <c r="BO728" s="1238"/>
      <c r="BP728" s="1238"/>
      <c r="BQ728" s="1278"/>
      <c r="BR728" s="1278"/>
      <c r="BS728" s="1062" t="s">
        <v>2569</v>
      </c>
      <c r="BT728" s="1064"/>
      <c r="BU728" s="1064"/>
      <c r="BV728" s="979"/>
      <c r="BW728" s="979"/>
    </row>
    <row s="1834" customFormat="1" customHeight="1" ht="14.25" hidden="1">
      <c r="A729" s="1278"/>
      <c r="B729" s="445">
        <f>A603="двухставочный"</f>
        <v>0</v>
      </c>
      <c r="C729" s="107"/>
      <c r="D729" s="107" cm="1" t="str">
        <f t="array" ref="D729:D729">D728</f>
        <v>10</v>
      </c>
      <c r="E729" s="621">
        <v>15</v>
      </c>
      <c r="F729" s="50" cm="1" t="str">
        <f t="array" ref="F729:F729">OFFSET(E729,-1,1)</f>
        <v>4</v>
      </c>
      <c r="G729" s="107"/>
      <c r="H729" s="848"/>
      <c r="I729" s="848" t="s">
        <v>2581</v>
      </c>
      <c r="J729" s="107"/>
      <c r="K729" s="379" t="s">
        <v>2581</v>
      </c>
      <c r="L729" s="980" t="s">
        <v>2570</v>
      </c>
      <c r="M729" s="107"/>
      <c r="N729" s="107"/>
      <c r="O729" s="107"/>
      <c r="P729" s="107"/>
      <c r="Q729" s="107"/>
      <c r="R729" s="107"/>
      <c r="S729" s="107"/>
      <c r="T729" s="465" cm="1" t="str">
        <f t="array" ref="T729:T729">T728</f>
        <v>true</v>
      </c>
      <c r="U729" s="107"/>
      <c r="V729" s="107"/>
      <c r="W729" s="107"/>
      <c r="X729" s="1596"/>
      <c r="Y729" s="1278"/>
      <c r="Z729" s="1546"/>
      <c r="AA729" s="1278"/>
      <c r="AB729" s="300" t="str">
        <f>D729&amp;".2"</f>
        <v>10.2</v>
      </c>
      <c r="AC729" s="1112" t="s">
        <v>2572</v>
      </c>
      <c r="AD729" s="300" t="s">
        <v>1514</v>
      </c>
      <c r="AE729" s="1241"/>
      <c r="AF729" s="1241"/>
      <c r="AG729" s="1241"/>
      <c r="AH729" s="1114">
        <f>AG729-AF729</f>
        <v>0</v>
      </c>
      <c r="AI729" s="1241"/>
      <c r="AJ729" s="1241"/>
      <c r="AK729" s="1241"/>
      <c r="AL729" s="1241"/>
      <c r="AM729" s="1241"/>
      <c r="AN729" s="1241"/>
      <c r="AO729" s="1241"/>
      <c r="AP729" s="1241"/>
      <c r="AQ729" s="1241"/>
      <c r="AR729" s="1241"/>
      <c r="AS729" s="1241"/>
      <c r="AT729" s="1241"/>
      <c r="AU729" s="1241"/>
      <c r="AV729" s="1241"/>
      <c r="AW729" s="1241"/>
      <c r="AX729" s="1241"/>
      <c r="AY729" s="1241"/>
      <c r="AZ729" s="1241"/>
      <c r="BA729" s="1241"/>
      <c r="BB729" s="1241"/>
      <c r="BC729" s="1241"/>
      <c r="BD729" s="1115"/>
      <c r="BE729" s="1115"/>
      <c r="BF729" s="1115"/>
      <c r="BG729" s="1115"/>
      <c r="BH729" s="1115"/>
      <c r="BI729" s="1115"/>
      <c r="BJ729" s="1115"/>
      <c r="BK729" s="1115"/>
      <c r="BL729" s="1115"/>
      <c r="BM729" s="1115"/>
      <c r="BN729" s="1238"/>
      <c r="BO729" s="1238"/>
      <c r="BP729" s="1238"/>
      <c r="BQ729" s="1278"/>
      <c r="BR729" s="1278"/>
      <c r="BS729" s="1062" t="s">
        <v>2573</v>
      </c>
      <c r="BT729" s="1064"/>
      <c r="BU729" s="1064"/>
      <c r="BV729" s="979"/>
      <c r="BW729" s="979"/>
    </row>
    <row s="7673" customFormat="1" customHeight="1" ht="20.25">
      <c r="A730" s="700"/>
      <c r="B730" s="435"/>
      <c r="C730" s="109"/>
      <c r="D730" s="109">
        <f>D729+1</f>
        <v>11</v>
      </c>
      <c r="E730" s="826">
        <v>21</v>
      </c>
      <c r="F730" s="50" cm="1" t="str">
        <f t="array" ref="F730:F730">OFFSET(E730,-1,1)</f>
        <v>4</v>
      </c>
      <c r="G730" s="107" t="s">
        <v>2346</v>
      </c>
      <c r="H730" s="107"/>
      <c r="I730" s="107" t="s">
        <v>2601</v>
      </c>
      <c r="J730" s="109"/>
      <c r="K730" s="158" t="s">
        <v>2601</v>
      </c>
      <c r="L730" s="985" t="s">
        <v>2574</v>
      </c>
      <c r="M730" s="109"/>
      <c r="N730" s="109"/>
      <c r="O730" s="109"/>
      <c r="P730" s="109"/>
      <c r="Q730" s="109"/>
      <c r="R730" s="109"/>
      <c r="S730" s="109"/>
      <c r="T730" s="465" cm="1" t="str">
        <f t="array" ref="T730:T730">T729</f>
        <v>true</v>
      </c>
      <c r="U730" s="109"/>
      <c r="V730" s="109"/>
      <c r="W730" s="109"/>
      <c r="X730" s="1596"/>
      <c r="Y730" s="700"/>
      <c r="Z730" s="1546"/>
      <c r="AA730" s="700"/>
      <c r="AB730" s="211" cm="1" t="str">
        <f t="array" ref="AB730:AB730">D730</f>
        <v>11</v>
      </c>
      <c r="AC730" s="212" t="s">
        <v>2575</v>
      </c>
      <c r="AD730" s="211" t="s">
        <v>1247</v>
      </c>
      <c r="AE730" s="785">
        <f>_xlfn.SUMIFS(Баланс!AE$26:AE$482,Баланс!$F$26:$F$482,$F730,Баланс!$G$26:$G$482,"ПО")</f>
        <v>0</v>
      </c>
      <c r="AF730" s="785">
        <f>_xlfn.SUMIFS(Баланс!AF$26:AF$482,Баланс!$F$26:$F$482,$F730,Баланс!$G$26:$G$482,"ПО")</f>
        <v>0</v>
      </c>
      <c r="AG730" s="785">
        <f>_xlfn.SUMIFS(Баланс!AG$26:AG$482,Баланс!$F$26:$F$482,$F730,Баланс!$G$26:$G$482,"ПО")</f>
        <v>0</v>
      </c>
      <c r="AH730" s="785">
        <f>AG730-AF730</f>
        <v>0</v>
      </c>
      <c r="AI730" s="785">
        <f>_xlfn.SUMIFS(Баланс!AH$26:AH$482,Баланс!$F$26:$F$482,$F730,Баланс!$G$26:$G$482,"ПО")</f>
        <v>0</v>
      </c>
      <c r="AJ730" s="785">
        <f>_xlfn.SUMIFS(Баланс!AI$26:AI$482,Баланс!$F$26:$F$482,$F730,Баланс!$G$26:$G$482,"ПО")</f>
        <v>1025.10255</v>
      </c>
      <c r="AK730" s="785">
        <f>_xlfn.SUMIFS(Баланс!AJ$26:AJ$482,Баланс!$F$26:$F$482,$F730,Баланс!$G$26:$G$482,"ПО")</f>
        <v>1025.10255</v>
      </c>
      <c r="AL730" s="785">
        <f>_xlfn.SUMIFS(Баланс!AK$26:AK$482,Баланс!$F$26:$F$482,$F730,Баланс!$G$26:$G$482,"ПО")</f>
        <v>1025.10255</v>
      </c>
      <c r="AM730" s="785">
        <f>_xlfn.SUMIFS(Баланс!AL$26:AL$482,Баланс!$F$26:$F$482,$F730,Баланс!$G$26:$G$482,"ПО")</f>
        <v>1025.10255</v>
      </c>
      <c r="AN730" s="785">
        <f>_xlfn.SUMIFS(Баланс!AM$26:AM$482,Баланс!$F$26:$F$482,$F730,Баланс!$G$26:$G$482,"ПО")</f>
        <v>1025.10255</v>
      </c>
      <c r="AO730" s="785">
        <f>_xlfn.SUMIFS(Баланс!AN$26:AN$482,Баланс!$F$26:$F$482,$F730,Баланс!$G$26:$G$482,"ПО")</f>
        <v>0</v>
      </c>
      <c r="AP730" s="785">
        <f>_xlfn.SUMIFS(Баланс!AO$26:AO$482,Баланс!$F$26:$F$482,$F730,Баланс!$G$26:$G$482,"ПО")</f>
        <v>0</v>
      </c>
      <c r="AQ730" s="785">
        <f>_xlfn.SUMIFS(Баланс!AP$26:AP$482,Баланс!$F$26:$F$482,$F730,Баланс!$G$26:$G$482,"ПО")</f>
        <v>0</v>
      </c>
      <c r="AR730" s="785">
        <f>_xlfn.SUMIFS(Баланс!AQ$26:AQ$482,Баланс!$F$26:$F$482,$F730,Баланс!$G$26:$G$482,"ПО")</f>
        <v>0</v>
      </c>
      <c r="AS730" s="785">
        <f>_xlfn.SUMIFS(Баланс!AR$26:AR$482,Баланс!$F$26:$F$482,$F730,Баланс!$G$26:$G$482,"ПО")</f>
        <v>0</v>
      </c>
      <c r="AT730" s="785">
        <f>_xlfn.SUMIFS(Баланс!AS$26:AS$482,Баланс!$F$26:$F$482,$F730,Баланс!$G$26:$G$482,"ПО")</f>
        <v>1025.10255</v>
      </c>
      <c r="AU730" s="785">
        <f>_xlfn.SUMIFS(Баланс!AT$26:AT$482,Баланс!$F$26:$F$482,$F730,Баланс!$G$26:$G$482,"ПО")</f>
        <v>1025.10255</v>
      </c>
      <c r="AV730" s="785">
        <f>_xlfn.SUMIFS(Баланс!AU$26:AU$482,Баланс!$F$26:$F$482,$F730,Баланс!$G$26:$G$482,"ПО")</f>
        <v>1025.10255</v>
      </c>
      <c r="AW730" s="785">
        <f>_xlfn.SUMIFS(Баланс!AV$26:AV$482,Баланс!$F$26:$F$482,$F730,Баланс!$G$26:$G$482,"ПО")</f>
        <v>1025.10255</v>
      </c>
      <c r="AX730" s="785">
        <f>_xlfn.SUMIFS(Баланс!AW$26:AW$482,Баланс!$F$26:$F$482,$F730,Баланс!$G$26:$G$482,"ПО")</f>
        <v>1025.10255</v>
      </c>
      <c r="AY730" s="785">
        <f>_xlfn.SUMIFS(Баланс!AX$26:AX$482,Баланс!$F$26:$F$482,$F730,Баланс!$G$26:$G$482,"ПО")</f>
        <v>0</v>
      </c>
      <c r="AZ730" s="785">
        <f>_xlfn.SUMIFS(Баланс!AY$26:AY$482,Баланс!$F$26:$F$482,$F730,Баланс!$G$26:$G$482,"ПО")</f>
        <v>0</v>
      </c>
      <c r="BA730" s="785">
        <f>_xlfn.SUMIFS(Баланс!AZ$26:AZ$482,Баланс!$F$26:$F$482,$F730,Баланс!$G$26:$G$482,"ПО")</f>
        <v>0</v>
      </c>
      <c r="BB730" s="785">
        <f>_xlfn.SUMIFS(Баланс!BA$26:BA$482,Баланс!$F$26:$F$482,$F730,Баланс!$G$26:$G$482,"ПО")</f>
        <v>0</v>
      </c>
      <c r="BC730" s="785">
        <f>_xlfn.SUMIFS(Баланс!BB$26:BB$482,Баланс!$F$26:$F$482,$F730,Баланс!$G$26:$G$482,"ПО")</f>
        <v>0</v>
      </c>
      <c r="BD730" s="216"/>
      <c r="BE730" s="216"/>
      <c r="BF730" s="216"/>
      <c r="BG730" s="216"/>
      <c r="BH730" s="216"/>
      <c r="BI730" s="216"/>
      <c r="BJ730" s="216"/>
      <c r="BK730" s="216"/>
      <c r="BL730" s="216"/>
      <c r="BM730" s="216"/>
      <c r="BN730" s="7433"/>
      <c r="BO730" s="7433"/>
      <c r="BP730" s="7433"/>
      <c r="BQ730" s="700"/>
      <c r="BR730" s="700"/>
      <c r="BS730" s="1063" t="s">
        <v>2576</v>
      </c>
      <c r="BT730" s="1070"/>
      <c r="BU730" s="1070"/>
      <c r="BV730" s="707"/>
      <c r="BW730" s="707"/>
    </row>
    <row s="1834" customFormat="1" customHeight="1" ht="23.25">
      <c r="A731" s="1278"/>
      <c r="B731" s="978"/>
      <c r="C731" s="107"/>
      <c r="D731" s="107" cm="1" t="str">
        <f t="array" ref="D731:D731">D730</f>
        <v>11</v>
      </c>
      <c r="E731" s="621">
        <v>15</v>
      </c>
      <c r="F731" s="50" cm="1" t="str">
        <f t="array" ref="F731:F731">OFFSET(E731,-1,1)</f>
        <v>4</v>
      </c>
      <c r="G731" s="107" t="s">
        <v>2373</v>
      </c>
      <c r="H731" s="107"/>
      <c r="I731" s="107" t="s">
        <v>2899</v>
      </c>
      <c r="J731" s="107"/>
      <c r="K731" s="158" t="s">
        <v>2899</v>
      </c>
      <c r="L731" s="980" t="s">
        <v>2577</v>
      </c>
      <c r="M731" s="107"/>
      <c r="N731" s="107"/>
      <c r="O731" s="107"/>
      <c r="P731" s="107"/>
      <c r="Q731" s="107"/>
      <c r="R731" s="107"/>
      <c r="S731" s="107"/>
      <c r="T731" s="465" cm="1" t="str">
        <f t="array" ref="T731:T731">T730</f>
        <v>true</v>
      </c>
      <c r="U731" s="107"/>
      <c r="V731" s="107"/>
      <c r="W731" s="107"/>
      <c r="X731" s="1596"/>
      <c r="Y731" s="1278"/>
      <c r="Z731" s="1546"/>
      <c r="AA731" s="1278"/>
      <c r="AB731" s="300" t="str">
        <f>D731&amp;".1"</f>
        <v>11.1</v>
      </c>
      <c r="AC731" s="1111" t="s">
        <v>2579</v>
      </c>
      <c r="AD731" s="300" t="s">
        <v>1247</v>
      </c>
      <c r="AE731" s="7434">
        <f>IF(AE$24="2026 год",AE730/12*9,AE730/2)</f>
        <v>0</v>
      </c>
      <c r="AF731" s="7434">
        <f>IF(AF$24="2026 год",AF730/12*9,AF730/2)</f>
        <v>0</v>
      </c>
      <c r="AG731" s="7434">
        <f>IF(AG$24="2026 год",AG730/12*9,AG730/2)</f>
        <v>0</v>
      </c>
      <c r="AH731" s="1113">
        <f>AG731-AF731</f>
        <v>0</v>
      </c>
      <c r="AI731" s="7434">
        <f>IF(AI$24="2026 год",AI730/12*9,AI730/2)</f>
        <v>0</v>
      </c>
      <c r="AJ731" s="7434">
        <f>IF(AJ$24="2026 год",AJ730/12*9,AJ730/2)</f>
        <v>768.8269125</v>
      </c>
      <c r="AK731" s="7434">
        <f>IF(AK$24="2026 год",AK730/12*9,AK730/2)</f>
        <v>512.551275</v>
      </c>
      <c r="AL731" s="7434">
        <f>IF(AL$24="2026 год",AL730/12*9,AL730/2)</f>
        <v>512.551275</v>
      </c>
      <c r="AM731" s="7434">
        <f>IF(AM$24="2026 год",AM730/12*9,AM730/2)</f>
        <v>512.551275</v>
      </c>
      <c r="AN731" s="7434">
        <f>IF(AN$24="2026 год",AN730/12*9,AN730/2)</f>
        <v>512.551275</v>
      </c>
      <c r="AO731" s="1239">
        <f>IF(AO$24="2026 год",AO730/12*9,AO730/2)</f>
        <v>0</v>
      </c>
      <c r="AP731" s="1239">
        <f>IF(AP$24="2026 год",AP730/12*9,AP730/2)</f>
        <v>0</v>
      </c>
      <c r="AQ731" s="1239">
        <f>IF(AQ$24="2026 год",AQ730/12*9,AQ730/2)</f>
        <v>0</v>
      </c>
      <c r="AR731" s="1239">
        <f>IF(AR$24="2026 год",AR730/12*9,AR730/2)</f>
        <v>0</v>
      </c>
      <c r="AS731" s="1239">
        <f>IF(AS$24="2026 год",AS730/12*9,AS730/2)</f>
        <v>0</v>
      </c>
      <c r="AT731" s="7497">
        <f>IF(AT$24="2026 год",AT730/12*9,AT730/2)</f>
        <v>768.8269125</v>
      </c>
      <c r="AU731" s="7497">
        <f>IF(AU$24="2026 год",AU730/12*9,AU730/2)</f>
        <v>512.551275</v>
      </c>
      <c r="AV731" s="7434">
        <f>IF(AV$24="2026 год",AV730/12*9,AV730/2)</f>
        <v>512.551275</v>
      </c>
      <c r="AW731" s="7434">
        <f>IF(AW$24="2026 год",AW730/12*9,AW730/2)</f>
        <v>512.551275</v>
      </c>
      <c r="AX731" s="7434">
        <f>IF(AX$24="2026 год",AX730/12*9,AX730/2)</f>
        <v>512.551275</v>
      </c>
      <c r="AY731" s="1239">
        <f>IF(AY$24="2026 год",AY730/12*9,AY730/2)</f>
        <v>0</v>
      </c>
      <c r="AZ731" s="1239">
        <f>IF(AZ$24="2026 год",AZ730/12*9,AZ730/2)</f>
        <v>0</v>
      </c>
      <c r="BA731" s="1239">
        <f>IF(BA$24="2026 год",BA730/12*9,BA730/2)</f>
        <v>0</v>
      </c>
      <c r="BB731" s="1239">
        <f>IF(BB$24="2026 год",BB730/12*9,BB730/2)</f>
        <v>0</v>
      </c>
      <c r="BC731" s="1239">
        <f>IF(BC$24="2026 год",BC730/12*9,BC730/2)</f>
        <v>0</v>
      </c>
      <c r="BD731" s="1115"/>
      <c r="BE731" s="1115"/>
      <c r="BF731" s="1115"/>
      <c r="BG731" s="1115"/>
      <c r="BH731" s="1115"/>
      <c r="BI731" s="1115"/>
      <c r="BJ731" s="1115"/>
      <c r="BK731" s="1115"/>
      <c r="BL731" s="1115"/>
      <c r="BM731" s="1115"/>
      <c r="BN731" s="7433"/>
      <c r="BO731" s="7433"/>
      <c r="BP731" s="7433"/>
      <c r="BQ731" s="1278"/>
      <c r="BR731" s="1278"/>
      <c r="BS731" s="1062" t="s">
        <v>2580</v>
      </c>
      <c r="BT731" s="1064"/>
      <c r="BU731" s="1064"/>
      <c r="BV731" s="979"/>
      <c r="BW731" s="979"/>
    </row>
    <row s="1834" customFormat="1" customHeight="1" ht="45">
      <c r="A732" s="1278"/>
      <c r="B732" s="978"/>
      <c r="C732" s="107"/>
      <c r="D732" s="107" cm="1" t="str">
        <f t="array" ref="D732:D732">D731</f>
        <v>11</v>
      </c>
      <c r="E732" s="621">
        <v>15</v>
      </c>
      <c r="F732" s="50" cm="1" t="str">
        <f t="array" ref="F732:F732">OFFSET(E732,-1,1)</f>
        <v>4</v>
      </c>
      <c r="G732" s="107" t="s">
        <v>2334</v>
      </c>
      <c r="H732" s="107"/>
      <c r="I732" s="107" t="s">
        <v>2900</v>
      </c>
      <c r="J732" s="107"/>
      <c r="K732" s="158" t="s">
        <v>2900</v>
      </c>
      <c r="L732" s="980" t="s">
        <v>2581</v>
      </c>
      <c r="M732" s="107"/>
      <c r="N732" s="107"/>
      <c r="O732" s="107"/>
      <c r="P732" s="107"/>
      <c r="Q732" s="107"/>
      <c r="R732" s="107"/>
      <c r="S732" s="107"/>
      <c r="T732" s="465" cm="1" t="str">
        <f t="array" ref="T732:T732">T731</f>
        <v>true</v>
      </c>
      <c r="U732" s="107"/>
      <c r="V732" s="107"/>
      <c r="W732" s="107"/>
      <c r="X732" s="1596"/>
      <c r="Y732" s="1278"/>
      <c r="Z732" s="1546"/>
      <c r="AA732" s="1278"/>
      <c r="AB732" s="300" t="str">
        <f>D732&amp;".2"</f>
        <v>11.2</v>
      </c>
      <c r="AC732" s="1111" t="s">
        <v>2583</v>
      </c>
      <c r="AD732" s="300" t="s">
        <v>2337</v>
      </c>
      <c r="AE732" s="3946"/>
      <c r="AF732" s="3946"/>
      <c r="AG732" s="3946"/>
      <c r="AH732" s="1114">
        <f>AG732-AF732</f>
        <v>0</v>
      </c>
      <c r="AI732" s="3946"/>
      <c r="AJ732" s="3946">
        <v>127.25</v>
      </c>
      <c r="AK732" s="3946">
        <v>133.61</v>
      </c>
      <c r="AL732" s="3946">
        <v>138</v>
      </c>
      <c r="AM732" s="3946">
        <v>140.5</v>
      </c>
      <c r="AN732" s="3946">
        <v>144.32</v>
      </c>
      <c r="AO732" s="1241"/>
      <c r="AP732" s="1241"/>
      <c r="AQ732" s="1241"/>
      <c r="AR732" s="1241"/>
      <c r="AS732" s="1241"/>
      <c r="AT732" s="3946">
        <v>127.25</v>
      </c>
      <c r="AU732" s="3946" cm="1" t="str">
        <f t="array" ref="AU732:AU732">AT734</f>
        <v>133.609999656924</v>
      </c>
      <c r="AV732" s="3946" cm="1" t="str">
        <f t="array" ref="AV732:AV732">AU734</f>
        <v>137.999997362767</v>
      </c>
      <c r="AW732" s="3946" cm="1" t="str">
        <f t="array" ref="AW732:AW732">AV734</f>
        <v>140.500002614866</v>
      </c>
      <c r="AX732" s="3946" cm="1" t="str">
        <f t="array" ref="AX732:AX732">AW734</f>
        <v>144.319997370917</v>
      </c>
      <c r="AY732" s="1241" cm="1" t="str">
        <f t="array" ref="AY732:AY732">AX734</f>
        <v>150.911543287088</v>
      </c>
      <c r="AZ732" s="1241" cm="1" t="str">
        <f t="array" ref="AZ732:AZ732">AY734</f>
        <v>0</v>
      </c>
      <c r="BA732" s="1241" cm="1" t="str">
        <f t="array" ref="BA732:BA732">AZ734</f>
        <v>0</v>
      </c>
      <c r="BB732" s="1241" cm="1" t="str">
        <f t="array" ref="BB732:BB732">BA734</f>
        <v>0</v>
      </c>
      <c r="BC732" s="1241" cm="1" t="str">
        <f t="array" ref="BC732:BC732">BB734</f>
        <v>0</v>
      </c>
      <c r="BD732" s="1115"/>
      <c r="BE732" s="1115"/>
      <c r="BF732" s="1115"/>
      <c r="BG732" s="1115"/>
      <c r="BH732" s="1115"/>
      <c r="BI732" s="1115"/>
      <c r="BJ732" s="1115"/>
      <c r="BK732" s="1115"/>
      <c r="BL732" s="1115"/>
      <c r="BM732" s="1115"/>
      <c r="BN732" s="7433"/>
      <c r="BO732" s="7433" t="s">
        <v>2932</v>
      </c>
      <c r="BP732" s="7433"/>
      <c r="BQ732" s="1278"/>
      <c r="BR732" s="1278"/>
      <c r="BS732" s="1062" t="s">
        <v>2584</v>
      </c>
      <c r="BT732" s="1064"/>
      <c r="BU732" s="1064"/>
      <c r="BV732" s="979"/>
      <c r="BW732" s="979"/>
    </row>
    <row s="1834" customFormat="1" customHeight="1" ht="23.25">
      <c r="A733" s="1278"/>
      <c r="B733" s="978"/>
      <c r="C733" s="107"/>
      <c r="D733" s="107" cm="1" t="str">
        <f t="array" ref="D733:D733">D732</f>
        <v>11</v>
      </c>
      <c r="E733" s="621">
        <v>15</v>
      </c>
      <c r="F733" s="50" cm="1" t="str">
        <f t="array" ref="F733:F733">OFFSET(E733,-1,1)</f>
        <v>4</v>
      </c>
      <c r="G733" s="107" t="s">
        <v>2386</v>
      </c>
      <c r="H733" s="107"/>
      <c r="I733" s="107" t="s">
        <v>2901</v>
      </c>
      <c r="J733" s="107"/>
      <c r="K733" s="158" t="s">
        <v>2901</v>
      </c>
      <c r="L733" s="980" t="s">
        <v>2585</v>
      </c>
      <c r="M733" s="107"/>
      <c r="N733" s="107"/>
      <c r="O733" s="107"/>
      <c r="P733" s="107"/>
      <c r="Q733" s="107"/>
      <c r="R733" s="107"/>
      <c r="S733" s="107"/>
      <c r="T733" s="465" cm="1" t="str">
        <f t="array" ref="T733:T733">T732</f>
        <v>true</v>
      </c>
      <c r="U733" s="107"/>
      <c r="V733" s="107"/>
      <c r="W733" s="107"/>
      <c r="X733" s="1596"/>
      <c r="Y733" s="1278"/>
      <c r="Z733" s="1546"/>
      <c r="AA733" s="1278"/>
      <c r="AB733" s="300" t="str">
        <f>D733&amp;".3"</f>
        <v>11.3</v>
      </c>
      <c r="AC733" s="1111" t="s">
        <v>2902</v>
      </c>
      <c r="AD733" s="300" t="s">
        <v>1247</v>
      </c>
      <c r="AE733" s="1113">
        <f>AE730-AE731</f>
        <v>0</v>
      </c>
      <c r="AF733" s="1113">
        <f>AF730-AF731</f>
        <v>0</v>
      </c>
      <c r="AG733" s="1113">
        <f>AG730-AG731</f>
        <v>0</v>
      </c>
      <c r="AH733" s="1113">
        <f>AG733-AF733</f>
        <v>0</v>
      </c>
      <c r="AI733" s="1113">
        <f>AI730-AI731</f>
        <v>0</v>
      </c>
      <c r="AJ733" s="1113">
        <f>AJ730-AJ731</f>
        <v>256.2756375</v>
      </c>
      <c r="AK733" s="1113">
        <f>AK730-AK731</f>
        <v>512.551275</v>
      </c>
      <c r="AL733" s="1113">
        <f>AL730-AL731</f>
        <v>512.551275</v>
      </c>
      <c r="AM733" s="1113">
        <f>AM730-AM731</f>
        <v>512.551275</v>
      </c>
      <c r="AN733" s="1113">
        <f>AN730-AN731</f>
        <v>512.551275</v>
      </c>
      <c r="AO733" s="1113">
        <f>AO730-AO731</f>
        <v>0</v>
      </c>
      <c r="AP733" s="1113">
        <f>AP730-AP731</f>
        <v>0</v>
      </c>
      <c r="AQ733" s="1113">
        <f>AQ730-AQ731</f>
        <v>0</v>
      </c>
      <c r="AR733" s="1113">
        <f>AR730-AR731</f>
        <v>0</v>
      </c>
      <c r="AS733" s="1113">
        <f>AS730-AS731</f>
        <v>0</v>
      </c>
      <c r="AT733" s="1113">
        <f>AT730-AT731</f>
        <v>256.2756375</v>
      </c>
      <c r="AU733" s="1113">
        <f>AU730-AU731</f>
        <v>512.551275</v>
      </c>
      <c r="AV733" s="1113">
        <f>AV730-AV731</f>
        <v>512.551275</v>
      </c>
      <c r="AW733" s="1113">
        <f>AW730-AW731</f>
        <v>512.551275</v>
      </c>
      <c r="AX733" s="1113">
        <f>AX730-AX731</f>
        <v>512.551275</v>
      </c>
      <c r="AY733" s="1113">
        <f>AY730-AY731</f>
        <v>0</v>
      </c>
      <c r="AZ733" s="1113">
        <f>AZ730-AZ731</f>
        <v>0</v>
      </c>
      <c r="BA733" s="1113">
        <f>BA730-BA731</f>
        <v>0</v>
      </c>
      <c r="BB733" s="1113">
        <f>BB730-BB731</f>
        <v>0</v>
      </c>
      <c r="BC733" s="1113">
        <f>BC730-BC731</f>
        <v>0</v>
      </c>
      <c r="BD733" s="1115"/>
      <c r="BE733" s="1115"/>
      <c r="BF733" s="1115"/>
      <c r="BG733" s="1115"/>
      <c r="BH733" s="1115"/>
      <c r="BI733" s="1115"/>
      <c r="BJ733" s="1115"/>
      <c r="BK733" s="1115"/>
      <c r="BL733" s="1115"/>
      <c r="BM733" s="1115"/>
      <c r="BN733" s="7433"/>
      <c r="BO733" s="7433"/>
      <c r="BP733" s="7433"/>
      <c r="BQ733" s="1278"/>
      <c r="BR733" s="1278"/>
      <c r="BS733" s="1062" t="s">
        <v>2588</v>
      </c>
      <c r="BT733" s="1064"/>
      <c r="BU733" s="1064"/>
      <c r="BV733" s="979"/>
      <c r="BW733" s="979"/>
    </row>
    <row s="1834" customFormat="1" customHeight="1" ht="14.25">
      <c r="A734" s="1278"/>
      <c r="B734" s="978"/>
      <c r="C734" s="107"/>
      <c r="D734" s="107" cm="1" t="str">
        <f t="array" ref="D734:D734">D733</f>
        <v>11</v>
      </c>
      <c r="E734" s="621">
        <v>15</v>
      </c>
      <c r="F734" s="50" cm="1" t="str">
        <f t="array" ref="F734:F734">OFFSET(E734,-1,1)</f>
        <v>4</v>
      </c>
      <c r="G734" s="107" t="s">
        <v>2339</v>
      </c>
      <c r="H734" s="107"/>
      <c r="I734" s="107" t="s">
        <v>2903</v>
      </c>
      <c r="J734" s="107"/>
      <c r="K734" s="158" t="s">
        <v>2903</v>
      </c>
      <c r="L734" s="980" t="s">
        <v>2589</v>
      </c>
      <c r="M734" s="107"/>
      <c r="N734" s="107"/>
      <c r="O734" s="107"/>
      <c r="P734" s="107"/>
      <c r="Q734" s="107"/>
      <c r="R734" s="107"/>
      <c r="S734" s="107"/>
      <c r="T734" s="465" cm="1" t="str">
        <f t="array" ref="T734:T734">T733</f>
        <v>true</v>
      </c>
      <c r="U734" s="107"/>
      <c r="V734" s="107"/>
      <c r="W734" s="107"/>
      <c r="X734" s="1596"/>
      <c r="Y734" s="1278"/>
      <c r="Z734" s="1546"/>
      <c r="AA734" s="1278"/>
      <c r="AB734" s="300" t="str">
        <f>D734&amp;".4"</f>
        <v>11.4</v>
      </c>
      <c r="AC734" s="1111" t="s">
        <v>2591</v>
      </c>
      <c r="AD734" s="300" t="s">
        <v>2337</v>
      </c>
      <c r="AE734" s="3946">
        <f>IF(AE733=0,0,(AE727-AE731*AE732)/AE733)</f>
        <v>0</v>
      </c>
      <c r="AF734" s="3946">
        <f>IF(AF733=0,0,(AF727-AF731*AF732)/AF733)</f>
        <v>0</v>
      </c>
      <c r="AG734" s="3946">
        <f>IF(AG733=0,0,(AG727-AG731*AG732)/AG733)</f>
        <v>0</v>
      </c>
      <c r="AH734" s="1114">
        <f>AG734-AF734</f>
        <v>0</v>
      </c>
      <c r="AI734" s="3946">
        <f>IF(AI733=0,0,(AI727-AI731*AI732)/AI733)</f>
        <v>0</v>
      </c>
      <c r="AJ734" s="3946">
        <f>IF(AJ733=0,0,(AJ727-AJ731*AJ732)/AJ733)</f>
        <v>133.610000827539</v>
      </c>
      <c r="AK734" s="3946">
        <f>IF(AK733=0,0,(AK727-AK731*AK732)/AK733)</f>
        <v>137.999999556023</v>
      </c>
      <c r="AL734" s="3946">
        <f>IF(AL733=0,0,(AL727-AL731*AL732)/AL733)</f>
        <v>140.500005830706</v>
      </c>
      <c r="AM734" s="3946">
        <f>IF(AM733=0,0,(AM727-AM731*AM732)/AM733)</f>
        <v>144.3200013515</v>
      </c>
      <c r="AN734" s="3946">
        <f>IF(AN733=0,0,(AN727-AN731*AN732)/AN733)</f>
        <v>150.911537926571</v>
      </c>
      <c r="AO734" s="1241">
        <f>IF(AO733=0,0,(AO727-AO731*AO732)/AO733)</f>
        <v>0</v>
      </c>
      <c r="AP734" s="1241">
        <f>IF(AP733=0,0,(AP727-AP731*AP732)/AP733)</f>
        <v>0</v>
      </c>
      <c r="AQ734" s="1241">
        <f>IF(AQ733=0,0,(AQ727-AQ731*AQ732)/AQ733)</f>
        <v>0</v>
      </c>
      <c r="AR734" s="1241">
        <f>IF(AR733=0,0,(AR727-AR731*AR732)/AR733)</f>
        <v>0</v>
      </c>
      <c r="AS734" s="1241">
        <f>IF(AS733=0,0,(AS727-AS731*AS732)/AS733)</f>
        <v>0</v>
      </c>
      <c r="AT734" s="3946">
        <f>IF(AT733=0,0,(AT727-AT731*AT732)/AT733)</f>
        <v>133.609999656924</v>
      </c>
      <c r="AU734" s="3946">
        <f>IF(AU733=0,0,(AU727-AU731*AU732)/AU733)</f>
        <v>137.999997362767</v>
      </c>
      <c r="AV734" s="3946">
        <f>IF(AV733=0,0,(AV727-AV731*AV732)/AV733)</f>
        <v>140.500002614866</v>
      </c>
      <c r="AW734" s="3946">
        <f>IF(AW733=0,0,(AW727-AW731*AW732)/AW733)</f>
        <v>144.319997370917</v>
      </c>
      <c r="AX734" s="3946">
        <f>IF(AX733=0,0,(AX727-AX731*AX732)/AX733)</f>
        <v>150.911543287088</v>
      </c>
      <c r="AY734" s="1241">
        <f>IF(AY733=0,0,(AY727-AY731*AY732)/AY733)</f>
        <v>0</v>
      </c>
      <c r="AZ734" s="1241">
        <f>IF(AZ733=0,0,(AZ727-AZ731*AZ732)/AZ733)</f>
        <v>0</v>
      </c>
      <c r="BA734" s="1241">
        <f>IF(BA733=0,0,(BA727-BA731*BA732)/BA733)</f>
        <v>0</v>
      </c>
      <c r="BB734" s="1241">
        <f>IF(BB733=0,0,(BB727-BB731*BB732)/BB733)</f>
        <v>0</v>
      </c>
      <c r="BC734" s="1241">
        <f>IF(BC733=0,0,(BC727-BC731*BC732)/BC733)</f>
        <v>0</v>
      </c>
      <c r="BD734" s="1115"/>
      <c r="BE734" s="1115"/>
      <c r="BF734" s="1115"/>
      <c r="BG734" s="1115"/>
      <c r="BH734" s="1115"/>
      <c r="BI734" s="1115"/>
      <c r="BJ734" s="1115"/>
      <c r="BK734" s="1115"/>
      <c r="BL734" s="1115"/>
      <c r="BM734" s="1115"/>
      <c r="BN734" s="7433"/>
      <c r="BO734" s="7433"/>
      <c r="BP734" s="7433"/>
      <c r="BQ734" s="1278"/>
      <c r="BR734" s="1278"/>
      <c r="BS734" s="1062" t="s">
        <v>2592</v>
      </c>
      <c r="BT734" s="1064"/>
      <c r="BU734" s="1064"/>
      <c r="BV734" s="979"/>
      <c r="BW734" s="979"/>
    </row>
    <row s="1834" customFormat="1" customHeight="1" ht="14.25">
      <c r="A735" s="1278"/>
      <c r="B735" s="978"/>
      <c r="C735" s="107"/>
      <c r="D735" s="107" cm="1" t="str">
        <f t="array" ref="D735:D735">D734</f>
        <v>11</v>
      </c>
      <c r="E735" s="621">
        <v>15</v>
      </c>
      <c r="F735" s="50" cm="1" t="str">
        <f t="array" ref="F735:F735">OFFSET(E735,-1,1)</f>
        <v>4</v>
      </c>
      <c r="G735" s="107"/>
      <c r="H735" s="107"/>
      <c r="I735" s="107" t="s">
        <v>2904</v>
      </c>
      <c r="J735" s="107"/>
      <c r="K735" s="158" t="s">
        <v>2904</v>
      </c>
      <c r="L735" s="980" t="s">
        <v>2593</v>
      </c>
      <c r="M735" s="107"/>
      <c r="N735" s="107"/>
      <c r="O735" s="107"/>
      <c r="P735" s="107"/>
      <c r="Q735" s="107"/>
      <c r="R735" s="107"/>
      <c r="S735" s="107"/>
      <c r="T735" s="465" cm="1" t="str">
        <f t="array" ref="T735:T735">T734</f>
        <v>true</v>
      </c>
      <c r="U735" s="107"/>
      <c r="V735" s="107"/>
      <c r="W735" s="107"/>
      <c r="X735" s="1596"/>
      <c r="Y735" s="1278"/>
      <c r="Z735" s="1546"/>
      <c r="AA735" s="1278"/>
      <c r="AB735" s="300" t="str">
        <f>D735&amp;".5"</f>
        <v>11.5</v>
      </c>
      <c r="AC735" s="1111" t="s">
        <v>2595</v>
      </c>
      <c r="AD735" s="300" t="s">
        <v>1170</v>
      </c>
      <c r="AE735" s="1114">
        <f>IF(AE732=0,0,AE734/AE732*100)</f>
        <v>0</v>
      </c>
      <c r="AF735" s="1114">
        <f>IF(AF732=0,0,AF734/AF732*100)</f>
        <v>0</v>
      </c>
      <c r="AG735" s="1114">
        <f>IF(AG732=0,0,AG734/AG732*100)</f>
        <v>0</v>
      </c>
      <c r="AH735" s="1115"/>
      <c r="AI735" s="1114">
        <f>IF(AI732=0,0,AI734/AI732*100)</f>
        <v>0</v>
      </c>
      <c r="AJ735" s="1114">
        <f>IF(AJ732=0,0,AJ734/AJ732*100)</f>
        <v>104.998036013783</v>
      </c>
      <c r="AK735" s="1114">
        <f>IF(AK732=0,0,AK734/AK732*100)</f>
        <v>103.285681877122</v>
      </c>
      <c r="AL735" s="1114">
        <f>IF(AL732=0,0,AL734/AL732*100)</f>
        <v>101.811598428048</v>
      </c>
      <c r="AM735" s="1114">
        <f>IF(AM732=0,0,AM734/AM732*100)</f>
        <v>102.718862171886</v>
      </c>
      <c r="AN735" s="1114">
        <f>IF(AN732=0,0,AN734/AN732*100)</f>
        <v>104.567307321626</v>
      </c>
      <c r="AO735" s="1114">
        <f>IF(AO732=0,0,AO734/AO732*100)</f>
        <v>0</v>
      </c>
      <c r="AP735" s="1114">
        <f>IF(AP732=0,0,AP734/AP732*100)</f>
        <v>0</v>
      </c>
      <c r="AQ735" s="1114">
        <f>IF(AQ732=0,0,AQ734/AQ732*100)</f>
        <v>0</v>
      </c>
      <c r="AR735" s="1114">
        <f>IF(AR732=0,0,AR734/AR732*100)</f>
        <v>0</v>
      </c>
      <c r="AS735" s="1114">
        <f>IF(AS732=0,0,AS734/AS732*100)</f>
        <v>0</v>
      </c>
      <c r="AT735" s="1114">
        <f>IF(AT732=0,0,AT734/AT732*100)</f>
        <v>104.99803509385</v>
      </c>
      <c r="AU735" s="1114">
        <f>IF(AU732=0,0,AU734/AU732*100)</f>
        <v>103.285680500797</v>
      </c>
      <c r="AV735" s="1114">
        <f>IF(AV732=0,0,AV734/AV732*100)</f>
        <v>101.811598043388</v>
      </c>
      <c r="AW735" s="1114">
        <f>IF(AW732=0,0,AW734/AW732*100)</f>
        <v>102.718857427015</v>
      </c>
      <c r="AX735" s="1114">
        <f>IF(AX732=0,0,AX734/AX732*100)</f>
        <v>104.56731294086</v>
      </c>
      <c r="AY735" s="1114">
        <f>IF(AY732=0,0,AY734/AY732*100)</f>
        <v>0</v>
      </c>
      <c r="AZ735" s="1114">
        <f>IF(AZ732=0,0,AZ734/AZ732*100)</f>
        <v>0</v>
      </c>
      <c r="BA735" s="1114">
        <f>IF(BA732=0,0,BA734/BA732*100)</f>
        <v>0</v>
      </c>
      <c r="BB735" s="1114">
        <f>IF(BB732=0,0,BB734/BB732*100)</f>
        <v>0</v>
      </c>
      <c r="BC735" s="1114">
        <f>IF(BC732=0,0,BC734/BC732*100)</f>
        <v>0</v>
      </c>
      <c r="BD735" s="1115"/>
      <c r="BE735" s="1115"/>
      <c r="BF735" s="1115"/>
      <c r="BG735" s="1115"/>
      <c r="BH735" s="1115"/>
      <c r="BI735" s="1115"/>
      <c r="BJ735" s="1115"/>
      <c r="BK735" s="1115"/>
      <c r="BL735" s="1115"/>
      <c r="BM735" s="1115"/>
      <c r="BN735" s="7433"/>
      <c r="BO735" s="7433"/>
      <c r="BP735" s="7433"/>
      <c r="BQ735" s="1278"/>
      <c r="BR735" s="1278"/>
      <c r="BS735" s="1062" t="s">
        <v>2596</v>
      </c>
      <c r="BT735" s="1064"/>
      <c r="BU735" s="1064"/>
      <c r="BV735" s="979"/>
      <c r="BW735" s="979"/>
    </row>
    <row s="1834" customFormat="1" customHeight="1" ht="14.25">
      <c r="A736" s="1278"/>
      <c r="B736" s="978"/>
      <c r="C736" s="107"/>
      <c r="D736" s="107" cm="1" t="str">
        <f t="array" ref="D736:D736">D735</f>
        <v>11</v>
      </c>
      <c r="E736" s="621">
        <v>15</v>
      </c>
      <c r="F736" s="50" cm="1" t="str">
        <f t="array" ref="F736:F736">OFFSET(E736,-1,1)</f>
        <v>4</v>
      </c>
      <c r="G736" s="107"/>
      <c r="H736" s="107"/>
      <c r="I736" s="107" t="s">
        <v>2905</v>
      </c>
      <c r="J736" s="107"/>
      <c r="K736" s="158" t="s">
        <v>2905</v>
      </c>
      <c r="L736" s="980" t="s">
        <v>2597</v>
      </c>
      <c r="M736" s="107"/>
      <c r="N736" s="107"/>
      <c r="O736" s="107"/>
      <c r="P736" s="107"/>
      <c r="Q736" s="107"/>
      <c r="R736" s="107"/>
      <c r="S736" s="107"/>
      <c r="T736" s="465" cm="1" t="str">
        <f t="array" ref="T736:T736">T735</f>
        <v>true</v>
      </c>
      <c r="U736" s="107"/>
      <c r="V736" s="107"/>
      <c r="W736" s="107"/>
      <c r="X736" s="1596"/>
      <c r="Y736" s="1278"/>
      <c r="Z736" s="1546"/>
      <c r="AA736" s="1278"/>
      <c r="AB736" s="300" t="str">
        <f>D736&amp;".6"</f>
        <v>11.6</v>
      </c>
      <c r="AC736" s="1111" t="s">
        <v>2599</v>
      </c>
      <c r="AD736" s="300" t="s">
        <v>2337</v>
      </c>
      <c r="AE736" s="3946">
        <f>IF(AE730=0,0,AE727/AE730)</f>
        <v>0</v>
      </c>
      <c r="AF736" s="3946">
        <f>IF(AF730=0,0,AF727/AF730)</f>
        <v>0</v>
      </c>
      <c r="AG736" s="3946">
        <f>IF(AG730=0,0,AG727/AG730)</f>
        <v>0</v>
      </c>
      <c r="AH736" s="1114">
        <f>AG736-AF736</f>
        <v>0</v>
      </c>
      <c r="AI736" s="3946">
        <f>IF(AI730=0,0,AI727/AI730)</f>
        <v>0</v>
      </c>
      <c r="AJ736" s="3946">
        <f>IF(AJ730=0,0,AJ727/AJ730)</f>
        <v>128.840000206885</v>
      </c>
      <c r="AK736" s="3946">
        <f>IF(AK730=0,0,AK727/AK730)</f>
        <v>135.804999778011</v>
      </c>
      <c r="AL736" s="3946">
        <f>IF(AL730=0,0,AL727/AL730)</f>
        <v>139.250002915353</v>
      </c>
      <c r="AM736" s="3946">
        <f>IF(AM730=0,0,AM727/AM730)</f>
        <v>142.41000067575</v>
      </c>
      <c r="AN736" s="3946">
        <f>IF(AN730=0,0,AN727/AN730)</f>
        <v>147.615768963286</v>
      </c>
      <c r="AO736" s="1241">
        <f>IF(AO730=0,0,AO727/AO730)</f>
        <v>0</v>
      </c>
      <c r="AP736" s="1241">
        <f>IF(AP730=0,0,AP727/AP730)</f>
        <v>0</v>
      </c>
      <c r="AQ736" s="1241">
        <f>IF(AQ730=0,0,AQ727/AQ730)</f>
        <v>0</v>
      </c>
      <c r="AR736" s="1241">
        <f>IF(AR730=0,0,AR727/AR730)</f>
        <v>0</v>
      </c>
      <c r="AS736" s="1241">
        <f>IF(AS730=0,0,AS727/AS730)</f>
        <v>0</v>
      </c>
      <c r="AT736" s="3946">
        <f>IF(AT730=0,0,AT727/AT730)</f>
        <v>128.839999914231</v>
      </c>
      <c r="AU736" s="3946">
        <f>IF(AU730=0,0,AU727/AU730)</f>
        <v>135.804998509846</v>
      </c>
      <c r="AV736" s="3946">
        <f>IF(AV730=0,0,AV727/AV730)</f>
        <v>139.249999988817</v>
      </c>
      <c r="AW736" s="3946">
        <f>IF(AW730=0,0,AW727/AW730)</f>
        <v>142.409999992891</v>
      </c>
      <c r="AX736" s="3946">
        <f>IF(AX730=0,0,AX727/AX730)</f>
        <v>147.615770329003</v>
      </c>
      <c r="AY736" s="1241">
        <f>IF(AY730=0,0,AY727/AY730)</f>
        <v>0</v>
      </c>
      <c r="AZ736" s="1241">
        <f>IF(AZ730=0,0,AZ727/AZ730)</f>
        <v>0</v>
      </c>
      <c r="BA736" s="1241">
        <f>IF(BA730=0,0,BA727/BA730)</f>
        <v>0</v>
      </c>
      <c r="BB736" s="1241">
        <f>IF(BB730=0,0,BB727/BB730)</f>
        <v>0</v>
      </c>
      <c r="BC736" s="1241">
        <f>IF(BC730=0,0,BC727/BC730)</f>
        <v>0</v>
      </c>
      <c r="BD736" s="1115"/>
      <c r="BE736" s="1115"/>
      <c r="BF736" s="1115"/>
      <c r="BG736" s="1115"/>
      <c r="BH736" s="1115"/>
      <c r="BI736" s="1115"/>
      <c r="BJ736" s="1115"/>
      <c r="BK736" s="1115"/>
      <c r="BL736" s="1115"/>
      <c r="BM736" s="1115"/>
      <c r="BN736" s="7433"/>
      <c r="BO736" s="7433"/>
      <c r="BP736" s="7433"/>
      <c r="BQ736" s="1278"/>
      <c r="BR736" s="1278"/>
      <c r="BS736" s="1062" t="s">
        <v>2600</v>
      </c>
      <c r="BT736" s="1064"/>
      <c r="BU736" s="1064"/>
      <c r="BV736" s="979"/>
      <c r="BW736" s="979"/>
    </row>
    <row s="7674" customFormat="1" customHeight="1" ht="20.25">
      <c r="A737" s="700"/>
      <c r="B737" s="435"/>
      <c r="C737" s="109"/>
      <c r="D737" s="109">
        <f>D736+1</f>
        <v>12</v>
      </c>
      <c r="E737" s="826">
        <v>21</v>
      </c>
      <c r="F737" s="50" cm="1" t="str">
        <f t="array" ref="F737:F737">OFFSET(E737,-1,1)</f>
        <v>4</v>
      </c>
      <c r="G737" s="109"/>
      <c r="H737" s="107"/>
      <c r="I737" s="107" t="s">
        <v>2604</v>
      </c>
      <c r="J737" s="109"/>
      <c r="K737" s="158" t="s">
        <v>2604</v>
      </c>
      <c r="L737" s="985" t="s">
        <v>2601</v>
      </c>
      <c r="M737" s="109"/>
      <c r="N737" s="109"/>
      <c r="O737" s="109"/>
      <c r="P737" s="109"/>
      <c r="Q737" s="109"/>
      <c r="R737" s="109"/>
      <c r="S737" s="109"/>
      <c r="T737" s="465" cm="1" t="str">
        <f t="array" ref="T737:T737">T736</f>
        <v>true</v>
      </c>
      <c r="U737" s="109"/>
      <c r="V737" s="109"/>
      <c r="W737" s="109"/>
      <c r="X737" s="1596"/>
      <c r="Y737" s="700"/>
      <c r="Z737" s="1546"/>
      <c r="AA737" s="700"/>
      <c r="AB737" s="211" cm="1" t="str">
        <f t="array" ref="AB737:AB737">D737</f>
        <v>12</v>
      </c>
      <c r="AC737" s="212" t="s">
        <v>2602</v>
      </c>
      <c r="AD737" s="211" t="s">
        <v>1514</v>
      </c>
      <c r="AE737" s="7499">
        <f>IF(AE730=0,0,AE727/AE730*AE738)</f>
        <v>0</v>
      </c>
      <c r="AF737" s="7499">
        <f>IF(AF730=0,0,AF727/AF730*AF738)</f>
        <v>0</v>
      </c>
      <c r="AG737" s="7499">
        <f>IF(AG730=0,0,AG727/AG730*AG738)</f>
        <v>0</v>
      </c>
      <c r="AH737" s="213">
        <f>AH739*AH740+AH741*AH742</f>
        <v>0</v>
      </c>
      <c r="AI737" s="7499">
        <f>IF(AI730=0,0,AI727/AI730*AI738)</f>
        <v>0</v>
      </c>
      <c r="AJ737" s="7499">
        <f>IF(AJ730=0,0,AJ727/AJ730*AJ738)</f>
        <v>99048.6413286472</v>
      </c>
      <c r="AK737" s="7499">
        <f>IF(AK730=0,0,AK727/AK730*AK738)</f>
        <v>104403.141043541</v>
      </c>
      <c r="AL737" s="7499">
        <f>IF(AL730=0,0,AL727/AL730*AL738)</f>
        <v>107051.564511243</v>
      </c>
      <c r="AM737" s="7499">
        <f>IF(AM730=0,0,AM727/AM730*AM738)</f>
        <v>109480.883699898</v>
      </c>
      <c r="AN737" s="7499">
        <f>IF(AN730=0,0,AN727/AN730*AN738)</f>
        <v>113482.934888381</v>
      </c>
      <c r="AO737" s="1250">
        <f>IF(AO730=0,0,AO727/AO730*AO738)</f>
        <v>0</v>
      </c>
      <c r="AP737" s="1250">
        <f>IF(AP730=0,0,AP727/AP730*AP738)</f>
        <v>0</v>
      </c>
      <c r="AQ737" s="1250">
        <f>IF(AQ730=0,0,AQ727/AQ730*AQ738)</f>
        <v>0</v>
      </c>
      <c r="AR737" s="1250">
        <f>IF(AR730=0,0,AR727/AR730*AR738)</f>
        <v>0</v>
      </c>
      <c r="AS737" s="1250">
        <f>IF(AS730=0,0,AS727/AS730*AS738)</f>
        <v>0</v>
      </c>
      <c r="AT737" s="7499">
        <f>IF(AT730=0,0,AT727/AT730*AT738)</f>
        <v>99048.6411036632</v>
      </c>
      <c r="AU737" s="7499">
        <f>IF(AU730=0,0,AU727/AU730*AU738)</f>
        <v>104403.14006861</v>
      </c>
      <c r="AV737" s="7499">
        <f>IF(AV730=0,0,AV727/AV730*AV738)</f>
        <v>107051.562261403</v>
      </c>
      <c r="AW737" s="7499">
        <f>IF(AW730=0,0,AW727/AW730*AW738)</f>
        <v>109480.883174935</v>
      </c>
      <c r="AX737" s="7499">
        <f>IF(AX730=0,0,AX727/AX730*AX738)</f>
        <v>113482.935938307</v>
      </c>
      <c r="AY737" s="1250">
        <f>IF(AY730=0,0,AY727/AY730*AY738)</f>
        <v>0</v>
      </c>
      <c r="AZ737" s="1250">
        <f>IF(AZ730=0,0,AZ727/AZ730*AZ738)</f>
        <v>0</v>
      </c>
      <c r="BA737" s="1250">
        <f>IF(BA730=0,0,BA727/BA730*BA738)</f>
        <v>0</v>
      </c>
      <c r="BB737" s="1250">
        <f>IF(BB730=0,0,BB727/BB730*BB738)</f>
        <v>0</v>
      </c>
      <c r="BC737" s="1250">
        <f>IF(BC730=0,0,BC727/BC730*BC738)</f>
        <v>0</v>
      </c>
      <c r="BD737" s="778">
        <f>IF(AI737=0,0,(AT737-AI737)/AI737*100)</f>
        <v>0</v>
      </c>
      <c r="BE737" s="778">
        <f>IF(AT737=0,0,(AU737-AT737)/AT737*100)</f>
        <v>5.40592874903032</v>
      </c>
      <c r="BF737" s="778">
        <f>IF(AU737=0,0,(AV737-AU737)/AU737*100)</f>
        <v>2.53672656881063</v>
      </c>
      <c r="BG737" s="778">
        <f>IF(AV737=0,0,(AW737-AV737)/AV737*100)</f>
        <v>2.26929982357473</v>
      </c>
      <c r="BH737" s="778">
        <f>IF(AW737=0,0,(AX737-AW737)/AW737*100)</f>
        <v>3.65548089064762</v>
      </c>
      <c r="BI737" s="778">
        <f>IF(AX737=0,0,(AY737-AX737)/AX737*100)</f>
        <v>-100</v>
      </c>
      <c r="BJ737" s="778">
        <f>IF(AY737=0,0,(AZ737-AY737)/AY737*100)</f>
        <v>0</v>
      </c>
      <c r="BK737" s="778">
        <f>IF(AZ737=0,0,(BA737-AZ737)/AZ737*100)</f>
        <v>0</v>
      </c>
      <c r="BL737" s="778">
        <f>IF(BA737=0,0,(BB737-BA737)/BA737*100)</f>
        <v>0</v>
      </c>
      <c r="BM737" s="778">
        <f>IF(BB737=0,0,(BC737-BB737)/BB737*100)</f>
        <v>0</v>
      </c>
      <c r="BN737" s="7433"/>
      <c r="BO737" s="7433"/>
      <c r="BP737" s="7433"/>
      <c r="BQ737" s="700"/>
      <c r="BR737" s="700"/>
      <c r="BS737" s="1063" t="s">
        <v>2603</v>
      </c>
      <c r="BT737" s="1070"/>
      <c r="BU737" s="1070"/>
      <c r="BV737" s="707"/>
      <c r="BW737" s="707"/>
    </row>
    <row s="7675" customFormat="1" customHeight="1" ht="20.25">
      <c r="A738" s="700"/>
      <c r="B738" s="435"/>
      <c r="C738" s="109"/>
      <c r="D738" s="109">
        <f>D737+1</f>
        <v>13</v>
      </c>
      <c r="E738" s="826">
        <v>21</v>
      </c>
      <c r="F738" s="50" cm="1" t="str">
        <f t="array" ref="F738:F738">OFFSET(E738,-1,1)</f>
        <v>4</v>
      </c>
      <c r="G738" s="107" t="s">
        <v>2359</v>
      </c>
      <c r="H738" s="107"/>
      <c r="I738" s="107" t="s">
        <v>2906</v>
      </c>
      <c r="J738" s="109"/>
      <c r="K738" s="158" t="s">
        <v>2906</v>
      </c>
      <c r="L738" s="985" t="s">
        <v>2604</v>
      </c>
      <c r="M738" s="109"/>
      <c r="N738" s="109"/>
      <c r="O738" s="109"/>
      <c r="P738" s="109"/>
      <c r="Q738" s="109"/>
      <c r="R738" s="109"/>
      <c r="S738" s="109"/>
      <c r="T738" s="465" cm="1" t="str">
        <f t="array" ref="T738:T738">T737</f>
        <v>true</v>
      </c>
      <c r="U738" s="109"/>
      <c r="V738" s="109"/>
      <c r="W738" s="109"/>
      <c r="X738" s="1596"/>
      <c r="Y738" s="700"/>
      <c r="Z738" s="1546"/>
      <c r="AA738" s="700"/>
      <c r="AB738" s="211" cm="1" t="str">
        <f t="array" ref="AB738:AB738">D738</f>
        <v>13</v>
      </c>
      <c r="AC738" s="212" t="s">
        <v>2605</v>
      </c>
      <c r="AD738" s="211" t="s">
        <v>1247</v>
      </c>
      <c r="AE738" s="785">
        <f>_xlfn.SUMIFS(Баланс!AE$26:AE$482,Баланс!$F$26:$F$482,$F738,Баланс!$G$26:$G$482,"население")</f>
        <v>0</v>
      </c>
      <c r="AF738" s="785">
        <f>_xlfn.SUMIFS(Баланс!AF$26:AF$482,Баланс!$F$26:$F$482,$F738,Баланс!$G$26:$G$482,"население")</f>
        <v>0</v>
      </c>
      <c r="AG738" s="785">
        <f>_xlfn.SUMIFS(Баланс!AG$26:AG$482,Баланс!$F$26:$F$482,$F738,Баланс!$G$26:$G$482,"население")</f>
        <v>0</v>
      </c>
      <c r="AH738" s="785">
        <f>AG738-AF738</f>
        <v>0</v>
      </c>
      <c r="AI738" s="785">
        <f>_xlfn.SUMIFS(Баланс!AH$26:AH$482,Баланс!$F$26:$F$482,$F738,Баланс!$G$26:$G$482,"население")</f>
        <v>0</v>
      </c>
      <c r="AJ738" s="785">
        <f>_xlfn.SUMIFS(Баланс!AI$26:AI$482,Баланс!$F$26:$F$482,$F738,Баланс!$G$26:$G$482,"население")</f>
        <v>768.77244</v>
      </c>
      <c r="AK738" s="785">
        <f>_xlfn.SUMIFS(Баланс!AJ$26:AJ$482,Баланс!$F$26:$F$482,$F738,Баланс!$G$26:$G$482,"население")</f>
        <v>768.77244</v>
      </c>
      <c r="AL738" s="785">
        <f>_xlfn.SUMIFS(Баланс!AK$26:AK$482,Баланс!$F$26:$F$482,$F738,Баланс!$G$26:$G$482,"население")</f>
        <v>768.77244</v>
      </c>
      <c r="AM738" s="785">
        <f>_xlfn.SUMIFS(Баланс!AL$26:AL$482,Баланс!$F$26:$F$482,$F738,Баланс!$G$26:$G$482,"население")</f>
        <v>768.77244</v>
      </c>
      <c r="AN738" s="785">
        <f>_xlfn.SUMIFS(Баланс!AM$26:AM$482,Баланс!$F$26:$F$482,$F738,Баланс!$G$26:$G$482,"население")</f>
        <v>768.77244</v>
      </c>
      <c r="AO738" s="785">
        <f>_xlfn.SUMIFS(Баланс!AN$26:AN$482,Баланс!$F$26:$F$482,$F738,Баланс!$G$26:$G$482,"население")</f>
        <v>0</v>
      </c>
      <c r="AP738" s="785">
        <f>_xlfn.SUMIFS(Баланс!AO$26:AO$482,Баланс!$F$26:$F$482,$F738,Баланс!$G$26:$G$482,"население")</f>
        <v>0</v>
      </c>
      <c r="AQ738" s="785">
        <f>_xlfn.SUMIFS(Баланс!AP$26:AP$482,Баланс!$F$26:$F$482,$F738,Баланс!$G$26:$G$482,"население")</f>
        <v>0</v>
      </c>
      <c r="AR738" s="785">
        <f>_xlfn.SUMIFS(Баланс!AQ$26:AQ$482,Баланс!$F$26:$F$482,$F738,Баланс!$G$26:$G$482,"население")</f>
        <v>0</v>
      </c>
      <c r="AS738" s="785">
        <f>_xlfn.SUMIFS(Баланс!AR$26:AR$482,Баланс!$F$26:$F$482,$F738,Баланс!$G$26:$G$482,"население")</f>
        <v>0</v>
      </c>
      <c r="AT738" s="785">
        <f>_xlfn.SUMIFS(Баланс!AS$26:AS$482,Баланс!$F$26:$F$482,$F738,Баланс!$G$26:$G$482,"население")</f>
        <v>768.77244</v>
      </c>
      <c r="AU738" s="785">
        <f>_xlfn.SUMIFS(Баланс!AT$26:AT$482,Баланс!$F$26:$F$482,$F738,Баланс!$G$26:$G$482,"население")</f>
        <v>768.77244</v>
      </c>
      <c r="AV738" s="785">
        <f>_xlfn.SUMIFS(Баланс!AU$26:AU$482,Баланс!$F$26:$F$482,$F738,Баланс!$G$26:$G$482,"население")</f>
        <v>768.77244</v>
      </c>
      <c r="AW738" s="785">
        <f>_xlfn.SUMIFS(Баланс!AV$26:AV$482,Баланс!$F$26:$F$482,$F738,Баланс!$G$26:$G$482,"население")</f>
        <v>768.77244</v>
      </c>
      <c r="AX738" s="785">
        <f>_xlfn.SUMIFS(Баланс!AW$26:AW$482,Баланс!$F$26:$F$482,$F738,Баланс!$G$26:$G$482,"население")</f>
        <v>768.77244</v>
      </c>
      <c r="AY738" s="785">
        <f>_xlfn.SUMIFS(Баланс!AX$26:AX$482,Баланс!$F$26:$F$482,$F738,Баланс!$G$26:$G$482,"население")</f>
        <v>0</v>
      </c>
      <c r="AZ738" s="785">
        <f>_xlfn.SUMIFS(Баланс!AY$26:AY$482,Баланс!$F$26:$F$482,$F738,Баланс!$G$26:$G$482,"население")</f>
        <v>0</v>
      </c>
      <c r="BA738" s="785">
        <f>_xlfn.SUMIFS(Баланс!AZ$26:AZ$482,Баланс!$F$26:$F$482,$F738,Баланс!$G$26:$G$482,"население")</f>
        <v>0</v>
      </c>
      <c r="BB738" s="785">
        <f>_xlfn.SUMIFS(Баланс!BA$26:BA$482,Баланс!$F$26:$F$482,$F738,Баланс!$G$26:$G$482,"население")</f>
        <v>0</v>
      </c>
      <c r="BC738" s="785">
        <f>_xlfn.SUMIFS(Баланс!BB$26:BB$482,Баланс!$F$26:$F$482,$F738,Баланс!$G$26:$G$482,"население")</f>
        <v>0</v>
      </c>
      <c r="BD738" s="216"/>
      <c r="BE738" s="216"/>
      <c r="BF738" s="216"/>
      <c r="BG738" s="216"/>
      <c r="BH738" s="216"/>
      <c r="BI738" s="216"/>
      <c r="BJ738" s="216"/>
      <c r="BK738" s="216"/>
      <c r="BL738" s="216"/>
      <c r="BM738" s="216"/>
      <c r="BN738" s="7433"/>
      <c r="BO738" s="7433"/>
      <c r="BP738" s="7433"/>
      <c r="BQ738" s="700"/>
      <c r="BR738" s="700"/>
      <c r="BS738" s="1063" t="s">
        <v>2606</v>
      </c>
      <c r="BT738" s="1070"/>
      <c r="BU738" s="1070"/>
      <c r="BV738" s="707"/>
      <c r="BW738" s="707"/>
    </row>
    <row s="1834" customFormat="1" customHeight="1" ht="23.25">
      <c r="A739" s="1278"/>
      <c r="B739" s="978"/>
      <c r="C739" s="107"/>
      <c r="D739" s="107" cm="1" t="str">
        <f t="array" ref="D739:D739">D738</f>
        <v>13</v>
      </c>
      <c r="E739" s="621">
        <v>15</v>
      </c>
      <c r="F739" s="50" cm="1" t="str">
        <f t="array" ref="F739:F739">OFFSET(E739,-1,1)</f>
        <v>4</v>
      </c>
      <c r="G739" s="107" t="s">
        <v>2393</v>
      </c>
      <c r="H739" s="107"/>
      <c r="I739" s="107" t="s">
        <v>2907</v>
      </c>
      <c r="J739" s="107"/>
      <c r="K739" s="158" t="s">
        <v>2907</v>
      </c>
      <c r="L739" s="980" t="s">
        <v>2607</v>
      </c>
      <c r="M739" s="107"/>
      <c r="N739" s="107"/>
      <c r="O739" s="107"/>
      <c r="P739" s="107"/>
      <c r="Q739" s="107"/>
      <c r="R739" s="107"/>
      <c r="S739" s="107"/>
      <c r="T739" s="465" cm="1" t="str">
        <f t="array" ref="T739:T739">T738</f>
        <v>true</v>
      </c>
      <c r="U739" s="107"/>
      <c r="V739" s="107"/>
      <c r="W739" s="107"/>
      <c r="X739" s="1596"/>
      <c r="Y739" s="1278"/>
      <c r="Z739" s="1546"/>
      <c r="AA739" s="1278"/>
      <c r="AB739" s="300" t="str">
        <f>D739&amp;".1"</f>
        <v>13.1</v>
      </c>
      <c r="AC739" s="1111" t="s">
        <v>2609</v>
      </c>
      <c r="AD739" s="300" t="s">
        <v>1247</v>
      </c>
      <c r="AE739" s="7434">
        <f>IF(AE$24="2026 год",AE738/12*9,AE738/2)</f>
        <v>0</v>
      </c>
      <c r="AF739" s="7434">
        <f>IF(AF$24="2026 год",AF738/12*9,AF738/2)</f>
        <v>0</v>
      </c>
      <c r="AG739" s="7434">
        <f>IF(AG$24="2026 год",AG738/12*9,AG738/2)</f>
        <v>0</v>
      </c>
      <c r="AH739" s="1113">
        <f>AG739-AF739</f>
        <v>0</v>
      </c>
      <c r="AI739" s="7434">
        <f>IF(AI$24="2026 год",AI738/12*9,AI738/2)</f>
        <v>0</v>
      </c>
      <c r="AJ739" s="7434">
        <f>IF(AJ$24="2026 год",AJ738/12*9,AJ738/2)</f>
        <v>576.57933</v>
      </c>
      <c r="AK739" s="7434">
        <f>IF(AK$24="2026 год",AK738/12*9,AK738/2)</f>
        <v>384.38622</v>
      </c>
      <c r="AL739" s="7434">
        <f>IF(AL$24="2026 год",AL738/12*9,AL738/2)</f>
        <v>384.38622</v>
      </c>
      <c r="AM739" s="7434">
        <f>IF(AM$24="2026 год",AM738/12*9,AM738/2)</f>
        <v>384.38622</v>
      </c>
      <c r="AN739" s="7434">
        <f>IF(AN$24="2026 год",AN738/12*9,AN738/2)</f>
        <v>384.38622</v>
      </c>
      <c r="AO739" s="1239">
        <f>IF(AO$24="2026 год",AO738/12*9,AO738/2)</f>
        <v>0</v>
      </c>
      <c r="AP739" s="1239">
        <f>IF(AP$24="2026 год",AP738/12*9,AP738/2)</f>
        <v>0</v>
      </c>
      <c r="AQ739" s="1239">
        <f>IF(AQ$24="2026 год",AQ738/12*9,AQ738/2)</f>
        <v>0</v>
      </c>
      <c r="AR739" s="1239">
        <f>IF(AR$24="2026 год",AR738/12*9,AR738/2)</f>
        <v>0</v>
      </c>
      <c r="AS739" s="1239">
        <f>IF(AS$24="2026 год",AS738/12*9,AS738/2)</f>
        <v>0</v>
      </c>
      <c r="AT739" s="7497">
        <f>IF(AT$24="2026 год",AT738/12*9,AT738/2)</f>
        <v>576.57933</v>
      </c>
      <c r="AU739" s="7497">
        <f>IF(AU$24="2026 год",AU738/12*9,AU738/2)</f>
        <v>384.38622</v>
      </c>
      <c r="AV739" s="7434">
        <f>IF(AV$24="2026 год",AV738/12*9,AV738/2)</f>
        <v>384.38622</v>
      </c>
      <c r="AW739" s="7434">
        <f>IF(AW$24="2026 год",AW738/12*9,AW738/2)</f>
        <v>384.38622</v>
      </c>
      <c r="AX739" s="7434">
        <f>IF(AX$24="2026 год",AX738/12*9,AX738/2)</f>
        <v>384.38622</v>
      </c>
      <c r="AY739" s="1239">
        <f>IF(AY$24="2026 год",AY738/12*9,AY738/2)</f>
        <v>0</v>
      </c>
      <c r="AZ739" s="1239">
        <f>IF(AZ$24="2026 год",AZ738/12*9,AZ738/2)</f>
        <v>0</v>
      </c>
      <c r="BA739" s="1239">
        <f>IF(BA$24="2026 год",BA738/12*9,BA738/2)</f>
        <v>0</v>
      </c>
      <c r="BB739" s="1239">
        <f>IF(BB$24="2026 год",BB738/12*9,BB738/2)</f>
        <v>0</v>
      </c>
      <c r="BC739" s="1239">
        <f>IF(BC$24="2026 год",BC738/12*9,BC738/2)</f>
        <v>0</v>
      </c>
      <c r="BD739" s="1115"/>
      <c r="BE739" s="1115"/>
      <c r="BF739" s="1115"/>
      <c r="BG739" s="1115"/>
      <c r="BH739" s="1115"/>
      <c r="BI739" s="1115"/>
      <c r="BJ739" s="1115"/>
      <c r="BK739" s="1115"/>
      <c r="BL739" s="1115"/>
      <c r="BM739" s="1115"/>
      <c r="BN739" s="7433"/>
      <c r="BO739" s="7433"/>
      <c r="BP739" s="7433"/>
      <c r="BQ739" s="1278"/>
      <c r="BR739" s="1278"/>
      <c r="BS739" s="1062" t="s">
        <v>2610</v>
      </c>
      <c r="BT739" s="1064"/>
      <c r="BU739" s="1064"/>
      <c r="BV739" s="979"/>
      <c r="BW739" s="979"/>
    </row>
    <row s="1834" customFormat="1" customHeight="1" ht="23.25">
      <c r="A740" s="1278"/>
      <c r="B740" s="978"/>
      <c r="C740" s="107"/>
      <c r="D740" s="107" cm="1" t="str">
        <f t="array" ref="D740:D740">D739</f>
        <v>13</v>
      </c>
      <c r="E740" s="621">
        <v>15</v>
      </c>
      <c r="F740" s="50" cm="1" t="str">
        <f t="array" ref="F740:F740">OFFSET(E740,-1,1)</f>
        <v>4</v>
      </c>
      <c r="G740" s="107" t="s">
        <v>2349</v>
      </c>
      <c r="H740" s="107"/>
      <c r="I740" s="107" t="s">
        <v>2908</v>
      </c>
      <c r="J740" s="107"/>
      <c r="K740" s="158" t="s">
        <v>2908</v>
      </c>
      <c r="L740" s="980" t="s">
        <v>2611</v>
      </c>
      <c r="M740" s="107"/>
      <c r="N740" s="107"/>
      <c r="O740" s="107"/>
      <c r="P740" s="107"/>
      <c r="Q740" s="107"/>
      <c r="R740" s="107"/>
      <c r="S740" s="107"/>
      <c r="T740" s="465" cm="1" t="str">
        <f t="array" ref="T740:T740">T739</f>
        <v>true</v>
      </c>
      <c r="U740" s="107"/>
      <c r="V740" s="107"/>
      <c r="W740" s="107"/>
      <c r="X740" s="1596"/>
      <c r="Y740" s="1278"/>
      <c r="Z740" s="1546"/>
      <c r="AA740" s="1278"/>
      <c r="AB740" s="300" t="str">
        <f>D740&amp;".2"</f>
        <v>13.2</v>
      </c>
      <c r="AC740" s="1111" t="s">
        <v>2613</v>
      </c>
      <c r="AD740" s="300" t="s">
        <v>2337</v>
      </c>
      <c r="AE740" s="3946">
        <f>IF(AE738=0,0,AE732*(1+Сценарии!AE$26/100))</f>
        <v>0</v>
      </c>
      <c r="AF740" s="7501">
        <f>IF(AF738=0,0,AF732*(1+Сценарии!AF$26/100))</f>
        <v>0</v>
      </c>
      <c r="AG740" s="7501">
        <f>IF(AG738=0,0,AG732*(1+Сценарии!AG$26/100))</f>
        <v>0</v>
      </c>
      <c r="AH740" s="1114">
        <f>AG740-AF740</f>
        <v>0</v>
      </c>
      <c r="AI740" s="3946">
        <f>IF(AI738=0,0,AI732*(1+Сценарии!AI$26/100))</f>
        <v>0</v>
      </c>
      <c r="AJ740" s="7501">
        <f>IF(AJ738=0,0,AJ732*(1+Сценарии!AJ$26/100))</f>
        <v>155.245</v>
      </c>
      <c r="AK740" s="7501">
        <f>IF(AK738=0,0,AK732*(1+Сценарии!AO$26/100))</f>
        <v>163.0042</v>
      </c>
      <c r="AL740" s="7501">
        <f>IF(AL738=0,0,AL732*(1+Сценарии!AP$26/100))</f>
        <v>168.36</v>
      </c>
      <c r="AM740" s="7501">
        <f>IF(AM738=0,0,AM732*(1+Сценарии!AQ$26/100))</f>
        <v>171.41</v>
      </c>
      <c r="AN740" s="7501">
        <f>IF(AN738=0,0,AN732*(1+Сценарии!AR$26/100))</f>
        <v>176.0704</v>
      </c>
      <c r="AO740" s="1262">
        <f>IF(AO738=0,0,AO732*(1+Сценарии!AS$26/100))</f>
        <v>0</v>
      </c>
      <c r="AP740" s="1262">
        <f>IF(AP738=0,0,AP732*(1+Сценарии!AT$26/100))</f>
        <v>0</v>
      </c>
      <c r="AQ740" s="1262">
        <f>IF(AQ738=0,0,AQ732*(1+Сценарии!AU$26/100))</f>
        <v>0</v>
      </c>
      <c r="AR740" s="1262">
        <f>IF(AR738=0,0,AR732*(1+Сценарии!AV$26/100))</f>
        <v>0</v>
      </c>
      <c r="AS740" s="1262">
        <f>IF(AS738=0,0,AS732*(1+Сценарии!AW$26/100))</f>
        <v>0</v>
      </c>
      <c r="AT740" s="3946">
        <f>IF(AT738=0,0,AT732*(1+Сценарии!AK$26/100))</f>
        <v>155.245</v>
      </c>
      <c r="AU740" s="3946">
        <f>IF(AU738=0,0,AU732*(1+Сценарии!AX$26/100))</f>
        <v>163.004199581447</v>
      </c>
      <c r="AV740" s="7501">
        <f>IF(AV738=0,0,AV732*(1+Сценарии!AY$26/100))</f>
        <v>168.359996782576</v>
      </c>
      <c r="AW740" s="7501">
        <f>IF(AW738=0,0,AW732*(1+Сценарии!AZ$26/100))</f>
        <v>171.410003190137</v>
      </c>
      <c r="AX740" s="7501">
        <f>IF(AX738=0,0,AX732*(1+Сценарии!BA$26/100))</f>
        <v>176.070396792519</v>
      </c>
      <c r="AY740" s="1262">
        <f>IF(AY738=0,0,AY732*(1+Сценарии!BB$26/100))</f>
        <v>0</v>
      </c>
      <c r="AZ740" s="1262">
        <f>IF(AZ738=0,0,AZ732*(1+Сценарии!BC$26/100))</f>
        <v>0</v>
      </c>
      <c r="BA740" s="1262">
        <f>IF(BA738=0,0,BA732*(1+Сценарии!BD$26/100))</f>
        <v>0</v>
      </c>
      <c r="BB740" s="1262">
        <f>IF(BB738=0,0,BB732*(1+Сценарии!BE$26/100))</f>
        <v>0</v>
      </c>
      <c r="BC740" s="1262">
        <f>IF(BC738=0,0,BC732*(1+Сценарии!BF$26/100))</f>
        <v>0</v>
      </c>
      <c r="BD740" s="1115"/>
      <c r="BE740" s="1115"/>
      <c r="BF740" s="1115"/>
      <c r="BG740" s="1115"/>
      <c r="BH740" s="1115"/>
      <c r="BI740" s="1115"/>
      <c r="BJ740" s="1115"/>
      <c r="BK740" s="1115"/>
      <c r="BL740" s="1115"/>
      <c r="BM740" s="1115"/>
      <c r="BN740" s="7433"/>
      <c r="BO740" s="7433"/>
      <c r="BP740" s="7433"/>
      <c r="BQ740" s="1278"/>
      <c r="BR740" s="1278"/>
      <c r="BS740" s="1062" t="s">
        <v>2614</v>
      </c>
      <c r="BT740" s="1064"/>
      <c r="BU740" s="1064"/>
      <c r="BV740" s="979"/>
      <c r="BW740" s="979"/>
    </row>
    <row s="1834" customFormat="1" customHeight="1" ht="23.25">
      <c r="A741" s="1278"/>
      <c r="B741" s="978"/>
      <c r="C741" s="107"/>
      <c r="D741" s="107" cm="1" t="str">
        <f t="array" ref="D741:D741">D740</f>
        <v>13</v>
      </c>
      <c r="E741" s="621">
        <v>15</v>
      </c>
      <c r="F741" s="50" cm="1" t="str">
        <f t="array" ref="F741:F741">OFFSET(E741,-1,1)</f>
        <v>4</v>
      </c>
      <c r="G741" s="107" t="s">
        <v>2400</v>
      </c>
      <c r="H741" s="107"/>
      <c r="I741" s="107" t="s">
        <v>2909</v>
      </c>
      <c r="J741" s="107"/>
      <c r="K741" s="107" t="s">
        <v>2909</v>
      </c>
      <c r="L741" s="980" t="s">
        <v>2615</v>
      </c>
      <c r="M741" s="107"/>
      <c r="N741" s="107"/>
      <c r="O741" s="107"/>
      <c r="P741" s="107"/>
      <c r="Q741" s="107"/>
      <c r="R741" s="107"/>
      <c r="S741" s="107"/>
      <c r="T741" s="465" cm="1" t="str">
        <f t="array" ref="T741:T741">T740</f>
        <v>true</v>
      </c>
      <c r="U741" s="107"/>
      <c r="V741" s="107"/>
      <c r="W741" s="107"/>
      <c r="X741" s="1596"/>
      <c r="Y741" s="1278"/>
      <c r="Z741" s="1546"/>
      <c r="AA741" s="1278"/>
      <c r="AB741" s="300" t="str">
        <f>D741&amp;".3"</f>
        <v>13.3</v>
      </c>
      <c r="AC741" s="1111" t="s">
        <v>2587</v>
      </c>
      <c r="AD741" s="300" t="s">
        <v>1247</v>
      </c>
      <c r="AE741" s="1113">
        <f>AE738-AE739</f>
        <v>0</v>
      </c>
      <c r="AF741" s="1113">
        <f>AF738-AF739</f>
        <v>0</v>
      </c>
      <c r="AG741" s="1113">
        <f>AG738-AG739</f>
        <v>0</v>
      </c>
      <c r="AH741" s="1113">
        <f>AG741-AF741</f>
        <v>0</v>
      </c>
      <c r="AI741" s="1113">
        <f>AI738-AI739</f>
        <v>0</v>
      </c>
      <c r="AJ741" s="1113">
        <f>AJ738-AJ739</f>
        <v>192.19311</v>
      </c>
      <c r="AK741" s="1113">
        <f>AK738-AK739</f>
        <v>384.38622</v>
      </c>
      <c r="AL741" s="1113">
        <f>AL738-AL739</f>
        <v>384.38622</v>
      </c>
      <c r="AM741" s="1113">
        <f>AM738-AM739</f>
        <v>384.38622</v>
      </c>
      <c r="AN741" s="1113">
        <f>AN738-AN739</f>
        <v>384.38622</v>
      </c>
      <c r="AO741" s="1113">
        <f>AO738-AO739</f>
        <v>0</v>
      </c>
      <c r="AP741" s="1113">
        <f>AP738-AP739</f>
        <v>0</v>
      </c>
      <c r="AQ741" s="1113">
        <f>AQ738-AQ739</f>
        <v>0</v>
      </c>
      <c r="AR741" s="1113">
        <f>AR738-AR739</f>
        <v>0</v>
      </c>
      <c r="AS741" s="1113">
        <f>AS738-AS739</f>
        <v>0</v>
      </c>
      <c r="AT741" s="1113">
        <f>AT738-AT739</f>
        <v>192.19311</v>
      </c>
      <c r="AU741" s="1113">
        <f>AU738-AU739</f>
        <v>384.38622</v>
      </c>
      <c r="AV741" s="1113">
        <f>AV738-AV739</f>
        <v>384.38622</v>
      </c>
      <c r="AW741" s="1113">
        <f>AW738-AW739</f>
        <v>384.38622</v>
      </c>
      <c r="AX741" s="1113">
        <f>AX738-AX739</f>
        <v>384.38622</v>
      </c>
      <c r="AY741" s="1113">
        <f>AY738-AY739</f>
        <v>0</v>
      </c>
      <c r="AZ741" s="1113">
        <f>AZ738-AZ739</f>
        <v>0</v>
      </c>
      <c r="BA741" s="1113">
        <f>BA738-BA739</f>
        <v>0</v>
      </c>
      <c r="BB741" s="1113">
        <f>BB738-BB739</f>
        <v>0</v>
      </c>
      <c r="BC741" s="1113">
        <f>BC738-BC739</f>
        <v>0</v>
      </c>
      <c r="BD741" s="1115"/>
      <c r="BE741" s="1115"/>
      <c r="BF741" s="1115"/>
      <c r="BG741" s="1115"/>
      <c r="BH741" s="1115"/>
      <c r="BI741" s="1115"/>
      <c r="BJ741" s="1115"/>
      <c r="BK741" s="1115"/>
      <c r="BL741" s="1115"/>
      <c r="BM741" s="1115"/>
      <c r="BN741" s="7433"/>
      <c r="BO741" s="7433"/>
      <c r="BP741" s="7433"/>
      <c r="BQ741" s="1278"/>
      <c r="BR741" s="1278"/>
      <c r="BS741" s="1062" t="s">
        <v>2617</v>
      </c>
      <c r="BT741" s="1064"/>
      <c r="BU741" s="1064"/>
      <c r="BV741" s="979"/>
      <c r="BW741" s="979"/>
    </row>
    <row s="1834" customFormat="1" customHeight="1" ht="14.25">
      <c r="A742" s="1278"/>
      <c r="B742" s="978"/>
      <c r="C742" s="107"/>
      <c r="D742" s="107" cm="1" t="str">
        <f t="array" ref="D742:D742">D741</f>
        <v>13</v>
      </c>
      <c r="E742" s="621">
        <v>15</v>
      </c>
      <c r="F742" s="50" cm="1" t="str">
        <f t="array" ref="F742:F742">OFFSET(E742,-1,1)</f>
        <v>4</v>
      </c>
      <c r="G742" s="107" t="s">
        <v>2353</v>
      </c>
      <c r="H742" s="107"/>
      <c r="I742" s="107" t="s">
        <v>2910</v>
      </c>
      <c r="J742" s="107"/>
      <c r="K742" s="107" t="s">
        <v>2910</v>
      </c>
      <c r="L742" s="980" t="s">
        <v>2618</v>
      </c>
      <c r="M742" s="107"/>
      <c r="N742" s="107"/>
      <c r="O742" s="107"/>
      <c r="P742" s="107"/>
      <c r="Q742" s="107"/>
      <c r="R742" s="107"/>
      <c r="S742" s="107"/>
      <c r="T742" s="465" cm="1" t="str">
        <f t="array" ref="T742:T742">T741</f>
        <v>true</v>
      </c>
      <c r="U742" s="107"/>
      <c r="V742" s="107"/>
      <c r="W742" s="107"/>
      <c r="X742" s="1596"/>
      <c r="Y742" s="1278"/>
      <c r="Z742" s="1546"/>
      <c r="AA742" s="1278"/>
      <c r="AB742" s="300" t="str">
        <f>D742&amp;".4"</f>
        <v>13.4</v>
      </c>
      <c r="AC742" s="1111" t="s">
        <v>2591</v>
      </c>
      <c r="AD742" s="300" t="s">
        <v>2337</v>
      </c>
      <c r="AE742" s="3946">
        <f>IF(AE738=0,0,AE734*(1+Сценарии!AE$26/100))</f>
        <v>0</v>
      </c>
      <c r="AF742" s="7501">
        <f>IF(AF738=0,0,AF734*(1+Сценарии!AF$26/100))</f>
        <v>0</v>
      </c>
      <c r="AG742" s="7501">
        <f>IF(AG738=0,0,AG734*(1+Сценарии!AG$26/100))</f>
        <v>0</v>
      </c>
      <c r="AH742" s="1114">
        <f>AG742-AF742</f>
        <v>0</v>
      </c>
      <c r="AI742" s="3946">
        <f>IF(AI738=0,0,AI734*(1+Сценарии!AI$26/100))</f>
        <v>0</v>
      </c>
      <c r="AJ742" s="7501">
        <f>IF(AJ738=0,0,AJ734*(1+Сценарии!AJ$26/100))</f>
        <v>163.004201009598</v>
      </c>
      <c r="AK742" s="3946">
        <f>IF(AK738=0,0,AK734*(1+Сценарии!AO$26/100))</f>
        <v>168.359999458348</v>
      </c>
      <c r="AL742" s="7501">
        <f>IF(AL738=0,0,AL734*(1+Сценарии!AP$26/100))</f>
        <v>171.410007113461</v>
      </c>
      <c r="AM742" s="7501">
        <f>IF(AM738=0,0,AM734*(1+Сценарии!AQ$26/100))</f>
        <v>176.07040164883</v>
      </c>
      <c r="AN742" s="7501">
        <f>IF(AN738=0,0,AN734*(1+Сценарии!AR$26/100))</f>
        <v>184.112076270417</v>
      </c>
      <c r="AO742" s="1262">
        <f>IF(AO738=0,0,AO734*(1+Сценарии!AS$26/100))</f>
        <v>0</v>
      </c>
      <c r="AP742" s="1262">
        <f>IF(AP738=0,0,AP734*(1+Сценарии!AT$26/100))</f>
        <v>0</v>
      </c>
      <c r="AQ742" s="1262">
        <f>IF(AQ738=0,0,AQ734*(1+Сценарии!AU$26/100))</f>
        <v>0</v>
      </c>
      <c r="AR742" s="1262">
        <f>IF(AR738=0,0,AR734*(1+Сценарии!AV$26/100))</f>
        <v>0</v>
      </c>
      <c r="AS742" s="1262">
        <f>IF(AS738=0,0,AS734*(1+Сценарии!AW$26/100))</f>
        <v>0</v>
      </c>
      <c r="AT742" s="3946">
        <f>IF(AT738=0,0,AT734*(1+Сценарии!AK$26/100))</f>
        <v>163.004199581447</v>
      </c>
      <c r="AU742" s="3946">
        <f>IF(AU738=0,0,AU734*(1+Сценарии!AX$26/100))</f>
        <v>168.359996782576</v>
      </c>
      <c r="AV742" s="7501">
        <f>IF(AV738=0,0,AV734*(1+Сценарии!AY$26/100))</f>
        <v>171.410003190137</v>
      </c>
      <c r="AW742" s="7501">
        <f>IF(AW738=0,0,AW734*(1+Сценарии!AZ$26/100))</f>
        <v>176.070396792519</v>
      </c>
      <c r="AX742" s="7501">
        <f>IF(AX738=0,0,AX734*(1+Сценарии!BA$26/100))</f>
        <v>184.112082810247</v>
      </c>
      <c r="AY742" s="1262">
        <f>IF(AY738=0,0,AY734*(1+Сценарии!BB$26/100))</f>
        <v>0</v>
      </c>
      <c r="AZ742" s="1262">
        <f>IF(AZ738=0,0,AZ734*(1+Сценарии!BC$26/100))</f>
        <v>0</v>
      </c>
      <c r="BA742" s="1262">
        <f>IF(BA738=0,0,BA734*(1+Сценарии!BD$26/100))</f>
        <v>0</v>
      </c>
      <c r="BB742" s="1262">
        <f>IF(BB738=0,0,BB734*(1+Сценарии!BE$26/100))</f>
        <v>0</v>
      </c>
      <c r="BC742" s="1262">
        <f>IF(BC738=0,0,BC734*(1+Сценарии!BF$26/100))</f>
        <v>0</v>
      </c>
      <c r="BD742" s="1115"/>
      <c r="BE742" s="1115"/>
      <c r="BF742" s="1115"/>
      <c r="BG742" s="1115"/>
      <c r="BH742" s="1115"/>
      <c r="BI742" s="1115"/>
      <c r="BJ742" s="1115"/>
      <c r="BK742" s="1115"/>
      <c r="BL742" s="1115"/>
      <c r="BM742" s="1115"/>
      <c r="BN742" s="7433"/>
      <c r="BO742" s="7433"/>
      <c r="BP742" s="7433"/>
      <c r="BQ742" s="1278"/>
      <c r="BR742" s="1278"/>
      <c r="BS742" s="1062" t="s">
        <v>2621</v>
      </c>
      <c r="BT742" s="1064"/>
      <c r="BU742" s="1064"/>
      <c r="BV742" s="979"/>
      <c r="BW742" s="979"/>
    </row>
    <row s="1834" customFormat="1" customHeight="1" ht="14.25">
      <c r="A743" s="1278"/>
      <c r="B743" s="978"/>
      <c r="C743" s="107"/>
      <c r="D743" s="107">
        <f>D742+1</f>
        <v>14</v>
      </c>
      <c r="E743" s="621">
        <v>15</v>
      </c>
      <c r="F743" s="50" cm="1" t="str">
        <f t="array" ref="F743:F743">OFFSET(E743,-1,1)</f>
        <v>4</v>
      </c>
      <c r="G743" s="107"/>
      <c r="H743" s="107"/>
      <c r="I743" s="107"/>
      <c r="J743" s="107"/>
      <c r="K743" s="107"/>
      <c r="L743" s="980"/>
      <c r="M743" s="107"/>
      <c r="N743" s="107"/>
      <c r="O743" s="107"/>
      <c r="P743" s="107"/>
      <c r="Q743" s="107"/>
      <c r="R743" s="107"/>
      <c r="S743" s="107"/>
      <c r="T743" s="465" cm="1" t="str">
        <f t="array" ref="T743:T743">T742</f>
        <v>true</v>
      </c>
      <c r="U743" s="107"/>
      <c r="V743" s="107"/>
      <c r="W743" s="107"/>
      <c r="X743" s="1596"/>
      <c r="Y743" s="1278"/>
      <c r="Z743" s="1546"/>
      <c r="AA743" s="1278"/>
      <c r="AB743" s="211" cm="1" t="str">
        <f t="array" ref="AB743:AB743">D743</f>
        <v>14</v>
      </c>
      <c r="AC743" s="212" t="s">
        <v>2622</v>
      </c>
      <c r="AD743" s="211" t="s">
        <v>1514</v>
      </c>
      <c r="AE743" s="3946"/>
      <c r="AF743" s="3946"/>
      <c r="AG743" s="3946"/>
      <c r="AH743" s="1114">
        <f>AG743-AF743</f>
        <v>0</v>
      </c>
      <c r="AI743" s="3946"/>
      <c r="AJ743" s="3946"/>
      <c r="AK743" s="3946"/>
      <c r="AL743" s="3946"/>
      <c r="AM743" s="3946"/>
      <c r="AN743" s="3946"/>
      <c r="AO743" s="1241"/>
      <c r="AP743" s="1241"/>
      <c r="AQ743" s="1241"/>
      <c r="AR743" s="1241"/>
      <c r="AS743" s="1241"/>
      <c r="AT743" s="3946"/>
      <c r="AU743" s="3946"/>
      <c r="AV743" s="3946"/>
      <c r="AW743" s="3946"/>
      <c r="AX743" s="3946"/>
      <c r="AY743" s="1241"/>
      <c r="AZ743" s="1241"/>
      <c r="BA743" s="1241"/>
      <c r="BB743" s="1241"/>
      <c r="BC743" s="1241"/>
      <c r="BD743" s="1115"/>
      <c r="BE743" s="1115"/>
      <c r="BF743" s="1115"/>
      <c r="BG743" s="1115"/>
      <c r="BH743" s="1115"/>
      <c r="BI743" s="1115"/>
      <c r="BJ743" s="1115"/>
      <c r="BK743" s="1115"/>
      <c r="BL743" s="1115"/>
      <c r="BM743" s="1115"/>
      <c r="BN743" s="7433"/>
      <c r="BO743" s="7433"/>
      <c r="BP743" s="7433"/>
      <c r="BQ743" s="1278"/>
      <c r="BR743" s="1278"/>
      <c r="BS743" s="1062" t="s">
        <v>2623</v>
      </c>
      <c r="BT743" s="1064"/>
      <c r="BU743" s="1064"/>
      <c r="BV743" s="979"/>
      <c r="BW743" s="979"/>
    </row>
    <row s="1233" customFormat="1" customHeight="1" ht="20.25">
      <c r="A744" s="1233"/>
      <c r="B744" s="753"/>
      <c r="C744" s="107"/>
      <c r="D744" s="107" cm="1" t="str">
        <f t="array" ref="D744:D744">D743</f>
        <v>14</v>
      </c>
      <c r="E744" s="621">
        <v>21</v>
      </c>
      <c r="F744" s="50" cm="1" t="str">
        <f t="array" ref="F744:F744">OFFSET(E744,-1,1)</f>
        <v>4</v>
      </c>
      <c r="G744" s="107"/>
      <c r="H744" s="107"/>
      <c r="I744" s="107"/>
      <c r="J744" s="107"/>
      <c r="K744" s="107"/>
      <c r="L744" s="980"/>
      <c r="M744" s="107"/>
      <c r="N744" s="107"/>
      <c r="O744" s="107"/>
      <c r="P744" s="107"/>
      <c r="Q744" s="107"/>
      <c r="R744" s="107"/>
      <c r="S744" s="107"/>
      <c r="T744" s="465" cm="1" t="str">
        <f t="array" ref="T744:T744">T743</f>
        <v>true</v>
      </c>
      <c r="U744" s="107"/>
      <c r="V744" s="107"/>
      <c r="W744" s="107"/>
      <c r="X744" s="1596"/>
      <c r="Y744" s="1233"/>
      <c r="Z744" s="1546"/>
      <c r="AA744" s="1233"/>
      <c r="AB744" s="300" t="str">
        <f>D744&amp;".1"</f>
        <v>14.1</v>
      </c>
      <c r="AC744" s="762" t="s">
        <v>2625</v>
      </c>
      <c r="AD744" s="300" t="s">
        <v>1514</v>
      </c>
      <c r="AE744" s="3946"/>
      <c r="AF744" s="3946"/>
      <c r="AG744" s="3946"/>
      <c r="AH744" s="1114">
        <f>AG744-AF744</f>
        <v>0</v>
      </c>
      <c r="AI744" s="3946"/>
      <c r="AJ744" s="3946"/>
      <c r="AK744" s="3946"/>
      <c r="AL744" s="3946"/>
      <c r="AM744" s="3946"/>
      <c r="AN744" s="3946"/>
      <c r="AO744" s="1241"/>
      <c r="AP744" s="1241"/>
      <c r="AQ744" s="1241"/>
      <c r="AR744" s="1241"/>
      <c r="AS744" s="1241"/>
      <c r="AT744" s="3946"/>
      <c r="AU744" s="3946"/>
      <c r="AV744" s="3946"/>
      <c r="AW744" s="3946"/>
      <c r="AX744" s="3946"/>
      <c r="AY744" s="1241"/>
      <c r="AZ744" s="1241"/>
      <c r="BA744" s="1241"/>
      <c r="BB744" s="1241"/>
      <c r="BC744" s="1241"/>
      <c r="BD744" s="1115"/>
      <c r="BE744" s="1115"/>
      <c r="BF744" s="1115"/>
      <c r="BG744" s="1115"/>
      <c r="BH744" s="1115"/>
      <c r="BI744" s="1115"/>
      <c r="BJ744" s="1115"/>
      <c r="BK744" s="1115"/>
      <c r="BL744" s="1115"/>
      <c r="BM744" s="1115"/>
      <c r="BN744" s="7433"/>
      <c r="BO744" s="7433"/>
      <c r="BP744" s="7433"/>
      <c r="BQ744" s="1233"/>
      <c r="BR744" s="1233"/>
      <c r="BS744" s="1062" t="s">
        <v>2626</v>
      </c>
      <c r="BT744" s="1071"/>
      <c r="BU744" s="1071"/>
      <c r="BV744" s="1072"/>
      <c r="BW744" s="1072"/>
    </row>
    <row s="1233" customFormat="1" customHeight="1" ht="64.5">
      <c r="A745" s="1233"/>
      <c r="B745" s="753"/>
      <c r="C745" s="107"/>
      <c r="D745" s="107" cm="1" t="str">
        <f t="array" ref="D745:D745">D744</f>
        <v>14</v>
      </c>
      <c r="E745" s="621">
        <v>66.6</v>
      </c>
      <c r="F745" s="50" cm="1" t="str">
        <f t="array" ref="F745:F745">OFFSET(E745,-1,1)</f>
        <v>4</v>
      </c>
      <c r="G745" s="107"/>
      <c r="H745" s="107"/>
      <c r="I745" s="107"/>
      <c r="J745" s="107"/>
      <c r="K745" s="107"/>
      <c r="L745" s="980"/>
      <c r="M745" s="107"/>
      <c r="N745" s="107"/>
      <c r="O745" s="107"/>
      <c r="P745" s="107"/>
      <c r="Q745" s="107"/>
      <c r="R745" s="107"/>
      <c r="S745" s="107"/>
      <c r="T745" s="465" cm="1" t="str">
        <f t="array" ref="T745:T745">T744</f>
        <v>true</v>
      </c>
      <c r="U745" s="107"/>
      <c r="V745" s="107"/>
      <c r="W745" s="107"/>
      <c r="X745" s="1596"/>
      <c r="Y745" s="1233"/>
      <c r="Z745" s="1546"/>
      <c r="AA745" s="1233"/>
      <c r="AB745" s="300" t="str">
        <f>D745&amp;".2"</f>
        <v>14.2</v>
      </c>
      <c r="AC745" s="762" t="s">
        <v>2628</v>
      </c>
      <c r="AD745" s="300" t="s">
        <v>1514</v>
      </c>
      <c r="AE745" s="3946"/>
      <c r="AF745" s="3946"/>
      <c r="AG745" s="3946"/>
      <c r="AH745" s="1114">
        <f>AG745-AF745</f>
        <v>0</v>
      </c>
      <c r="AI745" s="3946"/>
      <c r="AJ745" s="3946"/>
      <c r="AK745" s="3946"/>
      <c r="AL745" s="3946"/>
      <c r="AM745" s="3946"/>
      <c r="AN745" s="3946"/>
      <c r="AO745" s="1241"/>
      <c r="AP745" s="1241"/>
      <c r="AQ745" s="1241"/>
      <c r="AR745" s="1241"/>
      <c r="AS745" s="1241"/>
      <c r="AT745" s="3946"/>
      <c r="AU745" s="3946"/>
      <c r="AV745" s="3946"/>
      <c r="AW745" s="3946"/>
      <c r="AX745" s="3946"/>
      <c r="AY745" s="1241"/>
      <c r="AZ745" s="1241"/>
      <c r="BA745" s="1241"/>
      <c r="BB745" s="1241"/>
      <c r="BC745" s="1241"/>
      <c r="BD745" s="1115"/>
      <c r="BE745" s="1115"/>
      <c r="BF745" s="1115"/>
      <c r="BG745" s="1115"/>
      <c r="BH745" s="1115"/>
      <c r="BI745" s="1115"/>
      <c r="BJ745" s="1115"/>
      <c r="BK745" s="1115"/>
      <c r="BL745" s="1115"/>
      <c r="BM745" s="1115"/>
      <c r="BN745" s="7433"/>
      <c r="BO745" s="7433"/>
      <c r="BP745" s="7433"/>
      <c r="BQ745" s="1233"/>
      <c r="BR745" s="1233"/>
      <c r="BS745" s="1062" t="s">
        <v>2629</v>
      </c>
      <c r="BT745" s="1071"/>
      <c r="BU745" s="1071"/>
      <c r="BV745" s="1072"/>
      <c r="BW745" s="1072"/>
    </row>
    <row s="1233" customFormat="1" customHeight="1" ht="44.25">
      <c r="A746" s="1233"/>
      <c r="B746" s="753"/>
      <c r="C746" s="107"/>
      <c r="D746" s="107" cm="1" t="str">
        <f t="array" ref="D746:D746">D745</f>
        <v>14</v>
      </c>
      <c r="E746" s="621">
        <v>45.6</v>
      </c>
      <c r="F746" s="50" cm="1" t="str">
        <f t="array" ref="F746:F746">OFFSET(E746,-1,1)</f>
        <v>4</v>
      </c>
      <c r="G746" s="107"/>
      <c r="H746" s="107"/>
      <c r="I746" s="107"/>
      <c r="J746" s="107"/>
      <c r="K746" s="107"/>
      <c r="L746" s="980"/>
      <c r="M746" s="107"/>
      <c r="N746" s="107"/>
      <c r="O746" s="107"/>
      <c r="P746" s="107"/>
      <c r="Q746" s="107"/>
      <c r="R746" s="107"/>
      <c r="S746" s="107"/>
      <c r="T746" s="465" cm="1" t="str">
        <f t="array" ref="T746:T746">T745</f>
        <v>true</v>
      </c>
      <c r="U746" s="107"/>
      <c r="V746" s="107"/>
      <c r="W746" s="107"/>
      <c r="X746" s="1596"/>
      <c r="Y746" s="1233"/>
      <c r="Z746" s="1546"/>
      <c r="AA746" s="1233"/>
      <c r="AB746" s="300" t="str">
        <f>D746&amp;".3"</f>
        <v>14.3</v>
      </c>
      <c r="AC746" s="762" t="s">
        <v>2911</v>
      </c>
      <c r="AD746" s="300" t="s">
        <v>1514</v>
      </c>
      <c r="AE746" s="1115"/>
      <c r="AF746" s="3946"/>
      <c r="AG746" s="3946"/>
      <c r="AH746" s="1114">
        <f>AG746-AF746</f>
        <v>0</v>
      </c>
      <c r="AI746" s="1115"/>
      <c r="AJ746" s="1115"/>
      <c r="AK746" s="1115"/>
      <c r="AL746" s="1115"/>
      <c r="AM746" s="1115"/>
      <c r="AN746" s="1115"/>
      <c r="AO746" s="1115"/>
      <c r="AP746" s="1115"/>
      <c r="AQ746" s="1115"/>
      <c r="AR746" s="1115"/>
      <c r="AS746" s="1115"/>
      <c r="AT746" s="1115"/>
      <c r="AU746" s="1115"/>
      <c r="AV746" s="1115"/>
      <c r="AW746" s="1115"/>
      <c r="AX746" s="1115"/>
      <c r="AY746" s="1115"/>
      <c r="AZ746" s="1115"/>
      <c r="BA746" s="1115"/>
      <c r="BB746" s="1115"/>
      <c r="BC746" s="1115"/>
      <c r="BD746" s="1115"/>
      <c r="BE746" s="1115"/>
      <c r="BF746" s="1115"/>
      <c r="BG746" s="1115"/>
      <c r="BH746" s="1115"/>
      <c r="BI746" s="1115"/>
      <c r="BJ746" s="1115"/>
      <c r="BK746" s="1115"/>
      <c r="BL746" s="1115"/>
      <c r="BM746" s="1115"/>
      <c r="BN746" s="7433"/>
      <c r="BO746" s="7433"/>
      <c r="BP746" s="7433"/>
      <c r="BQ746" s="1233"/>
      <c r="BR746" s="1233"/>
      <c r="BS746" s="1071" t="s">
        <v>2912</v>
      </c>
      <c r="BT746" s="1071"/>
      <c r="BU746" s="1071"/>
      <c r="BV746" s="1072"/>
      <c r="BW746" s="1072"/>
    </row>
    <row s="1834" customFormat="1" customHeight="1" ht="10.96875">
      <c r="B747" s="430"/>
      <c r="C747" s="0"/>
      <c r="D747" s="0"/>
      <c r="E747" s="671">
        <v>11.25</v>
      </c>
      <c r="F747" s="85"/>
      <c r="G747" s="0"/>
      <c r="H747" s="0"/>
      <c r="I747" s="0"/>
      <c r="J747" s="0"/>
      <c r="K747" s="0"/>
      <c r="L747" s="0"/>
      <c r="M747" s="0"/>
      <c r="N747" s="0"/>
      <c r="O747" s="0"/>
      <c r="P747" s="0"/>
      <c r="Q747" s="0"/>
      <c r="R747" s="0"/>
      <c r="S747" s="0"/>
      <c r="T747" s="0"/>
      <c r="U747" s="0" t="s">
        <v>178</v>
      </c>
      <c r="V747" s="828" t="s">
        <v>2945</v>
      </c>
      <c r="W747" s="0"/>
      <c r="X747" s="0"/>
      <c r="AB747" s="499"/>
      <c r="AC747" s="100"/>
      <c r="AD747" s="100"/>
      <c r="AE747" s="1108"/>
      <c r="AF747" s="1108"/>
      <c r="AG747" s="0"/>
      <c r="AH747" s="0"/>
      <c r="AI747" s="0"/>
      <c r="AJ747" s="47"/>
      <c r="AK747" s="47"/>
      <c r="AL747" s="47"/>
      <c r="AM747" s="47"/>
      <c r="AN747" s="47"/>
      <c r="AO747" s="47"/>
      <c r="AP747" s="47"/>
      <c r="AQ747" s="47"/>
      <c r="AR747" s="47"/>
      <c r="AS747" s="47"/>
      <c r="AT747" s="47"/>
      <c r="AU747" s="47"/>
      <c r="AV747" s="47"/>
      <c r="AW747" s="47"/>
      <c r="AX747" s="47"/>
      <c r="AY747" s="47"/>
      <c r="AZ747" s="47"/>
      <c r="BA747" s="47"/>
      <c r="BB747" s="47"/>
      <c r="BC747" s="47"/>
      <c r="BD747" s="47"/>
      <c r="BE747" s="47"/>
      <c r="BF747" s="47"/>
      <c r="BG747" s="47"/>
      <c r="BH747" s="47"/>
      <c r="BI747" s="47"/>
      <c r="BJ747" s="47"/>
      <c r="BK747" s="47"/>
      <c r="BL747" s="47"/>
      <c r="BM747" s="47"/>
      <c r="BN747" s="0"/>
      <c r="BO747" s="0"/>
      <c r="BP747" s="0"/>
      <c r="BS747" s="1004"/>
      <c r="BT747" s="1004"/>
      <c r="BU747" s="1004"/>
      <c r="BV747" s="624"/>
      <c r="BW747" s="624"/>
    </row>
    <row customHeight="1" ht="14.625">
      <c r="C748" s="107"/>
      <c r="D748" s="107"/>
      <c r="E748" s="621">
        <v>15</v>
      </c>
      <c r="F748" s="107"/>
      <c r="G748" s="107"/>
      <c r="H748" s="107"/>
      <c r="I748" s="107"/>
      <c r="J748" s="107"/>
      <c r="K748" s="107"/>
      <c r="L748" s="980"/>
      <c r="M748" s="107"/>
      <c r="N748" s="107"/>
      <c r="O748" s="107"/>
      <c r="P748" s="107"/>
      <c r="Q748" s="107"/>
      <c r="R748" s="107"/>
      <c r="S748" s="107"/>
      <c r="T748" s="107"/>
      <c r="U748" s="107"/>
      <c r="V748" s="107"/>
      <c r="W748" s="107"/>
      <c r="X748" s="107"/>
      <c r="AB748" s="1577" t="s">
        <v>407</v>
      </c>
      <c r="AC748" s="1577"/>
      <c r="AD748" s="1577"/>
      <c r="AE748" s="1577"/>
      <c r="AF748" s="1577"/>
      <c r="AG748" s="1577"/>
      <c r="AH748" s="1577"/>
      <c r="AI748" s="1577"/>
      <c r="AJ748" s="1577"/>
      <c r="AK748" s="1577"/>
      <c r="AL748" s="1577"/>
      <c r="AM748" s="1577"/>
      <c r="AN748" s="1577"/>
      <c r="AO748" s="1577"/>
      <c r="AP748" s="1577"/>
      <c r="AQ748" s="1577"/>
      <c r="AR748" s="1577"/>
      <c r="AS748" s="1577"/>
      <c r="AT748" s="1577"/>
      <c r="AU748" s="1577"/>
      <c r="AV748" s="1577"/>
      <c r="AW748" s="1577"/>
      <c r="AX748" s="1577"/>
      <c r="AY748" s="1577"/>
      <c r="AZ748" s="1577"/>
      <c r="BA748" s="1577"/>
      <c r="BB748" s="1577"/>
      <c r="BC748" s="1577"/>
      <c r="BD748" s="1577"/>
      <c r="BE748" s="1577"/>
      <c r="BF748" s="1577"/>
      <c r="BG748" s="1577"/>
      <c r="BH748" s="1577"/>
      <c r="BI748" s="1577"/>
      <c r="BJ748" s="1577"/>
      <c r="BK748" s="1577"/>
      <c r="BL748" s="1577"/>
      <c r="BM748" s="1577"/>
      <c r="BN748" s="1577"/>
      <c r="BO748" s="1577"/>
      <c r="BP748" s="1577"/>
    </row>
    <row customHeight="1" ht="24">
      <c r="E749" s="703">
        <v>15</v>
      </c>
      <c r="AA749" s="173"/>
      <c r="AB749" s="1628" t="s">
        <v>1231</v>
      </c>
      <c r="AC749" s="1629"/>
      <c r="AD749" s="1629"/>
      <c r="AE749" s="1629"/>
      <c r="AF749" s="1629"/>
      <c r="AG749" s="1629"/>
      <c r="AH749" s="1629"/>
      <c r="AI749" s="1629"/>
      <c r="AJ749" s="1629"/>
      <c r="AK749" s="1629"/>
      <c r="AL749" s="1629"/>
      <c r="AM749" s="1629"/>
      <c r="AN749" s="1629"/>
      <c r="AO749" s="1629"/>
      <c r="AP749" s="1629"/>
      <c r="AQ749" s="1629"/>
      <c r="AR749" s="1629"/>
      <c r="AS749" s="1629"/>
      <c r="AT749" s="1629"/>
      <c r="AU749" s="1629"/>
      <c r="AV749" s="1629"/>
      <c r="AW749" s="1629"/>
      <c r="AX749" s="1629"/>
      <c r="AY749" s="1629"/>
      <c r="AZ749" s="1629"/>
      <c r="BA749" s="1629"/>
      <c r="BB749" s="1629"/>
      <c r="BC749" s="1629"/>
      <c r="BD749" s="1629"/>
      <c r="BE749" s="1629"/>
      <c r="BF749" s="1629"/>
      <c r="BG749" s="1629"/>
      <c r="BH749" s="1629"/>
      <c r="BI749" s="1629"/>
      <c r="BJ749" s="1629"/>
      <c r="BK749" s="1629"/>
      <c r="BL749" s="1629"/>
      <c r="BM749" s="1629"/>
      <c r="BN749" s="1629"/>
      <c r="BO749" s="1629"/>
      <c r="BP749" s="1629"/>
    </row>
    <row customHeight="1" ht="14.625" hidden="1">
      <c r="E750" s="703">
        <v>15</v>
      </c>
      <c r="T750" s="465">
        <f>ROW(W750)&gt;ROW(W$750)</f>
        <v>0</v>
      </c>
      <c r="W750" s="158" t="s">
        <v>174</v>
      </c>
      <c r="AA750" s="64" t="s">
        <v>175</v>
      </c>
      <c r="AB750" s="1643" t="s">
        <v>227</v>
      </c>
      <c r="AC750" s="1629"/>
      <c r="AD750" s="1629"/>
      <c r="AE750" s="1629"/>
      <c r="AF750" s="1629"/>
      <c r="AG750" s="1629"/>
      <c r="AH750" s="1629"/>
      <c r="AI750" s="1629"/>
      <c r="AJ750" s="1629"/>
      <c r="AK750" s="1629"/>
      <c r="AL750" s="1629"/>
      <c r="AM750" s="1629"/>
      <c r="AN750" s="1629"/>
      <c r="AO750" s="1629"/>
      <c r="AP750" s="1629"/>
      <c r="AQ750" s="1629"/>
      <c r="AR750" s="1629"/>
      <c r="AS750" s="1629"/>
      <c r="AT750" s="1629"/>
      <c r="AU750" s="1629"/>
      <c r="AV750" s="1629"/>
      <c r="AW750" s="1629"/>
      <c r="AX750" s="1629"/>
      <c r="AY750" s="1629"/>
      <c r="AZ750" s="1629"/>
      <c r="BA750" s="1629"/>
      <c r="BB750" s="1629"/>
      <c r="BC750" s="1629"/>
      <c r="BD750" s="1629"/>
      <c r="BE750" s="1629"/>
      <c r="BF750" s="1629"/>
      <c r="BG750" s="1629"/>
      <c r="BH750" s="1629"/>
      <c r="BI750" s="1629"/>
      <c r="BJ750" s="1629"/>
      <c r="BK750" s="1629"/>
      <c r="BL750" s="1629"/>
      <c r="BM750" s="1629"/>
      <c r="BN750" s="1629"/>
      <c r="BO750" s="1629"/>
      <c r="BP750" s="1629"/>
    </row>
    <row s="1834" customFormat="1" customHeight="1" ht="73.359375">
      <c r="A751" s="1278"/>
      <c r="B751" s="978"/>
      <c r="C751" s="1278"/>
      <c r="D751" s="1278"/>
      <c r="E751" s="703">
        <v>15</v>
      </c>
      <c r="F751" s="1278"/>
      <c r="G751" s="1278"/>
      <c r="H751" s="1278"/>
      <c r="I751" s="1278"/>
      <c r="J751" s="1278"/>
      <c r="K751" s="1278"/>
      <c r="L751" s="1278"/>
      <c r="M751" s="1278"/>
      <c r="N751" s="1278"/>
      <c r="O751" s="1278"/>
      <c r="P751" s="1278"/>
      <c r="Q751" s="1278"/>
      <c r="R751" s="1278"/>
      <c r="S751" s="1278"/>
      <c r="T751" s="465">
        <f>ROW(W751)&gt;ROW(W$750)</f>
        <v>1</v>
      </c>
      <c r="U751" s="1278"/>
      <c r="V751" s="1278"/>
      <c r="W751" s="158"/>
      <c r="X751" s="1278"/>
      <c r="Y751" s="1278" t="s">
        <v>227</v>
      </c>
      <c r="Z751" s="1278"/>
      <c r="AA751" s="64" t="s">
        <v>175</v>
      </c>
      <c r="AB751" s="7677" t="s">
        <v>2946</v>
      </c>
      <c r="AC751" s="1629"/>
      <c r="AD751" s="1629"/>
      <c r="AE751" s="1629"/>
      <c r="AF751" s="1629"/>
      <c r="AG751" s="1629"/>
      <c r="AH751" s="1629"/>
      <c r="AI751" s="1629"/>
      <c r="AJ751" s="1629"/>
      <c r="AK751" s="1629"/>
      <c r="AL751" s="1629"/>
      <c r="AM751" s="1629"/>
      <c r="AN751" s="1629"/>
      <c r="AO751" s="1629"/>
      <c r="AP751" s="1629"/>
      <c r="AQ751" s="1629"/>
      <c r="AR751" s="1629"/>
      <c r="AS751" s="1629"/>
      <c r="AT751" s="1629"/>
      <c r="AU751" s="1629"/>
      <c r="AV751" s="1629"/>
      <c r="AW751" s="1629"/>
      <c r="AX751" s="1629"/>
      <c r="AY751" s="1629"/>
      <c r="AZ751" s="1629"/>
      <c r="BA751" s="1629"/>
      <c r="BB751" s="1629"/>
      <c r="BC751" s="1629"/>
      <c r="BD751" s="1629"/>
      <c r="BE751" s="1629"/>
      <c r="BF751" s="1629"/>
      <c r="BG751" s="1629"/>
      <c r="BH751" s="1629"/>
      <c r="BI751" s="1629"/>
      <c r="BJ751" s="1629"/>
      <c r="BK751" s="1629"/>
      <c r="BL751" s="1629"/>
      <c r="BM751" s="1629"/>
      <c r="BN751" s="1629"/>
      <c r="BO751" s="1629"/>
      <c r="BP751" s="1629"/>
      <c r="BQ751" s="1278"/>
      <c r="BR751" s="1278"/>
      <c r="BS751" s="1064"/>
      <c r="BT751" s="1064"/>
      <c r="BU751" s="1064"/>
      <c r="BV751" s="979"/>
      <c r="BW751" s="979"/>
    </row>
    <row customHeight="1" ht="14.625">
      <c r="E752" s="703">
        <v>15</v>
      </c>
      <c r="W752" s="829" t="s">
        <v>408</v>
      </c>
      <c r="AB752" s="682"/>
      <c r="AC752" s="514" t="s">
        <v>409</v>
      </c>
      <c r="AD752" s="310"/>
      <c r="AE752" s="310"/>
      <c r="AF752" s="310"/>
      <c r="AG752" s="310"/>
      <c r="AH752" s="310"/>
      <c r="AI752" s="310"/>
      <c r="AJ752" s="310"/>
      <c r="AK752" s="310"/>
      <c r="AL752" s="310"/>
      <c r="AM752" s="310"/>
      <c r="AN752" s="310"/>
      <c r="AO752" s="310"/>
      <c r="AP752" s="310"/>
      <c r="AQ752" s="310"/>
      <c r="AR752" s="310"/>
      <c r="AS752" s="310"/>
      <c r="AT752" s="310"/>
      <c r="AU752" s="310"/>
      <c r="AV752" s="310"/>
      <c r="AW752" s="310"/>
      <c r="AX752" s="310"/>
      <c r="AY752" s="310"/>
      <c r="AZ752" s="310"/>
      <c r="BA752" s="310"/>
      <c r="BB752" s="310"/>
      <c r="BC752" s="310"/>
      <c r="BD752" s="310"/>
      <c r="BE752" s="310"/>
      <c r="BF752" s="310"/>
      <c r="BG752" s="310"/>
      <c r="BH752" s="310"/>
      <c r="BI752" s="310"/>
      <c r="BJ752" s="310"/>
      <c r="BK752" s="310"/>
      <c r="BL752" s="310"/>
      <c r="BM752" s="310"/>
      <c r="BN752" s="310"/>
      <c r="BO752" s="310"/>
      <c r="BP752" s="275"/>
    </row>
    <row customHeight="1" ht="10.96875">
      <c r="E753" s="703">
        <v>11.25</v>
      </c>
      <c r="AJ753" s="1278"/>
      <c r="AK753" s="1278"/>
      <c r="AL753" s="1278"/>
      <c r="AM753" s="1278"/>
      <c r="AN753" s="1278"/>
      <c r="AO753" s="1278"/>
      <c r="AP753" s="1278"/>
      <c r="AQ753" s="1278"/>
      <c r="AR753" s="1278"/>
      <c r="AS753" s="1278"/>
      <c r="AT753" s="1278"/>
      <c r="AU753" s="1278"/>
      <c r="AV753" s="1278"/>
      <c r="AW753" s="1278"/>
      <c r="AX753" s="1278"/>
      <c r="AY753" s="1278"/>
      <c r="AZ753" s="1278"/>
      <c r="BA753" s="1278"/>
      <c r="BB753" s="1278"/>
      <c r="BC753" s="1278"/>
      <c r="BD753" s="1278"/>
      <c r="BE753" s="1278"/>
      <c r="BF753" s="1278"/>
      <c r="BG753" s="1278"/>
      <c r="BH753" s="1278"/>
      <c r="BI753" s="1278"/>
      <c r="BJ753" s="1278"/>
      <c r="BK753" s="1278"/>
      <c r="BL753" s="1278"/>
      <c r="BM753" s="1278"/>
      <c r="BQ753" s="426"/>
    </row>
  </sheetData>
  <sheetProtection formatColumns="0" formatRows="0" insertRows="0" deleteColumns="0" deleteRows="0" sort="0" autoFilter="0" insertColumns="1"/>
  <mergeCells count="21">
    <mergeCell ref="X27:X170"/>
    <mergeCell ref="Z27:Z170"/>
    <mergeCell ref="AB750:BP750"/>
    <mergeCell ref="AB749:BP749"/>
    <mergeCell ref="BP24:BP25"/>
    <mergeCell ref="BN24:BN25"/>
    <mergeCell ref="BO24:BO25"/>
    <mergeCell ref="AB748:BP748"/>
    <mergeCell ref="AB24:AB25"/>
    <mergeCell ref="AC24:AC25"/>
    <mergeCell ref="AD24:AD25"/>
    <mergeCell ref="BD25:BM25"/>
    <mergeCell ref="X171:X314"/>
    <mergeCell ref="Z171:Z314"/>
    <mergeCell ref="X315:X458"/>
    <mergeCell ref="Z315:Z458"/>
    <mergeCell ref="X459:X602"/>
    <mergeCell ref="Z459:Z602"/>
    <mergeCell ref="X603:X746"/>
    <mergeCell ref="Z603:Z746"/>
    <mergeCell ref="AB751:BP751"/>
  </mergeCells>
  <dataValidations count="2">
    <dataValidation type="decimal" allowBlank="1" showErrorMessage="1" errorTitle="Ошибка" error="Допускается ввод только действительных чисел!" sqref="AE123:AG134 AI123:BC134 AE267 AF267 AG267 AI267 AJ267 AK267 AL267 AM267 AN267 AO267 AP267 AQ267 AR267 AS267 AT267 AU267 AV267 AW267 AX267 AY267 AZ267 BA267 BB267 BC267 AE268 AF268 AG268 AI268 AJ268 AK268 AL268 AM268 AN268 AO268 AP268 AQ268 AR268 AS268 AT268 AU268 AV268 AW268 AX268 AY268 AZ268 BA268 BB268 BC268 AE269 AF269 AG269 AI269 AJ269 AK269 AL269 AM269 AN269 AO269 AP269 AQ269 AR269 AS269 AT269 AU269 AV269 AW269 AX269 AY269 AZ269 BA269 BB269 BC269 AE270 AF270 AG270 AI270 AJ270 AK270 AL270 AM270 AN270 AO270 AP270 AQ270 AR270 AS270 AT270 AU270 AV270 AW270 AX270 AY270 AZ270 BA270 BB270 BC270 AE271 AF271 AG271 AI271 AJ271 AK271 AL271 AM271 AN271 AO271 AP271 AQ271 AR271 AS271 AT271 AU271 AV271 AW271 AX271 AY271 AZ271 BA271 BB271 BC271 AE272 AF272 AG272 AI272 AJ272 AK272 AL272 AM272 AN272 AO272 AP272 AQ272 AR272 AS272 AT272 AU272 AV272 AW272 AX272 AY272 AZ272 BA272 BB272 BC272 AE273 AF273 AG273 AI273 AJ273 AK273 AL273 AM273 AN273 AO273 AP273 AQ273 AR273 AS273 AT273 AU273 AV273 AW273 AX273 AY273 AZ273 BA273 BB273 BC273 AE274 AF274 AG274 AI274 AJ274 AK274 AL274 AM274 AN274 AO274 AP274 AQ274 AR274 AS274 AT274 AU274 AV274 AW274 AX274 AY274 AZ274 BA274 BB274 BC274 AE275 AF275 AG275 AI275 AJ275 AK275 AL275 AM275 AN275 AO275 AP275 AQ275 AR275 AS275 AT275 AU275 AV275 AW275 AX275 AY275 AZ275 BA275 BB275 BC275 AE276 AF276 AG276 AI276 AJ276 AK276 AL276 AM276 AN276 AO276 AP276 AQ276 AR276 AS276 AT276 AU276 AV276 AW276 AX276 AY276 AZ276 BA276 BB276 BC276 AE277 AF277 AG277 AI277 AJ277 AK277 AL277 AM277 AN277 AO277 AP277 AQ277 AR277 AS277 AT277 AU277 AV277 AW277 AX277 AY277 AZ277 BA277 BB277 BC277 AE278 AF278 AG278 AI278 AJ278 AK278 AL278 AM278 AN278 AO278 AP278 AQ278 AR278 AS278 AT278 AU278 AV278 AW278 AX278 AY278 AZ278 BA278 BB278 BC278 AE411 AF411 AG411 AI411 AJ411 AK411 AL411 AM411 AN411 AO411 AP411 AQ411 AR411 AS411 AT411 AU411 AV411 AW411 AX411 AY411 AZ411 BA411 BB411 BC411 AE412 AF412 AG412 AI412 AJ412 AK412 AL412 AM412 AN412 AO412 AP412 AQ412 AR412 AS412 AT412 AU412 AV412 AW412 AX412 AY412 AZ412 BA412 BB412 BC412 AE413 AF413 AG413 AI413 AJ413 AK413 AL413 AM413 AN413 AO413 AP413 AQ413 AR413 AS413 AT413 AU413 AV413 AW413 AX413 AY413 AZ413 BA413 BB413 BC413 AE414 AF414 AG414 AI414 AJ414 AK414 AL414 AM414 AN414 AO414 AP414 AQ414 AR414 AS414 AT414 AU414 AV414 AW414 AX414 AY414 AZ414 BA414 BB414 BC414 AE415 AF415 AG415 AI415 AJ415 AK415 AL415 AM415 AN415 AO415 AP415 AQ415 AR415 AS415 AT415 AU415 AV415 AW415 AX415 AY415 AZ415 BA415 BB415 BC415 AE416 AF416 AG416 AI416 AJ416 AK416 AL416 AM416 AN416 AO416 AP416 AQ416 AR416 AS416 AT416 AU416 AV416 AW416 AX416 AY416 AZ416 BA416 BB416 BC416 AE417 AF417 AG417 AI417 AJ417 AK417 AL417 AM417 AN417 AO417 AP417 AQ417 AR417 AS417 AT417 AU417 AV417 AW417 AX417 AY417 AZ417 BA417 BB417 BC417 AE418 AF418 AG418 AI418 AJ418 AK418 AL418 AM418 AN418 AO418 AP418 AQ418 AR418 AS418 AT418 AU418 AV418 AW418 AX418 AY418 AZ418 BA418 BB418 BC418 AE419 AF419 AG419 AI419 AJ419 AK419 AL419 AM419 AN419 AO419 AP419 AQ419 AR419 AS419 AT419 AU419 AV419 AW419 AX419 AY419 AZ419 BA419 BB419 BC419 AE420 AF420 AG420 AI420 AJ420 AK420 AL420 AM420 AN420 AO420 AP420 AQ420 AR420 AS420 AT420 AU420 AV420 AW420 AX420 AY420 AZ420 BA420 BB420 BC420 AE421 AF421 AG421 AI421 AJ421 AK421 AL421 AM421 AN421 AO421 AP421 AQ421 AR421 AS421 AT421 AU421 AV421 AW421 AX421 AY421 AZ421 BA421 BB421 BC421 AE422 AF422 AG422 AI422 AJ422 AK422 AL422 AM422 AN422 AO422 AP422 AQ422 AR422 AS422 AT422 AU422 AV422 AW422 AX422 AY422 AZ422 BA422 BB422 BC422 AE555 AF555 AG555 AI555 AJ555 AK555 AL555 AM555 AN555 AO555 AP555 AQ555 AR555 AS555 AT555 AU555 AV555 AW555 AX555 AY555 AZ555 BA555 BB555 BC555 AE556 AF556 AG556 AI556 AJ556 AK556 AL556 AM556 AN556 AO556 AP556 AQ556 AR556 AS556 AT556 AU556 AV556 AW556 AX556 AY556 AZ556 BA556 BB556 BC556 AE557 AF557 AG557 AI557 AJ557 AK557 AL557 AM557 AN557 AO557 AP557 AQ557 AR557 AS557 AT557 AU557 AV557 AW557 AX557 AY557 AZ557 BA557 BB557 BC557 AE558 AF558 AG558 AI558 AJ558 AK558 AL558 AM558 AN558 AO558 AP558 AQ558 AR558 AS558 AT558 AU558 AV558 AW558 AX558 AY558 AZ558 BA558 BB558 BC558 AE559 AF559 AG559 AI559 AJ559 AK559 AL559 AM559 AN559 AO559 AP559 AQ559 AR559 AS559 AT559 AU559 AV559 AW559 AX559 AY559 AZ559 BA559 BB559 BC559 AE560 AF560 AG560 AI560 AJ560 AK560 AL560 AM560 AN560 AO560 AP560 AQ560 AR560 AS560 AT560 AU560 AV560 AW560 AX560 AY560 AZ560 BA560 BB560 BC560 AE561 AF561 AG561 AI561 AJ561 AK561 AL561 AM561 AN561 AO561 AP561 AQ561 AR561 AS561 AT561 AU561 AV561 AW561 AX561 AY561 AZ561 BA561 BB561 BC561 AE562 AF562 AG562 AI562 AJ562 AK562 AL562 AM562 AN562 AO562 AP562 AQ562 AR562 AS562 AT562 AU562 AV562 AW562 AX562 AY562 AZ562 BA562 BB562 BC562 AE563 AF563 AG563 AI563 AJ563 AK563 AL563 AM563 AN563 AO563 AP563 AQ563 AR563 AS563 AT563 AU563 AV563 AW563 AX563 AY563 AZ563 BA563 BB563 BC563 AE564 AF564 AG564 AI564 AJ564 AK564 AL564 AM564 AN564 AO564 AP564 AQ564 AR564 AS564 AT564 AU564 AV564 AW564 AX564 AY564 AZ564 BA564 BB564 BC564 AE565 AF565 AG565 AI565 AJ565 AK565 AL565 AM565 AN565 AO565 AP565 AQ565 AR565 AS565 AT565 AU565 AV565 AW565 AX565 AY565 AZ565 BA565 BB565 BC565 AE566 AF566 AG566 AI566 AJ566 AK566 AL566 AM566 AN566 AO566 AP566 AQ566 AR566 AS566 AT566 AU566 AV566 AW566 AX566 AY566 AZ566 BA566 BB566 BC566 AE699 AF699 AG699 AI699 AJ699 AK699 AL699 AM699 AN699 AO699 AP699 AQ699 AR699 AS699 AT699 AU699 AV699 AW699 AX699 AY699 AZ699 BA699 BB699 BC699 AE700 AF700 AG700 AI700 AJ700 AK700 AL700 AM700 AN700 AO700 AP700 AQ700 AR700 AS700 AT700 AU700 AV700 AW700 AX700 AY700 AZ700 BA700 BB700 BC700 AE701 AF701 AG701 AI701 AJ701 AK701 AL701 AM701 AN701 AO701 AP701 AQ701 AR701 AS701 AT701 AU701 AV701 AW701 AX701 AY701 AZ701 BA701 BB701 BC701 AE702 AF702 AG702 AI702 AJ702 AK702 AL702 AM702 AN702 AO702 AP702 AQ702 AR702 AS702 AT702 AU702 AV702 AW702 AX702 AY702 AZ702 BA702 BB702 BC702 AE703 AF703 AG703 AI703 AJ703 AK703 AL703 AM703 AN703 AO703 AP703 AQ703 AR703 AS703 AT703 AU703 AV703 AW703 AX703 AY703 AZ703 BA703 BB703 BC703 AE704 AF704 AG704 AI704 AJ704 AK704 AL704 AM704 AN704 AO704 AP704 AQ704 AR704 AS704 AT704 AU704 AV704 AW704 AX704 AY704 AZ704 BA704 BB704 BC704 AE705 AF705 AG705 AI705 AJ705 AK705 AL705 AM705 AN705 AO705 AP705 AQ705 AR705 AS705 AT705 AU705 AV705 AW705 AX705 AY705 AZ705 BA705 BB705 BC705 AE706 AF706 AG706 AI706 AJ706 AK706 AL706 AM706 AN706 AO706 AP706 AQ706 AR706 AS706 AT706 AU706 AV706 AW706 AX706 AY706 AZ706 BA706 BB706 BC706 AE707 AF707 AG707 AI707 AJ707 AK707 AL707 AM707 AN707 AO707 AP707 AQ707 AR707 AS707 AT707 AU707 AV707 AW707 AX707 AY707 AZ707 BA707 BB707 BC707 AE708 AF708 AG708 AI708 AJ708 AK708 AL708 AM708 AN708 AO708 AP708 AQ708 AR708 AS708 AT708 AU708 AV708 AW708 AX708 AY708 AZ708 BA708 BB708 BC708 AE709 AF709 AG709 AI709 AJ709 AK709 AL709 AM709 AN709 AO709 AP709 AQ709 AR709 AS709 AT709 AU709 AV709 AW709 AX709 AY709 AZ709 BA709 BB709 BC709 AE710 AF710 AG710 AI710 AJ710 AK710 AL710 AM710 AN710 AO710 AP710 AQ710 AR710 AS710 AT710 AU710 AV710 AW710 AX710 AY710 AZ710 BA710 BB710 BC71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BN123:BP134 BN267 BO267 BP267 BN268 BO268 BP268 BN269 BO269 BP269 BN270 BO270 BP270 BN271 BO271 BP271 BN272 BO272 BP272 BN273 BO273 BP273 BN274 BO274 BP274 BN275 BO275 BP275 BN276 BO276 BP276 BN277 BO277 BP277 BN278 BO278 BP278 BN411 BO411 BP411 BN412 BO412 BP412 BN413 BO413 BP413 BN414 BO414 BP414 BN415 BO415 BP415 BN416 BO416 BP416 BN417 BO417 BP417 BN418 BO418 BP418 BN419 BO419 BP419 BN420 BO420 BP420 BN421 BO421 BP421 BN422 BO422 BP422 BN555 BO555 BP555 BN556 BO556 BP556 BN557 BO557 BP557 BN558 BO558 BP558 BN559 BO559 BP559 BN560 BO560 BP560 BN561 BO561 BP561 BN562 BO562 BP562 BN563 BO563 BP563 BN564 BO564 BP564 BN565 BO565 BP565 BN566 BO566 BP566 BN699 BO699 BP699 BN700 BO700 BP700 BN701 BO701 BP701 BN702 BO702 BP702 BN703 BO703 BP703 BN704 BO704 BP704 BN705 BO705 BP705 BN706 BO706 BP706 BN707 BO707 BP707 BN708 BO708 BP708 BN709 BO709 BP709 BN710 BO710 BP710">
      <formula1>900</formula1>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2170B8-6818-6778-A31B-9FD29452BC78}" mc:Ignorable="x14ac xr xr2 xr3">
  <sheetPr>
    <tabColor theme="6" tint="0.4"/>
  </sheetPr>
  <dimension ref="A1:AE27"/>
  <sheetViews>
    <sheetView topLeftCell="AA21" showGridLines="0" workbookViewId="0">
      <selection activeCell="AA21" sqref="AA21"/>
    </sheetView>
  </sheetViews>
  <sheetFormatPr defaultColWidth="9.140625" customHeight="1" defaultRowHeight="11.25"/>
  <cols>
    <col min="1" max="1" style="1758" width="3.57421875" hidden="1" customWidth="1"/>
    <col min="2" max="2" style="1416" width="8.57421875" hidden="1" customWidth="1"/>
    <col min="3" max="4" style="1758" width="3.57421875" hidden="1" customWidth="1"/>
    <col min="5" max="5" style="1757" width="3.57421875" hidden="1" customWidth="1"/>
    <col min="6" max="26" style="1758" width="3.57421875" hidden="1" customWidth="1"/>
    <col min="27" max="27" style="1758" width="3.7109375" customWidth="1"/>
    <col min="28" max="28" style="1758" width="6.140625" customWidth="1"/>
    <col min="29" max="29" style="1758" width="20.7109375" customWidth="1"/>
    <col min="30" max="30" style="1758" width="92.57421875" customWidth="1"/>
    <col min="31" max="31" style="1758" width="9.140625"/>
  </cols>
  <sheetData>
    <row customHeight="1" ht="11.25" hidden="1">
      <c r="E1" s="122"/>
    </row>
    <row s="1416" customFormat="1" customHeight="1" ht="11.25" hidden="1">
      <c r="B2" s="446" t="s">
        <v>19</v>
      </c>
    </row>
    <row customHeight="1" ht="11.25" hidden="1">
      <c r="E3" s="122"/>
    </row>
    <row customHeight="1" ht="11.25" hidden="1">
      <c r="E4" s="122"/>
    </row>
    <row s="1757" customFormat="1" customHeight="1" ht="11.25" hidden="1">
      <c r="A5" s="122"/>
      <c r="B5" s="428"/>
      <c r="C5" s="122"/>
      <c r="D5" s="122"/>
      <c r="E5" s="617" t="s">
        <v>20</v>
      </c>
    </row>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c r="AA21" s="425"/>
    </row>
    <row customHeight="1" ht="20.25">
      <c r="AB22" s="257" t="s">
        <v>21</v>
      </c>
      <c r="AC22" s="237"/>
      <c r="AD22" s="237"/>
    </row>
    <row r="24" s="1812" customFormat="1" customHeight="1" ht="30">
      <c r="B24" s="429"/>
      <c r="E24" s="267"/>
      <c r="AB24" s="91" t="s">
        <v>22</v>
      </c>
      <c r="AC24" s="91" t="s">
        <v>23</v>
      </c>
      <c r="AD24" s="91" t="s">
        <v>24</v>
      </c>
    </row>
    <row customHeight="1" ht="33.75">
      <c r="AB25" s="91">
        <v>1</v>
      </c>
      <c r="AC25" s="258" t="s">
        <v>25</v>
      </c>
      <c r="AD25" s="258" t="s">
        <v>26</v>
      </c>
    </row>
    <row customHeight="1" ht="69">
      <c r="AB26" s="91">
        <v>2</v>
      </c>
      <c r="AC26" s="258" t="s">
        <v>27</v>
      </c>
      <c r="AD26" s="258" t="s">
        <v>28</v>
      </c>
    </row>
    <row customHeight="1" ht="11.25">
      <c r="AE27" s="122"/>
    </row>
  </sheetData>
  <sheetProtection formatColumns="0" formatRows="0" insertRows="0" deleteColumns="0" deleteRows="0" sort="0" autoFilter="0" insert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19323C-4BB8-B75B-2D48-3412A5777002}" mc:Ignorable="x14ac xr xr2 xr3">
  <sheetPr>
    <tabColor rgb="FF92D050"/>
    <outlinePr summaryRight="0" summaryBelow="0"/>
    <pageSetUpPr fitToPage="1"/>
  </sheetPr>
  <dimension ref="A1:BW752"/>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0.5"/>
  <cols>
    <col min="1" max="1" style="1278" width="3.57421875" hidden="1" customWidth="1"/>
    <col min="2" max="2" style="978" width="8.57421875" hidden="1" customWidth="1"/>
    <col min="3" max="4" style="1278" width="3.57421875" hidden="1" customWidth="1"/>
    <col min="5" max="5" style="979" width="3.57421875" hidden="1" customWidth="1"/>
    <col min="6" max="6" style="1278" width="3.57421875" hidden="1" customWidth="1"/>
    <col min="7" max="7" style="1278" width="12.28125" hidden="1" customWidth="1"/>
    <col min="8" max="11" style="1278" width="3.57421875" hidden="1" customWidth="1"/>
    <col min="12" max="12" style="1278" width="6.57421875" hidden="1" customWidth="1"/>
    <col min="13" max="16" style="1278" width="3.57421875" hidden="1" customWidth="1"/>
    <col min="17" max="17" style="1278" width="8.00390625" hidden="1" customWidth="1"/>
    <col min="18" max="18" style="1278" width="6.421875" hidden="1" customWidth="1"/>
    <col min="19" max="19" style="1278" width="11.140625" hidden="1" customWidth="1"/>
    <col min="20" max="20" style="1278" width="10.421875" hidden="1" customWidth="1"/>
    <col min="21" max="21" style="1278" width="5.8515625" hidden="1" customWidth="1"/>
    <col min="22" max="23" style="1278" width="6.140625" hidden="1" customWidth="1"/>
    <col min="24" max="25" style="1278" width="5.57421875" hidden="1" customWidth="1"/>
    <col min="26" max="26" style="1278" width="5.28125" hidden="1" customWidth="1"/>
    <col min="27" max="27" style="1278" width="3.00390625" customWidth="1"/>
    <col min="28" max="28" style="591" width="11.00390625" customWidth="1"/>
    <col min="29" max="29" style="981" width="75.00390625" customWidth="1"/>
    <col min="30" max="30" style="591" width="12.00390625" customWidth="1"/>
    <col min="31" max="33" style="1278" width="12.57421875" customWidth="1"/>
    <col min="34" max="34" style="1278" width="21.00390625" customWidth="1"/>
    <col min="35" max="40" style="1278" width="12.57421875" customWidth="1"/>
    <col min="41" max="45" style="1278" width="12.57421875" hidden="1" customWidth="1"/>
    <col min="46" max="50" style="1278" width="12.57421875" customWidth="1"/>
    <col min="51" max="55" style="1278" width="12.57421875" hidden="1" customWidth="1"/>
    <col min="56" max="60" style="1278" width="12.57421875" customWidth="1"/>
    <col min="61" max="65" style="1278" width="12.57421875" hidden="1" customWidth="1"/>
    <col min="66" max="67" style="1278" width="20.00390625" customWidth="1"/>
    <col min="68" max="68" style="1278" width="42.00390625" customWidth="1"/>
    <col min="69" max="69" style="1278" width="3.00390625" customWidth="1"/>
    <col min="70" max="70" style="1278" width="9.140625" hidden="1"/>
    <col min="71" max="73" style="1064" width="9.140625" hidden="1"/>
    <col min="74" max="75" style="979" width="9.140625" hidden="1"/>
  </cols>
  <sheetData>
    <row customHeight="1" ht="11.25" hidden="1">
      <c r="E1" s="158"/>
      <c r="F1" s="158" t="s">
        <v>321</v>
      </c>
      <c r="I1" s="158" t="s">
        <v>2631</v>
      </c>
      <c r="J1" s="158" t="s">
        <v>357</v>
      </c>
      <c r="K1" s="158" t="s">
        <v>2632</v>
      </c>
      <c r="L1" s="977" t="s">
        <v>2633</v>
      </c>
      <c r="M1" s="158" t="s">
        <v>2634</v>
      </c>
      <c r="T1" s="465" t="s">
        <v>93</v>
      </c>
      <c r="U1" s="465" t="s">
        <v>98</v>
      </c>
      <c r="V1" s="465" t="s">
        <v>94</v>
      </c>
      <c r="W1" s="465" t="s">
        <v>95</v>
      </c>
      <c r="X1" s="465" t="s">
        <v>96</v>
      </c>
      <c r="Y1" s="467" t="s">
        <v>323</v>
      </c>
      <c r="Z1" s="465" t="s">
        <v>100</v>
      </c>
      <c r="AA1" s="466" t="s">
        <v>97</v>
      </c>
      <c r="AB1" s="85"/>
      <c r="AC1" s="466" t="s">
        <v>99</v>
      </c>
      <c r="AJ1" s="1278"/>
      <c r="AK1" s="1278"/>
      <c r="AL1" s="1278"/>
      <c r="AM1" s="1278"/>
      <c r="AN1" s="1278"/>
      <c r="AO1" s="1278"/>
      <c r="AP1" s="1278"/>
      <c r="AQ1" s="1278"/>
      <c r="AR1" s="1278"/>
      <c r="AS1" s="1278"/>
      <c r="AT1" s="1278"/>
      <c r="AU1" s="1278"/>
      <c r="AV1" s="1278"/>
      <c r="AW1" s="1278"/>
      <c r="AX1" s="1278"/>
      <c r="AY1" s="1278"/>
      <c r="AZ1" s="1278"/>
      <c r="BA1" s="1278"/>
      <c r="BB1" s="1278"/>
      <c r="BC1" s="1278"/>
      <c r="BD1" s="1278"/>
      <c r="BE1" s="1278"/>
      <c r="BF1" s="1278"/>
      <c r="BG1" s="1278"/>
      <c r="BH1" s="1278"/>
      <c r="BI1" s="1278"/>
      <c r="BJ1" s="1278"/>
      <c r="BK1" s="1278"/>
      <c r="BL1" s="1278"/>
      <c r="BM1" s="1278"/>
      <c r="BS1" s="1064" t="s">
        <v>324</v>
      </c>
      <c r="BT1" s="1064" t="s">
        <v>325</v>
      </c>
      <c r="BU1" s="1064" t="s">
        <v>326</v>
      </c>
      <c r="BV1" s="703" t="s">
        <v>329</v>
      </c>
      <c r="BW1" s="703" t="s">
        <v>330</v>
      </c>
    </row>
    <row s="978" customFormat="1" customHeight="1" ht="11.25" hidden="1">
      <c r="B2" s="445" t="s">
        <v>19</v>
      </c>
      <c r="AC2" s="433"/>
      <c r="AF2" s="978" cm="1" t="str">
        <f t="array" ref="AF2:AF2">isOrgDeclare</f>
        <v>true</v>
      </c>
      <c r="AH2" s="978" cm="1" t="str">
        <f t="array" ref="AH2:AH2">isOrgDeclare</f>
        <v>true</v>
      </c>
      <c r="AJ2" s="446">
        <f>AND(AJ6&lt;=last_year_vis,isOrgDeclare)</f>
        <v>1</v>
      </c>
      <c r="AK2" s="446">
        <f>AND(AK6&lt;=last_year_vis,isOrgDeclare)</f>
        <v>1</v>
      </c>
      <c r="AL2" s="446">
        <f>AND(AL6&lt;=last_year_vis,isOrgDeclare)</f>
        <v>1</v>
      </c>
      <c r="AM2" s="446">
        <f>AND(AM6&lt;=last_year_vis,isOrgDeclare)</f>
        <v>1</v>
      </c>
      <c r="AN2" s="446">
        <f>AND(AN6&lt;=last_year_vis,isOrgDeclare)</f>
        <v>1</v>
      </c>
      <c r="AO2" s="446">
        <f>AND(AO6&lt;=last_year_vis,isOrgDeclare)</f>
        <v>0</v>
      </c>
      <c r="AP2" s="446">
        <f>AND(AP6&lt;=last_year_vis,isOrgDeclare)</f>
        <v>0</v>
      </c>
      <c r="AQ2" s="446">
        <f>AND(AQ6&lt;=last_year_vis,isOrgDeclare)</f>
        <v>0</v>
      </c>
      <c r="AR2" s="446">
        <f>AND(AR6&lt;=last_year_vis,isOrgDeclare)</f>
        <v>0</v>
      </c>
      <c r="AS2" s="446">
        <f>AND(AS6&lt;=last_year_vis,isOrgDeclare)</f>
        <v>0</v>
      </c>
      <c r="AT2" s="446">
        <f>AT6&lt;=last_year_vis</f>
        <v>1</v>
      </c>
      <c r="AU2" s="446">
        <f>AU6&lt;=last_year_vis</f>
        <v>1</v>
      </c>
      <c r="AV2" s="446">
        <f>AV6&lt;=last_year_vis</f>
        <v>1</v>
      </c>
      <c r="AW2" s="446">
        <f>AW6&lt;=last_year_vis</f>
        <v>1</v>
      </c>
      <c r="AX2" s="446">
        <f>AX6&lt;=last_year_vis</f>
        <v>1</v>
      </c>
      <c r="AY2" s="446">
        <f>AY6&lt;=last_year_vis</f>
        <v>0</v>
      </c>
      <c r="AZ2" s="446">
        <f>AZ6&lt;=last_year_vis</f>
        <v>0</v>
      </c>
      <c r="BA2" s="446">
        <f>BA6&lt;=last_year_vis</f>
        <v>0</v>
      </c>
      <c r="BB2" s="446">
        <f>BB6&lt;=last_year_vis</f>
        <v>0</v>
      </c>
      <c r="BC2" s="446">
        <f>BC6&lt;=last_year_vis</f>
        <v>0</v>
      </c>
      <c r="BD2" s="446">
        <f>BD6&lt;=last_year_vis</f>
        <v>1</v>
      </c>
      <c r="BE2" s="446">
        <f>BE6&lt;=last_year_vis</f>
        <v>1</v>
      </c>
      <c r="BF2" s="446">
        <f>BF6&lt;=last_year_vis</f>
        <v>1</v>
      </c>
      <c r="BG2" s="446">
        <f>BG6&lt;=last_year_vis</f>
        <v>1</v>
      </c>
      <c r="BH2" s="446">
        <f>BH6&lt;=last_year_vis</f>
        <v>1</v>
      </c>
      <c r="BI2" s="446">
        <f>BI6&lt;=last_year_vis</f>
        <v>0</v>
      </c>
      <c r="BJ2" s="446">
        <f>BJ6&lt;=last_year_vis</f>
        <v>0</v>
      </c>
      <c r="BK2" s="446">
        <f>BK6&lt;=last_year_vis</f>
        <v>0</v>
      </c>
      <c r="BL2" s="446">
        <f>BL6&lt;=last_year_vis</f>
        <v>0</v>
      </c>
      <c r="BM2" s="446">
        <f>BM6&lt;=last_year_vis</f>
        <v>0</v>
      </c>
      <c r="BS2" s="1065"/>
      <c r="BT2" s="1065"/>
      <c r="BU2" s="1065"/>
      <c r="BV2" s="622"/>
      <c r="BW2" s="622"/>
    </row>
    <row customHeight="1" ht="11.25" hidden="1">
      <c r="E3" s="158"/>
      <c r="R3" s="445" t="b">
        <v>0</v>
      </c>
      <c r="AJ3" s="1278"/>
      <c r="AK3" s="1278"/>
      <c r="AL3" s="1278"/>
      <c r="AM3" s="1278"/>
      <c r="AN3" s="1278"/>
      <c r="AO3" s="1278"/>
      <c r="AP3" s="1278"/>
      <c r="AQ3" s="1278"/>
      <c r="AR3" s="1278"/>
      <c r="AS3" s="1278"/>
      <c r="AT3" s="1278"/>
      <c r="AU3" s="1278"/>
      <c r="AV3" s="1278"/>
      <c r="AW3" s="1278"/>
      <c r="AX3" s="1278"/>
      <c r="AY3" s="1278"/>
      <c r="AZ3" s="1278"/>
      <c r="BA3" s="1278"/>
      <c r="BB3" s="1278"/>
      <c r="BC3" s="1278"/>
      <c r="BD3" s="1278"/>
      <c r="BE3" s="1278"/>
      <c r="BF3" s="1278"/>
      <c r="BG3" s="1278"/>
      <c r="BH3" s="1278"/>
      <c r="BI3" s="1278"/>
      <c r="BJ3" s="1278"/>
      <c r="BK3" s="1278"/>
      <c r="BL3" s="1278"/>
      <c r="BM3" s="1278"/>
    </row>
    <row customHeight="1" ht="11.25" hidden="1">
      <c r="E4" s="158"/>
      <c r="AJ4" s="1278"/>
      <c r="AK4" s="1278"/>
      <c r="AL4" s="1278"/>
      <c r="AM4" s="1278"/>
      <c r="AN4" s="1278"/>
      <c r="AO4" s="1278"/>
      <c r="AP4" s="1278"/>
      <c r="AQ4" s="1278"/>
      <c r="AR4" s="1278"/>
      <c r="AS4" s="1278"/>
      <c r="AT4" s="1278"/>
      <c r="AU4" s="1278"/>
      <c r="AV4" s="1278"/>
      <c r="AW4" s="1278"/>
      <c r="AX4" s="1278"/>
      <c r="AY4" s="1278"/>
      <c r="AZ4" s="1278"/>
      <c r="BA4" s="1278"/>
      <c r="BB4" s="1278"/>
      <c r="BC4" s="1278"/>
      <c r="BD4" s="1278"/>
      <c r="BE4" s="1278"/>
      <c r="BF4" s="1278"/>
      <c r="BG4" s="1278"/>
      <c r="BH4" s="1278"/>
      <c r="BI4" s="1278"/>
      <c r="BJ4" s="1278"/>
      <c r="BK4" s="1278"/>
      <c r="BL4" s="1278"/>
      <c r="BM4" s="1278"/>
    </row>
    <row s="979" customFormat="1" customHeight="1" ht="11.25" hidden="1">
      <c r="A5" s="158"/>
      <c r="B5" s="432"/>
      <c r="C5" s="158"/>
      <c r="D5" s="158"/>
      <c r="E5" s="703" t="s">
        <v>20</v>
      </c>
      <c r="AA5" s="703">
        <v>3</v>
      </c>
      <c r="AB5" s="708">
        <v>11</v>
      </c>
      <c r="AC5" s="704">
        <v>75</v>
      </c>
      <c r="AD5" s="708">
        <v>12</v>
      </c>
      <c r="AE5" s="703">
        <v>12.57</v>
      </c>
      <c r="AF5" s="703">
        <v>12.57</v>
      </c>
      <c r="AG5" s="703">
        <v>12.57</v>
      </c>
      <c r="AH5" s="703">
        <v>21</v>
      </c>
      <c r="AI5" s="703">
        <v>12.57</v>
      </c>
      <c r="AJ5" s="703">
        <v>12.57</v>
      </c>
      <c r="AK5" s="703">
        <v>12.57</v>
      </c>
      <c r="AL5" s="703">
        <v>12.57</v>
      </c>
      <c r="AM5" s="703">
        <v>12.57</v>
      </c>
      <c r="AN5" s="703">
        <v>12.57</v>
      </c>
      <c r="AO5" s="703">
        <v>12.57</v>
      </c>
      <c r="AP5" s="703">
        <v>12.57</v>
      </c>
      <c r="AQ5" s="703">
        <v>12.57</v>
      </c>
      <c r="AR5" s="703">
        <v>12.57</v>
      </c>
      <c r="AS5" s="703">
        <v>12.57</v>
      </c>
      <c r="AT5" s="703">
        <v>12.57</v>
      </c>
      <c r="AU5" s="703">
        <v>12.57</v>
      </c>
      <c r="AV5" s="703">
        <v>12.57</v>
      </c>
      <c r="AW5" s="703">
        <v>12.57</v>
      </c>
      <c r="AX5" s="703">
        <v>12.57</v>
      </c>
      <c r="AY5" s="703">
        <v>12.57</v>
      </c>
      <c r="AZ5" s="703">
        <v>12.57</v>
      </c>
      <c r="BA5" s="703">
        <v>12.57</v>
      </c>
      <c r="BB5" s="703">
        <v>12.57</v>
      </c>
      <c r="BC5" s="703">
        <v>12.57</v>
      </c>
      <c r="BD5" s="703">
        <v>12.57</v>
      </c>
      <c r="BE5" s="703">
        <v>12.57</v>
      </c>
      <c r="BF5" s="703">
        <v>12.57</v>
      </c>
      <c r="BG5" s="703">
        <v>12.57</v>
      </c>
      <c r="BH5" s="703">
        <v>12.57</v>
      </c>
      <c r="BI5" s="703">
        <v>12.57</v>
      </c>
      <c r="BJ5" s="703">
        <v>12.57</v>
      </c>
      <c r="BK5" s="703">
        <v>12.57</v>
      </c>
      <c r="BL5" s="703">
        <v>12.57</v>
      </c>
      <c r="BM5" s="703">
        <v>12.57</v>
      </c>
      <c r="BN5" s="703">
        <v>20</v>
      </c>
      <c r="BO5" s="703">
        <v>20</v>
      </c>
      <c r="BP5" s="703">
        <v>42</v>
      </c>
      <c r="BQ5" s="703">
        <v>3</v>
      </c>
      <c r="BS5" s="1064"/>
      <c r="BT5" s="1064"/>
      <c r="BU5" s="1064"/>
    </row>
    <row customHeight="1" ht="11.25" hidden="1">
      <c r="A6" s="158" t="s">
        <v>360</v>
      </c>
      <c r="AE6" s="158">
        <f>god-2</f>
        <v>2024</v>
      </c>
      <c r="AF6" s="158">
        <f>god-2</f>
        <v>2024</v>
      </c>
      <c r="AG6" s="158">
        <f>god-2</f>
        <v>2024</v>
      </c>
      <c r="AH6" s="158">
        <f>god-2</f>
        <v>2024</v>
      </c>
      <c r="AI6" s="98">
        <f>god-1</f>
        <v>2025</v>
      </c>
      <c r="AJ6" s="98" cm="1" t="str">
        <f t="array" ref="AJ6:AJ6">god</f>
        <v>2026</v>
      </c>
      <c r="AK6" s="98">
        <f>god+1</f>
        <v>2027</v>
      </c>
      <c r="AL6" s="98">
        <f>god+2</f>
        <v>2028</v>
      </c>
      <c r="AM6" s="98">
        <f>god+3</f>
        <v>2029</v>
      </c>
      <c r="AN6" s="98">
        <f>god+4</f>
        <v>2030</v>
      </c>
      <c r="AO6" s="98">
        <f>god+5</f>
        <v>2031</v>
      </c>
      <c r="AP6" s="98">
        <f>god+6</f>
        <v>2032</v>
      </c>
      <c r="AQ6" s="98">
        <f>god+7</f>
        <v>2033</v>
      </c>
      <c r="AR6" s="98">
        <f>god+8</f>
        <v>2034</v>
      </c>
      <c r="AS6" s="98">
        <f>god+9</f>
        <v>2035</v>
      </c>
      <c r="AT6" s="98" cm="1" t="str">
        <f t="array" ref="AT6:AT6">god</f>
        <v>2026</v>
      </c>
      <c r="AU6" s="98">
        <f>god+1</f>
        <v>2027</v>
      </c>
      <c r="AV6" s="98">
        <f>god+2</f>
        <v>2028</v>
      </c>
      <c r="AW6" s="98">
        <f>god+3</f>
        <v>2029</v>
      </c>
      <c r="AX6" s="98">
        <f>god+4</f>
        <v>2030</v>
      </c>
      <c r="AY6" s="98">
        <f>god+5</f>
        <v>2031</v>
      </c>
      <c r="AZ6" s="98">
        <f>god+6</f>
        <v>2032</v>
      </c>
      <c r="BA6" s="98">
        <f>god+7</f>
        <v>2033</v>
      </c>
      <c r="BB6" s="98">
        <f>god+8</f>
        <v>2034</v>
      </c>
      <c r="BC6" s="98">
        <f>god+9</f>
        <v>2035</v>
      </c>
      <c r="BD6" s="98" cm="1" t="str">
        <f t="array" ref="BD6:BD6">god</f>
        <v>2026</v>
      </c>
      <c r="BE6" s="98">
        <f>god+1</f>
        <v>2027</v>
      </c>
      <c r="BF6" s="98">
        <f>god+2</f>
        <v>2028</v>
      </c>
      <c r="BG6" s="98">
        <f>god+3</f>
        <v>2029</v>
      </c>
      <c r="BH6" s="98">
        <f>god+4</f>
        <v>2030</v>
      </c>
      <c r="BI6" s="98">
        <f>god+5</f>
        <v>2031</v>
      </c>
      <c r="BJ6" s="98">
        <f>god+6</f>
        <v>2032</v>
      </c>
      <c r="BK6" s="98">
        <f>god+7</f>
        <v>2033</v>
      </c>
      <c r="BL6" s="98">
        <f>god+8</f>
        <v>2034</v>
      </c>
      <c r="BM6" s="98">
        <f>god+9</f>
        <v>2035</v>
      </c>
    </row>
    <row customHeight="1" ht="11.25" hidden="1">
      <c r="A7" s="158" t="s">
        <v>361</v>
      </c>
      <c r="AE7" s="98" cm="1" t="str">
        <f t="array" ref="AE7:AE7">AE25</f>
        <v>Принято органом регулирования</v>
      </c>
      <c r="AF7" s="98" cm="1" t="str">
        <f t="array" ref="AF7:AF7">AF25</f>
        <v>Факт по данным организации</v>
      </c>
      <c r="AG7" s="98" cm="1" t="str">
        <f t="array" ref="AG7:AG7">AG25</f>
        <v>Факт, принятый органом регулирования</v>
      </c>
      <c r="AH7" s="98" cm="1" t="str">
        <f t="array" ref="AH7:AH7">AH25</f>
        <v>отклонение факта по данным организации к факту принятому органом регулирования</v>
      </c>
      <c r="AI7" s="98" cm="1" t="str">
        <f t="array" ref="AI7:AI7">AI25</f>
        <v>Принято органом регулирования</v>
      </c>
      <c r="AJ7" s="98" cm="1" t="str">
        <f t="array" ref="AJ7:AJ7">$AJ$25</f>
        <v>Предложение организации</v>
      </c>
      <c r="AK7" s="98" cm="1" t="str">
        <f t="array" ref="AK7:AK7">$AJ$25</f>
        <v>Предложение организации</v>
      </c>
      <c r="AL7" s="98" cm="1" t="str">
        <f t="array" ref="AL7:AL7">$AJ$25</f>
        <v>Предложение организации</v>
      </c>
      <c r="AM7" s="98" cm="1" t="str">
        <f t="array" ref="AM7:AM7">$AJ$25</f>
        <v>Предложение организации</v>
      </c>
      <c r="AN7" s="98" cm="1" t="str">
        <f t="array" ref="AN7:AN7">$AJ$25</f>
        <v>Предложение организации</v>
      </c>
      <c r="AO7" s="98" cm="1" t="str">
        <f t="array" ref="AO7:AO7">$AJ$25</f>
        <v>Предложение организации</v>
      </c>
      <c r="AP7" s="98" cm="1" t="str">
        <f t="array" ref="AP7:AP7">$AJ$25</f>
        <v>Предложение организации</v>
      </c>
      <c r="AQ7" s="98" cm="1" t="str">
        <f t="array" ref="AQ7:AQ7">$AJ$25</f>
        <v>Предложение организации</v>
      </c>
      <c r="AR7" s="98" cm="1" t="str">
        <f t="array" ref="AR7:AR7">$AJ$25</f>
        <v>Предложение организации</v>
      </c>
      <c r="AS7" s="98" cm="1" t="str">
        <f t="array" ref="AS7:AS7">$AJ$25</f>
        <v>Предложение организации</v>
      </c>
      <c r="AT7" s="98" cm="1" t="str">
        <f t="array" ref="AT7:AT7">$AT$25</f>
        <v>Принято органом регулирования</v>
      </c>
      <c r="AU7" s="98" cm="1" t="str">
        <f t="array" ref="AU7:AU7">$AT$25</f>
        <v>Принято органом регулирования</v>
      </c>
      <c r="AV7" s="98" cm="1" t="str">
        <f t="array" ref="AV7:AV7">$AT$25</f>
        <v>Принято органом регулирования</v>
      </c>
      <c r="AW7" s="98" cm="1" t="str">
        <f t="array" ref="AW7:AW7">$AT$25</f>
        <v>Принято органом регулирования</v>
      </c>
      <c r="AX7" s="98" cm="1" t="str">
        <f t="array" ref="AX7:AX7">$AT$25</f>
        <v>Принято органом регулирования</v>
      </c>
      <c r="AY7" s="98" cm="1" t="str">
        <f t="array" ref="AY7:AY7">$AT$25</f>
        <v>Принято органом регулирования</v>
      </c>
      <c r="AZ7" s="98" cm="1" t="str">
        <f t="array" ref="AZ7:AZ7">$AT$25</f>
        <v>Принято органом регулирования</v>
      </c>
      <c r="BA7" s="98" cm="1" t="str">
        <f t="array" ref="BA7:BA7">$AT$25</f>
        <v>Принято органом регулирования</v>
      </c>
      <c r="BB7" s="98" cm="1" t="str">
        <f t="array" ref="BB7:BB7">$AT$25</f>
        <v>Принято органом регулирования</v>
      </c>
      <c r="BC7" s="98" cm="1" t="str">
        <f t="array" ref="BC7:BC7">$AT$25</f>
        <v>Принято органом регулирования</v>
      </c>
      <c r="BD7" s="98"/>
      <c r="BE7" s="98"/>
      <c r="BF7" s="98"/>
      <c r="BG7" s="98"/>
      <c r="BH7" s="98"/>
      <c r="BI7" s="98"/>
      <c r="BJ7" s="98"/>
      <c r="BK7" s="98"/>
      <c r="BL7" s="98"/>
      <c r="BM7" s="98"/>
    </row>
    <row customHeight="1" ht="11.25" hidden="1">
      <c r="AE8" s="98" t="str">
        <f>AE6&amp;AE7</f>
        <v>2024Принято органом регулирования</v>
      </c>
      <c r="AF8" s="98" t="str">
        <f>AF6&amp;AF7</f>
        <v>2024Факт по данным организации</v>
      </c>
      <c r="AG8" s="98" t="str">
        <f>AG6&amp;AG7</f>
        <v>2024Факт, принятый органом регулирования</v>
      </c>
      <c r="AH8" s="98" t="str">
        <f>AH6&amp;AH7</f>
        <v>2024отклонение факта по данным организации к факту принятому органом регулирования</v>
      </c>
      <c r="AI8" s="98" t="str">
        <f>AI6&amp;AI7</f>
        <v>2025Принято органом регулирования</v>
      </c>
      <c r="AJ8" s="98" t="str">
        <f>AJ6&amp;AJ7</f>
        <v>2026Предложение организации</v>
      </c>
      <c r="AK8" s="98" t="str">
        <f>AK6&amp;AK7</f>
        <v>2027Предложение организации</v>
      </c>
      <c r="AL8" s="98" t="str">
        <f>AL6&amp;AL7</f>
        <v>2028Предложение организации</v>
      </c>
      <c r="AM8" s="98" t="str">
        <f>AM6&amp;AM7</f>
        <v>2029Предложение организации</v>
      </c>
      <c r="AN8" s="98" t="str">
        <f>AN6&amp;AN7</f>
        <v>2030Предложение организации</v>
      </c>
      <c r="AO8" s="98" t="str">
        <f>AO6&amp;AO7</f>
        <v>2031Предложение организации</v>
      </c>
      <c r="AP8" s="98" t="str">
        <f>AP6&amp;AP7</f>
        <v>2032Предложение организации</v>
      </c>
      <c r="AQ8" s="98" t="str">
        <f>AQ6&amp;AQ7</f>
        <v>2033Предложение организации</v>
      </c>
      <c r="AR8" s="98" t="str">
        <f>AR6&amp;AR7</f>
        <v>2034Предложение организации</v>
      </c>
      <c r="AS8" s="98" t="str">
        <f>AS6&amp;AS7</f>
        <v>2035Предложение организации</v>
      </c>
      <c r="AT8" s="98" t="str">
        <f>AT6&amp;AT7</f>
        <v>2026Принято органом регулирования</v>
      </c>
      <c r="AU8" s="98" t="str">
        <f>AU6&amp;AU7</f>
        <v>2027Принято органом регулирования</v>
      </c>
      <c r="AV8" s="98" t="str">
        <f>AV6&amp;AV7</f>
        <v>2028Принято органом регулирования</v>
      </c>
      <c r="AW8" s="98" t="str">
        <f>AW6&amp;AW7</f>
        <v>2029Принято органом регулирования</v>
      </c>
      <c r="AX8" s="98" t="str">
        <f>AX6&amp;AX7</f>
        <v>2030Принято органом регулирования</v>
      </c>
      <c r="AY8" s="98" t="str">
        <f>AY6&amp;AY7</f>
        <v>2031Принято органом регулирования</v>
      </c>
      <c r="AZ8" s="98" t="str">
        <f>AZ6&amp;AZ7</f>
        <v>2032Принято органом регулирования</v>
      </c>
      <c r="BA8" s="98" t="str">
        <f>BA6&amp;BA7</f>
        <v>2033Принято органом регулирования</v>
      </c>
      <c r="BB8" s="98" t="str">
        <f>BB6&amp;BB7</f>
        <v>2034Принято органом регулирования</v>
      </c>
      <c r="BC8" s="98" t="str">
        <f>BC6&amp;BC7</f>
        <v>2035Принято органом регулирования</v>
      </c>
      <c r="BD8" s="98"/>
      <c r="BE8" s="98"/>
      <c r="BF8" s="98"/>
      <c r="BG8" s="98"/>
      <c r="BH8" s="98"/>
      <c r="BI8" s="98"/>
      <c r="BJ8" s="98"/>
      <c r="BK8" s="98"/>
      <c r="BL8" s="98"/>
      <c r="BM8" s="98"/>
    </row>
    <row s="1064" customFormat="1" customHeight="1" ht="11.25" hidden="1">
      <c r="A9" s="997" t="s">
        <v>365</v>
      </c>
      <c r="B9" s="1060"/>
      <c r="C9" s="1060"/>
      <c r="D9" s="1060"/>
      <c r="E9" s="1060"/>
      <c r="F9" s="1060"/>
      <c r="G9" s="1060"/>
      <c r="H9" s="1060"/>
      <c r="I9" s="1060"/>
      <c r="J9" s="1060"/>
      <c r="K9" s="1060"/>
      <c r="L9" s="1060"/>
      <c r="M9" s="1060"/>
      <c r="N9" s="1060"/>
      <c r="O9" s="1060"/>
      <c r="P9" s="1060"/>
      <c r="Q9" s="1060"/>
      <c r="R9" s="1060"/>
      <c r="S9" s="1060"/>
      <c r="T9" s="1060"/>
      <c r="U9" s="1060"/>
      <c r="V9" s="1060"/>
      <c r="W9" s="1060"/>
      <c r="X9" s="1060"/>
      <c r="Y9" s="1060"/>
      <c r="Z9" s="1060"/>
      <c r="AA9" s="1060"/>
      <c r="AB9" s="1060"/>
      <c r="AC9" s="1060"/>
      <c r="AD9" s="1060"/>
      <c r="AE9" s="1061" cm="1" t="str">
        <f t="array" ref="AE9:AE9">AE6</f>
        <v>2024</v>
      </c>
      <c r="AF9" s="1061" cm="1" t="str">
        <f t="array" ref="AF9:AF9">AF6</f>
        <v>2024</v>
      </c>
      <c r="AG9" s="1061" cm="1" t="str">
        <f t="array" ref="AG9:AG9">AG6</f>
        <v>2024</v>
      </c>
      <c r="AH9" s="1061" cm="1" t="str">
        <f t="array" ref="AH9:AH9">AH6</f>
        <v>2024</v>
      </c>
      <c r="AI9" s="1061" cm="1" t="str">
        <f t="array" ref="AI9:AI9">AI6</f>
        <v>2025</v>
      </c>
      <c r="AJ9" s="1061" cm="1" t="str">
        <f t="array" ref="AJ9:AJ9">AJ6</f>
        <v>2026</v>
      </c>
      <c r="AK9" s="1061" cm="1" t="str">
        <f t="array" ref="AK9:AK9">AK6</f>
        <v>2027</v>
      </c>
      <c r="AL9" s="1061" cm="1" t="str">
        <f t="array" ref="AL9:AL9">AL6</f>
        <v>2028</v>
      </c>
      <c r="AM9" s="1061" cm="1" t="str">
        <f t="array" ref="AM9:AM9">AM6</f>
        <v>2029</v>
      </c>
      <c r="AN9" s="1061" cm="1" t="str">
        <f t="array" ref="AN9:AN9">AN6</f>
        <v>2030</v>
      </c>
      <c r="AO9" s="1061" cm="1" t="str">
        <f t="array" ref="AO9:AO9">AO6</f>
        <v>2031</v>
      </c>
      <c r="AP9" s="1061" cm="1" t="str">
        <f t="array" ref="AP9:AP9">AP6</f>
        <v>2032</v>
      </c>
      <c r="AQ9" s="1061" cm="1" t="str">
        <f t="array" ref="AQ9:AQ9">AQ6</f>
        <v>2033</v>
      </c>
      <c r="AR9" s="1061" cm="1" t="str">
        <f t="array" ref="AR9:AR9">AR6</f>
        <v>2034</v>
      </c>
      <c r="AS9" s="1061" cm="1" t="str">
        <f t="array" ref="AS9:AS9">AS6</f>
        <v>2035</v>
      </c>
      <c r="AT9" s="1061" cm="1" t="str">
        <f t="array" ref="AT9:AT9">AT6</f>
        <v>2026</v>
      </c>
      <c r="AU9" s="1061" cm="1" t="str">
        <f t="array" ref="AU9:AU9">AU6</f>
        <v>2027</v>
      </c>
      <c r="AV9" s="1061" cm="1" t="str">
        <f t="array" ref="AV9:AV9">AV6</f>
        <v>2028</v>
      </c>
      <c r="AW9" s="1061" cm="1" t="str">
        <f t="array" ref="AW9:AW9">AW6</f>
        <v>2029</v>
      </c>
      <c r="AX9" s="1061" cm="1" t="str">
        <f t="array" ref="AX9:AX9">AX6</f>
        <v>2030</v>
      </c>
      <c r="AY9" s="1061" cm="1" t="str">
        <f t="array" ref="AY9:AY9">AY6</f>
        <v>2031</v>
      </c>
      <c r="AZ9" s="1061" cm="1" t="str">
        <f t="array" ref="AZ9:AZ9">AZ6</f>
        <v>2032</v>
      </c>
      <c r="BA9" s="1061" cm="1" t="str">
        <f t="array" ref="BA9:BA9">BA6</f>
        <v>2033</v>
      </c>
      <c r="BB9" s="1061" cm="1" t="str">
        <f t="array" ref="BB9:BB9">BB6</f>
        <v>2034</v>
      </c>
      <c r="BC9" s="1061" cm="1" t="str">
        <f t="array" ref="BC9:BC9">BC6</f>
        <v>2035</v>
      </c>
      <c r="BD9" s="1061" cm="1" t="str">
        <f t="array" ref="BD9:BD9">BD6</f>
        <v>2026</v>
      </c>
      <c r="BE9" s="1061" cm="1" t="str">
        <f t="array" ref="BE9:BE9">BE6</f>
        <v>2027</v>
      </c>
      <c r="BF9" s="1061" cm="1" t="str">
        <f t="array" ref="BF9:BF9">BF6</f>
        <v>2028</v>
      </c>
      <c r="BG9" s="1061" cm="1" t="str">
        <f t="array" ref="BG9:BG9">BG6</f>
        <v>2029</v>
      </c>
      <c r="BH9" s="1061" cm="1" t="str">
        <f t="array" ref="BH9:BH9">BH6</f>
        <v>2030</v>
      </c>
      <c r="BI9" s="1061" cm="1" t="str">
        <f t="array" ref="BI9:BI9">BI6</f>
        <v>2031</v>
      </c>
      <c r="BJ9" s="1061" cm="1" t="str">
        <f t="array" ref="BJ9:BJ9">BJ6</f>
        <v>2032</v>
      </c>
      <c r="BK9" s="1061" cm="1" t="str">
        <f t="array" ref="BK9:BK9">BK6</f>
        <v>2033</v>
      </c>
      <c r="BL9" s="1061" cm="1" t="str">
        <f t="array" ref="BL9:BL9">BL6</f>
        <v>2034</v>
      </c>
      <c r="BM9" s="1061" cm="1" t="str">
        <f t="array" ref="BM9:BM9">BM6</f>
        <v>2035</v>
      </c>
      <c r="BV9" s="703"/>
      <c r="BW9" s="703"/>
    </row>
    <row s="1064" customFormat="1" customHeight="1" ht="11.25" hidden="1">
      <c r="A10" s="997" t="s">
        <v>366</v>
      </c>
      <c r="B10" s="1060"/>
      <c r="C10" s="1060"/>
      <c r="D10" s="1060"/>
      <c r="E10" s="1060"/>
      <c r="F10" s="1060"/>
      <c r="G10" s="1060"/>
      <c r="H10" s="1060"/>
      <c r="I10" s="1060"/>
      <c r="J10" s="1060"/>
      <c r="K10" s="1060"/>
      <c r="L10" s="1060"/>
      <c r="M10" s="1060"/>
      <c r="N10" s="1060"/>
      <c r="O10" s="1060"/>
      <c r="P10" s="1060"/>
      <c r="Q10" s="1060"/>
      <c r="R10" s="1060"/>
      <c r="S10" s="1060"/>
      <c r="T10" s="1060"/>
      <c r="U10" s="1060"/>
      <c r="V10" s="1060"/>
      <c r="W10" s="1060"/>
      <c r="X10" s="1060"/>
      <c r="Y10" s="1060"/>
      <c r="Z10" s="1060"/>
      <c r="AA10" s="1060"/>
      <c r="AB10" s="1060"/>
      <c r="AC10" s="1060"/>
      <c r="AD10" s="1060"/>
      <c r="AE10" s="1061" cm="1" t="str">
        <f t="array" ref="AE10:AE10">AE25</f>
        <v>Принято органом регулирования</v>
      </c>
      <c r="AF10" s="1061" cm="1" t="str">
        <f t="array" ref="AF10:AF10">AF25</f>
        <v>Факт по данным организации</v>
      </c>
      <c r="AG10" s="1061" cm="1" t="str">
        <f t="array" ref="AG10:AG10">AG25</f>
        <v>Факт, принятый органом регулирования</v>
      </c>
      <c r="AH10" s="1061" cm="1" t="str">
        <f t="array" ref="AH10:AH10">AH25</f>
        <v>отклонение факта по данным организации к факту принятому органом регулирования</v>
      </c>
      <c r="AI10" s="1061" cm="1" t="str">
        <f t="array" ref="AI10:AI10">AI25</f>
        <v>Принято органом регулирования</v>
      </c>
      <c r="AJ10" s="1061" cm="1" t="str">
        <f t="array" ref="AJ10:AJ10">AJ25</f>
        <v>Предложение организации</v>
      </c>
      <c r="AK10" s="1061" cm="1" t="str">
        <f t="array" ref="AK10:AK10">AK25</f>
        <v>Предложение организации</v>
      </c>
      <c r="AL10" s="1061" cm="1" t="str">
        <f t="array" ref="AL10:AL10">AL25</f>
        <v>Предложение организации</v>
      </c>
      <c r="AM10" s="1061" cm="1" t="str">
        <f t="array" ref="AM10:AM10">AM25</f>
        <v>Предложение организации</v>
      </c>
      <c r="AN10" s="1061" cm="1" t="str">
        <f t="array" ref="AN10:AN10">AN25</f>
        <v>Предложение организации</v>
      </c>
      <c r="AO10" s="1061" cm="1" t="str">
        <f t="array" ref="AO10:AO10">AO25</f>
        <v>Предложение организации</v>
      </c>
      <c r="AP10" s="1061" cm="1" t="str">
        <f t="array" ref="AP10:AP10">AP25</f>
        <v>Предложение организации</v>
      </c>
      <c r="AQ10" s="1061" cm="1" t="str">
        <f t="array" ref="AQ10:AQ10">AQ25</f>
        <v>Предложение организации</v>
      </c>
      <c r="AR10" s="1061" cm="1" t="str">
        <f t="array" ref="AR10:AR10">AR25</f>
        <v>Предложение организации</v>
      </c>
      <c r="AS10" s="1061" cm="1" t="str">
        <f t="array" ref="AS10:AS10">AS25</f>
        <v>Предложение организации</v>
      </c>
      <c r="AT10" s="1061" cm="1" t="str">
        <f t="array" ref="AT10:AT10">AT25</f>
        <v>Принято органом регулирования</v>
      </c>
      <c r="AU10" s="1061" cm="1" t="str">
        <f t="array" ref="AU10:AU10">AU25</f>
        <v>Принято органом регулирования</v>
      </c>
      <c r="AV10" s="1061" cm="1" t="str">
        <f t="array" ref="AV10:AV10">AV25</f>
        <v>Принято органом регулирования</v>
      </c>
      <c r="AW10" s="1061" cm="1" t="str">
        <f t="array" ref="AW10:AW10">AW25</f>
        <v>Принято органом регулирования</v>
      </c>
      <c r="AX10" s="1061" cm="1" t="str">
        <f t="array" ref="AX10:AX10">AX25</f>
        <v>Принято органом регулирования</v>
      </c>
      <c r="AY10" s="1061" cm="1" t="str">
        <f t="array" ref="AY10:AY10">AY25</f>
        <v>Принято органом регулирования</v>
      </c>
      <c r="AZ10" s="1061" cm="1" t="str">
        <f t="array" ref="AZ10:AZ10">AZ25</f>
        <v>Принято органом регулирования</v>
      </c>
      <c r="BA10" s="1061" cm="1" t="str">
        <f t="array" ref="BA10:BA10">BA25</f>
        <v>Принято органом регулирования</v>
      </c>
      <c r="BB10" s="1061" cm="1" t="str">
        <f t="array" ref="BB10:BB10">BB25</f>
        <v>Принято органом регулирования</v>
      </c>
      <c r="BC10" s="1061" cm="1" t="str">
        <f t="array" ref="BC10:BC10">BC25</f>
        <v>Принято органом регулирования</v>
      </c>
      <c r="BD10" s="1061"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61" cm="1" t="str">
        <f t="array" ref="BE10:BE10">BE25</f>
        <v>0</v>
      </c>
      <c r="BF10" s="1061" cm="1" t="str">
        <f t="array" ref="BF10:BF10">BF25</f>
        <v>0</v>
      </c>
      <c r="BG10" s="1061" cm="1" t="str">
        <f t="array" ref="BG10:BG10">BG25</f>
        <v>0</v>
      </c>
      <c r="BH10" s="1061" cm="1" t="str">
        <f t="array" ref="BH10:BH10">BH25</f>
        <v>0</v>
      </c>
      <c r="BI10" s="1061" cm="1" t="str">
        <f t="array" ref="BI10:BI10">BI25</f>
        <v>0</v>
      </c>
      <c r="BJ10" s="1061" cm="1" t="str">
        <f t="array" ref="BJ10:BJ10">BJ25</f>
        <v>0</v>
      </c>
      <c r="BK10" s="1061" cm="1" t="str">
        <f t="array" ref="BK10:BK10">BK25</f>
        <v>0</v>
      </c>
      <c r="BL10" s="1061" cm="1" t="str">
        <f t="array" ref="BL10:BL10">BL25</f>
        <v>0</v>
      </c>
      <c r="BM10" s="1061" cm="1" t="str">
        <f t="array" ref="BM10:BM10">BM25</f>
        <v>0</v>
      </c>
      <c r="BV10" s="703"/>
      <c r="BW10" s="703"/>
    </row>
    <row s="1064" customFormat="1" customHeight="1" ht="11.25" hidden="1">
      <c r="A11" s="997" t="s">
        <v>367</v>
      </c>
      <c r="B11" s="1060"/>
      <c r="C11" s="1060"/>
      <c r="D11" s="1060"/>
      <c r="E11" s="1060"/>
      <c r="F11" s="1060"/>
      <c r="G11" s="1060"/>
      <c r="H11" s="1060"/>
      <c r="I11" s="1060"/>
      <c r="J11" s="1060"/>
      <c r="K11" s="1060"/>
      <c r="L11" s="1060"/>
      <c r="M11" s="1060"/>
      <c r="N11" s="1060"/>
      <c r="O11" s="1060"/>
      <c r="P11" s="1060"/>
      <c r="Q11" s="1060"/>
      <c r="R11" s="1060"/>
      <c r="S11" s="1060"/>
      <c r="T11" s="1060"/>
      <c r="U11" s="1060"/>
      <c r="V11" s="1060"/>
      <c r="W11" s="1060"/>
      <c r="X11" s="1060"/>
      <c r="Y11" s="1060"/>
      <c r="Z11" s="1060"/>
      <c r="AA11" s="1060"/>
      <c r="AB11" s="1060"/>
      <c r="AC11" s="1060"/>
      <c r="AD11" s="1060"/>
      <c r="AE11" s="1061"/>
      <c r="AJ11" s="1064"/>
      <c r="AK11" s="1064"/>
      <c r="AL11" s="1064"/>
      <c r="AM11" s="1064"/>
      <c r="AN11" s="1064"/>
      <c r="AO11" s="1064"/>
      <c r="AP11" s="1064"/>
      <c r="AQ11" s="1064"/>
      <c r="AR11" s="1064"/>
      <c r="AS11" s="1064"/>
      <c r="AT11" s="1064"/>
      <c r="AU11" s="1064"/>
      <c r="AV11" s="1064"/>
      <c r="AW11" s="1064"/>
      <c r="AX11" s="1064"/>
      <c r="AY11" s="1064"/>
      <c r="AZ11" s="1064"/>
      <c r="BA11" s="1064"/>
      <c r="BB11" s="1064"/>
      <c r="BC11" s="1064"/>
      <c r="BD11" s="1064"/>
      <c r="BE11" s="1064"/>
      <c r="BF11" s="1064"/>
      <c r="BG11" s="1064"/>
      <c r="BH11" s="1064"/>
      <c r="BI11" s="1064"/>
      <c r="BJ11" s="1064"/>
      <c r="BK11" s="1064"/>
      <c r="BL11" s="1064"/>
      <c r="BM11" s="1064"/>
      <c r="BN11" s="1064" cm="1" t="str">
        <f t="array" ref="BN11:BN11">BN24</f>
        <v>Указание на подтверждающие документы / URL-ссылка на копии подтверждающих документов</v>
      </c>
      <c r="BO11" s="1064" cm="1" t="str">
        <f t="array" ref="BO11:BO11">BO24</f>
        <v>Ссылка на правовую норму (основание для принятия показателя в расчет тарифа)</v>
      </c>
      <c r="BP11" s="1064"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V11" s="703"/>
      <c r="BW11" s="703"/>
    </row>
    <row s="1064" customFormat="1" customHeight="1" ht="11.25" hidden="1">
      <c r="A12" s="1062" t="s">
        <v>338</v>
      </c>
      <c r="B12" s="1060"/>
      <c r="C12" s="1060"/>
      <c r="D12" s="1060"/>
      <c r="E12" s="1060"/>
      <c r="F12" s="1060"/>
      <c r="G12" s="1060"/>
      <c r="H12" s="1060"/>
      <c r="I12" s="1060"/>
      <c r="J12" s="1060"/>
      <c r="K12" s="1060"/>
      <c r="L12" s="1060"/>
      <c r="M12" s="1060"/>
      <c r="N12" s="1060"/>
      <c r="O12" s="1060"/>
      <c r="P12" s="1060"/>
      <c r="Q12" s="1060"/>
      <c r="R12" s="1060"/>
      <c r="S12" s="1060"/>
      <c r="T12" s="1060"/>
      <c r="U12" s="1060"/>
      <c r="V12" s="1060"/>
      <c r="W12" s="1060"/>
      <c r="X12" s="1060"/>
      <c r="Y12" s="1060"/>
      <c r="Z12" s="1060"/>
      <c r="AA12" s="1060"/>
      <c r="AB12" s="1060"/>
      <c r="AC12" s="1062" t="s">
        <v>326</v>
      </c>
      <c r="AD12" s="1060"/>
      <c r="AE12" s="1061"/>
      <c r="AJ12" s="1064"/>
      <c r="AK12" s="1064"/>
      <c r="AL12" s="1064"/>
      <c r="AM12" s="1064"/>
      <c r="AN12" s="1064"/>
      <c r="AO12" s="1064"/>
      <c r="AP12" s="1064"/>
      <c r="AQ12" s="1064"/>
      <c r="AR12" s="1064"/>
      <c r="AS12" s="1064"/>
      <c r="AT12" s="1064"/>
      <c r="AU12" s="1064"/>
      <c r="AV12" s="1064"/>
      <c r="AW12" s="1064"/>
      <c r="AX12" s="1064"/>
      <c r="AY12" s="1064"/>
      <c r="AZ12" s="1064"/>
      <c r="BA12" s="1064"/>
      <c r="BB12" s="1064"/>
      <c r="BC12" s="1064"/>
      <c r="BD12" s="1064"/>
      <c r="BE12" s="1064"/>
      <c r="BF12" s="1064"/>
      <c r="BG12" s="1064"/>
      <c r="BH12" s="1064"/>
      <c r="BI12" s="1064"/>
      <c r="BJ12" s="1064"/>
      <c r="BK12" s="1064"/>
      <c r="BL12" s="1064"/>
      <c r="BM12" s="1064"/>
      <c r="BV12" s="703"/>
      <c r="BW12" s="703"/>
    </row>
    <row customHeight="1" ht="11.25" hidden="1">
      <c r="A13" s="158" t="s">
        <v>2428</v>
      </c>
      <c r="AJ13" s="1278"/>
      <c r="AK13" s="1278"/>
      <c r="AL13" s="1278"/>
      <c r="AM13" s="1278"/>
      <c r="AN13" s="1278"/>
      <c r="AO13" s="1278"/>
      <c r="AP13" s="1278"/>
      <c r="AQ13" s="1278"/>
      <c r="AR13" s="1278"/>
      <c r="AS13" s="1278"/>
      <c r="AT13" s="1278"/>
      <c r="AU13" s="1278"/>
      <c r="AV13" s="1278"/>
      <c r="AW13" s="1278"/>
      <c r="AX13" s="1278"/>
      <c r="AY13" s="1278"/>
      <c r="AZ13" s="1278"/>
      <c r="BA13" s="1278"/>
      <c r="BB13" s="1278"/>
      <c r="BC13" s="1278"/>
      <c r="BD13" s="1278"/>
      <c r="BE13" s="1278"/>
      <c r="BF13" s="1278"/>
      <c r="BG13" s="1278"/>
      <c r="BH13" s="1278"/>
      <c r="BI13" s="1278"/>
      <c r="BJ13" s="1278"/>
      <c r="BK13" s="1278"/>
      <c r="BL13" s="1278"/>
      <c r="BM13" s="1278"/>
      <c r="BN13" s="158" cm="1" t="str">
        <f t="array" ref="BN13:BN13">BN24</f>
        <v>Указание на подтверждающие документы / URL-ссылка на копии подтверждающих документов</v>
      </c>
      <c r="BO13" s="158" cm="1" t="str">
        <f t="array" ref="BO13:BO13">BO24</f>
        <v>Ссылка на правовую норму (основание для принятия показателя в расчет тарифа)</v>
      </c>
      <c r="BP13" s="158" cm="1" t="str">
        <f t="array" ref="BP13:BP13">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customHeight="1" ht="11.25" hidden="1">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row>
    <row customHeight="1" ht="11.25" hidden="1">
      <c r="AJ15" s="98"/>
      <c r="AK15" s="98"/>
      <c r="AL15" s="98"/>
      <c r="AM15" s="98"/>
      <c r="AN15" s="98"/>
      <c r="AO15" s="98"/>
      <c r="AP15" s="98"/>
      <c r="AQ15" s="98"/>
      <c r="AR15" s="98"/>
      <c r="AS15" s="98"/>
      <c r="AT15" s="98"/>
      <c r="AU15" s="98"/>
      <c r="AV15" s="98"/>
      <c r="AW15" s="98"/>
      <c r="AX15" s="98"/>
      <c r="AY15" s="98"/>
      <c r="AZ15" s="98"/>
      <c r="BA15" s="98"/>
      <c r="BB15" s="98"/>
      <c r="BC15" s="98"/>
      <c r="BD15" s="98"/>
      <c r="BE15" s="98"/>
      <c r="BF15" s="98"/>
      <c r="BG15" s="98"/>
      <c r="BH15" s="98"/>
      <c r="BI15" s="98"/>
      <c r="BJ15" s="98"/>
      <c r="BK15" s="98"/>
      <c r="BL15" s="98"/>
      <c r="BM15" s="98"/>
    </row>
    <row customHeight="1" ht="11.25" hidden="1">
      <c r="AJ16" s="98"/>
      <c r="AK16" s="98"/>
      <c r="AL16" s="98"/>
      <c r="AM16" s="98"/>
      <c r="AN16" s="98"/>
      <c r="AO16" s="98"/>
      <c r="AP16" s="98"/>
      <c r="AQ16" s="98"/>
      <c r="AR16" s="98"/>
      <c r="AS16" s="98"/>
      <c r="AT16" s="98"/>
      <c r="AU16" s="98"/>
      <c r="AV16" s="98"/>
      <c r="AW16" s="98"/>
      <c r="AX16" s="98"/>
      <c r="AY16" s="98"/>
      <c r="AZ16" s="98"/>
      <c r="BA16" s="98"/>
      <c r="BB16" s="98"/>
      <c r="BC16" s="98"/>
      <c r="BD16" s="98"/>
      <c r="BE16" s="98"/>
      <c r="BF16" s="98"/>
      <c r="BG16" s="98"/>
      <c r="BH16" s="98"/>
      <c r="BI16" s="98"/>
      <c r="BJ16" s="98"/>
      <c r="BK16" s="98"/>
      <c r="BL16" s="98"/>
      <c r="BM16" s="98"/>
    </row>
    <row customHeight="1" ht="11.25" hidden="1">
      <c r="AJ17" s="1278"/>
      <c r="AK17" s="1278"/>
      <c r="AL17" s="1278"/>
      <c r="AM17" s="1278"/>
      <c r="AN17" s="1278"/>
      <c r="AO17" s="1278"/>
      <c r="AP17" s="1278"/>
      <c r="AQ17" s="1278"/>
      <c r="AR17" s="1278"/>
      <c r="AS17" s="1278"/>
      <c r="AT17" s="1278"/>
      <c r="AU17" s="1278"/>
      <c r="AV17" s="1278"/>
      <c r="AW17" s="1278"/>
      <c r="AX17" s="1278"/>
      <c r="AY17" s="1278"/>
      <c r="AZ17" s="1278"/>
      <c r="BA17" s="1278"/>
      <c r="BB17" s="1278"/>
      <c r="BC17" s="1278"/>
      <c r="BD17" s="1278"/>
      <c r="BE17" s="1278"/>
      <c r="BF17" s="1278"/>
      <c r="BG17" s="1278"/>
      <c r="BH17" s="1278"/>
      <c r="BI17" s="1278"/>
      <c r="BJ17" s="1278"/>
      <c r="BK17" s="1278"/>
      <c r="BL17" s="1278"/>
      <c r="BM17" s="1278"/>
    </row>
    <row customHeight="1" ht="11.25" hidden="1">
      <c r="A18" s="158" t="s">
        <v>368</v>
      </c>
      <c r="AC18" s="157" t="s">
        <v>369</v>
      </c>
      <c r="AJ18" s="1278"/>
      <c r="AK18" s="1278"/>
      <c r="AL18" s="1278"/>
      <c r="AM18" s="1278"/>
      <c r="AN18" s="1278"/>
      <c r="AO18" s="1278"/>
      <c r="AP18" s="1278"/>
      <c r="AQ18" s="1278"/>
      <c r="AR18" s="1278"/>
      <c r="AS18" s="1278"/>
      <c r="AT18" s="1278"/>
      <c r="AU18" s="1278"/>
      <c r="AV18" s="1278"/>
      <c r="AW18" s="1278"/>
      <c r="AX18" s="1278"/>
      <c r="AY18" s="1278"/>
      <c r="AZ18" s="1278"/>
      <c r="BA18" s="1278"/>
      <c r="BB18" s="1278"/>
      <c r="BC18" s="1278"/>
      <c r="BD18" s="1278"/>
      <c r="BE18" s="1278"/>
      <c r="BF18" s="1278"/>
      <c r="BG18" s="1278"/>
      <c r="BH18" s="1278"/>
      <c r="BI18" s="1278"/>
      <c r="BJ18" s="1278"/>
      <c r="BK18" s="1278"/>
      <c r="BL18" s="1278"/>
      <c r="BM18" s="1278"/>
    </row>
    <row customHeight="1" ht="11.25" hidden="1">
      <c r="AJ19" s="1278"/>
      <c r="AK19" s="1278"/>
      <c r="AL19" s="1278"/>
      <c r="AM19" s="1278"/>
      <c r="AN19" s="1278"/>
      <c r="AO19" s="1278"/>
      <c r="AP19" s="1278"/>
      <c r="AQ19" s="1278"/>
      <c r="AR19" s="1278"/>
      <c r="AS19" s="1278"/>
      <c r="AT19" s="1278"/>
      <c r="AU19" s="1278"/>
      <c r="AV19" s="1278"/>
      <c r="AW19" s="1278"/>
      <c r="AX19" s="1278"/>
      <c r="AY19" s="1278"/>
      <c r="AZ19" s="1278"/>
      <c r="BA19" s="1278"/>
      <c r="BB19" s="1278"/>
      <c r="BC19" s="1278"/>
      <c r="BD19" s="1278"/>
      <c r="BE19" s="1278"/>
      <c r="BF19" s="1278"/>
      <c r="BG19" s="1278"/>
      <c r="BH19" s="1278"/>
      <c r="BI19" s="1278"/>
      <c r="BJ19" s="1278"/>
      <c r="BK19" s="1278"/>
      <c r="BL19" s="1278"/>
      <c r="BM19" s="1278"/>
    </row>
    <row customHeight="1" ht="11.25" hidden="1">
      <c r="AJ20" s="1278"/>
      <c r="AK20" s="1278"/>
      <c r="AL20" s="1278"/>
      <c r="AM20" s="1278"/>
      <c r="AN20" s="1278"/>
      <c r="AO20" s="1278"/>
      <c r="AP20" s="1278"/>
      <c r="AQ20" s="1278"/>
      <c r="AR20" s="1278"/>
      <c r="AS20" s="1278"/>
      <c r="AT20" s="1278"/>
      <c r="AU20" s="1278"/>
      <c r="AV20" s="1278"/>
      <c r="AW20" s="1278"/>
      <c r="AX20" s="1278"/>
      <c r="AY20" s="1278"/>
      <c r="AZ20" s="1278"/>
      <c r="BA20" s="1278"/>
      <c r="BB20" s="1278"/>
      <c r="BC20" s="1278"/>
      <c r="BD20" s="1278"/>
      <c r="BE20" s="1278"/>
      <c r="BF20" s="1278"/>
      <c r="BG20" s="1278"/>
      <c r="BH20" s="1278"/>
      <c r="BI20" s="1278"/>
      <c r="BJ20" s="1278"/>
      <c r="BK20" s="1278"/>
      <c r="BL20" s="1278"/>
      <c r="BM20" s="1278"/>
    </row>
    <row customHeight="1" ht="14.625">
      <c r="E21" s="703">
        <v>15</v>
      </c>
      <c r="AA21" s="425"/>
      <c r="AB21" s="158"/>
      <c r="AC21" s="50" cm="1" t="str">
        <f t="array" ref="AC21:AC21">tpl_title</f>
        <v>Кемеровская область / 2026 / ООО "Теплоэнерго" (ИНН:4214046200, КПП:421401001) / ДПР: 2026-2030</v>
      </c>
      <c r="AD21" s="158"/>
      <c r="AJ21" s="1278"/>
      <c r="AK21" s="1278"/>
      <c r="AL21" s="1278"/>
      <c r="AM21" s="1278"/>
      <c r="AN21" s="1278"/>
      <c r="AO21" s="1278"/>
      <c r="AP21" s="1278"/>
      <c r="AQ21" s="1278"/>
      <c r="AR21" s="1278"/>
      <c r="AS21" s="1278"/>
      <c r="AT21" s="1278"/>
      <c r="AU21" s="1278"/>
      <c r="AV21" s="1278"/>
      <c r="AW21" s="1278"/>
      <c r="AX21" s="1278"/>
      <c r="AY21" s="1278"/>
      <c r="AZ21" s="1278"/>
      <c r="BA21" s="1278"/>
      <c r="BB21" s="1278"/>
      <c r="BC21" s="1278"/>
      <c r="BD21" s="1278"/>
      <c r="BE21" s="1278"/>
      <c r="BF21" s="1278"/>
      <c r="BG21" s="1278"/>
      <c r="BH21" s="1278"/>
      <c r="BI21" s="1278"/>
      <c r="BJ21" s="1278"/>
      <c r="BK21" s="1278"/>
      <c r="BL21" s="1278"/>
      <c r="BM21" s="1278"/>
    </row>
    <row s="1299" customFormat="1" customHeight="1" ht="19.5">
      <c r="B22" s="432"/>
      <c r="E22" s="621">
        <v>20</v>
      </c>
      <c r="AB22" s="320" t="s">
        <v>80</v>
      </c>
      <c r="AC22" s="251"/>
      <c r="AD22" s="251"/>
      <c r="AE22" s="251"/>
      <c r="AF22" s="251"/>
      <c r="AG22" s="251"/>
      <c r="AH22" s="251"/>
      <c r="AI22" s="251"/>
      <c r="AJ22" s="251"/>
      <c r="AK22" s="251"/>
      <c r="AL22" s="251"/>
      <c r="AM22" s="251"/>
      <c r="AN22" s="251"/>
      <c r="AO22" s="251"/>
      <c r="AP22" s="251"/>
      <c r="AQ22" s="251"/>
      <c r="AR22" s="251"/>
      <c r="AS22" s="251"/>
      <c r="AT22" s="251"/>
      <c r="AU22" s="251"/>
      <c r="AV22" s="251"/>
      <c r="AW22" s="251"/>
      <c r="AX22" s="251"/>
      <c r="AY22" s="251"/>
      <c r="AZ22" s="251"/>
      <c r="BA22" s="251"/>
      <c r="BB22" s="251"/>
      <c r="BC22" s="251"/>
      <c r="BD22" s="251"/>
      <c r="BE22" s="251"/>
      <c r="BF22" s="251"/>
      <c r="BG22" s="251"/>
      <c r="BH22" s="251"/>
      <c r="BI22" s="251"/>
      <c r="BJ22" s="251"/>
      <c r="BK22" s="251"/>
      <c r="BL22" s="251"/>
      <c r="BM22" s="251"/>
      <c r="BN22" s="251"/>
      <c r="BO22" s="251"/>
      <c r="BP22" s="251"/>
      <c r="BS22" s="1066"/>
      <c r="BT22" s="1066"/>
      <c r="BU22" s="1066"/>
      <c r="BV22" s="621"/>
      <c r="BW22" s="621"/>
    </row>
    <row s="1299" customFormat="1" customHeight="1" ht="10.2375">
      <c r="B23" s="432"/>
      <c r="E23" s="621">
        <v>10.5</v>
      </c>
      <c r="AB23" s="159"/>
      <c r="AC23" s="159"/>
      <c r="AD23" s="159"/>
      <c r="AE23" s="159"/>
      <c r="AF23" s="159"/>
      <c r="AG23" s="159"/>
      <c r="AH23" s="159"/>
      <c r="AI23" s="159"/>
      <c r="AJ23" s="159"/>
      <c r="AK23" s="159"/>
      <c r="AL23" s="159"/>
      <c r="AM23" s="159"/>
      <c r="AN23" s="159"/>
      <c r="AO23" s="159"/>
      <c r="AP23" s="159"/>
      <c r="AQ23" s="159"/>
      <c r="AR23" s="159"/>
      <c r="AS23" s="159"/>
      <c r="AT23" s="159"/>
      <c r="AU23" s="159"/>
      <c r="AV23" s="159"/>
      <c r="AW23" s="159"/>
      <c r="AX23" s="159"/>
      <c r="AY23" s="159"/>
      <c r="AZ23" s="159"/>
      <c r="BA23" s="159"/>
      <c r="BB23" s="159"/>
      <c r="BC23" s="159"/>
      <c r="BD23" s="159"/>
      <c r="BE23" s="159"/>
      <c r="BF23" s="159"/>
      <c r="BG23" s="159"/>
      <c r="BH23" s="159"/>
      <c r="BI23" s="159"/>
      <c r="BJ23" s="159"/>
      <c r="BK23" s="159"/>
      <c r="BL23" s="159"/>
      <c r="BM23" s="159"/>
      <c r="BN23" s="159"/>
      <c r="BO23" s="159"/>
      <c r="BP23" s="159"/>
      <c r="BS23" s="1066"/>
      <c r="BT23" s="1066"/>
      <c r="BU23" s="1066"/>
      <c r="BV23" s="621"/>
      <c r="BW23" s="621"/>
    </row>
    <row s="981" customFormat="1" customHeight="1" ht="24.131250000000005">
      <c r="B24" s="433"/>
      <c r="E24" s="704">
        <v>24.75</v>
      </c>
      <c r="AB24" s="1580" t="s">
        <v>22</v>
      </c>
      <c r="AC24" s="1580" t="s">
        <v>369</v>
      </c>
      <c r="AD24" s="1580" t="s">
        <v>370</v>
      </c>
      <c r="AE24" s="91" t="str">
        <f>god-2&amp;" год"</f>
        <v>2024 год</v>
      </c>
      <c r="AF24" s="1120" t="str">
        <f>god-2&amp;" год"</f>
        <v>2024 год</v>
      </c>
      <c r="AG24" s="91" t="str">
        <f>god-2&amp;" год"</f>
        <v>2024 год</v>
      </c>
      <c r="AH24" s="91" t="str">
        <f>god-2&amp;" год"</f>
        <v>2024 год</v>
      </c>
      <c r="AI24" s="91" t="str">
        <f>god-1&amp;" год"</f>
        <v>2025 год</v>
      </c>
      <c r="AJ24" s="1118" t="str">
        <f>god&amp;" год"</f>
        <v>2026 год</v>
      </c>
      <c r="AK24" s="1118" t="str">
        <f>god+1&amp;" год"</f>
        <v>2027 год</v>
      </c>
      <c r="AL24" s="1118" t="str">
        <f>god+2&amp;" год"</f>
        <v>2028 год</v>
      </c>
      <c r="AM24" s="1118" t="str">
        <f>god+3&amp;" год"</f>
        <v>2029 год</v>
      </c>
      <c r="AN24" s="1118" t="str">
        <f>god+4&amp;" год"</f>
        <v>2030 год</v>
      </c>
      <c r="AO24" s="1118" t="str">
        <f>god+5&amp;" год"</f>
        <v>2031 год</v>
      </c>
      <c r="AP24" s="1118" t="str">
        <f>god+6&amp;" год"</f>
        <v>2032 год</v>
      </c>
      <c r="AQ24" s="1118" t="str">
        <f>god+7&amp;" год"</f>
        <v>2033 год</v>
      </c>
      <c r="AR24" s="1118" t="str">
        <f>god+8&amp;" год"</f>
        <v>2034 год</v>
      </c>
      <c r="AS24" s="1118" t="str">
        <f>god+9&amp;" год"</f>
        <v>2035 год</v>
      </c>
      <c r="AT24" s="92" t="str">
        <f>god&amp;" год"</f>
        <v>2026 год</v>
      </c>
      <c r="AU24" s="92" t="str">
        <f>god+1&amp;" год"</f>
        <v>2027 год</v>
      </c>
      <c r="AV24" s="92" t="str">
        <f>god+2&amp;" год"</f>
        <v>2028 год</v>
      </c>
      <c r="AW24" s="92" t="str">
        <f>god+3&amp;" год"</f>
        <v>2029 год</v>
      </c>
      <c r="AX24" s="92" t="str">
        <f>god+4&amp;" год"</f>
        <v>2030 год</v>
      </c>
      <c r="AY24" s="92" t="str">
        <f>god+5&amp;" год"</f>
        <v>2031 год</v>
      </c>
      <c r="AZ24" s="92" t="str">
        <f>god+6&amp;" год"</f>
        <v>2032 год</v>
      </c>
      <c r="BA24" s="92" t="str">
        <f>god+7&amp;" год"</f>
        <v>2033 год</v>
      </c>
      <c r="BB24" s="92" t="str">
        <f>god+8&amp;" год"</f>
        <v>2034 год</v>
      </c>
      <c r="BC24" s="92" t="str">
        <f>god+9&amp;" год"</f>
        <v>2035 год</v>
      </c>
      <c r="BD24" s="92" t="str">
        <f>god&amp;" год"</f>
        <v>2026 год</v>
      </c>
      <c r="BE24" s="92" t="str">
        <f>god+1&amp;" год"</f>
        <v>2027 год</v>
      </c>
      <c r="BF24" s="92" t="str">
        <f>god+2&amp;" год"</f>
        <v>2028 год</v>
      </c>
      <c r="BG24" s="92" t="str">
        <f>god+3&amp;" год"</f>
        <v>2029 год</v>
      </c>
      <c r="BH24" s="92" t="str">
        <f>god+4&amp;" год"</f>
        <v>2030 год</v>
      </c>
      <c r="BI24" s="92" t="str">
        <f>god+5&amp;" год"</f>
        <v>2031 год</v>
      </c>
      <c r="BJ24" s="92" t="str">
        <f>god+6&amp;" год"</f>
        <v>2032 год</v>
      </c>
      <c r="BK24" s="92" t="str">
        <f>god+7&amp;" год"</f>
        <v>2033 год</v>
      </c>
      <c r="BL24" s="92" t="str">
        <f>god+8&amp;" год"</f>
        <v>2034 год</v>
      </c>
      <c r="BM24" s="92" t="str">
        <f>god+9&amp;" год"</f>
        <v>2035 год</v>
      </c>
      <c r="BN24" s="1590" t="s">
        <v>2431</v>
      </c>
      <c r="BO24" s="1590" t="s">
        <v>1242</v>
      </c>
      <c r="BP24" s="1590" t="s">
        <v>2432</v>
      </c>
      <c r="BS24" s="1067"/>
      <c r="BT24" s="1067"/>
      <c r="BU24" s="1067"/>
      <c r="BV24" s="704"/>
      <c r="BW24" s="704"/>
    </row>
    <row s="981" customFormat="1" customHeight="1" ht="48.993750000000006">
      <c r="B25" s="433"/>
      <c r="E25" s="704">
        <v>50.25</v>
      </c>
      <c r="AB25" s="1580"/>
      <c r="AC25" s="1580"/>
      <c r="AD25" s="1580"/>
      <c r="AE25" s="91" t="s">
        <v>362</v>
      </c>
      <c r="AF25" s="1120" t="s">
        <v>1164</v>
      </c>
      <c r="AG25" s="91" t="s">
        <v>1165</v>
      </c>
      <c r="AH25" s="91" t="s">
        <v>2433</v>
      </c>
      <c r="AI25" s="91" t="s">
        <v>362</v>
      </c>
      <c r="AJ25" s="1122" t="s">
        <v>363</v>
      </c>
      <c r="AK25" s="1122" t="s">
        <v>363</v>
      </c>
      <c r="AL25" s="1122" t="s">
        <v>363</v>
      </c>
      <c r="AM25" s="1122" t="s">
        <v>363</v>
      </c>
      <c r="AN25" s="1122" t="s">
        <v>363</v>
      </c>
      <c r="AO25" s="1122" t="s">
        <v>363</v>
      </c>
      <c r="AP25" s="1122" t="s">
        <v>363</v>
      </c>
      <c r="AQ25" s="1122" t="s">
        <v>363</v>
      </c>
      <c r="AR25" s="1122" t="s">
        <v>363</v>
      </c>
      <c r="AS25" s="1122" t="s">
        <v>363</v>
      </c>
      <c r="AT25" s="360" t="s">
        <v>362</v>
      </c>
      <c r="AU25" s="360" t="s">
        <v>362</v>
      </c>
      <c r="AV25" s="360" t="s">
        <v>362</v>
      </c>
      <c r="AW25" s="360" t="s">
        <v>362</v>
      </c>
      <c r="AX25" s="360" t="s">
        <v>362</v>
      </c>
      <c r="AY25" s="360" t="s">
        <v>362</v>
      </c>
      <c r="AZ25" s="360" t="s">
        <v>362</v>
      </c>
      <c r="BA25" s="360" t="s">
        <v>362</v>
      </c>
      <c r="BB25" s="360" t="s">
        <v>362</v>
      </c>
      <c r="BC25" s="360" t="s">
        <v>362</v>
      </c>
      <c r="BD25" s="1590" t="s">
        <v>2430</v>
      </c>
      <c r="BE25" s="1590"/>
      <c r="BF25" s="1590"/>
      <c r="BG25" s="1590"/>
      <c r="BH25" s="1590"/>
      <c r="BI25" s="1590"/>
      <c r="BJ25" s="1590"/>
      <c r="BK25" s="1590"/>
      <c r="BL25" s="1590"/>
      <c r="BM25" s="1590"/>
      <c r="BN25" s="1590"/>
      <c r="BO25" s="1590"/>
      <c r="BP25" s="1590"/>
      <c r="BS25" s="1067"/>
      <c r="BT25" s="1067"/>
      <c r="BU25" s="1067"/>
      <c r="BV25" s="704"/>
      <c r="BW25" s="704"/>
    </row>
    <row s="1834" customFormat="1" customHeight="1" ht="11.25">
      <c r="B26" s="430"/>
      <c r="E26" s="671" t="s">
        <v>373</v>
      </c>
      <c r="F26" s="172" t="s">
        <v>2635</v>
      </c>
      <c r="R26" s="0"/>
      <c r="S26" s="745" t="s">
        <v>374</v>
      </c>
      <c r="T26" s="0"/>
      <c r="AC26" s="100"/>
      <c r="AD26" s="100"/>
      <c r="AE26" s="100"/>
      <c r="AF26" s="100"/>
      <c r="AJ26" s="1834"/>
      <c r="AK26" s="1834"/>
      <c r="AL26" s="1834"/>
      <c r="AM26" s="1834"/>
      <c r="AN26" s="1834"/>
      <c r="AO26" s="1834"/>
      <c r="AP26" s="1834"/>
      <c r="AQ26" s="101"/>
      <c r="AR26" s="1834"/>
      <c r="AS26" s="1834"/>
      <c r="AT26" s="1834"/>
      <c r="AU26" s="1834"/>
      <c r="AV26" s="1834"/>
      <c r="AW26" s="1834"/>
      <c r="AX26" s="1834"/>
      <c r="AY26" s="1834"/>
      <c r="AZ26" s="1834"/>
      <c r="BA26" s="1834"/>
      <c r="BB26" s="1834"/>
      <c r="BC26" s="1834"/>
      <c r="BD26" s="1834"/>
      <c r="BE26" s="1834"/>
      <c r="BF26" s="1834"/>
      <c r="BG26" s="1834"/>
      <c r="BH26" s="1834"/>
      <c r="BI26" s="1834"/>
      <c r="BJ26" s="1834"/>
      <c r="BK26" s="1834"/>
      <c r="BL26" s="1834"/>
      <c r="BM26" s="1834"/>
      <c r="BS26" s="1004"/>
      <c r="BT26" s="1004"/>
      <c r="BU26" s="1004"/>
      <c r="BV26" s="624"/>
      <c r="BW26" s="624"/>
    </row>
    <row s="1758" customFormat="1" customHeight="1" ht="14.625" hidden="1">
      <c r="A27" s="1758"/>
      <c r="B27" s="428"/>
      <c r="C27" s="1758"/>
      <c r="D27" s="1758"/>
      <c r="E27" s="618">
        <v>15</v>
      </c>
      <c r="F27" s="98" cm="1" t="str">
        <f t="array" ref="F27:F27">X27</f>
        <v>0</v>
      </c>
      <c r="G27" s="98" cm="1" t="str">
        <f t="array" ref="G27:G27">INDEX('Общие сведения'!$AK$179:$AK$250,MATCH($X27,'Общие сведения'!$Z$179:$Z$250,0))</f>
        <v>0</v>
      </c>
      <c r="H27" s="1758"/>
      <c r="I27" s="98"/>
      <c r="J27" s="1758"/>
      <c r="K27" s="1758"/>
      <c r="L27" s="982"/>
      <c r="M27" s="426"/>
      <c r="N27" s="1758"/>
      <c r="O27" s="1758"/>
      <c r="P27" s="1758"/>
      <c r="Q27" s="1758"/>
      <c r="R27" s="1758"/>
      <c r="S27" s="122" cm="1" t="str">
        <f t="array" ref="S27:S27">INDEX('Общие сведения'!$AE$179:$AE$250,MATCH($X27,'Общие сведения'!$Z$179:$Z$250,0))</f>
        <v>0</v>
      </c>
      <c r="T27" s="465">
        <f>X27&gt;0</f>
        <v>0</v>
      </c>
      <c r="U27" s="1758"/>
      <c r="V27" s="122" t="s">
        <v>265</v>
      </c>
      <c r="W27" s="1758"/>
      <c r="X27" s="1563">
        <v>0</v>
      </c>
      <c r="Y27" s="1758"/>
      <c r="Z27" s="1546"/>
      <c r="AA27" s="1758"/>
      <c r="AB27" s="381" cm="1" t="str">
        <f t="array" ref="AB27:AB27">INDEX('Общие сведения'!$AG$179:$AG$250,MATCH($X27,'Общие сведения'!$Z$179:$Z$250,0))</f>
        <v>Тариф 0 () - </v>
      </c>
      <c r="AC27" s="252"/>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52"/>
      <c r="BD27" s="252"/>
      <c r="BE27" s="252"/>
      <c r="BF27" s="252"/>
      <c r="BG27" s="252"/>
      <c r="BH27" s="252"/>
      <c r="BI27" s="252"/>
      <c r="BJ27" s="252"/>
      <c r="BK27" s="252"/>
      <c r="BL27" s="252"/>
      <c r="BM27" s="252"/>
      <c r="BN27" s="252"/>
      <c r="BO27" s="252"/>
      <c r="BP27" s="252"/>
      <c r="BQ27" s="1758"/>
      <c r="BR27" s="1758"/>
      <c r="BS27" s="997"/>
      <c r="BT27" s="997"/>
      <c r="BU27" s="997"/>
      <c r="BV27" s="618"/>
      <c r="BW27" s="618"/>
    </row>
    <row s="161" customFormat="1" customHeight="1" ht="20.475" hidden="1">
      <c r="A28" s="161"/>
      <c r="B28" s="434"/>
      <c r="C28" s="161"/>
      <c r="D28" s="161"/>
      <c r="E28" s="705">
        <v>21</v>
      </c>
      <c r="F28" s="50" cm="1" t="str">
        <f t="array" ref="F28:F28">OFFSET(E28,-1,1)</f>
        <v>0</v>
      </c>
      <c r="G28" s="161"/>
      <c r="H28" s="377"/>
      <c r="I28" s="377" t="s">
        <v>332</v>
      </c>
      <c r="J28" s="161"/>
      <c r="K28" s="377" t="s">
        <v>332</v>
      </c>
      <c r="L28" s="983"/>
      <c r="M28" s="855"/>
      <c r="N28" s="161"/>
      <c r="O28" s="161"/>
      <c r="P28" s="161"/>
      <c r="Q28" s="161"/>
      <c r="R28" s="161" t="s">
        <v>2947</v>
      </c>
      <c r="S28" s="161"/>
      <c r="T28" s="465" cm="1" t="str">
        <f t="array" ref="T28:T28">T27</f>
        <v>false</v>
      </c>
      <c r="U28" s="161"/>
      <c r="V28" s="161"/>
      <c r="W28" s="161"/>
      <c r="X28" s="1563"/>
      <c r="Y28" s="161"/>
      <c r="Z28" s="1546"/>
      <c r="AA28" s="161"/>
      <c r="AB28" s="247" t="s">
        <v>276</v>
      </c>
      <c r="AC28" s="212" t="s">
        <v>2636</v>
      </c>
      <c r="AD28" s="234" t="s">
        <v>1514</v>
      </c>
      <c r="AE28" s="7679">
        <f>SUM(AE30,AE47,AE53,AE73,AE74,AE75)</f>
        <v>0</v>
      </c>
      <c r="AF28" s="761">
        <f>SUM(AF30,AF47,AF53,AF73,AF74,AF75)</f>
        <v>0</v>
      </c>
      <c r="AG28" s="761">
        <f>SUM(AG30,AG47,AG53,AG73,AG74,AG75)</f>
        <v>0</v>
      </c>
      <c r="AH28" s="761">
        <f>AG28-AF28</f>
        <v>0</v>
      </c>
      <c r="AI28" s="1246">
        <f>AE28*AI29</f>
        <v>0</v>
      </c>
      <c r="AJ28" s="1246">
        <f>AI28*AJ29</f>
        <v>0</v>
      </c>
      <c r="AK28" s="1246">
        <f>AJ28*AK29</f>
        <v>0</v>
      </c>
      <c r="AL28" s="1246">
        <f>AK28*AL29</f>
        <v>0</v>
      </c>
      <c r="AM28" s="1246">
        <f>AL28*AM29</f>
        <v>0</v>
      </c>
      <c r="AN28" s="1246">
        <f>AM28*AN29</f>
        <v>0</v>
      </c>
      <c r="AO28" s="1246">
        <f>AN28*AO29</f>
        <v>0</v>
      </c>
      <c r="AP28" s="1246">
        <f>AO28*AP29</f>
        <v>0</v>
      </c>
      <c r="AQ28" s="1246">
        <f>AP28*AQ29</f>
        <v>0</v>
      </c>
      <c r="AR28" s="1246">
        <f>AQ28*AR29</f>
        <v>0</v>
      </c>
      <c r="AS28" s="1246">
        <f>AR28*AS29</f>
        <v>0</v>
      </c>
      <c r="AT28" s="1246">
        <f>AI28*AT29</f>
        <v>0</v>
      </c>
      <c r="AU28" s="1246">
        <f>AT28*AU29</f>
        <v>0</v>
      </c>
      <c r="AV28" s="1246">
        <f>AU28*AV29</f>
        <v>0</v>
      </c>
      <c r="AW28" s="1246">
        <f>AV28*AW29</f>
        <v>0</v>
      </c>
      <c r="AX28" s="1246">
        <f>AW28*AX29</f>
        <v>0</v>
      </c>
      <c r="AY28" s="1246">
        <f>AX28*AY29</f>
        <v>0</v>
      </c>
      <c r="AZ28" s="1246">
        <f>AY28*AZ29</f>
        <v>0</v>
      </c>
      <c r="BA28" s="1246">
        <f>AZ28*BA29</f>
        <v>0</v>
      </c>
      <c r="BB28" s="1246">
        <f>BA28*BB29</f>
        <v>0</v>
      </c>
      <c r="BC28" s="1246">
        <f>BB28*BC29</f>
        <v>0</v>
      </c>
      <c r="BD28" s="761">
        <f>IF(AI28=0,0,(AT28-AI28)/AI28*100)</f>
        <v>0</v>
      </c>
      <c r="BE28" s="761">
        <f>IF(AT28=0,0,(AU28-AT28)/AT28*100)</f>
        <v>0</v>
      </c>
      <c r="BF28" s="761">
        <f>IF(AU28=0,0,(AV28-AU28)/AU28*100)</f>
        <v>0</v>
      </c>
      <c r="BG28" s="761">
        <f>IF(AV28=0,0,(AW28-AV28)/AV28*100)</f>
        <v>0</v>
      </c>
      <c r="BH28" s="761">
        <f>IF(AW28=0,0,(AX28-AW28)/AW28*100)</f>
        <v>0</v>
      </c>
      <c r="BI28" s="761">
        <f>IF(AX28=0,0,(AY28-AX28)/AX28*100)</f>
        <v>0</v>
      </c>
      <c r="BJ28" s="761">
        <f>IF(AY28=0,0,(AZ28-AY28)/AY28*100)</f>
        <v>0</v>
      </c>
      <c r="BK28" s="761">
        <f>IF(AZ28=0,0,(BA28-AZ28)/AZ28*100)</f>
        <v>0</v>
      </c>
      <c r="BL28" s="761">
        <f>IF(BA28=0,0,(BB28-BA28)/BA28*100)</f>
        <v>0</v>
      </c>
      <c r="BM28" s="761">
        <f>IF(BB28=0,0,(BC28-BB28)/BB28*100)</f>
        <v>0</v>
      </c>
      <c r="BN28" s="1251"/>
      <c r="BO28" s="1251"/>
      <c r="BP28" s="1251"/>
      <c r="BQ28" s="160"/>
      <c r="BR28" s="161"/>
      <c r="BS28" s="1068" t="s">
        <v>1239</v>
      </c>
      <c r="BT28" s="1068"/>
      <c r="BU28" s="1068"/>
      <c r="BV28" s="705"/>
      <c r="BW28" s="705"/>
    </row>
    <row customHeight="1" ht="14.625" hidden="1">
      <c r="A29" s="1278"/>
      <c r="B29" s="978"/>
      <c r="C29" s="1278"/>
      <c r="D29" s="1278"/>
      <c r="E29" s="703">
        <v>15</v>
      </c>
      <c r="F29" s="50" cm="1" t="str">
        <f t="array" ref="F29:F29">OFFSET(E29,-1,1)</f>
        <v>0</v>
      </c>
      <c r="G29" s="1278"/>
      <c r="H29" s="378"/>
      <c r="I29" s="378" t="s">
        <v>1175</v>
      </c>
      <c r="J29" s="1278"/>
      <c r="K29" s="378" t="s">
        <v>1175</v>
      </c>
      <c r="L29" s="980"/>
      <c r="M29" s="107"/>
      <c r="N29" s="1278"/>
      <c r="O29" s="1278"/>
      <c r="P29" s="1278"/>
      <c r="Q29" s="1278"/>
      <c r="R29" s="161" t="s">
        <v>2947</v>
      </c>
      <c r="S29" s="1278"/>
      <c r="T29" s="465" cm="1" t="str">
        <f t="array" ref="T29:T29">T28</f>
        <v>false</v>
      </c>
      <c r="U29" s="1278"/>
      <c r="V29" s="1278"/>
      <c r="W29" s="1278"/>
      <c r="X29" s="1563"/>
      <c r="Y29" s="1278"/>
      <c r="Z29" s="1546"/>
      <c r="AA29" s="1278"/>
      <c r="AB29" s="299" t="s">
        <v>1628</v>
      </c>
      <c r="AC29" s="762" t="s">
        <v>2637</v>
      </c>
      <c r="AD29" s="300"/>
      <c r="AE29" s="1252"/>
      <c r="AF29" s="1252"/>
      <c r="AG29" s="1252"/>
      <c r="AH29" s="941">
        <f>AG29-AF29</f>
        <v>0</v>
      </c>
      <c r="AI29" s="1252">
        <f>_xlfn.SUMIFS(INDEX(Сценарии!$AE$25:$BF$163,,MATCH(AI$8,Сценарии!$AE$8:$BF$8,0)),Сценарии!$F$25:$F$163,$F29,Сценарии!$G$25:$G$163,"ИОР")</f>
        <v>1</v>
      </c>
      <c r="AJ29" s="1252">
        <f>_xlfn.SUMIFS(INDEX(Сценарии!$AE$25:$BF$163,,MATCH(AJ$8,Сценарии!$AE$8:$BF$8,0)),Сценарии!$F$25:$F$163,$F29,Сценарии!$G$25:$G$163,"ИОР")</f>
        <v>1</v>
      </c>
      <c r="AK29" s="1252">
        <f>_xlfn.SUMIFS(INDEX(Сценарии!$AE$25:$BF$163,,MATCH(AK$8,Сценарии!$AE$8:$BF$8,0)),Сценарии!$F$25:$F$163,$F29,Сценарии!$G$25:$G$163,"ИОР")</f>
        <v>1</v>
      </c>
      <c r="AL29" s="1252">
        <f>_xlfn.SUMIFS(INDEX(Сценарии!$AE$25:$BF$163,,MATCH(AL$8,Сценарии!$AE$8:$BF$8,0)),Сценарии!$F$25:$F$163,$F29,Сценарии!$G$25:$G$163,"ИОР")</f>
        <v>1</v>
      </c>
      <c r="AM29" s="1252">
        <f>_xlfn.SUMIFS(INDEX(Сценарии!$AE$25:$BF$163,,MATCH(AM$8,Сценарии!$AE$8:$BF$8,0)),Сценарии!$F$25:$F$163,$F29,Сценарии!$G$25:$G$163,"ИОР")</f>
        <v>1</v>
      </c>
      <c r="AN29" s="1252">
        <f>_xlfn.SUMIFS(INDEX(Сценарии!$AE$25:$BF$163,,MATCH(AN$8,Сценарии!$AE$8:$BF$8,0)),Сценарии!$F$25:$F$163,$F29,Сценарии!$G$25:$G$163,"ИОР")</f>
        <v>1</v>
      </c>
      <c r="AO29" s="1252">
        <f>_xlfn.SUMIFS(INDEX(Сценарии!$AE$25:$BF$163,,MATCH(AO$8,Сценарии!$AE$8:$BF$8,0)),Сценарии!$F$25:$F$163,$F29,Сценарии!$G$25:$G$163,"ИОР")</f>
        <v>1</v>
      </c>
      <c r="AP29" s="1252">
        <f>_xlfn.SUMIFS(INDEX(Сценарии!$AE$25:$BF$163,,MATCH(AP$8,Сценарии!$AE$8:$BF$8,0)),Сценарии!$F$25:$F$163,$F29,Сценарии!$G$25:$G$163,"ИОР")</f>
        <v>1</v>
      </c>
      <c r="AQ29" s="1252">
        <f>_xlfn.SUMIFS(INDEX(Сценарии!$AE$25:$BF$163,,MATCH(AQ$8,Сценарии!$AE$8:$BF$8,0)),Сценарии!$F$25:$F$163,$F29,Сценарии!$G$25:$G$163,"ИОР")</f>
        <v>1</v>
      </c>
      <c r="AR29" s="1252">
        <f>_xlfn.SUMIFS(INDEX(Сценарии!$AE$25:$BF$163,,MATCH(AR$8,Сценарии!$AE$8:$BF$8,0)),Сценарии!$F$25:$F$163,$F29,Сценарии!$G$25:$G$163,"ИОР")</f>
        <v>1</v>
      </c>
      <c r="AS29" s="1252">
        <f>_xlfn.SUMIFS(INDEX(Сценарии!$AE$25:$BF$163,,MATCH(AS$8,Сценарии!$AE$8:$BF$8,0)),Сценарии!$F$25:$F$163,$F29,Сценарии!$G$25:$G$163,"ИОР")</f>
        <v>1</v>
      </c>
      <c r="AT29" s="1252">
        <f>_xlfn.SUMIFS(INDEX(Сценарии!$AE$25:$BF$163,,MATCH(AT$8,Сценарии!$AE$8:$BF$8,0)),Сценарии!$F$25:$F$163,$F29,Сценарии!$G$25:$G$163,"ИОР")</f>
        <v>1</v>
      </c>
      <c r="AU29" s="1252">
        <f>_xlfn.SUMIFS(INDEX(Сценарии!$AE$25:$BF$163,,MATCH(AU$8,Сценарии!$AE$8:$BF$8,0)),Сценарии!$F$25:$F$163,$F29,Сценарии!$G$25:$G$163,"ИОР")</f>
        <v>1</v>
      </c>
      <c r="AV29" s="1252">
        <f>_xlfn.SUMIFS(INDEX(Сценарии!$AE$25:$BF$163,,MATCH(AV$8,Сценарии!$AE$8:$BF$8,0)),Сценарии!$F$25:$F$163,$F29,Сценарии!$G$25:$G$163,"ИОР")</f>
        <v>1</v>
      </c>
      <c r="AW29" s="1252">
        <f>_xlfn.SUMIFS(INDEX(Сценарии!$AE$25:$BF$163,,MATCH(AW$8,Сценарии!$AE$8:$BF$8,0)),Сценарии!$F$25:$F$163,$F29,Сценарии!$G$25:$G$163,"ИОР")</f>
        <v>1</v>
      </c>
      <c r="AX29" s="1252">
        <f>_xlfn.SUMIFS(INDEX(Сценарии!$AE$25:$BF$163,,MATCH(AX$8,Сценарии!$AE$8:$BF$8,0)),Сценарии!$F$25:$F$163,$F29,Сценарии!$G$25:$G$163,"ИОР")</f>
        <v>1</v>
      </c>
      <c r="AY29" s="1252">
        <f>_xlfn.SUMIFS(INDEX(Сценарии!$AE$25:$BF$163,,MATCH(AY$8,Сценарии!$AE$8:$BF$8,0)),Сценарии!$F$25:$F$163,$F29,Сценарии!$G$25:$G$163,"ИОР")</f>
        <v>1</v>
      </c>
      <c r="AZ29" s="1252">
        <f>_xlfn.SUMIFS(INDEX(Сценарии!$AE$25:$BF$163,,MATCH(AZ$8,Сценарии!$AE$8:$BF$8,0)),Сценарии!$F$25:$F$163,$F29,Сценарии!$G$25:$G$163,"ИОР")</f>
        <v>1</v>
      </c>
      <c r="BA29" s="1252">
        <f>_xlfn.SUMIFS(INDEX(Сценарии!$AE$25:$BF$163,,MATCH(BA$8,Сценарии!$AE$8:$BF$8,0)),Сценарии!$F$25:$F$163,$F29,Сценарии!$G$25:$G$163,"ИОР")</f>
        <v>1</v>
      </c>
      <c r="BB29" s="1252">
        <f>_xlfn.SUMIFS(INDEX(Сценарии!$AE$25:$BF$163,,MATCH(BB$8,Сценарии!$AE$8:$BF$8,0)),Сценарии!$F$25:$F$163,$F29,Сценарии!$G$25:$G$163,"ИОР")</f>
        <v>1</v>
      </c>
      <c r="BC29" s="1252">
        <f>_xlfn.SUMIFS(INDEX(Сценарии!$AE$25:$BF$163,,MATCH(BC$8,Сценарии!$AE$8:$BF$8,0)),Сценарии!$F$25:$F$163,$F29,Сценарии!$G$25:$G$163,"ИОР")</f>
        <v>1</v>
      </c>
      <c r="BD29" s="942"/>
      <c r="BE29" s="942"/>
      <c r="BF29" s="942"/>
      <c r="BG29" s="942"/>
      <c r="BH29" s="942"/>
      <c r="BI29" s="942"/>
      <c r="BJ29" s="942"/>
      <c r="BK29" s="942"/>
      <c r="BL29" s="942"/>
      <c r="BM29" s="942"/>
      <c r="BN29" s="1251"/>
      <c r="BO29" s="1251"/>
      <c r="BP29" s="1251"/>
      <c r="BQ29" s="1278"/>
      <c r="BR29" s="1278"/>
      <c r="BS29" s="1064" t="s">
        <v>2638</v>
      </c>
      <c r="BT29" s="1064"/>
      <c r="BU29" s="1064"/>
      <c r="BV29" s="979"/>
      <c r="BW29" s="979"/>
    </row>
    <row s="160" customFormat="1" customHeight="1" ht="20.475" hidden="1">
      <c r="A30" s="160"/>
      <c r="B30" s="434"/>
      <c r="C30" s="160"/>
      <c r="D30" s="160"/>
      <c r="E30" s="706">
        <v>21</v>
      </c>
      <c r="F30" s="50" cm="1" t="str">
        <f t="array" ref="F30:F30">OFFSET(E30,-1,1)</f>
        <v>0</v>
      </c>
      <c r="G30" s="160"/>
      <c r="H30" s="377"/>
      <c r="I30" s="377" t="s">
        <v>1179</v>
      </c>
      <c r="J30" s="160"/>
      <c r="K30" s="377" t="s">
        <v>1179</v>
      </c>
      <c r="L30" s="984" t="s">
        <v>332</v>
      </c>
      <c r="M30" s="858"/>
      <c r="N30" s="160"/>
      <c r="O30" s="160"/>
      <c r="P30" s="160"/>
      <c r="Q30" s="158" t="s">
        <v>2947</v>
      </c>
      <c r="R30" s="161" t="s">
        <v>2947</v>
      </c>
      <c r="S30" s="160"/>
      <c r="T30" s="465" cm="1" t="str">
        <f t="array" ref="T30:T30">T29</f>
        <v>false</v>
      </c>
      <c r="U30" s="160"/>
      <c r="V30" s="160"/>
      <c r="W30" s="160"/>
      <c r="X30" s="1563"/>
      <c r="Y30" s="160"/>
      <c r="Z30" s="1546"/>
      <c r="AA30" s="160"/>
      <c r="AB30" s="247" t="s">
        <v>1631</v>
      </c>
      <c r="AC30" s="361" t="s">
        <v>2434</v>
      </c>
      <c r="AD30" s="234" t="s">
        <v>1514</v>
      </c>
      <c r="AE30" s="761">
        <f>SUM(AE31,AE34,AE35,AE38,AE39)</f>
        <v>0</v>
      </c>
      <c r="AF30" s="761">
        <f>SUM(AF31,AF34,AF35,AF38,AF39)</f>
        <v>0</v>
      </c>
      <c r="AG30" s="761">
        <f>SUM(AG31,AG34,AG35,AG38,AG39)</f>
        <v>0</v>
      </c>
      <c r="AH30" s="761">
        <f>AG30-AF30</f>
        <v>0</v>
      </c>
      <c r="AI30" s="7684">
        <f>SUM(AI31,AI34,AI35,AI38,AI39)</f>
        <v>0</v>
      </c>
      <c r="AJ30" s="1252"/>
      <c r="AK30" s="764"/>
      <c r="AL30" s="764"/>
      <c r="AM30" s="764"/>
      <c r="AN30" s="764"/>
      <c r="AO30" s="764"/>
      <c r="AP30" s="764"/>
      <c r="AQ30" s="764"/>
      <c r="AR30" s="764"/>
      <c r="AS30" s="764"/>
      <c r="AT30" s="764"/>
      <c r="AU30" s="764"/>
      <c r="AV30" s="764"/>
      <c r="AW30" s="764"/>
      <c r="AX30" s="764"/>
      <c r="AY30" s="764"/>
      <c r="AZ30" s="764"/>
      <c r="BA30" s="764"/>
      <c r="BB30" s="764"/>
      <c r="BC30" s="764"/>
      <c r="BD30" s="764"/>
      <c r="BE30" s="764"/>
      <c r="BF30" s="764"/>
      <c r="BG30" s="764"/>
      <c r="BH30" s="764"/>
      <c r="BI30" s="764"/>
      <c r="BJ30" s="764"/>
      <c r="BK30" s="764"/>
      <c r="BL30" s="764"/>
      <c r="BM30" s="764"/>
      <c r="BN30" s="1247"/>
      <c r="BO30" s="1247"/>
      <c r="BP30" s="1247"/>
      <c r="BQ30" s="160"/>
      <c r="BR30" s="160"/>
      <c r="BS30" s="1062" t="s">
        <v>1230</v>
      </c>
      <c r="BT30" s="1069"/>
      <c r="BU30" s="1069"/>
      <c r="BV30" s="706"/>
      <c r="BW30" s="706"/>
    </row>
    <row customHeight="1" ht="14.625" hidden="1">
      <c r="A31" s="1278"/>
      <c r="B31" s="978"/>
      <c r="C31" s="1278"/>
      <c r="D31" s="1278"/>
      <c r="E31" s="703">
        <v>15</v>
      </c>
      <c r="F31" s="50" cm="1" t="str">
        <f t="array" ref="F31:F31">OFFSET(E31,-1,1)</f>
        <v>0</v>
      </c>
      <c r="G31" s="1278"/>
      <c r="H31" s="378"/>
      <c r="I31" s="378" t="s">
        <v>2068</v>
      </c>
      <c r="J31" s="1278"/>
      <c r="K31" s="378" t="s">
        <v>2068</v>
      </c>
      <c r="L31" s="980" t="s">
        <v>1175</v>
      </c>
      <c r="M31" s="107"/>
      <c r="N31" s="1278"/>
      <c r="O31" s="1278"/>
      <c r="P31" s="1278"/>
      <c r="Q31" s="158" t="s">
        <v>2947</v>
      </c>
      <c r="R31" s="161" t="s">
        <v>2947</v>
      </c>
      <c r="S31" s="1278"/>
      <c r="T31" s="465" cm="1" t="str">
        <f t="array" ref="T31:T31">T30</f>
        <v>false</v>
      </c>
      <c r="U31" s="1278"/>
      <c r="V31" s="1278"/>
      <c r="W31" s="1278"/>
      <c r="X31" s="1563"/>
      <c r="Y31" s="1278"/>
      <c r="Z31" s="1546"/>
      <c r="AA31" s="1278"/>
      <c r="AB31" s="299" t="s">
        <v>2069</v>
      </c>
      <c r="AC31" s="765" t="s">
        <v>2639</v>
      </c>
      <c r="AD31" s="766" t="s">
        <v>1514</v>
      </c>
      <c r="AE31" s="943">
        <f>SUM(AE32,AE33)</f>
        <v>0</v>
      </c>
      <c r="AF31" s="943">
        <f>SUM(AF32,AF33)</f>
        <v>0</v>
      </c>
      <c r="AG31" s="943">
        <f>SUM(AG32,AG33)</f>
        <v>0</v>
      </c>
      <c r="AH31" s="943">
        <f>AG31-AF31</f>
        <v>0</v>
      </c>
      <c r="AI31" s="7687">
        <f>SUM(AI32,AI33)</f>
        <v>0</v>
      </c>
      <c r="AJ31" s="1252"/>
      <c r="AK31" s="942"/>
      <c r="AL31" s="942"/>
      <c r="AM31" s="942"/>
      <c r="AN31" s="942"/>
      <c r="AO31" s="942"/>
      <c r="AP31" s="942"/>
      <c r="AQ31" s="942"/>
      <c r="AR31" s="942"/>
      <c r="AS31" s="942"/>
      <c r="AT31" s="942"/>
      <c r="AU31" s="942"/>
      <c r="AV31" s="942"/>
      <c r="AW31" s="942"/>
      <c r="AX31" s="942"/>
      <c r="AY31" s="942"/>
      <c r="AZ31" s="942"/>
      <c r="BA31" s="942"/>
      <c r="BB31" s="942"/>
      <c r="BC31" s="942"/>
      <c r="BD31" s="942"/>
      <c r="BE31" s="942"/>
      <c r="BF31" s="942"/>
      <c r="BG31" s="942"/>
      <c r="BH31" s="942"/>
      <c r="BI31" s="942"/>
      <c r="BJ31" s="942"/>
      <c r="BK31" s="942"/>
      <c r="BL31" s="942"/>
      <c r="BM31" s="942"/>
      <c r="BN31" s="1251"/>
      <c r="BO31" s="1251"/>
      <c r="BP31" s="1251"/>
      <c r="BQ31" s="110"/>
      <c r="BR31" s="1278"/>
      <c r="BS31" s="1063" t="s">
        <v>2436</v>
      </c>
      <c r="BT31" s="1064"/>
      <c r="BU31" s="1064"/>
      <c r="BV31" s="979"/>
      <c r="BW31" s="979"/>
    </row>
    <row customHeight="1" ht="14.625" hidden="1">
      <c r="A32" s="1278"/>
      <c r="B32" s="978"/>
      <c r="C32" s="1278"/>
      <c r="D32" s="1278"/>
      <c r="E32" s="703">
        <v>15</v>
      </c>
      <c r="F32" s="50" cm="1" t="str">
        <f t="array" ref="F32:F32">OFFSET(E32,-1,1)</f>
        <v>0</v>
      </c>
      <c r="G32" s="1278"/>
      <c r="H32" s="378"/>
      <c r="I32" s="378" t="s">
        <v>2640</v>
      </c>
      <c r="J32" s="1278"/>
      <c r="K32" s="378" t="s">
        <v>2640</v>
      </c>
      <c r="L32" s="980" t="s">
        <v>1739</v>
      </c>
      <c r="M32" s="107"/>
      <c r="N32" s="1278"/>
      <c r="O32" s="1278"/>
      <c r="P32" s="1278"/>
      <c r="Q32" s="158" t="s">
        <v>2947</v>
      </c>
      <c r="R32" s="161" t="s">
        <v>2947</v>
      </c>
      <c r="S32" s="1278"/>
      <c r="T32" s="465" cm="1" t="str">
        <f t="array" ref="T32:T32">T31</f>
        <v>false</v>
      </c>
      <c r="U32" s="1278"/>
      <c r="V32" s="1278"/>
      <c r="W32" s="1278"/>
      <c r="X32" s="1563"/>
      <c r="Y32" s="1278"/>
      <c r="Z32" s="1546"/>
      <c r="AA32" s="1278"/>
      <c r="AB32" s="299" t="s">
        <v>2641</v>
      </c>
      <c r="AC32" s="768" t="s">
        <v>2439</v>
      </c>
      <c r="AD32" s="766" t="s">
        <v>1514</v>
      </c>
      <c r="AE32" s="1744">
        <f>_xlfn.SUMIFS('Сырье и материалы'!AE$25:AE$162,'Сырье и материалы'!$F$25:$F$162,$F32,'Сырье и материалы'!$I$25:$I$162,"Горюче-смазочные материалы")</f>
        <v>0</v>
      </c>
      <c r="AF32" s="1744">
        <f>_xlfn.SUMIFS('Сырье и материалы'!AF$25:AF$162,'Сырье и материалы'!$F$25:$F$162,$F32,'Сырье и материалы'!$I$25:$I$162,"Горюче-смазочные материалы")</f>
        <v>0</v>
      </c>
      <c r="AG32" s="1744">
        <f>_xlfn.SUMIFS('Сырье и материалы'!AG$25:AG$162,'Сырье и материалы'!$F$25:$F$162,$F32,'Сырье и материалы'!$I$25:$I$162,"Горюче-смазочные материалы")</f>
        <v>0</v>
      </c>
      <c r="AH32" s="943">
        <f>AG32-AF32</f>
        <v>0</v>
      </c>
      <c r="AI32" s="7689">
        <f>_xlfn.SUMIFS('Сырье и материалы'!AH$25:AH$162,'Сырье и материалы'!$F$25:$F$162,$F32,'Сырье и материалы'!$I$25:$I$162,"Горюче-смазочные материалы")</f>
        <v>0</v>
      </c>
      <c r="AJ32" s="1252"/>
      <c r="AK32" s="942"/>
      <c r="AL32" s="942"/>
      <c r="AM32" s="942"/>
      <c r="AN32" s="942"/>
      <c r="AO32" s="942"/>
      <c r="AP32" s="942"/>
      <c r="AQ32" s="942"/>
      <c r="AR32" s="942"/>
      <c r="AS32" s="942"/>
      <c r="AT32" s="942"/>
      <c r="AU32" s="942"/>
      <c r="AV32" s="942"/>
      <c r="AW32" s="942"/>
      <c r="AX32" s="942"/>
      <c r="AY32" s="942"/>
      <c r="AZ32" s="942"/>
      <c r="BA32" s="942"/>
      <c r="BB32" s="942"/>
      <c r="BC32" s="942"/>
      <c r="BD32" s="942"/>
      <c r="BE32" s="942"/>
      <c r="BF32" s="942"/>
      <c r="BG32" s="942"/>
      <c r="BH32" s="942"/>
      <c r="BI32" s="942"/>
      <c r="BJ32" s="942"/>
      <c r="BK32" s="942"/>
      <c r="BL32" s="942"/>
      <c r="BM32" s="942"/>
      <c r="BN32" s="1251"/>
      <c r="BO32" s="1251"/>
      <c r="BP32" s="1251"/>
      <c r="BQ32" s="1278"/>
      <c r="BR32" s="1278"/>
      <c r="BS32" s="1062" t="s">
        <v>2440</v>
      </c>
      <c r="BT32" s="1064"/>
      <c r="BU32" s="1064"/>
      <c r="BV32" s="979"/>
      <c r="BW32" s="979"/>
    </row>
    <row customHeight="1" ht="14.625" hidden="1">
      <c r="A33" s="1278"/>
      <c r="B33" s="978"/>
      <c r="C33" s="1278"/>
      <c r="D33" s="1278"/>
      <c r="E33" s="703">
        <v>15</v>
      </c>
      <c r="F33" s="50" cm="1" t="str">
        <f t="array" ref="F33:F33">OFFSET(E33,-1,1)</f>
        <v>0</v>
      </c>
      <c r="G33" s="1278"/>
      <c r="H33" s="378"/>
      <c r="I33" s="378" t="s">
        <v>2642</v>
      </c>
      <c r="J33" s="1278"/>
      <c r="K33" s="378" t="s">
        <v>2642</v>
      </c>
      <c r="L33" s="980" t="s">
        <v>2043</v>
      </c>
      <c r="M33" s="107"/>
      <c r="N33" s="1278"/>
      <c r="O33" s="1278"/>
      <c r="P33" s="1278"/>
      <c r="Q33" s="158" t="s">
        <v>2947</v>
      </c>
      <c r="R33" s="161" t="s">
        <v>2947</v>
      </c>
      <c r="S33" s="1278"/>
      <c r="T33" s="465" cm="1" t="str">
        <f t="array" ref="T33:T33">T32</f>
        <v>false</v>
      </c>
      <c r="U33" s="1278"/>
      <c r="V33" s="1278"/>
      <c r="W33" s="1278"/>
      <c r="X33" s="1563"/>
      <c r="Y33" s="1278"/>
      <c r="Z33" s="1546"/>
      <c r="AA33" s="1278"/>
      <c r="AB33" s="299" t="s">
        <v>2643</v>
      </c>
      <c r="AC33" s="768" t="s">
        <v>2441</v>
      </c>
      <c r="AD33" s="766" t="s">
        <v>1514</v>
      </c>
      <c r="AE33" s="1744">
        <f>_xlfn.SUMIFS('Сырье и материалы'!AE$25:AE$162,'Сырье и материалы'!$F$25:$F$162,$F33,'Сырье и материалы'!$I$25:$I$162,"Материалы")</f>
        <v>0</v>
      </c>
      <c r="AF33" s="1744">
        <f>_xlfn.SUMIFS('Сырье и материалы'!AF$25:AF$162,'Сырье и материалы'!$F$25:$F$162,$F33,'Сырье и материалы'!$I$25:$I$162,"Материалы")</f>
        <v>0</v>
      </c>
      <c r="AG33" s="1744">
        <f>_xlfn.SUMIFS('Сырье и материалы'!AG$25:AG$162,'Сырье и материалы'!$F$25:$F$162,$F33,'Сырье и материалы'!$I$25:$I$162,"Материалы")</f>
        <v>0</v>
      </c>
      <c r="AH33" s="943">
        <f>AG33-AF33</f>
        <v>0</v>
      </c>
      <c r="AI33" s="7689">
        <f>_xlfn.SUMIFS('Сырье и материалы'!AH$25:AH$162,'Сырье и материалы'!$F$25:$F$162,$F33,'Сырье и материалы'!$I$25:$I$162,"Материалы")</f>
        <v>0</v>
      </c>
      <c r="AJ33" s="1252"/>
      <c r="AK33" s="942"/>
      <c r="AL33" s="942"/>
      <c r="AM33" s="942"/>
      <c r="AN33" s="942"/>
      <c r="AO33" s="942"/>
      <c r="AP33" s="942"/>
      <c r="AQ33" s="942"/>
      <c r="AR33" s="942"/>
      <c r="AS33" s="942"/>
      <c r="AT33" s="942"/>
      <c r="AU33" s="942"/>
      <c r="AV33" s="942"/>
      <c r="AW33" s="942"/>
      <c r="AX33" s="942"/>
      <c r="AY33" s="942"/>
      <c r="AZ33" s="942"/>
      <c r="BA33" s="942"/>
      <c r="BB33" s="942"/>
      <c r="BC33" s="942"/>
      <c r="BD33" s="942"/>
      <c r="BE33" s="942"/>
      <c r="BF33" s="942"/>
      <c r="BG33" s="942"/>
      <c r="BH33" s="942"/>
      <c r="BI33" s="942"/>
      <c r="BJ33" s="942"/>
      <c r="BK33" s="942"/>
      <c r="BL33" s="942"/>
      <c r="BM33" s="942"/>
      <c r="BN33" s="1251"/>
      <c r="BO33" s="1251"/>
      <c r="BP33" s="1251"/>
      <c r="BQ33" s="1278"/>
      <c r="BR33" s="1278"/>
      <c r="BS33" s="1062" t="s">
        <v>2442</v>
      </c>
      <c r="BT33" s="1064"/>
      <c r="BU33" s="1064"/>
      <c r="BV33" s="979"/>
      <c r="BW33" s="979"/>
    </row>
    <row customHeight="1" ht="21.9375" hidden="1">
      <c r="A34" s="1278"/>
      <c r="B34" s="978"/>
      <c r="C34" s="1278"/>
      <c r="D34" s="1278"/>
      <c r="E34" s="703">
        <v>22.5</v>
      </c>
      <c r="F34" s="50" cm="1" t="str">
        <f t="array" ref="F34:F34">OFFSET(E34,-1,1)</f>
        <v>0</v>
      </c>
      <c r="G34" s="1278"/>
      <c r="H34" s="378"/>
      <c r="I34" s="378" t="s">
        <v>2071</v>
      </c>
      <c r="J34" s="1278"/>
      <c r="K34" s="378" t="s">
        <v>2071</v>
      </c>
      <c r="L34" s="980" t="s">
        <v>1182</v>
      </c>
      <c r="M34" s="107"/>
      <c r="N34" s="1278"/>
      <c r="O34" s="1278"/>
      <c r="P34" s="1278"/>
      <c r="Q34" s="158" t="s">
        <v>2947</v>
      </c>
      <c r="R34" s="161" t="s">
        <v>2947</v>
      </c>
      <c r="S34" s="1278"/>
      <c r="T34" s="465" cm="1" t="str">
        <f t="array" ref="T34:T34">T33</f>
        <v>false</v>
      </c>
      <c r="U34" s="1278"/>
      <c r="V34" s="1278"/>
      <c r="W34" s="1278"/>
      <c r="X34" s="1563"/>
      <c r="Y34" s="1278"/>
      <c r="Z34" s="1546"/>
      <c r="AA34" s="1278"/>
      <c r="AB34" s="299" t="s">
        <v>2072</v>
      </c>
      <c r="AC34" s="765" t="s">
        <v>2644</v>
      </c>
      <c r="AD34" s="766" t="s">
        <v>1514</v>
      </c>
      <c r="AE34" s="1253"/>
      <c r="AF34" s="1253"/>
      <c r="AG34" s="1253"/>
      <c r="AH34" s="943">
        <f>AG34-AF34</f>
        <v>0</v>
      </c>
      <c r="AI34" s="7691"/>
      <c r="AJ34" s="1252"/>
      <c r="AK34" s="942"/>
      <c r="AL34" s="942"/>
      <c r="AM34" s="942"/>
      <c r="AN34" s="942"/>
      <c r="AO34" s="942"/>
      <c r="AP34" s="942"/>
      <c r="AQ34" s="942"/>
      <c r="AR34" s="942"/>
      <c r="AS34" s="942"/>
      <c r="AT34" s="942"/>
      <c r="AU34" s="942"/>
      <c r="AV34" s="942"/>
      <c r="AW34" s="942"/>
      <c r="AX34" s="942"/>
      <c r="AY34" s="942"/>
      <c r="AZ34" s="942"/>
      <c r="BA34" s="942"/>
      <c r="BB34" s="942"/>
      <c r="BC34" s="942"/>
      <c r="BD34" s="942"/>
      <c r="BE34" s="942"/>
      <c r="BF34" s="942"/>
      <c r="BG34" s="942"/>
      <c r="BH34" s="942"/>
      <c r="BI34" s="942"/>
      <c r="BJ34" s="942"/>
      <c r="BK34" s="942"/>
      <c r="BL34" s="942"/>
      <c r="BM34" s="942"/>
      <c r="BN34" s="1251"/>
      <c r="BO34" s="1251"/>
      <c r="BP34" s="1251"/>
      <c r="BQ34" s="1278"/>
      <c r="BR34" s="1278"/>
      <c r="BS34" s="1063" t="s">
        <v>2467</v>
      </c>
      <c r="BT34" s="1064"/>
      <c r="BU34" s="1064"/>
      <c r="BV34" s="979"/>
      <c r="BW34" s="979"/>
    </row>
    <row customHeight="1" ht="21.9375" hidden="1">
      <c r="A35" s="1278"/>
      <c r="B35" s="978"/>
      <c r="C35" s="1278"/>
      <c r="D35" s="1278"/>
      <c r="E35" s="703">
        <v>22.5</v>
      </c>
      <c r="F35" s="50" cm="1" t="str">
        <f t="array" ref="F35:F35">OFFSET(E35,-1,1)</f>
        <v>0</v>
      </c>
      <c r="G35" s="1278"/>
      <c r="H35" s="378"/>
      <c r="I35" s="378" t="s">
        <v>2075</v>
      </c>
      <c r="J35" s="1278"/>
      <c r="K35" s="378" t="s">
        <v>2075</v>
      </c>
      <c r="L35" s="980" t="s">
        <v>1186</v>
      </c>
      <c r="M35" s="107"/>
      <c r="N35" s="1278"/>
      <c r="O35" s="1278"/>
      <c r="P35" s="1278"/>
      <c r="Q35" s="158" t="s">
        <v>2947</v>
      </c>
      <c r="R35" s="161" t="s">
        <v>2947</v>
      </c>
      <c r="S35" s="1278"/>
      <c r="T35" s="465" cm="1" t="str">
        <f t="array" ref="T35:T35">T34</f>
        <v>false</v>
      </c>
      <c r="U35" s="1278"/>
      <c r="V35" s="1278"/>
      <c r="W35" s="1278"/>
      <c r="X35" s="1563"/>
      <c r="Y35" s="1278"/>
      <c r="Z35" s="1546"/>
      <c r="AA35" s="1278"/>
      <c r="AB35" s="299" t="s">
        <v>2076</v>
      </c>
      <c r="AC35" s="765" t="s">
        <v>2645</v>
      </c>
      <c r="AD35" s="766" t="s">
        <v>1514</v>
      </c>
      <c r="AE35" s="944">
        <f>AE36+AE37</f>
        <v>0</v>
      </c>
      <c r="AF35" s="944">
        <f>AF36+AF37</f>
        <v>0</v>
      </c>
      <c r="AG35" s="944">
        <f>AG36+AG37</f>
        <v>0</v>
      </c>
      <c r="AH35" s="943">
        <f>AG35-AF35</f>
        <v>0</v>
      </c>
      <c r="AI35" s="7693">
        <f>AI36+AI37</f>
        <v>0</v>
      </c>
      <c r="AJ35" s="1252"/>
      <c r="AK35" s="942"/>
      <c r="AL35" s="942"/>
      <c r="AM35" s="942"/>
      <c r="AN35" s="942"/>
      <c r="AO35" s="942"/>
      <c r="AP35" s="942"/>
      <c r="AQ35" s="942"/>
      <c r="AR35" s="942"/>
      <c r="AS35" s="942"/>
      <c r="AT35" s="942"/>
      <c r="AU35" s="942"/>
      <c r="AV35" s="942"/>
      <c r="AW35" s="942"/>
      <c r="AX35" s="942"/>
      <c r="AY35" s="942"/>
      <c r="AZ35" s="942"/>
      <c r="BA35" s="942"/>
      <c r="BB35" s="942"/>
      <c r="BC35" s="942"/>
      <c r="BD35" s="942"/>
      <c r="BE35" s="942"/>
      <c r="BF35" s="942"/>
      <c r="BG35" s="942"/>
      <c r="BH35" s="942"/>
      <c r="BI35" s="942"/>
      <c r="BJ35" s="942"/>
      <c r="BK35" s="942"/>
      <c r="BL35" s="942"/>
      <c r="BM35" s="942"/>
      <c r="BN35" s="1251"/>
      <c r="BO35" s="1251"/>
      <c r="BP35" s="1251"/>
      <c r="BQ35" s="1278"/>
      <c r="BR35" s="1278"/>
      <c r="BS35" s="1063" t="s">
        <v>2646</v>
      </c>
      <c r="BT35" s="1064"/>
      <c r="BU35" s="1064"/>
      <c r="BV35" s="979"/>
      <c r="BW35" s="979"/>
    </row>
    <row customHeight="1" ht="14.625" hidden="1">
      <c r="A36" s="1278"/>
      <c r="B36" s="978"/>
      <c r="C36" s="1278"/>
      <c r="D36" s="1278"/>
      <c r="E36" s="703">
        <v>15</v>
      </c>
      <c r="F36" s="50" cm="1" t="str">
        <f t="array" ref="F36:F36">OFFSET(E36,-1,1)</f>
        <v>0</v>
      </c>
      <c r="G36" s="349" t="s">
        <v>1866</v>
      </c>
      <c r="H36" s="378"/>
      <c r="I36" s="378" t="s">
        <v>2220</v>
      </c>
      <c r="J36" s="1278"/>
      <c r="K36" s="378" t="s">
        <v>2220</v>
      </c>
      <c r="L36" s="980" t="s">
        <v>2095</v>
      </c>
      <c r="M36" s="107"/>
      <c r="N36" s="1278"/>
      <c r="O36" s="1278"/>
      <c r="P36" s="1278"/>
      <c r="Q36" s="158" t="s">
        <v>2947</v>
      </c>
      <c r="R36" s="161" t="s">
        <v>2947</v>
      </c>
      <c r="S36" s="1278"/>
      <c r="T36" s="465" cm="1" t="str">
        <f t="array" ref="T36:T36">T35</f>
        <v>false</v>
      </c>
      <c r="U36" s="1278"/>
      <c r="V36" s="1278"/>
      <c r="W36" s="1278"/>
      <c r="X36" s="1563"/>
      <c r="Y36" s="1278"/>
      <c r="Z36" s="1546"/>
      <c r="AA36" s="1278"/>
      <c r="AB36" s="299" t="s">
        <v>2647</v>
      </c>
      <c r="AC36" s="768" t="s">
        <v>2470</v>
      </c>
      <c r="AD36" s="766" t="s">
        <v>1514</v>
      </c>
      <c r="AE36" s="1253"/>
      <c r="AF36" s="1253"/>
      <c r="AG36" s="1253"/>
      <c r="AH36" s="943">
        <f>AG36-AF36</f>
        <v>0</v>
      </c>
      <c r="AI36" s="7691"/>
      <c r="AJ36" s="1252"/>
      <c r="AK36" s="942"/>
      <c r="AL36" s="942"/>
      <c r="AM36" s="942"/>
      <c r="AN36" s="942"/>
      <c r="AO36" s="942"/>
      <c r="AP36" s="942"/>
      <c r="AQ36" s="942"/>
      <c r="AR36" s="942"/>
      <c r="AS36" s="942"/>
      <c r="AT36" s="942"/>
      <c r="AU36" s="942"/>
      <c r="AV36" s="942"/>
      <c r="AW36" s="942"/>
      <c r="AX36" s="942"/>
      <c r="AY36" s="942"/>
      <c r="AZ36" s="942"/>
      <c r="BA36" s="942"/>
      <c r="BB36" s="942"/>
      <c r="BC36" s="942"/>
      <c r="BD36" s="942"/>
      <c r="BE36" s="942"/>
      <c r="BF36" s="942"/>
      <c r="BG36" s="942"/>
      <c r="BH36" s="942"/>
      <c r="BI36" s="942"/>
      <c r="BJ36" s="942"/>
      <c r="BK36" s="942"/>
      <c r="BL36" s="942"/>
      <c r="BM36" s="942"/>
      <c r="BN36" s="1251"/>
      <c r="BO36" s="1254" t="str">
        <f>IF(_xlfn.IFERROR(INDEX(ФОТ!$K$26:$L$188,MATCH($F36&amp;"1komm",ФОТ!$K$26:$K$188,0),2),"")=0,"",_xlfn.IFERROR(INDEX(ФОТ!$K$26:$L$188,MATCH($F36&amp;"1komm",ФОТ!$K$26:$K$188,0),2),""))</f>
        <v/>
      </c>
      <c r="BP36" s="1251"/>
      <c r="BQ36" s="1278"/>
      <c r="BR36" s="1278"/>
      <c r="BS36" s="1062" t="s">
        <v>2471</v>
      </c>
      <c r="BT36" s="1064"/>
      <c r="BU36" s="1064"/>
      <c r="BV36" s="979"/>
      <c r="BW36" s="979"/>
    </row>
    <row customHeight="1" ht="21.9375" hidden="1">
      <c r="A37" s="1278"/>
      <c r="B37" s="978"/>
      <c r="C37" s="1278"/>
      <c r="D37" s="1278"/>
      <c r="E37" s="703">
        <v>22.5</v>
      </c>
      <c r="F37" s="50" cm="1" t="str">
        <f t="array" ref="F37:F37">OFFSET(E37,-1,1)</f>
        <v>0</v>
      </c>
      <c r="G37" s="349" t="s">
        <v>1878</v>
      </c>
      <c r="H37" s="378"/>
      <c r="I37" s="378" t="s">
        <v>2224</v>
      </c>
      <c r="J37" s="1278"/>
      <c r="K37" s="378" t="s">
        <v>2224</v>
      </c>
      <c r="L37" s="980" t="s">
        <v>2096</v>
      </c>
      <c r="M37" s="107"/>
      <c r="N37" s="1278"/>
      <c r="O37" s="1278"/>
      <c r="P37" s="1278"/>
      <c r="Q37" s="158" t="s">
        <v>2947</v>
      </c>
      <c r="R37" s="161" t="s">
        <v>2947</v>
      </c>
      <c r="S37" s="1278"/>
      <c r="T37" s="465" cm="1" t="str">
        <f t="array" ref="T37:T37">T36</f>
        <v>false</v>
      </c>
      <c r="U37" s="1278"/>
      <c r="V37" s="1278"/>
      <c r="W37" s="1278"/>
      <c r="X37" s="1563"/>
      <c r="Y37" s="1278"/>
      <c r="Z37" s="1546"/>
      <c r="AA37" s="1278"/>
      <c r="AB37" s="299" t="s">
        <v>2648</v>
      </c>
      <c r="AC37" s="768" t="s">
        <v>2649</v>
      </c>
      <c r="AD37" s="766" t="s">
        <v>1514</v>
      </c>
      <c r="AE37" s="1253">
        <f>AE36*_xlfn.SUMIFS(INDEX(Сценарии!$AE$25:$BF$163,,MATCH(AE$8,Сценарии!$AE$8:$BF$8,0)),Сценарии!$F$25:$F$163,$F37,Сценарии!$G$25:$G$163,"СВФОТ")/100</f>
        <v>0</v>
      </c>
      <c r="AF37" s="1253">
        <f>AF36*_xlfn.SUMIFS(INDEX(Сценарии!$AE$25:$BF$163,,MATCH(AF$8,Сценарии!$AE$8:$BF$8,0)),Сценарии!$F$25:$F$163,$F37,Сценарии!$G$25:$G$163,"СВФОТ")/100</f>
        <v>0</v>
      </c>
      <c r="AG37" s="1253">
        <f>AG36*_xlfn.SUMIFS(INDEX(Сценарии!$AE$25:$BF$163,,MATCH(AG$8,Сценарии!$AE$8:$BF$8,0)),Сценарии!$F$25:$F$163,$F37,Сценарии!$G$25:$G$163,"СВФОТ")/100</f>
        <v>0</v>
      </c>
      <c r="AH37" s="943">
        <f>AG37-AF37</f>
        <v>0</v>
      </c>
      <c r="AI37" s="7691">
        <f>AI36*_xlfn.SUMIFS(INDEX(Сценарии!$AE$25:$BF$163,,MATCH(AG$8,Сценарии!$AE$8:$BF$8,0)),Сценарии!$F$25:$F$163,$F37,Сценарии!$G$25:$G$163,"СВФОТ")/100</f>
        <v>0</v>
      </c>
      <c r="AJ37" s="1252"/>
      <c r="AK37" s="942"/>
      <c r="AL37" s="942"/>
      <c r="AM37" s="942"/>
      <c r="AN37" s="942"/>
      <c r="AO37" s="942"/>
      <c r="AP37" s="942"/>
      <c r="AQ37" s="942"/>
      <c r="AR37" s="942"/>
      <c r="AS37" s="942"/>
      <c r="AT37" s="942"/>
      <c r="AU37" s="942"/>
      <c r="AV37" s="942"/>
      <c r="AW37" s="942"/>
      <c r="AX37" s="942"/>
      <c r="AY37" s="942"/>
      <c r="AZ37" s="942"/>
      <c r="BA37" s="942"/>
      <c r="BB37" s="942"/>
      <c r="BC37" s="942"/>
      <c r="BD37" s="942"/>
      <c r="BE37" s="942"/>
      <c r="BF37" s="942"/>
      <c r="BG37" s="942"/>
      <c r="BH37" s="942"/>
      <c r="BI37" s="942"/>
      <c r="BJ37" s="942"/>
      <c r="BK37" s="942"/>
      <c r="BL37" s="942"/>
      <c r="BM37" s="942"/>
      <c r="BN37" s="1251"/>
      <c r="BO37" s="1254" t="str">
        <f>IF(_xlfn.IFERROR(INDEX(ФОТ!$K$26:$L$188,MATCH($F37&amp;"2komm",ФОТ!$K$26:$K$188,0),2),"")=0,"",_xlfn.IFERROR(INDEX(ФОТ!$K$26:$L$188,MATCH($F37&amp;"2komm",ФОТ!$K$26:$K$188,0),2),""))</f>
        <v/>
      </c>
      <c r="BP37" s="1251"/>
      <c r="BQ37" s="1278"/>
      <c r="BR37" s="1278"/>
      <c r="BS37" s="1062" t="s">
        <v>2473</v>
      </c>
      <c r="BT37" s="1064"/>
      <c r="BU37" s="1064"/>
      <c r="BV37" s="979"/>
      <c r="BW37" s="979"/>
    </row>
    <row customHeight="1" ht="14.625" hidden="1">
      <c r="A38" s="1278"/>
      <c r="B38" s="978"/>
      <c r="C38" s="1278"/>
      <c r="D38" s="1278"/>
      <c r="E38" s="703">
        <v>15</v>
      </c>
      <c r="F38" s="50" cm="1" t="str">
        <f t="array" ref="F38:F38">OFFSET(E38,-1,1)</f>
        <v>0</v>
      </c>
      <c r="G38" s="1278"/>
      <c r="H38" s="378"/>
      <c r="I38" s="378" t="s">
        <v>2235</v>
      </c>
      <c r="J38" s="1278"/>
      <c r="K38" s="378" t="s">
        <v>2235</v>
      </c>
      <c r="L38" s="980" t="s">
        <v>2475</v>
      </c>
      <c r="M38" s="107"/>
      <c r="N38" s="1278"/>
      <c r="O38" s="1278"/>
      <c r="P38" s="1278"/>
      <c r="Q38" s="158" t="s">
        <v>2947</v>
      </c>
      <c r="R38" s="161" t="s">
        <v>2947</v>
      </c>
      <c r="S38" s="1278"/>
      <c r="T38" s="465" cm="1" t="str">
        <f t="array" ref="T38:T38">T37</f>
        <v>false</v>
      </c>
      <c r="U38" s="1278"/>
      <c r="V38" s="1278"/>
      <c r="W38" s="1278"/>
      <c r="X38" s="1563"/>
      <c r="Y38" s="1278"/>
      <c r="Z38" s="1546"/>
      <c r="AA38" s="1278"/>
      <c r="AB38" s="299" t="s">
        <v>2449</v>
      </c>
      <c r="AC38" s="765" t="s">
        <v>2650</v>
      </c>
      <c r="AD38" s="766" t="s">
        <v>1514</v>
      </c>
      <c r="AE38" s="1253"/>
      <c r="AF38" s="1253"/>
      <c r="AG38" s="1253"/>
      <c r="AH38" s="943">
        <f>AG38-AF38</f>
        <v>0</v>
      </c>
      <c r="AI38" s="7691"/>
      <c r="AJ38" s="1252"/>
      <c r="AK38" s="942"/>
      <c r="AL38" s="942"/>
      <c r="AM38" s="942"/>
      <c r="AN38" s="942"/>
      <c r="AO38" s="942"/>
      <c r="AP38" s="942"/>
      <c r="AQ38" s="942"/>
      <c r="AR38" s="942"/>
      <c r="AS38" s="942"/>
      <c r="AT38" s="942"/>
      <c r="AU38" s="942"/>
      <c r="AV38" s="942"/>
      <c r="AW38" s="942"/>
      <c r="AX38" s="942"/>
      <c r="AY38" s="942"/>
      <c r="AZ38" s="942"/>
      <c r="BA38" s="942"/>
      <c r="BB38" s="942"/>
      <c r="BC38" s="942"/>
      <c r="BD38" s="942"/>
      <c r="BE38" s="942"/>
      <c r="BF38" s="942"/>
      <c r="BG38" s="942"/>
      <c r="BH38" s="942"/>
      <c r="BI38" s="942"/>
      <c r="BJ38" s="942"/>
      <c r="BK38" s="942"/>
      <c r="BL38" s="942"/>
      <c r="BM38" s="942"/>
      <c r="BN38" s="1251"/>
      <c r="BO38" s="1251"/>
      <c r="BP38" s="1251"/>
      <c r="BQ38" s="1278"/>
      <c r="BR38" s="1278"/>
      <c r="BS38" s="1063" t="s">
        <v>2478</v>
      </c>
      <c r="BT38" s="1064"/>
      <c r="BU38" s="1064"/>
      <c r="BV38" s="979"/>
      <c r="BW38" s="979"/>
    </row>
    <row customHeight="1" ht="14.625" hidden="1">
      <c r="A39" s="1278"/>
      <c r="B39" s="978"/>
      <c r="C39" s="1278"/>
      <c r="D39" s="1278"/>
      <c r="E39" s="703">
        <v>15</v>
      </c>
      <c r="F39" s="50" cm="1" t="str">
        <f t="array" ref="F39:F39">OFFSET(E39,-1,1)</f>
        <v>0</v>
      </c>
      <c r="G39" s="1278"/>
      <c r="H39" s="378"/>
      <c r="I39" s="378" t="s">
        <v>2239</v>
      </c>
      <c r="J39" s="1278"/>
      <c r="K39" s="378" t="s">
        <v>2239</v>
      </c>
      <c r="L39" s="980" t="s">
        <v>2479</v>
      </c>
      <c r="M39" s="1278"/>
      <c r="N39" s="1278"/>
      <c r="O39" s="1278"/>
      <c r="P39" s="1278"/>
      <c r="Q39" s="158" t="s">
        <v>2947</v>
      </c>
      <c r="R39" s="161" t="s">
        <v>2947</v>
      </c>
      <c r="S39" s="1278"/>
      <c r="T39" s="465" cm="1" t="str">
        <f t="array" ref="T39:T39">T38</f>
        <v>false</v>
      </c>
      <c r="U39" s="1278"/>
      <c r="V39" s="1278"/>
      <c r="W39" s="1278"/>
      <c r="X39" s="1563"/>
      <c r="Y39" s="1278"/>
      <c r="Z39" s="1546"/>
      <c r="AA39" s="1278"/>
      <c r="AB39" s="299" t="s">
        <v>2451</v>
      </c>
      <c r="AC39" s="765" t="s">
        <v>2651</v>
      </c>
      <c r="AD39" s="300" t="s">
        <v>1514</v>
      </c>
      <c r="AE39" s="944">
        <f>SUM(AE40:AE46)</f>
        <v>0</v>
      </c>
      <c r="AF39" s="944">
        <f>SUM(AF40:AF46)</f>
        <v>0</v>
      </c>
      <c r="AG39" s="944">
        <f>SUM(AG40:AG46)</f>
        <v>0</v>
      </c>
      <c r="AH39" s="943">
        <f>AG39-AF39</f>
        <v>0</v>
      </c>
      <c r="AI39" s="7693">
        <f>SUM(AI40:AI46)</f>
        <v>0</v>
      </c>
      <c r="AJ39" s="1252"/>
      <c r="AK39" s="942"/>
      <c r="AL39" s="942"/>
      <c r="AM39" s="942"/>
      <c r="AN39" s="942"/>
      <c r="AO39" s="942"/>
      <c r="AP39" s="942"/>
      <c r="AQ39" s="942"/>
      <c r="AR39" s="942"/>
      <c r="AS39" s="942"/>
      <c r="AT39" s="942"/>
      <c r="AU39" s="942"/>
      <c r="AV39" s="942"/>
      <c r="AW39" s="942"/>
      <c r="AX39" s="942"/>
      <c r="AY39" s="942"/>
      <c r="AZ39" s="942"/>
      <c r="BA39" s="942"/>
      <c r="BB39" s="942"/>
      <c r="BC39" s="942"/>
      <c r="BD39" s="942"/>
      <c r="BE39" s="942"/>
      <c r="BF39" s="942"/>
      <c r="BG39" s="942"/>
      <c r="BH39" s="942"/>
      <c r="BI39" s="942"/>
      <c r="BJ39" s="942"/>
      <c r="BK39" s="942"/>
      <c r="BL39" s="942"/>
      <c r="BM39" s="942"/>
      <c r="BN39" s="1251"/>
      <c r="BO39" s="1251"/>
      <c r="BP39" s="1251"/>
      <c r="BQ39" s="1278"/>
      <c r="BR39" s="1278"/>
      <c r="BS39" s="1063" t="s">
        <v>2652</v>
      </c>
      <c r="BT39" s="1064"/>
      <c r="BU39" s="1064"/>
      <c r="BV39" s="979"/>
      <c r="BW39" s="979"/>
    </row>
    <row customHeight="1" ht="14.625" hidden="1">
      <c r="A40" s="1278"/>
      <c r="B40" s="978"/>
      <c r="C40" s="1278"/>
      <c r="D40" s="1278"/>
      <c r="E40" s="703">
        <v>15</v>
      </c>
      <c r="F40" s="50" cm="1" t="str">
        <f t="array" ref="F40:F40">OFFSET(E40,-1,1)</f>
        <v>0</v>
      </c>
      <c r="G40" s="1278"/>
      <c r="H40" s="378"/>
      <c r="I40" s="378" t="s">
        <v>2653</v>
      </c>
      <c r="J40" s="1278"/>
      <c r="K40" s="378" t="s">
        <v>2653</v>
      </c>
      <c r="L40" s="980" t="s">
        <v>2479</v>
      </c>
      <c r="M40" s="107" t="s">
        <v>2487</v>
      </c>
      <c r="N40" s="1278"/>
      <c r="O40" s="1278"/>
      <c r="P40" s="1278"/>
      <c r="Q40" s="158" t="s">
        <v>2947</v>
      </c>
      <c r="R40" s="161" t="s">
        <v>2947</v>
      </c>
      <c r="S40" s="1278"/>
      <c r="T40" s="465" cm="1" t="str">
        <f t="array" ref="T40:T40">T39</f>
        <v>false</v>
      </c>
      <c r="U40" s="1278"/>
      <c r="V40" s="1278"/>
      <c r="W40" s="1278"/>
      <c r="X40" s="1563"/>
      <c r="Y40" s="1278"/>
      <c r="Z40" s="1546"/>
      <c r="AA40" s="1278"/>
      <c r="AB40" s="299" t="s">
        <v>2654</v>
      </c>
      <c r="AC40" s="768" t="s">
        <v>2655</v>
      </c>
      <c r="AD40" s="300" t="s">
        <v>1514</v>
      </c>
      <c r="AE40" s="1253"/>
      <c r="AF40" s="1253"/>
      <c r="AG40" s="1253"/>
      <c r="AH40" s="943">
        <f>AG40-AF40</f>
        <v>0</v>
      </c>
      <c r="AI40" s="7691"/>
      <c r="AJ40" s="1252"/>
      <c r="AK40" s="942"/>
      <c r="AL40" s="942"/>
      <c r="AM40" s="942"/>
      <c r="AN40" s="942"/>
      <c r="AO40" s="942"/>
      <c r="AP40" s="942"/>
      <c r="AQ40" s="942"/>
      <c r="AR40" s="942"/>
      <c r="AS40" s="942"/>
      <c r="AT40" s="942"/>
      <c r="AU40" s="942"/>
      <c r="AV40" s="942"/>
      <c r="AW40" s="942"/>
      <c r="AX40" s="942"/>
      <c r="AY40" s="942"/>
      <c r="AZ40" s="942"/>
      <c r="BA40" s="942"/>
      <c r="BB40" s="942"/>
      <c r="BC40" s="942"/>
      <c r="BD40" s="942"/>
      <c r="BE40" s="942"/>
      <c r="BF40" s="942"/>
      <c r="BG40" s="942"/>
      <c r="BH40" s="942"/>
      <c r="BI40" s="942"/>
      <c r="BJ40" s="942"/>
      <c r="BK40" s="942"/>
      <c r="BL40" s="942"/>
      <c r="BM40" s="942"/>
      <c r="BN40" s="1251"/>
      <c r="BO40" s="1251"/>
      <c r="BP40" s="1251"/>
      <c r="BQ40" s="1278"/>
      <c r="BR40" s="1278"/>
      <c r="BS40" s="1062" t="s">
        <v>2490</v>
      </c>
      <c r="BT40" s="1064"/>
      <c r="BU40" s="1064"/>
      <c r="BV40" s="979"/>
      <c r="BW40" s="979"/>
    </row>
    <row customHeight="1" ht="21.9375" hidden="1">
      <c r="A41" s="1278"/>
      <c r="B41" s="978"/>
      <c r="C41" s="1278"/>
      <c r="D41" s="1278"/>
      <c r="E41" s="703">
        <v>22.5</v>
      </c>
      <c r="F41" s="50" cm="1" t="str">
        <f t="array" ref="F41:F41">OFFSET(E41,-1,1)</f>
        <v>0</v>
      </c>
      <c r="G41" s="1278"/>
      <c r="H41" s="378"/>
      <c r="I41" s="378" t="s">
        <v>2656</v>
      </c>
      <c r="J41" s="1278"/>
      <c r="K41" s="378" t="s">
        <v>2656</v>
      </c>
      <c r="L41" s="980" t="s">
        <v>2479</v>
      </c>
      <c r="M41" s="107" t="s">
        <v>2483</v>
      </c>
      <c r="N41" s="1278"/>
      <c r="O41" s="1278"/>
      <c r="P41" s="1278"/>
      <c r="Q41" s="158" t="s">
        <v>2947</v>
      </c>
      <c r="R41" s="161" t="s">
        <v>2947</v>
      </c>
      <c r="S41" s="1278"/>
      <c r="T41" s="465" cm="1" t="str">
        <f t="array" ref="T41:T41">T40</f>
        <v>false</v>
      </c>
      <c r="U41" s="1278"/>
      <c r="V41" s="1278"/>
      <c r="W41" s="1278"/>
      <c r="X41" s="1563"/>
      <c r="Y41" s="1278"/>
      <c r="Z41" s="1546"/>
      <c r="AA41" s="1278"/>
      <c r="AB41" s="299" t="s">
        <v>2657</v>
      </c>
      <c r="AC41" s="768" t="s">
        <v>2658</v>
      </c>
      <c r="AD41" s="300" t="s">
        <v>1514</v>
      </c>
      <c r="AE41" s="1253"/>
      <c r="AF41" s="1253"/>
      <c r="AG41" s="1253"/>
      <c r="AH41" s="943">
        <f>AG41-AF41</f>
        <v>0</v>
      </c>
      <c r="AI41" s="7691"/>
      <c r="AJ41" s="1252"/>
      <c r="AK41" s="942"/>
      <c r="AL41" s="942"/>
      <c r="AM41" s="942"/>
      <c r="AN41" s="942"/>
      <c r="AO41" s="942"/>
      <c r="AP41" s="942"/>
      <c r="AQ41" s="942"/>
      <c r="AR41" s="942"/>
      <c r="AS41" s="942"/>
      <c r="AT41" s="942"/>
      <c r="AU41" s="942"/>
      <c r="AV41" s="942"/>
      <c r="AW41" s="942"/>
      <c r="AX41" s="942"/>
      <c r="AY41" s="942"/>
      <c r="AZ41" s="942"/>
      <c r="BA41" s="942"/>
      <c r="BB41" s="942"/>
      <c r="BC41" s="942"/>
      <c r="BD41" s="942"/>
      <c r="BE41" s="942"/>
      <c r="BF41" s="942"/>
      <c r="BG41" s="942"/>
      <c r="BH41" s="942"/>
      <c r="BI41" s="942"/>
      <c r="BJ41" s="942"/>
      <c r="BK41" s="942"/>
      <c r="BL41" s="942"/>
      <c r="BM41" s="942"/>
      <c r="BN41" s="1251"/>
      <c r="BO41" s="1251"/>
      <c r="BP41" s="1251"/>
      <c r="BQ41" s="1278"/>
      <c r="BR41" s="1278"/>
      <c r="BS41" s="1064" t="s">
        <v>2659</v>
      </c>
      <c r="BT41" s="1064"/>
      <c r="BU41" s="1064"/>
      <c r="BV41" s="979"/>
      <c r="BW41" s="979"/>
    </row>
    <row customHeight="1" ht="21.9375" hidden="1">
      <c r="A42" s="1278"/>
      <c r="B42" s="978"/>
      <c r="C42" s="1278"/>
      <c r="D42" s="1278"/>
      <c r="E42" s="703">
        <v>22.5</v>
      </c>
      <c r="F42" s="50" cm="1" t="str">
        <f t="array" ref="F42:F42">OFFSET(E42,-1,1)</f>
        <v>0</v>
      </c>
      <c r="G42" s="1278"/>
      <c r="H42" s="378"/>
      <c r="I42" s="378" t="s">
        <v>2660</v>
      </c>
      <c r="J42" s="1278"/>
      <c r="K42" s="378" t="s">
        <v>2660</v>
      </c>
      <c r="L42" s="1278"/>
      <c r="M42" s="1278"/>
      <c r="N42" s="1278"/>
      <c r="O42" s="1278"/>
      <c r="P42" s="1278"/>
      <c r="Q42" s="158" t="s">
        <v>2947</v>
      </c>
      <c r="R42" s="161" t="s">
        <v>2947</v>
      </c>
      <c r="S42" s="1278"/>
      <c r="T42" s="465" cm="1" t="str">
        <f t="array" ref="T42:T42">T41</f>
        <v>false</v>
      </c>
      <c r="U42" s="1278"/>
      <c r="V42" s="1278"/>
      <c r="W42" s="1278"/>
      <c r="X42" s="1563"/>
      <c r="Y42" s="1278"/>
      <c r="Z42" s="1546"/>
      <c r="AA42" s="1278"/>
      <c r="AB42" s="299" t="s">
        <v>2661</v>
      </c>
      <c r="AC42" s="769" t="s">
        <v>2662</v>
      </c>
      <c r="AD42" s="300" t="s">
        <v>1514</v>
      </c>
      <c r="AE42" s="1253"/>
      <c r="AF42" s="1253"/>
      <c r="AG42" s="1253"/>
      <c r="AH42" s="943">
        <f>AG42-AF42</f>
        <v>0</v>
      </c>
      <c r="AI42" s="7691"/>
      <c r="AJ42" s="1252"/>
      <c r="AK42" s="942"/>
      <c r="AL42" s="942"/>
      <c r="AM42" s="942"/>
      <c r="AN42" s="942"/>
      <c r="AO42" s="942"/>
      <c r="AP42" s="942"/>
      <c r="AQ42" s="942"/>
      <c r="AR42" s="942"/>
      <c r="AS42" s="942"/>
      <c r="AT42" s="942"/>
      <c r="AU42" s="942"/>
      <c r="AV42" s="942"/>
      <c r="AW42" s="942"/>
      <c r="AX42" s="942"/>
      <c r="AY42" s="942"/>
      <c r="AZ42" s="942"/>
      <c r="BA42" s="942"/>
      <c r="BB42" s="942"/>
      <c r="BC42" s="942"/>
      <c r="BD42" s="942"/>
      <c r="BE42" s="942"/>
      <c r="BF42" s="942"/>
      <c r="BG42" s="942"/>
      <c r="BH42" s="942"/>
      <c r="BI42" s="942"/>
      <c r="BJ42" s="942"/>
      <c r="BK42" s="942"/>
      <c r="BL42" s="942"/>
      <c r="BM42" s="942"/>
      <c r="BN42" s="1251"/>
      <c r="BO42" s="1251"/>
      <c r="BP42" s="1251"/>
      <c r="BQ42" s="1278"/>
      <c r="BR42" s="1278"/>
      <c r="BS42" s="1064" t="s">
        <v>2663</v>
      </c>
      <c r="BT42" s="1064"/>
      <c r="BU42" s="1064"/>
      <c r="BV42" s="979"/>
      <c r="BW42" s="979"/>
    </row>
    <row customHeight="1" ht="21.9375" hidden="1">
      <c r="A43" s="1278"/>
      <c r="B43" s="978"/>
      <c r="C43" s="1278"/>
      <c r="D43" s="1278"/>
      <c r="E43" s="703">
        <v>22.5</v>
      </c>
      <c r="F43" s="50" cm="1" t="str">
        <f t="array" ref="F43:F43">OFFSET(E43,-1,1)</f>
        <v>0</v>
      </c>
      <c r="G43" s="1278"/>
      <c r="H43" s="378"/>
      <c r="I43" s="378" t="s">
        <v>2664</v>
      </c>
      <c r="J43" s="1278"/>
      <c r="K43" s="378" t="s">
        <v>2664</v>
      </c>
      <c r="L43" s="980"/>
      <c r="M43" s="1278"/>
      <c r="N43" s="1278"/>
      <c r="O43" s="1278"/>
      <c r="P43" s="1278"/>
      <c r="Q43" s="158" t="s">
        <v>2947</v>
      </c>
      <c r="R43" s="161" t="s">
        <v>2947</v>
      </c>
      <c r="S43" s="1278"/>
      <c r="T43" s="465" cm="1" t="str">
        <f t="array" ref="T43:T43">T42</f>
        <v>false</v>
      </c>
      <c r="U43" s="1278"/>
      <c r="V43" s="1278"/>
      <c r="W43" s="1278"/>
      <c r="X43" s="1563"/>
      <c r="Y43" s="1278"/>
      <c r="Z43" s="1546"/>
      <c r="AA43" s="1278"/>
      <c r="AB43" s="299" t="s">
        <v>2665</v>
      </c>
      <c r="AC43" s="769" t="s">
        <v>2666</v>
      </c>
      <c r="AD43" s="300" t="s">
        <v>1514</v>
      </c>
      <c r="AE43" s="1253"/>
      <c r="AF43" s="1253"/>
      <c r="AG43" s="1253"/>
      <c r="AH43" s="943">
        <f>AG43-AF43</f>
        <v>0</v>
      </c>
      <c r="AI43" s="7691"/>
      <c r="AJ43" s="1252"/>
      <c r="AK43" s="942"/>
      <c r="AL43" s="942"/>
      <c r="AM43" s="942"/>
      <c r="AN43" s="942"/>
      <c r="AO43" s="942"/>
      <c r="AP43" s="942"/>
      <c r="AQ43" s="942"/>
      <c r="AR43" s="942"/>
      <c r="AS43" s="942"/>
      <c r="AT43" s="942"/>
      <c r="AU43" s="942"/>
      <c r="AV43" s="942"/>
      <c r="AW43" s="942"/>
      <c r="AX43" s="942"/>
      <c r="AY43" s="942"/>
      <c r="AZ43" s="942"/>
      <c r="BA43" s="942"/>
      <c r="BB43" s="942"/>
      <c r="BC43" s="942"/>
      <c r="BD43" s="942"/>
      <c r="BE43" s="942"/>
      <c r="BF43" s="942"/>
      <c r="BG43" s="942"/>
      <c r="BH43" s="942"/>
      <c r="BI43" s="942"/>
      <c r="BJ43" s="942"/>
      <c r="BK43" s="942"/>
      <c r="BL43" s="942"/>
      <c r="BM43" s="942"/>
      <c r="BN43" s="1251"/>
      <c r="BO43" s="1251"/>
      <c r="BP43" s="1251"/>
      <c r="BQ43" s="1278"/>
      <c r="BR43" s="1278"/>
      <c r="BS43" s="1064" t="s">
        <v>2667</v>
      </c>
      <c r="BT43" s="1064"/>
      <c r="BU43" s="1064"/>
      <c r="BV43" s="979"/>
      <c r="BW43" s="979"/>
    </row>
    <row customHeight="1" ht="43.875" hidden="1">
      <c r="A44" s="1278"/>
      <c r="B44" s="978"/>
      <c r="C44" s="1278"/>
      <c r="D44" s="1278"/>
      <c r="E44" s="703">
        <v>45</v>
      </c>
      <c r="F44" s="50" cm="1" t="str">
        <f t="array" ref="F44:F44">OFFSET(E44,-1,1)</f>
        <v>0</v>
      </c>
      <c r="G44" s="1278"/>
      <c r="H44" s="378"/>
      <c r="I44" s="378" t="s">
        <v>2668</v>
      </c>
      <c r="J44" s="1278"/>
      <c r="K44" s="378" t="s">
        <v>2668</v>
      </c>
      <c r="L44" s="980" t="s">
        <v>2479</v>
      </c>
      <c r="M44" s="107" t="s">
        <v>2491</v>
      </c>
      <c r="N44" s="1278"/>
      <c r="O44" s="1278"/>
      <c r="P44" s="1278"/>
      <c r="Q44" s="158" t="s">
        <v>2947</v>
      </c>
      <c r="R44" s="161" t="s">
        <v>2947</v>
      </c>
      <c r="S44" s="1278"/>
      <c r="T44" s="465" cm="1" t="str">
        <f t="array" ref="T44:T44">T43</f>
        <v>false</v>
      </c>
      <c r="U44" s="1278"/>
      <c r="V44" s="1278"/>
      <c r="W44" s="1278"/>
      <c r="X44" s="1563"/>
      <c r="Y44" s="1278"/>
      <c r="Z44" s="1546"/>
      <c r="AA44" s="1278"/>
      <c r="AB44" s="299" t="s">
        <v>2669</v>
      </c>
      <c r="AC44" s="768" t="s">
        <v>2670</v>
      </c>
      <c r="AD44" s="300" t="s">
        <v>1514</v>
      </c>
      <c r="AE44" s="1253"/>
      <c r="AF44" s="1253"/>
      <c r="AG44" s="1253"/>
      <c r="AH44" s="943">
        <f>AG44-AF44</f>
        <v>0</v>
      </c>
      <c r="AI44" s="7691"/>
      <c r="AJ44" s="1252"/>
      <c r="AK44" s="942"/>
      <c r="AL44" s="942"/>
      <c r="AM44" s="942"/>
      <c r="AN44" s="942"/>
      <c r="AO44" s="942"/>
      <c r="AP44" s="942"/>
      <c r="AQ44" s="942"/>
      <c r="AR44" s="942"/>
      <c r="AS44" s="942"/>
      <c r="AT44" s="942"/>
      <c r="AU44" s="942"/>
      <c r="AV44" s="942"/>
      <c r="AW44" s="942"/>
      <c r="AX44" s="942"/>
      <c r="AY44" s="942"/>
      <c r="AZ44" s="942"/>
      <c r="BA44" s="942"/>
      <c r="BB44" s="942"/>
      <c r="BC44" s="942"/>
      <c r="BD44" s="942"/>
      <c r="BE44" s="942"/>
      <c r="BF44" s="942"/>
      <c r="BG44" s="942"/>
      <c r="BH44" s="942"/>
      <c r="BI44" s="942"/>
      <c r="BJ44" s="942"/>
      <c r="BK44" s="942"/>
      <c r="BL44" s="942"/>
      <c r="BM44" s="942"/>
      <c r="BN44" s="1251"/>
      <c r="BO44" s="1251"/>
      <c r="BP44" s="1251"/>
      <c r="BQ44" s="1278"/>
      <c r="BR44" s="1278"/>
      <c r="BS44" s="1064" t="s">
        <v>2494</v>
      </c>
      <c r="BT44" s="1064"/>
      <c r="BU44" s="1064"/>
      <c r="BV44" s="979"/>
      <c r="BW44" s="979"/>
    </row>
    <row customHeight="1" ht="14.625" hidden="1">
      <c r="A45" s="1278"/>
      <c r="B45" s="978"/>
      <c r="C45" s="1278"/>
      <c r="D45" s="1278"/>
      <c r="E45" s="703">
        <v>15</v>
      </c>
      <c r="F45" s="50" cm="1" t="str">
        <f t="array" ref="F45:F45">OFFSET(E45,-1,1)</f>
        <v>0</v>
      </c>
      <c r="G45" s="1278"/>
      <c r="H45" s="378"/>
      <c r="I45" s="378" t="s">
        <v>2671</v>
      </c>
      <c r="J45" s="1278"/>
      <c r="K45" s="378" t="s">
        <v>2671</v>
      </c>
      <c r="L45" s="980" t="s">
        <v>2479</v>
      </c>
      <c r="M45" s="107" t="s">
        <v>2495</v>
      </c>
      <c r="N45" s="1278"/>
      <c r="O45" s="1278"/>
      <c r="P45" s="1278"/>
      <c r="Q45" s="158" t="s">
        <v>2947</v>
      </c>
      <c r="R45" s="161" t="s">
        <v>2947</v>
      </c>
      <c r="S45" s="1278"/>
      <c r="T45" s="465" cm="1" t="str">
        <f t="array" ref="T45:T45">T44</f>
        <v>false</v>
      </c>
      <c r="U45" s="1278"/>
      <c r="V45" s="1278"/>
      <c r="W45" s="1278"/>
      <c r="X45" s="1563"/>
      <c r="Y45" s="1278"/>
      <c r="Z45" s="1546"/>
      <c r="AA45" s="1278"/>
      <c r="AB45" s="299" t="s">
        <v>2672</v>
      </c>
      <c r="AC45" s="768" t="s">
        <v>2497</v>
      </c>
      <c r="AD45" s="300" t="s">
        <v>1514</v>
      </c>
      <c r="AE45" s="1253"/>
      <c r="AF45" s="1253"/>
      <c r="AG45" s="1253"/>
      <c r="AH45" s="943">
        <f>AG45-AF45</f>
        <v>0</v>
      </c>
      <c r="AI45" s="7691"/>
      <c r="AJ45" s="1252"/>
      <c r="AK45" s="942"/>
      <c r="AL45" s="942"/>
      <c r="AM45" s="942"/>
      <c r="AN45" s="942"/>
      <c r="AO45" s="942"/>
      <c r="AP45" s="942"/>
      <c r="AQ45" s="942"/>
      <c r="AR45" s="942"/>
      <c r="AS45" s="942"/>
      <c r="AT45" s="942"/>
      <c r="AU45" s="942"/>
      <c r="AV45" s="942"/>
      <c r="AW45" s="942"/>
      <c r="AX45" s="942"/>
      <c r="AY45" s="942"/>
      <c r="AZ45" s="942"/>
      <c r="BA45" s="942"/>
      <c r="BB45" s="942"/>
      <c r="BC45" s="942"/>
      <c r="BD45" s="942"/>
      <c r="BE45" s="942"/>
      <c r="BF45" s="942"/>
      <c r="BG45" s="942"/>
      <c r="BH45" s="942"/>
      <c r="BI45" s="942"/>
      <c r="BJ45" s="942"/>
      <c r="BK45" s="942"/>
      <c r="BL45" s="942"/>
      <c r="BM45" s="942"/>
      <c r="BN45" s="1251"/>
      <c r="BO45" s="1251"/>
      <c r="BP45" s="1251"/>
      <c r="BQ45" s="1278"/>
      <c r="BR45" s="1278"/>
      <c r="BS45" s="1064" t="s">
        <v>2498</v>
      </c>
      <c r="BT45" s="1064"/>
      <c r="BU45" s="1064"/>
      <c r="BV45" s="979"/>
      <c r="BW45" s="979"/>
    </row>
    <row customHeight="1" ht="14.625" hidden="1">
      <c r="A46" s="1278"/>
      <c r="B46" s="978"/>
      <c r="C46" s="1278"/>
      <c r="D46" s="1278"/>
      <c r="E46" s="703">
        <v>15</v>
      </c>
      <c r="F46" s="50" cm="1" t="str">
        <f t="array" ref="F46:F46">OFFSET(E46,-1,1)</f>
        <v>0</v>
      </c>
      <c r="G46" s="1278"/>
      <c r="H46" s="378"/>
      <c r="I46" s="378" t="s">
        <v>2673</v>
      </c>
      <c r="J46" s="1278"/>
      <c r="K46" s="378" t="s">
        <v>2673</v>
      </c>
      <c r="L46" s="980"/>
      <c r="M46" s="107"/>
      <c r="N46" s="1278"/>
      <c r="O46" s="1278"/>
      <c r="P46" s="1278"/>
      <c r="Q46" s="158" t="s">
        <v>2947</v>
      </c>
      <c r="R46" s="161" t="s">
        <v>2947</v>
      </c>
      <c r="S46" s="1278"/>
      <c r="T46" s="465" cm="1" t="str">
        <f t="array" ref="T46:T46">T45</f>
        <v>false</v>
      </c>
      <c r="U46" s="1278"/>
      <c r="V46" s="1278"/>
      <c r="W46" s="1278"/>
      <c r="X46" s="1563"/>
      <c r="Y46" s="1278"/>
      <c r="Z46" s="1546"/>
      <c r="AA46" s="1278"/>
      <c r="AB46" s="299" t="s">
        <v>2674</v>
      </c>
      <c r="AC46" s="768" t="s">
        <v>2675</v>
      </c>
      <c r="AD46" s="300" t="s">
        <v>1514</v>
      </c>
      <c r="AE46" s="1253"/>
      <c r="AF46" s="1253"/>
      <c r="AG46" s="1253"/>
      <c r="AH46" s="943">
        <f>AG46-AF46</f>
        <v>0</v>
      </c>
      <c r="AI46" s="7691"/>
      <c r="AJ46" s="7695"/>
      <c r="AK46" s="942"/>
      <c r="AL46" s="942"/>
      <c r="AM46" s="942"/>
      <c r="AN46" s="942"/>
      <c r="AO46" s="942"/>
      <c r="AP46" s="942"/>
      <c r="AQ46" s="942"/>
      <c r="AR46" s="942"/>
      <c r="AS46" s="942"/>
      <c r="AT46" s="942"/>
      <c r="AU46" s="942"/>
      <c r="AV46" s="942"/>
      <c r="AW46" s="942"/>
      <c r="AX46" s="942"/>
      <c r="AY46" s="942"/>
      <c r="AZ46" s="942"/>
      <c r="BA46" s="942"/>
      <c r="BB46" s="942"/>
      <c r="BC46" s="942"/>
      <c r="BD46" s="942"/>
      <c r="BE46" s="942"/>
      <c r="BF46" s="942"/>
      <c r="BG46" s="942"/>
      <c r="BH46" s="942"/>
      <c r="BI46" s="942"/>
      <c r="BJ46" s="942"/>
      <c r="BK46" s="942"/>
      <c r="BL46" s="942"/>
      <c r="BM46" s="942"/>
      <c r="BN46" s="1251"/>
      <c r="BO46" s="1251"/>
      <c r="BP46" s="1251"/>
      <c r="BQ46" s="1278"/>
      <c r="BR46" s="1278"/>
      <c r="BS46" s="1064" t="s">
        <v>2482</v>
      </c>
      <c r="BT46" s="1064"/>
      <c r="BU46" s="1064"/>
      <c r="BV46" s="979"/>
      <c r="BW46" s="979"/>
    </row>
    <row s="700" customFormat="1" customHeight="1" ht="20.475" hidden="1">
      <c r="A47" s="700"/>
      <c r="B47" s="435"/>
      <c r="C47" s="700"/>
      <c r="D47" s="700"/>
      <c r="E47" s="707">
        <v>21</v>
      </c>
      <c r="F47" s="50" cm="1" t="str">
        <f t="array" ref="F47:F47">OFFSET(E47,-1,1)</f>
        <v>0</v>
      </c>
      <c r="G47" s="700"/>
      <c r="H47" s="378"/>
      <c r="I47" s="378" t="s">
        <v>1182</v>
      </c>
      <c r="J47" s="700"/>
      <c r="K47" s="378" t="s">
        <v>1182</v>
      </c>
      <c r="L47" s="985"/>
      <c r="M47" s="109"/>
      <c r="N47" s="700"/>
      <c r="O47" s="700"/>
      <c r="P47" s="700"/>
      <c r="Q47" s="158" t="s">
        <v>2947</v>
      </c>
      <c r="R47" s="161" t="s">
        <v>2947</v>
      </c>
      <c r="S47" s="700"/>
      <c r="T47" s="465" cm="1" t="str">
        <f t="array" ref="T47:T47">T46</f>
        <v>false</v>
      </c>
      <c r="U47" s="700"/>
      <c r="V47" s="700"/>
      <c r="W47" s="700"/>
      <c r="X47" s="1563"/>
      <c r="Y47" s="700"/>
      <c r="Z47" s="1546"/>
      <c r="AA47" s="700"/>
      <c r="AB47" s="218" t="s">
        <v>1634</v>
      </c>
      <c r="AC47" s="361" t="s">
        <v>2501</v>
      </c>
      <c r="AD47" s="211" t="s">
        <v>1514</v>
      </c>
      <c r="AE47" s="770">
        <f>AE48+AE49+AE50</f>
        <v>0</v>
      </c>
      <c r="AF47" s="770">
        <f>AF48+AF49+AF50</f>
        <v>0</v>
      </c>
      <c r="AG47" s="770">
        <f>AG48+AG49+AG50</f>
        <v>0</v>
      </c>
      <c r="AH47" s="761">
        <f>AG47-AF47</f>
        <v>0</v>
      </c>
      <c r="AI47" s="7697">
        <f>AI48+AI49+AI50</f>
        <v>0</v>
      </c>
      <c r="AJ47" s="1252"/>
      <c r="AK47" s="764"/>
      <c r="AL47" s="764"/>
      <c r="AM47" s="764"/>
      <c r="AN47" s="764"/>
      <c r="AO47" s="764"/>
      <c r="AP47" s="764"/>
      <c r="AQ47" s="764"/>
      <c r="AR47" s="764"/>
      <c r="AS47" s="764"/>
      <c r="AT47" s="764"/>
      <c r="AU47" s="764"/>
      <c r="AV47" s="764"/>
      <c r="AW47" s="764"/>
      <c r="AX47" s="764"/>
      <c r="AY47" s="764"/>
      <c r="AZ47" s="764"/>
      <c r="BA47" s="764"/>
      <c r="BB47" s="764"/>
      <c r="BC47" s="764"/>
      <c r="BD47" s="764"/>
      <c r="BE47" s="764"/>
      <c r="BF47" s="764"/>
      <c r="BG47" s="764"/>
      <c r="BH47" s="764"/>
      <c r="BI47" s="764"/>
      <c r="BJ47" s="764"/>
      <c r="BK47" s="764"/>
      <c r="BL47" s="764"/>
      <c r="BM47" s="764"/>
      <c r="BN47" s="1247"/>
      <c r="BO47" s="1247"/>
      <c r="BP47" s="1247"/>
      <c r="BQ47" s="700"/>
      <c r="BR47" s="700"/>
      <c r="BS47" s="1063" t="s">
        <v>2502</v>
      </c>
      <c r="BT47" s="1070"/>
      <c r="BU47" s="1070"/>
      <c r="BV47" s="707"/>
      <c r="BW47" s="707"/>
    </row>
    <row customHeight="1" ht="21.9375" hidden="1">
      <c r="A48" s="1278"/>
      <c r="B48" s="978"/>
      <c r="C48" s="1278"/>
      <c r="D48" s="1278"/>
      <c r="E48" s="703">
        <v>22.5</v>
      </c>
      <c r="F48" s="50" cm="1" t="str">
        <f t="array" ref="F48:F48">OFFSET(E48,-1,1)</f>
        <v>0</v>
      </c>
      <c r="G48" s="1278"/>
      <c r="H48" s="378"/>
      <c r="I48" s="378" t="s">
        <v>2081</v>
      </c>
      <c r="J48" s="1278"/>
      <c r="K48" s="378" t="s">
        <v>2081</v>
      </c>
      <c r="L48" s="980"/>
      <c r="M48" s="107"/>
      <c r="N48" s="1278"/>
      <c r="O48" s="1278"/>
      <c r="P48" s="1278"/>
      <c r="Q48" s="158" t="s">
        <v>2947</v>
      </c>
      <c r="R48" s="161" t="s">
        <v>2947</v>
      </c>
      <c r="S48" s="1278"/>
      <c r="T48" s="465" cm="1" t="str">
        <f t="array" ref="T48:T48">T47</f>
        <v>false</v>
      </c>
      <c r="U48" s="1278"/>
      <c r="V48" s="1278"/>
      <c r="W48" s="1278"/>
      <c r="X48" s="1563"/>
      <c r="Y48" s="1278"/>
      <c r="Z48" s="1546"/>
      <c r="AA48" s="1278"/>
      <c r="AB48" s="299" t="s">
        <v>2082</v>
      </c>
      <c r="AC48" s="765" t="s">
        <v>2676</v>
      </c>
      <c r="AD48" s="300" t="s">
        <v>1514</v>
      </c>
      <c r="AE48" s="1253"/>
      <c r="AF48" s="1253"/>
      <c r="AG48" s="1253"/>
      <c r="AH48" s="943">
        <f>AG48-AF48</f>
        <v>0</v>
      </c>
      <c r="AI48" s="7691"/>
      <c r="AJ48" s="1252"/>
      <c r="AK48" s="942"/>
      <c r="AL48" s="942"/>
      <c r="AM48" s="942"/>
      <c r="AN48" s="942"/>
      <c r="AO48" s="942"/>
      <c r="AP48" s="942"/>
      <c r="AQ48" s="942"/>
      <c r="AR48" s="942"/>
      <c r="AS48" s="942"/>
      <c r="AT48" s="942"/>
      <c r="AU48" s="942"/>
      <c r="AV48" s="942"/>
      <c r="AW48" s="942"/>
      <c r="AX48" s="942"/>
      <c r="AY48" s="942"/>
      <c r="AZ48" s="942"/>
      <c r="BA48" s="942"/>
      <c r="BB48" s="942"/>
      <c r="BC48" s="942"/>
      <c r="BD48" s="942"/>
      <c r="BE48" s="942"/>
      <c r="BF48" s="942"/>
      <c r="BG48" s="942"/>
      <c r="BH48" s="942"/>
      <c r="BI48" s="942"/>
      <c r="BJ48" s="942"/>
      <c r="BK48" s="942"/>
      <c r="BL48" s="942"/>
      <c r="BM48" s="942"/>
      <c r="BN48" s="1251"/>
      <c r="BO48" s="1251"/>
      <c r="BP48" s="1251"/>
      <c r="BQ48" s="1278"/>
      <c r="BR48" s="1278"/>
      <c r="BS48" s="1062" t="s">
        <v>2504</v>
      </c>
      <c r="BT48" s="1064"/>
      <c r="BU48" s="1064"/>
      <c r="BV48" s="979"/>
      <c r="BW48" s="979"/>
    </row>
    <row customHeight="1" ht="21.9375" hidden="1">
      <c r="A49" s="1278"/>
      <c r="B49" s="978"/>
      <c r="C49" s="1278"/>
      <c r="D49" s="1278"/>
      <c r="E49" s="703">
        <v>22.5</v>
      </c>
      <c r="F49" s="50" cm="1" t="str">
        <f t="array" ref="F49:F49">OFFSET(E49,-1,1)</f>
        <v>0</v>
      </c>
      <c r="G49" s="1278"/>
      <c r="H49" s="378"/>
      <c r="I49" s="378" t="s">
        <v>2085</v>
      </c>
      <c r="J49" s="1278"/>
      <c r="K49" s="378" t="s">
        <v>2085</v>
      </c>
      <c r="L49" s="980"/>
      <c r="M49" s="107"/>
      <c r="N49" s="1278"/>
      <c r="O49" s="1278"/>
      <c r="P49" s="1278"/>
      <c r="Q49" s="158" t="s">
        <v>2947</v>
      </c>
      <c r="R49" s="161" t="s">
        <v>2947</v>
      </c>
      <c r="S49" s="1278"/>
      <c r="T49" s="465" cm="1" t="str">
        <f t="array" ref="T49:T49">T48</f>
        <v>false</v>
      </c>
      <c r="U49" s="1278"/>
      <c r="V49" s="1278"/>
      <c r="W49" s="1278"/>
      <c r="X49" s="1563"/>
      <c r="Y49" s="1278"/>
      <c r="Z49" s="1546"/>
      <c r="AA49" s="1278"/>
      <c r="AB49" s="299" t="s">
        <v>2086</v>
      </c>
      <c r="AC49" s="765" t="s">
        <v>2677</v>
      </c>
      <c r="AD49" s="300" t="s">
        <v>1514</v>
      </c>
      <c r="AE49" s="1253"/>
      <c r="AF49" s="1253"/>
      <c r="AG49" s="1253"/>
      <c r="AH49" s="943">
        <f>AG49-AF49</f>
        <v>0</v>
      </c>
      <c r="AI49" s="7691"/>
      <c r="AJ49" s="1252"/>
      <c r="AK49" s="942"/>
      <c r="AL49" s="942"/>
      <c r="AM49" s="942"/>
      <c r="AN49" s="942"/>
      <c r="AO49" s="942"/>
      <c r="AP49" s="942"/>
      <c r="AQ49" s="942"/>
      <c r="AR49" s="942"/>
      <c r="AS49" s="942"/>
      <c r="AT49" s="942"/>
      <c r="AU49" s="942"/>
      <c r="AV49" s="942"/>
      <c r="AW49" s="942"/>
      <c r="AX49" s="942"/>
      <c r="AY49" s="942"/>
      <c r="AZ49" s="942"/>
      <c r="BA49" s="942"/>
      <c r="BB49" s="942"/>
      <c r="BC49" s="942"/>
      <c r="BD49" s="942"/>
      <c r="BE49" s="942"/>
      <c r="BF49" s="942"/>
      <c r="BG49" s="942"/>
      <c r="BH49" s="942"/>
      <c r="BI49" s="942"/>
      <c r="BJ49" s="942"/>
      <c r="BK49" s="942"/>
      <c r="BL49" s="942"/>
      <c r="BM49" s="942"/>
      <c r="BN49" s="1251"/>
      <c r="BO49" s="1251"/>
      <c r="BP49" s="1251"/>
      <c r="BQ49" s="1278"/>
      <c r="BR49" s="1278"/>
      <c r="BS49" s="1064" t="s">
        <v>2678</v>
      </c>
      <c r="BT49" s="1064"/>
      <c r="BU49" s="1064"/>
      <c r="BV49" s="979"/>
      <c r="BW49" s="979"/>
    </row>
    <row customHeight="1" ht="21.9375" hidden="1">
      <c r="A50" s="1278"/>
      <c r="B50" s="978"/>
      <c r="C50" s="1278"/>
      <c r="D50" s="1278"/>
      <c r="E50" s="703">
        <v>22.5</v>
      </c>
      <c r="F50" s="50" cm="1" t="str">
        <f t="array" ref="F50:F50">OFFSET(E50,-1,1)</f>
        <v>0</v>
      </c>
      <c r="G50" s="1278"/>
      <c r="H50" s="378"/>
      <c r="I50" s="378" t="s">
        <v>2089</v>
      </c>
      <c r="J50" s="1278"/>
      <c r="K50" s="378" t="s">
        <v>2089</v>
      </c>
      <c r="L50" s="980" t="s">
        <v>1196</v>
      </c>
      <c r="M50" s="107"/>
      <c r="N50" s="1278"/>
      <c r="O50" s="1278"/>
      <c r="P50" s="1278"/>
      <c r="Q50" s="158" t="s">
        <v>2947</v>
      </c>
      <c r="R50" s="161" t="s">
        <v>2947</v>
      </c>
      <c r="S50" s="1278"/>
      <c r="T50" s="465" cm="1" t="str">
        <f t="array" ref="T50:T50">T49</f>
        <v>false</v>
      </c>
      <c r="U50" s="1278"/>
      <c r="V50" s="1278"/>
      <c r="W50" s="1278"/>
      <c r="X50" s="1563"/>
      <c r="Y50" s="1278"/>
      <c r="Z50" s="1546"/>
      <c r="AA50" s="1278"/>
      <c r="AB50" s="299" t="s">
        <v>2090</v>
      </c>
      <c r="AC50" s="765" t="s">
        <v>2679</v>
      </c>
      <c r="AD50" s="300" t="s">
        <v>1514</v>
      </c>
      <c r="AE50" s="1253">
        <f>AE51+AE52</f>
        <v>0</v>
      </c>
      <c r="AF50" s="1253">
        <f>AF51+AF52</f>
        <v>0</v>
      </c>
      <c r="AG50" s="1253">
        <f>AG51+AG52</f>
        <v>0</v>
      </c>
      <c r="AH50" s="943">
        <f>AG50-AF50</f>
        <v>0</v>
      </c>
      <c r="AI50" s="7691">
        <f>AI51+AI52</f>
        <v>0</v>
      </c>
      <c r="AJ50" s="1252"/>
      <c r="AK50" s="942"/>
      <c r="AL50" s="942"/>
      <c r="AM50" s="942"/>
      <c r="AN50" s="942"/>
      <c r="AO50" s="942"/>
      <c r="AP50" s="942"/>
      <c r="AQ50" s="942"/>
      <c r="AR50" s="942"/>
      <c r="AS50" s="942"/>
      <c r="AT50" s="942"/>
      <c r="AU50" s="942"/>
      <c r="AV50" s="942"/>
      <c r="AW50" s="942"/>
      <c r="AX50" s="942"/>
      <c r="AY50" s="942"/>
      <c r="AZ50" s="942"/>
      <c r="BA50" s="942"/>
      <c r="BB50" s="942"/>
      <c r="BC50" s="942"/>
      <c r="BD50" s="942"/>
      <c r="BE50" s="942"/>
      <c r="BF50" s="942"/>
      <c r="BG50" s="942"/>
      <c r="BH50" s="942"/>
      <c r="BI50" s="942"/>
      <c r="BJ50" s="942"/>
      <c r="BK50" s="942"/>
      <c r="BL50" s="942"/>
      <c r="BM50" s="942"/>
      <c r="BN50" s="1251"/>
      <c r="BO50" s="1251"/>
      <c r="BP50" s="1251"/>
      <c r="BQ50" s="1278"/>
      <c r="BR50" s="1278"/>
      <c r="BS50" s="1062" t="s">
        <v>2506</v>
      </c>
      <c r="BT50" s="1064"/>
      <c r="BU50" s="1064"/>
      <c r="BV50" s="979"/>
      <c r="BW50" s="979"/>
    </row>
    <row customHeight="1" ht="14.625" hidden="1">
      <c r="A51" s="1278"/>
      <c r="B51" s="978"/>
      <c r="C51" s="1278"/>
      <c r="D51" s="1278"/>
      <c r="E51" s="703">
        <v>15</v>
      </c>
      <c r="F51" s="50" cm="1" t="str">
        <f t="array" ref="F51:F51">OFFSET(E51,-1,1)</f>
        <v>0</v>
      </c>
      <c r="G51" s="49" t="s">
        <v>1881</v>
      </c>
      <c r="H51" s="378"/>
      <c r="I51" s="378" t="s">
        <v>2680</v>
      </c>
      <c r="J51" s="1278"/>
      <c r="K51" s="378" t="s">
        <v>2680</v>
      </c>
      <c r="L51" s="980" t="s">
        <v>2507</v>
      </c>
      <c r="M51" s="107"/>
      <c r="N51" s="1278"/>
      <c r="O51" s="1278"/>
      <c r="P51" s="1278"/>
      <c r="Q51" s="158" t="s">
        <v>2947</v>
      </c>
      <c r="R51" s="161" t="s">
        <v>2947</v>
      </c>
      <c r="S51" s="1278"/>
      <c r="T51" s="465" cm="1" t="str">
        <f t="array" ref="T51:T51">T50</f>
        <v>false</v>
      </c>
      <c r="U51" s="1278"/>
      <c r="V51" s="1278"/>
      <c r="W51" s="1278"/>
      <c r="X51" s="1563"/>
      <c r="Y51" s="1278"/>
      <c r="Z51" s="1546"/>
      <c r="AA51" s="1278"/>
      <c r="AB51" s="299" t="s">
        <v>2681</v>
      </c>
      <c r="AC51" s="768" t="s">
        <v>2508</v>
      </c>
      <c r="AD51" s="300" t="s">
        <v>1514</v>
      </c>
      <c r="AE51" s="1253"/>
      <c r="AF51" s="1253"/>
      <c r="AG51" s="1253"/>
      <c r="AH51" s="943">
        <f>AG51-AF51</f>
        <v>0</v>
      </c>
      <c r="AI51" s="7691"/>
      <c r="AJ51" s="1252"/>
      <c r="AK51" s="942"/>
      <c r="AL51" s="942"/>
      <c r="AM51" s="942"/>
      <c r="AN51" s="942"/>
      <c r="AO51" s="942"/>
      <c r="AP51" s="942"/>
      <c r="AQ51" s="942"/>
      <c r="AR51" s="942"/>
      <c r="AS51" s="942"/>
      <c r="AT51" s="942"/>
      <c r="AU51" s="942"/>
      <c r="AV51" s="942"/>
      <c r="AW51" s="942"/>
      <c r="AX51" s="942"/>
      <c r="AY51" s="942"/>
      <c r="AZ51" s="942"/>
      <c r="BA51" s="942"/>
      <c r="BB51" s="942"/>
      <c r="BC51" s="942"/>
      <c r="BD51" s="942"/>
      <c r="BE51" s="942"/>
      <c r="BF51" s="942"/>
      <c r="BG51" s="942"/>
      <c r="BH51" s="942"/>
      <c r="BI51" s="942"/>
      <c r="BJ51" s="942"/>
      <c r="BK51" s="942"/>
      <c r="BL51" s="942"/>
      <c r="BM51" s="942"/>
      <c r="BN51" s="1251"/>
      <c r="BO51" s="1254" t="str">
        <f>IF(_xlfn.IFERROR(INDEX(ФОТ!$K$26:$L$188,MATCH($F51&amp;"3komm",ФОТ!$K$26:$K$188,0),2),"")=0,"",_xlfn.IFERROR(INDEX(ФОТ!$K$26:$L$188,MATCH($F51&amp;"3komm",ФОТ!$K$26:$K$188,0),2),""))</f>
        <v/>
      </c>
      <c r="BP51" s="1251"/>
      <c r="BQ51" s="1278"/>
      <c r="BR51" s="1278"/>
      <c r="BS51" s="1062" t="s">
        <v>2509</v>
      </c>
      <c r="BT51" s="1064"/>
      <c r="BU51" s="1064"/>
      <c r="BV51" s="979"/>
      <c r="BW51" s="979"/>
    </row>
    <row customHeight="1" ht="21.9375" hidden="1">
      <c r="A52" s="1278"/>
      <c r="B52" s="978"/>
      <c r="C52" s="1278"/>
      <c r="D52" s="1278"/>
      <c r="E52" s="703">
        <v>22.5</v>
      </c>
      <c r="F52" s="50" cm="1" t="str">
        <f t="array" ref="F52:F52">OFFSET(E52,-1,1)</f>
        <v>0</v>
      </c>
      <c r="G52" s="49" t="s">
        <v>1886</v>
      </c>
      <c r="H52" s="378"/>
      <c r="I52" s="378" t="s">
        <v>2682</v>
      </c>
      <c r="J52" s="1278"/>
      <c r="K52" s="378" t="s">
        <v>2682</v>
      </c>
      <c r="L52" s="980" t="s">
        <v>2510</v>
      </c>
      <c r="M52" s="107"/>
      <c r="N52" s="1278"/>
      <c r="O52" s="1278"/>
      <c r="P52" s="1278"/>
      <c r="Q52" s="158" t="s">
        <v>2947</v>
      </c>
      <c r="R52" s="161" t="s">
        <v>2947</v>
      </c>
      <c r="S52" s="1278"/>
      <c r="T52" s="465" cm="1" t="str">
        <f t="array" ref="T52:T52">T51</f>
        <v>false</v>
      </c>
      <c r="U52" s="1278"/>
      <c r="V52" s="1278"/>
      <c r="W52" s="1278"/>
      <c r="X52" s="1563"/>
      <c r="Y52" s="1278"/>
      <c r="Z52" s="1546"/>
      <c r="AA52" s="1278"/>
      <c r="AB52" s="299" t="s">
        <v>2683</v>
      </c>
      <c r="AC52" s="768" t="s">
        <v>2684</v>
      </c>
      <c r="AD52" s="300" t="s">
        <v>1514</v>
      </c>
      <c r="AE52" s="1253">
        <f>AE51*_xlfn.SUMIFS(INDEX(Сценарии!$AE$25:$BF$163,,MATCH(AE$8,Сценарии!$AE$8:$BF$8,0)),Сценарии!$F$25:$F$163,$F52,Сценарии!$G$25:$G$163,"СВФОТ")/100</f>
        <v>0</v>
      </c>
      <c r="AF52" s="1253">
        <f>AF51*_xlfn.SUMIFS(INDEX(Сценарии!$AE$25:$BF$163,,MATCH(AF$8,Сценарии!$AE$8:$BF$8,0)),Сценарии!$F$25:$F$163,$F52,Сценарии!$G$25:$G$163,"СВФОТ")/100</f>
        <v>0</v>
      </c>
      <c r="AG52" s="1253">
        <f>AG51*_xlfn.SUMIFS(INDEX(Сценарии!$AE$25:$BF$163,,MATCH(AG$8,Сценарии!$AE$8:$BF$8,0)),Сценарии!$F$25:$F$163,$F52,Сценарии!$G$25:$G$163,"СВФОТ")/100</f>
        <v>0</v>
      </c>
      <c r="AH52" s="943">
        <f>AG52-AF52</f>
        <v>0</v>
      </c>
      <c r="AI52" s="7691">
        <f>AI51*_xlfn.SUMIFS(INDEX(Сценарии!$AE$25:$BF$163,,MATCH(AG$8,Сценарии!$AE$8:$BF$8,0)),Сценарии!$F$25:$F$163,$F52,Сценарии!$G$25:$G$163,"СВФОТ")/100</f>
        <v>0</v>
      </c>
      <c r="AJ52" s="1252"/>
      <c r="AK52" s="942"/>
      <c r="AL52" s="942"/>
      <c r="AM52" s="942"/>
      <c r="AN52" s="942"/>
      <c r="AO52" s="942"/>
      <c r="AP52" s="942"/>
      <c r="AQ52" s="942"/>
      <c r="AR52" s="942"/>
      <c r="AS52" s="942"/>
      <c r="AT52" s="942"/>
      <c r="AU52" s="942"/>
      <c r="AV52" s="942"/>
      <c r="AW52" s="942"/>
      <c r="AX52" s="942"/>
      <c r="AY52" s="942"/>
      <c r="AZ52" s="942"/>
      <c r="BA52" s="942"/>
      <c r="BB52" s="942"/>
      <c r="BC52" s="942"/>
      <c r="BD52" s="942"/>
      <c r="BE52" s="942"/>
      <c r="BF52" s="942"/>
      <c r="BG52" s="942"/>
      <c r="BH52" s="942"/>
      <c r="BI52" s="942"/>
      <c r="BJ52" s="942"/>
      <c r="BK52" s="942"/>
      <c r="BL52" s="942"/>
      <c r="BM52" s="942"/>
      <c r="BN52" s="1251"/>
      <c r="BO52" s="1254" t="str">
        <f>IF(_xlfn.IFERROR(INDEX(ФОТ!$K$26:$L$188,MATCH($F52&amp;"4komm",ФОТ!$K$26:$K$188,0),2),"")=0,"",_xlfn.IFERROR(INDEX(ФОТ!$K$26:$L$188,MATCH($F52&amp;"4komm",ФОТ!$K$26:$K$188,0),2),""))</f>
        <v/>
      </c>
      <c r="BP52" s="1251"/>
      <c r="BQ52" s="1278"/>
      <c r="BR52" s="1278"/>
      <c r="BS52" s="1062" t="s">
        <v>2512</v>
      </c>
      <c r="BT52" s="1064"/>
      <c r="BU52" s="1064"/>
      <c r="BV52" s="979"/>
      <c r="BW52" s="979"/>
    </row>
    <row s="700" customFormat="1" customHeight="1" ht="20.475" hidden="1">
      <c r="A53" s="700"/>
      <c r="B53" s="435"/>
      <c r="C53" s="700"/>
      <c r="D53" s="700"/>
      <c r="E53" s="707">
        <v>21</v>
      </c>
      <c r="F53" s="50" cm="1" t="str">
        <f t="array" ref="F53:F53">OFFSET(E53,-1,1)</f>
        <v>0</v>
      </c>
      <c r="G53" s="700"/>
      <c r="H53" s="378"/>
      <c r="I53" s="378" t="s">
        <v>1186</v>
      </c>
      <c r="J53" s="700"/>
      <c r="K53" s="378" t="s">
        <v>1186</v>
      </c>
      <c r="L53" s="985" t="s">
        <v>334</v>
      </c>
      <c r="M53" s="109"/>
      <c r="N53" s="700"/>
      <c r="O53" s="700"/>
      <c r="P53" s="700"/>
      <c r="Q53" s="158" t="s">
        <v>2947</v>
      </c>
      <c r="R53" s="161" t="s">
        <v>2947</v>
      </c>
      <c r="S53" s="700"/>
      <c r="T53" s="465" cm="1" t="str">
        <f t="array" ref="T53:T53">T52</f>
        <v>false</v>
      </c>
      <c r="U53" s="700"/>
      <c r="V53" s="700"/>
      <c r="W53" s="700"/>
      <c r="X53" s="1563"/>
      <c r="Y53" s="700"/>
      <c r="Z53" s="1546"/>
      <c r="AA53" s="700"/>
      <c r="AB53" s="218" t="s">
        <v>1637</v>
      </c>
      <c r="AC53" s="361" t="s">
        <v>2685</v>
      </c>
      <c r="AD53" s="211" t="s">
        <v>1514</v>
      </c>
      <c r="AE53" s="770">
        <f>AE54+AE62+AE65+AE66+AE67+AE68+AE69</f>
        <v>0</v>
      </c>
      <c r="AF53" s="770">
        <f>AF54+AF62+AF65+AF66+AF67+AF68+AF69</f>
        <v>0</v>
      </c>
      <c r="AG53" s="770">
        <f>AG54+AG62+AG65+AG66+AG67+AG68+AG69</f>
        <v>0</v>
      </c>
      <c r="AH53" s="761">
        <f>AG53-AF53</f>
        <v>0</v>
      </c>
      <c r="AI53" s="7697">
        <f>AI54+AI62+AI65+AI66+AI67+AI68+AI69</f>
        <v>0</v>
      </c>
      <c r="AJ53" s="1252"/>
      <c r="AK53" s="764"/>
      <c r="AL53" s="764"/>
      <c r="AM53" s="764"/>
      <c r="AN53" s="764"/>
      <c r="AO53" s="764"/>
      <c r="AP53" s="764"/>
      <c r="AQ53" s="764"/>
      <c r="AR53" s="764"/>
      <c r="AS53" s="764"/>
      <c r="AT53" s="764"/>
      <c r="AU53" s="764"/>
      <c r="AV53" s="764"/>
      <c r="AW53" s="764"/>
      <c r="AX53" s="764"/>
      <c r="AY53" s="764"/>
      <c r="AZ53" s="764"/>
      <c r="BA53" s="764"/>
      <c r="BB53" s="764"/>
      <c r="BC53" s="764"/>
      <c r="BD53" s="764"/>
      <c r="BE53" s="764"/>
      <c r="BF53" s="764"/>
      <c r="BG53" s="764"/>
      <c r="BH53" s="764"/>
      <c r="BI53" s="764"/>
      <c r="BJ53" s="764"/>
      <c r="BK53" s="764"/>
      <c r="BL53" s="764"/>
      <c r="BM53" s="764"/>
      <c r="BN53" s="1247"/>
      <c r="BO53" s="1247"/>
      <c r="BP53" s="1247"/>
      <c r="BQ53" s="700"/>
      <c r="BR53" s="700"/>
      <c r="BS53" s="1063" t="s">
        <v>2514</v>
      </c>
      <c r="BT53" s="1070"/>
      <c r="BU53" s="1070"/>
      <c r="BV53" s="707"/>
      <c r="BW53" s="707"/>
    </row>
    <row customHeight="1" ht="21.9375" hidden="1">
      <c r="A54" s="1278"/>
      <c r="B54" s="978"/>
      <c r="C54" s="1278"/>
      <c r="D54" s="1278"/>
      <c r="E54" s="703">
        <v>22.5</v>
      </c>
      <c r="F54" s="50" cm="1" t="str">
        <f t="array" ref="F54:F54">OFFSET(E54,-1,1)</f>
        <v>0</v>
      </c>
      <c r="G54" s="158" t="s">
        <v>1916</v>
      </c>
      <c r="H54" s="378"/>
      <c r="I54" s="378" t="s">
        <v>2095</v>
      </c>
      <c r="J54" s="1278"/>
      <c r="K54" s="378" t="s">
        <v>2095</v>
      </c>
      <c r="L54" s="980" t="s">
        <v>1658</v>
      </c>
      <c r="M54" s="107"/>
      <c r="N54" s="1278"/>
      <c r="O54" s="1278"/>
      <c r="P54" s="1278"/>
      <c r="Q54" s="158" t="s">
        <v>2947</v>
      </c>
      <c r="R54" s="161" t="s">
        <v>2947</v>
      </c>
      <c r="S54" s="1278"/>
      <c r="T54" s="465" cm="1" t="str">
        <f t="array" ref="T54:T54">T53</f>
        <v>false</v>
      </c>
      <c r="U54" s="1278"/>
      <c r="V54" s="1278"/>
      <c r="W54" s="1278"/>
      <c r="X54" s="1563"/>
      <c r="Y54" s="1278"/>
      <c r="Z54" s="1546"/>
      <c r="AA54" s="1278"/>
      <c r="AB54" s="299" t="s">
        <v>1752</v>
      </c>
      <c r="AC54" s="765" t="s">
        <v>2686</v>
      </c>
      <c r="AD54" s="300" t="s">
        <v>1514</v>
      </c>
      <c r="AE54" s="944">
        <f>SUM(AE55:AE61)</f>
        <v>0</v>
      </c>
      <c r="AF54" s="944">
        <f>SUM(AF55:AF61)</f>
        <v>0</v>
      </c>
      <c r="AG54" s="944">
        <f>SUM(AG55:AG61)</f>
        <v>0</v>
      </c>
      <c r="AH54" s="943">
        <f>AG54-AF54</f>
        <v>0</v>
      </c>
      <c r="AI54" s="7693">
        <f>SUM(AI55:AI61)</f>
        <v>0</v>
      </c>
      <c r="AJ54" s="1252"/>
      <c r="AK54" s="942"/>
      <c r="AL54" s="942"/>
      <c r="AM54" s="942"/>
      <c r="AN54" s="942"/>
      <c r="AO54" s="942"/>
      <c r="AP54" s="942"/>
      <c r="AQ54" s="942"/>
      <c r="AR54" s="942"/>
      <c r="AS54" s="942"/>
      <c r="AT54" s="942"/>
      <c r="AU54" s="942"/>
      <c r="AV54" s="942"/>
      <c r="AW54" s="942"/>
      <c r="AX54" s="942"/>
      <c r="AY54" s="942"/>
      <c r="AZ54" s="942"/>
      <c r="BA54" s="942"/>
      <c r="BB54" s="942"/>
      <c r="BC54" s="942"/>
      <c r="BD54" s="942"/>
      <c r="BE54" s="942"/>
      <c r="BF54" s="942"/>
      <c r="BG54" s="942"/>
      <c r="BH54" s="942"/>
      <c r="BI54" s="942"/>
      <c r="BJ54" s="942"/>
      <c r="BK54" s="942"/>
      <c r="BL54" s="942"/>
      <c r="BM54" s="942"/>
      <c r="BN54" s="1251"/>
      <c r="BO54" s="1254" t="str">
        <f>IF(_xlfn.IFERROR(INDEX(Административные!$K$26:$L$122,MATCH($F54&amp;"17komm",Административные!$K$26:$K$122,0),2),"")=0,"",_xlfn.IFERROR(INDEX(Административные!$K$26:$L$122,MATCH($F54&amp;"17komm",Административные!$K$26:$K$122,0),2),""))</f>
        <v/>
      </c>
      <c r="BP54" s="1251"/>
      <c r="BQ54" s="1278"/>
      <c r="BR54" s="1278"/>
      <c r="BS54" s="1062" t="s">
        <v>1918</v>
      </c>
      <c r="BT54" s="1064"/>
      <c r="BU54" s="1064"/>
      <c r="BV54" s="979"/>
      <c r="BW54" s="979"/>
    </row>
    <row customHeight="1" ht="14.625" hidden="1">
      <c r="A55" s="1278"/>
      <c r="B55" s="978"/>
      <c r="C55" s="1278"/>
      <c r="D55" s="1278"/>
      <c r="E55" s="703">
        <v>15</v>
      </c>
      <c r="F55" s="50" cm="1" t="str">
        <f t="array" ref="F55:F55">OFFSET(E55,-1,1)</f>
        <v>0</v>
      </c>
      <c r="G55" s="158" t="s">
        <v>1919</v>
      </c>
      <c r="H55" s="378"/>
      <c r="I55" s="378" t="s">
        <v>2687</v>
      </c>
      <c r="J55" s="1278"/>
      <c r="K55" s="378" t="s">
        <v>2687</v>
      </c>
      <c r="L55" s="980"/>
      <c r="M55" s="107"/>
      <c r="N55" s="1278"/>
      <c r="O55" s="1278"/>
      <c r="P55" s="1278"/>
      <c r="Q55" s="158" t="s">
        <v>2947</v>
      </c>
      <c r="R55" s="161" t="s">
        <v>2947</v>
      </c>
      <c r="S55" s="1278"/>
      <c r="T55" s="465" cm="1" t="str">
        <f t="array" ref="T55:T55">T54</f>
        <v>false</v>
      </c>
      <c r="U55" s="1278"/>
      <c r="V55" s="1278"/>
      <c r="W55" s="1278"/>
      <c r="X55" s="1563"/>
      <c r="Y55" s="1278"/>
      <c r="Z55" s="1546"/>
      <c r="AA55" s="1278"/>
      <c r="AB55" s="299" t="s">
        <v>2688</v>
      </c>
      <c r="AC55" s="768" t="s">
        <v>1920</v>
      </c>
      <c r="AD55" s="300" t="s">
        <v>1514</v>
      </c>
      <c r="AE55" s="1253"/>
      <c r="AF55" s="1253"/>
      <c r="AG55" s="1253"/>
      <c r="AH55" s="943">
        <f>AG55-AF55</f>
        <v>0</v>
      </c>
      <c r="AI55" s="7691"/>
      <c r="AJ55" s="1252"/>
      <c r="AK55" s="942"/>
      <c r="AL55" s="942"/>
      <c r="AM55" s="942"/>
      <c r="AN55" s="942"/>
      <c r="AO55" s="942"/>
      <c r="AP55" s="942"/>
      <c r="AQ55" s="942"/>
      <c r="AR55" s="942"/>
      <c r="AS55" s="942"/>
      <c r="AT55" s="942"/>
      <c r="AU55" s="942"/>
      <c r="AV55" s="942"/>
      <c r="AW55" s="942"/>
      <c r="AX55" s="942"/>
      <c r="AY55" s="942"/>
      <c r="AZ55" s="942"/>
      <c r="BA55" s="942"/>
      <c r="BB55" s="942"/>
      <c r="BC55" s="942"/>
      <c r="BD55" s="942"/>
      <c r="BE55" s="942"/>
      <c r="BF55" s="942"/>
      <c r="BG55" s="942"/>
      <c r="BH55" s="942"/>
      <c r="BI55" s="942"/>
      <c r="BJ55" s="942"/>
      <c r="BK55" s="942"/>
      <c r="BL55" s="942"/>
      <c r="BM55" s="942"/>
      <c r="BN55" s="1251"/>
      <c r="BO55" s="1254" t="str">
        <f>IF(_xlfn.IFERROR(INDEX(Административные!$K$26:$L$122,MATCH($F55&amp;"18komm",Административные!$K$26:$K$122,0),2),"")=0,"",_xlfn.IFERROR(INDEX(Административные!$K$26:$L$122,MATCH($F55&amp;"18komm",Административные!$K$26:$K$122,0),2),""))</f>
        <v/>
      </c>
      <c r="BP55" s="1251"/>
      <c r="BQ55" s="1278"/>
      <c r="BR55" s="1278"/>
      <c r="BS55" s="1064" t="s">
        <v>1921</v>
      </c>
      <c r="BT55" s="1064"/>
      <c r="BU55" s="1064"/>
      <c r="BV55" s="979"/>
      <c r="BW55" s="979"/>
    </row>
    <row customHeight="1" ht="14.625" hidden="1">
      <c r="A56" s="1278"/>
      <c r="B56" s="978"/>
      <c r="C56" s="1278"/>
      <c r="D56" s="1278"/>
      <c r="E56" s="703">
        <v>15</v>
      </c>
      <c r="F56" s="50" cm="1" t="str">
        <f t="array" ref="F56:F56">OFFSET(E56,-1,1)</f>
        <v>0</v>
      </c>
      <c r="G56" s="158" t="s">
        <v>1922</v>
      </c>
      <c r="H56" s="378"/>
      <c r="I56" s="378" t="s">
        <v>2689</v>
      </c>
      <c r="J56" s="1278"/>
      <c r="K56" s="378" t="s">
        <v>2689</v>
      </c>
      <c r="L56" s="980"/>
      <c r="M56" s="107"/>
      <c r="N56" s="1278"/>
      <c r="O56" s="1278"/>
      <c r="P56" s="1278"/>
      <c r="Q56" s="158" t="s">
        <v>2947</v>
      </c>
      <c r="R56" s="161" t="s">
        <v>2947</v>
      </c>
      <c r="S56" s="1278"/>
      <c r="T56" s="465" cm="1" t="str">
        <f t="array" ref="T56:T56">T55</f>
        <v>false</v>
      </c>
      <c r="U56" s="1278"/>
      <c r="V56" s="1278"/>
      <c r="W56" s="1278"/>
      <c r="X56" s="1563"/>
      <c r="Y56" s="1278"/>
      <c r="Z56" s="1546"/>
      <c r="AA56" s="1278"/>
      <c r="AB56" s="299" t="s">
        <v>2690</v>
      </c>
      <c r="AC56" s="768" t="s">
        <v>1923</v>
      </c>
      <c r="AD56" s="300" t="s">
        <v>1514</v>
      </c>
      <c r="AE56" s="1253"/>
      <c r="AF56" s="1253"/>
      <c r="AG56" s="1253"/>
      <c r="AH56" s="943">
        <f>AG56-AF56</f>
        <v>0</v>
      </c>
      <c r="AI56" s="7691"/>
      <c r="AJ56" s="1252"/>
      <c r="AK56" s="942"/>
      <c r="AL56" s="942"/>
      <c r="AM56" s="942"/>
      <c r="AN56" s="942"/>
      <c r="AO56" s="942"/>
      <c r="AP56" s="942"/>
      <c r="AQ56" s="942"/>
      <c r="AR56" s="942"/>
      <c r="AS56" s="942"/>
      <c r="AT56" s="942"/>
      <c r="AU56" s="942"/>
      <c r="AV56" s="942"/>
      <c r="AW56" s="942"/>
      <c r="AX56" s="942"/>
      <c r="AY56" s="942"/>
      <c r="AZ56" s="942"/>
      <c r="BA56" s="942"/>
      <c r="BB56" s="942"/>
      <c r="BC56" s="942"/>
      <c r="BD56" s="942"/>
      <c r="BE56" s="942"/>
      <c r="BF56" s="942"/>
      <c r="BG56" s="942"/>
      <c r="BH56" s="942"/>
      <c r="BI56" s="942"/>
      <c r="BJ56" s="942"/>
      <c r="BK56" s="942"/>
      <c r="BL56" s="942"/>
      <c r="BM56" s="942"/>
      <c r="BN56" s="1251"/>
      <c r="BO56" s="1254" t="str">
        <f>IF(_xlfn.IFERROR(INDEX(Административные!$K$26:$L$122,MATCH($F56&amp;"11komm",Административные!$K$26:$K$122,0),2),"")=0,"",_xlfn.IFERROR(INDEX(Административные!$K$26:$L$122,MATCH($F56&amp;"11komm",Административные!$K$26:$K$122,0),2),""))</f>
        <v/>
      </c>
      <c r="BP56" s="1251"/>
      <c r="BQ56" s="1278"/>
      <c r="BR56" s="1278"/>
      <c r="BS56" s="1064" t="s">
        <v>1924</v>
      </c>
      <c r="BT56" s="1064"/>
      <c r="BU56" s="1064"/>
      <c r="BV56" s="979"/>
      <c r="BW56" s="979"/>
    </row>
    <row customHeight="1" ht="14.625" hidden="1">
      <c r="A57" s="1278"/>
      <c r="B57" s="978"/>
      <c r="C57" s="1278"/>
      <c r="D57" s="1278"/>
      <c r="E57" s="703">
        <v>15</v>
      </c>
      <c r="F57" s="50" cm="1" t="str">
        <f t="array" ref="F57:F57">OFFSET(E57,-1,1)</f>
        <v>0</v>
      </c>
      <c r="G57" s="158" t="s">
        <v>1925</v>
      </c>
      <c r="H57" s="378"/>
      <c r="I57" s="378" t="s">
        <v>2691</v>
      </c>
      <c r="J57" s="1278"/>
      <c r="K57" s="378" t="s">
        <v>2691</v>
      </c>
      <c r="L57" s="980"/>
      <c r="M57" s="107"/>
      <c r="N57" s="1278"/>
      <c r="O57" s="1278"/>
      <c r="P57" s="1278"/>
      <c r="Q57" s="158" t="s">
        <v>2947</v>
      </c>
      <c r="R57" s="161" t="s">
        <v>2947</v>
      </c>
      <c r="S57" s="1278"/>
      <c r="T57" s="465" cm="1" t="str">
        <f t="array" ref="T57:T57">T56</f>
        <v>false</v>
      </c>
      <c r="U57" s="1278"/>
      <c r="V57" s="1278"/>
      <c r="W57" s="1278"/>
      <c r="X57" s="1563"/>
      <c r="Y57" s="1278"/>
      <c r="Z57" s="1546"/>
      <c r="AA57" s="1278"/>
      <c r="AB57" s="299" t="s">
        <v>2692</v>
      </c>
      <c r="AC57" s="768" t="s">
        <v>1926</v>
      </c>
      <c r="AD57" s="300" t="s">
        <v>1514</v>
      </c>
      <c r="AE57" s="1253"/>
      <c r="AF57" s="1253"/>
      <c r="AG57" s="1253"/>
      <c r="AH57" s="943">
        <f>AG57-AF57</f>
        <v>0</v>
      </c>
      <c r="AI57" s="7691"/>
      <c r="AJ57" s="1252"/>
      <c r="AK57" s="942"/>
      <c r="AL57" s="942"/>
      <c r="AM57" s="942"/>
      <c r="AN57" s="942"/>
      <c r="AO57" s="942"/>
      <c r="AP57" s="942"/>
      <c r="AQ57" s="942"/>
      <c r="AR57" s="942"/>
      <c r="AS57" s="942"/>
      <c r="AT57" s="942"/>
      <c r="AU57" s="942"/>
      <c r="AV57" s="942"/>
      <c r="AW57" s="942"/>
      <c r="AX57" s="942"/>
      <c r="AY57" s="942"/>
      <c r="AZ57" s="942"/>
      <c r="BA57" s="942"/>
      <c r="BB57" s="942"/>
      <c r="BC57" s="942"/>
      <c r="BD57" s="942"/>
      <c r="BE57" s="942"/>
      <c r="BF57" s="942"/>
      <c r="BG57" s="942"/>
      <c r="BH57" s="942"/>
      <c r="BI57" s="942"/>
      <c r="BJ57" s="942"/>
      <c r="BK57" s="942"/>
      <c r="BL57" s="942"/>
      <c r="BM57" s="942"/>
      <c r="BN57" s="1251"/>
      <c r="BO57" s="1254" t="str">
        <f>IF(_xlfn.IFERROR(INDEX(Административные!$K$26:$L$122,MATCH($F57&amp;"12komm",Административные!$K$26:$K$122,0),2),"")=0,"",_xlfn.IFERROR(INDEX(Административные!$K$26:$L$122,MATCH($F57&amp;"12komm",Административные!$K$26:$K$122,0),2),""))</f>
        <v/>
      </c>
      <c r="BP57" s="1251"/>
      <c r="BQ57" s="1278"/>
      <c r="BR57" s="1278"/>
      <c r="BS57" s="1064" t="s">
        <v>1927</v>
      </c>
      <c r="BT57" s="1064"/>
      <c r="BU57" s="1064"/>
      <c r="BV57" s="979"/>
      <c r="BW57" s="979"/>
    </row>
    <row customHeight="1" ht="14.625" hidden="1">
      <c r="A58" s="1278"/>
      <c r="B58" s="978"/>
      <c r="C58" s="1278"/>
      <c r="D58" s="1278"/>
      <c r="E58" s="703">
        <v>15</v>
      </c>
      <c r="F58" s="50" cm="1" t="str">
        <f t="array" ref="F58:F58">OFFSET(E58,-1,1)</f>
        <v>0</v>
      </c>
      <c r="G58" s="158" t="s">
        <v>1928</v>
      </c>
      <c r="H58" s="378"/>
      <c r="I58" s="378" t="s">
        <v>2693</v>
      </c>
      <c r="J58" s="1278"/>
      <c r="K58" s="378" t="s">
        <v>2693</v>
      </c>
      <c r="L58" s="980"/>
      <c r="M58" s="107"/>
      <c r="N58" s="1278"/>
      <c r="O58" s="1278"/>
      <c r="P58" s="1278"/>
      <c r="Q58" s="158" t="s">
        <v>2947</v>
      </c>
      <c r="R58" s="161" t="s">
        <v>2947</v>
      </c>
      <c r="S58" s="1278"/>
      <c r="T58" s="465" cm="1" t="str">
        <f t="array" ref="T58:T58">T57</f>
        <v>false</v>
      </c>
      <c r="U58" s="1278"/>
      <c r="V58" s="1278"/>
      <c r="W58" s="1278"/>
      <c r="X58" s="1563"/>
      <c r="Y58" s="1278"/>
      <c r="Z58" s="1546"/>
      <c r="AA58" s="1278"/>
      <c r="AB58" s="299" t="s">
        <v>2694</v>
      </c>
      <c r="AC58" s="768" t="s">
        <v>1929</v>
      </c>
      <c r="AD58" s="300" t="s">
        <v>1514</v>
      </c>
      <c r="AE58" s="1253"/>
      <c r="AF58" s="1253"/>
      <c r="AG58" s="1253"/>
      <c r="AH58" s="943">
        <f>AG58-AF58</f>
        <v>0</v>
      </c>
      <c r="AI58" s="7691"/>
      <c r="AJ58" s="1252"/>
      <c r="AK58" s="942"/>
      <c r="AL58" s="942"/>
      <c r="AM58" s="942"/>
      <c r="AN58" s="942"/>
      <c r="AO58" s="942"/>
      <c r="AP58" s="942"/>
      <c r="AQ58" s="942"/>
      <c r="AR58" s="942"/>
      <c r="AS58" s="942"/>
      <c r="AT58" s="942"/>
      <c r="AU58" s="942"/>
      <c r="AV58" s="942"/>
      <c r="AW58" s="942"/>
      <c r="AX58" s="942"/>
      <c r="AY58" s="942"/>
      <c r="AZ58" s="942"/>
      <c r="BA58" s="942"/>
      <c r="BB58" s="942"/>
      <c r="BC58" s="942"/>
      <c r="BD58" s="942"/>
      <c r="BE58" s="942"/>
      <c r="BF58" s="942"/>
      <c r="BG58" s="942"/>
      <c r="BH58" s="942"/>
      <c r="BI58" s="942"/>
      <c r="BJ58" s="942"/>
      <c r="BK58" s="942"/>
      <c r="BL58" s="942"/>
      <c r="BM58" s="942"/>
      <c r="BN58" s="1251"/>
      <c r="BO58" s="1254" t="str">
        <f>IF(_xlfn.IFERROR(INDEX(Административные!$K$26:$L$122,MATCH($F58&amp;"13komm",Административные!$K$26:$K$122,0),2),"")=0,"",_xlfn.IFERROR(INDEX(Административные!$K$26:$L$122,MATCH($F58&amp;"13komm",Административные!$K$26:$K$122,0),2),""))</f>
        <v/>
      </c>
      <c r="BP58" s="1251"/>
      <c r="BQ58" s="1278"/>
      <c r="BR58" s="1278"/>
      <c r="BS58" s="1064" t="s">
        <v>1930</v>
      </c>
      <c r="BT58" s="1064"/>
      <c r="BU58" s="1064"/>
      <c r="BV58" s="979"/>
      <c r="BW58" s="979"/>
    </row>
    <row customHeight="1" ht="14.625" hidden="1">
      <c r="A59" s="1278"/>
      <c r="B59" s="978"/>
      <c r="C59" s="1278"/>
      <c r="D59" s="1278"/>
      <c r="E59" s="703">
        <v>15</v>
      </c>
      <c r="F59" s="50" cm="1" t="str">
        <f t="array" ref="F59:F59">OFFSET(E59,-1,1)</f>
        <v>0</v>
      </c>
      <c r="G59" s="158" t="s">
        <v>1931</v>
      </c>
      <c r="H59" s="378"/>
      <c r="I59" s="378" t="s">
        <v>2695</v>
      </c>
      <c r="J59" s="1278"/>
      <c r="K59" s="378" t="s">
        <v>2695</v>
      </c>
      <c r="L59" s="980"/>
      <c r="M59" s="107"/>
      <c r="N59" s="1278"/>
      <c r="O59" s="1278"/>
      <c r="P59" s="1278"/>
      <c r="Q59" s="158" t="s">
        <v>2947</v>
      </c>
      <c r="R59" s="161" t="s">
        <v>2947</v>
      </c>
      <c r="S59" s="1278"/>
      <c r="T59" s="465" cm="1" t="str">
        <f t="array" ref="T59:T59">T58</f>
        <v>false</v>
      </c>
      <c r="U59" s="1278"/>
      <c r="V59" s="1278"/>
      <c r="W59" s="1278"/>
      <c r="X59" s="1563"/>
      <c r="Y59" s="1278"/>
      <c r="Z59" s="1546"/>
      <c r="AA59" s="1278"/>
      <c r="AB59" s="299" t="s">
        <v>2696</v>
      </c>
      <c r="AC59" s="768" t="s">
        <v>1932</v>
      </c>
      <c r="AD59" s="300" t="s">
        <v>1514</v>
      </c>
      <c r="AE59" s="1253"/>
      <c r="AF59" s="1253"/>
      <c r="AG59" s="1253"/>
      <c r="AH59" s="943">
        <f>AG59-AF59</f>
        <v>0</v>
      </c>
      <c r="AI59" s="7691"/>
      <c r="AJ59" s="1252"/>
      <c r="AK59" s="942"/>
      <c r="AL59" s="942"/>
      <c r="AM59" s="942"/>
      <c r="AN59" s="942"/>
      <c r="AO59" s="942"/>
      <c r="AP59" s="942"/>
      <c r="AQ59" s="942"/>
      <c r="AR59" s="942"/>
      <c r="AS59" s="942"/>
      <c r="AT59" s="942"/>
      <c r="AU59" s="942"/>
      <c r="AV59" s="942"/>
      <c r="AW59" s="942"/>
      <c r="AX59" s="942"/>
      <c r="AY59" s="942"/>
      <c r="AZ59" s="942"/>
      <c r="BA59" s="942"/>
      <c r="BB59" s="942"/>
      <c r="BC59" s="942"/>
      <c r="BD59" s="942"/>
      <c r="BE59" s="942"/>
      <c r="BF59" s="942"/>
      <c r="BG59" s="942"/>
      <c r="BH59" s="942"/>
      <c r="BI59" s="942"/>
      <c r="BJ59" s="942"/>
      <c r="BK59" s="942"/>
      <c r="BL59" s="942"/>
      <c r="BM59" s="942"/>
      <c r="BN59" s="1251"/>
      <c r="BO59" s="1254" t="str">
        <f>IF(_xlfn.IFERROR(INDEX(Административные!$K$26:$L$122,MATCH($F59&amp;"14komm",Административные!$K$26:$K$122,0),2),"")=0,"",_xlfn.IFERROR(INDEX(Административные!$K$26:$L$122,MATCH($F59&amp;"14komm",Административные!$K$26:$K$122,0),2),""))</f>
        <v/>
      </c>
      <c r="BP59" s="1251"/>
      <c r="BQ59" s="1278"/>
      <c r="BR59" s="1278"/>
      <c r="BS59" s="1064" t="s">
        <v>2697</v>
      </c>
      <c r="BT59" s="1064"/>
      <c r="BU59" s="1064"/>
      <c r="BV59" s="979"/>
      <c r="BW59" s="979"/>
    </row>
    <row customHeight="1" ht="14.625" hidden="1">
      <c r="A60" s="1278"/>
      <c r="B60" s="978"/>
      <c r="C60" s="1278"/>
      <c r="D60" s="1278"/>
      <c r="E60" s="703">
        <v>15</v>
      </c>
      <c r="F60" s="50" cm="1" t="str">
        <f t="array" ref="F60:F60">OFFSET(E60,-1,1)</f>
        <v>0</v>
      </c>
      <c r="G60" s="158" t="s">
        <v>1934</v>
      </c>
      <c r="H60" s="378"/>
      <c r="I60" s="378" t="s">
        <v>2698</v>
      </c>
      <c r="J60" s="1278"/>
      <c r="K60" s="378" t="s">
        <v>2698</v>
      </c>
      <c r="L60" s="980"/>
      <c r="M60" s="107"/>
      <c r="N60" s="1278"/>
      <c r="O60" s="1278"/>
      <c r="P60" s="1278"/>
      <c r="Q60" s="158" t="s">
        <v>2947</v>
      </c>
      <c r="R60" s="161" t="s">
        <v>2947</v>
      </c>
      <c r="S60" s="1278"/>
      <c r="T60" s="465" cm="1" t="str">
        <f t="array" ref="T60:T60">T59</f>
        <v>false</v>
      </c>
      <c r="U60" s="1278"/>
      <c r="V60" s="1278"/>
      <c r="W60" s="1278"/>
      <c r="X60" s="1563"/>
      <c r="Y60" s="1278"/>
      <c r="Z60" s="1546"/>
      <c r="AA60" s="1278"/>
      <c r="AB60" s="299" t="s">
        <v>2699</v>
      </c>
      <c r="AC60" s="768" t="s">
        <v>1937</v>
      </c>
      <c r="AD60" s="300" t="s">
        <v>1514</v>
      </c>
      <c r="AE60" s="1253"/>
      <c r="AF60" s="1253"/>
      <c r="AG60" s="1253"/>
      <c r="AH60" s="943">
        <f>AG60-AF60</f>
        <v>0</v>
      </c>
      <c r="AI60" s="7691"/>
      <c r="AJ60" s="1252"/>
      <c r="AK60" s="942"/>
      <c r="AL60" s="942"/>
      <c r="AM60" s="942"/>
      <c r="AN60" s="942"/>
      <c r="AO60" s="942"/>
      <c r="AP60" s="942"/>
      <c r="AQ60" s="942"/>
      <c r="AR60" s="942"/>
      <c r="AS60" s="942"/>
      <c r="AT60" s="942"/>
      <c r="AU60" s="942"/>
      <c r="AV60" s="942"/>
      <c r="AW60" s="942"/>
      <c r="AX60" s="942"/>
      <c r="AY60" s="942"/>
      <c r="AZ60" s="942"/>
      <c r="BA60" s="942"/>
      <c r="BB60" s="942"/>
      <c r="BC60" s="942"/>
      <c r="BD60" s="942"/>
      <c r="BE60" s="942"/>
      <c r="BF60" s="942"/>
      <c r="BG60" s="942"/>
      <c r="BH60" s="942"/>
      <c r="BI60" s="942"/>
      <c r="BJ60" s="942"/>
      <c r="BK60" s="942"/>
      <c r="BL60" s="942"/>
      <c r="BM60" s="942"/>
      <c r="BN60" s="1251"/>
      <c r="BO60" s="1254" t="str">
        <f>IF(_xlfn.IFERROR(INDEX(Административные!$K$26:$L$122,MATCH($F60&amp;"15komm",Административные!$K$26:$K$122,0),2),"")=0,"",_xlfn.IFERROR(INDEX(Административные!$K$26:$L$122,MATCH($F60&amp;"15komm",Административные!$K$26:$K$122,0),2),""))</f>
        <v/>
      </c>
      <c r="BP60" s="1251"/>
      <c r="BQ60" s="1278"/>
      <c r="BR60" s="1278"/>
      <c r="BS60" s="1064" t="s">
        <v>1938</v>
      </c>
      <c r="BT60" s="1064"/>
      <c r="BU60" s="1064"/>
      <c r="BV60" s="979"/>
      <c r="BW60" s="979"/>
    </row>
    <row customHeight="1" ht="14.625" hidden="1">
      <c r="A61" s="1278"/>
      <c r="B61" s="978"/>
      <c r="C61" s="1278"/>
      <c r="D61" s="1278"/>
      <c r="E61" s="703">
        <v>15</v>
      </c>
      <c r="F61" s="50" cm="1" t="str">
        <f t="array" ref="F61:F61">OFFSET(E61,-1,1)</f>
        <v>0</v>
      </c>
      <c r="G61" s="158" t="s">
        <v>1939</v>
      </c>
      <c r="H61" s="378"/>
      <c r="I61" s="378" t="s">
        <v>2700</v>
      </c>
      <c r="J61" s="1278"/>
      <c r="K61" s="378" t="s">
        <v>2700</v>
      </c>
      <c r="L61" s="980"/>
      <c r="M61" s="107"/>
      <c r="N61" s="1278"/>
      <c r="O61" s="1278"/>
      <c r="P61" s="1278"/>
      <c r="Q61" s="158" t="s">
        <v>2947</v>
      </c>
      <c r="R61" s="161" t="s">
        <v>2947</v>
      </c>
      <c r="S61" s="1278"/>
      <c r="T61" s="465" cm="1" t="str">
        <f t="array" ref="T61:T61">T60</f>
        <v>false</v>
      </c>
      <c r="U61" s="1278"/>
      <c r="V61" s="1278"/>
      <c r="W61" s="1278"/>
      <c r="X61" s="1563"/>
      <c r="Y61" s="1278"/>
      <c r="Z61" s="1546"/>
      <c r="AA61" s="1278"/>
      <c r="AB61" s="299" t="s">
        <v>2701</v>
      </c>
      <c r="AC61" s="768" t="s">
        <v>1942</v>
      </c>
      <c r="AD61" s="300" t="s">
        <v>1514</v>
      </c>
      <c r="AE61" s="1253"/>
      <c r="AF61" s="1253"/>
      <c r="AG61" s="1253"/>
      <c r="AH61" s="943">
        <f>AG61-AF61</f>
        <v>0</v>
      </c>
      <c r="AI61" s="7691"/>
      <c r="AJ61" s="1252"/>
      <c r="AK61" s="942"/>
      <c r="AL61" s="942"/>
      <c r="AM61" s="942"/>
      <c r="AN61" s="942"/>
      <c r="AO61" s="942"/>
      <c r="AP61" s="942"/>
      <c r="AQ61" s="942"/>
      <c r="AR61" s="942"/>
      <c r="AS61" s="942"/>
      <c r="AT61" s="942"/>
      <c r="AU61" s="942"/>
      <c r="AV61" s="942"/>
      <c r="AW61" s="942"/>
      <c r="AX61" s="942"/>
      <c r="AY61" s="942"/>
      <c r="AZ61" s="942"/>
      <c r="BA61" s="942"/>
      <c r="BB61" s="942"/>
      <c r="BC61" s="942"/>
      <c r="BD61" s="942"/>
      <c r="BE61" s="942"/>
      <c r="BF61" s="942"/>
      <c r="BG61" s="942"/>
      <c r="BH61" s="942"/>
      <c r="BI61" s="942"/>
      <c r="BJ61" s="942"/>
      <c r="BK61" s="942"/>
      <c r="BL61" s="942"/>
      <c r="BM61" s="942"/>
      <c r="BN61" s="1251"/>
      <c r="BO61" s="1254" t="str">
        <f>IF(_xlfn.IFERROR(INDEX(Административные!$K$26:$L$122,MATCH($F61&amp;"16komm",Административные!$K$26:$K$122,0),2),"")=0,"",_xlfn.IFERROR(INDEX(Административные!$K$26:$L$122,MATCH($F61&amp;"16komm",Административные!$K$26:$K$122,0),2),""))</f>
        <v/>
      </c>
      <c r="BP61" s="1251"/>
      <c r="BQ61" s="1278"/>
      <c r="BR61" s="1278"/>
      <c r="BS61" s="1064" t="s">
        <v>2702</v>
      </c>
      <c r="BT61" s="1064"/>
      <c r="BU61" s="1064"/>
      <c r="BV61" s="979"/>
      <c r="BW61" s="979"/>
    </row>
    <row customHeight="1" ht="21.9375" hidden="1">
      <c r="A62" s="1278"/>
      <c r="B62" s="978"/>
      <c r="C62" s="1278"/>
      <c r="D62" s="1278"/>
      <c r="E62" s="703">
        <v>22.5</v>
      </c>
      <c r="F62" s="50" cm="1" t="str">
        <f t="array" ref="F62:F62">OFFSET(E62,-1,1)</f>
        <v>0</v>
      </c>
      <c r="G62" s="1278"/>
      <c r="H62" s="378"/>
      <c r="I62" s="378" t="s">
        <v>2096</v>
      </c>
      <c r="J62" s="1278"/>
      <c r="K62" s="378" t="s">
        <v>2096</v>
      </c>
      <c r="L62" s="980" t="s">
        <v>1660</v>
      </c>
      <c r="M62" s="107"/>
      <c r="N62" s="1278"/>
      <c r="O62" s="1278"/>
      <c r="P62" s="1278"/>
      <c r="Q62" s="158" t="s">
        <v>2947</v>
      </c>
      <c r="R62" s="161" t="s">
        <v>2947</v>
      </c>
      <c r="S62" s="1278"/>
      <c r="T62" s="465" cm="1" t="str">
        <f t="array" ref="T62:T62">T61</f>
        <v>false</v>
      </c>
      <c r="U62" s="1278"/>
      <c r="V62" s="1278"/>
      <c r="W62" s="1278"/>
      <c r="X62" s="1563"/>
      <c r="Y62" s="1278"/>
      <c r="Z62" s="1546"/>
      <c r="AA62" s="1278"/>
      <c r="AB62" s="299" t="s">
        <v>1755</v>
      </c>
      <c r="AC62" s="765" t="s">
        <v>2703</v>
      </c>
      <c r="AD62" s="300" t="s">
        <v>1514</v>
      </c>
      <c r="AE62" s="944">
        <f>AE63+AE64</f>
        <v>0</v>
      </c>
      <c r="AF62" s="944">
        <f>AF63+AF64</f>
        <v>0</v>
      </c>
      <c r="AG62" s="944">
        <f>AG63+AG64</f>
        <v>0</v>
      </c>
      <c r="AH62" s="943">
        <f>AG62-AF62</f>
        <v>0</v>
      </c>
      <c r="AI62" s="7693">
        <f>AI63+AI64</f>
        <v>0</v>
      </c>
      <c r="AJ62" s="1252"/>
      <c r="AK62" s="942"/>
      <c r="AL62" s="942"/>
      <c r="AM62" s="942"/>
      <c r="AN62" s="942"/>
      <c r="AO62" s="942"/>
      <c r="AP62" s="942"/>
      <c r="AQ62" s="942"/>
      <c r="AR62" s="942"/>
      <c r="AS62" s="942"/>
      <c r="AT62" s="942"/>
      <c r="AU62" s="942"/>
      <c r="AV62" s="942"/>
      <c r="AW62" s="942"/>
      <c r="AX62" s="942"/>
      <c r="AY62" s="942"/>
      <c r="AZ62" s="942"/>
      <c r="BA62" s="942"/>
      <c r="BB62" s="942"/>
      <c r="BC62" s="942"/>
      <c r="BD62" s="942"/>
      <c r="BE62" s="942"/>
      <c r="BF62" s="942"/>
      <c r="BG62" s="942"/>
      <c r="BH62" s="942"/>
      <c r="BI62" s="942"/>
      <c r="BJ62" s="942"/>
      <c r="BK62" s="942"/>
      <c r="BL62" s="942"/>
      <c r="BM62" s="942"/>
      <c r="BN62" s="1251"/>
      <c r="BO62" s="1251"/>
      <c r="BP62" s="1251"/>
      <c r="BQ62" s="1278"/>
      <c r="BR62" s="1278"/>
      <c r="BS62" s="1062" t="s">
        <v>2517</v>
      </c>
      <c r="BT62" s="1064"/>
      <c r="BU62" s="1064"/>
      <c r="BV62" s="979"/>
      <c r="BW62" s="979"/>
    </row>
    <row customHeight="1" ht="14.625" hidden="1">
      <c r="A63" s="1278"/>
      <c r="B63" s="978"/>
      <c r="C63" s="1278"/>
      <c r="D63" s="1278"/>
      <c r="E63" s="703">
        <v>15</v>
      </c>
      <c r="F63" s="50" cm="1" t="str">
        <f t="array" ref="F63:F63">OFFSET(E63,-1,1)</f>
        <v>0</v>
      </c>
      <c r="G63" s="158" t="s">
        <v>1889</v>
      </c>
      <c r="H63" s="378"/>
      <c r="I63" s="378" t="s">
        <v>2704</v>
      </c>
      <c r="J63" s="1278"/>
      <c r="K63" s="378" t="s">
        <v>2704</v>
      </c>
      <c r="L63" s="980" t="s">
        <v>1211</v>
      </c>
      <c r="M63" s="107"/>
      <c r="N63" s="1278"/>
      <c r="O63" s="1278"/>
      <c r="P63" s="1278"/>
      <c r="Q63" s="158" t="s">
        <v>2947</v>
      </c>
      <c r="R63" s="161" t="s">
        <v>2947</v>
      </c>
      <c r="S63" s="1278"/>
      <c r="T63" s="465" cm="1" t="str">
        <f t="array" ref="T63:T63">T62</f>
        <v>false</v>
      </c>
      <c r="U63" s="1278"/>
      <c r="V63" s="1278"/>
      <c r="W63" s="1278"/>
      <c r="X63" s="1563"/>
      <c r="Y63" s="1278"/>
      <c r="Z63" s="1546"/>
      <c r="AA63" s="1278"/>
      <c r="AB63" s="299" t="s">
        <v>2705</v>
      </c>
      <c r="AC63" s="768" t="s">
        <v>2518</v>
      </c>
      <c r="AD63" s="771" t="s">
        <v>1514</v>
      </c>
      <c r="AE63" s="1253"/>
      <c r="AF63" s="1253"/>
      <c r="AG63" s="1253"/>
      <c r="AH63" s="943">
        <f>AG63-AF63</f>
        <v>0</v>
      </c>
      <c r="AI63" s="7691"/>
      <c r="AJ63" s="1252"/>
      <c r="AK63" s="942"/>
      <c r="AL63" s="942"/>
      <c r="AM63" s="942"/>
      <c r="AN63" s="942"/>
      <c r="AO63" s="942"/>
      <c r="AP63" s="942"/>
      <c r="AQ63" s="942"/>
      <c r="AR63" s="942"/>
      <c r="AS63" s="942"/>
      <c r="AT63" s="942"/>
      <c r="AU63" s="942"/>
      <c r="AV63" s="942"/>
      <c r="AW63" s="942"/>
      <c r="AX63" s="942"/>
      <c r="AY63" s="942"/>
      <c r="AZ63" s="942"/>
      <c r="BA63" s="942"/>
      <c r="BB63" s="942"/>
      <c r="BC63" s="942"/>
      <c r="BD63" s="942"/>
      <c r="BE63" s="942"/>
      <c r="BF63" s="942"/>
      <c r="BG63" s="942"/>
      <c r="BH63" s="942"/>
      <c r="BI63" s="942"/>
      <c r="BJ63" s="942"/>
      <c r="BK63" s="942"/>
      <c r="BL63" s="942"/>
      <c r="BM63" s="942"/>
      <c r="BN63" s="1251"/>
      <c r="BO63" s="1254" t="str">
        <f>IF(_xlfn.IFERROR(INDEX(ФОТ!$K$26:$L$188,MATCH($F63&amp;"5komm",ФОТ!$K$26:$K$188,0),2),"")=0,"",_xlfn.IFERROR(INDEX(ФОТ!$K$26:$L$188,MATCH($F63&amp;"5komm",ФОТ!$K$26:$K$188,0),2),""))</f>
        <v/>
      </c>
      <c r="BP63" s="1251"/>
      <c r="BQ63" s="1278"/>
      <c r="BR63" s="1278"/>
      <c r="BS63" s="1062" t="s">
        <v>1915</v>
      </c>
      <c r="BT63" s="1064"/>
      <c r="BU63" s="1064"/>
      <c r="BV63" s="979"/>
      <c r="BW63" s="979"/>
    </row>
    <row customHeight="1" ht="21.9375" hidden="1">
      <c r="A64" s="1278"/>
      <c r="B64" s="978"/>
      <c r="C64" s="1278"/>
      <c r="D64" s="1278"/>
      <c r="E64" s="703">
        <v>22.5</v>
      </c>
      <c r="F64" s="50" cm="1" t="str">
        <f t="array" ref="F64:F64">OFFSET(E64,-1,1)</f>
        <v>0</v>
      </c>
      <c r="G64" s="158" t="s">
        <v>1894</v>
      </c>
      <c r="H64" s="378"/>
      <c r="I64" s="378" t="s">
        <v>2706</v>
      </c>
      <c r="J64" s="1278"/>
      <c r="K64" s="378" t="s">
        <v>2706</v>
      </c>
      <c r="L64" s="980" t="s">
        <v>1216</v>
      </c>
      <c r="M64" s="107"/>
      <c r="N64" s="1278"/>
      <c r="O64" s="1278"/>
      <c r="P64" s="1278"/>
      <c r="Q64" s="158" t="s">
        <v>2947</v>
      </c>
      <c r="R64" s="161" t="s">
        <v>2947</v>
      </c>
      <c r="S64" s="1278"/>
      <c r="T64" s="465" cm="1" t="str">
        <f t="array" ref="T64:T64">T63</f>
        <v>false</v>
      </c>
      <c r="U64" s="1278"/>
      <c r="V64" s="1278"/>
      <c r="W64" s="1278"/>
      <c r="X64" s="1563"/>
      <c r="Y64" s="1278"/>
      <c r="Z64" s="1546"/>
      <c r="AA64" s="1278"/>
      <c r="AB64" s="299" t="s">
        <v>2707</v>
      </c>
      <c r="AC64" s="768" t="s">
        <v>2708</v>
      </c>
      <c r="AD64" s="300" t="s">
        <v>1514</v>
      </c>
      <c r="AE64" s="1253">
        <f>AE63*_xlfn.SUMIFS(INDEX(Сценарии!$AE$25:$BF$163,,MATCH(AE$8,Сценарии!$AE$8:$BF$8,0)),Сценарии!$F$25:$F$163,$F64,Сценарии!$G$25:$G$163,"СВФОТ")/100</f>
        <v>0</v>
      </c>
      <c r="AF64" s="1253">
        <f>AF63*_xlfn.SUMIFS(INDEX(Сценарии!$AE$25:$BF$163,,MATCH(AF$8,Сценарии!$AE$8:$BF$8,0)),Сценарии!$F$25:$F$163,$F64,Сценарии!$G$25:$G$163,"СВФОТ")/100</f>
        <v>0</v>
      </c>
      <c r="AG64" s="1253">
        <f>AG63*_xlfn.SUMIFS(INDEX(Сценарии!$AE$25:$BF$163,,MATCH(AG$8,Сценарии!$AE$8:$BF$8,0)),Сценарии!$F$25:$F$163,$F64,Сценарии!$G$25:$G$163,"СВФОТ")/100</f>
        <v>0</v>
      </c>
      <c r="AH64" s="943">
        <f>AG64-AF64</f>
        <v>0</v>
      </c>
      <c r="AI64" s="7691">
        <f>AI63*_xlfn.SUMIFS(INDEX(Сценарии!$AE$25:$BF$163,,MATCH(AG$8,Сценарии!$AE$8:$BF$8,0)),Сценарии!$F$25:$F$163,$F64,Сценарии!$G$25:$G$163,"СВФОТ")/100</f>
        <v>0</v>
      </c>
      <c r="AJ64" s="1252"/>
      <c r="AK64" s="942"/>
      <c r="AL64" s="942"/>
      <c r="AM64" s="942"/>
      <c r="AN64" s="942"/>
      <c r="AO64" s="942"/>
      <c r="AP64" s="942"/>
      <c r="AQ64" s="942"/>
      <c r="AR64" s="942"/>
      <c r="AS64" s="942"/>
      <c r="AT64" s="942"/>
      <c r="AU64" s="942"/>
      <c r="AV64" s="942"/>
      <c r="AW64" s="942"/>
      <c r="AX64" s="942"/>
      <c r="AY64" s="942"/>
      <c r="AZ64" s="942"/>
      <c r="BA64" s="942"/>
      <c r="BB64" s="942"/>
      <c r="BC64" s="942"/>
      <c r="BD64" s="942"/>
      <c r="BE64" s="942"/>
      <c r="BF64" s="942"/>
      <c r="BG64" s="942"/>
      <c r="BH64" s="942"/>
      <c r="BI64" s="942"/>
      <c r="BJ64" s="942"/>
      <c r="BK64" s="942"/>
      <c r="BL64" s="942"/>
      <c r="BM64" s="942"/>
      <c r="BN64" s="1251"/>
      <c r="BO64" s="1254" t="str">
        <f>IF(_xlfn.IFERROR(INDEX(ФОТ!$K$26:$L$188,MATCH($F64&amp;"6komm",ФОТ!$K$26:$K$188,0),2),"")=0,"",_xlfn.IFERROR(INDEX(ФОТ!$K$26:$L$188,MATCH($F64&amp;"6komm",ФОТ!$K$26:$K$188,0),2),""))</f>
        <v/>
      </c>
      <c r="BP64" s="1251"/>
      <c r="BQ64" s="1278"/>
      <c r="BR64" s="1278"/>
      <c r="BS64" s="1062" t="s">
        <v>2520</v>
      </c>
      <c r="BT64" s="1064"/>
      <c r="BU64" s="1064"/>
      <c r="BV64" s="979"/>
      <c r="BW64" s="979"/>
    </row>
    <row customHeight="1" ht="32.90625" hidden="1">
      <c r="A65" s="1278"/>
      <c r="B65" s="978"/>
      <c r="C65" s="1278"/>
      <c r="D65" s="1278"/>
      <c r="E65" s="703">
        <v>33.75</v>
      </c>
      <c r="F65" s="50" cm="1" t="str">
        <f t="array" ref="F65:F65">OFFSET(E65,-1,1)</f>
        <v>0</v>
      </c>
      <c r="G65" s="49" t="s">
        <v>1944</v>
      </c>
      <c r="H65" s="378"/>
      <c r="I65" s="378" t="s">
        <v>2099</v>
      </c>
      <c r="J65" s="1278"/>
      <c r="K65" s="378" t="s">
        <v>2099</v>
      </c>
      <c r="L65" s="980" t="s">
        <v>1662</v>
      </c>
      <c r="M65" s="107"/>
      <c r="N65" s="1278"/>
      <c r="O65" s="1278"/>
      <c r="P65" s="1278"/>
      <c r="Q65" s="158" t="s">
        <v>2947</v>
      </c>
      <c r="R65" s="161" t="s">
        <v>2947</v>
      </c>
      <c r="S65" s="1278"/>
      <c r="T65" s="465" cm="1" t="str">
        <f t="array" ref="T65:T65">T64</f>
        <v>false</v>
      </c>
      <c r="U65" s="1278"/>
      <c r="V65" s="1278"/>
      <c r="W65" s="1278"/>
      <c r="X65" s="1563"/>
      <c r="Y65" s="1278"/>
      <c r="Z65" s="1546"/>
      <c r="AA65" s="1278"/>
      <c r="AB65" s="299" t="s">
        <v>2100</v>
      </c>
      <c r="AC65" s="765" t="s">
        <v>2709</v>
      </c>
      <c r="AD65" s="300" t="s">
        <v>1514</v>
      </c>
      <c r="AE65" s="1253"/>
      <c r="AF65" s="1253"/>
      <c r="AG65" s="1253"/>
      <c r="AH65" s="943">
        <f>AG65-AF65</f>
        <v>0</v>
      </c>
      <c r="AI65" s="7691"/>
      <c r="AJ65" s="1252"/>
      <c r="AK65" s="942"/>
      <c r="AL65" s="942"/>
      <c r="AM65" s="942"/>
      <c r="AN65" s="942"/>
      <c r="AO65" s="942"/>
      <c r="AP65" s="942"/>
      <c r="AQ65" s="942"/>
      <c r="AR65" s="942"/>
      <c r="AS65" s="942"/>
      <c r="AT65" s="942"/>
      <c r="AU65" s="942"/>
      <c r="AV65" s="942"/>
      <c r="AW65" s="942"/>
      <c r="AX65" s="942"/>
      <c r="AY65" s="942"/>
      <c r="AZ65" s="942"/>
      <c r="BA65" s="942"/>
      <c r="BB65" s="942"/>
      <c r="BC65" s="942"/>
      <c r="BD65" s="942"/>
      <c r="BE65" s="942"/>
      <c r="BF65" s="942"/>
      <c r="BG65" s="942"/>
      <c r="BH65" s="942"/>
      <c r="BI65" s="942"/>
      <c r="BJ65" s="942"/>
      <c r="BK65" s="942"/>
      <c r="BL65" s="942"/>
      <c r="BM65" s="942"/>
      <c r="BN65" s="1251"/>
      <c r="BO65" s="1254" t="str">
        <f>IF(_xlfn.IFERROR(INDEX(Административные!$K$26:$L$122,MATCH($F65&amp;"2komm",Административные!$K$26:$K$122,0),2),"")=0,"",_xlfn.IFERROR(INDEX(Административные!$K$26:$L$122,MATCH($F65&amp;"2komm",Административные!$K$26:$K$122,0),2),""))</f>
        <v/>
      </c>
      <c r="BP65" s="1251"/>
      <c r="BQ65" s="1278"/>
      <c r="BR65" s="1278"/>
      <c r="BS65" s="1062" t="s">
        <v>1946</v>
      </c>
      <c r="BT65" s="1064"/>
      <c r="BU65" s="1064"/>
      <c r="BV65" s="979"/>
      <c r="BW65" s="979"/>
    </row>
    <row customHeight="1" ht="14.625" hidden="1">
      <c r="A66" s="1278"/>
      <c r="B66" s="978"/>
      <c r="C66" s="1278"/>
      <c r="D66" s="1278"/>
      <c r="E66" s="703">
        <v>15</v>
      </c>
      <c r="F66" s="50" cm="1" t="str">
        <f t="array" ref="F66:F66">OFFSET(E66,-1,1)</f>
        <v>0</v>
      </c>
      <c r="G66" s="49" t="s">
        <v>1947</v>
      </c>
      <c r="H66" s="378"/>
      <c r="I66" s="378" t="s">
        <v>2103</v>
      </c>
      <c r="J66" s="1278"/>
      <c r="K66" s="378" t="s">
        <v>2103</v>
      </c>
      <c r="L66" s="980" t="s">
        <v>1664</v>
      </c>
      <c r="M66" s="107"/>
      <c r="N66" s="1278"/>
      <c r="O66" s="1278"/>
      <c r="P66" s="1278"/>
      <c r="Q66" s="158" t="s">
        <v>2947</v>
      </c>
      <c r="R66" s="161" t="s">
        <v>2947</v>
      </c>
      <c r="S66" s="1278"/>
      <c r="T66" s="465" cm="1" t="str">
        <f t="array" ref="T66:T66">T65</f>
        <v>false</v>
      </c>
      <c r="U66" s="1278"/>
      <c r="V66" s="1278"/>
      <c r="W66" s="1278"/>
      <c r="X66" s="1563"/>
      <c r="Y66" s="1278"/>
      <c r="Z66" s="1546"/>
      <c r="AA66" s="1278"/>
      <c r="AB66" s="299" t="s">
        <v>2104</v>
      </c>
      <c r="AC66" s="765" t="s">
        <v>2710</v>
      </c>
      <c r="AD66" s="300" t="s">
        <v>1514</v>
      </c>
      <c r="AE66" s="1253"/>
      <c r="AF66" s="1253"/>
      <c r="AG66" s="1253"/>
      <c r="AH66" s="943">
        <f>AG66-AF66</f>
        <v>0</v>
      </c>
      <c r="AI66" s="7691"/>
      <c r="AJ66" s="1252"/>
      <c r="AK66" s="942"/>
      <c r="AL66" s="942"/>
      <c r="AM66" s="942"/>
      <c r="AN66" s="942"/>
      <c r="AO66" s="942"/>
      <c r="AP66" s="942"/>
      <c r="AQ66" s="942"/>
      <c r="AR66" s="942"/>
      <c r="AS66" s="942"/>
      <c r="AT66" s="942"/>
      <c r="AU66" s="942"/>
      <c r="AV66" s="942"/>
      <c r="AW66" s="942"/>
      <c r="AX66" s="942"/>
      <c r="AY66" s="942"/>
      <c r="AZ66" s="942"/>
      <c r="BA66" s="942"/>
      <c r="BB66" s="942"/>
      <c r="BC66" s="942"/>
      <c r="BD66" s="942"/>
      <c r="BE66" s="942"/>
      <c r="BF66" s="942"/>
      <c r="BG66" s="942"/>
      <c r="BH66" s="942"/>
      <c r="BI66" s="942"/>
      <c r="BJ66" s="942"/>
      <c r="BK66" s="942"/>
      <c r="BL66" s="942"/>
      <c r="BM66" s="942"/>
      <c r="BN66" s="1251"/>
      <c r="BO66" s="1254" t="str">
        <f>IF(_xlfn.IFERROR(INDEX(Административные!$K$26:$L$122,MATCH($F66&amp;"3komm",Административные!$K$26:$K$122,0),2),"")=0,"",_xlfn.IFERROR(INDEX(Административные!$K$26:$L$122,MATCH($F66&amp;"3komm",Административные!$K$26:$K$122,0),2),""))</f>
        <v/>
      </c>
      <c r="BP66" s="1251"/>
      <c r="BQ66" s="1278"/>
      <c r="BR66" s="1278"/>
      <c r="BS66" s="1062" t="s">
        <v>1949</v>
      </c>
      <c r="BT66" s="1064"/>
      <c r="BU66" s="1064"/>
      <c r="BV66" s="979"/>
      <c r="BW66" s="979"/>
    </row>
    <row customHeight="1" ht="14.625" hidden="1">
      <c r="A67" s="1278"/>
      <c r="B67" s="978"/>
      <c r="C67" s="1278"/>
      <c r="D67" s="1278"/>
      <c r="E67" s="703">
        <v>15</v>
      </c>
      <c r="F67" s="50" cm="1" t="str">
        <f t="array" ref="F67:F67">OFFSET(E67,-1,1)</f>
        <v>0</v>
      </c>
      <c r="G67" s="49" t="s">
        <v>1950</v>
      </c>
      <c r="H67" s="378"/>
      <c r="I67" s="378" t="s">
        <v>2711</v>
      </c>
      <c r="J67" s="1278"/>
      <c r="K67" s="378" t="s">
        <v>2711</v>
      </c>
      <c r="L67" s="980" t="s">
        <v>1667</v>
      </c>
      <c r="M67" s="107"/>
      <c r="N67" s="1278"/>
      <c r="O67" s="1278"/>
      <c r="P67" s="1278"/>
      <c r="Q67" s="158" t="s">
        <v>2947</v>
      </c>
      <c r="R67" s="161" t="s">
        <v>2947</v>
      </c>
      <c r="S67" s="1278"/>
      <c r="T67" s="465" cm="1" t="str">
        <f t="array" ref="T67:T67">T66</f>
        <v>false</v>
      </c>
      <c r="U67" s="1278"/>
      <c r="V67" s="1278"/>
      <c r="W67" s="1278"/>
      <c r="X67" s="1563"/>
      <c r="Y67" s="1278"/>
      <c r="Z67" s="1546"/>
      <c r="AA67" s="1278"/>
      <c r="AB67" s="299" t="s">
        <v>2712</v>
      </c>
      <c r="AC67" s="765" t="s">
        <v>2713</v>
      </c>
      <c r="AD67" s="300" t="s">
        <v>1514</v>
      </c>
      <c r="AE67" s="1253"/>
      <c r="AF67" s="1253"/>
      <c r="AG67" s="1253"/>
      <c r="AH67" s="943">
        <f>AG67-AF67</f>
        <v>0</v>
      </c>
      <c r="AI67" s="7691"/>
      <c r="AJ67" s="1252"/>
      <c r="AK67" s="942"/>
      <c r="AL67" s="942"/>
      <c r="AM67" s="942"/>
      <c r="AN67" s="942"/>
      <c r="AO67" s="942"/>
      <c r="AP67" s="942"/>
      <c r="AQ67" s="942"/>
      <c r="AR67" s="942"/>
      <c r="AS67" s="942"/>
      <c r="AT67" s="942"/>
      <c r="AU67" s="942"/>
      <c r="AV67" s="942"/>
      <c r="AW67" s="942"/>
      <c r="AX67" s="942"/>
      <c r="AY67" s="942"/>
      <c r="AZ67" s="942"/>
      <c r="BA67" s="942"/>
      <c r="BB67" s="942"/>
      <c r="BC67" s="942"/>
      <c r="BD67" s="942"/>
      <c r="BE67" s="942"/>
      <c r="BF67" s="942"/>
      <c r="BG67" s="942"/>
      <c r="BH67" s="942"/>
      <c r="BI67" s="942"/>
      <c r="BJ67" s="942"/>
      <c r="BK67" s="942"/>
      <c r="BL67" s="942"/>
      <c r="BM67" s="942"/>
      <c r="BN67" s="1251"/>
      <c r="BO67" s="1254" t="str">
        <f>IF(_xlfn.IFERROR(INDEX(Административные!$K$26:$L$122,MATCH($F67&amp;"4komm",Административные!$K$26:$K$122,0),2),"")=0,"",_xlfn.IFERROR(INDEX(Административные!$K$26:$L$122,MATCH($F67&amp;"4komm",Административные!$K$26:$K$122,0),2),""))</f>
        <v/>
      </c>
      <c r="BP67" s="1251"/>
      <c r="BQ67" s="1278"/>
      <c r="BR67" s="1278"/>
      <c r="BS67" s="1062" t="s">
        <v>1952</v>
      </c>
      <c r="BT67" s="1064"/>
      <c r="BU67" s="1064"/>
      <c r="BV67" s="979"/>
      <c r="BW67" s="979"/>
    </row>
    <row customHeight="1" ht="14.625" hidden="1">
      <c r="A68" s="1278"/>
      <c r="B68" s="978"/>
      <c r="C68" s="1278"/>
      <c r="D68" s="1278"/>
      <c r="E68" s="703">
        <v>15</v>
      </c>
      <c r="F68" s="50" cm="1" t="str">
        <f t="array" ref="F68:F68">OFFSET(E68,-1,1)</f>
        <v>0</v>
      </c>
      <c r="G68" s="49" t="s">
        <v>1953</v>
      </c>
      <c r="H68" s="378"/>
      <c r="I68" s="378" t="s">
        <v>2714</v>
      </c>
      <c r="J68" s="1278"/>
      <c r="K68" s="378" t="s">
        <v>2714</v>
      </c>
      <c r="L68" s="980" t="s">
        <v>1935</v>
      </c>
      <c r="M68" s="107"/>
      <c r="N68" s="1278"/>
      <c r="O68" s="1278"/>
      <c r="P68" s="1278"/>
      <c r="Q68" s="158" t="s">
        <v>2947</v>
      </c>
      <c r="R68" s="161" t="s">
        <v>2947</v>
      </c>
      <c r="S68" s="1278"/>
      <c r="T68" s="465" cm="1" t="str">
        <f t="array" ref="T68:T68">T67</f>
        <v>false</v>
      </c>
      <c r="U68" s="1278"/>
      <c r="V68" s="1278"/>
      <c r="W68" s="1278"/>
      <c r="X68" s="1563"/>
      <c r="Y68" s="1278"/>
      <c r="Z68" s="1546"/>
      <c r="AA68" s="1278"/>
      <c r="AB68" s="299" t="s">
        <v>2715</v>
      </c>
      <c r="AC68" s="765" t="s">
        <v>2716</v>
      </c>
      <c r="AD68" s="300" t="s">
        <v>1514</v>
      </c>
      <c r="AE68" s="1253"/>
      <c r="AF68" s="1253"/>
      <c r="AG68" s="1253"/>
      <c r="AH68" s="943">
        <f>AG68-AF68</f>
        <v>0</v>
      </c>
      <c r="AI68" s="7691"/>
      <c r="AJ68" s="1252"/>
      <c r="AK68" s="942"/>
      <c r="AL68" s="942"/>
      <c r="AM68" s="942"/>
      <c r="AN68" s="942"/>
      <c r="AO68" s="942"/>
      <c r="AP68" s="942"/>
      <c r="AQ68" s="942"/>
      <c r="AR68" s="942"/>
      <c r="AS68" s="942"/>
      <c r="AT68" s="942"/>
      <c r="AU68" s="942"/>
      <c r="AV68" s="942"/>
      <c r="AW68" s="942"/>
      <c r="AX68" s="942"/>
      <c r="AY68" s="942"/>
      <c r="AZ68" s="942"/>
      <c r="BA68" s="942"/>
      <c r="BB68" s="942"/>
      <c r="BC68" s="942"/>
      <c r="BD68" s="942"/>
      <c r="BE68" s="942"/>
      <c r="BF68" s="942"/>
      <c r="BG68" s="942"/>
      <c r="BH68" s="942"/>
      <c r="BI68" s="942"/>
      <c r="BJ68" s="942"/>
      <c r="BK68" s="942"/>
      <c r="BL68" s="942"/>
      <c r="BM68" s="942"/>
      <c r="BN68" s="1251"/>
      <c r="BO68" s="1254" t="str">
        <f>IF(_xlfn.IFERROR(INDEX(Административные!$K$26:$L$122,MATCH($F68&amp;"5komm",Административные!$K$26:$K$122,0),2),"")=0,"",_xlfn.IFERROR(INDEX(Административные!$K$26:$L$122,MATCH($F68&amp;"5komm",Административные!$K$26:$K$122,0),2),""))</f>
        <v/>
      </c>
      <c r="BP68" s="1251"/>
      <c r="BQ68" s="1278"/>
      <c r="BR68" s="1278"/>
      <c r="BS68" s="1062" t="s">
        <v>2522</v>
      </c>
      <c r="BT68" s="1064"/>
      <c r="BU68" s="1064"/>
      <c r="BV68" s="979"/>
      <c r="BW68" s="979"/>
    </row>
    <row customHeight="1" ht="14.625" hidden="1">
      <c r="A69" s="1278"/>
      <c r="B69" s="978"/>
      <c r="C69" s="1278"/>
      <c r="D69" s="1278"/>
      <c r="E69" s="703">
        <v>15</v>
      </c>
      <c r="F69" s="50" cm="1" t="str">
        <f t="array" ref="F69:F69">OFFSET(E69,-1,1)</f>
        <v>0</v>
      </c>
      <c r="G69" s="49" t="s">
        <v>1956</v>
      </c>
      <c r="H69" s="378"/>
      <c r="I69" s="378" t="s">
        <v>2717</v>
      </c>
      <c r="J69" s="1278"/>
      <c r="K69" s="378" t="s">
        <v>2717</v>
      </c>
      <c r="L69" s="980" t="s">
        <v>1940</v>
      </c>
      <c r="M69" s="107"/>
      <c r="N69" s="1278"/>
      <c r="O69" s="1278"/>
      <c r="P69" s="1278"/>
      <c r="Q69" s="158" t="s">
        <v>2947</v>
      </c>
      <c r="R69" s="161" t="s">
        <v>2947</v>
      </c>
      <c r="S69" s="1278"/>
      <c r="T69" s="465" cm="1" t="str">
        <f t="array" ref="T69:T69">T68</f>
        <v>false</v>
      </c>
      <c r="U69" s="1278"/>
      <c r="V69" s="1278"/>
      <c r="W69" s="1278"/>
      <c r="X69" s="1563"/>
      <c r="Y69" s="1278"/>
      <c r="Z69" s="1546"/>
      <c r="AA69" s="1278"/>
      <c r="AB69" s="299" t="s">
        <v>2718</v>
      </c>
      <c r="AC69" s="765" t="s">
        <v>2719</v>
      </c>
      <c r="AD69" s="300" t="s">
        <v>1514</v>
      </c>
      <c r="AE69" s="943">
        <f>SUM(AE70:AE72)</f>
        <v>0</v>
      </c>
      <c r="AF69" s="943">
        <f>SUM(AF70:AF72)</f>
        <v>0</v>
      </c>
      <c r="AG69" s="943">
        <f>SUM(AG70:AG72)</f>
        <v>0</v>
      </c>
      <c r="AH69" s="943">
        <f>AG69-AF69</f>
        <v>0</v>
      </c>
      <c r="AI69" s="7687">
        <f>SUM(AI70:AI72)</f>
        <v>0</v>
      </c>
      <c r="AJ69" s="1252"/>
      <c r="AK69" s="942"/>
      <c r="AL69" s="942"/>
      <c r="AM69" s="942"/>
      <c r="AN69" s="942"/>
      <c r="AO69" s="942"/>
      <c r="AP69" s="942"/>
      <c r="AQ69" s="942"/>
      <c r="AR69" s="942"/>
      <c r="AS69" s="942"/>
      <c r="AT69" s="942"/>
      <c r="AU69" s="942"/>
      <c r="AV69" s="942"/>
      <c r="AW69" s="942"/>
      <c r="AX69" s="942"/>
      <c r="AY69" s="942"/>
      <c r="AZ69" s="942"/>
      <c r="BA69" s="942"/>
      <c r="BB69" s="942"/>
      <c r="BC69" s="942"/>
      <c r="BD69" s="942"/>
      <c r="BE69" s="942"/>
      <c r="BF69" s="942"/>
      <c r="BG69" s="942"/>
      <c r="BH69" s="942"/>
      <c r="BI69" s="942"/>
      <c r="BJ69" s="942"/>
      <c r="BK69" s="942"/>
      <c r="BL69" s="942"/>
      <c r="BM69" s="942"/>
      <c r="BN69" s="1251"/>
      <c r="BO69" s="1254" t="str">
        <f>IF(_xlfn.IFERROR(INDEX(Административные!$K$26:$L$122,MATCH($F69&amp;"6komm",Административные!$K$26:$K$122,0),2),"")=0,"",_xlfn.IFERROR(INDEX(Административные!$K$26:$L$122,MATCH($F69&amp;"6komm",Административные!$K$26:$K$122,0),2),""))</f>
        <v/>
      </c>
      <c r="BP69" s="1251"/>
      <c r="BQ69" s="1278"/>
      <c r="BR69" s="1278"/>
      <c r="BS69" s="1062" t="s">
        <v>2524</v>
      </c>
      <c r="BT69" s="1064"/>
      <c r="BU69" s="1064"/>
      <c r="BV69" s="979"/>
      <c r="BW69" s="979"/>
    </row>
    <row customHeight="1" ht="14.625" hidden="1">
      <c r="A70" s="1278"/>
      <c r="B70" s="978"/>
      <c r="C70" s="1278"/>
      <c r="D70" s="1278"/>
      <c r="E70" s="703">
        <v>15</v>
      </c>
      <c r="F70" s="50" cm="1" t="str">
        <f t="array" ref="F70:F70">OFFSET(E70,-1,1)</f>
        <v>0</v>
      </c>
      <c r="G70" s="49" t="s">
        <v>1958</v>
      </c>
      <c r="H70" s="378"/>
      <c r="I70" s="378" t="s">
        <v>2720</v>
      </c>
      <c r="J70" s="1278"/>
      <c r="K70" s="378" t="s">
        <v>2720</v>
      </c>
      <c r="L70" s="980" t="s">
        <v>2525</v>
      </c>
      <c r="M70" s="107"/>
      <c r="N70" s="1278"/>
      <c r="O70" s="1278"/>
      <c r="P70" s="1278"/>
      <c r="Q70" s="158" t="s">
        <v>2947</v>
      </c>
      <c r="R70" s="161" t="s">
        <v>2947</v>
      </c>
      <c r="S70" s="1278"/>
      <c r="T70" s="465" cm="1" t="str">
        <f t="array" ref="T70:T70">T69</f>
        <v>false</v>
      </c>
      <c r="U70" s="1278"/>
      <c r="V70" s="1278"/>
      <c r="W70" s="1278"/>
      <c r="X70" s="1563"/>
      <c r="Y70" s="1278"/>
      <c r="Z70" s="1546"/>
      <c r="AA70" s="1278"/>
      <c r="AB70" s="299" t="s">
        <v>2721</v>
      </c>
      <c r="AC70" s="768" t="s">
        <v>2527</v>
      </c>
      <c r="AD70" s="300" t="s">
        <v>1514</v>
      </c>
      <c r="AE70" s="1253"/>
      <c r="AF70" s="1253"/>
      <c r="AG70" s="1253"/>
      <c r="AH70" s="943">
        <f>AG70-AF70</f>
        <v>0</v>
      </c>
      <c r="AI70" s="7691"/>
      <c r="AJ70" s="1252"/>
      <c r="AK70" s="942"/>
      <c r="AL70" s="942"/>
      <c r="AM70" s="942"/>
      <c r="AN70" s="942"/>
      <c r="AO70" s="942"/>
      <c r="AP70" s="942"/>
      <c r="AQ70" s="942"/>
      <c r="AR70" s="942"/>
      <c r="AS70" s="942"/>
      <c r="AT70" s="942"/>
      <c r="AU70" s="942"/>
      <c r="AV70" s="942"/>
      <c r="AW70" s="942"/>
      <c r="AX70" s="942"/>
      <c r="AY70" s="942"/>
      <c r="AZ70" s="942"/>
      <c r="BA70" s="942"/>
      <c r="BB70" s="942"/>
      <c r="BC70" s="942"/>
      <c r="BD70" s="942"/>
      <c r="BE70" s="942"/>
      <c r="BF70" s="942"/>
      <c r="BG70" s="942"/>
      <c r="BH70" s="942"/>
      <c r="BI70" s="942"/>
      <c r="BJ70" s="942"/>
      <c r="BK70" s="942"/>
      <c r="BL70" s="942"/>
      <c r="BM70" s="942"/>
      <c r="BN70" s="1251"/>
      <c r="BO70" s="1254" t="str">
        <f>IF(_xlfn.IFERROR(INDEX(Административные!$K$26:$L$122,MATCH($F70&amp;"7komm",Административные!$K$26:$K$122,0),2),"")=0,"",_xlfn.IFERROR(INDEX(Административные!$K$26:$L$122,MATCH($F70&amp;"7komm",Административные!$K$26:$K$122,0),2),""))</f>
        <v/>
      </c>
      <c r="BP70" s="1251"/>
      <c r="BQ70" s="1278"/>
      <c r="BR70" s="1278"/>
      <c r="BS70" s="1062" t="s">
        <v>2528</v>
      </c>
      <c r="BT70" s="1064"/>
      <c r="BU70" s="1064"/>
      <c r="BV70" s="979"/>
      <c r="BW70" s="979"/>
    </row>
    <row customHeight="1" ht="14.625" hidden="1">
      <c r="A71" s="1278"/>
      <c r="B71" s="978"/>
      <c r="C71" s="1278"/>
      <c r="D71" s="1278"/>
      <c r="E71" s="703">
        <v>15</v>
      </c>
      <c r="F71" s="50" cm="1" t="str">
        <f t="array" ref="F71:F71">OFFSET(E71,-1,1)</f>
        <v>0</v>
      </c>
      <c r="G71" s="49" t="s">
        <v>1961</v>
      </c>
      <c r="H71" s="378"/>
      <c r="I71" s="378" t="s">
        <v>2722</v>
      </c>
      <c r="J71" s="1278"/>
      <c r="K71" s="378" t="s">
        <v>2722</v>
      </c>
      <c r="L71" s="980" t="s">
        <v>2529</v>
      </c>
      <c r="M71" s="107"/>
      <c r="N71" s="1278"/>
      <c r="O71" s="1278"/>
      <c r="P71" s="1278"/>
      <c r="Q71" s="158" t="s">
        <v>2947</v>
      </c>
      <c r="R71" s="161" t="s">
        <v>2947</v>
      </c>
      <c r="S71" s="1278"/>
      <c r="T71" s="465" cm="1" t="str">
        <f t="array" ref="T71:T71">T70</f>
        <v>false</v>
      </c>
      <c r="U71" s="1278"/>
      <c r="V71" s="1278"/>
      <c r="W71" s="1278"/>
      <c r="X71" s="1563"/>
      <c r="Y71" s="1278"/>
      <c r="Z71" s="1546"/>
      <c r="AA71" s="1278"/>
      <c r="AB71" s="299" t="s">
        <v>2723</v>
      </c>
      <c r="AC71" s="768" t="s">
        <v>1962</v>
      </c>
      <c r="AD71" s="300" t="s">
        <v>1514</v>
      </c>
      <c r="AE71" s="1253"/>
      <c r="AF71" s="1253"/>
      <c r="AG71" s="1253"/>
      <c r="AH71" s="943">
        <f>AG71-AF71</f>
        <v>0</v>
      </c>
      <c r="AI71" s="7691"/>
      <c r="AJ71" s="1252"/>
      <c r="AK71" s="942"/>
      <c r="AL71" s="942"/>
      <c r="AM71" s="942"/>
      <c r="AN71" s="942"/>
      <c r="AO71" s="942"/>
      <c r="AP71" s="942"/>
      <c r="AQ71" s="942"/>
      <c r="AR71" s="942"/>
      <c r="AS71" s="942"/>
      <c r="AT71" s="942"/>
      <c r="AU71" s="942"/>
      <c r="AV71" s="942"/>
      <c r="AW71" s="942"/>
      <c r="AX71" s="942"/>
      <c r="AY71" s="942"/>
      <c r="AZ71" s="942"/>
      <c r="BA71" s="942"/>
      <c r="BB71" s="942"/>
      <c r="BC71" s="942"/>
      <c r="BD71" s="942"/>
      <c r="BE71" s="942"/>
      <c r="BF71" s="942"/>
      <c r="BG71" s="942"/>
      <c r="BH71" s="942"/>
      <c r="BI71" s="942"/>
      <c r="BJ71" s="942"/>
      <c r="BK71" s="942"/>
      <c r="BL71" s="942"/>
      <c r="BM71" s="942"/>
      <c r="BN71" s="1251"/>
      <c r="BO71" s="1254" t="str">
        <f>IF(_xlfn.IFERROR(INDEX(Административные!$K$26:$L$122,MATCH($F71&amp;"8komm",Административные!$K$26:$K$122,0),2),"")=0,"",_xlfn.IFERROR(INDEX(Административные!$K$26:$L$122,MATCH($F71&amp;"8komm",Административные!$K$26:$K$122,0),2),""))</f>
        <v/>
      </c>
      <c r="BP71" s="1251"/>
      <c r="BQ71" s="1278"/>
      <c r="BR71" s="1278"/>
      <c r="BS71" s="1062" t="s">
        <v>2531</v>
      </c>
      <c r="BT71" s="1064"/>
      <c r="BU71" s="1064"/>
      <c r="BV71" s="979"/>
      <c r="BW71" s="979"/>
    </row>
    <row customHeight="1" ht="14.625" hidden="1">
      <c r="A72" s="1278"/>
      <c r="B72" s="978"/>
      <c r="C72" s="1278"/>
      <c r="D72" s="1278"/>
      <c r="E72" s="703">
        <v>15</v>
      </c>
      <c r="F72" s="50" cm="1" t="str">
        <f t="array" ref="F72:F72">OFFSET(E72,-1,1)</f>
        <v>0</v>
      </c>
      <c r="G72" s="158" t="s">
        <v>1964</v>
      </c>
      <c r="H72" s="378"/>
      <c r="I72" s="378" t="s">
        <v>2724</v>
      </c>
      <c r="J72" s="1278"/>
      <c r="K72" s="378" t="s">
        <v>2724</v>
      </c>
      <c r="L72" s="980" t="s">
        <v>2532</v>
      </c>
      <c r="M72" s="107"/>
      <c r="N72" s="1278"/>
      <c r="O72" s="1278"/>
      <c r="P72" s="1278"/>
      <c r="Q72" s="158" t="s">
        <v>2947</v>
      </c>
      <c r="R72" s="161" t="s">
        <v>2947</v>
      </c>
      <c r="S72" s="1278"/>
      <c r="T72" s="465" cm="1" t="str">
        <f t="array" ref="T72:T72">T71</f>
        <v>false</v>
      </c>
      <c r="U72" s="1278"/>
      <c r="V72" s="1278"/>
      <c r="W72" s="1278"/>
      <c r="X72" s="1563"/>
      <c r="Y72" s="1278"/>
      <c r="Z72" s="1546"/>
      <c r="AA72" s="1278"/>
      <c r="AB72" s="299" t="s">
        <v>2725</v>
      </c>
      <c r="AC72" s="768" t="s">
        <v>1965</v>
      </c>
      <c r="AD72" s="300" t="s">
        <v>1514</v>
      </c>
      <c r="AE72" s="1253"/>
      <c r="AF72" s="1253"/>
      <c r="AG72" s="1253"/>
      <c r="AH72" s="943">
        <f>AG72-AF72</f>
        <v>0</v>
      </c>
      <c r="AI72" s="7691"/>
      <c r="AJ72" s="7695"/>
      <c r="AK72" s="942"/>
      <c r="AL72" s="942"/>
      <c r="AM72" s="942"/>
      <c r="AN72" s="942"/>
      <c r="AO72" s="942"/>
      <c r="AP72" s="942"/>
      <c r="AQ72" s="942"/>
      <c r="AR72" s="942"/>
      <c r="AS72" s="942"/>
      <c r="AT72" s="942"/>
      <c r="AU72" s="942"/>
      <c r="AV72" s="942"/>
      <c r="AW72" s="942"/>
      <c r="AX72" s="942"/>
      <c r="AY72" s="942"/>
      <c r="AZ72" s="942"/>
      <c r="BA72" s="942"/>
      <c r="BB72" s="942"/>
      <c r="BC72" s="942"/>
      <c r="BD72" s="942"/>
      <c r="BE72" s="942"/>
      <c r="BF72" s="942"/>
      <c r="BG72" s="942"/>
      <c r="BH72" s="942"/>
      <c r="BI72" s="942"/>
      <c r="BJ72" s="942"/>
      <c r="BK72" s="942"/>
      <c r="BL72" s="942"/>
      <c r="BM72" s="942"/>
      <c r="BN72" s="1251"/>
      <c r="BO72" s="1254" t="str">
        <f>IF(_xlfn.IFERROR(INDEX(Административные!$K$26:$L$122,MATCH($F72&amp;"9komm",Административные!$K$26:$K$122,0),2),"")=0,"",_xlfn.IFERROR(INDEX(Административные!$K$26:$L$122,MATCH($F72&amp;"9komm",Административные!$K$26:$K$122,0),2),""))</f>
        <v/>
      </c>
      <c r="BP72" s="1251"/>
      <c r="BQ72" s="1278"/>
      <c r="BR72" s="1278"/>
      <c r="BS72" s="1062" t="s">
        <v>2534</v>
      </c>
      <c r="BT72" s="1064"/>
      <c r="BU72" s="1064"/>
      <c r="BV72" s="979"/>
      <c r="BW72" s="979"/>
    </row>
    <row customHeight="1" ht="21.9375" hidden="1">
      <c r="A73" s="1278"/>
      <c r="B73" s="432">
        <f>STATUS_GO="да"</f>
        <v>1</v>
      </c>
      <c r="C73" s="1278"/>
      <c r="D73" s="1278"/>
      <c r="E73" s="703">
        <v>22.5</v>
      </c>
      <c r="F73" s="50" cm="1" t="str">
        <f t="array" ref="F73:F73">OFFSET(E73,-1,1)</f>
        <v>0</v>
      </c>
      <c r="G73" s="1278"/>
      <c r="H73" s="378"/>
      <c r="I73" s="378" t="s">
        <v>1640</v>
      </c>
      <c r="J73" s="1278"/>
      <c r="K73" s="378" t="s">
        <v>1640</v>
      </c>
      <c r="L73" s="980" t="s">
        <v>336</v>
      </c>
      <c r="M73" s="107"/>
      <c r="N73" s="1278"/>
      <c r="O73" s="1278"/>
      <c r="P73" s="1278"/>
      <c r="Q73" s="158" t="s">
        <v>2947</v>
      </c>
      <c r="R73" s="161" t="s">
        <v>2947</v>
      </c>
      <c r="S73" s="1278"/>
      <c r="T73" s="465" cm="1" t="str">
        <f t="array" ref="T73:T73">T72</f>
        <v>false</v>
      </c>
      <c r="U73" s="1278"/>
      <c r="V73" s="1278"/>
      <c r="W73" s="1278"/>
      <c r="X73" s="1563"/>
      <c r="Y73" s="1278"/>
      <c r="Z73" s="1546"/>
      <c r="AA73" s="1278"/>
      <c r="AB73" s="299" t="s">
        <v>1641</v>
      </c>
      <c r="AC73" s="762" t="s">
        <v>2726</v>
      </c>
      <c r="AD73" s="300" t="s">
        <v>1514</v>
      </c>
      <c r="AE73" s="1253"/>
      <c r="AF73" s="1253"/>
      <c r="AG73" s="1253"/>
      <c r="AH73" s="943">
        <f>AG73-AF73</f>
        <v>0</v>
      </c>
      <c r="AI73" s="7691"/>
      <c r="AJ73" s="1252"/>
      <c r="AK73" s="942"/>
      <c r="AL73" s="942"/>
      <c r="AM73" s="942"/>
      <c r="AN73" s="942"/>
      <c r="AO73" s="942"/>
      <c r="AP73" s="942"/>
      <c r="AQ73" s="942"/>
      <c r="AR73" s="942"/>
      <c r="AS73" s="942"/>
      <c r="AT73" s="942"/>
      <c r="AU73" s="942"/>
      <c r="AV73" s="942"/>
      <c r="AW73" s="942"/>
      <c r="AX73" s="942"/>
      <c r="AY73" s="942"/>
      <c r="AZ73" s="942"/>
      <c r="BA73" s="942"/>
      <c r="BB73" s="942"/>
      <c r="BC73" s="942"/>
      <c r="BD73" s="942"/>
      <c r="BE73" s="942"/>
      <c r="BF73" s="942"/>
      <c r="BG73" s="942"/>
      <c r="BH73" s="942"/>
      <c r="BI73" s="942"/>
      <c r="BJ73" s="942"/>
      <c r="BK73" s="942"/>
      <c r="BL73" s="942"/>
      <c r="BM73" s="942"/>
      <c r="BN73" s="1251"/>
      <c r="BO73" s="1251"/>
      <c r="BP73" s="1251"/>
      <c r="BQ73" s="1278"/>
      <c r="BR73" s="1278"/>
      <c r="BS73" s="1063" t="s">
        <v>2536</v>
      </c>
      <c r="BT73" s="1064"/>
      <c r="BU73" s="1064"/>
      <c r="BV73" s="979"/>
      <c r="BW73" s="979"/>
    </row>
    <row customHeight="1" ht="14.625" hidden="1">
      <c r="A74" s="1278"/>
      <c r="B74" s="978"/>
      <c r="C74" s="1278"/>
      <c r="D74" s="1278"/>
      <c r="E74" s="703">
        <v>15</v>
      </c>
      <c r="F74" s="50" cm="1" t="str">
        <f t="array" ref="F74:F74">OFFSET(E74,-1,1)</f>
        <v>0</v>
      </c>
      <c r="G74" s="1278"/>
      <c r="H74" s="378"/>
      <c r="I74" s="378" t="s">
        <v>2475</v>
      </c>
      <c r="J74" s="1278"/>
      <c r="K74" s="378" t="s">
        <v>2475</v>
      </c>
      <c r="L74" s="980"/>
      <c r="M74" s="107"/>
      <c r="N74" s="1278"/>
      <c r="O74" s="1278"/>
      <c r="P74" s="1278"/>
      <c r="Q74" s="158" t="s">
        <v>2947</v>
      </c>
      <c r="R74" s="161" t="s">
        <v>2947</v>
      </c>
      <c r="S74" s="1278"/>
      <c r="T74" s="465" cm="1" t="str">
        <f t="array" ref="T74:T74">T73</f>
        <v>false</v>
      </c>
      <c r="U74" s="1278"/>
      <c r="V74" s="1278"/>
      <c r="W74" s="1278"/>
      <c r="X74" s="1563"/>
      <c r="Y74" s="1278"/>
      <c r="Z74" s="1546"/>
      <c r="AA74" s="1278"/>
      <c r="AB74" s="299" t="s">
        <v>2476</v>
      </c>
      <c r="AC74" s="762" t="s">
        <v>2727</v>
      </c>
      <c r="AD74" s="300" t="s">
        <v>1514</v>
      </c>
      <c r="AE74" s="1253"/>
      <c r="AF74" s="1253"/>
      <c r="AG74" s="1253"/>
      <c r="AH74" s="943">
        <f>AG74-AF74</f>
        <v>0</v>
      </c>
      <c r="AI74" s="7691"/>
      <c r="AJ74" s="1252"/>
      <c r="AK74" s="942"/>
      <c r="AL74" s="942"/>
      <c r="AM74" s="942"/>
      <c r="AN74" s="942"/>
      <c r="AO74" s="942"/>
      <c r="AP74" s="942"/>
      <c r="AQ74" s="942"/>
      <c r="AR74" s="942"/>
      <c r="AS74" s="942"/>
      <c r="AT74" s="942"/>
      <c r="AU74" s="942"/>
      <c r="AV74" s="942"/>
      <c r="AW74" s="942"/>
      <c r="AX74" s="942"/>
      <c r="AY74" s="942"/>
      <c r="AZ74" s="942"/>
      <c r="BA74" s="942"/>
      <c r="BB74" s="942"/>
      <c r="BC74" s="942"/>
      <c r="BD74" s="942"/>
      <c r="BE74" s="942"/>
      <c r="BF74" s="942"/>
      <c r="BG74" s="942"/>
      <c r="BH74" s="942"/>
      <c r="BI74" s="942"/>
      <c r="BJ74" s="942"/>
      <c r="BK74" s="942"/>
      <c r="BL74" s="942"/>
      <c r="BM74" s="942"/>
      <c r="BN74" s="1251"/>
      <c r="BO74" s="1251"/>
      <c r="BP74" s="1251"/>
      <c r="BQ74" s="1278"/>
      <c r="BR74" s="1278"/>
      <c r="BS74" s="1064" t="s">
        <v>2728</v>
      </c>
      <c r="BT74" s="1064"/>
      <c r="BU74" s="1064"/>
      <c r="BV74" s="979"/>
      <c r="BW74" s="979"/>
    </row>
    <row s="700" customFormat="1" customHeight="1" ht="20.475" hidden="1">
      <c r="A75" s="700"/>
      <c r="B75" s="435"/>
      <c r="C75" s="700"/>
      <c r="D75" s="700"/>
      <c r="E75" s="707">
        <v>21</v>
      </c>
      <c r="F75" s="50" cm="1" t="str">
        <f t="array" ref="F75:F75">OFFSET(E75,-1,1)</f>
        <v>0</v>
      </c>
      <c r="G75" s="700"/>
      <c r="H75" s="378"/>
      <c r="I75" s="378" t="s">
        <v>2479</v>
      </c>
      <c r="J75" s="700"/>
      <c r="K75" s="378" t="s">
        <v>2479</v>
      </c>
      <c r="L75" s="985"/>
      <c r="M75" s="109"/>
      <c r="N75" s="700"/>
      <c r="O75" s="700"/>
      <c r="P75" s="700"/>
      <c r="Q75" s="158" t="s">
        <v>2947</v>
      </c>
      <c r="R75" s="161" t="s">
        <v>2947</v>
      </c>
      <c r="S75" s="700"/>
      <c r="T75" s="465" cm="1" t="str">
        <f t="array" ref="T75:T75">T74</f>
        <v>false</v>
      </c>
      <c r="U75" s="700"/>
      <c r="V75" s="700"/>
      <c r="W75" s="700"/>
      <c r="X75" s="1563"/>
      <c r="Y75" s="700"/>
      <c r="Z75" s="1546"/>
      <c r="AA75" s="700"/>
      <c r="AB75" s="218" t="s">
        <v>2480</v>
      </c>
      <c r="AC75" s="361" t="s">
        <v>2729</v>
      </c>
      <c r="AD75" s="211" t="s">
        <v>1514</v>
      </c>
      <c r="AE75" s="770">
        <f>SUM(AE76:AE77)</f>
        <v>0</v>
      </c>
      <c r="AF75" s="770">
        <f>SUM(AF76:AF77)</f>
        <v>0</v>
      </c>
      <c r="AG75" s="770">
        <f>SUM(AG76:AG77)</f>
        <v>0</v>
      </c>
      <c r="AH75" s="761">
        <f>AG75-AF75</f>
        <v>0</v>
      </c>
      <c r="AI75" s="7697">
        <f>SUM(AI76:AI77)</f>
        <v>0</v>
      </c>
      <c r="AJ75" s="1252"/>
      <c r="AK75" s="764"/>
      <c r="AL75" s="764"/>
      <c r="AM75" s="764"/>
      <c r="AN75" s="764"/>
      <c r="AO75" s="764"/>
      <c r="AP75" s="764"/>
      <c r="AQ75" s="764"/>
      <c r="AR75" s="764"/>
      <c r="AS75" s="764"/>
      <c r="AT75" s="942"/>
      <c r="AU75" s="942"/>
      <c r="AV75" s="764"/>
      <c r="AW75" s="764"/>
      <c r="AX75" s="764"/>
      <c r="AY75" s="764"/>
      <c r="AZ75" s="764"/>
      <c r="BA75" s="764"/>
      <c r="BB75" s="764"/>
      <c r="BC75" s="764"/>
      <c r="BD75" s="764"/>
      <c r="BE75" s="764"/>
      <c r="BF75" s="764"/>
      <c r="BG75" s="764"/>
      <c r="BH75" s="764"/>
      <c r="BI75" s="764"/>
      <c r="BJ75" s="764"/>
      <c r="BK75" s="764"/>
      <c r="BL75" s="764"/>
      <c r="BM75" s="764"/>
      <c r="BN75" s="1247"/>
      <c r="BO75" s="1247"/>
      <c r="BP75" s="1247"/>
      <c r="BQ75" s="700"/>
      <c r="BR75" s="700"/>
      <c r="BS75" s="1070" t="s">
        <v>2730</v>
      </c>
      <c r="BT75" s="1070"/>
      <c r="BU75" s="1070"/>
      <c r="BV75" s="707"/>
      <c r="BW75" s="707"/>
    </row>
    <row customHeight="1" ht="14.625" hidden="1">
      <c r="A76" s="1278"/>
      <c r="B76" s="978"/>
      <c r="C76" s="1278"/>
      <c r="D76" s="1278"/>
      <c r="E76" s="703">
        <v>15</v>
      </c>
      <c r="F76" s="50" cm="1" t="str">
        <f t="array" ref="F76:F76">OFFSET(E76,-1,1)</f>
        <v>0</v>
      </c>
      <c r="G76" s="1278"/>
      <c r="H76" s="1278"/>
      <c r="I76" s="378" t="s">
        <v>2479</v>
      </c>
      <c r="J76" s="158" cm="1" t="str">
        <f t="array" ref="J76:J76">AC76</f>
        <v>0</v>
      </c>
      <c r="K76" s="378" t="s">
        <v>2479</v>
      </c>
      <c r="L76" s="980"/>
      <c r="M76" s="107"/>
      <c r="N76" s="1278"/>
      <c r="O76" s="1278"/>
      <c r="P76" s="1278"/>
      <c r="Q76" s="158" t="s">
        <v>2947</v>
      </c>
      <c r="R76" s="161" t="s">
        <v>2947</v>
      </c>
      <c r="S76" s="1278"/>
      <c r="T76" s="465">
        <f>AND(F76&gt;0,Y76&gt;0)</f>
        <v>0</v>
      </c>
      <c r="U76" s="1278"/>
      <c r="V76" s="1278"/>
      <c r="W76" s="158" t="s">
        <v>174</v>
      </c>
      <c r="X76" s="1563"/>
      <c r="Y76" s="158">
        <v>0</v>
      </c>
      <c r="Z76" s="1546"/>
      <c r="AA76" s="420" t="s">
        <v>175</v>
      </c>
      <c r="AB76" s="300" t="str">
        <f>"1.7."&amp;Y76</f>
        <v>1.7.0</v>
      </c>
      <c r="AC76" s="1243"/>
      <c r="AD76" s="300" t="s">
        <v>1514</v>
      </c>
      <c r="AE76" s="1255"/>
      <c r="AF76" s="1255"/>
      <c r="AG76" s="1255"/>
      <c r="AH76" s="259">
        <f>AG76-AF76</f>
        <v>0</v>
      </c>
      <c r="AI76" s="7699"/>
      <c r="AJ76" s="1255"/>
      <c r="AK76" s="945"/>
      <c r="AL76" s="945"/>
      <c r="AM76" s="945"/>
      <c r="AN76" s="945"/>
      <c r="AO76" s="945"/>
      <c r="AP76" s="945"/>
      <c r="AQ76" s="945"/>
      <c r="AR76" s="945"/>
      <c r="AS76" s="945"/>
      <c r="AT76" s="942"/>
      <c r="AU76" s="945"/>
      <c r="AV76" s="945"/>
      <c r="AW76" s="945"/>
      <c r="AX76" s="945"/>
      <c r="AY76" s="945"/>
      <c r="AZ76" s="945"/>
      <c r="BA76" s="945"/>
      <c r="BB76" s="945"/>
      <c r="BC76" s="945"/>
      <c r="BD76" s="764"/>
      <c r="BE76" s="945"/>
      <c r="BF76" s="945"/>
      <c r="BG76" s="945"/>
      <c r="BH76" s="945"/>
      <c r="BI76" s="945"/>
      <c r="BJ76" s="945"/>
      <c r="BK76" s="945"/>
      <c r="BL76" s="945"/>
      <c r="BM76" s="945"/>
      <c r="BN76" s="1256"/>
      <c r="BO76" s="1256"/>
      <c r="BP76" s="1256"/>
      <c r="BQ76" s="1278"/>
      <c r="BR76" s="1278"/>
      <c r="BS76" s="1064" t="s">
        <v>2730</v>
      </c>
      <c r="BT76" s="1064" t="s">
        <v>2731</v>
      </c>
      <c r="BU76" s="1064" cm="1" t="str">
        <f t="array" ref="BU76:BU76">AC76</f>
        <v>0</v>
      </c>
      <c r="BV76" s="979"/>
      <c r="BW76" s="703" t="b">
        <v>1</v>
      </c>
    </row>
    <row customHeight="1" ht="14.625" hidden="1">
      <c r="A77" s="1278"/>
      <c r="B77" s="978"/>
      <c r="C77" s="1278"/>
      <c r="D77" s="1278"/>
      <c r="E77" s="703">
        <v>15</v>
      </c>
      <c r="F77" s="50" cm="1" t="str">
        <f t="array" ref="F77:F77">OFFSET(E77,-1,1)</f>
        <v>0</v>
      </c>
      <c r="G77" s="364"/>
      <c r="H77" s="1278"/>
      <c r="I77" s="1278"/>
      <c r="J77" s="158" t="s">
        <v>2732</v>
      </c>
      <c r="K77" s="1278"/>
      <c r="L77" s="980"/>
      <c r="M77" s="107"/>
      <c r="N77" s="1278"/>
      <c r="O77" s="1278"/>
      <c r="P77" s="1278"/>
      <c r="Q77" s="1278"/>
      <c r="R77" s="1278"/>
      <c r="S77" s="1278"/>
      <c r="T77" s="465">
        <f>F77&gt;0</f>
        <v>0</v>
      </c>
      <c r="U77" s="1278"/>
      <c r="V77" s="1278"/>
      <c r="W77" s="702" t="s">
        <v>2948</v>
      </c>
      <c r="X77" s="1563"/>
      <c r="Y77" s="1278"/>
      <c r="Z77" s="1546"/>
      <c r="AA77" s="1278"/>
      <c r="AB77" s="775"/>
      <c r="AC77" s="260" t="s">
        <v>178</v>
      </c>
      <c r="AD77" s="776"/>
      <c r="AE77" s="776"/>
      <c r="AF77" s="776"/>
      <c r="AG77" s="776"/>
      <c r="AH77" s="776"/>
      <c r="AI77" s="776"/>
      <c r="AJ77" s="776"/>
      <c r="AK77" s="776"/>
      <c r="AL77" s="776"/>
      <c r="AM77" s="776"/>
      <c r="AN77" s="776"/>
      <c r="AO77" s="776"/>
      <c r="AP77" s="776"/>
      <c r="AQ77" s="776"/>
      <c r="AR77" s="776"/>
      <c r="AS77" s="776"/>
      <c r="AT77" s="776"/>
      <c r="AU77" s="776"/>
      <c r="AV77" s="776"/>
      <c r="AW77" s="776"/>
      <c r="AX77" s="776"/>
      <c r="AY77" s="776"/>
      <c r="AZ77" s="776"/>
      <c r="BA77" s="776"/>
      <c r="BB77" s="776"/>
      <c r="BC77" s="776"/>
      <c r="BD77" s="776"/>
      <c r="BE77" s="776"/>
      <c r="BF77" s="776"/>
      <c r="BG77" s="776"/>
      <c r="BH77" s="776"/>
      <c r="BI77" s="776"/>
      <c r="BJ77" s="776"/>
      <c r="BK77" s="776"/>
      <c r="BL77" s="776"/>
      <c r="BM77" s="776"/>
      <c r="BN77" s="776"/>
      <c r="BO77" s="776"/>
      <c r="BP77" s="777"/>
      <c r="BQ77" s="1278"/>
      <c r="BR77" s="1278"/>
      <c r="BS77" s="1064"/>
      <c r="BT77" s="1064"/>
      <c r="BU77" s="1064"/>
      <c r="BV77" s="703" t="s">
        <v>2731</v>
      </c>
      <c r="BW77" s="979"/>
    </row>
    <row s="700" customFormat="1" customHeight="1" ht="20.475" hidden="1">
      <c r="A78" s="700"/>
      <c r="B78" s="435"/>
      <c r="C78" s="700"/>
      <c r="D78" s="700"/>
      <c r="E78" s="707">
        <v>21</v>
      </c>
      <c r="F78" s="50" cm="1" t="str">
        <f t="array" ref="F78:F78">OFFSET(E78,-1,1)</f>
        <v>0</v>
      </c>
      <c r="G78" s="700"/>
      <c r="H78" s="158"/>
      <c r="I78" s="158" t="s">
        <v>333</v>
      </c>
      <c r="J78" s="700"/>
      <c r="K78" s="158" t="s">
        <v>333</v>
      </c>
      <c r="L78" s="985"/>
      <c r="M78" s="109"/>
      <c r="N78" s="700"/>
      <c r="O78" s="700"/>
      <c r="P78" s="700"/>
      <c r="Q78" s="700"/>
      <c r="R78" s="700"/>
      <c r="S78" s="700"/>
      <c r="T78" s="465" cm="1" t="str">
        <f t="array" ref="T78:T78">T77</f>
        <v>false</v>
      </c>
      <c r="U78" s="700"/>
      <c r="V78" s="700"/>
      <c r="W78" s="700"/>
      <c r="X78" s="1563"/>
      <c r="Y78" s="700"/>
      <c r="Z78" s="1546"/>
      <c r="AA78" s="700"/>
      <c r="AB78" s="247" t="s">
        <v>285</v>
      </c>
      <c r="AC78" s="212" t="s">
        <v>2733</v>
      </c>
      <c r="AD78" s="234" t="s">
        <v>1514</v>
      </c>
      <c r="AE78" s="213">
        <f>AE79+AE91+AE92++AE103+AE104+AE105+AE107+AE108+AE109+AE110+AE113</f>
        <v>0</v>
      </c>
      <c r="AF78" s="213">
        <f>AF79+AF91+AF92++AF103+AF104+AF105+AF107+AF108+AF109+AF110+AF113</f>
        <v>0</v>
      </c>
      <c r="AG78" s="213">
        <f>AG79+AG91+AG92++AG103+AG104+AG105+AG107+AG108+AG109+AG110+AG113</f>
        <v>0</v>
      </c>
      <c r="AH78" s="761">
        <f>AG78-AF78</f>
        <v>0</v>
      </c>
      <c r="AI78" s="770">
        <f>AI79+AI91+AI92++AI103+AI104+AI105+AI107+AI108+AI109+AI110+AI113</f>
        <v>0</v>
      </c>
      <c r="AJ78" s="770">
        <f>AJ79+AJ91+AJ92++AJ103+AJ104+AJ105+AJ107+AJ108+AJ109+AJ110+AJ113</f>
        <v>0</v>
      </c>
      <c r="AK78" s="770">
        <f>AK79+AK91+AK92++AK103+AK104+AK105+AK107+AK108+AK109+AK110+AK113</f>
        <v>0</v>
      </c>
      <c r="AL78" s="770">
        <f>AL79+AL91+AL92++AL103+AL104+AL105+AL107+AL108+AL109+AL110+AL113</f>
        <v>0</v>
      </c>
      <c r="AM78" s="770">
        <f>AM79+AM91+AM92++AM103+AM104+AM105+AM107+AM108+AM109+AM110+AM113</f>
        <v>0</v>
      </c>
      <c r="AN78" s="770">
        <f>AN79+AN91+AN92++AN103+AN104+AN105+AN107+AN108+AN109+AN110+AN113</f>
        <v>0</v>
      </c>
      <c r="AO78" s="770">
        <f>AO79+AO91+AO92++AO103+AO104+AO105+AO107+AO108+AO109+AO110+AO113</f>
        <v>0</v>
      </c>
      <c r="AP78" s="770">
        <f>AP79+AP91+AP92++AP103+AP104+AP105+AP107+AP108+AP109+AP110+AP113</f>
        <v>0</v>
      </c>
      <c r="AQ78" s="770">
        <f>AQ79+AQ91+AQ92++AQ103+AQ104+AQ105+AQ107+AQ108+AQ109+AQ110+AQ113</f>
        <v>0</v>
      </c>
      <c r="AR78" s="770">
        <f>AR79+AR91+AR92++AR103+AR104+AR105+AR107+AR108+AR109+AR110+AR113</f>
        <v>0</v>
      </c>
      <c r="AS78" s="770">
        <f>AS79+AS91+AS92++AS103+AS104+AS105+AS107+AS108+AS109+AS110+AS113</f>
        <v>0</v>
      </c>
      <c r="AT78" s="770">
        <f>AT79+AT91+AT92++AT103+AT104+AT105+AT107+AT108+AT109+AT110+AT113</f>
        <v>0</v>
      </c>
      <c r="AU78" s="770">
        <f>AU79+AU91+AU92++AU103+AU104+AU105+AU107+AU108+AU109+AU110+AU113</f>
        <v>0</v>
      </c>
      <c r="AV78" s="770">
        <f>AV79+AV91+AV92++AV103+AV104+AV105+AV107+AV108+AV109+AV110+AV113</f>
        <v>0</v>
      </c>
      <c r="AW78" s="770">
        <f>AW79+AW91+AW92++AW103+AW104+AW105+AW107+AW108+AW109+AW110+AW113</f>
        <v>0</v>
      </c>
      <c r="AX78" s="770">
        <f>AX79+AX91+AX92++AX103+AX104+AX105+AX107+AX108+AX109+AX110+AX113</f>
        <v>0</v>
      </c>
      <c r="AY78" s="770">
        <f>AY79+AY91+AY92++AY103+AY104+AY105+AY107+AY108+AY109+AY110+AY113</f>
        <v>0</v>
      </c>
      <c r="AZ78" s="770">
        <f>AZ79+AZ91+AZ92++AZ103+AZ104+AZ105+AZ107+AZ108+AZ109+AZ110+AZ113</f>
        <v>0</v>
      </c>
      <c r="BA78" s="770">
        <f>BA79+BA91+BA92++BA103+BA104+BA105+BA107+BA108+BA109+BA110+BA113</f>
        <v>0</v>
      </c>
      <c r="BB78" s="770">
        <f>BB79+BB91+BB92++BB103+BB104+BB105+BB107+BB108+BB109+BB110+BB113</f>
        <v>0</v>
      </c>
      <c r="BC78" s="770">
        <f>BC79+BC91+BC92++BC103+BC104+BC105+BC107+BC108+BC109+BC110+BC113</f>
        <v>0</v>
      </c>
      <c r="BD78" s="761">
        <f>IF(AI78=0,0,(AT78-AI78)/AI78*100)</f>
        <v>0</v>
      </c>
      <c r="BE78" s="761">
        <f>IF(AT78=0,0,(AU78-AT78)/AT78*100)</f>
        <v>0</v>
      </c>
      <c r="BF78" s="761">
        <f>IF(AU78=0,0,(AV78-AU78)/AU78*100)</f>
        <v>0</v>
      </c>
      <c r="BG78" s="761">
        <f>IF(AV78=0,0,(AW78-AV78)/AV78*100)</f>
        <v>0</v>
      </c>
      <c r="BH78" s="761">
        <f>IF(AW78=0,0,(AX78-AW78)/AW78*100)</f>
        <v>0</v>
      </c>
      <c r="BI78" s="761">
        <f>IF(AX78=0,0,(AY78-AX78)/AX78*100)</f>
        <v>0</v>
      </c>
      <c r="BJ78" s="761">
        <f>IF(AY78=0,0,(AZ78-AY78)/AY78*100)</f>
        <v>0</v>
      </c>
      <c r="BK78" s="761">
        <f>IF(AZ78=0,0,(BA78-AZ78)/AZ78*100)</f>
        <v>0</v>
      </c>
      <c r="BL78" s="761">
        <f>IF(BA78=0,0,(BB78-BA78)/BA78*100)</f>
        <v>0</v>
      </c>
      <c r="BM78" s="761">
        <f>IF(BB78=0,0,(BC78-BB78)/BB78*100)</f>
        <v>0</v>
      </c>
      <c r="BN78" s="1256"/>
      <c r="BO78" s="1256"/>
      <c r="BP78" s="1256"/>
      <c r="BQ78" s="160"/>
      <c r="BR78" s="700"/>
      <c r="BS78" s="1070" t="s">
        <v>2734</v>
      </c>
      <c r="BT78" s="1070"/>
      <c r="BU78" s="1070"/>
      <c r="BV78" s="707"/>
      <c r="BW78" s="707"/>
    </row>
    <row s="700" customFormat="1" customHeight="1" ht="21.9375" hidden="1">
      <c r="A79" s="700"/>
      <c r="B79" s="435"/>
      <c r="C79" s="700"/>
      <c r="D79" s="700"/>
      <c r="E79" s="707">
        <v>22.5</v>
      </c>
      <c r="F79" s="50" cm="1" t="str">
        <f t="array" ref="F79:F79">OFFSET(E79,-1,1)</f>
        <v>0</v>
      </c>
      <c r="G79" s="700"/>
      <c r="H79" s="158"/>
      <c r="I79" s="158" t="s">
        <v>1193</v>
      </c>
      <c r="J79" s="700"/>
      <c r="K79" s="158" t="s">
        <v>1193</v>
      </c>
      <c r="L79" s="985" t="s">
        <v>1179</v>
      </c>
      <c r="M79" s="109"/>
      <c r="N79" s="700"/>
      <c r="O79" s="700"/>
      <c r="P79" s="700"/>
      <c r="Q79" s="700"/>
      <c r="R79" s="700"/>
      <c r="S79" s="700"/>
      <c r="T79" s="465" cm="1" t="str">
        <f t="array" ref="T79:T79">T78</f>
        <v>false</v>
      </c>
      <c r="U79" s="700"/>
      <c r="V79" s="700"/>
      <c r="W79" s="700"/>
      <c r="X79" s="1563"/>
      <c r="Y79" s="700"/>
      <c r="Z79" s="1546"/>
      <c r="AA79" s="700"/>
      <c r="AB79" s="218" t="s">
        <v>1250</v>
      </c>
      <c r="AC79" s="361" t="s">
        <v>2735</v>
      </c>
      <c r="AD79" s="211" t="s">
        <v>1514</v>
      </c>
      <c r="AE79" s="213">
        <f>SUM(AE80:AE90)</f>
        <v>0</v>
      </c>
      <c r="AF79" s="213">
        <f>SUM(AF80:AF90)</f>
        <v>0</v>
      </c>
      <c r="AG79" s="213">
        <f>SUM(AG80:AG90)</f>
        <v>0</v>
      </c>
      <c r="AH79" s="761">
        <f>AG79-AF79</f>
        <v>0</v>
      </c>
      <c r="AI79" s="213">
        <f>SUM(AI80:AI90)</f>
        <v>0</v>
      </c>
      <c r="AJ79" s="213">
        <f>SUM(AJ80:AJ90)</f>
        <v>0</v>
      </c>
      <c r="AK79" s="213">
        <f>SUM(AK80:AK90)</f>
        <v>0</v>
      </c>
      <c r="AL79" s="213">
        <f>SUM(AL80:AL90)</f>
        <v>0</v>
      </c>
      <c r="AM79" s="213">
        <f>SUM(AM80:AM90)</f>
        <v>0</v>
      </c>
      <c r="AN79" s="213">
        <f>SUM(AN80:AN90)</f>
        <v>0</v>
      </c>
      <c r="AO79" s="213">
        <f>SUM(AO80:AO90)</f>
        <v>0</v>
      </c>
      <c r="AP79" s="213">
        <f>SUM(AP80:AP90)</f>
        <v>0</v>
      </c>
      <c r="AQ79" s="213">
        <f>SUM(AQ80:AQ90)</f>
        <v>0</v>
      </c>
      <c r="AR79" s="213">
        <f>SUM(AR80:AR90)</f>
        <v>0</v>
      </c>
      <c r="AS79" s="213">
        <f>SUM(AS80:AS90)</f>
        <v>0</v>
      </c>
      <c r="AT79" s="213">
        <f>SUM(AT80:AT90)</f>
        <v>0</v>
      </c>
      <c r="AU79" s="213">
        <f>SUM(AU80:AU90)</f>
        <v>0</v>
      </c>
      <c r="AV79" s="213">
        <f>SUM(AV80:AV90)</f>
        <v>0</v>
      </c>
      <c r="AW79" s="213">
        <f>SUM(AW80:AW90)</f>
        <v>0</v>
      </c>
      <c r="AX79" s="213">
        <f>SUM(AX80:AX90)</f>
        <v>0</v>
      </c>
      <c r="AY79" s="213">
        <f>SUM(AY80:AY90)</f>
        <v>0</v>
      </c>
      <c r="AZ79" s="213">
        <f>SUM(AZ80:AZ90)</f>
        <v>0</v>
      </c>
      <c r="BA79" s="213">
        <f>SUM(BA80:BA90)</f>
        <v>0</v>
      </c>
      <c r="BB79" s="213">
        <f>SUM(BB80:BB90)</f>
        <v>0</v>
      </c>
      <c r="BC79" s="213">
        <f>SUM(BC80:BC90)</f>
        <v>0</v>
      </c>
      <c r="BD79" s="761">
        <f>IF(AI79=0,0,(AT79-AI79)/AI79*100)</f>
        <v>0</v>
      </c>
      <c r="BE79" s="761">
        <f>IF(AT79=0,0,(AU79-AT79)/AT79*100)</f>
        <v>0</v>
      </c>
      <c r="BF79" s="761">
        <f>IF(AU79=0,0,(AV79-AU79)/AU79*100)</f>
        <v>0</v>
      </c>
      <c r="BG79" s="761">
        <f>IF(AV79=0,0,(AW79-AV79)/AV79*100)</f>
        <v>0</v>
      </c>
      <c r="BH79" s="761">
        <f>IF(AW79=0,0,(AX79-AW79)/AW79*100)</f>
        <v>0</v>
      </c>
      <c r="BI79" s="761">
        <f>IF(AX79=0,0,(AY79-AX79)/AX79*100)</f>
        <v>0</v>
      </c>
      <c r="BJ79" s="761">
        <f>IF(AY79=0,0,(AZ79-AY79)/AY79*100)</f>
        <v>0</v>
      </c>
      <c r="BK79" s="761">
        <f>IF(AZ79=0,0,(BA79-AZ79)/AZ79*100)</f>
        <v>0</v>
      </c>
      <c r="BL79" s="761">
        <f>IF(BA79=0,0,(BB79-BA79)/BA79*100)</f>
        <v>0</v>
      </c>
      <c r="BM79" s="761">
        <f>IF(BB79=0,0,(BC79-BB79)/BB79*100)</f>
        <v>0</v>
      </c>
      <c r="BN79" s="1240"/>
      <c r="BO79" s="1240"/>
      <c r="BP79" s="1240"/>
      <c r="BQ79" s="700"/>
      <c r="BR79" s="700"/>
      <c r="BS79" s="1070" t="s">
        <v>2736</v>
      </c>
      <c r="BT79" s="1070"/>
      <c r="BU79" s="1070"/>
      <c r="BV79" s="707"/>
      <c r="BW79" s="707"/>
    </row>
    <row customHeight="1" ht="14.625" hidden="1">
      <c r="A80" s="1278"/>
      <c r="B80" s="978"/>
      <c r="C80" s="1278"/>
      <c r="D80" s="1278"/>
      <c r="E80" s="703">
        <v>15</v>
      </c>
      <c r="F80" s="50" cm="1" t="str">
        <f t="array" ref="F80:F80">OFFSET(E80,-1,1)</f>
        <v>0</v>
      </c>
      <c r="G80" s="158" t="s">
        <v>1819</v>
      </c>
      <c r="H80" s="1278"/>
      <c r="I80" s="158" t="s">
        <v>2295</v>
      </c>
      <c r="J80" s="1278"/>
      <c r="K80" s="158" t="s">
        <v>2295</v>
      </c>
      <c r="L80" s="980" t="s">
        <v>2071</v>
      </c>
      <c r="M80" s="107"/>
      <c r="N80" s="1278"/>
      <c r="O80" s="1278"/>
      <c r="P80" s="1278"/>
      <c r="Q80" s="1278"/>
      <c r="R80" s="1278"/>
      <c r="S80" s="1278"/>
      <c r="T80" s="465" cm="1" t="str">
        <f t="array" ref="T80:T80">T79</f>
        <v>false</v>
      </c>
      <c r="U80" s="1278"/>
      <c r="V80" s="1278"/>
      <c r="W80" s="1278"/>
      <c r="X80" s="1563"/>
      <c r="Y80" s="1278"/>
      <c r="Z80" s="1546"/>
      <c r="AA80" s="1278"/>
      <c r="AB80" s="299" t="s">
        <v>1201</v>
      </c>
      <c r="AC80" s="765" t="s">
        <v>2737</v>
      </c>
      <c r="AD80" s="300" t="s">
        <v>1514</v>
      </c>
      <c r="AE80" s="259">
        <f>_xlfn.SUMIFS(Покупка!AE$25:AE$372,Покупка!$F$25:$F$372,$F80,Покупка!$AC$25:$AC$372,$G80)</f>
        <v>0</v>
      </c>
      <c r="AF80" s="259">
        <f>_xlfn.SUMIFS(Покупка!AF$25:AF$372,Покупка!$F$25:$F$372,$F80,Покупка!$AC$25:$AC$372,$G80)</f>
        <v>0</v>
      </c>
      <c r="AG80" s="259">
        <f>_xlfn.SUMIFS(Покупка!AG$25:AG$372,Покупка!$F$25:$F$372,$F80,Покупка!$AC$25:$AC$372,$G80)</f>
        <v>0</v>
      </c>
      <c r="AH80" s="943">
        <f>AG80-AF80</f>
        <v>0</v>
      </c>
      <c r="AI80" s="943">
        <f>_xlfn.SUMIFS(Покупка!AH$25:AH$372,Покупка!$F$25:$F$372,$F80,Покупка!$AC$25:$AC$372,$G80)</f>
        <v>0</v>
      </c>
      <c r="AJ80" s="943">
        <f>_xlfn.SUMIFS(Покупка!AI$25:AI$372,Покупка!$F$25:$F$372,$F80,Покупка!$AC$25:$AC$372,$G80)</f>
        <v>0</v>
      </c>
      <c r="AK80" s="943">
        <f>_xlfn.SUMIFS(Покупка!AJ$25:AJ$372,Покупка!$F$25:$F$372,$F80,Покупка!$AC$25:$AC$372,$G80)</f>
        <v>0</v>
      </c>
      <c r="AL80" s="943">
        <f>_xlfn.SUMIFS(Покупка!AK$25:AK$372,Покупка!$F$25:$F$372,$F80,Покупка!$AC$25:$AC$372,$G80)</f>
        <v>0</v>
      </c>
      <c r="AM80" s="943">
        <f>_xlfn.SUMIFS(Покупка!AL$25:AL$372,Покупка!$F$25:$F$372,$F80,Покупка!$AC$25:$AC$372,$G80)</f>
        <v>0</v>
      </c>
      <c r="AN80" s="943">
        <f>_xlfn.SUMIFS(Покупка!AM$25:AM$372,Покупка!$F$25:$F$372,$F80,Покупка!$AC$25:$AC$372,$G80)</f>
        <v>0</v>
      </c>
      <c r="AO80" s="943">
        <f>_xlfn.SUMIFS(Покупка!AN$25:AN$372,Покупка!$F$25:$F$372,$F80,Покупка!$AC$25:$AC$372,$G80)</f>
        <v>0</v>
      </c>
      <c r="AP80" s="943">
        <f>_xlfn.SUMIFS(Покупка!AO$25:AO$372,Покупка!$F$25:$F$372,$F80,Покупка!$AC$25:$AC$372,$G80)</f>
        <v>0</v>
      </c>
      <c r="AQ80" s="943">
        <f>_xlfn.SUMIFS(Покупка!AP$25:AP$372,Покупка!$F$25:$F$372,$F80,Покупка!$AC$25:$AC$372,$G80)</f>
        <v>0</v>
      </c>
      <c r="AR80" s="943">
        <f>_xlfn.SUMIFS(Покупка!AQ$25:AQ$372,Покупка!$F$25:$F$372,$F80,Покупка!$AC$25:$AC$372,$G80)</f>
        <v>0</v>
      </c>
      <c r="AS80" s="943">
        <f>_xlfn.SUMIFS(Покупка!AR$25:AR$372,Покупка!$F$25:$F$372,$F80,Покупка!$AC$25:$AC$372,$G80)</f>
        <v>0</v>
      </c>
      <c r="AT80" s="943">
        <f>_xlfn.SUMIFS(Покупка!AS$25:AS$372,Покупка!$F$25:$F$372,$F80,Покупка!$AC$25:$AC$372,$G80)</f>
        <v>0</v>
      </c>
      <c r="AU80" s="943">
        <f>_xlfn.SUMIFS(Покупка!AT$25:AT$372,Покупка!$F$25:$F$372,$F80,Покупка!$AC$25:$AC$372,$G80)</f>
        <v>0</v>
      </c>
      <c r="AV80" s="943">
        <f>_xlfn.SUMIFS(Покупка!AU$25:AU$372,Покупка!$F$25:$F$372,$F80,Покупка!$AC$25:$AC$372,$G80)</f>
        <v>0</v>
      </c>
      <c r="AW80" s="943">
        <f>_xlfn.SUMIFS(Покупка!AV$25:AV$372,Покупка!$F$25:$F$372,$F80,Покупка!$AC$25:$AC$372,$G80)</f>
        <v>0</v>
      </c>
      <c r="AX80" s="943">
        <f>_xlfn.SUMIFS(Покупка!AW$25:AW$372,Покупка!$F$25:$F$372,$F80,Покупка!$AC$25:$AC$372,$G80)</f>
        <v>0</v>
      </c>
      <c r="AY80" s="943">
        <f>_xlfn.SUMIFS(Покупка!AX$25:AX$372,Покупка!$F$25:$F$372,$F80,Покупка!$AC$25:$AC$372,$G80)</f>
        <v>0</v>
      </c>
      <c r="AZ80" s="943">
        <f>_xlfn.SUMIFS(Покупка!AY$25:AY$372,Покупка!$F$25:$F$372,$F80,Покупка!$AC$25:$AC$372,$G80)</f>
        <v>0</v>
      </c>
      <c r="BA80" s="943">
        <f>_xlfn.SUMIFS(Покупка!AZ$25:AZ$372,Покупка!$F$25:$F$372,$F80,Покупка!$AC$25:$AC$372,$G80)</f>
        <v>0</v>
      </c>
      <c r="BB80" s="943">
        <f>_xlfn.SUMIFS(Покупка!BA$25:BA$372,Покупка!$F$25:$F$372,$F80,Покупка!$AC$25:$AC$372,$G80)</f>
        <v>0</v>
      </c>
      <c r="BC80" s="943">
        <f>_xlfn.SUMIFS(Покупка!BB$25:BB$372,Покупка!$F$25:$F$372,$F80,Покупка!$AC$25:$AC$372,$G80)</f>
        <v>0</v>
      </c>
      <c r="BD80" s="943">
        <f>IF(AI80=0,0,(AT80-AI80)/AI80*100)</f>
        <v>0</v>
      </c>
      <c r="BE80" s="943">
        <f>IF(AT80=0,0,(AU80-AT80)/AT80*100)</f>
        <v>0</v>
      </c>
      <c r="BF80" s="943">
        <f>IF(AU80=0,0,(AV80-AU80)/AU80*100)</f>
        <v>0</v>
      </c>
      <c r="BG80" s="943">
        <f>IF(AV80=0,0,(AW80-AV80)/AV80*100)</f>
        <v>0</v>
      </c>
      <c r="BH80" s="943">
        <f>IF(AW80=0,0,(AX80-AW80)/AW80*100)</f>
        <v>0</v>
      </c>
      <c r="BI80" s="943">
        <f>IF(AX80=0,0,(AY80-AX80)/AX80*100)</f>
        <v>0</v>
      </c>
      <c r="BJ80" s="943">
        <f>IF(AY80=0,0,(AZ80-AY80)/AY80*100)</f>
        <v>0</v>
      </c>
      <c r="BK80" s="943">
        <f>IF(AZ80=0,0,(BA80-AZ80)/AZ80*100)</f>
        <v>0</v>
      </c>
      <c r="BL80" s="943">
        <f>IF(BA80=0,0,(BB80-BA80)/BA80*100)</f>
        <v>0</v>
      </c>
      <c r="BM80" s="943">
        <f>IF(BB80=0,0,(BC80-BB80)/BB80*100)</f>
        <v>0</v>
      </c>
      <c r="BN80" s="1256"/>
      <c r="BO80" s="1254" t="str">
        <f>IF(_xlfn.IFERROR(INDEX(Покупка!$K$26:$L$372,MATCH($F80&amp;"6komm",Покупка!$K$26:$K$372,0),2),"")=0,"",_xlfn.IFERROR(INDEX(Покупка!$K$26:$L$372,MATCH($F80&amp;"6komm",Покупка!$K$26:$K$372,0),2),""))</f>
        <v/>
      </c>
      <c r="BP80" s="1256"/>
      <c r="BQ80" s="1278"/>
      <c r="BR80" s="1278"/>
      <c r="BS80" s="1064" t="s">
        <v>1820</v>
      </c>
      <c r="BT80" s="1064"/>
      <c r="BU80" s="1064"/>
      <c r="BV80" s="979"/>
      <c r="BW80" s="979"/>
    </row>
    <row customHeight="1" ht="14.625" hidden="1">
      <c r="A81" s="1278"/>
      <c r="B81" s="96"/>
      <c r="C81" s="107"/>
      <c r="D81" s="107"/>
      <c r="E81" s="621">
        <v>15</v>
      </c>
      <c r="F81" s="50" cm="1" t="str">
        <f t="array" ref="F81:F81">OFFSET(E81,-1,1)</f>
        <v>0</v>
      </c>
      <c r="G81" s="107" t="s">
        <v>1841</v>
      </c>
      <c r="H81" s="107"/>
      <c r="I81" s="107" t="s">
        <v>2299</v>
      </c>
      <c r="J81" s="107"/>
      <c r="K81" s="107" t="s">
        <v>2299</v>
      </c>
      <c r="L81" s="980" t="s">
        <v>2075</v>
      </c>
      <c r="M81" s="107"/>
      <c r="N81" s="107"/>
      <c r="O81" s="107"/>
      <c r="P81" s="107"/>
      <c r="Q81" s="107"/>
      <c r="R81" s="107"/>
      <c r="S81" s="107"/>
      <c r="T81" s="465" cm="1" t="str">
        <f t="array" ref="T81:T81">T80</f>
        <v>false</v>
      </c>
      <c r="U81" s="107"/>
      <c r="V81" s="107"/>
      <c r="W81" s="1278"/>
      <c r="X81" s="1563"/>
      <c r="Y81" s="1278"/>
      <c r="Z81" s="1546"/>
      <c r="AA81" s="1278"/>
      <c r="AB81" s="299" t="s">
        <v>2738</v>
      </c>
      <c r="AC81" s="765" t="s">
        <v>2739</v>
      </c>
      <c r="AD81" s="300" t="s">
        <v>1514</v>
      </c>
      <c r="AE81" s="259">
        <f>_xlfn.SUMIFS(Покупка!AE$25:AE$372,Покупка!$F$25:$F$372,$F81,Покупка!$AC$25:$AC$372,$G81)</f>
        <v>0</v>
      </c>
      <c r="AF81" s="259">
        <f>_xlfn.SUMIFS(Покупка!AF$25:AF$372,Покупка!$F$25:$F$372,$F81,Покупка!$AC$25:$AC$372,$G81)</f>
        <v>0</v>
      </c>
      <c r="AG81" s="259">
        <f>_xlfn.SUMIFS(Покупка!AG$25:AG$372,Покупка!$F$25:$F$372,$F81,Покупка!$AC$25:$AC$372,$G81)</f>
        <v>0</v>
      </c>
      <c r="AH81" s="943">
        <f>AG81-AF81</f>
        <v>0</v>
      </c>
      <c r="AI81" s="943">
        <f>_xlfn.SUMIFS(Покупка!AH$25:AH$372,Покупка!$F$25:$F$372,$F81,Покупка!$AC$25:$AC$372,$G81)</f>
        <v>0</v>
      </c>
      <c r="AJ81" s="943">
        <f>_xlfn.SUMIFS(Покупка!AI$25:AI$372,Покупка!$F$25:$F$372,$F81,Покупка!$AC$25:$AC$372,$G81)</f>
        <v>0</v>
      </c>
      <c r="AK81" s="943">
        <f>_xlfn.SUMIFS(Покупка!AJ$25:AJ$372,Покупка!$F$25:$F$372,$F81,Покупка!$AC$25:$AC$372,$G81)</f>
        <v>0</v>
      </c>
      <c r="AL81" s="943">
        <f>_xlfn.SUMIFS(Покупка!AK$25:AK$372,Покупка!$F$25:$F$372,$F81,Покупка!$AC$25:$AC$372,$G81)</f>
        <v>0</v>
      </c>
      <c r="AM81" s="943">
        <f>_xlfn.SUMIFS(Покупка!AL$25:AL$372,Покупка!$F$25:$F$372,$F81,Покупка!$AC$25:$AC$372,$G81)</f>
        <v>0</v>
      </c>
      <c r="AN81" s="943">
        <f>_xlfn.SUMIFS(Покупка!AM$25:AM$372,Покупка!$F$25:$F$372,$F81,Покупка!$AC$25:$AC$372,$G81)</f>
        <v>0</v>
      </c>
      <c r="AO81" s="943">
        <f>_xlfn.SUMIFS(Покупка!AN$25:AN$372,Покупка!$F$25:$F$372,$F81,Покупка!$AC$25:$AC$372,$G81)</f>
        <v>0</v>
      </c>
      <c r="AP81" s="943">
        <f>_xlfn.SUMIFS(Покупка!AO$25:AO$372,Покупка!$F$25:$F$372,$F81,Покупка!$AC$25:$AC$372,$G81)</f>
        <v>0</v>
      </c>
      <c r="AQ81" s="943">
        <f>_xlfn.SUMIFS(Покупка!AP$25:AP$372,Покупка!$F$25:$F$372,$F81,Покупка!$AC$25:$AC$372,$G81)</f>
        <v>0</v>
      </c>
      <c r="AR81" s="943">
        <f>_xlfn.SUMIFS(Покупка!AQ$25:AQ$372,Покупка!$F$25:$F$372,$F81,Покупка!$AC$25:$AC$372,$G81)</f>
        <v>0</v>
      </c>
      <c r="AS81" s="943">
        <f>_xlfn.SUMIFS(Покупка!AR$25:AR$372,Покупка!$F$25:$F$372,$F81,Покупка!$AC$25:$AC$372,$G81)</f>
        <v>0</v>
      </c>
      <c r="AT81" s="943">
        <f>_xlfn.SUMIFS(Покупка!AS$25:AS$372,Покупка!$F$25:$F$372,$F81,Покупка!$AC$25:$AC$372,$G81)</f>
        <v>0</v>
      </c>
      <c r="AU81" s="943">
        <f>_xlfn.SUMIFS(Покупка!AT$25:AT$372,Покупка!$F$25:$F$372,$F81,Покупка!$AC$25:$AC$372,$G81)</f>
        <v>0</v>
      </c>
      <c r="AV81" s="943">
        <f>_xlfn.SUMIFS(Покупка!AU$25:AU$372,Покупка!$F$25:$F$372,$F81,Покупка!$AC$25:$AC$372,$G81)</f>
        <v>0</v>
      </c>
      <c r="AW81" s="943">
        <f>_xlfn.SUMIFS(Покупка!AV$25:AV$372,Покупка!$F$25:$F$372,$F81,Покупка!$AC$25:$AC$372,$G81)</f>
        <v>0</v>
      </c>
      <c r="AX81" s="943">
        <f>_xlfn.SUMIFS(Покупка!AW$25:AW$372,Покупка!$F$25:$F$372,$F81,Покупка!$AC$25:$AC$372,$G81)</f>
        <v>0</v>
      </c>
      <c r="AY81" s="943">
        <f>_xlfn.SUMIFS(Покупка!AX$25:AX$372,Покупка!$F$25:$F$372,$F81,Покупка!$AC$25:$AC$372,$G81)</f>
        <v>0</v>
      </c>
      <c r="AZ81" s="943">
        <f>_xlfn.SUMIFS(Покупка!AY$25:AY$372,Покупка!$F$25:$F$372,$F81,Покупка!$AC$25:$AC$372,$G81)</f>
        <v>0</v>
      </c>
      <c r="BA81" s="943">
        <f>_xlfn.SUMIFS(Покупка!AZ$25:AZ$372,Покупка!$F$25:$F$372,$F81,Покупка!$AC$25:$AC$372,$G81)</f>
        <v>0</v>
      </c>
      <c r="BB81" s="943">
        <f>_xlfn.SUMIFS(Покупка!BA$25:BA$372,Покупка!$F$25:$F$372,$F81,Покупка!$AC$25:$AC$372,$G81)</f>
        <v>0</v>
      </c>
      <c r="BC81" s="943">
        <f>_xlfn.SUMIFS(Покупка!BB$25:BB$372,Покупка!$F$25:$F$372,$F81,Покупка!$AC$25:$AC$372,$G81)</f>
        <v>0</v>
      </c>
      <c r="BD81" s="943">
        <f>IF(AI81=0,0,(AT81-AI81)/AI81*100)</f>
        <v>0</v>
      </c>
      <c r="BE81" s="943">
        <f>IF(AT81=0,0,(AU81-AT81)/AT81*100)</f>
        <v>0</v>
      </c>
      <c r="BF81" s="943">
        <f>IF(AU81=0,0,(AV81-AU81)/AU81*100)</f>
        <v>0</v>
      </c>
      <c r="BG81" s="943">
        <f>IF(AV81=0,0,(AW81-AV81)/AV81*100)</f>
        <v>0</v>
      </c>
      <c r="BH81" s="943">
        <f>IF(AW81=0,0,(AX81-AW81)/AW81*100)</f>
        <v>0</v>
      </c>
      <c r="BI81" s="943">
        <f>IF(AX81=0,0,(AY81-AX81)/AX81*100)</f>
        <v>0</v>
      </c>
      <c r="BJ81" s="943">
        <f>IF(AY81=0,0,(AZ81-AY81)/AY81*100)</f>
        <v>0</v>
      </c>
      <c r="BK81" s="943">
        <f>IF(AZ81=0,0,(BA81-AZ81)/AZ81*100)</f>
        <v>0</v>
      </c>
      <c r="BL81" s="943">
        <f>IF(BA81=0,0,(BB81-BA81)/BA81*100)</f>
        <v>0</v>
      </c>
      <c r="BM81" s="943">
        <f>IF(BB81=0,0,(BC81-BB81)/BB81*100)</f>
        <v>0</v>
      </c>
      <c r="BN81" s="1256"/>
      <c r="BO81" s="1254" t="str">
        <f>IF(_xlfn.IFERROR(INDEX(Покупка!$K$26:$L$372,MATCH($F81&amp;"7komm",Покупка!$K$26:$K$372,0),2),"")=0,"",_xlfn.IFERROR(INDEX(Покупка!$K$26:$L$372,MATCH($F81&amp;"7komm",Покупка!$K$26:$K$372,0),2),""))</f>
        <v/>
      </c>
      <c r="BP81" s="1256"/>
      <c r="BQ81" s="1278"/>
      <c r="BR81" s="1278"/>
      <c r="BS81" s="1064" t="s">
        <v>1842</v>
      </c>
      <c r="BT81" s="1064"/>
      <c r="BU81" s="1064"/>
      <c r="BV81" s="979"/>
      <c r="BW81" s="979"/>
    </row>
    <row customHeight="1" ht="14.625" hidden="1">
      <c r="A82" s="1278"/>
      <c r="B82" s="96"/>
      <c r="C82" s="107"/>
      <c r="D82" s="107"/>
      <c r="E82" s="621">
        <v>15</v>
      </c>
      <c r="F82" s="50" cm="1" t="str">
        <f t="array" ref="F82:F82">OFFSET(E82,-1,1)</f>
        <v>0</v>
      </c>
      <c r="G82" s="107" t="s">
        <v>1793</v>
      </c>
      <c r="H82" s="107"/>
      <c r="I82" s="107" t="s">
        <v>2374</v>
      </c>
      <c r="J82" s="107"/>
      <c r="K82" s="107" t="s">
        <v>2374</v>
      </c>
      <c r="L82" s="980" t="s">
        <v>2244</v>
      </c>
      <c r="M82" s="107"/>
      <c r="N82" s="107"/>
      <c r="O82" s="107"/>
      <c r="P82" s="107"/>
      <c r="Q82" s="107"/>
      <c r="R82" s="107"/>
      <c r="S82" s="107"/>
      <c r="T82" s="465" cm="1" t="str">
        <f t="array" ref="T82:T82">T81</f>
        <v>false</v>
      </c>
      <c r="U82" s="107"/>
      <c r="V82" s="107"/>
      <c r="W82" s="1278"/>
      <c r="X82" s="1563"/>
      <c r="Y82" s="1278"/>
      <c r="Z82" s="1546"/>
      <c r="AA82" s="1278"/>
      <c r="AB82" s="299" t="s">
        <v>2740</v>
      </c>
      <c r="AC82" s="765" t="s">
        <v>2741</v>
      </c>
      <c r="AD82" s="300" t="s">
        <v>1514</v>
      </c>
      <c r="AE82" s="259">
        <f>_xlfn.SUMIFS(Покупка!AE$25:AE$372,Покупка!$F$25:$F$372,$F82,Покупка!$AC$25:$AC$372,$G82)</f>
        <v>0</v>
      </c>
      <c r="AF82" s="259">
        <f>_xlfn.SUMIFS(Покупка!AF$25:AF$372,Покупка!$F$25:$F$372,$F82,Покупка!$AC$25:$AC$372,$G82)</f>
        <v>0</v>
      </c>
      <c r="AG82" s="259">
        <f>_xlfn.SUMIFS(Покупка!AG$25:AG$372,Покупка!$F$25:$F$372,$F82,Покупка!$AC$25:$AC$372,$G82)</f>
        <v>0</v>
      </c>
      <c r="AH82" s="943">
        <f>AG82-AF82</f>
        <v>0</v>
      </c>
      <c r="AI82" s="943">
        <f>_xlfn.SUMIFS(Покупка!AH$25:AH$372,Покупка!$F$25:$F$372,$F82,Покупка!$AC$25:$AC$372,$G82)</f>
        <v>0</v>
      </c>
      <c r="AJ82" s="943">
        <f>_xlfn.SUMIFS(Покупка!AI$25:AI$372,Покупка!$F$25:$F$372,$F82,Покупка!$AC$25:$AC$372,$G82)</f>
        <v>0</v>
      </c>
      <c r="AK82" s="943">
        <f>_xlfn.SUMIFS(Покупка!AJ$25:AJ$372,Покупка!$F$25:$F$372,$F82,Покупка!$AC$25:$AC$372,$G82)</f>
        <v>0</v>
      </c>
      <c r="AL82" s="943">
        <f>_xlfn.SUMIFS(Покупка!AK$25:AK$372,Покупка!$F$25:$F$372,$F82,Покупка!$AC$25:$AC$372,$G82)</f>
        <v>0</v>
      </c>
      <c r="AM82" s="943">
        <f>_xlfn.SUMIFS(Покупка!AL$25:AL$372,Покупка!$F$25:$F$372,$F82,Покупка!$AC$25:$AC$372,$G82)</f>
        <v>0</v>
      </c>
      <c r="AN82" s="943">
        <f>_xlfn.SUMIFS(Покупка!AM$25:AM$372,Покупка!$F$25:$F$372,$F82,Покупка!$AC$25:$AC$372,$G82)</f>
        <v>0</v>
      </c>
      <c r="AO82" s="943">
        <f>_xlfn.SUMIFS(Покупка!AN$25:AN$372,Покупка!$F$25:$F$372,$F82,Покупка!$AC$25:$AC$372,$G82)</f>
        <v>0</v>
      </c>
      <c r="AP82" s="943">
        <f>_xlfn.SUMIFS(Покупка!AO$25:AO$372,Покупка!$F$25:$F$372,$F82,Покупка!$AC$25:$AC$372,$G82)</f>
        <v>0</v>
      </c>
      <c r="AQ82" s="943">
        <f>_xlfn.SUMIFS(Покупка!AP$25:AP$372,Покупка!$F$25:$F$372,$F82,Покупка!$AC$25:$AC$372,$G82)</f>
        <v>0</v>
      </c>
      <c r="AR82" s="943">
        <f>_xlfn.SUMIFS(Покупка!AQ$25:AQ$372,Покупка!$F$25:$F$372,$F82,Покупка!$AC$25:$AC$372,$G82)</f>
        <v>0</v>
      </c>
      <c r="AS82" s="943">
        <f>_xlfn.SUMIFS(Покупка!AR$25:AR$372,Покупка!$F$25:$F$372,$F82,Покупка!$AC$25:$AC$372,$G82)</f>
        <v>0</v>
      </c>
      <c r="AT82" s="943">
        <f>_xlfn.SUMIFS(Покупка!AS$25:AS$372,Покупка!$F$25:$F$372,$F82,Покупка!$AC$25:$AC$372,$G82)</f>
        <v>0</v>
      </c>
      <c r="AU82" s="943">
        <f>_xlfn.SUMIFS(Покупка!AT$25:AT$372,Покупка!$F$25:$F$372,$F82,Покупка!$AC$25:$AC$372,$G82)</f>
        <v>0</v>
      </c>
      <c r="AV82" s="943">
        <f>_xlfn.SUMIFS(Покупка!AU$25:AU$372,Покупка!$F$25:$F$372,$F82,Покупка!$AC$25:$AC$372,$G82)</f>
        <v>0</v>
      </c>
      <c r="AW82" s="943">
        <f>_xlfn.SUMIFS(Покупка!AV$25:AV$372,Покупка!$F$25:$F$372,$F82,Покупка!$AC$25:$AC$372,$G82)</f>
        <v>0</v>
      </c>
      <c r="AX82" s="943">
        <f>_xlfn.SUMIFS(Покупка!AW$25:AW$372,Покупка!$F$25:$F$372,$F82,Покупка!$AC$25:$AC$372,$G82)</f>
        <v>0</v>
      </c>
      <c r="AY82" s="943">
        <f>_xlfn.SUMIFS(Покупка!AX$25:AX$372,Покупка!$F$25:$F$372,$F82,Покупка!$AC$25:$AC$372,$G82)</f>
        <v>0</v>
      </c>
      <c r="AZ82" s="943">
        <f>_xlfn.SUMIFS(Покупка!AY$25:AY$372,Покупка!$F$25:$F$372,$F82,Покупка!$AC$25:$AC$372,$G82)</f>
        <v>0</v>
      </c>
      <c r="BA82" s="943">
        <f>_xlfn.SUMIFS(Покупка!AZ$25:AZ$372,Покупка!$F$25:$F$372,$F82,Покупка!$AC$25:$AC$372,$G82)</f>
        <v>0</v>
      </c>
      <c r="BB82" s="943">
        <f>_xlfn.SUMIFS(Покупка!BA$25:BA$372,Покупка!$F$25:$F$372,$F82,Покупка!$AC$25:$AC$372,$G82)</f>
        <v>0</v>
      </c>
      <c r="BC82" s="943">
        <f>_xlfn.SUMIFS(Покупка!BB$25:BB$372,Покупка!$F$25:$F$372,$F82,Покупка!$AC$25:$AC$372,$G82)</f>
        <v>0</v>
      </c>
      <c r="BD82" s="943">
        <f>IF(AI82=0,0,(AT82-AI82)/AI82*100)</f>
        <v>0</v>
      </c>
      <c r="BE82" s="943">
        <f>IF(AT82=0,0,(AU82-AT82)/AT82*100)</f>
        <v>0</v>
      </c>
      <c r="BF82" s="943">
        <f>IF(AU82=0,0,(AV82-AU82)/AU82*100)</f>
        <v>0</v>
      </c>
      <c r="BG82" s="943">
        <f>IF(AV82=0,0,(AW82-AV82)/AV82*100)</f>
        <v>0</v>
      </c>
      <c r="BH82" s="943">
        <f>IF(AW82=0,0,(AX82-AW82)/AW82*100)</f>
        <v>0</v>
      </c>
      <c r="BI82" s="943">
        <f>IF(AX82=0,0,(AY82-AX82)/AX82*100)</f>
        <v>0</v>
      </c>
      <c r="BJ82" s="943">
        <f>IF(AY82=0,0,(AZ82-AY82)/AY82*100)</f>
        <v>0</v>
      </c>
      <c r="BK82" s="943">
        <f>IF(AZ82=0,0,(BA82-AZ82)/AZ82*100)</f>
        <v>0</v>
      </c>
      <c r="BL82" s="943">
        <f>IF(BA82=0,0,(BB82-BA82)/BA82*100)</f>
        <v>0</v>
      </c>
      <c r="BM82" s="943">
        <f>IF(BB82=0,0,(BC82-BB82)/BB82*100)</f>
        <v>0</v>
      </c>
      <c r="BN82" s="1256"/>
      <c r="BO82" s="1254" t="str">
        <f>IF(_xlfn.IFERROR(INDEX(Покупка!$K$26:$L$372,MATCH($F82&amp;"2komm",Покупка!$K$26:$K$372,0),2),"")=0,"",_xlfn.IFERROR(INDEX(Покупка!$K$26:$L$372,MATCH($F82&amp;"2komm",Покупка!$K$26:$K$372,0),2),""))</f>
        <v/>
      </c>
      <c r="BP82" s="1256"/>
      <c r="BQ82" s="1278"/>
      <c r="BR82" s="1278"/>
      <c r="BS82" s="1064" t="s">
        <v>2742</v>
      </c>
      <c r="BT82" s="1064"/>
      <c r="BU82" s="1064"/>
      <c r="BV82" s="979"/>
      <c r="BW82" s="979"/>
    </row>
    <row customHeight="1" ht="14.625" hidden="1">
      <c r="A83" s="1278"/>
      <c r="B83" s="96"/>
      <c r="C83" s="107"/>
      <c r="D83" s="107"/>
      <c r="E83" s="621">
        <v>15</v>
      </c>
      <c r="F83" s="50" cm="1" t="str">
        <f t="array" ref="F83:F83">OFFSET(E83,-1,1)</f>
        <v>0</v>
      </c>
      <c r="G83" s="107" t="s">
        <v>1780</v>
      </c>
      <c r="H83" s="107"/>
      <c r="I83" s="107" t="s">
        <v>2376</v>
      </c>
      <c r="J83" s="107"/>
      <c r="K83" s="107" t="s">
        <v>2376</v>
      </c>
      <c r="L83" s="980" t="s">
        <v>2239</v>
      </c>
      <c r="M83" s="107"/>
      <c r="N83" s="107"/>
      <c r="O83" s="107"/>
      <c r="P83" s="107"/>
      <c r="Q83" s="107"/>
      <c r="R83" s="107"/>
      <c r="S83" s="107"/>
      <c r="T83" s="465" cm="1" t="str">
        <f t="array" ref="T83:T83">T82</f>
        <v>false</v>
      </c>
      <c r="U83" s="107"/>
      <c r="V83" s="107"/>
      <c r="W83" s="1278"/>
      <c r="X83" s="1563"/>
      <c r="Y83" s="1278"/>
      <c r="Z83" s="1546"/>
      <c r="AA83" s="1278"/>
      <c r="AB83" s="299" t="s">
        <v>2743</v>
      </c>
      <c r="AC83" s="765" t="s">
        <v>2744</v>
      </c>
      <c r="AD83" s="300" t="s">
        <v>1514</v>
      </c>
      <c r="AE83" s="259">
        <f>_xlfn.SUMIFS(Покупка!AE$25:AE$372,Покупка!$F$25:$F$372,$F83,Покупка!$AC$25:$AC$372,$G83)</f>
        <v>0</v>
      </c>
      <c r="AF83" s="259">
        <f>_xlfn.SUMIFS(Покупка!AF$25:AF$372,Покупка!$F$25:$F$372,$F83,Покупка!$AC$25:$AC$372,$G83)</f>
        <v>0</v>
      </c>
      <c r="AG83" s="259">
        <f>_xlfn.SUMIFS(Покупка!AG$25:AG$372,Покупка!$F$25:$F$372,$F83,Покупка!$AC$25:$AC$372,$G83)</f>
        <v>0</v>
      </c>
      <c r="AH83" s="943">
        <f>AG83-AF83</f>
        <v>0</v>
      </c>
      <c r="AI83" s="943">
        <f>_xlfn.SUMIFS(Покупка!AH$25:AH$372,Покупка!$F$25:$F$372,$F83,Покупка!$AC$25:$AC$372,$G83)</f>
        <v>0</v>
      </c>
      <c r="AJ83" s="943">
        <f>_xlfn.SUMIFS(Покупка!AI$25:AI$372,Покупка!$F$25:$F$372,$F83,Покупка!$AC$25:$AC$372,$G83)</f>
        <v>0</v>
      </c>
      <c r="AK83" s="943">
        <f>_xlfn.SUMIFS(Покупка!AJ$25:AJ$372,Покупка!$F$25:$F$372,$F83,Покупка!$AC$25:$AC$372,$G83)</f>
        <v>0</v>
      </c>
      <c r="AL83" s="943">
        <f>_xlfn.SUMIFS(Покупка!AK$25:AK$372,Покупка!$F$25:$F$372,$F83,Покупка!$AC$25:$AC$372,$G83)</f>
        <v>0</v>
      </c>
      <c r="AM83" s="943">
        <f>_xlfn.SUMIFS(Покупка!AL$25:AL$372,Покупка!$F$25:$F$372,$F83,Покупка!$AC$25:$AC$372,$G83)</f>
        <v>0</v>
      </c>
      <c r="AN83" s="943">
        <f>_xlfn.SUMIFS(Покупка!AM$25:AM$372,Покупка!$F$25:$F$372,$F83,Покупка!$AC$25:$AC$372,$G83)</f>
        <v>0</v>
      </c>
      <c r="AO83" s="943">
        <f>_xlfn.SUMIFS(Покупка!AN$25:AN$372,Покупка!$F$25:$F$372,$F83,Покупка!$AC$25:$AC$372,$G83)</f>
        <v>0</v>
      </c>
      <c r="AP83" s="943">
        <f>_xlfn.SUMIFS(Покупка!AO$25:AO$372,Покупка!$F$25:$F$372,$F83,Покупка!$AC$25:$AC$372,$G83)</f>
        <v>0</v>
      </c>
      <c r="AQ83" s="943">
        <f>_xlfn.SUMIFS(Покупка!AP$25:AP$372,Покупка!$F$25:$F$372,$F83,Покупка!$AC$25:$AC$372,$G83)</f>
        <v>0</v>
      </c>
      <c r="AR83" s="943">
        <f>_xlfn.SUMIFS(Покупка!AQ$25:AQ$372,Покупка!$F$25:$F$372,$F83,Покупка!$AC$25:$AC$372,$G83)</f>
        <v>0</v>
      </c>
      <c r="AS83" s="943">
        <f>_xlfn.SUMIFS(Покупка!AR$25:AR$372,Покупка!$F$25:$F$372,$F83,Покупка!$AC$25:$AC$372,$G83)</f>
        <v>0</v>
      </c>
      <c r="AT83" s="943">
        <f>_xlfn.SUMIFS(Покупка!AS$25:AS$372,Покупка!$F$25:$F$372,$F83,Покупка!$AC$25:$AC$372,$G83)</f>
        <v>0</v>
      </c>
      <c r="AU83" s="943">
        <f>_xlfn.SUMIFS(Покупка!AT$25:AT$372,Покупка!$F$25:$F$372,$F83,Покупка!$AC$25:$AC$372,$G83)</f>
        <v>0</v>
      </c>
      <c r="AV83" s="943">
        <f>_xlfn.SUMIFS(Покупка!AU$25:AU$372,Покупка!$F$25:$F$372,$F83,Покупка!$AC$25:$AC$372,$G83)</f>
        <v>0</v>
      </c>
      <c r="AW83" s="943">
        <f>_xlfn.SUMIFS(Покупка!AV$25:AV$372,Покупка!$F$25:$F$372,$F83,Покупка!$AC$25:$AC$372,$G83)</f>
        <v>0</v>
      </c>
      <c r="AX83" s="943">
        <f>_xlfn.SUMIFS(Покупка!AW$25:AW$372,Покупка!$F$25:$F$372,$F83,Покупка!$AC$25:$AC$372,$G83)</f>
        <v>0</v>
      </c>
      <c r="AY83" s="943">
        <f>_xlfn.SUMIFS(Покупка!AX$25:AX$372,Покупка!$F$25:$F$372,$F83,Покупка!$AC$25:$AC$372,$G83)</f>
        <v>0</v>
      </c>
      <c r="AZ83" s="943">
        <f>_xlfn.SUMIFS(Покупка!AY$25:AY$372,Покупка!$F$25:$F$372,$F83,Покупка!$AC$25:$AC$372,$G83)</f>
        <v>0</v>
      </c>
      <c r="BA83" s="943">
        <f>_xlfn.SUMIFS(Покупка!AZ$25:AZ$372,Покупка!$F$25:$F$372,$F83,Покупка!$AC$25:$AC$372,$G83)</f>
        <v>0</v>
      </c>
      <c r="BB83" s="943">
        <f>_xlfn.SUMIFS(Покупка!BA$25:BA$372,Покупка!$F$25:$F$372,$F83,Покупка!$AC$25:$AC$372,$G83)</f>
        <v>0</v>
      </c>
      <c r="BC83" s="943">
        <f>_xlfn.SUMIFS(Покупка!BB$25:BB$372,Покупка!$F$25:$F$372,$F83,Покупка!$AC$25:$AC$372,$G83)</f>
        <v>0</v>
      </c>
      <c r="BD83" s="943">
        <f>IF(AI83=0,0,(AT83-AI83)/AI83*100)</f>
        <v>0</v>
      </c>
      <c r="BE83" s="943">
        <f>IF(AT83=0,0,(AU83-AT83)/AT83*100)</f>
        <v>0</v>
      </c>
      <c r="BF83" s="943">
        <f>IF(AU83=0,0,(AV83-AU83)/AU83*100)</f>
        <v>0</v>
      </c>
      <c r="BG83" s="943">
        <f>IF(AV83=0,0,(AW83-AV83)/AV83*100)</f>
        <v>0</v>
      </c>
      <c r="BH83" s="943">
        <f>IF(AW83=0,0,(AX83-AW83)/AW83*100)</f>
        <v>0</v>
      </c>
      <c r="BI83" s="943">
        <f>IF(AX83=0,0,(AY83-AX83)/AX83*100)</f>
        <v>0</v>
      </c>
      <c r="BJ83" s="943">
        <f>IF(AY83=0,0,(AZ83-AY83)/AY83*100)</f>
        <v>0</v>
      </c>
      <c r="BK83" s="943">
        <f>IF(AZ83=0,0,(BA83-AZ83)/AZ83*100)</f>
        <v>0</v>
      </c>
      <c r="BL83" s="943">
        <f>IF(BA83=0,0,(BB83-BA83)/BA83*100)</f>
        <v>0</v>
      </c>
      <c r="BM83" s="943">
        <f>IF(BB83=0,0,(BC83-BB83)/BB83*100)</f>
        <v>0</v>
      </c>
      <c r="BN83" s="1256"/>
      <c r="BO83" s="1254" t="str">
        <f>IF(_xlfn.IFERROR(INDEX(Покупка!$K$26:$L$372,MATCH($F83&amp;"1komm",Покупка!$K$26:$K$372,0),2),"")=0,"",_xlfn.IFERROR(INDEX(Покупка!$K$26:$L$372,MATCH($F83&amp;"1komm",Покупка!$K$26:$K$372,0),2),""))</f>
        <v/>
      </c>
      <c r="BP83" s="1256"/>
      <c r="BQ83" s="1278"/>
      <c r="BR83" s="1278"/>
      <c r="BS83" s="1064" t="s">
        <v>2745</v>
      </c>
      <c r="BT83" s="1064"/>
      <c r="BU83" s="1064"/>
      <c r="BV83" s="979"/>
      <c r="BW83" s="979"/>
    </row>
    <row customHeight="1" ht="14.625" hidden="1">
      <c r="A84" s="1278"/>
      <c r="B84" s="96"/>
      <c r="C84" s="107"/>
      <c r="D84" s="107"/>
      <c r="E84" s="621">
        <v>15</v>
      </c>
      <c r="F84" s="50" cm="1" t="str">
        <f t="array" ref="F84:F84">OFFSET(E84,-1,1)</f>
        <v>0</v>
      </c>
      <c r="G84" s="107" t="s">
        <v>1847</v>
      </c>
      <c r="H84" s="107"/>
      <c r="I84" s="107" t="s">
        <v>2379</v>
      </c>
      <c r="J84" s="107"/>
      <c r="K84" s="107" t="s">
        <v>2379</v>
      </c>
      <c r="L84" s="980"/>
      <c r="M84" s="107"/>
      <c r="N84" s="107"/>
      <c r="O84" s="107"/>
      <c r="P84" s="107"/>
      <c r="Q84" s="107"/>
      <c r="R84" s="107"/>
      <c r="S84" s="107"/>
      <c r="T84" s="465" cm="1" t="str">
        <f t="array" ref="T84:T84">T83</f>
        <v>false</v>
      </c>
      <c r="U84" s="107"/>
      <c r="V84" s="107"/>
      <c r="W84" s="1278"/>
      <c r="X84" s="1563"/>
      <c r="Y84" s="1278"/>
      <c r="Z84" s="1546"/>
      <c r="AA84" s="1278"/>
      <c r="AB84" s="299" t="s">
        <v>2746</v>
      </c>
      <c r="AC84" s="765" t="s">
        <v>2747</v>
      </c>
      <c r="AD84" s="300" t="s">
        <v>1514</v>
      </c>
      <c r="AE84" s="259">
        <f>_xlfn.SUMIFS(Покупка!AE$25:AE$372,Покупка!$F$25:$F$372,$F84,Покупка!$AC$25:$AC$372,$G84)</f>
        <v>0</v>
      </c>
      <c r="AF84" s="259">
        <f>_xlfn.SUMIFS(Покупка!AF$25:AF$372,Покупка!$F$25:$F$372,$F84,Покупка!$AC$25:$AC$372,$G84)</f>
        <v>0</v>
      </c>
      <c r="AG84" s="259">
        <f>_xlfn.SUMIFS(Покупка!AG$25:AG$372,Покупка!$F$25:$F$372,$F84,Покупка!$AC$25:$AC$372,$G84)</f>
        <v>0</v>
      </c>
      <c r="AH84" s="943">
        <f>AG84-AF84</f>
        <v>0</v>
      </c>
      <c r="AI84" s="943">
        <f>_xlfn.SUMIFS(Покупка!AH$25:AH$372,Покупка!$F$25:$F$372,$F84,Покупка!$AC$25:$AC$372,$G84)</f>
        <v>0</v>
      </c>
      <c r="AJ84" s="943">
        <f>_xlfn.SUMIFS(Покупка!AI$25:AI$372,Покупка!$F$25:$F$372,$F84,Покупка!$AC$25:$AC$372,$G84)</f>
        <v>0</v>
      </c>
      <c r="AK84" s="943">
        <f>_xlfn.SUMIFS(Покупка!AJ$25:AJ$372,Покупка!$F$25:$F$372,$F84,Покупка!$AC$25:$AC$372,$G84)</f>
        <v>0</v>
      </c>
      <c r="AL84" s="943">
        <f>_xlfn.SUMIFS(Покупка!AK$25:AK$372,Покупка!$F$25:$F$372,$F84,Покупка!$AC$25:$AC$372,$G84)</f>
        <v>0</v>
      </c>
      <c r="AM84" s="943">
        <f>_xlfn.SUMIFS(Покупка!AL$25:AL$372,Покупка!$F$25:$F$372,$F84,Покупка!$AC$25:$AC$372,$G84)</f>
        <v>0</v>
      </c>
      <c r="AN84" s="943">
        <f>_xlfn.SUMIFS(Покупка!AM$25:AM$372,Покупка!$F$25:$F$372,$F84,Покупка!$AC$25:$AC$372,$G84)</f>
        <v>0</v>
      </c>
      <c r="AO84" s="943">
        <f>_xlfn.SUMIFS(Покупка!AN$25:AN$372,Покупка!$F$25:$F$372,$F84,Покупка!$AC$25:$AC$372,$G84)</f>
        <v>0</v>
      </c>
      <c r="AP84" s="943">
        <f>_xlfn.SUMIFS(Покупка!AO$25:AO$372,Покупка!$F$25:$F$372,$F84,Покупка!$AC$25:$AC$372,$G84)</f>
        <v>0</v>
      </c>
      <c r="AQ84" s="943">
        <f>_xlfn.SUMIFS(Покупка!AP$25:AP$372,Покупка!$F$25:$F$372,$F84,Покупка!$AC$25:$AC$372,$G84)</f>
        <v>0</v>
      </c>
      <c r="AR84" s="943">
        <f>_xlfn.SUMIFS(Покупка!AQ$25:AQ$372,Покупка!$F$25:$F$372,$F84,Покупка!$AC$25:$AC$372,$G84)</f>
        <v>0</v>
      </c>
      <c r="AS84" s="943">
        <f>_xlfn.SUMIFS(Покупка!AR$25:AR$372,Покупка!$F$25:$F$372,$F84,Покупка!$AC$25:$AC$372,$G84)</f>
        <v>0</v>
      </c>
      <c r="AT84" s="943">
        <f>_xlfn.SUMIFS(Покупка!AS$25:AS$372,Покупка!$F$25:$F$372,$F84,Покупка!$AC$25:$AC$372,$G84)</f>
        <v>0</v>
      </c>
      <c r="AU84" s="943">
        <f>_xlfn.SUMIFS(Покупка!AT$25:AT$372,Покупка!$F$25:$F$372,$F84,Покупка!$AC$25:$AC$372,$G84)</f>
        <v>0</v>
      </c>
      <c r="AV84" s="943">
        <f>_xlfn.SUMIFS(Покупка!AU$25:AU$372,Покупка!$F$25:$F$372,$F84,Покупка!$AC$25:$AC$372,$G84)</f>
        <v>0</v>
      </c>
      <c r="AW84" s="943">
        <f>_xlfn.SUMIFS(Покупка!AV$25:AV$372,Покупка!$F$25:$F$372,$F84,Покупка!$AC$25:$AC$372,$G84)</f>
        <v>0</v>
      </c>
      <c r="AX84" s="943">
        <f>_xlfn.SUMIFS(Покупка!AW$25:AW$372,Покупка!$F$25:$F$372,$F84,Покупка!$AC$25:$AC$372,$G84)</f>
        <v>0</v>
      </c>
      <c r="AY84" s="943">
        <f>_xlfn.SUMIFS(Покупка!AX$25:AX$372,Покупка!$F$25:$F$372,$F84,Покупка!$AC$25:$AC$372,$G84)</f>
        <v>0</v>
      </c>
      <c r="AZ84" s="943">
        <f>_xlfn.SUMIFS(Покупка!AY$25:AY$372,Покупка!$F$25:$F$372,$F84,Покупка!$AC$25:$AC$372,$G84)</f>
        <v>0</v>
      </c>
      <c r="BA84" s="943">
        <f>_xlfn.SUMIFS(Покупка!AZ$25:AZ$372,Покупка!$F$25:$F$372,$F84,Покупка!$AC$25:$AC$372,$G84)</f>
        <v>0</v>
      </c>
      <c r="BB84" s="943">
        <f>_xlfn.SUMIFS(Покупка!BA$25:BA$372,Покупка!$F$25:$F$372,$F84,Покупка!$AC$25:$AC$372,$G84)</f>
        <v>0</v>
      </c>
      <c r="BC84" s="943">
        <f>_xlfn.SUMIFS(Покупка!BB$25:BB$372,Покупка!$F$25:$F$372,$F84,Покупка!$AC$25:$AC$372,$G84)</f>
        <v>0</v>
      </c>
      <c r="BD84" s="943">
        <f>IF(AI84=0,0,(AT84-AI84)/AI84*100)</f>
        <v>0</v>
      </c>
      <c r="BE84" s="943">
        <f>IF(AT84=0,0,(AU84-AT84)/AT84*100)</f>
        <v>0</v>
      </c>
      <c r="BF84" s="943">
        <f>IF(AU84=0,0,(AV84-AU84)/AU84*100)</f>
        <v>0</v>
      </c>
      <c r="BG84" s="943">
        <f>IF(AV84=0,0,(AW84-AV84)/AV84*100)</f>
        <v>0</v>
      </c>
      <c r="BH84" s="943">
        <f>IF(AW84=0,0,(AX84-AW84)/AW84*100)</f>
        <v>0</v>
      </c>
      <c r="BI84" s="943">
        <f>IF(AX84=0,0,(AY84-AX84)/AX84*100)</f>
        <v>0</v>
      </c>
      <c r="BJ84" s="943">
        <f>IF(AY84=0,0,(AZ84-AY84)/AY84*100)</f>
        <v>0</v>
      </c>
      <c r="BK84" s="943">
        <f>IF(AZ84=0,0,(BA84-AZ84)/AZ84*100)</f>
        <v>0</v>
      </c>
      <c r="BL84" s="943">
        <f>IF(BA84=0,0,(BB84-BA84)/BA84*100)</f>
        <v>0</v>
      </c>
      <c r="BM84" s="943">
        <f>IF(BB84=0,0,(BC84-BB84)/BB84*100)</f>
        <v>0</v>
      </c>
      <c r="BN84" s="1256"/>
      <c r="BO84" s="1254" t="str">
        <f>IF(_xlfn.IFERROR(INDEX(Покупка!$K$26:$L$372,MATCH($F84&amp;"8komm",Покупка!$K$26:$K$372,0),2),"")=0,"",_xlfn.IFERROR(INDEX(Покупка!$K$26:$L$372,MATCH($F84&amp;"8komm",Покупка!$K$26:$K$372,0),2),""))</f>
        <v/>
      </c>
      <c r="BP84" s="1256"/>
      <c r="BQ84" s="1278"/>
      <c r="BR84" s="1278"/>
      <c r="BS84" s="1064" t="s">
        <v>1848</v>
      </c>
      <c r="BT84" s="1064"/>
      <c r="BU84" s="1064"/>
      <c r="BV84" s="979"/>
      <c r="BW84" s="979"/>
    </row>
    <row customHeight="1" ht="14.625" hidden="1">
      <c r="A85" s="1278"/>
      <c r="B85" s="96"/>
      <c r="C85" s="107"/>
      <c r="D85" s="107"/>
      <c r="E85" s="621">
        <v>15</v>
      </c>
      <c r="F85" s="50" cm="1" t="str">
        <f t="array" ref="F85:F85">OFFSET(E85,-1,1)</f>
        <v>0</v>
      </c>
      <c r="G85" s="107"/>
      <c r="H85" s="107"/>
      <c r="I85" s="107" t="s">
        <v>2748</v>
      </c>
      <c r="J85" s="107"/>
      <c r="K85" s="107" t="s">
        <v>2748</v>
      </c>
      <c r="L85" s="980"/>
      <c r="M85" s="107"/>
      <c r="N85" s="107"/>
      <c r="O85" s="107"/>
      <c r="P85" s="107"/>
      <c r="Q85" s="107"/>
      <c r="R85" s="107"/>
      <c r="S85" s="107"/>
      <c r="T85" s="465" cm="1" t="str">
        <f t="array" ref="T85:T85">T84</f>
        <v>false</v>
      </c>
      <c r="U85" s="107"/>
      <c r="V85" s="107"/>
      <c r="W85" s="1278"/>
      <c r="X85" s="1563"/>
      <c r="Y85" s="1278"/>
      <c r="Z85" s="1546"/>
      <c r="AA85" s="1278"/>
      <c r="AB85" s="299" t="s">
        <v>2749</v>
      </c>
      <c r="AC85" s="765" t="s">
        <v>2750</v>
      </c>
      <c r="AD85" s="300" t="s">
        <v>1514</v>
      </c>
      <c r="AE85" s="1255"/>
      <c r="AF85" s="1255"/>
      <c r="AG85" s="1255"/>
      <c r="AH85" s="943">
        <f>AG85-AF85</f>
        <v>0</v>
      </c>
      <c r="AI85" s="1253"/>
      <c r="AJ85" s="1253"/>
      <c r="AK85" s="1253"/>
      <c r="AL85" s="1253"/>
      <c r="AM85" s="1253"/>
      <c r="AN85" s="1253"/>
      <c r="AO85" s="1253"/>
      <c r="AP85" s="1253"/>
      <c r="AQ85" s="1253"/>
      <c r="AR85" s="1253"/>
      <c r="AS85" s="1253"/>
      <c r="AT85" s="1253"/>
      <c r="AU85" s="1253"/>
      <c r="AV85" s="1253"/>
      <c r="AW85" s="1253"/>
      <c r="AX85" s="1253"/>
      <c r="AY85" s="1253"/>
      <c r="AZ85" s="1253"/>
      <c r="BA85" s="1253"/>
      <c r="BB85" s="1253"/>
      <c r="BC85" s="1253"/>
      <c r="BD85" s="943">
        <f>IF(AI85=0,0,(AT85-AI85)/AI85*100)</f>
        <v>0</v>
      </c>
      <c r="BE85" s="943">
        <f>IF(AT85=0,0,(AU85-AT85)/AT85*100)</f>
        <v>0</v>
      </c>
      <c r="BF85" s="943">
        <f>IF(AU85=0,0,(AV85-AU85)/AU85*100)</f>
        <v>0</v>
      </c>
      <c r="BG85" s="943">
        <f>IF(AV85=0,0,(AW85-AV85)/AV85*100)</f>
        <v>0</v>
      </c>
      <c r="BH85" s="943">
        <f>IF(AW85=0,0,(AX85-AW85)/AW85*100)</f>
        <v>0</v>
      </c>
      <c r="BI85" s="943">
        <f>IF(AX85=0,0,(AY85-AX85)/AX85*100)</f>
        <v>0</v>
      </c>
      <c r="BJ85" s="943">
        <f>IF(AY85=0,0,(AZ85-AY85)/AY85*100)</f>
        <v>0</v>
      </c>
      <c r="BK85" s="943">
        <f>IF(AZ85=0,0,(BA85-AZ85)/AZ85*100)</f>
        <v>0</v>
      </c>
      <c r="BL85" s="943">
        <f>IF(BA85=0,0,(BB85-BA85)/BA85*100)</f>
        <v>0</v>
      </c>
      <c r="BM85" s="943">
        <f>IF(BB85=0,0,(BC85-BB85)/BB85*100)</f>
        <v>0</v>
      </c>
      <c r="BN85" s="1256"/>
      <c r="BO85" s="1256"/>
      <c r="BP85" s="1256"/>
      <c r="BQ85" s="1278"/>
      <c r="BR85" s="1278"/>
      <c r="BS85" s="1064" t="s">
        <v>2751</v>
      </c>
      <c r="BT85" s="1064"/>
      <c r="BU85" s="1064"/>
      <c r="BV85" s="979"/>
      <c r="BW85" s="979"/>
    </row>
    <row customHeight="1" ht="14.625" hidden="1">
      <c r="A86" s="1278"/>
      <c r="B86" s="96"/>
      <c r="C86" s="107"/>
      <c r="D86" s="107"/>
      <c r="E86" s="621">
        <v>15</v>
      </c>
      <c r="F86" s="50" cm="1" t="str">
        <f t="array" ref="F86:F86">OFFSET(E86,-1,1)</f>
        <v>0</v>
      </c>
      <c r="G86" s="107"/>
      <c r="H86" s="107"/>
      <c r="I86" s="107" t="s">
        <v>2752</v>
      </c>
      <c r="J86" s="107"/>
      <c r="K86" s="107" t="s">
        <v>2752</v>
      </c>
      <c r="L86" s="980"/>
      <c r="M86" s="107"/>
      <c r="N86" s="107"/>
      <c r="O86" s="107"/>
      <c r="P86" s="107"/>
      <c r="Q86" s="107"/>
      <c r="R86" s="107"/>
      <c r="S86" s="107"/>
      <c r="T86" s="465" cm="1" t="str">
        <f t="array" ref="T86:T86">T85</f>
        <v>false</v>
      </c>
      <c r="U86" s="107"/>
      <c r="V86" s="107"/>
      <c r="W86" s="1278"/>
      <c r="X86" s="1563"/>
      <c r="Y86" s="1278"/>
      <c r="Z86" s="1546"/>
      <c r="AA86" s="1278"/>
      <c r="AB86" s="299" t="s">
        <v>2753</v>
      </c>
      <c r="AC86" s="765" t="s">
        <v>2754</v>
      </c>
      <c r="AD86" s="300" t="s">
        <v>1514</v>
      </c>
      <c r="AE86" s="1255"/>
      <c r="AF86" s="1255"/>
      <c r="AG86" s="1255"/>
      <c r="AH86" s="943">
        <f>AG86-AF86</f>
        <v>0</v>
      </c>
      <c r="AI86" s="1253"/>
      <c r="AJ86" s="1253"/>
      <c r="AK86" s="1253"/>
      <c r="AL86" s="1253"/>
      <c r="AM86" s="1253"/>
      <c r="AN86" s="1253"/>
      <c r="AO86" s="1253"/>
      <c r="AP86" s="1253"/>
      <c r="AQ86" s="1253"/>
      <c r="AR86" s="1253"/>
      <c r="AS86" s="1253"/>
      <c r="AT86" s="1253"/>
      <c r="AU86" s="1253"/>
      <c r="AV86" s="1253"/>
      <c r="AW86" s="1253"/>
      <c r="AX86" s="1253"/>
      <c r="AY86" s="1253"/>
      <c r="AZ86" s="1253"/>
      <c r="BA86" s="1253"/>
      <c r="BB86" s="1253"/>
      <c r="BC86" s="1253"/>
      <c r="BD86" s="943">
        <f>IF(AI86=0,0,(AT86-AI86)/AI86*100)</f>
        <v>0</v>
      </c>
      <c r="BE86" s="943">
        <f>IF(AT86=0,0,(AU86-AT86)/AT86*100)</f>
        <v>0</v>
      </c>
      <c r="BF86" s="943">
        <f>IF(AU86=0,0,(AV86-AU86)/AU86*100)</f>
        <v>0</v>
      </c>
      <c r="BG86" s="943">
        <f>IF(AV86=0,0,(AW86-AV86)/AV86*100)</f>
        <v>0</v>
      </c>
      <c r="BH86" s="943">
        <f>IF(AW86=0,0,(AX86-AW86)/AW86*100)</f>
        <v>0</v>
      </c>
      <c r="BI86" s="943">
        <f>IF(AX86=0,0,(AY86-AX86)/AX86*100)</f>
        <v>0</v>
      </c>
      <c r="BJ86" s="943">
        <f>IF(AY86=0,0,(AZ86-AY86)/AY86*100)</f>
        <v>0</v>
      </c>
      <c r="BK86" s="943">
        <f>IF(AZ86=0,0,(BA86-AZ86)/AZ86*100)</f>
        <v>0</v>
      </c>
      <c r="BL86" s="943">
        <f>IF(BA86=0,0,(BB86-BA86)/BA86*100)</f>
        <v>0</v>
      </c>
      <c r="BM86" s="943">
        <f>IF(BB86=0,0,(BC86-BB86)/BB86*100)</f>
        <v>0</v>
      </c>
      <c r="BN86" s="1256"/>
      <c r="BO86" s="1256"/>
      <c r="BP86" s="1256"/>
      <c r="BQ86" s="1278"/>
      <c r="BR86" s="1278"/>
      <c r="BS86" s="1064" t="s">
        <v>2755</v>
      </c>
      <c r="BT86" s="1064"/>
      <c r="BU86" s="1064"/>
      <c r="BV86" s="979"/>
      <c r="BW86" s="979"/>
    </row>
    <row customHeight="1" ht="14.625" hidden="1">
      <c r="A87" s="1278"/>
      <c r="B87" s="96"/>
      <c r="C87" s="107"/>
      <c r="D87" s="107"/>
      <c r="E87" s="621">
        <v>15</v>
      </c>
      <c r="F87" s="50" cm="1" t="str">
        <f t="array" ref="F87:F87">OFFSET(E87,-1,1)</f>
        <v>0</v>
      </c>
      <c r="G87" s="107" t="s">
        <v>1799</v>
      </c>
      <c r="H87" s="107"/>
      <c r="I87" s="107" t="s">
        <v>2756</v>
      </c>
      <c r="J87" s="107"/>
      <c r="K87" s="107" t="s">
        <v>2756</v>
      </c>
      <c r="L87" s="980" t="s">
        <v>2253</v>
      </c>
      <c r="M87" s="107"/>
      <c r="N87" s="107"/>
      <c r="O87" s="107"/>
      <c r="P87" s="107"/>
      <c r="Q87" s="107"/>
      <c r="R87" s="107"/>
      <c r="S87" s="107"/>
      <c r="T87" s="465" cm="1" t="str">
        <f t="array" ref="T87:T87">T86</f>
        <v>false</v>
      </c>
      <c r="U87" s="107"/>
      <c r="V87" s="107"/>
      <c r="W87" s="1278"/>
      <c r="X87" s="1563"/>
      <c r="Y87" s="1278"/>
      <c r="Z87" s="1546"/>
      <c r="AA87" s="1278"/>
      <c r="AB87" s="299" t="s">
        <v>2757</v>
      </c>
      <c r="AC87" s="765" t="s">
        <v>2758</v>
      </c>
      <c r="AD87" s="300" t="s">
        <v>1514</v>
      </c>
      <c r="AE87" s="259">
        <f>_xlfn.SUMIFS(Покупка!AE$25:AE$372,Покупка!$F$25:$F$372,$F87,Покупка!$AC$25:$AC$372,$G87)</f>
        <v>0</v>
      </c>
      <c r="AF87" s="259">
        <f>_xlfn.SUMIFS(Покупка!AF$25:AF$372,Покупка!$F$25:$F$372,$F87,Покупка!$AC$25:$AC$372,$G87)</f>
        <v>0</v>
      </c>
      <c r="AG87" s="259">
        <f>_xlfn.SUMIFS(Покупка!AG$25:AG$372,Покупка!$F$25:$F$372,$F87,Покупка!$AC$25:$AC$372,$G87)</f>
        <v>0</v>
      </c>
      <c r="AH87" s="943">
        <f>AG87-AF87</f>
        <v>0</v>
      </c>
      <c r="AI87" s="943">
        <f>_xlfn.SUMIFS(Покупка!AH$25:AH$372,Покупка!$F$25:$F$372,$F87,Покупка!$AC$25:$AC$372,$G87)</f>
        <v>0</v>
      </c>
      <c r="AJ87" s="943">
        <f>_xlfn.SUMIFS(Покупка!AI$25:AI$372,Покупка!$F$25:$F$372,$F87,Покупка!$AC$25:$AC$372,$G87)</f>
        <v>0</v>
      </c>
      <c r="AK87" s="943">
        <f>_xlfn.SUMIFS(Покупка!AJ$25:AJ$372,Покупка!$F$25:$F$372,$F87,Покупка!$AC$25:$AC$372,$G87)</f>
        <v>0</v>
      </c>
      <c r="AL87" s="943">
        <f>_xlfn.SUMIFS(Покупка!AK$25:AK$372,Покупка!$F$25:$F$372,$F87,Покупка!$AC$25:$AC$372,$G87)</f>
        <v>0</v>
      </c>
      <c r="AM87" s="943">
        <f>_xlfn.SUMIFS(Покупка!AL$25:AL$372,Покупка!$F$25:$F$372,$F87,Покупка!$AC$25:$AC$372,$G87)</f>
        <v>0</v>
      </c>
      <c r="AN87" s="943">
        <f>_xlfn.SUMIFS(Покупка!AM$25:AM$372,Покупка!$F$25:$F$372,$F87,Покупка!$AC$25:$AC$372,$G87)</f>
        <v>0</v>
      </c>
      <c r="AO87" s="943">
        <f>_xlfn.SUMIFS(Покупка!AN$25:AN$372,Покупка!$F$25:$F$372,$F87,Покупка!$AC$25:$AC$372,$G87)</f>
        <v>0</v>
      </c>
      <c r="AP87" s="943">
        <f>_xlfn.SUMIFS(Покупка!AO$25:AO$372,Покупка!$F$25:$F$372,$F87,Покупка!$AC$25:$AC$372,$G87)</f>
        <v>0</v>
      </c>
      <c r="AQ87" s="943">
        <f>_xlfn.SUMIFS(Покупка!AP$25:AP$372,Покупка!$F$25:$F$372,$F87,Покупка!$AC$25:$AC$372,$G87)</f>
        <v>0</v>
      </c>
      <c r="AR87" s="943">
        <f>_xlfn.SUMIFS(Покупка!AQ$25:AQ$372,Покупка!$F$25:$F$372,$F87,Покупка!$AC$25:$AC$372,$G87)</f>
        <v>0</v>
      </c>
      <c r="AS87" s="943">
        <f>_xlfn.SUMIFS(Покупка!AR$25:AR$372,Покупка!$F$25:$F$372,$F87,Покупка!$AC$25:$AC$372,$G87)</f>
        <v>0</v>
      </c>
      <c r="AT87" s="943">
        <f>_xlfn.SUMIFS(Покупка!AS$25:AS$372,Покупка!$F$25:$F$372,$F87,Покупка!$AC$25:$AC$372,$G87)</f>
        <v>0</v>
      </c>
      <c r="AU87" s="943">
        <f>_xlfn.SUMIFS(Покупка!AT$25:AT$372,Покупка!$F$25:$F$372,$F87,Покупка!$AC$25:$AC$372,$G87)</f>
        <v>0</v>
      </c>
      <c r="AV87" s="943">
        <f>_xlfn.SUMIFS(Покупка!AU$25:AU$372,Покупка!$F$25:$F$372,$F87,Покупка!$AC$25:$AC$372,$G87)</f>
        <v>0</v>
      </c>
      <c r="AW87" s="943">
        <f>_xlfn.SUMIFS(Покупка!AV$25:AV$372,Покупка!$F$25:$F$372,$F87,Покупка!$AC$25:$AC$372,$G87)</f>
        <v>0</v>
      </c>
      <c r="AX87" s="943">
        <f>_xlfn.SUMIFS(Покупка!AW$25:AW$372,Покупка!$F$25:$F$372,$F87,Покупка!$AC$25:$AC$372,$G87)</f>
        <v>0</v>
      </c>
      <c r="AY87" s="943">
        <f>_xlfn.SUMIFS(Покупка!AX$25:AX$372,Покупка!$F$25:$F$372,$F87,Покупка!$AC$25:$AC$372,$G87)</f>
        <v>0</v>
      </c>
      <c r="AZ87" s="943">
        <f>_xlfn.SUMIFS(Покупка!AY$25:AY$372,Покупка!$F$25:$F$372,$F87,Покупка!$AC$25:$AC$372,$G87)</f>
        <v>0</v>
      </c>
      <c r="BA87" s="943">
        <f>_xlfn.SUMIFS(Покупка!AZ$25:AZ$372,Покупка!$F$25:$F$372,$F87,Покупка!$AC$25:$AC$372,$G87)</f>
        <v>0</v>
      </c>
      <c r="BB87" s="943">
        <f>_xlfn.SUMIFS(Покупка!BA$25:BA$372,Покупка!$F$25:$F$372,$F87,Покупка!$AC$25:$AC$372,$G87)</f>
        <v>0</v>
      </c>
      <c r="BC87" s="943">
        <f>_xlfn.SUMIFS(Покупка!BB$25:BB$372,Покупка!$F$25:$F$372,$F87,Покупка!$AC$25:$AC$372,$G87)</f>
        <v>0</v>
      </c>
      <c r="BD87" s="943">
        <f>IF(AI87=0,0,(AT87-AI87)/AI87*100)</f>
        <v>0</v>
      </c>
      <c r="BE87" s="943">
        <f>IF(AT87=0,0,(AU87-AT87)/AT87*100)</f>
        <v>0</v>
      </c>
      <c r="BF87" s="943">
        <f>IF(AU87=0,0,(AV87-AU87)/AU87*100)</f>
        <v>0</v>
      </c>
      <c r="BG87" s="943">
        <f>IF(AV87=0,0,(AW87-AV87)/AV87*100)</f>
        <v>0</v>
      </c>
      <c r="BH87" s="943">
        <f>IF(AW87=0,0,(AX87-AW87)/AW87*100)</f>
        <v>0</v>
      </c>
      <c r="BI87" s="943">
        <f>IF(AX87=0,0,(AY87-AX87)/AX87*100)</f>
        <v>0</v>
      </c>
      <c r="BJ87" s="943">
        <f>IF(AY87=0,0,(AZ87-AY87)/AY87*100)</f>
        <v>0</v>
      </c>
      <c r="BK87" s="943">
        <f>IF(AZ87=0,0,(BA87-AZ87)/AZ87*100)</f>
        <v>0</v>
      </c>
      <c r="BL87" s="943">
        <f>IF(BA87=0,0,(BB87-BA87)/BA87*100)</f>
        <v>0</v>
      </c>
      <c r="BM87" s="943">
        <f>IF(BB87=0,0,(BC87-BB87)/BB87*100)</f>
        <v>0</v>
      </c>
      <c r="BN87" s="1256"/>
      <c r="BO87" s="1254" t="str">
        <f>IF(_xlfn.IFERROR(INDEX(Покупка!$K$26:$L$372,MATCH($F87&amp;"3komm",Покупка!$K$26:$K$372,0),2),"")=0,"",_xlfn.IFERROR(INDEX(Покупка!$K$26:$L$372,MATCH($F87&amp;"3komm",Покупка!$K$26:$K$372,0),2),""))</f>
        <v/>
      </c>
      <c r="BP87" s="1256"/>
      <c r="BQ87" s="1278"/>
      <c r="BR87" s="1278"/>
      <c r="BS87" s="1064" t="s">
        <v>2459</v>
      </c>
      <c r="BT87" s="1064"/>
      <c r="BU87" s="1064"/>
      <c r="BV87" s="979"/>
      <c r="BW87" s="979"/>
    </row>
    <row customHeight="1" ht="14.625" hidden="1">
      <c r="A88" s="1278"/>
      <c r="B88" s="96"/>
      <c r="C88" s="107"/>
      <c r="D88" s="107"/>
      <c r="E88" s="621">
        <v>15</v>
      </c>
      <c r="F88" s="50" cm="1" t="str">
        <f t="array" ref="F88:F88">OFFSET(E88,-1,1)</f>
        <v>0</v>
      </c>
      <c r="G88" s="107" t="s">
        <v>1805</v>
      </c>
      <c r="H88" s="107"/>
      <c r="I88" s="107" t="s">
        <v>2759</v>
      </c>
      <c r="J88" s="107"/>
      <c r="K88" s="107" t="s">
        <v>2759</v>
      </c>
      <c r="L88" s="980" t="s">
        <v>2258</v>
      </c>
      <c r="M88" s="107"/>
      <c r="N88" s="107"/>
      <c r="O88" s="107"/>
      <c r="P88" s="107"/>
      <c r="Q88" s="107"/>
      <c r="R88" s="107"/>
      <c r="S88" s="107"/>
      <c r="T88" s="465" cm="1" t="str">
        <f t="array" ref="T88:T88">T87</f>
        <v>false</v>
      </c>
      <c r="U88" s="107"/>
      <c r="V88" s="107"/>
      <c r="W88" s="1278"/>
      <c r="X88" s="1563"/>
      <c r="Y88" s="1278"/>
      <c r="Z88" s="1546"/>
      <c r="AA88" s="1278"/>
      <c r="AB88" s="299" t="s">
        <v>2760</v>
      </c>
      <c r="AC88" s="765" t="s">
        <v>2761</v>
      </c>
      <c r="AD88" s="300" t="s">
        <v>1514</v>
      </c>
      <c r="AE88" s="259">
        <f>_xlfn.SUMIFS(Покупка!AE$25:AE$372,Покупка!$F$25:$F$372,$F88,Покупка!$AC$25:$AC$372,$G88)</f>
        <v>0</v>
      </c>
      <c r="AF88" s="259">
        <f>_xlfn.SUMIFS(Покупка!AF$25:AF$372,Покупка!$F$25:$F$372,$F88,Покупка!$AC$25:$AC$372,$G88)</f>
        <v>0</v>
      </c>
      <c r="AG88" s="259">
        <f>_xlfn.SUMIFS(Покупка!AG$25:AG$372,Покупка!$F$25:$F$372,$F88,Покупка!$AC$25:$AC$372,$G88)</f>
        <v>0</v>
      </c>
      <c r="AH88" s="943">
        <f>AG88-AF88</f>
        <v>0</v>
      </c>
      <c r="AI88" s="943">
        <f>_xlfn.SUMIFS(Покупка!AH$25:AH$372,Покупка!$F$25:$F$372,$F88,Покупка!$AC$25:$AC$372,$G88)</f>
        <v>0</v>
      </c>
      <c r="AJ88" s="943">
        <f>_xlfn.SUMIFS(Покупка!AI$25:AI$372,Покупка!$F$25:$F$372,$F88,Покупка!$AC$25:$AC$372,$G88)</f>
        <v>0</v>
      </c>
      <c r="AK88" s="943">
        <f>_xlfn.SUMIFS(Покупка!AJ$25:AJ$372,Покупка!$F$25:$F$372,$F88,Покупка!$AC$25:$AC$372,$G88)</f>
        <v>0</v>
      </c>
      <c r="AL88" s="943">
        <f>_xlfn.SUMIFS(Покупка!AK$25:AK$372,Покупка!$F$25:$F$372,$F88,Покупка!$AC$25:$AC$372,$G88)</f>
        <v>0</v>
      </c>
      <c r="AM88" s="943">
        <f>_xlfn.SUMIFS(Покупка!AL$25:AL$372,Покупка!$F$25:$F$372,$F88,Покупка!$AC$25:$AC$372,$G88)</f>
        <v>0</v>
      </c>
      <c r="AN88" s="943">
        <f>_xlfn.SUMIFS(Покупка!AM$25:AM$372,Покупка!$F$25:$F$372,$F88,Покупка!$AC$25:$AC$372,$G88)</f>
        <v>0</v>
      </c>
      <c r="AO88" s="943">
        <f>_xlfn.SUMIFS(Покупка!AN$25:AN$372,Покупка!$F$25:$F$372,$F88,Покупка!$AC$25:$AC$372,$G88)</f>
        <v>0</v>
      </c>
      <c r="AP88" s="943">
        <f>_xlfn.SUMIFS(Покупка!AO$25:AO$372,Покупка!$F$25:$F$372,$F88,Покупка!$AC$25:$AC$372,$G88)</f>
        <v>0</v>
      </c>
      <c r="AQ88" s="943">
        <f>_xlfn.SUMIFS(Покупка!AP$25:AP$372,Покупка!$F$25:$F$372,$F88,Покупка!$AC$25:$AC$372,$G88)</f>
        <v>0</v>
      </c>
      <c r="AR88" s="943">
        <f>_xlfn.SUMIFS(Покупка!AQ$25:AQ$372,Покупка!$F$25:$F$372,$F88,Покупка!$AC$25:$AC$372,$G88)</f>
        <v>0</v>
      </c>
      <c r="AS88" s="943">
        <f>_xlfn.SUMIFS(Покупка!AR$25:AR$372,Покупка!$F$25:$F$372,$F88,Покупка!$AC$25:$AC$372,$G88)</f>
        <v>0</v>
      </c>
      <c r="AT88" s="943">
        <f>_xlfn.SUMIFS(Покупка!AS$25:AS$372,Покупка!$F$25:$F$372,$F88,Покупка!$AC$25:$AC$372,$G88)</f>
        <v>0</v>
      </c>
      <c r="AU88" s="943">
        <f>_xlfn.SUMIFS(Покупка!AT$25:AT$372,Покупка!$F$25:$F$372,$F88,Покупка!$AC$25:$AC$372,$G88)</f>
        <v>0</v>
      </c>
      <c r="AV88" s="943">
        <f>_xlfn.SUMIFS(Покупка!AU$25:AU$372,Покупка!$F$25:$F$372,$F88,Покупка!$AC$25:$AC$372,$G88)</f>
        <v>0</v>
      </c>
      <c r="AW88" s="943">
        <f>_xlfn.SUMIFS(Покупка!AV$25:AV$372,Покупка!$F$25:$F$372,$F88,Покупка!$AC$25:$AC$372,$G88)</f>
        <v>0</v>
      </c>
      <c r="AX88" s="943">
        <f>_xlfn.SUMIFS(Покупка!AW$25:AW$372,Покупка!$F$25:$F$372,$F88,Покупка!$AC$25:$AC$372,$G88)</f>
        <v>0</v>
      </c>
      <c r="AY88" s="943">
        <f>_xlfn.SUMIFS(Покупка!AX$25:AX$372,Покупка!$F$25:$F$372,$F88,Покупка!$AC$25:$AC$372,$G88)</f>
        <v>0</v>
      </c>
      <c r="AZ88" s="943">
        <f>_xlfn.SUMIFS(Покупка!AY$25:AY$372,Покупка!$F$25:$F$372,$F88,Покупка!$AC$25:$AC$372,$G88)</f>
        <v>0</v>
      </c>
      <c r="BA88" s="943">
        <f>_xlfn.SUMIFS(Покупка!AZ$25:AZ$372,Покупка!$F$25:$F$372,$F88,Покупка!$AC$25:$AC$372,$G88)</f>
        <v>0</v>
      </c>
      <c r="BB88" s="943">
        <f>_xlfn.SUMIFS(Покупка!BA$25:BA$372,Покупка!$F$25:$F$372,$F88,Покупка!$AC$25:$AC$372,$G88)</f>
        <v>0</v>
      </c>
      <c r="BC88" s="943">
        <f>_xlfn.SUMIFS(Покупка!BB$25:BB$372,Покупка!$F$25:$F$372,$F88,Покупка!$AC$25:$AC$372,$G88)</f>
        <v>0</v>
      </c>
      <c r="BD88" s="943">
        <f>IF(AI88=0,0,(AT88-AI88)/AI88*100)</f>
        <v>0</v>
      </c>
      <c r="BE88" s="943">
        <f>IF(AT88=0,0,(AU88-AT88)/AT88*100)</f>
        <v>0</v>
      </c>
      <c r="BF88" s="943">
        <f>IF(AU88=0,0,(AV88-AU88)/AU88*100)</f>
        <v>0</v>
      </c>
      <c r="BG88" s="943">
        <f>IF(AV88=0,0,(AW88-AV88)/AV88*100)</f>
        <v>0</v>
      </c>
      <c r="BH88" s="943">
        <f>IF(AW88=0,0,(AX88-AW88)/AW88*100)</f>
        <v>0</v>
      </c>
      <c r="BI88" s="943">
        <f>IF(AX88=0,0,(AY88-AX88)/AX88*100)</f>
        <v>0</v>
      </c>
      <c r="BJ88" s="943">
        <f>IF(AY88=0,0,(AZ88-AY88)/AY88*100)</f>
        <v>0</v>
      </c>
      <c r="BK88" s="943">
        <f>IF(AZ88=0,0,(BA88-AZ88)/AZ88*100)</f>
        <v>0</v>
      </c>
      <c r="BL88" s="943">
        <f>IF(BA88=0,0,(BB88-BA88)/BA88*100)</f>
        <v>0</v>
      </c>
      <c r="BM88" s="943">
        <f>IF(BB88=0,0,(BC88-BB88)/BB88*100)</f>
        <v>0</v>
      </c>
      <c r="BN88" s="1256"/>
      <c r="BO88" s="1254" t="str">
        <f>IF(_xlfn.IFERROR(INDEX(Покупка!$K$26:$L$372,MATCH($F88&amp;"4komm",Покупка!$K$26:$K$372,0),2),"")=0,"",_xlfn.IFERROR(INDEX(Покупка!$K$26:$L$372,MATCH($F87&amp;"3komm",Покупка!$K$26:$K$372,0),2),""))</f>
        <v/>
      </c>
      <c r="BP88" s="1256"/>
      <c r="BQ88" s="1278"/>
      <c r="BR88" s="1278"/>
      <c r="BS88" s="1064" t="s">
        <v>2462</v>
      </c>
      <c r="BT88" s="1064"/>
      <c r="BU88" s="1064"/>
      <c r="BV88" s="979"/>
      <c r="BW88" s="979"/>
    </row>
    <row customHeight="1" ht="14.625" hidden="1">
      <c r="A89" s="1278"/>
      <c r="B89" s="96"/>
      <c r="C89" s="107"/>
      <c r="D89" s="107"/>
      <c r="E89" s="621">
        <v>15</v>
      </c>
      <c r="F89" s="50" cm="1" t="str">
        <f t="array" ref="F89:F89">OFFSET(E89,-1,1)</f>
        <v>0</v>
      </c>
      <c r="G89" s="107" t="s">
        <v>1812</v>
      </c>
      <c r="H89" s="107"/>
      <c r="I89" s="107" t="s">
        <v>2762</v>
      </c>
      <c r="J89" s="107"/>
      <c r="K89" s="107" t="s">
        <v>2762</v>
      </c>
      <c r="L89" s="980" t="s">
        <v>2268</v>
      </c>
      <c r="M89" s="107"/>
      <c r="N89" s="107"/>
      <c r="O89" s="107"/>
      <c r="P89" s="107"/>
      <c r="Q89" s="107"/>
      <c r="R89" s="107"/>
      <c r="S89" s="107"/>
      <c r="T89" s="465" cm="1" t="str">
        <f t="array" ref="T89:T89">T88</f>
        <v>false</v>
      </c>
      <c r="U89" s="107"/>
      <c r="V89" s="107"/>
      <c r="W89" s="1278"/>
      <c r="X89" s="1563"/>
      <c r="Y89" s="1278"/>
      <c r="Z89" s="1546"/>
      <c r="AA89" s="1278"/>
      <c r="AB89" s="299" t="s">
        <v>2763</v>
      </c>
      <c r="AC89" s="765" t="s">
        <v>2764</v>
      </c>
      <c r="AD89" s="300" t="s">
        <v>1514</v>
      </c>
      <c r="AE89" s="259">
        <f>_xlfn.SUMIFS(Покупка!AE$25:AE$372,Покупка!$F$25:$F$372,$F89,Покупка!$AC$25:$AC$372,$G89)</f>
        <v>0</v>
      </c>
      <c r="AF89" s="259">
        <f>_xlfn.SUMIFS(Покупка!AF$25:AF$372,Покупка!$F$25:$F$372,$F89,Покупка!$AC$25:$AC$372,$G89)</f>
        <v>0</v>
      </c>
      <c r="AG89" s="259">
        <f>_xlfn.SUMIFS(Покупка!AG$25:AG$372,Покупка!$F$25:$F$372,$F89,Покупка!$AC$25:$AC$372,$G89)</f>
        <v>0</v>
      </c>
      <c r="AH89" s="943">
        <f>AG89-AF89</f>
        <v>0</v>
      </c>
      <c r="AI89" s="943">
        <f>_xlfn.SUMIFS(Покупка!AH$25:AH$372,Покупка!$F$25:$F$372,$F89,Покупка!$AC$25:$AC$372,$G89)</f>
        <v>0</v>
      </c>
      <c r="AJ89" s="943">
        <f>_xlfn.SUMIFS(Покупка!AI$25:AI$372,Покупка!$F$25:$F$372,$F89,Покупка!$AC$25:$AC$372,$G89)</f>
        <v>0</v>
      </c>
      <c r="AK89" s="943">
        <f>_xlfn.SUMIFS(Покупка!AJ$25:AJ$372,Покупка!$F$25:$F$372,$F89,Покупка!$AC$25:$AC$372,$G89)</f>
        <v>0</v>
      </c>
      <c r="AL89" s="943">
        <f>_xlfn.SUMIFS(Покупка!AK$25:AK$372,Покупка!$F$25:$F$372,$F89,Покупка!$AC$25:$AC$372,$G89)</f>
        <v>0</v>
      </c>
      <c r="AM89" s="943">
        <f>_xlfn.SUMIFS(Покупка!AL$25:AL$372,Покупка!$F$25:$F$372,$F89,Покупка!$AC$25:$AC$372,$G89)</f>
        <v>0</v>
      </c>
      <c r="AN89" s="943">
        <f>_xlfn.SUMIFS(Покупка!AM$25:AM$372,Покупка!$F$25:$F$372,$F89,Покупка!$AC$25:$AC$372,$G89)</f>
        <v>0</v>
      </c>
      <c r="AO89" s="943">
        <f>_xlfn.SUMIFS(Покупка!AN$25:AN$372,Покупка!$F$25:$F$372,$F89,Покупка!$AC$25:$AC$372,$G89)</f>
        <v>0</v>
      </c>
      <c r="AP89" s="943">
        <f>_xlfn.SUMIFS(Покупка!AO$25:AO$372,Покупка!$F$25:$F$372,$F89,Покупка!$AC$25:$AC$372,$G89)</f>
        <v>0</v>
      </c>
      <c r="AQ89" s="943">
        <f>_xlfn.SUMIFS(Покупка!AP$25:AP$372,Покупка!$F$25:$F$372,$F89,Покупка!$AC$25:$AC$372,$G89)</f>
        <v>0</v>
      </c>
      <c r="AR89" s="943">
        <f>_xlfn.SUMIFS(Покупка!AQ$25:AQ$372,Покупка!$F$25:$F$372,$F89,Покупка!$AC$25:$AC$372,$G89)</f>
        <v>0</v>
      </c>
      <c r="AS89" s="943">
        <f>_xlfn.SUMIFS(Покупка!AR$25:AR$372,Покупка!$F$25:$F$372,$F89,Покупка!$AC$25:$AC$372,$G89)</f>
        <v>0</v>
      </c>
      <c r="AT89" s="943">
        <f>_xlfn.SUMIFS(Покупка!AS$25:AS$372,Покупка!$F$25:$F$372,$F89,Покупка!$AC$25:$AC$372,$G89)</f>
        <v>0</v>
      </c>
      <c r="AU89" s="943">
        <f>_xlfn.SUMIFS(Покупка!AT$25:AT$372,Покупка!$F$25:$F$372,$F89,Покупка!$AC$25:$AC$372,$G89)</f>
        <v>0</v>
      </c>
      <c r="AV89" s="943">
        <f>_xlfn.SUMIFS(Покупка!AU$25:AU$372,Покупка!$F$25:$F$372,$F89,Покупка!$AC$25:$AC$372,$G89)</f>
        <v>0</v>
      </c>
      <c r="AW89" s="943">
        <f>_xlfn.SUMIFS(Покупка!AV$25:AV$372,Покупка!$F$25:$F$372,$F89,Покупка!$AC$25:$AC$372,$G89)</f>
        <v>0</v>
      </c>
      <c r="AX89" s="943">
        <f>_xlfn.SUMIFS(Покупка!AW$25:AW$372,Покупка!$F$25:$F$372,$F89,Покупка!$AC$25:$AC$372,$G89)</f>
        <v>0</v>
      </c>
      <c r="AY89" s="943">
        <f>_xlfn.SUMIFS(Покупка!AX$25:AX$372,Покупка!$F$25:$F$372,$F89,Покупка!$AC$25:$AC$372,$G89)</f>
        <v>0</v>
      </c>
      <c r="AZ89" s="943">
        <f>_xlfn.SUMIFS(Покупка!AY$25:AY$372,Покупка!$F$25:$F$372,$F89,Покупка!$AC$25:$AC$372,$G89)</f>
        <v>0</v>
      </c>
      <c r="BA89" s="943">
        <f>_xlfn.SUMIFS(Покупка!AZ$25:AZ$372,Покупка!$F$25:$F$372,$F89,Покупка!$AC$25:$AC$372,$G89)</f>
        <v>0</v>
      </c>
      <c r="BB89" s="943">
        <f>_xlfn.SUMIFS(Покупка!BA$25:BA$372,Покупка!$F$25:$F$372,$F89,Покупка!$AC$25:$AC$372,$G89)</f>
        <v>0</v>
      </c>
      <c r="BC89" s="943">
        <f>_xlfn.SUMIFS(Покупка!BB$25:BB$372,Покупка!$F$25:$F$372,$F89,Покупка!$AC$25:$AC$372,$G89)</f>
        <v>0</v>
      </c>
      <c r="BD89" s="943">
        <f>IF(AI89=0,0,(AT89-AI89)/AI89*100)</f>
        <v>0</v>
      </c>
      <c r="BE89" s="943">
        <f>IF(AT89=0,0,(AU89-AT89)/AT89*100)</f>
        <v>0</v>
      </c>
      <c r="BF89" s="943">
        <f>IF(AU89=0,0,(AV89-AU89)/AU89*100)</f>
        <v>0</v>
      </c>
      <c r="BG89" s="943">
        <f>IF(AV89=0,0,(AW89-AV89)/AV89*100)</f>
        <v>0</v>
      </c>
      <c r="BH89" s="943">
        <f>IF(AW89=0,0,(AX89-AW89)/AW89*100)</f>
        <v>0</v>
      </c>
      <c r="BI89" s="943">
        <f>IF(AX89=0,0,(AY89-AX89)/AX89*100)</f>
        <v>0</v>
      </c>
      <c r="BJ89" s="943">
        <f>IF(AY89=0,0,(AZ89-AY89)/AY89*100)</f>
        <v>0</v>
      </c>
      <c r="BK89" s="943">
        <f>IF(AZ89=0,0,(BA89-AZ89)/AZ89*100)</f>
        <v>0</v>
      </c>
      <c r="BL89" s="943">
        <f>IF(BA89=0,0,(BB89-BA89)/BA89*100)</f>
        <v>0</v>
      </c>
      <c r="BM89" s="943">
        <f>IF(BB89=0,0,(BC89-BB89)/BB89*100)</f>
        <v>0</v>
      </c>
      <c r="BN89" s="1256"/>
      <c r="BO89" s="1254" t="str">
        <f>IF(_xlfn.IFERROR(INDEX(Покупка!$K$26:$L$372,MATCH($F89&amp;"5komm",Покупка!$K$26:$K$372,0),2),"")=0,"",_xlfn.IFERROR(INDEX(Покупка!$K$26:$L$372,MATCH($F89&amp;"5komm",Покупка!$K$26:$K$372,0),2),""))</f>
        <v/>
      </c>
      <c r="BP89" s="1256"/>
      <c r="BQ89" s="1278"/>
      <c r="BR89" s="1278"/>
      <c r="BS89" s="1064" t="s">
        <v>2465</v>
      </c>
      <c r="BT89" s="1064"/>
      <c r="BU89" s="1064"/>
      <c r="BV89" s="979"/>
      <c r="BW89" s="979"/>
    </row>
    <row s="1233" customFormat="1" customHeight="1" ht="14.625" hidden="1">
      <c r="A90" s="1233"/>
      <c r="B90" s="96"/>
      <c r="C90" s="107"/>
      <c r="D90" s="107"/>
      <c r="E90" s="621">
        <v>15</v>
      </c>
      <c r="F90" s="50" cm="1" t="str">
        <f t="array" ref="F90:F90">OFFSET(E90,-1,1)</f>
        <v>0</v>
      </c>
      <c r="G90" s="107" t="s">
        <v>1853</v>
      </c>
      <c r="H90" s="107"/>
      <c r="I90" s="107"/>
      <c r="J90" s="107"/>
      <c r="K90" s="107"/>
      <c r="L90" s="980" t="s">
        <v>2235</v>
      </c>
      <c r="M90" s="107"/>
      <c r="N90" s="107"/>
      <c r="O90" s="107"/>
      <c r="P90" s="107"/>
      <c r="Q90" s="107"/>
      <c r="R90" s="107"/>
      <c r="S90" s="107"/>
      <c r="T90" s="465" cm="1" t="str">
        <f t="array" ref="T90:T90">T89</f>
        <v>false</v>
      </c>
      <c r="U90" s="107"/>
      <c r="V90" s="107"/>
      <c r="W90" s="1233"/>
      <c r="X90" s="1563"/>
      <c r="Y90" s="1233"/>
      <c r="Z90" s="1546"/>
      <c r="AA90" s="1233"/>
      <c r="AB90" s="299" t="s">
        <v>2765</v>
      </c>
      <c r="AC90" s="765" t="s">
        <v>2766</v>
      </c>
      <c r="AD90" s="300" t="s">
        <v>1514</v>
      </c>
      <c r="AE90" s="259">
        <f>_xlfn.SUMIFS(Покупка!AE$25:AE$372,Покупка!$F$25:$F$372,$F90,Покупка!$AC$25:$AC$372,$G90)</f>
        <v>0</v>
      </c>
      <c r="AF90" s="259">
        <f>_xlfn.SUMIFS(Покупка!AF$25:AF$372,Покупка!$F$25:$F$372,$F90,Покупка!$AC$25:$AC$372,$G90)</f>
        <v>0</v>
      </c>
      <c r="AG90" s="259">
        <f>_xlfn.SUMIFS(Покупка!AG$25:AG$372,Покупка!$F$25:$F$372,$F90,Покупка!$AC$25:$AC$372,$G90)</f>
        <v>0</v>
      </c>
      <c r="AH90" s="943">
        <f>AG90-AF90</f>
        <v>0</v>
      </c>
      <c r="AI90" s="943">
        <f>_xlfn.SUMIFS(Покупка!AH$25:AH$372,Покупка!$F$25:$F$372,$F90,Покупка!$AC$25:$AC$372,$G90)</f>
        <v>0</v>
      </c>
      <c r="AJ90" s="1116">
        <f>_xlfn.SUMIFS(Покупка!AI$25:AI$372,Покупка!$F$25:$F$372,$F90,Покупка!$AC$25:$AC$372,$G90)</f>
        <v>0</v>
      </c>
      <c r="AK90" s="1116">
        <f>_xlfn.SUMIFS(Покупка!AJ$25:AJ$372,Покупка!$F$25:$F$372,$F90,Покупка!$AC$25:$AC$372,$G90)</f>
        <v>0</v>
      </c>
      <c r="AL90" s="1116">
        <f>_xlfn.SUMIFS(Покупка!AK$25:AK$372,Покупка!$F$25:$F$372,$F90,Покупка!$AC$25:$AC$372,$G90)</f>
        <v>0</v>
      </c>
      <c r="AM90" s="1116">
        <f>_xlfn.SUMIFS(Покупка!AL$25:AL$372,Покупка!$F$25:$F$372,$F90,Покупка!$AC$25:$AC$372,$G90)</f>
        <v>0</v>
      </c>
      <c r="AN90" s="1116">
        <f>_xlfn.SUMIFS(Покупка!AM$25:AM$372,Покупка!$F$25:$F$372,$F90,Покупка!$AC$25:$AC$372,$G90)</f>
        <v>0</v>
      </c>
      <c r="AO90" s="1116">
        <f>_xlfn.SUMIFS(Покупка!AN$25:AN$372,Покупка!$F$25:$F$372,$F90,Покупка!$AC$25:$AC$372,$G90)</f>
        <v>0</v>
      </c>
      <c r="AP90" s="1116">
        <f>_xlfn.SUMIFS(Покупка!AO$25:AO$372,Покупка!$F$25:$F$372,$F90,Покупка!$AC$25:$AC$372,$G90)</f>
        <v>0</v>
      </c>
      <c r="AQ90" s="1116">
        <f>_xlfn.SUMIFS(Покупка!AP$25:AP$372,Покупка!$F$25:$F$372,$F90,Покупка!$AC$25:$AC$372,$G90)</f>
        <v>0</v>
      </c>
      <c r="AR90" s="1116">
        <f>_xlfn.SUMIFS(Покупка!AQ$25:AQ$372,Покупка!$F$25:$F$372,$F90,Покупка!$AC$25:$AC$372,$G90)</f>
        <v>0</v>
      </c>
      <c r="AS90" s="1116">
        <f>_xlfn.SUMIFS(Покупка!AR$25:AR$372,Покупка!$F$25:$F$372,$F90,Покупка!$AC$25:$AC$372,$G90)</f>
        <v>0</v>
      </c>
      <c r="AT90" s="1116">
        <f>_xlfn.SUMIFS(Покупка!AS$25:AS$372,Покупка!$F$25:$F$372,$F90,Покупка!$AC$25:$AC$372,$G90)</f>
        <v>0</v>
      </c>
      <c r="AU90" s="1116">
        <f>_xlfn.SUMIFS(Покупка!AT$25:AT$372,Покупка!$F$25:$F$372,$F90,Покупка!$AC$25:$AC$372,$G90)</f>
        <v>0</v>
      </c>
      <c r="AV90" s="1116">
        <f>_xlfn.SUMIFS(Покупка!AU$25:AU$372,Покупка!$F$25:$F$372,$F90,Покупка!$AC$25:$AC$372,$G90)</f>
        <v>0</v>
      </c>
      <c r="AW90" s="1116">
        <f>_xlfn.SUMIFS(Покупка!AV$25:AV$372,Покупка!$F$25:$F$372,$F90,Покупка!$AC$25:$AC$372,$G90)</f>
        <v>0</v>
      </c>
      <c r="AX90" s="1116">
        <f>_xlfn.SUMIFS(Покупка!AW$25:AW$372,Покупка!$F$25:$F$372,$F90,Покупка!$AC$25:$AC$372,$G90)</f>
        <v>0</v>
      </c>
      <c r="AY90" s="1116">
        <f>_xlfn.SUMIFS(Покупка!AX$25:AX$372,Покупка!$F$25:$F$372,$F90,Покупка!$AC$25:$AC$372,$G90)</f>
        <v>0</v>
      </c>
      <c r="AZ90" s="1116">
        <f>_xlfn.SUMIFS(Покупка!AY$25:AY$372,Покупка!$F$25:$F$372,$F90,Покупка!$AC$25:$AC$372,$G90)</f>
        <v>0</v>
      </c>
      <c r="BA90" s="1116">
        <f>_xlfn.SUMIFS(Покупка!AZ$25:AZ$372,Покупка!$F$25:$F$372,$F90,Покупка!$AC$25:$AC$372,$G90)</f>
        <v>0</v>
      </c>
      <c r="BB90" s="1116">
        <f>_xlfn.SUMIFS(Покупка!BA$25:BA$372,Покупка!$F$25:$F$372,$F90,Покупка!$AC$25:$AC$372,$G90)</f>
        <v>0</v>
      </c>
      <c r="BC90" s="1116">
        <f>_xlfn.SUMIFS(Покупка!BB$25:BB$372,Покупка!$F$25:$F$372,$F90,Покупка!$AC$25:$AC$372,$G90)</f>
        <v>0</v>
      </c>
      <c r="BD90" s="943">
        <f>IF(AI90=0,0,(AT90-AI90)/AI90*100)</f>
        <v>0</v>
      </c>
      <c r="BE90" s="943">
        <f>IF(AT90=0,0,(AU90-AT90)/AT90*100)</f>
        <v>0</v>
      </c>
      <c r="BF90" s="943">
        <f>IF(AU90=0,0,(AV90-AU90)/AU90*100)</f>
        <v>0</v>
      </c>
      <c r="BG90" s="943">
        <f>IF(AV90=0,0,(AW90-AV90)/AV90*100)</f>
        <v>0</v>
      </c>
      <c r="BH90" s="943">
        <f>IF(AW90=0,0,(AX90-AW90)/AW90*100)</f>
        <v>0</v>
      </c>
      <c r="BI90" s="943">
        <f>IF(AX90=0,0,(AY90-AX90)/AX90*100)</f>
        <v>0</v>
      </c>
      <c r="BJ90" s="943">
        <f>IF(AY90=0,0,(AZ90-AY90)/AY90*100)</f>
        <v>0</v>
      </c>
      <c r="BK90" s="943">
        <f>IF(AZ90=0,0,(BA90-AZ90)/AZ90*100)</f>
        <v>0</v>
      </c>
      <c r="BL90" s="943">
        <f>IF(BA90=0,0,(BB90-BA90)/BA90*100)</f>
        <v>0</v>
      </c>
      <c r="BM90" s="943">
        <f>IF(BB90=0,0,(BC90-BB90)/BB90*100)</f>
        <v>0</v>
      </c>
      <c r="BN90" s="1256"/>
      <c r="BO90" s="1254" t="str">
        <f>IF(_xlfn.IFERROR(INDEX(Покупка!$K$26:$L$372,MATCH($F90&amp;"9komm",Покупка!$K$26:$K$372,0),2),"")=0,"",_xlfn.IFERROR(INDEX(Покупка!$K$26:$L$372,MATCH($F90&amp;"9komm",Покупка!$K$26:$K$372,0),2),""))</f>
        <v/>
      </c>
      <c r="BP90" s="1256"/>
      <c r="BQ90" s="1233"/>
      <c r="BR90" s="1233"/>
      <c r="BS90" s="1064" t="s">
        <v>1854</v>
      </c>
      <c r="BT90" s="1064"/>
      <c r="BU90" s="1064"/>
      <c r="BV90" s="703"/>
      <c r="BW90" s="703"/>
    </row>
    <row customHeight="1" ht="14.625" hidden="1">
      <c r="A91" s="1278"/>
      <c r="B91" s="96"/>
      <c r="C91" s="107"/>
      <c r="D91" s="107"/>
      <c r="E91" s="621">
        <v>15</v>
      </c>
      <c r="F91" s="50" cm="1" t="str">
        <f t="array" ref="F91:F91">OFFSET(E91,-1,1)</f>
        <v>0</v>
      </c>
      <c r="G91" s="107"/>
      <c r="H91" s="107"/>
      <c r="I91" s="107" t="s">
        <v>1196</v>
      </c>
      <c r="J91" s="107"/>
      <c r="K91" s="107" t="s">
        <v>1196</v>
      </c>
      <c r="L91" s="980"/>
      <c r="M91" s="107"/>
      <c r="N91" s="107"/>
      <c r="O91" s="107"/>
      <c r="P91" s="107"/>
      <c r="Q91" s="107"/>
      <c r="R91" s="107"/>
      <c r="S91" s="107"/>
      <c r="T91" s="465" cm="1" t="str">
        <f t="array" ref="T91:T91">T90</f>
        <v>false</v>
      </c>
      <c r="U91" s="107"/>
      <c r="V91" s="107"/>
      <c r="W91" s="1278"/>
      <c r="X91" s="1563"/>
      <c r="Y91" s="1278"/>
      <c r="Z91" s="1546"/>
      <c r="AA91" s="1278"/>
      <c r="AB91" s="299" t="s">
        <v>1254</v>
      </c>
      <c r="AC91" s="762" t="s">
        <v>2767</v>
      </c>
      <c r="AD91" s="779" t="s">
        <v>1514</v>
      </c>
      <c r="AE91" s="259">
        <f>_xlfn.SUMIFS('Сырье и материалы'!AE$25:AE$162,'Сырье и материалы'!$F$25:$F$162,$F91,'Сырье и материалы'!$I$25:$I$162,"Реагенты")</f>
        <v>0</v>
      </c>
      <c r="AF91" s="259">
        <f>_xlfn.SUMIFS('Сырье и материалы'!AF$25:AF$162,'Сырье и материалы'!$F$25:$F$162,$F91,'Сырье и материалы'!$I$25:$I$162,"Реагенты")</f>
        <v>0</v>
      </c>
      <c r="AG91" s="259">
        <f>_xlfn.SUMIFS('Сырье и материалы'!AG$25:AG$162,'Сырье и материалы'!$F$25:$F$162,$F91,'Сырье и материалы'!$I$25:$I$162,"Реагенты")</f>
        <v>0</v>
      </c>
      <c r="AH91" s="943">
        <f>AG91-AF91</f>
        <v>0</v>
      </c>
      <c r="AI91" s="943">
        <f>_xlfn.SUMIFS('Сырье и материалы'!AH$25:AH$162,'Сырье и материалы'!$F$25:$F$162,$F91,'Сырье и материалы'!$I$25:$I$162,"Реагенты")</f>
        <v>0</v>
      </c>
      <c r="AJ91" s="943">
        <f>_xlfn.SUMIFS('Сырье и материалы'!AI$25:AI$162,'Сырье и материалы'!$F$25:$F$162,$F91,'Сырье и материалы'!$I$25:$I$162,"Реагенты")</f>
        <v>0</v>
      </c>
      <c r="AK91" s="943">
        <f>_xlfn.SUMIFS('Сырье и материалы'!AJ$25:AJ$162,'Сырье и материалы'!$F$25:$F$162,$F91,'Сырье и материалы'!$I$25:$I$162,"Реагенты")</f>
        <v>0</v>
      </c>
      <c r="AL91" s="943">
        <f>_xlfn.SUMIFS('Сырье и материалы'!AK$25:AK$162,'Сырье и материалы'!$F$25:$F$162,$F91,'Сырье и материалы'!$I$25:$I$162,"Реагенты")</f>
        <v>0</v>
      </c>
      <c r="AM91" s="943">
        <f>_xlfn.SUMIFS('Сырье и материалы'!AL$25:AL$162,'Сырье и материалы'!$F$25:$F$162,$F91,'Сырье и материалы'!$I$25:$I$162,"Реагенты")</f>
        <v>0</v>
      </c>
      <c r="AN91" s="943">
        <f>_xlfn.SUMIFS('Сырье и материалы'!AM$25:AM$162,'Сырье и материалы'!$F$25:$F$162,$F91,'Сырье и материалы'!$I$25:$I$162,"Реагенты")</f>
        <v>0</v>
      </c>
      <c r="AO91" s="943">
        <f>_xlfn.SUMIFS('Сырье и материалы'!AN$25:AN$162,'Сырье и материалы'!$F$25:$F$162,$F91,'Сырье и материалы'!$I$25:$I$162,"Реагенты")</f>
        <v>0</v>
      </c>
      <c r="AP91" s="943">
        <f>_xlfn.SUMIFS('Сырье и материалы'!AO$25:AO$162,'Сырье и материалы'!$F$25:$F$162,$F91,'Сырье и материалы'!$I$25:$I$162,"Реагенты")</f>
        <v>0</v>
      </c>
      <c r="AQ91" s="943">
        <f>_xlfn.SUMIFS('Сырье и материалы'!AP$25:AP$162,'Сырье и материалы'!$F$25:$F$162,$F91,'Сырье и материалы'!$I$25:$I$162,"Реагенты")</f>
        <v>0</v>
      </c>
      <c r="AR91" s="943">
        <f>_xlfn.SUMIFS('Сырье и материалы'!AQ$25:AQ$162,'Сырье и материалы'!$F$25:$F$162,$F91,'Сырье и материалы'!$I$25:$I$162,"Реагенты")</f>
        <v>0</v>
      </c>
      <c r="AS91" s="943">
        <f>_xlfn.SUMIFS('Сырье и материалы'!AR$25:AR$162,'Сырье и материалы'!$F$25:$F$162,$F91,'Сырье и материалы'!$I$25:$I$162,"Реагенты")</f>
        <v>0</v>
      </c>
      <c r="AT91" s="943">
        <f>_xlfn.SUMIFS('Сырье и материалы'!AS$25:AS$162,'Сырье и материалы'!$F$25:$F$162,$F91,'Сырье и материалы'!$I$25:$I$162,"Реагенты")</f>
        <v>0</v>
      </c>
      <c r="AU91" s="943">
        <f>_xlfn.SUMIFS('Сырье и материалы'!AT$25:AT$162,'Сырье и материалы'!$F$25:$F$162,$F91,'Сырье и материалы'!$I$25:$I$162,"Реагенты")</f>
        <v>0</v>
      </c>
      <c r="AV91" s="943">
        <f>_xlfn.SUMIFS('Сырье и материалы'!AU$25:AU$162,'Сырье и материалы'!$F$25:$F$162,$F91,'Сырье и материалы'!$I$25:$I$162,"Реагенты")</f>
        <v>0</v>
      </c>
      <c r="AW91" s="943">
        <f>_xlfn.SUMIFS('Сырье и материалы'!AV$25:AV$162,'Сырье и материалы'!$F$25:$F$162,$F91,'Сырье и материалы'!$I$25:$I$162,"Реагенты")</f>
        <v>0</v>
      </c>
      <c r="AX91" s="943">
        <f>_xlfn.SUMIFS('Сырье и материалы'!AW$25:AW$162,'Сырье и материалы'!$F$25:$F$162,$F91,'Сырье и материалы'!$I$25:$I$162,"Реагенты")</f>
        <v>0</v>
      </c>
      <c r="AY91" s="943">
        <f>_xlfn.SUMIFS('Сырье и материалы'!AX$25:AX$162,'Сырье и материалы'!$F$25:$F$162,$F91,'Сырье и материалы'!$I$25:$I$162,"Реагенты")</f>
        <v>0</v>
      </c>
      <c r="AZ91" s="943">
        <f>_xlfn.SUMIFS('Сырье и материалы'!AY$25:AY$162,'Сырье и материалы'!$F$25:$F$162,$F91,'Сырье и материалы'!$I$25:$I$162,"Реагенты")</f>
        <v>0</v>
      </c>
      <c r="BA91" s="943">
        <f>_xlfn.SUMIFS('Сырье и материалы'!AZ$25:AZ$162,'Сырье и материалы'!$F$25:$F$162,$F91,'Сырье и материалы'!$I$25:$I$162,"Реагенты")</f>
        <v>0</v>
      </c>
      <c r="BB91" s="943">
        <f>_xlfn.SUMIFS('Сырье и материалы'!BA$25:BA$162,'Сырье и материалы'!$F$25:$F$162,$F91,'Сырье и материалы'!$I$25:$I$162,"Реагенты")</f>
        <v>0</v>
      </c>
      <c r="BC91" s="943">
        <f>_xlfn.SUMIFS('Сырье и материалы'!BB$25:BB$162,'Сырье и материалы'!$F$25:$F$162,$F91,'Сырье и материалы'!$I$25:$I$162,"Реагенты")</f>
        <v>0</v>
      </c>
      <c r="BD91" s="943">
        <f>IF(AI91=0,0,(AT91-AI91)/AI91*100)</f>
        <v>0</v>
      </c>
      <c r="BE91" s="943">
        <f>IF(AT91=0,0,(AU91-AT91)/AT91*100)</f>
        <v>0</v>
      </c>
      <c r="BF91" s="943">
        <f>IF(AU91=0,0,(AV91-AU91)/AU91*100)</f>
        <v>0</v>
      </c>
      <c r="BG91" s="943">
        <f>IF(AV91=0,0,(AW91-AV91)/AV91*100)</f>
        <v>0</v>
      </c>
      <c r="BH91" s="943">
        <f>IF(AW91=0,0,(AX91-AW91)/AW91*100)</f>
        <v>0</v>
      </c>
      <c r="BI91" s="943">
        <f>IF(AX91=0,0,(AY91-AX91)/AX91*100)</f>
        <v>0</v>
      </c>
      <c r="BJ91" s="943">
        <f>IF(AY91=0,0,(AZ91-AY91)/AY91*100)</f>
        <v>0</v>
      </c>
      <c r="BK91" s="943">
        <f>IF(AZ91=0,0,(BA91-AZ91)/AZ91*100)</f>
        <v>0</v>
      </c>
      <c r="BL91" s="943">
        <f>IF(BA91=0,0,(BB91-BA91)/BA91*100)</f>
        <v>0</v>
      </c>
      <c r="BM91" s="943">
        <f>IF(BB91=0,0,(BC91-BB91)/BB91*100)</f>
        <v>0</v>
      </c>
      <c r="BN91" s="1256"/>
      <c r="BO91" s="1254" t="str">
        <f>IF(_xlfn.IFERROR(INDEX('Сырье и материалы'!$K$26:$L$162,MATCH($F91&amp;"komm",'Сырье и материалы'!$K$26:$K$162,0),2),"")=0,"",_xlfn.IFERROR(INDEX('Сырье и материалы'!$K$26:$L$162,MATCH($F91&amp;"komm",'Сырье и материалы'!$K$26:$K$162,0),2),""))</f>
        <v/>
      </c>
      <c r="BP91" s="1256"/>
      <c r="BQ91" s="1278"/>
      <c r="BR91" s="1278"/>
      <c r="BS91" s="1064" t="s">
        <v>2438</v>
      </c>
      <c r="BT91" s="1064"/>
      <c r="BU91" s="1064"/>
      <c r="BV91" s="979"/>
      <c r="BW91" s="979"/>
    </row>
    <row s="700" customFormat="1" customHeight="1" ht="20.475" hidden="1">
      <c r="A92" s="700"/>
      <c r="B92" s="111"/>
      <c r="C92" s="109"/>
      <c r="D92" s="109"/>
      <c r="E92" s="826">
        <v>21</v>
      </c>
      <c r="F92" s="50" cm="1" t="str">
        <f t="array" ref="F92:F92">OFFSET(E92,-1,1)</f>
        <v>0</v>
      </c>
      <c r="G92" s="109"/>
      <c r="H92" s="107"/>
      <c r="I92" s="107" t="s">
        <v>1648</v>
      </c>
      <c r="J92" s="109"/>
      <c r="K92" s="107" t="s">
        <v>1648</v>
      </c>
      <c r="L92" s="985" t="s">
        <v>1228</v>
      </c>
      <c r="M92" s="109"/>
      <c r="N92" s="109"/>
      <c r="O92" s="109"/>
      <c r="P92" s="109"/>
      <c r="Q92" s="109"/>
      <c r="R92" s="109"/>
      <c r="S92" s="109"/>
      <c r="T92" s="465" cm="1" t="str">
        <f t="array" ref="T92:T92">T91</f>
        <v>false</v>
      </c>
      <c r="U92" s="109"/>
      <c r="V92" s="109"/>
      <c r="W92" s="700"/>
      <c r="X92" s="1563"/>
      <c r="Y92" s="700"/>
      <c r="Z92" s="1546"/>
      <c r="AA92" s="700"/>
      <c r="AB92" s="218" t="s">
        <v>1258</v>
      </c>
      <c r="AC92" s="361" t="s">
        <v>2768</v>
      </c>
      <c r="AD92" s="211" t="s">
        <v>1514</v>
      </c>
      <c r="AE92" s="778">
        <f>SUM(AE93:AE102)</f>
        <v>0</v>
      </c>
      <c r="AF92" s="778">
        <f>SUM(AF93:AF102)</f>
        <v>0</v>
      </c>
      <c r="AG92" s="778">
        <f>SUM(AG93:AG102)</f>
        <v>0</v>
      </c>
      <c r="AH92" s="761">
        <f>AG92-AF92</f>
        <v>0</v>
      </c>
      <c r="AI92" s="761">
        <f>SUM(AI93:AI102)</f>
        <v>0</v>
      </c>
      <c r="AJ92" s="770">
        <f>SUM(AJ93:AJ102)</f>
        <v>0</v>
      </c>
      <c r="AK92" s="761">
        <f>SUM(AK93:AK102)</f>
        <v>0</v>
      </c>
      <c r="AL92" s="761">
        <f>SUM(AL93:AL102)</f>
        <v>0</v>
      </c>
      <c r="AM92" s="761">
        <f>SUM(AM93:AM102)</f>
        <v>0</v>
      </c>
      <c r="AN92" s="761">
        <f>SUM(AN93:AN102)</f>
        <v>0</v>
      </c>
      <c r="AO92" s="761">
        <f>SUM(AO93:AO102)</f>
        <v>0</v>
      </c>
      <c r="AP92" s="761">
        <f>SUM(AP93:AP102)</f>
        <v>0</v>
      </c>
      <c r="AQ92" s="761">
        <f>SUM(AQ93:AQ102)</f>
        <v>0</v>
      </c>
      <c r="AR92" s="761">
        <f>SUM(AR93:AR102)</f>
        <v>0</v>
      </c>
      <c r="AS92" s="761">
        <f>SUM(AS93:AS102)</f>
        <v>0</v>
      </c>
      <c r="AT92" s="770">
        <f>SUM(AT93:AT102)</f>
        <v>0</v>
      </c>
      <c r="AU92" s="761">
        <f>SUM(AU93:AU102)</f>
        <v>0</v>
      </c>
      <c r="AV92" s="761">
        <f>SUM(AV93:AV102)</f>
        <v>0</v>
      </c>
      <c r="AW92" s="761">
        <f>SUM(AW93:AW102)</f>
        <v>0</v>
      </c>
      <c r="AX92" s="761">
        <f>SUM(AX93:AX102)</f>
        <v>0</v>
      </c>
      <c r="AY92" s="761">
        <f>SUM(AY93:AY102)</f>
        <v>0</v>
      </c>
      <c r="AZ92" s="761">
        <f>SUM(AZ93:AZ102)</f>
        <v>0</v>
      </c>
      <c r="BA92" s="761">
        <f>SUM(BA93:BA102)</f>
        <v>0</v>
      </c>
      <c r="BB92" s="761">
        <f>SUM(BB93:BB102)</f>
        <v>0</v>
      </c>
      <c r="BC92" s="761">
        <f>SUM(BC93:BC102)</f>
        <v>0</v>
      </c>
      <c r="BD92" s="761">
        <f>IF(AI92=0,0,(AT92-AI92)/AI92*100)</f>
        <v>0</v>
      </c>
      <c r="BE92" s="761">
        <f>IF(AT92=0,0,(AU92-AT92)/AT92*100)</f>
        <v>0</v>
      </c>
      <c r="BF92" s="761">
        <f>IF(AU92=0,0,(AV92-AU92)/AU92*100)</f>
        <v>0</v>
      </c>
      <c r="BG92" s="761">
        <f>IF(AV92=0,0,(AW92-AV92)/AV92*100)</f>
        <v>0</v>
      </c>
      <c r="BH92" s="761">
        <f>IF(AW92=0,0,(AX92-AW92)/AW92*100)</f>
        <v>0</v>
      </c>
      <c r="BI92" s="761">
        <f>IF(AX92=0,0,(AY92-AX92)/AX92*100)</f>
        <v>0</v>
      </c>
      <c r="BJ92" s="761">
        <f>IF(AY92=0,0,(AZ92-AY92)/AY92*100)</f>
        <v>0</v>
      </c>
      <c r="BK92" s="761">
        <f>IF(AZ92=0,0,(BA92-AZ92)/AZ92*100)</f>
        <v>0</v>
      </c>
      <c r="BL92" s="761">
        <f>IF(BA92=0,0,(BB92-BA92)/BA92*100)</f>
        <v>0</v>
      </c>
      <c r="BM92" s="761">
        <f>IF(BB92=0,0,(BC92-BB92)/BB92*100)</f>
        <v>0</v>
      </c>
      <c r="BN92" s="1240"/>
      <c r="BO92" s="1254" t="str">
        <f>IF(_xlfn.IFERROR(INDEX(Налоги!$K$26:$L$101,MATCH($F92&amp;"komm",Налоги!$K$26:$K$101,0),2),"")=0,"",_xlfn.IFERROR(INDEX(Налоги!$K$26:$L$101,MATCH($F92&amp;"komm",Налоги!$K$26:$K$101,0),2),""))</f>
        <v/>
      </c>
      <c r="BP92" s="1240"/>
      <c r="BQ92" s="700"/>
      <c r="BR92" s="700"/>
      <c r="BS92" s="1070" t="s">
        <v>1999</v>
      </c>
      <c r="BT92" s="1070"/>
      <c r="BU92" s="1070"/>
      <c r="BV92" s="707"/>
      <c r="BW92" s="707"/>
    </row>
    <row customHeight="1" ht="14.625" hidden="1">
      <c r="A93" s="1278"/>
      <c r="B93" s="96"/>
      <c r="C93" s="107"/>
      <c r="D93" s="107"/>
      <c r="E93" s="621">
        <v>15</v>
      </c>
      <c r="F93" s="50" cm="1" t="str">
        <f t="array" ref="F93:F93">OFFSET(E93,-1,1)</f>
        <v>0</v>
      </c>
      <c r="G93" s="922">
        <v>7</v>
      </c>
      <c r="H93" s="107"/>
      <c r="I93" s="107" t="s">
        <v>2769</v>
      </c>
      <c r="J93" s="107"/>
      <c r="K93" s="107" t="s">
        <v>2769</v>
      </c>
      <c r="L93" s="980"/>
      <c r="M93" s="107"/>
      <c r="N93" s="107"/>
      <c r="O93" s="107"/>
      <c r="P93" s="107"/>
      <c r="Q93" s="107"/>
      <c r="R93" s="107"/>
      <c r="S93" s="107"/>
      <c r="T93" s="465" cm="1" t="str">
        <f t="array" ref="T93:T93">T92</f>
        <v>false</v>
      </c>
      <c r="U93" s="107"/>
      <c r="V93" s="107"/>
      <c r="W93" s="1278"/>
      <c r="X93" s="1563"/>
      <c r="Y93" s="1278"/>
      <c r="Z93" s="1546"/>
      <c r="AA93" s="1278"/>
      <c r="AB93" s="299" t="s">
        <v>1212</v>
      </c>
      <c r="AC93" s="765" t="s">
        <v>2013</v>
      </c>
      <c r="AD93" s="300" t="s">
        <v>1514</v>
      </c>
      <c r="AE93" s="259">
        <f>_xlfn.SUMIFS(Налоги!AE$25:AE$101,Налоги!$F$25:$F$101,$F93,Налоги!$AB$25:$AB$101,$G93)</f>
        <v>0</v>
      </c>
      <c r="AF93" s="259">
        <f>_xlfn.SUMIFS(Налоги!AF$25:AF$101,Налоги!$F$25:$F$101,$F93,Налоги!$AB$25:$AB$101,$G93)</f>
        <v>0</v>
      </c>
      <c r="AG93" s="259">
        <f>_xlfn.SUMIFS(Налоги!AG$25:AG$101,Налоги!$F$25:$F$101,$F93,Налоги!$AB$25:$AB$101,$G93)</f>
        <v>0</v>
      </c>
      <c r="AH93" s="943">
        <f>AG93-AF93</f>
        <v>0</v>
      </c>
      <c r="AI93" s="943">
        <f>_xlfn.SUMIFS(Налоги!AH$25:AH$101,Налоги!$F$25:$F$101,$F93,Налоги!$AB$25:$AB$101,$G93)</f>
        <v>0</v>
      </c>
      <c r="AJ93" s="943">
        <f>_xlfn.SUMIFS(Налоги!AI$25:AI$101,Налоги!$F$25:$F$101,$F93,Налоги!$AB$25:$AB$101,$G93)</f>
        <v>0</v>
      </c>
      <c r="AK93" s="943">
        <f>_xlfn.SUMIFS(Налоги!AJ$25:AJ$101,Налоги!$F$25:$F$101,$F93,Налоги!$AB$25:$AB$101,$G93)</f>
        <v>0</v>
      </c>
      <c r="AL93" s="943">
        <f>_xlfn.SUMIFS(Налоги!AK$25:AK$101,Налоги!$F$25:$F$101,$F93,Налоги!$AB$25:$AB$101,$G93)</f>
        <v>0</v>
      </c>
      <c r="AM93" s="943">
        <f>_xlfn.SUMIFS(Налоги!AL$25:AL$101,Налоги!$F$25:$F$101,$F93,Налоги!$AB$25:$AB$101,$G93)</f>
        <v>0</v>
      </c>
      <c r="AN93" s="943">
        <f>_xlfn.SUMIFS(Налоги!AM$25:AM$101,Налоги!$F$25:$F$101,$F93,Налоги!$AB$25:$AB$101,$G93)</f>
        <v>0</v>
      </c>
      <c r="AO93" s="943">
        <f>_xlfn.SUMIFS(Налоги!AN$25:AN$101,Налоги!$F$25:$F$101,$F93,Налоги!$AB$25:$AB$101,$G93)</f>
        <v>0</v>
      </c>
      <c r="AP93" s="943">
        <f>_xlfn.SUMIFS(Налоги!AO$25:AO$101,Налоги!$F$25:$F$101,$F93,Налоги!$AB$25:$AB$101,$G93)</f>
        <v>0</v>
      </c>
      <c r="AQ93" s="943">
        <f>_xlfn.SUMIFS(Налоги!AP$25:AP$101,Налоги!$F$25:$F$101,$F93,Налоги!$AB$25:$AB$101,$G93)</f>
        <v>0</v>
      </c>
      <c r="AR93" s="943">
        <f>_xlfn.SUMIFS(Налоги!AQ$25:AQ$101,Налоги!$F$25:$F$101,$F93,Налоги!$AB$25:$AB$101,$G93)</f>
        <v>0</v>
      </c>
      <c r="AS93" s="943">
        <f>_xlfn.SUMIFS(Налоги!AR$25:AR$101,Налоги!$F$25:$F$101,$F93,Налоги!$AB$25:$AB$101,$G93)</f>
        <v>0</v>
      </c>
      <c r="AT93" s="943">
        <f>_xlfn.SUMIFS(Налоги!AS$25:AS$101,Налоги!$F$25:$F$101,$F93,Налоги!$AB$25:$AB$101,$G93)</f>
        <v>0</v>
      </c>
      <c r="AU93" s="943">
        <f>_xlfn.SUMIFS(Налоги!AT$25:AT$101,Налоги!$F$25:$F$101,$F93,Налоги!$AB$25:$AB$101,$G93)</f>
        <v>0</v>
      </c>
      <c r="AV93" s="943">
        <f>_xlfn.SUMIFS(Налоги!AU$25:AU$101,Налоги!$F$25:$F$101,$F93,Налоги!$AB$25:$AB$101,$G93)</f>
        <v>0</v>
      </c>
      <c r="AW93" s="943">
        <f>_xlfn.SUMIFS(Налоги!AV$25:AV$101,Налоги!$F$25:$F$101,$F93,Налоги!$AB$25:$AB$101,$G93)</f>
        <v>0</v>
      </c>
      <c r="AX93" s="943">
        <f>_xlfn.SUMIFS(Налоги!AW$25:AW$101,Налоги!$F$25:$F$101,$F93,Налоги!$AB$25:$AB$101,$G93)</f>
        <v>0</v>
      </c>
      <c r="AY93" s="943">
        <f>_xlfn.SUMIFS(Налоги!AX$25:AX$101,Налоги!$F$25:$F$101,$F93,Налоги!$AB$25:$AB$101,$G93)</f>
        <v>0</v>
      </c>
      <c r="AZ93" s="943">
        <f>_xlfn.SUMIFS(Налоги!AY$25:AY$101,Налоги!$F$25:$F$101,$F93,Налоги!$AB$25:$AB$101,$G93)</f>
        <v>0</v>
      </c>
      <c r="BA93" s="943">
        <f>_xlfn.SUMIFS(Налоги!AZ$25:AZ$101,Налоги!$F$25:$F$101,$F93,Налоги!$AB$25:$AB$101,$G93)</f>
        <v>0</v>
      </c>
      <c r="BB93" s="943">
        <f>_xlfn.SUMIFS(Налоги!BA$25:BA$101,Налоги!$F$25:$F$101,$F93,Налоги!$AB$25:$AB$101,$G93)</f>
        <v>0</v>
      </c>
      <c r="BC93" s="943">
        <f>_xlfn.SUMIFS(Налоги!BB$25:BB$101,Налоги!$F$25:$F$101,$F93,Налоги!$AB$25:$AB$101,$G93)</f>
        <v>0</v>
      </c>
      <c r="BD93" s="943">
        <f>IF(AI93=0,0,(AT93-AI93)/AI93*100)</f>
        <v>0</v>
      </c>
      <c r="BE93" s="943">
        <f>IF(AT93=0,0,(AU93-AT93)/AT93*100)</f>
        <v>0</v>
      </c>
      <c r="BF93" s="943">
        <f>IF(AU93=0,0,(AV93-AU93)/AU93*100)</f>
        <v>0</v>
      </c>
      <c r="BG93" s="943">
        <f>IF(AV93=0,0,(AW93-AV93)/AV93*100)</f>
        <v>0</v>
      </c>
      <c r="BH93" s="943">
        <f>IF(AW93=0,0,(AX93-AW93)/AW93*100)</f>
        <v>0</v>
      </c>
      <c r="BI93" s="943">
        <f>IF(AX93=0,0,(AY93-AX93)/AX93*100)</f>
        <v>0</v>
      </c>
      <c r="BJ93" s="943">
        <f>IF(AY93=0,0,(AZ93-AY93)/AY93*100)</f>
        <v>0</v>
      </c>
      <c r="BK93" s="943">
        <f>IF(AZ93=0,0,(BA93-AZ93)/AZ93*100)</f>
        <v>0</v>
      </c>
      <c r="BL93" s="943">
        <f>IF(BA93=0,0,(BB93-BA93)/BA93*100)</f>
        <v>0</v>
      </c>
      <c r="BM93" s="943">
        <f>IF(BB93=0,0,(BC93-BB93)/BB93*100)</f>
        <v>0</v>
      </c>
      <c r="BN93" s="1256"/>
      <c r="BO93" s="1254" t="str">
        <f>IF(_xlfn.IFERROR(INDEX(Налоги!$K$26:$L$101,MATCH($F93&amp;"7komm",Налоги!$K$26:$K$101,0),2),"")=0,"",_xlfn.IFERROR(INDEX(Налоги!$K$26:$L$101,MATCH($F93&amp;"7komm",Налоги!$K$26:$K$101,0),2),""))</f>
        <v/>
      </c>
      <c r="BP93" s="1256"/>
      <c r="BQ93" s="1278"/>
      <c r="BR93" s="1278"/>
      <c r="BS93" s="1064" t="s">
        <v>2770</v>
      </c>
      <c r="BT93" s="1064"/>
      <c r="BU93" s="1064"/>
      <c r="BV93" s="979"/>
      <c r="BW93" s="979"/>
    </row>
    <row customHeight="1" ht="14.625" hidden="1">
      <c r="A94" s="1278"/>
      <c r="B94" s="96"/>
      <c r="C94" s="107"/>
      <c r="D94" s="107"/>
      <c r="E94" s="621">
        <v>15</v>
      </c>
      <c r="F94" s="50" cm="1" t="str">
        <f t="array" ref="F94:F94">OFFSET(E94,-1,1)</f>
        <v>0</v>
      </c>
      <c r="G94" s="922">
        <v>6</v>
      </c>
      <c r="H94" s="107"/>
      <c r="I94" s="107" t="s">
        <v>2771</v>
      </c>
      <c r="J94" s="107"/>
      <c r="K94" s="107" t="s">
        <v>2771</v>
      </c>
      <c r="L94" s="980"/>
      <c r="M94" s="107"/>
      <c r="N94" s="107"/>
      <c r="O94" s="107"/>
      <c r="P94" s="107"/>
      <c r="Q94" s="107"/>
      <c r="R94" s="107"/>
      <c r="S94" s="107"/>
      <c r="T94" s="465" cm="1" t="str">
        <f t="array" ref="T94:T94">T93</f>
        <v>false</v>
      </c>
      <c r="U94" s="107"/>
      <c r="V94" s="107"/>
      <c r="W94" s="1278"/>
      <c r="X94" s="1563"/>
      <c r="Y94" s="1278"/>
      <c r="Z94" s="1546"/>
      <c r="AA94" s="1278"/>
      <c r="AB94" s="299" t="s">
        <v>2225</v>
      </c>
      <c r="AC94" s="765" t="s">
        <v>2772</v>
      </c>
      <c r="AD94" s="300" t="s">
        <v>1514</v>
      </c>
      <c r="AE94" s="259">
        <f>_xlfn.SUMIFS(Налоги!AE$25:AE$101,Налоги!$F$25:$F$101,$F94,Налоги!$AB$25:$AB$101,$G94)</f>
        <v>0</v>
      </c>
      <c r="AF94" s="259">
        <f>_xlfn.SUMIFS(Налоги!AF$25:AF$101,Налоги!$F$25:$F$101,$F94,Налоги!$AB$25:$AB$101,$G94)</f>
        <v>0</v>
      </c>
      <c r="AG94" s="259">
        <f>_xlfn.SUMIFS(Налоги!AG$25:AG$101,Налоги!$F$25:$F$101,$F94,Налоги!$AB$25:$AB$101,$G94)</f>
        <v>0</v>
      </c>
      <c r="AH94" s="943">
        <f>AG94-AF94</f>
        <v>0</v>
      </c>
      <c r="AI94" s="943">
        <f>_xlfn.SUMIFS(Налоги!AH$25:AH$101,Налоги!$F$25:$F$101,$F94,Налоги!$AB$25:$AB$101,$G94)</f>
        <v>0</v>
      </c>
      <c r="AJ94" s="943">
        <f>_xlfn.SUMIFS(Налоги!AI$25:AI$101,Налоги!$F$25:$F$101,$F94,Налоги!$AB$25:$AB$101,$G94)</f>
        <v>0</v>
      </c>
      <c r="AK94" s="943">
        <f>_xlfn.SUMIFS(Налоги!AJ$25:AJ$101,Налоги!$F$25:$F$101,$F94,Налоги!$AB$25:$AB$101,$G94)</f>
        <v>0</v>
      </c>
      <c r="AL94" s="943">
        <f>_xlfn.SUMIFS(Налоги!AK$25:AK$101,Налоги!$F$25:$F$101,$F94,Налоги!$AB$25:$AB$101,$G94)</f>
        <v>0</v>
      </c>
      <c r="AM94" s="943">
        <f>_xlfn.SUMIFS(Налоги!AL$25:AL$101,Налоги!$F$25:$F$101,$F94,Налоги!$AB$25:$AB$101,$G94)</f>
        <v>0</v>
      </c>
      <c r="AN94" s="943">
        <f>_xlfn.SUMIFS(Налоги!AM$25:AM$101,Налоги!$F$25:$F$101,$F94,Налоги!$AB$25:$AB$101,$G94)</f>
        <v>0</v>
      </c>
      <c r="AO94" s="943">
        <f>_xlfn.SUMIFS(Налоги!AN$25:AN$101,Налоги!$F$25:$F$101,$F94,Налоги!$AB$25:$AB$101,$G94)</f>
        <v>0</v>
      </c>
      <c r="AP94" s="943">
        <f>_xlfn.SUMIFS(Налоги!AO$25:AO$101,Налоги!$F$25:$F$101,$F94,Налоги!$AB$25:$AB$101,$G94)</f>
        <v>0</v>
      </c>
      <c r="AQ94" s="943">
        <f>_xlfn.SUMIFS(Налоги!AP$25:AP$101,Налоги!$F$25:$F$101,$F94,Налоги!$AB$25:$AB$101,$G94)</f>
        <v>0</v>
      </c>
      <c r="AR94" s="943">
        <f>_xlfn.SUMIFS(Налоги!AQ$25:AQ$101,Налоги!$F$25:$F$101,$F94,Налоги!$AB$25:$AB$101,$G94)</f>
        <v>0</v>
      </c>
      <c r="AS94" s="943">
        <f>_xlfn.SUMIFS(Налоги!AR$25:AR$101,Налоги!$F$25:$F$101,$F94,Налоги!$AB$25:$AB$101,$G94)</f>
        <v>0</v>
      </c>
      <c r="AT94" s="943">
        <f>_xlfn.SUMIFS(Налоги!AS$25:AS$101,Налоги!$F$25:$F$101,$F94,Налоги!$AB$25:$AB$101,$G94)</f>
        <v>0</v>
      </c>
      <c r="AU94" s="943">
        <f>_xlfn.SUMIFS(Налоги!AT$25:AT$101,Налоги!$F$25:$F$101,$F94,Налоги!$AB$25:$AB$101,$G94)</f>
        <v>0</v>
      </c>
      <c r="AV94" s="943">
        <f>_xlfn.SUMIFS(Налоги!AU$25:AU$101,Налоги!$F$25:$F$101,$F94,Налоги!$AB$25:$AB$101,$G94)</f>
        <v>0</v>
      </c>
      <c r="AW94" s="943">
        <f>_xlfn.SUMIFS(Налоги!AV$25:AV$101,Налоги!$F$25:$F$101,$F94,Налоги!$AB$25:$AB$101,$G94)</f>
        <v>0</v>
      </c>
      <c r="AX94" s="943">
        <f>_xlfn.SUMIFS(Налоги!AW$25:AW$101,Налоги!$F$25:$F$101,$F94,Налоги!$AB$25:$AB$101,$G94)</f>
        <v>0</v>
      </c>
      <c r="AY94" s="943">
        <f>_xlfn.SUMIFS(Налоги!AX$25:AX$101,Налоги!$F$25:$F$101,$F94,Налоги!$AB$25:$AB$101,$G94)</f>
        <v>0</v>
      </c>
      <c r="AZ94" s="943">
        <f>_xlfn.SUMIFS(Налоги!AY$25:AY$101,Налоги!$F$25:$F$101,$F94,Налоги!$AB$25:$AB$101,$G94)</f>
        <v>0</v>
      </c>
      <c r="BA94" s="943">
        <f>_xlfn.SUMIFS(Налоги!AZ$25:AZ$101,Налоги!$F$25:$F$101,$F94,Налоги!$AB$25:$AB$101,$G94)</f>
        <v>0</v>
      </c>
      <c r="BB94" s="943">
        <f>_xlfn.SUMIFS(Налоги!BA$25:BA$101,Налоги!$F$25:$F$101,$F94,Налоги!$AB$25:$AB$101,$G94)</f>
        <v>0</v>
      </c>
      <c r="BC94" s="943">
        <f>_xlfn.SUMIFS(Налоги!BB$25:BB$101,Налоги!$F$25:$F$101,$F94,Налоги!$AB$25:$AB$101,$G94)</f>
        <v>0</v>
      </c>
      <c r="BD94" s="943">
        <f>IF(AI94=0,0,(AT94-AI94)/AI94*100)</f>
        <v>0</v>
      </c>
      <c r="BE94" s="943">
        <f>IF(AT94=0,0,(AU94-AT94)/AT94*100)</f>
        <v>0</v>
      </c>
      <c r="BF94" s="943">
        <f>IF(AU94=0,0,(AV94-AU94)/AU94*100)</f>
        <v>0</v>
      </c>
      <c r="BG94" s="943">
        <f>IF(AV94=0,0,(AW94-AV94)/AV94*100)</f>
        <v>0</v>
      </c>
      <c r="BH94" s="943">
        <f>IF(AW94=0,0,(AX94-AW94)/AW94*100)</f>
        <v>0</v>
      </c>
      <c r="BI94" s="943">
        <f>IF(AX94=0,0,(AY94-AX94)/AX94*100)</f>
        <v>0</v>
      </c>
      <c r="BJ94" s="943">
        <f>IF(AY94=0,0,(AZ94-AY94)/AY94*100)</f>
        <v>0</v>
      </c>
      <c r="BK94" s="943">
        <f>IF(AZ94=0,0,(BA94-AZ94)/AZ94*100)</f>
        <v>0</v>
      </c>
      <c r="BL94" s="943">
        <f>IF(BA94=0,0,(BB94-BA94)/BA94*100)</f>
        <v>0</v>
      </c>
      <c r="BM94" s="943">
        <f>IF(BB94=0,0,(BC94-BB94)/BB94*100)</f>
        <v>0</v>
      </c>
      <c r="BN94" s="1256"/>
      <c r="BO94" s="1254" t="str">
        <f>IF(_xlfn.IFERROR(INDEX(Налоги!$K$26:$L$101,MATCH($F94&amp;"6komm",Налоги!$K$26:$K$101,0),2),"")=0,"",_xlfn.IFERROR(INDEX(Налоги!$K$26:$L$101,MATCH($F94&amp;"6komm",Налоги!$K$26:$K$101,0),2),""))</f>
        <v/>
      </c>
      <c r="BP94" s="1256"/>
      <c r="BQ94" s="1278"/>
      <c r="BR94" s="1278"/>
      <c r="BS94" s="1064" t="s">
        <v>2773</v>
      </c>
      <c r="BT94" s="1064"/>
      <c r="BU94" s="1064"/>
      <c r="BV94" s="979"/>
      <c r="BW94" s="979"/>
    </row>
    <row customHeight="1" ht="14.625" hidden="1">
      <c r="A95" s="1278"/>
      <c r="B95" s="96"/>
      <c r="C95" s="107"/>
      <c r="D95" s="107"/>
      <c r="E95" s="621">
        <v>15</v>
      </c>
      <c r="F95" s="50" cm="1" t="str">
        <f t="array" ref="F95:F95">OFFSET(E95,-1,1)</f>
        <v>0</v>
      </c>
      <c r="G95" s="922">
        <v>2</v>
      </c>
      <c r="H95" s="107"/>
      <c r="I95" s="107" t="s">
        <v>2774</v>
      </c>
      <c r="J95" s="107"/>
      <c r="K95" s="107" t="s">
        <v>2774</v>
      </c>
      <c r="L95" s="980"/>
      <c r="M95" s="107"/>
      <c r="N95" s="107"/>
      <c r="O95" s="107"/>
      <c r="P95" s="107"/>
      <c r="Q95" s="107"/>
      <c r="R95" s="107"/>
      <c r="S95" s="107"/>
      <c r="T95" s="465" cm="1" t="str">
        <f t="array" ref="T95:T95">T94</f>
        <v>false</v>
      </c>
      <c r="U95" s="107"/>
      <c r="V95" s="107"/>
      <c r="W95" s="1278"/>
      <c r="X95" s="1563"/>
      <c r="Y95" s="1278"/>
      <c r="Z95" s="1546"/>
      <c r="AA95" s="1278"/>
      <c r="AB95" s="299" t="s">
        <v>2230</v>
      </c>
      <c r="AC95" s="765" t="s">
        <v>2775</v>
      </c>
      <c r="AD95" s="300" t="s">
        <v>1514</v>
      </c>
      <c r="AE95" s="259">
        <f>_xlfn.SUMIFS(Налоги!AE$25:AE$101,Налоги!$F$25:$F$101,$F95,Налоги!$AB$25:$AB$101,$G95)</f>
        <v>0</v>
      </c>
      <c r="AF95" s="259">
        <f>_xlfn.SUMIFS(Налоги!AF$25:AF$101,Налоги!$F$25:$F$101,$F95,Налоги!$AB$25:$AB$101,$G95)</f>
        <v>0</v>
      </c>
      <c r="AG95" s="259">
        <f>_xlfn.SUMIFS(Налоги!AG$25:AG$101,Налоги!$F$25:$F$101,$F95,Налоги!$AB$25:$AB$101,$G95)</f>
        <v>0</v>
      </c>
      <c r="AH95" s="943">
        <f>AG95-AF95</f>
        <v>0</v>
      </c>
      <c r="AI95" s="943">
        <f>_xlfn.SUMIFS(Налоги!AH$25:AH$101,Налоги!$F$25:$F$101,$F95,Налоги!$AB$25:$AB$101,$G95)</f>
        <v>0</v>
      </c>
      <c r="AJ95" s="943">
        <f>_xlfn.SUMIFS(Налоги!AI$25:AI$101,Налоги!$F$25:$F$101,$F95,Налоги!$AB$25:$AB$101,$G95)</f>
        <v>0</v>
      </c>
      <c r="AK95" s="943">
        <f>_xlfn.SUMIFS(Налоги!AJ$25:AJ$101,Налоги!$F$25:$F$101,$F95,Налоги!$AB$25:$AB$101,$G95)</f>
        <v>0</v>
      </c>
      <c r="AL95" s="943">
        <f>_xlfn.SUMIFS(Налоги!AK$25:AK$101,Налоги!$F$25:$F$101,$F95,Налоги!$AB$25:$AB$101,$G95)</f>
        <v>0</v>
      </c>
      <c r="AM95" s="943">
        <f>_xlfn.SUMIFS(Налоги!AL$25:AL$101,Налоги!$F$25:$F$101,$F95,Налоги!$AB$25:$AB$101,$G95)</f>
        <v>0</v>
      </c>
      <c r="AN95" s="943">
        <f>_xlfn.SUMIFS(Налоги!AM$25:AM$101,Налоги!$F$25:$F$101,$F95,Налоги!$AB$25:$AB$101,$G95)</f>
        <v>0</v>
      </c>
      <c r="AO95" s="943">
        <f>_xlfn.SUMIFS(Налоги!AN$25:AN$101,Налоги!$F$25:$F$101,$F95,Налоги!$AB$25:$AB$101,$G95)</f>
        <v>0</v>
      </c>
      <c r="AP95" s="943">
        <f>_xlfn.SUMIFS(Налоги!AO$25:AO$101,Налоги!$F$25:$F$101,$F95,Налоги!$AB$25:$AB$101,$G95)</f>
        <v>0</v>
      </c>
      <c r="AQ95" s="943">
        <f>_xlfn.SUMIFS(Налоги!AP$25:AP$101,Налоги!$F$25:$F$101,$F95,Налоги!$AB$25:$AB$101,$G95)</f>
        <v>0</v>
      </c>
      <c r="AR95" s="943">
        <f>_xlfn.SUMIFS(Налоги!AQ$25:AQ$101,Налоги!$F$25:$F$101,$F95,Налоги!$AB$25:$AB$101,$G95)</f>
        <v>0</v>
      </c>
      <c r="AS95" s="943">
        <f>_xlfn.SUMIFS(Налоги!AR$25:AR$101,Налоги!$F$25:$F$101,$F95,Налоги!$AB$25:$AB$101,$G95)</f>
        <v>0</v>
      </c>
      <c r="AT95" s="943">
        <f>_xlfn.SUMIFS(Налоги!AS$25:AS$101,Налоги!$F$25:$F$101,$F95,Налоги!$AB$25:$AB$101,$G95)</f>
        <v>0</v>
      </c>
      <c r="AU95" s="943">
        <f>_xlfn.SUMIFS(Налоги!AT$25:AT$101,Налоги!$F$25:$F$101,$F95,Налоги!$AB$25:$AB$101,$G95)</f>
        <v>0</v>
      </c>
      <c r="AV95" s="943">
        <f>_xlfn.SUMIFS(Налоги!AU$25:AU$101,Налоги!$F$25:$F$101,$F95,Налоги!$AB$25:$AB$101,$G95)</f>
        <v>0</v>
      </c>
      <c r="AW95" s="943">
        <f>_xlfn.SUMIFS(Налоги!AV$25:AV$101,Налоги!$F$25:$F$101,$F95,Налоги!$AB$25:$AB$101,$G95)</f>
        <v>0</v>
      </c>
      <c r="AX95" s="943">
        <f>_xlfn.SUMIFS(Налоги!AW$25:AW$101,Налоги!$F$25:$F$101,$F95,Налоги!$AB$25:$AB$101,$G95)</f>
        <v>0</v>
      </c>
      <c r="AY95" s="943">
        <f>_xlfn.SUMIFS(Налоги!AX$25:AX$101,Налоги!$F$25:$F$101,$F95,Налоги!$AB$25:$AB$101,$G95)</f>
        <v>0</v>
      </c>
      <c r="AZ95" s="943">
        <f>_xlfn.SUMIFS(Налоги!AY$25:AY$101,Налоги!$F$25:$F$101,$F95,Налоги!$AB$25:$AB$101,$G95)</f>
        <v>0</v>
      </c>
      <c r="BA95" s="943">
        <f>_xlfn.SUMIFS(Налоги!AZ$25:AZ$101,Налоги!$F$25:$F$101,$F95,Налоги!$AB$25:$AB$101,$G95)</f>
        <v>0</v>
      </c>
      <c r="BB95" s="943">
        <f>_xlfn.SUMIFS(Налоги!BA$25:BA$101,Налоги!$F$25:$F$101,$F95,Налоги!$AB$25:$AB$101,$G95)</f>
        <v>0</v>
      </c>
      <c r="BC95" s="943">
        <f>_xlfn.SUMIFS(Налоги!BB$25:BB$101,Налоги!$F$25:$F$101,$F95,Налоги!$AB$25:$AB$101,$G95)</f>
        <v>0</v>
      </c>
      <c r="BD95" s="943">
        <f>IF(AI95=0,0,(AT95-AI95)/AI95*100)</f>
        <v>0</v>
      </c>
      <c r="BE95" s="943">
        <f>IF(AT95=0,0,(AU95-AT95)/AT95*100)</f>
        <v>0</v>
      </c>
      <c r="BF95" s="943">
        <f>IF(AU95=0,0,(AV95-AU95)/AU95*100)</f>
        <v>0</v>
      </c>
      <c r="BG95" s="943">
        <f>IF(AV95=0,0,(AW95-AV95)/AV95*100)</f>
        <v>0</v>
      </c>
      <c r="BH95" s="943">
        <f>IF(AW95=0,0,(AX95-AW95)/AW95*100)</f>
        <v>0</v>
      </c>
      <c r="BI95" s="943">
        <f>IF(AX95=0,0,(AY95-AX95)/AX95*100)</f>
        <v>0</v>
      </c>
      <c r="BJ95" s="943">
        <f>IF(AY95=0,0,(AZ95-AY95)/AY95*100)</f>
        <v>0</v>
      </c>
      <c r="BK95" s="943">
        <f>IF(AZ95=0,0,(BA95-AZ95)/AZ95*100)</f>
        <v>0</v>
      </c>
      <c r="BL95" s="943">
        <f>IF(BA95=0,0,(BB95-BA95)/BA95*100)</f>
        <v>0</v>
      </c>
      <c r="BM95" s="943">
        <f>IF(BB95=0,0,(BC95-BB95)/BB95*100)</f>
        <v>0</v>
      </c>
      <c r="BN95" s="1256"/>
      <c r="BO95" s="1254" t="str">
        <f>IF(_xlfn.IFERROR(INDEX(Налоги!$K$26:$L$101,MATCH($F95&amp;"2komm",Налоги!$K$26:$K$101,0),2),"")=0,"",_xlfn.IFERROR(INDEX(Налоги!$K$26:$L$101,MATCH($F95&amp;"2komm",Налоги!$K$26:$K$101,0),2),""))</f>
        <v/>
      </c>
      <c r="BP95" s="1256"/>
      <c r="BQ95" s="1278"/>
      <c r="BR95" s="1278"/>
      <c r="BS95" s="1064" t="s">
        <v>2776</v>
      </c>
      <c r="BT95" s="1064"/>
      <c r="BU95" s="1064"/>
      <c r="BV95" s="979"/>
      <c r="BW95" s="979"/>
    </row>
    <row customHeight="1" ht="14.625" hidden="1">
      <c r="A96" s="1278"/>
      <c r="B96" s="96"/>
      <c r="C96" s="107"/>
      <c r="D96" s="107"/>
      <c r="E96" s="621">
        <v>15</v>
      </c>
      <c r="F96" s="50" cm="1" t="str">
        <f t="array" ref="F96:F96">OFFSET(E96,-1,1)</f>
        <v>0</v>
      </c>
      <c r="G96" s="922">
        <v>4</v>
      </c>
      <c r="H96" s="107"/>
      <c r="I96" s="107" t="s">
        <v>2777</v>
      </c>
      <c r="J96" s="107"/>
      <c r="K96" s="107" t="s">
        <v>2777</v>
      </c>
      <c r="L96" s="980"/>
      <c r="M96" s="107"/>
      <c r="N96" s="107"/>
      <c r="O96" s="107"/>
      <c r="P96" s="107"/>
      <c r="Q96" s="107"/>
      <c r="R96" s="107"/>
      <c r="S96" s="107"/>
      <c r="T96" s="465" cm="1" t="str">
        <f t="array" ref="T96:T96">T95</f>
        <v>false</v>
      </c>
      <c r="U96" s="107"/>
      <c r="V96" s="107"/>
      <c r="W96" s="1278"/>
      <c r="X96" s="1563"/>
      <c r="Y96" s="1278"/>
      <c r="Z96" s="1546"/>
      <c r="AA96" s="1278"/>
      <c r="AB96" s="299" t="s">
        <v>2778</v>
      </c>
      <c r="AC96" s="765" t="s">
        <v>2779</v>
      </c>
      <c r="AD96" s="300" t="s">
        <v>1514</v>
      </c>
      <c r="AE96" s="259">
        <f>_xlfn.SUMIFS(Налоги!AE$25:AE$101,Налоги!$F$25:$F$101,$F96,Налоги!$AB$25:$AB$101,$G96)</f>
        <v>0</v>
      </c>
      <c r="AF96" s="259">
        <f>_xlfn.SUMIFS(Налоги!AF$25:AF$101,Налоги!$F$25:$F$101,$F96,Налоги!$AB$25:$AB$101,$G96)</f>
        <v>0</v>
      </c>
      <c r="AG96" s="259">
        <f>_xlfn.SUMIFS(Налоги!AG$25:AG$101,Налоги!$F$25:$F$101,$F96,Налоги!$AB$25:$AB$101,$G96)</f>
        <v>0</v>
      </c>
      <c r="AH96" s="943">
        <f>AG96-AF96</f>
        <v>0</v>
      </c>
      <c r="AI96" s="943">
        <f>_xlfn.SUMIFS(Налоги!AH$25:AH$101,Налоги!$F$25:$F$101,$F96,Налоги!$AB$25:$AB$101,$G96)</f>
        <v>0</v>
      </c>
      <c r="AJ96" s="943">
        <f>_xlfn.SUMIFS(Налоги!AI$25:AI$101,Налоги!$F$25:$F$101,$F96,Налоги!$AB$25:$AB$101,$G96)</f>
        <v>0</v>
      </c>
      <c r="AK96" s="943">
        <f>_xlfn.SUMIFS(Налоги!AJ$25:AJ$101,Налоги!$F$25:$F$101,$F96,Налоги!$AB$25:$AB$101,$G96)</f>
        <v>0</v>
      </c>
      <c r="AL96" s="943">
        <f>_xlfn.SUMIFS(Налоги!AK$25:AK$101,Налоги!$F$25:$F$101,$F96,Налоги!$AB$25:$AB$101,$G96)</f>
        <v>0</v>
      </c>
      <c r="AM96" s="943">
        <f>_xlfn.SUMIFS(Налоги!AL$25:AL$101,Налоги!$F$25:$F$101,$F96,Налоги!$AB$25:$AB$101,$G96)</f>
        <v>0</v>
      </c>
      <c r="AN96" s="943">
        <f>_xlfn.SUMIFS(Налоги!AM$25:AM$101,Налоги!$F$25:$F$101,$F96,Налоги!$AB$25:$AB$101,$G96)</f>
        <v>0</v>
      </c>
      <c r="AO96" s="943">
        <f>_xlfn.SUMIFS(Налоги!AN$25:AN$101,Налоги!$F$25:$F$101,$F96,Налоги!$AB$25:$AB$101,$G96)</f>
        <v>0</v>
      </c>
      <c r="AP96" s="943">
        <f>_xlfn.SUMIFS(Налоги!AO$25:AO$101,Налоги!$F$25:$F$101,$F96,Налоги!$AB$25:$AB$101,$G96)</f>
        <v>0</v>
      </c>
      <c r="AQ96" s="943">
        <f>_xlfn.SUMIFS(Налоги!AP$25:AP$101,Налоги!$F$25:$F$101,$F96,Налоги!$AB$25:$AB$101,$G96)</f>
        <v>0</v>
      </c>
      <c r="AR96" s="943">
        <f>_xlfn.SUMIFS(Налоги!AQ$25:AQ$101,Налоги!$F$25:$F$101,$F96,Налоги!$AB$25:$AB$101,$G96)</f>
        <v>0</v>
      </c>
      <c r="AS96" s="943">
        <f>_xlfn.SUMIFS(Налоги!AR$25:AR$101,Налоги!$F$25:$F$101,$F96,Налоги!$AB$25:$AB$101,$G96)</f>
        <v>0</v>
      </c>
      <c r="AT96" s="943">
        <f>_xlfn.SUMIFS(Налоги!AS$25:AS$101,Налоги!$F$25:$F$101,$F96,Налоги!$AB$25:$AB$101,$G96)</f>
        <v>0</v>
      </c>
      <c r="AU96" s="943">
        <f>_xlfn.SUMIFS(Налоги!AT$25:AT$101,Налоги!$F$25:$F$101,$F96,Налоги!$AB$25:$AB$101,$G96)</f>
        <v>0</v>
      </c>
      <c r="AV96" s="943">
        <f>_xlfn.SUMIFS(Налоги!AU$25:AU$101,Налоги!$F$25:$F$101,$F96,Налоги!$AB$25:$AB$101,$G96)</f>
        <v>0</v>
      </c>
      <c r="AW96" s="943">
        <f>_xlfn.SUMIFS(Налоги!AV$25:AV$101,Налоги!$F$25:$F$101,$F96,Налоги!$AB$25:$AB$101,$G96)</f>
        <v>0</v>
      </c>
      <c r="AX96" s="943">
        <f>_xlfn.SUMIFS(Налоги!AW$25:AW$101,Налоги!$F$25:$F$101,$F96,Налоги!$AB$25:$AB$101,$G96)</f>
        <v>0</v>
      </c>
      <c r="AY96" s="943">
        <f>_xlfn.SUMIFS(Налоги!AX$25:AX$101,Налоги!$F$25:$F$101,$F96,Налоги!$AB$25:$AB$101,$G96)</f>
        <v>0</v>
      </c>
      <c r="AZ96" s="943">
        <f>_xlfn.SUMIFS(Налоги!AY$25:AY$101,Налоги!$F$25:$F$101,$F96,Налоги!$AB$25:$AB$101,$G96)</f>
        <v>0</v>
      </c>
      <c r="BA96" s="943">
        <f>_xlfn.SUMIFS(Налоги!AZ$25:AZ$101,Налоги!$F$25:$F$101,$F96,Налоги!$AB$25:$AB$101,$G96)</f>
        <v>0</v>
      </c>
      <c r="BB96" s="943">
        <f>_xlfn.SUMIFS(Налоги!BA$25:BA$101,Налоги!$F$25:$F$101,$F96,Налоги!$AB$25:$AB$101,$G96)</f>
        <v>0</v>
      </c>
      <c r="BC96" s="943">
        <f>_xlfn.SUMIFS(Налоги!BB$25:BB$101,Налоги!$F$25:$F$101,$F96,Налоги!$AB$25:$AB$101,$G96)</f>
        <v>0</v>
      </c>
      <c r="BD96" s="943">
        <f>IF(AI96=0,0,(AT96-AI96)/AI96*100)</f>
        <v>0</v>
      </c>
      <c r="BE96" s="943">
        <f>IF(AT96=0,0,(AU96-AT96)/AT96*100)</f>
        <v>0</v>
      </c>
      <c r="BF96" s="943">
        <f>IF(AU96=0,0,(AV96-AU96)/AU96*100)</f>
        <v>0</v>
      </c>
      <c r="BG96" s="943">
        <f>IF(AV96=0,0,(AW96-AV96)/AV96*100)</f>
        <v>0</v>
      </c>
      <c r="BH96" s="943">
        <f>IF(AW96=0,0,(AX96-AW96)/AW96*100)</f>
        <v>0</v>
      </c>
      <c r="BI96" s="943">
        <f>IF(AX96=0,0,(AY96-AX96)/AX96*100)</f>
        <v>0</v>
      </c>
      <c r="BJ96" s="943">
        <f>IF(AY96=0,0,(AZ96-AY96)/AY96*100)</f>
        <v>0</v>
      </c>
      <c r="BK96" s="943">
        <f>IF(AZ96=0,0,(BA96-AZ96)/AZ96*100)</f>
        <v>0</v>
      </c>
      <c r="BL96" s="943">
        <f>IF(BA96=0,0,(BB96-BA96)/BA96*100)</f>
        <v>0</v>
      </c>
      <c r="BM96" s="943">
        <f>IF(BB96=0,0,(BC96-BB96)/BB96*100)</f>
        <v>0</v>
      </c>
      <c r="BN96" s="1256"/>
      <c r="BO96" s="1254" t="str">
        <f>IF(_xlfn.IFERROR(INDEX(Налоги!$K$26:$L$101,MATCH($F96&amp;"4komm",Налоги!$K$26:$K$101,0),2),"")=0,"",_xlfn.IFERROR(INDEX(Налоги!$K$26:$L$101,MATCH($F96&amp;"4komm",Налоги!$K$26:$K$101,0),2),""))</f>
        <v/>
      </c>
      <c r="BP96" s="1256"/>
      <c r="BQ96" s="1278"/>
      <c r="BR96" s="1278"/>
      <c r="BS96" s="1064" t="s">
        <v>2780</v>
      </c>
      <c r="BT96" s="1064"/>
      <c r="BU96" s="1064"/>
      <c r="BV96" s="979"/>
      <c r="BW96" s="979"/>
    </row>
    <row customHeight="1" ht="14.625" hidden="1">
      <c r="A97" s="1278"/>
      <c r="B97" s="96"/>
      <c r="C97" s="107"/>
      <c r="D97" s="107"/>
      <c r="E97" s="621">
        <v>15</v>
      </c>
      <c r="F97" s="50" cm="1" t="str">
        <f t="array" ref="F97:F97">OFFSET(E97,-1,1)</f>
        <v>0</v>
      </c>
      <c r="G97" s="922">
        <v>5</v>
      </c>
      <c r="H97" s="107"/>
      <c r="I97" s="107" t="s">
        <v>2781</v>
      </c>
      <c r="J97" s="107"/>
      <c r="K97" s="107" t="s">
        <v>2781</v>
      </c>
      <c r="L97" s="980"/>
      <c r="M97" s="107"/>
      <c r="N97" s="107"/>
      <c r="O97" s="107"/>
      <c r="P97" s="107"/>
      <c r="Q97" s="107"/>
      <c r="R97" s="107"/>
      <c r="S97" s="107"/>
      <c r="T97" s="465" cm="1" t="str">
        <f t="array" ref="T97:T97">T96</f>
        <v>false</v>
      </c>
      <c r="U97" s="107"/>
      <c r="V97" s="107"/>
      <c r="W97" s="1278"/>
      <c r="X97" s="1563"/>
      <c r="Y97" s="1278"/>
      <c r="Z97" s="1546"/>
      <c r="AA97" s="1278"/>
      <c r="AB97" s="299" t="s">
        <v>2782</v>
      </c>
      <c r="AC97" s="765" t="s">
        <v>2783</v>
      </c>
      <c r="AD97" s="300" t="s">
        <v>1514</v>
      </c>
      <c r="AE97" s="259">
        <f>_xlfn.SUMIFS(Налоги!AE$25:AE$101,Налоги!$F$25:$F$101,$F97,Налоги!$AB$25:$AB$101,$G97)</f>
        <v>0</v>
      </c>
      <c r="AF97" s="259">
        <f>_xlfn.SUMIFS(Налоги!AF$25:AF$101,Налоги!$F$25:$F$101,$F97,Налоги!$AB$25:$AB$101,$G97)</f>
        <v>0</v>
      </c>
      <c r="AG97" s="259">
        <f>_xlfn.SUMIFS(Налоги!AG$25:AG$101,Налоги!$F$25:$F$101,$F97,Налоги!$AB$25:$AB$101,$G97)</f>
        <v>0</v>
      </c>
      <c r="AH97" s="943">
        <f>AG97-AF97</f>
        <v>0</v>
      </c>
      <c r="AI97" s="943">
        <f>_xlfn.SUMIFS(Налоги!AH$25:AH$101,Налоги!$F$25:$F$101,$F97,Налоги!$AB$25:$AB$101,$G97)</f>
        <v>0</v>
      </c>
      <c r="AJ97" s="943">
        <f>_xlfn.SUMIFS(Налоги!AI$25:AI$101,Налоги!$F$25:$F$101,$F97,Налоги!$AB$25:$AB$101,$G97)</f>
        <v>0</v>
      </c>
      <c r="AK97" s="943">
        <f>_xlfn.SUMIFS(Налоги!AJ$25:AJ$101,Налоги!$F$25:$F$101,$F97,Налоги!$AB$25:$AB$101,$G97)</f>
        <v>0</v>
      </c>
      <c r="AL97" s="943">
        <f>_xlfn.SUMIFS(Налоги!AK$25:AK$101,Налоги!$F$25:$F$101,$F97,Налоги!$AB$25:$AB$101,$G97)</f>
        <v>0</v>
      </c>
      <c r="AM97" s="943">
        <f>_xlfn.SUMIFS(Налоги!AL$25:AL$101,Налоги!$F$25:$F$101,$F97,Налоги!$AB$25:$AB$101,$G97)</f>
        <v>0</v>
      </c>
      <c r="AN97" s="943">
        <f>_xlfn.SUMIFS(Налоги!AM$25:AM$101,Налоги!$F$25:$F$101,$F97,Налоги!$AB$25:$AB$101,$G97)</f>
        <v>0</v>
      </c>
      <c r="AO97" s="943">
        <f>_xlfn.SUMIFS(Налоги!AN$25:AN$101,Налоги!$F$25:$F$101,$F97,Налоги!$AB$25:$AB$101,$G97)</f>
        <v>0</v>
      </c>
      <c r="AP97" s="943">
        <f>_xlfn.SUMIFS(Налоги!AO$25:AO$101,Налоги!$F$25:$F$101,$F97,Налоги!$AB$25:$AB$101,$G97)</f>
        <v>0</v>
      </c>
      <c r="AQ97" s="943">
        <f>_xlfn.SUMIFS(Налоги!AP$25:AP$101,Налоги!$F$25:$F$101,$F97,Налоги!$AB$25:$AB$101,$G97)</f>
        <v>0</v>
      </c>
      <c r="AR97" s="943">
        <f>_xlfn.SUMIFS(Налоги!AQ$25:AQ$101,Налоги!$F$25:$F$101,$F97,Налоги!$AB$25:$AB$101,$G97)</f>
        <v>0</v>
      </c>
      <c r="AS97" s="943">
        <f>_xlfn.SUMIFS(Налоги!AR$25:AR$101,Налоги!$F$25:$F$101,$F97,Налоги!$AB$25:$AB$101,$G97)</f>
        <v>0</v>
      </c>
      <c r="AT97" s="943">
        <f>_xlfn.SUMIFS(Налоги!AS$25:AS$101,Налоги!$F$25:$F$101,$F97,Налоги!$AB$25:$AB$101,$G97)</f>
        <v>0</v>
      </c>
      <c r="AU97" s="943">
        <f>_xlfn.SUMIFS(Налоги!AT$25:AT$101,Налоги!$F$25:$F$101,$F97,Налоги!$AB$25:$AB$101,$G97)</f>
        <v>0</v>
      </c>
      <c r="AV97" s="943">
        <f>_xlfn.SUMIFS(Налоги!AU$25:AU$101,Налоги!$F$25:$F$101,$F97,Налоги!$AB$25:$AB$101,$G97)</f>
        <v>0</v>
      </c>
      <c r="AW97" s="943">
        <f>_xlfn.SUMIFS(Налоги!AV$25:AV$101,Налоги!$F$25:$F$101,$F97,Налоги!$AB$25:$AB$101,$G97)</f>
        <v>0</v>
      </c>
      <c r="AX97" s="943">
        <f>_xlfn.SUMIFS(Налоги!AW$25:AW$101,Налоги!$F$25:$F$101,$F97,Налоги!$AB$25:$AB$101,$G97)</f>
        <v>0</v>
      </c>
      <c r="AY97" s="943">
        <f>_xlfn.SUMIFS(Налоги!AX$25:AX$101,Налоги!$F$25:$F$101,$F97,Налоги!$AB$25:$AB$101,$G97)</f>
        <v>0</v>
      </c>
      <c r="AZ97" s="943">
        <f>_xlfn.SUMIFS(Налоги!AY$25:AY$101,Налоги!$F$25:$F$101,$F97,Налоги!$AB$25:$AB$101,$G97)</f>
        <v>0</v>
      </c>
      <c r="BA97" s="943">
        <f>_xlfn.SUMIFS(Налоги!AZ$25:AZ$101,Налоги!$F$25:$F$101,$F97,Налоги!$AB$25:$AB$101,$G97)</f>
        <v>0</v>
      </c>
      <c r="BB97" s="943">
        <f>_xlfn.SUMIFS(Налоги!BA$25:BA$101,Налоги!$F$25:$F$101,$F97,Налоги!$AB$25:$AB$101,$G97)</f>
        <v>0</v>
      </c>
      <c r="BC97" s="943">
        <f>_xlfn.SUMIFS(Налоги!BB$25:BB$101,Налоги!$F$25:$F$101,$F97,Налоги!$AB$25:$AB$101,$G97)</f>
        <v>0</v>
      </c>
      <c r="BD97" s="943">
        <f>IF(AI97=0,0,(AT97-AI97)/AI97*100)</f>
        <v>0</v>
      </c>
      <c r="BE97" s="943">
        <f>IF(AT97=0,0,(AU97-AT97)/AT97*100)</f>
        <v>0</v>
      </c>
      <c r="BF97" s="943">
        <f>IF(AU97=0,0,(AV97-AU97)/AU97*100)</f>
        <v>0</v>
      </c>
      <c r="BG97" s="943">
        <f>IF(AV97=0,0,(AW97-AV97)/AV97*100)</f>
        <v>0</v>
      </c>
      <c r="BH97" s="943">
        <f>IF(AW97=0,0,(AX97-AW97)/AW97*100)</f>
        <v>0</v>
      </c>
      <c r="BI97" s="943">
        <f>IF(AX97=0,0,(AY97-AX97)/AX97*100)</f>
        <v>0</v>
      </c>
      <c r="BJ97" s="943">
        <f>IF(AY97=0,0,(AZ97-AY97)/AY97*100)</f>
        <v>0</v>
      </c>
      <c r="BK97" s="943">
        <f>IF(AZ97=0,0,(BA97-AZ97)/AZ97*100)</f>
        <v>0</v>
      </c>
      <c r="BL97" s="943">
        <f>IF(BA97=0,0,(BB97-BA97)/BA97*100)</f>
        <v>0</v>
      </c>
      <c r="BM97" s="943">
        <f>IF(BB97=0,0,(BC97-BB97)/BB97*100)</f>
        <v>0</v>
      </c>
      <c r="BN97" s="1256"/>
      <c r="BO97" s="1254" t="str">
        <f>IF(_xlfn.IFERROR(INDEX(Налоги!$K$26:$L$101,MATCH($F97&amp;"5komm",Налоги!$K$26:$K$101,0),2),"")=0,"",_xlfn.IFERROR(INDEX(Налоги!$K$26:$L$101,MATCH($F97&amp;"5komm",Налоги!$K$26:$K$101,0),2),""))</f>
        <v/>
      </c>
      <c r="BP97" s="1256"/>
      <c r="BQ97" s="1278"/>
      <c r="BR97" s="1278"/>
      <c r="BS97" s="1064" t="s">
        <v>2784</v>
      </c>
      <c r="BT97" s="1064"/>
      <c r="BU97" s="1064"/>
      <c r="BV97" s="979"/>
      <c r="BW97" s="979"/>
    </row>
    <row customHeight="1" ht="14.625" hidden="1">
      <c r="A98" s="1278"/>
      <c r="B98" s="96"/>
      <c r="C98" s="107"/>
      <c r="D98" s="107"/>
      <c r="E98" s="621">
        <v>15</v>
      </c>
      <c r="F98" s="50" cm="1" t="str">
        <f t="array" ref="F98:F98">OFFSET(E98,-1,1)</f>
        <v>0</v>
      </c>
      <c r="G98" s="922">
        <v>1</v>
      </c>
      <c r="H98" s="107"/>
      <c r="I98" s="107" t="s">
        <v>2785</v>
      </c>
      <c r="J98" s="107"/>
      <c r="K98" s="107" t="s">
        <v>2785</v>
      </c>
      <c r="L98" s="980"/>
      <c r="M98" s="107"/>
      <c r="N98" s="107"/>
      <c r="O98" s="107"/>
      <c r="P98" s="107"/>
      <c r="Q98" s="107"/>
      <c r="R98" s="107"/>
      <c r="S98" s="107"/>
      <c r="T98" s="465" cm="1" t="str">
        <f t="array" ref="T98:T98">T97</f>
        <v>false</v>
      </c>
      <c r="U98" s="107"/>
      <c r="V98" s="107"/>
      <c r="W98" s="1278"/>
      <c r="X98" s="1563"/>
      <c r="Y98" s="1278"/>
      <c r="Z98" s="1546"/>
      <c r="AA98" s="1278"/>
      <c r="AB98" s="299" t="s">
        <v>2786</v>
      </c>
      <c r="AC98" s="765" t="s">
        <v>2787</v>
      </c>
      <c r="AD98" s="300" t="s">
        <v>1514</v>
      </c>
      <c r="AE98" s="259">
        <f>_xlfn.SUMIFS(Налоги!AE$25:AE$101,Налоги!$F$25:$F$101,$F98,Налоги!$AB$25:$AB$101,$G98)</f>
        <v>0</v>
      </c>
      <c r="AF98" s="259">
        <f>_xlfn.SUMIFS(Налоги!AF$25:AF$101,Налоги!$F$25:$F$101,$F98,Налоги!$AB$25:$AB$101,$G98)</f>
        <v>0</v>
      </c>
      <c r="AG98" s="259">
        <f>_xlfn.SUMIFS(Налоги!AG$25:AG$101,Налоги!$F$25:$F$101,$F98,Налоги!$AB$25:$AB$101,$G98)</f>
        <v>0</v>
      </c>
      <c r="AH98" s="943">
        <f>AG98-AF98</f>
        <v>0</v>
      </c>
      <c r="AI98" s="943">
        <f>_xlfn.SUMIFS(Налоги!AH$25:AH$101,Налоги!$F$25:$F$101,$F98,Налоги!$AB$25:$AB$101,$G98)</f>
        <v>0</v>
      </c>
      <c r="AJ98" s="943">
        <f>_xlfn.SUMIFS(Налоги!AI$25:AI$101,Налоги!$F$25:$F$101,$F98,Налоги!$AB$25:$AB$101,$G98)</f>
        <v>0</v>
      </c>
      <c r="AK98" s="943">
        <f>_xlfn.SUMIFS(Налоги!AJ$25:AJ$101,Налоги!$F$25:$F$101,$F98,Налоги!$AB$25:$AB$101,$G98)</f>
        <v>0</v>
      </c>
      <c r="AL98" s="943">
        <f>_xlfn.SUMIFS(Налоги!AK$25:AK$101,Налоги!$F$25:$F$101,$F98,Налоги!$AB$25:$AB$101,$G98)</f>
        <v>0</v>
      </c>
      <c r="AM98" s="943">
        <f>_xlfn.SUMIFS(Налоги!AL$25:AL$101,Налоги!$F$25:$F$101,$F98,Налоги!$AB$25:$AB$101,$G98)</f>
        <v>0</v>
      </c>
      <c r="AN98" s="943">
        <f>_xlfn.SUMIFS(Налоги!AM$25:AM$101,Налоги!$F$25:$F$101,$F98,Налоги!$AB$25:$AB$101,$G98)</f>
        <v>0</v>
      </c>
      <c r="AO98" s="943">
        <f>_xlfn.SUMIFS(Налоги!AN$25:AN$101,Налоги!$F$25:$F$101,$F98,Налоги!$AB$25:$AB$101,$G98)</f>
        <v>0</v>
      </c>
      <c r="AP98" s="943">
        <f>_xlfn.SUMIFS(Налоги!AO$25:AO$101,Налоги!$F$25:$F$101,$F98,Налоги!$AB$25:$AB$101,$G98)</f>
        <v>0</v>
      </c>
      <c r="AQ98" s="943">
        <f>_xlfn.SUMIFS(Налоги!AP$25:AP$101,Налоги!$F$25:$F$101,$F98,Налоги!$AB$25:$AB$101,$G98)</f>
        <v>0</v>
      </c>
      <c r="AR98" s="943">
        <f>_xlfn.SUMIFS(Налоги!AQ$25:AQ$101,Налоги!$F$25:$F$101,$F98,Налоги!$AB$25:$AB$101,$G98)</f>
        <v>0</v>
      </c>
      <c r="AS98" s="943">
        <f>_xlfn.SUMIFS(Налоги!AR$25:AR$101,Налоги!$F$25:$F$101,$F98,Налоги!$AB$25:$AB$101,$G98)</f>
        <v>0</v>
      </c>
      <c r="AT98" s="943">
        <f>_xlfn.SUMIFS(Налоги!AS$25:AS$101,Налоги!$F$25:$F$101,$F98,Налоги!$AB$25:$AB$101,$G98)</f>
        <v>0</v>
      </c>
      <c r="AU98" s="943">
        <f>_xlfn.SUMIFS(Налоги!AT$25:AT$101,Налоги!$F$25:$F$101,$F98,Налоги!$AB$25:$AB$101,$G98)</f>
        <v>0</v>
      </c>
      <c r="AV98" s="943">
        <f>_xlfn.SUMIFS(Налоги!AU$25:AU$101,Налоги!$F$25:$F$101,$F98,Налоги!$AB$25:$AB$101,$G98)</f>
        <v>0</v>
      </c>
      <c r="AW98" s="943">
        <f>_xlfn.SUMIFS(Налоги!AV$25:AV$101,Налоги!$F$25:$F$101,$F98,Налоги!$AB$25:$AB$101,$G98)</f>
        <v>0</v>
      </c>
      <c r="AX98" s="943">
        <f>_xlfn.SUMIFS(Налоги!AW$25:AW$101,Налоги!$F$25:$F$101,$F98,Налоги!$AB$25:$AB$101,$G98)</f>
        <v>0</v>
      </c>
      <c r="AY98" s="943">
        <f>_xlfn.SUMIFS(Налоги!AX$25:AX$101,Налоги!$F$25:$F$101,$F98,Налоги!$AB$25:$AB$101,$G98)</f>
        <v>0</v>
      </c>
      <c r="AZ98" s="943">
        <f>_xlfn.SUMIFS(Налоги!AY$25:AY$101,Налоги!$F$25:$F$101,$F98,Налоги!$AB$25:$AB$101,$G98)</f>
        <v>0</v>
      </c>
      <c r="BA98" s="943">
        <f>_xlfn.SUMIFS(Налоги!AZ$25:AZ$101,Налоги!$F$25:$F$101,$F98,Налоги!$AB$25:$AB$101,$G98)</f>
        <v>0</v>
      </c>
      <c r="BB98" s="943">
        <f>_xlfn.SUMIFS(Налоги!BA$25:BA$101,Налоги!$F$25:$F$101,$F98,Налоги!$AB$25:$AB$101,$G98)</f>
        <v>0</v>
      </c>
      <c r="BC98" s="943">
        <f>_xlfn.SUMIFS(Налоги!BB$25:BB$101,Налоги!$F$25:$F$101,$F98,Налоги!$AB$25:$AB$101,$G98)</f>
        <v>0</v>
      </c>
      <c r="BD98" s="943">
        <f>IF(AI98=0,0,(AT98-AI98)/AI98*100)</f>
        <v>0</v>
      </c>
      <c r="BE98" s="943">
        <f>IF(AT98=0,0,(AU98-AT98)/AT98*100)</f>
        <v>0</v>
      </c>
      <c r="BF98" s="943">
        <f>IF(AU98=0,0,(AV98-AU98)/AU98*100)</f>
        <v>0</v>
      </c>
      <c r="BG98" s="943">
        <f>IF(AV98=0,0,(AW98-AV98)/AV98*100)</f>
        <v>0</v>
      </c>
      <c r="BH98" s="943">
        <f>IF(AW98=0,0,(AX98-AW98)/AW98*100)</f>
        <v>0</v>
      </c>
      <c r="BI98" s="943">
        <f>IF(AX98=0,0,(AY98-AX98)/AX98*100)</f>
        <v>0</v>
      </c>
      <c r="BJ98" s="943">
        <f>IF(AY98=0,0,(AZ98-AY98)/AY98*100)</f>
        <v>0</v>
      </c>
      <c r="BK98" s="943">
        <f>IF(AZ98=0,0,(BA98-AZ98)/AZ98*100)</f>
        <v>0</v>
      </c>
      <c r="BL98" s="943">
        <f>IF(BA98=0,0,(BB98-BA98)/BA98*100)</f>
        <v>0</v>
      </c>
      <c r="BM98" s="943">
        <f>IF(BB98=0,0,(BC98-BB98)/BB98*100)</f>
        <v>0</v>
      </c>
      <c r="BN98" s="1256"/>
      <c r="BO98" s="1254" t="str">
        <f>IF(_xlfn.IFERROR(INDEX(Налоги!$K$26:$L$101,MATCH($F98&amp;"1komm",Налоги!$K$26:$K$101,0),2),"")=0,"",_xlfn.IFERROR(INDEX(Налоги!$K$26:$L$101,MATCH($F98&amp;"1komm",Налоги!$K$26:$K$101,0),2),""))</f>
        <v/>
      </c>
      <c r="BP98" s="1256"/>
      <c r="BQ98" s="1278"/>
      <c r="BR98" s="1278"/>
      <c r="BS98" s="1064" t="s">
        <v>2788</v>
      </c>
      <c r="BT98" s="1064"/>
      <c r="BU98" s="1064"/>
      <c r="BV98" s="979"/>
      <c r="BW98" s="979"/>
    </row>
    <row customHeight="1" ht="14.625" hidden="1">
      <c r="A99" s="1278"/>
      <c r="B99" s="96"/>
      <c r="C99" s="107"/>
      <c r="D99" s="107"/>
      <c r="E99" s="621">
        <v>15</v>
      </c>
      <c r="F99" s="50" cm="1" t="str">
        <f t="array" ref="F99:F99">OFFSET(E99,-1,1)</f>
        <v>0</v>
      </c>
      <c r="G99" s="922">
        <v>3</v>
      </c>
      <c r="H99" s="107"/>
      <c r="I99" s="107" t="s">
        <v>2789</v>
      </c>
      <c r="J99" s="107"/>
      <c r="K99" s="107" t="s">
        <v>2789</v>
      </c>
      <c r="L99" s="980"/>
      <c r="M99" s="107"/>
      <c r="N99" s="107"/>
      <c r="O99" s="107"/>
      <c r="P99" s="107"/>
      <c r="Q99" s="107"/>
      <c r="R99" s="107"/>
      <c r="S99" s="107"/>
      <c r="T99" s="465" cm="1" t="str">
        <f t="array" ref="T99:T99">T98</f>
        <v>false</v>
      </c>
      <c r="U99" s="107"/>
      <c r="V99" s="107"/>
      <c r="W99" s="1278"/>
      <c r="X99" s="1563"/>
      <c r="Y99" s="1278"/>
      <c r="Z99" s="1546"/>
      <c r="AA99" s="1278"/>
      <c r="AB99" s="299" t="s">
        <v>2790</v>
      </c>
      <c r="AC99" s="765" t="s">
        <v>2791</v>
      </c>
      <c r="AD99" s="300" t="s">
        <v>1514</v>
      </c>
      <c r="AE99" s="1255">
        <f>_xlfn.SUMIFS(Налоги!AE$25:AE$101,Налоги!$F$25:$F$101,$F99,Налоги!$AB$25:$AB$101,$G99)</f>
        <v>0</v>
      </c>
      <c r="AF99" s="1255">
        <f>_xlfn.SUMIFS(Налоги!AF$25:AF$101,Налоги!$F$25:$F$101,$F99,Налоги!$AB$25:$AB$101,$G99)</f>
        <v>0</v>
      </c>
      <c r="AG99" s="1255">
        <f>_xlfn.SUMIFS(Налоги!AG$25:AG$101,Налоги!$F$25:$F$101,$F99,Налоги!$AB$25:$AB$101,$G99)</f>
        <v>0</v>
      </c>
      <c r="AH99" s="943">
        <f>AG99-AF99</f>
        <v>0</v>
      </c>
      <c r="AI99" s="1253">
        <f>_xlfn.SUMIFS(Налоги!AH$25:AH$101,Налоги!$F$25:$F$101,$F99,Налоги!$AB$25:$AB$101,$G99)</f>
        <v>0</v>
      </c>
      <c r="AJ99" s="1253">
        <f>_xlfn.SUMIFS(Налоги!AI$25:AI$101,Налоги!$F$25:$F$101,$F99,Налоги!$AB$25:$AB$101,$G99)</f>
        <v>0</v>
      </c>
      <c r="AK99" s="1253">
        <f>_xlfn.SUMIFS(Налоги!AJ$25:AJ$101,Налоги!$F$25:$F$101,$F99,Налоги!$AB$25:$AB$101,$G99)</f>
        <v>0</v>
      </c>
      <c r="AL99" s="1253">
        <f>_xlfn.SUMIFS(Налоги!AK$25:AK$101,Налоги!$F$25:$F$101,$F99,Налоги!$AB$25:$AB$101,$G99)</f>
        <v>0</v>
      </c>
      <c r="AM99" s="1253">
        <f>_xlfn.SUMIFS(Налоги!AL$25:AL$101,Налоги!$F$25:$F$101,$F99,Налоги!$AB$25:$AB$101,$G99)</f>
        <v>0</v>
      </c>
      <c r="AN99" s="1253">
        <f>_xlfn.SUMIFS(Налоги!AM$25:AM$101,Налоги!$F$25:$F$101,$F99,Налоги!$AB$25:$AB$101,$G99)</f>
        <v>0</v>
      </c>
      <c r="AO99" s="1253">
        <f>_xlfn.SUMIFS(Налоги!AN$25:AN$101,Налоги!$F$25:$F$101,$F99,Налоги!$AB$25:$AB$101,$G99)</f>
        <v>0</v>
      </c>
      <c r="AP99" s="1253">
        <f>_xlfn.SUMIFS(Налоги!AO$25:AO$101,Налоги!$F$25:$F$101,$F99,Налоги!$AB$25:$AB$101,$G99)</f>
        <v>0</v>
      </c>
      <c r="AQ99" s="1253">
        <f>_xlfn.SUMIFS(Налоги!AP$25:AP$101,Налоги!$F$25:$F$101,$F99,Налоги!$AB$25:$AB$101,$G99)</f>
        <v>0</v>
      </c>
      <c r="AR99" s="1253">
        <f>_xlfn.SUMIFS(Налоги!AQ$25:AQ$101,Налоги!$F$25:$F$101,$F99,Налоги!$AB$25:$AB$101,$G99)</f>
        <v>0</v>
      </c>
      <c r="AS99" s="1253">
        <f>_xlfn.SUMIFS(Налоги!AR$25:AR$101,Налоги!$F$25:$F$101,$F99,Налоги!$AB$25:$AB$101,$G99)</f>
        <v>0</v>
      </c>
      <c r="AT99" s="1253">
        <f>_xlfn.SUMIFS(Налоги!AS$25:AS$101,Налоги!$F$25:$F$101,$F99,Налоги!$AB$25:$AB$101,$G99)</f>
        <v>0</v>
      </c>
      <c r="AU99" s="1253">
        <f>_xlfn.SUMIFS(Налоги!AT$25:AT$101,Налоги!$F$25:$F$101,$F99,Налоги!$AB$25:$AB$101,$G99)</f>
        <v>0</v>
      </c>
      <c r="AV99" s="1253">
        <f>_xlfn.SUMIFS(Налоги!AU$25:AU$101,Налоги!$F$25:$F$101,$F99,Налоги!$AB$25:$AB$101,$G99)</f>
        <v>0</v>
      </c>
      <c r="AW99" s="1253">
        <f>_xlfn.SUMIFS(Налоги!AV$25:AV$101,Налоги!$F$25:$F$101,$F99,Налоги!$AB$25:$AB$101,$G99)</f>
        <v>0</v>
      </c>
      <c r="AX99" s="1253">
        <f>_xlfn.SUMIFS(Налоги!AW$25:AW$101,Налоги!$F$25:$F$101,$F99,Налоги!$AB$25:$AB$101,$G99)</f>
        <v>0</v>
      </c>
      <c r="AY99" s="1253">
        <f>_xlfn.SUMIFS(Налоги!AX$25:AX$101,Налоги!$F$25:$F$101,$F99,Налоги!$AB$25:$AB$101,$G99)</f>
        <v>0</v>
      </c>
      <c r="AZ99" s="1253">
        <f>_xlfn.SUMIFS(Налоги!AY$25:AY$101,Налоги!$F$25:$F$101,$F99,Налоги!$AB$25:$AB$101,$G99)</f>
        <v>0</v>
      </c>
      <c r="BA99" s="1253">
        <f>_xlfn.SUMIFS(Налоги!AZ$25:AZ$101,Налоги!$F$25:$F$101,$F99,Налоги!$AB$25:$AB$101,$G99)</f>
        <v>0</v>
      </c>
      <c r="BB99" s="1253">
        <f>_xlfn.SUMIFS(Налоги!BA$25:BA$101,Налоги!$F$25:$F$101,$F99,Налоги!$AB$25:$AB$101,$G99)</f>
        <v>0</v>
      </c>
      <c r="BC99" s="1253">
        <f>_xlfn.SUMIFS(Налоги!BB$25:BB$101,Налоги!$F$25:$F$101,$F99,Налоги!$AB$25:$AB$101,$G99)</f>
        <v>0</v>
      </c>
      <c r="BD99" s="943">
        <f>IF(AI99=0,0,(AT99-AI99)/AI99*100)</f>
        <v>0</v>
      </c>
      <c r="BE99" s="943">
        <f>IF(AT99=0,0,(AU99-AT99)/AT99*100)</f>
        <v>0</v>
      </c>
      <c r="BF99" s="943">
        <f>IF(AU99=0,0,(AV99-AU99)/AU99*100)</f>
        <v>0</v>
      </c>
      <c r="BG99" s="943">
        <f>IF(AV99=0,0,(AW99-AV99)/AV99*100)</f>
        <v>0</v>
      </c>
      <c r="BH99" s="943">
        <f>IF(AW99=0,0,(AX99-AW99)/AW99*100)</f>
        <v>0</v>
      </c>
      <c r="BI99" s="943">
        <f>IF(AX99=0,0,(AY99-AX99)/AX99*100)</f>
        <v>0</v>
      </c>
      <c r="BJ99" s="943">
        <f>IF(AY99=0,0,(AZ99-AY99)/AY99*100)</f>
        <v>0</v>
      </c>
      <c r="BK99" s="943">
        <f>IF(AZ99=0,0,(BA99-AZ99)/AZ99*100)</f>
        <v>0</v>
      </c>
      <c r="BL99" s="943">
        <f>IF(BA99=0,0,(BB99-BA99)/BA99*100)</f>
        <v>0</v>
      </c>
      <c r="BM99" s="943">
        <f>IF(BB99=0,0,(BC99-BB99)/BB99*100)</f>
        <v>0</v>
      </c>
      <c r="BN99" s="1256"/>
      <c r="BO99" s="1254" t="str">
        <f>IF(_xlfn.IFERROR(INDEX(Налоги!$K$26:$L$101,MATCH($F99&amp;"5komm",Налоги!$K$26:$K$101,0),2),"")=0,"",_xlfn.IFERROR(INDEX(Налоги!$K$26:$L$101,MATCH($F99&amp;"5komm",Налоги!$K$26:$K$101,0),2),""))</f>
        <v/>
      </c>
      <c r="BP99" s="1256"/>
      <c r="BQ99" s="1278"/>
      <c r="BR99" s="1278"/>
      <c r="BS99" s="1064" t="s">
        <v>2792</v>
      </c>
      <c r="BT99" s="1064"/>
      <c r="BU99" s="1064"/>
      <c r="BV99" s="979"/>
      <c r="BW99" s="979"/>
    </row>
    <row customHeight="1" ht="14.625" hidden="1">
      <c r="A100" s="1278"/>
      <c r="B100" s="96"/>
      <c r="C100" s="107"/>
      <c r="D100" s="107"/>
      <c r="E100" s="621">
        <v>15</v>
      </c>
      <c r="F100" s="50" cm="1" t="str">
        <f t="array" ref="F100:F100">OFFSET(E100,-1,1)</f>
        <v>0</v>
      </c>
      <c r="G100" s="922">
        <v>8</v>
      </c>
      <c r="H100" s="107"/>
      <c r="I100" s="107" t="s">
        <v>2793</v>
      </c>
      <c r="J100" s="107"/>
      <c r="K100" s="107" t="s">
        <v>2793</v>
      </c>
      <c r="L100" s="980"/>
      <c r="M100" s="107"/>
      <c r="N100" s="107"/>
      <c r="O100" s="107"/>
      <c r="P100" s="107"/>
      <c r="Q100" s="107"/>
      <c r="R100" s="107"/>
      <c r="S100" s="107"/>
      <c r="T100" s="465" cm="1" t="str">
        <f t="array" ref="T100:T100">T99</f>
        <v>false</v>
      </c>
      <c r="U100" s="107"/>
      <c r="V100" s="107"/>
      <c r="W100" s="1278"/>
      <c r="X100" s="1563"/>
      <c r="Y100" s="1278"/>
      <c r="Z100" s="1546"/>
      <c r="AA100" s="1278"/>
      <c r="AB100" s="299" t="s">
        <v>2794</v>
      </c>
      <c r="AC100" s="765" t="s">
        <v>2795</v>
      </c>
      <c r="AD100" s="300" t="s">
        <v>1514</v>
      </c>
      <c r="AE100" s="259">
        <f>_xlfn.SUMIFS(Налоги!AE$25:AE$101,Налоги!$F$25:$F$101,$F100,Налоги!$AB$25:$AB$101,$G100)</f>
        <v>0</v>
      </c>
      <c r="AF100" s="259">
        <f>_xlfn.SUMIFS(Налоги!AF$25:AF$101,Налоги!$F$25:$F$101,$F100,Налоги!$AB$25:$AB$101,$G100)</f>
        <v>0</v>
      </c>
      <c r="AG100" s="259">
        <f>_xlfn.SUMIFS(Налоги!AG$25:AG$101,Налоги!$F$25:$F$101,$F100,Налоги!$AB$25:$AB$101,$G100)</f>
        <v>0</v>
      </c>
      <c r="AH100" s="943">
        <f>AG100-AF100</f>
        <v>0</v>
      </c>
      <c r="AI100" s="943">
        <f>_xlfn.SUMIFS(Налоги!AH$25:AH$101,Налоги!$F$25:$F$101,$F100,Налоги!$AB$25:$AB$101,$G100)</f>
        <v>0</v>
      </c>
      <c r="AJ100" s="943">
        <f>_xlfn.SUMIFS(Налоги!AI$25:AI$101,Налоги!$F$25:$F$101,$F100,Налоги!$AB$25:$AB$101,$G100)</f>
        <v>0</v>
      </c>
      <c r="AK100" s="943">
        <f>_xlfn.SUMIFS(Налоги!AJ$25:AJ$101,Налоги!$F$25:$F$101,$F100,Налоги!$AB$25:$AB$101,$G100)</f>
        <v>0</v>
      </c>
      <c r="AL100" s="943">
        <f>_xlfn.SUMIFS(Налоги!AK$25:AK$101,Налоги!$F$25:$F$101,$F100,Налоги!$AB$25:$AB$101,$G100)</f>
        <v>0</v>
      </c>
      <c r="AM100" s="943">
        <f>_xlfn.SUMIFS(Налоги!AL$25:AL$101,Налоги!$F$25:$F$101,$F100,Налоги!$AB$25:$AB$101,$G100)</f>
        <v>0</v>
      </c>
      <c r="AN100" s="943">
        <f>_xlfn.SUMIFS(Налоги!AM$25:AM$101,Налоги!$F$25:$F$101,$F100,Налоги!$AB$25:$AB$101,$G100)</f>
        <v>0</v>
      </c>
      <c r="AO100" s="943">
        <f>_xlfn.SUMIFS(Налоги!AN$25:AN$101,Налоги!$F$25:$F$101,$F100,Налоги!$AB$25:$AB$101,$G100)</f>
        <v>0</v>
      </c>
      <c r="AP100" s="943">
        <f>_xlfn.SUMIFS(Налоги!AO$25:AO$101,Налоги!$F$25:$F$101,$F100,Налоги!$AB$25:$AB$101,$G100)</f>
        <v>0</v>
      </c>
      <c r="AQ100" s="943">
        <f>_xlfn.SUMIFS(Налоги!AP$25:AP$101,Налоги!$F$25:$F$101,$F100,Налоги!$AB$25:$AB$101,$G100)</f>
        <v>0</v>
      </c>
      <c r="AR100" s="943">
        <f>_xlfn.SUMIFS(Налоги!AQ$25:AQ$101,Налоги!$F$25:$F$101,$F100,Налоги!$AB$25:$AB$101,$G100)</f>
        <v>0</v>
      </c>
      <c r="AS100" s="943">
        <f>_xlfn.SUMIFS(Налоги!AR$25:AR$101,Налоги!$F$25:$F$101,$F100,Налоги!$AB$25:$AB$101,$G100)</f>
        <v>0</v>
      </c>
      <c r="AT100" s="943">
        <f>_xlfn.SUMIFS(Налоги!AS$25:AS$101,Налоги!$F$25:$F$101,$F100,Налоги!$AB$25:$AB$101,$G100)</f>
        <v>0</v>
      </c>
      <c r="AU100" s="943">
        <f>_xlfn.SUMIFS(Налоги!AT$25:AT$101,Налоги!$F$25:$F$101,$F100,Налоги!$AB$25:$AB$101,$G100)</f>
        <v>0</v>
      </c>
      <c r="AV100" s="943">
        <f>_xlfn.SUMIFS(Налоги!AU$25:AU$101,Налоги!$F$25:$F$101,$F100,Налоги!$AB$25:$AB$101,$G100)</f>
        <v>0</v>
      </c>
      <c r="AW100" s="943">
        <f>_xlfn.SUMIFS(Налоги!AV$25:AV$101,Налоги!$F$25:$F$101,$F100,Налоги!$AB$25:$AB$101,$G100)</f>
        <v>0</v>
      </c>
      <c r="AX100" s="943">
        <f>_xlfn.SUMIFS(Налоги!AW$25:AW$101,Налоги!$F$25:$F$101,$F100,Налоги!$AB$25:$AB$101,$G100)</f>
        <v>0</v>
      </c>
      <c r="AY100" s="943">
        <f>_xlfn.SUMIFS(Налоги!AX$25:AX$101,Налоги!$F$25:$F$101,$F100,Налоги!$AB$25:$AB$101,$G100)</f>
        <v>0</v>
      </c>
      <c r="AZ100" s="943">
        <f>_xlfn.SUMIFS(Налоги!AY$25:AY$101,Налоги!$F$25:$F$101,$F100,Налоги!$AB$25:$AB$101,$G100)</f>
        <v>0</v>
      </c>
      <c r="BA100" s="943">
        <f>_xlfn.SUMIFS(Налоги!AZ$25:AZ$101,Налоги!$F$25:$F$101,$F100,Налоги!$AB$25:$AB$101,$G100)</f>
        <v>0</v>
      </c>
      <c r="BB100" s="943">
        <f>_xlfn.SUMIFS(Налоги!BA$25:BA$101,Налоги!$F$25:$F$101,$F100,Налоги!$AB$25:$AB$101,$G100)</f>
        <v>0</v>
      </c>
      <c r="BC100" s="943">
        <f>_xlfn.SUMIFS(Налоги!BB$25:BB$101,Налоги!$F$25:$F$101,$F100,Налоги!$AB$25:$AB$101,$G100)</f>
        <v>0</v>
      </c>
      <c r="BD100" s="943">
        <f>IF(AI100=0,0,(AT100-AI100)/AI100*100)</f>
        <v>0</v>
      </c>
      <c r="BE100" s="943">
        <f>IF(AT100=0,0,(AU100-AT100)/AT100*100)</f>
        <v>0</v>
      </c>
      <c r="BF100" s="943">
        <f>IF(AU100=0,0,(AV100-AU100)/AU100*100)</f>
        <v>0</v>
      </c>
      <c r="BG100" s="943">
        <f>IF(AV100=0,0,(AW100-AV100)/AV100*100)</f>
        <v>0</v>
      </c>
      <c r="BH100" s="943">
        <f>IF(AW100=0,0,(AX100-AW100)/AW100*100)</f>
        <v>0</v>
      </c>
      <c r="BI100" s="943">
        <f>IF(AX100=0,0,(AY100-AX100)/AX100*100)</f>
        <v>0</v>
      </c>
      <c r="BJ100" s="943">
        <f>IF(AY100=0,0,(AZ100-AY100)/AY100*100)</f>
        <v>0</v>
      </c>
      <c r="BK100" s="943">
        <f>IF(AZ100=0,0,(BA100-AZ100)/AZ100*100)</f>
        <v>0</v>
      </c>
      <c r="BL100" s="943">
        <f>IF(BA100=0,0,(BB100-BA100)/BA100*100)</f>
        <v>0</v>
      </c>
      <c r="BM100" s="943">
        <f>IF(BB100=0,0,(BC100-BB100)/BB100*100)</f>
        <v>0</v>
      </c>
      <c r="BN100" s="1256"/>
      <c r="BO100" s="1254" t="str">
        <f>IF(_xlfn.IFERROR(INDEX(Налоги!$K$26:$L$101,MATCH($F100&amp;"8komm",Налоги!$K$26:$K$101,0),2),"")=0,"",_xlfn.IFERROR(INDEX(Налоги!$K$26:$L$101,MATCH($F100&amp;"8komm",Налоги!$K$26:$K$101,0),2),""))</f>
        <v/>
      </c>
      <c r="BP100" s="1256"/>
      <c r="BQ100" s="1278"/>
      <c r="BR100" s="1278"/>
      <c r="BS100" s="1064" t="s">
        <v>2017</v>
      </c>
      <c r="BT100" s="1064"/>
      <c r="BU100" s="1064"/>
      <c r="BV100" s="979"/>
      <c r="BW100" s="979"/>
    </row>
    <row s="1233" customFormat="1" customHeight="1" ht="14.625" hidden="1">
      <c r="A101" s="1233"/>
      <c r="B101" s="96"/>
      <c r="C101" s="107"/>
      <c r="D101" s="107"/>
      <c r="E101" s="621">
        <v>15</v>
      </c>
      <c r="F101" s="50" cm="1" t="str">
        <f t="array" ref="F101:F101">OFFSET(E101,-1,1)</f>
        <v>0</v>
      </c>
      <c r="G101" s="922">
        <v>9</v>
      </c>
      <c r="H101" s="107"/>
      <c r="I101" s="107"/>
      <c r="J101" s="107"/>
      <c r="K101" s="107"/>
      <c r="L101" s="980"/>
      <c r="M101" s="107"/>
      <c r="N101" s="107"/>
      <c r="O101" s="107"/>
      <c r="P101" s="107"/>
      <c r="Q101" s="107"/>
      <c r="R101" s="107"/>
      <c r="S101" s="107"/>
      <c r="T101" s="465" cm="1" t="str">
        <f t="array" ref="T101:T101">T100</f>
        <v>false</v>
      </c>
      <c r="U101" s="107"/>
      <c r="V101" s="107"/>
      <c r="W101" s="1233"/>
      <c r="X101" s="1563"/>
      <c r="Y101" s="1233"/>
      <c r="Z101" s="1546"/>
      <c r="AA101" s="1233"/>
      <c r="AB101" s="299" t="s">
        <v>2796</v>
      </c>
      <c r="AC101" s="780" t="s">
        <v>2797</v>
      </c>
      <c r="AD101" s="300" t="s">
        <v>1514</v>
      </c>
      <c r="AE101" s="259">
        <f>_xlfn.SUMIFS(Налоги!AE$25:AE$101,Налоги!$F$25:$F$101,$F101,Налоги!$AB$25:$AB$101,$G101)</f>
        <v>0</v>
      </c>
      <c r="AF101" s="259">
        <f>_xlfn.SUMIFS(Налоги!AF$25:AF$101,Налоги!$F$25:$F$101,$F101,Налоги!$AB$25:$AB$101,$G101)</f>
        <v>0</v>
      </c>
      <c r="AG101" s="259">
        <f>_xlfn.SUMIFS(Налоги!AG$25:AG$101,Налоги!$F$25:$F$101,$F101,Налоги!$AB$25:$AB$101,$G101)</f>
        <v>0</v>
      </c>
      <c r="AH101" s="943">
        <f>AG101-AF101</f>
        <v>0</v>
      </c>
      <c r="AI101" s="943">
        <f>_xlfn.SUMIFS(Налоги!AH$25:AH$101,Налоги!$F$25:$F$101,$F101,Налоги!$AB$25:$AB$101,$G101)</f>
        <v>0</v>
      </c>
      <c r="AJ101" s="943">
        <f>_xlfn.SUMIFS(Налоги!AI$25:AI$101,Налоги!$F$25:$F$101,$F101,Налоги!$AB$25:$AB$101,$G101)</f>
        <v>0</v>
      </c>
      <c r="AK101" s="943">
        <f>_xlfn.SUMIFS(Налоги!AJ$25:AJ$101,Налоги!$F$25:$F$101,$F101,Налоги!$AB$25:$AB$101,$G101)</f>
        <v>0</v>
      </c>
      <c r="AL101" s="943">
        <f>_xlfn.SUMIFS(Налоги!AK$25:AK$101,Налоги!$F$25:$F$101,$F101,Налоги!$AB$25:$AB$101,$G101)</f>
        <v>0</v>
      </c>
      <c r="AM101" s="943">
        <f>_xlfn.SUMIFS(Налоги!AL$25:AL$101,Налоги!$F$25:$F$101,$F101,Налоги!$AB$25:$AB$101,$G101)</f>
        <v>0</v>
      </c>
      <c r="AN101" s="943">
        <f>_xlfn.SUMIFS(Налоги!AM$25:AM$101,Налоги!$F$25:$F$101,$F101,Налоги!$AB$25:$AB$101,$G101)</f>
        <v>0</v>
      </c>
      <c r="AO101" s="943">
        <f>_xlfn.SUMIFS(Налоги!AN$25:AN$101,Налоги!$F$25:$F$101,$F101,Налоги!$AB$25:$AB$101,$G101)</f>
        <v>0</v>
      </c>
      <c r="AP101" s="943">
        <f>_xlfn.SUMIFS(Налоги!AO$25:AO$101,Налоги!$F$25:$F$101,$F101,Налоги!$AB$25:$AB$101,$G101)</f>
        <v>0</v>
      </c>
      <c r="AQ101" s="943">
        <f>_xlfn.SUMIFS(Налоги!AP$25:AP$101,Налоги!$F$25:$F$101,$F101,Налоги!$AB$25:$AB$101,$G101)</f>
        <v>0</v>
      </c>
      <c r="AR101" s="943">
        <f>_xlfn.SUMIFS(Налоги!AQ$25:AQ$101,Налоги!$F$25:$F$101,$F101,Налоги!$AB$25:$AB$101,$G101)</f>
        <v>0</v>
      </c>
      <c r="AS101" s="943">
        <f>_xlfn.SUMIFS(Налоги!AR$25:AR$101,Налоги!$F$25:$F$101,$F101,Налоги!$AB$25:$AB$101,$G101)</f>
        <v>0</v>
      </c>
      <c r="AT101" s="943">
        <f>_xlfn.SUMIFS(Налоги!AS$25:AS$101,Налоги!$F$25:$F$101,$F101,Налоги!$AB$25:$AB$101,$G101)</f>
        <v>0</v>
      </c>
      <c r="AU101" s="943">
        <f>_xlfn.SUMIFS(Налоги!AT$25:AT$101,Налоги!$F$25:$F$101,$F101,Налоги!$AB$25:$AB$101,$G101)</f>
        <v>0</v>
      </c>
      <c r="AV101" s="943">
        <f>_xlfn.SUMIFS(Налоги!AU$25:AU$101,Налоги!$F$25:$F$101,$F101,Налоги!$AB$25:$AB$101,$G101)</f>
        <v>0</v>
      </c>
      <c r="AW101" s="943">
        <f>_xlfn.SUMIFS(Налоги!AV$25:AV$101,Налоги!$F$25:$F$101,$F101,Налоги!$AB$25:$AB$101,$G101)</f>
        <v>0</v>
      </c>
      <c r="AX101" s="943">
        <f>_xlfn.SUMIFS(Налоги!AW$25:AW$101,Налоги!$F$25:$F$101,$F101,Налоги!$AB$25:$AB$101,$G101)</f>
        <v>0</v>
      </c>
      <c r="AY101" s="943">
        <f>_xlfn.SUMIFS(Налоги!AX$25:AX$101,Налоги!$F$25:$F$101,$F101,Налоги!$AB$25:$AB$101,$G101)</f>
        <v>0</v>
      </c>
      <c r="AZ101" s="943">
        <f>_xlfn.SUMIFS(Налоги!AY$25:AY$101,Налоги!$F$25:$F$101,$F101,Налоги!$AB$25:$AB$101,$G101)</f>
        <v>0</v>
      </c>
      <c r="BA101" s="943">
        <f>_xlfn.SUMIFS(Налоги!AZ$25:AZ$101,Налоги!$F$25:$F$101,$F101,Налоги!$AB$25:$AB$101,$G101)</f>
        <v>0</v>
      </c>
      <c r="BB101" s="943">
        <f>_xlfn.SUMIFS(Налоги!BA$25:BA$101,Налоги!$F$25:$F$101,$F101,Налоги!$AB$25:$AB$101,$G101)</f>
        <v>0</v>
      </c>
      <c r="BC101" s="943">
        <f>_xlfn.SUMIFS(Налоги!BB$25:BB$101,Налоги!$F$25:$F$101,$F101,Налоги!$AB$25:$AB$101,$G101)</f>
        <v>0</v>
      </c>
      <c r="BD101" s="943">
        <f>IF(AI101=0,0,(AT101-AI101)/AI101*100)</f>
        <v>0</v>
      </c>
      <c r="BE101" s="943">
        <f>IF(AT101=0,0,(AU101-AT101)/AT101*100)</f>
        <v>0</v>
      </c>
      <c r="BF101" s="943">
        <f>IF(AU101=0,0,(AV101-AU101)/AU101*100)</f>
        <v>0</v>
      </c>
      <c r="BG101" s="943">
        <f>IF(AV101=0,0,(AW101-AV101)/AV101*100)</f>
        <v>0</v>
      </c>
      <c r="BH101" s="943">
        <f>IF(AW101=0,0,(AX101-AW101)/AW101*100)</f>
        <v>0</v>
      </c>
      <c r="BI101" s="943">
        <f>IF(AX101=0,0,(AY101-AX101)/AX101*100)</f>
        <v>0</v>
      </c>
      <c r="BJ101" s="943">
        <f>IF(AY101=0,0,(AZ101-AY101)/AY101*100)</f>
        <v>0</v>
      </c>
      <c r="BK101" s="943">
        <f>IF(AZ101=0,0,(BA101-AZ101)/AZ101*100)</f>
        <v>0</v>
      </c>
      <c r="BL101" s="943">
        <f>IF(BA101=0,0,(BB101-BA101)/BA101*100)</f>
        <v>0</v>
      </c>
      <c r="BM101" s="943">
        <f>IF(BB101=0,0,(BC101-BB101)/BB101*100)</f>
        <v>0</v>
      </c>
      <c r="BN101" s="1256"/>
      <c r="BO101" s="1254" t="str">
        <f>IF(_xlfn.IFERROR(INDEX(Налоги!$K$26:$L$101,MATCH($F101&amp;"9komm",Налоги!$K$26:$K$101,0),2),"")=0,"",_xlfn.IFERROR(INDEX(Налоги!$K$26:$L$101,MATCH($F101&amp;"9komm",Налоги!$K$26:$K$101,0),2),""))</f>
        <v/>
      </c>
      <c r="BP101" s="1256"/>
      <c r="BQ101" s="1233"/>
      <c r="BR101" s="1233"/>
      <c r="BS101" s="1071" t="s">
        <v>2798</v>
      </c>
      <c r="BT101" s="1071"/>
      <c r="BU101" s="1071"/>
      <c r="BV101" s="1072"/>
      <c r="BW101" s="1072"/>
    </row>
    <row customHeight="1" ht="14.625" hidden="1">
      <c r="A102" s="1278"/>
      <c r="B102" s="96"/>
      <c r="C102" s="107"/>
      <c r="D102" s="107"/>
      <c r="E102" s="621">
        <v>15</v>
      </c>
      <c r="F102" s="50" cm="1" t="str">
        <f t="array" ref="F102:F102">OFFSET(E102,-1,1)</f>
        <v>0</v>
      </c>
      <c r="G102" s="922">
        <v>10</v>
      </c>
      <c r="H102" s="107"/>
      <c r="I102" s="107" t="s">
        <v>2799</v>
      </c>
      <c r="J102" s="107"/>
      <c r="K102" s="107" t="s">
        <v>2799</v>
      </c>
      <c r="L102" s="980"/>
      <c r="M102" s="107"/>
      <c r="N102" s="107"/>
      <c r="O102" s="107"/>
      <c r="P102" s="107"/>
      <c r="Q102" s="107"/>
      <c r="R102" s="107"/>
      <c r="S102" s="107"/>
      <c r="T102" s="465" cm="1" t="str">
        <f t="array" ref="T102:T102">T101</f>
        <v>false</v>
      </c>
      <c r="U102" s="107"/>
      <c r="V102" s="107"/>
      <c r="W102" s="1278"/>
      <c r="X102" s="1563"/>
      <c r="Y102" s="1278"/>
      <c r="Z102" s="1546"/>
      <c r="AA102" s="1278"/>
      <c r="AB102" s="299" t="s">
        <v>2800</v>
      </c>
      <c r="AC102" s="781" t="s">
        <v>2801</v>
      </c>
      <c r="AD102" s="300" t="s">
        <v>1514</v>
      </c>
      <c r="AE102" s="259">
        <f>_xlfn.SUMIFS(Налоги!AE$25:AE$101,Налоги!$F$25:$F$101,$F102,Налоги!$AB$25:$AB$101,$G102)</f>
        <v>0</v>
      </c>
      <c r="AF102" s="259">
        <f>_xlfn.SUMIFS(Налоги!AF$25:AF$101,Налоги!$F$25:$F$101,$F102,Налоги!$AB$25:$AB$101,$G102)</f>
        <v>0</v>
      </c>
      <c r="AG102" s="259">
        <f>_xlfn.SUMIFS(Налоги!AG$25:AG$101,Налоги!$F$25:$F$101,$F102,Налоги!$AB$25:$AB$101,$G102)</f>
        <v>0</v>
      </c>
      <c r="AH102" s="943">
        <f>AG102-AF102</f>
        <v>0</v>
      </c>
      <c r="AI102" s="943">
        <f>_xlfn.SUMIFS(Налоги!AH$25:AH$101,Налоги!$F$25:$F$101,$F102,Налоги!$AB$25:$AB$101,$G102)</f>
        <v>0</v>
      </c>
      <c r="AJ102" s="943">
        <f>_xlfn.SUMIFS(Налоги!AI$25:AI$101,Налоги!$F$25:$F$101,$F102,Налоги!$AB$25:$AB$101,$G102)</f>
        <v>0</v>
      </c>
      <c r="AK102" s="943">
        <f>_xlfn.SUMIFS(Налоги!AJ$25:AJ$101,Налоги!$F$25:$F$101,$F102,Налоги!$AB$25:$AB$101,$G102)</f>
        <v>0</v>
      </c>
      <c r="AL102" s="943">
        <f>_xlfn.SUMIFS(Налоги!AK$25:AK$101,Налоги!$F$25:$F$101,$F102,Налоги!$AB$25:$AB$101,$G102)</f>
        <v>0</v>
      </c>
      <c r="AM102" s="943">
        <f>_xlfn.SUMIFS(Налоги!AL$25:AL$101,Налоги!$F$25:$F$101,$F102,Налоги!$AB$25:$AB$101,$G102)</f>
        <v>0</v>
      </c>
      <c r="AN102" s="943">
        <f>_xlfn.SUMIFS(Налоги!AM$25:AM$101,Налоги!$F$25:$F$101,$F102,Налоги!$AB$25:$AB$101,$G102)</f>
        <v>0</v>
      </c>
      <c r="AO102" s="943">
        <f>_xlfn.SUMIFS(Налоги!AN$25:AN$101,Налоги!$F$25:$F$101,$F102,Налоги!$AB$25:$AB$101,$G102)</f>
        <v>0</v>
      </c>
      <c r="AP102" s="943">
        <f>_xlfn.SUMIFS(Налоги!AO$25:AO$101,Налоги!$F$25:$F$101,$F102,Налоги!$AB$25:$AB$101,$G102)</f>
        <v>0</v>
      </c>
      <c r="AQ102" s="943">
        <f>_xlfn.SUMIFS(Налоги!AP$25:AP$101,Налоги!$F$25:$F$101,$F102,Налоги!$AB$25:$AB$101,$G102)</f>
        <v>0</v>
      </c>
      <c r="AR102" s="943">
        <f>_xlfn.SUMIFS(Налоги!AQ$25:AQ$101,Налоги!$F$25:$F$101,$F102,Налоги!$AB$25:$AB$101,$G102)</f>
        <v>0</v>
      </c>
      <c r="AS102" s="943">
        <f>_xlfn.SUMIFS(Налоги!AR$25:AR$101,Налоги!$F$25:$F$101,$F102,Налоги!$AB$25:$AB$101,$G102)</f>
        <v>0</v>
      </c>
      <c r="AT102" s="943">
        <f>_xlfn.SUMIFS(Налоги!AS$25:AS$101,Налоги!$F$25:$F$101,$F102,Налоги!$AB$25:$AB$101,$G102)</f>
        <v>0</v>
      </c>
      <c r="AU102" s="943">
        <f>_xlfn.SUMIFS(Налоги!AT$25:AT$101,Налоги!$F$25:$F$101,$F102,Налоги!$AB$25:$AB$101,$G102)</f>
        <v>0</v>
      </c>
      <c r="AV102" s="943">
        <f>_xlfn.SUMIFS(Налоги!AU$25:AU$101,Налоги!$F$25:$F$101,$F102,Налоги!$AB$25:$AB$101,$G102)</f>
        <v>0</v>
      </c>
      <c r="AW102" s="943">
        <f>_xlfn.SUMIFS(Налоги!AV$25:AV$101,Налоги!$F$25:$F$101,$F102,Налоги!$AB$25:$AB$101,$G102)</f>
        <v>0</v>
      </c>
      <c r="AX102" s="943">
        <f>_xlfn.SUMIFS(Налоги!AW$25:AW$101,Налоги!$F$25:$F$101,$F102,Налоги!$AB$25:$AB$101,$G102)</f>
        <v>0</v>
      </c>
      <c r="AY102" s="943">
        <f>_xlfn.SUMIFS(Налоги!AX$25:AX$101,Налоги!$F$25:$F$101,$F102,Налоги!$AB$25:$AB$101,$G102)</f>
        <v>0</v>
      </c>
      <c r="AZ102" s="943">
        <f>_xlfn.SUMIFS(Налоги!AY$25:AY$101,Налоги!$F$25:$F$101,$F102,Налоги!$AB$25:$AB$101,$G102)</f>
        <v>0</v>
      </c>
      <c r="BA102" s="943">
        <f>_xlfn.SUMIFS(Налоги!AZ$25:AZ$101,Налоги!$F$25:$F$101,$F102,Налоги!$AB$25:$AB$101,$G102)</f>
        <v>0</v>
      </c>
      <c r="BB102" s="943">
        <f>_xlfn.SUMIFS(Налоги!BA$25:BA$101,Налоги!$F$25:$F$101,$F102,Налоги!$AB$25:$AB$101,$G102)</f>
        <v>0</v>
      </c>
      <c r="BC102" s="943">
        <f>_xlfn.SUMIFS(Налоги!BB$25:BB$101,Налоги!$F$25:$F$101,$F102,Налоги!$AB$25:$AB$101,$G102)</f>
        <v>0</v>
      </c>
      <c r="BD102" s="943">
        <f>IF(AI102=0,0,(AT102-AI102)/AI102*100)</f>
        <v>0</v>
      </c>
      <c r="BE102" s="943">
        <f>IF(AT102=0,0,(AU102-AT102)/AT102*100)</f>
        <v>0</v>
      </c>
      <c r="BF102" s="943">
        <f>IF(AU102=0,0,(AV102-AU102)/AU102*100)</f>
        <v>0</v>
      </c>
      <c r="BG102" s="943">
        <f>IF(AV102=0,0,(AW102-AV102)/AV102*100)</f>
        <v>0</v>
      </c>
      <c r="BH102" s="943">
        <f>IF(AW102=0,0,(AX102-AW102)/AW102*100)</f>
        <v>0</v>
      </c>
      <c r="BI102" s="943">
        <f>IF(AX102=0,0,(AY102-AX102)/AX102*100)</f>
        <v>0</v>
      </c>
      <c r="BJ102" s="943">
        <f>IF(AY102=0,0,(AZ102-AY102)/AY102*100)</f>
        <v>0</v>
      </c>
      <c r="BK102" s="943">
        <f>IF(AZ102=0,0,(BA102-AZ102)/AZ102*100)</f>
        <v>0</v>
      </c>
      <c r="BL102" s="943">
        <f>IF(BA102=0,0,(BB102-BA102)/BA102*100)</f>
        <v>0</v>
      </c>
      <c r="BM102" s="943">
        <f>IF(BB102=0,0,(BC102-BB102)/BB102*100)</f>
        <v>0</v>
      </c>
      <c r="BN102" s="1256"/>
      <c r="BO102" s="1254" t="str">
        <f>IF(_xlfn.IFERROR(INDEX(Налоги!$K$26:$L$101,MATCH($F102&amp;"10komm",Налоги!$K$26:$K$101,0),2),"")=0,"",_xlfn.IFERROR(INDEX(Налоги!$K$26:$L$101,MATCH($F102&amp;"10komm",Налоги!$K$26:$K$101,0),2),""))</f>
        <v/>
      </c>
      <c r="BP102" s="1256"/>
      <c r="BQ102" s="1278"/>
      <c r="BR102" s="1278"/>
      <c r="BS102" s="1064" t="s">
        <v>2802</v>
      </c>
      <c r="BT102" s="1064"/>
      <c r="BU102" s="1064"/>
      <c r="BV102" s="979"/>
      <c r="BW102" s="979"/>
    </row>
    <row customHeight="1" ht="65.8125" hidden="1">
      <c r="A103" s="1278"/>
      <c r="B103" s="978"/>
      <c r="C103" s="1278"/>
      <c r="D103" s="1278"/>
      <c r="E103" s="703">
        <v>67.5</v>
      </c>
      <c r="F103" s="50" cm="1" t="str">
        <f t="array" ref="F103:F103">OFFSET(E103,-1,1)</f>
        <v>0</v>
      </c>
      <c r="G103" s="158" t="s">
        <v>2178</v>
      </c>
      <c r="H103" s="1278"/>
      <c r="I103" s="158" t="s">
        <v>1650</v>
      </c>
      <c r="J103" s="1278"/>
      <c r="K103" s="158" t="s">
        <v>1650</v>
      </c>
      <c r="L103" s="980"/>
      <c r="M103" s="107"/>
      <c r="N103" s="1278"/>
      <c r="O103" s="1278"/>
      <c r="P103" s="1278"/>
      <c r="Q103" s="1278"/>
      <c r="R103" s="1278"/>
      <c r="S103" s="1278"/>
      <c r="T103" s="465" cm="1" t="str">
        <f t="array" ref="T103:T103">T102</f>
        <v>false</v>
      </c>
      <c r="U103" s="1278"/>
      <c r="V103" s="1278"/>
      <c r="W103" s="1278"/>
      <c r="X103" s="1563"/>
      <c r="Y103" s="1278"/>
      <c r="Z103" s="1546"/>
      <c r="AA103" s="1278"/>
      <c r="AB103" s="299" t="s">
        <v>1651</v>
      </c>
      <c r="AC103" s="782" t="s">
        <v>2181</v>
      </c>
      <c r="AD103" s="300" t="s">
        <v>1514</v>
      </c>
      <c r="AE103" s="1257"/>
      <c r="AF103" s="1257"/>
      <c r="AG103" s="1257"/>
      <c r="AH103" s="943">
        <f>AG103-AF103</f>
        <v>0</v>
      </c>
      <c r="AI103" s="1258"/>
      <c r="AJ103" s="1258"/>
      <c r="AK103" s="1258"/>
      <c r="AL103" s="1258"/>
      <c r="AM103" s="1258"/>
      <c r="AN103" s="1258"/>
      <c r="AO103" s="1258"/>
      <c r="AP103" s="1258"/>
      <c r="AQ103" s="1258"/>
      <c r="AR103" s="1258"/>
      <c r="AS103" s="1258"/>
      <c r="AT103" s="1258"/>
      <c r="AU103" s="1258"/>
      <c r="AV103" s="1258"/>
      <c r="AW103" s="1258"/>
      <c r="AX103" s="1258"/>
      <c r="AY103" s="1258"/>
      <c r="AZ103" s="1258"/>
      <c r="BA103" s="1258"/>
      <c r="BB103" s="1258"/>
      <c r="BC103" s="1258"/>
      <c r="BD103" s="943">
        <f>IF(AI103=0,0,(AT103-AI103)/AI103*100)</f>
        <v>0</v>
      </c>
      <c r="BE103" s="943">
        <f>IF(AT103=0,0,(AU103-AT103)/AT103*100)</f>
        <v>0</v>
      </c>
      <c r="BF103" s="943">
        <f>IF(AU103=0,0,(AV103-AU103)/AU103*100)</f>
        <v>0</v>
      </c>
      <c r="BG103" s="943">
        <f>IF(AV103=0,0,(AW103-AV103)/AV103*100)</f>
        <v>0</v>
      </c>
      <c r="BH103" s="943">
        <f>IF(AW103=0,0,(AX103-AW103)/AW103*100)</f>
        <v>0</v>
      </c>
      <c r="BI103" s="943">
        <f>IF(AX103=0,0,(AY103-AX103)/AX103*100)</f>
        <v>0</v>
      </c>
      <c r="BJ103" s="943">
        <f>IF(AY103=0,0,(AZ103-AY103)/AY103*100)</f>
        <v>0</v>
      </c>
      <c r="BK103" s="943">
        <f>IF(AZ103=0,0,(BA103-AZ103)/AZ103*100)</f>
        <v>0</v>
      </c>
      <c r="BL103" s="943">
        <f>IF(BA103=0,0,(BB103-BA103)/BA103*100)</f>
        <v>0</v>
      </c>
      <c r="BM103" s="943">
        <f>IF(BB103=0,0,(BC103-BB103)/BB103*100)</f>
        <v>0</v>
      </c>
      <c r="BN103" s="1256"/>
      <c r="BO103" s="1256"/>
      <c r="BP103" s="1256"/>
      <c r="BQ103" s="1278"/>
      <c r="BR103" s="1278"/>
      <c r="BS103" s="1064" t="s">
        <v>2803</v>
      </c>
      <c r="BT103" s="1064"/>
      <c r="BU103" s="1064"/>
      <c r="BV103" s="979"/>
      <c r="BW103" s="979"/>
    </row>
    <row customHeight="1" ht="14.625" hidden="1">
      <c r="A104" s="1278"/>
      <c r="B104" s="978"/>
      <c r="C104" s="1278"/>
      <c r="D104" s="1278"/>
      <c r="E104" s="703">
        <v>15</v>
      </c>
      <c r="F104" s="50" cm="1" t="str">
        <f t="array" ref="F104:F104">OFFSET(E104,-1,1)</f>
        <v>0</v>
      </c>
      <c r="G104" s="158" t="s">
        <v>1730</v>
      </c>
      <c r="H104" s="1278"/>
      <c r="I104" s="158" t="s">
        <v>1653</v>
      </c>
      <c r="J104" s="1278"/>
      <c r="K104" s="158" t="s">
        <v>1653</v>
      </c>
      <c r="L104" s="980" t="s">
        <v>1225</v>
      </c>
      <c r="M104" s="107"/>
      <c r="N104" s="1278"/>
      <c r="O104" s="1278"/>
      <c r="P104" s="1278"/>
      <c r="Q104" s="1278"/>
      <c r="R104" s="1278"/>
      <c r="S104" s="1278"/>
      <c r="T104" s="465" cm="1" t="str">
        <f t="array" ref="T104:T104">T103</f>
        <v>false</v>
      </c>
      <c r="U104" s="1278"/>
      <c r="V104" s="1278"/>
      <c r="W104" s="1278"/>
      <c r="X104" s="1563"/>
      <c r="Y104" s="1278"/>
      <c r="Z104" s="1546"/>
      <c r="AA104" s="1278"/>
      <c r="AB104" s="299" t="s">
        <v>1654</v>
      </c>
      <c r="AC104" s="762" t="s">
        <v>1730</v>
      </c>
      <c r="AD104" s="300" t="s">
        <v>1514</v>
      </c>
      <c r="AE104" s="259">
        <f>_xlfn.SUMIFS(Аренда!AE$25:AE$77,Аренда!$F$25:$F$77,$F104,Аренда!$G$25:$G$77,"Арендная и концессионная плата, лизинговые платежи")</f>
        <v>0</v>
      </c>
      <c r="AF104" s="259">
        <f>_xlfn.SUMIFS(Аренда!AF$25:AF$77,Аренда!$F$25:$F$77,$F104,Аренда!$G$25:$G$77,"Арендная и концессионная плата, лизинговые платежи")</f>
        <v>0</v>
      </c>
      <c r="AG104" s="259">
        <f>_xlfn.SUMIFS(Аренда!AG$25:AG$77,Аренда!$F$25:$F$77,$F104,Аренда!$G$25:$G$77,"Арендная и концессионная плата, лизинговые платежи")</f>
        <v>0</v>
      </c>
      <c r="AH104" s="943">
        <f>AG104-AF104</f>
        <v>0</v>
      </c>
      <c r="AI104" s="259">
        <f>_xlfn.SUMIFS(Аренда!AH$25:AH$77,Аренда!$F$25:$F$77,$F104,Аренда!$G$25:$G$77,"Арендная и концессионная плата, лизинговые платежи")</f>
        <v>0</v>
      </c>
      <c r="AJ104" s="259">
        <f>_xlfn.SUMIFS(Аренда!AI$25:AI$77,Аренда!$F$25:$F$77,$F104,Аренда!$G$25:$G$77,"Арендная и концессионная плата, лизинговые платежи")</f>
        <v>0</v>
      </c>
      <c r="AK104" s="259">
        <f>_xlfn.SUMIFS(Аренда!AJ$25:AJ$77,Аренда!$F$25:$F$77,$F104,Аренда!$G$25:$G$77,"Арендная и концессионная плата, лизинговые платежи")</f>
        <v>0</v>
      </c>
      <c r="AL104" s="259">
        <f>_xlfn.SUMIFS(Аренда!AK$25:AK$77,Аренда!$F$25:$F$77,$F104,Аренда!$G$25:$G$77,"Арендная и концессионная плата, лизинговые платежи")</f>
        <v>0</v>
      </c>
      <c r="AM104" s="259">
        <f>_xlfn.SUMIFS(Аренда!AL$25:AL$77,Аренда!$F$25:$F$77,$F104,Аренда!$G$25:$G$77,"Арендная и концессионная плата, лизинговые платежи")</f>
        <v>0</v>
      </c>
      <c r="AN104" s="259">
        <f>_xlfn.SUMIFS(Аренда!AM$25:AM$77,Аренда!$F$25:$F$77,$F104,Аренда!$G$25:$G$77,"Арендная и концессионная плата, лизинговые платежи")</f>
        <v>0</v>
      </c>
      <c r="AO104" s="259">
        <f>_xlfn.SUMIFS(Аренда!AN$25:AN$77,Аренда!$F$25:$F$77,$F104,Аренда!$G$25:$G$77,"Арендная и концессионная плата, лизинговые платежи")</f>
        <v>0</v>
      </c>
      <c r="AP104" s="259">
        <f>_xlfn.SUMIFS(Аренда!AO$25:AO$77,Аренда!$F$25:$F$77,$F104,Аренда!$G$25:$G$77,"Арендная и концессионная плата, лизинговые платежи")</f>
        <v>0</v>
      </c>
      <c r="AQ104" s="259">
        <f>_xlfn.SUMIFS(Аренда!AP$25:AP$77,Аренда!$F$25:$F$77,$F104,Аренда!$G$25:$G$77,"Арендная и концессионная плата, лизинговые платежи")</f>
        <v>0</v>
      </c>
      <c r="AR104" s="259">
        <f>_xlfn.SUMIFS(Аренда!AQ$25:AQ$77,Аренда!$F$25:$F$77,$F104,Аренда!$G$25:$G$77,"Арендная и концессионная плата, лизинговые платежи")</f>
        <v>0</v>
      </c>
      <c r="AS104" s="259">
        <f>_xlfn.SUMIFS(Аренда!AR$25:AR$77,Аренда!$F$25:$F$77,$F104,Аренда!$G$25:$G$77,"Арендная и концессионная плата, лизинговые платежи")</f>
        <v>0</v>
      </c>
      <c r="AT104" s="259">
        <f>_xlfn.SUMIFS(Аренда!AS$25:AS$77,Аренда!$F$25:$F$77,$F104,Аренда!$G$25:$G$77,"Арендная и концессионная плата, лизинговые платежи")</f>
        <v>0</v>
      </c>
      <c r="AU104" s="259">
        <f>_xlfn.SUMIFS(Аренда!AT$25:AT$77,Аренда!$F$25:$F$77,$F104,Аренда!$G$25:$G$77,"Арендная и концессионная плата, лизинговые платежи")</f>
        <v>0</v>
      </c>
      <c r="AV104" s="259">
        <f>_xlfn.SUMIFS(Аренда!AU$25:AU$77,Аренда!$F$25:$F$77,$F104,Аренда!$G$25:$G$77,"Арендная и концессионная плата, лизинговые платежи")</f>
        <v>0</v>
      </c>
      <c r="AW104" s="259">
        <f>_xlfn.SUMIFS(Аренда!AV$25:AV$77,Аренда!$F$25:$F$77,$F104,Аренда!$G$25:$G$77,"Арендная и концессионная плата, лизинговые платежи")</f>
        <v>0</v>
      </c>
      <c r="AX104" s="259">
        <f>_xlfn.SUMIFS(Аренда!AW$25:AW$77,Аренда!$F$25:$F$77,$F104,Аренда!$G$25:$G$77,"Арендная и концессионная плата, лизинговые платежи")</f>
        <v>0</v>
      </c>
      <c r="AY104" s="259">
        <f>_xlfn.SUMIFS(Аренда!AX$25:AX$77,Аренда!$F$25:$F$77,$F104,Аренда!$G$25:$G$77,"Арендная и концессионная плата, лизинговые платежи")</f>
        <v>0</v>
      </c>
      <c r="AZ104" s="259">
        <f>_xlfn.SUMIFS(Аренда!AY$25:AY$77,Аренда!$F$25:$F$77,$F104,Аренда!$G$25:$G$77,"Арендная и концессионная плата, лизинговые платежи")</f>
        <v>0</v>
      </c>
      <c r="BA104" s="259">
        <f>_xlfn.SUMIFS(Аренда!AZ$25:AZ$77,Аренда!$F$25:$F$77,$F104,Аренда!$G$25:$G$77,"Арендная и концессионная плата, лизинговые платежи")</f>
        <v>0</v>
      </c>
      <c r="BB104" s="259">
        <f>_xlfn.SUMIFS(Аренда!BA$25:BA$77,Аренда!$F$25:$F$77,$F104,Аренда!$G$25:$G$77,"Арендная и концессионная плата, лизинговые платежи")</f>
        <v>0</v>
      </c>
      <c r="BC104" s="259">
        <f>_xlfn.SUMIFS(Аренда!BB$25:BB$77,Аренда!$F$25:$F$77,$F104,Аренда!$G$25:$G$77,"Арендная и концессионная плата, лизинговые платежи")</f>
        <v>0</v>
      </c>
      <c r="BD104" s="943">
        <f>IF(AI104=0,0,(AT104-AI104)/AI104*100)</f>
        <v>0</v>
      </c>
      <c r="BE104" s="943">
        <f>IF(AT104=0,0,(AU104-AT104)/AT104*100)</f>
        <v>0</v>
      </c>
      <c r="BF104" s="943">
        <f>IF(AU104=0,0,(AV104-AU104)/AU104*100)</f>
        <v>0</v>
      </c>
      <c r="BG104" s="943">
        <f>IF(AV104=0,0,(AW104-AV104)/AV104*100)</f>
        <v>0</v>
      </c>
      <c r="BH104" s="943">
        <f>IF(AW104=0,0,(AX104-AW104)/AW104*100)</f>
        <v>0</v>
      </c>
      <c r="BI104" s="943">
        <f>IF(AX104=0,0,(AY104-AX104)/AX104*100)</f>
        <v>0</v>
      </c>
      <c r="BJ104" s="943">
        <f>IF(AY104=0,0,(AZ104-AY104)/AY104*100)</f>
        <v>0</v>
      </c>
      <c r="BK104" s="943">
        <f>IF(AZ104=0,0,(BA104-AZ104)/AZ104*100)</f>
        <v>0</v>
      </c>
      <c r="BL104" s="943">
        <f>IF(BA104=0,0,(BB104-BA104)/BA104*100)</f>
        <v>0</v>
      </c>
      <c r="BM104" s="943">
        <f>IF(BB104=0,0,(BC104-BB104)/BB104*100)</f>
        <v>0</v>
      </c>
      <c r="BN104" s="1256"/>
      <c r="BO104" s="1259" t="str">
        <f>IF(_xlfn.IFERROR(INDEX(Аренда!$K$26:$L$77,MATCH($F104&amp;"komm",Аренда!$K$26:$K$77,0),2),"")=0,"",_xlfn.IFERROR(INDEX(Аренда!$K$26:$L$77,MATCH($F104&amp;"komm",Аренда!$K$26:$K$77,0),2),""))</f>
        <v/>
      </c>
      <c r="BP104" s="1256"/>
      <c r="BQ104" s="1278"/>
      <c r="BR104" s="1278"/>
      <c r="BS104" s="1064" t="s">
        <v>2804</v>
      </c>
      <c r="BT104" s="1064"/>
      <c r="BU104" s="1064"/>
      <c r="BV104" s="979"/>
      <c r="BW104" s="979"/>
    </row>
    <row customHeight="1" ht="14.625" hidden="1">
      <c r="A105" s="1278"/>
      <c r="B105" s="432">
        <f>STATUS_GO="да"</f>
        <v>1</v>
      </c>
      <c r="C105" s="1278"/>
      <c r="D105" s="1278"/>
      <c r="E105" s="703">
        <v>15</v>
      </c>
      <c r="F105" s="50" cm="1" t="str">
        <f t="array" ref="F105:F105">OFFSET(E105,-1,1)</f>
        <v>0</v>
      </c>
      <c r="G105" s="1278"/>
      <c r="H105" s="1278"/>
      <c r="I105" s="158" t="s">
        <v>2805</v>
      </c>
      <c r="J105" s="1278"/>
      <c r="K105" s="158" t="s">
        <v>2805</v>
      </c>
      <c r="L105" s="980"/>
      <c r="M105" s="107"/>
      <c r="N105" s="1278"/>
      <c r="O105" s="1278"/>
      <c r="P105" s="1278"/>
      <c r="Q105" s="1278"/>
      <c r="R105" s="1278"/>
      <c r="S105" s="1278"/>
      <c r="T105" s="465" cm="1" t="str">
        <f t="array" ref="T105:T105">T104</f>
        <v>false</v>
      </c>
      <c r="U105" s="1278"/>
      <c r="V105" s="1278"/>
      <c r="W105" s="1278"/>
      <c r="X105" s="1563"/>
      <c r="Y105" s="1278"/>
      <c r="Z105" s="1546"/>
      <c r="AA105" s="1278"/>
      <c r="AB105" s="299" t="s">
        <v>2245</v>
      </c>
      <c r="AC105" s="762" t="s">
        <v>2806</v>
      </c>
      <c r="AD105" s="300" t="s">
        <v>1514</v>
      </c>
      <c r="AE105" s="1255"/>
      <c r="AF105" s="1255"/>
      <c r="AG105" s="1255"/>
      <c r="AH105" s="943">
        <f>AG105-AF105</f>
        <v>0</v>
      </c>
      <c r="AI105" s="1253"/>
      <c r="AJ105" s="1253"/>
      <c r="AK105" s="1253"/>
      <c r="AL105" s="1253"/>
      <c r="AM105" s="1253"/>
      <c r="AN105" s="1253"/>
      <c r="AO105" s="1253"/>
      <c r="AP105" s="1253"/>
      <c r="AQ105" s="1253"/>
      <c r="AR105" s="1253"/>
      <c r="AS105" s="1253"/>
      <c r="AT105" s="1253"/>
      <c r="AU105" s="1253"/>
      <c r="AV105" s="1253"/>
      <c r="AW105" s="1253"/>
      <c r="AX105" s="1253"/>
      <c r="AY105" s="1253"/>
      <c r="AZ105" s="1253"/>
      <c r="BA105" s="1253"/>
      <c r="BB105" s="1253"/>
      <c r="BC105" s="1253"/>
      <c r="BD105" s="943">
        <f>IF(AI105=0,0,(AT105-AI105)/AI105*100)</f>
        <v>0</v>
      </c>
      <c r="BE105" s="943">
        <f>IF(AT105=0,0,(AU105-AT105)/AT105*100)</f>
        <v>0</v>
      </c>
      <c r="BF105" s="943">
        <f>IF(AU105=0,0,(AV105-AU105)/AU105*100)</f>
        <v>0</v>
      </c>
      <c r="BG105" s="943">
        <f>IF(AV105=0,0,(AW105-AV105)/AV105*100)</f>
        <v>0</v>
      </c>
      <c r="BH105" s="943">
        <f>IF(AW105=0,0,(AX105-AW105)/AW105*100)</f>
        <v>0</v>
      </c>
      <c r="BI105" s="943">
        <f>IF(AX105=0,0,(AY105-AX105)/AX105*100)</f>
        <v>0</v>
      </c>
      <c r="BJ105" s="943">
        <f>IF(AY105=0,0,(AZ105-AY105)/AY105*100)</f>
        <v>0</v>
      </c>
      <c r="BK105" s="943">
        <f>IF(AZ105=0,0,(BA105-AZ105)/AZ105*100)</f>
        <v>0</v>
      </c>
      <c r="BL105" s="943">
        <f>IF(BA105=0,0,(BB105-BA105)/BA105*100)</f>
        <v>0</v>
      </c>
      <c r="BM105" s="943">
        <f>IF(BB105=0,0,(BC105-BB105)/BB105*100)</f>
        <v>0</v>
      </c>
      <c r="BN105" s="1256"/>
      <c r="BO105" s="1256"/>
      <c r="BP105" s="1256"/>
      <c r="BQ105" s="1278"/>
      <c r="BR105" s="1278"/>
      <c r="BS105" s="1064" t="s">
        <v>2807</v>
      </c>
      <c r="BT105" s="1064"/>
      <c r="BU105" s="1064"/>
      <c r="BV105" s="979"/>
      <c r="BW105" s="979"/>
    </row>
    <row customHeight="1" ht="14.625" hidden="1">
      <c r="A106" s="1278"/>
      <c r="B106" s="432">
        <f>STATUS_GO="да"</f>
        <v>1</v>
      </c>
      <c r="C106" s="1278"/>
      <c r="D106" s="1278"/>
      <c r="E106" s="703">
        <v>15</v>
      </c>
      <c r="F106" s="50" cm="1" t="str">
        <f t="array" ref="F106:F106">OFFSET(E106,-1,1)</f>
        <v>0</v>
      </c>
      <c r="G106" s="158" t="s">
        <v>2187</v>
      </c>
      <c r="H106" s="1278"/>
      <c r="I106" s="158" t="s">
        <v>2808</v>
      </c>
      <c r="J106" s="1278"/>
      <c r="K106" s="158" t="s">
        <v>2808</v>
      </c>
      <c r="L106" s="980"/>
      <c r="M106" s="107"/>
      <c r="N106" s="1278"/>
      <c r="O106" s="1278"/>
      <c r="P106" s="1278"/>
      <c r="Q106" s="1278"/>
      <c r="R106" s="1278"/>
      <c r="S106" s="1278"/>
      <c r="T106" s="465" cm="1" t="str">
        <f t="array" ref="T106:T106">T105</f>
        <v>false</v>
      </c>
      <c r="U106" s="1278"/>
      <c r="V106" s="1278"/>
      <c r="W106" s="1278"/>
      <c r="X106" s="1563"/>
      <c r="Y106" s="1278"/>
      <c r="Z106" s="1546"/>
      <c r="AA106" s="1278"/>
      <c r="AB106" s="299" t="s">
        <v>2809</v>
      </c>
      <c r="AC106" s="765" t="s">
        <v>2187</v>
      </c>
      <c r="AD106" s="300" t="s">
        <v>1514</v>
      </c>
      <c r="AE106" s="1255"/>
      <c r="AF106" s="1255"/>
      <c r="AG106" s="1255"/>
      <c r="AH106" s="943">
        <f>AG106-AF106</f>
        <v>0</v>
      </c>
      <c r="AI106" s="1253"/>
      <c r="AJ106" s="1253"/>
      <c r="AK106" s="1253"/>
      <c r="AL106" s="1253"/>
      <c r="AM106" s="1253"/>
      <c r="AN106" s="1253"/>
      <c r="AO106" s="1253"/>
      <c r="AP106" s="1253"/>
      <c r="AQ106" s="1253"/>
      <c r="AR106" s="1253"/>
      <c r="AS106" s="1253"/>
      <c r="AT106" s="1253"/>
      <c r="AU106" s="1253"/>
      <c r="AV106" s="1253"/>
      <c r="AW106" s="1253"/>
      <c r="AX106" s="1253"/>
      <c r="AY106" s="1253"/>
      <c r="AZ106" s="1253"/>
      <c r="BA106" s="1253"/>
      <c r="BB106" s="1253"/>
      <c r="BC106" s="1253"/>
      <c r="BD106" s="943">
        <f>IF(AI106=0,0,(AT106-AI106)/AI106*100)</f>
        <v>0</v>
      </c>
      <c r="BE106" s="943">
        <f>IF(AT106=0,0,(AU106-AT106)/AT106*100)</f>
        <v>0</v>
      </c>
      <c r="BF106" s="943">
        <f>IF(AU106=0,0,(AV106-AU106)/AU106*100)</f>
        <v>0</v>
      </c>
      <c r="BG106" s="943">
        <f>IF(AV106=0,0,(AW106-AV106)/AV106*100)</f>
        <v>0</v>
      </c>
      <c r="BH106" s="943">
        <f>IF(AW106=0,0,(AX106-AW106)/AW106*100)</f>
        <v>0</v>
      </c>
      <c r="BI106" s="943">
        <f>IF(AX106=0,0,(AY106-AX106)/AX106*100)</f>
        <v>0</v>
      </c>
      <c r="BJ106" s="943">
        <f>IF(AY106=0,0,(AZ106-AY106)/AY106*100)</f>
        <v>0</v>
      </c>
      <c r="BK106" s="943">
        <f>IF(AZ106=0,0,(BA106-AZ106)/AZ106*100)</f>
        <v>0</v>
      </c>
      <c r="BL106" s="943">
        <f>IF(BA106=0,0,(BB106-BA106)/BA106*100)</f>
        <v>0</v>
      </c>
      <c r="BM106" s="943">
        <f>IF(BB106=0,0,(BC106-BB106)/BB106*100)</f>
        <v>0</v>
      </c>
      <c r="BN106" s="1256"/>
      <c r="BO106" s="1259" t="str">
        <f>IF(_xlfn.IFERROR(INDEX('Сбытовые расходы ГО'!$K$26:$M$87,MATCH($F106&amp;"komm",'Сбытовые расходы ГО'!$K$26:$K$87,0),2),"")=0,"",_xlfn.IFERROR(INDEX('Сбытовые расходы ГО'!$K$26:$M$87,MATCH($F106&amp;"komm",'Сбытовые расходы ГО'!$K$26:$K$87,0),2),""))</f>
        <v/>
      </c>
      <c r="BP106" s="1256"/>
      <c r="BQ106" s="1278"/>
      <c r="BR106" s="1278"/>
      <c r="BS106" s="1064" t="s">
        <v>2810</v>
      </c>
      <c r="BT106" s="1064"/>
      <c r="BU106" s="1064"/>
      <c r="BV106" s="979"/>
      <c r="BW106" s="979"/>
    </row>
    <row customHeight="1" ht="14.625" hidden="1">
      <c r="A107" s="1278"/>
      <c r="B107" s="978"/>
      <c r="C107" s="1278"/>
      <c r="D107" s="1278"/>
      <c r="E107" s="703">
        <v>15</v>
      </c>
      <c r="F107" s="50" cm="1" t="str">
        <f t="array" ref="F107:F107">OFFSET(E107,-1,1)</f>
        <v>0</v>
      </c>
      <c r="G107" s="158" t="s">
        <v>2192</v>
      </c>
      <c r="H107" s="1278"/>
      <c r="I107" s="158" t="s">
        <v>2811</v>
      </c>
      <c r="J107" s="1278"/>
      <c r="K107" s="158" t="s">
        <v>2811</v>
      </c>
      <c r="L107" s="980"/>
      <c r="M107" s="107"/>
      <c r="N107" s="1278"/>
      <c r="O107" s="1278"/>
      <c r="P107" s="1278"/>
      <c r="Q107" s="1278"/>
      <c r="R107" s="1278"/>
      <c r="S107" s="1278"/>
      <c r="T107" s="465" cm="1" t="str">
        <f t="array" ref="T107:T107">T106</f>
        <v>false</v>
      </c>
      <c r="U107" s="1278"/>
      <c r="V107" s="1278"/>
      <c r="W107" s="1278"/>
      <c r="X107" s="1563"/>
      <c r="Y107" s="1278"/>
      <c r="Z107" s="1546"/>
      <c r="AA107" s="1278"/>
      <c r="AB107" s="299" t="s">
        <v>2250</v>
      </c>
      <c r="AC107" s="762" t="s">
        <v>2192</v>
      </c>
      <c r="AD107" s="300" t="s">
        <v>1514</v>
      </c>
      <c r="AE107" s="1255"/>
      <c r="AF107" s="1255"/>
      <c r="AG107" s="1255"/>
      <c r="AH107" s="943">
        <f>AG107-AF107</f>
        <v>0</v>
      </c>
      <c r="AI107" s="1253"/>
      <c r="AJ107" s="1253">
        <f>_xlfn.SUMIFS(Экономия_корр!AE$25:AE$67,Экономия_корр!$F$25:$F$67,$F107,Экономия_корр!$AC$25:$AC$67,"Экономия расходов с учетом ИПЦ")</f>
        <v>0</v>
      </c>
      <c r="AK107" s="1253">
        <f>_xlfn.SUMIFS(Экономия_корр!AF$25:AF$67,Экономия_корр!$F$25:$F$67,$F107,Экономия_корр!$AC$25:$AC$67,"Экономия расходов с учетом ИПЦ")</f>
        <v>0</v>
      </c>
      <c r="AL107" s="1253">
        <f>_xlfn.SUMIFS(Экономия_корр!AG$25:AG$67,Экономия_корр!$F$25:$F$67,$F107,Экономия_корр!$AC$25:$AC$67,"Экономия расходов с учетом ИПЦ")</f>
        <v>0</v>
      </c>
      <c r="AM107" s="1253">
        <f>_xlfn.SUMIFS(Экономия_корр!AH$25:AH$67,Экономия_корр!$F$25:$F$67,$F107,Экономия_корр!$AC$25:$AC$67,"Экономия расходов с учетом ИПЦ")</f>
        <v>0</v>
      </c>
      <c r="AN107" s="1253">
        <f>_xlfn.SUMIFS(Экономия_корр!AI$25:AI$67,Экономия_корр!$F$25:$F$67,$F107,Экономия_корр!$AC$25:$AC$67,"Экономия расходов с учетом ИПЦ")</f>
        <v>0</v>
      </c>
      <c r="AO107" s="1253">
        <f>_xlfn.SUMIFS(Экономия_корр!AJ$25:AJ$67,Экономия_корр!$F$25:$F$67,$F107,Экономия_корр!$AC$25:$AC$67,"Экономия расходов с учетом ИПЦ")</f>
        <v>0</v>
      </c>
      <c r="AP107" s="1253">
        <f>_xlfn.SUMIFS(Экономия_корр!AK$25:AK$67,Экономия_корр!$F$25:$F$67,$F107,Экономия_корр!$AC$25:$AC$67,"Экономия расходов с учетом ИПЦ")</f>
        <v>0</v>
      </c>
      <c r="AQ107" s="1253">
        <f>_xlfn.SUMIFS(Экономия_корр!AL$25:AL$67,Экономия_корр!$F$25:$F$67,$F107,Экономия_корр!$AC$25:$AC$67,"Экономия расходов с учетом ИПЦ")</f>
        <v>0</v>
      </c>
      <c r="AR107" s="1253">
        <f>_xlfn.SUMIFS(Экономия_корр!AM$25:AM$67,Экономия_корр!$F$25:$F$67,$F107,Экономия_корр!$AC$25:$AC$67,"Экономия расходов с учетом ИПЦ")</f>
        <v>0</v>
      </c>
      <c r="AS107" s="1253">
        <f>_xlfn.SUMIFS(Экономия_корр!AN$25:AN$67,Экономия_корр!$F$25:$F$67,$F107,Экономия_корр!$AC$25:$AC$67,"Экономия расходов с учетом ИПЦ")</f>
        <v>0</v>
      </c>
      <c r="AT107" s="1253">
        <f>_xlfn.SUMIFS(Экономия_корр!AO$25:AO$67,Экономия_корр!$F$25:$F$67,$F107,Экономия_корр!$AC$25:$AC$67,"Экономия расходов с учетом ИПЦ")</f>
        <v>0</v>
      </c>
      <c r="AU107" s="1253">
        <f>_xlfn.SUMIFS(Экономия_корр!AP$25:AP$67,Экономия_корр!$F$25:$F$67,$F107,Экономия_корр!$AC$25:$AC$67,"Экономия расходов с учетом ИПЦ")</f>
        <v>0</v>
      </c>
      <c r="AV107" s="1253">
        <f>_xlfn.SUMIFS(Экономия_корр!AQ$25:AQ$67,Экономия_корр!$F$25:$F$67,$F107,Экономия_корр!$AC$25:$AC$67,"Экономия расходов с учетом ИПЦ")</f>
        <v>0</v>
      </c>
      <c r="AW107" s="1253">
        <f>_xlfn.SUMIFS(Экономия_корр!AR$25:AR$67,Экономия_корр!$F$25:$F$67,$F107,Экономия_корр!$AC$25:$AC$67,"Экономия расходов с учетом ИПЦ")</f>
        <v>0</v>
      </c>
      <c r="AX107" s="1253">
        <f>_xlfn.SUMIFS(Экономия_корр!AS$25:AS$67,Экономия_корр!$F$25:$F$67,$F107,Экономия_корр!$AC$25:$AC$67,"Экономия расходов с учетом ИПЦ")</f>
        <v>0</v>
      </c>
      <c r="AY107" s="1253">
        <f>_xlfn.SUMIFS(Экономия_корр!AT$25:AT$67,Экономия_корр!$F$25:$F$67,$F107,Экономия_корр!$AC$25:$AC$67,"Экономия расходов с учетом ИПЦ")</f>
        <v>0</v>
      </c>
      <c r="AZ107" s="1253">
        <f>_xlfn.SUMIFS(Экономия_корр!AU$25:AU$67,Экономия_корр!$F$25:$F$67,$F107,Экономия_корр!$AC$25:$AC$67,"Экономия расходов с учетом ИПЦ")</f>
        <v>0</v>
      </c>
      <c r="BA107" s="1253">
        <f>_xlfn.SUMIFS(Экономия_корр!AV$25:AV$67,Экономия_корр!$F$25:$F$67,$F107,Экономия_корр!$AC$25:$AC$67,"Экономия расходов с учетом ИПЦ")</f>
        <v>0</v>
      </c>
      <c r="BB107" s="1253">
        <f>_xlfn.SUMIFS(Экономия_корр!AW$25:AW$67,Экономия_корр!$F$25:$F$67,$F107,Экономия_корр!$AC$25:$AC$67,"Экономия расходов с учетом ИПЦ")</f>
        <v>0</v>
      </c>
      <c r="BC107" s="1253">
        <f>_xlfn.SUMIFS(Экономия_корр!AX$25:AX$67,Экономия_корр!$F$25:$F$67,$F107,Экономия_корр!$AC$25:$AC$67,"Экономия расходов с учетом ИПЦ")</f>
        <v>0</v>
      </c>
      <c r="BD107" s="943">
        <f>IF(AI107=0,0,(AT107-AI107)/AI107*100)</f>
        <v>0</v>
      </c>
      <c r="BE107" s="943">
        <f>IF(AT107=0,0,(AU107-AT107)/AT107*100)</f>
        <v>0</v>
      </c>
      <c r="BF107" s="943">
        <f>IF(AU107=0,0,(AV107-AU107)/AU107*100)</f>
        <v>0</v>
      </c>
      <c r="BG107" s="943">
        <f>IF(AV107=0,0,(AW107-AV107)/AV107*100)</f>
        <v>0</v>
      </c>
      <c r="BH107" s="943">
        <f>IF(AW107=0,0,(AX107-AW107)/AW107*100)</f>
        <v>0</v>
      </c>
      <c r="BI107" s="943">
        <f>IF(AX107=0,0,(AY107-AX107)/AX107*100)</f>
        <v>0</v>
      </c>
      <c r="BJ107" s="943">
        <f>IF(AY107=0,0,(AZ107-AY107)/AY107*100)</f>
        <v>0</v>
      </c>
      <c r="BK107" s="943">
        <f>IF(AZ107=0,0,(BA107-AZ107)/AZ107*100)</f>
        <v>0</v>
      </c>
      <c r="BL107" s="943">
        <f>IF(BA107=0,0,(BB107-BA107)/BA107*100)</f>
        <v>0</v>
      </c>
      <c r="BM107" s="943">
        <f>IF(BB107=0,0,(BC107-BB107)/BB107*100)</f>
        <v>0</v>
      </c>
      <c r="BN107" s="1256"/>
      <c r="BO107" s="1256"/>
      <c r="BP107" s="1256"/>
      <c r="BQ107" s="1278"/>
      <c r="BR107" s="1278"/>
      <c r="BS107" s="1064" t="s">
        <v>2812</v>
      </c>
      <c r="BT107" s="1064"/>
      <c r="BU107" s="1064"/>
      <c r="BV107" s="979"/>
      <c r="BW107" s="979"/>
    </row>
    <row customHeight="1" ht="14.625" hidden="1">
      <c r="A108" s="1278"/>
      <c r="B108" s="978"/>
      <c r="C108" s="1278"/>
      <c r="D108" s="1278"/>
      <c r="E108" s="703">
        <v>15</v>
      </c>
      <c r="F108" s="50" cm="1" t="str">
        <f t="array" ref="F108:F108">OFFSET(E108,-1,1)</f>
        <v>0</v>
      </c>
      <c r="G108" s="158" t="s">
        <v>2197</v>
      </c>
      <c r="H108" s="1278"/>
      <c r="I108" s="158" t="s">
        <v>2813</v>
      </c>
      <c r="J108" s="1278"/>
      <c r="K108" s="158" t="s">
        <v>2813</v>
      </c>
      <c r="L108" s="980"/>
      <c r="M108" s="107"/>
      <c r="N108" s="1278"/>
      <c r="O108" s="1278"/>
      <c r="P108" s="1278"/>
      <c r="Q108" s="1278"/>
      <c r="R108" s="1278"/>
      <c r="S108" s="1278"/>
      <c r="T108" s="465" cm="1" t="str">
        <f t="array" ref="T108:T108">T107</f>
        <v>false</v>
      </c>
      <c r="U108" s="1278"/>
      <c r="V108" s="1278"/>
      <c r="W108" s="1278"/>
      <c r="X108" s="1563"/>
      <c r="Y108" s="1278"/>
      <c r="Z108" s="1546"/>
      <c r="AA108" s="1278"/>
      <c r="AB108" s="299" t="s">
        <v>2814</v>
      </c>
      <c r="AC108" s="762" t="s">
        <v>2197</v>
      </c>
      <c r="AD108" s="300" t="s">
        <v>1514</v>
      </c>
      <c r="AE108" s="1255"/>
      <c r="AF108" s="1255"/>
      <c r="AG108" s="1255"/>
      <c r="AH108" s="943">
        <f>AG108-AF108</f>
        <v>0</v>
      </c>
      <c r="AI108" s="1253"/>
      <c r="AJ108" s="1253"/>
      <c r="AK108" s="1253"/>
      <c r="AL108" s="1253"/>
      <c r="AM108" s="1253"/>
      <c r="AN108" s="1253"/>
      <c r="AO108" s="1253"/>
      <c r="AP108" s="1253"/>
      <c r="AQ108" s="1253"/>
      <c r="AR108" s="1253"/>
      <c r="AS108" s="1253"/>
      <c r="AT108" s="1253"/>
      <c r="AU108" s="1253"/>
      <c r="AV108" s="1253"/>
      <c r="AW108" s="1253"/>
      <c r="AX108" s="1253"/>
      <c r="AY108" s="1253"/>
      <c r="AZ108" s="1253"/>
      <c r="BA108" s="1253"/>
      <c r="BB108" s="1253"/>
      <c r="BC108" s="1253"/>
      <c r="BD108" s="943">
        <f>IF(AI108=0,0,(AT108-AI108)/AI108*100)</f>
        <v>0</v>
      </c>
      <c r="BE108" s="943">
        <f>IF(AT108=0,0,(AU108-AT108)/AT108*100)</f>
        <v>0</v>
      </c>
      <c r="BF108" s="943">
        <f>IF(AU108=0,0,(AV108-AU108)/AU108*100)</f>
        <v>0</v>
      </c>
      <c r="BG108" s="943">
        <f>IF(AV108=0,0,(AW108-AV108)/AV108*100)</f>
        <v>0</v>
      </c>
      <c r="BH108" s="943">
        <f>IF(AW108=0,0,(AX108-AW108)/AW108*100)</f>
        <v>0</v>
      </c>
      <c r="BI108" s="943">
        <f>IF(AX108=0,0,(AY108-AX108)/AX108*100)</f>
        <v>0</v>
      </c>
      <c r="BJ108" s="943">
        <f>IF(AY108=0,0,(AZ108-AY108)/AY108*100)</f>
        <v>0</v>
      </c>
      <c r="BK108" s="943">
        <f>IF(AZ108=0,0,(BA108-AZ108)/AZ108*100)</f>
        <v>0</v>
      </c>
      <c r="BL108" s="943">
        <f>IF(BA108=0,0,(BB108-BA108)/BA108*100)</f>
        <v>0</v>
      </c>
      <c r="BM108" s="943">
        <f>IF(BB108=0,0,(BC108-BB108)/BB108*100)</f>
        <v>0</v>
      </c>
      <c r="BN108" s="1256"/>
      <c r="BO108" s="1256"/>
      <c r="BP108" s="1256"/>
      <c r="BQ108" s="1278"/>
      <c r="BR108" s="1278"/>
      <c r="BS108" s="1064" t="s">
        <v>2551</v>
      </c>
      <c r="BT108" s="1064"/>
      <c r="BU108" s="1064"/>
      <c r="BV108" s="979"/>
      <c r="BW108" s="979"/>
    </row>
    <row customHeight="1" ht="14.625" hidden="1">
      <c r="A109" s="1278"/>
      <c r="B109" s="978"/>
      <c r="C109" s="1278"/>
      <c r="D109" s="1278"/>
      <c r="E109" s="703">
        <v>15</v>
      </c>
      <c r="F109" s="50" cm="1" t="str">
        <f t="array" ref="F109:F109">OFFSET(E109,-1,1)</f>
        <v>0</v>
      </c>
      <c r="G109" s="158" t="s">
        <v>2202</v>
      </c>
      <c r="H109" s="1278"/>
      <c r="I109" s="158" t="s">
        <v>2815</v>
      </c>
      <c r="J109" s="1278"/>
      <c r="K109" s="158" t="s">
        <v>2815</v>
      </c>
      <c r="L109" s="980"/>
      <c r="M109" s="107"/>
      <c r="N109" s="1278"/>
      <c r="O109" s="1278"/>
      <c r="P109" s="1278"/>
      <c r="Q109" s="1278"/>
      <c r="R109" s="1278"/>
      <c r="S109" s="1278"/>
      <c r="T109" s="465" cm="1" t="str">
        <f t="array" ref="T109:T109">T108</f>
        <v>false</v>
      </c>
      <c r="U109" s="1278"/>
      <c r="V109" s="1278"/>
      <c r="W109" s="1278"/>
      <c r="X109" s="1563"/>
      <c r="Y109" s="1278"/>
      <c r="Z109" s="1546"/>
      <c r="AA109" s="1278"/>
      <c r="AB109" s="299" t="s">
        <v>2269</v>
      </c>
      <c r="AC109" s="762" t="s">
        <v>2202</v>
      </c>
      <c r="AD109" s="300" t="s">
        <v>1514</v>
      </c>
      <c r="AE109" s="1255"/>
      <c r="AF109" s="1255"/>
      <c r="AG109" s="1255"/>
      <c r="AH109" s="943">
        <f>AG109-AF109</f>
        <v>0</v>
      </c>
      <c r="AI109" s="1253"/>
      <c r="AJ109" s="1253"/>
      <c r="AK109" s="1253"/>
      <c r="AL109" s="1253"/>
      <c r="AM109" s="1253"/>
      <c r="AN109" s="1253"/>
      <c r="AO109" s="1253"/>
      <c r="AP109" s="1253"/>
      <c r="AQ109" s="1253"/>
      <c r="AR109" s="1253"/>
      <c r="AS109" s="1253"/>
      <c r="AT109" s="1253"/>
      <c r="AU109" s="1253"/>
      <c r="AV109" s="1253"/>
      <c r="AW109" s="1253"/>
      <c r="AX109" s="1253"/>
      <c r="AY109" s="1253"/>
      <c r="AZ109" s="1253"/>
      <c r="BA109" s="1253"/>
      <c r="BB109" s="1253"/>
      <c r="BC109" s="1253"/>
      <c r="BD109" s="943">
        <f>IF(AI109=0,0,(AT109-AI109)/AI109*100)</f>
        <v>0</v>
      </c>
      <c r="BE109" s="943">
        <f>IF(AT109=0,0,(AU109-AT109)/AT109*100)</f>
        <v>0</v>
      </c>
      <c r="BF109" s="943">
        <f>IF(AU109=0,0,(AV109-AU109)/AU109*100)</f>
        <v>0</v>
      </c>
      <c r="BG109" s="943">
        <f>IF(AV109=0,0,(AW109-AV109)/AV109*100)</f>
        <v>0</v>
      </c>
      <c r="BH109" s="943">
        <f>IF(AW109=0,0,(AX109-AW109)/AW109*100)</f>
        <v>0</v>
      </c>
      <c r="BI109" s="943">
        <f>IF(AX109=0,0,(AY109-AX109)/AX109*100)</f>
        <v>0</v>
      </c>
      <c r="BJ109" s="943">
        <f>IF(AY109=0,0,(AZ109-AY109)/AY109*100)</f>
        <v>0</v>
      </c>
      <c r="BK109" s="943">
        <f>IF(AZ109=0,0,(BA109-AZ109)/AZ109*100)</f>
        <v>0</v>
      </c>
      <c r="BL109" s="943">
        <f>IF(BA109=0,0,(BB109-BA109)/BA109*100)</f>
        <v>0</v>
      </c>
      <c r="BM109" s="943">
        <f>IF(BB109=0,0,(BC109-BB109)/BB109*100)</f>
        <v>0</v>
      </c>
      <c r="BN109" s="1256"/>
      <c r="BO109" s="1256"/>
      <c r="BP109" s="1256"/>
      <c r="BQ109" s="1278"/>
      <c r="BR109" s="1278"/>
      <c r="BS109" s="1064" t="s">
        <v>2816</v>
      </c>
      <c r="BT109" s="1064"/>
      <c r="BU109" s="1064"/>
      <c r="BV109" s="979"/>
      <c r="BW109" s="979"/>
    </row>
    <row customHeight="1" ht="14.625" hidden="1">
      <c r="A110" s="1278"/>
      <c r="B110" s="978"/>
      <c r="C110" s="1278"/>
      <c r="D110" s="1278"/>
      <c r="E110" s="703">
        <v>15</v>
      </c>
      <c r="F110" s="50" cm="1" t="str">
        <f t="array" ref="F110:F110">OFFSET(E110,-1,1)</f>
        <v>0</v>
      </c>
      <c r="G110" s="158" t="s">
        <v>2207</v>
      </c>
      <c r="H110" s="1278"/>
      <c r="I110" s="158" t="s">
        <v>2817</v>
      </c>
      <c r="J110" s="1278"/>
      <c r="K110" s="158" t="s">
        <v>2817</v>
      </c>
      <c r="L110" s="980"/>
      <c r="M110" s="107"/>
      <c r="N110" s="1278"/>
      <c r="O110" s="1278"/>
      <c r="P110" s="1278"/>
      <c r="Q110" s="1278"/>
      <c r="R110" s="1278"/>
      <c r="S110" s="1278"/>
      <c r="T110" s="465" cm="1" t="str">
        <f t="array" ref="T110:T110">T109</f>
        <v>false</v>
      </c>
      <c r="U110" s="1278"/>
      <c r="V110" s="1278"/>
      <c r="W110" s="1278"/>
      <c r="X110" s="1563"/>
      <c r="Y110" s="1278"/>
      <c r="Z110" s="1546"/>
      <c r="AA110" s="1278"/>
      <c r="AB110" s="299" t="s">
        <v>2273</v>
      </c>
      <c r="AC110" s="762" t="s">
        <v>2207</v>
      </c>
      <c r="AD110" s="300" t="s">
        <v>1514</v>
      </c>
      <c r="AE110" s="353">
        <f>SUM(AE111,AE112)</f>
        <v>0</v>
      </c>
      <c r="AF110" s="259">
        <f>SUM(AF111,AF112)</f>
        <v>0</v>
      </c>
      <c r="AG110" s="259">
        <f>SUM(AG111,AG112)</f>
        <v>0</v>
      </c>
      <c r="AH110" s="943">
        <f>AG110-AF110</f>
        <v>0</v>
      </c>
      <c r="AI110" s="943">
        <f>SUM(AI111,AI112)</f>
        <v>0</v>
      </c>
      <c r="AJ110" s="944">
        <f>SUM(AJ111,AJ112)</f>
        <v>0</v>
      </c>
      <c r="AK110" s="943">
        <f>SUM(AK111,AK112)</f>
        <v>0</v>
      </c>
      <c r="AL110" s="943">
        <f>SUM(AL111,AL112)</f>
        <v>0</v>
      </c>
      <c r="AM110" s="943">
        <f>SUM(AM111,AM112)</f>
        <v>0</v>
      </c>
      <c r="AN110" s="943">
        <f>SUM(AN111,AN112)</f>
        <v>0</v>
      </c>
      <c r="AO110" s="943">
        <f>SUM(AO111,AO112)</f>
        <v>0</v>
      </c>
      <c r="AP110" s="943">
        <f>SUM(AP111,AP112)</f>
        <v>0</v>
      </c>
      <c r="AQ110" s="943">
        <f>SUM(AQ111,AQ112)</f>
        <v>0</v>
      </c>
      <c r="AR110" s="943">
        <f>SUM(AR111,AR112)</f>
        <v>0</v>
      </c>
      <c r="AS110" s="943">
        <f>SUM(AS111,AS112)</f>
        <v>0</v>
      </c>
      <c r="AT110" s="944">
        <f>SUM(AT111,AT112)</f>
        <v>0</v>
      </c>
      <c r="AU110" s="943">
        <f>SUM(AU111,AU112)</f>
        <v>0</v>
      </c>
      <c r="AV110" s="943">
        <f>SUM(AV111,AV112)</f>
        <v>0</v>
      </c>
      <c r="AW110" s="943">
        <f>SUM(AW111,AW112)</f>
        <v>0</v>
      </c>
      <c r="AX110" s="943">
        <f>SUM(AX111,AX112)</f>
        <v>0</v>
      </c>
      <c r="AY110" s="943">
        <f>SUM(AY111,AY112)</f>
        <v>0</v>
      </c>
      <c r="AZ110" s="943">
        <f>SUM(AZ111,AZ112)</f>
        <v>0</v>
      </c>
      <c r="BA110" s="943">
        <f>SUM(BA111,BA112)</f>
        <v>0</v>
      </c>
      <c r="BB110" s="943">
        <f>SUM(BB111,BB112)</f>
        <v>0</v>
      </c>
      <c r="BC110" s="943">
        <f>SUM(BC111,BC112)</f>
        <v>0</v>
      </c>
      <c r="BD110" s="943">
        <f>IF(AI110=0,0,(AT110-AI110)/AI110*100)</f>
        <v>0</v>
      </c>
      <c r="BE110" s="943">
        <f>IF(AT110=0,0,(AU110-AT110)/AT110*100)</f>
        <v>0</v>
      </c>
      <c r="BF110" s="943">
        <f>IF(AU110=0,0,(AV110-AU110)/AU110*100)</f>
        <v>0</v>
      </c>
      <c r="BG110" s="943">
        <f>IF(AV110=0,0,(AW110-AV110)/AV110*100)</f>
        <v>0</v>
      </c>
      <c r="BH110" s="943">
        <f>IF(AW110=0,0,(AX110-AW110)/AW110*100)</f>
        <v>0</v>
      </c>
      <c r="BI110" s="943">
        <f>IF(AX110=0,0,(AY110-AX110)/AX110*100)</f>
        <v>0</v>
      </c>
      <c r="BJ110" s="943">
        <f>IF(AY110=0,0,(AZ110-AY110)/AY110*100)</f>
        <v>0</v>
      </c>
      <c r="BK110" s="943">
        <f>IF(AZ110=0,0,(BA110-AZ110)/AZ110*100)</f>
        <v>0</v>
      </c>
      <c r="BL110" s="943">
        <f>IF(BA110=0,0,(BB110-BA110)/BA110*100)</f>
        <v>0</v>
      </c>
      <c r="BM110" s="943">
        <f>IF(BB110=0,0,(BC110-BB110)/BB110*100)</f>
        <v>0</v>
      </c>
      <c r="BN110" s="1256"/>
      <c r="BO110" s="1256"/>
      <c r="BP110" s="1256"/>
      <c r="BQ110" s="1278"/>
      <c r="BR110" s="1278"/>
      <c r="BS110" s="1064" t="s">
        <v>2818</v>
      </c>
      <c r="BT110" s="1064"/>
      <c r="BU110" s="1064"/>
      <c r="BV110" s="979"/>
      <c r="BW110" s="979"/>
    </row>
    <row customHeight="1" ht="14.625" hidden="1">
      <c r="A111" s="1278"/>
      <c r="B111" s="978"/>
      <c r="C111" s="1278"/>
      <c r="D111" s="1278"/>
      <c r="E111" s="703">
        <v>15</v>
      </c>
      <c r="F111" s="50" cm="1" t="str">
        <f t="array" ref="F111:F111">OFFSET(E111,-1,1)</f>
        <v>0</v>
      </c>
      <c r="G111" s="1278"/>
      <c r="H111" s="1278"/>
      <c r="I111" s="158" t="s">
        <v>2819</v>
      </c>
      <c r="J111" s="1278"/>
      <c r="K111" s="158" t="s">
        <v>2819</v>
      </c>
      <c r="L111" s="980"/>
      <c r="M111" s="107"/>
      <c r="N111" s="1278"/>
      <c r="O111" s="1278"/>
      <c r="P111" s="1278"/>
      <c r="Q111" s="1278"/>
      <c r="R111" s="1278"/>
      <c r="S111" s="1278"/>
      <c r="T111" s="465" cm="1" t="str">
        <f t="array" ref="T111:T111">T110</f>
        <v>false</v>
      </c>
      <c r="U111" s="1278"/>
      <c r="V111" s="1278"/>
      <c r="W111" s="1278"/>
      <c r="X111" s="1563"/>
      <c r="Y111" s="1278"/>
      <c r="Z111" s="1546"/>
      <c r="AA111" s="1278"/>
      <c r="AB111" s="299" t="s">
        <v>2820</v>
      </c>
      <c r="AC111" s="765" t="s">
        <v>2821</v>
      </c>
      <c r="AD111" s="300" t="s">
        <v>1514</v>
      </c>
      <c r="AE111" s="1255"/>
      <c r="AF111" s="1255"/>
      <c r="AG111" s="1255"/>
      <c r="AH111" s="943">
        <f>AG111-AF111</f>
        <v>0</v>
      </c>
      <c r="AI111" s="1253"/>
      <c r="AJ111" s="1253"/>
      <c r="AK111" s="1253"/>
      <c r="AL111" s="1253"/>
      <c r="AM111" s="1253"/>
      <c r="AN111" s="1253"/>
      <c r="AO111" s="1253"/>
      <c r="AP111" s="1253"/>
      <c r="AQ111" s="1253"/>
      <c r="AR111" s="1253"/>
      <c r="AS111" s="1253"/>
      <c r="AT111" s="1253"/>
      <c r="AU111" s="1253"/>
      <c r="AV111" s="1253"/>
      <c r="AW111" s="1253"/>
      <c r="AX111" s="1253"/>
      <c r="AY111" s="1253"/>
      <c r="AZ111" s="1253"/>
      <c r="BA111" s="1253"/>
      <c r="BB111" s="1253"/>
      <c r="BC111" s="1253"/>
      <c r="BD111" s="943">
        <f>IF(AI111=0,0,(AT111-AI111)/AI111*100)</f>
        <v>0</v>
      </c>
      <c r="BE111" s="943">
        <f>IF(AT111=0,0,(AU111-AT111)/AT111*100)</f>
        <v>0</v>
      </c>
      <c r="BF111" s="943">
        <f>IF(AU111=0,0,(AV111-AU111)/AU111*100)</f>
        <v>0</v>
      </c>
      <c r="BG111" s="943">
        <f>IF(AV111=0,0,(AW111-AV111)/AV111*100)</f>
        <v>0</v>
      </c>
      <c r="BH111" s="943">
        <f>IF(AW111=0,0,(AX111-AW111)/AW111*100)</f>
        <v>0</v>
      </c>
      <c r="BI111" s="943">
        <f>IF(AX111=0,0,(AY111-AX111)/AX111*100)</f>
        <v>0</v>
      </c>
      <c r="BJ111" s="943">
        <f>IF(AY111=0,0,(AZ111-AY111)/AY111*100)</f>
        <v>0</v>
      </c>
      <c r="BK111" s="943">
        <f>IF(AZ111=0,0,(BA111-AZ111)/AZ111*100)</f>
        <v>0</v>
      </c>
      <c r="BL111" s="943">
        <f>IF(BA111=0,0,(BB111-BA111)/BA111*100)</f>
        <v>0</v>
      </c>
      <c r="BM111" s="943">
        <f>IF(BB111=0,0,(BC111-BB111)/BB111*100)</f>
        <v>0</v>
      </c>
      <c r="BN111" s="1256"/>
      <c r="BO111" s="1256"/>
      <c r="BP111" s="1256"/>
      <c r="BQ111" s="1278"/>
      <c r="BR111" s="1278"/>
      <c r="BS111" s="1064" t="s">
        <v>1991</v>
      </c>
      <c r="BT111" s="1064"/>
      <c r="BU111" s="1064"/>
      <c r="BV111" s="979"/>
      <c r="BW111" s="979"/>
    </row>
    <row customHeight="1" ht="14.625" hidden="1">
      <c r="A112" s="1278"/>
      <c r="B112" s="978"/>
      <c r="C112" s="1278"/>
      <c r="D112" s="1278"/>
      <c r="E112" s="703">
        <v>15</v>
      </c>
      <c r="F112" s="50" cm="1" t="str">
        <f t="array" ref="F112:F112">OFFSET(E112,-1,1)</f>
        <v>0</v>
      </c>
      <c r="G112" s="1278"/>
      <c r="H112" s="1278"/>
      <c r="I112" s="158" t="s">
        <v>2822</v>
      </c>
      <c r="J112" s="1278"/>
      <c r="K112" s="158" t="s">
        <v>2822</v>
      </c>
      <c r="L112" s="980" t="s">
        <v>1640</v>
      </c>
      <c r="M112" s="107"/>
      <c r="N112" s="1278"/>
      <c r="O112" s="1278"/>
      <c r="P112" s="1278"/>
      <c r="Q112" s="1278"/>
      <c r="R112" s="1278"/>
      <c r="S112" s="1278"/>
      <c r="T112" s="465" cm="1" t="str">
        <f t="array" ref="T112:T112">T111</f>
        <v>false</v>
      </c>
      <c r="U112" s="1278"/>
      <c r="V112" s="1278"/>
      <c r="W112" s="1278"/>
      <c r="X112" s="1563"/>
      <c r="Y112" s="1278"/>
      <c r="Z112" s="1546"/>
      <c r="AA112" s="1278"/>
      <c r="AB112" s="299" t="s">
        <v>2823</v>
      </c>
      <c r="AC112" s="765" t="s">
        <v>2824</v>
      </c>
      <c r="AD112" s="300" t="s">
        <v>1514</v>
      </c>
      <c r="AE112" s="1255"/>
      <c r="AF112" s="1255"/>
      <c r="AG112" s="1255"/>
      <c r="AH112" s="943">
        <f>AG112-AF112</f>
        <v>0</v>
      </c>
      <c r="AI112" s="1253"/>
      <c r="AJ112" s="1253"/>
      <c r="AK112" s="1253"/>
      <c r="AL112" s="1253"/>
      <c r="AM112" s="1253"/>
      <c r="AN112" s="1253"/>
      <c r="AO112" s="1253"/>
      <c r="AP112" s="1253"/>
      <c r="AQ112" s="1253"/>
      <c r="AR112" s="1253"/>
      <c r="AS112" s="1253"/>
      <c r="AT112" s="1253"/>
      <c r="AU112" s="1253"/>
      <c r="AV112" s="1253"/>
      <c r="AW112" s="1253"/>
      <c r="AX112" s="1253"/>
      <c r="AY112" s="1253"/>
      <c r="AZ112" s="1253"/>
      <c r="BA112" s="1253"/>
      <c r="BB112" s="1253"/>
      <c r="BC112" s="1253"/>
      <c r="BD112" s="943">
        <f>IF(AI112=0,0,(AT112-AI112)/AI112*100)</f>
        <v>0</v>
      </c>
      <c r="BE112" s="943">
        <f>IF(AT112=0,0,(AU112-AT112)/AT112*100)</f>
        <v>0</v>
      </c>
      <c r="BF112" s="943">
        <f>IF(AU112=0,0,(AV112-AU112)/AU112*100)</f>
        <v>0</v>
      </c>
      <c r="BG112" s="943">
        <f>IF(AV112=0,0,(AW112-AV112)/AV112*100)</f>
        <v>0</v>
      </c>
      <c r="BH112" s="943">
        <f>IF(AW112=0,0,(AX112-AW112)/AW112*100)</f>
        <v>0</v>
      </c>
      <c r="BI112" s="943">
        <f>IF(AX112=0,0,(AY112-AX112)/AX112*100)</f>
        <v>0</v>
      </c>
      <c r="BJ112" s="943">
        <f>IF(AY112=0,0,(AZ112-AY112)/AY112*100)</f>
        <v>0</v>
      </c>
      <c r="BK112" s="943">
        <f>IF(AZ112=0,0,(BA112-AZ112)/AZ112*100)</f>
        <v>0</v>
      </c>
      <c r="BL112" s="943">
        <f>IF(BA112=0,0,(BB112-BA112)/BA112*100)</f>
        <v>0</v>
      </c>
      <c r="BM112" s="943">
        <f>IF(BB112=0,0,(BC112-BB112)/BB112*100)</f>
        <v>0</v>
      </c>
      <c r="BN112" s="1256"/>
      <c r="BO112" s="1256"/>
      <c r="BP112" s="1256"/>
      <c r="BQ112" s="1278"/>
      <c r="BR112" s="1278"/>
      <c r="BS112" s="1064" t="s">
        <v>2825</v>
      </c>
      <c r="BT112" s="1064"/>
      <c r="BU112" s="1064"/>
      <c r="BV112" s="979"/>
      <c r="BW112" s="979"/>
    </row>
    <row customHeight="1" ht="21.9375" hidden="1">
      <c r="A113" s="1278"/>
      <c r="B113" s="978"/>
      <c r="C113" s="1278"/>
      <c r="D113" s="1278"/>
      <c r="E113" s="703">
        <v>22.5</v>
      </c>
      <c r="F113" s="50" cm="1" t="str">
        <f t="array" ref="F113:F113">OFFSET(E113,-1,1)</f>
        <v>0</v>
      </c>
      <c r="G113" s="158" t="s">
        <v>2212</v>
      </c>
      <c r="H113" s="1278"/>
      <c r="I113" s="158" t="s">
        <v>2826</v>
      </c>
      <c r="J113" s="1278"/>
      <c r="K113" s="158" t="s">
        <v>2826</v>
      </c>
      <c r="L113" s="980"/>
      <c r="M113" s="107"/>
      <c r="N113" s="1278"/>
      <c r="O113" s="1278"/>
      <c r="P113" s="1278"/>
      <c r="Q113" s="1278"/>
      <c r="R113" s="1278"/>
      <c r="S113" s="1278"/>
      <c r="T113" s="465" cm="1" t="str">
        <f t="array" ref="T113:T113">T112</f>
        <v>false</v>
      </c>
      <c r="U113" s="1278"/>
      <c r="V113" s="1278"/>
      <c r="W113" s="1278"/>
      <c r="X113" s="1563"/>
      <c r="Y113" s="1278"/>
      <c r="Z113" s="1546"/>
      <c r="AA113" s="1278"/>
      <c r="AB113" s="299" t="s">
        <v>2276</v>
      </c>
      <c r="AC113" s="762" t="s">
        <v>2827</v>
      </c>
      <c r="AD113" s="300" t="s">
        <v>1514</v>
      </c>
      <c r="AE113" s="1255"/>
      <c r="AF113" s="1255"/>
      <c r="AG113" s="1255"/>
      <c r="AH113" s="943">
        <f>AG113-AF113</f>
        <v>0</v>
      </c>
      <c r="AI113" s="1253"/>
      <c r="AJ113" s="1253"/>
      <c r="AK113" s="1253"/>
      <c r="AL113" s="1253"/>
      <c r="AM113" s="1253"/>
      <c r="AN113" s="1253"/>
      <c r="AO113" s="1253"/>
      <c r="AP113" s="1253"/>
      <c r="AQ113" s="1253"/>
      <c r="AR113" s="1253"/>
      <c r="AS113" s="1253"/>
      <c r="AT113" s="1253"/>
      <c r="AU113" s="1253"/>
      <c r="AV113" s="1253"/>
      <c r="AW113" s="1253"/>
      <c r="AX113" s="1253"/>
      <c r="AY113" s="1253"/>
      <c r="AZ113" s="1253"/>
      <c r="BA113" s="1253"/>
      <c r="BB113" s="1253"/>
      <c r="BC113" s="1253"/>
      <c r="BD113" s="943">
        <f>IF(AI113=0,0,(AT113-AI113)/AI113*100)</f>
        <v>0</v>
      </c>
      <c r="BE113" s="943">
        <f>IF(AT113=0,0,(AU113-AT113)/AT113*100)</f>
        <v>0</v>
      </c>
      <c r="BF113" s="943">
        <f>IF(AU113=0,0,(AV113-AU113)/AU113*100)</f>
        <v>0</v>
      </c>
      <c r="BG113" s="943">
        <f>IF(AV113=0,0,(AW113-AV113)/AV113*100)</f>
        <v>0</v>
      </c>
      <c r="BH113" s="943">
        <f>IF(AW113=0,0,(AX113-AW113)/AW113*100)</f>
        <v>0</v>
      </c>
      <c r="BI113" s="943">
        <f>IF(AX113=0,0,(AY113-AX113)/AX113*100)</f>
        <v>0</v>
      </c>
      <c r="BJ113" s="943">
        <f>IF(AY113=0,0,(AZ113-AY113)/AY113*100)</f>
        <v>0</v>
      </c>
      <c r="BK113" s="943">
        <f>IF(AZ113=0,0,(BA113-AZ113)/AZ113*100)</f>
        <v>0</v>
      </c>
      <c r="BL113" s="943">
        <f>IF(BA113=0,0,(BB113-BA113)/BA113*100)</f>
        <v>0</v>
      </c>
      <c r="BM113" s="943">
        <f>IF(BB113=0,0,(BC113-BB113)/BB113*100)</f>
        <v>0</v>
      </c>
      <c r="BN113" s="1256"/>
      <c r="BO113" s="1256"/>
      <c r="BP113" s="1256"/>
      <c r="BQ113" s="1278"/>
      <c r="BR113" s="1278"/>
      <c r="BS113" s="1064" t="s">
        <v>2828</v>
      </c>
      <c r="BT113" s="1064"/>
      <c r="BU113" s="1064"/>
      <c r="BV113" s="979"/>
      <c r="BW113" s="979"/>
    </row>
    <row s="700" customFormat="1" customHeight="1" ht="20.475" hidden="1">
      <c r="A114" s="700"/>
      <c r="B114" s="435"/>
      <c r="C114" s="700"/>
      <c r="D114" s="700"/>
      <c r="E114" s="707">
        <v>21</v>
      </c>
      <c r="F114" s="50" cm="1" t="str">
        <f t="array" ref="F114:F114">OFFSET(E114,-1,1)</f>
        <v>0</v>
      </c>
      <c r="G114" s="158" t="s">
        <v>2829</v>
      </c>
      <c r="H114" s="158"/>
      <c r="I114" s="158" t="s">
        <v>334</v>
      </c>
      <c r="J114" s="700"/>
      <c r="K114" s="158" t="s">
        <v>334</v>
      </c>
      <c r="L114" s="985" t="s">
        <v>2068</v>
      </c>
      <c r="M114" s="109"/>
      <c r="N114" s="700"/>
      <c r="O114" s="700"/>
      <c r="P114" s="700"/>
      <c r="Q114" s="700"/>
      <c r="R114" s="700"/>
      <c r="S114" s="700"/>
      <c r="T114" s="465" cm="1" t="str">
        <f t="array" ref="T114:T114">T113</f>
        <v>false</v>
      </c>
      <c r="U114" s="700"/>
      <c r="V114" s="700"/>
      <c r="W114" s="700"/>
      <c r="X114" s="1563"/>
      <c r="Y114" s="700"/>
      <c r="Z114" s="1546"/>
      <c r="AA114" s="700"/>
      <c r="AB114" s="218" t="s">
        <v>289</v>
      </c>
      <c r="AC114" s="212" t="s">
        <v>2830</v>
      </c>
      <c r="AD114" s="211" t="s">
        <v>1514</v>
      </c>
      <c r="AE114" s="778">
        <f>_xlfn.SUMIFS(ЭЭ!AE$25:AE$189,ЭЭ!$F$25:$F$189,$F114,ЭЭ!$AC$25:$AC$189,"Всего по тарифу")</f>
        <v>0</v>
      </c>
      <c r="AF114" s="778">
        <f>_xlfn.SUMIFS(ЭЭ!AF$25:AF$189,ЭЭ!$F$25:$F$189,$F114,ЭЭ!$AC$25:$AC$189,"Всего по тарифу")</f>
        <v>0</v>
      </c>
      <c r="AG114" s="778">
        <f>_xlfn.SUMIFS(ЭЭ!AG$25:AG$189,ЭЭ!$F$25:$F$189,$F114,ЭЭ!$AC$25:$AC$189,"Всего по тарифу")</f>
        <v>0</v>
      </c>
      <c r="AH114" s="761">
        <f>AG114-AF114</f>
        <v>0</v>
      </c>
      <c r="AI114" s="761">
        <f>_xlfn.SUMIFS(ЭЭ!AH$25:AH$189,ЭЭ!$F$25:$F$189,$F114,ЭЭ!$AC$25:$AC$189,"Всего по тарифу")</f>
        <v>0</v>
      </c>
      <c r="AJ114" s="761">
        <f>_xlfn.SUMIFS(ЭЭ!AI$25:AI$189,ЭЭ!$F$25:$F$189,$F114,ЭЭ!$AC$25:$AC$189,"Всего по тарифу")</f>
        <v>0</v>
      </c>
      <c r="AK114" s="761">
        <f>_xlfn.SUMIFS(ЭЭ!AJ$25:AJ$189,ЭЭ!$F$25:$F$189,$F114,ЭЭ!$AC$25:$AC$189,"Всего по тарифу")</f>
        <v>0</v>
      </c>
      <c r="AL114" s="761">
        <f>_xlfn.SUMIFS(ЭЭ!AK$25:AK$189,ЭЭ!$F$25:$F$189,$F114,ЭЭ!$AC$25:$AC$189,"Всего по тарифу")</f>
        <v>0</v>
      </c>
      <c r="AM114" s="761">
        <f>_xlfn.SUMIFS(ЭЭ!AL$25:AL$189,ЭЭ!$F$25:$F$189,$F114,ЭЭ!$AC$25:$AC$189,"Всего по тарифу")</f>
        <v>0</v>
      </c>
      <c r="AN114" s="761">
        <f>_xlfn.SUMIFS(ЭЭ!AM$25:AM$189,ЭЭ!$F$25:$F$189,$F114,ЭЭ!$AC$25:$AC$189,"Всего по тарифу")</f>
        <v>0</v>
      </c>
      <c r="AO114" s="761">
        <f>_xlfn.SUMIFS(ЭЭ!AN$25:AN$189,ЭЭ!$F$25:$F$189,$F114,ЭЭ!$AC$25:$AC$189,"Всего по тарифу")</f>
        <v>0</v>
      </c>
      <c r="AP114" s="761">
        <f>_xlfn.SUMIFS(ЭЭ!AO$25:AO$189,ЭЭ!$F$25:$F$189,$F114,ЭЭ!$AC$25:$AC$189,"Всего по тарифу")</f>
        <v>0</v>
      </c>
      <c r="AQ114" s="761">
        <f>_xlfn.SUMIFS(ЭЭ!AP$25:AP$189,ЭЭ!$F$25:$F$189,$F114,ЭЭ!$AC$25:$AC$189,"Всего по тарифу")</f>
        <v>0</v>
      </c>
      <c r="AR114" s="761">
        <f>_xlfn.SUMIFS(ЭЭ!AQ$25:AQ$189,ЭЭ!$F$25:$F$189,$F114,ЭЭ!$AC$25:$AC$189,"Всего по тарифу")</f>
        <v>0</v>
      </c>
      <c r="AS114" s="761">
        <f>_xlfn.SUMIFS(ЭЭ!AR$25:AR$189,ЭЭ!$F$25:$F$189,$F114,ЭЭ!$AC$25:$AC$189,"Всего по тарифу")</f>
        <v>0</v>
      </c>
      <c r="AT114" s="761">
        <f>_xlfn.SUMIFS(ЭЭ!AS$25:AS$189,ЭЭ!$F$25:$F$189,$F114,ЭЭ!$AC$25:$AC$189,"Всего по тарифу")</f>
        <v>0</v>
      </c>
      <c r="AU114" s="761">
        <f>_xlfn.SUMIFS(ЭЭ!AT$25:AT$189,ЭЭ!$F$25:$F$189,$F114,ЭЭ!$AC$25:$AC$189,"Всего по тарифу")</f>
        <v>0</v>
      </c>
      <c r="AV114" s="761">
        <f>_xlfn.SUMIFS(ЭЭ!AU$25:AU$189,ЭЭ!$F$25:$F$189,$F114,ЭЭ!$AC$25:$AC$189,"Всего по тарифу")</f>
        <v>0</v>
      </c>
      <c r="AW114" s="761">
        <f>_xlfn.SUMIFS(ЭЭ!AV$25:AV$189,ЭЭ!$F$25:$F$189,$F114,ЭЭ!$AC$25:$AC$189,"Всего по тарифу")</f>
        <v>0</v>
      </c>
      <c r="AX114" s="761">
        <f>_xlfn.SUMIFS(ЭЭ!AW$25:AW$189,ЭЭ!$F$25:$F$189,$F114,ЭЭ!$AC$25:$AC$189,"Всего по тарифу")</f>
        <v>0</v>
      </c>
      <c r="AY114" s="761">
        <f>_xlfn.SUMIFS(ЭЭ!AX$25:AX$189,ЭЭ!$F$25:$F$189,$F114,ЭЭ!$AC$25:$AC$189,"Всего по тарифу")</f>
        <v>0</v>
      </c>
      <c r="AZ114" s="761">
        <f>_xlfn.SUMIFS(ЭЭ!AY$25:AY$189,ЭЭ!$F$25:$F$189,$F114,ЭЭ!$AC$25:$AC$189,"Всего по тарифу")</f>
        <v>0</v>
      </c>
      <c r="BA114" s="761">
        <f>_xlfn.SUMIFS(ЭЭ!AZ$25:AZ$189,ЭЭ!$F$25:$F$189,$F114,ЭЭ!$AC$25:$AC$189,"Всего по тарифу")</f>
        <v>0</v>
      </c>
      <c r="BB114" s="761">
        <f>_xlfn.SUMIFS(ЭЭ!BA$25:BA$189,ЭЭ!$F$25:$F$189,$F114,ЭЭ!$AC$25:$AC$189,"Всего по тарифу")</f>
        <v>0</v>
      </c>
      <c r="BC114" s="761">
        <f>_xlfn.SUMIFS(ЭЭ!BB$25:BB$189,ЭЭ!$F$25:$F$189,$F114,ЭЭ!$AC$25:$AC$189,"Всего по тарифу")</f>
        <v>0</v>
      </c>
      <c r="BD114" s="761">
        <f>IF(AI114=0,0,(AT114-AI114)/AI114*100)</f>
        <v>0</v>
      </c>
      <c r="BE114" s="761">
        <f>IF(AT114=0,0,(AU114-AT114)/AT114*100)</f>
        <v>0</v>
      </c>
      <c r="BF114" s="761">
        <f>IF(AU114=0,0,(AV114-AU114)/AU114*100)</f>
        <v>0</v>
      </c>
      <c r="BG114" s="761">
        <f>IF(AV114=0,0,(AW114-AV114)/AV114*100)</f>
        <v>0</v>
      </c>
      <c r="BH114" s="761">
        <f>IF(AW114=0,0,(AX114-AW114)/AW114*100)</f>
        <v>0</v>
      </c>
      <c r="BI114" s="761">
        <f>IF(AX114=0,0,(AY114-AX114)/AX114*100)</f>
        <v>0</v>
      </c>
      <c r="BJ114" s="761">
        <f>IF(AY114=0,0,(AZ114-AY114)/AY114*100)</f>
        <v>0</v>
      </c>
      <c r="BK114" s="761">
        <f>IF(AZ114=0,0,(BA114-AZ114)/AZ114*100)</f>
        <v>0</v>
      </c>
      <c r="BL114" s="761">
        <f>IF(BA114=0,0,(BB114-BA114)/BA114*100)</f>
        <v>0</v>
      </c>
      <c r="BM114" s="761">
        <f>IF(BB114=0,0,(BC114-BB114)/BB114*100)</f>
        <v>0</v>
      </c>
      <c r="BN114" s="1256"/>
      <c r="BO114" s="1259" t="str">
        <f>IF(_xlfn.IFERROR(INDEX(ЭЭ!$K$26:$L$189,MATCH($F114&amp;"komm",ЭЭ!$K$26:$K$189,0),2),"")=0,"",_xlfn.IFERROR(INDEX(ЭЭ!$K$26:$L$189,MATCH($F114&amp;"komm",ЭЭ!$K$26:$K$189,0),2),""))</f>
        <v/>
      </c>
      <c r="BP114" s="1256"/>
      <c r="BQ114" s="700"/>
      <c r="BR114" s="700"/>
      <c r="BS114" s="1070" t="s">
        <v>2446</v>
      </c>
      <c r="BT114" s="1070"/>
      <c r="BU114" s="1070"/>
      <c r="BV114" s="707"/>
      <c r="BW114" s="707"/>
    </row>
    <row s="700" customFormat="1" customHeight="1" ht="21.9375" hidden="1">
      <c r="A115" s="700"/>
      <c r="B115" s="162">
        <f>method_reg="Метод индексации"</f>
        <v>1</v>
      </c>
      <c r="C115" s="700"/>
      <c r="D115" s="700"/>
      <c r="E115" s="707">
        <v>22.5</v>
      </c>
      <c r="F115" s="50" cm="1" t="str">
        <f t="array" ref="F115:F115">OFFSET(E115,-1,1)</f>
        <v>0</v>
      </c>
      <c r="G115" s="158" t="s">
        <v>2234</v>
      </c>
      <c r="H115" s="158"/>
      <c r="I115" s="158" t="s">
        <v>336</v>
      </c>
      <c r="J115" s="700"/>
      <c r="K115" s="158" t="s">
        <v>336</v>
      </c>
      <c r="L115" s="985" t="s">
        <v>335</v>
      </c>
      <c r="M115" s="109"/>
      <c r="N115" s="700"/>
      <c r="O115" s="700"/>
      <c r="P115" s="700"/>
      <c r="Q115" s="700"/>
      <c r="R115" s="700"/>
      <c r="S115" s="700"/>
      <c r="T115" s="465" cm="1" t="str">
        <f t="array" ref="T115:T115">T114</f>
        <v>false</v>
      </c>
      <c r="U115" s="700"/>
      <c r="V115" s="700"/>
      <c r="W115" s="700"/>
      <c r="X115" s="1563"/>
      <c r="Y115" s="700"/>
      <c r="Z115" s="1546"/>
      <c r="AA115" s="700"/>
      <c r="AB115" s="218" t="s">
        <v>295</v>
      </c>
      <c r="AC115" s="212" t="s">
        <v>2831</v>
      </c>
      <c r="AD115" s="211" t="s">
        <v>1514</v>
      </c>
      <c r="AE115" s="778">
        <f>_xlfn.SUMIFS(Амортизация!AE$25:AE$272,Амортизация!$F$25:$F$272,$F115,Амортизация!$AC$25:$AC$272,"Сумма амортизационных отчислений")</f>
        <v>0</v>
      </c>
      <c r="AF115" s="778">
        <f>_xlfn.SUMIFS(Амортизация!AF$25:AF$272,Амортизация!$F$25:$F$272,$F115,Амортизация!$AC$25:$AC$272,"Сумма амортизационных отчислений")</f>
        <v>0</v>
      </c>
      <c r="AG115" s="778">
        <f>_xlfn.SUMIFS(Амортизация!AG$25:AG$272,Амортизация!$F$25:$F$272,$F115,Амортизация!$AC$25:$AC$272,"Сумма амортизационных отчислений")</f>
        <v>0</v>
      </c>
      <c r="AH115" s="761">
        <f>AG115-AF115</f>
        <v>0</v>
      </c>
      <c r="AI115" s="761">
        <f>_xlfn.SUMIFS(Амортизация!AH$25:AH$272,Амортизация!$F$25:$F$272,$F115,Амортизация!$AC$25:$AC$272,"Сумма амортизационных отчислений")</f>
        <v>0</v>
      </c>
      <c r="AJ115" s="761">
        <f>_xlfn.SUMIFS(Амортизация!AI$25:AI$272,Амортизация!$F$25:$F$272,$F115,Амортизация!$AC$25:$AC$272,"Сумма амортизационных отчислений")</f>
        <v>0</v>
      </c>
      <c r="AK115" s="761">
        <f>_xlfn.SUMIFS(Амортизация!AJ$25:AJ$272,Амортизация!$F$25:$F$272,$F115,Амортизация!$AC$25:$AC$272,"Сумма амортизационных отчислений")</f>
        <v>0</v>
      </c>
      <c r="AL115" s="761">
        <f>_xlfn.SUMIFS(Амортизация!AK$25:AK$272,Амортизация!$F$25:$F$272,$F115,Амортизация!$AC$25:$AC$272,"Сумма амортизационных отчислений")</f>
        <v>0</v>
      </c>
      <c r="AM115" s="761">
        <f>_xlfn.SUMIFS(Амортизация!AL$25:AL$272,Амортизация!$F$25:$F$272,$F115,Амортизация!$AC$25:$AC$272,"Сумма амортизационных отчислений")</f>
        <v>0</v>
      </c>
      <c r="AN115" s="761">
        <f>_xlfn.SUMIFS(Амортизация!AM$25:AM$272,Амортизация!$F$25:$F$272,$F115,Амортизация!$AC$25:$AC$272,"Сумма амортизационных отчислений")</f>
        <v>0</v>
      </c>
      <c r="AO115" s="761">
        <f>_xlfn.SUMIFS(Амортизация!AN$25:AN$272,Амортизация!$F$25:$F$272,$F115,Амортизация!$AC$25:$AC$272,"Сумма амортизационных отчислений")</f>
        <v>0</v>
      </c>
      <c r="AP115" s="761">
        <f>_xlfn.SUMIFS(Амортизация!AO$25:AO$272,Амортизация!$F$25:$F$272,$F115,Амортизация!$AC$25:$AC$272,"Сумма амортизационных отчислений")</f>
        <v>0</v>
      </c>
      <c r="AQ115" s="761">
        <f>_xlfn.SUMIFS(Амортизация!AP$25:AP$272,Амортизация!$F$25:$F$272,$F115,Амортизация!$AC$25:$AC$272,"Сумма амортизационных отчислений")</f>
        <v>0</v>
      </c>
      <c r="AR115" s="761">
        <f>_xlfn.SUMIFS(Амортизация!AQ$25:AQ$272,Амортизация!$F$25:$F$272,$F115,Амортизация!$AC$25:$AC$272,"Сумма амортизационных отчислений")</f>
        <v>0</v>
      </c>
      <c r="AS115" s="761">
        <f>_xlfn.SUMIFS(Амортизация!AR$25:AR$272,Амортизация!$F$25:$F$272,$F115,Амортизация!$AC$25:$AC$272,"Сумма амортизационных отчислений")</f>
        <v>0</v>
      </c>
      <c r="AT115" s="761">
        <f>_xlfn.SUMIFS(Амортизация!AS$25:AS$272,Амортизация!$F$25:$F$272,$F115,Амортизация!$AC$25:$AC$272,"Сумма амортизационных отчислений")</f>
        <v>0</v>
      </c>
      <c r="AU115" s="761">
        <f>_xlfn.SUMIFS(Амортизация!AT$25:AT$272,Амортизация!$F$25:$F$272,$F115,Амортизация!$AC$25:$AC$272,"Сумма амортизационных отчислений")</f>
        <v>0</v>
      </c>
      <c r="AV115" s="761">
        <f>_xlfn.SUMIFS(Амортизация!AU$25:AU$272,Амортизация!$F$25:$F$272,$F115,Амортизация!$AC$25:$AC$272,"Сумма амортизационных отчислений")</f>
        <v>0</v>
      </c>
      <c r="AW115" s="761">
        <f>_xlfn.SUMIFS(Амортизация!AV$25:AV$272,Амортизация!$F$25:$F$272,$F115,Амортизация!$AC$25:$AC$272,"Сумма амортизационных отчислений")</f>
        <v>0</v>
      </c>
      <c r="AX115" s="761">
        <f>_xlfn.SUMIFS(Амортизация!AW$25:AW$272,Амортизация!$F$25:$F$272,$F115,Амортизация!$AC$25:$AC$272,"Сумма амортизационных отчислений")</f>
        <v>0</v>
      </c>
      <c r="AY115" s="761">
        <f>_xlfn.SUMIFS(Амортизация!AX$25:AX$272,Амортизация!$F$25:$F$272,$F115,Амортизация!$AC$25:$AC$272,"Сумма амортизационных отчислений")</f>
        <v>0</v>
      </c>
      <c r="AZ115" s="761">
        <f>_xlfn.SUMIFS(Амортизация!AY$25:AY$272,Амортизация!$F$25:$F$272,$F115,Амортизация!$AC$25:$AC$272,"Сумма амортизационных отчислений")</f>
        <v>0</v>
      </c>
      <c r="BA115" s="761">
        <f>_xlfn.SUMIFS(Амортизация!AZ$25:AZ$272,Амортизация!$F$25:$F$272,$F115,Амортизация!$AC$25:$AC$272,"Сумма амортизационных отчислений")</f>
        <v>0</v>
      </c>
      <c r="BB115" s="761">
        <f>_xlfn.SUMIFS(Амортизация!BA$25:BA$272,Амортизация!$F$25:$F$272,$F115,Амортизация!$AC$25:$AC$272,"Сумма амортизационных отчислений")</f>
        <v>0</v>
      </c>
      <c r="BC115" s="761">
        <f>_xlfn.SUMIFS(Амортизация!BB$25:BB$272,Амортизация!$F$25:$F$272,$F115,Амортизация!$AC$25:$AC$272,"Сумма амортизационных отчислений")</f>
        <v>0</v>
      </c>
      <c r="BD115" s="761">
        <f>IF(AI115=0,0,(AT115-AI115)/AI115*100)</f>
        <v>0</v>
      </c>
      <c r="BE115" s="761">
        <f>IF(AT115=0,0,(AU115-AT115)/AT115*100)</f>
        <v>0</v>
      </c>
      <c r="BF115" s="761">
        <f>IF(AU115=0,0,(AV115-AU115)/AU115*100)</f>
        <v>0</v>
      </c>
      <c r="BG115" s="761">
        <f>IF(AV115=0,0,(AW115-AV115)/AV115*100)</f>
        <v>0</v>
      </c>
      <c r="BH115" s="761">
        <f>IF(AW115=0,0,(AX115-AW115)/AW115*100)</f>
        <v>0</v>
      </c>
      <c r="BI115" s="761">
        <f>IF(AX115=0,0,(AY115-AX115)/AX115*100)</f>
        <v>0</v>
      </c>
      <c r="BJ115" s="761">
        <f>IF(AY115=0,0,(AZ115-AY115)/AY115*100)</f>
        <v>0</v>
      </c>
      <c r="BK115" s="761">
        <f>IF(AZ115=0,0,(BA115-AZ115)/AZ115*100)</f>
        <v>0</v>
      </c>
      <c r="BL115" s="761">
        <f>IF(BA115=0,0,(BB115-BA115)/BA115*100)</f>
        <v>0</v>
      </c>
      <c r="BM115" s="761">
        <f>IF(BB115=0,0,(BC115-BB115)/BB115*100)</f>
        <v>0</v>
      </c>
      <c r="BN115" s="1256"/>
      <c r="BO115" s="1254" t="str">
        <f>IF(_xlfn.IFERROR(INDEX(Амортизация!$K$26:$L$272,MATCH($F115&amp;"komm",Амортизация!$K$26:$K$272,0),2),"")=0,"",_xlfn.IFERROR(INDEX(Амортизация!$K$26:$L$272,MATCH($F115&amp;"komm",Амортизация!$K$26:$K$272,0),2),""))</f>
        <v/>
      </c>
      <c r="BP115" s="1256"/>
      <c r="BQ115" s="700"/>
      <c r="BR115" s="700"/>
      <c r="BS115" s="1070" t="s">
        <v>1960</v>
      </c>
      <c r="BT115" s="1070"/>
      <c r="BU115" s="1070"/>
      <c r="BV115" s="707"/>
      <c r="BW115" s="707"/>
    </row>
    <row customHeight="1" ht="14.625" hidden="1">
      <c r="A116" s="1278"/>
      <c r="B116" s="432" cm="1" t="str">
        <f t="array" ref="B116:B116">B115</f>
        <v>true</v>
      </c>
      <c r="C116" s="1278"/>
      <c r="D116" s="1278"/>
      <c r="E116" s="703">
        <v>15</v>
      </c>
      <c r="F116" s="50" cm="1" t="str">
        <f t="array" ref="F116:F116">OFFSET(E116,-1,1)</f>
        <v>0</v>
      </c>
      <c r="G116" s="1278"/>
      <c r="H116" s="1278"/>
      <c r="I116" s="158" t="s">
        <v>1249</v>
      </c>
      <c r="J116" s="1278"/>
      <c r="K116" s="158" t="s">
        <v>1249</v>
      </c>
      <c r="L116" s="980" t="s">
        <v>1263</v>
      </c>
      <c r="M116" s="107"/>
      <c r="N116" s="1278"/>
      <c r="O116" s="1278"/>
      <c r="P116" s="1278"/>
      <c r="Q116" s="1278"/>
      <c r="R116" s="1278"/>
      <c r="S116" s="1278"/>
      <c r="T116" s="465" cm="1" t="str">
        <f t="array" ref="T116:T116">T115</f>
        <v>false</v>
      </c>
      <c r="U116" s="1278"/>
      <c r="V116" s="1278"/>
      <c r="W116" s="1278"/>
      <c r="X116" s="1563"/>
      <c r="Y116" s="1278"/>
      <c r="Z116" s="1546"/>
      <c r="AA116" s="1278"/>
      <c r="AB116" s="299" t="s">
        <v>1384</v>
      </c>
      <c r="AC116" s="762" t="s">
        <v>2538</v>
      </c>
      <c r="AD116" s="300" t="s">
        <v>1514</v>
      </c>
      <c r="AE116" s="1255">
        <f>_xlfn.SUMIFS('ИП + источники'!AF$27:AF$203,'ИП + источники'!$F$27:$F$203,$F116,'ИП + источники'!$AC$27:$AC$203,"Амортизационные отчисления")+_xlfn.SUMIFS('ИП + источники'!AF$27:AF$203,'ИП + источники'!$F$27:$F$203,$F116,'ИП + источники'!$AC$27:$AC$203,"погашение займов и кредитов из амортизации")</f>
        <v>0</v>
      </c>
      <c r="AF116" s="1255">
        <f>_xlfn.SUMIFS('ИП + источники'!AG$27:AG$203,'ИП + источники'!$F$27:$F$203,$F116,'ИП + источники'!$AC$27:$AC$203,"Амортизационные отчисления")+_xlfn.SUMIFS('ИП + источники'!AG$27:AG$203,'ИП + источники'!$F$27:$F$203,$F116,'ИП + источники'!$AC$27:$AC$203,"погашение займов и кредитов из амортизации")</f>
        <v>0</v>
      </c>
      <c r="AG116" s="1255">
        <f>_xlfn.SUMIFS('ИП + источники'!AH$27:AH$203,'ИП + источники'!$F$27:$F$203,$F116,'ИП + источники'!$AC$27:$AC$203,"Амортизационные отчисления")+_xlfn.SUMIFS('ИП + источники'!AH$27:AH$203,'ИП + источники'!$F$27:$F$203,$F116,'ИП + источники'!$AC$27:$AC$203,"погашение займов и кредитов из амортизации")</f>
        <v>0</v>
      </c>
      <c r="AH116" s="943">
        <f>AG116-AF116</f>
        <v>0</v>
      </c>
      <c r="AI116" s="1253">
        <f>_xlfn.SUMIFS('ИП + источники'!AJ$27:AJ$203,'ИП + источники'!$F$27:$F$203,$F116,'ИП + источники'!$AC$27:$AC$203,"Амортизационные отчисления")+_xlfn.SUMIFS('ИП + источники'!AJ$27:AJ$203,'ИП + источники'!$F$27:$F$203,$F116,'ИП + источники'!$AC$27:$AC$203,"погашение займов и кредитов из амортизации")</f>
        <v>0</v>
      </c>
      <c r="AJ116" s="1253">
        <f>_xlfn.SUMIFS('ИП + источники'!AK$27:AK$203,'ИП + источники'!$F$27:$F$203,$F116,'ИП + источники'!$AC$27:$AC$203,"Амортизационные отчисления")+_xlfn.SUMIFS('ИП + источники'!AK$27:AK$203,'ИП + источники'!$F$27:$F$203,$F116,'ИП + источники'!$AC$27:$AC$203,"погашение займов и кредитов из амортизации")</f>
        <v>0</v>
      </c>
      <c r="AK116" s="1253">
        <f>_xlfn.SUMIFS('ИП + источники'!AL$27:AL$203,'ИП + источники'!$F$27:$F$203,$F116,'ИП + источники'!$AC$27:$AC$203,"Амортизационные отчисления")+_xlfn.SUMIFS('ИП + источники'!AL$27:AL$203,'ИП + источники'!$F$27:$F$203,$F116,'ИП + источники'!$AC$27:$AC$203,"погашение займов и кредитов из амортизации")</f>
        <v>0</v>
      </c>
      <c r="AL116" s="1253">
        <f>_xlfn.SUMIFS('ИП + источники'!AM$27:AM$203,'ИП + источники'!$F$27:$F$203,$F116,'ИП + источники'!$AC$27:$AC$203,"Амортизационные отчисления")+_xlfn.SUMIFS('ИП + источники'!AM$27:AM$203,'ИП + источники'!$F$27:$F$203,$F116,'ИП + источники'!$AC$27:$AC$203,"погашение займов и кредитов из амортизации")</f>
        <v>0</v>
      </c>
      <c r="AM116" s="1253">
        <f>_xlfn.SUMIFS('ИП + источники'!AN$27:AN$203,'ИП + источники'!$F$27:$F$203,$F116,'ИП + источники'!$AC$27:$AC$203,"Амортизационные отчисления")+_xlfn.SUMIFS('ИП + источники'!AN$27:AN$203,'ИП + источники'!$F$27:$F$203,$F116,'ИП + источники'!$AC$27:$AC$203,"погашение займов и кредитов из амортизации")</f>
        <v>0</v>
      </c>
      <c r="AN116" s="1253">
        <f>_xlfn.SUMIFS('ИП + источники'!AO$27:AO$203,'ИП + источники'!$F$27:$F$203,$F116,'ИП + источники'!$AC$27:$AC$203,"Амортизационные отчисления")+_xlfn.SUMIFS('ИП + источники'!AO$27:AO$203,'ИП + источники'!$F$27:$F$203,$F116,'ИП + источники'!$AC$27:$AC$203,"погашение займов и кредитов из амортизации")</f>
        <v>0</v>
      </c>
      <c r="AO116" s="1253">
        <f>_xlfn.SUMIFS('ИП + источники'!AP$27:AP$203,'ИП + источники'!$F$27:$F$203,$F116,'ИП + источники'!$AC$27:$AC$203,"Амортизационные отчисления")+_xlfn.SUMIFS('ИП + источники'!AP$27:AP$203,'ИП + источники'!$F$27:$F$203,$F116,'ИП + источники'!$AC$27:$AC$203,"погашение займов и кредитов из амортизации")</f>
        <v>0</v>
      </c>
      <c r="AP116" s="1253">
        <f>_xlfn.SUMIFS('ИП + источники'!AQ$27:AQ$203,'ИП + источники'!$F$27:$F$203,$F116,'ИП + источники'!$AC$27:$AC$203,"Амортизационные отчисления")+_xlfn.SUMIFS('ИП + источники'!AQ$27:AQ$203,'ИП + источники'!$F$27:$F$203,$F116,'ИП + источники'!$AC$27:$AC$203,"погашение займов и кредитов из амортизации")</f>
        <v>0</v>
      </c>
      <c r="AQ116" s="1253">
        <f>_xlfn.SUMIFS('ИП + источники'!AR$27:AR$203,'ИП + источники'!$F$27:$F$203,$F116,'ИП + источники'!$AC$27:$AC$203,"Амортизационные отчисления")+_xlfn.SUMIFS('ИП + источники'!AR$27:AR$203,'ИП + источники'!$F$27:$F$203,$F116,'ИП + источники'!$AC$27:$AC$203,"погашение займов и кредитов из амортизации")</f>
        <v>0</v>
      </c>
      <c r="AR116" s="1253">
        <f>_xlfn.SUMIFS('ИП + источники'!AS$27:AS$203,'ИП + источники'!$F$27:$F$203,$F116,'ИП + источники'!$AC$27:$AC$203,"Амортизационные отчисления")+_xlfn.SUMIFS('ИП + источники'!AS$27:AS$203,'ИП + источники'!$F$27:$F$203,$F116,'ИП + источники'!$AC$27:$AC$203,"погашение займов и кредитов из амортизации")</f>
        <v>0</v>
      </c>
      <c r="AS116" s="1253">
        <f>_xlfn.SUMIFS('ИП + источники'!AT$27:AT$203,'ИП + источники'!$F$27:$F$203,$F116,'ИП + источники'!$AC$27:$AC$203,"Амортизационные отчисления")+_xlfn.SUMIFS('ИП + источники'!AT$27:AT$203,'ИП + источники'!$F$27:$F$203,$F116,'ИП + источники'!$AC$27:$AC$203,"погашение займов и кредитов из амортизации")</f>
        <v>0</v>
      </c>
      <c r="AT116" s="1253">
        <f>_xlfn.SUMIFS('ИП + источники'!AU$27:AU$203,'ИП + источники'!$F$27:$F$203,$F116,'ИП + источники'!$AC$27:$AC$203,"Амортизационные отчисления")+_xlfn.SUMIFS('ИП + источники'!AU$27:AU$203,'ИП + источники'!$F$27:$F$203,$F116,'ИП + источники'!$AC$27:$AC$203,"погашение займов и кредитов из амортизации")</f>
        <v>0</v>
      </c>
      <c r="AU116" s="1253">
        <f>_xlfn.SUMIFS('ИП + источники'!AV$27:AV$203,'ИП + источники'!$F$27:$F$203,$F116,'ИП + источники'!$AC$27:$AC$203,"Амортизационные отчисления")+_xlfn.SUMIFS('ИП + источники'!AV$27:AV$203,'ИП + источники'!$F$27:$F$203,$F116,'ИП + источники'!$AC$27:$AC$203,"погашение займов и кредитов из амортизации")</f>
        <v>0</v>
      </c>
      <c r="AV116" s="1253">
        <f>_xlfn.SUMIFS('ИП + источники'!AW$27:AW$203,'ИП + источники'!$F$27:$F$203,$F116,'ИП + источники'!$AC$27:$AC$203,"Амортизационные отчисления")+_xlfn.SUMIFS('ИП + источники'!AW$27:AW$203,'ИП + источники'!$F$27:$F$203,$F116,'ИП + источники'!$AC$27:$AC$203,"погашение займов и кредитов из амортизации")</f>
        <v>0</v>
      </c>
      <c r="AW116" s="1253">
        <f>_xlfn.SUMIFS('ИП + источники'!AX$27:AX$203,'ИП + источники'!$F$27:$F$203,$F116,'ИП + источники'!$AC$27:$AC$203,"Амортизационные отчисления")+_xlfn.SUMIFS('ИП + источники'!AX$27:AX$203,'ИП + источники'!$F$27:$F$203,$F116,'ИП + источники'!$AC$27:$AC$203,"погашение займов и кредитов из амортизации")</f>
        <v>0</v>
      </c>
      <c r="AX116" s="1253">
        <f>_xlfn.SUMIFS('ИП + источники'!AY$27:AY$203,'ИП + источники'!$F$27:$F$203,$F116,'ИП + источники'!$AC$27:$AC$203,"Амортизационные отчисления")+_xlfn.SUMIFS('ИП + источники'!AY$27:AY$203,'ИП + источники'!$F$27:$F$203,$F116,'ИП + источники'!$AC$27:$AC$203,"погашение займов и кредитов из амортизации")</f>
        <v>0</v>
      </c>
      <c r="AY116" s="1253">
        <f>_xlfn.SUMIFS('ИП + источники'!AZ$27:AZ$203,'ИП + источники'!$F$27:$F$203,$F116,'ИП + источники'!$AC$27:$AC$203,"Амортизационные отчисления")+_xlfn.SUMIFS('ИП + источники'!AZ$27:AZ$203,'ИП + источники'!$F$27:$F$203,$F116,'ИП + источники'!$AC$27:$AC$203,"погашение займов и кредитов из амортизации")</f>
        <v>0</v>
      </c>
      <c r="AZ116" s="1253">
        <f>_xlfn.SUMIFS('ИП + источники'!BA$27:BA$203,'ИП + источники'!$F$27:$F$203,$F116,'ИП + источники'!$AC$27:$AC$203,"Амортизационные отчисления")+_xlfn.SUMIFS('ИП + источники'!BA$27:BA$203,'ИП + источники'!$F$27:$F$203,$F116,'ИП + источники'!$AC$27:$AC$203,"погашение займов и кредитов из амортизации")</f>
        <v>0</v>
      </c>
      <c r="BA116" s="1253">
        <f>_xlfn.SUMIFS('ИП + источники'!BB$27:BB$203,'ИП + источники'!$F$27:$F$203,$F116,'ИП + источники'!$AC$27:$AC$203,"Амортизационные отчисления")+_xlfn.SUMIFS('ИП + источники'!BB$27:BB$203,'ИП + источники'!$F$27:$F$203,$F116,'ИП + источники'!$AC$27:$AC$203,"погашение займов и кредитов из амортизации")</f>
        <v>0</v>
      </c>
      <c r="BB116" s="1253">
        <f>_xlfn.SUMIFS('ИП + источники'!BC$27:BC$203,'ИП + источники'!$F$27:$F$203,$F116,'ИП + источники'!$AC$27:$AC$203,"Амортизационные отчисления")+_xlfn.SUMIFS('ИП + источники'!BC$27:BC$203,'ИП + источники'!$F$27:$F$203,$F116,'ИП + источники'!$AC$27:$AC$203,"погашение займов и кредитов из амортизации")</f>
        <v>0</v>
      </c>
      <c r="BC116" s="1253">
        <f>_xlfn.SUMIFS('ИП + источники'!BD$27:BD$203,'ИП + источники'!$F$27:$F$203,$F116,'ИП + источники'!$AC$27:$AC$203,"Амортизационные отчисления")+_xlfn.SUMIFS('ИП + источники'!BD$27:BD$203,'ИП + источники'!$F$27:$F$203,$F116,'ИП + источники'!$AC$27:$AC$203,"погашение займов и кредитов из амортизации")</f>
        <v>0</v>
      </c>
      <c r="BD116" s="943">
        <f>IF(AI116=0,0,(AT116-AI116)/AI116*100)</f>
        <v>0</v>
      </c>
      <c r="BE116" s="943">
        <f>IF(AT116=0,0,(AU116-AT116)/AT116*100)</f>
        <v>0</v>
      </c>
      <c r="BF116" s="943">
        <f>IF(AU116=0,0,(AV116-AU116)/AU116*100)</f>
        <v>0</v>
      </c>
      <c r="BG116" s="943">
        <f>IF(AV116=0,0,(AW116-AV116)/AV116*100)</f>
        <v>0</v>
      </c>
      <c r="BH116" s="943">
        <f>IF(AW116=0,0,(AX116-AW116)/AW116*100)</f>
        <v>0</v>
      </c>
      <c r="BI116" s="943">
        <f>IF(AX116=0,0,(AY116-AX116)/AX116*100)</f>
        <v>0</v>
      </c>
      <c r="BJ116" s="943">
        <f>IF(AY116=0,0,(AZ116-AY116)/AY116*100)</f>
        <v>0</v>
      </c>
      <c r="BK116" s="943">
        <f>IF(AZ116=0,0,(BA116-AZ116)/AZ116*100)</f>
        <v>0</v>
      </c>
      <c r="BL116" s="943">
        <f>IF(BA116=0,0,(BB116-BA116)/BA116*100)</f>
        <v>0</v>
      </c>
      <c r="BM116" s="943">
        <f>IF(BB116=0,0,(BC116-BB116)/BB116*100)</f>
        <v>0</v>
      </c>
      <c r="BN116" s="1256"/>
      <c r="BO116" s="1256"/>
      <c r="BP116" s="1256"/>
      <c r="BQ116" s="1278"/>
      <c r="BR116" s="1278"/>
      <c r="BS116" s="1064" t="s">
        <v>2539</v>
      </c>
      <c r="BT116" s="1064"/>
      <c r="BU116" s="1064"/>
      <c r="BV116" s="979"/>
      <c r="BW116" s="979"/>
    </row>
    <row s="700" customFormat="1" customHeight="1" ht="20.475" hidden="1">
      <c r="A117" s="700"/>
      <c r="B117" s="432" cm="1" t="str">
        <f t="array" ref="B117:B117">B116</f>
        <v>true</v>
      </c>
      <c r="C117" s="700"/>
      <c r="D117" s="700"/>
      <c r="E117" s="707">
        <v>21</v>
      </c>
      <c r="F117" s="50" cm="1" t="str">
        <f t="array" ref="F117:F117">OFFSET(E117,-1,1)</f>
        <v>0</v>
      </c>
      <c r="G117" s="158" t="s">
        <v>2238</v>
      </c>
      <c r="H117" s="158"/>
      <c r="I117" s="158" t="s">
        <v>335</v>
      </c>
      <c r="J117" s="700"/>
      <c r="K117" s="158" t="s">
        <v>335</v>
      </c>
      <c r="L117" s="985" t="s">
        <v>1275</v>
      </c>
      <c r="M117" s="109"/>
      <c r="N117" s="700"/>
      <c r="O117" s="700"/>
      <c r="P117" s="700"/>
      <c r="Q117" s="700"/>
      <c r="R117" s="700"/>
      <c r="S117" s="700"/>
      <c r="T117" s="465" cm="1" t="str">
        <f t="array" ref="T117:T117">T116</f>
        <v>false</v>
      </c>
      <c r="U117" s="700"/>
      <c r="V117" s="700"/>
      <c r="W117" s="700"/>
      <c r="X117" s="1563"/>
      <c r="Y117" s="700"/>
      <c r="Z117" s="1546"/>
      <c r="AA117" s="700"/>
      <c r="AB117" s="218" t="s">
        <v>443</v>
      </c>
      <c r="AC117" s="212" t="s">
        <v>2238</v>
      </c>
      <c r="AD117" s="234" t="s">
        <v>1514</v>
      </c>
      <c r="AE117" s="213">
        <f>AE118+AE119+AE120+AE121</f>
        <v>0</v>
      </c>
      <c r="AF117" s="213">
        <f>AF118+AF119+AF120+AF121</f>
        <v>0</v>
      </c>
      <c r="AG117" s="213">
        <f>AG118+AG119+AG120+AG121</f>
        <v>0</v>
      </c>
      <c r="AH117" s="770">
        <f>AG117-AF117</f>
        <v>0</v>
      </c>
      <c r="AI117" s="770">
        <f>AI118+AI119+AI120+AI121</f>
        <v>0</v>
      </c>
      <c r="AJ117" s="770">
        <f>AJ118+AJ119+AJ120+AJ121</f>
        <v>0</v>
      </c>
      <c r="AK117" s="770">
        <f>AK118+AK119+AK120+AK121</f>
        <v>0</v>
      </c>
      <c r="AL117" s="770">
        <f>AL118+AL119+AL120+AL121</f>
        <v>0</v>
      </c>
      <c r="AM117" s="770">
        <f>AM118+AM119+AM120+AM121</f>
        <v>0</v>
      </c>
      <c r="AN117" s="770">
        <f>AN118+AN119+AN120+AN121</f>
        <v>0</v>
      </c>
      <c r="AO117" s="770">
        <f>AO118+AO119+AO120+AO121</f>
        <v>0</v>
      </c>
      <c r="AP117" s="770">
        <f>AP118+AP119+AP120+AP121</f>
        <v>0</v>
      </c>
      <c r="AQ117" s="770">
        <f>AQ118+AQ119+AQ120+AQ121</f>
        <v>0</v>
      </c>
      <c r="AR117" s="770">
        <f>AR118+AR119+AR120+AR121</f>
        <v>0</v>
      </c>
      <c r="AS117" s="770">
        <f>AS118+AS119+AS120+AS121</f>
        <v>0</v>
      </c>
      <c r="AT117" s="770">
        <f>AT118+AT119+AT120+AT121</f>
        <v>0</v>
      </c>
      <c r="AU117" s="770">
        <f>AU118+AU119+AU120+AU121</f>
        <v>0</v>
      </c>
      <c r="AV117" s="770">
        <f>AV118+AV119+AV120+AV121</f>
        <v>0</v>
      </c>
      <c r="AW117" s="770">
        <f>AW118+AW119+AW120+AW121</f>
        <v>0</v>
      </c>
      <c r="AX117" s="770">
        <f>AX118+AX119+AX120+AX121</f>
        <v>0</v>
      </c>
      <c r="AY117" s="770">
        <f>AY118+AY119+AY120+AY121</f>
        <v>0</v>
      </c>
      <c r="AZ117" s="770">
        <f>AZ118+AZ119+AZ120+AZ121</f>
        <v>0</v>
      </c>
      <c r="BA117" s="770">
        <f>BA118+BA119+BA120+BA121</f>
        <v>0</v>
      </c>
      <c r="BB117" s="770">
        <f>BB118+BB119+BB120+BB121</f>
        <v>0</v>
      </c>
      <c r="BC117" s="770">
        <f>BC118+BC119+BC120+BC121</f>
        <v>0</v>
      </c>
      <c r="BD117" s="761">
        <f>IF(AI117=0,0,(AT117-AI117)/AI117*100)</f>
        <v>0</v>
      </c>
      <c r="BE117" s="761">
        <f>IF(AT117=0,0,(AU117-AT117)/AT117*100)</f>
        <v>0</v>
      </c>
      <c r="BF117" s="761">
        <f>IF(AU117=0,0,(AV117-AU117)/AU117*100)</f>
        <v>0</v>
      </c>
      <c r="BG117" s="761">
        <f>IF(AV117=0,0,(AW117-AV117)/AV117*100)</f>
        <v>0</v>
      </c>
      <c r="BH117" s="761">
        <f>IF(AW117=0,0,(AX117-AW117)/AW117*100)</f>
        <v>0</v>
      </c>
      <c r="BI117" s="761">
        <f>IF(AX117=0,0,(AY117-AX117)/AX117*100)</f>
        <v>0</v>
      </c>
      <c r="BJ117" s="761">
        <f>IF(AY117=0,0,(AZ117-AY117)/AY117*100)</f>
        <v>0</v>
      </c>
      <c r="BK117" s="761">
        <f>IF(AZ117=0,0,(BA117-AZ117)/AZ117*100)</f>
        <v>0</v>
      </c>
      <c r="BL117" s="761">
        <f>IF(BA117=0,0,(BB117-BA117)/BA117*100)</f>
        <v>0</v>
      </c>
      <c r="BM117" s="761">
        <f>IF(BB117=0,0,(BC117-BB117)/BB117*100)</f>
        <v>0</v>
      </c>
      <c r="BN117" s="1256"/>
      <c r="BO117" s="1256"/>
      <c r="BP117" s="1256"/>
      <c r="BQ117" s="700"/>
      <c r="BR117" s="700"/>
      <c r="BS117" s="1063" t="s">
        <v>2242</v>
      </c>
      <c r="BT117" s="1070"/>
      <c r="BU117" s="1070"/>
      <c r="BV117" s="707"/>
      <c r="BW117" s="707"/>
    </row>
    <row customHeight="1" ht="14.625" hidden="1">
      <c r="A118" s="1278"/>
      <c r="B118" s="432" cm="1" t="str">
        <f t="array" ref="B118:B118">B117</f>
        <v>true</v>
      </c>
      <c r="C118" s="1278"/>
      <c r="D118" s="1278"/>
      <c r="E118" s="703">
        <v>15</v>
      </c>
      <c r="F118" s="50" cm="1" t="str">
        <f t="array" ref="F118:F118">OFFSET(E118,-1,1)</f>
        <v>0</v>
      </c>
      <c r="G118" s="1278"/>
      <c r="H118" s="1278"/>
      <c r="I118" s="158" t="s">
        <v>1263</v>
      </c>
      <c r="J118" s="1278"/>
      <c r="K118" s="158" t="s">
        <v>1263</v>
      </c>
      <c r="L118" s="980"/>
      <c r="M118" s="107"/>
      <c r="N118" s="1278"/>
      <c r="O118" s="1278"/>
      <c r="P118" s="1278"/>
      <c r="Q118" s="1278"/>
      <c r="R118" s="1278"/>
      <c r="S118" s="1278"/>
      <c r="T118" s="465" cm="1" t="str">
        <f t="array" ref="T118:T118">T117</f>
        <v>false</v>
      </c>
      <c r="U118" s="1278"/>
      <c r="V118" s="1278"/>
      <c r="W118" s="1278"/>
      <c r="X118" s="1563"/>
      <c r="Y118" s="1278"/>
      <c r="Z118" s="1546"/>
      <c r="AA118" s="1278"/>
      <c r="AB118" s="299" t="s">
        <v>1391</v>
      </c>
      <c r="AC118" s="762" t="s">
        <v>2832</v>
      </c>
      <c r="AD118" s="300" t="s">
        <v>1514</v>
      </c>
      <c r="AE118" s="1255">
        <f>_xlfn.SUMIFS('ИП + источники'!AF$27:AF$203,'ИП + источники'!$F$27:$F$203,$F118,'ИП + источники'!$AC$27:$AC$203,"погашение займов и кредитов из нормативной прибыли")</f>
        <v>0</v>
      </c>
      <c r="AF118" s="1255">
        <f>_xlfn.SUMIFS('ИП + источники'!AG$27:AG$203,'ИП + источники'!$F$27:$F$203,$F118,'ИП + источники'!$AC$27:$AC$203,"погашение займов и кредитов из нормативной прибыли")</f>
        <v>0</v>
      </c>
      <c r="AG118" s="1255">
        <f>_xlfn.SUMIFS('ИП + источники'!AH$27:AH$203,'ИП + источники'!$F$27:$F$203,$F118,'ИП + источники'!$AC$27:$AC$203,"погашение займов и кредитов из нормативной прибыли")</f>
        <v>0</v>
      </c>
      <c r="AH118" s="943">
        <f>AG118-AF118</f>
        <v>0</v>
      </c>
      <c r="AI118" s="1253">
        <f>_xlfn.SUMIFS('ИП + источники'!AJ$27:AJ$203,'ИП + источники'!$F$27:$F$203,$F118,'ИП + источники'!$AC$27:$AC$203,"погашение займов и кредитов из нормативной прибыли")</f>
        <v>0</v>
      </c>
      <c r="AJ118" s="1253">
        <f>_xlfn.SUMIFS('ИП + источники'!AK$27:AK$203,'ИП + источники'!$F$27:$F$203,$F118,'ИП + источники'!$AC$27:$AC$203,"погашение займов и кредитов из нормативной прибыли")</f>
        <v>0</v>
      </c>
      <c r="AK118" s="1253">
        <f>_xlfn.SUMIFS('ИП + источники'!AL$27:AL$203,'ИП + источники'!$F$27:$F$203,$F118,'ИП + источники'!$AC$27:$AC$203,"погашение займов и кредитов из нормативной прибыли")</f>
        <v>0</v>
      </c>
      <c r="AL118" s="1253">
        <f>_xlfn.SUMIFS('ИП + источники'!AM$27:AM$203,'ИП + источники'!$F$27:$F$203,$F118,'ИП + источники'!$AC$27:$AC$203,"погашение займов и кредитов из нормативной прибыли")</f>
        <v>0</v>
      </c>
      <c r="AM118" s="1253">
        <f>_xlfn.SUMIFS('ИП + источники'!AN$27:AN$203,'ИП + источники'!$F$27:$F$203,$F118,'ИП + источники'!$AC$27:$AC$203,"погашение займов и кредитов из нормативной прибыли")</f>
        <v>0</v>
      </c>
      <c r="AN118" s="1253">
        <f>_xlfn.SUMIFS('ИП + источники'!AO$27:AO$203,'ИП + источники'!$F$27:$F$203,$F118,'ИП + источники'!$AC$27:$AC$203,"погашение займов и кредитов из нормативной прибыли")</f>
        <v>0</v>
      </c>
      <c r="AO118" s="1253">
        <f>_xlfn.SUMIFS('ИП + источники'!AP$27:AP$203,'ИП + источники'!$F$27:$F$203,$F118,'ИП + источники'!$AC$27:$AC$203,"погашение займов и кредитов из нормативной прибыли")</f>
        <v>0</v>
      </c>
      <c r="AP118" s="1253">
        <f>_xlfn.SUMIFS('ИП + источники'!AQ$27:AQ$203,'ИП + источники'!$F$27:$F$203,$F118,'ИП + источники'!$AC$27:$AC$203,"погашение займов и кредитов из нормативной прибыли")</f>
        <v>0</v>
      </c>
      <c r="AQ118" s="1253">
        <f>_xlfn.SUMIFS('ИП + источники'!AR$27:AR$203,'ИП + источники'!$F$27:$F$203,$F118,'ИП + источники'!$AC$27:$AC$203,"погашение займов и кредитов из нормативной прибыли")</f>
        <v>0</v>
      </c>
      <c r="AR118" s="1253">
        <f>_xlfn.SUMIFS('ИП + источники'!AS$27:AS$203,'ИП + источники'!$F$27:$F$203,$F118,'ИП + источники'!$AC$27:$AC$203,"погашение займов и кредитов из нормативной прибыли")</f>
        <v>0</v>
      </c>
      <c r="AS118" s="1253">
        <f>_xlfn.SUMIFS('ИП + источники'!AT$27:AT$203,'ИП + источники'!$F$27:$F$203,$F118,'ИП + источники'!$AC$27:$AC$203,"погашение займов и кредитов из нормативной прибыли")</f>
        <v>0</v>
      </c>
      <c r="AT118" s="1253">
        <f>_xlfn.SUMIFS('ИП + источники'!AU$27:AU$203,'ИП + источники'!$F$27:$F$203,$F118,'ИП + источники'!$AC$27:$AC$203,"погашение займов и кредитов из нормативной прибыли")</f>
        <v>0</v>
      </c>
      <c r="AU118" s="1253">
        <f>_xlfn.SUMIFS('ИП + источники'!AV$27:AV$203,'ИП + источники'!$F$27:$F$203,$F118,'ИП + источники'!$AC$27:$AC$203,"погашение займов и кредитов из нормативной прибыли")</f>
        <v>0</v>
      </c>
      <c r="AV118" s="1253">
        <f>_xlfn.SUMIFS('ИП + источники'!AW$27:AW$203,'ИП + источники'!$F$27:$F$203,$F118,'ИП + источники'!$AC$27:$AC$203,"погашение займов и кредитов из нормативной прибыли")</f>
        <v>0</v>
      </c>
      <c r="AW118" s="1253">
        <f>_xlfn.SUMIFS('ИП + источники'!AX$27:AX$203,'ИП + источники'!$F$27:$F$203,$F118,'ИП + источники'!$AC$27:$AC$203,"погашение займов и кредитов из нормативной прибыли")</f>
        <v>0</v>
      </c>
      <c r="AX118" s="1253">
        <f>_xlfn.SUMIFS('ИП + источники'!AY$27:AY$203,'ИП + источники'!$F$27:$F$203,$F118,'ИП + источники'!$AC$27:$AC$203,"погашение займов и кредитов из нормативной прибыли")</f>
        <v>0</v>
      </c>
      <c r="AY118" s="1253">
        <f>_xlfn.SUMIFS('ИП + источники'!AZ$27:AZ$203,'ИП + источники'!$F$27:$F$203,$F118,'ИП + источники'!$AC$27:$AC$203,"погашение займов и кредитов из нормативной прибыли")</f>
        <v>0</v>
      </c>
      <c r="AZ118" s="1253">
        <f>_xlfn.SUMIFS('ИП + источники'!BA$27:BA$203,'ИП + источники'!$F$27:$F$203,$F118,'ИП + источники'!$AC$27:$AC$203,"погашение займов и кредитов из нормативной прибыли")</f>
        <v>0</v>
      </c>
      <c r="BA118" s="1253">
        <f>_xlfn.SUMIFS('ИП + источники'!BB$27:BB$203,'ИП + источники'!$F$27:$F$203,$F118,'ИП + источники'!$AC$27:$AC$203,"погашение займов и кредитов из нормативной прибыли")</f>
        <v>0</v>
      </c>
      <c r="BB118" s="1253">
        <f>_xlfn.SUMIFS('ИП + источники'!BC$27:BC$203,'ИП + источники'!$F$27:$F$203,$F118,'ИП + источники'!$AC$27:$AC$203,"погашение займов и кредитов из нормативной прибыли")</f>
        <v>0</v>
      </c>
      <c r="BC118" s="1253">
        <f>_xlfn.SUMIFS('ИП + источники'!BD$27:BD$203,'ИП + источники'!$F$27:$F$203,$F118,'ИП + источники'!$AC$27:$AC$203,"погашение займов и кредитов из нормативной прибыли")</f>
        <v>0</v>
      </c>
      <c r="BD118" s="943">
        <f>IF(AI118=0,0,(AT118-AI118)/AI118*100)</f>
        <v>0</v>
      </c>
      <c r="BE118" s="943">
        <f>IF(AT118=0,0,(AU118-AT118)/AT118*100)</f>
        <v>0</v>
      </c>
      <c r="BF118" s="943">
        <f>IF(AU118=0,0,(AV118-AU118)/AU118*100)</f>
        <v>0</v>
      </c>
      <c r="BG118" s="943">
        <f>IF(AV118=0,0,(AW118-AV118)/AV118*100)</f>
        <v>0</v>
      </c>
      <c r="BH118" s="943">
        <f>IF(AW118=0,0,(AX118-AW118)/AW118*100)</f>
        <v>0</v>
      </c>
      <c r="BI118" s="943">
        <f>IF(AX118=0,0,(AY118-AX118)/AX118*100)</f>
        <v>0</v>
      </c>
      <c r="BJ118" s="943">
        <f>IF(AY118=0,0,(AZ118-AY118)/AY118*100)</f>
        <v>0</v>
      </c>
      <c r="BK118" s="943">
        <f>IF(AZ118=0,0,(BA118-AZ118)/AZ118*100)</f>
        <v>0</v>
      </c>
      <c r="BL118" s="943">
        <f>IF(BA118=0,0,(BB118-BA118)/BA118*100)</f>
        <v>0</v>
      </c>
      <c r="BM118" s="943">
        <f>IF(BB118=0,0,(BC118-BB118)/BB118*100)</f>
        <v>0</v>
      </c>
      <c r="BN118" s="1256"/>
      <c r="BO118" s="1254" t="str">
        <f>IF(_xlfn.IFERROR(INDEX('ИП + источники'!$K$57:$L$203,MATCH($F118&amp;"2komm",'ИП + источники'!$K$57:$K$203,0),2),"")=0,"",_xlfn.IFERROR(INDEX('ИП + источники'!$K$57:$L$203,MATCH($F118&amp;"2komm",'ИП + источники'!$K$57:$K$203,0),2),""))</f>
        <v/>
      </c>
      <c r="BP118" s="1256"/>
      <c r="BQ118" s="1278"/>
      <c r="BR118" s="1278"/>
      <c r="BS118" s="1064" t="s">
        <v>2833</v>
      </c>
      <c r="BT118" s="1064"/>
      <c r="BU118" s="1064"/>
      <c r="BV118" s="979"/>
      <c r="BW118" s="979"/>
    </row>
    <row customHeight="1" ht="14.625" hidden="1">
      <c r="A119" s="1278"/>
      <c r="B119" s="432" cm="1" t="str">
        <f t="array" ref="B119:B119">B118</f>
        <v>true</v>
      </c>
      <c r="C119" s="1278"/>
      <c r="D119" s="1278"/>
      <c r="E119" s="703">
        <v>15</v>
      </c>
      <c r="F119" s="50" cm="1" t="str">
        <f t="array" ref="F119:F119">OFFSET(E119,-1,1)</f>
        <v>0</v>
      </c>
      <c r="G119" s="1278"/>
      <c r="H119" s="1278"/>
      <c r="I119" s="158" t="s">
        <v>1267</v>
      </c>
      <c r="J119" s="1278"/>
      <c r="K119" s="158" t="s">
        <v>1267</v>
      </c>
      <c r="L119" s="980"/>
      <c r="M119" s="107"/>
      <c r="N119" s="1278"/>
      <c r="O119" s="1278"/>
      <c r="P119" s="1278"/>
      <c r="Q119" s="1278"/>
      <c r="R119" s="1278"/>
      <c r="S119" s="1278"/>
      <c r="T119" s="465" cm="1" t="str">
        <f t="array" ref="T119:T119">T118</f>
        <v>false</v>
      </c>
      <c r="U119" s="1278"/>
      <c r="V119" s="1278"/>
      <c r="W119" s="1278"/>
      <c r="X119" s="1563"/>
      <c r="Y119" s="1278"/>
      <c r="Z119" s="1546"/>
      <c r="AA119" s="1278"/>
      <c r="AB119" s="299" t="s">
        <v>1394</v>
      </c>
      <c r="AC119" s="762" t="s">
        <v>2834</v>
      </c>
      <c r="AD119" s="300" t="s">
        <v>1514</v>
      </c>
      <c r="AE119" s="1255">
        <f>_xlfn.SUMIFS('ИП + источники'!AF$27:AF$203,'ИП + источники'!$F$27:$F$203,$F119,'ИП + источники'!$AC$27:$AC$203,"уплата процентов по кредитам из нормативной прибыли")</f>
        <v>0</v>
      </c>
      <c r="AF119" s="1255">
        <f>_xlfn.SUMIFS('ИП + источники'!AG$27:AG$203,'ИП + источники'!$F$27:$F$203,$F119,'ИП + источники'!$AC$27:$AC$203,"уплата процентов по кредитам из нормативной прибыли")</f>
        <v>0</v>
      </c>
      <c r="AG119" s="1255">
        <f>_xlfn.SUMIFS('ИП + источники'!AH$27:AH$203,'ИП + источники'!$F$27:$F$203,$F119,'ИП + источники'!$AC$27:$AC$203,"уплата процентов по кредитам из нормативной прибыли")</f>
        <v>0</v>
      </c>
      <c r="AH119" s="943">
        <f>AG119-AF119</f>
        <v>0</v>
      </c>
      <c r="AI119" s="1253">
        <f>_xlfn.SUMIFS('ИП + источники'!AJ$27:AJ$203,'ИП + источники'!$F$27:$F$203,$F119,'ИП + источники'!$AC$27:$AC$203,"уплата процентов по кредитам из нормативной прибыли")</f>
        <v>0</v>
      </c>
      <c r="AJ119" s="1253">
        <f>_xlfn.SUMIFS('ИП + источники'!AK$27:AK$203,'ИП + источники'!$F$27:$F$203,$F119,'ИП + источники'!$AC$27:$AC$203,"уплата процентов по кредитам из нормативной прибыли")</f>
        <v>0</v>
      </c>
      <c r="AK119" s="1253">
        <f>_xlfn.SUMIFS('ИП + источники'!AL$27:AL$203,'ИП + источники'!$F$27:$F$203,$F119,'ИП + источники'!$AC$27:$AC$203,"уплата процентов по кредитам из нормативной прибыли")</f>
        <v>0</v>
      </c>
      <c r="AL119" s="1253">
        <f>_xlfn.SUMIFS('ИП + источники'!AM$27:AM$203,'ИП + источники'!$F$27:$F$203,$F119,'ИП + источники'!$AC$27:$AC$203,"уплата процентов по кредитам из нормативной прибыли")</f>
        <v>0</v>
      </c>
      <c r="AM119" s="1253">
        <f>_xlfn.SUMIFS('ИП + источники'!AN$27:AN$203,'ИП + источники'!$F$27:$F$203,$F119,'ИП + источники'!$AC$27:$AC$203,"уплата процентов по кредитам из нормативной прибыли")</f>
        <v>0</v>
      </c>
      <c r="AN119" s="1253">
        <f>_xlfn.SUMIFS('ИП + источники'!AO$27:AO$203,'ИП + источники'!$F$27:$F$203,$F119,'ИП + источники'!$AC$27:$AC$203,"уплата процентов по кредитам из нормативной прибыли")</f>
        <v>0</v>
      </c>
      <c r="AO119" s="1253">
        <f>_xlfn.SUMIFS('ИП + источники'!AP$27:AP$203,'ИП + источники'!$F$27:$F$203,$F119,'ИП + источники'!$AC$27:$AC$203,"уплата процентов по кредитам из нормативной прибыли")</f>
        <v>0</v>
      </c>
      <c r="AP119" s="1253">
        <f>_xlfn.SUMIFS('ИП + источники'!AQ$27:AQ$203,'ИП + источники'!$F$27:$F$203,$F119,'ИП + источники'!$AC$27:$AC$203,"уплата процентов по кредитам из нормативной прибыли")</f>
        <v>0</v>
      </c>
      <c r="AQ119" s="1253">
        <f>_xlfn.SUMIFS('ИП + источники'!AR$27:AR$203,'ИП + источники'!$F$27:$F$203,$F119,'ИП + источники'!$AC$27:$AC$203,"уплата процентов по кредитам из нормативной прибыли")</f>
        <v>0</v>
      </c>
      <c r="AR119" s="1253">
        <f>_xlfn.SUMIFS('ИП + источники'!AS$27:AS$203,'ИП + источники'!$F$27:$F$203,$F119,'ИП + источники'!$AC$27:$AC$203,"уплата процентов по кредитам из нормативной прибыли")</f>
        <v>0</v>
      </c>
      <c r="AS119" s="1253">
        <f>_xlfn.SUMIFS('ИП + источники'!AT$27:AT$203,'ИП + источники'!$F$27:$F$203,$F119,'ИП + источники'!$AC$27:$AC$203,"уплата процентов по кредитам из нормативной прибыли")</f>
        <v>0</v>
      </c>
      <c r="AT119" s="1253">
        <f>_xlfn.SUMIFS('ИП + источники'!AU$27:AU$203,'ИП + источники'!$F$27:$F$203,$F119,'ИП + источники'!$AC$27:$AC$203,"уплата процентов по кредитам из нормативной прибыли")</f>
        <v>0</v>
      </c>
      <c r="AU119" s="1253">
        <f>_xlfn.SUMIFS('ИП + источники'!AV$27:AV$203,'ИП + источники'!$F$27:$F$203,$F119,'ИП + источники'!$AC$27:$AC$203,"уплата процентов по кредитам из нормативной прибыли")</f>
        <v>0</v>
      </c>
      <c r="AV119" s="1253">
        <f>_xlfn.SUMIFS('ИП + источники'!AW$27:AW$203,'ИП + источники'!$F$27:$F$203,$F119,'ИП + источники'!$AC$27:$AC$203,"уплата процентов по кредитам из нормативной прибыли")</f>
        <v>0</v>
      </c>
      <c r="AW119" s="1253">
        <f>_xlfn.SUMIFS('ИП + источники'!AX$27:AX$203,'ИП + источники'!$F$27:$F$203,$F119,'ИП + источники'!$AC$27:$AC$203,"уплата процентов по кредитам из нормативной прибыли")</f>
        <v>0</v>
      </c>
      <c r="AX119" s="1253">
        <f>_xlfn.SUMIFS('ИП + источники'!AY$27:AY$203,'ИП + источники'!$F$27:$F$203,$F119,'ИП + источники'!$AC$27:$AC$203,"уплата процентов по кредитам из нормативной прибыли")</f>
        <v>0</v>
      </c>
      <c r="AY119" s="1253">
        <f>_xlfn.SUMIFS('ИП + источники'!AZ$27:AZ$203,'ИП + источники'!$F$27:$F$203,$F119,'ИП + источники'!$AC$27:$AC$203,"уплата процентов по кредитам из нормативной прибыли")</f>
        <v>0</v>
      </c>
      <c r="AZ119" s="1253">
        <f>_xlfn.SUMIFS('ИП + источники'!BA$27:BA$203,'ИП + источники'!$F$27:$F$203,$F119,'ИП + источники'!$AC$27:$AC$203,"уплата процентов по кредитам из нормативной прибыли")</f>
        <v>0</v>
      </c>
      <c r="BA119" s="1253">
        <f>_xlfn.SUMIFS('ИП + источники'!BB$27:BB$203,'ИП + источники'!$F$27:$F$203,$F119,'ИП + источники'!$AC$27:$AC$203,"уплата процентов по кредитам из нормативной прибыли")</f>
        <v>0</v>
      </c>
      <c r="BB119" s="1253">
        <f>_xlfn.SUMIFS('ИП + источники'!BC$27:BC$203,'ИП + источники'!$F$27:$F$203,$F119,'ИП + источники'!$AC$27:$AC$203,"уплата процентов по кредитам из нормативной прибыли")</f>
        <v>0</v>
      </c>
      <c r="BC119" s="1253">
        <f>_xlfn.SUMIFS('ИП + источники'!BD$27:BD$203,'ИП + источники'!$F$27:$F$203,$F119,'ИП + источники'!$AC$27:$AC$203,"уплата процентов по кредитам из нормативной прибыли")</f>
        <v>0</v>
      </c>
      <c r="BD119" s="943">
        <f>IF(AI119=0,0,(AT119-AI119)/AI119*100)</f>
        <v>0</v>
      </c>
      <c r="BE119" s="943">
        <f>IF(AT119=0,0,(AU119-AT119)/AT119*100)</f>
        <v>0</v>
      </c>
      <c r="BF119" s="943">
        <f>IF(AU119=0,0,(AV119-AU119)/AU119*100)</f>
        <v>0</v>
      </c>
      <c r="BG119" s="943">
        <f>IF(AV119=0,0,(AW119-AV119)/AV119*100)</f>
        <v>0</v>
      </c>
      <c r="BH119" s="943">
        <f>IF(AW119=0,0,(AX119-AW119)/AW119*100)</f>
        <v>0</v>
      </c>
      <c r="BI119" s="943">
        <f>IF(AX119=0,0,(AY119-AX119)/AX119*100)</f>
        <v>0</v>
      </c>
      <c r="BJ119" s="943">
        <f>IF(AY119=0,0,(AZ119-AY119)/AY119*100)</f>
        <v>0</v>
      </c>
      <c r="BK119" s="943">
        <f>IF(AZ119=0,0,(BA119-AZ119)/AZ119*100)</f>
        <v>0</v>
      </c>
      <c r="BL119" s="943">
        <f>IF(BA119=0,0,(BB119-BA119)/BA119*100)</f>
        <v>0</v>
      </c>
      <c r="BM119" s="943">
        <f>IF(BB119=0,0,(BC119-BB119)/BB119*100)</f>
        <v>0</v>
      </c>
      <c r="BN119" s="1256"/>
      <c r="BO119" s="1254" t="str">
        <f>IF(_xlfn.IFERROR(INDEX('ИП + источники'!$K$57:$L$203,MATCH($F119&amp;"3komm",'ИП + источники'!$K$57:$K$203,0),2),"")=0,"",_xlfn.IFERROR(INDEX('ИП + источники'!$K$57:$L$203,MATCH($F119&amp;"3komm",'ИП + источники'!$K$57:$K$203,0),2),""))</f>
        <v/>
      </c>
      <c r="BP119" s="1256"/>
      <c r="BQ119" s="1278"/>
      <c r="BR119" s="1278"/>
      <c r="BS119" s="1064" t="s">
        <v>2835</v>
      </c>
      <c r="BT119" s="1064"/>
      <c r="BU119" s="1064"/>
      <c r="BV119" s="979"/>
      <c r="BW119" s="979"/>
    </row>
    <row customHeight="1" ht="14.625" hidden="1">
      <c r="A120" s="1278"/>
      <c r="B120" s="432" cm="1" t="str">
        <f t="array" ref="B120:B120">B119</f>
        <v>true</v>
      </c>
      <c r="C120" s="1278"/>
      <c r="D120" s="1278"/>
      <c r="E120" s="703">
        <v>15</v>
      </c>
      <c r="F120" s="50" cm="1" t="str">
        <f t="array" ref="F120:F120">OFFSET(E120,-1,1)</f>
        <v>0</v>
      </c>
      <c r="G120" s="1278"/>
      <c r="H120" s="1278"/>
      <c r="I120" s="158" t="s">
        <v>1479</v>
      </c>
      <c r="J120" s="1278"/>
      <c r="K120" s="158" t="s">
        <v>1479</v>
      </c>
      <c r="L120" s="980" t="s">
        <v>1282</v>
      </c>
      <c r="M120" s="107"/>
      <c r="N120" s="1278"/>
      <c r="O120" s="1278"/>
      <c r="P120" s="1278"/>
      <c r="Q120" s="1278"/>
      <c r="R120" s="1278"/>
      <c r="S120" s="1278"/>
      <c r="T120" s="465" cm="1" t="str">
        <f t="array" ref="T120:T120">T119</f>
        <v>false</v>
      </c>
      <c r="U120" s="1278"/>
      <c r="V120" s="1278"/>
      <c r="W120" s="1278"/>
      <c r="X120" s="1563"/>
      <c r="Y120" s="1278"/>
      <c r="Z120" s="1546"/>
      <c r="AA120" s="1278"/>
      <c r="AB120" s="299" t="s">
        <v>1683</v>
      </c>
      <c r="AC120" s="762" t="s">
        <v>2836</v>
      </c>
      <c r="AD120" s="300" t="s">
        <v>1514</v>
      </c>
      <c r="AE120" s="1255">
        <f>_xlfn.SUMIFS('ИП + источники'!AF$27:AF$203,'ИП + источники'!$F$27:$F$203,$F120,'ИП + источники'!$AC$27:$AC$203,"Прибыль на капвложения")</f>
        <v>0</v>
      </c>
      <c r="AF120" s="1255">
        <f>_xlfn.SUMIFS('ИП + источники'!AG$27:AG$203,'ИП + источники'!$F$27:$F$203,$F120,'ИП + источники'!$AC$27:$AC$203,"Прибыль на капвложения")</f>
        <v>0</v>
      </c>
      <c r="AG120" s="1255">
        <f>_xlfn.SUMIFS('ИП + источники'!AH$27:AH$203,'ИП + источники'!$F$27:$F$203,$F120,'ИП + источники'!$AC$27:$AC$203,"Прибыль на капвложения")</f>
        <v>0</v>
      </c>
      <c r="AH120" s="943">
        <f>AG120-AF120</f>
        <v>0</v>
      </c>
      <c r="AI120" s="1253">
        <f>_xlfn.SUMIFS('ИП + источники'!AJ$27:AJ$203,'ИП + источники'!$F$27:$F$203,$F120,'ИП + источники'!$AC$27:$AC$203,"Прибыль на капвложения")</f>
        <v>0</v>
      </c>
      <c r="AJ120" s="1253">
        <f>_xlfn.SUMIFS('ИП + источники'!AK$27:AK$203,'ИП + источники'!$F$27:$F$203,$F120,'ИП + источники'!$AC$27:$AC$203,"Прибыль на капвложения")</f>
        <v>0</v>
      </c>
      <c r="AK120" s="1253">
        <f>_xlfn.SUMIFS('ИП + источники'!AL$27:AL$203,'ИП + источники'!$F$27:$F$203,$F120,'ИП + источники'!$AC$27:$AC$203,"Прибыль на капвложения")</f>
        <v>0</v>
      </c>
      <c r="AL120" s="1253">
        <f>_xlfn.SUMIFS('ИП + источники'!AM$27:AM$203,'ИП + источники'!$F$27:$F$203,$F120,'ИП + источники'!$AC$27:$AC$203,"Прибыль на капвложения")</f>
        <v>0</v>
      </c>
      <c r="AM120" s="1253">
        <f>_xlfn.SUMIFS('ИП + источники'!AN$27:AN$203,'ИП + источники'!$F$27:$F$203,$F120,'ИП + источники'!$AC$27:$AC$203,"Прибыль на капвложения")</f>
        <v>0</v>
      </c>
      <c r="AN120" s="1253">
        <f>_xlfn.SUMIFS('ИП + источники'!AO$27:AO$203,'ИП + источники'!$F$27:$F$203,$F120,'ИП + источники'!$AC$27:$AC$203,"Прибыль на капвложения")</f>
        <v>0</v>
      </c>
      <c r="AO120" s="1253">
        <f>_xlfn.SUMIFS('ИП + источники'!AP$27:AP$203,'ИП + источники'!$F$27:$F$203,$F120,'ИП + источники'!$AC$27:$AC$203,"Прибыль на капвложения")</f>
        <v>0</v>
      </c>
      <c r="AP120" s="1253">
        <f>_xlfn.SUMIFS('ИП + источники'!AQ$27:AQ$203,'ИП + источники'!$F$27:$F$203,$F120,'ИП + источники'!$AC$27:$AC$203,"Прибыль на капвложения")</f>
        <v>0</v>
      </c>
      <c r="AQ120" s="1253">
        <f>_xlfn.SUMIFS('ИП + источники'!AR$27:AR$203,'ИП + источники'!$F$27:$F$203,$F120,'ИП + источники'!$AC$27:$AC$203,"Прибыль на капвложения")</f>
        <v>0</v>
      </c>
      <c r="AR120" s="1253">
        <f>_xlfn.SUMIFS('ИП + источники'!AS$27:AS$203,'ИП + источники'!$F$27:$F$203,$F120,'ИП + источники'!$AC$27:$AC$203,"Прибыль на капвложения")</f>
        <v>0</v>
      </c>
      <c r="AS120" s="1253">
        <f>_xlfn.SUMIFS('ИП + источники'!AT$27:AT$203,'ИП + источники'!$F$27:$F$203,$F120,'ИП + источники'!$AC$27:$AC$203,"Прибыль на капвложения")</f>
        <v>0</v>
      </c>
      <c r="AT120" s="1253">
        <f>_xlfn.SUMIFS('ИП + источники'!AU$27:AU$203,'ИП + источники'!$F$27:$F$203,$F120,'ИП + источники'!$AC$27:$AC$203,"Прибыль на капвложения")</f>
        <v>0</v>
      </c>
      <c r="AU120" s="1253">
        <f>_xlfn.SUMIFS('ИП + источники'!AV$27:AV$203,'ИП + источники'!$F$27:$F$203,$F120,'ИП + источники'!$AC$27:$AC$203,"Прибыль на капвложения")</f>
        <v>0</v>
      </c>
      <c r="AV120" s="1253">
        <f>_xlfn.SUMIFS('ИП + источники'!AW$27:AW$203,'ИП + источники'!$F$27:$F$203,$F120,'ИП + источники'!$AC$27:$AC$203,"Прибыль на капвложения")</f>
        <v>0</v>
      </c>
      <c r="AW120" s="1253">
        <f>_xlfn.SUMIFS('ИП + источники'!AX$27:AX$203,'ИП + источники'!$F$27:$F$203,$F120,'ИП + источники'!$AC$27:$AC$203,"Прибыль на капвложения")</f>
        <v>0</v>
      </c>
      <c r="AX120" s="1253">
        <f>_xlfn.SUMIFS('ИП + источники'!AY$27:AY$203,'ИП + источники'!$F$27:$F$203,$F120,'ИП + источники'!$AC$27:$AC$203,"Прибыль на капвложения")</f>
        <v>0</v>
      </c>
      <c r="AY120" s="1253">
        <f>_xlfn.SUMIFS('ИП + источники'!AZ$27:AZ$203,'ИП + источники'!$F$27:$F$203,$F120,'ИП + источники'!$AC$27:$AC$203,"Прибыль на капвложения")</f>
        <v>0</v>
      </c>
      <c r="AZ120" s="1253">
        <f>_xlfn.SUMIFS('ИП + источники'!BA$27:BA$203,'ИП + источники'!$F$27:$F$203,$F120,'ИП + источники'!$AC$27:$AC$203,"Прибыль на капвложения")</f>
        <v>0</v>
      </c>
      <c r="BA120" s="1253">
        <f>_xlfn.SUMIFS('ИП + источники'!BB$27:BB$203,'ИП + источники'!$F$27:$F$203,$F120,'ИП + источники'!$AC$27:$AC$203,"Прибыль на капвложения")</f>
        <v>0</v>
      </c>
      <c r="BB120" s="1253">
        <f>_xlfn.SUMIFS('ИП + источники'!BC$27:BC$203,'ИП + источники'!$F$27:$F$203,$F120,'ИП + источники'!$AC$27:$AC$203,"Прибыль на капвложения")</f>
        <v>0</v>
      </c>
      <c r="BC120" s="1253">
        <f>_xlfn.SUMIFS('ИП + источники'!BD$27:BD$203,'ИП + источники'!$F$27:$F$203,$F120,'ИП + источники'!$AC$27:$AC$203,"Прибыль на капвложения")</f>
        <v>0</v>
      </c>
      <c r="BD120" s="943">
        <f>IF(AI120=0,0,(AT120-AI120)/AI120*100)</f>
        <v>0</v>
      </c>
      <c r="BE120" s="943">
        <f>IF(AT120=0,0,(AU120-AT120)/AT120*100)</f>
        <v>0</v>
      </c>
      <c r="BF120" s="943">
        <f>IF(AU120=0,0,(AV120-AU120)/AU120*100)</f>
        <v>0</v>
      </c>
      <c r="BG120" s="943">
        <f>IF(AV120=0,0,(AW120-AV120)/AV120*100)</f>
        <v>0</v>
      </c>
      <c r="BH120" s="943">
        <f>IF(AW120=0,0,(AX120-AW120)/AW120*100)</f>
        <v>0</v>
      </c>
      <c r="BI120" s="943">
        <f>IF(AX120=0,0,(AY120-AX120)/AX120*100)</f>
        <v>0</v>
      </c>
      <c r="BJ120" s="943">
        <f>IF(AY120=0,0,(AZ120-AY120)/AY120*100)</f>
        <v>0</v>
      </c>
      <c r="BK120" s="943">
        <f>IF(AZ120=0,0,(BA120-AZ120)/AZ120*100)</f>
        <v>0</v>
      </c>
      <c r="BL120" s="943">
        <f>IF(BA120=0,0,(BB120-BA120)/BA120*100)</f>
        <v>0</v>
      </c>
      <c r="BM120" s="943">
        <f>IF(BB120=0,0,(BC120-BB120)/BB120*100)</f>
        <v>0</v>
      </c>
      <c r="BN120" s="1256"/>
      <c r="BO120" s="1254" t="str">
        <f>IF(_xlfn.IFERROR(INDEX('ИП + источники'!$K$57:$L$203,MATCH($F120&amp;"1komm",'ИП + источники'!$K$57:$K$203,0),2),"")=0,"",_xlfn.IFERROR(INDEX('ИП + источники'!$K$57:$L$203,MATCH($F120&amp;"1komm",'ИП + источники'!$K$57:$K$203,0),2),""))</f>
        <v/>
      </c>
      <c r="BP120" s="1256"/>
      <c r="BQ120" s="1278"/>
      <c r="BR120" s="1278"/>
      <c r="BS120" s="1064" t="s">
        <v>2546</v>
      </c>
      <c r="BT120" s="1064"/>
      <c r="BU120" s="1064"/>
      <c r="BV120" s="979"/>
      <c r="BW120" s="979"/>
    </row>
    <row customHeight="1" ht="21.9375" hidden="1">
      <c r="A121" s="1278"/>
      <c r="B121" s="432" cm="1" t="str">
        <f t="array" ref="B121:B121">B120</f>
        <v>true</v>
      </c>
      <c r="C121" s="1278"/>
      <c r="D121" s="1278"/>
      <c r="E121" s="703">
        <v>22.5</v>
      </c>
      <c r="F121" s="50" cm="1" t="str">
        <f t="array" ref="F121:F121">OFFSET(E121,-1,1)</f>
        <v>0</v>
      </c>
      <c r="G121" s="158" t="s">
        <v>2837</v>
      </c>
      <c r="H121" s="1278"/>
      <c r="I121" s="158" t="s">
        <v>1685</v>
      </c>
      <c r="J121" s="1278"/>
      <c r="K121" s="158" t="s">
        <v>1685</v>
      </c>
      <c r="L121" s="980" t="s">
        <v>1286</v>
      </c>
      <c r="M121" s="107"/>
      <c r="N121" s="1278"/>
      <c r="O121" s="1278"/>
      <c r="P121" s="1278"/>
      <c r="Q121" s="1278"/>
      <c r="R121" s="1278"/>
      <c r="S121" s="1278"/>
      <c r="T121" s="465" cm="1" t="str">
        <f t="array" ref="T121:T121">T120</f>
        <v>false</v>
      </c>
      <c r="U121" s="1278"/>
      <c r="V121" s="1278"/>
      <c r="W121" s="1278"/>
      <c r="X121" s="1563"/>
      <c r="Y121" s="1278"/>
      <c r="Z121" s="1546"/>
      <c r="AA121" s="1278"/>
      <c r="AB121" s="299" t="s">
        <v>1686</v>
      </c>
      <c r="AC121" s="762" t="s">
        <v>2838</v>
      </c>
      <c r="AD121" s="300" t="s">
        <v>1514</v>
      </c>
      <c r="AE121" s="1255"/>
      <c r="AF121" s="1255"/>
      <c r="AG121" s="1255"/>
      <c r="AH121" s="943">
        <f>AG121-AF121</f>
        <v>0</v>
      </c>
      <c r="AI121" s="1253"/>
      <c r="AJ121" s="1253"/>
      <c r="AK121" s="1253"/>
      <c r="AL121" s="1253"/>
      <c r="AM121" s="1253"/>
      <c r="AN121" s="1253"/>
      <c r="AO121" s="1253"/>
      <c r="AP121" s="1253"/>
      <c r="AQ121" s="1253"/>
      <c r="AR121" s="1253"/>
      <c r="AS121" s="1253"/>
      <c r="AT121" s="1253"/>
      <c r="AU121" s="1253"/>
      <c r="AV121" s="1253"/>
      <c r="AW121" s="1253"/>
      <c r="AX121" s="1253"/>
      <c r="AY121" s="1253"/>
      <c r="AZ121" s="1253"/>
      <c r="BA121" s="1253"/>
      <c r="BB121" s="1253"/>
      <c r="BC121" s="1253"/>
      <c r="BD121" s="943">
        <f>IF(AI121=0,0,(AT121-AI121)/AI121*100)</f>
        <v>0</v>
      </c>
      <c r="BE121" s="943">
        <f>IF(AT121=0,0,(AU121-AT121)/AT121*100)</f>
        <v>0</v>
      </c>
      <c r="BF121" s="943">
        <f>IF(AU121=0,0,(AV121-AU121)/AU121*100)</f>
        <v>0</v>
      </c>
      <c r="BG121" s="943">
        <f>IF(AV121=0,0,(AW121-AV121)/AV121*100)</f>
        <v>0</v>
      </c>
      <c r="BH121" s="943">
        <f>IF(AW121=0,0,(AX121-AW121)/AW121*100)</f>
        <v>0</v>
      </c>
      <c r="BI121" s="943">
        <f>IF(AX121=0,0,(AY121-AX121)/AX121*100)</f>
        <v>0</v>
      </c>
      <c r="BJ121" s="943">
        <f>IF(AY121=0,0,(AZ121-AY121)/AY121*100)</f>
        <v>0</v>
      </c>
      <c r="BK121" s="943">
        <f>IF(AZ121=0,0,(BA121-AZ121)/AZ121*100)</f>
        <v>0</v>
      </c>
      <c r="BL121" s="943">
        <f>IF(BA121=0,0,(BB121-BA121)/BA121*100)</f>
        <v>0</v>
      </c>
      <c r="BM121" s="943">
        <f>IF(BB121=0,0,(BC121-BB121)/BB121*100)</f>
        <v>0</v>
      </c>
      <c r="BN121" s="1256"/>
      <c r="BO121" s="1256"/>
      <c r="BP121" s="1256"/>
      <c r="BQ121" s="1278"/>
      <c r="BR121" s="1278"/>
      <c r="BS121" s="1064" t="s">
        <v>2839</v>
      </c>
      <c r="BT121" s="1064"/>
      <c r="BU121" s="1064"/>
      <c r="BV121" s="979"/>
      <c r="BW121" s="979"/>
    </row>
    <row customHeight="1" ht="14.625" hidden="1">
      <c r="A122" s="1278"/>
      <c r="B122" s="432">
        <f>AND(method_reg="Метод индексации",STATUS_GO="да")</f>
        <v>1</v>
      </c>
      <c r="C122" s="1278"/>
      <c r="D122" s="1278"/>
      <c r="E122" s="703">
        <v>15</v>
      </c>
      <c r="F122" s="50" cm="1" t="str">
        <f t="array" ref="F122:F122">OFFSET(E122,-1,1)</f>
        <v>0</v>
      </c>
      <c r="G122" s="158" t="s">
        <v>2549</v>
      </c>
      <c r="H122" s="1278"/>
      <c r="I122" s="158" t="s">
        <v>1225</v>
      </c>
      <c r="J122" s="1278"/>
      <c r="K122" s="158" t="s">
        <v>1225</v>
      </c>
      <c r="L122" s="980" t="s">
        <v>1290</v>
      </c>
      <c r="M122" s="107"/>
      <c r="N122" s="1278"/>
      <c r="O122" s="1278"/>
      <c r="P122" s="1278"/>
      <c r="Q122" s="1278"/>
      <c r="R122" s="1278"/>
      <c r="S122" s="1278"/>
      <c r="T122" s="465" cm="1" t="str">
        <f t="array" ref="T122:T122">T121</f>
        <v>false</v>
      </c>
      <c r="U122" s="1278"/>
      <c r="V122" s="1278"/>
      <c r="W122" s="1278"/>
      <c r="X122" s="1563"/>
      <c r="Y122" s="1278"/>
      <c r="Z122" s="1546"/>
      <c r="AA122" s="1278"/>
      <c r="AB122" s="299" t="s">
        <v>446</v>
      </c>
      <c r="AC122" s="452" t="s">
        <v>2549</v>
      </c>
      <c r="AD122" s="300" t="s">
        <v>1514</v>
      </c>
      <c r="AE122" s="1255"/>
      <c r="AF122" s="1255"/>
      <c r="AG122" s="1255"/>
      <c r="AH122" s="943">
        <f>AG122-AF122</f>
        <v>0</v>
      </c>
      <c r="AI122" s="1253"/>
      <c r="AJ122" s="1253"/>
      <c r="AK122" s="1253"/>
      <c r="AL122" s="1253"/>
      <c r="AM122" s="1253"/>
      <c r="AN122" s="1253"/>
      <c r="AO122" s="1253"/>
      <c r="AP122" s="1253"/>
      <c r="AQ122" s="1253"/>
      <c r="AR122" s="1253"/>
      <c r="AS122" s="1253"/>
      <c r="AT122" s="1253"/>
      <c r="AU122" s="1253"/>
      <c r="AV122" s="1253"/>
      <c r="AW122" s="1253"/>
      <c r="AX122" s="1253"/>
      <c r="AY122" s="1253"/>
      <c r="AZ122" s="1253"/>
      <c r="BA122" s="1253"/>
      <c r="BB122" s="1253"/>
      <c r="BC122" s="1253"/>
      <c r="BD122" s="943">
        <f>IF(AI122=0,0,(AT122-AI122)/AI122*100)</f>
        <v>0</v>
      </c>
      <c r="BE122" s="943">
        <f>IF(AT122=0,0,(AU122-AT122)/AT122*100)</f>
        <v>0</v>
      </c>
      <c r="BF122" s="943">
        <f>IF(AU122=0,0,(AV122-AU122)/AU122*100)</f>
        <v>0</v>
      </c>
      <c r="BG122" s="943">
        <f>IF(AV122=0,0,(AW122-AV122)/AV122*100)</f>
        <v>0</v>
      </c>
      <c r="BH122" s="943">
        <f>IF(AW122=0,0,(AX122-AW122)/AW122*100)</f>
        <v>0</v>
      </c>
      <c r="BI122" s="943">
        <f>IF(AX122=0,0,(AY122-AX122)/AX122*100)</f>
        <v>0</v>
      </c>
      <c r="BJ122" s="943">
        <f>IF(AY122=0,0,(AZ122-AY122)/AY122*100)</f>
        <v>0</v>
      </c>
      <c r="BK122" s="943">
        <f>IF(AZ122=0,0,(BA122-AZ122)/AZ122*100)</f>
        <v>0</v>
      </c>
      <c r="BL122" s="943">
        <f>IF(BA122=0,0,(BB122-BA122)/BA122*100)</f>
        <v>0</v>
      </c>
      <c r="BM122" s="943">
        <f>IF(BB122=0,0,(BC122-BB122)/BB122*100)</f>
        <v>0</v>
      </c>
      <c r="BN122" s="1256"/>
      <c r="BO122" s="1256"/>
      <c r="BP122" s="1256"/>
      <c r="BQ122" s="1278"/>
      <c r="BR122" s="1278"/>
      <c r="BS122" s="1064" t="s">
        <v>2550</v>
      </c>
      <c r="BT122" s="1064"/>
      <c r="BU122" s="1064"/>
      <c r="BV122" s="979"/>
      <c r="BW122" s="979"/>
    </row>
    <row customHeight="1" ht="14.625" hidden="1">
      <c r="A123" s="1278"/>
      <c r="B123" s="975">
        <f>method_reg="Метод обеспечения доходности инвестированного капитала"</f>
        <v>0</v>
      </c>
      <c r="C123" s="1278"/>
      <c r="D123" s="1278"/>
      <c r="E123" s="703">
        <v>15</v>
      </c>
      <c r="F123" s="50" cm="1" t="str">
        <f t="array" ref="F123:F123">OFFSET(E123,-1,1)</f>
        <v>0</v>
      </c>
      <c r="G123" s="1278"/>
      <c r="H123" s="1278"/>
      <c r="I123" s="1278"/>
      <c r="J123" s="1278"/>
      <c r="K123" s="107" t="s">
        <v>336</v>
      </c>
      <c r="L123" s="980"/>
      <c r="M123" s="107"/>
      <c r="N123" s="1278"/>
      <c r="O123" s="1278"/>
      <c r="P123" s="1278"/>
      <c r="Q123" s="1278"/>
      <c r="R123" s="1278"/>
      <c r="S123" s="1278"/>
      <c r="T123" s="465" cm="1" t="str">
        <f t="array" ref="T123:T123">T122</f>
        <v>false</v>
      </c>
      <c r="U123" s="1278"/>
      <c r="V123" s="1278"/>
      <c r="W123" s="1278"/>
      <c r="X123" s="1563"/>
      <c r="Y123" s="1278"/>
      <c r="Z123" s="1546"/>
      <c r="AA123" s="1278"/>
      <c r="AB123" s="792" t="s">
        <v>295</v>
      </c>
      <c r="AC123" s="793" t="s">
        <v>2840</v>
      </c>
      <c r="AD123" s="794" t="s">
        <v>1514</v>
      </c>
      <c r="AE123" s="1246"/>
      <c r="AF123" s="1246"/>
      <c r="AG123" s="1246"/>
      <c r="AH123" s="761">
        <f>AG123-AF123</f>
        <v>0</v>
      </c>
      <c r="AI123" s="1246"/>
      <c r="AJ123" s="1246"/>
      <c r="AK123" s="1246"/>
      <c r="AL123" s="1246"/>
      <c r="AM123" s="1246"/>
      <c r="AN123" s="1246"/>
      <c r="AO123" s="1246"/>
      <c r="AP123" s="1246"/>
      <c r="AQ123" s="1246"/>
      <c r="AR123" s="1246"/>
      <c r="AS123" s="1246"/>
      <c r="AT123" s="1246"/>
      <c r="AU123" s="1246"/>
      <c r="AV123" s="1246"/>
      <c r="AW123" s="1246"/>
      <c r="AX123" s="1246"/>
      <c r="AY123" s="1246"/>
      <c r="AZ123" s="1246"/>
      <c r="BA123" s="1246"/>
      <c r="BB123" s="1246"/>
      <c r="BC123" s="1246"/>
      <c r="BD123" s="761">
        <f>IF(AI123=0,0,(AT123-AI123)/AI123*100)</f>
        <v>0</v>
      </c>
      <c r="BE123" s="761">
        <f>IF(AT123=0,0,(AU123-AT123)/AT123*100)</f>
        <v>0</v>
      </c>
      <c r="BF123" s="761">
        <f>IF(AU123=0,0,(AV123-AU123)/AU123*100)</f>
        <v>0</v>
      </c>
      <c r="BG123" s="761">
        <f>IF(AV123=0,0,(AW123-AV123)/AV123*100)</f>
        <v>0</v>
      </c>
      <c r="BH123" s="761">
        <f>IF(AW123=0,0,(AX123-AW123)/AW123*100)</f>
        <v>0</v>
      </c>
      <c r="BI123" s="761">
        <f>IF(AX123=0,0,(AY123-AX123)/AX123*100)</f>
        <v>0</v>
      </c>
      <c r="BJ123" s="761">
        <f>IF(AY123=0,0,(AZ123-AY123)/AY123*100)</f>
        <v>0</v>
      </c>
      <c r="BK123" s="761">
        <f>IF(AZ123=0,0,(BA123-AZ123)/AZ123*100)</f>
        <v>0</v>
      </c>
      <c r="BL123" s="761">
        <f>IF(BA123=0,0,(BB123-BA123)/BA123*100)</f>
        <v>0</v>
      </c>
      <c r="BM123" s="761">
        <f>IF(BB123=0,0,(BC123-BB123)/BB123*100)</f>
        <v>0</v>
      </c>
      <c r="BN123" s="1247"/>
      <c r="BO123" s="1247"/>
      <c r="BP123" s="1247"/>
      <c r="BQ123" s="1278"/>
      <c r="BR123" s="1278"/>
      <c r="BS123" s="1064" t="s">
        <v>2841</v>
      </c>
      <c r="BT123" s="1064"/>
      <c r="BU123" s="1064"/>
      <c r="BV123" s="979"/>
      <c r="BW123" s="979"/>
    </row>
    <row customHeight="1" ht="14.625" hidden="1">
      <c r="A124" s="1278"/>
      <c r="B124" s="975" cm="1" t="str">
        <f t="array" ref="B124:B124">B123</f>
        <v>false</v>
      </c>
      <c r="C124" s="1278"/>
      <c r="D124" s="1278"/>
      <c r="E124" s="703">
        <v>15</v>
      </c>
      <c r="F124" s="50" cm="1" t="str">
        <f t="array" ref="F124:F124">OFFSET(E124,-1,1)</f>
        <v>0</v>
      </c>
      <c r="G124" s="1278"/>
      <c r="H124" s="1278"/>
      <c r="I124" s="1278"/>
      <c r="J124" s="1278"/>
      <c r="K124" s="107" t="s">
        <v>1249</v>
      </c>
      <c r="L124" s="980"/>
      <c r="M124" s="107"/>
      <c r="N124" s="1278"/>
      <c r="O124" s="1278"/>
      <c r="P124" s="1278"/>
      <c r="Q124" s="1278"/>
      <c r="R124" s="1278"/>
      <c r="S124" s="1278"/>
      <c r="T124" s="465" cm="1" t="str">
        <f t="array" ref="T124:T124">T123</f>
        <v>false</v>
      </c>
      <c r="U124" s="1278"/>
      <c r="V124" s="1278"/>
      <c r="W124" s="1278"/>
      <c r="X124" s="1563"/>
      <c r="Y124" s="1278"/>
      <c r="Z124" s="1546"/>
      <c r="AA124" s="1278"/>
      <c r="AB124" s="795" t="s">
        <v>1384</v>
      </c>
      <c r="AC124" s="796" t="s">
        <v>2842</v>
      </c>
      <c r="AD124" s="797" t="s">
        <v>1514</v>
      </c>
      <c r="AE124" s="1253"/>
      <c r="AF124" s="1253"/>
      <c r="AG124" s="1253"/>
      <c r="AH124" s="942"/>
      <c r="AI124" s="1253"/>
      <c r="AJ124" s="1253"/>
      <c r="AK124" s="1253"/>
      <c r="AL124" s="1253"/>
      <c r="AM124" s="1253"/>
      <c r="AN124" s="1253"/>
      <c r="AO124" s="1253"/>
      <c r="AP124" s="1253"/>
      <c r="AQ124" s="1253"/>
      <c r="AR124" s="1253"/>
      <c r="AS124" s="1253"/>
      <c r="AT124" s="1253"/>
      <c r="AU124" s="1253"/>
      <c r="AV124" s="1253"/>
      <c r="AW124" s="1253"/>
      <c r="AX124" s="1253"/>
      <c r="AY124" s="1253"/>
      <c r="AZ124" s="1253"/>
      <c r="BA124" s="1253"/>
      <c r="BB124" s="1253"/>
      <c r="BC124" s="1253"/>
      <c r="BD124" s="942"/>
      <c r="BE124" s="942"/>
      <c r="BF124" s="942"/>
      <c r="BG124" s="942"/>
      <c r="BH124" s="942"/>
      <c r="BI124" s="942"/>
      <c r="BJ124" s="942"/>
      <c r="BK124" s="942"/>
      <c r="BL124" s="942"/>
      <c r="BM124" s="942"/>
      <c r="BN124" s="1251"/>
      <c r="BO124" s="1251"/>
      <c r="BP124" s="1251"/>
      <c r="BQ124" s="1278"/>
      <c r="BR124" s="1278"/>
      <c r="BS124" s="1064" t="s">
        <v>2843</v>
      </c>
      <c r="BT124" s="1064"/>
      <c r="BU124" s="1064"/>
      <c r="BV124" s="979"/>
      <c r="BW124" s="979"/>
    </row>
    <row customHeight="1" ht="14.625" hidden="1">
      <c r="A125" s="1278"/>
      <c r="B125" s="975" cm="1" t="str">
        <f t="array" ref="B125:B125">B124</f>
        <v>false</v>
      </c>
      <c r="C125" s="1278"/>
      <c r="D125" s="1278"/>
      <c r="E125" s="703">
        <v>15</v>
      </c>
      <c r="F125" s="50" cm="1" t="str">
        <f t="array" ref="F125:F125">OFFSET(E125,-1,1)</f>
        <v>0</v>
      </c>
      <c r="G125" s="1278"/>
      <c r="H125" s="1278"/>
      <c r="I125" s="1278"/>
      <c r="J125" s="1278"/>
      <c r="K125" s="107" t="s">
        <v>1253</v>
      </c>
      <c r="L125" s="980"/>
      <c r="M125" s="107"/>
      <c r="N125" s="1278"/>
      <c r="O125" s="1278"/>
      <c r="P125" s="1278"/>
      <c r="Q125" s="1278"/>
      <c r="R125" s="1278"/>
      <c r="S125" s="1278"/>
      <c r="T125" s="465" cm="1" t="str">
        <f t="array" ref="T125:T125">T124</f>
        <v>false</v>
      </c>
      <c r="U125" s="1278"/>
      <c r="V125" s="1278"/>
      <c r="W125" s="1278"/>
      <c r="X125" s="1563"/>
      <c r="Y125" s="1278"/>
      <c r="Z125" s="1546"/>
      <c r="AA125" s="1278"/>
      <c r="AB125" s="795" t="s">
        <v>1387</v>
      </c>
      <c r="AC125" s="796" t="s">
        <v>2844</v>
      </c>
      <c r="AD125" s="797" t="s">
        <v>2845</v>
      </c>
      <c r="AE125" s="1253"/>
      <c r="AF125" s="1253"/>
      <c r="AG125" s="1253"/>
      <c r="AH125" s="942"/>
      <c r="AI125" s="1253"/>
      <c r="AJ125" s="1253"/>
      <c r="AK125" s="1253"/>
      <c r="AL125" s="1253"/>
      <c r="AM125" s="1253"/>
      <c r="AN125" s="1253"/>
      <c r="AO125" s="1253"/>
      <c r="AP125" s="1253"/>
      <c r="AQ125" s="1253"/>
      <c r="AR125" s="1253"/>
      <c r="AS125" s="1253"/>
      <c r="AT125" s="1253"/>
      <c r="AU125" s="1253"/>
      <c r="AV125" s="1253"/>
      <c r="AW125" s="1253"/>
      <c r="AX125" s="1253"/>
      <c r="AY125" s="1253"/>
      <c r="AZ125" s="1253"/>
      <c r="BA125" s="1253"/>
      <c r="BB125" s="1253"/>
      <c r="BC125" s="1253"/>
      <c r="BD125" s="942"/>
      <c r="BE125" s="942"/>
      <c r="BF125" s="942"/>
      <c r="BG125" s="942"/>
      <c r="BH125" s="942"/>
      <c r="BI125" s="942"/>
      <c r="BJ125" s="942"/>
      <c r="BK125" s="942"/>
      <c r="BL125" s="942"/>
      <c r="BM125" s="942"/>
      <c r="BN125" s="1251"/>
      <c r="BO125" s="1251"/>
      <c r="BP125" s="1251"/>
      <c r="BQ125" s="1278"/>
      <c r="BR125" s="1278"/>
      <c r="BS125" s="1064" t="s">
        <v>2846</v>
      </c>
      <c r="BT125" s="1064"/>
      <c r="BU125" s="1064"/>
      <c r="BV125" s="979"/>
      <c r="BW125" s="979"/>
    </row>
    <row customHeight="1" ht="14.625" hidden="1">
      <c r="A126" s="1278"/>
      <c r="B126" s="975" cm="1" t="str">
        <f t="array" ref="B126:B126">B125</f>
        <v>false</v>
      </c>
      <c r="C126" s="1278"/>
      <c r="D126" s="1278"/>
      <c r="E126" s="703">
        <v>15</v>
      </c>
      <c r="F126" s="50" cm="1" t="str">
        <f t="array" ref="F126:F126">OFFSET(E126,-1,1)</f>
        <v>0</v>
      </c>
      <c r="G126" s="1278"/>
      <c r="H126" s="1278"/>
      <c r="I126" s="1278"/>
      <c r="J126" s="1278"/>
      <c r="K126" s="107" t="s">
        <v>335</v>
      </c>
      <c r="L126" s="980"/>
      <c r="M126" s="107"/>
      <c r="N126" s="1278"/>
      <c r="O126" s="1278"/>
      <c r="P126" s="1278"/>
      <c r="Q126" s="1278"/>
      <c r="R126" s="1278"/>
      <c r="S126" s="1278"/>
      <c r="T126" s="465" cm="1" t="str">
        <f t="array" ref="T126:T126">T125</f>
        <v>false</v>
      </c>
      <c r="U126" s="1278"/>
      <c r="V126" s="1278"/>
      <c r="W126" s="1278"/>
      <c r="X126" s="1563"/>
      <c r="Y126" s="1278"/>
      <c r="Z126" s="1546"/>
      <c r="AA126" s="1278"/>
      <c r="AB126" s="792" t="s">
        <v>443</v>
      </c>
      <c r="AC126" s="793" t="s">
        <v>2847</v>
      </c>
      <c r="AD126" s="794" t="s">
        <v>1514</v>
      </c>
      <c r="AE126" s="1246"/>
      <c r="AF126" s="1246"/>
      <c r="AG126" s="1246"/>
      <c r="AH126" s="761">
        <f>AG126-AF126</f>
        <v>0</v>
      </c>
      <c r="AI126" s="1246"/>
      <c r="AJ126" s="1246"/>
      <c r="AK126" s="1246"/>
      <c r="AL126" s="1246"/>
      <c r="AM126" s="1246"/>
      <c r="AN126" s="1246"/>
      <c r="AO126" s="1246"/>
      <c r="AP126" s="1246"/>
      <c r="AQ126" s="1246"/>
      <c r="AR126" s="1246"/>
      <c r="AS126" s="1246"/>
      <c r="AT126" s="1246"/>
      <c r="AU126" s="1246"/>
      <c r="AV126" s="1246"/>
      <c r="AW126" s="1246"/>
      <c r="AX126" s="1246"/>
      <c r="AY126" s="1246"/>
      <c r="AZ126" s="1246"/>
      <c r="BA126" s="1246"/>
      <c r="BB126" s="1246"/>
      <c r="BC126" s="1246"/>
      <c r="BD126" s="761">
        <f>IF(AI126=0,0,(AT126-AI126)/AI126*100)</f>
        <v>0</v>
      </c>
      <c r="BE126" s="761">
        <f>IF(AT126=0,0,(AU126-AT126)/AT126*100)</f>
        <v>0</v>
      </c>
      <c r="BF126" s="761">
        <f>IF(AU126=0,0,(AV126-AU126)/AU126*100)</f>
        <v>0</v>
      </c>
      <c r="BG126" s="761">
        <f>IF(AV126=0,0,(AW126-AV126)/AV126*100)</f>
        <v>0</v>
      </c>
      <c r="BH126" s="761">
        <f>IF(AW126=0,0,(AX126-AW126)/AW126*100)</f>
        <v>0</v>
      </c>
      <c r="BI126" s="761">
        <f>IF(AX126=0,0,(AY126-AX126)/AX126*100)</f>
        <v>0</v>
      </c>
      <c r="BJ126" s="761">
        <f>IF(AY126=0,0,(AZ126-AY126)/AY126*100)</f>
        <v>0</v>
      </c>
      <c r="BK126" s="761">
        <f>IF(AZ126=0,0,(BA126-AZ126)/AZ126*100)</f>
        <v>0</v>
      </c>
      <c r="BL126" s="761">
        <f>IF(BA126=0,0,(BB126-BA126)/BA126*100)</f>
        <v>0</v>
      </c>
      <c r="BM126" s="761">
        <f>IF(BB126=0,0,(BC126-BB126)/BB126*100)</f>
        <v>0</v>
      </c>
      <c r="BN126" s="1247"/>
      <c r="BO126" s="1247"/>
      <c r="BP126" s="1247"/>
      <c r="BQ126" s="1278"/>
      <c r="BR126" s="1278"/>
      <c r="BS126" s="1064" t="s">
        <v>2848</v>
      </c>
      <c r="BT126" s="1064"/>
      <c r="BU126" s="1064"/>
      <c r="BV126" s="979"/>
      <c r="BW126" s="979"/>
    </row>
    <row customHeight="1" ht="14.625" hidden="1">
      <c r="A127" s="1278"/>
      <c r="B127" s="975" cm="1" t="str">
        <f t="array" ref="B127:B127">B126</f>
        <v>false</v>
      </c>
      <c r="C127" s="1278"/>
      <c r="D127" s="1278"/>
      <c r="E127" s="703">
        <v>15</v>
      </c>
      <c r="F127" s="50" cm="1" t="str">
        <f t="array" ref="F127:F127">OFFSET(E127,-1,1)</f>
        <v>0</v>
      </c>
      <c r="G127" s="1278"/>
      <c r="H127" s="1278"/>
      <c r="I127" s="1278"/>
      <c r="J127" s="1278"/>
      <c r="K127" s="107" t="s">
        <v>1263</v>
      </c>
      <c r="L127" s="980"/>
      <c r="M127" s="107"/>
      <c r="N127" s="1278"/>
      <c r="O127" s="1278"/>
      <c r="P127" s="1278"/>
      <c r="Q127" s="1278"/>
      <c r="R127" s="1278"/>
      <c r="S127" s="1278"/>
      <c r="T127" s="465" cm="1" t="str">
        <f t="array" ref="T127:T127">T126</f>
        <v>false</v>
      </c>
      <c r="U127" s="1278"/>
      <c r="V127" s="1278"/>
      <c r="W127" s="1278"/>
      <c r="X127" s="1563"/>
      <c r="Y127" s="1278"/>
      <c r="Z127" s="1546"/>
      <c r="AA127" s="1278"/>
      <c r="AB127" s="795" t="s">
        <v>1391</v>
      </c>
      <c r="AC127" s="796" t="s">
        <v>2849</v>
      </c>
      <c r="AD127" s="797" t="s">
        <v>1514</v>
      </c>
      <c r="AE127" s="1253"/>
      <c r="AF127" s="1253"/>
      <c r="AG127" s="1253"/>
      <c r="AH127" s="942"/>
      <c r="AI127" s="1253"/>
      <c r="AJ127" s="1253"/>
      <c r="AK127" s="1253"/>
      <c r="AL127" s="1253"/>
      <c r="AM127" s="1253"/>
      <c r="AN127" s="1253"/>
      <c r="AO127" s="1253"/>
      <c r="AP127" s="1253"/>
      <c r="AQ127" s="1253"/>
      <c r="AR127" s="1253"/>
      <c r="AS127" s="1253"/>
      <c r="AT127" s="1253"/>
      <c r="AU127" s="1253"/>
      <c r="AV127" s="1253"/>
      <c r="AW127" s="1253"/>
      <c r="AX127" s="1253"/>
      <c r="AY127" s="1253"/>
      <c r="AZ127" s="1253"/>
      <c r="BA127" s="1253"/>
      <c r="BB127" s="1253"/>
      <c r="BC127" s="1253"/>
      <c r="BD127" s="942"/>
      <c r="BE127" s="942"/>
      <c r="BF127" s="942"/>
      <c r="BG127" s="942"/>
      <c r="BH127" s="942"/>
      <c r="BI127" s="942"/>
      <c r="BJ127" s="942"/>
      <c r="BK127" s="942"/>
      <c r="BL127" s="942"/>
      <c r="BM127" s="942"/>
      <c r="BN127" s="1251"/>
      <c r="BO127" s="1251"/>
      <c r="BP127" s="1251"/>
      <c r="BQ127" s="1278"/>
      <c r="BR127" s="1278"/>
      <c r="BS127" s="1064" t="s">
        <v>2850</v>
      </c>
      <c r="BT127" s="1064"/>
      <c r="BU127" s="1064"/>
      <c r="BV127" s="979"/>
      <c r="BW127" s="979"/>
    </row>
    <row customHeight="1" ht="14.625" hidden="1">
      <c r="A128" s="1278"/>
      <c r="B128" s="975" cm="1" t="str">
        <f t="array" ref="B128:B128">B127</f>
        <v>false</v>
      </c>
      <c r="C128" s="1278"/>
      <c r="D128" s="1278"/>
      <c r="E128" s="703">
        <v>15</v>
      </c>
      <c r="F128" s="50" cm="1" t="str">
        <f t="array" ref="F128:F128">OFFSET(E128,-1,1)</f>
        <v>0</v>
      </c>
      <c r="G128" s="1278"/>
      <c r="H128" s="1278"/>
      <c r="I128" s="1278"/>
      <c r="J128" s="1278"/>
      <c r="K128" s="107" t="s">
        <v>1267</v>
      </c>
      <c r="L128" s="980"/>
      <c r="M128" s="107"/>
      <c r="N128" s="1278"/>
      <c r="O128" s="1278"/>
      <c r="P128" s="1278"/>
      <c r="Q128" s="1278"/>
      <c r="R128" s="1278"/>
      <c r="S128" s="1278"/>
      <c r="T128" s="465" cm="1" t="str">
        <f t="array" ref="T128:T128">T127</f>
        <v>false</v>
      </c>
      <c r="U128" s="1278"/>
      <c r="V128" s="1278"/>
      <c r="W128" s="1278"/>
      <c r="X128" s="1563"/>
      <c r="Y128" s="1278"/>
      <c r="Z128" s="1546"/>
      <c r="AA128" s="1278"/>
      <c r="AB128" s="795" t="s">
        <v>1394</v>
      </c>
      <c r="AC128" s="796" t="s">
        <v>2851</v>
      </c>
      <c r="AD128" s="797" t="s">
        <v>1170</v>
      </c>
      <c r="AE128" s="1253"/>
      <c r="AF128" s="1253"/>
      <c r="AG128" s="1253"/>
      <c r="AH128" s="942"/>
      <c r="AI128" s="1253"/>
      <c r="AJ128" s="1253"/>
      <c r="AK128" s="1253"/>
      <c r="AL128" s="1253"/>
      <c r="AM128" s="1253"/>
      <c r="AN128" s="1253"/>
      <c r="AO128" s="1253"/>
      <c r="AP128" s="1253"/>
      <c r="AQ128" s="1253"/>
      <c r="AR128" s="1253"/>
      <c r="AS128" s="1253"/>
      <c r="AT128" s="1253"/>
      <c r="AU128" s="1253"/>
      <c r="AV128" s="1253"/>
      <c r="AW128" s="1253"/>
      <c r="AX128" s="1253"/>
      <c r="AY128" s="1253"/>
      <c r="AZ128" s="1253"/>
      <c r="BA128" s="1253"/>
      <c r="BB128" s="1253"/>
      <c r="BC128" s="1253"/>
      <c r="BD128" s="942"/>
      <c r="BE128" s="942"/>
      <c r="BF128" s="942"/>
      <c r="BG128" s="942"/>
      <c r="BH128" s="942"/>
      <c r="BI128" s="942"/>
      <c r="BJ128" s="942"/>
      <c r="BK128" s="942"/>
      <c r="BL128" s="942"/>
      <c r="BM128" s="942"/>
      <c r="BN128" s="1251"/>
      <c r="BO128" s="1251"/>
      <c r="BP128" s="1251"/>
      <c r="BQ128" s="1278"/>
      <c r="BR128" s="1278"/>
      <c r="BS128" s="1064" t="s">
        <v>2852</v>
      </c>
      <c r="BT128" s="1064"/>
      <c r="BU128" s="1064"/>
      <c r="BV128" s="979"/>
      <c r="BW128" s="979"/>
    </row>
    <row customHeight="1" ht="14.625" hidden="1">
      <c r="A129" s="1278"/>
      <c r="B129" s="975" cm="1" t="str">
        <f t="array" ref="B129:B129">B128</f>
        <v>false</v>
      </c>
      <c r="C129" s="1278"/>
      <c r="D129" s="1278"/>
      <c r="E129" s="703">
        <v>15</v>
      </c>
      <c r="F129" s="50" cm="1" t="str">
        <f t="array" ref="F129:F129">OFFSET(E129,-1,1)</f>
        <v>0</v>
      </c>
      <c r="G129" s="1278"/>
      <c r="H129" s="1278"/>
      <c r="I129" s="1278"/>
      <c r="J129" s="1278"/>
      <c r="K129" s="107" t="s">
        <v>1479</v>
      </c>
      <c r="L129" s="980"/>
      <c r="M129" s="107"/>
      <c r="N129" s="1278"/>
      <c r="O129" s="1278"/>
      <c r="P129" s="1278"/>
      <c r="Q129" s="1278"/>
      <c r="R129" s="1278"/>
      <c r="S129" s="1278"/>
      <c r="T129" s="465" cm="1" t="str">
        <f t="array" ref="T129:T129">T128</f>
        <v>false</v>
      </c>
      <c r="U129" s="1278"/>
      <c r="V129" s="1278"/>
      <c r="W129" s="1278"/>
      <c r="X129" s="1563"/>
      <c r="Y129" s="1278"/>
      <c r="Z129" s="1546"/>
      <c r="AA129" s="1278"/>
      <c r="AB129" s="795" t="s">
        <v>1683</v>
      </c>
      <c r="AC129" s="796" t="s">
        <v>2853</v>
      </c>
      <c r="AD129" s="797" t="s">
        <v>1514</v>
      </c>
      <c r="AE129" s="1253"/>
      <c r="AF129" s="1253"/>
      <c r="AG129" s="1253"/>
      <c r="AH129" s="942"/>
      <c r="AI129" s="1253"/>
      <c r="AJ129" s="1253"/>
      <c r="AK129" s="1253"/>
      <c r="AL129" s="1253"/>
      <c r="AM129" s="1253"/>
      <c r="AN129" s="1253"/>
      <c r="AO129" s="1253"/>
      <c r="AP129" s="1253"/>
      <c r="AQ129" s="1253"/>
      <c r="AR129" s="1253"/>
      <c r="AS129" s="1253"/>
      <c r="AT129" s="1253"/>
      <c r="AU129" s="1253"/>
      <c r="AV129" s="1253"/>
      <c r="AW129" s="1253"/>
      <c r="AX129" s="1253"/>
      <c r="AY129" s="1253"/>
      <c r="AZ129" s="1253"/>
      <c r="BA129" s="1253"/>
      <c r="BB129" s="1253"/>
      <c r="BC129" s="1253"/>
      <c r="BD129" s="942"/>
      <c r="BE129" s="942"/>
      <c r="BF129" s="942"/>
      <c r="BG129" s="942"/>
      <c r="BH129" s="942"/>
      <c r="BI129" s="942"/>
      <c r="BJ129" s="942"/>
      <c r="BK129" s="942"/>
      <c r="BL129" s="942"/>
      <c r="BM129" s="942"/>
      <c r="BN129" s="1251"/>
      <c r="BO129" s="1251"/>
      <c r="BP129" s="1251"/>
      <c r="BQ129" s="1278"/>
      <c r="BR129" s="1278"/>
      <c r="BS129" s="1064" t="s">
        <v>2854</v>
      </c>
      <c r="BT129" s="1064"/>
      <c r="BU129" s="1064"/>
      <c r="BV129" s="979"/>
      <c r="BW129" s="979"/>
    </row>
    <row customHeight="1" ht="14.625" hidden="1">
      <c r="A130" s="1278"/>
      <c r="B130" s="975" cm="1" t="str">
        <f t="array" ref="B130:B130">B129</f>
        <v>false</v>
      </c>
      <c r="C130" s="1278"/>
      <c r="D130" s="1278"/>
      <c r="E130" s="703">
        <v>15</v>
      </c>
      <c r="F130" s="50" cm="1" t="str">
        <f t="array" ref="F130:F130">OFFSET(E130,-1,1)</f>
        <v>0</v>
      </c>
      <c r="G130" s="1278"/>
      <c r="H130" s="1278"/>
      <c r="I130" s="1278"/>
      <c r="J130" s="1278"/>
      <c r="K130" s="107" t="s">
        <v>1685</v>
      </c>
      <c r="L130" s="980"/>
      <c r="M130" s="107"/>
      <c r="N130" s="1278"/>
      <c r="O130" s="1278"/>
      <c r="P130" s="1278"/>
      <c r="Q130" s="1278"/>
      <c r="R130" s="1278"/>
      <c r="S130" s="1278"/>
      <c r="T130" s="465" cm="1" t="str">
        <f t="array" ref="T130:T130">T129</f>
        <v>false</v>
      </c>
      <c r="U130" s="1278"/>
      <c r="V130" s="1278"/>
      <c r="W130" s="1278"/>
      <c r="X130" s="1563"/>
      <c r="Y130" s="1278"/>
      <c r="Z130" s="1546"/>
      <c r="AA130" s="1278"/>
      <c r="AB130" s="795" t="s">
        <v>1686</v>
      </c>
      <c r="AC130" s="796" t="s">
        <v>2855</v>
      </c>
      <c r="AD130" s="797" t="s">
        <v>1514</v>
      </c>
      <c r="AE130" s="1253"/>
      <c r="AF130" s="1253"/>
      <c r="AG130" s="1253"/>
      <c r="AH130" s="942"/>
      <c r="AI130" s="1253"/>
      <c r="AJ130" s="1253"/>
      <c r="AK130" s="1253"/>
      <c r="AL130" s="1253"/>
      <c r="AM130" s="1253"/>
      <c r="AN130" s="1253"/>
      <c r="AO130" s="1253"/>
      <c r="AP130" s="1253"/>
      <c r="AQ130" s="1253"/>
      <c r="AR130" s="1253"/>
      <c r="AS130" s="1253"/>
      <c r="AT130" s="1253"/>
      <c r="AU130" s="1253"/>
      <c r="AV130" s="1253"/>
      <c r="AW130" s="1253"/>
      <c r="AX130" s="1253"/>
      <c r="AY130" s="1253"/>
      <c r="AZ130" s="1253"/>
      <c r="BA130" s="1253"/>
      <c r="BB130" s="1253"/>
      <c r="BC130" s="1253"/>
      <c r="BD130" s="942"/>
      <c r="BE130" s="942"/>
      <c r="BF130" s="942"/>
      <c r="BG130" s="942"/>
      <c r="BH130" s="942"/>
      <c r="BI130" s="942"/>
      <c r="BJ130" s="942"/>
      <c r="BK130" s="942"/>
      <c r="BL130" s="942"/>
      <c r="BM130" s="942"/>
      <c r="BN130" s="1251"/>
      <c r="BO130" s="1251"/>
      <c r="BP130" s="1251"/>
      <c r="BQ130" s="1278"/>
      <c r="BR130" s="1278"/>
      <c r="BS130" s="1064" t="s">
        <v>2856</v>
      </c>
      <c r="BT130" s="1064"/>
      <c r="BU130" s="1064"/>
      <c r="BV130" s="979"/>
      <c r="BW130" s="979"/>
    </row>
    <row customHeight="1" ht="14.625" hidden="1">
      <c r="A131" s="1278"/>
      <c r="B131" s="975" cm="1" t="str">
        <f t="array" ref="B131:B131">B130</f>
        <v>false</v>
      </c>
      <c r="C131" s="1278"/>
      <c r="D131" s="1278"/>
      <c r="E131" s="703">
        <v>15</v>
      </c>
      <c r="F131" s="50" cm="1" t="str">
        <f t="array" ref="F131:F131">OFFSET(E131,-1,1)</f>
        <v>0</v>
      </c>
      <c r="G131" s="1278"/>
      <c r="H131" s="1278"/>
      <c r="I131" s="1278"/>
      <c r="J131" s="1278"/>
      <c r="K131" s="107" t="s">
        <v>2857</v>
      </c>
      <c r="L131" s="980"/>
      <c r="M131" s="107"/>
      <c r="N131" s="1278"/>
      <c r="O131" s="1278"/>
      <c r="P131" s="1278"/>
      <c r="Q131" s="1278"/>
      <c r="R131" s="1278"/>
      <c r="S131" s="1278"/>
      <c r="T131" s="465" cm="1" t="str">
        <f t="array" ref="T131:T131">T130</f>
        <v>false</v>
      </c>
      <c r="U131" s="1278"/>
      <c r="V131" s="1278"/>
      <c r="W131" s="1278"/>
      <c r="X131" s="1563"/>
      <c r="Y131" s="1278"/>
      <c r="Z131" s="1546"/>
      <c r="AA131" s="1278"/>
      <c r="AB131" s="795" t="s">
        <v>2858</v>
      </c>
      <c r="AC131" s="798" t="s">
        <v>2859</v>
      </c>
      <c r="AD131" s="797" t="s">
        <v>1170</v>
      </c>
      <c r="AE131" s="1253"/>
      <c r="AF131" s="1253"/>
      <c r="AG131" s="1253"/>
      <c r="AH131" s="942"/>
      <c r="AI131" s="1253"/>
      <c r="AJ131" s="1253"/>
      <c r="AK131" s="1253"/>
      <c r="AL131" s="1253"/>
      <c r="AM131" s="1253"/>
      <c r="AN131" s="1253"/>
      <c r="AO131" s="1253"/>
      <c r="AP131" s="1253"/>
      <c r="AQ131" s="1253"/>
      <c r="AR131" s="1253"/>
      <c r="AS131" s="1253"/>
      <c r="AT131" s="1253"/>
      <c r="AU131" s="1253"/>
      <c r="AV131" s="1253"/>
      <c r="AW131" s="1253"/>
      <c r="AX131" s="1253"/>
      <c r="AY131" s="1253"/>
      <c r="AZ131" s="1253"/>
      <c r="BA131" s="1253"/>
      <c r="BB131" s="1253"/>
      <c r="BC131" s="1253"/>
      <c r="BD131" s="942"/>
      <c r="BE131" s="942"/>
      <c r="BF131" s="942"/>
      <c r="BG131" s="942"/>
      <c r="BH131" s="942"/>
      <c r="BI131" s="942"/>
      <c r="BJ131" s="942"/>
      <c r="BK131" s="942"/>
      <c r="BL131" s="942"/>
      <c r="BM131" s="942"/>
      <c r="BN131" s="1251"/>
      <c r="BO131" s="1251"/>
      <c r="BP131" s="1251"/>
      <c r="BQ131" s="1278"/>
      <c r="BR131" s="1278"/>
      <c r="BS131" s="1064" t="s">
        <v>2860</v>
      </c>
      <c r="BT131" s="1064"/>
      <c r="BU131" s="1064"/>
      <c r="BV131" s="979"/>
      <c r="BW131" s="979"/>
    </row>
    <row customHeight="1" ht="14.625" hidden="1">
      <c r="A132" s="1278"/>
      <c r="B132" s="975" cm="1" t="str">
        <f t="array" ref="B132:B132">B131</f>
        <v>false</v>
      </c>
      <c r="C132" s="1278"/>
      <c r="D132" s="1278"/>
      <c r="E132" s="703">
        <v>15</v>
      </c>
      <c r="F132" s="50" cm="1" t="str">
        <f t="array" ref="F132:F132">OFFSET(E132,-1,1)</f>
        <v>0</v>
      </c>
      <c r="G132" s="1278"/>
      <c r="H132" s="1278"/>
      <c r="I132" s="1278"/>
      <c r="J132" s="1278"/>
      <c r="K132" s="107" t="s">
        <v>1688</v>
      </c>
      <c r="L132" s="980"/>
      <c r="M132" s="107"/>
      <c r="N132" s="1278"/>
      <c r="O132" s="1278"/>
      <c r="P132" s="1278"/>
      <c r="Q132" s="1278"/>
      <c r="R132" s="1278"/>
      <c r="S132" s="1278"/>
      <c r="T132" s="465" cm="1" t="str">
        <f t="array" ref="T132:T132">T131</f>
        <v>false</v>
      </c>
      <c r="U132" s="1278"/>
      <c r="V132" s="1278"/>
      <c r="W132" s="1278"/>
      <c r="X132" s="1563"/>
      <c r="Y132" s="1278"/>
      <c r="Z132" s="1546"/>
      <c r="AA132" s="1278"/>
      <c r="AB132" s="795" t="s">
        <v>1689</v>
      </c>
      <c r="AC132" s="796" t="s">
        <v>2861</v>
      </c>
      <c r="AD132" s="797" t="s">
        <v>1170</v>
      </c>
      <c r="AE132" s="1253"/>
      <c r="AF132" s="1253"/>
      <c r="AG132" s="1253"/>
      <c r="AH132" s="942"/>
      <c r="AI132" s="1253"/>
      <c r="AJ132" s="1253"/>
      <c r="AK132" s="1253"/>
      <c r="AL132" s="1253"/>
      <c r="AM132" s="1253"/>
      <c r="AN132" s="1253"/>
      <c r="AO132" s="1253"/>
      <c r="AP132" s="1253"/>
      <c r="AQ132" s="1253"/>
      <c r="AR132" s="1253"/>
      <c r="AS132" s="1253"/>
      <c r="AT132" s="1253"/>
      <c r="AU132" s="1253"/>
      <c r="AV132" s="1253"/>
      <c r="AW132" s="1253"/>
      <c r="AX132" s="1253"/>
      <c r="AY132" s="1253"/>
      <c r="AZ132" s="1253"/>
      <c r="BA132" s="1253"/>
      <c r="BB132" s="1253"/>
      <c r="BC132" s="1253"/>
      <c r="BD132" s="942"/>
      <c r="BE132" s="942"/>
      <c r="BF132" s="942"/>
      <c r="BG132" s="942"/>
      <c r="BH132" s="942"/>
      <c r="BI132" s="942"/>
      <c r="BJ132" s="942"/>
      <c r="BK132" s="942"/>
      <c r="BL132" s="942"/>
      <c r="BM132" s="942"/>
      <c r="BN132" s="1251"/>
      <c r="BO132" s="1251"/>
      <c r="BP132" s="1251"/>
      <c r="BQ132" s="1278"/>
      <c r="BR132" s="1278"/>
      <c r="BS132" s="1064" t="s">
        <v>2862</v>
      </c>
      <c r="BT132" s="1064"/>
      <c r="BU132" s="1064"/>
      <c r="BV132" s="979"/>
      <c r="BW132" s="979"/>
    </row>
    <row customHeight="1" ht="14.625" hidden="1">
      <c r="A133" s="1278"/>
      <c r="B133" s="975" cm="1" t="str">
        <f t="array" ref="B133:B133">B132</f>
        <v>false</v>
      </c>
      <c r="C133" s="1278"/>
      <c r="D133" s="1278"/>
      <c r="E133" s="703">
        <v>15</v>
      </c>
      <c r="F133" s="50" cm="1" t="str">
        <f t="array" ref="F133:F133">OFFSET(E133,-1,1)</f>
        <v>0</v>
      </c>
      <c r="G133" s="1278"/>
      <c r="H133" s="1278"/>
      <c r="I133" s="1278"/>
      <c r="J133" s="1278"/>
      <c r="K133" s="107" t="s">
        <v>2863</v>
      </c>
      <c r="L133" s="980"/>
      <c r="M133" s="107"/>
      <c r="N133" s="1278"/>
      <c r="O133" s="1278"/>
      <c r="P133" s="1278"/>
      <c r="Q133" s="1278"/>
      <c r="R133" s="1278"/>
      <c r="S133" s="1278"/>
      <c r="T133" s="465" cm="1" t="str">
        <f t="array" ref="T133:T133">T132</f>
        <v>false</v>
      </c>
      <c r="U133" s="1278"/>
      <c r="V133" s="1278"/>
      <c r="W133" s="1278"/>
      <c r="X133" s="1563"/>
      <c r="Y133" s="1278"/>
      <c r="Z133" s="1546"/>
      <c r="AA133" s="1278"/>
      <c r="AB133" s="795" t="s">
        <v>2864</v>
      </c>
      <c r="AC133" s="798" t="s">
        <v>2865</v>
      </c>
      <c r="AD133" s="797" t="s">
        <v>1170</v>
      </c>
      <c r="AE133" s="1253"/>
      <c r="AF133" s="1253"/>
      <c r="AG133" s="1253"/>
      <c r="AH133" s="942"/>
      <c r="AI133" s="1253"/>
      <c r="AJ133" s="1253"/>
      <c r="AK133" s="1253"/>
      <c r="AL133" s="1253"/>
      <c r="AM133" s="1253"/>
      <c r="AN133" s="1253"/>
      <c r="AO133" s="1253"/>
      <c r="AP133" s="1253"/>
      <c r="AQ133" s="1253"/>
      <c r="AR133" s="1253"/>
      <c r="AS133" s="1253"/>
      <c r="AT133" s="1253"/>
      <c r="AU133" s="1253"/>
      <c r="AV133" s="1253"/>
      <c r="AW133" s="1253"/>
      <c r="AX133" s="1253"/>
      <c r="AY133" s="1253"/>
      <c r="AZ133" s="1253"/>
      <c r="BA133" s="1253"/>
      <c r="BB133" s="1253"/>
      <c r="BC133" s="1253"/>
      <c r="BD133" s="942"/>
      <c r="BE133" s="942"/>
      <c r="BF133" s="942"/>
      <c r="BG133" s="942"/>
      <c r="BH133" s="942"/>
      <c r="BI133" s="942"/>
      <c r="BJ133" s="942"/>
      <c r="BK133" s="942"/>
      <c r="BL133" s="942"/>
      <c r="BM133" s="942"/>
      <c r="BN133" s="1251"/>
      <c r="BO133" s="1251"/>
      <c r="BP133" s="1251"/>
      <c r="BQ133" s="1278"/>
      <c r="BR133" s="1278"/>
      <c r="BS133" s="1064" t="s">
        <v>2866</v>
      </c>
      <c r="BT133" s="1064"/>
      <c r="BU133" s="1064"/>
      <c r="BV133" s="979"/>
      <c r="BW133" s="979"/>
    </row>
    <row customHeight="1" ht="14.625" hidden="1">
      <c r="A134" s="1278"/>
      <c r="B134" s="975" cm="1" t="str">
        <f t="array" ref="B134:B134">B133</f>
        <v>false</v>
      </c>
      <c r="C134" s="1278"/>
      <c r="D134" s="1278"/>
      <c r="E134" s="703">
        <v>15</v>
      </c>
      <c r="F134" s="50" cm="1" t="str">
        <f t="array" ref="F134:F134">OFFSET(E134,-1,1)</f>
        <v>0</v>
      </c>
      <c r="G134" s="1278"/>
      <c r="H134" s="1278"/>
      <c r="I134" s="1278"/>
      <c r="J134" s="1278"/>
      <c r="K134" s="107" t="s">
        <v>2867</v>
      </c>
      <c r="L134" s="980"/>
      <c r="M134" s="107"/>
      <c r="N134" s="1278"/>
      <c r="O134" s="1278"/>
      <c r="P134" s="1278"/>
      <c r="Q134" s="1278"/>
      <c r="R134" s="1278"/>
      <c r="S134" s="1278"/>
      <c r="T134" s="465" cm="1" t="str">
        <f t="array" ref="T134:T134">T133</f>
        <v>false</v>
      </c>
      <c r="U134" s="1278"/>
      <c r="V134" s="1278"/>
      <c r="W134" s="1278"/>
      <c r="X134" s="1563"/>
      <c r="Y134" s="1278"/>
      <c r="Z134" s="1546"/>
      <c r="AA134" s="1278"/>
      <c r="AB134" s="795" t="s">
        <v>2868</v>
      </c>
      <c r="AC134" s="798" t="s">
        <v>2869</v>
      </c>
      <c r="AD134" s="797" t="s">
        <v>1170</v>
      </c>
      <c r="AE134" s="1253"/>
      <c r="AF134" s="1253"/>
      <c r="AG134" s="1253"/>
      <c r="AH134" s="942"/>
      <c r="AI134" s="1253"/>
      <c r="AJ134" s="1253"/>
      <c r="AK134" s="1253"/>
      <c r="AL134" s="1253"/>
      <c r="AM134" s="1253"/>
      <c r="AN134" s="1253"/>
      <c r="AO134" s="1253"/>
      <c r="AP134" s="1253"/>
      <c r="AQ134" s="1253"/>
      <c r="AR134" s="1253"/>
      <c r="AS134" s="1253"/>
      <c r="AT134" s="1253"/>
      <c r="AU134" s="1253"/>
      <c r="AV134" s="1253"/>
      <c r="AW134" s="1253"/>
      <c r="AX134" s="1253"/>
      <c r="AY134" s="1253"/>
      <c r="AZ134" s="1253"/>
      <c r="BA134" s="1253"/>
      <c r="BB134" s="1253"/>
      <c r="BC134" s="1253"/>
      <c r="BD134" s="942"/>
      <c r="BE134" s="942"/>
      <c r="BF134" s="942"/>
      <c r="BG134" s="942"/>
      <c r="BH134" s="942"/>
      <c r="BI134" s="942"/>
      <c r="BJ134" s="942"/>
      <c r="BK134" s="942"/>
      <c r="BL134" s="942"/>
      <c r="BM134" s="942"/>
      <c r="BN134" s="1251"/>
      <c r="BO134" s="1251"/>
      <c r="BP134" s="1251"/>
      <c r="BQ134" s="1278"/>
      <c r="BR134" s="1278"/>
      <c r="BS134" s="1064" t="s">
        <v>2870</v>
      </c>
      <c r="BT134" s="1064"/>
      <c r="BU134" s="1064"/>
      <c r="BV134" s="979"/>
      <c r="BW134" s="979"/>
    </row>
    <row s="700" customFormat="1" customHeight="1" ht="20.475" hidden="1">
      <c r="A135" s="700"/>
      <c r="B135" s="435"/>
      <c r="C135" s="700"/>
      <c r="D135" s="109" t="str">
        <f>IF(B134,"6","7")</f>
        <v>7</v>
      </c>
      <c r="E135" s="707">
        <v>21</v>
      </c>
      <c r="F135" s="50" cm="1" t="str">
        <f t="array" ref="F135:F135">OFFSET(E135,-1,1)</f>
        <v>0</v>
      </c>
      <c r="G135" s="158" t="s">
        <v>2871</v>
      </c>
      <c r="H135" s="158"/>
      <c r="I135" s="380" t="s">
        <v>2872</v>
      </c>
      <c r="J135" s="700"/>
      <c r="K135" s="380" t="s">
        <v>2872</v>
      </c>
      <c r="L135" s="985"/>
      <c r="M135" s="109"/>
      <c r="N135" s="700"/>
      <c r="O135" s="700"/>
      <c r="P135" s="700"/>
      <c r="Q135" s="700"/>
      <c r="R135" s="700"/>
      <c r="S135" s="700"/>
      <c r="T135" s="465" cm="1" t="str">
        <f t="array" ref="T135:T135">T134</f>
        <v>false</v>
      </c>
      <c r="U135" s="700"/>
      <c r="V135" s="700"/>
      <c r="W135" s="700"/>
      <c r="X135" s="1563"/>
      <c r="Y135" s="700"/>
      <c r="Z135" s="1546"/>
      <c r="AA135" s="700"/>
      <c r="AB135" s="211" cm="1" t="str">
        <f t="array" ref="AB135:AB135">D135</f>
        <v>7</v>
      </c>
      <c r="AC135" s="219" t="s">
        <v>2323</v>
      </c>
      <c r="AD135" s="211" t="s">
        <v>1514</v>
      </c>
      <c r="AE135" s="1237"/>
      <c r="AF135" s="1237"/>
      <c r="AG135" s="1237"/>
      <c r="AH135" s="761">
        <f>AG135-AF135</f>
        <v>0</v>
      </c>
      <c r="AI135" s="1246"/>
      <c r="AJ135" s="1472">
        <f>_xlfn.SUMIFS('Корректировка НВВ'!$AF$25:$AF$282,'Корректировка НВВ'!$F$25:$F$282,$F135,'Корректировка НВВ'!$I$25:$I$282,$G135)</f>
        <v>0</v>
      </c>
      <c r="AK135" s="1246"/>
      <c r="AL135" s="1246"/>
      <c r="AM135" s="1246"/>
      <c r="AN135" s="1246"/>
      <c r="AO135" s="1246"/>
      <c r="AP135" s="1246"/>
      <c r="AQ135" s="1246"/>
      <c r="AR135" s="1246"/>
      <c r="AS135" s="1246"/>
      <c r="AT135" s="1472">
        <f>_xlfn.SUMIFS('Корректировка НВВ'!$AG$25:$AG$282,'Корректировка НВВ'!$F$25:$F$282,$F135,'Корректировка НВВ'!$I$25:$I$282,$G135)</f>
        <v>0</v>
      </c>
      <c r="AU135" s="1246"/>
      <c r="AV135" s="1246"/>
      <c r="AW135" s="1246"/>
      <c r="AX135" s="1246"/>
      <c r="AY135" s="1246"/>
      <c r="AZ135" s="1246"/>
      <c r="BA135" s="1246"/>
      <c r="BB135" s="1246"/>
      <c r="BC135" s="1246"/>
      <c r="BD135" s="761">
        <f>IF(AI135=0,0,(AT135-AI135)/AI135*100)</f>
        <v>0</v>
      </c>
      <c r="BE135" s="761">
        <f>IF(AT135=0,0,(AU135-AT135)/AT135*100)</f>
        <v>0</v>
      </c>
      <c r="BF135" s="761">
        <f>IF(AU135=0,0,(AV135-AU135)/AU135*100)</f>
        <v>0</v>
      </c>
      <c r="BG135" s="761">
        <f>IF(AV135=0,0,(AW135-AV135)/AV135*100)</f>
        <v>0</v>
      </c>
      <c r="BH135" s="761">
        <f>IF(AW135=0,0,(AX135-AW135)/AW135*100)</f>
        <v>0</v>
      </c>
      <c r="BI135" s="761">
        <f>IF(AX135=0,0,(AY135-AX135)/AX135*100)</f>
        <v>0</v>
      </c>
      <c r="BJ135" s="761">
        <f>IF(AY135=0,0,(AZ135-AY135)/AY135*100)</f>
        <v>0</v>
      </c>
      <c r="BK135" s="761">
        <f>IF(AZ135=0,0,(BA135-AZ135)/AZ135*100)</f>
        <v>0</v>
      </c>
      <c r="BL135" s="761">
        <f>IF(BA135=0,0,(BB135-BA135)/BA135*100)</f>
        <v>0</v>
      </c>
      <c r="BM135" s="761">
        <f>IF(BB135=0,0,(BC135-BB135)/BB135*100)</f>
        <v>0</v>
      </c>
      <c r="BN135" s="1240"/>
      <c r="BO135" s="1254" t="str">
        <f>IF(_xlfn.IFERROR(INDEX('Корректировка НВВ'!$K$26:$L$282,MATCH($F135&amp;"11komm",'Корректировка НВВ'!$K$26:$K$282,0),2),"")=0,"",_xlfn.IFERROR(INDEX('Корректировка НВВ'!$K$26:$L$282,MATCH($F135&amp;"11komm",'Корректировка НВВ'!$K$26:$K$282,0),2),""))</f>
        <v/>
      </c>
      <c r="BP135" s="1240"/>
      <c r="BQ135" s="700"/>
      <c r="BR135" s="700"/>
      <c r="BS135" s="1070" t="s">
        <v>2873</v>
      </c>
      <c r="BT135" s="1070"/>
      <c r="BU135" s="1070"/>
      <c r="BV135" s="707"/>
      <c r="BW135" s="707"/>
    </row>
    <row customHeight="1" ht="14.625" hidden="1">
      <c r="A136" s="1278"/>
      <c r="B136" s="978"/>
      <c r="C136" s="1278"/>
      <c r="D136" s="107" cm="1" t="str">
        <f t="array" ref="D136:D136">D135</f>
        <v>7</v>
      </c>
      <c r="E136" s="703">
        <v>15</v>
      </c>
      <c r="F136" s="50" cm="1" t="str">
        <f t="array" ref="F136:F136">OFFSET(E136,-1,1)</f>
        <v>0</v>
      </c>
      <c r="G136" s="1278"/>
      <c r="H136" s="1278"/>
      <c r="I136" s="1278"/>
      <c r="J136" s="1278"/>
      <c r="K136" s="1278"/>
      <c r="L136" s="980"/>
      <c r="M136" s="107"/>
      <c r="N136" s="1278"/>
      <c r="O136" s="1278"/>
      <c r="P136" s="1278"/>
      <c r="Q136" s="1278"/>
      <c r="R136" s="1278"/>
      <c r="S136" s="1278"/>
      <c r="T136" s="465" cm="1" t="str">
        <f t="array" ref="T136:T136">T135</f>
        <v>false</v>
      </c>
      <c r="U136" s="1278"/>
      <c r="V136" s="1278"/>
      <c r="W136" s="1278"/>
      <c r="X136" s="1563"/>
      <c r="Y136" s="1278"/>
      <c r="Z136" s="1546"/>
      <c r="AA136" s="1278"/>
      <c r="AB136" s="300"/>
      <c r="AC136" s="452" t="s">
        <v>2874</v>
      </c>
      <c r="AD136" s="300"/>
      <c r="AE136" s="945"/>
      <c r="AF136" s="945"/>
      <c r="AG136" s="945"/>
      <c r="AH136" s="942"/>
      <c r="AI136" s="942"/>
      <c r="AJ136" s="942"/>
      <c r="AK136" s="942"/>
      <c r="AL136" s="942"/>
      <c r="AM136" s="942"/>
      <c r="AN136" s="942"/>
      <c r="AO136" s="942"/>
      <c r="AP136" s="942"/>
      <c r="AQ136" s="942"/>
      <c r="AR136" s="942"/>
      <c r="AS136" s="942"/>
      <c r="AT136" s="942"/>
      <c r="AU136" s="942"/>
      <c r="AV136" s="942"/>
      <c r="AW136" s="942"/>
      <c r="AX136" s="942"/>
      <c r="AY136" s="942"/>
      <c r="AZ136" s="942"/>
      <c r="BA136" s="942"/>
      <c r="BB136" s="942"/>
      <c r="BC136" s="942"/>
      <c r="BD136" s="942"/>
      <c r="BE136" s="942"/>
      <c r="BF136" s="942"/>
      <c r="BG136" s="942"/>
      <c r="BH136" s="942"/>
      <c r="BI136" s="942"/>
      <c r="BJ136" s="942"/>
      <c r="BK136" s="942"/>
      <c r="BL136" s="942"/>
      <c r="BM136" s="942"/>
      <c r="BN136" s="526"/>
      <c r="BO136" s="526"/>
      <c r="BP136" s="526"/>
      <c r="BQ136" s="1278"/>
      <c r="BR136" s="1278"/>
      <c r="BS136" s="1064"/>
      <c r="BT136" s="1064"/>
      <c r="BU136" s="1064"/>
      <c r="BV136" s="979"/>
      <c r="BW136" s="979"/>
    </row>
    <row customHeight="1" ht="21.9375" hidden="1">
      <c r="A137" s="1278"/>
      <c r="B137" s="978"/>
      <c r="C137" s="1278"/>
      <c r="D137" s="107" cm="1" t="str">
        <f t="array" ref="D137:D137">D136</f>
        <v>7</v>
      </c>
      <c r="E137" s="703">
        <v>22.5</v>
      </c>
      <c r="F137" s="50" cm="1" t="str">
        <f t="array" ref="F137:F137">OFFSET(E137,-1,1)</f>
        <v>0</v>
      </c>
      <c r="G137" s="158" t="s">
        <v>375</v>
      </c>
      <c r="H137" s="1278"/>
      <c r="I137" s="158" t="s">
        <v>1228</v>
      </c>
      <c r="J137" s="1278"/>
      <c r="K137" s="158" t="s">
        <v>1228</v>
      </c>
      <c r="L137" s="980"/>
      <c r="M137" s="107"/>
      <c r="N137" s="1278"/>
      <c r="O137" s="1278"/>
      <c r="P137" s="1278"/>
      <c r="Q137" s="1278"/>
      <c r="R137" s="1278"/>
      <c r="S137" s="1278"/>
      <c r="T137" s="465" cm="1" t="str">
        <f t="array" ref="T137:T137">T136</f>
        <v>false</v>
      </c>
      <c r="U137" s="1278"/>
      <c r="V137" s="1278"/>
      <c r="W137" s="1278"/>
      <c r="X137" s="1563"/>
      <c r="Y137" s="1278"/>
      <c r="Z137" s="1546"/>
      <c r="AA137" s="1278"/>
      <c r="AB137" s="300" t="str">
        <f>D137&amp;".1"</f>
        <v>7.1</v>
      </c>
      <c r="AC137" s="762" t="s">
        <v>2875</v>
      </c>
      <c r="AD137" s="300" t="s">
        <v>1514</v>
      </c>
      <c r="AE137" s="1255"/>
      <c r="AF137" s="1255"/>
      <c r="AG137" s="1255"/>
      <c r="AH137" s="943">
        <f>AG137-AF137</f>
        <v>0</v>
      </c>
      <c r="AI137" s="1253"/>
      <c r="AJ137" s="1253">
        <f>_xlfn.SUMIFS('Корректировка НВВ'!$AF$25:$AF$282,'Корректировка НВВ'!$F$25:$F$282,$F137,'Корректировка НВВ'!$I$25:$I$282,$G137)</f>
        <v>0</v>
      </c>
      <c r="AK137" s="1253"/>
      <c r="AL137" s="1253"/>
      <c r="AM137" s="1253"/>
      <c r="AN137" s="1253"/>
      <c r="AO137" s="1253"/>
      <c r="AP137" s="1253"/>
      <c r="AQ137" s="1253"/>
      <c r="AR137" s="1253"/>
      <c r="AS137" s="1253"/>
      <c r="AT137" s="1253">
        <f>_xlfn.SUMIFS('Корректировка НВВ'!$AG$25:$AG$282,'Корректировка НВВ'!$F$25:$F$282,$F137,'Корректировка НВВ'!$I$25:$I$282,$G137)</f>
        <v>0</v>
      </c>
      <c r="AU137" s="1253"/>
      <c r="AV137" s="1253"/>
      <c r="AW137" s="1253"/>
      <c r="AX137" s="1253"/>
      <c r="AY137" s="1253"/>
      <c r="AZ137" s="1253"/>
      <c r="BA137" s="1253"/>
      <c r="BB137" s="1253"/>
      <c r="BC137" s="1253"/>
      <c r="BD137" s="942"/>
      <c r="BE137" s="942"/>
      <c r="BF137" s="942"/>
      <c r="BG137" s="942"/>
      <c r="BH137" s="942"/>
      <c r="BI137" s="942"/>
      <c r="BJ137" s="942"/>
      <c r="BK137" s="942"/>
      <c r="BL137" s="942"/>
      <c r="BM137" s="942"/>
      <c r="BN137" s="1256"/>
      <c r="BO137" s="1254" t="str">
        <f>IF(_xlfn.IFERROR(INDEX('Корректировка НВВ'!$K$26:$L$282,MATCH($F137&amp;"1komm",'Корректировка НВВ'!$K$26:$K$282,0),2),"")=0,"",_xlfn.IFERROR(INDEX('Корректировка НВВ'!$K$26:$L$282,MATCH($F137&amp;"1komm",'Корректировка НВВ'!$K$26:$K$282,0),2),""))</f>
        <v/>
      </c>
      <c r="BP137" s="1256"/>
      <c r="BQ137" s="1278"/>
      <c r="BR137" s="1278"/>
      <c r="BS137" s="1064" t="s">
        <v>2876</v>
      </c>
      <c r="BT137" s="1064"/>
      <c r="BU137" s="1064"/>
      <c r="BV137" s="979"/>
      <c r="BW137" s="979"/>
    </row>
    <row customHeight="1" ht="98.71875" hidden="1">
      <c r="A138" s="1278"/>
      <c r="B138" s="978"/>
      <c r="C138" s="1278"/>
      <c r="D138" s="107" cm="1" t="str">
        <f t="array" ref="D138:D138">D137</f>
        <v>7</v>
      </c>
      <c r="E138" s="703">
        <v>101.25</v>
      </c>
      <c r="F138" s="50" cm="1" t="str">
        <f t="array" ref="F138:F138">OFFSET(E138,-1,1)</f>
        <v>0</v>
      </c>
      <c r="G138" s="158" t="s">
        <v>2877</v>
      </c>
      <c r="H138" s="1278"/>
      <c r="I138" s="158" t="s">
        <v>1275</v>
      </c>
      <c r="J138" s="1278"/>
      <c r="K138" s="158" t="s">
        <v>1275</v>
      </c>
      <c r="L138" s="980"/>
      <c r="M138" s="107"/>
      <c r="N138" s="1278"/>
      <c r="O138" s="1278"/>
      <c r="P138" s="1278"/>
      <c r="Q138" s="1278"/>
      <c r="R138" s="1278"/>
      <c r="S138" s="1278"/>
      <c r="T138" s="465" cm="1" t="str">
        <f t="array" ref="T138:T138">T137</f>
        <v>false</v>
      </c>
      <c r="U138" s="1278"/>
      <c r="V138" s="1278"/>
      <c r="W138" s="1278"/>
      <c r="X138" s="1563"/>
      <c r="Y138" s="1278"/>
      <c r="Z138" s="1546"/>
      <c r="AA138" s="1278"/>
      <c r="AB138" s="300" t="str">
        <f>D138&amp;".2"</f>
        <v>7.2</v>
      </c>
      <c r="AC138" s="762" t="s">
        <v>2878</v>
      </c>
      <c r="AD138" s="300" t="s">
        <v>1514</v>
      </c>
      <c r="AE138" s="1255"/>
      <c r="AF138" s="1255"/>
      <c r="AG138" s="1255"/>
      <c r="AH138" s="943">
        <f>AG138-AF138</f>
        <v>0</v>
      </c>
      <c r="AI138" s="1253"/>
      <c r="AJ138" s="1253">
        <f>_xlfn.SUMIFS('Корректировка НВВ'!$AF$25:$AF$282,'Корректировка НВВ'!$F$25:$F$282,$F138,'Корректировка НВВ'!$I$25:$I$282,$G138)</f>
        <v>0</v>
      </c>
      <c r="AK138" s="1253"/>
      <c r="AL138" s="1253"/>
      <c r="AM138" s="1253"/>
      <c r="AN138" s="1253"/>
      <c r="AO138" s="1253"/>
      <c r="AP138" s="1253"/>
      <c r="AQ138" s="1253"/>
      <c r="AR138" s="1253"/>
      <c r="AS138" s="1253"/>
      <c r="AT138" s="1253">
        <f>_xlfn.SUMIFS('Корректировка НВВ'!$AG$25:$AG$282,'Корректировка НВВ'!$F$25:$F$282,$F138,'Корректировка НВВ'!$I$25:$I$282,$G138)</f>
        <v>0</v>
      </c>
      <c r="AU138" s="1253"/>
      <c r="AV138" s="1253"/>
      <c r="AW138" s="1253"/>
      <c r="AX138" s="1253"/>
      <c r="AY138" s="1253"/>
      <c r="AZ138" s="1253"/>
      <c r="BA138" s="1253"/>
      <c r="BB138" s="1253"/>
      <c r="BC138" s="1253"/>
      <c r="BD138" s="942"/>
      <c r="BE138" s="942"/>
      <c r="BF138" s="942"/>
      <c r="BG138" s="942"/>
      <c r="BH138" s="942"/>
      <c r="BI138" s="942"/>
      <c r="BJ138" s="942"/>
      <c r="BK138" s="942"/>
      <c r="BL138" s="942"/>
      <c r="BM138" s="942"/>
      <c r="BN138" s="1256"/>
      <c r="BO138" s="1254" t="str">
        <f>IF(_xlfn.IFERROR(INDEX('Корректировка НВВ'!$K$26:$L$282,MATCH($F138&amp;"2komm",'Корректировка НВВ'!$K$26:$K$282,0),2),"")=0,"",_xlfn.IFERROR(INDEX('Корректировка НВВ'!$K$26:$L$282,MATCH($F138&amp;"2komm",'Корректировка НВВ'!$K$26:$K$282,0),2),""))</f>
        <v/>
      </c>
      <c r="BP138" s="1256"/>
      <c r="BQ138" s="1278"/>
      <c r="BR138" s="1278"/>
      <c r="BS138" s="1064" t="s">
        <v>2879</v>
      </c>
      <c r="BT138" s="1064"/>
      <c r="BU138" s="1064"/>
      <c r="BV138" s="979"/>
      <c r="BW138" s="979"/>
    </row>
    <row customHeight="1" ht="43.875" hidden="1">
      <c r="A139" s="1278"/>
      <c r="B139" s="978"/>
      <c r="C139" s="1278"/>
      <c r="D139" s="107" cm="1" t="str">
        <f t="array" ref="D139:D139">D138</f>
        <v>7</v>
      </c>
      <c r="E139" s="703">
        <v>45</v>
      </c>
      <c r="F139" s="50" cm="1" t="str">
        <f t="array" ref="F139:F139">OFFSET(E139,-1,1)</f>
        <v>0</v>
      </c>
      <c r="G139" s="1278"/>
      <c r="H139" s="1278"/>
      <c r="I139" s="158" t="s">
        <v>1290</v>
      </c>
      <c r="J139" s="1278"/>
      <c r="K139" s="158" t="s">
        <v>1290</v>
      </c>
      <c r="L139" s="980"/>
      <c r="M139" s="107"/>
      <c r="N139" s="1278"/>
      <c r="O139" s="1278"/>
      <c r="P139" s="1278"/>
      <c r="Q139" s="1278"/>
      <c r="R139" s="1278"/>
      <c r="S139" s="1278"/>
      <c r="T139" s="465" cm="1" t="str">
        <f t="array" ref="T139:T139">T138</f>
        <v>false</v>
      </c>
      <c r="U139" s="1278"/>
      <c r="V139" s="1278"/>
      <c r="W139" s="1278"/>
      <c r="X139" s="1563"/>
      <c r="Y139" s="1278"/>
      <c r="Z139" s="1546"/>
      <c r="AA139" s="1278"/>
      <c r="AB139" s="300" t="str">
        <f>D139&amp;".3"</f>
        <v>7.3</v>
      </c>
      <c r="AC139" s="762" t="s">
        <v>2880</v>
      </c>
      <c r="AD139" s="300" t="s">
        <v>1514</v>
      </c>
      <c r="AE139" s="1255"/>
      <c r="AF139" s="1255"/>
      <c r="AG139" s="1255"/>
      <c r="AH139" s="943">
        <f>AG139-AF139</f>
        <v>0</v>
      </c>
      <c r="AI139" s="1253"/>
      <c r="AJ139" s="1253">
        <f>_xlfn.SUMIFS('Корректировка НВВ'!$AF$25:$AF$282,'Корректировка НВВ'!$F$25:$F$282,$F139,'Корректировка НВВ'!$I$25:$I$282,"L1")+_xlfn.SUMIFS('Корректировка НВВ'!$AF$25:$AF$282,'Корректировка НВВ'!$F$25:$F$282,$F139,'Корректировка НВВ'!$I$25:$I$282,"L2")</f>
        <v>0</v>
      </c>
      <c r="AK139" s="1253"/>
      <c r="AL139" s="1253"/>
      <c r="AM139" s="1253"/>
      <c r="AN139" s="1253"/>
      <c r="AO139" s="1253"/>
      <c r="AP139" s="1253"/>
      <c r="AQ139" s="1253"/>
      <c r="AR139" s="1253"/>
      <c r="AS139" s="1253"/>
      <c r="AT139" s="1253">
        <f>_xlfn.SUMIFS('Корректировка НВВ'!$AG$25:$AG$282,'Корректировка НВВ'!$F$25:$F$282,$F139,'Корректировка НВВ'!$I$25:$I$282,"L1")+_xlfn.SUMIFS('Корректировка НВВ'!$AF$25:$AF$282,'Корректировка НВВ'!$F$25:$F$282,$F139,'Корректировка НВВ'!$I$25:$I$282,"L2")</f>
        <v>0</v>
      </c>
      <c r="AU139" s="1253"/>
      <c r="AV139" s="1253"/>
      <c r="AW139" s="1253"/>
      <c r="AX139" s="1253"/>
      <c r="AY139" s="1253"/>
      <c r="AZ139" s="1253"/>
      <c r="BA139" s="1253"/>
      <c r="BB139" s="1253"/>
      <c r="BC139" s="1253"/>
      <c r="BD139" s="942"/>
      <c r="BE139" s="942"/>
      <c r="BF139" s="942"/>
      <c r="BG139" s="942"/>
      <c r="BH139" s="942"/>
      <c r="BI139" s="942"/>
      <c r="BJ139" s="942"/>
      <c r="BK139" s="942"/>
      <c r="BL139" s="942"/>
      <c r="BM139" s="942"/>
      <c r="BN139" s="1256"/>
      <c r="BO139" s="1254"/>
      <c r="BP139" s="1256"/>
      <c r="BQ139" s="1278"/>
      <c r="BR139" s="1278"/>
      <c r="BS139" s="1064" t="s">
        <v>2881</v>
      </c>
      <c r="BT139" s="1064"/>
      <c r="BU139" s="1064"/>
      <c r="BV139" s="979"/>
      <c r="BW139" s="979"/>
    </row>
    <row customHeight="1" ht="87.75" hidden="1">
      <c r="A140" s="1278"/>
      <c r="B140" s="445">
        <f>S27="Водоотведение"</f>
        <v>0</v>
      </c>
      <c r="C140" s="1278"/>
      <c r="D140" s="107" cm="1" t="str">
        <f t="array" ref="D140:D140">D139</f>
        <v>7</v>
      </c>
      <c r="E140" s="703">
        <v>90</v>
      </c>
      <c r="F140" s="50" cm="1" t="str">
        <f t="array" ref="F140:F140">OFFSET(E140,-1,1)</f>
        <v>0</v>
      </c>
      <c r="G140" s="158" t="s">
        <v>2882</v>
      </c>
      <c r="H140" s="49"/>
      <c r="I140" s="158" t="s">
        <v>1456</v>
      </c>
      <c r="J140" s="1278"/>
      <c r="K140" s="158" t="s">
        <v>1456</v>
      </c>
      <c r="L140" s="980" t="s">
        <v>1454</v>
      </c>
      <c r="M140" s="107"/>
      <c r="N140" s="1278"/>
      <c r="O140" s="1278"/>
      <c r="P140" s="1278"/>
      <c r="Q140" s="1278"/>
      <c r="R140" s="1278"/>
      <c r="S140" s="1278"/>
      <c r="T140" s="465" cm="1" t="str">
        <f t="array" ref="T140:T140">T139</f>
        <v>false</v>
      </c>
      <c r="U140" s="1278"/>
      <c r="V140" s="1278"/>
      <c r="W140" s="1278"/>
      <c r="X140" s="1563"/>
      <c r="Y140" s="1278"/>
      <c r="Z140" s="1546"/>
      <c r="AA140" s="1278"/>
      <c r="AB140" s="300" t="str">
        <f>D140&amp;".4"</f>
        <v>7.4</v>
      </c>
      <c r="AC140" s="762" t="s">
        <v>2552</v>
      </c>
      <c r="AD140" s="766" t="s">
        <v>1514</v>
      </c>
      <c r="AE140" s="1255"/>
      <c r="AF140" s="1255"/>
      <c r="AG140" s="1255"/>
      <c r="AH140" s="943">
        <f>AG140-AF140</f>
        <v>0</v>
      </c>
      <c r="AI140" s="1253"/>
      <c r="AJ140" s="1253">
        <f>_xlfn.SUMIFS('Корректировка НВВ'!$AF$25:$AF$282,'Корректировка НВВ'!$F$25:$F$282,$F140,'Корректировка НВВ'!$I$25:$I$282,$G140)</f>
        <v>0</v>
      </c>
      <c r="AK140" s="1253"/>
      <c r="AL140" s="1253"/>
      <c r="AM140" s="1253"/>
      <c r="AN140" s="1253"/>
      <c r="AO140" s="1253"/>
      <c r="AP140" s="1253"/>
      <c r="AQ140" s="1253"/>
      <c r="AR140" s="1253"/>
      <c r="AS140" s="1253"/>
      <c r="AT140" s="1253">
        <f>_xlfn.SUMIFS('Корректировка НВВ'!$AG$25:$AG$282,'Корректировка НВВ'!$F$25:$F$282,$F140,'Корректировка НВВ'!$I$25:$I$282,$G140)</f>
        <v>0</v>
      </c>
      <c r="AU140" s="1253"/>
      <c r="AV140" s="1253"/>
      <c r="AW140" s="1253"/>
      <c r="AX140" s="1253"/>
      <c r="AY140" s="1253"/>
      <c r="AZ140" s="1253"/>
      <c r="BA140" s="1253"/>
      <c r="BB140" s="1253"/>
      <c r="BC140" s="1253"/>
      <c r="BD140" s="942"/>
      <c r="BE140" s="942"/>
      <c r="BF140" s="942"/>
      <c r="BG140" s="942"/>
      <c r="BH140" s="942"/>
      <c r="BI140" s="942"/>
      <c r="BJ140" s="942"/>
      <c r="BK140" s="942"/>
      <c r="BL140" s="942"/>
      <c r="BM140" s="942"/>
      <c r="BN140" s="1256"/>
      <c r="BO140" s="1254" t="str">
        <f>IF(_xlfn.IFERROR(INDEX('Корректировка НВВ'!$K$26:$L$282,MATCH($F140&amp;"3komm",'Корректировка НВВ'!$K$26:$K$282,0),2),"")=0,"",_xlfn.IFERROR(INDEX('Корректировка НВВ'!$K$26:$L$282,MATCH($F140&amp;"3komm",'Корректировка НВВ'!$K$26:$K$282,0),2),""))</f>
        <v/>
      </c>
      <c r="BP140" s="1256"/>
      <c r="BQ140" s="1278"/>
      <c r="BR140" s="1278"/>
      <c r="BS140" s="1064" t="s">
        <v>2098</v>
      </c>
      <c r="BT140" s="1064"/>
      <c r="BU140" s="1064"/>
      <c r="BV140" s="979"/>
      <c r="BW140" s="979"/>
    </row>
    <row customHeight="1" ht="54.84375" hidden="1">
      <c r="A141" s="1278"/>
      <c r="B141" s="445" cm="1" t="str">
        <f t="array" ref="B141:B141">B140</f>
        <v>false</v>
      </c>
      <c r="C141" s="1278"/>
      <c r="D141" s="107" cm="1" t="str">
        <f t="array" ref="D141:D141">D140</f>
        <v>7</v>
      </c>
      <c r="E141" s="703">
        <v>56.25</v>
      </c>
      <c r="F141" s="50" cm="1" t="str">
        <f t="array" ref="F141:F141">OFFSET(E141,-1,1)</f>
        <v>0</v>
      </c>
      <c r="G141" s="158" t="s">
        <v>2883</v>
      </c>
      <c r="H141" s="49"/>
      <c r="I141" s="158" t="s">
        <v>1492</v>
      </c>
      <c r="J141" s="1278"/>
      <c r="K141" s="158" t="s">
        <v>1492</v>
      </c>
      <c r="L141" s="980" t="s">
        <v>1456</v>
      </c>
      <c r="M141" s="107"/>
      <c r="N141" s="1278"/>
      <c r="O141" s="1278"/>
      <c r="P141" s="1278"/>
      <c r="Q141" s="1278"/>
      <c r="R141" s="1278"/>
      <c r="S141" s="1278"/>
      <c r="T141" s="465" cm="1" t="str">
        <f t="array" ref="T141:T141">T140</f>
        <v>false</v>
      </c>
      <c r="U141" s="1278"/>
      <c r="V141" s="1278"/>
      <c r="W141" s="1278"/>
      <c r="X141" s="1563"/>
      <c r="Y141" s="1278"/>
      <c r="Z141" s="1546"/>
      <c r="AA141" s="1278"/>
      <c r="AB141" s="300" t="str">
        <f>D141&amp;".5"</f>
        <v>7.5</v>
      </c>
      <c r="AC141" s="762" t="s">
        <v>2553</v>
      </c>
      <c r="AD141" s="766" t="s">
        <v>1514</v>
      </c>
      <c r="AE141" s="1255"/>
      <c r="AF141" s="1255"/>
      <c r="AG141" s="1255"/>
      <c r="AH141" s="943">
        <f>AG141-AF141</f>
        <v>0</v>
      </c>
      <c r="AI141" s="1253"/>
      <c r="AJ141" s="1253">
        <f>_xlfn.SUMIFS('Корректировка НВВ'!$AF$25:$AF$282,'Корректировка НВВ'!$F$25:$F$282,$F141,'Корректировка НВВ'!$I$25:$I$282,$G141)</f>
        <v>0</v>
      </c>
      <c r="AK141" s="1253"/>
      <c r="AL141" s="1253"/>
      <c r="AM141" s="1253"/>
      <c r="AN141" s="1253"/>
      <c r="AO141" s="1253"/>
      <c r="AP141" s="1253"/>
      <c r="AQ141" s="1253"/>
      <c r="AR141" s="1253"/>
      <c r="AS141" s="1253"/>
      <c r="AT141" s="1253">
        <f>_xlfn.SUMIFS('Корректировка НВВ'!$AG$25:$AG$282,'Корректировка НВВ'!$F$25:$F$282,$F141,'Корректировка НВВ'!$I$25:$I$282,$G141)</f>
        <v>0</v>
      </c>
      <c r="AU141" s="1253"/>
      <c r="AV141" s="1253"/>
      <c r="AW141" s="1253"/>
      <c r="AX141" s="1253"/>
      <c r="AY141" s="1253"/>
      <c r="AZ141" s="1253"/>
      <c r="BA141" s="1253"/>
      <c r="BB141" s="1253"/>
      <c r="BC141" s="1253"/>
      <c r="BD141" s="942"/>
      <c r="BE141" s="942"/>
      <c r="BF141" s="942"/>
      <c r="BG141" s="942"/>
      <c r="BH141" s="942"/>
      <c r="BI141" s="942"/>
      <c r="BJ141" s="942"/>
      <c r="BK141" s="942"/>
      <c r="BL141" s="942"/>
      <c r="BM141" s="942"/>
      <c r="BN141" s="1256"/>
      <c r="BO141" s="1254" t="str">
        <f>IF(_xlfn.IFERROR(INDEX('Корректировка НВВ'!$K$26:$L$282,MATCH($F141&amp;"4komm",'Корректировка НВВ'!$K$26:$K$282,0),2),"")=0,"",_xlfn.IFERROR(INDEX('Корректировка НВВ'!$K$26:$L$282,MATCH($F141&amp;"4komm",'Корректировка НВВ'!$K$26:$K$282,0),2),""))</f>
        <v/>
      </c>
      <c r="BP141" s="1256"/>
      <c r="BQ141" s="1278"/>
      <c r="BR141" s="1278"/>
      <c r="BS141" s="1064" t="s">
        <v>2102</v>
      </c>
      <c r="BT141" s="1064"/>
      <c r="BU141" s="1064"/>
      <c r="BV141" s="979"/>
      <c r="BW141" s="979"/>
    </row>
    <row customHeight="1" ht="14.625" hidden="1">
      <c r="A142" s="1278"/>
      <c r="B142" s="978"/>
      <c r="C142" s="1278"/>
      <c r="D142" s="107" cm="1" t="str">
        <f t="array" ref="D142:D142">D141</f>
        <v>7</v>
      </c>
      <c r="E142" s="703">
        <v>15</v>
      </c>
      <c r="F142" s="50" cm="1" t="str">
        <f t="array" ref="F142:F142">OFFSET(E142,-1,1)</f>
        <v>0</v>
      </c>
      <c r="G142" s="158" t="s">
        <v>2884</v>
      </c>
      <c r="H142" s="1278"/>
      <c r="I142" s="158" t="s">
        <v>1493</v>
      </c>
      <c r="J142" s="1278"/>
      <c r="K142" s="158" t="s">
        <v>1493</v>
      </c>
      <c r="L142" s="980" t="s">
        <v>1492</v>
      </c>
      <c r="M142" s="107"/>
      <c r="N142" s="1278"/>
      <c r="O142" s="1278"/>
      <c r="P142" s="1278"/>
      <c r="Q142" s="1278"/>
      <c r="R142" s="1278"/>
      <c r="S142" s="1278"/>
      <c r="T142" s="465" cm="1" t="str">
        <f t="array" ref="T142:T142">T141</f>
        <v>false</v>
      </c>
      <c r="U142" s="1278"/>
      <c r="V142" s="1278"/>
      <c r="W142" s="1278"/>
      <c r="X142" s="1563"/>
      <c r="Y142" s="1278"/>
      <c r="Z142" s="1546"/>
      <c r="AA142" s="1278"/>
      <c r="AB142" s="300" t="str">
        <f>IF(B141,D142&amp;".6",D142&amp;".4")</f>
        <v>7.4</v>
      </c>
      <c r="AC142" s="762" t="s">
        <v>2316</v>
      </c>
      <c r="AD142" s="300" t="s">
        <v>1514</v>
      </c>
      <c r="AE142" s="1255"/>
      <c r="AF142" s="1255"/>
      <c r="AG142" s="1255"/>
      <c r="AH142" s="943">
        <f>AG142-AF142</f>
        <v>0</v>
      </c>
      <c r="AI142" s="1253"/>
      <c r="AJ142" s="1253">
        <f>_xlfn.SUMIFS('Корректировка НВВ'!$AF$25:$AF$282,'Корректировка НВВ'!$F$25:$F$282,$F142,'Корректировка НВВ'!$I$25:$I$282,$G142)</f>
        <v>0</v>
      </c>
      <c r="AK142" s="1253"/>
      <c r="AL142" s="1253"/>
      <c r="AM142" s="1253"/>
      <c r="AN142" s="1253"/>
      <c r="AO142" s="1253"/>
      <c r="AP142" s="1253"/>
      <c r="AQ142" s="1253"/>
      <c r="AR142" s="1253"/>
      <c r="AS142" s="1253"/>
      <c r="AT142" s="1253">
        <f>_xlfn.SUMIFS('Корректировка НВВ'!$AG$25:$AG$282,'Корректировка НВВ'!$F$25:$F$282,$F142,'Корректировка НВВ'!$I$25:$I$282,$G142)</f>
        <v>0</v>
      </c>
      <c r="AU142" s="1253"/>
      <c r="AV142" s="1253"/>
      <c r="AW142" s="1253"/>
      <c r="AX142" s="1253"/>
      <c r="AY142" s="1253"/>
      <c r="AZ142" s="1253"/>
      <c r="BA142" s="1253"/>
      <c r="BB142" s="1253"/>
      <c r="BC142" s="1253"/>
      <c r="BD142" s="942"/>
      <c r="BE142" s="942"/>
      <c r="BF142" s="942"/>
      <c r="BG142" s="942"/>
      <c r="BH142" s="942"/>
      <c r="BI142" s="942"/>
      <c r="BJ142" s="942"/>
      <c r="BK142" s="942"/>
      <c r="BL142" s="942"/>
      <c r="BM142" s="942"/>
      <c r="BN142" s="1256"/>
      <c r="BO142" s="1254" t="str">
        <f>IF(_xlfn.IFERROR(INDEX('Корректировка НВВ'!$K$26:$L$282,MATCH($F142&amp;"5komm",'Корректировка НВВ'!$K$26:$K$282,0),2),"")=0,"",_xlfn.IFERROR(INDEX('Корректировка НВВ'!$K$26:$L$282,MATCH($F142&amp;"5komm",'Корректировка НВВ'!$K$26:$K$282,0),2),""))</f>
        <v/>
      </c>
      <c r="BP142" s="1256"/>
      <c r="BQ142" s="1278"/>
      <c r="BR142" s="1278"/>
      <c r="BS142" s="1064" t="s">
        <v>2885</v>
      </c>
      <c r="BT142" s="1064"/>
      <c r="BU142" s="1064"/>
      <c r="BV142" s="979"/>
      <c r="BW142" s="979"/>
    </row>
    <row customHeight="1" ht="14.625" hidden="1">
      <c r="A143" s="1278"/>
      <c r="B143" s="978"/>
      <c r="C143" s="1278"/>
      <c r="D143" s="107" cm="1" t="str">
        <f t="array" ref="D143:D143">D142</f>
        <v>7</v>
      </c>
      <c r="E143" s="703">
        <v>15</v>
      </c>
      <c r="F143" s="50" cm="1" t="str">
        <f t="array" ref="F143:F143">OFFSET(E143,-1,1)</f>
        <v>0</v>
      </c>
      <c r="G143" s="158" t="s">
        <v>2886</v>
      </c>
      <c r="H143" s="1278"/>
      <c r="I143" s="158" t="s">
        <v>2561</v>
      </c>
      <c r="J143" s="1278"/>
      <c r="K143" s="158" t="s">
        <v>2561</v>
      </c>
      <c r="L143" s="980" t="s">
        <v>1493</v>
      </c>
      <c r="M143" s="107"/>
      <c r="N143" s="1278"/>
      <c r="O143" s="1278"/>
      <c r="P143" s="1278"/>
      <c r="Q143" s="1278"/>
      <c r="R143" s="1278"/>
      <c r="S143" s="1278"/>
      <c r="T143" s="465" cm="1" t="str">
        <f t="array" ref="T143:T143">T142</f>
        <v>false</v>
      </c>
      <c r="U143" s="1278"/>
      <c r="V143" s="1278"/>
      <c r="W143" s="1278"/>
      <c r="X143" s="1563"/>
      <c r="Y143" s="1278"/>
      <c r="Z143" s="1546"/>
      <c r="AA143" s="1278"/>
      <c r="AB143" s="300" t="str">
        <f>IF(B141,D142&amp;".7",D142&amp;".5")</f>
        <v>7.5</v>
      </c>
      <c r="AC143" s="762" t="s">
        <v>2278</v>
      </c>
      <c r="AD143" s="300" t="s">
        <v>1514</v>
      </c>
      <c r="AE143" s="1255">
        <f>AE144+AE145</f>
        <v>0</v>
      </c>
      <c r="AF143" s="1255">
        <f>AF144+AF145</f>
        <v>0</v>
      </c>
      <c r="AG143" s="1255">
        <f>AG144+AG145</f>
        <v>0</v>
      </c>
      <c r="AH143" s="943">
        <f>AG143-AF143</f>
        <v>0</v>
      </c>
      <c r="AI143" s="1253">
        <f>AI144+AI145</f>
        <v>0</v>
      </c>
      <c r="AJ143" s="1253">
        <f>_xlfn.SUMIFS('Корректировка НВВ'!$AF$25:$AF$282,'Корректировка НВВ'!$F$25:$F$282,$F143,'Корректировка НВВ'!$I$25:$I$282,$G143)</f>
        <v>0</v>
      </c>
      <c r="AK143" s="1253">
        <f>AK144+AK145</f>
        <v>0</v>
      </c>
      <c r="AL143" s="1253">
        <f>AL144+AL145</f>
        <v>0</v>
      </c>
      <c r="AM143" s="1253">
        <f>AM144+AM145</f>
        <v>0</v>
      </c>
      <c r="AN143" s="1253">
        <f>AN144+AN145</f>
        <v>0</v>
      </c>
      <c r="AO143" s="1253">
        <f>AO144+AO145</f>
        <v>0</v>
      </c>
      <c r="AP143" s="1253">
        <f>AP144+AP145</f>
        <v>0</v>
      </c>
      <c r="AQ143" s="1253">
        <f>AQ144+AQ145</f>
        <v>0</v>
      </c>
      <c r="AR143" s="1253">
        <f>AR144+AR145</f>
        <v>0</v>
      </c>
      <c r="AS143" s="1253">
        <f>AS144+AS145</f>
        <v>0</v>
      </c>
      <c r="AT143" s="1253">
        <f>_xlfn.SUMIFS('Корректировка НВВ'!$AG$25:$AG$282,'Корректировка НВВ'!$F$25:$F$282,$F143,'Корректировка НВВ'!$I$25:$I$282,$G143)</f>
        <v>0</v>
      </c>
      <c r="AU143" s="1253">
        <f>AU144+AU145</f>
        <v>0</v>
      </c>
      <c r="AV143" s="1253">
        <f>AV144+AV145</f>
        <v>0</v>
      </c>
      <c r="AW143" s="1253">
        <f>AW144+AW145</f>
        <v>0</v>
      </c>
      <c r="AX143" s="1253">
        <f>AX144+AX145</f>
        <v>0</v>
      </c>
      <c r="AY143" s="1253">
        <f>AY144+AY145</f>
        <v>0</v>
      </c>
      <c r="AZ143" s="1253">
        <f>AZ144+AZ145</f>
        <v>0</v>
      </c>
      <c r="BA143" s="1253">
        <f>BA144+BA145</f>
        <v>0</v>
      </c>
      <c r="BB143" s="1253">
        <f>BB144+BB145</f>
        <v>0</v>
      </c>
      <c r="BC143" s="1253">
        <f>BC144+BC145</f>
        <v>0</v>
      </c>
      <c r="BD143" s="943">
        <f>IF(AI143=0,0,(AT143-AI143)/AI143*100)</f>
        <v>0</v>
      </c>
      <c r="BE143" s="943">
        <f>IF(AT143=0,0,(AU143-AT143)/AT143*100)</f>
        <v>0</v>
      </c>
      <c r="BF143" s="943">
        <f>IF(AU143=0,0,(AV143-AU143)/AU143*100)</f>
        <v>0</v>
      </c>
      <c r="BG143" s="943">
        <f>IF(AV143=0,0,(AW143-AV143)/AV143*100)</f>
        <v>0</v>
      </c>
      <c r="BH143" s="943">
        <f>IF(AW143=0,0,(AX143-AW143)/AW143*100)</f>
        <v>0</v>
      </c>
      <c r="BI143" s="943">
        <f>IF(AX143=0,0,(AY143-AX143)/AX143*100)</f>
        <v>0</v>
      </c>
      <c r="BJ143" s="943">
        <f>IF(AY143=0,0,(AZ143-AY143)/AY143*100)</f>
        <v>0</v>
      </c>
      <c r="BK143" s="943">
        <f>IF(AZ143=0,0,(BA143-AZ143)/AZ143*100)</f>
        <v>0</v>
      </c>
      <c r="BL143" s="943">
        <f>IF(BA143=0,0,(BB143-BA143)/BA143*100)</f>
        <v>0</v>
      </c>
      <c r="BM143" s="943">
        <f>IF(BB143=0,0,(BC143-BB143)/BB143*100)</f>
        <v>0</v>
      </c>
      <c r="BN143" s="1256"/>
      <c r="BO143" s="1254" t="str">
        <f>IF(_xlfn.IFERROR(INDEX('Корректировка НВВ'!$K$26:$L$282,MATCH($F143&amp;"6komm",'Корректировка НВВ'!$K$26:$K$282,0),2),"")=0,"",_xlfn.IFERROR(INDEX('Корректировка НВВ'!$K$26:$L$282,MATCH($F143&amp;"6komm",'Корректировка НВВ'!$K$26:$K$282,0),2),""))</f>
        <v/>
      </c>
      <c r="BP143" s="1256"/>
      <c r="BQ143" s="1278"/>
      <c r="BR143" s="1278"/>
      <c r="BS143" s="1064" t="s">
        <v>2280</v>
      </c>
      <c r="BT143" s="1064"/>
      <c r="BU143" s="1064"/>
      <c r="BV143" s="979"/>
      <c r="BW143" s="979"/>
    </row>
    <row customHeight="1" ht="21.9375" hidden="1">
      <c r="A144" s="1278"/>
      <c r="B144" s="978"/>
      <c r="C144" s="1278"/>
      <c r="D144" s="107" cm="1" t="str">
        <f t="array" ref="D144:D144">D143</f>
        <v>7</v>
      </c>
      <c r="E144" s="703">
        <v>22.5</v>
      </c>
      <c r="F144" s="50" cm="1" t="str">
        <f t="array" ref="F144:F144">OFFSET(E144,-1,1)</f>
        <v>0</v>
      </c>
      <c r="G144" s="158" t="s">
        <v>2887</v>
      </c>
      <c r="H144" s="1278"/>
      <c r="I144" s="158" t="s">
        <v>2888</v>
      </c>
      <c r="J144" s="1278"/>
      <c r="K144" s="158" t="s">
        <v>2888</v>
      </c>
      <c r="L144" s="980" t="s">
        <v>2556</v>
      </c>
      <c r="M144" s="107"/>
      <c r="N144" s="1278"/>
      <c r="O144" s="1278"/>
      <c r="P144" s="1278"/>
      <c r="Q144" s="1278"/>
      <c r="R144" s="1278"/>
      <c r="S144" s="1278"/>
      <c r="T144" s="465" cm="1" t="str">
        <f t="array" ref="T144:T144">T143</f>
        <v>false</v>
      </c>
      <c r="U144" s="1278"/>
      <c r="V144" s="1278"/>
      <c r="W144" s="1278"/>
      <c r="X144" s="1563"/>
      <c r="Y144" s="1278"/>
      <c r="Z144" s="1546"/>
      <c r="AA144" s="1278"/>
      <c r="AB144" s="300" t="str">
        <f>AB143&amp;".1"</f>
        <v>7.5.1</v>
      </c>
      <c r="AC144" s="781" t="s">
        <v>2281</v>
      </c>
      <c r="AD144" s="300" t="s">
        <v>1514</v>
      </c>
      <c r="AE144" s="1255"/>
      <c r="AF144" s="1255"/>
      <c r="AG144" s="1255"/>
      <c r="AH144" s="943">
        <f>AG144-AF144</f>
        <v>0</v>
      </c>
      <c r="AI144" s="1253"/>
      <c r="AJ144" s="1253">
        <f>_xlfn.SUMIFS('Корректировка НВВ'!$AF$25:$AF$282,'Корректировка НВВ'!$F$25:$F$282,$F144,'Корректировка НВВ'!$I$25:$I$282,$G144)</f>
        <v>0</v>
      </c>
      <c r="AK144" s="1253"/>
      <c r="AL144" s="1253"/>
      <c r="AM144" s="1253"/>
      <c r="AN144" s="1253"/>
      <c r="AO144" s="1253"/>
      <c r="AP144" s="1253"/>
      <c r="AQ144" s="1253"/>
      <c r="AR144" s="1253"/>
      <c r="AS144" s="1253"/>
      <c r="AT144" s="1253">
        <f>_xlfn.SUMIFS('Корректировка НВВ'!$AG$25:$AG$282,'Корректировка НВВ'!$F$25:$F$282,$F144,'Корректировка НВВ'!$I$25:$I$282,$G144)</f>
        <v>0</v>
      </c>
      <c r="AU144" s="1253"/>
      <c r="AV144" s="1253"/>
      <c r="AW144" s="1253"/>
      <c r="AX144" s="1253"/>
      <c r="AY144" s="1253"/>
      <c r="AZ144" s="1253"/>
      <c r="BA144" s="1253"/>
      <c r="BB144" s="1253"/>
      <c r="BC144" s="1253"/>
      <c r="BD144" s="942"/>
      <c r="BE144" s="942"/>
      <c r="BF144" s="942"/>
      <c r="BG144" s="942"/>
      <c r="BH144" s="942"/>
      <c r="BI144" s="942"/>
      <c r="BJ144" s="942"/>
      <c r="BK144" s="942"/>
      <c r="BL144" s="942"/>
      <c r="BM144" s="942"/>
      <c r="BN144" s="1256"/>
      <c r="BO144" s="1254" t="str">
        <f>IF(_xlfn.IFERROR(INDEX('Корректировка НВВ'!$K$26:$L$282,MATCH($F144&amp;"7komm",'Корректировка НВВ'!$K$26:$K$282,0),2),"")=0,"",_xlfn.IFERROR(INDEX('Корректировка НВВ'!$K$26:$L$282,MATCH($F144&amp;"7komm",'Корректировка НВВ'!$K$26:$K$282,0),2),""))</f>
        <v/>
      </c>
      <c r="BP144" s="1256"/>
      <c r="BQ144" s="1278"/>
      <c r="BR144" s="1278"/>
      <c r="BS144" s="1064" t="s">
        <v>2282</v>
      </c>
      <c r="BT144" s="1064"/>
      <c r="BU144" s="1064"/>
      <c r="BV144" s="979"/>
      <c r="BW144" s="979"/>
    </row>
    <row customHeight="1" ht="21.9375" hidden="1">
      <c r="A145" s="1278"/>
      <c r="B145" s="978"/>
      <c r="C145" s="1278"/>
      <c r="D145" s="107" cm="1" t="str">
        <f t="array" ref="D145:D145">D144</f>
        <v>7</v>
      </c>
      <c r="E145" s="703">
        <v>22.5</v>
      </c>
      <c r="F145" s="50" cm="1" t="str">
        <f t="array" ref="F145:F145">OFFSET(E145,-1,1)</f>
        <v>0</v>
      </c>
      <c r="G145" s="158" t="s">
        <v>2889</v>
      </c>
      <c r="H145" s="1278"/>
      <c r="I145" s="158" t="s">
        <v>2890</v>
      </c>
      <c r="J145" s="1278"/>
      <c r="K145" s="158" t="s">
        <v>2890</v>
      </c>
      <c r="L145" s="980" t="s">
        <v>2558</v>
      </c>
      <c r="M145" s="107"/>
      <c r="N145" s="1278"/>
      <c r="O145" s="1278"/>
      <c r="P145" s="1278"/>
      <c r="Q145" s="1278"/>
      <c r="R145" s="1278"/>
      <c r="S145" s="1278"/>
      <c r="T145" s="465" cm="1" t="str">
        <f t="array" ref="T145:T145">T144</f>
        <v>false</v>
      </c>
      <c r="U145" s="1278"/>
      <c r="V145" s="1278"/>
      <c r="W145" s="1278"/>
      <c r="X145" s="1563"/>
      <c r="Y145" s="1278"/>
      <c r="Z145" s="1546"/>
      <c r="AA145" s="1278"/>
      <c r="AB145" s="300" t="str">
        <f>AB143&amp;".2"</f>
        <v>7.5.2</v>
      </c>
      <c r="AC145" s="781" t="s">
        <v>2283</v>
      </c>
      <c r="AD145" s="300" t="s">
        <v>1514</v>
      </c>
      <c r="AE145" s="1255"/>
      <c r="AF145" s="1255"/>
      <c r="AG145" s="1255"/>
      <c r="AH145" s="943">
        <f>AG145-AF145</f>
        <v>0</v>
      </c>
      <c r="AI145" s="1253"/>
      <c r="AJ145" s="1253">
        <f>_xlfn.SUMIFS('Корректировка НВВ'!$AF$25:$AF$282,'Корректировка НВВ'!$F$25:$F$282,$F145,'Корректировка НВВ'!$I$25:$I$282,$G145)</f>
        <v>0</v>
      </c>
      <c r="AK145" s="1253"/>
      <c r="AL145" s="1253"/>
      <c r="AM145" s="1253"/>
      <c r="AN145" s="1253"/>
      <c r="AO145" s="1253"/>
      <c r="AP145" s="1253"/>
      <c r="AQ145" s="1253"/>
      <c r="AR145" s="1253"/>
      <c r="AS145" s="1253"/>
      <c r="AT145" s="1253">
        <f>_xlfn.SUMIFS('Корректировка НВВ'!$AG$25:$AG$282,'Корректировка НВВ'!$F$25:$F$282,$F145,'Корректировка НВВ'!$I$25:$I$282,$G145)</f>
        <v>0</v>
      </c>
      <c r="AU145" s="1253"/>
      <c r="AV145" s="1253"/>
      <c r="AW145" s="1253"/>
      <c r="AX145" s="1253"/>
      <c r="AY145" s="1253"/>
      <c r="AZ145" s="1253"/>
      <c r="BA145" s="1253"/>
      <c r="BB145" s="1253"/>
      <c r="BC145" s="1253"/>
      <c r="BD145" s="942"/>
      <c r="BE145" s="942"/>
      <c r="BF145" s="942"/>
      <c r="BG145" s="942"/>
      <c r="BH145" s="942"/>
      <c r="BI145" s="942"/>
      <c r="BJ145" s="942"/>
      <c r="BK145" s="942"/>
      <c r="BL145" s="942"/>
      <c r="BM145" s="942"/>
      <c r="BN145" s="1256"/>
      <c r="BO145" s="1254" t="str">
        <f>IF(_xlfn.IFERROR(INDEX('Корректировка НВВ'!$K$26:$L$282,MATCH($F145&amp;"8komm",'Корректировка НВВ'!$K$26:$K$282,0),2),"")=0,"",_xlfn.IFERROR(INDEX('Корректировка НВВ'!$K$26:$L$282,MATCH($F145&amp;"8komm",'Корректировка НВВ'!$K$26:$K$282,0),2),""))</f>
        <v/>
      </c>
      <c r="BP145" s="1256"/>
      <c r="BQ145" s="1278"/>
      <c r="BR145" s="1278"/>
      <c r="BS145" s="1064" t="s">
        <v>2284</v>
      </c>
      <c r="BT145" s="1064"/>
      <c r="BU145" s="1064"/>
      <c r="BV145" s="979"/>
      <c r="BW145" s="979"/>
    </row>
    <row customHeight="1" ht="14.625" hidden="1">
      <c r="A146" s="1278"/>
      <c r="B146" s="978"/>
      <c r="C146" s="1278"/>
      <c r="D146" s="107" cm="1" t="str">
        <f t="array" ref="D146:D146">D145</f>
        <v>7</v>
      </c>
      <c r="E146" s="703">
        <v>15</v>
      </c>
      <c r="F146" s="50" cm="1" t="str">
        <f t="array" ref="F146:F146">OFFSET(E146,-1,1)</f>
        <v>0</v>
      </c>
      <c r="G146" s="158" t="s">
        <v>320</v>
      </c>
      <c r="H146" s="1278"/>
      <c r="I146" s="158" t="s">
        <v>2562</v>
      </c>
      <c r="J146" s="1278"/>
      <c r="K146" s="158" t="s">
        <v>2562</v>
      </c>
      <c r="L146" s="980" t="s">
        <v>2561</v>
      </c>
      <c r="M146" s="107"/>
      <c r="N146" s="1278"/>
      <c r="O146" s="1278"/>
      <c r="P146" s="1278"/>
      <c r="Q146" s="1278"/>
      <c r="R146" s="1278"/>
      <c r="S146" s="1278"/>
      <c r="T146" s="465" cm="1" t="str">
        <f t="array" ref="T146:T146">T145</f>
        <v>false</v>
      </c>
      <c r="U146" s="1278"/>
      <c r="V146" s="1278"/>
      <c r="W146" s="1278"/>
      <c r="X146" s="1563"/>
      <c r="Y146" s="1278"/>
      <c r="Z146" s="1546"/>
      <c r="AA146" s="1278"/>
      <c r="AB146" s="300" t="str">
        <f>IF(B141,D142&amp;".8",D142&amp;".6")</f>
        <v>7.6</v>
      </c>
      <c r="AC146" s="782" t="s">
        <v>2285</v>
      </c>
      <c r="AD146" s="300" t="s">
        <v>1514</v>
      </c>
      <c r="AE146" s="1255"/>
      <c r="AF146" s="1255"/>
      <c r="AG146" s="1255"/>
      <c r="AH146" s="943">
        <f>AG146-AF146</f>
        <v>0</v>
      </c>
      <c r="AI146" s="1253"/>
      <c r="AJ146" s="1253">
        <f>_xlfn.SUMIFS('Корректировка НВВ'!$AF$25:$AF$282,'Корректировка НВВ'!$F$25:$F$282,$F146,'Корректировка НВВ'!$I$25:$I$282,$G146)</f>
        <v>0</v>
      </c>
      <c r="AK146" s="1253"/>
      <c r="AL146" s="1253"/>
      <c r="AM146" s="1253"/>
      <c r="AN146" s="1253"/>
      <c r="AO146" s="1253"/>
      <c r="AP146" s="1253"/>
      <c r="AQ146" s="1253"/>
      <c r="AR146" s="1253"/>
      <c r="AS146" s="1253"/>
      <c r="AT146" s="1253">
        <f>_xlfn.SUMIFS('Корректировка НВВ'!$AG$25:$AG$282,'Корректировка НВВ'!$F$25:$F$282,$F146,'Корректировка НВВ'!$I$25:$I$282,$G146)</f>
        <v>0</v>
      </c>
      <c r="AU146" s="1253"/>
      <c r="AV146" s="1253"/>
      <c r="AW146" s="1253"/>
      <c r="AX146" s="1253"/>
      <c r="AY146" s="1253"/>
      <c r="AZ146" s="1253"/>
      <c r="BA146" s="1253"/>
      <c r="BB146" s="1253"/>
      <c r="BC146" s="1253"/>
      <c r="BD146" s="942"/>
      <c r="BE146" s="942"/>
      <c r="BF146" s="942"/>
      <c r="BG146" s="942"/>
      <c r="BH146" s="942"/>
      <c r="BI146" s="942"/>
      <c r="BJ146" s="942"/>
      <c r="BK146" s="942"/>
      <c r="BL146" s="942"/>
      <c r="BM146" s="942"/>
      <c r="BN146" s="1256"/>
      <c r="BO146" s="1254" t="str">
        <f>IF(_xlfn.IFERROR(INDEX('Корректировка НВВ'!$K$26:$L$282,MATCH($F146&amp;"9komm",'Корректировка НВВ'!$K$26:$K$282,0),2),"")=0,"",_xlfn.IFERROR(INDEX('Корректировка НВВ'!$K$26:$L$282,MATCH($F146&amp;"9komm",'Корректировка НВВ'!$K$26:$K$282,0),2),""))</f>
        <v/>
      </c>
      <c r="BP146" s="1256"/>
      <c r="BQ146" s="1278"/>
      <c r="BR146" s="1278"/>
      <c r="BS146" s="1064" t="s">
        <v>2891</v>
      </c>
      <c r="BT146" s="1064"/>
      <c r="BU146" s="1064"/>
      <c r="BV146" s="979"/>
      <c r="BW146" s="979"/>
    </row>
    <row customHeight="1" ht="14.625" hidden="1">
      <c r="A147" s="1278"/>
      <c r="B147" s="978"/>
      <c r="C147" s="1278"/>
      <c r="D147" s="107" cm="1" t="str">
        <f t="array" ref="D147:D147">D146</f>
        <v>7</v>
      </c>
      <c r="E147" s="703">
        <v>15</v>
      </c>
      <c r="F147" s="50" cm="1" t="str">
        <f t="array" ref="F147:F147">OFFSET(E147,-1,1)</f>
        <v>0</v>
      </c>
      <c r="G147" s="158" t="s">
        <v>2892</v>
      </c>
      <c r="H147" s="1278"/>
      <c r="I147" s="158" t="s">
        <v>2563</v>
      </c>
      <c r="J147" s="1278"/>
      <c r="K147" s="158" t="s">
        <v>2563</v>
      </c>
      <c r="L147" s="980" t="s">
        <v>2562</v>
      </c>
      <c r="M147" s="107"/>
      <c r="N147" s="1278"/>
      <c r="O147" s="1278"/>
      <c r="P147" s="1278"/>
      <c r="Q147" s="1278"/>
      <c r="R147" s="1278"/>
      <c r="S147" s="1278"/>
      <c r="T147" s="465" cm="1" t="str">
        <f t="array" ref="T147:T147">T146</f>
        <v>false</v>
      </c>
      <c r="U147" s="1278"/>
      <c r="V147" s="1278"/>
      <c r="W147" s="1278"/>
      <c r="X147" s="1563"/>
      <c r="Y147" s="1278"/>
      <c r="Z147" s="1546"/>
      <c r="AA147" s="1278"/>
      <c r="AB147" s="300" t="str">
        <f>IF(B141,D142&amp;".9",D142&amp;".7")</f>
        <v>7.7</v>
      </c>
      <c r="AC147" s="782" t="s">
        <v>2287</v>
      </c>
      <c r="AD147" s="300" t="s">
        <v>1514</v>
      </c>
      <c r="AE147" s="1255"/>
      <c r="AF147" s="1255"/>
      <c r="AG147" s="1255"/>
      <c r="AH147" s="943">
        <f>AG147-AF147</f>
        <v>0</v>
      </c>
      <c r="AI147" s="1253"/>
      <c r="AJ147" s="1253">
        <f>_xlfn.SUMIFS('Корректировка НВВ'!$AF$25:$AF$282,'Корректировка НВВ'!$F$25:$F$282,$F147,'Корректировка НВВ'!$I$25:$I$282,$G147)</f>
        <v>0</v>
      </c>
      <c r="AK147" s="1253"/>
      <c r="AL147" s="1253"/>
      <c r="AM147" s="1253"/>
      <c r="AN147" s="1253"/>
      <c r="AO147" s="1253"/>
      <c r="AP147" s="1253"/>
      <c r="AQ147" s="1253"/>
      <c r="AR147" s="1253"/>
      <c r="AS147" s="1253"/>
      <c r="AT147" s="1253">
        <f>_xlfn.SUMIFS('Корректировка НВВ'!$AG$25:$AG$282,'Корректировка НВВ'!$F$25:$F$282,$F147,'Корректировка НВВ'!$I$25:$I$282,$G147)</f>
        <v>0</v>
      </c>
      <c r="AU147" s="1253"/>
      <c r="AV147" s="1253"/>
      <c r="AW147" s="1253"/>
      <c r="AX147" s="1253"/>
      <c r="AY147" s="1253"/>
      <c r="AZ147" s="1253"/>
      <c r="BA147" s="1253"/>
      <c r="BB147" s="1253"/>
      <c r="BC147" s="1253"/>
      <c r="BD147" s="942"/>
      <c r="BE147" s="942"/>
      <c r="BF147" s="942"/>
      <c r="BG147" s="942"/>
      <c r="BH147" s="942"/>
      <c r="BI147" s="942"/>
      <c r="BJ147" s="942"/>
      <c r="BK147" s="942"/>
      <c r="BL147" s="942"/>
      <c r="BM147" s="942"/>
      <c r="BN147" s="1256"/>
      <c r="BO147" s="1254" t="str">
        <f>IF(_xlfn.IFERROR(INDEX('Корректировка НВВ'!$K$26:$L$282,MATCH($F147&amp;"10komm",'Корректировка НВВ'!$K$26:$K$282,0),2),"")=0,"",_xlfn.IFERROR(INDEX('Корректировка НВВ'!$K$26:$L$282,MATCH($F147&amp;"10komm",'Корректировка НВВ'!$K$26:$K$282,0),2),""))</f>
        <v/>
      </c>
      <c r="BP147" s="1256"/>
      <c r="BQ147" s="1278"/>
      <c r="BR147" s="1278"/>
      <c r="BS147" s="1064" t="s">
        <v>2288</v>
      </c>
      <c r="BT147" s="1064"/>
      <c r="BU147" s="1064"/>
      <c r="BV147" s="979"/>
      <c r="BW147" s="979"/>
    </row>
    <row s="700" customFormat="1" customHeight="1" ht="20.475" hidden="1">
      <c r="A148" s="700"/>
      <c r="B148" s="435"/>
      <c r="C148" s="700"/>
      <c r="D148" s="109">
        <f>D147+1</f>
        <v>8</v>
      </c>
      <c r="E148" s="707">
        <v>21</v>
      </c>
      <c r="F148" s="50" cm="1" t="str">
        <f t="array" ref="F148:F148">OFFSET(E148,-1,1)</f>
        <v>0</v>
      </c>
      <c r="G148" s="700"/>
      <c r="H148" s="700"/>
      <c r="I148" s="162" t="s">
        <v>1297</v>
      </c>
      <c r="J148" s="700"/>
      <c r="K148" s="162" t="s">
        <v>1297</v>
      </c>
      <c r="L148" s="985"/>
      <c r="M148" s="109"/>
      <c r="N148" s="700"/>
      <c r="O148" s="700"/>
      <c r="P148" s="700"/>
      <c r="Q148" s="700"/>
      <c r="R148" s="700"/>
      <c r="S148" s="700"/>
      <c r="T148" s="465" cm="1" t="str">
        <f t="array" ref="T148:T148">T147</f>
        <v>false</v>
      </c>
      <c r="U148" s="700"/>
      <c r="V148" s="700"/>
      <c r="W148" s="700"/>
      <c r="X148" s="1563"/>
      <c r="Y148" s="700"/>
      <c r="Z148" s="1546"/>
      <c r="AA148" s="700"/>
      <c r="AB148" s="211" cm="1" t="str">
        <f t="array" ref="AB148:AB148">D148</f>
        <v>8</v>
      </c>
      <c r="AC148" s="212" t="s">
        <v>2893</v>
      </c>
      <c r="AD148" s="211" t="s">
        <v>1514</v>
      </c>
      <c r="AE148" s="1237"/>
      <c r="AF148" s="1237"/>
      <c r="AG148" s="1237"/>
      <c r="AH148" s="761">
        <f>AG148-AF148</f>
        <v>0</v>
      </c>
      <c r="AI148" s="1246"/>
      <c r="AJ148" s="1246"/>
      <c r="AK148" s="1246"/>
      <c r="AL148" s="1246"/>
      <c r="AM148" s="1246"/>
      <c r="AN148" s="1246"/>
      <c r="AO148" s="1246"/>
      <c r="AP148" s="1246"/>
      <c r="AQ148" s="1246"/>
      <c r="AR148" s="1246"/>
      <c r="AS148" s="1246"/>
      <c r="AT148" s="1246"/>
      <c r="AU148" s="1246"/>
      <c r="AV148" s="1246"/>
      <c r="AW148" s="1246"/>
      <c r="AX148" s="1246"/>
      <c r="AY148" s="1246"/>
      <c r="AZ148" s="1246"/>
      <c r="BA148" s="1246"/>
      <c r="BB148" s="1246"/>
      <c r="BC148" s="1246"/>
      <c r="BD148" s="764"/>
      <c r="BE148" s="764"/>
      <c r="BF148" s="764"/>
      <c r="BG148" s="764"/>
      <c r="BH148" s="764"/>
      <c r="BI148" s="764"/>
      <c r="BJ148" s="764"/>
      <c r="BK148" s="764"/>
      <c r="BL148" s="764"/>
      <c r="BM148" s="764"/>
      <c r="BN148" s="1240"/>
      <c r="BO148" s="1240"/>
      <c r="BP148" s="1240"/>
      <c r="BQ148" s="700"/>
      <c r="BR148" s="700"/>
      <c r="BS148" s="1070" t="s">
        <v>2894</v>
      </c>
      <c r="BT148" s="1070"/>
      <c r="BU148" s="1070"/>
      <c r="BV148" s="707"/>
      <c r="BW148" s="707"/>
    </row>
    <row customHeight="1" ht="14.625" hidden="1">
      <c r="A149" s="1278"/>
      <c r="B149" s="978"/>
      <c r="C149" s="1278"/>
      <c r="D149" s="109" cm="1" t="str">
        <f t="array" ref="D149:D149">D148</f>
        <v>8</v>
      </c>
      <c r="E149" s="703">
        <v>15</v>
      </c>
      <c r="F149" s="50" cm="1" t="str">
        <f t="array" ref="F149:F149">OFFSET(E149,-1,1)</f>
        <v>0</v>
      </c>
      <c r="G149" s="1278"/>
      <c r="H149" s="1278"/>
      <c r="I149" s="158" t="s">
        <v>1300</v>
      </c>
      <c r="J149" s="1278"/>
      <c r="K149" s="158" t="s">
        <v>1300</v>
      </c>
      <c r="L149" s="980"/>
      <c r="M149" s="107"/>
      <c r="N149" s="1278"/>
      <c r="O149" s="1278"/>
      <c r="P149" s="1278"/>
      <c r="Q149" s="1278"/>
      <c r="R149" s="1278"/>
      <c r="S149" s="1278"/>
      <c r="T149" s="465" cm="1" t="str">
        <f t="array" ref="T149:T149">T148</f>
        <v>false</v>
      </c>
      <c r="U149" s="1278"/>
      <c r="V149" s="1278"/>
      <c r="W149" s="1278"/>
      <c r="X149" s="1563"/>
      <c r="Y149" s="1278"/>
      <c r="Z149" s="1546"/>
      <c r="AA149" s="1278"/>
      <c r="AB149" s="300" t="str">
        <f>D149&amp;".1"</f>
        <v>8.1</v>
      </c>
      <c r="AC149" s="762" t="s">
        <v>2895</v>
      </c>
      <c r="AD149" s="300" t="s">
        <v>1170</v>
      </c>
      <c r="AE149" s="259">
        <f>IF(AE150=0,0,AE148/(AE150+AE135)*100)</f>
        <v>0</v>
      </c>
      <c r="AF149" s="259">
        <f>IF(AF150=0,0,AF148/(AF150+AF135)*100)</f>
        <v>0</v>
      </c>
      <c r="AG149" s="259">
        <f>IF(AG150=0,0,AG148/(AG150+AG135)*100)</f>
        <v>0</v>
      </c>
      <c r="AH149" s="943">
        <f>AG149-AF149</f>
        <v>0</v>
      </c>
      <c r="AI149" s="943">
        <f>IF(AI150=0,0,AI148/(AI150+AI135)*100)</f>
        <v>0</v>
      </c>
      <c r="AJ149" s="943">
        <f>IF(AJ150=0,0,AJ148/(AJ150+AJ135)*100)</f>
        <v>0</v>
      </c>
      <c r="AK149" s="943">
        <f>IF(AK150=0,0,AK148/(AK150+AK135)*100)</f>
        <v>0</v>
      </c>
      <c r="AL149" s="943">
        <f>IF(AL150=0,0,AL148/(AL150+AL135)*100)</f>
        <v>0</v>
      </c>
      <c r="AM149" s="943">
        <f>IF(AM150=0,0,AM148/(AM150+AM135)*100)</f>
        <v>0</v>
      </c>
      <c r="AN149" s="943">
        <f>IF(AN150=0,0,AN148/(AN150+AN135)*100)</f>
        <v>0</v>
      </c>
      <c r="AO149" s="943">
        <f>IF(AO150=0,0,AO148/(AO150+AO135)*100)</f>
        <v>0</v>
      </c>
      <c r="AP149" s="943">
        <f>IF(AP150=0,0,AP148/(AP150+AP135)*100)</f>
        <v>0</v>
      </c>
      <c r="AQ149" s="943">
        <f>IF(AQ150=0,0,AQ148/(AQ150+AQ135)*100)</f>
        <v>0</v>
      </c>
      <c r="AR149" s="943">
        <f>IF(AR150=0,0,AR148/(AR150+AR135)*100)</f>
        <v>0</v>
      </c>
      <c r="AS149" s="943">
        <f>IF(AS150=0,0,AS148/(AS150+AS135)*100)</f>
        <v>0</v>
      </c>
      <c r="AT149" s="943">
        <f>IF(AT150=0,0,AT148/(AT150+AT135)*100)</f>
        <v>0</v>
      </c>
      <c r="AU149" s="943">
        <f>IF(AU150=0,0,AU148/(AU150+AU135)*100)</f>
        <v>0</v>
      </c>
      <c r="AV149" s="943">
        <f>IF(AV150=0,0,AV148/(AV150+AV135)*100)</f>
        <v>0</v>
      </c>
      <c r="AW149" s="943">
        <f>IF(AW150=0,0,AW148/(AW150+AW135)*100)</f>
        <v>0</v>
      </c>
      <c r="AX149" s="943">
        <f>IF(AX150=0,0,AX148/(AX150+AX135)*100)</f>
        <v>0</v>
      </c>
      <c r="AY149" s="943">
        <f>IF(AY150=0,0,AY148/(AY150+AY135)*100)</f>
        <v>0</v>
      </c>
      <c r="AZ149" s="943">
        <f>IF(AZ150=0,0,AZ148/(AZ150+AZ135)*100)</f>
        <v>0</v>
      </c>
      <c r="BA149" s="943">
        <f>IF(BA150=0,0,BA148/(BA150+BA135)*100)</f>
        <v>0</v>
      </c>
      <c r="BB149" s="943">
        <f>IF(BB150=0,0,BB148/(BB150+BB135)*100)</f>
        <v>0</v>
      </c>
      <c r="BC149" s="943">
        <f>IF(BC150=0,0,BC148/(BC150+BC135)*100)</f>
        <v>0</v>
      </c>
      <c r="BD149" s="942"/>
      <c r="BE149" s="942"/>
      <c r="BF149" s="942"/>
      <c r="BG149" s="942"/>
      <c r="BH149" s="942"/>
      <c r="BI149" s="942"/>
      <c r="BJ149" s="942"/>
      <c r="BK149" s="942"/>
      <c r="BL149" s="942"/>
      <c r="BM149" s="942"/>
      <c r="BN149" s="1256"/>
      <c r="BO149" s="1256"/>
      <c r="BP149" s="1256"/>
      <c r="BQ149" s="1278"/>
      <c r="BR149" s="1278"/>
      <c r="BS149" s="1064" t="s">
        <v>2896</v>
      </c>
      <c r="BT149" s="1064"/>
      <c r="BU149" s="1064"/>
      <c r="BV149" s="979"/>
      <c r="BW149" s="979"/>
    </row>
    <row s="700" customFormat="1" customHeight="1" ht="20.475" hidden="1">
      <c r="A150" s="700"/>
      <c r="B150" s="435"/>
      <c r="C150" s="700"/>
      <c r="D150" s="109">
        <f>D149+1</f>
        <v>9</v>
      </c>
      <c r="E150" s="707">
        <v>21</v>
      </c>
      <c r="F150" s="50" cm="1" t="str">
        <f t="array" ref="F150:F150">OFFSET(E150,-1,1)</f>
        <v>0</v>
      </c>
      <c r="G150" s="700"/>
      <c r="H150" s="158"/>
      <c r="I150" s="158" t="s">
        <v>1454</v>
      </c>
      <c r="J150" s="700"/>
      <c r="K150" s="158" t="s">
        <v>1454</v>
      </c>
      <c r="L150" s="985" t="s">
        <v>2563</v>
      </c>
      <c r="M150" s="109"/>
      <c r="N150" s="700"/>
      <c r="O150" s="700"/>
      <c r="P150" s="700"/>
      <c r="Q150" s="700"/>
      <c r="R150" s="700"/>
      <c r="S150" s="700"/>
      <c r="T150" s="465" cm="1" t="str">
        <f t="array" ref="T150:T150">T149</f>
        <v>false</v>
      </c>
      <c r="U150" s="700"/>
      <c r="V150" s="700"/>
      <c r="W150" s="700"/>
      <c r="X150" s="1563"/>
      <c r="Y150" s="700"/>
      <c r="Z150" s="1546"/>
      <c r="AA150" s="700"/>
      <c r="AB150" s="211" cm="1" t="str">
        <f t="array" ref="AB150:AB150">D150</f>
        <v>9</v>
      </c>
      <c r="AC150" s="212" t="s">
        <v>2564</v>
      </c>
      <c r="AD150" s="234" t="s">
        <v>1514</v>
      </c>
      <c r="AE150" s="213">
        <f>AE28+AE78+AE114+AE115+AE117+AE122+AE123+AE126</f>
        <v>0</v>
      </c>
      <c r="AF150" s="213">
        <f>AF28+AF78+AF114+AF115+AF117+AF122+AF123+AF126</f>
        <v>0</v>
      </c>
      <c r="AG150" s="213">
        <f>AG28+AG78+AG114+AG115+AG117+AG122+AG123+AG126</f>
        <v>0</v>
      </c>
      <c r="AH150" s="761">
        <f>AG150-AF150</f>
        <v>0</v>
      </c>
      <c r="AI150" s="213">
        <f>AI28+AI78+AI114+AI115+AI117+AI122+AI123+AI126</f>
        <v>0</v>
      </c>
      <c r="AJ150" s="213">
        <f>AJ28+AJ78+AJ114+AJ115+AJ117+AJ122+AJ123+AJ126</f>
        <v>0</v>
      </c>
      <c r="AK150" s="213">
        <f>AK28+AK78+AK114+AK115+AK117+AK122+AK123+AK126</f>
        <v>0</v>
      </c>
      <c r="AL150" s="213">
        <f>AL28+AL78+AL114+AL115+AL117+AL122+AL123+AL126</f>
        <v>0</v>
      </c>
      <c r="AM150" s="213">
        <f>AM28+AM78+AM114+AM115+AM117+AM122+AM123+AM126</f>
        <v>0</v>
      </c>
      <c r="AN150" s="213">
        <f>AN28+AN78+AN114+AN115+AN117+AN122+AN123+AN126</f>
        <v>0</v>
      </c>
      <c r="AO150" s="213">
        <f>AO28+AO78+AO114+AO115+AO117+AO122+AO123+AO126</f>
        <v>0</v>
      </c>
      <c r="AP150" s="213">
        <f>AP28+AP78+AP114+AP115+AP117+AP122+AP123+AP126</f>
        <v>0</v>
      </c>
      <c r="AQ150" s="213">
        <f>AQ28+AQ78+AQ114+AQ115+AQ117+AQ122+AQ123+AQ126</f>
        <v>0</v>
      </c>
      <c r="AR150" s="213">
        <f>AR28+AR78+AR114+AR115+AR117+AR122+AR123+AR126</f>
        <v>0</v>
      </c>
      <c r="AS150" s="213">
        <f>AS28+AS78+AS114+AS115+AS117+AS122+AS123+AS126</f>
        <v>0</v>
      </c>
      <c r="AT150" s="213">
        <f>AT28+AT78+AT114+AT115+AT117+AT122+AT123+AT126</f>
        <v>0</v>
      </c>
      <c r="AU150" s="213">
        <f>AU28+AU78+AU114+AU115+AU117+AU122+AU123+AU126</f>
        <v>0</v>
      </c>
      <c r="AV150" s="213">
        <f>AV28+AV78+AV114+AV115+AV117+AV122+AV123+AV126</f>
        <v>0</v>
      </c>
      <c r="AW150" s="213">
        <f>AW28+AW78+AW114+AW115+AW117+AW122+AW123+AW126</f>
        <v>0</v>
      </c>
      <c r="AX150" s="213">
        <f>AX28+AX78+AX114+AX115+AX117+AX122+AX123+AX126</f>
        <v>0</v>
      </c>
      <c r="AY150" s="213">
        <f>AY28+AY78+AY114+AY115+AY117+AY122+AY123+AY126</f>
        <v>0</v>
      </c>
      <c r="AZ150" s="213">
        <f>AZ28+AZ78+AZ114+AZ115+AZ117+AZ122+AZ123+AZ126</f>
        <v>0</v>
      </c>
      <c r="BA150" s="213">
        <f>BA28+BA78+BA114+BA115+BA117+BA122+BA123+BA126</f>
        <v>0</v>
      </c>
      <c r="BB150" s="213">
        <f>BB28+BB78+BB114+BB115+BB117+BB122+BB123+BB126</f>
        <v>0</v>
      </c>
      <c r="BC150" s="213">
        <f>BC28+BC78+BC114+BC115+BC117+BC122+BC123+BC126</f>
        <v>0</v>
      </c>
      <c r="BD150" s="761">
        <f>IF(AI150=0,0,(AT150-AI150)/AI150*100)</f>
        <v>0</v>
      </c>
      <c r="BE150" s="761">
        <f>IF(AT150=0,0,(AU150-AT150)/AT150*100)</f>
        <v>0</v>
      </c>
      <c r="BF150" s="761">
        <f>IF(AU150=0,0,(AV150-AU150)/AU150*100)</f>
        <v>0</v>
      </c>
      <c r="BG150" s="761">
        <f>IF(AV150=0,0,(AW150-AV150)/AV150*100)</f>
        <v>0</v>
      </c>
      <c r="BH150" s="761">
        <f>IF(AW150=0,0,(AX150-AW150)/AW150*100)</f>
        <v>0</v>
      </c>
      <c r="BI150" s="761">
        <f>IF(AX150=0,0,(AY150-AX150)/AX150*100)</f>
        <v>0</v>
      </c>
      <c r="BJ150" s="761">
        <f>IF(AY150=0,0,(AZ150-AY150)/AY150*100)</f>
        <v>0</v>
      </c>
      <c r="BK150" s="761">
        <f>IF(AZ150=0,0,(BA150-AZ150)/AZ150*100)</f>
        <v>0</v>
      </c>
      <c r="BL150" s="761">
        <f>IF(BA150=0,0,(BB150-BA150)/BA150*100)</f>
        <v>0</v>
      </c>
      <c r="BM150" s="761">
        <f>IF(BB150=0,0,(BC150-BB150)/BB150*100)</f>
        <v>0</v>
      </c>
      <c r="BN150" s="1256"/>
      <c r="BO150" s="1256"/>
      <c r="BP150" s="1256"/>
      <c r="BQ150" s="700"/>
      <c r="BR150" s="700"/>
      <c r="BS150" s="1070" t="s">
        <v>2565</v>
      </c>
      <c r="BT150" s="1070"/>
      <c r="BU150" s="1070"/>
      <c r="BV150" s="707"/>
      <c r="BW150" s="707"/>
    </row>
    <row s="700" customFormat="1" customHeight="1" ht="20.475" hidden="1">
      <c r="A151" s="700"/>
      <c r="B151" s="435"/>
      <c r="C151" s="700"/>
      <c r="D151" s="109">
        <f>D150+1</f>
        <v>10</v>
      </c>
      <c r="E151" s="707">
        <v>21</v>
      </c>
      <c r="F151" s="50" cm="1" t="str">
        <f t="array" ref="F151:F151">OFFSET(E151,-1,1)</f>
        <v>0</v>
      </c>
      <c r="G151" s="700"/>
      <c r="H151" s="158"/>
      <c r="I151" s="158" t="s">
        <v>2574</v>
      </c>
      <c r="J151" s="700"/>
      <c r="K151" s="158" t="s">
        <v>2574</v>
      </c>
      <c r="L151" s="985"/>
      <c r="M151" s="109"/>
      <c r="N151" s="700"/>
      <c r="O151" s="700"/>
      <c r="P151" s="700"/>
      <c r="Q151" s="700"/>
      <c r="R151" s="700"/>
      <c r="S151" s="700"/>
      <c r="T151" s="465" cm="1" t="str">
        <f t="array" ref="T151:T151">T150</f>
        <v>false</v>
      </c>
      <c r="U151" s="700"/>
      <c r="V151" s="700"/>
      <c r="W151" s="700"/>
      <c r="X151" s="1563"/>
      <c r="Y151" s="700"/>
      <c r="Z151" s="1546"/>
      <c r="AA151" s="700"/>
      <c r="AB151" s="211" cm="1" t="str">
        <f t="array" ref="AB151:AB151">D151</f>
        <v>10</v>
      </c>
      <c r="AC151" s="212" t="s">
        <v>2897</v>
      </c>
      <c r="AD151" s="211" t="s">
        <v>1514</v>
      </c>
      <c r="AE151" s="213">
        <f>AE150+AE135+AE148</f>
        <v>0</v>
      </c>
      <c r="AF151" s="213">
        <f>AF150+AF135+AF148</f>
        <v>0</v>
      </c>
      <c r="AG151" s="213">
        <f>AG150+AG135+AG148</f>
        <v>0</v>
      </c>
      <c r="AH151" s="770">
        <f>AH150+AH135+AH148</f>
        <v>0</v>
      </c>
      <c r="AI151" s="770">
        <f>AI150+AI135+AI148</f>
        <v>0</v>
      </c>
      <c r="AJ151" s="770">
        <f>AJ150+AJ135+AJ148</f>
        <v>0</v>
      </c>
      <c r="AK151" s="770">
        <f>AK150+AK135+AK148</f>
        <v>0</v>
      </c>
      <c r="AL151" s="770">
        <f>AL150+AL135+AL148</f>
        <v>0</v>
      </c>
      <c r="AM151" s="770">
        <f>AM150+AM135+AM148</f>
        <v>0</v>
      </c>
      <c r="AN151" s="770">
        <f>AN150+AN135+AN148</f>
        <v>0</v>
      </c>
      <c r="AO151" s="770">
        <f>AO150+AO135+AO148</f>
        <v>0</v>
      </c>
      <c r="AP151" s="770">
        <f>AP150+AP135+AP148</f>
        <v>0</v>
      </c>
      <c r="AQ151" s="770">
        <f>AQ150+AQ135+AQ148</f>
        <v>0</v>
      </c>
      <c r="AR151" s="770">
        <f>AR150+AR135+AR148</f>
        <v>0</v>
      </c>
      <c r="AS151" s="770">
        <f>AS150+AS135+AS148</f>
        <v>0</v>
      </c>
      <c r="AT151" s="770">
        <f>AT150+AT135+AT148</f>
        <v>0</v>
      </c>
      <c r="AU151" s="770">
        <f>AU150+AU135+AU148</f>
        <v>0</v>
      </c>
      <c r="AV151" s="770">
        <f>AV150+AV135+AV148</f>
        <v>0</v>
      </c>
      <c r="AW151" s="770">
        <f>AW150+AW135+AW148</f>
        <v>0</v>
      </c>
      <c r="AX151" s="770">
        <f>AX150+AX135+AX148</f>
        <v>0</v>
      </c>
      <c r="AY151" s="770">
        <f>AY150+AY135+AY148</f>
        <v>0</v>
      </c>
      <c r="AZ151" s="770">
        <f>AZ150+AZ135+AZ148</f>
        <v>0</v>
      </c>
      <c r="BA151" s="770">
        <f>BA150+BA135+BA148</f>
        <v>0</v>
      </c>
      <c r="BB151" s="770">
        <f>BB150+BB135+BB148</f>
        <v>0</v>
      </c>
      <c r="BC151" s="770">
        <f>BC150+BC135+BC148</f>
        <v>0</v>
      </c>
      <c r="BD151" s="761">
        <f>IF(AI151=0,0,(AT151-AI151)/AI151*100)</f>
        <v>0</v>
      </c>
      <c r="BE151" s="761">
        <f>IF(AT151=0,0,(AU151-AT151)/AT151*100)</f>
        <v>0</v>
      </c>
      <c r="BF151" s="761">
        <f>IF(AU151=0,0,(AV151-AU151)/AU151*100)</f>
        <v>0</v>
      </c>
      <c r="BG151" s="761">
        <f>IF(AV151=0,0,(AW151-AV151)/AV151*100)</f>
        <v>0</v>
      </c>
      <c r="BH151" s="761">
        <f>IF(AW151=0,0,(AX151-AW151)/AW151*100)</f>
        <v>0</v>
      </c>
      <c r="BI151" s="761">
        <f>IF(AX151=0,0,(AY151-AX151)/AX151*100)</f>
        <v>0</v>
      </c>
      <c r="BJ151" s="761">
        <f>IF(AY151=0,0,(AZ151-AY151)/AY151*100)</f>
        <v>0</v>
      </c>
      <c r="BK151" s="761">
        <f>IF(AZ151=0,0,(BA151-AZ151)/AZ151*100)</f>
        <v>0</v>
      </c>
      <c r="BL151" s="761">
        <f>IF(BA151=0,0,(BB151-BA151)/BA151*100)</f>
        <v>0</v>
      </c>
      <c r="BM151" s="761">
        <f>IF(BB151=0,0,(BC151-BB151)/BB151*100)</f>
        <v>0</v>
      </c>
      <c r="BN151" s="1256"/>
      <c r="BO151" s="1256"/>
      <c r="BP151" s="1256"/>
      <c r="BQ151" s="700"/>
      <c r="BR151" s="700"/>
      <c r="BS151" s="1070" t="s">
        <v>2898</v>
      </c>
      <c r="BT151" s="1070"/>
      <c r="BU151" s="1070"/>
      <c r="BV151" s="707"/>
      <c r="BW151" s="707"/>
    </row>
    <row customHeight="1" ht="14.625" hidden="1">
      <c r="A152" s="1278"/>
      <c r="B152" s="445">
        <f>A27="двухставочный"</f>
        <v>0</v>
      </c>
      <c r="C152" s="1278"/>
      <c r="D152" s="107" cm="1" t="str">
        <f t="array" ref="D152:D152">D151</f>
        <v>10</v>
      </c>
      <c r="E152" s="703">
        <v>15</v>
      </c>
      <c r="F152" s="50" cm="1" t="str">
        <f t="array" ref="F152:F152">OFFSET(E152,-1,1)</f>
        <v>0</v>
      </c>
      <c r="G152" s="1278"/>
      <c r="H152" s="49"/>
      <c r="I152" s="379" t="s">
        <v>2577</v>
      </c>
      <c r="J152" s="1278"/>
      <c r="K152" s="379" t="s">
        <v>2577</v>
      </c>
      <c r="L152" s="980" t="s">
        <v>2566</v>
      </c>
      <c r="M152" s="107"/>
      <c r="N152" s="1278"/>
      <c r="O152" s="1278"/>
      <c r="P152" s="1278"/>
      <c r="Q152" s="1278"/>
      <c r="R152" s="1278"/>
      <c r="S152" s="1278"/>
      <c r="T152" s="465" cm="1" t="str">
        <f t="array" ref="T152:T152">T151</f>
        <v>false</v>
      </c>
      <c r="U152" s="1278"/>
      <c r="V152" s="1278"/>
      <c r="W152" s="1278"/>
      <c r="X152" s="1563"/>
      <c r="Y152" s="1278"/>
      <c r="Z152" s="1546"/>
      <c r="AA152" s="1278"/>
      <c r="AB152" s="300" t="str">
        <f>D152&amp;".1"</f>
        <v>10.1</v>
      </c>
      <c r="AC152" s="782" t="s">
        <v>2568</v>
      </c>
      <c r="AD152" s="300" t="s">
        <v>1514</v>
      </c>
      <c r="AE152" s="1255"/>
      <c r="AF152" s="1255"/>
      <c r="AG152" s="1255"/>
      <c r="AH152" s="943">
        <f>AG152-AF152</f>
        <v>0</v>
      </c>
      <c r="AI152" s="1253"/>
      <c r="AJ152" s="1253"/>
      <c r="AK152" s="1253"/>
      <c r="AL152" s="1253"/>
      <c r="AM152" s="1253"/>
      <c r="AN152" s="1253"/>
      <c r="AO152" s="1253"/>
      <c r="AP152" s="1253"/>
      <c r="AQ152" s="1253"/>
      <c r="AR152" s="1253"/>
      <c r="AS152" s="1253"/>
      <c r="AT152" s="1253"/>
      <c r="AU152" s="1253"/>
      <c r="AV152" s="1253"/>
      <c r="AW152" s="1253"/>
      <c r="AX152" s="1253"/>
      <c r="AY152" s="1253"/>
      <c r="AZ152" s="1253"/>
      <c r="BA152" s="1253"/>
      <c r="BB152" s="1253"/>
      <c r="BC152" s="1253"/>
      <c r="BD152" s="942"/>
      <c r="BE152" s="942"/>
      <c r="BF152" s="942"/>
      <c r="BG152" s="942"/>
      <c r="BH152" s="942"/>
      <c r="BI152" s="942"/>
      <c r="BJ152" s="942"/>
      <c r="BK152" s="942"/>
      <c r="BL152" s="942"/>
      <c r="BM152" s="942"/>
      <c r="BN152" s="1256"/>
      <c r="BO152" s="1256"/>
      <c r="BP152" s="1256"/>
      <c r="BQ152" s="1278"/>
      <c r="BR152" s="1278"/>
      <c r="BS152" s="1062" t="s">
        <v>2569</v>
      </c>
      <c r="BT152" s="1064"/>
      <c r="BU152" s="1064"/>
      <c r="BV152" s="979"/>
      <c r="BW152" s="979"/>
    </row>
    <row customHeight="1" ht="14.625" hidden="1">
      <c r="A153" s="1278"/>
      <c r="B153" s="445">
        <f>A27="двухставочный"</f>
        <v>0</v>
      </c>
      <c r="C153" s="1278"/>
      <c r="D153" s="107" cm="1" t="str">
        <f t="array" ref="D153:D153">D152</f>
        <v>10</v>
      </c>
      <c r="E153" s="703">
        <v>15</v>
      </c>
      <c r="F153" s="50" cm="1" t="str">
        <f t="array" ref="F153:F153">OFFSET(E153,-1,1)</f>
        <v>0</v>
      </c>
      <c r="G153" s="1278"/>
      <c r="H153" s="49"/>
      <c r="I153" s="379" t="s">
        <v>2581</v>
      </c>
      <c r="J153" s="1278"/>
      <c r="K153" s="379" t="s">
        <v>2581</v>
      </c>
      <c r="L153" s="980" t="s">
        <v>2570</v>
      </c>
      <c r="M153" s="107"/>
      <c r="N153" s="1278"/>
      <c r="O153" s="1278"/>
      <c r="P153" s="1278"/>
      <c r="Q153" s="1278"/>
      <c r="R153" s="1278"/>
      <c r="S153" s="1278"/>
      <c r="T153" s="465" cm="1" t="str">
        <f t="array" ref="T153:T153">T152</f>
        <v>false</v>
      </c>
      <c r="U153" s="1278"/>
      <c r="V153" s="1278"/>
      <c r="W153" s="1278"/>
      <c r="X153" s="1563"/>
      <c r="Y153" s="1278"/>
      <c r="Z153" s="1546"/>
      <c r="AA153" s="1278"/>
      <c r="AB153" s="300" t="str">
        <f>D153&amp;".2"</f>
        <v>10.2</v>
      </c>
      <c r="AC153" s="782" t="s">
        <v>2572</v>
      </c>
      <c r="AD153" s="300" t="s">
        <v>1514</v>
      </c>
      <c r="AE153" s="1255"/>
      <c r="AF153" s="1255"/>
      <c r="AG153" s="1255"/>
      <c r="AH153" s="943">
        <f>AG153-AF153</f>
        <v>0</v>
      </c>
      <c r="AI153" s="1253"/>
      <c r="AJ153" s="1253"/>
      <c r="AK153" s="1253"/>
      <c r="AL153" s="1253"/>
      <c r="AM153" s="1253"/>
      <c r="AN153" s="1253"/>
      <c r="AO153" s="1253"/>
      <c r="AP153" s="1253"/>
      <c r="AQ153" s="1253"/>
      <c r="AR153" s="1253"/>
      <c r="AS153" s="1253"/>
      <c r="AT153" s="1253"/>
      <c r="AU153" s="1253"/>
      <c r="AV153" s="1253"/>
      <c r="AW153" s="1253"/>
      <c r="AX153" s="1253"/>
      <c r="AY153" s="1253"/>
      <c r="AZ153" s="1253"/>
      <c r="BA153" s="1253"/>
      <c r="BB153" s="1253"/>
      <c r="BC153" s="1253"/>
      <c r="BD153" s="942"/>
      <c r="BE153" s="942"/>
      <c r="BF153" s="942"/>
      <c r="BG153" s="942"/>
      <c r="BH153" s="942"/>
      <c r="BI153" s="942"/>
      <c r="BJ153" s="942"/>
      <c r="BK153" s="942"/>
      <c r="BL153" s="942"/>
      <c r="BM153" s="942"/>
      <c r="BN153" s="1256"/>
      <c r="BO153" s="1256"/>
      <c r="BP153" s="1256"/>
      <c r="BQ153" s="1278"/>
      <c r="BR153" s="1278"/>
      <c r="BS153" s="1062" t="s">
        <v>2573</v>
      </c>
      <c r="BT153" s="1064"/>
      <c r="BU153" s="1064"/>
      <c r="BV153" s="979"/>
      <c r="BW153" s="979"/>
    </row>
    <row s="700" customFormat="1" customHeight="1" ht="20.475" hidden="1">
      <c r="A154" s="700"/>
      <c r="B154" s="435"/>
      <c r="C154" s="700"/>
      <c r="D154" s="109">
        <f>D153+1</f>
        <v>11</v>
      </c>
      <c r="E154" s="707">
        <v>21</v>
      </c>
      <c r="F154" s="50" cm="1" t="str">
        <f t="array" ref="F154:F154">OFFSET(E154,-1,1)</f>
        <v>0</v>
      </c>
      <c r="G154" s="158" t="s">
        <v>2346</v>
      </c>
      <c r="H154" s="158"/>
      <c r="I154" s="158" t="s">
        <v>2601</v>
      </c>
      <c r="J154" s="700"/>
      <c r="K154" s="158" t="s">
        <v>2601</v>
      </c>
      <c r="L154" s="985" t="s">
        <v>2574</v>
      </c>
      <c r="M154" s="109"/>
      <c r="N154" s="700"/>
      <c r="O154" s="700"/>
      <c r="P154" s="700"/>
      <c r="Q154" s="700"/>
      <c r="R154" s="700"/>
      <c r="S154" s="700"/>
      <c r="T154" s="465" cm="1" t="str">
        <f t="array" ref="T154:T154">T153</f>
        <v>false</v>
      </c>
      <c r="U154" s="700"/>
      <c r="V154" s="700"/>
      <c r="W154" s="700"/>
      <c r="X154" s="1563"/>
      <c r="Y154" s="700"/>
      <c r="Z154" s="1546"/>
      <c r="AA154" s="700"/>
      <c r="AB154" s="211" cm="1" t="str">
        <f t="array" ref="AB154:AB154">D154</f>
        <v>11</v>
      </c>
      <c r="AC154" s="212" t="s">
        <v>2575</v>
      </c>
      <c r="AD154" s="211" t="s">
        <v>1247</v>
      </c>
      <c r="AE154" s="785">
        <f>_xlfn.SUMIFS(Баланс!AE$26:AE$482,Баланс!$F$26:$F$482,$F154,Баланс!$G$26:$G$482,"ПО")</f>
        <v>0</v>
      </c>
      <c r="AF154" s="785">
        <f>_xlfn.SUMIFS(Баланс!AF$26:AF$482,Баланс!$F$26:$F$482,$F154,Баланс!$G$26:$G$482,"ПО")</f>
        <v>0</v>
      </c>
      <c r="AG154" s="785">
        <f>_xlfn.SUMIFS(Баланс!AG$26:AG$482,Баланс!$F$26:$F$482,$F154,Баланс!$G$26:$G$482,"ПО")</f>
        <v>0</v>
      </c>
      <c r="AH154" s="786">
        <f>AG154-AF154</f>
        <v>0</v>
      </c>
      <c r="AI154" s="786">
        <f>_xlfn.SUMIFS(Баланс!AH$26:AH$482,Баланс!$F$26:$F$482,$F154,Баланс!$G$26:$G$482,"ПО")</f>
        <v>0</v>
      </c>
      <c r="AJ154" s="786">
        <f>_xlfn.SUMIFS(Баланс!AI$26:AI$482,Баланс!$F$26:$F$482,$F154,Баланс!$G$26:$G$482,"ПО")</f>
        <v>0</v>
      </c>
      <c r="AK154" s="786">
        <f>_xlfn.SUMIFS(Баланс!AJ$26:AJ$482,Баланс!$F$26:$F$482,$F154,Баланс!$G$26:$G$482,"ПО")</f>
        <v>0</v>
      </c>
      <c r="AL154" s="786">
        <f>_xlfn.SUMIFS(Баланс!AK$26:AK$482,Баланс!$F$26:$F$482,$F154,Баланс!$G$26:$G$482,"ПО")</f>
        <v>0</v>
      </c>
      <c r="AM154" s="786">
        <f>_xlfn.SUMIFS(Баланс!AL$26:AL$482,Баланс!$F$26:$F$482,$F154,Баланс!$G$26:$G$482,"ПО")</f>
        <v>0</v>
      </c>
      <c r="AN154" s="786">
        <f>_xlfn.SUMIFS(Баланс!AM$26:AM$482,Баланс!$F$26:$F$482,$F154,Баланс!$G$26:$G$482,"ПО")</f>
        <v>0</v>
      </c>
      <c r="AO154" s="786">
        <f>_xlfn.SUMIFS(Баланс!AN$26:AN$482,Баланс!$F$26:$F$482,$F154,Баланс!$G$26:$G$482,"ПО")</f>
        <v>0</v>
      </c>
      <c r="AP154" s="786">
        <f>_xlfn.SUMIFS(Баланс!AO$26:AO$482,Баланс!$F$26:$F$482,$F154,Баланс!$G$26:$G$482,"ПО")</f>
        <v>0</v>
      </c>
      <c r="AQ154" s="786">
        <f>_xlfn.SUMIFS(Баланс!AP$26:AP$482,Баланс!$F$26:$F$482,$F154,Баланс!$G$26:$G$482,"ПО")</f>
        <v>0</v>
      </c>
      <c r="AR154" s="786">
        <f>_xlfn.SUMIFS(Баланс!AQ$26:AQ$482,Баланс!$F$26:$F$482,$F154,Баланс!$G$26:$G$482,"ПО")</f>
        <v>0</v>
      </c>
      <c r="AS154" s="786">
        <f>_xlfn.SUMIFS(Баланс!AR$26:AR$482,Баланс!$F$26:$F$482,$F154,Баланс!$G$26:$G$482,"ПО")</f>
        <v>0</v>
      </c>
      <c r="AT154" s="786">
        <f>_xlfn.SUMIFS(Баланс!AS$26:AS$482,Баланс!$F$26:$F$482,$F154,Баланс!$G$26:$G$482,"ПО")</f>
        <v>0</v>
      </c>
      <c r="AU154" s="786">
        <f>_xlfn.SUMIFS(Баланс!AT$26:AT$482,Баланс!$F$26:$F$482,$F154,Баланс!$G$26:$G$482,"ПО")</f>
        <v>0</v>
      </c>
      <c r="AV154" s="786">
        <f>_xlfn.SUMIFS(Баланс!AU$26:AU$482,Баланс!$F$26:$F$482,$F154,Баланс!$G$26:$G$482,"ПО")</f>
        <v>0</v>
      </c>
      <c r="AW154" s="786">
        <f>_xlfn.SUMIFS(Баланс!AV$26:AV$482,Баланс!$F$26:$F$482,$F154,Баланс!$G$26:$G$482,"ПО")</f>
        <v>0</v>
      </c>
      <c r="AX154" s="786">
        <f>_xlfn.SUMIFS(Баланс!AW$26:AW$482,Баланс!$F$26:$F$482,$F154,Баланс!$G$26:$G$482,"ПО")</f>
        <v>0</v>
      </c>
      <c r="AY154" s="786">
        <f>_xlfn.SUMIFS(Баланс!AX$26:AX$482,Баланс!$F$26:$F$482,$F154,Баланс!$G$26:$G$482,"ПО")</f>
        <v>0</v>
      </c>
      <c r="AZ154" s="786">
        <f>_xlfn.SUMIFS(Баланс!AY$26:AY$482,Баланс!$F$26:$F$482,$F154,Баланс!$G$26:$G$482,"ПО")</f>
        <v>0</v>
      </c>
      <c r="BA154" s="786">
        <f>_xlfn.SUMIFS(Баланс!AZ$26:AZ$482,Баланс!$F$26:$F$482,$F154,Баланс!$G$26:$G$482,"ПО")</f>
        <v>0</v>
      </c>
      <c r="BB154" s="786">
        <f>_xlfn.SUMIFS(Баланс!BA$26:BA$482,Баланс!$F$26:$F$482,$F154,Баланс!$G$26:$G$482,"ПО")</f>
        <v>0</v>
      </c>
      <c r="BC154" s="786">
        <f>_xlfn.SUMIFS(Баланс!BB$26:BB$482,Баланс!$F$26:$F$482,$F154,Баланс!$G$26:$G$482,"ПО")</f>
        <v>0</v>
      </c>
      <c r="BD154" s="764"/>
      <c r="BE154" s="764"/>
      <c r="BF154" s="764"/>
      <c r="BG154" s="764"/>
      <c r="BH154" s="764"/>
      <c r="BI154" s="764"/>
      <c r="BJ154" s="764"/>
      <c r="BK154" s="764"/>
      <c r="BL154" s="764"/>
      <c r="BM154" s="764"/>
      <c r="BN154" s="1256"/>
      <c r="BO154" s="1256"/>
      <c r="BP154" s="1256"/>
      <c r="BQ154" s="700"/>
      <c r="BR154" s="700"/>
      <c r="BS154" s="1063" t="s">
        <v>2576</v>
      </c>
      <c r="BT154" s="1070"/>
      <c r="BU154" s="1070"/>
      <c r="BV154" s="707"/>
      <c r="BW154" s="707"/>
    </row>
    <row customHeight="1" ht="14.625" hidden="1">
      <c r="A155" s="1278"/>
      <c r="B155" s="978"/>
      <c r="C155" s="1278"/>
      <c r="D155" s="107" cm="1" t="str">
        <f t="array" ref="D155:D155">D154</f>
        <v>11</v>
      </c>
      <c r="E155" s="703">
        <v>15</v>
      </c>
      <c r="F155" s="50" cm="1" t="str">
        <f t="array" ref="F155:F155">OFFSET(E155,-1,1)</f>
        <v>0</v>
      </c>
      <c r="G155" s="158" t="s">
        <v>2373</v>
      </c>
      <c r="H155" s="1278"/>
      <c r="I155" s="158" t="s">
        <v>2899</v>
      </c>
      <c r="J155" s="1278"/>
      <c r="K155" s="158" t="s">
        <v>2899</v>
      </c>
      <c r="L155" s="980" t="s">
        <v>2577</v>
      </c>
      <c r="M155" s="107"/>
      <c r="N155" s="1278"/>
      <c r="O155" s="1278"/>
      <c r="P155" s="1278"/>
      <c r="Q155" s="1278"/>
      <c r="R155" s="1278"/>
      <c r="S155" s="1278"/>
      <c r="T155" s="465" cm="1" t="str">
        <f t="array" ref="T155:T155">T154</f>
        <v>false</v>
      </c>
      <c r="U155" s="1278"/>
      <c r="V155" s="1278"/>
      <c r="W155" s="1278"/>
      <c r="X155" s="1563"/>
      <c r="Y155" s="1278"/>
      <c r="Z155" s="1546"/>
      <c r="AA155" s="1278"/>
      <c r="AB155" s="300" t="str">
        <f>D155&amp;".1"</f>
        <v>11.1</v>
      </c>
      <c r="AC155" s="1111" t="s">
        <v>2579</v>
      </c>
      <c r="AD155" s="300" t="s">
        <v>1247</v>
      </c>
      <c r="AE155" s="1260">
        <f>IF(AE$24="2026 год",AE154/12*9,AE154/2)</f>
        <v>0</v>
      </c>
      <c r="AF155" s="1260">
        <f>IF(AF$24="2026 год",AF154/12*9,AF154/2)</f>
        <v>0</v>
      </c>
      <c r="AG155" s="1260">
        <f>IF(AG$24="2026 год",AG154/12*9,AG154/2)</f>
        <v>0</v>
      </c>
      <c r="AH155" s="941">
        <f>AG155-AF155</f>
        <v>0</v>
      </c>
      <c r="AI155" s="1261">
        <f>IF(AI$24="2026 год",AI154/12*9,AI154/2)</f>
        <v>0</v>
      </c>
      <c r="AJ155" s="1260">
        <f>IF(AJ$24="2026 год",AJ154/12*9,AJ154/2)</f>
        <v>0</v>
      </c>
      <c r="AK155" s="1260">
        <f>IF(AK$24="2026 год",AK154/12*9,AK154/2)</f>
        <v>0</v>
      </c>
      <c r="AL155" s="1261">
        <f>IF(AL$24="2026 год",AL154/12*9,AL154/2)</f>
        <v>0</v>
      </c>
      <c r="AM155" s="1261">
        <f>IF(AM$24="2026 год",AM154/12*9,AM154/2)</f>
        <v>0</v>
      </c>
      <c r="AN155" s="1261">
        <f>IF(AN$24="2026 год",AN154/12*9,AN154/2)</f>
        <v>0</v>
      </c>
      <c r="AO155" s="1261">
        <f>IF(AO$24="2026 год",AO154/12*9,AO154/2)</f>
        <v>0</v>
      </c>
      <c r="AP155" s="1261">
        <f>IF(AP$24="2026 год",AP154/12*9,AP154/2)</f>
        <v>0</v>
      </c>
      <c r="AQ155" s="1261">
        <f>IF(AQ$24="2026 год",AQ154/12*9,AQ154/2)</f>
        <v>0</v>
      </c>
      <c r="AR155" s="1261">
        <f>IF(AR$24="2026 год",AR154/12*9,AR154/2)</f>
        <v>0</v>
      </c>
      <c r="AS155" s="1261">
        <f>IF(AS$24="2026 год",AS154/12*9,AS154/2)</f>
        <v>0</v>
      </c>
      <c r="AT155" s="1261">
        <f>IF(AT$24="2026 год",AT154/12*9,AT154/2)</f>
        <v>0</v>
      </c>
      <c r="AU155" s="1261">
        <f>IF(AU$24="2026 год",AU154/12*9,AU154/2)</f>
        <v>0</v>
      </c>
      <c r="AV155" s="1261">
        <f>IF(AV$24="2026 год",AV154/12*9,AV154/2)</f>
        <v>0</v>
      </c>
      <c r="AW155" s="1261">
        <f>IF(AW$24="2026 год",AW154/12*9,AW154/2)</f>
        <v>0</v>
      </c>
      <c r="AX155" s="1261">
        <f>IF(AX$24="2026 год",AX154/12*9,AX154/2)</f>
        <v>0</v>
      </c>
      <c r="AY155" s="1261">
        <f>IF(AY$24="2026 год",AY154/12*9,AY154/2)</f>
        <v>0</v>
      </c>
      <c r="AZ155" s="1261">
        <f>IF(AZ$24="2026 год",AZ154/12*9,AZ154/2)</f>
        <v>0</v>
      </c>
      <c r="BA155" s="1261">
        <f>IF(BA$24="2026 год",BA154/12*9,BA154/2)</f>
        <v>0</v>
      </c>
      <c r="BB155" s="1261">
        <f>IF(BB$24="2026 год",BB154/12*9,BB154/2)</f>
        <v>0</v>
      </c>
      <c r="BC155" s="1261">
        <f>IF(BC$24="2026 год",BC154/12*9,BC154/2)</f>
        <v>0</v>
      </c>
      <c r="BD155" s="942"/>
      <c r="BE155" s="942"/>
      <c r="BF155" s="942"/>
      <c r="BG155" s="942"/>
      <c r="BH155" s="942"/>
      <c r="BI155" s="942"/>
      <c r="BJ155" s="942"/>
      <c r="BK155" s="942"/>
      <c r="BL155" s="942"/>
      <c r="BM155" s="942"/>
      <c r="BN155" s="1256"/>
      <c r="BO155" s="1256"/>
      <c r="BP155" s="1256"/>
      <c r="BQ155" s="1278"/>
      <c r="BR155" s="1278"/>
      <c r="BS155" s="1062" t="s">
        <v>2580</v>
      </c>
      <c r="BT155" s="1064"/>
      <c r="BU155" s="1064"/>
      <c r="BV155" s="979"/>
      <c r="BW155" s="979"/>
    </row>
    <row customHeight="1" ht="14.625" hidden="1">
      <c r="A156" s="1278"/>
      <c r="B156" s="978"/>
      <c r="C156" s="1278"/>
      <c r="D156" s="107" cm="1" t="str">
        <f t="array" ref="D156:D156">D155</f>
        <v>11</v>
      </c>
      <c r="E156" s="703">
        <v>15</v>
      </c>
      <c r="F156" s="50" cm="1" t="str">
        <f t="array" ref="F156:F156">OFFSET(E156,-1,1)</f>
        <v>0</v>
      </c>
      <c r="G156" s="158" t="s">
        <v>2334</v>
      </c>
      <c r="H156" s="1278"/>
      <c r="I156" s="158" t="s">
        <v>2900</v>
      </c>
      <c r="J156" s="1278"/>
      <c r="K156" s="158" t="s">
        <v>2900</v>
      </c>
      <c r="L156" s="980" t="s">
        <v>2581</v>
      </c>
      <c r="M156" s="107"/>
      <c r="N156" s="1278"/>
      <c r="O156" s="1278"/>
      <c r="P156" s="1278"/>
      <c r="Q156" s="1278"/>
      <c r="R156" s="1278"/>
      <c r="S156" s="1278"/>
      <c r="T156" s="465" cm="1" t="str">
        <f t="array" ref="T156:T156">T155</f>
        <v>false</v>
      </c>
      <c r="U156" s="1278"/>
      <c r="V156" s="1278"/>
      <c r="W156" s="1278"/>
      <c r="X156" s="1563"/>
      <c r="Y156" s="1278"/>
      <c r="Z156" s="1546"/>
      <c r="AA156" s="1278"/>
      <c r="AB156" s="300" t="str">
        <f>D156&amp;".2"</f>
        <v>11.2</v>
      </c>
      <c r="AC156" s="1111" t="s">
        <v>2583</v>
      </c>
      <c r="AD156" s="300" t="s">
        <v>2337</v>
      </c>
      <c r="AE156" s="1255"/>
      <c r="AF156" s="1255"/>
      <c r="AG156" s="1255"/>
      <c r="AH156" s="943">
        <f>AG156-AF156</f>
        <v>0</v>
      </c>
      <c r="AI156" s="1262"/>
      <c r="AJ156" s="1262"/>
      <c r="AK156" s="1262"/>
      <c r="AL156" s="1262"/>
      <c r="AM156" s="1262"/>
      <c r="AN156" s="1262"/>
      <c r="AO156" s="1262"/>
      <c r="AP156" s="1262"/>
      <c r="AQ156" s="1262"/>
      <c r="AR156" s="1262"/>
      <c r="AS156" s="1262"/>
      <c r="AT156" s="1262"/>
      <c r="AU156" s="1262" cm="1" t="str">
        <f t="array" ref="AU156:AU156">AT158</f>
        <v>0</v>
      </c>
      <c r="AV156" s="1262" cm="1" t="str">
        <f t="array" ref="AV156:AV156">AU158</f>
        <v>0</v>
      </c>
      <c r="AW156" s="1262" cm="1" t="str">
        <f t="array" ref="AW156:AW156">AV158</f>
        <v>0</v>
      </c>
      <c r="AX156" s="1262" cm="1" t="str">
        <f t="array" ref="AX156:AX156">AW158</f>
        <v>0</v>
      </c>
      <c r="AY156" s="1262" cm="1" t="str">
        <f t="array" ref="AY156:AY156">AX158</f>
        <v>0</v>
      </c>
      <c r="AZ156" s="1262" cm="1" t="str">
        <f t="array" ref="AZ156:AZ156">AY158</f>
        <v>0</v>
      </c>
      <c r="BA156" s="1262" cm="1" t="str">
        <f t="array" ref="BA156:BA156">AZ158</f>
        <v>0</v>
      </c>
      <c r="BB156" s="1262" cm="1" t="str">
        <f t="array" ref="BB156:BB156">BA158</f>
        <v>0</v>
      </c>
      <c r="BC156" s="1262" cm="1" t="str">
        <f t="array" ref="BC156:BC156">BB158</f>
        <v>0</v>
      </c>
      <c r="BD156" s="942"/>
      <c r="BE156" s="942"/>
      <c r="BF156" s="942"/>
      <c r="BG156" s="942"/>
      <c r="BH156" s="942"/>
      <c r="BI156" s="942"/>
      <c r="BJ156" s="942"/>
      <c r="BK156" s="942"/>
      <c r="BL156" s="942"/>
      <c r="BM156" s="942"/>
      <c r="BN156" s="1256"/>
      <c r="BO156" s="1256"/>
      <c r="BP156" s="1256"/>
      <c r="BQ156" s="1278"/>
      <c r="BR156" s="1278"/>
      <c r="BS156" s="1062" t="s">
        <v>2584</v>
      </c>
      <c r="BT156" s="1064"/>
      <c r="BU156" s="1064"/>
      <c r="BV156" s="979"/>
      <c r="BW156" s="979"/>
    </row>
    <row customHeight="1" ht="14.625" hidden="1">
      <c r="A157" s="1278"/>
      <c r="B157" s="978"/>
      <c r="C157" s="1278"/>
      <c r="D157" s="107" cm="1" t="str">
        <f t="array" ref="D157:D157">D156</f>
        <v>11</v>
      </c>
      <c r="E157" s="703">
        <v>15</v>
      </c>
      <c r="F157" s="50" cm="1" t="str">
        <f t="array" ref="F157:F157">OFFSET(E157,-1,1)</f>
        <v>0</v>
      </c>
      <c r="G157" s="158" t="s">
        <v>2386</v>
      </c>
      <c r="H157" s="1278"/>
      <c r="I157" s="158" t="s">
        <v>2901</v>
      </c>
      <c r="J157" s="1278"/>
      <c r="K157" s="158" t="s">
        <v>2901</v>
      </c>
      <c r="L157" s="980" t="s">
        <v>2585</v>
      </c>
      <c r="M157" s="107"/>
      <c r="N157" s="1278"/>
      <c r="O157" s="1278"/>
      <c r="P157" s="1278"/>
      <c r="Q157" s="1278"/>
      <c r="R157" s="1278"/>
      <c r="S157" s="1278"/>
      <c r="T157" s="465" cm="1" t="str">
        <f t="array" ref="T157:T157">T156</f>
        <v>false</v>
      </c>
      <c r="U157" s="1278"/>
      <c r="V157" s="1278"/>
      <c r="W157" s="1278"/>
      <c r="X157" s="1563"/>
      <c r="Y157" s="1278"/>
      <c r="Z157" s="1546"/>
      <c r="AA157" s="1278"/>
      <c r="AB157" s="300" t="str">
        <f>D157&amp;".3"</f>
        <v>11.3</v>
      </c>
      <c r="AC157" s="1111" t="s">
        <v>2902</v>
      </c>
      <c r="AD157" s="300" t="s">
        <v>1247</v>
      </c>
      <c r="AE157" s="946">
        <f>AE154-AE155</f>
        <v>0</v>
      </c>
      <c r="AF157" s="946">
        <f>AF154-AF155</f>
        <v>0</v>
      </c>
      <c r="AG157" s="946">
        <f>AG154-AG155</f>
        <v>0</v>
      </c>
      <c r="AH157" s="941">
        <f>AG157-AF157</f>
        <v>0</v>
      </c>
      <c r="AI157" s="825">
        <f>AI154-AI155</f>
        <v>0</v>
      </c>
      <c r="AJ157" s="825">
        <f>AJ154-AJ155</f>
        <v>0</v>
      </c>
      <c r="AK157" s="825">
        <f>AK154-AK155</f>
        <v>0</v>
      </c>
      <c r="AL157" s="825">
        <f>AL154-AL155</f>
        <v>0</v>
      </c>
      <c r="AM157" s="825">
        <f>AM154-AM155</f>
        <v>0</v>
      </c>
      <c r="AN157" s="825">
        <f>AN154-AN155</f>
        <v>0</v>
      </c>
      <c r="AO157" s="825">
        <f>AO154-AO155</f>
        <v>0</v>
      </c>
      <c r="AP157" s="825">
        <f>AP154-AP155</f>
        <v>0</v>
      </c>
      <c r="AQ157" s="825">
        <f>AQ154-AQ155</f>
        <v>0</v>
      </c>
      <c r="AR157" s="825">
        <f>AR154-AR155</f>
        <v>0</v>
      </c>
      <c r="AS157" s="825">
        <f>AS154-AS155</f>
        <v>0</v>
      </c>
      <c r="AT157" s="825">
        <f>AT154-AT155</f>
        <v>0</v>
      </c>
      <c r="AU157" s="825">
        <f>AU154-AU155</f>
        <v>0</v>
      </c>
      <c r="AV157" s="825">
        <f>AV154-AV155</f>
        <v>0</v>
      </c>
      <c r="AW157" s="825">
        <f>AW154-AW155</f>
        <v>0</v>
      </c>
      <c r="AX157" s="825">
        <f>AX154-AX155</f>
        <v>0</v>
      </c>
      <c r="AY157" s="825">
        <f>AY154-AY155</f>
        <v>0</v>
      </c>
      <c r="AZ157" s="825">
        <f>AZ154-AZ155</f>
        <v>0</v>
      </c>
      <c r="BA157" s="825">
        <f>BA154-BA155</f>
        <v>0</v>
      </c>
      <c r="BB157" s="825">
        <f>BB154-BB155</f>
        <v>0</v>
      </c>
      <c r="BC157" s="825">
        <f>BC154-BC155</f>
        <v>0</v>
      </c>
      <c r="BD157" s="942"/>
      <c r="BE157" s="942"/>
      <c r="BF157" s="942"/>
      <c r="BG157" s="942"/>
      <c r="BH157" s="942"/>
      <c r="BI157" s="942"/>
      <c r="BJ157" s="942"/>
      <c r="BK157" s="942"/>
      <c r="BL157" s="942"/>
      <c r="BM157" s="942"/>
      <c r="BN157" s="1256"/>
      <c r="BO157" s="1256"/>
      <c r="BP157" s="1256"/>
      <c r="BQ157" s="1278"/>
      <c r="BR157" s="1278"/>
      <c r="BS157" s="1062" t="s">
        <v>2588</v>
      </c>
      <c r="BT157" s="1064"/>
      <c r="BU157" s="1064"/>
      <c r="BV157" s="979"/>
      <c r="BW157" s="979"/>
    </row>
    <row customHeight="1" ht="14.625" hidden="1">
      <c r="A158" s="1278"/>
      <c r="B158" s="978"/>
      <c r="C158" s="1278"/>
      <c r="D158" s="107" cm="1" t="str">
        <f t="array" ref="D158:D158">D157</f>
        <v>11</v>
      </c>
      <c r="E158" s="703">
        <v>15</v>
      </c>
      <c r="F158" s="50" cm="1" t="str">
        <f t="array" ref="F158:F158">OFFSET(E158,-1,1)</f>
        <v>0</v>
      </c>
      <c r="G158" s="158" t="s">
        <v>2339</v>
      </c>
      <c r="H158" s="1278"/>
      <c r="I158" s="158" t="s">
        <v>2903</v>
      </c>
      <c r="J158" s="1278"/>
      <c r="K158" s="158" t="s">
        <v>2903</v>
      </c>
      <c r="L158" s="980" t="s">
        <v>2589</v>
      </c>
      <c r="M158" s="107"/>
      <c r="N158" s="1278"/>
      <c r="O158" s="1278"/>
      <c r="P158" s="1278"/>
      <c r="Q158" s="1278"/>
      <c r="R158" s="1278"/>
      <c r="S158" s="1278"/>
      <c r="T158" s="465" cm="1" t="str">
        <f t="array" ref="T158:T158">T157</f>
        <v>false</v>
      </c>
      <c r="U158" s="1278"/>
      <c r="V158" s="1278"/>
      <c r="W158" s="1278"/>
      <c r="X158" s="1563"/>
      <c r="Y158" s="1278"/>
      <c r="Z158" s="1546"/>
      <c r="AA158" s="1278"/>
      <c r="AB158" s="300" t="str">
        <f>D158&amp;".4"</f>
        <v>11.4</v>
      </c>
      <c r="AC158" s="1111" t="s">
        <v>2591</v>
      </c>
      <c r="AD158" s="300" t="s">
        <v>2337</v>
      </c>
      <c r="AE158" s="1255">
        <f>IF(AE157=0,0,(AE151-AE155*AE156)/AE157)</f>
        <v>0</v>
      </c>
      <c r="AF158" s="1255">
        <f>IF(AF157=0,0,(AF151-AF155*AF156)/AF157)</f>
        <v>0</v>
      </c>
      <c r="AG158" s="1255">
        <f>IF(AG157=0,0,(AG151-AG155*AG156)/AG157)</f>
        <v>0</v>
      </c>
      <c r="AH158" s="943">
        <f>AG158-AF158</f>
        <v>0</v>
      </c>
      <c r="AI158" s="1262">
        <f>IF(AI157=0,0,(AI151-AI155*AI156)/AI157)</f>
        <v>0</v>
      </c>
      <c r="AJ158" s="1262">
        <f>IF(AJ157=0,0,(AJ151-AJ155*AJ156)/AJ157)</f>
        <v>0</v>
      </c>
      <c r="AK158" s="1262">
        <f>IF(AK157=0,0,(AK151-AK155*AK156)/AK157)</f>
        <v>0</v>
      </c>
      <c r="AL158" s="1262">
        <f>IF(AL157=0,0,(AL151-AL155*AL156)/AL157)</f>
        <v>0</v>
      </c>
      <c r="AM158" s="1262">
        <f>IF(AM157=0,0,(AM151-AM155*AM156)/AM157)</f>
        <v>0</v>
      </c>
      <c r="AN158" s="1262">
        <f>IF(AN157=0,0,(AN151-AN155*AN156)/AN157)</f>
        <v>0</v>
      </c>
      <c r="AO158" s="1262">
        <f>IF(AO157=0,0,(AO151-AO155*AO156)/AO157)</f>
        <v>0</v>
      </c>
      <c r="AP158" s="1262">
        <f>IF(AP157=0,0,(AP151-AP155*AP156)/AP157)</f>
        <v>0</v>
      </c>
      <c r="AQ158" s="1262">
        <f>IF(AQ157=0,0,(AQ151-AQ155*AQ156)/AQ157)</f>
        <v>0</v>
      </c>
      <c r="AR158" s="1262">
        <f>IF(AR157=0,0,(AR151-AR155*AR156)/AR157)</f>
        <v>0</v>
      </c>
      <c r="AS158" s="1262">
        <f>IF(AS157=0,0,(AS151-AS155*AS156)/AS157)</f>
        <v>0</v>
      </c>
      <c r="AT158" s="1262">
        <f>IF(AT157=0,0,(AT151-AT155*AT156)/AT157)</f>
        <v>0</v>
      </c>
      <c r="AU158" s="1262">
        <f>IF(AU157=0,0,(AU151-AU155*AU156)/AU157)</f>
        <v>0</v>
      </c>
      <c r="AV158" s="1262">
        <f>IF(AV157=0,0,(AV151-AV155*AV156)/AV157)</f>
        <v>0</v>
      </c>
      <c r="AW158" s="1262">
        <f>IF(AW157=0,0,(AW151-AW155*AW156)/AW157)</f>
        <v>0</v>
      </c>
      <c r="AX158" s="1262">
        <f>IF(AX157=0,0,(AX151-AX155*AX156)/AX157)</f>
        <v>0</v>
      </c>
      <c r="AY158" s="1262">
        <f>IF(AY157=0,0,(AY151-AY155*AY156)/AY157)</f>
        <v>0</v>
      </c>
      <c r="AZ158" s="1262">
        <f>IF(AZ157=0,0,(AZ151-AZ155*AZ156)/AZ157)</f>
        <v>0</v>
      </c>
      <c r="BA158" s="1262">
        <f>IF(BA157=0,0,(BA151-BA155*BA156)/BA157)</f>
        <v>0</v>
      </c>
      <c r="BB158" s="1262">
        <f>IF(BB157=0,0,(BB151-BB155*BB156)/BB157)</f>
        <v>0</v>
      </c>
      <c r="BC158" s="1262">
        <f>IF(BC157=0,0,(BC151-BC155*BC156)/BC157)</f>
        <v>0</v>
      </c>
      <c r="BD158" s="942"/>
      <c r="BE158" s="942"/>
      <c r="BF158" s="942"/>
      <c r="BG158" s="942"/>
      <c r="BH158" s="942"/>
      <c r="BI158" s="942"/>
      <c r="BJ158" s="942"/>
      <c r="BK158" s="942"/>
      <c r="BL158" s="942"/>
      <c r="BM158" s="942"/>
      <c r="BN158" s="1256"/>
      <c r="BO158" s="1256"/>
      <c r="BP158" s="1256"/>
      <c r="BQ158" s="1278"/>
      <c r="BR158" s="1278"/>
      <c r="BS158" s="1062" t="s">
        <v>2592</v>
      </c>
      <c r="BT158" s="1064"/>
      <c r="BU158" s="1064"/>
      <c r="BV158" s="979"/>
      <c r="BW158" s="979"/>
    </row>
    <row customHeight="1" ht="14.625" hidden="1">
      <c r="A159" s="1278"/>
      <c r="B159" s="978"/>
      <c r="C159" s="1278"/>
      <c r="D159" s="107" cm="1" t="str">
        <f t="array" ref="D159:D159">D158</f>
        <v>11</v>
      </c>
      <c r="E159" s="703">
        <v>15</v>
      </c>
      <c r="F159" s="50" cm="1" t="str">
        <f t="array" ref="F159:F159">OFFSET(E159,-1,1)</f>
        <v>0</v>
      </c>
      <c r="G159" s="1278"/>
      <c r="H159" s="1278"/>
      <c r="I159" s="158" t="s">
        <v>2904</v>
      </c>
      <c r="J159" s="1278"/>
      <c r="K159" s="158" t="s">
        <v>2904</v>
      </c>
      <c r="L159" s="980" t="s">
        <v>2593</v>
      </c>
      <c r="M159" s="107"/>
      <c r="N159" s="1278"/>
      <c r="O159" s="1278"/>
      <c r="P159" s="1278"/>
      <c r="Q159" s="1278"/>
      <c r="R159" s="1278"/>
      <c r="S159" s="1278"/>
      <c r="T159" s="465" cm="1" t="str">
        <f t="array" ref="T159:T159">T158</f>
        <v>false</v>
      </c>
      <c r="U159" s="1278"/>
      <c r="V159" s="1278"/>
      <c r="W159" s="1278"/>
      <c r="X159" s="1563"/>
      <c r="Y159" s="1278"/>
      <c r="Z159" s="1546"/>
      <c r="AA159" s="1278"/>
      <c r="AB159" s="300" t="str">
        <f>D159&amp;".5"</f>
        <v>11.5</v>
      </c>
      <c r="AC159" s="1111" t="s">
        <v>2595</v>
      </c>
      <c r="AD159" s="300" t="s">
        <v>1170</v>
      </c>
      <c r="AE159" s="259">
        <f>IF(AE156=0,0,AE158/AE156*100)</f>
        <v>0</v>
      </c>
      <c r="AF159" s="259">
        <f>IF(AF156=0,0,AF158/AF156*100)</f>
        <v>0</v>
      </c>
      <c r="AG159" s="259">
        <f>IF(AG156=0,0,AG158/AG156*100)</f>
        <v>0</v>
      </c>
      <c r="AH159" s="942"/>
      <c r="AI159" s="802">
        <f>IF(AI156=0,0,AI158/AI156*100)</f>
        <v>0</v>
      </c>
      <c r="AJ159" s="802">
        <f>IF(AJ156=0,0,AJ158/AJ156*100)</f>
        <v>0</v>
      </c>
      <c r="AK159" s="802">
        <f>IF(AK156=0,0,AK158/AK156*100)</f>
        <v>0</v>
      </c>
      <c r="AL159" s="802">
        <f>IF(AL156=0,0,AL158/AL156*100)</f>
        <v>0</v>
      </c>
      <c r="AM159" s="802">
        <f>IF(AM156=0,0,AM158/AM156*100)</f>
        <v>0</v>
      </c>
      <c r="AN159" s="802">
        <f>IF(AN156=0,0,AN158/AN156*100)</f>
        <v>0</v>
      </c>
      <c r="AO159" s="802">
        <f>IF(AO156=0,0,AO158/AO156*100)</f>
        <v>0</v>
      </c>
      <c r="AP159" s="802">
        <f>IF(AP156=0,0,AP158/AP156*100)</f>
        <v>0</v>
      </c>
      <c r="AQ159" s="802">
        <f>IF(AQ156=0,0,AQ158/AQ156*100)</f>
        <v>0</v>
      </c>
      <c r="AR159" s="802">
        <f>IF(AR156=0,0,AR158/AR156*100)</f>
        <v>0</v>
      </c>
      <c r="AS159" s="802">
        <f>IF(AS156=0,0,AS158/AS156*100)</f>
        <v>0</v>
      </c>
      <c r="AT159" s="802">
        <f>IF(AT156=0,0,AT158/AT156*100)</f>
        <v>0</v>
      </c>
      <c r="AU159" s="802">
        <f>IF(AU156=0,0,AU158/AU156*100)</f>
        <v>0</v>
      </c>
      <c r="AV159" s="802">
        <f>IF(AV156=0,0,AV158/AV156*100)</f>
        <v>0</v>
      </c>
      <c r="AW159" s="802">
        <f>IF(AW156=0,0,AW158/AW156*100)</f>
        <v>0</v>
      </c>
      <c r="AX159" s="802">
        <f>IF(AX156=0,0,AX158/AX156*100)</f>
        <v>0</v>
      </c>
      <c r="AY159" s="802">
        <f>IF(AY156=0,0,AY158/AY156*100)</f>
        <v>0</v>
      </c>
      <c r="AZ159" s="802">
        <f>IF(AZ156=0,0,AZ158/AZ156*100)</f>
        <v>0</v>
      </c>
      <c r="BA159" s="802">
        <f>IF(BA156=0,0,BA158/BA156*100)</f>
        <v>0</v>
      </c>
      <c r="BB159" s="802">
        <f>IF(BB156=0,0,BB158/BB156*100)</f>
        <v>0</v>
      </c>
      <c r="BC159" s="802">
        <f>IF(BC156=0,0,BC158/BC156*100)</f>
        <v>0</v>
      </c>
      <c r="BD159" s="942"/>
      <c r="BE159" s="942"/>
      <c r="BF159" s="942"/>
      <c r="BG159" s="942"/>
      <c r="BH159" s="942"/>
      <c r="BI159" s="942"/>
      <c r="BJ159" s="942"/>
      <c r="BK159" s="942"/>
      <c r="BL159" s="942"/>
      <c r="BM159" s="942"/>
      <c r="BN159" s="1256"/>
      <c r="BO159" s="1256"/>
      <c r="BP159" s="1256"/>
      <c r="BQ159" s="1278"/>
      <c r="BR159" s="1278"/>
      <c r="BS159" s="1062" t="s">
        <v>2596</v>
      </c>
      <c r="BT159" s="1064"/>
      <c r="BU159" s="1064"/>
      <c r="BV159" s="979"/>
      <c r="BW159" s="979"/>
    </row>
    <row customHeight="1" ht="14.625" hidden="1">
      <c r="A160" s="1278"/>
      <c r="B160" s="978"/>
      <c r="C160" s="1278"/>
      <c r="D160" s="107" cm="1" t="str">
        <f t="array" ref="D160:D160">D159</f>
        <v>11</v>
      </c>
      <c r="E160" s="703">
        <v>15</v>
      </c>
      <c r="F160" s="50" cm="1" t="str">
        <f t="array" ref="F160:F160">OFFSET(E160,-1,1)</f>
        <v>0</v>
      </c>
      <c r="G160" s="1278"/>
      <c r="H160" s="1278"/>
      <c r="I160" s="158" t="s">
        <v>2905</v>
      </c>
      <c r="J160" s="1278"/>
      <c r="K160" s="158" t="s">
        <v>2905</v>
      </c>
      <c r="L160" s="980" t="s">
        <v>2597</v>
      </c>
      <c r="M160" s="107"/>
      <c r="N160" s="1278"/>
      <c r="O160" s="1278"/>
      <c r="P160" s="1278"/>
      <c r="Q160" s="1278"/>
      <c r="R160" s="1278"/>
      <c r="S160" s="1278"/>
      <c r="T160" s="465" cm="1" t="str">
        <f t="array" ref="T160:T160">T159</f>
        <v>false</v>
      </c>
      <c r="U160" s="1278"/>
      <c r="V160" s="1278"/>
      <c r="W160" s="1278"/>
      <c r="X160" s="1563"/>
      <c r="Y160" s="1278"/>
      <c r="Z160" s="1546"/>
      <c r="AA160" s="1278"/>
      <c r="AB160" s="300" t="str">
        <f>D160&amp;".6"</f>
        <v>11.6</v>
      </c>
      <c r="AC160" s="1111" t="s">
        <v>2599</v>
      </c>
      <c r="AD160" s="300" t="s">
        <v>2337</v>
      </c>
      <c r="AE160" s="1255">
        <f>IF(AE154=0,0,AE151/AE154)</f>
        <v>0</v>
      </c>
      <c r="AF160" s="1255">
        <f>IF(AF154=0,0,AF151/AF154)</f>
        <v>0</v>
      </c>
      <c r="AG160" s="1255">
        <f>IF(AG154=0,0,AG151/AG154)</f>
        <v>0</v>
      </c>
      <c r="AH160" s="943">
        <f>AG160-AF160</f>
        <v>0</v>
      </c>
      <c r="AI160" s="1262">
        <f>IF(AI154=0,0,AI151/AI154)</f>
        <v>0</v>
      </c>
      <c r="AJ160" s="1262">
        <f>IF(AJ154=0,0,AJ151/AJ154)</f>
        <v>0</v>
      </c>
      <c r="AK160" s="1262">
        <f>IF(AK154=0,0,AK151/AK154)</f>
        <v>0</v>
      </c>
      <c r="AL160" s="1262">
        <f>IF(AL154=0,0,AL151/AL154)</f>
        <v>0</v>
      </c>
      <c r="AM160" s="1262">
        <f>IF(AM154=0,0,AM151/AM154)</f>
        <v>0</v>
      </c>
      <c r="AN160" s="1262">
        <f>IF(AN154=0,0,AN151/AN154)</f>
        <v>0</v>
      </c>
      <c r="AO160" s="1262">
        <f>IF(AO154=0,0,AO151/AO154)</f>
        <v>0</v>
      </c>
      <c r="AP160" s="1262">
        <f>IF(AP154=0,0,AP151/AP154)</f>
        <v>0</v>
      </c>
      <c r="AQ160" s="1262">
        <f>IF(AQ154=0,0,AQ151/AQ154)</f>
        <v>0</v>
      </c>
      <c r="AR160" s="1262">
        <f>IF(AR154=0,0,AR151/AR154)</f>
        <v>0</v>
      </c>
      <c r="AS160" s="1262">
        <f>IF(AS154=0,0,AS151/AS154)</f>
        <v>0</v>
      </c>
      <c r="AT160" s="1262">
        <f>IF(AT154=0,0,AT151/AT154)</f>
        <v>0</v>
      </c>
      <c r="AU160" s="1262">
        <f>IF(AU154=0,0,AU151/AU154)</f>
        <v>0</v>
      </c>
      <c r="AV160" s="1262">
        <f>IF(AV154=0,0,AV151/AV154)</f>
        <v>0</v>
      </c>
      <c r="AW160" s="1262">
        <f>IF(AW154=0,0,AW151/AW154)</f>
        <v>0</v>
      </c>
      <c r="AX160" s="1262">
        <f>IF(AX154=0,0,AX151/AX154)</f>
        <v>0</v>
      </c>
      <c r="AY160" s="1262">
        <f>IF(AY154=0,0,AY151/AY154)</f>
        <v>0</v>
      </c>
      <c r="AZ160" s="1262">
        <f>IF(AZ154=0,0,AZ151/AZ154)</f>
        <v>0</v>
      </c>
      <c r="BA160" s="1262">
        <f>IF(BA154=0,0,BA151/BA154)</f>
        <v>0</v>
      </c>
      <c r="BB160" s="1262">
        <f>IF(BB154=0,0,BB151/BB154)</f>
        <v>0</v>
      </c>
      <c r="BC160" s="1262">
        <f>IF(BC154=0,0,BC151/BC154)</f>
        <v>0</v>
      </c>
      <c r="BD160" s="942"/>
      <c r="BE160" s="942"/>
      <c r="BF160" s="942"/>
      <c r="BG160" s="942"/>
      <c r="BH160" s="942"/>
      <c r="BI160" s="942"/>
      <c r="BJ160" s="942"/>
      <c r="BK160" s="942"/>
      <c r="BL160" s="942"/>
      <c r="BM160" s="942"/>
      <c r="BN160" s="1256"/>
      <c r="BO160" s="1256"/>
      <c r="BP160" s="1256"/>
      <c r="BQ160" s="1278"/>
      <c r="BR160" s="1278"/>
      <c r="BS160" s="1062" t="s">
        <v>2600</v>
      </c>
      <c r="BT160" s="1064"/>
      <c r="BU160" s="1064"/>
      <c r="BV160" s="979"/>
      <c r="BW160" s="979"/>
    </row>
    <row s="700" customFormat="1" customHeight="1" ht="20.475" hidden="1">
      <c r="A161" s="700"/>
      <c r="B161" s="435"/>
      <c r="C161" s="700"/>
      <c r="D161" s="109">
        <f>D160+1</f>
        <v>12</v>
      </c>
      <c r="E161" s="707">
        <v>21</v>
      </c>
      <c r="F161" s="50" cm="1" t="str">
        <f t="array" ref="F161:F161">OFFSET(E161,-1,1)</f>
        <v>0</v>
      </c>
      <c r="G161" s="700"/>
      <c r="H161" s="158"/>
      <c r="I161" s="158" t="s">
        <v>2604</v>
      </c>
      <c r="J161" s="700"/>
      <c r="K161" s="158" t="s">
        <v>2604</v>
      </c>
      <c r="L161" s="985" t="s">
        <v>2601</v>
      </c>
      <c r="M161" s="109"/>
      <c r="N161" s="700"/>
      <c r="O161" s="700"/>
      <c r="P161" s="700"/>
      <c r="Q161" s="700"/>
      <c r="R161" s="700"/>
      <c r="S161" s="700"/>
      <c r="T161" s="465" cm="1" t="str">
        <f t="array" ref="T161:T161">T160</f>
        <v>false</v>
      </c>
      <c r="U161" s="700"/>
      <c r="V161" s="700"/>
      <c r="W161" s="700"/>
      <c r="X161" s="1563"/>
      <c r="Y161" s="700"/>
      <c r="Z161" s="1546"/>
      <c r="AA161" s="700"/>
      <c r="AB161" s="211" cm="1" t="str">
        <f t="array" ref="AB161:AB161">D161</f>
        <v>12</v>
      </c>
      <c r="AC161" s="212" t="s">
        <v>2602</v>
      </c>
      <c r="AD161" s="211" t="s">
        <v>1514</v>
      </c>
      <c r="AE161" s="1250">
        <f>IF(AE154=0,0,AE151/AE154*AE162)</f>
        <v>0</v>
      </c>
      <c r="AF161" s="1250">
        <f>IF(AF154=0,0,AF151/AF154*AF162)</f>
        <v>0</v>
      </c>
      <c r="AG161" s="1250">
        <f>IF(AG154=0,0,AG151/AG154*AG162)</f>
        <v>0</v>
      </c>
      <c r="AH161" s="770">
        <f>AH163*AH164+AH165*AH166</f>
        <v>0</v>
      </c>
      <c r="AI161" s="1263">
        <f>IF(AI154=0,0,AI151/AI154*AI162)</f>
        <v>0</v>
      </c>
      <c r="AJ161" s="1263">
        <f>IF(AJ154=0,0,AJ151/AJ154*AJ162)</f>
        <v>0</v>
      </c>
      <c r="AK161" s="1263">
        <f>IF(AK154=0,0,AK151/AK154*AK162)</f>
        <v>0</v>
      </c>
      <c r="AL161" s="1263">
        <f>IF(AL154=0,0,AL151/AL154*AL162)</f>
        <v>0</v>
      </c>
      <c r="AM161" s="1263">
        <f>IF(AM154=0,0,AM151/AM154*AM162)</f>
        <v>0</v>
      </c>
      <c r="AN161" s="1263">
        <f>IF(AN154=0,0,AN151/AN154*AN162)</f>
        <v>0</v>
      </c>
      <c r="AO161" s="1263">
        <f>IF(AO154=0,0,AO151/AO154*AO162)</f>
        <v>0</v>
      </c>
      <c r="AP161" s="1263">
        <f>IF(AP154=0,0,AP151/AP154*AP162)</f>
        <v>0</v>
      </c>
      <c r="AQ161" s="1263">
        <f>IF(AQ154=0,0,AQ151/AQ154*AQ162)</f>
        <v>0</v>
      </c>
      <c r="AR161" s="1263">
        <f>IF(AR154=0,0,AR151/AR154*AR162)</f>
        <v>0</v>
      </c>
      <c r="AS161" s="1263">
        <f>IF(AS154=0,0,AS151/AS154*AS162)</f>
        <v>0</v>
      </c>
      <c r="AT161" s="1263">
        <f>IF(AT154=0,0,AT151/AT154*AT162)</f>
        <v>0</v>
      </c>
      <c r="AU161" s="1263">
        <f>IF(AU154=0,0,AU151/AU154*AU162)</f>
        <v>0</v>
      </c>
      <c r="AV161" s="1263">
        <f>IF(AV154=0,0,AV151/AV154*AV162)</f>
        <v>0</v>
      </c>
      <c r="AW161" s="1263">
        <f>IF(AW154=0,0,AW151/AW154*AW162)</f>
        <v>0</v>
      </c>
      <c r="AX161" s="1263">
        <f>IF(AX154=0,0,AX151/AX154*AX162)</f>
        <v>0</v>
      </c>
      <c r="AY161" s="1263">
        <f>IF(AY154=0,0,AY151/AY154*AY162)</f>
        <v>0</v>
      </c>
      <c r="AZ161" s="1263">
        <f>IF(AZ154=0,0,AZ151/AZ154*AZ162)</f>
        <v>0</v>
      </c>
      <c r="BA161" s="1263">
        <f>IF(BA154=0,0,BA151/BA154*BA162)</f>
        <v>0</v>
      </c>
      <c r="BB161" s="1263">
        <f>IF(BB154=0,0,BB151/BB154*BB162)</f>
        <v>0</v>
      </c>
      <c r="BC161" s="1263">
        <f>IF(BC154=0,0,BC151/BC154*BC162)</f>
        <v>0</v>
      </c>
      <c r="BD161" s="761">
        <f>IF(AI161=0,0,(AT161-AI161)/AI161*100)</f>
        <v>0</v>
      </c>
      <c r="BE161" s="761">
        <f>IF(AT161=0,0,(AU161-AT161)/AT161*100)</f>
        <v>0</v>
      </c>
      <c r="BF161" s="761">
        <f>IF(AU161=0,0,(AV161-AU161)/AU161*100)</f>
        <v>0</v>
      </c>
      <c r="BG161" s="761">
        <f>IF(AV161=0,0,(AW161-AV161)/AV161*100)</f>
        <v>0</v>
      </c>
      <c r="BH161" s="761">
        <f>IF(AW161=0,0,(AX161-AW161)/AW161*100)</f>
        <v>0</v>
      </c>
      <c r="BI161" s="761">
        <f>IF(AX161=0,0,(AY161-AX161)/AX161*100)</f>
        <v>0</v>
      </c>
      <c r="BJ161" s="761">
        <f>IF(AY161=0,0,(AZ161-AY161)/AY161*100)</f>
        <v>0</v>
      </c>
      <c r="BK161" s="761">
        <f>IF(AZ161=0,0,(BA161-AZ161)/AZ161*100)</f>
        <v>0</v>
      </c>
      <c r="BL161" s="761">
        <f>IF(BA161=0,0,(BB161-BA161)/BA161*100)</f>
        <v>0</v>
      </c>
      <c r="BM161" s="761">
        <f>IF(BB161=0,0,(BC161-BB161)/BB161*100)</f>
        <v>0</v>
      </c>
      <c r="BN161" s="1256"/>
      <c r="BO161" s="1256"/>
      <c r="BP161" s="1256"/>
      <c r="BQ161" s="700"/>
      <c r="BR161" s="700"/>
      <c r="BS161" s="1063" t="s">
        <v>2603</v>
      </c>
      <c r="BT161" s="1070"/>
      <c r="BU161" s="1070"/>
      <c r="BV161" s="707"/>
      <c r="BW161" s="707"/>
    </row>
    <row s="700" customFormat="1" customHeight="1" ht="20.475" hidden="1">
      <c r="A162" s="700"/>
      <c r="B162" s="435"/>
      <c r="C162" s="700"/>
      <c r="D162" s="109">
        <f>D161+1</f>
        <v>13</v>
      </c>
      <c r="E162" s="707">
        <v>21</v>
      </c>
      <c r="F162" s="50" cm="1" t="str">
        <f t="array" ref="F162:F162">OFFSET(E162,-1,1)</f>
        <v>0</v>
      </c>
      <c r="G162" s="158" t="s">
        <v>2359</v>
      </c>
      <c r="H162" s="158"/>
      <c r="I162" s="158" t="s">
        <v>2906</v>
      </c>
      <c r="J162" s="700"/>
      <c r="K162" s="158" t="s">
        <v>2906</v>
      </c>
      <c r="L162" s="985" t="s">
        <v>2604</v>
      </c>
      <c r="M162" s="109"/>
      <c r="N162" s="700"/>
      <c r="O162" s="700"/>
      <c r="P162" s="700"/>
      <c r="Q162" s="700"/>
      <c r="R162" s="700"/>
      <c r="S162" s="700"/>
      <c r="T162" s="465" cm="1" t="str">
        <f t="array" ref="T162:T162">T161</f>
        <v>false</v>
      </c>
      <c r="U162" s="700"/>
      <c r="V162" s="700"/>
      <c r="W162" s="700"/>
      <c r="X162" s="1563"/>
      <c r="Y162" s="700"/>
      <c r="Z162" s="1546"/>
      <c r="AA162" s="700"/>
      <c r="AB162" s="211" cm="1" t="str">
        <f t="array" ref="AB162:AB162">D162</f>
        <v>13</v>
      </c>
      <c r="AC162" s="212" t="s">
        <v>2605</v>
      </c>
      <c r="AD162" s="211" t="s">
        <v>1247</v>
      </c>
      <c r="AE162" s="785">
        <f>_xlfn.SUMIFS(Баланс!AE$26:AE$482,Баланс!$F$26:$F$482,$F162,Баланс!$G$26:$G$482,"население")</f>
        <v>0</v>
      </c>
      <c r="AF162" s="785">
        <f>_xlfn.SUMIFS(Баланс!AF$26:AF$482,Баланс!$F$26:$F$482,$F162,Баланс!$G$26:$G$482,"население")</f>
        <v>0</v>
      </c>
      <c r="AG162" s="785">
        <f>_xlfn.SUMIFS(Баланс!AG$26:AG$482,Баланс!$F$26:$F$482,$F162,Баланс!$G$26:$G$482,"население")</f>
        <v>0</v>
      </c>
      <c r="AH162" s="786">
        <f>AG162-AF162</f>
        <v>0</v>
      </c>
      <c r="AI162" s="786">
        <f>_xlfn.SUMIFS(Баланс!AH$26:AH$482,Баланс!$F$26:$F$482,$F162,Баланс!$G$26:$G$482,"население")</f>
        <v>0</v>
      </c>
      <c r="AJ162" s="786">
        <f>_xlfn.SUMIFS(Баланс!AI$26:AI$482,Баланс!$F$26:$F$482,$F162,Баланс!$G$26:$G$482,"население")</f>
        <v>0</v>
      </c>
      <c r="AK162" s="786">
        <f>_xlfn.SUMIFS(Баланс!AJ$26:AJ$482,Баланс!$F$26:$F$482,$F162,Баланс!$G$26:$G$482,"население")</f>
        <v>0</v>
      </c>
      <c r="AL162" s="786">
        <f>_xlfn.SUMIFS(Баланс!AK$26:AK$482,Баланс!$F$26:$F$482,$F162,Баланс!$G$26:$G$482,"население")</f>
        <v>0</v>
      </c>
      <c r="AM162" s="786">
        <f>_xlfn.SUMIFS(Баланс!AL$26:AL$482,Баланс!$F$26:$F$482,$F162,Баланс!$G$26:$G$482,"население")</f>
        <v>0</v>
      </c>
      <c r="AN162" s="786">
        <f>_xlfn.SUMIFS(Баланс!AM$26:AM$482,Баланс!$F$26:$F$482,$F162,Баланс!$G$26:$G$482,"население")</f>
        <v>0</v>
      </c>
      <c r="AO162" s="786">
        <f>_xlfn.SUMIFS(Баланс!AN$26:AN$482,Баланс!$F$26:$F$482,$F162,Баланс!$G$26:$G$482,"население")</f>
        <v>0</v>
      </c>
      <c r="AP162" s="786">
        <f>_xlfn.SUMIFS(Баланс!AO$26:AO$482,Баланс!$F$26:$F$482,$F162,Баланс!$G$26:$G$482,"население")</f>
        <v>0</v>
      </c>
      <c r="AQ162" s="786">
        <f>_xlfn.SUMIFS(Баланс!AP$26:AP$482,Баланс!$F$26:$F$482,$F162,Баланс!$G$26:$G$482,"население")</f>
        <v>0</v>
      </c>
      <c r="AR162" s="786">
        <f>_xlfn.SUMIFS(Баланс!AQ$26:AQ$482,Баланс!$F$26:$F$482,$F162,Баланс!$G$26:$G$482,"население")</f>
        <v>0</v>
      </c>
      <c r="AS162" s="786">
        <f>_xlfn.SUMIFS(Баланс!AR$26:AR$482,Баланс!$F$26:$F$482,$F162,Баланс!$G$26:$G$482,"население")</f>
        <v>0</v>
      </c>
      <c r="AT162" s="786">
        <f>_xlfn.SUMIFS(Баланс!AS$26:AS$482,Баланс!$F$26:$F$482,$F162,Баланс!$G$26:$G$482,"население")</f>
        <v>0</v>
      </c>
      <c r="AU162" s="786">
        <f>_xlfn.SUMIFS(Баланс!AT$26:AT$482,Баланс!$F$26:$F$482,$F162,Баланс!$G$26:$G$482,"население")</f>
        <v>0</v>
      </c>
      <c r="AV162" s="786">
        <f>_xlfn.SUMIFS(Баланс!AU$26:AU$482,Баланс!$F$26:$F$482,$F162,Баланс!$G$26:$G$482,"население")</f>
        <v>0</v>
      </c>
      <c r="AW162" s="786">
        <f>_xlfn.SUMIFS(Баланс!AV$26:AV$482,Баланс!$F$26:$F$482,$F162,Баланс!$G$26:$G$482,"население")</f>
        <v>0</v>
      </c>
      <c r="AX162" s="786">
        <f>_xlfn.SUMIFS(Баланс!AW$26:AW$482,Баланс!$F$26:$F$482,$F162,Баланс!$G$26:$G$482,"население")</f>
        <v>0</v>
      </c>
      <c r="AY162" s="786">
        <f>_xlfn.SUMIFS(Баланс!AX$26:AX$482,Баланс!$F$26:$F$482,$F162,Баланс!$G$26:$G$482,"население")</f>
        <v>0</v>
      </c>
      <c r="AZ162" s="786">
        <f>_xlfn.SUMIFS(Баланс!AY$26:AY$482,Баланс!$F$26:$F$482,$F162,Баланс!$G$26:$G$482,"население")</f>
        <v>0</v>
      </c>
      <c r="BA162" s="786">
        <f>_xlfn.SUMIFS(Баланс!AZ$26:AZ$482,Баланс!$F$26:$F$482,$F162,Баланс!$G$26:$G$482,"население")</f>
        <v>0</v>
      </c>
      <c r="BB162" s="786">
        <f>_xlfn.SUMIFS(Баланс!BA$26:BA$482,Баланс!$F$26:$F$482,$F162,Баланс!$G$26:$G$482,"население")</f>
        <v>0</v>
      </c>
      <c r="BC162" s="786">
        <f>_xlfn.SUMIFS(Баланс!BB$26:BB$482,Баланс!$F$26:$F$482,$F162,Баланс!$G$26:$G$482,"население")</f>
        <v>0</v>
      </c>
      <c r="BD162" s="764"/>
      <c r="BE162" s="764"/>
      <c r="BF162" s="764"/>
      <c r="BG162" s="764"/>
      <c r="BH162" s="764"/>
      <c r="BI162" s="764"/>
      <c r="BJ162" s="764"/>
      <c r="BK162" s="764"/>
      <c r="BL162" s="764"/>
      <c r="BM162" s="764"/>
      <c r="BN162" s="1256"/>
      <c r="BO162" s="1256"/>
      <c r="BP162" s="1256"/>
      <c r="BQ162" s="700"/>
      <c r="BR162" s="700"/>
      <c r="BS162" s="1063" t="s">
        <v>2606</v>
      </c>
      <c r="BT162" s="1070"/>
      <c r="BU162" s="1070"/>
      <c r="BV162" s="707"/>
      <c r="BW162" s="707"/>
    </row>
    <row customHeight="1" ht="14.625" hidden="1">
      <c r="A163" s="1278"/>
      <c r="B163" s="978"/>
      <c r="C163" s="1278"/>
      <c r="D163" s="107" cm="1" t="str">
        <f t="array" ref="D163:D163">D162</f>
        <v>13</v>
      </c>
      <c r="E163" s="703">
        <v>15</v>
      </c>
      <c r="F163" s="50" cm="1" t="str">
        <f t="array" ref="F163:F163">OFFSET(E163,-1,1)</f>
        <v>0</v>
      </c>
      <c r="G163" s="158" t="s">
        <v>2393</v>
      </c>
      <c r="H163" s="1278"/>
      <c r="I163" s="158" t="s">
        <v>2907</v>
      </c>
      <c r="J163" s="1278"/>
      <c r="K163" s="158" t="s">
        <v>2907</v>
      </c>
      <c r="L163" s="980" t="s">
        <v>2607</v>
      </c>
      <c r="M163" s="107"/>
      <c r="N163" s="1278"/>
      <c r="O163" s="1278"/>
      <c r="P163" s="1278"/>
      <c r="Q163" s="1278"/>
      <c r="R163" s="1278"/>
      <c r="S163" s="1278"/>
      <c r="T163" s="465" cm="1" t="str">
        <f t="array" ref="T163:T163">T162</f>
        <v>false</v>
      </c>
      <c r="U163" s="1278"/>
      <c r="V163" s="1278"/>
      <c r="W163" s="1278"/>
      <c r="X163" s="1563"/>
      <c r="Y163" s="1278"/>
      <c r="Z163" s="1546"/>
      <c r="AA163" s="1278"/>
      <c r="AB163" s="300" t="str">
        <f>D163&amp;".1"</f>
        <v>13.1</v>
      </c>
      <c r="AC163" s="1111" t="s">
        <v>2609</v>
      </c>
      <c r="AD163" s="300" t="s">
        <v>1247</v>
      </c>
      <c r="AE163" s="1260">
        <f>IF(AE$24="2026 год",AE162/12*9,AE162/2)</f>
        <v>0</v>
      </c>
      <c r="AF163" s="1260">
        <f>IF(AF$24="2026 год",AF162/12*9,AF162/2)</f>
        <v>0</v>
      </c>
      <c r="AG163" s="1260">
        <f>IF(AG$24="2026 год",AG162/12*9,AG162/2)</f>
        <v>0</v>
      </c>
      <c r="AH163" s="941">
        <f>AG163-AF163</f>
        <v>0</v>
      </c>
      <c r="AI163" s="1261">
        <f>IF(AI$24="2026 год",AI162/12*9,AI162/2)</f>
        <v>0</v>
      </c>
      <c r="AJ163" s="1260">
        <f>IF(AJ$24="2026 год",AJ162/12*9,AJ162/2)</f>
        <v>0</v>
      </c>
      <c r="AK163" s="1260">
        <f>IF(AK$24="2026 год",AK162/12*9,AK162/2)</f>
        <v>0</v>
      </c>
      <c r="AL163" s="1261">
        <f>IF(AL$24="2026 год",AL162/12*9,AL162/2)</f>
        <v>0</v>
      </c>
      <c r="AM163" s="1261">
        <f>IF(AM$24="2026 год",AM162/12*9,AM162/2)</f>
        <v>0</v>
      </c>
      <c r="AN163" s="1261">
        <f>IF(AN$24="2026 год",AN162/12*9,AN162/2)</f>
        <v>0</v>
      </c>
      <c r="AO163" s="1261">
        <f>IF(AO$24="2026 год",AO162/12*9,AO162/2)</f>
        <v>0</v>
      </c>
      <c r="AP163" s="1261">
        <f>IF(AP$24="2026 год",AP162/12*9,AP162/2)</f>
        <v>0</v>
      </c>
      <c r="AQ163" s="1261">
        <f>IF(AQ$24="2026 год",AQ162/12*9,AQ162/2)</f>
        <v>0</v>
      </c>
      <c r="AR163" s="1261">
        <f>IF(AR$24="2026 год",AR162/12*9,AR162/2)</f>
        <v>0</v>
      </c>
      <c r="AS163" s="1261">
        <f>IF(AS$24="2026 год",AS162/12*9,AS162/2)</f>
        <v>0</v>
      </c>
      <c r="AT163" s="1261">
        <f>IF(AT$24="2026 год",AT162/12*9,AT162/2)</f>
        <v>0</v>
      </c>
      <c r="AU163" s="1261">
        <f>IF(AU$24="2026 год",AU162/12*9,AU162/2)</f>
        <v>0</v>
      </c>
      <c r="AV163" s="1261">
        <f>IF(AV$24="2026 год",AV162/12*9,AV162/2)</f>
        <v>0</v>
      </c>
      <c r="AW163" s="1261">
        <f>IF(AW$24="2026 год",AW162/12*9,AW162/2)</f>
        <v>0</v>
      </c>
      <c r="AX163" s="1261">
        <f>IF(AX$24="2026 год",AX162/12*9,AX162/2)</f>
        <v>0</v>
      </c>
      <c r="AY163" s="1261">
        <f>IF(AY$24="2026 год",AY162/12*9,AY162/2)</f>
        <v>0</v>
      </c>
      <c r="AZ163" s="1261">
        <f>IF(AZ$24="2026 год",AZ162/12*9,AZ162/2)</f>
        <v>0</v>
      </c>
      <c r="BA163" s="1261">
        <f>IF(BA$24="2026 год",BA162/12*9,BA162/2)</f>
        <v>0</v>
      </c>
      <c r="BB163" s="1261">
        <f>IF(BB$24="2026 год",BB162/12*9,BB162/2)</f>
        <v>0</v>
      </c>
      <c r="BC163" s="1261">
        <f>IF(BC$24="2026 год",BC162/12*9,BC162/2)</f>
        <v>0</v>
      </c>
      <c r="BD163" s="942"/>
      <c r="BE163" s="942"/>
      <c r="BF163" s="942"/>
      <c r="BG163" s="942"/>
      <c r="BH163" s="942"/>
      <c r="BI163" s="942"/>
      <c r="BJ163" s="942"/>
      <c r="BK163" s="942"/>
      <c r="BL163" s="942"/>
      <c r="BM163" s="942"/>
      <c r="BN163" s="1256"/>
      <c r="BO163" s="1256"/>
      <c r="BP163" s="1256"/>
      <c r="BQ163" s="1278"/>
      <c r="BR163" s="1278"/>
      <c r="BS163" s="1062" t="s">
        <v>2610</v>
      </c>
      <c r="BT163" s="1064"/>
      <c r="BU163" s="1064"/>
      <c r="BV163" s="979"/>
      <c r="BW163" s="979"/>
    </row>
    <row customHeight="1" ht="14.625" hidden="1">
      <c r="A164" s="1278"/>
      <c r="B164" s="978"/>
      <c r="C164" s="1278"/>
      <c r="D164" s="107" cm="1" t="str">
        <f t="array" ref="D164:D164">D163</f>
        <v>13</v>
      </c>
      <c r="E164" s="703">
        <v>15</v>
      </c>
      <c r="F164" s="50" cm="1" t="str">
        <f t="array" ref="F164:F164">OFFSET(E164,-1,1)</f>
        <v>0</v>
      </c>
      <c r="G164" s="158" t="s">
        <v>2349</v>
      </c>
      <c r="H164" s="1278"/>
      <c r="I164" s="158" t="s">
        <v>2908</v>
      </c>
      <c r="J164" s="1278"/>
      <c r="K164" s="158" t="s">
        <v>2908</v>
      </c>
      <c r="L164" s="980" t="s">
        <v>2611</v>
      </c>
      <c r="M164" s="107"/>
      <c r="N164" s="1278"/>
      <c r="O164" s="1278"/>
      <c r="P164" s="1278"/>
      <c r="Q164" s="1278"/>
      <c r="R164" s="1278"/>
      <c r="S164" s="1278"/>
      <c r="T164" s="465" cm="1" t="str">
        <f t="array" ref="T164:T164">T163</f>
        <v>false</v>
      </c>
      <c r="U164" s="1278"/>
      <c r="V164" s="1278"/>
      <c r="W164" s="1278"/>
      <c r="X164" s="1563"/>
      <c r="Y164" s="1278"/>
      <c r="Z164" s="1546"/>
      <c r="AA164" s="1278"/>
      <c r="AB164" s="300" t="str">
        <f>D164&amp;".2"</f>
        <v>13.2</v>
      </c>
      <c r="AC164" s="1111" t="s">
        <v>2613</v>
      </c>
      <c r="AD164" s="300" t="s">
        <v>2337</v>
      </c>
      <c r="AE164" s="1262">
        <f>IF(AE162=0,0,AE156*(1+Сценарии!AE$26/100))</f>
        <v>0</v>
      </c>
      <c r="AF164" s="1262">
        <f>IF(AF162=0,0,AF156*(1+Сценарии!AF$26/100))</f>
        <v>0</v>
      </c>
      <c r="AG164" s="1262">
        <f>IF(AG162=0,0,AG156*(1+Сценарии!AG$26/100))</f>
        <v>0</v>
      </c>
      <c r="AH164" s="943">
        <f>AG164-AF164</f>
        <v>0</v>
      </c>
      <c r="AI164" s="1262">
        <f>IF(AI162=0,0,AI156*(1+Сценарии!AI$26/100))</f>
        <v>0</v>
      </c>
      <c r="AJ164" s="1262">
        <f>IF(AJ162=0,0,AJ156*(1+Сценарии!AJ$26/100))</f>
        <v>0</v>
      </c>
      <c r="AK164" s="1262">
        <f>IF(AK162=0,0,AK156*(1+Сценарии!AO$26/100))</f>
        <v>0</v>
      </c>
      <c r="AL164" s="1262">
        <f>IF(AL162=0,0,AL156*(1+Сценарии!AP$26/100))</f>
        <v>0</v>
      </c>
      <c r="AM164" s="1262">
        <f>IF(AM162=0,0,AM156*(1+Сценарии!AQ$26/100))</f>
        <v>0</v>
      </c>
      <c r="AN164" s="1262">
        <f>IF(AN162=0,0,AN156*(1+Сценарии!AR$26/100))</f>
        <v>0</v>
      </c>
      <c r="AO164" s="1262">
        <f>IF(AO162=0,0,AO156*(1+Сценарии!AS$26/100))</f>
        <v>0</v>
      </c>
      <c r="AP164" s="1262">
        <f>IF(AP162=0,0,AP156*(1+Сценарии!AT$26/100))</f>
        <v>0</v>
      </c>
      <c r="AQ164" s="1262">
        <f>IF(AQ162=0,0,AQ156*(1+Сценарии!AU$26/100))</f>
        <v>0</v>
      </c>
      <c r="AR164" s="1262">
        <f>IF(AR162=0,0,AR156*(1+Сценарии!AV$26/100))</f>
        <v>0</v>
      </c>
      <c r="AS164" s="1262">
        <f>IF(AS162=0,0,AS156*(1+Сценарии!AW$26/100))</f>
        <v>0</v>
      </c>
      <c r="AT164" s="1262">
        <f>IF(AT162=0,0,AT156*(1+Сценарии!AK$26/100))</f>
        <v>0</v>
      </c>
      <c r="AU164" s="1262">
        <f>IF(AU162=0,0,AU156*(1+Сценарии!AX$26/100))</f>
        <v>0</v>
      </c>
      <c r="AV164" s="1262">
        <f>IF(AV162=0,0,AV156*(1+Сценарии!AY$26/100))</f>
        <v>0</v>
      </c>
      <c r="AW164" s="1262">
        <f>IF(AW162=0,0,AW156*(1+Сценарии!AZ$26/100))</f>
        <v>0</v>
      </c>
      <c r="AX164" s="1262">
        <f>IF(AX162=0,0,AX156*(1+Сценарии!BA$26/100))</f>
        <v>0</v>
      </c>
      <c r="AY164" s="1262">
        <f>IF(AY162=0,0,AY156*(1+Сценарии!BB$26/100))</f>
        <v>0</v>
      </c>
      <c r="AZ164" s="1262">
        <f>IF(AZ162=0,0,AZ156*(1+Сценарии!BC$26/100))</f>
        <v>0</v>
      </c>
      <c r="BA164" s="1262">
        <f>IF(BA162=0,0,BA156*(1+Сценарии!BD$26/100))</f>
        <v>0</v>
      </c>
      <c r="BB164" s="1262">
        <f>IF(BB162=0,0,BB156*(1+Сценарии!BE$26/100))</f>
        <v>0</v>
      </c>
      <c r="BC164" s="1262">
        <f>IF(BC162=0,0,BC156*(1+Сценарии!BF$26/100))</f>
        <v>0</v>
      </c>
      <c r="BD164" s="942"/>
      <c r="BE164" s="942"/>
      <c r="BF164" s="942"/>
      <c r="BG164" s="942"/>
      <c r="BH164" s="942"/>
      <c r="BI164" s="942"/>
      <c r="BJ164" s="942"/>
      <c r="BK164" s="942"/>
      <c r="BL164" s="942"/>
      <c r="BM164" s="942"/>
      <c r="BN164" s="1256"/>
      <c r="BO164" s="1256"/>
      <c r="BP164" s="1256"/>
      <c r="BQ164" s="1278"/>
      <c r="BR164" s="1278"/>
      <c r="BS164" s="1062" t="s">
        <v>2614</v>
      </c>
      <c r="BT164" s="1064"/>
      <c r="BU164" s="1064"/>
      <c r="BV164" s="979"/>
      <c r="BW164" s="979"/>
    </row>
    <row customHeight="1" ht="14.625" hidden="1">
      <c r="A165" s="1278"/>
      <c r="B165" s="96"/>
      <c r="C165" s="107"/>
      <c r="D165" s="107" cm="1" t="str">
        <f t="array" ref="D165:D165">D164</f>
        <v>13</v>
      </c>
      <c r="E165" s="621">
        <v>15</v>
      </c>
      <c r="F165" s="50" cm="1" t="str">
        <f t="array" ref="F165:F165">OFFSET(E165,-1,1)</f>
        <v>0</v>
      </c>
      <c r="G165" s="107" t="s">
        <v>2400</v>
      </c>
      <c r="H165" s="107"/>
      <c r="I165" s="107" t="s">
        <v>2909</v>
      </c>
      <c r="J165" s="107"/>
      <c r="K165" s="107" t="s">
        <v>2909</v>
      </c>
      <c r="L165" s="980" t="s">
        <v>2615</v>
      </c>
      <c r="M165" s="107"/>
      <c r="N165" s="107"/>
      <c r="O165" s="107"/>
      <c r="P165" s="107"/>
      <c r="Q165" s="107"/>
      <c r="R165" s="107"/>
      <c r="S165" s="107"/>
      <c r="T165" s="465" cm="1" t="str">
        <f t="array" ref="T165:T165">T164</f>
        <v>false</v>
      </c>
      <c r="U165" s="107"/>
      <c r="V165" s="107"/>
      <c r="W165" s="107"/>
      <c r="X165" s="1563"/>
      <c r="Y165" s="1278"/>
      <c r="Z165" s="1546"/>
      <c r="AA165" s="1278"/>
      <c r="AB165" s="300" t="str">
        <f>D165&amp;".3"</f>
        <v>13.3</v>
      </c>
      <c r="AC165" s="1111" t="s">
        <v>2587</v>
      </c>
      <c r="AD165" s="300" t="s">
        <v>1247</v>
      </c>
      <c r="AE165" s="946">
        <f>AE162-AE163</f>
        <v>0</v>
      </c>
      <c r="AF165" s="946">
        <f>AF162-AF163</f>
        <v>0</v>
      </c>
      <c r="AG165" s="946">
        <f>AG162-AG163</f>
        <v>0</v>
      </c>
      <c r="AH165" s="941">
        <f>AG165-AF165</f>
        <v>0</v>
      </c>
      <c r="AI165" s="825">
        <f>AI162-AI163</f>
        <v>0</v>
      </c>
      <c r="AJ165" s="825">
        <f>AJ162-AJ163</f>
        <v>0</v>
      </c>
      <c r="AK165" s="825">
        <f>AK162-AK163</f>
        <v>0</v>
      </c>
      <c r="AL165" s="825">
        <f>AL162-AL163</f>
        <v>0</v>
      </c>
      <c r="AM165" s="825">
        <f>AM162-AM163</f>
        <v>0</v>
      </c>
      <c r="AN165" s="825">
        <f>AN162-AN163</f>
        <v>0</v>
      </c>
      <c r="AO165" s="825">
        <f>AO162-AO163</f>
        <v>0</v>
      </c>
      <c r="AP165" s="825">
        <f>AP162-AP163</f>
        <v>0</v>
      </c>
      <c r="AQ165" s="825">
        <f>AQ162-AQ163</f>
        <v>0</v>
      </c>
      <c r="AR165" s="825">
        <f>AR162-AR163</f>
        <v>0</v>
      </c>
      <c r="AS165" s="825">
        <f>AS162-AS163</f>
        <v>0</v>
      </c>
      <c r="AT165" s="825">
        <f>AT162-AT163</f>
        <v>0</v>
      </c>
      <c r="AU165" s="825">
        <f>AU162-AU163</f>
        <v>0</v>
      </c>
      <c r="AV165" s="825">
        <f>AV162-AV163</f>
        <v>0</v>
      </c>
      <c r="AW165" s="825">
        <f>AW162-AW163</f>
        <v>0</v>
      </c>
      <c r="AX165" s="825">
        <f>AX162-AX163</f>
        <v>0</v>
      </c>
      <c r="AY165" s="825">
        <f>AY162-AY163</f>
        <v>0</v>
      </c>
      <c r="AZ165" s="825">
        <f>AZ162-AZ163</f>
        <v>0</v>
      </c>
      <c r="BA165" s="825">
        <f>BA162-BA163</f>
        <v>0</v>
      </c>
      <c r="BB165" s="825">
        <f>BB162-BB163</f>
        <v>0</v>
      </c>
      <c r="BC165" s="825">
        <f>BC162-BC163</f>
        <v>0</v>
      </c>
      <c r="BD165" s="942"/>
      <c r="BE165" s="942"/>
      <c r="BF165" s="942"/>
      <c r="BG165" s="942"/>
      <c r="BH165" s="942"/>
      <c r="BI165" s="942"/>
      <c r="BJ165" s="942"/>
      <c r="BK165" s="942"/>
      <c r="BL165" s="942"/>
      <c r="BM165" s="942"/>
      <c r="BN165" s="1256"/>
      <c r="BO165" s="1256"/>
      <c r="BP165" s="1256"/>
      <c r="BQ165" s="1278"/>
      <c r="BR165" s="1278"/>
      <c r="BS165" s="1062" t="s">
        <v>2617</v>
      </c>
      <c r="BT165" s="1064"/>
      <c r="BU165" s="1064"/>
      <c r="BV165" s="979"/>
      <c r="BW165" s="979"/>
    </row>
    <row customHeight="1" ht="14.625" hidden="1">
      <c r="A166" s="1278"/>
      <c r="B166" s="96"/>
      <c r="C166" s="107"/>
      <c r="D166" s="107" cm="1" t="str">
        <f t="array" ref="D166:D166">D165</f>
        <v>13</v>
      </c>
      <c r="E166" s="621">
        <v>15</v>
      </c>
      <c r="F166" s="50" cm="1" t="str">
        <f t="array" ref="F166:F166">OFFSET(E166,-1,1)</f>
        <v>0</v>
      </c>
      <c r="G166" s="107" t="s">
        <v>2353</v>
      </c>
      <c r="H166" s="107"/>
      <c r="I166" s="107" t="s">
        <v>2910</v>
      </c>
      <c r="J166" s="107"/>
      <c r="K166" s="107" t="s">
        <v>2910</v>
      </c>
      <c r="L166" s="980" t="s">
        <v>2618</v>
      </c>
      <c r="M166" s="107"/>
      <c r="N166" s="107"/>
      <c r="O166" s="107"/>
      <c r="P166" s="107"/>
      <c r="Q166" s="107"/>
      <c r="R166" s="107"/>
      <c r="S166" s="107"/>
      <c r="T166" s="465" cm="1" t="str">
        <f t="array" ref="T166:T166">T165</f>
        <v>false</v>
      </c>
      <c r="U166" s="107"/>
      <c r="V166" s="107"/>
      <c r="W166" s="107"/>
      <c r="X166" s="1563"/>
      <c r="Y166" s="1278"/>
      <c r="Z166" s="1546"/>
      <c r="AA166" s="1278"/>
      <c r="AB166" s="300" t="str">
        <f>D166&amp;".4"</f>
        <v>13.4</v>
      </c>
      <c r="AC166" s="1111" t="s">
        <v>2591</v>
      </c>
      <c r="AD166" s="300" t="s">
        <v>2337</v>
      </c>
      <c r="AE166" s="1262">
        <f>IF(AE162=0,0,AE158*(1+Сценарии!AE$26/100))</f>
        <v>0</v>
      </c>
      <c r="AF166" s="1262">
        <f>IF(AF162=0,0,AF158*(1+Сценарии!AF$26/100))</f>
        <v>0</v>
      </c>
      <c r="AG166" s="1262">
        <f>IF(AG162=0,0,AG158*(1+Сценарии!AG$26/100))</f>
        <v>0</v>
      </c>
      <c r="AH166" s="943">
        <f>AG166-AF166</f>
        <v>0</v>
      </c>
      <c r="AI166" s="1262">
        <f>IF(AI162=0,0,AI158*(1+Сценарии!AI$26/100))</f>
        <v>0</v>
      </c>
      <c r="AJ166" s="1262">
        <f>IF(AJ162=0,0,AJ158*(1+Сценарии!AJ$26/100))</f>
        <v>0</v>
      </c>
      <c r="AK166" s="1262">
        <f>IF(AK162=0,0,AK158*(1+Сценарии!AO$26/100))</f>
        <v>0</v>
      </c>
      <c r="AL166" s="1262">
        <f>IF(AL162=0,0,AL158*(1+Сценарии!AP$26/100))</f>
        <v>0</v>
      </c>
      <c r="AM166" s="1262">
        <f>IF(AM162=0,0,AM158*(1+Сценарии!AQ$26/100))</f>
        <v>0</v>
      </c>
      <c r="AN166" s="1262">
        <f>IF(AN162=0,0,AN158*(1+Сценарии!AR$26/100))</f>
        <v>0</v>
      </c>
      <c r="AO166" s="1262">
        <f>IF(AO162=0,0,AO158*(1+Сценарии!AS$26/100))</f>
        <v>0</v>
      </c>
      <c r="AP166" s="1262">
        <f>IF(AP162=0,0,AP158*(1+Сценарии!AT$26/100))</f>
        <v>0</v>
      </c>
      <c r="AQ166" s="1262">
        <f>IF(AQ162=0,0,AQ158*(1+Сценарии!AU$26/100))</f>
        <v>0</v>
      </c>
      <c r="AR166" s="1262">
        <f>IF(AR162=0,0,AR158*(1+Сценарии!AV$26/100))</f>
        <v>0</v>
      </c>
      <c r="AS166" s="1262">
        <f>IF(AS162=0,0,AS158*(1+Сценарии!AW$26/100))</f>
        <v>0</v>
      </c>
      <c r="AT166" s="1262">
        <f>IF(AT162=0,0,AT158*(1+Сценарии!AK$26/100))</f>
        <v>0</v>
      </c>
      <c r="AU166" s="1262">
        <f>IF(AU162=0,0,AU158*(1+Сценарии!AX$26/100))</f>
        <v>0</v>
      </c>
      <c r="AV166" s="1262">
        <f>IF(AV162=0,0,AV158*(1+Сценарии!AY$26/100))</f>
        <v>0</v>
      </c>
      <c r="AW166" s="1262">
        <f>IF(AW162=0,0,AW158*(1+Сценарии!AZ$26/100))</f>
        <v>0</v>
      </c>
      <c r="AX166" s="1262">
        <f>IF(AX162=0,0,AX158*(1+Сценарии!BA$26/100))</f>
        <v>0</v>
      </c>
      <c r="AY166" s="1262">
        <f>IF(AY162=0,0,AY158*(1+Сценарии!BB$26/100))</f>
        <v>0</v>
      </c>
      <c r="AZ166" s="1262">
        <f>IF(AZ162=0,0,AZ158*(1+Сценарии!BC$26/100))</f>
        <v>0</v>
      </c>
      <c r="BA166" s="1262">
        <f>IF(BA162=0,0,BA158*(1+Сценарии!BD$26/100))</f>
        <v>0</v>
      </c>
      <c r="BB166" s="1262">
        <f>IF(BB162=0,0,BB158*(1+Сценарии!BE$26/100))</f>
        <v>0</v>
      </c>
      <c r="BC166" s="1262">
        <f>IF(BC162=0,0,BC158*(1+Сценарии!BF$26/100))</f>
        <v>0</v>
      </c>
      <c r="BD166" s="942"/>
      <c r="BE166" s="942"/>
      <c r="BF166" s="942"/>
      <c r="BG166" s="942"/>
      <c r="BH166" s="942"/>
      <c r="BI166" s="942"/>
      <c r="BJ166" s="942"/>
      <c r="BK166" s="942"/>
      <c r="BL166" s="942"/>
      <c r="BM166" s="942"/>
      <c r="BN166" s="1256"/>
      <c r="BO166" s="1256"/>
      <c r="BP166" s="1256"/>
      <c r="BQ166" s="1278"/>
      <c r="BR166" s="1278"/>
      <c r="BS166" s="1062" t="s">
        <v>2621</v>
      </c>
      <c r="BT166" s="1064"/>
      <c r="BU166" s="1064"/>
      <c r="BV166" s="979"/>
      <c r="BW166" s="979"/>
    </row>
    <row customHeight="1" ht="14.625" hidden="1">
      <c r="A167" s="1278"/>
      <c r="B167" s="96"/>
      <c r="C167" s="107"/>
      <c r="D167" s="107">
        <f>D166+1</f>
        <v>14</v>
      </c>
      <c r="E167" s="621">
        <v>15</v>
      </c>
      <c r="F167" s="50" cm="1" t="str">
        <f t="array" ref="F167:F167">OFFSET(E167,-1,1)</f>
        <v>0</v>
      </c>
      <c r="G167" s="107"/>
      <c r="H167" s="107"/>
      <c r="I167" s="107"/>
      <c r="J167" s="107"/>
      <c r="K167" s="107"/>
      <c r="L167" s="980"/>
      <c r="M167" s="107"/>
      <c r="N167" s="107"/>
      <c r="O167" s="107"/>
      <c r="P167" s="107"/>
      <c r="Q167" s="107"/>
      <c r="R167" s="107"/>
      <c r="S167" s="107"/>
      <c r="T167" s="465" cm="1" t="str">
        <f t="array" ref="T167:T167">T166</f>
        <v>false</v>
      </c>
      <c r="U167" s="107"/>
      <c r="V167" s="107"/>
      <c r="W167" s="107"/>
      <c r="X167" s="1563"/>
      <c r="Y167" s="1278"/>
      <c r="Z167" s="1546"/>
      <c r="AA167" s="1278"/>
      <c r="AB167" s="211" cm="1" t="str">
        <f t="array" ref="AB167:AB167">D167</f>
        <v>14</v>
      </c>
      <c r="AC167" s="212" t="s">
        <v>2622</v>
      </c>
      <c r="AD167" s="211" t="s">
        <v>1514</v>
      </c>
      <c r="AE167" s="1255"/>
      <c r="AF167" s="1255"/>
      <c r="AG167" s="1255"/>
      <c r="AH167" s="943"/>
      <c r="AI167" s="1262"/>
      <c r="AJ167" s="1262"/>
      <c r="AK167" s="1262"/>
      <c r="AL167" s="1262"/>
      <c r="AM167" s="1262"/>
      <c r="AN167" s="1262"/>
      <c r="AO167" s="1262"/>
      <c r="AP167" s="1262"/>
      <c r="AQ167" s="1262"/>
      <c r="AR167" s="1262"/>
      <c r="AS167" s="1262"/>
      <c r="AT167" s="1262"/>
      <c r="AU167" s="1262"/>
      <c r="AV167" s="1262"/>
      <c r="AW167" s="1262"/>
      <c r="AX167" s="1262"/>
      <c r="AY167" s="1262"/>
      <c r="AZ167" s="1262"/>
      <c r="BA167" s="1262"/>
      <c r="BB167" s="1262"/>
      <c r="BC167" s="1262"/>
      <c r="BD167" s="942"/>
      <c r="BE167" s="942"/>
      <c r="BF167" s="942"/>
      <c r="BG167" s="942"/>
      <c r="BH167" s="942"/>
      <c r="BI167" s="942"/>
      <c r="BJ167" s="942"/>
      <c r="BK167" s="942"/>
      <c r="BL167" s="942"/>
      <c r="BM167" s="942"/>
      <c r="BN167" s="1256"/>
      <c r="BO167" s="1256"/>
      <c r="BP167" s="1256"/>
      <c r="BQ167" s="1278"/>
      <c r="BR167" s="1278"/>
      <c r="BS167" s="1062" t="s">
        <v>2623</v>
      </c>
      <c r="BT167" s="1064"/>
      <c r="BU167" s="1064"/>
      <c r="BV167" s="979"/>
      <c r="BW167" s="979"/>
    </row>
    <row customHeight="1" ht="20.475" hidden="1">
      <c r="A168" s="1278"/>
      <c r="B168" s="96"/>
      <c r="C168" s="107"/>
      <c r="D168" s="107" cm="1" t="str">
        <f t="array" ref="D168:D168">D167</f>
        <v>14</v>
      </c>
      <c r="E168" s="621">
        <v>21</v>
      </c>
      <c r="F168" s="50" cm="1" t="str">
        <f t="array" ref="F168:F168">OFFSET(E168,-1,1)</f>
        <v>0</v>
      </c>
      <c r="G168" s="107"/>
      <c r="H168" s="107"/>
      <c r="I168" s="107"/>
      <c r="J168" s="107"/>
      <c r="K168" s="107"/>
      <c r="L168" s="980"/>
      <c r="M168" s="107"/>
      <c r="N168" s="107"/>
      <c r="O168" s="107"/>
      <c r="P168" s="107"/>
      <c r="Q168" s="107"/>
      <c r="R168" s="107"/>
      <c r="S168" s="107"/>
      <c r="T168" s="465" cm="1" t="str">
        <f t="array" ref="T168:T168">T167</f>
        <v>false</v>
      </c>
      <c r="U168" s="107"/>
      <c r="V168" s="107"/>
      <c r="W168" s="107"/>
      <c r="X168" s="1563"/>
      <c r="Y168" s="1278"/>
      <c r="Z168" s="1546"/>
      <c r="AA168" s="1278"/>
      <c r="AB168" s="300" t="str">
        <f>D168&amp;".1"</f>
        <v>14.1</v>
      </c>
      <c r="AC168" s="762" t="s">
        <v>2625</v>
      </c>
      <c r="AD168" s="300" t="s">
        <v>1514</v>
      </c>
      <c r="AE168" s="1255"/>
      <c r="AF168" s="1255"/>
      <c r="AG168" s="1255"/>
      <c r="AH168" s="943">
        <f>AG168-AF168</f>
        <v>0</v>
      </c>
      <c r="AI168" s="1262"/>
      <c r="AJ168" s="1262"/>
      <c r="AK168" s="1262"/>
      <c r="AL168" s="1262"/>
      <c r="AM168" s="1262"/>
      <c r="AN168" s="1262"/>
      <c r="AO168" s="1262"/>
      <c r="AP168" s="1262"/>
      <c r="AQ168" s="1262"/>
      <c r="AR168" s="1262"/>
      <c r="AS168" s="1262"/>
      <c r="AT168" s="1262"/>
      <c r="AU168" s="1262"/>
      <c r="AV168" s="1262"/>
      <c r="AW168" s="1262"/>
      <c r="AX168" s="1262"/>
      <c r="AY168" s="1262"/>
      <c r="AZ168" s="1262"/>
      <c r="BA168" s="1262"/>
      <c r="BB168" s="1262"/>
      <c r="BC168" s="1262"/>
      <c r="BD168" s="942"/>
      <c r="BE168" s="942"/>
      <c r="BF168" s="942"/>
      <c r="BG168" s="942"/>
      <c r="BH168" s="942"/>
      <c r="BI168" s="942"/>
      <c r="BJ168" s="942"/>
      <c r="BK168" s="942"/>
      <c r="BL168" s="942"/>
      <c r="BM168" s="942"/>
      <c r="BN168" s="1256"/>
      <c r="BO168" s="1256"/>
      <c r="BP168" s="1256"/>
      <c r="BQ168" s="1278"/>
      <c r="BR168" s="1278"/>
      <c r="BS168" s="1062" t="s">
        <v>2626</v>
      </c>
      <c r="BT168" s="1071"/>
      <c r="BU168" s="1071"/>
      <c r="BV168" s="1072"/>
      <c r="BW168" s="1072"/>
    </row>
    <row customHeight="1" ht="64.935" hidden="1">
      <c r="A169" s="1278"/>
      <c r="B169" s="96"/>
      <c r="C169" s="107"/>
      <c r="D169" s="107" cm="1" t="str">
        <f t="array" ref="D169:D169">D168</f>
        <v>14</v>
      </c>
      <c r="E169" s="621">
        <v>66.6</v>
      </c>
      <c r="F169" s="50" cm="1" t="str">
        <f t="array" ref="F169:F169">OFFSET(E169,-1,1)</f>
        <v>0</v>
      </c>
      <c r="G169" s="107"/>
      <c r="H169" s="107"/>
      <c r="I169" s="107"/>
      <c r="J169" s="107"/>
      <c r="K169" s="107"/>
      <c r="L169" s="980"/>
      <c r="M169" s="107"/>
      <c r="N169" s="107"/>
      <c r="O169" s="107"/>
      <c r="P169" s="107"/>
      <c r="Q169" s="107"/>
      <c r="R169" s="107"/>
      <c r="S169" s="107"/>
      <c r="T169" s="465" cm="1" t="str">
        <f t="array" ref="T169:T169">T168</f>
        <v>false</v>
      </c>
      <c r="U169" s="107"/>
      <c r="V169" s="107"/>
      <c r="W169" s="107"/>
      <c r="X169" s="1563"/>
      <c r="Y169" s="1278"/>
      <c r="Z169" s="1546"/>
      <c r="AA169" s="1278"/>
      <c r="AB169" s="300" t="str">
        <f>D169&amp;".2"</f>
        <v>14.2</v>
      </c>
      <c r="AC169" s="762" t="s">
        <v>2628</v>
      </c>
      <c r="AD169" s="300" t="s">
        <v>1514</v>
      </c>
      <c r="AE169" s="1255"/>
      <c r="AF169" s="1255"/>
      <c r="AG169" s="1255"/>
      <c r="AH169" s="943">
        <f>AG169-AF169</f>
        <v>0</v>
      </c>
      <c r="AI169" s="1262"/>
      <c r="AJ169" s="1262"/>
      <c r="AK169" s="1262"/>
      <c r="AL169" s="1262"/>
      <c r="AM169" s="1262"/>
      <c r="AN169" s="1262"/>
      <c r="AO169" s="1262"/>
      <c r="AP169" s="1262"/>
      <c r="AQ169" s="1262"/>
      <c r="AR169" s="1262"/>
      <c r="AS169" s="1262"/>
      <c r="AT169" s="1262"/>
      <c r="AU169" s="1262"/>
      <c r="AV169" s="1262"/>
      <c r="AW169" s="1262"/>
      <c r="AX169" s="1262"/>
      <c r="AY169" s="1262"/>
      <c r="AZ169" s="1262"/>
      <c r="BA169" s="1262"/>
      <c r="BB169" s="1262"/>
      <c r="BC169" s="1262"/>
      <c r="BD169" s="942"/>
      <c r="BE169" s="942"/>
      <c r="BF169" s="942"/>
      <c r="BG169" s="942"/>
      <c r="BH169" s="942"/>
      <c r="BI169" s="942"/>
      <c r="BJ169" s="942"/>
      <c r="BK169" s="942"/>
      <c r="BL169" s="942"/>
      <c r="BM169" s="942"/>
      <c r="BN169" s="1256"/>
      <c r="BO169" s="1256"/>
      <c r="BP169" s="1256"/>
      <c r="BQ169" s="1278"/>
      <c r="BR169" s="1278"/>
      <c r="BS169" s="1062" t="s">
        <v>2629</v>
      </c>
      <c r="BT169" s="1071"/>
      <c r="BU169" s="1071"/>
      <c r="BV169" s="1072"/>
      <c r="BW169" s="1072"/>
    </row>
    <row customHeight="1" ht="44.46" hidden="1">
      <c r="A170" s="498"/>
      <c r="B170" s="753"/>
      <c r="C170" s="107"/>
      <c r="D170" s="107" cm="1" t="str">
        <f t="array" ref="D170:D170">D169</f>
        <v>14</v>
      </c>
      <c r="E170" s="621">
        <v>45.6</v>
      </c>
      <c r="F170" s="50" cm="1" t="str">
        <f t="array" ref="F170:F170">OFFSET(E170,-1,1)</f>
        <v>0</v>
      </c>
      <c r="G170" s="107"/>
      <c r="H170" s="107"/>
      <c r="I170" s="107"/>
      <c r="J170" s="107"/>
      <c r="K170" s="107"/>
      <c r="L170" s="980"/>
      <c r="M170" s="107"/>
      <c r="N170" s="107"/>
      <c r="O170" s="107"/>
      <c r="P170" s="107"/>
      <c r="Q170" s="107"/>
      <c r="R170" s="107"/>
      <c r="S170" s="107"/>
      <c r="T170" s="465" cm="1" t="str">
        <f t="array" ref="T170:T170">T169</f>
        <v>false</v>
      </c>
      <c r="U170" s="107"/>
      <c r="V170" s="107"/>
      <c r="W170" s="107"/>
      <c r="X170" s="1563"/>
      <c r="Y170" s="498"/>
      <c r="Z170" s="1546"/>
      <c r="AA170" s="498"/>
      <c r="AB170" s="300" t="str">
        <f>D170&amp;".3"</f>
        <v>14.3</v>
      </c>
      <c r="AC170" s="762" t="s">
        <v>2911</v>
      </c>
      <c r="AD170" s="300" t="s">
        <v>1514</v>
      </c>
      <c r="AE170" s="945"/>
      <c r="AF170" s="1255"/>
      <c r="AG170" s="1255"/>
      <c r="AH170" s="259">
        <f>AG170-AF170</f>
        <v>0</v>
      </c>
      <c r="AI170" s="945"/>
      <c r="AJ170" s="945"/>
      <c r="AK170" s="945"/>
      <c r="AL170" s="945"/>
      <c r="AM170" s="945"/>
      <c r="AN170" s="945"/>
      <c r="AO170" s="945"/>
      <c r="AP170" s="945"/>
      <c r="AQ170" s="945"/>
      <c r="AR170" s="945"/>
      <c r="AS170" s="945"/>
      <c r="AT170" s="945"/>
      <c r="AU170" s="945"/>
      <c r="AV170" s="945"/>
      <c r="AW170" s="945"/>
      <c r="AX170" s="945"/>
      <c r="AY170" s="945"/>
      <c r="AZ170" s="945"/>
      <c r="BA170" s="945"/>
      <c r="BB170" s="945"/>
      <c r="BC170" s="945"/>
      <c r="BD170" s="945"/>
      <c r="BE170" s="945"/>
      <c r="BF170" s="945"/>
      <c r="BG170" s="945"/>
      <c r="BH170" s="945"/>
      <c r="BI170" s="945"/>
      <c r="BJ170" s="945"/>
      <c r="BK170" s="945"/>
      <c r="BL170" s="945"/>
      <c r="BM170" s="945"/>
      <c r="BN170" s="1256"/>
      <c r="BO170" s="1256"/>
      <c r="BP170" s="1256"/>
      <c r="BQ170" s="1278"/>
      <c r="BR170" s="1278"/>
      <c r="BS170" s="1071" t="s">
        <v>2912</v>
      </c>
      <c r="BT170" s="1071"/>
      <c r="BU170" s="1071"/>
      <c r="BV170" s="1072"/>
      <c r="BW170" s="1072"/>
    </row>
    <row s="538" customFormat="1" customHeight="1" ht="14.25">
      <c r="A171" s="1758"/>
      <c r="B171" s="428"/>
      <c r="C171" s="1758"/>
      <c r="D171" s="1758"/>
      <c r="E171" s="618">
        <v>15</v>
      </c>
      <c r="F171" s="98" cm="1" t="str">
        <f t="array" ref="F171:F171">X171</f>
        <v>1</v>
      </c>
      <c r="G171" s="98" cm="1" t="str">
        <f t="array" ref="G171:G171">INDEX('Общие сведения'!$AK$179:$AK$250,MATCH($X171,'Общие сведения'!$Z$179:$Z$250,0))</f>
        <v>одноставочный</v>
      </c>
      <c r="H171" s="1758"/>
      <c r="I171" s="98"/>
      <c r="J171" s="1758"/>
      <c r="K171" s="1758"/>
      <c r="L171" s="982"/>
      <c r="M171" s="426"/>
      <c r="N171" s="1758"/>
      <c r="O171" s="1758"/>
      <c r="P171" s="1758"/>
      <c r="Q171" s="1758"/>
      <c r="R171" s="1758"/>
      <c r="S171" s="122" cm="1" t="str">
        <f t="array" ref="S171:S171">INDEX('Общие сведения'!$AE$179:$AE$250,MATCH($X171,'Общие сведения'!$Z$179:$Z$250,0))</f>
        <v>Водоснабжение</v>
      </c>
      <c r="T171" s="465">
        <f>X171&gt;0</f>
        <v>1</v>
      </c>
      <c r="U171" s="1758"/>
      <c r="V171" s="122" cm="1" t="str">
        <f t="array" ref="V171:V171">'Калькуляция (МИ)'!$AB$171</f>
        <v>Тариф 1 (Водоснабжение) - тариф на питьевую воду (Доп. признак не требуется)</v>
      </c>
      <c r="W171" s="1758"/>
      <c r="X171" s="1563" t="s">
        <v>276</v>
      </c>
      <c r="Y171" s="1758"/>
      <c r="Z171" s="1546"/>
      <c r="AA171" s="1758"/>
      <c r="AB171" s="381" cm="1" t="str">
        <f t="array" ref="AB171:AB171">'Калькуляция (МИ)'!$AB$171</f>
        <v>Тариф 1 (Водоснабжение) - тариф на питьевую воду (Доп. признак не требуется)</v>
      </c>
      <c r="AC171" s="252"/>
      <c r="AD171" s="252"/>
      <c r="AE171" s="252"/>
      <c r="AF171" s="252"/>
      <c r="AG171" s="252"/>
      <c r="AH171" s="252"/>
      <c r="AI171" s="252"/>
      <c r="AJ171" s="252"/>
      <c r="AK171" s="252"/>
      <c r="AL171" s="252"/>
      <c r="AM171" s="252"/>
      <c r="AN171" s="252"/>
      <c r="AO171" s="252"/>
      <c r="AP171" s="252"/>
      <c r="AQ171" s="252"/>
      <c r="AR171" s="252"/>
      <c r="AS171" s="252"/>
      <c r="AT171" s="252"/>
      <c r="AU171" s="252"/>
      <c r="AV171" s="252"/>
      <c r="AW171" s="252"/>
      <c r="AX171" s="252"/>
      <c r="AY171" s="252"/>
      <c r="AZ171" s="252"/>
      <c r="BA171" s="252"/>
      <c r="BB171" s="252"/>
      <c r="BC171" s="252"/>
      <c r="BD171" s="252"/>
      <c r="BE171" s="252"/>
      <c r="BF171" s="252"/>
      <c r="BG171" s="252"/>
      <c r="BH171" s="252"/>
      <c r="BI171" s="252"/>
      <c r="BJ171" s="252"/>
      <c r="BK171" s="252"/>
      <c r="BL171" s="252"/>
      <c r="BM171" s="252"/>
      <c r="BN171" s="252"/>
      <c r="BO171" s="252"/>
      <c r="BP171" s="252"/>
      <c r="BQ171" s="1758"/>
      <c r="BR171" s="1758"/>
      <c r="BS171" s="997"/>
      <c r="BT171" s="997"/>
      <c r="BU171" s="997"/>
      <c r="BV171" s="618"/>
      <c r="BW171" s="618"/>
    </row>
    <row s="7717" customFormat="1" customHeight="1" ht="20.25">
      <c r="A172" s="161"/>
      <c r="B172" s="434"/>
      <c r="C172" s="161"/>
      <c r="D172" s="161"/>
      <c r="E172" s="705">
        <v>21</v>
      </c>
      <c r="F172" s="50" cm="1" t="str">
        <f t="array" ref="F172:F172">OFFSET(E172,-1,1)</f>
        <v>1</v>
      </c>
      <c r="G172" s="161"/>
      <c r="H172" s="377"/>
      <c r="I172" s="377" t="s">
        <v>332</v>
      </c>
      <c r="J172" s="161"/>
      <c r="K172" s="377" t="s">
        <v>332</v>
      </c>
      <c r="L172" s="983"/>
      <c r="M172" s="855"/>
      <c r="N172" s="161"/>
      <c r="O172" s="161"/>
      <c r="P172" s="161"/>
      <c r="Q172" s="161"/>
      <c r="R172" s="161" t="s">
        <v>2947</v>
      </c>
      <c r="S172" s="161"/>
      <c r="T172" s="465" cm="1" t="str">
        <f t="array" ref="T172:T172">T171</f>
        <v>true</v>
      </c>
      <c r="U172" s="161"/>
      <c r="V172" s="161"/>
      <c r="W172" s="161"/>
      <c r="X172" s="1563"/>
      <c r="Y172" s="161"/>
      <c r="Z172" s="1546"/>
      <c r="AA172" s="161"/>
      <c r="AB172" s="247" t="s">
        <v>276</v>
      </c>
      <c r="AC172" s="212" t="s">
        <v>2636</v>
      </c>
      <c r="AD172" s="234" t="s">
        <v>1514</v>
      </c>
      <c r="AE172" s="1471">
        <f>SUM(AE174,AE191,AE197,AE217,AE218,AE219)</f>
        <v>0</v>
      </c>
      <c r="AF172" s="761">
        <f>SUM(AF174,AF191,AF197,AF217,AF218,AF219)</f>
        <v>0</v>
      </c>
      <c r="AG172" s="761">
        <f>SUM(AG174,AG191,AG197,AG217,AG218,AG219)</f>
        <v>0</v>
      </c>
      <c r="AH172" s="761">
        <f>AG172-AF172</f>
        <v>0</v>
      </c>
      <c r="AI172" s="7719">
        <f>AE172*AI173</f>
        <v>0</v>
      </c>
      <c r="AJ172" s="7719">
        <f>AI172*AJ173</f>
        <v>0</v>
      </c>
      <c r="AK172" s="7719">
        <f>AJ172*AK173</f>
        <v>0</v>
      </c>
      <c r="AL172" s="7719">
        <f>AK172*AL173</f>
        <v>0</v>
      </c>
      <c r="AM172" s="7719">
        <f>AL172*AM173</f>
        <v>0</v>
      </c>
      <c r="AN172" s="7719">
        <f>AM172*AN173</f>
        <v>0</v>
      </c>
      <c r="AO172" s="1246">
        <f>AN172*AO173</f>
        <v>0</v>
      </c>
      <c r="AP172" s="1246">
        <f>AO172*AP173</f>
        <v>0</v>
      </c>
      <c r="AQ172" s="1246">
        <f>AP172*AQ173</f>
        <v>0</v>
      </c>
      <c r="AR172" s="1246">
        <f>AQ172*AR173</f>
        <v>0</v>
      </c>
      <c r="AS172" s="1246">
        <f>AR172*AS173</f>
        <v>0</v>
      </c>
      <c r="AT172" s="7719">
        <f>AI172*AT173</f>
        <v>0</v>
      </c>
      <c r="AU172" s="7719">
        <f>AT172*AU173</f>
        <v>0</v>
      </c>
      <c r="AV172" s="7719">
        <f>AU172*AV173</f>
        <v>0</v>
      </c>
      <c r="AW172" s="7719">
        <f>AV172*AW173</f>
        <v>0</v>
      </c>
      <c r="AX172" s="7719">
        <f>AW172*AX173</f>
        <v>0</v>
      </c>
      <c r="AY172" s="1246">
        <f>AX172*AY173</f>
        <v>0</v>
      </c>
      <c r="AZ172" s="1246">
        <f>AY172*AZ173</f>
        <v>0</v>
      </c>
      <c r="BA172" s="1246">
        <f>AZ172*BA173</f>
        <v>0</v>
      </c>
      <c r="BB172" s="1246">
        <f>BA172*BB173</f>
        <v>0</v>
      </c>
      <c r="BC172" s="1246">
        <f>BB172*BC173</f>
        <v>0</v>
      </c>
      <c r="BD172" s="761">
        <f>IF(AI172=0,0,(AT172-AI172)/AI172*100)</f>
        <v>0</v>
      </c>
      <c r="BE172" s="761">
        <f>IF(AT172=0,0,(AU172-AT172)/AT172*100)</f>
        <v>0</v>
      </c>
      <c r="BF172" s="761">
        <f>IF(AU172=0,0,(AV172-AU172)/AU172*100)</f>
        <v>0</v>
      </c>
      <c r="BG172" s="761">
        <f>IF(AV172=0,0,(AW172-AV172)/AV172*100)</f>
        <v>0</v>
      </c>
      <c r="BH172" s="761">
        <f>IF(AW172=0,0,(AX172-AW172)/AW172*100)</f>
        <v>0</v>
      </c>
      <c r="BI172" s="761">
        <f>IF(AX172=0,0,(AY172-AX172)/AX172*100)</f>
        <v>0</v>
      </c>
      <c r="BJ172" s="761">
        <f>IF(AY172=0,0,(AZ172-AY172)/AY172*100)</f>
        <v>0</v>
      </c>
      <c r="BK172" s="761">
        <f>IF(AZ172=0,0,(BA172-AZ172)/AZ172*100)</f>
        <v>0</v>
      </c>
      <c r="BL172" s="761">
        <f>IF(BA172=0,0,(BB172-BA172)/BA172*100)</f>
        <v>0</v>
      </c>
      <c r="BM172" s="761">
        <f>IF(BB172=0,0,(BC172-BB172)/BB172*100)</f>
        <v>0</v>
      </c>
      <c r="BN172" s="7720"/>
      <c r="BO172" s="7720"/>
      <c r="BP172" s="7720"/>
      <c r="BQ172" s="160"/>
      <c r="BR172" s="161"/>
      <c r="BS172" s="1068" t="s">
        <v>1239</v>
      </c>
      <c r="BT172" s="1068"/>
      <c r="BU172" s="1068"/>
      <c r="BV172" s="705"/>
      <c r="BW172" s="705"/>
    </row>
    <row s="1834" customFormat="1" customHeight="1" ht="14.25">
      <c r="A173" s="1278"/>
      <c r="B173" s="978"/>
      <c r="C173" s="1278"/>
      <c r="D173" s="1278"/>
      <c r="E173" s="703">
        <v>15</v>
      </c>
      <c r="F173" s="50" cm="1" t="str">
        <f t="array" ref="F173:F173">OFFSET(E173,-1,1)</f>
        <v>1</v>
      </c>
      <c r="G173" s="1278"/>
      <c r="H173" s="378"/>
      <c r="I173" s="378" t="s">
        <v>1175</v>
      </c>
      <c r="J173" s="1278"/>
      <c r="K173" s="378" t="s">
        <v>1175</v>
      </c>
      <c r="L173" s="980"/>
      <c r="M173" s="107"/>
      <c r="N173" s="1278"/>
      <c r="O173" s="1278"/>
      <c r="P173" s="1278"/>
      <c r="Q173" s="1278"/>
      <c r="R173" s="161" t="s">
        <v>2947</v>
      </c>
      <c r="S173" s="1278"/>
      <c r="T173" s="465" cm="1" t="str">
        <f t="array" ref="T173:T173">T172</f>
        <v>true</v>
      </c>
      <c r="U173" s="1278"/>
      <c r="V173" s="1278"/>
      <c r="W173" s="1278"/>
      <c r="X173" s="1563"/>
      <c r="Y173" s="1278"/>
      <c r="Z173" s="1546"/>
      <c r="AA173" s="1278"/>
      <c r="AB173" s="299" t="s">
        <v>1628</v>
      </c>
      <c r="AC173" s="762" t="s">
        <v>2637</v>
      </c>
      <c r="AD173" s="300"/>
      <c r="AE173" s="7721"/>
      <c r="AF173" s="7721"/>
      <c r="AG173" s="7721"/>
      <c r="AH173" s="941">
        <f>AG173-AF173</f>
        <v>0</v>
      </c>
      <c r="AI173" s="7721">
        <f>_xlfn.SUMIFS(INDEX(Сценарии!$AE$25:$BF$163,,MATCH(AI$8,Сценарии!$AE$8:$BF$8,0)),Сценарии!$F$25:$F$163,$F173,Сценарии!$G$25:$G$163,"ИОР")</f>
        <v>1</v>
      </c>
      <c r="AJ173" s="7721">
        <f>_xlfn.SUMIFS(INDEX(Сценарии!$AE$25:$BF$163,,MATCH(AJ$8,Сценарии!$AE$8:$BF$8,0)),Сценарии!$F$25:$F$163,$F173,Сценарии!$G$25:$G$163,"ИОР")</f>
        <v>1.051</v>
      </c>
      <c r="AK173" s="7721">
        <f>_xlfn.SUMIFS(INDEX(Сценарии!$AE$25:$BF$163,,MATCH(AK$8,Сценарии!$AE$8:$BF$8,0)),Сценарии!$F$25:$F$163,$F173,Сценарии!$G$25:$G$163,"ИОР")</f>
        <v>1.0296</v>
      </c>
      <c r="AL173" s="7721">
        <f>_xlfn.SUMIFS(INDEX(Сценарии!$AE$25:$BF$163,,MATCH(AL$8,Сценарии!$AE$8:$BF$8,0)),Сценарии!$F$25:$F$163,$F173,Сценарии!$G$25:$G$163,"ИОР")</f>
        <v>1.0296</v>
      </c>
      <c r="AM173" s="7721">
        <f>_xlfn.SUMIFS(INDEX(Сценарии!$AE$25:$BF$163,,MATCH(AM$8,Сценарии!$AE$8:$BF$8,0)),Сценарии!$F$25:$F$163,$F173,Сценарии!$G$25:$G$163,"ИОР")</f>
        <v>1.0296</v>
      </c>
      <c r="AN173" s="7721">
        <f>_xlfn.SUMIFS(INDEX(Сценарии!$AE$25:$BF$163,,MATCH(AN$8,Сценарии!$AE$8:$BF$8,0)),Сценарии!$F$25:$F$163,$F173,Сценарии!$G$25:$G$163,"ИОР")</f>
        <v>1.0296</v>
      </c>
      <c r="AO173" s="1252">
        <f>_xlfn.SUMIFS(INDEX(Сценарии!$AE$25:$BF$163,,MATCH(AO$8,Сценарии!$AE$8:$BF$8,0)),Сценарии!$F$25:$F$163,$F173,Сценарии!$G$25:$G$163,"ИОР")</f>
        <v>1</v>
      </c>
      <c r="AP173" s="1252">
        <f>_xlfn.SUMIFS(INDEX(Сценарии!$AE$25:$BF$163,,MATCH(AP$8,Сценарии!$AE$8:$BF$8,0)),Сценарии!$F$25:$F$163,$F173,Сценарии!$G$25:$G$163,"ИОР")</f>
        <v>1</v>
      </c>
      <c r="AQ173" s="1252">
        <f>_xlfn.SUMIFS(INDEX(Сценарии!$AE$25:$BF$163,,MATCH(AQ$8,Сценарии!$AE$8:$BF$8,0)),Сценарии!$F$25:$F$163,$F173,Сценарии!$G$25:$G$163,"ИОР")</f>
        <v>1</v>
      </c>
      <c r="AR173" s="1252">
        <f>_xlfn.SUMIFS(INDEX(Сценарии!$AE$25:$BF$163,,MATCH(AR$8,Сценарии!$AE$8:$BF$8,0)),Сценарии!$F$25:$F$163,$F173,Сценарии!$G$25:$G$163,"ИОР")</f>
        <v>1</v>
      </c>
      <c r="AS173" s="1252">
        <f>_xlfn.SUMIFS(INDEX(Сценарии!$AE$25:$BF$163,,MATCH(AS$8,Сценарии!$AE$8:$BF$8,0)),Сценарии!$F$25:$F$163,$F173,Сценарии!$G$25:$G$163,"ИОР")</f>
        <v>1</v>
      </c>
      <c r="AT173" s="7721">
        <f>_xlfn.SUMIFS(INDEX(Сценарии!$AE$25:$BF$163,,MATCH(AT$8,Сценарии!$AE$8:$BF$8,0)),Сценарии!$F$25:$F$163,$F173,Сценарии!$G$25:$G$163,"ИОР")</f>
        <v>1.051</v>
      </c>
      <c r="AU173" s="7721">
        <f>_xlfn.SUMIFS(INDEX(Сценарии!$AE$25:$BF$163,,MATCH(AU$8,Сценарии!$AE$8:$BF$8,0)),Сценарии!$F$25:$F$163,$F173,Сценарии!$G$25:$G$163,"ИОР")</f>
        <v>1.0296</v>
      </c>
      <c r="AV173" s="7721">
        <f>_xlfn.SUMIFS(INDEX(Сценарии!$AE$25:$BF$163,,MATCH(AV$8,Сценарии!$AE$8:$BF$8,0)),Сценарии!$F$25:$F$163,$F173,Сценарии!$G$25:$G$163,"ИОР")</f>
        <v>1.0296</v>
      </c>
      <c r="AW173" s="7721">
        <f>_xlfn.SUMIFS(INDEX(Сценарии!$AE$25:$BF$163,,MATCH(AW$8,Сценарии!$AE$8:$BF$8,0)),Сценарии!$F$25:$F$163,$F173,Сценарии!$G$25:$G$163,"ИОР")</f>
        <v>1.0296</v>
      </c>
      <c r="AX173" s="7721">
        <f>_xlfn.SUMIFS(INDEX(Сценарии!$AE$25:$BF$163,,MATCH(AX$8,Сценарии!$AE$8:$BF$8,0)),Сценарии!$F$25:$F$163,$F173,Сценарии!$G$25:$G$163,"ИОР")</f>
        <v>1.0296</v>
      </c>
      <c r="AY173" s="1252">
        <f>_xlfn.SUMIFS(INDEX(Сценарии!$AE$25:$BF$163,,MATCH(AY$8,Сценарии!$AE$8:$BF$8,0)),Сценарии!$F$25:$F$163,$F173,Сценарии!$G$25:$G$163,"ИОР")</f>
        <v>1</v>
      </c>
      <c r="AZ173" s="1252">
        <f>_xlfn.SUMIFS(INDEX(Сценарии!$AE$25:$BF$163,,MATCH(AZ$8,Сценарии!$AE$8:$BF$8,0)),Сценарии!$F$25:$F$163,$F173,Сценарии!$G$25:$G$163,"ИОР")</f>
        <v>1</v>
      </c>
      <c r="BA173" s="1252">
        <f>_xlfn.SUMIFS(INDEX(Сценарии!$AE$25:$BF$163,,MATCH(BA$8,Сценарии!$AE$8:$BF$8,0)),Сценарии!$F$25:$F$163,$F173,Сценарии!$G$25:$G$163,"ИОР")</f>
        <v>1</v>
      </c>
      <c r="BB173" s="1252">
        <f>_xlfn.SUMIFS(INDEX(Сценарии!$AE$25:$BF$163,,MATCH(BB$8,Сценарии!$AE$8:$BF$8,0)),Сценарии!$F$25:$F$163,$F173,Сценарии!$G$25:$G$163,"ИОР")</f>
        <v>1</v>
      </c>
      <c r="BC173" s="1252">
        <f>_xlfn.SUMIFS(INDEX(Сценарии!$AE$25:$BF$163,,MATCH(BC$8,Сценарии!$AE$8:$BF$8,0)),Сценарии!$F$25:$F$163,$F173,Сценарии!$G$25:$G$163,"ИОР")</f>
        <v>1</v>
      </c>
      <c r="BD173" s="942"/>
      <c r="BE173" s="942"/>
      <c r="BF173" s="942"/>
      <c r="BG173" s="942"/>
      <c r="BH173" s="942"/>
      <c r="BI173" s="942"/>
      <c r="BJ173" s="942"/>
      <c r="BK173" s="942"/>
      <c r="BL173" s="942"/>
      <c r="BM173" s="942"/>
      <c r="BN173" s="7720"/>
      <c r="BO173" s="7720"/>
      <c r="BP173" s="7720"/>
      <c r="BQ173" s="1278"/>
      <c r="BR173" s="1278"/>
      <c r="BS173" s="1064" t="s">
        <v>2638</v>
      </c>
      <c r="BT173" s="1064"/>
      <c r="BU173" s="1064"/>
      <c r="BV173" s="979"/>
      <c r="BW173" s="979"/>
    </row>
    <row s="434" customFormat="1" customHeight="1" ht="20.25">
      <c r="A174" s="160"/>
      <c r="B174" s="434"/>
      <c r="C174" s="160"/>
      <c r="D174" s="160"/>
      <c r="E174" s="706">
        <v>21</v>
      </c>
      <c r="F174" s="50" cm="1" t="str">
        <f t="array" ref="F174:F174">OFFSET(E174,-1,1)</f>
        <v>1</v>
      </c>
      <c r="G174" s="160"/>
      <c r="H174" s="377"/>
      <c r="I174" s="377" t="s">
        <v>1179</v>
      </c>
      <c r="J174" s="160"/>
      <c r="K174" s="377" t="s">
        <v>1179</v>
      </c>
      <c r="L174" s="984" t="s">
        <v>332</v>
      </c>
      <c r="M174" s="858"/>
      <c r="N174" s="160"/>
      <c r="O174" s="160"/>
      <c r="P174" s="160"/>
      <c r="Q174" s="158" t="s">
        <v>2947</v>
      </c>
      <c r="R174" s="161" t="s">
        <v>2947</v>
      </c>
      <c r="S174" s="160"/>
      <c r="T174" s="465" cm="1" t="str">
        <f t="array" ref="T174:T174">T173</f>
        <v>true</v>
      </c>
      <c r="U174" s="160"/>
      <c r="V174" s="160"/>
      <c r="W174" s="160"/>
      <c r="X174" s="1563"/>
      <c r="Y174" s="160"/>
      <c r="Z174" s="1546"/>
      <c r="AA174" s="160"/>
      <c r="AB174" s="247" t="s">
        <v>1631</v>
      </c>
      <c r="AC174" s="361" t="s">
        <v>2434</v>
      </c>
      <c r="AD174" s="234" t="s">
        <v>1514</v>
      </c>
      <c r="AE174" s="761">
        <f>SUM(AE175,AE178,AE179,AE182,AE183)</f>
        <v>0</v>
      </c>
      <c r="AF174" s="761">
        <f>SUM(AF175,AF178,AF179,AF182,AF183)</f>
        <v>0</v>
      </c>
      <c r="AG174" s="761">
        <f>SUM(AG175,AG178,AG179,AG182,AG183)</f>
        <v>0</v>
      </c>
      <c r="AH174" s="761">
        <f>AG174-AF174</f>
        <v>0</v>
      </c>
      <c r="AI174" s="7684">
        <f>SUM(AI175,AI178,AI179,AI182,AI183)</f>
        <v>0</v>
      </c>
      <c r="AJ174" s="7721"/>
      <c r="AK174" s="764"/>
      <c r="AL174" s="764"/>
      <c r="AM174" s="764"/>
      <c r="AN174" s="764"/>
      <c r="AO174" s="764"/>
      <c r="AP174" s="764"/>
      <c r="AQ174" s="764"/>
      <c r="AR174" s="764"/>
      <c r="AS174" s="764"/>
      <c r="AT174" s="764"/>
      <c r="AU174" s="764"/>
      <c r="AV174" s="764"/>
      <c r="AW174" s="764"/>
      <c r="AX174" s="764"/>
      <c r="AY174" s="764"/>
      <c r="AZ174" s="764"/>
      <c r="BA174" s="764"/>
      <c r="BB174" s="764"/>
      <c r="BC174" s="764"/>
      <c r="BD174" s="764"/>
      <c r="BE174" s="764"/>
      <c r="BF174" s="764"/>
      <c r="BG174" s="764"/>
      <c r="BH174" s="764"/>
      <c r="BI174" s="764"/>
      <c r="BJ174" s="764"/>
      <c r="BK174" s="764"/>
      <c r="BL174" s="764"/>
      <c r="BM174" s="764"/>
      <c r="BN174" s="7722"/>
      <c r="BO174" s="7722"/>
      <c r="BP174" s="7722"/>
      <c r="BQ174" s="160"/>
      <c r="BR174" s="160"/>
      <c r="BS174" s="1062" t="s">
        <v>1230</v>
      </c>
      <c r="BT174" s="1069"/>
      <c r="BU174" s="1069"/>
      <c r="BV174" s="706"/>
      <c r="BW174" s="706"/>
    </row>
    <row s="1834" customFormat="1" customHeight="1" ht="14.25">
      <c r="A175" s="1278"/>
      <c r="B175" s="978"/>
      <c r="C175" s="1278"/>
      <c r="D175" s="1278"/>
      <c r="E175" s="703">
        <v>15</v>
      </c>
      <c r="F175" s="50" cm="1" t="str">
        <f t="array" ref="F175:F175">OFFSET(E175,-1,1)</f>
        <v>1</v>
      </c>
      <c r="G175" s="1278"/>
      <c r="H175" s="378"/>
      <c r="I175" s="378" t="s">
        <v>2068</v>
      </c>
      <c r="J175" s="1278"/>
      <c r="K175" s="378" t="s">
        <v>2068</v>
      </c>
      <c r="L175" s="980" t="s">
        <v>1175</v>
      </c>
      <c r="M175" s="107"/>
      <c r="N175" s="1278"/>
      <c r="O175" s="1278"/>
      <c r="P175" s="1278"/>
      <c r="Q175" s="158" t="s">
        <v>2947</v>
      </c>
      <c r="R175" s="161" t="s">
        <v>2947</v>
      </c>
      <c r="S175" s="1278"/>
      <c r="T175" s="465" cm="1" t="str">
        <f t="array" ref="T175:T175">T174</f>
        <v>true</v>
      </c>
      <c r="U175" s="1278"/>
      <c r="V175" s="1278"/>
      <c r="W175" s="1278"/>
      <c r="X175" s="1563"/>
      <c r="Y175" s="1278"/>
      <c r="Z175" s="1546"/>
      <c r="AA175" s="1278"/>
      <c r="AB175" s="299" t="s">
        <v>2069</v>
      </c>
      <c r="AC175" s="765" t="s">
        <v>2639</v>
      </c>
      <c r="AD175" s="766" t="s">
        <v>1514</v>
      </c>
      <c r="AE175" s="943">
        <f>SUM(AE176,AE177)</f>
        <v>0</v>
      </c>
      <c r="AF175" s="943">
        <f>SUM(AF176,AF177)</f>
        <v>0</v>
      </c>
      <c r="AG175" s="943">
        <f>SUM(AG176,AG177)</f>
        <v>0</v>
      </c>
      <c r="AH175" s="943">
        <f>AG175-AF175</f>
        <v>0</v>
      </c>
      <c r="AI175" s="7687">
        <f>SUM(AI176,AI177)</f>
        <v>0</v>
      </c>
      <c r="AJ175" s="7721"/>
      <c r="AK175" s="942"/>
      <c r="AL175" s="942"/>
      <c r="AM175" s="942"/>
      <c r="AN175" s="942"/>
      <c r="AO175" s="942"/>
      <c r="AP175" s="942"/>
      <c r="AQ175" s="942"/>
      <c r="AR175" s="942"/>
      <c r="AS175" s="942"/>
      <c r="AT175" s="942"/>
      <c r="AU175" s="942"/>
      <c r="AV175" s="942"/>
      <c r="AW175" s="942"/>
      <c r="AX175" s="942"/>
      <c r="AY175" s="942"/>
      <c r="AZ175" s="942"/>
      <c r="BA175" s="942"/>
      <c r="BB175" s="942"/>
      <c r="BC175" s="942"/>
      <c r="BD175" s="942"/>
      <c r="BE175" s="942"/>
      <c r="BF175" s="942"/>
      <c r="BG175" s="942"/>
      <c r="BH175" s="942"/>
      <c r="BI175" s="942"/>
      <c r="BJ175" s="942"/>
      <c r="BK175" s="942"/>
      <c r="BL175" s="942"/>
      <c r="BM175" s="942"/>
      <c r="BN175" s="7720"/>
      <c r="BO175" s="7720"/>
      <c r="BP175" s="7720"/>
      <c r="BQ175" s="110"/>
      <c r="BR175" s="1278"/>
      <c r="BS175" s="1063" t="s">
        <v>2436</v>
      </c>
      <c r="BT175" s="1064"/>
      <c r="BU175" s="1064"/>
      <c r="BV175" s="979"/>
      <c r="BW175" s="979"/>
    </row>
    <row s="1834" customFormat="1" customHeight="1" ht="14.25">
      <c r="A176" s="1278"/>
      <c r="B176" s="978"/>
      <c r="C176" s="1278"/>
      <c r="D176" s="1278"/>
      <c r="E176" s="703">
        <v>15</v>
      </c>
      <c r="F176" s="50" cm="1" t="str">
        <f t="array" ref="F176:F176">OFFSET(E176,-1,1)</f>
        <v>1</v>
      </c>
      <c r="G176" s="1278"/>
      <c r="H176" s="378"/>
      <c r="I176" s="378" t="s">
        <v>2640</v>
      </c>
      <c r="J176" s="1278"/>
      <c r="K176" s="378" t="s">
        <v>2640</v>
      </c>
      <c r="L176" s="980" t="s">
        <v>1739</v>
      </c>
      <c r="M176" s="107"/>
      <c r="N176" s="1278"/>
      <c r="O176" s="1278"/>
      <c r="P176" s="1278"/>
      <c r="Q176" s="158" t="s">
        <v>2947</v>
      </c>
      <c r="R176" s="161" t="s">
        <v>2947</v>
      </c>
      <c r="S176" s="1278"/>
      <c r="T176" s="465" cm="1" t="str">
        <f t="array" ref="T176:T176">T175</f>
        <v>true</v>
      </c>
      <c r="U176" s="1278"/>
      <c r="V176" s="1278"/>
      <c r="W176" s="1278"/>
      <c r="X176" s="1563"/>
      <c r="Y176" s="1278"/>
      <c r="Z176" s="1546"/>
      <c r="AA176" s="1278"/>
      <c r="AB176" s="299" t="s">
        <v>2641</v>
      </c>
      <c r="AC176" s="768" t="s">
        <v>2439</v>
      </c>
      <c r="AD176" s="766" t="s">
        <v>1514</v>
      </c>
      <c r="AE176" s="1744">
        <f>_xlfn.SUMIFS('Сырье и материалы'!AE$25:AE$162,'Сырье и материалы'!$F$25:$F$162,$F176,'Сырье и материалы'!$I$25:$I$162,"Горюче-смазочные материалы")</f>
        <v>0</v>
      </c>
      <c r="AF176" s="1744">
        <f>_xlfn.SUMIFS('Сырье и материалы'!AF$25:AF$162,'Сырье и материалы'!$F$25:$F$162,$F176,'Сырье и материалы'!$I$25:$I$162,"Горюче-смазочные материалы")</f>
        <v>0</v>
      </c>
      <c r="AG176" s="1744">
        <f>_xlfn.SUMIFS('Сырье и материалы'!AG$25:AG$162,'Сырье и материалы'!$F$25:$F$162,$F176,'Сырье и материалы'!$I$25:$I$162,"Горюче-смазочные материалы")</f>
        <v>0</v>
      </c>
      <c r="AH176" s="943">
        <f>AG176-AF176</f>
        <v>0</v>
      </c>
      <c r="AI176" s="7689">
        <f>_xlfn.SUMIFS('Сырье и материалы'!AH$25:AH$162,'Сырье и материалы'!$F$25:$F$162,$F176,'Сырье и материалы'!$I$25:$I$162,"Горюче-смазочные материалы")</f>
        <v>0</v>
      </c>
      <c r="AJ176" s="7721"/>
      <c r="AK176" s="942"/>
      <c r="AL176" s="942"/>
      <c r="AM176" s="942"/>
      <c r="AN176" s="942"/>
      <c r="AO176" s="942"/>
      <c r="AP176" s="942"/>
      <c r="AQ176" s="942"/>
      <c r="AR176" s="942"/>
      <c r="AS176" s="942"/>
      <c r="AT176" s="942"/>
      <c r="AU176" s="942"/>
      <c r="AV176" s="942"/>
      <c r="AW176" s="942"/>
      <c r="AX176" s="942"/>
      <c r="AY176" s="942"/>
      <c r="AZ176" s="942"/>
      <c r="BA176" s="942"/>
      <c r="BB176" s="942"/>
      <c r="BC176" s="942"/>
      <c r="BD176" s="942"/>
      <c r="BE176" s="942"/>
      <c r="BF176" s="942"/>
      <c r="BG176" s="942"/>
      <c r="BH176" s="942"/>
      <c r="BI176" s="942"/>
      <c r="BJ176" s="942"/>
      <c r="BK176" s="942"/>
      <c r="BL176" s="942"/>
      <c r="BM176" s="942"/>
      <c r="BN176" s="7720"/>
      <c r="BO176" s="7720"/>
      <c r="BP176" s="7720"/>
      <c r="BQ176" s="1278"/>
      <c r="BR176" s="1278"/>
      <c r="BS176" s="1062" t="s">
        <v>2440</v>
      </c>
      <c r="BT176" s="1064"/>
      <c r="BU176" s="1064"/>
      <c r="BV176" s="979"/>
      <c r="BW176" s="979"/>
    </row>
    <row s="1834" customFormat="1" customHeight="1" ht="14.25">
      <c r="A177" s="1278"/>
      <c r="B177" s="978"/>
      <c r="C177" s="1278"/>
      <c r="D177" s="1278"/>
      <c r="E177" s="703">
        <v>15</v>
      </c>
      <c r="F177" s="50" cm="1" t="str">
        <f t="array" ref="F177:F177">OFFSET(E177,-1,1)</f>
        <v>1</v>
      </c>
      <c r="G177" s="1278"/>
      <c r="H177" s="378"/>
      <c r="I177" s="378" t="s">
        <v>2642</v>
      </c>
      <c r="J177" s="1278"/>
      <c r="K177" s="378" t="s">
        <v>2642</v>
      </c>
      <c r="L177" s="980" t="s">
        <v>2043</v>
      </c>
      <c r="M177" s="107"/>
      <c r="N177" s="1278"/>
      <c r="O177" s="1278"/>
      <c r="P177" s="1278"/>
      <c r="Q177" s="158" t="s">
        <v>2947</v>
      </c>
      <c r="R177" s="161" t="s">
        <v>2947</v>
      </c>
      <c r="S177" s="1278"/>
      <c r="T177" s="465" cm="1" t="str">
        <f t="array" ref="T177:T177">T176</f>
        <v>true</v>
      </c>
      <c r="U177" s="1278"/>
      <c r="V177" s="1278"/>
      <c r="W177" s="1278"/>
      <c r="X177" s="1563"/>
      <c r="Y177" s="1278"/>
      <c r="Z177" s="1546"/>
      <c r="AA177" s="1278"/>
      <c r="AB177" s="299" t="s">
        <v>2643</v>
      </c>
      <c r="AC177" s="768" t="s">
        <v>2441</v>
      </c>
      <c r="AD177" s="766" t="s">
        <v>1514</v>
      </c>
      <c r="AE177" s="1744">
        <f>_xlfn.SUMIFS('Сырье и материалы'!AE$25:AE$162,'Сырье и материалы'!$F$25:$F$162,$F177,'Сырье и материалы'!$I$25:$I$162,"Материалы")</f>
        <v>0</v>
      </c>
      <c r="AF177" s="1744">
        <f>_xlfn.SUMIFS('Сырье и материалы'!AF$25:AF$162,'Сырье и материалы'!$F$25:$F$162,$F177,'Сырье и материалы'!$I$25:$I$162,"Материалы")</f>
        <v>0</v>
      </c>
      <c r="AG177" s="1744">
        <f>_xlfn.SUMIFS('Сырье и материалы'!AG$25:AG$162,'Сырье и материалы'!$F$25:$F$162,$F177,'Сырье и материалы'!$I$25:$I$162,"Материалы")</f>
        <v>0</v>
      </c>
      <c r="AH177" s="943">
        <f>AG177-AF177</f>
        <v>0</v>
      </c>
      <c r="AI177" s="7689">
        <f>_xlfn.SUMIFS('Сырье и материалы'!AH$25:AH$162,'Сырье и материалы'!$F$25:$F$162,$F177,'Сырье и материалы'!$I$25:$I$162,"Материалы")</f>
        <v>0</v>
      </c>
      <c r="AJ177" s="7721"/>
      <c r="AK177" s="942"/>
      <c r="AL177" s="942"/>
      <c r="AM177" s="942"/>
      <c r="AN177" s="942"/>
      <c r="AO177" s="942"/>
      <c r="AP177" s="942"/>
      <c r="AQ177" s="942"/>
      <c r="AR177" s="942"/>
      <c r="AS177" s="942"/>
      <c r="AT177" s="942"/>
      <c r="AU177" s="942"/>
      <c r="AV177" s="942"/>
      <c r="AW177" s="942"/>
      <c r="AX177" s="942"/>
      <c r="AY177" s="942"/>
      <c r="AZ177" s="942"/>
      <c r="BA177" s="942"/>
      <c r="BB177" s="942"/>
      <c r="BC177" s="942"/>
      <c r="BD177" s="942"/>
      <c r="BE177" s="942"/>
      <c r="BF177" s="942"/>
      <c r="BG177" s="942"/>
      <c r="BH177" s="942"/>
      <c r="BI177" s="942"/>
      <c r="BJ177" s="942"/>
      <c r="BK177" s="942"/>
      <c r="BL177" s="942"/>
      <c r="BM177" s="942"/>
      <c r="BN177" s="7720"/>
      <c r="BO177" s="7720"/>
      <c r="BP177" s="7720"/>
      <c r="BQ177" s="1278"/>
      <c r="BR177" s="1278"/>
      <c r="BS177" s="1062" t="s">
        <v>2442</v>
      </c>
      <c r="BT177" s="1064"/>
      <c r="BU177" s="1064"/>
      <c r="BV177" s="979"/>
      <c r="BW177" s="979"/>
    </row>
    <row s="1834" customFormat="1" customHeight="1" ht="21.75">
      <c r="A178" s="1278"/>
      <c r="B178" s="978"/>
      <c r="C178" s="1278"/>
      <c r="D178" s="1278"/>
      <c r="E178" s="703">
        <v>22.5</v>
      </c>
      <c r="F178" s="50" cm="1" t="str">
        <f t="array" ref="F178:F178">OFFSET(E178,-1,1)</f>
        <v>1</v>
      </c>
      <c r="G178" s="1278"/>
      <c r="H178" s="378"/>
      <c r="I178" s="378" t="s">
        <v>2071</v>
      </c>
      <c r="J178" s="1278"/>
      <c r="K178" s="378" t="s">
        <v>2071</v>
      </c>
      <c r="L178" s="980" t="s">
        <v>1182</v>
      </c>
      <c r="M178" s="107"/>
      <c r="N178" s="1278"/>
      <c r="O178" s="1278"/>
      <c r="P178" s="1278"/>
      <c r="Q178" s="158" t="s">
        <v>2947</v>
      </c>
      <c r="R178" s="161" t="s">
        <v>2947</v>
      </c>
      <c r="S178" s="1278"/>
      <c r="T178" s="465" cm="1" t="str">
        <f t="array" ref="T178:T178">T177</f>
        <v>true</v>
      </c>
      <c r="U178" s="1278"/>
      <c r="V178" s="1278"/>
      <c r="W178" s="1278"/>
      <c r="X178" s="1563"/>
      <c r="Y178" s="1278"/>
      <c r="Z178" s="1546"/>
      <c r="AA178" s="1278"/>
      <c r="AB178" s="299" t="s">
        <v>2072</v>
      </c>
      <c r="AC178" s="765" t="s">
        <v>2644</v>
      </c>
      <c r="AD178" s="766" t="s">
        <v>1514</v>
      </c>
      <c r="AE178" s="7723"/>
      <c r="AF178" s="7723"/>
      <c r="AG178" s="7723"/>
      <c r="AH178" s="943">
        <f>AG178-AF178</f>
        <v>0</v>
      </c>
      <c r="AI178" s="7691"/>
      <c r="AJ178" s="7721"/>
      <c r="AK178" s="942"/>
      <c r="AL178" s="942"/>
      <c r="AM178" s="942"/>
      <c r="AN178" s="942"/>
      <c r="AO178" s="942"/>
      <c r="AP178" s="942"/>
      <c r="AQ178" s="942"/>
      <c r="AR178" s="942"/>
      <c r="AS178" s="942"/>
      <c r="AT178" s="942"/>
      <c r="AU178" s="942"/>
      <c r="AV178" s="942"/>
      <c r="AW178" s="942"/>
      <c r="AX178" s="942"/>
      <c r="AY178" s="942"/>
      <c r="AZ178" s="942"/>
      <c r="BA178" s="942"/>
      <c r="BB178" s="942"/>
      <c r="BC178" s="942"/>
      <c r="BD178" s="942"/>
      <c r="BE178" s="942"/>
      <c r="BF178" s="942"/>
      <c r="BG178" s="942"/>
      <c r="BH178" s="942"/>
      <c r="BI178" s="942"/>
      <c r="BJ178" s="942"/>
      <c r="BK178" s="942"/>
      <c r="BL178" s="942"/>
      <c r="BM178" s="942"/>
      <c r="BN178" s="7720"/>
      <c r="BO178" s="7720"/>
      <c r="BP178" s="7720"/>
      <c r="BQ178" s="1278"/>
      <c r="BR178" s="1278"/>
      <c r="BS178" s="1063" t="s">
        <v>2467</v>
      </c>
      <c r="BT178" s="1064"/>
      <c r="BU178" s="1064"/>
      <c r="BV178" s="979"/>
      <c r="BW178" s="979"/>
    </row>
    <row s="1834" customFormat="1" customHeight="1" ht="21.75">
      <c r="A179" s="1278"/>
      <c r="B179" s="978"/>
      <c r="C179" s="1278"/>
      <c r="D179" s="1278"/>
      <c r="E179" s="703">
        <v>22.5</v>
      </c>
      <c r="F179" s="50" cm="1" t="str">
        <f t="array" ref="F179:F179">OFFSET(E179,-1,1)</f>
        <v>1</v>
      </c>
      <c r="G179" s="1278"/>
      <c r="H179" s="378"/>
      <c r="I179" s="378" t="s">
        <v>2075</v>
      </c>
      <c r="J179" s="1278"/>
      <c r="K179" s="378" t="s">
        <v>2075</v>
      </c>
      <c r="L179" s="980" t="s">
        <v>1186</v>
      </c>
      <c r="M179" s="107"/>
      <c r="N179" s="1278"/>
      <c r="O179" s="1278"/>
      <c r="P179" s="1278"/>
      <c r="Q179" s="158" t="s">
        <v>2947</v>
      </c>
      <c r="R179" s="161" t="s">
        <v>2947</v>
      </c>
      <c r="S179" s="1278"/>
      <c r="T179" s="465" cm="1" t="str">
        <f t="array" ref="T179:T179">T178</f>
        <v>true</v>
      </c>
      <c r="U179" s="1278"/>
      <c r="V179" s="1278"/>
      <c r="W179" s="1278"/>
      <c r="X179" s="1563"/>
      <c r="Y179" s="1278"/>
      <c r="Z179" s="1546"/>
      <c r="AA179" s="1278"/>
      <c r="AB179" s="299" t="s">
        <v>2076</v>
      </c>
      <c r="AC179" s="765" t="s">
        <v>2645</v>
      </c>
      <c r="AD179" s="766" t="s">
        <v>1514</v>
      </c>
      <c r="AE179" s="944">
        <f>AE180+AE181</f>
        <v>0</v>
      </c>
      <c r="AF179" s="944">
        <f>AF180+AF181</f>
        <v>0</v>
      </c>
      <c r="AG179" s="944">
        <f>AG180+AG181</f>
        <v>0</v>
      </c>
      <c r="AH179" s="943">
        <f>AG179-AF179</f>
        <v>0</v>
      </c>
      <c r="AI179" s="7693">
        <f>AI180+AI181</f>
        <v>0</v>
      </c>
      <c r="AJ179" s="7721"/>
      <c r="AK179" s="942"/>
      <c r="AL179" s="942"/>
      <c r="AM179" s="942"/>
      <c r="AN179" s="942"/>
      <c r="AO179" s="942"/>
      <c r="AP179" s="942"/>
      <c r="AQ179" s="942"/>
      <c r="AR179" s="942"/>
      <c r="AS179" s="942"/>
      <c r="AT179" s="942"/>
      <c r="AU179" s="942"/>
      <c r="AV179" s="942"/>
      <c r="AW179" s="942"/>
      <c r="AX179" s="942"/>
      <c r="AY179" s="942"/>
      <c r="AZ179" s="942"/>
      <c r="BA179" s="942"/>
      <c r="BB179" s="942"/>
      <c r="BC179" s="942"/>
      <c r="BD179" s="942"/>
      <c r="BE179" s="942"/>
      <c r="BF179" s="942"/>
      <c r="BG179" s="942"/>
      <c r="BH179" s="942"/>
      <c r="BI179" s="942"/>
      <c r="BJ179" s="942"/>
      <c r="BK179" s="942"/>
      <c r="BL179" s="942"/>
      <c r="BM179" s="942"/>
      <c r="BN179" s="7720"/>
      <c r="BO179" s="7720"/>
      <c r="BP179" s="7720"/>
      <c r="BQ179" s="1278"/>
      <c r="BR179" s="1278"/>
      <c r="BS179" s="1063" t="s">
        <v>2646</v>
      </c>
      <c r="BT179" s="1064"/>
      <c r="BU179" s="1064"/>
      <c r="BV179" s="979"/>
      <c r="BW179" s="979"/>
    </row>
    <row s="1834" customFormat="1" customHeight="1" ht="14.25">
      <c r="A180" s="1278"/>
      <c r="B180" s="978"/>
      <c r="C180" s="1278"/>
      <c r="D180" s="1278"/>
      <c r="E180" s="703">
        <v>15</v>
      </c>
      <c r="F180" s="50" cm="1" t="str">
        <f t="array" ref="F180:F180">OFFSET(E180,-1,1)</f>
        <v>1</v>
      </c>
      <c r="G180" s="349" t="s">
        <v>1866</v>
      </c>
      <c r="H180" s="378"/>
      <c r="I180" s="378" t="s">
        <v>2220</v>
      </c>
      <c r="J180" s="1278"/>
      <c r="K180" s="378" t="s">
        <v>2220</v>
      </c>
      <c r="L180" s="980" t="s">
        <v>2095</v>
      </c>
      <c r="M180" s="107"/>
      <c r="N180" s="1278"/>
      <c r="O180" s="1278"/>
      <c r="P180" s="1278"/>
      <c r="Q180" s="158" t="s">
        <v>2947</v>
      </c>
      <c r="R180" s="161" t="s">
        <v>2947</v>
      </c>
      <c r="S180" s="1278"/>
      <c r="T180" s="465" cm="1" t="str">
        <f t="array" ref="T180:T180">T179</f>
        <v>true</v>
      </c>
      <c r="U180" s="1278"/>
      <c r="V180" s="1278"/>
      <c r="W180" s="1278"/>
      <c r="X180" s="1563"/>
      <c r="Y180" s="1278"/>
      <c r="Z180" s="1546"/>
      <c r="AA180" s="1278"/>
      <c r="AB180" s="299" t="s">
        <v>2647</v>
      </c>
      <c r="AC180" s="768" t="s">
        <v>2470</v>
      </c>
      <c r="AD180" s="766" t="s">
        <v>1514</v>
      </c>
      <c r="AE180" s="7723"/>
      <c r="AF180" s="7723"/>
      <c r="AG180" s="7723"/>
      <c r="AH180" s="943">
        <f>AG180-AF180</f>
        <v>0</v>
      </c>
      <c r="AI180" s="7691"/>
      <c r="AJ180" s="7721"/>
      <c r="AK180" s="942"/>
      <c r="AL180" s="942"/>
      <c r="AM180" s="942"/>
      <c r="AN180" s="942"/>
      <c r="AO180" s="942"/>
      <c r="AP180" s="942"/>
      <c r="AQ180" s="942"/>
      <c r="AR180" s="942"/>
      <c r="AS180" s="942"/>
      <c r="AT180" s="942"/>
      <c r="AU180" s="942"/>
      <c r="AV180" s="942"/>
      <c r="AW180" s="942"/>
      <c r="AX180" s="942"/>
      <c r="AY180" s="942"/>
      <c r="AZ180" s="942"/>
      <c r="BA180" s="942"/>
      <c r="BB180" s="942"/>
      <c r="BC180" s="942"/>
      <c r="BD180" s="942"/>
      <c r="BE180" s="942"/>
      <c r="BF180" s="942"/>
      <c r="BG180" s="942"/>
      <c r="BH180" s="942"/>
      <c r="BI180" s="942"/>
      <c r="BJ180" s="942"/>
      <c r="BK180" s="942"/>
      <c r="BL180" s="942"/>
      <c r="BM180" s="942"/>
      <c r="BN180" s="7720"/>
      <c r="BO180" s="7724" t="str">
        <f>IF(_xlfn.IFERROR(INDEX(ФОТ!$K$26:$L$188,MATCH($F180&amp;"1komm",ФОТ!$K$26:$K$188,0),2),"")=0,"",_xlfn.IFERROR(INDEX(ФОТ!$K$26:$L$188,MATCH($F180&amp;"1komm",ФОТ!$K$26:$K$188,0),2),""))</f>
        <v>по предложению организации в соответствии со штатным расписанием.</v>
      </c>
      <c r="BP180" s="7720"/>
      <c r="BQ180" s="1278"/>
      <c r="BR180" s="1278"/>
      <c r="BS180" s="1062" t="s">
        <v>2471</v>
      </c>
      <c r="BT180" s="1064"/>
      <c r="BU180" s="1064"/>
      <c r="BV180" s="979"/>
      <c r="BW180" s="979"/>
    </row>
    <row s="1834" customFormat="1" customHeight="1" ht="21.75">
      <c r="A181" s="1278"/>
      <c r="B181" s="978"/>
      <c r="C181" s="1278"/>
      <c r="D181" s="1278"/>
      <c r="E181" s="703">
        <v>22.5</v>
      </c>
      <c r="F181" s="50" cm="1" t="str">
        <f t="array" ref="F181:F181">OFFSET(E181,-1,1)</f>
        <v>1</v>
      </c>
      <c r="G181" s="349" t="s">
        <v>1878</v>
      </c>
      <c r="H181" s="378"/>
      <c r="I181" s="378" t="s">
        <v>2224</v>
      </c>
      <c r="J181" s="1278"/>
      <c r="K181" s="378" t="s">
        <v>2224</v>
      </c>
      <c r="L181" s="980" t="s">
        <v>2096</v>
      </c>
      <c r="M181" s="107"/>
      <c r="N181" s="1278"/>
      <c r="O181" s="1278"/>
      <c r="P181" s="1278"/>
      <c r="Q181" s="158" t="s">
        <v>2947</v>
      </c>
      <c r="R181" s="161" t="s">
        <v>2947</v>
      </c>
      <c r="S181" s="1278"/>
      <c r="T181" s="465" cm="1" t="str">
        <f t="array" ref="T181:T181">T180</f>
        <v>true</v>
      </c>
      <c r="U181" s="1278"/>
      <c r="V181" s="1278"/>
      <c r="W181" s="1278"/>
      <c r="X181" s="1563"/>
      <c r="Y181" s="1278"/>
      <c r="Z181" s="1546"/>
      <c r="AA181" s="1278"/>
      <c r="AB181" s="299" t="s">
        <v>2648</v>
      </c>
      <c r="AC181" s="768" t="s">
        <v>2649</v>
      </c>
      <c r="AD181" s="766" t="s">
        <v>1514</v>
      </c>
      <c r="AE181" s="7723">
        <f>AE180*_xlfn.SUMIFS(INDEX(Сценарии!$AE$25:$BF$163,,MATCH(AE$8,Сценарии!$AE$8:$BF$8,0)),Сценарии!$F$25:$F$163,$F181,Сценарии!$G$25:$G$163,"СВФОТ")/100</f>
        <v>0</v>
      </c>
      <c r="AF181" s="7723">
        <f>AF180*_xlfn.SUMIFS(INDEX(Сценарии!$AE$25:$BF$163,,MATCH(AF$8,Сценарии!$AE$8:$BF$8,0)),Сценарии!$F$25:$F$163,$F181,Сценарии!$G$25:$G$163,"СВФОТ")/100</f>
        <v>0</v>
      </c>
      <c r="AG181" s="7723">
        <f>AG180*_xlfn.SUMIFS(INDEX(Сценарии!$AE$25:$BF$163,,MATCH(AG$8,Сценарии!$AE$8:$BF$8,0)),Сценарии!$F$25:$F$163,$F181,Сценарии!$G$25:$G$163,"СВФОТ")/100</f>
        <v>0</v>
      </c>
      <c r="AH181" s="943">
        <f>AG181-AF181</f>
        <v>0</v>
      </c>
      <c r="AI181" s="7691">
        <f>AI180*_xlfn.SUMIFS(INDEX(Сценарии!$AE$25:$BF$163,,MATCH(AG$8,Сценарии!$AE$8:$BF$8,0)),Сценарии!$F$25:$F$163,$F181,Сценарии!$G$25:$G$163,"СВФОТ")/100</f>
        <v>0</v>
      </c>
      <c r="AJ181" s="7721"/>
      <c r="AK181" s="942"/>
      <c r="AL181" s="942"/>
      <c r="AM181" s="942"/>
      <c r="AN181" s="942"/>
      <c r="AO181" s="942"/>
      <c r="AP181" s="942"/>
      <c r="AQ181" s="942"/>
      <c r="AR181" s="942"/>
      <c r="AS181" s="942"/>
      <c r="AT181" s="942"/>
      <c r="AU181" s="942"/>
      <c r="AV181" s="942"/>
      <c r="AW181" s="942"/>
      <c r="AX181" s="942"/>
      <c r="AY181" s="942"/>
      <c r="AZ181" s="942"/>
      <c r="BA181" s="942"/>
      <c r="BB181" s="942"/>
      <c r="BC181" s="942"/>
      <c r="BD181" s="942"/>
      <c r="BE181" s="942"/>
      <c r="BF181" s="942"/>
      <c r="BG181" s="942"/>
      <c r="BH181" s="942"/>
      <c r="BI181" s="942"/>
      <c r="BJ181" s="942"/>
      <c r="BK181" s="942"/>
      <c r="BL181" s="942"/>
      <c r="BM181" s="942"/>
      <c r="BN181" s="7720"/>
      <c r="BO181" s="7724" t="str">
        <f>IF(_xlfn.IFERROR(INDEX(ФОТ!$K$26:$L$188,MATCH($F181&amp;"2komm",ФОТ!$K$26:$K$188,0),2),"")=0,"",_xlfn.IFERROR(INDEX(ФОТ!$K$26:$L$188,MATCH($F181&amp;"2komm",ФОТ!$K$26:$K$188,0),2),""))</f>
        <v>на основании Налогового кодекса РФ (часть вторая) от 05.08.2000 № 117-ФЗ в размере 30%, а также в соответствии с Федеральным законом от 24.07.1998 № 125 – ФЗ (0,20%).</v>
      </c>
      <c r="BP181" s="7720"/>
      <c r="BQ181" s="1278"/>
      <c r="BR181" s="1278"/>
      <c r="BS181" s="1062" t="s">
        <v>2473</v>
      </c>
      <c r="BT181" s="1064"/>
      <c r="BU181" s="1064"/>
      <c r="BV181" s="979"/>
      <c r="BW181" s="979"/>
    </row>
    <row s="1834" customFormat="1" customHeight="1" ht="14.25">
      <c r="A182" s="1278"/>
      <c r="B182" s="978"/>
      <c r="C182" s="1278"/>
      <c r="D182" s="1278"/>
      <c r="E182" s="703">
        <v>15</v>
      </c>
      <c r="F182" s="50" cm="1" t="str">
        <f t="array" ref="F182:F182">OFFSET(E182,-1,1)</f>
        <v>1</v>
      </c>
      <c r="G182" s="1278"/>
      <c r="H182" s="378"/>
      <c r="I182" s="378" t="s">
        <v>2235</v>
      </c>
      <c r="J182" s="1278"/>
      <c r="K182" s="378" t="s">
        <v>2235</v>
      </c>
      <c r="L182" s="980" t="s">
        <v>2475</v>
      </c>
      <c r="M182" s="107"/>
      <c r="N182" s="1278"/>
      <c r="O182" s="1278"/>
      <c r="P182" s="1278"/>
      <c r="Q182" s="158" t="s">
        <v>2947</v>
      </c>
      <c r="R182" s="161" t="s">
        <v>2947</v>
      </c>
      <c r="S182" s="1278"/>
      <c r="T182" s="465" cm="1" t="str">
        <f t="array" ref="T182:T182">T181</f>
        <v>true</v>
      </c>
      <c r="U182" s="1278"/>
      <c r="V182" s="1278"/>
      <c r="W182" s="1278"/>
      <c r="X182" s="1563"/>
      <c r="Y182" s="1278"/>
      <c r="Z182" s="1546"/>
      <c r="AA182" s="1278"/>
      <c r="AB182" s="299" t="s">
        <v>2449</v>
      </c>
      <c r="AC182" s="765" t="s">
        <v>2650</v>
      </c>
      <c r="AD182" s="766" t="s">
        <v>1514</v>
      </c>
      <c r="AE182" s="7723"/>
      <c r="AF182" s="7723"/>
      <c r="AG182" s="7723"/>
      <c r="AH182" s="943">
        <f>AG182-AF182</f>
        <v>0</v>
      </c>
      <c r="AI182" s="7691"/>
      <c r="AJ182" s="7721"/>
      <c r="AK182" s="942"/>
      <c r="AL182" s="942"/>
      <c r="AM182" s="942"/>
      <c r="AN182" s="942"/>
      <c r="AO182" s="942"/>
      <c r="AP182" s="942"/>
      <c r="AQ182" s="942"/>
      <c r="AR182" s="942"/>
      <c r="AS182" s="942"/>
      <c r="AT182" s="942"/>
      <c r="AU182" s="942"/>
      <c r="AV182" s="942"/>
      <c r="AW182" s="942"/>
      <c r="AX182" s="942"/>
      <c r="AY182" s="942"/>
      <c r="AZ182" s="942"/>
      <c r="BA182" s="942"/>
      <c r="BB182" s="942"/>
      <c r="BC182" s="942"/>
      <c r="BD182" s="942"/>
      <c r="BE182" s="942"/>
      <c r="BF182" s="942"/>
      <c r="BG182" s="942"/>
      <c r="BH182" s="942"/>
      <c r="BI182" s="942"/>
      <c r="BJ182" s="942"/>
      <c r="BK182" s="942"/>
      <c r="BL182" s="942"/>
      <c r="BM182" s="942"/>
      <c r="BN182" s="7720"/>
      <c r="BO182" s="7720"/>
      <c r="BP182" s="7720"/>
      <c r="BQ182" s="1278"/>
      <c r="BR182" s="1278"/>
      <c r="BS182" s="1063" t="s">
        <v>2478</v>
      </c>
      <c r="BT182" s="1064"/>
      <c r="BU182" s="1064"/>
      <c r="BV182" s="979"/>
      <c r="BW182" s="979"/>
    </row>
    <row s="1834" customFormat="1" customHeight="1" ht="14.25">
      <c r="A183" s="1278"/>
      <c r="B183" s="978"/>
      <c r="C183" s="1278"/>
      <c r="D183" s="1278"/>
      <c r="E183" s="703">
        <v>15</v>
      </c>
      <c r="F183" s="50" cm="1" t="str">
        <f t="array" ref="F183:F183">OFFSET(E183,-1,1)</f>
        <v>1</v>
      </c>
      <c r="G183" s="1278"/>
      <c r="H183" s="378"/>
      <c r="I183" s="378" t="s">
        <v>2239</v>
      </c>
      <c r="J183" s="1278"/>
      <c r="K183" s="378" t="s">
        <v>2239</v>
      </c>
      <c r="L183" s="980" t="s">
        <v>2479</v>
      </c>
      <c r="M183" s="1278"/>
      <c r="N183" s="1278"/>
      <c r="O183" s="1278"/>
      <c r="P183" s="1278"/>
      <c r="Q183" s="158" t="s">
        <v>2947</v>
      </c>
      <c r="R183" s="161" t="s">
        <v>2947</v>
      </c>
      <c r="S183" s="1278"/>
      <c r="T183" s="465" cm="1" t="str">
        <f t="array" ref="T183:T183">T182</f>
        <v>true</v>
      </c>
      <c r="U183" s="1278"/>
      <c r="V183" s="1278"/>
      <c r="W183" s="1278"/>
      <c r="X183" s="1563"/>
      <c r="Y183" s="1278"/>
      <c r="Z183" s="1546"/>
      <c r="AA183" s="1278"/>
      <c r="AB183" s="299" t="s">
        <v>2451</v>
      </c>
      <c r="AC183" s="765" t="s">
        <v>2651</v>
      </c>
      <c r="AD183" s="300" t="s">
        <v>1514</v>
      </c>
      <c r="AE183" s="944">
        <f>SUM(AE184:AE190)</f>
        <v>0</v>
      </c>
      <c r="AF183" s="944">
        <f>SUM(AF184:AF190)</f>
        <v>0</v>
      </c>
      <c r="AG183" s="944">
        <f>SUM(AG184:AG190)</f>
        <v>0</v>
      </c>
      <c r="AH183" s="943">
        <f>AG183-AF183</f>
        <v>0</v>
      </c>
      <c r="AI183" s="7693">
        <f>SUM(AI184:AI190)</f>
        <v>0</v>
      </c>
      <c r="AJ183" s="7721"/>
      <c r="AK183" s="942"/>
      <c r="AL183" s="942"/>
      <c r="AM183" s="942"/>
      <c r="AN183" s="942"/>
      <c r="AO183" s="942"/>
      <c r="AP183" s="942"/>
      <c r="AQ183" s="942"/>
      <c r="AR183" s="942"/>
      <c r="AS183" s="942"/>
      <c r="AT183" s="942"/>
      <c r="AU183" s="942"/>
      <c r="AV183" s="942"/>
      <c r="AW183" s="942"/>
      <c r="AX183" s="942"/>
      <c r="AY183" s="942"/>
      <c r="AZ183" s="942"/>
      <c r="BA183" s="942"/>
      <c r="BB183" s="942"/>
      <c r="BC183" s="942"/>
      <c r="BD183" s="942"/>
      <c r="BE183" s="942"/>
      <c r="BF183" s="942"/>
      <c r="BG183" s="942"/>
      <c r="BH183" s="942"/>
      <c r="BI183" s="942"/>
      <c r="BJ183" s="942"/>
      <c r="BK183" s="942"/>
      <c r="BL183" s="942"/>
      <c r="BM183" s="942"/>
      <c r="BN183" s="7720"/>
      <c r="BO183" s="7720"/>
      <c r="BP183" s="7720"/>
      <c r="BQ183" s="1278"/>
      <c r="BR183" s="1278"/>
      <c r="BS183" s="1063" t="s">
        <v>2652</v>
      </c>
      <c r="BT183" s="1064"/>
      <c r="BU183" s="1064"/>
      <c r="BV183" s="979"/>
      <c r="BW183" s="979"/>
    </row>
    <row s="1834" customFormat="1" customHeight="1" ht="14.25">
      <c r="A184" s="1278"/>
      <c r="B184" s="978"/>
      <c r="C184" s="1278"/>
      <c r="D184" s="1278"/>
      <c r="E184" s="703">
        <v>15</v>
      </c>
      <c r="F184" s="50" cm="1" t="str">
        <f t="array" ref="F184:F184">OFFSET(E184,-1,1)</f>
        <v>1</v>
      </c>
      <c r="G184" s="1278"/>
      <c r="H184" s="378"/>
      <c r="I184" s="378" t="s">
        <v>2653</v>
      </c>
      <c r="J184" s="1278"/>
      <c r="K184" s="378" t="s">
        <v>2653</v>
      </c>
      <c r="L184" s="980" t="s">
        <v>2479</v>
      </c>
      <c r="M184" s="107" t="s">
        <v>2487</v>
      </c>
      <c r="N184" s="1278"/>
      <c r="O184" s="1278"/>
      <c r="P184" s="1278"/>
      <c r="Q184" s="158" t="s">
        <v>2947</v>
      </c>
      <c r="R184" s="161" t="s">
        <v>2947</v>
      </c>
      <c r="S184" s="1278"/>
      <c r="T184" s="465" cm="1" t="str">
        <f t="array" ref="T184:T184">T183</f>
        <v>true</v>
      </c>
      <c r="U184" s="1278"/>
      <c r="V184" s="1278"/>
      <c r="W184" s="1278"/>
      <c r="X184" s="1563"/>
      <c r="Y184" s="1278"/>
      <c r="Z184" s="1546"/>
      <c r="AA184" s="1278"/>
      <c r="AB184" s="299" t="s">
        <v>2654</v>
      </c>
      <c r="AC184" s="768" t="s">
        <v>2655</v>
      </c>
      <c r="AD184" s="300" t="s">
        <v>1514</v>
      </c>
      <c r="AE184" s="7723"/>
      <c r="AF184" s="7723"/>
      <c r="AG184" s="7723"/>
      <c r="AH184" s="943">
        <f>AG184-AF184</f>
        <v>0</v>
      </c>
      <c r="AI184" s="7691"/>
      <c r="AJ184" s="7721"/>
      <c r="AK184" s="942"/>
      <c r="AL184" s="942"/>
      <c r="AM184" s="942"/>
      <c r="AN184" s="942"/>
      <c r="AO184" s="942"/>
      <c r="AP184" s="942"/>
      <c r="AQ184" s="942"/>
      <c r="AR184" s="942"/>
      <c r="AS184" s="942"/>
      <c r="AT184" s="942"/>
      <c r="AU184" s="942"/>
      <c r="AV184" s="942"/>
      <c r="AW184" s="942"/>
      <c r="AX184" s="942"/>
      <c r="AY184" s="942"/>
      <c r="AZ184" s="942"/>
      <c r="BA184" s="942"/>
      <c r="BB184" s="942"/>
      <c r="BC184" s="942"/>
      <c r="BD184" s="942"/>
      <c r="BE184" s="942"/>
      <c r="BF184" s="942"/>
      <c r="BG184" s="942"/>
      <c r="BH184" s="942"/>
      <c r="BI184" s="942"/>
      <c r="BJ184" s="942"/>
      <c r="BK184" s="942"/>
      <c r="BL184" s="942"/>
      <c r="BM184" s="942"/>
      <c r="BN184" s="7720"/>
      <c r="BO184" s="7720"/>
      <c r="BP184" s="7720"/>
      <c r="BQ184" s="1278"/>
      <c r="BR184" s="1278"/>
      <c r="BS184" s="1062" t="s">
        <v>2490</v>
      </c>
      <c r="BT184" s="1064"/>
      <c r="BU184" s="1064"/>
      <c r="BV184" s="979"/>
      <c r="BW184" s="979"/>
    </row>
    <row s="1834" customFormat="1" customHeight="1" ht="21.75">
      <c r="A185" s="1278"/>
      <c r="B185" s="978"/>
      <c r="C185" s="1278"/>
      <c r="D185" s="1278"/>
      <c r="E185" s="703">
        <v>22.5</v>
      </c>
      <c r="F185" s="50" cm="1" t="str">
        <f t="array" ref="F185:F185">OFFSET(E185,-1,1)</f>
        <v>1</v>
      </c>
      <c r="G185" s="1278"/>
      <c r="H185" s="378"/>
      <c r="I185" s="378" t="s">
        <v>2656</v>
      </c>
      <c r="J185" s="1278"/>
      <c r="K185" s="378" t="s">
        <v>2656</v>
      </c>
      <c r="L185" s="980" t="s">
        <v>2479</v>
      </c>
      <c r="M185" s="107" t="s">
        <v>2483</v>
      </c>
      <c r="N185" s="1278"/>
      <c r="O185" s="1278"/>
      <c r="P185" s="1278"/>
      <c r="Q185" s="158" t="s">
        <v>2947</v>
      </c>
      <c r="R185" s="161" t="s">
        <v>2947</v>
      </c>
      <c r="S185" s="1278"/>
      <c r="T185" s="465" cm="1" t="str">
        <f t="array" ref="T185:T185">T184</f>
        <v>true</v>
      </c>
      <c r="U185" s="1278"/>
      <c r="V185" s="1278"/>
      <c r="W185" s="1278"/>
      <c r="X185" s="1563"/>
      <c r="Y185" s="1278"/>
      <c r="Z185" s="1546"/>
      <c r="AA185" s="1278"/>
      <c r="AB185" s="299" t="s">
        <v>2657</v>
      </c>
      <c r="AC185" s="768" t="s">
        <v>2658</v>
      </c>
      <c r="AD185" s="300" t="s">
        <v>1514</v>
      </c>
      <c r="AE185" s="7723"/>
      <c r="AF185" s="7723"/>
      <c r="AG185" s="7723"/>
      <c r="AH185" s="943">
        <f>AG185-AF185</f>
        <v>0</v>
      </c>
      <c r="AI185" s="7691"/>
      <c r="AJ185" s="7721"/>
      <c r="AK185" s="942"/>
      <c r="AL185" s="942"/>
      <c r="AM185" s="942"/>
      <c r="AN185" s="942"/>
      <c r="AO185" s="942"/>
      <c r="AP185" s="942"/>
      <c r="AQ185" s="942"/>
      <c r="AR185" s="942"/>
      <c r="AS185" s="942"/>
      <c r="AT185" s="942"/>
      <c r="AU185" s="942"/>
      <c r="AV185" s="942"/>
      <c r="AW185" s="942"/>
      <c r="AX185" s="942"/>
      <c r="AY185" s="942"/>
      <c r="AZ185" s="942"/>
      <c r="BA185" s="942"/>
      <c r="BB185" s="942"/>
      <c r="BC185" s="942"/>
      <c r="BD185" s="942"/>
      <c r="BE185" s="942"/>
      <c r="BF185" s="942"/>
      <c r="BG185" s="942"/>
      <c r="BH185" s="942"/>
      <c r="BI185" s="942"/>
      <c r="BJ185" s="942"/>
      <c r="BK185" s="942"/>
      <c r="BL185" s="942"/>
      <c r="BM185" s="942"/>
      <c r="BN185" s="7720"/>
      <c r="BO185" s="7720"/>
      <c r="BP185" s="7720"/>
      <c r="BQ185" s="1278"/>
      <c r="BR185" s="1278"/>
      <c r="BS185" s="1064" t="s">
        <v>2659</v>
      </c>
      <c r="BT185" s="1064"/>
      <c r="BU185" s="1064"/>
      <c r="BV185" s="979"/>
      <c r="BW185" s="979"/>
    </row>
    <row s="1834" customFormat="1" customHeight="1" ht="21.75">
      <c r="A186" s="1278"/>
      <c r="B186" s="978"/>
      <c r="C186" s="1278"/>
      <c r="D186" s="1278"/>
      <c r="E186" s="703">
        <v>22.5</v>
      </c>
      <c r="F186" s="50" cm="1" t="str">
        <f t="array" ref="F186:F186">OFFSET(E186,-1,1)</f>
        <v>1</v>
      </c>
      <c r="G186" s="1278"/>
      <c r="H186" s="378"/>
      <c r="I186" s="378" t="s">
        <v>2660</v>
      </c>
      <c r="J186" s="1278"/>
      <c r="K186" s="378" t="s">
        <v>2660</v>
      </c>
      <c r="L186" s="1278"/>
      <c r="M186" s="1278"/>
      <c r="N186" s="1278"/>
      <c r="O186" s="1278"/>
      <c r="P186" s="1278"/>
      <c r="Q186" s="158" t="s">
        <v>2947</v>
      </c>
      <c r="R186" s="161" t="s">
        <v>2947</v>
      </c>
      <c r="S186" s="1278"/>
      <c r="T186" s="465" cm="1" t="str">
        <f t="array" ref="T186:T186">T185</f>
        <v>true</v>
      </c>
      <c r="U186" s="1278"/>
      <c r="V186" s="1278"/>
      <c r="W186" s="1278"/>
      <c r="X186" s="1563"/>
      <c r="Y186" s="1278"/>
      <c r="Z186" s="1546"/>
      <c r="AA186" s="1278"/>
      <c r="AB186" s="299" t="s">
        <v>2661</v>
      </c>
      <c r="AC186" s="769" t="s">
        <v>2662</v>
      </c>
      <c r="AD186" s="300" t="s">
        <v>1514</v>
      </c>
      <c r="AE186" s="7723"/>
      <c r="AF186" s="7723"/>
      <c r="AG186" s="7723"/>
      <c r="AH186" s="943">
        <f>AG186-AF186</f>
        <v>0</v>
      </c>
      <c r="AI186" s="7691"/>
      <c r="AJ186" s="7721"/>
      <c r="AK186" s="942"/>
      <c r="AL186" s="942"/>
      <c r="AM186" s="942"/>
      <c r="AN186" s="942"/>
      <c r="AO186" s="942"/>
      <c r="AP186" s="942"/>
      <c r="AQ186" s="942"/>
      <c r="AR186" s="942"/>
      <c r="AS186" s="942"/>
      <c r="AT186" s="942"/>
      <c r="AU186" s="942"/>
      <c r="AV186" s="942"/>
      <c r="AW186" s="942"/>
      <c r="AX186" s="942"/>
      <c r="AY186" s="942"/>
      <c r="AZ186" s="942"/>
      <c r="BA186" s="942"/>
      <c r="BB186" s="942"/>
      <c r="BC186" s="942"/>
      <c r="BD186" s="942"/>
      <c r="BE186" s="942"/>
      <c r="BF186" s="942"/>
      <c r="BG186" s="942"/>
      <c r="BH186" s="942"/>
      <c r="BI186" s="942"/>
      <c r="BJ186" s="942"/>
      <c r="BK186" s="942"/>
      <c r="BL186" s="942"/>
      <c r="BM186" s="942"/>
      <c r="BN186" s="7720"/>
      <c r="BO186" s="7720"/>
      <c r="BP186" s="7720"/>
      <c r="BQ186" s="1278"/>
      <c r="BR186" s="1278"/>
      <c r="BS186" s="1064" t="s">
        <v>2663</v>
      </c>
      <c r="BT186" s="1064"/>
      <c r="BU186" s="1064"/>
      <c r="BV186" s="979"/>
      <c r="BW186" s="979"/>
    </row>
    <row s="1834" customFormat="1" customHeight="1" ht="21.75">
      <c r="A187" s="1278"/>
      <c r="B187" s="978"/>
      <c r="C187" s="1278"/>
      <c r="D187" s="1278"/>
      <c r="E187" s="703">
        <v>22.5</v>
      </c>
      <c r="F187" s="50" cm="1" t="str">
        <f t="array" ref="F187:F187">OFFSET(E187,-1,1)</f>
        <v>1</v>
      </c>
      <c r="G187" s="1278"/>
      <c r="H187" s="378"/>
      <c r="I187" s="378" t="s">
        <v>2664</v>
      </c>
      <c r="J187" s="1278"/>
      <c r="K187" s="378" t="s">
        <v>2664</v>
      </c>
      <c r="L187" s="980"/>
      <c r="M187" s="1278"/>
      <c r="N187" s="1278"/>
      <c r="O187" s="1278"/>
      <c r="P187" s="1278"/>
      <c r="Q187" s="158" t="s">
        <v>2947</v>
      </c>
      <c r="R187" s="161" t="s">
        <v>2947</v>
      </c>
      <c r="S187" s="1278"/>
      <c r="T187" s="465" cm="1" t="str">
        <f t="array" ref="T187:T187">T186</f>
        <v>true</v>
      </c>
      <c r="U187" s="1278"/>
      <c r="V187" s="1278"/>
      <c r="W187" s="1278"/>
      <c r="X187" s="1563"/>
      <c r="Y187" s="1278"/>
      <c r="Z187" s="1546"/>
      <c r="AA187" s="1278"/>
      <c r="AB187" s="299" t="s">
        <v>2665</v>
      </c>
      <c r="AC187" s="769" t="s">
        <v>2666</v>
      </c>
      <c r="AD187" s="300" t="s">
        <v>1514</v>
      </c>
      <c r="AE187" s="7723"/>
      <c r="AF187" s="7723"/>
      <c r="AG187" s="7723"/>
      <c r="AH187" s="943">
        <f>AG187-AF187</f>
        <v>0</v>
      </c>
      <c r="AI187" s="7691"/>
      <c r="AJ187" s="7721"/>
      <c r="AK187" s="942"/>
      <c r="AL187" s="942"/>
      <c r="AM187" s="942"/>
      <c r="AN187" s="942"/>
      <c r="AO187" s="942"/>
      <c r="AP187" s="942"/>
      <c r="AQ187" s="942"/>
      <c r="AR187" s="942"/>
      <c r="AS187" s="942"/>
      <c r="AT187" s="942"/>
      <c r="AU187" s="942"/>
      <c r="AV187" s="942"/>
      <c r="AW187" s="942"/>
      <c r="AX187" s="942"/>
      <c r="AY187" s="942"/>
      <c r="AZ187" s="942"/>
      <c r="BA187" s="942"/>
      <c r="BB187" s="942"/>
      <c r="BC187" s="942"/>
      <c r="BD187" s="942"/>
      <c r="BE187" s="942"/>
      <c r="BF187" s="942"/>
      <c r="BG187" s="942"/>
      <c r="BH187" s="942"/>
      <c r="BI187" s="942"/>
      <c r="BJ187" s="942"/>
      <c r="BK187" s="942"/>
      <c r="BL187" s="942"/>
      <c r="BM187" s="942"/>
      <c r="BN187" s="7720"/>
      <c r="BO187" s="7720"/>
      <c r="BP187" s="7720"/>
      <c r="BQ187" s="1278"/>
      <c r="BR187" s="1278"/>
      <c r="BS187" s="1064" t="s">
        <v>2667</v>
      </c>
      <c r="BT187" s="1064"/>
      <c r="BU187" s="1064"/>
      <c r="BV187" s="979"/>
      <c r="BW187" s="979"/>
    </row>
    <row s="1834" customFormat="1" customHeight="1" ht="43.5">
      <c r="A188" s="1278"/>
      <c r="B188" s="978"/>
      <c r="C188" s="1278"/>
      <c r="D188" s="1278"/>
      <c r="E188" s="703">
        <v>45</v>
      </c>
      <c r="F188" s="50" cm="1" t="str">
        <f t="array" ref="F188:F188">OFFSET(E188,-1,1)</f>
        <v>1</v>
      </c>
      <c r="G188" s="1278"/>
      <c r="H188" s="378"/>
      <c r="I188" s="378" t="s">
        <v>2668</v>
      </c>
      <c r="J188" s="1278"/>
      <c r="K188" s="378" t="s">
        <v>2668</v>
      </c>
      <c r="L188" s="980" t="s">
        <v>2479</v>
      </c>
      <c r="M188" s="107" t="s">
        <v>2491</v>
      </c>
      <c r="N188" s="1278"/>
      <c r="O188" s="1278"/>
      <c r="P188" s="1278"/>
      <c r="Q188" s="158" t="s">
        <v>2947</v>
      </c>
      <c r="R188" s="161" t="s">
        <v>2947</v>
      </c>
      <c r="S188" s="1278"/>
      <c r="T188" s="465" cm="1" t="str">
        <f t="array" ref="T188:T188">T187</f>
        <v>true</v>
      </c>
      <c r="U188" s="1278"/>
      <c r="V188" s="1278"/>
      <c r="W188" s="1278"/>
      <c r="X188" s="1563"/>
      <c r="Y188" s="1278"/>
      <c r="Z188" s="1546"/>
      <c r="AA188" s="1278"/>
      <c r="AB188" s="299" t="s">
        <v>2669</v>
      </c>
      <c r="AC188" s="768" t="s">
        <v>2670</v>
      </c>
      <c r="AD188" s="300" t="s">
        <v>1514</v>
      </c>
      <c r="AE188" s="7723"/>
      <c r="AF188" s="7723"/>
      <c r="AG188" s="7723"/>
      <c r="AH188" s="943">
        <f>AG188-AF188</f>
        <v>0</v>
      </c>
      <c r="AI188" s="7691"/>
      <c r="AJ188" s="7721"/>
      <c r="AK188" s="942"/>
      <c r="AL188" s="942"/>
      <c r="AM188" s="942"/>
      <c r="AN188" s="942"/>
      <c r="AO188" s="942"/>
      <c r="AP188" s="942"/>
      <c r="AQ188" s="942"/>
      <c r="AR188" s="942"/>
      <c r="AS188" s="942"/>
      <c r="AT188" s="942"/>
      <c r="AU188" s="942"/>
      <c r="AV188" s="942"/>
      <c r="AW188" s="942"/>
      <c r="AX188" s="942"/>
      <c r="AY188" s="942"/>
      <c r="AZ188" s="942"/>
      <c r="BA188" s="942"/>
      <c r="BB188" s="942"/>
      <c r="BC188" s="942"/>
      <c r="BD188" s="942"/>
      <c r="BE188" s="942"/>
      <c r="BF188" s="942"/>
      <c r="BG188" s="942"/>
      <c r="BH188" s="942"/>
      <c r="BI188" s="942"/>
      <c r="BJ188" s="942"/>
      <c r="BK188" s="942"/>
      <c r="BL188" s="942"/>
      <c r="BM188" s="942"/>
      <c r="BN188" s="7720"/>
      <c r="BO188" s="7720"/>
      <c r="BP188" s="7720"/>
      <c r="BQ188" s="1278"/>
      <c r="BR188" s="1278"/>
      <c r="BS188" s="1064" t="s">
        <v>2494</v>
      </c>
      <c r="BT188" s="1064"/>
      <c r="BU188" s="1064"/>
      <c r="BV188" s="979"/>
      <c r="BW188" s="979"/>
    </row>
    <row s="1834" customFormat="1" customHeight="1" ht="14.25">
      <c r="A189" s="1278"/>
      <c r="B189" s="978"/>
      <c r="C189" s="1278"/>
      <c r="D189" s="1278"/>
      <c r="E189" s="703">
        <v>15</v>
      </c>
      <c r="F189" s="50" cm="1" t="str">
        <f t="array" ref="F189:F189">OFFSET(E189,-1,1)</f>
        <v>1</v>
      </c>
      <c r="G189" s="1278"/>
      <c r="H189" s="378"/>
      <c r="I189" s="378" t="s">
        <v>2671</v>
      </c>
      <c r="J189" s="1278"/>
      <c r="K189" s="378" t="s">
        <v>2671</v>
      </c>
      <c r="L189" s="980" t="s">
        <v>2479</v>
      </c>
      <c r="M189" s="107" t="s">
        <v>2495</v>
      </c>
      <c r="N189" s="1278"/>
      <c r="O189" s="1278"/>
      <c r="P189" s="1278"/>
      <c r="Q189" s="158" t="s">
        <v>2947</v>
      </c>
      <c r="R189" s="161" t="s">
        <v>2947</v>
      </c>
      <c r="S189" s="1278"/>
      <c r="T189" s="465" cm="1" t="str">
        <f t="array" ref="T189:T189">T188</f>
        <v>true</v>
      </c>
      <c r="U189" s="1278"/>
      <c r="V189" s="1278"/>
      <c r="W189" s="1278"/>
      <c r="X189" s="1563"/>
      <c r="Y189" s="1278"/>
      <c r="Z189" s="1546"/>
      <c r="AA189" s="1278"/>
      <c r="AB189" s="299" t="s">
        <v>2672</v>
      </c>
      <c r="AC189" s="768" t="s">
        <v>2497</v>
      </c>
      <c r="AD189" s="300" t="s">
        <v>1514</v>
      </c>
      <c r="AE189" s="7723"/>
      <c r="AF189" s="7723"/>
      <c r="AG189" s="7723"/>
      <c r="AH189" s="943">
        <f>AG189-AF189</f>
        <v>0</v>
      </c>
      <c r="AI189" s="7691"/>
      <c r="AJ189" s="7721"/>
      <c r="AK189" s="942"/>
      <c r="AL189" s="942"/>
      <c r="AM189" s="942"/>
      <c r="AN189" s="942"/>
      <c r="AO189" s="942"/>
      <c r="AP189" s="942"/>
      <c r="AQ189" s="942"/>
      <c r="AR189" s="942"/>
      <c r="AS189" s="942"/>
      <c r="AT189" s="942"/>
      <c r="AU189" s="942"/>
      <c r="AV189" s="942"/>
      <c r="AW189" s="942"/>
      <c r="AX189" s="942"/>
      <c r="AY189" s="942"/>
      <c r="AZ189" s="942"/>
      <c r="BA189" s="942"/>
      <c r="BB189" s="942"/>
      <c r="BC189" s="942"/>
      <c r="BD189" s="942"/>
      <c r="BE189" s="942"/>
      <c r="BF189" s="942"/>
      <c r="BG189" s="942"/>
      <c r="BH189" s="942"/>
      <c r="BI189" s="942"/>
      <c r="BJ189" s="942"/>
      <c r="BK189" s="942"/>
      <c r="BL189" s="942"/>
      <c r="BM189" s="942"/>
      <c r="BN189" s="7720"/>
      <c r="BO189" s="7720"/>
      <c r="BP189" s="7720"/>
      <c r="BQ189" s="1278"/>
      <c r="BR189" s="1278"/>
      <c r="BS189" s="1064" t="s">
        <v>2498</v>
      </c>
      <c r="BT189" s="1064"/>
      <c r="BU189" s="1064"/>
      <c r="BV189" s="979"/>
      <c r="BW189" s="979"/>
    </row>
    <row s="1834" customFormat="1" customHeight="1" ht="14.25">
      <c r="A190" s="1278"/>
      <c r="B190" s="978"/>
      <c r="C190" s="1278"/>
      <c r="D190" s="1278"/>
      <c r="E190" s="703">
        <v>15</v>
      </c>
      <c r="F190" s="50" cm="1" t="str">
        <f t="array" ref="F190:F190">OFFSET(E190,-1,1)</f>
        <v>1</v>
      </c>
      <c r="G190" s="1278"/>
      <c r="H190" s="378"/>
      <c r="I190" s="378" t="s">
        <v>2673</v>
      </c>
      <c r="J190" s="1278"/>
      <c r="K190" s="378" t="s">
        <v>2673</v>
      </c>
      <c r="L190" s="980"/>
      <c r="M190" s="107"/>
      <c r="N190" s="1278"/>
      <c r="O190" s="1278"/>
      <c r="P190" s="1278"/>
      <c r="Q190" s="158" t="s">
        <v>2947</v>
      </c>
      <c r="R190" s="161" t="s">
        <v>2947</v>
      </c>
      <c r="S190" s="1278"/>
      <c r="T190" s="465" cm="1" t="str">
        <f t="array" ref="T190:T190">T189</f>
        <v>true</v>
      </c>
      <c r="U190" s="1278"/>
      <c r="V190" s="1278"/>
      <c r="W190" s="1278"/>
      <c r="X190" s="1563"/>
      <c r="Y190" s="1278"/>
      <c r="Z190" s="1546"/>
      <c r="AA190" s="1278"/>
      <c r="AB190" s="299" t="s">
        <v>2674</v>
      </c>
      <c r="AC190" s="768" t="s">
        <v>2675</v>
      </c>
      <c r="AD190" s="300" t="s">
        <v>1514</v>
      </c>
      <c r="AE190" s="7723"/>
      <c r="AF190" s="7723"/>
      <c r="AG190" s="7723"/>
      <c r="AH190" s="943">
        <f>AG190-AF190</f>
        <v>0</v>
      </c>
      <c r="AI190" s="7691"/>
      <c r="AJ190" s="1354"/>
      <c r="AK190" s="942"/>
      <c r="AL190" s="942"/>
      <c r="AM190" s="942"/>
      <c r="AN190" s="942"/>
      <c r="AO190" s="942"/>
      <c r="AP190" s="942"/>
      <c r="AQ190" s="942"/>
      <c r="AR190" s="942"/>
      <c r="AS190" s="942"/>
      <c r="AT190" s="942"/>
      <c r="AU190" s="942"/>
      <c r="AV190" s="942"/>
      <c r="AW190" s="942"/>
      <c r="AX190" s="942"/>
      <c r="AY190" s="942"/>
      <c r="AZ190" s="942"/>
      <c r="BA190" s="942"/>
      <c r="BB190" s="942"/>
      <c r="BC190" s="942"/>
      <c r="BD190" s="942"/>
      <c r="BE190" s="942"/>
      <c r="BF190" s="942"/>
      <c r="BG190" s="942"/>
      <c r="BH190" s="942"/>
      <c r="BI190" s="942"/>
      <c r="BJ190" s="942"/>
      <c r="BK190" s="942"/>
      <c r="BL190" s="942"/>
      <c r="BM190" s="942"/>
      <c r="BN190" s="7720"/>
      <c r="BO190" s="7720"/>
      <c r="BP190" s="7720"/>
      <c r="BQ190" s="1278"/>
      <c r="BR190" s="1278"/>
      <c r="BS190" s="1064" t="s">
        <v>2482</v>
      </c>
      <c r="BT190" s="1064"/>
      <c r="BU190" s="1064"/>
      <c r="BV190" s="979"/>
      <c r="BW190" s="979"/>
    </row>
    <row s="7726" customFormat="1" customHeight="1" ht="20.25">
      <c r="A191" s="700"/>
      <c r="B191" s="435"/>
      <c r="C191" s="700"/>
      <c r="D191" s="700"/>
      <c r="E191" s="707">
        <v>21</v>
      </c>
      <c r="F191" s="50" cm="1" t="str">
        <f t="array" ref="F191:F191">OFFSET(E191,-1,1)</f>
        <v>1</v>
      </c>
      <c r="G191" s="700"/>
      <c r="H191" s="378"/>
      <c r="I191" s="378" t="s">
        <v>1182</v>
      </c>
      <c r="J191" s="700"/>
      <c r="K191" s="378" t="s">
        <v>1182</v>
      </c>
      <c r="L191" s="985"/>
      <c r="M191" s="109"/>
      <c r="N191" s="700"/>
      <c r="O191" s="700"/>
      <c r="P191" s="700"/>
      <c r="Q191" s="158" t="s">
        <v>2947</v>
      </c>
      <c r="R191" s="161" t="s">
        <v>2947</v>
      </c>
      <c r="S191" s="700"/>
      <c r="T191" s="465" cm="1" t="str">
        <f t="array" ref="T191:T191">T190</f>
        <v>true</v>
      </c>
      <c r="U191" s="700"/>
      <c r="V191" s="700"/>
      <c r="W191" s="700"/>
      <c r="X191" s="1563"/>
      <c r="Y191" s="700"/>
      <c r="Z191" s="1546"/>
      <c r="AA191" s="700"/>
      <c r="AB191" s="218" t="s">
        <v>1634</v>
      </c>
      <c r="AC191" s="361" t="s">
        <v>2501</v>
      </c>
      <c r="AD191" s="211" t="s">
        <v>1514</v>
      </c>
      <c r="AE191" s="770">
        <f>AE192+AE193+AE194</f>
        <v>0</v>
      </c>
      <c r="AF191" s="770">
        <f>AF192+AF193+AF194</f>
        <v>0</v>
      </c>
      <c r="AG191" s="770">
        <f>AG192+AG193+AG194</f>
        <v>0</v>
      </c>
      <c r="AH191" s="761">
        <f>AG191-AF191</f>
        <v>0</v>
      </c>
      <c r="AI191" s="7697">
        <f>AI192+AI193+AI194</f>
        <v>0</v>
      </c>
      <c r="AJ191" s="7721"/>
      <c r="AK191" s="764"/>
      <c r="AL191" s="764"/>
      <c r="AM191" s="764"/>
      <c r="AN191" s="764"/>
      <c r="AO191" s="764"/>
      <c r="AP191" s="764"/>
      <c r="AQ191" s="764"/>
      <c r="AR191" s="764"/>
      <c r="AS191" s="764"/>
      <c r="AT191" s="764"/>
      <c r="AU191" s="764"/>
      <c r="AV191" s="764"/>
      <c r="AW191" s="764"/>
      <c r="AX191" s="764"/>
      <c r="AY191" s="764"/>
      <c r="AZ191" s="764"/>
      <c r="BA191" s="764"/>
      <c r="BB191" s="764"/>
      <c r="BC191" s="764"/>
      <c r="BD191" s="764"/>
      <c r="BE191" s="764"/>
      <c r="BF191" s="764"/>
      <c r="BG191" s="764"/>
      <c r="BH191" s="764"/>
      <c r="BI191" s="764"/>
      <c r="BJ191" s="764"/>
      <c r="BK191" s="764"/>
      <c r="BL191" s="764"/>
      <c r="BM191" s="764"/>
      <c r="BN191" s="7722"/>
      <c r="BO191" s="7722"/>
      <c r="BP191" s="7722"/>
      <c r="BQ191" s="700"/>
      <c r="BR191" s="700"/>
      <c r="BS191" s="1063" t="s">
        <v>2502</v>
      </c>
      <c r="BT191" s="1070"/>
      <c r="BU191" s="1070"/>
      <c r="BV191" s="707"/>
      <c r="BW191" s="707"/>
    </row>
    <row s="1834" customFormat="1" customHeight="1" ht="21.75">
      <c r="A192" s="1278"/>
      <c r="B192" s="978"/>
      <c r="C192" s="1278"/>
      <c r="D192" s="1278"/>
      <c r="E192" s="703">
        <v>22.5</v>
      </c>
      <c r="F192" s="50" cm="1" t="str">
        <f t="array" ref="F192:F192">OFFSET(E192,-1,1)</f>
        <v>1</v>
      </c>
      <c r="G192" s="1278"/>
      <c r="H192" s="378"/>
      <c r="I192" s="378" t="s">
        <v>2081</v>
      </c>
      <c r="J192" s="1278"/>
      <c r="K192" s="378" t="s">
        <v>2081</v>
      </c>
      <c r="L192" s="980"/>
      <c r="M192" s="107"/>
      <c r="N192" s="1278"/>
      <c r="O192" s="1278"/>
      <c r="P192" s="1278"/>
      <c r="Q192" s="158" t="s">
        <v>2947</v>
      </c>
      <c r="R192" s="161" t="s">
        <v>2947</v>
      </c>
      <c r="S192" s="1278"/>
      <c r="T192" s="465" cm="1" t="str">
        <f t="array" ref="T192:T192">T191</f>
        <v>true</v>
      </c>
      <c r="U192" s="1278"/>
      <c r="V192" s="1278"/>
      <c r="W192" s="1278"/>
      <c r="X192" s="1563"/>
      <c r="Y192" s="1278"/>
      <c r="Z192" s="1546"/>
      <c r="AA192" s="1278"/>
      <c r="AB192" s="299" t="s">
        <v>2082</v>
      </c>
      <c r="AC192" s="765" t="s">
        <v>2676</v>
      </c>
      <c r="AD192" s="300" t="s">
        <v>1514</v>
      </c>
      <c r="AE192" s="7723"/>
      <c r="AF192" s="7723"/>
      <c r="AG192" s="7723"/>
      <c r="AH192" s="943">
        <f>AG192-AF192</f>
        <v>0</v>
      </c>
      <c r="AI192" s="7691"/>
      <c r="AJ192" s="7721"/>
      <c r="AK192" s="942"/>
      <c r="AL192" s="942"/>
      <c r="AM192" s="942"/>
      <c r="AN192" s="942"/>
      <c r="AO192" s="942"/>
      <c r="AP192" s="942"/>
      <c r="AQ192" s="942"/>
      <c r="AR192" s="942"/>
      <c r="AS192" s="942"/>
      <c r="AT192" s="942"/>
      <c r="AU192" s="942"/>
      <c r="AV192" s="942"/>
      <c r="AW192" s="942"/>
      <c r="AX192" s="942"/>
      <c r="AY192" s="942"/>
      <c r="AZ192" s="942"/>
      <c r="BA192" s="942"/>
      <c r="BB192" s="942"/>
      <c r="BC192" s="942"/>
      <c r="BD192" s="942"/>
      <c r="BE192" s="942"/>
      <c r="BF192" s="942"/>
      <c r="BG192" s="942"/>
      <c r="BH192" s="942"/>
      <c r="BI192" s="942"/>
      <c r="BJ192" s="942"/>
      <c r="BK192" s="942"/>
      <c r="BL192" s="942"/>
      <c r="BM192" s="942"/>
      <c r="BN192" s="7720"/>
      <c r="BO192" s="7720"/>
      <c r="BP192" s="7720"/>
      <c r="BQ192" s="1278"/>
      <c r="BR192" s="1278"/>
      <c r="BS192" s="1062" t="s">
        <v>2504</v>
      </c>
      <c r="BT192" s="1064"/>
      <c r="BU192" s="1064"/>
      <c r="BV192" s="979"/>
      <c r="BW192" s="979"/>
    </row>
    <row s="1834" customFormat="1" customHeight="1" ht="21.75">
      <c r="A193" s="1278"/>
      <c r="B193" s="978"/>
      <c r="C193" s="1278"/>
      <c r="D193" s="1278"/>
      <c r="E193" s="703">
        <v>22.5</v>
      </c>
      <c r="F193" s="50" cm="1" t="str">
        <f t="array" ref="F193:F193">OFFSET(E193,-1,1)</f>
        <v>1</v>
      </c>
      <c r="G193" s="1278"/>
      <c r="H193" s="378"/>
      <c r="I193" s="378" t="s">
        <v>2085</v>
      </c>
      <c r="J193" s="1278"/>
      <c r="K193" s="378" t="s">
        <v>2085</v>
      </c>
      <c r="L193" s="980"/>
      <c r="M193" s="107"/>
      <c r="N193" s="1278"/>
      <c r="O193" s="1278"/>
      <c r="P193" s="1278"/>
      <c r="Q193" s="158" t="s">
        <v>2947</v>
      </c>
      <c r="R193" s="161" t="s">
        <v>2947</v>
      </c>
      <c r="S193" s="1278"/>
      <c r="T193" s="465" cm="1" t="str">
        <f t="array" ref="T193:T193">T192</f>
        <v>true</v>
      </c>
      <c r="U193" s="1278"/>
      <c r="V193" s="1278"/>
      <c r="W193" s="1278"/>
      <c r="X193" s="1563"/>
      <c r="Y193" s="1278"/>
      <c r="Z193" s="1546"/>
      <c r="AA193" s="1278"/>
      <c r="AB193" s="299" t="s">
        <v>2086</v>
      </c>
      <c r="AC193" s="765" t="s">
        <v>2677</v>
      </c>
      <c r="AD193" s="300" t="s">
        <v>1514</v>
      </c>
      <c r="AE193" s="7723"/>
      <c r="AF193" s="7723"/>
      <c r="AG193" s="7723"/>
      <c r="AH193" s="943">
        <f>AG193-AF193</f>
        <v>0</v>
      </c>
      <c r="AI193" s="7691"/>
      <c r="AJ193" s="7721"/>
      <c r="AK193" s="942"/>
      <c r="AL193" s="942"/>
      <c r="AM193" s="942"/>
      <c r="AN193" s="942"/>
      <c r="AO193" s="942"/>
      <c r="AP193" s="942"/>
      <c r="AQ193" s="942"/>
      <c r="AR193" s="942"/>
      <c r="AS193" s="942"/>
      <c r="AT193" s="942"/>
      <c r="AU193" s="942"/>
      <c r="AV193" s="942"/>
      <c r="AW193" s="942"/>
      <c r="AX193" s="942"/>
      <c r="AY193" s="942"/>
      <c r="AZ193" s="942"/>
      <c r="BA193" s="942"/>
      <c r="BB193" s="942"/>
      <c r="BC193" s="942"/>
      <c r="BD193" s="942"/>
      <c r="BE193" s="942"/>
      <c r="BF193" s="942"/>
      <c r="BG193" s="942"/>
      <c r="BH193" s="942"/>
      <c r="BI193" s="942"/>
      <c r="BJ193" s="942"/>
      <c r="BK193" s="942"/>
      <c r="BL193" s="942"/>
      <c r="BM193" s="942"/>
      <c r="BN193" s="7720"/>
      <c r="BO193" s="7720"/>
      <c r="BP193" s="7720"/>
      <c r="BQ193" s="1278"/>
      <c r="BR193" s="1278"/>
      <c r="BS193" s="1064" t="s">
        <v>2678</v>
      </c>
      <c r="BT193" s="1064"/>
      <c r="BU193" s="1064"/>
      <c r="BV193" s="979"/>
      <c r="BW193" s="979"/>
    </row>
    <row s="1834" customFormat="1" customHeight="1" ht="21.75">
      <c r="A194" s="1278"/>
      <c r="B194" s="978"/>
      <c r="C194" s="1278"/>
      <c r="D194" s="1278"/>
      <c r="E194" s="703">
        <v>22.5</v>
      </c>
      <c r="F194" s="50" cm="1" t="str">
        <f t="array" ref="F194:F194">OFFSET(E194,-1,1)</f>
        <v>1</v>
      </c>
      <c r="G194" s="1278"/>
      <c r="H194" s="378"/>
      <c r="I194" s="378" t="s">
        <v>2089</v>
      </c>
      <c r="J194" s="1278"/>
      <c r="K194" s="378" t="s">
        <v>2089</v>
      </c>
      <c r="L194" s="980" t="s">
        <v>1196</v>
      </c>
      <c r="M194" s="107"/>
      <c r="N194" s="1278"/>
      <c r="O194" s="1278"/>
      <c r="P194" s="1278"/>
      <c r="Q194" s="158" t="s">
        <v>2947</v>
      </c>
      <c r="R194" s="161" t="s">
        <v>2947</v>
      </c>
      <c r="S194" s="1278"/>
      <c r="T194" s="465" cm="1" t="str">
        <f t="array" ref="T194:T194">T193</f>
        <v>true</v>
      </c>
      <c r="U194" s="1278"/>
      <c r="V194" s="1278"/>
      <c r="W194" s="1278"/>
      <c r="X194" s="1563"/>
      <c r="Y194" s="1278"/>
      <c r="Z194" s="1546"/>
      <c r="AA194" s="1278"/>
      <c r="AB194" s="299" t="s">
        <v>2090</v>
      </c>
      <c r="AC194" s="765" t="s">
        <v>2679</v>
      </c>
      <c r="AD194" s="300" t="s">
        <v>1514</v>
      </c>
      <c r="AE194" s="7723">
        <f>AE195+AE196</f>
        <v>0</v>
      </c>
      <c r="AF194" s="7723">
        <f>AF195+AF196</f>
        <v>0</v>
      </c>
      <c r="AG194" s="7723">
        <f>AG195+AG196</f>
        <v>0</v>
      </c>
      <c r="AH194" s="943">
        <f>AG194-AF194</f>
        <v>0</v>
      </c>
      <c r="AI194" s="7691">
        <f>AI195+AI196</f>
        <v>0</v>
      </c>
      <c r="AJ194" s="7721"/>
      <c r="AK194" s="942"/>
      <c r="AL194" s="942"/>
      <c r="AM194" s="942"/>
      <c r="AN194" s="942"/>
      <c r="AO194" s="942"/>
      <c r="AP194" s="942"/>
      <c r="AQ194" s="942"/>
      <c r="AR194" s="942"/>
      <c r="AS194" s="942"/>
      <c r="AT194" s="942"/>
      <c r="AU194" s="942"/>
      <c r="AV194" s="942"/>
      <c r="AW194" s="942"/>
      <c r="AX194" s="942"/>
      <c r="AY194" s="942"/>
      <c r="AZ194" s="942"/>
      <c r="BA194" s="942"/>
      <c r="BB194" s="942"/>
      <c r="BC194" s="942"/>
      <c r="BD194" s="942"/>
      <c r="BE194" s="942"/>
      <c r="BF194" s="942"/>
      <c r="BG194" s="942"/>
      <c r="BH194" s="942"/>
      <c r="BI194" s="942"/>
      <c r="BJ194" s="942"/>
      <c r="BK194" s="942"/>
      <c r="BL194" s="942"/>
      <c r="BM194" s="942"/>
      <c r="BN194" s="7720"/>
      <c r="BO194" s="7720"/>
      <c r="BP194" s="7720"/>
      <c r="BQ194" s="1278"/>
      <c r="BR194" s="1278"/>
      <c r="BS194" s="1062" t="s">
        <v>2506</v>
      </c>
      <c r="BT194" s="1064"/>
      <c r="BU194" s="1064"/>
      <c r="BV194" s="979"/>
      <c r="BW194" s="979"/>
    </row>
    <row s="1834" customFormat="1" customHeight="1" ht="14.25">
      <c r="A195" s="1278"/>
      <c r="B195" s="978"/>
      <c r="C195" s="1278"/>
      <c r="D195" s="1278"/>
      <c r="E195" s="703">
        <v>15</v>
      </c>
      <c r="F195" s="50" cm="1" t="str">
        <f t="array" ref="F195:F195">OFFSET(E195,-1,1)</f>
        <v>1</v>
      </c>
      <c r="G195" s="49" t="s">
        <v>1881</v>
      </c>
      <c r="H195" s="378"/>
      <c r="I195" s="378" t="s">
        <v>2680</v>
      </c>
      <c r="J195" s="1278"/>
      <c r="K195" s="378" t="s">
        <v>2680</v>
      </c>
      <c r="L195" s="980" t="s">
        <v>2507</v>
      </c>
      <c r="M195" s="107"/>
      <c r="N195" s="1278"/>
      <c r="O195" s="1278"/>
      <c r="P195" s="1278"/>
      <c r="Q195" s="158" t="s">
        <v>2947</v>
      </c>
      <c r="R195" s="161" t="s">
        <v>2947</v>
      </c>
      <c r="S195" s="1278"/>
      <c r="T195" s="465" cm="1" t="str">
        <f t="array" ref="T195:T195">T194</f>
        <v>true</v>
      </c>
      <c r="U195" s="1278"/>
      <c r="V195" s="1278"/>
      <c r="W195" s="1278"/>
      <c r="X195" s="1563"/>
      <c r="Y195" s="1278"/>
      <c r="Z195" s="1546"/>
      <c r="AA195" s="1278"/>
      <c r="AB195" s="299" t="s">
        <v>2681</v>
      </c>
      <c r="AC195" s="768" t="s">
        <v>2508</v>
      </c>
      <c r="AD195" s="300" t="s">
        <v>1514</v>
      </c>
      <c r="AE195" s="7723"/>
      <c r="AF195" s="7723"/>
      <c r="AG195" s="7723"/>
      <c r="AH195" s="943">
        <f>AG195-AF195</f>
        <v>0</v>
      </c>
      <c r="AI195" s="7691"/>
      <c r="AJ195" s="7721"/>
      <c r="AK195" s="942"/>
      <c r="AL195" s="942"/>
      <c r="AM195" s="942"/>
      <c r="AN195" s="942"/>
      <c r="AO195" s="942"/>
      <c r="AP195" s="942"/>
      <c r="AQ195" s="942"/>
      <c r="AR195" s="942"/>
      <c r="AS195" s="942"/>
      <c r="AT195" s="942"/>
      <c r="AU195" s="942"/>
      <c r="AV195" s="942"/>
      <c r="AW195" s="942"/>
      <c r="AX195" s="942"/>
      <c r="AY195" s="942"/>
      <c r="AZ195" s="942"/>
      <c r="BA195" s="942"/>
      <c r="BB195" s="942"/>
      <c r="BC195" s="942"/>
      <c r="BD195" s="942"/>
      <c r="BE195" s="942"/>
      <c r="BF195" s="942"/>
      <c r="BG195" s="942"/>
      <c r="BH195" s="942"/>
      <c r="BI195" s="942"/>
      <c r="BJ195" s="942"/>
      <c r="BK195" s="942"/>
      <c r="BL195" s="942"/>
      <c r="BM195" s="942"/>
      <c r="BN195" s="7720"/>
      <c r="BO195" s="7724" t="str">
        <f>IF(_xlfn.IFERROR(INDEX(ФОТ!$K$26:$L$188,MATCH($F195&amp;"3komm",ФОТ!$K$26:$K$188,0),2),"")=0,"",_xlfn.IFERROR(INDEX(ФОТ!$K$26:$L$188,MATCH($F195&amp;"3komm",ФОТ!$K$26:$K$188,0),2),""))</f>
        <v/>
      </c>
      <c r="BP195" s="7720"/>
      <c r="BQ195" s="1278"/>
      <c r="BR195" s="1278"/>
      <c r="BS195" s="1062" t="s">
        <v>2509</v>
      </c>
      <c r="BT195" s="1064"/>
      <c r="BU195" s="1064"/>
      <c r="BV195" s="979"/>
      <c r="BW195" s="979"/>
    </row>
    <row s="1834" customFormat="1" customHeight="1" ht="21.75">
      <c r="A196" s="1278"/>
      <c r="B196" s="978"/>
      <c r="C196" s="1278"/>
      <c r="D196" s="1278"/>
      <c r="E196" s="703">
        <v>22.5</v>
      </c>
      <c r="F196" s="50" cm="1" t="str">
        <f t="array" ref="F196:F196">OFFSET(E196,-1,1)</f>
        <v>1</v>
      </c>
      <c r="G196" s="49" t="s">
        <v>1886</v>
      </c>
      <c r="H196" s="378"/>
      <c r="I196" s="378" t="s">
        <v>2682</v>
      </c>
      <c r="J196" s="1278"/>
      <c r="K196" s="378" t="s">
        <v>2682</v>
      </c>
      <c r="L196" s="980" t="s">
        <v>2510</v>
      </c>
      <c r="M196" s="107"/>
      <c r="N196" s="1278"/>
      <c r="O196" s="1278"/>
      <c r="P196" s="1278"/>
      <c r="Q196" s="158" t="s">
        <v>2947</v>
      </c>
      <c r="R196" s="161" t="s">
        <v>2947</v>
      </c>
      <c r="S196" s="1278"/>
      <c r="T196" s="465" cm="1" t="str">
        <f t="array" ref="T196:T196">T195</f>
        <v>true</v>
      </c>
      <c r="U196" s="1278"/>
      <c r="V196" s="1278"/>
      <c r="W196" s="1278"/>
      <c r="X196" s="1563"/>
      <c r="Y196" s="1278"/>
      <c r="Z196" s="1546"/>
      <c r="AA196" s="1278"/>
      <c r="AB196" s="299" t="s">
        <v>2683</v>
      </c>
      <c r="AC196" s="768" t="s">
        <v>2684</v>
      </c>
      <c r="AD196" s="300" t="s">
        <v>1514</v>
      </c>
      <c r="AE196" s="7723">
        <f>AE195*_xlfn.SUMIFS(INDEX(Сценарии!$AE$25:$BF$163,,MATCH(AE$8,Сценарии!$AE$8:$BF$8,0)),Сценарии!$F$25:$F$163,$F196,Сценарии!$G$25:$G$163,"СВФОТ")/100</f>
        <v>0</v>
      </c>
      <c r="AF196" s="7723">
        <f>AF195*_xlfn.SUMIFS(INDEX(Сценарии!$AE$25:$BF$163,,MATCH(AF$8,Сценарии!$AE$8:$BF$8,0)),Сценарии!$F$25:$F$163,$F196,Сценарии!$G$25:$G$163,"СВФОТ")/100</f>
        <v>0</v>
      </c>
      <c r="AG196" s="7723">
        <f>AG195*_xlfn.SUMIFS(INDEX(Сценарии!$AE$25:$BF$163,,MATCH(AG$8,Сценарии!$AE$8:$BF$8,0)),Сценарии!$F$25:$F$163,$F196,Сценарии!$G$25:$G$163,"СВФОТ")/100</f>
        <v>0</v>
      </c>
      <c r="AH196" s="943">
        <f>AG196-AF196</f>
        <v>0</v>
      </c>
      <c r="AI196" s="7691">
        <f>AI195*_xlfn.SUMIFS(INDEX(Сценарии!$AE$25:$BF$163,,MATCH(AG$8,Сценарии!$AE$8:$BF$8,0)),Сценарии!$F$25:$F$163,$F196,Сценарии!$G$25:$G$163,"СВФОТ")/100</f>
        <v>0</v>
      </c>
      <c r="AJ196" s="7721"/>
      <c r="AK196" s="942"/>
      <c r="AL196" s="942"/>
      <c r="AM196" s="942"/>
      <c r="AN196" s="942"/>
      <c r="AO196" s="942"/>
      <c r="AP196" s="942"/>
      <c r="AQ196" s="942"/>
      <c r="AR196" s="942"/>
      <c r="AS196" s="942"/>
      <c r="AT196" s="942"/>
      <c r="AU196" s="942"/>
      <c r="AV196" s="942"/>
      <c r="AW196" s="942"/>
      <c r="AX196" s="942"/>
      <c r="AY196" s="942"/>
      <c r="AZ196" s="942"/>
      <c r="BA196" s="942"/>
      <c r="BB196" s="942"/>
      <c r="BC196" s="942"/>
      <c r="BD196" s="942"/>
      <c r="BE196" s="942"/>
      <c r="BF196" s="942"/>
      <c r="BG196" s="942"/>
      <c r="BH196" s="942"/>
      <c r="BI196" s="942"/>
      <c r="BJ196" s="942"/>
      <c r="BK196" s="942"/>
      <c r="BL196" s="942"/>
      <c r="BM196" s="942"/>
      <c r="BN196" s="7720"/>
      <c r="BO196" s="7724" t="str">
        <f>IF(_xlfn.IFERROR(INDEX(ФОТ!$K$26:$L$188,MATCH($F196&amp;"4komm",ФОТ!$K$26:$K$188,0),2),"")=0,"",_xlfn.IFERROR(INDEX(ФОТ!$K$26:$L$188,MATCH($F196&amp;"4komm",ФОТ!$K$26:$K$188,0),2),""))</f>
        <v/>
      </c>
      <c r="BP196" s="7720"/>
      <c r="BQ196" s="1278"/>
      <c r="BR196" s="1278"/>
      <c r="BS196" s="1062" t="s">
        <v>2512</v>
      </c>
      <c r="BT196" s="1064"/>
      <c r="BU196" s="1064"/>
      <c r="BV196" s="979"/>
      <c r="BW196" s="979"/>
    </row>
    <row s="7727" customFormat="1" customHeight="1" ht="20.25">
      <c r="A197" s="700"/>
      <c r="B197" s="435"/>
      <c r="C197" s="700"/>
      <c r="D197" s="700"/>
      <c r="E197" s="707">
        <v>21</v>
      </c>
      <c r="F197" s="50" cm="1" t="str">
        <f t="array" ref="F197:F197">OFFSET(E197,-1,1)</f>
        <v>1</v>
      </c>
      <c r="G197" s="700"/>
      <c r="H197" s="378"/>
      <c r="I197" s="378" t="s">
        <v>1186</v>
      </c>
      <c r="J197" s="700"/>
      <c r="K197" s="378" t="s">
        <v>1186</v>
      </c>
      <c r="L197" s="985" t="s">
        <v>334</v>
      </c>
      <c r="M197" s="109"/>
      <c r="N197" s="700"/>
      <c r="O197" s="700"/>
      <c r="P197" s="700"/>
      <c r="Q197" s="158" t="s">
        <v>2947</v>
      </c>
      <c r="R197" s="161" t="s">
        <v>2947</v>
      </c>
      <c r="S197" s="700"/>
      <c r="T197" s="465" cm="1" t="str">
        <f t="array" ref="T197:T197">T196</f>
        <v>true</v>
      </c>
      <c r="U197" s="700"/>
      <c r="V197" s="700"/>
      <c r="W197" s="700"/>
      <c r="X197" s="1563"/>
      <c r="Y197" s="700"/>
      <c r="Z197" s="1546"/>
      <c r="AA197" s="700"/>
      <c r="AB197" s="218" t="s">
        <v>1637</v>
      </c>
      <c r="AC197" s="361" t="s">
        <v>2685</v>
      </c>
      <c r="AD197" s="211" t="s">
        <v>1514</v>
      </c>
      <c r="AE197" s="770">
        <f>AE198+AE206+AE209+AE210+AE211+AE212+AE213</f>
        <v>0</v>
      </c>
      <c r="AF197" s="770">
        <f>AF198+AF206+AF209+AF210+AF211+AF212+AF213</f>
        <v>0</v>
      </c>
      <c r="AG197" s="770">
        <f>AG198+AG206+AG209+AG210+AG211+AG212+AG213</f>
        <v>0</v>
      </c>
      <c r="AH197" s="761">
        <f>AG197-AF197</f>
        <v>0</v>
      </c>
      <c r="AI197" s="7697">
        <f>AI198+AI206+AI209+AI210+AI211+AI212+AI213</f>
        <v>0</v>
      </c>
      <c r="AJ197" s="7721"/>
      <c r="AK197" s="764"/>
      <c r="AL197" s="764"/>
      <c r="AM197" s="764"/>
      <c r="AN197" s="764"/>
      <c r="AO197" s="764"/>
      <c r="AP197" s="764"/>
      <c r="AQ197" s="764"/>
      <c r="AR197" s="764"/>
      <c r="AS197" s="764"/>
      <c r="AT197" s="764"/>
      <c r="AU197" s="764"/>
      <c r="AV197" s="764"/>
      <c r="AW197" s="764"/>
      <c r="AX197" s="764"/>
      <c r="AY197" s="764"/>
      <c r="AZ197" s="764"/>
      <c r="BA197" s="764"/>
      <c r="BB197" s="764"/>
      <c r="BC197" s="764"/>
      <c r="BD197" s="764"/>
      <c r="BE197" s="764"/>
      <c r="BF197" s="764"/>
      <c r="BG197" s="764"/>
      <c r="BH197" s="764"/>
      <c r="BI197" s="764"/>
      <c r="BJ197" s="764"/>
      <c r="BK197" s="764"/>
      <c r="BL197" s="764"/>
      <c r="BM197" s="764"/>
      <c r="BN197" s="7722"/>
      <c r="BO197" s="7722"/>
      <c r="BP197" s="7722"/>
      <c r="BQ197" s="700"/>
      <c r="BR197" s="700"/>
      <c r="BS197" s="1063" t="s">
        <v>2514</v>
      </c>
      <c r="BT197" s="1070"/>
      <c r="BU197" s="1070"/>
      <c r="BV197" s="707"/>
      <c r="BW197" s="707"/>
    </row>
    <row s="1834" customFormat="1" customHeight="1" ht="21.75">
      <c r="A198" s="1278"/>
      <c r="B198" s="978"/>
      <c r="C198" s="1278"/>
      <c r="D198" s="1278"/>
      <c r="E198" s="703">
        <v>22.5</v>
      </c>
      <c r="F198" s="50" cm="1" t="str">
        <f t="array" ref="F198:F198">OFFSET(E198,-1,1)</f>
        <v>1</v>
      </c>
      <c r="G198" s="158" t="s">
        <v>1916</v>
      </c>
      <c r="H198" s="378"/>
      <c r="I198" s="378" t="s">
        <v>2095</v>
      </c>
      <c r="J198" s="1278"/>
      <c r="K198" s="378" t="s">
        <v>2095</v>
      </c>
      <c r="L198" s="980" t="s">
        <v>1658</v>
      </c>
      <c r="M198" s="107"/>
      <c r="N198" s="1278"/>
      <c r="O198" s="1278"/>
      <c r="P198" s="1278"/>
      <c r="Q198" s="158" t="s">
        <v>2947</v>
      </c>
      <c r="R198" s="161" t="s">
        <v>2947</v>
      </c>
      <c r="S198" s="1278"/>
      <c r="T198" s="465" cm="1" t="str">
        <f t="array" ref="T198:T198">T197</f>
        <v>true</v>
      </c>
      <c r="U198" s="1278"/>
      <c r="V198" s="1278"/>
      <c r="W198" s="1278"/>
      <c r="X198" s="1563"/>
      <c r="Y198" s="1278"/>
      <c r="Z198" s="1546"/>
      <c r="AA198" s="1278"/>
      <c r="AB198" s="299" t="s">
        <v>1752</v>
      </c>
      <c r="AC198" s="765" t="s">
        <v>2686</v>
      </c>
      <c r="AD198" s="300" t="s">
        <v>1514</v>
      </c>
      <c r="AE198" s="944">
        <f>SUM(AE199:AE205)</f>
        <v>0</v>
      </c>
      <c r="AF198" s="944">
        <f>SUM(AF199:AF205)</f>
        <v>0</v>
      </c>
      <c r="AG198" s="944">
        <f>SUM(AG199:AG205)</f>
        <v>0</v>
      </c>
      <c r="AH198" s="943">
        <f>AG198-AF198</f>
        <v>0</v>
      </c>
      <c r="AI198" s="7693">
        <f>SUM(AI199:AI205)</f>
        <v>0</v>
      </c>
      <c r="AJ198" s="7721"/>
      <c r="AK198" s="942"/>
      <c r="AL198" s="942"/>
      <c r="AM198" s="942"/>
      <c r="AN198" s="942"/>
      <c r="AO198" s="942"/>
      <c r="AP198" s="942"/>
      <c r="AQ198" s="942"/>
      <c r="AR198" s="942"/>
      <c r="AS198" s="942"/>
      <c r="AT198" s="942"/>
      <c r="AU198" s="942"/>
      <c r="AV198" s="942"/>
      <c r="AW198" s="942"/>
      <c r="AX198" s="942"/>
      <c r="AY198" s="942"/>
      <c r="AZ198" s="942"/>
      <c r="BA198" s="942"/>
      <c r="BB198" s="942"/>
      <c r="BC198" s="942"/>
      <c r="BD198" s="942"/>
      <c r="BE198" s="942"/>
      <c r="BF198" s="942"/>
      <c r="BG198" s="942"/>
      <c r="BH198" s="942"/>
      <c r="BI198" s="942"/>
      <c r="BJ198" s="942"/>
      <c r="BK198" s="942"/>
      <c r="BL198" s="942"/>
      <c r="BM198" s="942"/>
      <c r="BN198" s="7720"/>
      <c r="BO198" s="7724" t="str">
        <f>IF(_xlfn.IFERROR(INDEX(Административные!$K$26:$L$122,MATCH($F198&amp;"17komm",Административные!$K$26:$K$122,0),2),"")=0,"",_xlfn.IFERROR(INDEX(Административные!$K$26:$L$122,MATCH($F198&amp;"17komm",Административные!$K$26:$K$122,0),2),""))</f>
        <v>Учтены расходы по выданным долгосрочным параметрам и соответствуют предложению организации.</v>
      </c>
      <c r="BP198" s="7720"/>
      <c r="BQ198" s="1278"/>
      <c r="BR198" s="1278"/>
      <c r="BS198" s="1062" t="s">
        <v>1918</v>
      </c>
      <c r="BT198" s="1064"/>
      <c r="BU198" s="1064"/>
      <c r="BV198" s="979"/>
      <c r="BW198" s="979"/>
    </row>
    <row s="1834" customFormat="1" customHeight="1" ht="14.25">
      <c r="A199" s="1278"/>
      <c r="B199" s="978"/>
      <c r="C199" s="1278"/>
      <c r="D199" s="1278"/>
      <c r="E199" s="703">
        <v>15</v>
      </c>
      <c r="F199" s="50" cm="1" t="str">
        <f t="array" ref="F199:F199">OFFSET(E199,-1,1)</f>
        <v>1</v>
      </c>
      <c r="G199" s="158" t="s">
        <v>1919</v>
      </c>
      <c r="H199" s="378"/>
      <c r="I199" s="378" t="s">
        <v>2687</v>
      </c>
      <c r="J199" s="1278"/>
      <c r="K199" s="378" t="s">
        <v>2687</v>
      </c>
      <c r="L199" s="980"/>
      <c r="M199" s="107"/>
      <c r="N199" s="1278"/>
      <c r="O199" s="1278"/>
      <c r="P199" s="1278"/>
      <c r="Q199" s="158" t="s">
        <v>2947</v>
      </c>
      <c r="R199" s="161" t="s">
        <v>2947</v>
      </c>
      <c r="S199" s="1278"/>
      <c r="T199" s="465" cm="1" t="str">
        <f t="array" ref="T199:T199">T198</f>
        <v>true</v>
      </c>
      <c r="U199" s="1278"/>
      <c r="V199" s="1278"/>
      <c r="W199" s="1278"/>
      <c r="X199" s="1563"/>
      <c r="Y199" s="1278"/>
      <c r="Z199" s="1546"/>
      <c r="AA199" s="1278"/>
      <c r="AB199" s="299" t="s">
        <v>2688</v>
      </c>
      <c r="AC199" s="768" t="s">
        <v>1920</v>
      </c>
      <c r="AD199" s="300" t="s">
        <v>1514</v>
      </c>
      <c r="AE199" s="7723"/>
      <c r="AF199" s="7723"/>
      <c r="AG199" s="7723"/>
      <c r="AH199" s="943">
        <f>AG199-AF199</f>
        <v>0</v>
      </c>
      <c r="AI199" s="7691"/>
      <c r="AJ199" s="7721"/>
      <c r="AK199" s="942"/>
      <c r="AL199" s="942"/>
      <c r="AM199" s="942"/>
      <c r="AN199" s="942"/>
      <c r="AO199" s="942"/>
      <c r="AP199" s="942"/>
      <c r="AQ199" s="942"/>
      <c r="AR199" s="942"/>
      <c r="AS199" s="942"/>
      <c r="AT199" s="942"/>
      <c r="AU199" s="942"/>
      <c r="AV199" s="942"/>
      <c r="AW199" s="942"/>
      <c r="AX199" s="942"/>
      <c r="AY199" s="942"/>
      <c r="AZ199" s="942"/>
      <c r="BA199" s="942"/>
      <c r="BB199" s="942"/>
      <c r="BC199" s="942"/>
      <c r="BD199" s="942"/>
      <c r="BE199" s="942"/>
      <c r="BF199" s="942"/>
      <c r="BG199" s="942"/>
      <c r="BH199" s="942"/>
      <c r="BI199" s="942"/>
      <c r="BJ199" s="942"/>
      <c r="BK199" s="942"/>
      <c r="BL199" s="942"/>
      <c r="BM199" s="942"/>
      <c r="BN199" s="7720"/>
      <c r="BO199" s="7724" t="str">
        <f>IF(_xlfn.IFERROR(INDEX(Административные!$K$26:$L$122,MATCH($F199&amp;"18komm",Административные!$K$26:$K$122,0),2),"")=0,"",_xlfn.IFERROR(INDEX(Административные!$K$26:$L$122,MATCH($F199&amp;"18komm",Административные!$K$26:$K$122,0),2),""))</f>
        <v>по расчету организации, не превышает факт 2025 года предыдущей организации.</v>
      </c>
      <c r="BP199" s="7720"/>
      <c r="BQ199" s="1278"/>
      <c r="BR199" s="1278"/>
      <c r="BS199" s="1064" t="s">
        <v>1921</v>
      </c>
      <c r="BT199" s="1064"/>
      <c r="BU199" s="1064"/>
      <c r="BV199" s="979"/>
      <c r="BW199" s="979"/>
    </row>
    <row s="1834" customFormat="1" customHeight="1" ht="14.25">
      <c r="A200" s="1278"/>
      <c r="B200" s="978"/>
      <c r="C200" s="1278"/>
      <c r="D200" s="1278"/>
      <c r="E200" s="703">
        <v>15</v>
      </c>
      <c r="F200" s="50" cm="1" t="str">
        <f t="array" ref="F200:F200">OFFSET(E200,-1,1)</f>
        <v>1</v>
      </c>
      <c r="G200" s="158" t="s">
        <v>1922</v>
      </c>
      <c r="H200" s="378"/>
      <c r="I200" s="378" t="s">
        <v>2689</v>
      </c>
      <c r="J200" s="1278"/>
      <c r="K200" s="378" t="s">
        <v>2689</v>
      </c>
      <c r="L200" s="980"/>
      <c r="M200" s="107"/>
      <c r="N200" s="1278"/>
      <c r="O200" s="1278"/>
      <c r="P200" s="1278"/>
      <c r="Q200" s="158" t="s">
        <v>2947</v>
      </c>
      <c r="R200" s="161" t="s">
        <v>2947</v>
      </c>
      <c r="S200" s="1278"/>
      <c r="T200" s="465" cm="1" t="str">
        <f t="array" ref="T200:T200">T199</f>
        <v>true</v>
      </c>
      <c r="U200" s="1278"/>
      <c r="V200" s="1278"/>
      <c r="W200" s="1278"/>
      <c r="X200" s="1563"/>
      <c r="Y200" s="1278"/>
      <c r="Z200" s="1546"/>
      <c r="AA200" s="1278"/>
      <c r="AB200" s="299" t="s">
        <v>2690</v>
      </c>
      <c r="AC200" s="768" t="s">
        <v>1923</v>
      </c>
      <c r="AD200" s="300" t="s">
        <v>1514</v>
      </c>
      <c r="AE200" s="7723"/>
      <c r="AF200" s="7723"/>
      <c r="AG200" s="7723"/>
      <c r="AH200" s="943">
        <f>AG200-AF200</f>
        <v>0</v>
      </c>
      <c r="AI200" s="7691"/>
      <c r="AJ200" s="7721"/>
      <c r="AK200" s="942"/>
      <c r="AL200" s="942"/>
      <c r="AM200" s="942"/>
      <c r="AN200" s="942"/>
      <c r="AO200" s="942"/>
      <c r="AP200" s="942"/>
      <c r="AQ200" s="942"/>
      <c r="AR200" s="942"/>
      <c r="AS200" s="942"/>
      <c r="AT200" s="942"/>
      <c r="AU200" s="942"/>
      <c r="AV200" s="942"/>
      <c r="AW200" s="942"/>
      <c r="AX200" s="942"/>
      <c r="AY200" s="942"/>
      <c r="AZ200" s="942"/>
      <c r="BA200" s="942"/>
      <c r="BB200" s="942"/>
      <c r="BC200" s="942"/>
      <c r="BD200" s="942"/>
      <c r="BE200" s="942"/>
      <c r="BF200" s="942"/>
      <c r="BG200" s="942"/>
      <c r="BH200" s="942"/>
      <c r="BI200" s="942"/>
      <c r="BJ200" s="942"/>
      <c r="BK200" s="942"/>
      <c r="BL200" s="942"/>
      <c r="BM200" s="942"/>
      <c r="BN200" s="7720"/>
      <c r="BO200" s="7724" t="str">
        <f>IF(_xlfn.IFERROR(INDEX(Административные!$K$26:$L$122,MATCH($F200&amp;"11komm",Административные!$K$26:$K$122,0),2),"")=0,"",_xlfn.IFERROR(INDEX(Административные!$K$26:$L$122,MATCH($F200&amp;"11komm",Административные!$K$26:$K$122,0),2),""))</f>
        <v/>
      </c>
      <c r="BP200" s="7720"/>
      <c r="BQ200" s="1278"/>
      <c r="BR200" s="1278"/>
      <c r="BS200" s="1064" t="s">
        <v>1924</v>
      </c>
      <c r="BT200" s="1064"/>
      <c r="BU200" s="1064"/>
      <c r="BV200" s="979"/>
      <c r="BW200" s="979"/>
    </row>
    <row s="1834" customFormat="1" customHeight="1" ht="14.25">
      <c r="A201" s="1278"/>
      <c r="B201" s="978"/>
      <c r="C201" s="1278"/>
      <c r="D201" s="1278"/>
      <c r="E201" s="703">
        <v>15</v>
      </c>
      <c r="F201" s="50" cm="1" t="str">
        <f t="array" ref="F201:F201">OFFSET(E201,-1,1)</f>
        <v>1</v>
      </c>
      <c r="G201" s="158" t="s">
        <v>1925</v>
      </c>
      <c r="H201" s="378"/>
      <c r="I201" s="378" t="s">
        <v>2691</v>
      </c>
      <c r="J201" s="1278"/>
      <c r="K201" s="378" t="s">
        <v>2691</v>
      </c>
      <c r="L201" s="980"/>
      <c r="M201" s="107"/>
      <c r="N201" s="1278"/>
      <c r="O201" s="1278"/>
      <c r="P201" s="1278"/>
      <c r="Q201" s="158" t="s">
        <v>2947</v>
      </c>
      <c r="R201" s="161" t="s">
        <v>2947</v>
      </c>
      <c r="S201" s="1278"/>
      <c r="T201" s="465" cm="1" t="str">
        <f t="array" ref="T201:T201">T200</f>
        <v>true</v>
      </c>
      <c r="U201" s="1278"/>
      <c r="V201" s="1278"/>
      <c r="W201" s="1278"/>
      <c r="X201" s="1563"/>
      <c r="Y201" s="1278"/>
      <c r="Z201" s="1546"/>
      <c r="AA201" s="1278"/>
      <c r="AB201" s="299" t="s">
        <v>2692</v>
      </c>
      <c r="AC201" s="768" t="s">
        <v>1926</v>
      </c>
      <c r="AD201" s="300" t="s">
        <v>1514</v>
      </c>
      <c r="AE201" s="7723"/>
      <c r="AF201" s="7723"/>
      <c r="AG201" s="7723"/>
      <c r="AH201" s="943">
        <f>AG201-AF201</f>
        <v>0</v>
      </c>
      <c r="AI201" s="7691"/>
      <c r="AJ201" s="7721"/>
      <c r="AK201" s="942"/>
      <c r="AL201" s="942"/>
      <c r="AM201" s="942"/>
      <c r="AN201" s="942"/>
      <c r="AO201" s="942"/>
      <c r="AP201" s="942"/>
      <c r="AQ201" s="942"/>
      <c r="AR201" s="942"/>
      <c r="AS201" s="942"/>
      <c r="AT201" s="942"/>
      <c r="AU201" s="942"/>
      <c r="AV201" s="942"/>
      <c r="AW201" s="942"/>
      <c r="AX201" s="942"/>
      <c r="AY201" s="942"/>
      <c r="AZ201" s="942"/>
      <c r="BA201" s="942"/>
      <c r="BB201" s="942"/>
      <c r="BC201" s="942"/>
      <c r="BD201" s="942"/>
      <c r="BE201" s="942"/>
      <c r="BF201" s="942"/>
      <c r="BG201" s="942"/>
      <c r="BH201" s="942"/>
      <c r="BI201" s="942"/>
      <c r="BJ201" s="942"/>
      <c r="BK201" s="942"/>
      <c r="BL201" s="942"/>
      <c r="BM201" s="942"/>
      <c r="BN201" s="7720"/>
      <c r="BO201" s="7724" t="str">
        <f>IF(_xlfn.IFERROR(INDEX(Административные!$K$26:$L$122,MATCH($F201&amp;"12komm",Административные!$K$26:$K$122,0),2),"")=0,"",_xlfn.IFERROR(INDEX(Административные!$K$26:$L$122,MATCH($F201&amp;"12komm",Административные!$K$26:$K$122,0),2),""))</f>
        <v/>
      </c>
      <c r="BP201" s="7720"/>
      <c r="BQ201" s="1278"/>
      <c r="BR201" s="1278"/>
      <c r="BS201" s="1064" t="s">
        <v>1927</v>
      </c>
      <c r="BT201" s="1064"/>
      <c r="BU201" s="1064"/>
      <c r="BV201" s="979"/>
      <c r="BW201" s="979"/>
    </row>
    <row s="1834" customFormat="1" customHeight="1" ht="14.25">
      <c r="A202" s="1278"/>
      <c r="B202" s="978"/>
      <c r="C202" s="1278"/>
      <c r="D202" s="1278"/>
      <c r="E202" s="703">
        <v>15</v>
      </c>
      <c r="F202" s="50" cm="1" t="str">
        <f t="array" ref="F202:F202">OFFSET(E202,-1,1)</f>
        <v>1</v>
      </c>
      <c r="G202" s="158" t="s">
        <v>1928</v>
      </c>
      <c r="H202" s="378"/>
      <c r="I202" s="378" t="s">
        <v>2693</v>
      </c>
      <c r="J202" s="1278"/>
      <c r="K202" s="378" t="s">
        <v>2693</v>
      </c>
      <c r="L202" s="980"/>
      <c r="M202" s="107"/>
      <c r="N202" s="1278"/>
      <c r="O202" s="1278"/>
      <c r="P202" s="1278"/>
      <c r="Q202" s="158" t="s">
        <v>2947</v>
      </c>
      <c r="R202" s="161" t="s">
        <v>2947</v>
      </c>
      <c r="S202" s="1278"/>
      <c r="T202" s="465" cm="1" t="str">
        <f t="array" ref="T202:T202">T201</f>
        <v>true</v>
      </c>
      <c r="U202" s="1278"/>
      <c r="V202" s="1278"/>
      <c r="W202" s="1278"/>
      <c r="X202" s="1563"/>
      <c r="Y202" s="1278"/>
      <c r="Z202" s="1546"/>
      <c r="AA202" s="1278"/>
      <c r="AB202" s="299" t="s">
        <v>2694</v>
      </c>
      <c r="AC202" s="768" t="s">
        <v>1929</v>
      </c>
      <c r="AD202" s="300" t="s">
        <v>1514</v>
      </c>
      <c r="AE202" s="7723"/>
      <c r="AF202" s="7723"/>
      <c r="AG202" s="7723"/>
      <c r="AH202" s="943">
        <f>AG202-AF202</f>
        <v>0</v>
      </c>
      <c r="AI202" s="7691"/>
      <c r="AJ202" s="7721"/>
      <c r="AK202" s="942"/>
      <c r="AL202" s="942"/>
      <c r="AM202" s="942"/>
      <c r="AN202" s="942"/>
      <c r="AO202" s="942"/>
      <c r="AP202" s="942"/>
      <c r="AQ202" s="942"/>
      <c r="AR202" s="942"/>
      <c r="AS202" s="942"/>
      <c r="AT202" s="942"/>
      <c r="AU202" s="942"/>
      <c r="AV202" s="942"/>
      <c r="AW202" s="942"/>
      <c r="AX202" s="942"/>
      <c r="AY202" s="942"/>
      <c r="AZ202" s="942"/>
      <c r="BA202" s="942"/>
      <c r="BB202" s="942"/>
      <c r="BC202" s="942"/>
      <c r="BD202" s="942"/>
      <c r="BE202" s="942"/>
      <c r="BF202" s="942"/>
      <c r="BG202" s="942"/>
      <c r="BH202" s="942"/>
      <c r="BI202" s="942"/>
      <c r="BJ202" s="942"/>
      <c r="BK202" s="942"/>
      <c r="BL202" s="942"/>
      <c r="BM202" s="942"/>
      <c r="BN202" s="7720"/>
      <c r="BO202" s="7724" t="str">
        <f>IF(_xlfn.IFERROR(INDEX(Административные!$K$26:$L$122,MATCH($F202&amp;"13komm",Административные!$K$26:$K$122,0),2),"")=0,"",_xlfn.IFERROR(INDEX(Административные!$K$26:$L$122,MATCH($F202&amp;"13komm",Административные!$K$26:$K$122,0),2),""))</f>
        <v/>
      </c>
      <c r="BP202" s="7720"/>
      <c r="BQ202" s="1278"/>
      <c r="BR202" s="1278"/>
      <c r="BS202" s="1064" t="s">
        <v>1930</v>
      </c>
      <c r="BT202" s="1064"/>
      <c r="BU202" s="1064"/>
      <c r="BV202" s="979"/>
      <c r="BW202" s="979"/>
    </row>
    <row s="1834" customFormat="1" customHeight="1" ht="14.25">
      <c r="A203" s="1278"/>
      <c r="B203" s="978"/>
      <c r="C203" s="1278"/>
      <c r="D203" s="1278"/>
      <c r="E203" s="703">
        <v>15</v>
      </c>
      <c r="F203" s="50" cm="1" t="str">
        <f t="array" ref="F203:F203">OFFSET(E203,-1,1)</f>
        <v>1</v>
      </c>
      <c r="G203" s="158" t="s">
        <v>1931</v>
      </c>
      <c r="H203" s="378"/>
      <c r="I203" s="378" t="s">
        <v>2695</v>
      </c>
      <c r="J203" s="1278"/>
      <c r="K203" s="378" t="s">
        <v>2695</v>
      </c>
      <c r="L203" s="980"/>
      <c r="M203" s="107"/>
      <c r="N203" s="1278"/>
      <c r="O203" s="1278"/>
      <c r="P203" s="1278"/>
      <c r="Q203" s="158" t="s">
        <v>2947</v>
      </c>
      <c r="R203" s="161" t="s">
        <v>2947</v>
      </c>
      <c r="S203" s="1278"/>
      <c r="T203" s="465" cm="1" t="str">
        <f t="array" ref="T203:T203">T202</f>
        <v>true</v>
      </c>
      <c r="U203" s="1278"/>
      <c r="V203" s="1278"/>
      <c r="W203" s="1278"/>
      <c r="X203" s="1563"/>
      <c r="Y203" s="1278"/>
      <c r="Z203" s="1546"/>
      <c r="AA203" s="1278"/>
      <c r="AB203" s="299" t="s">
        <v>2696</v>
      </c>
      <c r="AC203" s="768" t="s">
        <v>1932</v>
      </c>
      <c r="AD203" s="300" t="s">
        <v>1514</v>
      </c>
      <c r="AE203" s="7723"/>
      <c r="AF203" s="7723"/>
      <c r="AG203" s="7723"/>
      <c r="AH203" s="943">
        <f>AG203-AF203</f>
        <v>0</v>
      </c>
      <c r="AI203" s="7691"/>
      <c r="AJ203" s="7721"/>
      <c r="AK203" s="942"/>
      <c r="AL203" s="942"/>
      <c r="AM203" s="942"/>
      <c r="AN203" s="942"/>
      <c r="AO203" s="942"/>
      <c r="AP203" s="942"/>
      <c r="AQ203" s="942"/>
      <c r="AR203" s="942"/>
      <c r="AS203" s="942"/>
      <c r="AT203" s="942"/>
      <c r="AU203" s="942"/>
      <c r="AV203" s="942"/>
      <c r="AW203" s="942"/>
      <c r="AX203" s="942"/>
      <c r="AY203" s="942"/>
      <c r="AZ203" s="942"/>
      <c r="BA203" s="942"/>
      <c r="BB203" s="942"/>
      <c r="BC203" s="942"/>
      <c r="BD203" s="942"/>
      <c r="BE203" s="942"/>
      <c r="BF203" s="942"/>
      <c r="BG203" s="942"/>
      <c r="BH203" s="942"/>
      <c r="BI203" s="942"/>
      <c r="BJ203" s="942"/>
      <c r="BK203" s="942"/>
      <c r="BL203" s="942"/>
      <c r="BM203" s="942"/>
      <c r="BN203" s="7720"/>
      <c r="BO203" s="7724" t="str">
        <f>IF(_xlfn.IFERROR(INDEX(Административные!$K$26:$L$122,MATCH($F203&amp;"14komm",Административные!$K$26:$K$122,0),2),"")=0,"",_xlfn.IFERROR(INDEX(Административные!$K$26:$L$122,MATCH($F203&amp;"14komm",Административные!$K$26:$K$122,0),2),""))</f>
        <v/>
      </c>
      <c r="BP203" s="7720"/>
      <c r="BQ203" s="1278"/>
      <c r="BR203" s="1278"/>
      <c r="BS203" s="1064" t="s">
        <v>2697</v>
      </c>
      <c r="BT203" s="1064"/>
      <c r="BU203" s="1064"/>
      <c r="BV203" s="979"/>
      <c r="BW203" s="979"/>
    </row>
    <row s="1834" customFormat="1" customHeight="1" ht="14.25">
      <c r="A204" s="1278"/>
      <c r="B204" s="978"/>
      <c r="C204" s="1278"/>
      <c r="D204" s="1278"/>
      <c r="E204" s="703">
        <v>15</v>
      </c>
      <c r="F204" s="50" cm="1" t="str">
        <f t="array" ref="F204:F204">OFFSET(E204,-1,1)</f>
        <v>1</v>
      </c>
      <c r="G204" s="158" t="s">
        <v>1934</v>
      </c>
      <c r="H204" s="378"/>
      <c r="I204" s="378" t="s">
        <v>2698</v>
      </c>
      <c r="J204" s="1278"/>
      <c r="K204" s="378" t="s">
        <v>2698</v>
      </c>
      <c r="L204" s="980"/>
      <c r="M204" s="107"/>
      <c r="N204" s="1278"/>
      <c r="O204" s="1278"/>
      <c r="P204" s="1278"/>
      <c r="Q204" s="158" t="s">
        <v>2947</v>
      </c>
      <c r="R204" s="161" t="s">
        <v>2947</v>
      </c>
      <c r="S204" s="1278"/>
      <c r="T204" s="465" cm="1" t="str">
        <f t="array" ref="T204:T204">T203</f>
        <v>true</v>
      </c>
      <c r="U204" s="1278"/>
      <c r="V204" s="1278"/>
      <c r="W204" s="1278"/>
      <c r="X204" s="1563"/>
      <c r="Y204" s="1278"/>
      <c r="Z204" s="1546"/>
      <c r="AA204" s="1278"/>
      <c r="AB204" s="299" t="s">
        <v>2699</v>
      </c>
      <c r="AC204" s="768" t="s">
        <v>1937</v>
      </c>
      <c r="AD204" s="300" t="s">
        <v>1514</v>
      </c>
      <c r="AE204" s="7723"/>
      <c r="AF204" s="7723"/>
      <c r="AG204" s="7723"/>
      <c r="AH204" s="943">
        <f>AG204-AF204</f>
        <v>0</v>
      </c>
      <c r="AI204" s="7691"/>
      <c r="AJ204" s="7721"/>
      <c r="AK204" s="942"/>
      <c r="AL204" s="942"/>
      <c r="AM204" s="942"/>
      <c r="AN204" s="942"/>
      <c r="AO204" s="942"/>
      <c r="AP204" s="942"/>
      <c r="AQ204" s="942"/>
      <c r="AR204" s="942"/>
      <c r="AS204" s="942"/>
      <c r="AT204" s="942"/>
      <c r="AU204" s="942"/>
      <c r="AV204" s="942"/>
      <c r="AW204" s="942"/>
      <c r="AX204" s="942"/>
      <c r="AY204" s="942"/>
      <c r="AZ204" s="942"/>
      <c r="BA204" s="942"/>
      <c r="BB204" s="942"/>
      <c r="BC204" s="942"/>
      <c r="BD204" s="942"/>
      <c r="BE204" s="942"/>
      <c r="BF204" s="942"/>
      <c r="BG204" s="942"/>
      <c r="BH204" s="942"/>
      <c r="BI204" s="942"/>
      <c r="BJ204" s="942"/>
      <c r="BK204" s="942"/>
      <c r="BL204" s="942"/>
      <c r="BM204" s="942"/>
      <c r="BN204" s="7720"/>
      <c r="BO204" s="7724" t="str">
        <f>IF(_xlfn.IFERROR(INDEX(Административные!$K$26:$L$122,MATCH($F204&amp;"15komm",Административные!$K$26:$K$122,0),2),"")=0,"",_xlfn.IFERROR(INDEX(Административные!$K$26:$L$122,MATCH($F204&amp;"15komm",Административные!$K$26:$K$122,0),2),""))</f>
        <v>по расчету организации, не превышает факт 2025 года предыдущей организации.</v>
      </c>
      <c r="BP204" s="7720"/>
      <c r="BQ204" s="1278"/>
      <c r="BR204" s="1278"/>
      <c r="BS204" s="1064" t="s">
        <v>1938</v>
      </c>
      <c r="BT204" s="1064"/>
      <c r="BU204" s="1064"/>
      <c r="BV204" s="979"/>
      <c r="BW204" s="979"/>
    </row>
    <row s="1834" customFormat="1" customHeight="1" ht="14.25">
      <c r="A205" s="1278"/>
      <c r="B205" s="978"/>
      <c r="C205" s="1278"/>
      <c r="D205" s="1278"/>
      <c r="E205" s="703">
        <v>15</v>
      </c>
      <c r="F205" s="50" cm="1" t="str">
        <f t="array" ref="F205:F205">OFFSET(E205,-1,1)</f>
        <v>1</v>
      </c>
      <c r="G205" s="158" t="s">
        <v>1939</v>
      </c>
      <c r="H205" s="378"/>
      <c r="I205" s="378" t="s">
        <v>2700</v>
      </c>
      <c r="J205" s="1278"/>
      <c r="K205" s="378" t="s">
        <v>2700</v>
      </c>
      <c r="L205" s="980"/>
      <c r="M205" s="107"/>
      <c r="N205" s="1278"/>
      <c r="O205" s="1278"/>
      <c r="P205" s="1278"/>
      <c r="Q205" s="158" t="s">
        <v>2947</v>
      </c>
      <c r="R205" s="161" t="s">
        <v>2947</v>
      </c>
      <c r="S205" s="1278"/>
      <c r="T205" s="465" cm="1" t="str">
        <f t="array" ref="T205:T205">T204</f>
        <v>true</v>
      </c>
      <c r="U205" s="1278"/>
      <c r="V205" s="1278"/>
      <c r="W205" s="1278"/>
      <c r="X205" s="1563"/>
      <c r="Y205" s="1278"/>
      <c r="Z205" s="1546"/>
      <c r="AA205" s="1278"/>
      <c r="AB205" s="299" t="s">
        <v>2701</v>
      </c>
      <c r="AC205" s="768" t="s">
        <v>1942</v>
      </c>
      <c r="AD205" s="300" t="s">
        <v>1514</v>
      </c>
      <c r="AE205" s="7723"/>
      <c r="AF205" s="7723"/>
      <c r="AG205" s="7723"/>
      <c r="AH205" s="943">
        <f>AG205-AF205</f>
        <v>0</v>
      </c>
      <c r="AI205" s="7691"/>
      <c r="AJ205" s="7721"/>
      <c r="AK205" s="942"/>
      <c r="AL205" s="942"/>
      <c r="AM205" s="942"/>
      <c r="AN205" s="942"/>
      <c r="AO205" s="942"/>
      <c r="AP205" s="942"/>
      <c r="AQ205" s="942"/>
      <c r="AR205" s="942"/>
      <c r="AS205" s="942"/>
      <c r="AT205" s="942"/>
      <c r="AU205" s="942"/>
      <c r="AV205" s="942"/>
      <c r="AW205" s="942"/>
      <c r="AX205" s="942"/>
      <c r="AY205" s="942"/>
      <c r="AZ205" s="942"/>
      <c r="BA205" s="942"/>
      <c r="BB205" s="942"/>
      <c r="BC205" s="942"/>
      <c r="BD205" s="942"/>
      <c r="BE205" s="942"/>
      <c r="BF205" s="942"/>
      <c r="BG205" s="942"/>
      <c r="BH205" s="942"/>
      <c r="BI205" s="942"/>
      <c r="BJ205" s="942"/>
      <c r="BK205" s="942"/>
      <c r="BL205" s="942"/>
      <c r="BM205" s="942"/>
      <c r="BN205" s="7720"/>
      <c r="BO205" s="7724" t="str">
        <f>IF(_xlfn.IFERROR(INDEX(Административные!$K$26:$L$122,MATCH($F205&amp;"16komm",Административные!$K$26:$K$122,0),2),"")=0,"",_xlfn.IFERROR(INDEX(Административные!$K$26:$L$122,MATCH($F205&amp;"16komm",Административные!$K$26:$K$122,0),2),""))</f>
        <v>Учтены расходы:
1. По факту с января по май 2025 года в пересчете на годовые показатели, с применением ИПЦ Минэкономразвития России на 2026 год 105,1%:
- услуги сторонних организаций (автоуслуги) 20,83 т.р.;
- расходы на канцелярию 70,04 т.р.;
- прочие услуги 162,77 т.р.
- почтовые расходы, типография, обсл.оргтех. 108,56 т.р.;
2. Услуги по начисл. и сбору ВС и ВО 1590,89 т.р. по факту с июня 2024 года по май 2025 года, с применением ИЦП Минэкономразвития на 2025 год 109,0%, на 2026 год 105,1%.
3. Электроэнергия 679,52 т.р. по факту с июня 2024 года по май 2025 года, с применением ИЦП Минэкономразвития на 2025 год 114,4%, на 2026 год 113,2%;
4. Прочие расходы (спец.одежда, инструм., хозинвент., матер.на общехоз.и произв.нужды) 397,03 т.р. по факту с июня по декабрь 2024 года предыдущей организации в пересчете на годовые показатели, с применением ИПЦ Минэкономразвития на 2025 год 109,0%, на 2026 год 105,1%;
 5. По расчету организации не превышает факт 2025 предыдущей организации:
- ТБО 30,42 т.р.;
- объявления 10,00 т.р.</v>
      </c>
      <c r="BP205" s="7720"/>
      <c r="BQ205" s="1278"/>
      <c r="BR205" s="1278"/>
      <c r="BS205" s="1064" t="s">
        <v>2702</v>
      </c>
      <c r="BT205" s="1064"/>
      <c r="BU205" s="1064"/>
      <c r="BV205" s="979"/>
      <c r="BW205" s="979"/>
    </row>
    <row s="1834" customFormat="1" customHeight="1" ht="21.75">
      <c r="A206" s="1278"/>
      <c r="B206" s="978"/>
      <c r="C206" s="1278"/>
      <c r="D206" s="1278"/>
      <c r="E206" s="703">
        <v>22.5</v>
      </c>
      <c r="F206" s="50" cm="1" t="str">
        <f t="array" ref="F206:F206">OFFSET(E206,-1,1)</f>
        <v>1</v>
      </c>
      <c r="G206" s="1278"/>
      <c r="H206" s="378"/>
      <c r="I206" s="378" t="s">
        <v>2096</v>
      </c>
      <c r="J206" s="1278"/>
      <c r="K206" s="378" t="s">
        <v>2096</v>
      </c>
      <c r="L206" s="980" t="s">
        <v>1660</v>
      </c>
      <c r="M206" s="107"/>
      <c r="N206" s="1278"/>
      <c r="O206" s="1278"/>
      <c r="P206" s="1278"/>
      <c r="Q206" s="158" t="s">
        <v>2947</v>
      </c>
      <c r="R206" s="161" t="s">
        <v>2947</v>
      </c>
      <c r="S206" s="1278"/>
      <c r="T206" s="465" cm="1" t="str">
        <f t="array" ref="T206:T206">T205</f>
        <v>true</v>
      </c>
      <c r="U206" s="1278"/>
      <c r="V206" s="1278"/>
      <c r="W206" s="1278"/>
      <c r="X206" s="1563"/>
      <c r="Y206" s="1278"/>
      <c r="Z206" s="1546"/>
      <c r="AA206" s="1278"/>
      <c r="AB206" s="299" t="s">
        <v>1755</v>
      </c>
      <c r="AC206" s="765" t="s">
        <v>2703</v>
      </c>
      <c r="AD206" s="300" t="s">
        <v>1514</v>
      </c>
      <c r="AE206" s="944">
        <f>AE207+AE208</f>
        <v>0</v>
      </c>
      <c r="AF206" s="944">
        <f>AF207+AF208</f>
        <v>0</v>
      </c>
      <c r="AG206" s="944">
        <f>AG207+AG208</f>
        <v>0</v>
      </c>
      <c r="AH206" s="943">
        <f>AG206-AF206</f>
        <v>0</v>
      </c>
      <c r="AI206" s="7693">
        <f>AI207+AI208</f>
        <v>0</v>
      </c>
      <c r="AJ206" s="7721"/>
      <c r="AK206" s="942"/>
      <c r="AL206" s="942"/>
      <c r="AM206" s="942"/>
      <c r="AN206" s="942"/>
      <c r="AO206" s="942"/>
      <c r="AP206" s="942"/>
      <c r="AQ206" s="942"/>
      <c r="AR206" s="942"/>
      <c r="AS206" s="942"/>
      <c r="AT206" s="942"/>
      <c r="AU206" s="942"/>
      <c r="AV206" s="942"/>
      <c r="AW206" s="942"/>
      <c r="AX206" s="942"/>
      <c r="AY206" s="942"/>
      <c r="AZ206" s="942"/>
      <c r="BA206" s="942"/>
      <c r="BB206" s="942"/>
      <c r="BC206" s="942"/>
      <c r="BD206" s="942"/>
      <c r="BE206" s="942"/>
      <c r="BF206" s="942"/>
      <c r="BG206" s="942"/>
      <c r="BH206" s="942"/>
      <c r="BI206" s="942"/>
      <c r="BJ206" s="942"/>
      <c r="BK206" s="942"/>
      <c r="BL206" s="942"/>
      <c r="BM206" s="942"/>
      <c r="BN206" s="7720"/>
      <c r="BO206" s="7720"/>
      <c r="BP206" s="7720"/>
      <c r="BQ206" s="1278"/>
      <c r="BR206" s="1278"/>
      <c r="BS206" s="1062" t="s">
        <v>2517</v>
      </c>
      <c r="BT206" s="1064"/>
      <c r="BU206" s="1064"/>
      <c r="BV206" s="979"/>
      <c r="BW206" s="979"/>
    </row>
    <row s="1834" customFormat="1" customHeight="1" ht="14.25">
      <c r="A207" s="1278"/>
      <c r="B207" s="978"/>
      <c r="C207" s="1278"/>
      <c r="D207" s="1278"/>
      <c r="E207" s="703">
        <v>15</v>
      </c>
      <c r="F207" s="50" cm="1" t="str">
        <f t="array" ref="F207:F207">OFFSET(E207,-1,1)</f>
        <v>1</v>
      </c>
      <c r="G207" s="158" t="s">
        <v>1889</v>
      </c>
      <c r="H207" s="378"/>
      <c r="I207" s="378" t="s">
        <v>2704</v>
      </c>
      <c r="J207" s="1278"/>
      <c r="K207" s="378" t="s">
        <v>2704</v>
      </c>
      <c r="L207" s="980" t="s">
        <v>1211</v>
      </c>
      <c r="M207" s="107"/>
      <c r="N207" s="1278"/>
      <c r="O207" s="1278"/>
      <c r="P207" s="1278"/>
      <c r="Q207" s="158" t="s">
        <v>2947</v>
      </c>
      <c r="R207" s="161" t="s">
        <v>2947</v>
      </c>
      <c r="S207" s="1278"/>
      <c r="T207" s="465" cm="1" t="str">
        <f t="array" ref="T207:T207">T206</f>
        <v>true</v>
      </c>
      <c r="U207" s="1278"/>
      <c r="V207" s="1278"/>
      <c r="W207" s="1278"/>
      <c r="X207" s="1563"/>
      <c r="Y207" s="1278"/>
      <c r="Z207" s="1546"/>
      <c r="AA207" s="1278"/>
      <c r="AB207" s="299" t="s">
        <v>2705</v>
      </c>
      <c r="AC207" s="768" t="s">
        <v>2518</v>
      </c>
      <c r="AD207" s="771" t="s">
        <v>1514</v>
      </c>
      <c r="AE207" s="7723"/>
      <c r="AF207" s="7723"/>
      <c r="AG207" s="7723"/>
      <c r="AH207" s="943">
        <f>AG207-AF207</f>
        <v>0</v>
      </c>
      <c r="AI207" s="7691"/>
      <c r="AJ207" s="7721"/>
      <c r="AK207" s="942"/>
      <c r="AL207" s="942"/>
      <c r="AM207" s="942"/>
      <c r="AN207" s="942"/>
      <c r="AO207" s="942"/>
      <c r="AP207" s="942"/>
      <c r="AQ207" s="942"/>
      <c r="AR207" s="942"/>
      <c r="AS207" s="942"/>
      <c r="AT207" s="942"/>
      <c r="AU207" s="942"/>
      <c r="AV207" s="942"/>
      <c r="AW207" s="942"/>
      <c r="AX207" s="942"/>
      <c r="AY207" s="942"/>
      <c r="AZ207" s="942"/>
      <c r="BA207" s="942"/>
      <c r="BB207" s="942"/>
      <c r="BC207" s="942"/>
      <c r="BD207" s="942"/>
      <c r="BE207" s="942"/>
      <c r="BF207" s="942"/>
      <c r="BG207" s="942"/>
      <c r="BH207" s="942"/>
      <c r="BI207" s="942"/>
      <c r="BJ207" s="942"/>
      <c r="BK207" s="942"/>
      <c r="BL207" s="942"/>
      <c r="BM207" s="942"/>
      <c r="BN207" s="7720"/>
      <c r="BO207" s="7724" t="str">
        <f>IF(_xlfn.IFERROR(INDEX(ФОТ!$K$26:$L$188,MATCH($F207&amp;"5komm",ФОТ!$K$26:$K$188,0),2),"")=0,"",_xlfn.IFERROR(INDEX(ФОТ!$K$26:$L$188,MATCH($F207&amp;"5komm",ФОТ!$K$26:$K$188,0),2),""))</f>
        <v>по предложению организации в соответствии со штатным расписанием.</v>
      </c>
      <c r="BP207" s="7720"/>
      <c r="BQ207" s="1278"/>
      <c r="BR207" s="1278"/>
      <c r="BS207" s="1062" t="s">
        <v>1915</v>
      </c>
      <c r="BT207" s="1064"/>
      <c r="BU207" s="1064"/>
      <c r="BV207" s="979"/>
      <c r="BW207" s="979"/>
    </row>
    <row s="1834" customFormat="1" customHeight="1" ht="21.75">
      <c r="A208" s="1278"/>
      <c r="B208" s="978"/>
      <c r="C208" s="1278"/>
      <c r="D208" s="1278"/>
      <c r="E208" s="703">
        <v>22.5</v>
      </c>
      <c r="F208" s="50" cm="1" t="str">
        <f t="array" ref="F208:F208">OFFSET(E208,-1,1)</f>
        <v>1</v>
      </c>
      <c r="G208" s="158" t="s">
        <v>1894</v>
      </c>
      <c r="H208" s="378"/>
      <c r="I208" s="378" t="s">
        <v>2706</v>
      </c>
      <c r="J208" s="1278"/>
      <c r="K208" s="378" t="s">
        <v>2706</v>
      </c>
      <c r="L208" s="980" t="s">
        <v>1216</v>
      </c>
      <c r="M208" s="107"/>
      <c r="N208" s="1278"/>
      <c r="O208" s="1278"/>
      <c r="P208" s="1278"/>
      <c r="Q208" s="158" t="s">
        <v>2947</v>
      </c>
      <c r="R208" s="161" t="s">
        <v>2947</v>
      </c>
      <c r="S208" s="1278"/>
      <c r="T208" s="465" cm="1" t="str">
        <f t="array" ref="T208:T208">T207</f>
        <v>true</v>
      </c>
      <c r="U208" s="1278"/>
      <c r="V208" s="1278"/>
      <c r="W208" s="1278"/>
      <c r="X208" s="1563"/>
      <c r="Y208" s="1278"/>
      <c r="Z208" s="1546"/>
      <c r="AA208" s="1278"/>
      <c r="AB208" s="299" t="s">
        <v>2707</v>
      </c>
      <c r="AC208" s="768" t="s">
        <v>2708</v>
      </c>
      <c r="AD208" s="300" t="s">
        <v>1514</v>
      </c>
      <c r="AE208" s="7723">
        <f>AE207*_xlfn.SUMIFS(INDEX(Сценарии!$AE$25:$BF$163,,MATCH(AE$8,Сценарии!$AE$8:$BF$8,0)),Сценарии!$F$25:$F$163,$F208,Сценарии!$G$25:$G$163,"СВФОТ")/100</f>
        <v>0</v>
      </c>
      <c r="AF208" s="7723">
        <f>AF207*_xlfn.SUMIFS(INDEX(Сценарии!$AE$25:$BF$163,,MATCH(AF$8,Сценарии!$AE$8:$BF$8,0)),Сценарии!$F$25:$F$163,$F208,Сценарии!$G$25:$G$163,"СВФОТ")/100</f>
        <v>0</v>
      </c>
      <c r="AG208" s="7723">
        <f>AG207*_xlfn.SUMIFS(INDEX(Сценарии!$AE$25:$BF$163,,MATCH(AG$8,Сценарии!$AE$8:$BF$8,0)),Сценарии!$F$25:$F$163,$F208,Сценарии!$G$25:$G$163,"СВФОТ")/100</f>
        <v>0</v>
      </c>
      <c r="AH208" s="943">
        <f>AG208-AF208</f>
        <v>0</v>
      </c>
      <c r="AI208" s="7691">
        <f>AI207*_xlfn.SUMIFS(INDEX(Сценарии!$AE$25:$BF$163,,MATCH(AG$8,Сценарии!$AE$8:$BF$8,0)),Сценарии!$F$25:$F$163,$F208,Сценарии!$G$25:$G$163,"СВФОТ")/100</f>
        <v>0</v>
      </c>
      <c r="AJ208" s="7721"/>
      <c r="AK208" s="942"/>
      <c r="AL208" s="942"/>
      <c r="AM208" s="942"/>
      <c r="AN208" s="942"/>
      <c r="AO208" s="942"/>
      <c r="AP208" s="942"/>
      <c r="AQ208" s="942"/>
      <c r="AR208" s="942"/>
      <c r="AS208" s="942"/>
      <c r="AT208" s="942"/>
      <c r="AU208" s="942"/>
      <c r="AV208" s="942"/>
      <c r="AW208" s="942"/>
      <c r="AX208" s="942"/>
      <c r="AY208" s="942"/>
      <c r="AZ208" s="942"/>
      <c r="BA208" s="942"/>
      <c r="BB208" s="942"/>
      <c r="BC208" s="942"/>
      <c r="BD208" s="942"/>
      <c r="BE208" s="942"/>
      <c r="BF208" s="942"/>
      <c r="BG208" s="942"/>
      <c r="BH208" s="942"/>
      <c r="BI208" s="942"/>
      <c r="BJ208" s="942"/>
      <c r="BK208" s="942"/>
      <c r="BL208" s="942"/>
      <c r="BM208" s="942"/>
      <c r="BN208" s="7720"/>
      <c r="BO208" s="7724" t="str">
        <f>IF(_xlfn.IFERROR(INDEX(ФОТ!$K$26:$L$188,MATCH($F208&amp;"6komm",ФОТ!$K$26:$K$188,0),2),"")=0,"",_xlfn.IFERROR(INDEX(ФОТ!$K$26:$L$188,MATCH($F208&amp;"6komm",ФОТ!$K$26:$K$188,0),2),""))</f>
        <v>на основании Налогового кодекса РФ (часть вторая) от 05.08.2000 № 117-ФЗ в размере 30%, а также в соответствии с Федеральным законом от 24.07.1998 № 125 – ФЗ (0,20%).</v>
      </c>
      <c r="BP208" s="7720"/>
      <c r="BQ208" s="1278"/>
      <c r="BR208" s="1278"/>
      <c r="BS208" s="1062" t="s">
        <v>2520</v>
      </c>
      <c r="BT208" s="1064"/>
      <c r="BU208" s="1064"/>
      <c r="BV208" s="979"/>
      <c r="BW208" s="979"/>
    </row>
    <row s="1834" customFormat="1" customHeight="1" ht="32.25">
      <c r="A209" s="1278"/>
      <c r="B209" s="978"/>
      <c r="C209" s="1278"/>
      <c r="D209" s="1278"/>
      <c r="E209" s="703">
        <v>33.75</v>
      </c>
      <c r="F209" s="50" cm="1" t="str">
        <f t="array" ref="F209:F209">OFFSET(E209,-1,1)</f>
        <v>1</v>
      </c>
      <c r="G209" s="49" t="s">
        <v>1944</v>
      </c>
      <c r="H209" s="378"/>
      <c r="I209" s="378" t="s">
        <v>2099</v>
      </c>
      <c r="J209" s="1278"/>
      <c r="K209" s="378" t="s">
        <v>2099</v>
      </c>
      <c r="L209" s="980" t="s">
        <v>1662</v>
      </c>
      <c r="M209" s="107"/>
      <c r="N209" s="1278"/>
      <c r="O209" s="1278"/>
      <c r="P209" s="1278"/>
      <c r="Q209" s="158" t="s">
        <v>2947</v>
      </c>
      <c r="R209" s="161" t="s">
        <v>2947</v>
      </c>
      <c r="S209" s="1278"/>
      <c r="T209" s="465" cm="1" t="str">
        <f t="array" ref="T209:T209">T208</f>
        <v>true</v>
      </c>
      <c r="U209" s="1278"/>
      <c r="V209" s="1278"/>
      <c r="W209" s="1278"/>
      <c r="X209" s="1563"/>
      <c r="Y209" s="1278"/>
      <c r="Z209" s="1546"/>
      <c r="AA209" s="1278"/>
      <c r="AB209" s="299" t="s">
        <v>2100</v>
      </c>
      <c r="AC209" s="765" t="s">
        <v>2709</v>
      </c>
      <c r="AD209" s="300" t="s">
        <v>1514</v>
      </c>
      <c r="AE209" s="7723"/>
      <c r="AF209" s="7723"/>
      <c r="AG209" s="7723"/>
      <c r="AH209" s="943">
        <f>AG209-AF209</f>
        <v>0</v>
      </c>
      <c r="AI209" s="7691"/>
      <c r="AJ209" s="7721"/>
      <c r="AK209" s="942"/>
      <c r="AL209" s="942"/>
      <c r="AM209" s="942"/>
      <c r="AN209" s="942"/>
      <c r="AO209" s="942"/>
      <c r="AP209" s="942"/>
      <c r="AQ209" s="942"/>
      <c r="AR209" s="942"/>
      <c r="AS209" s="942"/>
      <c r="AT209" s="942"/>
      <c r="AU209" s="942"/>
      <c r="AV209" s="942"/>
      <c r="AW209" s="942"/>
      <c r="AX209" s="942"/>
      <c r="AY209" s="942"/>
      <c r="AZ209" s="942"/>
      <c r="BA209" s="942"/>
      <c r="BB209" s="942"/>
      <c r="BC209" s="942"/>
      <c r="BD209" s="942"/>
      <c r="BE209" s="942"/>
      <c r="BF209" s="942"/>
      <c r="BG209" s="942"/>
      <c r="BH209" s="942"/>
      <c r="BI209" s="942"/>
      <c r="BJ209" s="942"/>
      <c r="BK209" s="942"/>
      <c r="BL209" s="942"/>
      <c r="BM209" s="942"/>
      <c r="BN209" s="7720"/>
      <c r="BO209" s="7724" t="str">
        <f>IF(_xlfn.IFERROR(INDEX(Административные!$K$26:$L$122,MATCH($F209&amp;"2komm",Административные!$K$26:$K$122,0),2),"")=0,"",_xlfn.IFERROR(INDEX(Административные!$K$26:$L$122,MATCH($F209&amp;"2komm",Административные!$K$26:$K$122,0),2),""))</f>
        <v/>
      </c>
      <c r="BP209" s="7720"/>
      <c r="BQ209" s="1278"/>
      <c r="BR209" s="1278"/>
      <c r="BS209" s="1062" t="s">
        <v>1946</v>
      </c>
      <c r="BT209" s="1064"/>
      <c r="BU209" s="1064"/>
      <c r="BV209" s="979"/>
      <c r="BW209" s="979"/>
    </row>
    <row s="1834" customFormat="1" customHeight="1" ht="14.25">
      <c r="A210" s="1278"/>
      <c r="B210" s="978"/>
      <c r="C210" s="1278"/>
      <c r="D210" s="1278"/>
      <c r="E210" s="703">
        <v>15</v>
      </c>
      <c r="F210" s="50" cm="1" t="str">
        <f t="array" ref="F210:F210">OFFSET(E210,-1,1)</f>
        <v>1</v>
      </c>
      <c r="G210" s="49" t="s">
        <v>1947</v>
      </c>
      <c r="H210" s="378"/>
      <c r="I210" s="378" t="s">
        <v>2103</v>
      </c>
      <c r="J210" s="1278"/>
      <c r="K210" s="378" t="s">
        <v>2103</v>
      </c>
      <c r="L210" s="980" t="s">
        <v>1664</v>
      </c>
      <c r="M210" s="107"/>
      <c r="N210" s="1278"/>
      <c r="O210" s="1278"/>
      <c r="P210" s="1278"/>
      <c r="Q210" s="158" t="s">
        <v>2947</v>
      </c>
      <c r="R210" s="161" t="s">
        <v>2947</v>
      </c>
      <c r="S210" s="1278"/>
      <c r="T210" s="465" cm="1" t="str">
        <f t="array" ref="T210:T210">T209</f>
        <v>true</v>
      </c>
      <c r="U210" s="1278"/>
      <c r="V210" s="1278"/>
      <c r="W210" s="1278"/>
      <c r="X210" s="1563"/>
      <c r="Y210" s="1278"/>
      <c r="Z210" s="1546"/>
      <c r="AA210" s="1278"/>
      <c r="AB210" s="299" t="s">
        <v>2104</v>
      </c>
      <c r="AC210" s="765" t="s">
        <v>2710</v>
      </c>
      <c r="AD210" s="300" t="s">
        <v>1514</v>
      </c>
      <c r="AE210" s="7723"/>
      <c r="AF210" s="7723"/>
      <c r="AG210" s="7723"/>
      <c r="AH210" s="943">
        <f>AG210-AF210</f>
        <v>0</v>
      </c>
      <c r="AI210" s="7691"/>
      <c r="AJ210" s="7721"/>
      <c r="AK210" s="942"/>
      <c r="AL210" s="942"/>
      <c r="AM210" s="942"/>
      <c r="AN210" s="942"/>
      <c r="AO210" s="942"/>
      <c r="AP210" s="942"/>
      <c r="AQ210" s="942"/>
      <c r="AR210" s="942"/>
      <c r="AS210" s="942"/>
      <c r="AT210" s="942"/>
      <c r="AU210" s="942"/>
      <c r="AV210" s="942"/>
      <c r="AW210" s="942"/>
      <c r="AX210" s="942"/>
      <c r="AY210" s="942"/>
      <c r="AZ210" s="942"/>
      <c r="BA210" s="942"/>
      <c r="BB210" s="942"/>
      <c r="BC210" s="942"/>
      <c r="BD210" s="942"/>
      <c r="BE210" s="942"/>
      <c r="BF210" s="942"/>
      <c r="BG210" s="942"/>
      <c r="BH210" s="942"/>
      <c r="BI210" s="942"/>
      <c r="BJ210" s="942"/>
      <c r="BK210" s="942"/>
      <c r="BL210" s="942"/>
      <c r="BM210" s="942"/>
      <c r="BN210" s="7720"/>
      <c r="BO210" s="7724" t="str">
        <f>IF(_xlfn.IFERROR(INDEX(Административные!$K$26:$L$122,MATCH($F210&amp;"3komm",Административные!$K$26:$K$122,0),2),"")=0,"",_xlfn.IFERROR(INDEX(Административные!$K$26:$L$122,MATCH($F210&amp;"3komm",Административные!$K$26:$K$122,0),2),""))</f>
        <v/>
      </c>
      <c r="BP210" s="7720"/>
      <c r="BQ210" s="1278"/>
      <c r="BR210" s="1278"/>
      <c r="BS210" s="1062" t="s">
        <v>1949</v>
      </c>
      <c r="BT210" s="1064"/>
      <c r="BU210" s="1064"/>
      <c r="BV210" s="979"/>
      <c r="BW210" s="979"/>
    </row>
    <row s="1834" customFormat="1" customHeight="1" ht="14.25">
      <c r="A211" s="1278"/>
      <c r="B211" s="978"/>
      <c r="C211" s="1278"/>
      <c r="D211" s="1278"/>
      <c r="E211" s="703">
        <v>15</v>
      </c>
      <c r="F211" s="50" cm="1" t="str">
        <f t="array" ref="F211:F211">OFFSET(E211,-1,1)</f>
        <v>1</v>
      </c>
      <c r="G211" s="49" t="s">
        <v>1950</v>
      </c>
      <c r="H211" s="378"/>
      <c r="I211" s="378" t="s">
        <v>2711</v>
      </c>
      <c r="J211" s="1278"/>
      <c r="K211" s="378" t="s">
        <v>2711</v>
      </c>
      <c r="L211" s="980" t="s">
        <v>1667</v>
      </c>
      <c r="M211" s="107"/>
      <c r="N211" s="1278"/>
      <c r="O211" s="1278"/>
      <c r="P211" s="1278"/>
      <c r="Q211" s="158" t="s">
        <v>2947</v>
      </c>
      <c r="R211" s="161" t="s">
        <v>2947</v>
      </c>
      <c r="S211" s="1278"/>
      <c r="T211" s="465" cm="1" t="str">
        <f t="array" ref="T211:T211">T210</f>
        <v>true</v>
      </c>
      <c r="U211" s="1278"/>
      <c r="V211" s="1278"/>
      <c r="W211" s="1278"/>
      <c r="X211" s="1563"/>
      <c r="Y211" s="1278"/>
      <c r="Z211" s="1546"/>
      <c r="AA211" s="1278"/>
      <c r="AB211" s="299" t="s">
        <v>2712</v>
      </c>
      <c r="AC211" s="765" t="s">
        <v>2713</v>
      </c>
      <c r="AD211" s="300" t="s">
        <v>1514</v>
      </c>
      <c r="AE211" s="7723"/>
      <c r="AF211" s="7723"/>
      <c r="AG211" s="7723"/>
      <c r="AH211" s="943">
        <f>AG211-AF211</f>
        <v>0</v>
      </c>
      <c r="AI211" s="7691"/>
      <c r="AJ211" s="7721"/>
      <c r="AK211" s="942"/>
      <c r="AL211" s="942"/>
      <c r="AM211" s="942"/>
      <c r="AN211" s="942"/>
      <c r="AO211" s="942"/>
      <c r="AP211" s="942"/>
      <c r="AQ211" s="942"/>
      <c r="AR211" s="942"/>
      <c r="AS211" s="942"/>
      <c r="AT211" s="942"/>
      <c r="AU211" s="942"/>
      <c r="AV211" s="942"/>
      <c r="AW211" s="942"/>
      <c r="AX211" s="942"/>
      <c r="AY211" s="942"/>
      <c r="AZ211" s="942"/>
      <c r="BA211" s="942"/>
      <c r="BB211" s="942"/>
      <c r="BC211" s="942"/>
      <c r="BD211" s="942"/>
      <c r="BE211" s="942"/>
      <c r="BF211" s="942"/>
      <c r="BG211" s="942"/>
      <c r="BH211" s="942"/>
      <c r="BI211" s="942"/>
      <c r="BJ211" s="942"/>
      <c r="BK211" s="942"/>
      <c r="BL211" s="942"/>
      <c r="BM211" s="942"/>
      <c r="BN211" s="7720"/>
      <c r="BO211" s="7724" t="str">
        <f>IF(_xlfn.IFERROR(INDEX(Административные!$K$26:$L$122,MATCH($F211&amp;"4komm",Административные!$K$26:$K$122,0),2),"")=0,"",_xlfn.IFERROR(INDEX(Административные!$K$26:$L$122,MATCH($F211&amp;"4komm",Административные!$K$26:$K$122,0),2),""))</f>
        <v>по расчету организации, с периодичностью в соответствии с законодательством, стоимость принята по договорам предыдущей организации, с применением ИПЦ Минэкономразвития России на 2026 год 105,1%.</v>
      </c>
      <c r="BP211" s="7720"/>
      <c r="BQ211" s="1278"/>
      <c r="BR211" s="1278"/>
      <c r="BS211" s="1062" t="s">
        <v>1952</v>
      </c>
      <c r="BT211" s="1064"/>
      <c r="BU211" s="1064"/>
      <c r="BV211" s="979"/>
      <c r="BW211" s="979"/>
    </row>
    <row s="1834" customFormat="1" customHeight="1" ht="14.25">
      <c r="A212" s="1278"/>
      <c r="B212" s="978"/>
      <c r="C212" s="1278"/>
      <c r="D212" s="1278"/>
      <c r="E212" s="703">
        <v>15</v>
      </c>
      <c r="F212" s="50" cm="1" t="str">
        <f t="array" ref="F212:F212">OFFSET(E212,-1,1)</f>
        <v>1</v>
      </c>
      <c r="G212" s="49" t="s">
        <v>1953</v>
      </c>
      <c r="H212" s="378"/>
      <c r="I212" s="378" t="s">
        <v>2714</v>
      </c>
      <c r="J212" s="1278"/>
      <c r="K212" s="378" t="s">
        <v>2714</v>
      </c>
      <c r="L212" s="980" t="s">
        <v>1935</v>
      </c>
      <c r="M212" s="107"/>
      <c r="N212" s="1278"/>
      <c r="O212" s="1278"/>
      <c r="P212" s="1278"/>
      <c r="Q212" s="158" t="s">
        <v>2947</v>
      </c>
      <c r="R212" s="161" t="s">
        <v>2947</v>
      </c>
      <c r="S212" s="1278"/>
      <c r="T212" s="465" cm="1" t="str">
        <f t="array" ref="T212:T212">T211</f>
        <v>true</v>
      </c>
      <c r="U212" s="1278"/>
      <c r="V212" s="1278"/>
      <c r="W212" s="1278"/>
      <c r="X212" s="1563"/>
      <c r="Y212" s="1278"/>
      <c r="Z212" s="1546"/>
      <c r="AA212" s="1278"/>
      <c r="AB212" s="299" t="s">
        <v>2715</v>
      </c>
      <c r="AC212" s="765" t="s">
        <v>2716</v>
      </c>
      <c r="AD212" s="300" t="s">
        <v>1514</v>
      </c>
      <c r="AE212" s="7723"/>
      <c r="AF212" s="7723"/>
      <c r="AG212" s="7723"/>
      <c r="AH212" s="943">
        <f>AG212-AF212</f>
        <v>0</v>
      </c>
      <c r="AI212" s="7691"/>
      <c r="AJ212" s="7721"/>
      <c r="AK212" s="942"/>
      <c r="AL212" s="942"/>
      <c r="AM212" s="942"/>
      <c r="AN212" s="942"/>
      <c r="AO212" s="942"/>
      <c r="AP212" s="942"/>
      <c r="AQ212" s="942"/>
      <c r="AR212" s="942"/>
      <c r="AS212" s="942"/>
      <c r="AT212" s="942"/>
      <c r="AU212" s="942"/>
      <c r="AV212" s="942"/>
      <c r="AW212" s="942"/>
      <c r="AX212" s="942"/>
      <c r="AY212" s="942"/>
      <c r="AZ212" s="942"/>
      <c r="BA212" s="942"/>
      <c r="BB212" s="942"/>
      <c r="BC212" s="942"/>
      <c r="BD212" s="942"/>
      <c r="BE212" s="942"/>
      <c r="BF212" s="942"/>
      <c r="BG212" s="942"/>
      <c r="BH212" s="942"/>
      <c r="BI212" s="942"/>
      <c r="BJ212" s="942"/>
      <c r="BK212" s="942"/>
      <c r="BL212" s="942"/>
      <c r="BM212" s="942"/>
      <c r="BN212" s="7720"/>
      <c r="BO212" s="7724" t="str">
        <f>IF(_xlfn.IFERROR(INDEX(Административные!$K$26:$L$122,MATCH($F212&amp;"5komm",Административные!$K$26:$K$122,0),2),"")=0,"",_xlfn.IFERROR(INDEX(Административные!$K$26:$L$122,MATCH($F212&amp;"5komm",Административные!$K$26:$K$122,0),2),""))</f>
        <v/>
      </c>
      <c r="BP212" s="7720"/>
      <c r="BQ212" s="1278"/>
      <c r="BR212" s="1278"/>
      <c r="BS212" s="1062" t="s">
        <v>2522</v>
      </c>
      <c r="BT212" s="1064"/>
      <c r="BU212" s="1064"/>
      <c r="BV212" s="979"/>
      <c r="BW212" s="979"/>
    </row>
    <row s="1834" customFormat="1" customHeight="1" ht="14.25">
      <c r="A213" s="1278"/>
      <c r="B213" s="978"/>
      <c r="C213" s="1278"/>
      <c r="D213" s="1278"/>
      <c r="E213" s="703">
        <v>15</v>
      </c>
      <c r="F213" s="50" cm="1" t="str">
        <f t="array" ref="F213:F213">OFFSET(E213,-1,1)</f>
        <v>1</v>
      </c>
      <c r="G213" s="49" t="s">
        <v>1956</v>
      </c>
      <c r="H213" s="378"/>
      <c r="I213" s="378" t="s">
        <v>2717</v>
      </c>
      <c r="J213" s="1278"/>
      <c r="K213" s="378" t="s">
        <v>2717</v>
      </c>
      <c r="L213" s="980" t="s">
        <v>1940</v>
      </c>
      <c r="M213" s="107"/>
      <c r="N213" s="1278"/>
      <c r="O213" s="1278"/>
      <c r="P213" s="1278"/>
      <c r="Q213" s="158" t="s">
        <v>2947</v>
      </c>
      <c r="R213" s="161" t="s">
        <v>2947</v>
      </c>
      <c r="S213" s="1278"/>
      <c r="T213" s="465" cm="1" t="str">
        <f t="array" ref="T213:T213">T212</f>
        <v>true</v>
      </c>
      <c r="U213" s="1278"/>
      <c r="V213" s="1278"/>
      <c r="W213" s="1278"/>
      <c r="X213" s="1563"/>
      <c r="Y213" s="1278"/>
      <c r="Z213" s="1546"/>
      <c r="AA213" s="1278"/>
      <c r="AB213" s="299" t="s">
        <v>2718</v>
      </c>
      <c r="AC213" s="765" t="s">
        <v>2719</v>
      </c>
      <c r="AD213" s="300" t="s">
        <v>1514</v>
      </c>
      <c r="AE213" s="943">
        <f>SUM(AE214:AE216)</f>
        <v>0</v>
      </c>
      <c r="AF213" s="943">
        <f>SUM(AF214:AF216)</f>
        <v>0</v>
      </c>
      <c r="AG213" s="943">
        <f>SUM(AG214:AG216)</f>
        <v>0</v>
      </c>
      <c r="AH213" s="943">
        <f>AG213-AF213</f>
        <v>0</v>
      </c>
      <c r="AI213" s="7687">
        <f>SUM(AI214:AI216)</f>
        <v>0</v>
      </c>
      <c r="AJ213" s="7721"/>
      <c r="AK213" s="942"/>
      <c r="AL213" s="942"/>
      <c r="AM213" s="942"/>
      <c r="AN213" s="942"/>
      <c r="AO213" s="942"/>
      <c r="AP213" s="942"/>
      <c r="AQ213" s="942"/>
      <c r="AR213" s="942"/>
      <c r="AS213" s="942"/>
      <c r="AT213" s="942"/>
      <c r="AU213" s="942"/>
      <c r="AV213" s="942"/>
      <c r="AW213" s="942"/>
      <c r="AX213" s="942"/>
      <c r="AY213" s="942"/>
      <c r="AZ213" s="942"/>
      <c r="BA213" s="942"/>
      <c r="BB213" s="942"/>
      <c r="BC213" s="942"/>
      <c r="BD213" s="942"/>
      <c r="BE213" s="942"/>
      <c r="BF213" s="942"/>
      <c r="BG213" s="942"/>
      <c r="BH213" s="942"/>
      <c r="BI213" s="942"/>
      <c r="BJ213" s="942"/>
      <c r="BK213" s="942"/>
      <c r="BL213" s="942"/>
      <c r="BM213" s="942"/>
      <c r="BN213" s="7720"/>
      <c r="BO213" s="7724" t="str">
        <f>IF(_xlfn.IFERROR(INDEX(Административные!$K$26:$L$122,MATCH($F213&amp;"6komm",Административные!$K$26:$K$122,0),2),"")=0,"",_xlfn.IFERROR(INDEX(Административные!$K$26:$L$122,MATCH($F213&amp;"6komm",Административные!$K$26:$K$122,0),2),""))</f>
        <v/>
      </c>
      <c r="BP213" s="7720"/>
      <c r="BQ213" s="1278"/>
      <c r="BR213" s="1278"/>
      <c r="BS213" s="1062" t="s">
        <v>2524</v>
      </c>
      <c r="BT213" s="1064"/>
      <c r="BU213" s="1064"/>
      <c r="BV213" s="979"/>
      <c r="BW213" s="979"/>
    </row>
    <row s="1834" customFormat="1" customHeight="1" ht="14.25">
      <c r="A214" s="1278"/>
      <c r="B214" s="978"/>
      <c r="C214" s="1278"/>
      <c r="D214" s="1278"/>
      <c r="E214" s="703">
        <v>15</v>
      </c>
      <c r="F214" s="50" cm="1" t="str">
        <f t="array" ref="F214:F214">OFFSET(E214,-1,1)</f>
        <v>1</v>
      </c>
      <c r="G214" s="49" t="s">
        <v>1958</v>
      </c>
      <c r="H214" s="378"/>
      <c r="I214" s="378" t="s">
        <v>2720</v>
      </c>
      <c r="J214" s="1278"/>
      <c r="K214" s="378" t="s">
        <v>2720</v>
      </c>
      <c r="L214" s="980" t="s">
        <v>2525</v>
      </c>
      <c r="M214" s="107"/>
      <c r="N214" s="1278"/>
      <c r="O214" s="1278"/>
      <c r="P214" s="1278"/>
      <c r="Q214" s="158" t="s">
        <v>2947</v>
      </c>
      <c r="R214" s="161" t="s">
        <v>2947</v>
      </c>
      <c r="S214" s="1278"/>
      <c r="T214" s="465" cm="1" t="str">
        <f t="array" ref="T214:T214">T213</f>
        <v>true</v>
      </c>
      <c r="U214" s="1278"/>
      <c r="V214" s="1278"/>
      <c r="W214" s="1278"/>
      <c r="X214" s="1563"/>
      <c r="Y214" s="1278"/>
      <c r="Z214" s="1546"/>
      <c r="AA214" s="1278"/>
      <c r="AB214" s="299" t="s">
        <v>2721</v>
      </c>
      <c r="AC214" s="768" t="s">
        <v>2527</v>
      </c>
      <c r="AD214" s="300" t="s">
        <v>1514</v>
      </c>
      <c r="AE214" s="7723"/>
      <c r="AF214" s="7723"/>
      <c r="AG214" s="7723"/>
      <c r="AH214" s="943">
        <f>AG214-AF214</f>
        <v>0</v>
      </c>
      <c r="AI214" s="7691"/>
      <c r="AJ214" s="7721"/>
      <c r="AK214" s="942"/>
      <c r="AL214" s="942"/>
      <c r="AM214" s="942"/>
      <c r="AN214" s="942"/>
      <c r="AO214" s="942"/>
      <c r="AP214" s="942"/>
      <c r="AQ214" s="942"/>
      <c r="AR214" s="942"/>
      <c r="AS214" s="942"/>
      <c r="AT214" s="942"/>
      <c r="AU214" s="942"/>
      <c r="AV214" s="942"/>
      <c r="AW214" s="942"/>
      <c r="AX214" s="942"/>
      <c r="AY214" s="942"/>
      <c r="AZ214" s="942"/>
      <c r="BA214" s="942"/>
      <c r="BB214" s="942"/>
      <c r="BC214" s="942"/>
      <c r="BD214" s="942"/>
      <c r="BE214" s="942"/>
      <c r="BF214" s="942"/>
      <c r="BG214" s="942"/>
      <c r="BH214" s="942"/>
      <c r="BI214" s="942"/>
      <c r="BJ214" s="942"/>
      <c r="BK214" s="942"/>
      <c r="BL214" s="942"/>
      <c r="BM214" s="942"/>
      <c r="BN214" s="7720"/>
      <c r="BO214" s="7724" t="str">
        <f>IF(_xlfn.IFERROR(INDEX(Административные!$K$26:$L$122,MATCH($F214&amp;"7komm",Административные!$K$26:$K$122,0),2),"")=0,"",_xlfn.IFERROR(INDEX(Административные!$K$26:$L$122,MATCH($F214&amp;"7komm",Административные!$K$26:$K$122,0),2),""))</f>
        <v/>
      </c>
      <c r="BP214" s="7720"/>
      <c r="BQ214" s="1278"/>
      <c r="BR214" s="1278"/>
      <c r="BS214" s="1062" t="s">
        <v>2528</v>
      </c>
      <c r="BT214" s="1064"/>
      <c r="BU214" s="1064"/>
      <c r="BV214" s="979"/>
      <c r="BW214" s="979"/>
    </row>
    <row s="1834" customFormat="1" customHeight="1" ht="14.25">
      <c r="A215" s="1278"/>
      <c r="B215" s="978"/>
      <c r="C215" s="1278"/>
      <c r="D215" s="1278"/>
      <c r="E215" s="703">
        <v>15</v>
      </c>
      <c r="F215" s="50" cm="1" t="str">
        <f t="array" ref="F215:F215">OFFSET(E215,-1,1)</f>
        <v>1</v>
      </c>
      <c r="G215" s="49" t="s">
        <v>1961</v>
      </c>
      <c r="H215" s="378"/>
      <c r="I215" s="378" t="s">
        <v>2722</v>
      </c>
      <c r="J215" s="1278"/>
      <c r="K215" s="378" t="s">
        <v>2722</v>
      </c>
      <c r="L215" s="980" t="s">
        <v>2529</v>
      </c>
      <c r="M215" s="107"/>
      <c r="N215" s="1278"/>
      <c r="O215" s="1278"/>
      <c r="P215" s="1278"/>
      <c r="Q215" s="158" t="s">
        <v>2947</v>
      </c>
      <c r="R215" s="161" t="s">
        <v>2947</v>
      </c>
      <c r="S215" s="1278"/>
      <c r="T215" s="465" cm="1" t="str">
        <f t="array" ref="T215:T215">T214</f>
        <v>true</v>
      </c>
      <c r="U215" s="1278"/>
      <c r="V215" s="1278"/>
      <c r="W215" s="1278"/>
      <c r="X215" s="1563"/>
      <c r="Y215" s="1278"/>
      <c r="Z215" s="1546"/>
      <c r="AA215" s="1278"/>
      <c r="AB215" s="299" t="s">
        <v>2723</v>
      </c>
      <c r="AC215" s="768" t="s">
        <v>1962</v>
      </c>
      <c r="AD215" s="300" t="s">
        <v>1514</v>
      </c>
      <c r="AE215" s="7723"/>
      <c r="AF215" s="7723"/>
      <c r="AG215" s="7723"/>
      <c r="AH215" s="943">
        <f>AG215-AF215</f>
        <v>0</v>
      </c>
      <c r="AI215" s="7691"/>
      <c r="AJ215" s="7721"/>
      <c r="AK215" s="942"/>
      <c r="AL215" s="942"/>
      <c r="AM215" s="942"/>
      <c r="AN215" s="942"/>
      <c r="AO215" s="942"/>
      <c r="AP215" s="942"/>
      <c r="AQ215" s="942"/>
      <c r="AR215" s="942"/>
      <c r="AS215" s="942"/>
      <c r="AT215" s="942"/>
      <c r="AU215" s="942"/>
      <c r="AV215" s="942"/>
      <c r="AW215" s="942"/>
      <c r="AX215" s="942"/>
      <c r="AY215" s="942"/>
      <c r="AZ215" s="942"/>
      <c r="BA215" s="942"/>
      <c r="BB215" s="942"/>
      <c r="BC215" s="942"/>
      <c r="BD215" s="942"/>
      <c r="BE215" s="942"/>
      <c r="BF215" s="942"/>
      <c r="BG215" s="942"/>
      <c r="BH215" s="942"/>
      <c r="BI215" s="942"/>
      <c r="BJ215" s="942"/>
      <c r="BK215" s="942"/>
      <c r="BL215" s="942"/>
      <c r="BM215" s="942"/>
      <c r="BN215" s="7720"/>
      <c r="BO215" s="7724" t="str">
        <f>IF(_xlfn.IFERROR(INDEX(Административные!$K$26:$L$122,MATCH($F215&amp;"8komm",Административные!$K$26:$K$122,0),2),"")=0,"",_xlfn.IFERROR(INDEX(Административные!$K$26:$L$122,MATCH($F215&amp;"8komm",Административные!$K$26:$K$122,0),2),""))</f>
        <v/>
      </c>
      <c r="BP215" s="7720"/>
      <c r="BQ215" s="1278"/>
      <c r="BR215" s="1278"/>
      <c r="BS215" s="1062" t="s">
        <v>2531</v>
      </c>
      <c r="BT215" s="1064"/>
      <c r="BU215" s="1064"/>
      <c r="BV215" s="979"/>
      <c r="BW215" s="979"/>
    </row>
    <row s="1834" customFormat="1" customHeight="1" ht="14.25">
      <c r="A216" s="1278"/>
      <c r="B216" s="978"/>
      <c r="C216" s="1278"/>
      <c r="D216" s="1278"/>
      <c r="E216" s="703">
        <v>15</v>
      </c>
      <c r="F216" s="50" cm="1" t="str">
        <f t="array" ref="F216:F216">OFFSET(E216,-1,1)</f>
        <v>1</v>
      </c>
      <c r="G216" s="158" t="s">
        <v>1964</v>
      </c>
      <c r="H216" s="378"/>
      <c r="I216" s="378" t="s">
        <v>2724</v>
      </c>
      <c r="J216" s="1278"/>
      <c r="K216" s="378" t="s">
        <v>2724</v>
      </c>
      <c r="L216" s="980" t="s">
        <v>2532</v>
      </c>
      <c r="M216" s="107"/>
      <c r="N216" s="1278"/>
      <c r="O216" s="1278"/>
      <c r="P216" s="1278"/>
      <c r="Q216" s="158" t="s">
        <v>2947</v>
      </c>
      <c r="R216" s="161" t="s">
        <v>2947</v>
      </c>
      <c r="S216" s="1278"/>
      <c r="T216" s="465" cm="1" t="str">
        <f t="array" ref="T216:T216">T215</f>
        <v>true</v>
      </c>
      <c r="U216" s="1278"/>
      <c r="V216" s="1278"/>
      <c r="W216" s="1278"/>
      <c r="X216" s="1563"/>
      <c r="Y216" s="1278"/>
      <c r="Z216" s="1546"/>
      <c r="AA216" s="1278"/>
      <c r="AB216" s="299" t="s">
        <v>2725</v>
      </c>
      <c r="AC216" s="768" t="s">
        <v>1965</v>
      </c>
      <c r="AD216" s="300" t="s">
        <v>1514</v>
      </c>
      <c r="AE216" s="7723"/>
      <c r="AF216" s="7723"/>
      <c r="AG216" s="7723"/>
      <c r="AH216" s="943">
        <f>AG216-AF216</f>
        <v>0</v>
      </c>
      <c r="AI216" s="7691"/>
      <c r="AJ216" s="1354"/>
      <c r="AK216" s="942"/>
      <c r="AL216" s="942"/>
      <c r="AM216" s="942"/>
      <c r="AN216" s="942"/>
      <c r="AO216" s="942"/>
      <c r="AP216" s="942"/>
      <c r="AQ216" s="942"/>
      <c r="AR216" s="942"/>
      <c r="AS216" s="942"/>
      <c r="AT216" s="942"/>
      <c r="AU216" s="942"/>
      <c r="AV216" s="942"/>
      <c r="AW216" s="942"/>
      <c r="AX216" s="942"/>
      <c r="AY216" s="942"/>
      <c r="AZ216" s="942"/>
      <c r="BA216" s="942"/>
      <c r="BB216" s="942"/>
      <c r="BC216" s="942"/>
      <c r="BD216" s="942"/>
      <c r="BE216" s="942"/>
      <c r="BF216" s="942"/>
      <c r="BG216" s="942"/>
      <c r="BH216" s="942"/>
      <c r="BI216" s="942"/>
      <c r="BJ216" s="942"/>
      <c r="BK216" s="942"/>
      <c r="BL216" s="942"/>
      <c r="BM216" s="942"/>
      <c r="BN216" s="7720"/>
      <c r="BO216" s="7724" t="str">
        <f>IF(_xlfn.IFERROR(INDEX(Административные!$K$26:$L$122,MATCH($F216&amp;"9komm",Административные!$K$26:$K$122,0),2),"")=0,"",_xlfn.IFERROR(INDEX(Административные!$K$26:$L$122,MATCH($F216&amp;"9komm",Административные!$K$26:$K$122,0),2),""))</f>
        <v/>
      </c>
      <c r="BP216" s="7720"/>
      <c r="BQ216" s="1278"/>
      <c r="BR216" s="1278"/>
      <c r="BS216" s="1062" t="s">
        <v>2534</v>
      </c>
      <c r="BT216" s="1064"/>
      <c r="BU216" s="1064"/>
      <c r="BV216" s="979"/>
      <c r="BW216" s="979"/>
    </row>
    <row s="1834" customFormat="1" customHeight="1" ht="21.75">
      <c r="A217" s="1278"/>
      <c r="B217" s="432">
        <f>STATUS_GO="да"</f>
        <v>1</v>
      </c>
      <c r="C217" s="1278"/>
      <c r="D217" s="1278"/>
      <c r="E217" s="703">
        <v>22.5</v>
      </c>
      <c r="F217" s="50" cm="1" t="str">
        <f t="array" ref="F217:F217">OFFSET(E217,-1,1)</f>
        <v>1</v>
      </c>
      <c r="G217" s="1278"/>
      <c r="H217" s="378"/>
      <c r="I217" s="378" t="s">
        <v>1640</v>
      </c>
      <c r="J217" s="1278"/>
      <c r="K217" s="378" t="s">
        <v>1640</v>
      </c>
      <c r="L217" s="980" t="s">
        <v>336</v>
      </c>
      <c r="M217" s="107"/>
      <c r="N217" s="1278"/>
      <c r="O217" s="1278"/>
      <c r="P217" s="1278"/>
      <c r="Q217" s="158" t="s">
        <v>2947</v>
      </c>
      <c r="R217" s="161" t="s">
        <v>2947</v>
      </c>
      <c r="S217" s="1278"/>
      <c r="T217" s="465" cm="1" t="str">
        <f t="array" ref="T217:T217">T216</f>
        <v>true</v>
      </c>
      <c r="U217" s="1278"/>
      <c r="V217" s="1278"/>
      <c r="W217" s="1278"/>
      <c r="X217" s="1563"/>
      <c r="Y217" s="1278"/>
      <c r="Z217" s="1546"/>
      <c r="AA217" s="1278"/>
      <c r="AB217" s="299" t="s">
        <v>1641</v>
      </c>
      <c r="AC217" s="762" t="s">
        <v>2726</v>
      </c>
      <c r="AD217" s="300" t="s">
        <v>1514</v>
      </c>
      <c r="AE217" s="7723"/>
      <c r="AF217" s="7723"/>
      <c r="AG217" s="7723"/>
      <c r="AH217" s="943">
        <f>AG217-AF217</f>
        <v>0</v>
      </c>
      <c r="AI217" s="7691"/>
      <c r="AJ217" s="7721"/>
      <c r="AK217" s="942"/>
      <c r="AL217" s="942"/>
      <c r="AM217" s="942"/>
      <c r="AN217" s="942"/>
      <c r="AO217" s="942"/>
      <c r="AP217" s="942"/>
      <c r="AQ217" s="942"/>
      <c r="AR217" s="942"/>
      <c r="AS217" s="942"/>
      <c r="AT217" s="942"/>
      <c r="AU217" s="942"/>
      <c r="AV217" s="942"/>
      <c r="AW217" s="942"/>
      <c r="AX217" s="942"/>
      <c r="AY217" s="942"/>
      <c r="AZ217" s="942"/>
      <c r="BA217" s="942"/>
      <c r="BB217" s="942"/>
      <c r="BC217" s="942"/>
      <c r="BD217" s="942"/>
      <c r="BE217" s="942"/>
      <c r="BF217" s="942"/>
      <c r="BG217" s="942"/>
      <c r="BH217" s="942"/>
      <c r="BI217" s="942"/>
      <c r="BJ217" s="942"/>
      <c r="BK217" s="942"/>
      <c r="BL217" s="942"/>
      <c r="BM217" s="942"/>
      <c r="BN217" s="7720"/>
      <c r="BO217" s="7720"/>
      <c r="BP217" s="7720"/>
      <c r="BQ217" s="1278"/>
      <c r="BR217" s="1278"/>
      <c r="BS217" s="1063" t="s">
        <v>2536</v>
      </c>
      <c r="BT217" s="1064"/>
      <c r="BU217" s="1064"/>
      <c r="BV217" s="979"/>
      <c r="BW217" s="979"/>
    </row>
    <row s="1834" customFormat="1" customHeight="1" ht="14.25">
      <c r="A218" s="1278"/>
      <c r="B218" s="978"/>
      <c r="C218" s="1278"/>
      <c r="D218" s="1278"/>
      <c r="E218" s="703">
        <v>15</v>
      </c>
      <c r="F218" s="50" cm="1" t="str">
        <f t="array" ref="F218:F218">OFFSET(E218,-1,1)</f>
        <v>1</v>
      </c>
      <c r="G218" s="1278"/>
      <c r="H218" s="378"/>
      <c r="I218" s="378" t="s">
        <v>2475</v>
      </c>
      <c r="J218" s="1278"/>
      <c r="K218" s="378" t="s">
        <v>2475</v>
      </c>
      <c r="L218" s="980"/>
      <c r="M218" s="107"/>
      <c r="N218" s="1278"/>
      <c r="O218" s="1278"/>
      <c r="P218" s="1278"/>
      <c r="Q218" s="158" t="s">
        <v>2947</v>
      </c>
      <c r="R218" s="161" t="s">
        <v>2947</v>
      </c>
      <c r="S218" s="1278"/>
      <c r="T218" s="465" cm="1" t="str">
        <f t="array" ref="T218:T218">T217</f>
        <v>true</v>
      </c>
      <c r="U218" s="1278"/>
      <c r="V218" s="1278"/>
      <c r="W218" s="1278"/>
      <c r="X218" s="1563"/>
      <c r="Y218" s="1278"/>
      <c r="Z218" s="1546"/>
      <c r="AA218" s="1278"/>
      <c r="AB218" s="299" t="s">
        <v>2476</v>
      </c>
      <c r="AC218" s="762" t="s">
        <v>2727</v>
      </c>
      <c r="AD218" s="300" t="s">
        <v>1514</v>
      </c>
      <c r="AE218" s="7723"/>
      <c r="AF218" s="7723"/>
      <c r="AG218" s="7723"/>
      <c r="AH218" s="943">
        <f>AG218-AF218</f>
        <v>0</v>
      </c>
      <c r="AI218" s="7691"/>
      <c r="AJ218" s="7721"/>
      <c r="AK218" s="942"/>
      <c r="AL218" s="942"/>
      <c r="AM218" s="942"/>
      <c r="AN218" s="942"/>
      <c r="AO218" s="942"/>
      <c r="AP218" s="942"/>
      <c r="AQ218" s="942"/>
      <c r="AR218" s="942"/>
      <c r="AS218" s="942"/>
      <c r="AT218" s="942"/>
      <c r="AU218" s="942"/>
      <c r="AV218" s="942"/>
      <c r="AW218" s="942"/>
      <c r="AX218" s="942"/>
      <c r="AY218" s="942"/>
      <c r="AZ218" s="942"/>
      <c r="BA218" s="942"/>
      <c r="BB218" s="942"/>
      <c r="BC218" s="942"/>
      <c r="BD218" s="942"/>
      <c r="BE218" s="942"/>
      <c r="BF218" s="942"/>
      <c r="BG218" s="942"/>
      <c r="BH218" s="942"/>
      <c r="BI218" s="942"/>
      <c r="BJ218" s="942"/>
      <c r="BK218" s="942"/>
      <c r="BL218" s="942"/>
      <c r="BM218" s="942"/>
      <c r="BN218" s="7720"/>
      <c r="BO218" s="7720"/>
      <c r="BP218" s="7720"/>
      <c r="BQ218" s="1278"/>
      <c r="BR218" s="1278"/>
      <c r="BS218" s="1064" t="s">
        <v>2728</v>
      </c>
      <c r="BT218" s="1064"/>
      <c r="BU218" s="1064"/>
      <c r="BV218" s="979"/>
      <c r="BW218" s="979"/>
    </row>
    <row s="7728" customFormat="1" customHeight="1" ht="20.25">
      <c r="A219" s="700"/>
      <c r="B219" s="435"/>
      <c r="C219" s="700"/>
      <c r="D219" s="700"/>
      <c r="E219" s="707">
        <v>21</v>
      </c>
      <c r="F219" s="50" cm="1" t="str">
        <f t="array" ref="F219:F219">OFFSET(E219,-1,1)</f>
        <v>1</v>
      </c>
      <c r="G219" s="700"/>
      <c r="H219" s="378"/>
      <c r="I219" s="378" t="s">
        <v>2479</v>
      </c>
      <c r="J219" s="700"/>
      <c r="K219" s="378" t="s">
        <v>2479</v>
      </c>
      <c r="L219" s="985"/>
      <c r="M219" s="109"/>
      <c r="N219" s="700"/>
      <c r="O219" s="700"/>
      <c r="P219" s="700"/>
      <c r="Q219" s="158" t="s">
        <v>2947</v>
      </c>
      <c r="R219" s="161" t="s">
        <v>2947</v>
      </c>
      <c r="S219" s="700"/>
      <c r="T219" s="465" cm="1" t="str">
        <f t="array" ref="T219:T219">T218</f>
        <v>true</v>
      </c>
      <c r="U219" s="700"/>
      <c r="V219" s="700"/>
      <c r="W219" s="700"/>
      <c r="X219" s="1563"/>
      <c r="Y219" s="700"/>
      <c r="Z219" s="1546"/>
      <c r="AA219" s="700"/>
      <c r="AB219" s="218" t="s">
        <v>2480</v>
      </c>
      <c r="AC219" s="361" t="s">
        <v>2729</v>
      </c>
      <c r="AD219" s="211" t="s">
        <v>1514</v>
      </c>
      <c r="AE219" s="770">
        <f>SUM(AE220:AE221)</f>
        <v>0</v>
      </c>
      <c r="AF219" s="770">
        <f>SUM(AF220:AF221)</f>
        <v>0</v>
      </c>
      <c r="AG219" s="770">
        <f>SUM(AG220:AG221)</f>
        <v>0</v>
      </c>
      <c r="AH219" s="761">
        <f>AG219-AF219</f>
        <v>0</v>
      </c>
      <c r="AI219" s="7697">
        <f>SUM(AI220:AI221)</f>
        <v>0</v>
      </c>
      <c r="AJ219" s="7721"/>
      <c r="AK219" s="764"/>
      <c r="AL219" s="764"/>
      <c r="AM219" s="764"/>
      <c r="AN219" s="764"/>
      <c r="AO219" s="764"/>
      <c r="AP219" s="764"/>
      <c r="AQ219" s="764"/>
      <c r="AR219" s="764"/>
      <c r="AS219" s="764"/>
      <c r="AT219" s="942"/>
      <c r="AU219" s="942"/>
      <c r="AV219" s="764"/>
      <c r="AW219" s="764"/>
      <c r="AX219" s="764"/>
      <c r="AY219" s="764"/>
      <c r="AZ219" s="764"/>
      <c r="BA219" s="764"/>
      <c r="BB219" s="764"/>
      <c r="BC219" s="764"/>
      <c r="BD219" s="764"/>
      <c r="BE219" s="764"/>
      <c r="BF219" s="764"/>
      <c r="BG219" s="764"/>
      <c r="BH219" s="764"/>
      <c r="BI219" s="764"/>
      <c r="BJ219" s="764"/>
      <c r="BK219" s="764"/>
      <c r="BL219" s="764"/>
      <c r="BM219" s="764"/>
      <c r="BN219" s="7722"/>
      <c r="BO219" s="7722"/>
      <c r="BP219" s="7722"/>
      <c r="BQ219" s="700"/>
      <c r="BR219" s="700"/>
      <c r="BS219" s="1070" t="s">
        <v>2730</v>
      </c>
      <c r="BT219" s="1070"/>
      <c r="BU219" s="1070"/>
      <c r="BV219" s="707"/>
      <c r="BW219" s="707"/>
    </row>
    <row s="1834" customFormat="1" customHeight="1" ht="14.25" hidden="1">
      <c r="A220" s="1278"/>
      <c r="B220" s="978"/>
      <c r="C220" s="1278"/>
      <c r="D220" s="1278"/>
      <c r="E220" s="703">
        <v>15</v>
      </c>
      <c r="F220" s="50" cm="1" t="str">
        <f t="array" ref="F220:F220">OFFSET(E220,-1,1)</f>
        <v>1</v>
      </c>
      <c r="G220" s="1278"/>
      <c r="H220" s="1278"/>
      <c r="I220" s="378" t="s">
        <v>2479</v>
      </c>
      <c r="J220" s="158" cm="1" t="str">
        <f t="array" ref="J220:J220">AC220</f>
        <v>0</v>
      </c>
      <c r="K220" s="378" t="s">
        <v>2479</v>
      </c>
      <c r="L220" s="980"/>
      <c r="M220" s="107"/>
      <c r="N220" s="1278"/>
      <c r="O220" s="1278"/>
      <c r="P220" s="1278"/>
      <c r="Q220" s="158" t="s">
        <v>2947</v>
      </c>
      <c r="R220" s="161" t="s">
        <v>2947</v>
      </c>
      <c r="S220" s="1278"/>
      <c r="T220" s="465">
        <f>AND(F220&gt;0,Y220&gt;0)</f>
        <v>0</v>
      </c>
      <c r="U220" s="1278"/>
      <c r="V220" s="1278"/>
      <c r="W220" s="158" t="s">
        <v>174</v>
      </c>
      <c r="X220" s="1563"/>
      <c r="Y220" s="158">
        <v>0</v>
      </c>
      <c r="Z220" s="1546"/>
      <c r="AA220" s="420" t="s">
        <v>175</v>
      </c>
      <c r="AB220" s="300" t="str">
        <f>"1.7."&amp;Y220</f>
        <v>1.7.0</v>
      </c>
      <c r="AC220" s="1243"/>
      <c r="AD220" s="300" t="s">
        <v>1514</v>
      </c>
      <c r="AE220" s="1255"/>
      <c r="AF220" s="1255"/>
      <c r="AG220" s="1255"/>
      <c r="AH220" s="259">
        <f>AG220-AF220</f>
        <v>0</v>
      </c>
      <c r="AI220" s="7699"/>
      <c r="AJ220" s="1255"/>
      <c r="AK220" s="945"/>
      <c r="AL220" s="945"/>
      <c r="AM220" s="945"/>
      <c r="AN220" s="945"/>
      <c r="AO220" s="945"/>
      <c r="AP220" s="945"/>
      <c r="AQ220" s="945"/>
      <c r="AR220" s="945"/>
      <c r="AS220" s="945"/>
      <c r="AT220" s="942"/>
      <c r="AU220" s="945"/>
      <c r="AV220" s="945"/>
      <c r="AW220" s="945"/>
      <c r="AX220" s="945"/>
      <c r="AY220" s="945"/>
      <c r="AZ220" s="945"/>
      <c r="BA220" s="945"/>
      <c r="BB220" s="945"/>
      <c r="BC220" s="945"/>
      <c r="BD220" s="764"/>
      <c r="BE220" s="945"/>
      <c r="BF220" s="945"/>
      <c r="BG220" s="945"/>
      <c r="BH220" s="945"/>
      <c r="BI220" s="945"/>
      <c r="BJ220" s="945"/>
      <c r="BK220" s="945"/>
      <c r="BL220" s="945"/>
      <c r="BM220" s="945"/>
      <c r="BN220" s="1256"/>
      <c r="BO220" s="1256"/>
      <c r="BP220" s="1256"/>
      <c r="BQ220" s="1278"/>
      <c r="BR220" s="1278"/>
      <c r="BS220" s="1064" t="s">
        <v>2730</v>
      </c>
      <c r="BT220" s="1064" t="s">
        <v>2731</v>
      </c>
      <c r="BU220" s="1064" cm="1" t="str">
        <f t="array" ref="BU220:BU220">AC220</f>
        <v>0</v>
      </c>
      <c r="BV220" s="979"/>
      <c r="BW220" s="703" t="b">
        <v>1</v>
      </c>
    </row>
    <row s="1834" customFormat="1" customHeight="1" ht="14.25">
      <c r="A221" s="1278"/>
      <c r="B221" s="978"/>
      <c r="C221" s="1278"/>
      <c r="D221" s="1278"/>
      <c r="E221" s="703">
        <v>15</v>
      </c>
      <c r="F221" s="50" cm="1" t="str">
        <f t="array" ref="F221:F221">OFFSET(E221,-1,1)</f>
        <v>1</v>
      </c>
      <c r="G221" s="364"/>
      <c r="H221" s="1278"/>
      <c r="I221" s="1278"/>
      <c r="J221" s="158" t="s">
        <v>2732</v>
      </c>
      <c r="K221" s="1278"/>
      <c r="L221" s="980"/>
      <c r="M221" s="107"/>
      <c r="N221" s="1278"/>
      <c r="O221" s="1278"/>
      <c r="P221" s="1278"/>
      <c r="Q221" s="1278"/>
      <c r="R221" s="1278"/>
      <c r="S221" s="1278"/>
      <c r="T221" s="465">
        <f>F221&gt;0</f>
        <v>1</v>
      </c>
      <c r="U221" s="1278"/>
      <c r="V221" s="1278"/>
      <c r="W221" s="702" t="s">
        <v>2948</v>
      </c>
      <c r="X221" s="1563"/>
      <c r="Y221" s="1278"/>
      <c r="Z221" s="1546"/>
      <c r="AA221" s="1278"/>
      <c r="AB221" s="775"/>
      <c r="AC221" s="260" t="s">
        <v>178</v>
      </c>
      <c r="AD221" s="776"/>
      <c r="AE221" s="776"/>
      <c r="AF221" s="776"/>
      <c r="AG221" s="776"/>
      <c r="AH221" s="776"/>
      <c r="AI221" s="776"/>
      <c r="AJ221" s="776"/>
      <c r="AK221" s="776"/>
      <c r="AL221" s="776"/>
      <c r="AM221" s="776"/>
      <c r="AN221" s="776"/>
      <c r="AO221" s="776"/>
      <c r="AP221" s="776"/>
      <c r="AQ221" s="776"/>
      <c r="AR221" s="776"/>
      <c r="AS221" s="776"/>
      <c r="AT221" s="776"/>
      <c r="AU221" s="776"/>
      <c r="AV221" s="776"/>
      <c r="AW221" s="776"/>
      <c r="AX221" s="776"/>
      <c r="AY221" s="776"/>
      <c r="AZ221" s="776"/>
      <c r="BA221" s="776"/>
      <c r="BB221" s="776"/>
      <c r="BC221" s="776"/>
      <c r="BD221" s="776"/>
      <c r="BE221" s="776"/>
      <c r="BF221" s="776"/>
      <c r="BG221" s="776"/>
      <c r="BH221" s="776"/>
      <c r="BI221" s="776"/>
      <c r="BJ221" s="776"/>
      <c r="BK221" s="776"/>
      <c r="BL221" s="776"/>
      <c r="BM221" s="776"/>
      <c r="BN221" s="776"/>
      <c r="BO221" s="776"/>
      <c r="BP221" s="777"/>
      <c r="BQ221" s="1278"/>
      <c r="BR221" s="1278"/>
      <c r="BS221" s="1064"/>
      <c r="BT221" s="1064"/>
      <c r="BU221" s="1064"/>
      <c r="BV221" s="703" t="s">
        <v>2731</v>
      </c>
      <c r="BW221" s="979"/>
    </row>
    <row s="7770" customFormat="1" customHeight="1" ht="20.25">
      <c r="A222" s="700"/>
      <c r="B222" s="435"/>
      <c r="C222" s="700"/>
      <c r="D222" s="700"/>
      <c r="E222" s="707">
        <v>21</v>
      </c>
      <c r="F222" s="50" cm="1" t="str">
        <f t="array" ref="F222:F222">OFFSET(E222,-1,1)</f>
        <v>1</v>
      </c>
      <c r="G222" s="700"/>
      <c r="H222" s="158"/>
      <c r="I222" s="158" t="s">
        <v>333</v>
      </c>
      <c r="J222" s="700"/>
      <c r="K222" s="158" t="s">
        <v>333</v>
      </c>
      <c r="L222" s="985"/>
      <c r="M222" s="109"/>
      <c r="N222" s="700"/>
      <c r="O222" s="700"/>
      <c r="P222" s="700"/>
      <c r="Q222" s="700"/>
      <c r="R222" s="700"/>
      <c r="S222" s="700"/>
      <c r="T222" s="465" cm="1" t="str">
        <f t="array" ref="T222:T222">T221</f>
        <v>true</v>
      </c>
      <c r="U222" s="700"/>
      <c r="V222" s="700"/>
      <c r="W222" s="700"/>
      <c r="X222" s="1563"/>
      <c r="Y222" s="700"/>
      <c r="Z222" s="1546"/>
      <c r="AA222" s="700"/>
      <c r="AB222" s="247" t="s">
        <v>285</v>
      </c>
      <c r="AC222" s="212" t="s">
        <v>2733</v>
      </c>
      <c r="AD222" s="234" t="s">
        <v>1514</v>
      </c>
      <c r="AE222" s="213">
        <f>AE223+AE235+AE236++AE247+AE248+AE249+AE251+AE252+AE253+AE254+AE257</f>
        <v>0</v>
      </c>
      <c r="AF222" s="213">
        <f>AF223+AF235+AF236++AF247+AF248+AF249+AF251+AF252+AF253+AF254+AF257</f>
        <v>0</v>
      </c>
      <c r="AG222" s="213">
        <f>AG223+AG235+AG236++AG247+AG248+AG249+AG251+AG252+AG253+AG254+AG257</f>
        <v>0</v>
      </c>
      <c r="AH222" s="761">
        <f>AG222-AF222</f>
        <v>0</v>
      </c>
      <c r="AI222" s="770">
        <f>AI223+AI235+AI236++AI247+AI248+AI249+AI251+AI252+AI253+AI254+AI257</f>
        <v>0</v>
      </c>
      <c r="AJ222" s="770">
        <f>AJ223+AJ235+AJ236++AJ247+AJ248+AJ249+AJ251+AJ252+AJ253+AJ254+AJ257</f>
        <v>16986.5618991215</v>
      </c>
      <c r="AK222" s="770">
        <f>AK223+AK235+AK236++AK247+AK248+AK249+AK251+AK252+AK253+AK254+AK257</f>
        <v>17595.2731447663</v>
      </c>
      <c r="AL222" s="770">
        <f>AL223+AL235+AL236++AL247+AL248+AL249+AL251+AL252+AL253+AL254+AL257</f>
        <v>18238.6332087518</v>
      </c>
      <c r="AM222" s="770">
        <f>AM223+AM235+AM236++AM247+AM248+AM249+AM251+AM252+AM253+AM254+AM257</f>
        <v>19378.3596995881</v>
      </c>
      <c r="AN222" s="770">
        <f>AN223+AN235+AN236++AN247+AN248+AN249+AN251+AN252+AN253+AN254+AN257</f>
        <v>19990.1744943125</v>
      </c>
      <c r="AO222" s="770">
        <f>AO223+AO235+AO236++AO247+AO248+AO249+AO251+AO252+AO253+AO254+AO257</f>
        <v>0</v>
      </c>
      <c r="AP222" s="770">
        <f>AP223+AP235+AP236++AP247+AP248+AP249+AP251+AP252+AP253+AP254+AP257</f>
        <v>0</v>
      </c>
      <c r="AQ222" s="770">
        <f>AQ223+AQ235+AQ236++AQ247+AQ248+AQ249+AQ251+AQ252+AQ253+AQ254+AQ257</f>
        <v>0</v>
      </c>
      <c r="AR222" s="770">
        <f>AR223+AR235+AR236++AR247+AR248+AR249+AR251+AR252+AR253+AR254+AR257</f>
        <v>0</v>
      </c>
      <c r="AS222" s="770">
        <f>AS223+AS235+AS236++AS247+AS248+AS249+AS251+AS252+AS253+AS254+AS257</f>
        <v>0</v>
      </c>
      <c r="AT222" s="770">
        <f>AT223+AT235+AT236++AT247+AT248+AT249+AT251+AT252+AT253+AT254+AT257</f>
        <v>16986.5618991215</v>
      </c>
      <c r="AU222" s="770">
        <f>AU223+AU235+AU236++AU247+AU248+AU249+AU251+AU252+AU253+AU254+AU257</f>
        <v>17595.2731447663</v>
      </c>
      <c r="AV222" s="770">
        <f>AV223+AV235+AV236++AV247+AV248+AV249+AV251+AV252+AV253+AV254+AV257</f>
        <v>18238.6332087518</v>
      </c>
      <c r="AW222" s="770">
        <f>AW223+AW235+AW236++AW247+AW248+AW249+AW251+AW252+AW253+AW254+AW257</f>
        <v>19378.3596995881</v>
      </c>
      <c r="AX222" s="770">
        <f>AX223+AX235+AX236++AX247+AX248+AX249+AX251+AX252+AX253+AX254+AX257</f>
        <v>19990.1744943125</v>
      </c>
      <c r="AY222" s="770">
        <f>AY223+AY235+AY236++AY247+AY248+AY249+AY251+AY252+AY253+AY254+AY257</f>
        <v>0</v>
      </c>
      <c r="AZ222" s="770">
        <f>AZ223+AZ235+AZ236++AZ247+AZ248+AZ249+AZ251+AZ252+AZ253+AZ254+AZ257</f>
        <v>0</v>
      </c>
      <c r="BA222" s="770">
        <f>BA223+BA235+BA236++BA247+BA248+BA249+BA251+BA252+BA253+BA254+BA257</f>
        <v>0</v>
      </c>
      <c r="BB222" s="770">
        <f>BB223+BB235+BB236++BB247+BB248+BB249+BB251+BB252+BB253+BB254+BB257</f>
        <v>0</v>
      </c>
      <c r="BC222" s="770">
        <f>BC223+BC235+BC236++BC247+BC248+BC249+BC251+BC252+BC253+BC254+BC257</f>
        <v>0</v>
      </c>
      <c r="BD222" s="761">
        <f>IF(AI222=0,0,(AT222-AI222)/AI222*100)</f>
        <v>0</v>
      </c>
      <c r="BE222" s="761">
        <f>IF(AT222=0,0,(AU222-AT222)/AT222*100)</f>
        <v>3.58348704852557</v>
      </c>
      <c r="BF222" s="761">
        <f>IF(AU222=0,0,(AV222-AU222)/AU222*100)</f>
        <v>3.65643692309981</v>
      </c>
      <c r="BG222" s="761">
        <f>IF(AV222=0,0,(AW222-AV222)/AV222*100)</f>
        <v>6.24896875654808</v>
      </c>
      <c r="BH222" s="761">
        <f>IF(AW222=0,0,(AX222-AW222)/AW222*100)</f>
        <v>3.15720630749466</v>
      </c>
      <c r="BI222" s="761">
        <f>IF(AX222=0,0,(AY222-AX222)/AX222*100)</f>
        <v>-100</v>
      </c>
      <c r="BJ222" s="761">
        <f>IF(AY222=0,0,(AZ222-AY222)/AY222*100)</f>
        <v>0</v>
      </c>
      <c r="BK222" s="761">
        <f>IF(AZ222=0,0,(BA222-AZ222)/AZ222*100)</f>
        <v>0</v>
      </c>
      <c r="BL222" s="761">
        <f>IF(BA222=0,0,(BB222-BA222)/BA222*100)</f>
        <v>0</v>
      </c>
      <c r="BM222" s="761">
        <f>IF(BB222=0,0,(BC222-BB222)/BB222*100)</f>
        <v>0</v>
      </c>
      <c r="BN222" s="7771"/>
      <c r="BO222" s="7771"/>
      <c r="BP222" s="7771"/>
      <c r="BQ222" s="160"/>
      <c r="BR222" s="700"/>
      <c r="BS222" s="1070" t="s">
        <v>2734</v>
      </c>
      <c r="BT222" s="1070"/>
      <c r="BU222" s="1070"/>
      <c r="BV222" s="707"/>
      <c r="BW222" s="707"/>
    </row>
    <row s="7772" customFormat="1" customHeight="1" ht="21.75">
      <c r="A223" s="700"/>
      <c r="B223" s="435"/>
      <c r="C223" s="700"/>
      <c r="D223" s="700"/>
      <c r="E223" s="707">
        <v>22.5</v>
      </c>
      <c r="F223" s="50" cm="1" t="str">
        <f t="array" ref="F223:F223">OFFSET(E223,-1,1)</f>
        <v>1</v>
      </c>
      <c r="G223" s="700"/>
      <c r="H223" s="158"/>
      <c r="I223" s="158" t="s">
        <v>1193</v>
      </c>
      <c r="J223" s="700"/>
      <c r="K223" s="158" t="s">
        <v>1193</v>
      </c>
      <c r="L223" s="985" t="s">
        <v>1179</v>
      </c>
      <c r="M223" s="109"/>
      <c r="N223" s="700"/>
      <c r="O223" s="700"/>
      <c r="P223" s="700"/>
      <c r="Q223" s="700"/>
      <c r="R223" s="700"/>
      <c r="S223" s="700"/>
      <c r="T223" s="465" cm="1" t="str">
        <f t="array" ref="T223:T223">T222</f>
        <v>true</v>
      </c>
      <c r="U223" s="700"/>
      <c r="V223" s="700"/>
      <c r="W223" s="700"/>
      <c r="X223" s="1563"/>
      <c r="Y223" s="700"/>
      <c r="Z223" s="1546"/>
      <c r="AA223" s="700"/>
      <c r="AB223" s="218" t="s">
        <v>1250</v>
      </c>
      <c r="AC223" s="361" t="s">
        <v>2735</v>
      </c>
      <c r="AD223" s="211" t="s">
        <v>1514</v>
      </c>
      <c r="AE223" s="213">
        <f>SUM(AE224:AE234)</f>
        <v>0</v>
      </c>
      <c r="AF223" s="213">
        <f>SUM(AF224:AF234)</f>
        <v>0</v>
      </c>
      <c r="AG223" s="213">
        <f>SUM(AG224:AG234)</f>
        <v>0</v>
      </c>
      <c r="AH223" s="761">
        <f>AG223-AF223</f>
        <v>0</v>
      </c>
      <c r="AI223" s="213">
        <f>SUM(AI224:AI234)</f>
        <v>0</v>
      </c>
      <c r="AJ223" s="213">
        <f>SUM(AJ224:AJ234)</f>
        <v>0</v>
      </c>
      <c r="AK223" s="213">
        <f>SUM(AK224:AK234)</f>
        <v>0</v>
      </c>
      <c r="AL223" s="213">
        <f>SUM(AL224:AL234)</f>
        <v>0</v>
      </c>
      <c r="AM223" s="213">
        <f>SUM(AM224:AM234)</f>
        <v>0</v>
      </c>
      <c r="AN223" s="213">
        <f>SUM(AN224:AN234)</f>
        <v>0</v>
      </c>
      <c r="AO223" s="213">
        <f>SUM(AO224:AO234)</f>
        <v>0</v>
      </c>
      <c r="AP223" s="213">
        <f>SUM(AP224:AP234)</f>
        <v>0</v>
      </c>
      <c r="AQ223" s="213">
        <f>SUM(AQ224:AQ234)</f>
        <v>0</v>
      </c>
      <c r="AR223" s="213">
        <f>SUM(AR224:AR234)</f>
        <v>0</v>
      </c>
      <c r="AS223" s="213">
        <f>SUM(AS224:AS234)</f>
        <v>0</v>
      </c>
      <c r="AT223" s="213">
        <f>SUM(AT224:AT234)</f>
        <v>0</v>
      </c>
      <c r="AU223" s="213">
        <f>SUM(AU224:AU234)</f>
        <v>0</v>
      </c>
      <c r="AV223" s="213">
        <f>SUM(AV224:AV234)</f>
        <v>0</v>
      </c>
      <c r="AW223" s="213">
        <f>SUM(AW224:AW234)</f>
        <v>0</v>
      </c>
      <c r="AX223" s="213">
        <f>SUM(AX224:AX234)</f>
        <v>0</v>
      </c>
      <c r="AY223" s="213">
        <f>SUM(AY224:AY234)</f>
        <v>0</v>
      </c>
      <c r="AZ223" s="213">
        <f>SUM(AZ224:AZ234)</f>
        <v>0</v>
      </c>
      <c r="BA223" s="213">
        <f>SUM(BA224:BA234)</f>
        <v>0</v>
      </c>
      <c r="BB223" s="213">
        <f>SUM(BB224:BB234)</f>
        <v>0</v>
      </c>
      <c r="BC223" s="213">
        <f>SUM(BC224:BC234)</f>
        <v>0</v>
      </c>
      <c r="BD223" s="761">
        <f>IF(AI223=0,0,(AT223-AI223)/AI223*100)</f>
        <v>0</v>
      </c>
      <c r="BE223" s="761">
        <f>IF(AT223=0,0,(AU223-AT223)/AT223*100)</f>
        <v>0</v>
      </c>
      <c r="BF223" s="761">
        <f>IF(AU223=0,0,(AV223-AU223)/AU223*100)</f>
        <v>0</v>
      </c>
      <c r="BG223" s="761">
        <f>IF(AV223=0,0,(AW223-AV223)/AV223*100)</f>
        <v>0</v>
      </c>
      <c r="BH223" s="761">
        <f>IF(AW223=0,0,(AX223-AW223)/AW223*100)</f>
        <v>0</v>
      </c>
      <c r="BI223" s="761">
        <f>IF(AX223=0,0,(AY223-AX223)/AX223*100)</f>
        <v>0</v>
      </c>
      <c r="BJ223" s="761">
        <f>IF(AY223=0,0,(AZ223-AY223)/AY223*100)</f>
        <v>0</v>
      </c>
      <c r="BK223" s="761">
        <f>IF(AZ223=0,0,(BA223-AZ223)/AZ223*100)</f>
        <v>0</v>
      </c>
      <c r="BL223" s="761">
        <f>IF(BA223=0,0,(BB223-BA223)/BA223*100)</f>
        <v>0</v>
      </c>
      <c r="BM223" s="761">
        <f>IF(BB223=0,0,(BC223-BB223)/BB223*100)</f>
        <v>0</v>
      </c>
      <c r="BN223" s="7436"/>
      <c r="BO223" s="7436"/>
      <c r="BP223" s="7436"/>
      <c r="BQ223" s="700"/>
      <c r="BR223" s="700"/>
      <c r="BS223" s="1070" t="s">
        <v>2736</v>
      </c>
      <c r="BT223" s="1070"/>
      <c r="BU223" s="1070"/>
      <c r="BV223" s="707"/>
      <c r="BW223" s="707"/>
    </row>
    <row s="1834" customFormat="1" customHeight="1" ht="14.25">
      <c r="A224" s="1278"/>
      <c r="B224" s="978"/>
      <c r="C224" s="1278"/>
      <c r="D224" s="1278"/>
      <c r="E224" s="703">
        <v>15</v>
      </c>
      <c r="F224" s="50" cm="1" t="str">
        <f t="array" ref="F224:F224">OFFSET(E224,-1,1)</f>
        <v>1</v>
      </c>
      <c r="G224" s="158" t="s">
        <v>1819</v>
      </c>
      <c r="H224" s="1278"/>
      <c r="I224" s="158" t="s">
        <v>2295</v>
      </c>
      <c r="J224" s="1278"/>
      <c r="K224" s="158" t="s">
        <v>2295</v>
      </c>
      <c r="L224" s="980" t="s">
        <v>2071</v>
      </c>
      <c r="M224" s="107"/>
      <c r="N224" s="1278"/>
      <c r="O224" s="1278"/>
      <c r="P224" s="1278"/>
      <c r="Q224" s="1278"/>
      <c r="R224" s="1278"/>
      <c r="S224" s="1278"/>
      <c r="T224" s="465" cm="1" t="str">
        <f t="array" ref="T224:T224">T223</f>
        <v>true</v>
      </c>
      <c r="U224" s="1278"/>
      <c r="V224" s="1278"/>
      <c r="W224" s="1278"/>
      <c r="X224" s="1563"/>
      <c r="Y224" s="1278"/>
      <c r="Z224" s="1546"/>
      <c r="AA224" s="1278"/>
      <c r="AB224" s="299" t="s">
        <v>1201</v>
      </c>
      <c r="AC224" s="765" t="s">
        <v>2737</v>
      </c>
      <c r="AD224" s="300" t="s">
        <v>1514</v>
      </c>
      <c r="AE224" s="259">
        <f>_xlfn.SUMIFS(Покупка!AE$25:AE$372,Покупка!$F$25:$F$372,$F224,Покупка!$AC$25:$AC$372,$G224)</f>
        <v>0</v>
      </c>
      <c r="AF224" s="259">
        <f>_xlfn.SUMIFS(Покупка!AF$25:AF$372,Покупка!$F$25:$F$372,$F224,Покупка!$AC$25:$AC$372,$G224)</f>
        <v>0</v>
      </c>
      <c r="AG224" s="259">
        <f>_xlfn.SUMIFS(Покупка!AG$25:AG$372,Покупка!$F$25:$F$372,$F224,Покупка!$AC$25:$AC$372,$G224)</f>
        <v>0</v>
      </c>
      <c r="AH224" s="943">
        <f>AG224-AF224</f>
        <v>0</v>
      </c>
      <c r="AI224" s="943">
        <f>_xlfn.SUMIFS(Покупка!AH$25:AH$372,Покупка!$F$25:$F$372,$F224,Покупка!$AC$25:$AC$372,$G224)</f>
        <v>0</v>
      </c>
      <c r="AJ224" s="943">
        <f>_xlfn.SUMIFS(Покупка!AI$25:AI$372,Покупка!$F$25:$F$372,$F224,Покупка!$AC$25:$AC$372,$G224)</f>
        <v>0</v>
      </c>
      <c r="AK224" s="943">
        <f>_xlfn.SUMIFS(Покупка!AJ$25:AJ$372,Покупка!$F$25:$F$372,$F224,Покупка!$AC$25:$AC$372,$G224)</f>
        <v>0</v>
      </c>
      <c r="AL224" s="943">
        <f>_xlfn.SUMIFS(Покупка!AK$25:AK$372,Покупка!$F$25:$F$372,$F224,Покупка!$AC$25:$AC$372,$G224)</f>
        <v>0</v>
      </c>
      <c r="AM224" s="943">
        <f>_xlfn.SUMIFS(Покупка!AL$25:AL$372,Покупка!$F$25:$F$372,$F224,Покупка!$AC$25:$AC$372,$G224)</f>
        <v>0</v>
      </c>
      <c r="AN224" s="943">
        <f>_xlfn.SUMIFS(Покупка!AM$25:AM$372,Покупка!$F$25:$F$372,$F224,Покупка!$AC$25:$AC$372,$G224)</f>
        <v>0</v>
      </c>
      <c r="AO224" s="943">
        <f>_xlfn.SUMIFS(Покупка!AN$25:AN$372,Покупка!$F$25:$F$372,$F224,Покупка!$AC$25:$AC$372,$G224)</f>
        <v>0</v>
      </c>
      <c r="AP224" s="943">
        <f>_xlfn.SUMIFS(Покупка!AO$25:AO$372,Покупка!$F$25:$F$372,$F224,Покупка!$AC$25:$AC$372,$G224)</f>
        <v>0</v>
      </c>
      <c r="AQ224" s="943">
        <f>_xlfn.SUMIFS(Покупка!AP$25:AP$372,Покупка!$F$25:$F$372,$F224,Покупка!$AC$25:$AC$372,$G224)</f>
        <v>0</v>
      </c>
      <c r="AR224" s="943">
        <f>_xlfn.SUMIFS(Покупка!AQ$25:AQ$372,Покупка!$F$25:$F$372,$F224,Покупка!$AC$25:$AC$372,$G224)</f>
        <v>0</v>
      </c>
      <c r="AS224" s="943">
        <f>_xlfn.SUMIFS(Покупка!AR$25:AR$372,Покупка!$F$25:$F$372,$F224,Покупка!$AC$25:$AC$372,$G224)</f>
        <v>0</v>
      </c>
      <c r="AT224" s="943">
        <f>_xlfn.SUMIFS(Покупка!AS$25:AS$372,Покупка!$F$25:$F$372,$F224,Покупка!$AC$25:$AC$372,$G224)</f>
        <v>0</v>
      </c>
      <c r="AU224" s="943">
        <f>_xlfn.SUMIFS(Покупка!AT$25:AT$372,Покупка!$F$25:$F$372,$F224,Покупка!$AC$25:$AC$372,$G224)</f>
        <v>0</v>
      </c>
      <c r="AV224" s="943">
        <f>_xlfn.SUMIFS(Покупка!AU$25:AU$372,Покупка!$F$25:$F$372,$F224,Покупка!$AC$25:$AC$372,$G224)</f>
        <v>0</v>
      </c>
      <c r="AW224" s="943">
        <f>_xlfn.SUMIFS(Покупка!AV$25:AV$372,Покупка!$F$25:$F$372,$F224,Покупка!$AC$25:$AC$372,$G224)</f>
        <v>0</v>
      </c>
      <c r="AX224" s="943">
        <f>_xlfn.SUMIFS(Покупка!AW$25:AW$372,Покупка!$F$25:$F$372,$F224,Покупка!$AC$25:$AC$372,$G224)</f>
        <v>0</v>
      </c>
      <c r="AY224" s="943">
        <f>_xlfn.SUMIFS(Покупка!AX$25:AX$372,Покупка!$F$25:$F$372,$F224,Покупка!$AC$25:$AC$372,$G224)</f>
        <v>0</v>
      </c>
      <c r="AZ224" s="943">
        <f>_xlfn.SUMIFS(Покупка!AY$25:AY$372,Покупка!$F$25:$F$372,$F224,Покупка!$AC$25:$AC$372,$G224)</f>
        <v>0</v>
      </c>
      <c r="BA224" s="943">
        <f>_xlfn.SUMIFS(Покупка!AZ$25:AZ$372,Покупка!$F$25:$F$372,$F224,Покупка!$AC$25:$AC$372,$G224)</f>
        <v>0</v>
      </c>
      <c r="BB224" s="943">
        <f>_xlfn.SUMIFS(Покупка!BA$25:BA$372,Покупка!$F$25:$F$372,$F224,Покупка!$AC$25:$AC$372,$G224)</f>
        <v>0</v>
      </c>
      <c r="BC224" s="943">
        <f>_xlfn.SUMIFS(Покупка!BB$25:BB$372,Покупка!$F$25:$F$372,$F224,Покупка!$AC$25:$AC$372,$G224)</f>
        <v>0</v>
      </c>
      <c r="BD224" s="943">
        <f>IF(AI224=0,0,(AT224-AI224)/AI224*100)</f>
        <v>0</v>
      </c>
      <c r="BE224" s="943">
        <f>IF(AT224=0,0,(AU224-AT224)/AT224*100)</f>
        <v>0</v>
      </c>
      <c r="BF224" s="943">
        <f>IF(AU224=0,0,(AV224-AU224)/AU224*100)</f>
        <v>0</v>
      </c>
      <c r="BG224" s="943">
        <f>IF(AV224=0,0,(AW224-AV224)/AV224*100)</f>
        <v>0</v>
      </c>
      <c r="BH224" s="943">
        <f>IF(AW224=0,0,(AX224-AW224)/AW224*100)</f>
        <v>0</v>
      </c>
      <c r="BI224" s="943">
        <f>IF(AX224=0,0,(AY224-AX224)/AX224*100)</f>
        <v>0</v>
      </c>
      <c r="BJ224" s="943">
        <f>IF(AY224=0,0,(AZ224-AY224)/AY224*100)</f>
        <v>0</v>
      </c>
      <c r="BK224" s="943">
        <f>IF(AZ224=0,0,(BA224-AZ224)/AZ224*100)</f>
        <v>0</v>
      </c>
      <c r="BL224" s="943">
        <f>IF(BA224=0,0,(BB224-BA224)/BA224*100)</f>
        <v>0</v>
      </c>
      <c r="BM224" s="943">
        <f>IF(BB224=0,0,(BC224-BB224)/BB224*100)</f>
        <v>0</v>
      </c>
      <c r="BN224" s="7771"/>
      <c r="BO224" s="7724" t="str">
        <f>IF(_xlfn.IFERROR(INDEX(Покупка!$K$26:$L$372,MATCH($F224&amp;"6komm",Покупка!$K$26:$K$372,0),2),"")=0,"",_xlfn.IFERROR(INDEX(Покупка!$K$26:$L$372,MATCH($F224&amp;"6komm",Покупка!$K$26:$K$372,0),2),""))</f>
        <v/>
      </c>
      <c r="BP224" s="7771"/>
      <c r="BQ224" s="1278"/>
      <c r="BR224" s="1278"/>
      <c r="BS224" s="1064" t="s">
        <v>1820</v>
      </c>
      <c r="BT224" s="1064"/>
      <c r="BU224" s="1064"/>
      <c r="BV224" s="979"/>
      <c r="BW224" s="979"/>
    </row>
    <row s="1834" customFormat="1" customHeight="1" ht="14.25">
      <c r="A225" s="1278"/>
      <c r="B225" s="96"/>
      <c r="C225" s="107"/>
      <c r="D225" s="107"/>
      <c r="E225" s="621">
        <v>15</v>
      </c>
      <c r="F225" s="50" cm="1" t="str">
        <f t="array" ref="F225:F225">OFFSET(E225,-1,1)</f>
        <v>1</v>
      </c>
      <c r="G225" s="107" t="s">
        <v>1841</v>
      </c>
      <c r="H225" s="107"/>
      <c r="I225" s="107" t="s">
        <v>2299</v>
      </c>
      <c r="J225" s="107"/>
      <c r="K225" s="107" t="s">
        <v>2299</v>
      </c>
      <c r="L225" s="980" t="s">
        <v>2075</v>
      </c>
      <c r="M225" s="107"/>
      <c r="N225" s="107"/>
      <c r="O225" s="107"/>
      <c r="P225" s="107"/>
      <c r="Q225" s="107"/>
      <c r="R225" s="107"/>
      <c r="S225" s="107"/>
      <c r="T225" s="465" cm="1" t="str">
        <f t="array" ref="T225:T225">T224</f>
        <v>true</v>
      </c>
      <c r="U225" s="107"/>
      <c r="V225" s="107"/>
      <c r="W225" s="1278"/>
      <c r="X225" s="1563"/>
      <c r="Y225" s="1278"/>
      <c r="Z225" s="1546"/>
      <c r="AA225" s="1278"/>
      <c r="AB225" s="299" t="s">
        <v>2738</v>
      </c>
      <c r="AC225" s="765" t="s">
        <v>2739</v>
      </c>
      <c r="AD225" s="300" t="s">
        <v>1514</v>
      </c>
      <c r="AE225" s="259">
        <f>_xlfn.SUMIFS(Покупка!AE$25:AE$372,Покупка!$F$25:$F$372,$F225,Покупка!$AC$25:$AC$372,$G225)</f>
        <v>0</v>
      </c>
      <c r="AF225" s="259">
        <f>_xlfn.SUMIFS(Покупка!AF$25:AF$372,Покупка!$F$25:$F$372,$F225,Покупка!$AC$25:$AC$372,$G225)</f>
        <v>0</v>
      </c>
      <c r="AG225" s="259">
        <f>_xlfn.SUMIFS(Покупка!AG$25:AG$372,Покупка!$F$25:$F$372,$F225,Покупка!$AC$25:$AC$372,$G225)</f>
        <v>0</v>
      </c>
      <c r="AH225" s="943">
        <f>AG225-AF225</f>
        <v>0</v>
      </c>
      <c r="AI225" s="943">
        <f>_xlfn.SUMIFS(Покупка!AH$25:AH$372,Покупка!$F$25:$F$372,$F225,Покупка!$AC$25:$AC$372,$G225)</f>
        <v>0</v>
      </c>
      <c r="AJ225" s="943">
        <f>_xlfn.SUMIFS(Покупка!AI$25:AI$372,Покупка!$F$25:$F$372,$F225,Покупка!$AC$25:$AC$372,$G225)</f>
        <v>0</v>
      </c>
      <c r="AK225" s="943">
        <f>_xlfn.SUMIFS(Покупка!AJ$25:AJ$372,Покупка!$F$25:$F$372,$F225,Покупка!$AC$25:$AC$372,$G225)</f>
        <v>0</v>
      </c>
      <c r="AL225" s="943">
        <f>_xlfn.SUMIFS(Покупка!AK$25:AK$372,Покупка!$F$25:$F$372,$F225,Покупка!$AC$25:$AC$372,$G225)</f>
        <v>0</v>
      </c>
      <c r="AM225" s="943">
        <f>_xlfn.SUMIFS(Покупка!AL$25:AL$372,Покупка!$F$25:$F$372,$F225,Покупка!$AC$25:$AC$372,$G225)</f>
        <v>0</v>
      </c>
      <c r="AN225" s="943">
        <f>_xlfn.SUMIFS(Покупка!AM$25:AM$372,Покупка!$F$25:$F$372,$F225,Покупка!$AC$25:$AC$372,$G225)</f>
        <v>0</v>
      </c>
      <c r="AO225" s="943">
        <f>_xlfn.SUMIFS(Покупка!AN$25:AN$372,Покупка!$F$25:$F$372,$F225,Покупка!$AC$25:$AC$372,$G225)</f>
        <v>0</v>
      </c>
      <c r="AP225" s="943">
        <f>_xlfn.SUMIFS(Покупка!AO$25:AO$372,Покупка!$F$25:$F$372,$F225,Покупка!$AC$25:$AC$372,$G225)</f>
        <v>0</v>
      </c>
      <c r="AQ225" s="943">
        <f>_xlfn.SUMIFS(Покупка!AP$25:AP$372,Покупка!$F$25:$F$372,$F225,Покупка!$AC$25:$AC$372,$G225)</f>
        <v>0</v>
      </c>
      <c r="AR225" s="943">
        <f>_xlfn.SUMIFS(Покупка!AQ$25:AQ$372,Покупка!$F$25:$F$372,$F225,Покупка!$AC$25:$AC$372,$G225)</f>
        <v>0</v>
      </c>
      <c r="AS225" s="943">
        <f>_xlfn.SUMIFS(Покупка!AR$25:AR$372,Покупка!$F$25:$F$372,$F225,Покупка!$AC$25:$AC$372,$G225)</f>
        <v>0</v>
      </c>
      <c r="AT225" s="943">
        <f>_xlfn.SUMIFS(Покупка!AS$25:AS$372,Покупка!$F$25:$F$372,$F225,Покупка!$AC$25:$AC$372,$G225)</f>
        <v>0</v>
      </c>
      <c r="AU225" s="943">
        <f>_xlfn.SUMIFS(Покупка!AT$25:AT$372,Покупка!$F$25:$F$372,$F225,Покупка!$AC$25:$AC$372,$G225)</f>
        <v>0</v>
      </c>
      <c r="AV225" s="943">
        <f>_xlfn.SUMIFS(Покупка!AU$25:AU$372,Покупка!$F$25:$F$372,$F225,Покупка!$AC$25:$AC$372,$G225)</f>
        <v>0</v>
      </c>
      <c r="AW225" s="943">
        <f>_xlfn.SUMIFS(Покупка!AV$25:AV$372,Покупка!$F$25:$F$372,$F225,Покупка!$AC$25:$AC$372,$G225)</f>
        <v>0</v>
      </c>
      <c r="AX225" s="943">
        <f>_xlfn.SUMIFS(Покупка!AW$25:AW$372,Покупка!$F$25:$F$372,$F225,Покупка!$AC$25:$AC$372,$G225)</f>
        <v>0</v>
      </c>
      <c r="AY225" s="943">
        <f>_xlfn.SUMIFS(Покупка!AX$25:AX$372,Покупка!$F$25:$F$372,$F225,Покупка!$AC$25:$AC$372,$G225)</f>
        <v>0</v>
      </c>
      <c r="AZ225" s="943">
        <f>_xlfn.SUMIFS(Покупка!AY$25:AY$372,Покупка!$F$25:$F$372,$F225,Покупка!$AC$25:$AC$372,$G225)</f>
        <v>0</v>
      </c>
      <c r="BA225" s="943">
        <f>_xlfn.SUMIFS(Покупка!AZ$25:AZ$372,Покупка!$F$25:$F$372,$F225,Покупка!$AC$25:$AC$372,$G225)</f>
        <v>0</v>
      </c>
      <c r="BB225" s="943">
        <f>_xlfn.SUMIFS(Покупка!BA$25:BA$372,Покупка!$F$25:$F$372,$F225,Покупка!$AC$25:$AC$372,$G225)</f>
        <v>0</v>
      </c>
      <c r="BC225" s="943">
        <f>_xlfn.SUMIFS(Покупка!BB$25:BB$372,Покупка!$F$25:$F$372,$F225,Покупка!$AC$25:$AC$372,$G225)</f>
        <v>0</v>
      </c>
      <c r="BD225" s="943">
        <f>IF(AI225=0,0,(AT225-AI225)/AI225*100)</f>
        <v>0</v>
      </c>
      <c r="BE225" s="943">
        <f>IF(AT225=0,0,(AU225-AT225)/AT225*100)</f>
        <v>0</v>
      </c>
      <c r="BF225" s="943">
        <f>IF(AU225=0,0,(AV225-AU225)/AU225*100)</f>
        <v>0</v>
      </c>
      <c r="BG225" s="943">
        <f>IF(AV225=0,0,(AW225-AV225)/AV225*100)</f>
        <v>0</v>
      </c>
      <c r="BH225" s="943">
        <f>IF(AW225=0,0,(AX225-AW225)/AW225*100)</f>
        <v>0</v>
      </c>
      <c r="BI225" s="943">
        <f>IF(AX225=0,0,(AY225-AX225)/AX225*100)</f>
        <v>0</v>
      </c>
      <c r="BJ225" s="943">
        <f>IF(AY225=0,0,(AZ225-AY225)/AY225*100)</f>
        <v>0</v>
      </c>
      <c r="BK225" s="943">
        <f>IF(AZ225=0,0,(BA225-AZ225)/AZ225*100)</f>
        <v>0</v>
      </c>
      <c r="BL225" s="943">
        <f>IF(BA225=0,0,(BB225-BA225)/BA225*100)</f>
        <v>0</v>
      </c>
      <c r="BM225" s="943">
        <f>IF(BB225=0,0,(BC225-BB225)/BB225*100)</f>
        <v>0</v>
      </c>
      <c r="BN225" s="7771"/>
      <c r="BO225" s="7724" t="str">
        <f>IF(_xlfn.IFERROR(INDEX(Покупка!$K$26:$L$372,MATCH($F225&amp;"7komm",Покупка!$K$26:$K$372,0),2),"")=0,"",_xlfn.IFERROR(INDEX(Покупка!$K$26:$L$372,MATCH($F225&amp;"7komm",Покупка!$K$26:$K$372,0),2),""))</f>
        <v/>
      </c>
      <c r="BP225" s="7771"/>
      <c r="BQ225" s="1278"/>
      <c r="BR225" s="1278"/>
      <c r="BS225" s="1064" t="s">
        <v>1842</v>
      </c>
      <c r="BT225" s="1064"/>
      <c r="BU225" s="1064"/>
      <c r="BV225" s="979"/>
      <c r="BW225" s="979"/>
    </row>
    <row s="1834" customFormat="1" customHeight="1" ht="14.25">
      <c r="A226" s="1278"/>
      <c r="B226" s="96"/>
      <c r="C226" s="107"/>
      <c r="D226" s="107"/>
      <c r="E226" s="621">
        <v>15</v>
      </c>
      <c r="F226" s="50" cm="1" t="str">
        <f t="array" ref="F226:F226">OFFSET(E226,-1,1)</f>
        <v>1</v>
      </c>
      <c r="G226" s="107" t="s">
        <v>1793</v>
      </c>
      <c r="H226" s="107"/>
      <c r="I226" s="107" t="s">
        <v>2374</v>
      </c>
      <c r="J226" s="107"/>
      <c r="K226" s="107" t="s">
        <v>2374</v>
      </c>
      <c r="L226" s="980" t="s">
        <v>2244</v>
      </c>
      <c r="M226" s="107"/>
      <c r="N226" s="107"/>
      <c r="O226" s="107"/>
      <c r="P226" s="107"/>
      <c r="Q226" s="107"/>
      <c r="R226" s="107"/>
      <c r="S226" s="107"/>
      <c r="T226" s="465" cm="1" t="str">
        <f t="array" ref="T226:T226">T225</f>
        <v>true</v>
      </c>
      <c r="U226" s="107"/>
      <c r="V226" s="107"/>
      <c r="W226" s="1278"/>
      <c r="X226" s="1563"/>
      <c r="Y226" s="1278"/>
      <c r="Z226" s="1546"/>
      <c r="AA226" s="1278"/>
      <c r="AB226" s="299" t="s">
        <v>2740</v>
      </c>
      <c r="AC226" s="765" t="s">
        <v>2741</v>
      </c>
      <c r="AD226" s="300" t="s">
        <v>1514</v>
      </c>
      <c r="AE226" s="259">
        <f>_xlfn.SUMIFS(Покупка!AE$25:AE$372,Покупка!$F$25:$F$372,$F226,Покупка!$AC$25:$AC$372,$G226)</f>
        <v>0</v>
      </c>
      <c r="AF226" s="259">
        <f>_xlfn.SUMIFS(Покупка!AF$25:AF$372,Покупка!$F$25:$F$372,$F226,Покупка!$AC$25:$AC$372,$G226)</f>
        <v>0</v>
      </c>
      <c r="AG226" s="259">
        <f>_xlfn.SUMIFS(Покупка!AG$25:AG$372,Покупка!$F$25:$F$372,$F226,Покупка!$AC$25:$AC$372,$G226)</f>
        <v>0</v>
      </c>
      <c r="AH226" s="943">
        <f>AG226-AF226</f>
        <v>0</v>
      </c>
      <c r="AI226" s="943">
        <f>_xlfn.SUMIFS(Покупка!AH$25:AH$372,Покупка!$F$25:$F$372,$F226,Покупка!$AC$25:$AC$372,$G226)</f>
        <v>0</v>
      </c>
      <c r="AJ226" s="943">
        <f>_xlfn.SUMIFS(Покупка!AI$25:AI$372,Покупка!$F$25:$F$372,$F226,Покупка!$AC$25:$AC$372,$G226)</f>
        <v>0</v>
      </c>
      <c r="AK226" s="943">
        <f>_xlfn.SUMIFS(Покупка!AJ$25:AJ$372,Покупка!$F$25:$F$372,$F226,Покупка!$AC$25:$AC$372,$G226)</f>
        <v>0</v>
      </c>
      <c r="AL226" s="943">
        <f>_xlfn.SUMIFS(Покупка!AK$25:AK$372,Покупка!$F$25:$F$372,$F226,Покупка!$AC$25:$AC$372,$G226)</f>
        <v>0</v>
      </c>
      <c r="AM226" s="943">
        <f>_xlfn.SUMIFS(Покупка!AL$25:AL$372,Покупка!$F$25:$F$372,$F226,Покупка!$AC$25:$AC$372,$G226)</f>
        <v>0</v>
      </c>
      <c r="AN226" s="943">
        <f>_xlfn.SUMIFS(Покупка!AM$25:AM$372,Покупка!$F$25:$F$372,$F226,Покупка!$AC$25:$AC$372,$G226)</f>
        <v>0</v>
      </c>
      <c r="AO226" s="943">
        <f>_xlfn.SUMIFS(Покупка!AN$25:AN$372,Покупка!$F$25:$F$372,$F226,Покупка!$AC$25:$AC$372,$G226)</f>
        <v>0</v>
      </c>
      <c r="AP226" s="943">
        <f>_xlfn.SUMIFS(Покупка!AO$25:AO$372,Покупка!$F$25:$F$372,$F226,Покупка!$AC$25:$AC$372,$G226)</f>
        <v>0</v>
      </c>
      <c r="AQ226" s="943">
        <f>_xlfn.SUMIFS(Покупка!AP$25:AP$372,Покупка!$F$25:$F$372,$F226,Покупка!$AC$25:$AC$372,$G226)</f>
        <v>0</v>
      </c>
      <c r="AR226" s="943">
        <f>_xlfn.SUMIFS(Покупка!AQ$25:AQ$372,Покупка!$F$25:$F$372,$F226,Покупка!$AC$25:$AC$372,$G226)</f>
        <v>0</v>
      </c>
      <c r="AS226" s="943">
        <f>_xlfn.SUMIFS(Покупка!AR$25:AR$372,Покупка!$F$25:$F$372,$F226,Покупка!$AC$25:$AC$372,$G226)</f>
        <v>0</v>
      </c>
      <c r="AT226" s="943">
        <f>_xlfn.SUMIFS(Покупка!AS$25:AS$372,Покупка!$F$25:$F$372,$F226,Покупка!$AC$25:$AC$372,$G226)</f>
        <v>0</v>
      </c>
      <c r="AU226" s="943">
        <f>_xlfn.SUMIFS(Покупка!AT$25:AT$372,Покупка!$F$25:$F$372,$F226,Покупка!$AC$25:$AC$372,$G226)</f>
        <v>0</v>
      </c>
      <c r="AV226" s="943">
        <f>_xlfn.SUMIFS(Покупка!AU$25:AU$372,Покупка!$F$25:$F$372,$F226,Покупка!$AC$25:$AC$372,$G226)</f>
        <v>0</v>
      </c>
      <c r="AW226" s="943">
        <f>_xlfn.SUMIFS(Покупка!AV$25:AV$372,Покупка!$F$25:$F$372,$F226,Покупка!$AC$25:$AC$372,$G226)</f>
        <v>0</v>
      </c>
      <c r="AX226" s="943">
        <f>_xlfn.SUMIFS(Покупка!AW$25:AW$372,Покупка!$F$25:$F$372,$F226,Покупка!$AC$25:$AC$372,$G226)</f>
        <v>0</v>
      </c>
      <c r="AY226" s="943">
        <f>_xlfn.SUMIFS(Покупка!AX$25:AX$372,Покупка!$F$25:$F$372,$F226,Покупка!$AC$25:$AC$372,$G226)</f>
        <v>0</v>
      </c>
      <c r="AZ226" s="943">
        <f>_xlfn.SUMIFS(Покупка!AY$25:AY$372,Покупка!$F$25:$F$372,$F226,Покупка!$AC$25:$AC$372,$G226)</f>
        <v>0</v>
      </c>
      <c r="BA226" s="943">
        <f>_xlfn.SUMIFS(Покупка!AZ$25:AZ$372,Покупка!$F$25:$F$372,$F226,Покупка!$AC$25:$AC$372,$G226)</f>
        <v>0</v>
      </c>
      <c r="BB226" s="943">
        <f>_xlfn.SUMIFS(Покупка!BA$25:BA$372,Покупка!$F$25:$F$372,$F226,Покупка!$AC$25:$AC$372,$G226)</f>
        <v>0</v>
      </c>
      <c r="BC226" s="943">
        <f>_xlfn.SUMIFS(Покупка!BB$25:BB$372,Покупка!$F$25:$F$372,$F226,Покупка!$AC$25:$AC$372,$G226)</f>
        <v>0</v>
      </c>
      <c r="BD226" s="943">
        <f>IF(AI226=0,0,(AT226-AI226)/AI226*100)</f>
        <v>0</v>
      </c>
      <c r="BE226" s="943">
        <f>IF(AT226=0,0,(AU226-AT226)/AT226*100)</f>
        <v>0</v>
      </c>
      <c r="BF226" s="943">
        <f>IF(AU226=0,0,(AV226-AU226)/AU226*100)</f>
        <v>0</v>
      </c>
      <c r="BG226" s="943">
        <f>IF(AV226=0,0,(AW226-AV226)/AV226*100)</f>
        <v>0</v>
      </c>
      <c r="BH226" s="943">
        <f>IF(AW226=0,0,(AX226-AW226)/AW226*100)</f>
        <v>0</v>
      </c>
      <c r="BI226" s="943">
        <f>IF(AX226=0,0,(AY226-AX226)/AX226*100)</f>
        <v>0</v>
      </c>
      <c r="BJ226" s="943">
        <f>IF(AY226=0,0,(AZ226-AY226)/AY226*100)</f>
        <v>0</v>
      </c>
      <c r="BK226" s="943">
        <f>IF(AZ226=0,0,(BA226-AZ226)/AZ226*100)</f>
        <v>0</v>
      </c>
      <c r="BL226" s="943">
        <f>IF(BA226=0,0,(BB226-BA226)/BA226*100)</f>
        <v>0</v>
      </c>
      <c r="BM226" s="943">
        <f>IF(BB226=0,0,(BC226-BB226)/BB226*100)</f>
        <v>0</v>
      </c>
      <c r="BN226" s="7771"/>
      <c r="BO226" s="7724" t="str">
        <f>IF(_xlfn.IFERROR(INDEX(Покупка!$K$26:$L$372,MATCH($F226&amp;"2komm",Покупка!$K$26:$K$372,0),2),"")=0,"",_xlfn.IFERROR(INDEX(Покупка!$K$26:$L$372,MATCH($F226&amp;"2komm",Покупка!$K$26:$K$372,0),2),""))</f>
        <v/>
      </c>
      <c r="BP226" s="7771"/>
      <c r="BQ226" s="1278"/>
      <c r="BR226" s="1278"/>
      <c r="BS226" s="1064" t="s">
        <v>2742</v>
      </c>
      <c r="BT226" s="1064"/>
      <c r="BU226" s="1064"/>
      <c r="BV226" s="979"/>
      <c r="BW226" s="979"/>
    </row>
    <row s="1834" customFormat="1" customHeight="1" ht="14.25">
      <c r="A227" s="1278"/>
      <c r="B227" s="96"/>
      <c r="C227" s="107"/>
      <c r="D227" s="107"/>
      <c r="E227" s="621">
        <v>15</v>
      </c>
      <c r="F227" s="50" cm="1" t="str">
        <f t="array" ref="F227:F227">OFFSET(E227,-1,1)</f>
        <v>1</v>
      </c>
      <c r="G227" s="107" t="s">
        <v>1780</v>
      </c>
      <c r="H227" s="107"/>
      <c r="I227" s="107" t="s">
        <v>2376</v>
      </c>
      <c r="J227" s="107"/>
      <c r="K227" s="107" t="s">
        <v>2376</v>
      </c>
      <c r="L227" s="980" t="s">
        <v>2239</v>
      </c>
      <c r="M227" s="107"/>
      <c r="N227" s="107"/>
      <c r="O227" s="107"/>
      <c r="P227" s="107"/>
      <c r="Q227" s="107"/>
      <c r="R227" s="107"/>
      <c r="S227" s="107"/>
      <c r="T227" s="465" cm="1" t="str">
        <f t="array" ref="T227:T227">T226</f>
        <v>true</v>
      </c>
      <c r="U227" s="107"/>
      <c r="V227" s="107"/>
      <c r="W227" s="1278"/>
      <c r="X227" s="1563"/>
      <c r="Y227" s="1278"/>
      <c r="Z227" s="1546"/>
      <c r="AA227" s="1278"/>
      <c r="AB227" s="299" t="s">
        <v>2743</v>
      </c>
      <c r="AC227" s="765" t="s">
        <v>2744</v>
      </c>
      <c r="AD227" s="300" t="s">
        <v>1514</v>
      </c>
      <c r="AE227" s="259">
        <f>_xlfn.SUMIFS(Покупка!AE$25:AE$372,Покупка!$F$25:$F$372,$F227,Покупка!$AC$25:$AC$372,$G227)</f>
        <v>0</v>
      </c>
      <c r="AF227" s="259">
        <f>_xlfn.SUMIFS(Покупка!AF$25:AF$372,Покупка!$F$25:$F$372,$F227,Покупка!$AC$25:$AC$372,$G227)</f>
        <v>0</v>
      </c>
      <c r="AG227" s="259">
        <f>_xlfn.SUMIFS(Покупка!AG$25:AG$372,Покупка!$F$25:$F$372,$F227,Покупка!$AC$25:$AC$372,$G227)</f>
        <v>0</v>
      </c>
      <c r="AH227" s="943">
        <f>AG227-AF227</f>
        <v>0</v>
      </c>
      <c r="AI227" s="943">
        <f>_xlfn.SUMIFS(Покупка!AH$25:AH$372,Покупка!$F$25:$F$372,$F227,Покупка!$AC$25:$AC$372,$G227)</f>
        <v>0</v>
      </c>
      <c r="AJ227" s="943">
        <f>_xlfn.SUMIFS(Покупка!AI$25:AI$372,Покупка!$F$25:$F$372,$F227,Покупка!$AC$25:$AC$372,$G227)</f>
        <v>0</v>
      </c>
      <c r="AK227" s="943">
        <f>_xlfn.SUMIFS(Покупка!AJ$25:AJ$372,Покупка!$F$25:$F$372,$F227,Покупка!$AC$25:$AC$372,$G227)</f>
        <v>0</v>
      </c>
      <c r="AL227" s="943">
        <f>_xlfn.SUMIFS(Покупка!AK$25:AK$372,Покупка!$F$25:$F$372,$F227,Покупка!$AC$25:$AC$372,$G227)</f>
        <v>0</v>
      </c>
      <c r="AM227" s="943">
        <f>_xlfn.SUMIFS(Покупка!AL$25:AL$372,Покупка!$F$25:$F$372,$F227,Покупка!$AC$25:$AC$372,$G227)</f>
        <v>0</v>
      </c>
      <c r="AN227" s="943">
        <f>_xlfn.SUMIFS(Покупка!AM$25:AM$372,Покупка!$F$25:$F$372,$F227,Покупка!$AC$25:$AC$372,$G227)</f>
        <v>0</v>
      </c>
      <c r="AO227" s="943">
        <f>_xlfn.SUMIFS(Покупка!AN$25:AN$372,Покупка!$F$25:$F$372,$F227,Покупка!$AC$25:$AC$372,$G227)</f>
        <v>0</v>
      </c>
      <c r="AP227" s="943">
        <f>_xlfn.SUMIFS(Покупка!AO$25:AO$372,Покупка!$F$25:$F$372,$F227,Покупка!$AC$25:$AC$372,$G227)</f>
        <v>0</v>
      </c>
      <c r="AQ227" s="943">
        <f>_xlfn.SUMIFS(Покупка!AP$25:AP$372,Покупка!$F$25:$F$372,$F227,Покупка!$AC$25:$AC$372,$G227)</f>
        <v>0</v>
      </c>
      <c r="AR227" s="943">
        <f>_xlfn.SUMIFS(Покупка!AQ$25:AQ$372,Покупка!$F$25:$F$372,$F227,Покупка!$AC$25:$AC$372,$G227)</f>
        <v>0</v>
      </c>
      <c r="AS227" s="943">
        <f>_xlfn.SUMIFS(Покупка!AR$25:AR$372,Покупка!$F$25:$F$372,$F227,Покупка!$AC$25:$AC$372,$G227)</f>
        <v>0</v>
      </c>
      <c r="AT227" s="943">
        <f>_xlfn.SUMIFS(Покупка!AS$25:AS$372,Покупка!$F$25:$F$372,$F227,Покупка!$AC$25:$AC$372,$G227)</f>
        <v>0</v>
      </c>
      <c r="AU227" s="943">
        <f>_xlfn.SUMIFS(Покупка!AT$25:AT$372,Покупка!$F$25:$F$372,$F227,Покупка!$AC$25:$AC$372,$G227)</f>
        <v>0</v>
      </c>
      <c r="AV227" s="943">
        <f>_xlfn.SUMIFS(Покупка!AU$25:AU$372,Покупка!$F$25:$F$372,$F227,Покупка!$AC$25:$AC$372,$G227)</f>
        <v>0</v>
      </c>
      <c r="AW227" s="943">
        <f>_xlfn.SUMIFS(Покупка!AV$25:AV$372,Покупка!$F$25:$F$372,$F227,Покупка!$AC$25:$AC$372,$G227)</f>
        <v>0</v>
      </c>
      <c r="AX227" s="943">
        <f>_xlfn.SUMIFS(Покупка!AW$25:AW$372,Покупка!$F$25:$F$372,$F227,Покупка!$AC$25:$AC$372,$G227)</f>
        <v>0</v>
      </c>
      <c r="AY227" s="943">
        <f>_xlfn.SUMIFS(Покупка!AX$25:AX$372,Покупка!$F$25:$F$372,$F227,Покупка!$AC$25:$AC$372,$G227)</f>
        <v>0</v>
      </c>
      <c r="AZ227" s="943">
        <f>_xlfn.SUMIFS(Покупка!AY$25:AY$372,Покупка!$F$25:$F$372,$F227,Покупка!$AC$25:$AC$372,$G227)</f>
        <v>0</v>
      </c>
      <c r="BA227" s="943">
        <f>_xlfn.SUMIFS(Покупка!AZ$25:AZ$372,Покупка!$F$25:$F$372,$F227,Покупка!$AC$25:$AC$372,$G227)</f>
        <v>0</v>
      </c>
      <c r="BB227" s="943">
        <f>_xlfn.SUMIFS(Покупка!BA$25:BA$372,Покупка!$F$25:$F$372,$F227,Покупка!$AC$25:$AC$372,$G227)</f>
        <v>0</v>
      </c>
      <c r="BC227" s="943">
        <f>_xlfn.SUMIFS(Покупка!BB$25:BB$372,Покупка!$F$25:$F$372,$F227,Покупка!$AC$25:$AC$372,$G227)</f>
        <v>0</v>
      </c>
      <c r="BD227" s="943">
        <f>IF(AI227=0,0,(AT227-AI227)/AI227*100)</f>
        <v>0</v>
      </c>
      <c r="BE227" s="943">
        <f>IF(AT227=0,0,(AU227-AT227)/AT227*100)</f>
        <v>0</v>
      </c>
      <c r="BF227" s="943">
        <f>IF(AU227=0,0,(AV227-AU227)/AU227*100)</f>
        <v>0</v>
      </c>
      <c r="BG227" s="943">
        <f>IF(AV227=0,0,(AW227-AV227)/AV227*100)</f>
        <v>0</v>
      </c>
      <c r="BH227" s="943">
        <f>IF(AW227=0,0,(AX227-AW227)/AW227*100)</f>
        <v>0</v>
      </c>
      <c r="BI227" s="943">
        <f>IF(AX227=0,0,(AY227-AX227)/AX227*100)</f>
        <v>0</v>
      </c>
      <c r="BJ227" s="943">
        <f>IF(AY227=0,0,(AZ227-AY227)/AY227*100)</f>
        <v>0</v>
      </c>
      <c r="BK227" s="943">
        <f>IF(AZ227=0,0,(BA227-AZ227)/AZ227*100)</f>
        <v>0</v>
      </c>
      <c r="BL227" s="943">
        <f>IF(BA227=0,0,(BB227-BA227)/BA227*100)</f>
        <v>0</v>
      </c>
      <c r="BM227" s="943">
        <f>IF(BB227=0,0,(BC227-BB227)/BB227*100)</f>
        <v>0</v>
      </c>
      <c r="BN227" s="7771"/>
      <c r="BO227" s="7724" t="str">
        <f>IF(_xlfn.IFERROR(INDEX(Покупка!$K$26:$L$372,MATCH($F227&amp;"1komm",Покупка!$K$26:$K$372,0),2),"")=0,"",_xlfn.IFERROR(INDEX(Покупка!$K$26:$L$372,MATCH($F227&amp;"1komm",Покупка!$K$26:$K$372,0),2),""))</f>
        <v/>
      </c>
      <c r="BP227" s="7771"/>
      <c r="BQ227" s="1278"/>
      <c r="BR227" s="1278"/>
      <c r="BS227" s="1064" t="s">
        <v>2745</v>
      </c>
      <c r="BT227" s="1064"/>
      <c r="BU227" s="1064"/>
      <c r="BV227" s="979"/>
      <c r="BW227" s="979"/>
    </row>
    <row s="1834" customFormat="1" customHeight="1" ht="14.25">
      <c r="A228" s="1278"/>
      <c r="B228" s="96"/>
      <c r="C228" s="107"/>
      <c r="D228" s="107"/>
      <c r="E228" s="621">
        <v>15</v>
      </c>
      <c r="F228" s="50" cm="1" t="str">
        <f t="array" ref="F228:F228">OFFSET(E228,-1,1)</f>
        <v>1</v>
      </c>
      <c r="G228" s="107" t="s">
        <v>1847</v>
      </c>
      <c r="H228" s="107"/>
      <c r="I228" s="107" t="s">
        <v>2379</v>
      </c>
      <c r="J228" s="107"/>
      <c r="K228" s="107" t="s">
        <v>2379</v>
      </c>
      <c r="L228" s="980"/>
      <c r="M228" s="107"/>
      <c r="N228" s="107"/>
      <c r="O228" s="107"/>
      <c r="P228" s="107"/>
      <c r="Q228" s="107"/>
      <c r="R228" s="107"/>
      <c r="S228" s="107"/>
      <c r="T228" s="465" cm="1" t="str">
        <f t="array" ref="T228:T228">T227</f>
        <v>true</v>
      </c>
      <c r="U228" s="107"/>
      <c r="V228" s="107"/>
      <c r="W228" s="1278"/>
      <c r="X228" s="1563"/>
      <c r="Y228" s="1278"/>
      <c r="Z228" s="1546"/>
      <c r="AA228" s="1278"/>
      <c r="AB228" s="299" t="s">
        <v>2746</v>
      </c>
      <c r="AC228" s="765" t="s">
        <v>2747</v>
      </c>
      <c r="AD228" s="300" t="s">
        <v>1514</v>
      </c>
      <c r="AE228" s="259">
        <f>_xlfn.SUMIFS(Покупка!AE$25:AE$372,Покупка!$F$25:$F$372,$F228,Покупка!$AC$25:$AC$372,$G228)</f>
        <v>0</v>
      </c>
      <c r="AF228" s="259">
        <f>_xlfn.SUMIFS(Покупка!AF$25:AF$372,Покупка!$F$25:$F$372,$F228,Покупка!$AC$25:$AC$372,$G228)</f>
        <v>0</v>
      </c>
      <c r="AG228" s="259">
        <f>_xlfn.SUMIFS(Покупка!AG$25:AG$372,Покупка!$F$25:$F$372,$F228,Покупка!$AC$25:$AC$372,$G228)</f>
        <v>0</v>
      </c>
      <c r="AH228" s="943">
        <f>AG228-AF228</f>
        <v>0</v>
      </c>
      <c r="AI228" s="943">
        <f>_xlfn.SUMIFS(Покупка!AH$25:AH$372,Покупка!$F$25:$F$372,$F228,Покупка!$AC$25:$AC$372,$G228)</f>
        <v>0</v>
      </c>
      <c r="AJ228" s="943">
        <f>_xlfn.SUMIFS(Покупка!AI$25:AI$372,Покупка!$F$25:$F$372,$F228,Покупка!$AC$25:$AC$372,$G228)</f>
        <v>0</v>
      </c>
      <c r="AK228" s="943">
        <f>_xlfn.SUMIFS(Покупка!AJ$25:AJ$372,Покупка!$F$25:$F$372,$F228,Покупка!$AC$25:$AC$372,$G228)</f>
        <v>0</v>
      </c>
      <c r="AL228" s="943">
        <f>_xlfn.SUMIFS(Покупка!AK$25:AK$372,Покупка!$F$25:$F$372,$F228,Покупка!$AC$25:$AC$372,$G228)</f>
        <v>0</v>
      </c>
      <c r="AM228" s="943">
        <f>_xlfn.SUMIFS(Покупка!AL$25:AL$372,Покупка!$F$25:$F$372,$F228,Покупка!$AC$25:$AC$372,$G228)</f>
        <v>0</v>
      </c>
      <c r="AN228" s="943">
        <f>_xlfn.SUMIFS(Покупка!AM$25:AM$372,Покупка!$F$25:$F$372,$F228,Покупка!$AC$25:$AC$372,$G228)</f>
        <v>0</v>
      </c>
      <c r="AO228" s="943">
        <f>_xlfn.SUMIFS(Покупка!AN$25:AN$372,Покупка!$F$25:$F$372,$F228,Покупка!$AC$25:$AC$372,$G228)</f>
        <v>0</v>
      </c>
      <c r="AP228" s="943">
        <f>_xlfn.SUMIFS(Покупка!AO$25:AO$372,Покупка!$F$25:$F$372,$F228,Покупка!$AC$25:$AC$372,$G228)</f>
        <v>0</v>
      </c>
      <c r="AQ228" s="943">
        <f>_xlfn.SUMIFS(Покупка!AP$25:AP$372,Покупка!$F$25:$F$372,$F228,Покупка!$AC$25:$AC$372,$G228)</f>
        <v>0</v>
      </c>
      <c r="AR228" s="943">
        <f>_xlfn.SUMIFS(Покупка!AQ$25:AQ$372,Покупка!$F$25:$F$372,$F228,Покупка!$AC$25:$AC$372,$G228)</f>
        <v>0</v>
      </c>
      <c r="AS228" s="943">
        <f>_xlfn.SUMIFS(Покупка!AR$25:AR$372,Покупка!$F$25:$F$372,$F228,Покупка!$AC$25:$AC$372,$G228)</f>
        <v>0</v>
      </c>
      <c r="AT228" s="943">
        <f>_xlfn.SUMIFS(Покупка!AS$25:AS$372,Покупка!$F$25:$F$372,$F228,Покупка!$AC$25:$AC$372,$G228)</f>
        <v>0</v>
      </c>
      <c r="AU228" s="943">
        <f>_xlfn.SUMIFS(Покупка!AT$25:AT$372,Покупка!$F$25:$F$372,$F228,Покупка!$AC$25:$AC$372,$G228)</f>
        <v>0</v>
      </c>
      <c r="AV228" s="943">
        <f>_xlfn.SUMIFS(Покупка!AU$25:AU$372,Покупка!$F$25:$F$372,$F228,Покупка!$AC$25:$AC$372,$G228)</f>
        <v>0</v>
      </c>
      <c r="AW228" s="943">
        <f>_xlfn.SUMIFS(Покупка!AV$25:AV$372,Покупка!$F$25:$F$372,$F228,Покупка!$AC$25:$AC$372,$G228)</f>
        <v>0</v>
      </c>
      <c r="AX228" s="943">
        <f>_xlfn.SUMIFS(Покупка!AW$25:AW$372,Покупка!$F$25:$F$372,$F228,Покупка!$AC$25:$AC$372,$G228)</f>
        <v>0</v>
      </c>
      <c r="AY228" s="943">
        <f>_xlfn.SUMIFS(Покупка!AX$25:AX$372,Покупка!$F$25:$F$372,$F228,Покупка!$AC$25:$AC$372,$G228)</f>
        <v>0</v>
      </c>
      <c r="AZ228" s="943">
        <f>_xlfn.SUMIFS(Покупка!AY$25:AY$372,Покупка!$F$25:$F$372,$F228,Покупка!$AC$25:$AC$372,$G228)</f>
        <v>0</v>
      </c>
      <c r="BA228" s="943">
        <f>_xlfn.SUMIFS(Покупка!AZ$25:AZ$372,Покупка!$F$25:$F$372,$F228,Покупка!$AC$25:$AC$372,$G228)</f>
        <v>0</v>
      </c>
      <c r="BB228" s="943">
        <f>_xlfn.SUMIFS(Покупка!BA$25:BA$372,Покупка!$F$25:$F$372,$F228,Покупка!$AC$25:$AC$372,$G228)</f>
        <v>0</v>
      </c>
      <c r="BC228" s="943">
        <f>_xlfn.SUMIFS(Покупка!BB$25:BB$372,Покупка!$F$25:$F$372,$F228,Покупка!$AC$25:$AC$372,$G228)</f>
        <v>0</v>
      </c>
      <c r="BD228" s="943">
        <f>IF(AI228=0,0,(AT228-AI228)/AI228*100)</f>
        <v>0</v>
      </c>
      <c r="BE228" s="943">
        <f>IF(AT228=0,0,(AU228-AT228)/AT228*100)</f>
        <v>0</v>
      </c>
      <c r="BF228" s="943">
        <f>IF(AU228=0,0,(AV228-AU228)/AU228*100)</f>
        <v>0</v>
      </c>
      <c r="BG228" s="943">
        <f>IF(AV228=0,0,(AW228-AV228)/AV228*100)</f>
        <v>0</v>
      </c>
      <c r="BH228" s="943">
        <f>IF(AW228=0,0,(AX228-AW228)/AW228*100)</f>
        <v>0</v>
      </c>
      <c r="BI228" s="943">
        <f>IF(AX228=0,0,(AY228-AX228)/AX228*100)</f>
        <v>0</v>
      </c>
      <c r="BJ228" s="943">
        <f>IF(AY228=0,0,(AZ228-AY228)/AY228*100)</f>
        <v>0</v>
      </c>
      <c r="BK228" s="943">
        <f>IF(AZ228=0,0,(BA228-AZ228)/AZ228*100)</f>
        <v>0</v>
      </c>
      <c r="BL228" s="943">
        <f>IF(BA228=0,0,(BB228-BA228)/BA228*100)</f>
        <v>0</v>
      </c>
      <c r="BM228" s="943">
        <f>IF(BB228=0,0,(BC228-BB228)/BB228*100)</f>
        <v>0</v>
      </c>
      <c r="BN228" s="7771"/>
      <c r="BO228" s="7724" t="str">
        <f>IF(_xlfn.IFERROR(INDEX(Покупка!$K$26:$L$372,MATCH($F228&amp;"8komm",Покупка!$K$26:$K$372,0),2),"")=0,"",_xlfn.IFERROR(INDEX(Покупка!$K$26:$L$372,MATCH($F228&amp;"8komm",Покупка!$K$26:$K$372,0),2),""))</f>
        <v/>
      </c>
      <c r="BP228" s="7771"/>
      <c r="BQ228" s="1278"/>
      <c r="BR228" s="1278"/>
      <c r="BS228" s="1064" t="s">
        <v>1848</v>
      </c>
      <c r="BT228" s="1064"/>
      <c r="BU228" s="1064"/>
      <c r="BV228" s="979"/>
      <c r="BW228" s="979"/>
    </row>
    <row s="1834" customFormat="1" customHeight="1" ht="14.25">
      <c r="A229" s="1278"/>
      <c r="B229" s="96"/>
      <c r="C229" s="107"/>
      <c r="D229" s="107"/>
      <c r="E229" s="621">
        <v>15</v>
      </c>
      <c r="F229" s="50" cm="1" t="str">
        <f t="array" ref="F229:F229">OFFSET(E229,-1,1)</f>
        <v>1</v>
      </c>
      <c r="G229" s="107"/>
      <c r="H229" s="107"/>
      <c r="I229" s="107" t="s">
        <v>2748</v>
      </c>
      <c r="J229" s="107"/>
      <c r="K229" s="107" t="s">
        <v>2748</v>
      </c>
      <c r="L229" s="980"/>
      <c r="M229" s="107"/>
      <c r="N229" s="107"/>
      <c r="O229" s="107"/>
      <c r="P229" s="107"/>
      <c r="Q229" s="107"/>
      <c r="R229" s="107"/>
      <c r="S229" s="107"/>
      <c r="T229" s="465" cm="1" t="str">
        <f t="array" ref="T229:T229">T228</f>
        <v>true</v>
      </c>
      <c r="U229" s="107"/>
      <c r="V229" s="107"/>
      <c r="W229" s="1278"/>
      <c r="X229" s="1563"/>
      <c r="Y229" s="1278"/>
      <c r="Z229" s="1546"/>
      <c r="AA229" s="1278"/>
      <c r="AB229" s="299" t="s">
        <v>2749</v>
      </c>
      <c r="AC229" s="765" t="s">
        <v>2750</v>
      </c>
      <c r="AD229" s="300" t="s">
        <v>1514</v>
      </c>
      <c r="AE229" s="7773"/>
      <c r="AF229" s="7773"/>
      <c r="AG229" s="7773"/>
      <c r="AH229" s="943">
        <f>AG229-AF229</f>
        <v>0</v>
      </c>
      <c r="AI229" s="7723"/>
      <c r="AJ229" s="7723"/>
      <c r="AK229" s="7723"/>
      <c r="AL229" s="7723"/>
      <c r="AM229" s="7723"/>
      <c r="AN229" s="7723"/>
      <c r="AO229" s="1253"/>
      <c r="AP229" s="1253"/>
      <c r="AQ229" s="1253"/>
      <c r="AR229" s="1253"/>
      <c r="AS229" s="1253"/>
      <c r="AT229" s="7723"/>
      <c r="AU229" s="7723"/>
      <c r="AV229" s="7723"/>
      <c r="AW229" s="7723"/>
      <c r="AX229" s="7723"/>
      <c r="AY229" s="1253"/>
      <c r="AZ229" s="1253"/>
      <c r="BA229" s="1253"/>
      <c r="BB229" s="1253"/>
      <c r="BC229" s="1253"/>
      <c r="BD229" s="943">
        <f>IF(AI229=0,0,(AT229-AI229)/AI229*100)</f>
        <v>0</v>
      </c>
      <c r="BE229" s="943">
        <f>IF(AT229=0,0,(AU229-AT229)/AT229*100)</f>
        <v>0</v>
      </c>
      <c r="BF229" s="943">
        <f>IF(AU229=0,0,(AV229-AU229)/AU229*100)</f>
        <v>0</v>
      </c>
      <c r="BG229" s="943">
        <f>IF(AV229=0,0,(AW229-AV229)/AV229*100)</f>
        <v>0</v>
      </c>
      <c r="BH229" s="943">
        <f>IF(AW229=0,0,(AX229-AW229)/AW229*100)</f>
        <v>0</v>
      </c>
      <c r="BI229" s="943">
        <f>IF(AX229=0,0,(AY229-AX229)/AX229*100)</f>
        <v>0</v>
      </c>
      <c r="BJ229" s="943">
        <f>IF(AY229=0,0,(AZ229-AY229)/AY229*100)</f>
        <v>0</v>
      </c>
      <c r="BK229" s="943">
        <f>IF(AZ229=0,0,(BA229-AZ229)/AZ229*100)</f>
        <v>0</v>
      </c>
      <c r="BL229" s="943">
        <f>IF(BA229=0,0,(BB229-BA229)/BA229*100)</f>
        <v>0</v>
      </c>
      <c r="BM229" s="943">
        <f>IF(BB229=0,0,(BC229-BB229)/BB229*100)</f>
        <v>0</v>
      </c>
      <c r="BN229" s="7771"/>
      <c r="BO229" s="7771"/>
      <c r="BP229" s="7771"/>
      <c r="BQ229" s="1278"/>
      <c r="BR229" s="1278"/>
      <c r="BS229" s="1064" t="s">
        <v>2751</v>
      </c>
      <c r="BT229" s="1064"/>
      <c r="BU229" s="1064"/>
      <c r="BV229" s="979"/>
      <c r="BW229" s="979"/>
    </row>
    <row s="1834" customFormat="1" customHeight="1" ht="14.25">
      <c r="A230" s="1278"/>
      <c r="B230" s="96"/>
      <c r="C230" s="107"/>
      <c r="D230" s="107"/>
      <c r="E230" s="621">
        <v>15</v>
      </c>
      <c r="F230" s="50" cm="1" t="str">
        <f t="array" ref="F230:F230">OFFSET(E230,-1,1)</f>
        <v>1</v>
      </c>
      <c r="G230" s="107"/>
      <c r="H230" s="107"/>
      <c r="I230" s="107" t="s">
        <v>2752</v>
      </c>
      <c r="J230" s="107"/>
      <c r="K230" s="107" t="s">
        <v>2752</v>
      </c>
      <c r="L230" s="980"/>
      <c r="M230" s="107"/>
      <c r="N230" s="107"/>
      <c r="O230" s="107"/>
      <c r="P230" s="107"/>
      <c r="Q230" s="107"/>
      <c r="R230" s="107"/>
      <c r="S230" s="107"/>
      <c r="T230" s="465" cm="1" t="str">
        <f t="array" ref="T230:T230">T229</f>
        <v>true</v>
      </c>
      <c r="U230" s="107"/>
      <c r="V230" s="107"/>
      <c r="W230" s="1278"/>
      <c r="X230" s="1563"/>
      <c r="Y230" s="1278"/>
      <c r="Z230" s="1546"/>
      <c r="AA230" s="1278"/>
      <c r="AB230" s="299" t="s">
        <v>2753</v>
      </c>
      <c r="AC230" s="765" t="s">
        <v>2754</v>
      </c>
      <c r="AD230" s="300" t="s">
        <v>1514</v>
      </c>
      <c r="AE230" s="7773"/>
      <c r="AF230" s="7773"/>
      <c r="AG230" s="7773"/>
      <c r="AH230" s="943">
        <f>AG230-AF230</f>
        <v>0</v>
      </c>
      <c r="AI230" s="7723"/>
      <c r="AJ230" s="7723"/>
      <c r="AK230" s="7723"/>
      <c r="AL230" s="7723"/>
      <c r="AM230" s="7723"/>
      <c r="AN230" s="7723"/>
      <c r="AO230" s="1253"/>
      <c r="AP230" s="1253"/>
      <c r="AQ230" s="1253"/>
      <c r="AR230" s="1253"/>
      <c r="AS230" s="1253"/>
      <c r="AT230" s="7723"/>
      <c r="AU230" s="7723"/>
      <c r="AV230" s="7723"/>
      <c r="AW230" s="7723"/>
      <c r="AX230" s="7723"/>
      <c r="AY230" s="1253"/>
      <c r="AZ230" s="1253"/>
      <c r="BA230" s="1253"/>
      <c r="BB230" s="1253"/>
      <c r="BC230" s="1253"/>
      <c r="BD230" s="943">
        <f>IF(AI230=0,0,(AT230-AI230)/AI230*100)</f>
        <v>0</v>
      </c>
      <c r="BE230" s="943">
        <f>IF(AT230=0,0,(AU230-AT230)/AT230*100)</f>
        <v>0</v>
      </c>
      <c r="BF230" s="943">
        <f>IF(AU230=0,0,(AV230-AU230)/AU230*100)</f>
        <v>0</v>
      </c>
      <c r="BG230" s="943">
        <f>IF(AV230=0,0,(AW230-AV230)/AV230*100)</f>
        <v>0</v>
      </c>
      <c r="BH230" s="943">
        <f>IF(AW230=0,0,(AX230-AW230)/AW230*100)</f>
        <v>0</v>
      </c>
      <c r="BI230" s="943">
        <f>IF(AX230=0,0,(AY230-AX230)/AX230*100)</f>
        <v>0</v>
      </c>
      <c r="BJ230" s="943">
        <f>IF(AY230=0,0,(AZ230-AY230)/AY230*100)</f>
        <v>0</v>
      </c>
      <c r="BK230" s="943">
        <f>IF(AZ230=0,0,(BA230-AZ230)/AZ230*100)</f>
        <v>0</v>
      </c>
      <c r="BL230" s="943">
        <f>IF(BA230=0,0,(BB230-BA230)/BA230*100)</f>
        <v>0</v>
      </c>
      <c r="BM230" s="943">
        <f>IF(BB230=0,0,(BC230-BB230)/BB230*100)</f>
        <v>0</v>
      </c>
      <c r="BN230" s="7771"/>
      <c r="BO230" s="7771"/>
      <c r="BP230" s="7771"/>
      <c r="BQ230" s="1278"/>
      <c r="BR230" s="1278"/>
      <c r="BS230" s="1064" t="s">
        <v>2755</v>
      </c>
      <c r="BT230" s="1064"/>
      <c r="BU230" s="1064"/>
      <c r="BV230" s="979"/>
      <c r="BW230" s="979"/>
    </row>
    <row s="1834" customFormat="1" customHeight="1" ht="14.25">
      <c r="A231" s="1278"/>
      <c r="B231" s="96"/>
      <c r="C231" s="107"/>
      <c r="D231" s="107"/>
      <c r="E231" s="621">
        <v>15</v>
      </c>
      <c r="F231" s="50" cm="1" t="str">
        <f t="array" ref="F231:F231">OFFSET(E231,-1,1)</f>
        <v>1</v>
      </c>
      <c r="G231" s="107" t="s">
        <v>1799</v>
      </c>
      <c r="H231" s="107"/>
      <c r="I231" s="107" t="s">
        <v>2756</v>
      </c>
      <c r="J231" s="107"/>
      <c r="K231" s="107" t="s">
        <v>2756</v>
      </c>
      <c r="L231" s="980" t="s">
        <v>2253</v>
      </c>
      <c r="M231" s="107"/>
      <c r="N231" s="107"/>
      <c r="O231" s="107"/>
      <c r="P231" s="107"/>
      <c r="Q231" s="107"/>
      <c r="R231" s="107"/>
      <c r="S231" s="107"/>
      <c r="T231" s="465" cm="1" t="str">
        <f t="array" ref="T231:T231">T230</f>
        <v>true</v>
      </c>
      <c r="U231" s="107"/>
      <c r="V231" s="107"/>
      <c r="W231" s="1278"/>
      <c r="X231" s="1563"/>
      <c r="Y231" s="1278"/>
      <c r="Z231" s="1546"/>
      <c r="AA231" s="1278"/>
      <c r="AB231" s="299" t="s">
        <v>2757</v>
      </c>
      <c r="AC231" s="765" t="s">
        <v>2758</v>
      </c>
      <c r="AD231" s="300" t="s">
        <v>1514</v>
      </c>
      <c r="AE231" s="259">
        <f>_xlfn.SUMIFS(Покупка!AE$25:AE$372,Покупка!$F$25:$F$372,$F231,Покупка!$AC$25:$AC$372,$G231)</f>
        <v>0</v>
      </c>
      <c r="AF231" s="259">
        <f>_xlfn.SUMIFS(Покупка!AF$25:AF$372,Покупка!$F$25:$F$372,$F231,Покупка!$AC$25:$AC$372,$G231)</f>
        <v>0</v>
      </c>
      <c r="AG231" s="259">
        <f>_xlfn.SUMIFS(Покупка!AG$25:AG$372,Покупка!$F$25:$F$372,$F231,Покупка!$AC$25:$AC$372,$G231)</f>
        <v>0</v>
      </c>
      <c r="AH231" s="943">
        <f>AG231-AF231</f>
        <v>0</v>
      </c>
      <c r="AI231" s="943">
        <f>_xlfn.SUMIFS(Покупка!AH$25:AH$372,Покупка!$F$25:$F$372,$F231,Покупка!$AC$25:$AC$372,$G231)</f>
        <v>0</v>
      </c>
      <c r="AJ231" s="943">
        <f>_xlfn.SUMIFS(Покупка!AI$25:AI$372,Покупка!$F$25:$F$372,$F231,Покупка!$AC$25:$AC$372,$G231)</f>
        <v>0</v>
      </c>
      <c r="AK231" s="943">
        <f>_xlfn.SUMIFS(Покупка!AJ$25:AJ$372,Покупка!$F$25:$F$372,$F231,Покупка!$AC$25:$AC$372,$G231)</f>
        <v>0</v>
      </c>
      <c r="AL231" s="943">
        <f>_xlfn.SUMIFS(Покупка!AK$25:AK$372,Покупка!$F$25:$F$372,$F231,Покупка!$AC$25:$AC$372,$G231)</f>
        <v>0</v>
      </c>
      <c r="AM231" s="943">
        <f>_xlfn.SUMIFS(Покупка!AL$25:AL$372,Покупка!$F$25:$F$372,$F231,Покупка!$AC$25:$AC$372,$G231)</f>
        <v>0</v>
      </c>
      <c r="AN231" s="943">
        <f>_xlfn.SUMIFS(Покупка!AM$25:AM$372,Покупка!$F$25:$F$372,$F231,Покупка!$AC$25:$AC$372,$G231)</f>
        <v>0</v>
      </c>
      <c r="AO231" s="943">
        <f>_xlfn.SUMIFS(Покупка!AN$25:AN$372,Покупка!$F$25:$F$372,$F231,Покупка!$AC$25:$AC$372,$G231)</f>
        <v>0</v>
      </c>
      <c r="AP231" s="943">
        <f>_xlfn.SUMIFS(Покупка!AO$25:AO$372,Покупка!$F$25:$F$372,$F231,Покупка!$AC$25:$AC$372,$G231)</f>
        <v>0</v>
      </c>
      <c r="AQ231" s="943">
        <f>_xlfn.SUMIFS(Покупка!AP$25:AP$372,Покупка!$F$25:$F$372,$F231,Покупка!$AC$25:$AC$372,$G231)</f>
        <v>0</v>
      </c>
      <c r="AR231" s="943">
        <f>_xlfn.SUMIFS(Покупка!AQ$25:AQ$372,Покупка!$F$25:$F$372,$F231,Покупка!$AC$25:$AC$372,$G231)</f>
        <v>0</v>
      </c>
      <c r="AS231" s="943">
        <f>_xlfn.SUMIFS(Покупка!AR$25:AR$372,Покупка!$F$25:$F$372,$F231,Покупка!$AC$25:$AC$372,$G231)</f>
        <v>0</v>
      </c>
      <c r="AT231" s="943">
        <f>_xlfn.SUMIFS(Покупка!AS$25:AS$372,Покупка!$F$25:$F$372,$F231,Покупка!$AC$25:$AC$372,$G231)</f>
        <v>0</v>
      </c>
      <c r="AU231" s="943">
        <f>_xlfn.SUMIFS(Покупка!AT$25:AT$372,Покупка!$F$25:$F$372,$F231,Покупка!$AC$25:$AC$372,$G231)</f>
        <v>0</v>
      </c>
      <c r="AV231" s="943">
        <f>_xlfn.SUMIFS(Покупка!AU$25:AU$372,Покупка!$F$25:$F$372,$F231,Покупка!$AC$25:$AC$372,$G231)</f>
        <v>0</v>
      </c>
      <c r="AW231" s="943">
        <f>_xlfn.SUMIFS(Покупка!AV$25:AV$372,Покупка!$F$25:$F$372,$F231,Покупка!$AC$25:$AC$372,$G231)</f>
        <v>0</v>
      </c>
      <c r="AX231" s="943">
        <f>_xlfn.SUMIFS(Покупка!AW$25:AW$372,Покупка!$F$25:$F$372,$F231,Покупка!$AC$25:$AC$372,$G231)</f>
        <v>0</v>
      </c>
      <c r="AY231" s="943">
        <f>_xlfn.SUMIFS(Покупка!AX$25:AX$372,Покупка!$F$25:$F$372,$F231,Покупка!$AC$25:$AC$372,$G231)</f>
        <v>0</v>
      </c>
      <c r="AZ231" s="943">
        <f>_xlfn.SUMIFS(Покупка!AY$25:AY$372,Покупка!$F$25:$F$372,$F231,Покупка!$AC$25:$AC$372,$G231)</f>
        <v>0</v>
      </c>
      <c r="BA231" s="943">
        <f>_xlfn.SUMIFS(Покупка!AZ$25:AZ$372,Покупка!$F$25:$F$372,$F231,Покупка!$AC$25:$AC$372,$G231)</f>
        <v>0</v>
      </c>
      <c r="BB231" s="943">
        <f>_xlfn.SUMIFS(Покупка!BA$25:BA$372,Покупка!$F$25:$F$372,$F231,Покупка!$AC$25:$AC$372,$G231)</f>
        <v>0</v>
      </c>
      <c r="BC231" s="943">
        <f>_xlfn.SUMIFS(Покупка!BB$25:BB$372,Покупка!$F$25:$F$372,$F231,Покупка!$AC$25:$AC$372,$G231)</f>
        <v>0</v>
      </c>
      <c r="BD231" s="943">
        <f>IF(AI231=0,0,(AT231-AI231)/AI231*100)</f>
        <v>0</v>
      </c>
      <c r="BE231" s="943">
        <f>IF(AT231=0,0,(AU231-AT231)/AT231*100)</f>
        <v>0</v>
      </c>
      <c r="BF231" s="943">
        <f>IF(AU231=0,0,(AV231-AU231)/AU231*100)</f>
        <v>0</v>
      </c>
      <c r="BG231" s="943">
        <f>IF(AV231=0,0,(AW231-AV231)/AV231*100)</f>
        <v>0</v>
      </c>
      <c r="BH231" s="943">
        <f>IF(AW231=0,0,(AX231-AW231)/AW231*100)</f>
        <v>0</v>
      </c>
      <c r="BI231" s="943">
        <f>IF(AX231=0,0,(AY231-AX231)/AX231*100)</f>
        <v>0</v>
      </c>
      <c r="BJ231" s="943">
        <f>IF(AY231=0,0,(AZ231-AY231)/AY231*100)</f>
        <v>0</v>
      </c>
      <c r="BK231" s="943">
        <f>IF(AZ231=0,0,(BA231-AZ231)/AZ231*100)</f>
        <v>0</v>
      </c>
      <c r="BL231" s="943">
        <f>IF(BA231=0,0,(BB231-BA231)/BA231*100)</f>
        <v>0</v>
      </c>
      <c r="BM231" s="943">
        <f>IF(BB231=0,0,(BC231-BB231)/BB231*100)</f>
        <v>0</v>
      </c>
      <c r="BN231" s="7771"/>
      <c r="BO231" s="7724" t="str">
        <f>IF(_xlfn.IFERROR(INDEX(Покупка!$K$26:$L$372,MATCH($F231&amp;"3komm",Покупка!$K$26:$K$372,0),2),"")=0,"",_xlfn.IFERROR(INDEX(Покупка!$K$26:$L$372,MATCH($F231&amp;"3komm",Покупка!$K$26:$K$372,0),2),""))</f>
        <v/>
      </c>
      <c r="BP231" s="7771"/>
      <c r="BQ231" s="1278"/>
      <c r="BR231" s="1278"/>
      <c r="BS231" s="1064" t="s">
        <v>2459</v>
      </c>
      <c r="BT231" s="1064"/>
      <c r="BU231" s="1064"/>
      <c r="BV231" s="979"/>
      <c r="BW231" s="979"/>
    </row>
    <row s="1834" customFormat="1" customHeight="1" ht="14.25">
      <c r="A232" s="1278"/>
      <c r="B232" s="96"/>
      <c r="C232" s="107"/>
      <c r="D232" s="107"/>
      <c r="E232" s="621">
        <v>15</v>
      </c>
      <c r="F232" s="50" cm="1" t="str">
        <f t="array" ref="F232:F232">OFFSET(E232,-1,1)</f>
        <v>1</v>
      </c>
      <c r="G232" s="107" t="s">
        <v>1805</v>
      </c>
      <c r="H232" s="107"/>
      <c r="I232" s="107" t="s">
        <v>2759</v>
      </c>
      <c r="J232" s="107"/>
      <c r="K232" s="107" t="s">
        <v>2759</v>
      </c>
      <c r="L232" s="980" t="s">
        <v>2258</v>
      </c>
      <c r="M232" s="107"/>
      <c r="N232" s="107"/>
      <c r="O232" s="107"/>
      <c r="P232" s="107"/>
      <c r="Q232" s="107"/>
      <c r="R232" s="107"/>
      <c r="S232" s="107"/>
      <c r="T232" s="465" cm="1" t="str">
        <f t="array" ref="T232:T232">T231</f>
        <v>true</v>
      </c>
      <c r="U232" s="107"/>
      <c r="V232" s="107"/>
      <c r="W232" s="1278"/>
      <c r="X232" s="1563"/>
      <c r="Y232" s="1278"/>
      <c r="Z232" s="1546"/>
      <c r="AA232" s="1278"/>
      <c r="AB232" s="299" t="s">
        <v>2760</v>
      </c>
      <c r="AC232" s="765" t="s">
        <v>2761</v>
      </c>
      <c r="AD232" s="300" t="s">
        <v>1514</v>
      </c>
      <c r="AE232" s="259">
        <f>_xlfn.SUMIFS(Покупка!AE$25:AE$372,Покупка!$F$25:$F$372,$F232,Покупка!$AC$25:$AC$372,$G232)</f>
        <v>0</v>
      </c>
      <c r="AF232" s="259">
        <f>_xlfn.SUMIFS(Покупка!AF$25:AF$372,Покупка!$F$25:$F$372,$F232,Покупка!$AC$25:$AC$372,$G232)</f>
        <v>0</v>
      </c>
      <c r="AG232" s="259">
        <f>_xlfn.SUMIFS(Покупка!AG$25:AG$372,Покупка!$F$25:$F$372,$F232,Покупка!$AC$25:$AC$372,$G232)</f>
        <v>0</v>
      </c>
      <c r="AH232" s="943">
        <f>AG232-AF232</f>
        <v>0</v>
      </c>
      <c r="AI232" s="943">
        <f>_xlfn.SUMIFS(Покупка!AH$25:AH$372,Покупка!$F$25:$F$372,$F232,Покупка!$AC$25:$AC$372,$G232)</f>
        <v>0</v>
      </c>
      <c r="AJ232" s="943">
        <f>_xlfn.SUMIFS(Покупка!AI$25:AI$372,Покупка!$F$25:$F$372,$F232,Покупка!$AC$25:$AC$372,$G232)</f>
        <v>0</v>
      </c>
      <c r="AK232" s="943">
        <f>_xlfn.SUMIFS(Покупка!AJ$25:AJ$372,Покупка!$F$25:$F$372,$F232,Покупка!$AC$25:$AC$372,$G232)</f>
        <v>0</v>
      </c>
      <c r="AL232" s="943">
        <f>_xlfn.SUMIFS(Покупка!AK$25:AK$372,Покупка!$F$25:$F$372,$F232,Покупка!$AC$25:$AC$372,$G232)</f>
        <v>0</v>
      </c>
      <c r="AM232" s="943">
        <f>_xlfn.SUMIFS(Покупка!AL$25:AL$372,Покупка!$F$25:$F$372,$F232,Покупка!$AC$25:$AC$372,$G232)</f>
        <v>0</v>
      </c>
      <c r="AN232" s="943">
        <f>_xlfn.SUMIFS(Покупка!AM$25:AM$372,Покупка!$F$25:$F$372,$F232,Покупка!$AC$25:$AC$372,$G232)</f>
        <v>0</v>
      </c>
      <c r="AO232" s="943">
        <f>_xlfn.SUMIFS(Покупка!AN$25:AN$372,Покупка!$F$25:$F$372,$F232,Покупка!$AC$25:$AC$372,$G232)</f>
        <v>0</v>
      </c>
      <c r="AP232" s="943">
        <f>_xlfn.SUMIFS(Покупка!AO$25:AO$372,Покупка!$F$25:$F$372,$F232,Покупка!$AC$25:$AC$372,$G232)</f>
        <v>0</v>
      </c>
      <c r="AQ232" s="943">
        <f>_xlfn.SUMIFS(Покупка!AP$25:AP$372,Покупка!$F$25:$F$372,$F232,Покупка!$AC$25:$AC$372,$G232)</f>
        <v>0</v>
      </c>
      <c r="AR232" s="943">
        <f>_xlfn.SUMIFS(Покупка!AQ$25:AQ$372,Покупка!$F$25:$F$372,$F232,Покупка!$AC$25:$AC$372,$G232)</f>
        <v>0</v>
      </c>
      <c r="AS232" s="943">
        <f>_xlfn.SUMIFS(Покупка!AR$25:AR$372,Покупка!$F$25:$F$372,$F232,Покупка!$AC$25:$AC$372,$G232)</f>
        <v>0</v>
      </c>
      <c r="AT232" s="943">
        <f>_xlfn.SUMIFS(Покупка!AS$25:AS$372,Покупка!$F$25:$F$372,$F232,Покупка!$AC$25:$AC$372,$G232)</f>
        <v>0</v>
      </c>
      <c r="AU232" s="943">
        <f>_xlfn.SUMIFS(Покупка!AT$25:AT$372,Покупка!$F$25:$F$372,$F232,Покупка!$AC$25:$AC$372,$G232)</f>
        <v>0</v>
      </c>
      <c r="AV232" s="943">
        <f>_xlfn.SUMIFS(Покупка!AU$25:AU$372,Покупка!$F$25:$F$372,$F232,Покупка!$AC$25:$AC$372,$G232)</f>
        <v>0</v>
      </c>
      <c r="AW232" s="943">
        <f>_xlfn.SUMIFS(Покупка!AV$25:AV$372,Покупка!$F$25:$F$372,$F232,Покупка!$AC$25:$AC$372,$G232)</f>
        <v>0</v>
      </c>
      <c r="AX232" s="943">
        <f>_xlfn.SUMIFS(Покупка!AW$25:AW$372,Покупка!$F$25:$F$372,$F232,Покупка!$AC$25:$AC$372,$G232)</f>
        <v>0</v>
      </c>
      <c r="AY232" s="943">
        <f>_xlfn.SUMIFS(Покупка!AX$25:AX$372,Покупка!$F$25:$F$372,$F232,Покупка!$AC$25:$AC$372,$G232)</f>
        <v>0</v>
      </c>
      <c r="AZ232" s="943">
        <f>_xlfn.SUMIFS(Покупка!AY$25:AY$372,Покупка!$F$25:$F$372,$F232,Покупка!$AC$25:$AC$372,$G232)</f>
        <v>0</v>
      </c>
      <c r="BA232" s="943">
        <f>_xlfn.SUMIFS(Покупка!AZ$25:AZ$372,Покупка!$F$25:$F$372,$F232,Покупка!$AC$25:$AC$372,$G232)</f>
        <v>0</v>
      </c>
      <c r="BB232" s="943">
        <f>_xlfn.SUMIFS(Покупка!BA$25:BA$372,Покупка!$F$25:$F$372,$F232,Покупка!$AC$25:$AC$372,$G232)</f>
        <v>0</v>
      </c>
      <c r="BC232" s="943">
        <f>_xlfn.SUMIFS(Покупка!BB$25:BB$372,Покупка!$F$25:$F$372,$F232,Покупка!$AC$25:$AC$372,$G232)</f>
        <v>0</v>
      </c>
      <c r="BD232" s="943">
        <f>IF(AI232=0,0,(AT232-AI232)/AI232*100)</f>
        <v>0</v>
      </c>
      <c r="BE232" s="943">
        <f>IF(AT232=0,0,(AU232-AT232)/AT232*100)</f>
        <v>0</v>
      </c>
      <c r="BF232" s="943">
        <f>IF(AU232=0,0,(AV232-AU232)/AU232*100)</f>
        <v>0</v>
      </c>
      <c r="BG232" s="943">
        <f>IF(AV232=0,0,(AW232-AV232)/AV232*100)</f>
        <v>0</v>
      </c>
      <c r="BH232" s="943">
        <f>IF(AW232=0,0,(AX232-AW232)/AW232*100)</f>
        <v>0</v>
      </c>
      <c r="BI232" s="943">
        <f>IF(AX232=0,0,(AY232-AX232)/AX232*100)</f>
        <v>0</v>
      </c>
      <c r="BJ232" s="943">
        <f>IF(AY232=0,0,(AZ232-AY232)/AY232*100)</f>
        <v>0</v>
      </c>
      <c r="BK232" s="943">
        <f>IF(AZ232=0,0,(BA232-AZ232)/AZ232*100)</f>
        <v>0</v>
      </c>
      <c r="BL232" s="943">
        <f>IF(BA232=0,0,(BB232-BA232)/BA232*100)</f>
        <v>0</v>
      </c>
      <c r="BM232" s="943">
        <f>IF(BB232=0,0,(BC232-BB232)/BB232*100)</f>
        <v>0</v>
      </c>
      <c r="BN232" s="7771"/>
      <c r="BO232" s="7724" t="str">
        <f>IF(_xlfn.IFERROR(INDEX(Покупка!$K$26:$L$372,MATCH($F232&amp;"4komm",Покупка!$K$26:$K$372,0),2),"")=0,"",_xlfn.IFERROR(INDEX(Покупка!$K$26:$L$372,MATCH($F231&amp;"3komm",Покупка!$K$26:$K$372,0),2),""))</f>
        <v/>
      </c>
      <c r="BP232" s="7771"/>
      <c r="BQ232" s="1278"/>
      <c r="BR232" s="1278"/>
      <c r="BS232" s="1064" t="s">
        <v>2462</v>
      </c>
      <c r="BT232" s="1064"/>
      <c r="BU232" s="1064"/>
      <c r="BV232" s="979"/>
      <c r="BW232" s="979"/>
    </row>
    <row s="1834" customFormat="1" customHeight="1" ht="14.25">
      <c r="A233" s="1278"/>
      <c r="B233" s="96"/>
      <c r="C233" s="107"/>
      <c r="D233" s="107"/>
      <c r="E233" s="621">
        <v>15</v>
      </c>
      <c r="F233" s="50" cm="1" t="str">
        <f t="array" ref="F233:F233">OFFSET(E233,-1,1)</f>
        <v>1</v>
      </c>
      <c r="G233" s="107" t="s">
        <v>1812</v>
      </c>
      <c r="H233" s="107"/>
      <c r="I233" s="107" t="s">
        <v>2762</v>
      </c>
      <c r="J233" s="107"/>
      <c r="K233" s="107" t="s">
        <v>2762</v>
      </c>
      <c r="L233" s="980" t="s">
        <v>2268</v>
      </c>
      <c r="M233" s="107"/>
      <c r="N233" s="107"/>
      <c r="O233" s="107"/>
      <c r="P233" s="107"/>
      <c r="Q233" s="107"/>
      <c r="R233" s="107"/>
      <c r="S233" s="107"/>
      <c r="T233" s="465" cm="1" t="str">
        <f t="array" ref="T233:T233">T232</f>
        <v>true</v>
      </c>
      <c r="U233" s="107"/>
      <c r="V233" s="107"/>
      <c r="W233" s="1278"/>
      <c r="X233" s="1563"/>
      <c r="Y233" s="1278"/>
      <c r="Z233" s="1546"/>
      <c r="AA233" s="1278"/>
      <c r="AB233" s="299" t="s">
        <v>2763</v>
      </c>
      <c r="AC233" s="765" t="s">
        <v>2764</v>
      </c>
      <c r="AD233" s="300" t="s">
        <v>1514</v>
      </c>
      <c r="AE233" s="259">
        <f>_xlfn.SUMIFS(Покупка!AE$25:AE$372,Покупка!$F$25:$F$372,$F233,Покупка!$AC$25:$AC$372,$G233)</f>
        <v>0</v>
      </c>
      <c r="AF233" s="259">
        <f>_xlfn.SUMIFS(Покупка!AF$25:AF$372,Покупка!$F$25:$F$372,$F233,Покупка!$AC$25:$AC$372,$G233)</f>
        <v>0</v>
      </c>
      <c r="AG233" s="259">
        <f>_xlfn.SUMIFS(Покупка!AG$25:AG$372,Покупка!$F$25:$F$372,$F233,Покупка!$AC$25:$AC$372,$G233)</f>
        <v>0</v>
      </c>
      <c r="AH233" s="943">
        <f>AG233-AF233</f>
        <v>0</v>
      </c>
      <c r="AI233" s="943">
        <f>_xlfn.SUMIFS(Покупка!AH$25:AH$372,Покупка!$F$25:$F$372,$F233,Покупка!$AC$25:$AC$372,$G233)</f>
        <v>0</v>
      </c>
      <c r="AJ233" s="943">
        <f>_xlfn.SUMIFS(Покупка!AI$25:AI$372,Покупка!$F$25:$F$372,$F233,Покупка!$AC$25:$AC$372,$G233)</f>
        <v>0</v>
      </c>
      <c r="AK233" s="943">
        <f>_xlfn.SUMIFS(Покупка!AJ$25:AJ$372,Покупка!$F$25:$F$372,$F233,Покупка!$AC$25:$AC$372,$G233)</f>
        <v>0</v>
      </c>
      <c r="AL233" s="943">
        <f>_xlfn.SUMIFS(Покупка!AK$25:AK$372,Покупка!$F$25:$F$372,$F233,Покупка!$AC$25:$AC$372,$G233)</f>
        <v>0</v>
      </c>
      <c r="AM233" s="943">
        <f>_xlfn.SUMIFS(Покупка!AL$25:AL$372,Покупка!$F$25:$F$372,$F233,Покупка!$AC$25:$AC$372,$G233)</f>
        <v>0</v>
      </c>
      <c r="AN233" s="943">
        <f>_xlfn.SUMIFS(Покупка!AM$25:AM$372,Покупка!$F$25:$F$372,$F233,Покупка!$AC$25:$AC$372,$G233)</f>
        <v>0</v>
      </c>
      <c r="AO233" s="943">
        <f>_xlfn.SUMIFS(Покупка!AN$25:AN$372,Покупка!$F$25:$F$372,$F233,Покупка!$AC$25:$AC$372,$G233)</f>
        <v>0</v>
      </c>
      <c r="AP233" s="943">
        <f>_xlfn.SUMIFS(Покупка!AO$25:AO$372,Покупка!$F$25:$F$372,$F233,Покупка!$AC$25:$AC$372,$G233)</f>
        <v>0</v>
      </c>
      <c r="AQ233" s="943">
        <f>_xlfn.SUMIFS(Покупка!AP$25:AP$372,Покупка!$F$25:$F$372,$F233,Покупка!$AC$25:$AC$372,$G233)</f>
        <v>0</v>
      </c>
      <c r="AR233" s="943">
        <f>_xlfn.SUMIFS(Покупка!AQ$25:AQ$372,Покупка!$F$25:$F$372,$F233,Покупка!$AC$25:$AC$372,$G233)</f>
        <v>0</v>
      </c>
      <c r="AS233" s="943">
        <f>_xlfn.SUMIFS(Покупка!AR$25:AR$372,Покупка!$F$25:$F$372,$F233,Покупка!$AC$25:$AC$372,$G233)</f>
        <v>0</v>
      </c>
      <c r="AT233" s="943">
        <f>_xlfn.SUMIFS(Покупка!AS$25:AS$372,Покупка!$F$25:$F$372,$F233,Покупка!$AC$25:$AC$372,$G233)</f>
        <v>0</v>
      </c>
      <c r="AU233" s="943">
        <f>_xlfn.SUMIFS(Покупка!AT$25:AT$372,Покупка!$F$25:$F$372,$F233,Покупка!$AC$25:$AC$372,$G233)</f>
        <v>0</v>
      </c>
      <c r="AV233" s="943">
        <f>_xlfn.SUMIFS(Покупка!AU$25:AU$372,Покупка!$F$25:$F$372,$F233,Покупка!$AC$25:$AC$372,$G233)</f>
        <v>0</v>
      </c>
      <c r="AW233" s="943">
        <f>_xlfn.SUMIFS(Покупка!AV$25:AV$372,Покупка!$F$25:$F$372,$F233,Покупка!$AC$25:$AC$372,$G233)</f>
        <v>0</v>
      </c>
      <c r="AX233" s="943">
        <f>_xlfn.SUMIFS(Покупка!AW$25:AW$372,Покупка!$F$25:$F$372,$F233,Покупка!$AC$25:$AC$372,$G233)</f>
        <v>0</v>
      </c>
      <c r="AY233" s="943">
        <f>_xlfn.SUMIFS(Покупка!AX$25:AX$372,Покупка!$F$25:$F$372,$F233,Покупка!$AC$25:$AC$372,$G233)</f>
        <v>0</v>
      </c>
      <c r="AZ233" s="943">
        <f>_xlfn.SUMIFS(Покупка!AY$25:AY$372,Покупка!$F$25:$F$372,$F233,Покупка!$AC$25:$AC$372,$G233)</f>
        <v>0</v>
      </c>
      <c r="BA233" s="943">
        <f>_xlfn.SUMIFS(Покупка!AZ$25:AZ$372,Покупка!$F$25:$F$372,$F233,Покупка!$AC$25:$AC$372,$G233)</f>
        <v>0</v>
      </c>
      <c r="BB233" s="943">
        <f>_xlfn.SUMIFS(Покупка!BA$25:BA$372,Покупка!$F$25:$F$372,$F233,Покупка!$AC$25:$AC$372,$G233)</f>
        <v>0</v>
      </c>
      <c r="BC233" s="943">
        <f>_xlfn.SUMIFS(Покупка!BB$25:BB$372,Покупка!$F$25:$F$372,$F233,Покупка!$AC$25:$AC$372,$G233)</f>
        <v>0</v>
      </c>
      <c r="BD233" s="943">
        <f>IF(AI233=0,0,(AT233-AI233)/AI233*100)</f>
        <v>0</v>
      </c>
      <c r="BE233" s="943">
        <f>IF(AT233=0,0,(AU233-AT233)/AT233*100)</f>
        <v>0</v>
      </c>
      <c r="BF233" s="943">
        <f>IF(AU233=0,0,(AV233-AU233)/AU233*100)</f>
        <v>0</v>
      </c>
      <c r="BG233" s="943">
        <f>IF(AV233=0,0,(AW233-AV233)/AV233*100)</f>
        <v>0</v>
      </c>
      <c r="BH233" s="943">
        <f>IF(AW233=0,0,(AX233-AW233)/AW233*100)</f>
        <v>0</v>
      </c>
      <c r="BI233" s="943">
        <f>IF(AX233=0,0,(AY233-AX233)/AX233*100)</f>
        <v>0</v>
      </c>
      <c r="BJ233" s="943">
        <f>IF(AY233=0,0,(AZ233-AY233)/AY233*100)</f>
        <v>0</v>
      </c>
      <c r="BK233" s="943">
        <f>IF(AZ233=0,0,(BA233-AZ233)/AZ233*100)</f>
        <v>0</v>
      </c>
      <c r="BL233" s="943">
        <f>IF(BA233=0,0,(BB233-BA233)/BA233*100)</f>
        <v>0</v>
      </c>
      <c r="BM233" s="943">
        <f>IF(BB233=0,0,(BC233-BB233)/BB233*100)</f>
        <v>0</v>
      </c>
      <c r="BN233" s="7771"/>
      <c r="BO233" s="7724" t="str">
        <f>IF(_xlfn.IFERROR(INDEX(Покупка!$K$26:$L$372,MATCH($F233&amp;"5komm",Покупка!$K$26:$K$372,0),2),"")=0,"",_xlfn.IFERROR(INDEX(Покупка!$K$26:$L$372,MATCH($F233&amp;"5komm",Покупка!$K$26:$K$372,0),2),""))</f>
        <v/>
      </c>
      <c r="BP233" s="7771"/>
      <c r="BQ233" s="1278"/>
      <c r="BR233" s="1278"/>
      <c r="BS233" s="1064" t="s">
        <v>2465</v>
      </c>
      <c r="BT233" s="1064"/>
      <c r="BU233" s="1064"/>
      <c r="BV233" s="979"/>
      <c r="BW233" s="979"/>
    </row>
    <row s="1233" customFormat="1" customHeight="1" ht="14.25">
      <c r="A234" s="1233"/>
      <c r="B234" s="96"/>
      <c r="C234" s="107"/>
      <c r="D234" s="107"/>
      <c r="E234" s="621">
        <v>15</v>
      </c>
      <c r="F234" s="50" cm="1" t="str">
        <f t="array" ref="F234:F234">OFFSET(E234,-1,1)</f>
        <v>1</v>
      </c>
      <c r="G234" s="107" t="s">
        <v>1853</v>
      </c>
      <c r="H234" s="107"/>
      <c r="I234" s="107"/>
      <c r="J234" s="107"/>
      <c r="K234" s="107"/>
      <c r="L234" s="980" t="s">
        <v>2235</v>
      </c>
      <c r="M234" s="107"/>
      <c r="N234" s="107"/>
      <c r="O234" s="107"/>
      <c r="P234" s="107"/>
      <c r="Q234" s="107"/>
      <c r="R234" s="107"/>
      <c r="S234" s="107"/>
      <c r="T234" s="465" cm="1" t="str">
        <f t="array" ref="T234:T234">T233</f>
        <v>true</v>
      </c>
      <c r="U234" s="107"/>
      <c r="V234" s="107"/>
      <c r="W234" s="1233"/>
      <c r="X234" s="1563"/>
      <c r="Y234" s="1233"/>
      <c r="Z234" s="1546"/>
      <c r="AA234" s="1233"/>
      <c r="AB234" s="299" t="s">
        <v>2765</v>
      </c>
      <c r="AC234" s="765" t="s">
        <v>2766</v>
      </c>
      <c r="AD234" s="300" t="s">
        <v>1514</v>
      </c>
      <c r="AE234" s="259">
        <f>_xlfn.SUMIFS(Покупка!AE$25:AE$372,Покупка!$F$25:$F$372,$F234,Покупка!$AC$25:$AC$372,$G234)</f>
        <v>0</v>
      </c>
      <c r="AF234" s="259">
        <f>_xlfn.SUMIFS(Покупка!AF$25:AF$372,Покупка!$F$25:$F$372,$F234,Покупка!$AC$25:$AC$372,$G234)</f>
        <v>0</v>
      </c>
      <c r="AG234" s="259">
        <f>_xlfn.SUMIFS(Покупка!AG$25:AG$372,Покупка!$F$25:$F$372,$F234,Покупка!$AC$25:$AC$372,$G234)</f>
        <v>0</v>
      </c>
      <c r="AH234" s="943">
        <f>AG234-AF234</f>
        <v>0</v>
      </c>
      <c r="AI234" s="943">
        <f>_xlfn.SUMIFS(Покупка!AH$25:AH$372,Покупка!$F$25:$F$372,$F234,Покупка!$AC$25:$AC$372,$G234)</f>
        <v>0</v>
      </c>
      <c r="AJ234" s="1116">
        <f>_xlfn.SUMIFS(Покупка!AI$25:AI$372,Покупка!$F$25:$F$372,$F234,Покупка!$AC$25:$AC$372,$G234)</f>
        <v>0</v>
      </c>
      <c r="AK234" s="1116">
        <f>_xlfn.SUMIFS(Покупка!AJ$25:AJ$372,Покупка!$F$25:$F$372,$F234,Покупка!$AC$25:$AC$372,$G234)</f>
        <v>0</v>
      </c>
      <c r="AL234" s="1116">
        <f>_xlfn.SUMIFS(Покупка!AK$25:AK$372,Покупка!$F$25:$F$372,$F234,Покупка!$AC$25:$AC$372,$G234)</f>
        <v>0</v>
      </c>
      <c r="AM234" s="1116">
        <f>_xlfn.SUMIFS(Покупка!AL$25:AL$372,Покупка!$F$25:$F$372,$F234,Покупка!$AC$25:$AC$372,$G234)</f>
        <v>0</v>
      </c>
      <c r="AN234" s="1116">
        <f>_xlfn.SUMIFS(Покупка!AM$25:AM$372,Покупка!$F$25:$F$372,$F234,Покупка!$AC$25:$AC$372,$G234)</f>
        <v>0</v>
      </c>
      <c r="AO234" s="1116">
        <f>_xlfn.SUMIFS(Покупка!AN$25:AN$372,Покупка!$F$25:$F$372,$F234,Покупка!$AC$25:$AC$372,$G234)</f>
        <v>0</v>
      </c>
      <c r="AP234" s="1116">
        <f>_xlfn.SUMIFS(Покупка!AO$25:AO$372,Покупка!$F$25:$F$372,$F234,Покупка!$AC$25:$AC$372,$G234)</f>
        <v>0</v>
      </c>
      <c r="AQ234" s="1116">
        <f>_xlfn.SUMIFS(Покупка!AP$25:AP$372,Покупка!$F$25:$F$372,$F234,Покупка!$AC$25:$AC$372,$G234)</f>
        <v>0</v>
      </c>
      <c r="AR234" s="1116">
        <f>_xlfn.SUMIFS(Покупка!AQ$25:AQ$372,Покупка!$F$25:$F$372,$F234,Покупка!$AC$25:$AC$372,$G234)</f>
        <v>0</v>
      </c>
      <c r="AS234" s="1116">
        <f>_xlfn.SUMIFS(Покупка!AR$25:AR$372,Покупка!$F$25:$F$372,$F234,Покупка!$AC$25:$AC$372,$G234)</f>
        <v>0</v>
      </c>
      <c r="AT234" s="1116">
        <f>_xlfn.SUMIFS(Покупка!AS$25:AS$372,Покупка!$F$25:$F$372,$F234,Покупка!$AC$25:$AC$372,$G234)</f>
        <v>0</v>
      </c>
      <c r="AU234" s="1116">
        <f>_xlfn.SUMIFS(Покупка!AT$25:AT$372,Покупка!$F$25:$F$372,$F234,Покупка!$AC$25:$AC$372,$G234)</f>
        <v>0</v>
      </c>
      <c r="AV234" s="1116">
        <f>_xlfn.SUMIFS(Покупка!AU$25:AU$372,Покупка!$F$25:$F$372,$F234,Покупка!$AC$25:$AC$372,$G234)</f>
        <v>0</v>
      </c>
      <c r="AW234" s="1116">
        <f>_xlfn.SUMIFS(Покупка!AV$25:AV$372,Покупка!$F$25:$F$372,$F234,Покупка!$AC$25:$AC$372,$G234)</f>
        <v>0</v>
      </c>
      <c r="AX234" s="1116">
        <f>_xlfn.SUMIFS(Покупка!AW$25:AW$372,Покупка!$F$25:$F$372,$F234,Покупка!$AC$25:$AC$372,$G234)</f>
        <v>0</v>
      </c>
      <c r="AY234" s="1116">
        <f>_xlfn.SUMIFS(Покупка!AX$25:AX$372,Покупка!$F$25:$F$372,$F234,Покупка!$AC$25:$AC$372,$G234)</f>
        <v>0</v>
      </c>
      <c r="AZ234" s="1116">
        <f>_xlfn.SUMIFS(Покупка!AY$25:AY$372,Покупка!$F$25:$F$372,$F234,Покупка!$AC$25:$AC$372,$G234)</f>
        <v>0</v>
      </c>
      <c r="BA234" s="1116">
        <f>_xlfn.SUMIFS(Покупка!AZ$25:AZ$372,Покупка!$F$25:$F$372,$F234,Покупка!$AC$25:$AC$372,$G234)</f>
        <v>0</v>
      </c>
      <c r="BB234" s="1116">
        <f>_xlfn.SUMIFS(Покупка!BA$25:BA$372,Покупка!$F$25:$F$372,$F234,Покупка!$AC$25:$AC$372,$G234)</f>
        <v>0</v>
      </c>
      <c r="BC234" s="1116">
        <f>_xlfn.SUMIFS(Покупка!BB$25:BB$372,Покупка!$F$25:$F$372,$F234,Покупка!$AC$25:$AC$372,$G234)</f>
        <v>0</v>
      </c>
      <c r="BD234" s="943">
        <f>IF(AI234=0,0,(AT234-AI234)/AI234*100)</f>
        <v>0</v>
      </c>
      <c r="BE234" s="943">
        <f>IF(AT234=0,0,(AU234-AT234)/AT234*100)</f>
        <v>0</v>
      </c>
      <c r="BF234" s="943">
        <f>IF(AU234=0,0,(AV234-AU234)/AU234*100)</f>
        <v>0</v>
      </c>
      <c r="BG234" s="943">
        <f>IF(AV234=0,0,(AW234-AV234)/AV234*100)</f>
        <v>0</v>
      </c>
      <c r="BH234" s="943">
        <f>IF(AW234=0,0,(AX234-AW234)/AW234*100)</f>
        <v>0</v>
      </c>
      <c r="BI234" s="943">
        <f>IF(AX234=0,0,(AY234-AX234)/AX234*100)</f>
        <v>0</v>
      </c>
      <c r="BJ234" s="943">
        <f>IF(AY234=0,0,(AZ234-AY234)/AY234*100)</f>
        <v>0</v>
      </c>
      <c r="BK234" s="943">
        <f>IF(AZ234=0,0,(BA234-AZ234)/AZ234*100)</f>
        <v>0</v>
      </c>
      <c r="BL234" s="943">
        <f>IF(BA234=0,0,(BB234-BA234)/BA234*100)</f>
        <v>0</v>
      </c>
      <c r="BM234" s="943">
        <f>IF(BB234=0,0,(BC234-BB234)/BB234*100)</f>
        <v>0</v>
      </c>
      <c r="BN234" s="7771"/>
      <c r="BO234" s="7724" t="str">
        <f>IF(_xlfn.IFERROR(INDEX(Покупка!$K$26:$L$372,MATCH($F234&amp;"9komm",Покупка!$K$26:$K$372,0),2),"")=0,"",_xlfn.IFERROR(INDEX(Покупка!$K$26:$L$372,MATCH($F234&amp;"9komm",Покупка!$K$26:$K$372,0),2),""))</f>
        <v/>
      </c>
      <c r="BP234" s="7771"/>
      <c r="BQ234" s="1233"/>
      <c r="BR234" s="1233"/>
      <c r="BS234" s="1064" t="s">
        <v>1854</v>
      </c>
      <c r="BT234" s="1064"/>
      <c r="BU234" s="1064"/>
      <c r="BV234" s="703"/>
      <c r="BW234" s="703"/>
    </row>
    <row s="1834" customFormat="1" customHeight="1" ht="14.25">
      <c r="A235" s="1278"/>
      <c r="B235" s="96"/>
      <c r="C235" s="107"/>
      <c r="D235" s="107"/>
      <c r="E235" s="621">
        <v>15</v>
      </c>
      <c r="F235" s="50" cm="1" t="str">
        <f t="array" ref="F235:F235">OFFSET(E235,-1,1)</f>
        <v>1</v>
      </c>
      <c r="G235" s="107"/>
      <c r="H235" s="107"/>
      <c r="I235" s="107" t="s">
        <v>1196</v>
      </c>
      <c r="J235" s="107"/>
      <c r="K235" s="107" t="s">
        <v>1196</v>
      </c>
      <c r="L235" s="980"/>
      <c r="M235" s="107"/>
      <c r="N235" s="107"/>
      <c r="O235" s="107"/>
      <c r="P235" s="107"/>
      <c r="Q235" s="107"/>
      <c r="R235" s="107"/>
      <c r="S235" s="107"/>
      <c r="T235" s="465" cm="1" t="str">
        <f t="array" ref="T235:T235">T234</f>
        <v>true</v>
      </c>
      <c r="U235" s="107"/>
      <c r="V235" s="107"/>
      <c r="W235" s="1278"/>
      <c r="X235" s="1563"/>
      <c r="Y235" s="1278"/>
      <c r="Z235" s="1546"/>
      <c r="AA235" s="1278"/>
      <c r="AB235" s="299" t="s">
        <v>1254</v>
      </c>
      <c r="AC235" s="762" t="s">
        <v>2767</v>
      </c>
      <c r="AD235" s="779" t="s">
        <v>1514</v>
      </c>
      <c r="AE235" s="259">
        <f>_xlfn.SUMIFS('Сырье и материалы'!AE$25:AE$162,'Сырье и материалы'!$F$25:$F$162,$F235,'Сырье и материалы'!$I$25:$I$162,"Реагенты")</f>
        <v>0</v>
      </c>
      <c r="AF235" s="259">
        <f>_xlfn.SUMIFS('Сырье и материалы'!AF$25:AF$162,'Сырье и материалы'!$F$25:$F$162,$F235,'Сырье и материалы'!$I$25:$I$162,"Реагенты")</f>
        <v>0</v>
      </c>
      <c r="AG235" s="259">
        <f>_xlfn.SUMIFS('Сырье и материалы'!AG$25:AG$162,'Сырье и материалы'!$F$25:$F$162,$F235,'Сырье и материалы'!$I$25:$I$162,"Реагенты")</f>
        <v>0</v>
      </c>
      <c r="AH235" s="943">
        <f>AG235-AF235</f>
        <v>0</v>
      </c>
      <c r="AI235" s="943">
        <f>_xlfn.SUMIFS('Сырье и материалы'!AH$25:AH$162,'Сырье и материалы'!$F$25:$F$162,$F235,'Сырье и материалы'!$I$25:$I$162,"Реагенты")</f>
        <v>0</v>
      </c>
      <c r="AJ235" s="943">
        <f>_xlfn.SUMIFS('Сырье и материалы'!AI$25:AI$162,'Сырье и материалы'!$F$25:$F$162,$F235,'Сырье и материалы'!$I$25:$I$162,"Реагенты")</f>
        <v>9724.63032008149</v>
      </c>
      <c r="AK235" s="943">
        <f>_xlfn.SUMIFS('Сырье и материалы'!AJ$25:AJ$162,'Сырье и материалы'!$F$25:$F$162,$F235,'Сырье и материалы'!$I$25:$I$162,"Реагенты")</f>
        <v>10103.8909025647</v>
      </c>
      <c r="AL235" s="943">
        <f>_xlfn.SUMIFS('Сырье и материалы'!AK$25:AK$162,'Сырье и материалы'!$F$25:$F$162,$F235,'Сырье и материалы'!$I$25:$I$162,"Реагенты")</f>
        <v>10487.8387568621</v>
      </c>
      <c r="AM235" s="943">
        <f>_xlfn.SUMIFS('Сырье и материалы'!AL$25:AL$162,'Сырье и материалы'!$F$25:$F$162,$F235,'Сырье и материалы'!$I$25:$I$162,"Реагенты")</f>
        <v>10886.3766296229</v>
      </c>
      <c r="AN235" s="943">
        <f>_xlfn.SUMIFS('Сырье и материалы'!AM$25:AM$162,'Сырье и материалы'!$F$25:$F$162,$F235,'Сырье и материалы'!$I$25:$I$162,"Реагенты")</f>
        <v>11300.0589415486</v>
      </c>
      <c r="AO235" s="943">
        <f>_xlfn.SUMIFS('Сырье и материалы'!AN$25:AN$162,'Сырье и материалы'!$F$25:$F$162,$F235,'Сырье и материалы'!$I$25:$I$162,"Реагенты")</f>
        <v>0</v>
      </c>
      <c r="AP235" s="943">
        <f>_xlfn.SUMIFS('Сырье и материалы'!AO$25:AO$162,'Сырье и материалы'!$F$25:$F$162,$F235,'Сырье и материалы'!$I$25:$I$162,"Реагенты")</f>
        <v>0</v>
      </c>
      <c r="AQ235" s="943">
        <f>_xlfn.SUMIFS('Сырье и материалы'!AP$25:AP$162,'Сырье и материалы'!$F$25:$F$162,$F235,'Сырье и материалы'!$I$25:$I$162,"Реагенты")</f>
        <v>0</v>
      </c>
      <c r="AR235" s="943">
        <f>_xlfn.SUMIFS('Сырье и материалы'!AQ$25:AQ$162,'Сырье и материалы'!$F$25:$F$162,$F235,'Сырье и материалы'!$I$25:$I$162,"Реагенты")</f>
        <v>0</v>
      </c>
      <c r="AS235" s="943">
        <f>_xlfn.SUMIFS('Сырье и материалы'!AR$25:AR$162,'Сырье и материалы'!$F$25:$F$162,$F235,'Сырье и материалы'!$I$25:$I$162,"Реагенты")</f>
        <v>0</v>
      </c>
      <c r="AT235" s="943">
        <f>_xlfn.SUMIFS('Сырье и материалы'!AS$25:AS$162,'Сырье и материалы'!$F$25:$F$162,$F235,'Сырье и материалы'!$I$25:$I$162,"Реагенты")</f>
        <v>9724.63032008149</v>
      </c>
      <c r="AU235" s="943">
        <f>_xlfn.SUMIFS('Сырье и материалы'!AT$25:AT$162,'Сырье и материалы'!$F$25:$F$162,$F235,'Сырье и материалы'!$I$25:$I$162,"Реагенты")</f>
        <v>10103.8909025647</v>
      </c>
      <c r="AV235" s="943">
        <f>_xlfn.SUMIFS('Сырье и материалы'!AU$25:AU$162,'Сырье и материалы'!$F$25:$F$162,$F235,'Сырье и материалы'!$I$25:$I$162,"Реагенты")</f>
        <v>10487.8387568621</v>
      </c>
      <c r="AW235" s="943">
        <f>_xlfn.SUMIFS('Сырье и материалы'!AV$25:AV$162,'Сырье и материалы'!$F$25:$F$162,$F235,'Сырье и материалы'!$I$25:$I$162,"Реагенты")</f>
        <v>10886.3766296229</v>
      </c>
      <c r="AX235" s="943">
        <f>_xlfn.SUMIFS('Сырье и материалы'!AW$25:AW$162,'Сырье и материалы'!$F$25:$F$162,$F235,'Сырье и материалы'!$I$25:$I$162,"Реагенты")</f>
        <v>11300.0589415486</v>
      </c>
      <c r="AY235" s="943">
        <f>_xlfn.SUMIFS('Сырье и материалы'!AX$25:AX$162,'Сырье и материалы'!$F$25:$F$162,$F235,'Сырье и материалы'!$I$25:$I$162,"Реагенты")</f>
        <v>0</v>
      </c>
      <c r="AZ235" s="943">
        <f>_xlfn.SUMIFS('Сырье и материалы'!AY$25:AY$162,'Сырье и материалы'!$F$25:$F$162,$F235,'Сырье и материалы'!$I$25:$I$162,"Реагенты")</f>
        <v>0</v>
      </c>
      <c r="BA235" s="943">
        <f>_xlfn.SUMIFS('Сырье и материалы'!AZ$25:AZ$162,'Сырье и материалы'!$F$25:$F$162,$F235,'Сырье и материалы'!$I$25:$I$162,"Реагенты")</f>
        <v>0</v>
      </c>
      <c r="BB235" s="943">
        <f>_xlfn.SUMIFS('Сырье и материалы'!BA$25:BA$162,'Сырье и материалы'!$F$25:$F$162,$F235,'Сырье и материалы'!$I$25:$I$162,"Реагенты")</f>
        <v>0</v>
      </c>
      <c r="BC235" s="943">
        <f>_xlfn.SUMIFS('Сырье и материалы'!BB$25:BB$162,'Сырье и материалы'!$F$25:$F$162,$F235,'Сырье и материалы'!$I$25:$I$162,"Реагенты")</f>
        <v>0</v>
      </c>
      <c r="BD235" s="943">
        <f>IF(AI235=0,0,(AT235-AI235)/AI235*100)</f>
        <v>0</v>
      </c>
      <c r="BE235" s="943">
        <f>IF(AT235=0,0,(AU235-AT235)/AT235*100)</f>
        <v>3.90000000000035</v>
      </c>
      <c r="BF235" s="943">
        <f>IF(AU235=0,0,(AV235-AU235)/AU235*100)</f>
        <v>3.79999999999941</v>
      </c>
      <c r="BG235" s="943">
        <f>IF(AV235=0,0,(AW235-AV235)/AV235*100)</f>
        <v>3.80000000000039</v>
      </c>
      <c r="BH235" s="943">
        <f>IF(AW235=0,0,(AX235-AW235)/AW235*100)</f>
        <v>3.80000000000026</v>
      </c>
      <c r="BI235" s="943">
        <f>IF(AX235=0,0,(AY235-AX235)/AX235*100)</f>
        <v>-100</v>
      </c>
      <c r="BJ235" s="943">
        <f>IF(AY235=0,0,(AZ235-AY235)/AY235*100)</f>
        <v>0</v>
      </c>
      <c r="BK235" s="943">
        <f>IF(AZ235=0,0,(BA235-AZ235)/AZ235*100)</f>
        <v>0</v>
      </c>
      <c r="BL235" s="943">
        <f>IF(BA235=0,0,(BB235-BA235)/BA235*100)</f>
        <v>0</v>
      </c>
      <c r="BM235" s="943">
        <f>IF(BB235=0,0,(BC235-BB235)/BB235*100)</f>
        <v>0</v>
      </c>
      <c r="BN235" s="7771"/>
      <c r="BO235" s="7724" t="str">
        <f>IF(_xlfn.IFERROR(INDEX('Сырье и материалы'!$K$26:$L$162,MATCH($F235&amp;"komm",'Сырье и материалы'!$K$26:$K$162,0),2),"")=0,"",_xlfn.IFERROR(INDEX('Сырье и материалы'!$K$26:$L$162,MATCH($F235&amp;"komm",'Сырье и материалы'!$K$26:$K$162,0),2),""))</f>
        <v/>
      </c>
      <c r="BP235" s="7771"/>
      <c r="BQ235" s="1278"/>
      <c r="BR235" s="1278"/>
      <c r="BS235" s="1064" t="s">
        <v>2438</v>
      </c>
      <c r="BT235" s="1064"/>
      <c r="BU235" s="1064"/>
      <c r="BV235" s="979"/>
      <c r="BW235" s="979"/>
    </row>
    <row s="7774" customFormat="1" customHeight="1" ht="20.25">
      <c r="A236" s="700"/>
      <c r="B236" s="111"/>
      <c r="C236" s="109"/>
      <c r="D236" s="109"/>
      <c r="E236" s="826">
        <v>21</v>
      </c>
      <c r="F236" s="50" cm="1" t="str">
        <f t="array" ref="F236:F236">OFFSET(E236,-1,1)</f>
        <v>1</v>
      </c>
      <c r="G236" s="109"/>
      <c r="H236" s="107"/>
      <c r="I236" s="107" t="s">
        <v>1648</v>
      </c>
      <c r="J236" s="109"/>
      <c r="K236" s="107" t="s">
        <v>1648</v>
      </c>
      <c r="L236" s="985" t="s">
        <v>1228</v>
      </c>
      <c r="M236" s="109"/>
      <c r="N236" s="109"/>
      <c r="O236" s="109"/>
      <c r="P236" s="109"/>
      <c r="Q236" s="109"/>
      <c r="R236" s="109"/>
      <c r="S236" s="109"/>
      <c r="T236" s="465" cm="1" t="str">
        <f t="array" ref="T236:T236">T235</f>
        <v>true</v>
      </c>
      <c r="U236" s="109"/>
      <c r="V236" s="109"/>
      <c r="W236" s="700"/>
      <c r="X236" s="1563"/>
      <c r="Y236" s="700"/>
      <c r="Z236" s="1546"/>
      <c r="AA236" s="700"/>
      <c r="AB236" s="218" t="s">
        <v>1258</v>
      </c>
      <c r="AC236" s="361" t="s">
        <v>2768</v>
      </c>
      <c r="AD236" s="211" t="s">
        <v>1514</v>
      </c>
      <c r="AE236" s="778">
        <f>SUM(AE237:AE246)</f>
        <v>0</v>
      </c>
      <c r="AF236" s="778">
        <f>SUM(AF237:AF246)</f>
        <v>0</v>
      </c>
      <c r="AG236" s="778">
        <f>SUM(AG237:AG246)</f>
        <v>0</v>
      </c>
      <c r="AH236" s="761">
        <f>AG236-AF236</f>
        <v>0</v>
      </c>
      <c r="AI236" s="761">
        <f>SUM(AI237:AI246)</f>
        <v>0</v>
      </c>
      <c r="AJ236" s="770">
        <f>SUM(AJ237:AJ246)</f>
        <v>7188.48157904</v>
      </c>
      <c r="AK236" s="761">
        <f>SUM(AK237:AK246)</f>
        <v>7417.9322422016</v>
      </c>
      <c r="AL236" s="761">
        <f>SUM(AL237:AL246)</f>
        <v>7677.34445188966</v>
      </c>
      <c r="AM236" s="761">
        <f>SUM(AM237:AM246)</f>
        <v>8418.53306996525</v>
      </c>
      <c r="AN236" s="761">
        <f>SUM(AN237:AN246)</f>
        <v>8616.66555276385</v>
      </c>
      <c r="AO236" s="761">
        <f>SUM(AO237:AO246)</f>
        <v>0</v>
      </c>
      <c r="AP236" s="761">
        <f>SUM(AP237:AP246)</f>
        <v>0</v>
      </c>
      <c r="AQ236" s="761">
        <f>SUM(AQ237:AQ246)</f>
        <v>0</v>
      </c>
      <c r="AR236" s="761">
        <f>SUM(AR237:AR246)</f>
        <v>0</v>
      </c>
      <c r="AS236" s="761">
        <f>SUM(AS237:AS246)</f>
        <v>0</v>
      </c>
      <c r="AT236" s="770">
        <f>SUM(AT237:AT246)</f>
        <v>7188.48157904</v>
      </c>
      <c r="AU236" s="761">
        <f>SUM(AU237:AU246)</f>
        <v>7417.9322422016</v>
      </c>
      <c r="AV236" s="761">
        <f>SUM(AV237:AV246)</f>
        <v>7677.34445188966</v>
      </c>
      <c r="AW236" s="761">
        <f>SUM(AW237:AW246)</f>
        <v>8418.53306996525</v>
      </c>
      <c r="AX236" s="761">
        <f>SUM(AX237:AX246)</f>
        <v>8616.66555276385</v>
      </c>
      <c r="AY236" s="761">
        <f>SUM(AY237:AY246)</f>
        <v>0</v>
      </c>
      <c r="AZ236" s="761">
        <f>SUM(AZ237:AZ246)</f>
        <v>0</v>
      </c>
      <c r="BA236" s="761">
        <f>SUM(BA237:BA246)</f>
        <v>0</v>
      </c>
      <c r="BB236" s="761">
        <f>SUM(BB237:BB246)</f>
        <v>0</v>
      </c>
      <c r="BC236" s="761">
        <f>SUM(BC237:BC246)</f>
        <v>0</v>
      </c>
      <c r="BD236" s="761">
        <f>IF(AI236=0,0,(AT236-AI236)/AI236*100)</f>
        <v>0</v>
      </c>
      <c r="BE236" s="761">
        <f>IF(AT236=0,0,(AU236-AT236)/AT236*100)</f>
        <v>3.19192113993346</v>
      </c>
      <c r="BF236" s="761">
        <f>IF(AU236=0,0,(AV236-AU236)/AU236*100)</f>
        <v>3.4970959725438</v>
      </c>
      <c r="BG236" s="761">
        <f>IF(AV236=0,0,(AW236-AV236)/AV236*100)</f>
        <v>9.65423165158569</v>
      </c>
      <c r="BH236" s="761">
        <f>IF(AW236=0,0,(AX236-AW236)/AW236*100)</f>
        <v>2.35352740378816</v>
      </c>
      <c r="BI236" s="761">
        <f>IF(AX236=0,0,(AY236-AX236)/AX236*100)</f>
        <v>-100</v>
      </c>
      <c r="BJ236" s="761">
        <f>IF(AY236=0,0,(AZ236-AY236)/AY236*100)</f>
        <v>0</v>
      </c>
      <c r="BK236" s="761">
        <f>IF(AZ236=0,0,(BA236-AZ236)/AZ236*100)</f>
        <v>0</v>
      </c>
      <c r="BL236" s="761">
        <f>IF(BA236=0,0,(BB236-BA236)/BA236*100)</f>
        <v>0</v>
      </c>
      <c r="BM236" s="761">
        <f>IF(BB236=0,0,(BC236-BB236)/BB236*100)</f>
        <v>0</v>
      </c>
      <c r="BN236" s="7436"/>
      <c r="BO236" s="7724" t="str">
        <f>IF(_xlfn.IFERROR(INDEX(Налоги!$K$26:$L$101,MATCH($F236&amp;"komm",Налоги!$K$26:$K$101,0),2),"")=0,"",_xlfn.IFERROR(INDEX(Налоги!$K$26:$L$101,MATCH($F236&amp;"komm",Налоги!$K$26:$K$101,0),2),""))</f>
        <v>В соответствии с п.п. 2 п. 49 Методических указаний 1746-э.</v>
      </c>
      <c r="BP236" s="7436"/>
      <c r="BQ236" s="700"/>
      <c r="BR236" s="700"/>
      <c r="BS236" s="1070" t="s">
        <v>1999</v>
      </c>
      <c r="BT236" s="1070"/>
      <c r="BU236" s="1070"/>
      <c r="BV236" s="707"/>
      <c r="BW236" s="707"/>
    </row>
    <row s="1834" customFormat="1" customHeight="1" ht="14.25">
      <c r="A237" s="1278"/>
      <c r="B237" s="96"/>
      <c r="C237" s="107"/>
      <c r="D237" s="107"/>
      <c r="E237" s="621">
        <v>15</v>
      </c>
      <c r="F237" s="50" cm="1" t="str">
        <f t="array" ref="F237:F237">OFFSET(E237,-1,1)</f>
        <v>1</v>
      </c>
      <c r="G237" s="922">
        <v>7</v>
      </c>
      <c r="H237" s="107"/>
      <c r="I237" s="107" t="s">
        <v>2769</v>
      </c>
      <c r="J237" s="107"/>
      <c r="K237" s="107" t="s">
        <v>2769</v>
      </c>
      <c r="L237" s="980"/>
      <c r="M237" s="107"/>
      <c r="N237" s="107"/>
      <c r="O237" s="107"/>
      <c r="P237" s="107"/>
      <c r="Q237" s="107"/>
      <c r="R237" s="107"/>
      <c r="S237" s="107"/>
      <c r="T237" s="465" cm="1" t="str">
        <f t="array" ref="T237:T237">T236</f>
        <v>true</v>
      </c>
      <c r="U237" s="107"/>
      <c r="V237" s="107"/>
      <c r="W237" s="1278"/>
      <c r="X237" s="1563"/>
      <c r="Y237" s="1278"/>
      <c r="Z237" s="1546"/>
      <c r="AA237" s="1278"/>
      <c r="AB237" s="299" t="s">
        <v>1212</v>
      </c>
      <c r="AC237" s="765" t="s">
        <v>2013</v>
      </c>
      <c r="AD237" s="300" t="s">
        <v>1514</v>
      </c>
      <c r="AE237" s="259">
        <f>_xlfn.SUMIFS(Налоги!AE$25:AE$101,Налоги!$F$25:$F$101,$F237,Налоги!$AB$25:$AB$101,$G237)</f>
        <v>0</v>
      </c>
      <c r="AF237" s="259">
        <f>_xlfn.SUMIFS(Налоги!AF$25:AF$101,Налоги!$F$25:$F$101,$F237,Налоги!$AB$25:$AB$101,$G237)</f>
        <v>0</v>
      </c>
      <c r="AG237" s="259">
        <f>_xlfn.SUMIFS(Налоги!AG$25:AG$101,Налоги!$F$25:$F$101,$F237,Налоги!$AB$25:$AB$101,$G237)</f>
        <v>0</v>
      </c>
      <c r="AH237" s="943">
        <f>AG237-AF237</f>
        <v>0</v>
      </c>
      <c r="AI237" s="943">
        <f>_xlfn.SUMIFS(Налоги!AH$25:AH$101,Налоги!$F$25:$F$101,$F237,Налоги!$AB$25:$AB$101,$G237)</f>
        <v>0</v>
      </c>
      <c r="AJ237" s="943">
        <f>_xlfn.SUMIFS(Налоги!AI$25:AI$101,Налоги!$F$25:$F$101,$F237,Налоги!$AB$25:$AB$101,$G237)</f>
        <v>0</v>
      </c>
      <c r="AK237" s="943">
        <f>_xlfn.SUMIFS(Налоги!AJ$25:AJ$101,Налоги!$F$25:$F$101,$F237,Налоги!$AB$25:$AB$101,$G237)</f>
        <v>0</v>
      </c>
      <c r="AL237" s="943">
        <f>_xlfn.SUMIFS(Налоги!AK$25:AK$101,Налоги!$F$25:$F$101,$F237,Налоги!$AB$25:$AB$101,$G237)</f>
        <v>0</v>
      </c>
      <c r="AM237" s="943">
        <f>_xlfn.SUMIFS(Налоги!AL$25:AL$101,Налоги!$F$25:$F$101,$F237,Налоги!$AB$25:$AB$101,$G237)</f>
        <v>0</v>
      </c>
      <c r="AN237" s="943">
        <f>_xlfn.SUMIFS(Налоги!AM$25:AM$101,Налоги!$F$25:$F$101,$F237,Налоги!$AB$25:$AB$101,$G237)</f>
        <v>0</v>
      </c>
      <c r="AO237" s="943">
        <f>_xlfn.SUMIFS(Налоги!AN$25:AN$101,Налоги!$F$25:$F$101,$F237,Налоги!$AB$25:$AB$101,$G237)</f>
        <v>0</v>
      </c>
      <c r="AP237" s="943">
        <f>_xlfn.SUMIFS(Налоги!AO$25:AO$101,Налоги!$F$25:$F$101,$F237,Налоги!$AB$25:$AB$101,$G237)</f>
        <v>0</v>
      </c>
      <c r="AQ237" s="943">
        <f>_xlfn.SUMIFS(Налоги!AP$25:AP$101,Налоги!$F$25:$F$101,$F237,Налоги!$AB$25:$AB$101,$G237)</f>
        <v>0</v>
      </c>
      <c r="AR237" s="943">
        <f>_xlfn.SUMIFS(Налоги!AQ$25:AQ$101,Налоги!$F$25:$F$101,$F237,Налоги!$AB$25:$AB$101,$G237)</f>
        <v>0</v>
      </c>
      <c r="AS237" s="943">
        <f>_xlfn.SUMIFS(Налоги!AR$25:AR$101,Налоги!$F$25:$F$101,$F237,Налоги!$AB$25:$AB$101,$G237)</f>
        <v>0</v>
      </c>
      <c r="AT237" s="943">
        <f>_xlfn.SUMIFS(Налоги!AS$25:AS$101,Налоги!$F$25:$F$101,$F237,Налоги!$AB$25:$AB$101,$G237)</f>
        <v>0</v>
      </c>
      <c r="AU237" s="943">
        <f>_xlfn.SUMIFS(Налоги!AT$25:AT$101,Налоги!$F$25:$F$101,$F237,Налоги!$AB$25:$AB$101,$G237)</f>
        <v>0</v>
      </c>
      <c r="AV237" s="943">
        <f>_xlfn.SUMIFS(Налоги!AU$25:AU$101,Налоги!$F$25:$F$101,$F237,Налоги!$AB$25:$AB$101,$G237)</f>
        <v>0</v>
      </c>
      <c r="AW237" s="943">
        <f>_xlfn.SUMIFS(Налоги!AV$25:AV$101,Налоги!$F$25:$F$101,$F237,Налоги!$AB$25:$AB$101,$G237)</f>
        <v>0</v>
      </c>
      <c r="AX237" s="943">
        <f>_xlfn.SUMIFS(Налоги!AW$25:AW$101,Налоги!$F$25:$F$101,$F237,Налоги!$AB$25:$AB$101,$G237)</f>
        <v>0</v>
      </c>
      <c r="AY237" s="943">
        <f>_xlfn.SUMIFS(Налоги!AX$25:AX$101,Налоги!$F$25:$F$101,$F237,Налоги!$AB$25:$AB$101,$G237)</f>
        <v>0</v>
      </c>
      <c r="AZ237" s="943">
        <f>_xlfn.SUMIFS(Налоги!AY$25:AY$101,Налоги!$F$25:$F$101,$F237,Налоги!$AB$25:$AB$101,$G237)</f>
        <v>0</v>
      </c>
      <c r="BA237" s="943">
        <f>_xlfn.SUMIFS(Налоги!AZ$25:AZ$101,Налоги!$F$25:$F$101,$F237,Налоги!$AB$25:$AB$101,$G237)</f>
        <v>0</v>
      </c>
      <c r="BB237" s="943">
        <f>_xlfn.SUMIFS(Налоги!BA$25:BA$101,Налоги!$F$25:$F$101,$F237,Налоги!$AB$25:$AB$101,$G237)</f>
        <v>0</v>
      </c>
      <c r="BC237" s="943">
        <f>_xlfn.SUMIFS(Налоги!BB$25:BB$101,Налоги!$F$25:$F$101,$F237,Налоги!$AB$25:$AB$101,$G237)</f>
        <v>0</v>
      </c>
      <c r="BD237" s="943">
        <f>IF(AI237=0,0,(AT237-AI237)/AI237*100)</f>
        <v>0</v>
      </c>
      <c r="BE237" s="943">
        <f>IF(AT237=0,0,(AU237-AT237)/AT237*100)</f>
        <v>0</v>
      </c>
      <c r="BF237" s="943">
        <f>IF(AU237=0,0,(AV237-AU237)/AU237*100)</f>
        <v>0</v>
      </c>
      <c r="BG237" s="943">
        <f>IF(AV237=0,0,(AW237-AV237)/AV237*100)</f>
        <v>0</v>
      </c>
      <c r="BH237" s="943">
        <f>IF(AW237=0,0,(AX237-AW237)/AW237*100)</f>
        <v>0</v>
      </c>
      <c r="BI237" s="943">
        <f>IF(AX237=0,0,(AY237-AX237)/AX237*100)</f>
        <v>0</v>
      </c>
      <c r="BJ237" s="943">
        <f>IF(AY237=0,0,(AZ237-AY237)/AY237*100)</f>
        <v>0</v>
      </c>
      <c r="BK237" s="943">
        <f>IF(AZ237=0,0,(BA237-AZ237)/AZ237*100)</f>
        <v>0</v>
      </c>
      <c r="BL237" s="943">
        <f>IF(BA237=0,0,(BB237-BA237)/BA237*100)</f>
        <v>0</v>
      </c>
      <c r="BM237" s="943">
        <f>IF(BB237=0,0,(BC237-BB237)/BB237*100)</f>
        <v>0</v>
      </c>
      <c r="BN237" s="7771"/>
      <c r="BO237" s="7724" t="str">
        <f>IF(_xlfn.IFERROR(INDEX(Налоги!$K$26:$L$101,MATCH($F237&amp;"7komm",Налоги!$K$26:$K$101,0),2),"")=0,"",_xlfn.IFERROR(INDEX(Налоги!$K$26:$L$101,MATCH($F237&amp;"7komm",Налоги!$K$26:$K$101,0),2),""))</f>
        <v/>
      </c>
      <c r="BP237" s="7771"/>
      <c r="BQ237" s="1278"/>
      <c r="BR237" s="1278"/>
      <c r="BS237" s="1064" t="s">
        <v>2770</v>
      </c>
      <c r="BT237" s="1064"/>
      <c r="BU237" s="1064"/>
      <c r="BV237" s="979"/>
      <c r="BW237" s="979"/>
    </row>
    <row s="1834" customFormat="1" customHeight="1" ht="14.25">
      <c r="A238" s="1278"/>
      <c r="B238" s="96"/>
      <c r="C238" s="107"/>
      <c r="D238" s="107"/>
      <c r="E238" s="621">
        <v>15</v>
      </c>
      <c r="F238" s="50" cm="1" t="str">
        <f t="array" ref="F238:F238">OFFSET(E238,-1,1)</f>
        <v>1</v>
      </c>
      <c r="G238" s="922">
        <v>6</v>
      </c>
      <c r="H238" s="107"/>
      <c r="I238" s="107" t="s">
        <v>2771</v>
      </c>
      <c r="J238" s="107"/>
      <c r="K238" s="107" t="s">
        <v>2771</v>
      </c>
      <c r="L238" s="980"/>
      <c r="M238" s="107"/>
      <c r="N238" s="107"/>
      <c r="O238" s="107"/>
      <c r="P238" s="107"/>
      <c r="Q238" s="107"/>
      <c r="R238" s="107"/>
      <c r="S238" s="107"/>
      <c r="T238" s="465" cm="1" t="str">
        <f t="array" ref="T238:T238">T237</f>
        <v>true</v>
      </c>
      <c r="U238" s="107"/>
      <c r="V238" s="107"/>
      <c r="W238" s="1278"/>
      <c r="X238" s="1563"/>
      <c r="Y238" s="1278"/>
      <c r="Z238" s="1546"/>
      <c r="AA238" s="1278"/>
      <c r="AB238" s="299" t="s">
        <v>2225</v>
      </c>
      <c r="AC238" s="765" t="s">
        <v>2772</v>
      </c>
      <c r="AD238" s="300" t="s">
        <v>1514</v>
      </c>
      <c r="AE238" s="259">
        <f>_xlfn.SUMIFS(Налоги!AE$25:AE$101,Налоги!$F$25:$F$101,$F238,Налоги!$AB$25:$AB$101,$G238)</f>
        <v>0</v>
      </c>
      <c r="AF238" s="259">
        <f>_xlfn.SUMIFS(Налоги!AF$25:AF$101,Налоги!$F$25:$F$101,$F238,Налоги!$AB$25:$AB$101,$G238)</f>
        <v>0</v>
      </c>
      <c r="AG238" s="259">
        <f>_xlfn.SUMIFS(Налоги!AG$25:AG$101,Налоги!$F$25:$F$101,$F238,Налоги!$AB$25:$AB$101,$G238)</f>
        <v>0</v>
      </c>
      <c r="AH238" s="943">
        <f>AG238-AF238</f>
        <v>0</v>
      </c>
      <c r="AI238" s="943">
        <f>_xlfn.SUMIFS(Налоги!AH$25:AH$101,Налоги!$F$25:$F$101,$F238,Налоги!$AB$25:$AB$101,$G238)</f>
        <v>0</v>
      </c>
      <c r="AJ238" s="943">
        <f>_xlfn.SUMIFS(Налоги!AI$25:AI$101,Налоги!$F$25:$F$101,$F238,Налоги!$AB$25:$AB$101,$G238)</f>
        <v>504.0865</v>
      </c>
      <c r="AK238" s="943">
        <f>_xlfn.SUMIFS(Налоги!AJ$25:AJ$101,Налоги!$F$25:$F$101,$F238,Налоги!$AB$25:$AB$101,$G238)</f>
        <v>466.436</v>
      </c>
      <c r="AL238" s="943">
        <f>_xlfn.SUMIFS(Налоги!AK$25:AK$101,Налоги!$F$25:$F$101,$F238,Налоги!$AB$25:$AB$101,$G238)</f>
        <v>429.733</v>
      </c>
      <c r="AM238" s="943">
        <f>_xlfn.SUMIFS(Налоги!AL$25:AL$101,Налоги!$F$25:$F$101,$F238,Налоги!$AB$25:$AB$101,$G238)</f>
        <v>786.205</v>
      </c>
      <c r="AN238" s="943">
        <f>_xlfn.SUMIFS(Налоги!AM$25:AM$101,Налоги!$F$25:$F$101,$F238,Налоги!$AB$25:$AB$101,$G238)</f>
        <v>720.555</v>
      </c>
      <c r="AO238" s="943">
        <f>_xlfn.SUMIFS(Налоги!AN$25:AN$101,Налоги!$F$25:$F$101,$F238,Налоги!$AB$25:$AB$101,$G238)</f>
        <v>0</v>
      </c>
      <c r="AP238" s="943">
        <f>_xlfn.SUMIFS(Налоги!AO$25:AO$101,Налоги!$F$25:$F$101,$F238,Налоги!$AB$25:$AB$101,$G238)</f>
        <v>0</v>
      </c>
      <c r="AQ238" s="943">
        <f>_xlfn.SUMIFS(Налоги!AP$25:AP$101,Налоги!$F$25:$F$101,$F238,Налоги!$AB$25:$AB$101,$G238)</f>
        <v>0</v>
      </c>
      <c r="AR238" s="943">
        <f>_xlfn.SUMIFS(Налоги!AQ$25:AQ$101,Налоги!$F$25:$F$101,$F238,Налоги!$AB$25:$AB$101,$G238)</f>
        <v>0</v>
      </c>
      <c r="AS238" s="943">
        <f>_xlfn.SUMIFS(Налоги!AR$25:AR$101,Налоги!$F$25:$F$101,$F238,Налоги!$AB$25:$AB$101,$G238)</f>
        <v>0</v>
      </c>
      <c r="AT238" s="943">
        <f>_xlfn.SUMIFS(Налоги!AS$25:AS$101,Налоги!$F$25:$F$101,$F238,Налоги!$AB$25:$AB$101,$G238)</f>
        <v>504.0865</v>
      </c>
      <c r="AU238" s="943">
        <f>_xlfn.SUMIFS(Налоги!AT$25:AT$101,Налоги!$F$25:$F$101,$F238,Налоги!$AB$25:$AB$101,$G238)</f>
        <v>466.436</v>
      </c>
      <c r="AV238" s="943">
        <f>_xlfn.SUMIFS(Налоги!AU$25:AU$101,Налоги!$F$25:$F$101,$F238,Налоги!$AB$25:$AB$101,$G238)</f>
        <v>429.733</v>
      </c>
      <c r="AW238" s="943">
        <f>_xlfn.SUMIFS(Налоги!AV$25:AV$101,Налоги!$F$25:$F$101,$F238,Налоги!$AB$25:$AB$101,$G238)</f>
        <v>786.205</v>
      </c>
      <c r="AX238" s="943">
        <f>_xlfn.SUMIFS(Налоги!AW$25:AW$101,Налоги!$F$25:$F$101,$F238,Налоги!$AB$25:$AB$101,$G238)</f>
        <v>720.555</v>
      </c>
      <c r="AY238" s="943">
        <f>_xlfn.SUMIFS(Налоги!AX$25:AX$101,Налоги!$F$25:$F$101,$F238,Налоги!$AB$25:$AB$101,$G238)</f>
        <v>0</v>
      </c>
      <c r="AZ238" s="943">
        <f>_xlfn.SUMIFS(Налоги!AY$25:AY$101,Налоги!$F$25:$F$101,$F238,Налоги!$AB$25:$AB$101,$G238)</f>
        <v>0</v>
      </c>
      <c r="BA238" s="943">
        <f>_xlfn.SUMIFS(Налоги!AZ$25:AZ$101,Налоги!$F$25:$F$101,$F238,Налоги!$AB$25:$AB$101,$G238)</f>
        <v>0</v>
      </c>
      <c r="BB238" s="943">
        <f>_xlfn.SUMIFS(Налоги!BA$25:BA$101,Налоги!$F$25:$F$101,$F238,Налоги!$AB$25:$AB$101,$G238)</f>
        <v>0</v>
      </c>
      <c r="BC238" s="943">
        <f>_xlfn.SUMIFS(Налоги!BB$25:BB$101,Налоги!$F$25:$F$101,$F238,Налоги!$AB$25:$AB$101,$G238)</f>
        <v>0</v>
      </c>
      <c r="BD238" s="943">
        <f>IF(AI238=0,0,(AT238-AI238)/AI238*100)</f>
        <v>0</v>
      </c>
      <c r="BE238" s="943">
        <f>IF(AT238=0,0,(AU238-AT238)/AT238*100)</f>
        <v>-7.46905541013299</v>
      </c>
      <c r="BF238" s="943">
        <f>IF(AU238=0,0,(AV238-AU238)/AU238*100)</f>
        <v>-7.86881801576207</v>
      </c>
      <c r="BG238" s="943">
        <f>IF(AV238=0,0,(AW238-AV238)/AV238*100)</f>
        <v>82.951972503857</v>
      </c>
      <c r="BH238" s="943">
        <f>IF(AW238=0,0,(AX238-AW238)/AW238*100)</f>
        <v>-8.35023944136708</v>
      </c>
      <c r="BI238" s="943">
        <f>IF(AX238=0,0,(AY238-AX238)/AX238*100)</f>
        <v>-100</v>
      </c>
      <c r="BJ238" s="943">
        <f>IF(AY238=0,0,(AZ238-AY238)/AY238*100)</f>
        <v>0</v>
      </c>
      <c r="BK238" s="943">
        <f>IF(AZ238=0,0,(BA238-AZ238)/AZ238*100)</f>
        <v>0</v>
      </c>
      <c r="BL238" s="943">
        <f>IF(BA238=0,0,(BB238-BA238)/BA238*100)</f>
        <v>0</v>
      </c>
      <c r="BM238" s="943">
        <f>IF(BB238=0,0,(BC238-BB238)/BB238*100)</f>
        <v>0</v>
      </c>
      <c r="BN238" s="7771"/>
      <c r="BO238" s="7724" t="str">
        <f>IF(_xlfn.IFERROR(INDEX(Налоги!$K$26:$L$101,MATCH($F238&amp;"6komm",Налоги!$K$26:$K$101,0),2),"")=0,"",_xlfn.IFERROR(INDEX(Налоги!$K$26:$L$101,MATCH($F238&amp;"6komm",Налоги!$K$26:$K$101,0),2),""))</f>
        <v>в соответствии с п.1 ст.308 Налогового кодекса РФ от 05.08.2000 № 117-ФЗ, с учетом уменьшения суммы налога на 50% на 2024-2028 годы в соответствии с Законом от 24.11.2033 № 107-ОЗ "О внесении изменения в статью 4 Закона Кемеровской области-кузбасса "О налоге на имущество организаций". Налог рассчитан по остаточной стоимости, данные получены из материалов, представленных организацией при получении долгосрочных параметров регулирования.</v>
      </c>
      <c r="BP238" s="7771"/>
      <c r="BQ238" s="1278"/>
      <c r="BR238" s="1278"/>
      <c r="BS238" s="1064" t="s">
        <v>2773</v>
      </c>
      <c r="BT238" s="1064"/>
      <c r="BU238" s="1064"/>
      <c r="BV238" s="979"/>
      <c r="BW238" s="979"/>
    </row>
    <row s="1834" customFormat="1" customHeight="1" ht="14.25">
      <c r="A239" s="1278"/>
      <c r="B239" s="96"/>
      <c r="C239" s="107"/>
      <c r="D239" s="107"/>
      <c r="E239" s="621">
        <v>15</v>
      </c>
      <c r="F239" s="50" cm="1" t="str">
        <f t="array" ref="F239:F239">OFFSET(E239,-1,1)</f>
        <v>1</v>
      </c>
      <c r="G239" s="922">
        <v>2</v>
      </c>
      <c r="H239" s="107"/>
      <c r="I239" s="107" t="s">
        <v>2774</v>
      </c>
      <c r="J239" s="107"/>
      <c r="K239" s="107" t="s">
        <v>2774</v>
      </c>
      <c r="L239" s="980"/>
      <c r="M239" s="107"/>
      <c r="N239" s="107"/>
      <c r="O239" s="107"/>
      <c r="P239" s="107"/>
      <c r="Q239" s="107"/>
      <c r="R239" s="107"/>
      <c r="S239" s="107"/>
      <c r="T239" s="465" cm="1" t="str">
        <f t="array" ref="T239:T239">T238</f>
        <v>true</v>
      </c>
      <c r="U239" s="107"/>
      <c r="V239" s="107"/>
      <c r="W239" s="1278"/>
      <c r="X239" s="1563"/>
      <c r="Y239" s="1278"/>
      <c r="Z239" s="1546"/>
      <c r="AA239" s="1278"/>
      <c r="AB239" s="299" t="s">
        <v>2230</v>
      </c>
      <c r="AC239" s="765" t="s">
        <v>2775</v>
      </c>
      <c r="AD239" s="300" t="s">
        <v>1514</v>
      </c>
      <c r="AE239" s="259">
        <f>_xlfn.SUMIFS(Налоги!AE$25:AE$101,Налоги!$F$25:$F$101,$F239,Налоги!$AB$25:$AB$101,$G239)</f>
        <v>0</v>
      </c>
      <c r="AF239" s="259">
        <f>_xlfn.SUMIFS(Налоги!AF$25:AF$101,Налоги!$F$25:$F$101,$F239,Налоги!$AB$25:$AB$101,$G239)</f>
        <v>0</v>
      </c>
      <c r="AG239" s="259">
        <f>_xlfn.SUMIFS(Налоги!AG$25:AG$101,Налоги!$F$25:$F$101,$F239,Налоги!$AB$25:$AB$101,$G239)</f>
        <v>0</v>
      </c>
      <c r="AH239" s="943">
        <f>AG239-AF239</f>
        <v>0</v>
      </c>
      <c r="AI239" s="943">
        <f>_xlfn.SUMIFS(Налоги!AH$25:AH$101,Налоги!$F$25:$F$101,$F239,Налоги!$AB$25:$AB$101,$G239)</f>
        <v>0</v>
      </c>
      <c r="AJ239" s="943">
        <f>_xlfn.SUMIFS(Налоги!AI$25:AI$101,Налоги!$F$25:$F$101,$F239,Налоги!$AB$25:$AB$101,$G239)</f>
        <v>0</v>
      </c>
      <c r="AK239" s="943">
        <f>_xlfn.SUMIFS(Налоги!AJ$25:AJ$101,Налоги!$F$25:$F$101,$F239,Налоги!$AB$25:$AB$101,$G239)</f>
        <v>0</v>
      </c>
      <c r="AL239" s="943">
        <f>_xlfn.SUMIFS(Налоги!AK$25:AK$101,Налоги!$F$25:$F$101,$F239,Налоги!$AB$25:$AB$101,$G239)</f>
        <v>0</v>
      </c>
      <c r="AM239" s="943">
        <f>_xlfn.SUMIFS(Налоги!AL$25:AL$101,Налоги!$F$25:$F$101,$F239,Налоги!$AB$25:$AB$101,$G239)</f>
        <v>0</v>
      </c>
      <c r="AN239" s="943">
        <f>_xlfn.SUMIFS(Налоги!AM$25:AM$101,Налоги!$F$25:$F$101,$F239,Налоги!$AB$25:$AB$101,$G239)</f>
        <v>0</v>
      </c>
      <c r="AO239" s="943">
        <f>_xlfn.SUMIFS(Налоги!AN$25:AN$101,Налоги!$F$25:$F$101,$F239,Налоги!$AB$25:$AB$101,$G239)</f>
        <v>0</v>
      </c>
      <c r="AP239" s="943">
        <f>_xlfn.SUMIFS(Налоги!AO$25:AO$101,Налоги!$F$25:$F$101,$F239,Налоги!$AB$25:$AB$101,$G239)</f>
        <v>0</v>
      </c>
      <c r="AQ239" s="943">
        <f>_xlfn.SUMIFS(Налоги!AP$25:AP$101,Налоги!$F$25:$F$101,$F239,Налоги!$AB$25:$AB$101,$G239)</f>
        <v>0</v>
      </c>
      <c r="AR239" s="943">
        <f>_xlfn.SUMIFS(Налоги!AQ$25:AQ$101,Налоги!$F$25:$F$101,$F239,Налоги!$AB$25:$AB$101,$G239)</f>
        <v>0</v>
      </c>
      <c r="AS239" s="943">
        <f>_xlfn.SUMIFS(Налоги!AR$25:AR$101,Налоги!$F$25:$F$101,$F239,Налоги!$AB$25:$AB$101,$G239)</f>
        <v>0</v>
      </c>
      <c r="AT239" s="943">
        <f>_xlfn.SUMIFS(Налоги!AS$25:AS$101,Налоги!$F$25:$F$101,$F239,Налоги!$AB$25:$AB$101,$G239)</f>
        <v>0</v>
      </c>
      <c r="AU239" s="943">
        <f>_xlfn.SUMIFS(Налоги!AT$25:AT$101,Налоги!$F$25:$F$101,$F239,Налоги!$AB$25:$AB$101,$G239)</f>
        <v>0</v>
      </c>
      <c r="AV239" s="943">
        <f>_xlfn.SUMIFS(Налоги!AU$25:AU$101,Налоги!$F$25:$F$101,$F239,Налоги!$AB$25:$AB$101,$G239)</f>
        <v>0</v>
      </c>
      <c r="AW239" s="943">
        <f>_xlfn.SUMIFS(Налоги!AV$25:AV$101,Налоги!$F$25:$F$101,$F239,Налоги!$AB$25:$AB$101,$G239)</f>
        <v>0</v>
      </c>
      <c r="AX239" s="943">
        <f>_xlfn.SUMIFS(Налоги!AW$25:AW$101,Налоги!$F$25:$F$101,$F239,Налоги!$AB$25:$AB$101,$G239)</f>
        <v>0</v>
      </c>
      <c r="AY239" s="943">
        <f>_xlfn.SUMIFS(Налоги!AX$25:AX$101,Налоги!$F$25:$F$101,$F239,Налоги!$AB$25:$AB$101,$G239)</f>
        <v>0</v>
      </c>
      <c r="AZ239" s="943">
        <f>_xlfn.SUMIFS(Налоги!AY$25:AY$101,Налоги!$F$25:$F$101,$F239,Налоги!$AB$25:$AB$101,$G239)</f>
        <v>0</v>
      </c>
      <c r="BA239" s="943">
        <f>_xlfn.SUMIFS(Налоги!AZ$25:AZ$101,Налоги!$F$25:$F$101,$F239,Налоги!$AB$25:$AB$101,$G239)</f>
        <v>0</v>
      </c>
      <c r="BB239" s="943">
        <f>_xlfn.SUMIFS(Налоги!BA$25:BA$101,Налоги!$F$25:$F$101,$F239,Налоги!$AB$25:$AB$101,$G239)</f>
        <v>0</v>
      </c>
      <c r="BC239" s="943">
        <f>_xlfn.SUMIFS(Налоги!BB$25:BB$101,Налоги!$F$25:$F$101,$F239,Налоги!$AB$25:$AB$101,$G239)</f>
        <v>0</v>
      </c>
      <c r="BD239" s="943">
        <f>IF(AI239=0,0,(AT239-AI239)/AI239*100)</f>
        <v>0</v>
      </c>
      <c r="BE239" s="943">
        <f>IF(AT239=0,0,(AU239-AT239)/AT239*100)</f>
        <v>0</v>
      </c>
      <c r="BF239" s="943">
        <f>IF(AU239=0,0,(AV239-AU239)/AU239*100)</f>
        <v>0</v>
      </c>
      <c r="BG239" s="943">
        <f>IF(AV239=0,0,(AW239-AV239)/AV239*100)</f>
        <v>0</v>
      </c>
      <c r="BH239" s="943">
        <f>IF(AW239=0,0,(AX239-AW239)/AW239*100)</f>
        <v>0</v>
      </c>
      <c r="BI239" s="943">
        <f>IF(AX239=0,0,(AY239-AX239)/AX239*100)</f>
        <v>0</v>
      </c>
      <c r="BJ239" s="943">
        <f>IF(AY239=0,0,(AZ239-AY239)/AY239*100)</f>
        <v>0</v>
      </c>
      <c r="BK239" s="943">
        <f>IF(AZ239=0,0,(BA239-AZ239)/AZ239*100)</f>
        <v>0</v>
      </c>
      <c r="BL239" s="943">
        <f>IF(BA239=0,0,(BB239-BA239)/BA239*100)</f>
        <v>0</v>
      </c>
      <c r="BM239" s="943">
        <f>IF(BB239=0,0,(BC239-BB239)/BB239*100)</f>
        <v>0</v>
      </c>
      <c r="BN239" s="7771"/>
      <c r="BO239" s="7724" t="str">
        <f>IF(_xlfn.IFERROR(INDEX(Налоги!$K$26:$L$101,MATCH($F239&amp;"2komm",Налоги!$K$26:$K$101,0),2),"")=0,"",_xlfn.IFERROR(INDEX(Налоги!$K$26:$L$101,MATCH($F239&amp;"2komm",Налоги!$K$26:$K$101,0),2),""))</f>
        <v/>
      </c>
      <c r="BP239" s="7771"/>
      <c r="BQ239" s="1278"/>
      <c r="BR239" s="1278"/>
      <c r="BS239" s="1064" t="s">
        <v>2776</v>
      </c>
      <c r="BT239" s="1064"/>
      <c r="BU239" s="1064"/>
      <c r="BV239" s="979"/>
      <c r="BW239" s="979"/>
    </row>
    <row s="1834" customFormat="1" customHeight="1" ht="14.25">
      <c r="A240" s="1278"/>
      <c r="B240" s="96"/>
      <c r="C240" s="107"/>
      <c r="D240" s="107"/>
      <c r="E240" s="621">
        <v>15</v>
      </c>
      <c r="F240" s="50" cm="1" t="str">
        <f t="array" ref="F240:F240">OFFSET(E240,-1,1)</f>
        <v>1</v>
      </c>
      <c r="G240" s="922">
        <v>4</v>
      </c>
      <c r="H240" s="107"/>
      <c r="I240" s="107" t="s">
        <v>2777</v>
      </c>
      <c r="J240" s="107"/>
      <c r="K240" s="107" t="s">
        <v>2777</v>
      </c>
      <c r="L240" s="980"/>
      <c r="M240" s="107"/>
      <c r="N240" s="107"/>
      <c r="O240" s="107"/>
      <c r="P240" s="107"/>
      <c r="Q240" s="107"/>
      <c r="R240" s="107"/>
      <c r="S240" s="107"/>
      <c r="T240" s="465" cm="1" t="str">
        <f t="array" ref="T240:T240">T239</f>
        <v>true</v>
      </c>
      <c r="U240" s="107"/>
      <c r="V240" s="107"/>
      <c r="W240" s="1278"/>
      <c r="X240" s="1563"/>
      <c r="Y240" s="1278"/>
      <c r="Z240" s="1546"/>
      <c r="AA240" s="1278"/>
      <c r="AB240" s="299" t="s">
        <v>2778</v>
      </c>
      <c r="AC240" s="765" t="s">
        <v>2779</v>
      </c>
      <c r="AD240" s="300" t="s">
        <v>1514</v>
      </c>
      <c r="AE240" s="259">
        <f>_xlfn.SUMIFS(Налоги!AE$25:AE$101,Налоги!$F$25:$F$101,$F240,Налоги!$AB$25:$AB$101,$G240)</f>
        <v>0</v>
      </c>
      <c r="AF240" s="259">
        <f>_xlfn.SUMIFS(Налоги!AF$25:AF$101,Налоги!$F$25:$F$101,$F240,Налоги!$AB$25:$AB$101,$G240)</f>
        <v>0</v>
      </c>
      <c r="AG240" s="259">
        <f>_xlfn.SUMIFS(Налоги!AG$25:AG$101,Налоги!$F$25:$F$101,$F240,Налоги!$AB$25:$AB$101,$G240)</f>
        <v>0</v>
      </c>
      <c r="AH240" s="943">
        <f>AG240-AF240</f>
        <v>0</v>
      </c>
      <c r="AI240" s="943">
        <f>_xlfn.SUMIFS(Налоги!AH$25:AH$101,Налоги!$F$25:$F$101,$F240,Налоги!$AB$25:$AB$101,$G240)</f>
        <v>0</v>
      </c>
      <c r="AJ240" s="943">
        <f>_xlfn.SUMIFS(Налоги!AI$25:AI$101,Налоги!$F$25:$F$101,$F240,Налоги!$AB$25:$AB$101,$G240)</f>
        <v>725.01</v>
      </c>
      <c r="AK240" s="943">
        <f>_xlfn.SUMIFS(Налоги!AJ$25:AJ$101,Налоги!$F$25:$F$101,$F240,Налоги!$AB$25:$AB$101,$G240)</f>
        <v>754.0104</v>
      </c>
      <c r="AL240" s="943">
        <f>_xlfn.SUMIFS(Налоги!AK$25:AK$101,Налоги!$F$25:$F$101,$F240,Налоги!$AB$25:$AB$101,$G240)</f>
        <v>784.170816</v>
      </c>
      <c r="AM240" s="943">
        <f>_xlfn.SUMIFS(Налоги!AL$25:AL$101,Налоги!$F$25:$F$101,$F240,Налоги!$AB$25:$AB$101,$G240)</f>
        <v>815.53764864</v>
      </c>
      <c r="AN240" s="943">
        <f>_xlfn.SUMIFS(Налоги!AM$25:AM$101,Налоги!$F$25:$F$101,$F240,Налоги!$AB$25:$AB$101,$G240)</f>
        <v>848.1591545856</v>
      </c>
      <c r="AO240" s="943">
        <f>_xlfn.SUMIFS(Налоги!AN$25:AN$101,Налоги!$F$25:$F$101,$F240,Налоги!$AB$25:$AB$101,$G240)</f>
        <v>0</v>
      </c>
      <c r="AP240" s="943">
        <f>_xlfn.SUMIFS(Налоги!AO$25:AO$101,Налоги!$F$25:$F$101,$F240,Налоги!$AB$25:$AB$101,$G240)</f>
        <v>0</v>
      </c>
      <c r="AQ240" s="943">
        <f>_xlfn.SUMIFS(Налоги!AP$25:AP$101,Налоги!$F$25:$F$101,$F240,Налоги!$AB$25:$AB$101,$G240)</f>
        <v>0</v>
      </c>
      <c r="AR240" s="943">
        <f>_xlfn.SUMIFS(Налоги!AQ$25:AQ$101,Налоги!$F$25:$F$101,$F240,Налоги!$AB$25:$AB$101,$G240)</f>
        <v>0</v>
      </c>
      <c r="AS240" s="943">
        <f>_xlfn.SUMIFS(Налоги!AR$25:AR$101,Налоги!$F$25:$F$101,$F240,Налоги!$AB$25:$AB$101,$G240)</f>
        <v>0</v>
      </c>
      <c r="AT240" s="943">
        <f>_xlfn.SUMIFS(Налоги!AS$25:AS$101,Налоги!$F$25:$F$101,$F240,Налоги!$AB$25:$AB$101,$G240)</f>
        <v>725.01</v>
      </c>
      <c r="AU240" s="943">
        <f>_xlfn.SUMIFS(Налоги!AT$25:AT$101,Налоги!$F$25:$F$101,$F240,Налоги!$AB$25:$AB$101,$G240)</f>
        <v>754.0104</v>
      </c>
      <c r="AV240" s="943">
        <f>_xlfn.SUMIFS(Налоги!AU$25:AU$101,Налоги!$F$25:$F$101,$F240,Налоги!$AB$25:$AB$101,$G240)</f>
        <v>784.170816</v>
      </c>
      <c r="AW240" s="943">
        <f>_xlfn.SUMIFS(Налоги!AV$25:AV$101,Налоги!$F$25:$F$101,$F240,Налоги!$AB$25:$AB$101,$G240)</f>
        <v>815.53764864</v>
      </c>
      <c r="AX240" s="943">
        <f>_xlfn.SUMIFS(Налоги!AW$25:AW$101,Налоги!$F$25:$F$101,$F240,Налоги!$AB$25:$AB$101,$G240)</f>
        <v>848.1591545856</v>
      </c>
      <c r="AY240" s="943">
        <f>_xlfn.SUMIFS(Налоги!AX$25:AX$101,Налоги!$F$25:$F$101,$F240,Налоги!$AB$25:$AB$101,$G240)</f>
        <v>0</v>
      </c>
      <c r="AZ240" s="943">
        <f>_xlfn.SUMIFS(Налоги!AY$25:AY$101,Налоги!$F$25:$F$101,$F240,Налоги!$AB$25:$AB$101,$G240)</f>
        <v>0</v>
      </c>
      <c r="BA240" s="943">
        <f>_xlfn.SUMIFS(Налоги!AZ$25:AZ$101,Налоги!$F$25:$F$101,$F240,Налоги!$AB$25:$AB$101,$G240)</f>
        <v>0</v>
      </c>
      <c r="BB240" s="943">
        <f>_xlfn.SUMIFS(Налоги!BA$25:BA$101,Налоги!$F$25:$F$101,$F240,Налоги!$AB$25:$AB$101,$G240)</f>
        <v>0</v>
      </c>
      <c r="BC240" s="943">
        <f>_xlfn.SUMIFS(Налоги!BB$25:BB$101,Налоги!$F$25:$F$101,$F240,Налоги!$AB$25:$AB$101,$G240)</f>
        <v>0</v>
      </c>
      <c r="BD240" s="943">
        <f>IF(AI240=0,0,(AT240-AI240)/AI240*100)</f>
        <v>0</v>
      </c>
      <c r="BE240" s="943">
        <f>IF(AT240=0,0,(AU240-AT240)/AT240*100)</f>
        <v>4</v>
      </c>
      <c r="BF240" s="943">
        <f>IF(AU240=0,0,(AV240-AU240)/AU240*100)</f>
        <v>4</v>
      </c>
      <c r="BG240" s="943">
        <f>IF(AV240=0,0,(AW240-AV240)/AV240*100)</f>
        <v>4</v>
      </c>
      <c r="BH240" s="943">
        <f>IF(AW240=0,0,(AX240-AW240)/AW240*100)</f>
        <v>4</v>
      </c>
      <c r="BI240" s="943">
        <f>IF(AX240=0,0,(AY240-AX240)/AX240*100)</f>
        <v>-100</v>
      </c>
      <c r="BJ240" s="943">
        <f>IF(AY240=0,0,(AZ240-AY240)/AY240*100)</f>
        <v>0</v>
      </c>
      <c r="BK240" s="943">
        <f>IF(AZ240=0,0,(BA240-AZ240)/AZ240*100)</f>
        <v>0</v>
      </c>
      <c r="BL240" s="943">
        <f>IF(BA240=0,0,(BB240-BA240)/BA240*100)</f>
        <v>0</v>
      </c>
      <c r="BM240" s="943">
        <f>IF(BB240=0,0,(BC240-BB240)/BB240*100)</f>
        <v>0</v>
      </c>
      <c r="BN240" s="7771"/>
      <c r="BO240" s="7724" t="str">
        <f>IF(_xlfn.IFERROR(INDEX(Налоги!$K$26:$L$101,MATCH($F240&amp;"4komm",Налоги!$K$26:$K$101,0),2),"")=0,"",_xlfn.IFERROR(INDEX(Налоги!$K$26:$L$101,MATCH($F240&amp;"4komm",Налоги!$K$26:$K$101,0),2),""))</f>
        <v>рассчитано исходя из плановых объемов, с учетом ставок в соответствии со ст. 333.12 Налогового кодекса РФ от 05.08.2000 № 117-ФЗ.</v>
      </c>
      <c r="BP240" s="7771"/>
      <c r="BQ240" s="1278"/>
      <c r="BR240" s="1278"/>
      <c r="BS240" s="1064" t="s">
        <v>2780</v>
      </c>
      <c r="BT240" s="1064"/>
      <c r="BU240" s="1064"/>
      <c r="BV240" s="979"/>
      <c r="BW240" s="979"/>
    </row>
    <row s="1834" customFormat="1" customHeight="1" ht="14.25">
      <c r="A241" s="1278"/>
      <c r="B241" s="96"/>
      <c r="C241" s="107"/>
      <c r="D241" s="107"/>
      <c r="E241" s="621">
        <v>15</v>
      </c>
      <c r="F241" s="50" cm="1" t="str">
        <f t="array" ref="F241:F241">OFFSET(E241,-1,1)</f>
        <v>1</v>
      </c>
      <c r="G241" s="922">
        <v>5</v>
      </c>
      <c r="H241" s="107"/>
      <c r="I241" s="107" t="s">
        <v>2781</v>
      </c>
      <c r="J241" s="107"/>
      <c r="K241" s="107" t="s">
        <v>2781</v>
      </c>
      <c r="L241" s="980"/>
      <c r="M241" s="107"/>
      <c r="N241" s="107"/>
      <c r="O241" s="107"/>
      <c r="P241" s="107"/>
      <c r="Q241" s="107"/>
      <c r="R241" s="107"/>
      <c r="S241" s="107"/>
      <c r="T241" s="465" cm="1" t="str">
        <f t="array" ref="T241:T241">T240</f>
        <v>true</v>
      </c>
      <c r="U241" s="107"/>
      <c r="V241" s="107"/>
      <c r="W241" s="1278"/>
      <c r="X241" s="1563"/>
      <c r="Y241" s="1278"/>
      <c r="Z241" s="1546"/>
      <c r="AA241" s="1278"/>
      <c r="AB241" s="299" t="s">
        <v>2782</v>
      </c>
      <c r="AC241" s="765" t="s">
        <v>2783</v>
      </c>
      <c r="AD241" s="300" t="s">
        <v>1514</v>
      </c>
      <c r="AE241" s="259">
        <f>_xlfn.SUMIFS(Налоги!AE$25:AE$101,Налоги!$F$25:$F$101,$F241,Налоги!$AB$25:$AB$101,$G241)</f>
        <v>0</v>
      </c>
      <c r="AF241" s="259">
        <f>_xlfn.SUMIFS(Налоги!AF$25:AF$101,Налоги!$F$25:$F$101,$F241,Налоги!$AB$25:$AB$101,$G241)</f>
        <v>0</v>
      </c>
      <c r="AG241" s="259">
        <f>_xlfn.SUMIFS(Налоги!AG$25:AG$101,Налоги!$F$25:$F$101,$F241,Налоги!$AB$25:$AB$101,$G241)</f>
        <v>0</v>
      </c>
      <c r="AH241" s="943">
        <f>AG241-AF241</f>
        <v>0</v>
      </c>
      <c r="AI241" s="943">
        <f>_xlfn.SUMIFS(Налоги!AH$25:AH$101,Налоги!$F$25:$F$101,$F241,Налоги!$AB$25:$AB$101,$G241)</f>
        <v>0</v>
      </c>
      <c r="AJ241" s="943">
        <f>_xlfn.SUMIFS(Налоги!AI$25:AI$101,Налоги!$F$25:$F$101,$F241,Налоги!$AB$25:$AB$101,$G241)</f>
        <v>5935.843871</v>
      </c>
      <c r="AK241" s="943">
        <f>_xlfn.SUMIFS(Налоги!AJ$25:AJ$101,Налоги!$F$25:$F$101,$F241,Налоги!$AB$25:$AB$101,$G241)</f>
        <v>6173.27762584</v>
      </c>
      <c r="AL241" s="943">
        <f>_xlfn.SUMIFS(Налоги!AK$25:AK$101,Налоги!$F$25:$F$101,$F241,Налоги!$AB$25:$AB$101,$G241)</f>
        <v>6420.2087308736</v>
      </c>
      <c r="AM241" s="943">
        <f>_xlfn.SUMIFS(Налоги!AL$25:AL$101,Налоги!$F$25:$F$101,$F241,Налоги!$AB$25:$AB$101,$G241)</f>
        <v>6677.01708010854</v>
      </c>
      <c r="AN241" s="943">
        <f>_xlfn.SUMIFS(Налоги!AM$25:AM$101,Налоги!$F$25:$F$101,$F241,Налоги!$AB$25:$AB$101,$G241)</f>
        <v>6944.09776331288</v>
      </c>
      <c r="AO241" s="943">
        <f>_xlfn.SUMIFS(Налоги!AN$25:AN$101,Налоги!$F$25:$F$101,$F241,Налоги!$AB$25:$AB$101,$G241)</f>
        <v>0</v>
      </c>
      <c r="AP241" s="943">
        <f>_xlfn.SUMIFS(Налоги!AO$25:AO$101,Налоги!$F$25:$F$101,$F241,Налоги!$AB$25:$AB$101,$G241)</f>
        <v>0</v>
      </c>
      <c r="AQ241" s="943">
        <f>_xlfn.SUMIFS(Налоги!AP$25:AP$101,Налоги!$F$25:$F$101,$F241,Налоги!$AB$25:$AB$101,$G241)</f>
        <v>0</v>
      </c>
      <c r="AR241" s="943">
        <f>_xlfn.SUMIFS(Налоги!AQ$25:AQ$101,Налоги!$F$25:$F$101,$F241,Налоги!$AB$25:$AB$101,$G241)</f>
        <v>0</v>
      </c>
      <c r="AS241" s="943">
        <f>_xlfn.SUMIFS(Налоги!AR$25:AR$101,Налоги!$F$25:$F$101,$F241,Налоги!$AB$25:$AB$101,$G241)</f>
        <v>0</v>
      </c>
      <c r="AT241" s="943">
        <f>_xlfn.SUMIFS(Налоги!AS$25:AS$101,Налоги!$F$25:$F$101,$F241,Налоги!$AB$25:$AB$101,$G241)</f>
        <v>5935.843871</v>
      </c>
      <c r="AU241" s="943">
        <f>_xlfn.SUMIFS(Налоги!AT$25:AT$101,Налоги!$F$25:$F$101,$F241,Налоги!$AB$25:$AB$101,$G241)</f>
        <v>6173.27762584</v>
      </c>
      <c r="AV241" s="943">
        <f>_xlfn.SUMIFS(Налоги!AU$25:AU$101,Налоги!$F$25:$F$101,$F241,Налоги!$AB$25:$AB$101,$G241)</f>
        <v>6420.2087308736</v>
      </c>
      <c r="AW241" s="943">
        <f>_xlfn.SUMIFS(Налоги!AV$25:AV$101,Налоги!$F$25:$F$101,$F241,Налоги!$AB$25:$AB$101,$G241)</f>
        <v>6677.01708010854</v>
      </c>
      <c r="AX241" s="943">
        <f>_xlfn.SUMIFS(Налоги!AW$25:AW$101,Налоги!$F$25:$F$101,$F241,Налоги!$AB$25:$AB$101,$G241)</f>
        <v>6944.09776331288</v>
      </c>
      <c r="AY241" s="943">
        <f>_xlfn.SUMIFS(Налоги!AX$25:AX$101,Налоги!$F$25:$F$101,$F241,Налоги!$AB$25:$AB$101,$G241)</f>
        <v>0</v>
      </c>
      <c r="AZ241" s="943">
        <f>_xlfn.SUMIFS(Налоги!AY$25:AY$101,Налоги!$F$25:$F$101,$F241,Налоги!$AB$25:$AB$101,$G241)</f>
        <v>0</v>
      </c>
      <c r="BA241" s="943">
        <f>_xlfn.SUMIFS(Налоги!AZ$25:AZ$101,Налоги!$F$25:$F$101,$F241,Налоги!$AB$25:$AB$101,$G241)</f>
        <v>0</v>
      </c>
      <c r="BB241" s="943">
        <f>_xlfn.SUMIFS(Налоги!BA$25:BA$101,Налоги!$F$25:$F$101,$F241,Налоги!$AB$25:$AB$101,$G241)</f>
        <v>0</v>
      </c>
      <c r="BC241" s="943">
        <f>_xlfn.SUMIFS(Налоги!BB$25:BB$101,Налоги!$F$25:$F$101,$F241,Налоги!$AB$25:$AB$101,$G241)</f>
        <v>0</v>
      </c>
      <c r="BD241" s="943">
        <f>IF(AI241=0,0,(AT241-AI241)/AI241*100)</f>
        <v>0</v>
      </c>
      <c r="BE241" s="943">
        <f>IF(AT241=0,0,(AU241-AT241)/AT241*100)</f>
        <v>4</v>
      </c>
      <c r="BF241" s="943">
        <f>IF(AU241=0,0,(AV241-AU241)/AU241*100)</f>
        <v>4</v>
      </c>
      <c r="BG241" s="943">
        <f>IF(AV241=0,0,(AW241-AV241)/AV241*100)</f>
        <v>3.9999999999999</v>
      </c>
      <c r="BH241" s="943">
        <f>IF(AW241=0,0,(AX241-AW241)/AW241*100)</f>
        <v>4</v>
      </c>
      <c r="BI241" s="943">
        <f>IF(AX241=0,0,(AY241-AX241)/AX241*100)</f>
        <v>-100</v>
      </c>
      <c r="BJ241" s="943">
        <f>IF(AY241=0,0,(AZ241-AY241)/AY241*100)</f>
        <v>0</v>
      </c>
      <c r="BK241" s="943">
        <f>IF(AZ241=0,0,(BA241-AZ241)/AZ241*100)</f>
        <v>0</v>
      </c>
      <c r="BL241" s="943">
        <f>IF(BA241=0,0,(BB241-BA241)/BA241*100)</f>
        <v>0</v>
      </c>
      <c r="BM241" s="943">
        <f>IF(BB241=0,0,(BC241-BB241)/BB241*100)</f>
        <v>0</v>
      </c>
      <c r="BN241" s="7771"/>
      <c r="BO241" s="7724" t="str">
        <f>IF(_xlfn.IFERROR(INDEX(Налоги!$K$26:$L$101,MATCH($F241&amp;"5komm",Налоги!$K$26:$K$101,0),2),"")=0,"",_xlfn.IFERROR(INDEX(Налоги!$K$26:$L$101,MATCH($F241&amp;"5komm",Налоги!$K$26:$K$101,0),2),""))</f>
        <v>рассчитано исходя из плановых объемов, с учетом ставок договора водопользования.</v>
      </c>
      <c r="BP241" s="7771"/>
      <c r="BQ241" s="1278"/>
      <c r="BR241" s="1278"/>
      <c r="BS241" s="1064" t="s">
        <v>2784</v>
      </c>
      <c r="BT241" s="1064"/>
      <c r="BU241" s="1064"/>
      <c r="BV241" s="979"/>
      <c r="BW241" s="979"/>
    </row>
    <row s="1834" customFormat="1" customHeight="1" ht="14.25">
      <c r="A242" s="1278"/>
      <c r="B242" s="96"/>
      <c r="C242" s="107"/>
      <c r="D242" s="107"/>
      <c r="E242" s="621">
        <v>15</v>
      </c>
      <c r="F242" s="50" cm="1" t="str">
        <f t="array" ref="F242:F242">OFFSET(E242,-1,1)</f>
        <v>1</v>
      </c>
      <c r="G242" s="922">
        <v>1</v>
      </c>
      <c r="H242" s="107"/>
      <c r="I242" s="107" t="s">
        <v>2785</v>
      </c>
      <c r="J242" s="107"/>
      <c r="K242" s="107" t="s">
        <v>2785</v>
      </c>
      <c r="L242" s="980"/>
      <c r="M242" s="107"/>
      <c r="N242" s="107"/>
      <c r="O242" s="107"/>
      <c r="P242" s="107"/>
      <c r="Q242" s="107"/>
      <c r="R242" s="107"/>
      <c r="S242" s="107"/>
      <c r="T242" s="465" cm="1" t="str">
        <f t="array" ref="T242:T242">T241</f>
        <v>true</v>
      </c>
      <c r="U242" s="107"/>
      <c r="V242" s="107"/>
      <c r="W242" s="1278"/>
      <c r="X242" s="1563"/>
      <c r="Y242" s="1278"/>
      <c r="Z242" s="1546"/>
      <c r="AA242" s="1278"/>
      <c r="AB242" s="299" t="s">
        <v>2786</v>
      </c>
      <c r="AC242" s="765" t="s">
        <v>2787</v>
      </c>
      <c r="AD242" s="300" t="s">
        <v>1514</v>
      </c>
      <c r="AE242" s="259">
        <f>_xlfn.SUMIFS(Налоги!AE$25:AE$101,Налоги!$F$25:$F$101,$F242,Налоги!$AB$25:$AB$101,$G242)</f>
        <v>0</v>
      </c>
      <c r="AF242" s="259">
        <f>_xlfn.SUMIFS(Налоги!AF$25:AF$101,Налоги!$F$25:$F$101,$F242,Налоги!$AB$25:$AB$101,$G242)</f>
        <v>0</v>
      </c>
      <c r="AG242" s="259">
        <f>_xlfn.SUMIFS(Налоги!AG$25:AG$101,Налоги!$F$25:$F$101,$F242,Налоги!$AB$25:$AB$101,$G242)</f>
        <v>0</v>
      </c>
      <c r="AH242" s="943">
        <f>AG242-AF242</f>
        <v>0</v>
      </c>
      <c r="AI242" s="943">
        <f>_xlfn.SUMIFS(Налоги!AH$25:AH$101,Налоги!$F$25:$F$101,$F242,Налоги!$AB$25:$AB$101,$G242)</f>
        <v>0</v>
      </c>
      <c r="AJ242" s="943">
        <f>_xlfn.SUMIFS(Налоги!AI$25:AI$101,Налоги!$F$25:$F$101,$F242,Налоги!$AB$25:$AB$101,$G242)</f>
        <v>6.866</v>
      </c>
      <c r="AK242" s="943">
        <f>_xlfn.SUMIFS(Налоги!AJ$25:AJ$101,Налоги!$F$25:$F$101,$F242,Налоги!$AB$25:$AB$101,$G242)</f>
        <v>6.866</v>
      </c>
      <c r="AL242" s="943">
        <f>_xlfn.SUMIFS(Налоги!AK$25:AK$101,Налоги!$F$25:$F$101,$F242,Налоги!$AB$25:$AB$101,$G242)</f>
        <v>6.866</v>
      </c>
      <c r="AM242" s="943">
        <f>_xlfn.SUMIFS(Налоги!AL$25:AL$101,Налоги!$F$25:$F$101,$F242,Налоги!$AB$25:$AB$101,$G242)</f>
        <v>6.866</v>
      </c>
      <c r="AN242" s="943">
        <f>_xlfn.SUMIFS(Налоги!AM$25:AM$101,Налоги!$F$25:$F$101,$F242,Налоги!$AB$25:$AB$101,$G242)</f>
        <v>6.866</v>
      </c>
      <c r="AO242" s="943">
        <f>_xlfn.SUMIFS(Налоги!AN$25:AN$101,Налоги!$F$25:$F$101,$F242,Налоги!$AB$25:$AB$101,$G242)</f>
        <v>0</v>
      </c>
      <c r="AP242" s="943">
        <f>_xlfn.SUMIFS(Налоги!AO$25:AO$101,Налоги!$F$25:$F$101,$F242,Налоги!$AB$25:$AB$101,$G242)</f>
        <v>0</v>
      </c>
      <c r="AQ242" s="943">
        <f>_xlfn.SUMIFS(Налоги!AP$25:AP$101,Налоги!$F$25:$F$101,$F242,Налоги!$AB$25:$AB$101,$G242)</f>
        <v>0</v>
      </c>
      <c r="AR242" s="943">
        <f>_xlfn.SUMIFS(Налоги!AQ$25:AQ$101,Налоги!$F$25:$F$101,$F242,Налоги!$AB$25:$AB$101,$G242)</f>
        <v>0</v>
      </c>
      <c r="AS242" s="943">
        <f>_xlfn.SUMIFS(Налоги!AR$25:AR$101,Налоги!$F$25:$F$101,$F242,Налоги!$AB$25:$AB$101,$G242)</f>
        <v>0</v>
      </c>
      <c r="AT242" s="943">
        <f>_xlfn.SUMIFS(Налоги!AS$25:AS$101,Налоги!$F$25:$F$101,$F242,Налоги!$AB$25:$AB$101,$G242)</f>
        <v>6.866</v>
      </c>
      <c r="AU242" s="943">
        <f>_xlfn.SUMIFS(Налоги!AT$25:AT$101,Налоги!$F$25:$F$101,$F242,Налоги!$AB$25:$AB$101,$G242)</f>
        <v>6.866</v>
      </c>
      <c r="AV242" s="943">
        <f>_xlfn.SUMIFS(Налоги!AU$25:AU$101,Налоги!$F$25:$F$101,$F242,Налоги!$AB$25:$AB$101,$G242)</f>
        <v>6.866</v>
      </c>
      <c r="AW242" s="943">
        <f>_xlfn.SUMIFS(Налоги!AV$25:AV$101,Налоги!$F$25:$F$101,$F242,Налоги!$AB$25:$AB$101,$G242)</f>
        <v>6.866</v>
      </c>
      <c r="AX242" s="943">
        <f>_xlfn.SUMIFS(Налоги!AW$25:AW$101,Налоги!$F$25:$F$101,$F242,Налоги!$AB$25:$AB$101,$G242)</f>
        <v>6.866</v>
      </c>
      <c r="AY242" s="943">
        <f>_xlfn.SUMIFS(Налоги!AX$25:AX$101,Налоги!$F$25:$F$101,$F242,Налоги!$AB$25:$AB$101,$G242)</f>
        <v>0</v>
      </c>
      <c r="AZ242" s="943">
        <f>_xlfn.SUMIFS(Налоги!AY$25:AY$101,Налоги!$F$25:$F$101,$F242,Налоги!$AB$25:$AB$101,$G242)</f>
        <v>0</v>
      </c>
      <c r="BA242" s="943">
        <f>_xlfn.SUMIFS(Налоги!AZ$25:AZ$101,Налоги!$F$25:$F$101,$F242,Налоги!$AB$25:$AB$101,$G242)</f>
        <v>0</v>
      </c>
      <c r="BB242" s="943">
        <f>_xlfn.SUMIFS(Налоги!BA$25:BA$101,Налоги!$F$25:$F$101,$F242,Налоги!$AB$25:$AB$101,$G242)</f>
        <v>0</v>
      </c>
      <c r="BC242" s="943">
        <f>_xlfn.SUMIFS(Налоги!BB$25:BB$101,Налоги!$F$25:$F$101,$F242,Налоги!$AB$25:$AB$101,$G242)</f>
        <v>0</v>
      </c>
      <c r="BD242" s="943">
        <f>IF(AI242=0,0,(AT242-AI242)/AI242*100)</f>
        <v>0</v>
      </c>
      <c r="BE242" s="943">
        <f>IF(AT242=0,0,(AU242-AT242)/AT242*100)</f>
        <v>0</v>
      </c>
      <c r="BF242" s="943">
        <f>IF(AU242=0,0,(AV242-AU242)/AU242*100)</f>
        <v>0</v>
      </c>
      <c r="BG242" s="943">
        <f>IF(AV242=0,0,(AW242-AV242)/AV242*100)</f>
        <v>0</v>
      </c>
      <c r="BH242" s="943">
        <f>IF(AW242=0,0,(AX242-AW242)/AW242*100)</f>
        <v>0</v>
      </c>
      <c r="BI242" s="943">
        <f>IF(AX242=0,0,(AY242-AX242)/AX242*100)</f>
        <v>-100</v>
      </c>
      <c r="BJ242" s="943">
        <f>IF(AY242=0,0,(AZ242-AY242)/AY242*100)</f>
        <v>0</v>
      </c>
      <c r="BK242" s="943">
        <f>IF(AZ242=0,0,(BA242-AZ242)/AZ242*100)</f>
        <v>0</v>
      </c>
      <c r="BL242" s="943">
        <f>IF(BA242=0,0,(BB242-BA242)/BA242*100)</f>
        <v>0</v>
      </c>
      <c r="BM242" s="943">
        <f>IF(BB242=0,0,(BC242-BB242)/BB242*100)</f>
        <v>0</v>
      </c>
      <c r="BN242" s="7771"/>
      <c r="BO242" s="7724" t="str">
        <f>IF(_xlfn.IFERROR(INDEX(Налоги!$K$26:$L$101,MATCH($F242&amp;"1komm",Налоги!$K$26:$K$101,0),2),"")=0,"",_xlfn.IFERROR(INDEX(Налоги!$K$26:$L$101,MATCH($F242&amp;"1komm",Налоги!$K$26:$K$101,0),2),""))</f>
        <v>по предложению организации.</v>
      </c>
      <c r="BP242" s="7771"/>
      <c r="BQ242" s="1278"/>
      <c r="BR242" s="1278"/>
      <c r="BS242" s="1064" t="s">
        <v>2788</v>
      </c>
      <c r="BT242" s="1064"/>
      <c r="BU242" s="1064"/>
      <c r="BV242" s="979"/>
      <c r="BW242" s="979"/>
    </row>
    <row s="1834" customFormat="1" customHeight="1" ht="14.25">
      <c r="A243" s="1278"/>
      <c r="B243" s="96"/>
      <c r="C243" s="107"/>
      <c r="D243" s="107"/>
      <c r="E243" s="621">
        <v>15</v>
      </c>
      <c r="F243" s="50" cm="1" t="str">
        <f t="array" ref="F243:F243">OFFSET(E243,-1,1)</f>
        <v>1</v>
      </c>
      <c r="G243" s="922">
        <v>3</v>
      </c>
      <c r="H243" s="107"/>
      <c r="I243" s="107" t="s">
        <v>2789</v>
      </c>
      <c r="J243" s="107"/>
      <c r="K243" s="107" t="s">
        <v>2789</v>
      </c>
      <c r="L243" s="980"/>
      <c r="M243" s="107"/>
      <c r="N243" s="107"/>
      <c r="O243" s="107"/>
      <c r="P243" s="107"/>
      <c r="Q243" s="107"/>
      <c r="R243" s="107"/>
      <c r="S243" s="107"/>
      <c r="T243" s="465" cm="1" t="str">
        <f t="array" ref="T243:T243">T242</f>
        <v>true</v>
      </c>
      <c r="U243" s="107"/>
      <c r="V243" s="107"/>
      <c r="W243" s="1278"/>
      <c r="X243" s="1563"/>
      <c r="Y243" s="1278"/>
      <c r="Z243" s="1546"/>
      <c r="AA243" s="1278"/>
      <c r="AB243" s="299" t="s">
        <v>2790</v>
      </c>
      <c r="AC243" s="765" t="s">
        <v>2791</v>
      </c>
      <c r="AD243" s="300" t="s">
        <v>1514</v>
      </c>
      <c r="AE243" s="7773">
        <f>_xlfn.SUMIFS(Налоги!AE$25:AE$101,Налоги!$F$25:$F$101,$F243,Налоги!$AB$25:$AB$101,$G243)</f>
        <v>0</v>
      </c>
      <c r="AF243" s="7773">
        <f>_xlfn.SUMIFS(Налоги!AF$25:AF$101,Налоги!$F$25:$F$101,$F243,Налоги!$AB$25:$AB$101,$G243)</f>
        <v>0</v>
      </c>
      <c r="AG243" s="7773">
        <f>_xlfn.SUMIFS(Налоги!AG$25:AG$101,Налоги!$F$25:$F$101,$F243,Налоги!$AB$25:$AB$101,$G243)</f>
        <v>0</v>
      </c>
      <c r="AH243" s="943">
        <f>AG243-AF243</f>
        <v>0</v>
      </c>
      <c r="AI243" s="7723">
        <f>_xlfn.SUMIFS(Налоги!AH$25:AH$101,Налоги!$F$25:$F$101,$F243,Налоги!$AB$25:$AB$101,$G243)</f>
        <v>0</v>
      </c>
      <c r="AJ243" s="7723">
        <f>_xlfn.SUMIFS(Налоги!AI$25:AI$101,Налоги!$F$25:$F$101,$F243,Налоги!$AB$25:$AB$101,$G243)</f>
        <v>16.67520804</v>
      </c>
      <c r="AK243" s="7723">
        <f>_xlfn.SUMIFS(Налоги!AJ$25:AJ$101,Налоги!$F$25:$F$101,$F243,Налоги!$AB$25:$AB$101,$G243)</f>
        <v>17.3422163616</v>
      </c>
      <c r="AL243" s="7723">
        <f>_xlfn.SUMIFS(Налоги!AK$25:AK$101,Налоги!$F$25:$F$101,$F243,Налоги!$AB$25:$AB$101,$G243)</f>
        <v>18.035905016064</v>
      </c>
      <c r="AM243" s="7723">
        <f>_xlfn.SUMIFS(Налоги!AL$25:AL$101,Налоги!$F$25:$F$101,$F243,Налоги!$AB$25:$AB$101,$G243)</f>
        <v>18.7573412167066</v>
      </c>
      <c r="AN243" s="7723">
        <f>_xlfn.SUMIFS(Налоги!AM$25:AM$101,Налоги!$F$25:$F$101,$F243,Налоги!$AB$25:$AB$101,$G243)</f>
        <v>19.5076348653749</v>
      </c>
      <c r="AO243" s="1253">
        <f>_xlfn.SUMIFS(Налоги!AN$25:AN$101,Налоги!$F$25:$F$101,$F243,Налоги!$AB$25:$AB$101,$G243)</f>
        <v>0</v>
      </c>
      <c r="AP243" s="1253">
        <f>_xlfn.SUMIFS(Налоги!AO$25:AO$101,Налоги!$F$25:$F$101,$F243,Налоги!$AB$25:$AB$101,$G243)</f>
        <v>0</v>
      </c>
      <c r="AQ243" s="1253">
        <f>_xlfn.SUMIFS(Налоги!AP$25:AP$101,Налоги!$F$25:$F$101,$F243,Налоги!$AB$25:$AB$101,$G243)</f>
        <v>0</v>
      </c>
      <c r="AR243" s="1253">
        <f>_xlfn.SUMIFS(Налоги!AQ$25:AQ$101,Налоги!$F$25:$F$101,$F243,Налоги!$AB$25:$AB$101,$G243)</f>
        <v>0</v>
      </c>
      <c r="AS243" s="1253">
        <f>_xlfn.SUMIFS(Налоги!AR$25:AR$101,Налоги!$F$25:$F$101,$F243,Налоги!$AB$25:$AB$101,$G243)</f>
        <v>0</v>
      </c>
      <c r="AT243" s="7723">
        <f>_xlfn.SUMIFS(Налоги!AS$25:AS$101,Налоги!$F$25:$F$101,$F243,Налоги!$AB$25:$AB$101,$G243)</f>
        <v>16.67520804</v>
      </c>
      <c r="AU243" s="7723">
        <f>_xlfn.SUMIFS(Налоги!AT$25:AT$101,Налоги!$F$25:$F$101,$F243,Налоги!$AB$25:$AB$101,$G243)</f>
        <v>17.3422163616</v>
      </c>
      <c r="AV243" s="7723">
        <f>_xlfn.SUMIFS(Налоги!AU$25:AU$101,Налоги!$F$25:$F$101,$F243,Налоги!$AB$25:$AB$101,$G243)</f>
        <v>18.035905016064</v>
      </c>
      <c r="AW243" s="7723">
        <f>_xlfn.SUMIFS(Налоги!AV$25:AV$101,Налоги!$F$25:$F$101,$F243,Налоги!$AB$25:$AB$101,$G243)</f>
        <v>18.7573412167066</v>
      </c>
      <c r="AX243" s="7723">
        <f>_xlfn.SUMIFS(Налоги!AW$25:AW$101,Налоги!$F$25:$F$101,$F243,Налоги!$AB$25:$AB$101,$G243)</f>
        <v>19.5076348653749</v>
      </c>
      <c r="AY243" s="1253">
        <f>_xlfn.SUMIFS(Налоги!AX$25:AX$101,Налоги!$F$25:$F$101,$F243,Налоги!$AB$25:$AB$101,$G243)</f>
        <v>0</v>
      </c>
      <c r="AZ243" s="1253">
        <f>_xlfn.SUMIFS(Налоги!AY$25:AY$101,Налоги!$F$25:$F$101,$F243,Налоги!$AB$25:$AB$101,$G243)</f>
        <v>0</v>
      </c>
      <c r="BA243" s="1253">
        <f>_xlfn.SUMIFS(Налоги!AZ$25:AZ$101,Налоги!$F$25:$F$101,$F243,Налоги!$AB$25:$AB$101,$G243)</f>
        <v>0</v>
      </c>
      <c r="BB243" s="1253">
        <f>_xlfn.SUMIFS(Налоги!BA$25:BA$101,Налоги!$F$25:$F$101,$F243,Налоги!$AB$25:$AB$101,$G243)</f>
        <v>0</v>
      </c>
      <c r="BC243" s="1253">
        <f>_xlfn.SUMIFS(Налоги!BB$25:BB$101,Налоги!$F$25:$F$101,$F243,Налоги!$AB$25:$AB$101,$G243)</f>
        <v>0</v>
      </c>
      <c r="BD243" s="943">
        <f>IF(AI243=0,0,(AT243-AI243)/AI243*100)</f>
        <v>0</v>
      </c>
      <c r="BE243" s="943">
        <f>IF(AT243=0,0,(AU243-AT243)/AT243*100)</f>
        <v>4</v>
      </c>
      <c r="BF243" s="943">
        <f>IF(AU243=0,0,(AV243-AU243)/AU243*100)</f>
        <v>4</v>
      </c>
      <c r="BG243" s="943">
        <f>IF(AV243=0,0,(AW243-AV243)/AV243*100)</f>
        <v>4.0000000000002</v>
      </c>
      <c r="BH243" s="943">
        <f>IF(AW243=0,0,(AX243-AW243)/AW243*100)</f>
        <v>4.0000000000002</v>
      </c>
      <c r="BI243" s="943">
        <f>IF(AX243=0,0,(AY243-AX243)/AX243*100)</f>
        <v>-100</v>
      </c>
      <c r="BJ243" s="943">
        <f>IF(AY243=0,0,(AZ243-AY243)/AY243*100)</f>
        <v>0</v>
      </c>
      <c r="BK243" s="943">
        <f>IF(AZ243=0,0,(BA243-AZ243)/AZ243*100)</f>
        <v>0</v>
      </c>
      <c r="BL243" s="943">
        <f>IF(BA243=0,0,(BB243-BA243)/BA243*100)</f>
        <v>0</v>
      </c>
      <c r="BM243" s="943">
        <f>IF(BB243=0,0,(BC243-BB243)/BB243*100)</f>
        <v>0</v>
      </c>
      <c r="BN243" s="7771"/>
      <c r="BO243" s="7724" t="str">
        <f>IF(_xlfn.IFERROR(INDEX(Налоги!$K$26:$L$101,MATCH($F243&amp;"5komm",Налоги!$K$26:$K$101,0),2),"")=0,"",_xlfn.IFERROR(INDEX(Налоги!$K$26:$L$101,MATCH($F243&amp;"5komm",Налоги!$K$26:$K$101,0),2),""))</f>
        <v>рассчитано исходя из плановых объемов, с учетом ставок договора водопользования.</v>
      </c>
      <c r="BP243" s="7771"/>
      <c r="BQ243" s="1278"/>
      <c r="BR243" s="1278"/>
      <c r="BS243" s="1064" t="s">
        <v>2792</v>
      </c>
      <c r="BT243" s="1064"/>
      <c r="BU243" s="1064"/>
      <c r="BV243" s="979"/>
      <c r="BW243" s="979"/>
    </row>
    <row s="1834" customFormat="1" customHeight="1" ht="14.25">
      <c r="A244" s="1278"/>
      <c r="B244" s="96"/>
      <c r="C244" s="107"/>
      <c r="D244" s="107"/>
      <c r="E244" s="621">
        <v>15</v>
      </c>
      <c r="F244" s="50" cm="1" t="str">
        <f t="array" ref="F244:F244">OFFSET(E244,-1,1)</f>
        <v>1</v>
      </c>
      <c r="G244" s="922">
        <v>8</v>
      </c>
      <c r="H244" s="107"/>
      <c r="I244" s="107" t="s">
        <v>2793</v>
      </c>
      <c r="J244" s="107"/>
      <c r="K244" s="107" t="s">
        <v>2793</v>
      </c>
      <c r="L244" s="980"/>
      <c r="M244" s="107"/>
      <c r="N244" s="107"/>
      <c r="O244" s="107"/>
      <c r="P244" s="107"/>
      <c r="Q244" s="107"/>
      <c r="R244" s="107"/>
      <c r="S244" s="107"/>
      <c r="T244" s="465" cm="1" t="str">
        <f t="array" ref="T244:T244">T243</f>
        <v>true</v>
      </c>
      <c r="U244" s="107"/>
      <c r="V244" s="107"/>
      <c r="W244" s="1278"/>
      <c r="X244" s="1563"/>
      <c r="Y244" s="1278"/>
      <c r="Z244" s="1546"/>
      <c r="AA244" s="1278"/>
      <c r="AB244" s="299" t="s">
        <v>2794</v>
      </c>
      <c r="AC244" s="765" t="s">
        <v>2795</v>
      </c>
      <c r="AD244" s="300" t="s">
        <v>1514</v>
      </c>
      <c r="AE244" s="259">
        <f>_xlfn.SUMIFS(Налоги!AE$25:AE$101,Налоги!$F$25:$F$101,$F244,Налоги!$AB$25:$AB$101,$G244)</f>
        <v>0</v>
      </c>
      <c r="AF244" s="259">
        <f>_xlfn.SUMIFS(Налоги!AF$25:AF$101,Налоги!$F$25:$F$101,$F244,Налоги!$AB$25:$AB$101,$G244)</f>
        <v>0</v>
      </c>
      <c r="AG244" s="259">
        <f>_xlfn.SUMIFS(Налоги!AG$25:AG$101,Налоги!$F$25:$F$101,$F244,Налоги!$AB$25:$AB$101,$G244)</f>
        <v>0</v>
      </c>
      <c r="AH244" s="943">
        <f>AG244-AF244</f>
        <v>0</v>
      </c>
      <c r="AI244" s="943">
        <f>_xlfn.SUMIFS(Налоги!AH$25:AH$101,Налоги!$F$25:$F$101,$F244,Налоги!$AB$25:$AB$101,$G244)</f>
        <v>0</v>
      </c>
      <c r="AJ244" s="943">
        <f>_xlfn.SUMIFS(Налоги!AI$25:AI$101,Налоги!$F$25:$F$101,$F244,Налоги!$AB$25:$AB$101,$G244)</f>
        <v>0</v>
      </c>
      <c r="AK244" s="943">
        <f>_xlfn.SUMIFS(Налоги!AJ$25:AJ$101,Налоги!$F$25:$F$101,$F244,Налоги!$AB$25:$AB$101,$G244)</f>
        <v>0</v>
      </c>
      <c r="AL244" s="943">
        <f>_xlfn.SUMIFS(Налоги!AK$25:AK$101,Налоги!$F$25:$F$101,$F244,Налоги!$AB$25:$AB$101,$G244)</f>
        <v>0</v>
      </c>
      <c r="AM244" s="943">
        <f>_xlfn.SUMIFS(Налоги!AL$25:AL$101,Налоги!$F$25:$F$101,$F244,Налоги!$AB$25:$AB$101,$G244)</f>
        <v>0</v>
      </c>
      <c r="AN244" s="943">
        <f>_xlfn.SUMIFS(Налоги!AM$25:AM$101,Налоги!$F$25:$F$101,$F244,Налоги!$AB$25:$AB$101,$G244)</f>
        <v>0</v>
      </c>
      <c r="AO244" s="943">
        <f>_xlfn.SUMIFS(Налоги!AN$25:AN$101,Налоги!$F$25:$F$101,$F244,Налоги!$AB$25:$AB$101,$G244)</f>
        <v>0</v>
      </c>
      <c r="AP244" s="943">
        <f>_xlfn.SUMIFS(Налоги!AO$25:AO$101,Налоги!$F$25:$F$101,$F244,Налоги!$AB$25:$AB$101,$G244)</f>
        <v>0</v>
      </c>
      <c r="AQ244" s="943">
        <f>_xlfn.SUMIFS(Налоги!AP$25:AP$101,Налоги!$F$25:$F$101,$F244,Налоги!$AB$25:$AB$101,$G244)</f>
        <v>0</v>
      </c>
      <c r="AR244" s="943">
        <f>_xlfn.SUMIFS(Налоги!AQ$25:AQ$101,Налоги!$F$25:$F$101,$F244,Налоги!$AB$25:$AB$101,$G244)</f>
        <v>0</v>
      </c>
      <c r="AS244" s="943">
        <f>_xlfn.SUMIFS(Налоги!AR$25:AR$101,Налоги!$F$25:$F$101,$F244,Налоги!$AB$25:$AB$101,$G244)</f>
        <v>0</v>
      </c>
      <c r="AT244" s="943">
        <f>_xlfn.SUMIFS(Налоги!AS$25:AS$101,Налоги!$F$25:$F$101,$F244,Налоги!$AB$25:$AB$101,$G244)</f>
        <v>0</v>
      </c>
      <c r="AU244" s="943">
        <f>_xlfn.SUMIFS(Налоги!AT$25:AT$101,Налоги!$F$25:$F$101,$F244,Налоги!$AB$25:$AB$101,$G244)</f>
        <v>0</v>
      </c>
      <c r="AV244" s="943">
        <f>_xlfn.SUMIFS(Налоги!AU$25:AU$101,Налоги!$F$25:$F$101,$F244,Налоги!$AB$25:$AB$101,$G244)</f>
        <v>0</v>
      </c>
      <c r="AW244" s="943">
        <f>_xlfn.SUMIFS(Налоги!AV$25:AV$101,Налоги!$F$25:$F$101,$F244,Налоги!$AB$25:$AB$101,$G244)</f>
        <v>0</v>
      </c>
      <c r="AX244" s="943">
        <f>_xlfn.SUMIFS(Налоги!AW$25:AW$101,Налоги!$F$25:$F$101,$F244,Налоги!$AB$25:$AB$101,$G244)</f>
        <v>0</v>
      </c>
      <c r="AY244" s="943">
        <f>_xlfn.SUMIFS(Налоги!AX$25:AX$101,Налоги!$F$25:$F$101,$F244,Налоги!$AB$25:$AB$101,$G244)</f>
        <v>0</v>
      </c>
      <c r="AZ244" s="943">
        <f>_xlfn.SUMIFS(Налоги!AY$25:AY$101,Налоги!$F$25:$F$101,$F244,Налоги!$AB$25:$AB$101,$G244)</f>
        <v>0</v>
      </c>
      <c r="BA244" s="943">
        <f>_xlfn.SUMIFS(Налоги!AZ$25:AZ$101,Налоги!$F$25:$F$101,$F244,Налоги!$AB$25:$AB$101,$G244)</f>
        <v>0</v>
      </c>
      <c r="BB244" s="943">
        <f>_xlfn.SUMIFS(Налоги!BA$25:BA$101,Налоги!$F$25:$F$101,$F244,Налоги!$AB$25:$AB$101,$G244)</f>
        <v>0</v>
      </c>
      <c r="BC244" s="943">
        <f>_xlfn.SUMIFS(Налоги!BB$25:BB$101,Налоги!$F$25:$F$101,$F244,Налоги!$AB$25:$AB$101,$G244)</f>
        <v>0</v>
      </c>
      <c r="BD244" s="943">
        <f>IF(AI244=0,0,(AT244-AI244)/AI244*100)</f>
        <v>0</v>
      </c>
      <c r="BE244" s="943">
        <f>IF(AT244=0,0,(AU244-AT244)/AT244*100)</f>
        <v>0</v>
      </c>
      <c r="BF244" s="943">
        <f>IF(AU244=0,0,(AV244-AU244)/AU244*100)</f>
        <v>0</v>
      </c>
      <c r="BG244" s="943">
        <f>IF(AV244=0,0,(AW244-AV244)/AV244*100)</f>
        <v>0</v>
      </c>
      <c r="BH244" s="943">
        <f>IF(AW244=0,0,(AX244-AW244)/AW244*100)</f>
        <v>0</v>
      </c>
      <c r="BI244" s="943">
        <f>IF(AX244=0,0,(AY244-AX244)/AX244*100)</f>
        <v>0</v>
      </c>
      <c r="BJ244" s="943">
        <f>IF(AY244=0,0,(AZ244-AY244)/AY244*100)</f>
        <v>0</v>
      </c>
      <c r="BK244" s="943">
        <f>IF(AZ244=0,0,(BA244-AZ244)/AZ244*100)</f>
        <v>0</v>
      </c>
      <c r="BL244" s="943">
        <f>IF(BA244=0,0,(BB244-BA244)/BA244*100)</f>
        <v>0</v>
      </c>
      <c r="BM244" s="943">
        <f>IF(BB244=0,0,(BC244-BB244)/BB244*100)</f>
        <v>0</v>
      </c>
      <c r="BN244" s="7771"/>
      <c r="BO244" s="7724" t="str">
        <f>IF(_xlfn.IFERROR(INDEX(Налоги!$K$26:$L$101,MATCH($F244&amp;"8komm",Налоги!$K$26:$K$101,0),2),"")=0,"",_xlfn.IFERROR(INDEX(Налоги!$K$26:$L$101,MATCH($F244&amp;"8komm",Налоги!$K$26:$K$101,0),2),""))</f>
        <v/>
      </c>
      <c r="BP244" s="7771"/>
      <c r="BQ244" s="1278"/>
      <c r="BR244" s="1278"/>
      <c r="BS244" s="1064" t="s">
        <v>2017</v>
      </c>
      <c r="BT244" s="1064"/>
      <c r="BU244" s="1064"/>
      <c r="BV244" s="979"/>
      <c r="BW244" s="979"/>
    </row>
    <row s="1233" customFormat="1" customHeight="1" ht="14.25">
      <c r="A245" s="1233"/>
      <c r="B245" s="96"/>
      <c r="C245" s="107"/>
      <c r="D245" s="107"/>
      <c r="E245" s="621">
        <v>15</v>
      </c>
      <c r="F245" s="50" cm="1" t="str">
        <f t="array" ref="F245:F245">OFFSET(E245,-1,1)</f>
        <v>1</v>
      </c>
      <c r="G245" s="922">
        <v>9</v>
      </c>
      <c r="H245" s="107"/>
      <c r="I245" s="107"/>
      <c r="J245" s="107"/>
      <c r="K245" s="107"/>
      <c r="L245" s="980"/>
      <c r="M245" s="107"/>
      <c r="N245" s="107"/>
      <c r="O245" s="107"/>
      <c r="P245" s="107"/>
      <c r="Q245" s="107"/>
      <c r="R245" s="107"/>
      <c r="S245" s="107"/>
      <c r="T245" s="465" cm="1" t="str">
        <f t="array" ref="T245:T245">T244</f>
        <v>true</v>
      </c>
      <c r="U245" s="107"/>
      <c r="V245" s="107"/>
      <c r="W245" s="1233"/>
      <c r="X245" s="1563"/>
      <c r="Y245" s="1233"/>
      <c r="Z245" s="1546"/>
      <c r="AA245" s="1233"/>
      <c r="AB245" s="299" t="s">
        <v>2796</v>
      </c>
      <c r="AC245" s="780" t="s">
        <v>2797</v>
      </c>
      <c r="AD245" s="300" t="s">
        <v>1514</v>
      </c>
      <c r="AE245" s="259">
        <f>_xlfn.SUMIFS(Налоги!AE$25:AE$101,Налоги!$F$25:$F$101,$F245,Налоги!$AB$25:$AB$101,$G245)</f>
        <v>0</v>
      </c>
      <c r="AF245" s="259">
        <f>_xlfn.SUMIFS(Налоги!AF$25:AF$101,Налоги!$F$25:$F$101,$F245,Налоги!$AB$25:$AB$101,$G245)</f>
        <v>0</v>
      </c>
      <c r="AG245" s="259">
        <f>_xlfn.SUMIFS(Налоги!AG$25:AG$101,Налоги!$F$25:$F$101,$F245,Налоги!$AB$25:$AB$101,$G245)</f>
        <v>0</v>
      </c>
      <c r="AH245" s="943">
        <f>AG245-AF245</f>
        <v>0</v>
      </c>
      <c r="AI245" s="943">
        <f>_xlfn.SUMIFS(Налоги!AH$25:AH$101,Налоги!$F$25:$F$101,$F245,Налоги!$AB$25:$AB$101,$G245)</f>
        <v>0</v>
      </c>
      <c r="AJ245" s="943">
        <f>_xlfn.SUMIFS(Налоги!AI$25:AI$101,Налоги!$F$25:$F$101,$F245,Налоги!$AB$25:$AB$101,$G245)</f>
        <v>0</v>
      </c>
      <c r="AK245" s="943">
        <f>_xlfn.SUMIFS(Налоги!AJ$25:AJ$101,Налоги!$F$25:$F$101,$F245,Налоги!$AB$25:$AB$101,$G245)</f>
        <v>0</v>
      </c>
      <c r="AL245" s="943">
        <f>_xlfn.SUMIFS(Налоги!AK$25:AK$101,Налоги!$F$25:$F$101,$F245,Налоги!$AB$25:$AB$101,$G245)</f>
        <v>0</v>
      </c>
      <c r="AM245" s="943">
        <f>_xlfn.SUMIFS(Налоги!AL$25:AL$101,Налоги!$F$25:$F$101,$F245,Налоги!$AB$25:$AB$101,$G245)</f>
        <v>0</v>
      </c>
      <c r="AN245" s="943">
        <f>_xlfn.SUMIFS(Налоги!AM$25:AM$101,Налоги!$F$25:$F$101,$F245,Налоги!$AB$25:$AB$101,$G245)</f>
        <v>0</v>
      </c>
      <c r="AO245" s="943">
        <f>_xlfn.SUMIFS(Налоги!AN$25:AN$101,Налоги!$F$25:$F$101,$F245,Налоги!$AB$25:$AB$101,$G245)</f>
        <v>0</v>
      </c>
      <c r="AP245" s="943">
        <f>_xlfn.SUMIFS(Налоги!AO$25:AO$101,Налоги!$F$25:$F$101,$F245,Налоги!$AB$25:$AB$101,$G245)</f>
        <v>0</v>
      </c>
      <c r="AQ245" s="943">
        <f>_xlfn.SUMIFS(Налоги!AP$25:AP$101,Налоги!$F$25:$F$101,$F245,Налоги!$AB$25:$AB$101,$G245)</f>
        <v>0</v>
      </c>
      <c r="AR245" s="943">
        <f>_xlfn.SUMIFS(Налоги!AQ$25:AQ$101,Налоги!$F$25:$F$101,$F245,Налоги!$AB$25:$AB$101,$G245)</f>
        <v>0</v>
      </c>
      <c r="AS245" s="943">
        <f>_xlfn.SUMIFS(Налоги!AR$25:AR$101,Налоги!$F$25:$F$101,$F245,Налоги!$AB$25:$AB$101,$G245)</f>
        <v>0</v>
      </c>
      <c r="AT245" s="943">
        <f>_xlfn.SUMIFS(Налоги!AS$25:AS$101,Налоги!$F$25:$F$101,$F245,Налоги!$AB$25:$AB$101,$G245)</f>
        <v>0</v>
      </c>
      <c r="AU245" s="943">
        <f>_xlfn.SUMIFS(Налоги!AT$25:AT$101,Налоги!$F$25:$F$101,$F245,Налоги!$AB$25:$AB$101,$G245)</f>
        <v>0</v>
      </c>
      <c r="AV245" s="943">
        <f>_xlfn.SUMIFS(Налоги!AU$25:AU$101,Налоги!$F$25:$F$101,$F245,Налоги!$AB$25:$AB$101,$G245)</f>
        <v>0</v>
      </c>
      <c r="AW245" s="943">
        <f>_xlfn.SUMIFS(Налоги!AV$25:AV$101,Налоги!$F$25:$F$101,$F245,Налоги!$AB$25:$AB$101,$G245)</f>
        <v>0</v>
      </c>
      <c r="AX245" s="943">
        <f>_xlfn.SUMIFS(Налоги!AW$25:AW$101,Налоги!$F$25:$F$101,$F245,Налоги!$AB$25:$AB$101,$G245)</f>
        <v>0</v>
      </c>
      <c r="AY245" s="943">
        <f>_xlfn.SUMIFS(Налоги!AX$25:AX$101,Налоги!$F$25:$F$101,$F245,Налоги!$AB$25:$AB$101,$G245)</f>
        <v>0</v>
      </c>
      <c r="AZ245" s="943">
        <f>_xlfn.SUMIFS(Налоги!AY$25:AY$101,Налоги!$F$25:$F$101,$F245,Налоги!$AB$25:$AB$101,$G245)</f>
        <v>0</v>
      </c>
      <c r="BA245" s="943">
        <f>_xlfn.SUMIFS(Налоги!AZ$25:AZ$101,Налоги!$F$25:$F$101,$F245,Налоги!$AB$25:$AB$101,$G245)</f>
        <v>0</v>
      </c>
      <c r="BB245" s="943">
        <f>_xlfn.SUMIFS(Налоги!BA$25:BA$101,Налоги!$F$25:$F$101,$F245,Налоги!$AB$25:$AB$101,$G245)</f>
        <v>0</v>
      </c>
      <c r="BC245" s="943">
        <f>_xlfn.SUMIFS(Налоги!BB$25:BB$101,Налоги!$F$25:$F$101,$F245,Налоги!$AB$25:$AB$101,$G245)</f>
        <v>0</v>
      </c>
      <c r="BD245" s="943">
        <f>IF(AI245=0,0,(AT245-AI245)/AI245*100)</f>
        <v>0</v>
      </c>
      <c r="BE245" s="943">
        <f>IF(AT245=0,0,(AU245-AT245)/AT245*100)</f>
        <v>0</v>
      </c>
      <c r="BF245" s="943">
        <f>IF(AU245=0,0,(AV245-AU245)/AU245*100)</f>
        <v>0</v>
      </c>
      <c r="BG245" s="943">
        <f>IF(AV245=0,0,(AW245-AV245)/AV245*100)</f>
        <v>0</v>
      </c>
      <c r="BH245" s="943">
        <f>IF(AW245=0,0,(AX245-AW245)/AW245*100)</f>
        <v>0</v>
      </c>
      <c r="BI245" s="943">
        <f>IF(AX245=0,0,(AY245-AX245)/AX245*100)</f>
        <v>0</v>
      </c>
      <c r="BJ245" s="943">
        <f>IF(AY245=0,0,(AZ245-AY245)/AY245*100)</f>
        <v>0</v>
      </c>
      <c r="BK245" s="943">
        <f>IF(AZ245=0,0,(BA245-AZ245)/AZ245*100)</f>
        <v>0</v>
      </c>
      <c r="BL245" s="943">
        <f>IF(BA245=0,0,(BB245-BA245)/BA245*100)</f>
        <v>0</v>
      </c>
      <c r="BM245" s="943">
        <f>IF(BB245=0,0,(BC245-BB245)/BB245*100)</f>
        <v>0</v>
      </c>
      <c r="BN245" s="7771"/>
      <c r="BO245" s="7724" t="str">
        <f>IF(_xlfn.IFERROR(INDEX(Налоги!$K$26:$L$101,MATCH($F245&amp;"9komm",Налоги!$K$26:$K$101,0),2),"")=0,"",_xlfn.IFERROR(INDEX(Налоги!$K$26:$L$101,MATCH($F245&amp;"9komm",Налоги!$K$26:$K$101,0),2),""))</f>
        <v/>
      </c>
      <c r="BP245" s="7771"/>
      <c r="BQ245" s="1233"/>
      <c r="BR245" s="1233"/>
      <c r="BS245" s="1071" t="s">
        <v>2798</v>
      </c>
      <c r="BT245" s="1071"/>
      <c r="BU245" s="1071"/>
      <c r="BV245" s="1072"/>
      <c r="BW245" s="1072"/>
    </row>
    <row s="1834" customFormat="1" customHeight="1" ht="14.25">
      <c r="A246" s="1278"/>
      <c r="B246" s="96"/>
      <c r="C246" s="107"/>
      <c r="D246" s="107"/>
      <c r="E246" s="621">
        <v>15</v>
      </c>
      <c r="F246" s="50" cm="1" t="str">
        <f t="array" ref="F246:F246">OFFSET(E246,-1,1)</f>
        <v>1</v>
      </c>
      <c r="G246" s="922">
        <v>10</v>
      </c>
      <c r="H246" s="107"/>
      <c r="I246" s="107" t="s">
        <v>2799</v>
      </c>
      <c r="J246" s="107"/>
      <c r="K246" s="107" t="s">
        <v>2799</v>
      </c>
      <c r="L246" s="980"/>
      <c r="M246" s="107"/>
      <c r="N246" s="107"/>
      <c r="O246" s="107"/>
      <c r="P246" s="107"/>
      <c r="Q246" s="107"/>
      <c r="R246" s="107"/>
      <c r="S246" s="107"/>
      <c r="T246" s="465" cm="1" t="str">
        <f t="array" ref="T246:T246">T245</f>
        <v>true</v>
      </c>
      <c r="U246" s="107"/>
      <c r="V246" s="107"/>
      <c r="W246" s="1278"/>
      <c r="X246" s="1563"/>
      <c r="Y246" s="1278"/>
      <c r="Z246" s="1546"/>
      <c r="AA246" s="1278"/>
      <c r="AB246" s="299" t="s">
        <v>2800</v>
      </c>
      <c r="AC246" s="781" t="s">
        <v>2801</v>
      </c>
      <c r="AD246" s="300" t="s">
        <v>1514</v>
      </c>
      <c r="AE246" s="259">
        <f>_xlfn.SUMIFS(Налоги!AE$25:AE$101,Налоги!$F$25:$F$101,$F246,Налоги!$AB$25:$AB$101,$G246)</f>
        <v>0</v>
      </c>
      <c r="AF246" s="259">
        <f>_xlfn.SUMIFS(Налоги!AF$25:AF$101,Налоги!$F$25:$F$101,$F246,Налоги!$AB$25:$AB$101,$G246)</f>
        <v>0</v>
      </c>
      <c r="AG246" s="259">
        <f>_xlfn.SUMIFS(Налоги!AG$25:AG$101,Налоги!$F$25:$F$101,$F246,Налоги!$AB$25:$AB$101,$G246)</f>
        <v>0</v>
      </c>
      <c r="AH246" s="943">
        <f>AG246-AF246</f>
        <v>0</v>
      </c>
      <c r="AI246" s="943">
        <f>_xlfn.SUMIFS(Налоги!AH$25:AH$101,Налоги!$F$25:$F$101,$F246,Налоги!$AB$25:$AB$101,$G246)</f>
        <v>0</v>
      </c>
      <c r="AJ246" s="943">
        <f>_xlfn.SUMIFS(Налоги!AI$25:AI$101,Налоги!$F$25:$F$101,$F246,Налоги!$AB$25:$AB$101,$G246)</f>
        <v>0</v>
      </c>
      <c r="AK246" s="943">
        <f>_xlfn.SUMIFS(Налоги!AJ$25:AJ$101,Налоги!$F$25:$F$101,$F246,Налоги!$AB$25:$AB$101,$G246)</f>
        <v>0</v>
      </c>
      <c r="AL246" s="943">
        <f>_xlfn.SUMIFS(Налоги!AK$25:AK$101,Налоги!$F$25:$F$101,$F246,Налоги!$AB$25:$AB$101,$G246)</f>
        <v>18.33</v>
      </c>
      <c r="AM246" s="943">
        <f>_xlfn.SUMIFS(Налоги!AL$25:AL$101,Налоги!$F$25:$F$101,$F246,Налоги!$AB$25:$AB$101,$G246)</f>
        <v>114.15</v>
      </c>
      <c r="AN246" s="943">
        <f>_xlfn.SUMIFS(Налоги!AM$25:AM$101,Налоги!$F$25:$F$101,$F246,Налоги!$AB$25:$AB$101,$G246)</f>
        <v>77.48</v>
      </c>
      <c r="AO246" s="943">
        <f>_xlfn.SUMIFS(Налоги!AN$25:AN$101,Налоги!$F$25:$F$101,$F246,Налоги!$AB$25:$AB$101,$G246)</f>
        <v>0</v>
      </c>
      <c r="AP246" s="943">
        <f>_xlfn.SUMIFS(Налоги!AO$25:AO$101,Налоги!$F$25:$F$101,$F246,Налоги!$AB$25:$AB$101,$G246)</f>
        <v>0</v>
      </c>
      <c r="AQ246" s="943">
        <f>_xlfn.SUMIFS(Налоги!AP$25:AP$101,Налоги!$F$25:$F$101,$F246,Налоги!$AB$25:$AB$101,$G246)</f>
        <v>0</v>
      </c>
      <c r="AR246" s="943">
        <f>_xlfn.SUMIFS(Налоги!AQ$25:AQ$101,Налоги!$F$25:$F$101,$F246,Налоги!$AB$25:$AB$101,$G246)</f>
        <v>0</v>
      </c>
      <c r="AS246" s="943">
        <f>_xlfn.SUMIFS(Налоги!AR$25:AR$101,Налоги!$F$25:$F$101,$F246,Налоги!$AB$25:$AB$101,$G246)</f>
        <v>0</v>
      </c>
      <c r="AT246" s="943">
        <f>_xlfn.SUMIFS(Налоги!AS$25:AS$101,Налоги!$F$25:$F$101,$F246,Налоги!$AB$25:$AB$101,$G246)</f>
        <v>0</v>
      </c>
      <c r="AU246" s="943">
        <f>_xlfn.SUMIFS(Налоги!AT$25:AT$101,Налоги!$F$25:$F$101,$F246,Налоги!$AB$25:$AB$101,$G246)</f>
        <v>0</v>
      </c>
      <c r="AV246" s="943">
        <f>_xlfn.SUMIFS(Налоги!AU$25:AU$101,Налоги!$F$25:$F$101,$F246,Налоги!$AB$25:$AB$101,$G246)</f>
        <v>18.33</v>
      </c>
      <c r="AW246" s="943">
        <f>_xlfn.SUMIFS(Налоги!AV$25:AV$101,Налоги!$F$25:$F$101,$F246,Налоги!$AB$25:$AB$101,$G246)</f>
        <v>114.15</v>
      </c>
      <c r="AX246" s="943">
        <f>_xlfn.SUMIFS(Налоги!AW$25:AW$101,Налоги!$F$25:$F$101,$F246,Налоги!$AB$25:$AB$101,$G246)</f>
        <v>77.48</v>
      </c>
      <c r="AY246" s="943">
        <f>_xlfn.SUMIFS(Налоги!AX$25:AX$101,Налоги!$F$25:$F$101,$F246,Налоги!$AB$25:$AB$101,$G246)</f>
        <v>0</v>
      </c>
      <c r="AZ246" s="943">
        <f>_xlfn.SUMIFS(Налоги!AY$25:AY$101,Налоги!$F$25:$F$101,$F246,Налоги!$AB$25:$AB$101,$G246)</f>
        <v>0</v>
      </c>
      <c r="BA246" s="943">
        <f>_xlfn.SUMIFS(Налоги!AZ$25:AZ$101,Налоги!$F$25:$F$101,$F246,Налоги!$AB$25:$AB$101,$G246)</f>
        <v>0</v>
      </c>
      <c r="BB246" s="943">
        <f>_xlfn.SUMIFS(Налоги!BA$25:BA$101,Налоги!$F$25:$F$101,$F246,Налоги!$AB$25:$AB$101,$G246)</f>
        <v>0</v>
      </c>
      <c r="BC246" s="943">
        <f>_xlfn.SUMIFS(Налоги!BB$25:BB$101,Налоги!$F$25:$F$101,$F246,Налоги!$AB$25:$AB$101,$G246)</f>
        <v>0</v>
      </c>
      <c r="BD246" s="943">
        <f>IF(AI246=0,0,(AT246-AI246)/AI246*100)</f>
        <v>0</v>
      </c>
      <c r="BE246" s="943">
        <f>IF(AT246=0,0,(AU246-AT246)/AT246*100)</f>
        <v>0</v>
      </c>
      <c r="BF246" s="943">
        <f>IF(AU246=0,0,(AV246-AU246)/AU246*100)</f>
        <v>0</v>
      </c>
      <c r="BG246" s="943">
        <f>IF(AV246=0,0,(AW246-AV246)/AV246*100)</f>
        <v>522.749590834697</v>
      </c>
      <c r="BH246" s="943">
        <f>IF(AW246=0,0,(AX246-AW246)/AW246*100)</f>
        <v>-32.1243977222952</v>
      </c>
      <c r="BI246" s="943">
        <f>IF(AX246=0,0,(AY246-AX246)/AX246*100)</f>
        <v>-100</v>
      </c>
      <c r="BJ246" s="943">
        <f>IF(AY246=0,0,(AZ246-AY246)/AY246*100)</f>
        <v>0</v>
      </c>
      <c r="BK246" s="943">
        <f>IF(AZ246=0,0,(BA246-AZ246)/AZ246*100)</f>
        <v>0</v>
      </c>
      <c r="BL246" s="943">
        <f>IF(BA246=0,0,(BB246-BA246)/BA246*100)</f>
        <v>0</v>
      </c>
      <c r="BM246" s="943">
        <f>IF(BB246=0,0,(BC246-BB246)/BB246*100)</f>
        <v>0</v>
      </c>
      <c r="BN246" s="7771"/>
      <c r="BO246" s="7724" t="str">
        <f>IF(_xlfn.IFERROR(INDEX(Налоги!$K$26:$L$101,MATCH($F246&amp;"10komm",Налоги!$K$26:$K$101,0),2),"")=0,"",_xlfn.IFERROR(INDEX(Налоги!$K$26:$L$101,MATCH($F246&amp;"10komm",Налоги!$K$26:$K$101,0),2),""))</f>
        <v/>
      </c>
      <c r="BP246" s="7771"/>
      <c r="BQ246" s="1278"/>
      <c r="BR246" s="1278"/>
      <c r="BS246" s="1064" t="s">
        <v>2802</v>
      </c>
      <c r="BT246" s="1064"/>
      <c r="BU246" s="1064"/>
      <c r="BV246" s="979"/>
      <c r="BW246" s="979"/>
    </row>
    <row s="1834" customFormat="1" customHeight="1" ht="65.25">
      <c r="A247" s="1278"/>
      <c r="B247" s="978"/>
      <c r="C247" s="1278"/>
      <c r="D247" s="1278"/>
      <c r="E247" s="703">
        <v>67.5</v>
      </c>
      <c r="F247" s="50" cm="1" t="str">
        <f t="array" ref="F247:F247">OFFSET(E247,-1,1)</f>
        <v>1</v>
      </c>
      <c r="G247" s="158" t="s">
        <v>2178</v>
      </c>
      <c r="H247" s="1278"/>
      <c r="I247" s="158" t="s">
        <v>1650</v>
      </c>
      <c r="J247" s="1278"/>
      <c r="K247" s="158" t="s">
        <v>1650</v>
      </c>
      <c r="L247" s="980"/>
      <c r="M247" s="107"/>
      <c r="N247" s="1278"/>
      <c r="O247" s="1278"/>
      <c r="P247" s="1278"/>
      <c r="Q247" s="1278"/>
      <c r="R247" s="1278"/>
      <c r="S247" s="1278"/>
      <c r="T247" s="465" cm="1" t="str">
        <f t="array" ref="T247:T247">T246</f>
        <v>true</v>
      </c>
      <c r="U247" s="1278"/>
      <c r="V247" s="1278"/>
      <c r="W247" s="1278"/>
      <c r="X247" s="1563"/>
      <c r="Y247" s="1278"/>
      <c r="Z247" s="1546"/>
      <c r="AA247" s="1278"/>
      <c r="AB247" s="299" t="s">
        <v>1651</v>
      </c>
      <c r="AC247" s="782" t="s">
        <v>2181</v>
      </c>
      <c r="AD247" s="300" t="s">
        <v>1514</v>
      </c>
      <c r="AE247" s="7775"/>
      <c r="AF247" s="7775"/>
      <c r="AG247" s="7775"/>
      <c r="AH247" s="943">
        <f>AG247-AF247</f>
        <v>0</v>
      </c>
      <c r="AI247" s="7776"/>
      <c r="AJ247" s="7776"/>
      <c r="AK247" s="7776"/>
      <c r="AL247" s="7776"/>
      <c r="AM247" s="7776"/>
      <c r="AN247" s="7776"/>
      <c r="AO247" s="1258"/>
      <c r="AP247" s="1258"/>
      <c r="AQ247" s="1258"/>
      <c r="AR247" s="1258"/>
      <c r="AS247" s="1258"/>
      <c r="AT247" s="7776"/>
      <c r="AU247" s="7776"/>
      <c r="AV247" s="7776"/>
      <c r="AW247" s="7776"/>
      <c r="AX247" s="7776"/>
      <c r="AY247" s="1258"/>
      <c r="AZ247" s="1258"/>
      <c r="BA247" s="1258"/>
      <c r="BB247" s="1258"/>
      <c r="BC247" s="1258"/>
      <c r="BD247" s="943">
        <f>IF(AI247=0,0,(AT247-AI247)/AI247*100)</f>
        <v>0</v>
      </c>
      <c r="BE247" s="943">
        <f>IF(AT247=0,0,(AU247-AT247)/AT247*100)</f>
        <v>0</v>
      </c>
      <c r="BF247" s="943">
        <f>IF(AU247=0,0,(AV247-AU247)/AU247*100)</f>
        <v>0</v>
      </c>
      <c r="BG247" s="943">
        <f>IF(AV247=0,0,(AW247-AV247)/AV247*100)</f>
        <v>0</v>
      </c>
      <c r="BH247" s="943">
        <f>IF(AW247=0,0,(AX247-AW247)/AW247*100)</f>
        <v>0</v>
      </c>
      <c r="BI247" s="943">
        <f>IF(AX247=0,0,(AY247-AX247)/AX247*100)</f>
        <v>0</v>
      </c>
      <c r="BJ247" s="943">
        <f>IF(AY247=0,0,(AZ247-AY247)/AY247*100)</f>
        <v>0</v>
      </c>
      <c r="BK247" s="943">
        <f>IF(AZ247=0,0,(BA247-AZ247)/AZ247*100)</f>
        <v>0</v>
      </c>
      <c r="BL247" s="943">
        <f>IF(BA247=0,0,(BB247-BA247)/BA247*100)</f>
        <v>0</v>
      </c>
      <c r="BM247" s="943">
        <f>IF(BB247=0,0,(BC247-BB247)/BB247*100)</f>
        <v>0</v>
      </c>
      <c r="BN247" s="7771"/>
      <c r="BO247" s="7771"/>
      <c r="BP247" s="7771"/>
      <c r="BQ247" s="1278"/>
      <c r="BR247" s="1278"/>
      <c r="BS247" s="1064" t="s">
        <v>2803</v>
      </c>
      <c r="BT247" s="1064"/>
      <c r="BU247" s="1064"/>
      <c r="BV247" s="979"/>
      <c r="BW247" s="979"/>
    </row>
    <row s="1834" customFormat="1" customHeight="1" ht="14.25">
      <c r="A248" s="1278"/>
      <c r="B248" s="978"/>
      <c r="C248" s="1278"/>
      <c r="D248" s="1278"/>
      <c r="E248" s="703">
        <v>15</v>
      </c>
      <c r="F248" s="50" cm="1" t="str">
        <f t="array" ref="F248:F248">OFFSET(E248,-1,1)</f>
        <v>1</v>
      </c>
      <c r="G248" s="158" t="s">
        <v>1730</v>
      </c>
      <c r="H248" s="1278"/>
      <c r="I248" s="158" t="s">
        <v>1653</v>
      </c>
      <c r="J248" s="1278"/>
      <c r="K248" s="158" t="s">
        <v>1653</v>
      </c>
      <c r="L248" s="980" t="s">
        <v>1225</v>
      </c>
      <c r="M248" s="107"/>
      <c r="N248" s="1278"/>
      <c r="O248" s="1278"/>
      <c r="P248" s="1278"/>
      <c r="Q248" s="1278"/>
      <c r="R248" s="1278"/>
      <c r="S248" s="1278"/>
      <c r="T248" s="465" cm="1" t="str">
        <f t="array" ref="T248:T248">T247</f>
        <v>true</v>
      </c>
      <c r="U248" s="1278"/>
      <c r="V248" s="1278"/>
      <c r="W248" s="1278"/>
      <c r="X248" s="1563"/>
      <c r="Y248" s="1278"/>
      <c r="Z248" s="1546"/>
      <c r="AA248" s="1278"/>
      <c r="AB248" s="299" t="s">
        <v>1654</v>
      </c>
      <c r="AC248" s="762" t="s">
        <v>1730</v>
      </c>
      <c r="AD248" s="300" t="s">
        <v>1514</v>
      </c>
      <c r="AE248" s="259">
        <f>_xlfn.SUMIFS(Аренда!AE$25:AE$77,Аренда!$F$25:$F$77,$F248,Аренда!$G$25:$G$77,"Арендная и концессионная плата, лизинговые платежи")</f>
        <v>0</v>
      </c>
      <c r="AF248" s="259">
        <f>_xlfn.SUMIFS(Аренда!AF$25:AF$77,Аренда!$F$25:$F$77,$F248,Аренда!$G$25:$G$77,"Арендная и концессионная плата, лизинговые платежи")</f>
        <v>0</v>
      </c>
      <c r="AG248" s="259">
        <f>_xlfn.SUMIFS(Аренда!AG$25:AG$77,Аренда!$F$25:$F$77,$F248,Аренда!$G$25:$G$77,"Арендная и концессионная плата, лизинговые платежи")</f>
        <v>0</v>
      </c>
      <c r="AH248" s="943">
        <f>AG248-AF248</f>
        <v>0</v>
      </c>
      <c r="AI248" s="259">
        <f>_xlfn.SUMIFS(Аренда!AH$25:AH$77,Аренда!$F$25:$F$77,$F248,Аренда!$G$25:$G$77,"Арендная и концессионная плата, лизинговые платежи")</f>
        <v>0</v>
      </c>
      <c r="AJ248" s="259">
        <f>_xlfn.SUMIFS(Аренда!AI$25:AI$77,Аренда!$F$25:$F$77,$F248,Аренда!$G$25:$G$77,"Арендная и концессионная плата, лизинговые платежи")</f>
        <v>73.45</v>
      </c>
      <c r="AK248" s="259">
        <f>_xlfn.SUMIFS(Аренда!AJ$25:AJ$77,Аренда!$F$25:$F$77,$F248,Аренда!$G$25:$G$77,"Арендная и концессионная плата, лизинговые платежи")</f>
        <v>73.45</v>
      </c>
      <c r="AL248" s="259">
        <f>_xlfn.SUMIFS(Аренда!AK$25:AK$77,Аренда!$F$25:$F$77,$F248,Аренда!$G$25:$G$77,"Арендная и концессионная плата, лизинговые платежи")</f>
        <v>73.45</v>
      </c>
      <c r="AM248" s="259">
        <f>_xlfn.SUMIFS(Аренда!AL$25:AL$77,Аренда!$F$25:$F$77,$F248,Аренда!$G$25:$G$77,"Арендная и концессионная плата, лизинговые платежи")</f>
        <v>73.45</v>
      </c>
      <c r="AN248" s="259">
        <f>_xlfn.SUMIFS(Аренда!AM$25:AM$77,Аренда!$F$25:$F$77,$F248,Аренда!$G$25:$G$77,"Арендная и концессионная плата, лизинговые платежи")</f>
        <v>73.45</v>
      </c>
      <c r="AO248" s="259">
        <f>_xlfn.SUMIFS(Аренда!AN$25:AN$77,Аренда!$F$25:$F$77,$F248,Аренда!$G$25:$G$77,"Арендная и концессионная плата, лизинговые платежи")</f>
        <v>0</v>
      </c>
      <c r="AP248" s="259">
        <f>_xlfn.SUMIFS(Аренда!AO$25:AO$77,Аренда!$F$25:$F$77,$F248,Аренда!$G$25:$G$77,"Арендная и концессионная плата, лизинговые платежи")</f>
        <v>0</v>
      </c>
      <c r="AQ248" s="259">
        <f>_xlfn.SUMIFS(Аренда!AP$25:AP$77,Аренда!$F$25:$F$77,$F248,Аренда!$G$25:$G$77,"Арендная и концессионная плата, лизинговые платежи")</f>
        <v>0</v>
      </c>
      <c r="AR248" s="259">
        <f>_xlfn.SUMIFS(Аренда!AQ$25:AQ$77,Аренда!$F$25:$F$77,$F248,Аренда!$G$25:$G$77,"Арендная и концессионная плата, лизинговые платежи")</f>
        <v>0</v>
      </c>
      <c r="AS248" s="259">
        <f>_xlfn.SUMIFS(Аренда!AR$25:AR$77,Аренда!$F$25:$F$77,$F248,Аренда!$G$25:$G$77,"Арендная и концессионная плата, лизинговые платежи")</f>
        <v>0</v>
      </c>
      <c r="AT248" s="259">
        <f>_xlfn.SUMIFS(Аренда!AS$25:AS$77,Аренда!$F$25:$F$77,$F248,Аренда!$G$25:$G$77,"Арендная и концессионная плата, лизинговые платежи")</f>
        <v>73.45</v>
      </c>
      <c r="AU248" s="259">
        <f>_xlfn.SUMIFS(Аренда!AT$25:AT$77,Аренда!$F$25:$F$77,$F248,Аренда!$G$25:$G$77,"Арендная и концессионная плата, лизинговые платежи")</f>
        <v>73.45</v>
      </c>
      <c r="AV248" s="259">
        <f>_xlfn.SUMIFS(Аренда!AU$25:AU$77,Аренда!$F$25:$F$77,$F248,Аренда!$G$25:$G$77,"Арендная и концессионная плата, лизинговые платежи")</f>
        <v>73.45</v>
      </c>
      <c r="AW248" s="259">
        <f>_xlfn.SUMIFS(Аренда!AV$25:AV$77,Аренда!$F$25:$F$77,$F248,Аренда!$G$25:$G$77,"Арендная и концессионная плата, лизинговые платежи")</f>
        <v>73.45</v>
      </c>
      <c r="AX248" s="259">
        <f>_xlfn.SUMIFS(Аренда!AW$25:AW$77,Аренда!$F$25:$F$77,$F248,Аренда!$G$25:$G$77,"Арендная и концессионная плата, лизинговые платежи")</f>
        <v>73.45</v>
      </c>
      <c r="AY248" s="259">
        <f>_xlfn.SUMIFS(Аренда!AX$25:AX$77,Аренда!$F$25:$F$77,$F248,Аренда!$G$25:$G$77,"Арендная и концессионная плата, лизинговые платежи")</f>
        <v>0</v>
      </c>
      <c r="AZ248" s="259">
        <f>_xlfn.SUMIFS(Аренда!AY$25:AY$77,Аренда!$F$25:$F$77,$F248,Аренда!$G$25:$G$77,"Арендная и концессионная плата, лизинговые платежи")</f>
        <v>0</v>
      </c>
      <c r="BA248" s="259">
        <f>_xlfn.SUMIFS(Аренда!AZ$25:AZ$77,Аренда!$F$25:$F$77,$F248,Аренда!$G$25:$G$77,"Арендная и концессионная плата, лизинговые платежи")</f>
        <v>0</v>
      </c>
      <c r="BB248" s="259">
        <f>_xlfn.SUMIFS(Аренда!BA$25:BA$77,Аренда!$F$25:$F$77,$F248,Аренда!$G$25:$G$77,"Арендная и концессионная плата, лизинговые платежи")</f>
        <v>0</v>
      </c>
      <c r="BC248" s="259">
        <f>_xlfn.SUMIFS(Аренда!BB$25:BB$77,Аренда!$F$25:$F$77,$F248,Аренда!$G$25:$G$77,"Арендная и концессионная плата, лизинговые платежи")</f>
        <v>0</v>
      </c>
      <c r="BD248" s="943">
        <f>IF(AI248=0,0,(AT248-AI248)/AI248*100)</f>
        <v>0</v>
      </c>
      <c r="BE248" s="943">
        <f>IF(AT248=0,0,(AU248-AT248)/AT248*100)</f>
        <v>0</v>
      </c>
      <c r="BF248" s="943">
        <f>IF(AU248=0,0,(AV248-AU248)/AU248*100)</f>
        <v>0</v>
      </c>
      <c r="BG248" s="943">
        <f>IF(AV248=0,0,(AW248-AV248)/AV248*100)</f>
        <v>0</v>
      </c>
      <c r="BH248" s="943">
        <f>IF(AW248=0,0,(AX248-AW248)/AW248*100)</f>
        <v>0</v>
      </c>
      <c r="BI248" s="943">
        <f>IF(AX248=0,0,(AY248-AX248)/AX248*100)</f>
        <v>-100</v>
      </c>
      <c r="BJ248" s="943">
        <f>IF(AY248=0,0,(AZ248-AY248)/AY248*100)</f>
        <v>0</v>
      </c>
      <c r="BK248" s="943">
        <f>IF(AZ248=0,0,(BA248-AZ248)/AZ248*100)</f>
        <v>0</v>
      </c>
      <c r="BL248" s="943">
        <f>IF(BA248=0,0,(BB248-BA248)/BA248*100)</f>
        <v>0</v>
      </c>
      <c r="BM248" s="943">
        <f>IF(BB248=0,0,(BC248-BB248)/BB248*100)</f>
        <v>0</v>
      </c>
      <c r="BN248" s="7771"/>
      <c r="BO248" s="7777" t="str">
        <f>IF(_xlfn.IFERROR(INDEX(Аренда!$K$26:$L$77,MATCH($F248&amp;"komm",Аренда!$K$26:$K$77,0),2),"")=0,"",_xlfn.IFERROR(INDEX(Аренда!$K$26:$L$77,MATCH($F248&amp;"komm",Аренда!$K$26:$K$77,0),2),""))</f>
        <v>В соответствии с п.п.3 п.49 Методических указаний 1746-э расходы на арендную плату и лизинговые платежи, размер которых определяется с учетом требований, предусмотренных пунктом 29 настоящих Методических указаний.​</v>
      </c>
      <c r="BP248" s="7771"/>
      <c r="BQ248" s="1278"/>
      <c r="BR248" s="1278"/>
      <c r="BS248" s="1064" t="s">
        <v>2804</v>
      </c>
      <c r="BT248" s="1064"/>
      <c r="BU248" s="1064"/>
      <c r="BV248" s="979"/>
      <c r="BW248" s="979"/>
    </row>
    <row s="1834" customFormat="1" customHeight="1" ht="14.25">
      <c r="A249" s="1278"/>
      <c r="B249" s="432">
        <f>STATUS_GO="да"</f>
        <v>1</v>
      </c>
      <c r="C249" s="1278"/>
      <c r="D249" s="1278"/>
      <c r="E249" s="703">
        <v>15</v>
      </c>
      <c r="F249" s="50" cm="1" t="str">
        <f t="array" ref="F249:F249">OFFSET(E249,-1,1)</f>
        <v>1</v>
      </c>
      <c r="G249" s="1278"/>
      <c r="H249" s="1278"/>
      <c r="I249" s="158" t="s">
        <v>2805</v>
      </c>
      <c r="J249" s="1278"/>
      <c r="K249" s="158" t="s">
        <v>2805</v>
      </c>
      <c r="L249" s="980"/>
      <c r="M249" s="107"/>
      <c r="N249" s="1278"/>
      <c r="O249" s="1278"/>
      <c r="P249" s="1278"/>
      <c r="Q249" s="1278"/>
      <c r="R249" s="1278"/>
      <c r="S249" s="1278"/>
      <c r="T249" s="465" cm="1" t="str">
        <f t="array" ref="T249:T249">T248</f>
        <v>true</v>
      </c>
      <c r="U249" s="1278"/>
      <c r="V249" s="1278"/>
      <c r="W249" s="1278"/>
      <c r="X249" s="1563"/>
      <c r="Y249" s="1278"/>
      <c r="Z249" s="1546"/>
      <c r="AA249" s="1278"/>
      <c r="AB249" s="299" t="s">
        <v>2245</v>
      </c>
      <c r="AC249" s="762" t="s">
        <v>2806</v>
      </c>
      <c r="AD249" s="300" t="s">
        <v>1514</v>
      </c>
      <c r="AE249" s="7773"/>
      <c r="AF249" s="7773"/>
      <c r="AG249" s="7773"/>
      <c r="AH249" s="943">
        <f>AG249-AF249</f>
        <v>0</v>
      </c>
      <c r="AI249" s="7723"/>
      <c r="AJ249" s="7723"/>
      <c r="AK249" s="7723"/>
      <c r="AL249" s="7723"/>
      <c r="AM249" s="7723"/>
      <c r="AN249" s="7723"/>
      <c r="AO249" s="1253"/>
      <c r="AP249" s="1253"/>
      <c r="AQ249" s="1253"/>
      <c r="AR249" s="1253"/>
      <c r="AS249" s="1253"/>
      <c r="AT249" s="7723"/>
      <c r="AU249" s="7723"/>
      <c r="AV249" s="7723"/>
      <c r="AW249" s="7723"/>
      <c r="AX249" s="7723"/>
      <c r="AY249" s="1253"/>
      <c r="AZ249" s="1253"/>
      <c r="BA249" s="1253"/>
      <c r="BB249" s="1253"/>
      <c r="BC249" s="1253"/>
      <c r="BD249" s="943">
        <f>IF(AI249=0,0,(AT249-AI249)/AI249*100)</f>
        <v>0</v>
      </c>
      <c r="BE249" s="943">
        <f>IF(AT249=0,0,(AU249-AT249)/AT249*100)</f>
        <v>0</v>
      </c>
      <c r="BF249" s="943">
        <f>IF(AU249=0,0,(AV249-AU249)/AU249*100)</f>
        <v>0</v>
      </c>
      <c r="BG249" s="943">
        <f>IF(AV249=0,0,(AW249-AV249)/AV249*100)</f>
        <v>0</v>
      </c>
      <c r="BH249" s="943">
        <f>IF(AW249=0,0,(AX249-AW249)/AW249*100)</f>
        <v>0</v>
      </c>
      <c r="BI249" s="943">
        <f>IF(AX249=0,0,(AY249-AX249)/AX249*100)</f>
        <v>0</v>
      </c>
      <c r="BJ249" s="943">
        <f>IF(AY249=0,0,(AZ249-AY249)/AY249*100)</f>
        <v>0</v>
      </c>
      <c r="BK249" s="943">
        <f>IF(AZ249=0,0,(BA249-AZ249)/AZ249*100)</f>
        <v>0</v>
      </c>
      <c r="BL249" s="943">
        <f>IF(BA249=0,0,(BB249-BA249)/BA249*100)</f>
        <v>0</v>
      </c>
      <c r="BM249" s="943">
        <f>IF(BB249=0,0,(BC249-BB249)/BB249*100)</f>
        <v>0</v>
      </c>
      <c r="BN249" s="7771"/>
      <c r="BO249" s="7771"/>
      <c r="BP249" s="7771"/>
      <c r="BQ249" s="1278"/>
      <c r="BR249" s="1278"/>
      <c r="BS249" s="1064" t="s">
        <v>2807</v>
      </c>
      <c r="BT249" s="1064"/>
      <c r="BU249" s="1064"/>
      <c r="BV249" s="979"/>
      <c r="BW249" s="979"/>
    </row>
    <row s="1834" customFormat="1" customHeight="1" ht="14.25">
      <c r="A250" s="1278"/>
      <c r="B250" s="432">
        <f>STATUS_GO="да"</f>
        <v>1</v>
      </c>
      <c r="C250" s="1278"/>
      <c r="D250" s="1278"/>
      <c r="E250" s="703">
        <v>15</v>
      </c>
      <c r="F250" s="50" cm="1" t="str">
        <f t="array" ref="F250:F250">OFFSET(E250,-1,1)</f>
        <v>1</v>
      </c>
      <c r="G250" s="158" t="s">
        <v>2187</v>
      </c>
      <c r="H250" s="1278"/>
      <c r="I250" s="158" t="s">
        <v>2808</v>
      </c>
      <c r="J250" s="1278"/>
      <c r="K250" s="158" t="s">
        <v>2808</v>
      </c>
      <c r="L250" s="980"/>
      <c r="M250" s="107"/>
      <c r="N250" s="1278"/>
      <c r="O250" s="1278"/>
      <c r="P250" s="1278"/>
      <c r="Q250" s="1278"/>
      <c r="R250" s="1278"/>
      <c r="S250" s="1278"/>
      <c r="T250" s="465" cm="1" t="str">
        <f t="array" ref="T250:T250">T249</f>
        <v>true</v>
      </c>
      <c r="U250" s="1278"/>
      <c r="V250" s="1278"/>
      <c r="W250" s="1278"/>
      <c r="X250" s="1563"/>
      <c r="Y250" s="1278"/>
      <c r="Z250" s="1546"/>
      <c r="AA250" s="1278"/>
      <c r="AB250" s="299" t="s">
        <v>2809</v>
      </c>
      <c r="AC250" s="765" t="s">
        <v>2187</v>
      </c>
      <c r="AD250" s="300" t="s">
        <v>1514</v>
      </c>
      <c r="AE250" s="7773"/>
      <c r="AF250" s="7773"/>
      <c r="AG250" s="7773"/>
      <c r="AH250" s="943">
        <f>AG250-AF250</f>
        <v>0</v>
      </c>
      <c r="AI250" s="7723"/>
      <c r="AJ250" s="7723"/>
      <c r="AK250" s="7723"/>
      <c r="AL250" s="7723"/>
      <c r="AM250" s="7723"/>
      <c r="AN250" s="7723"/>
      <c r="AO250" s="1253"/>
      <c r="AP250" s="1253"/>
      <c r="AQ250" s="1253"/>
      <c r="AR250" s="1253"/>
      <c r="AS250" s="1253"/>
      <c r="AT250" s="7723"/>
      <c r="AU250" s="7723"/>
      <c r="AV250" s="7723"/>
      <c r="AW250" s="7723"/>
      <c r="AX250" s="7723"/>
      <c r="AY250" s="1253"/>
      <c r="AZ250" s="1253"/>
      <c r="BA250" s="1253"/>
      <c r="BB250" s="1253"/>
      <c r="BC250" s="1253"/>
      <c r="BD250" s="943">
        <f>IF(AI250=0,0,(AT250-AI250)/AI250*100)</f>
        <v>0</v>
      </c>
      <c r="BE250" s="943">
        <f>IF(AT250=0,0,(AU250-AT250)/AT250*100)</f>
        <v>0</v>
      </c>
      <c r="BF250" s="943">
        <f>IF(AU250=0,0,(AV250-AU250)/AU250*100)</f>
        <v>0</v>
      </c>
      <c r="BG250" s="943">
        <f>IF(AV250=0,0,(AW250-AV250)/AV250*100)</f>
        <v>0</v>
      </c>
      <c r="BH250" s="943">
        <f>IF(AW250=0,0,(AX250-AW250)/AW250*100)</f>
        <v>0</v>
      </c>
      <c r="BI250" s="943">
        <f>IF(AX250=0,0,(AY250-AX250)/AX250*100)</f>
        <v>0</v>
      </c>
      <c r="BJ250" s="943">
        <f>IF(AY250=0,0,(AZ250-AY250)/AY250*100)</f>
        <v>0</v>
      </c>
      <c r="BK250" s="943">
        <f>IF(AZ250=0,0,(BA250-AZ250)/AZ250*100)</f>
        <v>0</v>
      </c>
      <c r="BL250" s="943">
        <f>IF(BA250=0,0,(BB250-BA250)/BA250*100)</f>
        <v>0</v>
      </c>
      <c r="BM250" s="943">
        <f>IF(BB250=0,0,(BC250-BB250)/BB250*100)</f>
        <v>0</v>
      </c>
      <c r="BN250" s="7771"/>
      <c r="BO250" s="7777" t="str">
        <f>IF(_xlfn.IFERROR(INDEX('Сбытовые расходы ГО'!$K$26:$M$87,MATCH($F250&amp;"komm",'Сбытовые расходы ГО'!$K$26:$K$87,0),2),"")=0,"",_xlfn.IFERROR(INDEX('Сбытовые расходы ГО'!$K$26:$M$87,MATCH($F250&amp;"komm",'Сбытовые расходы ГО'!$K$26:$K$87,0),2),""))</f>
        <v/>
      </c>
      <c r="BP250" s="7771"/>
      <c r="BQ250" s="1278"/>
      <c r="BR250" s="1278"/>
      <c r="BS250" s="1064" t="s">
        <v>2810</v>
      </c>
      <c r="BT250" s="1064"/>
      <c r="BU250" s="1064"/>
      <c r="BV250" s="979"/>
      <c r="BW250" s="979"/>
    </row>
    <row s="1834" customFormat="1" customHeight="1" ht="14.25">
      <c r="A251" s="1278"/>
      <c r="B251" s="978"/>
      <c r="C251" s="1278"/>
      <c r="D251" s="1278"/>
      <c r="E251" s="703">
        <v>15</v>
      </c>
      <c r="F251" s="50" cm="1" t="str">
        <f t="array" ref="F251:F251">OFFSET(E251,-1,1)</f>
        <v>1</v>
      </c>
      <c r="G251" s="158" t="s">
        <v>2192</v>
      </c>
      <c r="H251" s="1278"/>
      <c r="I251" s="158" t="s">
        <v>2811</v>
      </c>
      <c r="J251" s="1278"/>
      <c r="K251" s="158" t="s">
        <v>2811</v>
      </c>
      <c r="L251" s="980"/>
      <c r="M251" s="107"/>
      <c r="N251" s="1278"/>
      <c r="O251" s="1278"/>
      <c r="P251" s="1278"/>
      <c r="Q251" s="1278"/>
      <c r="R251" s="1278"/>
      <c r="S251" s="1278"/>
      <c r="T251" s="465" cm="1" t="str">
        <f t="array" ref="T251:T251">T250</f>
        <v>true</v>
      </c>
      <c r="U251" s="1278"/>
      <c r="V251" s="1278"/>
      <c r="W251" s="1278"/>
      <c r="X251" s="1563"/>
      <c r="Y251" s="1278"/>
      <c r="Z251" s="1546"/>
      <c r="AA251" s="1278"/>
      <c r="AB251" s="299" t="s">
        <v>2250</v>
      </c>
      <c r="AC251" s="762" t="s">
        <v>2192</v>
      </c>
      <c r="AD251" s="300" t="s">
        <v>1514</v>
      </c>
      <c r="AE251" s="7773"/>
      <c r="AF251" s="7773"/>
      <c r="AG251" s="7773"/>
      <c r="AH251" s="943">
        <f>AG251-AF251</f>
        <v>0</v>
      </c>
      <c r="AI251" s="7723"/>
      <c r="AJ251" s="7723">
        <f>_xlfn.SUMIFS(Экономия_корр!AE$25:AE$67,Экономия_корр!$F$25:$F$67,$F251,Экономия_корр!$AC$25:$AC$67,"Экономия расходов с учетом ИПЦ")</f>
        <v>0</v>
      </c>
      <c r="AK251" s="7723">
        <f>_xlfn.SUMIFS(Экономия_корр!AF$25:AF$67,Экономия_корр!$F$25:$F$67,$F251,Экономия_корр!$AC$25:$AC$67,"Экономия расходов с учетом ИПЦ")</f>
        <v>0</v>
      </c>
      <c r="AL251" s="7723">
        <f>_xlfn.SUMIFS(Экономия_корр!AG$25:AG$67,Экономия_корр!$F$25:$F$67,$F251,Экономия_корр!$AC$25:$AC$67,"Экономия расходов с учетом ИПЦ")</f>
        <v>0</v>
      </c>
      <c r="AM251" s="7723">
        <f>_xlfn.SUMIFS(Экономия_корр!AH$25:AH$67,Экономия_корр!$F$25:$F$67,$F251,Экономия_корр!$AC$25:$AC$67,"Экономия расходов с учетом ИПЦ")</f>
        <v>0</v>
      </c>
      <c r="AN251" s="7723">
        <f>_xlfn.SUMIFS(Экономия_корр!AI$25:AI$67,Экономия_корр!$F$25:$F$67,$F251,Экономия_корр!$AC$25:$AC$67,"Экономия расходов с учетом ИПЦ")</f>
        <v>0</v>
      </c>
      <c r="AO251" s="1253">
        <f>_xlfn.SUMIFS(Экономия_корр!AJ$25:AJ$67,Экономия_корр!$F$25:$F$67,$F251,Экономия_корр!$AC$25:$AC$67,"Экономия расходов с учетом ИПЦ")</f>
        <v>0</v>
      </c>
      <c r="AP251" s="1253">
        <f>_xlfn.SUMIFS(Экономия_корр!AK$25:AK$67,Экономия_корр!$F$25:$F$67,$F251,Экономия_корр!$AC$25:$AC$67,"Экономия расходов с учетом ИПЦ")</f>
        <v>0</v>
      </c>
      <c r="AQ251" s="1253">
        <f>_xlfn.SUMIFS(Экономия_корр!AL$25:AL$67,Экономия_корр!$F$25:$F$67,$F251,Экономия_корр!$AC$25:$AC$67,"Экономия расходов с учетом ИПЦ")</f>
        <v>0</v>
      </c>
      <c r="AR251" s="1253">
        <f>_xlfn.SUMIFS(Экономия_корр!AM$25:AM$67,Экономия_корр!$F$25:$F$67,$F251,Экономия_корр!$AC$25:$AC$67,"Экономия расходов с учетом ИПЦ")</f>
        <v>0</v>
      </c>
      <c r="AS251" s="1253">
        <f>_xlfn.SUMIFS(Экономия_корр!AN$25:AN$67,Экономия_корр!$F$25:$F$67,$F251,Экономия_корр!$AC$25:$AC$67,"Экономия расходов с учетом ИПЦ")</f>
        <v>0</v>
      </c>
      <c r="AT251" s="7723">
        <f>_xlfn.SUMIFS(Экономия_корр!AO$25:AO$67,Экономия_корр!$F$25:$F$67,$F251,Экономия_корр!$AC$25:$AC$67,"Экономия расходов с учетом ИПЦ")</f>
        <v>0</v>
      </c>
      <c r="AU251" s="7723">
        <f>_xlfn.SUMIFS(Экономия_корр!AP$25:AP$67,Экономия_корр!$F$25:$F$67,$F251,Экономия_корр!$AC$25:$AC$67,"Экономия расходов с учетом ИПЦ")</f>
        <v>0</v>
      </c>
      <c r="AV251" s="7723">
        <f>_xlfn.SUMIFS(Экономия_корр!AQ$25:AQ$67,Экономия_корр!$F$25:$F$67,$F251,Экономия_корр!$AC$25:$AC$67,"Экономия расходов с учетом ИПЦ")</f>
        <v>0</v>
      </c>
      <c r="AW251" s="7723">
        <f>_xlfn.SUMIFS(Экономия_корр!AR$25:AR$67,Экономия_корр!$F$25:$F$67,$F251,Экономия_корр!$AC$25:$AC$67,"Экономия расходов с учетом ИПЦ")</f>
        <v>0</v>
      </c>
      <c r="AX251" s="7723">
        <f>_xlfn.SUMIFS(Экономия_корр!AS$25:AS$67,Экономия_корр!$F$25:$F$67,$F251,Экономия_корр!$AC$25:$AC$67,"Экономия расходов с учетом ИПЦ")</f>
        <v>0</v>
      </c>
      <c r="AY251" s="1253">
        <f>_xlfn.SUMIFS(Экономия_корр!AT$25:AT$67,Экономия_корр!$F$25:$F$67,$F251,Экономия_корр!$AC$25:$AC$67,"Экономия расходов с учетом ИПЦ")</f>
        <v>0</v>
      </c>
      <c r="AZ251" s="1253">
        <f>_xlfn.SUMIFS(Экономия_корр!AU$25:AU$67,Экономия_корр!$F$25:$F$67,$F251,Экономия_корр!$AC$25:$AC$67,"Экономия расходов с учетом ИПЦ")</f>
        <v>0</v>
      </c>
      <c r="BA251" s="1253">
        <f>_xlfn.SUMIFS(Экономия_корр!AV$25:AV$67,Экономия_корр!$F$25:$F$67,$F251,Экономия_корр!$AC$25:$AC$67,"Экономия расходов с учетом ИПЦ")</f>
        <v>0</v>
      </c>
      <c r="BB251" s="1253">
        <f>_xlfn.SUMIFS(Экономия_корр!AW$25:AW$67,Экономия_корр!$F$25:$F$67,$F251,Экономия_корр!$AC$25:$AC$67,"Экономия расходов с учетом ИПЦ")</f>
        <v>0</v>
      </c>
      <c r="BC251" s="1253">
        <f>_xlfn.SUMIFS(Экономия_корр!AX$25:AX$67,Экономия_корр!$F$25:$F$67,$F251,Экономия_корр!$AC$25:$AC$67,"Экономия расходов с учетом ИПЦ")</f>
        <v>0</v>
      </c>
      <c r="BD251" s="943">
        <f>IF(AI251=0,0,(AT251-AI251)/AI251*100)</f>
        <v>0</v>
      </c>
      <c r="BE251" s="943">
        <f>IF(AT251=0,0,(AU251-AT251)/AT251*100)</f>
        <v>0</v>
      </c>
      <c r="BF251" s="943">
        <f>IF(AU251=0,0,(AV251-AU251)/AU251*100)</f>
        <v>0</v>
      </c>
      <c r="BG251" s="943">
        <f>IF(AV251=0,0,(AW251-AV251)/AV251*100)</f>
        <v>0</v>
      </c>
      <c r="BH251" s="943">
        <f>IF(AW251=0,0,(AX251-AW251)/AW251*100)</f>
        <v>0</v>
      </c>
      <c r="BI251" s="943">
        <f>IF(AX251=0,0,(AY251-AX251)/AX251*100)</f>
        <v>0</v>
      </c>
      <c r="BJ251" s="943">
        <f>IF(AY251=0,0,(AZ251-AY251)/AY251*100)</f>
        <v>0</v>
      </c>
      <c r="BK251" s="943">
        <f>IF(AZ251=0,0,(BA251-AZ251)/AZ251*100)</f>
        <v>0</v>
      </c>
      <c r="BL251" s="943">
        <f>IF(BA251=0,0,(BB251-BA251)/BA251*100)</f>
        <v>0</v>
      </c>
      <c r="BM251" s="943">
        <f>IF(BB251=0,0,(BC251-BB251)/BB251*100)</f>
        <v>0</v>
      </c>
      <c r="BN251" s="7771"/>
      <c r="BO251" s="7771"/>
      <c r="BP251" s="7771"/>
      <c r="BQ251" s="1278"/>
      <c r="BR251" s="1278"/>
      <c r="BS251" s="1064" t="s">
        <v>2812</v>
      </c>
      <c r="BT251" s="1064"/>
      <c r="BU251" s="1064"/>
      <c r="BV251" s="979"/>
      <c r="BW251" s="979"/>
    </row>
    <row s="1834" customFormat="1" customHeight="1" ht="14.25">
      <c r="A252" s="1278"/>
      <c r="B252" s="978"/>
      <c r="C252" s="1278"/>
      <c r="D252" s="1278"/>
      <c r="E252" s="703">
        <v>15</v>
      </c>
      <c r="F252" s="50" cm="1" t="str">
        <f t="array" ref="F252:F252">OFFSET(E252,-1,1)</f>
        <v>1</v>
      </c>
      <c r="G252" s="158" t="s">
        <v>2197</v>
      </c>
      <c r="H252" s="1278"/>
      <c r="I252" s="158" t="s">
        <v>2813</v>
      </c>
      <c r="J252" s="1278"/>
      <c r="K252" s="158" t="s">
        <v>2813</v>
      </c>
      <c r="L252" s="980"/>
      <c r="M252" s="107"/>
      <c r="N252" s="1278"/>
      <c r="O252" s="1278"/>
      <c r="P252" s="1278"/>
      <c r="Q252" s="1278"/>
      <c r="R252" s="1278"/>
      <c r="S252" s="1278"/>
      <c r="T252" s="465" cm="1" t="str">
        <f t="array" ref="T252:T252">T251</f>
        <v>true</v>
      </c>
      <c r="U252" s="1278"/>
      <c r="V252" s="1278"/>
      <c r="W252" s="1278"/>
      <c r="X252" s="1563"/>
      <c r="Y252" s="1278"/>
      <c r="Z252" s="1546"/>
      <c r="AA252" s="1278"/>
      <c r="AB252" s="299" t="s">
        <v>2814</v>
      </c>
      <c r="AC252" s="762" t="s">
        <v>2197</v>
      </c>
      <c r="AD252" s="300" t="s">
        <v>1514</v>
      </c>
      <c r="AE252" s="7773"/>
      <c r="AF252" s="7773"/>
      <c r="AG252" s="7773"/>
      <c r="AH252" s="943">
        <f>AG252-AF252</f>
        <v>0</v>
      </c>
      <c r="AI252" s="7723"/>
      <c r="AJ252" s="7723"/>
      <c r="AK252" s="7723"/>
      <c r="AL252" s="7723"/>
      <c r="AM252" s="7723"/>
      <c r="AN252" s="7723"/>
      <c r="AO252" s="1253"/>
      <c r="AP252" s="1253"/>
      <c r="AQ252" s="1253"/>
      <c r="AR252" s="1253"/>
      <c r="AS252" s="1253"/>
      <c r="AT252" s="7723"/>
      <c r="AU252" s="7723"/>
      <c r="AV252" s="7723"/>
      <c r="AW252" s="7723"/>
      <c r="AX252" s="7723"/>
      <c r="AY252" s="1253"/>
      <c r="AZ252" s="1253"/>
      <c r="BA252" s="1253"/>
      <c r="BB252" s="1253"/>
      <c r="BC252" s="1253"/>
      <c r="BD252" s="943">
        <f>IF(AI252=0,0,(AT252-AI252)/AI252*100)</f>
        <v>0</v>
      </c>
      <c r="BE252" s="943">
        <f>IF(AT252=0,0,(AU252-AT252)/AT252*100)</f>
        <v>0</v>
      </c>
      <c r="BF252" s="943">
        <f>IF(AU252=0,0,(AV252-AU252)/AU252*100)</f>
        <v>0</v>
      </c>
      <c r="BG252" s="943">
        <f>IF(AV252=0,0,(AW252-AV252)/AV252*100)</f>
        <v>0</v>
      </c>
      <c r="BH252" s="943">
        <f>IF(AW252=0,0,(AX252-AW252)/AW252*100)</f>
        <v>0</v>
      </c>
      <c r="BI252" s="943">
        <f>IF(AX252=0,0,(AY252-AX252)/AX252*100)</f>
        <v>0</v>
      </c>
      <c r="BJ252" s="943">
        <f>IF(AY252=0,0,(AZ252-AY252)/AY252*100)</f>
        <v>0</v>
      </c>
      <c r="BK252" s="943">
        <f>IF(AZ252=0,0,(BA252-AZ252)/AZ252*100)</f>
        <v>0</v>
      </c>
      <c r="BL252" s="943">
        <f>IF(BA252=0,0,(BB252-BA252)/BA252*100)</f>
        <v>0</v>
      </c>
      <c r="BM252" s="943">
        <f>IF(BB252=0,0,(BC252-BB252)/BB252*100)</f>
        <v>0</v>
      </c>
      <c r="BN252" s="7771"/>
      <c r="BO252" s="7771"/>
      <c r="BP252" s="7771"/>
      <c r="BQ252" s="1278"/>
      <c r="BR252" s="1278"/>
      <c r="BS252" s="1064" t="s">
        <v>2551</v>
      </c>
      <c r="BT252" s="1064"/>
      <c r="BU252" s="1064"/>
      <c r="BV252" s="979"/>
      <c r="BW252" s="979"/>
    </row>
    <row s="1834" customFormat="1" customHeight="1" ht="14.25">
      <c r="A253" s="1278"/>
      <c r="B253" s="978"/>
      <c r="C253" s="1278"/>
      <c r="D253" s="1278"/>
      <c r="E253" s="703">
        <v>15</v>
      </c>
      <c r="F253" s="50" cm="1" t="str">
        <f t="array" ref="F253:F253">OFFSET(E253,-1,1)</f>
        <v>1</v>
      </c>
      <c r="G253" s="158" t="s">
        <v>2202</v>
      </c>
      <c r="H253" s="1278"/>
      <c r="I253" s="158" t="s">
        <v>2815</v>
      </c>
      <c r="J253" s="1278"/>
      <c r="K253" s="158" t="s">
        <v>2815</v>
      </c>
      <c r="L253" s="980"/>
      <c r="M253" s="107"/>
      <c r="N253" s="1278"/>
      <c r="O253" s="1278"/>
      <c r="P253" s="1278"/>
      <c r="Q253" s="1278"/>
      <c r="R253" s="1278"/>
      <c r="S253" s="1278"/>
      <c r="T253" s="465" cm="1" t="str">
        <f t="array" ref="T253:T253">T252</f>
        <v>true</v>
      </c>
      <c r="U253" s="1278"/>
      <c r="V253" s="1278"/>
      <c r="W253" s="1278"/>
      <c r="X253" s="1563"/>
      <c r="Y253" s="1278"/>
      <c r="Z253" s="1546"/>
      <c r="AA253" s="1278"/>
      <c r="AB253" s="299" t="s">
        <v>2269</v>
      </c>
      <c r="AC253" s="762" t="s">
        <v>2202</v>
      </c>
      <c r="AD253" s="300" t="s">
        <v>1514</v>
      </c>
      <c r="AE253" s="7773"/>
      <c r="AF253" s="7773"/>
      <c r="AG253" s="7773"/>
      <c r="AH253" s="943">
        <f>AG253-AF253</f>
        <v>0</v>
      </c>
      <c r="AI253" s="7723"/>
      <c r="AJ253" s="7723"/>
      <c r="AK253" s="7723"/>
      <c r="AL253" s="7723"/>
      <c r="AM253" s="7723"/>
      <c r="AN253" s="7723"/>
      <c r="AO253" s="1253"/>
      <c r="AP253" s="1253"/>
      <c r="AQ253" s="1253"/>
      <c r="AR253" s="1253"/>
      <c r="AS253" s="1253"/>
      <c r="AT253" s="7723"/>
      <c r="AU253" s="7723"/>
      <c r="AV253" s="7723"/>
      <c r="AW253" s="7723"/>
      <c r="AX253" s="7723"/>
      <c r="AY253" s="1253"/>
      <c r="AZ253" s="1253"/>
      <c r="BA253" s="1253"/>
      <c r="BB253" s="1253"/>
      <c r="BC253" s="1253"/>
      <c r="BD253" s="943">
        <f>IF(AI253=0,0,(AT253-AI253)/AI253*100)</f>
        <v>0</v>
      </c>
      <c r="BE253" s="943">
        <f>IF(AT253=0,0,(AU253-AT253)/AT253*100)</f>
        <v>0</v>
      </c>
      <c r="BF253" s="943">
        <f>IF(AU253=0,0,(AV253-AU253)/AU253*100)</f>
        <v>0</v>
      </c>
      <c r="BG253" s="943">
        <f>IF(AV253=0,0,(AW253-AV253)/AV253*100)</f>
        <v>0</v>
      </c>
      <c r="BH253" s="943">
        <f>IF(AW253=0,0,(AX253-AW253)/AW253*100)</f>
        <v>0</v>
      </c>
      <c r="BI253" s="943">
        <f>IF(AX253=0,0,(AY253-AX253)/AX253*100)</f>
        <v>0</v>
      </c>
      <c r="BJ253" s="943">
        <f>IF(AY253=0,0,(AZ253-AY253)/AY253*100)</f>
        <v>0</v>
      </c>
      <c r="BK253" s="943">
        <f>IF(AZ253=0,0,(BA253-AZ253)/AZ253*100)</f>
        <v>0</v>
      </c>
      <c r="BL253" s="943">
        <f>IF(BA253=0,0,(BB253-BA253)/BA253*100)</f>
        <v>0</v>
      </c>
      <c r="BM253" s="943">
        <f>IF(BB253=0,0,(BC253-BB253)/BB253*100)</f>
        <v>0</v>
      </c>
      <c r="BN253" s="7771"/>
      <c r="BO253" s="7771"/>
      <c r="BP253" s="7771"/>
      <c r="BQ253" s="1278"/>
      <c r="BR253" s="1278"/>
      <c r="BS253" s="1064" t="s">
        <v>2816</v>
      </c>
      <c r="BT253" s="1064"/>
      <c r="BU253" s="1064"/>
      <c r="BV253" s="979"/>
      <c r="BW253" s="979"/>
    </row>
    <row s="1834" customFormat="1" customHeight="1" ht="14.25">
      <c r="A254" s="1278"/>
      <c r="B254" s="978"/>
      <c r="C254" s="1278"/>
      <c r="D254" s="1278"/>
      <c r="E254" s="703">
        <v>15</v>
      </c>
      <c r="F254" s="50" cm="1" t="str">
        <f t="array" ref="F254:F254">OFFSET(E254,-1,1)</f>
        <v>1</v>
      </c>
      <c r="G254" s="158" t="s">
        <v>2207</v>
      </c>
      <c r="H254" s="1278"/>
      <c r="I254" s="158" t="s">
        <v>2817</v>
      </c>
      <c r="J254" s="1278"/>
      <c r="K254" s="158" t="s">
        <v>2817</v>
      </c>
      <c r="L254" s="980"/>
      <c r="M254" s="107"/>
      <c r="N254" s="1278"/>
      <c r="O254" s="1278"/>
      <c r="P254" s="1278"/>
      <c r="Q254" s="1278"/>
      <c r="R254" s="1278"/>
      <c r="S254" s="1278"/>
      <c r="T254" s="465" cm="1" t="str">
        <f t="array" ref="T254:T254">T253</f>
        <v>true</v>
      </c>
      <c r="U254" s="1278"/>
      <c r="V254" s="1278"/>
      <c r="W254" s="1278"/>
      <c r="X254" s="1563"/>
      <c r="Y254" s="1278"/>
      <c r="Z254" s="1546"/>
      <c r="AA254" s="1278"/>
      <c r="AB254" s="299" t="s">
        <v>2273</v>
      </c>
      <c r="AC254" s="762" t="s">
        <v>2207</v>
      </c>
      <c r="AD254" s="300" t="s">
        <v>1514</v>
      </c>
      <c r="AE254" s="353">
        <f>SUM(AE255,AE256)</f>
        <v>0</v>
      </c>
      <c r="AF254" s="259">
        <f>SUM(AF255,AF256)</f>
        <v>0</v>
      </c>
      <c r="AG254" s="259">
        <f>SUM(AG255,AG256)</f>
        <v>0</v>
      </c>
      <c r="AH254" s="943">
        <f>AG254-AF254</f>
        <v>0</v>
      </c>
      <c r="AI254" s="943">
        <f>SUM(AI255,AI256)</f>
        <v>0</v>
      </c>
      <c r="AJ254" s="944">
        <f>SUM(AJ255,AJ256)</f>
        <v>0</v>
      </c>
      <c r="AK254" s="943">
        <f>SUM(AK255,AK256)</f>
        <v>0</v>
      </c>
      <c r="AL254" s="943">
        <f>SUM(AL255,AL256)</f>
        <v>0</v>
      </c>
      <c r="AM254" s="943">
        <f>SUM(AM255,AM256)</f>
        <v>0</v>
      </c>
      <c r="AN254" s="943">
        <f>SUM(AN255,AN256)</f>
        <v>0</v>
      </c>
      <c r="AO254" s="943">
        <f>SUM(AO255,AO256)</f>
        <v>0</v>
      </c>
      <c r="AP254" s="943">
        <f>SUM(AP255,AP256)</f>
        <v>0</v>
      </c>
      <c r="AQ254" s="943">
        <f>SUM(AQ255,AQ256)</f>
        <v>0</v>
      </c>
      <c r="AR254" s="943">
        <f>SUM(AR255,AR256)</f>
        <v>0</v>
      </c>
      <c r="AS254" s="943">
        <f>SUM(AS255,AS256)</f>
        <v>0</v>
      </c>
      <c r="AT254" s="944">
        <f>SUM(AT255,AT256)</f>
        <v>0</v>
      </c>
      <c r="AU254" s="943">
        <f>SUM(AU255,AU256)</f>
        <v>0</v>
      </c>
      <c r="AV254" s="943">
        <f>SUM(AV255,AV256)</f>
        <v>0</v>
      </c>
      <c r="AW254" s="943">
        <f>SUM(AW255,AW256)</f>
        <v>0</v>
      </c>
      <c r="AX254" s="943">
        <f>SUM(AX255,AX256)</f>
        <v>0</v>
      </c>
      <c r="AY254" s="943">
        <f>SUM(AY255,AY256)</f>
        <v>0</v>
      </c>
      <c r="AZ254" s="943">
        <f>SUM(AZ255,AZ256)</f>
        <v>0</v>
      </c>
      <c r="BA254" s="943">
        <f>SUM(BA255,BA256)</f>
        <v>0</v>
      </c>
      <c r="BB254" s="943">
        <f>SUM(BB255,BB256)</f>
        <v>0</v>
      </c>
      <c r="BC254" s="943">
        <f>SUM(BC255,BC256)</f>
        <v>0</v>
      </c>
      <c r="BD254" s="943">
        <f>IF(AI254=0,0,(AT254-AI254)/AI254*100)</f>
        <v>0</v>
      </c>
      <c r="BE254" s="943">
        <f>IF(AT254=0,0,(AU254-AT254)/AT254*100)</f>
        <v>0</v>
      </c>
      <c r="BF254" s="943">
        <f>IF(AU254=0,0,(AV254-AU254)/AU254*100)</f>
        <v>0</v>
      </c>
      <c r="BG254" s="943">
        <f>IF(AV254=0,0,(AW254-AV254)/AV254*100)</f>
        <v>0</v>
      </c>
      <c r="BH254" s="943">
        <f>IF(AW254=0,0,(AX254-AW254)/AW254*100)</f>
        <v>0</v>
      </c>
      <c r="BI254" s="943">
        <f>IF(AX254=0,0,(AY254-AX254)/AX254*100)</f>
        <v>0</v>
      </c>
      <c r="BJ254" s="943">
        <f>IF(AY254=0,0,(AZ254-AY254)/AY254*100)</f>
        <v>0</v>
      </c>
      <c r="BK254" s="943">
        <f>IF(AZ254=0,0,(BA254-AZ254)/AZ254*100)</f>
        <v>0</v>
      </c>
      <c r="BL254" s="943">
        <f>IF(BA254=0,0,(BB254-BA254)/BA254*100)</f>
        <v>0</v>
      </c>
      <c r="BM254" s="943">
        <f>IF(BB254=0,0,(BC254-BB254)/BB254*100)</f>
        <v>0</v>
      </c>
      <c r="BN254" s="7771"/>
      <c r="BO254" s="7771"/>
      <c r="BP254" s="7771"/>
      <c r="BQ254" s="1278"/>
      <c r="BR254" s="1278"/>
      <c r="BS254" s="1064" t="s">
        <v>2818</v>
      </c>
      <c r="BT254" s="1064"/>
      <c r="BU254" s="1064"/>
      <c r="BV254" s="979"/>
      <c r="BW254" s="979"/>
    </row>
    <row s="1834" customFormat="1" customHeight="1" ht="14.25">
      <c r="A255" s="1278"/>
      <c r="B255" s="978"/>
      <c r="C255" s="1278"/>
      <c r="D255" s="1278"/>
      <c r="E255" s="703">
        <v>15</v>
      </c>
      <c r="F255" s="50" cm="1" t="str">
        <f t="array" ref="F255:F255">OFFSET(E255,-1,1)</f>
        <v>1</v>
      </c>
      <c r="G255" s="1278"/>
      <c r="H255" s="1278"/>
      <c r="I255" s="158" t="s">
        <v>2819</v>
      </c>
      <c r="J255" s="1278"/>
      <c r="K255" s="158" t="s">
        <v>2819</v>
      </c>
      <c r="L255" s="980"/>
      <c r="M255" s="107"/>
      <c r="N255" s="1278"/>
      <c r="O255" s="1278"/>
      <c r="P255" s="1278"/>
      <c r="Q255" s="1278"/>
      <c r="R255" s="1278"/>
      <c r="S255" s="1278"/>
      <c r="T255" s="465" cm="1" t="str">
        <f t="array" ref="T255:T255">T254</f>
        <v>true</v>
      </c>
      <c r="U255" s="1278"/>
      <c r="V255" s="1278"/>
      <c r="W255" s="1278"/>
      <c r="X255" s="1563"/>
      <c r="Y255" s="1278"/>
      <c r="Z255" s="1546"/>
      <c r="AA255" s="1278"/>
      <c r="AB255" s="299" t="s">
        <v>2820</v>
      </c>
      <c r="AC255" s="765" t="s">
        <v>2821</v>
      </c>
      <c r="AD255" s="300" t="s">
        <v>1514</v>
      </c>
      <c r="AE255" s="7773"/>
      <c r="AF255" s="7773"/>
      <c r="AG255" s="7773"/>
      <c r="AH255" s="943">
        <f>AG255-AF255</f>
        <v>0</v>
      </c>
      <c r="AI255" s="7723"/>
      <c r="AJ255" s="7723"/>
      <c r="AK255" s="7723"/>
      <c r="AL255" s="7723"/>
      <c r="AM255" s="7723"/>
      <c r="AN255" s="7723"/>
      <c r="AO255" s="1253"/>
      <c r="AP255" s="1253"/>
      <c r="AQ255" s="1253"/>
      <c r="AR255" s="1253"/>
      <c r="AS255" s="1253"/>
      <c r="AT255" s="7723"/>
      <c r="AU255" s="7723"/>
      <c r="AV255" s="7723"/>
      <c r="AW255" s="7723"/>
      <c r="AX255" s="7723"/>
      <c r="AY255" s="1253"/>
      <c r="AZ255" s="1253"/>
      <c r="BA255" s="1253"/>
      <c r="BB255" s="1253"/>
      <c r="BC255" s="1253"/>
      <c r="BD255" s="943">
        <f>IF(AI255=0,0,(AT255-AI255)/AI255*100)</f>
        <v>0</v>
      </c>
      <c r="BE255" s="943">
        <f>IF(AT255=0,0,(AU255-AT255)/AT255*100)</f>
        <v>0</v>
      </c>
      <c r="BF255" s="943">
        <f>IF(AU255=0,0,(AV255-AU255)/AU255*100)</f>
        <v>0</v>
      </c>
      <c r="BG255" s="943">
        <f>IF(AV255=0,0,(AW255-AV255)/AV255*100)</f>
        <v>0</v>
      </c>
      <c r="BH255" s="943">
        <f>IF(AW255=0,0,(AX255-AW255)/AW255*100)</f>
        <v>0</v>
      </c>
      <c r="BI255" s="943">
        <f>IF(AX255=0,0,(AY255-AX255)/AX255*100)</f>
        <v>0</v>
      </c>
      <c r="BJ255" s="943">
        <f>IF(AY255=0,0,(AZ255-AY255)/AY255*100)</f>
        <v>0</v>
      </c>
      <c r="BK255" s="943">
        <f>IF(AZ255=0,0,(BA255-AZ255)/AZ255*100)</f>
        <v>0</v>
      </c>
      <c r="BL255" s="943">
        <f>IF(BA255=0,0,(BB255-BA255)/BA255*100)</f>
        <v>0</v>
      </c>
      <c r="BM255" s="943">
        <f>IF(BB255=0,0,(BC255-BB255)/BB255*100)</f>
        <v>0</v>
      </c>
      <c r="BN255" s="7771"/>
      <c r="BO255" s="7771"/>
      <c r="BP255" s="7771"/>
      <c r="BQ255" s="1278"/>
      <c r="BR255" s="1278"/>
      <c r="BS255" s="1064" t="s">
        <v>1991</v>
      </c>
      <c r="BT255" s="1064"/>
      <c r="BU255" s="1064"/>
      <c r="BV255" s="979"/>
      <c r="BW255" s="979"/>
    </row>
    <row s="1834" customFormat="1" customHeight="1" ht="14.25">
      <c r="A256" s="1278"/>
      <c r="B256" s="978"/>
      <c r="C256" s="1278"/>
      <c r="D256" s="1278"/>
      <c r="E256" s="703">
        <v>15</v>
      </c>
      <c r="F256" s="50" cm="1" t="str">
        <f t="array" ref="F256:F256">OFFSET(E256,-1,1)</f>
        <v>1</v>
      </c>
      <c r="G256" s="1278"/>
      <c r="H256" s="1278"/>
      <c r="I256" s="158" t="s">
        <v>2822</v>
      </c>
      <c r="J256" s="1278"/>
      <c r="K256" s="158" t="s">
        <v>2822</v>
      </c>
      <c r="L256" s="980" t="s">
        <v>1640</v>
      </c>
      <c r="M256" s="107"/>
      <c r="N256" s="1278"/>
      <c r="O256" s="1278"/>
      <c r="P256" s="1278"/>
      <c r="Q256" s="1278"/>
      <c r="R256" s="1278"/>
      <c r="S256" s="1278"/>
      <c r="T256" s="465" cm="1" t="str">
        <f t="array" ref="T256:T256">T255</f>
        <v>true</v>
      </c>
      <c r="U256" s="1278"/>
      <c r="V256" s="1278"/>
      <c r="W256" s="1278"/>
      <c r="X256" s="1563"/>
      <c r="Y256" s="1278"/>
      <c r="Z256" s="1546"/>
      <c r="AA256" s="1278"/>
      <c r="AB256" s="299" t="s">
        <v>2823</v>
      </c>
      <c r="AC256" s="765" t="s">
        <v>2824</v>
      </c>
      <c r="AD256" s="300" t="s">
        <v>1514</v>
      </c>
      <c r="AE256" s="7773"/>
      <c r="AF256" s="7773"/>
      <c r="AG256" s="7773"/>
      <c r="AH256" s="943">
        <f>AG256-AF256</f>
        <v>0</v>
      </c>
      <c r="AI256" s="7723"/>
      <c r="AJ256" s="7723"/>
      <c r="AK256" s="7723"/>
      <c r="AL256" s="7723"/>
      <c r="AM256" s="7723"/>
      <c r="AN256" s="7723"/>
      <c r="AO256" s="1253"/>
      <c r="AP256" s="1253"/>
      <c r="AQ256" s="1253"/>
      <c r="AR256" s="1253"/>
      <c r="AS256" s="1253"/>
      <c r="AT256" s="7723"/>
      <c r="AU256" s="7723"/>
      <c r="AV256" s="7723"/>
      <c r="AW256" s="7723"/>
      <c r="AX256" s="7723"/>
      <c r="AY256" s="1253"/>
      <c r="AZ256" s="1253"/>
      <c r="BA256" s="1253"/>
      <c r="BB256" s="1253"/>
      <c r="BC256" s="1253"/>
      <c r="BD256" s="943">
        <f>IF(AI256=0,0,(AT256-AI256)/AI256*100)</f>
        <v>0</v>
      </c>
      <c r="BE256" s="943">
        <f>IF(AT256=0,0,(AU256-AT256)/AT256*100)</f>
        <v>0</v>
      </c>
      <c r="BF256" s="943">
        <f>IF(AU256=0,0,(AV256-AU256)/AU256*100)</f>
        <v>0</v>
      </c>
      <c r="BG256" s="943">
        <f>IF(AV256=0,0,(AW256-AV256)/AV256*100)</f>
        <v>0</v>
      </c>
      <c r="BH256" s="943">
        <f>IF(AW256=0,0,(AX256-AW256)/AW256*100)</f>
        <v>0</v>
      </c>
      <c r="BI256" s="943">
        <f>IF(AX256=0,0,(AY256-AX256)/AX256*100)</f>
        <v>0</v>
      </c>
      <c r="BJ256" s="943">
        <f>IF(AY256=0,0,(AZ256-AY256)/AY256*100)</f>
        <v>0</v>
      </c>
      <c r="BK256" s="943">
        <f>IF(AZ256=0,0,(BA256-AZ256)/AZ256*100)</f>
        <v>0</v>
      </c>
      <c r="BL256" s="943">
        <f>IF(BA256=0,0,(BB256-BA256)/BA256*100)</f>
        <v>0</v>
      </c>
      <c r="BM256" s="943">
        <f>IF(BB256=0,0,(BC256-BB256)/BB256*100)</f>
        <v>0</v>
      </c>
      <c r="BN256" s="7771"/>
      <c r="BO256" s="7771"/>
      <c r="BP256" s="7771"/>
      <c r="BQ256" s="1278"/>
      <c r="BR256" s="1278"/>
      <c r="BS256" s="1064" t="s">
        <v>2825</v>
      </c>
      <c r="BT256" s="1064"/>
      <c r="BU256" s="1064"/>
      <c r="BV256" s="979"/>
      <c r="BW256" s="979"/>
    </row>
    <row s="1834" customFormat="1" customHeight="1" ht="21.75">
      <c r="A257" s="1278"/>
      <c r="B257" s="978"/>
      <c r="C257" s="1278"/>
      <c r="D257" s="1278"/>
      <c r="E257" s="703">
        <v>22.5</v>
      </c>
      <c r="F257" s="50" cm="1" t="str">
        <f t="array" ref="F257:F257">OFFSET(E257,-1,1)</f>
        <v>1</v>
      </c>
      <c r="G257" s="158" t="s">
        <v>2212</v>
      </c>
      <c r="H257" s="1278"/>
      <c r="I257" s="158" t="s">
        <v>2826</v>
      </c>
      <c r="J257" s="1278"/>
      <c r="K257" s="158" t="s">
        <v>2826</v>
      </c>
      <c r="L257" s="980"/>
      <c r="M257" s="107"/>
      <c r="N257" s="1278"/>
      <c r="O257" s="1278"/>
      <c r="P257" s="1278"/>
      <c r="Q257" s="1278"/>
      <c r="R257" s="1278"/>
      <c r="S257" s="1278"/>
      <c r="T257" s="465" cm="1" t="str">
        <f t="array" ref="T257:T257">T256</f>
        <v>true</v>
      </c>
      <c r="U257" s="1278"/>
      <c r="V257" s="1278"/>
      <c r="W257" s="1278"/>
      <c r="X257" s="1563"/>
      <c r="Y257" s="1278"/>
      <c r="Z257" s="1546"/>
      <c r="AA257" s="1278"/>
      <c r="AB257" s="299" t="s">
        <v>2276</v>
      </c>
      <c r="AC257" s="762" t="s">
        <v>2827</v>
      </c>
      <c r="AD257" s="300" t="s">
        <v>1514</v>
      </c>
      <c r="AE257" s="7773"/>
      <c r="AF257" s="7773"/>
      <c r="AG257" s="7773"/>
      <c r="AH257" s="943">
        <f>AG257-AF257</f>
        <v>0</v>
      </c>
      <c r="AI257" s="7723"/>
      <c r="AJ257" s="7723"/>
      <c r="AK257" s="7723"/>
      <c r="AL257" s="7723"/>
      <c r="AM257" s="7723"/>
      <c r="AN257" s="7723"/>
      <c r="AO257" s="1253"/>
      <c r="AP257" s="1253"/>
      <c r="AQ257" s="1253"/>
      <c r="AR257" s="1253"/>
      <c r="AS257" s="1253"/>
      <c r="AT257" s="7723"/>
      <c r="AU257" s="7723"/>
      <c r="AV257" s="7723"/>
      <c r="AW257" s="7723"/>
      <c r="AX257" s="7723"/>
      <c r="AY257" s="1253"/>
      <c r="AZ257" s="1253"/>
      <c r="BA257" s="1253"/>
      <c r="BB257" s="1253"/>
      <c r="BC257" s="1253"/>
      <c r="BD257" s="943">
        <f>IF(AI257=0,0,(AT257-AI257)/AI257*100)</f>
        <v>0</v>
      </c>
      <c r="BE257" s="943">
        <f>IF(AT257=0,0,(AU257-AT257)/AT257*100)</f>
        <v>0</v>
      </c>
      <c r="BF257" s="943">
        <f>IF(AU257=0,0,(AV257-AU257)/AU257*100)</f>
        <v>0</v>
      </c>
      <c r="BG257" s="943">
        <f>IF(AV257=0,0,(AW257-AV257)/AV257*100)</f>
        <v>0</v>
      </c>
      <c r="BH257" s="943">
        <f>IF(AW257=0,0,(AX257-AW257)/AW257*100)</f>
        <v>0</v>
      </c>
      <c r="BI257" s="943">
        <f>IF(AX257=0,0,(AY257-AX257)/AX257*100)</f>
        <v>0</v>
      </c>
      <c r="BJ257" s="943">
        <f>IF(AY257=0,0,(AZ257-AY257)/AY257*100)</f>
        <v>0</v>
      </c>
      <c r="BK257" s="943">
        <f>IF(AZ257=0,0,(BA257-AZ257)/AZ257*100)</f>
        <v>0</v>
      </c>
      <c r="BL257" s="943">
        <f>IF(BA257=0,0,(BB257-BA257)/BA257*100)</f>
        <v>0</v>
      </c>
      <c r="BM257" s="943">
        <f>IF(BB257=0,0,(BC257-BB257)/BB257*100)</f>
        <v>0</v>
      </c>
      <c r="BN257" s="7771"/>
      <c r="BO257" s="7771"/>
      <c r="BP257" s="7771"/>
      <c r="BQ257" s="1278"/>
      <c r="BR257" s="1278"/>
      <c r="BS257" s="1064" t="s">
        <v>2828</v>
      </c>
      <c r="BT257" s="1064"/>
      <c r="BU257" s="1064"/>
      <c r="BV257" s="979"/>
      <c r="BW257" s="979"/>
    </row>
    <row s="7778" customFormat="1" customHeight="1" ht="20.25">
      <c r="A258" s="700"/>
      <c r="B258" s="435"/>
      <c r="C258" s="700"/>
      <c r="D258" s="700"/>
      <c r="E258" s="707">
        <v>21</v>
      </c>
      <c r="F258" s="50" cm="1" t="str">
        <f t="array" ref="F258:F258">OFFSET(E258,-1,1)</f>
        <v>1</v>
      </c>
      <c r="G258" s="158" t="s">
        <v>2829</v>
      </c>
      <c r="H258" s="158"/>
      <c r="I258" s="158" t="s">
        <v>334</v>
      </c>
      <c r="J258" s="700"/>
      <c r="K258" s="158" t="s">
        <v>334</v>
      </c>
      <c r="L258" s="985" t="s">
        <v>2068</v>
      </c>
      <c r="M258" s="109"/>
      <c r="N258" s="700"/>
      <c r="O258" s="700"/>
      <c r="P258" s="700"/>
      <c r="Q258" s="700"/>
      <c r="R258" s="700"/>
      <c r="S258" s="700"/>
      <c r="T258" s="465" cm="1" t="str">
        <f t="array" ref="T258:T258">T257</f>
        <v>true</v>
      </c>
      <c r="U258" s="700"/>
      <c r="V258" s="700"/>
      <c r="W258" s="700"/>
      <c r="X258" s="1563"/>
      <c r="Y258" s="700"/>
      <c r="Z258" s="1546"/>
      <c r="AA258" s="700"/>
      <c r="AB258" s="218" t="s">
        <v>289</v>
      </c>
      <c r="AC258" s="212" t="s">
        <v>2830</v>
      </c>
      <c r="AD258" s="211" t="s">
        <v>1514</v>
      </c>
      <c r="AE258" s="778">
        <f>_xlfn.SUMIFS(ЭЭ!AE$25:AE$189,ЭЭ!$F$25:$F$189,$F258,ЭЭ!$AC$25:$AC$189,"Всего по тарифу")</f>
        <v>0</v>
      </c>
      <c r="AF258" s="778">
        <f>_xlfn.SUMIFS(ЭЭ!AF$25:AF$189,ЭЭ!$F$25:$F$189,$F258,ЭЭ!$AC$25:$AC$189,"Всего по тарифу")</f>
        <v>0</v>
      </c>
      <c r="AG258" s="778">
        <f>_xlfn.SUMIFS(ЭЭ!AG$25:AG$189,ЭЭ!$F$25:$F$189,$F258,ЭЭ!$AC$25:$AC$189,"Всего по тарифу")</f>
        <v>0</v>
      </c>
      <c r="AH258" s="761">
        <f>AG258-AF258</f>
        <v>0</v>
      </c>
      <c r="AI258" s="761">
        <f>_xlfn.SUMIFS(ЭЭ!AH$25:AH$189,ЭЭ!$F$25:$F$189,$F258,ЭЭ!$AC$25:$AC$189,"Всего по тарифу")</f>
        <v>0</v>
      </c>
      <c r="AJ258" s="761">
        <f>_xlfn.SUMIFS(ЭЭ!AI$25:AI$189,ЭЭ!$F$25:$F$189,$F258,ЭЭ!$AC$25:$AC$189,"Всего по тарифу")</f>
        <v>48401.99</v>
      </c>
      <c r="AK258" s="761">
        <f>_xlfn.SUMIFS(ЭЭ!AJ$25:AJ$189,ЭЭ!$F$25:$F$189,$F258,ЭЭ!$AC$25:$AC$189,"Всего по тарифу")</f>
        <v>52806.57</v>
      </c>
      <c r="AL258" s="761">
        <f>_xlfn.SUMIFS(ЭЭ!AK$25:AK$189,ЭЭ!$F$25:$F$189,$F258,ЭЭ!$AC$25:$AC$189,"Всего по тарифу")</f>
        <v>55394.09</v>
      </c>
      <c r="AM258" s="761">
        <f>_xlfn.SUMIFS(ЭЭ!AL$25:AL$189,ЭЭ!$F$25:$F$189,$F258,ЭЭ!$AC$25:$AC$189,"Всего по тарифу")</f>
        <v>58108.4</v>
      </c>
      <c r="AN258" s="761">
        <f>_xlfn.SUMIFS(ЭЭ!AM$25:AM$189,ЭЭ!$F$25:$F$189,$F258,ЭЭ!$AC$25:$AC$189,"Всего по тарифу")</f>
        <v>60955.714</v>
      </c>
      <c r="AO258" s="761">
        <f>_xlfn.SUMIFS(ЭЭ!AN$25:AN$189,ЭЭ!$F$25:$F$189,$F258,ЭЭ!$AC$25:$AC$189,"Всего по тарифу")</f>
        <v>0</v>
      </c>
      <c r="AP258" s="761">
        <f>_xlfn.SUMIFS(ЭЭ!AO$25:AO$189,ЭЭ!$F$25:$F$189,$F258,ЭЭ!$AC$25:$AC$189,"Всего по тарифу")</f>
        <v>0</v>
      </c>
      <c r="AQ258" s="761">
        <f>_xlfn.SUMIFS(ЭЭ!AP$25:AP$189,ЭЭ!$F$25:$F$189,$F258,ЭЭ!$AC$25:$AC$189,"Всего по тарифу")</f>
        <v>0</v>
      </c>
      <c r="AR258" s="761">
        <f>_xlfn.SUMIFS(ЭЭ!AQ$25:AQ$189,ЭЭ!$F$25:$F$189,$F258,ЭЭ!$AC$25:$AC$189,"Всего по тарифу")</f>
        <v>0</v>
      </c>
      <c r="AS258" s="761">
        <f>_xlfn.SUMIFS(ЭЭ!AR$25:AR$189,ЭЭ!$F$25:$F$189,$F258,ЭЭ!$AC$25:$AC$189,"Всего по тарифу")</f>
        <v>0</v>
      </c>
      <c r="AT258" s="761">
        <f>_xlfn.SUMIFS(ЭЭ!AS$25:AS$189,ЭЭ!$F$25:$F$189,$F258,ЭЭ!$AC$25:$AC$189,"Всего по тарифу")</f>
        <v>48505.1543799309</v>
      </c>
      <c r="AU258" s="761">
        <f>_xlfn.SUMIFS(ЭЭ!AT$25:AT$189,ЭЭ!$F$25:$F$189,$F258,ЭЭ!$AC$25:$AC$189,"Всего по тарифу")</f>
        <v>52919.1234285047</v>
      </c>
      <c r="AV258" s="761">
        <f>_xlfn.SUMIFS(ЭЭ!AU$25:AU$189,ЭЭ!$F$25:$F$189,$F258,ЭЭ!$AC$25:$AC$189,"Всего по тарифу")</f>
        <v>55512.1604765015</v>
      </c>
      <c r="AW258" s="761">
        <f>_xlfn.SUMIFS(ЭЭ!AV$25:AV$189,ЭЭ!$F$25:$F$189,$F258,ЭЭ!$AC$25:$AC$189,"Всего по тарифу")</f>
        <v>58233.8653094486</v>
      </c>
      <c r="AX258" s="761">
        <f>_xlfn.SUMIFS(ЭЭ!AW$25:AW$189,ЭЭ!$F$25:$F$189,$F258,ЭЭ!$AC$25:$AC$189,"Всего по тарифу")</f>
        <v>61117.1048125848</v>
      </c>
      <c r="AY258" s="761">
        <f>_xlfn.SUMIFS(ЭЭ!AX$25:AX$189,ЭЭ!$F$25:$F$189,$F258,ЭЭ!$AC$25:$AC$189,"Всего по тарифу")</f>
        <v>0</v>
      </c>
      <c r="AZ258" s="761">
        <f>_xlfn.SUMIFS(ЭЭ!AY$25:AY$189,ЭЭ!$F$25:$F$189,$F258,ЭЭ!$AC$25:$AC$189,"Всего по тарифу")</f>
        <v>0</v>
      </c>
      <c r="BA258" s="761">
        <f>_xlfn.SUMIFS(ЭЭ!AZ$25:AZ$189,ЭЭ!$F$25:$F$189,$F258,ЭЭ!$AC$25:$AC$189,"Всего по тарифу")</f>
        <v>0</v>
      </c>
      <c r="BB258" s="761">
        <f>_xlfn.SUMIFS(ЭЭ!BA$25:BA$189,ЭЭ!$F$25:$F$189,$F258,ЭЭ!$AC$25:$AC$189,"Всего по тарифу")</f>
        <v>0</v>
      </c>
      <c r="BC258" s="761">
        <f>_xlfn.SUMIFS(ЭЭ!BB$25:BB$189,ЭЭ!$F$25:$F$189,$F258,ЭЭ!$AC$25:$AC$189,"Всего по тарифу")</f>
        <v>0</v>
      </c>
      <c r="BD258" s="761">
        <f>IF(AI258=0,0,(AT258-AI258)/AI258*100)</f>
        <v>0</v>
      </c>
      <c r="BE258" s="761">
        <f>IF(AT258=0,0,(AU258-AT258)/AT258*100)</f>
        <v>9.10000000000019</v>
      </c>
      <c r="BF258" s="761">
        <f>IF(AU258=0,0,(AV258-AU258)/AU258*100)</f>
        <v>4.90000000000013</v>
      </c>
      <c r="BG258" s="761">
        <f>IF(AV258=0,0,(AW258-AV258)/AV258*100)</f>
        <v>4.90289840925793</v>
      </c>
      <c r="BH258" s="761">
        <f>IF(AW258=0,0,(AX258-AW258)/AW258*100)</f>
        <v>4.95113880525528</v>
      </c>
      <c r="BI258" s="761">
        <f>IF(AX258=0,0,(AY258-AX258)/AX258*100)</f>
        <v>-100</v>
      </c>
      <c r="BJ258" s="761">
        <f>IF(AY258=0,0,(AZ258-AY258)/AY258*100)</f>
        <v>0</v>
      </c>
      <c r="BK258" s="761">
        <f>IF(AZ258=0,0,(BA258-AZ258)/AZ258*100)</f>
        <v>0</v>
      </c>
      <c r="BL258" s="761">
        <f>IF(BA258=0,0,(BB258-BA258)/BA258*100)</f>
        <v>0</v>
      </c>
      <c r="BM258" s="761">
        <f>IF(BB258=0,0,(BC258-BB258)/BB258*100)</f>
        <v>0</v>
      </c>
      <c r="BN258" s="7771"/>
      <c r="BO258" s="7777" t="str">
        <f>IF(_xlfn.IFERROR(INDEX(ЭЭ!$K$26:$L$189,MATCH($F258&amp;"komm",ЭЭ!$K$26:$K$189,0),2),"")=0,"",_xlfn.IFERROR(INDEX(ЭЭ!$K$26:$L$189,MATCH($F258&amp;"komm",ЭЭ!$K$26:$K$189,0),2),""))</f>
        <v>В соответствии с п. 20 Методических указаний расходы регулируемой организации на приобретаемые электрическую энергию (мощность), тепловую энергию (мощность), другие виды энергетических ресурсов, холодную воду, теплоноситель определяются как сумма произведений расчетных экономически (технологически, технически) обоснованных объемов приобретаемых электрической энергии (мощности), тепловой энергии (мощности), других видов энергетических ресурсов холодной воды на соответственно плановые (расчетные) цены (тарифы) на электрическую энергию (мощность), тепловую энергию (мощность), другие виды энергетических ресурсов, холодную воду. Объемы приобретаемой электрической энергии (мощности), тепловой энергии (мощности) определяются с учетом показателей надежности, качества, энергетической эффективности в сфере водоснабжения и (или) водоотведения, определенных в установленном порядке.</v>
      </c>
      <c r="BP258" s="7771"/>
      <c r="BQ258" s="700"/>
      <c r="BR258" s="700"/>
      <c r="BS258" s="1070" t="s">
        <v>2446</v>
      </c>
      <c r="BT258" s="1070"/>
      <c r="BU258" s="1070"/>
      <c r="BV258" s="707"/>
      <c r="BW258" s="707"/>
    </row>
    <row s="7779" customFormat="1" customHeight="1" ht="21.75">
      <c r="A259" s="700"/>
      <c r="B259" s="162">
        <f>method_reg="Метод индексации"</f>
        <v>1</v>
      </c>
      <c r="C259" s="700"/>
      <c r="D259" s="700"/>
      <c r="E259" s="707">
        <v>22.5</v>
      </c>
      <c r="F259" s="50" cm="1" t="str">
        <f t="array" ref="F259:F259">OFFSET(E259,-1,1)</f>
        <v>1</v>
      </c>
      <c r="G259" s="158" t="s">
        <v>2234</v>
      </c>
      <c r="H259" s="158"/>
      <c r="I259" s="158" t="s">
        <v>336</v>
      </c>
      <c r="J259" s="700"/>
      <c r="K259" s="158" t="s">
        <v>336</v>
      </c>
      <c r="L259" s="985" t="s">
        <v>335</v>
      </c>
      <c r="M259" s="109"/>
      <c r="N259" s="700"/>
      <c r="O259" s="700"/>
      <c r="P259" s="700"/>
      <c r="Q259" s="700"/>
      <c r="R259" s="700"/>
      <c r="S259" s="700"/>
      <c r="T259" s="465" cm="1" t="str">
        <f t="array" ref="T259:T259">T258</f>
        <v>true</v>
      </c>
      <c r="U259" s="700"/>
      <c r="V259" s="700"/>
      <c r="W259" s="700"/>
      <c r="X259" s="1563"/>
      <c r="Y259" s="700"/>
      <c r="Z259" s="1546"/>
      <c r="AA259" s="700"/>
      <c r="AB259" s="218" t="s">
        <v>295</v>
      </c>
      <c r="AC259" s="212" t="s">
        <v>2831</v>
      </c>
      <c r="AD259" s="211" t="s">
        <v>1514</v>
      </c>
      <c r="AE259" s="778">
        <f>_xlfn.SUMIFS(Амортизация!AE$25:AE$272,Амортизация!$F$25:$F$272,$F259,Амортизация!$AC$25:$AC$272,"Сумма амортизационных отчислений")</f>
        <v>0</v>
      </c>
      <c r="AF259" s="778">
        <f>_xlfn.SUMIFS(Амортизация!AF$25:AF$272,Амортизация!$F$25:$F$272,$F259,Амортизация!$AC$25:$AC$272,"Сумма амортизационных отчислений")</f>
        <v>0</v>
      </c>
      <c r="AG259" s="778">
        <f>_xlfn.SUMIFS(Амортизация!AG$25:AG$272,Амортизация!$F$25:$F$272,$F259,Амортизация!$AC$25:$AC$272,"Сумма амортизационных отчислений")</f>
        <v>0</v>
      </c>
      <c r="AH259" s="761">
        <f>AG259-AF259</f>
        <v>0</v>
      </c>
      <c r="AI259" s="761">
        <f>_xlfn.SUMIFS(Амортизация!AH$25:AH$272,Амортизация!$F$25:$F$272,$F259,Амортизация!$AC$25:$AC$272,"Сумма амортизационных отчислений")</f>
        <v>0</v>
      </c>
      <c r="AJ259" s="761">
        <f>_xlfn.SUMIFS(Амортизация!AI$25:AI$272,Амортизация!$F$25:$F$272,$F259,Амортизация!$AC$25:$AC$272,"Сумма амортизационных отчислений")</f>
        <v>0</v>
      </c>
      <c r="AK259" s="761">
        <f>_xlfn.SUMIFS(Амортизация!AJ$25:AJ$272,Амортизация!$F$25:$F$272,$F259,Амортизация!$AC$25:$AC$272,"Сумма амортизационных отчислений")</f>
        <v>0</v>
      </c>
      <c r="AL259" s="761">
        <f>_xlfn.SUMIFS(Амортизация!AK$25:AK$272,Амортизация!$F$25:$F$272,$F259,Амортизация!$AC$25:$AC$272,"Сумма амортизационных отчислений")</f>
        <v>1666.67</v>
      </c>
      <c r="AM259" s="761">
        <f>_xlfn.SUMIFS(Амортизация!AL$25:AL$272,Амортизация!$F$25:$F$272,$F259,Амортизация!$AC$25:$AC$272,"Сумма амортизационных отчислений")</f>
        <v>7043.79</v>
      </c>
      <c r="AN259" s="761">
        <f>_xlfn.SUMIFS(Амортизация!AM$25:AM$272,Амортизация!$F$25:$F$272,$F259,Амортизация!$AC$25:$AC$272,"Сумма амортизационных отчислений")</f>
        <v>57081.93</v>
      </c>
      <c r="AO259" s="761">
        <f>_xlfn.SUMIFS(Амортизация!AN$25:AN$272,Амортизация!$F$25:$F$272,$F259,Амортизация!$AC$25:$AC$272,"Сумма амортизационных отчислений")</f>
        <v>0</v>
      </c>
      <c r="AP259" s="761">
        <f>_xlfn.SUMIFS(Амортизация!AO$25:AO$272,Амортизация!$F$25:$F$272,$F259,Амортизация!$AC$25:$AC$272,"Сумма амортизационных отчислений")</f>
        <v>0</v>
      </c>
      <c r="AQ259" s="761">
        <f>_xlfn.SUMIFS(Амортизация!AP$25:AP$272,Амортизация!$F$25:$F$272,$F259,Амортизация!$AC$25:$AC$272,"Сумма амортизационных отчислений")</f>
        <v>0</v>
      </c>
      <c r="AR259" s="761">
        <f>_xlfn.SUMIFS(Амортизация!AQ$25:AQ$272,Амортизация!$F$25:$F$272,$F259,Амортизация!$AC$25:$AC$272,"Сумма амортизационных отчислений")</f>
        <v>0</v>
      </c>
      <c r="AS259" s="761">
        <f>_xlfn.SUMIFS(Амортизация!AR$25:AR$272,Амортизация!$F$25:$F$272,$F259,Амортизация!$AC$25:$AC$272,"Сумма амортизационных отчислений")</f>
        <v>0</v>
      </c>
      <c r="AT259" s="761">
        <f>_xlfn.SUMIFS(Амортизация!AS$25:AS$272,Амортизация!$F$25:$F$272,$F259,Амортизация!$AC$25:$AC$272,"Сумма амортизационных отчислений")</f>
        <v>0</v>
      </c>
      <c r="AU259" s="761">
        <f>_xlfn.SUMIFS(Амортизация!AT$25:AT$272,Амортизация!$F$25:$F$272,$F259,Амортизация!$AC$25:$AC$272,"Сумма амортизационных отчислений")</f>
        <v>0</v>
      </c>
      <c r="AV259" s="761">
        <f>_xlfn.SUMIFS(Амортизация!AU$25:AU$272,Амортизация!$F$25:$F$272,$F259,Амортизация!$AC$25:$AC$272,"Сумма амортизационных отчислений")</f>
        <v>1666.67</v>
      </c>
      <c r="AW259" s="761">
        <f>_xlfn.SUMIFS(Амортизация!AV$25:AV$272,Амортизация!$F$25:$F$272,$F259,Амортизация!$AC$25:$AC$272,"Сумма амортизационных отчислений")</f>
        <v>7043.79</v>
      </c>
      <c r="AX259" s="761">
        <f>_xlfn.SUMIFS(Амортизация!AW$25:AW$272,Амортизация!$F$25:$F$272,$F259,Амортизация!$AC$25:$AC$272,"Сумма амортизационных отчислений")</f>
        <v>57081.93</v>
      </c>
      <c r="AY259" s="761">
        <f>_xlfn.SUMIFS(Амортизация!AX$25:AX$272,Амортизация!$F$25:$F$272,$F259,Амортизация!$AC$25:$AC$272,"Сумма амортизационных отчислений")</f>
        <v>0</v>
      </c>
      <c r="AZ259" s="761">
        <f>_xlfn.SUMIFS(Амортизация!AY$25:AY$272,Амортизация!$F$25:$F$272,$F259,Амортизация!$AC$25:$AC$272,"Сумма амортизационных отчислений")</f>
        <v>0</v>
      </c>
      <c r="BA259" s="761">
        <f>_xlfn.SUMIFS(Амортизация!AZ$25:AZ$272,Амортизация!$F$25:$F$272,$F259,Амортизация!$AC$25:$AC$272,"Сумма амортизационных отчислений")</f>
        <v>0</v>
      </c>
      <c r="BB259" s="761">
        <f>_xlfn.SUMIFS(Амортизация!BA$25:BA$272,Амортизация!$F$25:$F$272,$F259,Амортизация!$AC$25:$AC$272,"Сумма амортизационных отчислений")</f>
        <v>0</v>
      </c>
      <c r="BC259" s="761">
        <f>_xlfn.SUMIFS(Амортизация!BB$25:BB$272,Амортизация!$F$25:$F$272,$F259,Амортизация!$AC$25:$AC$272,"Сумма амортизационных отчислений")</f>
        <v>0</v>
      </c>
      <c r="BD259" s="761">
        <f>IF(AI259=0,0,(AT259-AI259)/AI259*100)</f>
        <v>0</v>
      </c>
      <c r="BE259" s="761">
        <f>IF(AT259=0,0,(AU259-AT259)/AT259*100)</f>
        <v>0</v>
      </c>
      <c r="BF259" s="761">
        <f>IF(AU259=0,0,(AV259-AU259)/AU259*100)</f>
        <v>0</v>
      </c>
      <c r="BG259" s="761">
        <f>IF(AV259=0,0,(AW259-AV259)/AV259*100)</f>
        <v>322.626554746891</v>
      </c>
      <c r="BH259" s="761">
        <f>IF(AW259=0,0,(AX259-AW259)/AW259*100)</f>
        <v>710.386595852517</v>
      </c>
      <c r="BI259" s="761">
        <f>IF(AX259=0,0,(AY259-AX259)/AX259*100)</f>
        <v>-100</v>
      </c>
      <c r="BJ259" s="761">
        <f>IF(AY259=0,0,(AZ259-AY259)/AY259*100)</f>
        <v>0</v>
      </c>
      <c r="BK259" s="761">
        <f>IF(AZ259=0,0,(BA259-AZ259)/AZ259*100)</f>
        <v>0</v>
      </c>
      <c r="BL259" s="761">
        <f>IF(BA259=0,0,(BB259-BA259)/BA259*100)</f>
        <v>0</v>
      </c>
      <c r="BM259" s="761">
        <f>IF(BB259=0,0,(BC259-BB259)/BB259*100)</f>
        <v>0</v>
      </c>
      <c r="BN259" s="7771"/>
      <c r="BO259" s="7724" t="str">
        <f>IF(_xlfn.IFERROR(INDEX(Амортизация!$K$26:$L$272,MATCH($F259&amp;"komm",Амортизация!$K$26:$K$272,0),2),"")=0,"",_xlfn.IFERROR(INDEX(Амортизация!$K$26:$L$272,MATCH($F259&amp;"komm",Амортизация!$K$26:$K$272,0),2),""))</f>
        <v/>
      </c>
      <c r="BP259" s="7771"/>
      <c r="BQ259" s="700"/>
      <c r="BR259" s="700"/>
      <c r="BS259" s="1070" t="s">
        <v>1960</v>
      </c>
      <c r="BT259" s="1070"/>
      <c r="BU259" s="1070"/>
      <c r="BV259" s="707"/>
      <c r="BW259" s="707"/>
    </row>
    <row s="1834" customFormat="1" customHeight="1" ht="14.25">
      <c r="A260" s="1278"/>
      <c r="B260" s="432" cm="1" t="str">
        <f t="array" ref="B260:B260">B259</f>
        <v>true</v>
      </c>
      <c r="C260" s="1278"/>
      <c r="D260" s="1278"/>
      <c r="E260" s="703">
        <v>15</v>
      </c>
      <c r="F260" s="50" cm="1" t="str">
        <f t="array" ref="F260:F260">OFFSET(E260,-1,1)</f>
        <v>1</v>
      </c>
      <c r="G260" s="1278"/>
      <c r="H260" s="1278"/>
      <c r="I260" s="158" t="s">
        <v>1249</v>
      </c>
      <c r="J260" s="1278"/>
      <c r="K260" s="158" t="s">
        <v>1249</v>
      </c>
      <c r="L260" s="980" t="s">
        <v>1263</v>
      </c>
      <c r="M260" s="107"/>
      <c r="N260" s="1278"/>
      <c r="O260" s="1278"/>
      <c r="P260" s="1278"/>
      <c r="Q260" s="1278"/>
      <c r="R260" s="1278"/>
      <c r="S260" s="1278"/>
      <c r="T260" s="465" cm="1" t="str">
        <f t="array" ref="T260:T260">T259</f>
        <v>true</v>
      </c>
      <c r="U260" s="1278"/>
      <c r="V260" s="1278"/>
      <c r="W260" s="1278"/>
      <c r="X260" s="1563"/>
      <c r="Y260" s="1278"/>
      <c r="Z260" s="1546"/>
      <c r="AA260" s="1278"/>
      <c r="AB260" s="299" t="s">
        <v>1384</v>
      </c>
      <c r="AC260" s="762" t="s">
        <v>2538</v>
      </c>
      <c r="AD260" s="300" t="s">
        <v>1514</v>
      </c>
      <c r="AE260" s="7773">
        <f>_xlfn.SUMIFS('ИП + источники'!AF$27:AF$203,'ИП + источники'!$F$27:$F$203,$F260,'ИП + источники'!$AC$27:$AC$203,"Амортизационные отчисления")+_xlfn.SUMIFS('ИП + источники'!AF$27:AF$203,'ИП + источники'!$F$27:$F$203,$F260,'ИП + источники'!$AC$27:$AC$203,"погашение займов и кредитов из амортизации")</f>
        <v>0</v>
      </c>
      <c r="AF260" s="7773">
        <f>_xlfn.SUMIFS('ИП + источники'!AG$27:AG$203,'ИП + источники'!$F$27:$F$203,$F260,'ИП + источники'!$AC$27:$AC$203,"Амортизационные отчисления")+_xlfn.SUMIFS('ИП + источники'!AG$27:AG$203,'ИП + источники'!$F$27:$F$203,$F260,'ИП + источники'!$AC$27:$AC$203,"погашение займов и кредитов из амортизации")</f>
        <v>0</v>
      </c>
      <c r="AG260" s="7773">
        <f>_xlfn.SUMIFS('ИП + источники'!AH$27:AH$203,'ИП + источники'!$F$27:$F$203,$F260,'ИП + источники'!$AC$27:$AC$203,"Амортизационные отчисления")+_xlfn.SUMIFS('ИП + источники'!AH$27:AH$203,'ИП + источники'!$F$27:$F$203,$F260,'ИП + источники'!$AC$27:$AC$203,"погашение займов и кредитов из амортизации")</f>
        <v>0</v>
      </c>
      <c r="AH260" s="943">
        <f>AG260-AF260</f>
        <v>0</v>
      </c>
      <c r="AI260" s="7723">
        <f>_xlfn.SUMIFS('ИП + источники'!AJ$27:AJ$203,'ИП + источники'!$F$27:$F$203,$F260,'ИП + источники'!$AC$27:$AC$203,"Амортизационные отчисления")+_xlfn.SUMIFS('ИП + источники'!AJ$27:AJ$203,'ИП + источники'!$F$27:$F$203,$F260,'ИП + источники'!$AC$27:$AC$203,"погашение займов и кредитов из амортизации")</f>
        <v>0</v>
      </c>
      <c r="AJ260" s="7723">
        <f>_xlfn.SUMIFS('ИП + источники'!AK$27:AK$203,'ИП + источники'!$F$27:$F$203,$F260,'ИП + источники'!$AC$27:$AC$203,"Амортизационные отчисления")+_xlfn.SUMIFS('ИП + источники'!AK$27:AK$203,'ИП + источники'!$F$27:$F$203,$F260,'ИП + источники'!$AC$27:$AC$203,"погашение займов и кредитов из амортизации")</f>
        <v>0</v>
      </c>
      <c r="AK260" s="7723">
        <f>_xlfn.SUMIFS('ИП + источники'!AL$27:AL$203,'ИП + источники'!$F$27:$F$203,$F260,'ИП + источники'!$AC$27:$AC$203,"Амортизационные отчисления")+_xlfn.SUMIFS('ИП + источники'!AL$27:AL$203,'ИП + источники'!$F$27:$F$203,$F260,'ИП + источники'!$AC$27:$AC$203,"погашение займов и кредитов из амортизации")</f>
        <v>0</v>
      </c>
      <c r="AL260" s="7723">
        <f>_xlfn.SUMIFS('ИП + источники'!AM$27:AM$203,'ИП + источники'!$F$27:$F$203,$F260,'ИП + источники'!$AC$27:$AC$203,"Амортизационные отчисления")+_xlfn.SUMIFS('ИП + источники'!AM$27:AM$203,'ИП + источники'!$F$27:$F$203,$F260,'ИП + источники'!$AC$27:$AC$203,"погашение займов и кредитов из амортизации")</f>
        <v>0</v>
      </c>
      <c r="AM260" s="7723">
        <f>_xlfn.SUMIFS('ИП + источники'!AN$27:AN$203,'ИП + источники'!$F$27:$F$203,$F260,'ИП + источники'!$AC$27:$AC$203,"Амортизационные отчисления")+_xlfn.SUMIFS('ИП + источники'!AN$27:AN$203,'ИП + источники'!$F$27:$F$203,$F260,'ИП + источники'!$AC$27:$AC$203,"погашение займов и кредитов из амортизации")</f>
        <v>0</v>
      </c>
      <c r="AN260" s="7723">
        <f>_xlfn.SUMIFS('ИП + источники'!AO$27:AO$203,'ИП + источники'!$F$27:$F$203,$F260,'ИП + источники'!$AC$27:$AC$203,"Амортизационные отчисления")+_xlfn.SUMIFS('ИП + источники'!AO$27:AO$203,'ИП + источники'!$F$27:$F$203,$F260,'ИП + источники'!$AC$27:$AC$203,"погашение займов и кредитов из амортизации")</f>
        <v>0</v>
      </c>
      <c r="AO260" s="1253">
        <f>_xlfn.SUMIFS('ИП + источники'!AP$27:AP$203,'ИП + источники'!$F$27:$F$203,$F260,'ИП + источники'!$AC$27:$AC$203,"Амортизационные отчисления")+_xlfn.SUMIFS('ИП + источники'!AP$27:AP$203,'ИП + источники'!$F$27:$F$203,$F260,'ИП + источники'!$AC$27:$AC$203,"погашение займов и кредитов из амортизации")</f>
        <v>0</v>
      </c>
      <c r="AP260" s="1253">
        <f>_xlfn.SUMIFS('ИП + источники'!AQ$27:AQ$203,'ИП + источники'!$F$27:$F$203,$F260,'ИП + источники'!$AC$27:$AC$203,"Амортизационные отчисления")+_xlfn.SUMIFS('ИП + источники'!AQ$27:AQ$203,'ИП + источники'!$F$27:$F$203,$F260,'ИП + источники'!$AC$27:$AC$203,"погашение займов и кредитов из амортизации")</f>
        <v>0</v>
      </c>
      <c r="AQ260" s="1253">
        <f>_xlfn.SUMIFS('ИП + источники'!AR$27:AR$203,'ИП + источники'!$F$27:$F$203,$F260,'ИП + источники'!$AC$27:$AC$203,"Амортизационные отчисления")+_xlfn.SUMIFS('ИП + источники'!AR$27:AR$203,'ИП + источники'!$F$27:$F$203,$F260,'ИП + источники'!$AC$27:$AC$203,"погашение займов и кредитов из амортизации")</f>
        <v>0</v>
      </c>
      <c r="AR260" s="1253">
        <f>_xlfn.SUMIFS('ИП + источники'!AS$27:AS$203,'ИП + источники'!$F$27:$F$203,$F260,'ИП + источники'!$AC$27:$AC$203,"Амортизационные отчисления")+_xlfn.SUMIFS('ИП + источники'!AS$27:AS$203,'ИП + источники'!$F$27:$F$203,$F260,'ИП + источники'!$AC$27:$AC$203,"погашение займов и кредитов из амортизации")</f>
        <v>0</v>
      </c>
      <c r="AS260" s="1253">
        <f>_xlfn.SUMIFS('ИП + источники'!AT$27:AT$203,'ИП + источники'!$F$27:$F$203,$F260,'ИП + источники'!$AC$27:$AC$203,"Амортизационные отчисления")+_xlfn.SUMIFS('ИП + источники'!AT$27:AT$203,'ИП + источники'!$F$27:$F$203,$F260,'ИП + источники'!$AC$27:$AC$203,"погашение займов и кредитов из амортизации")</f>
        <v>0</v>
      </c>
      <c r="AT260" s="7723">
        <f>_xlfn.SUMIFS('ИП + источники'!AU$27:AU$203,'ИП + источники'!$F$27:$F$203,$F260,'ИП + источники'!$AC$27:$AC$203,"Амортизационные отчисления")+_xlfn.SUMIFS('ИП + источники'!AU$27:AU$203,'ИП + источники'!$F$27:$F$203,$F260,'ИП + источники'!$AC$27:$AC$203,"погашение займов и кредитов из амортизации")</f>
        <v>0</v>
      </c>
      <c r="AU260" s="7723">
        <f>_xlfn.SUMIFS('ИП + источники'!AV$27:AV$203,'ИП + источники'!$F$27:$F$203,$F260,'ИП + источники'!$AC$27:$AC$203,"Амортизационные отчисления")+_xlfn.SUMIFS('ИП + источники'!AV$27:AV$203,'ИП + источники'!$F$27:$F$203,$F260,'ИП + источники'!$AC$27:$AC$203,"погашение займов и кредитов из амортизации")</f>
        <v>0</v>
      </c>
      <c r="AV260" s="7723">
        <f>_xlfn.SUMIFS('ИП + источники'!AW$27:AW$203,'ИП + источники'!$F$27:$F$203,$F260,'ИП + источники'!$AC$27:$AC$203,"Амортизационные отчисления")+_xlfn.SUMIFS('ИП + источники'!AW$27:AW$203,'ИП + источники'!$F$27:$F$203,$F260,'ИП + источники'!$AC$27:$AC$203,"погашение займов и кредитов из амортизации")</f>
        <v>0</v>
      </c>
      <c r="AW260" s="7723">
        <f>_xlfn.SUMIFS('ИП + источники'!AX$27:AX$203,'ИП + источники'!$F$27:$F$203,$F260,'ИП + источники'!$AC$27:$AC$203,"Амортизационные отчисления")+_xlfn.SUMIFS('ИП + источники'!AX$27:AX$203,'ИП + источники'!$F$27:$F$203,$F260,'ИП + источники'!$AC$27:$AC$203,"погашение займов и кредитов из амортизации")</f>
        <v>0</v>
      </c>
      <c r="AX260" s="7723">
        <f>_xlfn.SUMIFS('ИП + источники'!AY$27:AY$203,'ИП + источники'!$F$27:$F$203,$F260,'ИП + источники'!$AC$27:$AC$203,"Амортизационные отчисления")+_xlfn.SUMIFS('ИП + источники'!AY$27:AY$203,'ИП + источники'!$F$27:$F$203,$F260,'ИП + источники'!$AC$27:$AC$203,"погашение займов и кредитов из амортизации")</f>
        <v>0</v>
      </c>
      <c r="AY260" s="1253">
        <f>_xlfn.SUMIFS('ИП + источники'!AZ$27:AZ$203,'ИП + источники'!$F$27:$F$203,$F260,'ИП + источники'!$AC$27:$AC$203,"Амортизационные отчисления")+_xlfn.SUMIFS('ИП + источники'!AZ$27:AZ$203,'ИП + источники'!$F$27:$F$203,$F260,'ИП + источники'!$AC$27:$AC$203,"погашение займов и кредитов из амортизации")</f>
        <v>0</v>
      </c>
      <c r="AZ260" s="1253">
        <f>_xlfn.SUMIFS('ИП + источники'!BA$27:BA$203,'ИП + источники'!$F$27:$F$203,$F260,'ИП + источники'!$AC$27:$AC$203,"Амортизационные отчисления")+_xlfn.SUMIFS('ИП + источники'!BA$27:BA$203,'ИП + источники'!$F$27:$F$203,$F260,'ИП + источники'!$AC$27:$AC$203,"погашение займов и кредитов из амортизации")</f>
        <v>0</v>
      </c>
      <c r="BA260" s="1253">
        <f>_xlfn.SUMIFS('ИП + источники'!BB$27:BB$203,'ИП + источники'!$F$27:$F$203,$F260,'ИП + источники'!$AC$27:$AC$203,"Амортизационные отчисления")+_xlfn.SUMIFS('ИП + источники'!BB$27:BB$203,'ИП + источники'!$F$27:$F$203,$F260,'ИП + источники'!$AC$27:$AC$203,"погашение займов и кредитов из амортизации")</f>
        <v>0</v>
      </c>
      <c r="BB260" s="1253">
        <f>_xlfn.SUMIFS('ИП + источники'!BC$27:BC$203,'ИП + источники'!$F$27:$F$203,$F260,'ИП + источники'!$AC$27:$AC$203,"Амортизационные отчисления")+_xlfn.SUMIFS('ИП + источники'!BC$27:BC$203,'ИП + источники'!$F$27:$F$203,$F260,'ИП + источники'!$AC$27:$AC$203,"погашение займов и кредитов из амортизации")</f>
        <v>0</v>
      </c>
      <c r="BC260" s="1253">
        <f>_xlfn.SUMIFS('ИП + источники'!BD$27:BD$203,'ИП + источники'!$F$27:$F$203,$F260,'ИП + источники'!$AC$27:$AC$203,"Амортизационные отчисления")+_xlfn.SUMIFS('ИП + источники'!BD$27:BD$203,'ИП + источники'!$F$27:$F$203,$F260,'ИП + источники'!$AC$27:$AC$203,"погашение займов и кредитов из амортизации")</f>
        <v>0</v>
      </c>
      <c r="BD260" s="943">
        <f>IF(AI260=0,0,(AT260-AI260)/AI260*100)</f>
        <v>0</v>
      </c>
      <c r="BE260" s="943">
        <f>IF(AT260=0,0,(AU260-AT260)/AT260*100)</f>
        <v>0</v>
      </c>
      <c r="BF260" s="943">
        <f>IF(AU260=0,0,(AV260-AU260)/AU260*100)</f>
        <v>0</v>
      </c>
      <c r="BG260" s="943">
        <f>IF(AV260=0,0,(AW260-AV260)/AV260*100)</f>
        <v>0</v>
      </c>
      <c r="BH260" s="943">
        <f>IF(AW260=0,0,(AX260-AW260)/AW260*100)</f>
        <v>0</v>
      </c>
      <c r="BI260" s="943">
        <f>IF(AX260=0,0,(AY260-AX260)/AX260*100)</f>
        <v>0</v>
      </c>
      <c r="BJ260" s="943">
        <f>IF(AY260=0,0,(AZ260-AY260)/AY260*100)</f>
        <v>0</v>
      </c>
      <c r="BK260" s="943">
        <f>IF(AZ260=0,0,(BA260-AZ260)/AZ260*100)</f>
        <v>0</v>
      </c>
      <c r="BL260" s="943">
        <f>IF(BA260=0,0,(BB260-BA260)/BA260*100)</f>
        <v>0</v>
      </c>
      <c r="BM260" s="943">
        <f>IF(BB260=0,0,(BC260-BB260)/BB260*100)</f>
        <v>0</v>
      </c>
      <c r="BN260" s="7771"/>
      <c r="BO260" s="7771"/>
      <c r="BP260" s="7771"/>
      <c r="BQ260" s="1278"/>
      <c r="BR260" s="1278"/>
      <c r="BS260" s="1064" t="s">
        <v>2539</v>
      </c>
      <c r="BT260" s="1064"/>
      <c r="BU260" s="1064"/>
      <c r="BV260" s="979"/>
      <c r="BW260" s="979"/>
    </row>
    <row s="7780" customFormat="1" customHeight="1" ht="20.25">
      <c r="A261" s="700"/>
      <c r="B261" s="432" cm="1" t="str">
        <f t="array" ref="B261:B261">B260</f>
        <v>true</v>
      </c>
      <c r="C261" s="700"/>
      <c r="D261" s="700"/>
      <c r="E261" s="707">
        <v>21</v>
      </c>
      <c r="F261" s="50" cm="1" t="str">
        <f t="array" ref="F261:F261">OFFSET(E261,-1,1)</f>
        <v>1</v>
      </c>
      <c r="G261" s="158" t="s">
        <v>2238</v>
      </c>
      <c r="H261" s="158"/>
      <c r="I261" s="158" t="s">
        <v>335</v>
      </c>
      <c r="J261" s="700"/>
      <c r="K261" s="158" t="s">
        <v>335</v>
      </c>
      <c r="L261" s="985" t="s">
        <v>1275</v>
      </c>
      <c r="M261" s="109"/>
      <c r="N261" s="700"/>
      <c r="O261" s="700"/>
      <c r="P261" s="700"/>
      <c r="Q261" s="700"/>
      <c r="R261" s="700"/>
      <c r="S261" s="700"/>
      <c r="T261" s="465" cm="1" t="str">
        <f t="array" ref="T261:T261">T260</f>
        <v>true</v>
      </c>
      <c r="U261" s="700"/>
      <c r="V261" s="700"/>
      <c r="W261" s="700"/>
      <c r="X261" s="1563"/>
      <c r="Y261" s="700"/>
      <c r="Z261" s="1546"/>
      <c r="AA261" s="700"/>
      <c r="AB261" s="218" t="s">
        <v>443</v>
      </c>
      <c r="AC261" s="212" t="s">
        <v>2238</v>
      </c>
      <c r="AD261" s="234" t="s">
        <v>1514</v>
      </c>
      <c r="AE261" s="213">
        <f>AE262+AE263+AE264+AE265</f>
        <v>0</v>
      </c>
      <c r="AF261" s="213">
        <f>AF262+AF263+AF264+AF265</f>
        <v>0</v>
      </c>
      <c r="AG261" s="213">
        <f>AG262+AG263+AG264+AG265</f>
        <v>0</v>
      </c>
      <c r="AH261" s="770">
        <f>AG261-AF261</f>
        <v>0</v>
      </c>
      <c r="AI261" s="770">
        <f>AI262+AI263+AI264+AI265</f>
        <v>0</v>
      </c>
      <c r="AJ261" s="770">
        <f>AJ262+AJ263+AJ264+AJ265</f>
        <v>0</v>
      </c>
      <c r="AK261" s="770">
        <f>AK262+AK263+AK264+AK265</f>
        <v>0</v>
      </c>
      <c r="AL261" s="770">
        <f>AL262+AL263+AL264+AL265</f>
        <v>0</v>
      </c>
      <c r="AM261" s="770">
        <f>AM262+AM263+AM264+AM265</f>
        <v>0</v>
      </c>
      <c r="AN261" s="770">
        <f>AN262+AN263+AN264+AN265</f>
        <v>0</v>
      </c>
      <c r="AO261" s="770">
        <f>AO262+AO263+AO264+AO265</f>
        <v>0</v>
      </c>
      <c r="AP261" s="770">
        <f>AP262+AP263+AP264+AP265</f>
        <v>0</v>
      </c>
      <c r="AQ261" s="770">
        <f>AQ262+AQ263+AQ264+AQ265</f>
        <v>0</v>
      </c>
      <c r="AR261" s="770">
        <f>AR262+AR263+AR264+AR265</f>
        <v>0</v>
      </c>
      <c r="AS261" s="770">
        <f>AS262+AS263+AS264+AS265</f>
        <v>0</v>
      </c>
      <c r="AT261" s="770">
        <f>AT262+AT263+AT264+AT265</f>
        <v>0</v>
      </c>
      <c r="AU261" s="770">
        <f>AU262+AU263+AU264+AU265</f>
        <v>0</v>
      </c>
      <c r="AV261" s="770">
        <f>AV262+AV263+AV264+AV265</f>
        <v>0</v>
      </c>
      <c r="AW261" s="770">
        <f>AW262+AW263+AW264+AW265</f>
        <v>0</v>
      </c>
      <c r="AX261" s="770">
        <f>AX262+AX263+AX264+AX265</f>
        <v>0</v>
      </c>
      <c r="AY261" s="770">
        <f>AY262+AY263+AY264+AY265</f>
        <v>0</v>
      </c>
      <c r="AZ261" s="770">
        <f>AZ262+AZ263+AZ264+AZ265</f>
        <v>0</v>
      </c>
      <c r="BA261" s="770">
        <f>BA262+BA263+BA264+BA265</f>
        <v>0</v>
      </c>
      <c r="BB261" s="770">
        <f>BB262+BB263+BB264+BB265</f>
        <v>0</v>
      </c>
      <c r="BC261" s="770">
        <f>BC262+BC263+BC264+BC265</f>
        <v>0</v>
      </c>
      <c r="BD261" s="761">
        <f>IF(AI261=0,0,(AT261-AI261)/AI261*100)</f>
        <v>0</v>
      </c>
      <c r="BE261" s="761">
        <f>IF(AT261=0,0,(AU261-AT261)/AT261*100)</f>
        <v>0</v>
      </c>
      <c r="BF261" s="761">
        <f>IF(AU261=0,0,(AV261-AU261)/AU261*100)</f>
        <v>0</v>
      </c>
      <c r="BG261" s="761">
        <f>IF(AV261=0,0,(AW261-AV261)/AV261*100)</f>
        <v>0</v>
      </c>
      <c r="BH261" s="761">
        <f>IF(AW261=0,0,(AX261-AW261)/AW261*100)</f>
        <v>0</v>
      </c>
      <c r="BI261" s="761">
        <f>IF(AX261=0,0,(AY261-AX261)/AX261*100)</f>
        <v>0</v>
      </c>
      <c r="BJ261" s="761">
        <f>IF(AY261=0,0,(AZ261-AY261)/AY261*100)</f>
        <v>0</v>
      </c>
      <c r="BK261" s="761">
        <f>IF(AZ261=0,0,(BA261-AZ261)/AZ261*100)</f>
        <v>0</v>
      </c>
      <c r="BL261" s="761">
        <f>IF(BA261=0,0,(BB261-BA261)/BA261*100)</f>
        <v>0</v>
      </c>
      <c r="BM261" s="761">
        <f>IF(BB261=0,0,(BC261-BB261)/BB261*100)</f>
        <v>0</v>
      </c>
      <c r="BN261" s="7771"/>
      <c r="BO261" s="7771"/>
      <c r="BP261" s="7771"/>
      <c r="BQ261" s="700"/>
      <c r="BR261" s="700"/>
      <c r="BS261" s="1063" t="s">
        <v>2242</v>
      </c>
      <c r="BT261" s="1070"/>
      <c r="BU261" s="1070"/>
      <c r="BV261" s="707"/>
      <c r="BW261" s="707"/>
    </row>
    <row s="1834" customFormat="1" customHeight="1" ht="14.25">
      <c r="A262" s="1278"/>
      <c r="B262" s="432" cm="1" t="str">
        <f t="array" ref="B262:B262">B261</f>
        <v>true</v>
      </c>
      <c r="C262" s="1278"/>
      <c r="D262" s="1278"/>
      <c r="E262" s="703">
        <v>15</v>
      </c>
      <c r="F262" s="50" cm="1" t="str">
        <f t="array" ref="F262:F262">OFFSET(E262,-1,1)</f>
        <v>1</v>
      </c>
      <c r="G262" s="1278"/>
      <c r="H262" s="1278"/>
      <c r="I262" s="158" t="s">
        <v>1263</v>
      </c>
      <c r="J262" s="1278"/>
      <c r="K262" s="158" t="s">
        <v>1263</v>
      </c>
      <c r="L262" s="980"/>
      <c r="M262" s="107"/>
      <c r="N262" s="1278"/>
      <c r="O262" s="1278"/>
      <c r="P262" s="1278"/>
      <c r="Q262" s="1278"/>
      <c r="R262" s="1278"/>
      <c r="S262" s="1278"/>
      <c r="T262" s="465" cm="1" t="str">
        <f t="array" ref="T262:T262">T261</f>
        <v>true</v>
      </c>
      <c r="U262" s="1278"/>
      <c r="V262" s="1278"/>
      <c r="W262" s="1278"/>
      <c r="X262" s="1563"/>
      <c r="Y262" s="1278"/>
      <c r="Z262" s="1546"/>
      <c r="AA262" s="1278"/>
      <c r="AB262" s="299" t="s">
        <v>1391</v>
      </c>
      <c r="AC262" s="762" t="s">
        <v>2832</v>
      </c>
      <c r="AD262" s="300" t="s">
        <v>1514</v>
      </c>
      <c r="AE262" s="7773">
        <f>_xlfn.SUMIFS('ИП + источники'!AF$27:AF$203,'ИП + источники'!$F$27:$F$203,$F262,'ИП + источники'!$AC$27:$AC$203,"погашение займов и кредитов из нормативной прибыли")</f>
        <v>0</v>
      </c>
      <c r="AF262" s="7773">
        <f>_xlfn.SUMIFS('ИП + источники'!AG$27:AG$203,'ИП + источники'!$F$27:$F$203,$F262,'ИП + источники'!$AC$27:$AC$203,"погашение займов и кредитов из нормативной прибыли")</f>
        <v>0</v>
      </c>
      <c r="AG262" s="7773">
        <f>_xlfn.SUMIFS('ИП + источники'!AH$27:AH$203,'ИП + источники'!$F$27:$F$203,$F262,'ИП + источники'!$AC$27:$AC$203,"погашение займов и кредитов из нормативной прибыли")</f>
        <v>0</v>
      </c>
      <c r="AH262" s="943">
        <f>AG262-AF262</f>
        <v>0</v>
      </c>
      <c r="AI262" s="7723">
        <f>_xlfn.SUMIFS('ИП + источники'!AJ$27:AJ$203,'ИП + источники'!$F$27:$F$203,$F262,'ИП + источники'!$AC$27:$AC$203,"погашение займов и кредитов из нормативной прибыли")</f>
        <v>0</v>
      </c>
      <c r="AJ262" s="7723">
        <f>_xlfn.SUMIFS('ИП + источники'!AK$27:AK$203,'ИП + источники'!$F$27:$F$203,$F262,'ИП + источники'!$AC$27:$AC$203,"погашение займов и кредитов из нормативной прибыли")</f>
        <v>0</v>
      </c>
      <c r="AK262" s="7723">
        <f>_xlfn.SUMIFS('ИП + источники'!AL$27:AL$203,'ИП + источники'!$F$27:$F$203,$F262,'ИП + источники'!$AC$27:$AC$203,"погашение займов и кредитов из нормативной прибыли")</f>
        <v>0</v>
      </c>
      <c r="AL262" s="7723">
        <f>_xlfn.SUMIFS('ИП + источники'!AM$27:AM$203,'ИП + источники'!$F$27:$F$203,$F262,'ИП + источники'!$AC$27:$AC$203,"погашение займов и кредитов из нормативной прибыли")</f>
        <v>0</v>
      </c>
      <c r="AM262" s="7723">
        <f>_xlfn.SUMIFS('ИП + источники'!AN$27:AN$203,'ИП + источники'!$F$27:$F$203,$F262,'ИП + источники'!$AC$27:$AC$203,"погашение займов и кредитов из нормативной прибыли")</f>
        <v>0</v>
      </c>
      <c r="AN262" s="7723">
        <f>_xlfn.SUMIFS('ИП + источники'!AO$27:AO$203,'ИП + источники'!$F$27:$F$203,$F262,'ИП + источники'!$AC$27:$AC$203,"погашение займов и кредитов из нормативной прибыли")</f>
        <v>0</v>
      </c>
      <c r="AO262" s="1253">
        <f>_xlfn.SUMIFS('ИП + источники'!AP$27:AP$203,'ИП + источники'!$F$27:$F$203,$F262,'ИП + источники'!$AC$27:$AC$203,"погашение займов и кредитов из нормативной прибыли")</f>
        <v>0</v>
      </c>
      <c r="AP262" s="1253">
        <f>_xlfn.SUMIFS('ИП + источники'!AQ$27:AQ$203,'ИП + источники'!$F$27:$F$203,$F262,'ИП + источники'!$AC$27:$AC$203,"погашение займов и кредитов из нормативной прибыли")</f>
        <v>0</v>
      </c>
      <c r="AQ262" s="1253">
        <f>_xlfn.SUMIFS('ИП + источники'!AR$27:AR$203,'ИП + источники'!$F$27:$F$203,$F262,'ИП + источники'!$AC$27:$AC$203,"погашение займов и кредитов из нормативной прибыли")</f>
        <v>0</v>
      </c>
      <c r="AR262" s="1253">
        <f>_xlfn.SUMIFS('ИП + источники'!AS$27:AS$203,'ИП + источники'!$F$27:$F$203,$F262,'ИП + источники'!$AC$27:$AC$203,"погашение займов и кредитов из нормативной прибыли")</f>
        <v>0</v>
      </c>
      <c r="AS262" s="1253">
        <f>_xlfn.SUMIFS('ИП + источники'!AT$27:AT$203,'ИП + источники'!$F$27:$F$203,$F262,'ИП + источники'!$AC$27:$AC$203,"погашение займов и кредитов из нормативной прибыли")</f>
        <v>0</v>
      </c>
      <c r="AT262" s="7723">
        <f>_xlfn.SUMIFS('ИП + источники'!AU$27:AU$203,'ИП + источники'!$F$27:$F$203,$F262,'ИП + источники'!$AC$27:$AC$203,"погашение займов и кредитов из нормативной прибыли")</f>
        <v>0</v>
      </c>
      <c r="AU262" s="7723">
        <f>_xlfn.SUMIFS('ИП + источники'!AV$27:AV$203,'ИП + источники'!$F$27:$F$203,$F262,'ИП + источники'!$AC$27:$AC$203,"погашение займов и кредитов из нормативной прибыли")</f>
        <v>0</v>
      </c>
      <c r="AV262" s="7723">
        <f>_xlfn.SUMIFS('ИП + источники'!AW$27:AW$203,'ИП + источники'!$F$27:$F$203,$F262,'ИП + источники'!$AC$27:$AC$203,"погашение займов и кредитов из нормативной прибыли")</f>
        <v>0</v>
      </c>
      <c r="AW262" s="7723">
        <f>_xlfn.SUMIFS('ИП + источники'!AX$27:AX$203,'ИП + источники'!$F$27:$F$203,$F262,'ИП + источники'!$AC$27:$AC$203,"погашение займов и кредитов из нормативной прибыли")</f>
        <v>0</v>
      </c>
      <c r="AX262" s="7723">
        <f>_xlfn.SUMIFS('ИП + источники'!AY$27:AY$203,'ИП + источники'!$F$27:$F$203,$F262,'ИП + источники'!$AC$27:$AC$203,"погашение займов и кредитов из нормативной прибыли")</f>
        <v>0</v>
      </c>
      <c r="AY262" s="1253">
        <f>_xlfn.SUMIFS('ИП + источники'!AZ$27:AZ$203,'ИП + источники'!$F$27:$F$203,$F262,'ИП + источники'!$AC$27:$AC$203,"погашение займов и кредитов из нормативной прибыли")</f>
        <v>0</v>
      </c>
      <c r="AZ262" s="1253">
        <f>_xlfn.SUMIFS('ИП + источники'!BA$27:BA$203,'ИП + источники'!$F$27:$F$203,$F262,'ИП + источники'!$AC$27:$AC$203,"погашение займов и кредитов из нормативной прибыли")</f>
        <v>0</v>
      </c>
      <c r="BA262" s="1253">
        <f>_xlfn.SUMIFS('ИП + источники'!BB$27:BB$203,'ИП + источники'!$F$27:$F$203,$F262,'ИП + источники'!$AC$27:$AC$203,"погашение займов и кредитов из нормативной прибыли")</f>
        <v>0</v>
      </c>
      <c r="BB262" s="1253">
        <f>_xlfn.SUMIFS('ИП + источники'!BC$27:BC$203,'ИП + источники'!$F$27:$F$203,$F262,'ИП + источники'!$AC$27:$AC$203,"погашение займов и кредитов из нормативной прибыли")</f>
        <v>0</v>
      </c>
      <c r="BC262" s="1253">
        <f>_xlfn.SUMIFS('ИП + источники'!BD$27:BD$203,'ИП + источники'!$F$27:$F$203,$F262,'ИП + источники'!$AC$27:$AC$203,"погашение займов и кредитов из нормативной прибыли")</f>
        <v>0</v>
      </c>
      <c r="BD262" s="943">
        <f>IF(AI262=0,0,(AT262-AI262)/AI262*100)</f>
        <v>0</v>
      </c>
      <c r="BE262" s="943">
        <f>IF(AT262=0,0,(AU262-AT262)/AT262*100)</f>
        <v>0</v>
      </c>
      <c r="BF262" s="943">
        <f>IF(AU262=0,0,(AV262-AU262)/AU262*100)</f>
        <v>0</v>
      </c>
      <c r="BG262" s="943">
        <f>IF(AV262=0,0,(AW262-AV262)/AV262*100)</f>
        <v>0</v>
      </c>
      <c r="BH262" s="943">
        <f>IF(AW262=0,0,(AX262-AW262)/AW262*100)</f>
        <v>0</v>
      </c>
      <c r="BI262" s="943">
        <f>IF(AX262=0,0,(AY262-AX262)/AX262*100)</f>
        <v>0</v>
      </c>
      <c r="BJ262" s="943">
        <f>IF(AY262=0,0,(AZ262-AY262)/AY262*100)</f>
        <v>0</v>
      </c>
      <c r="BK262" s="943">
        <f>IF(AZ262=0,0,(BA262-AZ262)/AZ262*100)</f>
        <v>0</v>
      </c>
      <c r="BL262" s="943">
        <f>IF(BA262=0,0,(BB262-BA262)/BA262*100)</f>
        <v>0</v>
      </c>
      <c r="BM262" s="943">
        <f>IF(BB262=0,0,(BC262-BB262)/BB262*100)</f>
        <v>0</v>
      </c>
      <c r="BN262" s="7771"/>
      <c r="BO262" s="7724" t="str">
        <f>IF(_xlfn.IFERROR(INDEX('ИП + источники'!$K$57:$L$203,MATCH($F262&amp;"2komm",'ИП + источники'!$K$57:$K$203,0),2),"")=0,"",_xlfn.IFERROR(INDEX('ИП + источники'!$K$57:$L$203,MATCH($F262&amp;"2komm",'ИП + источники'!$K$57:$K$203,0),2),""))</f>
        <v/>
      </c>
      <c r="BP262" s="7771"/>
      <c r="BQ262" s="1278"/>
      <c r="BR262" s="1278"/>
      <c r="BS262" s="1064" t="s">
        <v>2833</v>
      </c>
      <c r="BT262" s="1064"/>
      <c r="BU262" s="1064"/>
      <c r="BV262" s="979"/>
      <c r="BW262" s="979"/>
    </row>
    <row s="1834" customFormat="1" customHeight="1" ht="14.25">
      <c r="A263" s="1278"/>
      <c r="B263" s="432" cm="1" t="str">
        <f t="array" ref="B263:B263">B262</f>
        <v>true</v>
      </c>
      <c r="C263" s="1278"/>
      <c r="D263" s="1278"/>
      <c r="E263" s="703">
        <v>15</v>
      </c>
      <c r="F263" s="50" cm="1" t="str">
        <f t="array" ref="F263:F263">OFFSET(E263,-1,1)</f>
        <v>1</v>
      </c>
      <c r="G263" s="1278"/>
      <c r="H263" s="1278"/>
      <c r="I263" s="158" t="s">
        <v>1267</v>
      </c>
      <c r="J263" s="1278"/>
      <c r="K263" s="158" t="s">
        <v>1267</v>
      </c>
      <c r="L263" s="980"/>
      <c r="M263" s="107"/>
      <c r="N263" s="1278"/>
      <c r="O263" s="1278"/>
      <c r="P263" s="1278"/>
      <c r="Q263" s="1278"/>
      <c r="R263" s="1278"/>
      <c r="S263" s="1278"/>
      <c r="T263" s="465" cm="1" t="str">
        <f t="array" ref="T263:T263">T262</f>
        <v>true</v>
      </c>
      <c r="U263" s="1278"/>
      <c r="V263" s="1278"/>
      <c r="W263" s="1278"/>
      <c r="X263" s="1563"/>
      <c r="Y263" s="1278"/>
      <c r="Z263" s="1546"/>
      <c r="AA263" s="1278"/>
      <c r="AB263" s="299" t="s">
        <v>1394</v>
      </c>
      <c r="AC263" s="762" t="s">
        <v>2834</v>
      </c>
      <c r="AD263" s="300" t="s">
        <v>1514</v>
      </c>
      <c r="AE263" s="7773">
        <f>_xlfn.SUMIFS('ИП + источники'!AF$27:AF$203,'ИП + источники'!$F$27:$F$203,$F263,'ИП + источники'!$AC$27:$AC$203,"уплата процентов по кредитам из нормативной прибыли")</f>
        <v>0</v>
      </c>
      <c r="AF263" s="7773">
        <f>_xlfn.SUMIFS('ИП + источники'!AG$27:AG$203,'ИП + источники'!$F$27:$F$203,$F263,'ИП + источники'!$AC$27:$AC$203,"уплата процентов по кредитам из нормативной прибыли")</f>
        <v>0</v>
      </c>
      <c r="AG263" s="7773">
        <f>_xlfn.SUMIFS('ИП + источники'!AH$27:AH$203,'ИП + источники'!$F$27:$F$203,$F263,'ИП + источники'!$AC$27:$AC$203,"уплата процентов по кредитам из нормативной прибыли")</f>
        <v>0</v>
      </c>
      <c r="AH263" s="943">
        <f>AG263-AF263</f>
        <v>0</v>
      </c>
      <c r="AI263" s="7723">
        <f>_xlfn.SUMIFS('ИП + источники'!AJ$27:AJ$203,'ИП + источники'!$F$27:$F$203,$F263,'ИП + источники'!$AC$27:$AC$203,"уплата процентов по кредитам из нормативной прибыли")</f>
        <v>0</v>
      </c>
      <c r="AJ263" s="7723">
        <f>_xlfn.SUMIFS('ИП + источники'!AK$27:AK$203,'ИП + источники'!$F$27:$F$203,$F263,'ИП + источники'!$AC$27:$AC$203,"уплата процентов по кредитам из нормативной прибыли")</f>
        <v>0</v>
      </c>
      <c r="AK263" s="7723">
        <f>_xlfn.SUMIFS('ИП + источники'!AL$27:AL$203,'ИП + источники'!$F$27:$F$203,$F263,'ИП + источники'!$AC$27:$AC$203,"уплата процентов по кредитам из нормативной прибыли")</f>
        <v>0</v>
      </c>
      <c r="AL263" s="7723">
        <f>_xlfn.SUMIFS('ИП + источники'!AM$27:AM$203,'ИП + источники'!$F$27:$F$203,$F263,'ИП + источники'!$AC$27:$AC$203,"уплата процентов по кредитам из нормативной прибыли")</f>
        <v>0</v>
      </c>
      <c r="AM263" s="7723">
        <f>_xlfn.SUMIFS('ИП + источники'!AN$27:AN$203,'ИП + источники'!$F$27:$F$203,$F263,'ИП + источники'!$AC$27:$AC$203,"уплата процентов по кредитам из нормативной прибыли")</f>
        <v>0</v>
      </c>
      <c r="AN263" s="7723">
        <f>_xlfn.SUMIFS('ИП + источники'!AO$27:AO$203,'ИП + источники'!$F$27:$F$203,$F263,'ИП + источники'!$AC$27:$AC$203,"уплата процентов по кредитам из нормативной прибыли")</f>
        <v>0</v>
      </c>
      <c r="AO263" s="1253">
        <f>_xlfn.SUMIFS('ИП + источники'!AP$27:AP$203,'ИП + источники'!$F$27:$F$203,$F263,'ИП + источники'!$AC$27:$AC$203,"уплата процентов по кредитам из нормативной прибыли")</f>
        <v>0</v>
      </c>
      <c r="AP263" s="1253">
        <f>_xlfn.SUMIFS('ИП + источники'!AQ$27:AQ$203,'ИП + источники'!$F$27:$F$203,$F263,'ИП + источники'!$AC$27:$AC$203,"уплата процентов по кредитам из нормативной прибыли")</f>
        <v>0</v>
      </c>
      <c r="AQ263" s="1253">
        <f>_xlfn.SUMIFS('ИП + источники'!AR$27:AR$203,'ИП + источники'!$F$27:$F$203,$F263,'ИП + источники'!$AC$27:$AC$203,"уплата процентов по кредитам из нормативной прибыли")</f>
        <v>0</v>
      </c>
      <c r="AR263" s="1253">
        <f>_xlfn.SUMIFS('ИП + источники'!AS$27:AS$203,'ИП + источники'!$F$27:$F$203,$F263,'ИП + источники'!$AC$27:$AC$203,"уплата процентов по кредитам из нормативной прибыли")</f>
        <v>0</v>
      </c>
      <c r="AS263" s="1253">
        <f>_xlfn.SUMIFS('ИП + источники'!AT$27:AT$203,'ИП + источники'!$F$27:$F$203,$F263,'ИП + источники'!$AC$27:$AC$203,"уплата процентов по кредитам из нормативной прибыли")</f>
        <v>0</v>
      </c>
      <c r="AT263" s="7723">
        <f>_xlfn.SUMIFS('ИП + источники'!AU$27:AU$203,'ИП + источники'!$F$27:$F$203,$F263,'ИП + источники'!$AC$27:$AC$203,"уплата процентов по кредитам из нормативной прибыли")</f>
        <v>0</v>
      </c>
      <c r="AU263" s="7723">
        <f>_xlfn.SUMIFS('ИП + источники'!AV$27:AV$203,'ИП + источники'!$F$27:$F$203,$F263,'ИП + источники'!$AC$27:$AC$203,"уплата процентов по кредитам из нормативной прибыли")</f>
        <v>0</v>
      </c>
      <c r="AV263" s="7723">
        <f>_xlfn.SUMIFS('ИП + источники'!AW$27:AW$203,'ИП + источники'!$F$27:$F$203,$F263,'ИП + источники'!$AC$27:$AC$203,"уплата процентов по кредитам из нормативной прибыли")</f>
        <v>0</v>
      </c>
      <c r="AW263" s="7723">
        <f>_xlfn.SUMIFS('ИП + источники'!AX$27:AX$203,'ИП + источники'!$F$27:$F$203,$F263,'ИП + источники'!$AC$27:$AC$203,"уплата процентов по кредитам из нормативной прибыли")</f>
        <v>0</v>
      </c>
      <c r="AX263" s="7723">
        <f>_xlfn.SUMIFS('ИП + источники'!AY$27:AY$203,'ИП + источники'!$F$27:$F$203,$F263,'ИП + источники'!$AC$27:$AC$203,"уплата процентов по кредитам из нормативной прибыли")</f>
        <v>0</v>
      </c>
      <c r="AY263" s="1253">
        <f>_xlfn.SUMIFS('ИП + источники'!AZ$27:AZ$203,'ИП + источники'!$F$27:$F$203,$F263,'ИП + источники'!$AC$27:$AC$203,"уплата процентов по кредитам из нормативной прибыли")</f>
        <v>0</v>
      </c>
      <c r="AZ263" s="1253">
        <f>_xlfn.SUMIFS('ИП + источники'!BA$27:BA$203,'ИП + источники'!$F$27:$F$203,$F263,'ИП + источники'!$AC$27:$AC$203,"уплата процентов по кредитам из нормативной прибыли")</f>
        <v>0</v>
      </c>
      <c r="BA263" s="1253">
        <f>_xlfn.SUMIFS('ИП + источники'!BB$27:BB$203,'ИП + источники'!$F$27:$F$203,$F263,'ИП + источники'!$AC$27:$AC$203,"уплата процентов по кредитам из нормативной прибыли")</f>
        <v>0</v>
      </c>
      <c r="BB263" s="1253">
        <f>_xlfn.SUMIFS('ИП + источники'!BC$27:BC$203,'ИП + источники'!$F$27:$F$203,$F263,'ИП + источники'!$AC$27:$AC$203,"уплата процентов по кредитам из нормативной прибыли")</f>
        <v>0</v>
      </c>
      <c r="BC263" s="1253">
        <f>_xlfn.SUMIFS('ИП + источники'!BD$27:BD$203,'ИП + источники'!$F$27:$F$203,$F263,'ИП + источники'!$AC$27:$AC$203,"уплата процентов по кредитам из нормативной прибыли")</f>
        <v>0</v>
      </c>
      <c r="BD263" s="943">
        <f>IF(AI263=0,0,(AT263-AI263)/AI263*100)</f>
        <v>0</v>
      </c>
      <c r="BE263" s="943">
        <f>IF(AT263=0,0,(AU263-AT263)/AT263*100)</f>
        <v>0</v>
      </c>
      <c r="BF263" s="943">
        <f>IF(AU263=0,0,(AV263-AU263)/AU263*100)</f>
        <v>0</v>
      </c>
      <c r="BG263" s="943">
        <f>IF(AV263=0,0,(AW263-AV263)/AV263*100)</f>
        <v>0</v>
      </c>
      <c r="BH263" s="943">
        <f>IF(AW263=0,0,(AX263-AW263)/AW263*100)</f>
        <v>0</v>
      </c>
      <c r="BI263" s="943">
        <f>IF(AX263=0,0,(AY263-AX263)/AX263*100)</f>
        <v>0</v>
      </c>
      <c r="BJ263" s="943">
        <f>IF(AY263=0,0,(AZ263-AY263)/AY263*100)</f>
        <v>0</v>
      </c>
      <c r="BK263" s="943">
        <f>IF(AZ263=0,0,(BA263-AZ263)/AZ263*100)</f>
        <v>0</v>
      </c>
      <c r="BL263" s="943">
        <f>IF(BA263=0,0,(BB263-BA263)/BA263*100)</f>
        <v>0</v>
      </c>
      <c r="BM263" s="943">
        <f>IF(BB263=0,0,(BC263-BB263)/BB263*100)</f>
        <v>0</v>
      </c>
      <c r="BN263" s="7771"/>
      <c r="BO263" s="7724" t="str">
        <f>IF(_xlfn.IFERROR(INDEX('ИП + источники'!$K$57:$L$203,MATCH($F263&amp;"3komm",'ИП + источники'!$K$57:$K$203,0),2),"")=0,"",_xlfn.IFERROR(INDEX('ИП + источники'!$K$57:$L$203,MATCH($F263&amp;"3komm",'ИП + источники'!$K$57:$K$203,0),2),""))</f>
        <v/>
      </c>
      <c r="BP263" s="7771"/>
      <c r="BQ263" s="1278"/>
      <c r="BR263" s="1278"/>
      <c r="BS263" s="1064" t="s">
        <v>2835</v>
      </c>
      <c r="BT263" s="1064"/>
      <c r="BU263" s="1064"/>
      <c r="BV263" s="979"/>
      <c r="BW263" s="979"/>
    </row>
    <row s="1834" customFormat="1" customHeight="1" ht="14.25">
      <c r="A264" s="1278"/>
      <c r="B264" s="432" cm="1" t="str">
        <f t="array" ref="B264:B264">B263</f>
        <v>true</v>
      </c>
      <c r="C264" s="1278"/>
      <c r="D264" s="1278"/>
      <c r="E264" s="703">
        <v>15</v>
      </c>
      <c r="F264" s="50" cm="1" t="str">
        <f t="array" ref="F264:F264">OFFSET(E264,-1,1)</f>
        <v>1</v>
      </c>
      <c r="G264" s="1278"/>
      <c r="H264" s="1278"/>
      <c r="I264" s="158" t="s">
        <v>1479</v>
      </c>
      <c r="J264" s="1278"/>
      <c r="K264" s="158" t="s">
        <v>1479</v>
      </c>
      <c r="L264" s="980" t="s">
        <v>1282</v>
      </c>
      <c r="M264" s="107"/>
      <c r="N264" s="1278"/>
      <c r="O264" s="1278"/>
      <c r="P264" s="1278"/>
      <c r="Q264" s="1278"/>
      <c r="R264" s="1278"/>
      <c r="S264" s="1278"/>
      <c r="T264" s="465" cm="1" t="str">
        <f t="array" ref="T264:T264">T263</f>
        <v>true</v>
      </c>
      <c r="U264" s="1278"/>
      <c r="V264" s="1278"/>
      <c r="W264" s="1278"/>
      <c r="X264" s="1563"/>
      <c r="Y264" s="1278"/>
      <c r="Z264" s="1546"/>
      <c r="AA264" s="1278"/>
      <c r="AB264" s="299" t="s">
        <v>1683</v>
      </c>
      <c r="AC264" s="762" t="s">
        <v>2836</v>
      </c>
      <c r="AD264" s="300" t="s">
        <v>1514</v>
      </c>
      <c r="AE264" s="7773">
        <f>_xlfn.SUMIFS('ИП + источники'!AF$27:AF$203,'ИП + источники'!$F$27:$F$203,$F264,'ИП + источники'!$AC$27:$AC$203,"Прибыль на капвложения")</f>
        <v>0</v>
      </c>
      <c r="AF264" s="7773">
        <f>_xlfn.SUMIFS('ИП + источники'!AG$27:AG$203,'ИП + источники'!$F$27:$F$203,$F264,'ИП + источники'!$AC$27:$AC$203,"Прибыль на капвложения")</f>
        <v>0</v>
      </c>
      <c r="AG264" s="7773">
        <f>_xlfn.SUMIFS('ИП + источники'!AH$27:AH$203,'ИП + источники'!$F$27:$F$203,$F264,'ИП + источники'!$AC$27:$AC$203,"Прибыль на капвложения")</f>
        <v>0</v>
      </c>
      <c r="AH264" s="943">
        <f>AG264-AF264</f>
        <v>0</v>
      </c>
      <c r="AI264" s="7723">
        <f>_xlfn.SUMIFS('ИП + источники'!AJ$27:AJ$203,'ИП + источники'!$F$27:$F$203,$F264,'ИП + источники'!$AC$27:$AC$203,"Прибыль на капвложения")</f>
        <v>0</v>
      </c>
      <c r="AJ264" s="7723">
        <f>_xlfn.SUMIFS('ИП + источники'!AK$27:AK$203,'ИП + источники'!$F$27:$F$203,$F264,'ИП + источники'!$AC$27:$AC$203,"Прибыль на капвложения")</f>
        <v>0</v>
      </c>
      <c r="AK264" s="7723">
        <f>_xlfn.SUMIFS('ИП + источники'!AL$27:AL$203,'ИП + источники'!$F$27:$F$203,$F264,'ИП + источники'!$AC$27:$AC$203,"Прибыль на капвложения")</f>
        <v>0</v>
      </c>
      <c r="AL264" s="7723">
        <f>_xlfn.SUMIFS('ИП + источники'!AM$27:AM$203,'ИП + источники'!$F$27:$F$203,$F264,'ИП + источники'!$AC$27:$AC$203,"Прибыль на капвложения")</f>
        <v>0</v>
      </c>
      <c r="AM264" s="7723">
        <f>_xlfn.SUMIFS('ИП + источники'!AN$27:AN$203,'ИП + источники'!$F$27:$F$203,$F264,'ИП + источники'!$AC$27:$AC$203,"Прибыль на капвложения")</f>
        <v>0</v>
      </c>
      <c r="AN264" s="7723">
        <f>_xlfn.SUMIFS('ИП + источники'!AO$27:AO$203,'ИП + источники'!$F$27:$F$203,$F264,'ИП + источники'!$AC$27:$AC$203,"Прибыль на капвложения")</f>
        <v>0</v>
      </c>
      <c r="AO264" s="1253">
        <f>_xlfn.SUMIFS('ИП + источники'!AP$27:AP$203,'ИП + источники'!$F$27:$F$203,$F264,'ИП + источники'!$AC$27:$AC$203,"Прибыль на капвложения")</f>
        <v>0</v>
      </c>
      <c r="AP264" s="1253">
        <f>_xlfn.SUMIFS('ИП + источники'!AQ$27:AQ$203,'ИП + источники'!$F$27:$F$203,$F264,'ИП + источники'!$AC$27:$AC$203,"Прибыль на капвложения")</f>
        <v>0</v>
      </c>
      <c r="AQ264" s="1253">
        <f>_xlfn.SUMIFS('ИП + источники'!AR$27:AR$203,'ИП + источники'!$F$27:$F$203,$F264,'ИП + источники'!$AC$27:$AC$203,"Прибыль на капвложения")</f>
        <v>0</v>
      </c>
      <c r="AR264" s="1253">
        <f>_xlfn.SUMIFS('ИП + источники'!AS$27:AS$203,'ИП + источники'!$F$27:$F$203,$F264,'ИП + источники'!$AC$27:$AC$203,"Прибыль на капвложения")</f>
        <v>0</v>
      </c>
      <c r="AS264" s="1253">
        <f>_xlfn.SUMIFS('ИП + источники'!AT$27:AT$203,'ИП + источники'!$F$27:$F$203,$F264,'ИП + источники'!$AC$27:$AC$203,"Прибыль на капвложения")</f>
        <v>0</v>
      </c>
      <c r="AT264" s="7723">
        <f>_xlfn.SUMIFS('ИП + источники'!AU$27:AU$203,'ИП + источники'!$F$27:$F$203,$F264,'ИП + источники'!$AC$27:$AC$203,"Прибыль на капвложения")</f>
        <v>0</v>
      </c>
      <c r="AU264" s="7723">
        <f>_xlfn.SUMIFS('ИП + источники'!AV$27:AV$203,'ИП + источники'!$F$27:$F$203,$F264,'ИП + источники'!$AC$27:$AC$203,"Прибыль на капвложения")</f>
        <v>0</v>
      </c>
      <c r="AV264" s="7723">
        <f>_xlfn.SUMIFS('ИП + источники'!AW$27:AW$203,'ИП + источники'!$F$27:$F$203,$F264,'ИП + источники'!$AC$27:$AC$203,"Прибыль на капвложения")</f>
        <v>0</v>
      </c>
      <c r="AW264" s="7723">
        <f>_xlfn.SUMIFS('ИП + источники'!AX$27:AX$203,'ИП + источники'!$F$27:$F$203,$F264,'ИП + источники'!$AC$27:$AC$203,"Прибыль на капвложения")</f>
        <v>0</v>
      </c>
      <c r="AX264" s="7723">
        <f>_xlfn.SUMIFS('ИП + источники'!AY$27:AY$203,'ИП + источники'!$F$27:$F$203,$F264,'ИП + источники'!$AC$27:$AC$203,"Прибыль на капвложения")</f>
        <v>0</v>
      </c>
      <c r="AY264" s="1253">
        <f>_xlfn.SUMIFS('ИП + источники'!AZ$27:AZ$203,'ИП + источники'!$F$27:$F$203,$F264,'ИП + источники'!$AC$27:$AC$203,"Прибыль на капвложения")</f>
        <v>0</v>
      </c>
      <c r="AZ264" s="1253">
        <f>_xlfn.SUMIFS('ИП + источники'!BA$27:BA$203,'ИП + источники'!$F$27:$F$203,$F264,'ИП + источники'!$AC$27:$AC$203,"Прибыль на капвложения")</f>
        <v>0</v>
      </c>
      <c r="BA264" s="1253">
        <f>_xlfn.SUMIFS('ИП + источники'!BB$27:BB$203,'ИП + источники'!$F$27:$F$203,$F264,'ИП + источники'!$AC$27:$AC$203,"Прибыль на капвложения")</f>
        <v>0</v>
      </c>
      <c r="BB264" s="1253">
        <f>_xlfn.SUMIFS('ИП + источники'!BC$27:BC$203,'ИП + источники'!$F$27:$F$203,$F264,'ИП + источники'!$AC$27:$AC$203,"Прибыль на капвложения")</f>
        <v>0</v>
      </c>
      <c r="BC264" s="1253">
        <f>_xlfn.SUMIFS('ИП + источники'!BD$27:BD$203,'ИП + источники'!$F$27:$F$203,$F264,'ИП + источники'!$AC$27:$AC$203,"Прибыль на капвложения")</f>
        <v>0</v>
      </c>
      <c r="BD264" s="943">
        <f>IF(AI264=0,0,(AT264-AI264)/AI264*100)</f>
        <v>0</v>
      </c>
      <c r="BE264" s="943">
        <f>IF(AT264=0,0,(AU264-AT264)/AT264*100)</f>
        <v>0</v>
      </c>
      <c r="BF264" s="943">
        <f>IF(AU264=0,0,(AV264-AU264)/AU264*100)</f>
        <v>0</v>
      </c>
      <c r="BG264" s="943">
        <f>IF(AV264=0,0,(AW264-AV264)/AV264*100)</f>
        <v>0</v>
      </c>
      <c r="BH264" s="943">
        <f>IF(AW264=0,0,(AX264-AW264)/AW264*100)</f>
        <v>0</v>
      </c>
      <c r="BI264" s="943">
        <f>IF(AX264=0,0,(AY264-AX264)/AX264*100)</f>
        <v>0</v>
      </c>
      <c r="BJ264" s="943">
        <f>IF(AY264=0,0,(AZ264-AY264)/AY264*100)</f>
        <v>0</v>
      </c>
      <c r="BK264" s="943">
        <f>IF(AZ264=0,0,(BA264-AZ264)/AZ264*100)</f>
        <v>0</v>
      </c>
      <c r="BL264" s="943">
        <f>IF(BA264=0,0,(BB264-BA264)/BA264*100)</f>
        <v>0</v>
      </c>
      <c r="BM264" s="943">
        <f>IF(BB264=0,0,(BC264-BB264)/BB264*100)</f>
        <v>0</v>
      </c>
      <c r="BN264" s="7771"/>
      <c r="BO264" s="7724" t="str">
        <f>IF(_xlfn.IFERROR(INDEX('ИП + источники'!$K$57:$L$203,MATCH($F264&amp;"1komm",'ИП + источники'!$K$57:$K$203,0),2),"")=0,"",_xlfn.IFERROR(INDEX('ИП + источники'!$K$57:$L$203,MATCH($F264&amp;"1komm",'ИП + источники'!$K$57:$K$203,0),2),""))</f>
        <v/>
      </c>
      <c r="BP264" s="7771"/>
      <c r="BQ264" s="1278"/>
      <c r="BR264" s="1278"/>
      <c r="BS264" s="1064" t="s">
        <v>2546</v>
      </c>
      <c r="BT264" s="1064"/>
      <c r="BU264" s="1064"/>
      <c r="BV264" s="979"/>
      <c r="BW264" s="979"/>
    </row>
    <row s="1834" customFormat="1" customHeight="1" ht="21.75">
      <c r="A265" s="1278"/>
      <c r="B265" s="432" cm="1" t="str">
        <f t="array" ref="B265:B265">B264</f>
        <v>true</v>
      </c>
      <c r="C265" s="1278"/>
      <c r="D265" s="1278"/>
      <c r="E265" s="703">
        <v>22.5</v>
      </c>
      <c r="F265" s="50" cm="1" t="str">
        <f t="array" ref="F265:F265">OFFSET(E265,-1,1)</f>
        <v>1</v>
      </c>
      <c r="G265" s="158" t="s">
        <v>2837</v>
      </c>
      <c r="H265" s="1278"/>
      <c r="I265" s="158" t="s">
        <v>1685</v>
      </c>
      <c r="J265" s="1278"/>
      <c r="K265" s="158" t="s">
        <v>1685</v>
      </c>
      <c r="L265" s="980" t="s">
        <v>1286</v>
      </c>
      <c r="M265" s="107"/>
      <c r="N265" s="1278"/>
      <c r="O265" s="1278"/>
      <c r="P265" s="1278"/>
      <c r="Q265" s="1278"/>
      <c r="R265" s="1278"/>
      <c r="S265" s="1278"/>
      <c r="T265" s="465" cm="1" t="str">
        <f t="array" ref="T265:T265">T264</f>
        <v>true</v>
      </c>
      <c r="U265" s="1278"/>
      <c r="V265" s="1278"/>
      <c r="W265" s="1278"/>
      <c r="X265" s="1563"/>
      <c r="Y265" s="1278"/>
      <c r="Z265" s="1546"/>
      <c r="AA265" s="1278"/>
      <c r="AB265" s="299" t="s">
        <v>1686</v>
      </c>
      <c r="AC265" s="762" t="s">
        <v>2838</v>
      </c>
      <c r="AD265" s="300" t="s">
        <v>1514</v>
      </c>
      <c r="AE265" s="7773"/>
      <c r="AF265" s="7773"/>
      <c r="AG265" s="7773"/>
      <c r="AH265" s="943">
        <f>AG265-AF265</f>
        <v>0</v>
      </c>
      <c r="AI265" s="7723"/>
      <c r="AJ265" s="7723"/>
      <c r="AK265" s="7723"/>
      <c r="AL265" s="7723"/>
      <c r="AM265" s="7723"/>
      <c r="AN265" s="7723"/>
      <c r="AO265" s="1253"/>
      <c r="AP265" s="1253"/>
      <c r="AQ265" s="1253"/>
      <c r="AR265" s="1253"/>
      <c r="AS265" s="1253"/>
      <c r="AT265" s="7723"/>
      <c r="AU265" s="7723"/>
      <c r="AV265" s="7723"/>
      <c r="AW265" s="7723"/>
      <c r="AX265" s="7723"/>
      <c r="AY265" s="1253"/>
      <c r="AZ265" s="1253"/>
      <c r="BA265" s="1253"/>
      <c r="BB265" s="1253"/>
      <c r="BC265" s="1253"/>
      <c r="BD265" s="943">
        <f>IF(AI265=0,0,(AT265-AI265)/AI265*100)</f>
        <v>0</v>
      </c>
      <c r="BE265" s="943">
        <f>IF(AT265=0,0,(AU265-AT265)/AT265*100)</f>
        <v>0</v>
      </c>
      <c r="BF265" s="943">
        <f>IF(AU265=0,0,(AV265-AU265)/AU265*100)</f>
        <v>0</v>
      </c>
      <c r="BG265" s="943">
        <f>IF(AV265=0,0,(AW265-AV265)/AV265*100)</f>
        <v>0</v>
      </c>
      <c r="BH265" s="943">
        <f>IF(AW265=0,0,(AX265-AW265)/AW265*100)</f>
        <v>0</v>
      </c>
      <c r="BI265" s="943">
        <f>IF(AX265=0,0,(AY265-AX265)/AX265*100)</f>
        <v>0</v>
      </c>
      <c r="BJ265" s="943">
        <f>IF(AY265=0,0,(AZ265-AY265)/AY265*100)</f>
        <v>0</v>
      </c>
      <c r="BK265" s="943">
        <f>IF(AZ265=0,0,(BA265-AZ265)/AZ265*100)</f>
        <v>0</v>
      </c>
      <c r="BL265" s="943">
        <f>IF(BA265=0,0,(BB265-BA265)/BA265*100)</f>
        <v>0</v>
      </c>
      <c r="BM265" s="943">
        <f>IF(BB265=0,0,(BC265-BB265)/BB265*100)</f>
        <v>0</v>
      </c>
      <c r="BN265" s="7771"/>
      <c r="BO265" s="7771"/>
      <c r="BP265" s="7771"/>
      <c r="BQ265" s="1278"/>
      <c r="BR265" s="1278"/>
      <c r="BS265" s="1064" t="s">
        <v>2839</v>
      </c>
      <c r="BT265" s="1064"/>
      <c r="BU265" s="1064"/>
      <c r="BV265" s="979"/>
      <c r="BW265" s="979"/>
    </row>
    <row s="1834" customFormat="1" customHeight="1" ht="14.25">
      <c r="A266" s="1278"/>
      <c r="B266" s="432">
        <f>AND(method_reg="Метод индексации",STATUS_GO="да")</f>
        <v>1</v>
      </c>
      <c r="C266" s="1278"/>
      <c r="D266" s="1278"/>
      <c r="E266" s="703">
        <v>15</v>
      </c>
      <c r="F266" s="50" cm="1" t="str">
        <f t="array" ref="F266:F266">OFFSET(E266,-1,1)</f>
        <v>1</v>
      </c>
      <c r="G266" s="158" t="s">
        <v>2549</v>
      </c>
      <c r="H266" s="1278"/>
      <c r="I266" s="158" t="s">
        <v>1225</v>
      </c>
      <c r="J266" s="1278"/>
      <c r="K266" s="158" t="s">
        <v>1225</v>
      </c>
      <c r="L266" s="980" t="s">
        <v>1290</v>
      </c>
      <c r="M266" s="107"/>
      <c r="N266" s="1278"/>
      <c r="O266" s="1278"/>
      <c r="P266" s="1278"/>
      <c r="Q266" s="1278"/>
      <c r="R266" s="1278"/>
      <c r="S266" s="1278"/>
      <c r="T266" s="465" cm="1" t="str">
        <f t="array" ref="T266:T266">T265</f>
        <v>true</v>
      </c>
      <c r="U266" s="1278"/>
      <c r="V266" s="1278"/>
      <c r="W266" s="1278"/>
      <c r="X266" s="1563"/>
      <c r="Y266" s="1278"/>
      <c r="Z266" s="1546"/>
      <c r="AA266" s="1278"/>
      <c r="AB266" s="299" t="s">
        <v>446</v>
      </c>
      <c r="AC266" s="452" t="s">
        <v>2549</v>
      </c>
      <c r="AD266" s="300" t="s">
        <v>1514</v>
      </c>
      <c r="AE266" s="7773"/>
      <c r="AF266" s="7773"/>
      <c r="AG266" s="7773"/>
      <c r="AH266" s="943">
        <f>AG266-AF266</f>
        <v>0</v>
      </c>
      <c r="AI266" s="7723"/>
      <c r="AJ266" s="7723"/>
      <c r="AK266" s="7723"/>
      <c r="AL266" s="7723"/>
      <c r="AM266" s="7723"/>
      <c r="AN266" s="7723"/>
      <c r="AO266" s="1253"/>
      <c r="AP266" s="1253"/>
      <c r="AQ266" s="1253"/>
      <c r="AR266" s="1253"/>
      <c r="AS266" s="1253"/>
      <c r="AT266" s="7723"/>
      <c r="AU266" s="7723"/>
      <c r="AV266" s="7723"/>
      <c r="AW266" s="7723"/>
      <c r="AX266" s="7723"/>
      <c r="AY266" s="1253"/>
      <c r="AZ266" s="1253"/>
      <c r="BA266" s="1253"/>
      <c r="BB266" s="1253"/>
      <c r="BC266" s="1253"/>
      <c r="BD266" s="943">
        <f>IF(AI266=0,0,(AT266-AI266)/AI266*100)</f>
        <v>0</v>
      </c>
      <c r="BE266" s="943">
        <f>IF(AT266=0,0,(AU266-AT266)/AT266*100)</f>
        <v>0</v>
      </c>
      <c r="BF266" s="943">
        <f>IF(AU266=0,0,(AV266-AU266)/AU266*100)</f>
        <v>0</v>
      </c>
      <c r="BG266" s="943">
        <f>IF(AV266=0,0,(AW266-AV266)/AV266*100)</f>
        <v>0</v>
      </c>
      <c r="BH266" s="943">
        <f>IF(AW266=0,0,(AX266-AW266)/AW266*100)</f>
        <v>0</v>
      </c>
      <c r="BI266" s="943">
        <f>IF(AX266=0,0,(AY266-AX266)/AX266*100)</f>
        <v>0</v>
      </c>
      <c r="BJ266" s="943">
        <f>IF(AY266=0,0,(AZ266-AY266)/AY266*100)</f>
        <v>0</v>
      </c>
      <c r="BK266" s="943">
        <f>IF(AZ266=0,0,(BA266-AZ266)/AZ266*100)</f>
        <v>0</v>
      </c>
      <c r="BL266" s="943">
        <f>IF(BA266=0,0,(BB266-BA266)/BA266*100)</f>
        <v>0</v>
      </c>
      <c r="BM266" s="943">
        <f>IF(BB266=0,0,(BC266-BB266)/BB266*100)</f>
        <v>0</v>
      </c>
      <c r="BN266" s="7771"/>
      <c r="BO266" s="7771"/>
      <c r="BP266" s="7771"/>
      <c r="BQ266" s="1278"/>
      <c r="BR266" s="1278"/>
      <c r="BS266" s="1064" t="s">
        <v>2550</v>
      </c>
      <c r="BT266" s="1064"/>
      <c r="BU266" s="1064"/>
      <c r="BV266" s="979"/>
      <c r="BW266" s="979"/>
    </row>
    <row s="1834" customFormat="1" customHeight="1" ht="14.25" hidden="1">
      <c r="A267" s="1278"/>
      <c r="B267" s="975">
        <f>method_reg="Метод обеспечения доходности инвестированного капитала"</f>
        <v>0</v>
      </c>
      <c r="C267" s="1278"/>
      <c r="D267" s="1278"/>
      <c r="E267" s="703">
        <v>15</v>
      </c>
      <c r="F267" s="50" cm="1" t="str">
        <f t="array" ref="F267:F267">OFFSET(E267,-1,1)</f>
        <v>1</v>
      </c>
      <c r="G267" s="1278"/>
      <c r="H267" s="1278"/>
      <c r="I267" s="1278"/>
      <c r="J267" s="1278"/>
      <c r="K267" s="107" t="s">
        <v>336</v>
      </c>
      <c r="L267" s="980"/>
      <c r="M267" s="107"/>
      <c r="N267" s="1278"/>
      <c r="O267" s="1278"/>
      <c r="P267" s="1278"/>
      <c r="Q267" s="1278"/>
      <c r="R267" s="1278"/>
      <c r="S267" s="1278"/>
      <c r="T267" s="465" cm="1" t="str">
        <f t="array" ref="T267:T267">T266</f>
        <v>true</v>
      </c>
      <c r="U267" s="1278"/>
      <c r="V267" s="1278"/>
      <c r="W267" s="1278"/>
      <c r="X267" s="1563"/>
      <c r="Y267" s="1278"/>
      <c r="Z267" s="1546"/>
      <c r="AA267" s="1278"/>
      <c r="AB267" s="792" t="s">
        <v>295</v>
      </c>
      <c r="AC267" s="793" t="s">
        <v>2840</v>
      </c>
      <c r="AD267" s="794" t="s">
        <v>1514</v>
      </c>
      <c r="AE267" s="1246"/>
      <c r="AF267" s="1246"/>
      <c r="AG267" s="1246"/>
      <c r="AH267" s="761">
        <f>AG267-AF267</f>
        <v>0</v>
      </c>
      <c r="AI267" s="1246"/>
      <c r="AJ267" s="1246"/>
      <c r="AK267" s="1246"/>
      <c r="AL267" s="1246"/>
      <c r="AM267" s="1246"/>
      <c r="AN267" s="1246"/>
      <c r="AO267" s="1246"/>
      <c r="AP267" s="1246"/>
      <c r="AQ267" s="1246"/>
      <c r="AR267" s="1246"/>
      <c r="AS267" s="1246"/>
      <c r="AT267" s="1246"/>
      <c r="AU267" s="1246"/>
      <c r="AV267" s="1246"/>
      <c r="AW267" s="1246"/>
      <c r="AX267" s="1246"/>
      <c r="AY267" s="1246"/>
      <c r="AZ267" s="1246"/>
      <c r="BA267" s="1246"/>
      <c r="BB267" s="1246"/>
      <c r="BC267" s="1246"/>
      <c r="BD267" s="761">
        <f>IF(AI267=0,0,(AT267-AI267)/AI267*100)</f>
        <v>0</v>
      </c>
      <c r="BE267" s="761">
        <f>IF(AT267=0,0,(AU267-AT267)/AT267*100)</f>
        <v>0</v>
      </c>
      <c r="BF267" s="761">
        <f>IF(AU267=0,0,(AV267-AU267)/AU267*100)</f>
        <v>0</v>
      </c>
      <c r="BG267" s="761">
        <f>IF(AV267=0,0,(AW267-AV267)/AV267*100)</f>
        <v>0</v>
      </c>
      <c r="BH267" s="761">
        <f>IF(AW267=0,0,(AX267-AW267)/AW267*100)</f>
        <v>0</v>
      </c>
      <c r="BI267" s="761">
        <f>IF(AX267=0,0,(AY267-AX267)/AX267*100)</f>
        <v>0</v>
      </c>
      <c r="BJ267" s="761">
        <f>IF(AY267=0,0,(AZ267-AY267)/AY267*100)</f>
        <v>0</v>
      </c>
      <c r="BK267" s="761">
        <f>IF(AZ267=0,0,(BA267-AZ267)/AZ267*100)</f>
        <v>0</v>
      </c>
      <c r="BL267" s="761">
        <f>IF(BA267=0,0,(BB267-BA267)/BA267*100)</f>
        <v>0</v>
      </c>
      <c r="BM267" s="761">
        <f>IF(BB267=0,0,(BC267-BB267)/BB267*100)</f>
        <v>0</v>
      </c>
      <c r="BN267" s="1247"/>
      <c r="BO267" s="1247"/>
      <c r="BP267" s="1247"/>
      <c r="BQ267" s="1278"/>
      <c r="BR267" s="1278"/>
      <c r="BS267" s="1064" t="s">
        <v>2841</v>
      </c>
      <c r="BT267" s="1064"/>
      <c r="BU267" s="1064"/>
      <c r="BV267" s="979"/>
      <c r="BW267" s="979"/>
    </row>
    <row s="1834" customFormat="1" customHeight="1" ht="14.25" hidden="1">
      <c r="A268" s="1278"/>
      <c r="B268" s="975" cm="1" t="str">
        <f t="array" ref="B268:B268">B267</f>
        <v>false</v>
      </c>
      <c r="C268" s="1278"/>
      <c r="D268" s="1278"/>
      <c r="E268" s="703">
        <v>15</v>
      </c>
      <c r="F268" s="50" cm="1" t="str">
        <f t="array" ref="F268:F268">OFFSET(E268,-1,1)</f>
        <v>1</v>
      </c>
      <c r="G268" s="1278"/>
      <c r="H268" s="1278"/>
      <c r="I268" s="1278"/>
      <c r="J268" s="1278"/>
      <c r="K268" s="107" t="s">
        <v>1249</v>
      </c>
      <c r="L268" s="980"/>
      <c r="M268" s="107"/>
      <c r="N268" s="1278"/>
      <c r="O268" s="1278"/>
      <c r="P268" s="1278"/>
      <c r="Q268" s="1278"/>
      <c r="R268" s="1278"/>
      <c r="S268" s="1278"/>
      <c r="T268" s="465" cm="1" t="str">
        <f t="array" ref="T268:T268">T267</f>
        <v>true</v>
      </c>
      <c r="U268" s="1278"/>
      <c r="V268" s="1278"/>
      <c r="W268" s="1278"/>
      <c r="X268" s="1563"/>
      <c r="Y268" s="1278"/>
      <c r="Z268" s="1546"/>
      <c r="AA268" s="1278"/>
      <c r="AB268" s="795" t="s">
        <v>1384</v>
      </c>
      <c r="AC268" s="796" t="s">
        <v>2842</v>
      </c>
      <c r="AD268" s="797" t="s">
        <v>1514</v>
      </c>
      <c r="AE268" s="1253"/>
      <c r="AF268" s="1253"/>
      <c r="AG268" s="1253"/>
      <c r="AH268" s="942"/>
      <c r="AI268" s="1253"/>
      <c r="AJ268" s="1253"/>
      <c r="AK268" s="1253"/>
      <c r="AL268" s="1253"/>
      <c r="AM268" s="1253"/>
      <c r="AN268" s="1253"/>
      <c r="AO268" s="1253"/>
      <c r="AP268" s="1253"/>
      <c r="AQ268" s="1253"/>
      <c r="AR268" s="1253"/>
      <c r="AS268" s="1253"/>
      <c r="AT268" s="1253"/>
      <c r="AU268" s="1253"/>
      <c r="AV268" s="1253"/>
      <c r="AW268" s="1253"/>
      <c r="AX268" s="1253"/>
      <c r="AY268" s="1253"/>
      <c r="AZ268" s="1253"/>
      <c r="BA268" s="1253"/>
      <c r="BB268" s="1253"/>
      <c r="BC268" s="1253"/>
      <c r="BD268" s="942"/>
      <c r="BE268" s="942"/>
      <c r="BF268" s="942"/>
      <c r="BG268" s="942"/>
      <c r="BH268" s="942"/>
      <c r="BI268" s="942"/>
      <c r="BJ268" s="942"/>
      <c r="BK268" s="942"/>
      <c r="BL268" s="942"/>
      <c r="BM268" s="942"/>
      <c r="BN268" s="1251"/>
      <c r="BO268" s="1251"/>
      <c r="BP268" s="1251"/>
      <c r="BQ268" s="1278"/>
      <c r="BR268" s="1278"/>
      <c r="BS268" s="1064" t="s">
        <v>2843</v>
      </c>
      <c r="BT268" s="1064"/>
      <c r="BU268" s="1064"/>
      <c r="BV268" s="979"/>
      <c r="BW268" s="979"/>
    </row>
    <row s="1834" customFormat="1" customHeight="1" ht="14.25" hidden="1">
      <c r="A269" s="1278"/>
      <c r="B269" s="975" cm="1" t="str">
        <f t="array" ref="B269:B269">B268</f>
        <v>false</v>
      </c>
      <c r="C269" s="1278"/>
      <c r="D269" s="1278"/>
      <c r="E269" s="703">
        <v>15</v>
      </c>
      <c r="F269" s="50" cm="1" t="str">
        <f t="array" ref="F269:F269">OFFSET(E269,-1,1)</f>
        <v>1</v>
      </c>
      <c r="G269" s="1278"/>
      <c r="H269" s="1278"/>
      <c r="I269" s="1278"/>
      <c r="J269" s="1278"/>
      <c r="K269" s="107" t="s">
        <v>1253</v>
      </c>
      <c r="L269" s="980"/>
      <c r="M269" s="107"/>
      <c r="N269" s="1278"/>
      <c r="O269" s="1278"/>
      <c r="P269" s="1278"/>
      <c r="Q269" s="1278"/>
      <c r="R269" s="1278"/>
      <c r="S269" s="1278"/>
      <c r="T269" s="465" cm="1" t="str">
        <f t="array" ref="T269:T269">T268</f>
        <v>true</v>
      </c>
      <c r="U269" s="1278"/>
      <c r="V269" s="1278"/>
      <c r="W269" s="1278"/>
      <c r="X269" s="1563"/>
      <c r="Y269" s="1278"/>
      <c r="Z269" s="1546"/>
      <c r="AA269" s="1278"/>
      <c r="AB269" s="795" t="s">
        <v>1387</v>
      </c>
      <c r="AC269" s="796" t="s">
        <v>2844</v>
      </c>
      <c r="AD269" s="797" t="s">
        <v>2845</v>
      </c>
      <c r="AE269" s="1253"/>
      <c r="AF269" s="1253"/>
      <c r="AG269" s="1253"/>
      <c r="AH269" s="942"/>
      <c r="AI269" s="1253"/>
      <c r="AJ269" s="1253"/>
      <c r="AK269" s="1253"/>
      <c r="AL269" s="1253"/>
      <c r="AM269" s="1253"/>
      <c r="AN269" s="1253"/>
      <c r="AO269" s="1253"/>
      <c r="AP269" s="1253"/>
      <c r="AQ269" s="1253"/>
      <c r="AR269" s="1253"/>
      <c r="AS269" s="1253"/>
      <c r="AT269" s="1253"/>
      <c r="AU269" s="1253"/>
      <c r="AV269" s="1253"/>
      <c r="AW269" s="1253"/>
      <c r="AX269" s="1253"/>
      <c r="AY269" s="1253"/>
      <c r="AZ269" s="1253"/>
      <c r="BA269" s="1253"/>
      <c r="BB269" s="1253"/>
      <c r="BC269" s="1253"/>
      <c r="BD269" s="942"/>
      <c r="BE269" s="942"/>
      <c r="BF269" s="942"/>
      <c r="BG269" s="942"/>
      <c r="BH269" s="942"/>
      <c r="BI269" s="942"/>
      <c r="BJ269" s="942"/>
      <c r="BK269" s="942"/>
      <c r="BL269" s="942"/>
      <c r="BM269" s="942"/>
      <c r="BN269" s="1251"/>
      <c r="BO269" s="1251"/>
      <c r="BP269" s="1251"/>
      <c r="BQ269" s="1278"/>
      <c r="BR269" s="1278"/>
      <c r="BS269" s="1064" t="s">
        <v>2846</v>
      </c>
      <c r="BT269" s="1064"/>
      <c r="BU269" s="1064"/>
      <c r="BV269" s="979"/>
      <c r="BW269" s="979"/>
    </row>
    <row s="1834" customFormat="1" customHeight="1" ht="14.25" hidden="1">
      <c r="A270" s="1278"/>
      <c r="B270" s="975" cm="1" t="str">
        <f t="array" ref="B270:B270">B269</f>
        <v>false</v>
      </c>
      <c r="C270" s="1278"/>
      <c r="D270" s="1278"/>
      <c r="E270" s="703">
        <v>15</v>
      </c>
      <c r="F270" s="50" cm="1" t="str">
        <f t="array" ref="F270:F270">OFFSET(E270,-1,1)</f>
        <v>1</v>
      </c>
      <c r="G270" s="1278"/>
      <c r="H270" s="1278"/>
      <c r="I270" s="1278"/>
      <c r="J270" s="1278"/>
      <c r="K270" s="107" t="s">
        <v>335</v>
      </c>
      <c r="L270" s="980"/>
      <c r="M270" s="107"/>
      <c r="N270" s="1278"/>
      <c r="O270" s="1278"/>
      <c r="P270" s="1278"/>
      <c r="Q270" s="1278"/>
      <c r="R270" s="1278"/>
      <c r="S270" s="1278"/>
      <c r="T270" s="465" cm="1" t="str">
        <f t="array" ref="T270:T270">T269</f>
        <v>true</v>
      </c>
      <c r="U270" s="1278"/>
      <c r="V270" s="1278"/>
      <c r="W270" s="1278"/>
      <c r="X270" s="1563"/>
      <c r="Y270" s="1278"/>
      <c r="Z270" s="1546"/>
      <c r="AA270" s="1278"/>
      <c r="AB270" s="792" t="s">
        <v>443</v>
      </c>
      <c r="AC270" s="793" t="s">
        <v>2847</v>
      </c>
      <c r="AD270" s="794" t="s">
        <v>1514</v>
      </c>
      <c r="AE270" s="1246"/>
      <c r="AF270" s="1246"/>
      <c r="AG270" s="1246"/>
      <c r="AH270" s="761">
        <f>AG270-AF270</f>
        <v>0</v>
      </c>
      <c r="AI270" s="1246"/>
      <c r="AJ270" s="1246"/>
      <c r="AK270" s="1246"/>
      <c r="AL270" s="1246"/>
      <c r="AM270" s="1246"/>
      <c r="AN270" s="1246"/>
      <c r="AO270" s="1246"/>
      <c r="AP270" s="1246"/>
      <c r="AQ270" s="1246"/>
      <c r="AR270" s="1246"/>
      <c r="AS270" s="1246"/>
      <c r="AT270" s="1246"/>
      <c r="AU270" s="1246"/>
      <c r="AV270" s="1246"/>
      <c r="AW270" s="1246"/>
      <c r="AX270" s="1246"/>
      <c r="AY270" s="1246"/>
      <c r="AZ270" s="1246"/>
      <c r="BA270" s="1246"/>
      <c r="BB270" s="1246"/>
      <c r="BC270" s="1246"/>
      <c r="BD270" s="761">
        <f>IF(AI270=0,0,(AT270-AI270)/AI270*100)</f>
        <v>0</v>
      </c>
      <c r="BE270" s="761">
        <f>IF(AT270=0,0,(AU270-AT270)/AT270*100)</f>
        <v>0</v>
      </c>
      <c r="BF270" s="761">
        <f>IF(AU270=0,0,(AV270-AU270)/AU270*100)</f>
        <v>0</v>
      </c>
      <c r="BG270" s="761">
        <f>IF(AV270=0,0,(AW270-AV270)/AV270*100)</f>
        <v>0</v>
      </c>
      <c r="BH270" s="761">
        <f>IF(AW270=0,0,(AX270-AW270)/AW270*100)</f>
        <v>0</v>
      </c>
      <c r="BI270" s="761">
        <f>IF(AX270=0,0,(AY270-AX270)/AX270*100)</f>
        <v>0</v>
      </c>
      <c r="BJ270" s="761">
        <f>IF(AY270=0,0,(AZ270-AY270)/AY270*100)</f>
        <v>0</v>
      </c>
      <c r="BK270" s="761">
        <f>IF(AZ270=0,0,(BA270-AZ270)/AZ270*100)</f>
        <v>0</v>
      </c>
      <c r="BL270" s="761">
        <f>IF(BA270=0,0,(BB270-BA270)/BA270*100)</f>
        <v>0</v>
      </c>
      <c r="BM270" s="761">
        <f>IF(BB270=0,0,(BC270-BB270)/BB270*100)</f>
        <v>0</v>
      </c>
      <c r="BN270" s="1247"/>
      <c r="BO270" s="1247"/>
      <c r="BP270" s="1247"/>
      <c r="BQ270" s="1278"/>
      <c r="BR270" s="1278"/>
      <c r="BS270" s="1064" t="s">
        <v>2848</v>
      </c>
      <c r="BT270" s="1064"/>
      <c r="BU270" s="1064"/>
      <c r="BV270" s="979"/>
      <c r="BW270" s="979"/>
    </row>
    <row s="1834" customFormat="1" customHeight="1" ht="14.25" hidden="1">
      <c r="A271" s="1278"/>
      <c r="B271" s="975" cm="1" t="str">
        <f t="array" ref="B271:B271">B270</f>
        <v>false</v>
      </c>
      <c r="C271" s="1278"/>
      <c r="D271" s="1278"/>
      <c r="E271" s="703">
        <v>15</v>
      </c>
      <c r="F271" s="50" cm="1" t="str">
        <f t="array" ref="F271:F271">OFFSET(E271,-1,1)</f>
        <v>1</v>
      </c>
      <c r="G271" s="1278"/>
      <c r="H271" s="1278"/>
      <c r="I271" s="1278"/>
      <c r="J271" s="1278"/>
      <c r="K271" s="107" t="s">
        <v>1263</v>
      </c>
      <c r="L271" s="980"/>
      <c r="M271" s="107"/>
      <c r="N271" s="1278"/>
      <c r="O271" s="1278"/>
      <c r="P271" s="1278"/>
      <c r="Q271" s="1278"/>
      <c r="R271" s="1278"/>
      <c r="S271" s="1278"/>
      <c r="T271" s="465" cm="1" t="str">
        <f t="array" ref="T271:T271">T270</f>
        <v>true</v>
      </c>
      <c r="U271" s="1278"/>
      <c r="V271" s="1278"/>
      <c r="W271" s="1278"/>
      <c r="X271" s="1563"/>
      <c r="Y271" s="1278"/>
      <c r="Z271" s="1546"/>
      <c r="AA271" s="1278"/>
      <c r="AB271" s="795" t="s">
        <v>1391</v>
      </c>
      <c r="AC271" s="796" t="s">
        <v>2849</v>
      </c>
      <c r="AD271" s="797" t="s">
        <v>1514</v>
      </c>
      <c r="AE271" s="1253"/>
      <c r="AF271" s="1253"/>
      <c r="AG271" s="1253"/>
      <c r="AH271" s="942"/>
      <c r="AI271" s="1253"/>
      <c r="AJ271" s="1253"/>
      <c r="AK271" s="1253"/>
      <c r="AL271" s="1253"/>
      <c r="AM271" s="1253"/>
      <c r="AN271" s="1253"/>
      <c r="AO271" s="1253"/>
      <c r="AP271" s="1253"/>
      <c r="AQ271" s="1253"/>
      <c r="AR271" s="1253"/>
      <c r="AS271" s="1253"/>
      <c r="AT271" s="1253"/>
      <c r="AU271" s="1253"/>
      <c r="AV271" s="1253"/>
      <c r="AW271" s="1253"/>
      <c r="AX271" s="1253"/>
      <c r="AY271" s="1253"/>
      <c r="AZ271" s="1253"/>
      <c r="BA271" s="1253"/>
      <c r="BB271" s="1253"/>
      <c r="BC271" s="1253"/>
      <c r="BD271" s="942"/>
      <c r="BE271" s="942"/>
      <c r="BF271" s="942"/>
      <c r="BG271" s="942"/>
      <c r="BH271" s="942"/>
      <c r="BI271" s="942"/>
      <c r="BJ271" s="942"/>
      <c r="BK271" s="942"/>
      <c r="BL271" s="942"/>
      <c r="BM271" s="942"/>
      <c r="BN271" s="1251"/>
      <c r="BO271" s="1251"/>
      <c r="BP271" s="1251"/>
      <c r="BQ271" s="1278"/>
      <c r="BR271" s="1278"/>
      <c r="BS271" s="1064" t="s">
        <v>2850</v>
      </c>
      <c r="BT271" s="1064"/>
      <c r="BU271" s="1064"/>
      <c r="BV271" s="979"/>
      <c r="BW271" s="979"/>
    </row>
    <row s="1834" customFormat="1" customHeight="1" ht="14.25" hidden="1">
      <c r="A272" s="1278"/>
      <c r="B272" s="975" cm="1" t="str">
        <f t="array" ref="B272:B272">B271</f>
        <v>false</v>
      </c>
      <c r="C272" s="1278"/>
      <c r="D272" s="1278"/>
      <c r="E272" s="703">
        <v>15</v>
      </c>
      <c r="F272" s="50" cm="1" t="str">
        <f t="array" ref="F272:F272">OFFSET(E272,-1,1)</f>
        <v>1</v>
      </c>
      <c r="G272" s="1278"/>
      <c r="H272" s="1278"/>
      <c r="I272" s="1278"/>
      <c r="J272" s="1278"/>
      <c r="K272" s="107" t="s">
        <v>1267</v>
      </c>
      <c r="L272" s="980"/>
      <c r="M272" s="107"/>
      <c r="N272" s="1278"/>
      <c r="O272" s="1278"/>
      <c r="P272" s="1278"/>
      <c r="Q272" s="1278"/>
      <c r="R272" s="1278"/>
      <c r="S272" s="1278"/>
      <c r="T272" s="465" cm="1" t="str">
        <f t="array" ref="T272:T272">T271</f>
        <v>true</v>
      </c>
      <c r="U272" s="1278"/>
      <c r="V272" s="1278"/>
      <c r="W272" s="1278"/>
      <c r="X272" s="1563"/>
      <c r="Y272" s="1278"/>
      <c r="Z272" s="1546"/>
      <c r="AA272" s="1278"/>
      <c r="AB272" s="795" t="s">
        <v>1394</v>
      </c>
      <c r="AC272" s="796" t="s">
        <v>2851</v>
      </c>
      <c r="AD272" s="797" t="s">
        <v>1170</v>
      </c>
      <c r="AE272" s="1253"/>
      <c r="AF272" s="1253"/>
      <c r="AG272" s="1253"/>
      <c r="AH272" s="942"/>
      <c r="AI272" s="1253"/>
      <c r="AJ272" s="1253"/>
      <c r="AK272" s="1253"/>
      <c r="AL272" s="1253"/>
      <c r="AM272" s="1253"/>
      <c r="AN272" s="1253"/>
      <c r="AO272" s="1253"/>
      <c r="AP272" s="1253"/>
      <c r="AQ272" s="1253"/>
      <c r="AR272" s="1253"/>
      <c r="AS272" s="1253"/>
      <c r="AT272" s="1253"/>
      <c r="AU272" s="1253"/>
      <c r="AV272" s="1253"/>
      <c r="AW272" s="1253"/>
      <c r="AX272" s="1253"/>
      <c r="AY272" s="1253"/>
      <c r="AZ272" s="1253"/>
      <c r="BA272" s="1253"/>
      <c r="BB272" s="1253"/>
      <c r="BC272" s="1253"/>
      <c r="BD272" s="942"/>
      <c r="BE272" s="942"/>
      <c r="BF272" s="942"/>
      <c r="BG272" s="942"/>
      <c r="BH272" s="942"/>
      <c r="BI272" s="942"/>
      <c r="BJ272" s="942"/>
      <c r="BK272" s="942"/>
      <c r="BL272" s="942"/>
      <c r="BM272" s="942"/>
      <c r="BN272" s="1251"/>
      <c r="BO272" s="1251"/>
      <c r="BP272" s="1251"/>
      <c r="BQ272" s="1278"/>
      <c r="BR272" s="1278"/>
      <c r="BS272" s="1064" t="s">
        <v>2852</v>
      </c>
      <c r="BT272" s="1064"/>
      <c r="BU272" s="1064"/>
      <c r="BV272" s="979"/>
      <c r="BW272" s="979"/>
    </row>
    <row s="1834" customFormat="1" customHeight="1" ht="14.25" hidden="1">
      <c r="A273" s="1278"/>
      <c r="B273" s="975" cm="1" t="str">
        <f t="array" ref="B273:B273">B272</f>
        <v>false</v>
      </c>
      <c r="C273" s="1278"/>
      <c r="D273" s="1278"/>
      <c r="E273" s="703">
        <v>15</v>
      </c>
      <c r="F273" s="50" cm="1" t="str">
        <f t="array" ref="F273:F273">OFFSET(E273,-1,1)</f>
        <v>1</v>
      </c>
      <c r="G273" s="1278"/>
      <c r="H273" s="1278"/>
      <c r="I273" s="1278"/>
      <c r="J273" s="1278"/>
      <c r="K273" s="107" t="s">
        <v>1479</v>
      </c>
      <c r="L273" s="980"/>
      <c r="M273" s="107"/>
      <c r="N273" s="1278"/>
      <c r="O273" s="1278"/>
      <c r="P273" s="1278"/>
      <c r="Q273" s="1278"/>
      <c r="R273" s="1278"/>
      <c r="S273" s="1278"/>
      <c r="T273" s="465" cm="1" t="str">
        <f t="array" ref="T273:T273">T272</f>
        <v>true</v>
      </c>
      <c r="U273" s="1278"/>
      <c r="V273" s="1278"/>
      <c r="W273" s="1278"/>
      <c r="X273" s="1563"/>
      <c r="Y273" s="1278"/>
      <c r="Z273" s="1546"/>
      <c r="AA273" s="1278"/>
      <c r="AB273" s="795" t="s">
        <v>1683</v>
      </c>
      <c r="AC273" s="796" t="s">
        <v>2853</v>
      </c>
      <c r="AD273" s="797" t="s">
        <v>1514</v>
      </c>
      <c r="AE273" s="1253"/>
      <c r="AF273" s="1253"/>
      <c r="AG273" s="1253"/>
      <c r="AH273" s="942"/>
      <c r="AI273" s="1253"/>
      <c r="AJ273" s="1253"/>
      <c r="AK273" s="1253"/>
      <c r="AL273" s="1253"/>
      <c r="AM273" s="1253"/>
      <c r="AN273" s="1253"/>
      <c r="AO273" s="1253"/>
      <c r="AP273" s="1253"/>
      <c r="AQ273" s="1253"/>
      <c r="AR273" s="1253"/>
      <c r="AS273" s="1253"/>
      <c r="AT273" s="1253"/>
      <c r="AU273" s="1253"/>
      <c r="AV273" s="1253"/>
      <c r="AW273" s="1253"/>
      <c r="AX273" s="1253"/>
      <c r="AY273" s="1253"/>
      <c r="AZ273" s="1253"/>
      <c r="BA273" s="1253"/>
      <c r="BB273" s="1253"/>
      <c r="BC273" s="1253"/>
      <c r="BD273" s="942"/>
      <c r="BE273" s="942"/>
      <c r="BF273" s="942"/>
      <c r="BG273" s="942"/>
      <c r="BH273" s="942"/>
      <c r="BI273" s="942"/>
      <c r="BJ273" s="942"/>
      <c r="BK273" s="942"/>
      <c r="BL273" s="942"/>
      <c r="BM273" s="942"/>
      <c r="BN273" s="1251"/>
      <c r="BO273" s="1251"/>
      <c r="BP273" s="1251"/>
      <c r="BQ273" s="1278"/>
      <c r="BR273" s="1278"/>
      <c r="BS273" s="1064" t="s">
        <v>2854</v>
      </c>
      <c r="BT273" s="1064"/>
      <c r="BU273" s="1064"/>
      <c r="BV273" s="979"/>
      <c r="BW273" s="979"/>
    </row>
    <row s="1834" customFormat="1" customHeight="1" ht="14.25" hidden="1">
      <c r="A274" s="1278"/>
      <c r="B274" s="975" cm="1" t="str">
        <f t="array" ref="B274:B274">B273</f>
        <v>false</v>
      </c>
      <c r="C274" s="1278"/>
      <c r="D274" s="1278"/>
      <c r="E274" s="703">
        <v>15</v>
      </c>
      <c r="F274" s="50" cm="1" t="str">
        <f t="array" ref="F274:F274">OFFSET(E274,-1,1)</f>
        <v>1</v>
      </c>
      <c r="G274" s="1278"/>
      <c r="H274" s="1278"/>
      <c r="I274" s="1278"/>
      <c r="J274" s="1278"/>
      <c r="K274" s="107" t="s">
        <v>1685</v>
      </c>
      <c r="L274" s="980"/>
      <c r="M274" s="107"/>
      <c r="N274" s="1278"/>
      <c r="O274" s="1278"/>
      <c r="P274" s="1278"/>
      <c r="Q274" s="1278"/>
      <c r="R274" s="1278"/>
      <c r="S274" s="1278"/>
      <c r="T274" s="465" cm="1" t="str">
        <f t="array" ref="T274:T274">T273</f>
        <v>true</v>
      </c>
      <c r="U274" s="1278"/>
      <c r="V274" s="1278"/>
      <c r="W274" s="1278"/>
      <c r="X274" s="1563"/>
      <c r="Y274" s="1278"/>
      <c r="Z274" s="1546"/>
      <c r="AA274" s="1278"/>
      <c r="AB274" s="795" t="s">
        <v>1686</v>
      </c>
      <c r="AC274" s="796" t="s">
        <v>2855</v>
      </c>
      <c r="AD274" s="797" t="s">
        <v>1514</v>
      </c>
      <c r="AE274" s="1253"/>
      <c r="AF274" s="1253"/>
      <c r="AG274" s="1253"/>
      <c r="AH274" s="942"/>
      <c r="AI274" s="1253"/>
      <c r="AJ274" s="1253"/>
      <c r="AK274" s="1253"/>
      <c r="AL274" s="1253"/>
      <c r="AM274" s="1253"/>
      <c r="AN274" s="1253"/>
      <c r="AO274" s="1253"/>
      <c r="AP274" s="1253"/>
      <c r="AQ274" s="1253"/>
      <c r="AR274" s="1253"/>
      <c r="AS274" s="1253"/>
      <c r="AT274" s="1253"/>
      <c r="AU274" s="1253"/>
      <c r="AV274" s="1253"/>
      <c r="AW274" s="1253"/>
      <c r="AX274" s="1253"/>
      <c r="AY274" s="1253"/>
      <c r="AZ274" s="1253"/>
      <c r="BA274" s="1253"/>
      <c r="BB274" s="1253"/>
      <c r="BC274" s="1253"/>
      <c r="BD274" s="942"/>
      <c r="BE274" s="942"/>
      <c r="BF274" s="942"/>
      <c r="BG274" s="942"/>
      <c r="BH274" s="942"/>
      <c r="BI274" s="942"/>
      <c r="BJ274" s="942"/>
      <c r="BK274" s="942"/>
      <c r="BL274" s="942"/>
      <c r="BM274" s="942"/>
      <c r="BN274" s="1251"/>
      <c r="BO274" s="1251"/>
      <c r="BP274" s="1251"/>
      <c r="BQ274" s="1278"/>
      <c r="BR274" s="1278"/>
      <c r="BS274" s="1064" t="s">
        <v>2856</v>
      </c>
      <c r="BT274" s="1064"/>
      <c r="BU274" s="1064"/>
      <c r="BV274" s="979"/>
      <c r="BW274" s="979"/>
    </row>
    <row s="1834" customFormat="1" customHeight="1" ht="14.25" hidden="1">
      <c r="A275" s="1278"/>
      <c r="B275" s="975" cm="1" t="str">
        <f t="array" ref="B275:B275">B274</f>
        <v>false</v>
      </c>
      <c r="C275" s="1278"/>
      <c r="D275" s="1278"/>
      <c r="E275" s="703">
        <v>15</v>
      </c>
      <c r="F275" s="50" cm="1" t="str">
        <f t="array" ref="F275:F275">OFFSET(E275,-1,1)</f>
        <v>1</v>
      </c>
      <c r="G275" s="1278"/>
      <c r="H275" s="1278"/>
      <c r="I275" s="1278"/>
      <c r="J275" s="1278"/>
      <c r="K275" s="107" t="s">
        <v>2857</v>
      </c>
      <c r="L275" s="980"/>
      <c r="M275" s="107"/>
      <c r="N275" s="1278"/>
      <c r="O275" s="1278"/>
      <c r="P275" s="1278"/>
      <c r="Q275" s="1278"/>
      <c r="R275" s="1278"/>
      <c r="S275" s="1278"/>
      <c r="T275" s="465" cm="1" t="str">
        <f t="array" ref="T275:T275">T274</f>
        <v>true</v>
      </c>
      <c r="U275" s="1278"/>
      <c r="V275" s="1278"/>
      <c r="W275" s="1278"/>
      <c r="X275" s="1563"/>
      <c r="Y275" s="1278"/>
      <c r="Z275" s="1546"/>
      <c r="AA275" s="1278"/>
      <c r="AB275" s="795" t="s">
        <v>2858</v>
      </c>
      <c r="AC275" s="798" t="s">
        <v>2859</v>
      </c>
      <c r="AD275" s="797" t="s">
        <v>1170</v>
      </c>
      <c r="AE275" s="1253"/>
      <c r="AF275" s="1253"/>
      <c r="AG275" s="1253"/>
      <c r="AH275" s="942"/>
      <c r="AI275" s="1253"/>
      <c r="AJ275" s="1253"/>
      <c r="AK275" s="1253"/>
      <c r="AL275" s="1253"/>
      <c r="AM275" s="1253"/>
      <c r="AN275" s="1253"/>
      <c r="AO275" s="1253"/>
      <c r="AP275" s="1253"/>
      <c r="AQ275" s="1253"/>
      <c r="AR275" s="1253"/>
      <c r="AS275" s="1253"/>
      <c r="AT275" s="1253"/>
      <c r="AU275" s="1253"/>
      <c r="AV275" s="1253"/>
      <c r="AW275" s="1253"/>
      <c r="AX275" s="1253"/>
      <c r="AY275" s="1253"/>
      <c r="AZ275" s="1253"/>
      <c r="BA275" s="1253"/>
      <c r="BB275" s="1253"/>
      <c r="BC275" s="1253"/>
      <c r="BD275" s="942"/>
      <c r="BE275" s="942"/>
      <c r="BF275" s="942"/>
      <c r="BG275" s="942"/>
      <c r="BH275" s="942"/>
      <c r="BI275" s="942"/>
      <c r="BJ275" s="942"/>
      <c r="BK275" s="942"/>
      <c r="BL275" s="942"/>
      <c r="BM275" s="942"/>
      <c r="BN275" s="1251"/>
      <c r="BO275" s="1251"/>
      <c r="BP275" s="1251"/>
      <c r="BQ275" s="1278"/>
      <c r="BR275" s="1278"/>
      <c r="BS275" s="1064" t="s">
        <v>2860</v>
      </c>
      <c r="BT275" s="1064"/>
      <c r="BU275" s="1064"/>
      <c r="BV275" s="979"/>
      <c r="BW275" s="979"/>
    </row>
    <row s="1834" customFormat="1" customHeight="1" ht="14.25" hidden="1">
      <c r="A276" s="1278"/>
      <c r="B276" s="975" cm="1" t="str">
        <f t="array" ref="B276:B276">B275</f>
        <v>false</v>
      </c>
      <c r="C276" s="1278"/>
      <c r="D276" s="1278"/>
      <c r="E276" s="703">
        <v>15</v>
      </c>
      <c r="F276" s="50" cm="1" t="str">
        <f t="array" ref="F276:F276">OFFSET(E276,-1,1)</f>
        <v>1</v>
      </c>
      <c r="G276" s="1278"/>
      <c r="H276" s="1278"/>
      <c r="I276" s="1278"/>
      <c r="J276" s="1278"/>
      <c r="K276" s="107" t="s">
        <v>1688</v>
      </c>
      <c r="L276" s="980"/>
      <c r="M276" s="107"/>
      <c r="N276" s="1278"/>
      <c r="O276" s="1278"/>
      <c r="P276" s="1278"/>
      <c r="Q276" s="1278"/>
      <c r="R276" s="1278"/>
      <c r="S276" s="1278"/>
      <c r="T276" s="465" cm="1" t="str">
        <f t="array" ref="T276:T276">T275</f>
        <v>true</v>
      </c>
      <c r="U276" s="1278"/>
      <c r="V276" s="1278"/>
      <c r="W276" s="1278"/>
      <c r="X276" s="1563"/>
      <c r="Y276" s="1278"/>
      <c r="Z276" s="1546"/>
      <c r="AA276" s="1278"/>
      <c r="AB276" s="795" t="s">
        <v>1689</v>
      </c>
      <c r="AC276" s="796" t="s">
        <v>2861</v>
      </c>
      <c r="AD276" s="797" t="s">
        <v>1170</v>
      </c>
      <c r="AE276" s="1253"/>
      <c r="AF276" s="1253"/>
      <c r="AG276" s="1253"/>
      <c r="AH276" s="942"/>
      <c r="AI276" s="1253"/>
      <c r="AJ276" s="1253"/>
      <c r="AK276" s="1253"/>
      <c r="AL276" s="1253"/>
      <c r="AM276" s="1253"/>
      <c r="AN276" s="1253"/>
      <c r="AO276" s="1253"/>
      <c r="AP276" s="1253"/>
      <c r="AQ276" s="1253"/>
      <c r="AR276" s="1253"/>
      <c r="AS276" s="1253"/>
      <c r="AT276" s="1253"/>
      <c r="AU276" s="1253"/>
      <c r="AV276" s="1253"/>
      <c r="AW276" s="1253"/>
      <c r="AX276" s="1253"/>
      <c r="AY276" s="1253"/>
      <c r="AZ276" s="1253"/>
      <c r="BA276" s="1253"/>
      <c r="BB276" s="1253"/>
      <c r="BC276" s="1253"/>
      <c r="BD276" s="942"/>
      <c r="BE276" s="942"/>
      <c r="BF276" s="942"/>
      <c r="BG276" s="942"/>
      <c r="BH276" s="942"/>
      <c r="BI276" s="942"/>
      <c r="BJ276" s="942"/>
      <c r="BK276" s="942"/>
      <c r="BL276" s="942"/>
      <c r="BM276" s="942"/>
      <c r="BN276" s="1251"/>
      <c r="BO276" s="1251"/>
      <c r="BP276" s="1251"/>
      <c r="BQ276" s="1278"/>
      <c r="BR276" s="1278"/>
      <c r="BS276" s="1064" t="s">
        <v>2862</v>
      </c>
      <c r="BT276" s="1064"/>
      <c r="BU276" s="1064"/>
      <c r="BV276" s="979"/>
      <c r="BW276" s="979"/>
    </row>
    <row s="1834" customFormat="1" customHeight="1" ht="14.25" hidden="1">
      <c r="A277" s="1278"/>
      <c r="B277" s="975" cm="1" t="str">
        <f t="array" ref="B277:B277">B276</f>
        <v>false</v>
      </c>
      <c r="C277" s="1278"/>
      <c r="D277" s="1278"/>
      <c r="E277" s="703">
        <v>15</v>
      </c>
      <c r="F277" s="50" cm="1" t="str">
        <f t="array" ref="F277:F277">OFFSET(E277,-1,1)</f>
        <v>1</v>
      </c>
      <c r="G277" s="1278"/>
      <c r="H277" s="1278"/>
      <c r="I277" s="1278"/>
      <c r="J277" s="1278"/>
      <c r="K277" s="107" t="s">
        <v>2863</v>
      </c>
      <c r="L277" s="980"/>
      <c r="M277" s="107"/>
      <c r="N277" s="1278"/>
      <c r="O277" s="1278"/>
      <c r="P277" s="1278"/>
      <c r="Q277" s="1278"/>
      <c r="R277" s="1278"/>
      <c r="S277" s="1278"/>
      <c r="T277" s="465" cm="1" t="str">
        <f t="array" ref="T277:T277">T276</f>
        <v>true</v>
      </c>
      <c r="U277" s="1278"/>
      <c r="V277" s="1278"/>
      <c r="W277" s="1278"/>
      <c r="X277" s="1563"/>
      <c r="Y277" s="1278"/>
      <c r="Z277" s="1546"/>
      <c r="AA277" s="1278"/>
      <c r="AB277" s="795" t="s">
        <v>2864</v>
      </c>
      <c r="AC277" s="798" t="s">
        <v>2865</v>
      </c>
      <c r="AD277" s="797" t="s">
        <v>1170</v>
      </c>
      <c r="AE277" s="1253"/>
      <c r="AF277" s="1253"/>
      <c r="AG277" s="1253"/>
      <c r="AH277" s="942"/>
      <c r="AI277" s="1253"/>
      <c r="AJ277" s="1253"/>
      <c r="AK277" s="1253"/>
      <c r="AL277" s="1253"/>
      <c r="AM277" s="1253"/>
      <c r="AN277" s="1253"/>
      <c r="AO277" s="1253"/>
      <c r="AP277" s="1253"/>
      <c r="AQ277" s="1253"/>
      <c r="AR277" s="1253"/>
      <c r="AS277" s="1253"/>
      <c r="AT277" s="1253"/>
      <c r="AU277" s="1253"/>
      <c r="AV277" s="1253"/>
      <c r="AW277" s="1253"/>
      <c r="AX277" s="1253"/>
      <c r="AY277" s="1253"/>
      <c r="AZ277" s="1253"/>
      <c r="BA277" s="1253"/>
      <c r="BB277" s="1253"/>
      <c r="BC277" s="1253"/>
      <c r="BD277" s="942"/>
      <c r="BE277" s="942"/>
      <c r="BF277" s="942"/>
      <c r="BG277" s="942"/>
      <c r="BH277" s="942"/>
      <c r="BI277" s="942"/>
      <c r="BJ277" s="942"/>
      <c r="BK277" s="942"/>
      <c r="BL277" s="942"/>
      <c r="BM277" s="942"/>
      <c r="BN277" s="1251"/>
      <c r="BO277" s="1251"/>
      <c r="BP277" s="1251"/>
      <c r="BQ277" s="1278"/>
      <c r="BR277" s="1278"/>
      <c r="BS277" s="1064" t="s">
        <v>2866</v>
      </c>
      <c r="BT277" s="1064"/>
      <c r="BU277" s="1064"/>
      <c r="BV277" s="979"/>
      <c r="BW277" s="979"/>
    </row>
    <row s="1834" customFormat="1" customHeight="1" ht="14.25" hidden="1">
      <c r="A278" s="1278"/>
      <c r="B278" s="975" cm="1" t="str">
        <f t="array" ref="B278:B278">B277</f>
        <v>false</v>
      </c>
      <c r="C278" s="1278"/>
      <c r="D278" s="1278"/>
      <c r="E278" s="703">
        <v>15</v>
      </c>
      <c r="F278" s="50" cm="1" t="str">
        <f t="array" ref="F278:F278">OFFSET(E278,-1,1)</f>
        <v>1</v>
      </c>
      <c r="G278" s="1278"/>
      <c r="H278" s="1278"/>
      <c r="I278" s="1278"/>
      <c r="J278" s="1278"/>
      <c r="K278" s="107" t="s">
        <v>2867</v>
      </c>
      <c r="L278" s="980"/>
      <c r="M278" s="107"/>
      <c r="N278" s="1278"/>
      <c r="O278" s="1278"/>
      <c r="P278" s="1278"/>
      <c r="Q278" s="1278"/>
      <c r="R278" s="1278"/>
      <c r="S278" s="1278"/>
      <c r="T278" s="465" cm="1" t="str">
        <f t="array" ref="T278:T278">T277</f>
        <v>true</v>
      </c>
      <c r="U278" s="1278"/>
      <c r="V278" s="1278"/>
      <c r="W278" s="1278"/>
      <c r="X278" s="1563"/>
      <c r="Y278" s="1278"/>
      <c r="Z278" s="1546"/>
      <c r="AA278" s="1278"/>
      <c r="AB278" s="795" t="s">
        <v>2868</v>
      </c>
      <c r="AC278" s="798" t="s">
        <v>2869</v>
      </c>
      <c r="AD278" s="797" t="s">
        <v>1170</v>
      </c>
      <c r="AE278" s="1253"/>
      <c r="AF278" s="1253"/>
      <c r="AG278" s="1253"/>
      <c r="AH278" s="942"/>
      <c r="AI278" s="1253"/>
      <c r="AJ278" s="1253"/>
      <c r="AK278" s="1253"/>
      <c r="AL278" s="1253"/>
      <c r="AM278" s="1253"/>
      <c r="AN278" s="1253"/>
      <c r="AO278" s="1253"/>
      <c r="AP278" s="1253"/>
      <c r="AQ278" s="1253"/>
      <c r="AR278" s="1253"/>
      <c r="AS278" s="1253"/>
      <c r="AT278" s="1253"/>
      <c r="AU278" s="1253"/>
      <c r="AV278" s="1253"/>
      <c r="AW278" s="1253"/>
      <c r="AX278" s="1253"/>
      <c r="AY278" s="1253"/>
      <c r="AZ278" s="1253"/>
      <c r="BA278" s="1253"/>
      <c r="BB278" s="1253"/>
      <c r="BC278" s="1253"/>
      <c r="BD278" s="942"/>
      <c r="BE278" s="942"/>
      <c r="BF278" s="942"/>
      <c r="BG278" s="942"/>
      <c r="BH278" s="942"/>
      <c r="BI278" s="942"/>
      <c r="BJ278" s="942"/>
      <c r="BK278" s="942"/>
      <c r="BL278" s="942"/>
      <c r="BM278" s="942"/>
      <c r="BN278" s="1251"/>
      <c r="BO278" s="1251"/>
      <c r="BP278" s="1251"/>
      <c r="BQ278" s="1278"/>
      <c r="BR278" s="1278"/>
      <c r="BS278" s="1064" t="s">
        <v>2870</v>
      </c>
      <c r="BT278" s="1064"/>
      <c r="BU278" s="1064"/>
      <c r="BV278" s="979"/>
      <c r="BW278" s="979"/>
    </row>
    <row s="7781" customFormat="1" customHeight="1" ht="20.25">
      <c r="A279" s="700"/>
      <c r="B279" s="435"/>
      <c r="C279" s="700"/>
      <c r="D279" s="109" t="str">
        <f>IF(B278,"6","7")</f>
        <v>7</v>
      </c>
      <c r="E279" s="707">
        <v>21</v>
      </c>
      <c r="F279" s="50" cm="1" t="str">
        <f t="array" ref="F279:F279">OFFSET(E279,-1,1)</f>
        <v>1</v>
      </c>
      <c r="G279" s="158" t="s">
        <v>2871</v>
      </c>
      <c r="H279" s="158"/>
      <c r="I279" s="380" t="s">
        <v>2872</v>
      </c>
      <c r="J279" s="700"/>
      <c r="K279" s="380" t="s">
        <v>2872</v>
      </c>
      <c r="L279" s="985"/>
      <c r="M279" s="109"/>
      <c r="N279" s="700"/>
      <c r="O279" s="700"/>
      <c r="P279" s="700"/>
      <c r="Q279" s="700"/>
      <c r="R279" s="700"/>
      <c r="S279" s="700"/>
      <c r="T279" s="465" cm="1" t="str">
        <f t="array" ref="T279:T279">T278</f>
        <v>true</v>
      </c>
      <c r="U279" s="700"/>
      <c r="V279" s="700"/>
      <c r="W279" s="700"/>
      <c r="X279" s="1563"/>
      <c r="Y279" s="700"/>
      <c r="Z279" s="1546"/>
      <c r="AA279" s="700"/>
      <c r="AB279" s="211" cm="1" t="str">
        <f t="array" ref="AB279:AB279">D279</f>
        <v>7</v>
      </c>
      <c r="AC279" s="219" t="s">
        <v>2323</v>
      </c>
      <c r="AD279" s="211" t="s">
        <v>1514</v>
      </c>
      <c r="AE279" s="7432"/>
      <c r="AF279" s="7432"/>
      <c r="AG279" s="7432"/>
      <c r="AH279" s="761">
        <f>AG279-AF279</f>
        <v>0</v>
      </c>
      <c r="AI279" s="7719"/>
      <c r="AJ279" s="7782">
        <f>_xlfn.SUMIFS('Корректировка НВВ'!$AF$25:$AF$282,'Корректировка НВВ'!$F$25:$F$282,$F279,'Корректировка НВВ'!$I$25:$I$282,$G279)</f>
        <v>0</v>
      </c>
      <c r="AK279" s="7719"/>
      <c r="AL279" s="7719"/>
      <c r="AM279" s="7719"/>
      <c r="AN279" s="7719"/>
      <c r="AO279" s="1246"/>
      <c r="AP279" s="1246"/>
      <c r="AQ279" s="1246"/>
      <c r="AR279" s="1246"/>
      <c r="AS279" s="1246"/>
      <c r="AT279" s="7782">
        <f>_xlfn.SUMIFS('Корректировка НВВ'!$AG$25:$AG$282,'Корректировка НВВ'!$F$25:$F$282,$F279,'Корректировка НВВ'!$I$25:$I$282,$G279)</f>
        <v>0</v>
      </c>
      <c r="AU279" s="7719"/>
      <c r="AV279" s="7719"/>
      <c r="AW279" s="7719"/>
      <c r="AX279" s="7719"/>
      <c r="AY279" s="1246"/>
      <c r="AZ279" s="1246"/>
      <c r="BA279" s="1246"/>
      <c r="BB279" s="1246"/>
      <c r="BC279" s="1246"/>
      <c r="BD279" s="761">
        <f>IF(AI279=0,0,(AT279-AI279)/AI279*100)</f>
        <v>0</v>
      </c>
      <c r="BE279" s="761">
        <f>IF(AT279=0,0,(AU279-AT279)/AT279*100)</f>
        <v>0</v>
      </c>
      <c r="BF279" s="761">
        <f>IF(AU279=0,0,(AV279-AU279)/AU279*100)</f>
        <v>0</v>
      </c>
      <c r="BG279" s="761">
        <f>IF(AV279=0,0,(AW279-AV279)/AV279*100)</f>
        <v>0</v>
      </c>
      <c r="BH279" s="761">
        <f>IF(AW279=0,0,(AX279-AW279)/AW279*100)</f>
        <v>0</v>
      </c>
      <c r="BI279" s="761">
        <f>IF(AX279=0,0,(AY279-AX279)/AX279*100)</f>
        <v>0</v>
      </c>
      <c r="BJ279" s="761">
        <f>IF(AY279=0,0,(AZ279-AY279)/AY279*100)</f>
        <v>0</v>
      </c>
      <c r="BK279" s="761">
        <f>IF(AZ279=0,0,(BA279-AZ279)/AZ279*100)</f>
        <v>0</v>
      </c>
      <c r="BL279" s="761">
        <f>IF(BA279=0,0,(BB279-BA279)/BA279*100)</f>
        <v>0</v>
      </c>
      <c r="BM279" s="761">
        <f>IF(BB279=0,0,(BC279-BB279)/BB279*100)</f>
        <v>0</v>
      </c>
      <c r="BN279" s="7436"/>
      <c r="BO279" s="7724" t="str">
        <f>IF(_xlfn.IFERROR(INDEX('Корректировка НВВ'!$K$26:$L$282,MATCH($F279&amp;"11komm",'Корректировка НВВ'!$K$26:$K$282,0),2),"")=0,"",_xlfn.IFERROR(INDEX('Корректировка НВВ'!$K$26:$L$282,MATCH($F279&amp;"11komm",'Корректировка НВВ'!$K$26:$K$282,0),2),""))</f>
        <v/>
      </c>
      <c r="BP279" s="7436"/>
      <c r="BQ279" s="700"/>
      <c r="BR279" s="700"/>
      <c r="BS279" s="1070" t="s">
        <v>2873</v>
      </c>
      <c r="BT279" s="1070"/>
      <c r="BU279" s="1070"/>
      <c r="BV279" s="707"/>
      <c r="BW279" s="707"/>
    </row>
    <row s="1834" customFormat="1" customHeight="1" ht="14.25">
      <c r="A280" s="1278"/>
      <c r="B280" s="978"/>
      <c r="C280" s="1278"/>
      <c r="D280" s="107" cm="1" t="str">
        <f t="array" ref="D280:D280">D279</f>
        <v>7</v>
      </c>
      <c r="E280" s="703">
        <v>15</v>
      </c>
      <c r="F280" s="50" cm="1" t="str">
        <f t="array" ref="F280:F280">OFFSET(E280,-1,1)</f>
        <v>1</v>
      </c>
      <c r="G280" s="1278"/>
      <c r="H280" s="1278"/>
      <c r="I280" s="1278"/>
      <c r="J280" s="1278"/>
      <c r="K280" s="1278"/>
      <c r="L280" s="980"/>
      <c r="M280" s="107"/>
      <c r="N280" s="1278"/>
      <c r="O280" s="1278"/>
      <c r="P280" s="1278"/>
      <c r="Q280" s="1278"/>
      <c r="R280" s="1278"/>
      <c r="S280" s="1278"/>
      <c r="T280" s="465" cm="1" t="str">
        <f t="array" ref="T280:T280">T279</f>
        <v>true</v>
      </c>
      <c r="U280" s="1278"/>
      <c r="V280" s="1278"/>
      <c r="W280" s="1278"/>
      <c r="X280" s="1563"/>
      <c r="Y280" s="1278"/>
      <c r="Z280" s="1546"/>
      <c r="AA280" s="1278"/>
      <c r="AB280" s="300"/>
      <c r="AC280" s="452" t="s">
        <v>2874</v>
      </c>
      <c r="AD280" s="300"/>
      <c r="AE280" s="945"/>
      <c r="AF280" s="945"/>
      <c r="AG280" s="945"/>
      <c r="AH280" s="942"/>
      <c r="AI280" s="942"/>
      <c r="AJ280" s="942"/>
      <c r="AK280" s="942"/>
      <c r="AL280" s="942"/>
      <c r="AM280" s="942"/>
      <c r="AN280" s="942"/>
      <c r="AO280" s="942"/>
      <c r="AP280" s="942"/>
      <c r="AQ280" s="942"/>
      <c r="AR280" s="942"/>
      <c r="AS280" s="942"/>
      <c r="AT280" s="942"/>
      <c r="AU280" s="942"/>
      <c r="AV280" s="942"/>
      <c r="AW280" s="942"/>
      <c r="AX280" s="942"/>
      <c r="AY280" s="942"/>
      <c r="AZ280" s="942"/>
      <c r="BA280" s="942"/>
      <c r="BB280" s="942"/>
      <c r="BC280" s="942"/>
      <c r="BD280" s="942"/>
      <c r="BE280" s="942"/>
      <c r="BF280" s="942"/>
      <c r="BG280" s="942"/>
      <c r="BH280" s="942"/>
      <c r="BI280" s="942"/>
      <c r="BJ280" s="942"/>
      <c r="BK280" s="942"/>
      <c r="BL280" s="942"/>
      <c r="BM280" s="942"/>
      <c r="BN280" s="526"/>
      <c r="BO280" s="526"/>
      <c r="BP280" s="526"/>
      <c r="BQ280" s="1278"/>
      <c r="BR280" s="1278"/>
      <c r="BS280" s="1064"/>
      <c r="BT280" s="1064"/>
      <c r="BU280" s="1064"/>
      <c r="BV280" s="979"/>
      <c r="BW280" s="979"/>
    </row>
    <row s="1834" customFormat="1" customHeight="1" ht="21.75">
      <c r="A281" s="1278"/>
      <c r="B281" s="978"/>
      <c r="C281" s="1278"/>
      <c r="D281" s="107" cm="1" t="str">
        <f t="array" ref="D281:D281">D280</f>
        <v>7</v>
      </c>
      <c r="E281" s="703">
        <v>22.5</v>
      </c>
      <c r="F281" s="50" cm="1" t="str">
        <f t="array" ref="F281:F281">OFFSET(E281,-1,1)</f>
        <v>1</v>
      </c>
      <c r="G281" s="158" t="s">
        <v>375</v>
      </c>
      <c r="H281" s="1278"/>
      <c r="I281" s="158" t="s">
        <v>1228</v>
      </c>
      <c r="J281" s="1278"/>
      <c r="K281" s="158" t="s">
        <v>1228</v>
      </c>
      <c r="L281" s="980"/>
      <c r="M281" s="107"/>
      <c r="N281" s="1278"/>
      <c r="O281" s="1278"/>
      <c r="P281" s="1278"/>
      <c r="Q281" s="1278"/>
      <c r="R281" s="1278"/>
      <c r="S281" s="1278"/>
      <c r="T281" s="465" cm="1" t="str">
        <f t="array" ref="T281:T281">T280</f>
        <v>true</v>
      </c>
      <c r="U281" s="1278"/>
      <c r="V281" s="1278"/>
      <c r="W281" s="1278"/>
      <c r="X281" s="1563"/>
      <c r="Y281" s="1278"/>
      <c r="Z281" s="1546"/>
      <c r="AA281" s="1278"/>
      <c r="AB281" s="300" t="str">
        <f>D281&amp;".1"</f>
        <v>7.1</v>
      </c>
      <c r="AC281" s="762" t="s">
        <v>2875</v>
      </c>
      <c r="AD281" s="300" t="s">
        <v>1514</v>
      </c>
      <c r="AE281" s="7773"/>
      <c r="AF281" s="7773"/>
      <c r="AG281" s="7773"/>
      <c r="AH281" s="943">
        <f>AG281-AF281</f>
        <v>0</v>
      </c>
      <c r="AI281" s="7723"/>
      <c r="AJ281" s="7723">
        <f>_xlfn.SUMIFS('Корректировка НВВ'!$AF$25:$AF$282,'Корректировка НВВ'!$F$25:$F$282,$F281,'Корректировка НВВ'!$I$25:$I$282,$G281)</f>
        <v>0</v>
      </c>
      <c r="AK281" s="7723"/>
      <c r="AL281" s="7723"/>
      <c r="AM281" s="7723"/>
      <c r="AN281" s="7723"/>
      <c r="AO281" s="1253"/>
      <c r="AP281" s="1253"/>
      <c r="AQ281" s="1253"/>
      <c r="AR281" s="1253"/>
      <c r="AS281" s="1253"/>
      <c r="AT281" s="7723">
        <f>_xlfn.SUMIFS('Корректировка НВВ'!$AG$25:$AG$282,'Корректировка НВВ'!$F$25:$F$282,$F281,'Корректировка НВВ'!$I$25:$I$282,$G281)</f>
        <v>0</v>
      </c>
      <c r="AU281" s="7723"/>
      <c r="AV281" s="7723"/>
      <c r="AW281" s="7723"/>
      <c r="AX281" s="7723"/>
      <c r="AY281" s="1253"/>
      <c r="AZ281" s="1253"/>
      <c r="BA281" s="1253"/>
      <c r="BB281" s="1253"/>
      <c r="BC281" s="1253"/>
      <c r="BD281" s="942"/>
      <c r="BE281" s="942"/>
      <c r="BF281" s="942"/>
      <c r="BG281" s="942"/>
      <c r="BH281" s="942"/>
      <c r="BI281" s="942"/>
      <c r="BJ281" s="942"/>
      <c r="BK281" s="942"/>
      <c r="BL281" s="942"/>
      <c r="BM281" s="942"/>
      <c r="BN281" s="7771"/>
      <c r="BO281" s="7724" t="str">
        <f>IF(_xlfn.IFERROR(INDEX('Корректировка НВВ'!$K$26:$L$282,MATCH($F281&amp;"1komm",'Корректировка НВВ'!$K$26:$K$282,0),2),"")=0,"",_xlfn.IFERROR(INDEX('Корректировка НВВ'!$K$26:$L$282,MATCH($F281&amp;"1komm",'Корректировка НВВ'!$K$26:$K$282,0),2),""))</f>
        <v/>
      </c>
      <c r="BP281" s="7771"/>
      <c r="BQ281" s="1278"/>
      <c r="BR281" s="1278"/>
      <c r="BS281" s="1064" t="s">
        <v>2876</v>
      </c>
      <c r="BT281" s="1064"/>
      <c r="BU281" s="1064"/>
      <c r="BV281" s="979"/>
      <c r="BW281" s="979"/>
    </row>
    <row s="1834" customFormat="1" customHeight="1" ht="98.25">
      <c r="A282" s="1278"/>
      <c r="B282" s="978"/>
      <c r="C282" s="1278"/>
      <c r="D282" s="107" cm="1" t="str">
        <f t="array" ref="D282:D282">D281</f>
        <v>7</v>
      </c>
      <c r="E282" s="703">
        <v>101.25</v>
      </c>
      <c r="F282" s="50" cm="1" t="str">
        <f t="array" ref="F282:F282">OFFSET(E282,-1,1)</f>
        <v>1</v>
      </c>
      <c r="G282" s="158" t="s">
        <v>2877</v>
      </c>
      <c r="H282" s="1278"/>
      <c r="I282" s="158" t="s">
        <v>1275</v>
      </c>
      <c r="J282" s="1278"/>
      <c r="K282" s="158" t="s">
        <v>1275</v>
      </c>
      <c r="L282" s="980"/>
      <c r="M282" s="107"/>
      <c r="N282" s="1278"/>
      <c r="O282" s="1278"/>
      <c r="P282" s="1278"/>
      <c r="Q282" s="1278"/>
      <c r="R282" s="1278"/>
      <c r="S282" s="1278"/>
      <c r="T282" s="465" cm="1" t="str">
        <f t="array" ref="T282:T282">T281</f>
        <v>true</v>
      </c>
      <c r="U282" s="1278"/>
      <c r="V282" s="1278"/>
      <c r="W282" s="1278"/>
      <c r="X282" s="1563"/>
      <c r="Y282" s="1278"/>
      <c r="Z282" s="1546"/>
      <c r="AA282" s="1278"/>
      <c r="AB282" s="300" t="str">
        <f>D282&amp;".2"</f>
        <v>7.2</v>
      </c>
      <c r="AC282" s="762" t="s">
        <v>2878</v>
      </c>
      <c r="AD282" s="300" t="s">
        <v>1514</v>
      </c>
      <c r="AE282" s="7773"/>
      <c r="AF282" s="7773"/>
      <c r="AG282" s="7773"/>
      <c r="AH282" s="943">
        <f>AG282-AF282</f>
        <v>0</v>
      </c>
      <c r="AI282" s="7723"/>
      <c r="AJ282" s="7723">
        <f>_xlfn.SUMIFS('Корректировка НВВ'!$AF$25:$AF$282,'Корректировка НВВ'!$F$25:$F$282,$F282,'Корректировка НВВ'!$I$25:$I$282,$G282)</f>
        <v>0</v>
      </c>
      <c r="AK282" s="7723"/>
      <c r="AL282" s="7723"/>
      <c r="AM282" s="7723"/>
      <c r="AN282" s="7723"/>
      <c r="AO282" s="1253"/>
      <c r="AP282" s="1253"/>
      <c r="AQ282" s="1253"/>
      <c r="AR282" s="1253"/>
      <c r="AS282" s="1253"/>
      <c r="AT282" s="7723">
        <f>_xlfn.SUMIFS('Корректировка НВВ'!$AG$25:$AG$282,'Корректировка НВВ'!$F$25:$F$282,$F282,'Корректировка НВВ'!$I$25:$I$282,$G282)</f>
        <v>0</v>
      </c>
      <c r="AU282" s="7723"/>
      <c r="AV282" s="7723"/>
      <c r="AW282" s="7723"/>
      <c r="AX282" s="7723"/>
      <c r="AY282" s="1253"/>
      <c r="AZ282" s="1253"/>
      <c r="BA282" s="1253"/>
      <c r="BB282" s="1253"/>
      <c r="BC282" s="1253"/>
      <c r="BD282" s="942"/>
      <c r="BE282" s="942"/>
      <c r="BF282" s="942"/>
      <c r="BG282" s="942"/>
      <c r="BH282" s="942"/>
      <c r="BI282" s="942"/>
      <c r="BJ282" s="942"/>
      <c r="BK282" s="942"/>
      <c r="BL282" s="942"/>
      <c r="BM282" s="942"/>
      <c r="BN282" s="7771"/>
      <c r="BO282" s="7724" t="str">
        <f>IF(_xlfn.IFERROR(INDEX('Корректировка НВВ'!$K$26:$L$282,MATCH($F282&amp;"2komm",'Корректировка НВВ'!$K$26:$K$282,0),2),"")=0,"",_xlfn.IFERROR(INDEX('Корректировка НВВ'!$K$26:$L$282,MATCH($F282&amp;"2komm",'Корректировка НВВ'!$K$26:$K$282,0),2),""))</f>
        <v/>
      </c>
      <c r="BP282" s="7771"/>
      <c r="BQ282" s="1278"/>
      <c r="BR282" s="1278"/>
      <c r="BS282" s="1064" t="s">
        <v>2879</v>
      </c>
      <c r="BT282" s="1064"/>
      <c r="BU282" s="1064"/>
      <c r="BV282" s="979"/>
      <c r="BW282" s="979"/>
    </row>
    <row s="1834" customFormat="1" customHeight="1" ht="43.5">
      <c r="A283" s="1278"/>
      <c r="B283" s="978"/>
      <c r="C283" s="1278"/>
      <c r="D283" s="107" cm="1" t="str">
        <f t="array" ref="D283:D283">D282</f>
        <v>7</v>
      </c>
      <c r="E283" s="703">
        <v>45</v>
      </c>
      <c r="F283" s="50" cm="1" t="str">
        <f t="array" ref="F283:F283">OFFSET(E283,-1,1)</f>
        <v>1</v>
      </c>
      <c r="G283" s="1278"/>
      <c r="H283" s="1278"/>
      <c r="I283" s="158" t="s">
        <v>1290</v>
      </c>
      <c r="J283" s="1278"/>
      <c r="K283" s="158" t="s">
        <v>1290</v>
      </c>
      <c r="L283" s="980"/>
      <c r="M283" s="107"/>
      <c r="N283" s="1278"/>
      <c r="O283" s="1278"/>
      <c r="P283" s="1278"/>
      <c r="Q283" s="1278"/>
      <c r="R283" s="1278"/>
      <c r="S283" s="1278"/>
      <c r="T283" s="465" cm="1" t="str">
        <f t="array" ref="T283:T283">T282</f>
        <v>true</v>
      </c>
      <c r="U283" s="1278"/>
      <c r="V283" s="1278"/>
      <c r="W283" s="1278"/>
      <c r="X283" s="1563"/>
      <c r="Y283" s="1278"/>
      <c r="Z283" s="1546"/>
      <c r="AA283" s="1278"/>
      <c r="AB283" s="300" t="str">
        <f>D283&amp;".3"</f>
        <v>7.3</v>
      </c>
      <c r="AC283" s="762" t="s">
        <v>2880</v>
      </c>
      <c r="AD283" s="300" t="s">
        <v>1514</v>
      </c>
      <c r="AE283" s="7773"/>
      <c r="AF283" s="7773"/>
      <c r="AG283" s="7773"/>
      <c r="AH283" s="943">
        <f>AG283-AF283</f>
        <v>0</v>
      </c>
      <c r="AI283" s="7723"/>
      <c r="AJ283" s="7723">
        <f>_xlfn.SUMIFS('Корректировка НВВ'!$AF$25:$AF$282,'Корректировка НВВ'!$F$25:$F$282,$F283,'Корректировка НВВ'!$I$25:$I$282,"L1")+_xlfn.SUMIFS('Корректировка НВВ'!$AF$25:$AF$282,'Корректировка НВВ'!$F$25:$F$282,$F283,'Корректировка НВВ'!$I$25:$I$282,"L2")</f>
        <v>0</v>
      </c>
      <c r="AK283" s="7723"/>
      <c r="AL283" s="7723"/>
      <c r="AM283" s="7723"/>
      <c r="AN283" s="7723"/>
      <c r="AO283" s="1253"/>
      <c r="AP283" s="1253"/>
      <c r="AQ283" s="1253"/>
      <c r="AR283" s="1253"/>
      <c r="AS283" s="1253"/>
      <c r="AT283" s="7723">
        <f>_xlfn.SUMIFS('Корректировка НВВ'!$AG$25:$AG$282,'Корректировка НВВ'!$F$25:$F$282,$F283,'Корректировка НВВ'!$I$25:$I$282,"L1")+_xlfn.SUMIFS('Корректировка НВВ'!$AF$25:$AF$282,'Корректировка НВВ'!$F$25:$F$282,$F283,'Корректировка НВВ'!$I$25:$I$282,"L2")</f>
        <v>0</v>
      </c>
      <c r="AU283" s="7723"/>
      <c r="AV283" s="7723"/>
      <c r="AW283" s="7723"/>
      <c r="AX283" s="7723"/>
      <c r="AY283" s="1253"/>
      <c r="AZ283" s="1253"/>
      <c r="BA283" s="1253"/>
      <c r="BB283" s="1253"/>
      <c r="BC283" s="1253"/>
      <c r="BD283" s="942"/>
      <c r="BE283" s="942"/>
      <c r="BF283" s="942"/>
      <c r="BG283" s="942"/>
      <c r="BH283" s="942"/>
      <c r="BI283" s="942"/>
      <c r="BJ283" s="942"/>
      <c r="BK283" s="942"/>
      <c r="BL283" s="942"/>
      <c r="BM283" s="942"/>
      <c r="BN283" s="7771"/>
      <c r="BO283" s="7724"/>
      <c r="BP283" s="7771"/>
      <c r="BQ283" s="1278"/>
      <c r="BR283" s="1278"/>
      <c r="BS283" s="1064" t="s">
        <v>2881</v>
      </c>
      <c r="BT283" s="1064"/>
      <c r="BU283" s="1064"/>
      <c r="BV283" s="979"/>
      <c r="BW283" s="979"/>
    </row>
    <row s="1834" customFormat="1" customHeight="1" ht="87.75" hidden="1">
      <c r="A284" s="1278"/>
      <c r="B284" s="445">
        <f>S171="Водоотведение"</f>
        <v>0</v>
      </c>
      <c r="C284" s="1278"/>
      <c r="D284" s="107" cm="1" t="str">
        <f t="array" ref="D284:D284">D283</f>
        <v>7</v>
      </c>
      <c r="E284" s="703">
        <v>90</v>
      </c>
      <c r="F284" s="50" cm="1" t="str">
        <f t="array" ref="F284:F284">OFFSET(E284,-1,1)</f>
        <v>1</v>
      </c>
      <c r="G284" s="158" t="s">
        <v>2882</v>
      </c>
      <c r="H284" s="49"/>
      <c r="I284" s="158" t="s">
        <v>1456</v>
      </c>
      <c r="J284" s="1278"/>
      <c r="K284" s="158" t="s">
        <v>1456</v>
      </c>
      <c r="L284" s="980" t="s">
        <v>1454</v>
      </c>
      <c r="M284" s="107"/>
      <c r="N284" s="1278"/>
      <c r="O284" s="1278"/>
      <c r="P284" s="1278"/>
      <c r="Q284" s="1278"/>
      <c r="R284" s="1278"/>
      <c r="S284" s="1278"/>
      <c r="T284" s="465" cm="1" t="str">
        <f t="array" ref="T284:T284">T283</f>
        <v>true</v>
      </c>
      <c r="U284" s="1278"/>
      <c r="V284" s="1278"/>
      <c r="W284" s="1278"/>
      <c r="X284" s="1563"/>
      <c r="Y284" s="1278"/>
      <c r="Z284" s="1546"/>
      <c r="AA284" s="1278"/>
      <c r="AB284" s="300" t="str">
        <f>D284&amp;".4"</f>
        <v>7.4</v>
      </c>
      <c r="AC284" s="762" t="s">
        <v>2552</v>
      </c>
      <c r="AD284" s="766" t="s">
        <v>1514</v>
      </c>
      <c r="AE284" s="1255"/>
      <c r="AF284" s="1255"/>
      <c r="AG284" s="1255"/>
      <c r="AH284" s="943">
        <f>AG284-AF284</f>
        <v>0</v>
      </c>
      <c r="AI284" s="1253"/>
      <c r="AJ284" s="1253">
        <f>_xlfn.SUMIFS('Корректировка НВВ'!$AF$25:$AF$282,'Корректировка НВВ'!$F$25:$F$282,$F284,'Корректировка НВВ'!$I$25:$I$282,$G284)</f>
        <v>0</v>
      </c>
      <c r="AK284" s="1253"/>
      <c r="AL284" s="1253"/>
      <c r="AM284" s="1253"/>
      <c r="AN284" s="1253"/>
      <c r="AO284" s="1253"/>
      <c r="AP284" s="1253"/>
      <c r="AQ284" s="1253"/>
      <c r="AR284" s="1253"/>
      <c r="AS284" s="1253"/>
      <c r="AT284" s="1253">
        <f>_xlfn.SUMIFS('Корректировка НВВ'!$AG$25:$AG$282,'Корректировка НВВ'!$F$25:$F$282,$F284,'Корректировка НВВ'!$I$25:$I$282,$G284)</f>
        <v>0</v>
      </c>
      <c r="AU284" s="1253"/>
      <c r="AV284" s="1253"/>
      <c r="AW284" s="1253"/>
      <c r="AX284" s="1253"/>
      <c r="AY284" s="1253"/>
      <c r="AZ284" s="1253"/>
      <c r="BA284" s="1253"/>
      <c r="BB284" s="1253"/>
      <c r="BC284" s="1253"/>
      <c r="BD284" s="942"/>
      <c r="BE284" s="942"/>
      <c r="BF284" s="942"/>
      <c r="BG284" s="942"/>
      <c r="BH284" s="942"/>
      <c r="BI284" s="942"/>
      <c r="BJ284" s="942"/>
      <c r="BK284" s="942"/>
      <c r="BL284" s="942"/>
      <c r="BM284" s="942"/>
      <c r="BN284" s="1256"/>
      <c r="BO284" s="1254" t="str">
        <f>IF(_xlfn.IFERROR(INDEX('Корректировка НВВ'!$K$26:$L$282,MATCH($F284&amp;"3komm",'Корректировка НВВ'!$K$26:$K$282,0),2),"")=0,"",_xlfn.IFERROR(INDEX('Корректировка НВВ'!$K$26:$L$282,MATCH($F284&amp;"3komm",'Корректировка НВВ'!$K$26:$K$282,0),2),""))</f>
        <v/>
      </c>
      <c r="BP284" s="1256"/>
      <c r="BQ284" s="1278"/>
      <c r="BR284" s="1278"/>
      <c r="BS284" s="1064" t="s">
        <v>2098</v>
      </c>
      <c r="BT284" s="1064"/>
      <c r="BU284" s="1064"/>
      <c r="BV284" s="979"/>
      <c r="BW284" s="979"/>
    </row>
    <row s="1834" customFormat="1" customHeight="1" ht="54.75" hidden="1">
      <c r="A285" s="1278"/>
      <c r="B285" s="445" cm="1" t="str">
        <f t="array" ref="B285:B285">B284</f>
        <v>false</v>
      </c>
      <c r="C285" s="1278"/>
      <c r="D285" s="107" cm="1" t="str">
        <f t="array" ref="D285:D285">D284</f>
        <v>7</v>
      </c>
      <c r="E285" s="703">
        <v>56.25</v>
      </c>
      <c r="F285" s="50" cm="1" t="str">
        <f t="array" ref="F285:F285">OFFSET(E285,-1,1)</f>
        <v>1</v>
      </c>
      <c r="G285" s="158" t="s">
        <v>2883</v>
      </c>
      <c r="H285" s="49"/>
      <c r="I285" s="158" t="s">
        <v>1492</v>
      </c>
      <c r="J285" s="1278"/>
      <c r="K285" s="158" t="s">
        <v>1492</v>
      </c>
      <c r="L285" s="980" t="s">
        <v>1456</v>
      </c>
      <c r="M285" s="107"/>
      <c r="N285" s="1278"/>
      <c r="O285" s="1278"/>
      <c r="P285" s="1278"/>
      <c r="Q285" s="1278"/>
      <c r="R285" s="1278"/>
      <c r="S285" s="1278"/>
      <c r="T285" s="465" cm="1" t="str">
        <f t="array" ref="T285:T285">T284</f>
        <v>true</v>
      </c>
      <c r="U285" s="1278"/>
      <c r="V285" s="1278"/>
      <c r="W285" s="1278"/>
      <c r="X285" s="1563"/>
      <c r="Y285" s="1278"/>
      <c r="Z285" s="1546"/>
      <c r="AA285" s="1278"/>
      <c r="AB285" s="300" t="str">
        <f>D285&amp;".5"</f>
        <v>7.5</v>
      </c>
      <c r="AC285" s="762" t="s">
        <v>2553</v>
      </c>
      <c r="AD285" s="766" t="s">
        <v>1514</v>
      </c>
      <c r="AE285" s="1255"/>
      <c r="AF285" s="1255"/>
      <c r="AG285" s="1255"/>
      <c r="AH285" s="943">
        <f>AG285-AF285</f>
        <v>0</v>
      </c>
      <c r="AI285" s="1253"/>
      <c r="AJ285" s="1253">
        <f>_xlfn.SUMIFS('Корректировка НВВ'!$AF$25:$AF$282,'Корректировка НВВ'!$F$25:$F$282,$F285,'Корректировка НВВ'!$I$25:$I$282,$G285)</f>
        <v>0</v>
      </c>
      <c r="AK285" s="1253"/>
      <c r="AL285" s="1253"/>
      <c r="AM285" s="1253"/>
      <c r="AN285" s="1253"/>
      <c r="AO285" s="1253"/>
      <c r="AP285" s="1253"/>
      <c r="AQ285" s="1253"/>
      <c r="AR285" s="1253"/>
      <c r="AS285" s="1253"/>
      <c r="AT285" s="1253">
        <f>_xlfn.SUMIFS('Корректировка НВВ'!$AG$25:$AG$282,'Корректировка НВВ'!$F$25:$F$282,$F285,'Корректировка НВВ'!$I$25:$I$282,$G285)</f>
        <v>0</v>
      </c>
      <c r="AU285" s="1253"/>
      <c r="AV285" s="1253"/>
      <c r="AW285" s="1253"/>
      <c r="AX285" s="1253"/>
      <c r="AY285" s="1253"/>
      <c r="AZ285" s="1253"/>
      <c r="BA285" s="1253"/>
      <c r="BB285" s="1253"/>
      <c r="BC285" s="1253"/>
      <c r="BD285" s="942"/>
      <c r="BE285" s="942"/>
      <c r="BF285" s="942"/>
      <c r="BG285" s="942"/>
      <c r="BH285" s="942"/>
      <c r="BI285" s="942"/>
      <c r="BJ285" s="942"/>
      <c r="BK285" s="942"/>
      <c r="BL285" s="942"/>
      <c r="BM285" s="942"/>
      <c r="BN285" s="1256"/>
      <c r="BO285" s="1254" t="str">
        <f>IF(_xlfn.IFERROR(INDEX('Корректировка НВВ'!$K$26:$L$282,MATCH($F285&amp;"4komm",'Корректировка НВВ'!$K$26:$K$282,0),2),"")=0,"",_xlfn.IFERROR(INDEX('Корректировка НВВ'!$K$26:$L$282,MATCH($F285&amp;"4komm",'Корректировка НВВ'!$K$26:$K$282,0),2),""))</f>
        <v/>
      </c>
      <c r="BP285" s="1256"/>
      <c r="BQ285" s="1278"/>
      <c r="BR285" s="1278"/>
      <c r="BS285" s="1064" t="s">
        <v>2102</v>
      </c>
      <c r="BT285" s="1064"/>
      <c r="BU285" s="1064"/>
      <c r="BV285" s="979"/>
      <c r="BW285" s="979"/>
    </row>
    <row s="1834" customFormat="1" customHeight="1" ht="14.25">
      <c r="A286" s="1278"/>
      <c r="B286" s="978"/>
      <c r="C286" s="1278"/>
      <c r="D286" s="107" cm="1" t="str">
        <f t="array" ref="D286:D286">D285</f>
        <v>7</v>
      </c>
      <c r="E286" s="703">
        <v>15</v>
      </c>
      <c r="F286" s="50" cm="1" t="str">
        <f t="array" ref="F286:F286">OFFSET(E286,-1,1)</f>
        <v>1</v>
      </c>
      <c r="G286" s="158" t="s">
        <v>2884</v>
      </c>
      <c r="H286" s="1278"/>
      <c r="I286" s="158" t="s">
        <v>1493</v>
      </c>
      <c r="J286" s="1278"/>
      <c r="K286" s="158" t="s">
        <v>1493</v>
      </c>
      <c r="L286" s="980" t="s">
        <v>1492</v>
      </c>
      <c r="M286" s="107"/>
      <c r="N286" s="1278"/>
      <c r="O286" s="1278"/>
      <c r="P286" s="1278"/>
      <c r="Q286" s="1278"/>
      <c r="R286" s="1278"/>
      <c r="S286" s="1278"/>
      <c r="T286" s="465" cm="1" t="str">
        <f t="array" ref="T286:T286">T285</f>
        <v>true</v>
      </c>
      <c r="U286" s="1278"/>
      <c r="V286" s="1278"/>
      <c r="W286" s="1278"/>
      <c r="X286" s="1563"/>
      <c r="Y286" s="1278"/>
      <c r="Z286" s="1546"/>
      <c r="AA286" s="1278"/>
      <c r="AB286" s="300" t="str">
        <f>IF(B285,D286&amp;".6",D286&amp;".4")</f>
        <v>7.4</v>
      </c>
      <c r="AC286" s="762" t="s">
        <v>2316</v>
      </c>
      <c r="AD286" s="300" t="s">
        <v>1514</v>
      </c>
      <c r="AE286" s="7773"/>
      <c r="AF286" s="7773"/>
      <c r="AG286" s="7773"/>
      <c r="AH286" s="943">
        <f>AG286-AF286</f>
        <v>0</v>
      </c>
      <c r="AI286" s="7723"/>
      <c r="AJ286" s="7723">
        <f>_xlfn.SUMIFS('Корректировка НВВ'!$AF$25:$AF$282,'Корректировка НВВ'!$F$25:$F$282,$F286,'Корректировка НВВ'!$I$25:$I$282,$G286)</f>
        <v>0</v>
      </c>
      <c r="AK286" s="7723"/>
      <c r="AL286" s="7723"/>
      <c r="AM286" s="7723"/>
      <c r="AN286" s="7723"/>
      <c r="AO286" s="1253"/>
      <c r="AP286" s="1253"/>
      <c r="AQ286" s="1253"/>
      <c r="AR286" s="1253"/>
      <c r="AS286" s="1253"/>
      <c r="AT286" s="7723">
        <f>_xlfn.SUMIFS('Корректировка НВВ'!$AG$25:$AG$282,'Корректировка НВВ'!$F$25:$F$282,$F286,'Корректировка НВВ'!$I$25:$I$282,$G286)</f>
        <v>0</v>
      </c>
      <c r="AU286" s="7723"/>
      <c r="AV286" s="7723"/>
      <c r="AW286" s="7723"/>
      <c r="AX286" s="7723"/>
      <c r="AY286" s="1253"/>
      <c r="AZ286" s="1253"/>
      <c r="BA286" s="1253"/>
      <c r="BB286" s="1253"/>
      <c r="BC286" s="1253"/>
      <c r="BD286" s="942"/>
      <c r="BE286" s="942"/>
      <c r="BF286" s="942"/>
      <c r="BG286" s="942"/>
      <c r="BH286" s="942"/>
      <c r="BI286" s="942"/>
      <c r="BJ286" s="942"/>
      <c r="BK286" s="942"/>
      <c r="BL286" s="942"/>
      <c r="BM286" s="942"/>
      <c r="BN286" s="7771"/>
      <c r="BO286" s="7724" t="str">
        <f>IF(_xlfn.IFERROR(INDEX('Корректировка НВВ'!$K$26:$L$282,MATCH($F286&amp;"5komm",'Корректировка НВВ'!$K$26:$K$282,0),2),"")=0,"",_xlfn.IFERROR(INDEX('Корректировка НВВ'!$K$26:$L$282,MATCH($F286&amp;"5komm",'Корректировка НВВ'!$K$26:$K$282,0),2),""))</f>
        <v/>
      </c>
      <c r="BP286" s="7771"/>
      <c r="BQ286" s="1278"/>
      <c r="BR286" s="1278"/>
      <c r="BS286" s="1064" t="s">
        <v>2885</v>
      </c>
      <c r="BT286" s="1064"/>
      <c r="BU286" s="1064"/>
      <c r="BV286" s="979"/>
      <c r="BW286" s="979"/>
    </row>
    <row s="1834" customFormat="1" customHeight="1" ht="14.25">
      <c r="A287" s="1278"/>
      <c r="B287" s="978"/>
      <c r="C287" s="1278"/>
      <c r="D287" s="107" cm="1" t="str">
        <f t="array" ref="D287:D287">D286</f>
        <v>7</v>
      </c>
      <c r="E287" s="703">
        <v>15</v>
      </c>
      <c r="F287" s="50" cm="1" t="str">
        <f t="array" ref="F287:F287">OFFSET(E287,-1,1)</f>
        <v>1</v>
      </c>
      <c r="G287" s="158" t="s">
        <v>2886</v>
      </c>
      <c r="H287" s="1278"/>
      <c r="I287" s="158" t="s">
        <v>2561</v>
      </c>
      <c r="J287" s="1278"/>
      <c r="K287" s="158" t="s">
        <v>2561</v>
      </c>
      <c r="L287" s="980" t="s">
        <v>1493</v>
      </c>
      <c r="M287" s="107"/>
      <c r="N287" s="1278"/>
      <c r="O287" s="1278"/>
      <c r="P287" s="1278"/>
      <c r="Q287" s="1278"/>
      <c r="R287" s="1278"/>
      <c r="S287" s="1278"/>
      <c r="T287" s="465" cm="1" t="str">
        <f t="array" ref="T287:T287">T286</f>
        <v>true</v>
      </c>
      <c r="U287" s="1278"/>
      <c r="V287" s="1278"/>
      <c r="W287" s="1278"/>
      <c r="X287" s="1563"/>
      <c r="Y287" s="1278"/>
      <c r="Z287" s="1546"/>
      <c r="AA287" s="1278"/>
      <c r="AB287" s="300" t="str">
        <f>IF(B285,D286&amp;".7",D286&amp;".5")</f>
        <v>7.5</v>
      </c>
      <c r="AC287" s="762" t="s">
        <v>2278</v>
      </c>
      <c r="AD287" s="300" t="s">
        <v>1514</v>
      </c>
      <c r="AE287" s="7773">
        <f>AE288+AE289</f>
        <v>0</v>
      </c>
      <c r="AF287" s="7773">
        <f>AF288+AF289</f>
        <v>0</v>
      </c>
      <c r="AG287" s="7773">
        <f>AG288+AG289</f>
        <v>0</v>
      </c>
      <c r="AH287" s="943">
        <f>AG287-AF287</f>
        <v>0</v>
      </c>
      <c r="AI287" s="7723">
        <f>AI288+AI289</f>
        <v>0</v>
      </c>
      <c r="AJ287" s="7723">
        <f>_xlfn.SUMIFS('Корректировка НВВ'!$AF$25:$AF$282,'Корректировка НВВ'!$F$25:$F$282,$F287,'Корректировка НВВ'!$I$25:$I$282,$G287)</f>
        <v>0</v>
      </c>
      <c r="AK287" s="7723">
        <f>AK288+AK289</f>
        <v>0</v>
      </c>
      <c r="AL287" s="7723">
        <f>AL288+AL289</f>
        <v>0</v>
      </c>
      <c r="AM287" s="7723">
        <f>AM288+AM289</f>
        <v>0</v>
      </c>
      <c r="AN287" s="7723">
        <f>AN288+AN289</f>
        <v>0</v>
      </c>
      <c r="AO287" s="1253">
        <f>AO288+AO289</f>
        <v>0</v>
      </c>
      <c r="AP287" s="1253">
        <f>AP288+AP289</f>
        <v>0</v>
      </c>
      <c r="AQ287" s="1253">
        <f>AQ288+AQ289</f>
        <v>0</v>
      </c>
      <c r="AR287" s="1253">
        <f>AR288+AR289</f>
        <v>0</v>
      </c>
      <c r="AS287" s="1253">
        <f>AS288+AS289</f>
        <v>0</v>
      </c>
      <c r="AT287" s="7723">
        <f>_xlfn.SUMIFS('Корректировка НВВ'!$AG$25:$AG$282,'Корректировка НВВ'!$F$25:$F$282,$F287,'Корректировка НВВ'!$I$25:$I$282,$G287)</f>
        <v>0</v>
      </c>
      <c r="AU287" s="7723">
        <f>AU288+AU289</f>
        <v>0</v>
      </c>
      <c r="AV287" s="7723">
        <f>AV288+AV289</f>
        <v>0</v>
      </c>
      <c r="AW287" s="7723">
        <f>AW288+AW289</f>
        <v>0</v>
      </c>
      <c r="AX287" s="7723">
        <f>AX288+AX289</f>
        <v>0</v>
      </c>
      <c r="AY287" s="1253">
        <f>AY288+AY289</f>
        <v>0</v>
      </c>
      <c r="AZ287" s="1253">
        <f>AZ288+AZ289</f>
        <v>0</v>
      </c>
      <c r="BA287" s="1253">
        <f>BA288+BA289</f>
        <v>0</v>
      </c>
      <c r="BB287" s="1253">
        <f>BB288+BB289</f>
        <v>0</v>
      </c>
      <c r="BC287" s="1253">
        <f>BC288+BC289</f>
        <v>0</v>
      </c>
      <c r="BD287" s="943">
        <f>IF(AI287=0,0,(AT287-AI287)/AI287*100)</f>
        <v>0</v>
      </c>
      <c r="BE287" s="943">
        <f>IF(AT287=0,0,(AU287-AT287)/AT287*100)</f>
        <v>0</v>
      </c>
      <c r="BF287" s="943">
        <f>IF(AU287=0,0,(AV287-AU287)/AU287*100)</f>
        <v>0</v>
      </c>
      <c r="BG287" s="943">
        <f>IF(AV287=0,0,(AW287-AV287)/AV287*100)</f>
        <v>0</v>
      </c>
      <c r="BH287" s="943">
        <f>IF(AW287=0,0,(AX287-AW287)/AW287*100)</f>
        <v>0</v>
      </c>
      <c r="BI287" s="943">
        <f>IF(AX287=0,0,(AY287-AX287)/AX287*100)</f>
        <v>0</v>
      </c>
      <c r="BJ287" s="943">
        <f>IF(AY287=0,0,(AZ287-AY287)/AY287*100)</f>
        <v>0</v>
      </c>
      <c r="BK287" s="943">
        <f>IF(AZ287=0,0,(BA287-AZ287)/AZ287*100)</f>
        <v>0</v>
      </c>
      <c r="BL287" s="943">
        <f>IF(BA287=0,0,(BB287-BA287)/BA287*100)</f>
        <v>0</v>
      </c>
      <c r="BM287" s="943">
        <f>IF(BB287=0,0,(BC287-BB287)/BB287*100)</f>
        <v>0</v>
      </c>
      <c r="BN287" s="7771"/>
      <c r="BO287" s="7724" t="str">
        <f>IF(_xlfn.IFERROR(INDEX('Корректировка НВВ'!$K$26:$L$282,MATCH($F287&amp;"6komm",'Корректировка НВВ'!$K$26:$K$282,0),2),"")=0,"",_xlfn.IFERROR(INDEX('Корректировка НВВ'!$K$26:$L$282,MATCH($F287&amp;"6komm",'Корректировка НВВ'!$K$26:$K$282,0),2),""))</f>
        <v/>
      </c>
      <c r="BP287" s="7771"/>
      <c r="BQ287" s="1278"/>
      <c r="BR287" s="1278"/>
      <c r="BS287" s="1064" t="s">
        <v>2280</v>
      </c>
      <c r="BT287" s="1064"/>
      <c r="BU287" s="1064"/>
      <c r="BV287" s="979"/>
      <c r="BW287" s="979"/>
    </row>
    <row s="1834" customFormat="1" customHeight="1" ht="21.75">
      <c r="A288" s="1278"/>
      <c r="B288" s="978"/>
      <c r="C288" s="1278"/>
      <c r="D288" s="107" cm="1" t="str">
        <f t="array" ref="D288:D288">D287</f>
        <v>7</v>
      </c>
      <c r="E288" s="703">
        <v>22.5</v>
      </c>
      <c r="F288" s="50" cm="1" t="str">
        <f t="array" ref="F288:F288">OFFSET(E288,-1,1)</f>
        <v>1</v>
      </c>
      <c r="G288" s="158" t="s">
        <v>2887</v>
      </c>
      <c r="H288" s="1278"/>
      <c r="I288" s="158" t="s">
        <v>2888</v>
      </c>
      <c r="J288" s="1278"/>
      <c r="K288" s="158" t="s">
        <v>2888</v>
      </c>
      <c r="L288" s="980" t="s">
        <v>2556</v>
      </c>
      <c r="M288" s="107"/>
      <c r="N288" s="1278"/>
      <c r="O288" s="1278"/>
      <c r="P288" s="1278"/>
      <c r="Q288" s="1278"/>
      <c r="R288" s="1278"/>
      <c r="S288" s="1278"/>
      <c r="T288" s="465" cm="1" t="str">
        <f t="array" ref="T288:T288">T287</f>
        <v>true</v>
      </c>
      <c r="U288" s="1278"/>
      <c r="V288" s="1278"/>
      <c r="W288" s="1278"/>
      <c r="X288" s="1563"/>
      <c r="Y288" s="1278"/>
      <c r="Z288" s="1546"/>
      <c r="AA288" s="1278"/>
      <c r="AB288" s="300" t="str">
        <f>AB287&amp;".1"</f>
        <v>7.5.1</v>
      </c>
      <c r="AC288" s="781" t="s">
        <v>2281</v>
      </c>
      <c r="AD288" s="300" t="s">
        <v>1514</v>
      </c>
      <c r="AE288" s="7773"/>
      <c r="AF288" s="7773"/>
      <c r="AG288" s="7773"/>
      <c r="AH288" s="943">
        <f>AG288-AF288</f>
        <v>0</v>
      </c>
      <c r="AI288" s="7723"/>
      <c r="AJ288" s="7723">
        <f>_xlfn.SUMIFS('Корректировка НВВ'!$AF$25:$AF$282,'Корректировка НВВ'!$F$25:$F$282,$F288,'Корректировка НВВ'!$I$25:$I$282,$G288)</f>
        <v>0</v>
      </c>
      <c r="AK288" s="7723"/>
      <c r="AL288" s="7723"/>
      <c r="AM288" s="7723"/>
      <c r="AN288" s="7723"/>
      <c r="AO288" s="1253"/>
      <c r="AP288" s="1253"/>
      <c r="AQ288" s="1253"/>
      <c r="AR288" s="1253"/>
      <c r="AS288" s="1253"/>
      <c r="AT288" s="7723">
        <f>_xlfn.SUMIFS('Корректировка НВВ'!$AG$25:$AG$282,'Корректировка НВВ'!$F$25:$F$282,$F288,'Корректировка НВВ'!$I$25:$I$282,$G288)</f>
        <v>0</v>
      </c>
      <c r="AU288" s="7723"/>
      <c r="AV288" s="7723"/>
      <c r="AW288" s="7723"/>
      <c r="AX288" s="7723"/>
      <c r="AY288" s="1253"/>
      <c r="AZ288" s="1253"/>
      <c r="BA288" s="1253"/>
      <c r="BB288" s="1253"/>
      <c r="BC288" s="1253"/>
      <c r="BD288" s="942"/>
      <c r="BE288" s="942"/>
      <c r="BF288" s="942"/>
      <c r="BG288" s="942"/>
      <c r="BH288" s="942"/>
      <c r="BI288" s="942"/>
      <c r="BJ288" s="942"/>
      <c r="BK288" s="942"/>
      <c r="BL288" s="942"/>
      <c r="BM288" s="942"/>
      <c r="BN288" s="7771"/>
      <c r="BO288" s="7724" t="str">
        <f>IF(_xlfn.IFERROR(INDEX('Корректировка НВВ'!$K$26:$L$282,MATCH($F288&amp;"7komm",'Корректировка НВВ'!$K$26:$K$282,0),2),"")=0,"",_xlfn.IFERROR(INDEX('Корректировка НВВ'!$K$26:$L$282,MATCH($F288&amp;"7komm",'Корректировка НВВ'!$K$26:$K$282,0),2),""))</f>
        <v/>
      </c>
      <c r="BP288" s="7771"/>
      <c r="BQ288" s="1278"/>
      <c r="BR288" s="1278"/>
      <c r="BS288" s="1064" t="s">
        <v>2282</v>
      </c>
      <c r="BT288" s="1064"/>
      <c r="BU288" s="1064"/>
      <c r="BV288" s="979"/>
      <c r="BW288" s="979"/>
    </row>
    <row s="1834" customFormat="1" customHeight="1" ht="21.75">
      <c r="A289" s="1278"/>
      <c r="B289" s="978"/>
      <c r="C289" s="1278"/>
      <c r="D289" s="107" cm="1" t="str">
        <f t="array" ref="D289:D289">D288</f>
        <v>7</v>
      </c>
      <c r="E289" s="703">
        <v>22.5</v>
      </c>
      <c r="F289" s="50" cm="1" t="str">
        <f t="array" ref="F289:F289">OFFSET(E289,-1,1)</f>
        <v>1</v>
      </c>
      <c r="G289" s="158" t="s">
        <v>2889</v>
      </c>
      <c r="H289" s="1278"/>
      <c r="I289" s="158" t="s">
        <v>2890</v>
      </c>
      <c r="J289" s="1278"/>
      <c r="K289" s="158" t="s">
        <v>2890</v>
      </c>
      <c r="L289" s="980" t="s">
        <v>2558</v>
      </c>
      <c r="M289" s="107"/>
      <c r="N289" s="1278"/>
      <c r="O289" s="1278"/>
      <c r="P289" s="1278"/>
      <c r="Q289" s="1278"/>
      <c r="R289" s="1278"/>
      <c r="S289" s="1278"/>
      <c r="T289" s="465" cm="1" t="str">
        <f t="array" ref="T289:T289">T288</f>
        <v>true</v>
      </c>
      <c r="U289" s="1278"/>
      <c r="V289" s="1278"/>
      <c r="W289" s="1278"/>
      <c r="X289" s="1563"/>
      <c r="Y289" s="1278"/>
      <c r="Z289" s="1546"/>
      <c r="AA289" s="1278"/>
      <c r="AB289" s="300" t="str">
        <f>AB287&amp;".2"</f>
        <v>7.5.2</v>
      </c>
      <c r="AC289" s="781" t="s">
        <v>2283</v>
      </c>
      <c r="AD289" s="300" t="s">
        <v>1514</v>
      </c>
      <c r="AE289" s="7773"/>
      <c r="AF289" s="7773"/>
      <c r="AG289" s="7773"/>
      <c r="AH289" s="943">
        <f>AG289-AF289</f>
        <v>0</v>
      </c>
      <c r="AI289" s="7723"/>
      <c r="AJ289" s="7723">
        <f>_xlfn.SUMIFS('Корректировка НВВ'!$AF$25:$AF$282,'Корректировка НВВ'!$F$25:$F$282,$F289,'Корректировка НВВ'!$I$25:$I$282,$G289)</f>
        <v>0</v>
      </c>
      <c r="AK289" s="7723"/>
      <c r="AL289" s="7723"/>
      <c r="AM289" s="7723"/>
      <c r="AN289" s="7723"/>
      <c r="AO289" s="1253"/>
      <c r="AP289" s="1253"/>
      <c r="AQ289" s="1253"/>
      <c r="AR289" s="1253"/>
      <c r="AS289" s="1253"/>
      <c r="AT289" s="7723">
        <f>_xlfn.SUMIFS('Корректировка НВВ'!$AG$25:$AG$282,'Корректировка НВВ'!$F$25:$F$282,$F289,'Корректировка НВВ'!$I$25:$I$282,$G289)</f>
        <v>0</v>
      </c>
      <c r="AU289" s="7723"/>
      <c r="AV289" s="7723"/>
      <c r="AW289" s="7723"/>
      <c r="AX289" s="7723"/>
      <c r="AY289" s="1253"/>
      <c r="AZ289" s="1253"/>
      <c r="BA289" s="1253"/>
      <c r="BB289" s="1253"/>
      <c r="BC289" s="1253"/>
      <c r="BD289" s="942"/>
      <c r="BE289" s="942"/>
      <c r="BF289" s="942"/>
      <c r="BG289" s="942"/>
      <c r="BH289" s="942"/>
      <c r="BI289" s="942"/>
      <c r="BJ289" s="942"/>
      <c r="BK289" s="942"/>
      <c r="BL289" s="942"/>
      <c r="BM289" s="942"/>
      <c r="BN289" s="7771"/>
      <c r="BO289" s="7724" t="str">
        <f>IF(_xlfn.IFERROR(INDEX('Корректировка НВВ'!$K$26:$L$282,MATCH($F289&amp;"8komm",'Корректировка НВВ'!$K$26:$K$282,0),2),"")=0,"",_xlfn.IFERROR(INDEX('Корректировка НВВ'!$K$26:$L$282,MATCH($F289&amp;"8komm",'Корректировка НВВ'!$K$26:$K$282,0),2),""))</f>
        <v/>
      </c>
      <c r="BP289" s="7771"/>
      <c r="BQ289" s="1278"/>
      <c r="BR289" s="1278"/>
      <c r="BS289" s="1064" t="s">
        <v>2284</v>
      </c>
      <c r="BT289" s="1064"/>
      <c r="BU289" s="1064"/>
      <c r="BV289" s="979"/>
      <c r="BW289" s="979"/>
    </row>
    <row s="1834" customFormat="1" customHeight="1" ht="14.25">
      <c r="A290" s="1278"/>
      <c r="B290" s="978"/>
      <c r="C290" s="1278"/>
      <c r="D290" s="107" cm="1" t="str">
        <f t="array" ref="D290:D290">D289</f>
        <v>7</v>
      </c>
      <c r="E290" s="703">
        <v>15</v>
      </c>
      <c r="F290" s="50" cm="1" t="str">
        <f t="array" ref="F290:F290">OFFSET(E290,-1,1)</f>
        <v>1</v>
      </c>
      <c r="G290" s="158" t="s">
        <v>320</v>
      </c>
      <c r="H290" s="1278"/>
      <c r="I290" s="158" t="s">
        <v>2562</v>
      </c>
      <c r="J290" s="1278"/>
      <c r="K290" s="158" t="s">
        <v>2562</v>
      </c>
      <c r="L290" s="980" t="s">
        <v>2561</v>
      </c>
      <c r="M290" s="107"/>
      <c r="N290" s="1278"/>
      <c r="O290" s="1278"/>
      <c r="P290" s="1278"/>
      <c r="Q290" s="1278"/>
      <c r="R290" s="1278"/>
      <c r="S290" s="1278"/>
      <c r="T290" s="465" cm="1" t="str">
        <f t="array" ref="T290:T290">T289</f>
        <v>true</v>
      </c>
      <c r="U290" s="1278"/>
      <c r="V290" s="1278"/>
      <c r="W290" s="1278"/>
      <c r="X290" s="1563"/>
      <c r="Y290" s="1278"/>
      <c r="Z290" s="1546"/>
      <c r="AA290" s="1278"/>
      <c r="AB290" s="300" t="str">
        <f>IF(B285,D286&amp;".8",D286&amp;".6")</f>
        <v>7.6</v>
      </c>
      <c r="AC290" s="782" t="s">
        <v>2285</v>
      </c>
      <c r="AD290" s="300" t="s">
        <v>1514</v>
      </c>
      <c r="AE290" s="7773"/>
      <c r="AF290" s="7773"/>
      <c r="AG290" s="7773"/>
      <c r="AH290" s="943">
        <f>AG290-AF290</f>
        <v>0</v>
      </c>
      <c r="AI290" s="7723"/>
      <c r="AJ290" s="7723">
        <f>_xlfn.SUMIFS('Корректировка НВВ'!$AF$25:$AF$282,'Корректировка НВВ'!$F$25:$F$282,$F290,'Корректировка НВВ'!$I$25:$I$282,$G290)</f>
        <v>0</v>
      </c>
      <c r="AK290" s="7723"/>
      <c r="AL290" s="7723"/>
      <c r="AM290" s="7723"/>
      <c r="AN290" s="7723"/>
      <c r="AO290" s="1253"/>
      <c r="AP290" s="1253"/>
      <c r="AQ290" s="1253"/>
      <c r="AR290" s="1253"/>
      <c r="AS290" s="1253"/>
      <c r="AT290" s="7723">
        <f>_xlfn.SUMIFS('Корректировка НВВ'!$AG$25:$AG$282,'Корректировка НВВ'!$F$25:$F$282,$F290,'Корректировка НВВ'!$I$25:$I$282,$G290)</f>
        <v>0</v>
      </c>
      <c r="AU290" s="7723"/>
      <c r="AV290" s="7723"/>
      <c r="AW290" s="7723"/>
      <c r="AX290" s="7723"/>
      <c r="AY290" s="1253"/>
      <c r="AZ290" s="1253"/>
      <c r="BA290" s="1253"/>
      <c r="BB290" s="1253"/>
      <c r="BC290" s="1253"/>
      <c r="BD290" s="942"/>
      <c r="BE290" s="942"/>
      <c r="BF290" s="942"/>
      <c r="BG290" s="942"/>
      <c r="BH290" s="942"/>
      <c r="BI290" s="942"/>
      <c r="BJ290" s="942"/>
      <c r="BK290" s="942"/>
      <c r="BL290" s="942"/>
      <c r="BM290" s="942"/>
      <c r="BN290" s="7771"/>
      <c r="BO290" s="7724" t="str">
        <f>IF(_xlfn.IFERROR(INDEX('Корректировка НВВ'!$K$26:$L$282,MATCH($F290&amp;"9komm",'Корректировка НВВ'!$K$26:$K$282,0),2),"")=0,"",_xlfn.IFERROR(INDEX('Корректировка НВВ'!$K$26:$L$282,MATCH($F290&amp;"9komm",'Корректировка НВВ'!$K$26:$K$282,0),2),""))</f>
        <v/>
      </c>
      <c r="BP290" s="7771"/>
      <c r="BQ290" s="1278"/>
      <c r="BR290" s="1278"/>
      <c r="BS290" s="1064" t="s">
        <v>2891</v>
      </c>
      <c r="BT290" s="1064"/>
      <c r="BU290" s="1064"/>
      <c r="BV290" s="979"/>
      <c r="BW290" s="979"/>
    </row>
    <row s="1834" customFormat="1" customHeight="1" ht="14.25">
      <c r="A291" s="1278"/>
      <c r="B291" s="978"/>
      <c r="C291" s="1278"/>
      <c r="D291" s="107" cm="1" t="str">
        <f t="array" ref="D291:D291">D290</f>
        <v>7</v>
      </c>
      <c r="E291" s="703">
        <v>15</v>
      </c>
      <c r="F291" s="50" cm="1" t="str">
        <f t="array" ref="F291:F291">OFFSET(E291,-1,1)</f>
        <v>1</v>
      </c>
      <c r="G291" s="158" t="s">
        <v>2892</v>
      </c>
      <c r="H291" s="1278"/>
      <c r="I291" s="158" t="s">
        <v>2563</v>
      </c>
      <c r="J291" s="1278"/>
      <c r="K291" s="158" t="s">
        <v>2563</v>
      </c>
      <c r="L291" s="980" t="s">
        <v>2562</v>
      </c>
      <c r="M291" s="107"/>
      <c r="N291" s="1278"/>
      <c r="O291" s="1278"/>
      <c r="P291" s="1278"/>
      <c r="Q291" s="1278"/>
      <c r="R291" s="1278"/>
      <c r="S291" s="1278"/>
      <c r="T291" s="465" cm="1" t="str">
        <f t="array" ref="T291:T291">T290</f>
        <v>true</v>
      </c>
      <c r="U291" s="1278"/>
      <c r="V291" s="1278"/>
      <c r="W291" s="1278"/>
      <c r="X291" s="1563"/>
      <c r="Y291" s="1278"/>
      <c r="Z291" s="1546"/>
      <c r="AA291" s="1278"/>
      <c r="AB291" s="300" t="str">
        <f>IF(B285,D286&amp;".9",D286&amp;".7")</f>
        <v>7.7</v>
      </c>
      <c r="AC291" s="782" t="s">
        <v>2287</v>
      </c>
      <c r="AD291" s="300" t="s">
        <v>1514</v>
      </c>
      <c r="AE291" s="7773"/>
      <c r="AF291" s="7773"/>
      <c r="AG291" s="7773"/>
      <c r="AH291" s="943">
        <f>AG291-AF291</f>
        <v>0</v>
      </c>
      <c r="AI291" s="7723"/>
      <c r="AJ291" s="7723">
        <f>_xlfn.SUMIFS('Корректировка НВВ'!$AF$25:$AF$282,'Корректировка НВВ'!$F$25:$F$282,$F291,'Корректировка НВВ'!$I$25:$I$282,$G291)</f>
        <v>0</v>
      </c>
      <c r="AK291" s="7723"/>
      <c r="AL291" s="7723"/>
      <c r="AM291" s="7723"/>
      <c r="AN291" s="7723"/>
      <c r="AO291" s="1253"/>
      <c r="AP291" s="1253"/>
      <c r="AQ291" s="1253"/>
      <c r="AR291" s="1253"/>
      <c r="AS291" s="1253"/>
      <c r="AT291" s="7723">
        <f>_xlfn.SUMIFS('Корректировка НВВ'!$AG$25:$AG$282,'Корректировка НВВ'!$F$25:$F$282,$F291,'Корректировка НВВ'!$I$25:$I$282,$G291)</f>
        <v>0</v>
      </c>
      <c r="AU291" s="7723"/>
      <c r="AV291" s="7723"/>
      <c r="AW291" s="7723"/>
      <c r="AX291" s="7723"/>
      <c r="AY291" s="1253"/>
      <c r="AZ291" s="1253"/>
      <c r="BA291" s="1253"/>
      <c r="BB291" s="1253"/>
      <c r="BC291" s="1253"/>
      <c r="BD291" s="942"/>
      <c r="BE291" s="942"/>
      <c r="BF291" s="942"/>
      <c r="BG291" s="942"/>
      <c r="BH291" s="942"/>
      <c r="BI291" s="942"/>
      <c r="BJ291" s="942"/>
      <c r="BK291" s="942"/>
      <c r="BL291" s="942"/>
      <c r="BM291" s="942"/>
      <c r="BN291" s="7771"/>
      <c r="BO291" s="7724" t="str">
        <f>IF(_xlfn.IFERROR(INDEX('Корректировка НВВ'!$K$26:$L$282,MATCH($F291&amp;"10komm",'Корректировка НВВ'!$K$26:$K$282,0),2),"")=0,"",_xlfn.IFERROR(INDEX('Корректировка НВВ'!$K$26:$L$282,MATCH($F291&amp;"10komm",'Корректировка НВВ'!$K$26:$K$282,0),2),""))</f>
        <v/>
      </c>
      <c r="BP291" s="7771"/>
      <c r="BQ291" s="1278"/>
      <c r="BR291" s="1278"/>
      <c r="BS291" s="1064" t="s">
        <v>2288</v>
      </c>
      <c r="BT291" s="1064"/>
      <c r="BU291" s="1064"/>
      <c r="BV291" s="979"/>
      <c r="BW291" s="979"/>
    </row>
    <row s="7783" customFormat="1" customHeight="1" ht="20.25">
      <c r="A292" s="700"/>
      <c r="B292" s="435"/>
      <c r="C292" s="700"/>
      <c r="D292" s="109">
        <f>D291+1</f>
        <v>8</v>
      </c>
      <c r="E292" s="707">
        <v>21</v>
      </c>
      <c r="F292" s="50" cm="1" t="str">
        <f t="array" ref="F292:F292">OFFSET(E292,-1,1)</f>
        <v>1</v>
      </c>
      <c r="G292" s="700"/>
      <c r="H292" s="700"/>
      <c r="I292" s="162" t="s">
        <v>1297</v>
      </c>
      <c r="J292" s="700"/>
      <c r="K292" s="162" t="s">
        <v>1297</v>
      </c>
      <c r="L292" s="985"/>
      <c r="M292" s="109"/>
      <c r="N292" s="700"/>
      <c r="O292" s="700"/>
      <c r="P292" s="700"/>
      <c r="Q292" s="700"/>
      <c r="R292" s="700"/>
      <c r="S292" s="700"/>
      <c r="T292" s="465" cm="1" t="str">
        <f t="array" ref="T292:T292">T291</f>
        <v>true</v>
      </c>
      <c r="U292" s="700"/>
      <c r="V292" s="700"/>
      <c r="W292" s="700"/>
      <c r="X292" s="1563"/>
      <c r="Y292" s="700"/>
      <c r="Z292" s="1546"/>
      <c r="AA292" s="700"/>
      <c r="AB292" s="211" cm="1" t="str">
        <f t="array" ref="AB292:AB292">D292</f>
        <v>8</v>
      </c>
      <c r="AC292" s="212" t="s">
        <v>2893</v>
      </c>
      <c r="AD292" s="211" t="s">
        <v>1514</v>
      </c>
      <c r="AE292" s="7432"/>
      <c r="AF292" s="7432"/>
      <c r="AG292" s="7432"/>
      <c r="AH292" s="761">
        <f>AG292-AF292</f>
        <v>0</v>
      </c>
      <c r="AI292" s="7719"/>
      <c r="AJ292" s="7719"/>
      <c r="AK292" s="7719"/>
      <c r="AL292" s="7719"/>
      <c r="AM292" s="7719"/>
      <c r="AN292" s="7719"/>
      <c r="AO292" s="1246"/>
      <c r="AP292" s="1246"/>
      <c r="AQ292" s="1246"/>
      <c r="AR292" s="1246"/>
      <c r="AS292" s="1246"/>
      <c r="AT292" s="7719"/>
      <c r="AU292" s="7719"/>
      <c r="AV292" s="7719"/>
      <c r="AW292" s="7719"/>
      <c r="AX292" s="7719"/>
      <c r="AY292" s="1246"/>
      <c r="AZ292" s="1246"/>
      <c r="BA292" s="1246"/>
      <c r="BB292" s="1246"/>
      <c r="BC292" s="1246"/>
      <c r="BD292" s="764"/>
      <c r="BE292" s="764"/>
      <c r="BF292" s="764"/>
      <c r="BG292" s="764"/>
      <c r="BH292" s="764"/>
      <c r="BI292" s="764"/>
      <c r="BJ292" s="764"/>
      <c r="BK292" s="764"/>
      <c r="BL292" s="764"/>
      <c r="BM292" s="764"/>
      <c r="BN292" s="7436"/>
      <c r="BO292" s="7436"/>
      <c r="BP292" s="7436"/>
      <c r="BQ292" s="700"/>
      <c r="BR292" s="700"/>
      <c r="BS292" s="1070" t="s">
        <v>2894</v>
      </c>
      <c r="BT292" s="1070"/>
      <c r="BU292" s="1070"/>
      <c r="BV292" s="707"/>
      <c r="BW292" s="707"/>
    </row>
    <row s="1834" customFormat="1" customHeight="1" ht="14.25">
      <c r="A293" s="1278"/>
      <c r="B293" s="978"/>
      <c r="C293" s="1278"/>
      <c r="D293" s="109" cm="1" t="str">
        <f t="array" ref="D293:D293">D292</f>
        <v>8</v>
      </c>
      <c r="E293" s="703">
        <v>15</v>
      </c>
      <c r="F293" s="50" cm="1" t="str">
        <f t="array" ref="F293:F293">OFFSET(E293,-1,1)</f>
        <v>1</v>
      </c>
      <c r="G293" s="1278"/>
      <c r="H293" s="1278"/>
      <c r="I293" s="158" t="s">
        <v>1300</v>
      </c>
      <c r="J293" s="1278"/>
      <c r="K293" s="158" t="s">
        <v>1300</v>
      </c>
      <c r="L293" s="980"/>
      <c r="M293" s="107"/>
      <c r="N293" s="1278"/>
      <c r="O293" s="1278"/>
      <c r="P293" s="1278"/>
      <c r="Q293" s="1278"/>
      <c r="R293" s="1278"/>
      <c r="S293" s="1278"/>
      <c r="T293" s="465" cm="1" t="str">
        <f t="array" ref="T293:T293">T292</f>
        <v>true</v>
      </c>
      <c r="U293" s="1278"/>
      <c r="V293" s="1278"/>
      <c r="W293" s="1278"/>
      <c r="X293" s="1563"/>
      <c r="Y293" s="1278"/>
      <c r="Z293" s="1546"/>
      <c r="AA293" s="1278"/>
      <c r="AB293" s="300" t="str">
        <f>D293&amp;".1"</f>
        <v>8.1</v>
      </c>
      <c r="AC293" s="762" t="s">
        <v>2895</v>
      </c>
      <c r="AD293" s="300" t="s">
        <v>1170</v>
      </c>
      <c r="AE293" s="259">
        <f>IF(AE294=0,0,AE292/(AE294+AE279)*100)</f>
        <v>0</v>
      </c>
      <c r="AF293" s="259">
        <f>IF(AF294=0,0,AF292/(AF294+AF279)*100)</f>
        <v>0</v>
      </c>
      <c r="AG293" s="259">
        <f>IF(AG294=0,0,AG292/(AG294+AG279)*100)</f>
        <v>0</v>
      </c>
      <c r="AH293" s="943">
        <f>AG293-AF293</f>
        <v>0</v>
      </c>
      <c r="AI293" s="943">
        <f>IF(AI294=0,0,AI292/(AI294+AI279)*100)</f>
        <v>0</v>
      </c>
      <c r="AJ293" s="943">
        <f>IF(AJ294=0,0,AJ292/(AJ294+AJ279)*100)</f>
        <v>0</v>
      </c>
      <c r="AK293" s="943">
        <f>IF(AK294=0,0,AK292/(AK294+AK279)*100)</f>
        <v>0</v>
      </c>
      <c r="AL293" s="943">
        <f>IF(AL294=0,0,AL292/(AL294+AL279)*100)</f>
        <v>0</v>
      </c>
      <c r="AM293" s="943">
        <f>IF(AM294=0,0,AM292/(AM294+AM279)*100)</f>
        <v>0</v>
      </c>
      <c r="AN293" s="943">
        <f>IF(AN294=0,0,AN292/(AN294+AN279)*100)</f>
        <v>0</v>
      </c>
      <c r="AO293" s="943">
        <f>IF(AO294=0,0,AO292/(AO294+AO279)*100)</f>
        <v>0</v>
      </c>
      <c r="AP293" s="943">
        <f>IF(AP294=0,0,AP292/(AP294+AP279)*100)</f>
        <v>0</v>
      </c>
      <c r="AQ293" s="943">
        <f>IF(AQ294=0,0,AQ292/(AQ294+AQ279)*100)</f>
        <v>0</v>
      </c>
      <c r="AR293" s="943">
        <f>IF(AR294=0,0,AR292/(AR294+AR279)*100)</f>
        <v>0</v>
      </c>
      <c r="AS293" s="943">
        <f>IF(AS294=0,0,AS292/(AS294+AS279)*100)</f>
        <v>0</v>
      </c>
      <c r="AT293" s="943">
        <f>IF(AT294=0,0,AT292/(AT294+AT279)*100)</f>
        <v>0</v>
      </c>
      <c r="AU293" s="943">
        <f>IF(AU294=0,0,AU292/(AU294+AU279)*100)</f>
        <v>0</v>
      </c>
      <c r="AV293" s="943">
        <f>IF(AV294=0,0,AV292/(AV294+AV279)*100)</f>
        <v>0</v>
      </c>
      <c r="AW293" s="943">
        <f>IF(AW294=0,0,AW292/(AW294+AW279)*100)</f>
        <v>0</v>
      </c>
      <c r="AX293" s="943">
        <f>IF(AX294=0,0,AX292/(AX294+AX279)*100)</f>
        <v>0</v>
      </c>
      <c r="AY293" s="943">
        <f>IF(AY294=0,0,AY292/(AY294+AY279)*100)</f>
        <v>0</v>
      </c>
      <c r="AZ293" s="943">
        <f>IF(AZ294=0,0,AZ292/(AZ294+AZ279)*100)</f>
        <v>0</v>
      </c>
      <c r="BA293" s="943">
        <f>IF(BA294=0,0,BA292/(BA294+BA279)*100)</f>
        <v>0</v>
      </c>
      <c r="BB293" s="943">
        <f>IF(BB294=0,0,BB292/(BB294+BB279)*100)</f>
        <v>0</v>
      </c>
      <c r="BC293" s="943">
        <f>IF(BC294=0,0,BC292/(BC294+BC279)*100)</f>
        <v>0</v>
      </c>
      <c r="BD293" s="942"/>
      <c r="BE293" s="942"/>
      <c r="BF293" s="942"/>
      <c r="BG293" s="942"/>
      <c r="BH293" s="942"/>
      <c r="BI293" s="942"/>
      <c r="BJ293" s="942"/>
      <c r="BK293" s="942"/>
      <c r="BL293" s="942"/>
      <c r="BM293" s="942"/>
      <c r="BN293" s="7771"/>
      <c r="BO293" s="7771"/>
      <c r="BP293" s="7771"/>
      <c r="BQ293" s="1278"/>
      <c r="BR293" s="1278"/>
      <c r="BS293" s="1064" t="s">
        <v>2896</v>
      </c>
      <c r="BT293" s="1064"/>
      <c r="BU293" s="1064"/>
      <c r="BV293" s="979"/>
      <c r="BW293" s="979"/>
    </row>
    <row s="7784" customFormat="1" customHeight="1" ht="20.25">
      <c r="A294" s="700"/>
      <c r="B294" s="435"/>
      <c r="C294" s="700"/>
      <c r="D294" s="109">
        <f>D293+1</f>
        <v>9</v>
      </c>
      <c r="E294" s="707">
        <v>21</v>
      </c>
      <c r="F294" s="50" cm="1" t="str">
        <f t="array" ref="F294:F294">OFFSET(E294,-1,1)</f>
        <v>1</v>
      </c>
      <c r="G294" s="700"/>
      <c r="H294" s="158"/>
      <c r="I294" s="158" t="s">
        <v>1454</v>
      </c>
      <c r="J294" s="700"/>
      <c r="K294" s="158" t="s">
        <v>1454</v>
      </c>
      <c r="L294" s="985" t="s">
        <v>2563</v>
      </c>
      <c r="M294" s="109"/>
      <c r="N294" s="700"/>
      <c r="O294" s="700"/>
      <c r="P294" s="700"/>
      <c r="Q294" s="700"/>
      <c r="R294" s="700"/>
      <c r="S294" s="700"/>
      <c r="T294" s="465" cm="1" t="str">
        <f t="array" ref="T294:T294">T293</f>
        <v>true</v>
      </c>
      <c r="U294" s="700"/>
      <c r="V294" s="700"/>
      <c r="W294" s="700"/>
      <c r="X294" s="1563"/>
      <c r="Y294" s="700"/>
      <c r="Z294" s="1546"/>
      <c r="AA294" s="700"/>
      <c r="AB294" s="211" cm="1" t="str">
        <f t="array" ref="AB294:AB294">D294</f>
        <v>9</v>
      </c>
      <c r="AC294" s="212" t="s">
        <v>2564</v>
      </c>
      <c r="AD294" s="234" t="s">
        <v>1514</v>
      </c>
      <c r="AE294" s="213">
        <f>AE172+AE222+AE258+AE259+AE261+AE266+AE267+AE270</f>
        <v>0</v>
      </c>
      <c r="AF294" s="213">
        <f>AF172+AF222+AF258+AF259+AF261+AF266+AF267+AF270</f>
        <v>0</v>
      </c>
      <c r="AG294" s="213">
        <f>AG172+AG222+AG258+AG259+AG261+AG266+AG267+AG270</f>
        <v>0</v>
      </c>
      <c r="AH294" s="761">
        <f>AG294-AF294</f>
        <v>0</v>
      </c>
      <c r="AI294" s="213">
        <f>AI172+AI222+AI258+AI259+AI261+AI266+AI267+AI270</f>
        <v>0</v>
      </c>
      <c r="AJ294" s="213">
        <f>AJ172+AJ222+AJ258+AJ259+AJ261+AJ266+AJ267+AJ270</f>
        <v>65388.5518991215</v>
      </c>
      <c r="AK294" s="213">
        <f>AK172+AK222+AK258+AK259+AK261+AK266+AK267+AK270</f>
        <v>70401.8431447663</v>
      </c>
      <c r="AL294" s="213">
        <f>AL172+AL222+AL258+AL259+AL261+AL266+AL267+AL270</f>
        <v>75299.3932087518</v>
      </c>
      <c r="AM294" s="213">
        <f>AM172+AM222+AM258+AM259+AM261+AM266+AM267+AM270</f>
        <v>84530.5496995881</v>
      </c>
      <c r="AN294" s="213">
        <f>AN172+AN222+AN258+AN259+AN261+AN266+AN267+AN270</f>
        <v>138027.818494312</v>
      </c>
      <c r="AO294" s="213">
        <f>AO172+AO222+AO258+AO259+AO261+AO266+AO267+AO270</f>
        <v>0</v>
      </c>
      <c r="AP294" s="213">
        <f>AP172+AP222+AP258+AP259+AP261+AP266+AP267+AP270</f>
        <v>0</v>
      </c>
      <c r="AQ294" s="213">
        <f>AQ172+AQ222+AQ258+AQ259+AQ261+AQ266+AQ267+AQ270</f>
        <v>0</v>
      </c>
      <c r="AR294" s="213">
        <f>AR172+AR222+AR258+AR259+AR261+AR266+AR267+AR270</f>
        <v>0</v>
      </c>
      <c r="AS294" s="213">
        <f>AS172+AS222+AS258+AS259+AS261+AS266+AS267+AS270</f>
        <v>0</v>
      </c>
      <c r="AT294" s="213">
        <f>AT172+AT222+AT258+AT259+AT261+AT266+AT267+AT270</f>
        <v>65491.7162790524</v>
      </c>
      <c r="AU294" s="213">
        <f>AU172+AU222+AU258+AU259+AU261+AU266+AU267+AU270</f>
        <v>70514.396573271</v>
      </c>
      <c r="AV294" s="213">
        <f>AV172+AV222+AV258+AV259+AV261+AV266+AV267+AV270</f>
        <v>75417.4636852533</v>
      </c>
      <c r="AW294" s="213">
        <f>AW172+AW222+AW258+AW259+AW261+AW266+AW267+AW270</f>
        <v>84656.0150090367</v>
      </c>
      <c r="AX294" s="213">
        <f>AX172+AX222+AX258+AX259+AX261+AX266+AX267+AX270</f>
        <v>138189.209306897</v>
      </c>
      <c r="AY294" s="213">
        <f>AY172+AY222+AY258+AY259+AY261+AY266+AY267+AY270</f>
        <v>0</v>
      </c>
      <c r="AZ294" s="213">
        <f>AZ172+AZ222+AZ258+AZ259+AZ261+AZ266+AZ267+AZ270</f>
        <v>0</v>
      </c>
      <c r="BA294" s="213">
        <f>BA172+BA222+BA258+BA259+BA261+BA266+BA267+BA270</f>
        <v>0</v>
      </c>
      <c r="BB294" s="213">
        <f>BB172+BB222+BB258+BB259+BB261+BB266+BB267+BB270</f>
        <v>0</v>
      </c>
      <c r="BC294" s="213">
        <f>BC172+BC222+BC258+BC259+BC261+BC266+BC267+BC270</f>
        <v>0</v>
      </c>
      <c r="BD294" s="761">
        <f>IF(AI294=0,0,(AT294-AI294)/AI294*100)</f>
        <v>0</v>
      </c>
      <c r="BE294" s="761">
        <f>IF(AT294=0,0,(AU294-AT294)/AT294*100)</f>
        <v>7.66918410386065</v>
      </c>
      <c r="BF294" s="761">
        <f>IF(AU294=0,0,(AV294-AU294)/AU294*100)</f>
        <v>6.95328521586022</v>
      </c>
      <c r="BG294" s="761">
        <f>IF(AV294=0,0,(AW294-AV294)/AV294*100)</f>
        <v>12.2498833457719</v>
      </c>
      <c r="BH294" s="761">
        <f>IF(AW294=0,0,(AX294-AW294)/AW294*100)</f>
        <v>63.2361377890819</v>
      </c>
      <c r="BI294" s="761">
        <f>IF(AX294=0,0,(AY294-AX294)/AX294*100)</f>
        <v>-100</v>
      </c>
      <c r="BJ294" s="761">
        <f>IF(AY294=0,0,(AZ294-AY294)/AY294*100)</f>
        <v>0</v>
      </c>
      <c r="BK294" s="761">
        <f>IF(AZ294=0,0,(BA294-AZ294)/AZ294*100)</f>
        <v>0</v>
      </c>
      <c r="BL294" s="761">
        <f>IF(BA294=0,0,(BB294-BA294)/BA294*100)</f>
        <v>0</v>
      </c>
      <c r="BM294" s="761">
        <f>IF(BB294=0,0,(BC294-BB294)/BB294*100)</f>
        <v>0</v>
      </c>
      <c r="BN294" s="7771"/>
      <c r="BO294" s="7771"/>
      <c r="BP294" s="7771"/>
      <c r="BQ294" s="700"/>
      <c r="BR294" s="700"/>
      <c r="BS294" s="1070" t="s">
        <v>2565</v>
      </c>
      <c r="BT294" s="1070"/>
      <c r="BU294" s="1070"/>
      <c r="BV294" s="707"/>
      <c r="BW294" s="707"/>
    </row>
    <row s="7785" customFormat="1" customHeight="1" ht="20.25">
      <c r="A295" s="700"/>
      <c r="B295" s="435"/>
      <c r="C295" s="700"/>
      <c r="D295" s="109">
        <f>D294+1</f>
        <v>10</v>
      </c>
      <c r="E295" s="707">
        <v>21</v>
      </c>
      <c r="F295" s="50" cm="1" t="str">
        <f t="array" ref="F295:F295">OFFSET(E295,-1,1)</f>
        <v>1</v>
      </c>
      <c r="G295" s="700"/>
      <c r="H295" s="158"/>
      <c r="I295" s="158" t="s">
        <v>2574</v>
      </c>
      <c r="J295" s="700"/>
      <c r="K295" s="158" t="s">
        <v>2574</v>
      </c>
      <c r="L295" s="985"/>
      <c r="M295" s="109"/>
      <c r="N295" s="700"/>
      <c r="O295" s="700"/>
      <c r="P295" s="700"/>
      <c r="Q295" s="700"/>
      <c r="R295" s="700"/>
      <c r="S295" s="700"/>
      <c r="T295" s="465" cm="1" t="str">
        <f t="array" ref="T295:T295">T294</f>
        <v>true</v>
      </c>
      <c r="U295" s="700"/>
      <c r="V295" s="700"/>
      <c r="W295" s="700"/>
      <c r="X295" s="1563"/>
      <c r="Y295" s="700"/>
      <c r="Z295" s="1546"/>
      <c r="AA295" s="700"/>
      <c r="AB295" s="211" cm="1" t="str">
        <f t="array" ref="AB295:AB295">D295</f>
        <v>10</v>
      </c>
      <c r="AC295" s="212" t="s">
        <v>2897</v>
      </c>
      <c r="AD295" s="211" t="s">
        <v>1514</v>
      </c>
      <c r="AE295" s="213">
        <f>AE294+AE279+AE292</f>
        <v>0</v>
      </c>
      <c r="AF295" s="213">
        <f>AF294+AF279+AF292</f>
        <v>0</v>
      </c>
      <c r="AG295" s="213">
        <f>AG294+AG279+AG292</f>
        <v>0</v>
      </c>
      <c r="AH295" s="770">
        <f>AH294+AH279+AH292</f>
        <v>0</v>
      </c>
      <c r="AI295" s="770">
        <f>AI294+AI279+AI292</f>
        <v>0</v>
      </c>
      <c r="AJ295" s="770">
        <f>AJ294+AJ279+AJ292</f>
        <v>65388.5518991215</v>
      </c>
      <c r="AK295" s="770">
        <f>AK294+AK279+AK292</f>
        <v>70401.8431447663</v>
      </c>
      <c r="AL295" s="770">
        <f>AL294+AL279+AL292</f>
        <v>75299.3932087518</v>
      </c>
      <c r="AM295" s="770">
        <f>AM294+AM279+AM292</f>
        <v>84530.5496995881</v>
      </c>
      <c r="AN295" s="770">
        <f>AN294+AN279+AN292</f>
        <v>138027.818494312</v>
      </c>
      <c r="AO295" s="770">
        <f>AO294+AO279+AO292</f>
        <v>0</v>
      </c>
      <c r="AP295" s="770">
        <f>AP294+AP279+AP292</f>
        <v>0</v>
      </c>
      <c r="AQ295" s="770">
        <f>AQ294+AQ279+AQ292</f>
        <v>0</v>
      </c>
      <c r="AR295" s="770">
        <f>AR294+AR279+AR292</f>
        <v>0</v>
      </c>
      <c r="AS295" s="770">
        <f>AS294+AS279+AS292</f>
        <v>0</v>
      </c>
      <c r="AT295" s="770">
        <f>AT294+AT279+AT292</f>
        <v>65491.7162790524</v>
      </c>
      <c r="AU295" s="770">
        <f>AU294+AU279+AU292</f>
        <v>70514.396573271</v>
      </c>
      <c r="AV295" s="770">
        <f>AV294+AV279+AV292</f>
        <v>75417.4636852533</v>
      </c>
      <c r="AW295" s="770">
        <f>AW294+AW279+AW292</f>
        <v>84656.0150090367</v>
      </c>
      <c r="AX295" s="770">
        <f>AX294+AX279+AX292</f>
        <v>138189.209306897</v>
      </c>
      <c r="AY295" s="770">
        <f>AY294+AY279+AY292</f>
        <v>0</v>
      </c>
      <c r="AZ295" s="770">
        <f>AZ294+AZ279+AZ292</f>
        <v>0</v>
      </c>
      <c r="BA295" s="770">
        <f>BA294+BA279+BA292</f>
        <v>0</v>
      </c>
      <c r="BB295" s="770">
        <f>BB294+BB279+BB292</f>
        <v>0</v>
      </c>
      <c r="BC295" s="770">
        <f>BC294+BC279+BC292</f>
        <v>0</v>
      </c>
      <c r="BD295" s="761">
        <f>IF(AI295=0,0,(AT295-AI295)/AI295*100)</f>
        <v>0</v>
      </c>
      <c r="BE295" s="761">
        <f>IF(AT295=0,0,(AU295-AT295)/AT295*100)</f>
        <v>7.66918410386065</v>
      </c>
      <c r="BF295" s="761">
        <f>IF(AU295=0,0,(AV295-AU295)/AU295*100)</f>
        <v>6.95328521586022</v>
      </c>
      <c r="BG295" s="761">
        <f>IF(AV295=0,0,(AW295-AV295)/AV295*100)</f>
        <v>12.2498833457719</v>
      </c>
      <c r="BH295" s="761">
        <f>IF(AW295=0,0,(AX295-AW295)/AW295*100)</f>
        <v>63.2361377890819</v>
      </c>
      <c r="BI295" s="761">
        <f>IF(AX295=0,0,(AY295-AX295)/AX295*100)</f>
        <v>-100</v>
      </c>
      <c r="BJ295" s="761">
        <f>IF(AY295=0,0,(AZ295-AY295)/AY295*100)</f>
        <v>0</v>
      </c>
      <c r="BK295" s="761">
        <f>IF(AZ295=0,0,(BA295-AZ295)/AZ295*100)</f>
        <v>0</v>
      </c>
      <c r="BL295" s="761">
        <f>IF(BA295=0,0,(BB295-BA295)/BA295*100)</f>
        <v>0</v>
      </c>
      <c r="BM295" s="761">
        <f>IF(BB295=0,0,(BC295-BB295)/BB295*100)</f>
        <v>0</v>
      </c>
      <c r="BN295" s="7771"/>
      <c r="BO295" s="7771"/>
      <c r="BP295" s="7771"/>
      <c r="BQ295" s="700"/>
      <c r="BR295" s="700"/>
      <c r="BS295" s="1070" t="s">
        <v>2898</v>
      </c>
      <c r="BT295" s="1070"/>
      <c r="BU295" s="1070"/>
      <c r="BV295" s="707"/>
      <c r="BW295" s="707"/>
    </row>
    <row s="1834" customFormat="1" customHeight="1" ht="14.25" hidden="1">
      <c r="A296" s="1278"/>
      <c r="B296" s="445">
        <f>A171="двухставочный"</f>
        <v>0</v>
      </c>
      <c r="C296" s="1278"/>
      <c r="D296" s="107" cm="1" t="str">
        <f t="array" ref="D296:D296">D295</f>
        <v>10</v>
      </c>
      <c r="E296" s="703">
        <v>15</v>
      </c>
      <c r="F296" s="50" cm="1" t="str">
        <f t="array" ref="F296:F296">OFFSET(E296,-1,1)</f>
        <v>1</v>
      </c>
      <c r="G296" s="1278"/>
      <c r="H296" s="49"/>
      <c r="I296" s="379" t="s">
        <v>2577</v>
      </c>
      <c r="J296" s="1278"/>
      <c r="K296" s="379" t="s">
        <v>2577</v>
      </c>
      <c r="L296" s="980" t="s">
        <v>2566</v>
      </c>
      <c r="M296" s="107"/>
      <c r="N296" s="1278"/>
      <c r="O296" s="1278"/>
      <c r="P296" s="1278"/>
      <c r="Q296" s="1278"/>
      <c r="R296" s="1278"/>
      <c r="S296" s="1278"/>
      <c r="T296" s="465" cm="1" t="str">
        <f t="array" ref="T296:T296">T295</f>
        <v>true</v>
      </c>
      <c r="U296" s="1278"/>
      <c r="V296" s="1278"/>
      <c r="W296" s="1278"/>
      <c r="X296" s="1563"/>
      <c r="Y296" s="1278"/>
      <c r="Z296" s="1546"/>
      <c r="AA296" s="1278"/>
      <c r="AB296" s="300" t="str">
        <f>D296&amp;".1"</f>
        <v>10.1</v>
      </c>
      <c r="AC296" s="782" t="s">
        <v>2568</v>
      </c>
      <c r="AD296" s="300" t="s">
        <v>1514</v>
      </c>
      <c r="AE296" s="1255"/>
      <c r="AF296" s="1255"/>
      <c r="AG296" s="1255"/>
      <c r="AH296" s="943">
        <f>AG296-AF296</f>
        <v>0</v>
      </c>
      <c r="AI296" s="1253"/>
      <c r="AJ296" s="1253"/>
      <c r="AK296" s="1253"/>
      <c r="AL296" s="1253"/>
      <c r="AM296" s="1253"/>
      <c r="AN296" s="1253"/>
      <c r="AO296" s="1253"/>
      <c r="AP296" s="1253"/>
      <c r="AQ296" s="1253"/>
      <c r="AR296" s="1253"/>
      <c r="AS296" s="1253"/>
      <c r="AT296" s="1253"/>
      <c r="AU296" s="1253"/>
      <c r="AV296" s="1253"/>
      <c r="AW296" s="1253"/>
      <c r="AX296" s="1253"/>
      <c r="AY296" s="1253"/>
      <c r="AZ296" s="1253"/>
      <c r="BA296" s="1253"/>
      <c r="BB296" s="1253"/>
      <c r="BC296" s="1253"/>
      <c r="BD296" s="942"/>
      <c r="BE296" s="942"/>
      <c r="BF296" s="942"/>
      <c r="BG296" s="942"/>
      <c r="BH296" s="942"/>
      <c r="BI296" s="942"/>
      <c r="BJ296" s="942"/>
      <c r="BK296" s="942"/>
      <c r="BL296" s="942"/>
      <c r="BM296" s="942"/>
      <c r="BN296" s="1256"/>
      <c r="BO296" s="1256"/>
      <c r="BP296" s="1256"/>
      <c r="BQ296" s="1278"/>
      <c r="BR296" s="1278"/>
      <c r="BS296" s="1062" t="s">
        <v>2569</v>
      </c>
      <c r="BT296" s="1064"/>
      <c r="BU296" s="1064"/>
      <c r="BV296" s="979"/>
      <c r="BW296" s="979"/>
    </row>
    <row s="1834" customFormat="1" customHeight="1" ht="14.25" hidden="1">
      <c r="A297" s="1278"/>
      <c r="B297" s="445">
        <f>A171="двухставочный"</f>
        <v>0</v>
      </c>
      <c r="C297" s="1278"/>
      <c r="D297" s="107" cm="1" t="str">
        <f t="array" ref="D297:D297">D296</f>
        <v>10</v>
      </c>
      <c r="E297" s="703">
        <v>15</v>
      </c>
      <c r="F297" s="50" cm="1" t="str">
        <f t="array" ref="F297:F297">OFFSET(E297,-1,1)</f>
        <v>1</v>
      </c>
      <c r="G297" s="1278"/>
      <c r="H297" s="49"/>
      <c r="I297" s="379" t="s">
        <v>2581</v>
      </c>
      <c r="J297" s="1278"/>
      <c r="K297" s="379" t="s">
        <v>2581</v>
      </c>
      <c r="L297" s="980" t="s">
        <v>2570</v>
      </c>
      <c r="M297" s="107"/>
      <c r="N297" s="1278"/>
      <c r="O297" s="1278"/>
      <c r="P297" s="1278"/>
      <c r="Q297" s="1278"/>
      <c r="R297" s="1278"/>
      <c r="S297" s="1278"/>
      <c r="T297" s="465" cm="1" t="str">
        <f t="array" ref="T297:T297">T296</f>
        <v>true</v>
      </c>
      <c r="U297" s="1278"/>
      <c r="V297" s="1278"/>
      <c r="W297" s="1278"/>
      <c r="X297" s="1563"/>
      <c r="Y297" s="1278"/>
      <c r="Z297" s="1546"/>
      <c r="AA297" s="1278"/>
      <c r="AB297" s="300" t="str">
        <f>D297&amp;".2"</f>
        <v>10.2</v>
      </c>
      <c r="AC297" s="782" t="s">
        <v>2572</v>
      </c>
      <c r="AD297" s="300" t="s">
        <v>1514</v>
      </c>
      <c r="AE297" s="1255"/>
      <c r="AF297" s="1255"/>
      <c r="AG297" s="1255"/>
      <c r="AH297" s="943">
        <f>AG297-AF297</f>
        <v>0</v>
      </c>
      <c r="AI297" s="1253"/>
      <c r="AJ297" s="1253"/>
      <c r="AK297" s="1253"/>
      <c r="AL297" s="1253"/>
      <c r="AM297" s="1253"/>
      <c r="AN297" s="1253"/>
      <c r="AO297" s="1253"/>
      <c r="AP297" s="1253"/>
      <c r="AQ297" s="1253"/>
      <c r="AR297" s="1253"/>
      <c r="AS297" s="1253"/>
      <c r="AT297" s="1253"/>
      <c r="AU297" s="1253"/>
      <c r="AV297" s="1253"/>
      <c r="AW297" s="1253"/>
      <c r="AX297" s="1253"/>
      <c r="AY297" s="1253"/>
      <c r="AZ297" s="1253"/>
      <c r="BA297" s="1253"/>
      <c r="BB297" s="1253"/>
      <c r="BC297" s="1253"/>
      <c r="BD297" s="942"/>
      <c r="BE297" s="942"/>
      <c r="BF297" s="942"/>
      <c r="BG297" s="942"/>
      <c r="BH297" s="942"/>
      <c r="BI297" s="942"/>
      <c r="BJ297" s="942"/>
      <c r="BK297" s="942"/>
      <c r="BL297" s="942"/>
      <c r="BM297" s="942"/>
      <c r="BN297" s="1256"/>
      <c r="BO297" s="1256"/>
      <c r="BP297" s="1256"/>
      <c r="BQ297" s="1278"/>
      <c r="BR297" s="1278"/>
      <c r="BS297" s="1062" t="s">
        <v>2573</v>
      </c>
      <c r="BT297" s="1064"/>
      <c r="BU297" s="1064"/>
      <c r="BV297" s="979"/>
      <c r="BW297" s="979"/>
    </row>
    <row s="7786" customFormat="1" customHeight="1" ht="20.25">
      <c r="A298" s="700"/>
      <c r="B298" s="435"/>
      <c r="C298" s="700"/>
      <c r="D298" s="109">
        <f>D297+1</f>
        <v>11</v>
      </c>
      <c r="E298" s="707">
        <v>21</v>
      </c>
      <c r="F298" s="50" cm="1" t="str">
        <f t="array" ref="F298:F298">OFFSET(E298,-1,1)</f>
        <v>1</v>
      </c>
      <c r="G298" s="158" t="s">
        <v>2346</v>
      </c>
      <c r="H298" s="158"/>
      <c r="I298" s="158" t="s">
        <v>2601</v>
      </c>
      <c r="J298" s="700"/>
      <c r="K298" s="158" t="s">
        <v>2601</v>
      </c>
      <c r="L298" s="985" t="s">
        <v>2574</v>
      </c>
      <c r="M298" s="109"/>
      <c r="N298" s="700"/>
      <c r="O298" s="700"/>
      <c r="P298" s="700"/>
      <c r="Q298" s="700"/>
      <c r="R298" s="700"/>
      <c r="S298" s="700"/>
      <c r="T298" s="465" cm="1" t="str">
        <f t="array" ref="T298:T298">T297</f>
        <v>true</v>
      </c>
      <c r="U298" s="700"/>
      <c r="V298" s="700"/>
      <c r="W298" s="700"/>
      <c r="X298" s="1563"/>
      <c r="Y298" s="700"/>
      <c r="Z298" s="1546"/>
      <c r="AA298" s="700"/>
      <c r="AB298" s="211" cm="1" t="str">
        <f t="array" ref="AB298:AB298">D298</f>
        <v>11</v>
      </c>
      <c r="AC298" s="212" t="s">
        <v>2575</v>
      </c>
      <c r="AD298" s="211" t="s">
        <v>1247</v>
      </c>
      <c r="AE298" s="785">
        <f>_xlfn.SUMIFS(Баланс!AE$26:AE$482,Баланс!$F$26:$F$482,$F298,Баланс!$G$26:$G$482,"ПО")</f>
        <v>0</v>
      </c>
      <c r="AF298" s="785">
        <f>_xlfn.SUMIFS(Баланс!AF$26:AF$482,Баланс!$F$26:$F$482,$F298,Баланс!$G$26:$G$482,"ПО")</f>
        <v>0</v>
      </c>
      <c r="AG298" s="785">
        <f>_xlfn.SUMIFS(Баланс!AG$26:AG$482,Баланс!$F$26:$F$482,$F298,Баланс!$G$26:$G$482,"ПО")</f>
        <v>0</v>
      </c>
      <c r="AH298" s="786">
        <f>AG298-AF298</f>
        <v>0</v>
      </c>
      <c r="AI298" s="786">
        <f>_xlfn.SUMIFS(Баланс!AH$26:AH$482,Баланс!$F$26:$F$482,$F298,Баланс!$G$26:$G$482,"ПО")</f>
        <v>0</v>
      </c>
      <c r="AJ298" s="786">
        <f>_xlfn.SUMIFS(Баланс!AI$26:AI$482,Баланс!$F$26:$F$482,$F298,Баланс!$G$26:$G$482,"ПО")</f>
        <v>2356.20182</v>
      </c>
      <c r="AK298" s="786">
        <f>_xlfn.SUMIFS(Баланс!AJ$26:AJ$482,Баланс!$F$26:$F$482,$F298,Баланс!$G$26:$G$482,"ПО")</f>
        <v>2356.20182</v>
      </c>
      <c r="AL298" s="786">
        <f>_xlfn.SUMIFS(Баланс!AK$26:AK$482,Баланс!$F$26:$F$482,$F298,Баланс!$G$26:$G$482,"ПО")</f>
        <v>2356.20182</v>
      </c>
      <c r="AM298" s="786">
        <f>_xlfn.SUMIFS(Баланс!AL$26:AL$482,Баланс!$F$26:$F$482,$F298,Баланс!$G$26:$G$482,"ПО")</f>
        <v>2356.20182</v>
      </c>
      <c r="AN298" s="786">
        <f>_xlfn.SUMIFS(Баланс!AM$26:AM$482,Баланс!$F$26:$F$482,$F298,Баланс!$G$26:$G$482,"ПО")</f>
        <v>2356.20182</v>
      </c>
      <c r="AO298" s="786">
        <f>_xlfn.SUMIFS(Баланс!AN$26:AN$482,Баланс!$F$26:$F$482,$F298,Баланс!$G$26:$G$482,"ПО")</f>
        <v>0</v>
      </c>
      <c r="AP298" s="786">
        <f>_xlfn.SUMIFS(Баланс!AO$26:AO$482,Баланс!$F$26:$F$482,$F298,Баланс!$G$26:$G$482,"ПО")</f>
        <v>0</v>
      </c>
      <c r="AQ298" s="786">
        <f>_xlfn.SUMIFS(Баланс!AP$26:AP$482,Баланс!$F$26:$F$482,$F298,Баланс!$G$26:$G$482,"ПО")</f>
        <v>0</v>
      </c>
      <c r="AR298" s="786">
        <f>_xlfn.SUMIFS(Баланс!AQ$26:AQ$482,Баланс!$F$26:$F$482,$F298,Баланс!$G$26:$G$482,"ПО")</f>
        <v>0</v>
      </c>
      <c r="AS298" s="786">
        <f>_xlfn.SUMIFS(Баланс!AR$26:AR$482,Баланс!$F$26:$F$482,$F298,Баланс!$G$26:$G$482,"ПО")</f>
        <v>0</v>
      </c>
      <c r="AT298" s="786">
        <f>_xlfn.SUMIFS(Баланс!AS$26:AS$482,Баланс!$F$26:$F$482,$F298,Баланс!$G$26:$G$482,"ПО")</f>
        <v>2356.20182</v>
      </c>
      <c r="AU298" s="786">
        <f>_xlfn.SUMIFS(Баланс!AT$26:AT$482,Баланс!$F$26:$F$482,$F298,Баланс!$G$26:$G$482,"ПО")</f>
        <v>2356.20182</v>
      </c>
      <c r="AV298" s="786">
        <f>_xlfn.SUMIFS(Баланс!AU$26:AU$482,Баланс!$F$26:$F$482,$F298,Баланс!$G$26:$G$482,"ПО")</f>
        <v>2356.20182</v>
      </c>
      <c r="AW298" s="786">
        <f>_xlfn.SUMIFS(Баланс!AV$26:AV$482,Баланс!$F$26:$F$482,$F298,Баланс!$G$26:$G$482,"ПО")</f>
        <v>2356.20182</v>
      </c>
      <c r="AX298" s="786">
        <f>_xlfn.SUMIFS(Баланс!AW$26:AW$482,Баланс!$F$26:$F$482,$F298,Баланс!$G$26:$G$482,"ПО")</f>
        <v>2356.20182</v>
      </c>
      <c r="AY298" s="786">
        <f>_xlfn.SUMIFS(Баланс!AX$26:AX$482,Баланс!$F$26:$F$482,$F298,Баланс!$G$26:$G$482,"ПО")</f>
        <v>0</v>
      </c>
      <c r="AZ298" s="786">
        <f>_xlfn.SUMIFS(Баланс!AY$26:AY$482,Баланс!$F$26:$F$482,$F298,Баланс!$G$26:$G$482,"ПО")</f>
        <v>0</v>
      </c>
      <c r="BA298" s="786">
        <f>_xlfn.SUMIFS(Баланс!AZ$26:AZ$482,Баланс!$F$26:$F$482,$F298,Баланс!$G$26:$G$482,"ПО")</f>
        <v>0</v>
      </c>
      <c r="BB298" s="786">
        <f>_xlfn.SUMIFS(Баланс!BA$26:BA$482,Баланс!$F$26:$F$482,$F298,Баланс!$G$26:$G$482,"ПО")</f>
        <v>0</v>
      </c>
      <c r="BC298" s="786">
        <f>_xlfn.SUMIFS(Баланс!BB$26:BB$482,Баланс!$F$26:$F$482,$F298,Баланс!$G$26:$G$482,"ПО")</f>
        <v>0</v>
      </c>
      <c r="BD298" s="764"/>
      <c r="BE298" s="764"/>
      <c r="BF298" s="764"/>
      <c r="BG298" s="764"/>
      <c r="BH298" s="764"/>
      <c r="BI298" s="764"/>
      <c r="BJ298" s="764"/>
      <c r="BK298" s="764"/>
      <c r="BL298" s="764"/>
      <c r="BM298" s="764"/>
      <c r="BN298" s="7771"/>
      <c r="BO298" s="7771"/>
      <c r="BP298" s="7771"/>
      <c r="BQ298" s="700"/>
      <c r="BR298" s="700"/>
      <c r="BS298" s="1063" t="s">
        <v>2576</v>
      </c>
      <c r="BT298" s="1070"/>
      <c r="BU298" s="1070"/>
      <c r="BV298" s="707"/>
      <c r="BW298" s="707"/>
    </row>
    <row s="1834" customFormat="1" customHeight="1" ht="14.25">
      <c r="A299" s="1278"/>
      <c r="B299" s="978"/>
      <c r="C299" s="1278"/>
      <c r="D299" s="107" cm="1" t="str">
        <f t="array" ref="D299:D299">D298</f>
        <v>11</v>
      </c>
      <c r="E299" s="703">
        <v>15</v>
      </c>
      <c r="F299" s="50" cm="1" t="str">
        <f t="array" ref="F299:F299">OFFSET(E299,-1,1)</f>
        <v>1</v>
      </c>
      <c r="G299" s="158" t="s">
        <v>2373</v>
      </c>
      <c r="H299" s="1278"/>
      <c r="I299" s="158" t="s">
        <v>2899</v>
      </c>
      <c r="J299" s="1278"/>
      <c r="K299" s="158" t="s">
        <v>2899</v>
      </c>
      <c r="L299" s="980" t="s">
        <v>2577</v>
      </c>
      <c r="M299" s="107"/>
      <c r="N299" s="1278"/>
      <c r="O299" s="1278"/>
      <c r="P299" s="1278"/>
      <c r="Q299" s="1278"/>
      <c r="R299" s="1278"/>
      <c r="S299" s="1278"/>
      <c r="T299" s="465" cm="1" t="str">
        <f t="array" ref="T299:T299">T298</f>
        <v>true</v>
      </c>
      <c r="U299" s="1278"/>
      <c r="V299" s="1278"/>
      <c r="W299" s="1278"/>
      <c r="X299" s="1563"/>
      <c r="Y299" s="1278"/>
      <c r="Z299" s="1546"/>
      <c r="AA299" s="1278"/>
      <c r="AB299" s="300" t="str">
        <f>D299&amp;".1"</f>
        <v>11.1</v>
      </c>
      <c r="AC299" s="1111" t="s">
        <v>2579</v>
      </c>
      <c r="AD299" s="300" t="s">
        <v>1247</v>
      </c>
      <c r="AE299" s="7787">
        <f>IF(AE$24="2026 год",AE298/12*9,AE298/2)</f>
        <v>0</v>
      </c>
      <c r="AF299" s="7787">
        <f>IF(AF$24="2026 год",AF298/12*9,AF298/2)</f>
        <v>0</v>
      </c>
      <c r="AG299" s="7787">
        <f>IF(AG$24="2026 год",AG298/12*9,AG298/2)</f>
        <v>0</v>
      </c>
      <c r="AH299" s="941">
        <f>AG299-AF299</f>
        <v>0</v>
      </c>
      <c r="AI299" s="7497">
        <f>IF(AI$24="2026 год",AI298/12*9,AI298/2)</f>
        <v>0</v>
      </c>
      <c r="AJ299" s="7787">
        <f>IF(AJ$24="2026 год",AJ298/12*9,AJ298/2)</f>
        <v>1767.151365</v>
      </c>
      <c r="AK299" s="7787">
        <f>IF(AK$24="2026 год",AK298/12*9,AK298/2)</f>
        <v>1178.10091</v>
      </c>
      <c r="AL299" s="7497">
        <f>IF(AL$24="2026 год",AL298/12*9,AL298/2)</f>
        <v>1178.10091</v>
      </c>
      <c r="AM299" s="7497">
        <f>IF(AM$24="2026 год",AM298/12*9,AM298/2)</f>
        <v>1178.10091</v>
      </c>
      <c r="AN299" s="7497">
        <f>IF(AN$24="2026 год",AN298/12*9,AN298/2)</f>
        <v>1178.10091</v>
      </c>
      <c r="AO299" s="1261">
        <f>IF(AO$24="2026 год",AO298/12*9,AO298/2)</f>
        <v>0</v>
      </c>
      <c r="AP299" s="1261">
        <f>IF(AP$24="2026 год",AP298/12*9,AP298/2)</f>
        <v>0</v>
      </c>
      <c r="AQ299" s="1261">
        <f>IF(AQ$24="2026 год",AQ298/12*9,AQ298/2)</f>
        <v>0</v>
      </c>
      <c r="AR299" s="1261">
        <f>IF(AR$24="2026 год",AR298/12*9,AR298/2)</f>
        <v>0</v>
      </c>
      <c r="AS299" s="1261">
        <f>IF(AS$24="2026 год",AS298/12*9,AS298/2)</f>
        <v>0</v>
      </c>
      <c r="AT299" s="7497">
        <f>IF(AT$24="2026 год",AT298/12*9,AT298/2)</f>
        <v>1767.151365</v>
      </c>
      <c r="AU299" s="7497">
        <f>IF(AU$24="2026 год",AU298/12*9,AU298/2)</f>
        <v>1178.10091</v>
      </c>
      <c r="AV299" s="7497">
        <f>IF(AV$24="2026 год",AV298/12*9,AV298/2)</f>
        <v>1178.10091</v>
      </c>
      <c r="AW299" s="7497">
        <f>IF(AW$24="2026 год",AW298/12*9,AW298/2)</f>
        <v>1178.10091</v>
      </c>
      <c r="AX299" s="7497">
        <f>IF(AX$24="2026 год",AX298/12*9,AX298/2)</f>
        <v>1178.10091</v>
      </c>
      <c r="AY299" s="1261">
        <f>IF(AY$24="2026 год",AY298/12*9,AY298/2)</f>
        <v>0</v>
      </c>
      <c r="AZ299" s="1261">
        <f>IF(AZ$24="2026 год",AZ298/12*9,AZ298/2)</f>
        <v>0</v>
      </c>
      <c r="BA299" s="1261">
        <f>IF(BA$24="2026 год",BA298/12*9,BA298/2)</f>
        <v>0</v>
      </c>
      <c r="BB299" s="1261">
        <f>IF(BB$24="2026 год",BB298/12*9,BB298/2)</f>
        <v>0</v>
      </c>
      <c r="BC299" s="1261">
        <f>IF(BC$24="2026 год",BC298/12*9,BC298/2)</f>
        <v>0</v>
      </c>
      <c r="BD299" s="942"/>
      <c r="BE299" s="942"/>
      <c r="BF299" s="942"/>
      <c r="BG299" s="942"/>
      <c r="BH299" s="942"/>
      <c r="BI299" s="942"/>
      <c r="BJ299" s="942"/>
      <c r="BK299" s="942"/>
      <c r="BL299" s="942"/>
      <c r="BM299" s="942"/>
      <c r="BN299" s="7771"/>
      <c r="BO299" s="7771"/>
      <c r="BP299" s="7771"/>
      <c r="BQ299" s="1278"/>
      <c r="BR299" s="1278"/>
      <c r="BS299" s="1062" t="s">
        <v>2580</v>
      </c>
      <c r="BT299" s="1064"/>
      <c r="BU299" s="1064"/>
      <c r="BV299" s="979"/>
      <c r="BW299" s="979"/>
    </row>
    <row s="1834" customFormat="1" customHeight="1" ht="14.25">
      <c r="A300" s="1278"/>
      <c r="B300" s="978"/>
      <c r="C300" s="1278"/>
      <c r="D300" s="107" cm="1" t="str">
        <f t="array" ref="D300:D300">D299</f>
        <v>11</v>
      </c>
      <c r="E300" s="703">
        <v>15</v>
      </c>
      <c r="F300" s="50" cm="1" t="str">
        <f t="array" ref="F300:F300">OFFSET(E300,-1,1)</f>
        <v>1</v>
      </c>
      <c r="G300" s="158" t="s">
        <v>2334</v>
      </c>
      <c r="H300" s="1278"/>
      <c r="I300" s="158" t="s">
        <v>2900</v>
      </c>
      <c r="J300" s="1278"/>
      <c r="K300" s="158" t="s">
        <v>2900</v>
      </c>
      <c r="L300" s="980" t="s">
        <v>2581</v>
      </c>
      <c r="M300" s="107"/>
      <c r="N300" s="1278"/>
      <c r="O300" s="1278"/>
      <c r="P300" s="1278"/>
      <c r="Q300" s="1278"/>
      <c r="R300" s="1278"/>
      <c r="S300" s="1278"/>
      <c r="T300" s="465" cm="1" t="str">
        <f t="array" ref="T300:T300">T299</f>
        <v>true</v>
      </c>
      <c r="U300" s="1278"/>
      <c r="V300" s="1278"/>
      <c r="W300" s="1278"/>
      <c r="X300" s="1563"/>
      <c r="Y300" s="1278"/>
      <c r="Z300" s="1546"/>
      <c r="AA300" s="1278"/>
      <c r="AB300" s="300" t="str">
        <f>D300&amp;".2"</f>
        <v>11.2</v>
      </c>
      <c r="AC300" s="1111" t="s">
        <v>2583</v>
      </c>
      <c r="AD300" s="300" t="s">
        <v>2337</v>
      </c>
      <c r="AE300" s="7773"/>
      <c r="AF300" s="7773"/>
      <c r="AG300" s="7773"/>
      <c r="AH300" s="943">
        <f>AG300-AF300</f>
        <v>0</v>
      </c>
      <c r="AI300" s="7501"/>
      <c r="AJ300" s="7501"/>
      <c r="AK300" s="7501"/>
      <c r="AL300" s="7501"/>
      <c r="AM300" s="7501"/>
      <c r="AN300" s="7501"/>
      <c r="AO300" s="1262"/>
      <c r="AP300" s="1262"/>
      <c r="AQ300" s="1262"/>
      <c r="AR300" s="1262"/>
      <c r="AS300" s="1262"/>
      <c r="AT300" s="7501"/>
      <c r="AU300" s="7501" cm="1" t="str">
        <f t="array" ref="AU300:AU300">AT302</f>
        <v>111.181844820156</v>
      </c>
      <c r="AV300" s="7501" cm="1" t="str">
        <f t="array" ref="AV300:AV300">AU302</f>
        <v>-51.327552225415</v>
      </c>
      <c r="AW300" s="7501" cm="1" t="str">
        <f t="array" ref="AW300:AW300">AV302</f>
        <v>115.343684498204</v>
      </c>
      <c r="AX300" s="7501" cm="1" t="str">
        <f t="array" ref="AX300:AX300">AW302</f>
        <v>-43.4856506995231</v>
      </c>
      <c r="AY300" s="1262" cm="1" t="str">
        <f t="array" ref="AY300:AY300">AX302</f>
        <v>160.783929763663</v>
      </c>
      <c r="AZ300" s="1262" cm="1" t="str">
        <f t="array" ref="AZ300:AZ300">AY302</f>
        <v>0</v>
      </c>
      <c r="BA300" s="1262" cm="1" t="str">
        <f t="array" ref="BA300:BA300">AZ302</f>
        <v>0</v>
      </c>
      <c r="BB300" s="1262" cm="1" t="str">
        <f t="array" ref="BB300:BB300">BA302</f>
        <v>0</v>
      </c>
      <c r="BC300" s="1262" cm="1" t="str">
        <f t="array" ref="BC300:BC300">BB302</f>
        <v>0</v>
      </c>
      <c r="BD300" s="942"/>
      <c r="BE300" s="942"/>
      <c r="BF300" s="942"/>
      <c r="BG300" s="942"/>
      <c r="BH300" s="942"/>
      <c r="BI300" s="942"/>
      <c r="BJ300" s="942"/>
      <c r="BK300" s="942"/>
      <c r="BL300" s="942"/>
      <c r="BM300" s="942"/>
      <c r="BN300" s="7771"/>
      <c r="BO300" s="7771"/>
      <c r="BP300" s="7771"/>
      <c r="BQ300" s="1278"/>
      <c r="BR300" s="1278"/>
      <c r="BS300" s="1062" t="s">
        <v>2584</v>
      </c>
      <c r="BT300" s="1064"/>
      <c r="BU300" s="1064"/>
      <c r="BV300" s="979"/>
      <c r="BW300" s="979"/>
    </row>
    <row s="1834" customFormat="1" customHeight="1" ht="14.25">
      <c r="A301" s="1278"/>
      <c r="B301" s="978"/>
      <c r="C301" s="1278"/>
      <c r="D301" s="107" cm="1" t="str">
        <f t="array" ref="D301:D301">D300</f>
        <v>11</v>
      </c>
      <c r="E301" s="703">
        <v>15</v>
      </c>
      <c r="F301" s="50" cm="1" t="str">
        <f t="array" ref="F301:F301">OFFSET(E301,-1,1)</f>
        <v>1</v>
      </c>
      <c r="G301" s="158" t="s">
        <v>2386</v>
      </c>
      <c r="H301" s="1278"/>
      <c r="I301" s="158" t="s">
        <v>2901</v>
      </c>
      <c r="J301" s="1278"/>
      <c r="K301" s="158" t="s">
        <v>2901</v>
      </c>
      <c r="L301" s="980" t="s">
        <v>2585</v>
      </c>
      <c r="M301" s="107"/>
      <c r="N301" s="1278"/>
      <c r="O301" s="1278"/>
      <c r="P301" s="1278"/>
      <c r="Q301" s="1278"/>
      <c r="R301" s="1278"/>
      <c r="S301" s="1278"/>
      <c r="T301" s="465" cm="1" t="str">
        <f t="array" ref="T301:T301">T300</f>
        <v>true</v>
      </c>
      <c r="U301" s="1278"/>
      <c r="V301" s="1278"/>
      <c r="W301" s="1278"/>
      <c r="X301" s="1563"/>
      <c r="Y301" s="1278"/>
      <c r="Z301" s="1546"/>
      <c r="AA301" s="1278"/>
      <c r="AB301" s="300" t="str">
        <f>D301&amp;".3"</f>
        <v>11.3</v>
      </c>
      <c r="AC301" s="1111" t="s">
        <v>2902</v>
      </c>
      <c r="AD301" s="300" t="s">
        <v>1247</v>
      </c>
      <c r="AE301" s="946">
        <f>AE298-AE299</f>
        <v>0</v>
      </c>
      <c r="AF301" s="946">
        <f>AF298-AF299</f>
        <v>0</v>
      </c>
      <c r="AG301" s="946">
        <f>AG298-AG299</f>
        <v>0</v>
      </c>
      <c r="AH301" s="941">
        <f>AG301-AF301</f>
        <v>0</v>
      </c>
      <c r="AI301" s="825">
        <f>AI298-AI299</f>
        <v>0</v>
      </c>
      <c r="AJ301" s="825">
        <f>AJ298-AJ299</f>
        <v>589.050455</v>
      </c>
      <c r="AK301" s="825">
        <f>AK298-AK299</f>
        <v>1178.10091</v>
      </c>
      <c r="AL301" s="825">
        <f>AL298-AL299</f>
        <v>1178.10091</v>
      </c>
      <c r="AM301" s="825">
        <f>AM298-AM299</f>
        <v>1178.10091</v>
      </c>
      <c r="AN301" s="825">
        <f>AN298-AN299</f>
        <v>1178.10091</v>
      </c>
      <c r="AO301" s="825">
        <f>AO298-AO299</f>
        <v>0</v>
      </c>
      <c r="AP301" s="825">
        <f>AP298-AP299</f>
        <v>0</v>
      </c>
      <c r="AQ301" s="825">
        <f>AQ298-AQ299</f>
        <v>0</v>
      </c>
      <c r="AR301" s="825">
        <f>AR298-AR299</f>
        <v>0</v>
      </c>
      <c r="AS301" s="825">
        <f>AS298-AS299</f>
        <v>0</v>
      </c>
      <c r="AT301" s="825">
        <f>AT298-AT299</f>
        <v>589.050455</v>
      </c>
      <c r="AU301" s="825">
        <f>AU298-AU299</f>
        <v>1178.10091</v>
      </c>
      <c r="AV301" s="825">
        <f>AV298-AV299</f>
        <v>1178.10091</v>
      </c>
      <c r="AW301" s="825">
        <f>AW298-AW299</f>
        <v>1178.10091</v>
      </c>
      <c r="AX301" s="825">
        <f>AX298-AX299</f>
        <v>1178.10091</v>
      </c>
      <c r="AY301" s="825">
        <f>AY298-AY299</f>
        <v>0</v>
      </c>
      <c r="AZ301" s="825">
        <f>AZ298-AZ299</f>
        <v>0</v>
      </c>
      <c r="BA301" s="825">
        <f>BA298-BA299</f>
        <v>0</v>
      </c>
      <c r="BB301" s="825">
        <f>BB298-BB299</f>
        <v>0</v>
      </c>
      <c r="BC301" s="825">
        <f>BC298-BC299</f>
        <v>0</v>
      </c>
      <c r="BD301" s="942"/>
      <c r="BE301" s="942"/>
      <c r="BF301" s="942"/>
      <c r="BG301" s="942"/>
      <c r="BH301" s="942"/>
      <c r="BI301" s="942"/>
      <c r="BJ301" s="942"/>
      <c r="BK301" s="942"/>
      <c r="BL301" s="942"/>
      <c r="BM301" s="942"/>
      <c r="BN301" s="7771"/>
      <c r="BO301" s="7771"/>
      <c r="BP301" s="7771"/>
      <c r="BQ301" s="1278"/>
      <c r="BR301" s="1278"/>
      <c r="BS301" s="1062" t="s">
        <v>2588</v>
      </c>
      <c r="BT301" s="1064"/>
      <c r="BU301" s="1064"/>
      <c r="BV301" s="979"/>
      <c r="BW301" s="979"/>
    </row>
    <row s="1834" customFormat="1" customHeight="1" ht="14.25">
      <c r="A302" s="1278"/>
      <c r="B302" s="978"/>
      <c r="C302" s="1278"/>
      <c r="D302" s="107" cm="1" t="str">
        <f t="array" ref="D302:D302">D301</f>
        <v>11</v>
      </c>
      <c r="E302" s="703">
        <v>15</v>
      </c>
      <c r="F302" s="50" cm="1" t="str">
        <f t="array" ref="F302:F302">OFFSET(E302,-1,1)</f>
        <v>1</v>
      </c>
      <c r="G302" s="158" t="s">
        <v>2339</v>
      </c>
      <c r="H302" s="1278"/>
      <c r="I302" s="158" t="s">
        <v>2903</v>
      </c>
      <c r="J302" s="1278"/>
      <c r="K302" s="158" t="s">
        <v>2903</v>
      </c>
      <c r="L302" s="980" t="s">
        <v>2589</v>
      </c>
      <c r="M302" s="107"/>
      <c r="N302" s="1278"/>
      <c r="O302" s="1278"/>
      <c r="P302" s="1278"/>
      <c r="Q302" s="1278"/>
      <c r="R302" s="1278"/>
      <c r="S302" s="1278"/>
      <c r="T302" s="465" cm="1" t="str">
        <f t="array" ref="T302:T302">T301</f>
        <v>true</v>
      </c>
      <c r="U302" s="1278"/>
      <c r="V302" s="1278"/>
      <c r="W302" s="1278"/>
      <c r="X302" s="1563"/>
      <c r="Y302" s="1278"/>
      <c r="Z302" s="1546"/>
      <c r="AA302" s="1278"/>
      <c r="AB302" s="300" t="str">
        <f>D302&amp;".4"</f>
        <v>11.4</v>
      </c>
      <c r="AC302" s="1111" t="s">
        <v>2591</v>
      </c>
      <c r="AD302" s="300" t="s">
        <v>2337</v>
      </c>
      <c r="AE302" s="7773">
        <f>IF(AE301=0,0,(AE295-AE299*AE300)/AE301)</f>
        <v>0</v>
      </c>
      <c r="AF302" s="7773">
        <f>IF(AF301=0,0,(AF295-AF299*AF300)/AF301)</f>
        <v>0</v>
      </c>
      <c r="AG302" s="7773">
        <f>IF(AG301=0,0,(AG295-AG299*AG300)/AG301)</f>
        <v>0</v>
      </c>
      <c r="AH302" s="943">
        <f>AG302-AF302</f>
        <v>0</v>
      </c>
      <c r="AI302" s="7501">
        <f>IF(AI301=0,0,(AI295-AI299*AI300)/AI301)</f>
        <v>0</v>
      </c>
      <c r="AJ302" s="7501">
        <f>IF(AJ301=0,0,(AJ295-AJ299*AJ300)/AJ301)</f>
        <v>111.006708074135</v>
      </c>
      <c r="AK302" s="7501">
        <f>IF(AK301=0,0,(AK295-AK299*AK300)/AK301)</f>
        <v>59.7587545745689</v>
      </c>
      <c r="AL302" s="7501">
        <f>IF(AL301=0,0,(AL295-AL299*AL300)/AL301)</f>
        <v>63.9159112513985</v>
      </c>
      <c r="AM302" s="7501">
        <f>IF(AM301=0,0,(AM295-AM299*AM300)/AM301)</f>
        <v>71.7515358676602</v>
      </c>
      <c r="AN302" s="7501">
        <f>IF(AN301=0,0,(AN295-AN299*AN300)/AN301)</f>
        <v>117.161286713811</v>
      </c>
      <c r="AO302" s="1262">
        <f>IF(AO301=0,0,(AO295-AO299*AO300)/AO301)</f>
        <v>0</v>
      </c>
      <c r="AP302" s="1262">
        <f>IF(AP301=0,0,(AP295-AP299*AP300)/AP301)</f>
        <v>0</v>
      </c>
      <c r="AQ302" s="1262">
        <f>IF(AQ301=0,0,(AQ295-AQ299*AQ300)/AQ301)</f>
        <v>0</v>
      </c>
      <c r="AR302" s="1262">
        <f>IF(AR301=0,0,(AR295-AR299*AR300)/AR301)</f>
        <v>0</v>
      </c>
      <c r="AS302" s="1262">
        <f>IF(AS301=0,0,(AS295-AS299*AS300)/AS301)</f>
        <v>0</v>
      </c>
      <c r="AT302" s="7501">
        <f>IF(AT301=0,0,(AT295-AT299*AT300)/AT301)</f>
        <v>111.181844820156</v>
      </c>
      <c r="AU302" s="7501">
        <f>IF(AU301=0,0,(AU295-AU299*AU300)/AU301)</f>
        <v>-51.327552225415</v>
      </c>
      <c r="AV302" s="7501">
        <f>IF(AV301=0,0,(AV295-AV299*AV300)/AV301)</f>
        <v>115.343684498204</v>
      </c>
      <c r="AW302" s="7501">
        <f>IF(AW301=0,0,(AW295-AW299*AW300)/AW301)</f>
        <v>-43.4856506995231</v>
      </c>
      <c r="AX302" s="7501">
        <f>IF(AX301=0,0,(AX295-AX299*AX300)/AX301)</f>
        <v>160.783929763663</v>
      </c>
      <c r="AY302" s="1262">
        <f>IF(AY301=0,0,(AY295-AY299*AY300)/AY301)</f>
        <v>0</v>
      </c>
      <c r="AZ302" s="1262">
        <f>IF(AZ301=0,0,(AZ295-AZ299*AZ300)/AZ301)</f>
        <v>0</v>
      </c>
      <c r="BA302" s="1262">
        <f>IF(BA301=0,0,(BA295-BA299*BA300)/BA301)</f>
        <v>0</v>
      </c>
      <c r="BB302" s="1262">
        <f>IF(BB301=0,0,(BB295-BB299*BB300)/BB301)</f>
        <v>0</v>
      </c>
      <c r="BC302" s="1262">
        <f>IF(BC301=0,0,(BC295-BC299*BC300)/BC301)</f>
        <v>0</v>
      </c>
      <c r="BD302" s="942"/>
      <c r="BE302" s="942"/>
      <c r="BF302" s="942"/>
      <c r="BG302" s="942"/>
      <c r="BH302" s="942"/>
      <c r="BI302" s="942"/>
      <c r="BJ302" s="942"/>
      <c r="BK302" s="942"/>
      <c r="BL302" s="942"/>
      <c r="BM302" s="942"/>
      <c r="BN302" s="7771"/>
      <c r="BO302" s="7771"/>
      <c r="BP302" s="7771"/>
      <c r="BQ302" s="1278"/>
      <c r="BR302" s="1278"/>
      <c r="BS302" s="1062" t="s">
        <v>2592</v>
      </c>
      <c r="BT302" s="1064"/>
      <c r="BU302" s="1064"/>
      <c r="BV302" s="979"/>
      <c r="BW302" s="979"/>
    </row>
    <row s="1834" customFormat="1" customHeight="1" ht="14.25">
      <c r="A303" s="1278"/>
      <c r="B303" s="978"/>
      <c r="C303" s="1278"/>
      <c r="D303" s="107" cm="1" t="str">
        <f t="array" ref="D303:D303">D302</f>
        <v>11</v>
      </c>
      <c r="E303" s="703">
        <v>15</v>
      </c>
      <c r="F303" s="50" cm="1" t="str">
        <f t="array" ref="F303:F303">OFFSET(E303,-1,1)</f>
        <v>1</v>
      </c>
      <c r="G303" s="1278"/>
      <c r="H303" s="1278"/>
      <c r="I303" s="158" t="s">
        <v>2904</v>
      </c>
      <c r="J303" s="1278"/>
      <c r="K303" s="158" t="s">
        <v>2904</v>
      </c>
      <c r="L303" s="980" t="s">
        <v>2593</v>
      </c>
      <c r="M303" s="107"/>
      <c r="N303" s="1278"/>
      <c r="O303" s="1278"/>
      <c r="P303" s="1278"/>
      <c r="Q303" s="1278"/>
      <c r="R303" s="1278"/>
      <c r="S303" s="1278"/>
      <c r="T303" s="465" cm="1" t="str">
        <f t="array" ref="T303:T303">T302</f>
        <v>true</v>
      </c>
      <c r="U303" s="1278"/>
      <c r="V303" s="1278"/>
      <c r="W303" s="1278"/>
      <c r="X303" s="1563"/>
      <c r="Y303" s="1278"/>
      <c r="Z303" s="1546"/>
      <c r="AA303" s="1278"/>
      <c r="AB303" s="300" t="str">
        <f>D303&amp;".5"</f>
        <v>11.5</v>
      </c>
      <c r="AC303" s="1111" t="s">
        <v>2595</v>
      </c>
      <c r="AD303" s="300" t="s">
        <v>1170</v>
      </c>
      <c r="AE303" s="259">
        <f>IF(AE300=0,0,AE302/AE300*100)</f>
        <v>0</v>
      </c>
      <c r="AF303" s="259">
        <f>IF(AF300=0,0,AF302/AF300*100)</f>
        <v>0</v>
      </c>
      <c r="AG303" s="259">
        <f>IF(AG300=0,0,AG302/AG300*100)</f>
        <v>0</v>
      </c>
      <c r="AH303" s="942"/>
      <c r="AI303" s="802">
        <f>IF(AI300=0,0,AI302/AI300*100)</f>
        <v>0</v>
      </c>
      <c r="AJ303" s="802">
        <f>IF(AJ300=0,0,AJ302/AJ300*100)</f>
        <v>0</v>
      </c>
      <c r="AK303" s="802">
        <f>IF(AK300=0,0,AK302/AK300*100)</f>
        <v>0</v>
      </c>
      <c r="AL303" s="802">
        <f>IF(AL300=0,0,AL302/AL300*100)</f>
        <v>0</v>
      </c>
      <c r="AM303" s="802">
        <f>IF(AM300=0,0,AM302/AM300*100)</f>
        <v>0</v>
      </c>
      <c r="AN303" s="802">
        <f>IF(AN300=0,0,AN302/AN300*100)</f>
        <v>0</v>
      </c>
      <c r="AO303" s="802">
        <f>IF(AO300=0,0,AO302/AO300*100)</f>
        <v>0</v>
      </c>
      <c r="AP303" s="802">
        <f>IF(AP300=0,0,AP302/AP300*100)</f>
        <v>0</v>
      </c>
      <c r="AQ303" s="802">
        <f>IF(AQ300=0,0,AQ302/AQ300*100)</f>
        <v>0</v>
      </c>
      <c r="AR303" s="802">
        <f>IF(AR300=0,0,AR302/AR300*100)</f>
        <v>0</v>
      </c>
      <c r="AS303" s="802">
        <f>IF(AS300=0,0,AS302/AS300*100)</f>
        <v>0</v>
      </c>
      <c r="AT303" s="802">
        <f>IF(AT300=0,0,AT302/AT300*100)</f>
        <v>0</v>
      </c>
      <c r="AU303" s="802">
        <f>IF(AU300=0,0,AU302/AU300*100)</f>
        <v>-46.1654079480699</v>
      </c>
      <c r="AV303" s="802">
        <f>IF(AV300=0,0,AV302/AV300*100)</f>
        <v>-224.720797110389</v>
      </c>
      <c r="AW303" s="802">
        <f>IF(AW300=0,0,AW302/AW300*100)</f>
        <v>-37.7009377571949</v>
      </c>
      <c r="AX303" s="802">
        <f>IF(AX300=0,0,AX302/AX300*100)</f>
        <v>-369.740195161496</v>
      </c>
      <c r="AY303" s="802">
        <f>IF(AY300=0,0,AY302/AY300*100)</f>
        <v>0</v>
      </c>
      <c r="AZ303" s="802">
        <f>IF(AZ300=0,0,AZ302/AZ300*100)</f>
        <v>0</v>
      </c>
      <c r="BA303" s="802">
        <f>IF(BA300=0,0,BA302/BA300*100)</f>
        <v>0</v>
      </c>
      <c r="BB303" s="802">
        <f>IF(BB300=0,0,BB302/BB300*100)</f>
        <v>0</v>
      </c>
      <c r="BC303" s="802">
        <f>IF(BC300=0,0,BC302/BC300*100)</f>
        <v>0</v>
      </c>
      <c r="BD303" s="942"/>
      <c r="BE303" s="942"/>
      <c r="BF303" s="942"/>
      <c r="BG303" s="942"/>
      <c r="BH303" s="942"/>
      <c r="BI303" s="942"/>
      <c r="BJ303" s="942"/>
      <c r="BK303" s="942"/>
      <c r="BL303" s="942"/>
      <c r="BM303" s="942"/>
      <c r="BN303" s="7771"/>
      <c r="BO303" s="7771"/>
      <c r="BP303" s="7771"/>
      <c r="BQ303" s="1278"/>
      <c r="BR303" s="1278"/>
      <c r="BS303" s="1062" t="s">
        <v>2596</v>
      </c>
      <c r="BT303" s="1064"/>
      <c r="BU303" s="1064"/>
      <c r="BV303" s="979"/>
      <c r="BW303" s="979"/>
    </row>
    <row s="1834" customFormat="1" customHeight="1" ht="14.25">
      <c r="A304" s="1278"/>
      <c r="B304" s="978"/>
      <c r="C304" s="1278"/>
      <c r="D304" s="107" cm="1" t="str">
        <f t="array" ref="D304:D304">D303</f>
        <v>11</v>
      </c>
      <c r="E304" s="703">
        <v>15</v>
      </c>
      <c r="F304" s="50" cm="1" t="str">
        <f t="array" ref="F304:F304">OFFSET(E304,-1,1)</f>
        <v>1</v>
      </c>
      <c r="G304" s="1278"/>
      <c r="H304" s="1278"/>
      <c r="I304" s="158" t="s">
        <v>2905</v>
      </c>
      <c r="J304" s="1278"/>
      <c r="K304" s="158" t="s">
        <v>2905</v>
      </c>
      <c r="L304" s="980" t="s">
        <v>2597</v>
      </c>
      <c r="M304" s="107"/>
      <c r="N304" s="1278"/>
      <c r="O304" s="1278"/>
      <c r="P304" s="1278"/>
      <c r="Q304" s="1278"/>
      <c r="R304" s="1278"/>
      <c r="S304" s="1278"/>
      <c r="T304" s="465" cm="1" t="str">
        <f t="array" ref="T304:T304">T303</f>
        <v>true</v>
      </c>
      <c r="U304" s="1278"/>
      <c r="V304" s="1278"/>
      <c r="W304" s="1278"/>
      <c r="X304" s="1563"/>
      <c r="Y304" s="1278"/>
      <c r="Z304" s="1546"/>
      <c r="AA304" s="1278"/>
      <c r="AB304" s="300" t="str">
        <f>D304&amp;".6"</f>
        <v>11.6</v>
      </c>
      <c r="AC304" s="1111" t="s">
        <v>2599</v>
      </c>
      <c r="AD304" s="300" t="s">
        <v>2337</v>
      </c>
      <c r="AE304" s="7773">
        <f>IF(AE298=0,0,AE295/AE298)</f>
        <v>0</v>
      </c>
      <c r="AF304" s="7773">
        <f>IF(AF298=0,0,AF295/AF298)</f>
        <v>0</v>
      </c>
      <c r="AG304" s="7773">
        <f>IF(AG298=0,0,AG295/AG298)</f>
        <v>0</v>
      </c>
      <c r="AH304" s="943">
        <f>AG304-AF304</f>
        <v>0</v>
      </c>
      <c r="AI304" s="7501">
        <f>IF(AI298=0,0,AI295/AI298)</f>
        <v>0</v>
      </c>
      <c r="AJ304" s="7501">
        <f>IF(AJ298=0,0,AJ295/AJ298)</f>
        <v>27.7516770185338</v>
      </c>
      <c r="AK304" s="7501">
        <f>IF(AK298=0,0,AK295/AK298)</f>
        <v>29.8793772872845</v>
      </c>
      <c r="AL304" s="7501">
        <f>IF(AL298=0,0,AL295/AL298)</f>
        <v>31.9579556256992</v>
      </c>
      <c r="AM304" s="7501">
        <f>IF(AM298=0,0,AM295/AM298)</f>
        <v>35.8757679338301</v>
      </c>
      <c r="AN304" s="7501">
        <f>IF(AN298=0,0,AN295/AN298)</f>
        <v>58.5806433569056</v>
      </c>
      <c r="AO304" s="1262">
        <f>IF(AO298=0,0,AO295/AO298)</f>
        <v>0</v>
      </c>
      <c r="AP304" s="1262">
        <f>IF(AP298=0,0,AP295/AP298)</f>
        <v>0</v>
      </c>
      <c r="AQ304" s="1262">
        <f>IF(AQ298=0,0,AQ295/AQ298)</f>
        <v>0</v>
      </c>
      <c r="AR304" s="1262">
        <f>IF(AR298=0,0,AR295/AR298)</f>
        <v>0</v>
      </c>
      <c r="AS304" s="1262">
        <f>IF(AS298=0,0,AS295/AS298)</f>
        <v>0</v>
      </c>
      <c r="AT304" s="7501">
        <f>IF(AT298=0,0,AT295/AT298)</f>
        <v>27.795461205039</v>
      </c>
      <c r="AU304" s="7501">
        <f>IF(AU298=0,0,AU295/AU298)</f>
        <v>29.9271462973707</v>
      </c>
      <c r="AV304" s="7501">
        <f>IF(AV298=0,0,AV295/AV298)</f>
        <v>32.0080661363946</v>
      </c>
      <c r="AW304" s="7501">
        <f>IF(AW298=0,0,AW295/AW298)</f>
        <v>35.9290168993404</v>
      </c>
      <c r="AX304" s="7501">
        <f>IF(AX298=0,0,AX295/AX298)</f>
        <v>58.6491395320699</v>
      </c>
      <c r="AY304" s="1262">
        <f>IF(AY298=0,0,AY295/AY298)</f>
        <v>0</v>
      </c>
      <c r="AZ304" s="1262">
        <f>IF(AZ298=0,0,AZ295/AZ298)</f>
        <v>0</v>
      </c>
      <c r="BA304" s="1262">
        <f>IF(BA298=0,0,BA295/BA298)</f>
        <v>0</v>
      </c>
      <c r="BB304" s="1262">
        <f>IF(BB298=0,0,BB295/BB298)</f>
        <v>0</v>
      </c>
      <c r="BC304" s="1262">
        <f>IF(BC298=0,0,BC295/BC298)</f>
        <v>0</v>
      </c>
      <c r="BD304" s="942"/>
      <c r="BE304" s="942"/>
      <c r="BF304" s="942"/>
      <c r="BG304" s="942"/>
      <c r="BH304" s="942"/>
      <c r="BI304" s="942"/>
      <c r="BJ304" s="942"/>
      <c r="BK304" s="942"/>
      <c r="BL304" s="942"/>
      <c r="BM304" s="942"/>
      <c r="BN304" s="7771"/>
      <c r="BO304" s="7771"/>
      <c r="BP304" s="7771"/>
      <c r="BQ304" s="1278"/>
      <c r="BR304" s="1278"/>
      <c r="BS304" s="1062" t="s">
        <v>2600</v>
      </c>
      <c r="BT304" s="1064"/>
      <c r="BU304" s="1064"/>
      <c r="BV304" s="979"/>
      <c r="BW304" s="979"/>
    </row>
    <row s="7788" customFormat="1" customHeight="1" ht="20.25">
      <c r="A305" s="700"/>
      <c r="B305" s="435"/>
      <c r="C305" s="700"/>
      <c r="D305" s="109">
        <f>D304+1</f>
        <v>12</v>
      </c>
      <c r="E305" s="707">
        <v>21</v>
      </c>
      <c r="F305" s="50" cm="1" t="str">
        <f t="array" ref="F305:F305">OFFSET(E305,-1,1)</f>
        <v>1</v>
      </c>
      <c r="G305" s="700"/>
      <c r="H305" s="158"/>
      <c r="I305" s="158" t="s">
        <v>2604</v>
      </c>
      <c r="J305" s="700"/>
      <c r="K305" s="158" t="s">
        <v>2604</v>
      </c>
      <c r="L305" s="985" t="s">
        <v>2601</v>
      </c>
      <c r="M305" s="109"/>
      <c r="N305" s="700"/>
      <c r="O305" s="700"/>
      <c r="P305" s="700"/>
      <c r="Q305" s="700"/>
      <c r="R305" s="700"/>
      <c r="S305" s="700"/>
      <c r="T305" s="465" cm="1" t="str">
        <f t="array" ref="T305:T305">T304</f>
        <v>true</v>
      </c>
      <c r="U305" s="700"/>
      <c r="V305" s="700"/>
      <c r="W305" s="700"/>
      <c r="X305" s="1563"/>
      <c r="Y305" s="700"/>
      <c r="Z305" s="1546"/>
      <c r="AA305" s="700"/>
      <c r="AB305" s="211" cm="1" t="str">
        <f t="array" ref="AB305:AB305">D305</f>
        <v>12</v>
      </c>
      <c r="AC305" s="212" t="s">
        <v>2602</v>
      </c>
      <c r="AD305" s="211" t="s">
        <v>1514</v>
      </c>
      <c r="AE305" s="7499">
        <f>IF(AE298=0,0,AE295/AE298*AE306)</f>
        <v>0</v>
      </c>
      <c r="AF305" s="7499">
        <f>IF(AF298=0,0,AF295/AF298*AF306)</f>
        <v>0</v>
      </c>
      <c r="AG305" s="7499">
        <f>IF(AG298=0,0,AG295/AG298*AG306)</f>
        <v>0</v>
      </c>
      <c r="AH305" s="770">
        <f>AH307*AH308+AH309*AH310</f>
        <v>0</v>
      </c>
      <c r="AI305" s="7789">
        <f>IF(AI298=0,0,AI295/AI298*AI306)</f>
        <v>0</v>
      </c>
      <c r="AJ305" s="7789">
        <f>IF(AJ298=0,0,AJ295/AJ298*AJ306)</f>
        <v>29387.6356036087</v>
      </c>
      <c r="AK305" s="7789">
        <f>IF(AK298=0,0,AK295/AK298*AK306)</f>
        <v>31640.7635904321</v>
      </c>
      <c r="AL305" s="7789">
        <f>IF(AL298=0,0,AL295/AL298*AL306)</f>
        <v>33841.8739140387</v>
      </c>
      <c r="AM305" s="7789">
        <f>IF(AM298=0,0,AM295/AM298*AM306)</f>
        <v>37990.6408659526</v>
      </c>
      <c r="AN305" s="7789">
        <f>IF(AN298=0,0,AN295/AN298*AN306)</f>
        <v>62033.9664247309</v>
      </c>
      <c r="AO305" s="1263">
        <f>IF(AO298=0,0,AO295/AO298*AO306)</f>
        <v>0</v>
      </c>
      <c r="AP305" s="1263">
        <f>IF(AP298=0,0,AP295/AP298*AP306)</f>
        <v>0</v>
      </c>
      <c r="AQ305" s="1263">
        <f>IF(AQ298=0,0,AQ295/AQ298*AQ306)</f>
        <v>0</v>
      </c>
      <c r="AR305" s="1263">
        <f>IF(AR298=0,0,AR295/AR298*AR306)</f>
        <v>0</v>
      </c>
      <c r="AS305" s="1263">
        <f>IF(AS298=0,0,AS295/AS298*AS306)</f>
        <v>0</v>
      </c>
      <c r="AT305" s="7789">
        <f>IF(AT298=0,0,AT295/AT298*AT306)</f>
        <v>29434.00086353</v>
      </c>
      <c r="AU305" s="7789">
        <f>IF(AU298=0,0,AU295/AU298*AU306)</f>
        <v>31691.348578886</v>
      </c>
      <c r="AV305" s="7789">
        <f>IF(AV298=0,0,AV295/AV298*AV306)</f>
        <v>33894.9384343284</v>
      </c>
      <c r="AW305" s="7789">
        <f>IF(AW298=0,0,AW295/AW298*AW306)</f>
        <v>38047.0288526549</v>
      </c>
      <c r="AX305" s="7789">
        <f>IF(AX298=0,0,AX295/AX298*AX306)</f>
        <v>62106.5004425715</v>
      </c>
      <c r="AY305" s="1263">
        <f>IF(AY298=0,0,AY295/AY298*AY306)</f>
        <v>0</v>
      </c>
      <c r="AZ305" s="1263">
        <f>IF(AZ298=0,0,AZ295/AZ298*AZ306)</f>
        <v>0</v>
      </c>
      <c r="BA305" s="1263">
        <f>IF(BA298=0,0,BA295/BA298*BA306)</f>
        <v>0</v>
      </c>
      <c r="BB305" s="1263">
        <f>IF(BB298=0,0,BB295/BB298*BB306)</f>
        <v>0</v>
      </c>
      <c r="BC305" s="1263">
        <f>IF(BC298=0,0,BC295/BC298*BC306)</f>
        <v>0</v>
      </c>
      <c r="BD305" s="761">
        <f>IF(AI305=0,0,(AT305-AI305)/AI305*100)</f>
        <v>0</v>
      </c>
      <c r="BE305" s="761">
        <f>IF(AT305=0,0,(AU305-AT305)/AT305*100)</f>
        <v>7.66918410386049</v>
      </c>
      <c r="BF305" s="761">
        <f>IF(AU305=0,0,(AV305-AU305)/AU305*100)</f>
        <v>6.95328521586018</v>
      </c>
      <c r="BG305" s="761">
        <f>IF(AV305=0,0,(AW305-AV305)/AV305*100)</f>
        <v>12.2498833457721</v>
      </c>
      <c r="BH305" s="761">
        <f>IF(AW305=0,0,(AX305-AW305)/AW305*100)</f>
        <v>63.2361377890819</v>
      </c>
      <c r="BI305" s="761">
        <f>IF(AX305=0,0,(AY305-AX305)/AX305*100)</f>
        <v>-100</v>
      </c>
      <c r="BJ305" s="761">
        <f>IF(AY305=0,0,(AZ305-AY305)/AY305*100)</f>
        <v>0</v>
      </c>
      <c r="BK305" s="761">
        <f>IF(AZ305=0,0,(BA305-AZ305)/AZ305*100)</f>
        <v>0</v>
      </c>
      <c r="BL305" s="761">
        <f>IF(BA305=0,0,(BB305-BA305)/BA305*100)</f>
        <v>0</v>
      </c>
      <c r="BM305" s="761">
        <f>IF(BB305=0,0,(BC305-BB305)/BB305*100)</f>
        <v>0</v>
      </c>
      <c r="BN305" s="7771"/>
      <c r="BO305" s="7771"/>
      <c r="BP305" s="7771"/>
      <c r="BQ305" s="700"/>
      <c r="BR305" s="700"/>
      <c r="BS305" s="1063" t="s">
        <v>2603</v>
      </c>
      <c r="BT305" s="1070"/>
      <c r="BU305" s="1070"/>
      <c r="BV305" s="707"/>
      <c r="BW305" s="707"/>
    </row>
    <row s="7790" customFormat="1" customHeight="1" ht="20.25">
      <c r="A306" s="700"/>
      <c r="B306" s="435"/>
      <c r="C306" s="700"/>
      <c r="D306" s="109">
        <f>D305+1</f>
        <v>13</v>
      </c>
      <c r="E306" s="707">
        <v>21</v>
      </c>
      <c r="F306" s="50" cm="1" t="str">
        <f t="array" ref="F306:F306">OFFSET(E306,-1,1)</f>
        <v>1</v>
      </c>
      <c r="G306" s="158" t="s">
        <v>2359</v>
      </c>
      <c r="H306" s="158"/>
      <c r="I306" s="158" t="s">
        <v>2906</v>
      </c>
      <c r="J306" s="700"/>
      <c r="K306" s="158" t="s">
        <v>2906</v>
      </c>
      <c r="L306" s="985" t="s">
        <v>2604</v>
      </c>
      <c r="M306" s="109"/>
      <c r="N306" s="700"/>
      <c r="O306" s="700"/>
      <c r="P306" s="700"/>
      <c r="Q306" s="700"/>
      <c r="R306" s="700"/>
      <c r="S306" s="700"/>
      <c r="T306" s="465" cm="1" t="str">
        <f t="array" ref="T306:T306">T305</f>
        <v>true</v>
      </c>
      <c r="U306" s="700"/>
      <c r="V306" s="700"/>
      <c r="W306" s="700"/>
      <c r="X306" s="1563"/>
      <c r="Y306" s="700"/>
      <c r="Z306" s="1546"/>
      <c r="AA306" s="700"/>
      <c r="AB306" s="211" cm="1" t="str">
        <f t="array" ref="AB306:AB306">D306</f>
        <v>13</v>
      </c>
      <c r="AC306" s="212" t="s">
        <v>2605</v>
      </c>
      <c r="AD306" s="211" t="s">
        <v>1247</v>
      </c>
      <c r="AE306" s="785">
        <f>_xlfn.SUMIFS(Баланс!AE$26:AE$482,Баланс!$F$26:$F$482,$F306,Баланс!$G$26:$G$482,"население")</f>
        <v>0</v>
      </c>
      <c r="AF306" s="785">
        <f>_xlfn.SUMIFS(Баланс!AF$26:AF$482,Баланс!$F$26:$F$482,$F306,Баланс!$G$26:$G$482,"население")</f>
        <v>0</v>
      </c>
      <c r="AG306" s="785">
        <f>_xlfn.SUMIFS(Баланс!AG$26:AG$482,Баланс!$F$26:$F$482,$F306,Баланс!$G$26:$G$482,"население")</f>
        <v>0</v>
      </c>
      <c r="AH306" s="786">
        <f>AG306-AF306</f>
        <v>0</v>
      </c>
      <c r="AI306" s="786">
        <f>_xlfn.SUMIFS(Баланс!AH$26:AH$482,Баланс!$F$26:$F$482,$F306,Баланс!$G$26:$G$482,"население")</f>
        <v>0</v>
      </c>
      <c r="AJ306" s="786">
        <f>_xlfn.SUMIFS(Баланс!AI$26:AI$482,Баланс!$F$26:$F$482,$F306,Баланс!$G$26:$G$482,"население")</f>
        <v>1058.9499</v>
      </c>
      <c r="AK306" s="786">
        <f>_xlfn.SUMIFS(Баланс!AJ$26:AJ$482,Баланс!$F$26:$F$482,$F306,Баланс!$G$26:$G$482,"население")</f>
        <v>1058.9499</v>
      </c>
      <c r="AL306" s="786">
        <f>_xlfn.SUMIFS(Баланс!AK$26:AK$482,Баланс!$F$26:$F$482,$F306,Баланс!$G$26:$G$482,"население")</f>
        <v>1058.9499</v>
      </c>
      <c r="AM306" s="786">
        <f>_xlfn.SUMIFS(Баланс!AL$26:AL$482,Баланс!$F$26:$F$482,$F306,Баланс!$G$26:$G$482,"население")</f>
        <v>1058.9499</v>
      </c>
      <c r="AN306" s="786">
        <f>_xlfn.SUMIFS(Баланс!AM$26:AM$482,Баланс!$F$26:$F$482,$F306,Баланс!$G$26:$G$482,"население")</f>
        <v>1058.9499</v>
      </c>
      <c r="AO306" s="786">
        <f>_xlfn.SUMIFS(Баланс!AN$26:AN$482,Баланс!$F$26:$F$482,$F306,Баланс!$G$26:$G$482,"население")</f>
        <v>0</v>
      </c>
      <c r="AP306" s="786">
        <f>_xlfn.SUMIFS(Баланс!AO$26:AO$482,Баланс!$F$26:$F$482,$F306,Баланс!$G$26:$G$482,"население")</f>
        <v>0</v>
      </c>
      <c r="AQ306" s="786">
        <f>_xlfn.SUMIFS(Баланс!AP$26:AP$482,Баланс!$F$26:$F$482,$F306,Баланс!$G$26:$G$482,"население")</f>
        <v>0</v>
      </c>
      <c r="AR306" s="786">
        <f>_xlfn.SUMIFS(Баланс!AQ$26:AQ$482,Баланс!$F$26:$F$482,$F306,Баланс!$G$26:$G$482,"население")</f>
        <v>0</v>
      </c>
      <c r="AS306" s="786">
        <f>_xlfn.SUMIFS(Баланс!AR$26:AR$482,Баланс!$F$26:$F$482,$F306,Баланс!$G$26:$G$482,"население")</f>
        <v>0</v>
      </c>
      <c r="AT306" s="786">
        <f>_xlfn.SUMIFS(Баланс!AS$26:AS$482,Баланс!$F$26:$F$482,$F306,Баланс!$G$26:$G$482,"население")</f>
        <v>1058.9499</v>
      </c>
      <c r="AU306" s="786">
        <f>_xlfn.SUMIFS(Баланс!AT$26:AT$482,Баланс!$F$26:$F$482,$F306,Баланс!$G$26:$G$482,"население")</f>
        <v>1058.9499</v>
      </c>
      <c r="AV306" s="786">
        <f>_xlfn.SUMIFS(Баланс!AU$26:AU$482,Баланс!$F$26:$F$482,$F306,Баланс!$G$26:$G$482,"население")</f>
        <v>1058.9499</v>
      </c>
      <c r="AW306" s="786">
        <f>_xlfn.SUMIFS(Баланс!AV$26:AV$482,Баланс!$F$26:$F$482,$F306,Баланс!$G$26:$G$482,"население")</f>
        <v>1058.9499</v>
      </c>
      <c r="AX306" s="786">
        <f>_xlfn.SUMIFS(Баланс!AW$26:AW$482,Баланс!$F$26:$F$482,$F306,Баланс!$G$26:$G$482,"население")</f>
        <v>1058.9499</v>
      </c>
      <c r="AY306" s="786">
        <f>_xlfn.SUMIFS(Баланс!AX$26:AX$482,Баланс!$F$26:$F$482,$F306,Баланс!$G$26:$G$482,"население")</f>
        <v>0</v>
      </c>
      <c r="AZ306" s="786">
        <f>_xlfn.SUMIFS(Баланс!AY$26:AY$482,Баланс!$F$26:$F$482,$F306,Баланс!$G$26:$G$482,"население")</f>
        <v>0</v>
      </c>
      <c r="BA306" s="786">
        <f>_xlfn.SUMIFS(Баланс!AZ$26:AZ$482,Баланс!$F$26:$F$482,$F306,Баланс!$G$26:$G$482,"население")</f>
        <v>0</v>
      </c>
      <c r="BB306" s="786">
        <f>_xlfn.SUMIFS(Баланс!BA$26:BA$482,Баланс!$F$26:$F$482,$F306,Баланс!$G$26:$G$482,"население")</f>
        <v>0</v>
      </c>
      <c r="BC306" s="786">
        <f>_xlfn.SUMIFS(Баланс!BB$26:BB$482,Баланс!$F$26:$F$482,$F306,Баланс!$G$26:$G$482,"население")</f>
        <v>0</v>
      </c>
      <c r="BD306" s="764"/>
      <c r="BE306" s="764"/>
      <c r="BF306" s="764"/>
      <c r="BG306" s="764"/>
      <c r="BH306" s="764"/>
      <c r="BI306" s="764"/>
      <c r="BJ306" s="764"/>
      <c r="BK306" s="764"/>
      <c r="BL306" s="764"/>
      <c r="BM306" s="764"/>
      <c r="BN306" s="7771"/>
      <c r="BO306" s="7771"/>
      <c r="BP306" s="7771"/>
      <c r="BQ306" s="700"/>
      <c r="BR306" s="700"/>
      <c r="BS306" s="1063" t="s">
        <v>2606</v>
      </c>
      <c r="BT306" s="1070"/>
      <c r="BU306" s="1070"/>
      <c r="BV306" s="707"/>
      <c r="BW306" s="707"/>
    </row>
    <row s="1834" customFormat="1" customHeight="1" ht="14.25">
      <c r="A307" s="1278"/>
      <c r="B307" s="978"/>
      <c r="C307" s="1278"/>
      <c r="D307" s="107" cm="1" t="str">
        <f t="array" ref="D307:D307">D306</f>
        <v>13</v>
      </c>
      <c r="E307" s="703">
        <v>15</v>
      </c>
      <c r="F307" s="50" cm="1" t="str">
        <f t="array" ref="F307:F307">OFFSET(E307,-1,1)</f>
        <v>1</v>
      </c>
      <c r="G307" s="158" t="s">
        <v>2393</v>
      </c>
      <c r="H307" s="1278"/>
      <c r="I307" s="158" t="s">
        <v>2907</v>
      </c>
      <c r="J307" s="1278"/>
      <c r="K307" s="158" t="s">
        <v>2907</v>
      </c>
      <c r="L307" s="980" t="s">
        <v>2607</v>
      </c>
      <c r="M307" s="107"/>
      <c r="N307" s="1278"/>
      <c r="O307" s="1278"/>
      <c r="P307" s="1278"/>
      <c r="Q307" s="1278"/>
      <c r="R307" s="1278"/>
      <c r="S307" s="1278"/>
      <c r="T307" s="465" cm="1" t="str">
        <f t="array" ref="T307:T307">T306</f>
        <v>true</v>
      </c>
      <c r="U307" s="1278"/>
      <c r="V307" s="1278"/>
      <c r="W307" s="1278"/>
      <c r="X307" s="1563"/>
      <c r="Y307" s="1278"/>
      <c r="Z307" s="1546"/>
      <c r="AA307" s="1278"/>
      <c r="AB307" s="300" t="str">
        <f>D307&amp;".1"</f>
        <v>13.1</v>
      </c>
      <c r="AC307" s="1111" t="s">
        <v>2609</v>
      </c>
      <c r="AD307" s="300" t="s">
        <v>1247</v>
      </c>
      <c r="AE307" s="7787">
        <f>IF(AE$24="2026 год",AE306/12*9,AE306/2)</f>
        <v>0</v>
      </c>
      <c r="AF307" s="7787">
        <f>IF(AF$24="2026 год",AF306/12*9,AF306/2)</f>
        <v>0</v>
      </c>
      <c r="AG307" s="7787">
        <f>IF(AG$24="2026 год",AG306/12*9,AG306/2)</f>
        <v>0</v>
      </c>
      <c r="AH307" s="941">
        <f>AG307-AF307</f>
        <v>0</v>
      </c>
      <c r="AI307" s="7497">
        <f>IF(AI$24="2026 год",AI306/12*9,AI306/2)</f>
        <v>0</v>
      </c>
      <c r="AJ307" s="7787">
        <f>IF(AJ$24="2026 год",AJ306/12*9,AJ306/2)</f>
        <v>794.212425</v>
      </c>
      <c r="AK307" s="7787">
        <f>IF(AK$24="2026 год",AK306/12*9,AK306/2)</f>
        <v>529.47495</v>
      </c>
      <c r="AL307" s="7497">
        <f>IF(AL$24="2026 год",AL306/12*9,AL306/2)</f>
        <v>529.47495</v>
      </c>
      <c r="AM307" s="7497">
        <f>IF(AM$24="2026 год",AM306/12*9,AM306/2)</f>
        <v>529.47495</v>
      </c>
      <c r="AN307" s="7497">
        <f>IF(AN$24="2026 год",AN306/12*9,AN306/2)</f>
        <v>529.47495</v>
      </c>
      <c r="AO307" s="1261">
        <f>IF(AO$24="2026 год",AO306/12*9,AO306/2)</f>
        <v>0</v>
      </c>
      <c r="AP307" s="1261">
        <f>IF(AP$24="2026 год",AP306/12*9,AP306/2)</f>
        <v>0</v>
      </c>
      <c r="AQ307" s="1261">
        <f>IF(AQ$24="2026 год",AQ306/12*9,AQ306/2)</f>
        <v>0</v>
      </c>
      <c r="AR307" s="1261">
        <f>IF(AR$24="2026 год",AR306/12*9,AR306/2)</f>
        <v>0</v>
      </c>
      <c r="AS307" s="1261">
        <f>IF(AS$24="2026 год",AS306/12*9,AS306/2)</f>
        <v>0</v>
      </c>
      <c r="AT307" s="7497">
        <f>IF(AT$24="2026 год",AT306/12*9,AT306/2)</f>
        <v>794.212425</v>
      </c>
      <c r="AU307" s="7497">
        <f>IF(AU$24="2026 год",AU306/12*9,AU306/2)</f>
        <v>529.47495</v>
      </c>
      <c r="AV307" s="7497">
        <f>IF(AV$24="2026 год",AV306/12*9,AV306/2)</f>
        <v>529.47495</v>
      </c>
      <c r="AW307" s="7497">
        <f>IF(AW$24="2026 год",AW306/12*9,AW306/2)</f>
        <v>529.47495</v>
      </c>
      <c r="AX307" s="7497">
        <f>IF(AX$24="2026 год",AX306/12*9,AX306/2)</f>
        <v>529.47495</v>
      </c>
      <c r="AY307" s="1261">
        <f>IF(AY$24="2026 год",AY306/12*9,AY306/2)</f>
        <v>0</v>
      </c>
      <c r="AZ307" s="1261">
        <f>IF(AZ$24="2026 год",AZ306/12*9,AZ306/2)</f>
        <v>0</v>
      </c>
      <c r="BA307" s="1261">
        <f>IF(BA$24="2026 год",BA306/12*9,BA306/2)</f>
        <v>0</v>
      </c>
      <c r="BB307" s="1261">
        <f>IF(BB$24="2026 год",BB306/12*9,BB306/2)</f>
        <v>0</v>
      </c>
      <c r="BC307" s="1261">
        <f>IF(BC$24="2026 год",BC306/12*9,BC306/2)</f>
        <v>0</v>
      </c>
      <c r="BD307" s="942"/>
      <c r="BE307" s="942"/>
      <c r="BF307" s="942"/>
      <c r="BG307" s="942"/>
      <c r="BH307" s="942"/>
      <c r="BI307" s="942"/>
      <c r="BJ307" s="942"/>
      <c r="BK307" s="942"/>
      <c r="BL307" s="942"/>
      <c r="BM307" s="942"/>
      <c r="BN307" s="7771"/>
      <c r="BO307" s="7771"/>
      <c r="BP307" s="7771"/>
      <c r="BQ307" s="1278"/>
      <c r="BR307" s="1278"/>
      <c r="BS307" s="1062" t="s">
        <v>2610</v>
      </c>
      <c r="BT307" s="1064"/>
      <c r="BU307" s="1064"/>
      <c r="BV307" s="979"/>
      <c r="BW307" s="979"/>
    </row>
    <row s="1834" customFormat="1" customHeight="1" ht="14.25">
      <c r="A308" s="1278"/>
      <c r="B308" s="978"/>
      <c r="C308" s="1278"/>
      <c r="D308" s="107" cm="1" t="str">
        <f t="array" ref="D308:D308">D307</f>
        <v>13</v>
      </c>
      <c r="E308" s="703">
        <v>15</v>
      </c>
      <c r="F308" s="50" cm="1" t="str">
        <f t="array" ref="F308:F308">OFFSET(E308,-1,1)</f>
        <v>1</v>
      </c>
      <c r="G308" s="158" t="s">
        <v>2349</v>
      </c>
      <c r="H308" s="1278"/>
      <c r="I308" s="158" t="s">
        <v>2908</v>
      </c>
      <c r="J308" s="1278"/>
      <c r="K308" s="158" t="s">
        <v>2908</v>
      </c>
      <c r="L308" s="980" t="s">
        <v>2611</v>
      </c>
      <c r="M308" s="107"/>
      <c r="N308" s="1278"/>
      <c r="O308" s="1278"/>
      <c r="P308" s="1278"/>
      <c r="Q308" s="1278"/>
      <c r="R308" s="1278"/>
      <c r="S308" s="1278"/>
      <c r="T308" s="465" cm="1" t="str">
        <f t="array" ref="T308:T308">T307</f>
        <v>true</v>
      </c>
      <c r="U308" s="1278"/>
      <c r="V308" s="1278"/>
      <c r="W308" s="1278"/>
      <c r="X308" s="1563"/>
      <c r="Y308" s="1278"/>
      <c r="Z308" s="1546"/>
      <c r="AA308" s="1278"/>
      <c r="AB308" s="300" t="str">
        <f>D308&amp;".2"</f>
        <v>13.2</v>
      </c>
      <c r="AC308" s="1111" t="s">
        <v>2613</v>
      </c>
      <c r="AD308" s="300" t="s">
        <v>2337</v>
      </c>
      <c r="AE308" s="7501">
        <f>IF(AE306=0,0,AE300*(1+Сценарии!AE$26/100))</f>
        <v>0</v>
      </c>
      <c r="AF308" s="7501">
        <f>IF(AF306=0,0,AF300*(1+Сценарии!AF$26/100))</f>
        <v>0</v>
      </c>
      <c r="AG308" s="7501">
        <f>IF(AG306=0,0,AG300*(1+Сценарии!AG$26/100))</f>
        <v>0</v>
      </c>
      <c r="AH308" s="943">
        <f>AG308-AF308</f>
        <v>0</v>
      </c>
      <c r="AI308" s="7501">
        <f>IF(AI306=0,0,AI300*(1+Сценарии!AI$26/100))</f>
        <v>0</v>
      </c>
      <c r="AJ308" s="7501">
        <f>IF(AJ306=0,0,AJ300*(1+Сценарии!AJ$26/100))</f>
        <v>0</v>
      </c>
      <c r="AK308" s="7501">
        <f>IF(AK306=0,0,AK300*(1+Сценарии!AO$26/100))</f>
        <v>0</v>
      </c>
      <c r="AL308" s="7501">
        <f>IF(AL306=0,0,AL300*(1+Сценарии!AP$26/100))</f>
        <v>0</v>
      </c>
      <c r="AM308" s="7501">
        <f>IF(AM306=0,0,AM300*(1+Сценарии!AQ$26/100))</f>
        <v>0</v>
      </c>
      <c r="AN308" s="7501">
        <f>IF(AN306=0,0,AN300*(1+Сценарии!AR$26/100))</f>
        <v>0</v>
      </c>
      <c r="AO308" s="1262">
        <f>IF(AO306=0,0,AO300*(1+Сценарии!AS$26/100))</f>
        <v>0</v>
      </c>
      <c r="AP308" s="1262">
        <f>IF(AP306=0,0,AP300*(1+Сценарии!AT$26/100))</f>
        <v>0</v>
      </c>
      <c r="AQ308" s="1262">
        <f>IF(AQ306=0,0,AQ300*(1+Сценарии!AU$26/100))</f>
        <v>0</v>
      </c>
      <c r="AR308" s="1262">
        <f>IF(AR306=0,0,AR300*(1+Сценарии!AV$26/100))</f>
        <v>0</v>
      </c>
      <c r="AS308" s="1262">
        <f>IF(AS306=0,0,AS300*(1+Сценарии!AW$26/100))</f>
        <v>0</v>
      </c>
      <c r="AT308" s="7501">
        <f>IF(AT306=0,0,AT300*(1+Сценарии!AK$26/100))</f>
        <v>0</v>
      </c>
      <c r="AU308" s="7501">
        <f>IF(AU306=0,0,AU300*(1+Сценарии!AX$26/100))</f>
        <v>135.64185068059</v>
      </c>
      <c r="AV308" s="7501">
        <f>IF(AV306=0,0,AV300*(1+Сценарии!AY$26/100))</f>
        <v>-62.6196137150063</v>
      </c>
      <c r="AW308" s="7501">
        <f>IF(AW306=0,0,AW300*(1+Сценарии!AZ$26/100))</f>
        <v>140.719295087809</v>
      </c>
      <c r="AX308" s="7501">
        <f>IF(AX306=0,0,AX300*(1+Сценарии!BA$26/100))</f>
        <v>-53.0524938534182</v>
      </c>
      <c r="AY308" s="1262">
        <f>IF(AY306=0,0,AY300*(1+Сценарии!BB$26/100))</f>
        <v>0</v>
      </c>
      <c r="AZ308" s="1262">
        <f>IF(AZ306=0,0,AZ300*(1+Сценарии!BC$26/100))</f>
        <v>0</v>
      </c>
      <c r="BA308" s="1262">
        <f>IF(BA306=0,0,BA300*(1+Сценарии!BD$26/100))</f>
        <v>0</v>
      </c>
      <c r="BB308" s="1262">
        <f>IF(BB306=0,0,BB300*(1+Сценарии!BE$26/100))</f>
        <v>0</v>
      </c>
      <c r="BC308" s="1262">
        <f>IF(BC306=0,0,BC300*(1+Сценарии!BF$26/100))</f>
        <v>0</v>
      </c>
      <c r="BD308" s="942"/>
      <c r="BE308" s="942"/>
      <c r="BF308" s="942"/>
      <c r="BG308" s="942"/>
      <c r="BH308" s="942"/>
      <c r="BI308" s="942"/>
      <c r="BJ308" s="942"/>
      <c r="BK308" s="942"/>
      <c r="BL308" s="942"/>
      <c r="BM308" s="942"/>
      <c r="BN308" s="7771"/>
      <c r="BO308" s="7771"/>
      <c r="BP308" s="7771"/>
      <c r="BQ308" s="1278"/>
      <c r="BR308" s="1278"/>
      <c r="BS308" s="1062" t="s">
        <v>2614</v>
      </c>
      <c r="BT308" s="1064"/>
      <c r="BU308" s="1064"/>
      <c r="BV308" s="979"/>
      <c r="BW308" s="979"/>
    </row>
    <row s="1834" customFormat="1" customHeight="1" ht="14.25">
      <c r="A309" s="1278"/>
      <c r="B309" s="96"/>
      <c r="C309" s="107"/>
      <c r="D309" s="107" cm="1" t="str">
        <f t="array" ref="D309:D309">D308</f>
        <v>13</v>
      </c>
      <c r="E309" s="621">
        <v>15</v>
      </c>
      <c r="F309" s="50" cm="1" t="str">
        <f t="array" ref="F309:F309">OFFSET(E309,-1,1)</f>
        <v>1</v>
      </c>
      <c r="G309" s="107" t="s">
        <v>2400</v>
      </c>
      <c r="H309" s="107"/>
      <c r="I309" s="107" t="s">
        <v>2909</v>
      </c>
      <c r="J309" s="107"/>
      <c r="K309" s="107" t="s">
        <v>2909</v>
      </c>
      <c r="L309" s="980" t="s">
        <v>2615</v>
      </c>
      <c r="M309" s="107"/>
      <c r="N309" s="107"/>
      <c r="O309" s="107"/>
      <c r="P309" s="107"/>
      <c r="Q309" s="107"/>
      <c r="R309" s="107"/>
      <c r="S309" s="107"/>
      <c r="T309" s="465" cm="1" t="str">
        <f t="array" ref="T309:T309">T308</f>
        <v>true</v>
      </c>
      <c r="U309" s="107"/>
      <c r="V309" s="107"/>
      <c r="W309" s="107"/>
      <c r="X309" s="1563"/>
      <c r="Y309" s="1278"/>
      <c r="Z309" s="1546"/>
      <c r="AA309" s="1278"/>
      <c r="AB309" s="300" t="str">
        <f>D309&amp;".3"</f>
        <v>13.3</v>
      </c>
      <c r="AC309" s="1111" t="s">
        <v>2587</v>
      </c>
      <c r="AD309" s="300" t="s">
        <v>1247</v>
      </c>
      <c r="AE309" s="946">
        <f>AE306-AE307</f>
        <v>0</v>
      </c>
      <c r="AF309" s="946">
        <f>AF306-AF307</f>
        <v>0</v>
      </c>
      <c r="AG309" s="946">
        <f>AG306-AG307</f>
        <v>0</v>
      </c>
      <c r="AH309" s="941">
        <f>AG309-AF309</f>
        <v>0</v>
      </c>
      <c r="AI309" s="825">
        <f>AI306-AI307</f>
        <v>0</v>
      </c>
      <c r="AJ309" s="825">
        <f>AJ306-AJ307</f>
        <v>264.737475</v>
      </c>
      <c r="AK309" s="825">
        <f>AK306-AK307</f>
        <v>529.47495</v>
      </c>
      <c r="AL309" s="825">
        <f>AL306-AL307</f>
        <v>529.47495</v>
      </c>
      <c r="AM309" s="825">
        <f>AM306-AM307</f>
        <v>529.47495</v>
      </c>
      <c r="AN309" s="825">
        <f>AN306-AN307</f>
        <v>529.47495</v>
      </c>
      <c r="AO309" s="825">
        <f>AO306-AO307</f>
        <v>0</v>
      </c>
      <c r="AP309" s="825">
        <f>AP306-AP307</f>
        <v>0</v>
      </c>
      <c r="AQ309" s="825">
        <f>AQ306-AQ307</f>
        <v>0</v>
      </c>
      <c r="AR309" s="825">
        <f>AR306-AR307</f>
        <v>0</v>
      </c>
      <c r="AS309" s="825">
        <f>AS306-AS307</f>
        <v>0</v>
      </c>
      <c r="AT309" s="825">
        <f>AT306-AT307</f>
        <v>264.737475</v>
      </c>
      <c r="AU309" s="825">
        <f>AU306-AU307</f>
        <v>529.47495</v>
      </c>
      <c r="AV309" s="825">
        <f>AV306-AV307</f>
        <v>529.47495</v>
      </c>
      <c r="AW309" s="825">
        <f>AW306-AW307</f>
        <v>529.47495</v>
      </c>
      <c r="AX309" s="825">
        <f>AX306-AX307</f>
        <v>529.47495</v>
      </c>
      <c r="AY309" s="825">
        <f>AY306-AY307</f>
        <v>0</v>
      </c>
      <c r="AZ309" s="825">
        <f>AZ306-AZ307</f>
        <v>0</v>
      </c>
      <c r="BA309" s="825">
        <f>BA306-BA307</f>
        <v>0</v>
      </c>
      <c r="BB309" s="825">
        <f>BB306-BB307</f>
        <v>0</v>
      </c>
      <c r="BC309" s="825">
        <f>BC306-BC307</f>
        <v>0</v>
      </c>
      <c r="BD309" s="942"/>
      <c r="BE309" s="942"/>
      <c r="BF309" s="942"/>
      <c r="BG309" s="942"/>
      <c r="BH309" s="942"/>
      <c r="BI309" s="942"/>
      <c r="BJ309" s="942"/>
      <c r="BK309" s="942"/>
      <c r="BL309" s="942"/>
      <c r="BM309" s="942"/>
      <c r="BN309" s="7771"/>
      <c r="BO309" s="7771"/>
      <c r="BP309" s="7771"/>
      <c r="BQ309" s="1278"/>
      <c r="BR309" s="1278"/>
      <c r="BS309" s="1062" t="s">
        <v>2617</v>
      </c>
      <c r="BT309" s="1064"/>
      <c r="BU309" s="1064"/>
      <c r="BV309" s="979"/>
      <c r="BW309" s="979"/>
    </row>
    <row s="1834" customFormat="1" customHeight="1" ht="14.25">
      <c r="A310" s="1278"/>
      <c r="B310" s="96"/>
      <c r="C310" s="107"/>
      <c r="D310" s="107" cm="1" t="str">
        <f t="array" ref="D310:D310">D309</f>
        <v>13</v>
      </c>
      <c r="E310" s="621">
        <v>15</v>
      </c>
      <c r="F310" s="50" cm="1" t="str">
        <f t="array" ref="F310:F310">OFFSET(E310,-1,1)</f>
        <v>1</v>
      </c>
      <c r="G310" s="107" t="s">
        <v>2353</v>
      </c>
      <c r="H310" s="107"/>
      <c r="I310" s="107" t="s">
        <v>2910</v>
      </c>
      <c r="J310" s="107"/>
      <c r="K310" s="107" t="s">
        <v>2910</v>
      </c>
      <c r="L310" s="980" t="s">
        <v>2618</v>
      </c>
      <c r="M310" s="107"/>
      <c r="N310" s="107"/>
      <c r="O310" s="107"/>
      <c r="P310" s="107"/>
      <c r="Q310" s="107"/>
      <c r="R310" s="107"/>
      <c r="S310" s="107"/>
      <c r="T310" s="465" cm="1" t="str">
        <f t="array" ref="T310:T310">T309</f>
        <v>true</v>
      </c>
      <c r="U310" s="107"/>
      <c r="V310" s="107"/>
      <c r="W310" s="107"/>
      <c r="X310" s="1563"/>
      <c r="Y310" s="1278"/>
      <c r="Z310" s="1546"/>
      <c r="AA310" s="1278"/>
      <c r="AB310" s="300" t="str">
        <f>D310&amp;".4"</f>
        <v>13.4</v>
      </c>
      <c r="AC310" s="1111" t="s">
        <v>2591</v>
      </c>
      <c r="AD310" s="300" t="s">
        <v>2337</v>
      </c>
      <c r="AE310" s="7501">
        <f>IF(AE306=0,0,AE302*(1+Сценарии!AE$26/100))</f>
        <v>0</v>
      </c>
      <c r="AF310" s="7501">
        <f>IF(AF306=0,0,AF302*(1+Сценарии!AF$26/100))</f>
        <v>0</v>
      </c>
      <c r="AG310" s="7501">
        <f>IF(AG306=0,0,AG302*(1+Сценарии!AG$26/100))</f>
        <v>0</v>
      </c>
      <c r="AH310" s="943">
        <f>AG310-AF310</f>
        <v>0</v>
      </c>
      <c r="AI310" s="7501">
        <f>IF(AI306=0,0,AI302*(1+Сценарии!AI$26/100))</f>
        <v>0</v>
      </c>
      <c r="AJ310" s="7501">
        <f>IF(AJ306=0,0,AJ302*(1+Сценарии!AJ$26/100))</f>
        <v>135.428183850445</v>
      </c>
      <c r="AK310" s="7501">
        <f>IF(AK306=0,0,AK302*(1+Сценарии!AO$26/100))</f>
        <v>72.905680580974</v>
      </c>
      <c r="AL310" s="7501">
        <f>IF(AL306=0,0,AL302*(1+Сценарии!AP$26/100))</f>
        <v>77.9774117267062</v>
      </c>
      <c r="AM310" s="7501">
        <f>IF(AM306=0,0,AM302*(1+Сценарии!AQ$26/100))</f>
        <v>87.5368737585454</v>
      </c>
      <c r="AN310" s="7501">
        <f>IF(AN306=0,0,AN302*(1+Сценарии!AR$26/100))</f>
        <v>142.936769790849</v>
      </c>
      <c r="AO310" s="1262">
        <f>IF(AO306=0,0,AO302*(1+Сценарии!AS$26/100))</f>
        <v>0</v>
      </c>
      <c r="AP310" s="1262">
        <f>IF(AP306=0,0,AP302*(1+Сценарии!AT$26/100))</f>
        <v>0</v>
      </c>
      <c r="AQ310" s="1262">
        <f>IF(AQ306=0,0,AQ302*(1+Сценарии!AU$26/100))</f>
        <v>0</v>
      </c>
      <c r="AR310" s="1262">
        <f>IF(AR306=0,0,AR302*(1+Сценарии!AV$26/100))</f>
        <v>0</v>
      </c>
      <c r="AS310" s="1262">
        <f>IF(AS306=0,0,AS302*(1+Сценарии!AW$26/100))</f>
        <v>0</v>
      </c>
      <c r="AT310" s="7501">
        <f>IF(AT306=0,0,AT302*(1+Сценарии!AK$26/100))</f>
        <v>135.64185068059</v>
      </c>
      <c r="AU310" s="7501">
        <f>IF(AU306=0,0,AU302*(1+Сценарии!AX$26/100))</f>
        <v>-62.6196137150063</v>
      </c>
      <c r="AV310" s="7501">
        <f>IF(AV306=0,0,AV302*(1+Сценарии!AY$26/100))</f>
        <v>140.719295087809</v>
      </c>
      <c r="AW310" s="7501">
        <f>IF(AW306=0,0,AW302*(1+Сценарии!AZ$26/100))</f>
        <v>-53.0524938534182</v>
      </c>
      <c r="AX310" s="7501">
        <f>IF(AX306=0,0,AX302*(1+Сценарии!BA$26/100))</f>
        <v>196.156394311669</v>
      </c>
      <c r="AY310" s="1262">
        <f>IF(AY306=0,0,AY302*(1+Сценарии!BB$26/100))</f>
        <v>0</v>
      </c>
      <c r="AZ310" s="1262">
        <f>IF(AZ306=0,0,AZ302*(1+Сценарии!BC$26/100))</f>
        <v>0</v>
      </c>
      <c r="BA310" s="1262">
        <f>IF(BA306=0,0,BA302*(1+Сценарии!BD$26/100))</f>
        <v>0</v>
      </c>
      <c r="BB310" s="1262">
        <f>IF(BB306=0,0,BB302*(1+Сценарии!BE$26/100))</f>
        <v>0</v>
      </c>
      <c r="BC310" s="1262">
        <f>IF(BC306=0,0,BC302*(1+Сценарии!BF$26/100))</f>
        <v>0</v>
      </c>
      <c r="BD310" s="942"/>
      <c r="BE310" s="942"/>
      <c r="BF310" s="942"/>
      <c r="BG310" s="942"/>
      <c r="BH310" s="942"/>
      <c r="BI310" s="942"/>
      <c r="BJ310" s="942"/>
      <c r="BK310" s="942"/>
      <c r="BL310" s="942"/>
      <c r="BM310" s="942"/>
      <c r="BN310" s="7771"/>
      <c r="BO310" s="7771"/>
      <c r="BP310" s="7771"/>
      <c r="BQ310" s="1278"/>
      <c r="BR310" s="1278"/>
      <c r="BS310" s="1062" t="s">
        <v>2621</v>
      </c>
      <c r="BT310" s="1064"/>
      <c r="BU310" s="1064"/>
      <c r="BV310" s="979"/>
      <c r="BW310" s="979"/>
    </row>
    <row s="1834" customFormat="1" customHeight="1" ht="14.25">
      <c r="A311" s="1278"/>
      <c r="B311" s="96"/>
      <c r="C311" s="107"/>
      <c r="D311" s="107">
        <f>D310+1</f>
        <v>14</v>
      </c>
      <c r="E311" s="621">
        <v>15</v>
      </c>
      <c r="F311" s="50" cm="1" t="str">
        <f t="array" ref="F311:F311">OFFSET(E311,-1,1)</f>
        <v>1</v>
      </c>
      <c r="G311" s="107"/>
      <c r="H311" s="107"/>
      <c r="I311" s="107"/>
      <c r="J311" s="107"/>
      <c r="K311" s="107"/>
      <c r="L311" s="980"/>
      <c r="M311" s="107"/>
      <c r="N311" s="107"/>
      <c r="O311" s="107"/>
      <c r="P311" s="107"/>
      <c r="Q311" s="107"/>
      <c r="R311" s="107"/>
      <c r="S311" s="107"/>
      <c r="T311" s="465" cm="1" t="str">
        <f t="array" ref="T311:T311">T310</f>
        <v>true</v>
      </c>
      <c r="U311" s="107"/>
      <c r="V311" s="107"/>
      <c r="W311" s="107"/>
      <c r="X311" s="1563"/>
      <c r="Y311" s="1278"/>
      <c r="Z311" s="1546"/>
      <c r="AA311" s="1278"/>
      <c r="AB311" s="211" cm="1" t="str">
        <f t="array" ref="AB311:AB311">D311</f>
        <v>14</v>
      </c>
      <c r="AC311" s="212" t="s">
        <v>2622</v>
      </c>
      <c r="AD311" s="211" t="s">
        <v>1514</v>
      </c>
      <c r="AE311" s="7773"/>
      <c r="AF311" s="7773"/>
      <c r="AG311" s="7773"/>
      <c r="AH311" s="943"/>
      <c r="AI311" s="7501"/>
      <c r="AJ311" s="7501"/>
      <c r="AK311" s="7501"/>
      <c r="AL311" s="7501"/>
      <c r="AM311" s="7501"/>
      <c r="AN311" s="7501"/>
      <c r="AO311" s="1262"/>
      <c r="AP311" s="1262"/>
      <c r="AQ311" s="1262"/>
      <c r="AR311" s="1262"/>
      <c r="AS311" s="1262"/>
      <c r="AT311" s="7501"/>
      <c r="AU311" s="7501"/>
      <c r="AV311" s="7501"/>
      <c r="AW311" s="7501"/>
      <c r="AX311" s="7501"/>
      <c r="AY311" s="1262"/>
      <c r="AZ311" s="1262"/>
      <c r="BA311" s="1262"/>
      <c r="BB311" s="1262"/>
      <c r="BC311" s="1262"/>
      <c r="BD311" s="942"/>
      <c r="BE311" s="942"/>
      <c r="BF311" s="942"/>
      <c r="BG311" s="942"/>
      <c r="BH311" s="942"/>
      <c r="BI311" s="942"/>
      <c r="BJ311" s="942"/>
      <c r="BK311" s="942"/>
      <c r="BL311" s="942"/>
      <c r="BM311" s="942"/>
      <c r="BN311" s="7771"/>
      <c r="BO311" s="7771"/>
      <c r="BP311" s="7771"/>
      <c r="BQ311" s="1278"/>
      <c r="BR311" s="1278"/>
      <c r="BS311" s="1062" t="s">
        <v>2623</v>
      </c>
      <c r="BT311" s="1064"/>
      <c r="BU311" s="1064"/>
      <c r="BV311" s="979"/>
      <c r="BW311" s="979"/>
    </row>
    <row s="1834" customFormat="1" customHeight="1" ht="20.25">
      <c r="A312" s="1278"/>
      <c r="B312" s="96"/>
      <c r="C312" s="107"/>
      <c r="D312" s="107" cm="1" t="str">
        <f t="array" ref="D312:D312">D311</f>
        <v>14</v>
      </c>
      <c r="E312" s="621">
        <v>21</v>
      </c>
      <c r="F312" s="50" cm="1" t="str">
        <f t="array" ref="F312:F312">OFFSET(E312,-1,1)</f>
        <v>1</v>
      </c>
      <c r="G312" s="107"/>
      <c r="H312" s="107"/>
      <c r="I312" s="107"/>
      <c r="J312" s="107"/>
      <c r="K312" s="107"/>
      <c r="L312" s="980"/>
      <c r="M312" s="107"/>
      <c r="N312" s="107"/>
      <c r="O312" s="107"/>
      <c r="P312" s="107"/>
      <c r="Q312" s="107"/>
      <c r="R312" s="107"/>
      <c r="S312" s="107"/>
      <c r="T312" s="465" cm="1" t="str">
        <f t="array" ref="T312:T312">T311</f>
        <v>true</v>
      </c>
      <c r="U312" s="107"/>
      <c r="V312" s="107"/>
      <c r="W312" s="107"/>
      <c r="X312" s="1563"/>
      <c r="Y312" s="1278"/>
      <c r="Z312" s="1546"/>
      <c r="AA312" s="1278"/>
      <c r="AB312" s="300" t="str">
        <f>D312&amp;".1"</f>
        <v>14.1</v>
      </c>
      <c r="AC312" s="762" t="s">
        <v>2625</v>
      </c>
      <c r="AD312" s="300" t="s">
        <v>1514</v>
      </c>
      <c r="AE312" s="7773"/>
      <c r="AF312" s="7773"/>
      <c r="AG312" s="7773"/>
      <c r="AH312" s="943">
        <f>AG312-AF312</f>
        <v>0</v>
      </c>
      <c r="AI312" s="7501"/>
      <c r="AJ312" s="7501"/>
      <c r="AK312" s="7501"/>
      <c r="AL312" s="7501"/>
      <c r="AM312" s="7501"/>
      <c r="AN312" s="7501"/>
      <c r="AO312" s="1262"/>
      <c r="AP312" s="1262"/>
      <c r="AQ312" s="1262"/>
      <c r="AR312" s="1262"/>
      <c r="AS312" s="1262"/>
      <c r="AT312" s="7501"/>
      <c r="AU312" s="7501"/>
      <c r="AV312" s="7501"/>
      <c r="AW312" s="7501"/>
      <c r="AX312" s="7501"/>
      <c r="AY312" s="1262"/>
      <c r="AZ312" s="1262"/>
      <c r="BA312" s="1262"/>
      <c r="BB312" s="1262"/>
      <c r="BC312" s="1262"/>
      <c r="BD312" s="942"/>
      <c r="BE312" s="942"/>
      <c r="BF312" s="942"/>
      <c r="BG312" s="942"/>
      <c r="BH312" s="942"/>
      <c r="BI312" s="942"/>
      <c r="BJ312" s="942"/>
      <c r="BK312" s="942"/>
      <c r="BL312" s="942"/>
      <c r="BM312" s="942"/>
      <c r="BN312" s="7771"/>
      <c r="BO312" s="7771"/>
      <c r="BP312" s="7771"/>
      <c r="BQ312" s="1278"/>
      <c r="BR312" s="1278"/>
      <c r="BS312" s="1062" t="s">
        <v>2626</v>
      </c>
      <c r="BT312" s="1071"/>
      <c r="BU312" s="1071"/>
      <c r="BV312" s="1072"/>
      <c r="BW312" s="1072"/>
    </row>
    <row s="1834" customFormat="1" customHeight="1" ht="64.5">
      <c r="A313" s="1278"/>
      <c r="B313" s="96"/>
      <c r="C313" s="107"/>
      <c r="D313" s="107" cm="1" t="str">
        <f t="array" ref="D313:D313">D312</f>
        <v>14</v>
      </c>
      <c r="E313" s="621">
        <v>66.6</v>
      </c>
      <c r="F313" s="50" cm="1" t="str">
        <f t="array" ref="F313:F313">OFFSET(E313,-1,1)</f>
        <v>1</v>
      </c>
      <c r="G313" s="107"/>
      <c r="H313" s="107"/>
      <c r="I313" s="107"/>
      <c r="J313" s="107"/>
      <c r="K313" s="107"/>
      <c r="L313" s="980"/>
      <c r="M313" s="107"/>
      <c r="N313" s="107"/>
      <c r="O313" s="107"/>
      <c r="P313" s="107"/>
      <c r="Q313" s="107"/>
      <c r="R313" s="107"/>
      <c r="S313" s="107"/>
      <c r="T313" s="465" cm="1" t="str">
        <f t="array" ref="T313:T313">T312</f>
        <v>true</v>
      </c>
      <c r="U313" s="107"/>
      <c r="V313" s="107"/>
      <c r="W313" s="107"/>
      <c r="X313" s="1563"/>
      <c r="Y313" s="1278"/>
      <c r="Z313" s="1546"/>
      <c r="AA313" s="1278"/>
      <c r="AB313" s="300" t="str">
        <f>D313&amp;".2"</f>
        <v>14.2</v>
      </c>
      <c r="AC313" s="762" t="s">
        <v>2628</v>
      </c>
      <c r="AD313" s="300" t="s">
        <v>1514</v>
      </c>
      <c r="AE313" s="7773"/>
      <c r="AF313" s="7773"/>
      <c r="AG313" s="7773"/>
      <c r="AH313" s="943">
        <f>AG313-AF313</f>
        <v>0</v>
      </c>
      <c r="AI313" s="7501"/>
      <c r="AJ313" s="7501"/>
      <c r="AK313" s="7501"/>
      <c r="AL313" s="7501"/>
      <c r="AM313" s="7501"/>
      <c r="AN313" s="7501"/>
      <c r="AO313" s="1262"/>
      <c r="AP313" s="1262"/>
      <c r="AQ313" s="1262"/>
      <c r="AR313" s="1262"/>
      <c r="AS313" s="1262"/>
      <c r="AT313" s="7501"/>
      <c r="AU313" s="7501"/>
      <c r="AV313" s="7501"/>
      <c r="AW313" s="7501"/>
      <c r="AX313" s="7501"/>
      <c r="AY313" s="1262"/>
      <c r="AZ313" s="1262"/>
      <c r="BA313" s="1262"/>
      <c r="BB313" s="1262"/>
      <c r="BC313" s="1262"/>
      <c r="BD313" s="942"/>
      <c r="BE313" s="942"/>
      <c r="BF313" s="942"/>
      <c r="BG313" s="942"/>
      <c r="BH313" s="942"/>
      <c r="BI313" s="942"/>
      <c r="BJ313" s="942"/>
      <c r="BK313" s="942"/>
      <c r="BL313" s="942"/>
      <c r="BM313" s="942"/>
      <c r="BN313" s="7771"/>
      <c r="BO313" s="7771"/>
      <c r="BP313" s="7771"/>
      <c r="BQ313" s="1278"/>
      <c r="BR313" s="1278"/>
      <c r="BS313" s="1062" t="s">
        <v>2629</v>
      </c>
      <c r="BT313" s="1071"/>
      <c r="BU313" s="1071"/>
      <c r="BV313" s="1072"/>
      <c r="BW313" s="1072"/>
    </row>
    <row s="1834" customFormat="1" customHeight="1" ht="44.25">
      <c r="A314" s="498"/>
      <c r="B314" s="753"/>
      <c r="C314" s="107"/>
      <c r="D314" s="107" cm="1" t="str">
        <f t="array" ref="D314:D314">D313</f>
        <v>14</v>
      </c>
      <c r="E314" s="621">
        <v>45.6</v>
      </c>
      <c r="F314" s="50" cm="1" t="str">
        <f t="array" ref="F314:F314">OFFSET(E314,-1,1)</f>
        <v>1</v>
      </c>
      <c r="G314" s="107"/>
      <c r="H314" s="107"/>
      <c r="I314" s="107"/>
      <c r="J314" s="107"/>
      <c r="K314" s="107"/>
      <c r="L314" s="980"/>
      <c r="M314" s="107"/>
      <c r="N314" s="107"/>
      <c r="O314" s="107"/>
      <c r="P314" s="107"/>
      <c r="Q314" s="107"/>
      <c r="R314" s="107"/>
      <c r="S314" s="107"/>
      <c r="T314" s="465" cm="1" t="str">
        <f t="array" ref="T314:T314">T313</f>
        <v>true</v>
      </c>
      <c r="U314" s="107"/>
      <c r="V314" s="107"/>
      <c r="W314" s="107"/>
      <c r="X314" s="1563"/>
      <c r="Y314" s="498"/>
      <c r="Z314" s="1546"/>
      <c r="AA314" s="498"/>
      <c r="AB314" s="300" t="str">
        <f>D314&amp;".3"</f>
        <v>14.3</v>
      </c>
      <c r="AC314" s="762" t="s">
        <v>2911</v>
      </c>
      <c r="AD314" s="300" t="s">
        <v>1514</v>
      </c>
      <c r="AE314" s="945"/>
      <c r="AF314" s="7773"/>
      <c r="AG314" s="7773"/>
      <c r="AH314" s="259">
        <f>AG314-AF314</f>
        <v>0</v>
      </c>
      <c r="AI314" s="945"/>
      <c r="AJ314" s="945"/>
      <c r="AK314" s="945"/>
      <c r="AL314" s="945"/>
      <c r="AM314" s="945"/>
      <c r="AN314" s="945"/>
      <c r="AO314" s="945"/>
      <c r="AP314" s="945"/>
      <c r="AQ314" s="945"/>
      <c r="AR314" s="945"/>
      <c r="AS314" s="945"/>
      <c r="AT314" s="945"/>
      <c r="AU314" s="945"/>
      <c r="AV314" s="945"/>
      <c r="AW314" s="945"/>
      <c r="AX314" s="945"/>
      <c r="AY314" s="945"/>
      <c r="AZ314" s="945"/>
      <c r="BA314" s="945"/>
      <c r="BB314" s="945"/>
      <c r="BC314" s="945"/>
      <c r="BD314" s="945"/>
      <c r="BE314" s="945"/>
      <c r="BF314" s="945"/>
      <c r="BG314" s="945"/>
      <c r="BH314" s="945"/>
      <c r="BI314" s="945"/>
      <c r="BJ314" s="945"/>
      <c r="BK314" s="945"/>
      <c r="BL314" s="945"/>
      <c r="BM314" s="945"/>
      <c r="BN314" s="7771"/>
      <c r="BO314" s="7771"/>
      <c r="BP314" s="7771"/>
      <c r="BQ314" s="1278"/>
      <c r="BR314" s="1278"/>
      <c r="BS314" s="1071" t="s">
        <v>2912</v>
      </c>
      <c r="BT314" s="1071"/>
      <c r="BU314" s="1071"/>
      <c r="BV314" s="1072"/>
      <c r="BW314" s="1072"/>
    </row>
    <row s="538" customFormat="1" customHeight="1" ht="14.25">
      <c r="A315" s="1758"/>
      <c r="B315" s="428"/>
      <c r="C315" s="1758"/>
      <c r="D315" s="1758"/>
      <c r="E315" s="618">
        <v>15</v>
      </c>
      <c r="F315" s="98" cm="1" t="str">
        <f t="array" ref="F315:F315">X315</f>
        <v>2</v>
      </c>
      <c r="G315" s="98" cm="1" t="str">
        <f t="array" ref="G315:G315">INDEX('Общие сведения'!$AK$179:$AK$250,MATCH($X315,'Общие сведения'!$Z$179:$Z$250,0))</f>
        <v>одноставочный</v>
      </c>
      <c r="H315" s="1758"/>
      <c r="I315" s="98"/>
      <c r="J315" s="1758"/>
      <c r="K315" s="1758"/>
      <c r="L315" s="982"/>
      <c r="M315" s="426"/>
      <c r="N315" s="1758"/>
      <c r="O315" s="1758"/>
      <c r="P315" s="1758"/>
      <c r="Q315" s="1758"/>
      <c r="R315" s="1758"/>
      <c r="S315" s="122" cm="1" t="str">
        <f t="array" ref="S315:S315">INDEX('Общие сведения'!$AE$179:$AE$250,MATCH($X315,'Общие сведения'!$Z$179:$Z$250,0))</f>
        <v>Водоснабжение</v>
      </c>
      <c r="T315" s="465">
        <f>X315&gt;0</f>
        <v>1</v>
      </c>
      <c r="U315" s="1758"/>
      <c r="V315" s="122" cm="1" t="str">
        <f t="array" ref="V315:V315">'Калькуляция (МИ)'!$AB$315</f>
        <v>Тариф 2 (Водоснабжение) - тариф на питьевую воду (Доп. признак не требуется)</v>
      </c>
      <c r="W315" s="1758"/>
      <c r="X315" s="1563" t="s">
        <v>285</v>
      </c>
      <c r="Y315" s="1758"/>
      <c r="Z315" s="1546"/>
      <c r="AA315" s="1758"/>
      <c r="AB315" s="381" cm="1" t="str">
        <f t="array" ref="AB315:AB315">'Калькуляция (МИ)'!$AB$315</f>
        <v>Тариф 2 (Водоснабжение) - тариф на питьевую воду (Доп. признак не требуется)</v>
      </c>
      <c r="AC315" s="252"/>
      <c r="AD315" s="252"/>
      <c r="AE315" s="252"/>
      <c r="AF315" s="252"/>
      <c r="AG315" s="252"/>
      <c r="AH315" s="252"/>
      <c r="AI315" s="252"/>
      <c r="AJ315" s="252"/>
      <c r="AK315" s="252"/>
      <c r="AL315" s="252"/>
      <c r="AM315" s="252"/>
      <c r="AN315" s="252"/>
      <c r="AO315" s="252"/>
      <c r="AP315" s="252"/>
      <c r="AQ315" s="252"/>
      <c r="AR315" s="252"/>
      <c r="AS315" s="252"/>
      <c r="AT315" s="252"/>
      <c r="AU315" s="252"/>
      <c r="AV315" s="252"/>
      <c r="AW315" s="252"/>
      <c r="AX315" s="252"/>
      <c r="AY315" s="252"/>
      <c r="AZ315" s="252"/>
      <c r="BA315" s="252"/>
      <c r="BB315" s="252"/>
      <c r="BC315" s="252"/>
      <c r="BD315" s="252"/>
      <c r="BE315" s="252"/>
      <c r="BF315" s="252"/>
      <c r="BG315" s="252"/>
      <c r="BH315" s="252"/>
      <c r="BI315" s="252"/>
      <c r="BJ315" s="252"/>
      <c r="BK315" s="252"/>
      <c r="BL315" s="252"/>
      <c r="BM315" s="252"/>
      <c r="BN315" s="252"/>
      <c r="BO315" s="252"/>
      <c r="BP315" s="252"/>
      <c r="BQ315" s="1758"/>
      <c r="BR315" s="1758"/>
      <c r="BS315" s="997"/>
      <c r="BT315" s="997"/>
      <c r="BU315" s="997"/>
      <c r="BV315" s="618"/>
      <c r="BW315" s="618"/>
    </row>
    <row s="7791" customFormat="1" customHeight="1" ht="20.25">
      <c r="A316" s="161"/>
      <c r="B316" s="434"/>
      <c r="C316" s="161"/>
      <c r="D316" s="161"/>
      <c r="E316" s="705">
        <v>21</v>
      </c>
      <c r="F316" s="50" cm="1" t="str">
        <f t="array" ref="F316:F316">OFFSET(E316,-1,1)</f>
        <v>2</v>
      </c>
      <c r="G316" s="161"/>
      <c r="H316" s="377"/>
      <c r="I316" s="377" t="s">
        <v>332</v>
      </c>
      <c r="J316" s="161"/>
      <c r="K316" s="377" t="s">
        <v>332</v>
      </c>
      <c r="L316" s="983"/>
      <c r="M316" s="855"/>
      <c r="N316" s="161"/>
      <c r="O316" s="161"/>
      <c r="P316" s="161"/>
      <c r="Q316" s="161"/>
      <c r="R316" s="161" t="s">
        <v>2947</v>
      </c>
      <c r="S316" s="161"/>
      <c r="T316" s="465" cm="1" t="str">
        <f t="array" ref="T316:T316">T315</f>
        <v>true</v>
      </c>
      <c r="U316" s="161"/>
      <c r="V316" s="161"/>
      <c r="W316" s="161"/>
      <c r="X316" s="1563"/>
      <c r="Y316" s="161"/>
      <c r="Z316" s="1546"/>
      <c r="AA316" s="161"/>
      <c r="AB316" s="247" t="s">
        <v>276</v>
      </c>
      <c r="AC316" s="212" t="s">
        <v>2636</v>
      </c>
      <c r="AD316" s="234" t="s">
        <v>1514</v>
      </c>
      <c r="AE316" s="1471">
        <f>SUM(AE318,AE335,AE341,AE361,AE362,AE363)</f>
        <v>0</v>
      </c>
      <c r="AF316" s="761">
        <f>SUM(AF318,AF335,AF341,AF361,AF362,AF363)</f>
        <v>0</v>
      </c>
      <c r="AG316" s="761">
        <f>SUM(AG318,AG335,AG341,AG361,AG362,AG363)</f>
        <v>0</v>
      </c>
      <c r="AH316" s="761">
        <f>AG316-AF316</f>
        <v>0</v>
      </c>
      <c r="AI316" s="7719">
        <f>AE316*AI317</f>
        <v>0</v>
      </c>
      <c r="AJ316" s="7719">
        <f>AI316*AJ317</f>
        <v>0</v>
      </c>
      <c r="AK316" s="7719">
        <f>AJ316*AK317</f>
        <v>0</v>
      </c>
      <c r="AL316" s="7719">
        <f>AK316*AL317</f>
        <v>0</v>
      </c>
      <c r="AM316" s="7719">
        <f>AL316*AM317</f>
        <v>0</v>
      </c>
      <c r="AN316" s="7719">
        <f>AM316*AN317</f>
        <v>0</v>
      </c>
      <c r="AO316" s="1246">
        <f>AN316*AO317</f>
        <v>0</v>
      </c>
      <c r="AP316" s="1246">
        <f>AO316*AP317</f>
        <v>0</v>
      </c>
      <c r="AQ316" s="1246">
        <f>AP316*AQ317</f>
        <v>0</v>
      </c>
      <c r="AR316" s="1246">
        <f>AQ316*AR317</f>
        <v>0</v>
      </c>
      <c r="AS316" s="1246">
        <f>AR316*AS317</f>
        <v>0</v>
      </c>
      <c r="AT316" s="7719">
        <f>AI316*AT317</f>
        <v>0</v>
      </c>
      <c r="AU316" s="7719">
        <f>AT316*AU317</f>
        <v>0</v>
      </c>
      <c r="AV316" s="7719">
        <f>AU316*AV317</f>
        <v>0</v>
      </c>
      <c r="AW316" s="7719">
        <f>AV316*AW317</f>
        <v>0</v>
      </c>
      <c r="AX316" s="7719">
        <f>AW316*AX317</f>
        <v>0</v>
      </c>
      <c r="AY316" s="1246">
        <f>AX316*AY317</f>
        <v>0</v>
      </c>
      <c r="AZ316" s="1246">
        <f>AY316*AZ317</f>
        <v>0</v>
      </c>
      <c r="BA316" s="1246">
        <f>AZ316*BA317</f>
        <v>0</v>
      </c>
      <c r="BB316" s="1246">
        <f>BA316*BB317</f>
        <v>0</v>
      </c>
      <c r="BC316" s="1246">
        <f>BB316*BC317</f>
        <v>0</v>
      </c>
      <c r="BD316" s="761">
        <f>IF(AI316=0,0,(AT316-AI316)/AI316*100)</f>
        <v>0</v>
      </c>
      <c r="BE316" s="761">
        <f>IF(AT316=0,0,(AU316-AT316)/AT316*100)</f>
        <v>0</v>
      </c>
      <c r="BF316" s="761">
        <f>IF(AU316=0,0,(AV316-AU316)/AU316*100)</f>
        <v>0</v>
      </c>
      <c r="BG316" s="761">
        <f>IF(AV316=0,0,(AW316-AV316)/AV316*100)</f>
        <v>0</v>
      </c>
      <c r="BH316" s="761">
        <f>IF(AW316=0,0,(AX316-AW316)/AW316*100)</f>
        <v>0</v>
      </c>
      <c r="BI316" s="761">
        <f>IF(AX316=0,0,(AY316-AX316)/AX316*100)</f>
        <v>0</v>
      </c>
      <c r="BJ316" s="761">
        <f>IF(AY316=0,0,(AZ316-AY316)/AY316*100)</f>
        <v>0</v>
      </c>
      <c r="BK316" s="761">
        <f>IF(AZ316=0,0,(BA316-AZ316)/AZ316*100)</f>
        <v>0</v>
      </c>
      <c r="BL316" s="761">
        <f>IF(BA316=0,0,(BB316-BA316)/BA316*100)</f>
        <v>0</v>
      </c>
      <c r="BM316" s="761">
        <f>IF(BB316=0,0,(BC316-BB316)/BB316*100)</f>
        <v>0</v>
      </c>
      <c r="BN316" s="7720"/>
      <c r="BO316" s="7720"/>
      <c r="BP316" s="7720"/>
      <c r="BQ316" s="160"/>
      <c r="BR316" s="161"/>
      <c r="BS316" s="1068" t="s">
        <v>1239</v>
      </c>
      <c r="BT316" s="1068"/>
      <c r="BU316" s="1068"/>
      <c r="BV316" s="705"/>
      <c r="BW316" s="705"/>
    </row>
    <row s="1834" customFormat="1" customHeight="1" ht="14.25">
      <c r="A317" s="1278"/>
      <c r="B317" s="978"/>
      <c r="C317" s="1278"/>
      <c r="D317" s="1278"/>
      <c r="E317" s="703">
        <v>15</v>
      </c>
      <c r="F317" s="50" cm="1" t="str">
        <f t="array" ref="F317:F317">OFFSET(E317,-1,1)</f>
        <v>2</v>
      </c>
      <c r="G317" s="1278"/>
      <c r="H317" s="378"/>
      <c r="I317" s="378" t="s">
        <v>1175</v>
      </c>
      <c r="J317" s="1278"/>
      <c r="K317" s="378" t="s">
        <v>1175</v>
      </c>
      <c r="L317" s="980"/>
      <c r="M317" s="107"/>
      <c r="N317" s="1278"/>
      <c r="O317" s="1278"/>
      <c r="P317" s="1278"/>
      <c r="Q317" s="1278"/>
      <c r="R317" s="161" t="s">
        <v>2947</v>
      </c>
      <c r="S317" s="1278"/>
      <c r="T317" s="465" cm="1" t="str">
        <f t="array" ref="T317:T317">T316</f>
        <v>true</v>
      </c>
      <c r="U317" s="1278"/>
      <c r="V317" s="1278"/>
      <c r="W317" s="1278"/>
      <c r="X317" s="1563"/>
      <c r="Y317" s="1278"/>
      <c r="Z317" s="1546"/>
      <c r="AA317" s="1278"/>
      <c r="AB317" s="299" t="s">
        <v>1628</v>
      </c>
      <c r="AC317" s="762" t="s">
        <v>2637</v>
      </c>
      <c r="AD317" s="300"/>
      <c r="AE317" s="7721"/>
      <c r="AF317" s="7721"/>
      <c r="AG317" s="7721"/>
      <c r="AH317" s="941">
        <f>AG317-AF317</f>
        <v>0</v>
      </c>
      <c r="AI317" s="7721">
        <f>_xlfn.SUMIFS(INDEX(Сценарии!$AE$25:$BF$163,,MATCH(AI$8,Сценарии!$AE$8:$BF$8,0)),Сценарии!$F$25:$F$163,$F317,Сценарии!$G$25:$G$163,"ИОР")</f>
        <v>1</v>
      </c>
      <c r="AJ317" s="7721">
        <f>_xlfn.SUMIFS(INDEX(Сценарии!$AE$25:$BF$163,,MATCH(AJ$8,Сценарии!$AE$8:$BF$8,0)),Сценарии!$F$25:$F$163,$F317,Сценарии!$G$25:$G$163,"ИОР")</f>
        <v>1.051</v>
      </c>
      <c r="AK317" s="7721">
        <f>_xlfn.SUMIFS(INDEX(Сценарии!$AE$25:$BF$163,,MATCH(AK$8,Сценарии!$AE$8:$BF$8,0)),Сценарии!$F$25:$F$163,$F317,Сценарии!$G$25:$G$163,"ИОР")</f>
        <v>1.0296</v>
      </c>
      <c r="AL317" s="7721">
        <f>_xlfn.SUMIFS(INDEX(Сценарии!$AE$25:$BF$163,,MATCH(AL$8,Сценарии!$AE$8:$BF$8,0)),Сценарии!$F$25:$F$163,$F317,Сценарии!$G$25:$G$163,"ИОР")</f>
        <v>1.0296</v>
      </c>
      <c r="AM317" s="7721">
        <f>_xlfn.SUMIFS(INDEX(Сценарии!$AE$25:$BF$163,,MATCH(AM$8,Сценарии!$AE$8:$BF$8,0)),Сценарии!$F$25:$F$163,$F317,Сценарии!$G$25:$G$163,"ИОР")</f>
        <v>1.0296</v>
      </c>
      <c r="AN317" s="7721">
        <f>_xlfn.SUMIFS(INDEX(Сценарии!$AE$25:$BF$163,,MATCH(AN$8,Сценарии!$AE$8:$BF$8,0)),Сценарии!$F$25:$F$163,$F317,Сценарии!$G$25:$G$163,"ИОР")</f>
        <v>1.0296</v>
      </c>
      <c r="AO317" s="1252">
        <f>_xlfn.SUMIFS(INDEX(Сценарии!$AE$25:$BF$163,,MATCH(AO$8,Сценарии!$AE$8:$BF$8,0)),Сценарии!$F$25:$F$163,$F317,Сценарии!$G$25:$G$163,"ИОР")</f>
        <v>1</v>
      </c>
      <c r="AP317" s="1252">
        <f>_xlfn.SUMIFS(INDEX(Сценарии!$AE$25:$BF$163,,MATCH(AP$8,Сценарии!$AE$8:$BF$8,0)),Сценарии!$F$25:$F$163,$F317,Сценарии!$G$25:$G$163,"ИОР")</f>
        <v>1</v>
      </c>
      <c r="AQ317" s="1252">
        <f>_xlfn.SUMIFS(INDEX(Сценарии!$AE$25:$BF$163,,MATCH(AQ$8,Сценарии!$AE$8:$BF$8,0)),Сценарии!$F$25:$F$163,$F317,Сценарии!$G$25:$G$163,"ИОР")</f>
        <v>1</v>
      </c>
      <c r="AR317" s="1252">
        <f>_xlfn.SUMIFS(INDEX(Сценарии!$AE$25:$BF$163,,MATCH(AR$8,Сценарии!$AE$8:$BF$8,0)),Сценарии!$F$25:$F$163,$F317,Сценарии!$G$25:$G$163,"ИОР")</f>
        <v>1</v>
      </c>
      <c r="AS317" s="1252">
        <f>_xlfn.SUMIFS(INDEX(Сценарии!$AE$25:$BF$163,,MATCH(AS$8,Сценарии!$AE$8:$BF$8,0)),Сценарии!$F$25:$F$163,$F317,Сценарии!$G$25:$G$163,"ИОР")</f>
        <v>1</v>
      </c>
      <c r="AT317" s="7721">
        <f>_xlfn.SUMIFS(INDEX(Сценарии!$AE$25:$BF$163,,MATCH(AT$8,Сценарии!$AE$8:$BF$8,0)),Сценарии!$F$25:$F$163,$F317,Сценарии!$G$25:$G$163,"ИОР")</f>
        <v>1.051</v>
      </c>
      <c r="AU317" s="7721">
        <f>_xlfn.SUMIFS(INDEX(Сценарии!$AE$25:$BF$163,,MATCH(AU$8,Сценарии!$AE$8:$BF$8,0)),Сценарии!$F$25:$F$163,$F317,Сценарии!$G$25:$G$163,"ИОР")</f>
        <v>1.0296</v>
      </c>
      <c r="AV317" s="7721">
        <f>_xlfn.SUMIFS(INDEX(Сценарии!$AE$25:$BF$163,,MATCH(AV$8,Сценарии!$AE$8:$BF$8,0)),Сценарии!$F$25:$F$163,$F317,Сценарии!$G$25:$G$163,"ИОР")</f>
        <v>1.0296</v>
      </c>
      <c r="AW317" s="7721">
        <f>_xlfn.SUMIFS(INDEX(Сценарии!$AE$25:$BF$163,,MATCH(AW$8,Сценарии!$AE$8:$BF$8,0)),Сценарии!$F$25:$F$163,$F317,Сценарии!$G$25:$G$163,"ИОР")</f>
        <v>1.0296</v>
      </c>
      <c r="AX317" s="7721">
        <f>_xlfn.SUMIFS(INDEX(Сценарии!$AE$25:$BF$163,,MATCH(AX$8,Сценарии!$AE$8:$BF$8,0)),Сценарии!$F$25:$F$163,$F317,Сценарии!$G$25:$G$163,"ИОР")</f>
        <v>1.0296</v>
      </c>
      <c r="AY317" s="1252">
        <f>_xlfn.SUMIFS(INDEX(Сценарии!$AE$25:$BF$163,,MATCH(AY$8,Сценарии!$AE$8:$BF$8,0)),Сценарии!$F$25:$F$163,$F317,Сценарии!$G$25:$G$163,"ИОР")</f>
        <v>1</v>
      </c>
      <c r="AZ317" s="1252">
        <f>_xlfn.SUMIFS(INDEX(Сценарии!$AE$25:$BF$163,,MATCH(AZ$8,Сценарии!$AE$8:$BF$8,0)),Сценарии!$F$25:$F$163,$F317,Сценарии!$G$25:$G$163,"ИОР")</f>
        <v>1</v>
      </c>
      <c r="BA317" s="1252">
        <f>_xlfn.SUMIFS(INDEX(Сценарии!$AE$25:$BF$163,,MATCH(BA$8,Сценарии!$AE$8:$BF$8,0)),Сценарии!$F$25:$F$163,$F317,Сценарии!$G$25:$G$163,"ИОР")</f>
        <v>1</v>
      </c>
      <c r="BB317" s="1252">
        <f>_xlfn.SUMIFS(INDEX(Сценарии!$AE$25:$BF$163,,MATCH(BB$8,Сценарии!$AE$8:$BF$8,0)),Сценарии!$F$25:$F$163,$F317,Сценарии!$G$25:$G$163,"ИОР")</f>
        <v>1</v>
      </c>
      <c r="BC317" s="1252">
        <f>_xlfn.SUMIFS(INDEX(Сценарии!$AE$25:$BF$163,,MATCH(BC$8,Сценарии!$AE$8:$BF$8,0)),Сценарии!$F$25:$F$163,$F317,Сценарии!$G$25:$G$163,"ИОР")</f>
        <v>1</v>
      </c>
      <c r="BD317" s="942"/>
      <c r="BE317" s="942"/>
      <c r="BF317" s="942"/>
      <c r="BG317" s="942"/>
      <c r="BH317" s="942"/>
      <c r="BI317" s="942"/>
      <c r="BJ317" s="942"/>
      <c r="BK317" s="942"/>
      <c r="BL317" s="942"/>
      <c r="BM317" s="942"/>
      <c r="BN317" s="7720"/>
      <c r="BO317" s="7720"/>
      <c r="BP317" s="7720"/>
      <c r="BQ317" s="1278"/>
      <c r="BR317" s="1278"/>
      <c r="BS317" s="1064" t="s">
        <v>2638</v>
      </c>
      <c r="BT317" s="1064"/>
      <c r="BU317" s="1064"/>
      <c r="BV317" s="979"/>
      <c r="BW317" s="979"/>
    </row>
    <row s="434" customFormat="1" customHeight="1" ht="20.25">
      <c r="A318" s="160"/>
      <c r="B318" s="434"/>
      <c r="C318" s="160"/>
      <c r="D318" s="160"/>
      <c r="E318" s="706">
        <v>21</v>
      </c>
      <c r="F318" s="50" cm="1" t="str">
        <f t="array" ref="F318:F318">OFFSET(E318,-1,1)</f>
        <v>2</v>
      </c>
      <c r="G318" s="160"/>
      <c r="H318" s="377"/>
      <c r="I318" s="377" t="s">
        <v>1179</v>
      </c>
      <c r="J318" s="160"/>
      <c r="K318" s="377" t="s">
        <v>1179</v>
      </c>
      <c r="L318" s="984" t="s">
        <v>332</v>
      </c>
      <c r="M318" s="858"/>
      <c r="N318" s="160"/>
      <c r="O318" s="160"/>
      <c r="P318" s="160"/>
      <c r="Q318" s="158" t="s">
        <v>2947</v>
      </c>
      <c r="R318" s="161" t="s">
        <v>2947</v>
      </c>
      <c r="S318" s="160"/>
      <c r="T318" s="465" cm="1" t="str">
        <f t="array" ref="T318:T318">T317</f>
        <v>true</v>
      </c>
      <c r="U318" s="160"/>
      <c r="V318" s="160"/>
      <c r="W318" s="160"/>
      <c r="X318" s="1563"/>
      <c r="Y318" s="160"/>
      <c r="Z318" s="1546"/>
      <c r="AA318" s="160"/>
      <c r="AB318" s="247" t="s">
        <v>1631</v>
      </c>
      <c r="AC318" s="361" t="s">
        <v>2434</v>
      </c>
      <c r="AD318" s="234" t="s">
        <v>1514</v>
      </c>
      <c r="AE318" s="761">
        <f>SUM(AE319,AE322,AE323,AE326,AE327)</f>
        <v>0</v>
      </c>
      <c r="AF318" s="761">
        <f>SUM(AF319,AF322,AF323,AF326,AF327)</f>
        <v>0</v>
      </c>
      <c r="AG318" s="761">
        <f>SUM(AG319,AG322,AG323,AG326,AG327)</f>
        <v>0</v>
      </c>
      <c r="AH318" s="761">
        <f>AG318-AF318</f>
        <v>0</v>
      </c>
      <c r="AI318" s="7684">
        <f>SUM(AI319,AI322,AI323,AI326,AI327)</f>
        <v>0</v>
      </c>
      <c r="AJ318" s="7721"/>
      <c r="AK318" s="764"/>
      <c r="AL318" s="764"/>
      <c r="AM318" s="764"/>
      <c r="AN318" s="764"/>
      <c r="AO318" s="764"/>
      <c r="AP318" s="764"/>
      <c r="AQ318" s="764"/>
      <c r="AR318" s="764"/>
      <c r="AS318" s="764"/>
      <c r="AT318" s="764"/>
      <c r="AU318" s="764"/>
      <c r="AV318" s="764"/>
      <c r="AW318" s="764"/>
      <c r="AX318" s="764"/>
      <c r="AY318" s="764"/>
      <c r="AZ318" s="764"/>
      <c r="BA318" s="764"/>
      <c r="BB318" s="764"/>
      <c r="BC318" s="764"/>
      <c r="BD318" s="764"/>
      <c r="BE318" s="764"/>
      <c r="BF318" s="764"/>
      <c r="BG318" s="764"/>
      <c r="BH318" s="764"/>
      <c r="BI318" s="764"/>
      <c r="BJ318" s="764"/>
      <c r="BK318" s="764"/>
      <c r="BL318" s="764"/>
      <c r="BM318" s="764"/>
      <c r="BN318" s="7722"/>
      <c r="BO318" s="7722"/>
      <c r="BP318" s="7722"/>
      <c r="BQ318" s="160"/>
      <c r="BR318" s="160"/>
      <c r="BS318" s="1062" t="s">
        <v>1230</v>
      </c>
      <c r="BT318" s="1069"/>
      <c r="BU318" s="1069"/>
      <c r="BV318" s="706"/>
      <c r="BW318" s="706"/>
    </row>
    <row s="1834" customFormat="1" customHeight="1" ht="14.25">
      <c r="A319" s="1278"/>
      <c r="B319" s="978"/>
      <c r="C319" s="1278"/>
      <c r="D319" s="1278"/>
      <c r="E319" s="703">
        <v>15</v>
      </c>
      <c r="F319" s="50" cm="1" t="str">
        <f t="array" ref="F319:F319">OFFSET(E319,-1,1)</f>
        <v>2</v>
      </c>
      <c r="G319" s="1278"/>
      <c r="H319" s="378"/>
      <c r="I319" s="378" t="s">
        <v>2068</v>
      </c>
      <c r="J319" s="1278"/>
      <c r="K319" s="378" t="s">
        <v>2068</v>
      </c>
      <c r="L319" s="980" t="s">
        <v>1175</v>
      </c>
      <c r="M319" s="107"/>
      <c r="N319" s="1278"/>
      <c r="O319" s="1278"/>
      <c r="P319" s="1278"/>
      <c r="Q319" s="158" t="s">
        <v>2947</v>
      </c>
      <c r="R319" s="161" t="s">
        <v>2947</v>
      </c>
      <c r="S319" s="1278"/>
      <c r="T319" s="465" cm="1" t="str">
        <f t="array" ref="T319:T319">T318</f>
        <v>true</v>
      </c>
      <c r="U319" s="1278"/>
      <c r="V319" s="1278"/>
      <c r="W319" s="1278"/>
      <c r="X319" s="1563"/>
      <c r="Y319" s="1278"/>
      <c r="Z319" s="1546"/>
      <c r="AA319" s="1278"/>
      <c r="AB319" s="299" t="s">
        <v>2069</v>
      </c>
      <c r="AC319" s="765" t="s">
        <v>2639</v>
      </c>
      <c r="AD319" s="766" t="s">
        <v>1514</v>
      </c>
      <c r="AE319" s="943">
        <f>SUM(AE320,AE321)</f>
        <v>0</v>
      </c>
      <c r="AF319" s="943">
        <f>SUM(AF320,AF321)</f>
        <v>0</v>
      </c>
      <c r="AG319" s="943">
        <f>SUM(AG320,AG321)</f>
        <v>0</v>
      </c>
      <c r="AH319" s="943">
        <f>AG319-AF319</f>
        <v>0</v>
      </c>
      <c r="AI319" s="7687">
        <f>SUM(AI320,AI321)</f>
        <v>0</v>
      </c>
      <c r="AJ319" s="7721"/>
      <c r="AK319" s="942"/>
      <c r="AL319" s="942"/>
      <c r="AM319" s="942"/>
      <c r="AN319" s="942"/>
      <c r="AO319" s="942"/>
      <c r="AP319" s="942"/>
      <c r="AQ319" s="942"/>
      <c r="AR319" s="942"/>
      <c r="AS319" s="942"/>
      <c r="AT319" s="942"/>
      <c r="AU319" s="942"/>
      <c r="AV319" s="942"/>
      <c r="AW319" s="942"/>
      <c r="AX319" s="942"/>
      <c r="AY319" s="942"/>
      <c r="AZ319" s="942"/>
      <c r="BA319" s="942"/>
      <c r="BB319" s="942"/>
      <c r="BC319" s="942"/>
      <c r="BD319" s="942"/>
      <c r="BE319" s="942"/>
      <c r="BF319" s="942"/>
      <c r="BG319" s="942"/>
      <c r="BH319" s="942"/>
      <c r="BI319" s="942"/>
      <c r="BJ319" s="942"/>
      <c r="BK319" s="942"/>
      <c r="BL319" s="942"/>
      <c r="BM319" s="942"/>
      <c r="BN319" s="7720"/>
      <c r="BO319" s="7720"/>
      <c r="BP319" s="7720"/>
      <c r="BQ319" s="110"/>
      <c r="BR319" s="1278"/>
      <c r="BS319" s="1063" t="s">
        <v>2436</v>
      </c>
      <c r="BT319" s="1064"/>
      <c r="BU319" s="1064"/>
      <c r="BV319" s="979"/>
      <c r="BW319" s="979"/>
    </row>
    <row s="1834" customFormat="1" customHeight="1" ht="14.25">
      <c r="A320" s="1278"/>
      <c r="B320" s="978"/>
      <c r="C320" s="1278"/>
      <c r="D320" s="1278"/>
      <c r="E320" s="703">
        <v>15</v>
      </c>
      <c r="F320" s="50" cm="1" t="str">
        <f t="array" ref="F320:F320">OFFSET(E320,-1,1)</f>
        <v>2</v>
      </c>
      <c r="G320" s="1278"/>
      <c r="H320" s="378"/>
      <c r="I320" s="378" t="s">
        <v>2640</v>
      </c>
      <c r="J320" s="1278"/>
      <c r="K320" s="378" t="s">
        <v>2640</v>
      </c>
      <c r="L320" s="980" t="s">
        <v>1739</v>
      </c>
      <c r="M320" s="107"/>
      <c r="N320" s="1278"/>
      <c r="O320" s="1278"/>
      <c r="P320" s="1278"/>
      <c r="Q320" s="158" t="s">
        <v>2947</v>
      </c>
      <c r="R320" s="161" t="s">
        <v>2947</v>
      </c>
      <c r="S320" s="1278"/>
      <c r="T320" s="465" cm="1" t="str">
        <f t="array" ref="T320:T320">T319</f>
        <v>true</v>
      </c>
      <c r="U320" s="1278"/>
      <c r="V320" s="1278"/>
      <c r="W320" s="1278"/>
      <c r="X320" s="1563"/>
      <c r="Y320" s="1278"/>
      <c r="Z320" s="1546"/>
      <c r="AA320" s="1278"/>
      <c r="AB320" s="299" t="s">
        <v>2641</v>
      </c>
      <c r="AC320" s="768" t="s">
        <v>2439</v>
      </c>
      <c r="AD320" s="766" t="s">
        <v>1514</v>
      </c>
      <c r="AE320" s="1744">
        <f>_xlfn.SUMIFS('Сырье и материалы'!AE$25:AE$162,'Сырье и материалы'!$F$25:$F$162,$F320,'Сырье и материалы'!$I$25:$I$162,"Горюче-смазочные материалы")</f>
        <v>0</v>
      </c>
      <c r="AF320" s="1744">
        <f>_xlfn.SUMIFS('Сырье и материалы'!AF$25:AF$162,'Сырье и материалы'!$F$25:$F$162,$F320,'Сырье и материалы'!$I$25:$I$162,"Горюче-смазочные материалы")</f>
        <v>0</v>
      </c>
      <c r="AG320" s="1744">
        <f>_xlfn.SUMIFS('Сырье и материалы'!AG$25:AG$162,'Сырье и материалы'!$F$25:$F$162,$F320,'Сырье и материалы'!$I$25:$I$162,"Горюче-смазочные материалы")</f>
        <v>0</v>
      </c>
      <c r="AH320" s="943">
        <f>AG320-AF320</f>
        <v>0</v>
      </c>
      <c r="AI320" s="7689">
        <f>_xlfn.SUMIFS('Сырье и материалы'!AH$25:AH$162,'Сырье и материалы'!$F$25:$F$162,$F320,'Сырье и материалы'!$I$25:$I$162,"Горюче-смазочные материалы")</f>
        <v>0</v>
      </c>
      <c r="AJ320" s="7721"/>
      <c r="AK320" s="942"/>
      <c r="AL320" s="942"/>
      <c r="AM320" s="942"/>
      <c r="AN320" s="942"/>
      <c r="AO320" s="942"/>
      <c r="AP320" s="942"/>
      <c r="AQ320" s="942"/>
      <c r="AR320" s="942"/>
      <c r="AS320" s="942"/>
      <c r="AT320" s="942"/>
      <c r="AU320" s="942"/>
      <c r="AV320" s="942"/>
      <c r="AW320" s="942"/>
      <c r="AX320" s="942"/>
      <c r="AY320" s="942"/>
      <c r="AZ320" s="942"/>
      <c r="BA320" s="942"/>
      <c r="BB320" s="942"/>
      <c r="BC320" s="942"/>
      <c r="BD320" s="942"/>
      <c r="BE320" s="942"/>
      <c r="BF320" s="942"/>
      <c r="BG320" s="942"/>
      <c r="BH320" s="942"/>
      <c r="BI320" s="942"/>
      <c r="BJ320" s="942"/>
      <c r="BK320" s="942"/>
      <c r="BL320" s="942"/>
      <c r="BM320" s="942"/>
      <c r="BN320" s="7720"/>
      <c r="BO320" s="7720"/>
      <c r="BP320" s="7720"/>
      <c r="BQ320" s="1278"/>
      <c r="BR320" s="1278"/>
      <c r="BS320" s="1062" t="s">
        <v>2440</v>
      </c>
      <c r="BT320" s="1064"/>
      <c r="BU320" s="1064"/>
      <c r="BV320" s="979"/>
      <c r="BW320" s="979"/>
    </row>
    <row s="1834" customFormat="1" customHeight="1" ht="14.25">
      <c r="A321" s="1278"/>
      <c r="B321" s="978"/>
      <c r="C321" s="1278"/>
      <c r="D321" s="1278"/>
      <c r="E321" s="703">
        <v>15</v>
      </c>
      <c r="F321" s="50" cm="1" t="str">
        <f t="array" ref="F321:F321">OFFSET(E321,-1,1)</f>
        <v>2</v>
      </c>
      <c r="G321" s="1278"/>
      <c r="H321" s="378"/>
      <c r="I321" s="378" t="s">
        <v>2642</v>
      </c>
      <c r="J321" s="1278"/>
      <c r="K321" s="378" t="s">
        <v>2642</v>
      </c>
      <c r="L321" s="980" t="s">
        <v>2043</v>
      </c>
      <c r="M321" s="107"/>
      <c r="N321" s="1278"/>
      <c r="O321" s="1278"/>
      <c r="P321" s="1278"/>
      <c r="Q321" s="158" t="s">
        <v>2947</v>
      </c>
      <c r="R321" s="161" t="s">
        <v>2947</v>
      </c>
      <c r="S321" s="1278"/>
      <c r="T321" s="465" cm="1" t="str">
        <f t="array" ref="T321:T321">T320</f>
        <v>true</v>
      </c>
      <c r="U321" s="1278"/>
      <c r="V321" s="1278"/>
      <c r="W321" s="1278"/>
      <c r="X321" s="1563"/>
      <c r="Y321" s="1278"/>
      <c r="Z321" s="1546"/>
      <c r="AA321" s="1278"/>
      <c r="AB321" s="299" t="s">
        <v>2643</v>
      </c>
      <c r="AC321" s="768" t="s">
        <v>2441</v>
      </c>
      <c r="AD321" s="766" t="s">
        <v>1514</v>
      </c>
      <c r="AE321" s="1744">
        <f>_xlfn.SUMIFS('Сырье и материалы'!AE$25:AE$162,'Сырье и материалы'!$F$25:$F$162,$F321,'Сырье и материалы'!$I$25:$I$162,"Материалы")</f>
        <v>0</v>
      </c>
      <c r="AF321" s="1744">
        <f>_xlfn.SUMIFS('Сырье и материалы'!AF$25:AF$162,'Сырье и материалы'!$F$25:$F$162,$F321,'Сырье и материалы'!$I$25:$I$162,"Материалы")</f>
        <v>0</v>
      </c>
      <c r="AG321" s="1744">
        <f>_xlfn.SUMIFS('Сырье и материалы'!AG$25:AG$162,'Сырье и материалы'!$F$25:$F$162,$F321,'Сырье и материалы'!$I$25:$I$162,"Материалы")</f>
        <v>0</v>
      </c>
      <c r="AH321" s="943">
        <f>AG321-AF321</f>
        <v>0</v>
      </c>
      <c r="AI321" s="7689">
        <f>_xlfn.SUMIFS('Сырье и материалы'!AH$25:AH$162,'Сырье и материалы'!$F$25:$F$162,$F321,'Сырье и материалы'!$I$25:$I$162,"Материалы")</f>
        <v>0</v>
      </c>
      <c r="AJ321" s="7721"/>
      <c r="AK321" s="942"/>
      <c r="AL321" s="942"/>
      <c r="AM321" s="942"/>
      <c r="AN321" s="942"/>
      <c r="AO321" s="942"/>
      <c r="AP321" s="942"/>
      <c r="AQ321" s="942"/>
      <c r="AR321" s="942"/>
      <c r="AS321" s="942"/>
      <c r="AT321" s="942"/>
      <c r="AU321" s="942"/>
      <c r="AV321" s="942"/>
      <c r="AW321" s="942"/>
      <c r="AX321" s="942"/>
      <c r="AY321" s="942"/>
      <c r="AZ321" s="942"/>
      <c r="BA321" s="942"/>
      <c r="BB321" s="942"/>
      <c r="BC321" s="942"/>
      <c r="BD321" s="942"/>
      <c r="BE321" s="942"/>
      <c r="BF321" s="942"/>
      <c r="BG321" s="942"/>
      <c r="BH321" s="942"/>
      <c r="BI321" s="942"/>
      <c r="BJ321" s="942"/>
      <c r="BK321" s="942"/>
      <c r="BL321" s="942"/>
      <c r="BM321" s="942"/>
      <c r="BN321" s="7720"/>
      <c r="BO321" s="7720"/>
      <c r="BP321" s="7720"/>
      <c r="BQ321" s="1278"/>
      <c r="BR321" s="1278"/>
      <c r="BS321" s="1062" t="s">
        <v>2442</v>
      </c>
      <c r="BT321" s="1064"/>
      <c r="BU321" s="1064"/>
      <c r="BV321" s="979"/>
      <c r="BW321" s="979"/>
    </row>
    <row s="1834" customFormat="1" customHeight="1" ht="21.75">
      <c r="A322" s="1278"/>
      <c r="B322" s="978"/>
      <c r="C322" s="1278"/>
      <c r="D322" s="1278"/>
      <c r="E322" s="703">
        <v>22.5</v>
      </c>
      <c r="F322" s="50" cm="1" t="str">
        <f t="array" ref="F322:F322">OFFSET(E322,-1,1)</f>
        <v>2</v>
      </c>
      <c r="G322" s="1278"/>
      <c r="H322" s="378"/>
      <c r="I322" s="378" t="s">
        <v>2071</v>
      </c>
      <c r="J322" s="1278"/>
      <c r="K322" s="378" t="s">
        <v>2071</v>
      </c>
      <c r="L322" s="980" t="s">
        <v>1182</v>
      </c>
      <c r="M322" s="107"/>
      <c r="N322" s="1278"/>
      <c r="O322" s="1278"/>
      <c r="P322" s="1278"/>
      <c r="Q322" s="158" t="s">
        <v>2947</v>
      </c>
      <c r="R322" s="161" t="s">
        <v>2947</v>
      </c>
      <c r="S322" s="1278"/>
      <c r="T322" s="465" cm="1" t="str">
        <f t="array" ref="T322:T322">T321</f>
        <v>true</v>
      </c>
      <c r="U322" s="1278"/>
      <c r="V322" s="1278"/>
      <c r="W322" s="1278"/>
      <c r="X322" s="1563"/>
      <c r="Y322" s="1278"/>
      <c r="Z322" s="1546"/>
      <c r="AA322" s="1278"/>
      <c r="AB322" s="299" t="s">
        <v>2072</v>
      </c>
      <c r="AC322" s="765" t="s">
        <v>2644</v>
      </c>
      <c r="AD322" s="766" t="s">
        <v>1514</v>
      </c>
      <c r="AE322" s="7723"/>
      <c r="AF322" s="7723"/>
      <c r="AG322" s="7723"/>
      <c r="AH322" s="943">
        <f>AG322-AF322</f>
        <v>0</v>
      </c>
      <c r="AI322" s="7691"/>
      <c r="AJ322" s="7721"/>
      <c r="AK322" s="942"/>
      <c r="AL322" s="942"/>
      <c r="AM322" s="942"/>
      <c r="AN322" s="942"/>
      <c r="AO322" s="942"/>
      <c r="AP322" s="942"/>
      <c r="AQ322" s="942"/>
      <c r="AR322" s="942"/>
      <c r="AS322" s="942"/>
      <c r="AT322" s="942"/>
      <c r="AU322" s="942"/>
      <c r="AV322" s="942"/>
      <c r="AW322" s="942"/>
      <c r="AX322" s="942"/>
      <c r="AY322" s="942"/>
      <c r="AZ322" s="942"/>
      <c r="BA322" s="942"/>
      <c r="BB322" s="942"/>
      <c r="BC322" s="942"/>
      <c r="BD322" s="942"/>
      <c r="BE322" s="942"/>
      <c r="BF322" s="942"/>
      <c r="BG322" s="942"/>
      <c r="BH322" s="942"/>
      <c r="BI322" s="942"/>
      <c r="BJ322" s="942"/>
      <c r="BK322" s="942"/>
      <c r="BL322" s="942"/>
      <c r="BM322" s="942"/>
      <c r="BN322" s="7720"/>
      <c r="BO322" s="7720"/>
      <c r="BP322" s="7720"/>
      <c r="BQ322" s="1278"/>
      <c r="BR322" s="1278"/>
      <c r="BS322" s="1063" t="s">
        <v>2467</v>
      </c>
      <c r="BT322" s="1064"/>
      <c r="BU322" s="1064"/>
      <c r="BV322" s="979"/>
      <c r="BW322" s="979"/>
    </row>
    <row s="1834" customFormat="1" customHeight="1" ht="21.75">
      <c r="A323" s="1278"/>
      <c r="B323" s="978"/>
      <c r="C323" s="1278"/>
      <c r="D323" s="1278"/>
      <c r="E323" s="703">
        <v>22.5</v>
      </c>
      <c r="F323" s="50" cm="1" t="str">
        <f t="array" ref="F323:F323">OFFSET(E323,-1,1)</f>
        <v>2</v>
      </c>
      <c r="G323" s="1278"/>
      <c r="H323" s="378"/>
      <c r="I323" s="378" t="s">
        <v>2075</v>
      </c>
      <c r="J323" s="1278"/>
      <c r="K323" s="378" t="s">
        <v>2075</v>
      </c>
      <c r="L323" s="980" t="s">
        <v>1186</v>
      </c>
      <c r="M323" s="107"/>
      <c r="N323" s="1278"/>
      <c r="O323" s="1278"/>
      <c r="P323" s="1278"/>
      <c r="Q323" s="158" t="s">
        <v>2947</v>
      </c>
      <c r="R323" s="161" t="s">
        <v>2947</v>
      </c>
      <c r="S323" s="1278"/>
      <c r="T323" s="465" cm="1" t="str">
        <f t="array" ref="T323:T323">T322</f>
        <v>true</v>
      </c>
      <c r="U323" s="1278"/>
      <c r="V323" s="1278"/>
      <c r="W323" s="1278"/>
      <c r="X323" s="1563"/>
      <c r="Y323" s="1278"/>
      <c r="Z323" s="1546"/>
      <c r="AA323" s="1278"/>
      <c r="AB323" s="299" t="s">
        <v>2076</v>
      </c>
      <c r="AC323" s="765" t="s">
        <v>2645</v>
      </c>
      <c r="AD323" s="766" t="s">
        <v>1514</v>
      </c>
      <c r="AE323" s="944">
        <f>AE324+AE325</f>
        <v>0</v>
      </c>
      <c r="AF323" s="944">
        <f>AF324+AF325</f>
        <v>0</v>
      </c>
      <c r="AG323" s="944">
        <f>AG324+AG325</f>
        <v>0</v>
      </c>
      <c r="AH323" s="943">
        <f>AG323-AF323</f>
        <v>0</v>
      </c>
      <c r="AI323" s="7693">
        <f>AI324+AI325</f>
        <v>0</v>
      </c>
      <c r="AJ323" s="7721"/>
      <c r="AK323" s="942"/>
      <c r="AL323" s="942"/>
      <c r="AM323" s="942"/>
      <c r="AN323" s="942"/>
      <c r="AO323" s="942"/>
      <c r="AP323" s="942"/>
      <c r="AQ323" s="942"/>
      <c r="AR323" s="942"/>
      <c r="AS323" s="942"/>
      <c r="AT323" s="942"/>
      <c r="AU323" s="942"/>
      <c r="AV323" s="942"/>
      <c r="AW323" s="942"/>
      <c r="AX323" s="942"/>
      <c r="AY323" s="942"/>
      <c r="AZ323" s="942"/>
      <c r="BA323" s="942"/>
      <c r="BB323" s="942"/>
      <c r="BC323" s="942"/>
      <c r="BD323" s="942"/>
      <c r="BE323" s="942"/>
      <c r="BF323" s="942"/>
      <c r="BG323" s="942"/>
      <c r="BH323" s="942"/>
      <c r="BI323" s="942"/>
      <c r="BJ323" s="942"/>
      <c r="BK323" s="942"/>
      <c r="BL323" s="942"/>
      <c r="BM323" s="942"/>
      <c r="BN323" s="7720"/>
      <c r="BO323" s="7720"/>
      <c r="BP323" s="7720"/>
      <c r="BQ323" s="1278"/>
      <c r="BR323" s="1278"/>
      <c r="BS323" s="1063" t="s">
        <v>2646</v>
      </c>
      <c r="BT323" s="1064"/>
      <c r="BU323" s="1064"/>
      <c r="BV323" s="979"/>
      <c r="BW323" s="979"/>
    </row>
    <row s="1834" customFormat="1" customHeight="1" ht="14.25">
      <c r="A324" s="1278"/>
      <c r="B324" s="978"/>
      <c r="C324" s="1278"/>
      <c r="D324" s="1278"/>
      <c r="E324" s="703">
        <v>15</v>
      </c>
      <c r="F324" s="50" cm="1" t="str">
        <f t="array" ref="F324:F324">OFFSET(E324,-1,1)</f>
        <v>2</v>
      </c>
      <c r="G324" s="349" t="s">
        <v>1866</v>
      </c>
      <c r="H324" s="378"/>
      <c r="I324" s="378" t="s">
        <v>2220</v>
      </c>
      <c r="J324" s="1278"/>
      <c r="K324" s="378" t="s">
        <v>2220</v>
      </c>
      <c r="L324" s="980" t="s">
        <v>2095</v>
      </c>
      <c r="M324" s="107"/>
      <c r="N324" s="1278"/>
      <c r="O324" s="1278"/>
      <c r="P324" s="1278"/>
      <c r="Q324" s="158" t="s">
        <v>2947</v>
      </c>
      <c r="R324" s="161" t="s">
        <v>2947</v>
      </c>
      <c r="S324" s="1278"/>
      <c r="T324" s="465" cm="1" t="str">
        <f t="array" ref="T324:T324">T323</f>
        <v>true</v>
      </c>
      <c r="U324" s="1278"/>
      <c r="V324" s="1278"/>
      <c r="W324" s="1278"/>
      <c r="X324" s="1563"/>
      <c r="Y324" s="1278"/>
      <c r="Z324" s="1546"/>
      <c r="AA324" s="1278"/>
      <c r="AB324" s="299" t="s">
        <v>2647</v>
      </c>
      <c r="AC324" s="768" t="s">
        <v>2470</v>
      </c>
      <c r="AD324" s="766" t="s">
        <v>1514</v>
      </c>
      <c r="AE324" s="7723"/>
      <c r="AF324" s="7723"/>
      <c r="AG324" s="7723"/>
      <c r="AH324" s="943">
        <f>AG324-AF324</f>
        <v>0</v>
      </c>
      <c r="AI324" s="7691"/>
      <c r="AJ324" s="7721"/>
      <c r="AK324" s="942"/>
      <c r="AL324" s="942"/>
      <c r="AM324" s="942"/>
      <c r="AN324" s="942"/>
      <c r="AO324" s="942"/>
      <c r="AP324" s="942"/>
      <c r="AQ324" s="942"/>
      <c r="AR324" s="942"/>
      <c r="AS324" s="942"/>
      <c r="AT324" s="942"/>
      <c r="AU324" s="942"/>
      <c r="AV324" s="942"/>
      <c r="AW324" s="942"/>
      <c r="AX324" s="942"/>
      <c r="AY324" s="942"/>
      <c r="AZ324" s="942"/>
      <c r="BA324" s="942"/>
      <c r="BB324" s="942"/>
      <c r="BC324" s="942"/>
      <c r="BD324" s="942"/>
      <c r="BE324" s="942"/>
      <c r="BF324" s="942"/>
      <c r="BG324" s="942"/>
      <c r="BH324" s="942"/>
      <c r="BI324" s="942"/>
      <c r="BJ324" s="942"/>
      <c r="BK324" s="942"/>
      <c r="BL324" s="942"/>
      <c r="BM324" s="942"/>
      <c r="BN324" s="7720"/>
      <c r="BO324" s="7724" t="str">
        <f>IF(_xlfn.IFERROR(INDEX(ФОТ!$K$26:$L$188,MATCH($F324&amp;"1komm",ФОТ!$K$26:$K$188,0),2),"")=0,"",_xlfn.IFERROR(INDEX(ФОТ!$K$26:$L$188,MATCH($F324&amp;"1komm",ФОТ!$K$26:$K$188,0),2),""))</f>
        <v>по предложению организации в соответствии со штатным расписанием.</v>
      </c>
      <c r="BP324" s="7720"/>
      <c r="BQ324" s="1278"/>
      <c r="BR324" s="1278"/>
      <c r="BS324" s="1062" t="s">
        <v>2471</v>
      </c>
      <c r="BT324" s="1064"/>
      <c r="BU324" s="1064"/>
      <c r="BV324" s="979"/>
      <c r="BW324" s="979"/>
    </row>
    <row s="1834" customFormat="1" customHeight="1" ht="21.75">
      <c r="A325" s="1278"/>
      <c r="B325" s="978"/>
      <c r="C325" s="1278"/>
      <c r="D325" s="1278"/>
      <c r="E325" s="703">
        <v>22.5</v>
      </c>
      <c r="F325" s="50" cm="1" t="str">
        <f t="array" ref="F325:F325">OFFSET(E325,-1,1)</f>
        <v>2</v>
      </c>
      <c r="G325" s="349" t="s">
        <v>1878</v>
      </c>
      <c r="H325" s="378"/>
      <c r="I325" s="378" t="s">
        <v>2224</v>
      </c>
      <c r="J325" s="1278"/>
      <c r="K325" s="378" t="s">
        <v>2224</v>
      </c>
      <c r="L325" s="980" t="s">
        <v>2096</v>
      </c>
      <c r="M325" s="107"/>
      <c r="N325" s="1278"/>
      <c r="O325" s="1278"/>
      <c r="P325" s="1278"/>
      <c r="Q325" s="158" t="s">
        <v>2947</v>
      </c>
      <c r="R325" s="161" t="s">
        <v>2947</v>
      </c>
      <c r="S325" s="1278"/>
      <c r="T325" s="465" cm="1" t="str">
        <f t="array" ref="T325:T325">T324</f>
        <v>true</v>
      </c>
      <c r="U325" s="1278"/>
      <c r="V325" s="1278"/>
      <c r="W325" s="1278"/>
      <c r="X325" s="1563"/>
      <c r="Y325" s="1278"/>
      <c r="Z325" s="1546"/>
      <c r="AA325" s="1278"/>
      <c r="AB325" s="299" t="s">
        <v>2648</v>
      </c>
      <c r="AC325" s="768" t="s">
        <v>2649</v>
      </c>
      <c r="AD325" s="766" t="s">
        <v>1514</v>
      </c>
      <c r="AE325" s="7723">
        <f>AE324*_xlfn.SUMIFS(INDEX(Сценарии!$AE$25:$BF$163,,MATCH(AE$8,Сценарии!$AE$8:$BF$8,0)),Сценарии!$F$25:$F$163,$F325,Сценарии!$G$25:$G$163,"СВФОТ")/100</f>
        <v>0</v>
      </c>
      <c r="AF325" s="7723">
        <f>AF324*_xlfn.SUMIFS(INDEX(Сценарии!$AE$25:$BF$163,,MATCH(AF$8,Сценарии!$AE$8:$BF$8,0)),Сценарии!$F$25:$F$163,$F325,Сценарии!$G$25:$G$163,"СВФОТ")/100</f>
        <v>0</v>
      </c>
      <c r="AG325" s="7723">
        <f>AG324*_xlfn.SUMIFS(INDEX(Сценарии!$AE$25:$BF$163,,MATCH(AG$8,Сценарии!$AE$8:$BF$8,0)),Сценарии!$F$25:$F$163,$F325,Сценарии!$G$25:$G$163,"СВФОТ")/100</f>
        <v>0</v>
      </c>
      <c r="AH325" s="943">
        <f>AG325-AF325</f>
        <v>0</v>
      </c>
      <c r="AI325" s="7691">
        <f>AI324*_xlfn.SUMIFS(INDEX(Сценарии!$AE$25:$BF$163,,MATCH(AG$8,Сценарии!$AE$8:$BF$8,0)),Сценарии!$F$25:$F$163,$F325,Сценарии!$G$25:$G$163,"СВФОТ")/100</f>
        <v>0</v>
      </c>
      <c r="AJ325" s="7721"/>
      <c r="AK325" s="942"/>
      <c r="AL325" s="942"/>
      <c r="AM325" s="942"/>
      <c r="AN325" s="942"/>
      <c r="AO325" s="942"/>
      <c r="AP325" s="942"/>
      <c r="AQ325" s="942"/>
      <c r="AR325" s="942"/>
      <c r="AS325" s="942"/>
      <c r="AT325" s="942"/>
      <c r="AU325" s="942"/>
      <c r="AV325" s="942"/>
      <c r="AW325" s="942"/>
      <c r="AX325" s="942"/>
      <c r="AY325" s="942"/>
      <c r="AZ325" s="942"/>
      <c r="BA325" s="942"/>
      <c r="BB325" s="942"/>
      <c r="BC325" s="942"/>
      <c r="BD325" s="942"/>
      <c r="BE325" s="942"/>
      <c r="BF325" s="942"/>
      <c r="BG325" s="942"/>
      <c r="BH325" s="942"/>
      <c r="BI325" s="942"/>
      <c r="BJ325" s="942"/>
      <c r="BK325" s="942"/>
      <c r="BL325" s="942"/>
      <c r="BM325" s="942"/>
      <c r="BN325" s="7720"/>
      <c r="BO325" s="7724" t="str">
        <f>IF(_xlfn.IFERROR(INDEX(ФОТ!$K$26:$L$188,MATCH($F325&amp;"2komm",ФОТ!$K$26:$K$188,0),2),"")=0,"",_xlfn.IFERROR(INDEX(ФОТ!$K$26:$L$188,MATCH($F325&amp;"2komm",ФОТ!$K$26:$K$188,0),2),""))</f>
        <v>на основании Налогового кодекса РФ (часть вторая) от 05.08.2000 № 117-ФЗ в размере 30%, а также в соответствии с Федеральным законом от 24.07.1998 № 125 – ФЗ (0,20%).</v>
      </c>
      <c r="BP325" s="7720"/>
      <c r="BQ325" s="1278"/>
      <c r="BR325" s="1278"/>
      <c r="BS325" s="1062" t="s">
        <v>2473</v>
      </c>
      <c r="BT325" s="1064"/>
      <c r="BU325" s="1064"/>
      <c r="BV325" s="979"/>
      <c r="BW325" s="979"/>
    </row>
    <row s="1834" customFormat="1" customHeight="1" ht="14.25">
      <c r="A326" s="1278"/>
      <c r="B326" s="978"/>
      <c r="C326" s="1278"/>
      <c r="D326" s="1278"/>
      <c r="E326" s="703">
        <v>15</v>
      </c>
      <c r="F326" s="50" cm="1" t="str">
        <f t="array" ref="F326:F326">OFFSET(E326,-1,1)</f>
        <v>2</v>
      </c>
      <c r="G326" s="1278"/>
      <c r="H326" s="378"/>
      <c r="I326" s="378" t="s">
        <v>2235</v>
      </c>
      <c r="J326" s="1278"/>
      <c r="K326" s="378" t="s">
        <v>2235</v>
      </c>
      <c r="L326" s="980" t="s">
        <v>2475</v>
      </c>
      <c r="M326" s="107"/>
      <c r="N326" s="1278"/>
      <c r="O326" s="1278"/>
      <c r="P326" s="1278"/>
      <c r="Q326" s="158" t="s">
        <v>2947</v>
      </c>
      <c r="R326" s="161" t="s">
        <v>2947</v>
      </c>
      <c r="S326" s="1278"/>
      <c r="T326" s="465" cm="1" t="str">
        <f t="array" ref="T326:T326">T325</f>
        <v>true</v>
      </c>
      <c r="U326" s="1278"/>
      <c r="V326" s="1278"/>
      <c r="W326" s="1278"/>
      <c r="X326" s="1563"/>
      <c r="Y326" s="1278"/>
      <c r="Z326" s="1546"/>
      <c r="AA326" s="1278"/>
      <c r="AB326" s="299" t="s">
        <v>2449</v>
      </c>
      <c r="AC326" s="765" t="s">
        <v>2650</v>
      </c>
      <c r="AD326" s="766" t="s">
        <v>1514</v>
      </c>
      <c r="AE326" s="7723"/>
      <c r="AF326" s="7723"/>
      <c r="AG326" s="7723"/>
      <c r="AH326" s="943">
        <f>AG326-AF326</f>
        <v>0</v>
      </c>
      <c r="AI326" s="7691"/>
      <c r="AJ326" s="7721"/>
      <c r="AK326" s="942"/>
      <c r="AL326" s="942"/>
      <c r="AM326" s="942"/>
      <c r="AN326" s="942"/>
      <c r="AO326" s="942"/>
      <c r="AP326" s="942"/>
      <c r="AQ326" s="942"/>
      <c r="AR326" s="942"/>
      <c r="AS326" s="942"/>
      <c r="AT326" s="942"/>
      <c r="AU326" s="942"/>
      <c r="AV326" s="942"/>
      <c r="AW326" s="942"/>
      <c r="AX326" s="942"/>
      <c r="AY326" s="942"/>
      <c r="AZ326" s="942"/>
      <c r="BA326" s="942"/>
      <c r="BB326" s="942"/>
      <c r="BC326" s="942"/>
      <c r="BD326" s="942"/>
      <c r="BE326" s="942"/>
      <c r="BF326" s="942"/>
      <c r="BG326" s="942"/>
      <c r="BH326" s="942"/>
      <c r="BI326" s="942"/>
      <c r="BJ326" s="942"/>
      <c r="BK326" s="942"/>
      <c r="BL326" s="942"/>
      <c r="BM326" s="942"/>
      <c r="BN326" s="7720"/>
      <c r="BO326" s="7720"/>
      <c r="BP326" s="7720"/>
      <c r="BQ326" s="1278"/>
      <c r="BR326" s="1278"/>
      <c r="BS326" s="1063" t="s">
        <v>2478</v>
      </c>
      <c r="BT326" s="1064"/>
      <c r="BU326" s="1064"/>
      <c r="BV326" s="979"/>
      <c r="BW326" s="979"/>
    </row>
    <row s="1834" customFormat="1" customHeight="1" ht="14.25">
      <c r="A327" s="1278"/>
      <c r="B327" s="978"/>
      <c r="C327" s="1278"/>
      <c r="D327" s="1278"/>
      <c r="E327" s="703">
        <v>15</v>
      </c>
      <c r="F327" s="50" cm="1" t="str">
        <f t="array" ref="F327:F327">OFFSET(E327,-1,1)</f>
        <v>2</v>
      </c>
      <c r="G327" s="1278"/>
      <c r="H327" s="378"/>
      <c r="I327" s="378" t="s">
        <v>2239</v>
      </c>
      <c r="J327" s="1278"/>
      <c r="K327" s="378" t="s">
        <v>2239</v>
      </c>
      <c r="L327" s="980" t="s">
        <v>2479</v>
      </c>
      <c r="M327" s="1278"/>
      <c r="N327" s="1278"/>
      <c r="O327" s="1278"/>
      <c r="P327" s="1278"/>
      <c r="Q327" s="158" t="s">
        <v>2947</v>
      </c>
      <c r="R327" s="161" t="s">
        <v>2947</v>
      </c>
      <c r="S327" s="1278"/>
      <c r="T327" s="465" cm="1" t="str">
        <f t="array" ref="T327:T327">T326</f>
        <v>true</v>
      </c>
      <c r="U327" s="1278"/>
      <c r="V327" s="1278"/>
      <c r="W327" s="1278"/>
      <c r="X327" s="1563"/>
      <c r="Y327" s="1278"/>
      <c r="Z327" s="1546"/>
      <c r="AA327" s="1278"/>
      <c r="AB327" s="299" t="s">
        <v>2451</v>
      </c>
      <c r="AC327" s="765" t="s">
        <v>2651</v>
      </c>
      <c r="AD327" s="300" t="s">
        <v>1514</v>
      </c>
      <c r="AE327" s="944">
        <f>SUM(AE328:AE334)</f>
        <v>0</v>
      </c>
      <c r="AF327" s="944">
        <f>SUM(AF328:AF334)</f>
        <v>0</v>
      </c>
      <c r="AG327" s="944">
        <f>SUM(AG328:AG334)</f>
        <v>0</v>
      </c>
      <c r="AH327" s="943">
        <f>AG327-AF327</f>
        <v>0</v>
      </c>
      <c r="AI327" s="7693">
        <f>SUM(AI328:AI334)</f>
        <v>0</v>
      </c>
      <c r="AJ327" s="7721"/>
      <c r="AK327" s="942"/>
      <c r="AL327" s="942"/>
      <c r="AM327" s="942"/>
      <c r="AN327" s="942"/>
      <c r="AO327" s="942"/>
      <c r="AP327" s="942"/>
      <c r="AQ327" s="942"/>
      <c r="AR327" s="942"/>
      <c r="AS327" s="942"/>
      <c r="AT327" s="942"/>
      <c r="AU327" s="942"/>
      <c r="AV327" s="942"/>
      <c r="AW327" s="942"/>
      <c r="AX327" s="942"/>
      <c r="AY327" s="942"/>
      <c r="AZ327" s="942"/>
      <c r="BA327" s="942"/>
      <c r="BB327" s="942"/>
      <c r="BC327" s="942"/>
      <c r="BD327" s="942"/>
      <c r="BE327" s="942"/>
      <c r="BF327" s="942"/>
      <c r="BG327" s="942"/>
      <c r="BH327" s="942"/>
      <c r="BI327" s="942"/>
      <c r="BJ327" s="942"/>
      <c r="BK327" s="942"/>
      <c r="BL327" s="942"/>
      <c r="BM327" s="942"/>
      <c r="BN327" s="7720"/>
      <c r="BO327" s="7720"/>
      <c r="BP327" s="7720"/>
      <c r="BQ327" s="1278"/>
      <c r="BR327" s="1278"/>
      <c r="BS327" s="1063" t="s">
        <v>2652</v>
      </c>
      <c r="BT327" s="1064"/>
      <c r="BU327" s="1064"/>
      <c r="BV327" s="979"/>
      <c r="BW327" s="979"/>
    </row>
    <row s="1834" customFormat="1" customHeight="1" ht="14.25">
      <c r="A328" s="1278"/>
      <c r="B328" s="978"/>
      <c r="C328" s="1278"/>
      <c r="D328" s="1278"/>
      <c r="E328" s="703">
        <v>15</v>
      </c>
      <c r="F328" s="50" cm="1" t="str">
        <f t="array" ref="F328:F328">OFFSET(E328,-1,1)</f>
        <v>2</v>
      </c>
      <c r="G328" s="1278"/>
      <c r="H328" s="378"/>
      <c r="I328" s="378" t="s">
        <v>2653</v>
      </c>
      <c r="J328" s="1278"/>
      <c r="K328" s="378" t="s">
        <v>2653</v>
      </c>
      <c r="L328" s="980" t="s">
        <v>2479</v>
      </c>
      <c r="M328" s="107" t="s">
        <v>2487</v>
      </c>
      <c r="N328" s="1278"/>
      <c r="O328" s="1278"/>
      <c r="P328" s="1278"/>
      <c r="Q328" s="158" t="s">
        <v>2947</v>
      </c>
      <c r="R328" s="161" t="s">
        <v>2947</v>
      </c>
      <c r="S328" s="1278"/>
      <c r="T328" s="465" cm="1" t="str">
        <f t="array" ref="T328:T328">T327</f>
        <v>true</v>
      </c>
      <c r="U328" s="1278"/>
      <c r="V328" s="1278"/>
      <c r="W328" s="1278"/>
      <c r="X328" s="1563"/>
      <c r="Y328" s="1278"/>
      <c r="Z328" s="1546"/>
      <c r="AA328" s="1278"/>
      <c r="AB328" s="299" t="s">
        <v>2654</v>
      </c>
      <c r="AC328" s="768" t="s">
        <v>2655</v>
      </c>
      <c r="AD328" s="300" t="s">
        <v>1514</v>
      </c>
      <c r="AE328" s="7723"/>
      <c r="AF328" s="7723"/>
      <c r="AG328" s="7723"/>
      <c r="AH328" s="943">
        <f>AG328-AF328</f>
        <v>0</v>
      </c>
      <c r="AI328" s="7691"/>
      <c r="AJ328" s="7721"/>
      <c r="AK328" s="942"/>
      <c r="AL328" s="942"/>
      <c r="AM328" s="942"/>
      <c r="AN328" s="942"/>
      <c r="AO328" s="942"/>
      <c r="AP328" s="942"/>
      <c r="AQ328" s="942"/>
      <c r="AR328" s="942"/>
      <c r="AS328" s="942"/>
      <c r="AT328" s="942"/>
      <c r="AU328" s="942"/>
      <c r="AV328" s="942"/>
      <c r="AW328" s="942"/>
      <c r="AX328" s="942"/>
      <c r="AY328" s="942"/>
      <c r="AZ328" s="942"/>
      <c r="BA328" s="942"/>
      <c r="BB328" s="942"/>
      <c r="BC328" s="942"/>
      <c r="BD328" s="942"/>
      <c r="BE328" s="942"/>
      <c r="BF328" s="942"/>
      <c r="BG328" s="942"/>
      <c r="BH328" s="942"/>
      <c r="BI328" s="942"/>
      <c r="BJ328" s="942"/>
      <c r="BK328" s="942"/>
      <c r="BL328" s="942"/>
      <c r="BM328" s="942"/>
      <c r="BN328" s="7720"/>
      <c r="BO328" s="7720"/>
      <c r="BP328" s="7720"/>
      <c r="BQ328" s="1278"/>
      <c r="BR328" s="1278"/>
      <c r="BS328" s="1062" t="s">
        <v>2490</v>
      </c>
      <c r="BT328" s="1064"/>
      <c r="BU328" s="1064"/>
      <c r="BV328" s="979"/>
      <c r="BW328" s="979"/>
    </row>
    <row s="1834" customFormat="1" customHeight="1" ht="21.75">
      <c r="A329" s="1278"/>
      <c r="B329" s="978"/>
      <c r="C329" s="1278"/>
      <c r="D329" s="1278"/>
      <c r="E329" s="703">
        <v>22.5</v>
      </c>
      <c r="F329" s="50" cm="1" t="str">
        <f t="array" ref="F329:F329">OFFSET(E329,-1,1)</f>
        <v>2</v>
      </c>
      <c r="G329" s="1278"/>
      <c r="H329" s="378"/>
      <c r="I329" s="378" t="s">
        <v>2656</v>
      </c>
      <c r="J329" s="1278"/>
      <c r="K329" s="378" t="s">
        <v>2656</v>
      </c>
      <c r="L329" s="980" t="s">
        <v>2479</v>
      </c>
      <c r="M329" s="107" t="s">
        <v>2483</v>
      </c>
      <c r="N329" s="1278"/>
      <c r="O329" s="1278"/>
      <c r="P329" s="1278"/>
      <c r="Q329" s="158" t="s">
        <v>2947</v>
      </c>
      <c r="R329" s="161" t="s">
        <v>2947</v>
      </c>
      <c r="S329" s="1278"/>
      <c r="T329" s="465" cm="1" t="str">
        <f t="array" ref="T329:T329">T328</f>
        <v>true</v>
      </c>
      <c r="U329" s="1278"/>
      <c r="V329" s="1278"/>
      <c r="W329" s="1278"/>
      <c r="X329" s="1563"/>
      <c r="Y329" s="1278"/>
      <c r="Z329" s="1546"/>
      <c r="AA329" s="1278"/>
      <c r="AB329" s="299" t="s">
        <v>2657</v>
      </c>
      <c r="AC329" s="768" t="s">
        <v>2658</v>
      </c>
      <c r="AD329" s="300" t="s">
        <v>1514</v>
      </c>
      <c r="AE329" s="7723"/>
      <c r="AF329" s="7723"/>
      <c r="AG329" s="7723"/>
      <c r="AH329" s="943">
        <f>AG329-AF329</f>
        <v>0</v>
      </c>
      <c r="AI329" s="7691"/>
      <c r="AJ329" s="7721"/>
      <c r="AK329" s="942"/>
      <c r="AL329" s="942"/>
      <c r="AM329" s="942"/>
      <c r="AN329" s="942"/>
      <c r="AO329" s="942"/>
      <c r="AP329" s="942"/>
      <c r="AQ329" s="942"/>
      <c r="AR329" s="942"/>
      <c r="AS329" s="942"/>
      <c r="AT329" s="942"/>
      <c r="AU329" s="942"/>
      <c r="AV329" s="942"/>
      <c r="AW329" s="942"/>
      <c r="AX329" s="942"/>
      <c r="AY329" s="942"/>
      <c r="AZ329" s="942"/>
      <c r="BA329" s="942"/>
      <c r="BB329" s="942"/>
      <c r="BC329" s="942"/>
      <c r="BD329" s="942"/>
      <c r="BE329" s="942"/>
      <c r="BF329" s="942"/>
      <c r="BG329" s="942"/>
      <c r="BH329" s="942"/>
      <c r="BI329" s="942"/>
      <c r="BJ329" s="942"/>
      <c r="BK329" s="942"/>
      <c r="BL329" s="942"/>
      <c r="BM329" s="942"/>
      <c r="BN329" s="7720"/>
      <c r="BO329" s="7720"/>
      <c r="BP329" s="7720"/>
      <c r="BQ329" s="1278"/>
      <c r="BR329" s="1278"/>
      <c r="BS329" s="1064" t="s">
        <v>2659</v>
      </c>
      <c r="BT329" s="1064"/>
      <c r="BU329" s="1064"/>
      <c r="BV329" s="979"/>
      <c r="BW329" s="979"/>
    </row>
    <row s="1834" customFormat="1" customHeight="1" ht="21.75">
      <c r="A330" s="1278"/>
      <c r="B330" s="978"/>
      <c r="C330" s="1278"/>
      <c r="D330" s="1278"/>
      <c r="E330" s="703">
        <v>22.5</v>
      </c>
      <c r="F330" s="50" cm="1" t="str">
        <f t="array" ref="F330:F330">OFFSET(E330,-1,1)</f>
        <v>2</v>
      </c>
      <c r="G330" s="1278"/>
      <c r="H330" s="378"/>
      <c r="I330" s="378" t="s">
        <v>2660</v>
      </c>
      <c r="J330" s="1278"/>
      <c r="K330" s="378" t="s">
        <v>2660</v>
      </c>
      <c r="L330" s="1278"/>
      <c r="M330" s="1278"/>
      <c r="N330" s="1278"/>
      <c r="O330" s="1278"/>
      <c r="P330" s="1278"/>
      <c r="Q330" s="158" t="s">
        <v>2947</v>
      </c>
      <c r="R330" s="161" t="s">
        <v>2947</v>
      </c>
      <c r="S330" s="1278"/>
      <c r="T330" s="465" cm="1" t="str">
        <f t="array" ref="T330:T330">T329</f>
        <v>true</v>
      </c>
      <c r="U330" s="1278"/>
      <c r="V330" s="1278"/>
      <c r="W330" s="1278"/>
      <c r="X330" s="1563"/>
      <c r="Y330" s="1278"/>
      <c r="Z330" s="1546"/>
      <c r="AA330" s="1278"/>
      <c r="AB330" s="299" t="s">
        <v>2661</v>
      </c>
      <c r="AC330" s="769" t="s">
        <v>2662</v>
      </c>
      <c r="AD330" s="300" t="s">
        <v>1514</v>
      </c>
      <c r="AE330" s="7723"/>
      <c r="AF330" s="7723"/>
      <c r="AG330" s="7723"/>
      <c r="AH330" s="943">
        <f>AG330-AF330</f>
        <v>0</v>
      </c>
      <c r="AI330" s="7691"/>
      <c r="AJ330" s="7721"/>
      <c r="AK330" s="942"/>
      <c r="AL330" s="942"/>
      <c r="AM330" s="942"/>
      <c r="AN330" s="942"/>
      <c r="AO330" s="942"/>
      <c r="AP330" s="942"/>
      <c r="AQ330" s="942"/>
      <c r="AR330" s="942"/>
      <c r="AS330" s="942"/>
      <c r="AT330" s="942"/>
      <c r="AU330" s="942"/>
      <c r="AV330" s="942"/>
      <c r="AW330" s="942"/>
      <c r="AX330" s="942"/>
      <c r="AY330" s="942"/>
      <c r="AZ330" s="942"/>
      <c r="BA330" s="942"/>
      <c r="BB330" s="942"/>
      <c r="BC330" s="942"/>
      <c r="BD330" s="942"/>
      <c r="BE330" s="942"/>
      <c r="BF330" s="942"/>
      <c r="BG330" s="942"/>
      <c r="BH330" s="942"/>
      <c r="BI330" s="942"/>
      <c r="BJ330" s="942"/>
      <c r="BK330" s="942"/>
      <c r="BL330" s="942"/>
      <c r="BM330" s="942"/>
      <c r="BN330" s="7720"/>
      <c r="BO330" s="7720"/>
      <c r="BP330" s="7720"/>
      <c r="BQ330" s="1278"/>
      <c r="BR330" s="1278"/>
      <c r="BS330" s="1064" t="s">
        <v>2663</v>
      </c>
      <c r="BT330" s="1064"/>
      <c r="BU330" s="1064"/>
      <c r="BV330" s="979"/>
      <c r="BW330" s="979"/>
    </row>
    <row s="1834" customFormat="1" customHeight="1" ht="21.75">
      <c r="A331" s="1278"/>
      <c r="B331" s="978"/>
      <c r="C331" s="1278"/>
      <c r="D331" s="1278"/>
      <c r="E331" s="703">
        <v>22.5</v>
      </c>
      <c r="F331" s="50" cm="1" t="str">
        <f t="array" ref="F331:F331">OFFSET(E331,-1,1)</f>
        <v>2</v>
      </c>
      <c r="G331" s="1278"/>
      <c r="H331" s="378"/>
      <c r="I331" s="378" t="s">
        <v>2664</v>
      </c>
      <c r="J331" s="1278"/>
      <c r="K331" s="378" t="s">
        <v>2664</v>
      </c>
      <c r="L331" s="980"/>
      <c r="M331" s="1278"/>
      <c r="N331" s="1278"/>
      <c r="O331" s="1278"/>
      <c r="P331" s="1278"/>
      <c r="Q331" s="158" t="s">
        <v>2947</v>
      </c>
      <c r="R331" s="161" t="s">
        <v>2947</v>
      </c>
      <c r="S331" s="1278"/>
      <c r="T331" s="465" cm="1" t="str">
        <f t="array" ref="T331:T331">T330</f>
        <v>true</v>
      </c>
      <c r="U331" s="1278"/>
      <c r="V331" s="1278"/>
      <c r="W331" s="1278"/>
      <c r="X331" s="1563"/>
      <c r="Y331" s="1278"/>
      <c r="Z331" s="1546"/>
      <c r="AA331" s="1278"/>
      <c r="AB331" s="299" t="s">
        <v>2665</v>
      </c>
      <c r="AC331" s="769" t="s">
        <v>2666</v>
      </c>
      <c r="AD331" s="300" t="s">
        <v>1514</v>
      </c>
      <c r="AE331" s="7723"/>
      <c r="AF331" s="7723"/>
      <c r="AG331" s="7723"/>
      <c r="AH331" s="943">
        <f>AG331-AF331</f>
        <v>0</v>
      </c>
      <c r="AI331" s="7691"/>
      <c r="AJ331" s="7721"/>
      <c r="AK331" s="942"/>
      <c r="AL331" s="942"/>
      <c r="AM331" s="942"/>
      <c r="AN331" s="942"/>
      <c r="AO331" s="942"/>
      <c r="AP331" s="942"/>
      <c r="AQ331" s="942"/>
      <c r="AR331" s="942"/>
      <c r="AS331" s="942"/>
      <c r="AT331" s="942"/>
      <c r="AU331" s="942"/>
      <c r="AV331" s="942"/>
      <c r="AW331" s="942"/>
      <c r="AX331" s="942"/>
      <c r="AY331" s="942"/>
      <c r="AZ331" s="942"/>
      <c r="BA331" s="942"/>
      <c r="BB331" s="942"/>
      <c r="BC331" s="942"/>
      <c r="BD331" s="942"/>
      <c r="BE331" s="942"/>
      <c r="BF331" s="942"/>
      <c r="BG331" s="942"/>
      <c r="BH331" s="942"/>
      <c r="BI331" s="942"/>
      <c r="BJ331" s="942"/>
      <c r="BK331" s="942"/>
      <c r="BL331" s="942"/>
      <c r="BM331" s="942"/>
      <c r="BN331" s="7720"/>
      <c r="BO331" s="7720"/>
      <c r="BP331" s="7720"/>
      <c r="BQ331" s="1278"/>
      <c r="BR331" s="1278"/>
      <c r="BS331" s="1064" t="s">
        <v>2667</v>
      </c>
      <c r="BT331" s="1064"/>
      <c r="BU331" s="1064"/>
      <c r="BV331" s="979"/>
      <c r="BW331" s="979"/>
    </row>
    <row s="1834" customFormat="1" customHeight="1" ht="43.5">
      <c r="A332" s="1278"/>
      <c r="B332" s="978"/>
      <c r="C332" s="1278"/>
      <c r="D332" s="1278"/>
      <c r="E332" s="703">
        <v>45</v>
      </c>
      <c r="F332" s="50" cm="1" t="str">
        <f t="array" ref="F332:F332">OFFSET(E332,-1,1)</f>
        <v>2</v>
      </c>
      <c r="G332" s="1278"/>
      <c r="H332" s="378"/>
      <c r="I332" s="378" t="s">
        <v>2668</v>
      </c>
      <c r="J332" s="1278"/>
      <c r="K332" s="378" t="s">
        <v>2668</v>
      </c>
      <c r="L332" s="980" t="s">
        <v>2479</v>
      </c>
      <c r="M332" s="107" t="s">
        <v>2491</v>
      </c>
      <c r="N332" s="1278"/>
      <c r="O332" s="1278"/>
      <c r="P332" s="1278"/>
      <c r="Q332" s="158" t="s">
        <v>2947</v>
      </c>
      <c r="R332" s="161" t="s">
        <v>2947</v>
      </c>
      <c r="S332" s="1278"/>
      <c r="T332" s="465" cm="1" t="str">
        <f t="array" ref="T332:T332">T331</f>
        <v>true</v>
      </c>
      <c r="U332" s="1278"/>
      <c r="V332" s="1278"/>
      <c r="W332" s="1278"/>
      <c r="X332" s="1563"/>
      <c r="Y332" s="1278"/>
      <c r="Z332" s="1546"/>
      <c r="AA332" s="1278"/>
      <c r="AB332" s="299" t="s">
        <v>2669</v>
      </c>
      <c r="AC332" s="768" t="s">
        <v>2670</v>
      </c>
      <c r="AD332" s="300" t="s">
        <v>1514</v>
      </c>
      <c r="AE332" s="7723"/>
      <c r="AF332" s="7723"/>
      <c r="AG332" s="7723"/>
      <c r="AH332" s="943">
        <f>AG332-AF332</f>
        <v>0</v>
      </c>
      <c r="AI332" s="7691"/>
      <c r="AJ332" s="7721"/>
      <c r="AK332" s="942"/>
      <c r="AL332" s="942"/>
      <c r="AM332" s="942"/>
      <c r="AN332" s="942"/>
      <c r="AO332" s="942"/>
      <c r="AP332" s="942"/>
      <c r="AQ332" s="942"/>
      <c r="AR332" s="942"/>
      <c r="AS332" s="942"/>
      <c r="AT332" s="942"/>
      <c r="AU332" s="942"/>
      <c r="AV332" s="942"/>
      <c r="AW332" s="942"/>
      <c r="AX332" s="942"/>
      <c r="AY332" s="942"/>
      <c r="AZ332" s="942"/>
      <c r="BA332" s="942"/>
      <c r="BB332" s="942"/>
      <c r="BC332" s="942"/>
      <c r="BD332" s="942"/>
      <c r="BE332" s="942"/>
      <c r="BF332" s="942"/>
      <c r="BG332" s="942"/>
      <c r="BH332" s="942"/>
      <c r="BI332" s="942"/>
      <c r="BJ332" s="942"/>
      <c r="BK332" s="942"/>
      <c r="BL332" s="942"/>
      <c r="BM332" s="942"/>
      <c r="BN332" s="7720"/>
      <c r="BO332" s="7720"/>
      <c r="BP332" s="7720"/>
      <c r="BQ332" s="1278"/>
      <c r="BR332" s="1278"/>
      <c r="BS332" s="1064" t="s">
        <v>2494</v>
      </c>
      <c r="BT332" s="1064"/>
      <c r="BU332" s="1064"/>
      <c r="BV332" s="979"/>
      <c r="BW332" s="979"/>
    </row>
    <row s="1834" customFormat="1" customHeight="1" ht="14.25">
      <c r="A333" s="1278"/>
      <c r="B333" s="978"/>
      <c r="C333" s="1278"/>
      <c r="D333" s="1278"/>
      <c r="E333" s="703">
        <v>15</v>
      </c>
      <c r="F333" s="50" cm="1" t="str">
        <f t="array" ref="F333:F333">OFFSET(E333,-1,1)</f>
        <v>2</v>
      </c>
      <c r="G333" s="1278"/>
      <c r="H333" s="378"/>
      <c r="I333" s="378" t="s">
        <v>2671</v>
      </c>
      <c r="J333" s="1278"/>
      <c r="K333" s="378" t="s">
        <v>2671</v>
      </c>
      <c r="L333" s="980" t="s">
        <v>2479</v>
      </c>
      <c r="M333" s="107" t="s">
        <v>2495</v>
      </c>
      <c r="N333" s="1278"/>
      <c r="O333" s="1278"/>
      <c r="P333" s="1278"/>
      <c r="Q333" s="158" t="s">
        <v>2947</v>
      </c>
      <c r="R333" s="161" t="s">
        <v>2947</v>
      </c>
      <c r="S333" s="1278"/>
      <c r="T333" s="465" cm="1" t="str">
        <f t="array" ref="T333:T333">T332</f>
        <v>true</v>
      </c>
      <c r="U333" s="1278"/>
      <c r="V333" s="1278"/>
      <c r="W333" s="1278"/>
      <c r="X333" s="1563"/>
      <c r="Y333" s="1278"/>
      <c r="Z333" s="1546"/>
      <c r="AA333" s="1278"/>
      <c r="AB333" s="299" t="s">
        <v>2672</v>
      </c>
      <c r="AC333" s="768" t="s">
        <v>2497</v>
      </c>
      <c r="AD333" s="300" t="s">
        <v>1514</v>
      </c>
      <c r="AE333" s="7723"/>
      <c r="AF333" s="7723"/>
      <c r="AG333" s="7723"/>
      <c r="AH333" s="943">
        <f>AG333-AF333</f>
        <v>0</v>
      </c>
      <c r="AI333" s="7691"/>
      <c r="AJ333" s="7721"/>
      <c r="AK333" s="942"/>
      <c r="AL333" s="942"/>
      <c r="AM333" s="942"/>
      <c r="AN333" s="942"/>
      <c r="AO333" s="942"/>
      <c r="AP333" s="942"/>
      <c r="AQ333" s="942"/>
      <c r="AR333" s="942"/>
      <c r="AS333" s="942"/>
      <c r="AT333" s="942"/>
      <c r="AU333" s="942"/>
      <c r="AV333" s="942"/>
      <c r="AW333" s="942"/>
      <c r="AX333" s="942"/>
      <c r="AY333" s="942"/>
      <c r="AZ333" s="942"/>
      <c r="BA333" s="942"/>
      <c r="BB333" s="942"/>
      <c r="BC333" s="942"/>
      <c r="BD333" s="942"/>
      <c r="BE333" s="942"/>
      <c r="BF333" s="942"/>
      <c r="BG333" s="942"/>
      <c r="BH333" s="942"/>
      <c r="BI333" s="942"/>
      <c r="BJ333" s="942"/>
      <c r="BK333" s="942"/>
      <c r="BL333" s="942"/>
      <c r="BM333" s="942"/>
      <c r="BN333" s="7720"/>
      <c r="BO333" s="7720"/>
      <c r="BP333" s="7720"/>
      <c r="BQ333" s="1278"/>
      <c r="BR333" s="1278"/>
      <c r="BS333" s="1064" t="s">
        <v>2498</v>
      </c>
      <c r="BT333" s="1064"/>
      <c r="BU333" s="1064"/>
      <c r="BV333" s="979"/>
      <c r="BW333" s="979"/>
    </row>
    <row s="1834" customFormat="1" customHeight="1" ht="14.25">
      <c r="A334" s="1278"/>
      <c r="B334" s="978"/>
      <c r="C334" s="1278"/>
      <c r="D334" s="1278"/>
      <c r="E334" s="703">
        <v>15</v>
      </c>
      <c r="F334" s="50" cm="1" t="str">
        <f t="array" ref="F334:F334">OFFSET(E334,-1,1)</f>
        <v>2</v>
      </c>
      <c r="G334" s="1278"/>
      <c r="H334" s="378"/>
      <c r="I334" s="378" t="s">
        <v>2673</v>
      </c>
      <c r="J334" s="1278"/>
      <c r="K334" s="378" t="s">
        <v>2673</v>
      </c>
      <c r="L334" s="980"/>
      <c r="M334" s="107"/>
      <c r="N334" s="1278"/>
      <c r="O334" s="1278"/>
      <c r="P334" s="1278"/>
      <c r="Q334" s="158" t="s">
        <v>2947</v>
      </c>
      <c r="R334" s="161" t="s">
        <v>2947</v>
      </c>
      <c r="S334" s="1278"/>
      <c r="T334" s="465" cm="1" t="str">
        <f t="array" ref="T334:T334">T333</f>
        <v>true</v>
      </c>
      <c r="U334" s="1278"/>
      <c r="V334" s="1278"/>
      <c r="W334" s="1278"/>
      <c r="X334" s="1563"/>
      <c r="Y334" s="1278"/>
      <c r="Z334" s="1546"/>
      <c r="AA334" s="1278"/>
      <c r="AB334" s="299" t="s">
        <v>2674</v>
      </c>
      <c r="AC334" s="768" t="s">
        <v>2675</v>
      </c>
      <c r="AD334" s="300" t="s">
        <v>1514</v>
      </c>
      <c r="AE334" s="7723"/>
      <c r="AF334" s="7723"/>
      <c r="AG334" s="7723"/>
      <c r="AH334" s="943">
        <f>AG334-AF334</f>
        <v>0</v>
      </c>
      <c r="AI334" s="7691"/>
      <c r="AJ334" s="1354"/>
      <c r="AK334" s="942"/>
      <c r="AL334" s="942"/>
      <c r="AM334" s="942"/>
      <c r="AN334" s="942"/>
      <c r="AO334" s="942"/>
      <c r="AP334" s="942"/>
      <c r="AQ334" s="942"/>
      <c r="AR334" s="942"/>
      <c r="AS334" s="942"/>
      <c r="AT334" s="942"/>
      <c r="AU334" s="942"/>
      <c r="AV334" s="942"/>
      <c r="AW334" s="942"/>
      <c r="AX334" s="942"/>
      <c r="AY334" s="942"/>
      <c r="AZ334" s="942"/>
      <c r="BA334" s="942"/>
      <c r="BB334" s="942"/>
      <c r="BC334" s="942"/>
      <c r="BD334" s="942"/>
      <c r="BE334" s="942"/>
      <c r="BF334" s="942"/>
      <c r="BG334" s="942"/>
      <c r="BH334" s="942"/>
      <c r="BI334" s="942"/>
      <c r="BJ334" s="942"/>
      <c r="BK334" s="942"/>
      <c r="BL334" s="942"/>
      <c r="BM334" s="942"/>
      <c r="BN334" s="7720"/>
      <c r="BO334" s="7720"/>
      <c r="BP334" s="7720"/>
      <c r="BQ334" s="1278"/>
      <c r="BR334" s="1278"/>
      <c r="BS334" s="1064" t="s">
        <v>2482</v>
      </c>
      <c r="BT334" s="1064"/>
      <c r="BU334" s="1064"/>
      <c r="BV334" s="979"/>
      <c r="BW334" s="979"/>
    </row>
    <row s="7792" customFormat="1" customHeight="1" ht="20.25">
      <c r="A335" s="700"/>
      <c r="B335" s="435"/>
      <c r="C335" s="700"/>
      <c r="D335" s="700"/>
      <c r="E335" s="707">
        <v>21</v>
      </c>
      <c r="F335" s="50" cm="1" t="str">
        <f t="array" ref="F335:F335">OFFSET(E335,-1,1)</f>
        <v>2</v>
      </c>
      <c r="G335" s="700"/>
      <c r="H335" s="378"/>
      <c r="I335" s="378" t="s">
        <v>1182</v>
      </c>
      <c r="J335" s="700"/>
      <c r="K335" s="378" t="s">
        <v>1182</v>
      </c>
      <c r="L335" s="985"/>
      <c r="M335" s="109"/>
      <c r="N335" s="700"/>
      <c r="O335" s="700"/>
      <c r="P335" s="700"/>
      <c r="Q335" s="158" t="s">
        <v>2947</v>
      </c>
      <c r="R335" s="161" t="s">
        <v>2947</v>
      </c>
      <c r="S335" s="700"/>
      <c r="T335" s="465" cm="1" t="str">
        <f t="array" ref="T335:T335">T334</f>
        <v>true</v>
      </c>
      <c r="U335" s="700"/>
      <c r="V335" s="700"/>
      <c r="W335" s="700"/>
      <c r="X335" s="1563"/>
      <c r="Y335" s="700"/>
      <c r="Z335" s="1546"/>
      <c r="AA335" s="700"/>
      <c r="AB335" s="218" t="s">
        <v>1634</v>
      </c>
      <c r="AC335" s="361" t="s">
        <v>2501</v>
      </c>
      <c r="AD335" s="211" t="s">
        <v>1514</v>
      </c>
      <c r="AE335" s="770">
        <f>AE336+AE337+AE338</f>
        <v>0</v>
      </c>
      <c r="AF335" s="770">
        <f>AF336+AF337+AF338</f>
        <v>0</v>
      </c>
      <c r="AG335" s="770">
        <f>AG336+AG337+AG338</f>
        <v>0</v>
      </c>
      <c r="AH335" s="761">
        <f>AG335-AF335</f>
        <v>0</v>
      </c>
      <c r="AI335" s="7697">
        <f>AI336+AI337+AI338</f>
        <v>0</v>
      </c>
      <c r="AJ335" s="7721"/>
      <c r="AK335" s="764"/>
      <c r="AL335" s="764"/>
      <c r="AM335" s="764"/>
      <c r="AN335" s="764"/>
      <c r="AO335" s="764"/>
      <c r="AP335" s="764"/>
      <c r="AQ335" s="764"/>
      <c r="AR335" s="764"/>
      <c r="AS335" s="764"/>
      <c r="AT335" s="764"/>
      <c r="AU335" s="764"/>
      <c r="AV335" s="764"/>
      <c r="AW335" s="764"/>
      <c r="AX335" s="764"/>
      <c r="AY335" s="764"/>
      <c r="AZ335" s="764"/>
      <c r="BA335" s="764"/>
      <c r="BB335" s="764"/>
      <c r="BC335" s="764"/>
      <c r="BD335" s="764"/>
      <c r="BE335" s="764"/>
      <c r="BF335" s="764"/>
      <c r="BG335" s="764"/>
      <c r="BH335" s="764"/>
      <c r="BI335" s="764"/>
      <c r="BJ335" s="764"/>
      <c r="BK335" s="764"/>
      <c r="BL335" s="764"/>
      <c r="BM335" s="764"/>
      <c r="BN335" s="7722"/>
      <c r="BO335" s="7722"/>
      <c r="BP335" s="7722"/>
      <c r="BQ335" s="700"/>
      <c r="BR335" s="700"/>
      <c r="BS335" s="1063" t="s">
        <v>2502</v>
      </c>
      <c r="BT335" s="1070"/>
      <c r="BU335" s="1070"/>
      <c r="BV335" s="707"/>
      <c r="BW335" s="707"/>
    </row>
    <row s="1834" customFormat="1" customHeight="1" ht="21.75">
      <c r="A336" s="1278"/>
      <c r="B336" s="978"/>
      <c r="C336" s="1278"/>
      <c r="D336" s="1278"/>
      <c r="E336" s="703">
        <v>22.5</v>
      </c>
      <c r="F336" s="50" cm="1" t="str">
        <f t="array" ref="F336:F336">OFFSET(E336,-1,1)</f>
        <v>2</v>
      </c>
      <c r="G336" s="1278"/>
      <c r="H336" s="378"/>
      <c r="I336" s="378" t="s">
        <v>2081</v>
      </c>
      <c r="J336" s="1278"/>
      <c r="K336" s="378" t="s">
        <v>2081</v>
      </c>
      <c r="L336" s="980"/>
      <c r="M336" s="107"/>
      <c r="N336" s="1278"/>
      <c r="O336" s="1278"/>
      <c r="P336" s="1278"/>
      <c r="Q336" s="158" t="s">
        <v>2947</v>
      </c>
      <c r="R336" s="161" t="s">
        <v>2947</v>
      </c>
      <c r="S336" s="1278"/>
      <c r="T336" s="465" cm="1" t="str">
        <f t="array" ref="T336:T336">T335</f>
        <v>true</v>
      </c>
      <c r="U336" s="1278"/>
      <c r="V336" s="1278"/>
      <c r="W336" s="1278"/>
      <c r="X336" s="1563"/>
      <c r="Y336" s="1278"/>
      <c r="Z336" s="1546"/>
      <c r="AA336" s="1278"/>
      <c r="AB336" s="299" t="s">
        <v>2082</v>
      </c>
      <c r="AC336" s="765" t="s">
        <v>2676</v>
      </c>
      <c r="AD336" s="300" t="s">
        <v>1514</v>
      </c>
      <c r="AE336" s="7723"/>
      <c r="AF336" s="7723"/>
      <c r="AG336" s="7723"/>
      <c r="AH336" s="943">
        <f>AG336-AF336</f>
        <v>0</v>
      </c>
      <c r="AI336" s="7691"/>
      <c r="AJ336" s="7721"/>
      <c r="AK336" s="942"/>
      <c r="AL336" s="942"/>
      <c r="AM336" s="942"/>
      <c r="AN336" s="942"/>
      <c r="AO336" s="942"/>
      <c r="AP336" s="942"/>
      <c r="AQ336" s="942"/>
      <c r="AR336" s="942"/>
      <c r="AS336" s="942"/>
      <c r="AT336" s="942"/>
      <c r="AU336" s="942"/>
      <c r="AV336" s="942"/>
      <c r="AW336" s="942"/>
      <c r="AX336" s="942"/>
      <c r="AY336" s="942"/>
      <c r="AZ336" s="942"/>
      <c r="BA336" s="942"/>
      <c r="BB336" s="942"/>
      <c r="BC336" s="942"/>
      <c r="BD336" s="942"/>
      <c r="BE336" s="942"/>
      <c r="BF336" s="942"/>
      <c r="BG336" s="942"/>
      <c r="BH336" s="942"/>
      <c r="BI336" s="942"/>
      <c r="BJ336" s="942"/>
      <c r="BK336" s="942"/>
      <c r="BL336" s="942"/>
      <c r="BM336" s="942"/>
      <c r="BN336" s="7720"/>
      <c r="BO336" s="7720"/>
      <c r="BP336" s="7720"/>
      <c r="BQ336" s="1278"/>
      <c r="BR336" s="1278"/>
      <c r="BS336" s="1062" t="s">
        <v>2504</v>
      </c>
      <c r="BT336" s="1064"/>
      <c r="BU336" s="1064"/>
      <c r="BV336" s="979"/>
      <c r="BW336" s="979"/>
    </row>
    <row s="1834" customFormat="1" customHeight="1" ht="21.75">
      <c r="A337" s="1278"/>
      <c r="B337" s="978"/>
      <c r="C337" s="1278"/>
      <c r="D337" s="1278"/>
      <c r="E337" s="703">
        <v>22.5</v>
      </c>
      <c r="F337" s="50" cm="1" t="str">
        <f t="array" ref="F337:F337">OFFSET(E337,-1,1)</f>
        <v>2</v>
      </c>
      <c r="G337" s="1278"/>
      <c r="H337" s="378"/>
      <c r="I337" s="378" t="s">
        <v>2085</v>
      </c>
      <c r="J337" s="1278"/>
      <c r="K337" s="378" t="s">
        <v>2085</v>
      </c>
      <c r="L337" s="980"/>
      <c r="M337" s="107"/>
      <c r="N337" s="1278"/>
      <c r="O337" s="1278"/>
      <c r="P337" s="1278"/>
      <c r="Q337" s="158" t="s">
        <v>2947</v>
      </c>
      <c r="R337" s="161" t="s">
        <v>2947</v>
      </c>
      <c r="S337" s="1278"/>
      <c r="T337" s="465" cm="1" t="str">
        <f t="array" ref="T337:T337">T336</f>
        <v>true</v>
      </c>
      <c r="U337" s="1278"/>
      <c r="V337" s="1278"/>
      <c r="W337" s="1278"/>
      <c r="X337" s="1563"/>
      <c r="Y337" s="1278"/>
      <c r="Z337" s="1546"/>
      <c r="AA337" s="1278"/>
      <c r="AB337" s="299" t="s">
        <v>2086</v>
      </c>
      <c r="AC337" s="765" t="s">
        <v>2677</v>
      </c>
      <c r="AD337" s="300" t="s">
        <v>1514</v>
      </c>
      <c r="AE337" s="7723"/>
      <c r="AF337" s="7723"/>
      <c r="AG337" s="7723"/>
      <c r="AH337" s="943">
        <f>AG337-AF337</f>
        <v>0</v>
      </c>
      <c r="AI337" s="7691"/>
      <c r="AJ337" s="7721"/>
      <c r="AK337" s="942"/>
      <c r="AL337" s="942"/>
      <c r="AM337" s="942"/>
      <c r="AN337" s="942"/>
      <c r="AO337" s="942"/>
      <c r="AP337" s="942"/>
      <c r="AQ337" s="942"/>
      <c r="AR337" s="942"/>
      <c r="AS337" s="942"/>
      <c r="AT337" s="942"/>
      <c r="AU337" s="942"/>
      <c r="AV337" s="942"/>
      <c r="AW337" s="942"/>
      <c r="AX337" s="942"/>
      <c r="AY337" s="942"/>
      <c r="AZ337" s="942"/>
      <c r="BA337" s="942"/>
      <c r="BB337" s="942"/>
      <c r="BC337" s="942"/>
      <c r="BD337" s="942"/>
      <c r="BE337" s="942"/>
      <c r="BF337" s="942"/>
      <c r="BG337" s="942"/>
      <c r="BH337" s="942"/>
      <c r="BI337" s="942"/>
      <c r="BJ337" s="942"/>
      <c r="BK337" s="942"/>
      <c r="BL337" s="942"/>
      <c r="BM337" s="942"/>
      <c r="BN337" s="7720"/>
      <c r="BO337" s="7720"/>
      <c r="BP337" s="7720"/>
      <c r="BQ337" s="1278"/>
      <c r="BR337" s="1278"/>
      <c r="BS337" s="1064" t="s">
        <v>2678</v>
      </c>
      <c r="BT337" s="1064"/>
      <c r="BU337" s="1064"/>
      <c r="BV337" s="979"/>
      <c r="BW337" s="979"/>
    </row>
    <row s="1834" customFormat="1" customHeight="1" ht="21.75">
      <c r="A338" s="1278"/>
      <c r="B338" s="978"/>
      <c r="C338" s="1278"/>
      <c r="D338" s="1278"/>
      <c r="E338" s="703">
        <v>22.5</v>
      </c>
      <c r="F338" s="50" cm="1" t="str">
        <f t="array" ref="F338:F338">OFFSET(E338,-1,1)</f>
        <v>2</v>
      </c>
      <c r="G338" s="1278"/>
      <c r="H338" s="378"/>
      <c r="I338" s="378" t="s">
        <v>2089</v>
      </c>
      <c r="J338" s="1278"/>
      <c r="K338" s="378" t="s">
        <v>2089</v>
      </c>
      <c r="L338" s="980" t="s">
        <v>1196</v>
      </c>
      <c r="M338" s="107"/>
      <c r="N338" s="1278"/>
      <c r="O338" s="1278"/>
      <c r="P338" s="1278"/>
      <c r="Q338" s="158" t="s">
        <v>2947</v>
      </c>
      <c r="R338" s="161" t="s">
        <v>2947</v>
      </c>
      <c r="S338" s="1278"/>
      <c r="T338" s="465" cm="1" t="str">
        <f t="array" ref="T338:T338">T337</f>
        <v>true</v>
      </c>
      <c r="U338" s="1278"/>
      <c r="V338" s="1278"/>
      <c r="W338" s="1278"/>
      <c r="X338" s="1563"/>
      <c r="Y338" s="1278"/>
      <c r="Z338" s="1546"/>
      <c r="AA338" s="1278"/>
      <c r="AB338" s="299" t="s">
        <v>2090</v>
      </c>
      <c r="AC338" s="765" t="s">
        <v>2679</v>
      </c>
      <c r="AD338" s="300" t="s">
        <v>1514</v>
      </c>
      <c r="AE338" s="7723">
        <f>AE339+AE340</f>
        <v>0</v>
      </c>
      <c r="AF338" s="7723">
        <f>AF339+AF340</f>
        <v>0</v>
      </c>
      <c r="AG338" s="7723">
        <f>AG339+AG340</f>
        <v>0</v>
      </c>
      <c r="AH338" s="943">
        <f>AG338-AF338</f>
        <v>0</v>
      </c>
      <c r="AI338" s="7691">
        <f>AI339+AI340</f>
        <v>0</v>
      </c>
      <c r="AJ338" s="7721"/>
      <c r="AK338" s="942"/>
      <c r="AL338" s="942"/>
      <c r="AM338" s="942"/>
      <c r="AN338" s="942"/>
      <c r="AO338" s="942"/>
      <c r="AP338" s="942"/>
      <c r="AQ338" s="942"/>
      <c r="AR338" s="942"/>
      <c r="AS338" s="942"/>
      <c r="AT338" s="942"/>
      <c r="AU338" s="942"/>
      <c r="AV338" s="942"/>
      <c r="AW338" s="942"/>
      <c r="AX338" s="942"/>
      <c r="AY338" s="942"/>
      <c r="AZ338" s="942"/>
      <c r="BA338" s="942"/>
      <c r="BB338" s="942"/>
      <c r="BC338" s="942"/>
      <c r="BD338" s="942"/>
      <c r="BE338" s="942"/>
      <c r="BF338" s="942"/>
      <c r="BG338" s="942"/>
      <c r="BH338" s="942"/>
      <c r="BI338" s="942"/>
      <c r="BJ338" s="942"/>
      <c r="BK338" s="942"/>
      <c r="BL338" s="942"/>
      <c r="BM338" s="942"/>
      <c r="BN338" s="7720"/>
      <c r="BO338" s="7720"/>
      <c r="BP338" s="7720"/>
      <c r="BQ338" s="1278"/>
      <c r="BR338" s="1278"/>
      <c r="BS338" s="1062" t="s">
        <v>2506</v>
      </c>
      <c r="BT338" s="1064"/>
      <c r="BU338" s="1064"/>
      <c r="BV338" s="979"/>
      <c r="BW338" s="979"/>
    </row>
    <row s="1834" customFormat="1" customHeight="1" ht="14.25">
      <c r="A339" s="1278"/>
      <c r="B339" s="978"/>
      <c r="C339" s="1278"/>
      <c r="D339" s="1278"/>
      <c r="E339" s="703">
        <v>15</v>
      </c>
      <c r="F339" s="50" cm="1" t="str">
        <f t="array" ref="F339:F339">OFFSET(E339,-1,1)</f>
        <v>2</v>
      </c>
      <c r="G339" s="49" t="s">
        <v>1881</v>
      </c>
      <c r="H339" s="378"/>
      <c r="I339" s="378" t="s">
        <v>2680</v>
      </c>
      <c r="J339" s="1278"/>
      <c r="K339" s="378" t="s">
        <v>2680</v>
      </c>
      <c r="L339" s="980" t="s">
        <v>2507</v>
      </c>
      <c r="M339" s="107"/>
      <c r="N339" s="1278"/>
      <c r="O339" s="1278"/>
      <c r="P339" s="1278"/>
      <c r="Q339" s="158" t="s">
        <v>2947</v>
      </c>
      <c r="R339" s="161" t="s">
        <v>2947</v>
      </c>
      <c r="S339" s="1278"/>
      <c r="T339" s="465" cm="1" t="str">
        <f t="array" ref="T339:T339">T338</f>
        <v>true</v>
      </c>
      <c r="U339" s="1278"/>
      <c r="V339" s="1278"/>
      <c r="W339" s="1278"/>
      <c r="X339" s="1563"/>
      <c r="Y339" s="1278"/>
      <c r="Z339" s="1546"/>
      <c r="AA339" s="1278"/>
      <c r="AB339" s="299" t="s">
        <v>2681</v>
      </c>
      <c r="AC339" s="768" t="s">
        <v>2508</v>
      </c>
      <c r="AD339" s="300" t="s">
        <v>1514</v>
      </c>
      <c r="AE339" s="7723"/>
      <c r="AF339" s="7723"/>
      <c r="AG339" s="7723"/>
      <c r="AH339" s="943">
        <f>AG339-AF339</f>
        <v>0</v>
      </c>
      <c r="AI339" s="7691"/>
      <c r="AJ339" s="7721"/>
      <c r="AK339" s="942"/>
      <c r="AL339" s="942"/>
      <c r="AM339" s="942"/>
      <c r="AN339" s="942"/>
      <c r="AO339" s="942"/>
      <c r="AP339" s="942"/>
      <c r="AQ339" s="942"/>
      <c r="AR339" s="942"/>
      <c r="AS339" s="942"/>
      <c r="AT339" s="942"/>
      <c r="AU339" s="942"/>
      <c r="AV339" s="942"/>
      <c r="AW339" s="942"/>
      <c r="AX339" s="942"/>
      <c r="AY339" s="942"/>
      <c r="AZ339" s="942"/>
      <c r="BA339" s="942"/>
      <c r="BB339" s="942"/>
      <c r="BC339" s="942"/>
      <c r="BD339" s="942"/>
      <c r="BE339" s="942"/>
      <c r="BF339" s="942"/>
      <c r="BG339" s="942"/>
      <c r="BH339" s="942"/>
      <c r="BI339" s="942"/>
      <c r="BJ339" s="942"/>
      <c r="BK339" s="942"/>
      <c r="BL339" s="942"/>
      <c r="BM339" s="942"/>
      <c r="BN339" s="7720"/>
      <c r="BO339" s="7724" t="str">
        <f>IF(_xlfn.IFERROR(INDEX(ФОТ!$K$26:$L$188,MATCH($F339&amp;"3komm",ФОТ!$K$26:$K$188,0),2),"")=0,"",_xlfn.IFERROR(INDEX(ФОТ!$K$26:$L$188,MATCH($F339&amp;"3komm",ФОТ!$K$26:$K$188,0),2),""))</f>
        <v/>
      </c>
      <c r="BP339" s="7720"/>
      <c r="BQ339" s="1278"/>
      <c r="BR339" s="1278"/>
      <c r="BS339" s="1062" t="s">
        <v>2509</v>
      </c>
      <c r="BT339" s="1064"/>
      <c r="BU339" s="1064"/>
      <c r="BV339" s="979"/>
      <c r="BW339" s="979"/>
    </row>
    <row s="1834" customFormat="1" customHeight="1" ht="21.75">
      <c r="A340" s="1278"/>
      <c r="B340" s="978"/>
      <c r="C340" s="1278"/>
      <c r="D340" s="1278"/>
      <c r="E340" s="703">
        <v>22.5</v>
      </c>
      <c r="F340" s="50" cm="1" t="str">
        <f t="array" ref="F340:F340">OFFSET(E340,-1,1)</f>
        <v>2</v>
      </c>
      <c r="G340" s="49" t="s">
        <v>1886</v>
      </c>
      <c r="H340" s="378"/>
      <c r="I340" s="378" t="s">
        <v>2682</v>
      </c>
      <c r="J340" s="1278"/>
      <c r="K340" s="378" t="s">
        <v>2682</v>
      </c>
      <c r="L340" s="980" t="s">
        <v>2510</v>
      </c>
      <c r="M340" s="107"/>
      <c r="N340" s="1278"/>
      <c r="O340" s="1278"/>
      <c r="P340" s="1278"/>
      <c r="Q340" s="158" t="s">
        <v>2947</v>
      </c>
      <c r="R340" s="161" t="s">
        <v>2947</v>
      </c>
      <c r="S340" s="1278"/>
      <c r="T340" s="465" cm="1" t="str">
        <f t="array" ref="T340:T340">T339</f>
        <v>true</v>
      </c>
      <c r="U340" s="1278"/>
      <c r="V340" s="1278"/>
      <c r="W340" s="1278"/>
      <c r="X340" s="1563"/>
      <c r="Y340" s="1278"/>
      <c r="Z340" s="1546"/>
      <c r="AA340" s="1278"/>
      <c r="AB340" s="299" t="s">
        <v>2683</v>
      </c>
      <c r="AC340" s="768" t="s">
        <v>2684</v>
      </c>
      <c r="AD340" s="300" t="s">
        <v>1514</v>
      </c>
      <c r="AE340" s="7723">
        <f>AE339*_xlfn.SUMIFS(INDEX(Сценарии!$AE$25:$BF$163,,MATCH(AE$8,Сценарии!$AE$8:$BF$8,0)),Сценарии!$F$25:$F$163,$F340,Сценарии!$G$25:$G$163,"СВФОТ")/100</f>
        <v>0</v>
      </c>
      <c r="AF340" s="7723">
        <f>AF339*_xlfn.SUMIFS(INDEX(Сценарии!$AE$25:$BF$163,,MATCH(AF$8,Сценарии!$AE$8:$BF$8,0)),Сценарии!$F$25:$F$163,$F340,Сценарии!$G$25:$G$163,"СВФОТ")/100</f>
        <v>0</v>
      </c>
      <c r="AG340" s="7723">
        <f>AG339*_xlfn.SUMIFS(INDEX(Сценарии!$AE$25:$BF$163,,MATCH(AG$8,Сценарии!$AE$8:$BF$8,0)),Сценарии!$F$25:$F$163,$F340,Сценарии!$G$25:$G$163,"СВФОТ")/100</f>
        <v>0</v>
      </c>
      <c r="AH340" s="943">
        <f>AG340-AF340</f>
        <v>0</v>
      </c>
      <c r="AI340" s="7691">
        <f>AI339*_xlfn.SUMIFS(INDEX(Сценарии!$AE$25:$BF$163,,MATCH(AG$8,Сценарии!$AE$8:$BF$8,0)),Сценарии!$F$25:$F$163,$F340,Сценарии!$G$25:$G$163,"СВФОТ")/100</f>
        <v>0</v>
      </c>
      <c r="AJ340" s="7721"/>
      <c r="AK340" s="942"/>
      <c r="AL340" s="942"/>
      <c r="AM340" s="942"/>
      <c r="AN340" s="942"/>
      <c r="AO340" s="942"/>
      <c r="AP340" s="942"/>
      <c r="AQ340" s="942"/>
      <c r="AR340" s="942"/>
      <c r="AS340" s="942"/>
      <c r="AT340" s="942"/>
      <c r="AU340" s="942"/>
      <c r="AV340" s="942"/>
      <c r="AW340" s="942"/>
      <c r="AX340" s="942"/>
      <c r="AY340" s="942"/>
      <c r="AZ340" s="942"/>
      <c r="BA340" s="942"/>
      <c r="BB340" s="942"/>
      <c r="BC340" s="942"/>
      <c r="BD340" s="942"/>
      <c r="BE340" s="942"/>
      <c r="BF340" s="942"/>
      <c r="BG340" s="942"/>
      <c r="BH340" s="942"/>
      <c r="BI340" s="942"/>
      <c r="BJ340" s="942"/>
      <c r="BK340" s="942"/>
      <c r="BL340" s="942"/>
      <c r="BM340" s="942"/>
      <c r="BN340" s="7720"/>
      <c r="BO340" s="7724" t="str">
        <f>IF(_xlfn.IFERROR(INDEX(ФОТ!$K$26:$L$188,MATCH($F340&amp;"4komm",ФОТ!$K$26:$K$188,0),2),"")=0,"",_xlfn.IFERROR(INDEX(ФОТ!$K$26:$L$188,MATCH($F340&amp;"4komm",ФОТ!$K$26:$K$188,0),2),""))</f>
        <v/>
      </c>
      <c r="BP340" s="7720"/>
      <c r="BQ340" s="1278"/>
      <c r="BR340" s="1278"/>
      <c r="BS340" s="1062" t="s">
        <v>2512</v>
      </c>
      <c r="BT340" s="1064"/>
      <c r="BU340" s="1064"/>
      <c r="BV340" s="979"/>
      <c r="BW340" s="979"/>
    </row>
    <row s="7793" customFormat="1" customHeight="1" ht="20.25">
      <c r="A341" s="700"/>
      <c r="B341" s="435"/>
      <c r="C341" s="700"/>
      <c r="D341" s="700"/>
      <c r="E341" s="707">
        <v>21</v>
      </c>
      <c r="F341" s="50" cm="1" t="str">
        <f t="array" ref="F341:F341">OFFSET(E341,-1,1)</f>
        <v>2</v>
      </c>
      <c r="G341" s="700"/>
      <c r="H341" s="378"/>
      <c r="I341" s="378" t="s">
        <v>1186</v>
      </c>
      <c r="J341" s="700"/>
      <c r="K341" s="378" t="s">
        <v>1186</v>
      </c>
      <c r="L341" s="985" t="s">
        <v>334</v>
      </c>
      <c r="M341" s="109"/>
      <c r="N341" s="700"/>
      <c r="O341" s="700"/>
      <c r="P341" s="700"/>
      <c r="Q341" s="158" t="s">
        <v>2947</v>
      </c>
      <c r="R341" s="161" t="s">
        <v>2947</v>
      </c>
      <c r="S341" s="700"/>
      <c r="T341" s="465" cm="1" t="str">
        <f t="array" ref="T341:T341">T340</f>
        <v>true</v>
      </c>
      <c r="U341" s="700"/>
      <c r="V341" s="700"/>
      <c r="W341" s="700"/>
      <c r="X341" s="1563"/>
      <c r="Y341" s="700"/>
      <c r="Z341" s="1546"/>
      <c r="AA341" s="700"/>
      <c r="AB341" s="218" t="s">
        <v>1637</v>
      </c>
      <c r="AC341" s="361" t="s">
        <v>2685</v>
      </c>
      <c r="AD341" s="211" t="s">
        <v>1514</v>
      </c>
      <c r="AE341" s="770">
        <f>AE342+AE350+AE353+AE354+AE355+AE356+AE357</f>
        <v>0</v>
      </c>
      <c r="AF341" s="770">
        <f>AF342+AF350+AF353+AF354+AF355+AF356+AF357</f>
        <v>0</v>
      </c>
      <c r="AG341" s="770">
        <f>AG342+AG350+AG353+AG354+AG355+AG356+AG357</f>
        <v>0</v>
      </c>
      <c r="AH341" s="761">
        <f>AG341-AF341</f>
        <v>0</v>
      </c>
      <c r="AI341" s="7697">
        <f>AI342+AI350+AI353+AI354+AI355+AI356+AI357</f>
        <v>0</v>
      </c>
      <c r="AJ341" s="7721"/>
      <c r="AK341" s="764"/>
      <c r="AL341" s="764"/>
      <c r="AM341" s="764"/>
      <c r="AN341" s="764"/>
      <c r="AO341" s="764"/>
      <c r="AP341" s="764"/>
      <c r="AQ341" s="764"/>
      <c r="AR341" s="764"/>
      <c r="AS341" s="764"/>
      <c r="AT341" s="764"/>
      <c r="AU341" s="764"/>
      <c r="AV341" s="764"/>
      <c r="AW341" s="764"/>
      <c r="AX341" s="764"/>
      <c r="AY341" s="764"/>
      <c r="AZ341" s="764"/>
      <c r="BA341" s="764"/>
      <c r="BB341" s="764"/>
      <c r="BC341" s="764"/>
      <c r="BD341" s="764"/>
      <c r="BE341" s="764"/>
      <c r="BF341" s="764"/>
      <c r="BG341" s="764"/>
      <c r="BH341" s="764"/>
      <c r="BI341" s="764"/>
      <c r="BJ341" s="764"/>
      <c r="BK341" s="764"/>
      <c r="BL341" s="764"/>
      <c r="BM341" s="764"/>
      <c r="BN341" s="7722"/>
      <c r="BO341" s="7722"/>
      <c r="BP341" s="7722"/>
      <c r="BQ341" s="700"/>
      <c r="BR341" s="700"/>
      <c r="BS341" s="1063" t="s">
        <v>2514</v>
      </c>
      <c r="BT341" s="1070"/>
      <c r="BU341" s="1070"/>
      <c r="BV341" s="707"/>
      <c r="BW341" s="707"/>
    </row>
    <row s="1834" customFormat="1" customHeight="1" ht="21.75">
      <c r="A342" s="1278"/>
      <c r="B342" s="978"/>
      <c r="C342" s="1278"/>
      <c r="D342" s="1278"/>
      <c r="E342" s="703">
        <v>22.5</v>
      </c>
      <c r="F342" s="50" cm="1" t="str">
        <f t="array" ref="F342:F342">OFFSET(E342,-1,1)</f>
        <v>2</v>
      </c>
      <c r="G342" s="158" t="s">
        <v>1916</v>
      </c>
      <c r="H342" s="378"/>
      <c r="I342" s="378" t="s">
        <v>2095</v>
      </c>
      <c r="J342" s="1278"/>
      <c r="K342" s="378" t="s">
        <v>2095</v>
      </c>
      <c r="L342" s="980" t="s">
        <v>1658</v>
      </c>
      <c r="M342" s="107"/>
      <c r="N342" s="1278"/>
      <c r="O342" s="1278"/>
      <c r="P342" s="1278"/>
      <c r="Q342" s="158" t="s">
        <v>2947</v>
      </c>
      <c r="R342" s="161" t="s">
        <v>2947</v>
      </c>
      <c r="S342" s="1278"/>
      <c r="T342" s="465" cm="1" t="str">
        <f t="array" ref="T342:T342">T341</f>
        <v>true</v>
      </c>
      <c r="U342" s="1278"/>
      <c r="V342" s="1278"/>
      <c r="W342" s="1278"/>
      <c r="X342" s="1563"/>
      <c r="Y342" s="1278"/>
      <c r="Z342" s="1546"/>
      <c r="AA342" s="1278"/>
      <c r="AB342" s="299" t="s">
        <v>1752</v>
      </c>
      <c r="AC342" s="765" t="s">
        <v>2686</v>
      </c>
      <c r="AD342" s="300" t="s">
        <v>1514</v>
      </c>
      <c r="AE342" s="944">
        <f>SUM(AE343:AE349)</f>
        <v>0</v>
      </c>
      <c r="AF342" s="944">
        <f>SUM(AF343:AF349)</f>
        <v>0</v>
      </c>
      <c r="AG342" s="944">
        <f>SUM(AG343:AG349)</f>
        <v>0</v>
      </c>
      <c r="AH342" s="943">
        <f>AG342-AF342</f>
        <v>0</v>
      </c>
      <c r="AI342" s="7693">
        <f>SUM(AI343:AI349)</f>
        <v>0</v>
      </c>
      <c r="AJ342" s="7721"/>
      <c r="AK342" s="942"/>
      <c r="AL342" s="942"/>
      <c r="AM342" s="942"/>
      <c r="AN342" s="942"/>
      <c r="AO342" s="942"/>
      <c r="AP342" s="942"/>
      <c r="AQ342" s="942"/>
      <c r="AR342" s="942"/>
      <c r="AS342" s="942"/>
      <c r="AT342" s="942"/>
      <c r="AU342" s="942"/>
      <c r="AV342" s="942"/>
      <c r="AW342" s="942"/>
      <c r="AX342" s="942"/>
      <c r="AY342" s="942"/>
      <c r="AZ342" s="942"/>
      <c r="BA342" s="942"/>
      <c r="BB342" s="942"/>
      <c r="BC342" s="942"/>
      <c r="BD342" s="942"/>
      <c r="BE342" s="942"/>
      <c r="BF342" s="942"/>
      <c r="BG342" s="942"/>
      <c r="BH342" s="942"/>
      <c r="BI342" s="942"/>
      <c r="BJ342" s="942"/>
      <c r="BK342" s="942"/>
      <c r="BL342" s="942"/>
      <c r="BM342" s="942"/>
      <c r="BN342" s="7720"/>
      <c r="BO342" s="7724" t="str">
        <f>IF(_xlfn.IFERROR(INDEX(Административные!$K$26:$L$122,MATCH($F342&amp;"17komm",Административные!$K$26:$K$122,0),2),"")=0,"",_xlfn.IFERROR(INDEX(Административные!$K$26:$L$122,MATCH($F342&amp;"17komm",Административные!$K$26:$K$122,0),2),""))</f>
        <v>Учтены расходы по выданным долгосрочным параметрам и соответствуют предложению организации.</v>
      </c>
      <c r="BP342" s="7720"/>
      <c r="BQ342" s="1278"/>
      <c r="BR342" s="1278"/>
      <c r="BS342" s="1062" t="s">
        <v>1918</v>
      </c>
      <c r="BT342" s="1064"/>
      <c r="BU342" s="1064"/>
      <c r="BV342" s="979"/>
      <c r="BW342" s="979"/>
    </row>
    <row s="1834" customFormat="1" customHeight="1" ht="14.25">
      <c r="A343" s="1278"/>
      <c r="B343" s="978"/>
      <c r="C343" s="1278"/>
      <c r="D343" s="1278"/>
      <c r="E343" s="703">
        <v>15</v>
      </c>
      <c r="F343" s="50" cm="1" t="str">
        <f t="array" ref="F343:F343">OFFSET(E343,-1,1)</f>
        <v>2</v>
      </c>
      <c r="G343" s="158" t="s">
        <v>1919</v>
      </c>
      <c r="H343" s="378"/>
      <c r="I343" s="378" t="s">
        <v>2687</v>
      </c>
      <c r="J343" s="1278"/>
      <c r="K343" s="378" t="s">
        <v>2687</v>
      </c>
      <c r="L343" s="980"/>
      <c r="M343" s="107"/>
      <c r="N343" s="1278"/>
      <c r="O343" s="1278"/>
      <c r="P343" s="1278"/>
      <c r="Q343" s="158" t="s">
        <v>2947</v>
      </c>
      <c r="R343" s="161" t="s">
        <v>2947</v>
      </c>
      <c r="S343" s="1278"/>
      <c r="T343" s="465" cm="1" t="str">
        <f t="array" ref="T343:T343">T342</f>
        <v>true</v>
      </c>
      <c r="U343" s="1278"/>
      <c r="V343" s="1278"/>
      <c r="W343" s="1278"/>
      <c r="X343" s="1563"/>
      <c r="Y343" s="1278"/>
      <c r="Z343" s="1546"/>
      <c r="AA343" s="1278"/>
      <c r="AB343" s="299" t="s">
        <v>2688</v>
      </c>
      <c r="AC343" s="768" t="s">
        <v>1920</v>
      </c>
      <c r="AD343" s="300" t="s">
        <v>1514</v>
      </c>
      <c r="AE343" s="7723"/>
      <c r="AF343" s="7723"/>
      <c r="AG343" s="7723"/>
      <c r="AH343" s="943">
        <f>AG343-AF343</f>
        <v>0</v>
      </c>
      <c r="AI343" s="7691"/>
      <c r="AJ343" s="7721"/>
      <c r="AK343" s="942"/>
      <c r="AL343" s="942"/>
      <c r="AM343" s="942"/>
      <c r="AN343" s="942"/>
      <c r="AO343" s="942"/>
      <c r="AP343" s="942"/>
      <c r="AQ343" s="942"/>
      <c r="AR343" s="942"/>
      <c r="AS343" s="942"/>
      <c r="AT343" s="942"/>
      <c r="AU343" s="942"/>
      <c r="AV343" s="942"/>
      <c r="AW343" s="942"/>
      <c r="AX343" s="942"/>
      <c r="AY343" s="942"/>
      <c r="AZ343" s="942"/>
      <c r="BA343" s="942"/>
      <c r="BB343" s="942"/>
      <c r="BC343" s="942"/>
      <c r="BD343" s="942"/>
      <c r="BE343" s="942"/>
      <c r="BF343" s="942"/>
      <c r="BG343" s="942"/>
      <c r="BH343" s="942"/>
      <c r="BI343" s="942"/>
      <c r="BJ343" s="942"/>
      <c r="BK343" s="942"/>
      <c r="BL343" s="942"/>
      <c r="BM343" s="942"/>
      <c r="BN343" s="7720"/>
      <c r="BO343" s="7724" t="str">
        <f>IF(_xlfn.IFERROR(INDEX(Административные!$K$26:$L$122,MATCH($F343&amp;"18komm",Административные!$K$26:$K$122,0),2),"")=0,"",_xlfn.IFERROR(INDEX(Административные!$K$26:$L$122,MATCH($F343&amp;"18komm",Административные!$K$26:$K$122,0),2),""))</f>
        <v>рассчитано по факту с января по май 2025 года предыдущей организации в пересчете на годовые показатели, с применением ИПЦ Минэкономразвития России на 2026 год 105,1%.</v>
      </c>
      <c r="BP343" s="7720"/>
      <c r="BQ343" s="1278"/>
      <c r="BR343" s="1278"/>
      <c r="BS343" s="1064" t="s">
        <v>1921</v>
      </c>
      <c r="BT343" s="1064"/>
      <c r="BU343" s="1064"/>
      <c r="BV343" s="979"/>
      <c r="BW343" s="979"/>
    </row>
    <row s="1834" customFormat="1" customHeight="1" ht="14.25">
      <c r="A344" s="1278"/>
      <c r="B344" s="978"/>
      <c r="C344" s="1278"/>
      <c r="D344" s="1278"/>
      <c r="E344" s="703">
        <v>15</v>
      </c>
      <c r="F344" s="50" cm="1" t="str">
        <f t="array" ref="F344:F344">OFFSET(E344,-1,1)</f>
        <v>2</v>
      </c>
      <c r="G344" s="158" t="s">
        <v>1922</v>
      </c>
      <c r="H344" s="378"/>
      <c r="I344" s="378" t="s">
        <v>2689</v>
      </c>
      <c r="J344" s="1278"/>
      <c r="K344" s="378" t="s">
        <v>2689</v>
      </c>
      <c r="L344" s="980"/>
      <c r="M344" s="107"/>
      <c r="N344" s="1278"/>
      <c r="O344" s="1278"/>
      <c r="P344" s="1278"/>
      <c r="Q344" s="158" t="s">
        <v>2947</v>
      </c>
      <c r="R344" s="161" t="s">
        <v>2947</v>
      </c>
      <c r="S344" s="1278"/>
      <c r="T344" s="465" cm="1" t="str">
        <f t="array" ref="T344:T344">T343</f>
        <v>true</v>
      </c>
      <c r="U344" s="1278"/>
      <c r="V344" s="1278"/>
      <c r="W344" s="1278"/>
      <c r="X344" s="1563"/>
      <c r="Y344" s="1278"/>
      <c r="Z344" s="1546"/>
      <c r="AA344" s="1278"/>
      <c r="AB344" s="299" t="s">
        <v>2690</v>
      </c>
      <c r="AC344" s="768" t="s">
        <v>1923</v>
      </c>
      <c r="AD344" s="300" t="s">
        <v>1514</v>
      </c>
      <c r="AE344" s="7723"/>
      <c r="AF344" s="7723"/>
      <c r="AG344" s="7723"/>
      <c r="AH344" s="943">
        <f>AG344-AF344</f>
        <v>0</v>
      </c>
      <c r="AI344" s="7691"/>
      <c r="AJ344" s="7721"/>
      <c r="AK344" s="942"/>
      <c r="AL344" s="942"/>
      <c r="AM344" s="942"/>
      <c r="AN344" s="942"/>
      <c r="AO344" s="942"/>
      <c r="AP344" s="942"/>
      <c r="AQ344" s="942"/>
      <c r="AR344" s="942"/>
      <c r="AS344" s="942"/>
      <c r="AT344" s="942"/>
      <c r="AU344" s="942"/>
      <c r="AV344" s="942"/>
      <c r="AW344" s="942"/>
      <c r="AX344" s="942"/>
      <c r="AY344" s="942"/>
      <c r="AZ344" s="942"/>
      <c r="BA344" s="942"/>
      <c r="BB344" s="942"/>
      <c r="BC344" s="942"/>
      <c r="BD344" s="942"/>
      <c r="BE344" s="942"/>
      <c r="BF344" s="942"/>
      <c r="BG344" s="942"/>
      <c r="BH344" s="942"/>
      <c r="BI344" s="942"/>
      <c r="BJ344" s="942"/>
      <c r="BK344" s="942"/>
      <c r="BL344" s="942"/>
      <c r="BM344" s="942"/>
      <c r="BN344" s="7720"/>
      <c r="BO344" s="7724" t="str">
        <f>IF(_xlfn.IFERROR(INDEX(Административные!$K$26:$L$122,MATCH($F344&amp;"11komm",Административные!$K$26:$K$122,0),2),"")=0,"",_xlfn.IFERROR(INDEX(Административные!$K$26:$L$122,MATCH($F344&amp;"11komm",Административные!$K$26:$K$122,0),2),""))</f>
        <v/>
      </c>
      <c r="BP344" s="7720"/>
      <c r="BQ344" s="1278"/>
      <c r="BR344" s="1278"/>
      <c r="BS344" s="1064" t="s">
        <v>1924</v>
      </c>
      <c r="BT344" s="1064"/>
      <c r="BU344" s="1064"/>
      <c r="BV344" s="979"/>
      <c r="BW344" s="979"/>
    </row>
    <row s="1834" customFormat="1" customHeight="1" ht="14.25">
      <c r="A345" s="1278"/>
      <c r="B345" s="978"/>
      <c r="C345" s="1278"/>
      <c r="D345" s="1278"/>
      <c r="E345" s="703">
        <v>15</v>
      </c>
      <c r="F345" s="50" cm="1" t="str">
        <f t="array" ref="F345:F345">OFFSET(E345,-1,1)</f>
        <v>2</v>
      </c>
      <c r="G345" s="158" t="s">
        <v>1925</v>
      </c>
      <c r="H345" s="378"/>
      <c r="I345" s="378" t="s">
        <v>2691</v>
      </c>
      <c r="J345" s="1278"/>
      <c r="K345" s="378" t="s">
        <v>2691</v>
      </c>
      <c r="L345" s="980"/>
      <c r="M345" s="107"/>
      <c r="N345" s="1278"/>
      <c r="O345" s="1278"/>
      <c r="P345" s="1278"/>
      <c r="Q345" s="158" t="s">
        <v>2947</v>
      </c>
      <c r="R345" s="161" t="s">
        <v>2947</v>
      </c>
      <c r="S345" s="1278"/>
      <c r="T345" s="465" cm="1" t="str">
        <f t="array" ref="T345:T345">T344</f>
        <v>true</v>
      </c>
      <c r="U345" s="1278"/>
      <c r="V345" s="1278"/>
      <c r="W345" s="1278"/>
      <c r="X345" s="1563"/>
      <c r="Y345" s="1278"/>
      <c r="Z345" s="1546"/>
      <c r="AA345" s="1278"/>
      <c r="AB345" s="299" t="s">
        <v>2692</v>
      </c>
      <c r="AC345" s="768" t="s">
        <v>1926</v>
      </c>
      <c r="AD345" s="300" t="s">
        <v>1514</v>
      </c>
      <c r="AE345" s="7723"/>
      <c r="AF345" s="7723"/>
      <c r="AG345" s="7723"/>
      <c r="AH345" s="943">
        <f>AG345-AF345</f>
        <v>0</v>
      </c>
      <c r="AI345" s="7691"/>
      <c r="AJ345" s="7721"/>
      <c r="AK345" s="942"/>
      <c r="AL345" s="942"/>
      <c r="AM345" s="942"/>
      <c r="AN345" s="942"/>
      <c r="AO345" s="942"/>
      <c r="AP345" s="942"/>
      <c r="AQ345" s="942"/>
      <c r="AR345" s="942"/>
      <c r="AS345" s="942"/>
      <c r="AT345" s="942"/>
      <c r="AU345" s="942"/>
      <c r="AV345" s="942"/>
      <c r="AW345" s="942"/>
      <c r="AX345" s="942"/>
      <c r="AY345" s="942"/>
      <c r="AZ345" s="942"/>
      <c r="BA345" s="942"/>
      <c r="BB345" s="942"/>
      <c r="BC345" s="942"/>
      <c r="BD345" s="942"/>
      <c r="BE345" s="942"/>
      <c r="BF345" s="942"/>
      <c r="BG345" s="942"/>
      <c r="BH345" s="942"/>
      <c r="BI345" s="942"/>
      <c r="BJ345" s="942"/>
      <c r="BK345" s="942"/>
      <c r="BL345" s="942"/>
      <c r="BM345" s="942"/>
      <c r="BN345" s="7720"/>
      <c r="BO345" s="7724" t="str">
        <f>IF(_xlfn.IFERROR(INDEX(Административные!$K$26:$L$122,MATCH($F345&amp;"12komm",Административные!$K$26:$K$122,0),2),"")=0,"",_xlfn.IFERROR(INDEX(Административные!$K$26:$L$122,MATCH($F345&amp;"12komm",Административные!$K$26:$K$122,0),2),""))</f>
        <v/>
      </c>
      <c r="BP345" s="7720"/>
      <c r="BQ345" s="1278"/>
      <c r="BR345" s="1278"/>
      <c r="BS345" s="1064" t="s">
        <v>1927</v>
      </c>
      <c r="BT345" s="1064"/>
      <c r="BU345" s="1064"/>
      <c r="BV345" s="979"/>
      <c r="BW345" s="979"/>
    </row>
    <row s="1834" customFormat="1" customHeight="1" ht="14.25">
      <c r="A346" s="1278"/>
      <c r="B346" s="978"/>
      <c r="C346" s="1278"/>
      <c r="D346" s="1278"/>
      <c r="E346" s="703">
        <v>15</v>
      </c>
      <c r="F346" s="50" cm="1" t="str">
        <f t="array" ref="F346:F346">OFFSET(E346,-1,1)</f>
        <v>2</v>
      </c>
      <c r="G346" s="158" t="s">
        <v>1928</v>
      </c>
      <c r="H346" s="378"/>
      <c r="I346" s="378" t="s">
        <v>2693</v>
      </c>
      <c r="J346" s="1278"/>
      <c r="K346" s="378" t="s">
        <v>2693</v>
      </c>
      <c r="L346" s="980"/>
      <c r="M346" s="107"/>
      <c r="N346" s="1278"/>
      <c r="O346" s="1278"/>
      <c r="P346" s="1278"/>
      <c r="Q346" s="158" t="s">
        <v>2947</v>
      </c>
      <c r="R346" s="161" t="s">
        <v>2947</v>
      </c>
      <c r="S346" s="1278"/>
      <c r="T346" s="465" cm="1" t="str">
        <f t="array" ref="T346:T346">T345</f>
        <v>true</v>
      </c>
      <c r="U346" s="1278"/>
      <c r="V346" s="1278"/>
      <c r="W346" s="1278"/>
      <c r="X346" s="1563"/>
      <c r="Y346" s="1278"/>
      <c r="Z346" s="1546"/>
      <c r="AA346" s="1278"/>
      <c r="AB346" s="299" t="s">
        <v>2694</v>
      </c>
      <c r="AC346" s="768" t="s">
        <v>1929</v>
      </c>
      <c r="AD346" s="300" t="s">
        <v>1514</v>
      </c>
      <c r="AE346" s="7723"/>
      <c r="AF346" s="7723"/>
      <c r="AG346" s="7723"/>
      <c r="AH346" s="943">
        <f>AG346-AF346</f>
        <v>0</v>
      </c>
      <c r="AI346" s="7691"/>
      <c r="AJ346" s="7721"/>
      <c r="AK346" s="942"/>
      <c r="AL346" s="942"/>
      <c r="AM346" s="942"/>
      <c r="AN346" s="942"/>
      <c r="AO346" s="942"/>
      <c r="AP346" s="942"/>
      <c r="AQ346" s="942"/>
      <c r="AR346" s="942"/>
      <c r="AS346" s="942"/>
      <c r="AT346" s="942"/>
      <c r="AU346" s="942"/>
      <c r="AV346" s="942"/>
      <c r="AW346" s="942"/>
      <c r="AX346" s="942"/>
      <c r="AY346" s="942"/>
      <c r="AZ346" s="942"/>
      <c r="BA346" s="942"/>
      <c r="BB346" s="942"/>
      <c r="BC346" s="942"/>
      <c r="BD346" s="942"/>
      <c r="BE346" s="942"/>
      <c r="BF346" s="942"/>
      <c r="BG346" s="942"/>
      <c r="BH346" s="942"/>
      <c r="BI346" s="942"/>
      <c r="BJ346" s="942"/>
      <c r="BK346" s="942"/>
      <c r="BL346" s="942"/>
      <c r="BM346" s="942"/>
      <c r="BN346" s="7720"/>
      <c r="BO346" s="7724" t="str">
        <f>IF(_xlfn.IFERROR(INDEX(Административные!$K$26:$L$122,MATCH($F346&amp;"13komm",Административные!$K$26:$K$122,0),2),"")=0,"",_xlfn.IFERROR(INDEX(Административные!$K$26:$L$122,MATCH($F346&amp;"13komm",Административные!$K$26:$K$122,0),2),""))</f>
        <v/>
      </c>
      <c r="BP346" s="7720"/>
      <c r="BQ346" s="1278"/>
      <c r="BR346" s="1278"/>
      <c r="BS346" s="1064" t="s">
        <v>1930</v>
      </c>
      <c r="BT346" s="1064"/>
      <c r="BU346" s="1064"/>
      <c r="BV346" s="979"/>
      <c r="BW346" s="979"/>
    </row>
    <row s="1834" customFormat="1" customHeight="1" ht="14.25">
      <c r="A347" s="1278"/>
      <c r="B347" s="978"/>
      <c r="C347" s="1278"/>
      <c r="D347" s="1278"/>
      <c r="E347" s="703">
        <v>15</v>
      </c>
      <c r="F347" s="50" cm="1" t="str">
        <f t="array" ref="F347:F347">OFFSET(E347,-1,1)</f>
        <v>2</v>
      </c>
      <c r="G347" s="158" t="s">
        <v>1931</v>
      </c>
      <c r="H347" s="378"/>
      <c r="I347" s="378" t="s">
        <v>2695</v>
      </c>
      <c r="J347" s="1278"/>
      <c r="K347" s="378" t="s">
        <v>2695</v>
      </c>
      <c r="L347" s="980"/>
      <c r="M347" s="107"/>
      <c r="N347" s="1278"/>
      <c r="O347" s="1278"/>
      <c r="P347" s="1278"/>
      <c r="Q347" s="158" t="s">
        <v>2947</v>
      </c>
      <c r="R347" s="161" t="s">
        <v>2947</v>
      </c>
      <c r="S347" s="1278"/>
      <c r="T347" s="465" cm="1" t="str">
        <f t="array" ref="T347:T347">T346</f>
        <v>true</v>
      </c>
      <c r="U347" s="1278"/>
      <c r="V347" s="1278"/>
      <c r="W347" s="1278"/>
      <c r="X347" s="1563"/>
      <c r="Y347" s="1278"/>
      <c r="Z347" s="1546"/>
      <c r="AA347" s="1278"/>
      <c r="AB347" s="299" t="s">
        <v>2696</v>
      </c>
      <c r="AC347" s="768" t="s">
        <v>1932</v>
      </c>
      <c r="AD347" s="300" t="s">
        <v>1514</v>
      </c>
      <c r="AE347" s="7723"/>
      <c r="AF347" s="7723"/>
      <c r="AG347" s="7723"/>
      <c r="AH347" s="943">
        <f>AG347-AF347</f>
        <v>0</v>
      </c>
      <c r="AI347" s="7691"/>
      <c r="AJ347" s="7721"/>
      <c r="AK347" s="942"/>
      <c r="AL347" s="942"/>
      <c r="AM347" s="942"/>
      <c r="AN347" s="942"/>
      <c r="AO347" s="942"/>
      <c r="AP347" s="942"/>
      <c r="AQ347" s="942"/>
      <c r="AR347" s="942"/>
      <c r="AS347" s="942"/>
      <c r="AT347" s="942"/>
      <c r="AU347" s="942"/>
      <c r="AV347" s="942"/>
      <c r="AW347" s="942"/>
      <c r="AX347" s="942"/>
      <c r="AY347" s="942"/>
      <c r="AZ347" s="942"/>
      <c r="BA347" s="942"/>
      <c r="BB347" s="942"/>
      <c r="BC347" s="942"/>
      <c r="BD347" s="942"/>
      <c r="BE347" s="942"/>
      <c r="BF347" s="942"/>
      <c r="BG347" s="942"/>
      <c r="BH347" s="942"/>
      <c r="BI347" s="942"/>
      <c r="BJ347" s="942"/>
      <c r="BK347" s="942"/>
      <c r="BL347" s="942"/>
      <c r="BM347" s="942"/>
      <c r="BN347" s="7720"/>
      <c r="BO347" s="7724" t="str">
        <f>IF(_xlfn.IFERROR(INDEX(Административные!$K$26:$L$122,MATCH($F347&amp;"14komm",Административные!$K$26:$K$122,0),2),"")=0,"",_xlfn.IFERROR(INDEX(Административные!$K$26:$L$122,MATCH($F347&amp;"14komm",Административные!$K$26:$K$122,0),2),""))</f>
        <v/>
      </c>
      <c r="BP347" s="7720"/>
      <c r="BQ347" s="1278"/>
      <c r="BR347" s="1278"/>
      <c r="BS347" s="1064" t="s">
        <v>2697</v>
      </c>
      <c r="BT347" s="1064"/>
      <c r="BU347" s="1064"/>
      <c r="BV347" s="979"/>
      <c r="BW347" s="979"/>
    </row>
    <row s="1834" customFormat="1" customHeight="1" ht="14.25">
      <c r="A348" s="1278"/>
      <c r="B348" s="978"/>
      <c r="C348" s="1278"/>
      <c r="D348" s="1278"/>
      <c r="E348" s="703">
        <v>15</v>
      </c>
      <c r="F348" s="50" cm="1" t="str">
        <f t="array" ref="F348:F348">OFFSET(E348,-1,1)</f>
        <v>2</v>
      </c>
      <c r="G348" s="158" t="s">
        <v>1934</v>
      </c>
      <c r="H348" s="378"/>
      <c r="I348" s="378" t="s">
        <v>2698</v>
      </c>
      <c r="J348" s="1278"/>
      <c r="K348" s="378" t="s">
        <v>2698</v>
      </c>
      <c r="L348" s="980"/>
      <c r="M348" s="107"/>
      <c r="N348" s="1278"/>
      <c r="O348" s="1278"/>
      <c r="P348" s="1278"/>
      <c r="Q348" s="158" t="s">
        <v>2947</v>
      </c>
      <c r="R348" s="161" t="s">
        <v>2947</v>
      </c>
      <c r="S348" s="1278"/>
      <c r="T348" s="465" cm="1" t="str">
        <f t="array" ref="T348:T348">T347</f>
        <v>true</v>
      </c>
      <c r="U348" s="1278"/>
      <c r="V348" s="1278"/>
      <c r="W348" s="1278"/>
      <c r="X348" s="1563"/>
      <c r="Y348" s="1278"/>
      <c r="Z348" s="1546"/>
      <c r="AA348" s="1278"/>
      <c r="AB348" s="299" t="s">
        <v>2699</v>
      </c>
      <c r="AC348" s="768" t="s">
        <v>1937</v>
      </c>
      <c r="AD348" s="300" t="s">
        <v>1514</v>
      </c>
      <c r="AE348" s="7723"/>
      <c r="AF348" s="7723"/>
      <c r="AG348" s="7723"/>
      <c r="AH348" s="943">
        <f>AG348-AF348</f>
        <v>0</v>
      </c>
      <c r="AI348" s="7691"/>
      <c r="AJ348" s="7721"/>
      <c r="AK348" s="942"/>
      <c r="AL348" s="942"/>
      <c r="AM348" s="942"/>
      <c r="AN348" s="942"/>
      <c r="AO348" s="942"/>
      <c r="AP348" s="942"/>
      <c r="AQ348" s="942"/>
      <c r="AR348" s="942"/>
      <c r="AS348" s="942"/>
      <c r="AT348" s="942"/>
      <c r="AU348" s="942"/>
      <c r="AV348" s="942"/>
      <c r="AW348" s="942"/>
      <c r="AX348" s="942"/>
      <c r="AY348" s="942"/>
      <c r="AZ348" s="942"/>
      <c r="BA348" s="942"/>
      <c r="BB348" s="942"/>
      <c r="BC348" s="942"/>
      <c r="BD348" s="942"/>
      <c r="BE348" s="942"/>
      <c r="BF348" s="942"/>
      <c r="BG348" s="942"/>
      <c r="BH348" s="942"/>
      <c r="BI348" s="942"/>
      <c r="BJ348" s="942"/>
      <c r="BK348" s="942"/>
      <c r="BL348" s="942"/>
      <c r="BM348" s="942"/>
      <c r="BN348" s="7720"/>
      <c r="BO348" s="7724" t="str">
        <f>IF(_xlfn.IFERROR(INDEX(Административные!$K$26:$L$122,MATCH($F348&amp;"15komm",Административные!$K$26:$K$122,0),2),"")=0,"",_xlfn.IFERROR(INDEX(Административные!$K$26:$L$122,MATCH($F348&amp;"15komm",Административные!$K$26:$K$122,0),2),""))</f>
        <v>по расчету организации, не превышает факт 2025 года предыдущей организации.</v>
      </c>
      <c r="BP348" s="7720"/>
      <c r="BQ348" s="1278"/>
      <c r="BR348" s="1278"/>
      <c r="BS348" s="1064" t="s">
        <v>1938</v>
      </c>
      <c r="BT348" s="1064"/>
      <c r="BU348" s="1064"/>
      <c r="BV348" s="979"/>
      <c r="BW348" s="979"/>
    </row>
    <row s="1834" customFormat="1" customHeight="1" ht="14.25">
      <c r="A349" s="1278"/>
      <c r="B349" s="978"/>
      <c r="C349" s="1278"/>
      <c r="D349" s="1278"/>
      <c r="E349" s="703">
        <v>15</v>
      </c>
      <c r="F349" s="50" cm="1" t="str">
        <f t="array" ref="F349:F349">OFFSET(E349,-1,1)</f>
        <v>2</v>
      </c>
      <c r="G349" s="158" t="s">
        <v>1939</v>
      </c>
      <c r="H349" s="378"/>
      <c r="I349" s="378" t="s">
        <v>2700</v>
      </c>
      <c r="J349" s="1278"/>
      <c r="K349" s="378" t="s">
        <v>2700</v>
      </c>
      <c r="L349" s="980"/>
      <c r="M349" s="107"/>
      <c r="N349" s="1278"/>
      <c r="O349" s="1278"/>
      <c r="P349" s="1278"/>
      <c r="Q349" s="158" t="s">
        <v>2947</v>
      </c>
      <c r="R349" s="161" t="s">
        <v>2947</v>
      </c>
      <c r="S349" s="1278"/>
      <c r="T349" s="465" cm="1" t="str">
        <f t="array" ref="T349:T349">T348</f>
        <v>true</v>
      </c>
      <c r="U349" s="1278"/>
      <c r="V349" s="1278"/>
      <c r="W349" s="1278"/>
      <c r="X349" s="1563"/>
      <c r="Y349" s="1278"/>
      <c r="Z349" s="1546"/>
      <c r="AA349" s="1278"/>
      <c r="AB349" s="299" t="s">
        <v>2701</v>
      </c>
      <c r="AC349" s="768" t="s">
        <v>1942</v>
      </c>
      <c r="AD349" s="300" t="s">
        <v>1514</v>
      </c>
      <c r="AE349" s="7723"/>
      <c r="AF349" s="7723"/>
      <c r="AG349" s="7723"/>
      <c r="AH349" s="943">
        <f>AG349-AF349</f>
        <v>0</v>
      </c>
      <c r="AI349" s="7691"/>
      <c r="AJ349" s="7721"/>
      <c r="AK349" s="942"/>
      <c r="AL349" s="942"/>
      <c r="AM349" s="942"/>
      <c r="AN349" s="942"/>
      <c r="AO349" s="942"/>
      <c r="AP349" s="942"/>
      <c r="AQ349" s="942"/>
      <c r="AR349" s="942"/>
      <c r="AS349" s="942"/>
      <c r="AT349" s="942"/>
      <c r="AU349" s="942"/>
      <c r="AV349" s="942"/>
      <c r="AW349" s="942"/>
      <c r="AX349" s="942"/>
      <c r="AY349" s="942"/>
      <c r="AZ349" s="942"/>
      <c r="BA349" s="942"/>
      <c r="BB349" s="942"/>
      <c r="BC349" s="942"/>
      <c r="BD349" s="942"/>
      <c r="BE349" s="942"/>
      <c r="BF349" s="942"/>
      <c r="BG349" s="942"/>
      <c r="BH349" s="942"/>
      <c r="BI349" s="942"/>
      <c r="BJ349" s="942"/>
      <c r="BK349" s="942"/>
      <c r="BL349" s="942"/>
      <c r="BM349" s="942"/>
      <c r="BN349" s="7720"/>
      <c r="BO349" s="7724" t="str">
        <f>IF(_xlfn.IFERROR(INDEX(Административные!$K$26:$L$122,MATCH($F349&amp;"16komm",Административные!$K$26:$K$122,0),2),"")=0,"",_xlfn.IFERROR(INDEX(Административные!$K$26:$L$122,MATCH($F349&amp;"16komm",Административные!$K$26:$K$122,0),2),""))</f>
        <v>Учтены расходы:
1. По факту с января по май 2025 года в пересчете на годовые показатели, с применением ИПЦ Минэкономразвития России на 2026 год 105,1%:
- прочие расходы (спец.одежда, инструм., хозинвент., матер.на общехоз.и произв.нужды) 94,44 т.р.;
- расходы на канцелярию 65,44 т.р.;
- прочие услуги (изгот. печатей, постановка ККТ на учет, разм.рекламы по трудоустройству, доступ к серверу, изгот. сервис.карты) 41,57 т.р.
- почтовые расходы, типография, обсл.оргтех. 15,70 т.р.;
- расходы на покупку бут.воды. 3,51 т.р.;
2. Услуги по начисл. и сбору ВС и ВО 1139,44 т.р. приняты по факту с июня 2024 года по май 2025 года, с применением ИПЦ Минэкономразвития на 2025 год 109,0%, на 2026 год 105,1%.
3. По расчету организации ТБО 1,83 т.р. не превышает факт 2025 предыдущей организации.
</v>
      </c>
      <c r="BP349" s="7720"/>
      <c r="BQ349" s="1278"/>
      <c r="BR349" s="1278"/>
      <c r="BS349" s="1064" t="s">
        <v>2702</v>
      </c>
      <c r="BT349" s="1064"/>
      <c r="BU349" s="1064"/>
      <c r="BV349" s="979"/>
      <c r="BW349" s="979"/>
    </row>
    <row s="1834" customFormat="1" customHeight="1" ht="21.75">
      <c r="A350" s="1278"/>
      <c r="B350" s="978"/>
      <c r="C350" s="1278"/>
      <c r="D350" s="1278"/>
      <c r="E350" s="703">
        <v>22.5</v>
      </c>
      <c r="F350" s="50" cm="1" t="str">
        <f t="array" ref="F350:F350">OFFSET(E350,-1,1)</f>
        <v>2</v>
      </c>
      <c r="G350" s="1278"/>
      <c r="H350" s="378"/>
      <c r="I350" s="378" t="s">
        <v>2096</v>
      </c>
      <c r="J350" s="1278"/>
      <c r="K350" s="378" t="s">
        <v>2096</v>
      </c>
      <c r="L350" s="980" t="s">
        <v>1660</v>
      </c>
      <c r="M350" s="107"/>
      <c r="N350" s="1278"/>
      <c r="O350" s="1278"/>
      <c r="P350" s="1278"/>
      <c r="Q350" s="158" t="s">
        <v>2947</v>
      </c>
      <c r="R350" s="161" t="s">
        <v>2947</v>
      </c>
      <c r="S350" s="1278"/>
      <c r="T350" s="465" cm="1" t="str">
        <f t="array" ref="T350:T350">T349</f>
        <v>true</v>
      </c>
      <c r="U350" s="1278"/>
      <c r="V350" s="1278"/>
      <c r="W350" s="1278"/>
      <c r="X350" s="1563"/>
      <c r="Y350" s="1278"/>
      <c r="Z350" s="1546"/>
      <c r="AA350" s="1278"/>
      <c r="AB350" s="299" t="s">
        <v>1755</v>
      </c>
      <c r="AC350" s="765" t="s">
        <v>2703</v>
      </c>
      <c r="AD350" s="300" t="s">
        <v>1514</v>
      </c>
      <c r="AE350" s="944">
        <f>AE351+AE352</f>
        <v>0</v>
      </c>
      <c r="AF350" s="944">
        <f>AF351+AF352</f>
        <v>0</v>
      </c>
      <c r="AG350" s="944">
        <f>AG351+AG352</f>
        <v>0</v>
      </c>
      <c r="AH350" s="943">
        <f>AG350-AF350</f>
        <v>0</v>
      </c>
      <c r="AI350" s="7693">
        <f>AI351+AI352</f>
        <v>0</v>
      </c>
      <c r="AJ350" s="7721"/>
      <c r="AK350" s="942"/>
      <c r="AL350" s="942"/>
      <c r="AM350" s="942"/>
      <c r="AN350" s="942"/>
      <c r="AO350" s="942"/>
      <c r="AP350" s="942"/>
      <c r="AQ350" s="942"/>
      <c r="AR350" s="942"/>
      <c r="AS350" s="942"/>
      <c r="AT350" s="942"/>
      <c r="AU350" s="942"/>
      <c r="AV350" s="942"/>
      <c r="AW350" s="942"/>
      <c r="AX350" s="942"/>
      <c r="AY350" s="942"/>
      <c r="AZ350" s="942"/>
      <c r="BA350" s="942"/>
      <c r="BB350" s="942"/>
      <c r="BC350" s="942"/>
      <c r="BD350" s="942"/>
      <c r="BE350" s="942"/>
      <c r="BF350" s="942"/>
      <c r="BG350" s="942"/>
      <c r="BH350" s="942"/>
      <c r="BI350" s="942"/>
      <c r="BJ350" s="942"/>
      <c r="BK350" s="942"/>
      <c r="BL350" s="942"/>
      <c r="BM350" s="942"/>
      <c r="BN350" s="7720"/>
      <c r="BO350" s="7720"/>
      <c r="BP350" s="7720"/>
      <c r="BQ350" s="1278"/>
      <c r="BR350" s="1278"/>
      <c r="BS350" s="1062" t="s">
        <v>2517</v>
      </c>
      <c r="BT350" s="1064"/>
      <c r="BU350" s="1064"/>
      <c r="BV350" s="979"/>
      <c r="BW350" s="979"/>
    </row>
    <row s="1834" customFormat="1" customHeight="1" ht="14.25">
      <c r="A351" s="1278"/>
      <c r="B351" s="978"/>
      <c r="C351" s="1278"/>
      <c r="D351" s="1278"/>
      <c r="E351" s="703">
        <v>15</v>
      </c>
      <c r="F351" s="50" cm="1" t="str">
        <f t="array" ref="F351:F351">OFFSET(E351,-1,1)</f>
        <v>2</v>
      </c>
      <c r="G351" s="158" t="s">
        <v>1889</v>
      </c>
      <c r="H351" s="378"/>
      <c r="I351" s="378" t="s">
        <v>2704</v>
      </c>
      <c r="J351" s="1278"/>
      <c r="K351" s="378" t="s">
        <v>2704</v>
      </c>
      <c r="L351" s="980" t="s">
        <v>1211</v>
      </c>
      <c r="M351" s="107"/>
      <c r="N351" s="1278"/>
      <c r="O351" s="1278"/>
      <c r="P351" s="1278"/>
      <c r="Q351" s="158" t="s">
        <v>2947</v>
      </c>
      <c r="R351" s="161" t="s">
        <v>2947</v>
      </c>
      <c r="S351" s="1278"/>
      <c r="T351" s="465" cm="1" t="str">
        <f t="array" ref="T351:T351">T350</f>
        <v>true</v>
      </c>
      <c r="U351" s="1278"/>
      <c r="V351" s="1278"/>
      <c r="W351" s="1278"/>
      <c r="X351" s="1563"/>
      <c r="Y351" s="1278"/>
      <c r="Z351" s="1546"/>
      <c r="AA351" s="1278"/>
      <c r="AB351" s="299" t="s">
        <v>2705</v>
      </c>
      <c r="AC351" s="768" t="s">
        <v>2518</v>
      </c>
      <c r="AD351" s="771" t="s">
        <v>1514</v>
      </c>
      <c r="AE351" s="7723"/>
      <c r="AF351" s="7723"/>
      <c r="AG351" s="7723"/>
      <c r="AH351" s="943">
        <f>AG351-AF351</f>
        <v>0</v>
      </c>
      <c r="AI351" s="7691"/>
      <c r="AJ351" s="7721"/>
      <c r="AK351" s="942"/>
      <c r="AL351" s="942"/>
      <c r="AM351" s="942"/>
      <c r="AN351" s="942"/>
      <c r="AO351" s="942"/>
      <c r="AP351" s="942"/>
      <c r="AQ351" s="942"/>
      <c r="AR351" s="942"/>
      <c r="AS351" s="942"/>
      <c r="AT351" s="942"/>
      <c r="AU351" s="942"/>
      <c r="AV351" s="942"/>
      <c r="AW351" s="942"/>
      <c r="AX351" s="942"/>
      <c r="AY351" s="942"/>
      <c r="AZ351" s="942"/>
      <c r="BA351" s="942"/>
      <c r="BB351" s="942"/>
      <c r="BC351" s="942"/>
      <c r="BD351" s="942"/>
      <c r="BE351" s="942"/>
      <c r="BF351" s="942"/>
      <c r="BG351" s="942"/>
      <c r="BH351" s="942"/>
      <c r="BI351" s="942"/>
      <c r="BJ351" s="942"/>
      <c r="BK351" s="942"/>
      <c r="BL351" s="942"/>
      <c r="BM351" s="942"/>
      <c r="BN351" s="7720"/>
      <c r="BO351" s="7724" t="str">
        <f>IF(_xlfn.IFERROR(INDEX(ФОТ!$K$26:$L$188,MATCH($F351&amp;"5komm",ФОТ!$K$26:$K$188,0),2),"")=0,"",_xlfn.IFERROR(INDEX(ФОТ!$K$26:$L$188,MATCH($F351&amp;"5komm",ФОТ!$K$26:$K$188,0),2),""))</f>
        <v>по предложению организации в соответствии со штатным расписанием.</v>
      </c>
      <c r="BP351" s="7720"/>
      <c r="BQ351" s="1278"/>
      <c r="BR351" s="1278"/>
      <c r="BS351" s="1062" t="s">
        <v>1915</v>
      </c>
      <c r="BT351" s="1064"/>
      <c r="BU351" s="1064"/>
      <c r="BV351" s="979"/>
      <c r="BW351" s="979"/>
    </row>
    <row s="1834" customFormat="1" customHeight="1" ht="21.75">
      <c r="A352" s="1278"/>
      <c r="B352" s="978"/>
      <c r="C352" s="1278"/>
      <c r="D352" s="1278"/>
      <c r="E352" s="703">
        <v>22.5</v>
      </c>
      <c r="F352" s="50" cm="1" t="str">
        <f t="array" ref="F352:F352">OFFSET(E352,-1,1)</f>
        <v>2</v>
      </c>
      <c r="G352" s="158" t="s">
        <v>1894</v>
      </c>
      <c r="H352" s="378"/>
      <c r="I352" s="378" t="s">
        <v>2706</v>
      </c>
      <c r="J352" s="1278"/>
      <c r="K352" s="378" t="s">
        <v>2706</v>
      </c>
      <c r="L352" s="980" t="s">
        <v>1216</v>
      </c>
      <c r="M352" s="107"/>
      <c r="N352" s="1278"/>
      <c r="O352" s="1278"/>
      <c r="P352" s="1278"/>
      <c r="Q352" s="158" t="s">
        <v>2947</v>
      </c>
      <c r="R352" s="161" t="s">
        <v>2947</v>
      </c>
      <c r="S352" s="1278"/>
      <c r="T352" s="465" cm="1" t="str">
        <f t="array" ref="T352:T352">T351</f>
        <v>true</v>
      </c>
      <c r="U352" s="1278"/>
      <c r="V352" s="1278"/>
      <c r="W352" s="1278"/>
      <c r="X352" s="1563"/>
      <c r="Y352" s="1278"/>
      <c r="Z352" s="1546"/>
      <c r="AA352" s="1278"/>
      <c r="AB352" s="299" t="s">
        <v>2707</v>
      </c>
      <c r="AC352" s="768" t="s">
        <v>2708</v>
      </c>
      <c r="AD352" s="300" t="s">
        <v>1514</v>
      </c>
      <c r="AE352" s="7723">
        <f>AE351*_xlfn.SUMIFS(INDEX(Сценарии!$AE$25:$BF$163,,MATCH(AE$8,Сценарии!$AE$8:$BF$8,0)),Сценарии!$F$25:$F$163,$F352,Сценарии!$G$25:$G$163,"СВФОТ")/100</f>
        <v>0</v>
      </c>
      <c r="AF352" s="7723">
        <f>AF351*_xlfn.SUMIFS(INDEX(Сценарии!$AE$25:$BF$163,,MATCH(AF$8,Сценарии!$AE$8:$BF$8,0)),Сценарии!$F$25:$F$163,$F352,Сценарии!$G$25:$G$163,"СВФОТ")/100</f>
        <v>0</v>
      </c>
      <c r="AG352" s="7723">
        <f>AG351*_xlfn.SUMIFS(INDEX(Сценарии!$AE$25:$BF$163,,MATCH(AG$8,Сценарии!$AE$8:$BF$8,0)),Сценарии!$F$25:$F$163,$F352,Сценарии!$G$25:$G$163,"СВФОТ")/100</f>
        <v>0</v>
      </c>
      <c r="AH352" s="943">
        <f>AG352-AF352</f>
        <v>0</v>
      </c>
      <c r="AI352" s="7691">
        <f>AI351*_xlfn.SUMIFS(INDEX(Сценарии!$AE$25:$BF$163,,MATCH(AG$8,Сценарии!$AE$8:$BF$8,0)),Сценарии!$F$25:$F$163,$F352,Сценарии!$G$25:$G$163,"СВФОТ")/100</f>
        <v>0</v>
      </c>
      <c r="AJ352" s="7721"/>
      <c r="AK352" s="942"/>
      <c r="AL352" s="942"/>
      <c r="AM352" s="942"/>
      <c r="AN352" s="942"/>
      <c r="AO352" s="942"/>
      <c r="AP352" s="942"/>
      <c r="AQ352" s="942"/>
      <c r="AR352" s="942"/>
      <c r="AS352" s="942"/>
      <c r="AT352" s="942"/>
      <c r="AU352" s="942"/>
      <c r="AV352" s="942"/>
      <c r="AW352" s="942"/>
      <c r="AX352" s="942"/>
      <c r="AY352" s="942"/>
      <c r="AZ352" s="942"/>
      <c r="BA352" s="942"/>
      <c r="BB352" s="942"/>
      <c r="BC352" s="942"/>
      <c r="BD352" s="942"/>
      <c r="BE352" s="942"/>
      <c r="BF352" s="942"/>
      <c r="BG352" s="942"/>
      <c r="BH352" s="942"/>
      <c r="BI352" s="942"/>
      <c r="BJ352" s="942"/>
      <c r="BK352" s="942"/>
      <c r="BL352" s="942"/>
      <c r="BM352" s="942"/>
      <c r="BN352" s="7720"/>
      <c r="BO352" s="7724" t="str">
        <f>IF(_xlfn.IFERROR(INDEX(ФОТ!$K$26:$L$188,MATCH($F352&amp;"6komm",ФОТ!$K$26:$K$188,0),2),"")=0,"",_xlfn.IFERROR(INDEX(ФОТ!$K$26:$L$188,MATCH($F352&amp;"6komm",ФОТ!$K$26:$K$188,0),2),""))</f>
        <v>на основании Налогового кодекса РФ (часть вторая) от 05.08.2000 № 117-ФЗ в размере 30%, а также в соответствии с Федеральным законом от 24.07.1998 № 125 – ФЗ (0,20%).</v>
      </c>
      <c r="BP352" s="7720"/>
      <c r="BQ352" s="1278"/>
      <c r="BR352" s="1278"/>
      <c r="BS352" s="1062" t="s">
        <v>2520</v>
      </c>
      <c r="BT352" s="1064"/>
      <c r="BU352" s="1064"/>
      <c r="BV352" s="979"/>
      <c r="BW352" s="979"/>
    </row>
    <row s="1834" customFormat="1" customHeight="1" ht="32.25">
      <c r="A353" s="1278"/>
      <c r="B353" s="978"/>
      <c r="C353" s="1278"/>
      <c r="D353" s="1278"/>
      <c r="E353" s="703">
        <v>33.75</v>
      </c>
      <c r="F353" s="50" cm="1" t="str">
        <f t="array" ref="F353:F353">OFFSET(E353,-1,1)</f>
        <v>2</v>
      </c>
      <c r="G353" s="49" t="s">
        <v>1944</v>
      </c>
      <c r="H353" s="378"/>
      <c r="I353" s="378" t="s">
        <v>2099</v>
      </c>
      <c r="J353" s="1278"/>
      <c r="K353" s="378" t="s">
        <v>2099</v>
      </c>
      <c r="L353" s="980" t="s">
        <v>1662</v>
      </c>
      <c r="M353" s="107"/>
      <c r="N353" s="1278"/>
      <c r="O353" s="1278"/>
      <c r="P353" s="1278"/>
      <c r="Q353" s="158" t="s">
        <v>2947</v>
      </c>
      <c r="R353" s="161" t="s">
        <v>2947</v>
      </c>
      <c r="S353" s="1278"/>
      <c r="T353" s="465" cm="1" t="str">
        <f t="array" ref="T353:T353">T352</f>
        <v>true</v>
      </c>
      <c r="U353" s="1278"/>
      <c r="V353" s="1278"/>
      <c r="W353" s="1278"/>
      <c r="X353" s="1563"/>
      <c r="Y353" s="1278"/>
      <c r="Z353" s="1546"/>
      <c r="AA353" s="1278"/>
      <c r="AB353" s="299" t="s">
        <v>2100</v>
      </c>
      <c r="AC353" s="765" t="s">
        <v>2709</v>
      </c>
      <c r="AD353" s="300" t="s">
        <v>1514</v>
      </c>
      <c r="AE353" s="7723"/>
      <c r="AF353" s="7723"/>
      <c r="AG353" s="7723"/>
      <c r="AH353" s="943">
        <f>AG353-AF353</f>
        <v>0</v>
      </c>
      <c r="AI353" s="7691"/>
      <c r="AJ353" s="7721"/>
      <c r="AK353" s="942"/>
      <c r="AL353" s="942"/>
      <c r="AM353" s="942"/>
      <c r="AN353" s="942"/>
      <c r="AO353" s="942"/>
      <c r="AP353" s="942"/>
      <c r="AQ353" s="942"/>
      <c r="AR353" s="942"/>
      <c r="AS353" s="942"/>
      <c r="AT353" s="942"/>
      <c r="AU353" s="942"/>
      <c r="AV353" s="942"/>
      <c r="AW353" s="942"/>
      <c r="AX353" s="942"/>
      <c r="AY353" s="942"/>
      <c r="AZ353" s="942"/>
      <c r="BA353" s="942"/>
      <c r="BB353" s="942"/>
      <c r="BC353" s="942"/>
      <c r="BD353" s="942"/>
      <c r="BE353" s="942"/>
      <c r="BF353" s="942"/>
      <c r="BG353" s="942"/>
      <c r="BH353" s="942"/>
      <c r="BI353" s="942"/>
      <c r="BJ353" s="942"/>
      <c r="BK353" s="942"/>
      <c r="BL353" s="942"/>
      <c r="BM353" s="942"/>
      <c r="BN353" s="7720"/>
      <c r="BO353" s="7724" t="str">
        <f>IF(_xlfn.IFERROR(INDEX(Административные!$K$26:$L$122,MATCH($F353&amp;"2komm",Административные!$K$26:$K$122,0),2),"")=0,"",_xlfn.IFERROR(INDEX(Административные!$K$26:$L$122,MATCH($F353&amp;"2komm",Административные!$K$26:$K$122,0),2),""))</f>
        <v/>
      </c>
      <c r="BP353" s="7720"/>
      <c r="BQ353" s="1278"/>
      <c r="BR353" s="1278"/>
      <c r="BS353" s="1062" t="s">
        <v>1946</v>
      </c>
      <c r="BT353" s="1064"/>
      <c r="BU353" s="1064"/>
      <c r="BV353" s="979"/>
      <c r="BW353" s="979"/>
    </row>
    <row s="1834" customFormat="1" customHeight="1" ht="14.25">
      <c r="A354" s="1278"/>
      <c r="B354" s="978"/>
      <c r="C354" s="1278"/>
      <c r="D354" s="1278"/>
      <c r="E354" s="703">
        <v>15</v>
      </c>
      <c r="F354" s="50" cm="1" t="str">
        <f t="array" ref="F354:F354">OFFSET(E354,-1,1)</f>
        <v>2</v>
      </c>
      <c r="G354" s="49" t="s">
        <v>1947</v>
      </c>
      <c r="H354" s="378"/>
      <c r="I354" s="378" t="s">
        <v>2103</v>
      </c>
      <c r="J354" s="1278"/>
      <c r="K354" s="378" t="s">
        <v>2103</v>
      </c>
      <c r="L354" s="980" t="s">
        <v>1664</v>
      </c>
      <c r="M354" s="107"/>
      <c r="N354" s="1278"/>
      <c r="O354" s="1278"/>
      <c r="P354" s="1278"/>
      <c r="Q354" s="158" t="s">
        <v>2947</v>
      </c>
      <c r="R354" s="161" t="s">
        <v>2947</v>
      </c>
      <c r="S354" s="1278"/>
      <c r="T354" s="465" cm="1" t="str">
        <f t="array" ref="T354:T354">T353</f>
        <v>true</v>
      </c>
      <c r="U354" s="1278"/>
      <c r="V354" s="1278"/>
      <c r="W354" s="1278"/>
      <c r="X354" s="1563"/>
      <c r="Y354" s="1278"/>
      <c r="Z354" s="1546"/>
      <c r="AA354" s="1278"/>
      <c r="AB354" s="299" t="s">
        <v>2104</v>
      </c>
      <c r="AC354" s="765" t="s">
        <v>2710</v>
      </c>
      <c r="AD354" s="300" t="s">
        <v>1514</v>
      </c>
      <c r="AE354" s="7723"/>
      <c r="AF354" s="7723"/>
      <c r="AG354" s="7723"/>
      <c r="AH354" s="943">
        <f>AG354-AF354</f>
        <v>0</v>
      </c>
      <c r="AI354" s="7691"/>
      <c r="AJ354" s="7721"/>
      <c r="AK354" s="942"/>
      <c r="AL354" s="942"/>
      <c r="AM354" s="942"/>
      <c r="AN354" s="942"/>
      <c r="AO354" s="942"/>
      <c r="AP354" s="942"/>
      <c r="AQ354" s="942"/>
      <c r="AR354" s="942"/>
      <c r="AS354" s="942"/>
      <c r="AT354" s="942"/>
      <c r="AU354" s="942"/>
      <c r="AV354" s="942"/>
      <c r="AW354" s="942"/>
      <c r="AX354" s="942"/>
      <c r="AY354" s="942"/>
      <c r="AZ354" s="942"/>
      <c r="BA354" s="942"/>
      <c r="BB354" s="942"/>
      <c r="BC354" s="942"/>
      <c r="BD354" s="942"/>
      <c r="BE354" s="942"/>
      <c r="BF354" s="942"/>
      <c r="BG354" s="942"/>
      <c r="BH354" s="942"/>
      <c r="BI354" s="942"/>
      <c r="BJ354" s="942"/>
      <c r="BK354" s="942"/>
      <c r="BL354" s="942"/>
      <c r="BM354" s="942"/>
      <c r="BN354" s="7720"/>
      <c r="BO354" s="7724" t="str">
        <f>IF(_xlfn.IFERROR(INDEX(Административные!$K$26:$L$122,MATCH($F354&amp;"3komm",Административные!$K$26:$K$122,0),2),"")=0,"",_xlfn.IFERROR(INDEX(Административные!$K$26:$L$122,MATCH($F354&amp;"3komm",Административные!$K$26:$K$122,0),2),""))</f>
        <v>рассчитано по факту 2024 года предыдущей организации, с применением ИПЦ Минэкономразвития России на 2025 год 109,0%, на 2026 год 105,1%.</v>
      </c>
      <c r="BP354" s="7720"/>
      <c r="BQ354" s="1278"/>
      <c r="BR354" s="1278"/>
      <c r="BS354" s="1062" t="s">
        <v>1949</v>
      </c>
      <c r="BT354" s="1064"/>
      <c r="BU354" s="1064"/>
      <c r="BV354" s="979"/>
      <c r="BW354" s="979"/>
    </row>
    <row s="1834" customFormat="1" customHeight="1" ht="14.25">
      <c r="A355" s="1278"/>
      <c r="B355" s="978"/>
      <c r="C355" s="1278"/>
      <c r="D355" s="1278"/>
      <c r="E355" s="703">
        <v>15</v>
      </c>
      <c r="F355" s="50" cm="1" t="str">
        <f t="array" ref="F355:F355">OFFSET(E355,-1,1)</f>
        <v>2</v>
      </c>
      <c r="G355" s="49" t="s">
        <v>1950</v>
      </c>
      <c r="H355" s="378"/>
      <c r="I355" s="378" t="s">
        <v>2711</v>
      </c>
      <c r="J355" s="1278"/>
      <c r="K355" s="378" t="s">
        <v>2711</v>
      </c>
      <c r="L355" s="980" t="s">
        <v>1667</v>
      </c>
      <c r="M355" s="107"/>
      <c r="N355" s="1278"/>
      <c r="O355" s="1278"/>
      <c r="P355" s="1278"/>
      <c r="Q355" s="158" t="s">
        <v>2947</v>
      </c>
      <c r="R355" s="161" t="s">
        <v>2947</v>
      </c>
      <c r="S355" s="1278"/>
      <c r="T355" s="465" cm="1" t="str">
        <f t="array" ref="T355:T355">T354</f>
        <v>true</v>
      </c>
      <c r="U355" s="1278"/>
      <c r="V355" s="1278"/>
      <c r="W355" s="1278"/>
      <c r="X355" s="1563"/>
      <c r="Y355" s="1278"/>
      <c r="Z355" s="1546"/>
      <c r="AA355" s="1278"/>
      <c r="AB355" s="299" t="s">
        <v>2712</v>
      </c>
      <c r="AC355" s="765" t="s">
        <v>2713</v>
      </c>
      <c r="AD355" s="300" t="s">
        <v>1514</v>
      </c>
      <c r="AE355" s="7723"/>
      <c r="AF355" s="7723"/>
      <c r="AG355" s="7723"/>
      <c r="AH355" s="943">
        <f>AG355-AF355</f>
        <v>0</v>
      </c>
      <c r="AI355" s="7691"/>
      <c r="AJ355" s="7721"/>
      <c r="AK355" s="942"/>
      <c r="AL355" s="942"/>
      <c r="AM355" s="942"/>
      <c r="AN355" s="942"/>
      <c r="AO355" s="942"/>
      <c r="AP355" s="942"/>
      <c r="AQ355" s="942"/>
      <c r="AR355" s="942"/>
      <c r="AS355" s="942"/>
      <c r="AT355" s="942"/>
      <c r="AU355" s="942"/>
      <c r="AV355" s="942"/>
      <c r="AW355" s="942"/>
      <c r="AX355" s="942"/>
      <c r="AY355" s="942"/>
      <c r="AZ355" s="942"/>
      <c r="BA355" s="942"/>
      <c r="BB355" s="942"/>
      <c r="BC355" s="942"/>
      <c r="BD355" s="942"/>
      <c r="BE355" s="942"/>
      <c r="BF355" s="942"/>
      <c r="BG355" s="942"/>
      <c r="BH355" s="942"/>
      <c r="BI355" s="942"/>
      <c r="BJ355" s="942"/>
      <c r="BK355" s="942"/>
      <c r="BL355" s="942"/>
      <c r="BM355" s="942"/>
      <c r="BN355" s="7720"/>
      <c r="BO355" s="7724" t="str">
        <f>IF(_xlfn.IFERROR(INDEX(Административные!$K$26:$L$122,MATCH($F355&amp;"4komm",Административные!$K$26:$K$122,0),2),"")=0,"",_xlfn.IFERROR(INDEX(Административные!$K$26:$L$122,MATCH($F355&amp;"4komm",Административные!$K$26:$K$122,0),2),""))</f>
        <v/>
      </c>
      <c r="BP355" s="7720"/>
      <c r="BQ355" s="1278"/>
      <c r="BR355" s="1278"/>
      <c r="BS355" s="1062" t="s">
        <v>1952</v>
      </c>
      <c r="BT355" s="1064"/>
      <c r="BU355" s="1064"/>
      <c r="BV355" s="979"/>
      <c r="BW355" s="979"/>
    </row>
    <row s="1834" customFormat="1" customHeight="1" ht="14.25">
      <c r="A356" s="1278"/>
      <c r="B356" s="978"/>
      <c r="C356" s="1278"/>
      <c r="D356" s="1278"/>
      <c r="E356" s="703">
        <v>15</v>
      </c>
      <c r="F356" s="50" cm="1" t="str">
        <f t="array" ref="F356:F356">OFFSET(E356,-1,1)</f>
        <v>2</v>
      </c>
      <c r="G356" s="49" t="s">
        <v>1953</v>
      </c>
      <c r="H356" s="378"/>
      <c r="I356" s="378" t="s">
        <v>2714</v>
      </c>
      <c r="J356" s="1278"/>
      <c r="K356" s="378" t="s">
        <v>2714</v>
      </c>
      <c r="L356" s="980" t="s">
        <v>1935</v>
      </c>
      <c r="M356" s="107"/>
      <c r="N356" s="1278"/>
      <c r="O356" s="1278"/>
      <c r="P356" s="1278"/>
      <c r="Q356" s="158" t="s">
        <v>2947</v>
      </c>
      <c r="R356" s="161" t="s">
        <v>2947</v>
      </c>
      <c r="S356" s="1278"/>
      <c r="T356" s="465" cm="1" t="str">
        <f t="array" ref="T356:T356">T355</f>
        <v>true</v>
      </c>
      <c r="U356" s="1278"/>
      <c r="V356" s="1278"/>
      <c r="W356" s="1278"/>
      <c r="X356" s="1563"/>
      <c r="Y356" s="1278"/>
      <c r="Z356" s="1546"/>
      <c r="AA356" s="1278"/>
      <c r="AB356" s="299" t="s">
        <v>2715</v>
      </c>
      <c r="AC356" s="765" t="s">
        <v>2716</v>
      </c>
      <c r="AD356" s="300" t="s">
        <v>1514</v>
      </c>
      <c r="AE356" s="7723"/>
      <c r="AF356" s="7723"/>
      <c r="AG356" s="7723"/>
      <c r="AH356" s="943">
        <f>AG356-AF356</f>
        <v>0</v>
      </c>
      <c r="AI356" s="7691"/>
      <c r="AJ356" s="7721"/>
      <c r="AK356" s="942"/>
      <c r="AL356" s="942"/>
      <c r="AM356" s="942"/>
      <c r="AN356" s="942"/>
      <c r="AO356" s="942"/>
      <c r="AP356" s="942"/>
      <c r="AQ356" s="942"/>
      <c r="AR356" s="942"/>
      <c r="AS356" s="942"/>
      <c r="AT356" s="942"/>
      <c r="AU356" s="942"/>
      <c r="AV356" s="942"/>
      <c r="AW356" s="942"/>
      <c r="AX356" s="942"/>
      <c r="AY356" s="942"/>
      <c r="AZ356" s="942"/>
      <c r="BA356" s="942"/>
      <c r="BB356" s="942"/>
      <c r="BC356" s="942"/>
      <c r="BD356" s="942"/>
      <c r="BE356" s="942"/>
      <c r="BF356" s="942"/>
      <c r="BG356" s="942"/>
      <c r="BH356" s="942"/>
      <c r="BI356" s="942"/>
      <c r="BJ356" s="942"/>
      <c r="BK356" s="942"/>
      <c r="BL356" s="942"/>
      <c r="BM356" s="942"/>
      <c r="BN356" s="7720"/>
      <c r="BO356" s="7724" t="str">
        <f>IF(_xlfn.IFERROR(INDEX(Административные!$K$26:$L$122,MATCH($F356&amp;"5komm",Административные!$K$26:$K$122,0),2),"")=0,"",_xlfn.IFERROR(INDEX(Административные!$K$26:$L$122,MATCH($F356&amp;"5komm",Административные!$K$26:$K$122,0),2),""))</f>
        <v/>
      </c>
      <c r="BP356" s="7720"/>
      <c r="BQ356" s="1278"/>
      <c r="BR356" s="1278"/>
      <c r="BS356" s="1062" t="s">
        <v>2522</v>
      </c>
      <c r="BT356" s="1064"/>
      <c r="BU356" s="1064"/>
      <c r="BV356" s="979"/>
      <c r="BW356" s="979"/>
    </row>
    <row s="1834" customFormat="1" customHeight="1" ht="14.25">
      <c r="A357" s="1278"/>
      <c r="B357" s="978"/>
      <c r="C357" s="1278"/>
      <c r="D357" s="1278"/>
      <c r="E357" s="703">
        <v>15</v>
      </c>
      <c r="F357" s="50" cm="1" t="str">
        <f t="array" ref="F357:F357">OFFSET(E357,-1,1)</f>
        <v>2</v>
      </c>
      <c r="G357" s="49" t="s">
        <v>1956</v>
      </c>
      <c r="H357" s="378"/>
      <c r="I357" s="378" t="s">
        <v>2717</v>
      </c>
      <c r="J357" s="1278"/>
      <c r="K357" s="378" t="s">
        <v>2717</v>
      </c>
      <c r="L357" s="980" t="s">
        <v>1940</v>
      </c>
      <c r="M357" s="107"/>
      <c r="N357" s="1278"/>
      <c r="O357" s="1278"/>
      <c r="P357" s="1278"/>
      <c r="Q357" s="158" t="s">
        <v>2947</v>
      </c>
      <c r="R357" s="161" t="s">
        <v>2947</v>
      </c>
      <c r="S357" s="1278"/>
      <c r="T357" s="465" cm="1" t="str">
        <f t="array" ref="T357:T357">T356</f>
        <v>true</v>
      </c>
      <c r="U357" s="1278"/>
      <c r="V357" s="1278"/>
      <c r="W357" s="1278"/>
      <c r="X357" s="1563"/>
      <c r="Y357" s="1278"/>
      <c r="Z357" s="1546"/>
      <c r="AA357" s="1278"/>
      <c r="AB357" s="299" t="s">
        <v>2718</v>
      </c>
      <c r="AC357" s="765" t="s">
        <v>2719</v>
      </c>
      <c r="AD357" s="300" t="s">
        <v>1514</v>
      </c>
      <c r="AE357" s="943">
        <f>SUM(AE358:AE360)</f>
        <v>0</v>
      </c>
      <c r="AF357" s="943">
        <f>SUM(AF358:AF360)</f>
        <v>0</v>
      </c>
      <c r="AG357" s="943">
        <f>SUM(AG358:AG360)</f>
        <v>0</v>
      </c>
      <c r="AH357" s="943">
        <f>AG357-AF357</f>
        <v>0</v>
      </c>
      <c r="AI357" s="7687">
        <f>SUM(AI358:AI360)</f>
        <v>0</v>
      </c>
      <c r="AJ357" s="7721"/>
      <c r="AK357" s="942"/>
      <c r="AL357" s="942"/>
      <c r="AM357" s="942"/>
      <c r="AN357" s="942"/>
      <c r="AO357" s="942"/>
      <c r="AP357" s="942"/>
      <c r="AQ357" s="942"/>
      <c r="AR357" s="942"/>
      <c r="AS357" s="942"/>
      <c r="AT357" s="942"/>
      <c r="AU357" s="942"/>
      <c r="AV357" s="942"/>
      <c r="AW357" s="942"/>
      <c r="AX357" s="942"/>
      <c r="AY357" s="942"/>
      <c r="AZ357" s="942"/>
      <c r="BA357" s="942"/>
      <c r="BB357" s="942"/>
      <c r="BC357" s="942"/>
      <c r="BD357" s="942"/>
      <c r="BE357" s="942"/>
      <c r="BF357" s="942"/>
      <c r="BG357" s="942"/>
      <c r="BH357" s="942"/>
      <c r="BI357" s="942"/>
      <c r="BJ357" s="942"/>
      <c r="BK357" s="942"/>
      <c r="BL357" s="942"/>
      <c r="BM357" s="942"/>
      <c r="BN357" s="7720"/>
      <c r="BO357" s="7724" t="str">
        <f>IF(_xlfn.IFERROR(INDEX(Административные!$K$26:$L$122,MATCH($F357&amp;"6komm",Административные!$K$26:$K$122,0),2),"")=0,"",_xlfn.IFERROR(INDEX(Административные!$K$26:$L$122,MATCH($F357&amp;"6komm",Административные!$K$26:$K$122,0),2),""))</f>
        <v/>
      </c>
      <c r="BP357" s="7720"/>
      <c r="BQ357" s="1278"/>
      <c r="BR357" s="1278"/>
      <c r="BS357" s="1062" t="s">
        <v>2524</v>
      </c>
      <c r="BT357" s="1064"/>
      <c r="BU357" s="1064"/>
      <c r="BV357" s="979"/>
      <c r="BW357" s="979"/>
    </row>
    <row s="1834" customFormat="1" customHeight="1" ht="14.25">
      <c r="A358" s="1278"/>
      <c r="B358" s="978"/>
      <c r="C358" s="1278"/>
      <c r="D358" s="1278"/>
      <c r="E358" s="703">
        <v>15</v>
      </c>
      <c r="F358" s="50" cm="1" t="str">
        <f t="array" ref="F358:F358">OFFSET(E358,-1,1)</f>
        <v>2</v>
      </c>
      <c r="G358" s="49" t="s">
        <v>1958</v>
      </c>
      <c r="H358" s="378"/>
      <c r="I358" s="378" t="s">
        <v>2720</v>
      </c>
      <c r="J358" s="1278"/>
      <c r="K358" s="378" t="s">
        <v>2720</v>
      </c>
      <c r="L358" s="980" t="s">
        <v>2525</v>
      </c>
      <c r="M358" s="107"/>
      <c r="N358" s="1278"/>
      <c r="O358" s="1278"/>
      <c r="P358" s="1278"/>
      <c r="Q358" s="158" t="s">
        <v>2947</v>
      </c>
      <c r="R358" s="161" t="s">
        <v>2947</v>
      </c>
      <c r="S358" s="1278"/>
      <c r="T358" s="465" cm="1" t="str">
        <f t="array" ref="T358:T358">T357</f>
        <v>true</v>
      </c>
      <c r="U358" s="1278"/>
      <c r="V358" s="1278"/>
      <c r="W358" s="1278"/>
      <c r="X358" s="1563"/>
      <c r="Y358" s="1278"/>
      <c r="Z358" s="1546"/>
      <c r="AA358" s="1278"/>
      <c r="AB358" s="299" t="s">
        <v>2721</v>
      </c>
      <c r="AC358" s="768" t="s">
        <v>2527</v>
      </c>
      <c r="AD358" s="300" t="s">
        <v>1514</v>
      </c>
      <c r="AE358" s="7723"/>
      <c r="AF358" s="7723"/>
      <c r="AG358" s="7723"/>
      <c r="AH358" s="943">
        <f>AG358-AF358</f>
        <v>0</v>
      </c>
      <c r="AI358" s="7691"/>
      <c r="AJ358" s="7721"/>
      <c r="AK358" s="942"/>
      <c r="AL358" s="942"/>
      <c r="AM358" s="942"/>
      <c r="AN358" s="942"/>
      <c r="AO358" s="942"/>
      <c r="AP358" s="942"/>
      <c r="AQ358" s="942"/>
      <c r="AR358" s="942"/>
      <c r="AS358" s="942"/>
      <c r="AT358" s="942"/>
      <c r="AU358" s="942"/>
      <c r="AV358" s="942"/>
      <c r="AW358" s="942"/>
      <c r="AX358" s="942"/>
      <c r="AY358" s="942"/>
      <c r="AZ358" s="942"/>
      <c r="BA358" s="942"/>
      <c r="BB358" s="942"/>
      <c r="BC358" s="942"/>
      <c r="BD358" s="942"/>
      <c r="BE358" s="942"/>
      <c r="BF358" s="942"/>
      <c r="BG358" s="942"/>
      <c r="BH358" s="942"/>
      <c r="BI358" s="942"/>
      <c r="BJ358" s="942"/>
      <c r="BK358" s="942"/>
      <c r="BL358" s="942"/>
      <c r="BM358" s="942"/>
      <c r="BN358" s="7720"/>
      <c r="BO358" s="7724" t="str">
        <f>IF(_xlfn.IFERROR(INDEX(Административные!$K$26:$L$122,MATCH($F358&amp;"7komm",Административные!$K$26:$K$122,0),2),"")=0,"",_xlfn.IFERROR(INDEX(Административные!$K$26:$L$122,MATCH($F358&amp;"7komm",Административные!$K$26:$K$122,0),2),""))</f>
        <v/>
      </c>
      <c r="BP358" s="7720"/>
      <c r="BQ358" s="1278"/>
      <c r="BR358" s="1278"/>
      <c r="BS358" s="1062" t="s">
        <v>2528</v>
      </c>
      <c r="BT358" s="1064"/>
      <c r="BU358" s="1064"/>
      <c r="BV358" s="979"/>
      <c r="BW358" s="979"/>
    </row>
    <row s="1834" customFormat="1" customHeight="1" ht="14.25">
      <c r="A359" s="1278"/>
      <c r="B359" s="978"/>
      <c r="C359" s="1278"/>
      <c r="D359" s="1278"/>
      <c r="E359" s="703">
        <v>15</v>
      </c>
      <c r="F359" s="50" cm="1" t="str">
        <f t="array" ref="F359:F359">OFFSET(E359,-1,1)</f>
        <v>2</v>
      </c>
      <c r="G359" s="49" t="s">
        <v>1961</v>
      </c>
      <c r="H359" s="378"/>
      <c r="I359" s="378" t="s">
        <v>2722</v>
      </c>
      <c r="J359" s="1278"/>
      <c r="K359" s="378" t="s">
        <v>2722</v>
      </c>
      <c r="L359" s="980" t="s">
        <v>2529</v>
      </c>
      <c r="M359" s="107"/>
      <c r="N359" s="1278"/>
      <c r="O359" s="1278"/>
      <c r="P359" s="1278"/>
      <c r="Q359" s="158" t="s">
        <v>2947</v>
      </c>
      <c r="R359" s="161" t="s">
        <v>2947</v>
      </c>
      <c r="S359" s="1278"/>
      <c r="T359" s="465" cm="1" t="str">
        <f t="array" ref="T359:T359">T358</f>
        <v>true</v>
      </c>
      <c r="U359" s="1278"/>
      <c r="V359" s="1278"/>
      <c r="W359" s="1278"/>
      <c r="X359" s="1563"/>
      <c r="Y359" s="1278"/>
      <c r="Z359" s="1546"/>
      <c r="AA359" s="1278"/>
      <c r="AB359" s="299" t="s">
        <v>2723</v>
      </c>
      <c r="AC359" s="768" t="s">
        <v>1962</v>
      </c>
      <c r="AD359" s="300" t="s">
        <v>1514</v>
      </c>
      <c r="AE359" s="7723"/>
      <c r="AF359" s="7723"/>
      <c r="AG359" s="7723"/>
      <c r="AH359" s="943">
        <f>AG359-AF359</f>
        <v>0</v>
      </c>
      <c r="AI359" s="7691"/>
      <c r="AJ359" s="7721"/>
      <c r="AK359" s="942"/>
      <c r="AL359" s="942"/>
      <c r="AM359" s="942"/>
      <c r="AN359" s="942"/>
      <c r="AO359" s="942"/>
      <c r="AP359" s="942"/>
      <c r="AQ359" s="942"/>
      <c r="AR359" s="942"/>
      <c r="AS359" s="942"/>
      <c r="AT359" s="942"/>
      <c r="AU359" s="942"/>
      <c r="AV359" s="942"/>
      <c r="AW359" s="942"/>
      <c r="AX359" s="942"/>
      <c r="AY359" s="942"/>
      <c r="AZ359" s="942"/>
      <c r="BA359" s="942"/>
      <c r="BB359" s="942"/>
      <c r="BC359" s="942"/>
      <c r="BD359" s="942"/>
      <c r="BE359" s="942"/>
      <c r="BF359" s="942"/>
      <c r="BG359" s="942"/>
      <c r="BH359" s="942"/>
      <c r="BI359" s="942"/>
      <c r="BJ359" s="942"/>
      <c r="BK359" s="942"/>
      <c r="BL359" s="942"/>
      <c r="BM359" s="942"/>
      <c r="BN359" s="7720"/>
      <c r="BO359" s="7724" t="str">
        <f>IF(_xlfn.IFERROR(INDEX(Административные!$K$26:$L$122,MATCH($F359&amp;"8komm",Административные!$K$26:$K$122,0),2),"")=0,"",_xlfn.IFERROR(INDEX(Административные!$K$26:$L$122,MATCH($F359&amp;"8komm",Административные!$K$26:$K$122,0),2),""))</f>
        <v/>
      </c>
      <c r="BP359" s="7720"/>
      <c r="BQ359" s="1278"/>
      <c r="BR359" s="1278"/>
      <c r="BS359" s="1062" t="s">
        <v>2531</v>
      </c>
      <c r="BT359" s="1064"/>
      <c r="BU359" s="1064"/>
      <c r="BV359" s="979"/>
      <c r="BW359" s="979"/>
    </row>
    <row s="1834" customFormat="1" customHeight="1" ht="14.25">
      <c r="A360" s="1278"/>
      <c r="B360" s="978"/>
      <c r="C360" s="1278"/>
      <c r="D360" s="1278"/>
      <c r="E360" s="703">
        <v>15</v>
      </c>
      <c r="F360" s="50" cm="1" t="str">
        <f t="array" ref="F360:F360">OFFSET(E360,-1,1)</f>
        <v>2</v>
      </c>
      <c r="G360" s="158" t="s">
        <v>1964</v>
      </c>
      <c r="H360" s="378"/>
      <c r="I360" s="378" t="s">
        <v>2724</v>
      </c>
      <c r="J360" s="1278"/>
      <c r="K360" s="378" t="s">
        <v>2724</v>
      </c>
      <c r="L360" s="980" t="s">
        <v>2532</v>
      </c>
      <c r="M360" s="107"/>
      <c r="N360" s="1278"/>
      <c r="O360" s="1278"/>
      <c r="P360" s="1278"/>
      <c r="Q360" s="158" t="s">
        <v>2947</v>
      </c>
      <c r="R360" s="161" t="s">
        <v>2947</v>
      </c>
      <c r="S360" s="1278"/>
      <c r="T360" s="465" cm="1" t="str">
        <f t="array" ref="T360:T360">T359</f>
        <v>true</v>
      </c>
      <c r="U360" s="1278"/>
      <c r="V360" s="1278"/>
      <c r="W360" s="1278"/>
      <c r="X360" s="1563"/>
      <c r="Y360" s="1278"/>
      <c r="Z360" s="1546"/>
      <c r="AA360" s="1278"/>
      <c r="AB360" s="299" t="s">
        <v>2725</v>
      </c>
      <c r="AC360" s="768" t="s">
        <v>1965</v>
      </c>
      <c r="AD360" s="300" t="s">
        <v>1514</v>
      </c>
      <c r="AE360" s="7723"/>
      <c r="AF360" s="7723"/>
      <c r="AG360" s="7723"/>
      <c r="AH360" s="943">
        <f>AG360-AF360</f>
        <v>0</v>
      </c>
      <c r="AI360" s="7691"/>
      <c r="AJ360" s="1354"/>
      <c r="AK360" s="942"/>
      <c r="AL360" s="942"/>
      <c r="AM360" s="942"/>
      <c r="AN360" s="942"/>
      <c r="AO360" s="942"/>
      <c r="AP360" s="942"/>
      <c r="AQ360" s="942"/>
      <c r="AR360" s="942"/>
      <c r="AS360" s="942"/>
      <c r="AT360" s="942"/>
      <c r="AU360" s="942"/>
      <c r="AV360" s="942"/>
      <c r="AW360" s="942"/>
      <c r="AX360" s="942"/>
      <c r="AY360" s="942"/>
      <c r="AZ360" s="942"/>
      <c r="BA360" s="942"/>
      <c r="BB360" s="942"/>
      <c r="BC360" s="942"/>
      <c r="BD360" s="942"/>
      <c r="BE360" s="942"/>
      <c r="BF360" s="942"/>
      <c r="BG360" s="942"/>
      <c r="BH360" s="942"/>
      <c r="BI360" s="942"/>
      <c r="BJ360" s="942"/>
      <c r="BK360" s="942"/>
      <c r="BL360" s="942"/>
      <c r="BM360" s="942"/>
      <c r="BN360" s="7720"/>
      <c r="BO360" s="7724" t="str">
        <f>IF(_xlfn.IFERROR(INDEX(Административные!$K$26:$L$122,MATCH($F360&amp;"9komm",Административные!$K$26:$K$122,0),2),"")=0,"",_xlfn.IFERROR(INDEX(Административные!$K$26:$L$122,MATCH($F360&amp;"9komm",Административные!$K$26:$K$122,0),2),""))</f>
        <v/>
      </c>
      <c r="BP360" s="7720"/>
      <c r="BQ360" s="1278"/>
      <c r="BR360" s="1278"/>
      <c r="BS360" s="1062" t="s">
        <v>2534</v>
      </c>
      <c r="BT360" s="1064"/>
      <c r="BU360" s="1064"/>
      <c r="BV360" s="979"/>
      <c r="BW360" s="979"/>
    </row>
    <row s="1834" customFormat="1" customHeight="1" ht="21.75">
      <c r="A361" s="1278"/>
      <c r="B361" s="432">
        <f>STATUS_GO="да"</f>
        <v>1</v>
      </c>
      <c r="C361" s="1278"/>
      <c r="D361" s="1278"/>
      <c r="E361" s="703">
        <v>22.5</v>
      </c>
      <c r="F361" s="50" cm="1" t="str">
        <f t="array" ref="F361:F361">OFFSET(E361,-1,1)</f>
        <v>2</v>
      </c>
      <c r="G361" s="1278"/>
      <c r="H361" s="378"/>
      <c r="I361" s="378" t="s">
        <v>1640</v>
      </c>
      <c r="J361" s="1278"/>
      <c r="K361" s="378" t="s">
        <v>1640</v>
      </c>
      <c r="L361" s="980" t="s">
        <v>336</v>
      </c>
      <c r="M361" s="107"/>
      <c r="N361" s="1278"/>
      <c r="O361" s="1278"/>
      <c r="P361" s="1278"/>
      <c r="Q361" s="158" t="s">
        <v>2947</v>
      </c>
      <c r="R361" s="161" t="s">
        <v>2947</v>
      </c>
      <c r="S361" s="1278"/>
      <c r="T361" s="465" cm="1" t="str">
        <f t="array" ref="T361:T361">T360</f>
        <v>true</v>
      </c>
      <c r="U361" s="1278"/>
      <c r="V361" s="1278"/>
      <c r="W361" s="1278"/>
      <c r="X361" s="1563"/>
      <c r="Y361" s="1278"/>
      <c r="Z361" s="1546"/>
      <c r="AA361" s="1278"/>
      <c r="AB361" s="299" t="s">
        <v>1641</v>
      </c>
      <c r="AC361" s="762" t="s">
        <v>2726</v>
      </c>
      <c r="AD361" s="300" t="s">
        <v>1514</v>
      </c>
      <c r="AE361" s="7723"/>
      <c r="AF361" s="7723"/>
      <c r="AG361" s="7723"/>
      <c r="AH361" s="943">
        <f>AG361-AF361</f>
        <v>0</v>
      </c>
      <c r="AI361" s="7691"/>
      <c r="AJ361" s="7721"/>
      <c r="AK361" s="942"/>
      <c r="AL361" s="942"/>
      <c r="AM361" s="942"/>
      <c r="AN361" s="942"/>
      <c r="AO361" s="942"/>
      <c r="AP361" s="942"/>
      <c r="AQ361" s="942"/>
      <c r="AR361" s="942"/>
      <c r="AS361" s="942"/>
      <c r="AT361" s="942"/>
      <c r="AU361" s="942"/>
      <c r="AV361" s="942"/>
      <c r="AW361" s="942"/>
      <c r="AX361" s="942"/>
      <c r="AY361" s="942"/>
      <c r="AZ361" s="942"/>
      <c r="BA361" s="942"/>
      <c r="BB361" s="942"/>
      <c r="BC361" s="942"/>
      <c r="BD361" s="942"/>
      <c r="BE361" s="942"/>
      <c r="BF361" s="942"/>
      <c r="BG361" s="942"/>
      <c r="BH361" s="942"/>
      <c r="BI361" s="942"/>
      <c r="BJ361" s="942"/>
      <c r="BK361" s="942"/>
      <c r="BL361" s="942"/>
      <c r="BM361" s="942"/>
      <c r="BN361" s="7720"/>
      <c r="BO361" s="7720"/>
      <c r="BP361" s="7720"/>
      <c r="BQ361" s="1278"/>
      <c r="BR361" s="1278"/>
      <c r="BS361" s="1063" t="s">
        <v>2536</v>
      </c>
      <c r="BT361" s="1064"/>
      <c r="BU361" s="1064"/>
      <c r="BV361" s="979"/>
      <c r="BW361" s="979"/>
    </row>
    <row s="1834" customFormat="1" customHeight="1" ht="14.25">
      <c r="A362" s="1278"/>
      <c r="B362" s="978"/>
      <c r="C362" s="1278"/>
      <c r="D362" s="1278"/>
      <c r="E362" s="703">
        <v>15</v>
      </c>
      <c r="F362" s="50" cm="1" t="str">
        <f t="array" ref="F362:F362">OFFSET(E362,-1,1)</f>
        <v>2</v>
      </c>
      <c r="G362" s="1278"/>
      <c r="H362" s="378"/>
      <c r="I362" s="378" t="s">
        <v>2475</v>
      </c>
      <c r="J362" s="1278"/>
      <c r="K362" s="378" t="s">
        <v>2475</v>
      </c>
      <c r="L362" s="980"/>
      <c r="M362" s="107"/>
      <c r="N362" s="1278"/>
      <c r="O362" s="1278"/>
      <c r="P362" s="1278"/>
      <c r="Q362" s="158" t="s">
        <v>2947</v>
      </c>
      <c r="R362" s="161" t="s">
        <v>2947</v>
      </c>
      <c r="S362" s="1278"/>
      <c r="T362" s="465" cm="1" t="str">
        <f t="array" ref="T362:T362">T361</f>
        <v>true</v>
      </c>
      <c r="U362" s="1278"/>
      <c r="V362" s="1278"/>
      <c r="W362" s="1278"/>
      <c r="X362" s="1563"/>
      <c r="Y362" s="1278"/>
      <c r="Z362" s="1546"/>
      <c r="AA362" s="1278"/>
      <c r="AB362" s="299" t="s">
        <v>2476</v>
      </c>
      <c r="AC362" s="762" t="s">
        <v>2727</v>
      </c>
      <c r="AD362" s="300" t="s">
        <v>1514</v>
      </c>
      <c r="AE362" s="7723"/>
      <c r="AF362" s="7723"/>
      <c r="AG362" s="7723"/>
      <c r="AH362" s="943">
        <f>AG362-AF362</f>
        <v>0</v>
      </c>
      <c r="AI362" s="7691"/>
      <c r="AJ362" s="7721"/>
      <c r="AK362" s="942"/>
      <c r="AL362" s="942"/>
      <c r="AM362" s="942"/>
      <c r="AN362" s="942"/>
      <c r="AO362" s="942"/>
      <c r="AP362" s="942"/>
      <c r="AQ362" s="942"/>
      <c r="AR362" s="942"/>
      <c r="AS362" s="942"/>
      <c r="AT362" s="942"/>
      <c r="AU362" s="942"/>
      <c r="AV362" s="942"/>
      <c r="AW362" s="942"/>
      <c r="AX362" s="942"/>
      <c r="AY362" s="942"/>
      <c r="AZ362" s="942"/>
      <c r="BA362" s="942"/>
      <c r="BB362" s="942"/>
      <c r="BC362" s="942"/>
      <c r="BD362" s="942"/>
      <c r="BE362" s="942"/>
      <c r="BF362" s="942"/>
      <c r="BG362" s="942"/>
      <c r="BH362" s="942"/>
      <c r="BI362" s="942"/>
      <c r="BJ362" s="942"/>
      <c r="BK362" s="942"/>
      <c r="BL362" s="942"/>
      <c r="BM362" s="942"/>
      <c r="BN362" s="7720"/>
      <c r="BO362" s="7720"/>
      <c r="BP362" s="7720"/>
      <c r="BQ362" s="1278"/>
      <c r="BR362" s="1278"/>
      <c r="BS362" s="1064" t="s">
        <v>2728</v>
      </c>
      <c r="BT362" s="1064"/>
      <c r="BU362" s="1064"/>
      <c r="BV362" s="979"/>
      <c r="BW362" s="979"/>
    </row>
    <row s="7794" customFormat="1" customHeight="1" ht="20.25">
      <c r="A363" s="700"/>
      <c r="B363" s="435"/>
      <c r="C363" s="700"/>
      <c r="D363" s="700"/>
      <c r="E363" s="707">
        <v>21</v>
      </c>
      <c r="F363" s="50" cm="1" t="str">
        <f t="array" ref="F363:F363">OFFSET(E363,-1,1)</f>
        <v>2</v>
      </c>
      <c r="G363" s="700"/>
      <c r="H363" s="378"/>
      <c r="I363" s="378" t="s">
        <v>2479</v>
      </c>
      <c r="J363" s="700"/>
      <c r="K363" s="378" t="s">
        <v>2479</v>
      </c>
      <c r="L363" s="985"/>
      <c r="M363" s="109"/>
      <c r="N363" s="700"/>
      <c r="O363" s="700"/>
      <c r="P363" s="700"/>
      <c r="Q363" s="158" t="s">
        <v>2947</v>
      </c>
      <c r="R363" s="161" t="s">
        <v>2947</v>
      </c>
      <c r="S363" s="700"/>
      <c r="T363" s="465" cm="1" t="str">
        <f t="array" ref="T363:T363">T362</f>
        <v>true</v>
      </c>
      <c r="U363" s="700"/>
      <c r="V363" s="700"/>
      <c r="W363" s="700"/>
      <c r="X363" s="1563"/>
      <c r="Y363" s="700"/>
      <c r="Z363" s="1546"/>
      <c r="AA363" s="700"/>
      <c r="AB363" s="218" t="s">
        <v>2480</v>
      </c>
      <c r="AC363" s="361" t="s">
        <v>2729</v>
      </c>
      <c r="AD363" s="211" t="s">
        <v>1514</v>
      </c>
      <c r="AE363" s="770">
        <f>SUM(AE364:AE365)</f>
        <v>0</v>
      </c>
      <c r="AF363" s="770">
        <f>SUM(AF364:AF365)</f>
        <v>0</v>
      </c>
      <c r="AG363" s="770">
        <f>SUM(AG364:AG365)</f>
        <v>0</v>
      </c>
      <c r="AH363" s="761">
        <f>AG363-AF363</f>
        <v>0</v>
      </c>
      <c r="AI363" s="7697">
        <f>SUM(AI364:AI365)</f>
        <v>0</v>
      </c>
      <c r="AJ363" s="7721"/>
      <c r="AK363" s="764"/>
      <c r="AL363" s="764"/>
      <c r="AM363" s="764"/>
      <c r="AN363" s="764"/>
      <c r="AO363" s="764"/>
      <c r="AP363" s="764"/>
      <c r="AQ363" s="764"/>
      <c r="AR363" s="764"/>
      <c r="AS363" s="764"/>
      <c r="AT363" s="942"/>
      <c r="AU363" s="942"/>
      <c r="AV363" s="764"/>
      <c r="AW363" s="764"/>
      <c r="AX363" s="764"/>
      <c r="AY363" s="764"/>
      <c r="AZ363" s="764"/>
      <c r="BA363" s="764"/>
      <c r="BB363" s="764"/>
      <c r="BC363" s="764"/>
      <c r="BD363" s="764"/>
      <c r="BE363" s="764"/>
      <c r="BF363" s="764"/>
      <c r="BG363" s="764"/>
      <c r="BH363" s="764"/>
      <c r="BI363" s="764"/>
      <c r="BJ363" s="764"/>
      <c r="BK363" s="764"/>
      <c r="BL363" s="764"/>
      <c r="BM363" s="764"/>
      <c r="BN363" s="7722"/>
      <c r="BO363" s="7722"/>
      <c r="BP363" s="7722"/>
      <c r="BQ363" s="700"/>
      <c r="BR363" s="700"/>
      <c r="BS363" s="1070" t="s">
        <v>2730</v>
      </c>
      <c r="BT363" s="1070"/>
      <c r="BU363" s="1070"/>
      <c r="BV363" s="707"/>
      <c r="BW363" s="707"/>
    </row>
    <row s="1834" customFormat="1" customHeight="1" ht="14.25" hidden="1">
      <c r="A364" s="1278"/>
      <c r="B364" s="978"/>
      <c r="C364" s="1278"/>
      <c r="D364" s="1278"/>
      <c r="E364" s="703">
        <v>15</v>
      </c>
      <c r="F364" s="50" cm="1" t="str">
        <f t="array" ref="F364:F364">OFFSET(E364,-1,1)</f>
        <v>2</v>
      </c>
      <c r="G364" s="1278"/>
      <c r="H364" s="1278"/>
      <c r="I364" s="378" t="s">
        <v>2479</v>
      </c>
      <c r="J364" s="158" cm="1" t="str">
        <f t="array" ref="J364:J364">AC364</f>
        <v>0</v>
      </c>
      <c r="K364" s="378" t="s">
        <v>2479</v>
      </c>
      <c r="L364" s="980"/>
      <c r="M364" s="107"/>
      <c r="N364" s="1278"/>
      <c r="O364" s="1278"/>
      <c r="P364" s="1278"/>
      <c r="Q364" s="158" t="s">
        <v>2947</v>
      </c>
      <c r="R364" s="161" t="s">
        <v>2947</v>
      </c>
      <c r="S364" s="1278"/>
      <c r="T364" s="465">
        <f>AND(F364&gt;0,Y364&gt;0)</f>
        <v>0</v>
      </c>
      <c r="U364" s="1278"/>
      <c r="V364" s="1278"/>
      <c r="W364" s="158" t="s">
        <v>174</v>
      </c>
      <c r="X364" s="1563"/>
      <c r="Y364" s="158">
        <v>0</v>
      </c>
      <c r="Z364" s="1546"/>
      <c r="AA364" s="420" t="s">
        <v>175</v>
      </c>
      <c r="AB364" s="300" t="str">
        <f>"1.7."&amp;Y364</f>
        <v>1.7.0</v>
      </c>
      <c r="AC364" s="1243"/>
      <c r="AD364" s="300" t="s">
        <v>1514</v>
      </c>
      <c r="AE364" s="1255"/>
      <c r="AF364" s="1255"/>
      <c r="AG364" s="1255"/>
      <c r="AH364" s="259">
        <f>AG364-AF364</f>
        <v>0</v>
      </c>
      <c r="AI364" s="7699"/>
      <c r="AJ364" s="1255"/>
      <c r="AK364" s="945"/>
      <c r="AL364" s="945"/>
      <c r="AM364" s="945"/>
      <c r="AN364" s="945"/>
      <c r="AO364" s="945"/>
      <c r="AP364" s="945"/>
      <c r="AQ364" s="945"/>
      <c r="AR364" s="945"/>
      <c r="AS364" s="945"/>
      <c r="AT364" s="942"/>
      <c r="AU364" s="945"/>
      <c r="AV364" s="945"/>
      <c r="AW364" s="945"/>
      <c r="AX364" s="945"/>
      <c r="AY364" s="945"/>
      <c r="AZ364" s="945"/>
      <c r="BA364" s="945"/>
      <c r="BB364" s="945"/>
      <c r="BC364" s="945"/>
      <c r="BD364" s="764"/>
      <c r="BE364" s="945"/>
      <c r="BF364" s="945"/>
      <c r="BG364" s="945"/>
      <c r="BH364" s="945"/>
      <c r="BI364" s="945"/>
      <c r="BJ364" s="945"/>
      <c r="BK364" s="945"/>
      <c r="BL364" s="945"/>
      <c r="BM364" s="945"/>
      <c r="BN364" s="1256"/>
      <c r="BO364" s="1256"/>
      <c r="BP364" s="1256"/>
      <c r="BQ364" s="1278"/>
      <c r="BR364" s="1278"/>
      <c r="BS364" s="1064" t="s">
        <v>2730</v>
      </c>
      <c r="BT364" s="1064" t="s">
        <v>2731</v>
      </c>
      <c r="BU364" s="1064" cm="1" t="str">
        <f t="array" ref="BU364:BU364">AC364</f>
        <v>0</v>
      </c>
      <c r="BV364" s="979"/>
      <c r="BW364" s="703" t="b">
        <v>1</v>
      </c>
    </row>
    <row s="1834" customFormat="1" customHeight="1" ht="14.25">
      <c r="A365" s="1278"/>
      <c r="B365" s="978"/>
      <c r="C365" s="1278"/>
      <c r="D365" s="1278"/>
      <c r="E365" s="703">
        <v>15</v>
      </c>
      <c r="F365" s="50" cm="1" t="str">
        <f t="array" ref="F365:F365">OFFSET(E365,-1,1)</f>
        <v>2</v>
      </c>
      <c r="G365" s="364"/>
      <c r="H365" s="1278"/>
      <c r="I365" s="1278"/>
      <c r="J365" s="158" t="s">
        <v>2732</v>
      </c>
      <c r="K365" s="1278"/>
      <c r="L365" s="980"/>
      <c r="M365" s="107"/>
      <c r="N365" s="1278"/>
      <c r="O365" s="1278"/>
      <c r="P365" s="1278"/>
      <c r="Q365" s="1278"/>
      <c r="R365" s="1278"/>
      <c r="S365" s="1278"/>
      <c r="T365" s="465">
        <f>F365&gt;0</f>
        <v>1</v>
      </c>
      <c r="U365" s="1278"/>
      <c r="V365" s="1278"/>
      <c r="W365" s="702" t="s">
        <v>2948</v>
      </c>
      <c r="X365" s="1563"/>
      <c r="Y365" s="1278"/>
      <c r="Z365" s="1546"/>
      <c r="AA365" s="1278"/>
      <c r="AB365" s="775"/>
      <c r="AC365" s="260" t="s">
        <v>178</v>
      </c>
      <c r="AD365" s="776"/>
      <c r="AE365" s="776"/>
      <c r="AF365" s="776"/>
      <c r="AG365" s="776"/>
      <c r="AH365" s="776"/>
      <c r="AI365" s="776"/>
      <c r="AJ365" s="776"/>
      <c r="AK365" s="776"/>
      <c r="AL365" s="776"/>
      <c r="AM365" s="776"/>
      <c r="AN365" s="776"/>
      <c r="AO365" s="776"/>
      <c r="AP365" s="776"/>
      <c r="AQ365" s="776"/>
      <c r="AR365" s="776"/>
      <c r="AS365" s="776"/>
      <c r="AT365" s="776"/>
      <c r="AU365" s="776"/>
      <c r="AV365" s="776"/>
      <c r="AW365" s="776"/>
      <c r="AX365" s="776"/>
      <c r="AY365" s="776"/>
      <c r="AZ365" s="776"/>
      <c r="BA365" s="776"/>
      <c r="BB365" s="776"/>
      <c r="BC365" s="776"/>
      <c r="BD365" s="776"/>
      <c r="BE365" s="776"/>
      <c r="BF365" s="776"/>
      <c r="BG365" s="776"/>
      <c r="BH365" s="776"/>
      <c r="BI365" s="776"/>
      <c r="BJ365" s="776"/>
      <c r="BK365" s="776"/>
      <c r="BL365" s="776"/>
      <c r="BM365" s="776"/>
      <c r="BN365" s="776"/>
      <c r="BO365" s="776"/>
      <c r="BP365" s="777"/>
      <c r="BQ365" s="1278"/>
      <c r="BR365" s="1278"/>
      <c r="BS365" s="1064"/>
      <c r="BT365" s="1064"/>
      <c r="BU365" s="1064"/>
      <c r="BV365" s="703" t="s">
        <v>2731</v>
      </c>
      <c r="BW365" s="979"/>
    </row>
    <row s="7836" customFormat="1" customHeight="1" ht="20.25">
      <c r="A366" s="700"/>
      <c r="B366" s="435"/>
      <c r="C366" s="700"/>
      <c r="D366" s="700"/>
      <c r="E366" s="707">
        <v>21</v>
      </c>
      <c r="F366" s="50" cm="1" t="str">
        <f t="array" ref="F366:F366">OFFSET(E366,-1,1)</f>
        <v>2</v>
      </c>
      <c r="G366" s="700"/>
      <c r="H366" s="158"/>
      <c r="I366" s="158" t="s">
        <v>333</v>
      </c>
      <c r="J366" s="700"/>
      <c r="K366" s="158" t="s">
        <v>333</v>
      </c>
      <c r="L366" s="985"/>
      <c r="M366" s="109"/>
      <c r="N366" s="700"/>
      <c r="O366" s="700"/>
      <c r="P366" s="700"/>
      <c r="Q366" s="700"/>
      <c r="R366" s="700"/>
      <c r="S366" s="700"/>
      <c r="T366" s="465" cm="1" t="str">
        <f t="array" ref="T366:T366">T365</f>
        <v>true</v>
      </c>
      <c r="U366" s="700"/>
      <c r="V366" s="700"/>
      <c r="W366" s="700"/>
      <c r="X366" s="1563"/>
      <c r="Y366" s="700"/>
      <c r="Z366" s="1546"/>
      <c r="AA366" s="700"/>
      <c r="AB366" s="247" t="s">
        <v>285</v>
      </c>
      <c r="AC366" s="212" t="s">
        <v>2733</v>
      </c>
      <c r="AD366" s="234" t="s">
        <v>1514</v>
      </c>
      <c r="AE366" s="213">
        <f>AE367+AE379+AE380++AE391+AE392+AE393+AE395+AE396+AE397+AE398+AE401</f>
        <v>0</v>
      </c>
      <c r="AF366" s="213">
        <f>AF367+AF379+AF380++AF391+AF392+AF393+AF395+AF396+AF397+AF398+AF401</f>
        <v>0</v>
      </c>
      <c r="AG366" s="213">
        <f>AG367+AG379+AG380++AG391+AG392+AG393+AG395+AG396+AG397+AG398+AG401</f>
        <v>0</v>
      </c>
      <c r="AH366" s="761">
        <f>AG366-AF366</f>
        <v>0</v>
      </c>
      <c r="AI366" s="770">
        <f>AI367+AI379+AI380++AI391+AI392+AI393+AI395+AI396+AI397+AI398+AI401</f>
        <v>0</v>
      </c>
      <c r="AJ366" s="770">
        <f>AJ367+AJ379+AJ380++AJ391+AJ392+AJ393+AJ395+AJ396+AJ397+AJ398+AJ401</f>
        <v>73415.4153028</v>
      </c>
      <c r="AK366" s="770">
        <f>AK367+AK379+AK380++AK391+AK392+AK393+AK395+AK396+AK397+AK398+AK401</f>
        <v>80552.4748106432</v>
      </c>
      <c r="AL366" s="770">
        <f>AL367+AL379+AL380++AL391+AL392+AL393+AL395+AL396+AL397+AL398+AL401</f>
        <v>83592.7250075476</v>
      </c>
      <c r="AM366" s="770">
        <f>AM367+AM379+AM380++AM391+AM392+AM393+AM395+AM396+AM397+AM398+AM401</f>
        <v>85963.4976898345</v>
      </c>
      <c r="AN366" s="770">
        <f>AN367+AN379+AN380++AN391+AN392+AN393+AN395+AN396+AN397+AN398+AN401</f>
        <v>88439.3102800482</v>
      </c>
      <c r="AO366" s="770">
        <f>AO367+AO379+AO380++AO391+AO392+AO393+AO395+AO396+AO397+AO398+AO401</f>
        <v>0</v>
      </c>
      <c r="AP366" s="770">
        <f>AP367+AP379+AP380++AP391+AP392+AP393+AP395+AP396+AP397+AP398+AP401</f>
        <v>0</v>
      </c>
      <c r="AQ366" s="770">
        <f>AQ367+AQ379+AQ380++AQ391+AQ392+AQ393+AQ395+AQ396+AQ397+AQ398+AQ401</f>
        <v>0</v>
      </c>
      <c r="AR366" s="770">
        <f>AR367+AR379+AR380++AR391+AR392+AR393+AR395+AR396+AR397+AR398+AR401</f>
        <v>0</v>
      </c>
      <c r="AS366" s="770">
        <f>AS367+AS379+AS380++AS391+AS392+AS393+AS395+AS396+AS397+AS398+AS401</f>
        <v>0</v>
      </c>
      <c r="AT366" s="770">
        <f>AT367+AT379+AT380++AT391+AT392+AT393+AT395+AT396+AT397+AT398+AT401</f>
        <v>73415.4153028</v>
      </c>
      <c r="AU366" s="770">
        <f>AU367+AU379+AU380++AU391+AU392+AU393+AU395+AU396+AU397+AU398+AU401</f>
        <v>80552.4748106432</v>
      </c>
      <c r="AV366" s="770">
        <f>AV367+AV379+AV380++AV391+AV392+AV393+AV395+AV396+AV397+AV398+AV401</f>
        <v>83592.8600575476</v>
      </c>
      <c r="AW366" s="770">
        <f>AW367+AW379+AW380++AW391+AW392+AW393+AW395+AW396+AW397+AW398+AW401</f>
        <v>85962.8063998345</v>
      </c>
      <c r="AX366" s="770">
        <f>AX367+AX379+AX380++AX391+AX392+AX393+AX395+AX396+AX397+AX398+AX401</f>
        <v>88530.4314000482</v>
      </c>
      <c r="AY366" s="770">
        <f>AY367+AY379+AY380++AY391+AY392+AY393+AY395+AY396+AY397+AY398+AY401</f>
        <v>0</v>
      </c>
      <c r="AZ366" s="770">
        <f>AZ367+AZ379+AZ380++AZ391+AZ392+AZ393+AZ395+AZ396+AZ397+AZ398+AZ401</f>
        <v>0</v>
      </c>
      <c r="BA366" s="770">
        <f>BA367+BA379+BA380++BA391+BA392+BA393+BA395+BA396+BA397+BA398+BA401</f>
        <v>0</v>
      </c>
      <c r="BB366" s="770">
        <f>BB367+BB379+BB380++BB391+BB392+BB393+BB395+BB396+BB397+BB398+BB401</f>
        <v>0</v>
      </c>
      <c r="BC366" s="770">
        <f>BC367+BC379+BC380++BC391+BC392+BC393+BC395+BC396+BC397+BC398+BC401</f>
        <v>0</v>
      </c>
      <c r="BD366" s="761">
        <f>IF(AI366=0,0,(AT366-AI366)/AI366*100)</f>
        <v>0</v>
      </c>
      <c r="BE366" s="761">
        <f>IF(AT366=0,0,(AU366-AT366)/AT366*100)</f>
        <v>9.72147263405999</v>
      </c>
      <c r="BF366" s="761">
        <f>IF(AU366=0,0,(AV366-AU366)/AU366*100)</f>
        <v>3.77441568871909</v>
      </c>
      <c r="BG366" s="761">
        <f>IF(AV366=0,0,(AW366-AV366)/AV366*100)</f>
        <v>2.83510618090512</v>
      </c>
      <c r="BH366" s="761">
        <f>IF(AW366=0,0,(AX366-AW366)/AW366*100)</f>
        <v>2.9869022519705</v>
      </c>
      <c r="BI366" s="761">
        <f>IF(AX366=0,0,(AY366-AX366)/AX366*100)</f>
        <v>-100</v>
      </c>
      <c r="BJ366" s="761">
        <f>IF(AY366=0,0,(AZ366-AY366)/AY366*100)</f>
        <v>0</v>
      </c>
      <c r="BK366" s="761">
        <f>IF(AZ366=0,0,(BA366-AZ366)/AZ366*100)</f>
        <v>0</v>
      </c>
      <c r="BL366" s="761">
        <f>IF(BA366=0,0,(BB366-BA366)/BA366*100)</f>
        <v>0</v>
      </c>
      <c r="BM366" s="761">
        <f>IF(BB366=0,0,(BC366-BB366)/BB366*100)</f>
        <v>0</v>
      </c>
      <c r="BN366" s="7771"/>
      <c r="BO366" s="7771"/>
      <c r="BP366" s="7771"/>
      <c r="BQ366" s="160"/>
      <c r="BR366" s="700"/>
      <c r="BS366" s="1070" t="s">
        <v>2734</v>
      </c>
      <c r="BT366" s="1070"/>
      <c r="BU366" s="1070"/>
      <c r="BV366" s="707"/>
      <c r="BW366" s="707"/>
    </row>
    <row s="7837" customFormat="1" customHeight="1" ht="21.75">
      <c r="A367" s="700"/>
      <c r="B367" s="435"/>
      <c r="C367" s="700"/>
      <c r="D367" s="700"/>
      <c r="E367" s="707">
        <v>22.5</v>
      </c>
      <c r="F367" s="50" cm="1" t="str">
        <f t="array" ref="F367:F367">OFFSET(E367,-1,1)</f>
        <v>2</v>
      </c>
      <c r="G367" s="700"/>
      <c r="H367" s="158"/>
      <c r="I367" s="158" t="s">
        <v>1193</v>
      </c>
      <c r="J367" s="700"/>
      <c r="K367" s="158" t="s">
        <v>1193</v>
      </c>
      <c r="L367" s="985" t="s">
        <v>1179</v>
      </c>
      <c r="M367" s="109"/>
      <c r="N367" s="700"/>
      <c r="O367" s="700"/>
      <c r="P367" s="700"/>
      <c r="Q367" s="700"/>
      <c r="R367" s="700"/>
      <c r="S367" s="700"/>
      <c r="T367" s="465" cm="1" t="str">
        <f t="array" ref="T367:T367">T366</f>
        <v>true</v>
      </c>
      <c r="U367" s="700"/>
      <c r="V367" s="700"/>
      <c r="W367" s="700"/>
      <c r="X367" s="1563"/>
      <c r="Y367" s="700"/>
      <c r="Z367" s="1546"/>
      <c r="AA367" s="700"/>
      <c r="AB367" s="218" t="s">
        <v>1250</v>
      </c>
      <c r="AC367" s="361" t="s">
        <v>2735</v>
      </c>
      <c r="AD367" s="211" t="s">
        <v>1514</v>
      </c>
      <c r="AE367" s="213">
        <f>SUM(AE368:AE378)</f>
        <v>0</v>
      </c>
      <c r="AF367" s="213">
        <f>SUM(AF368:AF378)</f>
        <v>0</v>
      </c>
      <c r="AG367" s="213">
        <f>SUM(AG368:AG378)</f>
        <v>0</v>
      </c>
      <c r="AH367" s="761">
        <f>AG367-AF367</f>
        <v>0</v>
      </c>
      <c r="AI367" s="213">
        <f>SUM(AI368:AI378)</f>
        <v>0</v>
      </c>
      <c r="AJ367" s="213">
        <f>SUM(AJ368:AJ378)</f>
        <v>73212.173294</v>
      </c>
      <c r="AK367" s="213">
        <f>SUM(AK368:AK378)</f>
        <v>80360.30505</v>
      </c>
      <c r="AL367" s="213">
        <f>SUM(AL368:AL378)</f>
        <v>83396.76</v>
      </c>
      <c r="AM367" s="213">
        <f>SUM(AM368:AM378)</f>
        <v>85566.07</v>
      </c>
      <c r="AN367" s="213">
        <f>SUM(AN368:AN378)</f>
        <v>88092.42</v>
      </c>
      <c r="AO367" s="213">
        <f>SUM(AO368:AO378)</f>
        <v>0</v>
      </c>
      <c r="AP367" s="213">
        <f>SUM(AP368:AP378)</f>
        <v>0</v>
      </c>
      <c r="AQ367" s="213">
        <f>SUM(AQ368:AQ378)</f>
        <v>0</v>
      </c>
      <c r="AR367" s="213">
        <f>SUM(AR368:AR378)</f>
        <v>0</v>
      </c>
      <c r="AS367" s="213">
        <f>SUM(AS368:AS378)</f>
        <v>0</v>
      </c>
      <c r="AT367" s="213">
        <f>SUM(AT368:AT378)</f>
        <v>73212.173294</v>
      </c>
      <c r="AU367" s="213">
        <f>SUM(AU368:AU378)</f>
        <v>80360.30505</v>
      </c>
      <c r="AV367" s="213">
        <f>SUM(AV368:AV378)</f>
        <v>83396.89505</v>
      </c>
      <c r="AW367" s="213">
        <f>SUM(AW368:AW378)</f>
        <v>85565.37871</v>
      </c>
      <c r="AX367" s="213">
        <f>SUM(AX368:AX378)</f>
        <v>88183.54112</v>
      </c>
      <c r="AY367" s="213">
        <f>SUM(AY368:AY378)</f>
        <v>0</v>
      </c>
      <c r="AZ367" s="213">
        <f>SUM(AZ368:AZ378)</f>
        <v>0</v>
      </c>
      <c r="BA367" s="213">
        <f>SUM(BA368:BA378)</f>
        <v>0</v>
      </c>
      <c r="BB367" s="213">
        <f>SUM(BB368:BB378)</f>
        <v>0</v>
      </c>
      <c r="BC367" s="213">
        <f>SUM(BC368:BC378)</f>
        <v>0</v>
      </c>
      <c r="BD367" s="761">
        <f>IF(AI367=0,0,(AT367-AI367)/AI367*100)</f>
        <v>0</v>
      </c>
      <c r="BE367" s="761">
        <f>IF(AT367=0,0,(AU367-AT367)/AT367*100)</f>
        <v>9.76358361511148</v>
      </c>
      <c r="BF367" s="761">
        <f>IF(AU367=0,0,(AV367-AU367)/AU367*100)</f>
        <v>3.77871885641879</v>
      </c>
      <c r="BG367" s="761">
        <f>IF(AV367=0,0,(AW367-AV367)/AV367*100)</f>
        <v>2.60019711609155</v>
      </c>
      <c r="BH367" s="761">
        <f>IF(AW367=0,0,(AX367-AW367)/AW367*100)</f>
        <v>3.05983851117345</v>
      </c>
      <c r="BI367" s="761">
        <f>IF(AX367=0,0,(AY367-AX367)/AX367*100)</f>
        <v>-100</v>
      </c>
      <c r="BJ367" s="761">
        <f>IF(AY367=0,0,(AZ367-AY367)/AY367*100)</f>
        <v>0</v>
      </c>
      <c r="BK367" s="761">
        <f>IF(AZ367=0,0,(BA367-AZ367)/AZ367*100)</f>
        <v>0</v>
      </c>
      <c r="BL367" s="761">
        <f>IF(BA367=0,0,(BB367-BA367)/BA367*100)</f>
        <v>0</v>
      </c>
      <c r="BM367" s="761">
        <f>IF(BB367=0,0,(BC367-BB367)/BB367*100)</f>
        <v>0</v>
      </c>
      <c r="BN367" s="7436"/>
      <c r="BO367" s="7436"/>
      <c r="BP367" s="7436"/>
      <c r="BQ367" s="700"/>
      <c r="BR367" s="700"/>
      <c r="BS367" s="1070" t="s">
        <v>2736</v>
      </c>
      <c r="BT367" s="1070"/>
      <c r="BU367" s="1070"/>
      <c r="BV367" s="707"/>
      <c r="BW367" s="707"/>
    </row>
    <row s="1834" customFormat="1" customHeight="1" ht="14.25">
      <c r="A368" s="1278"/>
      <c r="B368" s="978"/>
      <c r="C368" s="1278"/>
      <c r="D368" s="1278"/>
      <c r="E368" s="703">
        <v>15</v>
      </c>
      <c r="F368" s="50" cm="1" t="str">
        <f t="array" ref="F368:F368">OFFSET(E368,-1,1)</f>
        <v>2</v>
      </c>
      <c r="G368" s="158" t="s">
        <v>1819</v>
      </c>
      <c r="H368" s="1278"/>
      <c r="I368" s="158" t="s">
        <v>2295</v>
      </c>
      <c r="J368" s="1278"/>
      <c r="K368" s="158" t="s">
        <v>2295</v>
      </c>
      <c r="L368" s="980" t="s">
        <v>2071</v>
      </c>
      <c r="M368" s="107"/>
      <c r="N368" s="1278"/>
      <c r="O368" s="1278"/>
      <c r="P368" s="1278"/>
      <c r="Q368" s="1278"/>
      <c r="R368" s="1278"/>
      <c r="S368" s="1278"/>
      <c r="T368" s="465" cm="1" t="str">
        <f t="array" ref="T368:T368">T367</f>
        <v>true</v>
      </c>
      <c r="U368" s="1278"/>
      <c r="V368" s="1278"/>
      <c r="W368" s="1278"/>
      <c r="X368" s="1563"/>
      <c r="Y368" s="1278"/>
      <c r="Z368" s="1546"/>
      <c r="AA368" s="1278"/>
      <c r="AB368" s="299" t="s">
        <v>1201</v>
      </c>
      <c r="AC368" s="765" t="s">
        <v>2737</v>
      </c>
      <c r="AD368" s="300" t="s">
        <v>1514</v>
      </c>
      <c r="AE368" s="259">
        <f>_xlfn.SUMIFS(Покупка!AE$25:AE$372,Покупка!$F$25:$F$372,$F368,Покупка!$AC$25:$AC$372,$G368)</f>
        <v>0</v>
      </c>
      <c r="AF368" s="259">
        <f>_xlfn.SUMIFS(Покупка!AF$25:AF$372,Покупка!$F$25:$F$372,$F368,Покупка!$AC$25:$AC$372,$G368)</f>
        <v>0</v>
      </c>
      <c r="AG368" s="259">
        <f>_xlfn.SUMIFS(Покупка!AG$25:AG$372,Покупка!$F$25:$F$372,$F368,Покупка!$AC$25:$AC$372,$G368)</f>
        <v>0</v>
      </c>
      <c r="AH368" s="943">
        <f>AG368-AF368</f>
        <v>0</v>
      </c>
      <c r="AI368" s="943">
        <f>_xlfn.SUMIFS(Покупка!AH$25:AH$372,Покупка!$F$25:$F$372,$F368,Покупка!$AC$25:$AC$372,$G368)</f>
        <v>0</v>
      </c>
      <c r="AJ368" s="943">
        <f>_xlfn.SUMIFS(Покупка!AI$25:AI$372,Покупка!$F$25:$F$372,$F368,Покупка!$AC$25:$AC$372,$G368)</f>
        <v>0</v>
      </c>
      <c r="AK368" s="943">
        <f>_xlfn.SUMIFS(Покупка!AJ$25:AJ$372,Покупка!$F$25:$F$372,$F368,Покупка!$AC$25:$AC$372,$G368)</f>
        <v>0</v>
      </c>
      <c r="AL368" s="943">
        <f>_xlfn.SUMIFS(Покупка!AK$25:AK$372,Покупка!$F$25:$F$372,$F368,Покупка!$AC$25:$AC$372,$G368)</f>
        <v>0</v>
      </c>
      <c r="AM368" s="943">
        <f>_xlfn.SUMIFS(Покупка!AL$25:AL$372,Покупка!$F$25:$F$372,$F368,Покупка!$AC$25:$AC$372,$G368)</f>
        <v>0</v>
      </c>
      <c r="AN368" s="943">
        <f>_xlfn.SUMIFS(Покупка!AM$25:AM$372,Покупка!$F$25:$F$372,$F368,Покупка!$AC$25:$AC$372,$G368)</f>
        <v>0</v>
      </c>
      <c r="AO368" s="943">
        <f>_xlfn.SUMIFS(Покупка!AN$25:AN$372,Покупка!$F$25:$F$372,$F368,Покупка!$AC$25:$AC$372,$G368)</f>
        <v>0</v>
      </c>
      <c r="AP368" s="943">
        <f>_xlfn.SUMIFS(Покупка!AO$25:AO$372,Покупка!$F$25:$F$372,$F368,Покупка!$AC$25:$AC$372,$G368)</f>
        <v>0</v>
      </c>
      <c r="AQ368" s="943">
        <f>_xlfn.SUMIFS(Покупка!AP$25:AP$372,Покупка!$F$25:$F$372,$F368,Покупка!$AC$25:$AC$372,$G368)</f>
        <v>0</v>
      </c>
      <c r="AR368" s="943">
        <f>_xlfn.SUMIFS(Покупка!AQ$25:AQ$372,Покупка!$F$25:$F$372,$F368,Покупка!$AC$25:$AC$372,$G368)</f>
        <v>0</v>
      </c>
      <c r="AS368" s="943">
        <f>_xlfn.SUMIFS(Покупка!AR$25:AR$372,Покупка!$F$25:$F$372,$F368,Покупка!$AC$25:$AC$372,$G368)</f>
        <v>0</v>
      </c>
      <c r="AT368" s="943">
        <f>_xlfn.SUMIFS(Покупка!AS$25:AS$372,Покупка!$F$25:$F$372,$F368,Покупка!$AC$25:$AC$372,$G368)</f>
        <v>0</v>
      </c>
      <c r="AU368" s="943">
        <f>_xlfn.SUMIFS(Покупка!AT$25:AT$372,Покупка!$F$25:$F$372,$F368,Покупка!$AC$25:$AC$372,$G368)</f>
        <v>0</v>
      </c>
      <c r="AV368" s="943">
        <f>_xlfn.SUMIFS(Покупка!AU$25:AU$372,Покупка!$F$25:$F$372,$F368,Покупка!$AC$25:$AC$372,$G368)</f>
        <v>0</v>
      </c>
      <c r="AW368" s="943">
        <f>_xlfn.SUMIFS(Покупка!AV$25:AV$372,Покупка!$F$25:$F$372,$F368,Покупка!$AC$25:$AC$372,$G368)</f>
        <v>0</v>
      </c>
      <c r="AX368" s="943">
        <f>_xlfn.SUMIFS(Покупка!AW$25:AW$372,Покупка!$F$25:$F$372,$F368,Покупка!$AC$25:$AC$372,$G368)</f>
        <v>0</v>
      </c>
      <c r="AY368" s="943">
        <f>_xlfn.SUMIFS(Покупка!AX$25:AX$372,Покупка!$F$25:$F$372,$F368,Покупка!$AC$25:$AC$372,$G368)</f>
        <v>0</v>
      </c>
      <c r="AZ368" s="943">
        <f>_xlfn.SUMIFS(Покупка!AY$25:AY$372,Покупка!$F$25:$F$372,$F368,Покупка!$AC$25:$AC$372,$G368)</f>
        <v>0</v>
      </c>
      <c r="BA368" s="943">
        <f>_xlfn.SUMIFS(Покупка!AZ$25:AZ$372,Покупка!$F$25:$F$372,$F368,Покупка!$AC$25:$AC$372,$G368)</f>
        <v>0</v>
      </c>
      <c r="BB368" s="943">
        <f>_xlfn.SUMIFS(Покупка!BA$25:BA$372,Покупка!$F$25:$F$372,$F368,Покупка!$AC$25:$AC$372,$G368)</f>
        <v>0</v>
      </c>
      <c r="BC368" s="943">
        <f>_xlfn.SUMIFS(Покупка!BB$25:BB$372,Покупка!$F$25:$F$372,$F368,Покупка!$AC$25:$AC$372,$G368)</f>
        <v>0</v>
      </c>
      <c r="BD368" s="943">
        <f>IF(AI368=0,0,(AT368-AI368)/AI368*100)</f>
        <v>0</v>
      </c>
      <c r="BE368" s="943">
        <f>IF(AT368=0,0,(AU368-AT368)/AT368*100)</f>
        <v>0</v>
      </c>
      <c r="BF368" s="943">
        <f>IF(AU368=0,0,(AV368-AU368)/AU368*100)</f>
        <v>0</v>
      </c>
      <c r="BG368" s="943">
        <f>IF(AV368=0,0,(AW368-AV368)/AV368*100)</f>
        <v>0</v>
      </c>
      <c r="BH368" s="943">
        <f>IF(AW368=0,0,(AX368-AW368)/AW368*100)</f>
        <v>0</v>
      </c>
      <c r="BI368" s="943">
        <f>IF(AX368=0,0,(AY368-AX368)/AX368*100)</f>
        <v>0</v>
      </c>
      <c r="BJ368" s="943">
        <f>IF(AY368=0,0,(AZ368-AY368)/AY368*100)</f>
        <v>0</v>
      </c>
      <c r="BK368" s="943">
        <f>IF(AZ368=0,0,(BA368-AZ368)/AZ368*100)</f>
        <v>0</v>
      </c>
      <c r="BL368" s="943">
        <f>IF(BA368=0,0,(BB368-BA368)/BA368*100)</f>
        <v>0</v>
      </c>
      <c r="BM368" s="943">
        <f>IF(BB368=0,0,(BC368-BB368)/BB368*100)</f>
        <v>0</v>
      </c>
      <c r="BN368" s="7771"/>
      <c r="BO368" s="7724" t="str">
        <f>IF(_xlfn.IFERROR(INDEX(Покупка!$K$26:$L$372,MATCH($F368&amp;"6komm",Покупка!$K$26:$K$372,0),2),"")=0,"",_xlfn.IFERROR(INDEX(Покупка!$K$26:$L$372,MATCH($F368&amp;"6komm",Покупка!$K$26:$K$372,0),2),""))</f>
        <v/>
      </c>
      <c r="BP368" s="7771"/>
      <c r="BQ368" s="1278"/>
      <c r="BR368" s="1278"/>
      <c r="BS368" s="1064" t="s">
        <v>1820</v>
      </c>
      <c r="BT368" s="1064"/>
      <c r="BU368" s="1064"/>
      <c r="BV368" s="979"/>
      <c r="BW368" s="979"/>
    </row>
    <row s="1834" customFormat="1" customHeight="1" ht="14.25">
      <c r="A369" s="1278"/>
      <c r="B369" s="96"/>
      <c r="C369" s="107"/>
      <c r="D369" s="107"/>
      <c r="E369" s="621">
        <v>15</v>
      </c>
      <c r="F369" s="50" cm="1" t="str">
        <f t="array" ref="F369:F369">OFFSET(E369,-1,1)</f>
        <v>2</v>
      </c>
      <c r="G369" s="107" t="s">
        <v>1841</v>
      </c>
      <c r="H369" s="107"/>
      <c r="I369" s="107" t="s">
        <v>2299</v>
      </c>
      <c r="J369" s="107"/>
      <c r="K369" s="107" t="s">
        <v>2299</v>
      </c>
      <c r="L369" s="980" t="s">
        <v>2075</v>
      </c>
      <c r="M369" s="107"/>
      <c r="N369" s="107"/>
      <c r="O369" s="107"/>
      <c r="P369" s="107"/>
      <c r="Q369" s="107"/>
      <c r="R369" s="107"/>
      <c r="S369" s="107"/>
      <c r="T369" s="465" cm="1" t="str">
        <f t="array" ref="T369:T369">T368</f>
        <v>true</v>
      </c>
      <c r="U369" s="107"/>
      <c r="V369" s="107"/>
      <c r="W369" s="1278"/>
      <c r="X369" s="1563"/>
      <c r="Y369" s="1278"/>
      <c r="Z369" s="1546"/>
      <c r="AA369" s="1278"/>
      <c r="AB369" s="299" t="s">
        <v>2738</v>
      </c>
      <c r="AC369" s="765" t="s">
        <v>2739</v>
      </c>
      <c r="AD369" s="300" t="s">
        <v>1514</v>
      </c>
      <c r="AE369" s="259">
        <f>_xlfn.SUMIFS(Покупка!AE$25:AE$372,Покупка!$F$25:$F$372,$F369,Покупка!$AC$25:$AC$372,$G369)</f>
        <v>0</v>
      </c>
      <c r="AF369" s="259">
        <f>_xlfn.SUMIFS(Покупка!AF$25:AF$372,Покупка!$F$25:$F$372,$F369,Покупка!$AC$25:$AC$372,$G369)</f>
        <v>0</v>
      </c>
      <c r="AG369" s="259">
        <f>_xlfn.SUMIFS(Покупка!AG$25:AG$372,Покупка!$F$25:$F$372,$F369,Покупка!$AC$25:$AC$372,$G369)</f>
        <v>0</v>
      </c>
      <c r="AH369" s="943">
        <f>AG369-AF369</f>
        <v>0</v>
      </c>
      <c r="AI369" s="943">
        <f>_xlfn.SUMIFS(Покупка!AH$25:AH$372,Покупка!$F$25:$F$372,$F369,Покупка!$AC$25:$AC$372,$G369)</f>
        <v>0</v>
      </c>
      <c r="AJ369" s="943">
        <f>_xlfn.SUMIFS(Покупка!AI$25:AI$372,Покупка!$F$25:$F$372,$F369,Покупка!$AC$25:$AC$372,$G369)</f>
        <v>0</v>
      </c>
      <c r="AK369" s="943">
        <f>_xlfn.SUMIFS(Покупка!AJ$25:AJ$372,Покупка!$F$25:$F$372,$F369,Покупка!$AC$25:$AC$372,$G369)</f>
        <v>0</v>
      </c>
      <c r="AL369" s="943">
        <f>_xlfn.SUMIFS(Покупка!AK$25:AK$372,Покупка!$F$25:$F$372,$F369,Покупка!$AC$25:$AC$372,$G369)</f>
        <v>0</v>
      </c>
      <c r="AM369" s="943">
        <f>_xlfn.SUMIFS(Покупка!AL$25:AL$372,Покупка!$F$25:$F$372,$F369,Покупка!$AC$25:$AC$372,$G369)</f>
        <v>0</v>
      </c>
      <c r="AN369" s="943">
        <f>_xlfn.SUMIFS(Покупка!AM$25:AM$372,Покупка!$F$25:$F$372,$F369,Покупка!$AC$25:$AC$372,$G369)</f>
        <v>0</v>
      </c>
      <c r="AO369" s="943">
        <f>_xlfn.SUMIFS(Покупка!AN$25:AN$372,Покупка!$F$25:$F$372,$F369,Покупка!$AC$25:$AC$372,$G369)</f>
        <v>0</v>
      </c>
      <c r="AP369" s="943">
        <f>_xlfn.SUMIFS(Покупка!AO$25:AO$372,Покупка!$F$25:$F$372,$F369,Покупка!$AC$25:$AC$372,$G369)</f>
        <v>0</v>
      </c>
      <c r="AQ369" s="943">
        <f>_xlfn.SUMIFS(Покупка!AP$25:AP$372,Покупка!$F$25:$F$372,$F369,Покупка!$AC$25:$AC$372,$G369)</f>
        <v>0</v>
      </c>
      <c r="AR369" s="943">
        <f>_xlfn.SUMIFS(Покупка!AQ$25:AQ$372,Покупка!$F$25:$F$372,$F369,Покупка!$AC$25:$AC$372,$G369)</f>
        <v>0</v>
      </c>
      <c r="AS369" s="943">
        <f>_xlfn.SUMIFS(Покупка!AR$25:AR$372,Покупка!$F$25:$F$372,$F369,Покупка!$AC$25:$AC$372,$G369)</f>
        <v>0</v>
      </c>
      <c r="AT369" s="943">
        <f>_xlfn.SUMIFS(Покупка!AS$25:AS$372,Покупка!$F$25:$F$372,$F369,Покупка!$AC$25:$AC$372,$G369)</f>
        <v>0</v>
      </c>
      <c r="AU369" s="943">
        <f>_xlfn.SUMIFS(Покупка!AT$25:AT$372,Покупка!$F$25:$F$372,$F369,Покупка!$AC$25:$AC$372,$G369)</f>
        <v>0</v>
      </c>
      <c r="AV369" s="943">
        <f>_xlfn.SUMIFS(Покупка!AU$25:AU$372,Покупка!$F$25:$F$372,$F369,Покупка!$AC$25:$AC$372,$G369)</f>
        <v>0</v>
      </c>
      <c r="AW369" s="943">
        <f>_xlfn.SUMIFS(Покупка!AV$25:AV$372,Покупка!$F$25:$F$372,$F369,Покупка!$AC$25:$AC$372,$G369)</f>
        <v>0</v>
      </c>
      <c r="AX369" s="943">
        <f>_xlfn.SUMIFS(Покупка!AW$25:AW$372,Покупка!$F$25:$F$372,$F369,Покупка!$AC$25:$AC$372,$G369)</f>
        <v>0</v>
      </c>
      <c r="AY369" s="943">
        <f>_xlfn.SUMIFS(Покупка!AX$25:AX$372,Покупка!$F$25:$F$372,$F369,Покупка!$AC$25:$AC$372,$G369)</f>
        <v>0</v>
      </c>
      <c r="AZ369" s="943">
        <f>_xlfn.SUMIFS(Покупка!AY$25:AY$372,Покупка!$F$25:$F$372,$F369,Покупка!$AC$25:$AC$372,$G369)</f>
        <v>0</v>
      </c>
      <c r="BA369" s="943">
        <f>_xlfn.SUMIFS(Покупка!AZ$25:AZ$372,Покупка!$F$25:$F$372,$F369,Покупка!$AC$25:$AC$372,$G369)</f>
        <v>0</v>
      </c>
      <c r="BB369" s="943">
        <f>_xlfn.SUMIFS(Покупка!BA$25:BA$372,Покупка!$F$25:$F$372,$F369,Покупка!$AC$25:$AC$372,$G369)</f>
        <v>0</v>
      </c>
      <c r="BC369" s="943">
        <f>_xlfn.SUMIFS(Покупка!BB$25:BB$372,Покупка!$F$25:$F$372,$F369,Покупка!$AC$25:$AC$372,$G369)</f>
        <v>0</v>
      </c>
      <c r="BD369" s="943">
        <f>IF(AI369=0,0,(AT369-AI369)/AI369*100)</f>
        <v>0</v>
      </c>
      <c r="BE369" s="943">
        <f>IF(AT369=0,0,(AU369-AT369)/AT369*100)</f>
        <v>0</v>
      </c>
      <c r="BF369" s="943">
        <f>IF(AU369=0,0,(AV369-AU369)/AU369*100)</f>
        <v>0</v>
      </c>
      <c r="BG369" s="943">
        <f>IF(AV369=0,0,(AW369-AV369)/AV369*100)</f>
        <v>0</v>
      </c>
      <c r="BH369" s="943">
        <f>IF(AW369=0,0,(AX369-AW369)/AW369*100)</f>
        <v>0</v>
      </c>
      <c r="BI369" s="943">
        <f>IF(AX369=0,0,(AY369-AX369)/AX369*100)</f>
        <v>0</v>
      </c>
      <c r="BJ369" s="943">
        <f>IF(AY369=0,0,(AZ369-AY369)/AY369*100)</f>
        <v>0</v>
      </c>
      <c r="BK369" s="943">
        <f>IF(AZ369=0,0,(BA369-AZ369)/AZ369*100)</f>
        <v>0</v>
      </c>
      <c r="BL369" s="943">
        <f>IF(BA369=0,0,(BB369-BA369)/BA369*100)</f>
        <v>0</v>
      </c>
      <c r="BM369" s="943">
        <f>IF(BB369=0,0,(BC369-BB369)/BB369*100)</f>
        <v>0</v>
      </c>
      <c r="BN369" s="7771"/>
      <c r="BO369" s="7724" t="str">
        <f>IF(_xlfn.IFERROR(INDEX(Покупка!$K$26:$L$372,MATCH($F369&amp;"7komm",Покупка!$K$26:$K$372,0),2),"")=0,"",_xlfn.IFERROR(INDEX(Покупка!$K$26:$L$372,MATCH($F369&amp;"7komm",Покупка!$K$26:$K$372,0),2),""))</f>
        <v/>
      </c>
      <c r="BP369" s="7771"/>
      <c r="BQ369" s="1278"/>
      <c r="BR369" s="1278"/>
      <c r="BS369" s="1064" t="s">
        <v>1842</v>
      </c>
      <c r="BT369" s="1064"/>
      <c r="BU369" s="1064"/>
      <c r="BV369" s="979"/>
      <c r="BW369" s="979"/>
    </row>
    <row s="1834" customFormat="1" customHeight="1" ht="14.25">
      <c r="A370" s="1278"/>
      <c r="B370" s="96"/>
      <c r="C370" s="107"/>
      <c r="D370" s="107"/>
      <c r="E370" s="621">
        <v>15</v>
      </c>
      <c r="F370" s="50" cm="1" t="str">
        <f t="array" ref="F370:F370">OFFSET(E370,-1,1)</f>
        <v>2</v>
      </c>
      <c r="G370" s="107" t="s">
        <v>1793</v>
      </c>
      <c r="H370" s="107"/>
      <c r="I370" s="107" t="s">
        <v>2374</v>
      </c>
      <c r="J370" s="107"/>
      <c r="K370" s="107" t="s">
        <v>2374</v>
      </c>
      <c r="L370" s="980" t="s">
        <v>2244</v>
      </c>
      <c r="M370" s="107"/>
      <c r="N370" s="107"/>
      <c r="O370" s="107"/>
      <c r="P370" s="107"/>
      <c r="Q370" s="107"/>
      <c r="R370" s="107"/>
      <c r="S370" s="107"/>
      <c r="T370" s="465" cm="1" t="str">
        <f t="array" ref="T370:T370">T369</f>
        <v>true</v>
      </c>
      <c r="U370" s="107"/>
      <c r="V370" s="107"/>
      <c r="W370" s="1278"/>
      <c r="X370" s="1563"/>
      <c r="Y370" s="1278"/>
      <c r="Z370" s="1546"/>
      <c r="AA370" s="1278"/>
      <c r="AB370" s="299" t="s">
        <v>2740</v>
      </c>
      <c r="AC370" s="765" t="s">
        <v>2741</v>
      </c>
      <c r="AD370" s="300" t="s">
        <v>1514</v>
      </c>
      <c r="AE370" s="259">
        <f>_xlfn.SUMIFS(Покупка!AE$25:AE$372,Покупка!$F$25:$F$372,$F370,Покупка!$AC$25:$AC$372,$G370)</f>
        <v>0</v>
      </c>
      <c r="AF370" s="259">
        <f>_xlfn.SUMIFS(Покупка!AF$25:AF$372,Покупка!$F$25:$F$372,$F370,Покупка!$AC$25:$AC$372,$G370)</f>
        <v>0</v>
      </c>
      <c r="AG370" s="259">
        <f>_xlfn.SUMIFS(Покупка!AG$25:AG$372,Покупка!$F$25:$F$372,$F370,Покупка!$AC$25:$AC$372,$G370)</f>
        <v>0</v>
      </c>
      <c r="AH370" s="943">
        <f>AG370-AF370</f>
        <v>0</v>
      </c>
      <c r="AI370" s="943">
        <f>_xlfn.SUMIFS(Покупка!AH$25:AH$372,Покупка!$F$25:$F$372,$F370,Покупка!$AC$25:$AC$372,$G370)</f>
        <v>0</v>
      </c>
      <c r="AJ370" s="943">
        <f>_xlfn.SUMIFS(Покупка!AI$25:AI$372,Покупка!$F$25:$F$372,$F370,Покупка!$AC$25:$AC$372,$G370)</f>
        <v>0</v>
      </c>
      <c r="AK370" s="943">
        <f>_xlfn.SUMIFS(Покупка!AJ$25:AJ$372,Покупка!$F$25:$F$372,$F370,Покупка!$AC$25:$AC$372,$G370)</f>
        <v>0</v>
      </c>
      <c r="AL370" s="943">
        <f>_xlfn.SUMIFS(Покупка!AK$25:AK$372,Покупка!$F$25:$F$372,$F370,Покупка!$AC$25:$AC$372,$G370)</f>
        <v>0</v>
      </c>
      <c r="AM370" s="943">
        <f>_xlfn.SUMIFS(Покупка!AL$25:AL$372,Покупка!$F$25:$F$372,$F370,Покупка!$AC$25:$AC$372,$G370)</f>
        <v>0</v>
      </c>
      <c r="AN370" s="943">
        <f>_xlfn.SUMIFS(Покупка!AM$25:AM$372,Покупка!$F$25:$F$372,$F370,Покупка!$AC$25:$AC$372,$G370)</f>
        <v>0</v>
      </c>
      <c r="AO370" s="943">
        <f>_xlfn.SUMIFS(Покупка!AN$25:AN$372,Покупка!$F$25:$F$372,$F370,Покупка!$AC$25:$AC$372,$G370)</f>
        <v>0</v>
      </c>
      <c r="AP370" s="943">
        <f>_xlfn.SUMIFS(Покупка!AO$25:AO$372,Покупка!$F$25:$F$372,$F370,Покупка!$AC$25:$AC$372,$G370)</f>
        <v>0</v>
      </c>
      <c r="AQ370" s="943">
        <f>_xlfn.SUMIFS(Покупка!AP$25:AP$372,Покупка!$F$25:$F$372,$F370,Покупка!$AC$25:$AC$372,$G370)</f>
        <v>0</v>
      </c>
      <c r="AR370" s="943">
        <f>_xlfn.SUMIFS(Покупка!AQ$25:AQ$372,Покупка!$F$25:$F$372,$F370,Покупка!$AC$25:$AC$372,$G370)</f>
        <v>0</v>
      </c>
      <c r="AS370" s="943">
        <f>_xlfn.SUMIFS(Покупка!AR$25:AR$372,Покупка!$F$25:$F$372,$F370,Покупка!$AC$25:$AC$372,$G370)</f>
        <v>0</v>
      </c>
      <c r="AT370" s="943">
        <f>_xlfn.SUMIFS(Покупка!AS$25:AS$372,Покупка!$F$25:$F$372,$F370,Покупка!$AC$25:$AC$372,$G370)</f>
        <v>0</v>
      </c>
      <c r="AU370" s="943">
        <f>_xlfn.SUMIFS(Покупка!AT$25:AT$372,Покупка!$F$25:$F$372,$F370,Покупка!$AC$25:$AC$372,$G370)</f>
        <v>0</v>
      </c>
      <c r="AV370" s="943">
        <f>_xlfn.SUMIFS(Покупка!AU$25:AU$372,Покупка!$F$25:$F$372,$F370,Покупка!$AC$25:$AC$372,$G370)</f>
        <v>0</v>
      </c>
      <c r="AW370" s="943">
        <f>_xlfn.SUMIFS(Покупка!AV$25:AV$372,Покупка!$F$25:$F$372,$F370,Покупка!$AC$25:$AC$372,$G370)</f>
        <v>0</v>
      </c>
      <c r="AX370" s="943">
        <f>_xlfn.SUMIFS(Покупка!AW$25:AW$372,Покупка!$F$25:$F$372,$F370,Покупка!$AC$25:$AC$372,$G370)</f>
        <v>0</v>
      </c>
      <c r="AY370" s="943">
        <f>_xlfn.SUMIFS(Покупка!AX$25:AX$372,Покупка!$F$25:$F$372,$F370,Покупка!$AC$25:$AC$372,$G370)</f>
        <v>0</v>
      </c>
      <c r="AZ370" s="943">
        <f>_xlfn.SUMIFS(Покупка!AY$25:AY$372,Покупка!$F$25:$F$372,$F370,Покупка!$AC$25:$AC$372,$G370)</f>
        <v>0</v>
      </c>
      <c r="BA370" s="943">
        <f>_xlfn.SUMIFS(Покупка!AZ$25:AZ$372,Покупка!$F$25:$F$372,$F370,Покупка!$AC$25:$AC$372,$G370)</f>
        <v>0</v>
      </c>
      <c r="BB370" s="943">
        <f>_xlfn.SUMIFS(Покупка!BA$25:BA$372,Покупка!$F$25:$F$372,$F370,Покупка!$AC$25:$AC$372,$G370)</f>
        <v>0</v>
      </c>
      <c r="BC370" s="943">
        <f>_xlfn.SUMIFS(Покупка!BB$25:BB$372,Покупка!$F$25:$F$372,$F370,Покупка!$AC$25:$AC$372,$G370)</f>
        <v>0</v>
      </c>
      <c r="BD370" s="943">
        <f>IF(AI370=0,0,(AT370-AI370)/AI370*100)</f>
        <v>0</v>
      </c>
      <c r="BE370" s="943">
        <f>IF(AT370=0,0,(AU370-AT370)/AT370*100)</f>
        <v>0</v>
      </c>
      <c r="BF370" s="943">
        <f>IF(AU370=0,0,(AV370-AU370)/AU370*100)</f>
        <v>0</v>
      </c>
      <c r="BG370" s="943">
        <f>IF(AV370=0,0,(AW370-AV370)/AV370*100)</f>
        <v>0</v>
      </c>
      <c r="BH370" s="943">
        <f>IF(AW370=0,0,(AX370-AW370)/AW370*100)</f>
        <v>0</v>
      </c>
      <c r="BI370" s="943">
        <f>IF(AX370=0,0,(AY370-AX370)/AX370*100)</f>
        <v>0</v>
      </c>
      <c r="BJ370" s="943">
        <f>IF(AY370=0,0,(AZ370-AY370)/AY370*100)</f>
        <v>0</v>
      </c>
      <c r="BK370" s="943">
        <f>IF(AZ370=0,0,(BA370-AZ370)/AZ370*100)</f>
        <v>0</v>
      </c>
      <c r="BL370" s="943">
        <f>IF(BA370=0,0,(BB370-BA370)/BA370*100)</f>
        <v>0</v>
      </c>
      <c r="BM370" s="943">
        <f>IF(BB370=0,0,(BC370-BB370)/BB370*100)</f>
        <v>0</v>
      </c>
      <c r="BN370" s="7771"/>
      <c r="BO370" s="7724" t="str">
        <f>IF(_xlfn.IFERROR(INDEX(Покупка!$K$26:$L$372,MATCH($F370&amp;"2komm",Покупка!$K$26:$K$372,0),2),"")=0,"",_xlfn.IFERROR(INDEX(Покупка!$K$26:$L$372,MATCH($F370&amp;"2komm",Покупка!$K$26:$K$372,0),2),""))</f>
        <v/>
      </c>
      <c r="BP370" s="7771"/>
      <c r="BQ370" s="1278"/>
      <c r="BR370" s="1278"/>
      <c r="BS370" s="1064" t="s">
        <v>2742</v>
      </c>
      <c r="BT370" s="1064"/>
      <c r="BU370" s="1064"/>
      <c r="BV370" s="979"/>
      <c r="BW370" s="979"/>
    </row>
    <row s="1834" customFormat="1" customHeight="1" ht="14.25">
      <c r="A371" s="1278"/>
      <c r="B371" s="96"/>
      <c r="C371" s="107"/>
      <c r="D371" s="107"/>
      <c r="E371" s="621">
        <v>15</v>
      </c>
      <c r="F371" s="50" cm="1" t="str">
        <f t="array" ref="F371:F371">OFFSET(E371,-1,1)</f>
        <v>2</v>
      </c>
      <c r="G371" s="107" t="s">
        <v>1780</v>
      </c>
      <c r="H371" s="107"/>
      <c r="I371" s="107" t="s">
        <v>2376</v>
      </c>
      <c r="J371" s="107"/>
      <c r="K371" s="107" t="s">
        <v>2376</v>
      </c>
      <c r="L371" s="980" t="s">
        <v>2239</v>
      </c>
      <c r="M371" s="107"/>
      <c r="N371" s="107"/>
      <c r="O371" s="107"/>
      <c r="P371" s="107"/>
      <c r="Q371" s="107"/>
      <c r="R371" s="107"/>
      <c r="S371" s="107"/>
      <c r="T371" s="465" cm="1" t="str">
        <f t="array" ref="T371:T371">T370</f>
        <v>true</v>
      </c>
      <c r="U371" s="107"/>
      <c r="V371" s="107"/>
      <c r="W371" s="1278"/>
      <c r="X371" s="1563"/>
      <c r="Y371" s="1278"/>
      <c r="Z371" s="1546"/>
      <c r="AA371" s="1278"/>
      <c r="AB371" s="299" t="s">
        <v>2743</v>
      </c>
      <c r="AC371" s="765" t="s">
        <v>2744</v>
      </c>
      <c r="AD371" s="300" t="s">
        <v>1514</v>
      </c>
      <c r="AE371" s="259">
        <f>_xlfn.SUMIFS(Покупка!AE$25:AE$372,Покупка!$F$25:$F$372,$F371,Покупка!$AC$25:$AC$372,$G371)</f>
        <v>0</v>
      </c>
      <c r="AF371" s="259">
        <f>_xlfn.SUMIFS(Покупка!AF$25:AF$372,Покупка!$F$25:$F$372,$F371,Покупка!$AC$25:$AC$372,$G371)</f>
        <v>0</v>
      </c>
      <c r="AG371" s="259">
        <f>_xlfn.SUMIFS(Покупка!AG$25:AG$372,Покупка!$F$25:$F$372,$F371,Покупка!$AC$25:$AC$372,$G371)</f>
        <v>0</v>
      </c>
      <c r="AH371" s="943">
        <f>AG371-AF371</f>
        <v>0</v>
      </c>
      <c r="AI371" s="943">
        <f>_xlfn.SUMIFS(Покупка!AH$25:AH$372,Покупка!$F$25:$F$372,$F371,Покупка!$AC$25:$AC$372,$G371)</f>
        <v>0</v>
      </c>
      <c r="AJ371" s="943">
        <f>_xlfn.SUMIFS(Покупка!AI$25:AI$372,Покупка!$F$25:$F$372,$F371,Покупка!$AC$25:$AC$372,$G371)</f>
        <v>73212.173294</v>
      </c>
      <c r="AK371" s="943">
        <f>_xlfn.SUMIFS(Покупка!AJ$25:AJ$372,Покупка!$F$25:$F$372,$F371,Покупка!$AC$25:$AC$372,$G371)</f>
        <v>80360.30505</v>
      </c>
      <c r="AL371" s="943">
        <f>_xlfn.SUMIFS(Покупка!AK$25:AK$372,Покупка!$F$25:$F$372,$F371,Покупка!$AC$25:$AC$372,$G371)</f>
        <v>83396.76</v>
      </c>
      <c r="AM371" s="943">
        <f>_xlfn.SUMIFS(Покупка!AL$25:AL$372,Покупка!$F$25:$F$372,$F371,Покупка!$AC$25:$AC$372,$G371)</f>
        <v>85566.07</v>
      </c>
      <c r="AN371" s="943">
        <f>_xlfn.SUMIFS(Покупка!AM$25:AM$372,Покупка!$F$25:$F$372,$F371,Покупка!$AC$25:$AC$372,$G371)</f>
        <v>88092.42</v>
      </c>
      <c r="AO371" s="943">
        <f>_xlfn.SUMIFS(Покупка!AN$25:AN$372,Покупка!$F$25:$F$372,$F371,Покупка!$AC$25:$AC$372,$G371)</f>
        <v>0</v>
      </c>
      <c r="AP371" s="943">
        <f>_xlfn.SUMIFS(Покупка!AO$25:AO$372,Покупка!$F$25:$F$372,$F371,Покупка!$AC$25:$AC$372,$G371)</f>
        <v>0</v>
      </c>
      <c r="AQ371" s="943">
        <f>_xlfn.SUMIFS(Покупка!AP$25:AP$372,Покупка!$F$25:$F$372,$F371,Покупка!$AC$25:$AC$372,$G371)</f>
        <v>0</v>
      </c>
      <c r="AR371" s="943">
        <f>_xlfn.SUMIFS(Покупка!AQ$25:AQ$372,Покупка!$F$25:$F$372,$F371,Покупка!$AC$25:$AC$372,$G371)</f>
        <v>0</v>
      </c>
      <c r="AS371" s="943">
        <f>_xlfn.SUMIFS(Покупка!AR$25:AR$372,Покупка!$F$25:$F$372,$F371,Покупка!$AC$25:$AC$372,$G371)</f>
        <v>0</v>
      </c>
      <c r="AT371" s="943">
        <f>_xlfn.SUMIFS(Покупка!AS$25:AS$372,Покупка!$F$25:$F$372,$F371,Покупка!$AC$25:$AC$372,$G371)</f>
        <v>73212.173294</v>
      </c>
      <c r="AU371" s="943">
        <f>_xlfn.SUMIFS(Покупка!AT$25:AT$372,Покупка!$F$25:$F$372,$F371,Покупка!$AC$25:$AC$372,$G371)</f>
        <v>80360.30505</v>
      </c>
      <c r="AV371" s="943">
        <f>_xlfn.SUMIFS(Покупка!AU$25:AU$372,Покупка!$F$25:$F$372,$F371,Покупка!$AC$25:$AC$372,$G371)</f>
        <v>83396.89505</v>
      </c>
      <c r="AW371" s="943">
        <f>_xlfn.SUMIFS(Покупка!AV$25:AV$372,Покупка!$F$25:$F$372,$F371,Покупка!$AC$25:$AC$372,$G371)</f>
        <v>85565.37871</v>
      </c>
      <c r="AX371" s="943">
        <f>_xlfn.SUMIFS(Покупка!AW$25:AW$372,Покупка!$F$25:$F$372,$F371,Покупка!$AC$25:$AC$372,$G371)</f>
        <v>88183.54112</v>
      </c>
      <c r="AY371" s="943">
        <f>_xlfn.SUMIFS(Покупка!AX$25:AX$372,Покупка!$F$25:$F$372,$F371,Покупка!$AC$25:$AC$372,$G371)</f>
        <v>0</v>
      </c>
      <c r="AZ371" s="943">
        <f>_xlfn.SUMIFS(Покупка!AY$25:AY$372,Покупка!$F$25:$F$372,$F371,Покупка!$AC$25:$AC$372,$G371)</f>
        <v>0</v>
      </c>
      <c r="BA371" s="943">
        <f>_xlfn.SUMIFS(Покупка!AZ$25:AZ$372,Покупка!$F$25:$F$372,$F371,Покупка!$AC$25:$AC$372,$G371)</f>
        <v>0</v>
      </c>
      <c r="BB371" s="943">
        <f>_xlfn.SUMIFS(Покупка!BA$25:BA$372,Покупка!$F$25:$F$372,$F371,Покупка!$AC$25:$AC$372,$G371)</f>
        <v>0</v>
      </c>
      <c r="BC371" s="943">
        <f>_xlfn.SUMIFS(Покупка!BB$25:BB$372,Покупка!$F$25:$F$372,$F371,Покупка!$AC$25:$AC$372,$G371)</f>
        <v>0</v>
      </c>
      <c r="BD371" s="943">
        <f>IF(AI371=0,0,(AT371-AI371)/AI371*100)</f>
        <v>0</v>
      </c>
      <c r="BE371" s="943">
        <f>IF(AT371=0,0,(AU371-AT371)/AT371*100)</f>
        <v>9.76358361511148</v>
      </c>
      <c r="BF371" s="943">
        <f>IF(AU371=0,0,(AV371-AU371)/AU371*100)</f>
        <v>3.77871885641879</v>
      </c>
      <c r="BG371" s="943">
        <f>IF(AV371=0,0,(AW371-AV371)/AV371*100)</f>
        <v>2.60019711609155</v>
      </c>
      <c r="BH371" s="943">
        <f>IF(AW371=0,0,(AX371-AW371)/AW371*100)</f>
        <v>3.05983851117345</v>
      </c>
      <c r="BI371" s="943">
        <f>IF(AX371=0,0,(AY371-AX371)/AX371*100)</f>
        <v>-100</v>
      </c>
      <c r="BJ371" s="943">
        <f>IF(AY371=0,0,(AZ371-AY371)/AY371*100)</f>
        <v>0</v>
      </c>
      <c r="BK371" s="943">
        <f>IF(AZ371=0,0,(BA371-AZ371)/AZ371*100)</f>
        <v>0</v>
      </c>
      <c r="BL371" s="943">
        <f>IF(BA371=0,0,(BB371-BA371)/BA371*100)</f>
        <v>0</v>
      </c>
      <c r="BM371" s="943">
        <f>IF(BB371=0,0,(BC371-BB371)/BB371*100)</f>
        <v>0</v>
      </c>
      <c r="BN371" s="7771"/>
      <c r="BO371" s="7724" t="str">
        <f>IF(_xlfn.IFERROR(INDEX(Покупка!$K$26:$L$372,MATCH($F371&amp;"1komm",Покупка!$K$26:$K$372,0),2),"")=0,"",_xlfn.IFERROR(INDEX(Покупка!$K$26:$L$372,MATCH($F371&amp;"1komm",Покупка!$K$26:$K$372,0),2),""))</f>
        <v>В соответствии с п.49 Методических указаний 1746-э. </v>
      </c>
      <c r="BP371" s="7771"/>
      <c r="BQ371" s="1278"/>
      <c r="BR371" s="1278"/>
      <c r="BS371" s="1064" t="s">
        <v>2745</v>
      </c>
      <c r="BT371" s="1064"/>
      <c r="BU371" s="1064"/>
      <c r="BV371" s="979"/>
      <c r="BW371" s="979"/>
    </row>
    <row s="1834" customFormat="1" customHeight="1" ht="14.25">
      <c r="A372" s="1278"/>
      <c r="B372" s="96"/>
      <c r="C372" s="107"/>
      <c r="D372" s="107"/>
      <c r="E372" s="621">
        <v>15</v>
      </c>
      <c r="F372" s="50" cm="1" t="str">
        <f t="array" ref="F372:F372">OFFSET(E372,-1,1)</f>
        <v>2</v>
      </c>
      <c r="G372" s="107" t="s">
        <v>1847</v>
      </c>
      <c r="H372" s="107"/>
      <c r="I372" s="107" t="s">
        <v>2379</v>
      </c>
      <c r="J372" s="107"/>
      <c r="K372" s="107" t="s">
        <v>2379</v>
      </c>
      <c r="L372" s="980"/>
      <c r="M372" s="107"/>
      <c r="N372" s="107"/>
      <c r="O372" s="107"/>
      <c r="P372" s="107"/>
      <c r="Q372" s="107"/>
      <c r="R372" s="107"/>
      <c r="S372" s="107"/>
      <c r="T372" s="465" cm="1" t="str">
        <f t="array" ref="T372:T372">T371</f>
        <v>true</v>
      </c>
      <c r="U372" s="107"/>
      <c r="V372" s="107"/>
      <c r="W372" s="1278"/>
      <c r="X372" s="1563"/>
      <c r="Y372" s="1278"/>
      <c r="Z372" s="1546"/>
      <c r="AA372" s="1278"/>
      <c r="AB372" s="299" t="s">
        <v>2746</v>
      </c>
      <c r="AC372" s="765" t="s">
        <v>2747</v>
      </c>
      <c r="AD372" s="300" t="s">
        <v>1514</v>
      </c>
      <c r="AE372" s="259">
        <f>_xlfn.SUMIFS(Покупка!AE$25:AE$372,Покупка!$F$25:$F$372,$F372,Покупка!$AC$25:$AC$372,$G372)</f>
        <v>0</v>
      </c>
      <c r="AF372" s="259">
        <f>_xlfn.SUMIFS(Покупка!AF$25:AF$372,Покупка!$F$25:$F$372,$F372,Покупка!$AC$25:$AC$372,$G372)</f>
        <v>0</v>
      </c>
      <c r="AG372" s="259">
        <f>_xlfn.SUMIFS(Покупка!AG$25:AG$372,Покупка!$F$25:$F$372,$F372,Покупка!$AC$25:$AC$372,$G372)</f>
        <v>0</v>
      </c>
      <c r="AH372" s="943">
        <f>AG372-AF372</f>
        <v>0</v>
      </c>
      <c r="AI372" s="943">
        <f>_xlfn.SUMIFS(Покупка!AH$25:AH$372,Покупка!$F$25:$F$372,$F372,Покупка!$AC$25:$AC$372,$G372)</f>
        <v>0</v>
      </c>
      <c r="AJ372" s="943">
        <f>_xlfn.SUMIFS(Покупка!AI$25:AI$372,Покупка!$F$25:$F$372,$F372,Покупка!$AC$25:$AC$372,$G372)</f>
        <v>0</v>
      </c>
      <c r="AK372" s="943">
        <f>_xlfn.SUMIFS(Покупка!AJ$25:AJ$372,Покупка!$F$25:$F$372,$F372,Покупка!$AC$25:$AC$372,$G372)</f>
        <v>0</v>
      </c>
      <c r="AL372" s="943">
        <f>_xlfn.SUMIFS(Покупка!AK$25:AK$372,Покупка!$F$25:$F$372,$F372,Покупка!$AC$25:$AC$372,$G372)</f>
        <v>0</v>
      </c>
      <c r="AM372" s="943">
        <f>_xlfn.SUMIFS(Покупка!AL$25:AL$372,Покупка!$F$25:$F$372,$F372,Покупка!$AC$25:$AC$372,$G372)</f>
        <v>0</v>
      </c>
      <c r="AN372" s="943">
        <f>_xlfn.SUMIFS(Покупка!AM$25:AM$372,Покупка!$F$25:$F$372,$F372,Покупка!$AC$25:$AC$372,$G372)</f>
        <v>0</v>
      </c>
      <c r="AO372" s="943">
        <f>_xlfn.SUMIFS(Покупка!AN$25:AN$372,Покупка!$F$25:$F$372,$F372,Покупка!$AC$25:$AC$372,$G372)</f>
        <v>0</v>
      </c>
      <c r="AP372" s="943">
        <f>_xlfn.SUMIFS(Покупка!AO$25:AO$372,Покупка!$F$25:$F$372,$F372,Покупка!$AC$25:$AC$372,$G372)</f>
        <v>0</v>
      </c>
      <c r="AQ372" s="943">
        <f>_xlfn.SUMIFS(Покупка!AP$25:AP$372,Покупка!$F$25:$F$372,$F372,Покупка!$AC$25:$AC$372,$G372)</f>
        <v>0</v>
      </c>
      <c r="AR372" s="943">
        <f>_xlfn.SUMIFS(Покупка!AQ$25:AQ$372,Покупка!$F$25:$F$372,$F372,Покупка!$AC$25:$AC$372,$G372)</f>
        <v>0</v>
      </c>
      <c r="AS372" s="943">
        <f>_xlfn.SUMIFS(Покупка!AR$25:AR$372,Покупка!$F$25:$F$372,$F372,Покупка!$AC$25:$AC$372,$G372)</f>
        <v>0</v>
      </c>
      <c r="AT372" s="943">
        <f>_xlfn.SUMIFS(Покупка!AS$25:AS$372,Покупка!$F$25:$F$372,$F372,Покупка!$AC$25:$AC$372,$G372)</f>
        <v>0</v>
      </c>
      <c r="AU372" s="943">
        <f>_xlfn.SUMIFS(Покупка!AT$25:AT$372,Покупка!$F$25:$F$372,$F372,Покупка!$AC$25:$AC$372,$G372)</f>
        <v>0</v>
      </c>
      <c r="AV372" s="943">
        <f>_xlfn.SUMIFS(Покупка!AU$25:AU$372,Покупка!$F$25:$F$372,$F372,Покупка!$AC$25:$AC$372,$G372)</f>
        <v>0</v>
      </c>
      <c r="AW372" s="943">
        <f>_xlfn.SUMIFS(Покупка!AV$25:AV$372,Покупка!$F$25:$F$372,$F372,Покупка!$AC$25:$AC$372,$G372)</f>
        <v>0</v>
      </c>
      <c r="AX372" s="943">
        <f>_xlfn.SUMIFS(Покупка!AW$25:AW$372,Покупка!$F$25:$F$372,$F372,Покупка!$AC$25:$AC$372,$G372)</f>
        <v>0</v>
      </c>
      <c r="AY372" s="943">
        <f>_xlfn.SUMIFS(Покупка!AX$25:AX$372,Покупка!$F$25:$F$372,$F372,Покупка!$AC$25:$AC$372,$G372)</f>
        <v>0</v>
      </c>
      <c r="AZ372" s="943">
        <f>_xlfn.SUMIFS(Покупка!AY$25:AY$372,Покупка!$F$25:$F$372,$F372,Покупка!$AC$25:$AC$372,$G372)</f>
        <v>0</v>
      </c>
      <c r="BA372" s="943">
        <f>_xlfn.SUMIFS(Покупка!AZ$25:AZ$372,Покупка!$F$25:$F$372,$F372,Покупка!$AC$25:$AC$372,$G372)</f>
        <v>0</v>
      </c>
      <c r="BB372" s="943">
        <f>_xlfn.SUMIFS(Покупка!BA$25:BA$372,Покупка!$F$25:$F$372,$F372,Покупка!$AC$25:$AC$372,$G372)</f>
        <v>0</v>
      </c>
      <c r="BC372" s="943">
        <f>_xlfn.SUMIFS(Покупка!BB$25:BB$372,Покупка!$F$25:$F$372,$F372,Покупка!$AC$25:$AC$372,$G372)</f>
        <v>0</v>
      </c>
      <c r="BD372" s="943">
        <f>IF(AI372=0,0,(AT372-AI372)/AI372*100)</f>
        <v>0</v>
      </c>
      <c r="BE372" s="943">
        <f>IF(AT372=0,0,(AU372-AT372)/AT372*100)</f>
        <v>0</v>
      </c>
      <c r="BF372" s="943">
        <f>IF(AU372=0,0,(AV372-AU372)/AU372*100)</f>
        <v>0</v>
      </c>
      <c r="BG372" s="943">
        <f>IF(AV372=0,0,(AW372-AV372)/AV372*100)</f>
        <v>0</v>
      </c>
      <c r="BH372" s="943">
        <f>IF(AW372=0,0,(AX372-AW372)/AW372*100)</f>
        <v>0</v>
      </c>
      <c r="BI372" s="943">
        <f>IF(AX372=0,0,(AY372-AX372)/AX372*100)</f>
        <v>0</v>
      </c>
      <c r="BJ372" s="943">
        <f>IF(AY372=0,0,(AZ372-AY372)/AY372*100)</f>
        <v>0</v>
      </c>
      <c r="BK372" s="943">
        <f>IF(AZ372=0,0,(BA372-AZ372)/AZ372*100)</f>
        <v>0</v>
      </c>
      <c r="BL372" s="943">
        <f>IF(BA372=0,0,(BB372-BA372)/BA372*100)</f>
        <v>0</v>
      </c>
      <c r="BM372" s="943">
        <f>IF(BB372=0,0,(BC372-BB372)/BB372*100)</f>
        <v>0</v>
      </c>
      <c r="BN372" s="7771"/>
      <c r="BO372" s="7724" t="str">
        <f>IF(_xlfn.IFERROR(INDEX(Покупка!$K$26:$L$372,MATCH($F372&amp;"8komm",Покупка!$K$26:$K$372,0),2),"")=0,"",_xlfn.IFERROR(INDEX(Покупка!$K$26:$L$372,MATCH($F372&amp;"8komm",Покупка!$K$26:$K$372,0),2),""))</f>
        <v/>
      </c>
      <c r="BP372" s="7771"/>
      <c r="BQ372" s="1278"/>
      <c r="BR372" s="1278"/>
      <c r="BS372" s="1064" t="s">
        <v>1848</v>
      </c>
      <c r="BT372" s="1064"/>
      <c r="BU372" s="1064"/>
      <c r="BV372" s="979"/>
      <c r="BW372" s="979"/>
    </row>
    <row s="1834" customFormat="1" customHeight="1" ht="14.25">
      <c r="A373" s="1278"/>
      <c r="B373" s="96"/>
      <c r="C373" s="107"/>
      <c r="D373" s="107"/>
      <c r="E373" s="621">
        <v>15</v>
      </c>
      <c r="F373" s="50" cm="1" t="str">
        <f t="array" ref="F373:F373">OFFSET(E373,-1,1)</f>
        <v>2</v>
      </c>
      <c r="G373" s="107"/>
      <c r="H373" s="107"/>
      <c r="I373" s="107" t="s">
        <v>2748</v>
      </c>
      <c r="J373" s="107"/>
      <c r="K373" s="107" t="s">
        <v>2748</v>
      </c>
      <c r="L373" s="980"/>
      <c r="M373" s="107"/>
      <c r="N373" s="107"/>
      <c r="O373" s="107"/>
      <c r="P373" s="107"/>
      <c r="Q373" s="107"/>
      <c r="R373" s="107"/>
      <c r="S373" s="107"/>
      <c r="T373" s="465" cm="1" t="str">
        <f t="array" ref="T373:T373">T372</f>
        <v>true</v>
      </c>
      <c r="U373" s="107"/>
      <c r="V373" s="107"/>
      <c r="W373" s="1278"/>
      <c r="X373" s="1563"/>
      <c r="Y373" s="1278"/>
      <c r="Z373" s="1546"/>
      <c r="AA373" s="1278"/>
      <c r="AB373" s="299" t="s">
        <v>2749</v>
      </c>
      <c r="AC373" s="765" t="s">
        <v>2750</v>
      </c>
      <c r="AD373" s="300" t="s">
        <v>1514</v>
      </c>
      <c r="AE373" s="7773"/>
      <c r="AF373" s="7773"/>
      <c r="AG373" s="7773"/>
      <c r="AH373" s="943">
        <f>AG373-AF373</f>
        <v>0</v>
      </c>
      <c r="AI373" s="7723"/>
      <c r="AJ373" s="7723"/>
      <c r="AK373" s="7723"/>
      <c r="AL373" s="7723"/>
      <c r="AM373" s="7723"/>
      <c r="AN373" s="7723"/>
      <c r="AO373" s="1253"/>
      <c r="AP373" s="1253"/>
      <c r="AQ373" s="1253"/>
      <c r="AR373" s="1253"/>
      <c r="AS373" s="1253"/>
      <c r="AT373" s="7723"/>
      <c r="AU373" s="7723"/>
      <c r="AV373" s="7723"/>
      <c r="AW373" s="7723"/>
      <c r="AX373" s="7723"/>
      <c r="AY373" s="1253"/>
      <c r="AZ373" s="1253"/>
      <c r="BA373" s="1253"/>
      <c r="BB373" s="1253"/>
      <c r="BC373" s="1253"/>
      <c r="BD373" s="943">
        <f>IF(AI373=0,0,(AT373-AI373)/AI373*100)</f>
        <v>0</v>
      </c>
      <c r="BE373" s="943">
        <f>IF(AT373=0,0,(AU373-AT373)/AT373*100)</f>
        <v>0</v>
      </c>
      <c r="BF373" s="943">
        <f>IF(AU373=0,0,(AV373-AU373)/AU373*100)</f>
        <v>0</v>
      </c>
      <c r="BG373" s="943">
        <f>IF(AV373=0,0,(AW373-AV373)/AV373*100)</f>
        <v>0</v>
      </c>
      <c r="BH373" s="943">
        <f>IF(AW373=0,0,(AX373-AW373)/AW373*100)</f>
        <v>0</v>
      </c>
      <c r="BI373" s="943">
        <f>IF(AX373=0,0,(AY373-AX373)/AX373*100)</f>
        <v>0</v>
      </c>
      <c r="BJ373" s="943">
        <f>IF(AY373=0,0,(AZ373-AY373)/AY373*100)</f>
        <v>0</v>
      </c>
      <c r="BK373" s="943">
        <f>IF(AZ373=0,0,(BA373-AZ373)/AZ373*100)</f>
        <v>0</v>
      </c>
      <c r="BL373" s="943">
        <f>IF(BA373=0,0,(BB373-BA373)/BA373*100)</f>
        <v>0</v>
      </c>
      <c r="BM373" s="943">
        <f>IF(BB373=0,0,(BC373-BB373)/BB373*100)</f>
        <v>0</v>
      </c>
      <c r="BN373" s="7771"/>
      <c r="BO373" s="7771"/>
      <c r="BP373" s="7771"/>
      <c r="BQ373" s="1278"/>
      <c r="BR373" s="1278"/>
      <c r="BS373" s="1064" t="s">
        <v>2751</v>
      </c>
      <c r="BT373" s="1064"/>
      <c r="BU373" s="1064"/>
      <c r="BV373" s="979"/>
      <c r="BW373" s="979"/>
    </row>
    <row s="1834" customFormat="1" customHeight="1" ht="14.25">
      <c r="A374" s="1278"/>
      <c r="B374" s="96"/>
      <c r="C374" s="107"/>
      <c r="D374" s="107"/>
      <c r="E374" s="621">
        <v>15</v>
      </c>
      <c r="F374" s="50" cm="1" t="str">
        <f t="array" ref="F374:F374">OFFSET(E374,-1,1)</f>
        <v>2</v>
      </c>
      <c r="G374" s="107"/>
      <c r="H374" s="107"/>
      <c r="I374" s="107" t="s">
        <v>2752</v>
      </c>
      <c r="J374" s="107"/>
      <c r="K374" s="107" t="s">
        <v>2752</v>
      </c>
      <c r="L374" s="980"/>
      <c r="M374" s="107"/>
      <c r="N374" s="107"/>
      <c r="O374" s="107"/>
      <c r="P374" s="107"/>
      <c r="Q374" s="107"/>
      <c r="R374" s="107"/>
      <c r="S374" s="107"/>
      <c r="T374" s="465" cm="1" t="str">
        <f t="array" ref="T374:T374">T373</f>
        <v>true</v>
      </c>
      <c r="U374" s="107"/>
      <c r="V374" s="107"/>
      <c r="W374" s="1278"/>
      <c r="X374" s="1563"/>
      <c r="Y374" s="1278"/>
      <c r="Z374" s="1546"/>
      <c r="AA374" s="1278"/>
      <c r="AB374" s="299" t="s">
        <v>2753</v>
      </c>
      <c r="AC374" s="765" t="s">
        <v>2754</v>
      </c>
      <c r="AD374" s="300" t="s">
        <v>1514</v>
      </c>
      <c r="AE374" s="7773"/>
      <c r="AF374" s="7773"/>
      <c r="AG374" s="7773"/>
      <c r="AH374" s="943">
        <f>AG374-AF374</f>
        <v>0</v>
      </c>
      <c r="AI374" s="7723"/>
      <c r="AJ374" s="7723"/>
      <c r="AK374" s="7723"/>
      <c r="AL374" s="7723"/>
      <c r="AM374" s="7723"/>
      <c r="AN374" s="7723"/>
      <c r="AO374" s="1253"/>
      <c r="AP374" s="1253"/>
      <c r="AQ374" s="1253"/>
      <c r="AR374" s="1253"/>
      <c r="AS374" s="1253"/>
      <c r="AT374" s="7723"/>
      <c r="AU374" s="7723"/>
      <c r="AV374" s="7723"/>
      <c r="AW374" s="7723"/>
      <c r="AX374" s="7723"/>
      <c r="AY374" s="1253"/>
      <c r="AZ374" s="1253"/>
      <c r="BA374" s="1253"/>
      <c r="BB374" s="1253"/>
      <c r="BC374" s="1253"/>
      <c r="BD374" s="943">
        <f>IF(AI374=0,0,(AT374-AI374)/AI374*100)</f>
        <v>0</v>
      </c>
      <c r="BE374" s="943">
        <f>IF(AT374=0,0,(AU374-AT374)/AT374*100)</f>
        <v>0</v>
      </c>
      <c r="BF374" s="943">
        <f>IF(AU374=0,0,(AV374-AU374)/AU374*100)</f>
        <v>0</v>
      </c>
      <c r="BG374" s="943">
        <f>IF(AV374=0,0,(AW374-AV374)/AV374*100)</f>
        <v>0</v>
      </c>
      <c r="BH374" s="943">
        <f>IF(AW374=0,0,(AX374-AW374)/AW374*100)</f>
        <v>0</v>
      </c>
      <c r="BI374" s="943">
        <f>IF(AX374=0,0,(AY374-AX374)/AX374*100)</f>
        <v>0</v>
      </c>
      <c r="BJ374" s="943">
        <f>IF(AY374=0,0,(AZ374-AY374)/AY374*100)</f>
        <v>0</v>
      </c>
      <c r="BK374" s="943">
        <f>IF(AZ374=0,0,(BA374-AZ374)/AZ374*100)</f>
        <v>0</v>
      </c>
      <c r="BL374" s="943">
        <f>IF(BA374=0,0,(BB374-BA374)/BA374*100)</f>
        <v>0</v>
      </c>
      <c r="BM374" s="943">
        <f>IF(BB374=0,0,(BC374-BB374)/BB374*100)</f>
        <v>0</v>
      </c>
      <c r="BN374" s="7771"/>
      <c r="BO374" s="7771"/>
      <c r="BP374" s="7771"/>
      <c r="BQ374" s="1278"/>
      <c r="BR374" s="1278"/>
      <c r="BS374" s="1064" t="s">
        <v>2755</v>
      </c>
      <c r="BT374" s="1064"/>
      <c r="BU374" s="1064"/>
      <c r="BV374" s="979"/>
      <c r="BW374" s="979"/>
    </row>
    <row s="1834" customFormat="1" customHeight="1" ht="14.25">
      <c r="A375" s="1278"/>
      <c r="B375" s="96"/>
      <c r="C375" s="107"/>
      <c r="D375" s="107"/>
      <c r="E375" s="621">
        <v>15</v>
      </c>
      <c r="F375" s="50" cm="1" t="str">
        <f t="array" ref="F375:F375">OFFSET(E375,-1,1)</f>
        <v>2</v>
      </c>
      <c r="G375" s="107" t="s">
        <v>1799</v>
      </c>
      <c r="H375" s="107"/>
      <c r="I375" s="107" t="s">
        <v>2756</v>
      </c>
      <c r="J375" s="107"/>
      <c r="K375" s="107" t="s">
        <v>2756</v>
      </c>
      <c r="L375" s="980" t="s">
        <v>2253</v>
      </c>
      <c r="M375" s="107"/>
      <c r="N375" s="107"/>
      <c r="O375" s="107"/>
      <c r="P375" s="107"/>
      <c r="Q375" s="107"/>
      <c r="R375" s="107"/>
      <c r="S375" s="107"/>
      <c r="T375" s="465" cm="1" t="str">
        <f t="array" ref="T375:T375">T374</f>
        <v>true</v>
      </c>
      <c r="U375" s="107"/>
      <c r="V375" s="107"/>
      <c r="W375" s="1278"/>
      <c r="X375" s="1563"/>
      <c r="Y375" s="1278"/>
      <c r="Z375" s="1546"/>
      <c r="AA375" s="1278"/>
      <c r="AB375" s="299" t="s">
        <v>2757</v>
      </c>
      <c r="AC375" s="765" t="s">
        <v>2758</v>
      </c>
      <c r="AD375" s="300" t="s">
        <v>1514</v>
      </c>
      <c r="AE375" s="259">
        <f>_xlfn.SUMIFS(Покупка!AE$25:AE$372,Покупка!$F$25:$F$372,$F375,Покупка!$AC$25:$AC$372,$G375)</f>
        <v>0</v>
      </c>
      <c r="AF375" s="259">
        <f>_xlfn.SUMIFS(Покупка!AF$25:AF$372,Покупка!$F$25:$F$372,$F375,Покупка!$AC$25:$AC$372,$G375)</f>
        <v>0</v>
      </c>
      <c r="AG375" s="259">
        <f>_xlfn.SUMIFS(Покупка!AG$25:AG$372,Покупка!$F$25:$F$372,$F375,Покупка!$AC$25:$AC$372,$G375)</f>
        <v>0</v>
      </c>
      <c r="AH375" s="943">
        <f>AG375-AF375</f>
        <v>0</v>
      </c>
      <c r="AI375" s="943">
        <f>_xlfn.SUMIFS(Покупка!AH$25:AH$372,Покупка!$F$25:$F$372,$F375,Покупка!$AC$25:$AC$372,$G375)</f>
        <v>0</v>
      </c>
      <c r="AJ375" s="943">
        <f>_xlfn.SUMIFS(Покупка!AI$25:AI$372,Покупка!$F$25:$F$372,$F375,Покупка!$AC$25:$AC$372,$G375)</f>
        <v>0</v>
      </c>
      <c r="AK375" s="943">
        <f>_xlfn.SUMIFS(Покупка!AJ$25:AJ$372,Покупка!$F$25:$F$372,$F375,Покупка!$AC$25:$AC$372,$G375)</f>
        <v>0</v>
      </c>
      <c r="AL375" s="943">
        <f>_xlfn.SUMIFS(Покупка!AK$25:AK$372,Покупка!$F$25:$F$372,$F375,Покупка!$AC$25:$AC$372,$G375)</f>
        <v>0</v>
      </c>
      <c r="AM375" s="943">
        <f>_xlfn.SUMIFS(Покупка!AL$25:AL$372,Покупка!$F$25:$F$372,$F375,Покупка!$AC$25:$AC$372,$G375)</f>
        <v>0</v>
      </c>
      <c r="AN375" s="943">
        <f>_xlfn.SUMIFS(Покупка!AM$25:AM$372,Покупка!$F$25:$F$372,$F375,Покупка!$AC$25:$AC$372,$G375)</f>
        <v>0</v>
      </c>
      <c r="AO375" s="943">
        <f>_xlfn.SUMIFS(Покупка!AN$25:AN$372,Покупка!$F$25:$F$372,$F375,Покупка!$AC$25:$AC$372,$G375)</f>
        <v>0</v>
      </c>
      <c r="AP375" s="943">
        <f>_xlfn.SUMIFS(Покупка!AO$25:AO$372,Покупка!$F$25:$F$372,$F375,Покупка!$AC$25:$AC$372,$G375)</f>
        <v>0</v>
      </c>
      <c r="AQ375" s="943">
        <f>_xlfn.SUMIFS(Покупка!AP$25:AP$372,Покупка!$F$25:$F$372,$F375,Покупка!$AC$25:$AC$372,$G375)</f>
        <v>0</v>
      </c>
      <c r="AR375" s="943">
        <f>_xlfn.SUMIFS(Покупка!AQ$25:AQ$372,Покупка!$F$25:$F$372,$F375,Покупка!$AC$25:$AC$372,$G375)</f>
        <v>0</v>
      </c>
      <c r="AS375" s="943">
        <f>_xlfn.SUMIFS(Покупка!AR$25:AR$372,Покупка!$F$25:$F$372,$F375,Покупка!$AC$25:$AC$372,$G375)</f>
        <v>0</v>
      </c>
      <c r="AT375" s="943">
        <f>_xlfn.SUMIFS(Покупка!AS$25:AS$372,Покупка!$F$25:$F$372,$F375,Покупка!$AC$25:$AC$372,$G375)</f>
        <v>0</v>
      </c>
      <c r="AU375" s="943">
        <f>_xlfn.SUMIFS(Покупка!AT$25:AT$372,Покупка!$F$25:$F$372,$F375,Покупка!$AC$25:$AC$372,$G375)</f>
        <v>0</v>
      </c>
      <c r="AV375" s="943">
        <f>_xlfn.SUMIFS(Покупка!AU$25:AU$372,Покупка!$F$25:$F$372,$F375,Покупка!$AC$25:$AC$372,$G375)</f>
        <v>0</v>
      </c>
      <c r="AW375" s="943">
        <f>_xlfn.SUMIFS(Покупка!AV$25:AV$372,Покупка!$F$25:$F$372,$F375,Покупка!$AC$25:$AC$372,$G375)</f>
        <v>0</v>
      </c>
      <c r="AX375" s="943">
        <f>_xlfn.SUMIFS(Покупка!AW$25:AW$372,Покупка!$F$25:$F$372,$F375,Покупка!$AC$25:$AC$372,$G375)</f>
        <v>0</v>
      </c>
      <c r="AY375" s="943">
        <f>_xlfn.SUMIFS(Покупка!AX$25:AX$372,Покупка!$F$25:$F$372,$F375,Покупка!$AC$25:$AC$372,$G375)</f>
        <v>0</v>
      </c>
      <c r="AZ375" s="943">
        <f>_xlfn.SUMIFS(Покупка!AY$25:AY$372,Покупка!$F$25:$F$372,$F375,Покупка!$AC$25:$AC$372,$G375)</f>
        <v>0</v>
      </c>
      <c r="BA375" s="943">
        <f>_xlfn.SUMIFS(Покупка!AZ$25:AZ$372,Покупка!$F$25:$F$372,$F375,Покупка!$AC$25:$AC$372,$G375)</f>
        <v>0</v>
      </c>
      <c r="BB375" s="943">
        <f>_xlfn.SUMIFS(Покупка!BA$25:BA$372,Покупка!$F$25:$F$372,$F375,Покупка!$AC$25:$AC$372,$G375)</f>
        <v>0</v>
      </c>
      <c r="BC375" s="943">
        <f>_xlfn.SUMIFS(Покупка!BB$25:BB$372,Покупка!$F$25:$F$372,$F375,Покупка!$AC$25:$AC$372,$G375)</f>
        <v>0</v>
      </c>
      <c r="BD375" s="943">
        <f>IF(AI375=0,0,(AT375-AI375)/AI375*100)</f>
        <v>0</v>
      </c>
      <c r="BE375" s="943">
        <f>IF(AT375=0,0,(AU375-AT375)/AT375*100)</f>
        <v>0</v>
      </c>
      <c r="BF375" s="943">
        <f>IF(AU375=0,0,(AV375-AU375)/AU375*100)</f>
        <v>0</v>
      </c>
      <c r="BG375" s="943">
        <f>IF(AV375=0,0,(AW375-AV375)/AV375*100)</f>
        <v>0</v>
      </c>
      <c r="BH375" s="943">
        <f>IF(AW375=0,0,(AX375-AW375)/AW375*100)</f>
        <v>0</v>
      </c>
      <c r="BI375" s="943">
        <f>IF(AX375=0,0,(AY375-AX375)/AX375*100)</f>
        <v>0</v>
      </c>
      <c r="BJ375" s="943">
        <f>IF(AY375=0,0,(AZ375-AY375)/AY375*100)</f>
        <v>0</v>
      </c>
      <c r="BK375" s="943">
        <f>IF(AZ375=0,0,(BA375-AZ375)/AZ375*100)</f>
        <v>0</v>
      </c>
      <c r="BL375" s="943">
        <f>IF(BA375=0,0,(BB375-BA375)/BA375*100)</f>
        <v>0</v>
      </c>
      <c r="BM375" s="943">
        <f>IF(BB375=0,0,(BC375-BB375)/BB375*100)</f>
        <v>0</v>
      </c>
      <c r="BN375" s="7771"/>
      <c r="BO375" s="7724" t="str">
        <f>IF(_xlfn.IFERROR(INDEX(Покупка!$K$26:$L$372,MATCH($F375&amp;"3komm",Покупка!$K$26:$K$372,0),2),"")=0,"",_xlfn.IFERROR(INDEX(Покупка!$K$26:$L$372,MATCH($F375&amp;"3komm",Покупка!$K$26:$K$372,0),2),""))</f>
        <v/>
      </c>
      <c r="BP375" s="7771"/>
      <c r="BQ375" s="1278"/>
      <c r="BR375" s="1278"/>
      <c r="BS375" s="1064" t="s">
        <v>2459</v>
      </c>
      <c r="BT375" s="1064"/>
      <c r="BU375" s="1064"/>
      <c r="BV375" s="979"/>
      <c r="BW375" s="979"/>
    </row>
    <row s="1834" customFormat="1" customHeight="1" ht="14.25">
      <c r="A376" s="1278"/>
      <c r="B376" s="96"/>
      <c r="C376" s="107"/>
      <c r="D376" s="107"/>
      <c r="E376" s="621">
        <v>15</v>
      </c>
      <c r="F376" s="50" cm="1" t="str">
        <f t="array" ref="F376:F376">OFFSET(E376,-1,1)</f>
        <v>2</v>
      </c>
      <c r="G376" s="107" t="s">
        <v>1805</v>
      </c>
      <c r="H376" s="107"/>
      <c r="I376" s="107" t="s">
        <v>2759</v>
      </c>
      <c r="J376" s="107"/>
      <c r="K376" s="107" t="s">
        <v>2759</v>
      </c>
      <c r="L376" s="980" t="s">
        <v>2258</v>
      </c>
      <c r="M376" s="107"/>
      <c r="N376" s="107"/>
      <c r="O376" s="107"/>
      <c r="P376" s="107"/>
      <c r="Q376" s="107"/>
      <c r="R376" s="107"/>
      <c r="S376" s="107"/>
      <c r="T376" s="465" cm="1" t="str">
        <f t="array" ref="T376:T376">T375</f>
        <v>true</v>
      </c>
      <c r="U376" s="107"/>
      <c r="V376" s="107"/>
      <c r="W376" s="1278"/>
      <c r="X376" s="1563"/>
      <c r="Y376" s="1278"/>
      <c r="Z376" s="1546"/>
      <c r="AA376" s="1278"/>
      <c r="AB376" s="299" t="s">
        <v>2760</v>
      </c>
      <c r="AC376" s="765" t="s">
        <v>2761</v>
      </c>
      <c r="AD376" s="300" t="s">
        <v>1514</v>
      </c>
      <c r="AE376" s="259">
        <f>_xlfn.SUMIFS(Покупка!AE$25:AE$372,Покупка!$F$25:$F$372,$F376,Покупка!$AC$25:$AC$372,$G376)</f>
        <v>0</v>
      </c>
      <c r="AF376" s="259">
        <f>_xlfn.SUMIFS(Покупка!AF$25:AF$372,Покупка!$F$25:$F$372,$F376,Покупка!$AC$25:$AC$372,$G376)</f>
        <v>0</v>
      </c>
      <c r="AG376" s="259">
        <f>_xlfn.SUMIFS(Покупка!AG$25:AG$372,Покупка!$F$25:$F$372,$F376,Покупка!$AC$25:$AC$372,$G376)</f>
        <v>0</v>
      </c>
      <c r="AH376" s="943">
        <f>AG376-AF376</f>
        <v>0</v>
      </c>
      <c r="AI376" s="943">
        <f>_xlfn.SUMIFS(Покупка!AH$25:AH$372,Покупка!$F$25:$F$372,$F376,Покупка!$AC$25:$AC$372,$G376)</f>
        <v>0</v>
      </c>
      <c r="AJ376" s="943">
        <f>_xlfn.SUMIFS(Покупка!AI$25:AI$372,Покупка!$F$25:$F$372,$F376,Покупка!$AC$25:$AC$372,$G376)</f>
        <v>0</v>
      </c>
      <c r="AK376" s="943">
        <f>_xlfn.SUMIFS(Покупка!AJ$25:AJ$372,Покупка!$F$25:$F$372,$F376,Покупка!$AC$25:$AC$372,$G376)</f>
        <v>0</v>
      </c>
      <c r="AL376" s="943">
        <f>_xlfn.SUMIFS(Покупка!AK$25:AK$372,Покупка!$F$25:$F$372,$F376,Покупка!$AC$25:$AC$372,$G376)</f>
        <v>0</v>
      </c>
      <c r="AM376" s="943">
        <f>_xlfn.SUMIFS(Покупка!AL$25:AL$372,Покупка!$F$25:$F$372,$F376,Покупка!$AC$25:$AC$372,$G376)</f>
        <v>0</v>
      </c>
      <c r="AN376" s="943">
        <f>_xlfn.SUMIFS(Покупка!AM$25:AM$372,Покупка!$F$25:$F$372,$F376,Покупка!$AC$25:$AC$372,$G376)</f>
        <v>0</v>
      </c>
      <c r="AO376" s="943">
        <f>_xlfn.SUMIFS(Покупка!AN$25:AN$372,Покупка!$F$25:$F$372,$F376,Покупка!$AC$25:$AC$372,$G376)</f>
        <v>0</v>
      </c>
      <c r="AP376" s="943">
        <f>_xlfn.SUMIFS(Покупка!AO$25:AO$372,Покупка!$F$25:$F$372,$F376,Покупка!$AC$25:$AC$372,$G376)</f>
        <v>0</v>
      </c>
      <c r="AQ376" s="943">
        <f>_xlfn.SUMIFS(Покупка!AP$25:AP$372,Покупка!$F$25:$F$372,$F376,Покупка!$AC$25:$AC$372,$G376)</f>
        <v>0</v>
      </c>
      <c r="AR376" s="943">
        <f>_xlfn.SUMIFS(Покупка!AQ$25:AQ$372,Покупка!$F$25:$F$372,$F376,Покупка!$AC$25:$AC$372,$G376)</f>
        <v>0</v>
      </c>
      <c r="AS376" s="943">
        <f>_xlfn.SUMIFS(Покупка!AR$25:AR$372,Покупка!$F$25:$F$372,$F376,Покупка!$AC$25:$AC$372,$G376)</f>
        <v>0</v>
      </c>
      <c r="AT376" s="943">
        <f>_xlfn.SUMIFS(Покупка!AS$25:AS$372,Покупка!$F$25:$F$372,$F376,Покупка!$AC$25:$AC$372,$G376)</f>
        <v>0</v>
      </c>
      <c r="AU376" s="943">
        <f>_xlfn.SUMIFS(Покупка!AT$25:AT$372,Покупка!$F$25:$F$372,$F376,Покупка!$AC$25:$AC$372,$G376)</f>
        <v>0</v>
      </c>
      <c r="AV376" s="943">
        <f>_xlfn.SUMIFS(Покупка!AU$25:AU$372,Покупка!$F$25:$F$372,$F376,Покупка!$AC$25:$AC$372,$G376)</f>
        <v>0</v>
      </c>
      <c r="AW376" s="943">
        <f>_xlfn.SUMIFS(Покупка!AV$25:AV$372,Покупка!$F$25:$F$372,$F376,Покупка!$AC$25:$AC$372,$G376)</f>
        <v>0</v>
      </c>
      <c r="AX376" s="943">
        <f>_xlfn.SUMIFS(Покупка!AW$25:AW$372,Покупка!$F$25:$F$372,$F376,Покупка!$AC$25:$AC$372,$G376)</f>
        <v>0</v>
      </c>
      <c r="AY376" s="943">
        <f>_xlfn.SUMIFS(Покупка!AX$25:AX$372,Покупка!$F$25:$F$372,$F376,Покупка!$AC$25:$AC$372,$G376)</f>
        <v>0</v>
      </c>
      <c r="AZ376" s="943">
        <f>_xlfn.SUMIFS(Покупка!AY$25:AY$372,Покупка!$F$25:$F$372,$F376,Покупка!$AC$25:$AC$372,$G376)</f>
        <v>0</v>
      </c>
      <c r="BA376" s="943">
        <f>_xlfn.SUMIFS(Покупка!AZ$25:AZ$372,Покупка!$F$25:$F$372,$F376,Покупка!$AC$25:$AC$372,$G376)</f>
        <v>0</v>
      </c>
      <c r="BB376" s="943">
        <f>_xlfn.SUMIFS(Покупка!BA$25:BA$372,Покупка!$F$25:$F$372,$F376,Покупка!$AC$25:$AC$372,$G376)</f>
        <v>0</v>
      </c>
      <c r="BC376" s="943">
        <f>_xlfn.SUMIFS(Покупка!BB$25:BB$372,Покупка!$F$25:$F$372,$F376,Покупка!$AC$25:$AC$372,$G376)</f>
        <v>0</v>
      </c>
      <c r="BD376" s="943">
        <f>IF(AI376=0,0,(AT376-AI376)/AI376*100)</f>
        <v>0</v>
      </c>
      <c r="BE376" s="943">
        <f>IF(AT376=0,0,(AU376-AT376)/AT376*100)</f>
        <v>0</v>
      </c>
      <c r="BF376" s="943">
        <f>IF(AU376=0,0,(AV376-AU376)/AU376*100)</f>
        <v>0</v>
      </c>
      <c r="BG376" s="943">
        <f>IF(AV376=0,0,(AW376-AV376)/AV376*100)</f>
        <v>0</v>
      </c>
      <c r="BH376" s="943">
        <f>IF(AW376=0,0,(AX376-AW376)/AW376*100)</f>
        <v>0</v>
      </c>
      <c r="BI376" s="943">
        <f>IF(AX376=0,0,(AY376-AX376)/AX376*100)</f>
        <v>0</v>
      </c>
      <c r="BJ376" s="943">
        <f>IF(AY376=0,0,(AZ376-AY376)/AY376*100)</f>
        <v>0</v>
      </c>
      <c r="BK376" s="943">
        <f>IF(AZ376=0,0,(BA376-AZ376)/AZ376*100)</f>
        <v>0</v>
      </c>
      <c r="BL376" s="943">
        <f>IF(BA376=0,0,(BB376-BA376)/BA376*100)</f>
        <v>0</v>
      </c>
      <c r="BM376" s="943">
        <f>IF(BB376=0,0,(BC376-BB376)/BB376*100)</f>
        <v>0</v>
      </c>
      <c r="BN376" s="7771"/>
      <c r="BO376" s="7724" t="str">
        <f>IF(_xlfn.IFERROR(INDEX(Покупка!$K$26:$L$372,MATCH($F376&amp;"4komm",Покупка!$K$26:$K$372,0),2),"")=0,"",_xlfn.IFERROR(INDEX(Покупка!$K$26:$L$372,MATCH($F375&amp;"3komm",Покупка!$K$26:$K$372,0),2),""))</f>
        <v/>
      </c>
      <c r="BP376" s="7771"/>
      <c r="BQ376" s="1278"/>
      <c r="BR376" s="1278"/>
      <c r="BS376" s="1064" t="s">
        <v>2462</v>
      </c>
      <c r="BT376" s="1064"/>
      <c r="BU376" s="1064"/>
      <c r="BV376" s="979"/>
      <c r="BW376" s="979"/>
    </row>
    <row s="1834" customFormat="1" customHeight="1" ht="14.25">
      <c r="A377" s="1278"/>
      <c r="B377" s="96"/>
      <c r="C377" s="107"/>
      <c r="D377" s="107"/>
      <c r="E377" s="621">
        <v>15</v>
      </c>
      <c r="F377" s="50" cm="1" t="str">
        <f t="array" ref="F377:F377">OFFSET(E377,-1,1)</f>
        <v>2</v>
      </c>
      <c r="G377" s="107" t="s">
        <v>1812</v>
      </c>
      <c r="H377" s="107"/>
      <c r="I377" s="107" t="s">
        <v>2762</v>
      </c>
      <c r="J377" s="107"/>
      <c r="K377" s="107" t="s">
        <v>2762</v>
      </c>
      <c r="L377" s="980" t="s">
        <v>2268</v>
      </c>
      <c r="M377" s="107"/>
      <c r="N377" s="107"/>
      <c r="O377" s="107"/>
      <c r="P377" s="107"/>
      <c r="Q377" s="107"/>
      <c r="R377" s="107"/>
      <c r="S377" s="107"/>
      <c r="T377" s="465" cm="1" t="str">
        <f t="array" ref="T377:T377">T376</f>
        <v>true</v>
      </c>
      <c r="U377" s="107"/>
      <c r="V377" s="107"/>
      <c r="W377" s="1278"/>
      <c r="X377" s="1563"/>
      <c r="Y377" s="1278"/>
      <c r="Z377" s="1546"/>
      <c r="AA377" s="1278"/>
      <c r="AB377" s="299" t="s">
        <v>2763</v>
      </c>
      <c r="AC377" s="765" t="s">
        <v>2764</v>
      </c>
      <c r="AD377" s="300" t="s">
        <v>1514</v>
      </c>
      <c r="AE377" s="259">
        <f>_xlfn.SUMIFS(Покупка!AE$25:AE$372,Покупка!$F$25:$F$372,$F377,Покупка!$AC$25:$AC$372,$G377)</f>
        <v>0</v>
      </c>
      <c r="AF377" s="259">
        <f>_xlfn.SUMIFS(Покупка!AF$25:AF$372,Покупка!$F$25:$F$372,$F377,Покупка!$AC$25:$AC$372,$G377)</f>
        <v>0</v>
      </c>
      <c r="AG377" s="259">
        <f>_xlfn.SUMIFS(Покупка!AG$25:AG$372,Покупка!$F$25:$F$372,$F377,Покупка!$AC$25:$AC$372,$G377)</f>
        <v>0</v>
      </c>
      <c r="AH377" s="943">
        <f>AG377-AF377</f>
        <v>0</v>
      </c>
      <c r="AI377" s="943">
        <f>_xlfn.SUMIFS(Покупка!AH$25:AH$372,Покупка!$F$25:$F$372,$F377,Покупка!$AC$25:$AC$372,$G377)</f>
        <v>0</v>
      </c>
      <c r="AJ377" s="943">
        <f>_xlfn.SUMIFS(Покупка!AI$25:AI$372,Покупка!$F$25:$F$372,$F377,Покупка!$AC$25:$AC$372,$G377)</f>
        <v>0</v>
      </c>
      <c r="AK377" s="943">
        <f>_xlfn.SUMIFS(Покупка!AJ$25:AJ$372,Покупка!$F$25:$F$372,$F377,Покупка!$AC$25:$AC$372,$G377)</f>
        <v>0</v>
      </c>
      <c r="AL377" s="943">
        <f>_xlfn.SUMIFS(Покупка!AK$25:AK$372,Покупка!$F$25:$F$372,$F377,Покупка!$AC$25:$AC$372,$G377)</f>
        <v>0</v>
      </c>
      <c r="AM377" s="943">
        <f>_xlfn.SUMIFS(Покупка!AL$25:AL$372,Покупка!$F$25:$F$372,$F377,Покупка!$AC$25:$AC$372,$G377)</f>
        <v>0</v>
      </c>
      <c r="AN377" s="943">
        <f>_xlfn.SUMIFS(Покупка!AM$25:AM$372,Покупка!$F$25:$F$372,$F377,Покупка!$AC$25:$AC$372,$G377)</f>
        <v>0</v>
      </c>
      <c r="AO377" s="943">
        <f>_xlfn.SUMIFS(Покупка!AN$25:AN$372,Покупка!$F$25:$F$372,$F377,Покупка!$AC$25:$AC$372,$G377)</f>
        <v>0</v>
      </c>
      <c r="AP377" s="943">
        <f>_xlfn.SUMIFS(Покупка!AO$25:AO$372,Покупка!$F$25:$F$372,$F377,Покупка!$AC$25:$AC$372,$G377)</f>
        <v>0</v>
      </c>
      <c r="AQ377" s="943">
        <f>_xlfn.SUMIFS(Покупка!AP$25:AP$372,Покупка!$F$25:$F$372,$F377,Покупка!$AC$25:$AC$372,$G377)</f>
        <v>0</v>
      </c>
      <c r="AR377" s="943">
        <f>_xlfn.SUMIFS(Покупка!AQ$25:AQ$372,Покупка!$F$25:$F$372,$F377,Покупка!$AC$25:$AC$372,$G377)</f>
        <v>0</v>
      </c>
      <c r="AS377" s="943">
        <f>_xlfn.SUMIFS(Покупка!AR$25:AR$372,Покупка!$F$25:$F$372,$F377,Покупка!$AC$25:$AC$372,$G377)</f>
        <v>0</v>
      </c>
      <c r="AT377" s="943">
        <f>_xlfn.SUMIFS(Покупка!AS$25:AS$372,Покупка!$F$25:$F$372,$F377,Покупка!$AC$25:$AC$372,$G377)</f>
        <v>0</v>
      </c>
      <c r="AU377" s="943">
        <f>_xlfn.SUMIFS(Покупка!AT$25:AT$372,Покупка!$F$25:$F$372,$F377,Покупка!$AC$25:$AC$372,$G377)</f>
        <v>0</v>
      </c>
      <c r="AV377" s="943">
        <f>_xlfn.SUMIFS(Покупка!AU$25:AU$372,Покупка!$F$25:$F$372,$F377,Покупка!$AC$25:$AC$372,$G377)</f>
        <v>0</v>
      </c>
      <c r="AW377" s="943">
        <f>_xlfn.SUMIFS(Покупка!AV$25:AV$372,Покупка!$F$25:$F$372,$F377,Покупка!$AC$25:$AC$372,$G377)</f>
        <v>0</v>
      </c>
      <c r="AX377" s="943">
        <f>_xlfn.SUMIFS(Покупка!AW$25:AW$372,Покупка!$F$25:$F$372,$F377,Покупка!$AC$25:$AC$372,$G377)</f>
        <v>0</v>
      </c>
      <c r="AY377" s="943">
        <f>_xlfn.SUMIFS(Покупка!AX$25:AX$372,Покупка!$F$25:$F$372,$F377,Покупка!$AC$25:$AC$372,$G377)</f>
        <v>0</v>
      </c>
      <c r="AZ377" s="943">
        <f>_xlfn.SUMIFS(Покупка!AY$25:AY$372,Покупка!$F$25:$F$372,$F377,Покупка!$AC$25:$AC$372,$G377)</f>
        <v>0</v>
      </c>
      <c r="BA377" s="943">
        <f>_xlfn.SUMIFS(Покупка!AZ$25:AZ$372,Покупка!$F$25:$F$372,$F377,Покупка!$AC$25:$AC$372,$G377)</f>
        <v>0</v>
      </c>
      <c r="BB377" s="943">
        <f>_xlfn.SUMIFS(Покупка!BA$25:BA$372,Покупка!$F$25:$F$372,$F377,Покупка!$AC$25:$AC$372,$G377)</f>
        <v>0</v>
      </c>
      <c r="BC377" s="943">
        <f>_xlfn.SUMIFS(Покупка!BB$25:BB$372,Покупка!$F$25:$F$372,$F377,Покупка!$AC$25:$AC$372,$G377)</f>
        <v>0</v>
      </c>
      <c r="BD377" s="943">
        <f>IF(AI377=0,0,(AT377-AI377)/AI377*100)</f>
        <v>0</v>
      </c>
      <c r="BE377" s="943">
        <f>IF(AT377=0,0,(AU377-AT377)/AT377*100)</f>
        <v>0</v>
      </c>
      <c r="BF377" s="943">
        <f>IF(AU377=0,0,(AV377-AU377)/AU377*100)</f>
        <v>0</v>
      </c>
      <c r="BG377" s="943">
        <f>IF(AV377=0,0,(AW377-AV377)/AV377*100)</f>
        <v>0</v>
      </c>
      <c r="BH377" s="943">
        <f>IF(AW377=0,0,(AX377-AW377)/AW377*100)</f>
        <v>0</v>
      </c>
      <c r="BI377" s="943">
        <f>IF(AX377=0,0,(AY377-AX377)/AX377*100)</f>
        <v>0</v>
      </c>
      <c r="BJ377" s="943">
        <f>IF(AY377=0,0,(AZ377-AY377)/AY377*100)</f>
        <v>0</v>
      </c>
      <c r="BK377" s="943">
        <f>IF(AZ377=0,0,(BA377-AZ377)/AZ377*100)</f>
        <v>0</v>
      </c>
      <c r="BL377" s="943">
        <f>IF(BA377=0,0,(BB377-BA377)/BA377*100)</f>
        <v>0</v>
      </c>
      <c r="BM377" s="943">
        <f>IF(BB377=0,0,(BC377-BB377)/BB377*100)</f>
        <v>0</v>
      </c>
      <c r="BN377" s="7771"/>
      <c r="BO377" s="7724" t="str">
        <f>IF(_xlfn.IFERROR(INDEX(Покупка!$K$26:$L$372,MATCH($F377&amp;"5komm",Покупка!$K$26:$K$372,0),2),"")=0,"",_xlfn.IFERROR(INDEX(Покупка!$K$26:$L$372,MATCH($F377&amp;"5komm",Покупка!$K$26:$K$372,0),2),""))</f>
        <v/>
      </c>
      <c r="BP377" s="7771"/>
      <c r="BQ377" s="1278"/>
      <c r="BR377" s="1278"/>
      <c r="BS377" s="1064" t="s">
        <v>2465</v>
      </c>
      <c r="BT377" s="1064"/>
      <c r="BU377" s="1064"/>
      <c r="BV377" s="979"/>
      <c r="BW377" s="979"/>
    </row>
    <row s="1233" customFormat="1" customHeight="1" ht="14.25">
      <c r="A378" s="1233"/>
      <c r="B378" s="96"/>
      <c r="C378" s="107"/>
      <c r="D378" s="107"/>
      <c r="E378" s="621">
        <v>15</v>
      </c>
      <c r="F378" s="50" cm="1" t="str">
        <f t="array" ref="F378:F378">OFFSET(E378,-1,1)</f>
        <v>2</v>
      </c>
      <c r="G378" s="107" t="s">
        <v>1853</v>
      </c>
      <c r="H378" s="107"/>
      <c r="I378" s="107"/>
      <c r="J378" s="107"/>
      <c r="K378" s="107"/>
      <c r="L378" s="980" t="s">
        <v>2235</v>
      </c>
      <c r="M378" s="107"/>
      <c r="N378" s="107"/>
      <c r="O378" s="107"/>
      <c r="P378" s="107"/>
      <c r="Q378" s="107"/>
      <c r="R378" s="107"/>
      <c r="S378" s="107"/>
      <c r="T378" s="465" cm="1" t="str">
        <f t="array" ref="T378:T378">T377</f>
        <v>true</v>
      </c>
      <c r="U378" s="107"/>
      <c r="V378" s="107"/>
      <c r="W378" s="1233"/>
      <c r="X378" s="1563"/>
      <c r="Y378" s="1233"/>
      <c r="Z378" s="1546"/>
      <c r="AA378" s="1233"/>
      <c r="AB378" s="299" t="s">
        <v>2765</v>
      </c>
      <c r="AC378" s="765" t="s">
        <v>2766</v>
      </c>
      <c r="AD378" s="300" t="s">
        <v>1514</v>
      </c>
      <c r="AE378" s="259">
        <f>_xlfn.SUMIFS(Покупка!AE$25:AE$372,Покупка!$F$25:$F$372,$F378,Покупка!$AC$25:$AC$372,$G378)</f>
        <v>0</v>
      </c>
      <c r="AF378" s="259">
        <f>_xlfn.SUMIFS(Покупка!AF$25:AF$372,Покупка!$F$25:$F$372,$F378,Покупка!$AC$25:$AC$372,$G378)</f>
        <v>0</v>
      </c>
      <c r="AG378" s="259">
        <f>_xlfn.SUMIFS(Покупка!AG$25:AG$372,Покупка!$F$25:$F$372,$F378,Покупка!$AC$25:$AC$372,$G378)</f>
        <v>0</v>
      </c>
      <c r="AH378" s="943">
        <f>AG378-AF378</f>
        <v>0</v>
      </c>
      <c r="AI378" s="943">
        <f>_xlfn.SUMIFS(Покупка!AH$25:AH$372,Покупка!$F$25:$F$372,$F378,Покупка!$AC$25:$AC$372,$G378)</f>
        <v>0</v>
      </c>
      <c r="AJ378" s="1116">
        <f>_xlfn.SUMIFS(Покупка!AI$25:AI$372,Покупка!$F$25:$F$372,$F378,Покупка!$AC$25:$AC$372,$G378)</f>
        <v>0</v>
      </c>
      <c r="AK378" s="1116">
        <f>_xlfn.SUMIFS(Покупка!AJ$25:AJ$372,Покупка!$F$25:$F$372,$F378,Покупка!$AC$25:$AC$372,$G378)</f>
        <v>0</v>
      </c>
      <c r="AL378" s="1116">
        <f>_xlfn.SUMIFS(Покупка!AK$25:AK$372,Покупка!$F$25:$F$372,$F378,Покупка!$AC$25:$AC$372,$G378)</f>
        <v>0</v>
      </c>
      <c r="AM378" s="1116">
        <f>_xlfn.SUMIFS(Покупка!AL$25:AL$372,Покупка!$F$25:$F$372,$F378,Покупка!$AC$25:$AC$372,$G378)</f>
        <v>0</v>
      </c>
      <c r="AN378" s="1116">
        <f>_xlfn.SUMIFS(Покупка!AM$25:AM$372,Покупка!$F$25:$F$372,$F378,Покупка!$AC$25:$AC$372,$G378)</f>
        <v>0</v>
      </c>
      <c r="AO378" s="1116">
        <f>_xlfn.SUMIFS(Покупка!AN$25:AN$372,Покупка!$F$25:$F$372,$F378,Покупка!$AC$25:$AC$372,$G378)</f>
        <v>0</v>
      </c>
      <c r="AP378" s="1116">
        <f>_xlfn.SUMIFS(Покупка!AO$25:AO$372,Покупка!$F$25:$F$372,$F378,Покупка!$AC$25:$AC$372,$G378)</f>
        <v>0</v>
      </c>
      <c r="AQ378" s="1116">
        <f>_xlfn.SUMIFS(Покупка!AP$25:AP$372,Покупка!$F$25:$F$372,$F378,Покупка!$AC$25:$AC$372,$G378)</f>
        <v>0</v>
      </c>
      <c r="AR378" s="1116">
        <f>_xlfn.SUMIFS(Покупка!AQ$25:AQ$372,Покупка!$F$25:$F$372,$F378,Покупка!$AC$25:$AC$372,$G378)</f>
        <v>0</v>
      </c>
      <c r="AS378" s="1116">
        <f>_xlfn.SUMIFS(Покупка!AR$25:AR$372,Покупка!$F$25:$F$372,$F378,Покупка!$AC$25:$AC$372,$G378)</f>
        <v>0</v>
      </c>
      <c r="AT378" s="1116">
        <f>_xlfn.SUMIFS(Покупка!AS$25:AS$372,Покупка!$F$25:$F$372,$F378,Покупка!$AC$25:$AC$372,$G378)</f>
        <v>0</v>
      </c>
      <c r="AU378" s="1116">
        <f>_xlfn.SUMIFS(Покупка!AT$25:AT$372,Покупка!$F$25:$F$372,$F378,Покупка!$AC$25:$AC$372,$G378)</f>
        <v>0</v>
      </c>
      <c r="AV378" s="1116">
        <f>_xlfn.SUMIFS(Покупка!AU$25:AU$372,Покупка!$F$25:$F$372,$F378,Покупка!$AC$25:$AC$372,$G378)</f>
        <v>0</v>
      </c>
      <c r="AW378" s="1116">
        <f>_xlfn.SUMIFS(Покупка!AV$25:AV$372,Покупка!$F$25:$F$372,$F378,Покупка!$AC$25:$AC$372,$G378)</f>
        <v>0</v>
      </c>
      <c r="AX378" s="1116">
        <f>_xlfn.SUMIFS(Покупка!AW$25:AW$372,Покупка!$F$25:$F$372,$F378,Покупка!$AC$25:$AC$372,$G378)</f>
        <v>0</v>
      </c>
      <c r="AY378" s="1116">
        <f>_xlfn.SUMIFS(Покупка!AX$25:AX$372,Покупка!$F$25:$F$372,$F378,Покупка!$AC$25:$AC$372,$G378)</f>
        <v>0</v>
      </c>
      <c r="AZ378" s="1116">
        <f>_xlfn.SUMIFS(Покупка!AY$25:AY$372,Покупка!$F$25:$F$372,$F378,Покупка!$AC$25:$AC$372,$G378)</f>
        <v>0</v>
      </c>
      <c r="BA378" s="1116">
        <f>_xlfn.SUMIFS(Покупка!AZ$25:AZ$372,Покупка!$F$25:$F$372,$F378,Покупка!$AC$25:$AC$372,$G378)</f>
        <v>0</v>
      </c>
      <c r="BB378" s="1116">
        <f>_xlfn.SUMIFS(Покупка!BA$25:BA$372,Покупка!$F$25:$F$372,$F378,Покупка!$AC$25:$AC$372,$G378)</f>
        <v>0</v>
      </c>
      <c r="BC378" s="1116">
        <f>_xlfn.SUMIFS(Покупка!BB$25:BB$372,Покупка!$F$25:$F$372,$F378,Покупка!$AC$25:$AC$372,$G378)</f>
        <v>0</v>
      </c>
      <c r="BD378" s="943">
        <f>IF(AI378=0,0,(AT378-AI378)/AI378*100)</f>
        <v>0</v>
      </c>
      <c r="BE378" s="943">
        <f>IF(AT378=0,0,(AU378-AT378)/AT378*100)</f>
        <v>0</v>
      </c>
      <c r="BF378" s="943">
        <f>IF(AU378=0,0,(AV378-AU378)/AU378*100)</f>
        <v>0</v>
      </c>
      <c r="BG378" s="943">
        <f>IF(AV378=0,0,(AW378-AV378)/AV378*100)</f>
        <v>0</v>
      </c>
      <c r="BH378" s="943">
        <f>IF(AW378=0,0,(AX378-AW378)/AW378*100)</f>
        <v>0</v>
      </c>
      <c r="BI378" s="943">
        <f>IF(AX378=0,0,(AY378-AX378)/AX378*100)</f>
        <v>0</v>
      </c>
      <c r="BJ378" s="943">
        <f>IF(AY378=0,0,(AZ378-AY378)/AY378*100)</f>
        <v>0</v>
      </c>
      <c r="BK378" s="943">
        <f>IF(AZ378=0,0,(BA378-AZ378)/AZ378*100)</f>
        <v>0</v>
      </c>
      <c r="BL378" s="943">
        <f>IF(BA378=0,0,(BB378-BA378)/BA378*100)</f>
        <v>0</v>
      </c>
      <c r="BM378" s="943">
        <f>IF(BB378=0,0,(BC378-BB378)/BB378*100)</f>
        <v>0</v>
      </c>
      <c r="BN378" s="7771"/>
      <c r="BO378" s="7724" t="str">
        <f>IF(_xlfn.IFERROR(INDEX(Покупка!$K$26:$L$372,MATCH($F378&amp;"9komm",Покупка!$K$26:$K$372,0),2),"")=0,"",_xlfn.IFERROR(INDEX(Покупка!$K$26:$L$372,MATCH($F378&amp;"9komm",Покупка!$K$26:$K$372,0),2),""))</f>
        <v/>
      </c>
      <c r="BP378" s="7771"/>
      <c r="BQ378" s="1233"/>
      <c r="BR378" s="1233"/>
      <c r="BS378" s="1064" t="s">
        <v>1854</v>
      </c>
      <c r="BT378" s="1064"/>
      <c r="BU378" s="1064"/>
      <c r="BV378" s="703"/>
      <c r="BW378" s="703"/>
    </row>
    <row s="1834" customFormat="1" customHeight="1" ht="14.25">
      <c r="A379" s="1278"/>
      <c r="B379" s="96"/>
      <c r="C379" s="107"/>
      <c r="D379" s="107"/>
      <c r="E379" s="621">
        <v>15</v>
      </c>
      <c r="F379" s="50" cm="1" t="str">
        <f t="array" ref="F379:F379">OFFSET(E379,-1,1)</f>
        <v>2</v>
      </c>
      <c r="G379" s="107"/>
      <c r="H379" s="107"/>
      <c r="I379" s="107" t="s">
        <v>1196</v>
      </c>
      <c r="J379" s="107"/>
      <c r="K379" s="107" t="s">
        <v>1196</v>
      </c>
      <c r="L379" s="980"/>
      <c r="M379" s="107"/>
      <c r="N379" s="107"/>
      <c r="O379" s="107"/>
      <c r="P379" s="107"/>
      <c r="Q379" s="107"/>
      <c r="R379" s="107"/>
      <c r="S379" s="107"/>
      <c r="T379" s="465" cm="1" t="str">
        <f t="array" ref="T379:T379">T378</f>
        <v>true</v>
      </c>
      <c r="U379" s="107"/>
      <c r="V379" s="107"/>
      <c r="W379" s="1278"/>
      <c r="X379" s="1563"/>
      <c r="Y379" s="1278"/>
      <c r="Z379" s="1546"/>
      <c r="AA379" s="1278"/>
      <c r="AB379" s="299" t="s">
        <v>1254</v>
      </c>
      <c r="AC379" s="762" t="s">
        <v>2767</v>
      </c>
      <c r="AD379" s="779" t="s">
        <v>1514</v>
      </c>
      <c r="AE379" s="259">
        <f>_xlfn.SUMIFS('Сырье и материалы'!AE$25:AE$162,'Сырье и материалы'!$F$25:$F$162,$F379,'Сырье и материалы'!$I$25:$I$162,"Реагенты")</f>
        <v>0</v>
      </c>
      <c r="AF379" s="259">
        <f>_xlfn.SUMIFS('Сырье и материалы'!AF$25:AF$162,'Сырье и материалы'!$F$25:$F$162,$F379,'Сырье и материалы'!$I$25:$I$162,"Реагенты")</f>
        <v>0</v>
      </c>
      <c r="AG379" s="259">
        <f>_xlfn.SUMIFS('Сырье и материалы'!AG$25:AG$162,'Сырье и материалы'!$F$25:$F$162,$F379,'Сырье и материалы'!$I$25:$I$162,"Реагенты")</f>
        <v>0</v>
      </c>
      <c r="AH379" s="943">
        <f>AG379-AF379</f>
        <v>0</v>
      </c>
      <c r="AI379" s="943">
        <f>_xlfn.SUMIFS('Сырье и материалы'!AH$25:AH$162,'Сырье и материалы'!$F$25:$F$162,$F379,'Сырье и материалы'!$I$25:$I$162,"Реагенты")</f>
        <v>0</v>
      </c>
      <c r="AJ379" s="943">
        <f>_xlfn.SUMIFS('Сырье и материалы'!AI$25:AI$162,'Сырье и материалы'!$F$25:$F$162,$F379,'Сырье и материалы'!$I$25:$I$162,"Реагенты")</f>
        <v>8.2885088</v>
      </c>
      <c r="AK379" s="943">
        <f>_xlfn.SUMIFS('Сырье и материалы'!AJ$25:AJ$162,'Сырье и материалы'!$F$25:$F$162,$F379,'Сырье и материалы'!$I$25:$I$162,"Реагенты")</f>
        <v>8.6117606432</v>
      </c>
      <c r="AL379" s="943">
        <f>_xlfn.SUMIFS('Сырье и материалы'!AK$25:AK$162,'Сырье и материалы'!$F$25:$F$162,$F379,'Сырье и материалы'!$I$25:$I$162,"Реагенты")</f>
        <v>8.9390075476416</v>
      </c>
      <c r="AM379" s="943">
        <f>_xlfn.SUMIFS('Сырье и материалы'!AL$25:AL$162,'Сырье и материалы'!$F$25:$F$162,$F379,'Сырье и материалы'!$I$25:$I$162,"Реагенты")</f>
        <v>9.27868983445198</v>
      </c>
      <c r="AN379" s="943">
        <f>_xlfn.SUMIFS('Сырье и материалы'!AM$25:AM$162,'Сырье и материалы'!$F$25:$F$162,$F379,'Сырье и материалы'!$I$25:$I$162,"Реагенты")</f>
        <v>9.63128004816116</v>
      </c>
      <c r="AO379" s="943">
        <f>_xlfn.SUMIFS('Сырье и материалы'!AN$25:AN$162,'Сырье и материалы'!$F$25:$F$162,$F379,'Сырье и материалы'!$I$25:$I$162,"Реагенты")</f>
        <v>0</v>
      </c>
      <c r="AP379" s="943">
        <f>_xlfn.SUMIFS('Сырье и материалы'!AO$25:AO$162,'Сырье и материалы'!$F$25:$F$162,$F379,'Сырье и материалы'!$I$25:$I$162,"Реагенты")</f>
        <v>0</v>
      </c>
      <c r="AQ379" s="943">
        <f>_xlfn.SUMIFS('Сырье и материалы'!AP$25:AP$162,'Сырье и материалы'!$F$25:$F$162,$F379,'Сырье и материалы'!$I$25:$I$162,"Реагенты")</f>
        <v>0</v>
      </c>
      <c r="AR379" s="943">
        <f>_xlfn.SUMIFS('Сырье и материалы'!AQ$25:AQ$162,'Сырье и материалы'!$F$25:$F$162,$F379,'Сырье и материалы'!$I$25:$I$162,"Реагенты")</f>
        <v>0</v>
      </c>
      <c r="AS379" s="943">
        <f>_xlfn.SUMIFS('Сырье и материалы'!AR$25:AR$162,'Сырье и материалы'!$F$25:$F$162,$F379,'Сырье и материалы'!$I$25:$I$162,"Реагенты")</f>
        <v>0</v>
      </c>
      <c r="AT379" s="943">
        <f>_xlfn.SUMIFS('Сырье и материалы'!AS$25:AS$162,'Сырье и материалы'!$F$25:$F$162,$F379,'Сырье и материалы'!$I$25:$I$162,"Реагенты")</f>
        <v>8.2885088</v>
      </c>
      <c r="AU379" s="943">
        <f>_xlfn.SUMIFS('Сырье и материалы'!AT$25:AT$162,'Сырье и материалы'!$F$25:$F$162,$F379,'Сырье и материалы'!$I$25:$I$162,"Реагенты")</f>
        <v>8.6117606432</v>
      </c>
      <c r="AV379" s="943">
        <f>_xlfn.SUMIFS('Сырье и материалы'!AU$25:AU$162,'Сырье и материалы'!$F$25:$F$162,$F379,'Сырье и материалы'!$I$25:$I$162,"Реагенты")</f>
        <v>8.9390075476416</v>
      </c>
      <c r="AW379" s="943">
        <f>_xlfn.SUMIFS('Сырье и материалы'!AV$25:AV$162,'Сырье и материалы'!$F$25:$F$162,$F379,'Сырье и материалы'!$I$25:$I$162,"Реагенты")</f>
        <v>9.27868983445198</v>
      </c>
      <c r="AX379" s="943">
        <f>_xlfn.SUMIFS('Сырье и материалы'!AW$25:AW$162,'Сырье и материалы'!$F$25:$F$162,$F379,'Сырье и материалы'!$I$25:$I$162,"Реагенты")</f>
        <v>9.63128004816116</v>
      </c>
      <c r="AY379" s="943">
        <f>_xlfn.SUMIFS('Сырье и материалы'!AX$25:AX$162,'Сырье и материалы'!$F$25:$F$162,$F379,'Сырье и материалы'!$I$25:$I$162,"Реагенты")</f>
        <v>0</v>
      </c>
      <c r="AZ379" s="943">
        <f>_xlfn.SUMIFS('Сырье и материалы'!AY$25:AY$162,'Сырье и материалы'!$F$25:$F$162,$F379,'Сырье и материалы'!$I$25:$I$162,"Реагенты")</f>
        <v>0</v>
      </c>
      <c r="BA379" s="943">
        <f>_xlfn.SUMIFS('Сырье и материалы'!AZ$25:AZ$162,'Сырье и материалы'!$F$25:$F$162,$F379,'Сырье и материалы'!$I$25:$I$162,"Реагенты")</f>
        <v>0</v>
      </c>
      <c r="BB379" s="943">
        <f>_xlfn.SUMIFS('Сырье и материалы'!BA$25:BA$162,'Сырье и материалы'!$F$25:$F$162,$F379,'Сырье и материалы'!$I$25:$I$162,"Реагенты")</f>
        <v>0</v>
      </c>
      <c r="BC379" s="943">
        <f>_xlfn.SUMIFS('Сырье и материалы'!BB$25:BB$162,'Сырье и материалы'!$F$25:$F$162,$F379,'Сырье и материалы'!$I$25:$I$162,"Реагенты")</f>
        <v>0</v>
      </c>
      <c r="BD379" s="943">
        <f>IF(AI379=0,0,(AT379-AI379)/AI379*100)</f>
        <v>0</v>
      </c>
      <c r="BE379" s="943">
        <f>IF(AT379=0,0,(AU379-AT379)/AT379*100)</f>
        <v>3.9</v>
      </c>
      <c r="BF379" s="943">
        <f>IF(AU379=0,0,(AV379-AU379)/AU379*100)</f>
        <v>3.8</v>
      </c>
      <c r="BG379" s="943">
        <f>IF(AV379=0,0,(AW379-AV379)/AV379*100)</f>
        <v>3.8</v>
      </c>
      <c r="BH379" s="943">
        <f>IF(AW379=0,0,(AX379-AW379)/AW379*100)</f>
        <v>3.8000000000001</v>
      </c>
      <c r="BI379" s="943">
        <f>IF(AX379=0,0,(AY379-AX379)/AX379*100)</f>
        <v>-100</v>
      </c>
      <c r="BJ379" s="943">
        <f>IF(AY379=0,0,(AZ379-AY379)/AY379*100)</f>
        <v>0</v>
      </c>
      <c r="BK379" s="943">
        <f>IF(AZ379=0,0,(BA379-AZ379)/AZ379*100)</f>
        <v>0</v>
      </c>
      <c r="BL379" s="943">
        <f>IF(BA379=0,0,(BB379-BA379)/BA379*100)</f>
        <v>0</v>
      </c>
      <c r="BM379" s="943">
        <f>IF(BB379=0,0,(BC379-BB379)/BB379*100)</f>
        <v>0</v>
      </c>
      <c r="BN379" s="7771"/>
      <c r="BO379" s="7724" t="str">
        <f>IF(_xlfn.IFERROR(INDEX('Сырье и материалы'!$K$26:$L$162,MATCH($F379&amp;"komm",'Сырье и материалы'!$K$26:$K$162,0),2),"")=0,"",_xlfn.IFERROR(INDEX('Сырье и материалы'!$K$26:$L$162,MATCH($F379&amp;"komm",'Сырье и материалы'!$K$26:$K$162,0),2),""))</f>
        <v/>
      </c>
      <c r="BP379" s="7771"/>
      <c r="BQ379" s="1278"/>
      <c r="BR379" s="1278"/>
      <c r="BS379" s="1064" t="s">
        <v>2438</v>
      </c>
      <c r="BT379" s="1064"/>
      <c r="BU379" s="1064"/>
      <c r="BV379" s="979"/>
      <c r="BW379" s="979"/>
    </row>
    <row s="7838" customFormat="1" customHeight="1" ht="20.25">
      <c r="A380" s="700"/>
      <c r="B380" s="111"/>
      <c r="C380" s="109"/>
      <c r="D380" s="109"/>
      <c r="E380" s="826">
        <v>21</v>
      </c>
      <c r="F380" s="50" cm="1" t="str">
        <f t="array" ref="F380:F380">OFFSET(E380,-1,1)</f>
        <v>2</v>
      </c>
      <c r="G380" s="109"/>
      <c r="H380" s="107"/>
      <c r="I380" s="107" t="s">
        <v>1648</v>
      </c>
      <c r="J380" s="109"/>
      <c r="K380" s="107" t="s">
        <v>1648</v>
      </c>
      <c r="L380" s="985" t="s">
        <v>1228</v>
      </c>
      <c r="M380" s="109"/>
      <c r="N380" s="109"/>
      <c r="O380" s="109"/>
      <c r="P380" s="109"/>
      <c r="Q380" s="109"/>
      <c r="R380" s="109"/>
      <c r="S380" s="109"/>
      <c r="T380" s="465" cm="1" t="str">
        <f t="array" ref="T380:T380">T379</f>
        <v>true</v>
      </c>
      <c r="U380" s="109"/>
      <c r="V380" s="109"/>
      <c r="W380" s="700"/>
      <c r="X380" s="1563"/>
      <c r="Y380" s="700"/>
      <c r="Z380" s="1546"/>
      <c r="AA380" s="700"/>
      <c r="AB380" s="218" t="s">
        <v>1258</v>
      </c>
      <c r="AC380" s="361" t="s">
        <v>2768</v>
      </c>
      <c r="AD380" s="211" t="s">
        <v>1514</v>
      </c>
      <c r="AE380" s="778">
        <f>SUM(AE381:AE390)</f>
        <v>0</v>
      </c>
      <c r="AF380" s="778">
        <f>SUM(AF381:AF390)</f>
        <v>0</v>
      </c>
      <c r="AG380" s="778">
        <f>SUM(AG381:AG390)</f>
        <v>0</v>
      </c>
      <c r="AH380" s="761">
        <f>AG380-AF380</f>
        <v>0</v>
      </c>
      <c r="AI380" s="761">
        <f>SUM(AI381:AI390)</f>
        <v>0</v>
      </c>
      <c r="AJ380" s="770">
        <f>SUM(AJ381:AJ390)</f>
        <v>179.0635</v>
      </c>
      <c r="AK380" s="761">
        <f>SUM(AK381:AK390)</f>
        <v>167.668</v>
      </c>
      <c r="AL380" s="761">
        <f>SUM(AL381:AL390)</f>
        <v>171.136</v>
      </c>
      <c r="AM380" s="761">
        <f>SUM(AM381:AM390)</f>
        <v>372.259</v>
      </c>
      <c r="AN380" s="761">
        <f>SUM(AN381:AN390)</f>
        <v>321.369</v>
      </c>
      <c r="AO380" s="761">
        <f>SUM(AO381:AO390)</f>
        <v>0</v>
      </c>
      <c r="AP380" s="761">
        <f>SUM(AP381:AP390)</f>
        <v>0</v>
      </c>
      <c r="AQ380" s="761">
        <f>SUM(AQ381:AQ390)</f>
        <v>0</v>
      </c>
      <c r="AR380" s="761">
        <f>SUM(AR381:AR390)</f>
        <v>0</v>
      </c>
      <c r="AS380" s="761">
        <f>SUM(AS381:AS390)</f>
        <v>0</v>
      </c>
      <c r="AT380" s="770">
        <f>SUM(AT381:AT390)</f>
        <v>179.0635</v>
      </c>
      <c r="AU380" s="761">
        <f>SUM(AU381:AU390)</f>
        <v>167.668</v>
      </c>
      <c r="AV380" s="761">
        <f>SUM(AV381:AV390)</f>
        <v>171.136</v>
      </c>
      <c r="AW380" s="761">
        <f>SUM(AW381:AW390)</f>
        <v>372.259</v>
      </c>
      <c r="AX380" s="761">
        <f>SUM(AX381:AX390)</f>
        <v>321.369</v>
      </c>
      <c r="AY380" s="761">
        <f>SUM(AY381:AY390)</f>
        <v>0</v>
      </c>
      <c r="AZ380" s="761">
        <f>SUM(AZ381:AZ390)</f>
        <v>0</v>
      </c>
      <c r="BA380" s="761">
        <f>SUM(BA381:BA390)</f>
        <v>0</v>
      </c>
      <c r="BB380" s="761">
        <f>SUM(BB381:BB390)</f>
        <v>0</v>
      </c>
      <c r="BC380" s="761">
        <f>SUM(BC381:BC390)</f>
        <v>0</v>
      </c>
      <c r="BD380" s="761">
        <f>IF(AI380=0,0,(AT380-AI380)/AI380*100)</f>
        <v>0</v>
      </c>
      <c r="BE380" s="761">
        <f>IF(AT380=0,0,(AU380-AT380)/AT380*100)</f>
        <v>-6.36394351724388</v>
      </c>
      <c r="BF380" s="761">
        <f>IF(AU380=0,0,(AV380-AU380)/AU380*100)</f>
        <v>2.06837321373189</v>
      </c>
      <c r="BG380" s="761">
        <f>IF(AV380=0,0,(AW380-AV380)/AV380*100)</f>
        <v>117.522321428571</v>
      </c>
      <c r="BH380" s="761">
        <f>IF(AW380=0,0,(AX380-AW380)/AW380*100)</f>
        <v>-13.6705895626432</v>
      </c>
      <c r="BI380" s="761">
        <f>IF(AX380=0,0,(AY380-AX380)/AX380*100)</f>
        <v>-100</v>
      </c>
      <c r="BJ380" s="761">
        <f>IF(AY380=0,0,(AZ380-AY380)/AY380*100)</f>
        <v>0</v>
      </c>
      <c r="BK380" s="761">
        <f>IF(AZ380=0,0,(BA380-AZ380)/AZ380*100)</f>
        <v>0</v>
      </c>
      <c r="BL380" s="761">
        <f>IF(BA380=0,0,(BB380-BA380)/BA380*100)</f>
        <v>0</v>
      </c>
      <c r="BM380" s="761">
        <f>IF(BB380=0,0,(BC380-BB380)/BB380*100)</f>
        <v>0</v>
      </c>
      <c r="BN380" s="7436"/>
      <c r="BO380" s="7724" t="str">
        <f>IF(_xlfn.IFERROR(INDEX(Налоги!$K$26:$L$101,MATCH($F380&amp;"komm",Налоги!$K$26:$K$101,0),2),"")=0,"",_xlfn.IFERROR(INDEX(Налоги!$K$26:$L$101,MATCH($F380&amp;"komm",Налоги!$K$26:$K$101,0),2),""))</f>
        <v>В соответствии с п.п. 2 п. 49 Методических указаний 1746-э.</v>
      </c>
      <c r="BP380" s="7436"/>
      <c r="BQ380" s="700"/>
      <c r="BR380" s="700"/>
      <c r="BS380" s="1070" t="s">
        <v>1999</v>
      </c>
      <c r="BT380" s="1070"/>
      <c r="BU380" s="1070"/>
      <c r="BV380" s="707"/>
      <c r="BW380" s="707"/>
    </row>
    <row s="1834" customFormat="1" customHeight="1" ht="14.25">
      <c r="A381" s="1278"/>
      <c r="B381" s="96"/>
      <c r="C381" s="107"/>
      <c r="D381" s="107"/>
      <c r="E381" s="621">
        <v>15</v>
      </c>
      <c r="F381" s="50" cm="1" t="str">
        <f t="array" ref="F381:F381">OFFSET(E381,-1,1)</f>
        <v>2</v>
      </c>
      <c r="G381" s="922">
        <v>7</v>
      </c>
      <c r="H381" s="107"/>
      <c r="I381" s="107" t="s">
        <v>2769</v>
      </c>
      <c r="J381" s="107"/>
      <c r="K381" s="107" t="s">
        <v>2769</v>
      </c>
      <c r="L381" s="980"/>
      <c r="M381" s="107"/>
      <c r="N381" s="107"/>
      <c r="O381" s="107"/>
      <c r="P381" s="107"/>
      <c r="Q381" s="107"/>
      <c r="R381" s="107"/>
      <c r="S381" s="107"/>
      <c r="T381" s="465" cm="1" t="str">
        <f t="array" ref="T381:T381">T380</f>
        <v>true</v>
      </c>
      <c r="U381" s="107"/>
      <c r="V381" s="107"/>
      <c r="W381" s="1278"/>
      <c r="X381" s="1563"/>
      <c r="Y381" s="1278"/>
      <c r="Z381" s="1546"/>
      <c r="AA381" s="1278"/>
      <c r="AB381" s="299" t="s">
        <v>1212</v>
      </c>
      <c r="AC381" s="765" t="s">
        <v>2013</v>
      </c>
      <c r="AD381" s="300" t="s">
        <v>1514</v>
      </c>
      <c r="AE381" s="259">
        <f>_xlfn.SUMIFS(Налоги!AE$25:AE$101,Налоги!$F$25:$F$101,$F381,Налоги!$AB$25:$AB$101,$G381)</f>
        <v>0</v>
      </c>
      <c r="AF381" s="259">
        <f>_xlfn.SUMIFS(Налоги!AF$25:AF$101,Налоги!$F$25:$F$101,$F381,Налоги!$AB$25:$AB$101,$G381)</f>
        <v>0</v>
      </c>
      <c r="AG381" s="259">
        <f>_xlfn.SUMIFS(Налоги!AG$25:AG$101,Налоги!$F$25:$F$101,$F381,Налоги!$AB$25:$AB$101,$G381)</f>
        <v>0</v>
      </c>
      <c r="AH381" s="943">
        <f>AG381-AF381</f>
        <v>0</v>
      </c>
      <c r="AI381" s="943">
        <f>_xlfn.SUMIFS(Налоги!AH$25:AH$101,Налоги!$F$25:$F$101,$F381,Налоги!$AB$25:$AB$101,$G381)</f>
        <v>0</v>
      </c>
      <c r="AJ381" s="943">
        <f>_xlfn.SUMIFS(Налоги!AI$25:AI$101,Налоги!$F$25:$F$101,$F381,Налоги!$AB$25:$AB$101,$G381)</f>
        <v>0</v>
      </c>
      <c r="AK381" s="943">
        <f>_xlfn.SUMIFS(Налоги!AJ$25:AJ$101,Налоги!$F$25:$F$101,$F381,Налоги!$AB$25:$AB$101,$G381)</f>
        <v>0</v>
      </c>
      <c r="AL381" s="943">
        <f>_xlfn.SUMIFS(Налоги!AK$25:AK$101,Налоги!$F$25:$F$101,$F381,Налоги!$AB$25:$AB$101,$G381)</f>
        <v>0</v>
      </c>
      <c r="AM381" s="943">
        <f>_xlfn.SUMIFS(Налоги!AL$25:AL$101,Налоги!$F$25:$F$101,$F381,Налоги!$AB$25:$AB$101,$G381)</f>
        <v>0</v>
      </c>
      <c r="AN381" s="943">
        <f>_xlfn.SUMIFS(Налоги!AM$25:AM$101,Налоги!$F$25:$F$101,$F381,Налоги!$AB$25:$AB$101,$G381)</f>
        <v>0</v>
      </c>
      <c r="AO381" s="943">
        <f>_xlfn.SUMIFS(Налоги!AN$25:AN$101,Налоги!$F$25:$F$101,$F381,Налоги!$AB$25:$AB$101,$G381)</f>
        <v>0</v>
      </c>
      <c r="AP381" s="943">
        <f>_xlfn.SUMIFS(Налоги!AO$25:AO$101,Налоги!$F$25:$F$101,$F381,Налоги!$AB$25:$AB$101,$G381)</f>
        <v>0</v>
      </c>
      <c r="AQ381" s="943">
        <f>_xlfn.SUMIFS(Налоги!AP$25:AP$101,Налоги!$F$25:$F$101,$F381,Налоги!$AB$25:$AB$101,$G381)</f>
        <v>0</v>
      </c>
      <c r="AR381" s="943">
        <f>_xlfn.SUMIFS(Налоги!AQ$25:AQ$101,Налоги!$F$25:$F$101,$F381,Налоги!$AB$25:$AB$101,$G381)</f>
        <v>0</v>
      </c>
      <c r="AS381" s="943">
        <f>_xlfn.SUMIFS(Налоги!AR$25:AR$101,Налоги!$F$25:$F$101,$F381,Налоги!$AB$25:$AB$101,$G381)</f>
        <v>0</v>
      </c>
      <c r="AT381" s="943">
        <f>_xlfn.SUMIFS(Налоги!AS$25:AS$101,Налоги!$F$25:$F$101,$F381,Налоги!$AB$25:$AB$101,$G381)</f>
        <v>0</v>
      </c>
      <c r="AU381" s="943">
        <f>_xlfn.SUMIFS(Налоги!AT$25:AT$101,Налоги!$F$25:$F$101,$F381,Налоги!$AB$25:$AB$101,$G381)</f>
        <v>0</v>
      </c>
      <c r="AV381" s="943">
        <f>_xlfn.SUMIFS(Налоги!AU$25:AU$101,Налоги!$F$25:$F$101,$F381,Налоги!$AB$25:$AB$101,$G381)</f>
        <v>0</v>
      </c>
      <c r="AW381" s="943">
        <f>_xlfn.SUMIFS(Налоги!AV$25:AV$101,Налоги!$F$25:$F$101,$F381,Налоги!$AB$25:$AB$101,$G381)</f>
        <v>0</v>
      </c>
      <c r="AX381" s="943">
        <f>_xlfn.SUMIFS(Налоги!AW$25:AW$101,Налоги!$F$25:$F$101,$F381,Налоги!$AB$25:$AB$101,$G381)</f>
        <v>0</v>
      </c>
      <c r="AY381" s="943">
        <f>_xlfn.SUMIFS(Налоги!AX$25:AX$101,Налоги!$F$25:$F$101,$F381,Налоги!$AB$25:$AB$101,$G381)</f>
        <v>0</v>
      </c>
      <c r="AZ381" s="943">
        <f>_xlfn.SUMIFS(Налоги!AY$25:AY$101,Налоги!$F$25:$F$101,$F381,Налоги!$AB$25:$AB$101,$G381)</f>
        <v>0</v>
      </c>
      <c r="BA381" s="943">
        <f>_xlfn.SUMIFS(Налоги!AZ$25:AZ$101,Налоги!$F$25:$F$101,$F381,Налоги!$AB$25:$AB$101,$G381)</f>
        <v>0</v>
      </c>
      <c r="BB381" s="943">
        <f>_xlfn.SUMIFS(Налоги!BA$25:BA$101,Налоги!$F$25:$F$101,$F381,Налоги!$AB$25:$AB$101,$G381)</f>
        <v>0</v>
      </c>
      <c r="BC381" s="943">
        <f>_xlfn.SUMIFS(Налоги!BB$25:BB$101,Налоги!$F$25:$F$101,$F381,Налоги!$AB$25:$AB$101,$G381)</f>
        <v>0</v>
      </c>
      <c r="BD381" s="943">
        <f>IF(AI381=0,0,(AT381-AI381)/AI381*100)</f>
        <v>0</v>
      </c>
      <c r="BE381" s="943">
        <f>IF(AT381=0,0,(AU381-AT381)/AT381*100)</f>
        <v>0</v>
      </c>
      <c r="BF381" s="943">
        <f>IF(AU381=0,0,(AV381-AU381)/AU381*100)</f>
        <v>0</v>
      </c>
      <c r="BG381" s="943">
        <f>IF(AV381=0,0,(AW381-AV381)/AV381*100)</f>
        <v>0</v>
      </c>
      <c r="BH381" s="943">
        <f>IF(AW381=0,0,(AX381-AW381)/AW381*100)</f>
        <v>0</v>
      </c>
      <c r="BI381" s="943">
        <f>IF(AX381=0,0,(AY381-AX381)/AX381*100)</f>
        <v>0</v>
      </c>
      <c r="BJ381" s="943">
        <f>IF(AY381=0,0,(AZ381-AY381)/AY381*100)</f>
        <v>0</v>
      </c>
      <c r="BK381" s="943">
        <f>IF(AZ381=0,0,(BA381-AZ381)/AZ381*100)</f>
        <v>0</v>
      </c>
      <c r="BL381" s="943">
        <f>IF(BA381=0,0,(BB381-BA381)/BA381*100)</f>
        <v>0</v>
      </c>
      <c r="BM381" s="943">
        <f>IF(BB381=0,0,(BC381-BB381)/BB381*100)</f>
        <v>0</v>
      </c>
      <c r="BN381" s="7771"/>
      <c r="BO381" s="7724" t="str">
        <f>IF(_xlfn.IFERROR(INDEX(Налоги!$K$26:$L$101,MATCH($F381&amp;"7komm",Налоги!$K$26:$K$101,0),2),"")=0,"",_xlfn.IFERROR(INDEX(Налоги!$K$26:$L$101,MATCH($F381&amp;"7komm",Налоги!$K$26:$K$101,0),2),""))</f>
        <v/>
      </c>
      <c r="BP381" s="7771"/>
      <c r="BQ381" s="1278"/>
      <c r="BR381" s="1278"/>
      <c r="BS381" s="1064" t="s">
        <v>2770</v>
      </c>
      <c r="BT381" s="1064"/>
      <c r="BU381" s="1064"/>
      <c r="BV381" s="979"/>
      <c r="BW381" s="979"/>
    </row>
    <row s="1834" customFormat="1" customHeight="1" ht="14.25">
      <c r="A382" s="1278"/>
      <c r="B382" s="96"/>
      <c r="C382" s="107"/>
      <c r="D382" s="107"/>
      <c r="E382" s="621">
        <v>15</v>
      </c>
      <c r="F382" s="50" cm="1" t="str">
        <f t="array" ref="F382:F382">OFFSET(E382,-1,1)</f>
        <v>2</v>
      </c>
      <c r="G382" s="922">
        <v>6</v>
      </c>
      <c r="H382" s="107"/>
      <c r="I382" s="107" t="s">
        <v>2771</v>
      </c>
      <c r="J382" s="107"/>
      <c r="K382" s="107" t="s">
        <v>2771</v>
      </c>
      <c r="L382" s="980"/>
      <c r="M382" s="107"/>
      <c r="N382" s="107"/>
      <c r="O382" s="107"/>
      <c r="P382" s="107"/>
      <c r="Q382" s="107"/>
      <c r="R382" s="107"/>
      <c r="S382" s="107"/>
      <c r="T382" s="465" cm="1" t="str">
        <f t="array" ref="T382:T382">T381</f>
        <v>true</v>
      </c>
      <c r="U382" s="107"/>
      <c r="V382" s="107"/>
      <c r="W382" s="1278"/>
      <c r="X382" s="1563"/>
      <c r="Y382" s="1278"/>
      <c r="Z382" s="1546"/>
      <c r="AA382" s="1278"/>
      <c r="AB382" s="299" t="s">
        <v>2225</v>
      </c>
      <c r="AC382" s="765" t="s">
        <v>2772</v>
      </c>
      <c r="AD382" s="300" t="s">
        <v>1514</v>
      </c>
      <c r="AE382" s="259">
        <f>_xlfn.SUMIFS(Налоги!AE$25:AE$101,Налоги!$F$25:$F$101,$F382,Налоги!$AB$25:$AB$101,$G382)</f>
        <v>0</v>
      </c>
      <c r="AF382" s="259">
        <f>_xlfn.SUMIFS(Налоги!AF$25:AF$101,Налоги!$F$25:$F$101,$F382,Налоги!$AB$25:$AB$101,$G382)</f>
        <v>0</v>
      </c>
      <c r="AG382" s="259">
        <f>_xlfn.SUMIFS(Налоги!AG$25:AG$101,Налоги!$F$25:$F$101,$F382,Налоги!$AB$25:$AB$101,$G382)</f>
        <v>0</v>
      </c>
      <c r="AH382" s="943">
        <f>AG382-AF382</f>
        <v>0</v>
      </c>
      <c r="AI382" s="943">
        <f>_xlfn.SUMIFS(Налоги!AH$25:AH$101,Налоги!$F$25:$F$101,$F382,Налоги!$AB$25:$AB$101,$G382)</f>
        <v>0</v>
      </c>
      <c r="AJ382" s="943">
        <f>_xlfn.SUMIFS(Налоги!AI$25:AI$101,Налоги!$F$25:$F$101,$F382,Налоги!$AB$25:$AB$101,$G382)</f>
        <v>179.0635</v>
      </c>
      <c r="AK382" s="943">
        <f>_xlfn.SUMIFS(Налоги!AJ$25:AJ$101,Налоги!$F$25:$F$101,$F382,Налоги!$AB$25:$AB$101,$G382)</f>
        <v>167.668</v>
      </c>
      <c r="AL382" s="943">
        <f>_xlfn.SUMIFS(Налоги!AK$25:AK$101,Налоги!$F$25:$F$101,$F382,Налоги!$AB$25:$AB$101,$G382)</f>
        <v>156.476</v>
      </c>
      <c r="AM382" s="943">
        <f>_xlfn.SUMIFS(Налоги!AL$25:AL$101,Налоги!$F$25:$F$101,$F382,Налоги!$AB$25:$AB$101,$G382)</f>
        <v>291.179</v>
      </c>
      <c r="AN382" s="943">
        <f>_xlfn.SUMIFS(Налоги!AM$25:AM$101,Налоги!$F$25:$F$101,$F382,Налоги!$AB$25:$AB$101,$G382)</f>
        <v>269.609</v>
      </c>
      <c r="AO382" s="943">
        <f>_xlfn.SUMIFS(Налоги!AN$25:AN$101,Налоги!$F$25:$F$101,$F382,Налоги!$AB$25:$AB$101,$G382)</f>
        <v>0</v>
      </c>
      <c r="AP382" s="943">
        <f>_xlfn.SUMIFS(Налоги!AO$25:AO$101,Налоги!$F$25:$F$101,$F382,Налоги!$AB$25:$AB$101,$G382)</f>
        <v>0</v>
      </c>
      <c r="AQ382" s="943">
        <f>_xlfn.SUMIFS(Налоги!AP$25:AP$101,Налоги!$F$25:$F$101,$F382,Налоги!$AB$25:$AB$101,$G382)</f>
        <v>0</v>
      </c>
      <c r="AR382" s="943">
        <f>_xlfn.SUMIFS(Налоги!AQ$25:AQ$101,Налоги!$F$25:$F$101,$F382,Налоги!$AB$25:$AB$101,$G382)</f>
        <v>0</v>
      </c>
      <c r="AS382" s="943">
        <f>_xlfn.SUMIFS(Налоги!AR$25:AR$101,Налоги!$F$25:$F$101,$F382,Налоги!$AB$25:$AB$101,$G382)</f>
        <v>0</v>
      </c>
      <c r="AT382" s="943">
        <f>_xlfn.SUMIFS(Налоги!AS$25:AS$101,Налоги!$F$25:$F$101,$F382,Налоги!$AB$25:$AB$101,$G382)</f>
        <v>179.0635</v>
      </c>
      <c r="AU382" s="943">
        <f>_xlfn.SUMIFS(Налоги!AT$25:AT$101,Налоги!$F$25:$F$101,$F382,Налоги!$AB$25:$AB$101,$G382)</f>
        <v>167.668</v>
      </c>
      <c r="AV382" s="943">
        <f>_xlfn.SUMIFS(Налоги!AU$25:AU$101,Налоги!$F$25:$F$101,$F382,Налоги!$AB$25:$AB$101,$G382)</f>
        <v>156.476</v>
      </c>
      <c r="AW382" s="943">
        <f>_xlfn.SUMIFS(Налоги!AV$25:AV$101,Налоги!$F$25:$F$101,$F382,Налоги!$AB$25:$AB$101,$G382)</f>
        <v>291.179</v>
      </c>
      <c r="AX382" s="943">
        <f>_xlfn.SUMIFS(Налоги!AW$25:AW$101,Налоги!$F$25:$F$101,$F382,Налоги!$AB$25:$AB$101,$G382)</f>
        <v>269.609</v>
      </c>
      <c r="AY382" s="943">
        <f>_xlfn.SUMIFS(Налоги!AX$25:AX$101,Налоги!$F$25:$F$101,$F382,Налоги!$AB$25:$AB$101,$G382)</f>
        <v>0</v>
      </c>
      <c r="AZ382" s="943">
        <f>_xlfn.SUMIFS(Налоги!AY$25:AY$101,Налоги!$F$25:$F$101,$F382,Налоги!$AB$25:$AB$101,$G382)</f>
        <v>0</v>
      </c>
      <c r="BA382" s="943">
        <f>_xlfn.SUMIFS(Налоги!AZ$25:AZ$101,Налоги!$F$25:$F$101,$F382,Налоги!$AB$25:$AB$101,$G382)</f>
        <v>0</v>
      </c>
      <c r="BB382" s="943">
        <f>_xlfn.SUMIFS(Налоги!BA$25:BA$101,Налоги!$F$25:$F$101,$F382,Налоги!$AB$25:$AB$101,$G382)</f>
        <v>0</v>
      </c>
      <c r="BC382" s="943">
        <f>_xlfn.SUMIFS(Налоги!BB$25:BB$101,Налоги!$F$25:$F$101,$F382,Налоги!$AB$25:$AB$101,$G382)</f>
        <v>0</v>
      </c>
      <c r="BD382" s="943">
        <f>IF(AI382=0,0,(AT382-AI382)/AI382*100)</f>
        <v>0</v>
      </c>
      <c r="BE382" s="943">
        <f>IF(AT382=0,0,(AU382-AT382)/AT382*100)</f>
        <v>-6.36394351724388</v>
      </c>
      <c r="BF382" s="943">
        <f>IF(AU382=0,0,(AV382-AU382)/AU382*100)</f>
        <v>-6.67509602309326</v>
      </c>
      <c r="BG382" s="943">
        <f>IF(AV382=0,0,(AW382-AV382)/AV382*100)</f>
        <v>86.0854060686623</v>
      </c>
      <c r="BH382" s="943">
        <f>IF(AW382=0,0,(AX382-AW382)/AW382*100)</f>
        <v>-7.40781443716751</v>
      </c>
      <c r="BI382" s="943">
        <f>IF(AX382=0,0,(AY382-AX382)/AX382*100)</f>
        <v>-100</v>
      </c>
      <c r="BJ382" s="943">
        <f>IF(AY382=0,0,(AZ382-AY382)/AY382*100)</f>
        <v>0</v>
      </c>
      <c r="BK382" s="943">
        <f>IF(AZ382=0,0,(BA382-AZ382)/AZ382*100)</f>
        <v>0</v>
      </c>
      <c r="BL382" s="943">
        <f>IF(BA382=0,0,(BB382-BA382)/BA382*100)</f>
        <v>0</v>
      </c>
      <c r="BM382" s="943">
        <f>IF(BB382=0,0,(BC382-BB382)/BB382*100)</f>
        <v>0</v>
      </c>
      <c r="BN382" s="7771"/>
      <c r="BO382" s="7724" t="str">
        <f>IF(_xlfn.IFERROR(INDEX(Налоги!$K$26:$L$101,MATCH($F382&amp;"6komm",Налоги!$K$26:$K$101,0),2),"")=0,"",_xlfn.IFERROR(INDEX(Налоги!$K$26:$L$101,MATCH($F382&amp;"6komm",Налоги!$K$26:$K$101,0),2),""))</f>
        <v>в соответствии с п.1 ст.308 Налогового кодекса РФ от 05.08.2000 № 117-ФЗ, с учетом уменьшения суммы налога на 50% на 2024-2028 годы в соответствии с Законом от 24.11.2033 № 107-ОЗ "О внесении изменения в статью 4 Закона Кемеровской области-кузбасса "О налоге на имущество организаций". Налог рассчитан по остаточной стоимости, данные получены из материалов, представленных организацией при получении долгосрочных параметров регулирования.</v>
      </c>
      <c r="BP382" s="7771"/>
      <c r="BQ382" s="1278"/>
      <c r="BR382" s="1278"/>
      <c r="BS382" s="1064" t="s">
        <v>2773</v>
      </c>
      <c r="BT382" s="1064"/>
      <c r="BU382" s="1064"/>
      <c r="BV382" s="979"/>
      <c r="BW382" s="979"/>
    </row>
    <row s="1834" customFormat="1" customHeight="1" ht="14.25">
      <c r="A383" s="1278"/>
      <c r="B383" s="96"/>
      <c r="C383" s="107"/>
      <c r="D383" s="107"/>
      <c r="E383" s="621">
        <v>15</v>
      </c>
      <c r="F383" s="50" cm="1" t="str">
        <f t="array" ref="F383:F383">OFFSET(E383,-1,1)</f>
        <v>2</v>
      </c>
      <c r="G383" s="922">
        <v>2</v>
      </c>
      <c r="H383" s="107"/>
      <c r="I383" s="107" t="s">
        <v>2774</v>
      </c>
      <c r="J383" s="107"/>
      <c r="K383" s="107" t="s">
        <v>2774</v>
      </c>
      <c r="L383" s="980"/>
      <c r="M383" s="107"/>
      <c r="N383" s="107"/>
      <c r="O383" s="107"/>
      <c r="P383" s="107"/>
      <c r="Q383" s="107"/>
      <c r="R383" s="107"/>
      <c r="S383" s="107"/>
      <c r="T383" s="465" cm="1" t="str">
        <f t="array" ref="T383:T383">T382</f>
        <v>true</v>
      </c>
      <c r="U383" s="107"/>
      <c r="V383" s="107"/>
      <c r="W383" s="1278"/>
      <c r="X383" s="1563"/>
      <c r="Y383" s="1278"/>
      <c r="Z383" s="1546"/>
      <c r="AA383" s="1278"/>
      <c r="AB383" s="299" t="s">
        <v>2230</v>
      </c>
      <c r="AC383" s="765" t="s">
        <v>2775</v>
      </c>
      <c r="AD383" s="300" t="s">
        <v>1514</v>
      </c>
      <c r="AE383" s="259">
        <f>_xlfn.SUMIFS(Налоги!AE$25:AE$101,Налоги!$F$25:$F$101,$F383,Налоги!$AB$25:$AB$101,$G383)</f>
        <v>0</v>
      </c>
      <c r="AF383" s="259">
        <f>_xlfn.SUMIFS(Налоги!AF$25:AF$101,Налоги!$F$25:$F$101,$F383,Налоги!$AB$25:$AB$101,$G383)</f>
        <v>0</v>
      </c>
      <c r="AG383" s="259">
        <f>_xlfn.SUMIFS(Налоги!AG$25:AG$101,Налоги!$F$25:$F$101,$F383,Налоги!$AB$25:$AB$101,$G383)</f>
        <v>0</v>
      </c>
      <c r="AH383" s="943">
        <f>AG383-AF383</f>
        <v>0</v>
      </c>
      <c r="AI383" s="943">
        <f>_xlfn.SUMIFS(Налоги!AH$25:AH$101,Налоги!$F$25:$F$101,$F383,Налоги!$AB$25:$AB$101,$G383)</f>
        <v>0</v>
      </c>
      <c r="AJ383" s="943">
        <f>_xlfn.SUMIFS(Налоги!AI$25:AI$101,Налоги!$F$25:$F$101,$F383,Налоги!$AB$25:$AB$101,$G383)</f>
        <v>0</v>
      </c>
      <c r="AK383" s="943">
        <f>_xlfn.SUMIFS(Налоги!AJ$25:AJ$101,Налоги!$F$25:$F$101,$F383,Налоги!$AB$25:$AB$101,$G383)</f>
        <v>0</v>
      </c>
      <c r="AL383" s="943">
        <f>_xlfn.SUMIFS(Налоги!AK$25:AK$101,Налоги!$F$25:$F$101,$F383,Налоги!$AB$25:$AB$101,$G383)</f>
        <v>0</v>
      </c>
      <c r="AM383" s="943">
        <f>_xlfn.SUMIFS(Налоги!AL$25:AL$101,Налоги!$F$25:$F$101,$F383,Налоги!$AB$25:$AB$101,$G383)</f>
        <v>0</v>
      </c>
      <c r="AN383" s="943">
        <f>_xlfn.SUMIFS(Налоги!AM$25:AM$101,Налоги!$F$25:$F$101,$F383,Налоги!$AB$25:$AB$101,$G383)</f>
        <v>0</v>
      </c>
      <c r="AO383" s="943">
        <f>_xlfn.SUMIFS(Налоги!AN$25:AN$101,Налоги!$F$25:$F$101,$F383,Налоги!$AB$25:$AB$101,$G383)</f>
        <v>0</v>
      </c>
      <c r="AP383" s="943">
        <f>_xlfn.SUMIFS(Налоги!AO$25:AO$101,Налоги!$F$25:$F$101,$F383,Налоги!$AB$25:$AB$101,$G383)</f>
        <v>0</v>
      </c>
      <c r="AQ383" s="943">
        <f>_xlfn.SUMIFS(Налоги!AP$25:AP$101,Налоги!$F$25:$F$101,$F383,Налоги!$AB$25:$AB$101,$G383)</f>
        <v>0</v>
      </c>
      <c r="AR383" s="943">
        <f>_xlfn.SUMIFS(Налоги!AQ$25:AQ$101,Налоги!$F$25:$F$101,$F383,Налоги!$AB$25:$AB$101,$G383)</f>
        <v>0</v>
      </c>
      <c r="AS383" s="943">
        <f>_xlfn.SUMIFS(Налоги!AR$25:AR$101,Налоги!$F$25:$F$101,$F383,Налоги!$AB$25:$AB$101,$G383)</f>
        <v>0</v>
      </c>
      <c r="AT383" s="943">
        <f>_xlfn.SUMIFS(Налоги!AS$25:AS$101,Налоги!$F$25:$F$101,$F383,Налоги!$AB$25:$AB$101,$G383)</f>
        <v>0</v>
      </c>
      <c r="AU383" s="943">
        <f>_xlfn.SUMIFS(Налоги!AT$25:AT$101,Налоги!$F$25:$F$101,$F383,Налоги!$AB$25:$AB$101,$G383)</f>
        <v>0</v>
      </c>
      <c r="AV383" s="943">
        <f>_xlfn.SUMIFS(Налоги!AU$25:AU$101,Налоги!$F$25:$F$101,$F383,Налоги!$AB$25:$AB$101,$G383)</f>
        <v>0</v>
      </c>
      <c r="AW383" s="943">
        <f>_xlfn.SUMIFS(Налоги!AV$25:AV$101,Налоги!$F$25:$F$101,$F383,Налоги!$AB$25:$AB$101,$G383)</f>
        <v>0</v>
      </c>
      <c r="AX383" s="943">
        <f>_xlfn.SUMIFS(Налоги!AW$25:AW$101,Налоги!$F$25:$F$101,$F383,Налоги!$AB$25:$AB$101,$G383)</f>
        <v>0</v>
      </c>
      <c r="AY383" s="943">
        <f>_xlfn.SUMIFS(Налоги!AX$25:AX$101,Налоги!$F$25:$F$101,$F383,Налоги!$AB$25:$AB$101,$G383)</f>
        <v>0</v>
      </c>
      <c r="AZ383" s="943">
        <f>_xlfn.SUMIFS(Налоги!AY$25:AY$101,Налоги!$F$25:$F$101,$F383,Налоги!$AB$25:$AB$101,$G383)</f>
        <v>0</v>
      </c>
      <c r="BA383" s="943">
        <f>_xlfn.SUMIFS(Налоги!AZ$25:AZ$101,Налоги!$F$25:$F$101,$F383,Налоги!$AB$25:$AB$101,$G383)</f>
        <v>0</v>
      </c>
      <c r="BB383" s="943">
        <f>_xlfn.SUMIFS(Налоги!BA$25:BA$101,Налоги!$F$25:$F$101,$F383,Налоги!$AB$25:$AB$101,$G383)</f>
        <v>0</v>
      </c>
      <c r="BC383" s="943">
        <f>_xlfn.SUMIFS(Налоги!BB$25:BB$101,Налоги!$F$25:$F$101,$F383,Налоги!$AB$25:$AB$101,$G383)</f>
        <v>0</v>
      </c>
      <c r="BD383" s="943">
        <f>IF(AI383=0,0,(AT383-AI383)/AI383*100)</f>
        <v>0</v>
      </c>
      <c r="BE383" s="943">
        <f>IF(AT383=0,0,(AU383-AT383)/AT383*100)</f>
        <v>0</v>
      </c>
      <c r="BF383" s="943">
        <f>IF(AU383=0,0,(AV383-AU383)/AU383*100)</f>
        <v>0</v>
      </c>
      <c r="BG383" s="943">
        <f>IF(AV383=0,0,(AW383-AV383)/AV383*100)</f>
        <v>0</v>
      </c>
      <c r="BH383" s="943">
        <f>IF(AW383=0,0,(AX383-AW383)/AW383*100)</f>
        <v>0</v>
      </c>
      <c r="BI383" s="943">
        <f>IF(AX383=0,0,(AY383-AX383)/AX383*100)</f>
        <v>0</v>
      </c>
      <c r="BJ383" s="943">
        <f>IF(AY383=0,0,(AZ383-AY383)/AY383*100)</f>
        <v>0</v>
      </c>
      <c r="BK383" s="943">
        <f>IF(AZ383=0,0,(BA383-AZ383)/AZ383*100)</f>
        <v>0</v>
      </c>
      <c r="BL383" s="943">
        <f>IF(BA383=0,0,(BB383-BA383)/BA383*100)</f>
        <v>0</v>
      </c>
      <c r="BM383" s="943">
        <f>IF(BB383=0,0,(BC383-BB383)/BB383*100)</f>
        <v>0</v>
      </c>
      <c r="BN383" s="7771"/>
      <c r="BO383" s="7724" t="str">
        <f>IF(_xlfn.IFERROR(INDEX(Налоги!$K$26:$L$101,MATCH($F383&amp;"2komm",Налоги!$K$26:$K$101,0),2),"")=0,"",_xlfn.IFERROR(INDEX(Налоги!$K$26:$L$101,MATCH($F383&amp;"2komm",Налоги!$K$26:$K$101,0),2),""))</f>
        <v/>
      </c>
      <c r="BP383" s="7771"/>
      <c r="BQ383" s="1278"/>
      <c r="BR383" s="1278"/>
      <c r="BS383" s="1064" t="s">
        <v>2776</v>
      </c>
      <c r="BT383" s="1064"/>
      <c r="BU383" s="1064"/>
      <c r="BV383" s="979"/>
      <c r="BW383" s="979"/>
    </row>
    <row s="1834" customFormat="1" customHeight="1" ht="14.25">
      <c r="A384" s="1278"/>
      <c r="B384" s="96"/>
      <c r="C384" s="107"/>
      <c r="D384" s="107"/>
      <c r="E384" s="621">
        <v>15</v>
      </c>
      <c r="F384" s="50" cm="1" t="str">
        <f t="array" ref="F384:F384">OFFSET(E384,-1,1)</f>
        <v>2</v>
      </c>
      <c r="G384" s="922">
        <v>4</v>
      </c>
      <c r="H384" s="107"/>
      <c r="I384" s="107" t="s">
        <v>2777</v>
      </c>
      <c r="J384" s="107"/>
      <c r="K384" s="107" t="s">
        <v>2777</v>
      </c>
      <c r="L384" s="980"/>
      <c r="M384" s="107"/>
      <c r="N384" s="107"/>
      <c r="O384" s="107"/>
      <c r="P384" s="107"/>
      <c r="Q384" s="107"/>
      <c r="R384" s="107"/>
      <c r="S384" s="107"/>
      <c r="T384" s="465" cm="1" t="str">
        <f t="array" ref="T384:T384">T383</f>
        <v>true</v>
      </c>
      <c r="U384" s="107"/>
      <c r="V384" s="107"/>
      <c r="W384" s="1278"/>
      <c r="X384" s="1563"/>
      <c r="Y384" s="1278"/>
      <c r="Z384" s="1546"/>
      <c r="AA384" s="1278"/>
      <c r="AB384" s="299" t="s">
        <v>2778</v>
      </c>
      <c r="AC384" s="765" t="s">
        <v>2779</v>
      </c>
      <c r="AD384" s="300" t="s">
        <v>1514</v>
      </c>
      <c r="AE384" s="259">
        <f>_xlfn.SUMIFS(Налоги!AE$25:AE$101,Налоги!$F$25:$F$101,$F384,Налоги!$AB$25:$AB$101,$G384)</f>
        <v>0</v>
      </c>
      <c r="AF384" s="259">
        <f>_xlfn.SUMIFS(Налоги!AF$25:AF$101,Налоги!$F$25:$F$101,$F384,Налоги!$AB$25:$AB$101,$G384)</f>
        <v>0</v>
      </c>
      <c r="AG384" s="259">
        <f>_xlfn.SUMIFS(Налоги!AG$25:AG$101,Налоги!$F$25:$F$101,$F384,Налоги!$AB$25:$AB$101,$G384)</f>
        <v>0</v>
      </c>
      <c r="AH384" s="943">
        <f>AG384-AF384</f>
        <v>0</v>
      </c>
      <c r="AI384" s="943">
        <f>_xlfn.SUMIFS(Налоги!AH$25:AH$101,Налоги!$F$25:$F$101,$F384,Налоги!$AB$25:$AB$101,$G384)</f>
        <v>0</v>
      </c>
      <c r="AJ384" s="943">
        <f>_xlfn.SUMIFS(Налоги!AI$25:AI$101,Налоги!$F$25:$F$101,$F384,Налоги!$AB$25:$AB$101,$G384)</f>
        <v>0</v>
      </c>
      <c r="AK384" s="943">
        <f>_xlfn.SUMIFS(Налоги!AJ$25:AJ$101,Налоги!$F$25:$F$101,$F384,Налоги!$AB$25:$AB$101,$G384)</f>
        <v>0</v>
      </c>
      <c r="AL384" s="943">
        <f>_xlfn.SUMIFS(Налоги!AK$25:AK$101,Налоги!$F$25:$F$101,$F384,Налоги!$AB$25:$AB$101,$G384)</f>
        <v>0</v>
      </c>
      <c r="AM384" s="943">
        <f>_xlfn.SUMIFS(Налоги!AL$25:AL$101,Налоги!$F$25:$F$101,$F384,Налоги!$AB$25:$AB$101,$G384)</f>
        <v>0</v>
      </c>
      <c r="AN384" s="943">
        <f>_xlfn.SUMIFS(Налоги!AM$25:AM$101,Налоги!$F$25:$F$101,$F384,Налоги!$AB$25:$AB$101,$G384)</f>
        <v>0</v>
      </c>
      <c r="AO384" s="943">
        <f>_xlfn.SUMIFS(Налоги!AN$25:AN$101,Налоги!$F$25:$F$101,$F384,Налоги!$AB$25:$AB$101,$G384)</f>
        <v>0</v>
      </c>
      <c r="AP384" s="943">
        <f>_xlfn.SUMIFS(Налоги!AO$25:AO$101,Налоги!$F$25:$F$101,$F384,Налоги!$AB$25:$AB$101,$G384)</f>
        <v>0</v>
      </c>
      <c r="AQ384" s="943">
        <f>_xlfn.SUMIFS(Налоги!AP$25:AP$101,Налоги!$F$25:$F$101,$F384,Налоги!$AB$25:$AB$101,$G384)</f>
        <v>0</v>
      </c>
      <c r="AR384" s="943">
        <f>_xlfn.SUMIFS(Налоги!AQ$25:AQ$101,Налоги!$F$25:$F$101,$F384,Налоги!$AB$25:$AB$101,$G384)</f>
        <v>0</v>
      </c>
      <c r="AS384" s="943">
        <f>_xlfn.SUMIFS(Налоги!AR$25:AR$101,Налоги!$F$25:$F$101,$F384,Налоги!$AB$25:$AB$101,$G384)</f>
        <v>0</v>
      </c>
      <c r="AT384" s="943">
        <f>_xlfn.SUMIFS(Налоги!AS$25:AS$101,Налоги!$F$25:$F$101,$F384,Налоги!$AB$25:$AB$101,$G384)</f>
        <v>0</v>
      </c>
      <c r="AU384" s="943">
        <f>_xlfn.SUMIFS(Налоги!AT$25:AT$101,Налоги!$F$25:$F$101,$F384,Налоги!$AB$25:$AB$101,$G384)</f>
        <v>0</v>
      </c>
      <c r="AV384" s="943">
        <f>_xlfn.SUMIFS(Налоги!AU$25:AU$101,Налоги!$F$25:$F$101,$F384,Налоги!$AB$25:$AB$101,$G384)</f>
        <v>0</v>
      </c>
      <c r="AW384" s="943">
        <f>_xlfn.SUMIFS(Налоги!AV$25:AV$101,Налоги!$F$25:$F$101,$F384,Налоги!$AB$25:$AB$101,$G384)</f>
        <v>0</v>
      </c>
      <c r="AX384" s="943">
        <f>_xlfn.SUMIFS(Налоги!AW$25:AW$101,Налоги!$F$25:$F$101,$F384,Налоги!$AB$25:$AB$101,$G384)</f>
        <v>0</v>
      </c>
      <c r="AY384" s="943">
        <f>_xlfn.SUMIFS(Налоги!AX$25:AX$101,Налоги!$F$25:$F$101,$F384,Налоги!$AB$25:$AB$101,$G384)</f>
        <v>0</v>
      </c>
      <c r="AZ384" s="943">
        <f>_xlfn.SUMIFS(Налоги!AY$25:AY$101,Налоги!$F$25:$F$101,$F384,Налоги!$AB$25:$AB$101,$G384)</f>
        <v>0</v>
      </c>
      <c r="BA384" s="943">
        <f>_xlfn.SUMIFS(Налоги!AZ$25:AZ$101,Налоги!$F$25:$F$101,$F384,Налоги!$AB$25:$AB$101,$G384)</f>
        <v>0</v>
      </c>
      <c r="BB384" s="943">
        <f>_xlfn.SUMIFS(Налоги!BA$25:BA$101,Налоги!$F$25:$F$101,$F384,Налоги!$AB$25:$AB$101,$G384)</f>
        <v>0</v>
      </c>
      <c r="BC384" s="943">
        <f>_xlfn.SUMIFS(Налоги!BB$25:BB$101,Налоги!$F$25:$F$101,$F384,Налоги!$AB$25:$AB$101,$G384)</f>
        <v>0</v>
      </c>
      <c r="BD384" s="943">
        <f>IF(AI384=0,0,(AT384-AI384)/AI384*100)</f>
        <v>0</v>
      </c>
      <c r="BE384" s="943">
        <f>IF(AT384=0,0,(AU384-AT384)/AT384*100)</f>
        <v>0</v>
      </c>
      <c r="BF384" s="943">
        <f>IF(AU384=0,0,(AV384-AU384)/AU384*100)</f>
        <v>0</v>
      </c>
      <c r="BG384" s="943">
        <f>IF(AV384=0,0,(AW384-AV384)/AV384*100)</f>
        <v>0</v>
      </c>
      <c r="BH384" s="943">
        <f>IF(AW384=0,0,(AX384-AW384)/AW384*100)</f>
        <v>0</v>
      </c>
      <c r="BI384" s="943">
        <f>IF(AX384=0,0,(AY384-AX384)/AX384*100)</f>
        <v>0</v>
      </c>
      <c r="BJ384" s="943">
        <f>IF(AY384=0,0,(AZ384-AY384)/AY384*100)</f>
        <v>0</v>
      </c>
      <c r="BK384" s="943">
        <f>IF(AZ384=0,0,(BA384-AZ384)/AZ384*100)</f>
        <v>0</v>
      </c>
      <c r="BL384" s="943">
        <f>IF(BA384=0,0,(BB384-BA384)/BA384*100)</f>
        <v>0</v>
      </c>
      <c r="BM384" s="943">
        <f>IF(BB384=0,0,(BC384-BB384)/BB384*100)</f>
        <v>0</v>
      </c>
      <c r="BN384" s="7771"/>
      <c r="BO384" s="7724" t="str">
        <f>IF(_xlfn.IFERROR(INDEX(Налоги!$K$26:$L$101,MATCH($F384&amp;"4komm",Налоги!$K$26:$K$101,0),2),"")=0,"",_xlfn.IFERROR(INDEX(Налоги!$K$26:$L$101,MATCH($F384&amp;"4komm",Налоги!$K$26:$K$101,0),2),""))</f>
        <v/>
      </c>
      <c r="BP384" s="7771"/>
      <c r="BQ384" s="1278"/>
      <c r="BR384" s="1278"/>
      <c r="BS384" s="1064" t="s">
        <v>2780</v>
      </c>
      <c r="BT384" s="1064"/>
      <c r="BU384" s="1064"/>
      <c r="BV384" s="979"/>
      <c r="BW384" s="979"/>
    </row>
    <row s="1834" customFormat="1" customHeight="1" ht="14.25">
      <c r="A385" s="1278"/>
      <c r="B385" s="96"/>
      <c r="C385" s="107"/>
      <c r="D385" s="107"/>
      <c r="E385" s="621">
        <v>15</v>
      </c>
      <c r="F385" s="50" cm="1" t="str">
        <f t="array" ref="F385:F385">OFFSET(E385,-1,1)</f>
        <v>2</v>
      </c>
      <c r="G385" s="922">
        <v>5</v>
      </c>
      <c r="H385" s="107"/>
      <c r="I385" s="107" t="s">
        <v>2781</v>
      </c>
      <c r="J385" s="107"/>
      <c r="K385" s="107" t="s">
        <v>2781</v>
      </c>
      <c r="L385" s="980"/>
      <c r="M385" s="107"/>
      <c r="N385" s="107"/>
      <c r="O385" s="107"/>
      <c r="P385" s="107"/>
      <c r="Q385" s="107"/>
      <c r="R385" s="107"/>
      <c r="S385" s="107"/>
      <c r="T385" s="465" cm="1" t="str">
        <f t="array" ref="T385:T385">T384</f>
        <v>true</v>
      </c>
      <c r="U385" s="107"/>
      <c r="V385" s="107"/>
      <c r="W385" s="1278"/>
      <c r="X385" s="1563"/>
      <c r="Y385" s="1278"/>
      <c r="Z385" s="1546"/>
      <c r="AA385" s="1278"/>
      <c r="AB385" s="299" t="s">
        <v>2782</v>
      </c>
      <c r="AC385" s="765" t="s">
        <v>2783</v>
      </c>
      <c r="AD385" s="300" t="s">
        <v>1514</v>
      </c>
      <c r="AE385" s="259">
        <f>_xlfn.SUMIFS(Налоги!AE$25:AE$101,Налоги!$F$25:$F$101,$F385,Налоги!$AB$25:$AB$101,$G385)</f>
        <v>0</v>
      </c>
      <c r="AF385" s="259">
        <f>_xlfn.SUMIFS(Налоги!AF$25:AF$101,Налоги!$F$25:$F$101,$F385,Налоги!$AB$25:$AB$101,$G385)</f>
        <v>0</v>
      </c>
      <c r="AG385" s="259">
        <f>_xlfn.SUMIFS(Налоги!AG$25:AG$101,Налоги!$F$25:$F$101,$F385,Налоги!$AB$25:$AB$101,$G385)</f>
        <v>0</v>
      </c>
      <c r="AH385" s="943">
        <f>AG385-AF385</f>
        <v>0</v>
      </c>
      <c r="AI385" s="943">
        <f>_xlfn.SUMIFS(Налоги!AH$25:AH$101,Налоги!$F$25:$F$101,$F385,Налоги!$AB$25:$AB$101,$G385)</f>
        <v>0</v>
      </c>
      <c r="AJ385" s="943">
        <f>_xlfn.SUMIFS(Налоги!AI$25:AI$101,Налоги!$F$25:$F$101,$F385,Налоги!$AB$25:$AB$101,$G385)</f>
        <v>0</v>
      </c>
      <c r="AK385" s="943">
        <f>_xlfn.SUMIFS(Налоги!AJ$25:AJ$101,Налоги!$F$25:$F$101,$F385,Налоги!$AB$25:$AB$101,$G385)</f>
        <v>0</v>
      </c>
      <c r="AL385" s="943">
        <f>_xlfn.SUMIFS(Налоги!AK$25:AK$101,Налоги!$F$25:$F$101,$F385,Налоги!$AB$25:$AB$101,$G385)</f>
        <v>0</v>
      </c>
      <c r="AM385" s="943">
        <f>_xlfn.SUMIFS(Налоги!AL$25:AL$101,Налоги!$F$25:$F$101,$F385,Налоги!$AB$25:$AB$101,$G385)</f>
        <v>0</v>
      </c>
      <c r="AN385" s="943">
        <f>_xlfn.SUMIFS(Налоги!AM$25:AM$101,Налоги!$F$25:$F$101,$F385,Налоги!$AB$25:$AB$101,$G385)</f>
        <v>0</v>
      </c>
      <c r="AO385" s="943">
        <f>_xlfn.SUMIFS(Налоги!AN$25:AN$101,Налоги!$F$25:$F$101,$F385,Налоги!$AB$25:$AB$101,$G385)</f>
        <v>0</v>
      </c>
      <c r="AP385" s="943">
        <f>_xlfn.SUMIFS(Налоги!AO$25:AO$101,Налоги!$F$25:$F$101,$F385,Налоги!$AB$25:$AB$101,$G385)</f>
        <v>0</v>
      </c>
      <c r="AQ385" s="943">
        <f>_xlfn.SUMIFS(Налоги!AP$25:AP$101,Налоги!$F$25:$F$101,$F385,Налоги!$AB$25:$AB$101,$G385)</f>
        <v>0</v>
      </c>
      <c r="AR385" s="943">
        <f>_xlfn.SUMIFS(Налоги!AQ$25:AQ$101,Налоги!$F$25:$F$101,$F385,Налоги!$AB$25:$AB$101,$G385)</f>
        <v>0</v>
      </c>
      <c r="AS385" s="943">
        <f>_xlfn.SUMIFS(Налоги!AR$25:AR$101,Налоги!$F$25:$F$101,$F385,Налоги!$AB$25:$AB$101,$G385)</f>
        <v>0</v>
      </c>
      <c r="AT385" s="943">
        <f>_xlfn.SUMIFS(Налоги!AS$25:AS$101,Налоги!$F$25:$F$101,$F385,Налоги!$AB$25:$AB$101,$G385)</f>
        <v>0</v>
      </c>
      <c r="AU385" s="943">
        <f>_xlfn.SUMIFS(Налоги!AT$25:AT$101,Налоги!$F$25:$F$101,$F385,Налоги!$AB$25:$AB$101,$G385)</f>
        <v>0</v>
      </c>
      <c r="AV385" s="943">
        <f>_xlfn.SUMIFS(Налоги!AU$25:AU$101,Налоги!$F$25:$F$101,$F385,Налоги!$AB$25:$AB$101,$G385)</f>
        <v>0</v>
      </c>
      <c r="AW385" s="943">
        <f>_xlfn.SUMIFS(Налоги!AV$25:AV$101,Налоги!$F$25:$F$101,$F385,Налоги!$AB$25:$AB$101,$G385)</f>
        <v>0</v>
      </c>
      <c r="AX385" s="943">
        <f>_xlfn.SUMIFS(Налоги!AW$25:AW$101,Налоги!$F$25:$F$101,$F385,Налоги!$AB$25:$AB$101,$G385)</f>
        <v>0</v>
      </c>
      <c r="AY385" s="943">
        <f>_xlfn.SUMIFS(Налоги!AX$25:AX$101,Налоги!$F$25:$F$101,$F385,Налоги!$AB$25:$AB$101,$G385)</f>
        <v>0</v>
      </c>
      <c r="AZ385" s="943">
        <f>_xlfn.SUMIFS(Налоги!AY$25:AY$101,Налоги!$F$25:$F$101,$F385,Налоги!$AB$25:$AB$101,$G385)</f>
        <v>0</v>
      </c>
      <c r="BA385" s="943">
        <f>_xlfn.SUMIFS(Налоги!AZ$25:AZ$101,Налоги!$F$25:$F$101,$F385,Налоги!$AB$25:$AB$101,$G385)</f>
        <v>0</v>
      </c>
      <c r="BB385" s="943">
        <f>_xlfn.SUMIFS(Налоги!BA$25:BA$101,Налоги!$F$25:$F$101,$F385,Налоги!$AB$25:$AB$101,$G385)</f>
        <v>0</v>
      </c>
      <c r="BC385" s="943">
        <f>_xlfn.SUMIFS(Налоги!BB$25:BB$101,Налоги!$F$25:$F$101,$F385,Налоги!$AB$25:$AB$101,$G385)</f>
        <v>0</v>
      </c>
      <c r="BD385" s="943">
        <f>IF(AI385=0,0,(AT385-AI385)/AI385*100)</f>
        <v>0</v>
      </c>
      <c r="BE385" s="943">
        <f>IF(AT385=0,0,(AU385-AT385)/AT385*100)</f>
        <v>0</v>
      </c>
      <c r="BF385" s="943">
        <f>IF(AU385=0,0,(AV385-AU385)/AU385*100)</f>
        <v>0</v>
      </c>
      <c r="BG385" s="943">
        <f>IF(AV385=0,0,(AW385-AV385)/AV385*100)</f>
        <v>0</v>
      </c>
      <c r="BH385" s="943">
        <f>IF(AW385=0,0,(AX385-AW385)/AW385*100)</f>
        <v>0</v>
      </c>
      <c r="BI385" s="943">
        <f>IF(AX385=0,0,(AY385-AX385)/AX385*100)</f>
        <v>0</v>
      </c>
      <c r="BJ385" s="943">
        <f>IF(AY385=0,0,(AZ385-AY385)/AY385*100)</f>
        <v>0</v>
      </c>
      <c r="BK385" s="943">
        <f>IF(AZ385=0,0,(BA385-AZ385)/AZ385*100)</f>
        <v>0</v>
      </c>
      <c r="BL385" s="943">
        <f>IF(BA385=0,0,(BB385-BA385)/BA385*100)</f>
        <v>0</v>
      </c>
      <c r="BM385" s="943">
        <f>IF(BB385=0,0,(BC385-BB385)/BB385*100)</f>
        <v>0</v>
      </c>
      <c r="BN385" s="7771"/>
      <c r="BO385" s="7724" t="str">
        <f>IF(_xlfn.IFERROR(INDEX(Налоги!$K$26:$L$101,MATCH($F385&amp;"5komm",Налоги!$K$26:$K$101,0),2),"")=0,"",_xlfn.IFERROR(INDEX(Налоги!$K$26:$L$101,MATCH($F385&amp;"5komm",Налоги!$K$26:$K$101,0),2),""))</f>
        <v/>
      </c>
      <c r="BP385" s="7771"/>
      <c r="BQ385" s="1278"/>
      <c r="BR385" s="1278"/>
      <c r="BS385" s="1064" t="s">
        <v>2784</v>
      </c>
      <c r="BT385" s="1064"/>
      <c r="BU385" s="1064"/>
      <c r="BV385" s="979"/>
      <c r="BW385" s="979"/>
    </row>
    <row s="1834" customFormat="1" customHeight="1" ht="14.25">
      <c r="A386" s="1278"/>
      <c r="B386" s="96"/>
      <c r="C386" s="107"/>
      <c r="D386" s="107"/>
      <c r="E386" s="621">
        <v>15</v>
      </c>
      <c r="F386" s="50" cm="1" t="str">
        <f t="array" ref="F386:F386">OFFSET(E386,-1,1)</f>
        <v>2</v>
      </c>
      <c r="G386" s="922">
        <v>1</v>
      </c>
      <c r="H386" s="107"/>
      <c r="I386" s="107" t="s">
        <v>2785</v>
      </c>
      <c r="J386" s="107"/>
      <c r="K386" s="107" t="s">
        <v>2785</v>
      </c>
      <c r="L386" s="980"/>
      <c r="M386" s="107"/>
      <c r="N386" s="107"/>
      <c r="O386" s="107"/>
      <c r="P386" s="107"/>
      <c r="Q386" s="107"/>
      <c r="R386" s="107"/>
      <c r="S386" s="107"/>
      <c r="T386" s="465" cm="1" t="str">
        <f t="array" ref="T386:T386">T385</f>
        <v>true</v>
      </c>
      <c r="U386" s="107"/>
      <c r="V386" s="107"/>
      <c r="W386" s="1278"/>
      <c r="X386" s="1563"/>
      <c r="Y386" s="1278"/>
      <c r="Z386" s="1546"/>
      <c r="AA386" s="1278"/>
      <c r="AB386" s="299" t="s">
        <v>2786</v>
      </c>
      <c r="AC386" s="765" t="s">
        <v>2787</v>
      </c>
      <c r="AD386" s="300" t="s">
        <v>1514</v>
      </c>
      <c r="AE386" s="259">
        <f>_xlfn.SUMIFS(Налоги!AE$25:AE$101,Налоги!$F$25:$F$101,$F386,Налоги!$AB$25:$AB$101,$G386)</f>
        <v>0</v>
      </c>
      <c r="AF386" s="259">
        <f>_xlfn.SUMIFS(Налоги!AF$25:AF$101,Налоги!$F$25:$F$101,$F386,Налоги!$AB$25:$AB$101,$G386)</f>
        <v>0</v>
      </c>
      <c r="AG386" s="259">
        <f>_xlfn.SUMIFS(Налоги!AG$25:AG$101,Налоги!$F$25:$F$101,$F386,Налоги!$AB$25:$AB$101,$G386)</f>
        <v>0</v>
      </c>
      <c r="AH386" s="943">
        <f>AG386-AF386</f>
        <v>0</v>
      </c>
      <c r="AI386" s="943">
        <f>_xlfn.SUMIFS(Налоги!AH$25:AH$101,Налоги!$F$25:$F$101,$F386,Налоги!$AB$25:$AB$101,$G386)</f>
        <v>0</v>
      </c>
      <c r="AJ386" s="943">
        <f>_xlfn.SUMIFS(Налоги!AI$25:AI$101,Налоги!$F$25:$F$101,$F386,Налоги!$AB$25:$AB$101,$G386)</f>
        <v>0</v>
      </c>
      <c r="AK386" s="943">
        <f>_xlfn.SUMIFS(Налоги!AJ$25:AJ$101,Налоги!$F$25:$F$101,$F386,Налоги!$AB$25:$AB$101,$G386)</f>
        <v>0</v>
      </c>
      <c r="AL386" s="943">
        <f>_xlfn.SUMIFS(Налоги!AK$25:AK$101,Налоги!$F$25:$F$101,$F386,Налоги!$AB$25:$AB$101,$G386)</f>
        <v>0</v>
      </c>
      <c r="AM386" s="943">
        <f>_xlfn.SUMIFS(Налоги!AL$25:AL$101,Налоги!$F$25:$F$101,$F386,Налоги!$AB$25:$AB$101,$G386)</f>
        <v>0</v>
      </c>
      <c r="AN386" s="943">
        <f>_xlfn.SUMIFS(Налоги!AM$25:AM$101,Налоги!$F$25:$F$101,$F386,Налоги!$AB$25:$AB$101,$G386)</f>
        <v>0</v>
      </c>
      <c r="AO386" s="943">
        <f>_xlfn.SUMIFS(Налоги!AN$25:AN$101,Налоги!$F$25:$F$101,$F386,Налоги!$AB$25:$AB$101,$G386)</f>
        <v>0</v>
      </c>
      <c r="AP386" s="943">
        <f>_xlfn.SUMIFS(Налоги!AO$25:AO$101,Налоги!$F$25:$F$101,$F386,Налоги!$AB$25:$AB$101,$G386)</f>
        <v>0</v>
      </c>
      <c r="AQ386" s="943">
        <f>_xlfn.SUMIFS(Налоги!AP$25:AP$101,Налоги!$F$25:$F$101,$F386,Налоги!$AB$25:$AB$101,$G386)</f>
        <v>0</v>
      </c>
      <c r="AR386" s="943">
        <f>_xlfn.SUMIFS(Налоги!AQ$25:AQ$101,Налоги!$F$25:$F$101,$F386,Налоги!$AB$25:$AB$101,$G386)</f>
        <v>0</v>
      </c>
      <c r="AS386" s="943">
        <f>_xlfn.SUMIFS(Налоги!AR$25:AR$101,Налоги!$F$25:$F$101,$F386,Налоги!$AB$25:$AB$101,$G386)</f>
        <v>0</v>
      </c>
      <c r="AT386" s="943">
        <f>_xlfn.SUMIFS(Налоги!AS$25:AS$101,Налоги!$F$25:$F$101,$F386,Налоги!$AB$25:$AB$101,$G386)</f>
        <v>0</v>
      </c>
      <c r="AU386" s="943">
        <f>_xlfn.SUMIFS(Налоги!AT$25:AT$101,Налоги!$F$25:$F$101,$F386,Налоги!$AB$25:$AB$101,$G386)</f>
        <v>0</v>
      </c>
      <c r="AV386" s="943">
        <f>_xlfn.SUMIFS(Налоги!AU$25:AU$101,Налоги!$F$25:$F$101,$F386,Налоги!$AB$25:$AB$101,$G386)</f>
        <v>0</v>
      </c>
      <c r="AW386" s="943">
        <f>_xlfn.SUMIFS(Налоги!AV$25:AV$101,Налоги!$F$25:$F$101,$F386,Налоги!$AB$25:$AB$101,$G386)</f>
        <v>0</v>
      </c>
      <c r="AX386" s="943">
        <f>_xlfn.SUMIFS(Налоги!AW$25:AW$101,Налоги!$F$25:$F$101,$F386,Налоги!$AB$25:$AB$101,$G386)</f>
        <v>0</v>
      </c>
      <c r="AY386" s="943">
        <f>_xlfn.SUMIFS(Налоги!AX$25:AX$101,Налоги!$F$25:$F$101,$F386,Налоги!$AB$25:$AB$101,$G386)</f>
        <v>0</v>
      </c>
      <c r="AZ386" s="943">
        <f>_xlfn.SUMIFS(Налоги!AY$25:AY$101,Налоги!$F$25:$F$101,$F386,Налоги!$AB$25:$AB$101,$G386)</f>
        <v>0</v>
      </c>
      <c r="BA386" s="943">
        <f>_xlfn.SUMIFS(Налоги!AZ$25:AZ$101,Налоги!$F$25:$F$101,$F386,Налоги!$AB$25:$AB$101,$G386)</f>
        <v>0</v>
      </c>
      <c r="BB386" s="943">
        <f>_xlfn.SUMIFS(Налоги!BA$25:BA$101,Налоги!$F$25:$F$101,$F386,Налоги!$AB$25:$AB$101,$G386)</f>
        <v>0</v>
      </c>
      <c r="BC386" s="943">
        <f>_xlfn.SUMIFS(Налоги!BB$25:BB$101,Налоги!$F$25:$F$101,$F386,Налоги!$AB$25:$AB$101,$G386)</f>
        <v>0</v>
      </c>
      <c r="BD386" s="943">
        <f>IF(AI386=0,0,(AT386-AI386)/AI386*100)</f>
        <v>0</v>
      </c>
      <c r="BE386" s="943">
        <f>IF(AT386=0,0,(AU386-AT386)/AT386*100)</f>
        <v>0</v>
      </c>
      <c r="BF386" s="943">
        <f>IF(AU386=0,0,(AV386-AU386)/AU386*100)</f>
        <v>0</v>
      </c>
      <c r="BG386" s="943">
        <f>IF(AV386=0,0,(AW386-AV386)/AV386*100)</f>
        <v>0</v>
      </c>
      <c r="BH386" s="943">
        <f>IF(AW386=0,0,(AX386-AW386)/AW386*100)</f>
        <v>0</v>
      </c>
      <c r="BI386" s="943">
        <f>IF(AX386=0,0,(AY386-AX386)/AX386*100)</f>
        <v>0</v>
      </c>
      <c r="BJ386" s="943">
        <f>IF(AY386=0,0,(AZ386-AY386)/AY386*100)</f>
        <v>0</v>
      </c>
      <c r="BK386" s="943">
        <f>IF(AZ386=0,0,(BA386-AZ386)/AZ386*100)</f>
        <v>0</v>
      </c>
      <c r="BL386" s="943">
        <f>IF(BA386=0,0,(BB386-BA386)/BA386*100)</f>
        <v>0</v>
      </c>
      <c r="BM386" s="943">
        <f>IF(BB386=0,0,(BC386-BB386)/BB386*100)</f>
        <v>0</v>
      </c>
      <c r="BN386" s="7771"/>
      <c r="BO386" s="7724" t="str">
        <f>IF(_xlfn.IFERROR(INDEX(Налоги!$K$26:$L$101,MATCH($F386&amp;"1komm",Налоги!$K$26:$K$101,0),2),"")=0,"",_xlfn.IFERROR(INDEX(Налоги!$K$26:$L$101,MATCH($F386&amp;"1komm",Налоги!$K$26:$K$101,0),2),""))</f>
        <v/>
      </c>
      <c r="BP386" s="7771"/>
      <c r="BQ386" s="1278"/>
      <c r="BR386" s="1278"/>
      <c r="BS386" s="1064" t="s">
        <v>2788</v>
      </c>
      <c r="BT386" s="1064"/>
      <c r="BU386" s="1064"/>
      <c r="BV386" s="979"/>
      <c r="BW386" s="979"/>
    </row>
    <row s="1834" customFormat="1" customHeight="1" ht="14.25">
      <c r="A387" s="1278"/>
      <c r="B387" s="96"/>
      <c r="C387" s="107"/>
      <c r="D387" s="107"/>
      <c r="E387" s="621">
        <v>15</v>
      </c>
      <c r="F387" s="50" cm="1" t="str">
        <f t="array" ref="F387:F387">OFFSET(E387,-1,1)</f>
        <v>2</v>
      </c>
      <c r="G387" s="922">
        <v>3</v>
      </c>
      <c r="H387" s="107"/>
      <c r="I387" s="107" t="s">
        <v>2789</v>
      </c>
      <c r="J387" s="107"/>
      <c r="K387" s="107" t="s">
        <v>2789</v>
      </c>
      <c r="L387" s="980"/>
      <c r="M387" s="107"/>
      <c r="N387" s="107"/>
      <c r="O387" s="107"/>
      <c r="P387" s="107"/>
      <c r="Q387" s="107"/>
      <c r="R387" s="107"/>
      <c r="S387" s="107"/>
      <c r="T387" s="465" cm="1" t="str">
        <f t="array" ref="T387:T387">T386</f>
        <v>true</v>
      </c>
      <c r="U387" s="107"/>
      <c r="V387" s="107"/>
      <c r="W387" s="1278"/>
      <c r="X387" s="1563"/>
      <c r="Y387" s="1278"/>
      <c r="Z387" s="1546"/>
      <c r="AA387" s="1278"/>
      <c r="AB387" s="299" t="s">
        <v>2790</v>
      </c>
      <c r="AC387" s="765" t="s">
        <v>2791</v>
      </c>
      <c r="AD387" s="300" t="s">
        <v>1514</v>
      </c>
      <c r="AE387" s="7773">
        <f>_xlfn.SUMIFS(Налоги!AE$25:AE$101,Налоги!$F$25:$F$101,$F387,Налоги!$AB$25:$AB$101,$G387)</f>
        <v>0</v>
      </c>
      <c r="AF387" s="7773">
        <f>_xlfn.SUMIFS(Налоги!AF$25:AF$101,Налоги!$F$25:$F$101,$F387,Налоги!$AB$25:$AB$101,$G387)</f>
        <v>0</v>
      </c>
      <c r="AG387" s="7773">
        <f>_xlfn.SUMIFS(Налоги!AG$25:AG$101,Налоги!$F$25:$F$101,$F387,Налоги!$AB$25:$AB$101,$G387)</f>
        <v>0</v>
      </c>
      <c r="AH387" s="943">
        <f>AG387-AF387</f>
        <v>0</v>
      </c>
      <c r="AI387" s="7723">
        <f>_xlfn.SUMIFS(Налоги!AH$25:AH$101,Налоги!$F$25:$F$101,$F387,Налоги!$AB$25:$AB$101,$G387)</f>
        <v>0</v>
      </c>
      <c r="AJ387" s="7723">
        <f>_xlfn.SUMIFS(Налоги!AI$25:AI$101,Налоги!$F$25:$F$101,$F387,Налоги!$AB$25:$AB$101,$G387)</f>
        <v>0</v>
      </c>
      <c r="AK387" s="7723">
        <f>_xlfn.SUMIFS(Налоги!AJ$25:AJ$101,Налоги!$F$25:$F$101,$F387,Налоги!$AB$25:$AB$101,$G387)</f>
        <v>0</v>
      </c>
      <c r="AL387" s="7723">
        <f>_xlfn.SUMIFS(Налоги!AK$25:AK$101,Налоги!$F$25:$F$101,$F387,Налоги!$AB$25:$AB$101,$G387)</f>
        <v>0</v>
      </c>
      <c r="AM387" s="7723">
        <f>_xlfn.SUMIFS(Налоги!AL$25:AL$101,Налоги!$F$25:$F$101,$F387,Налоги!$AB$25:$AB$101,$G387)</f>
        <v>0</v>
      </c>
      <c r="AN387" s="7723">
        <f>_xlfn.SUMIFS(Налоги!AM$25:AM$101,Налоги!$F$25:$F$101,$F387,Налоги!$AB$25:$AB$101,$G387)</f>
        <v>0</v>
      </c>
      <c r="AO387" s="1253">
        <f>_xlfn.SUMIFS(Налоги!AN$25:AN$101,Налоги!$F$25:$F$101,$F387,Налоги!$AB$25:$AB$101,$G387)</f>
        <v>0</v>
      </c>
      <c r="AP387" s="1253">
        <f>_xlfn.SUMIFS(Налоги!AO$25:AO$101,Налоги!$F$25:$F$101,$F387,Налоги!$AB$25:$AB$101,$G387)</f>
        <v>0</v>
      </c>
      <c r="AQ387" s="1253">
        <f>_xlfn.SUMIFS(Налоги!AP$25:AP$101,Налоги!$F$25:$F$101,$F387,Налоги!$AB$25:$AB$101,$G387)</f>
        <v>0</v>
      </c>
      <c r="AR387" s="1253">
        <f>_xlfn.SUMIFS(Налоги!AQ$25:AQ$101,Налоги!$F$25:$F$101,$F387,Налоги!$AB$25:$AB$101,$G387)</f>
        <v>0</v>
      </c>
      <c r="AS387" s="1253">
        <f>_xlfn.SUMIFS(Налоги!AR$25:AR$101,Налоги!$F$25:$F$101,$F387,Налоги!$AB$25:$AB$101,$G387)</f>
        <v>0</v>
      </c>
      <c r="AT387" s="7723">
        <f>_xlfn.SUMIFS(Налоги!AS$25:AS$101,Налоги!$F$25:$F$101,$F387,Налоги!$AB$25:$AB$101,$G387)</f>
        <v>0</v>
      </c>
      <c r="AU387" s="7723">
        <f>_xlfn.SUMIFS(Налоги!AT$25:AT$101,Налоги!$F$25:$F$101,$F387,Налоги!$AB$25:$AB$101,$G387)</f>
        <v>0</v>
      </c>
      <c r="AV387" s="7723">
        <f>_xlfn.SUMIFS(Налоги!AU$25:AU$101,Налоги!$F$25:$F$101,$F387,Налоги!$AB$25:$AB$101,$G387)</f>
        <v>0</v>
      </c>
      <c r="AW387" s="7723">
        <f>_xlfn.SUMIFS(Налоги!AV$25:AV$101,Налоги!$F$25:$F$101,$F387,Налоги!$AB$25:$AB$101,$G387)</f>
        <v>0</v>
      </c>
      <c r="AX387" s="7723">
        <f>_xlfn.SUMIFS(Налоги!AW$25:AW$101,Налоги!$F$25:$F$101,$F387,Налоги!$AB$25:$AB$101,$G387)</f>
        <v>0</v>
      </c>
      <c r="AY387" s="1253">
        <f>_xlfn.SUMIFS(Налоги!AX$25:AX$101,Налоги!$F$25:$F$101,$F387,Налоги!$AB$25:$AB$101,$G387)</f>
        <v>0</v>
      </c>
      <c r="AZ387" s="1253">
        <f>_xlfn.SUMIFS(Налоги!AY$25:AY$101,Налоги!$F$25:$F$101,$F387,Налоги!$AB$25:$AB$101,$G387)</f>
        <v>0</v>
      </c>
      <c r="BA387" s="1253">
        <f>_xlfn.SUMIFS(Налоги!AZ$25:AZ$101,Налоги!$F$25:$F$101,$F387,Налоги!$AB$25:$AB$101,$G387)</f>
        <v>0</v>
      </c>
      <c r="BB387" s="1253">
        <f>_xlfn.SUMIFS(Налоги!BA$25:BA$101,Налоги!$F$25:$F$101,$F387,Налоги!$AB$25:$AB$101,$G387)</f>
        <v>0</v>
      </c>
      <c r="BC387" s="1253">
        <f>_xlfn.SUMIFS(Налоги!BB$25:BB$101,Налоги!$F$25:$F$101,$F387,Налоги!$AB$25:$AB$101,$G387)</f>
        <v>0</v>
      </c>
      <c r="BD387" s="943">
        <f>IF(AI387=0,0,(AT387-AI387)/AI387*100)</f>
        <v>0</v>
      </c>
      <c r="BE387" s="943">
        <f>IF(AT387=0,0,(AU387-AT387)/AT387*100)</f>
        <v>0</v>
      </c>
      <c r="BF387" s="943">
        <f>IF(AU387=0,0,(AV387-AU387)/AU387*100)</f>
        <v>0</v>
      </c>
      <c r="BG387" s="943">
        <f>IF(AV387=0,0,(AW387-AV387)/AV387*100)</f>
        <v>0</v>
      </c>
      <c r="BH387" s="943">
        <f>IF(AW387=0,0,(AX387-AW387)/AW387*100)</f>
        <v>0</v>
      </c>
      <c r="BI387" s="943">
        <f>IF(AX387=0,0,(AY387-AX387)/AX387*100)</f>
        <v>0</v>
      </c>
      <c r="BJ387" s="943">
        <f>IF(AY387=0,0,(AZ387-AY387)/AY387*100)</f>
        <v>0</v>
      </c>
      <c r="BK387" s="943">
        <f>IF(AZ387=0,0,(BA387-AZ387)/AZ387*100)</f>
        <v>0</v>
      </c>
      <c r="BL387" s="943">
        <f>IF(BA387=0,0,(BB387-BA387)/BA387*100)</f>
        <v>0</v>
      </c>
      <c r="BM387" s="943">
        <f>IF(BB387=0,0,(BC387-BB387)/BB387*100)</f>
        <v>0</v>
      </c>
      <c r="BN387" s="7771"/>
      <c r="BO387" s="7724" t="str">
        <f>IF(_xlfn.IFERROR(INDEX(Налоги!$K$26:$L$101,MATCH($F387&amp;"5komm",Налоги!$K$26:$K$101,0),2),"")=0,"",_xlfn.IFERROR(INDEX(Налоги!$K$26:$L$101,MATCH($F387&amp;"5komm",Налоги!$K$26:$K$101,0),2),""))</f>
        <v/>
      </c>
      <c r="BP387" s="7771"/>
      <c r="BQ387" s="1278"/>
      <c r="BR387" s="1278"/>
      <c r="BS387" s="1064" t="s">
        <v>2792</v>
      </c>
      <c r="BT387" s="1064"/>
      <c r="BU387" s="1064"/>
      <c r="BV387" s="979"/>
      <c r="BW387" s="979"/>
    </row>
    <row s="1834" customFormat="1" customHeight="1" ht="14.25">
      <c r="A388" s="1278"/>
      <c r="B388" s="96"/>
      <c r="C388" s="107"/>
      <c r="D388" s="107"/>
      <c r="E388" s="621">
        <v>15</v>
      </c>
      <c r="F388" s="50" cm="1" t="str">
        <f t="array" ref="F388:F388">OFFSET(E388,-1,1)</f>
        <v>2</v>
      </c>
      <c r="G388" s="922">
        <v>8</v>
      </c>
      <c r="H388" s="107"/>
      <c r="I388" s="107" t="s">
        <v>2793</v>
      </c>
      <c r="J388" s="107"/>
      <c r="K388" s="107" t="s">
        <v>2793</v>
      </c>
      <c r="L388" s="980"/>
      <c r="M388" s="107"/>
      <c r="N388" s="107"/>
      <c r="O388" s="107"/>
      <c r="P388" s="107"/>
      <c r="Q388" s="107"/>
      <c r="R388" s="107"/>
      <c r="S388" s="107"/>
      <c r="T388" s="465" cm="1" t="str">
        <f t="array" ref="T388:T388">T387</f>
        <v>true</v>
      </c>
      <c r="U388" s="107"/>
      <c r="V388" s="107"/>
      <c r="W388" s="1278"/>
      <c r="X388" s="1563"/>
      <c r="Y388" s="1278"/>
      <c r="Z388" s="1546"/>
      <c r="AA388" s="1278"/>
      <c r="AB388" s="299" t="s">
        <v>2794</v>
      </c>
      <c r="AC388" s="765" t="s">
        <v>2795</v>
      </c>
      <c r="AD388" s="300" t="s">
        <v>1514</v>
      </c>
      <c r="AE388" s="259">
        <f>_xlfn.SUMIFS(Налоги!AE$25:AE$101,Налоги!$F$25:$F$101,$F388,Налоги!$AB$25:$AB$101,$G388)</f>
        <v>0</v>
      </c>
      <c r="AF388" s="259">
        <f>_xlfn.SUMIFS(Налоги!AF$25:AF$101,Налоги!$F$25:$F$101,$F388,Налоги!$AB$25:$AB$101,$G388)</f>
        <v>0</v>
      </c>
      <c r="AG388" s="259">
        <f>_xlfn.SUMIFS(Налоги!AG$25:AG$101,Налоги!$F$25:$F$101,$F388,Налоги!$AB$25:$AB$101,$G388)</f>
        <v>0</v>
      </c>
      <c r="AH388" s="943">
        <f>AG388-AF388</f>
        <v>0</v>
      </c>
      <c r="AI388" s="943">
        <f>_xlfn.SUMIFS(Налоги!AH$25:AH$101,Налоги!$F$25:$F$101,$F388,Налоги!$AB$25:$AB$101,$G388)</f>
        <v>0</v>
      </c>
      <c r="AJ388" s="943">
        <f>_xlfn.SUMIFS(Налоги!AI$25:AI$101,Налоги!$F$25:$F$101,$F388,Налоги!$AB$25:$AB$101,$G388)</f>
        <v>0</v>
      </c>
      <c r="AK388" s="943">
        <f>_xlfn.SUMIFS(Налоги!AJ$25:AJ$101,Налоги!$F$25:$F$101,$F388,Налоги!$AB$25:$AB$101,$G388)</f>
        <v>0</v>
      </c>
      <c r="AL388" s="943">
        <f>_xlfn.SUMIFS(Налоги!AK$25:AK$101,Налоги!$F$25:$F$101,$F388,Налоги!$AB$25:$AB$101,$G388)</f>
        <v>0</v>
      </c>
      <c r="AM388" s="943">
        <f>_xlfn.SUMIFS(Налоги!AL$25:AL$101,Налоги!$F$25:$F$101,$F388,Налоги!$AB$25:$AB$101,$G388)</f>
        <v>0</v>
      </c>
      <c r="AN388" s="943">
        <f>_xlfn.SUMIFS(Налоги!AM$25:AM$101,Налоги!$F$25:$F$101,$F388,Налоги!$AB$25:$AB$101,$G388)</f>
        <v>0</v>
      </c>
      <c r="AO388" s="943">
        <f>_xlfn.SUMIFS(Налоги!AN$25:AN$101,Налоги!$F$25:$F$101,$F388,Налоги!$AB$25:$AB$101,$G388)</f>
        <v>0</v>
      </c>
      <c r="AP388" s="943">
        <f>_xlfn.SUMIFS(Налоги!AO$25:AO$101,Налоги!$F$25:$F$101,$F388,Налоги!$AB$25:$AB$101,$G388)</f>
        <v>0</v>
      </c>
      <c r="AQ388" s="943">
        <f>_xlfn.SUMIFS(Налоги!AP$25:AP$101,Налоги!$F$25:$F$101,$F388,Налоги!$AB$25:$AB$101,$G388)</f>
        <v>0</v>
      </c>
      <c r="AR388" s="943">
        <f>_xlfn.SUMIFS(Налоги!AQ$25:AQ$101,Налоги!$F$25:$F$101,$F388,Налоги!$AB$25:$AB$101,$G388)</f>
        <v>0</v>
      </c>
      <c r="AS388" s="943">
        <f>_xlfn.SUMIFS(Налоги!AR$25:AR$101,Налоги!$F$25:$F$101,$F388,Налоги!$AB$25:$AB$101,$G388)</f>
        <v>0</v>
      </c>
      <c r="AT388" s="943">
        <f>_xlfn.SUMIFS(Налоги!AS$25:AS$101,Налоги!$F$25:$F$101,$F388,Налоги!$AB$25:$AB$101,$G388)</f>
        <v>0</v>
      </c>
      <c r="AU388" s="943">
        <f>_xlfn.SUMIFS(Налоги!AT$25:AT$101,Налоги!$F$25:$F$101,$F388,Налоги!$AB$25:$AB$101,$G388)</f>
        <v>0</v>
      </c>
      <c r="AV388" s="943">
        <f>_xlfn.SUMIFS(Налоги!AU$25:AU$101,Налоги!$F$25:$F$101,$F388,Налоги!$AB$25:$AB$101,$G388)</f>
        <v>0</v>
      </c>
      <c r="AW388" s="943">
        <f>_xlfn.SUMIFS(Налоги!AV$25:AV$101,Налоги!$F$25:$F$101,$F388,Налоги!$AB$25:$AB$101,$G388)</f>
        <v>0</v>
      </c>
      <c r="AX388" s="943">
        <f>_xlfn.SUMIFS(Налоги!AW$25:AW$101,Налоги!$F$25:$F$101,$F388,Налоги!$AB$25:$AB$101,$G388)</f>
        <v>0</v>
      </c>
      <c r="AY388" s="943">
        <f>_xlfn.SUMIFS(Налоги!AX$25:AX$101,Налоги!$F$25:$F$101,$F388,Налоги!$AB$25:$AB$101,$G388)</f>
        <v>0</v>
      </c>
      <c r="AZ388" s="943">
        <f>_xlfn.SUMIFS(Налоги!AY$25:AY$101,Налоги!$F$25:$F$101,$F388,Налоги!$AB$25:$AB$101,$G388)</f>
        <v>0</v>
      </c>
      <c r="BA388" s="943">
        <f>_xlfn.SUMIFS(Налоги!AZ$25:AZ$101,Налоги!$F$25:$F$101,$F388,Налоги!$AB$25:$AB$101,$G388)</f>
        <v>0</v>
      </c>
      <c r="BB388" s="943">
        <f>_xlfn.SUMIFS(Налоги!BA$25:BA$101,Налоги!$F$25:$F$101,$F388,Налоги!$AB$25:$AB$101,$G388)</f>
        <v>0</v>
      </c>
      <c r="BC388" s="943">
        <f>_xlfn.SUMIFS(Налоги!BB$25:BB$101,Налоги!$F$25:$F$101,$F388,Налоги!$AB$25:$AB$101,$G388)</f>
        <v>0</v>
      </c>
      <c r="BD388" s="943">
        <f>IF(AI388=0,0,(AT388-AI388)/AI388*100)</f>
        <v>0</v>
      </c>
      <c r="BE388" s="943">
        <f>IF(AT388=0,0,(AU388-AT388)/AT388*100)</f>
        <v>0</v>
      </c>
      <c r="BF388" s="943">
        <f>IF(AU388=0,0,(AV388-AU388)/AU388*100)</f>
        <v>0</v>
      </c>
      <c r="BG388" s="943">
        <f>IF(AV388=0,0,(AW388-AV388)/AV388*100)</f>
        <v>0</v>
      </c>
      <c r="BH388" s="943">
        <f>IF(AW388=0,0,(AX388-AW388)/AW388*100)</f>
        <v>0</v>
      </c>
      <c r="BI388" s="943">
        <f>IF(AX388=0,0,(AY388-AX388)/AX388*100)</f>
        <v>0</v>
      </c>
      <c r="BJ388" s="943">
        <f>IF(AY388=0,0,(AZ388-AY388)/AY388*100)</f>
        <v>0</v>
      </c>
      <c r="BK388" s="943">
        <f>IF(AZ388=0,0,(BA388-AZ388)/AZ388*100)</f>
        <v>0</v>
      </c>
      <c r="BL388" s="943">
        <f>IF(BA388=0,0,(BB388-BA388)/BA388*100)</f>
        <v>0</v>
      </c>
      <c r="BM388" s="943">
        <f>IF(BB388=0,0,(BC388-BB388)/BB388*100)</f>
        <v>0</v>
      </c>
      <c r="BN388" s="7771"/>
      <c r="BO388" s="7724" t="str">
        <f>IF(_xlfn.IFERROR(INDEX(Налоги!$K$26:$L$101,MATCH($F388&amp;"8komm",Налоги!$K$26:$K$101,0),2),"")=0,"",_xlfn.IFERROR(INDEX(Налоги!$K$26:$L$101,MATCH($F388&amp;"8komm",Налоги!$K$26:$K$101,0),2),""))</f>
        <v/>
      </c>
      <c r="BP388" s="7771"/>
      <c r="BQ388" s="1278"/>
      <c r="BR388" s="1278"/>
      <c r="BS388" s="1064" t="s">
        <v>2017</v>
      </c>
      <c r="BT388" s="1064"/>
      <c r="BU388" s="1064"/>
      <c r="BV388" s="979"/>
      <c r="BW388" s="979"/>
    </row>
    <row s="1233" customFormat="1" customHeight="1" ht="14.25">
      <c r="A389" s="1233"/>
      <c r="B389" s="96"/>
      <c r="C389" s="107"/>
      <c r="D389" s="107"/>
      <c r="E389" s="621">
        <v>15</v>
      </c>
      <c r="F389" s="50" cm="1" t="str">
        <f t="array" ref="F389:F389">OFFSET(E389,-1,1)</f>
        <v>2</v>
      </c>
      <c r="G389" s="922">
        <v>9</v>
      </c>
      <c r="H389" s="107"/>
      <c r="I389" s="107"/>
      <c r="J389" s="107"/>
      <c r="K389" s="107"/>
      <c r="L389" s="980"/>
      <c r="M389" s="107"/>
      <c r="N389" s="107"/>
      <c r="O389" s="107"/>
      <c r="P389" s="107"/>
      <c r="Q389" s="107"/>
      <c r="R389" s="107"/>
      <c r="S389" s="107"/>
      <c r="T389" s="465" cm="1" t="str">
        <f t="array" ref="T389:T389">T388</f>
        <v>true</v>
      </c>
      <c r="U389" s="107"/>
      <c r="V389" s="107"/>
      <c r="W389" s="1233"/>
      <c r="X389" s="1563"/>
      <c r="Y389" s="1233"/>
      <c r="Z389" s="1546"/>
      <c r="AA389" s="1233"/>
      <c r="AB389" s="299" t="s">
        <v>2796</v>
      </c>
      <c r="AC389" s="780" t="s">
        <v>2797</v>
      </c>
      <c r="AD389" s="300" t="s">
        <v>1514</v>
      </c>
      <c r="AE389" s="259">
        <f>_xlfn.SUMIFS(Налоги!AE$25:AE$101,Налоги!$F$25:$F$101,$F389,Налоги!$AB$25:$AB$101,$G389)</f>
        <v>0</v>
      </c>
      <c r="AF389" s="259">
        <f>_xlfn.SUMIFS(Налоги!AF$25:AF$101,Налоги!$F$25:$F$101,$F389,Налоги!$AB$25:$AB$101,$G389)</f>
        <v>0</v>
      </c>
      <c r="AG389" s="259">
        <f>_xlfn.SUMIFS(Налоги!AG$25:AG$101,Налоги!$F$25:$F$101,$F389,Налоги!$AB$25:$AB$101,$G389)</f>
        <v>0</v>
      </c>
      <c r="AH389" s="943">
        <f>AG389-AF389</f>
        <v>0</v>
      </c>
      <c r="AI389" s="943">
        <f>_xlfn.SUMIFS(Налоги!AH$25:AH$101,Налоги!$F$25:$F$101,$F389,Налоги!$AB$25:$AB$101,$G389)</f>
        <v>0</v>
      </c>
      <c r="AJ389" s="943">
        <f>_xlfn.SUMIFS(Налоги!AI$25:AI$101,Налоги!$F$25:$F$101,$F389,Налоги!$AB$25:$AB$101,$G389)</f>
        <v>0</v>
      </c>
      <c r="AK389" s="943">
        <f>_xlfn.SUMIFS(Налоги!AJ$25:AJ$101,Налоги!$F$25:$F$101,$F389,Налоги!$AB$25:$AB$101,$G389)</f>
        <v>0</v>
      </c>
      <c r="AL389" s="943">
        <f>_xlfn.SUMIFS(Налоги!AK$25:AK$101,Налоги!$F$25:$F$101,$F389,Налоги!$AB$25:$AB$101,$G389)</f>
        <v>0</v>
      </c>
      <c r="AM389" s="943">
        <f>_xlfn.SUMIFS(Налоги!AL$25:AL$101,Налоги!$F$25:$F$101,$F389,Налоги!$AB$25:$AB$101,$G389)</f>
        <v>0</v>
      </c>
      <c r="AN389" s="943">
        <f>_xlfn.SUMIFS(Налоги!AM$25:AM$101,Налоги!$F$25:$F$101,$F389,Налоги!$AB$25:$AB$101,$G389)</f>
        <v>0</v>
      </c>
      <c r="AO389" s="943">
        <f>_xlfn.SUMIFS(Налоги!AN$25:AN$101,Налоги!$F$25:$F$101,$F389,Налоги!$AB$25:$AB$101,$G389)</f>
        <v>0</v>
      </c>
      <c r="AP389" s="943">
        <f>_xlfn.SUMIFS(Налоги!AO$25:AO$101,Налоги!$F$25:$F$101,$F389,Налоги!$AB$25:$AB$101,$G389)</f>
        <v>0</v>
      </c>
      <c r="AQ389" s="943">
        <f>_xlfn.SUMIFS(Налоги!AP$25:AP$101,Налоги!$F$25:$F$101,$F389,Налоги!$AB$25:$AB$101,$G389)</f>
        <v>0</v>
      </c>
      <c r="AR389" s="943">
        <f>_xlfn.SUMIFS(Налоги!AQ$25:AQ$101,Налоги!$F$25:$F$101,$F389,Налоги!$AB$25:$AB$101,$G389)</f>
        <v>0</v>
      </c>
      <c r="AS389" s="943">
        <f>_xlfn.SUMIFS(Налоги!AR$25:AR$101,Налоги!$F$25:$F$101,$F389,Налоги!$AB$25:$AB$101,$G389)</f>
        <v>0</v>
      </c>
      <c r="AT389" s="943">
        <f>_xlfn.SUMIFS(Налоги!AS$25:AS$101,Налоги!$F$25:$F$101,$F389,Налоги!$AB$25:$AB$101,$G389)</f>
        <v>0</v>
      </c>
      <c r="AU389" s="943">
        <f>_xlfn.SUMIFS(Налоги!AT$25:AT$101,Налоги!$F$25:$F$101,$F389,Налоги!$AB$25:$AB$101,$G389)</f>
        <v>0</v>
      </c>
      <c r="AV389" s="943">
        <f>_xlfn.SUMIFS(Налоги!AU$25:AU$101,Налоги!$F$25:$F$101,$F389,Налоги!$AB$25:$AB$101,$G389)</f>
        <v>0</v>
      </c>
      <c r="AW389" s="943">
        <f>_xlfn.SUMIFS(Налоги!AV$25:AV$101,Налоги!$F$25:$F$101,$F389,Налоги!$AB$25:$AB$101,$G389)</f>
        <v>0</v>
      </c>
      <c r="AX389" s="943">
        <f>_xlfn.SUMIFS(Налоги!AW$25:AW$101,Налоги!$F$25:$F$101,$F389,Налоги!$AB$25:$AB$101,$G389)</f>
        <v>0</v>
      </c>
      <c r="AY389" s="943">
        <f>_xlfn.SUMIFS(Налоги!AX$25:AX$101,Налоги!$F$25:$F$101,$F389,Налоги!$AB$25:$AB$101,$G389)</f>
        <v>0</v>
      </c>
      <c r="AZ389" s="943">
        <f>_xlfn.SUMIFS(Налоги!AY$25:AY$101,Налоги!$F$25:$F$101,$F389,Налоги!$AB$25:$AB$101,$G389)</f>
        <v>0</v>
      </c>
      <c r="BA389" s="943">
        <f>_xlfn.SUMIFS(Налоги!AZ$25:AZ$101,Налоги!$F$25:$F$101,$F389,Налоги!$AB$25:$AB$101,$G389)</f>
        <v>0</v>
      </c>
      <c r="BB389" s="943">
        <f>_xlfn.SUMIFS(Налоги!BA$25:BA$101,Налоги!$F$25:$F$101,$F389,Налоги!$AB$25:$AB$101,$G389)</f>
        <v>0</v>
      </c>
      <c r="BC389" s="943">
        <f>_xlfn.SUMIFS(Налоги!BB$25:BB$101,Налоги!$F$25:$F$101,$F389,Налоги!$AB$25:$AB$101,$G389)</f>
        <v>0</v>
      </c>
      <c r="BD389" s="943">
        <f>IF(AI389=0,0,(AT389-AI389)/AI389*100)</f>
        <v>0</v>
      </c>
      <c r="BE389" s="943">
        <f>IF(AT389=0,0,(AU389-AT389)/AT389*100)</f>
        <v>0</v>
      </c>
      <c r="BF389" s="943">
        <f>IF(AU389=0,0,(AV389-AU389)/AU389*100)</f>
        <v>0</v>
      </c>
      <c r="BG389" s="943">
        <f>IF(AV389=0,0,(AW389-AV389)/AV389*100)</f>
        <v>0</v>
      </c>
      <c r="BH389" s="943">
        <f>IF(AW389=0,0,(AX389-AW389)/AW389*100)</f>
        <v>0</v>
      </c>
      <c r="BI389" s="943">
        <f>IF(AX389=0,0,(AY389-AX389)/AX389*100)</f>
        <v>0</v>
      </c>
      <c r="BJ389" s="943">
        <f>IF(AY389=0,0,(AZ389-AY389)/AY389*100)</f>
        <v>0</v>
      </c>
      <c r="BK389" s="943">
        <f>IF(AZ389=0,0,(BA389-AZ389)/AZ389*100)</f>
        <v>0</v>
      </c>
      <c r="BL389" s="943">
        <f>IF(BA389=0,0,(BB389-BA389)/BA389*100)</f>
        <v>0</v>
      </c>
      <c r="BM389" s="943">
        <f>IF(BB389=0,0,(BC389-BB389)/BB389*100)</f>
        <v>0</v>
      </c>
      <c r="BN389" s="7771"/>
      <c r="BO389" s="7724" t="str">
        <f>IF(_xlfn.IFERROR(INDEX(Налоги!$K$26:$L$101,MATCH($F389&amp;"9komm",Налоги!$K$26:$K$101,0),2),"")=0,"",_xlfn.IFERROR(INDEX(Налоги!$K$26:$L$101,MATCH($F389&amp;"9komm",Налоги!$K$26:$K$101,0),2),""))</f>
        <v/>
      </c>
      <c r="BP389" s="7771"/>
      <c r="BQ389" s="1233"/>
      <c r="BR389" s="1233"/>
      <c r="BS389" s="1071" t="s">
        <v>2798</v>
      </c>
      <c r="BT389" s="1071"/>
      <c r="BU389" s="1071"/>
      <c r="BV389" s="1072"/>
      <c r="BW389" s="1072"/>
    </row>
    <row s="1834" customFormat="1" customHeight="1" ht="14.25">
      <c r="A390" s="1278"/>
      <c r="B390" s="96"/>
      <c r="C390" s="107"/>
      <c r="D390" s="107"/>
      <c r="E390" s="621">
        <v>15</v>
      </c>
      <c r="F390" s="50" cm="1" t="str">
        <f t="array" ref="F390:F390">OFFSET(E390,-1,1)</f>
        <v>2</v>
      </c>
      <c r="G390" s="922">
        <v>10</v>
      </c>
      <c r="H390" s="107"/>
      <c r="I390" s="107" t="s">
        <v>2799</v>
      </c>
      <c r="J390" s="107"/>
      <c r="K390" s="107" t="s">
        <v>2799</v>
      </c>
      <c r="L390" s="980"/>
      <c r="M390" s="107"/>
      <c r="N390" s="107"/>
      <c r="O390" s="107"/>
      <c r="P390" s="107"/>
      <c r="Q390" s="107"/>
      <c r="R390" s="107"/>
      <c r="S390" s="107"/>
      <c r="T390" s="465" cm="1" t="str">
        <f t="array" ref="T390:T390">T389</f>
        <v>true</v>
      </c>
      <c r="U390" s="107"/>
      <c r="V390" s="107"/>
      <c r="W390" s="1278"/>
      <c r="X390" s="1563"/>
      <c r="Y390" s="1278"/>
      <c r="Z390" s="1546"/>
      <c r="AA390" s="1278"/>
      <c r="AB390" s="299" t="s">
        <v>2800</v>
      </c>
      <c r="AC390" s="781" t="s">
        <v>2801</v>
      </c>
      <c r="AD390" s="300" t="s">
        <v>1514</v>
      </c>
      <c r="AE390" s="259">
        <f>_xlfn.SUMIFS(Налоги!AE$25:AE$101,Налоги!$F$25:$F$101,$F390,Налоги!$AB$25:$AB$101,$G390)</f>
        <v>0</v>
      </c>
      <c r="AF390" s="259">
        <f>_xlfn.SUMIFS(Налоги!AF$25:AF$101,Налоги!$F$25:$F$101,$F390,Налоги!$AB$25:$AB$101,$G390)</f>
        <v>0</v>
      </c>
      <c r="AG390" s="259">
        <f>_xlfn.SUMIFS(Налоги!AG$25:AG$101,Налоги!$F$25:$F$101,$F390,Налоги!$AB$25:$AB$101,$G390)</f>
        <v>0</v>
      </c>
      <c r="AH390" s="943">
        <f>AG390-AF390</f>
        <v>0</v>
      </c>
      <c r="AI390" s="943">
        <f>_xlfn.SUMIFS(Налоги!AH$25:AH$101,Налоги!$F$25:$F$101,$F390,Налоги!$AB$25:$AB$101,$G390)</f>
        <v>0</v>
      </c>
      <c r="AJ390" s="943">
        <f>_xlfn.SUMIFS(Налоги!AI$25:AI$101,Налоги!$F$25:$F$101,$F390,Налоги!$AB$25:$AB$101,$G390)</f>
        <v>0</v>
      </c>
      <c r="AK390" s="943">
        <f>_xlfn.SUMIFS(Налоги!AJ$25:AJ$101,Налоги!$F$25:$F$101,$F390,Налоги!$AB$25:$AB$101,$G390)</f>
        <v>0</v>
      </c>
      <c r="AL390" s="943">
        <f>_xlfn.SUMIFS(Налоги!AK$25:AK$101,Налоги!$F$25:$F$101,$F390,Налоги!$AB$25:$AB$101,$G390)</f>
        <v>14.66</v>
      </c>
      <c r="AM390" s="943">
        <f>_xlfn.SUMIFS(Налоги!AL$25:AL$101,Налоги!$F$25:$F$101,$F390,Налоги!$AB$25:$AB$101,$G390)</f>
        <v>81.08</v>
      </c>
      <c r="AN390" s="943">
        <f>_xlfn.SUMIFS(Налоги!AM$25:AM$101,Налоги!$F$25:$F$101,$F390,Налоги!$AB$25:$AB$101,$G390)</f>
        <v>51.76</v>
      </c>
      <c r="AO390" s="943">
        <f>_xlfn.SUMIFS(Налоги!AN$25:AN$101,Налоги!$F$25:$F$101,$F390,Налоги!$AB$25:$AB$101,$G390)</f>
        <v>0</v>
      </c>
      <c r="AP390" s="943">
        <f>_xlfn.SUMIFS(Налоги!AO$25:AO$101,Налоги!$F$25:$F$101,$F390,Налоги!$AB$25:$AB$101,$G390)</f>
        <v>0</v>
      </c>
      <c r="AQ390" s="943">
        <f>_xlfn.SUMIFS(Налоги!AP$25:AP$101,Налоги!$F$25:$F$101,$F390,Налоги!$AB$25:$AB$101,$G390)</f>
        <v>0</v>
      </c>
      <c r="AR390" s="943">
        <f>_xlfn.SUMIFS(Налоги!AQ$25:AQ$101,Налоги!$F$25:$F$101,$F390,Налоги!$AB$25:$AB$101,$G390)</f>
        <v>0</v>
      </c>
      <c r="AS390" s="943">
        <f>_xlfn.SUMIFS(Налоги!AR$25:AR$101,Налоги!$F$25:$F$101,$F390,Налоги!$AB$25:$AB$101,$G390)</f>
        <v>0</v>
      </c>
      <c r="AT390" s="943">
        <f>_xlfn.SUMIFS(Налоги!AS$25:AS$101,Налоги!$F$25:$F$101,$F390,Налоги!$AB$25:$AB$101,$G390)</f>
        <v>0</v>
      </c>
      <c r="AU390" s="943">
        <f>_xlfn.SUMIFS(Налоги!AT$25:AT$101,Налоги!$F$25:$F$101,$F390,Налоги!$AB$25:$AB$101,$G390)</f>
        <v>0</v>
      </c>
      <c r="AV390" s="943">
        <f>_xlfn.SUMIFS(Налоги!AU$25:AU$101,Налоги!$F$25:$F$101,$F390,Налоги!$AB$25:$AB$101,$G390)</f>
        <v>14.66</v>
      </c>
      <c r="AW390" s="943">
        <f>_xlfn.SUMIFS(Налоги!AV$25:AV$101,Налоги!$F$25:$F$101,$F390,Налоги!$AB$25:$AB$101,$G390)</f>
        <v>81.08</v>
      </c>
      <c r="AX390" s="943">
        <f>_xlfn.SUMIFS(Налоги!AW$25:AW$101,Налоги!$F$25:$F$101,$F390,Налоги!$AB$25:$AB$101,$G390)</f>
        <v>51.76</v>
      </c>
      <c r="AY390" s="943">
        <f>_xlfn.SUMIFS(Налоги!AX$25:AX$101,Налоги!$F$25:$F$101,$F390,Налоги!$AB$25:$AB$101,$G390)</f>
        <v>0</v>
      </c>
      <c r="AZ390" s="943">
        <f>_xlfn.SUMIFS(Налоги!AY$25:AY$101,Налоги!$F$25:$F$101,$F390,Налоги!$AB$25:$AB$101,$G390)</f>
        <v>0</v>
      </c>
      <c r="BA390" s="943">
        <f>_xlfn.SUMIFS(Налоги!AZ$25:AZ$101,Налоги!$F$25:$F$101,$F390,Налоги!$AB$25:$AB$101,$G390)</f>
        <v>0</v>
      </c>
      <c r="BB390" s="943">
        <f>_xlfn.SUMIFS(Налоги!BA$25:BA$101,Налоги!$F$25:$F$101,$F390,Налоги!$AB$25:$AB$101,$G390)</f>
        <v>0</v>
      </c>
      <c r="BC390" s="943">
        <f>_xlfn.SUMIFS(Налоги!BB$25:BB$101,Налоги!$F$25:$F$101,$F390,Налоги!$AB$25:$AB$101,$G390)</f>
        <v>0</v>
      </c>
      <c r="BD390" s="943">
        <f>IF(AI390=0,0,(AT390-AI390)/AI390*100)</f>
        <v>0</v>
      </c>
      <c r="BE390" s="943">
        <f>IF(AT390=0,0,(AU390-AT390)/AT390*100)</f>
        <v>0</v>
      </c>
      <c r="BF390" s="943">
        <f>IF(AU390=0,0,(AV390-AU390)/AU390*100)</f>
        <v>0</v>
      </c>
      <c r="BG390" s="943">
        <f>IF(AV390=0,0,(AW390-AV390)/AV390*100)</f>
        <v>453.069577080491</v>
      </c>
      <c r="BH390" s="943">
        <f>IF(AW390=0,0,(AX390-AW390)/AW390*100)</f>
        <v>-36.1618154908732</v>
      </c>
      <c r="BI390" s="943">
        <f>IF(AX390=0,0,(AY390-AX390)/AX390*100)</f>
        <v>-100</v>
      </c>
      <c r="BJ390" s="943">
        <f>IF(AY390=0,0,(AZ390-AY390)/AY390*100)</f>
        <v>0</v>
      </c>
      <c r="BK390" s="943">
        <f>IF(AZ390=0,0,(BA390-AZ390)/AZ390*100)</f>
        <v>0</v>
      </c>
      <c r="BL390" s="943">
        <f>IF(BA390=0,0,(BB390-BA390)/BA390*100)</f>
        <v>0</v>
      </c>
      <c r="BM390" s="943">
        <f>IF(BB390=0,0,(BC390-BB390)/BB390*100)</f>
        <v>0</v>
      </c>
      <c r="BN390" s="7771"/>
      <c r="BO390" s="7724" t="str">
        <f>IF(_xlfn.IFERROR(INDEX(Налоги!$K$26:$L$101,MATCH($F390&amp;"10komm",Налоги!$K$26:$K$101,0),2),"")=0,"",_xlfn.IFERROR(INDEX(Налоги!$K$26:$L$101,MATCH($F390&amp;"10komm",Налоги!$K$26:$K$101,0),2),""))</f>
        <v/>
      </c>
      <c r="BP390" s="7771"/>
      <c r="BQ390" s="1278"/>
      <c r="BR390" s="1278"/>
      <c r="BS390" s="1064" t="s">
        <v>2802</v>
      </c>
      <c r="BT390" s="1064"/>
      <c r="BU390" s="1064"/>
      <c r="BV390" s="979"/>
      <c r="BW390" s="979"/>
    </row>
    <row s="1834" customFormat="1" customHeight="1" ht="65.25">
      <c r="A391" s="1278"/>
      <c r="B391" s="978"/>
      <c r="C391" s="1278"/>
      <c r="D391" s="1278"/>
      <c r="E391" s="703">
        <v>67.5</v>
      </c>
      <c r="F391" s="50" cm="1" t="str">
        <f t="array" ref="F391:F391">OFFSET(E391,-1,1)</f>
        <v>2</v>
      </c>
      <c r="G391" s="158" t="s">
        <v>2178</v>
      </c>
      <c r="H391" s="1278"/>
      <c r="I391" s="158" t="s">
        <v>1650</v>
      </c>
      <c r="J391" s="1278"/>
      <c r="K391" s="158" t="s">
        <v>1650</v>
      </c>
      <c r="L391" s="980"/>
      <c r="M391" s="107"/>
      <c r="N391" s="1278"/>
      <c r="O391" s="1278"/>
      <c r="P391" s="1278"/>
      <c r="Q391" s="1278"/>
      <c r="R391" s="1278"/>
      <c r="S391" s="1278"/>
      <c r="T391" s="465" cm="1" t="str">
        <f t="array" ref="T391:T391">T390</f>
        <v>true</v>
      </c>
      <c r="U391" s="1278"/>
      <c r="V391" s="1278"/>
      <c r="W391" s="1278"/>
      <c r="X391" s="1563"/>
      <c r="Y391" s="1278"/>
      <c r="Z391" s="1546"/>
      <c r="AA391" s="1278"/>
      <c r="AB391" s="299" t="s">
        <v>1651</v>
      </c>
      <c r="AC391" s="782" t="s">
        <v>2181</v>
      </c>
      <c r="AD391" s="300" t="s">
        <v>1514</v>
      </c>
      <c r="AE391" s="7775"/>
      <c r="AF391" s="7775"/>
      <c r="AG391" s="7775"/>
      <c r="AH391" s="943">
        <f>AG391-AF391</f>
        <v>0</v>
      </c>
      <c r="AI391" s="7776"/>
      <c r="AJ391" s="7776"/>
      <c r="AK391" s="7776"/>
      <c r="AL391" s="7776"/>
      <c r="AM391" s="7776"/>
      <c r="AN391" s="7776"/>
      <c r="AO391" s="1258"/>
      <c r="AP391" s="1258"/>
      <c r="AQ391" s="1258"/>
      <c r="AR391" s="1258"/>
      <c r="AS391" s="1258"/>
      <c r="AT391" s="7776"/>
      <c r="AU391" s="7776"/>
      <c r="AV391" s="7776"/>
      <c r="AW391" s="7776"/>
      <c r="AX391" s="7776"/>
      <c r="AY391" s="1258"/>
      <c r="AZ391" s="1258"/>
      <c r="BA391" s="1258"/>
      <c r="BB391" s="1258"/>
      <c r="BC391" s="1258"/>
      <c r="BD391" s="943">
        <f>IF(AI391=0,0,(AT391-AI391)/AI391*100)</f>
        <v>0</v>
      </c>
      <c r="BE391" s="943">
        <f>IF(AT391=0,0,(AU391-AT391)/AT391*100)</f>
        <v>0</v>
      </c>
      <c r="BF391" s="943">
        <f>IF(AU391=0,0,(AV391-AU391)/AU391*100)</f>
        <v>0</v>
      </c>
      <c r="BG391" s="943">
        <f>IF(AV391=0,0,(AW391-AV391)/AV391*100)</f>
        <v>0</v>
      </c>
      <c r="BH391" s="943">
        <f>IF(AW391=0,0,(AX391-AW391)/AW391*100)</f>
        <v>0</v>
      </c>
      <c r="BI391" s="943">
        <f>IF(AX391=0,0,(AY391-AX391)/AX391*100)</f>
        <v>0</v>
      </c>
      <c r="BJ391" s="943">
        <f>IF(AY391=0,0,(AZ391-AY391)/AY391*100)</f>
        <v>0</v>
      </c>
      <c r="BK391" s="943">
        <f>IF(AZ391=0,0,(BA391-AZ391)/AZ391*100)</f>
        <v>0</v>
      </c>
      <c r="BL391" s="943">
        <f>IF(BA391=0,0,(BB391-BA391)/BA391*100)</f>
        <v>0</v>
      </c>
      <c r="BM391" s="943">
        <f>IF(BB391=0,0,(BC391-BB391)/BB391*100)</f>
        <v>0</v>
      </c>
      <c r="BN391" s="7771"/>
      <c r="BO391" s="7771"/>
      <c r="BP391" s="7771"/>
      <c r="BQ391" s="1278"/>
      <c r="BR391" s="1278"/>
      <c r="BS391" s="1064" t="s">
        <v>2803</v>
      </c>
      <c r="BT391" s="1064"/>
      <c r="BU391" s="1064"/>
      <c r="BV391" s="979"/>
      <c r="BW391" s="979"/>
    </row>
    <row s="1834" customFormat="1" customHeight="1" ht="14.25">
      <c r="A392" s="1278"/>
      <c r="B392" s="978"/>
      <c r="C392" s="1278"/>
      <c r="D392" s="1278"/>
      <c r="E392" s="703">
        <v>15</v>
      </c>
      <c r="F392" s="50" cm="1" t="str">
        <f t="array" ref="F392:F392">OFFSET(E392,-1,1)</f>
        <v>2</v>
      </c>
      <c r="G392" s="158" t="s">
        <v>1730</v>
      </c>
      <c r="H392" s="1278"/>
      <c r="I392" s="158" t="s">
        <v>1653</v>
      </c>
      <c r="J392" s="1278"/>
      <c r="K392" s="158" t="s">
        <v>1653</v>
      </c>
      <c r="L392" s="980" t="s">
        <v>1225</v>
      </c>
      <c r="M392" s="107"/>
      <c r="N392" s="1278"/>
      <c r="O392" s="1278"/>
      <c r="P392" s="1278"/>
      <c r="Q392" s="1278"/>
      <c r="R392" s="1278"/>
      <c r="S392" s="1278"/>
      <c r="T392" s="465" cm="1" t="str">
        <f t="array" ref="T392:T392">T391</f>
        <v>true</v>
      </c>
      <c r="U392" s="1278"/>
      <c r="V392" s="1278"/>
      <c r="W392" s="1278"/>
      <c r="X392" s="1563"/>
      <c r="Y392" s="1278"/>
      <c r="Z392" s="1546"/>
      <c r="AA392" s="1278"/>
      <c r="AB392" s="299" t="s">
        <v>1654</v>
      </c>
      <c r="AC392" s="762" t="s">
        <v>1730</v>
      </c>
      <c r="AD392" s="300" t="s">
        <v>1514</v>
      </c>
      <c r="AE392" s="259">
        <f>_xlfn.SUMIFS(Аренда!AE$25:AE$77,Аренда!$F$25:$F$77,$F392,Аренда!$G$25:$G$77,"Арендная и концессионная плата, лизинговые платежи")</f>
        <v>0</v>
      </c>
      <c r="AF392" s="259">
        <f>_xlfn.SUMIFS(Аренда!AF$25:AF$77,Аренда!$F$25:$F$77,$F392,Аренда!$G$25:$G$77,"Арендная и концессионная плата, лизинговые платежи")</f>
        <v>0</v>
      </c>
      <c r="AG392" s="259">
        <f>_xlfn.SUMIFS(Аренда!AG$25:AG$77,Аренда!$F$25:$F$77,$F392,Аренда!$G$25:$G$77,"Арендная и концессионная плата, лизинговые платежи")</f>
        <v>0</v>
      </c>
      <c r="AH392" s="943">
        <f>AG392-AF392</f>
        <v>0</v>
      </c>
      <c r="AI392" s="259">
        <f>_xlfn.SUMIFS(Аренда!AH$25:AH$77,Аренда!$F$25:$F$77,$F392,Аренда!$G$25:$G$77,"Арендная и концессионная плата, лизинговые платежи")</f>
        <v>0</v>
      </c>
      <c r="AJ392" s="259">
        <f>_xlfn.SUMIFS(Аренда!AI$25:AI$77,Аренда!$F$25:$F$77,$F392,Аренда!$G$25:$G$77,"Арендная и концессионная плата, лизинговые платежи")</f>
        <v>15.89</v>
      </c>
      <c r="AK392" s="259">
        <f>_xlfn.SUMIFS(Аренда!AJ$25:AJ$77,Аренда!$F$25:$F$77,$F392,Аренда!$G$25:$G$77,"Арендная и концессионная плата, лизинговые платежи")</f>
        <v>15.89</v>
      </c>
      <c r="AL392" s="259">
        <f>_xlfn.SUMIFS(Аренда!AK$25:AK$77,Аренда!$F$25:$F$77,$F392,Аренда!$G$25:$G$77,"Арендная и концессионная плата, лизинговые платежи")</f>
        <v>15.89</v>
      </c>
      <c r="AM392" s="259">
        <f>_xlfn.SUMIFS(Аренда!AL$25:AL$77,Аренда!$F$25:$F$77,$F392,Аренда!$G$25:$G$77,"Арендная и концессионная плата, лизинговые платежи")</f>
        <v>15.89</v>
      </c>
      <c r="AN392" s="259">
        <f>_xlfn.SUMIFS(Аренда!AM$25:AM$77,Аренда!$F$25:$F$77,$F392,Аренда!$G$25:$G$77,"Арендная и концессионная плата, лизинговые платежи")</f>
        <v>15.89</v>
      </c>
      <c r="AO392" s="259">
        <f>_xlfn.SUMIFS(Аренда!AN$25:AN$77,Аренда!$F$25:$F$77,$F392,Аренда!$G$25:$G$77,"Арендная и концессионная плата, лизинговые платежи")</f>
        <v>0</v>
      </c>
      <c r="AP392" s="259">
        <f>_xlfn.SUMIFS(Аренда!AO$25:AO$77,Аренда!$F$25:$F$77,$F392,Аренда!$G$25:$G$77,"Арендная и концессионная плата, лизинговые платежи")</f>
        <v>0</v>
      </c>
      <c r="AQ392" s="259">
        <f>_xlfn.SUMIFS(Аренда!AP$25:AP$77,Аренда!$F$25:$F$77,$F392,Аренда!$G$25:$G$77,"Арендная и концессионная плата, лизинговые платежи")</f>
        <v>0</v>
      </c>
      <c r="AR392" s="259">
        <f>_xlfn.SUMIFS(Аренда!AQ$25:AQ$77,Аренда!$F$25:$F$77,$F392,Аренда!$G$25:$G$77,"Арендная и концессионная плата, лизинговые платежи")</f>
        <v>0</v>
      </c>
      <c r="AS392" s="259">
        <f>_xlfn.SUMIFS(Аренда!AR$25:AR$77,Аренда!$F$25:$F$77,$F392,Аренда!$G$25:$G$77,"Арендная и концессионная плата, лизинговые платежи")</f>
        <v>0</v>
      </c>
      <c r="AT392" s="259">
        <f>_xlfn.SUMIFS(Аренда!AS$25:AS$77,Аренда!$F$25:$F$77,$F392,Аренда!$G$25:$G$77,"Арендная и концессионная плата, лизинговые платежи")</f>
        <v>15.89</v>
      </c>
      <c r="AU392" s="259">
        <f>_xlfn.SUMIFS(Аренда!AT$25:AT$77,Аренда!$F$25:$F$77,$F392,Аренда!$G$25:$G$77,"Арендная и концессионная плата, лизинговые платежи")</f>
        <v>15.89</v>
      </c>
      <c r="AV392" s="259">
        <f>_xlfn.SUMIFS(Аренда!AU$25:AU$77,Аренда!$F$25:$F$77,$F392,Аренда!$G$25:$G$77,"Арендная и концессионная плата, лизинговые платежи")</f>
        <v>15.89</v>
      </c>
      <c r="AW392" s="259">
        <f>_xlfn.SUMIFS(Аренда!AV$25:AV$77,Аренда!$F$25:$F$77,$F392,Аренда!$G$25:$G$77,"Арендная и концессионная плата, лизинговые платежи")</f>
        <v>15.89</v>
      </c>
      <c r="AX392" s="259">
        <f>_xlfn.SUMIFS(Аренда!AW$25:AW$77,Аренда!$F$25:$F$77,$F392,Аренда!$G$25:$G$77,"Арендная и концессионная плата, лизинговые платежи")</f>
        <v>15.89</v>
      </c>
      <c r="AY392" s="259">
        <f>_xlfn.SUMIFS(Аренда!AX$25:AX$77,Аренда!$F$25:$F$77,$F392,Аренда!$G$25:$G$77,"Арендная и концессионная плата, лизинговые платежи")</f>
        <v>0</v>
      </c>
      <c r="AZ392" s="259">
        <f>_xlfn.SUMIFS(Аренда!AY$25:AY$77,Аренда!$F$25:$F$77,$F392,Аренда!$G$25:$G$77,"Арендная и концессионная плата, лизинговые платежи")</f>
        <v>0</v>
      </c>
      <c r="BA392" s="259">
        <f>_xlfn.SUMIFS(Аренда!AZ$25:AZ$77,Аренда!$F$25:$F$77,$F392,Аренда!$G$25:$G$77,"Арендная и концессионная плата, лизинговые платежи")</f>
        <v>0</v>
      </c>
      <c r="BB392" s="259">
        <f>_xlfn.SUMIFS(Аренда!BA$25:BA$77,Аренда!$F$25:$F$77,$F392,Аренда!$G$25:$G$77,"Арендная и концессионная плата, лизинговые платежи")</f>
        <v>0</v>
      </c>
      <c r="BC392" s="259">
        <f>_xlfn.SUMIFS(Аренда!BB$25:BB$77,Аренда!$F$25:$F$77,$F392,Аренда!$G$25:$G$77,"Арендная и концессионная плата, лизинговые платежи")</f>
        <v>0</v>
      </c>
      <c r="BD392" s="943">
        <f>IF(AI392=0,0,(AT392-AI392)/AI392*100)</f>
        <v>0</v>
      </c>
      <c r="BE392" s="943">
        <f>IF(AT392=0,0,(AU392-AT392)/AT392*100)</f>
        <v>0</v>
      </c>
      <c r="BF392" s="943">
        <f>IF(AU392=0,0,(AV392-AU392)/AU392*100)</f>
        <v>0</v>
      </c>
      <c r="BG392" s="943">
        <f>IF(AV392=0,0,(AW392-AV392)/AV392*100)</f>
        <v>0</v>
      </c>
      <c r="BH392" s="943">
        <f>IF(AW392=0,0,(AX392-AW392)/AW392*100)</f>
        <v>0</v>
      </c>
      <c r="BI392" s="943">
        <f>IF(AX392=0,0,(AY392-AX392)/AX392*100)</f>
        <v>-100</v>
      </c>
      <c r="BJ392" s="943">
        <f>IF(AY392=0,0,(AZ392-AY392)/AY392*100)</f>
        <v>0</v>
      </c>
      <c r="BK392" s="943">
        <f>IF(AZ392=0,0,(BA392-AZ392)/AZ392*100)</f>
        <v>0</v>
      </c>
      <c r="BL392" s="943">
        <f>IF(BA392=0,0,(BB392-BA392)/BA392*100)</f>
        <v>0</v>
      </c>
      <c r="BM392" s="943">
        <f>IF(BB392=0,0,(BC392-BB392)/BB392*100)</f>
        <v>0</v>
      </c>
      <c r="BN392" s="7771"/>
      <c r="BO392" s="7777" t="str">
        <f>IF(_xlfn.IFERROR(INDEX(Аренда!$K$26:$L$77,MATCH($F392&amp;"komm",Аренда!$K$26:$K$77,0),2),"")=0,"",_xlfn.IFERROR(INDEX(Аренда!$K$26:$L$77,MATCH($F392&amp;"komm",Аренда!$K$26:$K$77,0),2),""))</f>
        <v>В соответствии с п.п.3 п.49 Методических указаний 1746-э расходы на арендную плату и лизинговые платежи, размер которых определяется с учетом требований, предусмотренных пунктом 29 настоящих Методических указаний.​</v>
      </c>
      <c r="BP392" s="7771"/>
      <c r="BQ392" s="1278"/>
      <c r="BR392" s="1278"/>
      <c r="BS392" s="1064" t="s">
        <v>2804</v>
      </c>
      <c r="BT392" s="1064"/>
      <c r="BU392" s="1064"/>
      <c r="BV392" s="979"/>
      <c r="BW392" s="979"/>
    </row>
    <row s="1834" customFormat="1" customHeight="1" ht="14.25">
      <c r="A393" s="1278"/>
      <c r="B393" s="432">
        <f>STATUS_GO="да"</f>
        <v>1</v>
      </c>
      <c r="C393" s="1278"/>
      <c r="D393" s="1278"/>
      <c r="E393" s="703">
        <v>15</v>
      </c>
      <c r="F393" s="50" cm="1" t="str">
        <f t="array" ref="F393:F393">OFFSET(E393,-1,1)</f>
        <v>2</v>
      </c>
      <c r="G393" s="1278"/>
      <c r="H393" s="1278"/>
      <c r="I393" s="158" t="s">
        <v>2805</v>
      </c>
      <c r="J393" s="1278"/>
      <c r="K393" s="158" t="s">
        <v>2805</v>
      </c>
      <c r="L393" s="980"/>
      <c r="M393" s="107"/>
      <c r="N393" s="1278"/>
      <c r="O393" s="1278"/>
      <c r="P393" s="1278"/>
      <c r="Q393" s="1278"/>
      <c r="R393" s="1278"/>
      <c r="S393" s="1278"/>
      <c r="T393" s="465" cm="1" t="str">
        <f t="array" ref="T393:T393">T392</f>
        <v>true</v>
      </c>
      <c r="U393" s="1278"/>
      <c r="V393" s="1278"/>
      <c r="W393" s="1278"/>
      <c r="X393" s="1563"/>
      <c r="Y393" s="1278"/>
      <c r="Z393" s="1546"/>
      <c r="AA393" s="1278"/>
      <c r="AB393" s="299" t="s">
        <v>2245</v>
      </c>
      <c r="AC393" s="762" t="s">
        <v>2806</v>
      </c>
      <c r="AD393" s="300" t="s">
        <v>1514</v>
      </c>
      <c r="AE393" s="7773"/>
      <c r="AF393" s="7773"/>
      <c r="AG393" s="7773"/>
      <c r="AH393" s="943">
        <f>AG393-AF393</f>
        <v>0</v>
      </c>
      <c r="AI393" s="7723"/>
      <c r="AJ393" s="7723"/>
      <c r="AK393" s="7723"/>
      <c r="AL393" s="7723"/>
      <c r="AM393" s="7723"/>
      <c r="AN393" s="7723"/>
      <c r="AO393" s="1253"/>
      <c r="AP393" s="1253"/>
      <c r="AQ393" s="1253"/>
      <c r="AR393" s="1253"/>
      <c r="AS393" s="1253"/>
      <c r="AT393" s="7723"/>
      <c r="AU393" s="7723"/>
      <c r="AV393" s="7723"/>
      <c r="AW393" s="7723"/>
      <c r="AX393" s="7723"/>
      <c r="AY393" s="1253"/>
      <c r="AZ393" s="1253"/>
      <c r="BA393" s="1253"/>
      <c r="BB393" s="1253"/>
      <c r="BC393" s="1253"/>
      <c r="BD393" s="943">
        <f>IF(AI393=0,0,(AT393-AI393)/AI393*100)</f>
        <v>0</v>
      </c>
      <c r="BE393" s="943">
        <f>IF(AT393=0,0,(AU393-AT393)/AT393*100)</f>
        <v>0</v>
      </c>
      <c r="BF393" s="943">
        <f>IF(AU393=0,0,(AV393-AU393)/AU393*100)</f>
        <v>0</v>
      </c>
      <c r="BG393" s="943">
        <f>IF(AV393=0,0,(AW393-AV393)/AV393*100)</f>
        <v>0</v>
      </c>
      <c r="BH393" s="943">
        <f>IF(AW393=0,0,(AX393-AW393)/AW393*100)</f>
        <v>0</v>
      </c>
      <c r="BI393" s="943">
        <f>IF(AX393=0,0,(AY393-AX393)/AX393*100)</f>
        <v>0</v>
      </c>
      <c r="BJ393" s="943">
        <f>IF(AY393=0,0,(AZ393-AY393)/AY393*100)</f>
        <v>0</v>
      </c>
      <c r="BK393" s="943">
        <f>IF(AZ393=0,0,(BA393-AZ393)/AZ393*100)</f>
        <v>0</v>
      </c>
      <c r="BL393" s="943">
        <f>IF(BA393=0,0,(BB393-BA393)/BA393*100)</f>
        <v>0</v>
      </c>
      <c r="BM393" s="943">
        <f>IF(BB393=0,0,(BC393-BB393)/BB393*100)</f>
        <v>0</v>
      </c>
      <c r="BN393" s="7771"/>
      <c r="BO393" s="7771"/>
      <c r="BP393" s="7771"/>
      <c r="BQ393" s="1278"/>
      <c r="BR393" s="1278"/>
      <c r="BS393" s="1064" t="s">
        <v>2807</v>
      </c>
      <c r="BT393" s="1064"/>
      <c r="BU393" s="1064"/>
      <c r="BV393" s="979"/>
      <c r="BW393" s="979"/>
    </row>
    <row s="1834" customFormat="1" customHeight="1" ht="14.25">
      <c r="A394" s="1278"/>
      <c r="B394" s="432">
        <f>STATUS_GO="да"</f>
        <v>1</v>
      </c>
      <c r="C394" s="1278"/>
      <c r="D394" s="1278"/>
      <c r="E394" s="703">
        <v>15</v>
      </c>
      <c r="F394" s="50" cm="1" t="str">
        <f t="array" ref="F394:F394">OFFSET(E394,-1,1)</f>
        <v>2</v>
      </c>
      <c r="G394" s="158" t="s">
        <v>2187</v>
      </c>
      <c r="H394" s="1278"/>
      <c r="I394" s="158" t="s">
        <v>2808</v>
      </c>
      <c r="J394" s="1278"/>
      <c r="K394" s="158" t="s">
        <v>2808</v>
      </c>
      <c r="L394" s="980"/>
      <c r="M394" s="107"/>
      <c r="N394" s="1278"/>
      <c r="O394" s="1278"/>
      <c r="P394" s="1278"/>
      <c r="Q394" s="1278"/>
      <c r="R394" s="1278"/>
      <c r="S394" s="1278"/>
      <c r="T394" s="465" cm="1" t="str">
        <f t="array" ref="T394:T394">T393</f>
        <v>true</v>
      </c>
      <c r="U394" s="1278"/>
      <c r="V394" s="1278"/>
      <c r="W394" s="1278"/>
      <c r="X394" s="1563"/>
      <c r="Y394" s="1278"/>
      <c r="Z394" s="1546"/>
      <c r="AA394" s="1278"/>
      <c r="AB394" s="299" t="s">
        <v>2809</v>
      </c>
      <c r="AC394" s="765" t="s">
        <v>2187</v>
      </c>
      <c r="AD394" s="300" t="s">
        <v>1514</v>
      </c>
      <c r="AE394" s="7773"/>
      <c r="AF394" s="7773"/>
      <c r="AG394" s="7773"/>
      <c r="AH394" s="943">
        <f>AG394-AF394</f>
        <v>0</v>
      </c>
      <c r="AI394" s="7723"/>
      <c r="AJ394" s="7723"/>
      <c r="AK394" s="7723"/>
      <c r="AL394" s="7723"/>
      <c r="AM394" s="7723"/>
      <c r="AN394" s="7723"/>
      <c r="AO394" s="1253"/>
      <c r="AP394" s="1253"/>
      <c r="AQ394" s="1253"/>
      <c r="AR394" s="1253"/>
      <c r="AS394" s="1253"/>
      <c r="AT394" s="7723"/>
      <c r="AU394" s="7723"/>
      <c r="AV394" s="7723"/>
      <c r="AW394" s="7723"/>
      <c r="AX394" s="7723"/>
      <c r="AY394" s="1253"/>
      <c r="AZ394" s="1253"/>
      <c r="BA394" s="1253"/>
      <c r="BB394" s="1253"/>
      <c r="BC394" s="1253"/>
      <c r="BD394" s="943">
        <f>IF(AI394=0,0,(AT394-AI394)/AI394*100)</f>
        <v>0</v>
      </c>
      <c r="BE394" s="943">
        <f>IF(AT394=0,0,(AU394-AT394)/AT394*100)</f>
        <v>0</v>
      </c>
      <c r="BF394" s="943">
        <f>IF(AU394=0,0,(AV394-AU394)/AU394*100)</f>
        <v>0</v>
      </c>
      <c r="BG394" s="943">
        <f>IF(AV394=0,0,(AW394-AV394)/AV394*100)</f>
        <v>0</v>
      </c>
      <c r="BH394" s="943">
        <f>IF(AW394=0,0,(AX394-AW394)/AW394*100)</f>
        <v>0</v>
      </c>
      <c r="BI394" s="943">
        <f>IF(AX394=0,0,(AY394-AX394)/AX394*100)</f>
        <v>0</v>
      </c>
      <c r="BJ394" s="943">
        <f>IF(AY394=0,0,(AZ394-AY394)/AY394*100)</f>
        <v>0</v>
      </c>
      <c r="BK394" s="943">
        <f>IF(AZ394=0,0,(BA394-AZ394)/AZ394*100)</f>
        <v>0</v>
      </c>
      <c r="BL394" s="943">
        <f>IF(BA394=0,0,(BB394-BA394)/BA394*100)</f>
        <v>0</v>
      </c>
      <c r="BM394" s="943">
        <f>IF(BB394=0,0,(BC394-BB394)/BB394*100)</f>
        <v>0</v>
      </c>
      <c r="BN394" s="7771"/>
      <c r="BO394" s="7777" t="str">
        <f>IF(_xlfn.IFERROR(INDEX('Сбытовые расходы ГО'!$K$26:$M$87,MATCH($F394&amp;"komm",'Сбытовые расходы ГО'!$K$26:$K$87,0),2),"")=0,"",_xlfn.IFERROR(INDEX('Сбытовые расходы ГО'!$K$26:$M$87,MATCH($F394&amp;"komm",'Сбытовые расходы ГО'!$K$26:$K$87,0),2),""))</f>
        <v/>
      </c>
      <c r="BP394" s="7771"/>
      <c r="BQ394" s="1278"/>
      <c r="BR394" s="1278"/>
      <c r="BS394" s="1064" t="s">
        <v>2810</v>
      </c>
      <c r="BT394" s="1064"/>
      <c r="BU394" s="1064"/>
      <c r="BV394" s="979"/>
      <c r="BW394" s="979"/>
    </row>
    <row s="1834" customFormat="1" customHeight="1" ht="14.25">
      <c r="A395" s="1278"/>
      <c r="B395" s="978"/>
      <c r="C395" s="1278"/>
      <c r="D395" s="1278"/>
      <c r="E395" s="703">
        <v>15</v>
      </c>
      <c r="F395" s="50" cm="1" t="str">
        <f t="array" ref="F395:F395">OFFSET(E395,-1,1)</f>
        <v>2</v>
      </c>
      <c r="G395" s="158" t="s">
        <v>2192</v>
      </c>
      <c r="H395" s="1278"/>
      <c r="I395" s="158" t="s">
        <v>2811</v>
      </c>
      <c r="J395" s="1278"/>
      <c r="K395" s="158" t="s">
        <v>2811</v>
      </c>
      <c r="L395" s="980"/>
      <c r="M395" s="107"/>
      <c r="N395" s="1278"/>
      <c r="O395" s="1278"/>
      <c r="P395" s="1278"/>
      <c r="Q395" s="1278"/>
      <c r="R395" s="1278"/>
      <c r="S395" s="1278"/>
      <c r="T395" s="465" cm="1" t="str">
        <f t="array" ref="T395:T395">T394</f>
        <v>true</v>
      </c>
      <c r="U395" s="1278"/>
      <c r="V395" s="1278"/>
      <c r="W395" s="1278"/>
      <c r="X395" s="1563"/>
      <c r="Y395" s="1278"/>
      <c r="Z395" s="1546"/>
      <c r="AA395" s="1278"/>
      <c r="AB395" s="299" t="s">
        <v>2250</v>
      </c>
      <c r="AC395" s="762" t="s">
        <v>2192</v>
      </c>
      <c r="AD395" s="300" t="s">
        <v>1514</v>
      </c>
      <c r="AE395" s="7773"/>
      <c r="AF395" s="7773"/>
      <c r="AG395" s="7773"/>
      <c r="AH395" s="943">
        <f>AG395-AF395</f>
        <v>0</v>
      </c>
      <c r="AI395" s="7723"/>
      <c r="AJ395" s="7723">
        <f>_xlfn.SUMIFS(Экономия_корр!AE$25:AE$67,Экономия_корр!$F$25:$F$67,$F395,Экономия_корр!$AC$25:$AC$67,"Экономия расходов с учетом ИПЦ")</f>
        <v>0</v>
      </c>
      <c r="AK395" s="7723">
        <f>_xlfn.SUMIFS(Экономия_корр!AF$25:AF$67,Экономия_корр!$F$25:$F$67,$F395,Экономия_корр!$AC$25:$AC$67,"Экономия расходов с учетом ИПЦ")</f>
        <v>0</v>
      </c>
      <c r="AL395" s="7723">
        <f>_xlfn.SUMIFS(Экономия_корр!AG$25:AG$67,Экономия_корр!$F$25:$F$67,$F395,Экономия_корр!$AC$25:$AC$67,"Экономия расходов с учетом ИПЦ")</f>
        <v>0</v>
      </c>
      <c r="AM395" s="7723">
        <f>_xlfn.SUMIFS(Экономия_корр!AH$25:AH$67,Экономия_корр!$F$25:$F$67,$F395,Экономия_корр!$AC$25:$AC$67,"Экономия расходов с учетом ИПЦ")</f>
        <v>0</v>
      </c>
      <c r="AN395" s="7723">
        <f>_xlfn.SUMIFS(Экономия_корр!AI$25:AI$67,Экономия_корр!$F$25:$F$67,$F395,Экономия_корр!$AC$25:$AC$67,"Экономия расходов с учетом ИПЦ")</f>
        <v>0</v>
      </c>
      <c r="AO395" s="1253">
        <f>_xlfn.SUMIFS(Экономия_корр!AJ$25:AJ$67,Экономия_корр!$F$25:$F$67,$F395,Экономия_корр!$AC$25:$AC$67,"Экономия расходов с учетом ИПЦ")</f>
        <v>0</v>
      </c>
      <c r="AP395" s="1253">
        <f>_xlfn.SUMIFS(Экономия_корр!AK$25:AK$67,Экономия_корр!$F$25:$F$67,$F395,Экономия_корр!$AC$25:$AC$67,"Экономия расходов с учетом ИПЦ")</f>
        <v>0</v>
      </c>
      <c r="AQ395" s="1253">
        <f>_xlfn.SUMIFS(Экономия_корр!AL$25:AL$67,Экономия_корр!$F$25:$F$67,$F395,Экономия_корр!$AC$25:$AC$67,"Экономия расходов с учетом ИПЦ")</f>
        <v>0</v>
      </c>
      <c r="AR395" s="1253">
        <f>_xlfn.SUMIFS(Экономия_корр!AM$25:AM$67,Экономия_корр!$F$25:$F$67,$F395,Экономия_корр!$AC$25:$AC$67,"Экономия расходов с учетом ИПЦ")</f>
        <v>0</v>
      </c>
      <c r="AS395" s="1253">
        <f>_xlfn.SUMIFS(Экономия_корр!AN$25:AN$67,Экономия_корр!$F$25:$F$67,$F395,Экономия_корр!$AC$25:$AC$67,"Экономия расходов с учетом ИПЦ")</f>
        <v>0</v>
      </c>
      <c r="AT395" s="7723">
        <f>_xlfn.SUMIFS(Экономия_корр!AO$25:AO$67,Экономия_корр!$F$25:$F$67,$F395,Экономия_корр!$AC$25:$AC$67,"Экономия расходов с учетом ИПЦ")</f>
        <v>0</v>
      </c>
      <c r="AU395" s="7723">
        <f>_xlfn.SUMIFS(Экономия_корр!AP$25:AP$67,Экономия_корр!$F$25:$F$67,$F395,Экономия_корр!$AC$25:$AC$67,"Экономия расходов с учетом ИПЦ")</f>
        <v>0</v>
      </c>
      <c r="AV395" s="7723">
        <f>_xlfn.SUMIFS(Экономия_корр!AQ$25:AQ$67,Экономия_корр!$F$25:$F$67,$F395,Экономия_корр!$AC$25:$AC$67,"Экономия расходов с учетом ИПЦ")</f>
        <v>0</v>
      </c>
      <c r="AW395" s="7723">
        <f>_xlfn.SUMIFS(Экономия_корр!AR$25:AR$67,Экономия_корр!$F$25:$F$67,$F395,Экономия_корр!$AC$25:$AC$67,"Экономия расходов с учетом ИПЦ")</f>
        <v>0</v>
      </c>
      <c r="AX395" s="7723">
        <f>_xlfn.SUMIFS(Экономия_корр!AS$25:AS$67,Экономия_корр!$F$25:$F$67,$F395,Экономия_корр!$AC$25:$AC$67,"Экономия расходов с учетом ИПЦ")</f>
        <v>0</v>
      </c>
      <c r="AY395" s="1253">
        <f>_xlfn.SUMIFS(Экономия_корр!AT$25:AT$67,Экономия_корр!$F$25:$F$67,$F395,Экономия_корр!$AC$25:$AC$67,"Экономия расходов с учетом ИПЦ")</f>
        <v>0</v>
      </c>
      <c r="AZ395" s="1253">
        <f>_xlfn.SUMIFS(Экономия_корр!AU$25:AU$67,Экономия_корр!$F$25:$F$67,$F395,Экономия_корр!$AC$25:$AC$67,"Экономия расходов с учетом ИПЦ")</f>
        <v>0</v>
      </c>
      <c r="BA395" s="1253">
        <f>_xlfn.SUMIFS(Экономия_корр!AV$25:AV$67,Экономия_корр!$F$25:$F$67,$F395,Экономия_корр!$AC$25:$AC$67,"Экономия расходов с учетом ИПЦ")</f>
        <v>0</v>
      </c>
      <c r="BB395" s="1253">
        <f>_xlfn.SUMIFS(Экономия_корр!AW$25:AW$67,Экономия_корр!$F$25:$F$67,$F395,Экономия_корр!$AC$25:$AC$67,"Экономия расходов с учетом ИПЦ")</f>
        <v>0</v>
      </c>
      <c r="BC395" s="1253">
        <f>_xlfn.SUMIFS(Экономия_корр!AX$25:AX$67,Экономия_корр!$F$25:$F$67,$F395,Экономия_корр!$AC$25:$AC$67,"Экономия расходов с учетом ИПЦ")</f>
        <v>0</v>
      </c>
      <c r="BD395" s="943">
        <f>IF(AI395=0,0,(AT395-AI395)/AI395*100)</f>
        <v>0</v>
      </c>
      <c r="BE395" s="943">
        <f>IF(AT395=0,0,(AU395-AT395)/AT395*100)</f>
        <v>0</v>
      </c>
      <c r="BF395" s="943">
        <f>IF(AU395=0,0,(AV395-AU395)/AU395*100)</f>
        <v>0</v>
      </c>
      <c r="BG395" s="943">
        <f>IF(AV395=0,0,(AW395-AV395)/AV395*100)</f>
        <v>0</v>
      </c>
      <c r="BH395" s="943">
        <f>IF(AW395=0,0,(AX395-AW395)/AW395*100)</f>
        <v>0</v>
      </c>
      <c r="BI395" s="943">
        <f>IF(AX395=0,0,(AY395-AX395)/AX395*100)</f>
        <v>0</v>
      </c>
      <c r="BJ395" s="943">
        <f>IF(AY395=0,0,(AZ395-AY395)/AY395*100)</f>
        <v>0</v>
      </c>
      <c r="BK395" s="943">
        <f>IF(AZ395=0,0,(BA395-AZ395)/AZ395*100)</f>
        <v>0</v>
      </c>
      <c r="BL395" s="943">
        <f>IF(BA395=0,0,(BB395-BA395)/BA395*100)</f>
        <v>0</v>
      </c>
      <c r="BM395" s="943">
        <f>IF(BB395=0,0,(BC395-BB395)/BB395*100)</f>
        <v>0</v>
      </c>
      <c r="BN395" s="7771"/>
      <c r="BO395" s="7771"/>
      <c r="BP395" s="7771"/>
      <c r="BQ395" s="1278"/>
      <c r="BR395" s="1278"/>
      <c r="BS395" s="1064" t="s">
        <v>2812</v>
      </c>
      <c r="BT395" s="1064"/>
      <c r="BU395" s="1064"/>
      <c r="BV395" s="979"/>
      <c r="BW395" s="979"/>
    </row>
    <row s="1834" customFormat="1" customHeight="1" ht="14.25">
      <c r="A396" s="1278"/>
      <c r="B396" s="978"/>
      <c r="C396" s="1278"/>
      <c r="D396" s="1278"/>
      <c r="E396" s="703">
        <v>15</v>
      </c>
      <c r="F396" s="50" cm="1" t="str">
        <f t="array" ref="F396:F396">OFFSET(E396,-1,1)</f>
        <v>2</v>
      </c>
      <c r="G396" s="158" t="s">
        <v>2197</v>
      </c>
      <c r="H396" s="1278"/>
      <c r="I396" s="158" t="s">
        <v>2813</v>
      </c>
      <c r="J396" s="1278"/>
      <c r="K396" s="158" t="s">
        <v>2813</v>
      </c>
      <c r="L396" s="980"/>
      <c r="M396" s="107"/>
      <c r="N396" s="1278"/>
      <c r="O396" s="1278"/>
      <c r="P396" s="1278"/>
      <c r="Q396" s="1278"/>
      <c r="R396" s="1278"/>
      <c r="S396" s="1278"/>
      <c r="T396" s="465" cm="1" t="str">
        <f t="array" ref="T396:T396">T395</f>
        <v>true</v>
      </c>
      <c r="U396" s="1278"/>
      <c r="V396" s="1278"/>
      <c r="W396" s="1278"/>
      <c r="X396" s="1563"/>
      <c r="Y396" s="1278"/>
      <c r="Z396" s="1546"/>
      <c r="AA396" s="1278"/>
      <c r="AB396" s="299" t="s">
        <v>2814</v>
      </c>
      <c r="AC396" s="762" t="s">
        <v>2197</v>
      </c>
      <c r="AD396" s="300" t="s">
        <v>1514</v>
      </c>
      <c r="AE396" s="7773"/>
      <c r="AF396" s="7773"/>
      <c r="AG396" s="7773"/>
      <c r="AH396" s="943">
        <f>AG396-AF396</f>
        <v>0</v>
      </c>
      <c r="AI396" s="7723"/>
      <c r="AJ396" s="7723"/>
      <c r="AK396" s="7723"/>
      <c r="AL396" s="7723"/>
      <c r="AM396" s="7723"/>
      <c r="AN396" s="7723"/>
      <c r="AO396" s="1253"/>
      <c r="AP396" s="1253"/>
      <c r="AQ396" s="1253"/>
      <c r="AR396" s="1253"/>
      <c r="AS396" s="1253"/>
      <c r="AT396" s="7723"/>
      <c r="AU396" s="7723"/>
      <c r="AV396" s="7723"/>
      <c r="AW396" s="7723"/>
      <c r="AX396" s="7723"/>
      <c r="AY396" s="1253"/>
      <c r="AZ396" s="1253"/>
      <c r="BA396" s="1253"/>
      <c r="BB396" s="1253"/>
      <c r="BC396" s="1253"/>
      <c r="BD396" s="943">
        <f>IF(AI396=0,0,(AT396-AI396)/AI396*100)</f>
        <v>0</v>
      </c>
      <c r="BE396" s="943">
        <f>IF(AT396=0,0,(AU396-AT396)/AT396*100)</f>
        <v>0</v>
      </c>
      <c r="BF396" s="943">
        <f>IF(AU396=0,0,(AV396-AU396)/AU396*100)</f>
        <v>0</v>
      </c>
      <c r="BG396" s="943">
        <f>IF(AV396=0,0,(AW396-AV396)/AV396*100)</f>
        <v>0</v>
      </c>
      <c r="BH396" s="943">
        <f>IF(AW396=0,0,(AX396-AW396)/AW396*100)</f>
        <v>0</v>
      </c>
      <c r="BI396" s="943">
        <f>IF(AX396=0,0,(AY396-AX396)/AX396*100)</f>
        <v>0</v>
      </c>
      <c r="BJ396" s="943">
        <f>IF(AY396=0,0,(AZ396-AY396)/AY396*100)</f>
        <v>0</v>
      </c>
      <c r="BK396" s="943">
        <f>IF(AZ396=0,0,(BA396-AZ396)/AZ396*100)</f>
        <v>0</v>
      </c>
      <c r="BL396" s="943">
        <f>IF(BA396=0,0,(BB396-BA396)/BA396*100)</f>
        <v>0</v>
      </c>
      <c r="BM396" s="943">
        <f>IF(BB396=0,0,(BC396-BB396)/BB396*100)</f>
        <v>0</v>
      </c>
      <c r="BN396" s="7771"/>
      <c r="BO396" s="7771"/>
      <c r="BP396" s="7771"/>
      <c r="BQ396" s="1278"/>
      <c r="BR396" s="1278"/>
      <c r="BS396" s="1064" t="s">
        <v>2551</v>
      </c>
      <c r="BT396" s="1064"/>
      <c r="BU396" s="1064"/>
      <c r="BV396" s="979"/>
      <c r="BW396" s="979"/>
    </row>
    <row s="1834" customFormat="1" customHeight="1" ht="14.25">
      <c r="A397" s="1278"/>
      <c r="B397" s="978"/>
      <c r="C397" s="1278"/>
      <c r="D397" s="1278"/>
      <c r="E397" s="703">
        <v>15</v>
      </c>
      <c r="F397" s="50" cm="1" t="str">
        <f t="array" ref="F397:F397">OFFSET(E397,-1,1)</f>
        <v>2</v>
      </c>
      <c r="G397" s="158" t="s">
        <v>2202</v>
      </c>
      <c r="H397" s="1278"/>
      <c r="I397" s="158" t="s">
        <v>2815</v>
      </c>
      <c r="J397" s="1278"/>
      <c r="K397" s="158" t="s">
        <v>2815</v>
      </c>
      <c r="L397" s="980"/>
      <c r="M397" s="107"/>
      <c r="N397" s="1278"/>
      <c r="O397" s="1278"/>
      <c r="P397" s="1278"/>
      <c r="Q397" s="1278"/>
      <c r="R397" s="1278"/>
      <c r="S397" s="1278"/>
      <c r="T397" s="465" cm="1" t="str">
        <f t="array" ref="T397:T397">T396</f>
        <v>true</v>
      </c>
      <c r="U397" s="1278"/>
      <c r="V397" s="1278"/>
      <c r="W397" s="1278"/>
      <c r="X397" s="1563"/>
      <c r="Y397" s="1278"/>
      <c r="Z397" s="1546"/>
      <c r="AA397" s="1278"/>
      <c r="AB397" s="299" t="s">
        <v>2269</v>
      </c>
      <c r="AC397" s="762" t="s">
        <v>2202</v>
      </c>
      <c r="AD397" s="300" t="s">
        <v>1514</v>
      </c>
      <c r="AE397" s="7773"/>
      <c r="AF397" s="7773"/>
      <c r="AG397" s="7773"/>
      <c r="AH397" s="943">
        <f>AG397-AF397</f>
        <v>0</v>
      </c>
      <c r="AI397" s="7723"/>
      <c r="AJ397" s="7723"/>
      <c r="AK397" s="7723"/>
      <c r="AL397" s="7723"/>
      <c r="AM397" s="7723"/>
      <c r="AN397" s="7723"/>
      <c r="AO397" s="1253"/>
      <c r="AP397" s="1253"/>
      <c r="AQ397" s="1253"/>
      <c r="AR397" s="1253"/>
      <c r="AS397" s="1253"/>
      <c r="AT397" s="7723"/>
      <c r="AU397" s="7723"/>
      <c r="AV397" s="7723"/>
      <c r="AW397" s="7723"/>
      <c r="AX397" s="7723"/>
      <c r="AY397" s="1253"/>
      <c r="AZ397" s="1253"/>
      <c r="BA397" s="1253"/>
      <c r="BB397" s="1253"/>
      <c r="BC397" s="1253"/>
      <c r="BD397" s="943">
        <f>IF(AI397=0,0,(AT397-AI397)/AI397*100)</f>
        <v>0</v>
      </c>
      <c r="BE397" s="943">
        <f>IF(AT397=0,0,(AU397-AT397)/AT397*100)</f>
        <v>0</v>
      </c>
      <c r="BF397" s="943">
        <f>IF(AU397=0,0,(AV397-AU397)/AU397*100)</f>
        <v>0</v>
      </c>
      <c r="BG397" s="943">
        <f>IF(AV397=0,0,(AW397-AV397)/AV397*100)</f>
        <v>0</v>
      </c>
      <c r="BH397" s="943">
        <f>IF(AW397=0,0,(AX397-AW397)/AW397*100)</f>
        <v>0</v>
      </c>
      <c r="BI397" s="943">
        <f>IF(AX397=0,0,(AY397-AX397)/AX397*100)</f>
        <v>0</v>
      </c>
      <c r="BJ397" s="943">
        <f>IF(AY397=0,0,(AZ397-AY397)/AY397*100)</f>
        <v>0</v>
      </c>
      <c r="BK397" s="943">
        <f>IF(AZ397=0,0,(BA397-AZ397)/AZ397*100)</f>
        <v>0</v>
      </c>
      <c r="BL397" s="943">
        <f>IF(BA397=0,0,(BB397-BA397)/BA397*100)</f>
        <v>0</v>
      </c>
      <c r="BM397" s="943">
        <f>IF(BB397=0,0,(BC397-BB397)/BB397*100)</f>
        <v>0</v>
      </c>
      <c r="BN397" s="7771"/>
      <c r="BO397" s="7771"/>
      <c r="BP397" s="7771"/>
      <c r="BQ397" s="1278"/>
      <c r="BR397" s="1278"/>
      <c r="BS397" s="1064" t="s">
        <v>2816</v>
      </c>
      <c r="BT397" s="1064"/>
      <c r="BU397" s="1064"/>
      <c r="BV397" s="979"/>
      <c r="BW397" s="979"/>
    </row>
    <row s="1834" customFormat="1" customHeight="1" ht="14.25">
      <c r="A398" s="1278"/>
      <c r="B398" s="978"/>
      <c r="C398" s="1278"/>
      <c r="D398" s="1278"/>
      <c r="E398" s="703">
        <v>15</v>
      </c>
      <c r="F398" s="50" cm="1" t="str">
        <f t="array" ref="F398:F398">OFFSET(E398,-1,1)</f>
        <v>2</v>
      </c>
      <c r="G398" s="158" t="s">
        <v>2207</v>
      </c>
      <c r="H398" s="1278"/>
      <c r="I398" s="158" t="s">
        <v>2817</v>
      </c>
      <c r="J398" s="1278"/>
      <c r="K398" s="158" t="s">
        <v>2817</v>
      </c>
      <c r="L398" s="980"/>
      <c r="M398" s="107"/>
      <c r="N398" s="1278"/>
      <c r="O398" s="1278"/>
      <c r="P398" s="1278"/>
      <c r="Q398" s="1278"/>
      <c r="R398" s="1278"/>
      <c r="S398" s="1278"/>
      <c r="T398" s="465" cm="1" t="str">
        <f t="array" ref="T398:T398">T397</f>
        <v>true</v>
      </c>
      <c r="U398" s="1278"/>
      <c r="V398" s="1278"/>
      <c r="W398" s="1278"/>
      <c r="X398" s="1563"/>
      <c r="Y398" s="1278"/>
      <c r="Z398" s="1546"/>
      <c r="AA398" s="1278"/>
      <c r="AB398" s="299" t="s">
        <v>2273</v>
      </c>
      <c r="AC398" s="762" t="s">
        <v>2207</v>
      </c>
      <c r="AD398" s="300" t="s">
        <v>1514</v>
      </c>
      <c r="AE398" s="353">
        <f>SUM(AE399,AE400)</f>
        <v>0</v>
      </c>
      <c r="AF398" s="259">
        <f>SUM(AF399,AF400)</f>
        <v>0</v>
      </c>
      <c r="AG398" s="259">
        <f>SUM(AG399,AG400)</f>
        <v>0</v>
      </c>
      <c r="AH398" s="943">
        <f>AG398-AF398</f>
        <v>0</v>
      </c>
      <c r="AI398" s="943">
        <f>SUM(AI399,AI400)</f>
        <v>0</v>
      </c>
      <c r="AJ398" s="944">
        <f>SUM(AJ399,AJ400)</f>
        <v>0</v>
      </c>
      <c r="AK398" s="943">
        <f>SUM(AK399,AK400)</f>
        <v>0</v>
      </c>
      <c r="AL398" s="943">
        <f>SUM(AL399,AL400)</f>
        <v>0</v>
      </c>
      <c r="AM398" s="943">
        <f>SUM(AM399,AM400)</f>
        <v>0</v>
      </c>
      <c r="AN398" s="943">
        <f>SUM(AN399,AN400)</f>
        <v>0</v>
      </c>
      <c r="AO398" s="943">
        <f>SUM(AO399,AO400)</f>
        <v>0</v>
      </c>
      <c r="AP398" s="943">
        <f>SUM(AP399,AP400)</f>
        <v>0</v>
      </c>
      <c r="AQ398" s="943">
        <f>SUM(AQ399,AQ400)</f>
        <v>0</v>
      </c>
      <c r="AR398" s="943">
        <f>SUM(AR399,AR400)</f>
        <v>0</v>
      </c>
      <c r="AS398" s="943">
        <f>SUM(AS399,AS400)</f>
        <v>0</v>
      </c>
      <c r="AT398" s="944">
        <f>SUM(AT399,AT400)</f>
        <v>0</v>
      </c>
      <c r="AU398" s="943">
        <f>SUM(AU399,AU400)</f>
        <v>0</v>
      </c>
      <c r="AV398" s="943">
        <f>SUM(AV399,AV400)</f>
        <v>0</v>
      </c>
      <c r="AW398" s="943">
        <f>SUM(AW399,AW400)</f>
        <v>0</v>
      </c>
      <c r="AX398" s="943">
        <f>SUM(AX399,AX400)</f>
        <v>0</v>
      </c>
      <c r="AY398" s="943">
        <f>SUM(AY399,AY400)</f>
        <v>0</v>
      </c>
      <c r="AZ398" s="943">
        <f>SUM(AZ399,AZ400)</f>
        <v>0</v>
      </c>
      <c r="BA398" s="943">
        <f>SUM(BA399,BA400)</f>
        <v>0</v>
      </c>
      <c r="BB398" s="943">
        <f>SUM(BB399,BB400)</f>
        <v>0</v>
      </c>
      <c r="BC398" s="943">
        <f>SUM(BC399,BC400)</f>
        <v>0</v>
      </c>
      <c r="BD398" s="943">
        <f>IF(AI398=0,0,(AT398-AI398)/AI398*100)</f>
        <v>0</v>
      </c>
      <c r="BE398" s="943">
        <f>IF(AT398=0,0,(AU398-AT398)/AT398*100)</f>
        <v>0</v>
      </c>
      <c r="BF398" s="943">
        <f>IF(AU398=0,0,(AV398-AU398)/AU398*100)</f>
        <v>0</v>
      </c>
      <c r="BG398" s="943">
        <f>IF(AV398=0,0,(AW398-AV398)/AV398*100)</f>
        <v>0</v>
      </c>
      <c r="BH398" s="943">
        <f>IF(AW398=0,0,(AX398-AW398)/AW398*100)</f>
        <v>0</v>
      </c>
      <c r="BI398" s="943">
        <f>IF(AX398=0,0,(AY398-AX398)/AX398*100)</f>
        <v>0</v>
      </c>
      <c r="BJ398" s="943">
        <f>IF(AY398=0,0,(AZ398-AY398)/AY398*100)</f>
        <v>0</v>
      </c>
      <c r="BK398" s="943">
        <f>IF(AZ398=0,0,(BA398-AZ398)/AZ398*100)</f>
        <v>0</v>
      </c>
      <c r="BL398" s="943">
        <f>IF(BA398=0,0,(BB398-BA398)/BA398*100)</f>
        <v>0</v>
      </c>
      <c r="BM398" s="943">
        <f>IF(BB398=0,0,(BC398-BB398)/BB398*100)</f>
        <v>0</v>
      </c>
      <c r="BN398" s="7771"/>
      <c r="BO398" s="7771"/>
      <c r="BP398" s="7771"/>
      <c r="BQ398" s="1278"/>
      <c r="BR398" s="1278"/>
      <c r="BS398" s="1064" t="s">
        <v>2818</v>
      </c>
      <c r="BT398" s="1064"/>
      <c r="BU398" s="1064"/>
      <c r="BV398" s="979"/>
      <c r="BW398" s="979"/>
    </row>
    <row s="1834" customFormat="1" customHeight="1" ht="14.25">
      <c r="A399" s="1278"/>
      <c r="B399" s="978"/>
      <c r="C399" s="1278"/>
      <c r="D399" s="1278"/>
      <c r="E399" s="703">
        <v>15</v>
      </c>
      <c r="F399" s="50" cm="1" t="str">
        <f t="array" ref="F399:F399">OFFSET(E399,-1,1)</f>
        <v>2</v>
      </c>
      <c r="G399" s="1278"/>
      <c r="H399" s="1278"/>
      <c r="I399" s="158" t="s">
        <v>2819</v>
      </c>
      <c r="J399" s="1278"/>
      <c r="K399" s="158" t="s">
        <v>2819</v>
      </c>
      <c r="L399" s="980"/>
      <c r="M399" s="107"/>
      <c r="N399" s="1278"/>
      <c r="O399" s="1278"/>
      <c r="P399" s="1278"/>
      <c r="Q399" s="1278"/>
      <c r="R399" s="1278"/>
      <c r="S399" s="1278"/>
      <c r="T399" s="465" cm="1" t="str">
        <f t="array" ref="T399:T399">T398</f>
        <v>true</v>
      </c>
      <c r="U399" s="1278"/>
      <c r="V399" s="1278"/>
      <c r="W399" s="1278"/>
      <c r="X399" s="1563"/>
      <c r="Y399" s="1278"/>
      <c r="Z399" s="1546"/>
      <c r="AA399" s="1278"/>
      <c r="AB399" s="299" t="s">
        <v>2820</v>
      </c>
      <c r="AC399" s="765" t="s">
        <v>2821</v>
      </c>
      <c r="AD399" s="300" t="s">
        <v>1514</v>
      </c>
      <c r="AE399" s="7773"/>
      <c r="AF399" s="7773"/>
      <c r="AG399" s="7773"/>
      <c r="AH399" s="943">
        <f>AG399-AF399</f>
        <v>0</v>
      </c>
      <c r="AI399" s="7723"/>
      <c r="AJ399" s="7723"/>
      <c r="AK399" s="7723"/>
      <c r="AL399" s="7723"/>
      <c r="AM399" s="7723"/>
      <c r="AN399" s="7723"/>
      <c r="AO399" s="1253"/>
      <c r="AP399" s="1253"/>
      <c r="AQ399" s="1253"/>
      <c r="AR399" s="1253"/>
      <c r="AS399" s="1253"/>
      <c r="AT399" s="7723"/>
      <c r="AU399" s="7723"/>
      <c r="AV399" s="7723"/>
      <c r="AW399" s="7723"/>
      <c r="AX399" s="7723"/>
      <c r="AY399" s="1253"/>
      <c r="AZ399" s="1253"/>
      <c r="BA399" s="1253"/>
      <c r="BB399" s="1253"/>
      <c r="BC399" s="1253"/>
      <c r="BD399" s="943">
        <f>IF(AI399=0,0,(AT399-AI399)/AI399*100)</f>
        <v>0</v>
      </c>
      <c r="BE399" s="943">
        <f>IF(AT399=0,0,(AU399-AT399)/AT399*100)</f>
        <v>0</v>
      </c>
      <c r="BF399" s="943">
        <f>IF(AU399=0,0,(AV399-AU399)/AU399*100)</f>
        <v>0</v>
      </c>
      <c r="BG399" s="943">
        <f>IF(AV399=0,0,(AW399-AV399)/AV399*100)</f>
        <v>0</v>
      </c>
      <c r="BH399" s="943">
        <f>IF(AW399=0,0,(AX399-AW399)/AW399*100)</f>
        <v>0</v>
      </c>
      <c r="BI399" s="943">
        <f>IF(AX399=0,0,(AY399-AX399)/AX399*100)</f>
        <v>0</v>
      </c>
      <c r="BJ399" s="943">
        <f>IF(AY399=0,0,(AZ399-AY399)/AY399*100)</f>
        <v>0</v>
      </c>
      <c r="BK399" s="943">
        <f>IF(AZ399=0,0,(BA399-AZ399)/AZ399*100)</f>
        <v>0</v>
      </c>
      <c r="BL399" s="943">
        <f>IF(BA399=0,0,(BB399-BA399)/BA399*100)</f>
        <v>0</v>
      </c>
      <c r="BM399" s="943">
        <f>IF(BB399=0,0,(BC399-BB399)/BB399*100)</f>
        <v>0</v>
      </c>
      <c r="BN399" s="7771"/>
      <c r="BO399" s="7771"/>
      <c r="BP399" s="7771"/>
      <c r="BQ399" s="1278"/>
      <c r="BR399" s="1278"/>
      <c r="BS399" s="1064" t="s">
        <v>1991</v>
      </c>
      <c r="BT399" s="1064"/>
      <c r="BU399" s="1064"/>
      <c r="BV399" s="979"/>
      <c r="BW399" s="979"/>
    </row>
    <row s="1834" customFormat="1" customHeight="1" ht="14.25">
      <c r="A400" s="1278"/>
      <c r="B400" s="978"/>
      <c r="C400" s="1278"/>
      <c r="D400" s="1278"/>
      <c r="E400" s="703">
        <v>15</v>
      </c>
      <c r="F400" s="50" cm="1" t="str">
        <f t="array" ref="F400:F400">OFFSET(E400,-1,1)</f>
        <v>2</v>
      </c>
      <c r="G400" s="1278"/>
      <c r="H400" s="1278"/>
      <c r="I400" s="158" t="s">
        <v>2822</v>
      </c>
      <c r="J400" s="1278"/>
      <c r="K400" s="158" t="s">
        <v>2822</v>
      </c>
      <c r="L400" s="980" t="s">
        <v>1640</v>
      </c>
      <c r="M400" s="107"/>
      <c r="N400" s="1278"/>
      <c r="O400" s="1278"/>
      <c r="P400" s="1278"/>
      <c r="Q400" s="1278"/>
      <c r="R400" s="1278"/>
      <c r="S400" s="1278"/>
      <c r="T400" s="465" cm="1" t="str">
        <f t="array" ref="T400:T400">T399</f>
        <v>true</v>
      </c>
      <c r="U400" s="1278"/>
      <c r="V400" s="1278"/>
      <c r="W400" s="1278"/>
      <c r="X400" s="1563"/>
      <c r="Y400" s="1278"/>
      <c r="Z400" s="1546"/>
      <c r="AA400" s="1278"/>
      <c r="AB400" s="299" t="s">
        <v>2823</v>
      </c>
      <c r="AC400" s="765" t="s">
        <v>2824</v>
      </c>
      <c r="AD400" s="300" t="s">
        <v>1514</v>
      </c>
      <c r="AE400" s="7773"/>
      <c r="AF400" s="7773"/>
      <c r="AG400" s="7773"/>
      <c r="AH400" s="943">
        <f>AG400-AF400</f>
        <v>0</v>
      </c>
      <c r="AI400" s="7723"/>
      <c r="AJ400" s="7723"/>
      <c r="AK400" s="7723"/>
      <c r="AL400" s="7723"/>
      <c r="AM400" s="7723"/>
      <c r="AN400" s="7723"/>
      <c r="AO400" s="1253"/>
      <c r="AP400" s="1253"/>
      <c r="AQ400" s="1253"/>
      <c r="AR400" s="1253"/>
      <c r="AS400" s="1253"/>
      <c r="AT400" s="7723"/>
      <c r="AU400" s="7723"/>
      <c r="AV400" s="7723"/>
      <c r="AW400" s="7723"/>
      <c r="AX400" s="7723"/>
      <c r="AY400" s="1253"/>
      <c r="AZ400" s="1253"/>
      <c r="BA400" s="1253"/>
      <c r="BB400" s="1253"/>
      <c r="BC400" s="1253"/>
      <c r="BD400" s="943">
        <f>IF(AI400=0,0,(AT400-AI400)/AI400*100)</f>
        <v>0</v>
      </c>
      <c r="BE400" s="943">
        <f>IF(AT400=0,0,(AU400-AT400)/AT400*100)</f>
        <v>0</v>
      </c>
      <c r="BF400" s="943">
        <f>IF(AU400=0,0,(AV400-AU400)/AU400*100)</f>
        <v>0</v>
      </c>
      <c r="BG400" s="943">
        <f>IF(AV400=0,0,(AW400-AV400)/AV400*100)</f>
        <v>0</v>
      </c>
      <c r="BH400" s="943">
        <f>IF(AW400=0,0,(AX400-AW400)/AW400*100)</f>
        <v>0</v>
      </c>
      <c r="BI400" s="943">
        <f>IF(AX400=0,0,(AY400-AX400)/AX400*100)</f>
        <v>0</v>
      </c>
      <c r="BJ400" s="943">
        <f>IF(AY400=0,0,(AZ400-AY400)/AY400*100)</f>
        <v>0</v>
      </c>
      <c r="BK400" s="943">
        <f>IF(AZ400=0,0,(BA400-AZ400)/AZ400*100)</f>
        <v>0</v>
      </c>
      <c r="BL400" s="943">
        <f>IF(BA400=0,0,(BB400-BA400)/BA400*100)</f>
        <v>0</v>
      </c>
      <c r="BM400" s="943">
        <f>IF(BB400=0,0,(BC400-BB400)/BB400*100)</f>
        <v>0</v>
      </c>
      <c r="BN400" s="7771"/>
      <c r="BO400" s="7771"/>
      <c r="BP400" s="7771"/>
      <c r="BQ400" s="1278"/>
      <c r="BR400" s="1278"/>
      <c r="BS400" s="1064" t="s">
        <v>2825</v>
      </c>
      <c r="BT400" s="1064"/>
      <c r="BU400" s="1064"/>
      <c r="BV400" s="979"/>
      <c r="BW400" s="979"/>
    </row>
    <row s="1834" customFormat="1" customHeight="1" ht="21.75">
      <c r="A401" s="1278"/>
      <c r="B401" s="978"/>
      <c r="C401" s="1278"/>
      <c r="D401" s="1278"/>
      <c r="E401" s="703">
        <v>22.5</v>
      </c>
      <c r="F401" s="50" cm="1" t="str">
        <f t="array" ref="F401:F401">OFFSET(E401,-1,1)</f>
        <v>2</v>
      </c>
      <c r="G401" s="158" t="s">
        <v>2212</v>
      </c>
      <c r="H401" s="1278"/>
      <c r="I401" s="158" t="s">
        <v>2826</v>
      </c>
      <c r="J401" s="1278"/>
      <c r="K401" s="158" t="s">
        <v>2826</v>
      </c>
      <c r="L401" s="980"/>
      <c r="M401" s="107"/>
      <c r="N401" s="1278"/>
      <c r="O401" s="1278"/>
      <c r="P401" s="1278"/>
      <c r="Q401" s="1278"/>
      <c r="R401" s="1278"/>
      <c r="S401" s="1278"/>
      <c r="T401" s="465" cm="1" t="str">
        <f t="array" ref="T401:T401">T400</f>
        <v>true</v>
      </c>
      <c r="U401" s="1278"/>
      <c r="V401" s="1278"/>
      <c r="W401" s="1278"/>
      <c r="X401" s="1563"/>
      <c r="Y401" s="1278"/>
      <c r="Z401" s="1546"/>
      <c r="AA401" s="1278"/>
      <c r="AB401" s="299" t="s">
        <v>2276</v>
      </c>
      <c r="AC401" s="762" t="s">
        <v>2827</v>
      </c>
      <c r="AD401" s="300" t="s">
        <v>1514</v>
      </c>
      <c r="AE401" s="7773"/>
      <c r="AF401" s="7773"/>
      <c r="AG401" s="7773"/>
      <c r="AH401" s="943">
        <f>AG401-AF401</f>
        <v>0</v>
      </c>
      <c r="AI401" s="7723"/>
      <c r="AJ401" s="7723"/>
      <c r="AK401" s="7723"/>
      <c r="AL401" s="7723"/>
      <c r="AM401" s="7723"/>
      <c r="AN401" s="7723"/>
      <c r="AO401" s="1253"/>
      <c r="AP401" s="1253"/>
      <c r="AQ401" s="1253"/>
      <c r="AR401" s="1253"/>
      <c r="AS401" s="1253"/>
      <c r="AT401" s="7723"/>
      <c r="AU401" s="7723"/>
      <c r="AV401" s="7723"/>
      <c r="AW401" s="7723"/>
      <c r="AX401" s="7723"/>
      <c r="AY401" s="1253"/>
      <c r="AZ401" s="1253"/>
      <c r="BA401" s="1253"/>
      <c r="BB401" s="1253"/>
      <c r="BC401" s="1253"/>
      <c r="BD401" s="943">
        <f>IF(AI401=0,0,(AT401-AI401)/AI401*100)</f>
        <v>0</v>
      </c>
      <c r="BE401" s="943">
        <f>IF(AT401=0,0,(AU401-AT401)/AT401*100)</f>
        <v>0</v>
      </c>
      <c r="BF401" s="943">
        <f>IF(AU401=0,0,(AV401-AU401)/AU401*100)</f>
        <v>0</v>
      </c>
      <c r="BG401" s="943">
        <f>IF(AV401=0,0,(AW401-AV401)/AV401*100)</f>
        <v>0</v>
      </c>
      <c r="BH401" s="943">
        <f>IF(AW401=0,0,(AX401-AW401)/AW401*100)</f>
        <v>0</v>
      </c>
      <c r="BI401" s="943">
        <f>IF(AX401=0,0,(AY401-AX401)/AX401*100)</f>
        <v>0</v>
      </c>
      <c r="BJ401" s="943">
        <f>IF(AY401=0,0,(AZ401-AY401)/AY401*100)</f>
        <v>0</v>
      </c>
      <c r="BK401" s="943">
        <f>IF(AZ401=0,0,(BA401-AZ401)/AZ401*100)</f>
        <v>0</v>
      </c>
      <c r="BL401" s="943">
        <f>IF(BA401=0,0,(BB401-BA401)/BA401*100)</f>
        <v>0</v>
      </c>
      <c r="BM401" s="943">
        <f>IF(BB401=0,0,(BC401-BB401)/BB401*100)</f>
        <v>0</v>
      </c>
      <c r="BN401" s="7771"/>
      <c r="BO401" s="7771"/>
      <c r="BP401" s="7771"/>
      <c r="BQ401" s="1278"/>
      <c r="BR401" s="1278"/>
      <c r="BS401" s="1064" t="s">
        <v>2828</v>
      </c>
      <c r="BT401" s="1064"/>
      <c r="BU401" s="1064"/>
      <c r="BV401" s="979"/>
      <c r="BW401" s="979"/>
    </row>
    <row s="7839" customFormat="1" customHeight="1" ht="20.25">
      <c r="A402" s="700"/>
      <c r="B402" s="435"/>
      <c r="C402" s="700"/>
      <c r="D402" s="700"/>
      <c r="E402" s="707">
        <v>21</v>
      </c>
      <c r="F402" s="50" cm="1" t="str">
        <f t="array" ref="F402:F402">OFFSET(E402,-1,1)</f>
        <v>2</v>
      </c>
      <c r="G402" s="158" t="s">
        <v>2829</v>
      </c>
      <c r="H402" s="158"/>
      <c r="I402" s="158" t="s">
        <v>334</v>
      </c>
      <c r="J402" s="700"/>
      <c r="K402" s="158" t="s">
        <v>334</v>
      </c>
      <c r="L402" s="985" t="s">
        <v>2068</v>
      </c>
      <c r="M402" s="109"/>
      <c r="N402" s="700"/>
      <c r="O402" s="700"/>
      <c r="P402" s="700"/>
      <c r="Q402" s="700"/>
      <c r="R402" s="700"/>
      <c r="S402" s="700"/>
      <c r="T402" s="465" cm="1" t="str">
        <f t="array" ref="T402:T402">T401</f>
        <v>true</v>
      </c>
      <c r="U402" s="700"/>
      <c r="V402" s="700"/>
      <c r="W402" s="700"/>
      <c r="X402" s="1563"/>
      <c r="Y402" s="700"/>
      <c r="Z402" s="1546"/>
      <c r="AA402" s="700"/>
      <c r="AB402" s="218" t="s">
        <v>289</v>
      </c>
      <c r="AC402" s="212" t="s">
        <v>2830</v>
      </c>
      <c r="AD402" s="211" t="s">
        <v>1514</v>
      </c>
      <c r="AE402" s="778">
        <f>_xlfn.SUMIFS(ЭЭ!AE$25:AE$189,ЭЭ!$F$25:$F$189,$F402,ЭЭ!$AC$25:$AC$189,"Всего по тарифу")</f>
        <v>0</v>
      </c>
      <c r="AF402" s="778">
        <f>_xlfn.SUMIFS(ЭЭ!AF$25:AF$189,ЭЭ!$F$25:$F$189,$F402,ЭЭ!$AC$25:$AC$189,"Всего по тарифу")</f>
        <v>0</v>
      </c>
      <c r="AG402" s="778">
        <f>_xlfn.SUMIFS(ЭЭ!AG$25:AG$189,ЭЭ!$F$25:$F$189,$F402,ЭЭ!$AC$25:$AC$189,"Всего по тарифу")</f>
        <v>0</v>
      </c>
      <c r="AH402" s="761">
        <f>AG402-AF402</f>
        <v>0</v>
      </c>
      <c r="AI402" s="761">
        <f>_xlfn.SUMIFS(ЭЭ!AH$25:AH$189,ЭЭ!$F$25:$F$189,$F402,ЭЭ!$AC$25:$AC$189,"Всего по тарифу")</f>
        <v>0</v>
      </c>
      <c r="AJ402" s="761">
        <f>_xlfn.SUMIFS(ЭЭ!AI$25:AI$189,ЭЭ!$F$25:$F$189,$F402,ЭЭ!$AC$25:$AC$189,"Всего по тарифу")</f>
        <v>4424.17</v>
      </c>
      <c r="AK402" s="761">
        <f>_xlfn.SUMIFS(ЭЭ!AJ$25:AJ$189,ЭЭ!$F$25:$F$189,$F402,ЭЭ!$AC$25:$AC$189,"Всего по тарифу")</f>
        <v>4826.77</v>
      </c>
      <c r="AL402" s="761">
        <f>_xlfn.SUMIFS(ЭЭ!AK$25:AK$189,ЭЭ!$F$25:$F$189,$F402,ЭЭ!$AC$25:$AC$189,"Всего по тарифу")</f>
        <v>5063.28</v>
      </c>
      <c r="AM402" s="761">
        <f>_xlfn.SUMIFS(ЭЭ!AL$25:AL$189,ЭЭ!$F$25:$F$189,$F402,ЭЭ!$AC$25:$AC$189,"Всего по тарифу")</f>
        <v>5311.38</v>
      </c>
      <c r="AN402" s="761">
        <f>_xlfn.SUMIFS(ЭЭ!AM$25:AM$189,ЭЭ!$F$25:$F$189,$F402,ЭЭ!$AC$25:$AC$189,"Всего по тарифу")</f>
        <v>5571.64</v>
      </c>
      <c r="AO402" s="761">
        <f>_xlfn.SUMIFS(ЭЭ!AN$25:AN$189,ЭЭ!$F$25:$F$189,$F402,ЭЭ!$AC$25:$AC$189,"Всего по тарифу")</f>
        <v>0</v>
      </c>
      <c r="AP402" s="761">
        <f>_xlfn.SUMIFS(ЭЭ!AO$25:AO$189,ЭЭ!$F$25:$F$189,$F402,ЭЭ!$AC$25:$AC$189,"Всего по тарифу")</f>
        <v>0</v>
      </c>
      <c r="AQ402" s="761">
        <f>_xlfn.SUMIFS(ЭЭ!AP$25:AP$189,ЭЭ!$F$25:$F$189,$F402,ЭЭ!$AC$25:$AC$189,"Всего по тарифу")</f>
        <v>0</v>
      </c>
      <c r="AR402" s="761">
        <f>_xlfn.SUMIFS(ЭЭ!AQ$25:AQ$189,ЭЭ!$F$25:$F$189,$F402,ЭЭ!$AC$25:$AC$189,"Всего по тарифу")</f>
        <v>0</v>
      </c>
      <c r="AS402" s="761">
        <f>_xlfn.SUMIFS(ЭЭ!AR$25:AR$189,ЭЭ!$F$25:$F$189,$F402,ЭЭ!$AC$25:$AC$189,"Всего по тарифу")</f>
        <v>0</v>
      </c>
      <c r="AT402" s="761">
        <f>_xlfn.SUMIFS(ЭЭ!AS$25:AS$189,ЭЭ!$F$25:$F$189,$F402,ЭЭ!$AC$25:$AC$189,"Всего по тарифу")</f>
        <v>4424.16764612032</v>
      </c>
      <c r="AU402" s="761">
        <f>_xlfn.SUMIFS(ЭЭ!AT$25:AT$189,ЭЭ!$F$25:$F$189,$F402,ЭЭ!$AC$25:$AC$189,"Всего по тарифу")</f>
        <v>4826.76690191727</v>
      </c>
      <c r="AV402" s="761">
        <f>_xlfn.SUMIFS(ЭЭ!AU$25:AU$189,ЭЭ!$F$25:$F$189,$F402,ЭЭ!$AC$25:$AC$189,"Всего по тарифу")</f>
        <v>5063.27848011121</v>
      </c>
      <c r="AW402" s="761">
        <f>_xlfn.SUMIFS(ЭЭ!AV$25:AV$189,ЭЭ!$F$25:$F$189,$F402,ЭЭ!$AC$25:$AC$189,"Всего по тарифу")</f>
        <v>5311.02442465204</v>
      </c>
      <c r="AX402" s="761">
        <f>_xlfn.SUMIFS(ЭЭ!AW$25:AW$189,ЭЭ!$F$25:$F$189,$F402,ЭЭ!$AC$25:$AC$189,"Всего по тарифу")</f>
        <v>5564.69940310494</v>
      </c>
      <c r="AY402" s="761">
        <f>_xlfn.SUMIFS(ЭЭ!AX$25:AX$189,ЭЭ!$F$25:$F$189,$F402,ЭЭ!$AC$25:$AC$189,"Всего по тарифу")</f>
        <v>0</v>
      </c>
      <c r="AZ402" s="761">
        <f>_xlfn.SUMIFS(ЭЭ!AY$25:AY$189,ЭЭ!$F$25:$F$189,$F402,ЭЭ!$AC$25:$AC$189,"Всего по тарифу")</f>
        <v>0</v>
      </c>
      <c r="BA402" s="761">
        <f>_xlfn.SUMIFS(ЭЭ!AZ$25:AZ$189,ЭЭ!$F$25:$F$189,$F402,ЭЭ!$AC$25:$AC$189,"Всего по тарифу")</f>
        <v>0</v>
      </c>
      <c r="BB402" s="761">
        <f>_xlfn.SUMIFS(ЭЭ!BA$25:BA$189,ЭЭ!$F$25:$F$189,$F402,ЭЭ!$AC$25:$AC$189,"Всего по тарифу")</f>
        <v>0</v>
      </c>
      <c r="BC402" s="761">
        <f>_xlfn.SUMIFS(ЭЭ!BB$25:BB$189,ЭЭ!$F$25:$F$189,$F402,ЭЭ!$AC$25:$AC$189,"Всего по тарифу")</f>
        <v>0</v>
      </c>
      <c r="BD402" s="761">
        <f>IF(AI402=0,0,(AT402-AI402)/AI402*100)</f>
        <v>0</v>
      </c>
      <c r="BE402" s="761">
        <f>IF(AT402=0,0,(AU402-AT402)/AT402*100)</f>
        <v>9.1</v>
      </c>
      <c r="BF402" s="761">
        <f>IF(AU402=0,0,(AV402-AU402)/AU402*100)</f>
        <v>4.89999999999988</v>
      </c>
      <c r="BG402" s="761">
        <f>IF(AV402=0,0,(AW402-AV402)/AV402*100)</f>
        <v>4.89299463803911</v>
      </c>
      <c r="BH402" s="761">
        <f>IF(AW402=0,0,(AX402-AW402)/AW402*100)</f>
        <v>4.77638508449375</v>
      </c>
      <c r="BI402" s="761">
        <f>IF(AX402=0,0,(AY402-AX402)/AX402*100)</f>
        <v>-100</v>
      </c>
      <c r="BJ402" s="761">
        <f>IF(AY402=0,0,(AZ402-AY402)/AY402*100)</f>
        <v>0</v>
      </c>
      <c r="BK402" s="761">
        <f>IF(AZ402=0,0,(BA402-AZ402)/AZ402*100)</f>
        <v>0</v>
      </c>
      <c r="BL402" s="761">
        <f>IF(BA402=0,0,(BB402-BA402)/BA402*100)</f>
        <v>0</v>
      </c>
      <c r="BM402" s="761">
        <f>IF(BB402=0,0,(BC402-BB402)/BB402*100)</f>
        <v>0</v>
      </c>
      <c r="BN402" s="7771"/>
      <c r="BO402" s="7777" t="str">
        <f>IF(_xlfn.IFERROR(INDEX(ЭЭ!$K$26:$L$189,MATCH($F402&amp;"komm",ЭЭ!$K$26:$K$189,0),2),"")=0,"",_xlfn.IFERROR(INDEX(ЭЭ!$K$26:$L$189,MATCH($F402&amp;"komm",ЭЭ!$K$26:$K$189,0),2),""))</f>
        <v>В соответствии с п. 20 Методических указаний расходы регулируемой организации на приобретаемые электрическую энергию (мощность), тепловую энергию (мощность), другие виды энергетических ресурсов, холодную воду, теплоноситель определяются как сумма произведений расчетных экономически (технологически, технически) обоснованных объемов приобретаемых электрической энергии (мощности), тепловой энергии (мощности), других видов энергетических ресурсов холодной воды на соответственно плановые (расчетные) цены (тарифы) на электрическую энергию (мощность), тепловую энергию (мощность), другие виды энергетических ресурсов, холодную воду. Объемы приобретаемой электрической энергии (мощности), тепловой энергии (мощности) определяются с учетом показателей надежности, качества, энергетической эффективности в сфере водоснабжения и (или) водоотведения, определенных в установленном порядке.</v>
      </c>
      <c r="BP402" s="7771"/>
      <c r="BQ402" s="700"/>
      <c r="BR402" s="700"/>
      <c r="BS402" s="1070" t="s">
        <v>2446</v>
      </c>
      <c r="BT402" s="1070"/>
      <c r="BU402" s="1070"/>
      <c r="BV402" s="707"/>
      <c r="BW402" s="707"/>
    </row>
    <row s="7840" customFormat="1" customHeight="1" ht="21.75">
      <c r="A403" s="700"/>
      <c r="B403" s="162">
        <f>method_reg="Метод индексации"</f>
        <v>1</v>
      </c>
      <c r="C403" s="700"/>
      <c r="D403" s="700"/>
      <c r="E403" s="707">
        <v>22.5</v>
      </c>
      <c r="F403" s="50" cm="1" t="str">
        <f t="array" ref="F403:F403">OFFSET(E403,-1,1)</f>
        <v>2</v>
      </c>
      <c r="G403" s="158" t="s">
        <v>2234</v>
      </c>
      <c r="H403" s="158"/>
      <c r="I403" s="158" t="s">
        <v>336</v>
      </c>
      <c r="J403" s="700"/>
      <c r="K403" s="158" t="s">
        <v>336</v>
      </c>
      <c r="L403" s="985" t="s">
        <v>335</v>
      </c>
      <c r="M403" s="109"/>
      <c r="N403" s="700"/>
      <c r="O403" s="700"/>
      <c r="P403" s="700"/>
      <c r="Q403" s="700"/>
      <c r="R403" s="700"/>
      <c r="S403" s="700"/>
      <c r="T403" s="465" cm="1" t="str">
        <f t="array" ref="T403:T403">T402</f>
        <v>true</v>
      </c>
      <c r="U403" s="700"/>
      <c r="V403" s="700"/>
      <c r="W403" s="700"/>
      <c r="X403" s="1563"/>
      <c r="Y403" s="700"/>
      <c r="Z403" s="1546"/>
      <c r="AA403" s="700"/>
      <c r="AB403" s="218" t="s">
        <v>295</v>
      </c>
      <c r="AC403" s="212" t="s">
        <v>2831</v>
      </c>
      <c r="AD403" s="211" t="s">
        <v>1514</v>
      </c>
      <c r="AE403" s="778">
        <f>_xlfn.SUMIFS(Амортизация!AE$25:AE$272,Амортизация!$F$25:$F$272,$F403,Амортизация!$AC$25:$AC$272,"Сумма амортизационных отчислений")</f>
        <v>0</v>
      </c>
      <c r="AF403" s="778">
        <f>_xlfn.SUMIFS(Амортизация!AF$25:AF$272,Амортизация!$F$25:$F$272,$F403,Амортизация!$AC$25:$AC$272,"Сумма амортизационных отчислений")</f>
        <v>0</v>
      </c>
      <c r="AG403" s="778">
        <f>_xlfn.SUMIFS(Амортизация!AG$25:AG$272,Амортизация!$F$25:$F$272,$F403,Амортизация!$AC$25:$AC$272,"Сумма амортизационных отчислений")</f>
        <v>0</v>
      </c>
      <c r="AH403" s="761">
        <f>AG403-AF403</f>
        <v>0</v>
      </c>
      <c r="AI403" s="761">
        <f>_xlfn.SUMIFS(Амортизация!AH$25:AH$272,Амортизация!$F$25:$F$272,$F403,Амортизация!$AC$25:$AC$272,"Сумма амортизационных отчислений")</f>
        <v>0</v>
      </c>
      <c r="AJ403" s="761">
        <f>_xlfn.SUMIFS(Амортизация!AI$25:AI$272,Амортизация!$F$25:$F$272,$F403,Амортизация!$AC$25:$AC$272,"Сумма амортизационных отчислений")</f>
        <v>0</v>
      </c>
      <c r="AK403" s="761">
        <f>_xlfn.SUMIFS(Амортизация!AJ$25:AJ$272,Амортизация!$F$25:$F$272,$F403,Амортизация!$AC$25:$AC$272,"Сумма амортизационных отчислений")</f>
        <v>0</v>
      </c>
      <c r="AL403" s="761">
        <f>_xlfn.SUMIFS(Амортизация!AK$25:AK$272,Амортизация!$F$25:$F$272,$F403,Амортизация!$AC$25:$AC$272,"Сумма амортизационных отчислений")</f>
        <v>1332.66</v>
      </c>
      <c r="AM403" s="761">
        <f>_xlfn.SUMIFS(Амортизация!AL$25:AL$272,Амортизация!$F$25:$F$272,$F403,Амортизация!$AC$25:$AC$272,"Сумма амортизационных отчислений")</f>
        <v>4705.35</v>
      </c>
      <c r="AN403" s="761">
        <f>_xlfn.SUMIFS(Амортизация!AM$25:AM$272,Амортизация!$F$25:$F$272,$F403,Амортизация!$AC$25:$AC$272,"Сумма амортизационных отчислений")</f>
        <v>19775.36</v>
      </c>
      <c r="AO403" s="761">
        <f>_xlfn.SUMIFS(Амортизация!AN$25:AN$272,Амортизация!$F$25:$F$272,$F403,Амортизация!$AC$25:$AC$272,"Сумма амортизационных отчислений")</f>
        <v>0</v>
      </c>
      <c r="AP403" s="761">
        <f>_xlfn.SUMIFS(Амортизация!AO$25:AO$272,Амортизация!$F$25:$F$272,$F403,Амортизация!$AC$25:$AC$272,"Сумма амортизационных отчислений")</f>
        <v>0</v>
      </c>
      <c r="AQ403" s="761">
        <f>_xlfn.SUMIFS(Амортизация!AP$25:AP$272,Амортизация!$F$25:$F$272,$F403,Амортизация!$AC$25:$AC$272,"Сумма амортизационных отчислений")</f>
        <v>0</v>
      </c>
      <c r="AR403" s="761">
        <f>_xlfn.SUMIFS(Амортизация!AQ$25:AQ$272,Амортизация!$F$25:$F$272,$F403,Амортизация!$AC$25:$AC$272,"Сумма амортизационных отчислений")</f>
        <v>0</v>
      </c>
      <c r="AS403" s="761">
        <f>_xlfn.SUMIFS(Амортизация!AR$25:AR$272,Амортизация!$F$25:$F$272,$F403,Амортизация!$AC$25:$AC$272,"Сумма амортизационных отчислений")</f>
        <v>0</v>
      </c>
      <c r="AT403" s="761">
        <f>_xlfn.SUMIFS(Амортизация!AS$25:AS$272,Амортизация!$F$25:$F$272,$F403,Амортизация!$AC$25:$AC$272,"Сумма амортизационных отчислений")</f>
        <v>0</v>
      </c>
      <c r="AU403" s="761">
        <f>_xlfn.SUMIFS(Амортизация!AT$25:AT$272,Амортизация!$F$25:$F$272,$F403,Амортизация!$AC$25:$AC$272,"Сумма амортизационных отчислений")</f>
        <v>0</v>
      </c>
      <c r="AV403" s="761">
        <f>_xlfn.SUMIFS(Амортизация!AU$25:AU$272,Амортизация!$F$25:$F$272,$F403,Амортизация!$AC$25:$AC$272,"Сумма амортизационных отчислений")</f>
        <v>1332.66</v>
      </c>
      <c r="AW403" s="761">
        <f>_xlfn.SUMIFS(Амортизация!AV$25:AV$272,Амортизация!$F$25:$F$272,$F403,Амортизация!$AC$25:$AC$272,"Сумма амортизационных отчислений")</f>
        <v>4705.35</v>
      </c>
      <c r="AX403" s="761">
        <f>_xlfn.SUMIFS(Амортизация!AW$25:AW$272,Амортизация!$F$25:$F$272,$F403,Амортизация!$AC$25:$AC$272,"Сумма амортизационных отчислений")</f>
        <v>19775.36</v>
      </c>
      <c r="AY403" s="761">
        <f>_xlfn.SUMIFS(Амортизация!AX$25:AX$272,Амортизация!$F$25:$F$272,$F403,Амортизация!$AC$25:$AC$272,"Сумма амортизационных отчислений")</f>
        <v>0</v>
      </c>
      <c r="AZ403" s="761">
        <f>_xlfn.SUMIFS(Амортизация!AY$25:AY$272,Амортизация!$F$25:$F$272,$F403,Амортизация!$AC$25:$AC$272,"Сумма амортизационных отчислений")</f>
        <v>0</v>
      </c>
      <c r="BA403" s="761">
        <f>_xlfn.SUMIFS(Амортизация!AZ$25:AZ$272,Амортизация!$F$25:$F$272,$F403,Амортизация!$AC$25:$AC$272,"Сумма амортизационных отчислений")</f>
        <v>0</v>
      </c>
      <c r="BB403" s="761">
        <f>_xlfn.SUMIFS(Амортизация!BA$25:BA$272,Амортизация!$F$25:$F$272,$F403,Амортизация!$AC$25:$AC$272,"Сумма амортизационных отчислений")</f>
        <v>0</v>
      </c>
      <c r="BC403" s="761">
        <f>_xlfn.SUMIFS(Амортизация!BB$25:BB$272,Амортизация!$F$25:$F$272,$F403,Амортизация!$AC$25:$AC$272,"Сумма амортизационных отчислений")</f>
        <v>0</v>
      </c>
      <c r="BD403" s="761">
        <f>IF(AI403=0,0,(AT403-AI403)/AI403*100)</f>
        <v>0</v>
      </c>
      <c r="BE403" s="761">
        <f>IF(AT403=0,0,(AU403-AT403)/AT403*100)</f>
        <v>0</v>
      </c>
      <c r="BF403" s="761">
        <f>IF(AU403=0,0,(AV403-AU403)/AU403*100)</f>
        <v>0</v>
      </c>
      <c r="BG403" s="761">
        <f>IF(AV403=0,0,(AW403-AV403)/AV403*100)</f>
        <v>253.079555175364</v>
      </c>
      <c r="BH403" s="761">
        <f>IF(AW403=0,0,(AX403-AW403)/AW403*100)</f>
        <v>320.273943489857</v>
      </c>
      <c r="BI403" s="761">
        <f>IF(AX403=0,0,(AY403-AX403)/AX403*100)</f>
        <v>-100</v>
      </c>
      <c r="BJ403" s="761">
        <f>IF(AY403=0,0,(AZ403-AY403)/AY403*100)</f>
        <v>0</v>
      </c>
      <c r="BK403" s="761">
        <f>IF(AZ403=0,0,(BA403-AZ403)/AZ403*100)</f>
        <v>0</v>
      </c>
      <c r="BL403" s="761">
        <f>IF(BA403=0,0,(BB403-BA403)/BA403*100)</f>
        <v>0</v>
      </c>
      <c r="BM403" s="761">
        <f>IF(BB403=0,0,(BC403-BB403)/BB403*100)</f>
        <v>0</v>
      </c>
      <c r="BN403" s="7771"/>
      <c r="BO403" s="7724" t="str">
        <f>IF(_xlfn.IFERROR(INDEX(Амортизация!$K$26:$L$272,MATCH($F403&amp;"komm",Амортизация!$K$26:$K$272,0),2),"")=0,"",_xlfn.IFERROR(INDEX(Амортизация!$K$26:$L$272,MATCH($F403&amp;"komm",Амортизация!$K$26:$K$272,0),2),""))</f>
        <v/>
      </c>
      <c r="BP403" s="7771"/>
      <c r="BQ403" s="700"/>
      <c r="BR403" s="700"/>
      <c r="BS403" s="1070" t="s">
        <v>1960</v>
      </c>
      <c r="BT403" s="1070"/>
      <c r="BU403" s="1070"/>
      <c r="BV403" s="707"/>
      <c r="BW403" s="707"/>
    </row>
    <row s="1834" customFormat="1" customHeight="1" ht="14.25">
      <c r="A404" s="1278"/>
      <c r="B404" s="432" cm="1" t="str">
        <f t="array" ref="B404:B404">B403</f>
        <v>true</v>
      </c>
      <c r="C404" s="1278"/>
      <c r="D404" s="1278"/>
      <c r="E404" s="703">
        <v>15</v>
      </c>
      <c r="F404" s="50" cm="1" t="str">
        <f t="array" ref="F404:F404">OFFSET(E404,-1,1)</f>
        <v>2</v>
      </c>
      <c r="G404" s="1278"/>
      <c r="H404" s="1278"/>
      <c r="I404" s="158" t="s">
        <v>1249</v>
      </c>
      <c r="J404" s="1278"/>
      <c r="K404" s="158" t="s">
        <v>1249</v>
      </c>
      <c r="L404" s="980" t="s">
        <v>1263</v>
      </c>
      <c r="M404" s="107"/>
      <c r="N404" s="1278"/>
      <c r="O404" s="1278"/>
      <c r="P404" s="1278"/>
      <c r="Q404" s="1278"/>
      <c r="R404" s="1278"/>
      <c r="S404" s="1278"/>
      <c r="T404" s="465" cm="1" t="str">
        <f t="array" ref="T404:T404">T403</f>
        <v>true</v>
      </c>
      <c r="U404" s="1278"/>
      <c r="V404" s="1278"/>
      <c r="W404" s="1278"/>
      <c r="X404" s="1563"/>
      <c r="Y404" s="1278"/>
      <c r="Z404" s="1546"/>
      <c r="AA404" s="1278"/>
      <c r="AB404" s="299" t="s">
        <v>1384</v>
      </c>
      <c r="AC404" s="762" t="s">
        <v>2538</v>
      </c>
      <c r="AD404" s="300" t="s">
        <v>1514</v>
      </c>
      <c r="AE404" s="7773">
        <f>_xlfn.SUMIFS('ИП + источники'!AF$27:AF$203,'ИП + источники'!$F$27:$F$203,$F404,'ИП + источники'!$AC$27:$AC$203,"Амортизационные отчисления")+_xlfn.SUMIFS('ИП + источники'!AF$27:AF$203,'ИП + источники'!$F$27:$F$203,$F404,'ИП + источники'!$AC$27:$AC$203,"погашение займов и кредитов из амортизации")</f>
        <v>0</v>
      </c>
      <c r="AF404" s="7773">
        <f>_xlfn.SUMIFS('ИП + источники'!AG$27:AG$203,'ИП + источники'!$F$27:$F$203,$F404,'ИП + источники'!$AC$27:$AC$203,"Амортизационные отчисления")+_xlfn.SUMIFS('ИП + источники'!AG$27:AG$203,'ИП + источники'!$F$27:$F$203,$F404,'ИП + источники'!$AC$27:$AC$203,"погашение займов и кредитов из амортизации")</f>
        <v>0</v>
      </c>
      <c r="AG404" s="7773">
        <f>_xlfn.SUMIFS('ИП + источники'!AH$27:AH$203,'ИП + источники'!$F$27:$F$203,$F404,'ИП + источники'!$AC$27:$AC$203,"Амортизационные отчисления")+_xlfn.SUMIFS('ИП + источники'!AH$27:AH$203,'ИП + источники'!$F$27:$F$203,$F404,'ИП + источники'!$AC$27:$AC$203,"погашение займов и кредитов из амортизации")</f>
        <v>0</v>
      </c>
      <c r="AH404" s="943">
        <f>AG404-AF404</f>
        <v>0</v>
      </c>
      <c r="AI404" s="7723">
        <f>_xlfn.SUMIFS('ИП + источники'!AJ$27:AJ$203,'ИП + источники'!$F$27:$F$203,$F404,'ИП + источники'!$AC$27:$AC$203,"Амортизационные отчисления")+_xlfn.SUMIFS('ИП + источники'!AJ$27:AJ$203,'ИП + источники'!$F$27:$F$203,$F404,'ИП + источники'!$AC$27:$AC$203,"погашение займов и кредитов из амортизации")</f>
        <v>0</v>
      </c>
      <c r="AJ404" s="7723">
        <f>_xlfn.SUMIFS('ИП + источники'!AK$27:AK$203,'ИП + источники'!$F$27:$F$203,$F404,'ИП + источники'!$AC$27:$AC$203,"Амортизационные отчисления")+_xlfn.SUMIFS('ИП + источники'!AK$27:AK$203,'ИП + источники'!$F$27:$F$203,$F404,'ИП + источники'!$AC$27:$AC$203,"погашение займов и кредитов из амортизации")</f>
        <v>0</v>
      </c>
      <c r="AK404" s="7723">
        <f>_xlfn.SUMIFS('ИП + источники'!AL$27:AL$203,'ИП + источники'!$F$27:$F$203,$F404,'ИП + источники'!$AC$27:$AC$203,"Амортизационные отчисления")+_xlfn.SUMIFS('ИП + источники'!AL$27:AL$203,'ИП + источники'!$F$27:$F$203,$F404,'ИП + источники'!$AC$27:$AC$203,"погашение займов и кредитов из амортизации")</f>
        <v>0</v>
      </c>
      <c r="AL404" s="7723">
        <f>_xlfn.SUMIFS('ИП + источники'!AM$27:AM$203,'ИП + источники'!$F$27:$F$203,$F404,'ИП + источники'!$AC$27:$AC$203,"Амортизационные отчисления")+_xlfn.SUMIFS('ИП + источники'!AM$27:AM$203,'ИП + источники'!$F$27:$F$203,$F404,'ИП + источники'!$AC$27:$AC$203,"погашение займов и кредитов из амортизации")</f>
        <v>0</v>
      </c>
      <c r="AM404" s="7723">
        <f>_xlfn.SUMIFS('ИП + источники'!AN$27:AN$203,'ИП + источники'!$F$27:$F$203,$F404,'ИП + источники'!$AC$27:$AC$203,"Амортизационные отчисления")+_xlfn.SUMIFS('ИП + источники'!AN$27:AN$203,'ИП + источники'!$F$27:$F$203,$F404,'ИП + источники'!$AC$27:$AC$203,"погашение займов и кредитов из амортизации")</f>
        <v>0</v>
      </c>
      <c r="AN404" s="7723">
        <f>_xlfn.SUMIFS('ИП + источники'!AO$27:AO$203,'ИП + источники'!$F$27:$F$203,$F404,'ИП + источники'!$AC$27:$AC$203,"Амортизационные отчисления")+_xlfn.SUMIFS('ИП + источники'!AO$27:AO$203,'ИП + источники'!$F$27:$F$203,$F404,'ИП + источники'!$AC$27:$AC$203,"погашение займов и кредитов из амортизации")</f>
        <v>0</v>
      </c>
      <c r="AO404" s="1253">
        <f>_xlfn.SUMIFS('ИП + источники'!AP$27:AP$203,'ИП + источники'!$F$27:$F$203,$F404,'ИП + источники'!$AC$27:$AC$203,"Амортизационные отчисления")+_xlfn.SUMIFS('ИП + источники'!AP$27:AP$203,'ИП + источники'!$F$27:$F$203,$F404,'ИП + источники'!$AC$27:$AC$203,"погашение займов и кредитов из амортизации")</f>
        <v>0</v>
      </c>
      <c r="AP404" s="1253">
        <f>_xlfn.SUMIFS('ИП + источники'!AQ$27:AQ$203,'ИП + источники'!$F$27:$F$203,$F404,'ИП + источники'!$AC$27:$AC$203,"Амортизационные отчисления")+_xlfn.SUMIFS('ИП + источники'!AQ$27:AQ$203,'ИП + источники'!$F$27:$F$203,$F404,'ИП + источники'!$AC$27:$AC$203,"погашение займов и кредитов из амортизации")</f>
        <v>0</v>
      </c>
      <c r="AQ404" s="1253">
        <f>_xlfn.SUMIFS('ИП + источники'!AR$27:AR$203,'ИП + источники'!$F$27:$F$203,$F404,'ИП + источники'!$AC$27:$AC$203,"Амортизационные отчисления")+_xlfn.SUMIFS('ИП + источники'!AR$27:AR$203,'ИП + источники'!$F$27:$F$203,$F404,'ИП + источники'!$AC$27:$AC$203,"погашение займов и кредитов из амортизации")</f>
        <v>0</v>
      </c>
      <c r="AR404" s="1253">
        <f>_xlfn.SUMIFS('ИП + источники'!AS$27:AS$203,'ИП + источники'!$F$27:$F$203,$F404,'ИП + источники'!$AC$27:$AC$203,"Амортизационные отчисления")+_xlfn.SUMIFS('ИП + источники'!AS$27:AS$203,'ИП + источники'!$F$27:$F$203,$F404,'ИП + источники'!$AC$27:$AC$203,"погашение займов и кредитов из амортизации")</f>
        <v>0</v>
      </c>
      <c r="AS404" s="1253">
        <f>_xlfn.SUMIFS('ИП + источники'!AT$27:AT$203,'ИП + источники'!$F$27:$F$203,$F404,'ИП + источники'!$AC$27:$AC$203,"Амортизационные отчисления")+_xlfn.SUMIFS('ИП + источники'!AT$27:AT$203,'ИП + источники'!$F$27:$F$203,$F404,'ИП + источники'!$AC$27:$AC$203,"погашение займов и кредитов из амортизации")</f>
        <v>0</v>
      </c>
      <c r="AT404" s="7723">
        <f>_xlfn.SUMIFS('ИП + источники'!AU$27:AU$203,'ИП + источники'!$F$27:$F$203,$F404,'ИП + источники'!$AC$27:$AC$203,"Амортизационные отчисления")+_xlfn.SUMIFS('ИП + источники'!AU$27:AU$203,'ИП + источники'!$F$27:$F$203,$F404,'ИП + источники'!$AC$27:$AC$203,"погашение займов и кредитов из амортизации")</f>
        <v>0</v>
      </c>
      <c r="AU404" s="7723">
        <f>_xlfn.SUMIFS('ИП + источники'!AV$27:AV$203,'ИП + источники'!$F$27:$F$203,$F404,'ИП + источники'!$AC$27:$AC$203,"Амортизационные отчисления")+_xlfn.SUMIFS('ИП + источники'!AV$27:AV$203,'ИП + источники'!$F$27:$F$203,$F404,'ИП + источники'!$AC$27:$AC$203,"погашение займов и кредитов из амортизации")</f>
        <v>0</v>
      </c>
      <c r="AV404" s="7723">
        <f>_xlfn.SUMIFS('ИП + источники'!AW$27:AW$203,'ИП + источники'!$F$27:$F$203,$F404,'ИП + источники'!$AC$27:$AC$203,"Амортизационные отчисления")+_xlfn.SUMIFS('ИП + источники'!AW$27:AW$203,'ИП + источники'!$F$27:$F$203,$F404,'ИП + источники'!$AC$27:$AC$203,"погашение займов и кредитов из амортизации")</f>
        <v>0</v>
      </c>
      <c r="AW404" s="7723">
        <f>_xlfn.SUMIFS('ИП + источники'!AX$27:AX$203,'ИП + источники'!$F$27:$F$203,$F404,'ИП + источники'!$AC$27:$AC$203,"Амортизационные отчисления")+_xlfn.SUMIFS('ИП + источники'!AX$27:AX$203,'ИП + источники'!$F$27:$F$203,$F404,'ИП + источники'!$AC$27:$AC$203,"погашение займов и кредитов из амортизации")</f>
        <v>0</v>
      </c>
      <c r="AX404" s="7723">
        <f>_xlfn.SUMIFS('ИП + источники'!AY$27:AY$203,'ИП + источники'!$F$27:$F$203,$F404,'ИП + источники'!$AC$27:$AC$203,"Амортизационные отчисления")+_xlfn.SUMIFS('ИП + источники'!AY$27:AY$203,'ИП + источники'!$F$27:$F$203,$F404,'ИП + источники'!$AC$27:$AC$203,"погашение займов и кредитов из амортизации")</f>
        <v>0</v>
      </c>
      <c r="AY404" s="1253">
        <f>_xlfn.SUMIFS('ИП + источники'!AZ$27:AZ$203,'ИП + источники'!$F$27:$F$203,$F404,'ИП + источники'!$AC$27:$AC$203,"Амортизационные отчисления")+_xlfn.SUMIFS('ИП + источники'!AZ$27:AZ$203,'ИП + источники'!$F$27:$F$203,$F404,'ИП + источники'!$AC$27:$AC$203,"погашение займов и кредитов из амортизации")</f>
        <v>0</v>
      </c>
      <c r="AZ404" s="1253">
        <f>_xlfn.SUMIFS('ИП + источники'!BA$27:BA$203,'ИП + источники'!$F$27:$F$203,$F404,'ИП + источники'!$AC$27:$AC$203,"Амортизационные отчисления")+_xlfn.SUMIFS('ИП + источники'!BA$27:BA$203,'ИП + источники'!$F$27:$F$203,$F404,'ИП + источники'!$AC$27:$AC$203,"погашение займов и кредитов из амортизации")</f>
        <v>0</v>
      </c>
      <c r="BA404" s="1253">
        <f>_xlfn.SUMIFS('ИП + источники'!BB$27:BB$203,'ИП + источники'!$F$27:$F$203,$F404,'ИП + источники'!$AC$27:$AC$203,"Амортизационные отчисления")+_xlfn.SUMIFS('ИП + источники'!BB$27:BB$203,'ИП + источники'!$F$27:$F$203,$F404,'ИП + источники'!$AC$27:$AC$203,"погашение займов и кредитов из амортизации")</f>
        <v>0</v>
      </c>
      <c r="BB404" s="1253">
        <f>_xlfn.SUMIFS('ИП + источники'!BC$27:BC$203,'ИП + источники'!$F$27:$F$203,$F404,'ИП + источники'!$AC$27:$AC$203,"Амортизационные отчисления")+_xlfn.SUMIFS('ИП + источники'!BC$27:BC$203,'ИП + источники'!$F$27:$F$203,$F404,'ИП + источники'!$AC$27:$AC$203,"погашение займов и кредитов из амортизации")</f>
        <v>0</v>
      </c>
      <c r="BC404" s="1253">
        <f>_xlfn.SUMIFS('ИП + источники'!BD$27:BD$203,'ИП + источники'!$F$27:$F$203,$F404,'ИП + источники'!$AC$27:$AC$203,"Амортизационные отчисления")+_xlfn.SUMIFS('ИП + источники'!BD$27:BD$203,'ИП + источники'!$F$27:$F$203,$F404,'ИП + источники'!$AC$27:$AC$203,"погашение займов и кредитов из амортизации")</f>
        <v>0</v>
      </c>
      <c r="BD404" s="943">
        <f>IF(AI404=0,0,(AT404-AI404)/AI404*100)</f>
        <v>0</v>
      </c>
      <c r="BE404" s="943">
        <f>IF(AT404=0,0,(AU404-AT404)/AT404*100)</f>
        <v>0</v>
      </c>
      <c r="BF404" s="943">
        <f>IF(AU404=0,0,(AV404-AU404)/AU404*100)</f>
        <v>0</v>
      </c>
      <c r="BG404" s="943">
        <f>IF(AV404=0,0,(AW404-AV404)/AV404*100)</f>
        <v>0</v>
      </c>
      <c r="BH404" s="943">
        <f>IF(AW404=0,0,(AX404-AW404)/AW404*100)</f>
        <v>0</v>
      </c>
      <c r="BI404" s="943">
        <f>IF(AX404=0,0,(AY404-AX404)/AX404*100)</f>
        <v>0</v>
      </c>
      <c r="BJ404" s="943">
        <f>IF(AY404=0,0,(AZ404-AY404)/AY404*100)</f>
        <v>0</v>
      </c>
      <c r="BK404" s="943">
        <f>IF(AZ404=0,0,(BA404-AZ404)/AZ404*100)</f>
        <v>0</v>
      </c>
      <c r="BL404" s="943">
        <f>IF(BA404=0,0,(BB404-BA404)/BA404*100)</f>
        <v>0</v>
      </c>
      <c r="BM404" s="943">
        <f>IF(BB404=0,0,(BC404-BB404)/BB404*100)</f>
        <v>0</v>
      </c>
      <c r="BN404" s="7771"/>
      <c r="BO404" s="7771"/>
      <c r="BP404" s="7771"/>
      <c r="BQ404" s="1278"/>
      <c r="BR404" s="1278"/>
      <c r="BS404" s="1064" t="s">
        <v>2539</v>
      </c>
      <c r="BT404" s="1064"/>
      <c r="BU404" s="1064"/>
      <c r="BV404" s="979"/>
      <c r="BW404" s="979"/>
    </row>
    <row s="7841" customFormat="1" customHeight="1" ht="20.25">
      <c r="A405" s="700"/>
      <c r="B405" s="432" cm="1" t="str">
        <f t="array" ref="B405:B405">B404</f>
        <v>true</v>
      </c>
      <c r="C405" s="700"/>
      <c r="D405" s="700"/>
      <c r="E405" s="707">
        <v>21</v>
      </c>
      <c r="F405" s="50" cm="1" t="str">
        <f t="array" ref="F405:F405">OFFSET(E405,-1,1)</f>
        <v>2</v>
      </c>
      <c r="G405" s="158" t="s">
        <v>2238</v>
      </c>
      <c r="H405" s="158"/>
      <c r="I405" s="158" t="s">
        <v>335</v>
      </c>
      <c r="J405" s="700"/>
      <c r="K405" s="158" t="s">
        <v>335</v>
      </c>
      <c r="L405" s="985" t="s">
        <v>1275</v>
      </c>
      <c r="M405" s="109"/>
      <c r="N405" s="700"/>
      <c r="O405" s="700"/>
      <c r="P405" s="700"/>
      <c r="Q405" s="700"/>
      <c r="R405" s="700"/>
      <c r="S405" s="700"/>
      <c r="T405" s="465" cm="1" t="str">
        <f t="array" ref="T405:T405">T404</f>
        <v>true</v>
      </c>
      <c r="U405" s="700"/>
      <c r="V405" s="700"/>
      <c r="W405" s="700"/>
      <c r="X405" s="1563"/>
      <c r="Y405" s="700"/>
      <c r="Z405" s="1546"/>
      <c r="AA405" s="700"/>
      <c r="AB405" s="218" t="s">
        <v>443</v>
      </c>
      <c r="AC405" s="212" t="s">
        <v>2238</v>
      </c>
      <c r="AD405" s="234" t="s">
        <v>1514</v>
      </c>
      <c r="AE405" s="213">
        <f>AE406+AE407+AE408+AE409</f>
        <v>0</v>
      </c>
      <c r="AF405" s="213">
        <f>AF406+AF407+AF408+AF409</f>
        <v>0</v>
      </c>
      <c r="AG405" s="213">
        <f>AG406+AG407+AG408+AG409</f>
        <v>0</v>
      </c>
      <c r="AH405" s="770">
        <f>AG405-AF405</f>
        <v>0</v>
      </c>
      <c r="AI405" s="770">
        <f>AI406+AI407+AI408+AI409</f>
        <v>0</v>
      </c>
      <c r="AJ405" s="770">
        <f>AJ406+AJ407+AJ408+AJ409</f>
        <v>0</v>
      </c>
      <c r="AK405" s="770">
        <f>AK406+AK407+AK408+AK409</f>
        <v>0</v>
      </c>
      <c r="AL405" s="770">
        <f>AL406+AL407+AL408+AL409</f>
        <v>0</v>
      </c>
      <c r="AM405" s="770">
        <f>AM406+AM407+AM408+AM409</f>
        <v>0</v>
      </c>
      <c r="AN405" s="770">
        <f>AN406+AN407+AN408+AN409</f>
        <v>0</v>
      </c>
      <c r="AO405" s="770">
        <f>AO406+AO407+AO408+AO409</f>
        <v>0</v>
      </c>
      <c r="AP405" s="770">
        <f>AP406+AP407+AP408+AP409</f>
        <v>0</v>
      </c>
      <c r="AQ405" s="770">
        <f>AQ406+AQ407+AQ408+AQ409</f>
        <v>0</v>
      </c>
      <c r="AR405" s="770">
        <f>AR406+AR407+AR408+AR409</f>
        <v>0</v>
      </c>
      <c r="AS405" s="770">
        <f>AS406+AS407+AS408+AS409</f>
        <v>0</v>
      </c>
      <c r="AT405" s="770">
        <f>AT406+AT407+AT408+AT409</f>
        <v>0</v>
      </c>
      <c r="AU405" s="770">
        <f>AU406+AU407+AU408+AU409</f>
        <v>0</v>
      </c>
      <c r="AV405" s="770">
        <f>AV406+AV407+AV408+AV409</f>
        <v>0</v>
      </c>
      <c r="AW405" s="770">
        <f>AW406+AW407+AW408+AW409</f>
        <v>0</v>
      </c>
      <c r="AX405" s="770">
        <f>AX406+AX407+AX408+AX409</f>
        <v>0</v>
      </c>
      <c r="AY405" s="770">
        <f>AY406+AY407+AY408+AY409</f>
        <v>0</v>
      </c>
      <c r="AZ405" s="770">
        <f>AZ406+AZ407+AZ408+AZ409</f>
        <v>0</v>
      </c>
      <c r="BA405" s="770">
        <f>BA406+BA407+BA408+BA409</f>
        <v>0</v>
      </c>
      <c r="BB405" s="770">
        <f>BB406+BB407+BB408+BB409</f>
        <v>0</v>
      </c>
      <c r="BC405" s="770">
        <f>BC406+BC407+BC408+BC409</f>
        <v>0</v>
      </c>
      <c r="BD405" s="761">
        <f>IF(AI405=0,0,(AT405-AI405)/AI405*100)</f>
        <v>0</v>
      </c>
      <c r="BE405" s="761">
        <f>IF(AT405=0,0,(AU405-AT405)/AT405*100)</f>
        <v>0</v>
      </c>
      <c r="BF405" s="761">
        <f>IF(AU405=0,0,(AV405-AU405)/AU405*100)</f>
        <v>0</v>
      </c>
      <c r="BG405" s="761">
        <f>IF(AV405=0,0,(AW405-AV405)/AV405*100)</f>
        <v>0</v>
      </c>
      <c r="BH405" s="761">
        <f>IF(AW405=0,0,(AX405-AW405)/AW405*100)</f>
        <v>0</v>
      </c>
      <c r="BI405" s="761">
        <f>IF(AX405=0,0,(AY405-AX405)/AX405*100)</f>
        <v>0</v>
      </c>
      <c r="BJ405" s="761">
        <f>IF(AY405=0,0,(AZ405-AY405)/AY405*100)</f>
        <v>0</v>
      </c>
      <c r="BK405" s="761">
        <f>IF(AZ405=0,0,(BA405-AZ405)/AZ405*100)</f>
        <v>0</v>
      </c>
      <c r="BL405" s="761">
        <f>IF(BA405=0,0,(BB405-BA405)/BA405*100)</f>
        <v>0</v>
      </c>
      <c r="BM405" s="761">
        <f>IF(BB405=0,0,(BC405-BB405)/BB405*100)</f>
        <v>0</v>
      </c>
      <c r="BN405" s="7771"/>
      <c r="BO405" s="7771"/>
      <c r="BP405" s="7771"/>
      <c r="BQ405" s="700"/>
      <c r="BR405" s="700"/>
      <c r="BS405" s="1063" t="s">
        <v>2242</v>
      </c>
      <c r="BT405" s="1070"/>
      <c r="BU405" s="1070"/>
      <c r="BV405" s="707"/>
      <c r="BW405" s="707"/>
    </row>
    <row s="1834" customFormat="1" customHeight="1" ht="14.25">
      <c r="A406" s="1278"/>
      <c r="B406" s="432" cm="1" t="str">
        <f t="array" ref="B406:B406">B405</f>
        <v>true</v>
      </c>
      <c r="C406" s="1278"/>
      <c r="D406" s="1278"/>
      <c r="E406" s="703">
        <v>15</v>
      </c>
      <c r="F406" s="50" cm="1" t="str">
        <f t="array" ref="F406:F406">OFFSET(E406,-1,1)</f>
        <v>2</v>
      </c>
      <c r="G406" s="1278"/>
      <c r="H406" s="1278"/>
      <c r="I406" s="158" t="s">
        <v>1263</v>
      </c>
      <c r="J406" s="1278"/>
      <c r="K406" s="158" t="s">
        <v>1263</v>
      </c>
      <c r="L406" s="980"/>
      <c r="M406" s="107"/>
      <c r="N406" s="1278"/>
      <c r="O406" s="1278"/>
      <c r="P406" s="1278"/>
      <c r="Q406" s="1278"/>
      <c r="R406" s="1278"/>
      <c r="S406" s="1278"/>
      <c r="T406" s="465" cm="1" t="str">
        <f t="array" ref="T406:T406">T405</f>
        <v>true</v>
      </c>
      <c r="U406" s="1278"/>
      <c r="V406" s="1278"/>
      <c r="W406" s="1278"/>
      <c r="X406" s="1563"/>
      <c r="Y406" s="1278"/>
      <c r="Z406" s="1546"/>
      <c r="AA406" s="1278"/>
      <c r="AB406" s="299" t="s">
        <v>1391</v>
      </c>
      <c r="AC406" s="762" t="s">
        <v>2832</v>
      </c>
      <c r="AD406" s="300" t="s">
        <v>1514</v>
      </c>
      <c r="AE406" s="7773">
        <f>_xlfn.SUMIFS('ИП + источники'!AF$27:AF$203,'ИП + источники'!$F$27:$F$203,$F406,'ИП + источники'!$AC$27:$AC$203,"погашение займов и кредитов из нормативной прибыли")</f>
        <v>0</v>
      </c>
      <c r="AF406" s="7773">
        <f>_xlfn.SUMIFS('ИП + источники'!AG$27:AG$203,'ИП + источники'!$F$27:$F$203,$F406,'ИП + источники'!$AC$27:$AC$203,"погашение займов и кредитов из нормативной прибыли")</f>
        <v>0</v>
      </c>
      <c r="AG406" s="7773">
        <f>_xlfn.SUMIFS('ИП + источники'!AH$27:AH$203,'ИП + источники'!$F$27:$F$203,$F406,'ИП + источники'!$AC$27:$AC$203,"погашение займов и кредитов из нормативной прибыли")</f>
        <v>0</v>
      </c>
      <c r="AH406" s="943">
        <f>AG406-AF406</f>
        <v>0</v>
      </c>
      <c r="AI406" s="7723">
        <f>_xlfn.SUMIFS('ИП + источники'!AJ$27:AJ$203,'ИП + источники'!$F$27:$F$203,$F406,'ИП + источники'!$AC$27:$AC$203,"погашение займов и кредитов из нормативной прибыли")</f>
        <v>0</v>
      </c>
      <c r="AJ406" s="7723">
        <f>_xlfn.SUMIFS('ИП + источники'!AK$27:AK$203,'ИП + источники'!$F$27:$F$203,$F406,'ИП + источники'!$AC$27:$AC$203,"погашение займов и кредитов из нормативной прибыли")</f>
        <v>0</v>
      </c>
      <c r="AK406" s="7723">
        <f>_xlfn.SUMIFS('ИП + источники'!AL$27:AL$203,'ИП + источники'!$F$27:$F$203,$F406,'ИП + источники'!$AC$27:$AC$203,"погашение займов и кредитов из нормативной прибыли")</f>
        <v>0</v>
      </c>
      <c r="AL406" s="7723">
        <f>_xlfn.SUMIFS('ИП + источники'!AM$27:AM$203,'ИП + источники'!$F$27:$F$203,$F406,'ИП + источники'!$AC$27:$AC$203,"погашение займов и кредитов из нормативной прибыли")</f>
        <v>0</v>
      </c>
      <c r="AM406" s="7723">
        <f>_xlfn.SUMIFS('ИП + источники'!AN$27:AN$203,'ИП + источники'!$F$27:$F$203,$F406,'ИП + источники'!$AC$27:$AC$203,"погашение займов и кредитов из нормативной прибыли")</f>
        <v>0</v>
      </c>
      <c r="AN406" s="7723">
        <f>_xlfn.SUMIFS('ИП + источники'!AO$27:AO$203,'ИП + источники'!$F$27:$F$203,$F406,'ИП + источники'!$AC$27:$AC$203,"погашение займов и кредитов из нормативной прибыли")</f>
        <v>0</v>
      </c>
      <c r="AO406" s="1253">
        <f>_xlfn.SUMIFS('ИП + источники'!AP$27:AP$203,'ИП + источники'!$F$27:$F$203,$F406,'ИП + источники'!$AC$27:$AC$203,"погашение займов и кредитов из нормативной прибыли")</f>
        <v>0</v>
      </c>
      <c r="AP406" s="1253">
        <f>_xlfn.SUMIFS('ИП + источники'!AQ$27:AQ$203,'ИП + источники'!$F$27:$F$203,$F406,'ИП + источники'!$AC$27:$AC$203,"погашение займов и кредитов из нормативной прибыли")</f>
        <v>0</v>
      </c>
      <c r="AQ406" s="1253">
        <f>_xlfn.SUMIFS('ИП + источники'!AR$27:AR$203,'ИП + источники'!$F$27:$F$203,$F406,'ИП + источники'!$AC$27:$AC$203,"погашение займов и кредитов из нормативной прибыли")</f>
        <v>0</v>
      </c>
      <c r="AR406" s="1253">
        <f>_xlfn.SUMIFS('ИП + источники'!AS$27:AS$203,'ИП + источники'!$F$27:$F$203,$F406,'ИП + источники'!$AC$27:$AC$203,"погашение займов и кредитов из нормативной прибыли")</f>
        <v>0</v>
      </c>
      <c r="AS406" s="1253">
        <f>_xlfn.SUMIFS('ИП + источники'!AT$27:AT$203,'ИП + источники'!$F$27:$F$203,$F406,'ИП + источники'!$AC$27:$AC$203,"погашение займов и кредитов из нормативной прибыли")</f>
        <v>0</v>
      </c>
      <c r="AT406" s="7723">
        <f>_xlfn.SUMIFS('ИП + источники'!AU$27:AU$203,'ИП + источники'!$F$27:$F$203,$F406,'ИП + источники'!$AC$27:$AC$203,"погашение займов и кредитов из нормативной прибыли")</f>
        <v>0</v>
      </c>
      <c r="AU406" s="7723">
        <f>_xlfn.SUMIFS('ИП + источники'!AV$27:AV$203,'ИП + источники'!$F$27:$F$203,$F406,'ИП + источники'!$AC$27:$AC$203,"погашение займов и кредитов из нормативной прибыли")</f>
        <v>0</v>
      </c>
      <c r="AV406" s="7723">
        <f>_xlfn.SUMIFS('ИП + источники'!AW$27:AW$203,'ИП + источники'!$F$27:$F$203,$F406,'ИП + источники'!$AC$27:$AC$203,"погашение займов и кредитов из нормативной прибыли")</f>
        <v>0</v>
      </c>
      <c r="AW406" s="7723">
        <f>_xlfn.SUMIFS('ИП + источники'!AX$27:AX$203,'ИП + источники'!$F$27:$F$203,$F406,'ИП + источники'!$AC$27:$AC$203,"погашение займов и кредитов из нормативной прибыли")</f>
        <v>0</v>
      </c>
      <c r="AX406" s="7723">
        <f>_xlfn.SUMIFS('ИП + источники'!AY$27:AY$203,'ИП + источники'!$F$27:$F$203,$F406,'ИП + источники'!$AC$27:$AC$203,"погашение займов и кредитов из нормативной прибыли")</f>
        <v>0</v>
      </c>
      <c r="AY406" s="1253">
        <f>_xlfn.SUMIFS('ИП + источники'!AZ$27:AZ$203,'ИП + источники'!$F$27:$F$203,$F406,'ИП + источники'!$AC$27:$AC$203,"погашение займов и кредитов из нормативной прибыли")</f>
        <v>0</v>
      </c>
      <c r="AZ406" s="1253">
        <f>_xlfn.SUMIFS('ИП + источники'!BA$27:BA$203,'ИП + источники'!$F$27:$F$203,$F406,'ИП + источники'!$AC$27:$AC$203,"погашение займов и кредитов из нормативной прибыли")</f>
        <v>0</v>
      </c>
      <c r="BA406" s="1253">
        <f>_xlfn.SUMIFS('ИП + источники'!BB$27:BB$203,'ИП + источники'!$F$27:$F$203,$F406,'ИП + источники'!$AC$27:$AC$203,"погашение займов и кредитов из нормативной прибыли")</f>
        <v>0</v>
      </c>
      <c r="BB406" s="1253">
        <f>_xlfn.SUMIFS('ИП + источники'!BC$27:BC$203,'ИП + источники'!$F$27:$F$203,$F406,'ИП + источники'!$AC$27:$AC$203,"погашение займов и кредитов из нормативной прибыли")</f>
        <v>0</v>
      </c>
      <c r="BC406" s="1253">
        <f>_xlfn.SUMIFS('ИП + источники'!BD$27:BD$203,'ИП + источники'!$F$27:$F$203,$F406,'ИП + источники'!$AC$27:$AC$203,"погашение займов и кредитов из нормативной прибыли")</f>
        <v>0</v>
      </c>
      <c r="BD406" s="943">
        <f>IF(AI406=0,0,(AT406-AI406)/AI406*100)</f>
        <v>0</v>
      </c>
      <c r="BE406" s="943">
        <f>IF(AT406=0,0,(AU406-AT406)/AT406*100)</f>
        <v>0</v>
      </c>
      <c r="BF406" s="943">
        <f>IF(AU406=0,0,(AV406-AU406)/AU406*100)</f>
        <v>0</v>
      </c>
      <c r="BG406" s="943">
        <f>IF(AV406=0,0,(AW406-AV406)/AV406*100)</f>
        <v>0</v>
      </c>
      <c r="BH406" s="943">
        <f>IF(AW406=0,0,(AX406-AW406)/AW406*100)</f>
        <v>0</v>
      </c>
      <c r="BI406" s="943">
        <f>IF(AX406=0,0,(AY406-AX406)/AX406*100)</f>
        <v>0</v>
      </c>
      <c r="BJ406" s="943">
        <f>IF(AY406=0,0,(AZ406-AY406)/AY406*100)</f>
        <v>0</v>
      </c>
      <c r="BK406" s="943">
        <f>IF(AZ406=0,0,(BA406-AZ406)/AZ406*100)</f>
        <v>0</v>
      </c>
      <c r="BL406" s="943">
        <f>IF(BA406=0,0,(BB406-BA406)/BA406*100)</f>
        <v>0</v>
      </c>
      <c r="BM406" s="943">
        <f>IF(BB406=0,0,(BC406-BB406)/BB406*100)</f>
        <v>0</v>
      </c>
      <c r="BN406" s="7771"/>
      <c r="BO406" s="7724" t="str">
        <f>IF(_xlfn.IFERROR(INDEX('ИП + источники'!$K$57:$L$203,MATCH($F406&amp;"2komm",'ИП + источники'!$K$57:$K$203,0),2),"")=0,"",_xlfn.IFERROR(INDEX('ИП + источники'!$K$57:$L$203,MATCH($F406&amp;"2komm",'ИП + источники'!$K$57:$K$203,0),2),""))</f>
        <v/>
      </c>
      <c r="BP406" s="7771"/>
      <c r="BQ406" s="1278"/>
      <c r="BR406" s="1278"/>
      <c r="BS406" s="1064" t="s">
        <v>2833</v>
      </c>
      <c r="BT406" s="1064"/>
      <c r="BU406" s="1064"/>
      <c r="BV406" s="979"/>
      <c r="BW406" s="979"/>
    </row>
    <row s="1834" customFormat="1" customHeight="1" ht="14.25">
      <c r="A407" s="1278"/>
      <c r="B407" s="432" cm="1" t="str">
        <f t="array" ref="B407:B407">B406</f>
        <v>true</v>
      </c>
      <c r="C407" s="1278"/>
      <c r="D407" s="1278"/>
      <c r="E407" s="703">
        <v>15</v>
      </c>
      <c r="F407" s="50" cm="1" t="str">
        <f t="array" ref="F407:F407">OFFSET(E407,-1,1)</f>
        <v>2</v>
      </c>
      <c r="G407" s="1278"/>
      <c r="H407" s="1278"/>
      <c r="I407" s="158" t="s">
        <v>1267</v>
      </c>
      <c r="J407" s="1278"/>
      <c r="K407" s="158" t="s">
        <v>1267</v>
      </c>
      <c r="L407" s="980"/>
      <c r="M407" s="107"/>
      <c r="N407" s="1278"/>
      <c r="O407" s="1278"/>
      <c r="P407" s="1278"/>
      <c r="Q407" s="1278"/>
      <c r="R407" s="1278"/>
      <c r="S407" s="1278"/>
      <c r="T407" s="465" cm="1" t="str">
        <f t="array" ref="T407:T407">T406</f>
        <v>true</v>
      </c>
      <c r="U407" s="1278"/>
      <c r="V407" s="1278"/>
      <c r="W407" s="1278"/>
      <c r="X407" s="1563"/>
      <c r="Y407" s="1278"/>
      <c r="Z407" s="1546"/>
      <c r="AA407" s="1278"/>
      <c r="AB407" s="299" t="s">
        <v>1394</v>
      </c>
      <c r="AC407" s="762" t="s">
        <v>2834</v>
      </c>
      <c r="AD407" s="300" t="s">
        <v>1514</v>
      </c>
      <c r="AE407" s="7773">
        <f>_xlfn.SUMIFS('ИП + источники'!AF$27:AF$203,'ИП + источники'!$F$27:$F$203,$F407,'ИП + источники'!$AC$27:$AC$203,"уплата процентов по кредитам из нормативной прибыли")</f>
        <v>0</v>
      </c>
      <c r="AF407" s="7773">
        <f>_xlfn.SUMIFS('ИП + источники'!AG$27:AG$203,'ИП + источники'!$F$27:$F$203,$F407,'ИП + источники'!$AC$27:$AC$203,"уплата процентов по кредитам из нормативной прибыли")</f>
        <v>0</v>
      </c>
      <c r="AG407" s="7773">
        <f>_xlfn.SUMIFS('ИП + источники'!AH$27:AH$203,'ИП + источники'!$F$27:$F$203,$F407,'ИП + источники'!$AC$27:$AC$203,"уплата процентов по кредитам из нормативной прибыли")</f>
        <v>0</v>
      </c>
      <c r="AH407" s="943">
        <f>AG407-AF407</f>
        <v>0</v>
      </c>
      <c r="AI407" s="7723">
        <f>_xlfn.SUMIFS('ИП + источники'!AJ$27:AJ$203,'ИП + источники'!$F$27:$F$203,$F407,'ИП + источники'!$AC$27:$AC$203,"уплата процентов по кредитам из нормативной прибыли")</f>
        <v>0</v>
      </c>
      <c r="AJ407" s="7723">
        <f>_xlfn.SUMIFS('ИП + источники'!AK$27:AK$203,'ИП + источники'!$F$27:$F$203,$F407,'ИП + источники'!$AC$27:$AC$203,"уплата процентов по кредитам из нормативной прибыли")</f>
        <v>0</v>
      </c>
      <c r="AK407" s="7723">
        <f>_xlfn.SUMIFS('ИП + источники'!AL$27:AL$203,'ИП + источники'!$F$27:$F$203,$F407,'ИП + источники'!$AC$27:$AC$203,"уплата процентов по кредитам из нормативной прибыли")</f>
        <v>0</v>
      </c>
      <c r="AL407" s="7723">
        <f>_xlfn.SUMIFS('ИП + источники'!AM$27:AM$203,'ИП + источники'!$F$27:$F$203,$F407,'ИП + источники'!$AC$27:$AC$203,"уплата процентов по кредитам из нормативной прибыли")</f>
        <v>0</v>
      </c>
      <c r="AM407" s="7723">
        <f>_xlfn.SUMIFS('ИП + источники'!AN$27:AN$203,'ИП + источники'!$F$27:$F$203,$F407,'ИП + источники'!$AC$27:$AC$203,"уплата процентов по кредитам из нормативной прибыли")</f>
        <v>0</v>
      </c>
      <c r="AN407" s="7723">
        <f>_xlfn.SUMIFS('ИП + источники'!AO$27:AO$203,'ИП + источники'!$F$27:$F$203,$F407,'ИП + источники'!$AC$27:$AC$203,"уплата процентов по кредитам из нормативной прибыли")</f>
        <v>0</v>
      </c>
      <c r="AO407" s="1253">
        <f>_xlfn.SUMIFS('ИП + источники'!AP$27:AP$203,'ИП + источники'!$F$27:$F$203,$F407,'ИП + источники'!$AC$27:$AC$203,"уплата процентов по кредитам из нормативной прибыли")</f>
        <v>0</v>
      </c>
      <c r="AP407" s="1253">
        <f>_xlfn.SUMIFS('ИП + источники'!AQ$27:AQ$203,'ИП + источники'!$F$27:$F$203,$F407,'ИП + источники'!$AC$27:$AC$203,"уплата процентов по кредитам из нормативной прибыли")</f>
        <v>0</v>
      </c>
      <c r="AQ407" s="1253">
        <f>_xlfn.SUMIFS('ИП + источники'!AR$27:AR$203,'ИП + источники'!$F$27:$F$203,$F407,'ИП + источники'!$AC$27:$AC$203,"уплата процентов по кредитам из нормативной прибыли")</f>
        <v>0</v>
      </c>
      <c r="AR407" s="1253">
        <f>_xlfn.SUMIFS('ИП + источники'!AS$27:AS$203,'ИП + источники'!$F$27:$F$203,$F407,'ИП + источники'!$AC$27:$AC$203,"уплата процентов по кредитам из нормативной прибыли")</f>
        <v>0</v>
      </c>
      <c r="AS407" s="1253">
        <f>_xlfn.SUMIFS('ИП + источники'!AT$27:AT$203,'ИП + источники'!$F$27:$F$203,$F407,'ИП + источники'!$AC$27:$AC$203,"уплата процентов по кредитам из нормативной прибыли")</f>
        <v>0</v>
      </c>
      <c r="AT407" s="7723">
        <f>_xlfn.SUMIFS('ИП + источники'!AU$27:AU$203,'ИП + источники'!$F$27:$F$203,$F407,'ИП + источники'!$AC$27:$AC$203,"уплата процентов по кредитам из нормативной прибыли")</f>
        <v>0</v>
      </c>
      <c r="AU407" s="7723">
        <f>_xlfn.SUMIFS('ИП + источники'!AV$27:AV$203,'ИП + источники'!$F$27:$F$203,$F407,'ИП + источники'!$AC$27:$AC$203,"уплата процентов по кредитам из нормативной прибыли")</f>
        <v>0</v>
      </c>
      <c r="AV407" s="7723">
        <f>_xlfn.SUMIFS('ИП + источники'!AW$27:AW$203,'ИП + источники'!$F$27:$F$203,$F407,'ИП + источники'!$AC$27:$AC$203,"уплата процентов по кредитам из нормативной прибыли")</f>
        <v>0</v>
      </c>
      <c r="AW407" s="7723">
        <f>_xlfn.SUMIFS('ИП + источники'!AX$27:AX$203,'ИП + источники'!$F$27:$F$203,$F407,'ИП + источники'!$AC$27:$AC$203,"уплата процентов по кредитам из нормативной прибыли")</f>
        <v>0</v>
      </c>
      <c r="AX407" s="7723">
        <f>_xlfn.SUMIFS('ИП + источники'!AY$27:AY$203,'ИП + источники'!$F$27:$F$203,$F407,'ИП + источники'!$AC$27:$AC$203,"уплата процентов по кредитам из нормативной прибыли")</f>
        <v>0</v>
      </c>
      <c r="AY407" s="1253">
        <f>_xlfn.SUMIFS('ИП + источники'!AZ$27:AZ$203,'ИП + источники'!$F$27:$F$203,$F407,'ИП + источники'!$AC$27:$AC$203,"уплата процентов по кредитам из нормативной прибыли")</f>
        <v>0</v>
      </c>
      <c r="AZ407" s="1253">
        <f>_xlfn.SUMIFS('ИП + источники'!BA$27:BA$203,'ИП + источники'!$F$27:$F$203,$F407,'ИП + источники'!$AC$27:$AC$203,"уплата процентов по кредитам из нормативной прибыли")</f>
        <v>0</v>
      </c>
      <c r="BA407" s="1253">
        <f>_xlfn.SUMIFS('ИП + источники'!BB$27:BB$203,'ИП + источники'!$F$27:$F$203,$F407,'ИП + источники'!$AC$27:$AC$203,"уплата процентов по кредитам из нормативной прибыли")</f>
        <v>0</v>
      </c>
      <c r="BB407" s="1253">
        <f>_xlfn.SUMIFS('ИП + источники'!BC$27:BC$203,'ИП + источники'!$F$27:$F$203,$F407,'ИП + источники'!$AC$27:$AC$203,"уплата процентов по кредитам из нормативной прибыли")</f>
        <v>0</v>
      </c>
      <c r="BC407" s="1253">
        <f>_xlfn.SUMIFS('ИП + источники'!BD$27:BD$203,'ИП + источники'!$F$27:$F$203,$F407,'ИП + источники'!$AC$27:$AC$203,"уплата процентов по кредитам из нормативной прибыли")</f>
        <v>0</v>
      </c>
      <c r="BD407" s="943">
        <f>IF(AI407=0,0,(AT407-AI407)/AI407*100)</f>
        <v>0</v>
      </c>
      <c r="BE407" s="943">
        <f>IF(AT407=0,0,(AU407-AT407)/AT407*100)</f>
        <v>0</v>
      </c>
      <c r="BF407" s="943">
        <f>IF(AU407=0,0,(AV407-AU407)/AU407*100)</f>
        <v>0</v>
      </c>
      <c r="BG407" s="943">
        <f>IF(AV407=0,0,(AW407-AV407)/AV407*100)</f>
        <v>0</v>
      </c>
      <c r="BH407" s="943">
        <f>IF(AW407=0,0,(AX407-AW407)/AW407*100)</f>
        <v>0</v>
      </c>
      <c r="BI407" s="943">
        <f>IF(AX407=0,0,(AY407-AX407)/AX407*100)</f>
        <v>0</v>
      </c>
      <c r="BJ407" s="943">
        <f>IF(AY407=0,0,(AZ407-AY407)/AY407*100)</f>
        <v>0</v>
      </c>
      <c r="BK407" s="943">
        <f>IF(AZ407=0,0,(BA407-AZ407)/AZ407*100)</f>
        <v>0</v>
      </c>
      <c r="BL407" s="943">
        <f>IF(BA407=0,0,(BB407-BA407)/BA407*100)</f>
        <v>0</v>
      </c>
      <c r="BM407" s="943">
        <f>IF(BB407=0,0,(BC407-BB407)/BB407*100)</f>
        <v>0</v>
      </c>
      <c r="BN407" s="7771"/>
      <c r="BO407" s="7724" t="str">
        <f>IF(_xlfn.IFERROR(INDEX('ИП + источники'!$K$57:$L$203,MATCH($F407&amp;"3komm",'ИП + источники'!$K$57:$K$203,0),2),"")=0,"",_xlfn.IFERROR(INDEX('ИП + источники'!$K$57:$L$203,MATCH($F407&amp;"3komm",'ИП + источники'!$K$57:$K$203,0),2),""))</f>
        <v/>
      </c>
      <c r="BP407" s="7771"/>
      <c r="BQ407" s="1278"/>
      <c r="BR407" s="1278"/>
      <c r="BS407" s="1064" t="s">
        <v>2835</v>
      </c>
      <c r="BT407" s="1064"/>
      <c r="BU407" s="1064"/>
      <c r="BV407" s="979"/>
      <c r="BW407" s="979"/>
    </row>
    <row s="1834" customFormat="1" customHeight="1" ht="14.25">
      <c r="A408" s="1278"/>
      <c r="B408" s="432" cm="1" t="str">
        <f t="array" ref="B408:B408">B407</f>
        <v>true</v>
      </c>
      <c r="C408" s="1278"/>
      <c r="D408" s="1278"/>
      <c r="E408" s="703">
        <v>15</v>
      </c>
      <c r="F408" s="50" cm="1" t="str">
        <f t="array" ref="F408:F408">OFFSET(E408,-1,1)</f>
        <v>2</v>
      </c>
      <c r="G408" s="1278"/>
      <c r="H408" s="1278"/>
      <c r="I408" s="158" t="s">
        <v>1479</v>
      </c>
      <c r="J408" s="1278"/>
      <c r="K408" s="158" t="s">
        <v>1479</v>
      </c>
      <c r="L408" s="980" t="s">
        <v>1282</v>
      </c>
      <c r="M408" s="107"/>
      <c r="N408" s="1278"/>
      <c r="O408" s="1278"/>
      <c r="P408" s="1278"/>
      <c r="Q408" s="1278"/>
      <c r="R408" s="1278"/>
      <c r="S408" s="1278"/>
      <c r="T408" s="465" cm="1" t="str">
        <f t="array" ref="T408:T408">T407</f>
        <v>true</v>
      </c>
      <c r="U408" s="1278"/>
      <c r="V408" s="1278"/>
      <c r="W408" s="1278"/>
      <c r="X408" s="1563"/>
      <c r="Y408" s="1278"/>
      <c r="Z408" s="1546"/>
      <c r="AA408" s="1278"/>
      <c r="AB408" s="299" t="s">
        <v>1683</v>
      </c>
      <c r="AC408" s="762" t="s">
        <v>2836</v>
      </c>
      <c r="AD408" s="300" t="s">
        <v>1514</v>
      </c>
      <c r="AE408" s="7773">
        <f>_xlfn.SUMIFS('ИП + источники'!AF$27:AF$203,'ИП + источники'!$F$27:$F$203,$F408,'ИП + источники'!$AC$27:$AC$203,"Прибыль на капвложения")</f>
        <v>0</v>
      </c>
      <c r="AF408" s="7773">
        <f>_xlfn.SUMIFS('ИП + источники'!AG$27:AG$203,'ИП + источники'!$F$27:$F$203,$F408,'ИП + источники'!$AC$27:$AC$203,"Прибыль на капвложения")</f>
        <v>0</v>
      </c>
      <c r="AG408" s="7773">
        <f>_xlfn.SUMIFS('ИП + источники'!AH$27:AH$203,'ИП + источники'!$F$27:$F$203,$F408,'ИП + источники'!$AC$27:$AC$203,"Прибыль на капвложения")</f>
        <v>0</v>
      </c>
      <c r="AH408" s="943">
        <f>AG408-AF408</f>
        <v>0</v>
      </c>
      <c r="AI408" s="7723">
        <f>_xlfn.SUMIFS('ИП + источники'!AJ$27:AJ$203,'ИП + источники'!$F$27:$F$203,$F408,'ИП + источники'!$AC$27:$AC$203,"Прибыль на капвложения")</f>
        <v>0</v>
      </c>
      <c r="AJ408" s="7723">
        <f>_xlfn.SUMIFS('ИП + источники'!AK$27:AK$203,'ИП + источники'!$F$27:$F$203,$F408,'ИП + источники'!$AC$27:$AC$203,"Прибыль на капвложения")</f>
        <v>0</v>
      </c>
      <c r="AK408" s="7723">
        <f>_xlfn.SUMIFS('ИП + источники'!AL$27:AL$203,'ИП + источники'!$F$27:$F$203,$F408,'ИП + источники'!$AC$27:$AC$203,"Прибыль на капвложения")</f>
        <v>0</v>
      </c>
      <c r="AL408" s="7723">
        <f>_xlfn.SUMIFS('ИП + источники'!AM$27:AM$203,'ИП + источники'!$F$27:$F$203,$F408,'ИП + источники'!$AC$27:$AC$203,"Прибыль на капвложения")</f>
        <v>0</v>
      </c>
      <c r="AM408" s="7723">
        <f>_xlfn.SUMIFS('ИП + источники'!AN$27:AN$203,'ИП + источники'!$F$27:$F$203,$F408,'ИП + источники'!$AC$27:$AC$203,"Прибыль на капвложения")</f>
        <v>0</v>
      </c>
      <c r="AN408" s="7723">
        <f>_xlfn.SUMIFS('ИП + источники'!AO$27:AO$203,'ИП + источники'!$F$27:$F$203,$F408,'ИП + источники'!$AC$27:$AC$203,"Прибыль на капвложения")</f>
        <v>0</v>
      </c>
      <c r="AO408" s="1253">
        <f>_xlfn.SUMIFS('ИП + источники'!AP$27:AP$203,'ИП + источники'!$F$27:$F$203,$F408,'ИП + источники'!$AC$27:$AC$203,"Прибыль на капвложения")</f>
        <v>0</v>
      </c>
      <c r="AP408" s="1253">
        <f>_xlfn.SUMIFS('ИП + источники'!AQ$27:AQ$203,'ИП + источники'!$F$27:$F$203,$F408,'ИП + источники'!$AC$27:$AC$203,"Прибыль на капвложения")</f>
        <v>0</v>
      </c>
      <c r="AQ408" s="1253">
        <f>_xlfn.SUMIFS('ИП + источники'!AR$27:AR$203,'ИП + источники'!$F$27:$F$203,$F408,'ИП + источники'!$AC$27:$AC$203,"Прибыль на капвложения")</f>
        <v>0</v>
      </c>
      <c r="AR408" s="1253">
        <f>_xlfn.SUMIFS('ИП + источники'!AS$27:AS$203,'ИП + источники'!$F$27:$F$203,$F408,'ИП + источники'!$AC$27:$AC$203,"Прибыль на капвложения")</f>
        <v>0</v>
      </c>
      <c r="AS408" s="1253">
        <f>_xlfn.SUMIFS('ИП + источники'!AT$27:AT$203,'ИП + источники'!$F$27:$F$203,$F408,'ИП + источники'!$AC$27:$AC$203,"Прибыль на капвложения")</f>
        <v>0</v>
      </c>
      <c r="AT408" s="7723">
        <f>_xlfn.SUMIFS('ИП + источники'!AU$27:AU$203,'ИП + источники'!$F$27:$F$203,$F408,'ИП + источники'!$AC$27:$AC$203,"Прибыль на капвложения")</f>
        <v>0</v>
      </c>
      <c r="AU408" s="7723">
        <f>_xlfn.SUMIFS('ИП + источники'!AV$27:AV$203,'ИП + источники'!$F$27:$F$203,$F408,'ИП + источники'!$AC$27:$AC$203,"Прибыль на капвложения")</f>
        <v>0</v>
      </c>
      <c r="AV408" s="7723">
        <f>_xlfn.SUMIFS('ИП + источники'!AW$27:AW$203,'ИП + источники'!$F$27:$F$203,$F408,'ИП + источники'!$AC$27:$AC$203,"Прибыль на капвложения")</f>
        <v>0</v>
      </c>
      <c r="AW408" s="7723">
        <f>_xlfn.SUMIFS('ИП + источники'!AX$27:AX$203,'ИП + источники'!$F$27:$F$203,$F408,'ИП + источники'!$AC$27:$AC$203,"Прибыль на капвложения")</f>
        <v>0</v>
      </c>
      <c r="AX408" s="7723">
        <f>_xlfn.SUMIFS('ИП + источники'!AY$27:AY$203,'ИП + источники'!$F$27:$F$203,$F408,'ИП + источники'!$AC$27:$AC$203,"Прибыль на капвложения")</f>
        <v>0</v>
      </c>
      <c r="AY408" s="1253">
        <f>_xlfn.SUMIFS('ИП + источники'!AZ$27:AZ$203,'ИП + источники'!$F$27:$F$203,$F408,'ИП + источники'!$AC$27:$AC$203,"Прибыль на капвложения")</f>
        <v>0</v>
      </c>
      <c r="AZ408" s="1253">
        <f>_xlfn.SUMIFS('ИП + источники'!BA$27:BA$203,'ИП + источники'!$F$27:$F$203,$F408,'ИП + источники'!$AC$27:$AC$203,"Прибыль на капвложения")</f>
        <v>0</v>
      </c>
      <c r="BA408" s="1253">
        <f>_xlfn.SUMIFS('ИП + источники'!BB$27:BB$203,'ИП + источники'!$F$27:$F$203,$F408,'ИП + источники'!$AC$27:$AC$203,"Прибыль на капвложения")</f>
        <v>0</v>
      </c>
      <c r="BB408" s="1253">
        <f>_xlfn.SUMIFS('ИП + источники'!BC$27:BC$203,'ИП + источники'!$F$27:$F$203,$F408,'ИП + источники'!$AC$27:$AC$203,"Прибыль на капвложения")</f>
        <v>0</v>
      </c>
      <c r="BC408" s="1253">
        <f>_xlfn.SUMIFS('ИП + источники'!BD$27:BD$203,'ИП + источники'!$F$27:$F$203,$F408,'ИП + источники'!$AC$27:$AC$203,"Прибыль на капвложения")</f>
        <v>0</v>
      </c>
      <c r="BD408" s="943">
        <f>IF(AI408=0,0,(AT408-AI408)/AI408*100)</f>
        <v>0</v>
      </c>
      <c r="BE408" s="943">
        <f>IF(AT408=0,0,(AU408-AT408)/AT408*100)</f>
        <v>0</v>
      </c>
      <c r="BF408" s="943">
        <f>IF(AU408=0,0,(AV408-AU408)/AU408*100)</f>
        <v>0</v>
      </c>
      <c r="BG408" s="943">
        <f>IF(AV408=0,0,(AW408-AV408)/AV408*100)</f>
        <v>0</v>
      </c>
      <c r="BH408" s="943">
        <f>IF(AW408=0,0,(AX408-AW408)/AW408*100)</f>
        <v>0</v>
      </c>
      <c r="BI408" s="943">
        <f>IF(AX408=0,0,(AY408-AX408)/AX408*100)</f>
        <v>0</v>
      </c>
      <c r="BJ408" s="943">
        <f>IF(AY408=0,0,(AZ408-AY408)/AY408*100)</f>
        <v>0</v>
      </c>
      <c r="BK408" s="943">
        <f>IF(AZ408=0,0,(BA408-AZ408)/AZ408*100)</f>
        <v>0</v>
      </c>
      <c r="BL408" s="943">
        <f>IF(BA408=0,0,(BB408-BA408)/BA408*100)</f>
        <v>0</v>
      </c>
      <c r="BM408" s="943">
        <f>IF(BB408=0,0,(BC408-BB408)/BB408*100)</f>
        <v>0</v>
      </c>
      <c r="BN408" s="7771"/>
      <c r="BO408" s="7724" t="str">
        <f>IF(_xlfn.IFERROR(INDEX('ИП + источники'!$K$57:$L$203,MATCH($F408&amp;"1komm",'ИП + источники'!$K$57:$K$203,0),2),"")=0,"",_xlfn.IFERROR(INDEX('ИП + источники'!$K$57:$L$203,MATCH($F408&amp;"1komm",'ИП + источники'!$K$57:$K$203,0),2),""))</f>
        <v/>
      </c>
      <c r="BP408" s="7771"/>
      <c r="BQ408" s="1278"/>
      <c r="BR408" s="1278"/>
      <c r="BS408" s="1064" t="s">
        <v>2546</v>
      </c>
      <c r="BT408" s="1064"/>
      <c r="BU408" s="1064"/>
      <c r="BV408" s="979"/>
      <c r="BW408" s="979"/>
    </row>
    <row s="1834" customFormat="1" customHeight="1" ht="21.75">
      <c r="A409" s="1278"/>
      <c r="B409" s="432" cm="1" t="str">
        <f t="array" ref="B409:B409">B408</f>
        <v>true</v>
      </c>
      <c r="C409" s="1278"/>
      <c r="D409" s="1278"/>
      <c r="E409" s="703">
        <v>22.5</v>
      </c>
      <c r="F409" s="50" cm="1" t="str">
        <f t="array" ref="F409:F409">OFFSET(E409,-1,1)</f>
        <v>2</v>
      </c>
      <c r="G409" s="158" t="s">
        <v>2837</v>
      </c>
      <c r="H409" s="1278"/>
      <c r="I409" s="158" t="s">
        <v>1685</v>
      </c>
      <c r="J409" s="1278"/>
      <c r="K409" s="158" t="s">
        <v>1685</v>
      </c>
      <c r="L409" s="980" t="s">
        <v>1286</v>
      </c>
      <c r="M409" s="107"/>
      <c r="N409" s="1278"/>
      <c r="O409" s="1278"/>
      <c r="P409" s="1278"/>
      <c r="Q409" s="1278"/>
      <c r="R409" s="1278"/>
      <c r="S409" s="1278"/>
      <c r="T409" s="465" cm="1" t="str">
        <f t="array" ref="T409:T409">T408</f>
        <v>true</v>
      </c>
      <c r="U409" s="1278"/>
      <c r="V409" s="1278"/>
      <c r="W409" s="1278"/>
      <c r="X409" s="1563"/>
      <c r="Y409" s="1278"/>
      <c r="Z409" s="1546"/>
      <c r="AA409" s="1278"/>
      <c r="AB409" s="299" t="s">
        <v>1686</v>
      </c>
      <c r="AC409" s="762" t="s">
        <v>2838</v>
      </c>
      <c r="AD409" s="300" t="s">
        <v>1514</v>
      </c>
      <c r="AE409" s="7773"/>
      <c r="AF409" s="7773"/>
      <c r="AG409" s="7773"/>
      <c r="AH409" s="943">
        <f>AG409-AF409</f>
        <v>0</v>
      </c>
      <c r="AI409" s="7723"/>
      <c r="AJ409" s="7723"/>
      <c r="AK409" s="7723"/>
      <c r="AL409" s="7723"/>
      <c r="AM409" s="7723"/>
      <c r="AN409" s="7723"/>
      <c r="AO409" s="1253"/>
      <c r="AP409" s="1253"/>
      <c r="AQ409" s="1253"/>
      <c r="AR409" s="1253"/>
      <c r="AS409" s="1253"/>
      <c r="AT409" s="7723"/>
      <c r="AU409" s="7723"/>
      <c r="AV409" s="7723"/>
      <c r="AW409" s="7723"/>
      <c r="AX409" s="7723"/>
      <c r="AY409" s="1253"/>
      <c r="AZ409" s="1253"/>
      <c r="BA409" s="1253"/>
      <c r="BB409" s="1253"/>
      <c r="BC409" s="1253"/>
      <c r="BD409" s="943">
        <f>IF(AI409=0,0,(AT409-AI409)/AI409*100)</f>
        <v>0</v>
      </c>
      <c r="BE409" s="943">
        <f>IF(AT409=0,0,(AU409-AT409)/AT409*100)</f>
        <v>0</v>
      </c>
      <c r="BF409" s="943">
        <f>IF(AU409=0,0,(AV409-AU409)/AU409*100)</f>
        <v>0</v>
      </c>
      <c r="BG409" s="943">
        <f>IF(AV409=0,0,(AW409-AV409)/AV409*100)</f>
        <v>0</v>
      </c>
      <c r="BH409" s="943">
        <f>IF(AW409=0,0,(AX409-AW409)/AW409*100)</f>
        <v>0</v>
      </c>
      <c r="BI409" s="943">
        <f>IF(AX409=0,0,(AY409-AX409)/AX409*100)</f>
        <v>0</v>
      </c>
      <c r="BJ409" s="943">
        <f>IF(AY409=0,0,(AZ409-AY409)/AY409*100)</f>
        <v>0</v>
      </c>
      <c r="BK409" s="943">
        <f>IF(AZ409=0,0,(BA409-AZ409)/AZ409*100)</f>
        <v>0</v>
      </c>
      <c r="BL409" s="943">
        <f>IF(BA409=0,0,(BB409-BA409)/BA409*100)</f>
        <v>0</v>
      </c>
      <c r="BM409" s="943">
        <f>IF(BB409=0,0,(BC409-BB409)/BB409*100)</f>
        <v>0</v>
      </c>
      <c r="BN409" s="7771"/>
      <c r="BO409" s="7771"/>
      <c r="BP409" s="7771"/>
      <c r="BQ409" s="1278"/>
      <c r="BR409" s="1278"/>
      <c r="BS409" s="1064" t="s">
        <v>2839</v>
      </c>
      <c r="BT409" s="1064"/>
      <c r="BU409" s="1064"/>
      <c r="BV409" s="979"/>
      <c r="BW409" s="979"/>
    </row>
    <row s="1834" customFormat="1" customHeight="1" ht="14.25">
      <c r="A410" s="1278"/>
      <c r="B410" s="432">
        <f>AND(method_reg="Метод индексации",STATUS_GO="да")</f>
        <v>1</v>
      </c>
      <c r="C410" s="1278"/>
      <c r="D410" s="1278"/>
      <c r="E410" s="703">
        <v>15</v>
      </c>
      <c r="F410" s="50" cm="1" t="str">
        <f t="array" ref="F410:F410">OFFSET(E410,-1,1)</f>
        <v>2</v>
      </c>
      <c r="G410" s="158" t="s">
        <v>2549</v>
      </c>
      <c r="H410" s="1278"/>
      <c r="I410" s="158" t="s">
        <v>1225</v>
      </c>
      <c r="J410" s="1278"/>
      <c r="K410" s="158" t="s">
        <v>1225</v>
      </c>
      <c r="L410" s="980" t="s">
        <v>1290</v>
      </c>
      <c r="M410" s="107"/>
      <c r="N410" s="1278"/>
      <c r="O410" s="1278"/>
      <c r="P410" s="1278"/>
      <c r="Q410" s="1278"/>
      <c r="R410" s="1278"/>
      <c r="S410" s="1278"/>
      <c r="T410" s="465" cm="1" t="str">
        <f t="array" ref="T410:T410">T409</f>
        <v>true</v>
      </c>
      <c r="U410" s="1278"/>
      <c r="V410" s="1278"/>
      <c r="W410" s="1278"/>
      <c r="X410" s="1563"/>
      <c r="Y410" s="1278"/>
      <c r="Z410" s="1546"/>
      <c r="AA410" s="1278"/>
      <c r="AB410" s="299" t="s">
        <v>446</v>
      </c>
      <c r="AC410" s="452" t="s">
        <v>2549</v>
      </c>
      <c r="AD410" s="300" t="s">
        <v>1514</v>
      </c>
      <c r="AE410" s="7773"/>
      <c r="AF410" s="7773"/>
      <c r="AG410" s="7773"/>
      <c r="AH410" s="943">
        <f>AG410-AF410</f>
        <v>0</v>
      </c>
      <c r="AI410" s="7723"/>
      <c r="AJ410" s="7723"/>
      <c r="AK410" s="7723"/>
      <c r="AL410" s="7723"/>
      <c r="AM410" s="7723"/>
      <c r="AN410" s="7723"/>
      <c r="AO410" s="1253"/>
      <c r="AP410" s="1253"/>
      <c r="AQ410" s="1253"/>
      <c r="AR410" s="1253"/>
      <c r="AS410" s="1253"/>
      <c r="AT410" s="7723"/>
      <c r="AU410" s="7723"/>
      <c r="AV410" s="7723"/>
      <c r="AW410" s="7723"/>
      <c r="AX410" s="7723"/>
      <c r="AY410" s="1253"/>
      <c r="AZ410" s="1253"/>
      <c r="BA410" s="1253"/>
      <c r="BB410" s="1253"/>
      <c r="BC410" s="1253"/>
      <c r="BD410" s="943">
        <f>IF(AI410=0,0,(AT410-AI410)/AI410*100)</f>
        <v>0</v>
      </c>
      <c r="BE410" s="943">
        <f>IF(AT410=0,0,(AU410-AT410)/AT410*100)</f>
        <v>0</v>
      </c>
      <c r="BF410" s="943">
        <f>IF(AU410=0,0,(AV410-AU410)/AU410*100)</f>
        <v>0</v>
      </c>
      <c r="BG410" s="943">
        <f>IF(AV410=0,0,(AW410-AV410)/AV410*100)</f>
        <v>0</v>
      </c>
      <c r="BH410" s="943">
        <f>IF(AW410=0,0,(AX410-AW410)/AW410*100)</f>
        <v>0</v>
      </c>
      <c r="BI410" s="943">
        <f>IF(AX410=0,0,(AY410-AX410)/AX410*100)</f>
        <v>0</v>
      </c>
      <c r="BJ410" s="943">
        <f>IF(AY410=0,0,(AZ410-AY410)/AY410*100)</f>
        <v>0</v>
      </c>
      <c r="BK410" s="943">
        <f>IF(AZ410=0,0,(BA410-AZ410)/AZ410*100)</f>
        <v>0</v>
      </c>
      <c r="BL410" s="943">
        <f>IF(BA410=0,0,(BB410-BA410)/BA410*100)</f>
        <v>0</v>
      </c>
      <c r="BM410" s="943">
        <f>IF(BB410=0,0,(BC410-BB410)/BB410*100)</f>
        <v>0</v>
      </c>
      <c r="BN410" s="7771"/>
      <c r="BO410" s="7771"/>
      <c r="BP410" s="7771"/>
      <c r="BQ410" s="1278"/>
      <c r="BR410" s="1278"/>
      <c r="BS410" s="1064" t="s">
        <v>2550</v>
      </c>
      <c r="BT410" s="1064"/>
      <c r="BU410" s="1064"/>
      <c r="BV410" s="979"/>
      <c r="BW410" s="979"/>
    </row>
    <row s="1834" customFormat="1" customHeight="1" ht="14.25" hidden="1">
      <c r="A411" s="1278"/>
      <c r="B411" s="975">
        <f>method_reg="Метод обеспечения доходности инвестированного капитала"</f>
        <v>0</v>
      </c>
      <c r="C411" s="1278"/>
      <c r="D411" s="1278"/>
      <c r="E411" s="703">
        <v>15</v>
      </c>
      <c r="F411" s="50" cm="1" t="str">
        <f t="array" ref="F411:F411">OFFSET(E411,-1,1)</f>
        <v>2</v>
      </c>
      <c r="G411" s="1278"/>
      <c r="H411" s="1278"/>
      <c r="I411" s="1278"/>
      <c r="J411" s="1278"/>
      <c r="K411" s="107" t="s">
        <v>336</v>
      </c>
      <c r="L411" s="980"/>
      <c r="M411" s="107"/>
      <c r="N411" s="1278"/>
      <c r="O411" s="1278"/>
      <c r="P411" s="1278"/>
      <c r="Q411" s="1278"/>
      <c r="R411" s="1278"/>
      <c r="S411" s="1278"/>
      <c r="T411" s="465" cm="1" t="str">
        <f t="array" ref="T411:T411">T410</f>
        <v>true</v>
      </c>
      <c r="U411" s="1278"/>
      <c r="V411" s="1278"/>
      <c r="W411" s="1278"/>
      <c r="X411" s="1563"/>
      <c r="Y411" s="1278"/>
      <c r="Z411" s="1546"/>
      <c r="AA411" s="1278"/>
      <c r="AB411" s="792" t="s">
        <v>295</v>
      </c>
      <c r="AC411" s="793" t="s">
        <v>2840</v>
      </c>
      <c r="AD411" s="794" t="s">
        <v>1514</v>
      </c>
      <c r="AE411" s="1246"/>
      <c r="AF411" s="1246"/>
      <c r="AG411" s="1246"/>
      <c r="AH411" s="761">
        <f>AG411-AF411</f>
        <v>0</v>
      </c>
      <c r="AI411" s="1246"/>
      <c r="AJ411" s="1246"/>
      <c r="AK411" s="1246"/>
      <c r="AL411" s="1246"/>
      <c r="AM411" s="1246"/>
      <c r="AN411" s="1246"/>
      <c r="AO411" s="1246"/>
      <c r="AP411" s="1246"/>
      <c r="AQ411" s="1246"/>
      <c r="AR411" s="1246"/>
      <c r="AS411" s="1246"/>
      <c r="AT411" s="1246"/>
      <c r="AU411" s="1246"/>
      <c r="AV411" s="1246"/>
      <c r="AW411" s="1246"/>
      <c r="AX411" s="1246"/>
      <c r="AY411" s="1246"/>
      <c r="AZ411" s="1246"/>
      <c r="BA411" s="1246"/>
      <c r="BB411" s="1246"/>
      <c r="BC411" s="1246"/>
      <c r="BD411" s="761">
        <f>IF(AI411=0,0,(AT411-AI411)/AI411*100)</f>
        <v>0</v>
      </c>
      <c r="BE411" s="761">
        <f>IF(AT411=0,0,(AU411-AT411)/AT411*100)</f>
        <v>0</v>
      </c>
      <c r="BF411" s="761">
        <f>IF(AU411=0,0,(AV411-AU411)/AU411*100)</f>
        <v>0</v>
      </c>
      <c r="BG411" s="761">
        <f>IF(AV411=0,0,(AW411-AV411)/AV411*100)</f>
        <v>0</v>
      </c>
      <c r="BH411" s="761">
        <f>IF(AW411=0,0,(AX411-AW411)/AW411*100)</f>
        <v>0</v>
      </c>
      <c r="BI411" s="761">
        <f>IF(AX411=0,0,(AY411-AX411)/AX411*100)</f>
        <v>0</v>
      </c>
      <c r="BJ411" s="761">
        <f>IF(AY411=0,0,(AZ411-AY411)/AY411*100)</f>
        <v>0</v>
      </c>
      <c r="BK411" s="761">
        <f>IF(AZ411=0,0,(BA411-AZ411)/AZ411*100)</f>
        <v>0</v>
      </c>
      <c r="BL411" s="761">
        <f>IF(BA411=0,0,(BB411-BA411)/BA411*100)</f>
        <v>0</v>
      </c>
      <c r="BM411" s="761">
        <f>IF(BB411=0,0,(BC411-BB411)/BB411*100)</f>
        <v>0</v>
      </c>
      <c r="BN411" s="1247"/>
      <c r="BO411" s="1247"/>
      <c r="BP411" s="1247"/>
      <c r="BQ411" s="1278"/>
      <c r="BR411" s="1278"/>
      <c r="BS411" s="1064" t="s">
        <v>2841</v>
      </c>
      <c r="BT411" s="1064"/>
      <c r="BU411" s="1064"/>
      <c r="BV411" s="979"/>
      <c r="BW411" s="979"/>
    </row>
    <row s="1834" customFormat="1" customHeight="1" ht="14.25" hidden="1">
      <c r="A412" s="1278"/>
      <c r="B412" s="975" cm="1" t="str">
        <f t="array" ref="B412:B412">B411</f>
        <v>false</v>
      </c>
      <c r="C412" s="1278"/>
      <c r="D412" s="1278"/>
      <c r="E412" s="703">
        <v>15</v>
      </c>
      <c r="F412" s="50" cm="1" t="str">
        <f t="array" ref="F412:F412">OFFSET(E412,-1,1)</f>
        <v>2</v>
      </c>
      <c r="G412" s="1278"/>
      <c r="H412" s="1278"/>
      <c r="I412" s="1278"/>
      <c r="J412" s="1278"/>
      <c r="K412" s="107" t="s">
        <v>1249</v>
      </c>
      <c r="L412" s="980"/>
      <c r="M412" s="107"/>
      <c r="N412" s="1278"/>
      <c r="O412" s="1278"/>
      <c r="P412" s="1278"/>
      <c r="Q412" s="1278"/>
      <c r="R412" s="1278"/>
      <c r="S412" s="1278"/>
      <c r="T412" s="465" cm="1" t="str">
        <f t="array" ref="T412:T412">T411</f>
        <v>true</v>
      </c>
      <c r="U412" s="1278"/>
      <c r="V412" s="1278"/>
      <c r="W412" s="1278"/>
      <c r="X412" s="1563"/>
      <c r="Y412" s="1278"/>
      <c r="Z412" s="1546"/>
      <c r="AA412" s="1278"/>
      <c r="AB412" s="795" t="s">
        <v>1384</v>
      </c>
      <c r="AC412" s="796" t="s">
        <v>2842</v>
      </c>
      <c r="AD412" s="797" t="s">
        <v>1514</v>
      </c>
      <c r="AE412" s="1253"/>
      <c r="AF412" s="1253"/>
      <c r="AG412" s="1253"/>
      <c r="AH412" s="942"/>
      <c r="AI412" s="1253"/>
      <c r="AJ412" s="1253"/>
      <c r="AK412" s="1253"/>
      <c r="AL412" s="1253"/>
      <c r="AM412" s="1253"/>
      <c r="AN412" s="1253"/>
      <c r="AO412" s="1253"/>
      <c r="AP412" s="1253"/>
      <c r="AQ412" s="1253"/>
      <c r="AR412" s="1253"/>
      <c r="AS412" s="1253"/>
      <c r="AT412" s="1253"/>
      <c r="AU412" s="1253"/>
      <c r="AV412" s="1253"/>
      <c r="AW412" s="1253"/>
      <c r="AX412" s="1253"/>
      <c r="AY412" s="1253"/>
      <c r="AZ412" s="1253"/>
      <c r="BA412" s="1253"/>
      <c r="BB412" s="1253"/>
      <c r="BC412" s="1253"/>
      <c r="BD412" s="942"/>
      <c r="BE412" s="942"/>
      <c r="BF412" s="942"/>
      <c r="BG412" s="942"/>
      <c r="BH412" s="942"/>
      <c r="BI412" s="942"/>
      <c r="BJ412" s="942"/>
      <c r="BK412" s="942"/>
      <c r="BL412" s="942"/>
      <c r="BM412" s="942"/>
      <c r="BN412" s="1251"/>
      <c r="BO412" s="1251"/>
      <c r="BP412" s="1251"/>
      <c r="BQ412" s="1278"/>
      <c r="BR412" s="1278"/>
      <c r="BS412" s="1064" t="s">
        <v>2843</v>
      </c>
      <c r="BT412" s="1064"/>
      <c r="BU412" s="1064"/>
      <c r="BV412" s="979"/>
      <c r="BW412" s="979"/>
    </row>
    <row s="1834" customFormat="1" customHeight="1" ht="14.25" hidden="1">
      <c r="A413" s="1278"/>
      <c r="B413" s="975" cm="1" t="str">
        <f t="array" ref="B413:B413">B412</f>
        <v>false</v>
      </c>
      <c r="C413" s="1278"/>
      <c r="D413" s="1278"/>
      <c r="E413" s="703">
        <v>15</v>
      </c>
      <c r="F413" s="50" cm="1" t="str">
        <f t="array" ref="F413:F413">OFFSET(E413,-1,1)</f>
        <v>2</v>
      </c>
      <c r="G413" s="1278"/>
      <c r="H413" s="1278"/>
      <c r="I413" s="1278"/>
      <c r="J413" s="1278"/>
      <c r="K413" s="107" t="s">
        <v>1253</v>
      </c>
      <c r="L413" s="980"/>
      <c r="M413" s="107"/>
      <c r="N413" s="1278"/>
      <c r="O413" s="1278"/>
      <c r="P413" s="1278"/>
      <c r="Q413" s="1278"/>
      <c r="R413" s="1278"/>
      <c r="S413" s="1278"/>
      <c r="T413" s="465" cm="1" t="str">
        <f t="array" ref="T413:T413">T412</f>
        <v>true</v>
      </c>
      <c r="U413" s="1278"/>
      <c r="V413" s="1278"/>
      <c r="W413" s="1278"/>
      <c r="X413" s="1563"/>
      <c r="Y413" s="1278"/>
      <c r="Z413" s="1546"/>
      <c r="AA413" s="1278"/>
      <c r="AB413" s="795" t="s">
        <v>1387</v>
      </c>
      <c r="AC413" s="796" t="s">
        <v>2844</v>
      </c>
      <c r="AD413" s="797" t="s">
        <v>2845</v>
      </c>
      <c r="AE413" s="1253"/>
      <c r="AF413" s="1253"/>
      <c r="AG413" s="1253"/>
      <c r="AH413" s="942"/>
      <c r="AI413" s="1253"/>
      <c r="AJ413" s="1253"/>
      <c r="AK413" s="1253"/>
      <c r="AL413" s="1253"/>
      <c r="AM413" s="1253"/>
      <c r="AN413" s="1253"/>
      <c r="AO413" s="1253"/>
      <c r="AP413" s="1253"/>
      <c r="AQ413" s="1253"/>
      <c r="AR413" s="1253"/>
      <c r="AS413" s="1253"/>
      <c r="AT413" s="1253"/>
      <c r="AU413" s="1253"/>
      <c r="AV413" s="1253"/>
      <c r="AW413" s="1253"/>
      <c r="AX413" s="1253"/>
      <c r="AY413" s="1253"/>
      <c r="AZ413" s="1253"/>
      <c r="BA413" s="1253"/>
      <c r="BB413" s="1253"/>
      <c r="BC413" s="1253"/>
      <c r="BD413" s="942"/>
      <c r="BE413" s="942"/>
      <c r="BF413" s="942"/>
      <c r="BG413" s="942"/>
      <c r="BH413" s="942"/>
      <c r="BI413" s="942"/>
      <c r="BJ413" s="942"/>
      <c r="BK413" s="942"/>
      <c r="BL413" s="942"/>
      <c r="BM413" s="942"/>
      <c r="BN413" s="1251"/>
      <c r="BO413" s="1251"/>
      <c r="BP413" s="1251"/>
      <c r="BQ413" s="1278"/>
      <c r="BR413" s="1278"/>
      <c r="BS413" s="1064" t="s">
        <v>2846</v>
      </c>
      <c r="BT413" s="1064"/>
      <c r="BU413" s="1064"/>
      <c r="BV413" s="979"/>
      <c r="BW413" s="979"/>
    </row>
    <row s="1834" customFormat="1" customHeight="1" ht="14.25" hidden="1">
      <c r="A414" s="1278"/>
      <c r="B414" s="975" cm="1" t="str">
        <f t="array" ref="B414:B414">B413</f>
        <v>false</v>
      </c>
      <c r="C414" s="1278"/>
      <c r="D414" s="1278"/>
      <c r="E414" s="703">
        <v>15</v>
      </c>
      <c r="F414" s="50" cm="1" t="str">
        <f t="array" ref="F414:F414">OFFSET(E414,-1,1)</f>
        <v>2</v>
      </c>
      <c r="G414" s="1278"/>
      <c r="H414" s="1278"/>
      <c r="I414" s="1278"/>
      <c r="J414" s="1278"/>
      <c r="K414" s="107" t="s">
        <v>335</v>
      </c>
      <c r="L414" s="980"/>
      <c r="M414" s="107"/>
      <c r="N414" s="1278"/>
      <c r="O414" s="1278"/>
      <c r="P414" s="1278"/>
      <c r="Q414" s="1278"/>
      <c r="R414" s="1278"/>
      <c r="S414" s="1278"/>
      <c r="T414" s="465" cm="1" t="str">
        <f t="array" ref="T414:T414">T413</f>
        <v>true</v>
      </c>
      <c r="U414" s="1278"/>
      <c r="V414" s="1278"/>
      <c r="W414" s="1278"/>
      <c r="X414" s="1563"/>
      <c r="Y414" s="1278"/>
      <c r="Z414" s="1546"/>
      <c r="AA414" s="1278"/>
      <c r="AB414" s="792" t="s">
        <v>443</v>
      </c>
      <c r="AC414" s="793" t="s">
        <v>2847</v>
      </c>
      <c r="AD414" s="794" t="s">
        <v>1514</v>
      </c>
      <c r="AE414" s="1246"/>
      <c r="AF414" s="1246"/>
      <c r="AG414" s="1246"/>
      <c r="AH414" s="761">
        <f>AG414-AF414</f>
        <v>0</v>
      </c>
      <c r="AI414" s="1246"/>
      <c r="AJ414" s="1246"/>
      <c r="AK414" s="1246"/>
      <c r="AL414" s="1246"/>
      <c r="AM414" s="1246"/>
      <c r="AN414" s="1246"/>
      <c r="AO414" s="1246"/>
      <c r="AP414" s="1246"/>
      <c r="AQ414" s="1246"/>
      <c r="AR414" s="1246"/>
      <c r="AS414" s="1246"/>
      <c r="AT414" s="1246"/>
      <c r="AU414" s="1246"/>
      <c r="AV414" s="1246"/>
      <c r="AW414" s="1246"/>
      <c r="AX414" s="1246"/>
      <c r="AY414" s="1246"/>
      <c r="AZ414" s="1246"/>
      <c r="BA414" s="1246"/>
      <c r="BB414" s="1246"/>
      <c r="BC414" s="1246"/>
      <c r="BD414" s="761">
        <f>IF(AI414=0,0,(AT414-AI414)/AI414*100)</f>
        <v>0</v>
      </c>
      <c r="BE414" s="761">
        <f>IF(AT414=0,0,(AU414-AT414)/AT414*100)</f>
        <v>0</v>
      </c>
      <c r="BF414" s="761">
        <f>IF(AU414=0,0,(AV414-AU414)/AU414*100)</f>
        <v>0</v>
      </c>
      <c r="BG414" s="761">
        <f>IF(AV414=0,0,(AW414-AV414)/AV414*100)</f>
        <v>0</v>
      </c>
      <c r="BH414" s="761">
        <f>IF(AW414=0,0,(AX414-AW414)/AW414*100)</f>
        <v>0</v>
      </c>
      <c r="BI414" s="761">
        <f>IF(AX414=0,0,(AY414-AX414)/AX414*100)</f>
        <v>0</v>
      </c>
      <c r="BJ414" s="761">
        <f>IF(AY414=0,0,(AZ414-AY414)/AY414*100)</f>
        <v>0</v>
      </c>
      <c r="BK414" s="761">
        <f>IF(AZ414=0,0,(BA414-AZ414)/AZ414*100)</f>
        <v>0</v>
      </c>
      <c r="BL414" s="761">
        <f>IF(BA414=0,0,(BB414-BA414)/BA414*100)</f>
        <v>0</v>
      </c>
      <c r="BM414" s="761">
        <f>IF(BB414=0,0,(BC414-BB414)/BB414*100)</f>
        <v>0</v>
      </c>
      <c r="BN414" s="1247"/>
      <c r="BO414" s="1247"/>
      <c r="BP414" s="1247"/>
      <c r="BQ414" s="1278"/>
      <c r="BR414" s="1278"/>
      <c r="BS414" s="1064" t="s">
        <v>2848</v>
      </c>
      <c r="BT414" s="1064"/>
      <c r="BU414" s="1064"/>
      <c r="BV414" s="979"/>
      <c r="BW414" s="979"/>
    </row>
    <row s="1834" customFormat="1" customHeight="1" ht="14.25" hidden="1">
      <c r="A415" s="1278"/>
      <c r="B415" s="975" cm="1" t="str">
        <f t="array" ref="B415:B415">B414</f>
        <v>false</v>
      </c>
      <c r="C415" s="1278"/>
      <c r="D415" s="1278"/>
      <c r="E415" s="703">
        <v>15</v>
      </c>
      <c r="F415" s="50" cm="1" t="str">
        <f t="array" ref="F415:F415">OFFSET(E415,-1,1)</f>
        <v>2</v>
      </c>
      <c r="G415" s="1278"/>
      <c r="H415" s="1278"/>
      <c r="I415" s="1278"/>
      <c r="J415" s="1278"/>
      <c r="K415" s="107" t="s">
        <v>1263</v>
      </c>
      <c r="L415" s="980"/>
      <c r="M415" s="107"/>
      <c r="N415" s="1278"/>
      <c r="O415" s="1278"/>
      <c r="P415" s="1278"/>
      <c r="Q415" s="1278"/>
      <c r="R415" s="1278"/>
      <c r="S415" s="1278"/>
      <c r="T415" s="465" cm="1" t="str">
        <f t="array" ref="T415:T415">T414</f>
        <v>true</v>
      </c>
      <c r="U415" s="1278"/>
      <c r="V415" s="1278"/>
      <c r="W415" s="1278"/>
      <c r="X415" s="1563"/>
      <c r="Y415" s="1278"/>
      <c r="Z415" s="1546"/>
      <c r="AA415" s="1278"/>
      <c r="AB415" s="795" t="s">
        <v>1391</v>
      </c>
      <c r="AC415" s="796" t="s">
        <v>2849</v>
      </c>
      <c r="AD415" s="797" t="s">
        <v>1514</v>
      </c>
      <c r="AE415" s="1253"/>
      <c r="AF415" s="1253"/>
      <c r="AG415" s="1253"/>
      <c r="AH415" s="942"/>
      <c r="AI415" s="1253"/>
      <c r="AJ415" s="1253"/>
      <c r="AK415" s="1253"/>
      <c r="AL415" s="1253"/>
      <c r="AM415" s="1253"/>
      <c r="AN415" s="1253"/>
      <c r="AO415" s="1253"/>
      <c r="AP415" s="1253"/>
      <c r="AQ415" s="1253"/>
      <c r="AR415" s="1253"/>
      <c r="AS415" s="1253"/>
      <c r="AT415" s="1253"/>
      <c r="AU415" s="1253"/>
      <c r="AV415" s="1253"/>
      <c r="AW415" s="1253"/>
      <c r="AX415" s="1253"/>
      <c r="AY415" s="1253"/>
      <c r="AZ415" s="1253"/>
      <c r="BA415" s="1253"/>
      <c r="BB415" s="1253"/>
      <c r="BC415" s="1253"/>
      <c r="BD415" s="942"/>
      <c r="BE415" s="942"/>
      <c r="BF415" s="942"/>
      <c r="BG415" s="942"/>
      <c r="BH415" s="942"/>
      <c r="BI415" s="942"/>
      <c r="BJ415" s="942"/>
      <c r="BK415" s="942"/>
      <c r="BL415" s="942"/>
      <c r="BM415" s="942"/>
      <c r="BN415" s="1251"/>
      <c r="BO415" s="1251"/>
      <c r="BP415" s="1251"/>
      <c r="BQ415" s="1278"/>
      <c r="BR415" s="1278"/>
      <c r="BS415" s="1064" t="s">
        <v>2850</v>
      </c>
      <c r="BT415" s="1064"/>
      <c r="BU415" s="1064"/>
      <c r="BV415" s="979"/>
      <c r="BW415" s="979"/>
    </row>
    <row s="1834" customFormat="1" customHeight="1" ht="14.25" hidden="1">
      <c r="A416" s="1278"/>
      <c r="B416" s="975" cm="1" t="str">
        <f t="array" ref="B416:B416">B415</f>
        <v>false</v>
      </c>
      <c r="C416" s="1278"/>
      <c r="D416" s="1278"/>
      <c r="E416" s="703">
        <v>15</v>
      </c>
      <c r="F416" s="50" cm="1" t="str">
        <f t="array" ref="F416:F416">OFFSET(E416,-1,1)</f>
        <v>2</v>
      </c>
      <c r="G416" s="1278"/>
      <c r="H416" s="1278"/>
      <c r="I416" s="1278"/>
      <c r="J416" s="1278"/>
      <c r="K416" s="107" t="s">
        <v>1267</v>
      </c>
      <c r="L416" s="980"/>
      <c r="M416" s="107"/>
      <c r="N416" s="1278"/>
      <c r="O416" s="1278"/>
      <c r="P416" s="1278"/>
      <c r="Q416" s="1278"/>
      <c r="R416" s="1278"/>
      <c r="S416" s="1278"/>
      <c r="T416" s="465" cm="1" t="str">
        <f t="array" ref="T416:T416">T415</f>
        <v>true</v>
      </c>
      <c r="U416" s="1278"/>
      <c r="V416" s="1278"/>
      <c r="W416" s="1278"/>
      <c r="X416" s="1563"/>
      <c r="Y416" s="1278"/>
      <c r="Z416" s="1546"/>
      <c r="AA416" s="1278"/>
      <c r="AB416" s="795" t="s">
        <v>1394</v>
      </c>
      <c r="AC416" s="796" t="s">
        <v>2851</v>
      </c>
      <c r="AD416" s="797" t="s">
        <v>1170</v>
      </c>
      <c r="AE416" s="1253"/>
      <c r="AF416" s="1253"/>
      <c r="AG416" s="1253"/>
      <c r="AH416" s="942"/>
      <c r="AI416" s="1253"/>
      <c r="AJ416" s="1253"/>
      <c r="AK416" s="1253"/>
      <c r="AL416" s="1253"/>
      <c r="AM416" s="1253"/>
      <c r="AN416" s="1253"/>
      <c r="AO416" s="1253"/>
      <c r="AP416" s="1253"/>
      <c r="AQ416" s="1253"/>
      <c r="AR416" s="1253"/>
      <c r="AS416" s="1253"/>
      <c r="AT416" s="1253"/>
      <c r="AU416" s="1253"/>
      <c r="AV416" s="1253"/>
      <c r="AW416" s="1253"/>
      <c r="AX416" s="1253"/>
      <c r="AY416" s="1253"/>
      <c r="AZ416" s="1253"/>
      <c r="BA416" s="1253"/>
      <c r="BB416" s="1253"/>
      <c r="BC416" s="1253"/>
      <c r="BD416" s="942"/>
      <c r="BE416" s="942"/>
      <c r="BF416" s="942"/>
      <c r="BG416" s="942"/>
      <c r="BH416" s="942"/>
      <c r="BI416" s="942"/>
      <c r="BJ416" s="942"/>
      <c r="BK416" s="942"/>
      <c r="BL416" s="942"/>
      <c r="BM416" s="942"/>
      <c r="BN416" s="1251"/>
      <c r="BO416" s="1251"/>
      <c r="BP416" s="1251"/>
      <c r="BQ416" s="1278"/>
      <c r="BR416" s="1278"/>
      <c r="BS416" s="1064" t="s">
        <v>2852</v>
      </c>
      <c r="BT416" s="1064"/>
      <c r="BU416" s="1064"/>
      <c r="BV416" s="979"/>
      <c r="BW416" s="979"/>
    </row>
    <row s="1834" customFormat="1" customHeight="1" ht="14.25" hidden="1">
      <c r="A417" s="1278"/>
      <c r="B417" s="975" cm="1" t="str">
        <f t="array" ref="B417:B417">B416</f>
        <v>false</v>
      </c>
      <c r="C417" s="1278"/>
      <c r="D417" s="1278"/>
      <c r="E417" s="703">
        <v>15</v>
      </c>
      <c r="F417" s="50" cm="1" t="str">
        <f t="array" ref="F417:F417">OFFSET(E417,-1,1)</f>
        <v>2</v>
      </c>
      <c r="G417" s="1278"/>
      <c r="H417" s="1278"/>
      <c r="I417" s="1278"/>
      <c r="J417" s="1278"/>
      <c r="K417" s="107" t="s">
        <v>1479</v>
      </c>
      <c r="L417" s="980"/>
      <c r="M417" s="107"/>
      <c r="N417" s="1278"/>
      <c r="O417" s="1278"/>
      <c r="P417" s="1278"/>
      <c r="Q417" s="1278"/>
      <c r="R417" s="1278"/>
      <c r="S417" s="1278"/>
      <c r="T417" s="465" cm="1" t="str">
        <f t="array" ref="T417:T417">T416</f>
        <v>true</v>
      </c>
      <c r="U417" s="1278"/>
      <c r="V417" s="1278"/>
      <c r="W417" s="1278"/>
      <c r="X417" s="1563"/>
      <c r="Y417" s="1278"/>
      <c r="Z417" s="1546"/>
      <c r="AA417" s="1278"/>
      <c r="AB417" s="795" t="s">
        <v>1683</v>
      </c>
      <c r="AC417" s="796" t="s">
        <v>2853</v>
      </c>
      <c r="AD417" s="797" t="s">
        <v>1514</v>
      </c>
      <c r="AE417" s="1253"/>
      <c r="AF417" s="1253"/>
      <c r="AG417" s="1253"/>
      <c r="AH417" s="942"/>
      <c r="AI417" s="1253"/>
      <c r="AJ417" s="1253"/>
      <c r="AK417" s="1253"/>
      <c r="AL417" s="1253"/>
      <c r="AM417" s="1253"/>
      <c r="AN417" s="1253"/>
      <c r="AO417" s="1253"/>
      <c r="AP417" s="1253"/>
      <c r="AQ417" s="1253"/>
      <c r="AR417" s="1253"/>
      <c r="AS417" s="1253"/>
      <c r="AT417" s="1253"/>
      <c r="AU417" s="1253"/>
      <c r="AV417" s="1253"/>
      <c r="AW417" s="1253"/>
      <c r="AX417" s="1253"/>
      <c r="AY417" s="1253"/>
      <c r="AZ417" s="1253"/>
      <c r="BA417" s="1253"/>
      <c r="BB417" s="1253"/>
      <c r="BC417" s="1253"/>
      <c r="BD417" s="942"/>
      <c r="BE417" s="942"/>
      <c r="BF417" s="942"/>
      <c r="BG417" s="942"/>
      <c r="BH417" s="942"/>
      <c r="BI417" s="942"/>
      <c r="BJ417" s="942"/>
      <c r="BK417" s="942"/>
      <c r="BL417" s="942"/>
      <c r="BM417" s="942"/>
      <c r="BN417" s="1251"/>
      <c r="BO417" s="1251"/>
      <c r="BP417" s="1251"/>
      <c r="BQ417" s="1278"/>
      <c r="BR417" s="1278"/>
      <c r="BS417" s="1064" t="s">
        <v>2854</v>
      </c>
      <c r="BT417" s="1064"/>
      <c r="BU417" s="1064"/>
      <c r="BV417" s="979"/>
      <c r="BW417" s="979"/>
    </row>
    <row s="1834" customFormat="1" customHeight="1" ht="14.25" hidden="1">
      <c r="A418" s="1278"/>
      <c r="B418" s="975" cm="1" t="str">
        <f t="array" ref="B418:B418">B417</f>
        <v>false</v>
      </c>
      <c r="C418" s="1278"/>
      <c r="D418" s="1278"/>
      <c r="E418" s="703">
        <v>15</v>
      </c>
      <c r="F418" s="50" cm="1" t="str">
        <f t="array" ref="F418:F418">OFFSET(E418,-1,1)</f>
        <v>2</v>
      </c>
      <c r="G418" s="1278"/>
      <c r="H418" s="1278"/>
      <c r="I418" s="1278"/>
      <c r="J418" s="1278"/>
      <c r="K418" s="107" t="s">
        <v>1685</v>
      </c>
      <c r="L418" s="980"/>
      <c r="M418" s="107"/>
      <c r="N418" s="1278"/>
      <c r="O418" s="1278"/>
      <c r="P418" s="1278"/>
      <c r="Q418" s="1278"/>
      <c r="R418" s="1278"/>
      <c r="S418" s="1278"/>
      <c r="T418" s="465" cm="1" t="str">
        <f t="array" ref="T418:T418">T417</f>
        <v>true</v>
      </c>
      <c r="U418" s="1278"/>
      <c r="V418" s="1278"/>
      <c r="W418" s="1278"/>
      <c r="X418" s="1563"/>
      <c r="Y418" s="1278"/>
      <c r="Z418" s="1546"/>
      <c r="AA418" s="1278"/>
      <c r="AB418" s="795" t="s">
        <v>1686</v>
      </c>
      <c r="AC418" s="796" t="s">
        <v>2855</v>
      </c>
      <c r="AD418" s="797" t="s">
        <v>1514</v>
      </c>
      <c r="AE418" s="1253"/>
      <c r="AF418" s="1253"/>
      <c r="AG418" s="1253"/>
      <c r="AH418" s="942"/>
      <c r="AI418" s="1253"/>
      <c r="AJ418" s="1253"/>
      <c r="AK418" s="1253"/>
      <c r="AL418" s="1253"/>
      <c r="AM418" s="1253"/>
      <c r="AN418" s="1253"/>
      <c r="AO418" s="1253"/>
      <c r="AP418" s="1253"/>
      <c r="AQ418" s="1253"/>
      <c r="AR418" s="1253"/>
      <c r="AS418" s="1253"/>
      <c r="AT418" s="1253"/>
      <c r="AU418" s="1253"/>
      <c r="AV418" s="1253"/>
      <c r="AW418" s="1253"/>
      <c r="AX418" s="1253"/>
      <c r="AY418" s="1253"/>
      <c r="AZ418" s="1253"/>
      <c r="BA418" s="1253"/>
      <c r="BB418" s="1253"/>
      <c r="BC418" s="1253"/>
      <c r="BD418" s="942"/>
      <c r="BE418" s="942"/>
      <c r="BF418" s="942"/>
      <c r="BG418" s="942"/>
      <c r="BH418" s="942"/>
      <c r="BI418" s="942"/>
      <c r="BJ418" s="942"/>
      <c r="BK418" s="942"/>
      <c r="BL418" s="942"/>
      <c r="BM418" s="942"/>
      <c r="BN418" s="1251"/>
      <c r="BO418" s="1251"/>
      <c r="BP418" s="1251"/>
      <c r="BQ418" s="1278"/>
      <c r="BR418" s="1278"/>
      <c r="BS418" s="1064" t="s">
        <v>2856</v>
      </c>
      <c r="BT418" s="1064"/>
      <c r="BU418" s="1064"/>
      <c r="BV418" s="979"/>
      <c r="BW418" s="979"/>
    </row>
    <row s="1834" customFormat="1" customHeight="1" ht="14.25" hidden="1">
      <c r="A419" s="1278"/>
      <c r="B419" s="975" cm="1" t="str">
        <f t="array" ref="B419:B419">B418</f>
        <v>false</v>
      </c>
      <c r="C419" s="1278"/>
      <c r="D419" s="1278"/>
      <c r="E419" s="703">
        <v>15</v>
      </c>
      <c r="F419" s="50" cm="1" t="str">
        <f t="array" ref="F419:F419">OFFSET(E419,-1,1)</f>
        <v>2</v>
      </c>
      <c r="G419" s="1278"/>
      <c r="H419" s="1278"/>
      <c r="I419" s="1278"/>
      <c r="J419" s="1278"/>
      <c r="K419" s="107" t="s">
        <v>2857</v>
      </c>
      <c r="L419" s="980"/>
      <c r="M419" s="107"/>
      <c r="N419" s="1278"/>
      <c r="O419" s="1278"/>
      <c r="P419" s="1278"/>
      <c r="Q419" s="1278"/>
      <c r="R419" s="1278"/>
      <c r="S419" s="1278"/>
      <c r="T419" s="465" cm="1" t="str">
        <f t="array" ref="T419:T419">T418</f>
        <v>true</v>
      </c>
      <c r="U419" s="1278"/>
      <c r="V419" s="1278"/>
      <c r="W419" s="1278"/>
      <c r="X419" s="1563"/>
      <c r="Y419" s="1278"/>
      <c r="Z419" s="1546"/>
      <c r="AA419" s="1278"/>
      <c r="AB419" s="795" t="s">
        <v>2858</v>
      </c>
      <c r="AC419" s="798" t="s">
        <v>2859</v>
      </c>
      <c r="AD419" s="797" t="s">
        <v>1170</v>
      </c>
      <c r="AE419" s="1253"/>
      <c r="AF419" s="1253"/>
      <c r="AG419" s="1253"/>
      <c r="AH419" s="942"/>
      <c r="AI419" s="1253"/>
      <c r="AJ419" s="1253"/>
      <c r="AK419" s="1253"/>
      <c r="AL419" s="1253"/>
      <c r="AM419" s="1253"/>
      <c r="AN419" s="1253"/>
      <c r="AO419" s="1253"/>
      <c r="AP419" s="1253"/>
      <c r="AQ419" s="1253"/>
      <c r="AR419" s="1253"/>
      <c r="AS419" s="1253"/>
      <c r="AT419" s="1253"/>
      <c r="AU419" s="1253"/>
      <c r="AV419" s="1253"/>
      <c r="AW419" s="1253"/>
      <c r="AX419" s="1253"/>
      <c r="AY419" s="1253"/>
      <c r="AZ419" s="1253"/>
      <c r="BA419" s="1253"/>
      <c r="BB419" s="1253"/>
      <c r="BC419" s="1253"/>
      <c r="BD419" s="942"/>
      <c r="BE419" s="942"/>
      <c r="BF419" s="942"/>
      <c r="BG419" s="942"/>
      <c r="BH419" s="942"/>
      <c r="BI419" s="942"/>
      <c r="BJ419" s="942"/>
      <c r="BK419" s="942"/>
      <c r="BL419" s="942"/>
      <c r="BM419" s="942"/>
      <c r="BN419" s="1251"/>
      <c r="BO419" s="1251"/>
      <c r="BP419" s="1251"/>
      <c r="BQ419" s="1278"/>
      <c r="BR419" s="1278"/>
      <c r="BS419" s="1064" t="s">
        <v>2860</v>
      </c>
      <c r="BT419" s="1064"/>
      <c r="BU419" s="1064"/>
      <c r="BV419" s="979"/>
      <c r="BW419" s="979"/>
    </row>
    <row s="1834" customFormat="1" customHeight="1" ht="14.25" hidden="1">
      <c r="A420" s="1278"/>
      <c r="B420" s="975" cm="1" t="str">
        <f t="array" ref="B420:B420">B419</f>
        <v>false</v>
      </c>
      <c r="C420" s="1278"/>
      <c r="D420" s="1278"/>
      <c r="E420" s="703">
        <v>15</v>
      </c>
      <c r="F420" s="50" cm="1" t="str">
        <f t="array" ref="F420:F420">OFFSET(E420,-1,1)</f>
        <v>2</v>
      </c>
      <c r="G420" s="1278"/>
      <c r="H420" s="1278"/>
      <c r="I420" s="1278"/>
      <c r="J420" s="1278"/>
      <c r="K420" s="107" t="s">
        <v>1688</v>
      </c>
      <c r="L420" s="980"/>
      <c r="M420" s="107"/>
      <c r="N420" s="1278"/>
      <c r="O420" s="1278"/>
      <c r="P420" s="1278"/>
      <c r="Q420" s="1278"/>
      <c r="R420" s="1278"/>
      <c r="S420" s="1278"/>
      <c r="T420" s="465" cm="1" t="str">
        <f t="array" ref="T420:T420">T419</f>
        <v>true</v>
      </c>
      <c r="U420" s="1278"/>
      <c r="V420" s="1278"/>
      <c r="W420" s="1278"/>
      <c r="X420" s="1563"/>
      <c r="Y420" s="1278"/>
      <c r="Z420" s="1546"/>
      <c r="AA420" s="1278"/>
      <c r="AB420" s="795" t="s">
        <v>1689</v>
      </c>
      <c r="AC420" s="796" t="s">
        <v>2861</v>
      </c>
      <c r="AD420" s="797" t="s">
        <v>1170</v>
      </c>
      <c r="AE420" s="1253"/>
      <c r="AF420" s="1253"/>
      <c r="AG420" s="1253"/>
      <c r="AH420" s="942"/>
      <c r="AI420" s="1253"/>
      <c r="AJ420" s="1253"/>
      <c r="AK420" s="1253"/>
      <c r="AL420" s="1253"/>
      <c r="AM420" s="1253"/>
      <c r="AN420" s="1253"/>
      <c r="AO420" s="1253"/>
      <c r="AP420" s="1253"/>
      <c r="AQ420" s="1253"/>
      <c r="AR420" s="1253"/>
      <c r="AS420" s="1253"/>
      <c r="AT420" s="1253"/>
      <c r="AU420" s="1253"/>
      <c r="AV420" s="1253"/>
      <c r="AW420" s="1253"/>
      <c r="AX420" s="1253"/>
      <c r="AY420" s="1253"/>
      <c r="AZ420" s="1253"/>
      <c r="BA420" s="1253"/>
      <c r="BB420" s="1253"/>
      <c r="BC420" s="1253"/>
      <c r="BD420" s="942"/>
      <c r="BE420" s="942"/>
      <c r="BF420" s="942"/>
      <c r="BG420" s="942"/>
      <c r="BH420" s="942"/>
      <c r="BI420" s="942"/>
      <c r="BJ420" s="942"/>
      <c r="BK420" s="942"/>
      <c r="BL420" s="942"/>
      <c r="BM420" s="942"/>
      <c r="BN420" s="1251"/>
      <c r="BO420" s="1251"/>
      <c r="BP420" s="1251"/>
      <c r="BQ420" s="1278"/>
      <c r="BR420" s="1278"/>
      <c r="BS420" s="1064" t="s">
        <v>2862</v>
      </c>
      <c r="BT420" s="1064"/>
      <c r="BU420" s="1064"/>
      <c r="BV420" s="979"/>
      <c r="BW420" s="979"/>
    </row>
    <row s="1834" customFormat="1" customHeight="1" ht="14.25" hidden="1">
      <c r="A421" s="1278"/>
      <c r="B421" s="975" cm="1" t="str">
        <f t="array" ref="B421:B421">B420</f>
        <v>false</v>
      </c>
      <c r="C421" s="1278"/>
      <c r="D421" s="1278"/>
      <c r="E421" s="703">
        <v>15</v>
      </c>
      <c r="F421" s="50" cm="1" t="str">
        <f t="array" ref="F421:F421">OFFSET(E421,-1,1)</f>
        <v>2</v>
      </c>
      <c r="G421" s="1278"/>
      <c r="H421" s="1278"/>
      <c r="I421" s="1278"/>
      <c r="J421" s="1278"/>
      <c r="K421" s="107" t="s">
        <v>2863</v>
      </c>
      <c r="L421" s="980"/>
      <c r="M421" s="107"/>
      <c r="N421" s="1278"/>
      <c r="O421" s="1278"/>
      <c r="P421" s="1278"/>
      <c r="Q421" s="1278"/>
      <c r="R421" s="1278"/>
      <c r="S421" s="1278"/>
      <c r="T421" s="465" cm="1" t="str">
        <f t="array" ref="T421:T421">T420</f>
        <v>true</v>
      </c>
      <c r="U421" s="1278"/>
      <c r="V421" s="1278"/>
      <c r="W421" s="1278"/>
      <c r="X421" s="1563"/>
      <c r="Y421" s="1278"/>
      <c r="Z421" s="1546"/>
      <c r="AA421" s="1278"/>
      <c r="AB421" s="795" t="s">
        <v>2864</v>
      </c>
      <c r="AC421" s="798" t="s">
        <v>2865</v>
      </c>
      <c r="AD421" s="797" t="s">
        <v>1170</v>
      </c>
      <c r="AE421" s="1253"/>
      <c r="AF421" s="1253"/>
      <c r="AG421" s="1253"/>
      <c r="AH421" s="942"/>
      <c r="AI421" s="1253"/>
      <c r="AJ421" s="1253"/>
      <c r="AK421" s="1253"/>
      <c r="AL421" s="1253"/>
      <c r="AM421" s="1253"/>
      <c r="AN421" s="1253"/>
      <c r="AO421" s="1253"/>
      <c r="AP421" s="1253"/>
      <c r="AQ421" s="1253"/>
      <c r="AR421" s="1253"/>
      <c r="AS421" s="1253"/>
      <c r="AT421" s="1253"/>
      <c r="AU421" s="1253"/>
      <c r="AV421" s="1253"/>
      <c r="AW421" s="1253"/>
      <c r="AX421" s="1253"/>
      <c r="AY421" s="1253"/>
      <c r="AZ421" s="1253"/>
      <c r="BA421" s="1253"/>
      <c r="BB421" s="1253"/>
      <c r="BC421" s="1253"/>
      <c r="BD421" s="942"/>
      <c r="BE421" s="942"/>
      <c r="BF421" s="942"/>
      <c r="BG421" s="942"/>
      <c r="BH421" s="942"/>
      <c r="BI421" s="942"/>
      <c r="BJ421" s="942"/>
      <c r="BK421" s="942"/>
      <c r="BL421" s="942"/>
      <c r="BM421" s="942"/>
      <c r="BN421" s="1251"/>
      <c r="BO421" s="1251"/>
      <c r="BP421" s="1251"/>
      <c r="BQ421" s="1278"/>
      <c r="BR421" s="1278"/>
      <c r="BS421" s="1064" t="s">
        <v>2866</v>
      </c>
      <c r="BT421" s="1064"/>
      <c r="BU421" s="1064"/>
      <c r="BV421" s="979"/>
      <c r="BW421" s="979"/>
    </row>
    <row s="1834" customFormat="1" customHeight="1" ht="14.25" hidden="1">
      <c r="A422" s="1278"/>
      <c r="B422" s="975" cm="1" t="str">
        <f t="array" ref="B422:B422">B421</f>
        <v>false</v>
      </c>
      <c r="C422" s="1278"/>
      <c r="D422" s="1278"/>
      <c r="E422" s="703">
        <v>15</v>
      </c>
      <c r="F422" s="50" cm="1" t="str">
        <f t="array" ref="F422:F422">OFFSET(E422,-1,1)</f>
        <v>2</v>
      </c>
      <c r="G422" s="1278"/>
      <c r="H422" s="1278"/>
      <c r="I422" s="1278"/>
      <c r="J422" s="1278"/>
      <c r="K422" s="107" t="s">
        <v>2867</v>
      </c>
      <c r="L422" s="980"/>
      <c r="M422" s="107"/>
      <c r="N422" s="1278"/>
      <c r="O422" s="1278"/>
      <c r="P422" s="1278"/>
      <c r="Q422" s="1278"/>
      <c r="R422" s="1278"/>
      <c r="S422" s="1278"/>
      <c r="T422" s="465" cm="1" t="str">
        <f t="array" ref="T422:T422">T421</f>
        <v>true</v>
      </c>
      <c r="U422" s="1278"/>
      <c r="V422" s="1278"/>
      <c r="W422" s="1278"/>
      <c r="X422" s="1563"/>
      <c r="Y422" s="1278"/>
      <c r="Z422" s="1546"/>
      <c r="AA422" s="1278"/>
      <c r="AB422" s="795" t="s">
        <v>2868</v>
      </c>
      <c r="AC422" s="798" t="s">
        <v>2869</v>
      </c>
      <c r="AD422" s="797" t="s">
        <v>1170</v>
      </c>
      <c r="AE422" s="1253"/>
      <c r="AF422" s="1253"/>
      <c r="AG422" s="1253"/>
      <c r="AH422" s="942"/>
      <c r="AI422" s="1253"/>
      <c r="AJ422" s="1253"/>
      <c r="AK422" s="1253"/>
      <c r="AL422" s="1253"/>
      <c r="AM422" s="1253"/>
      <c r="AN422" s="1253"/>
      <c r="AO422" s="1253"/>
      <c r="AP422" s="1253"/>
      <c r="AQ422" s="1253"/>
      <c r="AR422" s="1253"/>
      <c r="AS422" s="1253"/>
      <c r="AT422" s="1253"/>
      <c r="AU422" s="1253"/>
      <c r="AV422" s="1253"/>
      <c r="AW422" s="1253"/>
      <c r="AX422" s="1253"/>
      <c r="AY422" s="1253"/>
      <c r="AZ422" s="1253"/>
      <c r="BA422" s="1253"/>
      <c r="BB422" s="1253"/>
      <c r="BC422" s="1253"/>
      <c r="BD422" s="942"/>
      <c r="BE422" s="942"/>
      <c r="BF422" s="942"/>
      <c r="BG422" s="942"/>
      <c r="BH422" s="942"/>
      <c r="BI422" s="942"/>
      <c r="BJ422" s="942"/>
      <c r="BK422" s="942"/>
      <c r="BL422" s="942"/>
      <c r="BM422" s="942"/>
      <c r="BN422" s="1251"/>
      <c r="BO422" s="1251"/>
      <c r="BP422" s="1251"/>
      <c r="BQ422" s="1278"/>
      <c r="BR422" s="1278"/>
      <c r="BS422" s="1064" t="s">
        <v>2870</v>
      </c>
      <c r="BT422" s="1064"/>
      <c r="BU422" s="1064"/>
      <c r="BV422" s="979"/>
      <c r="BW422" s="979"/>
    </row>
    <row s="7842" customFormat="1" customHeight="1" ht="20.25">
      <c r="A423" s="700"/>
      <c r="B423" s="435"/>
      <c r="C423" s="700"/>
      <c r="D423" s="109" t="str">
        <f>IF(B422,"6","7")</f>
        <v>7</v>
      </c>
      <c r="E423" s="707">
        <v>21</v>
      </c>
      <c r="F423" s="50" cm="1" t="str">
        <f t="array" ref="F423:F423">OFFSET(E423,-1,1)</f>
        <v>2</v>
      </c>
      <c r="G423" s="158" t="s">
        <v>2871</v>
      </c>
      <c r="H423" s="158"/>
      <c r="I423" s="380" t="s">
        <v>2872</v>
      </c>
      <c r="J423" s="700"/>
      <c r="K423" s="380" t="s">
        <v>2872</v>
      </c>
      <c r="L423" s="985"/>
      <c r="M423" s="109"/>
      <c r="N423" s="700"/>
      <c r="O423" s="700"/>
      <c r="P423" s="700"/>
      <c r="Q423" s="700"/>
      <c r="R423" s="700"/>
      <c r="S423" s="700"/>
      <c r="T423" s="465" cm="1" t="str">
        <f t="array" ref="T423:T423">T422</f>
        <v>true</v>
      </c>
      <c r="U423" s="700"/>
      <c r="V423" s="700"/>
      <c r="W423" s="700"/>
      <c r="X423" s="1563"/>
      <c r="Y423" s="700"/>
      <c r="Z423" s="1546"/>
      <c r="AA423" s="700"/>
      <c r="AB423" s="211" cm="1" t="str">
        <f t="array" ref="AB423:AB423">D423</f>
        <v>7</v>
      </c>
      <c r="AC423" s="219" t="s">
        <v>2323</v>
      </c>
      <c r="AD423" s="211" t="s">
        <v>1514</v>
      </c>
      <c r="AE423" s="7432"/>
      <c r="AF423" s="7432"/>
      <c r="AG423" s="7432"/>
      <c r="AH423" s="761">
        <f>AG423-AF423</f>
        <v>0</v>
      </c>
      <c r="AI423" s="7719"/>
      <c r="AJ423" s="7782">
        <f>_xlfn.SUMIFS('Корректировка НВВ'!$AF$25:$AF$282,'Корректировка НВВ'!$F$25:$F$282,$F423,'Корректировка НВВ'!$I$25:$I$282,$G423)</f>
        <v>0</v>
      </c>
      <c r="AK423" s="7719"/>
      <c r="AL423" s="7719"/>
      <c r="AM423" s="7719"/>
      <c r="AN423" s="7719"/>
      <c r="AO423" s="1246"/>
      <c r="AP423" s="1246"/>
      <c r="AQ423" s="1246"/>
      <c r="AR423" s="1246"/>
      <c r="AS423" s="1246"/>
      <c r="AT423" s="7782">
        <f>_xlfn.SUMIFS('Корректировка НВВ'!$AG$25:$AG$282,'Корректировка НВВ'!$F$25:$F$282,$F423,'Корректировка НВВ'!$I$25:$I$282,$G423)</f>
        <v>0</v>
      </c>
      <c r="AU423" s="7719"/>
      <c r="AV423" s="7719"/>
      <c r="AW423" s="7719"/>
      <c r="AX423" s="7719"/>
      <c r="AY423" s="1246"/>
      <c r="AZ423" s="1246"/>
      <c r="BA423" s="1246"/>
      <c r="BB423" s="1246"/>
      <c r="BC423" s="1246"/>
      <c r="BD423" s="761">
        <f>IF(AI423=0,0,(AT423-AI423)/AI423*100)</f>
        <v>0</v>
      </c>
      <c r="BE423" s="761">
        <f>IF(AT423=0,0,(AU423-AT423)/AT423*100)</f>
        <v>0</v>
      </c>
      <c r="BF423" s="761">
        <f>IF(AU423=0,0,(AV423-AU423)/AU423*100)</f>
        <v>0</v>
      </c>
      <c r="BG423" s="761">
        <f>IF(AV423=0,0,(AW423-AV423)/AV423*100)</f>
        <v>0</v>
      </c>
      <c r="BH423" s="761">
        <f>IF(AW423=0,0,(AX423-AW423)/AW423*100)</f>
        <v>0</v>
      </c>
      <c r="BI423" s="761">
        <f>IF(AX423=0,0,(AY423-AX423)/AX423*100)</f>
        <v>0</v>
      </c>
      <c r="BJ423" s="761">
        <f>IF(AY423=0,0,(AZ423-AY423)/AY423*100)</f>
        <v>0</v>
      </c>
      <c r="BK423" s="761">
        <f>IF(AZ423=0,0,(BA423-AZ423)/AZ423*100)</f>
        <v>0</v>
      </c>
      <c r="BL423" s="761">
        <f>IF(BA423=0,0,(BB423-BA423)/BA423*100)</f>
        <v>0</v>
      </c>
      <c r="BM423" s="761">
        <f>IF(BB423=0,0,(BC423-BB423)/BB423*100)</f>
        <v>0</v>
      </c>
      <c r="BN423" s="7436"/>
      <c r="BO423" s="7724" t="str">
        <f>IF(_xlfn.IFERROR(INDEX('Корректировка НВВ'!$K$26:$L$282,MATCH($F423&amp;"11komm",'Корректировка НВВ'!$K$26:$K$282,0),2),"")=0,"",_xlfn.IFERROR(INDEX('Корректировка НВВ'!$K$26:$L$282,MATCH($F423&amp;"11komm",'Корректировка НВВ'!$K$26:$K$282,0),2),""))</f>
        <v/>
      </c>
      <c r="BP423" s="7436"/>
      <c r="BQ423" s="700"/>
      <c r="BR423" s="700"/>
      <c r="BS423" s="1070" t="s">
        <v>2873</v>
      </c>
      <c r="BT423" s="1070"/>
      <c r="BU423" s="1070"/>
      <c r="BV423" s="707"/>
      <c r="BW423" s="707"/>
    </row>
    <row s="1834" customFormat="1" customHeight="1" ht="14.25">
      <c r="A424" s="1278"/>
      <c r="B424" s="978"/>
      <c r="C424" s="1278"/>
      <c r="D424" s="107" cm="1" t="str">
        <f t="array" ref="D424:D424">D423</f>
        <v>7</v>
      </c>
      <c r="E424" s="703">
        <v>15</v>
      </c>
      <c r="F424" s="50" cm="1" t="str">
        <f t="array" ref="F424:F424">OFFSET(E424,-1,1)</f>
        <v>2</v>
      </c>
      <c r="G424" s="1278"/>
      <c r="H424" s="1278"/>
      <c r="I424" s="1278"/>
      <c r="J424" s="1278"/>
      <c r="K424" s="1278"/>
      <c r="L424" s="980"/>
      <c r="M424" s="107"/>
      <c r="N424" s="1278"/>
      <c r="O424" s="1278"/>
      <c r="P424" s="1278"/>
      <c r="Q424" s="1278"/>
      <c r="R424" s="1278"/>
      <c r="S424" s="1278"/>
      <c r="T424" s="465" cm="1" t="str">
        <f t="array" ref="T424:T424">T423</f>
        <v>true</v>
      </c>
      <c r="U424" s="1278"/>
      <c r="V424" s="1278"/>
      <c r="W424" s="1278"/>
      <c r="X424" s="1563"/>
      <c r="Y424" s="1278"/>
      <c r="Z424" s="1546"/>
      <c r="AA424" s="1278"/>
      <c r="AB424" s="300"/>
      <c r="AC424" s="452" t="s">
        <v>2874</v>
      </c>
      <c r="AD424" s="300"/>
      <c r="AE424" s="945"/>
      <c r="AF424" s="945"/>
      <c r="AG424" s="945"/>
      <c r="AH424" s="942"/>
      <c r="AI424" s="942"/>
      <c r="AJ424" s="942"/>
      <c r="AK424" s="942"/>
      <c r="AL424" s="942"/>
      <c r="AM424" s="942"/>
      <c r="AN424" s="942"/>
      <c r="AO424" s="942"/>
      <c r="AP424" s="942"/>
      <c r="AQ424" s="942"/>
      <c r="AR424" s="942"/>
      <c r="AS424" s="942"/>
      <c r="AT424" s="942"/>
      <c r="AU424" s="942"/>
      <c r="AV424" s="942"/>
      <c r="AW424" s="942"/>
      <c r="AX424" s="942"/>
      <c r="AY424" s="942"/>
      <c r="AZ424" s="942"/>
      <c r="BA424" s="942"/>
      <c r="BB424" s="942"/>
      <c r="BC424" s="942"/>
      <c r="BD424" s="942"/>
      <c r="BE424" s="942"/>
      <c r="BF424" s="942"/>
      <c r="BG424" s="942"/>
      <c r="BH424" s="942"/>
      <c r="BI424" s="942"/>
      <c r="BJ424" s="942"/>
      <c r="BK424" s="942"/>
      <c r="BL424" s="942"/>
      <c r="BM424" s="942"/>
      <c r="BN424" s="526"/>
      <c r="BO424" s="526"/>
      <c r="BP424" s="526"/>
      <c r="BQ424" s="1278"/>
      <c r="BR424" s="1278"/>
      <c r="BS424" s="1064"/>
      <c r="BT424" s="1064"/>
      <c r="BU424" s="1064"/>
      <c r="BV424" s="979"/>
      <c r="BW424" s="979"/>
    </row>
    <row s="1834" customFormat="1" customHeight="1" ht="21.75">
      <c r="A425" s="1278"/>
      <c r="B425" s="978"/>
      <c r="C425" s="1278"/>
      <c r="D425" s="107" cm="1" t="str">
        <f t="array" ref="D425:D425">D424</f>
        <v>7</v>
      </c>
      <c r="E425" s="703">
        <v>22.5</v>
      </c>
      <c r="F425" s="50" cm="1" t="str">
        <f t="array" ref="F425:F425">OFFSET(E425,-1,1)</f>
        <v>2</v>
      </c>
      <c r="G425" s="158" t="s">
        <v>375</v>
      </c>
      <c r="H425" s="1278"/>
      <c r="I425" s="158" t="s">
        <v>1228</v>
      </c>
      <c r="J425" s="1278"/>
      <c r="K425" s="158" t="s">
        <v>1228</v>
      </c>
      <c r="L425" s="980"/>
      <c r="M425" s="107"/>
      <c r="N425" s="1278"/>
      <c r="O425" s="1278"/>
      <c r="P425" s="1278"/>
      <c r="Q425" s="1278"/>
      <c r="R425" s="1278"/>
      <c r="S425" s="1278"/>
      <c r="T425" s="465" cm="1" t="str">
        <f t="array" ref="T425:T425">T424</f>
        <v>true</v>
      </c>
      <c r="U425" s="1278"/>
      <c r="V425" s="1278"/>
      <c r="W425" s="1278"/>
      <c r="X425" s="1563"/>
      <c r="Y425" s="1278"/>
      <c r="Z425" s="1546"/>
      <c r="AA425" s="1278"/>
      <c r="AB425" s="300" t="str">
        <f>D425&amp;".1"</f>
        <v>7.1</v>
      </c>
      <c r="AC425" s="762" t="s">
        <v>2875</v>
      </c>
      <c r="AD425" s="300" t="s">
        <v>1514</v>
      </c>
      <c r="AE425" s="7773"/>
      <c r="AF425" s="7773"/>
      <c r="AG425" s="7773"/>
      <c r="AH425" s="943">
        <f>AG425-AF425</f>
        <v>0</v>
      </c>
      <c r="AI425" s="7723"/>
      <c r="AJ425" s="7723">
        <f>_xlfn.SUMIFS('Корректировка НВВ'!$AF$25:$AF$282,'Корректировка НВВ'!$F$25:$F$282,$F425,'Корректировка НВВ'!$I$25:$I$282,$G425)</f>
        <v>0</v>
      </c>
      <c r="AK425" s="7723"/>
      <c r="AL425" s="7723"/>
      <c r="AM425" s="7723"/>
      <c r="AN425" s="7723"/>
      <c r="AO425" s="1253"/>
      <c r="AP425" s="1253"/>
      <c r="AQ425" s="1253"/>
      <c r="AR425" s="1253"/>
      <c r="AS425" s="1253"/>
      <c r="AT425" s="7723">
        <f>_xlfn.SUMIFS('Корректировка НВВ'!$AG$25:$AG$282,'Корректировка НВВ'!$F$25:$F$282,$F425,'Корректировка НВВ'!$I$25:$I$282,$G425)</f>
        <v>0</v>
      </c>
      <c r="AU425" s="7723"/>
      <c r="AV425" s="7723"/>
      <c r="AW425" s="7723"/>
      <c r="AX425" s="7723"/>
      <c r="AY425" s="1253"/>
      <c r="AZ425" s="1253"/>
      <c r="BA425" s="1253"/>
      <c r="BB425" s="1253"/>
      <c r="BC425" s="1253"/>
      <c r="BD425" s="942"/>
      <c r="BE425" s="942"/>
      <c r="BF425" s="942"/>
      <c r="BG425" s="942"/>
      <c r="BH425" s="942"/>
      <c r="BI425" s="942"/>
      <c r="BJ425" s="942"/>
      <c r="BK425" s="942"/>
      <c r="BL425" s="942"/>
      <c r="BM425" s="942"/>
      <c r="BN425" s="7771"/>
      <c r="BO425" s="7724" t="str">
        <f>IF(_xlfn.IFERROR(INDEX('Корректировка НВВ'!$K$26:$L$282,MATCH($F425&amp;"1komm",'Корректировка НВВ'!$K$26:$K$282,0),2),"")=0,"",_xlfn.IFERROR(INDEX('Корректировка НВВ'!$K$26:$L$282,MATCH($F425&amp;"1komm",'Корректировка НВВ'!$K$26:$K$282,0),2),""))</f>
        <v/>
      </c>
      <c r="BP425" s="7771"/>
      <c r="BQ425" s="1278"/>
      <c r="BR425" s="1278"/>
      <c r="BS425" s="1064" t="s">
        <v>2876</v>
      </c>
      <c r="BT425" s="1064"/>
      <c r="BU425" s="1064"/>
      <c r="BV425" s="979"/>
      <c r="BW425" s="979"/>
    </row>
    <row s="1834" customFormat="1" customHeight="1" ht="98.25">
      <c r="A426" s="1278"/>
      <c r="B426" s="978"/>
      <c r="C426" s="1278"/>
      <c r="D426" s="107" cm="1" t="str">
        <f t="array" ref="D426:D426">D425</f>
        <v>7</v>
      </c>
      <c r="E426" s="703">
        <v>101.25</v>
      </c>
      <c r="F426" s="50" cm="1" t="str">
        <f t="array" ref="F426:F426">OFFSET(E426,-1,1)</f>
        <v>2</v>
      </c>
      <c r="G426" s="158" t="s">
        <v>2877</v>
      </c>
      <c r="H426" s="1278"/>
      <c r="I426" s="158" t="s">
        <v>1275</v>
      </c>
      <c r="J426" s="1278"/>
      <c r="K426" s="158" t="s">
        <v>1275</v>
      </c>
      <c r="L426" s="980"/>
      <c r="M426" s="107"/>
      <c r="N426" s="1278"/>
      <c r="O426" s="1278"/>
      <c r="P426" s="1278"/>
      <c r="Q426" s="1278"/>
      <c r="R426" s="1278"/>
      <c r="S426" s="1278"/>
      <c r="T426" s="465" cm="1" t="str">
        <f t="array" ref="T426:T426">T425</f>
        <v>true</v>
      </c>
      <c r="U426" s="1278"/>
      <c r="V426" s="1278"/>
      <c r="W426" s="1278"/>
      <c r="X426" s="1563"/>
      <c r="Y426" s="1278"/>
      <c r="Z426" s="1546"/>
      <c r="AA426" s="1278"/>
      <c r="AB426" s="300" t="str">
        <f>D426&amp;".2"</f>
        <v>7.2</v>
      </c>
      <c r="AC426" s="762" t="s">
        <v>2878</v>
      </c>
      <c r="AD426" s="300" t="s">
        <v>1514</v>
      </c>
      <c r="AE426" s="7773"/>
      <c r="AF426" s="7773"/>
      <c r="AG426" s="7773"/>
      <c r="AH426" s="943">
        <f>AG426-AF426</f>
        <v>0</v>
      </c>
      <c r="AI426" s="7723"/>
      <c r="AJ426" s="7723">
        <f>_xlfn.SUMIFS('Корректировка НВВ'!$AF$25:$AF$282,'Корректировка НВВ'!$F$25:$F$282,$F426,'Корректировка НВВ'!$I$25:$I$282,$G426)</f>
        <v>0</v>
      </c>
      <c r="AK426" s="7723"/>
      <c r="AL426" s="7723"/>
      <c r="AM426" s="7723"/>
      <c r="AN426" s="7723"/>
      <c r="AO426" s="1253"/>
      <c r="AP426" s="1253"/>
      <c r="AQ426" s="1253"/>
      <c r="AR426" s="1253"/>
      <c r="AS426" s="1253"/>
      <c r="AT426" s="7723">
        <f>_xlfn.SUMIFS('Корректировка НВВ'!$AG$25:$AG$282,'Корректировка НВВ'!$F$25:$F$282,$F426,'Корректировка НВВ'!$I$25:$I$282,$G426)</f>
        <v>0</v>
      </c>
      <c r="AU426" s="7723"/>
      <c r="AV426" s="7723"/>
      <c r="AW426" s="7723"/>
      <c r="AX426" s="7723"/>
      <c r="AY426" s="1253"/>
      <c r="AZ426" s="1253"/>
      <c r="BA426" s="1253"/>
      <c r="BB426" s="1253"/>
      <c r="BC426" s="1253"/>
      <c r="BD426" s="942"/>
      <c r="BE426" s="942"/>
      <c r="BF426" s="942"/>
      <c r="BG426" s="942"/>
      <c r="BH426" s="942"/>
      <c r="BI426" s="942"/>
      <c r="BJ426" s="942"/>
      <c r="BK426" s="942"/>
      <c r="BL426" s="942"/>
      <c r="BM426" s="942"/>
      <c r="BN426" s="7771"/>
      <c r="BO426" s="7724" t="str">
        <f>IF(_xlfn.IFERROR(INDEX('Корректировка НВВ'!$K$26:$L$282,MATCH($F426&amp;"2komm",'Корректировка НВВ'!$K$26:$K$282,0),2),"")=0,"",_xlfn.IFERROR(INDEX('Корректировка НВВ'!$K$26:$L$282,MATCH($F426&amp;"2komm",'Корректировка НВВ'!$K$26:$K$282,0),2),""))</f>
        <v/>
      </c>
      <c r="BP426" s="7771"/>
      <c r="BQ426" s="1278"/>
      <c r="BR426" s="1278"/>
      <c r="BS426" s="1064" t="s">
        <v>2879</v>
      </c>
      <c r="BT426" s="1064"/>
      <c r="BU426" s="1064"/>
      <c r="BV426" s="979"/>
      <c r="BW426" s="979"/>
    </row>
    <row s="1834" customFormat="1" customHeight="1" ht="43.5">
      <c r="A427" s="1278"/>
      <c r="B427" s="978"/>
      <c r="C427" s="1278"/>
      <c r="D427" s="107" cm="1" t="str">
        <f t="array" ref="D427:D427">D426</f>
        <v>7</v>
      </c>
      <c r="E427" s="703">
        <v>45</v>
      </c>
      <c r="F427" s="50" cm="1" t="str">
        <f t="array" ref="F427:F427">OFFSET(E427,-1,1)</f>
        <v>2</v>
      </c>
      <c r="G427" s="1278"/>
      <c r="H427" s="1278"/>
      <c r="I427" s="158" t="s">
        <v>1290</v>
      </c>
      <c r="J427" s="1278"/>
      <c r="K427" s="158" t="s">
        <v>1290</v>
      </c>
      <c r="L427" s="980"/>
      <c r="M427" s="107"/>
      <c r="N427" s="1278"/>
      <c r="O427" s="1278"/>
      <c r="P427" s="1278"/>
      <c r="Q427" s="1278"/>
      <c r="R427" s="1278"/>
      <c r="S427" s="1278"/>
      <c r="T427" s="465" cm="1" t="str">
        <f t="array" ref="T427:T427">T426</f>
        <v>true</v>
      </c>
      <c r="U427" s="1278"/>
      <c r="V427" s="1278"/>
      <c r="W427" s="1278"/>
      <c r="X427" s="1563"/>
      <c r="Y427" s="1278"/>
      <c r="Z427" s="1546"/>
      <c r="AA427" s="1278"/>
      <c r="AB427" s="300" t="str">
        <f>D427&amp;".3"</f>
        <v>7.3</v>
      </c>
      <c r="AC427" s="762" t="s">
        <v>2880</v>
      </c>
      <c r="AD427" s="300" t="s">
        <v>1514</v>
      </c>
      <c r="AE427" s="7773"/>
      <c r="AF427" s="7773"/>
      <c r="AG427" s="7773"/>
      <c r="AH427" s="943">
        <f>AG427-AF427</f>
        <v>0</v>
      </c>
      <c r="AI427" s="7723"/>
      <c r="AJ427" s="7723">
        <f>_xlfn.SUMIFS('Корректировка НВВ'!$AF$25:$AF$282,'Корректировка НВВ'!$F$25:$F$282,$F427,'Корректировка НВВ'!$I$25:$I$282,"L1")+_xlfn.SUMIFS('Корректировка НВВ'!$AF$25:$AF$282,'Корректировка НВВ'!$F$25:$F$282,$F427,'Корректировка НВВ'!$I$25:$I$282,"L2")</f>
        <v>0</v>
      </c>
      <c r="AK427" s="7723"/>
      <c r="AL427" s="7723"/>
      <c r="AM427" s="7723"/>
      <c r="AN427" s="7723"/>
      <c r="AO427" s="1253"/>
      <c r="AP427" s="1253"/>
      <c r="AQ427" s="1253"/>
      <c r="AR427" s="1253"/>
      <c r="AS427" s="1253"/>
      <c r="AT427" s="7723">
        <f>_xlfn.SUMIFS('Корректировка НВВ'!$AG$25:$AG$282,'Корректировка НВВ'!$F$25:$F$282,$F427,'Корректировка НВВ'!$I$25:$I$282,"L1")+_xlfn.SUMIFS('Корректировка НВВ'!$AF$25:$AF$282,'Корректировка НВВ'!$F$25:$F$282,$F427,'Корректировка НВВ'!$I$25:$I$282,"L2")</f>
        <v>0</v>
      </c>
      <c r="AU427" s="7723"/>
      <c r="AV427" s="7723"/>
      <c r="AW427" s="7723"/>
      <c r="AX427" s="7723"/>
      <c r="AY427" s="1253"/>
      <c r="AZ427" s="1253"/>
      <c r="BA427" s="1253"/>
      <c r="BB427" s="1253"/>
      <c r="BC427" s="1253"/>
      <c r="BD427" s="942"/>
      <c r="BE427" s="942"/>
      <c r="BF427" s="942"/>
      <c r="BG427" s="942"/>
      <c r="BH427" s="942"/>
      <c r="BI427" s="942"/>
      <c r="BJ427" s="942"/>
      <c r="BK427" s="942"/>
      <c r="BL427" s="942"/>
      <c r="BM427" s="942"/>
      <c r="BN427" s="7771"/>
      <c r="BO427" s="7724"/>
      <c r="BP427" s="7771"/>
      <c r="BQ427" s="1278"/>
      <c r="BR427" s="1278"/>
      <c r="BS427" s="1064" t="s">
        <v>2881</v>
      </c>
      <c r="BT427" s="1064"/>
      <c r="BU427" s="1064"/>
      <c r="BV427" s="979"/>
      <c r="BW427" s="979"/>
    </row>
    <row s="1834" customFormat="1" customHeight="1" ht="87.75" hidden="1">
      <c r="A428" s="1278"/>
      <c r="B428" s="445">
        <f>S315="Водоотведение"</f>
        <v>0</v>
      </c>
      <c r="C428" s="1278"/>
      <c r="D428" s="107" cm="1" t="str">
        <f t="array" ref="D428:D428">D427</f>
        <v>7</v>
      </c>
      <c r="E428" s="703">
        <v>90</v>
      </c>
      <c r="F428" s="50" cm="1" t="str">
        <f t="array" ref="F428:F428">OFFSET(E428,-1,1)</f>
        <v>2</v>
      </c>
      <c r="G428" s="158" t="s">
        <v>2882</v>
      </c>
      <c r="H428" s="49"/>
      <c r="I428" s="158" t="s">
        <v>1456</v>
      </c>
      <c r="J428" s="1278"/>
      <c r="K428" s="158" t="s">
        <v>1456</v>
      </c>
      <c r="L428" s="980" t="s">
        <v>1454</v>
      </c>
      <c r="M428" s="107"/>
      <c r="N428" s="1278"/>
      <c r="O428" s="1278"/>
      <c r="P428" s="1278"/>
      <c r="Q428" s="1278"/>
      <c r="R428" s="1278"/>
      <c r="S428" s="1278"/>
      <c r="T428" s="465" cm="1" t="str">
        <f t="array" ref="T428:T428">T427</f>
        <v>true</v>
      </c>
      <c r="U428" s="1278"/>
      <c r="V428" s="1278"/>
      <c r="W428" s="1278"/>
      <c r="X428" s="1563"/>
      <c r="Y428" s="1278"/>
      <c r="Z428" s="1546"/>
      <c r="AA428" s="1278"/>
      <c r="AB428" s="300" t="str">
        <f>D428&amp;".4"</f>
        <v>7.4</v>
      </c>
      <c r="AC428" s="762" t="s">
        <v>2552</v>
      </c>
      <c r="AD428" s="766" t="s">
        <v>1514</v>
      </c>
      <c r="AE428" s="1255"/>
      <c r="AF428" s="1255"/>
      <c r="AG428" s="1255"/>
      <c r="AH428" s="943">
        <f>AG428-AF428</f>
        <v>0</v>
      </c>
      <c r="AI428" s="1253"/>
      <c r="AJ428" s="1253">
        <f>_xlfn.SUMIFS('Корректировка НВВ'!$AF$25:$AF$282,'Корректировка НВВ'!$F$25:$F$282,$F428,'Корректировка НВВ'!$I$25:$I$282,$G428)</f>
        <v>0</v>
      </c>
      <c r="AK428" s="1253"/>
      <c r="AL428" s="1253"/>
      <c r="AM428" s="1253"/>
      <c r="AN428" s="1253"/>
      <c r="AO428" s="1253"/>
      <c r="AP428" s="1253"/>
      <c r="AQ428" s="1253"/>
      <c r="AR428" s="1253"/>
      <c r="AS428" s="1253"/>
      <c r="AT428" s="1253">
        <f>_xlfn.SUMIFS('Корректировка НВВ'!$AG$25:$AG$282,'Корректировка НВВ'!$F$25:$F$282,$F428,'Корректировка НВВ'!$I$25:$I$282,$G428)</f>
        <v>0</v>
      </c>
      <c r="AU428" s="1253"/>
      <c r="AV428" s="1253"/>
      <c r="AW428" s="1253"/>
      <c r="AX428" s="1253"/>
      <c r="AY428" s="1253"/>
      <c r="AZ428" s="1253"/>
      <c r="BA428" s="1253"/>
      <c r="BB428" s="1253"/>
      <c r="BC428" s="1253"/>
      <c r="BD428" s="942"/>
      <c r="BE428" s="942"/>
      <c r="BF428" s="942"/>
      <c r="BG428" s="942"/>
      <c r="BH428" s="942"/>
      <c r="BI428" s="942"/>
      <c r="BJ428" s="942"/>
      <c r="BK428" s="942"/>
      <c r="BL428" s="942"/>
      <c r="BM428" s="942"/>
      <c r="BN428" s="1256"/>
      <c r="BO428" s="1254" t="str">
        <f>IF(_xlfn.IFERROR(INDEX('Корректировка НВВ'!$K$26:$L$282,MATCH($F428&amp;"3komm",'Корректировка НВВ'!$K$26:$K$282,0),2),"")=0,"",_xlfn.IFERROR(INDEX('Корректировка НВВ'!$K$26:$L$282,MATCH($F428&amp;"3komm",'Корректировка НВВ'!$K$26:$K$282,0),2),""))</f>
        <v/>
      </c>
      <c r="BP428" s="1256"/>
      <c r="BQ428" s="1278"/>
      <c r="BR428" s="1278"/>
      <c r="BS428" s="1064" t="s">
        <v>2098</v>
      </c>
      <c r="BT428" s="1064"/>
      <c r="BU428" s="1064"/>
      <c r="BV428" s="979"/>
      <c r="BW428" s="979"/>
    </row>
    <row s="1834" customFormat="1" customHeight="1" ht="54.75" hidden="1">
      <c r="A429" s="1278"/>
      <c r="B429" s="445" cm="1" t="str">
        <f t="array" ref="B429:B429">B428</f>
        <v>false</v>
      </c>
      <c r="C429" s="1278"/>
      <c r="D429" s="107" cm="1" t="str">
        <f t="array" ref="D429:D429">D428</f>
        <v>7</v>
      </c>
      <c r="E429" s="703">
        <v>56.25</v>
      </c>
      <c r="F429" s="50" cm="1" t="str">
        <f t="array" ref="F429:F429">OFFSET(E429,-1,1)</f>
        <v>2</v>
      </c>
      <c r="G429" s="158" t="s">
        <v>2883</v>
      </c>
      <c r="H429" s="49"/>
      <c r="I429" s="158" t="s">
        <v>1492</v>
      </c>
      <c r="J429" s="1278"/>
      <c r="K429" s="158" t="s">
        <v>1492</v>
      </c>
      <c r="L429" s="980" t="s">
        <v>1456</v>
      </c>
      <c r="M429" s="107"/>
      <c r="N429" s="1278"/>
      <c r="O429" s="1278"/>
      <c r="P429" s="1278"/>
      <c r="Q429" s="1278"/>
      <c r="R429" s="1278"/>
      <c r="S429" s="1278"/>
      <c r="T429" s="465" cm="1" t="str">
        <f t="array" ref="T429:T429">T428</f>
        <v>true</v>
      </c>
      <c r="U429" s="1278"/>
      <c r="V429" s="1278"/>
      <c r="W429" s="1278"/>
      <c r="X429" s="1563"/>
      <c r="Y429" s="1278"/>
      <c r="Z429" s="1546"/>
      <c r="AA429" s="1278"/>
      <c r="AB429" s="300" t="str">
        <f>D429&amp;".5"</f>
        <v>7.5</v>
      </c>
      <c r="AC429" s="762" t="s">
        <v>2553</v>
      </c>
      <c r="AD429" s="766" t="s">
        <v>1514</v>
      </c>
      <c r="AE429" s="1255"/>
      <c r="AF429" s="1255"/>
      <c r="AG429" s="1255"/>
      <c r="AH429" s="943">
        <f>AG429-AF429</f>
        <v>0</v>
      </c>
      <c r="AI429" s="1253"/>
      <c r="AJ429" s="1253">
        <f>_xlfn.SUMIFS('Корректировка НВВ'!$AF$25:$AF$282,'Корректировка НВВ'!$F$25:$F$282,$F429,'Корректировка НВВ'!$I$25:$I$282,$G429)</f>
        <v>0</v>
      </c>
      <c r="AK429" s="1253"/>
      <c r="AL429" s="1253"/>
      <c r="AM429" s="1253"/>
      <c r="AN429" s="1253"/>
      <c r="AO429" s="1253"/>
      <c r="AP429" s="1253"/>
      <c r="AQ429" s="1253"/>
      <c r="AR429" s="1253"/>
      <c r="AS429" s="1253"/>
      <c r="AT429" s="1253">
        <f>_xlfn.SUMIFS('Корректировка НВВ'!$AG$25:$AG$282,'Корректировка НВВ'!$F$25:$F$282,$F429,'Корректировка НВВ'!$I$25:$I$282,$G429)</f>
        <v>0</v>
      </c>
      <c r="AU429" s="1253"/>
      <c r="AV429" s="1253"/>
      <c r="AW429" s="1253"/>
      <c r="AX429" s="1253"/>
      <c r="AY429" s="1253"/>
      <c r="AZ429" s="1253"/>
      <c r="BA429" s="1253"/>
      <c r="BB429" s="1253"/>
      <c r="BC429" s="1253"/>
      <c r="BD429" s="942"/>
      <c r="BE429" s="942"/>
      <c r="BF429" s="942"/>
      <c r="BG429" s="942"/>
      <c r="BH429" s="942"/>
      <c r="BI429" s="942"/>
      <c r="BJ429" s="942"/>
      <c r="BK429" s="942"/>
      <c r="BL429" s="942"/>
      <c r="BM429" s="942"/>
      <c r="BN429" s="1256"/>
      <c r="BO429" s="1254" t="str">
        <f>IF(_xlfn.IFERROR(INDEX('Корректировка НВВ'!$K$26:$L$282,MATCH($F429&amp;"4komm",'Корректировка НВВ'!$K$26:$K$282,0),2),"")=0,"",_xlfn.IFERROR(INDEX('Корректировка НВВ'!$K$26:$L$282,MATCH($F429&amp;"4komm",'Корректировка НВВ'!$K$26:$K$282,0),2),""))</f>
        <v/>
      </c>
      <c r="BP429" s="1256"/>
      <c r="BQ429" s="1278"/>
      <c r="BR429" s="1278"/>
      <c r="BS429" s="1064" t="s">
        <v>2102</v>
      </c>
      <c r="BT429" s="1064"/>
      <c r="BU429" s="1064"/>
      <c r="BV429" s="979"/>
      <c r="BW429" s="979"/>
    </row>
    <row s="1834" customFormat="1" customHeight="1" ht="14.25">
      <c r="A430" s="1278"/>
      <c r="B430" s="978"/>
      <c r="C430" s="1278"/>
      <c r="D430" s="107" cm="1" t="str">
        <f t="array" ref="D430:D430">D429</f>
        <v>7</v>
      </c>
      <c r="E430" s="703">
        <v>15</v>
      </c>
      <c r="F430" s="50" cm="1" t="str">
        <f t="array" ref="F430:F430">OFFSET(E430,-1,1)</f>
        <v>2</v>
      </c>
      <c r="G430" s="158" t="s">
        <v>2884</v>
      </c>
      <c r="H430" s="1278"/>
      <c r="I430" s="158" t="s">
        <v>1493</v>
      </c>
      <c r="J430" s="1278"/>
      <c r="K430" s="158" t="s">
        <v>1493</v>
      </c>
      <c r="L430" s="980" t="s">
        <v>1492</v>
      </c>
      <c r="M430" s="107"/>
      <c r="N430" s="1278"/>
      <c r="O430" s="1278"/>
      <c r="P430" s="1278"/>
      <c r="Q430" s="1278"/>
      <c r="R430" s="1278"/>
      <c r="S430" s="1278"/>
      <c r="T430" s="465" cm="1" t="str">
        <f t="array" ref="T430:T430">T429</f>
        <v>true</v>
      </c>
      <c r="U430" s="1278"/>
      <c r="V430" s="1278"/>
      <c r="W430" s="1278"/>
      <c r="X430" s="1563"/>
      <c r="Y430" s="1278"/>
      <c r="Z430" s="1546"/>
      <c r="AA430" s="1278"/>
      <c r="AB430" s="300" t="str">
        <f>IF(B429,D430&amp;".6",D430&amp;".4")</f>
        <v>7.4</v>
      </c>
      <c r="AC430" s="762" t="s">
        <v>2316</v>
      </c>
      <c r="AD430" s="300" t="s">
        <v>1514</v>
      </c>
      <c r="AE430" s="7773"/>
      <c r="AF430" s="7773"/>
      <c r="AG430" s="7773"/>
      <c r="AH430" s="943">
        <f>AG430-AF430</f>
        <v>0</v>
      </c>
      <c r="AI430" s="7723"/>
      <c r="AJ430" s="7723">
        <f>_xlfn.SUMIFS('Корректировка НВВ'!$AF$25:$AF$282,'Корректировка НВВ'!$F$25:$F$282,$F430,'Корректировка НВВ'!$I$25:$I$282,$G430)</f>
        <v>0</v>
      </c>
      <c r="AK430" s="7723"/>
      <c r="AL430" s="7723"/>
      <c r="AM430" s="7723"/>
      <c r="AN430" s="7723"/>
      <c r="AO430" s="1253"/>
      <c r="AP430" s="1253"/>
      <c r="AQ430" s="1253"/>
      <c r="AR430" s="1253"/>
      <c r="AS430" s="1253"/>
      <c r="AT430" s="7723">
        <f>_xlfn.SUMIFS('Корректировка НВВ'!$AG$25:$AG$282,'Корректировка НВВ'!$F$25:$F$282,$F430,'Корректировка НВВ'!$I$25:$I$282,$G430)</f>
        <v>0</v>
      </c>
      <c r="AU430" s="7723"/>
      <c r="AV430" s="7723"/>
      <c r="AW430" s="7723"/>
      <c r="AX430" s="7723"/>
      <c r="AY430" s="1253"/>
      <c r="AZ430" s="1253"/>
      <c r="BA430" s="1253"/>
      <c r="BB430" s="1253"/>
      <c r="BC430" s="1253"/>
      <c r="BD430" s="942"/>
      <c r="BE430" s="942"/>
      <c r="BF430" s="942"/>
      <c r="BG430" s="942"/>
      <c r="BH430" s="942"/>
      <c r="BI430" s="942"/>
      <c r="BJ430" s="942"/>
      <c r="BK430" s="942"/>
      <c r="BL430" s="942"/>
      <c r="BM430" s="942"/>
      <c r="BN430" s="7771"/>
      <c r="BO430" s="7724" t="str">
        <f>IF(_xlfn.IFERROR(INDEX('Корректировка НВВ'!$K$26:$L$282,MATCH($F430&amp;"5komm",'Корректировка НВВ'!$K$26:$K$282,0),2),"")=0,"",_xlfn.IFERROR(INDEX('Корректировка НВВ'!$K$26:$L$282,MATCH($F430&amp;"5komm",'Корректировка НВВ'!$K$26:$K$282,0),2),""))</f>
        <v/>
      </c>
      <c r="BP430" s="7771"/>
      <c r="BQ430" s="1278"/>
      <c r="BR430" s="1278"/>
      <c r="BS430" s="1064" t="s">
        <v>2885</v>
      </c>
      <c r="BT430" s="1064"/>
      <c r="BU430" s="1064"/>
      <c r="BV430" s="979"/>
      <c r="BW430" s="979"/>
    </row>
    <row s="1834" customFormat="1" customHeight="1" ht="14.25">
      <c r="A431" s="1278"/>
      <c r="B431" s="978"/>
      <c r="C431" s="1278"/>
      <c r="D431" s="107" cm="1" t="str">
        <f t="array" ref="D431:D431">D430</f>
        <v>7</v>
      </c>
      <c r="E431" s="703">
        <v>15</v>
      </c>
      <c r="F431" s="50" cm="1" t="str">
        <f t="array" ref="F431:F431">OFFSET(E431,-1,1)</f>
        <v>2</v>
      </c>
      <c r="G431" s="158" t="s">
        <v>2886</v>
      </c>
      <c r="H431" s="1278"/>
      <c r="I431" s="158" t="s">
        <v>2561</v>
      </c>
      <c r="J431" s="1278"/>
      <c r="K431" s="158" t="s">
        <v>2561</v>
      </c>
      <c r="L431" s="980" t="s">
        <v>1493</v>
      </c>
      <c r="M431" s="107"/>
      <c r="N431" s="1278"/>
      <c r="O431" s="1278"/>
      <c r="P431" s="1278"/>
      <c r="Q431" s="1278"/>
      <c r="R431" s="1278"/>
      <c r="S431" s="1278"/>
      <c r="T431" s="465" cm="1" t="str">
        <f t="array" ref="T431:T431">T430</f>
        <v>true</v>
      </c>
      <c r="U431" s="1278"/>
      <c r="V431" s="1278"/>
      <c r="W431" s="1278"/>
      <c r="X431" s="1563"/>
      <c r="Y431" s="1278"/>
      <c r="Z431" s="1546"/>
      <c r="AA431" s="1278"/>
      <c r="AB431" s="300" t="str">
        <f>IF(B429,D430&amp;".7",D430&amp;".5")</f>
        <v>7.5</v>
      </c>
      <c r="AC431" s="762" t="s">
        <v>2278</v>
      </c>
      <c r="AD431" s="300" t="s">
        <v>1514</v>
      </c>
      <c r="AE431" s="7773">
        <f>AE432+AE433</f>
        <v>0</v>
      </c>
      <c r="AF431" s="7773">
        <f>AF432+AF433</f>
        <v>0</v>
      </c>
      <c r="AG431" s="7773">
        <f>AG432+AG433</f>
        <v>0</v>
      </c>
      <c r="AH431" s="943">
        <f>AG431-AF431</f>
        <v>0</v>
      </c>
      <c r="AI431" s="7723">
        <f>AI432+AI433</f>
        <v>0</v>
      </c>
      <c r="AJ431" s="7723">
        <f>_xlfn.SUMIFS('Корректировка НВВ'!$AF$25:$AF$282,'Корректировка НВВ'!$F$25:$F$282,$F431,'Корректировка НВВ'!$I$25:$I$282,$G431)</f>
        <v>0</v>
      </c>
      <c r="AK431" s="7723">
        <f>AK432+AK433</f>
        <v>0</v>
      </c>
      <c r="AL431" s="7723">
        <f>AL432+AL433</f>
        <v>0</v>
      </c>
      <c r="AM431" s="7723">
        <f>AM432+AM433</f>
        <v>0</v>
      </c>
      <c r="AN431" s="7723">
        <f>AN432+AN433</f>
        <v>0</v>
      </c>
      <c r="AO431" s="1253">
        <f>AO432+AO433</f>
        <v>0</v>
      </c>
      <c r="AP431" s="1253">
        <f>AP432+AP433</f>
        <v>0</v>
      </c>
      <c r="AQ431" s="1253">
        <f>AQ432+AQ433</f>
        <v>0</v>
      </c>
      <c r="AR431" s="1253">
        <f>AR432+AR433</f>
        <v>0</v>
      </c>
      <c r="AS431" s="1253">
        <f>AS432+AS433</f>
        <v>0</v>
      </c>
      <c r="AT431" s="7723">
        <f>_xlfn.SUMIFS('Корректировка НВВ'!$AG$25:$AG$282,'Корректировка НВВ'!$F$25:$F$282,$F431,'Корректировка НВВ'!$I$25:$I$282,$G431)</f>
        <v>0</v>
      </c>
      <c r="AU431" s="7723">
        <f>AU432+AU433</f>
        <v>0</v>
      </c>
      <c r="AV431" s="7723">
        <f>AV432+AV433</f>
        <v>0</v>
      </c>
      <c r="AW431" s="7723">
        <f>AW432+AW433</f>
        <v>0</v>
      </c>
      <c r="AX431" s="7723">
        <f>AX432+AX433</f>
        <v>0</v>
      </c>
      <c r="AY431" s="1253">
        <f>AY432+AY433</f>
        <v>0</v>
      </c>
      <c r="AZ431" s="1253">
        <f>AZ432+AZ433</f>
        <v>0</v>
      </c>
      <c r="BA431" s="1253">
        <f>BA432+BA433</f>
        <v>0</v>
      </c>
      <c r="BB431" s="1253">
        <f>BB432+BB433</f>
        <v>0</v>
      </c>
      <c r="BC431" s="1253">
        <f>BC432+BC433</f>
        <v>0</v>
      </c>
      <c r="BD431" s="943">
        <f>IF(AI431=0,0,(AT431-AI431)/AI431*100)</f>
        <v>0</v>
      </c>
      <c r="BE431" s="943">
        <f>IF(AT431=0,0,(AU431-AT431)/AT431*100)</f>
        <v>0</v>
      </c>
      <c r="BF431" s="943">
        <f>IF(AU431=0,0,(AV431-AU431)/AU431*100)</f>
        <v>0</v>
      </c>
      <c r="BG431" s="943">
        <f>IF(AV431=0,0,(AW431-AV431)/AV431*100)</f>
        <v>0</v>
      </c>
      <c r="BH431" s="943">
        <f>IF(AW431=0,0,(AX431-AW431)/AW431*100)</f>
        <v>0</v>
      </c>
      <c r="BI431" s="943">
        <f>IF(AX431=0,0,(AY431-AX431)/AX431*100)</f>
        <v>0</v>
      </c>
      <c r="BJ431" s="943">
        <f>IF(AY431=0,0,(AZ431-AY431)/AY431*100)</f>
        <v>0</v>
      </c>
      <c r="BK431" s="943">
        <f>IF(AZ431=0,0,(BA431-AZ431)/AZ431*100)</f>
        <v>0</v>
      </c>
      <c r="BL431" s="943">
        <f>IF(BA431=0,0,(BB431-BA431)/BA431*100)</f>
        <v>0</v>
      </c>
      <c r="BM431" s="943">
        <f>IF(BB431=0,0,(BC431-BB431)/BB431*100)</f>
        <v>0</v>
      </c>
      <c r="BN431" s="7771"/>
      <c r="BO431" s="7724" t="str">
        <f>IF(_xlfn.IFERROR(INDEX('Корректировка НВВ'!$K$26:$L$282,MATCH($F431&amp;"6komm",'Корректировка НВВ'!$K$26:$K$282,0),2),"")=0,"",_xlfn.IFERROR(INDEX('Корректировка НВВ'!$K$26:$L$282,MATCH($F431&amp;"6komm",'Корректировка НВВ'!$K$26:$K$282,0),2),""))</f>
        <v/>
      </c>
      <c r="BP431" s="7771"/>
      <c r="BQ431" s="1278"/>
      <c r="BR431" s="1278"/>
      <c r="BS431" s="1064" t="s">
        <v>2280</v>
      </c>
      <c r="BT431" s="1064"/>
      <c r="BU431" s="1064"/>
      <c r="BV431" s="979"/>
      <c r="BW431" s="979"/>
    </row>
    <row s="1834" customFormat="1" customHeight="1" ht="21.75">
      <c r="A432" s="1278"/>
      <c r="B432" s="978"/>
      <c r="C432" s="1278"/>
      <c r="D432" s="107" cm="1" t="str">
        <f t="array" ref="D432:D432">D431</f>
        <v>7</v>
      </c>
      <c r="E432" s="703">
        <v>22.5</v>
      </c>
      <c r="F432" s="50" cm="1" t="str">
        <f t="array" ref="F432:F432">OFFSET(E432,-1,1)</f>
        <v>2</v>
      </c>
      <c r="G432" s="158" t="s">
        <v>2887</v>
      </c>
      <c r="H432" s="1278"/>
      <c r="I432" s="158" t="s">
        <v>2888</v>
      </c>
      <c r="J432" s="1278"/>
      <c r="K432" s="158" t="s">
        <v>2888</v>
      </c>
      <c r="L432" s="980" t="s">
        <v>2556</v>
      </c>
      <c r="M432" s="107"/>
      <c r="N432" s="1278"/>
      <c r="O432" s="1278"/>
      <c r="P432" s="1278"/>
      <c r="Q432" s="1278"/>
      <c r="R432" s="1278"/>
      <c r="S432" s="1278"/>
      <c r="T432" s="465" cm="1" t="str">
        <f t="array" ref="T432:T432">T431</f>
        <v>true</v>
      </c>
      <c r="U432" s="1278"/>
      <c r="V432" s="1278"/>
      <c r="W432" s="1278"/>
      <c r="X432" s="1563"/>
      <c r="Y432" s="1278"/>
      <c r="Z432" s="1546"/>
      <c r="AA432" s="1278"/>
      <c r="AB432" s="300" t="str">
        <f>AB431&amp;".1"</f>
        <v>7.5.1</v>
      </c>
      <c r="AC432" s="781" t="s">
        <v>2281</v>
      </c>
      <c r="AD432" s="300" t="s">
        <v>1514</v>
      </c>
      <c r="AE432" s="7773"/>
      <c r="AF432" s="7773"/>
      <c r="AG432" s="7773"/>
      <c r="AH432" s="943">
        <f>AG432-AF432</f>
        <v>0</v>
      </c>
      <c r="AI432" s="7723"/>
      <c r="AJ432" s="7723">
        <f>_xlfn.SUMIFS('Корректировка НВВ'!$AF$25:$AF$282,'Корректировка НВВ'!$F$25:$F$282,$F432,'Корректировка НВВ'!$I$25:$I$282,$G432)</f>
        <v>0</v>
      </c>
      <c r="AK432" s="7723"/>
      <c r="AL432" s="7723"/>
      <c r="AM432" s="7723"/>
      <c r="AN432" s="7723"/>
      <c r="AO432" s="1253"/>
      <c r="AP432" s="1253"/>
      <c r="AQ432" s="1253"/>
      <c r="AR432" s="1253"/>
      <c r="AS432" s="1253"/>
      <c r="AT432" s="7723">
        <f>_xlfn.SUMIFS('Корректировка НВВ'!$AG$25:$AG$282,'Корректировка НВВ'!$F$25:$F$282,$F432,'Корректировка НВВ'!$I$25:$I$282,$G432)</f>
        <v>0</v>
      </c>
      <c r="AU432" s="7723"/>
      <c r="AV432" s="7723"/>
      <c r="AW432" s="7723"/>
      <c r="AX432" s="7723"/>
      <c r="AY432" s="1253"/>
      <c r="AZ432" s="1253"/>
      <c r="BA432" s="1253"/>
      <c r="BB432" s="1253"/>
      <c r="BC432" s="1253"/>
      <c r="BD432" s="942"/>
      <c r="BE432" s="942"/>
      <c r="BF432" s="942"/>
      <c r="BG432" s="942"/>
      <c r="BH432" s="942"/>
      <c r="BI432" s="942"/>
      <c r="BJ432" s="942"/>
      <c r="BK432" s="942"/>
      <c r="BL432" s="942"/>
      <c r="BM432" s="942"/>
      <c r="BN432" s="7771"/>
      <c r="BO432" s="7724" t="str">
        <f>IF(_xlfn.IFERROR(INDEX('Корректировка НВВ'!$K$26:$L$282,MATCH($F432&amp;"7komm",'Корректировка НВВ'!$K$26:$K$282,0),2),"")=0,"",_xlfn.IFERROR(INDEX('Корректировка НВВ'!$K$26:$L$282,MATCH($F432&amp;"7komm",'Корректировка НВВ'!$K$26:$K$282,0),2),""))</f>
        <v/>
      </c>
      <c r="BP432" s="7771"/>
      <c r="BQ432" s="1278"/>
      <c r="BR432" s="1278"/>
      <c r="BS432" s="1064" t="s">
        <v>2282</v>
      </c>
      <c r="BT432" s="1064"/>
      <c r="BU432" s="1064"/>
      <c r="BV432" s="979"/>
      <c r="BW432" s="979"/>
    </row>
    <row s="1834" customFormat="1" customHeight="1" ht="21.75">
      <c r="A433" s="1278"/>
      <c r="B433" s="978"/>
      <c r="C433" s="1278"/>
      <c r="D433" s="107" cm="1" t="str">
        <f t="array" ref="D433:D433">D432</f>
        <v>7</v>
      </c>
      <c r="E433" s="703">
        <v>22.5</v>
      </c>
      <c r="F433" s="50" cm="1" t="str">
        <f t="array" ref="F433:F433">OFFSET(E433,-1,1)</f>
        <v>2</v>
      </c>
      <c r="G433" s="158" t="s">
        <v>2889</v>
      </c>
      <c r="H433" s="1278"/>
      <c r="I433" s="158" t="s">
        <v>2890</v>
      </c>
      <c r="J433" s="1278"/>
      <c r="K433" s="158" t="s">
        <v>2890</v>
      </c>
      <c r="L433" s="980" t="s">
        <v>2558</v>
      </c>
      <c r="M433" s="107"/>
      <c r="N433" s="1278"/>
      <c r="O433" s="1278"/>
      <c r="P433" s="1278"/>
      <c r="Q433" s="1278"/>
      <c r="R433" s="1278"/>
      <c r="S433" s="1278"/>
      <c r="T433" s="465" cm="1" t="str">
        <f t="array" ref="T433:T433">T432</f>
        <v>true</v>
      </c>
      <c r="U433" s="1278"/>
      <c r="V433" s="1278"/>
      <c r="W433" s="1278"/>
      <c r="X433" s="1563"/>
      <c r="Y433" s="1278"/>
      <c r="Z433" s="1546"/>
      <c r="AA433" s="1278"/>
      <c r="AB433" s="300" t="str">
        <f>AB431&amp;".2"</f>
        <v>7.5.2</v>
      </c>
      <c r="AC433" s="781" t="s">
        <v>2283</v>
      </c>
      <c r="AD433" s="300" t="s">
        <v>1514</v>
      </c>
      <c r="AE433" s="7773"/>
      <c r="AF433" s="7773"/>
      <c r="AG433" s="7773"/>
      <c r="AH433" s="943">
        <f>AG433-AF433</f>
        <v>0</v>
      </c>
      <c r="AI433" s="7723"/>
      <c r="AJ433" s="7723">
        <f>_xlfn.SUMIFS('Корректировка НВВ'!$AF$25:$AF$282,'Корректировка НВВ'!$F$25:$F$282,$F433,'Корректировка НВВ'!$I$25:$I$282,$G433)</f>
        <v>0</v>
      </c>
      <c r="AK433" s="7723"/>
      <c r="AL433" s="7723"/>
      <c r="AM433" s="7723"/>
      <c r="AN433" s="7723"/>
      <c r="AO433" s="1253"/>
      <c r="AP433" s="1253"/>
      <c r="AQ433" s="1253"/>
      <c r="AR433" s="1253"/>
      <c r="AS433" s="1253"/>
      <c r="AT433" s="7723">
        <f>_xlfn.SUMIFS('Корректировка НВВ'!$AG$25:$AG$282,'Корректировка НВВ'!$F$25:$F$282,$F433,'Корректировка НВВ'!$I$25:$I$282,$G433)</f>
        <v>0</v>
      </c>
      <c r="AU433" s="7723"/>
      <c r="AV433" s="7723"/>
      <c r="AW433" s="7723"/>
      <c r="AX433" s="7723"/>
      <c r="AY433" s="1253"/>
      <c r="AZ433" s="1253"/>
      <c r="BA433" s="1253"/>
      <c r="BB433" s="1253"/>
      <c r="BC433" s="1253"/>
      <c r="BD433" s="942"/>
      <c r="BE433" s="942"/>
      <c r="BF433" s="942"/>
      <c r="BG433" s="942"/>
      <c r="BH433" s="942"/>
      <c r="BI433" s="942"/>
      <c r="BJ433" s="942"/>
      <c r="BK433" s="942"/>
      <c r="BL433" s="942"/>
      <c r="BM433" s="942"/>
      <c r="BN433" s="7771"/>
      <c r="BO433" s="7724" t="str">
        <f>IF(_xlfn.IFERROR(INDEX('Корректировка НВВ'!$K$26:$L$282,MATCH($F433&amp;"8komm",'Корректировка НВВ'!$K$26:$K$282,0),2),"")=0,"",_xlfn.IFERROR(INDEX('Корректировка НВВ'!$K$26:$L$282,MATCH($F433&amp;"8komm",'Корректировка НВВ'!$K$26:$K$282,0),2),""))</f>
        <v/>
      </c>
      <c r="BP433" s="7771"/>
      <c r="BQ433" s="1278"/>
      <c r="BR433" s="1278"/>
      <c r="BS433" s="1064" t="s">
        <v>2284</v>
      </c>
      <c r="BT433" s="1064"/>
      <c r="BU433" s="1064"/>
      <c r="BV433" s="979"/>
      <c r="BW433" s="979"/>
    </row>
    <row s="1834" customFormat="1" customHeight="1" ht="14.25">
      <c r="A434" s="1278"/>
      <c r="B434" s="978"/>
      <c r="C434" s="1278"/>
      <c r="D434" s="107" cm="1" t="str">
        <f t="array" ref="D434:D434">D433</f>
        <v>7</v>
      </c>
      <c r="E434" s="703">
        <v>15</v>
      </c>
      <c r="F434" s="50" cm="1" t="str">
        <f t="array" ref="F434:F434">OFFSET(E434,-1,1)</f>
        <v>2</v>
      </c>
      <c r="G434" s="158" t="s">
        <v>320</v>
      </c>
      <c r="H434" s="1278"/>
      <c r="I434" s="158" t="s">
        <v>2562</v>
      </c>
      <c r="J434" s="1278"/>
      <c r="K434" s="158" t="s">
        <v>2562</v>
      </c>
      <c r="L434" s="980" t="s">
        <v>2561</v>
      </c>
      <c r="M434" s="107"/>
      <c r="N434" s="1278"/>
      <c r="O434" s="1278"/>
      <c r="P434" s="1278"/>
      <c r="Q434" s="1278"/>
      <c r="R434" s="1278"/>
      <c r="S434" s="1278"/>
      <c r="T434" s="465" cm="1" t="str">
        <f t="array" ref="T434:T434">T433</f>
        <v>true</v>
      </c>
      <c r="U434" s="1278"/>
      <c r="V434" s="1278"/>
      <c r="W434" s="1278"/>
      <c r="X434" s="1563"/>
      <c r="Y434" s="1278"/>
      <c r="Z434" s="1546"/>
      <c r="AA434" s="1278"/>
      <c r="AB434" s="300" t="str">
        <f>IF(B429,D430&amp;".8",D430&amp;".6")</f>
        <v>7.6</v>
      </c>
      <c r="AC434" s="782" t="s">
        <v>2285</v>
      </c>
      <c r="AD434" s="300" t="s">
        <v>1514</v>
      </c>
      <c r="AE434" s="7773"/>
      <c r="AF434" s="7773"/>
      <c r="AG434" s="7773"/>
      <c r="AH434" s="943">
        <f>AG434-AF434</f>
        <v>0</v>
      </c>
      <c r="AI434" s="7723"/>
      <c r="AJ434" s="7723">
        <f>_xlfn.SUMIFS('Корректировка НВВ'!$AF$25:$AF$282,'Корректировка НВВ'!$F$25:$F$282,$F434,'Корректировка НВВ'!$I$25:$I$282,$G434)</f>
        <v>0</v>
      </c>
      <c r="AK434" s="7723"/>
      <c r="AL434" s="7723"/>
      <c r="AM434" s="7723"/>
      <c r="AN434" s="7723"/>
      <c r="AO434" s="1253"/>
      <c r="AP434" s="1253"/>
      <c r="AQ434" s="1253"/>
      <c r="AR434" s="1253"/>
      <c r="AS434" s="1253"/>
      <c r="AT434" s="7723">
        <f>_xlfn.SUMIFS('Корректировка НВВ'!$AG$25:$AG$282,'Корректировка НВВ'!$F$25:$F$282,$F434,'Корректировка НВВ'!$I$25:$I$282,$G434)</f>
        <v>0</v>
      </c>
      <c r="AU434" s="7723"/>
      <c r="AV434" s="7723"/>
      <c r="AW434" s="7723"/>
      <c r="AX434" s="7723"/>
      <c r="AY434" s="1253"/>
      <c r="AZ434" s="1253"/>
      <c r="BA434" s="1253"/>
      <c r="BB434" s="1253"/>
      <c r="BC434" s="1253"/>
      <c r="BD434" s="942"/>
      <c r="BE434" s="942"/>
      <c r="BF434" s="942"/>
      <c r="BG434" s="942"/>
      <c r="BH434" s="942"/>
      <c r="BI434" s="942"/>
      <c r="BJ434" s="942"/>
      <c r="BK434" s="942"/>
      <c r="BL434" s="942"/>
      <c r="BM434" s="942"/>
      <c r="BN434" s="7771"/>
      <c r="BO434" s="7724" t="str">
        <f>IF(_xlfn.IFERROR(INDEX('Корректировка НВВ'!$K$26:$L$282,MATCH($F434&amp;"9komm",'Корректировка НВВ'!$K$26:$K$282,0),2),"")=0,"",_xlfn.IFERROR(INDEX('Корректировка НВВ'!$K$26:$L$282,MATCH($F434&amp;"9komm",'Корректировка НВВ'!$K$26:$K$282,0),2),""))</f>
        <v/>
      </c>
      <c r="BP434" s="7771"/>
      <c r="BQ434" s="1278"/>
      <c r="BR434" s="1278"/>
      <c r="BS434" s="1064" t="s">
        <v>2891</v>
      </c>
      <c r="BT434" s="1064"/>
      <c r="BU434" s="1064"/>
      <c r="BV434" s="979"/>
      <c r="BW434" s="979"/>
    </row>
    <row s="1834" customFormat="1" customHeight="1" ht="14.25">
      <c r="A435" s="1278"/>
      <c r="B435" s="978"/>
      <c r="C435" s="1278"/>
      <c r="D435" s="107" cm="1" t="str">
        <f t="array" ref="D435:D435">D434</f>
        <v>7</v>
      </c>
      <c r="E435" s="703">
        <v>15</v>
      </c>
      <c r="F435" s="50" cm="1" t="str">
        <f t="array" ref="F435:F435">OFFSET(E435,-1,1)</f>
        <v>2</v>
      </c>
      <c r="G435" s="158" t="s">
        <v>2892</v>
      </c>
      <c r="H435" s="1278"/>
      <c r="I435" s="158" t="s">
        <v>2563</v>
      </c>
      <c r="J435" s="1278"/>
      <c r="K435" s="158" t="s">
        <v>2563</v>
      </c>
      <c r="L435" s="980" t="s">
        <v>2562</v>
      </c>
      <c r="M435" s="107"/>
      <c r="N435" s="1278"/>
      <c r="O435" s="1278"/>
      <c r="P435" s="1278"/>
      <c r="Q435" s="1278"/>
      <c r="R435" s="1278"/>
      <c r="S435" s="1278"/>
      <c r="T435" s="465" cm="1" t="str">
        <f t="array" ref="T435:T435">T434</f>
        <v>true</v>
      </c>
      <c r="U435" s="1278"/>
      <c r="V435" s="1278"/>
      <c r="W435" s="1278"/>
      <c r="X435" s="1563"/>
      <c r="Y435" s="1278"/>
      <c r="Z435" s="1546"/>
      <c r="AA435" s="1278"/>
      <c r="AB435" s="300" t="str">
        <f>IF(B429,D430&amp;".9",D430&amp;".7")</f>
        <v>7.7</v>
      </c>
      <c r="AC435" s="782" t="s">
        <v>2287</v>
      </c>
      <c r="AD435" s="300" t="s">
        <v>1514</v>
      </c>
      <c r="AE435" s="7773"/>
      <c r="AF435" s="7773"/>
      <c r="AG435" s="7773"/>
      <c r="AH435" s="943">
        <f>AG435-AF435</f>
        <v>0</v>
      </c>
      <c r="AI435" s="7723"/>
      <c r="AJ435" s="7723">
        <f>_xlfn.SUMIFS('Корректировка НВВ'!$AF$25:$AF$282,'Корректировка НВВ'!$F$25:$F$282,$F435,'Корректировка НВВ'!$I$25:$I$282,$G435)</f>
        <v>0</v>
      </c>
      <c r="AK435" s="7723"/>
      <c r="AL435" s="7723"/>
      <c r="AM435" s="7723"/>
      <c r="AN435" s="7723"/>
      <c r="AO435" s="1253"/>
      <c r="AP435" s="1253"/>
      <c r="AQ435" s="1253"/>
      <c r="AR435" s="1253"/>
      <c r="AS435" s="1253"/>
      <c r="AT435" s="7723">
        <f>_xlfn.SUMIFS('Корректировка НВВ'!$AG$25:$AG$282,'Корректировка НВВ'!$F$25:$F$282,$F435,'Корректировка НВВ'!$I$25:$I$282,$G435)</f>
        <v>0</v>
      </c>
      <c r="AU435" s="7723"/>
      <c r="AV435" s="7723"/>
      <c r="AW435" s="7723"/>
      <c r="AX435" s="7723"/>
      <c r="AY435" s="1253"/>
      <c r="AZ435" s="1253"/>
      <c r="BA435" s="1253"/>
      <c r="BB435" s="1253"/>
      <c r="BC435" s="1253"/>
      <c r="BD435" s="942"/>
      <c r="BE435" s="942"/>
      <c r="BF435" s="942"/>
      <c r="BG435" s="942"/>
      <c r="BH435" s="942"/>
      <c r="BI435" s="942"/>
      <c r="BJ435" s="942"/>
      <c r="BK435" s="942"/>
      <c r="BL435" s="942"/>
      <c r="BM435" s="942"/>
      <c r="BN435" s="7771"/>
      <c r="BO435" s="7724" t="str">
        <f>IF(_xlfn.IFERROR(INDEX('Корректировка НВВ'!$K$26:$L$282,MATCH($F435&amp;"10komm",'Корректировка НВВ'!$K$26:$K$282,0),2),"")=0,"",_xlfn.IFERROR(INDEX('Корректировка НВВ'!$K$26:$L$282,MATCH($F435&amp;"10komm",'Корректировка НВВ'!$K$26:$K$282,0),2),""))</f>
        <v/>
      </c>
      <c r="BP435" s="7771"/>
      <c r="BQ435" s="1278"/>
      <c r="BR435" s="1278"/>
      <c r="BS435" s="1064" t="s">
        <v>2288</v>
      </c>
      <c r="BT435" s="1064"/>
      <c r="BU435" s="1064"/>
      <c r="BV435" s="979"/>
      <c r="BW435" s="979"/>
    </row>
    <row s="7843" customFormat="1" customHeight="1" ht="20.25">
      <c r="A436" s="700"/>
      <c r="B436" s="435"/>
      <c r="C436" s="700"/>
      <c r="D436" s="109">
        <f>D435+1</f>
        <v>8</v>
      </c>
      <c r="E436" s="707">
        <v>21</v>
      </c>
      <c r="F436" s="50" cm="1" t="str">
        <f t="array" ref="F436:F436">OFFSET(E436,-1,1)</f>
        <v>2</v>
      </c>
      <c r="G436" s="700"/>
      <c r="H436" s="700"/>
      <c r="I436" s="162" t="s">
        <v>1297</v>
      </c>
      <c r="J436" s="700"/>
      <c r="K436" s="162" t="s">
        <v>1297</v>
      </c>
      <c r="L436" s="985"/>
      <c r="M436" s="109"/>
      <c r="N436" s="700"/>
      <c r="O436" s="700"/>
      <c r="P436" s="700"/>
      <c r="Q436" s="700"/>
      <c r="R436" s="700"/>
      <c r="S436" s="700"/>
      <c r="T436" s="465" cm="1" t="str">
        <f t="array" ref="T436:T436">T435</f>
        <v>true</v>
      </c>
      <c r="U436" s="700"/>
      <c r="V436" s="700"/>
      <c r="W436" s="700"/>
      <c r="X436" s="1563"/>
      <c r="Y436" s="700"/>
      <c r="Z436" s="1546"/>
      <c r="AA436" s="700"/>
      <c r="AB436" s="211" cm="1" t="str">
        <f t="array" ref="AB436:AB436">D436</f>
        <v>8</v>
      </c>
      <c r="AC436" s="212" t="s">
        <v>2893</v>
      </c>
      <c r="AD436" s="211" t="s">
        <v>1514</v>
      </c>
      <c r="AE436" s="7432"/>
      <c r="AF436" s="7432"/>
      <c r="AG436" s="7432"/>
      <c r="AH436" s="761">
        <f>AG436-AF436</f>
        <v>0</v>
      </c>
      <c r="AI436" s="7719"/>
      <c r="AJ436" s="7719"/>
      <c r="AK436" s="7719"/>
      <c r="AL436" s="7719"/>
      <c r="AM436" s="7719"/>
      <c r="AN436" s="7719"/>
      <c r="AO436" s="1246"/>
      <c r="AP436" s="1246"/>
      <c r="AQ436" s="1246"/>
      <c r="AR436" s="1246"/>
      <c r="AS436" s="1246"/>
      <c r="AT436" s="7719"/>
      <c r="AU436" s="7719"/>
      <c r="AV436" s="7719"/>
      <c r="AW436" s="7719"/>
      <c r="AX436" s="7719"/>
      <c r="AY436" s="1246"/>
      <c r="AZ436" s="1246"/>
      <c r="BA436" s="1246"/>
      <c r="BB436" s="1246"/>
      <c r="BC436" s="1246"/>
      <c r="BD436" s="764"/>
      <c r="BE436" s="764"/>
      <c r="BF436" s="764"/>
      <c r="BG436" s="764"/>
      <c r="BH436" s="764"/>
      <c r="BI436" s="764"/>
      <c r="BJ436" s="764"/>
      <c r="BK436" s="764"/>
      <c r="BL436" s="764"/>
      <c r="BM436" s="764"/>
      <c r="BN436" s="7436"/>
      <c r="BO436" s="7436"/>
      <c r="BP436" s="7436"/>
      <c r="BQ436" s="700"/>
      <c r="BR436" s="700"/>
      <c r="BS436" s="1070" t="s">
        <v>2894</v>
      </c>
      <c r="BT436" s="1070"/>
      <c r="BU436" s="1070"/>
      <c r="BV436" s="707"/>
      <c r="BW436" s="707"/>
    </row>
    <row s="1834" customFormat="1" customHeight="1" ht="14.25">
      <c r="A437" s="1278"/>
      <c r="B437" s="978"/>
      <c r="C437" s="1278"/>
      <c r="D437" s="109" cm="1" t="str">
        <f t="array" ref="D437:D437">D436</f>
        <v>8</v>
      </c>
      <c r="E437" s="703">
        <v>15</v>
      </c>
      <c r="F437" s="50" cm="1" t="str">
        <f t="array" ref="F437:F437">OFFSET(E437,-1,1)</f>
        <v>2</v>
      </c>
      <c r="G437" s="1278"/>
      <c r="H437" s="1278"/>
      <c r="I437" s="158" t="s">
        <v>1300</v>
      </c>
      <c r="J437" s="1278"/>
      <c r="K437" s="158" t="s">
        <v>1300</v>
      </c>
      <c r="L437" s="980"/>
      <c r="M437" s="107"/>
      <c r="N437" s="1278"/>
      <c r="O437" s="1278"/>
      <c r="P437" s="1278"/>
      <c r="Q437" s="1278"/>
      <c r="R437" s="1278"/>
      <c r="S437" s="1278"/>
      <c r="T437" s="465" cm="1" t="str">
        <f t="array" ref="T437:T437">T436</f>
        <v>true</v>
      </c>
      <c r="U437" s="1278"/>
      <c r="V437" s="1278"/>
      <c r="W437" s="1278"/>
      <c r="X437" s="1563"/>
      <c r="Y437" s="1278"/>
      <c r="Z437" s="1546"/>
      <c r="AA437" s="1278"/>
      <c r="AB437" s="300" t="str">
        <f>D437&amp;".1"</f>
        <v>8.1</v>
      </c>
      <c r="AC437" s="762" t="s">
        <v>2895</v>
      </c>
      <c r="AD437" s="300" t="s">
        <v>1170</v>
      </c>
      <c r="AE437" s="259">
        <f>IF(AE438=0,0,AE436/(AE438+AE423)*100)</f>
        <v>0</v>
      </c>
      <c r="AF437" s="259">
        <f>IF(AF438=0,0,AF436/(AF438+AF423)*100)</f>
        <v>0</v>
      </c>
      <c r="AG437" s="259">
        <f>IF(AG438=0,0,AG436/(AG438+AG423)*100)</f>
        <v>0</v>
      </c>
      <c r="AH437" s="943">
        <f>AG437-AF437</f>
        <v>0</v>
      </c>
      <c r="AI437" s="943">
        <f>IF(AI438=0,0,AI436/(AI438+AI423)*100)</f>
        <v>0</v>
      </c>
      <c r="AJ437" s="943">
        <f>IF(AJ438=0,0,AJ436/(AJ438+AJ423)*100)</f>
        <v>0</v>
      </c>
      <c r="AK437" s="943">
        <f>IF(AK438=0,0,AK436/(AK438+AK423)*100)</f>
        <v>0</v>
      </c>
      <c r="AL437" s="943">
        <f>IF(AL438=0,0,AL436/(AL438+AL423)*100)</f>
        <v>0</v>
      </c>
      <c r="AM437" s="943">
        <f>IF(AM438=0,0,AM436/(AM438+AM423)*100)</f>
        <v>0</v>
      </c>
      <c r="AN437" s="943">
        <f>IF(AN438=0,0,AN436/(AN438+AN423)*100)</f>
        <v>0</v>
      </c>
      <c r="AO437" s="943">
        <f>IF(AO438=0,0,AO436/(AO438+AO423)*100)</f>
        <v>0</v>
      </c>
      <c r="AP437" s="943">
        <f>IF(AP438=0,0,AP436/(AP438+AP423)*100)</f>
        <v>0</v>
      </c>
      <c r="AQ437" s="943">
        <f>IF(AQ438=0,0,AQ436/(AQ438+AQ423)*100)</f>
        <v>0</v>
      </c>
      <c r="AR437" s="943">
        <f>IF(AR438=0,0,AR436/(AR438+AR423)*100)</f>
        <v>0</v>
      </c>
      <c r="AS437" s="943">
        <f>IF(AS438=0,0,AS436/(AS438+AS423)*100)</f>
        <v>0</v>
      </c>
      <c r="AT437" s="943">
        <f>IF(AT438=0,0,AT436/(AT438+AT423)*100)</f>
        <v>0</v>
      </c>
      <c r="AU437" s="943">
        <f>IF(AU438=0,0,AU436/(AU438+AU423)*100)</f>
        <v>0</v>
      </c>
      <c r="AV437" s="943">
        <f>IF(AV438=0,0,AV436/(AV438+AV423)*100)</f>
        <v>0</v>
      </c>
      <c r="AW437" s="943">
        <f>IF(AW438=0,0,AW436/(AW438+AW423)*100)</f>
        <v>0</v>
      </c>
      <c r="AX437" s="943">
        <f>IF(AX438=0,0,AX436/(AX438+AX423)*100)</f>
        <v>0</v>
      </c>
      <c r="AY437" s="943">
        <f>IF(AY438=0,0,AY436/(AY438+AY423)*100)</f>
        <v>0</v>
      </c>
      <c r="AZ437" s="943">
        <f>IF(AZ438=0,0,AZ436/(AZ438+AZ423)*100)</f>
        <v>0</v>
      </c>
      <c r="BA437" s="943">
        <f>IF(BA438=0,0,BA436/(BA438+BA423)*100)</f>
        <v>0</v>
      </c>
      <c r="BB437" s="943">
        <f>IF(BB438=0,0,BB436/(BB438+BB423)*100)</f>
        <v>0</v>
      </c>
      <c r="BC437" s="943">
        <f>IF(BC438=0,0,BC436/(BC438+BC423)*100)</f>
        <v>0</v>
      </c>
      <c r="BD437" s="942"/>
      <c r="BE437" s="942"/>
      <c r="BF437" s="942"/>
      <c r="BG437" s="942"/>
      <c r="BH437" s="942"/>
      <c r="BI437" s="942"/>
      <c r="BJ437" s="942"/>
      <c r="BK437" s="942"/>
      <c r="BL437" s="942"/>
      <c r="BM437" s="942"/>
      <c r="BN437" s="7771"/>
      <c r="BO437" s="7771"/>
      <c r="BP437" s="7771"/>
      <c r="BQ437" s="1278"/>
      <c r="BR437" s="1278"/>
      <c r="BS437" s="1064" t="s">
        <v>2896</v>
      </c>
      <c r="BT437" s="1064"/>
      <c r="BU437" s="1064"/>
      <c r="BV437" s="979"/>
      <c r="BW437" s="979"/>
    </row>
    <row s="7844" customFormat="1" customHeight="1" ht="20.25">
      <c r="A438" s="700"/>
      <c r="B438" s="435"/>
      <c r="C438" s="700"/>
      <c r="D438" s="109">
        <f>D437+1</f>
        <v>9</v>
      </c>
      <c r="E438" s="707">
        <v>21</v>
      </c>
      <c r="F438" s="50" cm="1" t="str">
        <f t="array" ref="F438:F438">OFFSET(E438,-1,1)</f>
        <v>2</v>
      </c>
      <c r="G438" s="700"/>
      <c r="H438" s="158"/>
      <c r="I438" s="158" t="s">
        <v>1454</v>
      </c>
      <c r="J438" s="700"/>
      <c r="K438" s="158" t="s">
        <v>1454</v>
      </c>
      <c r="L438" s="985" t="s">
        <v>2563</v>
      </c>
      <c r="M438" s="109"/>
      <c r="N438" s="700"/>
      <c r="O438" s="700"/>
      <c r="P438" s="700"/>
      <c r="Q438" s="700"/>
      <c r="R438" s="700"/>
      <c r="S438" s="700"/>
      <c r="T438" s="465" cm="1" t="str">
        <f t="array" ref="T438:T438">T437</f>
        <v>true</v>
      </c>
      <c r="U438" s="700"/>
      <c r="V438" s="700"/>
      <c r="W438" s="700"/>
      <c r="X438" s="1563"/>
      <c r="Y438" s="700"/>
      <c r="Z438" s="1546"/>
      <c r="AA438" s="700"/>
      <c r="AB438" s="211" cm="1" t="str">
        <f t="array" ref="AB438:AB438">D438</f>
        <v>9</v>
      </c>
      <c r="AC438" s="212" t="s">
        <v>2564</v>
      </c>
      <c r="AD438" s="234" t="s">
        <v>1514</v>
      </c>
      <c r="AE438" s="213">
        <f>AE316+AE366+AE402+AE403+AE405+AE410+AE411+AE414</f>
        <v>0</v>
      </c>
      <c r="AF438" s="213">
        <f>AF316+AF366+AF402+AF403+AF405+AF410+AF411+AF414</f>
        <v>0</v>
      </c>
      <c r="AG438" s="213">
        <f>AG316+AG366+AG402+AG403+AG405+AG410+AG411+AG414</f>
        <v>0</v>
      </c>
      <c r="AH438" s="761">
        <f>AG438-AF438</f>
        <v>0</v>
      </c>
      <c r="AI438" s="213">
        <f>AI316+AI366+AI402+AI403+AI405+AI410+AI411+AI414</f>
        <v>0</v>
      </c>
      <c r="AJ438" s="213">
        <f>AJ316+AJ366+AJ402+AJ403+AJ405+AJ410+AJ411+AJ414</f>
        <v>77839.5853028</v>
      </c>
      <c r="AK438" s="213">
        <f>AK316+AK366+AK402+AK403+AK405+AK410+AK411+AK414</f>
        <v>85379.2448106432</v>
      </c>
      <c r="AL438" s="213">
        <f>AL316+AL366+AL402+AL403+AL405+AL410+AL411+AL414</f>
        <v>89988.6650075476</v>
      </c>
      <c r="AM438" s="213">
        <f>AM316+AM366+AM402+AM403+AM405+AM410+AM411+AM414</f>
        <v>95980.2276898345</v>
      </c>
      <c r="AN438" s="213">
        <f>AN316+AN366+AN402+AN403+AN405+AN410+AN411+AN414</f>
        <v>113786.310280048</v>
      </c>
      <c r="AO438" s="213">
        <f>AO316+AO366+AO402+AO403+AO405+AO410+AO411+AO414</f>
        <v>0</v>
      </c>
      <c r="AP438" s="213">
        <f>AP316+AP366+AP402+AP403+AP405+AP410+AP411+AP414</f>
        <v>0</v>
      </c>
      <c r="AQ438" s="213">
        <f>AQ316+AQ366+AQ402+AQ403+AQ405+AQ410+AQ411+AQ414</f>
        <v>0</v>
      </c>
      <c r="AR438" s="213">
        <f>AR316+AR366+AR402+AR403+AR405+AR410+AR411+AR414</f>
        <v>0</v>
      </c>
      <c r="AS438" s="213">
        <f>AS316+AS366+AS402+AS403+AS405+AS410+AS411+AS414</f>
        <v>0</v>
      </c>
      <c r="AT438" s="213">
        <f>AT316+AT366+AT402+AT403+AT405+AT410+AT411+AT414</f>
        <v>77839.5829489203</v>
      </c>
      <c r="AU438" s="213">
        <f>AU316+AU366+AU402+AU403+AU405+AU410+AU411+AU414</f>
        <v>85379.2417125605</v>
      </c>
      <c r="AV438" s="213">
        <f>AV316+AV366+AV402+AV403+AV405+AV410+AV411+AV414</f>
        <v>89988.7985376588</v>
      </c>
      <c r="AW438" s="213">
        <f>AW316+AW366+AW402+AW403+AW405+AW410+AW411+AW414</f>
        <v>95979.1808244866</v>
      </c>
      <c r="AX438" s="213">
        <f>AX316+AX366+AX402+AX403+AX405+AX410+AX411+AX414</f>
        <v>113870.490803153</v>
      </c>
      <c r="AY438" s="213">
        <f>AY316+AY366+AY402+AY403+AY405+AY410+AY411+AY414</f>
        <v>0</v>
      </c>
      <c r="AZ438" s="213">
        <f>AZ316+AZ366+AZ402+AZ403+AZ405+AZ410+AZ411+AZ414</f>
        <v>0</v>
      </c>
      <c r="BA438" s="213">
        <f>BA316+BA366+BA402+BA403+BA405+BA410+BA411+BA414</f>
        <v>0</v>
      </c>
      <c r="BB438" s="213">
        <f>BB316+BB366+BB402+BB403+BB405+BB410+BB411+BB414</f>
        <v>0</v>
      </c>
      <c r="BC438" s="213">
        <f>BC316+BC366+BC402+BC403+BC405+BC410+BC411+BC414</f>
        <v>0</v>
      </c>
      <c r="BD438" s="761">
        <f>IF(AI438=0,0,(AT438-AI438)/AI438*100)</f>
        <v>0</v>
      </c>
      <c r="BE438" s="761">
        <f>IF(AT438=0,0,(AU438-AT438)/AT438*100)</f>
        <v>9.68614999978591</v>
      </c>
      <c r="BF438" s="761">
        <f>IF(AU438=0,0,(AV438-AU438)/AU438*100)</f>
        <v>5.39891984589994</v>
      </c>
      <c r="BG438" s="761">
        <f>IF(AV438=0,0,(AW438-AV438)/AV438*100)</f>
        <v>6.65680882973553</v>
      </c>
      <c r="BH438" s="761">
        <f>IF(AW438=0,0,(AX438-AW438)/AW438*100)</f>
        <v>18.6408237963435</v>
      </c>
      <c r="BI438" s="761">
        <f>IF(AX438=0,0,(AY438-AX438)/AX438*100)</f>
        <v>-100</v>
      </c>
      <c r="BJ438" s="761">
        <f>IF(AY438=0,0,(AZ438-AY438)/AY438*100)</f>
        <v>0</v>
      </c>
      <c r="BK438" s="761">
        <f>IF(AZ438=0,0,(BA438-AZ438)/AZ438*100)</f>
        <v>0</v>
      </c>
      <c r="BL438" s="761">
        <f>IF(BA438=0,0,(BB438-BA438)/BA438*100)</f>
        <v>0</v>
      </c>
      <c r="BM438" s="761">
        <f>IF(BB438=0,0,(BC438-BB438)/BB438*100)</f>
        <v>0</v>
      </c>
      <c r="BN438" s="7771"/>
      <c r="BO438" s="7771"/>
      <c r="BP438" s="7771"/>
      <c r="BQ438" s="700"/>
      <c r="BR438" s="700"/>
      <c r="BS438" s="1070" t="s">
        <v>2565</v>
      </c>
      <c r="BT438" s="1070"/>
      <c r="BU438" s="1070"/>
      <c r="BV438" s="707"/>
      <c r="BW438" s="707"/>
    </row>
    <row s="7845" customFormat="1" customHeight="1" ht="20.25">
      <c r="A439" s="700"/>
      <c r="B439" s="435"/>
      <c r="C439" s="700"/>
      <c r="D439" s="109">
        <f>D438+1</f>
        <v>10</v>
      </c>
      <c r="E439" s="707">
        <v>21</v>
      </c>
      <c r="F439" s="50" cm="1" t="str">
        <f t="array" ref="F439:F439">OFFSET(E439,-1,1)</f>
        <v>2</v>
      </c>
      <c r="G439" s="700"/>
      <c r="H439" s="158"/>
      <c r="I439" s="158" t="s">
        <v>2574</v>
      </c>
      <c r="J439" s="700"/>
      <c r="K439" s="158" t="s">
        <v>2574</v>
      </c>
      <c r="L439" s="985"/>
      <c r="M439" s="109"/>
      <c r="N439" s="700"/>
      <c r="O439" s="700"/>
      <c r="P439" s="700"/>
      <c r="Q439" s="700"/>
      <c r="R439" s="700"/>
      <c r="S439" s="700"/>
      <c r="T439" s="465" cm="1" t="str">
        <f t="array" ref="T439:T439">T438</f>
        <v>true</v>
      </c>
      <c r="U439" s="700"/>
      <c r="V439" s="700"/>
      <c r="W439" s="700"/>
      <c r="X439" s="1563"/>
      <c r="Y439" s="700"/>
      <c r="Z439" s="1546"/>
      <c r="AA439" s="700"/>
      <c r="AB439" s="211" cm="1" t="str">
        <f t="array" ref="AB439:AB439">D439</f>
        <v>10</v>
      </c>
      <c r="AC439" s="212" t="s">
        <v>2897</v>
      </c>
      <c r="AD439" s="211" t="s">
        <v>1514</v>
      </c>
      <c r="AE439" s="213">
        <f>AE438+AE423+AE436</f>
        <v>0</v>
      </c>
      <c r="AF439" s="213">
        <f>AF438+AF423+AF436</f>
        <v>0</v>
      </c>
      <c r="AG439" s="213">
        <f>AG438+AG423+AG436</f>
        <v>0</v>
      </c>
      <c r="AH439" s="770">
        <f>AH438+AH423+AH436</f>
        <v>0</v>
      </c>
      <c r="AI439" s="770">
        <f>AI438+AI423+AI436</f>
        <v>0</v>
      </c>
      <c r="AJ439" s="770">
        <f>AJ438+AJ423+AJ436</f>
        <v>77839.5853028</v>
      </c>
      <c r="AK439" s="770">
        <f>AK438+AK423+AK436</f>
        <v>85379.2448106432</v>
      </c>
      <c r="AL439" s="770">
        <f>AL438+AL423+AL436</f>
        <v>89988.6650075476</v>
      </c>
      <c r="AM439" s="770">
        <f>AM438+AM423+AM436</f>
        <v>95980.2276898345</v>
      </c>
      <c r="AN439" s="770">
        <f>AN438+AN423+AN436</f>
        <v>113786.310280048</v>
      </c>
      <c r="AO439" s="770">
        <f>AO438+AO423+AO436</f>
        <v>0</v>
      </c>
      <c r="AP439" s="770">
        <f>AP438+AP423+AP436</f>
        <v>0</v>
      </c>
      <c r="AQ439" s="770">
        <f>AQ438+AQ423+AQ436</f>
        <v>0</v>
      </c>
      <c r="AR439" s="770">
        <f>AR438+AR423+AR436</f>
        <v>0</v>
      </c>
      <c r="AS439" s="770">
        <f>AS438+AS423+AS436</f>
        <v>0</v>
      </c>
      <c r="AT439" s="770">
        <f>AT438+AT423+AT436</f>
        <v>77839.5829489203</v>
      </c>
      <c r="AU439" s="770">
        <f>AU438+AU423+AU436</f>
        <v>85379.2417125605</v>
      </c>
      <c r="AV439" s="770">
        <f>AV438+AV423+AV436</f>
        <v>89988.7985376588</v>
      </c>
      <c r="AW439" s="770">
        <f>AW438+AW423+AW436</f>
        <v>95979.1808244866</v>
      </c>
      <c r="AX439" s="770">
        <f>AX438+AX423+AX436</f>
        <v>113870.490803153</v>
      </c>
      <c r="AY439" s="770">
        <f>AY438+AY423+AY436</f>
        <v>0</v>
      </c>
      <c r="AZ439" s="770">
        <f>AZ438+AZ423+AZ436</f>
        <v>0</v>
      </c>
      <c r="BA439" s="770">
        <f>BA438+BA423+BA436</f>
        <v>0</v>
      </c>
      <c r="BB439" s="770">
        <f>BB438+BB423+BB436</f>
        <v>0</v>
      </c>
      <c r="BC439" s="770">
        <f>BC438+BC423+BC436</f>
        <v>0</v>
      </c>
      <c r="BD439" s="761">
        <f>IF(AI439=0,0,(AT439-AI439)/AI439*100)</f>
        <v>0</v>
      </c>
      <c r="BE439" s="761">
        <f>IF(AT439=0,0,(AU439-AT439)/AT439*100)</f>
        <v>9.68614999978591</v>
      </c>
      <c r="BF439" s="761">
        <f>IF(AU439=0,0,(AV439-AU439)/AU439*100)</f>
        <v>5.39891984589994</v>
      </c>
      <c r="BG439" s="761">
        <f>IF(AV439=0,0,(AW439-AV439)/AV439*100)</f>
        <v>6.65680882973553</v>
      </c>
      <c r="BH439" s="761">
        <f>IF(AW439=0,0,(AX439-AW439)/AW439*100)</f>
        <v>18.6408237963435</v>
      </c>
      <c r="BI439" s="761">
        <f>IF(AX439=0,0,(AY439-AX439)/AX439*100)</f>
        <v>-100</v>
      </c>
      <c r="BJ439" s="761">
        <f>IF(AY439=0,0,(AZ439-AY439)/AY439*100)</f>
        <v>0</v>
      </c>
      <c r="BK439" s="761">
        <f>IF(AZ439=0,0,(BA439-AZ439)/AZ439*100)</f>
        <v>0</v>
      </c>
      <c r="BL439" s="761">
        <f>IF(BA439=0,0,(BB439-BA439)/BA439*100)</f>
        <v>0</v>
      </c>
      <c r="BM439" s="761">
        <f>IF(BB439=0,0,(BC439-BB439)/BB439*100)</f>
        <v>0</v>
      </c>
      <c r="BN439" s="7771"/>
      <c r="BO439" s="7771"/>
      <c r="BP439" s="7771"/>
      <c r="BQ439" s="700"/>
      <c r="BR439" s="700"/>
      <c r="BS439" s="1070" t="s">
        <v>2898</v>
      </c>
      <c r="BT439" s="1070"/>
      <c r="BU439" s="1070"/>
      <c r="BV439" s="707"/>
      <c r="BW439" s="707"/>
    </row>
    <row s="1834" customFormat="1" customHeight="1" ht="14.25" hidden="1">
      <c r="A440" s="1278"/>
      <c r="B440" s="445">
        <f>A315="двухставочный"</f>
        <v>0</v>
      </c>
      <c r="C440" s="1278"/>
      <c r="D440" s="107" cm="1" t="str">
        <f t="array" ref="D440:D440">D439</f>
        <v>10</v>
      </c>
      <c r="E440" s="703">
        <v>15</v>
      </c>
      <c r="F440" s="50" cm="1" t="str">
        <f t="array" ref="F440:F440">OFFSET(E440,-1,1)</f>
        <v>2</v>
      </c>
      <c r="G440" s="1278"/>
      <c r="H440" s="49"/>
      <c r="I440" s="379" t="s">
        <v>2577</v>
      </c>
      <c r="J440" s="1278"/>
      <c r="K440" s="379" t="s">
        <v>2577</v>
      </c>
      <c r="L440" s="980" t="s">
        <v>2566</v>
      </c>
      <c r="M440" s="107"/>
      <c r="N440" s="1278"/>
      <c r="O440" s="1278"/>
      <c r="P440" s="1278"/>
      <c r="Q440" s="1278"/>
      <c r="R440" s="1278"/>
      <c r="S440" s="1278"/>
      <c r="T440" s="465" cm="1" t="str">
        <f t="array" ref="T440:T440">T439</f>
        <v>true</v>
      </c>
      <c r="U440" s="1278"/>
      <c r="V440" s="1278"/>
      <c r="W440" s="1278"/>
      <c r="X440" s="1563"/>
      <c r="Y440" s="1278"/>
      <c r="Z440" s="1546"/>
      <c r="AA440" s="1278"/>
      <c r="AB440" s="300" t="str">
        <f>D440&amp;".1"</f>
        <v>10.1</v>
      </c>
      <c r="AC440" s="782" t="s">
        <v>2568</v>
      </c>
      <c r="AD440" s="300" t="s">
        <v>1514</v>
      </c>
      <c r="AE440" s="1255"/>
      <c r="AF440" s="1255"/>
      <c r="AG440" s="1255"/>
      <c r="AH440" s="943">
        <f>AG440-AF440</f>
        <v>0</v>
      </c>
      <c r="AI440" s="1253"/>
      <c r="AJ440" s="1253"/>
      <c r="AK440" s="1253"/>
      <c r="AL440" s="1253"/>
      <c r="AM440" s="1253"/>
      <c r="AN440" s="1253"/>
      <c r="AO440" s="1253"/>
      <c r="AP440" s="1253"/>
      <c r="AQ440" s="1253"/>
      <c r="AR440" s="1253"/>
      <c r="AS440" s="1253"/>
      <c r="AT440" s="1253"/>
      <c r="AU440" s="1253"/>
      <c r="AV440" s="1253"/>
      <c r="AW440" s="1253"/>
      <c r="AX440" s="1253"/>
      <c r="AY440" s="1253"/>
      <c r="AZ440" s="1253"/>
      <c r="BA440" s="1253"/>
      <c r="BB440" s="1253"/>
      <c r="BC440" s="1253"/>
      <c r="BD440" s="942"/>
      <c r="BE440" s="942"/>
      <c r="BF440" s="942"/>
      <c r="BG440" s="942"/>
      <c r="BH440" s="942"/>
      <c r="BI440" s="942"/>
      <c r="BJ440" s="942"/>
      <c r="BK440" s="942"/>
      <c r="BL440" s="942"/>
      <c r="BM440" s="942"/>
      <c r="BN440" s="1256"/>
      <c r="BO440" s="1256"/>
      <c r="BP440" s="1256"/>
      <c r="BQ440" s="1278"/>
      <c r="BR440" s="1278"/>
      <c r="BS440" s="1062" t="s">
        <v>2569</v>
      </c>
      <c r="BT440" s="1064"/>
      <c r="BU440" s="1064"/>
      <c r="BV440" s="979"/>
      <c r="BW440" s="979"/>
    </row>
    <row s="1834" customFormat="1" customHeight="1" ht="14.25" hidden="1">
      <c r="A441" s="1278"/>
      <c r="B441" s="445">
        <f>A315="двухставочный"</f>
        <v>0</v>
      </c>
      <c r="C441" s="1278"/>
      <c r="D441" s="107" cm="1" t="str">
        <f t="array" ref="D441:D441">D440</f>
        <v>10</v>
      </c>
      <c r="E441" s="703">
        <v>15</v>
      </c>
      <c r="F441" s="50" cm="1" t="str">
        <f t="array" ref="F441:F441">OFFSET(E441,-1,1)</f>
        <v>2</v>
      </c>
      <c r="G441" s="1278"/>
      <c r="H441" s="49"/>
      <c r="I441" s="379" t="s">
        <v>2581</v>
      </c>
      <c r="J441" s="1278"/>
      <c r="K441" s="379" t="s">
        <v>2581</v>
      </c>
      <c r="L441" s="980" t="s">
        <v>2570</v>
      </c>
      <c r="M441" s="107"/>
      <c r="N441" s="1278"/>
      <c r="O441" s="1278"/>
      <c r="P441" s="1278"/>
      <c r="Q441" s="1278"/>
      <c r="R441" s="1278"/>
      <c r="S441" s="1278"/>
      <c r="T441" s="465" cm="1" t="str">
        <f t="array" ref="T441:T441">T440</f>
        <v>true</v>
      </c>
      <c r="U441" s="1278"/>
      <c r="V441" s="1278"/>
      <c r="W441" s="1278"/>
      <c r="X441" s="1563"/>
      <c r="Y441" s="1278"/>
      <c r="Z441" s="1546"/>
      <c r="AA441" s="1278"/>
      <c r="AB441" s="300" t="str">
        <f>D441&amp;".2"</f>
        <v>10.2</v>
      </c>
      <c r="AC441" s="782" t="s">
        <v>2572</v>
      </c>
      <c r="AD441" s="300" t="s">
        <v>1514</v>
      </c>
      <c r="AE441" s="1255"/>
      <c r="AF441" s="1255"/>
      <c r="AG441" s="1255"/>
      <c r="AH441" s="943">
        <f>AG441-AF441</f>
        <v>0</v>
      </c>
      <c r="AI441" s="1253"/>
      <c r="AJ441" s="1253"/>
      <c r="AK441" s="1253"/>
      <c r="AL441" s="1253"/>
      <c r="AM441" s="1253"/>
      <c r="AN441" s="1253"/>
      <c r="AO441" s="1253"/>
      <c r="AP441" s="1253"/>
      <c r="AQ441" s="1253"/>
      <c r="AR441" s="1253"/>
      <c r="AS441" s="1253"/>
      <c r="AT441" s="1253"/>
      <c r="AU441" s="1253"/>
      <c r="AV441" s="1253"/>
      <c r="AW441" s="1253"/>
      <c r="AX441" s="1253"/>
      <c r="AY441" s="1253"/>
      <c r="AZ441" s="1253"/>
      <c r="BA441" s="1253"/>
      <c r="BB441" s="1253"/>
      <c r="BC441" s="1253"/>
      <c r="BD441" s="942"/>
      <c r="BE441" s="942"/>
      <c r="BF441" s="942"/>
      <c r="BG441" s="942"/>
      <c r="BH441" s="942"/>
      <c r="BI441" s="942"/>
      <c r="BJ441" s="942"/>
      <c r="BK441" s="942"/>
      <c r="BL441" s="942"/>
      <c r="BM441" s="942"/>
      <c r="BN441" s="1256"/>
      <c r="BO441" s="1256"/>
      <c r="BP441" s="1256"/>
      <c r="BQ441" s="1278"/>
      <c r="BR441" s="1278"/>
      <c r="BS441" s="1062" t="s">
        <v>2573</v>
      </c>
      <c r="BT441" s="1064"/>
      <c r="BU441" s="1064"/>
      <c r="BV441" s="979"/>
      <c r="BW441" s="979"/>
    </row>
    <row s="7846" customFormat="1" customHeight="1" ht="20.25">
      <c r="A442" s="700"/>
      <c r="B442" s="435"/>
      <c r="C442" s="700"/>
      <c r="D442" s="109">
        <f>D441+1</f>
        <v>11</v>
      </c>
      <c r="E442" s="707">
        <v>21</v>
      </c>
      <c r="F442" s="50" cm="1" t="str">
        <f t="array" ref="F442:F442">OFFSET(E442,-1,1)</f>
        <v>2</v>
      </c>
      <c r="G442" s="158" t="s">
        <v>2346</v>
      </c>
      <c r="H442" s="158"/>
      <c r="I442" s="158" t="s">
        <v>2601</v>
      </c>
      <c r="J442" s="700"/>
      <c r="K442" s="158" t="s">
        <v>2601</v>
      </c>
      <c r="L442" s="985" t="s">
        <v>2574</v>
      </c>
      <c r="M442" s="109"/>
      <c r="N442" s="700"/>
      <c r="O442" s="700"/>
      <c r="P442" s="700"/>
      <c r="Q442" s="700"/>
      <c r="R442" s="700"/>
      <c r="S442" s="700"/>
      <c r="T442" s="465" cm="1" t="str">
        <f t="array" ref="T442:T442">T441</f>
        <v>true</v>
      </c>
      <c r="U442" s="700"/>
      <c r="V442" s="700"/>
      <c r="W442" s="700"/>
      <c r="X442" s="1563"/>
      <c r="Y442" s="700"/>
      <c r="Z442" s="1546"/>
      <c r="AA442" s="700"/>
      <c r="AB442" s="211" cm="1" t="str">
        <f t="array" ref="AB442:AB442">D442</f>
        <v>11</v>
      </c>
      <c r="AC442" s="212" t="s">
        <v>2575</v>
      </c>
      <c r="AD442" s="211" t="s">
        <v>1247</v>
      </c>
      <c r="AE442" s="785">
        <f>_xlfn.SUMIFS(Баланс!AE$26:AE$482,Баланс!$F$26:$F$482,$F442,Баланс!$G$26:$G$482,"ПО")</f>
        <v>0</v>
      </c>
      <c r="AF442" s="785">
        <f>_xlfn.SUMIFS(Баланс!AF$26:AF$482,Баланс!$F$26:$F$482,$F442,Баланс!$G$26:$G$482,"ПО")</f>
        <v>0</v>
      </c>
      <c r="AG442" s="785">
        <f>_xlfn.SUMIFS(Баланс!AG$26:AG$482,Баланс!$F$26:$F$482,$F442,Баланс!$G$26:$G$482,"ПО")</f>
        <v>0</v>
      </c>
      <c r="AH442" s="786">
        <f>AG442-AF442</f>
        <v>0</v>
      </c>
      <c r="AI442" s="786">
        <f>_xlfn.SUMIFS(Баланс!AH$26:AH$482,Баланс!$F$26:$F$482,$F442,Баланс!$G$26:$G$482,"ПО")</f>
        <v>0</v>
      </c>
      <c r="AJ442" s="786">
        <f>_xlfn.SUMIFS(Баланс!AI$26:AI$482,Баланс!$F$26:$F$482,$F442,Баланс!$G$26:$G$482,"ПО")</f>
        <v>1091.22881</v>
      </c>
      <c r="AK442" s="786">
        <f>_xlfn.SUMIFS(Баланс!AJ$26:AJ$482,Баланс!$F$26:$F$482,$F442,Баланс!$G$26:$G$482,"ПО")</f>
        <v>1091.22881</v>
      </c>
      <c r="AL442" s="786">
        <f>_xlfn.SUMIFS(Баланс!AK$26:AK$482,Баланс!$F$26:$F$482,$F442,Баланс!$G$26:$G$482,"ПО")</f>
        <v>1091.22881</v>
      </c>
      <c r="AM442" s="786">
        <f>_xlfn.SUMIFS(Баланс!AL$26:AL$482,Баланс!$F$26:$F$482,$F442,Баланс!$G$26:$G$482,"ПО")</f>
        <v>1091.22881</v>
      </c>
      <c r="AN442" s="786">
        <f>_xlfn.SUMIFS(Баланс!AM$26:AM$482,Баланс!$F$26:$F$482,$F442,Баланс!$G$26:$G$482,"ПО")</f>
        <v>1091.22881</v>
      </c>
      <c r="AO442" s="786">
        <f>_xlfn.SUMIFS(Баланс!AN$26:AN$482,Баланс!$F$26:$F$482,$F442,Баланс!$G$26:$G$482,"ПО")</f>
        <v>0</v>
      </c>
      <c r="AP442" s="786">
        <f>_xlfn.SUMIFS(Баланс!AO$26:AO$482,Баланс!$F$26:$F$482,$F442,Баланс!$G$26:$G$482,"ПО")</f>
        <v>0</v>
      </c>
      <c r="AQ442" s="786">
        <f>_xlfn.SUMIFS(Баланс!AP$26:AP$482,Баланс!$F$26:$F$482,$F442,Баланс!$G$26:$G$482,"ПО")</f>
        <v>0</v>
      </c>
      <c r="AR442" s="786">
        <f>_xlfn.SUMIFS(Баланс!AQ$26:AQ$482,Баланс!$F$26:$F$482,$F442,Баланс!$G$26:$G$482,"ПО")</f>
        <v>0</v>
      </c>
      <c r="AS442" s="786">
        <f>_xlfn.SUMIFS(Баланс!AR$26:AR$482,Баланс!$F$26:$F$482,$F442,Баланс!$G$26:$G$482,"ПО")</f>
        <v>0</v>
      </c>
      <c r="AT442" s="786">
        <f>_xlfn.SUMIFS(Баланс!AS$26:AS$482,Баланс!$F$26:$F$482,$F442,Баланс!$G$26:$G$482,"ПО")</f>
        <v>1091.22881</v>
      </c>
      <c r="AU442" s="786">
        <f>_xlfn.SUMIFS(Баланс!AT$26:AT$482,Баланс!$F$26:$F$482,$F442,Баланс!$G$26:$G$482,"ПО")</f>
        <v>1091.22881</v>
      </c>
      <c r="AV442" s="786">
        <f>_xlfn.SUMIFS(Баланс!AU$26:AU$482,Баланс!$F$26:$F$482,$F442,Баланс!$G$26:$G$482,"ПО")</f>
        <v>1091.22881</v>
      </c>
      <c r="AW442" s="786">
        <f>_xlfn.SUMIFS(Баланс!AV$26:AV$482,Баланс!$F$26:$F$482,$F442,Баланс!$G$26:$G$482,"ПО")</f>
        <v>1091.22881</v>
      </c>
      <c r="AX442" s="786">
        <f>_xlfn.SUMIFS(Баланс!AW$26:AW$482,Баланс!$F$26:$F$482,$F442,Баланс!$G$26:$G$482,"ПО")</f>
        <v>1091.22881</v>
      </c>
      <c r="AY442" s="786">
        <f>_xlfn.SUMIFS(Баланс!AX$26:AX$482,Баланс!$F$26:$F$482,$F442,Баланс!$G$26:$G$482,"ПО")</f>
        <v>0</v>
      </c>
      <c r="AZ442" s="786">
        <f>_xlfn.SUMIFS(Баланс!AY$26:AY$482,Баланс!$F$26:$F$482,$F442,Баланс!$G$26:$G$482,"ПО")</f>
        <v>0</v>
      </c>
      <c r="BA442" s="786">
        <f>_xlfn.SUMIFS(Баланс!AZ$26:AZ$482,Баланс!$F$26:$F$482,$F442,Баланс!$G$26:$G$482,"ПО")</f>
        <v>0</v>
      </c>
      <c r="BB442" s="786">
        <f>_xlfn.SUMIFS(Баланс!BA$26:BA$482,Баланс!$F$26:$F$482,$F442,Баланс!$G$26:$G$482,"ПО")</f>
        <v>0</v>
      </c>
      <c r="BC442" s="786">
        <f>_xlfn.SUMIFS(Баланс!BB$26:BB$482,Баланс!$F$26:$F$482,$F442,Баланс!$G$26:$G$482,"ПО")</f>
        <v>0</v>
      </c>
      <c r="BD442" s="764"/>
      <c r="BE442" s="764"/>
      <c r="BF442" s="764"/>
      <c r="BG442" s="764"/>
      <c r="BH442" s="764"/>
      <c r="BI442" s="764"/>
      <c r="BJ442" s="764"/>
      <c r="BK442" s="764"/>
      <c r="BL442" s="764"/>
      <c r="BM442" s="764"/>
      <c r="BN442" s="7771"/>
      <c r="BO442" s="7771"/>
      <c r="BP442" s="7771"/>
      <c r="BQ442" s="700"/>
      <c r="BR442" s="700"/>
      <c r="BS442" s="1063" t="s">
        <v>2576</v>
      </c>
      <c r="BT442" s="1070"/>
      <c r="BU442" s="1070"/>
      <c r="BV442" s="707"/>
      <c r="BW442" s="707"/>
    </row>
    <row s="1834" customFormat="1" customHeight="1" ht="14.25">
      <c r="A443" s="1278"/>
      <c r="B443" s="978"/>
      <c r="C443" s="1278"/>
      <c r="D443" s="107" cm="1" t="str">
        <f t="array" ref="D443:D443">D442</f>
        <v>11</v>
      </c>
      <c r="E443" s="703">
        <v>15</v>
      </c>
      <c r="F443" s="50" cm="1" t="str">
        <f t="array" ref="F443:F443">OFFSET(E443,-1,1)</f>
        <v>2</v>
      </c>
      <c r="G443" s="158" t="s">
        <v>2373</v>
      </c>
      <c r="H443" s="1278"/>
      <c r="I443" s="158" t="s">
        <v>2899</v>
      </c>
      <c r="J443" s="1278"/>
      <c r="K443" s="158" t="s">
        <v>2899</v>
      </c>
      <c r="L443" s="980" t="s">
        <v>2577</v>
      </c>
      <c r="M443" s="107"/>
      <c r="N443" s="1278"/>
      <c r="O443" s="1278"/>
      <c r="P443" s="1278"/>
      <c r="Q443" s="1278"/>
      <c r="R443" s="1278"/>
      <c r="S443" s="1278"/>
      <c r="T443" s="465" cm="1" t="str">
        <f t="array" ref="T443:T443">T442</f>
        <v>true</v>
      </c>
      <c r="U443" s="1278"/>
      <c r="V443" s="1278"/>
      <c r="W443" s="1278"/>
      <c r="X443" s="1563"/>
      <c r="Y443" s="1278"/>
      <c r="Z443" s="1546"/>
      <c r="AA443" s="1278"/>
      <c r="AB443" s="300" t="str">
        <f>D443&amp;".1"</f>
        <v>11.1</v>
      </c>
      <c r="AC443" s="1111" t="s">
        <v>2579</v>
      </c>
      <c r="AD443" s="300" t="s">
        <v>1247</v>
      </c>
      <c r="AE443" s="7787">
        <f>IF(AE$24="2026 год",AE442/12*9,AE442/2)</f>
        <v>0</v>
      </c>
      <c r="AF443" s="7787">
        <f>IF(AF$24="2026 год",AF442/12*9,AF442/2)</f>
        <v>0</v>
      </c>
      <c r="AG443" s="7787">
        <f>IF(AG$24="2026 год",AG442/12*9,AG442/2)</f>
        <v>0</v>
      </c>
      <c r="AH443" s="941">
        <f>AG443-AF443</f>
        <v>0</v>
      </c>
      <c r="AI443" s="7497">
        <f>IF(AI$24="2026 год",AI442/12*9,AI442/2)</f>
        <v>0</v>
      </c>
      <c r="AJ443" s="7787">
        <f>IF(AJ$24="2026 год",AJ442/12*9,AJ442/2)</f>
        <v>818.4216075</v>
      </c>
      <c r="AK443" s="7787">
        <f>IF(AK$24="2026 год",AK442/12*9,AK442/2)</f>
        <v>545.614405</v>
      </c>
      <c r="AL443" s="7497">
        <f>IF(AL$24="2026 год",AL442/12*9,AL442/2)</f>
        <v>545.614405</v>
      </c>
      <c r="AM443" s="7497">
        <f>IF(AM$24="2026 год",AM442/12*9,AM442/2)</f>
        <v>545.614405</v>
      </c>
      <c r="AN443" s="7497">
        <f>IF(AN$24="2026 год",AN442/12*9,AN442/2)</f>
        <v>545.614405</v>
      </c>
      <c r="AO443" s="1261">
        <f>IF(AO$24="2026 год",AO442/12*9,AO442/2)</f>
        <v>0</v>
      </c>
      <c r="AP443" s="1261">
        <f>IF(AP$24="2026 год",AP442/12*9,AP442/2)</f>
        <v>0</v>
      </c>
      <c r="AQ443" s="1261">
        <f>IF(AQ$24="2026 год",AQ442/12*9,AQ442/2)</f>
        <v>0</v>
      </c>
      <c r="AR443" s="1261">
        <f>IF(AR$24="2026 год",AR442/12*9,AR442/2)</f>
        <v>0</v>
      </c>
      <c r="AS443" s="1261">
        <f>IF(AS$24="2026 год",AS442/12*9,AS442/2)</f>
        <v>0</v>
      </c>
      <c r="AT443" s="7497">
        <f>IF(AT$24="2026 год",AT442/12*9,AT442/2)</f>
        <v>818.4216075</v>
      </c>
      <c r="AU443" s="7497">
        <f>IF(AU$24="2026 год",AU442/12*9,AU442/2)</f>
        <v>545.614405</v>
      </c>
      <c r="AV443" s="7497">
        <f>IF(AV$24="2026 год",AV442/12*9,AV442/2)</f>
        <v>545.614405</v>
      </c>
      <c r="AW443" s="7497">
        <f>IF(AW$24="2026 год",AW442/12*9,AW442/2)</f>
        <v>545.614405</v>
      </c>
      <c r="AX443" s="7497">
        <f>IF(AX$24="2026 год",AX442/12*9,AX442/2)</f>
        <v>545.614405</v>
      </c>
      <c r="AY443" s="1261">
        <f>IF(AY$24="2026 год",AY442/12*9,AY442/2)</f>
        <v>0</v>
      </c>
      <c r="AZ443" s="1261">
        <f>IF(AZ$24="2026 год",AZ442/12*9,AZ442/2)</f>
        <v>0</v>
      </c>
      <c r="BA443" s="1261">
        <f>IF(BA$24="2026 год",BA442/12*9,BA442/2)</f>
        <v>0</v>
      </c>
      <c r="BB443" s="1261">
        <f>IF(BB$24="2026 год",BB442/12*9,BB442/2)</f>
        <v>0</v>
      </c>
      <c r="BC443" s="1261">
        <f>IF(BC$24="2026 год",BC442/12*9,BC442/2)</f>
        <v>0</v>
      </c>
      <c r="BD443" s="942"/>
      <c r="BE443" s="942"/>
      <c r="BF443" s="942"/>
      <c r="BG443" s="942"/>
      <c r="BH443" s="942"/>
      <c r="BI443" s="942"/>
      <c r="BJ443" s="942"/>
      <c r="BK443" s="942"/>
      <c r="BL443" s="942"/>
      <c r="BM443" s="942"/>
      <c r="BN443" s="7771"/>
      <c r="BO443" s="7771"/>
      <c r="BP443" s="7771"/>
      <c r="BQ443" s="1278"/>
      <c r="BR443" s="1278"/>
      <c r="BS443" s="1062" t="s">
        <v>2580</v>
      </c>
      <c r="BT443" s="1064"/>
      <c r="BU443" s="1064"/>
      <c r="BV443" s="979"/>
      <c r="BW443" s="979"/>
    </row>
    <row s="1834" customFormat="1" customHeight="1" ht="14.25">
      <c r="A444" s="1278"/>
      <c r="B444" s="978"/>
      <c r="C444" s="1278"/>
      <c r="D444" s="107" cm="1" t="str">
        <f t="array" ref="D444:D444">D443</f>
        <v>11</v>
      </c>
      <c r="E444" s="703">
        <v>15</v>
      </c>
      <c r="F444" s="50" cm="1" t="str">
        <f t="array" ref="F444:F444">OFFSET(E444,-1,1)</f>
        <v>2</v>
      </c>
      <c r="G444" s="158" t="s">
        <v>2334</v>
      </c>
      <c r="H444" s="1278"/>
      <c r="I444" s="158" t="s">
        <v>2900</v>
      </c>
      <c r="J444" s="1278"/>
      <c r="K444" s="158" t="s">
        <v>2900</v>
      </c>
      <c r="L444" s="980" t="s">
        <v>2581</v>
      </c>
      <c r="M444" s="107"/>
      <c r="N444" s="1278"/>
      <c r="O444" s="1278"/>
      <c r="P444" s="1278"/>
      <c r="Q444" s="1278"/>
      <c r="R444" s="1278"/>
      <c r="S444" s="1278"/>
      <c r="T444" s="465" cm="1" t="str">
        <f t="array" ref="T444:T444">T443</f>
        <v>true</v>
      </c>
      <c r="U444" s="1278"/>
      <c r="V444" s="1278"/>
      <c r="W444" s="1278"/>
      <c r="X444" s="1563"/>
      <c r="Y444" s="1278"/>
      <c r="Z444" s="1546"/>
      <c r="AA444" s="1278"/>
      <c r="AB444" s="300" t="str">
        <f>D444&amp;".2"</f>
        <v>11.2</v>
      </c>
      <c r="AC444" s="1111" t="s">
        <v>2583</v>
      </c>
      <c r="AD444" s="300" t="s">
        <v>2337</v>
      </c>
      <c r="AE444" s="7773"/>
      <c r="AF444" s="7773"/>
      <c r="AG444" s="7773"/>
      <c r="AH444" s="943">
        <f>AG444-AF444</f>
        <v>0</v>
      </c>
      <c r="AI444" s="7501"/>
      <c r="AJ444" s="7501"/>
      <c r="AK444" s="7501"/>
      <c r="AL444" s="7501"/>
      <c r="AM444" s="7501"/>
      <c r="AN444" s="7501"/>
      <c r="AO444" s="1262"/>
      <c r="AP444" s="1262"/>
      <c r="AQ444" s="1262"/>
      <c r="AR444" s="1262"/>
      <c r="AS444" s="1262"/>
      <c r="AT444" s="7501"/>
      <c r="AU444" s="7501" cm="1" t="str">
        <f t="array" ref="AU444:AU444">AT446</f>
        <v>285.328181351518</v>
      </c>
      <c r="AV444" s="7501" cm="1" t="str">
        <f t="array" ref="AV444:AV444">AU446</f>
        <v>-128.845432857075</v>
      </c>
      <c r="AW444" s="7501" cm="1" t="str">
        <f t="array" ref="AW444:AW444">AV446</f>
        <v>293.776559515395</v>
      </c>
      <c r="AX444" s="7501" cm="1" t="str">
        <f t="array" ref="AX444:AX444">AW446</f>
        <v>-117.866283054701</v>
      </c>
      <c r="AY444" s="1262" cm="1" t="str">
        <f t="array" ref="AY444:AY444">AX446</f>
        <v>326.567684190093</v>
      </c>
      <c r="AZ444" s="1262" cm="1" t="str">
        <f t="array" ref="AZ444:AZ444">AY446</f>
        <v>0</v>
      </c>
      <c r="BA444" s="1262" cm="1" t="str">
        <f t="array" ref="BA444:BA444">AZ446</f>
        <v>0</v>
      </c>
      <c r="BB444" s="1262" cm="1" t="str">
        <f t="array" ref="BB444:BB444">BA446</f>
        <v>0</v>
      </c>
      <c r="BC444" s="1262" cm="1" t="str">
        <f t="array" ref="BC444:BC444">BB446</f>
        <v>0</v>
      </c>
      <c r="BD444" s="942"/>
      <c r="BE444" s="942"/>
      <c r="BF444" s="942"/>
      <c r="BG444" s="942"/>
      <c r="BH444" s="942"/>
      <c r="BI444" s="942"/>
      <c r="BJ444" s="942"/>
      <c r="BK444" s="942"/>
      <c r="BL444" s="942"/>
      <c r="BM444" s="942"/>
      <c r="BN444" s="7771"/>
      <c r="BO444" s="7771"/>
      <c r="BP444" s="7771"/>
      <c r="BQ444" s="1278"/>
      <c r="BR444" s="1278"/>
      <c r="BS444" s="1062" t="s">
        <v>2584</v>
      </c>
      <c r="BT444" s="1064"/>
      <c r="BU444" s="1064"/>
      <c r="BV444" s="979"/>
      <c r="BW444" s="979"/>
    </row>
    <row s="1834" customFormat="1" customHeight="1" ht="14.25">
      <c r="A445" s="1278"/>
      <c r="B445" s="978"/>
      <c r="C445" s="1278"/>
      <c r="D445" s="107" cm="1" t="str">
        <f t="array" ref="D445:D445">D444</f>
        <v>11</v>
      </c>
      <c r="E445" s="703">
        <v>15</v>
      </c>
      <c r="F445" s="50" cm="1" t="str">
        <f t="array" ref="F445:F445">OFFSET(E445,-1,1)</f>
        <v>2</v>
      </c>
      <c r="G445" s="158" t="s">
        <v>2386</v>
      </c>
      <c r="H445" s="1278"/>
      <c r="I445" s="158" t="s">
        <v>2901</v>
      </c>
      <c r="J445" s="1278"/>
      <c r="K445" s="158" t="s">
        <v>2901</v>
      </c>
      <c r="L445" s="980" t="s">
        <v>2585</v>
      </c>
      <c r="M445" s="107"/>
      <c r="N445" s="1278"/>
      <c r="O445" s="1278"/>
      <c r="P445" s="1278"/>
      <c r="Q445" s="1278"/>
      <c r="R445" s="1278"/>
      <c r="S445" s="1278"/>
      <c r="T445" s="465" cm="1" t="str">
        <f t="array" ref="T445:T445">T444</f>
        <v>true</v>
      </c>
      <c r="U445" s="1278"/>
      <c r="V445" s="1278"/>
      <c r="W445" s="1278"/>
      <c r="X445" s="1563"/>
      <c r="Y445" s="1278"/>
      <c r="Z445" s="1546"/>
      <c r="AA445" s="1278"/>
      <c r="AB445" s="300" t="str">
        <f>D445&amp;".3"</f>
        <v>11.3</v>
      </c>
      <c r="AC445" s="1111" t="s">
        <v>2902</v>
      </c>
      <c r="AD445" s="300" t="s">
        <v>1247</v>
      </c>
      <c r="AE445" s="946">
        <f>AE442-AE443</f>
        <v>0</v>
      </c>
      <c r="AF445" s="946">
        <f>AF442-AF443</f>
        <v>0</v>
      </c>
      <c r="AG445" s="946">
        <f>AG442-AG443</f>
        <v>0</v>
      </c>
      <c r="AH445" s="941">
        <f>AG445-AF445</f>
        <v>0</v>
      </c>
      <c r="AI445" s="825">
        <f>AI442-AI443</f>
        <v>0</v>
      </c>
      <c r="AJ445" s="825">
        <f>AJ442-AJ443</f>
        <v>272.8072025</v>
      </c>
      <c r="AK445" s="825">
        <f>AK442-AK443</f>
        <v>545.614405</v>
      </c>
      <c r="AL445" s="825">
        <f>AL442-AL443</f>
        <v>545.614405</v>
      </c>
      <c r="AM445" s="825">
        <f>AM442-AM443</f>
        <v>545.614405</v>
      </c>
      <c r="AN445" s="825">
        <f>AN442-AN443</f>
        <v>545.614405</v>
      </c>
      <c r="AO445" s="825">
        <f>AO442-AO443</f>
        <v>0</v>
      </c>
      <c r="AP445" s="825">
        <f>AP442-AP443</f>
        <v>0</v>
      </c>
      <c r="AQ445" s="825">
        <f>AQ442-AQ443</f>
        <v>0</v>
      </c>
      <c r="AR445" s="825">
        <f>AR442-AR443</f>
        <v>0</v>
      </c>
      <c r="AS445" s="825">
        <f>AS442-AS443</f>
        <v>0</v>
      </c>
      <c r="AT445" s="825">
        <f>AT442-AT443</f>
        <v>272.8072025</v>
      </c>
      <c r="AU445" s="825">
        <f>AU442-AU443</f>
        <v>545.614405</v>
      </c>
      <c r="AV445" s="825">
        <f>AV442-AV443</f>
        <v>545.614405</v>
      </c>
      <c r="AW445" s="825">
        <f>AW442-AW443</f>
        <v>545.614405</v>
      </c>
      <c r="AX445" s="825">
        <f>AX442-AX443</f>
        <v>545.614405</v>
      </c>
      <c r="AY445" s="825">
        <f>AY442-AY443</f>
        <v>0</v>
      </c>
      <c r="AZ445" s="825">
        <f>AZ442-AZ443</f>
        <v>0</v>
      </c>
      <c r="BA445" s="825">
        <f>BA442-BA443</f>
        <v>0</v>
      </c>
      <c r="BB445" s="825">
        <f>BB442-BB443</f>
        <v>0</v>
      </c>
      <c r="BC445" s="825">
        <f>BC442-BC443</f>
        <v>0</v>
      </c>
      <c r="BD445" s="942"/>
      <c r="BE445" s="942"/>
      <c r="BF445" s="942"/>
      <c r="BG445" s="942"/>
      <c r="BH445" s="942"/>
      <c r="BI445" s="942"/>
      <c r="BJ445" s="942"/>
      <c r="BK445" s="942"/>
      <c r="BL445" s="942"/>
      <c r="BM445" s="942"/>
      <c r="BN445" s="7771"/>
      <c r="BO445" s="7771"/>
      <c r="BP445" s="7771"/>
      <c r="BQ445" s="1278"/>
      <c r="BR445" s="1278"/>
      <c r="BS445" s="1062" t="s">
        <v>2588</v>
      </c>
      <c r="BT445" s="1064"/>
      <c r="BU445" s="1064"/>
      <c r="BV445" s="979"/>
      <c r="BW445" s="979"/>
    </row>
    <row s="1834" customFormat="1" customHeight="1" ht="14.25">
      <c r="A446" s="1278"/>
      <c r="B446" s="978"/>
      <c r="C446" s="1278"/>
      <c r="D446" s="107" cm="1" t="str">
        <f t="array" ref="D446:D446">D445</f>
        <v>11</v>
      </c>
      <c r="E446" s="703">
        <v>15</v>
      </c>
      <c r="F446" s="50" cm="1" t="str">
        <f t="array" ref="F446:F446">OFFSET(E446,-1,1)</f>
        <v>2</v>
      </c>
      <c r="G446" s="158" t="s">
        <v>2339</v>
      </c>
      <c r="H446" s="1278"/>
      <c r="I446" s="158" t="s">
        <v>2903</v>
      </c>
      <c r="J446" s="1278"/>
      <c r="K446" s="158" t="s">
        <v>2903</v>
      </c>
      <c r="L446" s="980" t="s">
        <v>2589</v>
      </c>
      <c r="M446" s="107"/>
      <c r="N446" s="1278"/>
      <c r="O446" s="1278"/>
      <c r="P446" s="1278"/>
      <c r="Q446" s="1278"/>
      <c r="R446" s="1278"/>
      <c r="S446" s="1278"/>
      <c r="T446" s="465" cm="1" t="str">
        <f t="array" ref="T446:T446">T445</f>
        <v>true</v>
      </c>
      <c r="U446" s="1278"/>
      <c r="V446" s="1278"/>
      <c r="W446" s="1278"/>
      <c r="X446" s="1563"/>
      <c r="Y446" s="1278"/>
      <c r="Z446" s="1546"/>
      <c r="AA446" s="1278"/>
      <c r="AB446" s="300" t="str">
        <f>D446&amp;".4"</f>
        <v>11.4</v>
      </c>
      <c r="AC446" s="1111" t="s">
        <v>2591</v>
      </c>
      <c r="AD446" s="300" t="s">
        <v>2337</v>
      </c>
      <c r="AE446" s="7773">
        <f>IF(AE445=0,0,(AE439-AE443*AE444)/AE445)</f>
        <v>0</v>
      </c>
      <c r="AF446" s="7773">
        <f>IF(AF445=0,0,(AF439-AF443*AF444)/AF445)</f>
        <v>0</v>
      </c>
      <c r="AG446" s="7773">
        <f>IF(AG445=0,0,(AG439-AG443*AG444)/AG445)</f>
        <v>0</v>
      </c>
      <c r="AH446" s="943">
        <f>AG446-AF446</f>
        <v>0</v>
      </c>
      <c r="AI446" s="7501">
        <f>IF(AI445=0,0,(AI439-AI443*AI444)/AI445)</f>
        <v>0</v>
      </c>
      <c r="AJ446" s="7501">
        <f>IF(AJ445=0,0,(AJ439-AJ443*AJ444)/AJ445)</f>
        <v>285.328189979881</v>
      </c>
      <c r="AK446" s="7501">
        <f>IF(AK445=0,0,(AK439-AK443*AK444)/AK445)</f>
        <v>156.482754172598</v>
      </c>
      <c r="AL446" s="7501">
        <f>IF(AL445=0,0,(AL439-AL443*AL444)/AL445)</f>
        <v>164.930881924841</v>
      </c>
      <c r="AM446" s="7501">
        <f>IF(AM445=0,0,(AM439-AM443*AM444)/AM445)</f>
        <v>175.912195151509</v>
      </c>
      <c r="AN446" s="7501">
        <f>IF(AN445=0,0,(AN439-AN443*AN444)/AN445)</f>
        <v>208.547115393788</v>
      </c>
      <c r="AO446" s="1262">
        <f>IF(AO445=0,0,(AO439-AO443*AO444)/AO445)</f>
        <v>0</v>
      </c>
      <c r="AP446" s="1262">
        <f>IF(AP445=0,0,(AP439-AP443*AP444)/AP445)</f>
        <v>0</v>
      </c>
      <c r="AQ446" s="1262">
        <f>IF(AQ445=0,0,(AQ439-AQ443*AQ444)/AQ445)</f>
        <v>0</v>
      </c>
      <c r="AR446" s="1262">
        <f>IF(AR445=0,0,(AR439-AR443*AR444)/AR445)</f>
        <v>0</v>
      </c>
      <c r="AS446" s="1262">
        <f>IF(AS445=0,0,(AS439-AS443*AS444)/AS445)</f>
        <v>0</v>
      </c>
      <c r="AT446" s="7501">
        <f>IF(AT445=0,0,(AT439-AT443*AT444)/AT445)</f>
        <v>285.328181351518</v>
      </c>
      <c r="AU446" s="7501">
        <f>IF(AU445=0,0,(AU439-AU443*AU444)/AU445)</f>
        <v>-128.845432857075</v>
      </c>
      <c r="AV446" s="7501">
        <f>IF(AV445=0,0,(AV439-AV443*AV444)/AV445)</f>
        <v>293.776559515395</v>
      </c>
      <c r="AW446" s="7501">
        <f>IF(AW445=0,0,(AW439-AW443*AW444)/AW445)</f>
        <v>-117.866283054701</v>
      </c>
      <c r="AX446" s="7501">
        <f>IF(AX445=0,0,(AX439-AX443*AX444)/AX445)</f>
        <v>326.567684190093</v>
      </c>
      <c r="AY446" s="1262">
        <f>IF(AY445=0,0,(AY439-AY443*AY444)/AY445)</f>
        <v>0</v>
      </c>
      <c r="AZ446" s="1262">
        <f>IF(AZ445=0,0,(AZ439-AZ443*AZ444)/AZ445)</f>
        <v>0</v>
      </c>
      <c r="BA446" s="1262">
        <f>IF(BA445=0,0,(BA439-BA443*BA444)/BA445)</f>
        <v>0</v>
      </c>
      <c r="BB446" s="1262">
        <f>IF(BB445=0,0,(BB439-BB443*BB444)/BB445)</f>
        <v>0</v>
      </c>
      <c r="BC446" s="1262">
        <f>IF(BC445=0,0,(BC439-BC443*BC444)/BC445)</f>
        <v>0</v>
      </c>
      <c r="BD446" s="942"/>
      <c r="BE446" s="942"/>
      <c r="BF446" s="942"/>
      <c r="BG446" s="942"/>
      <c r="BH446" s="942"/>
      <c r="BI446" s="942"/>
      <c r="BJ446" s="942"/>
      <c r="BK446" s="942"/>
      <c r="BL446" s="942"/>
      <c r="BM446" s="942"/>
      <c r="BN446" s="7771"/>
      <c r="BO446" s="7771"/>
      <c r="BP446" s="7771"/>
      <c r="BQ446" s="1278"/>
      <c r="BR446" s="1278"/>
      <c r="BS446" s="1062" t="s">
        <v>2592</v>
      </c>
      <c r="BT446" s="1064"/>
      <c r="BU446" s="1064"/>
      <c r="BV446" s="979"/>
      <c r="BW446" s="979"/>
    </row>
    <row s="1834" customFormat="1" customHeight="1" ht="14.25">
      <c r="A447" s="1278"/>
      <c r="B447" s="978"/>
      <c r="C447" s="1278"/>
      <c r="D447" s="107" cm="1" t="str">
        <f t="array" ref="D447:D447">D446</f>
        <v>11</v>
      </c>
      <c r="E447" s="703">
        <v>15</v>
      </c>
      <c r="F447" s="50" cm="1" t="str">
        <f t="array" ref="F447:F447">OFFSET(E447,-1,1)</f>
        <v>2</v>
      </c>
      <c r="G447" s="1278"/>
      <c r="H447" s="1278"/>
      <c r="I447" s="158" t="s">
        <v>2904</v>
      </c>
      <c r="J447" s="1278"/>
      <c r="K447" s="158" t="s">
        <v>2904</v>
      </c>
      <c r="L447" s="980" t="s">
        <v>2593</v>
      </c>
      <c r="M447" s="107"/>
      <c r="N447" s="1278"/>
      <c r="O447" s="1278"/>
      <c r="P447" s="1278"/>
      <c r="Q447" s="1278"/>
      <c r="R447" s="1278"/>
      <c r="S447" s="1278"/>
      <c r="T447" s="465" cm="1" t="str">
        <f t="array" ref="T447:T447">T446</f>
        <v>true</v>
      </c>
      <c r="U447" s="1278"/>
      <c r="V447" s="1278"/>
      <c r="W447" s="1278"/>
      <c r="X447" s="1563"/>
      <c r="Y447" s="1278"/>
      <c r="Z447" s="1546"/>
      <c r="AA447" s="1278"/>
      <c r="AB447" s="300" t="str">
        <f>D447&amp;".5"</f>
        <v>11.5</v>
      </c>
      <c r="AC447" s="1111" t="s">
        <v>2595</v>
      </c>
      <c r="AD447" s="300" t="s">
        <v>1170</v>
      </c>
      <c r="AE447" s="259">
        <f>IF(AE444=0,0,AE446/AE444*100)</f>
        <v>0</v>
      </c>
      <c r="AF447" s="259">
        <f>IF(AF444=0,0,AF446/AF444*100)</f>
        <v>0</v>
      </c>
      <c r="AG447" s="259">
        <f>IF(AG444=0,0,AG446/AG444*100)</f>
        <v>0</v>
      </c>
      <c r="AH447" s="942"/>
      <c r="AI447" s="802">
        <f>IF(AI444=0,0,AI446/AI444*100)</f>
        <v>0</v>
      </c>
      <c r="AJ447" s="802">
        <f>IF(AJ444=0,0,AJ446/AJ444*100)</f>
        <v>0</v>
      </c>
      <c r="AK447" s="802">
        <f>IF(AK444=0,0,AK446/AK444*100)</f>
        <v>0</v>
      </c>
      <c r="AL447" s="802">
        <f>IF(AL444=0,0,AL446/AL444*100)</f>
        <v>0</v>
      </c>
      <c r="AM447" s="802">
        <f>IF(AM444=0,0,AM446/AM444*100)</f>
        <v>0</v>
      </c>
      <c r="AN447" s="802">
        <f>IF(AN444=0,0,AN446/AN444*100)</f>
        <v>0</v>
      </c>
      <c r="AO447" s="802">
        <f>IF(AO444=0,0,AO446/AO444*100)</f>
        <v>0</v>
      </c>
      <c r="AP447" s="802">
        <f>IF(AP444=0,0,AP446/AP444*100)</f>
        <v>0</v>
      </c>
      <c r="AQ447" s="802">
        <f>IF(AQ444=0,0,AQ446/AQ444*100)</f>
        <v>0</v>
      </c>
      <c r="AR447" s="802">
        <f>IF(AR444=0,0,AR446/AR444*100)</f>
        <v>0</v>
      </c>
      <c r="AS447" s="802">
        <f>IF(AS444=0,0,AS446/AS444*100)</f>
        <v>0</v>
      </c>
      <c r="AT447" s="802">
        <f>IF(AT444=0,0,AT446/AT444*100)</f>
        <v>0</v>
      </c>
      <c r="AU447" s="802">
        <f>IF(AU444=0,0,AU446/AU444*100)</f>
        <v>-45.1569250001073</v>
      </c>
      <c r="AV447" s="802">
        <f>IF(AV444=0,0,AV446/AV444*100)</f>
        <v>-228.006963848904</v>
      </c>
      <c r="AW447" s="802">
        <f>IF(AW444=0,0,AW446/AW444*100)</f>
        <v>-40.1210645427701</v>
      </c>
      <c r="AX447" s="802">
        <f>IF(AX444=0,0,AX446/AX444*100)</f>
        <v>-277.066244668575</v>
      </c>
      <c r="AY447" s="802">
        <f>IF(AY444=0,0,AY446/AY444*100)</f>
        <v>0</v>
      </c>
      <c r="AZ447" s="802">
        <f>IF(AZ444=0,0,AZ446/AZ444*100)</f>
        <v>0</v>
      </c>
      <c r="BA447" s="802">
        <f>IF(BA444=0,0,BA446/BA444*100)</f>
        <v>0</v>
      </c>
      <c r="BB447" s="802">
        <f>IF(BB444=0,0,BB446/BB444*100)</f>
        <v>0</v>
      </c>
      <c r="BC447" s="802">
        <f>IF(BC444=0,0,BC446/BC444*100)</f>
        <v>0</v>
      </c>
      <c r="BD447" s="942"/>
      <c r="BE447" s="942"/>
      <c r="BF447" s="942"/>
      <c r="BG447" s="942"/>
      <c r="BH447" s="942"/>
      <c r="BI447" s="942"/>
      <c r="BJ447" s="942"/>
      <c r="BK447" s="942"/>
      <c r="BL447" s="942"/>
      <c r="BM447" s="942"/>
      <c r="BN447" s="7771"/>
      <c r="BO447" s="7771"/>
      <c r="BP447" s="7771"/>
      <c r="BQ447" s="1278"/>
      <c r="BR447" s="1278"/>
      <c r="BS447" s="1062" t="s">
        <v>2596</v>
      </c>
      <c r="BT447" s="1064"/>
      <c r="BU447" s="1064"/>
      <c r="BV447" s="979"/>
      <c r="BW447" s="979"/>
    </row>
    <row s="1834" customFormat="1" customHeight="1" ht="14.25">
      <c r="A448" s="1278"/>
      <c r="B448" s="978"/>
      <c r="C448" s="1278"/>
      <c r="D448" s="107" cm="1" t="str">
        <f t="array" ref="D448:D448">D447</f>
        <v>11</v>
      </c>
      <c r="E448" s="703">
        <v>15</v>
      </c>
      <c r="F448" s="50" cm="1" t="str">
        <f t="array" ref="F448:F448">OFFSET(E448,-1,1)</f>
        <v>2</v>
      </c>
      <c r="G448" s="1278"/>
      <c r="H448" s="1278"/>
      <c r="I448" s="158" t="s">
        <v>2905</v>
      </c>
      <c r="J448" s="1278"/>
      <c r="K448" s="158" t="s">
        <v>2905</v>
      </c>
      <c r="L448" s="980" t="s">
        <v>2597</v>
      </c>
      <c r="M448" s="107"/>
      <c r="N448" s="1278"/>
      <c r="O448" s="1278"/>
      <c r="P448" s="1278"/>
      <c r="Q448" s="1278"/>
      <c r="R448" s="1278"/>
      <c r="S448" s="1278"/>
      <c r="T448" s="465" cm="1" t="str">
        <f t="array" ref="T448:T448">T447</f>
        <v>true</v>
      </c>
      <c r="U448" s="1278"/>
      <c r="V448" s="1278"/>
      <c r="W448" s="1278"/>
      <c r="X448" s="1563"/>
      <c r="Y448" s="1278"/>
      <c r="Z448" s="1546"/>
      <c r="AA448" s="1278"/>
      <c r="AB448" s="300" t="str">
        <f>D448&amp;".6"</f>
        <v>11.6</v>
      </c>
      <c r="AC448" s="1111" t="s">
        <v>2599</v>
      </c>
      <c r="AD448" s="300" t="s">
        <v>2337</v>
      </c>
      <c r="AE448" s="7773">
        <f>IF(AE442=0,0,AE439/AE442)</f>
        <v>0</v>
      </c>
      <c r="AF448" s="7773">
        <f>IF(AF442=0,0,AF439/AF442)</f>
        <v>0</v>
      </c>
      <c r="AG448" s="7773">
        <f>IF(AG442=0,0,AG439/AG442)</f>
        <v>0</v>
      </c>
      <c r="AH448" s="943">
        <f>AG448-AF448</f>
        <v>0</v>
      </c>
      <c r="AI448" s="7501">
        <f>IF(AI442=0,0,AI439/AI442)</f>
        <v>0</v>
      </c>
      <c r="AJ448" s="7501">
        <f>IF(AJ442=0,0,AJ439/AJ442)</f>
        <v>71.3320474949704</v>
      </c>
      <c r="AK448" s="7501">
        <f>IF(AK442=0,0,AK439/AK442)</f>
        <v>78.2413770862989</v>
      </c>
      <c r="AL448" s="7501">
        <f>IF(AL442=0,0,AL439/AL442)</f>
        <v>82.4654409624207</v>
      </c>
      <c r="AM448" s="7501">
        <f>IF(AM442=0,0,AM439/AM442)</f>
        <v>87.9560975757545</v>
      </c>
      <c r="AN448" s="7501">
        <f>IF(AN442=0,0,AN439/AN442)</f>
        <v>104.273557696894</v>
      </c>
      <c r="AO448" s="1262">
        <f>IF(AO442=0,0,AO439/AO442)</f>
        <v>0</v>
      </c>
      <c r="AP448" s="1262">
        <f>IF(AP442=0,0,AP439/AP442)</f>
        <v>0</v>
      </c>
      <c r="AQ448" s="1262">
        <f>IF(AQ442=0,0,AQ439/AQ442)</f>
        <v>0</v>
      </c>
      <c r="AR448" s="1262">
        <f>IF(AR442=0,0,AR439/AR442)</f>
        <v>0</v>
      </c>
      <c r="AS448" s="1262">
        <f>IF(AS442=0,0,AS439/AS442)</f>
        <v>0</v>
      </c>
      <c r="AT448" s="7501">
        <f>IF(AT442=0,0,AT439/AT442)</f>
        <v>71.3320453378795</v>
      </c>
      <c r="AU448" s="7501">
        <f>IF(AU442=0,0,AU439/AU442)</f>
        <v>78.2413742472218</v>
      </c>
      <c r="AV448" s="7501">
        <f>IF(AV442=0,0,AV439/AV442)</f>
        <v>82.4655633291599</v>
      </c>
      <c r="AW448" s="7501">
        <f>IF(AW442=0,0,AW439/AW442)</f>
        <v>87.9551382303466</v>
      </c>
      <c r="AX448" s="7501">
        <f>IF(AX442=0,0,AX439/AX442)</f>
        <v>104.350700567696</v>
      </c>
      <c r="AY448" s="1262">
        <f>IF(AY442=0,0,AY439/AY442)</f>
        <v>0</v>
      </c>
      <c r="AZ448" s="1262">
        <f>IF(AZ442=0,0,AZ439/AZ442)</f>
        <v>0</v>
      </c>
      <c r="BA448" s="1262">
        <f>IF(BA442=0,0,BA439/BA442)</f>
        <v>0</v>
      </c>
      <c r="BB448" s="1262">
        <f>IF(BB442=0,0,BB439/BB442)</f>
        <v>0</v>
      </c>
      <c r="BC448" s="1262">
        <f>IF(BC442=0,0,BC439/BC442)</f>
        <v>0</v>
      </c>
      <c r="BD448" s="942"/>
      <c r="BE448" s="942"/>
      <c r="BF448" s="942"/>
      <c r="BG448" s="942"/>
      <c r="BH448" s="942"/>
      <c r="BI448" s="942"/>
      <c r="BJ448" s="942"/>
      <c r="BK448" s="942"/>
      <c r="BL448" s="942"/>
      <c r="BM448" s="942"/>
      <c r="BN448" s="7771"/>
      <c r="BO448" s="7771"/>
      <c r="BP448" s="7771"/>
      <c r="BQ448" s="1278"/>
      <c r="BR448" s="1278"/>
      <c r="BS448" s="1062" t="s">
        <v>2600</v>
      </c>
      <c r="BT448" s="1064"/>
      <c r="BU448" s="1064"/>
      <c r="BV448" s="979"/>
      <c r="BW448" s="979"/>
    </row>
    <row s="7847" customFormat="1" customHeight="1" ht="20.25">
      <c r="A449" s="700"/>
      <c r="B449" s="435"/>
      <c r="C449" s="700"/>
      <c r="D449" s="109">
        <f>D448+1</f>
        <v>12</v>
      </c>
      <c r="E449" s="707">
        <v>21</v>
      </c>
      <c r="F449" s="50" cm="1" t="str">
        <f t="array" ref="F449:F449">OFFSET(E449,-1,1)</f>
        <v>2</v>
      </c>
      <c r="G449" s="700"/>
      <c r="H449" s="158"/>
      <c r="I449" s="158" t="s">
        <v>2604</v>
      </c>
      <c r="J449" s="700"/>
      <c r="K449" s="158" t="s">
        <v>2604</v>
      </c>
      <c r="L449" s="985" t="s">
        <v>2601</v>
      </c>
      <c r="M449" s="109"/>
      <c r="N449" s="700"/>
      <c r="O449" s="700"/>
      <c r="P449" s="700"/>
      <c r="Q449" s="700"/>
      <c r="R449" s="700"/>
      <c r="S449" s="700"/>
      <c r="T449" s="465" cm="1" t="str">
        <f t="array" ref="T449:T449">T448</f>
        <v>true</v>
      </c>
      <c r="U449" s="700"/>
      <c r="V449" s="700"/>
      <c r="W449" s="700"/>
      <c r="X449" s="1563"/>
      <c r="Y449" s="700"/>
      <c r="Z449" s="1546"/>
      <c r="AA449" s="700"/>
      <c r="AB449" s="211" cm="1" t="str">
        <f t="array" ref="AB449:AB449">D449</f>
        <v>12</v>
      </c>
      <c r="AC449" s="212" t="s">
        <v>2602</v>
      </c>
      <c r="AD449" s="211" t="s">
        <v>1514</v>
      </c>
      <c r="AE449" s="7499">
        <f>IF(AE442=0,0,AE439/AE442*AE450)</f>
        <v>0</v>
      </c>
      <c r="AF449" s="7499">
        <f>IF(AF442=0,0,AF439/AF442*AF450)</f>
        <v>0</v>
      </c>
      <c r="AG449" s="7499">
        <f>IF(AG442=0,0,AG439/AG442*AG450)</f>
        <v>0</v>
      </c>
      <c r="AH449" s="770">
        <f>AH451*AH452+AH453*AH454</f>
        <v>0</v>
      </c>
      <c r="AI449" s="7789">
        <f>IF(AI442=0,0,AI439/AI442*AI450)</f>
        <v>0</v>
      </c>
      <c r="AJ449" s="7789">
        <f>IF(AJ442=0,0,AJ439/AJ442*AJ450)</f>
        <v>48704.5526270403</v>
      </c>
      <c r="AK449" s="7789">
        <f>IF(AK442=0,0,AK439/AK442*AK450)</f>
        <v>53422.1489742103</v>
      </c>
      <c r="AL449" s="7789">
        <f>IF(AL442=0,0,AL439/AL442*AL450)</f>
        <v>56306.2823837982</v>
      </c>
      <c r="AM449" s="7789">
        <f>IF(AM442=0,0,AM439/AM442*AM450)</f>
        <v>60055.2281013591</v>
      </c>
      <c r="AN449" s="7789">
        <f>IF(AN442=0,0,AN439/AN442*AN450)</f>
        <v>71196.5681177901</v>
      </c>
      <c r="AO449" s="1263">
        <f>IF(AO442=0,0,AO439/AO442*AO450)</f>
        <v>0</v>
      </c>
      <c r="AP449" s="1263">
        <f>IF(AP442=0,0,AP439/AP442*AP450)</f>
        <v>0</v>
      </c>
      <c r="AQ449" s="1263">
        <f>IF(AQ442=0,0,AQ439/AQ442*AQ450)</f>
        <v>0</v>
      </c>
      <c r="AR449" s="1263">
        <f>IF(AR442=0,0,AR439/AR442*AR450)</f>
        <v>0</v>
      </c>
      <c r="AS449" s="1263">
        <f>IF(AS442=0,0,AS439/AS442*AS450)</f>
        <v>0</v>
      </c>
      <c r="AT449" s="7789">
        <f>IF(AT442=0,0,AT439/AT442*AT450)</f>
        <v>48704.551154208</v>
      </c>
      <c r="AU449" s="7789">
        <f>IF(AU442=0,0,AU439/AU442*AU450)</f>
        <v>53422.147035727</v>
      </c>
      <c r="AV449" s="7789">
        <f>IF(AV442=0,0,AV439/AV442*AV450)</f>
        <v>56306.3659341447</v>
      </c>
      <c r="AW449" s="7789">
        <f>IF(AW442=0,0,AW439/AW442*AW450)</f>
        <v>60054.5730733521</v>
      </c>
      <c r="AX449" s="7789">
        <f>IF(AX442=0,0,AX439/AX442*AX450)</f>
        <v>71249.240221602</v>
      </c>
      <c r="AY449" s="1263">
        <f>IF(AY442=0,0,AY439/AY442*AY450)</f>
        <v>0</v>
      </c>
      <c r="AZ449" s="1263">
        <f>IF(AZ442=0,0,AZ439/AZ442*AZ450)</f>
        <v>0</v>
      </c>
      <c r="BA449" s="1263">
        <f>IF(BA442=0,0,BA439/BA442*BA450)</f>
        <v>0</v>
      </c>
      <c r="BB449" s="1263">
        <f>IF(BB442=0,0,BB439/BB442*BB450)</f>
        <v>0</v>
      </c>
      <c r="BC449" s="1263">
        <f>IF(BC442=0,0,BC439/BC442*BC450)</f>
        <v>0</v>
      </c>
      <c r="BD449" s="761">
        <f>IF(AI449=0,0,(AT449-AI449)/AI449*100)</f>
        <v>0</v>
      </c>
      <c r="BE449" s="761">
        <f>IF(AT449=0,0,(AU449-AT449)/AT449*100)</f>
        <v>9.68614999978582</v>
      </c>
      <c r="BF449" s="761">
        <f>IF(AU449=0,0,(AV449-AU449)/AU449*100)</f>
        <v>5.39891984589991</v>
      </c>
      <c r="BG449" s="761">
        <f>IF(AV449=0,0,(AW449-AV449)/AV449*100)</f>
        <v>6.65680882973563</v>
      </c>
      <c r="BH449" s="761">
        <f>IF(AW449=0,0,(AX449-AW449)/AW449*100)</f>
        <v>18.6408237963435</v>
      </c>
      <c r="BI449" s="761">
        <f>IF(AX449=0,0,(AY449-AX449)/AX449*100)</f>
        <v>-100</v>
      </c>
      <c r="BJ449" s="761">
        <f>IF(AY449=0,0,(AZ449-AY449)/AY449*100)</f>
        <v>0</v>
      </c>
      <c r="BK449" s="761">
        <f>IF(AZ449=0,0,(BA449-AZ449)/AZ449*100)</f>
        <v>0</v>
      </c>
      <c r="BL449" s="761">
        <f>IF(BA449=0,0,(BB449-BA449)/BA449*100)</f>
        <v>0</v>
      </c>
      <c r="BM449" s="761">
        <f>IF(BB449=0,0,(BC449-BB449)/BB449*100)</f>
        <v>0</v>
      </c>
      <c r="BN449" s="7771"/>
      <c r="BO449" s="7771"/>
      <c r="BP449" s="7771"/>
      <c r="BQ449" s="700"/>
      <c r="BR449" s="700"/>
      <c r="BS449" s="1063" t="s">
        <v>2603</v>
      </c>
      <c r="BT449" s="1070"/>
      <c r="BU449" s="1070"/>
      <c r="BV449" s="707"/>
      <c r="BW449" s="707"/>
    </row>
    <row s="7848" customFormat="1" customHeight="1" ht="20.25">
      <c r="A450" s="700"/>
      <c r="B450" s="435"/>
      <c r="C450" s="700"/>
      <c r="D450" s="109">
        <f>D449+1</f>
        <v>13</v>
      </c>
      <c r="E450" s="707">
        <v>21</v>
      </c>
      <c r="F450" s="50" cm="1" t="str">
        <f t="array" ref="F450:F450">OFFSET(E450,-1,1)</f>
        <v>2</v>
      </c>
      <c r="G450" s="158" t="s">
        <v>2359</v>
      </c>
      <c r="H450" s="158"/>
      <c r="I450" s="158" t="s">
        <v>2906</v>
      </c>
      <c r="J450" s="700"/>
      <c r="K450" s="158" t="s">
        <v>2906</v>
      </c>
      <c r="L450" s="985" t="s">
        <v>2604</v>
      </c>
      <c r="M450" s="109"/>
      <c r="N450" s="700"/>
      <c r="O450" s="700"/>
      <c r="P450" s="700"/>
      <c r="Q450" s="700"/>
      <c r="R450" s="700"/>
      <c r="S450" s="700"/>
      <c r="T450" s="465" cm="1" t="str">
        <f t="array" ref="T450:T450">T449</f>
        <v>true</v>
      </c>
      <c r="U450" s="700"/>
      <c r="V450" s="700"/>
      <c r="W450" s="700"/>
      <c r="X450" s="1563"/>
      <c r="Y450" s="700"/>
      <c r="Z450" s="1546"/>
      <c r="AA450" s="700"/>
      <c r="AB450" s="211" cm="1" t="str">
        <f t="array" ref="AB450:AB450">D450</f>
        <v>13</v>
      </c>
      <c r="AC450" s="212" t="s">
        <v>2605</v>
      </c>
      <c r="AD450" s="211" t="s">
        <v>1247</v>
      </c>
      <c r="AE450" s="785">
        <f>_xlfn.SUMIFS(Баланс!AE$26:AE$482,Баланс!$F$26:$F$482,$F450,Баланс!$G$26:$G$482,"население")</f>
        <v>0</v>
      </c>
      <c r="AF450" s="785">
        <f>_xlfn.SUMIFS(Баланс!AF$26:AF$482,Баланс!$F$26:$F$482,$F450,Баланс!$G$26:$G$482,"население")</f>
        <v>0</v>
      </c>
      <c r="AG450" s="785">
        <f>_xlfn.SUMIFS(Баланс!AG$26:AG$482,Баланс!$F$26:$F$482,$F450,Баланс!$G$26:$G$482,"население")</f>
        <v>0</v>
      </c>
      <c r="AH450" s="786">
        <f>AG450-AF450</f>
        <v>0</v>
      </c>
      <c r="AI450" s="786">
        <f>_xlfn.SUMIFS(Баланс!AH$26:AH$482,Баланс!$F$26:$F$482,$F450,Баланс!$G$26:$G$482,"население")</f>
        <v>0</v>
      </c>
      <c r="AJ450" s="786">
        <f>_xlfn.SUMIFS(Баланс!AI$26:AI$482,Баланс!$F$26:$F$482,$F450,Баланс!$G$26:$G$482,"население")</f>
        <v>682.78641</v>
      </c>
      <c r="AK450" s="786">
        <f>_xlfn.SUMIFS(Баланс!AJ$26:AJ$482,Баланс!$F$26:$F$482,$F450,Баланс!$G$26:$G$482,"население")</f>
        <v>682.78641</v>
      </c>
      <c r="AL450" s="786">
        <f>_xlfn.SUMIFS(Баланс!AK$26:AK$482,Баланс!$F$26:$F$482,$F450,Баланс!$G$26:$G$482,"население")</f>
        <v>682.78641</v>
      </c>
      <c r="AM450" s="786">
        <f>_xlfn.SUMIFS(Баланс!AL$26:AL$482,Баланс!$F$26:$F$482,$F450,Баланс!$G$26:$G$482,"население")</f>
        <v>682.78641</v>
      </c>
      <c r="AN450" s="786">
        <f>_xlfn.SUMIFS(Баланс!AM$26:AM$482,Баланс!$F$26:$F$482,$F450,Баланс!$G$26:$G$482,"население")</f>
        <v>682.78641</v>
      </c>
      <c r="AO450" s="786">
        <f>_xlfn.SUMIFS(Баланс!AN$26:AN$482,Баланс!$F$26:$F$482,$F450,Баланс!$G$26:$G$482,"население")</f>
        <v>0</v>
      </c>
      <c r="AP450" s="786">
        <f>_xlfn.SUMIFS(Баланс!AO$26:AO$482,Баланс!$F$26:$F$482,$F450,Баланс!$G$26:$G$482,"население")</f>
        <v>0</v>
      </c>
      <c r="AQ450" s="786">
        <f>_xlfn.SUMIFS(Баланс!AP$26:AP$482,Баланс!$F$26:$F$482,$F450,Баланс!$G$26:$G$482,"население")</f>
        <v>0</v>
      </c>
      <c r="AR450" s="786">
        <f>_xlfn.SUMIFS(Баланс!AQ$26:AQ$482,Баланс!$F$26:$F$482,$F450,Баланс!$G$26:$G$482,"население")</f>
        <v>0</v>
      </c>
      <c r="AS450" s="786">
        <f>_xlfn.SUMIFS(Баланс!AR$26:AR$482,Баланс!$F$26:$F$482,$F450,Баланс!$G$26:$G$482,"население")</f>
        <v>0</v>
      </c>
      <c r="AT450" s="786">
        <f>_xlfn.SUMIFS(Баланс!AS$26:AS$482,Баланс!$F$26:$F$482,$F450,Баланс!$G$26:$G$482,"население")</f>
        <v>682.78641</v>
      </c>
      <c r="AU450" s="786">
        <f>_xlfn.SUMIFS(Баланс!AT$26:AT$482,Баланс!$F$26:$F$482,$F450,Баланс!$G$26:$G$482,"население")</f>
        <v>682.78641</v>
      </c>
      <c r="AV450" s="786">
        <f>_xlfn.SUMIFS(Баланс!AU$26:AU$482,Баланс!$F$26:$F$482,$F450,Баланс!$G$26:$G$482,"население")</f>
        <v>682.78641</v>
      </c>
      <c r="AW450" s="786">
        <f>_xlfn.SUMIFS(Баланс!AV$26:AV$482,Баланс!$F$26:$F$482,$F450,Баланс!$G$26:$G$482,"население")</f>
        <v>682.78641</v>
      </c>
      <c r="AX450" s="786">
        <f>_xlfn.SUMIFS(Баланс!AW$26:AW$482,Баланс!$F$26:$F$482,$F450,Баланс!$G$26:$G$482,"население")</f>
        <v>682.78641</v>
      </c>
      <c r="AY450" s="786">
        <f>_xlfn.SUMIFS(Баланс!AX$26:AX$482,Баланс!$F$26:$F$482,$F450,Баланс!$G$26:$G$482,"население")</f>
        <v>0</v>
      </c>
      <c r="AZ450" s="786">
        <f>_xlfn.SUMIFS(Баланс!AY$26:AY$482,Баланс!$F$26:$F$482,$F450,Баланс!$G$26:$G$482,"население")</f>
        <v>0</v>
      </c>
      <c r="BA450" s="786">
        <f>_xlfn.SUMIFS(Баланс!AZ$26:AZ$482,Баланс!$F$26:$F$482,$F450,Баланс!$G$26:$G$482,"население")</f>
        <v>0</v>
      </c>
      <c r="BB450" s="786">
        <f>_xlfn.SUMIFS(Баланс!BA$26:BA$482,Баланс!$F$26:$F$482,$F450,Баланс!$G$26:$G$482,"население")</f>
        <v>0</v>
      </c>
      <c r="BC450" s="786">
        <f>_xlfn.SUMIFS(Баланс!BB$26:BB$482,Баланс!$F$26:$F$482,$F450,Баланс!$G$26:$G$482,"население")</f>
        <v>0</v>
      </c>
      <c r="BD450" s="764"/>
      <c r="BE450" s="764"/>
      <c r="BF450" s="764"/>
      <c r="BG450" s="764"/>
      <c r="BH450" s="764"/>
      <c r="BI450" s="764"/>
      <c r="BJ450" s="764"/>
      <c r="BK450" s="764"/>
      <c r="BL450" s="764"/>
      <c r="BM450" s="764"/>
      <c r="BN450" s="7771"/>
      <c r="BO450" s="7771"/>
      <c r="BP450" s="7771"/>
      <c r="BQ450" s="700"/>
      <c r="BR450" s="700"/>
      <c r="BS450" s="1063" t="s">
        <v>2606</v>
      </c>
      <c r="BT450" s="1070"/>
      <c r="BU450" s="1070"/>
      <c r="BV450" s="707"/>
      <c r="BW450" s="707"/>
    </row>
    <row s="1834" customFormat="1" customHeight="1" ht="14.25">
      <c r="A451" s="1278"/>
      <c r="B451" s="978"/>
      <c r="C451" s="1278"/>
      <c r="D451" s="107" cm="1" t="str">
        <f t="array" ref="D451:D451">D450</f>
        <v>13</v>
      </c>
      <c r="E451" s="703">
        <v>15</v>
      </c>
      <c r="F451" s="50" cm="1" t="str">
        <f t="array" ref="F451:F451">OFFSET(E451,-1,1)</f>
        <v>2</v>
      </c>
      <c r="G451" s="158" t="s">
        <v>2393</v>
      </c>
      <c r="H451" s="1278"/>
      <c r="I451" s="158" t="s">
        <v>2907</v>
      </c>
      <c r="J451" s="1278"/>
      <c r="K451" s="158" t="s">
        <v>2907</v>
      </c>
      <c r="L451" s="980" t="s">
        <v>2607</v>
      </c>
      <c r="M451" s="107"/>
      <c r="N451" s="1278"/>
      <c r="O451" s="1278"/>
      <c r="P451" s="1278"/>
      <c r="Q451" s="1278"/>
      <c r="R451" s="1278"/>
      <c r="S451" s="1278"/>
      <c r="T451" s="465" cm="1" t="str">
        <f t="array" ref="T451:T451">T450</f>
        <v>true</v>
      </c>
      <c r="U451" s="1278"/>
      <c r="V451" s="1278"/>
      <c r="W451" s="1278"/>
      <c r="X451" s="1563"/>
      <c r="Y451" s="1278"/>
      <c r="Z451" s="1546"/>
      <c r="AA451" s="1278"/>
      <c r="AB451" s="300" t="str">
        <f>D451&amp;".1"</f>
        <v>13.1</v>
      </c>
      <c r="AC451" s="1111" t="s">
        <v>2609</v>
      </c>
      <c r="AD451" s="300" t="s">
        <v>1247</v>
      </c>
      <c r="AE451" s="7787">
        <f>IF(AE$24="2026 год",AE450/12*9,AE450/2)</f>
        <v>0</v>
      </c>
      <c r="AF451" s="7787">
        <f>IF(AF$24="2026 год",AF450/12*9,AF450/2)</f>
        <v>0</v>
      </c>
      <c r="AG451" s="7787">
        <f>IF(AG$24="2026 год",AG450/12*9,AG450/2)</f>
        <v>0</v>
      </c>
      <c r="AH451" s="941">
        <f>AG451-AF451</f>
        <v>0</v>
      </c>
      <c r="AI451" s="7497">
        <f>IF(AI$24="2026 год",AI450/12*9,AI450/2)</f>
        <v>0</v>
      </c>
      <c r="AJ451" s="7787">
        <f>IF(AJ$24="2026 год",AJ450/12*9,AJ450/2)</f>
        <v>512.0898075</v>
      </c>
      <c r="AK451" s="7787">
        <f>IF(AK$24="2026 год",AK450/12*9,AK450/2)</f>
        <v>341.393205</v>
      </c>
      <c r="AL451" s="7497">
        <f>IF(AL$24="2026 год",AL450/12*9,AL450/2)</f>
        <v>341.393205</v>
      </c>
      <c r="AM451" s="7497">
        <f>IF(AM$24="2026 год",AM450/12*9,AM450/2)</f>
        <v>341.393205</v>
      </c>
      <c r="AN451" s="7497">
        <f>IF(AN$24="2026 год",AN450/12*9,AN450/2)</f>
        <v>341.393205</v>
      </c>
      <c r="AO451" s="1261">
        <f>IF(AO$24="2026 год",AO450/12*9,AO450/2)</f>
        <v>0</v>
      </c>
      <c r="AP451" s="1261">
        <f>IF(AP$24="2026 год",AP450/12*9,AP450/2)</f>
        <v>0</v>
      </c>
      <c r="AQ451" s="1261">
        <f>IF(AQ$24="2026 год",AQ450/12*9,AQ450/2)</f>
        <v>0</v>
      </c>
      <c r="AR451" s="1261">
        <f>IF(AR$24="2026 год",AR450/12*9,AR450/2)</f>
        <v>0</v>
      </c>
      <c r="AS451" s="1261">
        <f>IF(AS$24="2026 год",AS450/12*9,AS450/2)</f>
        <v>0</v>
      </c>
      <c r="AT451" s="7497">
        <f>IF(AT$24="2026 год",AT450/12*9,AT450/2)</f>
        <v>512.0898075</v>
      </c>
      <c r="AU451" s="7497">
        <f>IF(AU$24="2026 год",AU450/12*9,AU450/2)</f>
        <v>341.393205</v>
      </c>
      <c r="AV451" s="7497">
        <f>IF(AV$24="2026 год",AV450/12*9,AV450/2)</f>
        <v>341.393205</v>
      </c>
      <c r="AW451" s="7497">
        <f>IF(AW$24="2026 год",AW450/12*9,AW450/2)</f>
        <v>341.393205</v>
      </c>
      <c r="AX451" s="7497">
        <f>IF(AX$24="2026 год",AX450/12*9,AX450/2)</f>
        <v>341.393205</v>
      </c>
      <c r="AY451" s="1261">
        <f>IF(AY$24="2026 год",AY450/12*9,AY450/2)</f>
        <v>0</v>
      </c>
      <c r="AZ451" s="1261">
        <f>IF(AZ$24="2026 год",AZ450/12*9,AZ450/2)</f>
        <v>0</v>
      </c>
      <c r="BA451" s="1261">
        <f>IF(BA$24="2026 год",BA450/12*9,BA450/2)</f>
        <v>0</v>
      </c>
      <c r="BB451" s="1261">
        <f>IF(BB$24="2026 год",BB450/12*9,BB450/2)</f>
        <v>0</v>
      </c>
      <c r="BC451" s="1261">
        <f>IF(BC$24="2026 год",BC450/12*9,BC450/2)</f>
        <v>0</v>
      </c>
      <c r="BD451" s="942"/>
      <c r="BE451" s="942"/>
      <c r="BF451" s="942"/>
      <c r="BG451" s="942"/>
      <c r="BH451" s="942"/>
      <c r="BI451" s="942"/>
      <c r="BJ451" s="942"/>
      <c r="BK451" s="942"/>
      <c r="BL451" s="942"/>
      <c r="BM451" s="942"/>
      <c r="BN451" s="7771"/>
      <c r="BO451" s="7771"/>
      <c r="BP451" s="7771"/>
      <c r="BQ451" s="1278"/>
      <c r="BR451" s="1278"/>
      <c r="BS451" s="1062" t="s">
        <v>2610</v>
      </c>
      <c r="BT451" s="1064"/>
      <c r="BU451" s="1064"/>
      <c r="BV451" s="979"/>
      <c r="BW451" s="979"/>
    </row>
    <row s="1834" customFormat="1" customHeight="1" ht="14.25">
      <c r="A452" s="1278"/>
      <c r="B452" s="978"/>
      <c r="C452" s="1278"/>
      <c r="D452" s="107" cm="1" t="str">
        <f t="array" ref="D452:D452">D451</f>
        <v>13</v>
      </c>
      <c r="E452" s="703">
        <v>15</v>
      </c>
      <c r="F452" s="50" cm="1" t="str">
        <f t="array" ref="F452:F452">OFFSET(E452,-1,1)</f>
        <v>2</v>
      </c>
      <c r="G452" s="158" t="s">
        <v>2349</v>
      </c>
      <c r="H452" s="1278"/>
      <c r="I452" s="158" t="s">
        <v>2908</v>
      </c>
      <c r="J452" s="1278"/>
      <c r="K452" s="158" t="s">
        <v>2908</v>
      </c>
      <c r="L452" s="980" t="s">
        <v>2611</v>
      </c>
      <c r="M452" s="107"/>
      <c r="N452" s="1278"/>
      <c r="O452" s="1278"/>
      <c r="P452" s="1278"/>
      <c r="Q452" s="1278"/>
      <c r="R452" s="1278"/>
      <c r="S452" s="1278"/>
      <c r="T452" s="465" cm="1" t="str">
        <f t="array" ref="T452:T452">T451</f>
        <v>true</v>
      </c>
      <c r="U452" s="1278"/>
      <c r="V452" s="1278"/>
      <c r="W452" s="1278"/>
      <c r="X452" s="1563"/>
      <c r="Y452" s="1278"/>
      <c r="Z452" s="1546"/>
      <c r="AA452" s="1278"/>
      <c r="AB452" s="300" t="str">
        <f>D452&amp;".2"</f>
        <v>13.2</v>
      </c>
      <c r="AC452" s="1111" t="s">
        <v>2613</v>
      </c>
      <c r="AD452" s="300" t="s">
        <v>2337</v>
      </c>
      <c r="AE452" s="7501">
        <f>IF(AE450=0,0,AE444*(1+Сценарии!AE$26/100))</f>
        <v>0</v>
      </c>
      <c r="AF452" s="7501">
        <f>IF(AF450=0,0,AF444*(1+Сценарии!AF$26/100))</f>
        <v>0</v>
      </c>
      <c r="AG452" s="7501">
        <f>IF(AG450=0,0,AG444*(1+Сценарии!AG$26/100))</f>
        <v>0</v>
      </c>
      <c r="AH452" s="943">
        <f>AG452-AF452</f>
        <v>0</v>
      </c>
      <c r="AI452" s="7501">
        <f>IF(AI450=0,0,AI444*(1+Сценарии!AI$26/100))</f>
        <v>0</v>
      </c>
      <c r="AJ452" s="7501">
        <f>IF(AJ450=0,0,AJ444*(1+Сценарии!AJ$26/100))</f>
        <v>0</v>
      </c>
      <c r="AK452" s="7501">
        <f>IF(AK450=0,0,AK444*(1+Сценарии!AO$26/100))</f>
        <v>0</v>
      </c>
      <c r="AL452" s="7501">
        <f>IF(AL450=0,0,AL444*(1+Сценарии!AP$26/100))</f>
        <v>0</v>
      </c>
      <c r="AM452" s="7501">
        <f>IF(AM450=0,0,AM444*(1+Сценарии!AQ$26/100))</f>
        <v>0</v>
      </c>
      <c r="AN452" s="7501">
        <f>IF(AN450=0,0,AN444*(1+Сценарии!AR$26/100))</f>
        <v>0</v>
      </c>
      <c r="AO452" s="1262">
        <f>IF(AO450=0,0,AO444*(1+Сценарии!AS$26/100))</f>
        <v>0</v>
      </c>
      <c r="AP452" s="1262">
        <f>IF(AP450=0,0,AP444*(1+Сценарии!AT$26/100))</f>
        <v>0</v>
      </c>
      <c r="AQ452" s="1262">
        <f>IF(AQ450=0,0,AQ444*(1+Сценарии!AU$26/100))</f>
        <v>0</v>
      </c>
      <c r="AR452" s="1262">
        <f>IF(AR450=0,0,AR444*(1+Сценарии!AV$26/100))</f>
        <v>0</v>
      </c>
      <c r="AS452" s="1262">
        <f>IF(AS450=0,0,AS444*(1+Сценарии!AW$26/100))</f>
        <v>0</v>
      </c>
      <c r="AT452" s="7501">
        <f>IF(AT450=0,0,AT444*(1+Сценарии!AK$26/100))</f>
        <v>0</v>
      </c>
      <c r="AU452" s="7501">
        <f>IF(AU450=0,0,AU444*(1+Сценарии!AX$26/100))</f>
        <v>348.100381248852</v>
      </c>
      <c r="AV452" s="7501">
        <f>IF(AV450=0,0,AV444*(1+Сценарии!AY$26/100))</f>
        <v>-157.191428085631</v>
      </c>
      <c r="AW452" s="7501">
        <f>IF(AW450=0,0,AW444*(1+Сценарии!AZ$26/100))</f>
        <v>358.407402608782</v>
      </c>
      <c r="AX452" s="7501">
        <f>IF(AX450=0,0,AX444*(1+Сценарии!BA$26/100))</f>
        <v>-143.796865326735</v>
      </c>
      <c r="AY452" s="1262">
        <f>IF(AY450=0,0,AY444*(1+Сценарии!BB$26/100))</f>
        <v>0</v>
      </c>
      <c r="AZ452" s="1262">
        <f>IF(AZ450=0,0,AZ444*(1+Сценарии!BC$26/100))</f>
        <v>0</v>
      </c>
      <c r="BA452" s="1262">
        <f>IF(BA450=0,0,BA444*(1+Сценарии!BD$26/100))</f>
        <v>0</v>
      </c>
      <c r="BB452" s="1262">
        <f>IF(BB450=0,0,BB444*(1+Сценарии!BE$26/100))</f>
        <v>0</v>
      </c>
      <c r="BC452" s="1262">
        <f>IF(BC450=0,0,BC444*(1+Сценарии!BF$26/100))</f>
        <v>0</v>
      </c>
      <c r="BD452" s="942"/>
      <c r="BE452" s="942"/>
      <c r="BF452" s="942"/>
      <c r="BG452" s="942"/>
      <c r="BH452" s="942"/>
      <c r="BI452" s="942"/>
      <c r="BJ452" s="942"/>
      <c r="BK452" s="942"/>
      <c r="BL452" s="942"/>
      <c r="BM452" s="942"/>
      <c r="BN452" s="7771"/>
      <c r="BO452" s="7771"/>
      <c r="BP452" s="7771"/>
      <c r="BQ452" s="1278"/>
      <c r="BR452" s="1278"/>
      <c r="BS452" s="1062" t="s">
        <v>2614</v>
      </c>
      <c r="BT452" s="1064"/>
      <c r="BU452" s="1064"/>
      <c r="BV452" s="979"/>
      <c r="BW452" s="979"/>
    </row>
    <row s="1834" customFormat="1" customHeight="1" ht="14.25">
      <c r="A453" s="1278"/>
      <c r="B453" s="96"/>
      <c r="C453" s="107"/>
      <c r="D453" s="107" cm="1" t="str">
        <f t="array" ref="D453:D453">D452</f>
        <v>13</v>
      </c>
      <c r="E453" s="621">
        <v>15</v>
      </c>
      <c r="F453" s="50" cm="1" t="str">
        <f t="array" ref="F453:F453">OFFSET(E453,-1,1)</f>
        <v>2</v>
      </c>
      <c r="G453" s="107" t="s">
        <v>2400</v>
      </c>
      <c r="H453" s="107"/>
      <c r="I453" s="107" t="s">
        <v>2909</v>
      </c>
      <c r="J453" s="107"/>
      <c r="K453" s="107" t="s">
        <v>2909</v>
      </c>
      <c r="L453" s="980" t="s">
        <v>2615</v>
      </c>
      <c r="M453" s="107"/>
      <c r="N453" s="107"/>
      <c r="O453" s="107"/>
      <c r="P453" s="107"/>
      <c r="Q453" s="107"/>
      <c r="R453" s="107"/>
      <c r="S453" s="107"/>
      <c r="T453" s="465" cm="1" t="str">
        <f t="array" ref="T453:T453">T452</f>
        <v>true</v>
      </c>
      <c r="U453" s="107"/>
      <c r="V453" s="107"/>
      <c r="W453" s="107"/>
      <c r="X453" s="1563"/>
      <c r="Y453" s="1278"/>
      <c r="Z453" s="1546"/>
      <c r="AA453" s="1278"/>
      <c r="AB453" s="300" t="str">
        <f>D453&amp;".3"</f>
        <v>13.3</v>
      </c>
      <c r="AC453" s="1111" t="s">
        <v>2587</v>
      </c>
      <c r="AD453" s="300" t="s">
        <v>1247</v>
      </c>
      <c r="AE453" s="946">
        <f>AE450-AE451</f>
        <v>0</v>
      </c>
      <c r="AF453" s="946">
        <f>AF450-AF451</f>
        <v>0</v>
      </c>
      <c r="AG453" s="946">
        <f>AG450-AG451</f>
        <v>0</v>
      </c>
      <c r="AH453" s="941">
        <f>AG453-AF453</f>
        <v>0</v>
      </c>
      <c r="AI453" s="825">
        <f>AI450-AI451</f>
        <v>0</v>
      </c>
      <c r="AJ453" s="825">
        <f>AJ450-AJ451</f>
        <v>170.6966025</v>
      </c>
      <c r="AK453" s="825">
        <f>AK450-AK451</f>
        <v>341.393205</v>
      </c>
      <c r="AL453" s="825">
        <f>AL450-AL451</f>
        <v>341.393205</v>
      </c>
      <c r="AM453" s="825">
        <f>AM450-AM451</f>
        <v>341.393205</v>
      </c>
      <c r="AN453" s="825">
        <f>AN450-AN451</f>
        <v>341.393205</v>
      </c>
      <c r="AO453" s="825">
        <f>AO450-AO451</f>
        <v>0</v>
      </c>
      <c r="AP453" s="825">
        <f>AP450-AP451</f>
        <v>0</v>
      </c>
      <c r="AQ453" s="825">
        <f>AQ450-AQ451</f>
        <v>0</v>
      </c>
      <c r="AR453" s="825">
        <f>AR450-AR451</f>
        <v>0</v>
      </c>
      <c r="AS453" s="825">
        <f>AS450-AS451</f>
        <v>0</v>
      </c>
      <c r="AT453" s="825">
        <f>AT450-AT451</f>
        <v>170.6966025</v>
      </c>
      <c r="AU453" s="825">
        <f>AU450-AU451</f>
        <v>341.393205</v>
      </c>
      <c r="AV453" s="825">
        <f>AV450-AV451</f>
        <v>341.393205</v>
      </c>
      <c r="AW453" s="825">
        <f>AW450-AW451</f>
        <v>341.393205</v>
      </c>
      <c r="AX453" s="825">
        <f>AX450-AX451</f>
        <v>341.393205</v>
      </c>
      <c r="AY453" s="825">
        <f>AY450-AY451</f>
        <v>0</v>
      </c>
      <c r="AZ453" s="825">
        <f>AZ450-AZ451</f>
        <v>0</v>
      </c>
      <c r="BA453" s="825">
        <f>BA450-BA451</f>
        <v>0</v>
      </c>
      <c r="BB453" s="825">
        <f>BB450-BB451</f>
        <v>0</v>
      </c>
      <c r="BC453" s="825">
        <f>BC450-BC451</f>
        <v>0</v>
      </c>
      <c r="BD453" s="942"/>
      <c r="BE453" s="942"/>
      <c r="BF453" s="942"/>
      <c r="BG453" s="942"/>
      <c r="BH453" s="942"/>
      <c r="BI453" s="942"/>
      <c r="BJ453" s="942"/>
      <c r="BK453" s="942"/>
      <c r="BL453" s="942"/>
      <c r="BM453" s="942"/>
      <c r="BN453" s="7771"/>
      <c r="BO453" s="7771"/>
      <c r="BP453" s="7771"/>
      <c r="BQ453" s="1278"/>
      <c r="BR453" s="1278"/>
      <c r="BS453" s="1062" t="s">
        <v>2617</v>
      </c>
      <c r="BT453" s="1064"/>
      <c r="BU453" s="1064"/>
      <c r="BV453" s="979"/>
      <c r="BW453" s="979"/>
    </row>
    <row s="1834" customFormat="1" customHeight="1" ht="14.25">
      <c r="A454" s="1278"/>
      <c r="B454" s="96"/>
      <c r="C454" s="107"/>
      <c r="D454" s="107" cm="1" t="str">
        <f t="array" ref="D454:D454">D453</f>
        <v>13</v>
      </c>
      <c r="E454" s="621">
        <v>15</v>
      </c>
      <c r="F454" s="50" cm="1" t="str">
        <f t="array" ref="F454:F454">OFFSET(E454,-1,1)</f>
        <v>2</v>
      </c>
      <c r="G454" s="107" t="s">
        <v>2353</v>
      </c>
      <c r="H454" s="107"/>
      <c r="I454" s="107" t="s">
        <v>2910</v>
      </c>
      <c r="J454" s="107"/>
      <c r="K454" s="107" t="s">
        <v>2910</v>
      </c>
      <c r="L454" s="980" t="s">
        <v>2618</v>
      </c>
      <c r="M454" s="107"/>
      <c r="N454" s="107"/>
      <c r="O454" s="107"/>
      <c r="P454" s="107"/>
      <c r="Q454" s="107"/>
      <c r="R454" s="107"/>
      <c r="S454" s="107"/>
      <c r="T454" s="465" cm="1" t="str">
        <f t="array" ref="T454:T454">T453</f>
        <v>true</v>
      </c>
      <c r="U454" s="107"/>
      <c r="V454" s="107"/>
      <c r="W454" s="107"/>
      <c r="X454" s="1563"/>
      <c r="Y454" s="1278"/>
      <c r="Z454" s="1546"/>
      <c r="AA454" s="1278"/>
      <c r="AB454" s="300" t="str">
        <f>D454&amp;".4"</f>
        <v>13.4</v>
      </c>
      <c r="AC454" s="1111" t="s">
        <v>2591</v>
      </c>
      <c r="AD454" s="300" t="s">
        <v>2337</v>
      </c>
      <c r="AE454" s="7501">
        <f>IF(AE450=0,0,AE446*(1+Сценарии!AE$26/100))</f>
        <v>0</v>
      </c>
      <c r="AF454" s="7501">
        <f>IF(AF450=0,0,AF446*(1+Сценарии!AF$26/100))</f>
        <v>0</v>
      </c>
      <c r="AG454" s="7501">
        <f>IF(AG450=0,0,AG446*(1+Сценарии!AG$26/100))</f>
        <v>0</v>
      </c>
      <c r="AH454" s="943">
        <f>AG454-AF454</f>
        <v>0</v>
      </c>
      <c r="AI454" s="7501">
        <f>IF(AI450=0,0,AI446*(1+Сценарии!AI$26/100))</f>
        <v>0</v>
      </c>
      <c r="AJ454" s="7501">
        <f>IF(AJ450=0,0,AJ446*(1+Сценарии!AJ$26/100))</f>
        <v>348.100391775455</v>
      </c>
      <c r="AK454" s="7501">
        <f>IF(AK450=0,0,AK446*(1+Сценарии!AO$26/100))</f>
        <v>190.90896009057</v>
      </c>
      <c r="AL454" s="7501">
        <f>IF(AL450=0,0,AL446*(1+Сценарии!AP$26/100))</f>
        <v>201.215675948306</v>
      </c>
      <c r="AM454" s="7501">
        <f>IF(AM450=0,0,AM446*(1+Сценарии!AQ$26/100))</f>
        <v>214.612878084841</v>
      </c>
      <c r="AN454" s="7501">
        <f>IF(AN450=0,0,AN446*(1+Сценарии!AR$26/100))</f>
        <v>254.427480780421</v>
      </c>
      <c r="AO454" s="1262">
        <f>IF(AO450=0,0,AO446*(1+Сценарии!AS$26/100))</f>
        <v>0</v>
      </c>
      <c r="AP454" s="1262">
        <f>IF(AP450=0,0,AP446*(1+Сценарии!AT$26/100))</f>
        <v>0</v>
      </c>
      <c r="AQ454" s="1262">
        <f>IF(AQ450=0,0,AQ446*(1+Сценарии!AU$26/100))</f>
        <v>0</v>
      </c>
      <c r="AR454" s="1262">
        <f>IF(AR450=0,0,AR446*(1+Сценарии!AV$26/100))</f>
        <v>0</v>
      </c>
      <c r="AS454" s="1262">
        <f>IF(AS450=0,0,AS446*(1+Сценарии!AW$26/100))</f>
        <v>0</v>
      </c>
      <c r="AT454" s="7501">
        <f>IF(AT450=0,0,AT446*(1+Сценарии!AK$26/100))</f>
        <v>348.100381248852</v>
      </c>
      <c r="AU454" s="7501">
        <f>IF(AU450=0,0,AU446*(1+Сценарии!AX$26/100))</f>
        <v>-157.191428085631</v>
      </c>
      <c r="AV454" s="7501">
        <f>IF(AV450=0,0,AV446*(1+Сценарии!AY$26/100))</f>
        <v>358.407402608782</v>
      </c>
      <c r="AW454" s="7501">
        <f>IF(AW450=0,0,AW446*(1+Сценарии!AZ$26/100))</f>
        <v>-143.796865326735</v>
      </c>
      <c r="AX454" s="7501">
        <f>IF(AX450=0,0,AX446*(1+Сценарии!BA$26/100))</f>
        <v>398.412574711913</v>
      </c>
      <c r="AY454" s="1262">
        <f>IF(AY450=0,0,AY446*(1+Сценарии!BB$26/100))</f>
        <v>0</v>
      </c>
      <c r="AZ454" s="1262">
        <f>IF(AZ450=0,0,AZ446*(1+Сценарии!BC$26/100))</f>
        <v>0</v>
      </c>
      <c r="BA454" s="1262">
        <f>IF(BA450=0,0,BA446*(1+Сценарии!BD$26/100))</f>
        <v>0</v>
      </c>
      <c r="BB454" s="1262">
        <f>IF(BB450=0,0,BB446*(1+Сценарии!BE$26/100))</f>
        <v>0</v>
      </c>
      <c r="BC454" s="1262">
        <f>IF(BC450=0,0,BC446*(1+Сценарии!BF$26/100))</f>
        <v>0</v>
      </c>
      <c r="BD454" s="942"/>
      <c r="BE454" s="942"/>
      <c r="BF454" s="942"/>
      <c r="BG454" s="942"/>
      <c r="BH454" s="942"/>
      <c r="BI454" s="942"/>
      <c r="BJ454" s="942"/>
      <c r="BK454" s="942"/>
      <c r="BL454" s="942"/>
      <c r="BM454" s="942"/>
      <c r="BN454" s="7771"/>
      <c r="BO454" s="7771"/>
      <c r="BP454" s="7771"/>
      <c r="BQ454" s="1278"/>
      <c r="BR454" s="1278"/>
      <c r="BS454" s="1062" t="s">
        <v>2621</v>
      </c>
      <c r="BT454" s="1064"/>
      <c r="BU454" s="1064"/>
      <c r="BV454" s="979"/>
      <c r="BW454" s="979"/>
    </row>
    <row s="1834" customFormat="1" customHeight="1" ht="14.25">
      <c r="A455" s="1278"/>
      <c r="B455" s="96"/>
      <c r="C455" s="107"/>
      <c r="D455" s="107">
        <f>D454+1</f>
        <v>14</v>
      </c>
      <c r="E455" s="621">
        <v>15</v>
      </c>
      <c r="F455" s="50" cm="1" t="str">
        <f t="array" ref="F455:F455">OFFSET(E455,-1,1)</f>
        <v>2</v>
      </c>
      <c r="G455" s="107"/>
      <c r="H455" s="107"/>
      <c r="I455" s="107"/>
      <c r="J455" s="107"/>
      <c r="K455" s="107"/>
      <c r="L455" s="980"/>
      <c r="M455" s="107"/>
      <c r="N455" s="107"/>
      <c r="O455" s="107"/>
      <c r="P455" s="107"/>
      <c r="Q455" s="107"/>
      <c r="R455" s="107"/>
      <c r="S455" s="107"/>
      <c r="T455" s="465" cm="1" t="str">
        <f t="array" ref="T455:T455">T454</f>
        <v>true</v>
      </c>
      <c r="U455" s="107"/>
      <c r="V455" s="107"/>
      <c r="W455" s="107"/>
      <c r="X455" s="1563"/>
      <c r="Y455" s="1278"/>
      <c r="Z455" s="1546"/>
      <c r="AA455" s="1278"/>
      <c r="AB455" s="211" cm="1" t="str">
        <f t="array" ref="AB455:AB455">D455</f>
        <v>14</v>
      </c>
      <c r="AC455" s="212" t="s">
        <v>2622</v>
      </c>
      <c r="AD455" s="211" t="s">
        <v>1514</v>
      </c>
      <c r="AE455" s="7773"/>
      <c r="AF455" s="7773"/>
      <c r="AG455" s="7773"/>
      <c r="AH455" s="943"/>
      <c r="AI455" s="7501"/>
      <c r="AJ455" s="7501"/>
      <c r="AK455" s="7501"/>
      <c r="AL455" s="7501"/>
      <c r="AM455" s="7501"/>
      <c r="AN455" s="7501"/>
      <c r="AO455" s="1262"/>
      <c r="AP455" s="1262"/>
      <c r="AQ455" s="1262"/>
      <c r="AR455" s="1262"/>
      <c r="AS455" s="1262"/>
      <c r="AT455" s="7501"/>
      <c r="AU455" s="7501"/>
      <c r="AV455" s="7501"/>
      <c r="AW455" s="7501"/>
      <c r="AX455" s="7501"/>
      <c r="AY455" s="1262"/>
      <c r="AZ455" s="1262"/>
      <c r="BA455" s="1262"/>
      <c r="BB455" s="1262"/>
      <c r="BC455" s="1262"/>
      <c r="BD455" s="942"/>
      <c r="BE455" s="942"/>
      <c r="BF455" s="942"/>
      <c r="BG455" s="942"/>
      <c r="BH455" s="942"/>
      <c r="BI455" s="942"/>
      <c r="BJ455" s="942"/>
      <c r="BK455" s="942"/>
      <c r="BL455" s="942"/>
      <c r="BM455" s="942"/>
      <c r="BN455" s="7771"/>
      <c r="BO455" s="7771"/>
      <c r="BP455" s="7771"/>
      <c r="BQ455" s="1278"/>
      <c r="BR455" s="1278"/>
      <c r="BS455" s="1062" t="s">
        <v>2623</v>
      </c>
      <c r="BT455" s="1064"/>
      <c r="BU455" s="1064"/>
      <c r="BV455" s="979"/>
      <c r="BW455" s="979"/>
    </row>
    <row s="1834" customFormat="1" customHeight="1" ht="20.25">
      <c r="A456" s="1278"/>
      <c r="B456" s="96"/>
      <c r="C456" s="107"/>
      <c r="D456" s="107" cm="1" t="str">
        <f t="array" ref="D456:D456">D455</f>
        <v>14</v>
      </c>
      <c r="E456" s="621">
        <v>21</v>
      </c>
      <c r="F456" s="50" cm="1" t="str">
        <f t="array" ref="F456:F456">OFFSET(E456,-1,1)</f>
        <v>2</v>
      </c>
      <c r="G456" s="107"/>
      <c r="H456" s="107"/>
      <c r="I456" s="107"/>
      <c r="J456" s="107"/>
      <c r="K456" s="107"/>
      <c r="L456" s="980"/>
      <c r="M456" s="107"/>
      <c r="N456" s="107"/>
      <c r="O456" s="107"/>
      <c r="P456" s="107"/>
      <c r="Q456" s="107"/>
      <c r="R456" s="107"/>
      <c r="S456" s="107"/>
      <c r="T456" s="465" cm="1" t="str">
        <f t="array" ref="T456:T456">T455</f>
        <v>true</v>
      </c>
      <c r="U456" s="107"/>
      <c r="V456" s="107"/>
      <c r="W456" s="107"/>
      <c r="X456" s="1563"/>
      <c r="Y456" s="1278"/>
      <c r="Z456" s="1546"/>
      <c r="AA456" s="1278"/>
      <c r="AB456" s="300" t="str">
        <f>D456&amp;".1"</f>
        <v>14.1</v>
      </c>
      <c r="AC456" s="762" t="s">
        <v>2625</v>
      </c>
      <c r="AD456" s="300" t="s">
        <v>1514</v>
      </c>
      <c r="AE456" s="7773"/>
      <c r="AF456" s="7773"/>
      <c r="AG456" s="7773"/>
      <c r="AH456" s="943">
        <f>AG456-AF456</f>
        <v>0</v>
      </c>
      <c r="AI456" s="7501"/>
      <c r="AJ456" s="7501"/>
      <c r="AK456" s="7501"/>
      <c r="AL456" s="7501"/>
      <c r="AM456" s="7501"/>
      <c r="AN456" s="7501"/>
      <c r="AO456" s="1262"/>
      <c r="AP456" s="1262"/>
      <c r="AQ456" s="1262"/>
      <c r="AR456" s="1262"/>
      <c r="AS456" s="1262"/>
      <c r="AT456" s="7501"/>
      <c r="AU456" s="7501"/>
      <c r="AV456" s="7501"/>
      <c r="AW456" s="7501"/>
      <c r="AX456" s="7501"/>
      <c r="AY456" s="1262"/>
      <c r="AZ456" s="1262"/>
      <c r="BA456" s="1262"/>
      <c r="BB456" s="1262"/>
      <c r="BC456" s="1262"/>
      <c r="BD456" s="942"/>
      <c r="BE456" s="942"/>
      <c r="BF456" s="942"/>
      <c r="BG456" s="942"/>
      <c r="BH456" s="942"/>
      <c r="BI456" s="942"/>
      <c r="BJ456" s="942"/>
      <c r="BK456" s="942"/>
      <c r="BL456" s="942"/>
      <c r="BM456" s="942"/>
      <c r="BN456" s="7771"/>
      <c r="BO456" s="7771"/>
      <c r="BP456" s="7771"/>
      <c r="BQ456" s="1278"/>
      <c r="BR456" s="1278"/>
      <c r="BS456" s="1062" t="s">
        <v>2626</v>
      </c>
      <c r="BT456" s="1071"/>
      <c r="BU456" s="1071"/>
      <c r="BV456" s="1072"/>
      <c r="BW456" s="1072"/>
    </row>
    <row s="1834" customFormat="1" customHeight="1" ht="64.5">
      <c r="A457" s="1278"/>
      <c r="B457" s="96"/>
      <c r="C457" s="107"/>
      <c r="D457" s="107" cm="1" t="str">
        <f t="array" ref="D457:D457">D456</f>
        <v>14</v>
      </c>
      <c r="E457" s="621">
        <v>66.6</v>
      </c>
      <c r="F457" s="50" cm="1" t="str">
        <f t="array" ref="F457:F457">OFFSET(E457,-1,1)</f>
        <v>2</v>
      </c>
      <c r="G457" s="107"/>
      <c r="H457" s="107"/>
      <c r="I457" s="107"/>
      <c r="J457" s="107"/>
      <c r="K457" s="107"/>
      <c r="L457" s="980"/>
      <c r="M457" s="107"/>
      <c r="N457" s="107"/>
      <c r="O457" s="107"/>
      <c r="P457" s="107"/>
      <c r="Q457" s="107"/>
      <c r="R457" s="107"/>
      <c r="S457" s="107"/>
      <c r="T457" s="465" cm="1" t="str">
        <f t="array" ref="T457:T457">T456</f>
        <v>true</v>
      </c>
      <c r="U457" s="107"/>
      <c r="V457" s="107"/>
      <c r="W457" s="107"/>
      <c r="X457" s="1563"/>
      <c r="Y457" s="1278"/>
      <c r="Z457" s="1546"/>
      <c r="AA457" s="1278"/>
      <c r="AB457" s="300" t="str">
        <f>D457&amp;".2"</f>
        <v>14.2</v>
      </c>
      <c r="AC457" s="762" t="s">
        <v>2628</v>
      </c>
      <c r="AD457" s="300" t="s">
        <v>1514</v>
      </c>
      <c r="AE457" s="7773"/>
      <c r="AF457" s="7773"/>
      <c r="AG457" s="7773"/>
      <c r="AH457" s="943">
        <f>AG457-AF457</f>
        <v>0</v>
      </c>
      <c r="AI457" s="7501"/>
      <c r="AJ457" s="7501"/>
      <c r="AK457" s="7501"/>
      <c r="AL457" s="7501"/>
      <c r="AM457" s="7501"/>
      <c r="AN457" s="7501"/>
      <c r="AO457" s="1262"/>
      <c r="AP457" s="1262"/>
      <c r="AQ457" s="1262"/>
      <c r="AR457" s="1262"/>
      <c r="AS457" s="1262"/>
      <c r="AT457" s="7501"/>
      <c r="AU457" s="7501"/>
      <c r="AV457" s="7501"/>
      <c r="AW457" s="7501"/>
      <c r="AX457" s="7501"/>
      <c r="AY457" s="1262"/>
      <c r="AZ457" s="1262"/>
      <c r="BA457" s="1262"/>
      <c r="BB457" s="1262"/>
      <c r="BC457" s="1262"/>
      <c r="BD457" s="942"/>
      <c r="BE457" s="942"/>
      <c r="BF457" s="942"/>
      <c r="BG457" s="942"/>
      <c r="BH457" s="942"/>
      <c r="BI457" s="942"/>
      <c r="BJ457" s="942"/>
      <c r="BK457" s="942"/>
      <c r="BL457" s="942"/>
      <c r="BM457" s="942"/>
      <c r="BN457" s="7771"/>
      <c r="BO457" s="7771"/>
      <c r="BP457" s="7771"/>
      <c r="BQ457" s="1278"/>
      <c r="BR457" s="1278"/>
      <c r="BS457" s="1062" t="s">
        <v>2629</v>
      </c>
      <c r="BT457" s="1071"/>
      <c r="BU457" s="1071"/>
      <c r="BV457" s="1072"/>
      <c r="BW457" s="1072"/>
    </row>
    <row s="1834" customFormat="1" customHeight="1" ht="44.25">
      <c r="A458" s="498"/>
      <c r="B458" s="753"/>
      <c r="C458" s="107"/>
      <c r="D458" s="107" cm="1" t="str">
        <f t="array" ref="D458:D458">D457</f>
        <v>14</v>
      </c>
      <c r="E458" s="621">
        <v>45.6</v>
      </c>
      <c r="F458" s="50" cm="1" t="str">
        <f t="array" ref="F458:F458">OFFSET(E458,-1,1)</f>
        <v>2</v>
      </c>
      <c r="G458" s="107"/>
      <c r="H458" s="107"/>
      <c r="I458" s="107"/>
      <c r="J458" s="107"/>
      <c r="K458" s="107"/>
      <c r="L458" s="980"/>
      <c r="M458" s="107"/>
      <c r="N458" s="107"/>
      <c r="O458" s="107"/>
      <c r="P458" s="107"/>
      <c r="Q458" s="107"/>
      <c r="R458" s="107"/>
      <c r="S458" s="107"/>
      <c r="T458" s="465" cm="1" t="str">
        <f t="array" ref="T458:T458">T457</f>
        <v>true</v>
      </c>
      <c r="U458" s="107"/>
      <c r="V458" s="107"/>
      <c r="W458" s="107"/>
      <c r="X458" s="1563"/>
      <c r="Y458" s="498"/>
      <c r="Z458" s="1546"/>
      <c r="AA458" s="498"/>
      <c r="AB458" s="300" t="str">
        <f>D458&amp;".3"</f>
        <v>14.3</v>
      </c>
      <c r="AC458" s="762" t="s">
        <v>2911</v>
      </c>
      <c r="AD458" s="300" t="s">
        <v>1514</v>
      </c>
      <c r="AE458" s="945"/>
      <c r="AF458" s="7773"/>
      <c r="AG458" s="7773"/>
      <c r="AH458" s="259">
        <f>AG458-AF458</f>
        <v>0</v>
      </c>
      <c r="AI458" s="945"/>
      <c r="AJ458" s="945"/>
      <c r="AK458" s="945"/>
      <c r="AL458" s="945"/>
      <c r="AM458" s="945"/>
      <c r="AN458" s="945"/>
      <c r="AO458" s="945"/>
      <c r="AP458" s="945"/>
      <c r="AQ458" s="945"/>
      <c r="AR458" s="945"/>
      <c r="AS458" s="945"/>
      <c r="AT458" s="945"/>
      <c r="AU458" s="945"/>
      <c r="AV458" s="945"/>
      <c r="AW458" s="945"/>
      <c r="AX458" s="945"/>
      <c r="AY458" s="945"/>
      <c r="AZ458" s="945"/>
      <c r="BA458" s="945"/>
      <c r="BB458" s="945"/>
      <c r="BC458" s="945"/>
      <c r="BD458" s="945"/>
      <c r="BE458" s="945"/>
      <c r="BF458" s="945"/>
      <c r="BG458" s="945"/>
      <c r="BH458" s="945"/>
      <c r="BI458" s="945"/>
      <c r="BJ458" s="945"/>
      <c r="BK458" s="945"/>
      <c r="BL458" s="945"/>
      <c r="BM458" s="945"/>
      <c r="BN458" s="7771"/>
      <c r="BO458" s="7771"/>
      <c r="BP458" s="7771"/>
      <c r="BQ458" s="1278"/>
      <c r="BR458" s="1278"/>
      <c r="BS458" s="1071" t="s">
        <v>2912</v>
      </c>
      <c r="BT458" s="1071"/>
      <c r="BU458" s="1071"/>
      <c r="BV458" s="1072"/>
      <c r="BW458" s="1072"/>
    </row>
    <row s="538" customFormat="1" customHeight="1" ht="14.25">
      <c r="A459" s="1758"/>
      <c r="B459" s="428"/>
      <c r="C459" s="1758"/>
      <c r="D459" s="1758"/>
      <c r="E459" s="618">
        <v>15</v>
      </c>
      <c r="F459" s="98" cm="1" t="str">
        <f t="array" ref="F459:F459">X459</f>
        <v>3</v>
      </c>
      <c r="G459" s="98" cm="1" t="str">
        <f t="array" ref="G459:G459">INDEX('Общие сведения'!$AK$179:$AK$250,MATCH($X459,'Общие сведения'!$Z$179:$Z$250,0))</f>
        <v>одноставочный</v>
      </c>
      <c r="H459" s="1758"/>
      <c r="I459" s="98"/>
      <c r="J459" s="1758"/>
      <c r="K459" s="1758"/>
      <c r="L459" s="982"/>
      <c r="M459" s="426"/>
      <c r="N459" s="1758"/>
      <c r="O459" s="1758"/>
      <c r="P459" s="1758"/>
      <c r="Q459" s="1758"/>
      <c r="R459" s="1758"/>
      <c r="S459" s="122" cm="1" t="str">
        <f t="array" ref="S459:S459">INDEX('Общие сведения'!$AE$179:$AE$250,MATCH($X459,'Общие сведения'!$Z$179:$Z$250,0))</f>
        <v>Водоотведение</v>
      </c>
      <c r="T459" s="465">
        <f>X459&gt;0</f>
        <v>1</v>
      </c>
      <c r="U459" s="1758"/>
      <c r="V459" s="122" cm="1" t="str">
        <f t="array" ref="V459:V459">'Калькуляция (МИ)'!$AB$459</f>
        <v>Тариф 3 (Водоотведение) - тариф на водоотведение (Доп. признак не требуется)</v>
      </c>
      <c r="W459" s="1758"/>
      <c r="X459" s="1563" t="s">
        <v>289</v>
      </c>
      <c r="Y459" s="1758"/>
      <c r="Z459" s="1546"/>
      <c r="AA459" s="1758"/>
      <c r="AB459" s="381" cm="1" t="str">
        <f t="array" ref="AB459:AB459">'Калькуляция (МИ)'!$AB$459</f>
        <v>Тариф 3 (Водоотведение) - тариф на водоотведение (Доп. признак не требуется)</v>
      </c>
      <c r="AC459" s="252"/>
      <c r="AD459" s="252"/>
      <c r="AE459" s="252"/>
      <c r="AF459" s="252"/>
      <c r="AG459" s="252"/>
      <c r="AH459" s="252"/>
      <c r="AI459" s="252"/>
      <c r="AJ459" s="252"/>
      <c r="AK459" s="252"/>
      <c r="AL459" s="252"/>
      <c r="AM459" s="252"/>
      <c r="AN459" s="252"/>
      <c r="AO459" s="252"/>
      <c r="AP459" s="252"/>
      <c r="AQ459" s="252"/>
      <c r="AR459" s="252"/>
      <c r="AS459" s="252"/>
      <c r="AT459" s="252"/>
      <c r="AU459" s="252"/>
      <c r="AV459" s="252"/>
      <c r="AW459" s="252"/>
      <c r="AX459" s="252"/>
      <c r="AY459" s="252"/>
      <c r="AZ459" s="252"/>
      <c r="BA459" s="252"/>
      <c r="BB459" s="252"/>
      <c r="BC459" s="252"/>
      <c r="BD459" s="252"/>
      <c r="BE459" s="252"/>
      <c r="BF459" s="252"/>
      <c r="BG459" s="252"/>
      <c r="BH459" s="252"/>
      <c r="BI459" s="252"/>
      <c r="BJ459" s="252"/>
      <c r="BK459" s="252"/>
      <c r="BL459" s="252"/>
      <c r="BM459" s="252"/>
      <c r="BN459" s="252"/>
      <c r="BO459" s="252"/>
      <c r="BP459" s="252"/>
      <c r="BQ459" s="1758"/>
      <c r="BR459" s="1758"/>
      <c r="BS459" s="997"/>
      <c r="BT459" s="997"/>
      <c r="BU459" s="997"/>
      <c r="BV459" s="618"/>
      <c r="BW459" s="618"/>
    </row>
    <row s="7849" customFormat="1" customHeight="1" ht="20.25">
      <c r="A460" s="161"/>
      <c r="B460" s="434"/>
      <c r="C460" s="161"/>
      <c r="D460" s="161"/>
      <c r="E460" s="705">
        <v>21</v>
      </c>
      <c r="F460" s="50" cm="1" t="str">
        <f t="array" ref="F460:F460">OFFSET(E460,-1,1)</f>
        <v>3</v>
      </c>
      <c r="G460" s="161"/>
      <c r="H460" s="377"/>
      <c r="I460" s="377" t="s">
        <v>332</v>
      </c>
      <c r="J460" s="161"/>
      <c r="K460" s="377" t="s">
        <v>332</v>
      </c>
      <c r="L460" s="983"/>
      <c r="M460" s="855"/>
      <c r="N460" s="161"/>
      <c r="O460" s="161"/>
      <c r="P460" s="161"/>
      <c r="Q460" s="161"/>
      <c r="R460" s="161" t="s">
        <v>2947</v>
      </c>
      <c r="S460" s="161"/>
      <c r="T460" s="465" cm="1" t="str">
        <f t="array" ref="T460:T460">T459</f>
        <v>true</v>
      </c>
      <c r="U460" s="161"/>
      <c r="V460" s="161"/>
      <c r="W460" s="161"/>
      <c r="X460" s="1563"/>
      <c r="Y460" s="161"/>
      <c r="Z460" s="1546"/>
      <c r="AA460" s="161"/>
      <c r="AB460" s="247" t="s">
        <v>276</v>
      </c>
      <c r="AC460" s="212" t="s">
        <v>2636</v>
      </c>
      <c r="AD460" s="234" t="s">
        <v>1514</v>
      </c>
      <c r="AE460" s="1471">
        <f>SUM(AE462,AE479,AE485,AE505,AE506,AE507)</f>
        <v>0</v>
      </c>
      <c r="AF460" s="761">
        <f>SUM(AF462,AF479,AF485,AF505,AF506,AF507)</f>
        <v>0</v>
      </c>
      <c r="AG460" s="761">
        <f>SUM(AG462,AG479,AG485,AG505,AG506,AG507)</f>
        <v>0</v>
      </c>
      <c r="AH460" s="761">
        <f>AG460-AF460</f>
        <v>0</v>
      </c>
      <c r="AI460" s="7719">
        <f>AE460*AI461</f>
        <v>0</v>
      </c>
      <c r="AJ460" s="7719">
        <f>AI460*AJ461</f>
        <v>0</v>
      </c>
      <c r="AK460" s="7719">
        <f>AJ460*AK461</f>
        <v>0</v>
      </c>
      <c r="AL460" s="7719">
        <f>AK460*AL461</f>
        <v>0</v>
      </c>
      <c r="AM460" s="7719">
        <f>AL460*AM461</f>
        <v>0</v>
      </c>
      <c r="AN460" s="7719">
        <f>AM460*AN461</f>
        <v>0</v>
      </c>
      <c r="AO460" s="1246">
        <f>AN460*AO461</f>
        <v>0</v>
      </c>
      <c r="AP460" s="1246">
        <f>AO460*AP461</f>
        <v>0</v>
      </c>
      <c r="AQ460" s="1246">
        <f>AP460*AQ461</f>
        <v>0</v>
      </c>
      <c r="AR460" s="1246">
        <f>AQ460*AR461</f>
        <v>0</v>
      </c>
      <c r="AS460" s="1246">
        <f>AR460*AS461</f>
        <v>0</v>
      </c>
      <c r="AT460" s="7719">
        <f>AI460*AT461</f>
        <v>0</v>
      </c>
      <c r="AU460" s="7719">
        <f>AT460*AU461</f>
        <v>0</v>
      </c>
      <c r="AV460" s="7719">
        <f>AU460*AV461</f>
        <v>0</v>
      </c>
      <c r="AW460" s="7719">
        <f>AV460*AW461</f>
        <v>0</v>
      </c>
      <c r="AX460" s="7719">
        <f>AW460*AX461</f>
        <v>0</v>
      </c>
      <c r="AY460" s="1246">
        <f>AX460*AY461</f>
        <v>0</v>
      </c>
      <c r="AZ460" s="1246">
        <f>AY460*AZ461</f>
        <v>0</v>
      </c>
      <c r="BA460" s="1246">
        <f>AZ460*BA461</f>
        <v>0</v>
      </c>
      <c r="BB460" s="1246">
        <f>BA460*BB461</f>
        <v>0</v>
      </c>
      <c r="BC460" s="1246">
        <f>BB460*BC461</f>
        <v>0</v>
      </c>
      <c r="BD460" s="761">
        <f>IF(AI460=0,0,(AT460-AI460)/AI460*100)</f>
        <v>0</v>
      </c>
      <c r="BE460" s="761">
        <f>IF(AT460=0,0,(AU460-AT460)/AT460*100)</f>
        <v>0</v>
      </c>
      <c r="BF460" s="761">
        <f>IF(AU460=0,0,(AV460-AU460)/AU460*100)</f>
        <v>0</v>
      </c>
      <c r="BG460" s="761">
        <f>IF(AV460=0,0,(AW460-AV460)/AV460*100)</f>
        <v>0</v>
      </c>
      <c r="BH460" s="761">
        <f>IF(AW460=0,0,(AX460-AW460)/AW460*100)</f>
        <v>0</v>
      </c>
      <c r="BI460" s="761">
        <f>IF(AX460=0,0,(AY460-AX460)/AX460*100)</f>
        <v>0</v>
      </c>
      <c r="BJ460" s="761">
        <f>IF(AY460=0,0,(AZ460-AY460)/AY460*100)</f>
        <v>0</v>
      </c>
      <c r="BK460" s="761">
        <f>IF(AZ460=0,0,(BA460-AZ460)/AZ460*100)</f>
        <v>0</v>
      </c>
      <c r="BL460" s="761">
        <f>IF(BA460=0,0,(BB460-BA460)/BA460*100)</f>
        <v>0</v>
      </c>
      <c r="BM460" s="761">
        <f>IF(BB460=0,0,(BC460-BB460)/BB460*100)</f>
        <v>0</v>
      </c>
      <c r="BN460" s="7720"/>
      <c r="BO460" s="7720"/>
      <c r="BP460" s="7720"/>
      <c r="BQ460" s="160"/>
      <c r="BR460" s="161"/>
      <c r="BS460" s="1068" t="s">
        <v>1239</v>
      </c>
      <c r="BT460" s="1068"/>
      <c r="BU460" s="1068"/>
      <c r="BV460" s="705"/>
      <c r="BW460" s="705"/>
    </row>
    <row s="1834" customFormat="1" customHeight="1" ht="14.25">
      <c r="A461" s="1278"/>
      <c r="B461" s="978"/>
      <c r="C461" s="1278"/>
      <c r="D461" s="1278"/>
      <c r="E461" s="703">
        <v>15</v>
      </c>
      <c r="F461" s="50" cm="1" t="str">
        <f t="array" ref="F461:F461">OFFSET(E461,-1,1)</f>
        <v>3</v>
      </c>
      <c r="G461" s="1278"/>
      <c r="H461" s="378"/>
      <c r="I461" s="378" t="s">
        <v>1175</v>
      </c>
      <c r="J461" s="1278"/>
      <c r="K461" s="378" t="s">
        <v>1175</v>
      </c>
      <c r="L461" s="980"/>
      <c r="M461" s="107"/>
      <c r="N461" s="1278"/>
      <c r="O461" s="1278"/>
      <c r="P461" s="1278"/>
      <c r="Q461" s="1278"/>
      <c r="R461" s="161" t="s">
        <v>2947</v>
      </c>
      <c r="S461" s="1278"/>
      <c r="T461" s="465" cm="1" t="str">
        <f t="array" ref="T461:T461">T460</f>
        <v>true</v>
      </c>
      <c r="U461" s="1278"/>
      <c r="V461" s="1278"/>
      <c r="W461" s="1278"/>
      <c r="X461" s="1563"/>
      <c r="Y461" s="1278"/>
      <c r="Z461" s="1546"/>
      <c r="AA461" s="1278"/>
      <c r="AB461" s="299" t="s">
        <v>1628</v>
      </c>
      <c r="AC461" s="762" t="s">
        <v>2637</v>
      </c>
      <c r="AD461" s="300"/>
      <c r="AE461" s="7721"/>
      <c r="AF461" s="7721"/>
      <c r="AG461" s="7721"/>
      <c r="AH461" s="941">
        <f>AG461-AF461</f>
        <v>0</v>
      </c>
      <c r="AI461" s="7721">
        <f>_xlfn.SUMIFS(INDEX(Сценарии!$AE$25:$BF$163,,MATCH(AI$8,Сценарии!$AE$8:$BF$8,0)),Сценарии!$F$25:$F$163,$F461,Сценарии!$G$25:$G$163,"ИОР")</f>
        <v>1</v>
      </c>
      <c r="AJ461" s="7721">
        <f>_xlfn.SUMIFS(INDEX(Сценарии!$AE$25:$BF$163,,MATCH(AJ$8,Сценарии!$AE$8:$BF$8,0)),Сценарии!$F$25:$F$163,$F461,Сценарии!$G$25:$G$163,"ИОР")</f>
        <v>1.051</v>
      </c>
      <c r="AK461" s="7721">
        <f>_xlfn.SUMIFS(INDEX(Сценарии!$AE$25:$BF$163,,MATCH(AK$8,Сценарии!$AE$8:$BF$8,0)),Сценарии!$F$25:$F$163,$F461,Сценарии!$G$25:$G$163,"ИОР")</f>
        <v>1.0296</v>
      </c>
      <c r="AL461" s="7721">
        <f>_xlfn.SUMIFS(INDEX(Сценарии!$AE$25:$BF$163,,MATCH(AL$8,Сценарии!$AE$8:$BF$8,0)),Сценарии!$F$25:$F$163,$F461,Сценарии!$G$25:$G$163,"ИОР")</f>
        <v>1.0296</v>
      </c>
      <c r="AM461" s="7721">
        <f>_xlfn.SUMIFS(INDEX(Сценарии!$AE$25:$BF$163,,MATCH(AM$8,Сценарии!$AE$8:$BF$8,0)),Сценарии!$F$25:$F$163,$F461,Сценарии!$G$25:$G$163,"ИОР")</f>
        <v>1.0296</v>
      </c>
      <c r="AN461" s="7721">
        <f>_xlfn.SUMIFS(INDEX(Сценарии!$AE$25:$BF$163,,MATCH(AN$8,Сценарии!$AE$8:$BF$8,0)),Сценарии!$F$25:$F$163,$F461,Сценарии!$G$25:$G$163,"ИОР")</f>
        <v>1.0296</v>
      </c>
      <c r="AO461" s="1252">
        <f>_xlfn.SUMIFS(INDEX(Сценарии!$AE$25:$BF$163,,MATCH(AO$8,Сценарии!$AE$8:$BF$8,0)),Сценарии!$F$25:$F$163,$F461,Сценарии!$G$25:$G$163,"ИОР")</f>
        <v>1</v>
      </c>
      <c r="AP461" s="1252">
        <f>_xlfn.SUMIFS(INDEX(Сценарии!$AE$25:$BF$163,,MATCH(AP$8,Сценарии!$AE$8:$BF$8,0)),Сценарии!$F$25:$F$163,$F461,Сценарии!$G$25:$G$163,"ИОР")</f>
        <v>1</v>
      </c>
      <c r="AQ461" s="1252">
        <f>_xlfn.SUMIFS(INDEX(Сценарии!$AE$25:$BF$163,,MATCH(AQ$8,Сценарии!$AE$8:$BF$8,0)),Сценарии!$F$25:$F$163,$F461,Сценарии!$G$25:$G$163,"ИОР")</f>
        <v>1</v>
      </c>
      <c r="AR461" s="1252">
        <f>_xlfn.SUMIFS(INDEX(Сценарии!$AE$25:$BF$163,,MATCH(AR$8,Сценарии!$AE$8:$BF$8,0)),Сценарии!$F$25:$F$163,$F461,Сценарии!$G$25:$G$163,"ИОР")</f>
        <v>1</v>
      </c>
      <c r="AS461" s="1252">
        <f>_xlfn.SUMIFS(INDEX(Сценарии!$AE$25:$BF$163,,MATCH(AS$8,Сценарии!$AE$8:$BF$8,0)),Сценарии!$F$25:$F$163,$F461,Сценарии!$G$25:$G$163,"ИОР")</f>
        <v>1</v>
      </c>
      <c r="AT461" s="7721">
        <f>_xlfn.SUMIFS(INDEX(Сценарии!$AE$25:$BF$163,,MATCH(AT$8,Сценарии!$AE$8:$BF$8,0)),Сценарии!$F$25:$F$163,$F461,Сценарии!$G$25:$G$163,"ИОР")</f>
        <v>1.051</v>
      </c>
      <c r="AU461" s="7721">
        <f>_xlfn.SUMIFS(INDEX(Сценарии!$AE$25:$BF$163,,MATCH(AU$8,Сценарии!$AE$8:$BF$8,0)),Сценарии!$F$25:$F$163,$F461,Сценарии!$G$25:$G$163,"ИОР")</f>
        <v>1.0296</v>
      </c>
      <c r="AV461" s="7721">
        <f>_xlfn.SUMIFS(INDEX(Сценарии!$AE$25:$BF$163,,MATCH(AV$8,Сценарии!$AE$8:$BF$8,0)),Сценарии!$F$25:$F$163,$F461,Сценарии!$G$25:$G$163,"ИОР")</f>
        <v>1.0296</v>
      </c>
      <c r="AW461" s="7721">
        <f>_xlfn.SUMIFS(INDEX(Сценарии!$AE$25:$BF$163,,MATCH(AW$8,Сценарии!$AE$8:$BF$8,0)),Сценарии!$F$25:$F$163,$F461,Сценарии!$G$25:$G$163,"ИОР")</f>
        <v>1.0296</v>
      </c>
      <c r="AX461" s="7721">
        <f>_xlfn.SUMIFS(INDEX(Сценарии!$AE$25:$BF$163,,MATCH(AX$8,Сценарии!$AE$8:$BF$8,0)),Сценарии!$F$25:$F$163,$F461,Сценарии!$G$25:$G$163,"ИОР")</f>
        <v>1.0296</v>
      </c>
      <c r="AY461" s="1252">
        <f>_xlfn.SUMIFS(INDEX(Сценарии!$AE$25:$BF$163,,MATCH(AY$8,Сценарии!$AE$8:$BF$8,0)),Сценарии!$F$25:$F$163,$F461,Сценарии!$G$25:$G$163,"ИОР")</f>
        <v>1</v>
      </c>
      <c r="AZ461" s="1252">
        <f>_xlfn.SUMIFS(INDEX(Сценарии!$AE$25:$BF$163,,MATCH(AZ$8,Сценарии!$AE$8:$BF$8,0)),Сценарии!$F$25:$F$163,$F461,Сценарии!$G$25:$G$163,"ИОР")</f>
        <v>1</v>
      </c>
      <c r="BA461" s="1252">
        <f>_xlfn.SUMIFS(INDEX(Сценарии!$AE$25:$BF$163,,MATCH(BA$8,Сценарии!$AE$8:$BF$8,0)),Сценарии!$F$25:$F$163,$F461,Сценарии!$G$25:$G$163,"ИОР")</f>
        <v>1</v>
      </c>
      <c r="BB461" s="1252">
        <f>_xlfn.SUMIFS(INDEX(Сценарии!$AE$25:$BF$163,,MATCH(BB$8,Сценарии!$AE$8:$BF$8,0)),Сценарии!$F$25:$F$163,$F461,Сценарии!$G$25:$G$163,"ИОР")</f>
        <v>1</v>
      </c>
      <c r="BC461" s="1252">
        <f>_xlfn.SUMIFS(INDEX(Сценарии!$AE$25:$BF$163,,MATCH(BC$8,Сценарии!$AE$8:$BF$8,0)),Сценарии!$F$25:$F$163,$F461,Сценарии!$G$25:$G$163,"ИОР")</f>
        <v>1</v>
      </c>
      <c r="BD461" s="942"/>
      <c r="BE461" s="942"/>
      <c r="BF461" s="942"/>
      <c r="BG461" s="942"/>
      <c r="BH461" s="942"/>
      <c r="BI461" s="942"/>
      <c r="BJ461" s="942"/>
      <c r="BK461" s="942"/>
      <c r="BL461" s="942"/>
      <c r="BM461" s="942"/>
      <c r="BN461" s="7720"/>
      <c r="BO461" s="7720"/>
      <c r="BP461" s="7720"/>
      <c r="BQ461" s="1278"/>
      <c r="BR461" s="1278"/>
      <c r="BS461" s="1064" t="s">
        <v>2638</v>
      </c>
      <c r="BT461" s="1064"/>
      <c r="BU461" s="1064"/>
      <c r="BV461" s="979"/>
      <c r="BW461" s="979"/>
    </row>
    <row s="434" customFormat="1" customHeight="1" ht="20.25">
      <c r="A462" s="160"/>
      <c r="B462" s="434"/>
      <c r="C462" s="160"/>
      <c r="D462" s="160"/>
      <c r="E462" s="706">
        <v>21</v>
      </c>
      <c r="F462" s="50" cm="1" t="str">
        <f t="array" ref="F462:F462">OFFSET(E462,-1,1)</f>
        <v>3</v>
      </c>
      <c r="G462" s="160"/>
      <c r="H462" s="377"/>
      <c r="I462" s="377" t="s">
        <v>1179</v>
      </c>
      <c r="J462" s="160"/>
      <c r="K462" s="377" t="s">
        <v>1179</v>
      </c>
      <c r="L462" s="984" t="s">
        <v>332</v>
      </c>
      <c r="M462" s="858"/>
      <c r="N462" s="160"/>
      <c r="O462" s="160"/>
      <c r="P462" s="160"/>
      <c r="Q462" s="158" t="s">
        <v>2947</v>
      </c>
      <c r="R462" s="161" t="s">
        <v>2947</v>
      </c>
      <c r="S462" s="160"/>
      <c r="T462" s="465" cm="1" t="str">
        <f t="array" ref="T462:T462">T461</f>
        <v>true</v>
      </c>
      <c r="U462" s="160"/>
      <c r="V462" s="160"/>
      <c r="W462" s="160"/>
      <c r="X462" s="1563"/>
      <c r="Y462" s="160"/>
      <c r="Z462" s="1546"/>
      <c r="AA462" s="160"/>
      <c r="AB462" s="247" t="s">
        <v>1631</v>
      </c>
      <c r="AC462" s="361" t="s">
        <v>2434</v>
      </c>
      <c r="AD462" s="234" t="s">
        <v>1514</v>
      </c>
      <c r="AE462" s="761">
        <f>SUM(AE463,AE466,AE467,AE470,AE471)</f>
        <v>0</v>
      </c>
      <c r="AF462" s="761">
        <f>SUM(AF463,AF466,AF467,AF470,AF471)</f>
        <v>0</v>
      </c>
      <c r="AG462" s="761">
        <f>SUM(AG463,AG466,AG467,AG470,AG471)</f>
        <v>0</v>
      </c>
      <c r="AH462" s="761">
        <f>AG462-AF462</f>
        <v>0</v>
      </c>
      <c r="AI462" s="7684">
        <f>SUM(AI463,AI466,AI467,AI470,AI471)</f>
        <v>0</v>
      </c>
      <c r="AJ462" s="7721"/>
      <c r="AK462" s="764"/>
      <c r="AL462" s="764"/>
      <c r="AM462" s="764"/>
      <c r="AN462" s="764"/>
      <c r="AO462" s="764"/>
      <c r="AP462" s="764"/>
      <c r="AQ462" s="764"/>
      <c r="AR462" s="764"/>
      <c r="AS462" s="764"/>
      <c r="AT462" s="764"/>
      <c r="AU462" s="764"/>
      <c r="AV462" s="764"/>
      <c r="AW462" s="764"/>
      <c r="AX462" s="764"/>
      <c r="AY462" s="764"/>
      <c r="AZ462" s="764"/>
      <c r="BA462" s="764"/>
      <c r="BB462" s="764"/>
      <c r="BC462" s="764"/>
      <c r="BD462" s="764"/>
      <c r="BE462" s="764"/>
      <c r="BF462" s="764"/>
      <c r="BG462" s="764"/>
      <c r="BH462" s="764"/>
      <c r="BI462" s="764"/>
      <c r="BJ462" s="764"/>
      <c r="BK462" s="764"/>
      <c r="BL462" s="764"/>
      <c r="BM462" s="764"/>
      <c r="BN462" s="7722"/>
      <c r="BO462" s="7722"/>
      <c r="BP462" s="7722"/>
      <c r="BQ462" s="160"/>
      <c r="BR462" s="160"/>
      <c r="BS462" s="1062" t="s">
        <v>1230</v>
      </c>
      <c r="BT462" s="1069"/>
      <c r="BU462" s="1069"/>
      <c r="BV462" s="706"/>
      <c r="BW462" s="706"/>
    </row>
    <row s="1834" customFormat="1" customHeight="1" ht="14.25">
      <c r="A463" s="1278"/>
      <c r="B463" s="978"/>
      <c r="C463" s="1278"/>
      <c r="D463" s="1278"/>
      <c r="E463" s="703">
        <v>15</v>
      </c>
      <c r="F463" s="50" cm="1" t="str">
        <f t="array" ref="F463:F463">OFFSET(E463,-1,1)</f>
        <v>3</v>
      </c>
      <c r="G463" s="1278"/>
      <c r="H463" s="378"/>
      <c r="I463" s="378" t="s">
        <v>2068</v>
      </c>
      <c r="J463" s="1278"/>
      <c r="K463" s="378" t="s">
        <v>2068</v>
      </c>
      <c r="L463" s="980" t="s">
        <v>1175</v>
      </c>
      <c r="M463" s="107"/>
      <c r="N463" s="1278"/>
      <c r="O463" s="1278"/>
      <c r="P463" s="1278"/>
      <c r="Q463" s="158" t="s">
        <v>2947</v>
      </c>
      <c r="R463" s="161" t="s">
        <v>2947</v>
      </c>
      <c r="S463" s="1278"/>
      <c r="T463" s="465" cm="1" t="str">
        <f t="array" ref="T463:T463">T462</f>
        <v>true</v>
      </c>
      <c r="U463" s="1278"/>
      <c r="V463" s="1278"/>
      <c r="W463" s="1278"/>
      <c r="X463" s="1563"/>
      <c r="Y463" s="1278"/>
      <c r="Z463" s="1546"/>
      <c r="AA463" s="1278"/>
      <c r="AB463" s="299" t="s">
        <v>2069</v>
      </c>
      <c r="AC463" s="765" t="s">
        <v>2639</v>
      </c>
      <c r="AD463" s="766" t="s">
        <v>1514</v>
      </c>
      <c r="AE463" s="943">
        <f>SUM(AE464,AE465)</f>
        <v>0</v>
      </c>
      <c r="AF463" s="943">
        <f>SUM(AF464,AF465)</f>
        <v>0</v>
      </c>
      <c r="AG463" s="943">
        <f>SUM(AG464,AG465)</f>
        <v>0</v>
      </c>
      <c r="AH463" s="943">
        <f>AG463-AF463</f>
        <v>0</v>
      </c>
      <c r="AI463" s="7687">
        <f>SUM(AI464,AI465)</f>
        <v>0</v>
      </c>
      <c r="AJ463" s="7721"/>
      <c r="AK463" s="942"/>
      <c r="AL463" s="942"/>
      <c r="AM463" s="942"/>
      <c r="AN463" s="942"/>
      <c r="AO463" s="942"/>
      <c r="AP463" s="942"/>
      <c r="AQ463" s="942"/>
      <c r="AR463" s="942"/>
      <c r="AS463" s="942"/>
      <c r="AT463" s="942"/>
      <c r="AU463" s="942"/>
      <c r="AV463" s="942"/>
      <c r="AW463" s="942"/>
      <c r="AX463" s="942"/>
      <c r="AY463" s="942"/>
      <c r="AZ463" s="942"/>
      <c r="BA463" s="942"/>
      <c r="BB463" s="942"/>
      <c r="BC463" s="942"/>
      <c r="BD463" s="942"/>
      <c r="BE463" s="942"/>
      <c r="BF463" s="942"/>
      <c r="BG463" s="942"/>
      <c r="BH463" s="942"/>
      <c r="BI463" s="942"/>
      <c r="BJ463" s="942"/>
      <c r="BK463" s="942"/>
      <c r="BL463" s="942"/>
      <c r="BM463" s="942"/>
      <c r="BN463" s="7720"/>
      <c r="BO463" s="7720"/>
      <c r="BP463" s="7720"/>
      <c r="BQ463" s="110"/>
      <c r="BR463" s="1278"/>
      <c r="BS463" s="1063" t="s">
        <v>2436</v>
      </c>
      <c r="BT463" s="1064"/>
      <c r="BU463" s="1064"/>
      <c r="BV463" s="979"/>
      <c r="BW463" s="979"/>
    </row>
    <row s="1834" customFormat="1" customHeight="1" ht="14.25">
      <c r="A464" s="1278"/>
      <c r="B464" s="978"/>
      <c r="C464" s="1278"/>
      <c r="D464" s="1278"/>
      <c r="E464" s="703">
        <v>15</v>
      </c>
      <c r="F464" s="50" cm="1" t="str">
        <f t="array" ref="F464:F464">OFFSET(E464,-1,1)</f>
        <v>3</v>
      </c>
      <c r="G464" s="1278"/>
      <c r="H464" s="378"/>
      <c r="I464" s="378" t="s">
        <v>2640</v>
      </c>
      <c r="J464" s="1278"/>
      <c r="K464" s="378" t="s">
        <v>2640</v>
      </c>
      <c r="L464" s="980" t="s">
        <v>1739</v>
      </c>
      <c r="M464" s="107"/>
      <c r="N464" s="1278"/>
      <c r="O464" s="1278"/>
      <c r="P464" s="1278"/>
      <c r="Q464" s="158" t="s">
        <v>2947</v>
      </c>
      <c r="R464" s="161" t="s">
        <v>2947</v>
      </c>
      <c r="S464" s="1278"/>
      <c r="T464" s="465" cm="1" t="str">
        <f t="array" ref="T464:T464">T463</f>
        <v>true</v>
      </c>
      <c r="U464" s="1278"/>
      <c r="V464" s="1278"/>
      <c r="W464" s="1278"/>
      <c r="X464" s="1563"/>
      <c r="Y464" s="1278"/>
      <c r="Z464" s="1546"/>
      <c r="AA464" s="1278"/>
      <c r="AB464" s="299" t="s">
        <v>2641</v>
      </c>
      <c r="AC464" s="768" t="s">
        <v>2439</v>
      </c>
      <c r="AD464" s="766" t="s">
        <v>1514</v>
      </c>
      <c r="AE464" s="1744">
        <f>_xlfn.SUMIFS('Сырье и материалы'!AE$25:AE$162,'Сырье и материалы'!$F$25:$F$162,$F464,'Сырье и материалы'!$I$25:$I$162,"Горюче-смазочные материалы")</f>
        <v>0</v>
      </c>
      <c r="AF464" s="1744">
        <f>_xlfn.SUMIFS('Сырье и материалы'!AF$25:AF$162,'Сырье и материалы'!$F$25:$F$162,$F464,'Сырье и материалы'!$I$25:$I$162,"Горюче-смазочные материалы")</f>
        <v>0</v>
      </c>
      <c r="AG464" s="1744">
        <f>_xlfn.SUMIFS('Сырье и материалы'!AG$25:AG$162,'Сырье и материалы'!$F$25:$F$162,$F464,'Сырье и материалы'!$I$25:$I$162,"Горюче-смазочные материалы")</f>
        <v>0</v>
      </c>
      <c r="AH464" s="943">
        <f>AG464-AF464</f>
        <v>0</v>
      </c>
      <c r="AI464" s="7689">
        <f>_xlfn.SUMIFS('Сырье и материалы'!AH$25:AH$162,'Сырье и материалы'!$F$25:$F$162,$F464,'Сырье и материалы'!$I$25:$I$162,"Горюче-смазочные материалы")</f>
        <v>0</v>
      </c>
      <c r="AJ464" s="7721"/>
      <c r="AK464" s="942"/>
      <c r="AL464" s="942"/>
      <c r="AM464" s="942"/>
      <c r="AN464" s="942"/>
      <c r="AO464" s="942"/>
      <c r="AP464" s="942"/>
      <c r="AQ464" s="942"/>
      <c r="AR464" s="942"/>
      <c r="AS464" s="942"/>
      <c r="AT464" s="942"/>
      <c r="AU464" s="942"/>
      <c r="AV464" s="942"/>
      <c r="AW464" s="942"/>
      <c r="AX464" s="942"/>
      <c r="AY464" s="942"/>
      <c r="AZ464" s="942"/>
      <c r="BA464" s="942"/>
      <c r="BB464" s="942"/>
      <c r="BC464" s="942"/>
      <c r="BD464" s="942"/>
      <c r="BE464" s="942"/>
      <c r="BF464" s="942"/>
      <c r="BG464" s="942"/>
      <c r="BH464" s="942"/>
      <c r="BI464" s="942"/>
      <c r="BJ464" s="942"/>
      <c r="BK464" s="942"/>
      <c r="BL464" s="942"/>
      <c r="BM464" s="942"/>
      <c r="BN464" s="7720"/>
      <c r="BO464" s="7720"/>
      <c r="BP464" s="7720"/>
      <c r="BQ464" s="1278"/>
      <c r="BR464" s="1278"/>
      <c r="BS464" s="1062" t="s">
        <v>2440</v>
      </c>
      <c r="BT464" s="1064"/>
      <c r="BU464" s="1064"/>
      <c r="BV464" s="979"/>
      <c r="BW464" s="979"/>
    </row>
    <row s="1834" customFormat="1" customHeight="1" ht="14.25">
      <c r="A465" s="1278"/>
      <c r="B465" s="978"/>
      <c r="C465" s="1278"/>
      <c r="D465" s="1278"/>
      <c r="E465" s="703">
        <v>15</v>
      </c>
      <c r="F465" s="50" cm="1" t="str">
        <f t="array" ref="F465:F465">OFFSET(E465,-1,1)</f>
        <v>3</v>
      </c>
      <c r="G465" s="1278"/>
      <c r="H465" s="378"/>
      <c r="I465" s="378" t="s">
        <v>2642</v>
      </c>
      <c r="J465" s="1278"/>
      <c r="K465" s="378" t="s">
        <v>2642</v>
      </c>
      <c r="L465" s="980" t="s">
        <v>2043</v>
      </c>
      <c r="M465" s="107"/>
      <c r="N465" s="1278"/>
      <c r="O465" s="1278"/>
      <c r="P465" s="1278"/>
      <c r="Q465" s="158" t="s">
        <v>2947</v>
      </c>
      <c r="R465" s="161" t="s">
        <v>2947</v>
      </c>
      <c r="S465" s="1278"/>
      <c r="T465" s="465" cm="1" t="str">
        <f t="array" ref="T465:T465">T464</f>
        <v>true</v>
      </c>
      <c r="U465" s="1278"/>
      <c r="V465" s="1278"/>
      <c r="W465" s="1278"/>
      <c r="X465" s="1563"/>
      <c r="Y465" s="1278"/>
      <c r="Z465" s="1546"/>
      <c r="AA465" s="1278"/>
      <c r="AB465" s="299" t="s">
        <v>2643</v>
      </c>
      <c r="AC465" s="768" t="s">
        <v>2441</v>
      </c>
      <c r="AD465" s="766" t="s">
        <v>1514</v>
      </c>
      <c r="AE465" s="1744">
        <f>_xlfn.SUMIFS('Сырье и материалы'!AE$25:AE$162,'Сырье и материалы'!$F$25:$F$162,$F465,'Сырье и материалы'!$I$25:$I$162,"Материалы")</f>
        <v>0</v>
      </c>
      <c r="AF465" s="1744">
        <f>_xlfn.SUMIFS('Сырье и материалы'!AF$25:AF$162,'Сырье и материалы'!$F$25:$F$162,$F465,'Сырье и материалы'!$I$25:$I$162,"Материалы")</f>
        <v>0</v>
      </c>
      <c r="AG465" s="1744">
        <f>_xlfn.SUMIFS('Сырье и материалы'!AG$25:AG$162,'Сырье и материалы'!$F$25:$F$162,$F465,'Сырье и материалы'!$I$25:$I$162,"Материалы")</f>
        <v>0</v>
      </c>
      <c r="AH465" s="943">
        <f>AG465-AF465</f>
        <v>0</v>
      </c>
      <c r="AI465" s="7689">
        <f>_xlfn.SUMIFS('Сырье и материалы'!AH$25:AH$162,'Сырье и материалы'!$F$25:$F$162,$F465,'Сырье и материалы'!$I$25:$I$162,"Материалы")</f>
        <v>0</v>
      </c>
      <c r="AJ465" s="7721"/>
      <c r="AK465" s="942"/>
      <c r="AL465" s="942"/>
      <c r="AM465" s="942"/>
      <c r="AN465" s="942"/>
      <c r="AO465" s="942"/>
      <c r="AP465" s="942"/>
      <c r="AQ465" s="942"/>
      <c r="AR465" s="942"/>
      <c r="AS465" s="942"/>
      <c r="AT465" s="942"/>
      <c r="AU465" s="942"/>
      <c r="AV465" s="942"/>
      <c r="AW465" s="942"/>
      <c r="AX465" s="942"/>
      <c r="AY465" s="942"/>
      <c r="AZ465" s="942"/>
      <c r="BA465" s="942"/>
      <c r="BB465" s="942"/>
      <c r="BC465" s="942"/>
      <c r="BD465" s="942"/>
      <c r="BE465" s="942"/>
      <c r="BF465" s="942"/>
      <c r="BG465" s="942"/>
      <c r="BH465" s="942"/>
      <c r="BI465" s="942"/>
      <c r="BJ465" s="942"/>
      <c r="BK465" s="942"/>
      <c r="BL465" s="942"/>
      <c r="BM465" s="942"/>
      <c r="BN465" s="7720"/>
      <c r="BO465" s="7720"/>
      <c r="BP465" s="7720"/>
      <c r="BQ465" s="1278"/>
      <c r="BR465" s="1278"/>
      <c r="BS465" s="1062" t="s">
        <v>2442</v>
      </c>
      <c r="BT465" s="1064"/>
      <c r="BU465" s="1064"/>
      <c r="BV465" s="979"/>
      <c r="BW465" s="979"/>
    </row>
    <row s="1834" customFormat="1" customHeight="1" ht="21.75">
      <c r="A466" s="1278"/>
      <c r="B466" s="978"/>
      <c r="C466" s="1278"/>
      <c r="D466" s="1278"/>
      <c r="E466" s="703">
        <v>22.5</v>
      </c>
      <c r="F466" s="50" cm="1" t="str">
        <f t="array" ref="F466:F466">OFFSET(E466,-1,1)</f>
        <v>3</v>
      </c>
      <c r="G466" s="1278"/>
      <c r="H466" s="378"/>
      <c r="I466" s="378" t="s">
        <v>2071</v>
      </c>
      <c r="J466" s="1278"/>
      <c r="K466" s="378" t="s">
        <v>2071</v>
      </c>
      <c r="L466" s="980" t="s">
        <v>1182</v>
      </c>
      <c r="M466" s="107"/>
      <c r="N466" s="1278"/>
      <c r="O466" s="1278"/>
      <c r="P466" s="1278"/>
      <c r="Q466" s="158" t="s">
        <v>2947</v>
      </c>
      <c r="R466" s="161" t="s">
        <v>2947</v>
      </c>
      <c r="S466" s="1278"/>
      <c r="T466" s="465" cm="1" t="str">
        <f t="array" ref="T466:T466">T465</f>
        <v>true</v>
      </c>
      <c r="U466" s="1278"/>
      <c r="V466" s="1278"/>
      <c r="W466" s="1278"/>
      <c r="X466" s="1563"/>
      <c r="Y466" s="1278"/>
      <c r="Z466" s="1546"/>
      <c r="AA466" s="1278"/>
      <c r="AB466" s="299" t="s">
        <v>2072</v>
      </c>
      <c r="AC466" s="765" t="s">
        <v>2644</v>
      </c>
      <c r="AD466" s="766" t="s">
        <v>1514</v>
      </c>
      <c r="AE466" s="7723"/>
      <c r="AF466" s="7723"/>
      <c r="AG466" s="7723"/>
      <c r="AH466" s="943">
        <f>AG466-AF466</f>
        <v>0</v>
      </c>
      <c r="AI466" s="7691"/>
      <c r="AJ466" s="7721"/>
      <c r="AK466" s="942"/>
      <c r="AL466" s="942"/>
      <c r="AM466" s="942"/>
      <c r="AN466" s="942"/>
      <c r="AO466" s="942"/>
      <c r="AP466" s="942"/>
      <c r="AQ466" s="942"/>
      <c r="AR466" s="942"/>
      <c r="AS466" s="942"/>
      <c r="AT466" s="942"/>
      <c r="AU466" s="942"/>
      <c r="AV466" s="942"/>
      <c r="AW466" s="942"/>
      <c r="AX466" s="942"/>
      <c r="AY466" s="942"/>
      <c r="AZ466" s="942"/>
      <c r="BA466" s="942"/>
      <c r="BB466" s="942"/>
      <c r="BC466" s="942"/>
      <c r="BD466" s="942"/>
      <c r="BE466" s="942"/>
      <c r="BF466" s="942"/>
      <c r="BG466" s="942"/>
      <c r="BH466" s="942"/>
      <c r="BI466" s="942"/>
      <c r="BJ466" s="942"/>
      <c r="BK466" s="942"/>
      <c r="BL466" s="942"/>
      <c r="BM466" s="942"/>
      <c r="BN466" s="7720"/>
      <c r="BO466" s="7720"/>
      <c r="BP466" s="7720"/>
      <c r="BQ466" s="1278"/>
      <c r="BR466" s="1278"/>
      <c r="BS466" s="1063" t="s">
        <v>2467</v>
      </c>
      <c r="BT466" s="1064"/>
      <c r="BU466" s="1064"/>
      <c r="BV466" s="979"/>
      <c r="BW466" s="979"/>
    </row>
    <row s="1834" customFormat="1" customHeight="1" ht="21.75">
      <c r="A467" s="1278"/>
      <c r="B467" s="978"/>
      <c r="C467" s="1278"/>
      <c r="D467" s="1278"/>
      <c r="E467" s="703">
        <v>22.5</v>
      </c>
      <c r="F467" s="50" cm="1" t="str">
        <f t="array" ref="F467:F467">OFFSET(E467,-1,1)</f>
        <v>3</v>
      </c>
      <c r="G467" s="1278"/>
      <c r="H467" s="378"/>
      <c r="I467" s="378" t="s">
        <v>2075</v>
      </c>
      <c r="J467" s="1278"/>
      <c r="K467" s="378" t="s">
        <v>2075</v>
      </c>
      <c r="L467" s="980" t="s">
        <v>1186</v>
      </c>
      <c r="M467" s="107"/>
      <c r="N467" s="1278"/>
      <c r="O467" s="1278"/>
      <c r="P467" s="1278"/>
      <c r="Q467" s="158" t="s">
        <v>2947</v>
      </c>
      <c r="R467" s="161" t="s">
        <v>2947</v>
      </c>
      <c r="S467" s="1278"/>
      <c r="T467" s="465" cm="1" t="str">
        <f t="array" ref="T467:T467">T466</f>
        <v>true</v>
      </c>
      <c r="U467" s="1278"/>
      <c r="V467" s="1278"/>
      <c r="W467" s="1278"/>
      <c r="X467" s="1563"/>
      <c r="Y467" s="1278"/>
      <c r="Z467" s="1546"/>
      <c r="AA467" s="1278"/>
      <c r="AB467" s="299" t="s">
        <v>2076</v>
      </c>
      <c r="AC467" s="765" t="s">
        <v>2645</v>
      </c>
      <c r="AD467" s="766" t="s">
        <v>1514</v>
      </c>
      <c r="AE467" s="944">
        <f>AE468+AE469</f>
        <v>0</v>
      </c>
      <c r="AF467" s="944">
        <f>AF468+AF469</f>
        <v>0</v>
      </c>
      <c r="AG467" s="944">
        <f>AG468+AG469</f>
        <v>0</v>
      </c>
      <c r="AH467" s="943">
        <f>AG467-AF467</f>
        <v>0</v>
      </c>
      <c r="AI467" s="7693">
        <f>AI468+AI469</f>
        <v>0</v>
      </c>
      <c r="AJ467" s="7721"/>
      <c r="AK467" s="942"/>
      <c r="AL467" s="942"/>
      <c r="AM467" s="942"/>
      <c r="AN467" s="942"/>
      <c r="AO467" s="942"/>
      <c r="AP467" s="942"/>
      <c r="AQ467" s="942"/>
      <c r="AR467" s="942"/>
      <c r="AS467" s="942"/>
      <c r="AT467" s="942"/>
      <c r="AU467" s="942"/>
      <c r="AV467" s="942"/>
      <c r="AW467" s="942"/>
      <c r="AX467" s="942"/>
      <c r="AY467" s="942"/>
      <c r="AZ467" s="942"/>
      <c r="BA467" s="942"/>
      <c r="BB467" s="942"/>
      <c r="BC467" s="942"/>
      <c r="BD467" s="942"/>
      <c r="BE467" s="942"/>
      <c r="BF467" s="942"/>
      <c r="BG467" s="942"/>
      <c r="BH467" s="942"/>
      <c r="BI467" s="942"/>
      <c r="BJ467" s="942"/>
      <c r="BK467" s="942"/>
      <c r="BL467" s="942"/>
      <c r="BM467" s="942"/>
      <c r="BN467" s="7720"/>
      <c r="BO467" s="7720"/>
      <c r="BP467" s="7720"/>
      <c r="BQ467" s="1278"/>
      <c r="BR467" s="1278"/>
      <c r="BS467" s="1063" t="s">
        <v>2646</v>
      </c>
      <c r="BT467" s="1064"/>
      <c r="BU467" s="1064"/>
      <c r="BV467" s="979"/>
      <c r="BW467" s="979"/>
    </row>
    <row s="1834" customFormat="1" customHeight="1" ht="14.25">
      <c r="A468" s="1278"/>
      <c r="B468" s="978"/>
      <c r="C468" s="1278"/>
      <c r="D468" s="1278"/>
      <c r="E468" s="703">
        <v>15</v>
      </c>
      <c r="F468" s="50" cm="1" t="str">
        <f t="array" ref="F468:F468">OFFSET(E468,-1,1)</f>
        <v>3</v>
      </c>
      <c r="G468" s="349" t="s">
        <v>1866</v>
      </c>
      <c r="H468" s="378"/>
      <c r="I468" s="378" t="s">
        <v>2220</v>
      </c>
      <c r="J468" s="1278"/>
      <c r="K468" s="378" t="s">
        <v>2220</v>
      </c>
      <c r="L468" s="980" t="s">
        <v>2095</v>
      </c>
      <c r="M468" s="107"/>
      <c r="N468" s="1278"/>
      <c r="O468" s="1278"/>
      <c r="P468" s="1278"/>
      <c r="Q468" s="158" t="s">
        <v>2947</v>
      </c>
      <c r="R468" s="161" t="s">
        <v>2947</v>
      </c>
      <c r="S468" s="1278"/>
      <c r="T468" s="465" cm="1" t="str">
        <f t="array" ref="T468:T468">T467</f>
        <v>true</v>
      </c>
      <c r="U468" s="1278"/>
      <c r="V468" s="1278"/>
      <c r="W468" s="1278"/>
      <c r="X468" s="1563"/>
      <c r="Y468" s="1278"/>
      <c r="Z468" s="1546"/>
      <c r="AA468" s="1278"/>
      <c r="AB468" s="299" t="s">
        <v>2647</v>
      </c>
      <c r="AC468" s="768" t="s">
        <v>2470</v>
      </c>
      <c r="AD468" s="766" t="s">
        <v>1514</v>
      </c>
      <c r="AE468" s="7723"/>
      <c r="AF468" s="7723"/>
      <c r="AG468" s="7723"/>
      <c r="AH468" s="943">
        <f>AG468-AF468</f>
        <v>0</v>
      </c>
      <c r="AI468" s="7691"/>
      <c r="AJ468" s="7721"/>
      <c r="AK468" s="942"/>
      <c r="AL468" s="942"/>
      <c r="AM468" s="942"/>
      <c r="AN468" s="942"/>
      <c r="AO468" s="942"/>
      <c r="AP468" s="942"/>
      <c r="AQ468" s="942"/>
      <c r="AR468" s="942"/>
      <c r="AS468" s="942"/>
      <c r="AT468" s="942"/>
      <c r="AU468" s="942"/>
      <c r="AV468" s="942"/>
      <c r="AW468" s="942"/>
      <c r="AX468" s="942"/>
      <c r="AY468" s="942"/>
      <c r="AZ468" s="942"/>
      <c r="BA468" s="942"/>
      <c r="BB468" s="942"/>
      <c r="BC468" s="942"/>
      <c r="BD468" s="942"/>
      <c r="BE468" s="942"/>
      <c r="BF468" s="942"/>
      <c r="BG468" s="942"/>
      <c r="BH468" s="942"/>
      <c r="BI468" s="942"/>
      <c r="BJ468" s="942"/>
      <c r="BK468" s="942"/>
      <c r="BL468" s="942"/>
      <c r="BM468" s="942"/>
      <c r="BN468" s="7720"/>
      <c r="BO468" s="7724" t="str">
        <f>IF(_xlfn.IFERROR(INDEX(ФОТ!$K$26:$L$188,MATCH($F468&amp;"1komm",ФОТ!$K$26:$K$188,0),2),"")=0,"",_xlfn.IFERROR(INDEX(ФОТ!$K$26:$L$188,MATCH($F468&amp;"1komm",ФОТ!$K$26:$K$188,0),2),""))</f>
        <v>по предложению организации в соответствии со штатным расписанием.</v>
      </c>
      <c r="BP468" s="7720"/>
      <c r="BQ468" s="1278"/>
      <c r="BR468" s="1278"/>
      <c r="BS468" s="1062" t="s">
        <v>2471</v>
      </c>
      <c r="BT468" s="1064"/>
      <c r="BU468" s="1064"/>
      <c r="BV468" s="979"/>
      <c r="BW468" s="979"/>
    </row>
    <row s="1834" customFormat="1" customHeight="1" ht="21.75">
      <c r="A469" s="1278"/>
      <c r="B469" s="978"/>
      <c r="C469" s="1278"/>
      <c r="D469" s="1278"/>
      <c r="E469" s="703">
        <v>22.5</v>
      </c>
      <c r="F469" s="50" cm="1" t="str">
        <f t="array" ref="F469:F469">OFFSET(E469,-1,1)</f>
        <v>3</v>
      </c>
      <c r="G469" s="349" t="s">
        <v>1878</v>
      </c>
      <c r="H469" s="378"/>
      <c r="I469" s="378" t="s">
        <v>2224</v>
      </c>
      <c r="J469" s="1278"/>
      <c r="K469" s="378" t="s">
        <v>2224</v>
      </c>
      <c r="L469" s="980" t="s">
        <v>2096</v>
      </c>
      <c r="M469" s="107"/>
      <c r="N469" s="1278"/>
      <c r="O469" s="1278"/>
      <c r="P469" s="1278"/>
      <c r="Q469" s="158" t="s">
        <v>2947</v>
      </c>
      <c r="R469" s="161" t="s">
        <v>2947</v>
      </c>
      <c r="S469" s="1278"/>
      <c r="T469" s="465" cm="1" t="str">
        <f t="array" ref="T469:T469">T468</f>
        <v>true</v>
      </c>
      <c r="U469" s="1278"/>
      <c r="V469" s="1278"/>
      <c r="W469" s="1278"/>
      <c r="X469" s="1563"/>
      <c r="Y469" s="1278"/>
      <c r="Z469" s="1546"/>
      <c r="AA469" s="1278"/>
      <c r="AB469" s="299" t="s">
        <v>2648</v>
      </c>
      <c r="AC469" s="768" t="s">
        <v>2649</v>
      </c>
      <c r="AD469" s="766" t="s">
        <v>1514</v>
      </c>
      <c r="AE469" s="7723">
        <f>AE468*_xlfn.SUMIFS(INDEX(Сценарии!$AE$25:$BF$163,,MATCH(AE$8,Сценарии!$AE$8:$BF$8,0)),Сценарии!$F$25:$F$163,$F469,Сценарии!$G$25:$G$163,"СВФОТ")/100</f>
        <v>0</v>
      </c>
      <c r="AF469" s="7723">
        <f>AF468*_xlfn.SUMIFS(INDEX(Сценарии!$AE$25:$BF$163,,MATCH(AF$8,Сценарии!$AE$8:$BF$8,0)),Сценарии!$F$25:$F$163,$F469,Сценарии!$G$25:$G$163,"СВФОТ")/100</f>
        <v>0</v>
      </c>
      <c r="AG469" s="7723">
        <f>AG468*_xlfn.SUMIFS(INDEX(Сценарии!$AE$25:$BF$163,,MATCH(AG$8,Сценарии!$AE$8:$BF$8,0)),Сценарии!$F$25:$F$163,$F469,Сценарии!$G$25:$G$163,"СВФОТ")/100</f>
        <v>0</v>
      </c>
      <c r="AH469" s="943">
        <f>AG469-AF469</f>
        <v>0</v>
      </c>
      <c r="AI469" s="7691">
        <f>AI468*_xlfn.SUMIFS(INDEX(Сценарии!$AE$25:$BF$163,,MATCH(AG$8,Сценарии!$AE$8:$BF$8,0)),Сценарии!$F$25:$F$163,$F469,Сценарии!$G$25:$G$163,"СВФОТ")/100</f>
        <v>0</v>
      </c>
      <c r="AJ469" s="7721"/>
      <c r="AK469" s="942"/>
      <c r="AL469" s="942"/>
      <c r="AM469" s="942"/>
      <c r="AN469" s="942"/>
      <c r="AO469" s="942"/>
      <c r="AP469" s="942"/>
      <c r="AQ469" s="942"/>
      <c r="AR469" s="942"/>
      <c r="AS469" s="942"/>
      <c r="AT469" s="942"/>
      <c r="AU469" s="942"/>
      <c r="AV469" s="942"/>
      <c r="AW469" s="942"/>
      <c r="AX469" s="942"/>
      <c r="AY469" s="942"/>
      <c r="AZ469" s="942"/>
      <c r="BA469" s="942"/>
      <c r="BB469" s="942"/>
      <c r="BC469" s="942"/>
      <c r="BD469" s="942"/>
      <c r="BE469" s="942"/>
      <c r="BF469" s="942"/>
      <c r="BG469" s="942"/>
      <c r="BH469" s="942"/>
      <c r="BI469" s="942"/>
      <c r="BJ469" s="942"/>
      <c r="BK469" s="942"/>
      <c r="BL469" s="942"/>
      <c r="BM469" s="942"/>
      <c r="BN469" s="7720"/>
      <c r="BO469" s="7724" t="str">
        <f>IF(_xlfn.IFERROR(INDEX(ФОТ!$K$26:$L$188,MATCH($F469&amp;"2komm",ФОТ!$K$26:$K$188,0),2),"")=0,"",_xlfn.IFERROR(INDEX(ФОТ!$K$26:$L$188,MATCH($F469&amp;"2komm",ФОТ!$K$26:$K$188,0),2),""))</f>
        <v>на основании Налогового кодекса РФ (часть вторая) от 05.08.2000 № 117-ФЗ в размере 30%, а также в соответствии с Федеральным законом от 24.07.1998 № 125 – ФЗ (0,20%).</v>
      </c>
      <c r="BP469" s="7720"/>
      <c r="BQ469" s="1278"/>
      <c r="BR469" s="1278"/>
      <c r="BS469" s="1062" t="s">
        <v>2473</v>
      </c>
      <c r="BT469" s="1064"/>
      <c r="BU469" s="1064"/>
      <c r="BV469" s="979"/>
      <c r="BW469" s="979"/>
    </row>
    <row s="1834" customFormat="1" customHeight="1" ht="14.25">
      <c r="A470" s="1278"/>
      <c r="B470" s="978"/>
      <c r="C470" s="1278"/>
      <c r="D470" s="1278"/>
      <c r="E470" s="703">
        <v>15</v>
      </c>
      <c r="F470" s="50" cm="1" t="str">
        <f t="array" ref="F470:F470">OFFSET(E470,-1,1)</f>
        <v>3</v>
      </c>
      <c r="G470" s="1278"/>
      <c r="H470" s="378"/>
      <c r="I470" s="378" t="s">
        <v>2235</v>
      </c>
      <c r="J470" s="1278"/>
      <c r="K470" s="378" t="s">
        <v>2235</v>
      </c>
      <c r="L470" s="980" t="s">
        <v>2475</v>
      </c>
      <c r="M470" s="107"/>
      <c r="N470" s="1278"/>
      <c r="O470" s="1278"/>
      <c r="P470" s="1278"/>
      <c r="Q470" s="158" t="s">
        <v>2947</v>
      </c>
      <c r="R470" s="161" t="s">
        <v>2947</v>
      </c>
      <c r="S470" s="1278"/>
      <c r="T470" s="465" cm="1" t="str">
        <f t="array" ref="T470:T470">T469</f>
        <v>true</v>
      </c>
      <c r="U470" s="1278"/>
      <c r="V470" s="1278"/>
      <c r="W470" s="1278"/>
      <c r="X470" s="1563"/>
      <c r="Y470" s="1278"/>
      <c r="Z470" s="1546"/>
      <c r="AA470" s="1278"/>
      <c r="AB470" s="299" t="s">
        <v>2449</v>
      </c>
      <c r="AC470" s="765" t="s">
        <v>2650</v>
      </c>
      <c r="AD470" s="766" t="s">
        <v>1514</v>
      </c>
      <c r="AE470" s="7723"/>
      <c r="AF470" s="7723"/>
      <c r="AG470" s="7723"/>
      <c r="AH470" s="943">
        <f>AG470-AF470</f>
        <v>0</v>
      </c>
      <c r="AI470" s="7691"/>
      <c r="AJ470" s="7721"/>
      <c r="AK470" s="942"/>
      <c r="AL470" s="942"/>
      <c r="AM470" s="942"/>
      <c r="AN470" s="942"/>
      <c r="AO470" s="942"/>
      <c r="AP470" s="942"/>
      <c r="AQ470" s="942"/>
      <c r="AR470" s="942"/>
      <c r="AS470" s="942"/>
      <c r="AT470" s="942"/>
      <c r="AU470" s="942"/>
      <c r="AV470" s="942"/>
      <c r="AW470" s="942"/>
      <c r="AX470" s="942"/>
      <c r="AY470" s="942"/>
      <c r="AZ470" s="942"/>
      <c r="BA470" s="942"/>
      <c r="BB470" s="942"/>
      <c r="BC470" s="942"/>
      <c r="BD470" s="942"/>
      <c r="BE470" s="942"/>
      <c r="BF470" s="942"/>
      <c r="BG470" s="942"/>
      <c r="BH470" s="942"/>
      <c r="BI470" s="942"/>
      <c r="BJ470" s="942"/>
      <c r="BK470" s="942"/>
      <c r="BL470" s="942"/>
      <c r="BM470" s="942"/>
      <c r="BN470" s="7720"/>
      <c r="BO470" s="7720"/>
      <c r="BP470" s="7720"/>
      <c r="BQ470" s="1278"/>
      <c r="BR470" s="1278"/>
      <c r="BS470" s="1063" t="s">
        <v>2478</v>
      </c>
      <c r="BT470" s="1064"/>
      <c r="BU470" s="1064"/>
      <c r="BV470" s="979"/>
      <c r="BW470" s="979"/>
    </row>
    <row s="1834" customFormat="1" customHeight="1" ht="14.25">
      <c r="A471" s="1278"/>
      <c r="B471" s="978"/>
      <c r="C471" s="1278"/>
      <c r="D471" s="1278"/>
      <c r="E471" s="703">
        <v>15</v>
      </c>
      <c r="F471" s="50" cm="1" t="str">
        <f t="array" ref="F471:F471">OFFSET(E471,-1,1)</f>
        <v>3</v>
      </c>
      <c r="G471" s="1278"/>
      <c r="H471" s="378"/>
      <c r="I471" s="378" t="s">
        <v>2239</v>
      </c>
      <c r="J471" s="1278"/>
      <c r="K471" s="378" t="s">
        <v>2239</v>
      </c>
      <c r="L471" s="980" t="s">
        <v>2479</v>
      </c>
      <c r="M471" s="1278"/>
      <c r="N471" s="1278"/>
      <c r="O471" s="1278"/>
      <c r="P471" s="1278"/>
      <c r="Q471" s="158" t="s">
        <v>2947</v>
      </c>
      <c r="R471" s="161" t="s">
        <v>2947</v>
      </c>
      <c r="S471" s="1278"/>
      <c r="T471" s="465" cm="1" t="str">
        <f t="array" ref="T471:T471">T470</f>
        <v>true</v>
      </c>
      <c r="U471" s="1278"/>
      <c r="V471" s="1278"/>
      <c r="W471" s="1278"/>
      <c r="X471" s="1563"/>
      <c r="Y471" s="1278"/>
      <c r="Z471" s="1546"/>
      <c r="AA471" s="1278"/>
      <c r="AB471" s="299" t="s">
        <v>2451</v>
      </c>
      <c r="AC471" s="765" t="s">
        <v>2651</v>
      </c>
      <c r="AD471" s="300" t="s">
        <v>1514</v>
      </c>
      <c r="AE471" s="944">
        <f>SUM(AE472:AE478)</f>
        <v>0</v>
      </c>
      <c r="AF471" s="944">
        <f>SUM(AF472:AF478)</f>
        <v>0</v>
      </c>
      <c r="AG471" s="944">
        <f>SUM(AG472:AG478)</f>
        <v>0</v>
      </c>
      <c r="AH471" s="943">
        <f>AG471-AF471</f>
        <v>0</v>
      </c>
      <c r="AI471" s="7693">
        <f>SUM(AI472:AI478)</f>
        <v>0</v>
      </c>
      <c r="AJ471" s="7721"/>
      <c r="AK471" s="942"/>
      <c r="AL471" s="942"/>
      <c r="AM471" s="942"/>
      <c r="AN471" s="942"/>
      <c r="AO471" s="942"/>
      <c r="AP471" s="942"/>
      <c r="AQ471" s="942"/>
      <c r="AR471" s="942"/>
      <c r="AS471" s="942"/>
      <c r="AT471" s="942"/>
      <c r="AU471" s="942"/>
      <c r="AV471" s="942"/>
      <c r="AW471" s="942"/>
      <c r="AX471" s="942"/>
      <c r="AY471" s="942"/>
      <c r="AZ471" s="942"/>
      <c r="BA471" s="942"/>
      <c r="BB471" s="942"/>
      <c r="BC471" s="942"/>
      <c r="BD471" s="942"/>
      <c r="BE471" s="942"/>
      <c r="BF471" s="942"/>
      <c r="BG471" s="942"/>
      <c r="BH471" s="942"/>
      <c r="BI471" s="942"/>
      <c r="BJ471" s="942"/>
      <c r="BK471" s="942"/>
      <c r="BL471" s="942"/>
      <c r="BM471" s="942"/>
      <c r="BN471" s="7720"/>
      <c r="BO471" s="7720"/>
      <c r="BP471" s="7720"/>
      <c r="BQ471" s="1278"/>
      <c r="BR471" s="1278"/>
      <c r="BS471" s="1063" t="s">
        <v>2652</v>
      </c>
      <c r="BT471" s="1064"/>
      <c r="BU471" s="1064"/>
      <c r="BV471" s="979"/>
      <c r="BW471" s="979"/>
    </row>
    <row s="1834" customFormat="1" customHeight="1" ht="14.25">
      <c r="A472" s="1278"/>
      <c r="B472" s="978"/>
      <c r="C472" s="1278"/>
      <c r="D472" s="1278"/>
      <c r="E472" s="703">
        <v>15</v>
      </c>
      <c r="F472" s="50" cm="1" t="str">
        <f t="array" ref="F472:F472">OFFSET(E472,-1,1)</f>
        <v>3</v>
      </c>
      <c r="G472" s="1278"/>
      <c r="H472" s="378"/>
      <c r="I472" s="378" t="s">
        <v>2653</v>
      </c>
      <c r="J472" s="1278"/>
      <c r="K472" s="378" t="s">
        <v>2653</v>
      </c>
      <c r="L472" s="980" t="s">
        <v>2479</v>
      </c>
      <c r="M472" s="107" t="s">
        <v>2487</v>
      </c>
      <c r="N472" s="1278"/>
      <c r="O472" s="1278"/>
      <c r="P472" s="1278"/>
      <c r="Q472" s="158" t="s">
        <v>2947</v>
      </c>
      <c r="R472" s="161" t="s">
        <v>2947</v>
      </c>
      <c r="S472" s="1278"/>
      <c r="T472" s="465" cm="1" t="str">
        <f t="array" ref="T472:T472">T471</f>
        <v>true</v>
      </c>
      <c r="U472" s="1278"/>
      <c r="V472" s="1278"/>
      <c r="W472" s="1278"/>
      <c r="X472" s="1563"/>
      <c r="Y472" s="1278"/>
      <c r="Z472" s="1546"/>
      <c r="AA472" s="1278"/>
      <c r="AB472" s="299" t="s">
        <v>2654</v>
      </c>
      <c r="AC472" s="768" t="s">
        <v>2655</v>
      </c>
      <c r="AD472" s="300" t="s">
        <v>1514</v>
      </c>
      <c r="AE472" s="7723"/>
      <c r="AF472" s="7723"/>
      <c r="AG472" s="7723"/>
      <c r="AH472" s="943">
        <f>AG472-AF472</f>
        <v>0</v>
      </c>
      <c r="AI472" s="7691"/>
      <c r="AJ472" s="7721"/>
      <c r="AK472" s="942"/>
      <c r="AL472" s="942"/>
      <c r="AM472" s="942"/>
      <c r="AN472" s="942"/>
      <c r="AO472" s="942"/>
      <c r="AP472" s="942"/>
      <c r="AQ472" s="942"/>
      <c r="AR472" s="942"/>
      <c r="AS472" s="942"/>
      <c r="AT472" s="942"/>
      <c r="AU472" s="942"/>
      <c r="AV472" s="942"/>
      <c r="AW472" s="942"/>
      <c r="AX472" s="942"/>
      <c r="AY472" s="942"/>
      <c r="AZ472" s="942"/>
      <c r="BA472" s="942"/>
      <c r="BB472" s="942"/>
      <c r="BC472" s="942"/>
      <c r="BD472" s="942"/>
      <c r="BE472" s="942"/>
      <c r="BF472" s="942"/>
      <c r="BG472" s="942"/>
      <c r="BH472" s="942"/>
      <c r="BI472" s="942"/>
      <c r="BJ472" s="942"/>
      <c r="BK472" s="942"/>
      <c r="BL472" s="942"/>
      <c r="BM472" s="942"/>
      <c r="BN472" s="7720"/>
      <c r="BO472" s="7720"/>
      <c r="BP472" s="7720"/>
      <c r="BQ472" s="1278"/>
      <c r="BR472" s="1278"/>
      <c r="BS472" s="1062" t="s">
        <v>2490</v>
      </c>
      <c r="BT472" s="1064"/>
      <c r="BU472" s="1064"/>
      <c r="BV472" s="979"/>
      <c r="BW472" s="979"/>
    </row>
    <row s="1834" customFormat="1" customHeight="1" ht="21.75">
      <c r="A473" s="1278"/>
      <c r="B473" s="978"/>
      <c r="C473" s="1278"/>
      <c r="D473" s="1278"/>
      <c r="E473" s="703">
        <v>22.5</v>
      </c>
      <c r="F473" s="50" cm="1" t="str">
        <f t="array" ref="F473:F473">OFFSET(E473,-1,1)</f>
        <v>3</v>
      </c>
      <c r="G473" s="1278"/>
      <c r="H473" s="378"/>
      <c r="I473" s="378" t="s">
        <v>2656</v>
      </c>
      <c r="J473" s="1278"/>
      <c r="K473" s="378" t="s">
        <v>2656</v>
      </c>
      <c r="L473" s="980" t="s">
        <v>2479</v>
      </c>
      <c r="M473" s="107" t="s">
        <v>2483</v>
      </c>
      <c r="N473" s="1278"/>
      <c r="O473" s="1278"/>
      <c r="P473" s="1278"/>
      <c r="Q473" s="158" t="s">
        <v>2947</v>
      </c>
      <c r="R473" s="161" t="s">
        <v>2947</v>
      </c>
      <c r="S473" s="1278"/>
      <c r="T473" s="465" cm="1" t="str">
        <f t="array" ref="T473:T473">T472</f>
        <v>true</v>
      </c>
      <c r="U473" s="1278"/>
      <c r="V473" s="1278"/>
      <c r="W473" s="1278"/>
      <c r="X473" s="1563"/>
      <c r="Y473" s="1278"/>
      <c r="Z473" s="1546"/>
      <c r="AA473" s="1278"/>
      <c r="AB473" s="299" t="s">
        <v>2657</v>
      </c>
      <c r="AC473" s="768" t="s">
        <v>2658</v>
      </c>
      <c r="AD473" s="300" t="s">
        <v>1514</v>
      </c>
      <c r="AE473" s="7723"/>
      <c r="AF473" s="7723"/>
      <c r="AG473" s="7723"/>
      <c r="AH473" s="943">
        <f>AG473-AF473</f>
        <v>0</v>
      </c>
      <c r="AI473" s="7691"/>
      <c r="AJ473" s="7721"/>
      <c r="AK473" s="942"/>
      <c r="AL473" s="942"/>
      <c r="AM473" s="942"/>
      <c r="AN473" s="942"/>
      <c r="AO473" s="942"/>
      <c r="AP473" s="942"/>
      <c r="AQ473" s="942"/>
      <c r="AR473" s="942"/>
      <c r="AS473" s="942"/>
      <c r="AT473" s="942"/>
      <c r="AU473" s="942"/>
      <c r="AV473" s="942"/>
      <c r="AW473" s="942"/>
      <c r="AX473" s="942"/>
      <c r="AY473" s="942"/>
      <c r="AZ473" s="942"/>
      <c r="BA473" s="942"/>
      <c r="BB473" s="942"/>
      <c r="BC473" s="942"/>
      <c r="BD473" s="942"/>
      <c r="BE473" s="942"/>
      <c r="BF473" s="942"/>
      <c r="BG473" s="942"/>
      <c r="BH473" s="942"/>
      <c r="BI473" s="942"/>
      <c r="BJ473" s="942"/>
      <c r="BK473" s="942"/>
      <c r="BL473" s="942"/>
      <c r="BM473" s="942"/>
      <c r="BN473" s="7720"/>
      <c r="BO473" s="7720"/>
      <c r="BP473" s="7720"/>
      <c r="BQ473" s="1278"/>
      <c r="BR473" s="1278"/>
      <c r="BS473" s="1064" t="s">
        <v>2659</v>
      </c>
      <c r="BT473" s="1064"/>
      <c r="BU473" s="1064"/>
      <c r="BV473" s="979"/>
      <c r="BW473" s="979"/>
    </row>
    <row s="1834" customFormat="1" customHeight="1" ht="21.75">
      <c r="A474" s="1278"/>
      <c r="B474" s="978"/>
      <c r="C474" s="1278"/>
      <c r="D474" s="1278"/>
      <c r="E474" s="703">
        <v>22.5</v>
      </c>
      <c r="F474" s="50" cm="1" t="str">
        <f t="array" ref="F474:F474">OFFSET(E474,-1,1)</f>
        <v>3</v>
      </c>
      <c r="G474" s="1278"/>
      <c r="H474" s="378"/>
      <c r="I474" s="378" t="s">
        <v>2660</v>
      </c>
      <c r="J474" s="1278"/>
      <c r="K474" s="378" t="s">
        <v>2660</v>
      </c>
      <c r="L474" s="1278"/>
      <c r="M474" s="1278"/>
      <c r="N474" s="1278"/>
      <c r="O474" s="1278"/>
      <c r="P474" s="1278"/>
      <c r="Q474" s="158" t="s">
        <v>2947</v>
      </c>
      <c r="R474" s="161" t="s">
        <v>2947</v>
      </c>
      <c r="S474" s="1278"/>
      <c r="T474" s="465" cm="1" t="str">
        <f t="array" ref="T474:T474">T473</f>
        <v>true</v>
      </c>
      <c r="U474" s="1278"/>
      <c r="V474" s="1278"/>
      <c r="W474" s="1278"/>
      <c r="X474" s="1563"/>
      <c r="Y474" s="1278"/>
      <c r="Z474" s="1546"/>
      <c r="AA474" s="1278"/>
      <c r="AB474" s="299" t="s">
        <v>2661</v>
      </c>
      <c r="AC474" s="769" t="s">
        <v>2662</v>
      </c>
      <c r="AD474" s="300" t="s">
        <v>1514</v>
      </c>
      <c r="AE474" s="7723"/>
      <c r="AF474" s="7723"/>
      <c r="AG474" s="7723"/>
      <c r="AH474" s="943">
        <f>AG474-AF474</f>
        <v>0</v>
      </c>
      <c r="AI474" s="7691"/>
      <c r="AJ474" s="7721"/>
      <c r="AK474" s="942"/>
      <c r="AL474" s="942"/>
      <c r="AM474" s="942"/>
      <c r="AN474" s="942"/>
      <c r="AO474" s="942"/>
      <c r="AP474" s="942"/>
      <c r="AQ474" s="942"/>
      <c r="AR474" s="942"/>
      <c r="AS474" s="942"/>
      <c r="AT474" s="942"/>
      <c r="AU474" s="942"/>
      <c r="AV474" s="942"/>
      <c r="AW474" s="942"/>
      <c r="AX474" s="942"/>
      <c r="AY474" s="942"/>
      <c r="AZ474" s="942"/>
      <c r="BA474" s="942"/>
      <c r="BB474" s="942"/>
      <c r="BC474" s="942"/>
      <c r="BD474" s="942"/>
      <c r="BE474" s="942"/>
      <c r="BF474" s="942"/>
      <c r="BG474" s="942"/>
      <c r="BH474" s="942"/>
      <c r="BI474" s="942"/>
      <c r="BJ474" s="942"/>
      <c r="BK474" s="942"/>
      <c r="BL474" s="942"/>
      <c r="BM474" s="942"/>
      <c r="BN474" s="7720"/>
      <c r="BO474" s="7720"/>
      <c r="BP474" s="7720"/>
      <c r="BQ474" s="1278"/>
      <c r="BR474" s="1278"/>
      <c r="BS474" s="1064" t="s">
        <v>2663</v>
      </c>
      <c r="BT474" s="1064"/>
      <c r="BU474" s="1064"/>
      <c r="BV474" s="979"/>
      <c r="BW474" s="979"/>
    </row>
    <row s="1834" customFormat="1" customHeight="1" ht="21.75">
      <c r="A475" s="1278"/>
      <c r="B475" s="978"/>
      <c r="C475" s="1278"/>
      <c r="D475" s="1278"/>
      <c r="E475" s="703">
        <v>22.5</v>
      </c>
      <c r="F475" s="50" cm="1" t="str">
        <f t="array" ref="F475:F475">OFFSET(E475,-1,1)</f>
        <v>3</v>
      </c>
      <c r="G475" s="1278"/>
      <c r="H475" s="378"/>
      <c r="I475" s="378" t="s">
        <v>2664</v>
      </c>
      <c r="J475" s="1278"/>
      <c r="K475" s="378" t="s">
        <v>2664</v>
      </c>
      <c r="L475" s="980"/>
      <c r="M475" s="1278"/>
      <c r="N475" s="1278"/>
      <c r="O475" s="1278"/>
      <c r="P475" s="1278"/>
      <c r="Q475" s="158" t="s">
        <v>2947</v>
      </c>
      <c r="R475" s="161" t="s">
        <v>2947</v>
      </c>
      <c r="S475" s="1278"/>
      <c r="T475" s="465" cm="1" t="str">
        <f t="array" ref="T475:T475">T474</f>
        <v>true</v>
      </c>
      <c r="U475" s="1278"/>
      <c r="V475" s="1278"/>
      <c r="W475" s="1278"/>
      <c r="X475" s="1563"/>
      <c r="Y475" s="1278"/>
      <c r="Z475" s="1546"/>
      <c r="AA475" s="1278"/>
      <c r="AB475" s="299" t="s">
        <v>2665</v>
      </c>
      <c r="AC475" s="769" t="s">
        <v>2666</v>
      </c>
      <c r="AD475" s="300" t="s">
        <v>1514</v>
      </c>
      <c r="AE475" s="7723"/>
      <c r="AF475" s="7723"/>
      <c r="AG475" s="7723"/>
      <c r="AH475" s="943">
        <f>AG475-AF475</f>
        <v>0</v>
      </c>
      <c r="AI475" s="7691"/>
      <c r="AJ475" s="7721"/>
      <c r="AK475" s="942"/>
      <c r="AL475" s="942"/>
      <c r="AM475" s="942"/>
      <c r="AN475" s="942"/>
      <c r="AO475" s="942"/>
      <c r="AP475" s="942"/>
      <c r="AQ475" s="942"/>
      <c r="AR475" s="942"/>
      <c r="AS475" s="942"/>
      <c r="AT475" s="942"/>
      <c r="AU475" s="942"/>
      <c r="AV475" s="942"/>
      <c r="AW475" s="942"/>
      <c r="AX475" s="942"/>
      <c r="AY475" s="942"/>
      <c r="AZ475" s="942"/>
      <c r="BA475" s="942"/>
      <c r="BB475" s="942"/>
      <c r="BC475" s="942"/>
      <c r="BD475" s="942"/>
      <c r="BE475" s="942"/>
      <c r="BF475" s="942"/>
      <c r="BG475" s="942"/>
      <c r="BH475" s="942"/>
      <c r="BI475" s="942"/>
      <c r="BJ475" s="942"/>
      <c r="BK475" s="942"/>
      <c r="BL475" s="942"/>
      <c r="BM475" s="942"/>
      <c r="BN475" s="7720"/>
      <c r="BO475" s="7720"/>
      <c r="BP475" s="7720"/>
      <c r="BQ475" s="1278"/>
      <c r="BR475" s="1278"/>
      <c r="BS475" s="1064" t="s">
        <v>2667</v>
      </c>
      <c r="BT475" s="1064"/>
      <c r="BU475" s="1064"/>
      <c r="BV475" s="979"/>
      <c r="BW475" s="979"/>
    </row>
    <row s="1834" customFormat="1" customHeight="1" ht="43.5">
      <c r="A476" s="1278"/>
      <c r="B476" s="978"/>
      <c r="C476" s="1278"/>
      <c r="D476" s="1278"/>
      <c r="E476" s="703">
        <v>45</v>
      </c>
      <c r="F476" s="50" cm="1" t="str">
        <f t="array" ref="F476:F476">OFFSET(E476,-1,1)</f>
        <v>3</v>
      </c>
      <c r="G476" s="1278"/>
      <c r="H476" s="378"/>
      <c r="I476" s="378" t="s">
        <v>2668</v>
      </c>
      <c r="J476" s="1278"/>
      <c r="K476" s="378" t="s">
        <v>2668</v>
      </c>
      <c r="L476" s="980" t="s">
        <v>2479</v>
      </c>
      <c r="M476" s="107" t="s">
        <v>2491</v>
      </c>
      <c r="N476" s="1278"/>
      <c r="O476" s="1278"/>
      <c r="P476" s="1278"/>
      <c r="Q476" s="158" t="s">
        <v>2947</v>
      </c>
      <c r="R476" s="161" t="s">
        <v>2947</v>
      </c>
      <c r="S476" s="1278"/>
      <c r="T476" s="465" cm="1" t="str">
        <f t="array" ref="T476:T476">T475</f>
        <v>true</v>
      </c>
      <c r="U476" s="1278"/>
      <c r="V476" s="1278"/>
      <c r="W476" s="1278"/>
      <c r="X476" s="1563"/>
      <c r="Y476" s="1278"/>
      <c r="Z476" s="1546"/>
      <c r="AA476" s="1278"/>
      <c r="AB476" s="299" t="s">
        <v>2669</v>
      </c>
      <c r="AC476" s="768" t="s">
        <v>2670</v>
      </c>
      <c r="AD476" s="300" t="s">
        <v>1514</v>
      </c>
      <c r="AE476" s="7723"/>
      <c r="AF476" s="7723"/>
      <c r="AG476" s="7723"/>
      <c r="AH476" s="943">
        <f>AG476-AF476</f>
        <v>0</v>
      </c>
      <c r="AI476" s="7691"/>
      <c r="AJ476" s="7721"/>
      <c r="AK476" s="942"/>
      <c r="AL476" s="942"/>
      <c r="AM476" s="942"/>
      <c r="AN476" s="942"/>
      <c r="AO476" s="942"/>
      <c r="AP476" s="942"/>
      <c r="AQ476" s="942"/>
      <c r="AR476" s="942"/>
      <c r="AS476" s="942"/>
      <c r="AT476" s="942"/>
      <c r="AU476" s="942"/>
      <c r="AV476" s="942"/>
      <c r="AW476" s="942"/>
      <c r="AX476" s="942"/>
      <c r="AY476" s="942"/>
      <c r="AZ476" s="942"/>
      <c r="BA476" s="942"/>
      <c r="BB476" s="942"/>
      <c r="BC476" s="942"/>
      <c r="BD476" s="942"/>
      <c r="BE476" s="942"/>
      <c r="BF476" s="942"/>
      <c r="BG476" s="942"/>
      <c r="BH476" s="942"/>
      <c r="BI476" s="942"/>
      <c r="BJ476" s="942"/>
      <c r="BK476" s="942"/>
      <c r="BL476" s="942"/>
      <c r="BM476" s="942"/>
      <c r="BN476" s="7720"/>
      <c r="BO476" s="7720"/>
      <c r="BP476" s="7720"/>
      <c r="BQ476" s="1278"/>
      <c r="BR476" s="1278"/>
      <c r="BS476" s="1064" t="s">
        <v>2494</v>
      </c>
      <c r="BT476" s="1064"/>
      <c r="BU476" s="1064"/>
      <c r="BV476" s="979"/>
      <c r="BW476" s="979"/>
    </row>
    <row s="1834" customFormat="1" customHeight="1" ht="14.25">
      <c r="A477" s="1278"/>
      <c r="B477" s="978"/>
      <c r="C477" s="1278"/>
      <c r="D477" s="1278"/>
      <c r="E477" s="703">
        <v>15</v>
      </c>
      <c r="F477" s="50" cm="1" t="str">
        <f t="array" ref="F477:F477">OFFSET(E477,-1,1)</f>
        <v>3</v>
      </c>
      <c r="G477" s="1278"/>
      <c r="H477" s="378"/>
      <c r="I477" s="378" t="s">
        <v>2671</v>
      </c>
      <c r="J477" s="1278"/>
      <c r="K477" s="378" t="s">
        <v>2671</v>
      </c>
      <c r="L477" s="980" t="s">
        <v>2479</v>
      </c>
      <c r="M477" s="107" t="s">
        <v>2495</v>
      </c>
      <c r="N477" s="1278"/>
      <c r="O477" s="1278"/>
      <c r="P477" s="1278"/>
      <c r="Q477" s="158" t="s">
        <v>2947</v>
      </c>
      <c r="R477" s="161" t="s">
        <v>2947</v>
      </c>
      <c r="S477" s="1278"/>
      <c r="T477" s="465" cm="1" t="str">
        <f t="array" ref="T477:T477">T476</f>
        <v>true</v>
      </c>
      <c r="U477" s="1278"/>
      <c r="V477" s="1278"/>
      <c r="W477" s="1278"/>
      <c r="X477" s="1563"/>
      <c r="Y477" s="1278"/>
      <c r="Z477" s="1546"/>
      <c r="AA477" s="1278"/>
      <c r="AB477" s="299" t="s">
        <v>2672</v>
      </c>
      <c r="AC477" s="768" t="s">
        <v>2497</v>
      </c>
      <c r="AD477" s="300" t="s">
        <v>1514</v>
      </c>
      <c r="AE477" s="7723"/>
      <c r="AF477" s="7723"/>
      <c r="AG477" s="7723"/>
      <c r="AH477" s="943">
        <f>AG477-AF477</f>
        <v>0</v>
      </c>
      <c r="AI477" s="7691"/>
      <c r="AJ477" s="7721"/>
      <c r="AK477" s="942"/>
      <c r="AL477" s="942"/>
      <c r="AM477" s="942"/>
      <c r="AN477" s="942"/>
      <c r="AO477" s="942"/>
      <c r="AP477" s="942"/>
      <c r="AQ477" s="942"/>
      <c r="AR477" s="942"/>
      <c r="AS477" s="942"/>
      <c r="AT477" s="942"/>
      <c r="AU477" s="942"/>
      <c r="AV477" s="942"/>
      <c r="AW477" s="942"/>
      <c r="AX477" s="942"/>
      <c r="AY477" s="942"/>
      <c r="AZ477" s="942"/>
      <c r="BA477" s="942"/>
      <c r="BB477" s="942"/>
      <c r="BC477" s="942"/>
      <c r="BD477" s="942"/>
      <c r="BE477" s="942"/>
      <c r="BF477" s="942"/>
      <c r="BG477" s="942"/>
      <c r="BH477" s="942"/>
      <c r="BI477" s="942"/>
      <c r="BJ477" s="942"/>
      <c r="BK477" s="942"/>
      <c r="BL477" s="942"/>
      <c r="BM477" s="942"/>
      <c r="BN477" s="7720"/>
      <c r="BO477" s="7720"/>
      <c r="BP477" s="7720"/>
      <c r="BQ477" s="1278"/>
      <c r="BR477" s="1278"/>
      <c r="BS477" s="1064" t="s">
        <v>2498</v>
      </c>
      <c r="BT477" s="1064"/>
      <c r="BU477" s="1064"/>
      <c r="BV477" s="979"/>
      <c r="BW477" s="979"/>
    </row>
    <row s="1834" customFormat="1" customHeight="1" ht="14.25">
      <c r="A478" s="1278"/>
      <c r="B478" s="978"/>
      <c r="C478" s="1278"/>
      <c r="D478" s="1278"/>
      <c r="E478" s="703">
        <v>15</v>
      </c>
      <c r="F478" s="50" cm="1" t="str">
        <f t="array" ref="F478:F478">OFFSET(E478,-1,1)</f>
        <v>3</v>
      </c>
      <c r="G478" s="1278"/>
      <c r="H478" s="378"/>
      <c r="I478" s="378" t="s">
        <v>2673</v>
      </c>
      <c r="J478" s="1278"/>
      <c r="K478" s="378" t="s">
        <v>2673</v>
      </c>
      <c r="L478" s="980"/>
      <c r="M478" s="107"/>
      <c r="N478" s="1278"/>
      <c r="O478" s="1278"/>
      <c r="P478" s="1278"/>
      <c r="Q478" s="158" t="s">
        <v>2947</v>
      </c>
      <c r="R478" s="161" t="s">
        <v>2947</v>
      </c>
      <c r="S478" s="1278"/>
      <c r="T478" s="465" cm="1" t="str">
        <f t="array" ref="T478:T478">T477</f>
        <v>true</v>
      </c>
      <c r="U478" s="1278"/>
      <c r="V478" s="1278"/>
      <c r="W478" s="1278"/>
      <c r="X478" s="1563"/>
      <c r="Y478" s="1278"/>
      <c r="Z478" s="1546"/>
      <c r="AA478" s="1278"/>
      <c r="AB478" s="299" t="s">
        <v>2674</v>
      </c>
      <c r="AC478" s="768" t="s">
        <v>2675</v>
      </c>
      <c r="AD478" s="300" t="s">
        <v>1514</v>
      </c>
      <c r="AE478" s="7723"/>
      <c r="AF478" s="7723"/>
      <c r="AG478" s="7723"/>
      <c r="AH478" s="943">
        <f>AG478-AF478</f>
        <v>0</v>
      </c>
      <c r="AI478" s="7691"/>
      <c r="AJ478" s="1354"/>
      <c r="AK478" s="942"/>
      <c r="AL478" s="942"/>
      <c r="AM478" s="942"/>
      <c r="AN478" s="942"/>
      <c r="AO478" s="942"/>
      <c r="AP478" s="942"/>
      <c r="AQ478" s="942"/>
      <c r="AR478" s="942"/>
      <c r="AS478" s="942"/>
      <c r="AT478" s="942"/>
      <c r="AU478" s="942"/>
      <c r="AV478" s="942"/>
      <c r="AW478" s="942"/>
      <c r="AX478" s="942"/>
      <c r="AY478" s="942"/>
      <c r="AZ478" s="942"/>
      <c r="BA478" s="942"/>
      <c r="BB478" s="942"/>
      <c r="BC478" s="942"/>
      <c r="BD478" s="942"/>
      <c r="BE478" s="942"/>
      <c r="BF478" s="942"/>
      <c r="BG478" s="942"/>
      <c r="BH478" s="942"/>
      <c r="BI478" s="942"/>
      <c r="BJ478" s="942"/>
      <c r="BK478" s="942"/>
      <c r="BL478" s="942"/>
      <c r="BM478" s="942"/>
      <c r="BN478" s="7720"/>
      <c r="BO478" s="7720"/>
      <c r="BP478" s="7720"/>
      <c r="BQ478" s="1278"/>
      <c r="BR478" s="1278"/>
      <c r="BS478" s="1064" t="s">
        <v>2482</v>
      </c>
      <c r="BT478" s="1064"/>
      <c r="BU478" s="1064"/>
      <c r="BV478" s="979"/>
      <c r="BW478" s="979"/>
    </row>
    <row s="7850" customFormat="1" customHeight="1" ht="20.25">
      <c r="A479" s="700"/>
      <c r="B479" s="435"/>
      <c r="C479" s="700"/>
      <c r="D479" s="700"/>
      <c r="E479" s="707">
        <v>21</v>
      </c>
      <c r="F479" s="50" cm="1" t="str">
        <f t="array" ref="F479:F479">OFFSET(E479,-1,1)</f>
        <v>3</v>
      </c>
      <c r="G479" s="700"/>
      <c r="H479" s="378"/>
      <c r="I479" s="378" t="s">
        <v>1182</v>
      </c>
      <c r="J479" s="700"/>
      <c r="K479" s="378" t="s">
        <v>1182</v>
      </c>
      <c r="L479" s="985"/>
      <c r="M479" s="109"/>
      <c r="N479" s="700"/>
      <c r="O479" s="700"/>
      <c r="P479" s="700"/>
      <c r="Q479" s="158" t="s">
        <v>2947</v>
      </c>
      <c r="R479" s="161" t="s">
        <v>2947</v>
      </c>
      <c r="S479" s="700"/>
      <c r="T479" s="465" cm="1" t="str">
        <f t="array" ref="T479:T479">T478</f>
        <v>true</v>
      </c>
      <c r="U479" s="700"/>
      <c r="V479" s="700"/>
      <c r="W479" s="700"/>
      <c r="X479" s="1563"/>
      <c r="Y479" s="700"/>
      <c r="Z479" s="1546"/>
      <c r="AA479" s="700"/>
      <c r="AB479" s="218" t="s">
        <v>1634</v>
      </c>
      <c r="AC479" s="361" t="s">
        <v>2501</v>
      </c>
      <c r="AD479" s="211" t="s">
        <v>1514</v>
      </c>
      <c r="AE479" s="770">
        <f>AE480+AE481+AE482</f>
        <v>0</v>
      </c>
      <c r="AF479" s="770">
        <f>AF480+AF481+AF482</f>
        <v>0</v>
      </c>
      <c r="AG479" s="770">
        <f>AG480+AG481+AG482</f>
        <v>0</v>
      </c>
      <c r="AH479" s="761">
        <f>AG479-AF479</f>
        <v>0</v>
      </c>
      <c r="AI479" s="7697">
        <f>AI480+AI481+AI482</f>
        <v>0</v>
      </c>
      <c r="AJ479" s="7721"/>
      <c r="AK479" s="764"/>
      <c r="AL479" s="764"/>
      <c r="AM479" s="764"/>
      <c r="AN479" s="764"/>
      <c r="AO479" s="764"/>
      <c r="AP479" s="764"/>
      <c r="AQ479" s="764"/>
      <c r="AR479" s="764"/>
      <c r="AS479" s="764"/>
      <c r="AT479" s="764"/>
      <c r="AU479" s="764"/>
      <c r="AV479" s="764"/>
      <c r="AW479" s="764"/>
      <c r="AX479" s="764"/>
      <c r="AY479" s="764"/>
      <c r="AZ479" s="764"/>
      <c r="BA479" s="764"/>
      <c r="BB479" s="764"/>
      <c r="BC479" s="764"/>
      <c r="BD479" s="764"/>
      <c r="BE479" s="764"/>
      <c r="BF479" s="764"/>
      <c r="BG479" s="764"/>
      <c r="BH479" s="764"/>
      <c r="BI479" s="764"/>
      <c r="BJ479" s="764"/>
      <c r="BK479" s="764"/>
      <c r="BL479" s="764"/>
      <c r="BM479" s="764"/>
      <c r="BN479" s="7722"/>
      <c r="BO479" s="7722"/>
      <c r="BP479" s="7722"/>
      <c r="BQ479" s="700"/>
      <c r="BR479" s="700"/>
      <c r="BS479" s="1063" t="s">
        <v>2502</v>
      </c>
      <c r="BT479" s="1070"/>
      <c r="BU479" s="1070"/>
      <c r="BV479" s="707"/>
      <c r="BW479" s="707"/>
    </row>
    <row s="1834" customFormat="1" customHeight="1" ht="21.75">
      <c r="A480" s="1278"/>
      <c r="B480" s="978"/>
      <c r="C480" s="1278"/>
      <c r="D480" s="1278"/>
      <c r="E480" s="703">
        <v>22.5</v>
      </c>
      <c r="F480" s="50" cm="1" t="str">
        <f t="array" ref="F480:F480">OFFSET(E480,-1,1)</f>
        <v>3</v>
      </c>
      <c r="G480" s="1278"/>
      <c r="H480" s="378"/>
      <c r="I480" s="378" t="s">
        <v>2081</v>
      </c>
      <c r="J480" s="1278"/>
      <c r="K480" s="378" t="s">
        <v>2081</v>
      </c>
      <c r="L480" s="980"/>
      <c r="M480" s="107"/>
      <c r="N480" s="1278"/>
      <c r="O480" s="1278"/>
      <c r="P480" s="1278"/>
      <c r="Q480" s="158" t="s">
        <v>2947</v>
      </c>
      <c r="R480" s="161" t="s">
        <v>2947</v>
      </c>
      <c r="S480" s="1278"/>
      <c r="T480" s="465" cm="1" t="str">
        <f t="array" ref="T480:T480">T479</f>
        <v>true</v>
      </c>
      <c r="U480" s="1278"/>
      <c r="V480" s="1278"/>
      <c r="W480" s="1278"/>
      <c r="X480" s="1563"/>
      <c r="Y480" s="1278"/>
      <c r="Z480" s="1546"/>
      <c r="AA480" s="1278"/>
      <c r="AB480" s="299" t="s">
        <v>2082</v>
      </c>
      <c r="AC480" s="765" t="s">
        <v>2676</v>
      </c>
      <c r="AD480" s="300" t="s">
        <v>1514</v>
      </c>
      <c r="AE480" s="7723"/>
      <c r="AF480" s="7723"/>
      <c r="AG480" s="7723"/>
      <c r="AH480" s="943">
        <f>AG480-AF480</f>
        <v>0</v>
      </c>
      <c r="AI480" s="7691"/>
      <c r="AJ480" s="7721"/>
      <c r="AK480" s="942"/>
      <c r="AL480" s="942"/>
      <c r="AM480" s="942"/>
      <c r="AN480" s="942"/>
      <c r="AO480" s="942"/>
      <c r="AP480" s="942"/>
      <c r="AQ480" s="942"/>
      <c r="AR480" s="942"/>
      <c r="AS480" s="942"/>
      <c r="AT480" s="942"/>
      <c r="AU480" s="942"/>
      <c r="AV480" s="942"/>
      <c r="AW480" s="942"/>
      <c r="AX480" s="942"/>
      <c r="AY480" s="942"/>
      <c r="AZ480" s="942"/>
      <c r="BA480" s="942"/>
      <c r="BB480" s="942"/>
      <c r="BC480" s="942"/>
      <c r="BD480" s="942"/>
      <c r="BE480" s="942"/>
      <c r="BF480" s="942"/>
      <c r="BG480" s="942"/>
      <c r="BH480" s="942"/>
      <c r="BI480" s="942"/>
      <c r="BJ480" s="942"/>
      <c r="BK480" s="942"/>
      <c r="BL480" s="942"/>
      <c r="BM480" s="942"/>
      <c r="BN480" s="7720"/>
      <c r="BO480" s="7720"/>
      <c r="BP480" s="7720"/>
      <c r="BQ480" s="1278"/>
      <c r="BR480" s="1278"/>
      <c r="BS480" s="1062" t="s">
        <v>2504</v>
      </c>
      <c r="BT480" s="1064"/>
      <c r="BU480" s="1064"/>
      <c r="BV480" s="979"/>
      <c r="BW480" s="979"/>
    </row>
    <row s="1834" customFormat="1" customHeight="1" ht="21.75">
      <c r="A481" s="1278"/>
      <c r="B481" s="978"/>
      <c r="C481" s="1278"/>
      <c r="D481" s="1278"/>
      <c r="E481" s="703">
        <v>22.5</v>
      </c>
      <c r="F481" s="50" cm="1" t="str">
        <f t="array" ref="F481:F481">OFFSET(E481,-1,1)</f>
        <v>3</v>
      </c>
      <c r="G481" s="1278"/>
      <c r="H481" s="378"/>
      <c r="I481" s="378" t="s">
        <v>2085</v>
      </c>
      <c r="J481" s="1278"/>
      <c r="K481" s="378" t="s">
        <v>2085</v>
      </c>
      <c r="L481" s="980"/>
      <c r="M481" s="107"/>
      <c r="N481" s="1278"/>
      <c r="O481" s="1278"/>
      <c r="P481" s="1278"/>
      <c r="Q481" s="158" t="s">
        <v>2947</v>
      </c>
      <c r="R481" s="161" t="s">
        <v>2947</v>
      </c>
      <c r="S481" s="1278"/>
      <c r="T481" s="465" cm="1" t="str">
        <f t="array" ref="T481:T481">T480</f>
        <v>true</v>
      </c>
      <c r="U481" s="1278"/>
      <c r="V481" s="1278"/>
      <c r="W481" s="1278"/>
      <c r="X481" s="1563"/>
      <c r="Y481" s="1278"/>
      <c r="Z481" s="1546"/>
      <c r="AA481" s="1278"/>
      <c r="AB481" s="299" t="s">
        <v>2086</v>
      </c>
      <c r="AC481" s="765" t="s">
        <v>2677</v>
      </c>
      <c r="AD481" s="300" t="s">
        <v>1514</v>
      </c>
      <c r="AE481" s="7723"/>
      <c r="AF481" s="7723"/>
      <c r="AG481" s="7723"/>
      <c r="AH481" s="943">
        <f>AG481-AF481</f>
        <v>0</v>
      </c>
      <c r="AI481" s="7691"/>
      <c r="AJ481" s="7721"/>
      <c r="AK481" s="942"/>
      <c r="AL481" s="942"/>
      <c r="AM481" s="942"/>
      <c r="AN481" s="942"/>
      <c r="AO481" s="942"/>
      <c r="AP481" s="942"/>
      <c r="AQ481" s="942"/>
      <c r="AR481" s="942"/>
      <c r="AS481" s="942"/>
      <c r="AT481" s="942"/>
      <c r="AU481" s="942"/>
      <c r="AV481" s="942"/>
      <c r="AW481" s="942"/>
      <c r="AX481" s="942"/>
      <c r="AY481" s="942"/>
      <c r="AZ481" s="942"/>
      <c r="BA481" s="942"/>
      <c r="BB481" s="942"/>
      <c r="BC481" s="942"/>
      <c r="BD481" s="942"/>
      <c r="BE481" s="942"/>
      <c r="BF481" s="942"/>
      <c r="BG481" s="942"/>
      <c r="BH481" s="942"/>
      <c r="BI481" s="942"/>
      <c r="BJ481" s="942"/>
      <c r="BK481" s="942"/>
      <c r="BL481" s="942"/>
      <c r="BM481" s="942"/>
      <c r="BN481" s="7720"/>
      <c r="BO481" s="7720"/>
      <c r="BP481" s="7720"/>
      <c r="BQ481" s="1278"/>
      <c r="BR481" s="1278"/>
      <c r="BS481" s="1064" t="s">
        <v>2678</v>
      </c>
      <c r="BT481" s="1064"/>
      <c r="BU481" s="1064"/>
      <c r="BV481" s="979"/>
      <c r="BW481" s="979"/>
    </row>
    <row s="1834" customFormat="1" customHeight="1" ht="21.75">
      <c r="A482" s="1278"/>
      <c r="B482" s="978"/>
      <c r="C482" s="1278"/>
      <c r="D482" s="1278"/>
      <c r="E482" s="703">
        <v>22.5</v>
      </c>
      <c r="F482" s="50" cm="1" t="str">
        <f t="array" ref="F482:F482">OFFSET(E482,-1,1)</f>
        <v>3</v>
      </c>
      <c r="G482" s="1278"/>
      <c r="H482" s="378"/>
      <c r="I482" s="378" t="s">
        <v>2089</v>
      </c>
      <c r="J482" s="1278"/>
      <c r="K482" s="378" t="s">
        <v>2089</v>
      </c>
      <c r="L482" s="980" t="s">
        <v>1196</v>
      </c>
      <c r="M482" s="107"/>
      <c r="N482" s="1278"/>
      <c r="O482" s="1278"/>
      <c r="P482" s="1278"/>
      <c r="Q482" s="158" t="s">
        <v>2947</v>
      </c>
      <c r="R482" s="161" t="s">
        <v>2947</v>
      </c>
      <c r="S482" s="1278"/>
      <c r="T482" s="465" cm="1" t="str">
        <f t="array" ref="T482:T482">T481</f>
        <v>true</v>
      </c>
      <c r="U482" s="1278"/>
      <c r="V482" s="1278"/>
      <c r="W482" s="1278"/>
      <c r="X482" s="1563"/>
      <c r="Y482" s="1278"/>
      <c r="Z482" s="1546"/>
      <c r="AA482" s="1278"/>
      <c r="AB482" s="299" t="s">
        <v>2090</v>
      </c>
      <c r="AC482" s="765" t="s">
        <v>2679</v>
      </c>
      <c r="AD482" s="300" t="s">
        <v>1514</v>
      </c>
      <c r="AE482" s="7723">
        <f>AE483+AE484</f>
        <v>0</v>
      </c>
      <c r="AF482" s="7723">
        <f>AF483+AF484</f>
        <v>0</v>
      </c>
      <c r="AG482" s="7723">
        <f>AG483+AG484</f>
        <v>0</v>
      </c>
      <c r="AH482" s="943">
        <f>AG482-AF482</f>
        <v>0</v>
      </c>
      <c r="AI482" s="7691">
        <f>AI483+AI484</f>
        <v>0</v>
      </c>
      <c r="AJ482" s="7721"/>
      <c r="AK482" s="942"/>
      <c r="AL482" s="942"/>
      <c r="AM482" s="942"/>
      <c r="AN482" s="942"/>
      <c r="AO482" s="942"/>
      <c r="AP482" s="942"/>
      <c r="AQ482" s="942"/>
      <c r="AR482" s="942"/>
      <c r="AS482" s="942"/>
      <c r="AT482" s="942"/>
      <c r="AU482" s="942"/>
      <c r="AV482" s="942"/>
      <c r="AW482" s="942"/>
      <c r="AX482" s="942"/>
      <c r="AY482" s="942"/>
      <c r="AZ482" s="942"/>
      <c r="BA482" s="942"/>
      <c r="BB482" s="942"/>
      <c r="BC482" s="942"/>
      <c r="BD482" s="942"/>
      <c r="BE482" s="942"/>
      <c r="BF482" s="942"/>
      <c r="BG482" s="942"/>
      <c r="BH482" s="942"/>
      <c r="BI482" s="942"/>
      <c r="BJ482" s="942"/>
      <c r="BK482" s="942"/>
      <c r="BL482" s="942"/>
      <c r="BM482" s="942"/>
      <c r="BN482" s="7720"/>
      <c r="BO482" s="7720"/>
      <c r="BP482" s="7720"/>
      <c r="BQ482" s="1278"/>
      <c r="BR482" s="1278"/>
      <c r="BS482" s="1062" t="s">
        <v>2506</v>
      </c>
      <c r="BT482" s="1064"/>
      <c r="BU482" s="1064"/>
      <c r="BV482" s="979"/>
      <c r="BW482" s="979"/>
    </row>
    <row s="1834" customFormat="1" customHeight="1" ht="14.25">
      <c r="A483" s="1278"/>
      <c r="B483" s="978"/>
      <c r="C483" s="1278"/>
      <c r="D483" s="1278"/>
      <c r="E483" s="703">
        <v>15</v>
      </c>
      <c r="F483" s="50" cm="1" t="str">
        <f t="array" ref="F483:F483">OFFSET(E483,-1,1)</f>
        <v>3</v>
      </c>
      <c r="G483" s="49" t="s">
        <v>1881</v>
      </c>
      <c r="H483" s="378"/>
      <c r="I483" s="378" t="s">
        <v>2680</v>
      </c>
      <c r="J483" s="1278"/>
      <c r="K483" s="378" t="s">
        <v>2680</v>
      </c>
      <c r="L483" s="980" t="s">
        <v>2507</v>
      </c>
      <c r="M483" s="107"/>
      <c r="N483" s="1278"/>
      <c r="O483" s="1278"/>
      <c r="P483" s="1278"/>
      <c r="Q483" s="158" t="s">
        <v>2947</v>
      </c>
      <c r="R483" s="161" t="s">
        <v>2947</v>
      </c>
      <c r="S483" s="1278"/>
      <c r="T483" s="465" cm="1" t="str">
        <f t="array" ref="T483:T483">T482</f>
        <v>true</v>
      </c>
      <c r="U483" s="1278"/>
      <c r="V483" s="1278"/>
      <c r="W483" s="1278"/>
      <c r="X483" s="1563"/>
      <c r="Y483" s="1278"/>
      <c r="Z483" s="1546"/>
      <c r="AA483" s="1278"/>
      <c r="AB483" s="299" t="s">
        <v>2681</v>
      </c>
      <c r="AC483" s="768" t="s">
        <v>2508</v>
      </c>
      <c r="AD483" s="300" t="s">
        <v>1514</v>
      </c>
      <c r="AE483" s="7723"/>
      <c r="AF483" s="7723"/>
      <c r="AG483" s="7723"/>
      <c r="AH483" s="943">
        <f>AG483-AF483</f>
        <v>0</v>
      </c>
      <c r="AI483" s="7691"/>
      <c r="AJ483" s="7721"/>
      <c r="AK483" s="942"/>
      <c r="AL483" s="942"/>
      <c r="AM483" s="942"/>
      <c r="AN483" s="942"/>
      <c r="AO483" s="942"/>
      <c r="AP483" s="942"/>
      <c r="AQ483" s="942"/>
      <c r="AR483" s="942"/>
      <c r="AS483" s="942"/>
      <c r="AT483" s="942"/>
      <c r="AU483" s="942"/>
      <c r="AV483" s="942"/>
      <c r="AW483" s="942"/>
      <c r="AX483" s="942"/>
      <c r="AY483" s="942"/>
      <c r="AZ483" s="942"/>
      <c r="BA483" s="942"/>
      <c r="BB483" s="942"/>
      <c r="BC483" s="942"/>
      <c r="BD483" s="942"/>
      <c r="BE483" s="942"/>
      <c r="BF483" s="942"/>
      <c r="BG483" s="942"/>
      <c r="BH483" s="942"/>
      <c r="BI483" s="942"/>
      <c r="BJ483" s="942"/>
      <c r="BK483" s="942"/>
      <c r="BL483" s="942"/>
      <c r="BM483" s="942"/>
      <c r="BN483" s="7720"/>
      <c r="BO483" s="7724" t="str">
        <f>IF(_xlfn.IFERROR(INDEX(ФОТ!$K$26:$L$188,MATCH($F483&amp;"3komm",ФОТ!$K$26:$K$188,0),2),"")=0,"",_xlfn.IFERROR(INDEX(ФОТ!$K$26:$L$188,MATCH($F483&amp;"3komm",ФОТ!$K$26:$K$188,0),2),""))</f>
        <v/>
      </c>
      <c r="BP483" s="7720"/>
      <c r="BQ483" s="1278"/>
      <c r="BR483" s="1278"/>
      <c r="BS483" s="1062" t="s">
        <v>2509</v>
      </c>
      <c r="BT483" s="1064"/>
      <c r="BU483" s="1064"/>
      <c r="BV483" s="979"/>
      <c r="BW483" s="979"/>
    </row>
    <row s="1834" customFormat="1" customHeight="1" ht="21.75">
      <c r="A484" s="1278"/>
      <c r="B484" s="978"/>
      <c r="C484" s="1278"/>
      <c r="D484" s="1278"/>
      <c r="E484" s="703">
        <v>22.5</v>
      </c>
      <c r="F484" s="50" cm="1" t="str">
        <f t="array" ref="F484:F484">OFFSET(E484,-1,1)</f>
        <v>3</v>
      </c>
      <c r="G484" s="49" t="s">
        <v>1886</v>
      </c>
      <c r="H484" s="378"/>
      <c r="I484" s="378" t="s">
        <v>2682</v>
      </c>
      <c r="J484" s="1278"/>
      <c r="K484" s="378" t="s">
        <v>2682</v>
      </c>
      <c r="L484" s="980" t="s">
        <v>2510</v>
      </c>
      <c r="M484" s="107"/>
      <c r="N484" s="1278"/>
      <c r="O484" s="1278"/>
      <c r="P484" s="1278"/>
      <c r="Q484" s="158" t="s">
        <v>2947</v>
      </c>
      <c r="R484" s="161" t="s">
        <v>2947</v>
      </c>
      <c r="S484" s="1278"/>
      <c r="T484" s="465" cm="1" t="str">
        <f t="array" ref="T484:T484">T483</f>
        <v>true</v>
      </c>
      <c r="U484" s="1278"/>
      <c r="V484" s="1278"/>
      <c r="W484" s="1278"/>
      <c r="X484" s="1563"/>
      <c r="Y484" s="1278"/>
      <c r="Z484" s="1546"/>
      <c r="AA484" s="1278"/>
      <c r="AB484" s="299" t="s">
        <v>2683</v>
      </c>
      <c r="AC484" s="768" t="s">
        <v>2684</v>
      </c>
      <c r="AD484" s="300" t="s">
        <v>1514</v>
      </c>
      <c r="AE484" s="7723">
        <f>AE483*_xlfn.SUMIFS(INDEX(Сценарии!$AE$25:$BF$163,,MATCH(AE$8,Сценарии!$AE$8:$BF$8,0)),Сценарии!$F$25:$F$163,$F484,Сценарии!$G$25:$G$163,"СВФОТ")/100</f>
        <v>0</v>
      </c>
      <c r="AF484" s="7723">
        <f>AF483*_xlfn.SUMIFS(INDEX(Сценарии!$AE$25:$BF$163,,MATCH(AF$8,Сценарии!$AE$8:$BF$8,0)),Сценарии!$F$25:$F$163,$F484,Сценарии!$G$25:$G$163,"СВФОТ")/100</f>
        <v>0</v>
      </c>
      <c r="AG484" s="7723">
        <f>AG483*_xlfn.SUMIFS(INDEX(Сценарии!$AE$25:$BF$163,,MATCH(AG$8,Сценарии!$AE$8:$BF$8,0)),Сценарии!$F$25:$F$163,$F484,Сценарии!$G$25:$G$163,"СВФОТ")/100</f>
        <v>0</v>
      </c>
      <c r="AH484" s="943">
        <f>AG484-AF484</f>
        <v>0</v>
      </c>
      <c r="AI484" s="7691">
        <f>AI483*_xlfn.SUMIFS(INDEX(Сценарии!$AE$25:$BF$163,,MATCH(AG$8,Сценарии!$AE$8:$BF$8,0)),Сценарии!$F$25:$F$163,$F484,Сценарии!$G$25:$G$163,"СВФОТ")/100</f>
        <v>0</v>
      </c>
      <c r="AJ484" s="7721"/>
      <c r="AK484" s="942"/>
      <c r="AL484" s="942"/>
      <c r="AM484" s="942"/>
      <c r="AN484" s="942"/>
      <c r="AO484" s="942"/>
      <c r="AP484" s="942"/>
      <c r="AQ484" s="942"/>
      <c r="AR484" s="942"/>
      <c r="AS484" s="942"/>
      <c r="AT484" s="942"/>
      <c r="AU484" s="942"/>
      <c r="AV484" s="942"/>
      <c r="AW484" s="942"/>
      <c r="AX484" s="942"/>
      <c r="AY484" s="942"/>
      <c r="AZ484" s="942"/>
      <c r="BA484" s="942"/>
      <c r="BB484" s="942"/>
      <c r="BC484" s="942"/>
      <c r="BD484" s="942"/>
      <c r="BE484" s="942"/>
      <c r="BF484" s="942"/>
      <c r="BG484" s="942"/>
      <c r="BH484" s="942"/>
      <c r="BI484" s="942"/>
      <c r="BJ484" s="942"/>
      <c r="BK484" s="942"/>
      <c r="BL484" s="942"/>
      <c r="BM484" s="942"/>
      <c r="BN484" s="7720"/>
      <c r="BO484" s="7724" t="str">
        <f>IF(_xlfn.IFERROR(INDEX(ФОТ!$K$26:$L$188,MATCH($F484&amp;"4komm",ФОТ!$K$26:$K$188,0),2),"")=0,"",_xlfn.IFERROR(INDEX(ФОТ!$K$26:$L$188,MATCH($F484&amp;"4komm",ФОТ!$K$26:$K$188,0),2),""))</f>
        <v/>
      </c>
      <c r="BP484" s="7720"/>
      <c r="BQ484" s="1278"/>
      <c r="BR484" s="1278"/>
      <c r="BS484" s="1062" t="s">
        <v>2512</v>
      </c>
      <c r="BT484" s="1064"/>
      <c r="BU484" s="1064"/>
      <c r="BV484" s="979"/>
      <c r="BW484" s="979"/>
    </row>
    <row s="7851" customFormat="1" customHeight="1" ht="20.25">
      <c r="A485" s="700"/>
      <c r="B485" s="435"/>
      <c r="C485" s="700"/>
      <c r="D485" s="700"/>
      <c r="E485" s="707">
        <v>21</v>
      </c>
      <c r="F485" s="50" cm="1" t="str">
        <f t="array" ref="F485:F485">OFFSET(E485,-1,1)</f>
        <v>3</v>
      </c>
      <c r="G485" s="700"/>
      <c r="H485" s="378"/>
      <c r="I485" s="378" t="s">
        <v>1186</v>
      </c>
      <c r="J485" s="700"/>
      <c r="K485" s="378" t="s">
        <v>1186</v>
      </c>
      <c r="L485" s="985" t="s">
        <v>334</v>
      </c>
      <c r="M485" s="109"/>
      <c r="N485" s="700"/>
      <c r="O485" s="700"/>
      <c r="P485" s="700"/>
      <c r="Q485" s="158" t="s">
        <v>2947</v>
      </c>
      <c r="R485" s="161" t="s">
        <v>2947</v>
      </c>
      <c r="S485" s="700"/>
      <c r="T485" s="465" cm="1" t="str">
        <f t="array" ref="T485:T485">T484</f>
        <v>true</v>
      </c>
      <c r="U485" s="700"/>
      <c r="V485" s="700"/>
      <c r="W485" s="700"/>
      <c r="X485" s="1563"/>
      <c r="Y485" s="700"/>
      <c r="Z485" s="1546"/>
      <c r="AA485" s="700"/>
      <c r="AB485" s="218" t="s">
        <v>1637</v>
      </c>
      <c r="AC485" s="361" t="s">
        <v>2685</v>
      </c>
      <c r="AD485" s="211" t="s">
        <v>1514</v>
      </c>
      <c r="AE485" s="770">
        <f>AE486+AE494+AE497+AE498+AE499+AE500+AE501</f>
        <v>0</v>
      </c>
      <c r="AF485" s="770">
        <f>AF486+AF494+AF497+AF498+AF499+AF500+AF501</f>
        <v>0</v>
      </c>
      <c r="AG485" s="770">
        <f>AG486+AG494+AG497+AG498+AG499+AG500+AG501</f>
        <v>0</v>
      </c>
      <c r="AH485" s="761">
        <f>AG485-AF485</f>
        <v>0</v>
      </c>
      <c r="AI485" s="7697">
        <f>AI486+AI494+AI497+AI498+AI499+AI500+AI501</f>
        <v>0</v>
      </c>
      <c r="AJ485" s="7721"/>
      <c r="AK485" s="764"/>
      <c r="AL485" s="764"/>
      <c r="AM485" s="764"/>
      <c r="AN485" s="764"/>
      <c r="AO485" s="764"/>
      <c r="AP485" s="764"/>
      <c r="AQ485" s="764"/>
      <c r="AR485" s="764"/>
      <c r="AS485" s="764"/>
      <c r="AT485" s="764"/>
      <c r="AU485" s="764"/>
      <c r="AV485" s="764"/>
      <c r="AW485" s="764"/>
      <c r="AX485" s="764"/>
      <c r="AY485" s="764"/>
      <c r="AZ485" s="764"/>
      <c r="BA485" s="764"/>
      <c r="BB485" s="764"/>
      <c r="BC485" s="764"/>
      <c r="BD485" s="764"/>
      <c r="BE485" s="764"/>
      <c r="BF485" s="764"/>
      <c r="BG485" s="764"/>
      <c r="BH485" s="764"/>
      <c r="BI485" s="764"/>
      <c r="BJ485" s="764"/>
      <c r="BK485" s="764"/>
      <c r="BL485" s="764"/>
      <c r="BM485" s="764"/>
      <c r="BN485" s="7722"/>
      <c r="BO485" s="7722"/>
      <c r="BP485" s="7722"/>
      <c r="BQ485" s="700"/>
      <c r="BR485" s="700"/>
      <c r="BS485" s="1063" t="s">
        <v>2514</v>
      </c>
      <c r="BT485" s="1070"/>
      <c r="BU485" s="1070"/>
      <c r="BV485" s="707"/>
      <c r="BW485" s="707"/>
    </row>
    <row s="1834" customFormat="1" customHeight="1" ht="21.75">
      <c r="A486" s="1278"/>
      <c r="B486" s="978"/>
      <c r="C486" s="1278"/>
      <c r="D486" s="1278"/>
      <c r="E486" s="703">
        <v>22.5</v>
      </c>
      <c r="F486" s="50" cm="1" t="str">
        <f t="array" ref="F486:F486">OFFSET(E486,-1,1)</f>
        <v>3</v>
      </c>
      <c r="G486" s="158" t="s">
        <v>1916</v>
      </c>
      <c r="H486" s="378"/>
      <c r="I486" s="378" t="s">
        <v>2095</v>
      </c>
      <c r="J486" s="1278"/>
      <c r="K486" s="378" t="s">
        <v>2095</v>
      </c>
      <c r="L486" s="980" t="s">
        <v>1658</v>
      </c>
      <c r="M486" s="107"/>
      <c r="N486" s="1278"/>
      <c r="O486" s="1278"/>
      <c r="P486" s="1278"/>
      <c r="Q486" s="158" t="s">
        <v>2947</v>
      </c>
      <c r="R486" s="161" t="s">
        <v>2947</v>
      </c>
      <c r="S486" s="1278"/>
      <c r="T486" s="465" cm="1" t="str">
        <f t="array" ref="T486:T486">T485</f>
        <v>true</v>
      </c>
      <c r="U486" s="1278"/>
      <c r="V486" s="1278"/>
      <c r="W486" s="1278"/>
      <c r="X486" s="1563"/>
      <c r="Y486" s="1278"/>
      <c r="Z486" s="1546"/>
      <c r="AA486" s="1278"/>
      <c r="AB486" s="299" t="s">
        <v>1752</v>
      </c>
      <c r="AC486" s="765" t="s">
        <v>2686</v>
      </c>
      <c r="AD486" s="300" t="s">
        <v>1514</v>
      </c>
      <c r="AE486" s="944">
        <f>SUM(AE487:AE493)</f>
        <v>0</v>
      </c>
      <c r="AF486" s="944">
        <f>SUM(AF487:AF493)</f>
        <v>0</v>
      </c>
      <c r="AG486" s="944">
        <f>SUM(AG487:AG493)</f>
        <v>0</v>
      </c>
      <c r="AH486" s="943">
        <f>AG486-AF486</f>
        <v>0</v>
      </c>
      <c r="AI486" s="7693">
        <f>SUM(AI487:AI493)</f>
        <v>0</v>
      </c>
      <c r="AJ486" s="7721"/>
      <c r="AK486" s="942"/>
      <c r="AL486" s="942"/>
      <c r="AM486" s="942"/>
      <c r="AN486" s="942"/>
      <c r="AO486" s="942"/>
      <c r="AP486" s="942"/>
      <c r="AQ486" s="942"/>
      <c r="AR486" s="942"/>
      <c r="AS486" s="942"/>
      <c r="AT486" s="942"/>
      <c r="AU486" s="942"/>
      <c r="AV486" s="942"/>
      <c r="AW486" s="942"/>
      <c r="AX486" s="942"/>
      <c r="AY486" s="942"/>
      <c r="AZ486" s="942"/>
      <c r="BA486" s="942"/>
      <c r="BB486" s="942"/>
      <c r="BC486" s="942"/>
      <c r="BD486" s="942"/>
      <c r="BE486" s="942"/>
      <c r="BF486" s="942"/>
      <c r="BG486" s="942"/>
      <c r="BH486" s="942"/>
      <c r="BI486" s="942"/>
      <c r="BJ486" s="942"/>
      <c r="BK486" s="942"/>
      <c r="BL486" s="942"/>
      <c r="BM486" s="942"/>
      <c r="BN486" s="7720"/>
      <c r="BO486" s="7724" t="str">
        <f>IF(_xlfn.IFERROR(INDEX(Административные!$K$26:$L$122,MATCH($F486&amp;"17komm",Административные!$K$26:$K$122,0),2),"")=0,"",_xlfn.IFERROR(INDEX(Административные!$K$26:$L$122,MATCH($F486&amp;"17komm",Административные!$K$26:$K$122,0),2),""))</f>
        <v>Учтены расходы по выданным долгосрочным параметрам и соответствуют предложению организации.</v>
      </c>
      <c r="BP486" s="7720"/>
      <c r="BQ486" s="1278"/>
      <c r="BR486" s="1278"/>
      <c r="BS486" s="1062" t="s">
        <v>1918</v>
      </c>
      <c r="BT486" s="1064"/>
      <c r="BU486" s="1064"/>
      <c r="BV486" s="979"/>
      <c r="BW486" s="979"/>
    </row>
    <row s="1834" customFormat="1" customHeight="1" ht="14.25">
      <c r="A487" s="1278"/>
      <c r="B487" s="978"/>
      <c r="C487" s="1278"/>
      <c r="D487" s="1278"/>
      <c r="E487" s="703">
        <v>15</v>
      </c>
      <c r="F487" s="50" cm="1" t="str">
        <f t="array" ref="F487:F487">OFFSET(E487,-1,1)</f>
        <v>3</v>
      </c>
      <c r="G487" s="158" t="s">
        <v>1919</v>
      </c>
      <c r="H487" s="378"/>
      <c r="I487" s="378" t="s">
        <v>2687</v>
      </c>
      <c r="J487" s="1278"/>
      <c r="K487" s="378" t="s">
        <v>2687</v>
      </c>
      <c r="L487" s="980"/>
      <c r="M487" s="107"/>
      <c r="N487" s="1278"/>
      <c r="O487" s="1278"/>
      <c r="P487" s="1278"/>
      <c r="Q487" s="158" t="s">
        <v>2947</v>
      </c>
      <c r="R487" s="161" t="s">
        <v>2947</v>
      </c>
      <c r="S487" s="1278"/>
      <c r="T487" s="465" cm="1" t="str">
        <f t="array" ref="T487:T487">T486</f>
        <v>true</v>
      </c>
      <c r="U487" s="1278"/>
      <c r="V487" s="1278"/>
      <c r="W487" s="1278"/>
      <c r="X487" s="1563"/>
      <c r="Y487" s="1278"/>
      <c r="Z487" s="1546"/>
      <c r="AA487" s="1278"/>
      <c r="AB487" s="299" t="s">
        <v>2688</v>
      </c>
      <c r="AC487" s="768" t="s">
        <v>1920</v>
      </c>
      <c r="AD487" s="300" t="s">
        <v>1514</v>
      </c>
      <c r="AE487" s="7723"/>
      <c r="AF487" s="7723"/>
      <c r="AG487" s="7723"/>
      <c r="AH487" s="943">
        <f>AG487-AF487</f>
        <v>0</v>
      </c>
      <c r="AI487" s="7691"/>
      <c r="AJ487" s="7721"/>
      <c r="AK487" s="942"/>
      <c r="AL487" s="942"/>
      <c r="AM487" s="942"/>
      <c r="AN487" s="942"/>
      <c r="AO487" s="942"/>
      <c r="AP487" s="942"/>
      <c r="AQ487" s="942"/>
      <c r="AR487" s="942"/>
      <c r="AS487" s="942"/>
      <c r="AT487" s="942"/>
      <c r="AU487" s="942"/>
      <c r="AV487" s="942"/>
      <c r="AW487" s="942"/>
      <c r="AX487" s="942"/>
      <c r="AY487" s="942"/>
      <c r="AZ487" s="942"/>
      <c r="BA487" s="942"/>
      <c r="BB487" s="942"/>
      <c r="BC487" s="942"/>
      <c r="BD487" s="942"/>
      <c r="BE487" s="942"/>
      <c r="BF487" s="942"/>
      <c r="BG487" s="942"/>
      <c r="BH487" s="942"/>
      <c r="BI487" s="942"/>
      <c r="BJ487" s="942"/>
      <c r="BK487" s="942"/>
      <c r="BL487" s="942"/>
      <c r="BM487" s="942"/>
      <c r="BN487" s="7720"/>
      <c r="BO487" s="7724" t="str">
        <f>IF(_xlfn.IFERROR(INDEX(Административные!$K$26:$L$122,MATCH($F487&amp;"18komm",Административные!$K$26:$K$122,0),2),"")=0,"",_xlfn.IFERROR(INDEX(Административные!$K$26:$L$122,MATCH($F487&amp;"18komm",Административные!$K$26:$K$122,0),2),""))</f>
        <v>по расчету организации, не превышает факт 2025 года предыдущей организации.</v>
      </c>
      <c r="BP487" s="7720"/>
      <c r="BQ487" s="1278"/>
      <c r="BR487" s="1278"/>
      <c r="BS487" s="1064" t="s">
        <v>1921</v>
      </c>
      <c r="BT487" s="1064"/>
      <c r="BU487" s="1064"/>
      <c r="BV487" s="979"/>
      <c r="BW487" s="979"/>
    </row>
    <row s="1834" customFormat="1" customHeight="1" ht="14.25">
      <c r="A488" s="1278"/>
      <c r="B488" s="978"/>
      <c r="C488" s="1278"/>
      <c r="D488" s="1278"/>
      <c r="E488" s="703">
        <v>15</v>
      </c>
      <c r="F488" s="50" cm="1" t="str">
        <f t="array" ref="F488:F488">OFFSET(E488,-1,1)</f>
        <v>3</v>
      </c>
      <c r="G488" s="158" t="s">
        <v>1922</v>
      </c>
      <c r="H488" s="378"/>
      <c r="I488" s="378" t="s">
        <v>2689</v>
      </c>
      <c r="J488" s="1278"/>
      <c r="K488" s="378" t="s">
        <v>2689</v>
      </c>
      <c r="L488" s="980"/>
      <c r="M488" s="107"/>
      <c r="N488" s="1278"/>
      <c r="O488" s="1278"/>
      <c r="P488" s="1278"/>
      <c r="Q488" s="158" t="s">
        <v>2947</v>
      </c>
      <c r="R488" s="161" t="s">
        <v>2947</v>
      </c>
      <c r="S488" s="1278"/>
      <c r="T488" s="465" cm="1" t="str">
        <f t="array" ref="T488:T488">T487</f>
        <v>true</v>
      </c>
      <c r="U488" s="1278"/>
      <c r="V488" s="1278"/>
      <c r="W488" s="1278"/>
      <c r="X488" s="1563"/>
      <c r="Y488" s="1278"/>
      <c r="Z488" s="1546"/>
      <c r="AA488" s="1278"/>
      <c r="AB488" s="299" t="s">
        <v>2690</v>
      </c>
      <c r="AC488" s="768" t="s">
        <v>1923</v>
      </c>
      <c r="AD488" s="300" t="s">
        <v>1514</v>
      </c>
      <c r="AE488" s="7723"/>
      <c r="AF488" s="7723"/>
      <c r="AG488" s="7723"/>
      <c r="AH488" s="943">
        <f>AG488-AF488</f>
        <v>0</v>
      </c>
      <c r="AI488" s="7691"/>
      <c r="AJ488" s="7721"/>
      <c r="AK488" s="942"/>
      <c r="AL488" s="942"/>
      <c r="AM488" s="942"/>
      <c r="AN488" s="942"/>
      <c r="AO488" s="942"/>
      <c r="AP488" s="942"/>
      <c r="AQ488" s="942"/>
      <c r="AR488" s="942"/>
      <c r="AS488" s="942"/>
      <c r="AT488" s="942"/>
      <c r="AU488" s="942"/>
      <c r="AV488" s="942"/>
      <c r="AW488" s="942"/>
      <c r="AX488" s="942"/>
      <c r="AY488" s="942"/>
      <c r="AZ488" s="942"/>
      <c r="BA488" s="942"/>
      <c r="BB488" s="942"/>
      <c r="BC488" s="942"/>
      <c r="BD488" s="942"/>
      <c r="BE488" s="942"/>
      <c r="BF488" s="942"/>
      <c r="BG488" s="942"/>
      <c r="BH488" s="942"/>
      <c r="BI488" s="942"/>
      <c r="BJ488" s="942"/>
      <c r="BK488" s="942"/>
      <c r="BL488" s="942"/>
      <c r="BM488" s="942"/>
      <c r="BN488" s="7720"/>
      <c r="BO488" s="7724" t="str">
        <f>IF(_xlfn.IFERROR(INDEX(Административные!$K$26:$L$122,MATCH($F488&amp;"11komm",Административные!$K$26:$K$122,0),2),"")=0,"",_xlfn.IFERROR(INDEX(Административные!$K$26:$L$122,MATCH($F488&amp;"11komm",Административные!$K$26:$K$122,0),2),""))</f>
        <v/>
      </c>
      <c r="BP488" s="7720"/>
      <c r="BQ488" s="1278"/>
      <c r="BR488" s="1278"/>
      <c r="BS488" s="1064" t="s">
        <v>1924</v>
      </c>
      <c r="BT488" s="1064"/>
      <c r="BU488" s="1064"/>
      <c r="BV488" s="979"/>
      <c r="BW488" s="979"/>
    </row>
    <row s="1834" customFormat="1" customHeight="1" ht="14.25">
      <c r="A489" s="1278"/>
      <c r="B489" s="978"/>
      <c r="C489" s="1278"/>
      <c r="D489" s="1278"/>
      <c r="E489" s="703">
        <v>15</v>
      </c>
      <c r="F489" s="50" cm="1" t="str">
        <f t="array" ref="F489:F489">OFFSET(E489,-1,1)</f>
        <v>3</v>
      </c>
      <c r="G489" s="158" t="s">
        <v>1925</v>
      </c>
      <c r="H489" s="378"/>
      <c r="I489" s="378" t="s">
        <v>2691</v>
      </c>
      <c r="J489" s="1278"/>
      <c r="K489" s="378" t="s">
        <v>2691</v>
      </c>
      <c r="L489" s="980"/>
      <c r="M489" s="107"/>
      <c r="N489" s="1278"/>
      <c r="O489" s="1278"/>
      <c r="P489" s="1278"/>
      <c r="Q489" s="158" t="s">
        <v>2947</v>
      </c>
      <c r="R489" s="161" t="s">
        <v>2947</v>
      </c>
      <c r="S489" s="1278"/>
      <c r="T489" s="465" cm="1" t="str">
        <f t="array" ref="T489:T489">T488</f>
        <v>true</v>
      </c>
      <c r="U489" s="1278"/>
      <c r="V489" s="1278"/>
      <c r="W489" s="1278"/>
      <c r="X489" s="1563"/>
      <c r="Y489" s="1278"/>
      <c r="Z489" s="1546"/>
      <c r="AA489" s="1278"/>
      <c r="AB489" s="299" t="s">
        <v>2692</v>
      </c>
      <c r="AC489" s="768" t="s">
        <v>1926</v>
      </c>
      <c r="AD489" s="300" t="s">
        <v>1514</v>
      </c>
      <c r="AE489" s="7723"/>
      <c r="AF489" s="7723"/>
      <c r="AG489" s="7723"/>
      <c r="AH489" s="943">
        <f>AG489-AF489</f>
        <v>0</v>
      </c>
      <c r="AI489" s="7691"/>
      <c r="AJ489" s="7721"/>
      <c r="AK489" s="942"/>
      <c r="AL489" s="942"/>
      <c r="AM489" s="942"/>
      <c r="AN489" s="942"/>
      <c r="AO489" s="942"/>
      <c r="AP489" s="942"/>
      <c r="AQ489" s="942"/>
      <c r="AR489" s="942"/>
      <c r="AS489" s="942"/>
      <c r="AT489" s="942"/>
      <c r="AU489" s="942"/>
      <c r="AV489" s="942"/>
      <c r="AW489" s="942"/>
      <c r="AX489" s="942"/>
      <c r="AY489" s="942"/>
      <c r="AZ489" s="942"/>
      <c r="BA489" s="942"/>
      <c r="BB489" s="942"/>
      <c r="BC489" s="942"/>
      <c r="BD489" s="942"/>
      <c r="BE489" s="942"/>
      <c r="BF489" s="942"/>
      <c r="BG489" s="942"/>
      <c r="BH489" s="942"/>
      <c r="BI489" s="942"/>
      <c r="BJ489" s="942"/>
      <c r="BK489" s="942"/>
      <c r="BL489" s="942"/>
      <c r="BM489" s="942"/>
      <c r="BN489" s="7720"/>
      <c r="BO489" s="7724" t="str">
        <f>IF(_xlfn.IFERROR(INDEX(Административные!$K$26:$L$122,MATCH($F489&amp;"12komm",Административные!$K$26:$K$122,0),2),"")=0,"",_xlfn.IFERROR(INDEX(Административные!$K$26:$L$122,MATCH($F489&amp;"12komm",Административные!$K$26:$K$122,0),2),""))</f>
        <v/>
      </c>
      <c r="BP489" s="7720"/>
      <c r="BQ489" s="1278"/>
      <c r="BR489" s="1278"/>
      <c r="BS489" s="1064" t="s">
        <v>1927</v>
      </c>
      <c r="BT489" s="1064"/>
      <c r="BU489" s="1064"/>
      <c r="BV489" s="979"/>
      <c r="BW489" s="979"/>
    </row>
    <row s="1834" customFormat="1" customHeight="1" ht="14.25">
      <c r="A490" s="1278"/>
      <c r="B490" s="978"/>
      <c r="C490" s="1278"/>
      <c r="D490" s="1278"/>
      <c r="E490" s="703">
        <v>15</v>
      </c>
      <c r="F490" s="50" cm="1" t="str">
        <f t="array" ref="F490:F490">OFFSET(E490,-1,1)</f>
        <v>3</v>
      </c>
      <c r="G490" s="158" t="s">
        <v>1928</v>
      </c>
      <c r="H490" s="378"/>
      <c r="I490" s="378" t="s">
        <v>2693</v>
      </c>
      <c r="J490" s="1278"/>
      <c r="K490" s="378" t="s">
        <v>2693</v>
      </c>
      <c r="L490" s="980"/>
      <c r="M490" s="107"/>
      <c r="N490" s="1278"/>
      <c r="O490" s="1278"/>
      <c r="P490" s="1278"/>
      <c r="Q490" s="158" t="s">
        <v>2947</v>
      </c>
      <c r="R490" s="161" t="s">
        <v>2947</v>
      </c>
      <c r="S490" s="1278"/>
      <c r="T490" s="465" cm="1" t="str">
        <f t="array" ref="T490:T490">T489</f>
        <v>true</v>
      </c>
      <c r="U490" s="1278"/>
      <c r="V490" s="1278"/>
      <c r="W490" s="1278"/>
      <c r="X490" s="1563"/>
      <c r="Y490" s="1278"/>
      <c r="Z490" s="1546"/>
      <c r="AA490" s="1278"/>
      <c r="AB490" s="299" t="s">
        <v>2694</v>
      </c>
      <c r="AC490" s="768" t="s">
        <v>1929</v>
      </c>
      <c r="AD490" s="300" t="s">
        <v>1514</v>
      </c>
      <c r="AE490" s="7723"/>
      <c r="AF490" s="7723"/>
      <c r="AG490" s="7723"/>
      <c r="AH490" s="943">
        <f>AG490-AF490</f>
        <v>0</v>
      </c>
      <c r="AI490" s="7691"/>
      <c r="AJ490" s="7721"/>
      <c r="AK490" s="942"/>
      <c r="AL490" s="942"/>
      <c r="AM490" s="942"/>
      <c r="AN490" s="942"/>
      <c r="AO490" s="942"/>
      <c r="AP490" s="942"/>
      <c r="AQ490" s="942"/>
      <c r="AR490" s="942"/>
      <c r="AS490" s="942"/>
      <c r="AT490" s="942"/>
      <c r="AU490" s="942"/>
      <c r="AV490" s="942"/>
      <c r="AW490" s="942"/>
      <c r="AX490" s="942"/>
      <c r="AY490" s="942"/>
      <c r="AZ490" s="942"/>
      <c r="BA490" s="942"/>
      <c r="BB490" s="942"/>
      <c r="BC490" s="942"/>
      <c r="BD490" s="942"/>
      <c r="BE490" s="942"/>
      <c r="BF490" s="942"/>
      <c r="BG490" s="942"/>
      <c r="BH490" s="942"/>
      <c r="BI490" s="942"/>
      <c r="BJ490" s="942"/>
      <c r="BK490" s="942"/>
      <c r="BL490" s="942"/>
      <c r="BM490" s="942"/>
      <c r="BN490" s="7720"/>
      <c r="BO490" s="7724" t="str">
        <f>IF(_xlfn.IFERROR(INDEX(Административные!$K$26:$L$122,MATCH($F490&amp;"13komm",Административные!$K$26:$K$122,0),2),"")=0,"",_xlfn.IFERROR(INDEX(Административные!$K$26:$L$122,MATCH($F490&amp;"13komm",Административные!$K$26:$K$122,0),2),""))</f>
        <v/>
      </c>
      <c r="BP490" s="7720"/>
      <c r="BQ490" s="1278"/>
      <c r="BR490" s="1278"/>
      <c r="BS490" s="1064" t="s">
        <v>1930</v>
      </c>
      <c r="BT490" s="1064"/>
      <c r="BU490" s="1064"/>
      <c r="BV490" s="979"/>
      <c r="BW490" s="979"/>
    </row>
    <row s="1834" customFormat="1" customHeight="1" ht="14.25">
      <c r="A491" s="1278"/>
      <c r="B491" s="978"/>
      <c r="C491" s="1278"/>
      <c r="D491" s="1278"/>
      <c r="E491" s="703">
        <v>15</v>
      </c>
      <c r="F491" s="50" cm="1" t="str">
        <f t="array" ref="F491:F491">OFFSET(E491,-1,1)</f>
        <v>3</v>
      </c>
      <c r="G491" s="158" t="s">
        <v>1931</v>
      </c>
      <c r="H491" s="378"/>
      <c r="I491" s="378" t="s">
        <v>2695</v>
      </c>
      <c r="J491" s="1278"/>
      <c r="K491" s="378" t="s">
        <v>2695</v>
      </c>
      <c r="L491" s="980"/>
      <c r="M491" s="107"/>
      <c r="N491" s="1278"/>
      <c r="O491" s="1278"/>
      <c r="P491" s="1278"/>
      <c r="Q491" s="158" t="s">
        <v>2947</v>
      </c>
      <c r="R491" s="161" t="s">
        <v>2947</v>
      </c>
      <c r="S491" s="1278"/>
      <c r="T491" s="465" cm="1" t="str">
        <f t="array" ref="T491:T491">T490</f>
        <v>true</v>
      </c>
      <c r="U491" s="1278"/>
      <c r="V491" s="1278"/>
      <c r="W491" s="1278"/>
      <c r="X491" s="1563"/>
      <c r="Y491" s="1278"/>
      <c r="Z491" s="1546"/>
      <c r="AA491" s="1278"/>
      <c r="AB491" s="299" t="s">
        <v>2696</v>
      </c>
      <c r="AC491" s="768" t="s">
        <v>1932</v>
      </c>
      <c r="AD491" s="300" t="s">
        <v>1514</v>
      </c>
      <c r="AE491" s="7723"/>
      <c r="AF491" s="7723"/>
      <c r="AG491" s="7723"/>
      <c r="AH491" s="943">
        <f>AG491-AF491</f>
        <v>0</v>
      </c>
      <c r="AI491" s="7691"/>
      <c r="AJ491" s="7721"/>
      <c r="AK491" s="942"/>
      <c r="AL491" s="942"/>
      <c r="AM491" s="942"/>
      <c r="AN491" s="942"/>
      <c r="AO491" s="942"/>
      <c r="AP491" s="942"/>
      <c r="AQ491" s="942"/>
      <c r="AR491" s="942"/>
      <c r="AS491" s="942"/>
      <c r="AT491" s="942"/>
      <c r="AU491" s="942"/>
      <c r="AV491" s="942"/>
      <c r="AW491" s="942"/>
      <c r="AX491" s="942"/>
      <c r="AY491" s="942"/>
      <c r="AZ491" s="942"/>
      <c r="BA491" s="942"/>
      <c r="BB491" s="942"/>
      <c r="BC491" s="942"/>
      <c r="BD491" s="942"/>
      <c r="BE491" s="942"/>
      <c r="BF491" s="942"/>
      <c r="BG491" s="942"/>
      <c r="BH491" s="942"/>
      <c r="BI491" s="942"/>
      <c r="BJ491" s="942"/>
      <c r="BK491" s="942"/>
      <c r="BL491" s="942"/>
      <c r="BM491" s="942"/>
      <c r="BN491" s="7720"/>
      <c r="BO491" s="7724" t="str">
        <f>IF(_xlfn.IFERROR(INDEX(Административные!$K$26:$L$122,MATCH($F491&amp;"14komm",Административные!$K$26:$K$122,0),2),"")=0,"",_xlfn.IFERROR(INDEX(Административные!$K$26:$L$122,MATCH($F491&amp;"14komm",Административные!$K$26:$K$122,0),2),""))</f>
        <v/>
      </c>
      <c r="BP491" s="7720"/>
      <c r="BQ491" s="1278"/>
      <c r="BR491" s="1278"/>
      <c r="BS491" s="1064" t="s">
        <v>2697</v>
      </c>
      <c r="BT491" s="1064"/>
      <c r="BU491" s="1064"/>
      <c r="BV491" s="979"/>
      <c r="BW491" s="979"/>
    </row>
    <row s="1834" customFormat="1" customHeight="1" ht="14.25">
      <c r="A492" s="1278"/>
      <c r="B492" s="978"/>
      <c r="C492" s="1278"/>
      <c r="D492" s="1278"/>
      <c r="E492" s="703">
        <v>15</v>
      </c>
      <c r="F492" s="50" cm="1" t="str">
        <f t="array" ref="F492:F492">OFFSET(E492,-1,1)</f>
        <v>3</v>
      </c>
      <c r="G492" s="158" t="s">
        <v>1934</v>
      </c>
      <c r="H492" s="378"/>
      <c r="I492" s="378" t="s">
        <v>2698</v>
      </c>
      <c r="J492" s="1278"/>
      <c r="K492" s="378" t="s">
        <v>2698</v>
      </c>
      <c r="L492" s="980"/>
      <c r="M492" s="107"/>
      <c r="N492" s="1278"/>
      <c r="O492" s="1278"/>
      <c r="P492" s="1278"/>
      <c r="Q492" s="158" t="s">
        <v>2947</v>
      </c>
      <c r="R492" s="161" t="s">
        <v>2947</v>
      </c>
      <c r="S492" s="1278"/>
      <c r="T492" s="465" cm="1" t="str">
        <f t="array" ref="T492:T492">T491</f>
        <v>true</v>
      </c>
      <c r="U492" s="1278"/>
      <c r="V492" s="1278"/>
      <c r="W492" s="1278"/>
      <c r="X492" s="1563"/>
      <c r="Y492" s="1278"/>
      <c r="Z492" s="1546"/>
      <c r="AA492" s="1278"/>
      <c r="AB492" s="299" t="s">
        <v>2699</v>
      </c>
      <c r="AC492" s="768" t="s">
        <v>1937</v>
      </c>
      <c r="AD492" s="300" t="s">
        <v>1514</v>
      </c>
      <c r="AE492" s="7723"/>
      <c r="AF492" s="7723"/>
      <c r="AG492" s="7723"/>
      <c r="AH492" s="943">
        <f>AG492-AF492</f>
        <v>0</v>
      </c>
      <c r="AI492" s="7691"/>
      <c r="AJ492" s="7721"/>
      <c r="AK492" s="942"/>
      <c r="AL492" s="942"/>
      <c r="AM492" s="942"/>
      <c r="AN492" s="942"/>
      <c r="AO492" s="942"/>
      <c r="AP492" s="942"/>
      <c r="AQ492" s="942"/>
      <c r="AR492" s="942"/>
      <c r="AS492" s="942"/>
      <c r="AT492" s="942"/>
      <c r="AU492" s="942"/>
      <c r="AV492" s="942"/>
      <c r="AW492" s="942"/>
      <c r="AX492" s="942"/>
      <c r="AY492" s="942"/>
      <c r="AZ492" s="942"/>
      <c r="BA492" s="942"/>
      <c r="BB492" s="942"/>
      <c r="BC492" s="942"/>
      <c r="BD492" s="942"/>
      <c r="BE492" s="942"/>
      <c r="BF492" s="942"/>
      <c r="BG492" s="942"/>
      <c r="BH492" s="942"/>
      <c r="BI492" s="942"/>
      <c r="BJ492" s="942"/>
      <c r="BK492" s="942"/>
      <c r="BL492" s="942"/>
      <c r="BM492" s="942"/>
      <c r="BN492" s="7720"/>
      <c r="BO492" s="7724" t="str">
        <f>IF(_xlfn.IFERROR(INDEX(Административные!$K$26:$L$122,MATCH($F492&amp;"15komm",Административные!$K$26:$K$122,0),2),"")=0,"",_xlfn.IFERROR(INDEX(Административные!$K$26:$L$122,MATCH($F492&amp;"15komm",Административные!$K$26:$K$122,0),2),""))</f>
        <v>по расчету организации, не превышает факт 2025 года предыдущей организации.</v>
      </c>
      <c r="BP492" s="7720"/>
      <c r="BQ492" s="1278"/>
      <c r="BR492" s="1278"/>
      <c r="BS492" s="1064" t="s">
        <v>1938</v>
      </c>
      <c r="BT492" s="1064"/>
      <c r="BU492" s="1064"/>
      <c r="BV492" s="979"/>
      <c r="BW492" s="979"/>
    </row>
    <row s="1834" customFormat="1" customHeight="1" ht="14.25">
      <c r="A493" s="1278"/>
      <c r="B493" s="978"/>
      <c r="C493" s="1278"/>
      <c r="D493" s="1278"/>
      <c r="E493" s="703">
        <v>15</v>
      </c>
      <c r="F493" s="50" cm="1" t="str">
        <f t="array" ref="F493:F493">OFFSET(E493,-1,1)</f>
        <v>3</v>
      </c>
      <c r="G493" s="158" t="s">
        <v>1939</v>
      </c>
      <c r="H493" s="378"/>
      <c r="I493" s="378" t="s">
        <v>2700</v>
      </c>
      <c r="J493" s="1278"/>
      <c r="K493" s="378" t="s">
        <v>2700</v>
      </c>
      <c r="L493" s="980"/>
      <c r="M493" s="107"/>
      <c r="N493" s="1278"/>
      <c r="O493" s="1278"/>
      <c r="P493" s="1278"/>
      <c r="Q493" s="158" t="s">
        <v>2947</v>
      </c>
      <c r="R493" s="161" t="s">
        <v>2947</v>
      </c>
      <c r="S493" s="1278"/>
      <c r="T493" s="465" cm="1" t="str">
        <f t="array" ref="T493:T493">T492</f>
        <v>true</v>
      </c>
      <c r="U493" s="1278"/>
      <c r="V493" s="1278"/>
      <c r="W493" s="1278"/>
      <c r="X493" s="1563"/>
      <c r="Y493" s="1278"/>
      <c r="Z493" s="1546"/>
      <c r="AA493" s="1278"/>
      <c r="AB493" s="299" t="s">
        <v>2701</v>
      </c>
      <c r="AC493" s="768" t="s">
        <v>1942</v>
      </c>
      <c r="AD493" s="300" t="s">
        <v>1514</v>
      </c>
      <c r="AE493" s="7723"/>
      <c r="AF493" s="7723"/>
      <c r="AG493" s="7723"/>
      <c r="AH493" s="943">
        <f>AG493-AF493</f>
        <v>0</v>
      </c>
      <c r="AI493" s="7691"/>
      <c r="AJ493" s="7721"/>
      <c r="AK493" s="942"/>
      <c r="AL493" s="942"/>
      <c r="AM493" s="942"/>
      <c r="AN493" s="942"/>
      <c r="AO493" s="942"/>
      <c r="AP493" s="942"/>
      <c r="AQ493" s="942"/>
      <c r="AR493" s="942"/>
      <c r="AS493" s="942"/>
      <c r="AT493" s="942"/>
      <c r="AU493" s="942"/>
      <c r="AV493" s="942"/>
      <c r="AW493" s="942"/>
      <c r="AX493" s="942"/>
      <c r="AY493" s="942"/>
      <c r="AZ493" s="942"/>
      <c r="BA493" s="942"/>
      <c r="BB493" s="942"/>
      <c r="BC493" s="942"/>
      <c r="BD493" s="942"/>
      <c r="BE493" s="942"/>
      <c r="BF493" s="942"/>
      <c r="BG493" s="942"/>
      <c r="BH493" s="942"/>
      <c r="BI493" s="942"/>
      <c r="BJ493" s="942"/>
      <c r="BK493" s="942"/>
      <c r="BL493" s="942"/>
      <c r="BM493" s="942"/>
      <c r="BN493" s="7720"/>
      <c r="BO493" s="7724" t="str">
        <f>IF(_xlfn.IFERROR(INDEX(Административные!$K$26:$L$122,MATCH($F493&amp;"16komm",Административные!$K$26:$K$122,0),2),"")=0,"",_xlfn.IFERROR(INDEX(Административные!$K$26:$L$122,MATCH($F493&amp;"16komm",Административные!$K$26:$K$122,0),2),""))</f>
        <v>Учтены расходы:
1.	По факту с января по май 2025 года в пересчете на годовые показатели, с применением ИПЦ Минэкономразвития России на 2026 год 105,1%:
- расходы на канцелярию 47,92 т.р.;
- прочие услуги 52,09 т.р.
- почтовые расходы, типография, обсл.оргтех. 22,06 т.р.;
2. Услуги по начисл. и сбору ВС и ВО 1350,47 т.р. по факту с июня 2024 года по май 2025 года, с применением ИЦП Минэкономразвития на 2025 год 109,0%, на 2026 год 105,1%.
3. Электроэнергия 443,70 т.р. по факту с июня 2024 года по май 2025 года, с применением ИЦП Минэкономразвития на 2025 год 114,4%, на 2026 год 113,2%;
4. Прочие расходы (спец.одежда, инструм., хозинвент., матер.на общехоз.и произв.нужды) 273,84 т.р. по факту с июня по декабрь 2024 года предыдущей организации в пересчете на годовые показатели, с применением ИПЦ Минэкономразвития на 2025 год 109,0%, на 2026 год 105,1%;
 5. ТБО 20,04 т.р. по расчету организации не превышает факт 2025 предыдущей организации.</v>
      </c>
      <c r="BP493" s="7720"/>
      <c r="BQ493" s="1278"/>
      <c r="BR493" s="1278"/>
      <c r="BS493" s="1064" t="s">
        <v>2702</v>
      </c>
      <c r="BT493" s="1064"/>
      <c r="BU493" s="1064"/>
      <c r="BV493" s="979"/>
      <c r="BW493" s="979"/>
    </row>
    <row s="1834" customFormat="1" customHeight="1" ht="21.75">
      <c r="A494" s="1278"/>
      <c r="B494" s="978"/>
      <c r="C494" s="1278"/>
      <c r="D494" s="1278"/>
      <c r="E494" s="703">
        <v>22.5</v>
      </c>
      <c r="F494" s="50" cm="1" t="str">
        <f t="array" ref="F494:F494">OFFSET(E494,-1,1)</f>
        <v>3</v>
      </c>
      <c r="G494" s="1278"/>
      <c r="H494" s="378"/>
      <c r="I494" s="378" t="s">
        <v>2096</v>
      </c>
      <c r="J494" s="1278"/>
      <c r="K494" s="378" t="s">
        <v>2096</v>
      </c>
      <c r="L494" s="980" t="s">
        <v>1660</v>
      </c>
      <c r="M494" s="107"/>
      <c r="N494" s="1278"/>
      <c r="O494" s="1278"/>
      <c r="P494" s="1278"/>
      <c r="Q494" s="158" t="s">
        <v>2947</v>
      </c>
      <c r="R494" s="161" t="s">
        <v>2947</v>
      </c>
      <c r="S494" s="1278"/>
      <c r="T494" s="465" cm="1" t="str">
        <f t="array" ref="T494:T494">T493</f>
        <v>true</v>
      </c>
      <c r="U494" s="1278"/>
      <c r="V494" s="1278"/>
      <c r="W494" s="1278"/>
      <c r="X494" s="1563"/>
      <c r="Y494" s="1278"/>
      <c r="Z494" s="1546"/>
      <c r="AA494" s="1278"/>
      <c r="AB494" s="299" t="s">
        <v>1755</v>
      </c>
      <c r="AC494" s="765" t="s">
        <v>2703</v>
      </c>
      <c r="AD494" s="300" t="s">
        <v>1514</v>
      </c>
      <c r="AE494" s="944">
        <f>AE495+AE496</f>
        <v>0</v>
      </c>
      <c r="AF494" s="944">
        <f>AF495+AF496</f>
        <v>0</v>
      </c>
      <c r="AG494" s="944">
        <f>AG495+AG496</f>
        <v>0</v>
      </c>
      <c r="AH494" s="943">
        <f>AG494-AF494</f>
        <v>0</v>
      </c>
      <c r="AI494" s="7693">
        <f>AI495+AI496</f>
        <v>0</v>
      </c>
      <c r="AJ494" s="7721"/>
      <c r="AK494" s="942"/>
      <c r="AL494" s="942"/>
      <c r="AM494" s="942"/>
      <c r="AN494" s="942"/>
      <c r="AO494" s="942"/>
      <c r="AP494" s="942"/>
      <c r="AQ494" s="942"/>
      <c r="AR494" s="942"/>
      <c r="AS494" s="942"/>
      <c r="AT494" s="942"/>
      <c r="AU494" s="942"/>
      <c r="AV494" s="942"/>
      <c r="AW494" s="942"/>
      <c r="AX494" s="942"/>
      <c r="AY494" s="942"/>
      <c r="AZ494" s="942"/>
      <c r="BA494" s="942"/>
      <c r="BB494" s="942"/>
      <c r="BC494" s="942"/>
      <c r="BD494" s="942"/>
      <c r="BE494" s="942"/>
      <c r="BF494" s="942"/>
      <c r="BG494" s="942"/>
      <c r="BH494" s="942"/>
      <c r="BI494" s="942"/>
      <c r="BJ494" s="942"/>
      <c r="BK494" s="942"/>
      <c r="BL494" s="942"/>
      <c r="BM494" s="942"/>
      <c r="BN494" s="7720"/>
      <c r="BO494" s="7720"/>
      <c r="BP494" s="7720"/>
      <c r="BQ494" s="1278"/>
      <c r="BR494" s="1278"/>
      <c r="BS494" s="1062" t="s">
        <v>2517</v>
      </c>
      <c r="BT494" s="1064"/>
      <c r="BU494" s="1064"/>
      <c r="BV494" s="979"/>
      <c r="BW494" s="979"/>
    </row>
    <row s="1834" customFormat="1" customHeight="1" ht="14.25">
      <c r="A495" s="1278"/>
      <c r="B495" s="978"/>
      <c r="C495" s="1278"/>
      <c r="D495" s="1278"/>
      <c r="E495" s="703">
        <v>15</v>
      </c>
      <c r="F495" s="50" cm="1" t="str">
        <f t="array" ref="F495:F495">OFFSET(E495,-1,1)</f>
        <v>3</v>
      </c>
      <c r="G495" s="158" t="s">
        <v>1889</v>
      </c>
      <c r="H495" s="378"/>
      <c r="I495" s="378" t="s">
        <v>2704</v>
      </c>
      <c r="J495" s="1278"/>
      <c r="K495" s="378" t="s">
        <v>2704</v>
      </c>
      <c r="L495" s="980" t="s">
        <v>1211</v>
      </c>
      <c r="M495" s="107"/>
      <c r="N495" s="1278"/>
      <c r="O495" s="1278"/>
      <c r="P495" s="1278"/>
      <c r="Q495" s="158" t="s">
        <v>2947</v>
      </c>
      <c r="R495" s="161" t="s">
        <v>2947</v>
      </c>
      <c r="S495" s="1278"/>
      <c r="T495" s="465" cm="1" t="str">
        <f t="array" ref="T495:T495">T494</f>
        <v>true</v>
      </c>
      <c r="U495" s="1278"/>
      <c r="V495" s="1278"/>
      <c r="W495" s="1278"/>
      <c r="X495" s="1563"/>
      <c r="Y495" s="1278"/>
      <c r="Z495" s="1546"/>
      <c r="AA495" s="1278"/>
      <c r="AB495" s="299" t="s">
        <v>2705</v>
      </c>
      <c r="AC495" s="768" t="s">
        <v>2518</v>
      </c>
      <c r="AD495" s="771" t="s">
        <v>1514</v>
      </c>
      <c r="AE495" s="7723"/>
      <c r="AF495" s="7723"/>
      <c r="AG495" s="7723"/>
      <c r="AH495" s="943">
        <f>AG495-AF495</f>
        <v>0</v>
      </c>
      <c r="AI495" s="7691"/>
      <c r="AJ495" s="7721"/>
      <c r="AK495" s="942"/>
      <c r="AL495" s="942"/>
      <c r="AM495" s="942"/>
      <c r="AN495" s="942"/>
      <c r="AO495" s="942"/>
      <c r="AP495" s="942"/>
      <c r="AQ495" s="942"/>
      <c r="AR495" s="942"/>
      <c r="AS495" s="942"/>
      <c r="AT495" s="942"/>
      <c r="AU495" s="942"/>
      <c r="AV495" s="942"/>
      <c r="AW495" s="942"/>
      <c r="AX495" s="942"/>
      <c r="AY495" s="942"/>
      <c r="AZ495" s="942"/>
      <c r="BA495" s="942"/>
      <c r="BB495" s="942"/>
      <c r="BC495" s="942"/>
      <c r="BD495" s="942"/>
      <c r="BE495" s="942"/>
      <c r="BF495" s="942"/>
      <c r="BG495" s="942"/>
      <c r="BH495" s="942"/>
      <c r="BI495" s="942"/>
      <c r="BJ495" s="942"/>
      <c r="BK495" s="942"/>
      <c r="BL495" s="942"/>
      <c r="BM495" s="942"/>
      <c r="BN495" s="7720"/>
      <c r="BO495" s="7724" t="str">
        <f>IF(_xlfn.IFERROR(INDEX(ФОТ!$K$26:$L$188,MATCH($F495&amp;"5komm",ФОТ!$K$26:$K$188,0),2),"")=0,"",_xlfn.IFERROR(INDEX(ФОТ!$K$26:$L$188,MATCH($F495&amp;"5komm",ФОТ!$K$26:$K$188,0),2),""))</f>
        <v>по предложению организации в соответствии со штатным расписанием.</v>
      </c>
      <c r="BP495" s="7720"/>
      <c r="BQ495" s="1278"/>
      <c r="BR495" s="1278"/>
      <c r="BS495" s="1062" t="s">
        <v>1915</v>
      </c>
      <c r="BT495" s="1064"/>
      <c r="BU495" s="1064"/>
      <c r="BV495" s="979"/>
      <c r="BW495" s="979"/>
    </row>
    <row s="1834" customFormat="1" customHeight="1" ht="21.75">
      <c r="A496" s="1278"/>
      <c r="B496" s="978"/>
      <c r="C496" s="1278"/>
      <c r="D496" s="1278"/>
      <c r="E496" s="703">
        <v>22.5</v>
      </c>
      <c r="F496" s="50" cm="1" t="str">
        <f t="array" ref="F496:F496">OFFSET(E496,-1,1)</f>
        <v>3</v>
      </c>
      <c r="G496" s="158" t="s">
        <v>1894</v>
      </c>
      <c r="H496" s="378"/>
      <c r="I496" s="378" t="s">
        <v>2706</v>
      </c>
      <c r="J496" s="1278"/>
      <c r="K496" s="378" t="s">
        <v>2706</v>
      </c>
      <c r="L496" s="980" t="s">
        <v>1216</v>
      </c>
      <c r="M496" s="107"/>
      <c r="N496" s="1278"/>
      <c r="O496" s="1278"/>
      <c r="P496" s="1278"/>
      <c r="Q496" s="158" t="s">
        <v>2947</v>
      </c>
      <c r="R496" s="161" t="s">
        <v>2947</v>
      </c>
      <c r="S496" s="1278"/>
      <c r="T496" s="465" cm="1" t="str">
        <f t="array" ref="T496:T496">T495</f>
        <v>true</v>
      </c>
      <c r="U496" s="1278"/>
      <c r="V496" s="1278"/>
      <c r="W496" s="1278"/>
      <c r="X496" s="1563"/>
      <c r="Y496" s="1278"/>
      <c r="Z496" s="1546"/>
      <c r="AA496" s="1278"/>
      <c r="AB496" s="299" t="s">
        <v>2707</v>
      </c>
      <c r="AC496" s="768" t="s">
        <v>2708</v>
      </c>
      <c r="AD496" s="300" t="s">
        <v>1514</v>
      </c>
      <c r="AE496" s="7723">
        <f>AE495*_xlfn.SUMIFS(INDEX(Сценарии!$AE$25:$BF$163,,MATCH(AE$8,Сценарии!$AE$8:$BF$8,0)),Сценарии!$F$25:$F$163,$F496,Сценарии!$G$25:$G$163,"СВФОТ")/100</f>
        <v>0</v>
      </c>
      <c r="AF496" s="7723">
        <f>AF495*_xlfn.SUMIFS(INDEX(Сценарии!$AE$25:$BF$163,,MATCH(AF$8,Сценарии!$AE$8:$BF$8,0)),Сценарии!$F$25:$F$163,$F496,Сценарии!$G$25:$G$163,"СВФОТ")/100</f>
        <v>0</v>
      </c>
      <c r="AG496" s="7723">
        <f>AG495*_xlfn.SUMIFS(INDEX(Сценарии!$AE$25:$BF$163,,MATCH(AG$8,Сценарии!$AE$8:$BF$8,0)),Сценарии!$F$25:$F$163,$F496,Сценарии!$G$25:$G$163,"СВФОТ")/100</f>
        <v>0</v>
      </c>
      <c r="AH496" s="943">
        <f>AG496-AF496</f>
        <v>0</v>
      </c>
      <c r="AI496" s="7691">
        <f>AI495*_xlfn.SUMIFS(INDEX(Сценарии!$AE$25:$BF$163,,MATCH(AG$8,Сценарии!$AE$8:$BF$8,0)),Сценарии!$F$25:$F$163,$F496,Сценарии!$G$25:$G$163,"СВФОТ")/100</f>
        <v>0</v>
      </c>
      <c r="AJ496" s="7721"/>
      <c r="AK496" s="942"/>
      <c r="AL496" s="942"/>
      <c r="AM496" s="942"/>
      <c r="AN496" s="942"/>
      <c r="AO496" s="942"/>
      <c r="AP496" s="942"/>
      <c r="AQ496" s="942"/>
      <c r="AR496" s="942"/>
      <c r="AS496" s="942"/>
      <c r="AT496" s="942"/>
      <c r="AU496" s="942"/>
      <c r="AV496" s="942"/>
      <c r="AW496" s="942"/>
      <c r="AX496" s="942"/>
      <c r="AY496" s="942"/>
      <c r="AZ496" s="942"/>
      <c r="BA496" s="942"/>
      <c r="BB496" s="942"/>
      <c r="BC496" s="942"/>
      <c r="BD496" s="942"/>
      <c r="BE496" s="942"/>
      <c r="BF496" s="942"/>
      <c r="BG496" s="942"/>
      <c r="BH496" s="942"/>
      <c r="BI496" s="942"/>
      <c r="BJ496" s="942"/>
      <c r="BK496" s="942"/>
      <c r="BL496" s="942"/>
      <c r="BM496" s="942"/>
      <c r="BN496" s="7720"/>
      <c r="BO496" s="7724" t="str">
        <f>IF(_xlfn.IFERROR(INDEX(ФОТ!$K$26:$L$188,MATCH($F496&amp;"6komm",ФОТ!$K$26:$K$188,0),2),"")=0,"",_xlfn.IFERROR(INDEX(ФОТ!$K$26:$L$188,MATCH($F496&amp;"6komm",ФОТ!$K$26:$K$188,0),2),""))</f>
        <v>на основании Налогового кодекса РФ (часть вторая) от 05.08.2000 № 117-ФЗ в размере 30%, а также в соответствии с Федеральным законом от 24.07.1998 № 125 – ФЗ (0,20%).</v>
      </c>
      <c r="BP496" s="7720"/>
      <c r="BQ496" s="1278"/>
      <c r="BR496" s="1278"/>
      <c r="BS496" s="1062" t="s">
        <v>2520</v>
      </c>
      <c r="BT496" s="1064"/>
      <c r="BU496" s="1064"/>
      <c r="BV496" s="979"/>
      <c r="BW496" s="979"/>
    </row>
    <row s="1834" customFormat="1" customHeight="1" ht="32.25">
      <c r="A497" s="1278"/>
      <c r="B497" s="978"/>
      <c r="C497" s="1278"/>
      <c r="D497" s="1278"/>
      <c r="E497" s="703">
        <v>33.75</v>
      </c>
      <c r="F497" s="50" cm="1" t="str">
        <f t="array" ref="F497:F497">OFFSET(E497,-1,1)</f>
        <v>3</v>
      </c>
      <c r="G497" s="49" t="s">
        <v>1944</v>
      </c>
      <c r="H497" s="378"/>
      <c r="I497" s="378" t="s">
        <v>2099</v>
      </c>
      <c r="J497" s="1278"/>
      <c r="K497" s="378" t="s">
        <v>2099</v>
      </c>
      <c r="L497" s="980" t="s">
        <v>1662</v>
      </c>
      <c r="M497" s="107"/>
      <c r="N497" s="1278"/>
      <c r="O497" s="1278"/>
      <c r="P497" s="1278"/>
      <c r="Q497" s="158" t="s">
        <v>2947</v>
      </c>
      <c r="R497" s="161" t="s">
        <v>2947</v>
      </c>
      <c r="S497" s="1278"/>
      <c r="T497" s="465" cm="1" t="str">
        <f t="array" ref="T497:T497">T496</f>
        <v>true</v>
      </c>
      <c r="U497" s="1278"/>
      <c r="V497" s="1278"/>
      <c r="W497" s="1278"/>
      <c r="X497" s="1563"/>
      <c r="Y497" s="1278"/>
      <c r="Z497" s="1546"/>
      <c r="AA497" s="1278"/>
      <c r="AB497" s="299" t="s">
        <v>2100</v>
      </c>
      <c r="AC497" s="765" t="s">
        <v>2709</v>
      </c>
      <c r="AD497" s="300" t="s">
        <v>1514</v>
      </c>
      <c r="AE497" s="7723"/>
      <c r="AF497" s="7723"/>
      <c r="AG497" s="7723"/>
      <c r="AH497" s="943">
        <f>AG497-AF497</f>
        <v>0</v>
      </c>
      <c r="AI497" s="7691"/>
      <c r="AJ497" s="7721"/>
      <c r="AK497" s="942"/>
      <c r="AL497" s="942"/>
      <c r="AM497" s="942"/>
      <c r="AN497" s="942"/>
      <c r="AO497" s="942"/>
      <c r="AP497" s="942"/>
      <c r="AQ497" s="942"/>
      <c r="AR497" s="942"/>
      <c r="AS497" s="942"/>
      <c r="AT497" s="942"/>
      <c r="AU497" s="942"/>
      <c r="AV497" s="942"/>
      <c r="AW497" s="942"/>
      <c r="AX497" s="942"/>
      <c r="AY497" s="942"/>
      <c r="AZ497" s="942"/>
      <c r="BA497" s="942"/>
      <c r="BB497" s="942"/>
      <c r="BC497" s="942"/>
      <c r="BD497" s="942"/>
      <c r="BE497" s="942"/>
      <c r="BF497" s="942"/>
      <c r="BG497" s="942"/>
      <c r="BH497" s="942"/>
      <c r="BI497" s="942"/>
      <c r="BJ497" s="942"/>
      <c r="BK497" s="942"/>
      <c r="BL497" s="942"/>
      <c r="BM497" s="942"/>
      <c r="BN497" s="7720"/>
      <c r="BO497" s="7724" t="str">
        <f>IF(_xlfn.IFERROR(INDEX(Административные!$K$26:$L$122,MATCH($F497&amp;"2komm",Административные!$K$26:$K$122,0),2),"")=0,"",_xlfn.IFERROR(INDEX(Административные!$K$26:$L$122,MATCH($F497&amp;"2komm",Административные!$K$26:$K$122,0),2),""))</f>
        <v/>
      </c>
      <c r="BP497" s="7720"/>
      <c r="BQ497" s="1278"/>
      <c r="BR497" s="1278"/>
      <c r="BS497" s="1062" t="s">
        <v>1946</v>
      </c>
      <c r="BT497" s="1064"/>
      <c r="BU497" s="1064"/>
      <c r="BV497" s="979"/>
      <c r="BW497" s="979"/>
    </row>
    <row s="1834" customFormat="1" customHeight="1" ht="14.25">
      <c r="A498" s="1278"/>
      <c r="B498" s="978"/>
      <c r="C498" s="1278"/>
      <c r="D498" s="1278"/>
      <c r="E498" s="703">
        <v>15</v>
      </c>
      <c r="F498" s="50" cm="1" t="str">
        <f t="array" ref="F498:F498">OFFSET(E498,-1,1)</f>
        <v>3</v>
      </c>
      <c r="G498" s="49" t="s">
        <v>1947</v>
      </c>
      <c r="H498" s="378"/>
      <c r="I498" s="378" t="s">
        <v>2103</v>
      </c>
      <c r="J498" s="1278"/>
      <c r="K498" s="378" t="s">
        <v>2103</v>
      </c>
      <c r="L498" s="980" t="s">
        <v>1664</v>
      </c>
      <c r="M498" s="107"/>
      <c r="N498" s="1278"/>
      <c r="O498" s="1278"/>
      <c r="P498" s="1278"/>
      <c r="Q498" s="158" t="s">
        <v>2947</v>
      </c>
      <c r="R498" s="161" t="s">
        <v>2947</v>
      </c>
      <c r="S498" s="1278"/>
      <c r="T498" s="465" cm="1" t="str">
        <f t="array" ref="T498:T498">T497</f>
        <v>true</v>
      </c>
      <c r="U498" s="1278"/>
      <c r="V498" s="1278"/>
      <c r="W498" s="1278"/>
      <c r="X498" s="1563"/>
      <c r="Y498" s="1278"/>
      <c r="Z498" s="1546"/>
      <c r="AA498" s="1278"/>
      <c r="AB498" s="299" t="s">
        <v>2104</v>
      </c>
      <c r="AC498" s="765" t="s">
        <v>2710</v>
      </c>
      <c r="AD498" s="300" t="s">
        <v>1514</v>
      </c>
      <c r="AE498" s="7723"/>
      <c r="AF498" s="7723"/>
      <c r="AG498" s="7723"/>
      <c r="AH498" s="943">
        <f>AG498-AF498</f>
        <v>0</v>
      </c>
      <c r="AI498" s="7691"/>
      <c r="AJ498" s="7721"/>
      <c r="AK498" s="942"/>
      <c r="AL498" s="942"/>
      <c r="AM498" s="942"/>
      <c r="AN498" s="942"/>
      <c r="AO498" s="942"/>
      <c r="AP498" s="942"/>
      <c r="AQ498" s="942"/>
      <c r="AR498" s="942"/>
      <c r="AS498" s="942"/>
      <c r="AT498" s="942"/>
      <c r="AU498" s="942"/>
      <c r="AV498" s="942"/>
      <c r="AW498" s="942"/>
      <c r="AX498" s="942"/>
      <c r="AY498" s="942"/>
      <c r="AZ498" s="942"/>
      <c r="BA498" s="942"/>
      <c r="BB498" s="942"/>
      <c r="BC498" s="942"/>
      <c r="BD498" s="942"/>
      <c r="BE498" s="942"/>
      <c r="BF498" s="942"/>
      <c r="BG498" s="942"/>
      <c r="BH498" s="942"/>
      <c r="BI498" s="942"/>
      <c r="BJ498" s="942"/>
      <c r="BK498" s="942"/>
      <c r="BL498" s="942"/>
      <c r="BM498" s="942"/>
      <c r="BN498" s="7720"/>
      <c r="BO498" s="7724" t="str">
        <f>IF(_xlfn.IFERROR(INDEX(Административные!$K$26:$L$122,MATCH($F498&amp;"3komm",Административные!$K$26:$K$122,0),2),"")=0,"",_xlfn.IFERROR(INDEX(Административные!$K$26:$L$122,MATCH($F498&amp;"3komm",Административные!$K$26:$K$122,0),2),""))</f>
        <v/>
      </c>
      <c r="BP498" s="7720"/>
      <c r="BQ498" s="1278"/>
      <c r="BR498" s="1278"/>
      <c r="BS498" s="1062" t="s">
        <v>1949</v>
      </c>
      <c r="BT498" s="1064"/>
      <c r="BU498" s="1064"/>
      <c r="BV498" s="979"/>
      <c r="BW498" s="979"/>
    </row>
    <row s="1834" customFormat="1" customHeight="1" ht="14.25">
      <c r="A499" s="1278"/>
      <c r="B499" s="978"/>
      <c r="C499" s="1278"/>
      <c r="D499" s="1278"/>
      <c r="E499" s="703">
        <v>15</v>
      </c>
      <c r="F499" s="50" cm="1" t="str">
        <f t="array" ref="F499:F499">OFFSET(E499,-1,1)</f>
        <v>3</v>
      </c>
      <c r="G499" s="49" t="s">
        <v>1950</v>
      </c>
      <c r="H499" s="378"/>
      <c r="I499" s="378" t="s">
        <v>2711</v>
      </c>
      <c r="J499" s="1278"/>
      <c r="K499" s="378" t="s">
        <v>2711</v>
      </c>
      <c r="L499" s="980" t="s">
        <v>1667</v>
      </c>
      <c r="M499" s="107"/>
      <c r="N499" s="1278"/>
      <c r="O499" s="1278"/>
      <c r="P499" s="1278"/>
      <c r="Q499" s="158" t="s">
        <v>2947</v>
      </c>
      <c r="R499" s="161" t="s">
        <v>2947</v>
      </c>
      <c r="S499" s="1278"/>
      <c r="T499" s="465" cm="1" t="str">
        <f t="array" ref="T499:T499">T498</f>
        <v>true</v>
      </c>
      <c r="U499" s="1278"/>
      <c r="V499" s="1278"/>
      <c r="W499" s="1278"/>
      <c r="X499" s="1563"/>
      <c r="Y499" s="1278"/>
      <c r="Z499" s="1546"/>
      <c r="AA499" s="1278"/>
      <c r="AB499" s="299" t="s">
        <v>2712</v>
      </c>
      <c r="AC499" s="765" t="s">
        <v>2713</v>
      </c>
      <c r="AD499" s="300" t="s">
        <v>1514</v>
      </c>
      <c r="AE499" s="7723"/>
      <c r="AF499" s="7723"/>
      <c r="AG499" s="7723"/>
      <c r="AH499" s="943">
        <f>AG499-AF499</f>
        <v>0</v>
      </c>
      <c r="AI499" s="7691"/>
      <c r="AJ499" s="7721"/>
      <c r="AK499" s="942"/>
      <c r="AL499" s="942"/>
      <c r="AM499" s="942"/>
      <c r="AN499" s="942"/>
      <c r="AO499" s="942"/>
      <c r="AP499" s="942"/>
      <c r="AQ499" s="942"/>
      <c r="AR499" s="942"/>
      <c r="AS499" s="942"/>
      <c r="AT499" s="942"/>
      <c r="AU499" s="942"/>
      <c r="AV499" s="942"/>
      <c r="AW499" s="942"/>
      <c r="AX499" s="942"/>
      <c r="AY499" s="942"/>
      <c r="AZ499" s="942"/>
      <c r="BA499" s="942"/>
      <c r="BB499" s="942"/>
      <c r="BC499" s="942"/>
      <c r="BD499" s="942"/>
      <c r="BE499" s="942"/>
      <c r="BF499" s="942"/>
      <c r="BG499" s="942"/>
      <c r="BH499" s="942"/>
      <c r="BI499" s="942"/>
      <c r="BJ499" s="942"/>
      <c r="BK499" s="942"/>
      <c r="BL499" s="942"/>
      <c r="BM499" s="942"/>
      <c r="BN499" s="7720"/>
      <c r="BO499" s="7724" t="str">
        <f>IF(_xlfn.IFERROR(INDEX(Административные!$K$26:$L$122,MATCH($F499&amp;"4komm",Административные!$K$26:$K$122,0),2),"")=0,"",_xlfn.IFERROR(INDEX(Административные!$K$26:$L$122,MATCH($F499&amp;"4komm",Административные!$K$26:$K$122,0),2),""))</f>
        <v/>
      </c>
      <c r="BP499" s="7720"/>
      <c r="BQ499" s="1278"/>
      <c r="BR499" s="1278"/>
      <c r="BS499" s="1062" t="s">
        <v>1952</v>
      </c>
      <c r="BT499" s="1064"/>
      <c r="BU499" s="1064"/>
      <c r="BV499" s="979"/>
      <c r="BW499" s="979"/>
    </row>
    <row s="1834" customFormat="1" customHeight="1" ht="14.25">
      <c r="A500" s="1278"/>
      <c r="B500" s="978"/>
      <c r="C500" s="1278"/>
      <c r="D500" s="1278"/>
      <c r="E500" s="703">
        <v>15</v>
      </c>
      <c r="F500" s="50" cm="1" t="str">
        <f t="array" ref="F500:F500">OFFSET(E500,-1,1)</f>
        <v>3</v>
      </c>
      <c r="G500" s="49" t="s">
        <v>1953</v>
      </c>
      <c r="H500" s="378"/>
      <c r="I500" s="378" t="s">
        <v>2714</v>
      </c>
      <c r="J500" s="1278"/>
      <c r="K500" s="378" t="s">
        <v>2714</v>
      </c>
      <c r="L500" s="980" t="s">
        <v>1935</v>
      </c>
      <c r="M500" s="107"/>
      <c r="N500" s="1278"/>
      <c r="O500" s="1278"/>
      <c r="P500" s="1278"/>
      <c r="Q500" s="158" t="s">
        <v>2947</v>
      </c>
      <c r="R500" s="161" t="s">
        <v>2947</v>
      </c>
      <c r="S500" s="1278"/>
      <c r="T500" s="465" cm="1" t="str">
        <f t="array" ref="T500:T500">T499</f>
        <v>true</v>
      </c>
      <c r="U500" s="1278"/>
      <c r="V500" s="1278"/>
      <c r="W500" s="1278"/>
      <c r="X500" s="1563"/>
      <c r="Y500" s="1278"/>
      <c r="Z500" s="1546"/>
      <c r="AA500" s="1278"/>
      <c r="AB500" s="299" t="s">
        <v>2715</v>
      </c>
      <c r="AC500" s="765" t="s">
        <v>2716</v>
      </c>
      <c r="AD500" s="300" t="s">
        <v>1514</v>
      </c>
      <c r="AE500" s="7723"/>
      <c r="AF500" s="7723"/>
      <c r="AG500" s="7723"/>
      <c r="AH500" s="943">
        <f>AG500-AF500</f>
        <v>0</v>
      </c>
      <c r="AI500" s="7691"/>
      <c r="AJ500" s="7721"/>
      <c r="AK500" s="942"/>
      <c r="AL500" s="942"/>
      <c r="AM500" s="942"/>
      <c r="AN500" s="942"/>
      <c r="AO500" s="942"/>
      <c r="AP500" s="942"/>
      <c r="AQ500" s="942"/>
      <c r="AR500" s="942"/>
      <c r="AS500" s="942"/>
      <c r="AT500" s="942"/>
      <c r="AU500" s="942"/>
      <c r="AV500" s="942"/>
      <c r="AW500" s="942"/>
      <c r="AX500" s="942"/>
      <c r="AY500" s="942"/>
      <c r="AZ500" s="942"/>
      <c r="BA500" s="942"/>
      <c r="BB500" s="942"/>
      <c r="BC500" s="942"/>
      <c r="BD500" s="942"/>
      <c r="BE500" s="942"/>
      <c r="BF500" s="942"/>
      <c r="BG500" s="942"/>
      <c r="BH500" s="942"/>
      <c r="BI500" s="942"/>
      <c r="BJ500" s="942"/>
      <c r="BK500" s="942"/>
      <c r="BL500" s="942"/>
      <c r="BM500" s="942"/>
      <c r="BN500" s="7720"/>
      <c r="BO500" s="7724" t="str">
        <f>IF(_xlfn.IFERROR(INDEX(Административные!$K$26:$L$122,MATCH($F500&amp;"5komm",Административные!$K$26:$K$122,0),2),"")=0,"",_xlfn.IFERROR(INDEX(Административные!$K$26:$L$122,MATCH($F500&amp;"5komm",Административные!$K$26:$K$122,0),2),""))</f>
        <v/>
      </c>
      <c r="BP500" s="7720"/>
      <c r="BQ500" s="1278"/>
      <c r="BR500" s="1278"/>
      <c r="BS500" s="1062" t="s">
        <v>2522</v>
      </c>
      <c r="BT500" s="1064"/>
      <c r="BU500" s="1064"/>
      <c r="BV500" s="979"/>
      <c r="BW500" s="979"/>
    </row>
    <row s="1834" customFormat="1" customHeight="1" ht="14.25">
      <c r="A501" s="1278"/>
      <c r="B501" s="978"/>
      <c r="C501" s="1278"/>
      <c r="D501" s="1278"/>
      <c r="E501" s="703">
        <v>15</v>
      </c>
      <c r="F501" s="50" cm="1" t="str">
        <f t="array" ref="F501:F501">OFFSET(E501,-1,1)</f>
        <v>3</v>
      </c>
      <c r="G501" s="49" t="s">
        <v>1956</v>
      </c>
      <c r="H501" s="378"/>
      <c r="I501" s="378" t="s">
        <v>2717</v>
      </c>
      <c r="J501" s="1278"/>
      <c r="K501" s="378" t="s">
        <v>2717</v>
      </c>
      <c r="L501" s="980" t="s">
        <v>1940</v>
      </c>
      <c r="M501" s="107"/>
      <c r="N501" s="1278"/>
      <c r="O501" s="1278"/>
      <c r="P501" s="1278"/>
      <c r="Q501" s="158" t="s">
        <v>2947</v>
      </c>
      <c r="R501" s="161" t="s">
        <v>2947</v>
      </c>
      <c r="S501" s="1278"/>
      <c r="T501" s="465" cm="1" t="str">
        <f t="array" ref="T501:T501">T500</f>
        <v>true</v>
      </c>
      <c r="U501" s="1278"/>
      <c r="V501" s="1278"/>
      <c r="W501" s="1278"/>
      <c r="X501" s="1563"/>
      <c r="Y501" s="1278"/>
      <c r="Z501" s="1546"/>
      <c r="AA501" s="1278"/>
      <c r="AB501" s="299" t="s">
        <v>2718</v>
      </c>
      <c r="AC501" s="765" t="s">
        <v>2719</v>
      </c>
      <c r="AD501" s="300" t="s">
        <v>1514</v>
      </c>
      <c r="AE501" s="943">
        <f>SUM(AE502:AE504)</f>
        <v>0</v>
      </c>
      <c r="AF501" s="943">
        <f>SUM(AF502:AF504)</f>
        <v>0</v>
      </c>
      <c r="AG501" s="943">
        <f>SUM(AG502:AG504)</f>
        <v>0</v>
      </c>
      <c r="AH501" s="943">
        <f>AG501-AF501</f>
        <v>0</v>
      </c>
      <c r="AI501" s="7687">
        <f>SUM(AI502:AI504)</f>
        <v>0</v>
      </c>
      <c r="AJ501" s="7721"/>
      <c r="AK501" s="942"/>
      <c r="AL501" s="942"/>
      <c r="AM501" s="942"/>
      <c r="AN501" s="942"/>
      <c r="AO501" s="942"/>
      <c r="AP501" s="942"/>
      <c r="AQ501" s="942"/>
      <c r="AR501" s="942"/>
      <c r="AS501" s="942"/>
      <c r="AT501" s="942"/>
      <c r="AU501" s="942"/>
      <c r="AV501" s="942"/>
      <c r="AW501" s="942"/>
      <c r="AX501" s="942"/>
      <c r="AY501" s="942"/>
      <c r="AZ501" s="942"/>
      <c r="BA501" s="942"/>
      <c r="BB501" s="942"/>
      <c r="BC501" s="942"/>
      <c r="BD501" s="942"/>
      <c r="BE501" s="942"/>
      <c r="BF501" s="942"/>
      <c r="BG501" s="942"/>
      <c r="BH501" s="942"/>
      <c r="BI501" s="942"/>
      <c r="BJ501" s="942"/>
      <c r="BK501" s="942"/>
      <c r="BL501" s="942"/>
      <c r="BM501" s="942"/>
      <c r="BN501" s="7720"/>
      <c r="BO501" s="7724" t="str">
        <f>IF(_xlfn.IFERROR(INDEX(Административные!$K$26:$L$122,MATCH($F501&amp;"6komm",Административные!$K$26:$K$122,0),2),"")=0,"",_xlfn.IFERROR(INDEX(Административные!$K$26:$L$122,MATCH($F501&amp;"6komm",Административные!$K$26:$K$122,0),2),""))</f>
        <v/>
      </c>
      <c r="BP501" s="7720"/>
      <c r="BQ501" s="1278"/>
      <c r="BR501" s="1278"/>
      <c r="BS501" s="1062" t="s">
        <v>2524</v>
      </c>
      <c r="BT501" s="1064"/>
      <c r="BU501" s="1064"/>
      <c r="BV501" s="979"/>
      <c r="BW501" s="979"/>
    </row>
    <row s="1834" customFormat="1" customHeight="1" ht="14.25">
      <c r="A502" s="1278"/>
      <c r="B502" s="978"/>
      <c r="C502" s="1278"/>
      <c r="D502" s="1278"/>
      <c r="E502" s="703">
        <v>15</v>
      </c>
      <c r="F502" s="50" cm="1" t="str">
        <f t="array" ref="F502:F502">OFFSET(E502,-1,1)</f>
        <v>3</v>
      </c>
      <c r="G502" s="49" t="s">
        <v>1958</v>
      </c>
      <c r="H502" s="378"/>
      <c r="I502" s="378" t="s">
        <v>2720</v>
      </c>
      <c r="J502" s="1278"/>
      <c r="K502" s="378" t="s">
        <v>2720</v>
      </c>
      <c r="L502" s="980" t="s">
        <v>2525</v>
      </c>
      <c r="M502" s="107"/>
      <c r="N502" s="1278"/>
      <c r="O502" s="1278"/>
      <c r="P502" s="1278"/>
      <c r="Q502" s="158" t="s">
        <v>2947</v>
      </c>
      <c r="R502" s="161" t="s">
        <v>2947</v>
      </c>
      <c r="S502" s="1278"/>
      <c r="T502" s="465" cm="1" t="str">
        <f t="array" ref="T502:T502">T501</f>
        <v>true</v>
      </c>
      <c r="U502" s="1278"/>
      <c r="V502" s="1278"/>
      <c r="W502" s="1278"/>
      <c r="X502" s="1563"/>
      <c r="Y502" s="1278"/>
      <c r="Z502" s="1546"/>
      <c r="AA502" s="1278"/>
      <c r="AB502" s="299" t="s">
        <v>2721</v>
      </c>
      <c r="AC502" s="768" t="s">
        <v>2527</v>
      </c>
      <c r="AD502" s="300" t="s">
        <v>1514</v>
      </c>
      <c r="AE502" s="7723"/>
      <c r="AF502" s="7723"/>
      <c r="AG502" s="7723"/>
      <c r="AH502" s="943">
        <f>AG502-AF502</f>
        <v>0</v>
      </c>
      <c r="AI502" s="7691"/>
      <c r="AJ502" s="7721"/>
      <c r="AK502" s="942"/>
      <c r="AL502" s="942"/>
      <c r="AM502" s="942"/>
      <c r="AN502" s="942"/>
      <c r="AO502" s="942"/>
      <c r="AP502" s="942"/>
      <c r="AQ502" s="942"/>
      <c r="AR502" s="942"/>
      <c r="AS502" s="942"/>
      <c r="AT502" s="942"/>
      <c r="AU502" s="942"/>
      <c r="AV502" s="942"/>
      <c r="AW502" s="942"/>
      <c r="AX502" s="942"/>
      <c r="AY502" s="942"/>
      <c r="AZ502" s="942"/>
      <c r="BA502" s="942"/>
      <c r="BB502" s="942"/>
      <c r="BC502" s="942"/>
      <c r="BD502" s="942"/>
      <c r="BE502" s="942"/>
      <c r="BF502" s="942"/>
      <c r="BG502" s="942"/>
      <c r="BH502" s="942"/>
      <c r="BI502" s="942"/>
      <c r="BJ502" s="942"/>
      <c r="BK502" s="942"/>
      <c r="BL502" s="942"/>
      <c r="BM502" s="942"/>
      <c r="BN502" s="7720"/>
      <c r="BO502" s="7724" t="str">
        <f>IF(_xlfn.IFERROR(INDEX(Административные!$K$26:$L$122,MATCH($F502&amp;"7komm",Административные!$K$26:$K$122,0),2),"")=0,"",_xlfn.IFERROR(INDEX(Административные!$K$26:$L$122,MATCH($F502&amp;"7komm",Административные!$K$26:$K$122,0),2),""))</f>
        <v/>
      </c>
      <c r="BP502" s="7720"/>
      <c r="BQ502" s="1278"/>
      <c r="BR502" s="1278"/>
      <c r="BS502" s="1062" t="s">
        <v>2528</v>
      </c>
      <c r="BT502" s="1064"/>
      <c r="BU502" s="1064"/>
      <c r="BV502" s="979"/>
      <c r="BW502" s="979"/>
    </row>
    <row s="1834" customFormat="1" customHeight="1" ht="14.25">
      <c r="A503" s="1278"/>
      <c r="B503" s="978"/>
      <c r="C503" s="1278"/>
      <c r="D503" s="1278"/>
      <c r="E503" s="703">
        <v>15</v>
      </c>
      <c r="F503" s="50" cm="1" t="str">
        <f t="array" ref="F503:F503">OFFSET(E503,-1,1)</f>
        <v>3</v>
      </c>
      <c r="G503" s="49" t="s">
        <v>1961</v>
      </c>
      <c r="H503" s="378"/>
      <c r="I503" s="378" t="s">
        <v>2722</v>
      </c>
      <c r="J503" s="1278"/>
      <c r="K503" s="378" t="s">
        <v>2722</v>
      </c>
      <c r="L503" s="980" t="s">
        <v>2529</v>
      </c>
      <c r="M503" s="107"/>
      <c r="N503" s="1278"/>
      <c r="O503" s="1278"/>
      <c r="P503" s="1278"/>
      <c r="Q503" s="158" t="s">
        <v>2947</v>
      </c>
      <c r="R503" s="161" t="s">
        <v>2947</v>
      </c>
      <c r="S503" s="1278"/>
      <c r="T503" s="465" cm="1" t="str">
        <f t="array" ref="T503:T503">T502</f>
        <v>true</v>
      </c>
      <c r="U503" s="1278"/>
      <c r="V503" s="1278"/>
      <c r="W503" s="1278"/>
      <c r="X503" s="1563"/>
      <c r="Y503" s="1278"/>
      <c r="Z503" s="1546"/>
      <c r="AA503" s="1278"/>
      <c r="AB503" s="299" t="s">
        <v>2723</v>
      </c>
      <c r="AC503" s="768" t="s">
        <v>1962</v>
      </c>
      <c r="AD503" s="300" t="s">
        <v>1514</v>
      </c>
      <c r="AE503" s="7723"/>
      <c r="AF503" s="7723"/>
      <c r="AG503" s="7723"/>
      <c r="AH503" s="943">
        <f>AG503-AF503</f>
        <v>0</v>
      </c>
      <c r="AI503" s="7691"/>
      <c r="AJ503" s="7721"/>
      <c r="AK503" s="942"/>
      <c r="AL503" s="942"/>
      <c r="AM503" s="942"/>
      <c r="AN503" s="942"/>
      <c r="AO503" s="942"/>
      <c r="AP503" s="942"/>
      <c r="AQ503" s="942"/>
      <c r="AR503" s="942"/>
      <c r="AS503" s="942"/>
      <c r="AT503" s="942"/>
      <c r="AU503" s="942"/>
      <c r="AV503" s="942"/>
      <c r="AW503" s="942"/>
      <c r="AX503" s="942"/>
      <c r="AY503" s="942"/>
      <c r="AZ503" s="942"/>
      <c r="BA503" s="942"/>
      <c r="BB503" s="942"/>
      <c r="BC503" s="942"/>
      <c r="BD503" s="942"/>
      <c r="BE503" s="942"/>
      <c r="BF503" s="942"/>
      <c r="BG503" s="942"/>
      <c r="BH503" s="942"/>
      <c r="BI503" s="942"/>
      <c r="BJ503" s="942"/>
      <c r="BK503" s="942"/>
      <c r="BL503" s="942"/>
      <c r="BM503" s="942"/>
      <c r="BN503" s="7720"/>
      <c r="BO503" s="7724" t="str">
        <f>IF(_xlfn.IFERROR(INDEX(Административные!$K$26:$L$122,MATCH($F503&amp;"8komm",Административные!$K$26:$K$122,0),2),"")=0,"",_xlfn.IFERROR(INDEX(Административные!$K$26:$L$122,MATCH($F503&amp;"8komm",Административные!$K$26:$K$122,0),2),""))</f>
        <v/>
      </c>
      <c r="BP503" s="7720"/>
      <c r="BQ503" s="1278"/>
      <c r="BR503" s="1278"/>
      <c r="BS503" s="1062" t="s">
        <v>2531</v>
      </c>
      <c r="BT503" s="1064"/>
      <c r="BU503" s="1064"/>
      <c r="BV503" s="979"/>
      <c r="BW503" s="979"/>
    </row>
    <row s="1834" customFormat="1" customHeight="1" ht="14.25">
      <c r="A504" s="1278"/>
      <c r="B504" s="978"/>
      <c r="C504" s="1278"/>
      <c r="D504" s="1278"/>
      <c r="E504" s="703">
        <v>15</v>
      </c>
      <c r="F504" s="50" cm="1" t="str">
        <f t="array" ref="F504:F504">OFFSET(E504,-1,1)</f>
        <v>3</v>
      </c>
      <c r="G504" s="158" t="s">
        <v>1964</v>
      </c>
      <c r="H504" s="378"/>
      <c r="I504" s="378" t="s">
        <v>2724</v>
      </c>
      <c r="J504" s="1278"/>
      <c r="K504" s="378" t="s">
        <v>2724</v>
      </c>
      <c r="L504" s="980" t="s">
        <v>2532</v>
      </c>
      <c r="M504" s="107"/>
      <c r="N504" s="1278"/>
      <c r="O504" s="1278"/>
      <c r="P504" s="1278"/>
      <c r="Q504" s="158" t="s">
        <v>2947</v>
      </c>
      <c r="R504" s="161" t="s">
        <v>2947</v>
      </c>
      <c r="S504" s="1278"/>
      <c r="T504" s="465" cm="1" t="str">
        <f t="array" ref="T504:T504">T503</f>
        <v>true</v>
      </c>
      <c r="U504" s="1278"/>
      <c r="V504" s="1278"/>
      <c r="W504" s="1278"/>
      <c r="X504" s="1563"/>
      <c r="Y504" s="1278"/>
      <c r="Z504" s="1546"/>
      <c r="AA504" s="1278"/>
      <c r="AB504" s="299" t="s">
        <v>2725</v>
      </c>
      <c r="AC504" s="768" t="s">
        <v>1965</v>
      </c>
      <c r="AD504" s="300" t="s">
        <v>1514</v>
      </c>
      <c r="AE504" s="7723"/>
      <c r="AF504" s="7723"/>
      <c r="AG504" s="7723"/>
      <c r="AH504" s="943">
        <f>AG504-AF504</f>
        <v>0</v>
      </c>
      <c r="AI504" s="7691"/>
      <c r="AJ504" s="1354"/>
      <c r="AK504" s="942"/>
      <c r="AL504" s="942"/>
      <c r="AM504" s="942"/>
      <c r="AN504" s="942"/>
      <c r="AO504" s="942"/>
      <c r="AP504" s="942"/>
      <c r="AQ504" s="942"/>
      <c r="AR504" s="942"/>
      <c r="AS504" s="942"/>
      <c r="AT504" s="942"/>
      <c r="AU504" s="942"/>
      <c r="AV504" s="942"/>
      <c r="AW504" s="942"/>
      <c r="AX504" s="942"/>
      <c r="AY504" s="942"/>
      <c r="AZ504" s="942"/>
      <c r="BA504" s="942"/>
      <c r="BB504" s="942"/>
      <c r="BC504" s="942"/>
      <c r="BD504" s="942"/>
      <c r="BE504" s="942"/>
      <c r="BF504" s="942"/>
      <c r="BG504" s="942"/>
      <c r="BH504" s="942"/>
      <c r="BI504" s="942"/>
      <c r="BJ504" s="942"/>
      <c r="BK504" s="942"/>
      <c r="BL504" s="942"/>
      <c r="BM504" s="942"/>
      <c r="BN504" s="7720"/>
      <c r="BO504" s="7724" t="str">
        <f>IF(_xlfn.IFERROR(INDEX(Административные!$K$26:$L$122,MATCH($F504&amp;"9komm",Административные!$K$26:$K$122,0),2),"")=0,"",_xlfn.IFERROR(INDEX(Административные!$K$26:$L$122,MATCH($F504&amp;"9komm",Административные!$K$26:$K$122,0),2),""))</f>
        <v/>
      </c>
      <c r="BP504" s="7720"/>
      <c r="BQ504" s="1278"/>
      <c r="BR504" s="1278"/>
      <c r="BS504" s="1062" t="s">
        <v>2534</v>
      </c>
      <c r="BT504" s="1064"/>
      <c r="BU504" s="1064"/>
      <c r="BV504" s="979"/>
      <c r="BW504" s="979"/>
    </row>
    <row s="1834" customFormat="1" customHeight="1" ht="21.75">
      <c r="A505" s="1278"/>
      <c r="B505" s="432">
        <f>STATUS_GO="да"</f>
        <v>1</v>
      </c>
      <c r="C505" s="1278"/>
      <c r="D505" s="1278"/>
      <c r="E505" s="703">
        <v>22.5</v>
      </c>
      <c r="F505" s="50" cm="1" t="str">
        <f t="array" ref="F505:F505">OFFSET(E505,-1,1)</f>
        <v>3</v>
      </c>
      <c r="G505" s="1278"/>
      <c r="H505" s="378"/>
      <c r="I505" s="378" t="s">
        <v>1640</v>
      </c>
      <c r="J505" s="1278"/>
      <c r="K505" s="378" t="s">
        <v>1640</v>
      </c>
      <c r="L505" s="980" t="s">
        <v>336</v>
      </c>
      <c r="M505" s="107"/>
      <c r="N505" s="1278"/>
      <c r="O505" s="1278"/>
      <c r="P505" s="1278"/>
      <c r="Q505" s="158" t="s">
        <v>2947</v>
      </c>
      <c r="R505" s="161" t="s">
        <v>2947</v>
      </c>
      <c r="S505" s="1278"/>
      <c r="T505" s="465" cm="1" t="str">
        <f t="array" ref="T505:T505">T504</f>
        <v>true</v>
      </c>
      <c r="U505" s="1278"/>
      <c r="V505" s="1278"/>
      <c r="W505" s="1278"/>
      <c r="X505" s="1563"/>
      <c r="Y505" s="1278"/>
      <c r="Z505" s="1546"/>
      <c r="AA505" s="1278"/>
      <c r="AB505" s="299" t="s">
        <v>1641</v>
      </c>
      <c r="AC505" s="762" t="s">
        <v>2726</v>
      </c>
      <c r="AD505" s="300" t="s">
        <v>1514</v>
      </c>
      <c r="AE505" s="7723"/>
      <c r="AF505" s="7723"/>
      <c r="AG505" s="7723"/>
      <c r="AH505" s="943">
        <f>AG505-AF505</f>
        <v>0</v>
      </c>
      <c r="AI505" s="7691"/>
      <c r="AJ505" s="7721"/>
      <c r="AK505" s="942"/>
      <c r="AL505" s="942"/>
      <c r="AM505" s="942"/>
      <c r="AN505" s="942"/>
      <c r="AO505" s="942"/>
      <c r="AP505" s="942"/>
      <c r="AQ505" s="942"/>
      <c r="AR505" s="942"/>
      <c r="AS505" s="942"/>
      <c r="AT505" s="942"/>
      <c r="AU505" s="942"/>
      <c r="AV505" s="942"/>
      <c r="AW505" s="942"/>
      <c r="AX505" s="942"/>
      <c r="AY505" s="942"/>
      <c r="AZ505" s="942"/>
      <c r="BA505" s="942"/>
      <c r="BB505" s="942"/>
      <c r="BC505" s="942"/>
      <c r="BD505" s="942"/>
      <c r="BE505" s="942"/>
      <c r="BF505" s="942"/>
      <c r="BG505" s="942"/>
      <c r="BH505" s="942"/>
      <c r="BI505" s="942"/>
      <c r="BJ505" s="942"/>
      <c r="BK505" s="942"/>
      <c r="BL505" s="942"/>
      <c r="BM505" s="942"/>
      <c r="BN505" s="7720"/>
      <c r="BO505" s="7720"/>
      <c r="BP505" s="7720"/>
      <c r="BQ505" s="1278"/>
      <c r="BR505" s="1278"/>
      <c r="BS505" s="1063" t="s">
        <v>2536</v>
      </c>
      <c r="BT505" s="1064"/>
      <c r="BU505" s="1064"/>
      <c r="BV505" s="979"/>
      <c r="BW505" s="979"/>
    </row>
    <row s="1834" customFormat="1" customHeight="1" ht="14.25">
      <c r="A506" s="1278"/>
      <c r="B506" s="978"/>
      <c r="C506" s="1278"/>
      <c r="D506" s="1278"/>
      <c r="E506" s="703">
        <v>15</v>
      </c>
      <c r="F506" s="50" cm="1" t="str">
        <f t="array" ref="F506:F506">OFFSET(E506,-1,1)</f>
        <v>3</v>
      </c>
      <c r="G506" s="1278"/>
      <c r="H506" s="378"/>
      <c r="I506" s="378" t="s">
        <v>2475</v>
      </c>
      <c r="J506" s="1278"/>
      <c r="K506" s="378" t="s">
        <v>2475</v>
      </c>
      <c r="L506" s="980"/>
      <c r="M506" s="107"/>
      <c r="N506" s="1278"/>
      <c r="O506" s="1278"/>
      <c r="P506" s="1278"/>
      <c r="Q506" s="158" t="s">
        <v>2947</v>
      </c>
      <c r="R506" s="161" t="s">
        <v>2947</v>
      </c>
      <c r="S506" s="1278"/>
      <c r="T506" s="465" cm="1" t="str">
        <f t="array" ref="T506:T506">T505</f>
        <v>true</v>
      </c>
      <c r="U506" s="1278"/>
      <c r="V506" s="1278"/>
      <c r="W506" s="1278"/>
      <c r="X506" s="1563"/>
      <c r="Y506" s="1278"/>
      <c r="Z506" s="1546"/>
      <c r="AA506" s="1278"/>
      <c r="AB506" s="299" t="s">
        <v>2476</v>
      </c>
      <c r="AC506" s="762" t="s">
        <v>2727</v>
      </c>
      <c r="AD506" s="300" t="s">
        <v>1514</v>
      </c>
      <c r="AE506" s="7723"/>
      <c r="AF506" s="7723"/>
      <c r="AG506" s="7723"/>
      <c r="AH506" s="943">
        <f>AG506-AF506</f>
        <v>0</v>
      </c>
      <c r="AI506" s="7691"/>
      <c r="AJ506" s="7721"/>
      <c r="AK506" s="942"/>
      <c r="AL506" s="942"/>
      <c r="AM506" s="942"/>
      <c r="AN506" s="942"/>
      <c r="AO506" s="942"/>
      <c r="AP506" s="942"/>
      <c r="AQ506" s="942"/>
      <c r="AR506" s="942"/>
      <c r="AS506" s="942"/>
      <c r="AT506" s="942"/>
      <c r="AU506" s="942"/>
      <c r="AV506" s="942"/>
      <c r="AW506" s="942"/>
      <c r="AX506" s="942"/>
      <c r="AY506" s="942"/>
      <c r="AZ506" s="942"/>
      <c r="BA506" s="942"/>
      <c r="BB506" s="942"/>
      <c r="BC506" s="942"/>
      <c r="BD506" s="942"/>
      <c r="BE506" s="942"/>
      <c r="BF506" s="942"/>
      <c r="BG506" s="942"/>
      <c r="BH506" s="942"/>
      <c r="BI506" s="942"/>
      <c r="BJ506" s="942"/>
      <c r="BK506" s="942"/>
      <c r="BL506" s="942"/>
      <c r="BM506" s="942"/>
      <c r="BN506" s="7720"/>
      <c r="BO506" s="7720"/>
      <c r="BP506" s="7720"/>
      <c r="BQ506" s="1278"/>
      <c r="BR506" s="1278"/>
      <c r="BS506" s="1064" t="s">
        <v>2728</v>
      </c>
      <c r="BT506" s="1064"/>
      <c r="BU506" s="1064"/>
      <c r="BV506" s="979"/>
      <c r="BW506" s="979"/>
    </row>
    <row s="7852" customFormat="1" customHeight="1" ht="20.25">
      <c r="A507" s="700"/>
      <c r="B507" s="435"/>
      <c r="C507" s="700"/>
      <c r="D507" s="700"/>
      <c r="E507" s="707">
        <v>21</v>
      </c>
      <c r="F507" s="50" cm="1" t="str">
        <f t="array" ref="F507:F507">OFFSET(E507,-1,1)</f>
        <v>3</v>
      </c>
      <c r="G507" s="700"/>
      <c r="H507" s="378"/>
      <c r="I507" s="378" t="s">
        <v>2479</v>
      </c>
      <c r="J507" s="700"/>
      <c r="K507" s="378" t="s">
        <v>2479</v>
      </c>
      <c r="L507" s="985"/>
      <c r="M507" s="109"/>
      <c r="N507" s="700"/>
      <c r="O507" s="700"/>
      <c r="P507" s="700"/>
      <c r="Q507" s="158" t="s">
        <v>2947</v>
      </c>
      <c r="R507" s="161" t="s">
        <v>2947</v>
      </c>
      <c r="S507" s="700"/>
      <c r="T507" s="465" cm="1" t="str">
        <f t="array" ref="T507:T507">T506</f>
        <v>true</v>
      </c>
      <c r="U507" s="700"/>
      <c r="V507" s="700"/>
      <c r="W507" s="700"/>
      <c r="X507" s="1563"/>
      <c r="Y507" s="700"/>
      <c r="Z507" s="1546"/>
      <c r="AA507" s="700"/>
      <c r="AB507" s="218" t="s">
        <v>2480</v>
      </c>
      <c r="AC507" s="361" t="s">
        <v>2729</v>
      </c>
      <c r="AD507" s="211" t="s">
        <v>1514</v>
      </c>
      <c r="AE507" s="770">
        <f>SUM(AE508:AE509)</f>
        <v>0</v>
      </c>
      <c r="AF507" s="770">
        <f>SUM(AF508:AF509)</f>
        <v>0</v>
      </c>
      <c r="AG507" s="770">
        <f>SUM(AG508:AG509)</f>
        <v>0</v>
      </c>
      <c r="AH507" s="761">
        <f>AG507-AF507</f>
        <v>0</v>
      </c>
      <c r="AI507" s="7697">
        <f>SUM(AI508:AI509)</f>
        <v>0</v>
      </c>
      <c r="AJ507" s="7721"/>
      <c r="AK507" s="764"/>
      <c r="AL507" s="764"/>
      <c r="AM507" s="764"/>
      <c r="AN507" s="764"/>
      <c r="AO507" s="764"/>
      <c r="AP507" s="764"/>
      <c r="AQ507" s="764"/>
      <c r="AR507" s="764"/>
      <c r="AS507" s="764"/>
      <c r="AT507" s="942"/>
      <c r="AU507" s="942"/>
      <c r="AV507" s="764"/>
      <c r="AW507" s="764"/>
      <c r="AX507" s="764"/>
      <c r="AY507" s="764"/>
      <c r="AZ507" s="764"/>
      <c r="BA507" s="764"/>
      <c r="BB507" s="764"/>
      <c r="BC507" s="764"/>
      <c r="BD507" s="764"/>
      <c r="BE507" s="764"/>
      <c r="BF507" s="764"/>
      <c r="BG507" s="764"/>
      <c r="BH507" s="764"/>
      <c r="BI507" s="764"/>
      <c r="BJ507" s="764"/>
      <c r="BK507" s="764"/>
      <c r="BL507" s="764"/>
      <c r="BM507" s="764"/>
      <c r="BN507" s="7722"/>
      <c r="BO507" s="7722"/>
      <c r="BP507" s="7722"/>
      <c r="BQ507" s="700"/>
      <c r="BR507" s="700"/>
      <c r="BS507" s="1070" t="s">
        <v>2730</v>
      </c>
      <c r="BT507" s="1070"/>
      <c r="BU507" s="1070"/>
      <c r="BV507" s="707"/>
      <c r="BW507" s="707"/>
    </row>
    <row s="1834" customFormat="1" customHeight="1" ht="14.25" hidden="1">
      <c r="A508" s="1278"/>
      <c r="B508" s="978"/>
      <c r="C508" s="1278"/>
      <c r="D508" s="1278"/>
      <c r="E508" s="703">
        <v>15</v>
      </c>
      <c r="F508" s="50" cm="1" t="str">
        <f t="array" ref="F508:F508">OFFSET(E508,-1,1)</f>
        <v>3</v>
      </c>
      <c r="G508" s="1278"/>
      <c r="H508" s="1278"/>
      <c r="I508" s="378" t="s">
        <v>2479</v>
      </c>
      <c r="J508" s="158" cm="1" t="str">
        <f t="array" ref="J508:J508">AC508</f>
        <v>0</v>
      </c>
      <c r="K508" s="378" t="s">
        <v>2479</v>
      </c>
      <c r="L508" s="980"/>
      <c r="M508" s="107"/>
      <c r="N508" s="1278"/>
      <c r="O508" s="1278"/>
      <c r="P508" s="1278"/>
      <c r="Q508" s="158" t="s">
        <v>2947</v>
      </c>
      <c r="R508" s="161" t="s">
        <v>2947</v>
      </c>
      <c r="S508" s="1278"/>
      <c r="T508" s="465">
        <f>AND(F508&gt;0,Y508&gt;0)</f>
        <v>0</v>
      </c>
      <c r="U508" s="1278"/>
      <c r="V508" s="1278"/>
      <c r="W508" s="158" t="s">
        <v>174</v>
      </c>
      <c r="X508" s="1563"/>
      <c r="Y508" s="158">
        <v>0</v>
      </c>
      <c r="Z508" s="1546"/>
      <c r="AA508" s="420" t="s">
        <v>175</v>
      </c>
      <c r="AB508" s="300" t="str">
        <f>"1.7."&amp;Y508</f>
        <v>1.7.0</v>
      </c>
      <c r="AC508" s="1243"/>
      <c r="AD508" s="300" t="s">
        <v>1514</v>
      </c>
      <c r="AE508" s="1255"/>
      <c r="AF508" s="1255"/>
      <c r="AG508" s="1255"/>
      <c r="AH508" s="259">
        <f>AG508-AF508</f>
        <v>0</v>
      </c>
      <c r="AI508" s="7699"/>
      <c r="AJ508" s="1255"/>
      <c r="AK508" s="945"/>
      <c r="AL508" s="945"/>
      <c r="AM508" s="945"/>
      <c r="AN508" s="945"/>
      <c r="AO508" s="945"/>
      <c r="AP508" s="945"/>
      <c r="AQ508" s="945"/>
      <c r="AR508" s="945"/>
      <c r="AS508" s="945"/>
      <c r="AT508" s="942"/>
      <c r="AU508" s="945"/>
      <c r="AV508" s="945"/>
      <c r="AW508" s="945"/>
      <c r="AX508" s="945"/>
      <c r="AY508" s="945"/>
      <c r="AZ508" s="945"/>
      <c r="BA508" s="945"/>
      <c r="BB508" s="945"/>
      <c r="BC508" s="945"/>
      <c r="BD508" s="764"/>
      <c r="BE508" s="945"/>
      <c r="BF508" s="945"/>
      <c r="BG508" s="945"/>
      <c r="BH508" s="945"/>
      <c r="BI508" s="945"/>
      <c r="BJ508" s="945"/>
      <c r="BK508" s="945"/>
      <c r="BL508" s="945"/>
      <c r="BM508" s="945"/>
      <c r="BN508" s="1256"/>
      <c r="BO508" s="1256"/>
      <c r="BP508" s="1256"/>
      <c r="BQ508" s="1278"/>
      <c r="BR508" s="1278"/>
      <c r="BS508" s="1064" t="s">
        <v>2730</v>
      </c>
      <c r="BT508" s="1064" t="s">
        <v>2731</v>
      </c>
      <c r="BU508" s="1064" cm="1" t="str">
        <f t="array" ref="BU508:BU508">AC508</f>
        <v>0</v>
      </c>
      <c r="BV508" s="979"/>
      <c r="BW508" s="703" t="b">
        <v>1</v>
      </c>
    </row>
    <row s="1834" customFormat="1" customHeight="1" ht="14.25">
      <c r="A509" s="1278"/>
      <c r="B509" s="978"/>
      <c r="C509" s="1278"/>
      <c r="D509" s="1278"/>
      <c r="E509" s="703">
        <v>15</v>
      </c>
      <c r="F509" s="50" cm="1" t="str">
        <f t="array" ref="F509:F509">OFFSET(E509,-1,1)</f>
        <v>3</v>
      </c>
      <c r="G509" s="364"/>
      <c r="H509" s="1278"/>
      <c r="I509" s="1278"/>
      <c r="J509" s="158" t="s">
        <v>2732</v>
      </c>
      <c r="K509" s="1278"/>
      <c r="L509" s="980"/>
      <c r="M509" s="107"/>
      <c r="N509" s="1278"/>
      <c r="O509" s="1278"/>
      <c r="P509" s="1278"/>
      <c r="Q509" s="1278"/>
      <c r="R509" s="1278"/>
      <c r="S509" s="1278"/>
      <c r="T509" s="465">
        <f>F509&gt;0</f>
        <v>1</v>
      </c>
      <c r="U509" s="1278"/>
      <c r="V509" s="1278"/>
      <c r="W509" s="702" t="s">
        <v>2948</v>
      </c>
      <c r="X509" s="1563"/>
      <c r="Y509" s="1278"/>
      <c r="Z509" s="1546"/>
      <c r="AA509" s="1278"/>
      <c r="AB509" s="775"/>
      <c r="AC509" s="260" t="s">
        <v>178</v>
      </c>
      <c r="AD509" s="776"/>
      <c r="AE509" s="776"/>
      <c r="AF509" s="776"/>
      <c r="AG509" s="776"/>
      <c r="AH509" s="776"/>
      <c r="AI509" s="776"/>
      <c r="AJ509" s="776"/>
      <c r="AK509" s="776"/>
      <c r="AL509" s="776"/>
      <c r="AM509" s="776"/>
      <c r="AN509" s="776"/>
      <c r="AO509" s="776"/>
      <c r="AP509" s="776"/>
      <c r="AQ509" s="776"/>
      <c r="AR509" s="776"/>
      <c r="AS509" s="776"/>
      <c r="AT509" s="776"/>
      <c r="AU509" s="776"/>
      <c r="AV509" s="776"/>
      <c r="AW509" s="776"/>
      <c r="AX509" s="776"/>
      <c r="AY509" s="776"/>
      <c r="AZ509" s="776"/>
      <c r="BA509" s="776"/>
      <c r="BB509" s="776"/>
      <c r="BC509" s="776"/>
      <c r="BD509" s="776"/>
      <c r="BE509" s="776"/>
      <c r="BF509" s="776"/>
      <c r="BG509" s="776"/>
      <c r="BH509" s="776"/>
      <c r="BI509" s="776"/>
      <c r="BJ509" s="776"/>
      <c r="BK509" s="776"/>
      <c r="BL509" s="776"/>
      <c r="BM509" s="776"/>
      <c r="BN509" s="776"/>
      <c r="BO509" s="776"/>
      <c r="BP509" s="777"/>
      <c r="BQ509" s="1278"/>
      <c r="BR509" s="1278"/>
      <c r="BS509" s="1064"/>
      <c r="BT509" s="1064"/>
      <c r="BU509" s="1064"/>
      <c r="BV509" s="703" t="s">
        <v>2731</v>
      </c>
      <c r="BW509" s="979"/>
    </row>
    <row s="7894" customFormat="1" customHeight="1" ht="20.25">
      <c r="A510" s="700"/>
      <c r="B510" s="435"/>
      <c r="C510" s="700"/>
      <c r="D510" s="700"/>
      <c r="E510" s="707">
        <v>21</v>
      </c>
      <c r="F510" s="50" cm="1" t="str">
        <f t="array" ref="F510:F510">OFFSET(E510,-1,1)</f>
        <v>3</v>
      </c>
      <c r="G510" s="700"/>
      <c r="H510" s="158"/>
      <c r="I510" s="158" t="s">
        <v>333</v>
      </c>
      <c r="J510" s="700"/>
      <c r="K510" s="158" t="s">
        <v>333</v>
      </c>
      <c r="L510" s="985"/>
      <c r="M510" s="109"/>
      <c r="N510" s="700"/>
      <c r="O510" s="700"/>
      <c r="P510" s="700"/>
      <c r="Q510" s="700"/>
      <c r="R510" s="700"/>
      <c r="S510" s="700"/>
      <c r="T510" s="465" cm="1" t="str">
        <f t="array" ref="T510:T510">T509</f>
        <v>true</v>
      </c>
      <c r="U510" s="700"/>
      <c r="V510" s="700"/>
      <c r="W510" s="700"/>
      <c r="X510" s="1563"/>
      <c r="Y510" s="700"/>
      <c r="Z510" s="1546"/>
      <c r="AA510" s="700"/>
      <c r="AB510" s="247" t="s">
        <v>285</v>
      </c>
      <c r="AC510" s="212" t="s">
        <v>2733</v>
      </c>
      <c r="AD510" s="234" t="s">
        <v>1514</v>
      </c>
      <c r="AE510" s="213">
        <f>AE511+AE523+AE524++AE535+AE536+AE537+AE539+AE540+AE541+AE542+AE545</f>
        <v>0</v>
      </c>
      <c r="AF510" s="213">
        <f>AF511+AF523+AF524++AF535+AF536+AF537+AF539+AF540+AF541+AF542+AF545</f>
        <v>0</v>
      </c>
      <c r="AG510" s="213">
        <f>AG511+AG523+AG524++AG535+AG536+AG537+AG539+AG540+AG541+AG542+AG545</f>
        <v>0</v>
      </c>
      <c r="AH510" s="761">
        <f>AG510-AF510</f>
        <v>0</v>
      </c>
      <c r="AI510" s="770">
        <f>AI511+AI523+AI524++AI535+AI536+AI537+AI539+AI540+AI541+AI542+AI545</f>
        <v>0</v>
      </c>
      <c r="AJ510" s="770">
        <f>AJ511+AJ523+AJ524++AJ535+AJ536+AJ537+AJ539+AJ540+AJ541+AJ542+AJ545</f>
        <v>2040.4990032</v>
      </c>
      <c r="AK510" s="770">
        <f>AK511+AK523+AK524++AK535+AK536+AK537+AK539+AK540+AK541+AK542+AK545</f>
        <v>2091.1622983248</v>
      </c>
      <c r="AL510" s="770">
        <f>AL511+AL523+AL524++AL535+AL536+AL537+AL539+AL540+AL541+AL542+AL545</f>
        <v>2161.3087023709</v>
      </c>
      <c r="AM510" s="770">
        <f>AM511+AM523+AM524++AM535+AM536+AM537+AM539+AM540+AM541+AM542+AM545</f>
        <v>2367.30350120242</v>
      </c>
      <c r="AN510" s="770">
        <f>AN511+AN523+AN524++AN535+AN536+AN537+AN539+AN540+AN541+AN542+AN545</f>
        <v>2389.12119455519</v>
      </c>
      <c r="AO510" s="770">
        <f>AO511+AO523+AO524++AO535+AO536+AO537+AO539+AO540+AO541+AO542+AO545</f>
        <v>0</v>
      </c>
      <c r="AP510" s="770">
        <f>AP511+AP523+AP524++AP535+AP536+AP537+AP539+AP540+AP541+AP542+AP545</f>
        <v>0</v>
      </c>
      <c r="AQ510" s="770">
        <f>AQ511+AQ523+AQ524++AQ535+AQ536+AQ537+AQ539+AQ540+AQ541+AQ542+AQ545</f>
        <v>0</v>
      </c>
      <c r="AR510" s="770">
        <f>AR511+AR523+AR524++AR535+AR536+AR537+AR539+AR540+AR541+AR542+AR545</f>
        <v>0</v>
      </c>
      <c r="AS510" s="770">
        <f>AS511+AS523+AS524++AS535+AS536+AS537+AS539+AS540+AS541+AS542+AS545</f>
        <v>0</v>
      </c>
      <c r="AT510" s="770">
        <f>AT511+AT523+AT524++AT535+AT536+AT537+AT539+AT540+AT541+AT542+AT545</f>
        <v>2040.5030168</v>
      </c>
      <c r="AU510" s="770">
        <f>AU511+AU523+AU524++AU535+AU536+AU537+AU539+AU540+AU541+AU542+AU545</f>
        <v>2091.1662124688</v>
      </c>
      <c r="AV510" s="770">
        <f>AV511+AV523+AV524++AV535+AV536+AV537+AV539+AV540+AV541+AV542+AV545</f>
        <v>2161.3117023709</v>
      </c>
      <c r="AW510" s="770">
        <f>AW511+AW523+AW524++AW535+AW536+AW537+AW539+AW540+AW541+AW542+AW545</f>
        <v>2367.30350120242</v>
      </c>
      <c r="AX510" s="770">
        <f>AX511+AX523+AX524++AX535+AX536+AX537+AX539+AX540+AX541+AX542+AX545</f>
        <v>2389.12119455519</v>
      </c>
      <c r="AY510" s="770">
        <f>AY511+AY523+AY524++AY535+AY536+AY537+AY539+AY540+AY541+AY542+AY545</f>
        <v>0</v>
      </c>
      <c r="AZ510" s="770">
        <f>AZ511+AZ523+AZ524++AZ535+AZ536+AZ537+AZ539+AZ540+AZ541+AZ542+AZ545</f>
        <v>0</v>
      </c>
      <c r="BA510" s="770">
        <f>BA511+BA523+BA524++BA535+BA536+BA537+BA539+BA540+BA541+BA542+BA545</f>
        <v>0</v>
      </c>
      <c r="BB510" s="770">
        <f>BB511+BB523+BB524++BB535+BB536+BB537+BB539+BB540+BB541+BB542+BB545</f>
        <v>0</v>
      </c>
      <c r="BC510" s="770">
        <f>BC511+BC523+BC524++BC535+BC536+BC537+BC539+BC540+BC541+BC542+BC545</f>
        <v>0</v>
      </c>
      <c r="BD510" s="761">
        <f>IF(AI510=0,0,(AT510-AI510)/AI510*100)</f>
        <v>0</v>
      </c>
      <c r="BE510" s="761">
        <f>IF(AT510=0,0,(AU510-AT510)/AT510*100)</f>
        <v>2.48287776355519</v>
      </c>
      <c r="BF510" s="761">
        <f>IF(AU510=0,0,(AV510-AU510)/AU510*100)</f>
        <v>3.35437180860374</v>
      </c>
      <c r="BG510" s="761">
        <f>IF(AV510=0,0,(AW510-AV510)/AV510*100)</f>
        <v>9.53086954582038</v>
      </c>
      <c r="BH510" s="761">
        <f>IF(AW510=0,0,(AX510-AW510)/AW510*100)</f>
        <v>0.921626371172431</v>
      </c>
      <c r="BI510" s="761">
        <f>IF(AX510=0,0,(AY510-AX510)/AX510*100)</f>
        <v>-100</v>
      </c>
      <c r="BJ510" s="761">
        <f>IF(AY510=0,0,(AZ510-AY510)/AY510*100)</f>
        <v>0</v>
      </c>
      <c r="BK510" s="761">
        <f>IF(AZ510=0,0,(BA510-AZ510)/AZ510*100)</f>
        <v>0</v>
      </c>
      <c r="BL510" s="761">
        <f>IF(BA510=0,0,(BB510-BA510)/BA510*100)</f>
        <v>0</v>
      </c>
      <c r="BM510" s="761">
        <f>IF(BB510=0,0,(BC510-BB510)/BB510*100)</f>
        <v>0</v>
      </c>
      <c r="BN510" s="7771"/>
      <c r="BO510" s="7771"/>
      <c r="BP510" s="7771"/>
      <c r="BQ510" s="160"/>
      <c r="BR510" s="700"/>
      <c r="BS510" s="1070" t="s">
        <v>2734</v>
      </c>
      <c r="BT510" s="1070"/>
      <c r="BU510" s="1070"/>
      <c r="BV510" s="707"/>
      <c r="BW510" s="707"/>
    </row>
    <row s="7895" customFormat="1" customHeight="1" ht="21.75">
      <c r="A511" s="700"/>
      <c r="B511" s="435"/>
      <c r="C511" s="700"/>
      <c r="D511" s="700"/>
      <c r="E511" s="707">
        <v>22.5</v>
      </c>
      <c r="F511" s="50" cm="1" t="str">
        <f t="array" ref="F511:F511">OFFSET(E511,-1,1)</f>
        <v>3</v>
      </c>
      <c r="G511" s="700"/>
      <c r="H511" s="158"/>
      <c r="I511" s="158" t="s">
        <v>1193</v>
      </c>
      <c r="J511" s="700"/>
      <c r="K511" s="158" t="s">
        <v>1193</v>
      </c>
      <c r="L511" s="985" t="s">
        <v>1179</v>
      </c>
      <c r="M511" s="109"/>
      <c r="N511" s="700"/>
      <c r="O511" s="700"/>
      <c r="P511" s="700"/>
      <c r="Q511" s="700"/>
      <c r="R511" s="700"/>
      <c r="S511" s="700"/>
      <c r="T511" s="465" cm="1" t="str">
        <f t="array" ref="T511:T511">T510</f>
        <v>true</v>
      </c>
      <c r="U511" s="700"/>
      <c r="V511" s="700"/>
      <c r="W511" s="700"/>
      <c r="X511" s="1563"/>
      <c r="Y511" s="700"/>
      <c r="Z511" s="1546"/>
      <c r="AA511" s="700"/>
      <c r="AB511" s="218" t="s">
        <v>1250</v>
      </c>
      <c r="AC511" s="361" t="s">
        <v>2735</v>
      </c>
      <c r="AD511" s="211" t="s">
        <v>1514</v>
      </c>
      <c r="AE511" s="213">
        <f>SUM(AE512:AE522)</f>
        <v>0</v>
      </c>
      <c r="AF511" s="213">
        <f>SUM(AF512:AF522)</f>
        <v>0</v>
      </c>
      <c r="AG511" s="213">
        <f>SUM(AG512:AG522)</f>
        <v>0</v>
      </c>
      <c r="AH511" s="761">
        <f>AG511-AF511</f>
        <v>0</v>
      </c>
      <c r="AI511" s="213">
        <f>SUM(AI512:AI522)</f>
        <v>0</v>
      </c>
      <c r="AJ511" s="213">
        <f>SUM(AJ512:AJ522)</f>
        <v>0</v>
      </c>
      <c r="AK511" s="213">
        <f>SUM(AK512:AK522)</f>
        <v>0</v>
      </c>
      <c r="AL511" s="213">
        <f>SUM(AL512:AL522)</f>
        <v>0</v>
      </c>
      <c r="AM511" s="213">
        <f>SUM(AM512:AM522)</f>
        <v>0</v>
      </c>
      <c r="AN511" s="213">
        <f>SUM(AN512:AN522)</f>
        <v>0</v>
      </c>
      <c r="AO511" s="213">
        <f>SUM(AO512:AO522)</f>
        <v>0</v>
      </c>
      <c r="AP511" s="213">
        <f>SUM(AP512:AP522)</f>
        <v>0</v>
      </c>
      <c r="AQ511" s="213">
        <f>SUM(AQ512:AQ522)</f>
        <v>0</v>
      </c>
      <c r="AR511" s="213">
        <f>SUM(AR512:AR522)</f>
        <v>0</v>
      </c>
      <c r="AS511" s="213">
        <f>SUM(AS512:AS522)</f>
        <v>0</v>
      </c>
      <c r="AT511" s="213">
        <f>SUM(AT512:AT522)</f>
        <v>0</v>
      </c>
      <c r="AU511" s="213">
        <f>SUM(AU512:AU522)</f>
        <v>0</v>
      </c>
      <c r="AV511" s="213">
        <f>SUM(AV512:AV522)</f>
        <v>0</v>
      </c>
      <c r="AW511" s="213">
        <f>SUM(AW512:AW522)</f>
        <v>0</v>
      </c>
      <c r="AX511" s="213">
        <f>SUM(AX512:AX522)</f>
        <v>0</v>
      </c>
      <c r="AY511" s="213">
        <f>SUM(AY512:AY522)</f>
        <v>0</v>
      </c>
      <c r="AZ511" s="213">
        <f>SUM(AZ512:AZ522)</f>
        <v>0</v>
      </c>
      <c r="BA511" s="213">
        <f>SUM(BA512:BA522)</f>
        <v>0</v>
      </c>
      <c r="BB511" s="213">
        <f>SUM(BB512:BB522)</f>
        <v>0</v>
      </c>
      <c r="BC511" s="213">
        <f>SUM(BC512:BC522)</f>
        <v>0</v>
      </c>
      <c r="BD511" s="761">
        <f>IF(AI511=0,0,(AT511-AI511)/AI511*100)</f>
        <v>0</v>
      </c>
      <c r="BE511" s="761">
        <f>IF(AT511=0,0,(AU511-AT511)/AT511*100)</f>
        <v>0</v>
      </c>
      <c r="BF511" s="761">
        <f>IF(AU511=0,0,(AV511-AU511)/AU511*100)</f>
        <v>0</v>
      </c>
      <c r="BG511" s="761">
        <f>IF(AV511=0,0,(AW511-AV511)/AV511*100)</f>
        <v>0</v>
      </c>
      <c r="BH511" s="761">
        <f>IF(AW511=0,0,(AX511-AW511)/AW511*100)</f>
        <v>0</v>
      </c>
      <c r="BI511" s="761">
        <f>IF(AX511=0,0,(AY511-AX511)/AX511*100)</f>
        <v>0</v>
      </c>
      <c r="BJ511" s="761">
        <f>IF(AY511=0,0,(AZ511-AY511)/AY511*100)</f>
        <v>0</v>
      </c>
      <c r="BK511" s="761">
        <f>IF(AZ511=0,0,(BA511-AZ511)/AZ511*100)</f>
        <v>0</v>
      </c>
      <c r="BL511" s="761">
        <f>IF(BA511=0,0,(BB511-BA511)/BA511*100)</f>
        <v>0</v>
      </c>
      <c r="BM511" s="761">
        <f>IF(BB511=0,0,(BC511-BB511)/BB511*100)</f>
        <v>0</v>
      </c>
      <c r="BN511" s="7436"/>
      <c r="BO511" s="7436"/>
      <c r="BP511" s="7436"/>
      <c r="BQ511" s="700"/>
      <c r="BR511" s="700"/>
      <c r="BS511" s="1070" t="s">
        <v>2736</v>
      </c>
      <c r="BT511" s="1070"/>
      <c r="BU511" s="1070"/>
      <c r="BV511" s="707"/>
      <c r="BW511" s="707"/>
    </row>
    <row s="1834" customFormat="1" customHeight="1" ht="14.25">
      <c r="A512" s="1278"/>
      <c r="B512" s="978"/>
      <c r="C512" s="1278"/>
      <c r="D512" s="1278"/>
      <c r="E512" s="703">
        <v>15</v>
      </c>
      <c r="F512" s="50" cm="1" t="str">
        <f t="array" ref="F512:F512">OFFSET(E512,-1,1)</f>
        <v>3</v>
      </c>
      <c r="G512" s="158" t="s">
        <v>1819</v>
      </c>
      <c r="H512" s="1278"/>
      <c r="I512" s="158" t="s">
        <v>2295</v>
      </c>
      <c r="J512" s="1278"/>
      <c r="K512" s="158" t="s">
        <v>2295</v>
      </c>
      <c r="L512" s="980" t="s">
        <v>2071</v>
      </c>
      <c r="M512" s="107"/>
      <c r="N512" s="1278"/>
      <c r="O512" s="1278"/>
      <c r="P512" s="1278"/>
      <c r="Q512" s="1278"/>
      <c r="R512" s="1278"/>
      <c r="S512" s="1278"/>
      <c r="T512" s="465" cm="1" t="str">
        <f t="array" ref="T512:T512">T511</f>
        <v>true</v>
      </c>
      <c r="U512" s="1278"/>
      <c r="V512" s="1278"/>
      <c r="W512" s="1278"/>
      <c r="X512" s="1563"/>
      <c r="Y512" s="1278"/>
      <c r="Z512" s="1546"/>
      <c r="AA512" s="1278"/>
      <c r="AB512" s="299" t="s">
        <v>1201</v>
      </c>
      <c r="AC512" s="765" t="s">
        <v>2737</v>
      </c>
      <c r="AD512" s="300" t="s">
        <v>1514</v>
      </c>
      <c r="AE512" s="259">
        <f>_xlfn.SUMIFS(Покупка!AE$25:AE$372,Покупка!$F$25:$F$372,$F512,Покупка!$AC$25:$AC$372,$G512)</f>
        <v>0</v>
      </c>
      <c r="AF512" s="259">
        <f>_xlfn.SUMIFS(Покупка!AF$25:AF$372,Покупка!$F$25:$F$372,$F512,Покупка!$AC$25:$AC$372,$G512)</f>
        <v>0</v>
      </c>
      <c r="AG512" s="259">
        <f>_xlfn.SUMIFS(Покупка!AG$25:AG$372,Покупка!$F$25:$F$372,$F512,Покупка!$AC$25:$AC$372,$G512)</f>
        <v>0</v>
      </c>
      <c r="AH512" s="943">
        <f>AG512-AF512</f>
        <v>0</v>
      </c>
      <c r="AI512" s="943">
        <f>_xlfn.SUMIFS(Покупка!AH$25:AH$372,Покупка!$F$25:$F$372,$F512,Покупка!$AC$25:$AC$372,$G512)</f>
        <v>0</v>
      </c>
      <c r="AJ512" s="943">
        <f>_xlfn.SUMIFS(Покупка!AI$25:AI$372,Покупка!$F$25:$F$372,$F512,Покупка!$AC$25:$AC$372,$G512)</f>
        <v>0</v>
      </c>
      <c r="AK512" s="943">
        <f>_xlfn.SUMIFS(Покупка!AJ$25:AJ$372,Покупка!$F$25:$F$372,$F512,Покупка!$AC$25:$AC$372,$G512)</f>
        <v>0</v>
      </c>
      <c r="AL512" s="943">
        <f>_xlfn.SUMIFS(Покупка!AK$25:AK$372,Покупка!$F$25:$F$372,$F512,Покупка!$AC$25:$AC$372,$G512)</f>
        <v>0</v>
      </c>
      <c r="AM512" s="943">
        <f>_xlfn.SUMIFS(Покупка!AL$25:AL$372,Покупка!$F$25:$F$372,$F512,Покупка!$AC$25:$AC$372,$G512)</f>
        <v>0</v>
      </c>
      <c r="AN512" s="943">
        <f>_xlfn.SUMIFS(Покупка!AM$25:AM$372,Покупка!$F$25:$F$372,$F512,Покупка!$AC$25:$AC$372,$G512)</f>
        <v>0</v>
      </c>
      <c r="AO512" s="943">
        <f>_xlfn.SUMIFS(Покупка!AN$25:AN$372,Покупка!$F$25:$F$372,$F512,Покупка!$AC$25:$AC$372,$G512)</f>
        <v>0</v>
      </c>
      <c r="AP512" s="943">
        <f>_xlfn.SUMIFS(Покупка!AO$25:AO$372,Покупка!$F$25:$F$372,$F512,Покупка!$AC$25:$AC$372,$G512)</f>
        <v>0</v>
      </c>
      <c r="AQ512" s="943">
        <f>_xlfn.SUMIFS(Покупка!AP$25:AP$372,Покупка!$F$25:$F$372,$F512,Покупка!$AC$25:$AC$372,$G512)</f>
        <v>0</v>
      </c>
      <c r="AR512" s="943">
        <f>_xlfn.SUMIFS(Покупка!AQ$25:AQ$372,Покупка!$F$25:$F$372,$F512,Покупка!$AC$25:$AC$372,$G512)</f>
        <v>0</v>
      </c>
      <c r="AS512" s="943">
        <f>_xlfn.SUMIFS(Покупка!AR$25:AR$372,Покупка!$F$25:$F$372,$F512,Покупка!$AC$25:$AC$372,$G512)</f>
        <v>0</v>
      </c>
      <c r="AT512" s="943">
        <f>_xlfn.SUMIFS(Покупка!AS$25:AS$372,Покупка!$F$25:$F$372,$F512,Покупка!$AC$25:$AC$372,$G512)</f>
        <v>0</v>
      </c>
      <c r="AU512" s="943">
        <f>_xlfn.SUMIFS(Покупка!AT$25:AT$372,Покупка!$F$25:$F$372,$F512,Покупка!$AC$25:$AC$372,$G512)</f>
        <v>0</v>
      </c>
      <c r="AV512" s="943">
        <f>_xlfn.SUMIFS(Покупка!AU$25:AU$372,Покупка!$F$25:$F$372,$F512,Покупка!$AC$25:$AC$372,$G512)</f>
        <v>0</v>
      </c>
      <c r="AW512" s="943">
        <f>_xlfn.SUMIFS(Покупка!AV$25:AV$372,Покупка!$F$25:$F$372,$F512,Покупка!$AC$25:$AC$372,$G512)</f>
        <v>0</v>
      </c>
      <c r="AX512" s="943">
        <f>_xlfn.SUMIFS(Покупка!AW$25:AW$372,Покупка!$F$25:$F$372,$F512,Покупка!$AC$25:$AC$372,$G512)</f>
        <v>0</v>
      </c>
      <c r="AY512" s="943">
        <f>_xlfn.SUMIFS(Покупка!AX$25:AX$372,Покупка!$F$25:$F$372,$F512,Покупка!$AC$25:$AC$372,$G512)</f>
        <v>0</v>
      </c>
      <c r="AZ512" s="943">
        <f>_xlfn.SUMIFS(Покупка!AY$25:AY$372,Покупка!$F$25:$F$372,$F512,Покупка!$AC$25:$AC$372,$G512)</f>
        <v>0</v>
      </c>
      <c r="BA512" s="943">
        <f>_xlfn.SUMIFS(Покупка!AZ$25:AZ$372,Покупка!$F$25:$F$372,$F512,Покупка!$AC$25:$AC$372,$G512)</f>
        <v>0</v>
      </c>
      <c r="BB512" s="943">
        <f>_xlfn.SUMIFS(Покупка!BA$25:BA$372,Покупка!$F$25:$F$372,$F512,Покупка!$AC$25:$AC$372,$G512)</f>
        <v>0</v>
      </c>
      <c r="BC512" s="943">
        <f>_xlfn.SUMIFS(Покупка!BB$25:BB$372,Покупка!$F$25:$F$372,$F512,Покупка!$AC$25:$AC$372,$G512)</f>
        <v>0</v>
      </c>
      <c r="BD512" s="943">
        <f>IF(AI512=0,0,(AT512-AI512)/AI512*100)</f>
        <v>0</v>
      </c>
      <c r="BE512" s="943">
        <f>IF(AT512=0,0,(AU512-AT512)/AT512*100)</f>
        <v>0</v>
      </c>
      <c r="BF512" s="943">
        <f>IF(AU512=0,0,(AV512-AU512)/AU512*100)</f>
        <v>0</v>
      </c>
      <c r="BG512" s="943">
        <f>IF(AV512=0,0,(AW512-AV512)/AV512*100)</f>
        <v>0</v>
      </c>
      <c r="BH512" s="943">
        <f>IF(AW512=0,0,(AX512-AW512)/AW512*100)</f>
        <v>0</v>
      </c>
      <c r="BI512" s="943">
        <f>IF(AX512=0,0,(AY512-AX512)/AX512*100)</f>
        <v>0</v>
      </c>
      <c r="BJ512" s="943">
        <f>IF(AY512=0,0,(AZ512-AY512)/AY512*100)</f>
        <v>0</v>
      </c>
      <c r="BK512" s="943">
        <f>IF(AZ512=0,0,(BA512-AZ512)/AZ512*100)</f>
        <v>0</v>
      </c>
      <c r="BL512" s="943">
        <f>IF(BA512=0,0,(BB512-BA512)/BA512*100)</f>
        <v>0</v>
      </c>
      <c r="BM512" s="943">
        <f>IF(BB512=0,0,(BC512-BB512)/BB512*100)</f>
        <v>0</v>
      </c>
      <c r="BN512" s="7771"/>
      <c r="BO512" s="7724" t="str">
        <f>IF(_xlfn.IFERROR(INDEX(Покупка!$K$26:$L$372,MATCH($F512&amp;"6komm",Покупка!$K$26:$K$372,0),2),"")=0,"",_xlfn.IFERROR(INDEX(Покупка!$K$26:$L$372,MATCH($F512&amp;"6komm",Покупка!$K$26:$K$372,0),2),""))</f>
        <v/>
      </c>
      <c r="BP512" s="7771"/>
      <c r="BQ512" s="1278"/>
      <c r="BR512" s="1278"/>
      <c r="BS512" s="1064" t="s">
        <v>1820</v>
      </c>
      <c r="BT512" s="1064"/>
      <c r="BU512" s="1064"/>
      <c r="BV512" s="979"/>
      <c r="BW512" s="979"/>
    </row>
    <row s="1834" customFormat="1" customHeight="1" ht="14.25">
      <c r="A513" s="1278"/>
      <c r="B513" s="96"/>
      <c r="C513" s="107"/>
      <c r="D513" s="107"/>
      <c r="E513" s="621">
        <v>15</v>
      </c>
      <c r="F513" s="50" cm="1" t="str">
        <f t="array" ref="F513:F513">OFFSET(E513,-1,1)</f>
        <v>3</v>
      </c>
      <c r="G513" s="107" t="s">
        <v>1841</v>
      </c>
      <c r="H513" s="107"/>
      <c r="I513" s="107" t="s">
        <v>2299</v>
      </c>
      <c r="J513" s="107"/>
      <c r="K513" s="107" t="s">
        <v>2299</v>
      </c>
      <c r="L513" s="980" t="s">
        <v>2075</v>
      </c>
      <c r="M513" s="107"/>
      <c r="N513" s="107"/>
      <c r="O513" s="107"/>
      <c r="P513" s="107"/>
      <c r="Q513" s="107"/>
      <c r="R513" s="107"/>
      <c r="S513" s="107"/>
      <c r="T513" s="465" cm="1" t="str">
        <f t="array" ref="T513:T513">T512</f>
        <v>true</v>
      </c>
      <c r="U513" s="107"/>
      <c r="V513" s="107"/>
      <c r="W513" s="1278"/>
      <c r="X513" s="1563"/>
      <c r="Y513" s="1278"/>
      <c r="Z513" s="1546"/>
      <c r="AA513" s="1278"/>
      <c r="AB513" s="299" t="s">
        <v>2738</v>
      </c>
      <c r="AC513" s="765" t="s">
        <v>2739</v>
      </c>
      <c r="AD513" s="300" t="s">
        <v>1514</v>
      </c>
      <c r="AE513" s="259">
        <f>_xlfn.SUMIFS(Покупка!AE$25:AE$372,Покупка!$F$25:$F$372,$F513,Покупка!$AC$25:$AC$372,$G513)</f>
        <v>0</v>
      </c>
      <c r="AF513" s="259">
        <f>_xlfn.SUMIFS(Покупка!AF$25:AF$372,Покупка!$F$25:$F$372,$F513,Покупка!$AC$25:$AC$372,$G513)</f>
        <v>0</v>
      </c>
      <c r="AG513" s="259">
        <f>_xlfn.SUMIFS(Покупка!AG$25:AG$372,Покупка!$F$25:$F$372,$F513,Покупка!$AC$25:$AC$372,$G513)</f>
        <v>0</v>
      </c>
      <c r="AH513" s="943">
        <f>AG513-AF513</f>
        <v>0</v>
      </c>
      <c r="AI513" s="943">
        <f>_xlfn.SUMIFS(Покупка!AH$25:AH$372,Покупка!$F$25:$F$372,$F513,Покупка!$AC$25:$AC$372,$G513)</f>
        <v>0</v>
      </c>
      <c r="AJ513" s="943">
        <f>_xlfn.SUMIFS(Покупка!AI$25:AI$372,Покупка!$F$25:$F$372,$F513,Покупка!$AC$25:$AC$372,$G513)</f>
        <v>0</v>
      </c>
      <c r="AK513" s="943">
        <f>_xlfn.SUMIFS(Покупка!AJ$25:AJ$372,Покупка!$F$25:$F$372,$F513,Покупка!$AC$25:$AC$372,$G513)</f>
        <v>0</v>
      </c>
      <c r="AL513" s="943">
        <f>_xlfn.SUMIFS(Покупка!AK$25:AK$372,Покупка!$F$25:$F$372,$F513,Покупка!$AC$25:$AC$372,$G513)</f>
        <v>0</v>
      </c>
      <c r="AM513" s="943">
        <f>_xlfn.SUMIFS(Покупка!AL$25:AL$372,Покупка!$F$25:$F$372,$F513,Покупка!$AC$25:$AC$372,$G513)</f>
        <v>0</v>
      </c>
      <c r="AN513" s="943">
        <f>_xlfn.SUMIFS(Покупка!AM$25:AM$372,Покупка!$F$25:$F$372,$F513,Покупка!$AC$25:$AC$372,$G513)</f>
        <v>0</v>
      </c>
      <c r="AO513" s="943">
        <f>_xlfn.SUMIFS(Покупка!AN$25:AN$372,Покупка!$F$25:$F$372,$F513,Покупка!$AC$25:$AC$372,$G513)</f>
        <v>0</v>
      </c>
      <c r="AP513" s="943">
        <f>_xlfn.SUMIFS(Покупка!AO$25:AO$372,Покупка!$F$25:$F$372,$F513,Покупка!$AC$25:$AC$372,$G513)</f>
        <v>0</v>
      </c>
      <c r="AQ513" s="943">
        <f>_xlfn.SUMIFS(Покупка!AP$25:AP$372,Покупка!$F$25:$F$372,$F513,Покупка!$AC$25:$AC$372,$G513)</f>
        <v>0</v>
      </c>
      <c r="AR513" s="943">
        <f>_xlfn.SUMIFS(Покупка!AQ$25:AQ$372,Покупка!$F$25:$F$372,$F513,Покупка!$AC$25:$AC$372,$G513)</f>
        <v>0</v>
      </c>
      <c r="AS513" s="943">
        <f>_xlfn.SUMIFS(Покупка!AR$25:AR$372,Покупка!$F$25:$F$372,$F513,Покупка!$AC$25:$AC$372,$G513)</f>
        <v>0</v>
      </c>
      <c r="AT513" s="943">
        <f>_xlfn.SUMIFS(Покупка!AS$25:AS$372,Покупка!$F$25:$F$372,$F513,Покупка!$AC$25:$AC$372,$G513)</f>
        <v>0</v>
      </c>
      <c r="AU513" s="943">
        <f>_xlfn.SUMIFS(Покупка!AT$25:AT$372,Покупка!$F$25:$F$372,$F513,Покупка!$AC$25:$AC$372,$G513)</f>
        <v>0</v>
      </c>
      <c r="AV513" s="943">
        <f>_xlfn.SUMIFS(Покупка!AU$25:AU$372,Покупка!$F$25:$F$372,$F513,Покупка!$AC$25:$AC$372,$G513)</f>
        <v>0</v>
      </c>
      <c r="AW513" s="943">
        <f>_xlfn.SUMIFS(Покупка!AV$25:AV$372,Покупка!$F$25:$F$372,$F513,Покупка!$AC$25:$AC$372,$G513)</f>
        <v>0</v>
      </c>
      <c r="AX513" s="943">
        <f>_xlfn.SUMIFS(Покупка!AW$25:AW$372,Покупка!$F$25:$F$372,$F513,Покупка!$AC$25:$AC$372,$G513)</f>
        <v>0</v>
      </c>
      <c r="AY513" s="943">
        <f>_xlfn.SUMIFS(Покупка!AX$25:AX$372,Покупка!$F$25:$F$372,$F513,Покупка!$AC$25:$AC$372,$G513)</f>
        <v>0</v>
      </c>
      <c r="AZ513" s="943">
        <f>_xlfn.SUMIFS(Покупка!AY$25:AY$372,Покупка!$F$25:$F$372,$F513,Покупка!$AC$25:$AC$372,$G513)</f>
        <v>0</v>
      </c>
      <c r="BA513" s="943">
        <f>_xlfn.SUMIFS(Покупка!AZ$25:AZ$372,Покупка!$F$25:$F$372,$F513,Покупка!$AC$25:$AC$372,$G513)</f>
        <v>0</v>
      </c>
      <c r="BB513" s="943">
        <f>_xlfn.SUMIFS(Покупка!BA$25:BA$372,Покупка!$F$25:$F$372,$F513,Покупка!$AC$25:$AC$372,$G513)</f>
        <v>0</v>
      </c>
      <c r="BC513" s="943">
        <f>_xlfn.SUMIFS(Покупка!BB$25:BB$372,Покупка!$F$25:$F$372,$F513,Покупка!$AC$25:$AC$372,$G513)</f>
        <v>0</v>
      </c>
      <c r="BD513" s="943">
        <f>IF(AI513=0,0,(AT513-AI513)/AI513*100)</f>
        <v>0</v>
      </c>
      <c r="BE513" s="943">
        <f>IF(AT513=0,0,(AU513-AT513)/AT513*100)</f>
        <v>0</v>
      </c>
      <c r="BF513" s="943">
        <f>IF(AU513=0,0,(AV513-AU513)/AU513*100)</f>
        <v>0</v>
      </c>
      <c r="BG513" s="943">
        <f>IF(AV513=0,0,(AW513-AV513)/AV513*100)</f>
        <v>0</v>
      </c>
      <c r="BH513" s="943">
        <f>IF(AW513=0,0,(AX513-AW513)/AW513*100)</f>
        <v>0</v>
      </c>
      <c r="BI513" s="943">
        <f>IF(AX513=0,0,(AY513-AX513)/AX513*100)</f>
        <v>0</v>
      </c>
      <c r="BJ513" s="943">
        <f>IF(AY513=0,0,(AZ513-AY513)/AY513*100)</f>
        <v>0</v>
      </c>
      <c r="BK513" s="943">
        <f>IF(AZ513=0,0,(BA513-AZ513)/AZ513*100)</f>
        <v>0</v>
      </c>
      <c r="BL513" s="943">
        <f>IF(BA513=0,0,(BB513-BA513)/BA513*100)</f>
        <v>0</v>
      </c>
      <c r="BM513" s="943">
        <f>IF(BB513=0,0,(BC513-BB513)/BB513*100)</f>
        <v>0</v>
      </c>
      <c r="BN513" s="7771"/>
      <c r="BO513" s="7724" t="str">
        <f>IF(_xlfn.IFERROR(INDEX(Покупка!$K$26:$L$372,MATCH($F513&amp;"7komm",Покупка!$K$26:$K$372,0),2),"")=0,"",_xlfn.IFERROR(INDEX(Покупка!$K$26:$L$372,MATCH($F513&amp;"7komm",Покупка!$K$26:$K$372,0),2),""))</f>
        <v/>
      </c>
      <c r="BP513" s="7771"/>
      <c r="BQ513" s="1278"/>
      <c r="BR513" s="1278"/>
      <c r="BS513" s="1064" t="s">
        <v>1842</v>
      </c>
      <c r="BT513" s="1064"/>
      <c r="BU513" s="1064"/>
      <c r="BV513" s="979"/>
      <c r="BW513" s="979"/>
    </row>
    <row s="1834" customFormat="1" customHeight="1" ht="14.25">
      <c r="A514" s="1278"/>
      <c r="B514" s="96"/>
      <c r="C514" s="107"/>
      <c r="D514" s="107"/>
      <c r="E514" s="621">
        <v>15</v>
      </c>
      <c r="F514" s="50" cm="1" t="str">
        <f t="array" ref="F514:F514">OFFSET(E514,-1,1)</f>
        <v>3</v>
      </c>
      <c r="G514" s="107" t="s">
        <v>1793</v>
      </c>
      <c r="H514" s="107"/>
      <c r="I514" s="107" t="s">
        <v>2374</v>
      </c>
      <c r="J514" s="107"/>
      <c r="K514" s="107" t="s">
        <v>2374</v>
      </c>
      <c r="L514" s="980" t="s">
        <v>2244</v>
      </c>
      <c r="M514" s="107"/>
      <c r="N514" s="107"/>
      <c r="O514" s="107"/>
      <c r="P514" s="107"/>
      <c r="Q514" s="107"/>
      <c r="R514" s="107"/>
      <c r="S514" s="107"/>
      <c r="T514" s="465" cm="1" t="str">
        <f t="array" ref="T514:T514">T513</f>
        <v>true</v>
      </c>
      <c r="U514" s="107"/>
      <c r="V514" s="107"/>
      <c r="W514" s="1278"/>
      <c r="X514" s="1563"/>
      <c r="Y514" s="1278"/>
      <c r="Z514" s="1546"/>
      <c r="AA514" s="1278"/>
      <c r="AB514" s="299" t="s">
        <v>2740</v>
      </c>
      <c r="AC514" s="765" t="s">
        <v>2741</v>
      </c>
      <c r="AD514" s="300" t="s">
        <v>1514</v>
      </c>
      <c r="AE514" s="259">
        <f>_xlfn.SUMIFS(Покупка!AE$25:AE$372,Покупка!$F$25:$F$372,$F514,Покупка!$AC$25:$AC$372,$G514)</f>
        <v>0</v>
      </c>
      <c r="AF514" s="259">
        <f>_xlfn.SUMIFS(Покупка!AF$25:AF$372,Покупка!$F$25:$F$372,$F514,Покупка!$AC$25:$AC$372,$G514)</f>
        <v>0</v>
      </c>
      <c r="AG514" s="259">
        <f>_xlfn.SUMIFS(Покупка!AG$25:AG$372,Покупка!$F$25:$F$372,$F514,Покупка!$AC$25:$AC$372,$G514)</f>
        <v>0</v>
      </c>
      <c r="AH514" s="943">
        <f>AG514-AF514</f>
        <v>0</v>
      </c>
      <c r="AI514" s="943">
        <f>_xlfn.SUMIFS(Покупка!AH$25:AH$372,Покупка!$F$25:$F$372,$F514,Покупка!$AC$25:$AC$372,$G514)</f>
        <v>0</v>
      </c>
      <c r="AJ514" s="943">
        <f>_xlfn.SUMIFS(Покупка!AI$25:AI$372,Покупка!$F$25:$F$372,$F514,Покупка!$AC$25:$AC$372,$G514)</f>
        <v>0</v>
      </c>
      <c r="AK514" s="943">
        <f>_xlfn.SUMIFS(Покупка!AJ$25:AJ$372,Покупка!$F$25:$F$372,$F514,Покупка!$AC$25:$AC$372,$G514)</f>
        <v>0</v>
      </c>
      <c r="AL514" s="943">
        <f>_xlfn.SUMIFS(Покупка!AK$25:AK$372,Покупка!$F$25:$F$372,$F514,Покупка!$AC$25:$AC$372,$G514)</f>
        <v>0</v>
      </c>
      <c r="AM514" s="943">
        <f>_xlfn.SUMIFS(Покупка!AL$25:AL$372,Покупка!$F$25:$F$372,$F514,Покупка!$AC$25:$AC$372,$G514)</f>
        <v>0</v>
      </c>
      <c r="AN514" s="943">
        <f>_xlfn.SUMIFS(Покупка!AM$25:AM$372,Покупка!$F$25:$F$372,$F514,Покупка!$AC$25:$AC$372,$G514)</f>
        <v>0</v>
      </c>
      <c r="AO514" s="943">
        <f>_xlfn.SUMIFS(Покупка!AN$25:AN$372,Покупка!$F$25:$F$372,$F514,Покупка!$AC$25:$AC$372,$G514)</f>
        <v>0</v>
      </c>
      <c r="AP514" s="943">
        <f>_xlfn.SUMIFS(Покупка!AO$25:AO$372,Покупка!$F$25:$F$372,$F514,Покупка!$AC$25:$AC$372,$G514)</f>
        <v>0</v>
      </c>
      <c r="AQ514" s="943">
        <f>_xlfn.SUMIFS(Покупка!AP$25:AP$372,Покупка!$F$25:$F$372,$F514,Покупка!$AC$25:$AC$372,$G514)</f>
        <v>0</v>
      </c>
      <c r="AR514" s="943">
        <f>_xlfn.SUMIFS(Покупка!AQ$25:AQ$372,Покупка!$F$25:$F$372,$F514,Покупка!$AC$25:$AC$372,$G514)</f>
        <v>0</v>
      </c>
      <c r="AS514" s="943">
        <f>_xlfn.SUMIFS(Покупка!AR$25:AR$372,Покупка!$F$25:$F$372,$F514,Покупка!$AC$25:$AC$372,$G514)</f>
        <v>0</v>
      </c>
      <c r="AT514" s="943">
        <f>_xlfn.SUMIFS(Покупка!AS$25:AS$372,Покупка!$F$25:$F$372,$F514,Покупка!$AC$25:$AC$372,$G514)</f>
        <v>0</v>
      </c>
      <c r="AU514" s="943">
        <f>_xlfn.SUMIFS(Покупка!AT$25:AT$372,Покупка!$F$25:$F$372,$F514,Покупка!$AC$25:$AC$372,$G514)</f>
        <v>0</v>
      </c>
      <c r="AV514" s="943">
        <f>_xlfn.SUMIFS(Покупка!AU$25:AU$372,Покупка!$F$25:$F$372,$F514,Покупка!$AC$25:$AC$372,$G514)</f>
        <v>0</v>
      </c>
      <c r="AW514" s="943">
        <f>_xlfn.SUMIFS(Покупка!AV$25:AV$372,Покупка!$F$25:$F$372,$F514,Покупка!$AC$25:$AC$372,$G514)</f>
        <v>0</v>
      </c>
      <c r="AX514" s="943">
        <f>_xlfn.SUMIFS(Покупка!AW$25:AW$372,Покупка!$F$25:$F$372,$F514,Покупка!$AC$25:$AC$372,$G514)</f>
        <v>0</v>
      </c>
      <c r="AY514" s="943">
        <f>_xlfn.SUMIFS(Покупка!AX$25:AX$372,Покупка!$F$25:$F$372,$F514,Покупка!$AC$25:$AC$372,$G514)</f>
        <v>0</v>
      </c>
      <c r="AZ514" s="943">
        <f>_xlfn.SUMIFS(Покупка!AY$25:AY$372,Покупка!$F$25:$F$372,$F514,Покупка!$AC$25:$AC$372,$G514)</f>
        <v>0</v>
      </c>
      <c r="BA514" s="943">
        <f>_xlfn.SUMIFS(Покупка!AZ$25:AZ$372,Покупка!$F$25:$F$372,$F514,Покупка!$AC$25:$AC$372,$G514)</f>
        <v>0</v>
      </c>
      <c r="BB514" s="943">
        <f>_xlfn.SUMIFS(Покупка!BA$25:BA$372,Покупка!$F$25:$F$372,$F514,Покупка!$AC$25:$AC$372,$G514)</f>
        <v>0</v>
      </c>
      <c r="BC514" s="943">
        <f>_xlfn.SUMIFS(Покупка!BB$25:BB$372,Покупка!$F$25:$F$372,$F514,Покупка!$AC$25:$AC$372,$G514)</f>
        <v>0</v>
      </c>
      <c r="BD514" s="943">
        <f>IF(AI514=0,0,(AT514-AI514)/AI514*100)</f>
        <v>0</v>
      </c>
      <c r="BE514" s="943">
        <f>IF(AT514=0,0,(AU514-AT514)/AT514*100)</f>
        <v>0</v>
      </c>
      <c r="BF514" s="943">
        <f>IF(AU514=0,0,(AV514-AU514)/AU514*100)</f>
        <v>0</v>
      </c>
      <c r="BG514" s="943">
        <f>IF(AV514=0,0,(AW514-AV514)/AV514*100)</f>
        <v>0</v>
      </c>
      <c r="BH514" s="943">
        <f>IF(AW514=0,0,(AX514-AW514)/AW514*100)</f>
        <v>0</v>
      </c>
      <c r="BI514" s="943">
        <f>IF(AX514=0,0,(AY514-AX514)/AX514*100)</f>
        <v>0</v>
      </c>
      <c r="BJ514" s="943">
        <f>IF(AY514=0,0,(AZ514-AY514)/AY514*100)</f>
        <v>0</v>
      </c>
      <c r="BK514" s="943">
        <f>IF(AZ514=0,0,(BA514-AZ514)/AZ514*100)</f>
        <v>0</v>
      </c>
      <c r="BL514" s="943">
        <f>IF(BA514=0,0,(BB514-BA514)/BA514*100)</f>
        <v>0</v>
      </c>
      <c r="BM514" s="943">
        <f>IF(BB514=0,0,(BC514-BB514)/BB514*100)</f>
        <v>0</v>
      </c>
      <c r="BN514" s="7771"/>
      <c r="BO514" s="7724" t="str">
        <f>IF(_xlfn.IFERROR(INDEX(Покупка!$K$26:$L$372,MATCH($F514&amp;"2komm",Покупка!$K$26:$K$372,0),2),"")=0,"",_xlfn.IFERROR(INDEX(Покупка!$K$26:$L$372,MATCH($F514&amp;"2komm",Покупка!$K$26:$K$372,0),2),""))</f>
        <v/>
      </c>
      <c r="BP514" s="7771"/>
      <c r="BQ514" s="1278"/>
      <c r="BR514" s="1278"/>
      <c r="BS514" s="1064" t="s">
        <v>2742</v>
      </c>
      <c r="BT514" s="1064"/>
      <c r="BU514" s="1064"/>
      <c r="BV514" s="979"/>
      <c r="BW514" s="979"/>
    </row>
    <row s="1834" customFormat="1" customHeight="1" ht="14.25">
      <c r="A515" s="1278"/>
      <c r="B515" s="96"/>
      <c r="C515" s="107"/>
      <c r="D515" s="107"/>
      <c r="E515" s="621">
        <v>15</v>
      </c>
      <c r="F515" s="50" cm="1" t="str">
        <f t="array" ref="F515:F515">OFFSET(E515,-1,1)</f>
        <v>3</v>
      </c>
      <c r="G515" s="107" t="s">
        <v>1780</v>
      </c>
      <c r="H515" s="107"/>
      <c r="I515" s="107" t="s">
        <v>2376</v>
      </c>
      <c r="J515" s="107"/>
      <c r="K515" s="107" t="s">
        <v>2376</v>
      </c>
      <c r="L515" s="980" t="s">
        <v>2239</v>
      </c>
      <c r="M515" s="107"/>
      <c r="N515" s="107"/>
      <c r="O515" s="107"/>
      <c r="P515" s="107"/>
      <c r="Q515" s="107"/>
      <c r="R515" s="107"/>
      <c r="S515" s="107"/>
      <c r="T515" s="465" cm="1" t="str">
        <f t="array" ref="T515:T515">T514</f>
        <v>true</v>
      </c>
      <c r="U515" s="107"/>
      <c r="V515" s="107"/>
      <c r="W515" s="1278"/>
      <c r="X515" s="1563"/>
      <c r="Y515" s="1278"/>
      <c r="Z515" s="1546"/>
      <c r="AA515" s="1278"/>
      <c r="AB515" s="299" t="s">
        <v>2743</v>
      </c>
      <c r="AC515" s="765" t="s">
        <v>2744</v>
      </c>
      <c r="AD515" s="300" t="s">
        <v>1514</v>
      </c>
      <c r="AE515" s="259">
        <f>_xlfn.SUMIFS(Покупка!AE$25:AE$372,Покупка!$F$25:$F$372,$F515,Покупка!$AC$25:$AC$372,$G515)</f>
        <v>0</v>
      </c>
      <c r="AF515" s="259">
        <f>_xlfn.SUMIFS(Покупка!AF$25:AF$372,Покупка!$F$25:$F$372,$F515,Покупка!$AC$25:$AC$372,$G515)</f>
        <v>0</v>
      </c>
      <c r="AG515" s="259">
        <f>_xlfn.SUMIFS(Покупка!AG$25:AG$372,Покупка!$F$25:$F$372,$F515,Покупка!$AC$25:$AC$372,$G515)</f>
        <v>0</v>
      </c>
      <c r="AH515" s="943">
        <f>AG515-AF515</f>
        <v>0</v>
      </c>
      <c r="AI515" s="943">
        <f>_xlfn.SUMIFS(Покупка!AH$25:AH$372,Покупка!$F$25:$F$372,$F515,Покупка!$AC$25:$AC$372,$G515)</f>
        <v>0</v>
      </c>
      <c r="AJ515" s="943">
        <f>_xlfn.SUMIFS(Покупка!AI$25:AI$372,Покупка!$F$25:$F$372,$F515,Покупка!$AC$25:$AC$372,$G515)</f>
        <v>0</v>
      </c>
      <c r="AK515" s="943">
        <f>_xlfn.SUMIFS(Покупка!AJ$25:AJ$372,Покупка!$F$25:$F$372,$F515,Покупка!$AC$25:$AC$372,$G515)</f>
        <v>0</v>
      </c>
      <c r="AL515" s="943">
        <f>_xlfn.SUMIFS(Покупка!AK$25:AK$372,Покупка!$F$25:$F$372,$F515,Покупка!$AC$25:$AC$372,$G515)</f>
        <v>0</v>
      </c>
      <c r="AM515" s="943">
        <f>_xlfn.SUMIFS(Покупка!AL$25:AL$372,Покупка!$F$25:$F$372,$F515,Покупка!$AC$25:$AC$372,$G515)</f>
        <v>0</v>
      </c>
      <c r="AN515" s="943">
        <f>_xlfn.SUMIFS(Покупка!AM$25:AM$372,Покупка!$F$25:$F$372,$F515,Покупка!$AC$25:$AC$372,$G515)</f>
        <v>0</v>
      </c>
      <c r="AO515" s="943">
        <f>_xlfn.SUMIFS(Покупка!AN$25:AN$372,Покупка!$F$25:$F$372,$F515,Покупка!$AC$25:$AC$372,$G515)</f>
        <v>0</v>
      </c>
      <c r="AP515" s="943">
        <f>_xlfn.SUMIFS(Покупка!AO$25:AO$372,Покупка!$F$25:$F$372,$F515,Покупка!$AC$25:$AC$372,$G515)</f>
        <v>0</v>
      </c>
      <c r="AQ515" s="943">
        <f>_xlfn.SUMIFS(Покупка!AP$25:AP$372,Покупка!$F$25:$F$372,$F515,Покупка!$AC$25:$AC$372,$G515)</f>
        <v>0</v>
      </c>
      <c r="AR515" s="943">
        <f>_xlfn.SUMIFS(Покупка!AQ$25:AQ$372,Покупка!$F$25:$F$372,$F515,Покупка!$AC$25:$AC$372,$G515)</f>
        <v>0</v>
      </c>
      <c r="AS515" s="943">
        <f>_xlfn.SUMIFS(Покупка!AR$25:AR$372,Покупка!$F$25:$F$372,$F515,Покупка!$AC$25:$AC$372,$G515)</f>
        <v>0</v>
      </c>
      <c r="AT515" s="943">
        <f>_xlfn.SUMIFS(Покупка!AS$25:AS$372,Покупка!$F$25:$F$372,$F515,Покупка!$AC$25:$AC$372,$G515)</f>
        <v>0</v>
      </c>
      <c r="AU515" s="943">
        <f>_xlfn.SUMIFS(Покупка!AT$25:AT$372,Покупка!$F$25:$F$372,$F515,Покупка!$AC$25:$AC$372,$G515)</f>
        <v>0</v>
      </c>
      <c r="AV515" s="943">
        <f>_xlfn.SUMIFS(Покупка!AU$25:AU$372,Покупка!$F$25:$F$372,$F515,Покупка!$AC$25:$AC$372,$G515)</f>
        <v>0</v>
      </c>
      <c r="AW515" s="943">
        <f>_xlfn.SUMIFS(Покупка!AV$25:AV$372,Покупка!$F$25:$F$372,$F515,Покупка!$AC$25:$AC$372,$G515)</f>
        <v>0</v>
      </c>
      <c r="AX515" s="943">
        <f>_xlfn.SUMIFS(Покупка!AW$25:AW$372,Покупка!$F$25:$F$372,$F515,Покупка!$AC$25:$AC$372,$G515)</f>
        <v>0</v>
      </c>
      <c r="AY515" s="943">
        <f>_xlfn.SUMIFS(Покупка!AX$25:AX$372,Покупка!$F$25:$F$372,$F515,Покупка!$AC$25:$AC$372,$G515)</f>
        <v>0</v>
      </c>
      <c r="AZ515" s="943">
        <f>_xlfn.SUMIFS(Покупка!AY$25:AY$372,Покупка!$F$25:$F$372,$F515,Покупка!$AC$25:$AC$372,$G515)</f>
        <v>0</v>
      </c>
      <c r="BA515" s="943">
        <f>_xlfn.SUMIFS(Покупка!AZ$25:AZ$372,Покупка!$F$25:$F$372,$F515,Покупка!$AC$25:$AC$372,$G515)</f>
        <v>0</v>
      </c>
      <c r="BB515" s="943">
        <f>_xlfn.SUMIFS(Покупка!BA$25:BA$372,Покупка!$F$25:$F$372,$F515,Покупка!$AC$25:$AC$372,$G515)</f>
        <v>0</v>
      </c>
      <c r="BC515" s="943">
        <f>_xlfn.SUMIFS(Покупка!BB$25:BB$372,Покупка!$F$25:$F$372,$F515,Покупка!$AC$25:$AC$372,$G515)</f>
        <v>0</v>
      </c>
      <c r="BD515" s="943">
        <f>IF(AI515=0,0,(AT515-AI515)/AI515*100)</f>
        <v>0</v>
      </c>
      <c r="BE515" s="943">
        <f>IF(AT515=0,0,(AU515-AT515)/AT515*100)</f>
        <v>0</v>
      </c>
      <c r="BF515" s="943">
        <f>IF(AU515=0,0,(AV515-AU515)/AU515*100)</f>
        <v>0</v>
      </c>
      <c r="BG515" s="943">
        <f>IF(AV515=0,0,(AW515-AV515)/AV515*100)</f>
        <v>0</v>
      </c>
      <c r="BH515" s="943">
        <f>IF(AW515=0,0,(AX515-AW515)/AW515*100)</f>
        <v>0</v>
      </c>
      <c r="BI515" s="943">
        <f>IF(AX515=0,0,(AY515-AX515)/AX515*100)</f>
        <v>0</v>
      </c>
      <c r="BJ515" s="943">
        <f>IF(AY515=0,0,(AZ515-AY515)/AY515*100)</f>
        <v>0</v>
      </c>
      <c r="BK515" s="943">
        <f>IF(AZ515=0,0,(BA515-AZ515)/AZ515*100)</f>
        <v>0</v>
      </c>
      <c r="BL515" s="943">
        <f>IF(BA515=0,0,(BB515-BA515)/BA515*100)</f>
        <v>0</v>
      </c>
      <c r="BM515" s="943">
        <f>IF(BB515=0,0,(BC515-BB515)/BB515*100)</f>
        <v>0</v>
      </c>
      <c r="BN515" s="7771"/>
      <c r="BO515" s="7724" t="str">
        <f>IF(_xlfn.IFERROR(INDEX(Покупка!$K$26:$L$372,MATCH($F515&amp;"1komm",Покупка!$K$26:$K$372,0),2),"")=0,"",_xlfn.IFERROR(INDEX(Покупка!$K$26:$L$372,MATCH($F515&amp;"1komm",Покупка!$K$26:$K$372,0),2),""))</f>
        <v/>
      </c>
      <c r="BP515" s="7771"/>
      <c r="BQ515" s="1278"/>
      <c r="BR515" s="1278"/>
      <c r="BS515" s="1064" t="s">
        <v>2745</v>
      </c>
      <c r="BT515" s="1064"/>
      <c r="BU515" s="1064"/>
      <c r="BV515" s="979"/>
      <c r="BW515" s="979"/>
    </row>
    <row s="1834" customFormat="1" customHeight="1" ht="14.25">
      <c r="A516" s="1278"/>
      <c r="B516" s="96"/>
      <c r="C516" s="107"/>
      <c r="D516" s="107"/>
      <c r="E516" s="621">
        <v>15</v>
      </c>
      <c r="F516" s="50" cm="1" t="str">
        <f t="array" ref="F516:F516">OFFSET(E516,-1,1)</f>
        <v>3</v>
      </c>
      <c r="G516" s="107" t="s">
        <v>1847</v>
      </c>
      <c r="H516" s="107"/>
      <c r="I516" s="107" t="s">
        <v>2379</v>
      </c>
      <c r="J516" s="107"/>
      <c r="K516" s="107" t="s">
        <v>2379</v>
      </c>
      <c r="L516" s="980"/>
      <c r="M516" s="107"/>
      <c r="N516" s="107"/>
      <c r="O516" s="107"/>
      <c r="P516" s="107"/>
      <c r="Q516" s="107"/>
      <c r="R516" s="107"/>
      <c r="S516" s="107"/>
      <c r="T516" s="465" cm="1" t="str">
        <f t="array" ref="T516:T516">T515</f>
        <v>true</v>
      </c>
      <c r="U516" s="107"/>
      <c r="V516" s="107"/>
      <c r="W516" s="1278"/>
      <c r="X516" s="1563"/>
      <c r="Y516" s="1278"/>
      <c r="Z516" s="1546"/>
      <c r="AA516" s="1278"/>
      <c r="AB516" s="299" t="s">
        <v>2746</v>
      </c>
      <c r="AC516" s="765" t="s">
        <v>2747</v>
      </c>
      <c r="AD516" s="300" t="s">
        <v>1514</v>
      </c>
      <c r="AE516" s="259">
        <f>_xlfn.SUMIFS(Покупка!AE$25:AE$372,Покупка!$F$25:$F$372,$F516,Покупка!$AC$25:$AC$372,$G516)</f>
        <v>0</v>
      </c>
      <c r="AF516" s="259">
        <f>_xlfn.SUMIFS(Покупка!AF$25:AF$372,Покупка!$F$25:$F$372,$F516,Покупка!$AC$25:$AC$372,$G516)</f>
        <v>0</v>
      </c>
      <c r="AG516" s="259">
        <f>_xlfn.SUMIFS(Покупка!AG$25:AG$372,Покупка!$F$25:$F$372,$F516,Покупка!$AC$25:$AC$372,$G516)</f>
        <v>0</v>
      </c>
      <c r="AH516" s="943">
        <f>AG516-AF516</f>
        <v>0</v>
      </c>
      <c r="AI516" s="943">
        <f>_xlfn.SUMIFS(Покупка!AH$25:AH$372,Покупка!$F$25:$F$372,$F516,Покупка!$AC$25:$AC$372,$G516)</f>
        <v>0</v>
      </c>
      <c r="AJ516" s="943">
        <f>_xlfn.SUMIFS(Покупка!AI$25:AI$372,Покупка!$F$25:$F$372,$F516,Покупка!$AC$25:$AC$372,$G516)</f>
        <v>0</v>
      </c>
      <c r="AK516" s="943">
        <f>_xlfn.SUMIFS(Покупка!AJ$25:AJ$372,Покупка!$F$25:$F$372,$F516,Покупка!$AC$25:$AC$372,$G516)</f>
        <v>0</v>
      </c>
      <c r="AL516" s="943">
        <f>_xlfn.SUMIFS(Покупка!AK$25:AK$372,Покупка!$F$25:$F$372,$F516,Покупка!$AC$25:$AC$372,$G516)</f>
        <v>0</v>
      </c>
      <c r="AM516" s="943">
        <f>_xlfn.SUMIFS(Покупка!AL$25:AL$372,Покупка!$F$25:$F$372,$F516,Покупка!$AC$25:$AC$372,$G516)</f>
        <v>0</v>
      </c>
      <c r="AN516" s="943">
        <f>_xlfn.SUMIFS(Покупка!AM$25:AM$372,Покупка!$F$25:$F$372,$F516,Покупка!$AC$25:$AC$372,$G516)</f>
        <v>0</v>
      </c>
      <c r="AO516" s="943">
        <f>_xlfn.SUMIFS(Покупка!AN$25:AN$372,Покупка!$F$25:$F$372,$F516,Покупка!$AC$25:$AC$372,$G516)</f>
        <v>0</v>
      </c>
      <c r="AP516" s="943">
        <f>_xlfn.SUMIFS(Покупка!AO$25:AO$372,Покупка!$F$25:$F$372,$F516,Покупка!$AC$25:$AC$372,$G516)</f>
        <v>0</v>
      </c>
      <c r="AQ516" s="943">
        <f>_xlfn.SUMIFS(Покупка!AP$25:AP$372,Покупка!$F$25:$F$372,$F516,Покупка!$AC$25:$AC$372,$G516)</f>
        <v>0</v>
      </c>
      <c r="AR516" s="943">
        <f>_xlfn.SUMIFS(Покупка!AQ$25:AQ$372,Покупка!$F$25:$F$372,$F516,Покупка!$AC$25:$AC$372,$G516)</f>
        <v>0</v>
      </c>
      <c r="AS516" s="943">
        <f>_xlfn.SUMIFS(Покупка!AR$25:AR$372,Покупка!$F$25:$F$372,$F516,Покупка!$AC$25:$AC$372,$G516)</f>
        <v>0</v>
      </c>
      <c r="AT516" s="943">
        <f>_xlfn.SUMIFS(Покупка!AS$25:AS$372,Покупка!$F$25:$F$372,$F516,Покупка!$AC$25:$AC$372,$G516)</f>
        <v>0</v>
      </c>
      <c r="AU516" s="943">
        <f>_xlfn.SUMIFS(Покупка!AT$25:AT$372,Покупка!$F$25:$F$372,$F516,Покупка!$AC$25:$AC$372,$G516)</f>
        <v>0</v>
      </c>
      <c r="AV516" s="943">
        <f>_xlfn.SUMIFS(Покупка!AU$25:AU$372,Покупка!$F$25:$F$372,$F516,Покупка!$AC$25:$AC$372,$G516)</f>
        <v>0</v>
      </c>
      <c r="AW516" s="943">
        <f>_xlfn.SUMIFS(Покупка!AV$25:AV$372,Покупка!$F$25:$F$372,$F516,Покупка!$AC$25:$AC$372,$G516)</f>
        <v>0</v>
      </c>
      <c r="AX516" s="943">
        <f>_xlfn.SUMIFS(Покупка!AW$25:AW$372,Покупка!$F$25:$F$372,$F516,Покупка!$AC$25:$AC$372,$G516)</f>
        <v>0</v>
      </c>
      <c r="AY516" s="943">
        <f>_xlfn.SUMIFS(Покупка!AX$25:AX$372,Покупка!$F$25:$F$372,$F516,Покупка!$AC$25:$AC$372,$G516)</f>
        <v>0</v>
      </c>
      <c r="AZ516" s="943">
        <f>_xlfn.SUMIFS(Покупка!AY$25:AY$372,Покупка!$F$25:$F$372,$F516,Покупка!$AC$25:$AC$372,$G516)</f>
        <v>0</v>
      </c>
      <c r="BA516" s="943">
        <f>_xlfn.SUMIFS(Покупка!AZ$25:AZ$372,Покупка!$F$25:$F$372,$F516,Покупка!$AC$25:$AC$372,$G516)</f>
        <v>0</v>
      </c>
      <c r="BB516" s="943">
        <f>_xlfn.SUMIFS(Покупка!BA$25:BA$372,Покупка!$F$25:$F$372,$F516,Покупка!$AC$25:$AC$372,$G516)</f>
        <v>0</v>
      </c>
      <c r="BC516" s="943">
        <f>_xlfn.SUMIFS(Покупка!BB$25:BB$372,Покупка!$F$25:$F$372,$F516,Покупка!$AC$25:$AC$372,$G516)</f>
        <v>0</v>
      </c>
      <c r="BD516" s="943">
        <f>IF(AI516=0,0,(AT516-AI516)/AI516*100)</f>
        <v>0</v>
      </c>
      <c r="BE516" s="943">
        <f>IF(AT516=0,0,(AU516-AT516)/AT516*100)</f>
        <v>0</v>
      </c>
      <c r="BF516" s="943">
        <f>IF(AU516=0,0,(AV516-AU516)/AU516*100)</f>
        <v>0</v>
      </c>
      <c r="BG516" s="943">
        <f>IF(AV516=0,0,(AW516-AV516)/AV516*100)</f>
        <v>0</v>
      </c>
      <c r="BH516" s="943">
        <f>IF(AW516=0,0,(AX516-AW516)/AW516*100)</f>
        <v>0</v>
      </c>
      <c r="BI516" s="943">
        <f>IF(AX516=0,0,(AY516-AX516)/AX516*100)</f>
        <v>0</v>
      </c>
      <c r="BJ516" s="943">
        <f>IF(AY516=0,0,(AZ516-AY516)/AY516*100)</f>
        <v>0</v>
      </c>
      <c r="BK516" s="943">
        <f>IF(AZ516=0,0,(BA516-AZ516)/AZ516*100)</f>
        <v>0</v>
      </c>
      <c r="BL516" s="943">
        <f>IF(BA516=0,0,(BB516-BA516)/BA516*100)</f>
        <v>0</v>
      </c>
      <c r="BM516" s="943">
        <f>IF(BB516=0,0,(BC516-BB516)/BB516*100)</f>
        <v>0</v>
      </c>
      <c r="BN516" s="7771"/>
      <c r="BO516" s="7724" t="str">
        <f>IF(_xlfn.IFERROR(INDEX(Покупка!$K$26:$L$372,MATCH($F516&amp;"8komm",Покупка!$K$26:$K$372,0),2),"")=0,"",_xlfn.IFERROR(INDEX(Покупка!$K$26:$L$372,MATCH($F516&amp;"8komm",Покупка!$K$26:$K$372,0),2),""))</f>
        <v/>
      </c>
      <c r="BP516" s="7771"/>
      <c r="BQ516" s="1278"/>
      <c r="BR516" s="1278"/>
      <c r="BS516" s="1064" t="s">
        <v>1848</v>
      </c>
      <c r="BT516" s="1064"/>
      <c r="BU516" s="1064"/>
      <c r="BV516" s="979"/>
      <c r="BW516" s="979"/>
    </row>
    <row s="1834" customFormat="1" customHeight="1" ht="14.25">
      <c r="A517" s="1278"/>
      <c r="B517" s="96"/>
      <c r="C517" s="107"/>
      <c r="D517" s="107"/>
      <c r="E517" s="621">
        <v>15</v>
      </c>
      <c r="F517" s="50" cm="1" t="str">
        <f t="array" ref="F517:F517">OFFSET(E517,-1,1)</f>
        <v>3</v>
      </c>
      <c r="G517" s="107"/>
      <c r="H517" s="107"/>
      <c r="I517" s="107" t="s">
        <v>2748</v>
      </c>
      <c r="J517" s="107"/>
      <c r="K517" s="107" t="s">
        <v>2748</v>
      </c>
      <c r="L517" s="980"/>
      <c r="M517" s="107"/>
      <c r="N517" s="107"/>
      <c r="O517" s="107"/>
      <c r="P517" s="107"/>
      <c r="Q517" s="107"/>
      <c r="R517" s="107"/>
      <c r="S517" s="107"/>
      <c r="T517" s="465" cm="1" t="str">
        <f t="array" ref="T517:T517">T516</f>
        <v>true</v>
      </c>
      <c r="U517" s="107"/>
      <c r="V517" s="107"/>
      <c r="W517" s="1278"/>
      <c r="X517" s="1563"/>
      <c r="Y517" s="1278"/>
      <c r="Z517" s="1546"/>
      <c r="AA517" s="1278"/>
      <c r="AB517" s="299" t="s">
        <v>2749</v>
      </c>
      <c r="AC517" s="765" t="s">
        <v>2750</v>
      </c>
      <c r="AD517" s="300" t="s">
        <v>1514</v>
      </c>
      <c r="AE517" s="7773"/>
      <c r="AF517" s="7773"/>
      <c r="AG517" s="7773"/>
      <c r="AH517" s="943">
        <f>AG517-AF517</f>
        <v>0</v>
      </c>
      <c r="AI517" s="7723"/>
      <c r="AJ517" s="7723"/>
      <c r="AK517" s="7723"/>
      <c r="AL517" s="7723"/>
      <c r="AM517" s="7723"/>
      <c r="AN517" s="7723"/>
      <c r="AO517" s="1253"/>
      <c r="AP517" s="1253"/>
      <c r="AQ517" s="1253"/>
      <c r="AR517" s="1253"/>
      <c r="AS517" s="1253"/>
      <c r="AT517" s="7723"/>
      <c r="AU517" s="7723"/>
      <c r="AV517" s="7723"/>
      <c r="AW517" s="7723"/>
      <c r="AX517" s="7723"/>
      <c r="AY517" s="1253"/>
      <c r="AZ517" s="1253"/>
      <c r="BA517" s="1253"/>
      <c r="BB517" s="1253"/>
      <c r="BC517" s="1253"/>
      <c r="BD517" s="943">
        <f>IF(AI517=0,0,(AT517-AI517)/AI517*100)</f>
        <v>0</v>
      </c>
      <c r="BE517" s="943">
        <f>IF(AT517=0,0,(AU517-AT517)/AT517*100)</f>
        <v>0</v>
      </c>
      <c r="BF517" s="943">
        <f>IF(AU517=0,0,(AV517-AU517)/AU517*100)</f>
        <v>0</v>
      </c>
      <c r="BG517" s="943">
        <f>IF(AV517=0,0,(AW517-AV517)/AV517*100)</f>
        <v>0</v>
      </c>
      <c r="BH517" s="943">
        <f>IF(AW517=0,0,(AX517-AW517)/AW517*100)</f>
        <v>0</v>
      </c>
      <c r="BI517" s="943">
        <f>IF(AX517=0,0,(AY517-AX517)/AX517*100)</f>
        <v>0</v>
      </c>
      <c r="BJ517" s="943">
        <f>IF(AY517=0,0,(AZ517-AY517)/AY517*100)</f>
        <v>0</v>
      </c>
      <c r="BK517" s="943">
        <f>IF(AZ517=0,0,(BA517-AZ517)/AZ517*100)</f>
        <v>0</v>
      </c>
      <c r="BL517" s="943">
        <f>IF(BA517=0,0,(BB517-BA517)/BA517*100)</f>
        <v>0</v>
      </c>
      <c r="BM517" s="943">
        <f>IF(BB517=0,0,(BC517-BB517)/BB517*100)</f>
        <v>0</v>
      </c>
      <c r="BN517" s="7771"/>
      <c r="BO517" s="7771"/>
      <c r="BP517" s="7771"/>
      <c r="BQ517" s="1278"/>
      <c r="BR517" s="1278"/>
      <c r="BS517" s="1064" t="s">
        <v>2751</v>
      </c>
      <c r="BT517" s="1064"/>
      <c r="BU517" s="1064"/>
      <c r="BV517" s="979"/>
      <c r="BW517" s="979"/>
    </row>
    <row s="1834" customFormat="1" customHeight="1" ht="14.25">
      <c r="A518" s="1278"/>
      <c r="B518" s="96"/>
      <c r="C518" s="107"/>
      <c r="D518" s="107"/>
      <c r="E518" s="621">
        <v>15</v>
      </c>
      <c r="F518" s="50" cm="1" t="str">
        <f t="array" ref="F518:F518">OFFSET(E518,-1,1)</f>
        <v>3</v>
      </c>
      <c r="G518" s="107"/>
      <c r="H518" s="107"/>
      <c r="I518" s="107" t="s">
        <v>2752</v>
      </c>
      <c r="J518" s="107"/>
      <c r="K518" s="107" t="s">
        <v>2752</v>
      </c>
      <c r="L518" s="980"/>
      <c r="M518" s="107"/>
      <c r="N518" s="107"/>
      <c r="O518" s="107"/>
      <c r="P518" s="107"/>
      <c r="Q518" s="107"/>
      <c r="R518" s="107"/>
      <c r="S518" s="107"/>
      <c r="T518" s="465" cm="1" t="str">
        <f t="array" ref="T518:T518">T517</f>
        <v>true</v>
      </c>
      <c r="U518" s="107"/>
      <c r="V518" s="107"/>
      <c r="W518" s="1278"/>
      <c r="X518" s="1563"/>
      <c r="Y518" s="1278"/>
      <c r="Z518" s="1546"/>
      <c r="AA518" s="1278"/>
      <c r="AB518" s="299" t="s">
        <v>2753</v>
      </c>
      <c r="AC518" s="765" t="s">
        <v>2754</v>
      </c>
      <c r="AD518" s="300" t="s">
        <v>1514</v>
      </c>
      <c r="AE518" s="7773"/>
      <c r="AF518" s="7773"/>
      <c r="AG518" s="7773"/>
      <c r="AH518" s="943">
        <f>AG518-AF518</f>
        <v>0</v>
      </c>
      <c r="AI518" s="7723"/>
      <c r="AJ518" s="7723"/>
      <c r="AK518" s="7723"/>
      <c r="AL518" s="7723"/>
      <c r="AM518" s="7723"/>
      <c r="AN518" s="7723"/>
      <c r="AO518" s="1253"/>
      <c r="AP518" s="1253"/>
      <c r="AQ518" s="1253"/>
      <c r="AR518" s="1253"/>
      <c r="AS518" s="1253"/>
      <c r="AT518" s="7723"/>
      <c r="AU518" s="7723"/>
      <c r="AV518" s="7723"/>
      <c r="AW518" s="7723"/>
      <c r="AX518" s="7723"/>
      <c r="AY518" s="1253"/>
      <c r="AZ518" s="1253"/>
      <c r="BA518" s="1253"/>
      <c r="BB518" s="1253"/>
      <c r="BC518" s="1253"/>
      <c r="BD518" s="943">
        <f>IF(AI518=0,0,(AT518-AI518)/AI518*100)</f>
        <v>0</v>
      </c>
      <c r="BE518" s="943">
        <f>IF(AT518=0,0,(AU518-AT518)/AT518*100)</f>
        <v>0</v>
      </c>
      <c r="BF518" s="943">
        <f>IF(AU518=0,0,(AV518-AU518)/AU518*100)</f>
        <v>0</v>
      </c>
      <c r="BG518" s="943">
        <f>IF(AV518=0,0,(AW518-AV518)/AV518*100)</f>
        <v>0</v>
      </c>
      <c r="BH518" s="943">
        <f>IF(AW518=0,0,(AX518-AW518)/AW518*100)</f>
        <v>0</v>
      </c>
      <c r="BI518" s="943">
        <f>IF(AX518=0,0,(AY518-AX518)/AX518*100)</f>
        <v>0</v>
      </c>
      <c r="BJ518" s="943">
        <f>IF(AY518=0,0,(AZ518-AY518)/AY518*100)</f>
        <v>0</v>
      </c>
      <c r="BK518" s="943">
        <f>IF(AZ518=0,0,(BA518-AZ518)/AZ518*100)</f>
        <v>0</v>
      </c>
      <c r="BL518" s="943">
        <f>IF(BA518=0,0,(BB518-BA518)/BA518*100)</f>
        <v>0</v>
      </c>
      <c r="BM518" s="943">
        <f>IF(BB518=0,0,(BC518-BB518)/BB518*100)</f>
        <v>0</v>
      </c>
      <c r="BN518" s="7771"/>
      <c r="BO518" s="7771"/>
      <c r="BP518" s="7771"/>
      <c r="BQ518" s="1278"/>
      <c r="BR518" s="1278"/>
      <c r="BS518" s="1064" t="s">
        <v>2755</v>
      </c>
      <c r="BT518" s="1064"/>
      <c r="BU518" s="1064"/>
      <c r="BV518" s="979"/>
      <c r="BW518" s="979"/>
    </row>
    <row s="1834" customFormat="1" customHeight="1" ht="14.25">
      <c r="A519" s="1278"/>
      <c r="B519" s="96"/>
      <c r="C519" s="107"/>
      <c r="D519" s="107"/>
      <c r="E519" s="621">
        <v>15</v>
      </c>
      <c r="F519" s="50" cm="1" t="str">
        <f t="array" ref="F519:F519">OFFSET(E519,-1,1)</f>
        <v>3</v>
      </c>
      <c r="G519" s="107" t="s">
        <v>1799</v>
      </c>
      <c r="H519" s="107"/>
      <c r="I519" s="107" t="s">
        <v>2756</v>
      </c>
      <c r="J519" s="107"/>
      <c r="K519" s="107" t="s">
        <v>2756</v>
      </c>
      <c r="L519" s="980" t="s">
        <v>2253</v>
      </c>
      <c r="M519" s="107"/>
      <c r="N519" s="107"/>
      <c r="O519" s="107"/>
      <c r="P519" s="107"/>
      <c r="Q519" s="107"/>
      <c r="R519" s="107"/>
      <c r="S519" s="107"/>
      <c r="T519" s="465" cm="1" t="str">
        <f t="array" ref="T519:T519">T518</f>
        <v>true</v>
      </c>
      <c r="U519" s="107"/>
      <c r="V519" s="107"/>
      <c r="W519" s="1278"/>
      <c r="X519" s="1563"/>
      <c r="Y519" s="1278"/>
      <c r="Z519" s="1546"/>
      <c r="AA519" s="1278"/>
      <c r="AB519" s="299" t="s">
        <v>2757</v>
      </c>
      <c r="AC519" s="765" t="s">
        <v>2758</v>
      </c>
      <c r="AD519" s="300" t="s">
        <v>1514</v>
      </c>
      <c r="AE519" s="259">
        <f>_xlfn.SUMIFS(Покупка!AE$25:AE$372,Покупка!$F$25:$F$372,$F519,Покупка!$AC$25:$AC$372,$G519)</f>
        <v>0</v>
      </c>
      <c r="AF519" s="259">
        <f>_xlfn.SUMIFS(Покупка!AF$25:AF$372,Покупка!$F$25:$F$372,$F519,Покупка!$AC$25:$AC$372,$G519)</f>
        <v>0</v>
      </c>
      <c r="AG519" s="259">
        <f>_xlfn.SUMIFS(Покупка!AG$25:AG$372,Покупка!$F$25:$F$372,$F519,Покупка!$AC$25:$AC$372,$G519)</f>
        <v>0</v>
      </c>
      <c r="AH519" s="943">
        <f>AG519-AF519</f>
        <v>0</v>
      </c>
      <c r="AI519" s="943">
        <f>_xlfn.SUMIFS(Покупка!AH$25:AH$372,Покупка!$F$25:$F$372,$F519,Покупка!$AC$25:$AC$372,$G519)</f>
        <v>0</v>
      </c>
      <c r="AJ519" s="943">
        <f>_xlfn.SUMIFS(Покупка!AI$25:AI$372,Покупка!$F$25:$F$372,$F519,Покупка!$AC$25:$AC$372,$G519)</f>
        <v>0</v>
      </c>
      <c r="AK519" s="943">
        <f>_xlfn.SUMIFS(Покупка!AJ$25:AJ$372,Покупка!$F$25:$F$372,$F519,Покупка!$AC$25:$AC$372,$G519)</f>
        <v>0</v>
      </c>
      <c r="AL519" s="943">
        <f>_xlfn.SUMIFS(Покупка!AK$25:AK$372,Покупка!$F$25:$F$372,$F519,Покупка!$AC$25:$AC$372,$G519)</f>
        <v>0</v>
      </c>
      <c r="AM519" s="943">
        <f>_xlfn.SUMIFS(Покупка!AL$25:AL$372,Покупка!$F$25:$F$372,$F519,Покупка!$AC$25:$AC$372,$G519)</f>
        <v>0</v>
      </c>
      <c r="AN519" s="943">
        <f>_xlfn.SUMIFS(Покупка!AM$25:AM$372,Покупка!$F$25:$F$372,$F519,Покупка!$AC$25:$AC$372,$G519)</f>
        <v>0</v>
      </c>
      <c r="AO519" s="943">
        <f>_xlfn.SUMIFS(Покупка!AN$25:AN$372,Покупка!$F$25:$F$372,$F519,Покупка!$AC$25:$AC$372,$G519)</f>
        <v>0</v>
      </c>
      <c r="AP519" s="943">
        <f>_xlfn.SUMIFS(Покупка!AO$25:AO$372,Покупка!$F$25:$F$372,$F519,Покупка!$AC$25:$AC$372,$G519)</f>
        <v>0</v>
      </c>
      <c r="AQ519" s="943">
        <f>_xlfn.SUMIFS(Покупка!AP$25:AP$372,Покупка!$F$25:$F$372,$F519,Покупка!$AC$25:$AC$372,$G519)</f>
        <v>0</v>
      </c>
      <c r="AR519" s="943">
        <f>_xlfn.SUMIFS(Покупка!AQ$25:AQ$372,Покупка!$F$25:$F$372,$F519,Покупка!$AC$25:$AC$372,$G519)</f>
        <v>0</v>
      </c>
      <c r="AS519" s="943">
        <f>_xlfn.SUMIFS(Покупка!AR$25:AR$372,Покупка!$F$25:$F$372,$F519,Покупка!$AC$25:$AC$372,$G519)</f>
        <v>0</v>
      </c>
      <c r="AT519" s="943">
        <f>_xlfn.SUMIFS(Покупка!AS$25:AS$372,Покупка!$F$25:$F$372,$F519,Покупка!$AC$25:$AC$372,$G519)</f>
        <v>0</v>
      </c>
      <c r="AU519" s="943">
        <f>_xlfn.SUMIFS(Покупка!AT$25:AT$372,Покупка!$F$25:$F$372,$F519,Покупка!$AC$25:$AC$372,$G519)</f>
        <v>0</v>
      </c>
      <c r="AV519" s="943">
        <f>_xlfn.SUMIFS(Покупка!AU$25:AU$372,Покупка!$F$25:$F$372,$F519,Покупка!$AC$25:$AC$372,$G519)</f>
        <v>0</v>
      </c>
      <c r="AW519" s="943">
        <f>_xlfn.SUMIFS(Покупка!AV$25:AV$372,Покупка!$F$25:$F$372,$F519,Покупка!$AC$25:$AC$372,$G519)</f>
        <v>0</v>
      </c>
      <c r="AX519" s="943">
        <f>_xlfn.SUMIFS(Покупка!AW$25:AW$372,Покупка!$F$25:$F$372,$F519,Покупка!$AC$25:$AC$372,$G519)</f>
        <v>0</v>
      </c>
      <c r="AY519" s="943">
        <f>_xlfn.SUMIFS(Покупка!AX$25:AX$372,Покупка!$F$25:$F$372,$F519,Покупка!$AC$25:$AC$372,$G519)</f>
        <v>0</v>
      </c>
      <c r="AZ519" s="943">
        <f>_xlfn.SUMIFS(Покупка!AY$25:AY$372,Покупка!$F$25:$F$372,$F519,Покупка!$AC$25:$AC$372,$G519)</f>
        <v>0</v>
      </c>
      <c r="BA519" s="943">
        <f>_xlfn.SUMIFS(Покупка!AZ$25:AZ$372,Покупка!$F$25:$F$372,$F519,Покупка!$AC$25:$AC$372,$G519)</f>
        <v>0</v>
      </c>
      <c r="BB519" s="943">
        <f>_xlfn.SUMIFS(Покупка!BA$25:BA$372,Покупка!$F$25:$F$372,$F519,Покупка!$AC$25:$AC$372,$G519)</f>
        <v>0</v>
      </c>
      <c r="BC519" s="943">
        <f>_xlfn.SUMIFS(Покупка!BB$25:BB$372,Покупка!$F$25:$F$372,$F519,Покупка!$AC$25:$AC$372,$G519)</f>
        <v>0</v>
      </c>
      <c r="BD519" s="943">
        <f>IF(AI519=0,0,(AT519-AI519)/AI519*100)</f>
        <v>0</v>
      </c>
      <c r="BE519" s="943">
        <f>IF(AT519=0,0,(AU519-AT519)/AT519*100)</f>
        <v>0</v>
      </c>
      <c r="BF519" s="943">
        <f>IF(AU519=0,0,(AV519-AU519)/AU519*100)</f>
        <v>0</v>
      </c>
      <c r="BG519" s="943">
        <f>IF(AV519=0,0,(AW519-AV519)/AV519*100)</f>
        <v>0</v>
      </c>
      <c r="BH519" s="943">
        <f>IF(AW519=0,0,(AX519-AW519)/AW519*100)</f>
        <v>0</v>
      </c>
      <c r="BI519" s="943">
        <f>IF(AX519=0,0,(AY519-AX519)/AX519*100)</f>
        <v>0</v>
      </c>
      <c r="BJ519" s="943">
        <f>IF(AY519=0,0,(AZ519-AY519)/AY519*100)</f>
        <v>0</v>
      </c>
      <c r="BK519" s="943">
        <f>IF(AZ519=0,0,(BA519-AZ519)/AZ519*100)</f>
        <v>0</v>
      </c>
      <c r="BL519" s="943">
        <f>IF(BA519=0,0,(BB519-BA519)/BA519*100)</f>
        <v>0</v>
      </c>
      <c r="BM519" s="943">
        <f>IF(BB519=0,0,(BC519-BB519)/BB519*100)</f>
        <v>0</v>
      </c>
      <c r="BN519" s="7771"/>
      <c r="BO519" s="7724" t="str">
        <f>IF(_xlfn.IFERROR(INDEX(Покупка!$K$26:$L$372,MATCH($F519&amp;"3komm",Покупка!$K$26:$K$372,0),2),"")=0,"",_xlfn.IFERROR(INDEX(Покупка!$K$26:$L$372,MATCH($F519&amp;"3komm",Покупка!$K$26:$K$372,0),2),""))</f>
        <v/>
      </c>
      <c r="BP519" s="7771"/>
      <c r="BQ519" s="1278"/>
      <c r="BR519" s="1278"/>
      <c r="BS519" s="1064" t="s">
        <v>2459</v>
      </c>
      <c r="BT519" s="1064"/>
      <c r="BU519" s="1064"/>
      <c r="BV519" s="979"/>
      <c r="BW519" s="979"/>
    </row>
    <row s="1834" customFormat="1" customHeight="1" ht="14.25">
      <c r="A520" s="1278"/>
      <c r="B520" s="96"/>
      <c r="C520" s="107"/>
      <c r="D520" s="107"/>
      <c r="E520" s="621">
        <v>15</v>
      </c>
      <c r="F520" s="50" cm="1" t="str">
        <f t="array" ref="F520:F520">OFFSET(E520,-1,1)</f>
        <v>3</v>
      </c>
      <c r="G520" s="107" t="s">
        <v>1805</v>
      </c>
      <c r="H520" s="107"/>
      <c r="I520" s="107" t="s">
        <v>2759</v>
      </c>
      <c r="J520" s="107"/>
      <c r="K520" s="107" t="s">
        <v>2759</v>
      </c>
      <c r="L520" s="980" t="s">
        <v>2258</v>
      </c>
      <c r="M520" s="107"/>
      <c r="N520" s="107"/>
      <c r="O520" s="107"/>
      <c r="P520" s="107"/>
      <c r="Q520" s="107"/>
      <c r="R520" s="107"/>
      <c r="S520" s="107"/>
      <c r="T520" s="465" cm="1" t="str">
        <f t="array" ref="T520:T520">T519</f>
        <v>true</v>
      </c>
      <c r="U520" s="107"/>
      <c r="V520" s="107"/>
      <c r="W520" s="1278"/>
      <c r="X520" s="1563"/>
      <c r="Y520" s="1278"/>
      <c r="Z520" s="1546"/>
      <c r="AA520" s="1278"/>
      <c r="AB520" s="299" t="s">
        <v>2760</v>
      </c>
      <c r="AC520" s="765" t="s">
        <v>2761</v>
      </c>
      <c r="AD520" s="300" t="s">
        <v>1514</v>
      </c>
      <c r="AE520" s="259">
        <f>_xlfn.SUMIFS(Покупка!AE$25:AE$372,Покупка!$F$25:$F$372,$F520,Покупка!$AC$25:$AC$372,$G520)</f>
        <v>0</v>
      </c>
      <c r="AF520" s="259">
        <f>_xlfn.SUMIFS(Покупка!AF$25:AF$372,Покупка!$F$25:$F$372,$F520,Покупка!$AC$25:$AC$372,$G520)</f>
        <v>0</v>
      </c>
      <c r="AG520" s="259">
        <f>_xlfn.SUMIFS(Покупка!AG$25:AG$372,Покупка!$F$25:$F$372,$F520,Покупка!$AC$25:$AC$372,$G520)</f>
        <v>0</v>
      </c>
      <c r="AH520" s="943">
        <f>AG520-AF520</f>
        <v>0</v>
      </c>
      <c r="AI520" s="943">
        <f>_xlfn.SUMIFS(Покупка!AH$25:AH$372,Покупка!$F$25:$F$372,$F520,Покупка!$AC$25:$AC$372,$G520)</f>
        <v>0</v>
      </c>
      <c r="AJ520" s="943">
        <f>_xlfn.SUMIFS(Покупка!AI$25:AI$372,Покупка!$F$25:$F$372,$F520,Покупка!$AC$25:$AC$372,$G520)</f>
        <v>0</v>
      </c>
      <c r="AK520" s="943">
        <f>_xlfn.SUMIFS(Покупка!AJ$25:AJ$372,Покупка!$F$25:$F$372,$F520,Покупка!$AC$25:$AC$372,$G520)</f>
        <v>0</v>
      </c>
      <c r="AL520" s="943">
        <f>_xlfn.SUMIFS(Покупка!AK$25:AK$372,Покупка!$F$25:$F$372,$F520,Покупка!$AC$25:$AC$372,$G520)</f>
        <v>0</v>
      </c>
      <c r="AM520" s="943">
        <f>_xlfn.SUMIFS(Покупка!AL$25:AL$372,Покупка!$F$25:$F$372,$F520,Покупка!$AC$25:$AC$372,$G520)</f>
        <v>0</v>
      </c>
      <c r="AN520" s="943">
        <f>_xlfn.SUMIFS(Покупка!AM$25:AM$372,Покупка!$F$25:$F$372,$F520,Покупка!$AC$25:$AC$372,$G520)</f>
        <v>0</v>
      </c>
      <c r="AO520" s="943">
        <f>_xlfn.SUMIFS(Покупка!AN$25:AN$372,Покупка!$F$25:$F$372,$F520,Покупка!$AC$25:$AC$372,$G520)</f>
        <v>0</v>
      </c>
      <c r="AP520" s="943">
        <f>_xlfn.SUMIFS(Покупка!AO$25:AO$372,Покупка!$F$25:$F$372,$F520,Покупка!$AC$25:$AC$372,$G520)</f>
        <v>0</v>
      </c>
      <c r="AQ520" s="943">
        <f>_xlfn.SUMIFS(Покупка!AP$25:AP$372,Покупка!$F$25:$F$372,$F520,Покупка!$AC$25:$AC$372,$G520)</f>
        <v>0</v>
      </c>
      <c r="AR520" s="943">
        <f>_xlfn.SUMIFS(Покупка!AQ$25:AQ$372,Покупка!$F$25:$F$372,$F520,Покупка!$AC$25:$AC$372,$G520)</f>
        <v>0</v>
      </c>
      <c r="AS520" s="943">
        <f>_xlfn.SUMIFS(Покупка!AR$25:AR$372,Покупка!$F$25:$F$372,$F520,Покупка!$AC$25:$AC$372,$G520)</f>
        <v>0</v>
      </c>
      <c r="AT520" s="943">
        <f>_xlfn.SUMIFS(Покупка!AS$25:AS$372,Покупка!$F$25:$F$372,$F520,Покупка!$AC$25:$AC$372,$G520)</f>
        <v>0</v>
      </c>
      <c r="AU520" s="943">
        <f>_xlfn.SUMIFS(Покупка!AT$25:AT$372,Покупка!$F$25:$F$372,$F520,Покупка!$AC$25:$AC$372,$G520)</f>
        <v>0</v>
      </c>
      <c r="AV520" s="943">
        <f>_xlfn.SUMIFS(Покупка!AU$25:AU$372,Покупка!$F$25:$F$372,$F520,Покупка!$AC$25:$AC$372,$G520)</f>
        <v>0</v>
      </c>
      <c r="AW520" s="943">
        <f>_xlfn.SUMIFS(Покупка!AV$25:AV$372,Покупка!$F$25:$F$372,$F520,Покупка!$AC$25:$AC$372,$G520)</f>
        <v>0</v>
      </c>
      <c r="AX520" s="943">
        <f>_xlfn.SUMIFS(Покупка!AW$25:AW$372,Покупка!$F$25:$F$372,$F520,Покупка!$AC$25:$AC$372,$G520)</f>
        <v>0</v>
      </c>
      <c r="AY520" s="943">
        <f>_xlfn.SUMIFS(Покупка!AX$25:AX$372,Покупка!$F$25:$F$372,$F520,Покупка!$AC$25:$AC$372,$G520)</f>
        <v>0</v>
      </c>
      <c r="AZ520" s="943">
        <f>_xlfn.SUMIFS(Покупка!AY$25:AY$372,Покупка!$F$25:$F$372,$F520,Покупка!$AC$25:$AC$372,$G520)</f>
        <v>0</v>
      </c>
      <c r="BA520" s="943">
        <f>_xlfn.SUMIFS(Покупка!AZ$25:AZ$372,Покупка!$F$25:$F$372,$F520,Покупка!$AC$25:$AC$372,$G520)</f>
        <v>0</v>
      </c>
      <c r="BB520" s="943">
        <f>_xlfn.SUMIFS(Покупка!BA$25:BA$372,Покупка!$F$25:$F$372,$F520,Покупка!$AC$25:$AC$372,$G520)</f>
        <v>0</v>
      </c>
      <c r="BC520" s="943">
        <f>_xlfn.SUMIFS(Покупка!BB$25:BB$372,Покупка!$F$25:$F$372,$F520,Покупка!$AC$25:$AC$372,$G520)</f>
        <v>0</v>
      </c>
      <c r="BD520" s="943">
        <f>IF(AI520=0,0,(AT520-AI520)/AI520*100)</f>
        <v>0</v>
      </c>
      <c r="BE520" s="943">
        <f>IF(AT520=0,0,(AU520-AT520)/AT520*100)</f>
        <v>0</v>
      </c>
      <c r="BF520" s="943">
        <f>IF(AU520=0,0,(AV520-AU520)/AU520*100)</f>
        <v>0</v>
      </c>
      <c r="BG520" s="943">
        <f>IF(AV520=0,0,(AW520-AV520)/AV520*100)</f>
        <v>0</v>
      </c>
      <c r="BH520" s="943">
        <f>IF(AW520=0,0,(AX520-AW520)/AW520*100)</f>
        <v>0</v>
      </c>
      <c r="BI520" s="943">
        <f>IF(AX520=0,0,(AY520-AX520)/AX520*100)</f>
        <v>0</v>
      </c>
      <c r="BJ520" s="943">
        <f>IF(AY520=0,0,(AZ520-AY520)/AY520*100)</f>
        <v>0</v>
      </c>
      <c r="BK520" s="943">
        <f>IF(AZ520=0,0,(BA520-AZ520)/AZ520*100)</f>
        <v>0</v>
      </c>
      <c r="BL520" s="943">
        <f>IF(BA520=0,0,(BB520-BA520)/BA520*100)</f>
        <v>0</v>
      </c>
      <c r="BM520" s="943">
        <f>IF(BB520=0,0,(BC520-BB520)/BB520*100)</f>
        <v>0</v>
      </c>
      <c r="BN520" s="7771"/>
      <c r="BO520" s="7724" t="str">
        <f>IF(_xlfn.IFERROR(INDEX(Покупка!$K$26:$L$372,MATCH($F520&amp;"4komm",Покупка!$K$26:$K$372,0),2),"")=0,"",_xlfn.IFERROR(INDEX(Покупка!$K$26:$L$372,MATCH($F519&amp;"3komm",Покупка!$K$26:$K$372,0),2),""))</f>
        <v/>
      </c>
      <c r="BP520" s="7771"/>
      <c r="BQ520" s="1278"/>
      <c r="BR520" s="1278"/>
      <c r="BS520" s="1064" t="s">
        <v>2462</v>
      </c>
      <c r="BT520" s="1064"/>
      <c r="BU520" s="1064"/>
      <c r="BV520" s="979"/>
      <c r="BW520" s="979"/>
    </row>
    <row s="1834" customFormat="1" customHeight="1" ht="14.25">
      <c r="A521" s="1278"/>
      <c r="B521" s="96"/>
      <c r="C521" s="107"/>
      <c r="D521" s="107"/>
      <c r="E521" s="621">
        <v>15</v>
      </c>
      <c r="F521" s="50" cm="1" t="str">
        <f t="array" ref="F521:F521">OFFSET(E521,-1,1)</f>
        <v>3</v>
      </c>
      <c r="G521" s="107" t="s">
        <v>1812</v>
      </c>
      <c r="H521" s="107"/>
      <c r="I521" s="107" t="s">
        <v>2762</v>
      </c>
      <c r="J521" s="107"/>
      <c r="K521" s="107" t="s">
        <v>2762</v>
      </c>
      <c r="L521" s="980" t="s">
        <v>2268</v>
      </c>
      <c r="M521" s="107"/>
      <c r="N521" s="107"/>
      <c r="O521" s="107"/>
      <c r="P521" s="107"/>
      <c r="Q521" s="107"/>
      <c r="R521" s="107"/>
      <c r="S521" s="107"/>
      <c r="T521" s="465" cm="1" t="str">
        <f t="array" ref="T521:T521">T520</f>
        <v>true</v>
      </c>
      <c r="U521" s="107"/>
      <c r="V521" s="107"/>
      <c r="W521" s="1278"/>
      <c r="X521" s="1563"/>
      <c r="Y521" s="1278"/>
      <c r="Z521" s="1546"/>
      <c r="AA521" s="1278"/>
      <c r="AB521" s="299" t="s">
        <v>2763</v>
      </c>
      <c r="AC521" s="765" t="s">
        <v>2764</v>
      </c>
      <c r="AD521" s="300" t="s">
        <v>1514</v>
      </c>
      <c r="AE521" s="259">
        <f>_xlfn.SUMIFS(Покупка!AE$25:AE$372,Покупка!$F$25:$F$372,$F521,Покупка!$AC$25:$AC$372,$G521)</f>
        <v>0</v>
      </c>
      <c r="AF521" s="259">
        <f>_xlfn.SUMIFS(Покупка!AF$25:AF$372,Покупка!$F$25:$F$372,$F521,Покупка!$AC$25:$AC$372,$G521)</f>
        <v>0</v>
      </c>
      <c r="AG521" s="259">
        <f>_xlfn.SUMIFS(Покупка!AG$25:AG$372,Покупка!$F$25:$F$372,$F521,Покупка!$AC$25:$AC$372,$G521)</f>
        <v>0</v>
      </c>
      <c r="AH521" s="943">
        <f>AG521-AF521</f>
        <v>0</v>
      </c>
      <c r="AI521" s="943">
        <f>_xlfn.SUMIFS(Покупка!AH$25:AH$372,Покупка!$F$25:$F$372,$F521,Покупка!$AC$25:$AC$372,$G521)</f>
        <v>0</v>
      </c>
      <c r="AJ521" s="943">
        <f>_xlfn.SUMIFS(Покупка!AI$25:AI$372,Покупка!$F$25:$F$372,$F521,Покупка!$AC$25:$AC$372,$G521)</f>
        <v>0</v>
      </c>
      <c r="AK521" s="943">
        <f>_xlfn.SUMIFS(Покупка!AJ$25:AJ$372,Покупка!$F$25:$F$372,$F521,Покупка!$AC$25:$AC$372,$G521)</f>
        <v>0</v>
      </c>
      <c r="AL521" s="943">
        <f>_xlfn.SUMIFS(Покупка!AK$25:AK$372,Покупка!$F$25:$F$372,$F521,Покупка!$AC$25:$AC$372,$G521)</f>
        <v>0</v>
      </c>
      <c r="AM521" s="943">
        <f>_xlfn.SUMIFS(Покупка!AL$25:AL$372,Покупка!$F$25:$F$372,$F521,Покупка!$AC$25:$AC$372,$G521)</f>
        <v>0</v>
      </c>
      <c r="AN521" s="943">
        <f>_xlfn.SUMIFS(Покупка!AM$25:AM$372,Покупка!$F$25:$F$372,$F521,Покупка!$AC$25:$AC$372,$G521)</f>
        <v>0</v>
      </c>
      <c r="AO521" s="943">
        <f>_xlfn.SUMIFS(Покупка!AN$25:AN$372,Покупка!$F$25:$F$372,$F521,Покупка!$AC$25:$AC$372,$G521)</f>
        <v>0</v>
      </c>
      <c r="AP521" s="943">
        <f>_xlfn.SUMIFS(Покупка!AO$25:AO$372,Покупка!$F$25:$F$372,$F521,Покупка!$AC$25:$AC$372,$G521)</f>
        <v>0</v>
      </c>
      <c r="AQ521" s="943">
        <f>_xlfn.SUMIFS(Покупка!AP$25:AP$372,Покупка!$F$25:$F$372,$F521,Покупка!$AC$25:$AC$372,$G521)</f>
        <v>0</v>
      </c>
      <c r="AR521" s="943">
        <f>_xlfn.SUMIFS(Покупка!AQ$25:AQ$372,Покупка!$F$25:$F$372,$F521,Покупка!$AC$25:$AC$372,$G521)</f>
        <v>0</v>
      </c>
      <c r="AS521" s="943">
        <f>_xlfn.SUMIFS(Покупка!AR$25:AR$372,Покупка!$F$25:$F$372,$F521,Покупка!$AC$25:$AC$372,$G521)</f>
        <v>0</v>
      </c>
      <c r="AT521" s="943">
        <f>_xlfn.SUMIFS(Покупка!AS$25:AS$372,Покупка!$F$25:$F$372,$F521,Покупка!$AC$25:$AC$372,$G521)</f>
        <v>0</v>
      </c>
      <c r="AU521" s="943">
        <f>_xlfn.SUMIFS(Покупка!AT$25:AT$372,Покупка!$F$25:$F$372,$F521,Покупка!$AC$25:$AC$372,$G521)</f>
        <v>0</v>
      </c>
      <c r="AV521" s="943">
        <f>_xlfn.SUMIFS(Покупка!AU$25:AU$372,Покупка!$F$25:$F$372,$F521,Покупка!$AC$25:$AC$372,$G521)</f>
        <v>0</v>
      </c>
      <c r="AW521" s="943">
        <f>_xlfn.SUMIFS(Покупка!AV$25:AV$372,Покупка!$F$25:$F$372,$F521,Покупка!$AC$25:$AC$372,$G521)</f>
        <v>0</v>
      </c>
      <c r="AX521" s="943">
        <f>_xlfn.SUMIFS(Покупка!AW$25:AW$372,Покупка!$F$25:$F$372,$F521,Покупка!$AC$25:$AC$372,$G521)</f>
        <v>0</v>
      </c>
      <c r="AY521" s="943">
        <f>_xlfn.SUMIFS(Покупка!AX$25:AX$372,Покупка!$F$25:$F$372,$F521,Покупка!$AC$25:$AC$372,$G521)</f>
        <v>0</v>
      </c>
      <c r="AZ521" s="943">
        <f>_xlfn.SUMIFS(Покупка!AY$25:AY$372,Покупка!$F$25:$F$372,$F521,Покупка!$AC$25:$AC$372,$G521)</f>
        <v>0</v>
      </c>
      <c r="BA521" s="943">
        <f>_xlfn.SUMIFS(Покупка!AZ$25:AZ$372,Покупка!$F$25:$F$372,$F521,Покупка!$AC$25:$AC$372,$G521)</f>
        <v>0</v>
      </c>
      <c r="BB521" s="943">
        <f>_xlfn.SUMIFS(Покупка!BA$25:BA$372,Покупка!$F$25:$F$372,$F521,Покупка!$AC$25:$AC$372,$G521)</f>
        <v>0</v>
      </c>
      <c r="BC521" s="943">
        <f>_xlfn.SUMIFS(Покупка!BB$25:BB$372,Покупка!$F$25:$F$372,$F521,Покупка!$AC$25:$AC$372,$G521)</f>
        <v>0</v>
      </c>
      <c r="BD521" s="943">
        <f>IF(AI521=0,0,(AT521-AI521)/AI521*100)</f>
        <v>0</v>
      </c>
      <c r="BE521" s="943">
        <f>IF(AT521=0,0,(AU521-AT521)/AT521*100)</f>
        <v>0</v>
      </c>
      <c r="BF521" s="943">
        <f>IF(AU521=0,0,(AV521-AU521)/AU521*100)</f>
        <v>0</v>
      </c>
      <c r="BG521" s="943">
        <f>IF(AV521=0,0,(AW521-AV521)/AV521*100)</f>
        <v>0</v>
      </c>
      <c r="BH521" s="943">
        <f>IF(AW521=0,0,(AX521-AW521)/AW521*100)</f>
        <v>0</v>
      </c>
      <c r="BI521" s="943">
        <f>IF(AX521=0,0,(AY521-AX521)/AX521*100)</f>
        <v>0</v>
      </c>
      <c r="BJ521" s="943">
        <f>IF(AY521=0,0,(AZ521-AY521)/AY521*100)</f>
        <v>0</v>
      </c>
      <c r="BK521" s="943">
        <f>IF(AZ521=0,0,(BA521-AZ521)/AZ521*100)</f>
        <v>0</v>
      </c>
      <c r="BL521" s="943">
        <f>IF(BA521=0,0,(BB521-BA521)/BA521*100)</f>
        <v>0</v>
      </c>
      <c r="BM521" s="943">
        <f>IF(BB521=0,0,(BC521-BB521)/BB521*100)</f>
        <v>0</v>
      </c>
      <c r="BN521" s="7771"/>
      <c r="BO521" s="7724" t="str">
        <f>IF(_xlfn.IFERROR(INDEX(Покупка!$K$26:$L$372,MATCH($F521&amp;"5komm",Покупка!$K$26:$K$372,0),2),"")=0,"",_xlfn.IFERROR(INDEX(Покупка!$K$26:$L$372,MATCH($F521&amp;"5komm",Покупка!$K$26:$K$372,0),2),""))</f>
        <v/>
      </c>
      <c r="BP521" s="7771"/>
      <c r="BQ521" s="1278"/>
      <c r="BR521" s="1278"/>
      <c r="BS521" s="1064" t="s">
        <v>2465</v>
      </c>
      <c r="BT521" s="1064"/>
      <c r="BU521" s="1064"/>
      <c r="BV521" s="979"/>
      <c r="BW521" s="979"/>
    </row>
    <row s="1233" customFormat="1" customHeight="1" ht="14.25">
      <c r="A522" s="1233"/>
      <c r="B522" s="96"/>
      <c r="C522" s="107"/>
      <c r="D522" s="107"/>
      <c r="E522" s="621">
        <v>15</v>
      </c>
      <c r="F522" s="50" cm="1" t="str">
        <f t="array" ref="F522:F522">OFFSET(E522,-1,1)</f>
        <v>3</v>
      </c>
      <c r="G522" s="107" t="s">
        <v>1853</v>
      </c>
      <c r="H522" s="107"/>
      <c r="I522" s="107"/>
      <c r="J522" s="107"/>
      <c r="K522" s="107"/>
      <c r="L522" s="980" t="s">
        <v>2235</v>
      </c>
      <c r="M522" s="107"/>
      <c r="N522" s="107"/>
      <c r="O522" s="107"/>
      <c r="P522" s="107"/>
      <c r="Q522" s="107"/>
      <c r="R522" s="107"/>
      <c r="S522" s="107"/>
      <c r="T522" s="465" cm="1" t="str">
        <f t="array" ref="T522:T522">T521</f>
        <v>true</v>
      </c>
      <c r="U522" s="107"/>
      <c r="V522" s="107"/>
      <c r="W522" s="1233"/>
      <c r="X522" s="1563"/>
      <c r="Y522" s="1233"/>
      <c r="Z522" s="1546"/>
      <c r="AA522" s="1233"/>
      <c r="AB522" s="299" t="s">
        <v>2765</v>
      </c>
      <c r="AC522" s="765" t="s">
        <v>2766</v>
      </c>
      <c r="AD522" s="300" t="s">
        <v>1514</v>
      </c>
      <c r="AE522" s="259">
        <f>_xlfn.SUMIFS(Покупка!AE$25:AE$372,Покупка!$F$25:$F$372,$F522,Покупка!$AC$25:$AC$372,$G522)</f>
        <v>0</v>
      </c>
      <c r="AF522" s="259">
        <f>_xlfn.SUMIFS(Покупка!AF$25:AF$372,Покупка!$F$25:$F$372,$F522,Покупка!$AC$25:$AC$372,$G522)</f>
        <v>0</v>
      </c>
      <c r="AG522" s="259">
        <f>_xlfn.SUMIFS(Покупка!AG$25:AG$372,Покупка!$F$25:$F$372,$F522,Покупка!$AC$25:$AC$372,$G522)</f>
        <v>0</v>
      </c>
      <c r="AH522" s="943">
        <f>AG522-AF522</f>
        <v>0</v>
      </c>
      <c r="AI522" s="943">
        <f>_xlfn.SUMIFS(Покупка!AH$25:AH$372,Покупка!$F$25:$F$372,$F522,Покупка!$AC$25:$AC$372,$G522)</f>
        <v>0</v>
      </c>
      <c r="AJ522" s="1116">
        <f>_xlfn.SUMIFS(Покупка!AI$25:AI$372,Покупка!$F$25:$F$372,$F522,Покупка!$AC$25:$AC$372,$G522)</f>
        <v>0</v>
      </c>
      <c r="AK522" s="1116">
        <f>_xlfn.SUMIFS(Покупка!AJ$25:AJ$372,Покупка!$F$25:$F$372,$F522,Покупка!$AC$25:$AC$372,$G522)</f>
        <v>0</v>
      </c>
      <c r="AL522" s="1116">
        <f>_xlfn.SUMIFS(Покупка!AK$25:AK$372,Покупка!$F$25:$F$372,$F522,Покупка!$AC$25:$AC$372,$G522)</f>
        <v>0</v>
      </c>
      <c r="AM522" s="1116">
        <f>_xlfn.SUMIFS(Покупка!AL$25:AL$372,Покупка!$F$25:$F$372,$F522,Покупка!$AC$25:$AC$372,$G522)</f>
        <v>0</v>
      </c>
      <c r="AN522" s="1116">
        <f>_xlfn.SUMIFS(Покупка!AM$25:AM$372,Покупка!$F$25:$F$372,$F522,Покупка!$AC$25:$AC$372,$G522)</f>
        <v>0</v>
      </c>
      <c r="AO522" s="1116">
        <f>_xlfn.SUMIFS(Покупка!AN$25:AN$372,Покупка!$F$25:$F$372,$F522,Покупка!$AC$25:$AC$372,$G522)</f>
        <v>0</v>
      </c>
      <c r="AP522" s="1116">
        <f>_xlfn.SUMIFS(Покупка!AO$25:AO$372,Покупка!$F$25:$F$372,$F522,Покупка!$AC$25:$AC$372,$G522)</f>
        <v>0</v>
      </c>
      <c r="AQ522" s="1116">
        <f>_xlfn.SUMIFS(Покупка!AP$25:AP$372,Покупка!$F$25:$F$372,$F522,Покупка!$AC$25:$AC$372,$G522)</f>
        <v>0</v>
      </c>
      <c r="AR522" s="1116">
        <f>_xlfn.SUMIFS(Покупка!AQ$25:AQ$372,Покупка!$F$25:$F$372,$F522,Покупка!$AC$25:$AC$372,$G522)</f>
        <v>0</v>
      </c>
      <c r="AS522" s="1116">
        <f>_xlfn.SUMIFS(Покупка!AR$25:AR$372,Покупка!$F$25:$F$372,$F522,Покупка!$AC$25:$AC$372,$G522)</f>
        <v>0</v>
      </c>
      <c r="AT522" s="1116">
        <f>_xlfn.SUMIFS(Покупка!AS$25:AS$372,Покупка!$F$25:$F$372,$F522,Покупка!$AC$25:$AC$372,$G522)</f>
        <v>0</v>
      </c>
      <c r="AU522" s="1116">
        <f>_xlfn.SUMIFS(Покупка!AT$25:AT$372,Покупка!$F$25:$F$372,$F522,Покупка!$AC$25:$AC$372,$G522)</f>
        <v>0</v>
      </c>
      <c r="AV522" s="1116">
        <f>_xlfn.SUMIFS(Покупка!AU$25:AU$372,Покупка!$F$25:$F$372,$F522,Покупка!$AC$25:$AC$372,$G522)</f>
        <v>0</v>
      </c>
      <c r="AW522" s="1116">
        <f>_xlfn.SUMIFS(Покупка!AV$25:AV$372,Покупка!$F$25:$F$372,$F522,Покупка!$AC$25:$AC$372,$G522)</f>
        <v>0</v>
      </c>
      <c r="AX522" s="1116">
        <f>_xlfn.SUMIFS(Покупка!AW$25:AW$372,Покупка!$F$25:$F$372,$F522,Покупка!$AC$25:$AC$372,$G522)</f>
        <v>0</v>
      </c>
      <c r="AY522" s="1116">
        <f>_xlfn.SUMIFS(Покупка!AX$25:AX$372,Покупка!$F$25:$F$372,$F522,Покупка!$AC$25:$AC$372,$G522)</f>
        <v>0</v>
      </c>
      <c r="AZ522" s="1116">
        <f>_xlfn.SUMIFS(Покупка!AY$25:AY$372,Покупка!$F$25:$F$372,$F522,Покупка!$AC$25:$AC$372,$G522)</f>
        <v>0</v>
      </c>
      <c r="BA522" s="1116">
        <f>_xlfn.SUMIFS(Покупка!AZ$25:AZ$372,Покупка!$F$25:$F$372,$F522,Покупка!$AC$25:$AC$372,$G522)</f>
        <v>0</v>
      </c>
      <c r="BB522" s="1116">
        <f>_xlfn.SUMIFS(Покупка!BA$25:BA$372,Покупка!$F$25:$F$372,$F522,Покупка!$AC$25:$AC$372,$G522)</f>
        <v>0</v>
      </c>
      <c r="BC522" s="1116">
        <f>_xlfn.SUMIFS(Покупка!BB$25:BB$372,Покупка!$F$25:$F$372,$F522,Покупка!$AC$25:$AC$372,$G522)</f>
        <v>0</v>
      </c>
      <c r="BD522" s="943">
        <f>IF(AI522=0,0,(AT522-AI522)/AI522*100)</f>
        <v>0</v>
      </c>
      <c r="BE522" s="943">
        <f>IF(AT522=0,0,(AU522-AT522)/AT522*100)</f>
        <v>0</v>
      </c>
      <c r="BF522" s="943">
        <f>IF(AU522=0,0,(AV522-AU522)/AU522*100)</f>
        <v>0</v>
      </c>
      <c r="BG522" s="943">
        <f>IF(AV522=0,0,(AW522-AV522)/AV522*100)</f>
        <v>0</v>
      </c>
      <c r="BH522" s="943">
        <f>IF(AW522=0,0,(AX522-AW522)/AW522*100)</f>
        <v>0</v>
      </c>
      <c r="BI522" s="943">
        <f>IF(AX522=0,0,(AY522-AX522)/AX522*100)</f>
        <v>0</v>
      </c>
      <c r="BJ522" s="943">
        <f>IF(AY522=0,0,(AZ522-AY522)/AY522*100)</f>
        <v>0</v>
      </c>
      <c r="BK522" s="943">
        <f>IF(AZ522=0,0,(BA522-AZ522)/AZ522*100)</f>
        <v>0</v>
      </c>
      <c r="BL522" s="943">
        <f>IF(BA522=0,0,(BB522-BA522)/BA522*100)</f>
        <v>0</v>
      </c>
      <c r="BM522" s="943">
        <f>IF(BB522=0,0,(BC522-BB522)/BB522*100)</f>
        <v>0</v>
      </c>
      <c r="BN522" s="7771"/>
      <c r="BO522" s="7724" t="str">
        <f>IF(_xlfn.IFERROR(INDEX(Покупка!$K$26:$L$372,MATCH($F522&amp;"9komm",Покупка!$K$26:$K$372,0),2),"")=0,"",_xlfn.IFERROR(INDEX(Покупка!$K$26:$L$372,MATCH($F522&amp;"9komm",Покупка!$K$26:$K$372,0),2),""))</f>
        <v/>
      </c>
      <c r="BP522" s="7771"/>
      <c r="BQ522" s="1233"/>
      <c r="BR522" s="1233"/>
      <c r="BS522" s="1064" t="s">
        <v>1854</v>
      </c>
      <c r="BT522" s="1064"/>
      <c r="BU522" s="1064"/>
      <c r="BV522" s="703"/>
      <c r="BW522" s="703"/>
    </row>
    <row s="1834" customFormat="1" customHeight="1" ht="14.25">
      <c r="A523" s="1278"/>
      <c r="B523" s="96"/>
      <c r="C523" s="107"/>
      <c r="D523" s="107"/>
      <c r="E523" s="621">
        <v>15</v>
      </c>
      <c r="F523" s="50" cm="1" t="str">
        <f t="array" ref="F523:F523">OFFSET(E523,-1,1)</f>
        <v>3</v>
      </c>
      <c r="G523" s="107"/>
      <c r="H523" s="107"/>
      <c r="I523" s="107" t="s">
        <v>1196</v>
      </c>
      <c r="J523" s="107"/>
      <c r="K523" s="107" t="s">
        <v>1196</v>
      </c>
      <c r="L523" s="980"/>
      <c r="M523" s="107"/>
      <c r="N523" s="107"/>
      <c r="O523" s="107"/>
      <c r="P523" s="107"/>
      <c r="Q523" s="107"/>
      <c r="R523" s="107"/>
      <c r="S523" s="107"/>
      <c r="T523" s="465" cm="1" t="str">
        <f t="array" ref="T523:T523">T522</f>
        <v>true</v>
      </c>
      <c r="U523" s="107"/>
      <c r="V523" s="107"/>
      <c r="W523" s="1278"/>
      <c r="X523" s="1563"/>
      <c r="Y523" s="1278"/>
      <c r="Z523" s="1546"/>
      <c r="AA523" s="1278"/>
      <c r="AB523" s="299" t="s">
        <v>1254</v>
      </c>
      <c r="AC523" s="762" t="s">
        <v>2767</v>
      </c>
      <c r="AD523" s="779" t="s">
        <v>1514</v>
      </c>
      <c r="AE523" s="259">
        <f>_xlfn.SUMIFS('Сырье и материалы'!AE$25:AE$162,'Сырье и материалы'!$F$25:$F$162,$F523,'Сырье и материалы'!$I$25:$I$162,"Реагенты")</f>
        <v>0</v>
      </c>
      <c r="AF523" s="259">
        <f>_xlfn.SUMIFS('Сырье и материалы'!AF$25:AF$162,'Сырье и материалы'!$F$25:$F$162,$F523,'Сырье и материалы'!$I$25:$I$162,"Реагенты")</f>
        <v>0</v>
      </c>
      <c r="AG523" s="259">
        <f>_xlfn.SUMIFS('Сырье и материалы'!AG$25:AG$162,'Сырье и материалы'!$F$25:$F$162,$F523,'Сырье и материалы'!$I$25:$I$162,"Реагенты")</f>
        <v>0</v>
      </c>
      <c r="AH523" s="943">
        <f>AG523-AF523</f>
        <v>0</v>
      </c>
      <c r="AI523" s="943">
        <f>_xlfn.SUMIFS('Сырье и материалы'!AH$25:AH$162,'Сырье и материалы'!$F$25:$F$162,$F523,'Сырье и материалы'!$I$25:$I$162,"Реагенты")</f>
        <v>0</v>
      </c>
      <c r="AJ523" s="943">
        <f>_xlfn.SUMIFS('Сырье и материалы'!AI$25:AI$162,'Сырье и материалы'!$F$25:$F$162,$F523,'Сырье и материалы'!$I$25:$I$162,"Реагенты")</f>
        <v>1661.9050032</v>
      </c>
      <c r="AK523" s="943">
        <f>_xlfn.SUMIFS('Сырье и материалы'!AJ$25:AJ$162,'Сырье и материалы'!$F$25:$F$162,$F523,'Сырье и материалы'!$I$25:$I$162,"Реагенты")</f>
        <v>1726.7192983248</v>
      </c>
      <c r="AL523" s="943">
        <f>_xlfn.SUMIFS('Сырье и материалы'!AK$25:AK$162,'Сырье и материалы'!$F$25:$F$162,$F523,'Сырье и материалы'!$I$25:$I$162,"Реагенты")</f>
        <v>1792.33463166114</v>
      </c>
      <c r="AM523" s="943">
        <f>_xlfn.SUMIFS('Сырье и материалы'!AL$25:AL$162,'Сырье и материалы'!$F$25:$F$162,$F523,'Сырье и материалы'!$I$25:$I$162,"Реагенты")</f>
        <v>1860.44334766427</v>
      </c>
      <c r="AN523" s="943">
        <f>_xlfn.SUMIFS('Сырье и материалы'!AM$25:AM$162,'Сырье и материалы'!$F$25:$F$162,$F523,'Сырье и материалы'!$I$25:$I$162,"Реагенты")</f>
        <v>1931.14019487551</v>
      </c>
      <c r="AO523" s="943">
        <f>_xlfn.SUMIFS('Сырье и материалы'!AN$25:AN$162,'Сырье и материалы'!$F$25:$F$162,$F523,'Сырье и материалы'!$I$25:$I$162,"Реагенты")</f>
        <v>0</v>
      </c>
      <c r="AP523" s="943">
        <f>_xlfn.SUMIFS('Сырье и материалы'!AO$25:AO$162,'Сырье и материалы'!$F$25:$F$162,$F523,'Сырье и материалы'!$I$25:$I$162,"Реагенты")</f>
        <v>0</v>
      </c>
      <c r="AQ523" s="943">
        <f>_xlfn.SUMIFS('Сырье и материалы'!AP$25:AP$162,'Сырье и материалы'!$F$25:$F$162,$F523,'Сырье и материалы'!$I$25:$I$162,"Реагенты")</f>
        <v>0</v>
      </c>
      <c r="AR523" s="943">
        <f>_xlfn.SUMIFS('Сырье и материалы'!AQ$25:AQ$162,'Сырье и материалы'!$F$25:$F$162,$F523,'Сырье и материалы'!$I$25:$I$162,"Реагенты")</f>
        <v>0</v>
      </c>
      <c r="AS523" s="943">
        <f>_xlfn.SUMIFS('Сырье и материалы'!AR$25:AR$162,'Сырье и материалы'!$F$25:$F$162,$F523,'Сырье и материалы'!$I$25:$I$162,"Реагенты")</f>
        <v>0</v>
      </c>
      <c r="AT523" s="943">
        <f>_xlfn.SUMIFS('Сырье и материалы'!AS$25:AS$162,'Сырье и материалы'!$F$25:$F$162,$F523,'Сырье и материалы'!$I$25:$I$162,"Реагенты")</f>
        <v>1661.9050032</v>
      </c>
      <c r="AU523" s="943">
        <f>_xlfn.SUMIFS('Сырье и материалы'!AT$25:AT$162,'Сырье и материалы'!$F$25:$F$162,$F523,'Сырье и материалы'!$I$25:$I$162,"Реагенты")</f>
        <v>1726.7192983248</v>
      </c>
      <c r="AV523" s="943">
        <f>_xlfn.SUMIFS('Сырье и материалы'!AU$25:AU$162,'Сырье и материалы'!$F$25:$F$162,$F523,'Сырье и материалы'!$I$25:$I$162,"Реагенты")</f>
        <v>1792.33463166114</v>
      </c>
      <c r="AW523" s="943">
        <f>_xlfn.SUMIFS('Сырье и материалы'!AV$25:AV$162,'Сырье и материалы'!$F$25:$F$162,$F523,'Сырье и материалы'!$I$25:$I$162,"Реагенты")</f>
        <v>1860.44334766427</v>
      </c>
      <c r="AX523" s="943">
        <f>_xlfn.SUMIFS('Сырье и материалы'!AW$25:AW$162,'Сырье и материалы'!$F$25:$F$162,$F523,'Сырье и материалы'!$I$25:$I$162,"Реагенты")</f>
        <v>1931.14019487551</v>
      </c>
      <c r="AY523" s="943">
        <f>_xlfn.SUMIFS('Сырье и материалы'!AX$25:AX$162,'Сырье и материалы'!$F$25:$F$162,$F523,'Сырье и материалы'!$I$25:$I$162,"Реагенты")</f>
        <v>0</v>
      </c>
      <c r="AZ523" s="943">
        <f>_xlfn.SUMIFS('Сырье и материалы'!AY$25:AY$162,'Сырье и материалы'!$F$25:$F$162,$F523,'Сырье и материалы'!$I$25:$I$162,"Реагенты")</f>
        <v>0</v>
      </c>
      <c r="BA523" s="943">
        <f>_xlfn.SUMIFS('Сырье и материалы'!AZ$25:AZ$162,'Сырье и материалы'!$F$25:$F$162,$F523,'Сырье и материалы'!$I$25:$I$162,"Реагенты")</f>
        <v>0</v>
      </c>
      <c r="BB523" s="943">
        <f>_xlfn.SUMIFS('Сырье и материалы'!BA$25:BA$162,'Сырье и материалы'!$F$25:$F$162,$F523,'Сырье и материалы'!$I$25:$I$162,"Реагенты")</f>
        <v>0</v>
      </c>
      <c r="BC523" s="943">
        <f>_xlfn.SUMIFS('Сырье и материалы'!BB$25:BB$162,'Сырье и материалы'!$F$25:$F$162,$F523,'Сырье и материалы'!$I$25:$I$162,"Реагенты")</f>
        <v>0</v>
      </c>
      <c r="BD523" s="943">
        <f>IF(AI523=0,0,(AT523-AI523)/AI523*100)</f>
        <v>0</v>
      </c>
      <c r="BE523" s="943">
        <f>IF(AT523=0,0,(AU523-AT523)/AT523*100)</f>
        <v>3.9</v>
      </c>
      <c r="BF523" s="943">
        <f>IF(AU523=0,0,(AV523-AU523)/AU523*100)</f>
        <v>3.79999999999986</v>
      </c>
      <c r="BG523" s="943">
        <f>IF(AV523=0,0,(AW523-AV523)/AV523*100)</f>
        <v>3.80000000000037</v>
      </c>
      <c r="BH523" s="943">
        <f>IF(AW523=0,0,(AX523-AW523)/AW523*100)</f>
        <v>3.79999999999987</v>
      </c>
      <c r="BI523" s="943">
        <f>IF(AX523=0,0,(AY523-AX523)/AX523*100)</f>
        <v>-100</v>
      </c>
      <c r="BJ523" s="943">
        <f>IF(AY523=0,0,(AZ523-AY523)/AY523*100)</f>
        <v>0</v>
      </c>
      <c r="BK523" s="943">
        <f>IF(AZ523=0,0,(BA523-AZ523)/AZ523*100)</f>
        <v>0</v>
      </c>
      <c r="BL523" s="943">
        <f>IF(BA523=0,0,(BB523-BA523)/BA523*100)</f>
        <v>0</v>
      </c>
      <c r="BM523" s="943">
        <f>IF(BB523=0,0,(BC523-BB523)/BB523*100)</f>
        <v>0</v>
      </c>
      <c r="BN523" s="7771"/>
      <c r="BO523" s="7724" t="str">
        <f>IF(_xlfn.IFERROR(INDEX('Сырье и материалы'!$K$26:$L$162,MATCH($F523&amp;"komm",'Сырье и материалы'!$K$26:$K$162,0),2),"")=0,"",_xlfn.IFERROR(INDEX('Сырье и материалы'!$K$26:$L$162,MATCH($F523&amp;"komm",'Сырье и материалы'!$K$26:$K$162,0),2),""))</f>
        <v/>
      </c>
      <c r="BP523" s="7771"/>
      <c r="BQ523" s="1278"/>
      <c r="BR523" s="1278"/>
      <c r="BS523" s="1064" t="s">
        <v>2438</v>
      </c>
      <c r="BT523" s="1064"/>
      <c r="BU523" s="1064"/>
      <c r="BV523" s="979"/>
      <c r="BW523" s="979"/>
    </row>
    <row s="7896" customFormat="1" customHeight="1" ht="20.25">
      <c r="A524" s="700"/>
      <c r="B524" s="111"/>
      <c r="C524" s="109"/>
      <c r="D524" s="109"/>
      <c r="E524" s="826">
        <v>21</v>
      </c>
      <c r="F524" s="50" cm="1" t="str">
        <f t="array" ref="F524:F524">OFFSET(E524,-1,1)</f>
        <v>3</v>
      </c>
      <c r="G524" s="109"/>
      <c r="H524" s="107"/>
      <c r="I524" s="107" t="s">
        <v>1648</v>
      </c>
      <c r="J524" s="109"/>
      <c r="K524" s="107" t="s">
        <v>1648</v>
      </c>
      <c r="L524" s="985" t="s">
        <v>1228</v>
      </c>
      <c r="M524" s="109"/>
      <c r="N524" s="109"/>
      <c r="O524" s="109"/>
      <c r="P524" s="109"/>
      <c r="Q524" s="109"/>
      <c r="R524" s="109"/>
      <c r="S524" s="109"/>
      <c r="T524" s="465" cm="1" t="str">
        <f t="array" ref="T524:T524">T523</f>
        <v>true</v>
      </c>
      <c r="U524" s="109"/>
      <c r="V524" s="109"/>
      <c r="W524" s="700"/>
      <c r="X524" s="1563"/>
      <c r="Y524" s="700"/>
      <c r="Z524" s="1546"/>
      <c r="AA524" s="700"/>
      <c r="AB524" s="218" t="s">
        <v>1258</v>
      </c>
      <c r="AC524" s="361" t="s">
        <v>2768</v>
      </c>
      <c r="AD524" s="211" t="s">
        <v>1514</v>
      </c>
      <c r="AE524" s="778">
        <f>SUM(AE525:AE534)</f>
        <v>0</v>
      </c>
      <c r="AF524" s="778">
        <f>SUM(AF525:AF534)</f>
        <v>0</v>
      </c>
      <c r="AG524" s="778">
        <f>SUM(AG525:AG534)</f>
        <v>0</v>
      </c>
      <c r="AH524" s="761">
        <f>AG524-AF524</f>
        <v>0</v>
      </c>
      <c r="AI524" s="761">
        <f>SUM(AI525:AI534)</f>
        <v>0</v>
      </c>
      <c r="AJ524" s="770">
        <f>SUM(AJ525:AJ534)</f>
        <v>184.694</v>
      </c>
      <c r="AK524" s="761">
        <f>SUM(AK525:AK534)</f>
        <v>170.543</v>
      </c>
      <c r="AL524" s="761">
        <f>SUM(AL525:AL534)</f>
        <v>175.07407070976</v>
      </c>
      <c r="AM524" s="761">
        <f>SUM(AM525:AM534)</f>
        <v>312.96015353815</v>
      </c>
      <c r="AN524" s="761">
        <f>SUM(AN525:AN534)</f>
        <v>264.080999679676</v>
      </c>
      <c r="AO524" s="761">
        <f>SUM(AO525:AO534)</f>
        <v>0</v>
      </c>
      <c r="AP524" s="761">
        <f>SUM(AP525:AP534)</f>
        <v>0</v>
      </c>
      <c r="AQ524" s="761">
        <f>SUM(AQ525:AQ534)</f>
        <v>0</v>
      </c>
      <c r="AR524" s="761">
        <f>SUM(AR525:AR534)</f>
        <v>0</v>
      </c>
      <c r="AS524" s="761">
        <f>SUM(AS525:AS534)</f>
        <v>0</v>
      </c>
      <c r="AT524" s="770">
        <f>SUM(AT525:AT534)</f>
        <v>184.6980136</v>
      </c>
      <c r="AU524" s="761">
        <f>SUM(AU525:AU534)</f>
        <v>170.546914144</v>
      </c>
      <c r="AV524" s="761">
        <f>SUM(AV525:AV534)</f>
        <v>175.07707070976</v>
      </c>
      <c r="AW524" s="761">
        <f>SUM(AW525:AW534)</f>
        <v>312.96015353815</v>
      </c>
      <c r="AX524" s="761">
        <f>SUM(AX525:AX534)</f>
        <v>264.080999679676</v>
      </c>
      <c r="AY524" s="761">
        <f>SUM(AY525:AY534)</f>
        <v>0</v>
      </c>
      <c r="AZ524" s="761">
        <f>SUM(AZ525:AZ534)</f>
        <v>0</v>
      </c>
      <c r="BA524" s="761">
        <f>SUM(BA525:BA534)</f>
        <v>0</v>
      </c>
      <c r="BB524" s="761">
        <f>SUM(BB525:BB534)</f>
        <v>0</v>
      </c>
      <c r="BC524" s="761">
        <f>SUM(BC525:BC534)</f>
        <v>0</v>
      </c>
      <c r="BD524" s="761">
        <f>IF(AI524=0,0,(AT524-AI524)/AI524*100)</f>
        <v>0</v>
      </c>
      <c r="BE524" s="761">
        <f>IF(AT524=0,0,(AU524-AT524)/AT524*100)</f>
        <v>-7.66174967460505</v>
      </c>
      <c r="BF524" s="761">
        <f>IF(AU524=0,0,(AV524-AU524)/AU524*100)</f>
        <v>2.65625243851378</v>
      </c>
      <c r="BG524" s="761">
        <f>IF(AV524=0,0,(AW524-AV524)/AV524*100)</f>
        <v>78.7556487376753</v>
      </c>
      <c r="BH524" s="761">
        <f>IF(AW524=0,0,(AX524-AW524)/AW524*100)</f>
        <v>-15.6183313772933</v>
      </c>
      <c r="BI524" s="761">
        <f>IF(AX524=0,0,(AY524-AX524)/AX524*100)</f>
        <v>-100</v>
      </c>
      <c r="BJ524" s="761">
        <f>IF(AY524=0,0,(AZ524-AY524)/AY524*100)</f>
        <v>0</v>
      </c>
      <c r="BK524" s="761">
        <f>IF(AZ524=0,0,(BA524-AZ524)/AZ524*100)</f>
        <v>0</v>
      </c>
      <c r="BL524" s="761">
        <f>IF(BA524=0,0,(BB524-BA524)/BA524*100)</f>
        <v>0</v>
      </c>
      <c r="BM524" s="761">
        <f>IF(BB524=0,0,(BC524-BB524)/BB524*100)</f>
        <v>0</v>
      </c>
      <c r="BN524" s="7436"/>
      <c r="BO524" s="7724" t="str">
        <f>IF(_xlfn.IFERROR(INDEX(Налоги!$K$26:$L$101,MATCH($F524&amp;"komm",Налоги!$K$26:$K$101,0),2),"")=0,"",_xlfn.IFERROR(INDEX(Налоги!$K$26:$L$101,MATCH($F524&amp;"komm",Налоги!$K$26:$K$101,0),2),""))</f>
        <v>В соответствии с п.п. 2 п. 49 Методических указаний 1746-э.</v>
      </c>
      <c r="BP524" s="7436"/>
      <c r="BQ524" s="700"/>
      <c r="BR524" s="700"/>
      <c r="BS524" s="1070" t="s">
        <v>1999</v>
      </c>
      <c r="BT524" s="1070"/>
      <c r="BU524" s="1070"/>
      <c r="BV524" s="707"/>
      <c r="BW524" s="707"/>
    </row>
    <row s="1834" customFormat="1" customHeight="1" ht="14.25">
      <c r="A525" s="1278"/>
      <c r="B525" s="96"/>
      <c r="C525" s="107"/>
      <c r="D525" s="107"/>
      <c r="E525" s="621">
        <v>15</v>
      </c>
      <c r="F525" s="50" cm="1" t="str">
        <f t="array" ref="F525:F525">OFFSET(E525,-1,1)</f>
        <v>3</v>
      </c>
      <c r="G525" s="922">
        <v>7</v>
      </c>
      <c r="H525" s="107"/>
      <c r="I525" s="107" t="s">
        <v>2769</v>
      </c>
      <c r="J525" s="107"/>
      <c r="K525" s="107" t="s">
        <v>2769</v>
      </c>
      <c r="L525" s="980"/>
      <c r="M525" s="107"/>
      <c r="N525" s="107"/>
      <c r="O525" s="107"/>
      <c r="P525" s="107"/>
      <c r="Q525" s="107"/>
      <c r="R525" s="107"/>
      <c r="S525" s="107"/>
      <c r="T525" s="465" cm="1" t="str">
        <f t="array" ref="T525:T525">T524</f>
        <v>true</v>
      </c>
      <c r="U525" s="107"/>
      <c r="V525" s="107"/>
      <c r="W525" s="1278"/>
      <c r="X525" s="1563"/>
      <c r="Y525" s="1278"/>
      <c r="Z525" s="1546"/>
      <c r="AA525" s="1278"/>
      <c r="AB525" s="299" t="s">
        <v>1212</v>
      </c>
      <c r="AC525" s="765" t="s">
        <v>2013</v>
      </c>
      <c r="AD525" s="300" t="s">
        <v>1514</v>
      </c>
      <c r="AE525" s="259">
        <f>_xlfn.SUMIFS(Налоги!AE$25:AE$101,Налоги!$F$25:$F$101,$F525,Налоги!$AB$25:$AB$101,$G525)</f>
        <v>0</v>
      </c>
      <c r="AF525" s="259">
        <f>_xlfn.SUMIFS(Налоги!AF$25:AF$101,Налоги!$F$25:$F$101,$F525,Налоги!$AB$25:$AB$101,$G525)</f>
        <v>0</v>
      </c>
      <c r="AG525" s="259">
        <f>_xlfn.SUMIFS(Налоги!AG$25:AG$101,Налоги!$F$25:$F$101,$F525,Налоги!$AB$25:$AB$101,$G525)</f>
        <v>0</v>
      </c>
      <c r="AH525" s="943">
        <f>AG525-AF525</f>
        <v>0</v>
      </c>
      <c r="AI525" s="943">
        <f>_xlfn.SUMIFS(Налоги!AH$25:AH$101,Налоги!$F$25:$F$101,$F525,Налоги!$AB$25:$AB$101,$G525)</f>
        <v>0</v>
      </c>
      <c r="AJ525" s="943">
        <f>_xlfn.SUMIFS(Налоги!AI$25:AI$101,Налоги!$F$25:$F$101,$F525,Налоги!$AB$25:$AB$101,$G525)</f>
        <v>0</v>
      </c>
      <c r="AK525" s="943">
        <f>_xlfn.SUMIFS(Налоги!AJ$25:AJ$101,Налоги!$F$25:$F$101,$F525,Налоги!$AB$25:$AB$101,$G525)</f>
        <v>0</v>
      </c>
      <c r="AL525" s="943">
        <f>_xlfn.SUMIFS(Налоги!AK$25:AK$101,Налоги!$F$25:$F$101,$F525,Налоги!$AB$25:$AB$101,$G525)</f>
        <v>0</v>
      </c>
      <c r="AM525" s="943">
        <f>_xlfn.SUMIFS(Налоги!AL$25:AL$101,Налоги!$F$25:$F$101,$F525,Налоги!$AB$25:$AB$101,$G525)</f>
        <v>0</v>
      </c>
      <c r="AN525" s="943">
        <f>_xlfn.SUMIFS(Налоги!AM$25:AM$101,Налоги!$F$25:$F$101,$F525,Налоги!$AB$25:$AB$101,$G525)</f>
        <v>0</v>
      </c>
      <c r="AO525" s="943">
        <f>_xlfn.SUMIFS(Налоги!AN$25:AN$101,Налоги!$F$25:$F$101,$F525,Налоги!$AB$25:$AB$101,$G525)</f>
        <v>0</v>
      </c>
      <c r="AP525" s="943">
        <f>_xlfn.SUMIFS(Налоги!AO$25:AO$101,Налоги!$F$25:$F$101,$F525,Налоги!$AB$25:$AB$101,$G525)</f>
        <v>0</v>
      </c>
      <c r="AQ525" s="943">
        <f>_xlfn.SUMIFS(Налоги!AP$25:AP$101,Налоги!$F$25:$F$101,$F525,Налоги!$AB$25:$AB$101,$G525)</f>
        <v>0</v>
      </c>
      <c r="AR525" s="943">
        <f>_xlfn.SUMIFS(Налоги!AQ$25:AQ$101,Налоги!$F$25:$F$101,$F525,Налоги!$AB$25:$AB$101,$G525)</f>
        <v>0</v>
      </c>
      <c r="AS525" s="943">
        <f>_xlfn.SUMIFS(Налоги!AR$25:AR$101,Налоги!$F$25:$F$101,$F525,Налоги!$AB$25:$AB$101,$G525)</f>
        <v>0</v>
      </c>
      <c r="AT525" s="943">
        <f>_xlfn.SUMIFS(Налоги!AS$25:AS$101,Налоги!$F$25:$F$101,$F525,Налоги!$AB$25:$AB$101,$G525)</f>
        <v>0</v>
      </c>
      <c r="AU525" s="943">
        <f>_xlfn.SUMIFS(Налоги!AT$25:AT$101,Налоги!$F$25:$F$101,$F525,Налоги!$AB$25:$AB$101,$G525)</f>
        <v>0</v>
      </c>
      <c r="AV525" s="943">
        <f>_xlfn.SUMIFS(Налоги!AU$25:AU$101,Налоги!$F$25:$F$101,$F525,Налоги!$AB$25:$AB$101,$G525)</f>
        <v>0</v>
      </c>
      <c r="AW525" s="943">
        <f>_xlfn.SUMIFS(Налоги!AV$25:AV$101,Налоги!$F$25:$F$101,$F525,Налоги!$AB$25:$AB$101,$G525)</f>
        <v>0</v>
      </c>
      <c r="AX525" s="943">
        <f>_xlfn.SUMIFS(Налоги!AW$25:AW$101,Налоги!$F$25:$F$101,$F525,Налоги!$AB$25:$AB$101,$G525)</f>
        <v>0</v>
      </c>
      <c r="AY525" s="943">
        <f>_xlfn.SUMIFS(Налоги!AX$25:AX$101,Налоги!$F$25:$F$101,$F525,Налоги!$AB$25:$AB$101,$G525)</f>
        <v>0</v>
      </c>
      <c r="AZ525" s="943">
        <f>_xlfn.SUMIFS(Налоги!AY$25:AY$101,Налоги!$F$25:$F$101,$F525,Налоги!$AB$25:$AB$101,$G525)</f>
        <v>0</v>
      </c>
      <c r="BA525" s="943">
        <f>_xlfn.SUMIFS(Налоги!AZ$25:AZ$101,Налоги!$F$25:$F$101,$F525,Налоги!$AB$25:$AB$101,$G525)</f>
        <v>0</v>
      </c>
      <c r="BB525" s="943">
        <f>_xlfn.SUMIFS(Налоги!BA$25:BA$101,Налоги!$F$25:$F$101,$F525,Налоги!$AB$25:$AB$101,$G525)</f>
        <v>0</v>
      </c>
      <c r="BC525" s="943">
        <f>_xlfn.SUMIFS(Налоги!BB$25:BB$101,Налоги!$F$25:$F$101,$F525,Налоги!$AB$25:$AB$101,$G525)</f>
        <v>0</v>
      </c>
      <c r="BD525" s="943">
        <f>IF(AI525=0,0,(AT525-AI525)/AI525*100)</f>
        <v>0</v>
      </c>
      <c r="BE525" s="943">
        <f>IF(AT525=0,0,(AU525-AT525)/AT525*100)</f>
        <v>0</v>
      </c>
      <c r="BF525" s="943">
        <f>IF(AU525=0,0,(AV525-AU525)/AU525*100)</f>
        <v>0</v>
      </c>
      <c r="BG525" s="943">
        <f>IF(AV525=0,0,(AW525-AV525)/AV525*100)</f>
        <v>0</v>
      </c>
      <c r="BH525" s="943">
        <f>IF(AW525=0,0,(AX525-AW525)/AW525*100)</f>
        <v>0</v>
      </c>
      <c r="BI525" s="943">
        <f>IF(AX525=0,0,(AY525-AX525)/AX525*100)</f>
        <v>0</v>
      </c>
      <c r="BJ525" s="943">
        <f>IF(AY525=0,0,(AZ525-AY525)/AY525*100)</f>
        <v>0</v>
      </c>
      <c r="BK525" s="943">
        <f>IF(AZ525=0,0,(BA525-AZ525)/AZ525*100)</f>
        <v>0</v>
      </c>
      <c r="BL525" s="943">
        <f>IF(BA525=0,0,(BB525-BA525)/BA525*100)</f>
        <v>0</v>
      </c>
      <c r="BM525" s="943">
        <f>IF(BB525=0,0,(BC525-BB525)/BB525*100)</f>
        <v>0</v>
      </c>
      <c r="BN525" s="7771"/>
      <c r="BO525" s="7724" t="str">
        <f>IF(_xlfn.IFERROR(INDEX(Налоги!$K$26:$L$101,MATCH($F525&amp;"7komm",Налоги!$K$26:$K$101,0),2),"")=0,"",_xlfn.IFERROR(INDEX(Налоги!$K$26:$L$101,MATCH($F525&amp;"7komm",Налоги!$K$26:$K$101,0),2),""))</f>
        <v/>
      </c>
      <c r="BP525" s="7771"/>
      <c r="BQ525" s="1278"/>
      <c r="BR525" s="1278"/>
      <c r="BS525" s="1064" t="s">
        <v>2770</v>
      </c>
      <c r="BT525" s="1064"/>
      <c r="BU525" s="1064"/>
      <c r="BV525" s="979"/>
      <c r="BW525" s="979"/>
    </row>
    <row s="1834" customFormat="1" customHeight="1" ht="14.25">
      <c r="A526" s="1278"/>
      <c r="B526" s="96"/>
      <c r="C526" s="107"/>
      <c r="D526" s="107"/>
      <c r="E526" s="621">
        <v>15</v>
      </c>
      <c r="F526" s="50" cm="1" t="str">
        <f t="array" ref="F526:F526">OFFSET(E526,-1,1)</f>
        <v>3</v>
      </c>
      <c r="G526" s="922">
        <v>6</v>
      </c>
      <c r="H526" s="107"/>
      <c r="I526" s="107" t="s">
        <v>2771</v>
      </c>
      <c r="J526" s="107"/>
      <c r="K526" s="107" t="s">
        <v>2771</v>
      </c>
      <c r="L526" s="980"/>
      <c r="M526" s="107"/>
      <c r="N526" s="107"/>
      <c r="O526" s="107"/>
      <c r="P526" s="107"/>
      <c r="Q526" s="107"/>
      <c r="R526" s="107"/>
      <c r="S526" s="107"/>
      <c r="T526" s="465" cm="1" t="str">
        <f t="array" ref="T526:T526">T525</f>
        <v>true</v>
      </c>
      <c r="U526" s="107"/>
      <c r="V526" s="107"/>
      <c r="W526" s="1278"/>
      <c r="X526" s="1563"/>
      <c r="Y526" s="1278"/>
      <c r="Z526" s="1546"/>
      <c r="AA526" s="1278"/>
      <c r="AB526" s="299" t="s">
        <v>2225</v>
      </c>
      <c r="AC526" s="765" t="s">
        <v>2772</v>
      </c>
      <c r="AD526" s="300" t="s">
        <v>1514</v>
      </c>
      <c r="AE526" s="259">
        <f>_xlfn.SUMIFS(Налоги!AE$25:AE$101,Налоги!$F$25:$F$101,$F526,Налоги!$AB$25:$AB$101,$G526)</f>
        <v>0</v>
      </c>
      <c r="AF526" s="259">
        <f>_xlfn.SUMIFS(Налоги!AF$25:AF$101,Налоги!$F$25:$F$101,$F526,Налоги!$AB$25:$AB$101,$G526)</f>
        <v>0</v>
      </c>
      <c r="AG526" s="259">
        <f>_xlfn.SUMIFS(Налоги!AG$25:AG$101,Налоги!$F$25:$F$101,$F526,Налоги!$AB$25:$AB$101,$G526)</f>
        <v>0</v>
      </c>
      <c r="AH526" s="943">
        <f>AG526-AF526</f>
        <v>0</v>
      </c>
      <c r="AI526" s="943">
        <f>_xlfn.SUMIFS(Налоги!AH$25:AH$101,Налоги!$F$25:$F$101,$F526,Налоги!$AB$25:$AB$101,$G526)</f>
        <v>0</v>
      </c>
      <c r="AJ526" s="943">
        <f>_xlfn.SUMIFS(Налоги!AI$25:AI$101,Налоги!$F$25:$F$101,$F526,Налоги!$AB$25:$AB$101,$G526)</f>
        <v>114.807</v>
      </c>
      <c r="AK526" s="943">
        <f>_xlfn.SUMIFS(Налоги!AJ$25:AJ$101,Налоги!$F$25:$F$101,$F526,Налоги!$AB$25:$AB$101,$G526)</f>
        <v>98.047</v>
      </c>
      <c r="AL526" s="943">
        <f>_xlfn.SUMIFS(Налоги!AK$25:AK$101,Налоги!$F$25:$F$101,$F526,Налоги!$AB$25:$AB$101,$G526)</f>
        <v>83.737</v>
      </c>
      <c r="AM526" s="943">
        <f>_xlfn.SUMIFS(Налоги!AL$25:AL$101,Налоги!$F$25:$F$101,$F526,Налоги!$AB$25:$AB$101,$G526)</f>
        <v>145.154</v>
      </c>
      <c r="AN526" s="943">
        <f>_xlfn.SUMIFS(Налоги!AM$25:AM$101,Налоги!$F$25:$F$101,$F526,Налоги!$AB$25:$AB$101,$G526)</f>
        <v>125.613</v>
      </c>
      <c r="AO526" s="943">
        <f>_xlfn.SUMIFS(Налоги!AN$25:AN$101,Налоги!$F$25:$F$101,$F526,Налоги!$AB$25:$AB$101,$G526)</f>
        <v>0</v>
      </c>
      <c r="AP526" s="943">
        <f>_xlfn.SUMIFS(Налоги!AO$25:AO$101,Налоги!$F$25:$F$101,$F526,Налоги!$AB$25:$AB$101,$G526)</f>
        <v>0</v>
      </c>
      <c r="AQ526" s="943">
        <f>_xlfn.SUMIFS(Налоги!AP$25:AP$101,Налоги!$F$25:$F$101,$F526,Налоги!$AB$25:$AB$101,$G526)</f>
        <v>0</v>
      </c>
      <c r="AR526" s="943">
        <f>_xlfn.SUMIFS(Налоги!AQ$25:AQ$101,Налоги!$F$25:$F$101,$F526,Налоги!$AB$25:$AB$101,$G526)</f>
        <v>0</v>
      </c>
      <c r="AS526" s="943">
        <f>_xlfn.SUMIFS(Налоги!AR$25:AR$101,Налоги!$F$25:$F$101,$F526,Налоги!$AB$25:$AB$101,$G526)</f>
        <v>0</v>
      </c>
      <c r="AT526" s="943">
        <f>_xlfn.SUMIFS(Налоги!AS$25:AS$101,Налоги!$F$25:$F$101,$F526,Налоги!$AB$25:$AB$101,$G526)</f>
        <v>114.808</v>
      </c>
      <c r="AU526" s="943">
        <f>_xlfn.SUMIFS(Налоги!AT$25:AT$101,Налоги!$F$25:$F$101,$F526,Налоги!$AB$25:$AB$101,$G526)</f>
        <v>98.0505</v>
      </c>
      <c r="AV526" s="943">
        <f>_xlfn.SUMIFS(Налоги!AU$25:AU$101,Налоги!$F$25:$F$101,$F526,Налоги!$AB$25:$AB$101,$G526)</f>
        <v>83.74</v>
      </c>
      <c r="AW526" s="943">
        <f>_xlfn.SUMIFS(Налоги!AV$25:AV$101,Налоги!$F$25:$F$101,$F526,Налоги!$AB$25:$AB$101,$G526)</f>
        <v>145.154</v>
      </c>
      <c r="AX526" s="943">
        <f>_xlfn.SUMIFS(Налоги!AW$25:AW$101,Налоги!$F$25:$F$101,$F526,Налоги!$AB$25:$AB$101,$G526)</f>
        <v>125.613</v>
      </c>
      <c r="AY526" s="943">
        <f>_xlfn.SUMIFS(Налоги!AX$25:AX$101,Налоги!$F$25:$F$101,$F526,Налоги!$AB$25:$AB$101,$G526)</f>
        <v>0</v>
      </c>
      <c r="AZ526" s="943">
        <f>_xlfn.SUMIFS(Налоги!AY$25:AY$101,Налоги!$F$25:$F$101,$F526,Налоги!$AB$25:$AB$101,$G526)</f>
        <v>0</v>
      </c>
      <c r="BA526" s="943">
        <f>_xlfn.SUMIFS(Налоги!AZ$25:AZ$101,Налоги!$F$25:$F$101,$F526,Налоги!$AB$25:$AB$101,$G526)</f>
        <v>0</v>
      </c>
      <c r="BB526" s="943">
        <f>_xlfn.SUMIFS(Налоги!BA$25:BA$101,Налоги!$F$25:$F$101,$F526,Налоги!$AB$25:$AB$101,$G526)</f>
        <v>0</v>
      </c>
      <c r="BC526" s="943">
        <f>_xlfn.SUMIFS(Налоги!BB$25:BB$101,Налоги!$F$25:$F$101,$F526,Налоги!$AB$25:$AB$101,$G526)</f>
        <v>0</v>
      </c>
      <c r="BD526" s="943">
        <f>IF(AI526=0,0,(AT526-AI526)/AI526*100)</f>
        <v>0</v>
      </c>
      <c r="BE526" s="943">
        <f>IF(AT526=0,0,(AU526-AT526)/AT526*100)</f>
        <v>-14.5961082851369</v>
      </c>
      <c r="BF526" s="943">
        <f>IF(AU526=0,0,(AV526-AU526)/AU526*100)</f>
        <v>-14.5950301120341</v>
      </c>
      <c r="BG526" s="943">
        <f>IF(AV526=0,0,(AW526-AV526)/AV526*100)</f>
        <v>73.3389061380463</v>
      </c>
      <c r="BH526" s="943">
        <f>IF(AW526=0,0,(AX526-AW526)/AW526*100)</f>
        <v>-13.4622538820839</v>
      </c>
      <c r="BI526" s="943">
        <f>IF(AX526=0,0,(AY526-AX526)/AX526*100)</f>
        <v>-100</v>
      </c>
      <c r="BJ526" s="943">
        <f>IF(AY526=0,0,(AZ526-AY526)/AY526*100)</f>
        <v>0</v>
      </c>
      <c r="BK526" s="943">
        <f>IF(AZ526=0,0,(BA526-AZ526)/AZ526*100)</f>
        <v>0</v>
      </c>
      <c r="BL526" s="943">
        <f>IF(BA526=0,0,(BB526-BA526)/BA526*100)</f>
        <v>0</v>
      </c>
      <c r="BM526" s="943">
        <f>IF(BB526=0,0,(BC526-BB526)/BB526*100)</f>
        <v>0</v>
      </c>
      <c r="BN526" s="7771"/>
      <c r="BO526" s="7724" t="str">
        <f>IF(_xlfn.IFERROR(INDEX(Налоги!$K$26:$L$101,MATCH($F526&amp;"6komm",Налоги!$K$26:$K$101,0),2),"")=0,"",_xlfn.IFERROR(INDEX(Налоги!$K$26:$L$101,MATCH($F526&amp;"6komm",Налоги!$K$26:$K$101,0),2),""))</f>
        <v>в соответствии с п.1 ст.308 Налогового кодекса РФ от 05.08.2000 № 117-ФЗ, с учетом уменьшения суммы налога на 50% на 2024-2028 годы в соответствии с Законом от 24.11.2033 № 107-ОЗ "О внесении изменения в статью 4 Закона Кемеровской области-кузбасса "О налоге на имущество организаций". Налог рассчитан по остаточной стоимости, данные получены из материалов, представленных организацией при получении долгосрочных параметров регулирования.</v>
      </c>
      <c r="BP526" s="7771"/>
      <c r="BQ526" s="1278"/>
      <c r="BR526" s="1278"/>
      <c r="BS526" s="1064" t="s">
        <v>2773</v>
      </c>
      <c r="BT526" s="1064"/>
      <c r="BU526" s="1064"/>
      <c r="BV526" s="979"/>
      <c r="BW526" s="979"/>
    </row>
    <row s="1834" customFormat="1" customHeight="1" ht="14.25">
      <c r="A527" s="1278"/>
      <c r="B527" s="96"/>
      <c r="C527" s="107"/>
      <c r="D527" s="107"/>
      <c r="E527" s="621">
        <v>15</v>
      </c>
      <c r="F527" s="50" cm="1" t="str">
        <f t="array" ref="F527:F527">OFFSET(E527,-1,1)</f>
        <v>3</v>
      </c>
      <c r="G527" s="922">
        <v>2</v>
      </c>
      <c r="H527" s="107"/>
      <c r="I527" s="107" t="s">
        <v>2774</v>
      </c>
      <c r="J527" s="107"/>
      <c r="K527" s="107" t="s">
        <v>2774</v>
      </c>
      <c r="L527" s="980"/>
      <c r="M527" s="107"/>
      <c r="N527" s="107"/>
      <c r="O527" s="107"/>
      <c r="P527" s="107"/>
      <c r="Q527" s="107"/>
      <c r="R527" s="107"/>
      <c r="S527" s="107"/>
      <c r="T527" s="465" cm="1" t="str">
        <f t="array" ref="T527:T527">T526</f>
        <v>true</v>
      </c>
      <c r="U527" s="107"/>
      <c r="V527" s="107"/>
      <c r="W527" s="1278"/>
      <c r="X527" s="1563"/>
      <c r="Y527" s="1278"/>
      <c r="Z527" s="1546"/>
      <c r="AA527" s="1278"/>
      <c r="AB527" s="299" t="s">
        <v>2230</v>
      </c>
      <c r="AC527" s="765" t="s">
        <v>2775</v>
      </c>
      <c r="AD527" s="300" t="s">
        <v>1514</v>
      </c>
      <c r="AE527" s="259">
        <f>_xlfn.SUMIFS(Налоги!AE$25:AE$101,Налоги!$F$25:$F$101,$F527,Налоги!$AB$25:$AB$101,$G527)</f>
        <v>0</v>
      </c>
      <c r="AF527" s="259">
        <f>_xlfn.SUMIFS(Налоги!AF$25:AF$101,Налоги!$F$25:$F$101,$F527,Налоги!$AB$25:$AB$101,$G527)</f>
        <v>0</v>
      </c>
      <c r="AG527" s="259">
        <f>_xlfn.SUMIFS(Налоги!AG$25:AG$101,Налоги!$F$25:$F$101,$F527,Налоги!$AB$25:$AB$101,$G527)</f>
        <v>0</v>
      </c>
      <c r="AH527" s="943">
        <f>AG527-AF527</f>
        <v>0</v>
      </c>
      <c r="AI527" s="943">
        <f>_xlfn.SUMIFS(Налоги!AH$25:AH$101,Налоги!$F$25:$F$101,$F527,Налоги!$AB$25:$AB$101,$G527)</f>
        <v>0</v>
      </c>
      <c r="AJ527" s="943">
        <f>_xlfn.SUMIFS(Налоги!AI$25:AI$101,Налоги!$F$25:$F$101,$F527,Налоги!$AB$25:$AB$101,$G527)</f>
        <v>0</v>
      </c>
      <c r="AK527" s="943">
        <f>_xlfn.SUMIFS(Налоги!AJ$25:AJ$101,Налоги!$F$25:$F$101,$F527,Налоги!$AB$25:$AB$101,$G527)</f>
        <v>0</v>
      </c>
      <c r="AL527" s="943">
        <f>_xlfn.SUMIFS(Налоги!AK$25:AK$101,Налоги!$F$25:$F$101,$F527,Налоги!$AB$25:$AB$101,$G527)</f>
        <v>0</v>
      </c>
      <c r="AM527" s="943">
        <f>_xlfn.SUMIFS(Налоги!AL$25:AL$101,Налоги!$F$25:$F$101,$F527,Налоги!$AB$25:$AB$101,$G527)</f>
        <v>0</v>
      </c>
      <c r="AN527" s="943">
        <f>_xlfn.SUMIFS(Налоги!AM$25:AM$101,Налоги!$F$25:$F$101,$F527,Налоги!$AB$25:$AB$101,$G527)</f>
        <v>0</v>
      </c>
      <c r="AO527" s="943">
        <f>_xlfn.SUMIFS(Налоги!AN$25:AN$101,Налоги!$F$25:$F$101,$F527,Налоги!$AB$25:$AB$101,$G527)</f>
        <v>0</v>
      </c>
      <c r="AP527" s="943">
        <f>_xlfn.SUMIFS(Налоги!AO$25:AO$101,Налоги!$F$25:$F$101,$F527,Налоги!$AB$25:$AB$101,$G527)</f>
        <v>0</v>
      </c>
      <c r="AQ527" s="943">
        <f>_xlfn.SUMIFS(Налоги!AP$25:AP$101,Налоги!$F$25:$F$101,$F527,Налоги!$AB$25:$AB$101,$G527)</f>
        <v>0</v>
      </c>
      <c r="AR527" s="943">
        <f>_xlfn.SUMIFS(Налоги!AQ$25:AQ$101,Налоги!$F$25:$F$101,$F527,Налоги!$AB$25:$AB$101,$G527)</f>
        <v>0</v>
      </c>
      <c r="AS527" s="943">
        <f>_xlfn.SUMIFS(Налоги!AR$25:AR$101,Налоги!$F$25:$F$101,$F527,Налоги!$AB$25:$AB$101,$G527)</f>
        <v>0</v>
      </c>
      <c r="AT527" s="943">
        <f>_xlfn.SUMIFS(Налоги!AS$25:AS$101,Налоги!$F$25:$F$101,$F527,Налоги!$AB$25:$AB$101,$G527)</f>
        <v>0</v>
      </c>
      <c r="AU527" s="943">
        <f>_xlfn.SUMIFS(Налоги!AT$25:AT$101,Налоги!$F$25:$F$101,$F527,Налоги!$AB$25:$AB$101,$G527)</f>
        <v>0</v>
      </c>
      <c r="AV527" s="943">
        <f>_xlfn.SUMIFS(Налоги!AU$25:AU$101,Налоги!$F$25:$F$101,$F527,Налоги!$AB$25:$AB$101,$G527)</f>
        <v>0</v>
      </c>
      <c r="AW527" s="943">
        <f>_xlfn.SUMIFS(Налоги!AV$25:AV$101,Налоги!$F$25:$F$101,$F527,Налоги!$AB$25:$AB$101,$G527)</f>
        <v>0</v>
      </c>
      <c r="AX527" s="943">
        <f>_xlfn.SUMIFS(Налоги!AW$25:AW$101,Налоги!$F$25:$F$101,$F527,Налоги!$AB$25:$AB$101,$G527)</f>
        <v>0</v>
      </c>
      <c r="AY527" s="943">
        <f>_xlfn.SUMIFS(Налоги!AX$25:AX$101,Налоги!$F$25:$F$101,$F527,Налоги!$AB$25:$AB$101,$G527)</f>
        <v>0</v>
      </c>
      <c r="AZ527" s="943">
        <f>_xlfn.SUMIFS(Налоги!AY$25:AY$101,Налоги!$F$25:$F$101,$F527,Налоги!$AB$25:$AB$101,$G527)</f>
        <v>0</v>
      </c>
      <c r="BA527" s="943">
        <f>_xlfn.SUMIFS(Налоги!AZ$25:AZ$101,Налоги!$F$25:$F$101,$F527,Налоги!$AB$25:$AB$101,$G527)</f>
        <v>0</v>
      </c>
      <c r="BB527" s="943">
        <f>_xlfn.SUMIFS(Налоги!BA$25:BA$101,Налоги!$F$25:$F$101,$F527,Налоги!$AB$25:$AB$101,$G527)</f>
        <v>0</v>
      </c>
      <c r="BC527" s="943">
        <f>_xlfn.SUMIFS(Налоги!BB$25:BB$101,Налоги!$F$25:$F$101,$F527,Налоги!$AB$25:$AB$101,$G527)</f>
        <v>0</v>
      </c>
      <c r="BD527" s="943">
        <f>IF(AI527=0,0,(AT527-AI527)/AI527*100)</f>
        <v>0</v>
      </c>
      <c r="BE527" s="943">
        <f>IF(AT527=0,0,(AU527-AT527)/AT527*100)</f>
        <v>0</v>
      </c>
      <c r="BF527" s="943">
        <f>IF(AU527=0,0,(AV527-AU527)/AU527*100)</f>
        <v>0</v>
      </c>
      <c r="BG527" s="943">
        <f>IF(AV527=0,0,(AW527-AV527)/AV527*100)</f>
        <v>0</v>
      </c>
      <c r="BH527" s="943">
        <f>IF(AW527=0,0,(AX527-AW527)/AW527*100)</f>
        <v>0</v>
      </c>
      <c r="BI527" s="943">
        <f>IF(AX527=0,0,(AY527-AX527)/AX527*100)</f>
        <v>0</v>
      </c>
      <c r="BJ527" s="943">
        <f>IF(AY527=0,0,(AZ527-AY527)/AY527*100)</f>
        <v>0</v>
      </c>
      <c r="BK527" s="943">
        <f>IF(AZ527=0,0,(BA527-AZ527)/AZ527*100)</f>
        <v>0</v>
      </c>
      <c r="BL527" s="943">
        <f>IF(BA527=0,0,(BB527-BA527)/BA527*100)</f>
        <v>0</v>
      </c>
      <c r="BM527" s="943">
        <f>IF(BB527=0,0,(BC527-BB527)/BB527*100)</f>
        <v>0</v>
      </c>
      <c r="BN527" s="7771"/>
      <c r="BO527" s="7724" t="str">
        <f>IF(_xlfn.IFERROR(INDEX(Налоги!$K$26:$L$101,MATCH($F527&amp;"2komm",Налоги!$K$26:$K$101,0),2),"")=0,"",_xlfn.IFERROR(INDEX(Налоги!$K$26:$L$101,MATCH($F527&amp;"2komm",Налоги!$K$26:$K$101,0),2),""))</f>
        <v/>
      </c>
      <c r="BP527" s="7771"/>
      <c r="BQ527" s="1278"/>
      <c r="BR527" s="1278"/>
      <c r="BS527" s="1064" t="s">
        <v>2776</v>
      </c>
      <c r="BT527" s="1064"/>
      <c r="BU527" s="1064"/>
      <c r="BV527" s="979"/>
      <c r="BW527" s="979"/>
    </row>
    <row s="1834" customFormat="1" customHeight="1" ht="14.25">
      <c r="A528" s="1278"/>
      <c r="B528" s="96"/>
      <c r="C528" s="107"/>
      <c r="D528" s="107"/>
      <c r="E528" s="621">
        <v>15</v>
      </c>
      <c r="F528" s="50" cm="1" t="str">
        <f t="array" ref="F528:F528">OFFSET(E528,-1,1)</f>
        <v>3</v>
      </c>
      <c r="G528" s="922">
        <v>4</v>
      </c>
      <c r="H528" s="107"/>
      <c r="I528" s="107" t="s">
        <v>2777</v>
      </c>
      <c r="J528" s="107"/>
      <c r="K528" s="107" t="s">
        <v>2777</v>
      </c>
      <c r="L528" s="980"/>
      <c r="M528" s="107"/>
      <c r="N528" s="107"/>
      <c r="O528" s="107"/>
      <c r="P528" s="107"/>
      <c r="Q528" s="107"/>
      <c r="R528" s="107"/>
      <c r="S528" s="107"/>
      <c r="T528" s="465" cm="1" t="str">
        <f t="array" ref="T528:T528">T527</f>
        <v>true</v>
      </c>
      <c r="U528" s="107"/>
      <c r="V528" s="107"/>
      <c r="W528" s="1278"/>
      <c r="X528" s="1563"/>
      <c r="Y528" s="1278"/>
      <c r="Z528" s="1546"/>
      <c r="AA528" s="1278"/>
      <c r="AB528" s="299" t="s">
        <v>2778</v>
      </c>
      <c r="AC528" s="765" t="s">
        <v>2779</v>
      </c>
      <c r="AD528" s="300" t="s">
        <v>1514</v>
      </c>
      <c r="AE528" s="259">
        <f>_xlfn.SUMIFS(Налоги!AE$25:AE$101,Налоги!$F$25:$F$101,$F528,Налоги!$AB$25:$AB$101,$G528)</f>
        <v>0</v>
      </c>
      <c r="AF528" s="259">
        <f>_xlfn.SUMIFS(Налоги!AF$25:AF$101,Налоги!$F$25:$F$101,$F528,Налоги!$AB$25:$AB$101,$G528)</f>
        <v>0</v>
      </c>
      <c r="AG528" s="259">
        <f>_xlfn.SUMIFS(Налоги!AG$25:AG$101,Налоги!$F$25:$F$101,$F528,Налоги!$AB$25:$AB$101,$G528)</f>
        <v>0</v>
      </c>
      <c r="AH528" s="943">
        <f>AG528-AF528</f>
        <v>0</v>
      </c>
      <c r="AI528" s="943">
        <f>_xlfn.SUMIFS(Налоги!AH$25:AH$101,Налоги!$F$25:$F$101,$F528,Налоги!$AB$25:$AB$101,$G528)</f>
        <v>0</v>
      </c>
      <c r="AJ528" s="943">
        <f>_xlfn.SUMIFS(Налоги!AI$25:AI$101,Налоги!$F$25:$F$101,$F528,Налоги!$AB$25:$AB$101,$G528)</f>
        <v>0</v>
      </c>
      <c r="AK528" s="943">
        <f>_xlfn.SUMIFS(Налоги!AJ$25:AJ$101,Налоги!$F$25:$F$101,$F528,Налоги!$AB$25:$AB$101,$G528)</f>
        <v>0</v>
      </c>
      <c r="AL528" s="943">
        <f>_xlfn.SUMIFS(Налоги!AK$25:AK$101,Налоги!$F$25:$F$101,$F528,Налоги!$AB$25:$AB$101,$G528)</f>
        <v>0</v>
      </c>
      <c r="AM528" s="943">
        <f>_xlfn.SUMIFS(Налоги!AL$25:AL$101,Налоги!$F$25:$F$101,$F528,Налоги!$AB$25:$AB$101,$G528)</f>
        <v>0</v>
      </c>
      <c r="AN528" s="943">
        <f>_xlfn.SUMIFS(Налоги!AM$25:AM$101,Налоги!$F$25:$F$101,$F528,Налоги!$AB$25:$AB$101,$G528)</f>
        <v>0</v>
      </c>
      <c r="AO528" s="943">
        <f>_xlfn.SUMIFS(Налоги!AN$25:AN$101,Налоги!$F$25:$F$101,$F528,Налоги!$AB$25:$AB$101,$G528)</f>
        <v>0</v>
      </c>
      <c r="AP528" s="943">
        <f>_xlfn.SUMIFS(Налоги!AO$25:AO$101,Налоги!$F$25:$F$101,$F528,Налоги!$AB$25:$AB$101,$G528)</f>
        <v>0</v>
      </c>
      <c r="AQ528" s="943">
        <f>_xlfn.SUMIFS(Налоги!AP$25:AP$101,Налоги!$F$25:$F$101,$F528,Налоги!$AB$25:$AB$101,$G528)</f>
        <v>0</v>
      </c>
      <c r="AR528" s="943">
        <f>_xlfn.SUMIFS(Налоги!AQ$25:AQ$101,Налоги!$F$25:$F$101,$F528,Налоги!$AB$25:$AB$101,$G528)</f>
        <v>0</v>
      </c>
      <c r="AS528" s="943">
        <f>_xlfn.SUMIFS(Налоги!AR$25:AR$101,Налоги!$F$25:$F$101,$F528,Налоги!$AB$25:$AB$101,$G528)</f>
        <v>0</v>
      </c>
      <c r="AT528" s="943">
        <f>_xlfn.SUMIFS(Налоги!AS$25:AS$101,Налоги!$F$25:$F$101,$F528,Налоги!$AB$25:$AB$101,$G528)</f>
        <v>0</v>
      </c>
      <c r="AU528" s="943">
        <f>_xlfn.SUMIFS(Налоги!AT$25:AT$101,Налоги!$F$25:$F$101,$F528,Налоги!$AB$25:$AB$101,$G528)</f>
        <v>0</v>
      </c>
      <c r="AV528" s="943">
        <f>_xlfn.SUMIFS(Налоги!AU$25:AU$101,Налоги!$F$25:$F$101,$F528,Налоги!$AB$25:$AB$101,$G528)</f>
        <v>0</v>
      </c>
      <c r="AW528" s="943">
        <f>_xlfn.SUMIFS(Налоги!AV$25:AV$101,Налоги!$F$25:$F$101,$F528,Налоги!$AB$25:$AB$101,$G528)</f>
        <v>0</v>
      </c>
      <c r="AX528" s="943">
        <f>_xlfn.SUMIFS(Налоги!AW$25:AW$101,Налоги!$F$25:$F$101,$F528,Налоги!$AB$25:$AB$101,$G528)</f>
        <v>0</v>
      </c>
      <c r="AY528" s="943">
        <f>_xlfn.SUMIFS(Налоги!AX$25:AX$101,Налоги!$F$25:$F$101,$F528,Налоги!$AB$25:$AB$101,$G528)</f>
        <v>0</v>
      </c>
      <c r="AZ528" s="943">
        <f>_xlfn.SUMIFS(Налоги!AY$25:AY$101,Налоги!$F$25:$F$101,$F528,Налоги!$AB$25:$AB$101,$G528)</f>
        <v>0</v>
      </c>
      <c r="BA528" s="943">
        <f>_xlfn.SUMIFS(Налоги!AZ$25:AZ$101,Налоги!$F$25:$F$101,$F528,Налоги!$AB$25:$AB$101,$G528)</f>
        <v>0</v>
      </c>
      <c r="BB528" s="943">
        <f>_xlfn.SUMIFS(Налоги!BA$25:BA$101,Налоги!$F$25:$F$101,$F528,Налоги!$AB$25:$AB$101,$G528)</f>
        <v>0</v>
      </c>
      <c r="BC528" s="943">
        <f>_xlfn.SUMIFS(Налоги!BB$25:BB$101,Налоги!$F$25:$F$101,$F528,Налоги!$AB$25:$AB$101,$G528)</f>
        <v>0</v>
      </c>
      <c r="BD528" s="943">
        <f>IF(AI528=0,0,(AT528-AI528)/AI528*100)</f>
        <v>0</v>
      </c>
      <c r="BE528" s="943">
        <f>IF(AT528=0,0,(AU528-AT528)/AT528*100)</f>
        <v>0</v>
      </c>
      <c r="BF528" s="943">
        <f>IF(AU528=0,0,(AV528-AU528)/AU528*100)</f>
        <v>0</v>
      </c>
      <c r="BG528" s="943">
        <f>IF(AV528=0,0,(AW528-AV528)/AV528*100)</f>
        <v>0</v>
      </c>
      <c r="BH528" s="943">
        <f>IF(AW528=0,0,(AX528-AW528)/AW528*100)</f>
        <v>0</v>
      </c>
      <c r="BI528" s="943">
        <f>IF(AX528=0,0,(AY528-AX528)/AX528*100)</f>
        <v>0</v>
      </c>
      <c r="BJ528" s="943">
        <f>IF(AY528=0,0,(AZ528-AY528)/AY528*100)</f>
        <v>0</v>
      </c>
      <c r="BK528" s="943">
        <f>IF(AZ528=0,0,(BA528-AZ528)/AZ528*100)</f>
        <v>0</v>
      </c>
      <c r="BL528" s="943">
        <f>IF(BA528=0,0,(BB528-BA528)/BA528*100)</f>
        <v>0</v>
      </c>
      <c r="BM528" s="943">
        <f>IF(BB528=0,0,(BC528-BB528)/BB528*100)</f>
        <v>0</v>
      </c>
      <c r="BN528" s="7771"/>
      <c r="BO528" s="7724" t="str">
        <f>IF(_xlfn.IFERROR(INDEX(Налоги!$K$26:$L$101,MATCH($F528&amp;"4komm",Налоги!$K$26:$K$101,0),2),"")=0,"",_xlfn.IFERROR(INDEX(Налоги!$K$26:$L$101,MATCH($F528&amp;"4komm",Налоги!$K$26:$K$101,0),2),""))</f>
        <v/>
      </c>
      <c r="BP528" s="7771"/>
      <c r="BQ528" s="1278"/>
      <c r="BR528" s="1278"/>
      <c r="BS528" s="1064" t="s">
        <v>2780</v>
      </c>
      <c r="BT528" s="1064"/>
      <c r="BU528" s="1064"/>
      <c r="BV528" s="979"/>
      <c r="BW528" s="979"/>
    </row>
    <row s="1834" customFormat="1" customHeight="1" ht="14.25">
      <c r="A529" s="1278"/>
      <c r="B529" s="96"/>
      <c r="C529" s="107"/>
      <c r="D529" s="107"/>
      <c r="E529" s="621">
        <v>15</v>
      </c>
      <c r="F529" s="50" cm="1" t="str">
        <f t="array" ref="F529:F529">OFFSET(E529,-1,1)</f>
        <v>3</v>
      </c>
      <c r="G529" s="922">
        <v>5</v>
      </c>
      <c r="H529" s="107"/>
      <c r="I529" s="107" t="s">
        <v>2781</v>
      </c>
      <c r="J529" s="107"/>
      <c r="K529" s="107" t="s">
        <v>2781</v>
      </c>
      <c r="L529" s="980"/>
      <c r="M529" s="107"/>
      <c r="N529" s="107"/>
      <c r="O529" s="107"/>
      <c r="P529" s="107"/>
      <c r="Q529" s="107"/>
      <c r="R529" s="107"/>
      <c r="S529" s="107"/>
      <c r="T529" s="465" cm="1" t="str">
        <f t="array" ref="T529:T529">T528</f>
        <v>true</v>
      </c>
      <c r="U529" s="107"/>
      <c r="V529" s="107"/>
      <c r="W529" s="1278"/>
      <c r="X529" s="1563"/>
      <c r="Y529" s="1278"/>
      <c r="Z529" s="1546"/>
      <c r="AA529" s="1278"/>
      <c r="AB529" s="299" t="s">
        <v>2782</v>
      </c>
      <c r="AC529" s="765" t="s">
        <v>2783</v>
      </c>
      <c r="AD529" s="300" t="s">
        <v>1514</v>
      </c>
      <c r="AE529" s="259">
        <f>_xlfn.SUMIFS(Налоги!AE$25:AE$101,Налоги!$F$25:$F$101,$F529,Налоги!$AB$25:$AB$101,$G529)</f>
        <v>0</v>
      </c>
      <c r="AF529" s="259">
        <f>_xlfn.SUMIFS(Налоги!AF$25:AF$101,Налоги!$F$25:$F$101,$F529,Налоги!$AB$25:$AB$101,$G529)</f>
        <v>0</v>
      </c>
      <c r="AG529" s="259">
        <f>_xlfn.SUMIFS(Налоги!AG$25:AG$101,Налоги!$F$25:$F$101,$F529,Налоги!$AB$25:$AB$101,$G529)</f>
        <v>0</v>
      </c>
      <c r="AH529" s="943">
        <f>AG529-AF529</f>
        <v>0</v>
      </c>
      <c r="AI529" s="943">
        <f>_xlfn.SUMIFS(Налоги!AH$25:AH$101,Налоги!$F$25:$F$101,$F529,Налоги!$AB$25:$AB$101,$G529)</f>
        <v>0</v>
      </c>
      <c r="AJ529" s="943">
        <f>_xlfn.SUMIFS(Налоги!AI$25:AI$101,Налоги!$F$25:$F$101,$F529,Налоги!$AB$25:$AB$101,$G529)</f>
        <v>0</v>
      </c>
      <c r="AK529" s="943">
        <f>_xlfn.SUMIFS(Налоги!AJ$25:AJ$101,Налоги!$F$25:$F$101,$F529,Налоги!$AB$25:$AB$101,$G529)</f>
        <v>0</v>
      </c>
      <c r="AL529" s="943">
        <f>_xlfn.SUMIFS(Налоги!AK$25:AK$101,Налоги!$F$25:$F$101,$F529,Налоги!$AB$25:$AB$101,$G529)</f>
        <v>0</v>
      </c>
      <c r="AM529" s="943">
        <f>_xlfn.SUMIFS(Налоги!AL$25:AL$101,Налоги!$F$25:$F$101,$F529,Налоги!$AB$25:$AB$101,$G529)</f>
        <v>0</v>
      </c>
      <c r="AN529" s="943">
        <f>_xlfn.SUMIFS(Налоги!AM$25:AM$101,Налоги!$F$25:$F$101,$F529,Налоги!$AB$25:$AB$101,$G529)</f>
        <v>0</v>
      </c>
      <c r="AO529" s="943">
        <f>_xlfn.SUMIFS(Налоги!AN$25:AN$101,Налоги!$F$25:$F$101,$F529,Налоги!$AB$25:$AB$101,$G529)</f>
        <v>0</v>
      </c>
      <c r="AP529" s="943">
        <f>_xlfn.SUMIFS(Налоги!AO$25:AO$101,Налоги!$F$25:$F$101,$F529,Налоги!$AB$25:$AB$101,$G529)</f>
        <v>0</v>
      </c>
      <c r="AQ529" s="943">
        <f>_xlfn.SUMIFS(Налоги!AP$25:AP$101,Налоги!$F$25:$F$101,$F529,Налоги!$AB$25:$AB$101,$G529)</f>
        <v>0</v>
      </c>
      <c r="AR529" s="943">
        <f>_xlfn.SUMIFS(Налоги!AQ$25:AQ$101,Налоги!$F$25:$F$101,$F529,Налоги!$AB$25:$AB$101,$G529)</f>
        <v>0</v>
      </c>
      <c r="AS529" s="943">
        <f>_xlfn.SUMIFS(Налоги!AR$25:AR$101,Налоги!$F$25:$F$101,$F529,Налоги!$AB$25:$AB$101,$G529)</f>
        <v>0</v>
      </c>
      <c r="AT529" s="943">
        <f>_xlfn.SUMIFS(Налоги!AS$25:AS$101,Налоги!$F$25:$F$101,$F529,Налоги!$AB$25:$AB$101,$G529)</f>
        <v>0</v>
      </c>
      <c r="AU529" s="943">
        <f>_xlfn.SUMIFS(Налоги!AT$25:AT$101,Налоги!$F$25:$F$101,$F529,Налоги!$AB$25:$AB$101,$G529)</f>
        <v>0</v>
      </c>
      <c r="AV529" s="943">
        <f>_xlfn.SUMIFS(Налоги!AU$25:AU$101,Налоги!$F$25:$F$101,$F529,Налоги!$AB$25:$AB$101,$G529)</f>
        <v>0</v>
      </c>
      <c r="AW529" s="943">
        <f>_xlfn.SUMIFS(Налоги!AV$25:AV$101,Налоги!$F$25:$F$101,$F529,Налоги!$AB$25:$AB$101,$G529)</f>
        <v>0</v>
      </c>
      <c r="AX529" s="943">
        <f>_xlfn.SUMIFS(Налоги!AW$25:AW$101,Налоги!$F$25:$F$101,$F529,Налоги!$AB$25:$AB$101,$G529)</f>
        <v>0</v>
      </c>
      <c r="AY529" s="943">
        <f>_xlfn.SUMIFS(Налоги!AX$25:AX$101,Налоги!$F$25:$F$101,$F529,Налоги!$AB$25:$AB$101,$G529)</f>
        <v>0</v>
      </c>
      <c r="AZ529" s="943">
        <f>_xlfn.SUMIFS(Налоги!AY$25:AY$101,Налоги!$F$25:$F$101,$F529,Налоги!$AB$25:$AB$101,$G529)</f>
        <v>0</v>
      </c>
      <c r="BA529" s="943">
        <f>_xlfn.SUMIFS(Налоги!AZ$25:AZ$101,Налоги!$F$25:$F$101,$F529,Налоги!$AB$25:$AB$101,$G529)</f>
        <v>0</v>
      </c>
      <c r="BB529" s="943">
        <f>_xlfn.SUMIFS(Налоги!BA$25:BA$101,Налоги!$F$25:$F$101,$F529,Налоги!$AB$25:$AB$101,$G529)</f>
        <v>0</v>
      </c>
      <c r="BC529" s="943">
        <f>_xlfn.SUMIFS(Налоги!BB$25:BB$101,Налоги!$F$25:$F$101,$F529,Налоги!$AB$25:$AB$101,$G529)</f>
        <v>0</v>
      </c>
      <c r="BD529" s="943">
        <f>IF(AI529=0,0,(AT529-AI529)/AI529*100)</f>
        <v>0</v>
      </c>
      <c r="BE529" s="943">
        <f>IF(AT529=0,0,(AU529-AT529)/AT529*100)</f>
        <v>0</v>
      </c>
      <c r="BF529" s="943">
        <f>IF(AU529=0,0,(AV529-AU529)/AU529*100)</f>
        <v>0</v>
      </c>
      <c r="BG529" s="943">
        <f>IF(AV529=0,0,(AW529-AV529)/AV529*100)</f>
        <v>0</v>
      </c>
      <c r="BH529" s="943">
        <f>IF(AW529=0,0,(AX529-AW529)/AW529*100)</f>
        <v>0</v>
      </c>
      <c r="BI529" s="943">
        <f>IF(AX529=0,0,(AY529-AX529)/AX529*100)</f>
        <v>0</v>
      </c>
      <c r="BJ529" s="943">
        <f>IF(AY529=0,0,(AZ529-AY529)/AY529*100)</f>
        <v>0</v>
      </c>
      <c r="BK529" s="943">
        <f>IF(AZ529=0,0,(BA529-AZ529)/AZ529*100)</f>
        <v>0</v>
      </c>
      <c r="BL529" s="943">
        <f>IF(BA529=0,0,(BB529-BA529)/BA529*100)</f>
        <v>0</v>
      </c>
      <c r="BM529" s="943">
        <f>IF(BB529=0,0,(BC529-BB529)/BB529*100)</f>
        <v>0</v>
      </c>
      <c r="BN529" s="7771"/>
      <c r="BO529" s="7724" t="str">
        <f>IF(_xlfn.IFERROR(INDEX(Налоги!$K$26:$L$101,MATCH($F529&amp;"5komm",Налоги!$K$26:$K$101,0),2),"")=0,"",_xlfn.IFERROR(INDEX(Налоги!$K$26:$L$101,MATCH($F529&amp;"5komm",Налоги!$K$26:$K$101,0),2),""))</f>
        <v/>
      </c>
      <c r="BP529" s="7771"/>
      <c r="BQ529" s="1278"/>
      <c r="BR529" s="1278"/>
      <c r="BS529" s="1064" t="s">
        <v>2784</v>
      </c>
      <c r="BT529" s="1064"/>
      <c r="BU529" s="1064"/>
      <c r="BV529" s="979"/>
      <c r="BW529" s="979"/>
    </row>
    <row s="1834" customFormat="1" customHeight="1" ht="14.25">
      <c r="A530" s="1278"/>
      <c r="B530" s="96"/>
      <c r="C530" s="107"/>
      <c r="D530" s="107"/>
      <c r="E530" s="621">
        <v>15</v>
      </c>
      <c r="F530" s="50" cm="1" t="str">
        <f t="array" ref="F530:F530">OFFSET(E530,-1,1)</f>
        <v>3</v>
      </c>
      <c r="G530" s="922">
        <v>1</v>
      </c>
      <c r="H530" s="107"/>
      <c r="I530" s="107" t="s">
        <v>2785</v>
      </c>
      <c r="J530" s="107"/>
      <c r="K530" s="107" t="s">
        <v>2785</v>
      </c>
      <c r="L530" s="980"/>
      <c r="M530" s="107"/>
      <c r="N530" s="107"/>
      <c r="O530" s="107"/>
      <c r="P530" s="107"/>
      <c r="Q530" s="107"/>
      <c r="R530" s="107"/>
      <c r="S530" s="107"/>
      <c r="T530" s="465" cm="1" t="str">
        <f t="array" ref="T530:T530">T529</f>
        <v>true</v>
      </c>
      <c r="U530" s="107"/>
      <c r="V530" s="107"/>
      <c r="W530" s="1278"/>
      <c r="X530" s="1563"/>
      <c r="Y530" s="1278"/>
      <c r="Z530" s="1546"/>
      <c r="AA530" s="1278"/>
      <c r="AB530" s="299" t="s">
        <v>2786</v>
      </c>
      <c r="AC530" s="765" t="s">
        <v>2787</v>
      </c>
      <c r="AD530" s="300" t="s">
        <v>1514</v>
      </c>
      <c r="AE530" s="259">
        <f>_xlfn.SUMIFS(Налоги!AE$25:AE$101,Налоги!$F$25:$F$101,$F530,Налоги!$AB$25:$AB$101,$G530)</f>
        <v>0</v>
      </c>
      <c r="AF530" s="259">
        <f>_xlfn.SUMIFS(Налоги!AF$25:AF$101,Налоги!$F$25:$F$101,$F530,Налоги!$AB$25:$AB$101,$G530)</f>
        <v>0</v>
      </c>
      <c r="AG530" s="259">
        <f>_xlfn.SUMIFS(Налоги!AG$25:AG$101,Налоги!$F$25:$F$101,$F530,Налоги!$AB$25:$AB$101,$G530)</f>
        <v>0</v>
      </c>
      <c r="AH530" s="943">
        <f>AG530-AF530</f>
        <v>0</v>
      </c>
      <c r="AI530" s="943">
        <f>_xlfn.SUMIFS(Налоги!AH$25:AH$101,Налоги!$F$25:$F$101,$F530,Налоги!$AB$25:$AB$101,$G530)</f>
        <v>0</v>
      </c>
      <c r="AJ530" s="943">
        <f>_xlfn.SUMIFS(Налоги!AI$25:AI$101,Налоги!$F$25:$F$101,$F530,Налоги!$AB$25:$AB$101,$G530)</f>
        <v>4.73</v>
      </c>
      <c r="AK530" s="943">
        <f>_xlfn.SUMIFS(Налоги!AJ$25:AJ$101,Налоги!$F$25:$F$101,$F530,Налоги!$AB$25:$AB$101,$G530)</f>
        <v>4.73</v>
      </c>
      <c r="AL530" s="943">
        <f>_xlfn.SUMIFS(Налоги!AK$25:AK$101,Налоги!$F$25:$F$101,$F530,Налоги!$AB$25:$AB$101,$G530)</f>
        <v>4.73</v>
      </c>
      <c r="AM530" s="943">
        <f>_xlfn.SUMIFS(Налоги!AL$25:AL$101,Налоги!$F$25:$F$101,$F530,Налоги!$AB$25:$AB$101,$G530)</f>
        <v>4.73</v>
      </c>
      <c r="AN530" s="943">
        <f>_xlfn.SUMIFS(Налоги!AM$25:AM$101,Налоги!$F$25:$F$101,$F530,Налоги!$AB$25:$AB$101,$G530)</f>
        <v>4.73</v>
      </c>
      <c r="AO530" s="943">
        <f>_xlfn.SUMIFS(Налоги!AN$25:AN$101,Налоги!$F$25:$F$101,$F530,Налоги!$AB$25:$AB$101,$G530)</f>
        <v>0</v>
      </c>
      <c r="AP530" s="943">
        <f>_xlfn.SUMIFS(Налоги!AO$25:AO$101,Налоги!$F$25:$F$101,$F530,Налоги!$AB$25:$AB$101,$G530)</f>
        <v>0</v>
      </c>
      <c r="AQ530" s="943">
        <f>_xlfn.SUMIFS(Налоги!AP$25:AP$101,Налоги!$F$25:$F$101,$F530,Налоги!$AB$25:$AB$101,$G530)</f>
        <v>0</v>
      </c>
      <c r="AR530" s="943">
        <f>_xlfn.SUMIFS(Налоги!AQ$25:AQ$101,Налоги!$F$25:$F$101,$F530,Налоги!$AB$25:$AB$101,$G530)</f>
        <v>0</v>
      </c>
      <c r="AS530" s="943">
        <f>_xlfn.SUMIFS(Налоги!AR$25:AR$101,Налоги!$F$25:$F$101,$F530,Налоги!$AB$25:$AB$101,$G530)</f>
        <v>0</v>
      </c>
      <c r="AT530" s="943">
        <f>_xlfn.SUMIFS(Налоги!AS$25:AS$101,Налоги!$F$25:$F$101,$F530,Налоги!$AB$25:$AB$101,$G530)</f>
        <v>4.73</v>
      </c>
      <c r="AU530" s="943">
        <f>_xlfn.SUMIFS(Налоги!AT$25:AT$101,Налоги!$F$25:$F$101,$F530,Налоги!$AB$25:$AB$101,$G530)</f>
        <v>4.73</v>
      </c>
      <c r="AV530" s="943">
        <f>_xlfn.SUMIFS(Налоги!AU$25:AU$101,Налоги!$F$25:$F$101,$F530,Налоги!$AB$25:$AB$101,$G530)</f>
        <v>4.73</v>
      </c>
      <c r="AW530" s="943">
        <f>_xlfn.SUMIFS(Налоги!AV$25:AV$101,Налоги!$F$25:$F$101,$F530,Налоги!$AB$25:$AB$101,$G530)</f>
        <v>4.73</v>
      </c>
      <c r="AX530" s="943">
        <f>_xlfn.SUMIFS(Налоги!AW$25:AW$101,Налоги!$F$25:$F$101,$F530,Налоги!$AB$25:$AB$101,$G530)</f>
        <v>4.73</v>
      </c>
      <c r="AY530" s="943">
        <f>_xlfn.SUMIFS(Налоги!AX$25:AX$101,Налоги!$F$25:$F$101,$F530,Налоги!$AB$25:$AB$101,$G530)</f>
        <v>0</v>
      </c>
      <c r="AZ530" s="943">
        <f>_xlfn.SUMIFS(Налоги!AY$25:AY$101,Налоги!$F$25:$F$101,$F530,Налоги!$AB$25:$AB$101,$G530)</f>
        <v>0</v>
      </c>
      <c r="BA530" s="943">
        <f>_xlfn.SUMIFS(Налоги!AZ$25:AZ$101,Налоги!$F$25:$F$101,$F530,Налоги!$AB$25:$AB$101,$G530)</f>
        <v>0</v>
      </c>
      <c r="BB530" s="943">
        <f>_xlfn.SUMIFS(Налоги!BA$25:BA$101,Налоги!$F$25:$F$101,$F530,Налоги!$AB$25:$AB$101,$G530)</f>
        <v>0</v>
      </c>
      <c r="BC530" s="943">
        <f>_xlfn.SUMIFS(Налоги!BB$25:BB$101,Налоги!$F$25:$F$101,$F530,Налоги!$AB$25:$AB$101,$G530)</f>
        <v>0</v>
      </c>
      <c r="BD530" s="943">
        <f>IF(AI530=0,0,(AT530-AI530)/AI530*100)</f>
        <v>0</v>
      </c>
      <c r="BE530" s="943">
        <f>IF(AT530=0,0,(AU530-AT530)/AT530*100)</f>
        <v>0</v>
      </c>
      <c r="BF530" s="943">
        <f>IF(AU530=0,0,(AV530-AU530)/AU530*100)</f>
        <v>0</v>
      </c>
      <c r="BG530" s="943">
        <f>IF(AV530=0,0,(AW530-AV530)/AV530*100)</f>
        <v>0</v>
      </c>
      <c r="BH530" s="943">
        <f>IF(AW530=0,0,(AX530-AW530)/AW530*100)</f>
        <v>0</v>
      </c>
      <c r="BI530" s="943">
        <f>IF(AX530=0,0,(AY530-AX530)/AX530*100)</f>
        <v>-100</v>
      </c>
      <c r="BJ530" s="943">
        <f>IF(AY530=0,0,(AZ530-AY530)/AY530*100)</f>
        <v>0</v>
      </c>
      <c r="BK530" s="943">
        <f>IF(AZ530=0,0,(BA530-AZ530)/AZ530*100)</f>
        <v>0</v>
      </c>
      <c r="BL530" s="943">
        <f>IF(BA530=0,0,(BB530-BA530)/BA530*100)</f>
        <v>0</v>
      </c>
      <c r="BM530" s="943">
        <f>IF(BB530=0,0,(BC530-BB530)/BB530*100)</f>
        <v>0</v>
      </c>
      <c r="BN530" s="7771"/>
      <c r="BO530" s="7724" t="str">
        <f>IF(_xlfn.IFERROR(INDEX(Налоги!$K$26:$L$101,MATCH($F530&amp;"1komm",Налоги!$K$26:$K$101,0),2),"")=0,"",_xlfn.IFERROR(INDEX(Налоги!$K$26:$L$101,MATCH($F530&amp;"1komm",Налоги!$K$26:$K$101,0),2),""))</f>
        <v>по предложению организации.</v>
      </c>
      <c r="BP530" s="7771"/>
      <c r="BQ530" s="1278"/>
      <c r="BR530" s="1278"/>
      <c r="BS530" s="1064" t="s">
        <v>2788</v>
      </c>
      <c r="BT530" s="1064"/>
      <c r="BU530" s="1064"/>
      <c r="BV530" s="979"/>
      <c r="BW530" s="979"/>
    </row>
    <row s="1834" customFormat="1" customHeight="1" ht="14.25">
      <c r="A531" s="1278"/>
      <c r="B531" s="96"/>
      <c r="C531" s="107"/>
      <c r="D531" s="107"/>
      <c r="E531" s="621">
        <v>15</v>
      </c>
      <c r="F531" s="50" cm="1" t="str">
        <f t="array" ref="F531:F531">OFFSET(E531,-1,1)</f>
        <v>3</v>
      </c>
      <c r="G531" s="922">
        <v>3</v>
      </c>
      <c r="H531" s="107"/>
      <c r="I531" s="107" t="s">
        <v>2789</v>
      </c>
      <c r="J531" s="107"/>
      <c r="K531" s="107" t="s">
        <v>2789</v>
      </c>
      <c r="L531" s="980"/>
      <c r="M531" s="107"/>
      <c r="N531" s="107"/>
      <c r="O531" s="107"/>
      <c r="P531" s="107"/>
      <c r="Q531" s="107"/>
      <c r="R531" s="107"/>
      <c r="S531" s="107"/>
      <c r="T531" s="465" cm="1" t="str">
        <f t="array" ref="T531:T531">T530</f>
        <v>true</v>
      </c>
      <c r="U531" s="107"/>
      <c r="V531" s="107"/>
      <c r="W531" s="1278"/>
      <c r="X531" s="1563"/>
      <c r="Y531" s="1278"/>
      <c r="Z531" s="1546"/>
      <c r="AA531" s="1278"/>
      <c r="AB531" s="299" t="s">
        <v>2790</v>
      </c>
      <c r="AC531" s="765" t="s">
        <v>2791</v>
      </c>
      <c r="AD531" s="300" t="s">
        <v>1514</v>
      </c>
      <c r="AE531" s="7773">
        <f>_xlfn.SUMIFS(Налоги!AE$25:AE$101,Налоги!$F$25:$F$101,$F531,Налоги!$AB$25:$AB$101,$G531)</f>
        <v>0</v>
      </c>
      <c r="AF531" s="7773">
        <f>_xlfn.SUMIFS(Налоги!AF$25:AF$101,Налоги!$F$25:$F$101,$F531,Налоги!$AB$25:$AB$101,$G531)</f>
        <v>0</v>
      </c>
      <c r="AG531" s="7773">
        <f>_xlfn.SUMIFS(Налоги!AG$25:AG$101,Налоги!$F$25:$F$101,$F531,Налоги!$AB$25:$AB$101,$G531)</f>
        <v>0</v>
      </c>
      <c r="AH531" s="943">
        <f>AG531-AF531</f>
        <v>0</v>
      </c>
      <c r="AI531" s="7723">
        <f>_xlfn.SUMIFS(Налоги!AH$25:AH$101,Налоги!$F$25:$F$101,$F531,Налоги!$AB$25:$AB$101,$G531)</f>
        <v>0</v>
      </c>
      <c r="AJ531" s="7723">
        <f>_xlfn.SUMIFS(Налоги!AI$25:AI$101,Налоги!$F$25:$F$101,$F531,Налоги!$AB$25:$AB$101,$G531)</f>
        <v>65.157</v>
      </c>
      <c r="AK531" s="7723">
        <f>_xlfn.SUMIFS(Налоги!AJ$25:AJ$101,Налоги!$F$25:$F$101,$F531,Налоги!$AB$25:$AB$101,$G531)</f>
        <v>67.766</v>
      </c>
      <c r="AL531" s="7723">
        <f>_xlfn.SUMIFS(Налоги!AK$25:AK$101,Налоги!$F$25:$F$101,$F531,Налоги!$AB$25:$AB$101,$G531)</f>
        <v>70.47707070976</v>
      </c>
      <c r="AM531" s="7723">
        <f>_xlfn.SUMIFS(Налоги!AL$25:AL$101,Налоги!$F$25:$F$101,$F531,Налоги!$AB$25:$AB$101,$G531)</f>
        <v>73.2961535381504</v>
      </c>
      <c r="AN531" s="7723">
        <f>_xlfn.SUMIFS(Налоги!AM$25:AM$101,Налоги!$F$25:$F$101,$F531,Налоги!$AB$25:$AB$101,$G531)</f>
        <v>76.2279996796764</v>
      </c>
      <c r="AO531" s="1253">
        <f>_xlfn.SUMIFS(Налоги!AN$25:AN$101,Налоги!$F$25:$F$101,$F531,Налоги!$AB$25:$AB$101,$G531)</f>
        <v>0</v>
      </c>
      <c r="AP531" s="1253">
        <f>_xlfn.SUMIFS(Налоги!AO$25:AO$101,Налоги!$F$25:$F$101,$F531,Налоги!$AB$25:$AB$101,$G531)</f>
        <v>0</v>
      </c>
      <c r="AQ531" s="1253">
        <f>_xlfn.SUMIFS(Налоги!AP$25:AP$101,Налоги!$F$25:$F$101,$F531,Налоги!$AB$25:$AB$101,$G531)</f>
        <v>0</v>
      </c>
      <c r="AR531" s="1253">
        <f>_xlfn.SUMIFS(Налоги!AQ$25:AQ$101,Налоги!$F$25:$F$101,$F531,Налоги!$AB$25:$AB$101,$G531)</f>
        <v>0</v>
      </c>
      <c r="AS531" s="1253">
        <f>_xlfn.SUMIFS(Налоги!AR$25:AR$101,Налоги!$F$25:$F$101,$F531,Налоги!$AB$25:$AB$101,$G531)</f>
        <v>0</v>
      </c>
      <c r="AT531" s="7723">
        <f>_xlfn.SUMIFS(Налоги!AS$25:AS$101,Налоги!$F$25:$F$101,$F531,Налоги!$AB$25:$AB$101,$G531)</f>
        <v>65.1600136</v>
      </c>
      <c r="AU531" s="7723">
        <f>_xlfn.SUMIFS(Налоги!AT$25:AT$101,Налоги!$F$25:$F$101,$F531,Налоги!$AB$25:$AB$101,$G531)</f>
        <v>67.766414144</v>
      </c>
      <c r="AV531" s="7723">
        <f>_xlfn.SUMIFS(Налоги!AU$25:AU$101,Налоги!$F$25:$F$101,$F531,Налоги!$AB$25:$AB$101,$G531)</f>
        <v>70.47707070976</v>
      </c>
      <c r="AW531" s="7723">
        <f>_xlfn.SUMIFS(Налоги!AV$25:AV$101,Налоги!$F$25:$F$101,$F531,Налоги!$AB$25:$AB$101,$G531)</f>
        <v>73.2961535381504</v>
      </c>
      <c r="AX531" s="7723">
        <f>_xlfn.SUMIFS(Налоги!AW$25:AW$101,Налоги!$F$25:$F$101,$F531,Налоги!$AB$25:$AB$101,$G531)</f>
        <v>76.2279996796764</v>
      </c>
      <c r="AY531" s="1253">
        <f>_xlfn.SUMIFS(Налоги!AX$25:AX$101,Налоги!$F$25:$F$101,$F531,Налоги!$AB$25:$AB$101,$G531)</f>
        <v>0</v>
      </c>
      <c r="AZ531" s="1253">
        <f>_xlfn.SUMIFS(Налоги!AY$25:AY$101,Налоги!$F$25:$F$101,$F531,Налоги!$AB$25:$AB$101,$G531)</f>
        <v>0</v>
      </c>
      <c r="BA531" s="1253">
        <f>_xlfn.SUMIFS(Налоги!AZ$25:AZ$101,Налоги!$F$25:$F$101,$F531,Налоги!$AB$25:$AB$101,$G531)</f>
        <v>0</v>
      </c>
      <c r="BB531" s="1253">
        <f>_xlfn.SUMIFS(Налоги!BA$25:BA$101,Налоги!$F$25:$F$101,$F531,Налоги!$AB$25:$AB$101,$G531)</f>
        <v>0</v>
      </c>
      <c r="BC531" s="1253">
        <f>_xlfn.SUMIFS(Налоги!BB$25:BB$101,Налоги!$F$25:$F$101,$F531,Налоги!$AB$25:$AB$101,$G531)</f>
        <v>0</v>
      </c>
      <c r="BD531" s="943">
        <f>IF(AI531=0,0,(AT531-AI531)/AI531*100)</f>
        <v>0</v>
      </c>
      <c r="BE531" s="943">
        <f>IF(AT531=0,0,(AU531-AT531)/AT531*100)</f>
        <v>4</v>
      </c>
      <c r="BF531" s="943">
        <f>IF(AU531=0,0,(AV531-AU531)/AU531*100)</f>
        <v>4</v>
      </c>
      <c r="BG531" s="943">
        <f>IF(AV531=0,0,(AW531-AV531)/AV531*100)</f>
        <v>4</v>
      </c>
      <c r="BH531" s="943">
        <f>IF(AW531=0,0,(AX531-AW531)/AW531*100)</f>
        <v>4</v>
      </c>
      <c r="BI531" s="943">
        <f>IF(AX531=0,0,(AY531-AX531)/AX531*100)</f>
        <v>-100</v>
      </c>
      <c r="BJ531" s="943">
        <f>IF(AY531=0,0,(AZ531-AY531)/AY531*100)</f>
        <v>0</v>
      </c>
      <c r="BK531" s="943">
        <f>IF(AZ531=0,0,(BA531-AZ531)/AZ531*100)</f>
        <v>0</v>
      </c>
      <c r="BL531" s="943">
        <f>IF(BA531=0,0,(BB531-BA531)/BA531*100)</f>
        <v>0</v>
      </c>
      <c r="BM531" s="943">
        <f>IF(BB531=0,0,(BC531-BB531)/BB531*100)</f>
        <v>0</v>
      </c>
      <c r="BN531" s="7771"/>
      <c r="BO531" s="7724" t="str">
        <f>IF(_xlfn.IFERROR(INDEX(Налоги!$K$26:$L$101,MATCH($F531&amp;"5komm",Налоги!$K$26:$K$101,0),2),"")=0,"",_xlfn.IFERROR(INDEX(Налоги!$K$26:$L$101,MATCH($F531&amp;"5komm",Налоги!$K$26:$K$101,0),2),""))</f>
        <v/>
      </c>
      <c r="BP531" s="7771"/>
      <c r="BQ531" s="1278"/>
      <c r="BR531" s="1278"/>
      <c r="BS531" s="1064" t="s">
        <v>2792</v>
      </c>
      <c r="BT531" s="1064"/>
      <c r="BU531" s="1064"/>
      <c r="BV531" s="979"/>
      <c r="BW531" s="979"/>
    </row>
    <row s="1834" customFormat="1" customHeight="1" ht="14.25">
      <c r="A532" s="1278"/>
      <c r="B532" s="96"/>
      <c r="C532" s="107"/>
      <c r="D532" s="107"/>
      <c r="E532" s="621">
        <v>15</v>
      </c>
      <c r="F532" s="50" cm="1" t="str">
        <f t="array" ref="F532:F532">OFFSET(E532,-1,1)</f>
        <v>3</v>
      </c>
      <c r="G532" s="922">
        <v>8</v>
      </c>
      <c r="H532" s="107"/>
      <c r="I532" s="107" t="s">
        <v>2793</v>
      </c>
      <c r="J532" s="107"/>
      <c r="K532" s="107" t="s">
        <v>2793</v>
      </c>
      <c r="L532" s="980"/>
      <c r="M532" s="107"/>
      <c r="N532" s="107"/>
      <c r="O532" s="107"/>
      <c r="P532" s="107"/>
      <c r="Q532" s="107"/>
      <c r="R532" s="107"/>
      <c r="S532" s="107"/>
      <c r="T532" s="465" cm="1" t="str">
        <f t="array" ref="T532:T532">T531</f>
        <v>true</v>
      </c>
      <c r="U532" s="107"/>
      <c r="V532" s="107"/>
      <c r="W532" s="1278"/>
      <c r="X532" s="1563"/>
      <c r="Y532" s="1278"/>
      <c r="Z532" s="1546"/>
      <c r="AA532" s="1278"/>
      <c r="AB532" s="299" t="s">
        <v>2794</v>
      </c>
      <c r="AC532" s="765" t="s">
        <v>2795</v>
      </c>
      <c r="AD532" s="300" t="s">
        <v>1514</v>
      </c>
      <c r="AE532" s="259">
        <f>_xlfn.SUMIFS(Налоги!AE$25:AE$101,Налоги!$F$25:$F$101,$F532,Налоги!$AB$25:$AB$101,$G532)</f>
        <v>0</v>
      </c>
      <c r="AF532" s="259">
        <f>_xlfn.SUMIFS(Налоги!AF$25:AF$101,Налоги!$F$25:$F$101,$F532,Налоги!$AB$25:$AB$101,$G532)</f>
        <v>0</v>
      </c>
      <c r="AG532" s="259">
        <f>_xlfn.SUMIFS(Налоги!AG$25:AG$101,Налоги!$F$25:$F$101,$F532,Налоги!$AB$25:$AB$101,$G532)</f>
        <v>0</v>
      </c>
      <c r="AH532" s="943">
        <f>AG532-AF532</f>
        <v>0</v>
      </c>
      <c r="AI532" s="943">
        <f>_xlfn.SUMIFS(Налоги!AH$25:AH$101,Налоги!$F$25:$F$101,$F532,Налоги!$AB$25:$AB$101,$G532)</f>
        <v>0</v>
      </c>
      <c r="AJ532" s="943">
        <f>_xlfn.SUMIFS(Налоги!AI$25:AI$101,Налоги!$F$25:$F$101,$F532,Налоги!$AB$25:$AB$101,$G532)</f>
        <v>0</v>
      </c>
      <c r="AK532" s="943">
        <f>_xlfn.SUMIFS(Налоги!AJ$25:AJ$101,Налоги!$F$25:$F$101,$F532,Налоги!$AB$25:$AB$101,$G532)</f>
        <v>0</v>
      </c>
      <c r="AL532" s="943">
        <f>_xlfn.SUMIFS(Налоги!AK$25:AK$101,Налоги!$F$25:$F$101,$F532,Налоги!$AB$25:$AB$101,$G532)</f>
        <v>0</v>
      </c>
      <c r="AM532" s="943">
        <f>_xlfn.SUMIFS(Налоги!AL$25:AL$101,Налоги!$F$25:$F$101,$F532,Налоги!$AB$25:$AB$101,$G532)</f>
        <v>0</v>
      </c>
      <c r="AN532" s="943">
        <f>_xlfn.SUMIFS(Налоги!AM$25:AM$101,Налоги!$F$25:$F$101,$F532,Налоги!$AB$25:$AB$101,$G532)</f>
        <v>0</v>
      </c>
      <c r="AO532" s="943">
        <f>_xlfn.SUMIFS(Налоги!AN$25:AN$101,Налоги!$F$25:$F$101,$F532,Налоги!$AB$25:$AB$101,$G532)</f>
        <v>0</v>
      </c>
      <c r="AP532" s="943">
        <f>_xlfn.SUMIFS(Налоги!AO$25:AO$101,Налоги!$F$25:$F$101,$F532,Налоги!$AB$25:$AB$101,$G532)</f>
        <v>0</v>
      </c>
      <c r="AQ532" s="943">
        <f>_xlfn.SUMIFS(Налоги!AP$25:AP$101,Налоги!$F$25:$F$101,$F532,Налоги!$AB$25:$AB$101,$G532)</f>
        <v>0</v>
      </c>
      <c r="AR532" s="943">
        <f>_xlfn.SUMIFS(Налоги!AQ$25:AQ$101,Налоги!$F$25:$F$101,$F532,Налоги!$AB$25:$AB$101,$G532)</f>
        <v>0</v>
      </c>
      <c r="AS532" s="943">
        <f>_xlfn.SUMIFS(Налоги!AR$25:AR$101,Налоги!$F$25:$F$101,$F532,Налоги!$AB$25:$AB$101,$G532)</f>
        <v>0</v>
      </c>
      <c r="AT532" s="943">
        <f>_xlfn.SUMIFS(Налоги!AS$25:AS$101,Налоги!$F$25:$F$101,$F532,Налоги!$AB$25:$AB$101,$G532)</f>
        <v>0</v>
      </c>
      <c r="AU532" s="943">
        <f>_xlfn.SUMIFS(Налоги!AT$25:AT$101,Налоги!$F$25:$F$101,$F532,Налоги!$AB$25:$AB$101,$G532)</f>
        <v>0</v>
      </c>
      <c r="AV532" s="943">
        <f>_xlfn.SUMIFS(Налоги!AU$25:AU$101,Налоги!$F$25:$F$101,$F532,Налоги!$AB$25:$AB$101,$G532)</f>
        <v>0</v>
      </c>
      <c r="AW532" s="943">
        <f>_xlfn.SUMIFS(Налоги!AV$25:AV$101,Налоги!$F$25:$F$101,$F532,Налоги!$AB$25:$AB$101,$G532)</f>
        <v>0</v>
      </c>
      <c r="AX532" s="943">
        <f>_xlfn.SUMIFS(Налоги!AW$25:AW$101,Налоги!$F$25:$F$101,$F532,Налоги!$AB$25:$AB$101,$G532)</f>
        <v>0</v>
      </c>
      <c r="AY532" s="943">
        <f>_xlfn.SUMIFS(Налоги!AX$25:AX$101,Налоги!$F$25:$F$101,$F532,Налоги!$AB$25:$AB$101,$G532)</f>
        <v>0</v>
      </c>
      <c r="AZ532" s="943">
        <f>_xlfn.SUMIFS(Налоги!AY$25:AY$101,Налоги!$F$25:$F$101,$F532,Налоги!$AB$25:$AB$101,$G532)</f>
        <v>0</v>
      </c>
      <c r="BA532" s="943">
        <f>_xlfn.SUMIFS(Налоги!AZ$25:AZ$101,Налоги!$F$25:$F$101,$F532,Налоги!$AB$25:$AB$101,$G532)</f>
        <v>0</v>
      </c>
      <c r="BB532" s="943">
        <f>_xlfn.SUMIFS(Налоги!BA$25:BA$101,Налоги!$F$25:$F$101,$F532,Налоги!$AB$25:$AB$101,$G532)</f>
        <v>0</v>
      </c>
      <c r="BC532" s="943">
        <f>_xlfn.SUMIFS(Налоги!BB$25:BB$101,Налоги!$F$25:$F$101,$F532,Налоги!$AB$25:$AB$101,$G532)</f>
        <v>0</v>
      </c>
      <c r="BD532" s="943">
        <f>IF(AI532=0,0,(AT532-AI532)/AI532*100)</f>
        <v>0</v>
      </c>
      <c r="BE532" s="943">
        <f>IF(AT532=0,0,(AU532-AT532)/AT532*100)</f>
        <v>0</v>
      </c>
      <c r="BF532" s="943">
        <f>IF(AU532=0,0,(AV532-AU532)/AU532*100)</f>
        <v>0</v>
      </c>
      <c r="BG532" s="943">
        <f>IF(AV532=0,0,(AW532-AV532)/AV532*100)</f>
        <v>0</v>
      </c>
      <c r="BH532" s="943">
        <f>IF(AW532=0,0,(AX532-AW532)/AW532*100)</f>
        <v>0</v>
      </c>
      <c r="BI532" s="943">
        <f>IF(AX532=0,0,(AY532-AX532)/AX532*100)</f>
        <v>0</v>
      </c>
      <c r="BJ532" s="943">
        <f>IF(AY532=0,0,(AZ532-AY532)/AY532*100)</f>
        <v>0</v>
      </c>
      <c r="BK532" s="943">
        <f>IF(AZ532=0,0,(BA532-AZ532)/AZ532*100)</f>
        <v>0</v>
      </c>
      <c r="BL532" s="943">
        <f>IF(BA532=0,0,(BB532-BA532)/BA532*100)</f>
        <v>0</v>
      </c>
      <c r="BM532" s="943">
        <f>IF(BB532=0,0,(BC532-BB532)/BB532*100)</f>
        <v>0</v>
      </c>
      <c r="BN532" s="7771"/>
      <c r="BO532" s="7724" t="str">
        <f>IF(_xlfn.IFERROR(INDEX(Налоги!$K$26:$L$101,MATCH($F532&amp;"8komm",Налоги!$K$26:$K$101,0),2),"")=0,"",_xlfn.IFERROR(INDEX(Налоги!$K$26:$L$101,MATCH($F532&amp;"8komm",Налоги!$K$26:$K$101,0),2),""))</f>
        <v/>
      </c>
      <c r="BP532" s="7771"/>
      <c r="BQ532" s="1278"/>
      <c r="BR532" s="1278"/>
      <c r="BS532" s="1064" t="s">
        <v>2017</v>
      </c>
      <c r="BT532" s="1064"/>
      <c r="BU532" s="1064"/>
      <c r="BV532" s="979"/>
      <c r="BW532" s="979"/>
    </row>
    <row s="1233" customFormat="1" customHeight="1" ht="14.25">
      <c r="A533" s="1233"/>
      <c r="B533" s="96"/>
      <c r="C533" s="107"/>
      <c r="D533" s="107"/>
      <c r="E533" s="621">
        <v>15</v>
      </c>
      <c r="F533" s="50" cm="1" t="str">
        <f t="array" ref="F533:F533">OFFSET(E533,-1,1)</f>
        <v>3</v>
      </c>
      <c r="G533" s="922">
        <v>9</v>
      </c>
      <c r="H533" s="107"/>
      <c r="I533" s="107"/>
      <c r="J533" s="107"/>
      <c r="K533" s="107"/>
      <c r="L533" s="980"/>
      <c r="M533" s="107"/>
      <c r="N533" s="107"/>
      <c r="O533" s="107"/>
      <c r="P533" s="107"/>
      <c r="Q533" s="107"/>
      <c r="R533" s="107"/>
      <c r="S533" s="107"/>
      <c r="T533" s="465" cm="1" t="str">
        <f t="array" ref="T533:T533">T532</f>
        <v>true</v>
      </c>
      <c r="U533" s="107"/>
      <c r="V533" s="107"/>
      <c r="W533" s="1233"/>
      <c r="X533" s="1563"/>
      <c r="Y533" s="1233"/>
      <c r="Z533" s="1546"/>
      <c r="AA533" s="1233"/>
      <c r="AB533" s="299" t="s">
        <v>2796</v>
      </c>
      <c r="AC533" s="780" t="s">
        <v>2797</v>
      </c>
      <c r="AD533" s="300" t="s">
        <v>1514</v>
      </c>
      <c r="AE533" s="259">
        <f>_xlfn.SUMIFS(Налоги!AE$25:AE$101,Налоги!$F$25:$F$101,$F533,Налоги!$AB$25:$AB$101,$G533)</f>
        <v>0</v>
      </c>
      <c r="AF533" s="259">
        <f>_xlfn.SUMIFS(Налоги!AF$25:AF$101,Налоги!$F$25:$F$101,$F533,Налоги!$AB$25:$AB$101,$G533)</f>
        <v>0</v>
      </c>
      <c r="AG533" s="259">
        <f>_xlfn.SUMIFS(Налоги!AG$25:AG$101,Налоги!$F$25:$F$101,$F533,Налоги!$AB$25:$AB$101,$G533)</f>
        <v>0</v>
      </c>
      <c r="AH533" s="943">
        <f>AG533-AF533</f>
        <v>0</v>
      </c>
      <c r="AI533" s="943">
        <f>_xlfn.SUMIFS(Налоги!AH$25:AH$101,Налоги!$F$25:$F$101,$F533,Налоги!$AB$25:$AB$101,$G533)</f>
        <v>0</v>
      </c>
      <c r="AJ533" s="943">
        <f>_xlfn.SUMIFS(Налоги!AI$25:AI$101,Налоги!$F$25:$F$101,$F533,Налоги!$AB$25:$AB$101,$G533)</f>
        <v>0</v>
      </c>
      <c r="AK533" s="943">
        <f>_xlfn.SUMIFS(Налоги!AJ$25:AJ$101,Налоги!$F$25:$F$101,$F533,Налоги!$AB$25:$AB$101,$G533)</f>
        <v>0</v>
      </c>
      <c r="AL533" s="943">
        <f>_xlfn.SUMIFS(Налоги!AK$25:AK$101,Налоги!$F$25:$F$101,$F533,Налоги!$AB$25:$AB$101,$G533)</f>
        <v>0</v>
      </c>
      <c r="AM533" s="943">
        <f>_xlfn.SUMIFS(Налоги!AL$25:AL$101,Налоги!$F$25:$F$101,$F533,Налоги!$AB$25:$AB$101,$G533)</f>
        <v>0</v>
      </c>
      <c r="AN533" s="943">
        <f>_xlfn.SUMIFS(Налоги!AM$25:AM$101,Налоги!$F$25:$F$101,$F533,Налоги!$AB$25:$AB$101,$G533)</f>
        <v>0</v>
      </c>
      <c r="AO533" s="943">
        <f>_xlfn.SUMIFS(Налоги!AN$25:AN$101,Налоги!$F$25:$F$101,$F533,Налоги!$AB$25:$AB$101,$G533)</f>
        <v>0</v>
      </c>
      <c r="AP533" s="943">
        <f>_xlfn.SUMIFS(Налоги!AO$25:AO$101,Налоги!$F$25:$F$101,$F533,Налоги!$AB$25:$AB$101,$G533)</f>
        <v>0</v>
      </c>
      <c r="AQ533" s="943">
        <f>_xlfn.SUMIFS(Налоги!AP$25:AP$101,Налоги!$F$25:$F$101,$F533,Налоги!$AB$25:$AB$101,$G533)</f>
        <v>0</v>
      </c>
      <c r="AR533" s="943">
        <f>_xlfn.SUMIFS(Налоги!AQ$25:AQ$101,Налоги!$F$25:$F$101,$F533,Налоги!$AB$25:$AB$101,$G533)</f>
        <v>0</v>
      </c>
      <c r="AS533" s="943">
        <f>_xlfn.SUMIFS(Налоги!AR$25:AR$101,Налоги!$F$25:$F$101,$F533,Налоги!$AB$25:$AB$101,$G533)</f>
        <v>0</v>
      </c>
      <c r="AT533" s="943">
        <f>_xlfn.SUMIFS(Налоги!AS$25:AS$101,Налоги!$F$25:$F$101,$F533,Налоги!$AB$25:$AB$101,$G533)</f>
        <v>0</v>
      </c>
      <c r="AU533" s="943">
        <f>_xlfn.SUMIFS(Налоги!AT$25:AT$101,Налоги!$F$25:$F$101,$F533,Налоги!$AB$25:$AB$101,$G533)</f>
        <v>0</v>
      </c>
      <c r="AV533" s="943">
        <f>_xlfn.SUMIFS(Налоги!AU$25:AU$101,Налоги!$F$25:$F$101,$F533,Налоги!$AB$25:$AB$101,$G533)</f>
        <v>0</v>
      </c>
      <c r="AW533" s="943">
        <f>_xlfn.SUMIFS(Налоги!AV$25:AV$101,Налоги!$F$25:$F$101,$F533,Налоги!$AB$25:$AB$101,$G533)</f>
        <v>0</v>
      </c>
      <c r="AX533" s="943">
        <f>_xlfn.SUMIFS(Налоги!AW$25:AW$101,Налоги!$F$25:$F$101,$F533,Налоги!$AB$25:$AB$101,$G533)</f>
        <v>0</v>
      </c>
      <c r="AY533" s="943">
        <f>_xlfn.SUMIFS(Налоги!AX$25:AX$101,Налоги!$F$25:$F$101,$F533,Налоги!$AB$25:$AB$101,$G533)</f>
        <v>0</v>
      </c>
      <c r="AZ533" s="943">
        <f>_xlfn.SUMIFS(Налоги!AY$25:AY$101,Налоги!$F$25:$F$101,$F533,Налоги!$AB$25:$AB$101,$G533)</f>
        <v>0</v>
      </c>
      <c r="BA533" s="943">
        <f>_xlfn.SUMIFS(Налоги!AZ$25:AZ$101,Налоги!$F$25:$F$101,$F533,Налоги!$AB$25:$AB$101,$G533)</f>
        <v>0</v>
      </c>
      <c r="BB533" s="943">
        <f>_xlfn.SUMIFS(Налоги!BA$25:BA$101,Налоги!$F$25:$F$101,$F533,Налоги!$AB$25:$AB$101,$G533)</f>
        <v>0</v>
      </c>
      <c r="BC533" s="943">
        <f>_xlfn.SUMIFS(Налоги!BB$25:BB$101,Налоги!$F$25:$F$101,$F533,Налоги!$AB$25:$AB$101,$G533)</f>
        <v>0</v>
      </c>
      <c r="BD533" s="943">
        <f>IF(AI533=0,0,(AT533-AI533)/AI533*100)</f>
        <v>0</v>
      </c>
      <c r="BE533" s="943">
        <f>IF(AT533=0,0,(AU533-AT533)/AT533*100)</f>
        <v>0</v>
      </c>
      <c r="BF533" s="943">
        <f>IF(AU533=0,0,(AV533-AU533)/AU533*100)</f>
        <v>0</v>
      </c>
      <c r="BG533" s="943">
        <f>IF(AV533=0,0,(AW533-AV533)/AV533*100)</f>
        <v>0</v>
      </c>
      <c r="BH533" s="943">
        <f>IF(AW533=0,0,(AX533-AW533)/AW533*100)</f>
        <v>0</v>
      </c>
      <c r="BI533" s="943">
        <f>IF(AX533=0,0,(AY533-AX533)/AX533*100)</f>
        <v>0</v>
      </c>
      <c r="BJ533" s="943">
        <f>IF(AY533=0,0,(AZ533-AY533)/AY533*100)</f>
        <v>0</v>
      </c>
      <c r="BK533" s="943">
        <f>IF(AZ533=0,0,(BA533-AZ533)/AZ533*100)</f>
        <v>0</v>
      </c>
      <c r="BL533" s="943">
        <f>IF(BA533=0,0,(BB533-BA533)/BA533*100)</f>
        <v>0</v>
      </c>
      <c r="BM533" s="943">
        <f>IF(BB533=0,0,(BC533-BB533)/BB533*100)</f>
        <v>0</v>
      </c>
      <c r="BN533" s="7771"/>
      <c r="BO533" s="7724" t="str">
        <f>IF(_xlfn.IFERROR(INDEX(Налоги!$K$26:$L$101,MATCH($F533&amp;"9komm",Налоги!$K$26:$K$101,0),2),"")=0,"",_xlfn.IFERROR(INDEX(Налоги!$K$26:$L$101,MATCH($F533&amp;"9komm",Налоги!$K$26:$K$101,0),2),""))</f>
        <v/>
      </c>
      <c r="BP533" s="7771"/>
      <c r="BQ533" s="1233"/>
      <c r="BR533" s="1233"/>
      <c r="BS533" s="1071" t="s">
        <v>2798</v>
      </c>
      <c r="BT533" s="1071"/>
      <c r="BU533" s="1071"/>
      <c r="BV533" s="1072"/>
      <c r="BW533" s="1072"/>
    </row>
    <row s="1834" customFormat="1" customHeight="1" ht="14.25">
      <c r="A534" s="1278"/>
      <c r="B534" s="96"/>
      <c r="C534" s="107"/>
      <c r="D534" s="107"/>
      <c r="E534" s="621">
        <v>15</v>
      </c>
      <c r="F534" s="50" cm="1" t="str">
        <f t="array" ref="F534:F534">OFFSET(E534,-1,1)</f>
        <v>3</v>
      </c>
      <c r="G534" s="922">
        <v>10</v>
      </c>
      <c r="H534" s="107"/>
      <c r="I534" s="107" t="s">
        <v>2799</v>
      </c>
      <c r="J534" s="107"/>
      <c r="K534" s="107" t="s">
        <v>2799</v>
      </c>
      <c r="L534" s="980"/>
      <c r="M534" s="107"/>
      <c r="N534" s="107"/>
      <c r="O534" s="107"/>
      <c r="P534" s="107"/>
      <c r="Q534" s="107"/>
      <c r="R534" s="107"/>
      <c r="S534" s="107"/>
      <c r="T534" s="465" cm="1" t="str">
        <f t="array" ref="T534:T534">T533</f>
        <v>true</v>
      </c>
      <c r="U534" s="107"/>
      <c r="V534" s="107"/>
      <c r="W534" s="1278"/>
      <c r="X534" s="1563"/>
      <c r="Y534" s="1278"/>
      <c r="Z534" s="1546"/>
      <c r="AA534" s="1278"/>
      <c r="AB534" s="299" t="s">
        <v>2800</v>
      </c>
      <c r="AC534" s="781" t="s">
        <v>2801</v>
      </c>
      <c r="AD534" s="300" t="s">
        <v>1514</v>
      </c>
      <c r="AE534" s="259">
        <f>_xlfn.SUMIFS(Налоги!AE$25:AE$101,Налоги!$F$25:$F$101,$F534,Налоги!$AB$25:$AB$101,$G534)</f>
        <v>0</v>
      </c>
      <c r="AF534" s="259">
        <f>_xlfn.SUMIFS(Налоги!AF$25:AF$101,Налоги!$F$25:$F$101,$F534,Налоги!$AB$25:$AB$101,$G534)</f>
        <v>0</v>
      </c>
      <c r="AG534" s="259">
        <f>_xlfn.SUMIFS(Налоги!AG$25:AG$101,Налоги!$F$25:$F$101,$F534,Налоги!$AB$25:$AB$101,$G534)</f>
        <v>0</v>
      </c>
      <c r="AH534" s="943">
        <f>AG534-AF534</f>
        <v>0</v>
      </c>
      <c r="AI534" s="943">
        <f>_xlfn.SUMIFS(Налоги!AH$25:AH$101,Налоги!$F$25:$F$101,$F534,Налоги!$AB$25:$AB$101,$G534)</f>
        <v>0</v>
      </c>
      <c r="AJ534" s="943">
        <f>_xlfn.SUMIFS(Налоги!AI$25:AI$101,Налоги!$F$25:$F$101,$F534,Налоги!$AB$25:$AB$101,$G534)</f>
        <v>0</v>
      </c>
      <c r="AK534" s="943">
        <f>_xlfn.SUMIFS(Налоги!AJ$25:AJ$101,Налоги!$F$25:$F$101,$F534,Налоги!$AB$25:$AB$101,$G534)</f>
        <v>0</v>
      </c>
      <c r="AL534" s="943">
        <f>_xlfn.SUMIFS(Налоги!AK$25:AK$101,Налоги!$F$25:$F$101,$F534,Налоги!$AB$25:$AB$101,$G534)</f>
        <v>16.13</v>
      </c>
      <c r="AM534" s="943">
        <f>_xlfn.SUMIFS(Налоги!AL$25:AL$101,Налоги!$F$25:$F$101,$F534,Налоги!$AB$25:$AB$101,$G534)</f>
        <v>89.78</v>
      </c>
      <c r="AN534" s="943">
        <f>_xlfn.SUMIFS(Налоги!AM$25:AM$101,Налоги!$F$25:$F$101,$F534,Налоги!$AB$25:$AB$101,$G534)</f>
        <v>57.51</v>
      </c>
      <c r="AO534" s="943">
        <f>_xlfn.SUMIFS(Налоги!AN$25:AN$101,Налоги!$F$25:$F$101,$F534,Налоги!$AB$25:$AB$101,$G534)</f>
        <v>0</v>
      </c>
      <c r="AP534" s="943">
        <f>_xlfn.SUMIFS(Налоги!AO$25:AO$101,Налоги!$F$25:$F$101,$F534,Налоги!$AB$25:$AB$101,$G534)</f>
        <v>0</v>
      </c>
      <c r="AQ534" s="943">
        <f>_xlfn.SUMIFS(Налоги!AP$25:AP$101,Налоги!$F$25:$F$101,$F534,Налоги!$AB$25:$AB$101,$G534)</f>
        <v>0</v>
      </c>
      <c r="AR534" s="943">
        <f>_xlfn.SUMIFS(Налоги!AQ$25:AQ$101,Налоги!$F$25:$F$101,$F534,Налоги!$AB$25:$AB$101,$G534)</f>
        <v>0</v>
      </c>
      <c r="AS534" s="943">
        <f>_xlfn.SUMIFS(Налоги!AR$25:AR$101,Налоги!$F$25:$F$101,$F534,Налоги!$AB$25:$AB$101,$G534)</f>
        <v>0</v>
      </c>
      <c r="AT534" s="943">
        <f>_xlfn.SUMIFS(Налоги!AS$25:AS$101,Налоги!$F$25:$F$101,$F534,Налоги!$AB$25:$AB$101,$G534)</f>
        <v>0</v>
      </c>
      <c r="AU534" s="943">
        <f>_xlfn.SUMIFS(Налоги!AT$25:AT$101,Налоги!$F$25:$F$101,$F534,Налоги!$AB$25:$AB$101,$G534)</f>
        <v>0</v>
      </c>
      <c r="AV534" s="943">
        <f>_xlfn.SUMIFS(Налоги!AU$25:AU$101,Налоги!$F$25:$F$101,$F534,Налоги!$AB$25:$AB$101,$G534)</f>
        <v>16.13</v>
      </c>
      <c r="AW534" s="943">
        <f>_xlfn.SUMIFS(Налоги!AV$25:AV$101,Налоги!$F$25:$F$101,$F534,Налоги!$AB$25:$AB$101,$G534)</f>
        <v>89.78</v>
      </c>
      <c r="AX534" s="943">
        <f>_xlfn.SUMIFS(Налоги!AW$25:AW$101,Налоги!$F$25:$F$101,$F534,Налоги!$AB$25:$AB$101,$G534)</f>
        <v>57.51</v>
      </c>
      <c r="AY534" s="943">
        <f>_xlfn.SUMIFS(Налоги!AX$25:AX$101,Налоги!$F$25:$F$101,$F534,Налоги!$AB$25:$AB$101,$G534)</f>
        <v>0</v>
      </c>
      <c r="AZ534" s="943">
        <f>_xlfn.SUMIFS(Налоги!AY$25:AY$101,Налоги!$F$25:$F$101,$F534,Налоги!$AB$25:$AB$101,$G534)</f>
        <v>0</v>
      </c>
      <c r="BA534" s="943">
        <f>_xlfn.SUMIFS(Налоги!AZ$25:AZ$101,Налоги!$F$25:$F$101,$F534,Налоги!$AB$25:$AB$101,$G534)</f>
        <v>0</v>
      </c>
      <c r="BB534" s="943">
        <f>_xlfn.SUMIFS(Налоги!BA$25:BA$101,Налоги!$F$25:$F$101,$F534,Налоги!$AB$25:$AB$101,$G534)</f>
        <v>0</v>
      </c>
      <c r="BC534" s="943">
        <f>_xlfn.SUMIFS(Налоги!BB$25:BB$101,Налоги!$F$25:$F$101,$F534,Налоги!$AB$25:$AB$101,$G534)</f>
        <v>0</v>
      </c>
      <c r="BD534" s="943">
        <f>IF(AI534=0,0,(AT534-AI534)/AI534*100)</f>
        <v>0</v>
      </c>
      <c r="BE534" s="943">
        <f>IF(AT534=0,0,(AU534-AT534)/AT534*100)</f>
        <v>0</v>
      </c>
      <c r="BF534" s="943">
        <f>IF(AU534=0,0,(AV534-AU534)/AU534*100)</f>
        <v>0</v>
      </c>
      <c r="BG534" s="943">
        <f>IF(AV534=0,0,(AW534-AV534)/AV534*100)</f>
        <v>456.602603843769</v>
      </c>
      <c r="BH534" s="943">
        <f>IF(AW534=0,0,(AX534-AW534)/AW534*100)</f>
        <v>-35.9434172421475</v>
      </c>
      <c r="BI534" s="943">
        <f>IF(AX534=0,0,(AY534-AX534)/AX534*100)</f>
        <v>-100</v>
      </c>
      <c r="BJ534" s="943">
        <f>IF(AY534=0,0,(AZ534-AY534)/AY534*100)</f>
        <v>0</v>
      </c>
      <c r="BK534" s="943">
        <f>IF(AZ534=0,0,(BA534-AZ534)/AZ534*100)</f>
        <v>0</v>
      </c>
      <c r="BL534" s="943">
        <f>IF(BA534=0,0,(BB534-BA534)/BA534*100)</f>
        <v>0</v>
      </c>
      <c r="BM534" s="943">
        <f>IF(BB534=0,0,(BC534-BB534)/BB534*100)</f>
        <v>0</v>
      </c>
      <c r="BN534" s="7771"/>
      <c r="BO534" s="7724" t="str">
        <f>IF(_xlfn.IFERROR(INDEX(Налоги!$K$26:$L$101,MATCH($F534&amp;"10komm",Налоги!$K$26:$K$101,0),2),"")=0,"",_xlfn.IFERROR(INDEX(Налоги!$K$26:$L$101,MATCH($F534&amp;"10komm",Налоги!$K$26:$K$101,0),2),""))</f>
        <v/>
      </c>
      <c r="BP534" s="7771"/>
      <c r="BQ534" s="1278"/>
      <c r="BR534" s="1278"/>
      <c r="BS534" s="1064" t="s">
        <v>2802</v>
      </c>
      <c r="BT534" s="1064"/>
      <c r="BU534" s="1064"/>
      <c r="BV534" s="979"/>
      <c r="BW534" s="979"/>
    </row>
    <row s="1834" customFormat="1" customHeight="1" ht="65.25">
      <c r="A535" s="1278"/>
      <c r="B535" s="978"/>
      <c r="C535" s="1278"/>
      <c r="D535" s="1278"/>
      <c r="E535" s="703">
        <v>67.5</v>
      </c>
      <c r="F535" s="50" cm="1" t="str">
        <f t="array" ref="F535:F535">OFFSET(E535,-1,1)</f>
        <v>3</v>
      </c>
      <c r="G535" s="158" t="s">
        <v>2178</v>
      </c>
      <c r="H535" s="1278"/>
      <c r="I535" s="158" t="s">
        <v>1650</v>
      </c>
      <c r="J535" s="1278"/>
      <c r="K535" s="158" t="s">
        <v>1650</v>
      </c>
      <c r="L535" s="980"/>
      <c r="M535" s="107"/>
      <c r="N535" s="1278"/>
      <c r="O535" s="1278"/>
      <c r="P535" s="1278"/>
      <c r="Q535" s="1278"/>
      <c r="R535" s="1278"/>
      <c r="S535" s="1278"/>
      <c r="T535" s="465" cm="1" t="str">
        <f t="array" ref="T535:T535">T534</f>
        <v>true</v>
      </c>
      <c r="U535" s="1278"/>
      <c r="V535" s="1278"/>
      <c r="W535" s="1278"/>
      <c r="X535" s="1563"/>
      <c r="Y535" s="1278"/>
      <c r="Z535" s="1546"/>
      <c r="AA535" s="1278"/>
      <c r="AB535" s="299" t="s">
        <v>1651</v>
      </c>
      <c r="AC535" s="782" t="s">
        <v>2181</v>
      </c>
      <c r="AD535" s="300" t="s">
        <v>1514</v>
      </c>
      <c r="AE535" s="7775"/>
      <c r="AF535" s="7775"/>
      <c r="AG535" s="7775"/>
      <c r="AH535" s="943">
        <f>AG535-AF535</f>
        <v>0</v>
      </c>
      <c r="AI535" s="7776"/>
      <c r="AJ535" s="7776"/>
      <c r="AK535" s="7776"/>
      <c r="AL535" s="7776"/>
      <c r="AM535" s="7776"/>
      <c r="AN535" s="7776"/>
      <c r="AO535" s="1258"/>
      <c r="AP535" s="1258"/>
      <c r="AQ535" s="1258"/>
      <c r="AR535" s="1258"/>
      <c r="AS535" s="1258"/>
      <c r="AT535" s="7776"/>
      <c r="AU535" s="7776"/>
      <c r="AV535" s="7776"/>
      <c r="AW535" s="7776"/>
      <c r="AX535" s="7776"/>
      <c r="AY535" s="1258"/>
      <c r="AZ535" s="1258"/>
      <c r="BA535" s="1258"/>
      <c r="BB535" s="1258"/>
      <c r="BC535" s="1258"/>
      <c r="BD535" s="943">
        <f>IF(AI535=0,0,(AT535-AI535)/AI535*100)</f>
        <v>0</v>
      </c>
      <c r="BE535" s="943">
        <f>IF(AT535=0,0,(AU535-AT535)/AT535*100)</f>
        <v>0</v>
      </c>
      <c r="BF535" s="943">
        <f>IF(AU535=0,0,(AV535-AU535)/AU535*100)</f>
        <v>0</v>
      </c>
      <c r="BG535" s="943">
        <f>IF(AV535=0,0,(AW535-AV535)/AV535*100)</f>
        <v>0</v>
      </c>
      <c r="BH535" s="943">
        <f>IF(AW535=0,0,(AX535-AW535)/AW535*100)</f>
        <v>0</v>
      </c>
      <c r="BI535" s="943">
        <f>IF(AX535=0,0,(AY535-AX535)/AX535*100)</f>
        <v>0</v>
      </c>
      <c r="BJ535" s="943">
        <f>IF(AY535=0,0,(AZ535-AY535)/AY535*100)</f>
        <v>0</v>
      </c>
      <c r="BK535" s="943">
        <f>IF(AZ535=0,0,(BA535-AZ535)/AZ535*100)</f>
        <v>0</v>
      </c>
      <c r="BL535" s="943">
        <f>IF(BA535=0,0,(BB535-BA535)/BA535*100)</f>
        <v>0</v>
      </c>
      <c r="BM535" s="943">
        <f>IF(BB535=0,0,(BC535-BB535)/BB535*100)</f>
        <v>0</v>
      </c>
      <c r="BN535" s="7771"/>
      <c r="BO535" s="7771"/>
      <c r="BP535" s="7771"/>
      <c r="BQ535" s="1278"/>
      <c r="BR535" s="1278"/>
      <c r="BS535" s="1064" t="s">
        <v>2803</v>
      </c>
      <c r="BT535" s="1064"/>
      <c r="BU535" s="1064"/>
      <c r="BV535" s="979"/>
      <c r="BW535" s="979"/>
    </row>
    <row s="1834" customFormat="1" customHeight="1" ht="14.25">
      <c r="A536" s="1278"/>
      <c r="B536" s="978"/>
      <c r="C536" s="1278"/>
      <c r="D536" s="1278"/>
      <c r="E536" s="703">
        <v>15</v>
      </c>
      <c r="F536" s="50" cm="1" t="str">
        <f t="array" ref="F536:F536">OFFSET(E536,-1,1)</f>
        <v>3</v>
      </c>
      <c r="G536" s="158" t="s">
        <v>1730</v>
      </c>
      <c r="H536" s="1278"/>
      <c r="I536" s="158" t="s">
        <v>1653</v>
      </c>
      <c r="J536" s="1278"/>
      <c r="K536" s="158" t="s">
        <v>1653</v>
      </c>
      <c r="L536" s="980" t="s">
        <v>1225</v>
      </c>
      <c r="M536" s="107"/>
      <c r="N536" s="1278"/>
      <c r="O536" s="1278"/>
      <c r="P536" s="1278"/>
      <c r="Q536" s="1278"/>
      <c r="R536" s="1278"/>
      <c r="S536" s="1278"/>
      <c r="T536" s="465" cm="1" t="str">
        <f t="array" ref="T536:T536">T535</f>
        <v>true</v>
      </c>
      <c r="U536" s="1278"/>
      <c r="V536" s="1278"/>
      <c r="W536" s="1278"/>
      <c r="X536" s="1563"/>
      <c r="Y536" s="1278"/>
      <c r="Z536" s="1546"/>
      <c r="AA536" s="1278"/>
      <c r="AB536" s="299" t="s">
        <v>1654</v>
      </c>
      <c r="AC536" s="762" t="s">
        <v>1730</v>
      </c>
      <c r="AD536" s="300" t="s">
        <v>1514</v>
      </c>
      <c r="AE536" s="259">
        <f>_xlfn.SUMIFS(Аренда!AE$25:AE$77,Аренда!$F$25:$F$77,$F536,Аренда!$G$25:$G$77,"Арендная и концессионная плата, лизинговые платежи")</f>
        <v>0</v>
      </c>
      <c r="AF536" s="259">
        <f>_xlfn.SUMIFS(Аренда!AF$25:AF$77,Аренда!$F$25:$F$77,$F536,Аренда!$G$25:$G$77,"Арендная и концессионная плата, лизинговые платежи")</f>
        <v>0</v>
      </c>
      <c r="AG536" s="259">
        <f>_xlfn.SUMIFS(Аренда!AG$25:AG$77,Аренда!$F$25:$F$77,$F536,Аренда!$G$25:$G$77,"Арендная и концессионная плата, лизинговые платежи")</f>
        <v>0</v>
      </c>
      <c r="AH536" s="943">
        <f>AG536-AF536</f>
        <v>0</v>
      </c>
      <c r="AI536" s="259">
        <f>_xlfn.SUMIFS(Аренда!AH$25:AH$77,Аренда!$F$25:$F$77,$F536,Аренда!$G$25:$G$77,"Арендная и концессионная плата, лизинговые платежи")</f>
        <v>0</v>
      </c>
      <c r="AJ536" s="259">
        <f>_xlfn.SUMIFS(Аренда!AI$25:AI$77,Аренда!$F$25:$F$77,$F536,Аренда!$G$25:$G$77,"Арендная и концессионная плата, лизинговые платежи")</f>
        <v>193.9</v>
      </c>
      <c r="AK536" s="259">
        <f>_xlfn.SUMIFS(Аренда!AJ$25:AJ$77,Аренда!$F$25:$F$77,$F536,Аренда!$G$25:$G$77,"Арендная и концессионная плата, лизинговые платежи")</f>
        <v>193.9</v>
      </c>
      <c r="AL536" s="259">
        <f>_xlfn.SUMIFS(Аренда!AK$25:AK$77,Аренда!$F$25:$F$77,$F536,Аренда!$G$25:$G$77,"Арендная и концессионная плата, лизинговые платежи")</f>
        <v>193.9</v>
      </c>
      <c r="AM536" s="259">
        <f>_xlfn.SUMIFS(Аренда!AL$25:AL$77,Аренда!$F$25:$F$77,$F536,Аренда!$G$25:$G$77,"Арендная и концессионная плата, лизинговые платежи")</f>
        <v>193.9</v>
      </c>
      <c r="AN536" s="259">
        <f>_xlfn.SUMIFS(Аренда!AM$25:AM$77,Аренда!$F$25:$F$77,$F536,Аренда!$G$25:$G$77,"Арендная и концессионная плата, лизинговые платежи")</f>
        <v>193.9</v>
      </c>
      <c r="AO536" s="259">
        <f>_xlfn.SUMIFS(Аренда!AN$25:AN$77,Аренда!$F$25:$F$77,$F536,Аренда!$G$25:$G$77,"Арендная и концессионная плата, лизинговые платежи")</f>
        <v>0</v>
      </c>
      <c r="AP536" s="259">
        <f>_xlfn.SUMIFS(Аренда!AO$25:AO$77,Аренда!$F$25:$F$77,$F536,Аренда!$G$25:$G$77,"Арендная и концессионная плата, лизинговые платежи")</f>
        <v>0</v>
      </c>
      <c r="AQ536" s="259">
        <f>_xlfn.SUMIFS(Аренда!AP$25:AP$77,Аренда!$F$25:$F$77,$F536,Аренда!$G$25:$G$77,"Арендная и концессионная плата, лизинговые платежи")</f>
        <v>0</v>
      </c>
      <c r="AR536" s="259">
        <f>_xlfn.SUMIFS(Аренда!AQ$25:AQ$77,Аренда!$F$25:$F$77,$F536,Аренда!$G$25:$G$77,"Арендная и концессионная плата, лизинговые платежи")</f>
        <v>0</v>
      </c>
      <c r="AS536" s="259">
        <f>_xlfn.SUMIFS(Аренда!AR$25:AR$77,Аренда!$F$25:$F$77,$F536,Аренда!$G$25:$G$77,"Арендная и концессионная плата, лизинговые платежи")</f>
        <v>0</v>
      </c>
      <c r="AT536" s="259">
        <f>_xlfn.SUMIFS(Аренда!AS$25:AS$77,Аренда!$F$25:$F$77,$F536,Аренда!$G$25:$G$77,"Арендная и концессионная плата, лизинговые платежи")</f>
        <v>193.9</v>
      </c>
      <c r="AU536" s="259">
        <f>_xlfn.SUMIFS(Аренда!AT$25:AT$77,Аренда!$F$25:$F$77,$F536,Аренда!$G$25:$G$77,"Арендная и концессионная плата, лизинговые платежи")</f>
        <v>193.9</v>
      </c>
      <c r="AV536" s="259">
        <f>_xlfn.SUMIFS(Аренда!AU$25:AU$77,Аренда!$F$25:$F$77,$F536,Аренда!$G$25:$G$77,"Арендная и концессионная плата, лизинговые платежи")</f>
        <v>193.9</v>
      </c>
      <c r="AW536" s="259">
        <f>_xlfn.SUMIFS(Аренда!AV$25:AV$77,Аренда!$F$25:$F$77,$F536,Аренда!$G$25:$G$77,"Арендная и концессионная плата, лизинговые платежи")</f>
        <v>193.9</v>
      </c>
      <c r="AX536" s="259">
        <f>_xlfn.SUMIFS(Аренда!AW$25:AW$77,Аренда!$F$25:$F$77,$F536,Аренда!$G$25:$G$77,"Арендная и концессионная плата, лизинговые платежи")</f>
        <v>193.9</v>
      </c>
      <c r="AY536" s="259">
        <f>_xlfn.SUMIFS(Аренда!AX$25:AX$77,Аренда!$F$25:$F$77,$F536,Аренда!$G$25:$G$77,"Арендная и концессионная плата, лизинговые платежи")</f>
        <v>0</v>
      </c>
      <c r="AZ536" s="259">
        <f>_xlfn.SUMIFS(Аренда!AY$25:AY$77,Аренда!$F$25:$F$77,$F536,Аренда!$G$25:$G$77,"Арендная и концессионная плата, лизинговые платежи")</f>
        <v>0</v>
      </c>
      <c r="BA536" s="259">
        <f>_xlfn.SUMIFS(Аренда!AZ$25:AZ$77,Аренда!$F$25:$F$77,$F536,Аренда!$G$25:$G$77,"Арендная и концессионная плата, лизинговые платежи")</f>
        <v>0</v>
      </c>
      <c r="BB536" s="259">
        <f>_xlfn.SUMIFS(Аренда!BA$25:BA$77,Аренда!$F$25:$F$77,$F536,Аренда!$G$25:$G$77,"Арендная и концессионная плата, лизинговые платежи")</f>
        <v>0</v>
      </c>
      <c r="BC536" s="259">
        <f>_xlfn.SUMIFS(Аренда!BB$25:BB$77,Аренда!$F$25:$F$77,$F536,Аренда!$G$25:$G$77,"Арендная и концессионная плата, лизинговые платежи")</f>
        <v>0</v>
      </c>
      <c r="BD536" s="943">
        <f>IF(AI536=0,0,(AT536-AI536)/AI536*100)</f>
        <v>0</v>
      </c>
      <c r="BE536" s="943">
        <f>IF(AT536=0,0,(AU536-AT536)/AT536*100)</f>
        <v>0</v>
      </c>
      <c r="BF536" s="943">
        <f>IF(AU536=0,0,(AV536-AU536)/AU536*100)</f>
        <v>0</v>
      </c>
      <c r="BG536" s="943">
        <f>IF(AV536=0,0,(AW536-AV536)/AV536*100)</f>
        <v>0</v>
      </c>
      <c r="BH536" s="943">
        <f>IF(AW536=0,0,(AX536-AW536)/AW536*100)</f>
        <v>0</v>
      </c>
      <c r="BI536" s="943">
        <f>IF(AX536=0,0,(AY536-AX536)/AX536*100)</f>
        <v>-100</v>
      </c>
      <c r="BJ536" s="943">
        <f>IF(AY536=0,0,(AZ536-AY536)/AY536*100)</f>
        <v>0</v>
      </c>
      <c r="BK536" s="943">
        <f>IF(AZ536=0,0,(BA536-AZ536)/AZ536*100)</f>
        <v>0</v>
      </c>
      <c r="BL536" s="943">
        <f>IF(BA536=0,0,(BB536-BA536)/BA536*100)</f>
        <v>0</v>
      </c>
      <c r="BM536" s="943">
        <f>IF(BB536=0,0,(BC536-BB536)/BB536*100)</f>
        <v>0</v>
      </c>
      <c r="BN536" s="7771"/>
      <c r="BO536" s="7777" t="str">
        <f>IF(_xlfn.IFERROR(INDEX(Аренда!$K$26:$L$77,MATCH($F536&amp;"komm",Аренда!$K$26:$K$77,0),2),"")=0,"",_xlfn.IFERROR(INDEX(Аренда!$K$26:$L$77,MATCH($F536&amp;"komm",Аренда!$K$26:$K$77,0),2),""))</f>
        <v>В соответствии с п.п.3 п.49 Методических указаний 1746-э расходы на арендную плату и лизинговые платежи, размер которых определяется с учетом требований, предусмотренных пунктом 29 настоящих Методических указаний.​</v>
      </c>
      <c r="BP536" s="7771"/>
      <c r="BQ536" s="1278"/>
      <c r="BR536" s="1278"/>
      <c r="BS536" s="1064" t="s">
        <v>2804</v>
      </c>
      <c r="BT536" s="1064"/>
      <c r="BU536" s="1064"/>
      <c r="BV536" s="979"/>
      <c r="BW536" s="979"/>
    </row>
    <row s="1834" customFormat="1" customHeight="1" ht="14.25">
      <c r="A537" s="1278"/>
      <c r="B537" s="432">
        <f>STATUS_GO="да"</f>
        <v>1</v>
      </c>
      <c r="C537" s="1278"/>
      <c r="D537" s="1278"/>
      <c r="E537" s="703">
        <v>15</v>
      </c>
      <c r="F537" s="50" cm="1" t="str">
        <f t="array" ref="F537:F537">OFFSET(E537,-1,1)</f>
        <v>3</v>
      </c>
      <c r="G537" s="1278"/>
      <c r="H537" s="1278"/>
      <c r="I537" s="158" t="s">
        <v>2805</v>
      </c>
      <c r="J537" s="1278"/>
      <c r="K537" s="158" t="s">
        <v>2805</v>
      </c>
      <c r="L537" s="980"/>
      <c r="M537" s="107"/>
      <c r="N537" s="1278"/>
      <c r="O537" s="1278"/>
      <c r="P537" s="1278"/>
      <c r="Q537" s="1278"/>
      <c r="R537" s="1278"/>
      <c r="S537" s="1278"/>
      <c r="T537" s="465" cm="1" t="str">
        <f t="array" ref="T537:T537">T536</f>
        <v>true</v>
      </c>
      <c r="U537" s="1278"/>
      <c r="V537" s="1278"/>
      <c r="W537" s="1278"/>
      <c r="X537" s="1563"/>
      <c r="Y537" s="1278"/>
      <c r="Z537" s="1546"/>
      <c r="AA537" s="1278"/>
      <c r="AB537" s="299" t="s">
        <v>2245</v>
      </c>
      <c r="AC537" s="762" t="s">
        <v>2806</v>
      </c>
      <c r="AD537" s="300" t="s">
        <v>1514</v>
      </c>
      <c r="AE537" s="7773"/>
      <c r="AF537" s="7773"/>
      <c r="AG537" s="7773"/>
      <c r="AH537" s="943">
        <f>AG537-AF537</f>
        <v>0</v>
      </c>
      <c r="AI537" s="7723"/>
      <c r="AJ537" s="7723"/>
      <c r="AK537" s="7723"/>
      <c r="AL537" s="7723"/>
      <c r="AM537" s="7723"/>
      <c r="AN537" s="7723"/>
      <c r="AO537" s="1253"/>
      <c r="AP537" s="1253"/>
      <c r="AQ537" s="1253"/>
      <c r="AR537" s="1253"/>
      <c r="AS537" s="1253"/>
      <c r="AT537" s="7723"/>
      <c r="AU537" s="7723"/>
      <c r="AV537" s="7723"/>
      <c r="AW537" s="7723"/>
      <c r="AX537" s="7723"/>
      <c r="AY537" s="1253"/>
      <c r="AZ537" s="1253"/>
      <c r="BA537" s="1253"/>
      <c r="BB537" s="1253"/>
      <c r="BC537" s="1253"/>
      <c r="BD537" s="943">
        <f>IF(AI537=0,0,(AT537-AI537)/AI537*100)</f>
        <v>0</v>
      </c>
      <c r="BE537" s="943">
        <f>IF(AT537=0,0,(AU537-AT537)/AT537*100)</f>
        <v>0</v>
      </c>
      <c r="BF537" s="943">
        <f>IF(AU537=0,0,(AV537-AU537)/AU537*100)</f>
        <v>0</v>
      </c>
      <c r="BG537" s="943">
        <f>IF(AV537=0,0,(AW537-AV537)/AV537*100)</f>
        <v>0</v>
      </c>
      <c r="BH537" s="943">
        <f>IF(AW537=0,0,(AX537-AW537)/AW537*100)</f>
        <v>0</v>
      </c>
      <c r="BI537" s="943">
        <f>IF(AX537=0,0,(AY537-AX537)/AX537*100)</f>
        <v>0</v>
      </c>
      <c r="BJ537" s="943">
        <f>IF(AY537=0,0,(AZ537-AY537)/AY537*100)</f>
        <v>0</v>
      </c>
      <c r="BK537" s="943">
        <f>IF(AZ537=0,0,(BA537-AZ537)/AZ537*100)</f>
        <v>0</v>
      </c>
      <c r="BL537" s="943">
        <f>IF(BA537=0,0,(BB537-BA537)/BA537*100)</f>
        <v>0</v>
      </c>
      <c r="BM537" s="943">
        <f>IF(BB537=0,0,(BC537-BB537)/BB537*100)</f>
        <v>0</v>
      </c>
      <c r="BN537" s="7771"/>
      <c r="BO537" s="7771"/>
      <c r="BP537" s="7771"/>
      <c r="BQ537" s="1278"/>
      <c r="BR537" s="1278"/>
      <c r="BS537" s="1064" t="s">
        <v>2807</v>
      </c>
      <c r="BT537" s="1064"/>
      <c r="BU537" s="1064"/>
      <c r="BV537" s="979"/>
      <c r="BW537" s="979"/>
    </row>
    <row s="1834" customFormat="1" customHeight="1" ht="14.25">
      <c r="A538" s="1278"/>
      <c r="B538" s="432">
        <f>STATUS_GO="да"</f>
        <v>1</v>
      </c>
      <c r="C538" s="1278"/>
      <c r="D538" s="1278"/>
      <c r="E538" s="703">
        <v>15</v>
      </c>
      <c r="F538" s="50" cm="1" t="str">
        <f t="array" ref="F538:F538">OFFSET(E538,-1,1)</f>
        <v>3</v>
      </c>
      <c r="G538" s="158" t="s">
        <v>2187</v>
      </c>
      <c r="H538" s="1278"/>
      <c r="I538" s="158" t="s">
        <v>2808</v>
      </c>
      <c r="J538" s="1278"/>
      <c r="K538" s="158" t="s">
        <v>2808</v>
      </c>
      <c r="L538" s="980"/>
      <c r="M538" s="107"/>
      <c r="N538" s="1278"/>
      <c r="O538" s="1278"/>
      <c r="P538" s="1278"/>
      <c r="Q538" s="1278"/>
      <c r="R538" s="1278"/>
      <c r="S538" s="1278"/>
      <c r="T538" s="465" cm="1" t="str">
        <f t="array" ref="T538:T538">T537</f>
        <v>true</v>
      </c>
      <c r="U538" s="1278"/>
      <c r="V538" s="1278"/>
      <c r="W538" s="1278"/>
      <c r="X538" s="1563"/>
      <c r="Y538" s="1278"/>
      <c r="Z538" s="1546"/>
      <c r="AA538" s="1278"/>
      <c r="AB538" s="299" t="s">
        <v>2809</v>
      </c>
      <c r="AC538" s="765" t="s">
        <v>2187</v>
      </c>
      <c r="AD538" s="300" t="s">
        <v>1514</v>
      </c>
      <c r="AE538" s="7773"/>
      <c r="AF538" s="7773"/>
      <c r="AG538" s="7773"/>
      <c r="AH538" s="943">
        <f>AG538-AF538</f>
        <v>0</v>
      </c>
      <c r="AI538" s="7723"/>
      <c r="AJ538" s="7723"/>
      <c r="AK538" s="7723"/>
      <c r="AL538" s="7723"/>
      <c r="AM538" s="7723"/>
      <c r="AN538" s="7723"/>
      <c r="AO538" s="1253"/>
      <c r="AP538" s="1253"/>
      <c r="AQ538" s="1253"/>
      <c r="AR538" s="1253"/>
      <c r="AS538" s="1253"/>
      <c r="AT538" s="7723"/>
      <c r="AU538" s="7723"/>
      <c r="AV538" s="7723"/>
      <c r="AW538" s="7723"/>
      <c r="AX538" s="7723"/>
      <c r="AY538" s="1253"/>
      <c r="AZ538" s="1253"/>
      <c r="BA538" s="1253"/>
      <c r="BB538" s="1253"/>
      <c r="BC538" s="1253"/>
      <c r="BD538" s="943">
        <f>IF(AI538=0,0,(AT538-AI538)/AI538*100)</f>
        <v>0</v>
      </c>
      <c r="BE538" s="943">
        <f>IF(AT538=0,0,(AU538-AT538)/AT538*100)</f>
        <v>0</v>
      </c>
      <c r="BF538" s="943">
        <f>IF(AU538=0,0,(AV538-AU538)/AU538*100)</f>
        <v>0</v>
      </c>
      <c r="BG538" s="943">
        <f>IF(AV538=0,0,(AW538-AV538)/AV538*100)</f>
        <v>0</v>
      </c>
      <c r="BH538" s="943">
        <f>IF(AW538=0,0,(AX538-AW538)/AW538*100)</f>
        <v>0</v>
      </c>
      <c r="BI538" s="943">
        <f>IF(AX538=0,0,(AY538-AX538)/AX538*100)</f>
        <v>0</v>
      </c>
      <c r="BJ538" s="943">
        <f>IF(AY538=0,0,(AZ538-AY538)/AY538*100)</f>
        <v>0</v>
      </c>
      <c r="BK538" s="943">
        <f>IF(AZ538=0,0,(BA538-AZ538)/AZ538*100)</f>
        <v>0</v>
      </c>
      <c r="BL538" s="943">
        <f>IF(BA538=0,0,(BB538-BA538)/BA538*100)</f>
        <v>0</v>
      </c>
      <c r="BM538" s="943">
        <f>IF(BB538=0,0,(BC538-BB538)/BB538*100)</f>
        <v>0</v>
      </c>
      <c r="BN538" s="7771"/>
      <c r="BO538" s="7777" t="str">
        <f>IF(_xlfn.IFERROR(INDEX('Сбытовые расходы ГО'!$K$26:$M$87,MATCH($F538&amp;"komm",'Сбытовые расходы ГО'!$K$26:$K$87,0),2),"")=0,"",_xlfn.IFERROR(INDEX('Сбытовые расходы ГО'!$K$26:$M$87,MATCH($F538&amp;"komm",'Сбытовые расходы ГО'!$K$26:$K$87,0),2),""))</f>
        <v/>
      </c>
      <c r="BP538" s="7771"/>
      <c r="BQ538" s="1278"/>
      <c r="BR538" s="1278"/>
      <c r="BS538" s="1064" t="s">
        <v>2810</v>
      </c>
      <c r="BT538" s="1064"/>
      <c r="BU538" s="1064"/>
      <c r="BV538" s="979"/>
      <c r="BW538" s="979"/>
    </row>
    <row s="1834" customFormat="1" customHeight="1" ht="14.25">
      <c r="A539" s="1278"/>
      <c r="B539" s="978"/>
      <c r="C539" s="1278"/>
      <c r="D539" s="1278"/>
      <c r="E539" s="703">
        <v>15</v>
      </c>
      <c r="F539" s="50" cm="1" t="str">
        <f t="array" ref="F539:F539">OFFSET(E539,-1,1)</f>
        <v>3</v>
      </c>
      <c r="G539" s="158" t="s">
        <v>2192</v>
      </c>
      <c r="H539" s="1278"/>
      <c r="I539" s="158" t="s">
        <v>2811</v>
      </c>
      <c r="J539" s="1278"/>
      <c r="K539" s="158" t="s">
        <v>2811</v>
      </c>
      <c r="L539" s="980"/>
      <c r="M539" s="107"/>
      <c r="N539" s="1278"/>
      <c r="O539" s="1278"/>
      <c r="P539" s="1278"/>
      <c r="Q539" s="1278"/>
      <c r="R539" s="1278"/>
      <c r="S539" s="1278"/>
      <c r="T539" s="465" cm="1" t="str">
        <f t="array" ref="T539:T539">T538</f>
        <v>true</v>
      </c>
      <c r="U539" s="1278"/>
      <c r="V539" s="1278"/>
      <c r="W539" s="1278"/>
      <c r="X539" s="1563"/>
      <c r="Y539" s="1278"/>
      <c r="Z539" s="1546"/>
      <c r="AA539" s="1278"/>
      <c r="AB539" s="299" t="s">
        <v>2250</v>
      </c>
      <c r="AC539" s="762" t="s">
        <v>2192</v>
      </c>
      <c r="AD539" s="300" t="s">
        <v>1514</v>
      </c>
      <c r="AE539" s="7773"/>
      <c r="AF539" s="7773"/>
      <c r="AG539" s="7773"/>
      <c r="AH539" s="943">
        <f>AG539-AF539</f>
        <v>0</v>
      </c>
      <c r="AI539" s="7723"/>
      <c r="AJ539" s="7723">
        <f>_xlfn.SUMIFS(Экономия_корр!AE$25:AE$67,Экономия_корр!$F$25:$F$67,$F539,Экономия_корр!$AC$25:$AC$67,"Экономия расходов с учетом ИПЦ")</f>
        <v>0</v>
      </c>
      <c r="AK539" s="7723">
        <f>_xlfn.SUMIFS(Экономия_корр!AF$25:AF$67,Экономия_корр!$F$25:$F$67,$F539,Экономия_корр!$AC$25:$AC$67,"Экономия расходов с учетом ИПЦ")</f>
        <v>0</v>
      </c>
      <c r="AL539" s="7723">
        <f>_xlfn.SUMIFS(Экономия_корр!AG$25:AG$67,Экономия_корр!$F$25:$F$67,$F539,Экономия_корр!$AC$25:$AC$67,"Экономия расходов с учетом ИПЦ")</f>
        <v>0</v>
      </c>
      <c r="AM539" s="7723">
        <f>_xlfn.SUMIFS(Экономия_корр!AH$25:AH$67,Экономия_корр!$F$25:$F$67,$F539,Экономия_корр!$AC$25:$AC$67,"Экономия расходов с учетом ИПЦ")</f>
        <v>0</v>
      </c>
      <c r="AN539" s="7723">
        <f>_xlfn.SUMIFS(Экономия_корр!AI$25:AI$67,Экономия_корр!$F$25:$F$67,$F539,Экономия_корр!$AC$25:$AC$67,"Экономия расходов с учетом ИПЦ")</f>
        <v>0</v>
      </c>
      <c r="AO539" s="1253">
        <f>_xlfn.SUMIFS(Экономия_корр!AJ$25:AJ$67,Экономия_корр!$F$25:$F$67,$F539,Экономия_корр!$AC$25:$AC$67,"Экономия расходов с учетом ИПЦ")</f>
        <v>0</v>
      </c>
      <c r="AP539" s="1253">
        <f>_xlfn.SUMIFS(Экономия_корр!AK$25:AK$67,Экономия_корр!$F$25:$F$67,$F539,Экономия_корр!$AC$25:$AC$67,"Экономия расходов с учетом ИПЦ")</f>
        <v>0</v>
      </c>
      <c r="AQ539" s="1253">
        <f>_xlfn.SUMIFS(Экономия_корр!AL$25:AL$67,Экономия_корр!$F$25:$F$67,$F539,Экономия_корр!$AC$25:$AC$67,"Экономия расходов с учетом ИПЦ")</f>
        <v>0</v>
      </c>
      <c r="AR539" s="1253">
        <f>_xlfn.SUMIFS(Экономия_корр!AM$25:AM$67,Экономия_корр!$F$25:$F$67,$F539,Экономия_корр!$AC$25:$AC$67,"Экономия расходов с учетом ИПЦ")</f>
        <v>0</v>
      </c>
      <c r="AS539" s="1253">
        <f>_xlfn.SUMIFS(Экономия_корр!AN$25:AN$67,Экономия_корр!$F$25:$F$67,$F539,Экономия_корр!$AC$25:$AC$67,"Экономия расходов с учетом ИПЦ")</f>
        <v>0</v>
      </c>
      <c r="AT539" s="7723">
        <f>_xlfn.SUMIFS(Экономия_корр!AO$25:AO$67,Экономия_корр!$F$25:$F$67,$F539,Экономия_корр!$AC$25:$AC$67,"Экономия расходов с учетом ИПЦ")</f>
        <v>0</v>
      </c>
      <c r="AU539" s="7723">
        <f>_xlfn.SUMIFS(Экономия_корр!AP$25:AP$67,Экономия_корр!$F$25:$F$67,$F539,Экономия_корр!$AC$25:$AC$67,"Экономия расходов с учетом ИПЦ")</f>
        <v>0</v>
      </c>
      <c r="AV539" s="7723">
        <f>_xlfn.SUMIFS(Экономия_корр!AQ$25:AQ$67,Экономия_корр!$F$25:$F$67,$F539,Экономия_корр!$AC$25:$AC$67,"Экономия расходов с учетом ИПЦ")</f>
        <v>0</v>
      </c>
      <c r="AW539" s="7723">
        <f>_xlfn.SUMIFS(Экономия_корр!AR$25:AR$67,Экономия_корр!$F$25:$F$67,$F539,Экономия_корр!$AC$25:$AC$67,"Экономия расходов с учетом ИПЦ")</f>
        <v>0</v>
      </c>
      <c r="AX539" s="7723">
        <f>_xlfn.SUMIFS(Экономия_корр!AS$25:AS$67,Экономия_корр!$F$25:$F$67,$F539,Экономия_корр!$AC$25:$AC$67,"Экономия расходов с учетом ИПЦ")</f>
        <v>0</v>
      </c>
      <c r="AY539" s="1253">
        <f>_xlfn.SUMIFS(Экономия_корр!AT$25:AT$67,Экономия_корр!$F$25:$F$67,$F539,Экономия_корр!$AC$25:$AC$67,"Экономия расходов с учетом ИПЦ")</f>
        <v>0</v>
      </c>
      <c r="AZ539" s="1253">
        <f>_xlfn.SUMIFS(Экономия_корр!AU$25:AU$67,Экономия_корр!$F$25:$F$67,$F539,Экономия_корр!$AC$25:$AC$67,"Экономия расходов с учетом ИПЦ")</f>
        <v>0</v>
      </c>
      <c r="BA539" s="1253">
        <f>_xlfn.SUMIFS(Экономия_корр!AV$25:AV$67,Экономия_корр!$F$25:$F$67,$F539,Экономия_корр!$AC$25:$AC$67,"Экономия расходов с учетом ИПЦ")</f>
        <v>0</v>
      </c>
      <c r="BB539" s="1253">
        <f>_xlfn.SUMIFS(Экономия_корр!AW$25:AW$67,Экономия_корр!$F$25:$F$67,$F539,Экономия_корр!$AC$25:$AC$67,"Экономия расходов с учетом ИПЦ")</f>
        <v>0</v>
      </c>
      <c r="BC539" s="1253">
        <f>_xlfn.SUMIFS(Экономия_корр!AX$25:AX$67,Экономия_корр!$F$25:$F$67,$F539,Экономия_корр!$AC$25:$AC$67,"Экономия расходов с учетом ИПЦ")</f>
        <v>0</v>
      </c>
      <c r="BD539" s="943">
        <f>IF(AI539=0,0,(AT539-AI539)/AI539*100)</f>
        <v>0</v>
      </c>
      <c r="BE539" s="943">
        <f>IF(AT539=0,0,(AU539-AT539)/AT539*100)</f>
        <v>0</v>
      </c>
      <c r="BF539" s="943">
        <f>IF(AU539=0,0,(AV539-AU539)/AU539*100)</f>
        <v>0</v>
      </c>
      <c r="BG539" s="943">
        <f>IF(AV539=0,0,(AW539-AV539)/AV539*100)</f>
        <v>0</v>
      </c>
      <c r="BH539" s="943">
        <f>IF(AW539=0,0,(AX539-AW539)/AW539*100)</f>
        <v>0</v>
      </c>
      <c r="BI539" s="943">
        <f>IF(AX539=0,0,(AY539-AX539)/AX539*100)</f>
        <v>0</v>
      </c>
      <c r="BJ539" s="943">
        <f>IF(AY539=0,0,(AZ539-AY539)/AY539*100)</f>
        <v>0</v>
      </c>
      <c r="BK539" s="943">
        <f>IF(AZ539=0,0,(BA539-AZ539)/AZ539*100)</f>
        <v>0</v>
      </c>
      <c r="BL539" s="943">
        <f>IF(BA539=0,0,(BB539-BA539)/BA539*100)</f>
        <v>0</v>
      </c>
      <c r="BM539" s="943">
        <f>IF(BB539=0,0,(BC539-BB539)/BB539*100)</f>
        <v>0</v>
      </c>
      <c r="BN539" s="7771"/>
      <c r="BO539" s="7771"/>
      <c r="BP539" s="7771"/>
      <c r="BQ539" s="1278"/>
      <c r="BR539" s="1278"/>
      <c r="BS539" s="1064" t="s">
        <v>2812</v>
      </c>
      <c r="BT539" s="1064"/>
      <c r="BU539" s="1064"/>
      <c r="BV539" s="979"/>
      <c r="BW539" s="979"/>
    </row>
    <row s="1834" customFormat="1" customHeight="1" ht="14.25">
      <c r="A540" s="1278"/>
      <c r="B540" s="978"/>
      <c r="C540" s="1278"/>
      <c r="D540" s="1278"/>
      <c r="E540" s="703">
        <v>15</v>
      </c>
      <c r="F540" s="50" cm="1" t="str">
        <f t="array" ref="F540:F540">OFFSET(E540,-1,1)</f>
        <v>3</v>
      </c>
      <c r="G540" s="158" t="s">
        <v>2197</v>
      </c>
      <c r="H540" s="1278"/>
      <c r="I540" s="158" t="s">
        <v>2813</v>
      </c>
      <c r="J540" s="1278"/>
      <c r="K540" s="158" t="s">
        <v>2813</v>
      </c>
      <c r="L540" s="980"/>
      <c r="M540" s="107"/>
      <c r="N540" s="1278"/>
      <c r="O540" s="1278"/>
      <c r="P540" s="1278"/>
      <c r="Q540" s="1278"/>
      <c r="R540" s="1278"/>
      <c r="S540" s="1278"/>
      <c r="T540" s="465" cm="1" t="str">
        <f t="array" ref="T540:T540">T539</f>
        <v>true</v>
      </c>
      <c r="U540" s="1278"/>
      <c r="V540" s="1278"/>
      <c r="W540" s="1278"/>
      <c r="X540" s="1563"/>
      <c r="Y540" s="1278"/>
      <c r="Z540" s="1546"/>
      <c r="AA540" s="1278"/>
      <c r="AB540" s="299" t="s">
        <v>2814</v>
      </c>
      <c r="AC540" s="762" t="s">
        <v>2197</v>
      </c>
      <c r="AD540" s="300" t="s">
        <v>1514</v>
      </c>
      <c r="AE540" s="7773"/>
      <c r="AF540" s="7773"/>
      <c r="AG540" s="7773"/>
      <c r="AH540" s="943">
        <f>AG540-AF540</f>
        <v>0</v>
      </c>
      <c r="AI540" s="7723"/>
      <c r="AJ540" s="7723"/>
      <c r="AK540" s="7723"/>
      <c r="AL540" s="7723"/>
      <c r="AM540" s="7723"/>
      <c r="AN540" s="7723"/>
      <c r="AO540" s="1253"/>
      <c r="AP540" s="1253"/>
      <c r="AQ540" s="1253"/>
      <c r="AR540" s="1253"/>
      <c r="AS540" s="1253"/>
      <c r="AT540" s="7723"/>
      <c r="AU540" s="7723"/>
      <c r="AV540" s="7723"/>
      <c r="AW540" s="7723"/>
      <c r="AX540" s="7723"/>
      <c r="AY540" s="1253"/>
      <c r="AZ540" s="1253"/>
      <c r="BA540" s="1253"/>
      <c r="BB540" s="1253"/>
      <c r="BC540" s="1253"/>
      <c r="BD540" s="943">
        <f>IF(AI540=0,0,(AT540-AI540)/AI540*100)</f>
        <v>0</v>
      </c>
      <c r="BE540" s="943">
        <f>IF(AT540=0,0,(AU540-AT540)/AT540*100)</f>
        <v>0</v>
      </c>
      <c r="BF540" s="943">
        <f>IF(AU540=0,0,(AV540-AU540)/AU540*100)</f>
        <v>0</v>
      </c>
      <c r="BG540" s="943">
        <f>IF(AV540=0,0,(AW540-AV540)/AV540*100)</f>
        <v>0</v>
      </c>
      <c r="BH540" s="943">
        <f>IF(AW540=0,0,(AX540-AW540)/AW540*100)</f>
        <v>0</v>
      </c>
      <c r="BI540" s="943">
        <f>IF(AX540=0,0,(AY540-AX540)/AX540*100)</f>
        <v>0</v>
      </c>
      <c r="BJ540" s="943">
        <f>IF(AY540=0,0,(AZ540-AY540)/AY540*100)</f>
        <v>0</v>
      </c>
      <c r="BK540" s="943">
        <f>IF(AZ540=0,0,(BA540-AZ540)/AZ540*100)</f>
        <v>0</v>
      </c>
      <c r="BL540" s="943">
        <f>IF(BA540=0,0,(BB540-BA540)/BA540*100)</f>
        <v>0</v>
      </c>
      <c r="BM540" s="943">
        <f>IF(BB540=0,0,(BC540-BB540)/BB540*100)</f>
        <v>0</v>
      </c>
      <c r="BN540" s="7771"/>
      <c r="BO540" s="7771"/>
      <c r="BP540" s="7771"/>
      <c r="BQ540" s="1278"/>
      <c r="BR540" s="1278"/>
      <c r="BS540" s="1064" t="s">
        <v>2551</v>
      </c>
      <c r="BT540" s="1064"/>
      <c r="BU540" s="1064"/>
      <c r="BV540" s="979"/>
      <c r="BW540" s="979"/>
    </row>
    <row s="1834" customFormat="1" customHeight="1" ht="14.25">
      <c r="A541" s="1278"/>
      <c r="B541" s="978"/>
      <c r="C541" s="1278"/>
      <c r="D541" s="1278"/>
      <c r="E541" s="703">
        <v>15</v>
      </c>
      <c r="F541" s="50" cm="1" t="str">
        <f t="array" ref="F541:F541">OFFSET(E541,-1,1)</f>
        <v>3</v>
      </c>
      <c r="G541" s="158" t="s">
        <v>2202</v>
      </c>
      <c r="H541" s="1278"/>
      <c r="I541" s="158" t="s">
        <v>2815</v>
      </c>
      <c r="J541" s="1278"/>
      <c r="K541" s="158" t="s">
        <v>2815</v>
      </c>
      <c r="L541" s="980"/>
      <c r="M541" s="107"/>
      <c r="N541" s="1278"/>
      <c r="O541" s="1278"/>
      <c r="P541" s="1278"/>
      <c r="Q541" s="1278"/>
      <c r="R541" s="1278"/>
      <c r="S541" s="1278"/>
      <c r="T541" s="465" cm="1" t="str">
        <f t="array" ref="T541:T541">T540</f>
        <v>true</v>
      </c>
      <c r="U541" s="1278"/>
      <c r="V541" s="1278"/>
      <c r="W541" s="1278"/>
      <c r="X541" s="1563"/>
      <c r="Y541" s="1278"/>
      <c r="Z541" s="1546"/>
      <c r="AA541" s="1278"/>
      <c r="AB541" s="299" t="s">
        <v>2269</v>
      </c>
      <c r="AC541" s="762" t="s">
        <v>2202</v>
      </c>
      <c r="AD541" s="300" t="s">
        <v>1514</v>
      </c>
      <c r="AE541" s="7773"/>
      <c r="AF541" s="7773"/>
      <c r="AG541" s="7773"/>
      <c r="AH541" s="943">
        <f>AG541-AF541</f>
        <v>0</v>
      </c>
      <c r="AI541" s="7723"/>
      <c r="AJ541" s="7723"/>
      <c r="AK541" s="7723"/>
      <c r="AL541" s="7723"/>
      <c r="AM541" s="7723"/>
      <c r="AN541" s="7723"/>
      <c r="AO541" s="1253"/>
      <c r="AP541" s="1253"/>
      <c r="AQ541" s="1253"/>
      <c r="AR541" s="1253"/>
      <c r="AS541" s="1253"/>
      <c r="AT541" s="7723"/>
      <c r="AU541" s="7723"/>
      <c r="AV541" s="7723"/>
      <c r="AW541" s="7723"/>
      <c r="AX541" s="7723"/>
      <c r="AY541" s="1253"/>
      <c r="AZ541" s="1253"/>
      <c r="BA541" s="1253"/>
      <c r="BB541" s="1253"/>
      <c r="BC541" s="1253"/>
      <c r="BD541" s="943">
        <f>IF(AI541=0,0,(AT541-AI541)/AI541*100)</f>
        <v>0</v>
      </c>
      <c r="BE541" s="943">
        <f>IF(AT541=0,0,(AU541-AT541)/AT541*100)</f>
        <v>0</v>
      </c>
      <c r="BF541" s="943">
        <f>IF(AU541=0,0,(AV541-AU541)/AU541*100)</f>
        <v>0</v>
      </c>
      <c r="BG541" s="943">
        <f>IF(AV541=0,0,(AW541-AV541)/AV541*100)</f>
        <v>0</v>
      </c>
      <c r="BH541" s="943">
        <f>IF(AW541=0,0,(AX541-AW541)/AW541*100)</f>
        <v>0</v>
      </c>
      <c r="BI541" s="943">
        <f>IF(AX541=0,0,(AY541-AX541)/AX541*100)</f>
        <v>0</v>
      </c>
      <c r="BJ541" s="943">
        <f>IF(AY541=0,0,(AZ541-AY541)/AY541*100)</f>
        <v>0</v>
      </c>
      <c r="BK541" s="943">
        <f>IF(AZ541=0,0,(BA541-AZ541)/AZ541*100)</f>
        <v>0</v>
      </c>
      <c r="BL541" s="943">
        <f>IF(BA541=0,0,(BB541-BA541)/BA541*100)</f>
        <v>0</v>
      </c>
      <c r="BM541" s="943">
        <f>IF(BB541=0,0,(BC541-BB541)/BB541*100)</f>
        <v>0</v>
      </c>
      <c r="BN541" s="7771"/>
      <c r="BO541" s="7771"/>
      <c r="BP541" s="7771"/>
      <c r="BQ541" s="1278"/>
      <c r="BR541" s="1278"/>
      <c r="BS541" s="1064" t="s">
        <v>2816</v>
      </c>
      <c r="BT541" s="1064"/>
      <c r="BU541" s="1064"/>
      <c r="BV541" s="979"/>
      <c r="BW541" s="979"/>
    </row>
    <row s="1834" customFormat="1" customHeight="1" ht="14.25">
      <c r="A542" s="1278"/>
      <c r="B542" s="978"/>
      <c r="C542" s="1278"/>
      <c r="D542" s="1278"/>
      <c r="E542" s="703">
        <v>15</v>
      </c>
      <c r="F542" s="50" cm="1" t="str">
        <f t="array" ref="F542:F542">OFFSET(E542,-1,1)</f>
        <v>3</v>
      </c>
      <c r="G542" s="158" t="s">
        <v>2207</v>
      </c>
      <c r="H542" s="1278"/>
      <c r="I542" s="158" t="s">
        <v>2817</v>
      </c>
      <c r="J542" s="1278"/>
      <c r="K542" s="158" t="s">
        <v>2817</v>
      </c>
      <c r="L542" s="980"/>
      <c r="M542" s="107"/>
      <c r="N542" s="1278"/>
      <c r="O542" s="1278"/>
      <c r="P542" s="1278"/>
      <c r="Q542" s="1278"/>
      <c r="R542" s="1278"/>
      <c r="S542" s="1278"/>
      <c r="T542" s="465" cm="1" t="str">
        <f t="array" ref="T542:T542">T541</f>
        <v>true</v>
      </c>
      <c r="U542" s="1278"/>
      <c r="V542" s="1278"/>
      <c r="W542" s="1278"/>
      <c r="X542" s="1563"/>
      <c r="Y542" s="1278"/>
      <c r="Z542" s="1546"/>
      <c r="AA542" s="1278"/>
      <c r="AB542" s="299" t="s">
        <v>2273</v>
      </c>
      <c r="AC542" s="762" t="s">
        <v>2207</v>
      </c>
      <c r="AD542" s="300" t="s">
        <v>1514</v>
      </c>
      <c r="AE542" s="353">
        <f>SUM(AE543,AE544)</f>
        <v>0</v>
      </c>
      <c r="AF542" s="259">
        <f>SUM(AF543,AF544)</f>
        <v>0</v>
      </c>
      <c r="AG542" s="259">
        <f>SUM(AG543,AG544)</f>
        <v>0</v>
      </c>
      <c r="AH542" s="943">
        <f>AG542-AF542</f>
        <v>0</v>
      </c>
      <c r="AI542" s="943">
        <f>SUM(AI543,AI544)</f>
        <v>0</v>
      </c>
      <c r="AJ542" s="944">
        <f>SUM(AJ543,AJ544)</f>
        <v>0</v>
      </c>
      <c r="AK542" s="943">
        <f>SUM(AK543,AK544)</f>
        <v>0</v>
      </c>
      <c r="AL542" s="943">
        <f>SUM(AL543,AL544)</f>
        <v>0</v>
      </c>
      <c r="AM542" s="943">
        <f>SUM(AM543,AM544)</f>
        <v>0</v>
      </c>
      <c r="AN542" s="943">
        <f>SUM(AN543,AN544)</f>
        <v>0</v>
      </c>
      <c r="AO542" s="943">
        <f>SUM(AO543,AO544)</f>
        <v>0</v>
      </c>
      <c r="AP542" s="943">
        <f>SUM(AP543,AP544)</f>
        <v>0</v>
      </c>
      <c r="AQ542" s="943">
        <f>SUM(AQ543,AQ544)</f>
        <v>0</v>
      </c>
      <c r="AR542" s="943">
        <f>SUM(AR543,AR544)</f>
        <v>0</v>
      </c>
      <c r="AS542" s="943">
        <f>SUM(AS543,AS544)</f>
        <v>0</v>
      </c>
      <c r="AT542" s="944">
        <f>SUM(AT543,AT544)</f>
        <v>0</v>
      </c>
      <c r="AU542" s="943">
        <f>SUM(AU543,AU544)</f>
        <v>0</v>
      </c>
      <c r="AV542" s="943">
        <f>SUM(AV543,AV544)</f>
        <v>0</v>
      </c>
      <c r="AW542" s="943">
        <f>SUM(AW543,AW544)</f>
        <v>0</v>
      </c>
      <c r="AX542" s="943">
        <f>SUM(AX543,AX544)</f>
        <v>0</v>
      </c>
      <c r="AY542" s="943">
        <f>SUM(AY543,AY544)</f>
        <v>0</v>
      </c>
      <c r="AZ542" s="943">
        <f>SUM(AZ543,AZ544)</f>
        <v>0</v>
      </c>
      <c r="BA542" s="943">
        <f>SUM(BA543,BA544)</f>
        <v>0</v>
      </c>
      <c r="BB542" s="943">
        <f>SUM(BB543,BB544)</f>
        <v>0</v>
      </c>
      <c r="BC542" s="943">
        <f>SUM(BC543,BC544)</f>
        <v>0</v>
      </c>
      <c r="BD542" s="943">
        <f>IF(AI542=0,0,(AT542-AI542)/AI542*100)</f>
        <v>0</v>
      </c>
      <c r="BE542" s="943">
        <f>IF(AT542=0,0,(AU542-AT542)/AT542*100)</f>
        <v>0</v>
      </c>
      <c r="BF542" s="943">
        <f>IF(AU542=0,0,(AV542-AU542)/AU542*100)</f>
        <v>0</v>
      </c>
      <c r="BG542" s="943">
        <f>IF(AV542=0,0,(AW542-AV542)/AV542*100)</f>
        <v>0</v>
      </c>
      <c r="BH542" s="943">
        <f>IF(AW542=0,0,(AX542-AW542)/AW542*100)</f>
        <v>0</v>
      </c>
      <c r="BI542" s="943">
        <f>IF(AX542=0,0,(AY542-AX542)/AX542*100)</f>
        <v>0</v>
      </c>
      <c r="BJ542" s="943">
        <f>IF(AY542=0,0,(AZ542-AY542)/AY542*100)</f>
        <v>0</v>
      </c>
      <c r="BK542" s="943">
        <f>IF(AZ542=0,0,(BA542-AZ542)/AZ542*100)</f>
        <v>0</v>
      </c>
      <c r="BL542" s="943">
        <f>IF(BA542=0,0,(BB542-BA542)/BA542*100)</f>
        <v>0</v>
      </c>
      <c r="BM542" s="943">
        <f>IF(BB542=0,0,(BC542-BB542)/BB542*100)</f>
        <v>0</v>
      </c>
      <c r="BN542" s="7771"/>
      <c r="BO542" s="7771"/>
      <c r="BP542" s="7771"/>
      <c r="BQ542" s="1278"/>
      <c r="BR542" s="1278"/>
      <c r="BS542" s="1064" t="s">
        <v>2818</v>
      </c>
      <c r="BT542" s="1064"/>
      <c r="BU542" s="1064"/>
      <c r="BV542" s="979"/>
      <c r="BW542" s="979"/>
    </row>
    <row s="1834" customFormat="1" customHeight="1" ht="14.25">
      <c r="A543" s="1278"/>
      <c r="B543" s="978"/>
      <c r="C543" s="1278"/>
      <c r="D543" s="1278"/>
      <c r="E543" s="703">
        <v>15</v>
      </c>
      <c r="F543" s="50" cm="1" t="str">
        <f t="array" ref="F543:F543">OFFSET(E543,-1,1)</f>
        <v>3</v>
      </c>
      <c r="G543" s="1278"/>
      <c r="H543" s="1278"/>
      <c r="I543" s="158" t="s">
        <v>2819</v>
      </c>
      <c r="J543" s="1278"/>
      <c r="K543" s="158" t="s">
        <v>2819</v>
      </c>
      <c r="L543" s="980"/>
      <c r="M543" s="107"/>
      <c r="N543" s="1278"/>
      <c r="O543" s="1278"/>
      <c r="P543" s="1278"/>
      <c r="Q543" s="1278"/>
      <c r="R543" s="1278"/>
      <c r="S543" s="1278"/>
      <c r="T543" s="465" cm="1" t="str">
        <f t="array" ref="T543:T543">T542</f>
        <v>true</v>
      </c>
      <c r="U543" s="1278"/>
      <c r="V543" s="1278"/>
      <c r="W543" s="1278"/>
      <c r="X543" s="1563"/>
      <c r="Y543" s="1278"/>
      <c r="Z543" s="1546"/>
      <c r="AA543" s="1278"/>
      <c r="AB543" s="299" t="s">
        <v>2820</v>
      </c>
      <c r="AC543" s="765" t="s">
        <v>2821</v>
      </c>
      <c r="AD543" s="300" t="s">
        <v>1514</v>
      </c>
      <c r="AE543" s="7773"/>
      <c r="AF543" s="7773"/>
      <c r="AG543" s="7773"/>
      <c r="AH543" s="943">
        <f>AG543-AF543</f>
        <v>0</v>
      </c>
      <c r="AI543" s="7723"/>
      <c r="AJ543" s="7723"/>
      <c r="AK543" s="7723"/>
      <c r="AL543" s="7723"/>
      <c r="AM543" s="7723"/>
      <c r="AN543" s="7723"/>
      <c r="AO543" s="1253"/>
      <c r="AP543" s="1253"/>
      <c r="AQ543" s="1253"/>
      <c r="AR543" s="1253"/>
      <c r="AS543" s="1253"/>
      <c r="AT543" s="7723"/>
      <c r="AU543" s="7723"/>
      <c r="AV543" s="7723"/>
      <c r="AW543" s="7723"/>
      <c r="AX543" s="7723"/>
      <c r="AY543" s="1253"/>
      <c r="AZ543" s="1253"/>
      <c r="BA543" s="1253"/>
      <c r="BB543" s="1253"/>
      <c r="BC543" s="1253"/>
      <c r="BD543" s="943">
        <f>IF(AI543=0,0,(AT543-AI543)/AI543*100)</f>
        <v>0</v>
      </c>
      <c r="BE543" s="943">
        <f>IF(AT543=0,0,(AU543-AT543)/AT543*100)</f>
        <v>0</v>
      </c>
      <c r="BF543" s="943">
        <f>IF(AU543=0,0,(AV543-AU543)/AU543*100)</f>
        <v>0</v>
      </c>
      <c r="BG543" s="943">
        <f>IF(AV543=0,0,(AW543-AV543)/AV543*100)</f>
        <v>0</v>
      </c>
      <c r="BH543" s="943">
        <f>IF(AW543=0,0,(AX543-AW543)/AW543*100)</f>
        <v>0</v>
      </c>
      <c r="BI543" s="943">
        <f>IF(AX543=0,0,(AY543-AX543)/AX543*100)</f>
        <v>0</v>
      </c>
      <c r="BJ543" s="943">
        <f>IF(AY543=0,0,(AZ543-AY543)/AY543*100)</f>
        <v>0</v>
      </c>
      <c r="BK543" s="943">
        <f>IF(AZ543=0,0,(BA543-AZ543)/AZ543*100)</f>
        <v>0</v>
      </c>
      <c r="BL543" s="943">
        <f>IF(BA543=0,0,(BB543-BA543)/BA543*100)</f>
        <v>0</v>
      </c>
      <c r="BM543" s="943">
        <f>IF(BB543=0,0,(BC543-BB543)/BB543*100)</f>
        <v>0</v>
      </c>
      <c r="BN543" s="7771"/>
      <c r="BO543" s="7771"/>
      <c r="BP543" s="7771"/>
      <c r="BQ543" s="1278"/>
      <c r="BR543" s="1278"/>
      <c r="BS543" s="1064" t="s">
        <v>1991</v>
      </c>
      <c r="BT543" s="1064"/>
      <c r="BU543" s="1064"/>
      <c r="BV543" s="979"/>
      <c r="BW543" s="979"/>
    </row>
    <row s="1834" customFormat="1" customHeight="1" ht="14.25">
      <c r="A544" s="1278"/>
      <c r="B544" s="978"/>
      <c r="C544" s="1278"/>
      <c r="D544" s="1278"/>
      <c r="E544" s="703">
        <v>15</v>
      </c>
      <c r="F544" s="50" cm="1" t="str">
        <f t="array" ref="F544:F544">OFFSET(E544,-1,1)</f>
        <v>3</v>
      </c>
      <c r="G544" s="1278"/>
      <c r="H544" s="1278"/>
      <c r="I544" s="158" t="s">
        <v>2822</v>
      </c>
      <c r="J544" s="1278"/>
      <c r="K544" s="158" t="s">
        <v>2822</v>
      </c>
      <c r="L544" s="980" t="s">
        <v>1640</v>
      </c>
      <c r="M544" s="107"/>
      <c r="N544" s="1278"/>
      <c r="O544" s="1278"/>
      <c r="P544" s="1278"/>
      <c r="Q544" s="1278"/>
      <c r="R544" s="1278"/>
      <c r="S544" s="1278"/>
      <c r="T544" s="465" cm="1" t="str">
        <f t="array" ref="T544:T544">T543</f>
        <v>true</v>
      </c>
      <c r="U544" s="1278"/>
      <c r="V544" s="1278"/>
      <c r="W544" s="1278"/>
      <c r="X544" s="1563"/>
      <c r="Y544" s="1278"/>
      <c r="Z544" s="1546"/>
      <c r="AA544" s="1278"/>
      <c r="AB544" s="299" t="s">
        <v>2823</v>
      </c>
      <c r="AC544" s="765" t="s">
        <v>2824</v>
      </c>
      <c r="AD544" s="300" t="s">
        <v>1514</v>
      </c>
      <c r="AE544" s="7773"/>
      <c r="AF544" s="7773"/>
      <c r="AG544" s="7773"/>
      <c r="AH544" s="943">
        <f>AG544-AF544</f>
        <v>0</v>
      </c>
      <c r="AI544" s="7723"/>
      <c r="AJ544" s="7723"/>
      <c r="AK544" s="7723"/>
      <c r="AL544" s="7723"/>
      <c r="AM544" s="7723"/>
      <c r="AN544" s="7723"/>
      <c r="AO544" s="1253"/>
      <c r="AP544" s="1253"/>
      <c r="AQ544" s="1253"/>
      <c r="AR544" s="1253"/>
      <c r="AS544" s="1253"/>
      <c r="AT544" s="7723"/>
      <c r="AU544" s="7723"/>
      <c r="AV544" s="7723"/>
      <c r="AW544" s="7723"/>
      <c r="AX544" s="7723"/>
      <c r="AY544" s="1253"/>
      <c r="AZ544" s="1253"/>
      <c r="BA544" s="1253"/>
      <c r="BB544" s="1253"/>
      <c r="BC544" s="1253"/>
      <c r="BD544" s="943">
        <f>IF(AI544=0,0,(AT544-AI544)/AI544*100)</f>
        <v>0</v>
      </c>
      <c r="BE544" s="943">
        <f>IF(AT544=0,0,(AU544-AT544)/AT544*100)</f>
        <v>0</v>
      </c>
      <c r="BF544" s="943">
        <f>IF(AU544=0,0,(AV544-AU544)/AU544*100)</f>
        <v>0</v>
      </c>
      <c r="BG544" s="943">
        <f>IF(AV544=0,0,(AW544-AV544)/AV544*100)</f>
        <v>0</v>
      </c>
      <c r="BH544" s="943">
        <f>IF(AW544=0,0,(AX544-AW544)/AW544*100)</f>
        <v>0</v>
      </c>
      <c r="BI544" s="943">
        <f>IF(AX544=0,0,(AY544-AX544)/AX544*100)</f>
        <v>0</v>
      </c>
      <c r="BJ544" s="943">
        <f>IF(AY544=0,0,(AZ544-AY544)/AY544*100)</f>
        <v>0</v>
      </c>
      <c r="BK544" s="943">
        <f>IF(AZ544=0,0,(BA544-AZ544)/AZ544*100)</f>
        <v>0</v>
      </c>
      <c r="BL544" s="943">
        <f>IF(BA544=0,0,(BB544-BA544)/BA544*100)</f>
        <v>0</v>
      </c>
      <c r="BM544" s="943">
        <f>IF(BB544=0,0,(BC544-BB544)/BB544*100)</f>
        <v>0</v>
      </c>
      <c r="BN544" s="7771"/>
      <c r="BO544" s="7771"/>
      <c r="BP544" s="7771"/>
      <c r="BQ544" s="1278"/>
      <c r="BR544" s="1278"/>
      <c r="BS544" s="1064" t="s">
        <v>2825</v>
      </c>
      <c r="BT544" s="1064"/>
      <c r="BU544" s="1064"/>
      <c r="BV544" s="979"/>
      <c r="BW544" s="979"/>
    </row>
    <row s="1834" customFormat="1" customHeight="1" ht="21.75">
      <c r="A545" s="1278"/>
      <c r="B545" s="978"/>
      <c r="C545" s="1278"/>
      <c r="D545" s="1278"/>
      <c r="E545" s="703">
        <v>22.5</v>
      </c>
      <c r="F545" s="50" cm="1" t="str">
        <f t="array" ref="F545:F545">OFFSET(E545,-1,1)</f>
        <v>3</v>
      </c>
      <c r="G545" s="158" t="s">
        <v>2212</v>
      </c>
      <c r="H545" s="1278"/>
      <c r="I545" s="158" t="s">
        <v>2826</v>
      </c>
      <c r="J545" s="1278"/>
      <c r="K545" s="158" t="s">
        <v>2826</v>
      </c>
      <c r="L545" s="980"/>
      <c r="M545" s="107"/>
      <c r="N545" s="1278"/>
      <c r="O545" s="1278"/>
      <c r="P545" s="1278"/>
      <c r="Q545" s="1278"/>
      <c r="R545" s="1278"/>
      <c r="S545" s="1278"/>
      <c r="T545" s="465" cm="1" t="str">
        <f t="array" ref="T545:T545">T544</f>
        <v>true</v>
      </c>
      <c r="U545" s="1278"/>
      <c r="V545" s="1278"/>
      <c r="W545" s="1278"/>
      <c r="X545" s="1563"/>
      <c r="Y545" s="1278"/>
      <c r="Z545" s="1546"/>
      <c r="AA545" s="1278"/>
      <c r="AB545" s="299" t="s">
        <v>2276</v>
      </c>
      <c r="AC545" s="762" t="s">
        <v>2827</v>
      </c>
      <c r="AD545" s="300" t="s">
        <v>1514</v>
      </c>
      <c r="AE545" s="7773"/>
      <c r="AF545" s="7773"/>
      <c r="AG545" s="7773"/>
      <c r="AH545" s="943">
        <f>AG545-AF545</f>
        <v>0</v>
      </c>
      <c r="AI545" s="7723"/>
      <c r="AJ545" s="7723"/>
      <c r="AK545" s="7723"/>
      <c r="AL545" s="7723"/>
      <c r="AM545" s="7723"/>
      <c r="AN545" s="7723"/>
      <c r="AO545" s="1253"/>
      <c r="AP545" s="1253"/>
      <c r="AQ545" s="1253"/>
      <c r="AR545" s="1253"/>
      <c r="AS545" s="1253"/>
      <c r="AT545" s="7723"/>
      <c r="AU545" s="7723"/>
      <c r="AV545" s="7723"/>
      <c r="AW545" s="7723"/>
      <c r="AX545" s="7723"/>
      <c r="AY545" s="1253"/>
      <c r="AZ545" s="1253"/>
      <c r="BA545" s="1253"/>
      <c r="BB545" s="1253"/>
      <c r="BC545" s="1253"/>
      <c r="BD545" s="943">
        <f>IF(AI545=0,0,(AT545-AI545)/AI545*100)</f>
        <v>0</v>
      </c>
      <c r="BE545" s="943">
        <f>IF(AT545=0,0,(AU545-AT545)/AT545*100)</f>
        <v>0</v>
      </c>
      <c r="BF545" s="943">
        <f>IF(AU545=0,0,(AV545-AU545)/AU545*100)</f>
        <v>0</v>
      </c>
      <c r="BG545" s="943">
        <f>IF(AV545=0,0,(AW545-AV545)/AV545*100)</f>
        <v>0</v>
      </c>
      <c r="BH545" s="943">
        <f>IF(AW545=0,0,(AX545-AW545)/AW545*100)</f>
        <v>0</v>
      </c>
      <c r="BI545" s="943">
        <f>IF(AX545=0,0,(AY545-AX545)/AX545*100)</f>
        <v>0</v>
      </c>
      <c r="BJ545" s="943">
        <f>IF(AY545=0,0,(AZ545-AY545)/AY545*100)</f>
        <v>0</v>
      </c>
      <c r="BK545" s="943">
        <f>IF(AZ545=0,0,(BA545-AZ545)/AZ545*100)</f>
        <v>0</v>
      </c>
      <c r="BL545" s="943">
        <f>IF(BA545=0,0,(BB545-BA545)/BA545*100)</f>
        <v>0</v>
      </c>
      <c r="BM545" s="943">
        <f>IF(BB545=0,0,(BC545-BB545)/BB545*100)</f>
        <v>0</v>
      </c>
      <c r="BN545" s="7771"/>
      <c r="BO545" s="7771"/>
      <c r="BP545" s="7771"/>
      <c r="BQ545" s="1278"/>
      <c r="BR545" s="1278"/>
      <c r="BS545" s="1064" t="s">
        <v>2828</v>
      </c>
      <c r="BT545" s="1064"/>
      <c r="BU545" s="1064"/>
      <c r="BV545" s="979"/>
      <c r="BW545" s="979"/>
    </row>
    <row s="7897" customFormat="1" customHeight="1" ht="20.25">
      <c r="A546" s="700"/>
      <c r="B546" s="435"/>
      <c r="C546" s="700"/>
      <c r="D546" s="700"/>
      <c r="E546" s="707">
        <v>21</v>
      </c>
      <c r="F546" s="50" cm="1" t="str">
        <f t="array" ref="F546:F546">OFFSET(E546,-1,1)</f>
        <v>3</v>
      </c>
      <c r="G546" s="158" t="s">
        <v>2829</v>
      </c>
      <c r="H546" s="158"/>
      <c r="I546" s="158" t="s">
        <v>334</v>
      </c>
      <c r="J546" s="700"/>
      <c r="K546" s="158" t="s">
        <v>334</v>
      </c>
      <c r="L546" s="985" t="s">
        <v>2068</v>
      </c>
      <c r="M546" s="109"/>
      <c r="N546" s="700"/>
      <c r="O546" s="700"/>
      <c r="P546" s="700"/>
      <c r="Q546" s="700"/>
      <c r="R546" s="700"/>
      <c r="S546" s="700"/>
      <c r="T546" s="465" cm="1" t="str">
        <f t="array" ref="T546:T546">T545</f>
        <v>true</v>
      </c>
      <c r="U546" s="700"/>
      <c r="V546" s="700"/>
      <c r="W546" s="700"/>
      <c r="X546" s="1563"/>
      <c r="Y546" s="700"/>
      <c r="Z546" s="1546"/>
      <c r="AA546" s="700"/>
      <c r="AB546" s="218" t="s">
        <v>289</v>
      </c>
      <c r="AC546" s="212" t="s">
        <v>2830</v>
      </c>
      <c r="AD546" s="211" t="s">
        <v>1514</v>
      </c>
      <c r="AE546" s="778">
        <f>_xlfn.SUMIFS(ЭЭ!AE$25:AE$189,ЭЭ!$F$25:$F$189,$F546,ЭЭ!$AC$25:$AC$189,"Всего по тарифу")</f>
        <v>0</v>
      </c>
      <c r="AF546" s="778">
        <f>_xlfn.SUMIFS(ЭЭ!AF$25:AF$189,ЭЭ!$F$25:$F$189,$F546,ЭЭ!$AC$25:$AC$189,"Всего по тарифу")</f>
        <v>0</v>
      </c>
      <c r="AG546" s="778">
        <f>_xlfn.SUMIFS(ЭЭ!AG$25:AG$189,ЭЭ!$F$25:$F$189,$F546,ЭЭ!$AC$25:$AC$189,"Всего по тарифу")</f>
        <v>0</v>
      </c>
      <c r="AH546" s="761">
        <f>AG546-AF546</f>
        <v>0</v>
      </c>
      <c r="AI546" s="761">
        <f>_xlfn.SUMIFS(ЭЭ!AH$25:AH$189,ЭЭ!$F$25:$F$189,$F546,ЭЭ!$AC$25:$AC$189,"Всего по тарифу")</f>
        <v>0</v>
      </c>
      <c r="AJ546" s="761">
        <f>_xlfn.SUMIFS(ЭЭ!AI$25:AI$189,ЭЭ!$F$25:$F$189,$F546,ЭЭ!$AC$25:$AC$189,"Всего по тарифу")</f>
        <v>23644.503378224</v>
      </c>
      <c r="AK546" s="761">
        <f>_xlfn.SUMIFS(ЭЭ!AJ$25:AJ$189,ЭЭ!$F$25:$F$189,$F546,ЭЭ!$AC$25:$AC$189,"Всего по тарифу")</f>
        <v>25796.1531856423</v>
      </c>
      <c r="AL546" s="761">
        <f>_xlfn.SUMIFS(ЭЭ!AK$25:AK$189,ЭЭ!$F$25:$F$189,$F546,ЭЭ!$AC$25:$AC$189,"Всего по тарифу")</f>
        <v>27060.1646917388</v>
      </c>
      <c r="AM546" s="761">
        <f>_xlfn.SUMIFS(ЭЭ!AL$25:AL$189,ЭЭ!$F$25:$F$189,$F546,ЭЭ!$AC$25:$AC$189,"Всего по тарифу")</f>
        <v>28386.112761634</v>
      </c>
      <c r="AN546" s="761">
        <f>_xlfn.SUMIFS(ЭЭ!AM$25:AM$189,ЭЭ!$F$25:$F$189,$F546,ЭЭ!$AC$25:$AC$189,"Всего по тарифу")</f>
        <v>29777.032286954</v>
      </c>
      <c r="AO546" s="761">
        <f>_xlfn.SUMIFS(ЭЭ!AN$25:AN$189,ЭЭ!$F$25:$F$189,$F546,ЭЭ!$AC$25:$AC$189,"Всего по тарифу")</f>
        <v>0</v>
      </c>
      <c r="AP546" s="761">
        <f>_xlfn.SUMIFS(ЭЭ!AO$25:AO$189,ЭЭ!$F$25:$F$189,$F546,ЭЭ!$AC$25:$AC$189,"Всего по тарифу")</f>
        <v>0</v>
      </c>
      <c r="AQ546" s="761">
        <f>_xlfn.SUMIFS(ЭЭ!AP$25:AP$189,ЭЭ!$F$25:$F$189,$F546,ЭЭ!$AC$25:$AC$189,"Всего по тарифу")</f>
        <v>0</v>
      </c>
      <c r="AR546" s="761">
        <f>_xlfn.SUMIFS(ЭЭ!AQ$25:AQ$189,ЭЭ!$F$25:$F$189,$F546,ЭЭ!$AC$25:$AC$189,"Всего по тарифу")</f>
        <v>0</v>
      </c>
      <c r="AS546" s="761">
        <f>_xlfn.SUMIFS(ЭЭ!AR$25:AR$189,ЭЭ!$F$25:$F$189,$F546,ЭЭ!$AC$25:$AC$189,"Всего по тарифу")</f>
        <v>0</v>
      </c>
      <c r="AT546" s="761">
        <f>_xlfn.SUMIFS(ЭЭ!AS$25:AS$189,ЭЭ!$F$25:$F$189,$F546,ЭЭ!$AC$25:$AC$189,"Всего по тарифу")</f>
        <v>23644.503378224</v>
      </c>
      <c r="AU546" s="761">
        <f>_xlfn.SUMIFS(ЭЭ!AT$25:AT$189,ЭЭ!$F$25:$F$189,$F546,ЭЭ!$AC$25:$AC$189,"Всего по тарифу")</f>
        <v>25796.1531856423</v>
      </c>
      <c r="AV546" s="761">
        <f>_xlfn.SUMIFS(ЭЭ!AU$25:AU$189,ЭЭ!$F$25:$F$189,$F546,ЭЭ!$AC$25:$AC$189,"Всего по тарифу")</f>
        <v>27060.1646917388</v>
      </c>
      <c r="AW546" s="761">
        <f>_xlfn.SUMIFS(ЭЭ!AV$25:AV$189,ЭЭ!$F$25:$F$189,$F546,ЭЭ!$AC$25:$AC$189,"Всего по тарифу")</f>
        <v>28386.112761634</v>
      </c>
      <c r="AX546" s="761">
        <f>_xlfn.SUMIFS(ЭЭ!AW$25:AW$189,ЭЭ!$F$25:$F$189,$F546,ЭЭ!$AC$25:$AC$189,"Всего по тарифу")</f>
        <v>29777.032286954</v>
      </c>
      <c r="AY546" s="761">
        <f>_xlfn.SUMIFS(ЭЭ!AX$25:AX$189,ЭЭ!$F$25:$F$189,$F546,ЭЭ!$AC$25:$AC$189,"Всего по тарифу")</f>
        <v>0</v>
      </c>
      <c r="AZ546" s="761">
        <f>_xlfn.SUMIFS(ЭЭ!AY$25:AY$189,ЭЭ!$F$25:$F$189,$F546,ЭЭ!$AC$25:$AC$189,"Всего по тарифу")</f>
        <v>0</v>
      </c>
      <c r="BA546" s="761">
        <f>_xlfn.SUMIFS(ЭЭ!AZ$25:AZ$189,ЭЭ!$F$25:$F$189,$F546,ЭЭ!$AC$25:$AC$189,"Всего по тарифу")</f>
        <v>0</v>
      </c>
      <c r="BB546" s="761">
        <f>_xlfn.SUMIFS(ЭЭ!BA$25:BA$189,ЭЭ!$F$25:$F$189,$F546,ЭЭ!$AC$25:$AC$189,"Всего по тарифу")</f>
        <v>0</v>
      </c>
      <c r="BC546" s="761">
        <f>_xlfn.SUMIFS(ЭЭ!BB$25:BB$189,ЭЭ!$F$25:$F$189,$F546,ЭЭ!$AC$25:$AC$189,"Всего по тарифу")</f>
        <v>0</v>
      </c>
      <c r="BD546" s="761">
        <f>IF(AI546=0,0,(AT546-AI546)/AI546*100)</f>
        <v>0</v>
      </c>
      <c r="BE546" s="761">
        <f>IF(AT546=0,0,(AU546-AT546)/AT546*100)</f>
        <v>9.09999999999965</v>
      </c>
      <c r="BF546" s="761">
        <f>IF(AU546=0,0,(AV546-AU546)/AU546*100)</f>
        <v>4.90000000000011</v>
      </c>
      <c r="BG546" s="761">
        <f>IF(AV546=0,0,(AW546-AV546)/AV546*100)</f>
        <v>4.9</v>
      </c>
      <c r="BH546" s="761">
        <f>IF(AW546=0,0,(AX546-AW546)/AW546*100)</f>
        <v>4.89999999999976</v>
      </c>
      <c r="BI546" s="761">
        <f>IF(AX546=0,0,(AY546-AX546)/AX546*100)</f>
        <v>-100</v>
      </c>
      <c r="BJ546" s="761">
        <f>IF(AY546=0,0,(AZ546-AY546)/AY546*100)</f>
        <v>0</v>
      </c>
      <c r="BK546" s="761">
        <f>IF(AZ546=0,0,(BA546-AZ546)/AZ546*100)</f>
        <v>0</v>
      </c>
      <c r="BL546" s="761">
        <f>IF(BA546=0,0,(BB546-BA546)/BA546*100)</f>
        <v>0</v>
      </c>
      <c r="BM546" s="761">
        <f>IF(BB546=0,0,(BC546-BB546)/BB546*100)</f>
        <v>0</v>
      </c>
      <c r="BN546" s="7771"/>
      <c r="BO546" s="7777" t="str">
        <f>IF(_xlfn.IFERROR(INDEX(ЭЭ!$K$26:$L$189,MATCH($F546&amp;"komm",ЭЭ!$K$26:$K$189,0),2),"")=0,"",_xlfn.IFERROR(INDEX(ЭЭ!$K$26:$L$189,MATCH($F546&amp;"komm",ЭЭ!$K$26:$K$189,0),2),""))</f>
        <v>В соответствии с п. 20 Методических указаний расходы регулируемой организации на приобретаемые электрическую энергию (мощность), тепловую энергию (мощность), другие виды энергетических ресурсов, холодную воду, теплоноситель определяются как сумма произведений расчетных экономически (технологически, технически) обоснованных объемов приобретаемых электрической энергии (мощности), тепловой энергии (мощности), других видов энергетических ресурсов холодной воды на соответственно плановые (расчетные) цены (тарифы) на электрическую энергию (мощность), тепловую энергию (мощность), другие виды энергетических ресурсов, холодную воду. Объемы приобретаемой электрической энергии (мощности), тепловой энергии (мощности) определяются с учетом показателей надежности, качества, энергетической эффективности в сфере водоснабжения и (или) водоотведения, определенных в установленном порядке.</v>
      </c>
      <c r="BP546" s="7771"/>
      <c r="BQ546" s="700"/>
      <c r="BR546" s="700"/>
      <c r="BS546" s="1070" t="s">
        <v>2446</v>
      </c>
      <c r="BT546" s="1070"/>
      <c r="BU546" s="1070"/>
      <c r="BV546" s="707"/>
      <c r="BW546" s="707"/>
    </row>
    <row s="7898" customFormat="1" customHeight="1" ht="21.75">
      <c r="A547" s="700"/>
      <c r="B547" s="162">
        <f>method_reg="Метод индексации"</f>
        <v>1</v>
      </c>
      <c r="C547" s="700"/>
      <c r="D547" s="700"/>
      <c r="E547" s="707">
        <v>22.5</v>
      </c>
      <c r="F547" s="50" cm="1" t="str">
        <f t="array" ref="F547:F547">OFFSET(E547,-1,1)</f>
        <v>3</v>
      </c>
      <c r="G547" s="158" t="s">
        <v>2234</v>
      </c>
      <c r="H547" s="158"/>
      <c r="I547" s="158" t="s">
        <v>336</v>
      </c>
      <c r="J547" s="700"/>
      <c r="K547" s="158" t="s">
        <v>336</v>
      </c>
      <c r="L547" s="985" t="s">
        <v>335</v>
      </c>
      <c r="M547" s="109"/>
      <c r="N547" s="700"/>
      <c r="O547" s="700"/>
      <c r="P547" s="700"/>
      <c r="Q547" s="700"/>
      <c r="R547" s="700"/>
      <c r="S547" s="700"/>
      <c r="T547" s="465" cm="1" t="str">
        <f t="array" ref="T547:T547">T546</f>
        <v>true</v>
      </c>
      <c r="U547" s="700"/>
      <c r="V547" s="700"/>
      <c r="W547" s="700"/>
      <c r="X547" s="1563"/>
      <c r="Y547" s="700"/>
      <c r="Z547" s="1546"/>
      <c r="AA547" s="700"/>
      <c r="AB547" s="218" t="s">
        <v>295</v>
      </c>
      <c r="AC547" s="212" t="s">
        <v>2831</v>
      </c>
      <c r="AD547" s="211" t="s">
        <v>1514</v>
      </c>
      <c r="AE547" s="778">
        <f>_xlfn.SUMIFS(Амортизация!AE$25:AE$272,Амортизация!$F$25:$F$272,$F547,Амортизация!$AC$25:$AC$272,"Сумма амортизационных отчислений")</f>
        <v>0</v>
      </c>
      <c r="AF547" s="778">
        <f>_xlfn.SUMIFS(Амортизация!AF$25:AF$272,Амортизация!$F$25:$F$272,$F547,Амортизация!$AC$25:$AC$272,"Сумма амортизационных отчислений")</f>
        <v>0</v>
      </c>
      <c r="AG547" s="778">
        <f>_xlfn.SUMIFS(Амортизация!AG$25:AG$272,Амортизация!$F$25:$F$272,$F547,Амортизация!$AC$25:$AC$272,"Сумма амортизационных отчислений")</f>
        <v>0</v>
      </c>
      <c r="AH547" s="761">
        <f>AG547-AF547</f>
        <v>0</v>
      </c>
      <c r="AI547" s="761">
        <f>_xlfn.SUMIFS(Амортизация!AH$25:AH$272,Амортизация!$F$25:$F$272,$F547,Амортизация!$AC$25:$AC$272,"Сумма амортизационных отчислений")</f>
        <v>0</v>
      </c>
      <c r="AJ547" s="761">
        <f>_xlfn.SUMIFS(Амортизация!AI$25:AI$272,Амортизация!$F$25:$F$272,$F547,Амортизация!$AC$25:$AC$272,"Сумма амортизационных отчислений")</f>
        <v>0</v>
      </c>
      <c r="AK547" s="761">
        <f>_xlfn.SUMIFS(Амортизация!AJ$25:AJ$272,Амортизация!$F$25:$F$272,$F547,Амортизация!$AC$25:$AC$272,"Сумма амортизационных отчислений")</f>
        <v>0</v>
      </c>
      <c r="AL547" s="761">
        <f>_xlfn.SUMIFS(Амортизация!AK$25:AK$272,Амортизация!$F$25:$F$272,$F547,Амортизация!$AC$25:$AC$272,"Сумма амортизационных отчислений")</f>
        <v>1466.67</v>
      </c>
      <c r="AM547" s="761">
        <f>_xlfn.SUMIFS(Амортизация!AL$25:AL$272,Амортизация!$F$25:$F$272,$F547,Амортизация!$AC$25:$AC$272,"Сумма амортизационных отчислений")</f>
        <v>5228.58</v>
      </c>
      <c r="AN547" s="761">
        <f>_xlfn.SUMIFS(Амортизация!AM$25:AM$272,Амортизация!$F$25:$F$272,$F547,Амортизация!$AC$25:$AC$272,"Сумма амортизационных отчислений")</f>
        <v>19556.45</v>
      </c>
      <c r="AO547" s="761">
        <f>_xlfn.SUMIFS(Амортизация!AN$25:AN$272,Амортизация!$F$25:$F$272,$F547,Амортизация!$AC$25:$AC$272,"Сумма амортизационных отчислений")</f>
        <v>0</v>
      </c>
      <c r="AP547" s="761">
        <f>_xlfn.SUMIFS(Амортизация!AO$25:AO$272,Амортизация!$F$25:$F$272,$F547,Амортизация!$AC$25:$AC$272,"Сумма амортизационных отчислений")</f>
        <v>0</v>
      </c>
      <c r="AQ547" s="761">
        <f>_xlfn.SUMIFS(Амортизация!AP$25:AP$272,Амортизация!$F$25:$F$272,$F547,Амортизация!$AC$25:$AC$272,"Сумма амортизационных отчислений")</f>
        <v>0</v>
      </c>
      <c r="AR547" s="761">
        <f>_xlfn.SUMIFS(Амортизация!AQ$25:AQ$272,Амортизация!$F$25:$F$272,$F547,Амортизация!$AC$25:$AC$272,"Сумма амортизационных отчислений")</f>
        <v>0</v>
      </c>
      <c r="AS547" s="761">
        <f>_xlfn.SUMIFS(Амортизация!AR$25:AR$272,Амортизация!$F$25:$F$272,$F547,Амортизация!$AC$25:$AC$272,"Сумма амортизационных отчислений")</f>
        <v>0</v>
      </c>
      <c r="AT547" s="761">
        <f>_xlfn.SUMIFS(Амортизация!AS$25:AS$272,Амортизация!$F$25:$F$272,$F547,Амортизация!$AC$25:$AC$272,"Сумма амортизационных отчислений")</f>
        <v>0</v>
      </c>
      <c r="AU547" s="761">
        <f>_xlfn.SUMIFS(Амортизация!AT$25:AT$272,Амортизация!$F$25:$F$272,$F547,Амортизация!$AC$25:$AC$272,"Сумма амортизационных отчислений")</f>
        <v>0</v>
      </c>
      <c r="AV547" s="761">
        <f>_xlfn.SUMIFS(Амортизация!AU$25:AU$272,Амортизация!$F$25:$F$272,$F547,Амортизация!$AC$25:$AC$272,"Сумма амортизационных отчислений")</f>
        <v>1466.67</v>
      </c>
      <c r="AW547" s="761">
        <f>_xlfn.SUMIFS(Амортизация!AV$25:AV$272,Амортизация!$F$25:$F$272,$F547,Амортизация!$AC$25:$AC$272,"Сумма амортизационных отчислений")</f>
        <v>5228.58</v>
      </c>
      <c r="AX547" s="761">
        <f>_xlfn.SUMIFS(Амортизация!AW$25:AW$272,Амортизация!$F$25:$F$272,$F547,Амортизация!$AC$25:$AC$272,"Сумма амортизационных отчислений")</f>
        <v>19556.45</v>
      </c>
      <c r="AY547" s="761">
        <f>_xlfn.SUMIFS(Амортизация!AX$25:AX$272,Амортизация!$F$25:$F$272,$F547,Амортизация!$AC$25:$AC$272,"Сумма амортизационных отчислений")</f>
        <v>0</v>
      </c>
      <c r="AZ547" s="761">
        <f>_xlfn.SUMIFS(Амортизация!AY$25:AY$272,Амортизация!$F$25:$F$272,$F547,Амортизация!$AC$25:$AC$272,"Сумма амортизационных отчислений")</f>
        <v>0</v>
      </c>
      <c r="BA547" s="761">
        <f>_xlfn.SUMIFS(Амортизация!AZ$25:AZ$272,Амортизация!$F$25:$F$272,$F547,Амортизация!$AC$25:$AC$272,"Сумма амортизационных отчислений")</f>
        <v>0</v>
      </c>
      <c r="BB547" s="761">
        <f>_xlfn.SUMIFS(Амортизация!BA$25:BA$272,Амортизация!$F$25:$F$272,$F547,Амортизация!$AC$25:$AC$272,"Сумма амортизационных отчислений")</f>
        <v>0</v>
      </c>
      <c r="BC547" s="761">
        <f>_xlfn.SUMIFS(Амортизация!BB$25:BB$272,Амортизация!$F$25:$F$272,$F547,Амортизация!$AC$25:$AC$272,"Сумма амортизационных отчислений")</f>
        <v>0</v>
      </c>
      <c r="BD547" s="761">
        <f>IF(AI547=0,0,(AT547-AI547)/AI547*100)</f>
        <v>0</v>
      </c>
      <c r="BE547" s="761">
        <f>IF(AT547=0,0,(AU547-AT547)/AT547*100)</f>
        <v>0</v>
      </c>
      <c r="BF547" s="761">
        <f>IF(AU547=0,0,(AV547-AU547)/AU547*100)</f>
        <v>0</v>
      </c>
      <c r="BG547" s="761">
        <f>IF(AV547=0,0,(AW547-AV547)/AV547*100)</f>
        <v>256.493280697089</v>
      </c>
      <c r="BH547" s="761">
        <f>IF(AW547=0,0,(AX547-AW547)/AW547*100)</f>
        <v>274.029851317184</v>
      </c>
      <c r="BI547" s="761">
        <f>IF(AX547=0,0,(AY547-AX547)/AX547*100)</f>
        <v>-100</v>
      </c>
      <c r="BJ547" s="761">
        <f>IF(AY547=0,0,(AZ547-AY547)/AY547*100)</f>
        <v>0</v>
      </c>
      <c r="BK547" s="761">
        <f>IF(AZ547=0,0,(BA547-AZ547)/AZ547*100)</f>
        <v>0</v>
      </c>
      <c r="BL547" s="761">
        <f>IF(BA547=0,0,(BB547-BA547)/BA547*100)</f>
        <v>0</v>
      </c>
      <c r="BM547" s="761">
        <f>IF(BB547=0,0,(BC547-BB547)/BB547*100)</f>
        <v>0</v>
      </c>
      <c r="BN547" s="7771"/>
      <c r="BO547" s="7724" t="str">
        <f>IF(_xlfn.IFERROR(INDEX(Амортизация!$K$26:$L$272,MATCH($F547&amp;"komm",Амортизация!$K$26:$K$272,0),2),"")=0,"",_xlfn.IFERROR(INDEX(Амортизация!$K$26:$L$272,MATCH($F547&amp;"komm",Амортизация!$K$26:$K$272,0),2),""))</f>
        <v/>
      </c>
      <c r="BP547" s="7771"/>
      <c r="BQ547" s="700"/>
      <c r="BR547" s="700"/>
      <c r="BS547" s="1070" t="s">
        <v>1960</v>
      </c>
      <c r="BT547" s="1070"/>
      <c r="BU547" s="1070"/>
      <c r="BV547" s="707"/>
      <c r="BW547" s="707"/>
    </row>
    <row s="1834" customFormat="1" customHeight="1" ht="14.25">
      <c r="A548" s="1278"/>
      <c r="B548" s="432" cm="1" t="str">
        <f t="array" ref="B548:B548">B547</f>
        <v>true</v>
      </c>
      <c r="C548" s="1278"/>
      <c r="D548" s="1278"/>
      <c r="E548" s="703">
        <v>15</v>
      </c>
      <c r="F548" s="50" cm="1" t="str">
        <f t="array" ref="F548:F548">OFFSET(E548,-1,1)</f>
        <v>3</v>
      </c>
      <c r="G548" s="1278"/>
      <c r="H548" s="1278"/>
      <c r="I548" s="158" t="s">
        <v>1249</v>
      </c>
      <c r="J548" s="1278"/>
      <c r="K548" s="158" t="s">
        <v>1249</v>
      </c>
      <c r="L548" s="980" t="s">
        <v>1263</v>
      </c>
      <c r="M548" s="107"/>
      <c r="N548" s="1278"/>
      <c r="O548" s="1278"/>
      <c r="P548" s="1278"/>
      <c r="Q548" s="1278"/>
      <c r="R548" s="1278"/>
      <c r="S548" s="1278"/>
      <c r="T548" s="465" cm="1" t="str">
        <f t="array" ref="T548:T548">T547</f>
        <v>true</v>
      </c>
      <c r="U548" s="1278"/>
      <c r="V548" s="1278"/>
      <c r="W548" s="1278"/>
      <c r="X548" s="1563"/>
      <c r="Y548" s="1278"/>
      <c r="Z548" s="1546"/>
      <c r="AA548" s="1278"/>
      <c r="AB548" s="299" t="s">
        <v>1384</v>
      </c>
      <c r="AC548" s="762" t="s">
        <v>2538</v>
      </c>
      <c r="AD548" s="300" t="s">
        <v>1514</v>
      </c>
      <c r="AE548" s="7773">
        <f>_xlfn.SUMIFS('ИП + источники'!AF$27:AF$203,'ИП + источники'!$F$27:$F$203,$F548,'ИП + источники'!$AC$27:$AC$203,"Амортизационные отчисления")+_xlfn.SUMIFS('ИП + источники'!AF$27:AF$203,'ИП + источники'!$F$27:$F$203,$F548,'ИП + источники'!$AC$27:$AC$203,"погашение займов и кредитов из амортизации")</f>
        <v>0</v>
      </c>
      <c r="AF548" s="7773">
        <f>_xlfn.SUMIFS('ИП + источники'!AG$27:AG$203,'ИП + источники'!$F$27:$F$203,$F548,'ИП + источники'!$AC$27:$AC$203,"Амортизационные отчисления")+_xlfn.SUMIFS('ИП + источники'!AG$27:AG$203,'ИП + источники'!$F$27:$F$203,$F548,'ИП + источники'!$AC$27:$AC$203,"погашение займов и кредитов из амортизации")</f>
        <v>0</v>
      </c>
      <c r="AG548" s="7773">
        <f>_xlfn.SUMIFS('ИП + источники'!AH$27:AH$203,'ИП + источники'!$F$27:$F$203,$F548,'ИП + источники'!$AC$27:$AC$203,"Амортизационные отчисления")+_xlfn.SUMIFS('ИП + источники'!AH$27:AH$203,'ИП + источники'!$F$27:$F$203,$F548,'ИП + источники'!$AC$27:$AC$203,"погашение займов и кредитов из амортизации")</f>
        <v>0</v>
      </c>
      <c r="AH548" s="943">
        <f>AG548-AF548</f>
        <v>0</v>
      </c>
      <c r="AI548" s="7723">
        <f>_xlfn.SUMIFS('ИП + источники'!AJ$27:AJ$203,'ИП + источники'!$F$27:$F$203,$F548,'ИП + источники'!$AC$27:$AC$203,"Амортизационные отчисления")+_xlfn.SUMIFS('ИП + источники'!AJ$27:AJ$203,'ИП + источники'!$F$27:$F$203,$F548,'ИП + источники'!$AC$27:$AC$203,"погашение займов и кредитов из амортизации")</f>
        <v>0</v>
      </c>
      <c r="AJ548" s="7723">
        <f>_xlfn.SUMIFS('ИП + источники'!AK$27:AK$203,'ИП + источники'!$F$27:$F$203,$F548,'ИП + источники'!$AC$27:$AC$203,"Амортизационные отчисления")+_xlfn.SUMIFS('ИП + источники'!AK$27:AK$203,'ИП + источники'!$F$27:$F$203,$F548,'ИП + источники'!$AC$27:$AC$203,"погашение займов и кредитов из амортизации")</f>
        <v>0</v>
      </c>
      <c r="AK548" s="7723">
        <f>_xlfn.SUMIFS('ИП + источники'!AL$27:AL$203,'ИП + источники'!$F$27:$F$203,$F548,'ИП + источники'!$AC$27:$AC$203,"Амортизационные отчисления")+_xlfn.SUMIFS('ИП + источники'!AL$27:AL$203,'ИП + источники'!$F$27:$F$203,$F548,'ИП + источники'!$AC$27:$AC$203,"погашение займов и кредитов из амортизации")</f>
        <v>0</v>
      </c>
      <c r="AL548" s="7723">
        <f>_xlfn.SUMIFS('ИП + источники'!AM$27:AM$203,'ИП + источники'!$F$27:$F$203,$F548,'ИП + источники'!$AC$27:$AC$203,"Амортизационные отчисления")+_xlfn.SUMIFS('ИП + источники'!AM$27:AM$203,'ИП + источники'!$F$27:$F$203,$F548,'ИП + источники'!$AC$27:$AC$203,"погашение займов и кредитов из амортизации")</f>
        <v>0</v>
      </c>
      <c r="AM548" s="7723">
        <f>_xlfn.SUMIFS('ИП + источники'!AN$27:AN$203,'ИП + источники'!$F$27:$F$203,$F548,'ИП + источники'!$AC$27:$AC$203,"Амортизационные отчисления")+_xlfn.SUMIFS('ИП + источники'!AN$27:AN$203,'ИП + источники'!$F$27:$F$203,$F548,'ИП + источники'!$AC$27:$AC$203,"погашение займов и кредитов из амортизации")</f>
        <v>0</v>
      </c>
      <c r="AN548" s="7723">
        <f>_xlfn.SUMIFS('ИП + источники'!AO$27:AO$203,'ИП + источники'!$F$27:$F$203,$F548,'ИП + источники'!$AC$27:$AC$203,"Амортизационные отчисления")+_xlfn.SUMIFS('ИП + источники'!AO$27:AO$203,'ИП + источники'!$F$27:$F$203,$F548,'ИП + источники'!$AC$27:$AC$203,"погашение займов и кредитов из амортизации")</f>
        <v>0</v>
      </c>
      <c r="AO548" s="1253">
        <f>_xlfn.SUMIFS('ИП + источники'!AP$27:AP$203,'ИП + источники'!$F$27:$F$203,$F548,'ИП + источники'!$AC$27:$AC$203,"Амортизационные отчисления")+_xlfn.SUMIFS('ИП + источники'!AP$27:AP$203,'ИП + источники'!$F$27:$F$203,$F548,'ИП + источники'!$AC$27:$AC$203,"погашение займов и кредитов из амортизации")</f>
        <v>0</v>
      </c>
      <c r="AP548" s="1253">
        <f>_xlfn.SUMIFS('ИП + источники'!AQ$27:AQ$203,'ИП + источники'!$F$27:$F$203,$F548,'ИП + источники'!$AC$27:$AC$203,"Амортизационные отчисления")+_xlfn.SUMIFS('ИП + источники'!AQ$27:AQ$203,'ИП + источники'!$F$27:$F$203,$F548,'ИП + источники'!$AC$27:$AC$203,"погашение займов и кредитов из амортизации")</f>
        <v>0</v>
      </c>
      <c r="AQ548" s="1253">
        <f>_xlfn.SUMIFS('ИП + источники'!AR$27:AR$203,'ИП + источники'!$F$27:$F$203,$F548,'ИП + источники'!$AC$27:$AC$203,"Амортизационные отчисления")+_xlfn.SUMIFS('ИП + источники'!AR$27:AR$203,'ИП + источники'!$F$27:$F$203,$F548,'ИП + источники'!$AC$27:$AC$203,"погашение займов и кредитов из амортизации")</f>
        <v>0</v>
      </c>
      <c r="AR548" s="1253">
        <f>_xlfn.SUMIFS('ИП + источники'!AS$27:AS$203,'ИП + источники'!$F$27:$F$203,$F548,'ИП + источники'!$AC$27:$AC$203,"Амортизационные отчисления")+_xlfn.SUMIFS('ИП + источники'!AS$27:AS$203,'ИП + источники'!$F$27:$F$203,$F548,'ИП + источники'!$AC$27:$AC$203,"погашение займов и кредитов из амортизации")</f>
        <v>0</v>
      </c>
      <c r="AS548" s="1253">
        <f>_xlfn.SUMIFS('ИП + источники'!AT$27:AT$203,'ИП + источники'!$F$27:$F$203,$F548,'ИП + источники'!$AC$27:$AC$203,"Амортизационные отчисления")+_xlfn.SUMIFS('ИП + источники'!AT$27:AT$203,'ИП + источники'!$F$27:$F$203,$F548,'ИП + источники'!$AC$27:$AC$203,"погашение займов и кредитов из амортизации")</f>
        <v>0</v>
      </c>
      <c r="AT548" s="7723">
        <f>_xlfn.SUMIFS('ИП + источники'!AU$27:AU$203,'ИП + источники'!$F$27:$F$203,$F548,'ИП + источники'!$AC$27:$AC$203,"Амортизационные отчисления")+_xlfn.SUMIFS('ИП + источники'!AU$27:AU$203,'ИП + источники'!$F$27:$F$203,$F548,'ИП + источники'!$AC$27:$AC$203,"погашение займов и кредитов из амортизации")</f>
        <v>0</v>
      </c>
      <c r="AU548" s="7723">
        <f>_xlfn.SUMIFS('ИП + источники'!AV$27:AV$203,'ИП + источники'!$F$27:$F$203,$F548,'ИП + источники'!$AC$27:$AC$203,"Амортизационные отчисления")+_xlfn.SUMIFS('ИП + источники'!AV$27:AV$203,'ИП + источники'!$F$27:$F$203,$F548,'ИП + источники'!$AC$27:$AC$203,"погашение займов и кредитов из амортизации")</f>
        <v>0</v>
      </c>
      <c r="AV548" s="7723">
        <f>_xlfn.SUMIFS('ИП + источники'!AW$27:AW$203,'ИП + источники'!$F$27:$F$203,$F548,'ИП + источники'!$AC$27:$AC$203,"Амортизационные отчисления")+_xlfn.SUMIFS('ИП + источники'!AW$27:AW$203,'ИП + источники'!$F$27:$F$203,$F548,'ИП + источники'!$AC$27:$AC$203,"погашение займов и кредитов из амортизации")</f>
        <v>0</v>
      </c>
      <c r="AW548" s="7723">
        <f>_xlfn.SUMIFS('ИП + источники'!AX$27:AX$203,'ИП + источники'!$F$27:$F$203,$F548,'ИП + источники'!$AC$27:$AC$203,"Амортизационные отчисления")+_xlfn.SUMIFS('ИП + источники'!AX$27:AX$203,'ИП + источники'!$F$27:$F$203,$F548,'ИП + источники'!$AC$27:$AC$203,"погашение займов и кредитов из амортизации")</f>
        <v>0</v>
      </c>
      <c r="AX548" s="7723">
        <f>_xlfn.SUMIFS('ИП + источники'!AY$27:AY$203,'ИП + источники'!$F$27:$F$203,$F548,'ИП + источники'!$AC$27:$AC$203,"Амортизационные отчисления")+_xlfn.SUMIFS('ИП + источники'!AY$27:AY$203,'ИП + источники'!$F$27:$F$203,$F548,'ИП + источники'!$AC$27:$AC$203,"погашение займов и кредитов из амортизации")</f>
        <v>0</v>
      </c>
      <c r="AY548" s="1253">
        <f>_xlfn.SUMIFS('ИП + источники'!AZ$27:AZ$203,'ИП + источники'!$F$27:$F$203,$F548,'ИП + источники'!$AC$27:$AC$203,"Амортизационные отчисления")+_xlfn.SUMIFS('ИП + источники'!AZ$27:AZ$203,'ИП + источники'!$F$27:$F$203,$F548,'ИП + источники'!$AC$27:$AC$203,"погашение займов и кредитов из амортизации")</f>
        <v>0</v>
      </c>
      <c r="AZ548" s="1253">
        <f>_xlfn.SUMIFS('ИП + источники'!BA$27:BA$203,'ИП + источники'!$F$27:$F$203,$F548,'ИП + источники'!$AC$27:$AC$203,"Амортизационные отчисления")+_xlfn.SUMIFS('ИП + источники'!BA$27:BA$203,'ИП + источники'!$F$27:$F$203,$F548,'ИП + источники'!$AC$27:$AC$203,"погашение займов и кредитов из амортизации")</f>
        <v>0</v>
      </c>
      <c r="BA548" s="1253">
        <f>_xlfn.SUMIFS('ИП + источники'!BB$27:BB$203,'ИП + источники'!$F$27:$F$203,$F548,'ИП + источники'!$AC$27:$AC$203,"Амортизационные отчисления")+_xlfn.SUMIFS('ИП + источники'!BB$27:BB$203,'ИП + источники'!$F$27:$F$203,$F548,'ИП + источники'!$AC$27:$AC$203,"погашение займов и кредитов из амортизации")</f>
        <v>0</v>
      </c>
      <c r="BB548" s="1253">
        <f>_xlfn.SUMIFS('ИП + источники'!BC$27:BC$203,'ИП + источники'!$F$27:$F$203,$F548,'ИП + источники'!$AC$27:$AC$203,"Амортизационные отчисления")+_xlfn.SUMIFS('ИП + источники'!BC$27:BC$203,'ИП + источники'!$F$27:$F$203,$F548,'ИП + источники'!$AC$27:$AC$203,"погашение займов и кредитов из амортизации")</f>
        <v>0</v>
      </c>
      <c r="BC548" s="1253">
        <f>_xlfn.SUMIFS('ИП + источники'!BD$27:BD$203,'ИП + источники'!$F$27:$F$203,$F548,'ИП + источники'!$AC$27:$AC$203,"Амортизационные отчисления")+_xlfn.SUMIFS('ИП + источники'!BD$27:BD$203,'ИП + источники'!$F$27:$F$203,$F548,'ИП + источники'!$AC$27:$AC$203,"погашение займов и кредитов из амортизации")</f>
        <v>0</v>
      </c>
      <c r="BD548" s="943">
        <f>IF(AI548=0,0,(AT548-AI548)/AI548*100)</f>
        <v>0</v>
      </c>
      <c r="BE548" s="943">
        <f>IF(AT548=0,0,(AU548-AT548)/AT548*100)</f>
        <v>0</v>
      </c>
      <c r="BF548" s="943">
        <f>IF(AU548=0,0,(AV548-AU548)/AU548*100)</f>
        <v>0</v>
      </c>
      <c r="BG548" s="943">
        <f>IF(AV548=0,0,(AW548-AV548)/AV548*100)</f>
        <v>0</v>
      </c>
      <c r="BH548" s="943">
        <f>IF(AW548=0,0,(AX548-AW548)/AW548*100)</f>
        <v>0</v>
      </c>
      <c r="BI548" s="943">
        <f>IF(AX548=0,0,(AY548-AX548)/AX548*100)</f>
        <v>0</v>
      </c>
      <c r="BJ548" s="943">
        <f>IF(AY548=0,0,(AZ548-AY548)/AY548*100)</f>
        <v>0</v>
      </c>
      <c r="BK548" s="943">
        <f>IF(AZ548=0,0,(BA548-AZ548)/AZ548*100)</f>
        <v>0</v>
      </c>
      <c r="BL548" s="943">
        <f>IF(BA548=0,0,(BB548-BA548)/BA548*100)</f>
        <v>0</v>
      </c>
      <c r="BM548" s="943">
        <f>IF(BB548=0,0,(BC548-BB548)/BB548*100)</f>
        <v>0</v>
      </c>
      <c r="BN548" s="7771"/>
      <c r="BO548" s="7771"/>
      <c r="BP548" s="7771"/>
      <c r="BQ548" s="1278"/>
      <c r="BR548" s="1278"/>
      <c r="BS548" s="1064" t="s">
        <v>2539</v>
      </c>
      <c r="BT548" s="1064"/>
      <c r="BU548" s="1064"/>
      <c r="BV548" s="979"/>
      <c r="BW548" s="979"/>
    </row>
    <row s="7899" customFormat="1" customHeight="1" ht="20.25">
      <c r="A549" s="700"/>
      <c r="B549" s="432" cm="1" t="str">
        <f t="array" ref="B549:B549">B548</f>
        <v>true</v>
      </c>
      <c r="C549" s="700"/>
      <c r="D549" s="700"/>
      <c r="E549" s="707">
        <v>21</v>
      </c>
      <c r="F549" s="50" cm="1" t="str">
        <f t="array" ref="F549:F549">OFFSET(E549,-1,1)</f>
        <v>3</v>
      </c>
      <c r="G549" s="158" t="s">
        <v>2238</v>
      </c>
      <c r="H549" s="158"/>
      <c r="I549" s="158" t="s">
        <v>335</v>
      </c>
      <c r="J549" s="700"/>
      <c r="K549" s="158" t="s">
        <v>335</v>
      </c>
      <c r="L549" s="985" t="s">
        <v>1275</v>
      </c>
      <c r="M549" s="109"/>
      <c r="N549" s="700"/>
      <c r="O549" s="700"/>
      <c r="P549" s="700"/>
      <c r="Q549" s="700"/>
      <c r="R549" s="700"/>
      <c r="S549" s="700"/>
      <c r="T549" s="465" cm="1" t="str">
        <f t="array" ref="T549:T549">T548</f>
        <v>true</v>
      </c>
      <c r="U549" s="700"/>
      <c r="V549" s="700"/>
      <c r="W549" s="700"/>
      <c r="X549" s="1563"/>
      <c r="Y549" s="700"/>
      <c r="Z549" s="1546"/>
      <c r="AA549" s="700"/>
      <c r="AB549" s="218" t="s">
        <v>443</v>
      </c>
      <c r="AC549" s="212" t="s">
        <v>2238</v>
      </c>
      <c r="AD549" s="234" t="s">
        <v>1514</v>
      </c>
      <c r="AE549" s="213">
        <f>AE550+AE551+AE552+AE553</f>
        <v>0</v>
      </c>
      <c r="AF549" s="213">
        <f>AF550+AF551+AF552+AF553</f>
        <v>0</v>
      </c>
      <c r="AG549" s="213">
        <f>AG550+AG551+AG552+AG553</f>
        <v>0</v>
      </c>
      <c r="AH549" s="770">
        <f>AG549-AF549</f>
        <v>0</v>
      </c>
      <c r="AI549" s="770">
        <f>AI550+AI551+AI552+AI553</f>
        <v>0</v>
      </c>
      <c r="AJ549" s="770">
        <f>AJ550+AJ551+AJ552+AJ553</f>
        <v>0</v>
      </c>
      <c r="AK549" s="770">
        <f>AK550+AK551+AK552+AK553</f>
        <v>0</v>
      </c>
      <c r="AL549" s="770">
        <f>AL550+AL551+AL552+AL553</f>
        <v>0</v>
      </c>
      <c r="AM549" s="770">
        <f>AM550+AM551+AM552+AM553</f>
        <v>0</v>
      </c>
      <c r="AN549" s="770">
        <f>AN550+AN551+AN552+AN553</f>
        <v>0</v>
      </c>
      <c r="AO549" s="770">
        <f>AO550+AO551+AO552+AO553</f>
        <v>0</v>
      </c>
      <c r="AP549" s="770">
        <f>AP550+AP551+AP552+AP553</f>
        <v>0</v>
      </c>
      <c r="AQ549" s="770">
        <f>AQ550+AQ551+AQ552+AQ553</f>
        <v>0</v>
      </c>
      <c r="AR549" s="770">
        <f>AR550+AR551+AR552+AR553</f>
        <v>0</v>
      </c>
      <c r="AS549" s="770">
        <f>AS550+AS551+AS552+AS553</f>
        <v>0</v>
      </c>
      <c r="AT549" s="770">
        <f>AT550+AT551+AT552+AT553</f>
        <v>0</v>
      </c>
      <c r="AU549" s="770">
        <f>AU550+AU551+AU552+AU553</f>
        <v>0</v>
      </c>
      <c r="AV549" s="770">
        <f>AV550+AV551+AV552+AV553</f>
        <v>0</v>
      </c>
      <c r="AW549" s="770">
        <f>AW550+AW551+AW552+AW553</f>
        <v>0</v>
      </c>
      <c r="AX549" s="770">
        <f>AX550+AX551+AX552+AX553</f>
        <v>0</v>
      </c>
      <c r="AY549" s="770">
        <f>AY550+AY551+AY552+AY553</f>
        <v>0</v>
      </c>
      <c r="AZ549" s="770">
        <f>AZ550+AZ551+AZ552+AZ553</f>
        <v>0</v>
      </c>
      <c r="BA549" s="770">
        <f>BA550+BA551+BA552+BA553</f>
        <v>0</v>
      </c>
      <c r="BB549" s="770">
        <f>BB550+BB551+BB552+BB553</f>
        <v>0</v>
      </c>
      <c r="BC549" s="770">
        <f>BC550+BC551+BC552+BC553</f>
        <v>0</v>
      </c>
      <c r="BD549" s="761">
        <f>IF(AI549=0,0,(AT549-AI549)/AI549*100)</f>
        <v>0</v>
      </c>
      <c r="BE549" s="761">
        <f>IF(AT549=0,0,(AU549-AT549)/AT549*100)</f>
        <v>0</v>
      </c>
      <c r="BF549" s="761">
        <f>IF(AU549=0,0,(AV549-AU549)/AU549*100)</f>
        <v>0</v>
      </c>
      <c r="BG549" s="761">
        <f>IF(AV549=0,0,(AW549-AV549)/AV549*100)</f>
        <v>0</v>
      </c>
      <c r="BH549" s="761">
        <f>IF(AW549=0,0,(AX549-AW549)/AW549*100)</f>
        <v>0</v>
      </c>
      <c r="BI549" s="761">
        <f>IF(AX549=0,0,(AY549-AX549)/AX549*100)</f>
        <v>0</v>
      </c>
      <c r="BJ549" s="761">
        <f>IF(AY549=0,0,(AZ549-AY549)/AY549*100)</f>
        <v>0</v>
      </c>
      <c r="BK549" s="761">
        <f>IF(AZ549=0,0,(BA549-AZ549)/AZ549*100)</f>
        <v>0</v>
      </c>
      <c r="BL549" s="761">
        <f>IF(BA549=0,0,(BB549-BA549)/BA549*100)</f>
        <v>0</v>
      </c>
      <c r="BM549" s="761">
        <f>IF(BB549=0,0,(BC549-BB549)/BB549*100)</f>
        <v>0</v>
      </c>
      <c r="BN549" s="7771"/>
      <c r="BO549" s="7771"/>
      <c r="BP549" s="7771"/>
      <c r="BQ549" s="700"/>
      <c r="BR549" s="700"/>
      <c r="BS549" s="1063" t="s">
        <v>2242</v>
      </c>
      <c r="BT549" s="1070"/>
      <c r="BU549" s="1070"/>
      <c r="BV549" s="707"/>
      <c r="BW549" s="707"/>
    </row>
    <row s="1834" customFormat="1" customHeight="1" ht="14.25">
      <c r="A550" s="1278"/>
      <c r="B550" s="432" cm="1" t="str">
        <f t="array" ref="B550:B550">B549</f>
        <v>true</v>
      </c>
      <c r="C550" s="1278"/>
      <c r="D550" s="1278"/>
      <c r="E550" s="703">
        <v>15</v>
      </c>
      <c r="F550" s="50" cm="1" t="str">
        <f t="array" ref="F550:F550">OFFSET(E550,-1,1)</f>
        <v>3</v>
      </c>
      <c r="G550" s="1278"/>
      <c r="H550" s="1278"/>
      <c r="I550" s="158" t="s">
        <v>1263</v>
      </c>
      <c r="J550" s="1278"/>
      <c r="K550" s="158" t="s">
        <v>1263</v>
      </c>
      <c r="L550" s="980"/>
      <c r="M550" s="107"/>
      <c r="N550" s="1278"/>
      <c r="O550" s="1278"/>
      <c r="P550" s="1278"/>
      <c r="Q550" s="1278"/>
      <c r="R550" s="1278"/>
      <c r="S550" s="1278"/>
      <c r="T550" s="465" cm="1" t="str">
        <f t="array" ref="T550:T550">T549</f>
        <v>true</v>
      </c>
      <c r="U550" s="1278"/>
      <c r="V550" s="1278"/>
      <c r="W550" s="1278"/>
      <c r="X550" s="1563"/>
      <c r="Y550" s="1278"/>
      <c r="Z550" s="1546"/>
      <c r="AA550" s="1278"/>
      <c r="AB550" s="299" t="s">
        <v>1391</v>
      </c>
      <c r="AC550" s="762" t="s">
        <v>2832</v>
      </c>
      <c r="AD550" s="300" t="s">
        <v>1514</v>
      </c>
      <c r="AE550" s="7773">
        <f>_xlfn.SUMIFS('ИП + источники'!AF$27:AF$203,'ИП + источники'!$F$27:$F$203,$F550,'ИП + источники'!$AC$27:$AC$203,"погашение займов и кредитов из нормативной прибыли")</f>
        <v>0</v>
      </c>
      <c r="AF550" s="7773">
        <f>_xlfn.SUMIFS('ИП + источники'!AG$27:AG$203,'ИП + источники'!$F$27:$F$203,$F550,'ИП + источники'!$AC$27:$AC$203,"погашение займов и кредитов из нормативной прибыли")</f>
        <v>0</v>
      </c>
      <c r="AG550" s="7773">
        <f>_xlfn.SUMIFS('ИП + источники'!AH$27:AH$203,'ИП + источники'!$F$27:$F$203,$F550,'ИП + источники'!$AC$27:$AC$203,"погашение займов и кредитов из нормативной прибыли")</f>
        <v>0</v>
      </c>
      <c r="AH550" s="943">
        <f>AG550-AF550</f>
        <v>0</v>
      </c>
      <c r="AI550" s="7723">
        <f>_xlfn.SUMIFS('ИП + источники'!AJ$27:AJ$203,'ИП + источники'!$F$27:$F$203,$F550,'ИП + источники'!$AC$27:$AC$203,"погашение займов и кредитов из нормативной прибыли")</f>
        <v>0</v>
      </c>
      <c r="AJ550" s="7723">
        <f>_xlfn.SUMIFS('ИП + источники'!AK$27:AK$203,'ИП + источники'!$F$27:$F$203,$F550,'ИП + источники'!$AC$27:$AC$203,"погашение займов и кредитов из нормативной прибыли")</f>
        <v>0</v>
      </c>
      <c r="AK550" s="7723">
        <f>_xlfn.SUMIFS('ИП + источники'!AL$27:AL$203,'ИП + источники'!$F$27:$F$203,$F550,'ИП + источники'!$AC$27:$AC$203,"погашение займов и кредитов из нормативной прибыли")</f>
        <v>0</v>
      </c>
      <c r="AL550" s="7723">
        <f>_xlfn.SUMIFS('ИП + источники'!AM$27:AM$203,'ИП + источники'!$F$27:$F$203,$F550,'ИП + источники'!$AC$27:$AC$203,"погашение займов и кредитов из нормативной прибыли")</f>
        <v>0</v>
      </c>
      <c r="AM550" s="7723">
        <f>_xlfn.SUMIFS('ИП + источники'!AN$27:AN$203,'ИП + источники'!$F$27:$F$203,$F550,'ИП + источники'!$AC$27:$AC$203,"погашение займов и кредитов из нормативной прибыли")</f>
        <v>0</v>
      </c>
      <c r="AN550" s="7723">
        <f>_xlfn.SUMIFS('ИП + источники'!AO$27:AO$203,'ИП + источники'!$F$27:$F$203,$F550,'ИП + источники'!$AC$27:$AC$203,"погашение займов и кредитов из нормативной прибыли")</f>
        <v>0</v>
      </c>
      <c r="AO550" s="1253">
        <f>_xlfn.SUMIFS('ИП + источники'!AP$27:AP$203,'ИП + источники'!$F$27:$F$203,$F550,'ИП + источники'!$AC$27:$AC$203,"погашение займов и кредитов из нормативной прибыли")</f>
        <v>0</v>
      </c>
      <c r="AP550" s="1253">
        <f>_xlfn.SUMIFS('ИП + источники'!AQ$27:AQ$203,'ИП + источники'!$F$27:$F$203,$F550,'ИП + источники'!$AC$27:$AC$203,"погашение займов и кредитов из нормативной прибыли")</f>
        <v>0</v>
      </c>
      <c r="AQ550" s="1253">
        <f>_xlfn.SUMIFS('ИП + источники'!AR$27:AR$203,'ИП + источники'!$F$27:$F$203,$F550,'ИП + источники'!$AC$27:$AC$203,"погашение займов и кредитов из нормативной прибыли")</f>
        <v>0</v>
      </c>
      <c r="AR550" s="1253">
        <f>_xlfn.SUMIFS('ИП + источники'!AS$27:AS$203,'ИП + источники'!$F$27:$F$203,$F550,'ИП + источники'!$AC$27:$AC$203,"погашение займов и кредитов из нормативной прибыли")</f>
        <v>0</v>
      </c>
      <c r="AS550" s="1253">
        <f>_xlfn.SUMIFS('ИП + источники'!AT$27:AT$203,'ИП + источники'!$F$27:$F$203,$F550,'ИП + источники'!$AC$27:$AC$203,"погашение займов и кредитов из нормативной прибыли")</f>
        <v>0</v>
      </c>
      <c r="AT550" s="7723">
        <f>_xlfn.SUMIFS('ИП + источники'!AU$27:AU$203,'ИП + источники'!$F$27:$F$203,$F550,'ИП + источники'!$AC$27:$AC$203,"погашение займов и кредитов из нормативной прибыли")</f>
        <v>0</v>
      </c>
      <c r="AU550" s="7723">
        <f>_xlfn.SUMIFS('ИП + источники'!AV$27:AV$203,'ИП + источники'!$F$27:$F$203,$F550,'ИП + источники'!$AC$27:$AC$203,"погашение займов и кредитов из нормативной прибыли")</f>
        <v>0</v>
      </c>
      <c r="AV550" s="7723">
        <f>_xlfn.SUMIFS('ИП + источники'!AW$27:AW$203,'ИП + источники'!$F$27:$F$203,$F550,'ИП + источники'!$AC$27:$AC$203,"погашение займов и кредитов из нормативной прибыли")</f>
        <v>0</v>
      </c>
      <c r="AW550" s="7723">
        <f>_xlfn.SUMIFS('ИП + источники'!AX$27:AX$203,'ИП + источники'!$F$27:$F$203,$F550,'ИП + источники'!$AC$27:$AC$203,"погашение займов и кредитов из нормативной прибыли")</f>
        <v>0</v>
      </c>
      <c r="AX550" s="7723">
        <f>_xlfn.SUMIFS('ИП + источники'!AY$27:AY$203,'ИП + источники'!$F$27:$F$203,$F550,'ИП + источники'!$AC$27:$AC$203,"погашение займов и кредитов из нормативной прибыли")</f>
        <v>0</v>
      </c>
      <c r="AY550" s="1253">
        <f>_xlfn.SUMIFS('ИП + источники'!AZ$27:AZ$203,'ИП + источники'!$F$27:$F$203,$F550,'ИП + источники'!$AC$27:$AC$203,"погашение займов и кредитов из нормативной прибыли")</f>
        <v>0</v>
      </c>
      <c r="AZ550" s="1253">
        <f>_xlfn.SUMIFS('ИП + источники'!BA$27:BA$203,'ИП + источники'!$F$27:$F$203,$F550,'ИП + источники'!$AC$27:$AC$203,"погашение займов и кредитов из нормативной прибыли")</f>
        <v>0</v>
      </c>
      <c r="BA550" s="1253">
        <f>_xlfn.SUMIFS('ИП + источники'!BB$27:BB$203,'ИП + источники'!$F$27:$F$203,$F550,'ИП + источники'!$AC$27:$AC$203,"погашение займов и кредитов из нормативной прибыли")</f>
        <v>0</v>
      </c>
      <c r="BB550" s="1253">
        <f>_xlfn.SUMIFS('ИП + источники'!BC$27:BC$203,'ИП + источники'!$F$27:$F$203,$F550,'ИП + источники'!$AC$27:$AC$203,"погашение займов и кредитов из нормативной прибыли")</f>
        <v>0</v>
      </c>
      <c r="BC550" s="1253">
        <f>_xlfn.SUMIFS('ИП + источники'!BD$27:BD$203,'ИП + источники'!$F$27:$F$203,$F550,'ИП + источники'!$AC$27:$AC$203,"погашение займов и кредитов из нормативной прибыли")</f>
        <v>0</v>
      </c>
      <c r="BD550" s="943">
        <f>IF(AI550=0,0,(AT550-AI550)/AI550*100)</f>
        <v>0</v>
      </c>
      <c r="BE550" s="943">
        <f>IF(AT550=0,0,(AU550-AT550)/AT550*100)</f>
        <v>0</v>
      </c>
      <c r="BF550" s="943">
        <f>IF(AU550=0,0,(AV550-AU550)/AU550*100)</f>
        <v>0</v>
      </c>
      <c r="BG550" s="943">
        <f>IF(AV550=0,0,(AW550-AV550)/AV550*100)</f>
        <v>0</v>
      </c>
      <c r="BH550" s="943">
        <f>IF(AW550=0,0,(AX550-AW550)/AW550*100)</f>
        <v>0</v>
      </c>
      <c r="BI550" s="943">
        <f>IF(AX550=0,0,(AY550-AX550)/AX550*100)</f>
        <v>0</v>
      </c>
      <c r="BJ550" s="943">
        <f>IF(AY550=0,0,(AZ550-AY550)/AY550*100)</f>
        <v>0</v>
      </c>
      <c r="BK550" s="943">
        <f>IF(AZ550=0,0,(BA550-AZ550)/AZ550*100)</f>
        <v>0</v>
      </c>
      <c r="BL550" s="943">
        <f>IF(BA550=0,0,(BB550-BA550)/BA550*100)</f>
        <v>0</v>
      </c>
      <c r="BM550" s="943">
        <f>IF(BB550=0,0,(BC550-BB550)/BB550*100)</f>
        <v>0</v>
      </c>
      <c r="BN550" s="7771"/>
      <c r="BO550" s="7724" t="str">
        <f>IF(_xlfn.IFERROR(INDEX('ИП + источники'!$K$57:$L$203,MATCH($F550&amp;"2komm",'ИП + источники'!$K$57:$K$203,0),2),"")=0,"",_xlfn.IFERROR(INDEX('ИП + источники'!$K$57:$L$203,MATCH($F550&amp;"2komm",'ИП + источники'!$K$57:$K$203,0),2),""))</f>
        <v/>
      </c>
      <c r="BP550" s="7771"/>
      <c r="BQ550" s="1278"/>
      <c r="BR550" s="1278"/>
      <c r="BS550" s="1064" t="s">
        <v>2833</v>
      </c>
      <c r="BT550" s="1064"/>
      <c r="BU550" s="1064"/>
      <c r="BV550" s="979"/>
      <c r="BW550" s="979"/>
    </row>
    <row s="1834" customFormat="1" customHeight="1" ht="14.25">
      <c r="A551" s="1278"/>
      <c r="B551" s="432" cm="1" t="str">
        <f t="array" ref="B551:B551">B550</f>
        <v>true</v>
      </c>
      <c r="C551" s="1278"/>
      <c r="D551" s="1278"/>
      <c r="E551" s="703">
        <v>15</v>
      </c>
      <c r="F551" s="50" cm="1" t="str">
        <f t="array" ref="F551:F551">OFFSET(E551,-1,1)</f>
        <v>3</v>
      </c>
      <c r="G551" s="1278"/>
      <c r="H551" s="1278"/>
      <c r="I551" s="158" t="s">
        <v>1267</v>
      </c>
      <c r="J551" s="1278"/>
      <c r="K551" s="158" t="s">
        <v>1267</v>
      </c>
      <c r="L551" s="980"/>
      <c r="M551" s="107"/>
      <c r="N551" s="1278"/>
      <c r="O551" s="1278"/>
      <c r="P551" s="1278"/>
      <c r="Q551" s="1278"/>
      <c r="R551" s="1278"/>
      <c r="S551" s="1278"/>
      <c r="T551" s="465" cm="1" t="str">
        <f t="array" ref="T551:T551">T550</f>
        <v>true</v>
      </c>
      <c r="U551" s="1278"/>
      <c r="V551" s="1278"/>
      <c r="W551" s="1278"/>
      <c r="X551" s="1563"/>
      <c r="Y551" s="1278"/>
      <c r="Z551" s="1546"/>
      <c r="AA551" s="1278"/>
      <c r="AB551" s="299" t="s">
        <v>1394</v>
      </c>
      <c r="AC551" s="762" t="s">
        <v>2834</v>
      </c>
      <c r="AD551" s="300" t="s">
        <v>1514</v>
      </c>
      <c r="AE551" s="7773">
        <f>_xlfn.SUMIFS('ИП + источники'!AF$27:AF$203,'ИП + источники'!$F$27:$F$203,$F551,'ИП + источники'!$AC$27:$AC$203,"уплата процентов по кредитам из нормативной прибыли")</f>
        <v>0</v>
      </c>
      <c r="AF551" s="7773">
        <f>_xlfn.SUMIFS('ИП + источники'!AG$27:AG$203,'ИП + источники'!$F$27:$F$203,$F551,'ИП + источники'!$AC$27:$AC$203,"уплата процентов по кредитам из нормативной прибыли")</f>
        <v>0</v>
      </c>
      <c r="AG551" s="7773">
        <f>_xlfn.SUMIFS('ИП + источники'!AH$27:AH$203,'ИП + источники'!$F$27:$F$203,$F551,'ИП + источники'!$AC$27:$AC$203,"уплата процентов по кредитам из нормативной прибыли")</f>
        <v>0</v>
      </c>
      <c r="AH551" s="943">
        <f>AG551-AF551</f>
        <v>0</v>
      </c>
      <c r="AI551" s="7723">
        <f>_xlfn.SUMIFS('ИП + источники'!AJ$27:AJ$203,'ИП + источники'!$F$27:$F$203,$F551,'ИП + источники'!$AC$27:$AC$203,"уплата процентов по кредитам из нормативной прибыли")</f>
        <v>0</v>
      </c>
      <c r="AJ551" s="7723">
        <f>_xlfn.SUMIFS('ИП + источники'!AK$27:AK$203,'ИП + источники'!$F$27:$F$203,$F551,'ИП + источники'!$AC$27:$AC$203,"уплата процентов по кредитам из нормативной прибыли")</f>
        <v>0</v>
      </c>
      <c r="AK551" s="7723">
        <f>_xlfn.SUMIFS('ИП + источники'!AL$27:AL$203,'ИП + источники'!$F$27:$F$203,$F551,'ИП + источники'!$AC$27:$AC$203,"уплата процентов по кредитам из нормативной прибыли")</f>
        <v>0</v>
      </c>
      <c r="AL551" s="7723">
        <f>_xlfn.SUMIFS('ИП + источники'!AM$27:AM$203,'ИП + источники'!$F$27:$F$203,$F551,'ИП + источники'!$AC$27:$AC$203,"уплата процентов по кредитам из нормативной прибыли")</f>
        <v>0</v>
      </c>
      <c r="AM551" s="7723">
        <f>_xlfn.SUMIFS('ИП + источники'!AN$27:AN$203,'ИП + источники'!$F$27:$F$203,$F551,'ИП + источники'!$AC$27:$AC$203,"уплата процентов по кредитам из нормативной прибыли")</f>
        <v>0</v>
      </c>
      <c r="AN551" s="7723">
        <f>_xlfn.SUMIFS('ИП + источники'!AO$27:AO$203,'ИП + источники'!$F$27:$F$203,$F551,'ИП + источники'!$AC$27:$AC$203,"уплата процентов по кредитам из нормативной прибыли")</f>
        <v>0</v>
      </c>
      <c r="AO551" s="1253">
        <f>_xlfn.SUMIFS('ИП + источники'!AP$27:AP$203,'ИП + источники'!$F$27:$F$203,$F551,'ИП + источники'!$AC$27:$AC$203,"уплата процентов по кредитам из нормативной прибыли")</f>
        <v>0</v>
      </c>
      <c r="AP551" s="1253">
        <f>_xlfn.SUMIFS('ИП + источники'!AQ$27:AQ$203,'ИП + источники'!$F$27:$F$203,$F551,'ИП + источники'!$AC$27:$AC$203,"уплата процентов по кредитам из нормативной прибыли")</f>
        <v>0</v>
      </c>
      <c r="AQ551" s="1253">
        <f>_xlfn.SUMIFS('ИП + источники'!AR$27:AR$203,'ИП + источники'!$F$27:$F$203,$F551,'ИП + источники'!$AC$27:$AC$203,"уплата процентов по кредитам из нормативной прибыли")</f>
        <v>0</v>
      </c>
      <c r="AR551" s="1253">
        <f>_xlfn.SUMIFS('ИП + источники'!AS$27:AS$203,'ИП + источники'!$F$27:$F$203,$F551,'ИП + источники'!$AC$27:$AC$203,"уплата процентов по кредитам из нормативной прибыли")</f>
        <v>0</v>
      </c>
      <c r="AS551" s="1253">
        <f>_xlfn.SUMIFS('ИП + источники'!AT$27:AT$203,'ИП + источники'!$F$27:$F$203,$F551,'ИП + источники'!$AC$27:$AC$203,"уплата процентов по кредитам из нормативной прибыли")</f>
        <v>0</v>
      </c>
      <c r="AT551" s="7723">
        <f>_xlfn.SUMIFS('ИП + источники'!AU$27:AU$203,'ИП + источники'!$F$27:$F$203,$F551,'ИП + источники'!$AC$27:$AC$203,"уплата процентов по кредитам из нормативной прибыли")</f>
        <v>0</v>
      </c>
      <c r="AU551" s="7723">
        <f>_xlfn.SUMIFS('ИП + источники'!AV$27:AV$203,'ИП + источники'!$F$27:$F$203,$F551,'ИП + источники'!$AC$27:$AC$203,"уплата процентов по кредитам из нормативной прибыли")</f>
        <v>0</v>
      </c>
      <c r="AV551" s="7723">
        <f>_xlfn.SUMIFS('ИП + источники'!AW$27:AW$203,'ИП + источники'!$F$27:$F$203,$F551,'ИП + источники'!$AC$27:$AC$203,"уплата процентов по кредитам из нормативной прибыли")</f>
        <v>0</v>
      </c>
      <c r="AW551" s="7723">
        <f>_xlfn.SUMIFS('ИП + источники'!AX$27:AX$203,'ИП + источники'!$F$27:$F$203,$F551,'ИП + источники'!$AC$27:$AC$203,"уплата процентов по кредитам из нормативной прибыли")</f>
        <v>0</v>
      </c>
      <c r="AX551" s="7723">
        <f>_xlfn.SUMIFS('ИП + источники'!AY$27:AY$203,'ИП + источники'!$F$27:$F$203,$F551,'ИП + источники'!$AC$27:$AC$203,"уплата процентов по кредитам из нормативной прибыли")</f>
        <v>0</v>
      </c>
      <c r="AY551" s="1253">
        <f>_xlfn.SUMIFS('ИП + источники'!AZ$27:AZ$203,'ИП + источники'!$F$27:$F$203,$F551,'ИП + источники'!$AC$27:$AC$203,"уплата процентов по кредитам из нормативной прибыли")</f>
        <v>0</v>
      </c>
      <c r="AZ551" s="1253">
        <f>_xlfn.SUMIFS('ИП + источники'!BA$27:BA$203,'ИП + источники'!$F$27:$F$203,$F551,'ИП + источники'!$AC$27:$AC$203,"уплата процентов по кредитам из нормативной прибыли")</f>
        <v>0</v>
      </c>
      <c r="BA551" s="1253">
        <f>_xlfn.SUMIFS('ИП + источники'!BB$27:BB$203,'ИП + источники'!$F$27:$F$203,$F551,'ИП + источники'!$AC$27:$AC$203,"уплата процентов по кредитам из нормативной прибыли")</f>
        <v>0</v>
      </c>
      <c r="BB551" s="1253">
        <f>_xlfn.SUMIFS('ИП + источники'!BC$27:BC$203,'ИП + источники'!$F$27:$F$203,$F551,'ИП + источники'!$AC$27:$AC$203,"уплата процентов по кредитам из нормативной прибыли")</f>
        <v>0</v>
      </c>
      <c r="BC551" s="1253">
        <f>_xlfn.SUMIFS('ИП + источники'!BD$27:BD$203,'ИП + источники'!$F$27:$F$203,$F551,'ИП + источники'!$AC$27:$AC$203,"уплата процентов по кредитам из нормативной прибыли")</f>
        <v>0</v>
      </c>
      <c r="BD551" s="943">
        <f>IF(AI551=0,0,(AT551-AI551)/AI551*100)</f>
        <v>0</v>
      </c>
      <c r="BE551" s="943">
        <f>IF(AT551=0,0,(AU551-AT551)/AT551*100)</f>
        <v>0</v>
      </c>
      <c r="BF551" s="943">
        <f>IF(AU551=0,0,(AV551-AU551)/AU551*100)</f>
        <v>0</v>
      </c>
      <c r="BG551" s="943">
        <f>IF(AV551=0,0,(AW551-AV551)/AV551*100)</f>
        <v>0</v>
      </c>
      <c r="BH551" s="943">
        <f>IF(AW551=0,0,(AX551-AW551)/AW551*100)</f>
        <v>0</v>
      </c>
      <c r="BI551" s="943">
        <f>IF(AX551=0,0,(AY551-AX551)/AX551*100)</f>
        <v>0</v>
      </c>
      <c r="BJ551" s="943">
        <f>IF(AY551=0,0,(AZ551-AY551)/AY551*100)</f>
        <v>0</v>
      </c>
      <c r="BK551" s="943">
        <f>IF(AZ551=0,0,(BA551-AZ551)/AZ551*100)</f>
        <v>0</v>
      </c>
      <c r="BL551" s="943">
        <f>IF(BA551=0,0,(BB551-BA551)/BA551*100)</f>
        <v>0</v>
      </c>
      <c r="BM551" s="943">
        <f>IF(BB551=0,0,(BC551-BB551)/BB551*100)</f>
        <v>0</v>
      </c>
      <c r="BN551" s="7771"/>
      <c r="BO551" s="7724" t="str">
        <f>IF(_xlfn.IFERROR(INDEX('ИП + источники'!$K$57:$L$203,MATCH($F551&amp;"3komm",'ИП + источники'!$K$57:$K$203,0),2),"")=0,"",_xlfn.IFERROR(INDEX('ИП + источники'!$K$57:$L$203,MATCH($F551&amp;"3komm",'ИП + источники'!$K$57:$K$203,0),2),""))</f>
        <v/>
      </c>
      <c r="BP551" s="7771"/>
      <c r="BQ551" s="1278"/>
      <c r="BR551" s="1278"/>
      <c r="BS551" s="1064" t="s">
        <v>2835</v>
      </c>
      <c r="BT551" s="1064"/>
      <c r="BU551" s="1064"/>
      <c r="BV551" s="979"/>
      <c r="BW551" s="979"/>
    </row>
    <row s="1834" customFormat="1" customHeight="1" ht="14.25">
      <c r="A552" s="1278"/>
      <c r="B552" s="432" cm="1" t="str">
        <f t="array" ref="B552:B552">B551</f>
        <v>true</v>
      </c>
      <c r="C552" s="1278"/>
      <c r="D552" s="1278"/>
      <c r="E552" s="703">
        <v>15</v>
      </c>
      <c r="F552" s="50" cm="1" t="str">
        <f t="array" ref="F552:F552">OFFSET(E552,-1,1)</f>
        <v>3</v>
      </c>
      <c r="G552" s="1278"/>
      <c r="H552" s="1278"/>
      <c r="I552" s="158" t="s">
        <v>1479</v>
      </c>
      <c r="J552" s="1278"/>
      <c r="K552" s="158" t="s">
        <v>1479</v>
      </c>
      <c r="L552" s="980" t="s">
        <v>1282</v>
      </c>
      <c r="M552" s="107"/>
      <c r="N552" s="1278"/>
      <c r="O552" s="1278"/>
      <c r="P552" s="1278"/>
      <c r="Q552" s="1278"/>
      <c r="R552" s="1278"/>
      <c r="S552" s="1278"/>
      <c r="T552" s="465" cm="1" t="str">
        <f t="array" ref="T552:T552">T551</f>
        <v>true</v>
      </c>
      <c r="U552" s="1278"/>
      <c r="V552" s="1278"/>
      <c r="W552" s="1278"/>
      <c r="X552" s="1563"/>
      <c r="Y552" s="1278"/>
      <c r="Z552" s="1546"/>
      <c r="AA552" s="1278"/>
      <c r="AB552" s="299" t="s">
        <v>1683</v>
      </c>
      <c r="AC552" s="762" t="s">
        <v>2836</v>
      </c>
      <c r="AD552" s="300" t="s">
        <v>1514</v>
      </c>
      <c r="AE552" s="7773">
        <f>_xlfn.SUMIFS('ИП + источники'!AF$27:AF$203,'ИП + источники'!$F$27:$F$203,$F552,'ИП + источники'!$AC$27:$AC$203,"Прибыль на капвложения")</f>
        <v>0</v>
      </c>
      <c r="AF552" s="7773">
        <f>_xlfn.SUMIFS('ИП + источники'!AG$27:AG$203,'ИП + источники'!$F$27:$F$203,$F552,'ИП + источники'!$AC$27:$AC$203,"Прибыль на капвложения")</f>
        <v>0</v>
      </c>
      <c r="AG552" s="7773">
        <f>_xlfn.SUMIFS('ИП + источники'!AH$27:AH$203,'ИП + источники'!$F$27:$F$203,$F552,'ИП + источники'!$AC$27:$AC$203,"Прибыль на капвложения")</f>
        <v>0</v>
      </c>
      <c r="AH552" s="943">
        <f>AG552-AF552</f>
        <v>0</v>
      </c>
      <c r="AI552" s="7723">
        <f>_xlfn.SUMIFS('ИП + источники'!AJ$27:AJ$203,'ИП + источники'!$F$27:$F$203,$F552,'ИП + источники'!$AC$27:$AC$203,"Прибыль на капвложения")</f>
        <v>0</v>
      </c>
      <c r="AJ552" s="7723">
        <f>_xlfn.SUMIFS('ИП + источники'!AK$27:AK$203,'ИП + источники'!$F$27:$F$203,$F552,'ИП + источники'!$AC$27:$AC$203,"Прибыль на капвложения")</f>
        <v>0</v>
      </c>
      <c r="AK552" s="7723">
        <f>_xlfn.SUMIFS('ИП + источники'!AL$27:AL$203,'ИП + источники'!$F$27:$F$203,$F552,'ИП + источники'!$AC$27:$AC$203,"Прибыль на капвложения")</f>
        <v>0</v>
      </c>
      <c r="AL552" s="7723">
        <f>_xlfn.SUMIFS('ИП + источники'!AM$27:AM$203,'ИП + источники'!$F$27:$F$203,$F552,'ИП + источники'!$AC$27:$AC$203,"Прибыль на капвложения")</f>
        <v>0</v>
      </c>
      <c r="AM552" s="7723">
        <f>_xlfn.SUMIFS('ИП + источники'!AN$27:AN$203,'ИП + источники'!$F$27:$F$203,$F552,'ИП + источники'!$AC$27:$AC$203,"Прибыль на капвложения")</f>
        <v>0</v>
      </c>
      <c r="AN552" s="7723">
        <f>_xlfn.SUMIFS('ИП + источники'!AO$27:AO$203,'ИП + источники'!$F$27:$F$203,$F552,'ИП + источники'!$AC$27:$AC$203,"Прибыль на капвложения")</f>
        <v>0</v>
      </c>
      <c r="AO552" s="1253">
        <f>_xlfn.SUMIFS('ИП + источники'!AP$27:AP$203,'ИП + источники'!$F$27:$F$203,$F552,'ИП + источники'!$AC$27:$AC$203,"Прибыль на капвложения")</f>
        <v>0</v>
      </c>
      <c r="AP552" s="1253">
        <f>_xlfn.SUMIFS('ИП + источники'!AQ$27:AQ$203,'ИП + источники'!$F$27:$F$203,$F552,'ИП + источники'!$AC$27:$AC$203,"Прибыль на капвложения")</f>
        <v>0</v>
      </c>
      <c r="AQ552" s="1253">
        <f>_xlfn.SUMIFS('ИП + источники'!AR$27:AR$203,'ИП + источники'!$F$27:$F$203,$F552,'ИП + источники'!$AC$27:$AC$203,"Прибыль на капвложения")</f>
        <v>0</v>
      </c>
      <c r="AR552" s="1253">
        <f>_xlfn.SUMIFS('ИП + источники'!AS$27:AS$203,'ИП + источники'!$F$27:$F$203,$F552,'ИП + источники'!$AC$27:$AC$203,"Прибыль на капвложения")</f>
        <v>0</v>
      </c>
      <c r="AS552" s="1253">
        <f>_xlfn.SUMIFS('ИП + источники'!AT$27:AT$203,'ИП + источники'!$F$27:$F$203,$F552,'ИП + источники'!$AC$27:$AC$203,"Прибыль на капвложения")</f>
        <v>0</v>
      </c>
      <c r="AT552" s="7723">
        <f>_xlfn.SUMIFS('ИП + источники'!AU$27:AU$203,'ИП + источники'!$F$27:$F$203,$F552,'ИП + источники'!$AC$27:$AC$203,"Прибыль на капвложения")</f>
        <v>0</v>
      </c>
      <c r="AU552" s="7723">
        <f>_xlfn.SUMIFS('ИП + источники'!AV$27:AV$203,'ИП + источники'!$F$27:$F$203,$F552,'ИП + источники'!$AC$27:$AC$203,"Прибыль на капвложения")</f>
        <v>0</v>
      </c>
      <c r="AV552" s="7723">
        <f>_xlfn.SUMIFS('ИП + источники'!AW$27:AW$203,'ИП + источники'!$F$27:$F$203,$F552,'ИП + источники'!$AC$27:$AC$203,"Прибыль на капвложения")</f>
        <v>0</v>
      </c>
      <c r="AW552" s="7723">
        <f>_xlfn.SUMIFS('ИП + источники'!AX$27:AX$203,'ИП + источники'!$F$27:$F$203,$F552,'ИП + источники'!$AC$27:$AC$203,"Прибыль на капвложения")</f>
        <v>0</v>
      </c>
      <c r="AX552" s="7723">
        <f>_xlfn.SUMIFS('ИП + источники'!AY$27:AY$203,'ИП + источники'!$F$27:$F$203,$F552,'ИП + источники'!$AC$27:$AC$203,"Прибыль на капвложения")</f>
        <v>0</v>
      </c>
      <c r="AY552" s="1253">
        <f>_xlfn.SUMIFS('ИП + источники'!AZ$27:AZ$203,'ИП + источники'!$F$27:$F$203,$F552,'ИП + источники'!$AC$27:$AC$203,"Прибыль на капвложения")</f>
        <v>0</v>
      </c>
      <c r="AZ552" s="1253">
        <f>_xlfn.SUMIFS('ИП + источники'!BA$27:BA$203,'ИП + источники'!$F$27:$F$203,$F552,'ИП + источники'!$AC$27:$AC$203,"Прибыль на капвложения")</f>
        <v>0</v>
      </c>
      <c r="BA552" s="1253">
        <f>_xlfn.SUMIFS('ИП + источники'!BB$27:BB$203,'ИП + источники'!$F$27:$F$203,$F552,'ИП + источники'!$AC$27:$AC$203,"Прибыль на капвложения")</f>
        <v>0</v>
      </c>
      <c r="BB552" s="1253">
        <f>_xlfn.SUMIFS('ИП + источники'!BC$27:BC$203,'ИП + источники'!$F$27:$F$203,$F552,'ИП + источники'!$AC$27:$AC$203,"Прибыль на капвложения")</f>
        <v>0</v>
      </c>
      <c r="BC552" s="1253">
        <f>_xlfn.SUMIFS('ИП + источники'!BD$27:BD$203,'ИП + источники'!$F$27:$F$203,$F552,'ИП + источники'!$AC$27:$AC$203,"Прибыль на капвложения")</f>
        <v>0</v>
      </c>
      <c r="BD552" s="943">
        <f>IF(AI552=0,0,(AT552-AI552)/AI552*100)</f>
        <v>0</v>
      </c>
      <c r="BE552" s="943">
        <f>IF(AT552=0,0,(AU552-AT552)/AT552*100)</f>
        <v>0</v>
      </c>
      <c r="BF552" s="943">
        <f>IF(AU552=0,0,(AV552-AU552)/AU552*100)</f>
        <v>0</v>
      </c>
      <c r="BG552" s="943">
        <f>IF(AV552=0,0,(AW552-AV552)/AV552*100)</f>
        <v>0</v>
      </c>
      <c r="BH552" s="943">
        <f>IF(AW552=0,0,(AX552-AW552)/AW552*100)</f>
        <v>0</v>
      </c>
      <c r="BI552" s="943">
        <f>IF(AX552=0,0,(AY552-AX552)/AX552*100)</f>
        <v>0</v>
      </c>
      <c r="BJ552" s="943">
        <f>IF(AY552=0,0,(AZ552-AY552)/AY552*100)</f>
        <v>0</v>
      </c>
      <c r="BK552" s="943">
        <f>IF(AZ552=0,0,(BA552-AZ552)/AZ552*100)</f>
        <v>0</v>
      </c>
      <c r="BL552" s="943">
        <f>IF(BA552=0,0,(BB552-BA552)/BA552*100)</f>
        <v>0</v>
      </c>
      <c r="BM552" s="943">
        <f>IF(BB552=0,0,(BC552-BB552)/BB552*100)</f>
        <v>0</v>
      </c>
      <c r="BN552" s="7771"/>
      <c r="BO552" s="7724" t="str">
        <f>IF(_xlfn.IFERROR(INDEX('ИП + источники'!$K$57:$L$203,MATCH($F552&amp;"1komm",'ИП + источники'!$K$57:$K$203,0),2),"")=0,"",_xlfn.IFERROR(INDEX('ИП + источники'!$K$57:$L$203,MATCH($F552&amp;"1komm",'ИП + источники'!$K$57:$K$203,0),2),""))</f>
        <v/>
      </c>
      <c r="BP552" s="7771"/>
      <c r="BQ552" s="1278"/>
      <c r="BR552" s="1278"/>
      <c r="BS552" s="1064" t="s">
        <v>2546</v>
      </c>
      <c r="BT552" s="1064"/>
      <c r="BU552" s="1064"/>
      <c r="BV552" s="979"/>
      <c r="BW552" s="979"/>
    </row>
    <row s="1834" customFormat="1" customHeight="1" ht="21.75">
      <c r="A553" s="1278"/>
      <c r="B553" s="432" cm="1" t="str">
        <f t="array" ref="B553:B553">B552</f>
        <v>true</v>
      </c>
      <c r="C553" s="1278"/>
      <c r="D553" s="1278"/>
      <c r="E553" s="703">
        <v>22.5</v>
      </c>
      <c r="F553" s="50" cm="1" t="str">
        <f t="array" ref="F553:F553">OFFSET(E553,-1,1)</f>
        <v>3</v>
      </c>
      <c r="G553" s="158" t="s">
        <v>2837</v>
      </c>
      <c r="H553" s="1278"/>
      <c r="I553" s="158" t="s">
        <v>1685</v>
      </c>
      <c r="J553" s="1278"/>
      <c r="K553" s="158" t="s">
        <v>1685</v>
      </c>
      <c r="L553" s="980" t="s">
        <v>1286</v>
      </c>
      <c r="M553" s="107"/>
      <c r="N553" s="1278"/>
      <c r="O553" s="1278"/>
      <c r="P553" s="1278"/>
      <c r="Q553" s="1278"/>
      <c r="R553" s="1278"/>
      <c r="S553" s="1278"/>
      <c r="T553" s="465" cm="1" t="str">
        <f t="array" ref="T553:T553">T552</f>
        <v>true</v>
      </c>
      <c r="U553" s="1278"/>
      <c r="V553" s="1278"/>
      <c r="W553" s="1278"/>
      <c r="X553" s="1563"/>
      <c r="Y553" s="1278"/>
      <c r="Z553" s="1546"/>
      <c r="AA553" s="1278"/>
      <c r="AB553" s="299" t="s">
        <v>1686</v>
      </c>
      <c r="AC553" s="762" t="s">
        <v>2838</v>
      </c>
      <c r="AD553" s="300" t="s">
        <v>1514</v>
      </c>
      <c r="AE553" s="7773"/>
      <c r="AF553" s="7773"/>
      <c r="AG553" s="7773"/>
      <c r="AH553" s="943">
        <f>AG553-AF553</f>
        <v>0</v>
      </c>
      <c r="AI553" s="7723"/>
      <c r="AJ553" s="7723"/>
      <c r="AK553" s="7723"/>
      <c r="AL553" s="7723"/>
      <c r="AM553" s="7723"/>
      <c r="AN553" s="7723"/>
      <c r="AO553" s="1253"/>
      <c r="AP553" s="1253"/>
      <c r="AQ553" s="1253"/>
      <c r="AR553" s="1253"/>
      <c r="AS553" s="1253"/>
      <c r="AT553" s="7723"/>
      <c r="AU553" s="7723"/>
      <c r="AV553" s="7723"/>
      <c r="AW553" s="7723"/>
      <c r="AX553" s="7723"/>
      <c r="AY553" s="1253"/>
      <c r="AZ553" s="1253"/>
      <c r="BA553" s="1253"/>
      <c r="BB553" s="1253"/>
      <c r="BC553" s="1253"/>
      <c r="BD553" s="943">
        <f>IF(AI553=0,0,(AT553-AI553)/AI553*100)</f>
        <v>0</v>
      </c>
      <c r="BE553" s="943">
        <f>IF(AT553=0,0,(AU553-AT553)/AT553*100)</f>
        <v>0</v>
      </c>
      <c r="BF553" s="943">
        <f>IF(AU553=0,0,(AV553-AU553)/AU553*100)</f>
        <v>0</v>
      </c>
      <c r="BG553" s="943">
        <f>IF(AV553=0,0,(AW553-AV553)/AV553*100)</f>
        <v>0</v>
      </c>
      <c r="BH553" s="943">
        <f>IF(AW553=0,0,(AX553-AW553)/AW553*100)</f>
        <v>0</v>
      </c>
      <c r="BI553" s="943">
        <f>IF(AX553=0,0,(AY553-AX553)/AX553*100)</f>
        <v>0</v>
      </c>
      <c r="BJ553" s="943">
        <f>IF(AY553=0,0,(AZ553-AY553)/AY553*100)</f>
        <v>0</v>
      </c>
      <c r="BK553" s="943">
        <f>IF(AZ553=0,0,(BA553-AZ553)/AZ553*100)</f>
        <v>0</v>
      </c>
      <c r="BL553" s="943">
        <f>IF(BA553=0,0,(BB553-BA553)/BA553*100)</f>
        <v>0</v>
      </c>
      <c r="BM553" s="943">
        <f>IF(BB553=0,0,(BC553-BB553)/BB553*100)</f>
        <v>0</v>
      </c>
      <c r="BN553" s="7771"/>
      <c r="BO553" s="7771"/>
      <c r="BP553" s="7771"/>
      <c r="BQ553" s="1278"/>
      <c r="BR553" s="1278"/>
      <c r="BS553" s="1064" t="s">
        <v>2839</v>
      </c>
      <c r="BT553" s="1064"/>
      <c r="BU553" s="1064"/>
      <c r="BV553" s="979"/>
      <c r="BW553" s="979"/>
    </row>
    <row s="1834" customFormat="1" customHeight="1" ht="14.25">
      <c r="A554" s="1278"/>
      <c r="B554" s="432">
        <f>AND(method_reg="Метод индексации",STATUS_GO="да")</f>
        <v>1</v>
      </c>
      <c r="C554" s="1278"/>
      <c r="D554" s="1278"/>
      <c r="E554" s="703">
        <v>15</v>
      </c>
      <c r="F554" s="50" cm="1" t="str">
        <f t="array" ref="F554:F554">OFFSET(E554,-1,1)</f>
        <v>3</v>
      </c>
      <c r="G554" s="158" t="s">
        <v>2549</v>
      </c>
      <c r="H554" s="1278"/>
      <c r="I554" s="158" t="s">
        <v>1225</v>
      </c>
      <c r="J554" s="1278"/>
      <c r="K554" s="158" t="s">
        <v>1225</v>
      </c>
      <c r="L554" s="980" t="s">
        <v>1290</v>
      </c>
      <c r="M554" s="107"/>
      <c r="N554" s="1278"/>
      <c r="O554" s="1278"/>
      <c r="P554" s="1278"/>
      <c r="Q554" s="1278"/>
      <c r="R554" s="1278"/>
      <c r="S554" s="1278"/>
      <c r="T554" s="465" cm="1" t="str">
        <f t="array" ref="T554:T554">T553</f>
        <v>true</v>
      </c>
      <c r="U554" s="1278"/>
      <c r="V554" s="1278"/>
      <c r="W554" s="1278"/>
      <c r="X554" s="1563"/>
      <c r="Y554" s="1278"/>
      <c r="Z554" s="1546"/>
      <c r="AA554" s="1278"/>
      <c r="AB554" s="299" t="s">
        <v>446</v>
      </c>
      <c r="AC554" s="452" t="s">
        <v>2549</v>
      </c>
      <c r="AD554" s="300" t="s">
        <v>1514</v>
      </c>
      <c r="AE554" s="7773"/>
      <c r="AF554" s="7773"/>
      <c r="AG554" s="7773"/>
      <c r="AH554" s="943">
        <f>AG554-AF554</f>
        <v>0</v>
      </c>
      <c r="AI554" s="7723"/>
      <c r="AJ554" s="7723"/>
      <c r="AK554" s="7723"/>
      <c r="AL554" s="7723"/>
      <c r="AM554" s="7723"/>
      <c r="AN554" s="7723"/>
      <c r="AO554" s="1253"/>
      <c r="AP554" s="1253"/>
      <c r="AQ554" s="1253"/>
      <c r="AR554" s="1253"/>
      <c r="AS554" s="1253"/>
      <c r="AT554" s="7723"/>
      <c r="AU554" s="7723"/>
      <c r="AV554" s="7723"/>
      <c r="AW554" s="7723"/>
      <c r="AX554" s="7723"/>
      <c r="AY554" s="1253"/>
      <c r="AZ554" s="1253"/>
      <c r="BA554" s="1253"/>
      <c r="BB554" s="1253"/>
      <c r="BC554" s="1253"/>
      <c r="BD554" s="943">
        <f>IF(AI554=0,0,(AT554-AI554)/AI554*100)</f>
        <v>0</v>
      </c>
      <c r="BE554" s="943">
        <f>IF(AT554=0,0,(AU554-AT554)/AT554*100)</f>
        <v>0</v>
      </c>
      <c r="BF554" s="943">
        <f>IF(AU554=0,0,(AV554-AU554)/AU554*100)</f>
        <v>0</v>
      </c>
      <c r="BG554" s="943">
        <f>IF(AV554=0,0,(AW554-AV554)/AV554*100)</f>
        <v>0</v>
      </c>
      <c r="BH554" s="943">
        <f>IF(AW554=0,0,(AX554-AW554)/AW554*100)</f>
        <v>0</v>
      </c>
      <c r="BI554" s="943">
        <f>IF(AX554=0,0,(AY554-AX554)/AX554*100)</f>
        <v>0</v>
      </c>
      <c r="BJ554" s="943">
        <f>IF(AY554=0,0,(AZ554-AY554)/AY554*100)</f>
        <v>0</v>
      </c>
      <c r="BK554" s="943">
        <f>IF(AZ554=0,0,(BA554-AZ554)/AZ554*100)</f>
        <v>0</v>
      </c>
      <c r="BL554" s="943">
        <f>IF(BA554=0,0,(BB554-BA554)/BA554*100)</f>
        <v>0</v>
      </c>
      <c r="BM554" s="943">
        <f>IF(BB554=0,0,(BC554-BB554)/BB554*100)</f>
        <v>0</v>
      </c>
      <c r="BN554" s="7771"/>
      <c r="BO554" s="7771"/>
      <c r="BP554" s="7771"/>
      <c r="BQ554" s="1278"/>
      <c r="BR554" s="1278"/>
      <c r="BS554" s="1064" t="s">
        <v>2550</v>
      </c>
      <c r="BT554" s="1064"/>
      <c r="BU554" s="1064"/>
      <c r="BV554" s="979"/>
      <c r="BW554" s="979"/>
    </row>
    <row s="1834" customFormat="1" customHeight="1" ht="14.25" hidden="1">
      <c r="A555" s="1278"/>
      <c r="B555" s="975">
        <f>method_reg="Метод обеспечения доходности инвестированного капитала"</f>
        <v>0</v>
      </c>
      <c r="C555" s="1278"/>
      <c r="D555" s="1278"/>
      <c r="E555" s="703">
        <v>15</v>
      </c>
      <c r="F555" s="50" cm="1" t="str">
        <f t="array" ref="F555:F555">OFFSET(E555,-1,1)</f>
        <v>3</v>
      </c>
      <c r="G555" s="1278"/>
      <c r="H555" s="1278"/>
      <c r="I555" s="1278"/>
      <c r="J555" s="1278"/>
      <c r="K555" s="107" t="s">
        <v>336</v>
      </c>
      <c r="L555" s="980"/>
      <c r="M555" s="107"/>
      <c r="N555" s="1278"/>
      <c r="O555" s="1278"/>
      <c r="P555" s="1278"/>
      <c r="Q555" s="1278"/>
      <c r="R555" s="1278"/>
      <c r="S555" s="1278"/>
      <c r="T555" s="465" cm="1" t="str">
        <f t="array" ref="T555:T555">T554</f>
        <v>true</v>
      </c>
      <c r="U555" s="1278"/>
      <c r="V555" s="1278"/>
      <c r="W555" s="1278"/>
      <c r="X555" s="1563"/>
      <c r="Y555" s="1278"/>
      <c r="Z555" s="1546"/>
      <c r="AA555" s="1278"/>
      <c r="AB555" s="792" t="s">
        <v>295</v>
      </c>
      <c r="AC555" s="793" t="s">
        <v>2840</v>
      </c>
      <c r="AD555" s="794" t="s">
        <v>1514</v>
      </c>
      <c r="AE555" s="1246"/>
      <c r="AF555" s="1246"/>
      <c r="AG555" s="1246"/>
      <c r="AH555" s="761">
        <f>AG555-AF555</f>
        <v>0</v>
      </c>
      <c r="AI555" s="1246"/>
      <c r="AJ555" s="1246"/>
      <c r="AK555" s="1246"/>
      <c r="AL555" s="1246"/>
      <c r="AM555" s="1246"/>
      <c r="AN555" s="1246"/>
      <c r="AO555" s="1246"/>
      <c r="AP555" s="1246"/>
      <c r="AQ555" s="1246"/>
      <c r="AR555" s="1246"/>
      <c r="AS555" s="1246"/>
      <c r="AT555" s="1246"/>
      <c r="AU555" s="1246"/>
      <c r="AV555" s="1246"/>
      <c r="AW555" s="1246"/>
      <c r="AX555" s="1246"/>
      <c r="AY555" s="1246"/>
      <c r="AZ555" s="1246"/>
      <c r="BA555" s="1246"/>
      <c r="BB555" s="1246"/>
      <c r="BC555" s="1246"/>
      <c r="BD555" s="761">
        <f>IF(AI555=0,0,(AT555-AI555)/AI555*100)</f>
        <v>0</v>
      </c>
      <c r="BE555" s="761">
        <f>IF(AT555=0,0,(AU555-AT555)/AT555*100)</f>
        <v>0</v>
      </c>
      <c r="BF555" s="761">
        <f>IF(AU555=0,0,(AV555-AU555)/AU555*100)</f>
        <v>0</v>
      </c>
      <c r="BG555" s="761">
        <f>IF(AV555=0,0,(AW555-AV555)/AV555*100)</f>
        <v>0</v>
      </c>
      <c r="BH555" s="761">
        <f>IF(AW555=0,0,(AX555-AW555)/AW555*100)</f>
        <v>0</v>
      </c>
      <c r="BI555" s="761">
        <f>IF(AX555=0,0,(AY555-AX555)/AX555*100)</f>
        <v>0</v>
      </c>
      <c r="BJ555" s="761">
        <f>IF(AY555=0,0,(AZ555-AY555)/AY555*100)</f>
        <v>0</v>
      </c>
      <c r="BK555" s="761">
        <f>IF(AZ555=0,0,(BA555-AZ555)/AZ555*100)</f>
        <v>0</v>
      </c>
      <c r="BL555" s="761">
        <f>IF(BA555=0,0,(BB555-BA555)/BA555*100)</f>
        <v>0</v>
      </c>
      <c r="BM555" s="761">
        <f>IF(BB555=0,0,(BC555-BB555)/BB555*100)</f>
        <v>0</v>
      </c>
      <c r="BN555" s="1247"/>
      <c r="BO555" s="1247"/>
      <c r="BP555" s="1247"/>
      <c r="BQ555" s="1278"/>
      <c r="BR555" s="1278"/>
      <c r="BS555" s="1064" t="s">
        <v>2841</v>
      </c>
      <c r="BT555" s="1064"/>
      <c r="BU555" s="1064"/>
      <c r="BV555" s="979"/>
      <c r="BW555" s="979"/>
    </row>
    <row s="1834" customFormat="1" customHeight="1" ht="14.25" hidden="1">
      <c r="A556" s="1278"/>
      <c r="B556" s="975" cm="1" t="str">
        <f t="array" ref="B556:B556">B555</f>
        <v>false</v>
      </c>
      <c r="C556" s="1278"/>
      <c r="D556" s="1278"/>
      <c r="E556" s="703">
        <v>15</v>
      </c>
      <c r="F556" s="50" cm="1" t="str">
        <f t="array" ref="F556:F556">OFFSET(E556,-1,1)</f>
        <v>3</v>
      </c>
      <c r="G556" s="1278"/>
      <c r="H556" s="1278"/>
      <c r="I556" s="1278"/>
      <c r="J556" s="1278"/>
      <c r="K556" s="107" t="s">
        <v>1249</v>
      </c>
      <c r="L556" s="980"/>
      <c r="M556" s="107"/>
      <c r="N556" s="1278"/>
      <c r="O556" s="1278"/>
      <c r="P556" s="1278"/>
      <c r="Q556" s="1278"/>
      <c r="R556" s="1278"/>
      <c r="S556" s="1278"/>
      <c r="T556" s="465" cm="1" t="str">
        <f t="array" ref="T556:T556">T555</f>
        <v>true</v>
      </c>
      <c r="U556" s="1278"/>
      <c r="V556" s="1278"/>
      <c r="W556" s="1278"/>
      <c r="X556" s="1563"/>
      <c r="Y556" s="1278"/>
      <c r="Z556" s="1546"/>
      <c r="AA556" s="1278"/>
      <c r="AB556" s="795" t="s">
        <v>1384</v>
      </c>
      <c r="AC556" s="796" t="s">
        <v>2842</v>
      </c>
      <c r="AD556" s="797" t="s">
        <v>1514</v>
      </c>
      <c r="AE556" s="1253"/>
      <c r="AF556" s="1253"/>
      <c r="AG556" s="1253"/>
      <c r="AH556" s="942"/>
      <c r="AI556" s="1253"/>
      <c r="AJ556" s="1253"/>
      <c r="AK556" s="1253"/>
      <c r="AL556" s="1253"/>
      <c r="AM556" s="1253"/>
      <c r="AN556" s="1253"/>
      <c r="AO556" s="1253"/>
      <c r="AP556" s="1253"/>
      <c r="AQ556" s="1253"/>
      <c r="AR556" s="1253"/>
      <c r="AS556" s="1253"/>
      <c r="AT556" s="1253"/>
      <c r="AU556" s="1253"/>
      <c r="AV556" s="1253"/>
      <c r="AW556" s="1253"/>
      <c r="AX556" s="1253"/>
      <c r="AY556" s="1253"/>
      <c r="AZ556" s="1253"/>
      <c r="BA556" s="1253"/>
      <c r="BB556" s="1253"/>
      <c r="BC556" s="1253"/>
      <c r="BD556" s="942"/>
      <c r="BE556" s="942"/>
      <c r="BF556" s="942"/>
      <c r="BG556" s="942"/>
      <c r="BH556" s="942"/>
      <c r="BI556" s="942"/>
      <c r="BJ556" s="942"/>
      <c r="BK556" s="942"/>
      <c r="BL556" s="942"/>
      <c r="BM556" s="942"/>
      <c r="BN556" s="1251"/>
      <c r="BO556" s="1251"/>
      <c r="BP556" s="1251"/>
      <c r="BQ556" s="1278"/>
      <c r="BR556" s="1278"/>
      <c r="BS556" s="1064" t="s">
        <v>2843</v>
      </c>
      <c r="BT556" s="1064"/>
      <c r="BU556" s="1064"/>
      <c r="BV556" s="979"/>
      <c r="BW556" s="979"/>
    </row>
    <row s="1834" customFormat="1" customHeight="1" ht="14.25" hidden="1">
      <c r="A557" s="1278"/>
      <c r="B557" s="975" cm="1" t="str">
        <f t="array" ref="B557:B557">B556</f>
        <v>false</v>
      </c>
      <c r="C557" s="1278"/>
      <c r="D557" s="1278"/>
      <c r="E557" s="703">
        <v>15</v>
      </c>
      <c r="F557" s="50" cm="1" t="str">
        <f t="array" ref="F557:F557">OFFSET(E557,-1,1)</f>
        <v>3</v>
      </c>
      <c r="G557" s="1278"/>
      <c r="H557" s="1278"/>
      <c r="I557" s="1278"/>
      <c r="J557" s="1278"/>
      <c r="K557" s="107" t="s">
        <v>1253</v>
      </c>
      <c r="L557" s="980"/>
      <c r="M557" s="107"/>
      <c r="N557" s="1278"/>
      <c r="O557" s="1278"/>
      <c r="P557" s="1278"/>
      <c r="Q557" s="1278"/>
      <c r="R557" s="1278"/>
      <c r="S557" s="1278"/>
      <c r="T557" s="465" cm="1" t="str">
        <f t="array" ref="T557:T557">T556</f>
        <v>true</v>
      </c>
      <c r="U557" s="1278"/>
      <c r="V557" s="1278"/>
      <c r="W557" s="1278"/>
      <c r="X557" s="1563"/>
      <c r="Y557" s="1278"/>
      <c r="Z557" s="1546"/>
      <c r="AA557" s="1278"/>
      <c r="AB557" s="795" t="s">
        <v>1387</v>
      </c>
      <c r="AC557" s="796" t="s">
        <v>2844</v>
      </c>
      <c r="AD557" s="797" t="s">
        <v>2845</v>
      </c>
      <c r="AE557" s="1253"/>
      <c r="AF557" s="1253"/>
      <c r="AG557" s="1253"/>
      <c r="AH557" s="942"/>
      <c r="AI557" s="1253"/>
      <c r="AJ557" s="1253"/>
      <c r="AK557" s="1253"/>
      <c r="AL557" s="1253"/>
      <c r="AM557" s="1253"/>
      <c r="AN557" s="1253"/>
      <c r="AO557" s="1253"/>
      <c r="AP557" s="1253"/>
      <c r="AQ557" s="1253"/>
      <c r="AR557" s="1253"/>
      <c r="AS557" s="1253"/>
      <c r="AT557" s="1253"/>
      <c r="AU557" s="1253"/>
      <c r="AV557" s="1253"/>
      <c r="AW557" s="1253"/>
      <c r="AX557" s="1253"/>
      <c r="AY557" s="1253"/>
      <c r="AZ557" s="1253"/>
      <c r="BA557" s="1253"/>
      <c r="BB557" s="1253"/>
      <c r="BC557" s="1253"/>
      <c r="BD557" s="942"/>
      <c r="BE557" s="942"/>
      <c r="BF557" s="942"/>
      <c r="BG557" s="942"/>
      <c r="BH557" s="942"/>
      <c r="BI557" s="942"/>
      <c r="BJ557" s="942"/>
      <c r="BK557" s="942"/>
      <c r="BL557" s="942"/>
      <c r="BM557" s="942"/>
      <c r="BN557" s="1251"/>
      <c r="BO557" s="1251"/>
      <c r="BP557" s="1251"/>
      <c r="BQ557" s="1278"/>
      <c r="BR557" s="1278"/>
      <c r="BS557" s="1064" t="s">
        <v>2846</v>
      </c>
      <c r="BT557" s="1064"/>
      <c r="BU557" s="1064"/>
      <c r="BV557" s="979"/>
      <c r="BW557" s="979"/>
    </row>
    <row s="1834" customFormat="1" customHeight="1" ht="14.25" hidden="1">
      <c r="A558" s="1278"/>
      <c r="B558" s="975" cm="1" t="str">
        <f t="array" ref="B558:B558">B557</f>
        <v>false</v>
      </c>
      <c r="C558" s="1278"/>
      <c r="D558" s="1278"/>
      <c r="E558" s="703">
        <v>15</v>
      </c>
      <c r="F558" s="50" cm="1" t="str">
        <f t="array" ref="F558:F558">OFFSET(E558,-1,1)</f>
        <v>3</v>
      </c>
      <c r="G558" s="1278"/>
      <c r="H558" s="1278"/>
      <c r="I558" s="1278"/>
      <c r="J558" s="1278"/>
      <c r="K558" s="107" t="s">
        <v>335</v>
      </c>
      <c r="L558" s="980"/>
      <c r="M558" s="107"/>
      <c r="N558" s="1278"/>
      <c r="O558" s="1278"/>
      <c r="P558" s="1278"/>
      <c r="Q558" s="1278"/>
      <c r="R558" s="1278"/>
      <c r="S558" s="1278"/>
      <c r="T558" s="465" cm="1" t="str">
        <f t="array" ref="T558:T558">T557</f>
        <v>true</v>
      </c>
      <c r="U558" s="1278"/>
      <c r="V558" s="1278"/>
      <c r="W558" s="1278"/>
      <c r="X558" s="1563"/>
      <c r="Y558" s="1278"/>
      <c r="Z558" s="1546"/>
      <c r="AA558" s="1278"/>
      <c r="AB558" s="792" t="s">
        <v>443</v>
      </c>
      <c r="AC558" s="793" t="s">
        <v>2847</v>
      </c>
      <c r="AD558" s="794" t="s">
        <v>1514</v>
      </c>
      <c r="AE558" s="1246"/>
      <c r="AF558" s="1246"/>
      <c r="AG558" s="1246"/>
      <c r="AH558" s="761">
        <f>AG558-AF558</f>
        <v>0</v>
      </c>
      <c r="AI558" s="1246"/>
      <c r="AJ558" s="1246"/>
      <c r="AK558" s="1246"/>
      <c r="AL558" s="1246"/>
      <c r="AM558" s="1246"/>
      <c r="AN558" s="1246"/>
      <c r="AO558" s="1246"/>
      <c r="AP558" s="1246"/>
      <c r="AQ558" s="1246"/>
      <c r="AR558" s="1246"/>
      <c r="AS558" s="1246"/>
      <c r="AT558" s="1246"/>
      <c r="AU558" s="1246"/>
      <c r="AV558" s="1246"/>
      <c r="AW558" s="1246"/>
      <c r="AX558" s="1246"/>
      <c r="AY558" s="1246"/>
      <c r="AZ558" s="1246"/>
      <c r="BA558" s="1246"/>
      <c r="BB558" s="1246"/>
      <c r="BC558" s="1246"/>
      <c r="BD558" s="761">
        <f>IF(AI558=0,0,(AT558-AI558)/AI558*100)</f>
        <v>0</v>
      </c>
      <c r="BE558" s="761">
        <f>IF(AT558=0,0,(AU558-AT558)/AT558*100)</f>
        <v>0</v>
      </c>
      <c r="BF558" s="761">
        <f>IF(AU558=0,0,(AV558-AU558)/AU558*100)</f>
        <v>0</v>
      </c>
      <c r="BG558" s="761">
        <f>IF(AV558=0,0,(AW558-AV558)/AV558*100)</f>
        <v>0</v>
      </c>
      <c r="BH558" s="761">
        <f>IF(AW558=0,0,(AX558-AW558)/AW558*100)</f>
        <v>0</v>
      </c>
      <c r="BI558" s="761">
        <f>IF(AX558=0,0,(AY558-AX558)/AX558*100)</f>
        <v>0</v>
      </c>
      <c r="BJ558" s="761">
        <f>IF(AY558=0,0,(AZ558-AY558)/AY558*100)</f>
        <v>0</v>
      </c>
      <c r="BK558" s="761">
        <f>IF(AZ558=0,0,(BA558-AZ558)/AZ558*100)</f>
        <v>0</v>
      </c>
      <c r="BL558" s="761">
        <f>IF(BA558=0,0,(BB558-BA558)/BA558*100)</f>
        <v>0</v>
      </c>
      <c r="BM558" s="761">
        <f>IF(BB558=0,0,(BC558-BB558)/BB558*100)</f>
        <v>0</v>
      </c>
      <c r="BN558" s="1247"/>
      <c r="BO558" s="1247"/>
      <c r="BP558" s="1247"/>
      <c r="BQ558" s="1278"/>
      <c r="BR558" s="1278"/>
      <c r="BS558" s="1064" t="s">
        <v>2848</v>
      </c>
      <c r="BT558" s="1064"/>
      <c r="BU558" s="1064"/>
      <c r="BV558" s="979"/>
      <c r="BW558" s="979"/>
    </row>
    <row s="1834" customFormat="1" customHeight="1" ht="14.25" hidden="1">
      <c r="A559" s="1278"/>
      <c r="B559" s="975" cm="1" t="str">
        <f t="array" ref="B559:B559">B558</f>
        <v>false</v>
      </c>
      <c r="C559" s="1278"/>
      <c r="D559" s="1278"/>
      <c r="E559" s="703">
        <v>15</v>
      </c>
      <c r="F559" s="50" cm="1" t="str">
        <f t="array" ref="F559:F559">OFFSET(E559,-1,1)</f>
        <v>3</v>
      </c>
      <c r="G559" s="1278"/>
      <c r="H559" s="1278"/>
      <c r="I559" s="1278"/>
      <c r="J559" s="1278"/>
      <c r="K559" s="107" t="s">
        <v>1263</v>
      </c>
      <c r="L559" s="980"/>
      <c r="M559" s="107"/>
      <c r="N559" s="1278"/>
      <c r="O559" s="1278"/>
      <c r="P559" s="1278"/>
      <c r="Q559" s="1278"/>
      <c r="R559" s="1278"/>
      <c r="S559" s="1278"/>
      <c r="T559" s="465" cm="1" t="str">
        <f t="array" ref="T559:T559">T558</f>
        <v>true</v>
      </c>
      <c r="U559" s="1278"/>
      <c r="V559" s="1278"/>
      <c r="W559" s="1278"/>
      <c r="X559" s="1563"/>
      <c r="Y559" s="1278"/>
      <c r="Z559" s="1546"/>
      <c r="AA559" s="1278"/>
      <c r="AB559" s="795" t="s">
        <v>1391</v>
      </c>
      <c r="AC559" s="796" t="s">
        <v>2849</v>
      </c>
      <c r="AD559" s="797" t="s">
        <v>1514</v>
      </c>
      <c r="AE559" s="1253"/>
      <c r="AF559" s="1253"/>
      <c r="AG559" s="1253"/>
      <c r="AH559" s="942"/>
      <c r="AI559" s="1253"/>
      <c r="AJ559" s="1253"/>
      <c r="AK559" s="1253"/>
      <c r="AL559" s="1253"/>
      <c r="AM559" s="1253"/>
      <c r="AN559" s="1253"/>
      <c r="AO559" s="1253"/>
      <c r="AP559" s="1253"/>
      <c r="AQ559" s="1253"/>
      <c r="AR559" s="1253"/>
      <c r="AS559" s="1253"/>
      <c r="AT559" s="1253"/>
      <c r="AU559" s="1253"/>
      <c r="AV559" s="1253"/>
      <c r="AW559" s="1253"/>
      <c r="AX559" s="1253"/>
      <c r="AY559" s="1253"/>
      <c r="AZ559" s="1253"/>
      <c r="BA559" s="1253"/>
      <c r="BB559" s="1253"/>
      <c r="BC559" s="1253"/>
      <c r="BD559" s="942"/>
      <c r="BE559" s="942"/>
      <c r="BF559" s="942"/>
      <c r="BG559" s="942"/>
      <c r="BH559" s="942"/>
      <c r="BI559" s="942"/>
      <c r="BJ559" s="942"/>
      <c r="BK559" s="942"/>
      <c r="BL559" s="942"/>
      <c r="BM559" s="942"/>
      <c r="BN559" s="1251"/>
      <c r="BO559" s="1251"/>
      <c r="BP559" s="1251"/>
      <c r="BQ559" s="1278"/>
      <c r="BR559" s="1278"/>
      <c r="BS559" s="1064" t="s">
        <v>2850</v>
      </c>
      <c r="BT559" s="1064"/>
      <c r="BU559" s="1064"/>
      <c r="BV559" s="979"/>
      <c r="BW559" s="979"/>
    </row>
    <row s="1834" customFormat="1" customHeight="1" ht="14.25" hidden="1">
      <c r="A560" s="1278"/>
      <c r="B560" s="975" cm="1" t="str">
        <f t="array" ref="B560:B560">B559</f>
        <v>false</v>
      </c>
      <c r="C560" s="1278"/>
      <c r="D560" s="1278"/>
      <c r="E560" s="703">
        <v>15</v>
      </c>
      <c r="F560" s="50" cm="1" t="str">
        <f t="array" ref="F560:F560">OFFSET(E560,-1,1)</f>
        <v>3</v>
      </c>
      <c r="G560" s="1278"/>
      <c r="H560" s="1278"/>
      <c r="I560" s="1278"/>
      <c r="J560" s="1278"/>
      <c r="K560" s="107" t="s">
        <v>1267</v>
      </c>
      <c r="L560" s="980"/>
      <c r="M560" s="107"/>
      <c r="N560" s="1278"/>
      <c r="O560" s="1278"/>
      <c r="P560" s="1278"/>
      <c r="Q560" s="1278"/>
      <c r="R560" s="1278"/>
      <c r="S560" s="1278"/>
      <c r="T560" s="465" cm="1" t="str">
        <f t="array" ref="T560:T560">T559</f>
        <v>true</v>
      </c>
      <c r="U560" s="1278"/>
      <c r="V560" s="1278"/>
      <c r="W560" s="1278"/>
      <c r="X560" s="1563"/>
      <c r="Y560" s="1278"/>
      <c r="Z560" s="1546"/>
      <c r="AA560" s="1278"/>
      <c r="AB560" s="795" t="s">
        <v>1394</v>
      </c>
      <c r="AC560" s="796" t="s">
        <v>2851</v>
      </c>
      <c r="AD560" s="797" t="s">
        <v>1170</v>
      </c>
      <c r="AE560" s="1253"/>
      <c r="AF560" s="1253"/>
      <c r="AG560" s="1253"/>
      <c r="AH560" s="942"/>
      <c r="AI560" s="1253"/>
      <c r="AJ560" s="1253"/>
      <c r="AK560" s="1253"/>
      <c r="AL560" s="1253"/>
      <c r="AM560" s="1253"/>
      <c r="AN560" s="1253"/>
      <c r="AO560" s="1253"/>
      <c r="AP560" s="1253"/>
      <c r="AQ560" s="1253"/>
      <c r="AR560" s="1253"/>
      <c r="AS560" s="1253"/>
      <c r="AT560" s="1253"/>
      <c r="AU560" s="1253"/>
      <c r="AV560" s="1253"/>
      <c r="AW560" s="1253"/>
      <c r="AX560" s="1253"/>
      <c r="AY560" s="1253"/>
      <c r="AZ560" s="1253"/>
      <c r="BA560" s="1253"/>
      <c r="BB560" s="1253"/>
      <c r="BC560" s="1253"/>
      <c r="BD560" s="942"/>
      <c r="BE560" s="942"/>
      <c r="BF560" s="942"/>
      <c r="BG560" s="942"/>
      <c r="BH560" s="942"/>
      <c r="BI560" s="942"/>
      <c r="BJ560" s="942"/>
      <c r="BK560" s="942"/>
      <c r="BL560" s="942"/>
      <c r="BM560" s="942"/>
      <c r="BN560" s="1251"/>
      <c r="BO560" s="1251"/>
      <c r="BP560" s="1251"/>
      <c r="BQ560" s="1278"/>
      <c r="BR560" s="1278"/>
      <c r="BS560" s="1064" t="s">
        <v>2852</v>
      </c>
      <c r="BT560" s="1064"/>
      <c r="BU560" s="1064"/>
      <c r="BV560" s="979"/>
      <c r="BW560" s="979"/>
    </row>
    <row s="1834" customFormat="1" customHeight="1" ht="14.25" hidden="1">
      <c r="A561" s="1278"/>
      <c r="B561" s="975" cm="1" t="str">
        <f t="array" ref="B561:B561">B560</f>
        <v>false</v>
      </c>
      <c r="C561" s="1278"/>
      <c r="D561" s="1278"/>
      <c r="E561" s="703">
        <v>15</v>
      </c>
      <c r="F561" s="50" cm="1" t="str">
        <f t="array" ref="F561:F561">OFFSET(E561,-1,1)</f>
        <v>3</v>
      </c>
      <c r="G561" s="1278"/>
      <c r="H561" s="1278"/>
      <c r="I561" s="1278"/>
      <c r="J561" s="1278"/>
      <c r="K561" s="107" t="s">
        <v>1479</v>
      </c>
      <c r="L561" s="980"/>
      <c r="M561" s="107"/>
      <c r="N561" s="1278"/>
      <c r="O561" s="1278"/>
      <c r="P561" s="1278"/>
      <c r="Q561" s="1278"/>
      <c r="R561" s="1278"/>
      <c r="S561" s="1278"/>
      <c r="T561" s="465" cm="1" t="str">
        <f t="array" ref="T561:T561">T560</f>
        <v>true</v>
      </c>
      <c r="U561" s="1278"/>
      <c r="V561" s="1278"/>
      <c r="W561" s="1278"/>
      <c r="X561" s="1563"/>
      <c r="Y561" s="1278"/>
      <c r="Z561" s="1546"/>
      <c r="AA561" s="1278"/>
      <c r="AB561" s="795" t="s">
        <v>1683</v>
      </c>
      <c r="AC561" s="796" t="s">
        <v>2853</v>
      </c>
      <c r="AD561" s="797" t="s">
        <v>1514</v>
      </c>
      <c r="AE561" s="1253"/>
      <c r="AF561" s="1253"/>
      <c r="AG561" s="1253"/>
      <c r="AH561" s="942"/>
      <c r="AI561" s="1253"/>
      <c r="AJ561" s="1253"/>
      <c r="AK561" s="1253"/>
      <c r="AL561" s="1253"/>
      <c r="AM561" s="1253"/>
      <c r="AN561" s="1253"/>
      <c r="AO561" s="1253"/>
      <c r="AP561" s="1253"/>
      <c r="AQ561" s="1253"/>
      <c r="AR561" s="1253"/>
      <c r="AS561" s="1253"/>
      <c r="AT561" s="1253"/>
      <c r="AU561" s="1253"/>
      <c r="AV561" s="1253"/>
      <c r="AW561" s="1253"/>
      <c r="AX561" s="1253"/>
      <c r="AY561" s="1253"/>
      <c r="AZ561" s="1253"/>
      <c r="BA561" s="1253"/>
      <c r="BB561" s="1253"/>
      <c r="BC561" s="1253"/>
      <c r="BD561" s="942"/>
      <c r="BE561" s="942"/>
      <c r="BF561" s="942"/>
      <c r="BG561" s="942"/>
      <c r="BH561" s="942"/>
      <c r="BI561" s="942"/>
      <c r="BJ561" s="942"/>
      <c r="BK561" s="942"/>
      <c r="BL561" s="942"/>
      <c r="BM561" s="942"/>
      <c r="BN561" s="1251"/>
      <c r="BO561" s="1251"/>
      <c r="BP561" s="1251"/>
      <c r="BQ561" s="1278"/>
      <c r="BR561" s="1278"/>
      <c r="BS561" s="1064" t="s">
        <v>2854</v>
      </c>
      <c r="BT561" s="1064"/>
      <c r="BU561" s="1064"/>
      <c r="BV561" s="979"/>
      <c r="BW561" s="979"/>
    </row>
    <row s="1834" customFormat="1" customHeight="1" ht="14.25" hidden="1">
      <c r="A562" s="1278"/>
      <c r="B562" s="975" cm="1" t="str">
        <f t="array" ref="B562:B562">B561</f>
        <v>false</v>
      </c>
      <c r="C562" s="1278"/>
      <c r="D562" s="1278"/>
      <c r="E562" s="703">
        <v>15</v>
      </c>
      <c r="F562" s="50" cm="1" t="str">
        <f t="array" ref="F562:F562">OFFSET(E562,-1,1)</f>
        <v>3</v>
      </c>
      <c r="G562" s="1278"/>
      <c r="H562" s="1278"/>
      <c r="I562" s="1278"/>
      <c r="J562" s="1278"/>
      <c r="K562" s="107" t="s">
        <v>1685</v>
      </c>
      <c r="L562" s="980"/>
      <c r="M562" s="107"/>
      <c r="N562" s="1278"/>
      <c r="O562" s="1278"/>
      <c r="P562" s="1278"/>
      <c r="Q562" s="1278"/>
      <c r="R562" s="1278"/>
      <c r="S562" s="1278"/>
      <c r="T562" s="465" cm="1" t="str">
        <f t="array" ref="T562:T562">T561</f>
        <v>true</v>
      </c>
      <c r="U562" s="1278"/>
      <c r="V562" s="1278"/>
      <c r="W562" s="1278"/>
      <c r="X562" s="1563"/>
      <c r="Y562" s="1278"/>
      <c r="Z562" s="1546"/>
      <c r="AA562" s="1278"/>
      <c r="AB562" s="795" t="s">
        <v>1686</v>
      </c>
      <c r="AC562" s="796" t="s">
        <v>2855</v>
      </c>
      <c r="AD562" s="797" t="s">
        <v>1514</v>
      </c>
      <c r="AE562" s="1253"/>
      <c r="AF562" s="1253"/>
      <c r="AG562" s="1253"/>
      <c r="AH562" s="942"/>
      <c r="AI562" s="1253"/>
      <c r="AJ562" s="1253"/>
      <c r="AK562" s="1253"/>
      <c r="AL562" s="1253"/>
      <c r="AM562" s="1253"/>
      <c r="AN562" s="1253"/>
      <c r="AO562" s="1253"/>
      <c r="AP562" s="1253"/>
      <c r="AQ562" s="1253"/>
      <c r="AR562" s="1253"/>
      <c r="AS562" s="1253"/>
      <c r="AT562" s="1253"/>
      <c r="AU562" s="1253"/>
      <c r="AV562" s="1253"/>
      <c r="AW562" s="1253"/>
      <c r="AX562" s="1253"/>
      <c r="AY562" s="1253"/>
      <c r="AZ562" s="1253"/>
      <c r="BA562" s="1253"/>
      <c r="BB562" s="1253"/>
      <c r="BC562" s="1253"/>
      <c r="BD562" s="942"/>
      <c r="BE562" s="942"/>
      <c r="BF562" s="942"/>
      <c r="BG562" s="942"/>
      <c r="BH562" s="942"/>
      <c r="BI562" s="942"/>
      <c r="BJ562" s="942"/>
      <c r="BK562" s="942"/>
      <c r="BL562" s="942"/>
      <c r="BM562" s="942"/>
      <c r="BN562" s="1251"/>
      <c r="BO562" s="1251"/>
      <c r="BP562" s="1251"/>
      <c r="BQ562" s="1278"/>
      <c r="BR562" s="1278"/>
      <c r="BS562" s="1064" t="s">
        <v>2856</v>
      </c>
      <c r="BT562" s="1064"/>
      <c r="BU562" s="1064"/>
      <c r="BV562" s="979"/>
      <c r="BW562" s="979"/>
    </row>
    <row s="1834" customFormat="1" customHeight="1" ht="14.25" hidden="1">
      <c r="A563" s="1278"/>
      <c r="B563" s="975" cm="1" t="str">
        <f t="array" ref="B563:B563">B562</f>
        <v>false</v>
      </c>
      <c r="C563" s="1278"/>
      <c r="D563" s="1278"/>
      <c r="E563" s="703">
        <v>15</v>
      </c>
      <c r="F563" s="50" cm="1" t="str">
        <f t="array" ref="F563:F563">OFFSET(E563,-1,1)</f>
        <v>3</v>
      </c>
      <c r="G563" s="1278"/>
      <c r="H563" s="1278"/>
      <c r="I563" s="1278"/>
      <c r="J563" s="1278"/>
      <c r="K563" s="107" t="s">
        <v>2857</v>
      </c>
      <c r="L563" s="980"/>
      <c r="M563" s="107"/>
      <c r="N563" s="1278"/>
      <c r="O563" s="1278"/>
      <c r="P563" s="1278"/>
      <c r="Q563" s="1278"/>
      <c r="R563" s="1278"/>
      <c r="S563" s="1278"/>
      <c r="T563" s="465" cm="1" t="str">
        <f t="array" ref="T563:T563">T562</f>
        <v>true</v>
      </c>
      <c r="U563" s="1278"/>
      <c r="V563" s="1278"/>
      <c r="W563" s="1278"/>
      <c r="X563" s="1563"/>
      <c r="Y563" s="1278"/>
      <c r="Z563" s="1546"/>
      <c r="AA563" s="1278"/>
      <c r="AB563" s="795" t="s">
        <v>2858</v>
      </c>
      <c r="AC563" s="798" t="s">
        <v>2859</v>
      </c>
      <c r="AD563" s="797" t="s">
        <v>1170</v>
      </c>
      <c r="AE563" s="1253"/>
      <c r="AF563" s="1253"/>
      <c r="AG563" s="1253"/>
      <c r="AH563" s="942"/>
      <c r="AI563" s="1253"/>
      <c r="AJ563" s="1253"/>
      <c r="AK563" s="1253"/>
      <c r="AL563" s="1253"/>
      <c r="AM563" s="1253"/>
      <c r="AN563" s="1253"/>
      <c r="AO563" s="1253"/>
      <c r="AP563" s="1253"/>
      <c r="AQ563" s="1253"/>
      <c r="AR563" s="1253"/>
      <c r="AS563" s="1253"/>
      <c r="AT563" s="1253"/>
      <c r="AU563" s="1253"/>
      <c r="AV563" s="1253"/>
      <c r="AW563" s="1253"/>
      <c r="AX563" s="1253"/>
      <c r="AY563" s="1253"/>
      <c r="AZ563" s="1253"/>
      <c r="BA563" s="1253"/>
      <c r="BB563" s="1253"/>
      <c r="BC563" s="1253"/>
      <c r="BD563" s="942"/>
      <c r="BE563" s="942"/>
      <c r="BF563" s="942"/>
      <c r="BG563" s="942"/>
      <c r="BH563" s="942"/>
      <c r="BI563" s="942"/>
      <c r="BJ563" s="942"/>
      <c r="BK563" s="942"/>
      <c r="BL563" s="942"/>
      <c r="BM563" s="942"/>
      <c r="BN563" s="1251"/>
      <c r="BO563" s="1251"/>
      <c r="BP563" s="1251"/>
      <c r="BQ563" s="1278"/>
      <c r="BR563" s="1278"/>
      <c r="BS563" s="1064" t="s">
        <v>2860</v>
      </c>
      <c r="BT563" s="1064"/>
      <c r="BU563" s="1064"/>
      <c r="BV563" s="979"/>
      <c r="BW563" s="979"/>
    </row>
    <row s="1834" customFormat="1" customHeight="1" ht="14.25" hidden="1">
      <c r="A564" s="1278"/>
      <c r="B564" s="975" cm="1" t="str">
        <f t="array" ref="B564:B564">B563</f>
        <v>false</v>
      </c>
      <c r="C564" s="1278"/>
      <c r="D564" s="1278"/>
      <c r="E564" s="703">
        <v>15</v>
      </c>
      <c r="F564" s="50" cm="1" t="str">
        <f t="array" ref="F564:F564">OFFSET(E564,-1,1)</f>
        <v>3</v>
      </c>
      <c r="G564" s="1278"/>
      <c r="H564" s="1278"/>
      <c r="I564" s="1278"/>
      <c r="J564" s="1278"/>
      <c r="K564" s="107" t="s">
        <v>1688</v>
      </c>
      <c r="L564" s="980"/>
      <c r="M564" s="107"/>
      <c r="N564" s="1278"/>
      <c r="O564" s="1278"/>
      <c r="P564" s="1278"/>
      <c r="Q564" s="1278"/>
      <c r="R564" s="1278"/>
      <c r="S564" s="1278"/>
      <c r="T564" s="465" cm="1" t="str">
        <f t="array" ref="T564:T564">T563</f>
        <v>true</v>
      </c>
      <c r="U564" s="1278"/>
      <c r="V564" s="1278"/>
      <c r="W564" s="1278"/>
      <c r="X564" s="1563"/>
      <c r="Y564" s="1278"/>
      <c r="Z564" s="1546"/>
      <c r="AA564" s="1278"/>
      <c r="AB564" s="795" t="s">
        <v>1689</v>
      </c>
      <c r="AC564" s="796" t="s">
        <v>2861</v>
      </c>
      <c r="AD564" s="797" t="s">
        <v>1170</v>
      </c>
      <c r="AE564" s="1253"/>
      <c r="AF564" s="1253"/>
      <c r="AG564" s="1253"/>
      <c r="AH564" s="942"/>
      <c r="AI564" s="1253"/>
      <c r="AJ564" s="1253"/>
      <c r="AK564" s="1253"/>
      <c r="AL564" s="1253"/>
      <c r="AM564" s="1253"/>
      <c r="AN564" s="1253"/>
      <c r="AO564" s="1253"/>
      <c r="AP564" s="1253"/>
      <c r="AQ564" s="1253"/>
      <c r="AR564" s="1253"/>
      <c r="AS564" s="1253"/>
      <c r="AT564" s="1253"/>
      <c r="AU564" s="1253"/>
      <c r="AV564" s="1253"/>
      <c r="AW564" s="1253"/>
      <c r="AX564" s="1253"/>
      <c r="AY564" s="1253"/>
      <c r="AZ564" s="1253"/>
      <c r="BA564" s="1253"/>
      <c r="BB564" s="1253"/>
      <c r="BC564" s="1253"/>
      <c r="BD564" s="942"/>
      <c r="BE564" s="942"/>
      <c r="BF564" s="942"/>
      <c r="BG564" s="942"/>
      <c r="BH564" s="942"/>
      <c r="BI564" s="942"/>
      <c r="BJ564" s="942"/>
      <c r="BK564" s="942"/>
      <c r="BL564" s="942"/>
      <c r="BM564" s="942"/>
      <c r="BN564" s="1251"/>
      <c r="BO564" s="1251"/>
      <c r="BP564" s="1251"/>
      <c r="BQ564" s="1278"/>
      <c r="BR564" s="1278"/>
      <c r="BS564" s="1064" t="s">
        <v>2862</v>
      </c>
      <c r="BT564" s="1064"/>
      <c r="BU564" s="1064"/>
      <c r="BV564" s="979"/>
      <c r="BW564" s="979"/>
    </row>
    <row s="1834" customFormat="1" customHeight="1" ht="14.25" hidden="1">
      <c r="A565" s="1278"/>
      <c r="B565" s="975" cm="1" t="str">
        <f t="array" ref="B565:B565">B564</f>
        <v>false</v>
      </c>
      <c r="C565" s="1278"/>
      <c r="D565" s="1278"/>
      <c r="E565" s="703">
        <v>15</v>
      </c>
      <c r="F565" s="50" cm="1" t="str">
        <f t="array" ref="F565:F565">OFFSET(E565,-1,1)</f>
        <v>3</v>
      </c>
      <c r="G565" s="1278"/>
      <c r="H565" s="1278"/>
      <c r="I565" s="1278"/>
      <c r="J565" s="1278"/>
      <c r="K565" s="107" t="s">
        <v>2863</v>
      </c>
      <c r="L565" s="980"/>
      <c r="M565" s="107"/>
      <c r="N565" s="1278"/>
      <c r="O565" s="1278"/>
      <c r="P565" s="1278"/>
      <c r="Q565" s="1278"/>
      <c r="R565" s="1278"/>
      <c r="S565" s="1278"/>
      <c r="T565" s="465" cm="1" t="str">
        <f t="array" ref="T565:T565">T564</f>
        <v>true</v>
      </c>
      <c r="U565" s="1278"/>
      <c r="V565" s="1278"/>
      <c r="W565" s="1278"/>
      <c r="X565" s="1563"/>
      <c r="Y565" s="1278"/>
      <c r="Z565" s="1546"/>
      <c r="AA565" s="1278"/>
      <c r="AB565" s="795" t="s">
        <v>2864</v>
      </c>
      <c r="AC565" s="798" t="s">
        <v>2865</v>
      </c>
      <c r="AD565" s="797" t="s">
        <v>1170</v>
      </c>
      <c r="AE565" s="1253"/>
      <c r="AF565" s="1253"/>
      <c r="AG565" s="1253"/>
      <c r="AH565" s="942"/>
      <c r="AI565" s="1253"/>
      <c r="AJ565" s="1253"/>
      <c r="AK565" s="1253"/>
      <c r="AL565" s="1253"/>
      <c r="AM565" s="1253"/>
      <c r="AN565" s="1253"/>
      <c r="AO565" s="1253"/>
      <c r="AP565" s="1253"/>
      <c r="AQ565" s="1253"/>
      <c r="AR565" s="1253"/>
      <c r="AS565" s="1253"/>
      <c r="AT565" s="1253"/>
      <c r="AU565" s="1253"/>
      <c r="AV565" s="1253"/>
      <c r="AW565" s="1253"/>
      <c r="AX565" s="1253"/>
      <c r="AY565" s="1253"/>
      <c r="AZ565" s="1253"/>
      <c r="BA565" s="1253"/>
      <c r="BB565" s="1253"/>
      <c r="BC565" s="1253"/>
      <c r="BD565" s="942"/>
      <c r="BE565" s="942"/>
      <c r="BF565" s="942"/>
      <c r="BG565" s="942"/>
      <c r="BH565" s="942"/>
      <c r="BI565" s="942"/>
      <c r="BJ565" s="942"/>
      <c r="BK565" s="942"/>
      <c r="BL565" s="942"/>
      <c r="BM565" s="942"/>
      <c r="BN565" s="1251"/>
      <c r="BO565" s="1251"/>
      <c r="BP565" s="1251"/>
      <c r="BQ565" s="1278"/>
      <c r="BR565" s="1278"/>
      <c r="BS565" s="1064" t="s">
        <v>2866</v>
      </c>
      <c r="BT565" s="1064"/>
      <c r="BU565" s="1064"/>
      <c r="BV565" s="979"/>
      <c r="BW565" s="979"/>
    </row>
    <row s="1834" customFormat="1" customHeight="1" ht="14.25" hidden="1">
      <c r="A566" s="1278"/>
      <c r="B566" s="975" cm="1" t="str">
        <f t="array" ref="B566:B566">B565</f>
        <v>false</v>
      </c>
      <c r="C566" s="1278"/>
      <c r="D566" s="1278"/>
      <c r="E566" s="703">
        <v>15</v>
      </c>
      <c r="F566" s="50" cm="1" t="str">
        <f t="array" ref="F566:F566">OFFSET(E566,-1,1)</f>
        <v>3</v>
      </c>
      <c r="G566" s="1278"/>
      <c r="H566" s="1278"/>
      <c r="I566" s="1278"/>
      <c r="J566" s="1278"/>
      <c r="K566" s="107" t="s">
        <v>2867</v>
      </c>
      <c r="L566" s="980"/>
      <c r="M566" s="107"/>
      <c r="N566" s="1278"/>
      <c r="O566" s="1278"/>
      <c r="P566" s="1278"/>
      <c r="Q566" s="1278"/>
      <c r="R566" s="1278"/>
      <c r="S566" s="1278"/>
      <c r="T566" s="465" cm="1" t="str">
        <f t="array" ref="T566:T566">T565</f>
        <v>true</v>
      </c>
      <c r="U566" s="1278"/>
      <c r="V566" s="1278"/>
      <c r="W566" s="1278"/>
      <c r="X566" s="1563"/>
      <c r="Y566" s="1278"/>
      <c r="Z566" s="1546"/>
      <c r="AA566" s="1278"/>
      <c r="AB566" s="795" t="s">
        <v>2868</v>
      </c>
      <c r="AC566" s="798" t="s">
        <v>2869</v>
      </c>
      <c r="AD566" s="797" t="s">
        <v>1170</v>
      </c>
      <c r="AE566" s="1253"/>
      <c r="AF566" s="1253"/>
      <c r="AG566" s="1253"/>
      <c r="AH566" s="942"/>
      <c r="AI566" s="1253"/>
      <c r="AJ566" s="1253"/>
      <c r="AK566" s="1253"/>
      <c r="AL566" s="1253"/>
      <c r="AM566" s="1253"/>
      <c r="AN566" s="1253"/>
      <c r="AO566" s="1253"/>
      <c r="AP566" s="1253"/>
      <c r="AQ566" s="1253"/>
      <c r="AR566" s="1253"/>
      <c r="AS566" s="1253"/>
      <c r="AT566" s="1253"/>
      <c r="AU566" s="1253"/>
      <c r="AV566" s="1253"/>
      <c r="AW566" s="1253"/>
      <c r="AX566" s="1253"/>
      <c r="AY566" s="1253"/>
      <c r="AZ566" s="1253"/>
      <c r="BA566" s="1253"/>
      <c r="BB566" s="1253"/>
      <c r="BC566" s="1253"/>
      <c r="BD566" s="942"/>
      <c r="BE566" s="942"/>
      <c r="BF566" s="942"/>
      <c r="BG566" s="942"/>
      <c r="BH566" s="942"/>
      <c r="BI566" s="942"/>
      <c r="BJ566" s="942"/>
      <c r="BK566" s="942"/>
      <c r="BL566" s="942"/>
      <c r="BM566" s="942"/>
      <c r="BN566" s="1251"/>
      <c r="BO566" s="1251"/>
      <c r="BP566" s="1251"/>
      <c r="BQ566" s="1278"/>
      <c r="BR566" s="1278"/>
      <c r="BS566" s="1064" t="s">
        <v>2870</v>
      </c>
      <c r="BT566" s="1064"/>
      <c r="BU566" s="1064"/>
      <c r="BV566" s="979"/>
      <c r="BW566" s="979"/>
    </row>
    <row s="7900" customFormat="1" customHeight="1" ht="20.25">
      <c r="A567" s="700"/>
      <c r="B567" s="435"/>
      <c r="C567" s="700"/>
      <c r="D567" s="109" t="str">
        <f>IF(B566,"6","7")</f>
        <v>7</v>
      </c>
      <c r="E567" s="707">
        <v>21</v>
      </c>
      <c r="F567" s="50" cm="1" t="str">
        <f t="array" ref="F567:F567">OFFSET(E567,-1,1)</f>
        <v>3</v>
      </c>
      <c r="G567" s="158" t="s">
        <v>2871</v>
      </c>
      <c r="H567" s="158"/>
      <c r="I567" s="380" t="s">
        <v>2872</v>
      </c>
      <c r="J567" s="700"/>
      <c r="K567" s="380" t="s">
        <v>2872</v>
      </c>
      <c r="L567" s="985"/>
      <c r="M567" s="109"/>
      <c r="N567" s="700"/>
      <c r="O567" s="700"/>
      <c r="P567" s="700"/>
      <c r="Q567" s="700"/>
      <c r="R567" s="700"/>
      <c r="S567" s="700"/>
      <c r="T567" s="465" cm="1" t="str">
        <f t="array" ref="T567:T567">T566</f>
        <v>true</v>
      </c>
      <c r="U567" s="700"/>
      <c r="V567" s="700"/>
      <c r="W567" s="700"/>
      <c r="X567" s="1563"/>
      <c r="Y567" s="700"/>
      <c r="Z567" s="1546"/>
      <c r="AA567" s="700"/>
      <c r="AB567" s="211" cm="1" t="str">
        <f t="array" ref="AB567:AB567">D567</f>
        <v>7</v>
      </c>
      <c r="AC567" s="219" t="s">
        <v>2323</v>
      </c>
      <c r="AD567" s="211" t="s">
        <v>1514</v>
      </c>
      <c r="AE567" s="7432"/>
      <c r="AF567" s="7432"/>
      <c r="AG567" s="7432"/>
      <c r="AH567" s="761">
        <f>AG567-AF567</f>
        <v>0</v>
      </c>
      <c r="AI567" s="7719"/>
      <c r="AJ567" s="7782">
        <f>_xlfn.SUMIFS('Корректировка НВВ'!$AF$25:$AF$282,'Корректировка НВВ'!$F$25:$F$282,$F567,'Корректировка НВВ'!$I$25:$I$282,$G567)</f>
        <v>0</v>
      </c>
      <c r="AK567" s="7719"/>
      <c r="AL567" s="7719"/>
      <c r="AM567" s="7719"/>
      <c r="AN567" s="7719"/>
      <c r="AO567" s="1246"/>
      <c r="AP567" s="1246"/>
      <c r="AQ567" s="1246"/>
      <c r="AR567" s="1246"/>
      <c r="AS567" s="1246"/>
      <c r="AT567" s="7782">
        <f>_xlfn.SUMIFS('Корректировка НВВ'!$AG$25:$AG$282,'Корректировка НВВ'!$F$25:$F$282,$F567,'Корректировка НВВ'!$I$25:$I$282,$G567)</f>
        <v>0</v>
      </c>
      <c r="AU567" s="7719"/>
      <c r="AV567" s="7719"/>
      <c r="AW567" s="7719"/>
      <c r="AX567" s="7719"/>
      <c r="AY567" s="1246"/>
      <c r="AZ567" s="1246"/>
      <c r="BA567" s="1246"/>
      <c r="BB567" s="1246"/>
      <c r="BC567" s="1246"/>
      <c r="BD567" s="761">
        <f>IF(AI567=0,0,(AT567-AI567)/AI567*100)</f>
        <v>0</v>
      </c>
      <c r="BE567" s="761">
        <f>IF(AT567=0,0,(AU567-AT567)/AT567*100)</f>
        <v>0</v>
      </c>
      <c r="BF567" s="761">
        <f>IF(AU567=0,0,(AV567-AU567)/AU567*100)</f>
        <v>0</v>
      </c>
      <c r="BG567" s="761">
        <f>IF(AV567=0,0,(AW567-AV567)/AV567*100)</f>
        <v>0</v>
      </c>
      <c r="BH567" s="761">
        <f>IF(AW567=0,0,(AX567-AW567)/AW567*100)</f>
        <v>0</v>
      </c>
      <c r="BI567" s="761">
        <f>IF(AX567=0,0,(AY567-AX567)/AX567*100)</f>
        <v>0</v>
      </c>
      <c r="BJ567" s="761">
        <f>IF(AY567=0,0,(AZ567-AY567)/AY567*100)</f>
        <v>0</v>
      </c>
      <c r="BK567" s="761">
        <f>IF(AZ567=0,0,(BA567-AZ567)/AZ567*100)</f>
        <v>0</v>
      </c>
      <c r="BL567" s="761">
        <f>IF(BA567=0,0,(BB567-BA567)/BA567*100)</f>
        <v>0</v>
      </c>
      <c r="BM567" s="761">
        <f>IF(BB567=0,0,(BC567-BB567)/BB567*100)</f>
        <v>0</v>
      </c>
      <c r="BN567" s="7436"/>
      <c r="BO567" s="7724" t="str">
        <f>IF(_xlfn.IFERROR(INDEX('Корректировка НВВ'!$K$26:$L$282,MATCH($F567&amp;"11komm",'Корректировка НВВ'!$K$26:$K$282,0),2),"")=0,"",_xlfn.IFERROR(INDEX('Корректировка НВВ'!$K$26:$L$282,MATCH($F567&amp;"11komm",'Корректировка НВВ'!$K$26:$K$282,0),2),""))</f>
        <v/>
      </c>
      <c r="BP567" s="7436"/>
      <c r="BQ567" s="700"/>
      <c r="BR567" s="700"/>
      <c r="BS567" s="1070" t="s">
        <v>2873</v>
      </c>
      <c r="BT567" s="1070"/>
      <c r="BU567" s="1070"/>
      <c r="BV567" s="707"/>
      <c r="BW567" s="707"/>
    </row>
    <row s="1834" customFormat="1" customHeight="1" ht="14.25">
      <c r="A568" s="1278"/>
      <c r="B568" s="978"/>
      <c r="C568" s="1278"/>
      <c r="D568" s="107" cm="1" t="str">
        <f t="array" ref="D568:D568">D567</f>
        <v>7</v>
      </c>
      <c r="E568" s="703">
        <v>15</v>
      </c>
      <c r="F568" s="50" cm="1" t="str">
        <f t="array" ref="F568:F568">OFFSET(E568,-1,1)</f>
        <v>3</v>
      </c>
      <c r="G568" s="1278"/>
      <c r="H568" s="1278"/>
      <c r="I568" s="1278"/>
      <c r="J568" s="1278"/>
      <c r="K568" s="1278"/>
      <c r="L568" s="980"/>
      <c r="M568" s="107"/>
      <c r="N568" s="1278"/>
      <c r="O568" s="1278"/>
      <c r="P568" s="1278"/>
      <c r="Q568" s="1278"/>
      <c r="R568" s="1278"/>
      <c r="S568" s="1278"/>
      <c r="T568" s="465" cm="1" t="str">
        <f t="array" ref="T568:T568">T567</f>
        <v>true</v>
      </c>
      <c r="U568" s="1278"/>
      <c r="V568" s="1278"/>
      <c r="W568" s="1278"/>
      <c r="X568" s="1563"/>
      <c r="Y568" s="1278"/>
      <c r="Z568" s="1546"/>
      <c r="AA568" s="1278"/>
      <c r="AB568" s="300"/>
      <c r="AC568" s="452" t="s">
        <v>2874</v>
      </c>
      <c r="AD568" s="300"/>
      <c r="AE568" s="945"/>
      <c r="AF568" s="945"/>
      <c r="AG568" s="945"/>
      <c r="AH568" s="942"/>
      <c r="AI568" s="942"/>
      <c r="AJ568" s="942"/>
      <c r="AK568" s="942"/>
      <c r="AL568" s="942"/>
      <c r="AM568" s="942"/>
      <c r="AN568" s="942"/>
      <c r="AO568" s="942"/>
      <c r="AP568" s="942"/>
      <c r="AQ568" s="942"/>
      <c r="AR568" s="942"/>
      <c r="AS568" s="942"/>
      <c r="AT568" s="942"/>
      <c r="AU568" s="942"/>
      <c r="AV568" s="942"/>
      <c r="AW568" s="942"/>
      <c r="AX568" s="942"/>
      <c r="AY568" s="942"/>
      <c r="AZ568" s="942"/>
      <c r="BA568" s="942"/>
      <c r="BB568" s="942"/>
      <c r="BC568" s="942"/>
      <c r="BD568" s="942"/>
      <c r="BE568" s="942"/>
      <c r="BF568" s="942"/>
      <c r="BG568" s="942"/>
      <c r="BH568" s="942"/>
      <c r="BI568" s="942"/>
      <c r="BJ568" s="942"/>
      <c r="BK568" s="942"/>
      <c r="BL568" s="942"/>
      <c r="BM568" s="942"/>
      <c r="BN568" s="526"/>
      <c r="BO568" s="526"/>
      <c r="BP568" s="526"/>
      <c r="BQ568" s="1278"/>
      <c r="BR568" s="1278"/>
      <c r="BS568" s="1064"/>
      <c r="BT568" s="1064"/>
      <c r="BU568" s="1064"/>
      <c r="BV568" s="979"/>
      <c r="BW568" s="979"/>
    </row>
    <row s="1834" customFormat="1" customHeight="1" ht="21.75">
      <c r="A569" s="1278"/>
      <c r="B569" s="978"/>
      <c r="C569" s="1278"/>
      <c r="D569" s="107" cm="1" t="str">
        <f t="array" ref="D569:D569">D568</f>
        <v>7</v>
      </c>
      <c r="E569" s="703">
        <v>22.5</v>
      </c>
      <c r="F569" s="50" cm="1" t="str">
        <f t="array" ref="F569:F569">OFFSET(E569,-1,1)</f>
        <v>3</v>
      </c>
      <c r="G569" s="158" t="s">
        <v>375</v>
      </c>
      <c r="H569" s="1278"/>
      <c r="I569" s="158" t="s">
        <v>1228</v>
      </c>
      <c r="J569" s="1278"/>
      <c r="K569" s="158" t="s">
        <v>1228</v>
      </c>
      <c r="L569" s="980"/>
      <c r="M569" s="107"/>
      <c r="N569" s="1278"/>
      <c r="O569" s="1278"/>
      <c r="P569" s="1278"/>
      <c r="Q569" s="1278"/>
      <c r="R569" s="1278"/>
      <c r="S569" s="1278"/>
      <c r="T569" s="465" cm="1" t="str">
        <f t="array" ref="T569:T569">T568</f>
        <v>true</v>
      </c>
      <c r="U569" s="1278"/>
      <c r="V569" s="1278"/>
      <c r="W569" s="1278"/>
      <c r="X569" s="1563"/>
      <c r="Y569" s="1278"/>
      <c r="Z569" s="1546"/>
      <c r="AA569" s="1278"/>
      <c r="AB569" s="300" t="str">
        <f>D569&amp;".1"</f>
        <v>7.1</v>
      </c>
      <c r="AC569" s="762" t="s">
        <v>2875</v>
      </c>
      <c r="AD569" s="300" t="s">
        <v>1514</v>
      </c>
      <c r="AE569" s="7773"/>
      <c r="AF569" s="7773"/>
      <c r="AG569" s="7773"/>
      <c r="AH569" s="943">
        <f>AG569-AF569</f>
        <v>0</v>
      </c>
      <c r="AI569" s="7723"/>
      <c r="AJ569" s="7723">
        <f>_xlfn.SUMIFS('Корректировка НВВ'!$AF$25:$AF$282,'Корректировка НВВ'!$F$25:$F$282,$F569,'Корректировка НВВ'!$I$25:$I$282,$G569)</f>
        <v>0</v>
      </c>
      <c r="AK569" s="7723"/>
      <c r="AL569" s="7723"/>
      <c r="AM569" s="7723"/>
      <c r="AN569" s="7723"/>
      <c r="AO569" s="1253"/>
      <c r="AP569" s="1253"/>
      <c r="AQ569" s="1253"/>
      <c r="AR569" s="1253"/>
      <c r="AS569" s="1253"/>
      <c r="AT569" s="7723">
        <f>_xlfn.SUMIFS('Корректировка НВВ'!$AG$25:$AG$282,'Корректировка НВВ'!$F$25:$F$282,$F569,'Корректировка НВВ'!$I$25:$I$282,$G569)</f>
        <v>0</v>
      </c>
      <c r="AU569" s="7723"/>
      <c r="AV569" s="7723"/>
      <c r="AW569" s="7723"/>
      <c r="AX569" s="7723"/>
      <c r="AY569" s="1253"/>
      <c r="AZ569" s="1253"/>
      <c r="BA569" s="1253"/>
      <c r="BB569" s="1253"/>
      <c r="BC569" s="1253"/>
      <c r="BD569" s="942"/>
      <c r="BE569" s="942"/>
      <c r="BF569" s="942"/>
      <c r="BG569" s="942"/>
      <c r="BH569" s="942"/>
      <c r="BI569" s="942"/>
      <c r="BJ569" s="942"/>
      <c r="BK569" s="942"/>
      <c r="BL569" s="942"/>
      <c r="BM569" s="942"/>
      <c r="BN569" s="7771"/>
      <c r="BO569" s="7724" t="str">
        <f>IF(_xlfn.IFERROR(INDEX('Корректировка НВВ'!$K$26:$L$282,MATCH($F569&amp;"1komm",'Корректировка НВВ'!$K$26:$K$282,0),2),"")=0,"",_xlfn.IFERROR(INDEX('Корректировка НВВ'!$K$26:$L$282,MATCH($F569&amp;"1komm",'Корректировка НВВ'!$K$26:$K$282,0),2),""))</f>
        <v/>
      </c>
      <c r="BP569" s="7771"/>
      <c r="BQ569" s="1278"/>
      <c r="BR569" s="1278"/>
      <c r="BS569" s="1064" t="s">
        <v>2876</v>
      </c>
      <c r="BT569" s="1064"/>
      <c r="BU569" s="1064"/>
      <c r="BV569" s="979"/>
      <c r="BW569" s="979"/>
    </row>
    <row s="1834" customFormat="1" customHeight="1" ht="98.25">
      <c r="A570" s="1278"/>
      <c r="B570" s="978"/>
      <c r="C570" s="1278"/>
      <c r="D570" s="107" cm="1" t="str">
        <f t="array" ref="D570:D570">D569</f>
        <v>7</v>
      </c>
      <c r="E570" s="703">
        <v>101.25</v>
      </c>
      <c r="F570" s="50" cm="1" t="str">
        <f t="array" ref="F570:F570">OFFSET(E570,-1,1)</f>
        <v>3</v>
      </c>
      <c r="G570" s="158" t="s">
        <v>2877</v>
      </c>
      <c r="H570" s="1278"/>
      <c r="I570" s="158" t="s">
        <v>1275</v>
      </c>
      <c r="J570" s="1278"/>
      <c r="K570" s="158" t="s">
        <v>1275</v>
      </c>
      <c r="L570" s="980"/>
      <c r="M570" s="107"/>
      <c r="N570" s="1278"/>
      <c r="O570" s="1278"/>
      <c r="P570" s="1278"/>
      <c r="Q570" s="1278"/>
      <c r="R570" s="1278"/>
      <c r="S570" s="1278"/>
      <c r="T570" s="465" cm="1" t="str">
        <f t="array" ref="T570:T570">T569</f>
        <v>true</v>
      </c>
      <c r="U570" s="1278"/>
      <c r="V570" s="1278"/>
      <c r="W570" s="1278"/>
      <c r="X570" s="1563"/>
      <c r="Y570" s="1278"/>
      <c r="Z570" s="1546"/>
      <c r="AA570" s="1278"/>
      <c r="AB570" s="300" t="str">
        <f>D570&amp;".2"</f>
        <v>7.2</v>
      </c>
      <c r="AC570" s="762" t="s">
        <v>2878</v>
      </c>
      <c r="AD570" s="300" t="s">
        <v>1514</v>
      </c>
      <c r="AE570" s="7773"/>
      <c r="AF570" s="7773"/>
      <c r="AG570" s="7773"/>
      <c r="AH570" s="943">
        <f>AG570-AF570</f>
        <v>0</v>
      </c>
      <c r="AI570" s="7723"/>
      <c r="AJ570" s="7723">
        <f>_xlfn.SUMIFS('Корректировка НВВ'!$AF$25:$AF$282,'Корректировка НВВ'!$F$25:$F$282,$F570,'Корректировка НВВ'!$I$25:$I$282,$G570)</f>
        <v>0</v>
      </c>
      <c r="AK570" s="7723"/>
      <c r="AL570" s="7723"/>
      <c r="AM570" s="7723"/>
      <c r="AN570" s="7723"/>
      <c r="AO570" s="1253"/>
      <c r="AP570" s="1253"/>
      <c r="AQ570" s="1253"/>
      <c r="AR570" s="1253"/>
      <c r="AS570" s="1253"/>
      <c r="AT570" s="7723">
        <f>_xlfn.SUMIFS('Корректировка НВВ'!$AG$25:$AG$282,'Корректировка НВВ'!$F$25:$F$282,$F570,'Корректировка НВВ'!$I$25:$I$282,$G570)</f>
        <v>0</v>
      </c>
      <c r="AU570" s="7723"/>
      <c r="AV570" s="7723"/>
      <c r="AW570" s="7723"/>
      <c r="AX570" s="7723"/>
      <c r="AY570" s="1253"/>
      <c r="AZ570" s="1253"/>
      <c r="BA570" s="1253"/>
      <c r="BB570" s="1253"/>
      <c r="BC570" s="1253"/>
      <c r="BD570" s="942"/>
      <c r="BE570" s="942"/>
      <c r="BF570" s="942"/>
      <c r="BG570" s="942"/>
      <c r="BH570" s="942"/>
      <c r="BI570" s="942"/>
      <c r="BJ570" s="942"/>
      <c r="BK570" s="942"/>
      <c r="BL570" s="942"/>
      <c r="BM570" s="942"/>
      <c r="BN570" s="7771"/>
      <c r="BO570" s="7724" t="str">
        <f>IF(_xlfn.IFERROR(INDEX('Корректировка НВВ'!$K$26:$L$282,MATCH($F570&amp;"2komm",'Корректировка НВВ'!$K$26:$K$282,0),2),"")=0,"",_xlfn.IFERROR(INDEX('Корректировка НВВ'!$K$26:$L$282,MATCH($F570&amp;"2komm",'Корректировка НВВ'!$K$26:$K$282,0),2),""))</f>
        <v/>
      </c>
      <c r="BP570" s="7771"/>
      <c r="BQ570" s="1278"/>
      <c r="BR570" s="1278"/>
      <c r="BS570" s="1064" t="s">
        <v>2879</v>
      </c>
      <c r="BT570" s="1064"/>
      <c r="BU570" s="1064"/>
      <c r="BV570" s="979"/>
      <c r="BW570" s="979"/>
    </row>
    <row s="1834" customFormat="1" customHeight="1" ht="43.5">
      <c r="A571" s="1278"/>
      <c r="B571" s="978"/>
      <c r="C571" s="1278"/>
      <c r="D571" s="107" cm="1" t="str">
        <f t="array" ref="D571:D571">D570</f>
        <v>7</v>
      </c>
      <c r="E571" s="703">
        <v>45</v>
      </c>
      <c r="F571" s="50" cm="1" t="str">
        <f t="array" ref="F571:F571">OFFSET(E571,-1,1)</f>
        <v>3</v>
      </c>
      <c r="G571" s="1278"/>
      <c r="H571" s="1278"/>
      <c r="I571" s="158" t="s">
        <v>1290</v>
      </c>
      <c r="J571" s="1278"/>
      <c r="K571" s="158" t="s">
        <v>1290</v>
      </c>
      <c r="L571" s="980"/>
      <c r="M571" s="107"/>
      <c r="N571" s="1278"/>
      <c r="O571" s="1278"/>
      <c r="P571" s="1278"/>
      <c r="Q571" s="1278"/>
      <c r="R571" s="1278"/>
      <c r="S571" s="1278"/>
      <c r="T571" s="465" cm="1" t="str">
        <f t="array" ref="T571:T571">T570</f>
        <v>true</v>
      </c>
      <c r="U571" s="1278"/>
      <c r="V571" s="1278"/>
      <c r="W571" s="1278"/>
      <c r="X571" s="1563"/>
      <c r="Y571" s="1278"/>
      <c r="Z571" s="1546"/>
      <c r="AA571" s="1278"/>
      <c r="AB571" s="300" t="str">
        <f>D571&amp;".3"</f>
        <v>7.3</v>
      </c>
      <c r="AC571" s="762" t="s">
        <v>2880</v>
      </c>
      <c r="AD571" s="300" t="s">
        <v>1514</v>
      </c>
      <c r="AE571" s="7773"/>
      <c r="AF571" s="7773"/>
      <c r="AG571" s="7773"/>
      <c r="AH571" s="943">
        <f>AG571-AF571</f>
        <v>0</v>
      </c>
      <c r="AI571" s="7723"/>
      <c r="AJ571" s="7723">
        <f>_xlfn.SUMIFS('Корректировка НВВ'!$AF$25:$AF$282,'Корректировка НВВ'!$F$25:$F$282,$F571,'Корректировка НВВ'!$I$25:$I$282,"L1")+_xlfn.SUMIFS('Корректировка НВВ'!$AF$25:$AF$282,'Корректировка НВВ'!$F$25:$F$282,$F571,'Корректировка НВВ'!$I$25:$I$282,"L2")</f>
        <v>0</v>
      </c>
      <c r="AK571" s="7723"/>
      <c r="AL571" s="7723"/>
      <c r="AM571" s="7723"/>
      <c r="AN571" s="7723"/>
      <c r="AO571" s="1253"/>
      <c r="AP571" s="1253"/>
      <c r="AQ571" s="1253"/>
      <c r="AR571" s="1253"/>
      <c r="AS571" s="1253"/>
      <c r="AT571" s="7723">
        <f>_xlfn.SUMIFS('Корректировка НВВ'!$AG$25:$AG$282,'Корректировка НВВ'!$F$25:$F$282,$F571,'Корректировка НВВ'!$I$25:$I$282,"L1")+_xlfn.SUMIFS('Корректировка НВВ'!$AF$25:$AF$282,'Корректировка НВВ'!$F$25:$F$282,$F571,'Корректировка НВВ'!$I$25:$I$282,"L2")</f>
        <v>0</v>
      </c>
      <c r="AU571" s="7723"/>
      <c r="AV571" s="7723"/>
      <c r="AW571" s="7723"/>
      <c r="AX571" s="7723"/>
      <c r="AY571" s="1253"/>
      <c r="AZ571" s="1253"/>
      <c r="BA571" s="1253"/>
      <c r="BB571" s="1253"/>
      <c r="BC571" s="1253"/>
      <c r="BD571" s="942"/>
      <c r="BE571" s="942"/>
      <c r="BF571" s="942"/>
      <c r="BG571" s="942"/>
      <c r="BH571" s="942"/>
      <c r="BI571" s="942"/>
      <c r="BJ571" s="942"/>
      <c r="BK571" s="942"/>
      <c r="BL571" s="942"/>
      <c r="BM571" s="942"/>
      <c r="BN571" s="7771"/>
      <c r="BO571" s="7724"/>
      <c r="BP571" s="7771"/>
      <c r="BQ571" s="1278"/>
      <c r="BR571" s="1278"/>
      <c r="BS571" s="1064" t="s">
        <v>2881</v>
      </c>
      <c r="BT571" s="1064"/>
      <c r="BU571" s="1064"/>
      <c r="BV571" s="979"/>
      <c r="BW571" s="979"/>
    </row>
    <row s="1834" customFormat="1" customHeight="1" ht="87.75">
      <c r="A572" s="1278"/>
      <c r="B572" s="445">
        <f>S459="Водоотведение"</f>
        <v>1</v>
      </c>
      <c r="C572" s="1278"/>
      <c r="D572" s="107" cm="1" t="str">
        <f t="array" ref="D572:D572">D571</f>
        <v>7</v>
      </c>
      <c r="E572" s="703">
        <v>90</v>
      </c>
      <c r="F572" s="50" cm="1" t="str">
        <f t="array" ref="F572:F572">OFFSET(E572,-1,1)</f>
        <v>3</v>
      </c>
      <c r="G572" s="158" t="s">
        <v>2882</v>
      </c>
      <c r="H572" s="49"/>
      <c r="I572" s="158" t="s">
        <v>1456</v>
      </c>
      <c r="J572" s="1278"/>
      <c r="K572" s="158" t="s">
        <v>1456</v>
      </c>
      <c r="L572" s="980" t="s">
        <v>1454</v>
      </c>
      <c r="M572" s="107"/>
      <c r="N572" s="1278"/>
      <c r="O572" s="1278"/>
      <c r="P572" s="1278"/>
      <c r="Q572" s="1278"/>
      <c r="R572" s="1278"/>
      <c r="S572" s="1278"/>
      <c r="T572" s="465" cm="1" t="str">
        <f t="array" ref="T572:T572">T571</f>
        <v>true</v>
      </c>
      <c r="U572" s="1278"/>
      <c r="V572" s="1278"/>
      <c r="W572" s="1278"/>
      <c r="X572" s="1563"/>
      <c r="Y572" s="1278"/>
      <c r="Z572" s="1546"/>
      <c r="AA572" s="1278"/>
      <c r="AB572" s="300" t="str">
        <f>D572&amp;".4"</f>
        <v>7.4</v>
      </c>
      <c r="AC572" s="762" t="s">
        <v>2552</v>
      </c>
      <c r="AD572" s="766" t="s">
        <v>1514</v>
      </c>
      <c r="AE572" s="7773"/>
      <c r="AF572" s="7773"/>
      <c r="AG572" s="7773"/>
      <c r="AH572" s="943">
        <f>AG572-AF572</f>
        <v>0</v>
      </c>
      <c r="AI572" s="7723"/>
      <c r="AJ572" s="7723">
        <f>_xlfn.SUMIFS('Корректировка НВВ'!$AF$25:$AF$282,'Корректировка НВВ'!$F$25:$F$282,$F572,'Корректировка НВВ'!$I$25:$I$282,$G572)</f>
        <v>0</v>
      </c>
      <c r="AK572" s="7723"/>
      <c r="AL572" s="7723"/>
      <c r="AM572" s="7723"/>
      <c r="AN572" s="7723"/>
      <c r="AO572" s="1253"/>
      <c r="AP572" s="1253"/>
      <c r="AQ572" s="1253"/>
      <c r="AR572" s="1253"/>
      <c r="AS572" s="1253"/>
      <c r="AT572" s="7723">
        <f>_xlfn.SUMIFS('Корректировка НВВ'!$AG$25:$AG$282,'Корректировка НВВ'!$F$25:$F$282,$F572,'Корректировка НВВ'!$I$25:$I$282,$G572)</f>
        <v>0</v>
      </c>
      <c r="AU572" s="7723"/>
      <c r="AV572" s="7723"/>
      <c r="AW572" s="7723"/>
      <c r="AX572" s="7723"/>
      <c r="AY572" s="1253"/>
      <c r="AZ572" s="1253"/>
      <c r="BA572" s="1253"/>
      <c r="BB572" s="1253"/>
      <c r="BC572" s="1253"/>
      <c r="BD572" s="942"/>
      <c r="BE572" s="942"/>
      <c r="BF572" s="942"/>
      <c r="BG572" s="942"/>
      <c r="BH572" s="942"/>
      <c r="BI572" s="942"/>
      <c r="BJ572" s="942"/>
      <c r="BK572" s="942"/>
      <c r="BL572" s="942"/>
      <c r="BM572" s="942"/>
      <c r="BN572" s="7771"/>
      <c r="BO572" s="7724" t="str">
        <f>IF(_xlfn.IFERROR(INDEX('Корректировка НВВ'!$K$26:$L$282,MATCH($F572&amp;"3komm",'Корректировка НВВ'!$K$26:$K$282,0),2),"")=0,"",_xlfn.IFERROR(INDEX('Корректировка НВВ'!$K$26:$L$282,MATCH($F572&amp;"3komm",'Корректировка НВВ'!$K$26:$K$282,0),2),""))</f>
        <v/>
      </c>
      <c r="BP572" s="7771"/>
      <c r="BQ572" s="1278"/>
      <c r="BR572" s="1278"/>
      <c r="BS572" s="1064" t="s">
        <v>2098</v>
      </c>
      <c r="BT572" s="1064"/>
      <c r="BU572" s="1064"/>
      <c r="BV572" s="979"/>
      <c r="BW572" s="979"/>
    </row>
    <row s="1834" customFormat="1" customHeight="1" ht="54.75">
      <c r="A573" s="1278"/>
      <c r="B573" s="445" cm="1" t="str">
        <f t="array" ref="B573:B573">B572</f>
        <v>true</v>
      </c>
      <c r="C573" s="1278"/>
      <c r="D573" s="107" cm="1" t="str">
        <f t="array" ref="D573:D573">D572</f>
        <v>7</v>
      </c>
      <c r="E573" s="703">
        <v>56.25</v>
      </c>
      <c r="F573" s="50" cm="1" t="str">
        <f t="array" ref="F573:F573">OFFSET(E573,-1,1)</f>
        <v>3</v>
      </c>
      <c r="G573" s="158" t="s">
        <v>2883</v>
      </c>
      <c r="H573" s="49"/>
      <c r="I573" s="158" t="s">
        <v>1492</v>
      </c>
      <c r="J573" s="1278"/>
      <c r="K573" s="158" t="s">
        <v>1492</v>
      </c>
      <c r="L573" s="980" t="s">
        <v>1456</v>
      </c>
      <c r="M573" s="107"/>
      <c r="N573" s="1278"/>
      <c r="O573" s="1278"/>
      <c r="P573" s="1278"/>
      <c r="Q573" s="1278"/>
      <c r="R573" s="1278"/>
      <c r="S573" s="1278"/>
      <c r="T573" s="465" cm="1" t="str">
        <f t="array" ref="T573:T573">T572</f>
        <v>true</v>
      </c>
      <c r="U573" s="1278"/>
      <c r="V573" s="1278"/>
      <c r="W573" s="1278"/>
      <c r="X573" s="1563"/>
      <c r="Y573" s="1278"/>
      <c r="Z573" s="1546"/>
      <c r="AA573" s="1278"/>
      <c r="AB573" s="300" t="str">
        <f>D573&amp;".5"</f>
        <v>7.5</v>
      </c>
      <c r="AC573" s="762" t="s">
        <v>2553</v>
      </c>
      <c r="AD573" s="766" t="s">
        <v>1514</v>
      </c>
      <c r="AE573" s="7773"/>
      <c r="AF573" s="7773"/>
      <c r="AG573" s="7773"/>
      <c r="AH573" s="943">
        <f>AG573-AF573</f>
        <v>0</v>
      </c>
      <c r="AI573" s="7723"/>
      <c r="AJ573" s="7723">
        <f>_xlfn.SUMIFS('Корректировка НВВ'!$AF$25:$AF$282,'Корректировка НВВ'!$F$25:$F$282,$F573,'Корректировка НВВ'!$I$25:$I$282,$G573)</f>
        <v>0</v>
      </c>
      <c r="AK573" s="7723"/>
      <c r="AL573" s="7723"/>
      <c r="AM573" s="7723"/>
      <c r="AN573" s="7723"/>
      <c r="AO573" s="1253"/>
      <c r="AP573" s="1253"/>
      <c r="AQ573" s="1253"/>
      <c r="AR573" s="1253"/>
      <c r="AS573" s="1253"/>
      <c r="AT573" s="7723">
        <f>_xlfn.SUMIFS('Корректировка НВВ'!$AG$25:$AG$282,'Корректировка НВВ'!$F$25:$F$282,$F573,'Корректировка НВВ'!$I$25:$I$282,$G573)</f>
        <v>0</v>
      </c>
      <c r="AU573" s="7723"/>
      <c r="AV573" s="7723"/>
      <c r="AW573" s="7723"/>
      <c r="AX573" s="7723"/>
      <c r="AY573" s="1253"/>
      <c r="AZ573" s="1253"/>
      <c r="BA573" s="1253"/>
      <c r="BB573" s="1253"/>
      <c r="BC573" s="1253"/>
      <c r="BD573" s="942"/>
      <c r="BE573" s="942"/>
      <c r="BF573" s="942"/>
      <c r="BG573" s="942"/>
      <c r="BH573" s="942"/>
      <c r="BI573" s="942"/>
      <c r="BJ573" s="942"/>
      <c r="BK573" s="942"/>
      <c r="BL573" s="942"/>
      <c r="BM573" s="942"/>
      <c r="BN573" s="7771"/>
      <c r="BO573" s="7724" t="str">
        <f>IF(_xlfn.IFERROR(INDEX('Корректировка НВВ'!$K$26:$L$282,MATCH($F573&amp;"4komm",'Корректировка НВВ'!$K$26:$K$282,0),2),"")=0,"",_xlfn.IFERROR(INDEX('Корректировка НВВ'!$K$26:$L$282,MATCH($F573&amp;"4komm",'Корректировка НВВ'!$K$26:$K$282,0),2),""))</f>
        <v/>
      </c>
      <c r="BP573" s="7771"/>
      <c r="BQ573" s="1278"/>
      <c r="BR573" s="1278"/>
      <c r="BS573" s="1064" t="s">
        <v>2102</v>
      </c>
      <c r="BT573" s="1064"/>
      <c r="BU573" s="1064"/>
      <c r="BV573" s="979"/>
      <c r="BW573" s="979"/>
    </row>
    <row s="1834" customFormat="1" customHeight="1" ht="14.25">
      <c r="A574" s="1278"/>
      <c r="B574" s="978"/>
      <c r="C574" s="1278"/>
      <c r="D574" s="107" cm="1" t="str">
        <f t="array" ref="D574:D574">D573</f>
        <v>7</v>
      </c>
      <c r="E574" s="703">
        <v>15</v>
      </c>
      <c r="F574" s="50" cm="1" t="str">
        <f t="array" ref="F574:F574">OFFSET(E574,-1,1)</f>
        <v>3</v>
      </c>
      <c r="G574" s="158" t="s">
        <v>2884</v>
      </c>
      <c r="H574" s="1278"/>
      <c r="I574" s="158" t="s">
        <v>1493</v>
      </c>
      <c r="J574" s="1278"/>
      <c r="K574" s="158" t="s">
        <v>1493</v>
      </c>
      <c r="L574" s="980" t="s">
        <v>1492</v>
      </c>
      <c r="M574" s="107"/>
      <c r="N574" s="1278"/>
      <c r="O574" s="1278"/>
      <c r="P574" s="1278"/>
      <c r="Q574" s="1278"/>
      <c r="R574" s="1278"/>
      <c r="S574" s="1278"/>
      <c r="T574" s="465" cm="1" t="str">
        <f t="array" ref="T574:T574">T573</f>
        <v>true</v>
      </c>
      <c r="U574" s="1278"/>
      <c r="V574" s="1278"/>
      <c r="W574" s="1278"/>
      <c r="X574" s="1563"/>
      <c r="Y574" s="1278"/>
      <c r="Z574" s="1546"/>
      <c r="AA574" s="1278"/>
      <c r="AB574" s="300" t="str">
        <f>IF(B573,D574&amp;".6",D574&amp;".4")</f>
        <v>7.6</v>
      </c>
      <c r="AC574" s="762" t="s">
        <v>2316</v>
      </c>
      <c r="AD574" s="300" t="s">
        <v>1514</v>
      </c>
      <c r="AE574" s="7773"/>
      <c r="AF574" s="7773"/>
      <c r="AG574" s="7773"/>
      <c r="AH574" s="943">
        <f>AG574-AF574</f>
        <v>0</v>
      </c>
      <c r="AI574" s="7723"/>
      <c r="AJ574" s="7723">
        <f>_xlfn.SUMIFS('Корректировка НВВ'!$AF$25:$AF$282,'Корректировка НВВ'!$F$25:$F$282,$F574,'Корректировка НВВ'!$I$25:$I$282,$G574)</f>
        <v>0</v>
      </c>
      <c r="AK574" s="7723"/>
      <c r="AL574" s="7723"/>
      <c r="AM574" s="7723"/>
      <c r="AN574" s="7723"/>
      <c r="AO574" s="1253"/>
      <c r="AP574" s="1253"/>
      <c r="AQ574" s="1253"/>
      <c r="AR574" s="1253"/>
      <c r="AS574" s="1253"/>
      <c r="AT574" s="7723">
        <f>_xlfn.SUMIFS('Корректировка НВВ'!$AG$25:$AG$282,'Корректировка НВВ'!$F$25:$F$282,$F574,'Корректировка НВВ'!$I$25:$I$282,$G574)</f>
        <v>0</v>
      </c>
      <c r="AU574" s="7723"/>
      <c r="AV574" s="7723"/>
      <c r="AW574" s="7723"/>
      <c r="AX574" s="7723"/>
      <c r="AY574" s="1253"/>
      <c r="AZ574" s="1253"/>
      <c r="BA574" s="1253"/>
      <c r="BB574" s="1253"/>
      <c r="BC574" s="1253"/>
      <c r="BD574" s="942"/>
      <c r="BE574" s="942"/>
      <c r="BF574" s="942"/>
      <c r="BG574" s="942"/>
      <c r="BH574" s="942"/>
      <c r="BI574" s="942"/>
      <c r="BJ574" s="942"/>
      <c r="BK574" s="942"/>
      <c r="BL574" s="942"/>
      <c r="BM574" s="942"/>
      <c r="BN574" s="7771"/>
      <c r="BO574" s="7724" t="str">
        <f>IF(_xlfn.IFERROR(INDEX('Корректировка НВВ'!$K$26:$L$282,MATCH($F574&amp;"5komm",'Корректировка НВВ'!$K$26:$K$282,0),2),"")=0,"",_xlfn.IFERROR(INDEX('Корректировка НВВ'!$K$26:$L$282,MATCH($F574&amp;"5komm",'Корректировка НВВ'!$K$26:$K$282,0),2),""))</f>
        <v/>
      </c>
      <c r="BP574" s="7771"/>
      <c r="BQ574" s="1278"/>
      <c r="BR574" s="1278"/>
      <c r="BS574" s="1064" t="s">
        <v>2885</v>
      </c>
      <c r="BT574" s="1064"/>
      <c r="BU574" s="1064"/>
      <c r="BV574" s="979"/>
      <c r="BW574" s="979"/>
    </row>
    <row s="1834" customFormat="1" customHeight="1" ht="14.25">
      <c r="A575" s="1278"/>
      <c r="B575" s="978"/>
      <c r="C575" s="1278"/>
      <c r="D575" s="107" cm="1" t="str">
        <f t="array" ref="D575:D575">D574</f>
        <v>7</v>
      </c>
      <c r="E575" s="703">
        <v>15</v>
      </c>
      <c r="F575" s="50" cm="1" t="str">
        <f t="array" ref="F575:F575">OFFSET(E575,-1,1)</f>
        <v>3</v>
      </c>
      <c r="G575" s="158" t="s">
        <v>2886</v>
      </c>
      <c r="H575" s="1278"/>
      <c r="I575" s="158" t="s">
        <v>2561</v>
      </c>
      <c r="J575" s="1278"/>
      <c r="K575" s="158" t="s">
        <v>2561</v>
      </c>
      <c r="L575" s="980" t="s">
        <v>1493</v>
      </c>
      <c r="M575" s="107"/>
      <c r="N575" s="1278"/>
      <c r="O575" s="1278"/>
      <c r="P575" s="1278"/>
      <c r="Q575" s="1278"/>
      <c r="R575" s="1278"/>
      <c r="S575" s="1278"/>
      <c r="T575" s="465" cm="1" t="str">
        <f t="array" ref="T575:T575">T574</f>
        <v>true</v>
      </c>
      <c r="U575" s="1278"/>
      <c r="V575" s="1278"/>
      <c r="W575" s="1278"/>
      <c r="X575" s="1563"/>
      <c r="Y575" s="1278"/>
      <c r="Z575" s="1546"/>
      <c r="AA575" s="1278"/>
      <c r="AB575" s="300" t="str">
        <f>IF(B573,D574&amp;".7",D574&amp;".5")</f>
        <v>7.7</v>
      </c>
      <c r="AC575" s="762" t="s">
        <v>2278</v>
      </c>
      <c r="AD575" s="300" t="s">
        <v>1514</v>
      </c>
      <c r="AE575" s="7773">
        <f>AE576+AE577</f>
        <v>0</v>
      </c>
      <c r="AF575" s="7773">
        <f>AF576+AF577</f>
        <v>0</v>
      </c>
      <c r="AG575" s="7773">
        <f>AG576+AG577</f>
        <v>0</v>
      </c>
      <c r="AH575" s="943">
        <f>AG575-AF575</f>
        <v>0</v>
      </c>
      <c r="AI575" s="7723">
        <f>AI576+AI577</f>
        <v>0</v>
      </c>
      <c r="AJ575" s="7723">
        <f>_xlfn.SUMIFS('Корректировка НВВ'!$AF$25:$AF$282,'Корректировка НВВ'!$F$25:$F$282,$F575,'Корректировка НВВ'!$I$25:$I$282,$G575)</f>
        <v>0</v>
      </c>
      <c r="AK575" s="7723">
        <f>AK576+AK577</f>
        <v>0</v>
      </c>
      <c r="AL575" s="7723">
        <f>AL576+AL577</f>
        <v>0</v>
      </c>
      <c r="AM575" s="7723">
        <f>AM576+AM577</f>
        <v>0</v>
      </c>
      <c r="AN575" s="7723">
        <f>AN576+AN577</f>
        <v>0</v>
      </c>
      <c r="AO575" s="1253">
        <f>AO576+AO577</f>
        <v>0</v>
      </c>
      <c r="AP575" s="1253">
        <f>AP576+AP577</f>
        <v>0</v>
      </c>
      <c r="AQ575" s="1253">
        <f>AQ576+AQ577</f>
        <v>0</v>
      </c>
      <c r="AR575" s="1253">
        <f>AR576+AR577</f>
        <v>0</v>
      </c>
      <c r="AS575" s="1253">
        <f>AS576+AS577</f>
        <v>0</v>
      </c>
      <c r="AT575" s="7723">
        <f>_xlfn.SUMIFS('Корректировка НВВ'!$AG$25:$AG$282,'Корректировка НВВ'!$F$25:$F$282,$F575,'Корректировка НВВ'!$I$25:$I$282,$G575)</f>
        <v>0</v>
      </c>
      <c r="AU575" s="7723">
        <f>AU576+AU577</f>
        <v>0</v>
      </c>
      <c r="AV575" s="7723">
        <f>AV576+AV577</f>
        <v>0</v>
      </c>
      <c r="AW575" s="7723">
        <f>AW576+AW577</f>
        <v>0</v>
      </c>
      <c r="AX575" s="7723">
        <f>AX576+AX577</f>
        <v>0</v>
      </c>
      <c r="AY575" s="1253">
        <f>AY576+AY577</f>
        <v>0</v>
      </c>
      <c r="AZ575" s="1253">
        <f>AZ576+AZ577</f>
        <v>0</v>
      </c>
      <c r="BA575" s="1253">
        <f>BA576+BA577</f>
        <v>0</v>
      </c>
      <c r="BB575" s="1253">
        <f>BB576+BB577</f>
        <v>0</v>
      </c>
      <c r="BC575" s="1253">
        <f>BC576+BC577</f>
        <v>0</v>
      </c>
      <c r="BD575" s="943">
        <f>IF(AI575=0,0,(AT575-AI575)/AI575*100)</f>
        <v>0</v>
      </c>
      <c r="BE575" s="943">
        <f>IF(AT575=0,0,(AU575-AT575)/AT575*100)</f>
        <v>0</v>
      </c>
      <c r="BF575" s="943">
        <f>IF(AU575=0,0,(AV575-AU575)/AU575*100)</f>
        <v>0</v>
      </c>
      <c r="BG575" s="943">
        <f>IF(AV575=0,0,(AW575-AV575)/AV575*100)</f>
        <v>0</v>
      </c>
      <c r="BH575" s="943">
        <f>IF(AW575=0,0,(AX575-AW575)/AW575*100)</f>
        <v>0</v>
      </c>
      <c r="BI575" s="943">
        <f>IF(AX575=0,0,(AY575-AX575)/AX575*100)</f>
        <v>0</v>
      </c>
      <c r="BJ575" s="943">
        <f>IF(AY575=0,0,(AZ575-AY575)/AY575*100)</f>
        <v>0</v>
      </c>
      <c r="BK575" s="943">
        <f>IF(AZ575=0,0,(BA575-AZ575)/AZ575*100)</f>
        <v>0</v>
      </c>
      <c r="BL575" s="943">
        <f>IF(BA575=0,0,(BB575-BA575)/BA575*100)</f>
        <v>0</v>
      </c>
      <c r="BM575" s="943">
        <f>IF(BB575=0,0,(BC575-BB575)/BB575*100)</f>
        <v>0</v>
      </c>
      <c r="BN575" s="7771"/>
      <c r="BO575" s="7724" t="str">
        <f>IF(_xlfn.IFERROR(INDEX('Корректировка НВВ'!$K$26:$L$282,MATCH($F575&amp;"6komm",'Корректировка НВВ'!$K$26:$K$282,0),2),"")=0,"",_xlfn.IFERROR(INDEX('Корректировка НВВ'!$K$26:$L$282,MATCH($F575&amp;"6komm",'Корректировка НВВ'!$K$26:$K$282,0),2),""))</f>
        <v/>
      </c>
      <c r="BP575" s="7771"/>
      <c r="BQ575" s="1278"/>
      <c r="BR575" s="1278"/>
      <c r="BS575" s="1064" t="s">
        <v>2280</v>
      </c>
      <c r="BT575" s="1064"/>
      <c r="BU575" s="1064"/>
      <c r="BV575" s="979"/>
      <c r="BW575" s="979"/>
    </row>
    <row s="1834" customFormat="1" customHeight="1" ht="21.75">
      <c r="A576" s="1278"/>
      <c r="B576" s="978"/>
      <c r="C576" s="1278"/>
      <c r="D576" s="107" cm="1" t="str">
        <f t="array" ref="D576:D576">D575</f>
        <v>7</v>
      </c>
      <c r="E576" s="703">
        <v>22.5</v>
      </c>
      <c r="F576" s="50" cm="1" t="str">
        <f t="array" ref="F576:F576">OFFSET(E576,-1,1)</f>
        <v>3</v>
      </c>
      <c r="G576" s="158" t="s">
        <v>2887</v>
      </c>
      <c r="H576" s="1278"/>
      <c r="I576" s="158" t="s">
        <v>2888</v>
      </c>
      <c r="J576" s="1278"/>
      <c r="K576" s="158" t="s">
        <v>2888</v>
      </c>
      <c r="L576" s="980" t="s">
        <v>2556</v>
      </c>
      <c r="M576" s="107"/>
      <c r="N576" s="1278"/>
      <c r="O576" s="1278"/>
      <c r="P576" s="1278"/>
      <c r="Q576" s="1278"/>
      <c r="R576" s="1278"/>
      <c r="S576" s="1278"/>
      <c r="T576" s="465" cm="1" t="str">
        <f t="array" ref="T576:T576">T575</f>
        <v>true</v>
      </c>
      <c r="U576" s="1278"/>
      <c r="V576" s="1278"/>
      <c r="W576" s="1278"/>
      <c r="X576" s="1563"/>
      <c r="Y576" s="1278"/>
      <c r="Z576" s="1546"/>
      <c r="AA576" s="1278"/>
      <c r="AB576" s="300" t="str">
        <f>AB575&amp;".1"</f>
        <v>7.7.1</v>
      </c>
      <c r="AC576" s="781" t="s">
        <v>2281</v>
      </c>
      <c r="AD576" s="300" t="s">
        <v>1514</v>
      </c>
      <c r="AE576" s="7773"/>
      <c r="AF576" s="7773"/>
      <c r="AG576" s="7773"/>
      <c r="AH576" s="943">
        <f>AG576-AF576</f>
        <v>0</v>
      </c>
      <c r="AI576" s="7723"/>
      <c r="AJ576" s="7723">
        <f>_xlfn.SUMIFS('Корректировка НВВ'!$AF$25:$AF$282,'Корректировка НВВ'!$F$25:$F$282,$F576,'Корректировка НВВ'!$I$25:$I$282,$G576)</f>
        <v>0</v>
      </c>
      <c r="AK576" s="7723"/>
      <c r="AL576" s="7723"/>
      <c r="AM576" s="7723"/>
      <c r="AN576" s="7723"/>
      <c r="AO576" s="1253"/>
      <c r="AP576" s="1253"/>
      <c r="AQ576" s="1253"/>
      <c r="AR576" s="1253"/>
      <c r="AS576" s="1253"/>
      <c r="AT576" s="7723">
        <f>_xlfn.SUMIFS('Корректировка НВВ'!$AG$25:$AG$282,'Корректировка НВВ'!$F$25:$F$282,$F576,'Корректировка НВВ'!$I$25:$I$282,$G576)</f>
        <v>0</v>
      </c>
      <c r="AU576" s="7723"/>
      <c r="AV576" s="7723"/>
      <c r="AW576" s="7723"/>
      <c r="AX576" s="7723"/>
      <c r="AY576" s="1253"/>
      <c r="AZ576" s="1253"/>
      <c r="BA576" s="1253"/>
      <c r="BB576" s="1253"/>
      <c r="BC576" s="1253"/>
      <c r="BD576" s="942"/>
      <c r="BE576" s="942"/>
      <c r="BF576" s="942"/>
      <c r="BG576" s="942"/>
      <c r="BH576" s="942"/>
      <c r="BI576" s="942"/>
      <c r="BJ576" s="942"/>
      <c r="BK576" s="942"/>
      <c r="BL576" s="942"/>
      <c r="BM576" s="942"/>
      <c r="BN576" s="7771"/>
      <c r="BO576" s="7724" t="str">
        <f>IF(_xlfn.IFERROR(INDEX('Корректировка НВВ'!$K$26:$L$282,MATCH($F576&amp;"7komm",'Корректировка НВВ'!$K$26:$K$282,0),2),"")=0,"",_xlfn.IFERROR(INDEX('Корректировка НВВ'!$K$26:$L$282,MATCH($F576&amp;"7komm",'Корректировка НВВ'!$K$26:$K$282,0),2),""))</f>
        <v/>
      </c>
      <c r="BP576" s="7771"/>
      <c r="BQ576" s="1278"/>
      <c r="BR576" s="1278"/>
      <c r="BS576" s="1064" t="s">
        <v>2282</v>
      </c>
      <c r="BT576" s="1064"/>
      <c r="BU576" s="1064"/>
      <c r="BV576" s="979"/>
      <c r="BW576" s="979"/>
    </row>
    <row s="1834" customFormat="1" customHeight="1" ht="21.75">
      <c r="A577" s="1278"/>
      <c r="B577" s="978"/>
      <c r="C577" s="1278"/>
      <c r="D577" s="107" cm="1" t="str">
        <f t="array" ref="D577:D577">D576</f>
        <v>7</v>
      </c>
      <c r="E577" s="703">
        <v>22.5</v>
      </c>
      <c r="F577" s="50" cm="1" t="str">
        <f t="array" ref="F577:F577">OFFSET(E577,-1,1)</f>
        <v>3</v>
      </c>
      <c r="G577" s="158" t="s">
        <v>2889</v>
      </c>
      <c r="H577" s="1278"/>
      <c r="I577" s="158" t="s">
        <v>2890</v>
      </c>
      <c r="J577" s="1278"/>
      <c r="K577" s="158" t="s">
        <v>2890</v>
      </c>
      <c r="L577" s="980" t="s">
        <v>2558</v>
      </c>
      <c r="M577" s="107"/>
      <c r="N577" s="1278"/>
      <c r="O577" s="1278"/>
      <c r="P577" s="1278"/>
      <c r="Q577" s="1278"/>
      <c r="R577" s="1278"/>
      <c r="S577" s="1278"/>
      <c r="T577" s="465" cm="1" t="str">
        <f t="array" ref="T577:T577">T576</f>
        <v>true</v>
      </c>
      <c r="U577" s="1278"/>
      <c r="V577" s="1278"/>
      <c r="W577" s="1278"/>
      <c r="X577" s="1563"/>
      <c r="Y577" s="1278"/>
      <c r="Z577" s="1546"/>
      <c r="AA577" s="1278"/>
      <c r="AB577" s="300" t="str">
        <f>AB575&amp;".2"</f>
        <v>7.7.2</v>
      </c>
      <c r="AC577" s="781" t="s">
        <v>2283</v>
      </c>
      <c r="AD577" s="300" t="s">
        <v>1514</v>
      </c>
      <c r="AE577" s="7773"/>
      <c r="AF577" s="7773"/>
      <c r="AG577" s="7773"/>
      <c r="AH577" s="943">
        <f>AG577-AF577</f>
        <v>0</v>
      </c>
      <c r="AI577" s="7723"/>
      <c r="AJ577" s="7723">
        <f>_xlfn.SUMIFS('Корректировка НВВ'!$AF$25:$AF$282,'Корректировка НВВ'!$F$25:$F$282,$F577,'Корректировка НВВ'!$I$25:$I$282,$G577)</f>
        <v>0</v>
      </c>
      <c r="AK577" s="7723"/>
      <c r="AL577" s="7723"/>
      <c r="AM577" s="7723"/>
      <c r="AN577" s="7723"/>
      <c r="AO577" s="1253"/>
      <c r="AP577" s="1253"/>
      <c r="AQ577" s="1253"/>
      <c r="AR577" s="1253"/>
      <c r="AS577" s="1253"/>
      <c r="AT577" s="7723">
        <f>_xlfn.SUMIFS('Корректировка НВВ'!$AG$25:$AG$282,'Корректировка НВВ'!$F$25:$F$282,$F577,'Корректировка НВВ'!$I$25:$I$282,$G577)</f>
        <v>0</v>
      </c>
      <c r="AU577" s="7723"/>
      <c r="AV577" s="7723"/>
      <c r="AW577" s="7723"/>
      <c r="AX577" s="7723"/>
      <c r="AY577" s="1253"/>
      <c r="AZ577" s="1253"/>
      <c r="BA577" s="1253"/>
      <c r="BB577" s="1253"/>
      <c r="BC577" s="1253"/>
      <c r="BD577" s="942"/>
      <c r="BE577" s="942"/>
      <c r="BF577" s="942"/>
      <c r="BG577" s="942"/>
      <c r="BH577" s="942"/>
      <c r="BI577" s="942"/>
      <c r="BJ577" s="942"/>
      <c r="BK577" s="942"/>
      <c r="BL577" s="942"/>
      <c r="BM577" s="942"/>
      <c r="BN577" s="7771"/>
      <c r="BO577" s="7724" t="str">
        <f>IF(_xlfn.IFERROR(INDEX('Корректировка НВВ'!$K$26:$L$282,MATCH($F577&amp;"8komm",'Корректировка НВВ'!$K$26:$K$282,0),2),"")=0,"",_xlfn.IFERROR(INDEX('Корректировка НВВ'!$K$26:$L$282,MATCH($F577&amp;"8komm",'Корректировка НВВ'!$K$26:$K$282,0),2),""))</f>
        <v/>
      </c>
      <c r="BP577" s="7771"/>
      <c r="BQ577" s="1278"/>
      <c r="BR577" s="1278"/>
      <c r="BS577" s="1064" t="s">
        <v>2284</v>
      </c>
      <c r="BT577" s="1064"/>
      <c r="BU577" s="1064"/>
      <c r="BV577" s="979"/>
      <c r="BW577" s="979"/>
    </row>
    <row s="1834" customFormat="1" customHeight="1" ht="14.25">
      <c r="A578" s="1278"/>
      <c r="B578" s="978"/>
      <c r="C578" s="1278"/>
      <c r="D578" s="107" cm="1" t="str">
        <f t="array" ref="D578:D578">D577</f>
        <v>7</v>
      </c>
      <c r="E578" s="703">
        <v>15</v>
      </c>
      <c r="F578" s="50" cm="1" t="str">
        <f t="array" ref="F578:F578">OFFSET(E578,-1,1)</f>
        <v>3</v>
      </c>
      <c r="G578" s="158" t="s">
        <v>320</v>
      </c>
      <c r="H578" s="1278"/>
      <c r="I578" s="158" t="s">
        <v>2562</v>
      </c>
      <c r="J578" s="1278"/>
      <c r="K578" s="158" t="s">
        <v>2562</v>
      </c>
      <c r="L578" s="980" t="s">
        <v>2561</v>
      </c>
      <c r="M578" s="107"/>
      <c r="N578" s="1278"/>
      <c r="O578" s="1278"/>
      <c r="P578" s="1278"/>
      <c r="Q578" s="1278"/>
      <c r="R578" s="1278"/>
      <c r="S578" s="1278"/>
      <c r="T578" s="465" cm="1" t="str">
        <f t="array" ref="T578:T578">T577</f>
        <v>true</v>
      </c>
      <c r="U578" s="1278"/>
      <c r="V578" s="1278"/>
      <c r="W578" s="1278"/>
      <c r="X578" s="1563"/>
      <c r="Y578" s="1278"/>
      <c r="Z578" s="1546"/>
      <c r="AA578" s="1278"/>
      <c r="AB578" s="300" t="str">
        <f>IF(B573,D574&amp;".8",D574&amp;".6")</f>
        <v>7.8</v>
      </c>
      <c r="AC578" s="782" t="s">
        <v>2285</v>
      </c>
      <c r="AD578" s="300" t="s">
        <v>1514</v>
      </c>
      <c r="AE578" s="7773"/>
      <c r="AF578" s="7773"/>
      <c r="AG578" s="7773"/>
      <c r="AH578" s="943">
        <f>AG578-AF578</f>
        <v>0</v>
      </c>
      <c r="AI578" s="7723"/>
      <c r="AJ578" s="7723">
        <f>_xlfn.SUMIFS('Корректировка НВВ'!$AF$25:$AF$282,'Корректировка НВВ'!$F$25:$F$282,$F578,'Корректировка НВВ'!$I$25:$I$282,$G578)</f>
        <v>0</v>
      </c>
      <c r="AK578" s="7723"/>
      <c r="AL578" s="7723"/>
      <c r="AM578" s="7723"/>
      <c r="AN578" s="7723"/>
      <c r="AO578" s="1253"/>
      <c r="AP578" s="1253"/>
      <c r="AQ578" s="1253"/>
      <c r="AR578" s="1253"/>
      <c r="AS578" s="1253"/>
      <c r="AT578" s="7723">
        <f>_xlfn.SUMIFS('Корректировка НВВ'!$AG$25:$AG$282,'Корректировка НВВ'!$F$25:$F$282,$F578,'Корректировка НВВ'!$I$25:$I$282,$G578)</f>
        <v>0</v>
      </c>
      <c r="AU578" s="7723"/>
      <c r="AV578" s="7723"/>
      <c r="AW578" s="7723"/>
      <c r="AX578" s="7723"/>
      <c r="AY578" s="1253"/>
      <c r="AZ578" s="1253"/>
      <c r="BA578" s="1253"/>
      <c r="BB578" s="1253"/>
      <c r="BC578" s="1253"/>
      <c r="BD578" s="942"/>
      <c r="BE578" s="942"/>
      <c r="BF578" s="942"/>
      <c r="BG578" s="942"/>
      <c r="BH578" s="942"/>
      <c r="BI578" s="942"/>
      <c r="BJ578" s="942"/>
      <c r="BK578" s="942"/>
      <c r="BL578" s="942"/>
      <c r="BM578" s="942"/>
      <c r="BN578" s="7771"/>
      <c r="BO578" s="7724" t="str">
        <f>IF(_xlfn.IFERROR(INDEX('Корректировка НВВ'!$K$26:$L$282,MATCH($F578&amp;"9komm",'Корректировка НВВ'!$K$26:$K$282,0),2),"")=0,"",_xlfn.IFERROR(INDEX('Корректировка НВВ'!$K$26:$L$282,MATCH($F578&amp;"9komm",'Корректировка НВВ'!$K$26:$K$282,0),2),""))</f>
        <v/>
      </c>
      <c r="BP578" s="7771"/>
      <c r="BQ578" s="1278"/>
      <c r="BR578" s="1278"/>
      <c r="BS578" s="1064" t="s">
        <v>2891</v>
      </c>
      <c r="BT578" s="1064"/>
      <c r="BU578" s="1064"/>
      <c r="BV578" s="979"/>
      <c r="BW578" s="979"/>
    </row>
    <row s="1834" customFormat="1" customHeight="1" ht="14.25">
      <c r="A579" s="1278"/>
      <c r="B579" s="978"/>
      <c r="C579" s="1278"/>
      <c r="D579" s="107" cm="1" t="str">
        <f t="array" ref="D579:D579">D578</f>
        <v>7</v>
      </c>
      <c r="E579" s="703">
        <v>15</v>
      </c>
      <c r="F579" s="50" cm="1" t="str">
        <f t="array" ref="F579:F579">OFFSET(E579,-1,1)</f>
        <v>3</v>
      </c>
      <c r="G579" s="158" t="s">
        <v>2892</v>
      </c>
      <c r="H579" s="1278"/>
      <c r="I579" s="158" t="s">
        <v>2563</v>
      </c>
      <c r="J579" s="1278"/>
      <c r="K579" s="158" t="s">
        <v>2563</v>
      </c>
      <c r="L579" s="980" t="s">
        <v>2562</v>
      </c>
      <c r="M579" s="107"/>
      <c r="N579" s="1278"/>
      <c r="O579" s="1278"/>
      <c r="P579" s="1278"/>
      <c r="Q579" s="1278"/>
      <c r="R579" s="1278"/>
      <c r="S579" s="1278"/>
      <c r="T579" s="465" cm="1" t="str">
        <f t="array" ref="T579:T579">T578</f>
        <v>true</v>
      </c>
      <c r="U579" s="1278"/>
      <c r="V579" s="1278"/>
      <c r="W579" s="1278"/>
      <c r="X579" s="1563"/>
      <c r="Y579" s="1278"/>
      <c r="Z579" s="1546"/>
      <c r="AA579" s="1278"/>
      <c r="AB579" s="300" t="str">
        <f>IF(B573,D574&amp;".9",D574&amp;".7")</f>
        <v>7.9</v>
      </c>
      <c r="AC579" s="782" t="s">
        <v>2287</v>
      </c>
      <c r="AD579" s="300" t="s">
        <v>1514</v>
      </c>
      <c r="AE579" s="7773"/>
      <c r="AF579" s="7773"/>
      <c r="AG579" s="7773"/>
      <c r="AH579" s="943">
        <f>AG579-AF579</f>
        <v>0</v>
      </c>
      <c r="AI579" s="7723"/>
      <c r="AJ579" s="7723">
        <f>_xlfn.SUMIFS('Корректировка НВВ'!$AF$25:$AF$282,'Корректировка НВВ'!$F$25:$F$282,$F579,'Корректировка НВВ'!$I$25:$I$282,$G579)</f>
        <v>0</v>
      </c>
      <c r="AK579" s="7723"/>
      <c r="AL579" s="7723"/>
      <c r="AM579" s="7723"/>
      <c r="AN579" s="7723"/>
      <c r="AO579" s="1253"/>
      <c r="AP579" s="1253"/>
      <c r="AQ579" s="1253"/>
      <c r="AR579" s="1253"/>
      <c r="AS579" s="1253"/>
      <c r="AT579" s="7723">
        <f>_xlfn.SUMIFS('Корректировка НВВ'!$AG$25:$AG$282,'Корректировка НВВ'!$F$25:$F$282,$F579,'Корректировка НВВ'!$I$25:$I$282,$G579)</f>
        <v>0</v>
      </c>
      <c r="AU579" s="7723"/>
      <c r="AV579" s="7723"/>
      <c r="AW579" s="7723"/>
      <c r="AX579" s="7723"/>
      <c r="AY579" s="1253"/>
      <c r="AZ579" s="1253"/>
      <c r="BA579" s="1253"/>
      <c r="BB579" s="1253"/>
      <c r="BC579" s="1253"/>
      <c r="BD579" s="942"/>
      <c r="BE579" s="942"/>
      <c r="BF579" s="942"/>
      <c r="BG579" s="942"/>
      <c r="BH579" s="942"/>
      <c r="BI579" s="942"/>
      <c r="BJ579" s="942"/>
      <c r="BK579" s="942"/>
      <c r="BL579" s="942"/>
      <c r="BM579" s="942"/>
      <c r="BN579" s="7771"/>
      <c r="BO579" s="7724" t="str">
        <f>IF(_xlfn.IFERROR(INDEX('Корректировка НВВ'!$K$26:$L$282,MATCH($F579&amp;"10komm",'Корректировка НВВ'!$K$26:$K$282,0),2),"")=0,"",_xlfn.IFERROR(INDEX('Корректировка НВВ'!$K$26:$L$282,MATCH($F579&amp;"10komm",'Корректировка НВВ'!$K$26:$K$282,0),2),""))</f>
        <v/>
      </c>
      <c r="BP579" s="7771"/>
      <c r="BQ579" s="1278"/>
      <c r="BR579" s="1278"/>
      <c r="BS579" s="1064" t="s">
        <v>2288</v>
      </c>
      <c r="BT579" s="1064"/>
      <c r="BU579" s="1064"/>
      <c r="BV579" s="979"/>
      <c r="BW579" s="979"/>
    </row>
    <row s="7901" customFormat="1" customHeight="1" ht="20.25">
      <c r="A580" s="700"/>
      <c r="B580" s="435"/>
      <c r="C580" s="700"/>
      <c r="D580" s="109">
        <f>D579+1</f>
        <v>8</v>
      </c>
      <c r="E580" s="707">
        <v>21</v>
      </c>
      <c r="F580" s="50" cm="1" t="str">
        <f t="array" ref="F580:F580">OFFSET(E580,-1,1)</f>
        <v>3</v>
      </c>
      <c r="G580" s="700"/>
      <c r="H580" s="700"/>
      <c r="I580" s="162" t="s">
        <v>1297</v>
      </c>
      <c r="J580" s="700"/>
      <c r="K580" s="162" t="s">
        <v>1297</v>
      </c>
      <c r="L580" s="985"/>
      <c r="M580" s="109"/>
      <c r="N580" s="700"/>
      <c r="O580" s="700"/>
      <c r="P580" s="700"/>
      <c r="Q580" s="700"/>
      <c r="R580" s="700"/>
      <c r="S580" s="700"/>
      <c r="T580" s="465" cm="1" t="str">
        <f t="array" ref="T580:T580">T579</f>
        <v>true</v>
      </c>
      <c r="U580" s="700"/>
      <c r="V580" s="700"/>
      <c r="W580" s="700"/>
      <c r="X580" s="1563"/>
      <c r="Y580" s="700"/>
      <c r="Z580" s="1546"/>
      <c r="AA580" s="700"/>
      <c r="AB580" s="211" cm="1" t="str">
        <f t="array" ref="AB580:AB580">D580</f>
        <v>8</v>
      </c>
      <c r="AC580" s="212" t="s">
        <v>2893</v>
      </c>
      <c r="AD580" s="211" t="s">
        <v>1514</v>
      </c>
      <c r="AE580" s="7432"/>
      <c r="AF580" s="7432"/>
      <c r="AG580" s="7432"/>
      <c r="AH580" s="761">
        <f>AG580-AF580</f>
        <v>0</v>
      </c>
      <c r="AI580" s="7719"/>
      <c r="AJ580" s="7719"/>
      <c r="AK580" s="7719"/>
      <c r="AL580" s="7719"/>
      <c r="AM580" s="7719"/>
      <c r="AN580" s="7719"/>
      <c r="AO580" s="1246"/>
      <c r="AP580" s="1246"/>
      <c r="AQ580" s="1246"/>
      <c r="AR580" s="1246"/>
      <c r="AS580" s="1246"/>
      <c r="AT580" s="7719"/>
      <c r="AU580" s="7719"/>
      <c r="AV580" s="7719"/>
      <c r="AW580" s="7719"/>
      <c r="AX580" s="7719"/>
      <c r="AY580" s="1246"/>
      <c r="AZ580" s="1246"/>
      <c r="BA580" s="1246"/>
      <c r="BB580" s="1246"/>
      <c r="BC580" s="1246"/>
      <c r="BD580" s="764"/>
      <c r="BE580" s="764"/>
      <c r="BF580" s="764"/>
      <c r="BG580" s="764"/>
      <c r="BH580" s="764"/>
      <c r="BI580" s="764"/>
      <c r="BJ580" s="764"/>
      <c r="BK580" s="764"/>
      <c r="BL580" s="764"/>
      <c r="BM580" s="764"/>
      <c r="BN580" s="7436"/>
      <c r="BO580" s="7436"/>
      <c r="BP580" s="7436"/>
      <c r="BQ580" s="700"/>
      <c r="BR580" s="700"/>
      <c r="BS580" s="1070" t="s">
        <v>2894</v>
      </c>
      <c r="BT580" s="1070"/>
      <c r="BU580" s="1070"/>
      <c r="BV580" s="707"/>
      <c r="BW580" s="707"/>
    </row>
    <row s="1834" customFormat="1" customHeight="1" ht="14.25">
      <c r="A581" s="1278"/>
      <c r="B581" s="978"/>
      <c r="C581" s="1278"/>
      <c r="D581" s="109" cm="1" t="str">
        <f t="array" ref="D581:D581">D580</f>
        <v>8</v>
      </c>
      <c r="E581" s="703">
        <v>15</v>
      </c>
      <c r="F581" s="50" cm="1" t="str">
        <f t="array" ref="F581:F581">OFFSET(E581,-1,1)</f>
        <v>3</v>
      </c>
      <c r="G581" s="1278"/>
      <c r="H581" s="1278"/>
      <c r="I581" s="158" t="s">
        <v>1300</v>
      </c>
      <c r="J581" s="1278"/>
      <c r="K581" s="158" t="s">
        <v>1300</v>
      </c>
      <c r="L581" s="980"/>
      <c r="M581" s="107"/>
      <c r="N581" s="1278"/>
      <c r="O581" s="1278"/>
      <c r="P581" s="1278"/>
      <c r="Q581" s="1278"/>
      <c r="R581" s="1278"/>
      <c r="S581" s="1278"/>
      <c r="T581" s="465" cm="1" t="str">
        <f t="array" ref="T581:T581">T580</f>
        <v>true</v>
      </c>
      <c r="U581" s="1278"/>
      <c r="V581" s="1278"/>
      <c r="W581" s="1278"/>
      <c r="X581" s="1563"/>
      <c r="Y581" s="1278"/>
      <c r="Z581" s="1546"/>
      <c r="AA581" s="1278"/>
      <c r="AB581" s="300" t="str">
        <f>D581&amp;".1"</f>
        <v>8.1</v>
      </c>
      <c r="AC581" s="762" t="s">
        <v>2895</v>
      </c>
      <c r="AD581" s="300" t="s">
        <v>1170</v>
      </c>
      <c r="AE581" s="259">
        <f>IF(AE582=0,0,AE580/(AE582+AE567)*100)</f>
        <v>0</v>
      </c>
      <c r="AF581" s="259">
        <f>IF(AF582=0,0,AF580/(AF582+AF567)*100)</f>
        <v>0</v>
      </c>
      <c r="AG581" s="259">
        <f>IF(AG582=0,0,AG580/(AG582+AG567)*100)</f>
        <v>0</v>
      </c>
      <c r="AH581" s="943">
        <f>AG581-AF581</f>
        <v>0</v>
      </c>
      <c r="AI581" s="943">
        <f>IF(AI582=0,0,AI580/(AI582+AI567)*100)</f>
        <v>0</v>
      </c>
      <c r="AJ581" s="943">
        <f>IF(AJ582=0,0,AJ580/(AJ582+AJ567)*100)</f>
        <v>0</v>
      </c>
      <c r="AK581" s="943">
        <f>IF(AK582=0,0,AK580/(AK582+AK567)*100)</f>
        <v>0</v>
      </c>
      <c r="AL581" s="943">
        <f>IF(AL582=0,0,AL580/(AL582+AL567)*100)</f>
        <v>0</v>
      </c>
      <c r="AM581" s="943">
        <f>IF(AM582=0,0,AM580/(AM582+AM567)*100)</f>
        <v>0</v>
      </c>
      <c r="AN581" s="943">
        <f>IF(AN582=0,0,AN580/(AN582+AN567)*100)</f>
        <v>0</v>
      </c>
      <c r="AO581" s="943">
        <f>IF(AO582=0,0,AO580/(AO582+AO567)*100)</f>
        <v>0</v>
      </c>
      <c r="AP581" s="943">
        <f>IF(AP582=0,0,AP580/(AP582+AP567)*100)</f>
        <v>0</v>
      </c>
      <c r="AQ581" s="943">
        <f>IF(AQ582=0,0,AQ580/(AQ582+AQ567)*100)</f>
        <v>0</v>
      </c>
      <c r="AR581" s="943">
        <f>IF(AR582=0,0,AR580/(AR582+AR567)*100)</f>
        <v>0</v>
      </c>
      <c r="AS581" s="943">
        <f>IF(AS582=0,0,AS580/(AS582+AS567)*100)</f>
        <v>0</v>
      </c>
      <c r="AT581" s="943">
        <f>IF(AT582=0,0,AT580/(AT582+AT567)*100)</f>
        <v>0</v>
      </c>
      <c r="AU581" s="943">
        <f>IF(AU582=0,0,AU580/(AU582+AU567)*100)</f>
        <v>0</v>
      </c>
      <c r="AV581" s="943">
        <f>IF(AV582=0,0,AV580/(AV582+AV567)*100)</f>
        <v>0</v>
      </c>
      <c r="AW581" s="943">
        <f>IF(AW582=0,0,AW580/(AW582+AW567)*100)</f>
        <v>0</v>
      </c>
      <c r="AX581" s="943">
        <f>IF(AX582=0,0,AX580/(AX582+AX567)*100)</f>
        <v>0</v>
      </c>
      <c r="AY581" s="943">
        <f>IF(AY582=0,0,AY580/(AY582+AY567)*100)</f>
        <v>0</v>
      </c>
      <c r="AZ581" s="943">
        <f>IF(AZ582=0,0,AZ580/(AZ582+AZ567)*100)</f>
        <v>0</v>
      </c>
      <c r="BA581" s="943">
        <f>IF(BA582=0,0,BA580/(BA582+BA567)*100)</f>
        <v>0</v>
      </c>
      <c r="BB581" s="943">
        <f>IF(BB582=0,0,BB580/(BB582+BB567)*100)</f>
        <v>0</v>
      </c>
      <c r="BC581" s="943">
        <f>IF(BC582=0,0,BC580/(BC582+BC567)*100)</f>
        <v>0</v>
      </c>
      <c r="BD581" s="942"/>
      <c r="BE581" s="942"/>
      <c r="BF581" s="942"/>
      <c r="BG581" s="942"/>
      <c r="BH581" s="942"/>
      <c r="BI581" s="942"/>
      <c r="BJ581" s="942"/>
      <c r="BK581" s="942"/>
      <c r="BL581" s="942"/>
      <c r="BM581" s="942"/>
      <c r="BN581" s="7771"/>
      <c r="BO581" s="7771"/>
      <c r="BP581" s="7771"/>
      <c r="BQ581" s="1278"/>
      <c r="BR581" s="1278"/>
      <c r="BS581" s="1064" t="s">
        <v>2896</v>
      </c>
      <c r="BT581" s="1064"/>
      <c r="BU581" s="1064"/>
      <c r="BV581" s="979"/>
      <c r="BW581" s="979"/>
    </row>
    <row s="7902" customFormat="1" customHeight="1" ht="20.25">
      <c r="A582" s="700"/>
      <c r="B582" s="435"/>
      <c r="C582" s="700"/>
      <c r="D582" s="109">
        <f>D581+1</f>
        <v>9</v>
      </c>
      <c r="E582" s="707">
        <v>21</v>
      </c>
      <c r="F582" s="50" cm="1" t="str">
        <f t="array" ref="F582:F582">OFFSET(E582,-1,1)</f>
        <v>3</v>
      </c>
      <c r="G582" s="700"/>
      <c r="H582" s="158"/>
      <c r="I582" s="158" t="s">
        <v>1454</v>
      </c>
      <c r="J582" s="700"/>
      <c r="K582" s="158" t="s">
        <v>1454</v>
      </c>
      <c r="L582" s="985" t="s">
        <v>2563</v>
      </c>
      <c r="M582" s="109"/>
      <c r="N582" s="700"/>
      <c r="O582" s="700"/>
      <c r="P582" s="700"/>
      <c r="Q582" s="700"/>
      <c r="R582" s="700"/>
      <c r="S582" s="700"/>
      <c r="T582" s="465" cm="1" t="str">
        <f t="array" ref="T582:T582">T581</f>
        <v>true</v>
      </c>
      <c r="U582" s="700"/>
      <c r="V582" s="700"/>
      <c r="W582" s="700"/>
      <c r="X582" s="1563"/>
      <c r="Y582" s="700"/>
      <c r="Z582" s="1546"/>
      <c r="AA582" s="700"/>
      <c r="AB582" s="211" cm="1" t="str">
        <f t="array" ref="AB582:AB582">D582</f>
        <v>9</v>
      </c>
      <c r="AC582" s="212" t="s">
        <v>2564</v>
      </c>
      <c r="AD582" s="234" t="s">
        <v>1514</v>
      </c>
      <c r="AE582" s="213">
        <f>AE460+AE510+AE546+AE547+AE549+AE554+AE555+AE558</f>
        <v>0</v>
      </c>
      <c r="AF582" s="213">
        <f>AF460+AF510+AF546+AF547+AF549+AF554+AF555+AF558</f>
        <v>0</v>
      </c>
      <c r="AG582" s="213">
        <f>AG460+AG510+AG546+AG547+AG549+AG554+AG555+AG558</f>
        <v>0</v>
      </c>
      <c r="AH582" s="761">
        <f>AG582-AF582</f>
        <v>0</v>
      </c>
      <c r="AI582" s="213">
        <f>AI460+AI510+AI546+AI547+AI549+AI554+AI555+AI558</f>
        <v>0</v>
      </c>
      <c r="AJ582" s="213">
        <f>AJ460+AJ510+AJ546+AJ547+AJ549+AJ554+AJ555+AJ558</f>
        <v>25685.002381424</v>
      </c>
      <c r="AK582" s="213">
        <f>AK460+AK510+AK546+AK547+AK549+AK554+AK555+AK558</f>
        <v>27887.3154839671</v>
      </c>
      <c r="AL582" s="213">
        <f>AL460+AL510+AL546+AL547+AL549+AL554+AL555+AL558</f>
        <v>30688.1433941097</v>
      </c>
      <c r="AM582" s="213">
        <f>AM460+AM510+AM546+AM547+AM549+AM554+AM555+AM558</f>
        <v>35981.9962628364</v>
      </c>
      <c r="AN582" s="213">
        <f>AN460+AN510+AN546+AN547+AN549+AN554+AN555+AN558</f>
        <v>51722.6034815092</v>
      </c>
      <c r="AO582" s="213">
        <f>AO460+AO510+AO546+AO547+AO549+AO554+AO555+AO558</f>
        <v>0</v>
      </c>
      <c r="AP582" s="213">
        <f>AP460+AP510+AP546+AP547+AP549+AP554+AP555+AP558</f>
        <v>0</v>
      </c>
      <c r="AQ582" s="213">
        <f>AQ460+AQ510+AQ546+AQ547+AQ549+AQ554+AQ555+AQ558</f>
        <v>0</v>
      </c>
      <c r="AR582" s="213">
        <f>AR460+AR510+AR546+AR547+AR549+AR554+AR555+AR558</f>
        <v>0</v>
      </c>
      <c r="AS582" s="213">
        <f>AS460+AS510+AS546+AS547+AS549+AS554+AS555+AS558</f>
        <v>0</v>
      </c>
      <c r="AT582" s="213">
        <f>AT460+AT510+AT546+AT547+AT549+AT554+AT555+AT558</f>
        <v>25685.006395024</v>
      </c>
      <c r="AU582" s="213">
        <f>AU460+AU510+AU546+AU547+AU549+AU554+AU555+AU558</f>
        <v>27887.3193981111</v>
      </c>
      <c r="AV582" s="213">
        <f>AV460+AV510+AV546+AV547+AV549+AV554+AV555+AV558</f>
        <v>30688.1463941097</v>
      </c>
      <c r="AW582" s="213">
        <f>AW460+AW510+AW546+AW547+AW549+AW554+AW555+AW558</f>
        <v>35981.9962628364</v>
      </c>
      <c r="AX582" s="213">
        <f>AX460+AX510+AX546+AX547+AX549+AX554+AX555+AX558</f>
        <v>51722.6034815092</v>
      </c>
      <c r="AY582" s="213">
        <f>AY460+AY510+AY546+AY547+AY549+AY554+AY555+AY558</f>
        <v>0</v>
      </c>
      <c r="AZ582" s="213">
        <f>AZ460+AZ510+AZ546+AZ547+AZ549+AZ554+AZ555+AZ558</f>
        <v>0</v>
      </c>
      <c r="BA582" s="213">
        <f>BA460+BA510+BA546+BA547+BA549+BA554+BA555+BA558</f>
        <v>0</v>
      </c>
      <c r="BB582" s="213">
        <f>BB460+BB510+BB546+BB547+BB549+BB554+BB555+BB558</f>
        <v>0</v>
      </c>
      <c r="BC582" s="213">
        <f>BC460+BC510+BC546+BC547+BC549+BC554+BC555+BC558</f>
        <v>0</v>
      </c>
      <c r="BD582" s="761">
        <f>IF(AI582=0,0,(AT582-AI582)/AI582*100)</f>
        <v>0</v>
      </c>
      <c r="BE582" s="761">
        <f>IF(AT582=0,0,(AU582-AT582)/AT582*100)</f>
        <v>8.57431362568692</v>
      </c>
      <c r="BF582" s="761">
        <f>IF(AU582=0,0,(AV582-AU582)/AU582*100)</f>
        <v>10.0433711681457</v>
      </c>
      <c r="BG582" s="761">
        <f>IF(AV582=0,0,(AW582-AV582)/AV582*100)</f>
        <v>17.2504712430035</v>
      </c>
      <c r="BH582" s="761">
        <f>IF(AW582=0,0,(AX582-AW582)/AW582*100)</f>
        <v>43.7457863751998</v>
      </c>
      <c r="BI582" s="761">
        <f>IF(AX582=0,0,(AY582-AX582)/AX582*100)</f>
        <v>-100</v>
      </c>
      <c r="BJ582" s="761">
        <f>IF(AY582=0,0,(AZ582-AY582)/AY582*100)</f>
        <v>0</v>
      </c>
      <c r="BK582" s="761">
        <f>IF(AZ582=0,0,(BA582-AZ582)/AZ582*100)</f>
        <v>0</v>
      </c>
      <c r="BL582" s="761">
        <f>IF(BA582=0,0,(BB582-BA582)/BA582*100)</f>
        <v>0</v>
      </c>
      <c r="BM582" s="761">
        <f>IF(BB582=0,0,(BC582-BB582)/BB582*100)</f>
        <v>0</v>
      </c>
      <c r="BN582" s="7771"/>
      <c r="BO582" s="7771"/>
      <c r="BP582" s="7771"/>
      <c r="BQ582" s="700"/>
      <c r="BR582" s="700"/>
      <c r="BS582" s="1070" t="s">
        <v>2565</v>
      </c>
      <c r="BT582" s="1070"/>
      <c r="BU582" s="1070"/>
      <c r="BV582" s="707"/>
      <c r="BW582" s="707"/>
    </row>
    <row s="7903" customFormat="1" customHeight="1" ht="20.25">
      <c r="A583" s="700"/>
      <c r="B583" s="435"/>
      <c r="C583" s="700"/>
      <c r="D583" s="109">
        <f>D582+1</f>
        <v>10</v>
      </c>
      <c r="E583" s="707">
        <v>21</v>
      </c>
      <c r="F583" s="50" cm="1" t="str">
        <f t="array" ref="F583:F583">OFFSET(E583,-1,1)</f>
        <v>3</v>
      </c>
      <c r="G583" s="700"/>
      <c r="H583" s="158"/>
      <c r="I583" s="158" t="s">
        <v>2574</v>
      </c>
      <c r="J583" s="700"/>
      <c r="K583" s="158" t="s">
        <v>2574</v>
      </c>
      <c r="L583" s="985"/>
      <c r="M583" s="109"/>
      <c r="N583" s="700"/>
      <c r="O583" s="700"/>
      <c r="P583" s="700"/>
      <c r="Q583" s="700"/>
      <c r="R583" s="700"/>
      <c r="S583" s="700"/>
      <c r="T583" s="465" cm="1" t="str">
        <f t="array" ref="T583:T583">T582</f>
        <v>true</v>
      </c>
      <c r="U583" s="700"/>
      <c r="V583" s="700"/>
      <c r="W583" s="700"/>
      <c r="X583" s="1563"/>
      <c r="Y583" s="700"/>
      <c r="Z583" s="1546"/>
      <c r="AA583" s="700"/>
      <c r="AB583" s="211" cm="1" t="str">
        <f t="array" ref="AB583:AB583">D583</f>
        <v>10</v>
      </c>
      <c r="AC583" s="212" t="s">
        <v>2897</v>
      </c>
      <c r="AD583" s="211" t="s">
        <v>1514</v>
      </c>
      <c r="AE583" s="213">
        <f>AE582+AE567+AE580</f>
        <v>0</v>
      </c>
      <c r="AF583" s="213">
        <f>AF582+AF567+AF580</f>
        <v>0</v>
      </c>
      <c r="AG583" s="213">
        <f>AG582+AG567+AG580</f>
        <v>0</v>
      </c>
      <c r="AH583" s="770">
        <f>AH582+AH567+AH580</f>
        <v>0</v>
      </c>
      <c r="AI583" s="770">
        <f>AI582+AI567+AI580</f>
        <v>0</v>
      </c>
      <c r="AJ583" s="770">
        <f>AJ582+AJ567+AJ580</f>
        <v>25685.002381424</v>
      </c>
      <c r="AK583" s="770">
        <f>AK582+AK567+AK580</f>
        <v>27887.3154839671</v>
      </c>
      <c r="AL583" s="770">
        <f>AL582+AL567+AL580</f>
        <v>30688.1433941097</v>
      </c>
      <c r="AM583" s="770">
        <f>AM582+AM567+AM580</f>
        <v>35981.9962628364</v>
      </c>
      <c r="AN583" s="770">
        <f>AN582+AN567+AN580</f>
        <v>51722.6034815092</v>
      </c>
      <c r="AO583" s="770">
        <f>AO582+AO567+AO580</f>
        <v>0</v>
      </c>
      <c r="AP583" s="770">
        <f>AP582+AP567+AP580</f>
        <v>0</v>
      </c>
      <c r="AQ583" s="770">
        <f>AQ582+AQ567+AQ580</f>
        <v>0</v>
      </c>
      <c r="AR583" s="770">
        <f>AR582+AR567+AR580</f>
        <v>0</v>
      </c>
      <c r="AS583" s="770">
        <f>AS582+AS567+AS580</f>
        <v>0</v>
      </c>
      <c r="AT583" s="770">
        <f>AT582+AT567+AT580</f>
        <v>25685.006395024</v>
      </c>
      <c r="AU583" s="770">
        <f>AU582+AU567+AU580</f>
        <v>27887.3193981111</v>
      </c>
      <c r="AV583" s="770">
        <f>AV582+AV567+AV580</f>
        <v>30688.1463941097</v>
      </c>
      <c r="AW583" s="770">
        <f>AW582+AW567+AW580</f>
        <v>35981.9962628364</v>
      </c>
      <c r="AX583" s="770">
        <f>AX582+AX567+AX580</f>
        <v>51722.6034815092</v>
      </c>
      <c r="AY583" s="770">
        <f>AY582+AY567+AY580</f>
        <v>0</v>
      </c>
      <c r="AZ583" s="770">
        <f>AZ582+AZ567+AZ580</f>
        <v>0</v>
      </c>
      <c r="BA583" s="770">
        <f>BA582+BA567+BA580</f>
        <v>0</v>
      </c>
      <c r="BB583" s="770">
        <f>BB582+BB567+BB580</f>
        <v>0</v>
      </c>
      <c r="BC583" s="770">
        <f>BC582+BC567+BC580</f>
        <v>0</v>
      </c>
      <c r="BD583" s="761">
        <f>IF(AI583=0,0,(AT583-AI583)/AI583*100)</f>
        <v>0</v>
      </c>
      <c r="BE583" s="761">
        <f>IF(AT583=0,0,(AU583-AT583)/AT583*100)</f>
        <v>8.57431362568692</v>
      </c>
      <c r="BF583" s="761">
        <f>IF(AU583=0,0,(AV583-AU583)/AU583*100)</f>
        <v>10.0433711681457</v>
      </c>
      <c r="BG583" s="761">
        <f>IF(AV583=0,0,(AW583-AV583)/AV583*100)</f>
        <v>17.2504712430035</v>
      </c>
      <c r="BH583" s="761">
        <f>IF(AW583=0,0,(AX583-AW583)/AW583*100)</f>
        <v>43.7457863751998</v>
      </c>
      <c r="BI583" s="761">
        <f>IF(AX583=0,0,(AY583-AX583)/AX583*100)</f>
        <v>-100</v>
      </c>
      <c r="BJ583" s="761">
        <f>IF(AY583=0,0,(AZ583-AY583)/AY583*100)</f>
        <v>0</v>
      </c>
      <c r="BK583" s="761">
        <f>IF(AZ583=0,0,(BA583-AZ583)/AZ583*100)</f>
        <v>0</v>
      </c>
      <c r="BL583" s="761">
        <f>IF(BA583=0,0,(BB583-BA583)/BA583*100)</f>
        <v>0</v>
      </c>
      <c r="BM583" s="761">
        <f>IF(BB583=0,0,(BC583-BB583)/BB583*100)</f>
        <v>0</v>
      </c>
      <c r="BN583" s="7771"/>
      <c r="BO583" s="7771"/>
      <c r="BP583" s="7771"/>
      <c r="BQ583" s="700"/>
      <c r="BR583" s="700"/>
      <c r="BS583" s="1070" t="s">
        <v>2898</v>
      </c>
      <c r="BT583" s="1070"/>
      <c r="BU583" s="1070"/>
      <c r="BV583" s="707"/>
      <c r="BW583" s="707"/>
    </row>
    <row s="1834" customFormat="1" customHeight="1" ht="14.25" hidden="1">
      <c r="A584" s="1278"/>
      <c r="B584" s="445">
        <f>A459="двухставочный"</f>
        <v>0</v>
      </c>
      <c r="C584" s="1278"/>
      <c r="D584" s="107" cm="1" t="str">
        <f t="array" ref="D584:D584">D583</f>
        <v>10</v>
      </c>
      <c r="E584" s="703">
        <v>15</v>
      </c>
      <c r="F584" s="50" cm="1" t="str">
        <f t="array" ref="F584:F584">OFFSET(E584,-1,1)</f>
        <v>3</v>
      </c>
      <c r="G584" s="1278"/>
      <c r="H584" s="49"/>
      <c r="I584" s="379" t="s">
        <v>2577</v>
      </c>
      <c r="J584" s="1278"/>
      <c r="K584" s="379" t="s">
        <v>2577</v>
      </c>
      <c r="L584" s="980" t="s">
        <v>2566</v>
      </c>
      <c r="M584" s="107"/>
      <c r="N584" s="1278"/>
      <c r="O584" s="1278"/>
      <c r="P584" s="1278"/>
      <c r="Q584" s="1278"/>
      <c r="R584" s="1278"/>
      <c r="S584" s="1278"/>
      <c r="T584" s="465" cm="1" t="str">
        <f t="array" ref="T584:T584">T583</f>
        <v>true</v>
      </c>
      <c r="U584" s="1278"/>
      <c r="V584" s="1278"/>
      <c r="W584" s="1278"/>
      <c r="X584" s="1563"/>
      <c r="Y584" s="1278"/>
      <c r="Z584" s="1546"/>
      <c r="AA584" s="1278"/>
      <c r="AB584" s="300" t="str">
        <f>D584&amp;".1"</f>
        <v>10.1</v>
      </c>
      <c r="AC584" s="782" t="s">
        <v>2568</v>
      </c>
      <c r="AD584" s="300" t="s">
        <v>1514</v>
      </c>
      <c r="AE584" s="1255"/>
      <c r="AF584" s="1255"/>
      <c r="AG584" s="1255"/>
      <c r="AH584" s="943">
        <f>AG584-AF584</f>
        <v>0</v>
      </c>
      <c r="AI584" s="1253"/>
      <c r="AJ584" s="1253"/>
      <c r="AK584" s="1253"/>
      <c r="AL584" s="1253"/>
      <c r="AM584" s="1253"/>
      <c r="AN584" s="1253"/>
      <c r="AO584" s="1253"/>
      <c r="AP584" s="1253"/>
      <c r="AQ584" s="1253"/>
      <c r="AR584" s="1253"/>
      <c r="AS584" s="1253"/>
      <c r="AT584" s="1253"/>
      <c r="AU584" s="1253"/>
      <c r="AV584" s="1253"/>
      <c r="AW584" s="1253"/>
      <c r="AX584" s="1253"/>
      <c r="AY584" s="1253"/>
      <c r="AZ584" s="1253"/>
      <c r="BA584" s="1253"/>
      <c r="BB584" s="1253"/>
      <c r="BC584" s="1253"/>
      <c r="BD584" s="942"/>
      <c r="BE584" s="942"/>
      <c r="BF584" s="942"/>
      <c r="BG584" s="942"/>
      <c r="BH584" s="942"/>
      <c r="BI584" s="942"/>
      <c r="BJ584" s="942"/>
      <c r="BK584" s="942"/>
      <c r="BL584" s="942"/>
      <c r="BM584" s="942"/>
      <c r="BN584" s="1256"/>
      <c r="BO584" s="1256"/>
      <c r="BP584" s="1256"/>
      <c r="BQ584" s="1278"/>
      <c r="BR584" s="1278"/>
      <c r="BS584" s="1062" t="s">
        <v>2569</v>
      </c>
      <c r="BT584" s="1064"/>
      <c r="BU584" s="1064"/>
      <c r="BV584" s="979"/>
      <c r="BW584" s="979"/>
    </row>
    <row s="1834" customFormat="1" customHeight="1" ht="14.25" hidden="1">
      <c r="A585" s="1278"/>
      <c r="B585" s="445">
        <f>A459="двухставочный"</f>
        <v>0</v>
      </c>
      <c r="C585" s="1278"/>
      <c r="D585" s="107" cm="1" t="str">
        <f t="array" ref="D585:D585">D584</f>
        <v>10</v>
      </c>
      <c r="E585" s="703">
        <v>15</v>
      </c>
      <c r="F585" s="50" cm="1" t="str">
        <f t="array" ref="F585:F585">OFFSET(E585,-1,1)</f>
        <v>3</v>
      </c>
      <c r="G585" s="1278"/>
      <c r="H585" s="49"/>
      <c r="I585" s="379" t="s">
        <v>2581</v>
      </c>
      <c r="J585" s="1278"/>
      <c r="K585" s="379" t="s">
        <v>2581</v>
      </c>
      <c r="L585" s="980" t="s">
        <v>2570</v>
      </c>
      <c r="M585" s="107"/>
      <c r="N585" s="1278"/>
      <c r="O585" s="1278"/>
      <c r="P585" s="1278"/>
      <c r="Q585" s="1278"/>
      <c r="R585" s="1278"/>
      <c r="S585" s="1278"/>
      <c r="T585" s="465" cm="1" t="str">
        <f t="array" ref="T585:T585">T584</f>
        <v>true</v>
      </c>
      <c r="U585" s="1278"/>
      <c r="V585" s="1278"/>
      <c r="W585" s="1278"/>
      <c r="X585" s="1563"/>
      <c r="Y585" s="1278"/>
      <c r="Z585" s="1546"/>
      <c r="AA585" s="1278"/>
      <c r="AB585" s="300" t="str">
        <f>D585&amp;".2"</f>
        <v>10.2</v>
      </c>
      <c r="AC585" s="782" t="s">
        <v>2572</v>
      </c>
      <c r="AD585" s="300" t="s">
        <v>1514</v>
      </c>
      <c r="AE585" s="1255"/>
      <c r="AF585" s="1255"/>
      <c r="AG585" s="1255"/>
      <c r="AH585" s="943">
        <f>AG585-AF585</f>
        <v>0</v>
      </c>
      <c r="AI585" s="1253"/>
      <c r="AJ585" s="1253"/>
      <c r="AK585" s="1253"/>
      <c r="AL585" s="1253"/>
      <c r="AM585" s="1253"/>
      <c r="AN585" s="1253"/>
      <c r="AO585" s="1253"/>
      <c r="AP585" s="1253"/>
      <c r="AQ585" s="1253"/>
      <c r="AR585" s="1253"/>
      <c r="AS585" s="1253"/>
      <c r="AT585" s="1253"/>
      <c r="AU585" s="1253"/>
      <c r="AV585" s="1253"/>
      <c r="AW585" s="1253"/>
      <c r="AX585" s="1253"/>
      <c r="AY585" s="1253"/>
      <c r="AZ585" s="1253"/>
      <c r="BA585" s="1253"/>
      <c r="BB585" s="1253"/>
      <c r="BC585" s="1253"/>
      <c r="BD585" s="942"/>
      <c r="BE585" s="942"/>
      <c r="BF585" s="942"/>
      <c r="BG585" s="942"/>
      <c r="BH585" s="942"/>
      <c r="BI585" s="942"/>
      <c r="BJ585" s="942"/>
      <c r="BK585" s="942"/>
      <c r="BL585" s="942"/>
      <c r="BM585" s="942"/>
      <c r="BN585" s="1256"/>
      <c r="BO585" s="1256"/>
      <c r="BP585" s="1256"/>
      <c r="BQ585" s="1278"/>
      <c r="BR585" s="1278"/>
      <c r="BS585" s="1062" t="s">
        <v>2573</v>
      </c>
      <c r="BT585" s="1064"/>
      <c r="BU585" s="1064"/>
      <c r="BV585" s="979"/>
      <c r="BW585" s="979"/>
    </row>
    <row s="7904" customFormat="1" customHeight="1" ht="20.25">
      <c r="A586" s="700"/>
      <c r="B586" s="435"/>
      <c r="C586" s="700"/>
      <c r="D586" s="109">
        <f>D585+1</f>
        <v>11</v>
      </c>
      <c r="E586" s="707">
        <v>21</v>
      </c>
      <c r="F586" s="50" cm="1" t="str">
        <f t="array" ref="F586:F586">OFFSET(E586,-1,1)</f>
        <v>3</v>
      </c>
      <c r="G586" s="158" t="s">
        <v>2346</v>
      </c>
      <c r="H586" s="158"/>
      <c r="I586" s="158" t="s">
        <v>2601</v>
      </c>
      <c r="J586" s="700"/>
      <c r="K586" s="158" t="s">
        <v>2601</v>
      </c>
      <c r="L586" s="985" t="s">
        <v>2574</v>
      </c>
      <c r="M586" s="109"/>
      <c r="N586" s="700"/>
      <c r="O586" s="700"/>
      <c r="P586" s="700"/>
      <c r="Q586" s="700"/>
      <c r="R586" s="700"/>
      <c r="S586" s="700"/>
      <c r="T586" s="465" cm="1" t="str">
        <f t="array" ref="T586:T586">T585</f>
        <v>true</v>
      </c>
      <c r="U586" s="700"/>
      <c r="V586" s="700"/>
      <c r="W586" s="700"/>
      <c r="X586" s="1563"/>
      <c r="Y586" s="700"/>
      <c r="Z586" s="1546"/>
      <c r="AA586" s="700"/>
      <c r="AB586" s="211" cm="1" t="str">
        <f t="array" ref="AB586:AB586">D586</f>
        <v>11</v>
      </c>
      <c r="AC586" s="212" t="s">
        <v>2575</v>
      </c>
      <c r="AD586" s="211" t="s">
        <v>1247</v>
      </c>
      <c r="AE586" s="785">
        <f>_xlfn.SUMIFS(Баланс!AE$26:AE$482,Баланс!$F$26:$F$482,$F586,Баланс!$G$26:$G$482,"ПО")</f>
        <v>0</v>
      </c>
      <c r="AF586" s="785">
        <f>_xlfn.SUMIFS(Баланс!AF$26:AF$482,Баланс!$F$26:$F$482,$F586,Баланс!$G$26:$G$482,"ПО")</f>
        <v>0</v>
      </c>
      <c r="AG586" s="785">
        <f>_xlfn.SUMIFS(Баланс!AG$26:AG$482,Баланс!$F$26:$F$482,$F586,Баланс!$G$26:$G$482,"ПО")</f>
        <v>0</v>
      </c>
      <c r="AH586" s="786">
        <f>AG586-AF586</f>
        <v>0</v>
      </c>
      <c r="AI586" s="786">
        <f>_xlfn.SUMIFS(Баланс!AH$26:AH$482,Баланс!$F$26:$F$482,$F586,Баланс!$G$26:$G$482,"ПО")</f>
        <v>0</v>
      </c>
      <c r="AJ586" s="786">
        <f>_xlfn.SUMIFS(Баланс!AI$26:AI$482,Баланс!$F$26:$F$482,$F586,Баланс!$G$26:$G$482,"ПО")</f>
        <v>1778.84536</v>
      </c>
      <c r="AK586" s="786">
        <f>_xlfn.SUMIFS(Баланс!AJ$26:AJ$482,Баланс!$F$26:$F$482,$F586,Баланс!$G$26:$G$482,"ПО")</f>
        <v>1778.84536</v>
      </c>
      <c r="AL586" s="786">
        <f>_xlfn.SUMIFS(Баланс!AK$26:AK$482,Баланс!$F$26:$F$482,$F586,Баланс!$G$26:$G$482,"ПО")</f>
        <v>1778.84536</v>
      </c>
      <c r="AM586" s="786">
        <f>_xlfn.SUMIFS(Баланс!AL$26:AL$482,Баланс!$F$26:$F$482,$F586,Баланс!$G$26:$G$482,"ПО")</f>
        <v>1778.84536</v>
      </c>
      <c r="AN586" s="786">
        <f>_xlfn.SUMIFS(Баланс!AM$26:AM$482,Баланс!$F$26:$F$482,$F586,Баланс!$G$26:$G$482,"ПО")</f>
        <v>1778.84536</v>
      </c>
      <c r="AO586" s="786">
        <f>_xlfn.SUMIFS(Баланс!AN$26:AN$482,Баланс!$F$26:$F$482,$F586,Баланс!$G$26:$G$482,"ПО")</f>
        <v>0</v>
      </c>
      <c r="AP586" s="786">
        <f>_xlfn.SUMIFS(Баланс!AO$26:AO$482,Баланс!$F$26:$F$482,$F586,Баланс!$G$26:$G$482,"ПО")</f>
        <v>0</v>
      </c>
      <c r="AQ586" s="786">
        <f>_xlfn.SUMIFS(Баланс!AP$26:AP$482,Баланс!$F$26:$F$482,$F586,Баланс!$G$26:$G$482,"ПО")</f>
        <v>0</v>
      </c>
      <c r="AR586" s="786">
        <f>_xlfn.SUMIFS(Баланс!AQ$26:AQ$482,Баланс!$F$26:$F$482,$F586,Баланс!$G$26:$G$482,"ПО")</f>
        <v>0</v>
      </c>
      <c r="AS586" s="786">
        <f>_xlfn.SUMIFS(Баланс!AR$26:AR$482,Баланс!$F$26:$F$482,$F586,Баланс!$G$26:$G$482,"ПО")</f>
        <v>0</v>
      </c>
      <c r="AT586" s="786">
        <f>_xlfn.SUMIFS(Баланс!AS$26:AS$482,Баланс!$F$26:$F$482,$F586,Баланс!$G$26:$G$482,"ПО")</f>
        <v>1778.84536</v>
      </c>
      <c r="AU586" s="786">
        <f>_xlfn.SUMIFS(Баланс!AT$26:AT$482,Баланс!$F$26:$F$482,$F586,Баланс!$G$26:$G$482,"ПО")</f>
        <v>1778.84536</v>
      </c>
      <c r="AV586" s="786">
        <f>_xlfn.SUMIFS(Баланс!AU$26:AU$482,Баланс!$F$26:$F$482,$F586,Баланс!$G$26:$G$482,"ПО")</f>
        <v>1778.84536</v>
      </c>
      <c r="AW586" s="786">
        <f>_xlfn.SUMIFS(Баланс!AV$26:AV$482,Баланс!$F$26:$F$482,$F586,Баланс!$G$26:$G$482,"ПО")</f>
        <v>1778.84536</v>
      </c>
      <c r="AX586" s="786">
        <f>_xlfn.SUMIFS(Баланс!AW$26:AW$482,Баланс!$F$26:$F$482,$F586,Баланс!$G$26:$G$482,"ПО")</f>
        <v>1778.84536</v>
      </c>
      <c r="AY586" s="786">
        <f>_xlfn.SUMIFS(Баланс!AX$26:AX$482,Баланс!$F$26:$F$482,$F586,Баланс!$G$26:$G$482,"ПО")</f>
        <v>0</v>
      </c>
      <c r="AZ586" s="786">
        <f>_xlfn.SUMIFS(Баланс!AY$26:AY$482,Баланс!$F$26:$F$482,$F586,Баланс!$G$26:$G$482,"ПО")</f>
        <v>0</v>
      </c>
      <c r="BA586" s="786">
        <f>_xlfn.SUMIFS(Баланс!AZ$26:AZ$482,Баланс!$F$26:$F$482,$F586,Баланс!$G$26:$G$482,"ПО")</f>
        <v>0</v>
      </c>
      <c r="BB586" s="786">
        <f>_xlfn.SUMIFS(Баланс!BA$26:BA$482,Баланс!$F$26:$F$482,$F586,Баланс!$G$26:$G$482,"ПО")</f>
        <v>0</v>
      </c>
      <c r="BC586" s="786">
        <f>_xlfn.SUMIFS(Баланс!BB$26:BB$482,Баланс!$F$26:$F$482,$F586,Баланс!$G$26:$G$482,"ПО")</f>
        <v>0</v>
      </c>
      <c r="BD586" s="764"/>
      <c r="BE586" s="764"/>
      <c r="BF586" s="764"/>
      <c r="BG586" s="764"/>
      <c r="BH586" s="764"/>
      <c r="BI586" s="764"/>
      <c r="BJ586" s="764"/>
      <c r="BK586" s="764"/>
      <c r="BL586" s="764"/>
      <c r="BM586" s="764"/>
      <c r="BN586" s="7771"/>
      <c r="BO586" s="7771"/>
      <c r="BP586" s="7771"/>
      <c r="BQ586" s="700"/>
      <c r="BR586" s="700"/>
      <c r="BS586" s="1063" t="s">
        <v>2576</v>
      </c>
      <c r="BT586" s="1070"/>
      <c r="BU586" s="1070"/>
      <c r="BV586" s="707"/>
      <c r="BW586" s="707"/>
    </row>
    <row s="1834" customFormat="1" customHeight="1" ht="14.25">
      <c r="A587" s="1278"/>
      <c r="B587" s="978"/>
      <c r="C587" s="1278"/>
      <c r="D587" s="107" cm="1" t="str">
        <f t="array" ref="D587:D587">D586</f>
        <v>11</v>
      </c>
      <c r="E587" s="703">
        <v>15</v>
      </c>
      <c r="F587" s="50" cm="1" t="str">
        <f t="array" ref="F587:F587">OFFSET(E587,-1,1)</f>
        <v>3</v>
      </c>
      <c r="G587" s="158" t="s">
        <v>2373</v>
      </c>
      <c r="H587" s="1278"/>
      <c r="I587" s="158" t="s">
        <v>2899</v>
      </c>
      <c r="J587" s="1278"/>
      <c r="K587" s="158" t="s">
        <v>2899</v>
      </c>
      <c r="L587" s="980" t="s">
        <v>2577</v>
      </c>
      <c r="M587" s="107"/>
      <c r="N587" s="1278"/>
      <c r="O587" s="1278"/>
      <c r="P587" s="1278"/>
      <c r="Q587" s="1278"/>
      <c r="R587" s="1278"/>
      <c r="S587" s="1278"/>
      <c r="T587" s="465" cm="1" t="str">
        <f t="array" ref="T587:T587">T586</f>
        <v>true</v>
      </c>
      <c r="U587" s="1278"/>
      <c r="V587" s="1278"/>
      <c r="W587" s="1278"/>
      <c r="X587" s="1563"/>
      <c r="Y587" s="1278"/>
      <c r="Z587" s="1546"/>
      <c r="AA587" s="1278"/>
      <c r="AB587" s="300" t="str">
        <f>D587&amp;".1"</f>
        <v>11.1</v>
      </c>
      <c r="AC587" s="1111" t="s">
        <v>2579</v>
      </c>
      <c r="AD587" s="300" t="s">
        <v>1247</v>
      </c>
      <c r="AE587" s="7787">
        <f>IF(AE$24="2026 год",AE586/12*9,AE586/2)</f>
        <v>0</v>
      </c>
      <c r="AF587" s="7787">
        <f>IF(AF$24="2026 год",AF586/12*9,AF586/2)</f>
        <v>0</v>
      </c>
      <c r="AG587" s="7787">
        <f>IF(AG$24="2026 год",AG586/12*9,AG586/2)</f>
        <v>0</v>
      </c>
      <c r="AH587" s="941">
        <f>AG587-AF587</f>
        <v>0</v>
      </c>
      <c r="AI587" s="7497">
        <f>IF(AI$24="2026 год",AI586/12*9,AI586/2)</f>
        <v>0</v>
      </c>
      <c r="AJ587" s="7787">
        <f>IF(AJ$24="2026 год",AJ586/12*9,AJ586/2)</f>
        <v>1334.13402</v>
      </c>
      <c r="AK587" s="7787">
        <f>IF(AK$24="2026 год",AK586/12*9,AK586/2)</f>
        <v>889.42268</v>
      </c>
      <c r="AL587" s="7497">
        <f>IF(AL$24="2026 год",AL586/12*9,AL586/2)</f>
        <v>889.42268</v>
      </c>
      <c r="AM587" s="7497">
        <f>IF(AM$24="2026 год",AM586/12*9,AM586/2)</f>
        <v>889.42268</v>
      </c>
      <c r="AN587" s="7497">
        <f>IF(AN$24="2026 год",AN586/12*9,AN586/2)</f>
        <v>889.42268</v>
      </c>
      <c r="AO587" s="1261">
        <f>IF(AO$24="2026 год",AO586/12*9,AO586/2)</f>
        <v>0</v>
      </c>
      <c r="AP587" s="1261">
        <f>IF(AP$24="2026 год",AP586/12*9,AP586/2)</f>
        <v>0</v>
      </c>
      <c r="AQ587" s="1261">
        <f>IF(AQ$24="2026 год",AQ586/12*9,AQ586/2)</f>
        <v>0</v>
      </c>
      <c r="AR587" s="1261">
        <f>IF(AR$24="2026 год",AR586/12*9,AR586/2)</f>
        <v>0</v>
      </c>
      <c r="AS587" s="1261">
        <f>IF(AS$24="2026 год",AS586/12*9,AS586/2)</f>
        <v>0</v>
      </c>
      <c r="AT587" s="7497">
        <f>IF(AT$24="2026 год",AT586/12*9,AT586/2)</f>
        <v>1334.13402</v>
      </c>
      <c r="AU587" s="7497">
        <f>IF(AU$24="2026 год",AU586/12*9,AU586/2)</f>
        <v>889.42268</v>
      </c>
      <c r="AV587" s="7497">
        <f>IF(AV$24="2026 год",AV586/12*9,AV586/2)</f>
        <v>889.42268</v>
      </c>
      <c r="AW587" s="7497">
        <f>IF(AW$24="2026 год",AW586/12*9,AW586/2)</f>
        <v>889.42268</v>
      </c>
      <c r="AX587" s="7497">
        <f>IF(AX$24="2026 год",AX586/12*9,AX586/2)</f>
        <v>889.42268</v>
      </c>
      <c r="AY587" s="1261">
        <f>IF(AY$24="2026 год",AY586/12*9,AY586/2)</f>
        <v>0</v>
      </c>
      <c r="AZ587" s="1261">
        <f>IF(AZ$24="2026 год",AZ586/12*9,AZ586/2)</f>
        <v>0</v>
      </c>
      <c r="BA587" s="1261">
        <f>IF(BA$24="2026 год",BA586/12*9,BA586/2)</f>
        <v>0</v>
      </c>
      <c r="BB587" s="1261">
        <f>IF(BB$24="2026 год",BB586/12*9,BB586/2)</f>
        <v>0</v>
      </c>
      <c r="BC587" s="1261">
        <f>IF(BC$24="2026 год",BC586/12*9,BC586/2)</f>
        <v>0</v>
      </c>
      <c r="BD587" s="942"/>
      <c r="BE587" s="942"/>
      <c r="BF587" s="942"/>
      <c r="BG587" s="942"/>
      <c r="BH587" s="942"/>
      <c r="BI587" s="942"/>
      <c r="BJ587" s="942"/>
      <c r="BK587" s="942"/>
      <c r="BL587" s="942"/>
      <c r="BM587" s="942"/>
      <c r="BN587" s="7771"/>
      <c r="BO587" s="7771"/>
      <c r="BP587" s="7771"/>
      <c r="BQ587" s="1278"/>
      <c r="BR587" s="1278"/>
      <c r="BS587" s="1062" t="s">
        <v>2580</v>
      </c>
      <c r="BT587" s="1064"/>
      <c r="BU587" s="1064"/>
      <c r="BV587" s="979"/>
      <c r="BW587" s="979"/>
    </row>
    <row s="1834" customFormat="1" customHeight="1" ht="14.25">
      <c r="A588" s="1278"/>
      <c r="B588" s="978"/>
      <c r="C588" s="1278"/>
      <c r="D588" s="107" cm="1" t="str">
        <f t="array" ref="D588:D588">D587</f>
        <v>11</v>
      </c>
      <c r="E588" s="703">
        <v>15</v>
      </c>
      <c r="F588" s="50" cm="1" t="str">
        <f t="array" ref="F588:F588">OFFSET(E588,-1,1)</f>
        <v>3</v>
      </c>
      <c r="G588" s="158" t="s">
        <v>2334</v>
      </c>
      <c r="H588" s="1278"/>
      <c r="I588" s="158" t="s">
        <v>2900</v>
      </c>
      <c r="J588" s="1278"/>
      <c r="K588" s="158" t="s">
        <v>2900</v>
      </c>
      <c r="L588" s="980" t="s">
        <v>2581</v>
      </c>
      <c r="M588" s="107"/>
      <c r="N588" s="1278"/>
      <c r="O588" s="1278"/>
      <c r="P588" s="1278"/>
      <c r="Q588" s="1278"/>
      <c r="R588" s="1278"/>
      <c r="S588" s="1278"/>
      <c r="T588" s="465" cm="1" t="str">
        <f t="array" ref="T588:T588">T587</f>
        <v>true</v>
      </c>
      <c r="U588" s="1278"/>
      <c r="V588" s="1278"/>
      <c r="W588" s="1278"/>
      <c r="X588" s="1563"/>
      <c r="Y588" s="1278"/>
      <c r="Z588" s="1546"/>
      <c r="AA588" s="1278"/>
      <c r="AB588" s="300" t="str">
        <f>D588&amp;".2"</f>
        <v>11.2</v>
      </c>
      <c r="AC588" s="1111" t="s">
        <v>2583</v>
      </c>
      <c r="AD588" s="300" t="s">
        <v>2337</v>
      </c>
      <c r="AE588" s="7773"/>
      <c r="AF588" s="7773"/>
      <c r="AG588" s="7773"/>
      <c r="AH588" s="943">
        <f>AG588-AF588</f>
        <v>0</v>
      </c>
      <c r="AI588" s="7501"/>
      <c r="AJ588" s="7501"/>
      <c r="AK588" s="7501"/>
      <c r="AL588" s="7501"/>
      <c r="AM588" s="7501"/>
      <c r="AN588" s="7501"/>
      <c r="AO588" s="1262"/>
      <c r="AP588" s="1262"/>
      <c r="AQ588" s="1262"/>
      <c r="AR588" s="1262"/>
      <c r="AS588" s="1262"/>
      <c r="AT588" s="7501"/>
      <c r="AU588" s="7501" cm="1" t="str">
        <f t="array" ref="AU588:AU588">AT590</f>
        <v>57.7565806957475</v>
      </c>
      <c r="AV588" s="7501" cm="1" t="str">
        <f t="array" ref="AV588:AV588">AU590</f>
        <v>-26.4021751637106</v>
      </c>
      <c r="AW588" s="7501" cm="1" t="str">
        <f t="array" ref="AW588:AW588">AV590</f>
        <v>60.9056200208956</v>
      </c>
      <c r="AX588" s="7501" cm="1" t="str">
        <f t="array" ref="AX588:AX588">AW590</f>
        <v>-20.4501683307763</v>
      </c>
      <c r="AY588" s="1262" cm="1" t="str">
        <f t="array" ref="AY588:AY588">AX590</f>
        <v>78.6031754943773</v>
      </c>
      <c r="AZ588" s="1262" cm="1" t="str">
        <f t="array" ref="AZ588:AZ588">AY590</f>
        <v>0</v>
      </c>
      <c r="BA588" s="1262" cm="1" t="str">
        <f t="array" ref="BA588:BA588">AZ590</f>
        <v>0</v>
      </c>
      <c r="BB588" s="1262" cm="1" t="str">
        <f t="array" ref="BB588:BB588">BA590</f>
        <v>0</v>
      </c>
      <c r="BC588" s="1262" cm="1" t="str">
        <f t="array" ref="BC588:BC588">BB590</f>
        <v>0</v>
      </c>
      <c r="BD588" s="942"/>
      <c r="BE588" s="942"/>
      <c r="BF588" s="942"/>
      <c r="BG588" s="942"/>
      <c r="BH588" s="942"/>
      <c r="BI588" s="942"/>
      <c r="BJ588" s="942"/>
      <c r="BK588" s="942"/>
      <c r="BL588" s="942"/>
      <c r="BM588" s="942"/>
      <c r="BN588" s="7771"/>
      <c r="BO588" s="7771"/>
      <c r="BP588" s="7771"/>
      <c r="BQ588" s="1278"/>
      <c r="BR588" s="1278"/>
      <c r="BS588" s="1062" t="s">
        <v>2584</v>
      </c>
      <c r="BT588" s="1064"/>
      <c r="BU588" s="1064"/>
      <c r="BV588" s="979"/>
      <c r="BW588" s="979"/>
    </row>
    <row s="1834" customFormat="1" customHeight="1" ht="14.25">
      <c r="A589" s="1278"/>
      <c r="B589" s="978"/>
      <c r="C589" s="1278"/>
      <c r="D589" s="107" cm="1" t="str">
        <f t="array" ref="D589:D589">D588</f>
        <v>11</v>
      </c>
      <c r="E589" s="703">
        <v>15</v>
      </c>
      <c r="F589" s="50" cm="1" t="str">
        <f t="array" ref="F589:F589">OFFSET(E589,-1,1)</f>
        <v>3</v>
      </c>
      <c r="G589" s="158" t="s">
        <v>2386</v>
      </c>
      <c r="H589" s="1278"/>
      <c r="I589" s="158" t="s">
        <v>2901</v>
      </c>
      <c r="J589" s="1278"/>
      <c r="K589" s="158" t="s">
        <v>2901</v>
      </c>
      <c r="L589" s="980" t="s">
        <v>2585</v>
      </c>
      <c r="M589" s="107"/>
      <c r="N589" s="1278"/>
      <c r="O589" s="1278"/>
      <c r="P589" s="1278"/>
      <c r="Q589" s="1278"/>
      <c r="R589" s="1278"/>
      <c r="S589" s="1278"/>
      <c r="T589" s="465" cm="1" t="str">
        <f t="array" ref="T589:T589">T588</f>
        <v>true</v>
      </c>
      <c r="U589" s="1278"/>
      <c r="V589" s="1278"/>
      <c r="W589" s="1278"/>
      <c r="X589" s="1563"/>
      <c r="Y589" s="1278"/>
      <c r="Z589" s="1546"/>
      <c r="AA589" s="1278"/>
      <c r="AB589" s="300" t="str">
        <f>D589&amp;".3"</f>
        <v>11.3</v>
      </c>
      <c r="AC589" s="1111" t="s">
        <v>2902</v>
      </c>
      <c r="AD589" s="300" t="s">
        <v>1247</v>
      </c>
      <c r="AE589" s="946">
        <f>AE586-AE587</f>
        <v>0</v>
      </c>
      <c r="AF589" s="946">
        <f>AF586-AF587</f>
        <v>0</v>
      </c>
      <c r="AG589" s="946">
        <f>AG586-AG587</f>
        <v>0</v>
      </c>
      <c r="AH589" s="941">
        <f>AG589-AF589</f>
        <v>0</v>
      </c>
      <c r="AI589" s="825">
        <f>AI586-AI587</f>
        <v>0</v>
      </c>
      <c r="AJ589" s="825">
        <f>AJ586-AJ587</f>
        <v>444.71134</v>
      </c>
      <c r="AK589" s="825">
        <f>AK586-AK587</f>
        <v>889.42268</v>
      </c>
      <c r="AL589" s="825">
        <f>AL586-AL587</f>
        <v>889.42268</v>
      </c>
      <c r="AM589" s="825">
        <f>AM586-AM587</f>
        <v>889.42268</v>
      </c>
      <c r="AN589" s="825">
        <f>AN586-AN587</f>
        <v>889.42268</v>
      </c>
      <c r="AO589" s="825">
        <f>AO586-AO587</f>
        <v>0</v>
      </c>
      <c r="AP589" s="825">
        <f>AP586-AP587</f>
        <v>0</v>
      </c>
      <c r="AQ589" s="825">
        <f>AQ586-AQ587</f>
        <v>0</v>
      </c>
      <c r="AR589" s="825">
        <f>AR586-AR587</f>
        <v>0</v>
      </c>
      <c r="AS589" s="825">
        <f>AS586-AS587</f>
        <v>0</v>
      </c>
      <c r="AT589" s="825">
        <f>AT586-AT587</f>
        <v>444.71134</v>
      </c>
      <c r="AU589" s="825">
        <f>AU586-AU587</f>
        <v>889.42268</v>
      </c>
      <c r="AV589" s="825">
        <f>AV586-AV587</f>
        <v>889.42268</v>
      </c>
      <c r="AW589" s="825">
        <f>AW586-AW587</f>
        <v>889.42268</v>
      </c>
      <c r="AX589" s="825">
        <f>AX586-AX587</f>
        <v>889.42268</v>
      </c>
      <c r="AY589" s="825">
        <f>AY586-AY587</f>
        <v>0</v>
      </c>
      <c r="AZ589" s="825">
        <f>AZ586-AZ587</f>
        <v>0</v>
      </c>
      <c r="BA589" s="825">
        <f>BA586-BA587</f>
        <v>0</v>
      </c>
      <c r="BB589" s="825">
        <f>BB586-BB587</f>
        <v>0</v>
      </c>
      <c r="BC589" s="825">
        <f>BC586-BC587</f>
        <v>0</v>
      </c>
      <c r="BD589" s="942"/>
      <c r="BE589" s="942"/>
      <c r="BF589" s="942"/>
      <c r="BG589" s="942"/>
      <c r="BH589" s="942"/>
      <c r="BI589" s="942"/>
      <c r="BJ589" s="942"/>
      <c r="BK589" s="942"/>
      <c r="BL589" s="942"/>
      <c r="BM589" s="942"/>
      <c r="BN589" s="7771"/>
      <c r="BO589" s="7771"/>
      <c r="BP589" s="7771"/>
      <c r="BQ589" s="1278"/>
      <c r="BR589" s="1278"/>
      <c r="BS589" s="1062" t="s">
        <v>2588</v>
      </c>
      <c r="BT589" s="1064"/>
      <c r="BU589" s="1064"/>
      <c r="BV589" s="979"/>
      <c r="BW589" s="979"/>
    </row>
    <row s="1834" customFormat="1" customHeight="1" ht="14.25">
      <c r="A590" s="1278"/>
      <c r="B590" s="978"/>
      <c r="C590" s="1278"/>
      <c r="D590" s="107" cm="1" t="str">
        <f t="array" ref="D590:D590">D589</f>
        <v>11</v>
      </c>
      <c r="E590" s="703">
        <v>15</v>
      </c>
      <c r="F590" s="50" cm="1" t="str">
        <f t="array" ref="F590:F590">OFFSET(E590,-1,1)</f>
        <v>3</v>
      </c>
      <c r="G590" s="158" t="s">
        <v>2339</v>
      </c>
      <c r="H590" s="1278"/>
      <c r="I590" s="158" t="s">
        <v>2903</v>
      </c>
      <c r="J590" s="1278"/>
      <c r="K590" s="158" t="s">
        <v>2903</v>
      </c>
      <c r="L590" s="980" t="s">
        <v>2589</v>
      </c>
      <c r="M590" s="107"/>
      <c r="N590" s="1278"/>
      <c r="O590" s="1278"/>
      <c r="P590" s="1278"/>
      <c r="Q590" s="1278"/>
      <c r="R590" s="1278"/>
      <c r="S590" s="1278"/>
      <c r="T590" s="465" cm="1" t="str">
        <f t="array" ref="T590:T590">T589</f>
        <v>true</v>
      </c>
      <c r="U590" s="1278"/>
      <c r="V590" s="1278"/>
      <c r="W590" s="1278"/>
      <c r="X590" s="1563"/>
      <c r="Y590" s="1278"/>
      <c r="Z590" s="1546"/>
      <c r="AA590" s="1278"/>
      <c r="AB590" s="300" t="str">
        <f>D590&amp;".4"</f>
        <v>11.4</v>
      </c>
      <c r="AC590" s="1111" t="s">
        <v>2591</v>
      </c>
      <c r="AD590" s="300" t="s">
        <v>2337</v>
      </c>
      <c r="AE590" s="7773">
        <f>IF(AE589=0,0,(AE583-AE587*AE588)/AE589)</f>
        <v>0</v>
      </c>
      <c r="AF590" s="7773">
        <f>IF(AF589=0,0,(AF583-AF587*AF588)/AF589)</f>
        <v>0</v>
      </c>
      <c r="AG590" s="7773">
        <f>IF(AG589=0,0,(AG583-AG587*AG588)/AG589)</f>
        <v>0</v>
      </c>
      <c r="AH590" s="943">
        <f>AG590-AF590</f>
        <v>0</v>
      </c>
      <c r="AI590" s="7501">
        <f>IF(AI589=0,0,(AI583-AI587*AI588)/AI589)</f>
        <v>0</v>
      </c>
      <c r="AJ590" s="7501">
        <f>IF(AJ589=0,0,(AJ583-AJ587*AJ588)/AJ589)</f>
        <v>57.7565716705673</v>
      </c>
      <c r="AK590" s="7501">
        <f>IF(AK589=0,0,(AK583-AK587*AK588)/AK589)</f>
        <v>31.3544011312676</v>
      </c>
      <c r="AL590" s="7501">
        <f>IF(AL589=0,0,(AL583-AL587*AL588)/AL589)</f>
        <v>34.5034414842105</v>
      </c>
      <c r="AM590" s="7501">
        <f>IF(AM589=0,0,(AM583-AM587*AM588)/AM589)</f>
        <v>40.4554516901193</v>
      </c>
      <c r="AN590" s="7501">
        <f>IF(AN589=0,0,(AN583-AN587*AN588)/AN589)</f>
        <v>58.153007163601</v>
      </c>
      <c r="AO590" s="1262">
        <f>IF(AO589=0,0,(AO583-AO587*AO588)/AO589)</f>
        <v>0</v>
      </c>
      <c r="AP590" s="1262">
        <f>IF(AP589=0,0,(AP583-AP587*AP588)/AP589)</f>
        <v>0</v>
      </c>
      <c r="AQ590" s="1262">
        <f>IF(AQ589=0,0,(AQ583-AQ587*AQ588)/AQ589)</f>
        <v>0</v>
      </c>
      <c r="AR590" s="1262">
        <f>IF(AR589=0,0,(AR583-AR587*AR588)/AR589)</f>
        <v>0</v>
      </c>
      <c r="AS590" s="1262">
        <f>IF(AS589=0,0,(AS583-AS587*AS588)/AS589)</f>
        <v>0</v>
      </c>
      <c r="AT590" s="7501">
        <f>IF(AT589=0,0,(AT583-AT587*AT588)/AT589)</f>
        <v>57.7565806957475</v>
      </c>
      <c r="AU590" s="7501">
        <f>IF(AU589=0,0,(AU583-AU587*AU588)/AU589)</f>
        <v>-26.4021751637106</v>
      </c>
      <c r="AV590" s="7501">
        <f>IF(AV589=0,0,(AV583-AV587*AV588)/AV589)</f>
        <v>60.9056200208956</v>
      </c>
      <c r="AW590" s="7501">
        <f>IF(AW589=0,0,(AW583-AW587*AW588)/AW589)</f>
        <v>-20.4501683307763</v>
      </c>
      <c r="AX590" s="7501">
        <f>IF(AX589=0,0,(AX583-AX587*AX588)/AX589)</f>
        <v>78.6031754943773</v>
      </c>
      <c r="AY590" s="1262">
        <f>IF(AY589=0,0,(AY583-AY587*AY588)/AY589)</f>
        <v>0</v>
      </c>
      <c r="AZ590" s="1262">
        <f>IF(AZ589=0,0,(AZ583-AZ587*AZ588)/AZ589)</f>
        <v>0</v>
      </c>
      <c r="BA590" s="1262">
        <f>IF(BA589=0,0,(BA583-BA587*BA588)/BA589)</f>
        <v>0</v>
      </c>
      <c r="BB590" s="1262">
        <f>IF(BB589=0,0,(BB583-BB587*BB588)/BB589)</f>
        <v>0</v>
      </c>
      <c r="BC590" s="1262">
        <f>IF(BC589=0,0,(BC583-BC587*BC588)/BC589)</f>
        <v>0</v>
      </c>
      <c r="BD590" s="942"/>
      <c r="BE590" s="942"/>
      <c r="BF590" s="942"/>
      <c r="BG590" s="942"/>
      <c r="BH590" s="942"/>
      <c r="BI590" s="942"/>
      <c r="BJ590" s="942"/>
      <c r="BK590" s="942"/>
      <c r="BL590" s="942"/>
      <c r="BM590" s="942"/>
      <c r="BN590" s="7771"/>
      <c r="BO590" s="7771"/>
      <c r="BP590" s="7771"/>
      <c r="BQ590" s="1278"/>
      <c r="BR590" s="1278"/>
      <c r="BS590" s="1062" t="s">
        <v>2592</v>
      </c>
      <c r="BT590" s="1064"/>
      <c r="BU590" s="1064"/>
      <c r="BV590" s="979"/>
      <c r="BW590" s="979"/>
    </row>
    <row s="1834" customFormat="1" customHeight="1" ht="14.25">
      <c r="A591" s="1278"/>
      <c r="B591" s="978"/>
      <c r="C591" s="1278"/>
      <c r="D591" s="107" cm="1" t="str">
        <f t="array" ref="D591:D591">D590</f>
        <v>11</v>
      </c>
      <c r="E591" s="703">
        <v>15</v>
      </c>
      <c r="F591" s="50" cm="1" t="str">
        <f t="array" ref="F591:F591">OFFSET(E591,-1,1)</f>
        <v>3</v>
      </c>
      <c r="G591" s="1278"/>
      <c r="H591" s="1278"/>
      <c r="I591" s="158" t="s">
        <v>2904</v>
      </c>
      <c r="J591" s="1278"/>
      <c r="K591" s="158" t="s">
        <v>2904</v>
      </c>
      <c r="L591" s="980" t="s">
        <v>2593</v>
      </c>
      <c r="M591" s="107"/>
      <c r="N591" s="1278"/>
      <c r="O591" s="1278"/>
      <c r="P591" s="1278"/>
      <c r="Q591" s="1278"/>
      <c r="R591" s="1278"/>
      <c r="S591" s="1278"/>
      <c r="T591" s="465" cm="1" t="str">
        <f t="array" ref="T591:T591">T590</f>
        <v>true</v>
      </c>
      <c r="U591" s="1278"/>
      <c r="V591" s="1278"/>
      <c r="W591" s="1278"/>
      <c r="X591" s="1563"/>
      <c r="Y591" s="1278"/>
      <c r="Z591" s="1546"/>
      <c r="AA591" s="1278"/>
      <c r="AB591" s="300" t="str">
        <f>D591&amp;".5"</f>
        <v>11.5</v>
      </c>
      <c r="AC591" s="1111" t="s">
        <v>2595</v>
      </c>
      <c r="AD591" s="300" t="s">
        <v>1170</v>
      </c>
      <c r="AE591" s="259">
        <f>IF(AE588=0,0,AE590/AE588*100)</f>
        <v>0</v>
      </c>
      <c r="AF591" s="259">
        <f>IF(AF588=0,0,AF590/AF588*100)</f>
        <v>0</v>
      </c>
      <c r="AG591" s="259">
        <f>IF(AG588=0,0,AG590/AG588*100)</f>
        <v>0</v>
      </c>
      <c r="AH591" s="942"/>
      <c r="AI591" s="802">
        <f>IF(AI588=0,0,AI590/AI588*100)</f>
        <v>0</v>
      </c>
      <c r="AJ591" s="802">
        <f>IF(AJ588=0,0,AJ590/AJ588*100)</f>
        <v>0</v>
      </c>
      <c r="AK591" s="802">
        <f>IF(AK588=0,0,AK590/AK588*100)</f>
        <v>0</v>
      </c>
      <c r="AL591" s="802">
        <f>IF(AL588=0,0,AL590/AL588*100)</f>
        <v>0</v>
      </c>
      <c r="AM591" s="802">
        <f>IF(AM588=0,0,AM590/AM588*100)</f>
        <v>0</v>
      </c>
      <c r="AN591" s="802">
        <f>IF(AN588=0,0,AN590/AN588*100)</f>
        <v>0</v>
      </c>
      <c r="AO591" s="802">
        <f>IF(AO588=0,0,AO590/AO588*100)</f>
        <v>0</v>
      </c>
      <c r="AP591" s="802">
        <f>IF(AP588=0,0,AP590/AP588*100)</f>
        <v>0</v>
      </c>
      <c r="AQ591" s="802">
        <f>IF(AQ588=0,0,AQ590/AQ588*100)</f>
        <v>0</v>
      </c>
      <c r="AR591" s="802">
        <f>IF(AR588=0,0,AR590/AR588*100)</f>
        <v>0</v>
      </c>
      <c r="AS591" s="802">
        <f>IF(AS588=0,0,AS590/AS588*100)</f>
        <v>0</v>
      </c>
      <c r="AT591" s="802">
        <f>IF(AT588=0,0,AT590/AT588*100)</f>
        <v>0</v>
      </c>
      <c r="AU591" s="802">
        <f>IF(AU588=0,0,AU590/AU588*100)</f>
        <v>-45.7128431871566</v>
      </c>
      <c r="AV591" s="802">
        <f>IF(AV588=0,0,AV590/AV588*100)</f>
        <v>-230.684099485142</v>
      </c>
      <c r="AW591" s="802">
        <f>IF(AW588=0,0,AW590/AW588*100)</f>
        <v>-33.5768165955132</v>
      </c>
      <c r="AX591" s="802">
        <f>IF(AX588=0,0,AX590/AX588*100)</f>
        <v>-384.364442497445</v>
      </c>
      <c r="AY591" s="802">
        <f>IF(AY588=0,0,AY590/AY588*100)</f>
        <v>0</v>
      </c>
      <c r="AZ591" s="802">
        <f>IF(AZ588=0,0,AZ590/AZ588*100)</f>
        <v>0</v>
      </c>
      <c r="BA591" s="802">
        <f>IF(BA588=0,0,BA590/BA588*100)</f>
        <v>0</v>
      </c>
      <c r="BB591" s="802">
        <f>IF(BB588=0,0,BB590/BB588*100)</f>
        <v>0</v>
      </c>
      <c r="BC591" s="802">
        <f>IF(BC588=0,0,BC590/BC588*100)</f>
        <v>0</v>
      </c>
      <c r="BD591" s="942"/>
      <c r="BE591" s="942"/>
      <c r="BF591" s="942"/>
      <c r="BG591" s="942"/>
      <c r="BH591" s="942"/>
      <c r="BI591" s="942"/>
      <c r="BJ591" s="942"/>
      <c r="BK591" s="942"/>
      <c r="BL591" s="942"/>
      <c r="BM591" s="942"/>
      <c r="BN591" s="7771"/>
      <c r="BO591" s="7771"/>
      <c r="BP591" s="7771"/>
      <c r="BQ591" s="1278"/>
      <c r="BR591" s="1278"/>
      <c r="BS591" s="1062" t="s">
        <v>2596</v>
      </c>
      <c r="BT591" s="1064"/>
      <c r="BU591" s="1064"/>
      <c r="BV591" s="979"/>
      <c r="BW591" s="979"/>
    </row>
    <row s="1834" customFormat="1" customHeight="1" ht="14.25">
      <c r="A592" s="1278"/>
      <c r="B592" s="978"/>
      <c r="C592" s="1278"/>
      <c r="D592" s="107" cm="1" t="str">
        <f t="array" ref="D592:D592">D591</f>
        <v>11</v>
      </c>
      <c r="E592" s="703">
        <v>15</v>
      </c>
      <c r="F592" s="50" cm="1" t="str">
        <f t="array" ref="F592:F592">OFFSET(E592,-1,1)</f>
        <v>3</v>
      </c>
      <c r="G592" s="1278"/>
      <c r="H592" s="1278"/>
      <c r="I592" s="158" t="s">
        <v>2905</v>
      </c>
      <c r="J592" s="1278"/>
      <c r="K592" s="158" t="s">
        <v>2905</v>
      </c>
      <c r="L592" s="980" t="s">
        <v>2597</v>
      </c>
      <c r="M592" s="107"/>
      <c r="N592" s="1278"/>
      <c r="O592" s="1278"/>
      <c r="P592" s="1278"/>
      <c r="Q592" s="1278"/>
      <c r="R592" s="1278"/>
      <c r="S592" s="1278"/>
      <c r="T592" s="465" cm="1" t="str">
        <f t="array" ref="T592:T592">T591</f>
        <v>true</v>
      </c>
      <c r="U592" s="1278"/>
      <c r="V592" s="1278"/>
      <c r="W592" s="1278"/>
      <c r="X592" s="1563"/>
      <c r="Y592" s="1278"/>
      <c r="Z592" s="1546"/>
      <c r="AA592" s="1278"/>
      <c r="AB592" s="300" t="str">
        <f>D592&amp;".6"</f>
        <v>11.6</v>
      </c>
      <c r="AC592" s="1111" t="s">
        <v>2599</v>
      </c>
      <c r="AD592" s="300" t="s">
        <v>2337</v>
      </c>
      <c r="AE592" s="7773">
        <f>IF(AE586=0,0,AE583/AE586)</f>
        <v>0</v>
      </c>
      <c r="AF592" s="7773">
        <f>IF(AF586=0,0,AF583/AF586)</f>
        <v>0</v>
      </c>
      <c r="AG592" s="7773">
        <f>IF(AG586=0,0,AG583/AG586)</f>
        <v>0</v>
      </c>
      <c r="AH592" s="943">
        <f>AG592-AF592</f>
        <v>0</v>
      </c>
      <c r="AI592" s="7501">
        <f>IF(AI586=0,0,AI583/AI586)</f>
        <v>0</v>
      </c>
      <c r="AJ592" s="7501">
        <f>IF(AJ586=0,0,AJ583/AJ586)</f>
        <v>14.4391429176418</v>
      </c>
      <c r="AK592" s="7501">
        <f>IF(AK586=0,0,AK583/AK586)</f>
        <v>15.6772005656338</v>
      </c>
      <c r="AL592" s="7501">
        <f>IF(AL586=0,0,AL583/AL586)</f>
        <v>17.2517207421053</v>
      </c>
      <c r="AM592" s="7501">
        <f>IF(AM586=0,0,AM583/AM586)</f>
        <v>20.2277258450596</v>
      </c>
      <c r="AN592" s="7501">
        <f>IF(AN586=0,0,AN583/AN586)</f>
        <v>29.0765035818005</v>
      </c>
      <c r="AO592" s="1262">
        <f>IF(AO586=0,0,AO583/AO586)</f>
        <v>0</v>
      </c>
      <c r="AP592" s="1262">
        <f>IF(AP586=0,0,AP583/AP586)</f>
        <v>0</v>
      </c>
      <c r="AQ592" s="1262">
        <f>IF(AQ586=0,0,AQ583/AQ586)</f>
        <v>0</v>
      </c>
      <c r="AR592" s="1262">
        <f>IF(AR586=0,0,AR583/AR586)</f>
        <v>0</v>
      </c>
      <c r="AS592" s="1262">
        <f>IF(AS586=0,0,AS583/AS586)</f>
        <v>0</v>
      </c>
      <c r="AT592" s="7501">
        <f>IF(AT586=0,0,AT583/AT586)</f>
        <v>14.4391451739369</v>
      </c>
      <c r="AU592" s="7501">
        <f>IF(AU586=0,0,AU583/AU586)</f>
        <v>15.6772027660185</v>
      </c>
      <c r="AV592" s="7501">
        <f>IF(AV586=0,0,AV583/AV586)</f>
        <v>17.2517224285925</v>
      </c>
      <c r="AW592" s="7501">
        <f>IF(AW586=0,0,AW583/AW586)</f>
        <v>20.2277258450596</v>
      </c>
      <c r="AX592" s="7501">
        <f>IF(AX586=0,0,AX583/AX586)</f>
        <v>29.0765035818005</v>
      </c>
      <c r="AY592" s="1262">
        <f>IF(AY586=0,0,AY583/AY586)</f>
        <v>0</v>
      </c>
      <c r="AZ592" s="1262">
        <f>IF(AZ586=0,0,AZ583/AZ586)</f>
        <v>0</v>
      </c>
      <c r="BA592" s="1262">
        <f>IF(BA586=0,0,BA583/BA586)</f>
        <v>0</v>
      </c>
      <c r="BB592" s="1262">
        <f>IF(BB586=0,0,BB583/BB586)</f>
        <v>0</v>
      </c>
      <c r="BC592" s="1262">
        <f>IF(BC586=0,0,BC583/BC586)</f>
        <v>0</v>
      </c>
      <c r="BD592" s="942"/>
      <c r="BE592" s="942"/>
      <c r="BF592" s="942"/>
      <c r="BG592" s="942"/>
      <c r="BH592" s="942"/>
      <c r="BI592" s="942"/>
      <c r="BJ592" s="942"/>
      <c r="BK592" s="942"/>
      <c r="BL592" s="942"/>
      <c r="BM592" s="942"/>
      <c r="BN592" s="7771"/>
      <c r="BO592" s="7771"/>
      <c r="BP592" s="7771"/>
      <c r="BQ592" s="1278"/>
      <c r="BR592" s="1278"/>
      <c r="BS592" s="1062" t="s">
        <v>2600</v>
      </c>
      <c r="BT592" s="1064"/>
      <c r="BU592" s="1064"/>
      <c r="BV592" s="979"/>
      <c r="BW592" s="979"/>
    </row>
    <row s="7905" customFormat="1" customHeight="1" ht="20.25">
      <c r="A593" s="700"/>
      <c r="B593" s="435"/>
      <c r="C593" s="700"/>
      <c r="D593" s="109">
        <f>D592+1</f>
        <v>12</v>
      </c>
      <c r="E593" s="707">
        <v>21</v>
      </c>
      <c r="F593" s="50" cm="1" t="str">
        <f t="array" ref="F593:F593">OFFSET(E593,-1,1)</f>
        <v>3</v>
      </c>
      <c r="G593" s="700"/>
      <c r="H593" s="158"/>
      <c r="I593" s="158" t="s">
        <v>2604</v>
      </c>
      <c r="J593" s="700"/>
      <c r="K593" s="158" t="s">
        <v>2604</v>
      </c>
      <c r="L593" s="985" t="s">
        <v>2601</v>
      </c>
      <c r="M593" s="109"/>
      <c r="N593" s="700"/>
      <c r="O593" s="700"/>
      <c r="P593" s="700"/>
      <c r="Q593" s="700"/>
      <c r="R593" s="700"/>
      <c r="S593" s="700"/>
      <c r="T593" s="465" cm="1" t="str">
        <f t="array" ref="T593:T593">T592</f>
        <v>true</v>
      </c>
      <c r="U593" s="700"/>
      <c r="V593" s="700"/>
      <c r="W593" s="700"/>
      <c r="X593" s="1563"/>
      <c r="Y593" s="700"/>
      <c r="Z593" s="1546"/>
      <c r="AA593" s="700"/>
      <c r="AB593" s="211" cm="1" t="str">
        <f t="array" ref="AB593:AB593">D593</f>
        <v>12</v>
      </c>
      <c r="AC593" s="212" t="s">
        <v>2602</v>
      </c>
      <c r="AD593" s="211" t="s">
        <v>1514</v>
      </c>
      <c r="AE593" s="7499">
        <f>IF(AE586=0,0,AE583/AE586*AE594)</f>
        <v>0</v>
      </c>
      <c r="AF593" s="7499">
        <f>IF(AF586=0,0,AF583/AF586*AF594)</f>
        <v>0</v>
      </c>
      <c r="AG593" s="7499">
        <f>IF(AG586=0,0,AG583/AG586*AG594)</f>
        <v>0</v>
      </c>
      <c r="AH593" s="770">
        <f>AH595*AH596+AH597*AH598</f>
        <v>0</v>
      </c>
      <c r="AI593" s="7789">
        <f>IF(AI586=0,0,AI583/AI586*AI594)</f>
        <v>0</v>
      </c>
      <c r="AJ593" s="7789">
        <f>IF(AJ586=0,0,AJ583/AJ586*AJ594)</f>
        <v>20886.7850896398</v>
      </c>
      <c r="AK593" s="7789">
        <f>IF(AK586=0,0,AK583/AK586*AK594)</f>
        <v>22677.6839102754</v>
      </c>
      <c r="AL593" s="7789">
        <f>IF(AL586=0,0,AL583/AL586*AL594)</f>
        <v>24955.2889407707</v>
      </c>
      <c r="AM593" s="7789">
        <f>IF(AM586=0,0,AM583/AM586*AM594)</f>
        <v>29260.1967435138</v>
      </c>
      <c r="AN593" s="7789">
        <f>IF(AN586=0,0,AN583/AN586*AN594)</f>
        <v>42060.2999038945</v>
      </c>
      <c r="AO593" s="1263">
        <f>IF(AO586=0,0,AO583/AO586*AO594)</f>
        <v>0</v>
      </c>
      <c r="AP593" s="1263">
        <f>IF(AP586=0,0,AP583/AP586*AP594)</f>
        <v>0</v>
      </c>
      <c r="AQ593" s="1263">
        <f>IF(AQ586=0,0,AQ583/AQ586*AQ594)</f>
        <v>0</v>
      </c>
      <c r="AR593" s="1263">
        <f>IF(AR586=0,0,AR583/AR586*AR594)</f>
        <v>0</v>
      </c>
      <c r="AS593" s="1263">
        <f>IF(AS586=0,0,AS583/AS586*AS594)</f>
        <v>0</v>
      </c>
      <c r="AT593" s="7789">
        <f>IF(AT586=0,0,AT583/AT586*AT594)</f>
        <v>20886.7883534589</v>
      </c>
      <c r="AU593" s="7789">
        <f>IF(AU586=0,0,AU583/AU586*AU594)</f>
        <v>22677.6870932179</v>
      </c>
      <c r="AV593" s="7789">
        <f>IF(AV586=0,0,AV583/AV586*AV594)</f>
        <v>24955.2913803405</v>
      </c>
      <c r="AW593" s="7789">
        <f>IF(AW586=0,0,AW583/AW586*AW594)</f>
        <v>29260.1967435138</v>
      </c>
      <c r="AX593" s="7789">
        <f>IF(AX586=0,0,AX583/AX586*AX594)</f>
        <v>42060.2999038945</v>
      </c>
      <c r="AY593" s="1263">
        <f>IF(AY586=0,0,AY583/AY586*AY594)</f>
        <v>0</v>
      </c>
      <c r="AZ593" s="1263">
        <f>IF(AZ586=0,0,AZ583/AZ586*AZ594)</f>
        <v>0</v>
      </c>
      <c r="BA593" s="1263">
        <f>IF(BA586=0,0,BA583/BA586*BA594)</f>
        <v>0</v>
      </c>
      <c r="BB593" s="1263">
        <f>IF(BB586=0,0,BB583/BB586*BB594)</f>
        <v>0</v>
      </c>
      <c r="BC593" s="1263">
        <f>IF(BC586=0,0,BC583/BC586*BC594)</f>
        <v>0</v>
      </c>
      <c r="BD593" s="761">
        <f>IF(AI593=0,0,(AT593-AI593)/AI593*100)</f>
        <v>0</v>
      </c>
      <c r="BE593" s="761">
        <f>IF(AT593=0,0,(AU593-AT593)/AT593*100)</f>
        <v>8.57431362568686</v>
      </c>
      <c r="BF593" s="761">
        <f>IF(AU593=0,0,(AV593-AU593)/AU593*100)</f>
        <v>10.0433711681459</v>
      </c>
      <c r="BG593" s="761">
        <f>IF(AV593=0,0,(AW593-AV593)/AV593*100)</f>
        <v>17.2504712430032</v>
      </c>
      <c r="BH593" s="761">
        <f>IF(AW593=0,0,(AX593-AW593)/AW593*100)</f>
        <v>43.7457863751997</v>
      </c>
      <c r="BI593" s="761">
        <f>IF(AX593=0,0,(AY593-AX593)/AX593*100)</f>
        <v>-100</v>
      </c>
      <c r="BJ593" s="761">
        <f>IF(AY593=0,0,(AZ593-AY593)/AY593*100)</f>
        <v>0</v>
      </c>
      <c r="BK593" s="761">
        <f>IF(AZ593=0,0,(BA593-AZ593)/AZ593*100)</f>
        <v>0</v>
      </c>
      <c r="BL593" s="761">
        <f>IF(BA593=0,0,(BB593-BA593)/BA593*100)</f>
        <v>0</v>
      </c>
      <c r="BM593" s="761">
        <f>IF(BB593=0,0,(BC593-BB593)/BB593*100)</f>
        <v>0</v>
      </c>
      <c r="BN593" s="7771"/>
      <c r="BO593" s="7771"/>
      <c r="BP593" s="7771"/>
      <c r="BQ593" s="700"/>
      <c r="BR593" s="700"/>
      <c r="BS593" s="1063" t="s">
        <v>2603</v>
      </c>
      <c r="BT593" s="1070"/>
      <c r="BU593" s="1070"/>
      <c r="BV593" s="707"/>
      <c r="BW593" s="707"/>
    </row>
    <row s="7906" customFormat="1" customHeight="1" ht="20.25">
      <c r="A594" s="700"/>
      <c r="B594" s="435"/>
      <c r="C594" s="700"/>
      <c r="D594" s="109">
        <f>D593+1</f>
        <v>13</v>
      </c>
      <c r="E594" s="707">
        <v>21</v>
      </c>
      <c r="F594" s="50" cm="1" t="str">
        <f t="array" ref="F594:F594">OFFSET(E594,-1,1)</f>
        <v>3</v>
      </c>
      <c r="G594" s="158" t="s">
        <v>2359</v>
      </c>
      <c r="H594" s="158"/>
      <c r="I594" s="158" t="s">
        <v>2906</v>
      </c>
      <c r="J594" s="700"/>
      <c r="K594" s="158" t="s">
        <v>2906</v>
      </c>
      <c r="L594" s="985" t="s">
        <v>2604</v>
      </c>
      <c r="M594" s="109"/>
      <c r="N594" s="700"/>
      <c r="O594" s="700"/>
      <c r="P594" s="700"/>
      <c r="Q594" s="700"/>
      <c r="R594" s="700"/>
      <c r="S594" s="700"/>
      <c r="T594" s="465" cm="1" t="str">
        <f t="array" ref="T594:T594">T593</f>
        <v>true</v>
      </c>
      <c r="U594" s="700"/>
      <c r="V594" s="700"/>
      <c r="W594" s="700"/>
      <c r="X594" s="1563"/>
      <c r="Y594" s="700"/>
      <c r="Z594" s="1546"/>
      <c r="AA594" s="700"/>
      <c r="AB594" s="211" cm="1" t="str">
        <f t="array" ref="AB594:AB594">D594</f>
        <v>13</v>
      </c>
      <c r="AC594" s="212" t="s">
        <v>2605</v>
      </c>
      <c r="AD594" s="211" t="s">
        <v>1247</v>
      </c>
      <c r="AE594" s="785">
        <f>_xlfn.SUMIFS(Баланс!AE$26:AE$482,Баланс!$F$26:$F$482,$F594,Баланс!$G$26:$G$482,"население")</f>
        <v>0</v>
      </c>
      <c r="AF594" s="785">
        <f>_xlfn.SUMIFS(Баланс!AF$26:AF$482,Баланс!$F$26:$F$482,$F594,Баланс!$G$26:$G$482,"население")</f>
        <v>0</v>
      </c>
      <c r="AG594" s="785">
        <f>_xlfn.SUMIFS(Баланс!AG$26:AG$482,Баланс!$F$26:$F$482,$F594,Баланс!$G$26:$G$482,"население")</f>
        <v>0</v>
      </c>
      <c r="AH594" s="786">
        <f>AG594-AF594</f>
        <v>0</v>
      </c>
      <c r="AI594" s="786">
        <f>_xlfn.SUMIFS(Баланс!AH$26:AH$482,Баланс!$F$26:$F$482,$F594,Баланс!$G$26:$G$482,"население")</f>
        <v>0</v>
      </c>
      <c r="AJ594" s="786">
        <f>_xlfn.SUMIFS(Баланс!AI$26:AI$482,Баланс!$F$26:$F$482,$F594,Баланс!$G$26:$G$482,"население")</f>
        <v>1446.53912</v>
      </c>
      <c r="AK594" s="786">
        <f>_xlfn.SUMIFS(Баланс!AJ$26:AJ$482,Баланс!$F$26:$F$482,$F594,Баланс!$G$26:$G$482,"население")</f>
        <v>1446.53912</v>
      </c>
      <c r="AL594" s="786">
        <f>_xlfn.SUMIFS(Баланс!AK$26:AK$482,Баланс!$F$26:$F$482,$F594,Баланс!$G$26:$G$482,"население")</f>
        <v>1446.53912</v>
      </c>
      <c r="AM594" s="786">
        <f>_xlfn.SUMIFS(Баланс!AL$26:AL$482,Баланс!$F$26:$F$482,$F594,Баланс!$G$26:$G$482,"население")</f>
        <v>1446.53912</v>
      </c>
      <c r="AN594" s="786">
        <f>_xlfn.SUMIFS(Баланс!AM$26:AM$482,Баланс!$F$26:$F$482,$F594,Баланс!$G$26:$G$482,"население")</f>
        <v>1446.53912</v>
      </c>
      <c r="AO594" s="786">
        <f>_xlfn.SUMIFS(Баланс!AN$26:AN$482,Баланс!$F$26:$F$482,$F594,Баланс!$G$26:$G$482,"население")</f>
        <v>0</v>
      </c>
      <c r="AP594" s="786">
        <f>_xlfn.SUMIFS(Баланс!AO$26:AO$482,Баланс!$F$26:$F$482,$F594,Баланс!$G$26:$G$482,"население")</f>
        <v>0</v>
      </c>
      <c r="AQ594" s="786">
        <f>_xlfn.SUMIFS(Баланс!AP$26:AP$482,Баланс!$F$26:$F$482,$F594,Баланс!$G$26:$G$482,"население")</f>
        <v>0</v>
      </c>
      <c r="AR594" s="786">
        <f>_xlfn.SUMIFS(Баланс!AQ$26:AQ$482,Баланс!$F$26:$F$482,$F594,Баланс!$G$26:$G$482,"население")</f>
        <v>0</v>
      </c>
      <c r="AS594" s="786">
        <f>_xlfn.SUMIFS(Баланс!AR$26:AR$482,Баланс!$F$26:$F$482,$F594,Баланс!$G$26:$G$482,"население")</f>
        <v>0</v>
      </c>
      <c r="AT594" s="786">
        <f>_xlfn.SUMIFS(Баланс!AS$26:AS$482,Баланс!$F$26:$F$482,$F594,Баланс!$G$26:$G$482,"население")</f>
        <v>1446.53912</v>
      </c>
      <c r="AU594" s="786">
        <f>_xlfn.SUMIFS(Баланс!AT$26:AT$482,Баланс!$F$26:$F$482,$F594,Баланс!$G$26:$G$482,"население")</f>
        <v>1446.53912</v>
      </c>
      <c r="AV594" s="786">
        <f>_xlfn.SUMIFS(Баланс!AU$26:AU$482,Баланс!$F$26:$F$482,$F594,Баланс!$G$26:$G$482,"население")</f>
        <v>1446.53912</v>
      </c>
      <c r="AW594" s="786">
        <f>_xlfn.SUMIFS(Баланс!AV$26:AV$482,Баланс!$F$26:$F$482,$F594,Баланс!$G$26:$G$482,"население")</f>
        <v>1446.53912</v>
      </c>
      <c r="AX594" s="786">
        <f>_xlfn.SUMIFS(Баланс!AW$26:AW$482,Баланс!$F$26:$F$482,$F594,Баланс!$G$26:$G$482,"население")</f>
        <v>1446.53912</v>
      </c>
      <c r="AY594" s="786">
        <f>_xlfn.SUMIFS(Баланс!AX$26:AX$482,Баланс!$F$26:$F$482,$F594,Баланс!$G$26:$G$482,"население")</f>
        <v>0</v>
      </c>
      <c r="AZ594" s="786">
        <f>_xlfn.SUMIFS(Баланс!AY$26:AY$482,Баланс!$F$26:$F$482,$F594,Баланс!$G$26:$G$482,"население")</f>
        <v>0</v>
      </c>
      <c r="BA594" s="786">
        <f>_xlfn.SUMIFS(Баланс!AZ$26:AZ$482,Баланс!$F$26:$F$482,$F594,Баланс!$G$26:$G$482,"население")</f>
        <v>0</v>
      </c>
      <c r="BB594" s="786">
        <f>_xlfn.SUMIFS(Баланс!BA$26:BA$482,Баланс!$F$26:$F$482,$F594,Баланс!$G$26:$G$482,"население")</f>
        <v>0</v>
      </c>
      <c r="BC594" s="786">
        <f>_xlfn.SUMIFS(Баланс!BB$26:BB$482,Баланс!$F$26:$F$482,$F594,Баланс!$G$26:$G$482,"население")</f>
        <v>0</v>
      </c>
      <c r="BD594" s="764"/>
      <c r="BE594" s="764"/>
      <c r="BF594" s="764"/>
      <c r="BG594" s="764"/>
      <c r="BH594" s="764"/>
      <c r="BI594" s="764"/>
      <c r="BJ594" s="764"/>
      <c r="BK594" s="764"/>
      <c r="BL594" s="764"/>
      <c r="BM594" s="764"/>
      <c r="BN594" s="7771"/>
      <c r="BO594" s="7771"/>
      <c r="BP594" s="7771"/>
      <c r="BQ594" s="700"/>
      <c r="BR594" s="700"/>
      <c r="BS594" s="1063" t="s">
        <v>2606</v>
      </c>
      <c r="BT594" s="1070"/>
      <c r="BU594" s="1070"/>
      <c r="BV594" s="707"/>
      <c r="BW594" s="707"/>
    </row>
    <row s="1834" customFormat="1" customHeight="1" ht="14.25">
      <c r="A595" s="1278"/>
      <c r="B595" s="978"/>
      <c r="C595" s="1278"/>
      <c r="D595" s="107" cm="1" t="str">
        <f t="array" ref="D595:D595">D594</f>
        <v>13</v>
      </c>
      <c r="E595" s="703">
        <v>15</v>
      </c>
      <c r="F595" s="50" cm="1" t="str">
        <f t="array" ref="F595:F595">OFFSET(E595,-1,1)</f>
        <v>3</v>
      </c>
      <c r="G595" s="158" t="s">
        <v>2393</v>
      </c>
      <c r="H595" s="1278"/>
      <c r="I595" s="158" t="s">
        <v>2907</v>
      </c>
      <c r="J595" s="1278"/>
      <c r="K595" s="158" t="s">
        <v>2907</v>
      </c>
      <c r="L595" s="980" t="s">
        <v>2607</v>
      </c>
      <c r="M595" s="107"/>
      <c r="N595" s="1278"/>
      <c r="O595" s="1278"/>
      <c r="P595" s="1278"/>
      <c r="Q595" s="1278"/>
      <c r="R595" s="1278"/>
      <c r="S595" s="1278"/>
      <c r="T595" s="465" cm="1" t="str">
        <f t="array" ref="T595:T595">T594</f>
        <v>true</v>
      </c>
      <c r="U595" s="1278"/>
      <c r="V595" s="1278"/>
      <c r="W595" s="1278"/>
      <c r="X595" s="1563"/>
      <c r="Y595" s="1278"/>
      <c r="Z595" s="1546"/>
      <c r="AA595" s="1278"/>
      <c r="AB595" s="300" t="str">
        <f>D595&amp;".1"</f>
        <v>13.1</v>
      </c>
      <c r="AC595" s="1111" t="s">
        <v>2609</v>
      </c>
      <c r="AD595" s="300" t="s">
        <v>1247</v>
      </c>
      <c r="AE595" s="7787">
        <f>IF(AE$24="2026 год",AE594/12*9,AE594/2)</f>
        <v>0</v>
      </c>
      <c r="AF595" s="7787">
        <f>IF(AF$24="2026 год",AF594/12*9,AF594/2)</f>
        <v>0</v>
      </c>
      <c r="AG595" s="7787">
        <f>IF(AG$24="2026 год",AG594/12*9,AG594/2)</f>
        <v>0</v>
      </c>
      <c r="AH595" s="941">
        <f>AG595-AF595</f>
        <v>0</v>
      </c>
      <c r="AI595" s="7497">
        <f>IF(AI$24="2026 год",AI594/12*9,AI594/2)</f>
        <v>0</v>
      </c>
      <c r="AJ595" s="7787">
        <f>IF(AJ$24="2026 год",AJ594/12*9,AJ594/2)</f>
        <v>1084.90434</v>
      </c>
      <c r="AK595" s="7787">
        <f>IF(AK$24="2026 год",AK594/12*9,AK594/2)</f>
        <v>723.26956</v>
      </c>
      <c r="AL595" s="7497">
        <f>IF(AL$24="2026 год",AL594/12*9,AL594/2)</f>
        <v>723.26956</v>
      </c>
      <c r="AM595" s="7497">
        <f>IF(AM$24="2026 год",AM594/12*9,AM594/2)</f>
        <v>723.26956</v>
      </c>
      <c r="AN595" s="7497">
        <f>IF(AN$24="2026 год",AN594/12*9,AN594/2)</f>
        <v>723.26956</v>
      </c>
      <c r="AO595" s="1261">
        <f>IF(AO$24="2026 год",AO594/12*9,AO594/2)</f>
        <v>0</v>
      </c>
      <c r="AP595" s="1261">
        <f>IF(AP$24="2026 год",AP594/12*9,AP594/2)</f>
        <v>0</v>
      </c>
      <c r="AQ595" s="1261">
        <f>IF(AQ$24="2026 год",AQ594/12*9,AQ594/2)</f>
        <v>0</v>
      </c>
      <c r="AR595" s="1261">
        <f>IF(AR$24="2026 год",AR594/12*9,AR594/2)</f>
        <v>0</v>
      </c>
      <c r="AS595" s="1261">
        <f>IF(AS$24="2026 год",AS594/12*9,AS594/2)</f>
        <v>0</v>
      </c>
      <c r="AT595" s="7497">
        <f>IF(AT$24="2026 год",AT594/12*9,AT594/2)</f>
        <v>1084.90434</v>
      </c>
      <c r="AU595" s="7497">
        <f>IF(AU$24="2026 год",AU594/12*9,AU594/2)</f>
        <v>723.26956</v>
      </c>
      <c r="AV595" s="7497">
        <f>IF(AV$24="2026 год",AV594/12*9,AV594/2)</f>
        <v>723.26956</v>
      </c>
      <c r="AW595" s="7497">
        <f>IF(AW$24="2026 год",AW594/12*9,AW594/2)</f>
        <v>723.26956</v>
      </c>
      <c r="AX595" s="7497">
        <f>IF(AX$24="2026 год",AX594/12*9,AX594/2)</f>
        <v>723.26956</v>
      </c>
      <c r="AY595" s="1261">
        <f>IF(AY$24="2026 год",AY594/12*9,AY594/2)</f>
        <v>0</v>
      </c>
      <c r="AZ595" s="1261">
        <f>IF(AZ$24="2026 год",AZ594/12*9,AZ594/2)</f>
        <v>0</v>
      </c>
      <c r="BA595" s="1261">
        <f>IF(BA$24="2026 год",BA594/12*9,BA594/2)</f>
        <v>0</v>
      </c>
      <c r="BB595" s="1261">
        <f>IF(BB$24="2026 год",BB594/12*9,BB594/2)</f>
        <v>0</v>
      </c>
      <c r="BC595" s="1261">
        <f>IF(BC$24="2026 год",BC594/12*9,BC594/2)</f>
        <v>0</v>
      </c>
      <c r="BD595" s="942"/>
      <c r="BE595" s="942"/>
      <c r="BF595" s="942"/>
      <c r="BG595" s="942"/>
      <c r="BH595" s="942"/>
      <c r="BI595" s="942"/>
      <c r="BJ595" s="942"/>
      <c r="BK595" s="942"/>
      <c r="BL595" s="942"/>
      <c r="BM595" s="942"/>
      <c r="BN595" s="7771"/>
      <c r="BO595" s="7771"/>
      <c r="BP595" s="7771"/>
      <c r="BQ595" s="1278"/>
      <c r="BR595" s="1278"/>
      <c r="BS595" s="1062" t="s">
        <v>2610</v>
      </c>
      <c r="BT595" s="1064"/>
      <c r="BU595" s="1064"/>
      <c r="BV595" s="979"/>
      <c r="BW595" s="979"/>
    </row>
    <row s="1834" customFormat="1" customHeight="1" ht="14.25">
      <c r="A596" s="1278"/>
      <c r="B596" s="978"/>
      <c r="C596" s="1278"/>
      <c r="D596" s="107" cm="1" t="str">
        <f t="array" ref="D596:D596">D595</f>
        <v>13</v>
      </c>
      <c r="E596" s="703">
        <v>15</v>
      </c>
      <c r="F596" s="50" cm="1" t="str">
        <f t="array" ref="F596:F596">OFFSET(E596,-1,1)</f>
        <v>3</v>
      </c>
      <c r="G596" s="158" t="s">
        <v>2349</v>
      </c>
      <c r="H596" s="1278"/>
      <c r="I596" s="158" t="s">
        <v>2908</v>
      </c>
      <c r="J596" s="1278"/>
      <c r="K596" s="158" t="s">
        <v>2908</v>
      </c>
      <c r="L596" s="980" t="s">
        <v>2611</v>
      </c>
      <c r="M596" s="107"/>
      <c r="N596" s="1278"/>
      <c r="O596" s="1278"/>
      <c r="P596" s="1278"/>
      <c r="Q596" s="1278"/>
      <c r="R596" s="1278"/>
      <c r="S596" s="1278"/>
      <c r="T596" s="465" cm="1" t="str">
        <f t="array" ref="T596:T596">T595</f>
        <v>true</v>
      </c>
      <c r="U596" s="1278"/>
      <c r="V596" s="1278"/>
      <c r="W596" s="1278"/>
      <c r="X596" s="1563"/>
      <c r="Y596" s="1278"/>
      <c r="Z596" s="1546"/>
      <c r="AA596" s="1278"/>
      <c r="AB596" s="300" t="str">
        <f>D596&amp;".2"</f>
        <v>13.2</v>
      </c>
      <c r="AC596" s="1111" t="s">
        <v>2613</v>
      </c>
      <c r="AD596" s="300" t="s">
        <v>2337</v>
      </c>
      <c r="AE596" s="7501">
        <f>IF(AE594=0,0,AE588*(1+Сценарии!AE$26/100))</f>
        <v>0</v>
      </c>
      <c r="AF596" s="7501">
        <f>IF(AF594=0,0,AF588*(1+Сценарии!AF$26/100))</f>
        <v>0</v>
      </c>
      <c r="AG596" s="7501">
        <f>IF(AG594=0,0,AG588*(1+Сценарии!AG$26/100))</f>
        <v>0</v>
      </c>
      <c r="AH596" s="943">
        <f>AG596-AF596</f>
        <v>0</v>
      </c>
      <c r="AI596" s="7501">
        <f>IF(AI594=0,0,AI588*(1+Сценарии!AI$26/100))</f>
        <v>0</v>
      </c>
      <c r="AJ596" s="7501">
        <f>IF(AJ594=0,0,AJ588*(1+Сценарии!AJ$26/100))</f>
        <v>0</v>
      </c>
      <c r="AK596" s="7501">
        <f>IF(AK594=0,0,AK588*(1+Сценарии!AO$26/100))</f>
        <v>0</v>
      </c>
      <c r="AL596" s="7501">
        <f>IF(AL594=0,0,AL588*(1+Сценарии!AP$26/100))</f>
        <v>0</v>
      </c>
      <c r="AM596" s="7501">
        <f>IF(AM594=0,0,AM588*(1+Сценарии!AQ$26/100))</f>
        <v>0</v>
      </c>
      <c r="AN596" s="7501">
        <f>IF(AN594=0,0,AN588*(1+Сценарии!AR$26/100))</f>
        <v>0</v>
      </c>
      <c r="AO596" s="1262">
        <f>IF(AO594=0,0,AO588*(1+Сценарии!AS$26/100))</f>
        <v>0</v>
      </c>
      <c r="AP596" s="1262">
        <f>IF(AP594=0,0,AP588*(1+Сценарии!AT$26/100))</f>
        <v>0</v>
      </c>
      <c r="AQ596" s="1262">
        <f>IF(AQ594=0,0,AQ588*(1+Сценарии!AU$26/100))</f>
        <v>0</v>
      </c>
      <c r="AR596" s="1262">
        <f>IF(AR594=0,0,AR588*(1+Сценарии!AV$26/100))</f>
        <v>0</v>
      </c>
      <c r="AS596" s="1262">
        <f>IF(AS594=0,0,AS588*(1+Сценарии!AW$26/100))</f>
        <v>0</v>
      </c>
      <c r="AT596" s="7501">
        <f>IF(AT594=0,0,AT588*(1+Сценарии!AK$26/100))</f>
        <v>0</v>
      </c>
      <c r="AU596" s="7501">
        <f>IF(AU594=0,0,AU588*(1+Сценарии!AX$26/100))</f>
        <v>70.463028448812</v>
      </c>
      <c r="AV596" s="7501">
        <f>IF(AV594=0,0,AV588*(1+Сценарии!AY$26/100))</f>
        <v>-32.2106536997269</v>
      </c>
      <c r="AW596" s="7501">
        <f>IF(AW594=0,0,AW588*(1+Сценарии!AZ$26/100))</f>
        <v>74.3048564254926</v>
      </c>
      <c r="AX596" s="7501">
        <f>IF(AX594=0,0,AX588*(1+Сценарии!BA$26/100))</f>
        <v>-24.9492053635471</v>
      </c>
      <c r="AY596" s="1262">
        <f>IF(AY594=0,0,AY588*(1+Сценарии!BB$26/100))</f>
        <v>0</v>
      </c>
      <c r="AZ596" s="1262">
        <f>IF(AZ594=0,0,AZ588*(1+Сценарии!BC$26/100))</f>
        <v>0</v>
      </c>
      <c r="BA596" s="1262">
        <f>IF(BA594=0,0,BA588*(1+Сценарии!BD$26/100))</f>
        <v>0</v>
      </c>
      <c r="BB596" s="1262">
        <f>IF(BB594=0,0,BB588*(1+Сценарии!BE$26/100))</f>
        <v>0</v>
      </c>
      <c r="BC596" s="1262">
        <f>IF(BC594=0,0,BC588*(1+Сценарии!BF$26/100))</f>
        <v>0</v>
      </c>
      <c r="BD596" s="942"/>
      <c r="BE596" s="942"/>
      <c r="BF596" s="942"/>
      <c r="BG596" s="942"/>
      <c r="BH596" s="942"/>
      <c r="BI596" s="942"/>
      <c r="BJ596" s="942"/>
      <c r="BK596" s="942"/>
      <c r="BL596" s="942"/>
      <c r="BM596" s="942"/>
      <c r="BN596" s="7771"/>
      <c r="BO596" s="7771"/>
      <c r="BP596" s="7771"/>
      <c r="BQ596" s="1278"/>
      <c r="BR596" s="1278"/>
      <c r="BS596" s="1062" t="s">
        <v>2614</v>
      </c>
      <c r="BT596" s="1064"/>
      <c r="BU596" s="1064"/>
      <c r="BV596" s="979"/>
      <c r="BW596" s="979"/>
    </row>
    <row s="1834" customFormat="1" customHeight="1" ht="14.25">
      <c r="A597" s="1278"/>
      <c r="B597" s="96"/>
      <c r="C597" s="107"/>
      <c r="D597" s="107" cm="1" t="str">
        <f t="array" ref="D597:D597">D596</f>
        <v>13</v>
      </c>
      <c r="E597" s="621">
        <v>15</v>
      </c>
      <c r="F597" s="50" cm="1" t="str">
        <f t="array" ref="F597:F597">OFFSET(E597,-1,1)</f>
        <v>3</v>
      </c>
      <c r="G597" s="107" t="s">
        <v>2400</v>
      </c>
      <c r="H597" s="107"/>
      <c r="I597" s="107" t="s">
        <v>2909</v>
      </c>
      <c r="J597" s="107"/>
      <c r="K597" s="107" t="s">
        <v>2909</v>
      </c>
      <c r="L597" s="980" t="s">
        <v>2615</v>
      </c>
      <c r="M597" s="107"/>
      <c r="N597" s="107"/>
      <c r="O597" s="107"/>
      <c r="P597" s="107"/>
      <c r="Q597" s="107"/>
      <c r="R597" s="107"/>
      <c r="S597" s="107"/>
      <c r="T597" s="465" cm="1" t="str">
        <f t="array" ref="T597:T597">T596</f>
        <v>true</v>
      </c>
      <c r="U597" s="107"/>
      <c r="V597" s="107"/>
      <c r="W597" s="107"/>
      <c r="X597" s="1563"/>
      <c r="Y597" s="1278"/>
      <c r="Z597" s="1546"/>
      <c r="AA597" s="1278"/>
      <c r="AB597" s="300" t="str">
        <f>D597&amp;".3"</f>
        <v>13.3</v>
      </c>
      <c r="AC597" s="1111" t="s">
        <v>2587</v>
      </c>
      <c r="AD597" s="300" t="s">
        <v>1247</v>
      </c>
      <c r="AE597" s="946">
        <f>AE594-AE595</f>
        <v>0</v>
      </c>
      <c r="AF597" s="946">
        <f>AF594-AF595</f>
        <v>0</v>
      </c>
      <c r="AG597" s="946">
        <f>AG594-AG595</f>
        <v>0</v>
      </c>
      <c r="AH597" s="941">
        <f>AG597-AF597</f>
        <v>0</v>
      </c>
      <c r="AI597" s="825">
        <f>AI594-AI595</f>
        <v>0</v>
      </c>
      <c r="AJ597" s="825">
        <f>AJ594-AJ595</f>
        <v>361.63478</v>
      </c>
      <c r="AK597" s="825">
        <f>AK594-AK595</f>
        <v>723.26956</v>
      </c>
      <c r="AL597" s="825">
        <f>AL594-AL595</f>
        <v>723.26956</v>
      </c>
      <c r="AM597" s="825">
        <f>AM594-AM595</f>
        <v>723.26956</v>
      </c>
      <c r="AN597" s="825">
        <f>AN594-AN595</f>
        <v>723.26956</v>
      </c>
      <c r="AO597" s="825">
        <f>AO594-AO595</f>
        <v>0</v>
      </c>
      <c r="AP597" s="825">
        <f>AP594-AP595</f>
        <v>0</v>
      </c>
      <c r="AQ597" s="825">
        <f>AQ594-AQ595</f>
        <v>0</v>
      </c>
      <c r="AR597" s="825">
        <f>AR594-AR595</f>
        <v>0</v>
      </c>
      <c r="AS597" s="825">
        <f>AS594-AS595</f>
        <v>0</v>
      </c>
      <c r="AT597" s="825">
        <f>AT594-AT595</f>
        <v>361.63478</v>
      </c>
      <c r="AU597" s="825">
        <f>AU594-AU595</f>
        <v>723.26956</v>
      </c>
      <c r="AV597" s="825">
        <f>AV594-AV595</f>
        <v>723.26956</v>
      </c>
      <c r="AW597" s="825">
        <f>AW594-AW595</f>
        <v>723.26956</v>
      </c>
      <c r="AX597" s="825">
        <f>AX594-AX595</f>
        <v>723.26956</v>
      </c>
      <c r="AY597" s="825">
        <f>AY594-AY595</f>
        <v>0</v>
      </c>
      <c r="AZ597" s="825">
        <f>AZ594-AZ595</f>
        <v>0</v>
      </c>
      <c r="BA597" s="825">
        <f>BA594-BA595</f>
        <v>0</v>
      </c>
      <c r="BB597" s="825">
        <f>BB594-BB595</f>
        <v>0</v>
      </c>
      <c r="BC597" s="825">
        <f>BC594-BC595</f>
        <v>0</v>
      </c>
      <c r="BD597" s="942"/>
      <c r="BE597" s="942"/>
      <c r="BF597" s="942"/>
      <c r="BG597" s="942"/>
      <c r="BH597" s="942"/>
      <c r="BI597" s="942"/>
      <c r="BJ597" s="942"/>
      <c r="BK597" s="942"/>
      <c r="BL597" s="942"/>
      <c r="BM597" s="942"/>
      <c r="BN597" s="7771"/>
      <c r="BO597" s="7771"/>
      <c r="BP597" s="7771"/>
      <c r="BQ597" s="1278"/>
      <c r="BR597" s="1278"/>
      <c r="BS597" s="1062" t="s">
        <v>2617</v>
      </c>
      <c r="BT597" s="1064"/>
      <c r="BU597" s="1064"/>
      <c r="BV597" s="979"/>
      <c r="BW597" s="979"/>
    </row>
    <row s="1834" customFormat="1" customHeight="1" ht="14.25">
      <c r="A598" s="1278"/>
      <c r="B598" s="96"/>
      <c r="C598" s="107"/>
      <c r="D598" s="107" cm="1" t="str">
        <f t="array" ref="D598:D598">D597</f>
        <v>13</v>
      </c>
      <c r="E598" s="621">
        <v>15</v>
      </c>
      <c r="F598" s="50" cm="1" t="str">
        <f t="array" ref="F598:F598">OFFSET(E598,-1,1)</f>
        <v>3</v>
      </c>
      <c r="G598" s="107" t="s">
        <v>2353</v>
      </c>
      <c r="H598" s="107"/>
      <c r="I598" s="107" t="s">
        <v>2910</v>
      </c>
      <c r="J598" s="107"/>
      <c r="K598" s="107" t="s">
        <v>2910</v>
      </c>
      <c r="L598" s="980" t="s">
        <v>2618</v>
      </c>
      <c r="M598" s="107"/>
      <c r="N598" s="107"/>
      <c r="O598" s="107"/>
      <c r="P598" s="107"/>
      <c r="Q598" s="107"/>
      <c r="R598" s="107"/>
      <c r="S598" s="107"/>
      <c r="T598" s="465" cm="1" t="str">
        <f t="array" ref="T598:T598">T597</f>
        <v>true</v>
      </c>
      <c r="U598" s="107"/>
      <c r="V598" s="107"/>
      <c r="W598" s="107"/>
      <c r="X598" s="1563"/>
      <c r="Y598" s="1278"/>
      <c r="Z598" s="1546"/>
      <c r="AA598" s="1278"/>
      <c r="AB598" s="300" t="str">
        <f>D598&amp;".4"</f>
        <v>13.4</v>
      </c>
      <c r="AC598" s="1111" t="s">
        <v>2591</v>
      </c>
      <c r="AD598" s="300" t="s">
        <v>2337</v>
      </c>
      <c r="AE598" s="7501">
        <f>IF(AE594=0,0,AE590*(1+Сценарии!AE$26/100))</f>
        <v>0</v>
      </c>
      <c r="AF598" s="7501">
        <f>IF(AF594=0,0,AF590*(1+Сценарии!AF$26/100))</f>
        <v>0</v>
      </c>
      <c r="AG598" s="7501">
        <f>IF(AG594=0,0,AG590*(1+Сценарии!AG$26/100))</f>
        <v>0</v>
      </c>
      <c r="AH598" s="943">
        <f>AG598-AF598</f>
        <v>0</v>
      </c>
      <c r="AI598" s="7501">
        <f>IF(AI594=0,0,AI590*(1+Сценарии!AI$26/100))</f>
        <v>0</v>
      </c>
      <c r="AJ598" s="7501">
        <f>IF(AJ594=0,0,AJ590*(1+Сценарии!AJ$26/100))</f>
        <v>70.4630174380921</v>
      </c>
      <c r="AK598" s="7501">
        <f>IF(AK594=0,0,AK590*(1+Сценарии!AO$26/100))</f>
        <v>38.2523693801465</v>
      </c>
      <c r="AL598" s="7501">
        <f>IF(AL594=0,0,AL590*(1+Сценарии!AP$26/100))</f>
        <v>42.0941986107368</v>
      </c>
      <c r="AM598" s="7501">
        <f>IF(AM594=0,0,AM590*(1+Сценарии!AQ$26/100))</f>
        <v>49.3556510619455</v>
      </c>
      <c r="AN598" s="7501">
        <f>IF(AN594=0,0,AN590*(1+Сценарии!AR$26/100))</f>
        <v>70.9466687395932</v>
      </c>
      <c r="AO598" s="1262">
        <f>IF(AO594=0,0,AO590*(1+Сценарии!AS$26/100))</f>
        <v>0</v>
      </c>
      <c r="AP598" s="1262">
        <f>IF(AP594=0,0,AP590*(1+Сценарии!AT$26/100))</f>
        <v>0</v>
      </c>
      <c r="AQ598" s="1262">
        <f>IF(AQ594=0,0,AQ590*(1+Сценарии!AU$26/100))</f>
        <v>0</v>
      </c>
      <c r="AR598" s="1262">
        <f>IF(AR594=0,0,AR590*(1+Сценарии!AV$26/100))</f>
        <v>0</v>
      </c>
      <c r="AS598" s="1262">
        <f>IF(AS594=0,0,AS590*(1+Сценарии!AW$26/100))</f>
        <v>0</v>
      </c>
      <c r="AT598" s="7501">
        <f>IF(AT594=0,0,AT590*(1+Сценарии!AK$26/100))</f>
        <v>70.463028448812</v>
      </c>
      <c r="AU598" s="7501">
        <f>IF(AU594=0,0,AU590*(1+Сценарии!AX$26/100))</f>
        <v>-32.2106536997269</v>
      </c>
      <c r="AV598" s="7501">
        <f>IF(AV594=0,0,AV590*(1+Сценарии!AY$26/100))</f>
        <v>74.3048564254926</v>
      </c>
      <c r="AW598" s="7501">
        <f>IF(AW594=0,0,AW590*(1+Сценарии!AZ$26/100))</f>
        <v>-24.9492053635471</v>
      </c>
      <c r="AX598" s="7501">
        <f>IF(AX594=0,0,AX590*(1+Сценарии!BA$26/100))</f>
        <v>95.8958741031403</v>
      </c>
      <c r="AY598" s="1262">
        <f>IF(AY594=0,0,AY590*(1+Сценарии!BB$26/100))</f>
        <v>0</v>
      </c>
      <c r="AZ598" s="1262">
        <f>IF(AZ594=0,0,AZ590*(1+Сценарии!BC$26/100))</f>
        <v>0</v>
      </c>
      <c r="BA598" s="1262">
        <f>IF(BA594=0,0,BA590*(1+Сценарии!BD$26/100))</f>
        <v>0</v>
      </c>
      <c r="BB598" s="1262">
        <f>IF(BB594=0,0,BB590*(1+Сценарии!BE$26/100))</f>
        <v>0</v>
      </c>
      <c r="BC598" s="1262">
        <f>IF(BC594=0,0,BC590*(1+Сценарии!BF$26/100))</f>
        <v>0</v>
      </c>
      <c r="BD598" s="942"/>
      <c r="BE598" s="942"/>
      <c r="BF598" s="942"/>
      <c r="BG598" s="942"/>
      <c r="BH598" s="942"/>
      <c r="BI598" s="942"/>
      <c r="BJ598" s="942"/>
      <c r="BK598" s="942"/>
      <c r="BL598" s="942"/>
      <c r="BM598" s="942"/>
      <c r="BN598" s="7771"/>
      <c r="BO598" s="7771"/>
      <c r="BP598" s="7771"/>
      <c r="BQ598" s="1278"/>
      <c r="BR598" s="1278"/>
      <c r="BS598" s="1062" t="s">
        <v>2621</v>
      </c>
      <c r="BT598" s="1064"/>
      <c r="BU598" s="1064"/>
      <c r="BV598" s="979"/>
      <c r="BW598" s="979"/>
    </row>
    <row s="1834" customFormat="1" customHeight="1" ht="14.25">
      <c r="A599" s="1278"/>
      <c r="B599" s="96"/>
      <c r="C599" s="107"/>
      <c r="D599" s="107">
        <f>D598+1</f>
        <v>14</v>
      </c>
      <c r="E599" s="621">
        <v>15</v>
      </c>
      <c r="F599" s="50" cm="1" t="str">
        <f t="array" ref="F599:F599">OFFSET(E599,-1,1)</f>
        <v>3</v>
      </c>
      <c r="G599" s="107"/>
      <c r="H599" s="107"/>
      <c r="I599" s="107"/>
      <c r="J599" s="107"/>
      <c r="K599" s="107"/>
      <c r="L599" s="980"/>
      <c r="M599" s="107"/>
      <c r="N599" s="107"/>
      <c r="O599" s="107"/>
      <c r="P599" s="107"/>
      <c r="Q599" s="107"/>
      <c r="R599" s="107"/>
      <c r="S599" s="107"/>
      <c r="T599" s="465" cm="1" t="str">
        <f t="array" ref="T599:T599">T598</f>
        <v>true</v>
      </c>
      <c r="U599" s="107"/>
      <c r="V599" s="107"/>
      <c r="W599" s="107"/>
      <c r="X599" s="1563"/>
      <c r="Y599" s="1278"/>
      <c r="Z599" s="1546"/>
      <c r="AA599" s="1278"/>
      <c r="AB599" s="211" cm="1" t="str">
        <f t="array" ref="AB599:AB599">D599</f>
        <v>14</v>
      </c>
      <c r="AC599" s="212" t="s">
        <v>2622</v>
      </c>
      <c r="AD599" s="211" t="s">
        <v>1514</v>
      </c>
      <c r="AE599" s="7773"/>
      <c r="AF599" s="7773"/>
      <c r="AG599" s="7773"/>
      <c r="AH599" s="943"/>
      <c r="AI599" s="7501"/>
      <c r="AJ599" s="7501"/>
      <c r="AK599" s="7501"/>
      <c r="AL599" s="7501"/>
      <c r="AM599" s="7501"/>
      <c r="AN599" s="7501"/>
      <c r="AO599" s="1262"/>
      <c r="AP599" s="1262"/>
      <c r="AQ599" s="1262"/>
      <c r="AR599" s="1262"/>
      <c r="AS599" s="1262"/>
      <c r="AT599" s="7501"/>
      <c r="AU599" s="7501"/>
      <c r="AV599" s="7501"/>
      <c r="AW599" s="7501"/>
      <c r="AX599" s="7501"/>
      <c r="AY599" s="1262"/>
      <c r="AZ599" s="1262"/>
      <c r="BA599" s="1262"/>
      <c r="BB599" s="1262"/>
      <c r="BC599" s="1262"/>
      <c r="BD599" s="942"/>
      <c r="BE599" s="942"/>
      <c r="BF599" s="942"/>
      <c r="BG599" s="942"/>
      <c r="BH599" s="942"/>
      <c r="BI599" s="942"/>
      <c r="BJ599" s="942"/>
      <c r="BK599" s="942"/>
      <c r="BL599" s="942"/>
      <c r="BM599" s="942"/>
      <c r="BN599" s="7771"/>
      <c r="BO599" s="7771"/>
      <c r="BP599" s="7771"/>
      <c r="BQ599" s="1278"/>
      <c r="BR599" s="1278"/>
      <c r="BS599" s="1062" t="s">
        <v>2623</v>
      </c>
      <c r="BT599" s="1064"/>
      <c r="BU599" s="1064"/>
      <c r="BV599" s="979"/>
      <c r="BW599" s="979"/>
    </row>
    <row s="1834" customFormat="1" customHeight="1" ht="20.25">
      <c r="A600" s="1278"/>
      <c r="B600" s="96"/>
      <c r="C600" s="107"/>
      <c r="D600" s="107" cm="1" t="str">
        <f t="array" ref="D600:D600">D599</f>
        <v>14</v>
      </c>
      <c r="E600" s="621">
        <v>21</v>
      </c>
      <c r="F600" s="50" cm="1" t="str">
        <f t="array" ref="F600:F600">OFFSET(E600,-1,1)</f>
        <v>3</v>
      </c>
      <c r="G600" s="107"/>
      <c r="H600" s="107"/>
      <c r="I600" s="107"/>
      <c r="J600" s="107"/>
      <c r="K600" s="107"/>
      <c r="L600" s="980"/>
      <c r="M600" s="107"/>
      <c r="N600" s="107"/>
      <c r="O600" s="107"/>
      <c r="P600" s="107"/>
      <c r="Q600" s="107"/>
      <c r="R600" s="107"/>
      <c r="S600" s="107"/>
      <c r="T600" s="465" cm="1" t="str">
        <f t="array" ref="T600:T600">T599</f>
        <v>true</v>
      </c>
      <c r="U600" s="107"/>
      <c r="V600" s="107"/>
      <c r="W600" s="107"/>
      <c r="X600" s="1563"/>
      <c r="Y600" s="1278"/>
      <c r="Z600" s="1546"/>
      <c r="AA600" s="1278"/>
      <c r="AB600" s="300" t="str">
        <f>D600&amp;".1"</f>
        <v>14.1</v>
      </c>
      <c r="AC600" s="762" t="s">
        <v>2625</v>
      </c>
      <c r="AD600" s="300" t="s">
        <v>1514</v>
      </c>
      <c r="AE600" s="7773"/>
      <c r="AF600" s="7773"/>
      <c r="AG600" s="7773"/>
      <c r="AH600" s="943">
        <f>AG600-AF600</f>
        <v>0</v>
      </c>
      <c r="AI600" s="7501"/>
      <c r="AJ600" s="7501"/>
      <c r="AK600" s="7501"/>
      <c r="AL600" s="7501"/>
      <c r="AM600" s="7501"/>
      <c r="AN600" s="7501"/>
      <c r="AO600" s="1262"/>
      <c r="AP600" s="1262"/>
      <c r="AQ600" s="1262"/>
      <c r="AR600" s="1262"/>
      <c r="AS600" s="1262"/>
      <c r="AT600" s="7501"/>
      <c r="AU600" s="7501"/>
      <c r="AV600" s="7501"/>
      <c r="AW600" s="7501"/>
      <c r="AX600" s="7501"/>
      <c r="AY600" s="1262"/>
      <c r="AZ600" s="1262"/>
      <c r="BA600" s="1262"/>
      <c r="BB600" s="1262"/>
      <c r="BC600" s="1262"/>
      <c r="BD600" s="942"/>
      <c r="BE600" s="942"/>
      <c r="BF600" s="942"/>
      <c r="BG600" s="942"/>
      <c r="BH600" s="942"/>
      <c r="BI600" s="942"/>
      <c r="BJ600" s="942"/>
      <c r="BK600" s="942"/>
      <c r="BL600" s="942"/>
      <c r="BM600" s="942"/>
      <c r="BN600" s="7771"/>
      <c r="BO600" s="7771"/>
      <c r="BP600" s="7771"/>
      <c r="BQ600" s="1278"/>
      <c r="BR600" s="1278"/>
      <c r="BS600" s="1062" t="s">
        <v>2626</v>
      </c>
      <c r="BT600" s="1071"/>
      <c r="BU600" s="1071"/>
      <c r="BV600" s="1072"/>
      <c r="BW600" s="1072"/>
    </row>
    <row s="1834" customFormat="1" customHeight="1" ht="64.5">
      <c r="A601" s="1278"/>
      <c r="B601" s="96"/>
      <c r="C601" s="107"/>
      <c r="D601" s="107" cm="1" t="str">
        <f t="array" ref="D601:D601">D600</f>
        <v>14</v>
      </c>
      <c r="E601" s="621">
        <v>66.6</v>
      </c>
      <c r="F601" s="50" cm="1" t="str">
        <f t="array" ref="F601:F601">OFFSET(E601,-1,1)</f>
        <v>3</v>
      </c>
      <c r="G601" s="107"/>
      <c r="H601" s="107"/>
      <c r="I601" s="107"/>
      <c r="J601" s="107"/>
      <c r="K601" s="107"/>
      <c r="L601" s="980"/>
      <c r="M601" s="107"/>
      <c r="N601" s="107"/>
      <c r="O601" s="107"/>
      <c r="P601" s="107"/>
      <c r="Q601" s="107"/>
      <c r="R601" s="107"/>
      <c r="S601" s="107"/>
      <c r="T601" s="465" cm="1" t="str">
        <f t="array" ref="T601:T601">T600</f>
        <v>true</v>
      </c>
      <c r="U601" s="107"/>
      <c r="V601" s="107"/>
      <c r="W601" s="107"/>
      <c r="X601" s="1563"/>
      <c r="Y601" s="1278"/>
      <c r="Z601" s="1546"/>
      <c r="AA601" s="1278"/>
      <c r="AB601" s="300" t="str">
        <f>D601&amp;".2"</f>
        <v>14.2</v>
      </c>
      <c r="AC601" s="762" t="s">
        <v>2628</v>
      </c>
      <c r="AD601" s="300" t="s">
        <v>1514</v>
      </c>
      <c r="AE601" s="7773"/>
      <c r="AF601" s="7773"/>
      <c r="AG601" s="7773"/>
      <c r="AH601" s="943">
        <f>AG601-AF601</f>
        <v>0</v>
      </c>
      <c r="AI601" s="7501"/>
      <c r="AJ601" s="7501"/>
      <c r="AK601" s="7501"/>
      <c r="AL601" s="7501"/>
      <c r="AM601" s="7501"/>
      <c r="AN601" s="7501"/>
      <c r="AO601" s="1262"/>
      <c r="AP601" s="1262"/>
      <c r="AQ601" s="1262"/>
      <c r="AR601" s="1262"/>
      <c r="AS601" s="1262"/>
      <c r="AT601" s="7501"/>
      <c r="AU601" s="7501"/>
      <c r="AV601" s="7501"/>
      <c r="AW601" s="7501"/>
      <c r="AX601" s="7501"/>
      <c r="AY601" s="1262"/>
      <c r="AZ601" s="1262"/>
      <c r="BA601" s="1262"/>
      <c r="BB601" s="1262"/>
      <c r="BC601" s="1262"/>
      <c r="BD601" s="942"/>
      <c r="BE601" s="942"/>
      <c r="BF601" s="942"/>
      <c r="BG601" s="942"/>
      <c r="BH601" s="942"/>
      <c r="BI601" s="942"/>
      <c r="BJ601" s="942"/>
      <c r="BK601" s="942"/>
      <c r="BL601" s="942"/>
      <c r="BM601" s="942"/>
      <c r="BN601" s="7771"/>
      <c r="BO601" s="7771"/>
      <c r="BP601" s="7771"/>
      <c r="BQ601" s="1278"/>
      <c r="BR601" s="1278"/>
      <c r="BS601" s="1062" t="s">
        <v>2629</v>
      </c>
      <c r="BT601" s="1071"/>
      <c r="BU601" s="1071"/>
      <c r="BV601" s="1072"/>
      <c r="BW601" s="1072"/>
    </row>
    <row s="1834" customFormat="1" customHeight="1" ht="44.25">
      <c r="A602" s="498"/>
      <c r="B602" s="753"/>
      <c r="C602" s="107"/>
      <c r="D602" s="107" cm="1" t="str">
        <f t="array" ref="D602:D602">D601</f>
        <v>14</v>
      </c>
      <c r="E602" s="621">
        <v>45.6</v>
      </c>
      <c r="F602" s="50" cm="1" t="str">
        <f t="array" ref="F602:F602">OFFSET(E602,-1,1)</f>
        <v>3</v>
      </c>
      <c r="G602" s="107"/>
      <c r="H602" s="107"/>
      <c r="I602" s="107"/>
      <c r="J602" s="107"/>
      <c r="K602" s="107"/>
      <c r="L602" s="980"/>
      <c r="M602" s="107"/>
      <c r="N602" s="107"/>
      <c r="O602" s="107"/>
      <c r="P602" s="107"/>
      <c r="Q602" s="107"/>
      <c r="R602" s="107"/>
      <c r="S602" s="107"/>
      <c r="T602" s="465" cm="1" t="str">
        <f t="array" ref="T602:T602">T601</f>
        <v>true</v>
      </c>
      <c r="U602" s="107"/>
      <c r="V602" s="107"/>
      <c r="W602" s="107"/>
      <c r="X602" s="1563"/>
      <c r="Y602" s="498"/>
      <c r="Z602" s="1546"/>
      <c r="AA602" s="498"/>
      <c r="AB602" s="300" t="str">
        <f>D602&amp;".3"</f>
        <v>14.3</v>
      </c>
      <c r="AC602" s="762" t="s">
        <v>2911</v>
      </c>
      <c r="AD602" s="300" t="s">
        <v>1514</v>
      </c>
      <c r="AE602" s="945"/>
      <c r="AF602" s="7773"/>
      <c r="AG602" s="7773"/>
      <c r="AH602" s="259">
        <f>AG602-AF602</f>
        <v>0</v>
      </c>
      <c r="AI602" s="945"/>
      <c r="AJ602" s="945"/>
      <c r="AK602" s="945"/>
      <c r="AL602" s="945"/>
      <c r="AM602" s="945"/>
      <c r="AN602" s="945"/>
      <c r="AO602" s="945"/>
      <c r="AP602" s="945"/>
      <c r="AQ602" s="945"/>
      <c r="AR602" s="945"/>
      <c r="AS602" s="945"/>
      <c r="AT602" s="945"/>
      <c r="AU602" s="945"/>
      <c r="AV602" s="945"/>
      <c r="AW602" s="945"/>
      <c r="AX602" s="945"/>
      <c r="AY602" s="945"/>
      <c r="AZ602" s="945"/>
      <c r="BA602" s="945"/>
      <c r="BB602" s="945"/>
      <c r="BC602" s="945"/>
      <c r="BD602" s="945"/>
      <c r="BE602" s="945"/>
      <c r="BF602" s="945"/>
      <c r="BG602" s="945"/>
      <c r="BH602" s="945"/>
      <c r="BI602" s="945"/>
      <c r="BJ602" s="945"/>
      <c r="BK602" s="945"/>
      <c r="BL602" s="945"/>
      <c r="BM602" s="945"/>
      <c r="BN602" s="7771"/>
      <c r="BO602" s="7771"/>
      <c r="BP602" s="7771"/>
      <c r="BQ602" s="1278"/>
      <c r="BR602" s="1278"/>
      <c r="BS602" s="1071" t="s">
        <v>2912</v>
      </c>
      <c r="BT602" s="1071"/>
      <c r="BU602" s="1071"/>
      <c r="BV602" s="1072"/>
      <c r="BW602" s="1072"/>
    </row>
    <row s="538" customFormat="1" customHeight="1" ht="14.25">
      <c r="A603" s="1758"/>
      <c r="B603" s="428"/>
      <c r="C603" s="1758"/>
      <c r="D603" s="1758"/>
      <c r="E603" s="618">
        <v>15</v>
      </c>
      <c r="F603" s="98" cm="1" t="str">
        <f t="array" ref="F603:F603">X603</f>
        <v>4</v>
      </c>
      <c r="G603" s="98" cm="1" t="str">
        <f t="array" ref="G603:G603">INDEX('Общие сведения'!$AK$179:$AK$250,MATCH($X603,'Общие сведения'!$Z$179:$Z$250,0))</f>
        <v>одноставочный</v>
      </c>
      <c r="H603" s="1758"/>
      <c r="I603" s="98"/>
      <c r="J603" s="1758"/>
      <c r="K603" s="1758"/>
      <c r="L603" s="982"/>
      <c r="M603" s="426"/>
      <c r="N603" s="1758"/>
      <c r="O603" s="1758"/>
      <c r="P603" s="1758"/>
      <c r="Q603" s="1758"/>
      <c r="R603" s="1758"/>
      <c r="S603" s="122" cm="1" t="str">
        <f t="array" ref="S603:S603">INDEX('Общие сведения'!$AE$179:$AE$250,MATCH($X603,'Общие сведения'!$Z$179:$Z$250,0))</f>
        <v>Водоотведение</v>
      </c>
      <c r="T603" s="465">
        <f>X603&gt;0</f>
        <v>1</v>
      </c>
      <c r="U603" s="1758"/>
      <c r="V603" s="122" cm="1" t="str">
        <f t="array" ref="V603:V603">'Калькуляция (МИ)'!$AB$603</f>
        <v>Тариф 4 (Водоотведение) - тариф на водоотведение (Доп. признак не требуется)</v>
      </c>
      <c r="W603" s="1758"/>
      <c r="X603" s="1563" t="s">
        <v>295</v>
      </c>
      <c r="Y603" s="1758"/>
      <c r="Z603" s="1546"/>
      <c r="AA603" s="1758"/>
      <c r="AB603" s="381" cm="1" t="str">
        <f t="array" ref="AB603:AB603">'Калькуляция (МИ)'!$AB$603</f>
        <v>Тариф 4 (Водоотведение) - тариф на водоотведение (Доп. признак не требуется)</v>
      </c>
      <c r="AC603" s="252"/>
      <c r="AD603" s="252"/>
      <c r="AE603" s="252"/>
      <c r="AF603" s="252"/>
      <c r="AG603" s="252"/>
      <c r="AH603" s="252"/>
      <c r="AI603" s="252"/>
      <c r="AJ603" s="252"/>
      <c r="AK603" s="252"/>
      <c r="AL603" s="252"/>
      <c r="AM603" s="252"/>
      <c r="AN603" s="252"/>
      <c r="AO603" s="252"/>
      <c r="AP603" s="252"/>
      <c r="AQ603" s="252"/>
      <c r="AR603" s="252"/>
      <c r="AS603" s="252"/>
      <c r="AT603" s="252"/>
      <c r="AU603" s="252"/>
      <c r="AV603" s="252"/>
      <c r="AW603" s="252"/>
      <c r="AX603" s="252"/>
      <c r="AY603" s="252"/>
      <c r="AZ603" s="252"/>
      <c r="BA603" s="252"/>
      <c r="BB603" s="252"/>
      <c r="BC603" s="252"/>
      <c r="BD603" s="252"/>
      <c r="BE603" s="252"/>
      <c r="BF603" s="252"/>
      <c r="BG603" s="252"/>
      <c r="BH603" s="252"/>
      <c r="BI603" s="252"/>
      <c r="BJ603" s="252"/>
      <c r="BK603" s="252"/>
      <c r="BL603" s="252"/>
      <c r="BM603" s="252"/>
      <c r="BN603" s="252"/>
      <c r="BO603" s="252"/>
      <c r="BP603" s="252"/>
      <c r="BQ603" s="1758"/>
      <c r="BR603" s="1758"/>
      <c r="BS603" s="997"/>
      <c r="BT603" s="997"/>
      <c r="BU603" s="997"/>
      <c r="BV603" s="618"/>
      <c r="BW603" s="618"/>
    </row>
    <row s="7907" customFormat="1" customHeight="1" ht="20.25">
      <c r="A604" s="161"/>
      <c r="B604" s="434"/>
      <c r="C604" s="161"/>
      <c r="D604" s="161"/>
      <c r="E604" s="705">
        <v>21</v>
      </c>
      <c r="F604" s="50" cm="1" t="str">
        <f t="array" ref="F604:F604">OFFSET(E604,-1,1)</f>
        <v>4</v>
      </c>
      <c r="G604" s="161"/>
      <c r="H604" s="377"/>
      <c r="I604" s="377" t="s">
        <v>332</v>
      </c>
      <c r="J604" s="161"/>
      <c r="K604" s="377" t="s">
        <v>332</v>
      </c>
      <c r="L604" s="983"/>
      <c r="M604" s="855"/>
      <c r="N604" s="161"/>
      <c r="O604" s="161"/>
      <c r="P604" s="161"/>
      <c r="Q604" s="161"/>
      <c r="R604" s="161" t="s">
        <v>2947</v>
      </c>
      <c r="S604" s="161"/>
      <c r="T604" s="465" cm="1" t="str">
        <f t="array" ref="T604:T604">T603</f>
        <v>true</v>
      </c>
      <c r="U604" s="161"/>
      <c r="V604" s="161"/>
      <c r="W604" s="161"/>
      <c r="X604" s="1563"/>
      <c r="Y604" s="161"/>
      <c r="Z604" s="1546"/>
      <c r="AA604" s="161"/>
      <c r="AB604" s="247" t="s">
        <v>276</v>
      </c>
      <c r="AC604" s="212" t="s">
        <v>2636</v>
      </c>
      <c r="AD604" s="234" t="s">
        <v>1514</v>
      </c>
      <c r="AE604" s="1471">
        <f>SUM(AE606,AE623,AE629,AE649,AE650,AE651)</f>
        <v>0</v>
      </c>
      <c r="AF604" s="761">
        <f>SUM(AF606,AF623,AF629,AF649,AF650,AF651)</f>
        <v>0</v>
      </c>
      <c r="AG604" s="761">
        <f>SUM(AG606,AG623,AG629,AG649,AG650,AG651)</f>
        <v>0</v>
      </c>
      <c r="AH604" s="761">
        <f>AG604-AF604</f>
        <v>0</v>
      </c>
      <c r="AI604" s="7719">
        <f>AE604*AI605</f>
        <v>0</v>
      </c>
      <c r="AJ604" s="7719">
        <f>AI604*AJ605</f>
        <v>0</v>
      </c>
      <c r="AK604" s="7719">
        <f>AJ604*AK605</f>
        <v>0</v>
      </c>
      <c r="AL604" s="7719">
        <f>AK604*AL605</f>
        <v>0</v>
      </c>
      <c r="AM604" s="7719">
        <f>AL604*AM605</f>
        <v>0</v>
      </c>
      <c r="AN604" s="7719">
        <f>AM604*AN605</f>
        <v>0</v>
      </c>
      <c r="AO604" s="1246">
        <f>AN604*AO605</f>
        <v>0</v>
      </c>
      <c r="AP604" s="1246">
        <f>AO604*AP605</f>
        <v>0</v>
      </c>
      <c r="AQ604" s="1246">
        <f>AP604*AQ605</f>
        <v>0</v>
      </c>
      <c r="AR604" s="1246">
        <f>AQ604*AR605</f>
        <v>0</v>
      </c>
      <c r="AS604" s="1246">
        <f>AR604*AS605</f>
        <v>0</v>
      </c>
      <c r="AT604" s="7719">
        <f>AI604*AT605</f>
        <v>0</v>
      </c>
      <c r="AU604" s="7719">
        <f>AT604*AU605</f>
        <v>0</v>
      </c>
      <c r="AV604" s="7719">
        <f>AU604*AV605</f>
        <v>0</v>
      </c>
      <c r="AW604" s="7719">
        <f>AV604*AW605</f>
        <v>0</v>
      </c>
      <c r="AX604" s="7719">
        <f>AW604*AX605</f>
        <v>0</v>
      </c>
      <c r="AY604" s="1246">
        <f>AX604*AY605</f>
        <v>0</v>
      </c>
      <c r="AZ604" s="1246">
        <f>AY604*AZ605</f>
        <v>0</v>
      </c>
      <c r="BA604" s="1246">
        <f>AZ604*BA605</f>
        <v>0</v>
      </c>
      <c r="BB604" s="1246">
        <f>BA604*BB605</f>
        <v>0</v>
      </c>
      <c r="BC604" s="1246">
        <f>BB604*BC605</f>
        <v>0</v>
      </c>
      <c r="BD604" s="761">
        <f>IF(AI604=0,0,(AT604-AI604)/AI604*100)</f>
        <v>0</v>
      </c>
      <c r="BE604" s="761">
        <f>IF(AT604=0,0,(AU604-AT604)/AT604*100)</f>
        <v>0</v>
      </c>
      <c r="BF604" s="761">
        <f>IF(AU604=0,0,(AV604-AU604)/AU604*100)</f>
        <v>0</v>
      </c>
      <c r="BG604" s="761">
        <f>IF(AV604=0,0,(AW604-AV604)/AV604*100)</f>
        <v>0</v>
      </c>
      <c r="BH604" s="761">
        <f>IF(AW604=0,0,(AX604-AW604)/AW604*100)</f>
        <v>0</v>
      </c>
      <c r="BI604" s="761">
        <f>IF(AX604=0,0,(AY604-AX604)/AX604*100)</f>
        <v>0</v>
      </c>
      <c r="BJ604" s="761">
        <f>IF(AY604=0,0,(AZ604-AY604)/AY604*100)</f>
        <v>0</v>
      </c>
      <c r="BK604" s="761">
        <f>IF(AZ604=0,0,(BA604-AZ604)/AZ604*100)</f>
        <v>0</v>
      </c>
      <c r="BL604" s="761">
        <f>IF(BA604=0,0,(BB604-BA604)/BA604*100)</f>
        <v>0</v>
      </c>
      <c r="BM604" s="761">
        <f>IF(BB604=0,0,(BC604-BB604)/BB604*100)</f>
        <v>0</v>
      </c>
      <c r="BN604" s="7720"/>
      <c r="BO604" s="7720"/>
      <c r="BP604" s="7720"/>
      <c r="BQ604" s="160"/>
      <c r="BR604" s="161"/>
      <c r="BS604" s="1068" t="s">
        <v>1239</v>
      </c>
      <c r="BT604" s="1068"/>
      <c r="BU604" s="1068"/>
      <c r="BV604" s="705"/>
      <c r="BW604" s="705"/>
    </row>
    <row s="1834" customFormat="1" customHeight="1" ht="14.25">
      <c r="A605" s="1278"/>
      <c r="B605" s="978"/>
      <c r="C605" s="1278"/>
      <c r="D605" s="1278"/>
      <c r="E605" s="703">
        <v>15</v>
      </c>
      <c r="F605" s="50" cm="1" t="str">
        <f t="array" ref="F605:F605">OFFSET(E605,-1,1)</f>
        <v>4</v>
      </c>
      <c r="G605" s="1278"/>
      <c r="H605" s="378"/>
      <c r="I605" s="378" t="s">
        <v>1175</v>
      </c>
      <c r="J605" s="1278"/>
      <c r="K605" s="378" t="s">
        <v>1175</v>
      </c>
      <c r="L605" s="980"/>
      <c r="M605" s="107"/>
      <c r="N605" s="1278"/>
      <c r="O605" s="1278"/>
      <c r="P605" s="1278"/>
      <c r="Q605" s="1278"/>
      <c r="R605" s="161" t="s">
        <v>2947</v>
      </c>
      <c r="S605" s="1278"/>
      <c r="T605" s="465" cm="1" t="str">
        <f t="array" ref="T605:T605">T604</f>
        <v>true</v>
      </c>
      <c r="U605" s="1278"/>
      <c r="V605" s="1278"/>
      <c r="W605" s="1278"/>
      <c r="X605" s="1563"/>
      <c r="Y605" s="1278"/>
      <c r="Z605" s="1546"/>
      <c r="AA605" s="1278"/>
      <c r="AB605" s="299" t="s">
        <v>1628</v>
      </c>
      <c r="AC605" s="762" t="s">
        <v>2637</v>
      </c>
      <c r="AD605" s="300"/>
      <c r="AE605" s="7721"/>
      <c r="AF605" s="7721"/>
      <c r="AG605" s="7721"/>
      <c r="AH605" s="941">
        <f>AG605-AF605</f>
        <v>0</v>
      </c>
      <c r="AI605" s="7721">
        <f>_xlfn.SUMIFS(INDEX(Сценарии!$AE$25:$BF$163,,MATCH(AI$8,Сценарии!$AE$8:$BF$8,0)),Сценарии!$F$25:$F$163,$F605,Сценарии!$G$25:$G$163,"ИОР")</f>
        <v>1</v>
      </c>
      <c r="AJ605" s="7721">
        <f>_xlfn.SUMIFS(INDEX(Сценарии!$AE$25:$BF$163,,MATCH(AJ$8,Сценарии!$AE$8:$BF$8,0)),Сценарии!$F$25:$F$163,$F605,Сценарии!$G$25:$G$163,"ИОР")</f>
        <v>1.051</v>
      </c>
      <c r="AK605" s="7721">
        <f>_xlfn.SUMIFS(INDEX(Сценарии!$AE$25:$BF$163,,MATCH(AK$8,Сценарии!$AE$8:$BF$8,0)),Сценарии!$F$25:$F$163,$F605,Сценарии!$G$25:$G$163,"ИОР")</f>
        <v>1.0296</v>
      </c>
      <c r="AL605" s="7721">
        <f>_xlfn.SUMIFS(INDEX(Сценарии!$AE$25:$BF$163,,MATCH(AL$8,Сценарии!$AE$8:$BF$8,0)),Сценарии!$F$25:$F$163,$F605,Сценарии!$G$25:$G$163,"ИОР")</f>
        <v>1.0296</v>
      </c>
      <c r="AM605" s="7721">
        <f>_xlfn.SUMIFS(INDEX(Сценарии!$AE$25:$BF$163,,MATCH(AM$8,Сценарии!$AE$8:$BF$8,0)),Сценарии!$F$25:$F$163,$F605,Сценарии!$G$25:$G$163,"ИОР")</f>
        <v>1.0296</v>
      </c>
      <c r="AN605" s="7721">
        <f>_xlfn.SUMIFS(INDEX(Сценарии!$AE$25:$BF$163,,MATCH(AN$8,Сценарии!$AE$8:$BF$8,0)),Сценарии!$F$25:$F$163,$F605,Сценарии!$G$25:$G$163,"ИОР")</f>
        <v>1.0296</v>
      </c>
      <c r="AO605" s="1252">
        <f>_xlfn.SUMIFS(INDEX(Сценарии!$AE$25:$BF$163,,MATCH(AO$8,Сценарии!$AE$8:$BF$8,0)),Сценарии!$F$25:$F$163,$F605,Сценарии!$G$25:$G$163,"ИОР")</f>
        <v>1</v>
      </c>
      <c r="AP605" s="1252">
        <f>_xlfn.SUMIFS(INDEX(Сценарии!$AE$25:$BF$163,,MATCH(AP$8,Сценарии!$AE$8:$BF$8,0)),Сценарии!$F$25:$F$163,$F605,Сценарии!$G$25:$G$163,"ИОР")</f>
        <v>1</v>
      </c>
      <c r="AQ605" s="1252">
        <f>_xlfn.SUMIFS(INDEX(Сценарии!$AE$25:$BF$163,,MATCH(AQ$8,Сценарии!$AE$8:$BF$8,0)),Сценарии!$F$25:$F$163,$F605,Сценарии!$G$25:$G$163,"ИОР")</f>
        <v>1</v>
      </c>
      <c r="AR605" s="1252">
        <f>_xlfn.SUMIFS(INDEX(Сценарии!$AE$25:$BF$163,,MATCH(AR$8,Сценарии!$AE$8:$BF$8,0)),Сценарии!$F$25:$F$163,$F605,Сценарии!$G$25:$G$163,"ИОР")</f>
        <v>1</v>
      </c>
      <c r="AS605" s="1252">
        <f>_xlfn.SUMIFS(INDEX(Сценарии!$AE$25:$BF$163,,MATCH(AS$8,Сценарии!$AE$8:$BF$8,0)),Сценарии!$F$25:$F$163,$F605,Сценарии!$G$25:$G$163,"ИОР")</f>
        <v>1</v>
      </c>
      <c r="AT605" s="7721">
        <f>_xlfn.SUMIFS(INDEX(Сценарии!$AE$25:$BF$163,,MATCH(AT$8,Сценарии!$AE$8:$BF$8,0)),Сценарии!$F$25:$F$163,$F605,Сценарии!$G$25:$G$163,"ИОР")</f>
        <v>1.051</v>
      </c>
      <c r="AU605" s="7721">
        <f>_xlfn.SUMIFS(INDEX(Сценарии!$AE$25:$BF$163,,MATCH(AU$8,Сценарии!$AE$8:$BF$8,0)),Сценарии!$F$25:$F$163,$F605,Сценарии!$G$25:$G$163,"ИОР")</f>
        <v>1.0296</v>
      </c>
      <c r="AV605" s="7721">
        <f>_xlfn.SUMIFS(INDEX(Сценарии!$AE$25:$BF$163,,MATCH(AV$8,Сценарии!$AE$8:$BF$8,0)),Сценарии!$F$25:$F$163,$F605,Сценарии!$G$25:$G$163,"ИОР")</f>
        <v>1.0296</v>
      </c>
      <c r="AW605" s="7721">
        <f>_xlfn.SUMIFS(INDEX(Сценарии!$AE$25:$BF$163,,MATCH(AW$8,Сценарии!$AE$8:$BF$8,0)),Сценарии!$F$25:$F$163,$F605,Сценарии!$G$25:$G$163,"ИОР")</f>
        <v>1.0296</v>
      </c>
      <c r="AX605" s="7721">
        <f>_xlfn.SUMIFS(INDEX(Сценарии!$AE$25:$BF$163,,MATCH(AX$8,Сценарии!$AE$8:$BF$8,0)),Сценарии!$F$25:$F$163,$F605,Сценарии!$G$25:$G$163,"ИОР")</f>
        <v>1.0296</v>
      </c>
      <c r="AY605" s="1252">
        <f>_xlfn.SUMIFS(INDEX(Сценарии!$AE$25:$BF$163,,MATCH(AY$8,Сценарии!$AE$8:$BF$8,0)),Сценарии!$F$25:$F$163,$F605,Сценарии!$G$25:$G$163,"ИОР")</f>
        <v>1</v>
      </c>
      <c r="AZ605" s="1252">
        <f>_xlfn.SUMIFS(INDEX(Сценарии!$AE$25:$BF$163,,MATCH(AZ$8,Сценарии!$AE$8:$BF$8,0)),Сценарии!$F$25:$F$163,$F605,Сценарии!$G$25:$G$163,"ИОР")</f>
        <v>1</v>
      </c>
      <c r="BA605" s="1252">
        <f>_xlfn.SUMIFS(INDEX(Сценарии!$AE$25:$BF$163,,MATCH(BA$8,Сценарии!$AE$8:$BF$8,0)),Сценарии!$F$25:$F$163,$F605,Сценарии!$G$25:$G$163,"ИОР")</f>
        <v>1</v>
      </c>
      <c r="BB605" s="1252">
        <f>_xlfn.SUMIFS(INDEX(Сценарии!$AE$25:$BF$163,,MATCH(BB$8,Сценарии!$AE$8:$BF$8,0)),Сценарии!$F$25:$F$163,$F605,Сценарии!$G$25:$G$163,"ИОР")</f>
        <v>1</v>
      </c>
      <c r="BC605" s="1252">
        <f>_xlfn.SUMIFS(INDEX(Сценарии!$AE$25:$BF$163,,MATCH(BC$8,Сценарии!$AE$8:$BF$8,0)),Сценарии!$F$25:$F$163,$F605,Сценарии!$G$25:$G$163,"ИОР")</f>
        <v>1</v>
      </c>
      <c r="BD605" s="942"/>
      <c r="BE605" s="942"/>
      <c r="BF605" s="942"/>
      <c r="BG605" s="942"/>
      <c r="BH605" s="942"/>
      <c r="BI605" s="942"/>
      <c r="BJ605" s="942"/>
      <c r="BK605" s="942"/>
      <c r="BL605" s="942"/>
      <c r="BM605" s="942"/>
      <c r="BN605" s="7720"/>
      <c r="BO605" s="7720"/>
      <c r="BP605" s="7720"/>
      <c r="BQ605" s="1278"/>
      <c r="BR605" s="1278"/>
      <c r="BS605" s="1064" t="s">
        <v>2638</v>
      </c>
      <c r="BT605" s="1064"/>
      <c r="BU605" s="1064"/>
      <c r="BV605" s="979"/>
      <c r="BW605" s="979"/>
    </row>
    <row s="434" customFormat="1" customHeight="1" ht="20.25">
      <c r="A606" s="160"/>
      <c r="B606" s="434"/>
      <c r="C606" s="160"/>
      <c r="D606" s="160"/>
      <c r="E606" s="706">
        <v>21</v>
      </c>
      <c r="F606" s="50" cm="1" t="str">
        <f t="array" ref="F606:F606">OFFSET(E606,-1,1)</f>
        <v>4</v>
      </c>
      <c r="G606" s="160"/>
      <c r="H606" s="377"/>
      <c r="I606" s="377" t="s">
        <v>1179</v>
      </c>
      <c r="J606" s="160"/>
      <c r="K606" s="377" t="s">
        <v>1179</v>
      </c>
      <c r="L606" s="984" t="s">
        <v>332</v>
      </c>
      <c r="M606" s="858"/>
      <c r="N606" s="160"/>
      <c r="O606" s="160"/>
      <c r="P606" s="160"/>
      <c r="Q606" s="158" t="s">
        <v>2947</v>
      </c>
      <c r="R606" s="161" t="s">
        <v>2947</v>
      </c>
      <c r="S606" s="160"/>
      <c r="T606" s="465" cm="1" t="str">
        <f t="array" ref="T606:T606">T605</f>
        <v>true</v>
      </c>
      <c r="U606" s="160"/>
      <c r="V606" s="160"/>
      <c r="W606" s="160"/>
      <c r="X606" s="1563"/>
      <c r="Y606" s="160"/>
      <c r="Z606" s="1546"/>
      <c r="AA606" s="160"/>
      <c r="AB606" s="247" t="s">
        <v>1631</v>
      </c>
      <c r="AC606" s="361" t="s">
        <v>2434</v>
      </c>
      <c r="AD606" s="234" t="s">
        <v>1514</v>
      </c>
      <c r="AE606" s="761">
        <f>SUM(AE607,AE610,AE611,AE614,AE615)</f>
        <v>0</v>
      </c>
      <c r="AF606" s="761">
        <f>SUM(AF607,AF610,AF611,AF614,AF615)</f>
        <v>0</v>
      </c>
      <c r="AG606" s="761">
        <f>SUM(AG607,AG610,AG611,AG614,AG615)</f>
        <v>0</v>
      </c>
      <c r="AH606" s="761">
        <f>AG606-AF606</f>
        <v>0</v>
      </c>
      <c r="AI606" s="7684">
        <f>SUM(AI607,AI610,AI611,AI614,AI615)</f>
        <v>0</v>
      </c>
      <c r="AJ606" s="7721"/>
      <c r="AK606" s="764"/>
      <c r="AL606" s="764"/>
      <c r="AM606" s="764"/>
      <c r="AN606" s="764"/>
      <c r="AO606" s="764"/>
      <c r="AP606" s="764"/>
      <c r="AQ606" s="764"/>
      <c r="AR606" s="764"/>
      <c r="AS606" s="764"/>
      <c r="AT606" s="764"/>
      <c r="AU606" s="764"/>
      <c r="AV606" s="764"/>
      <c r="AW606" s="764"/>
      <c r="AX606" s="764"/>
      <c r="AY606" s="764"/>
      <c r="AZ606" s="764"/>
      <c r="BA606" s="764"/>
      <c r="BB606" s="764"/>
      <c r="BC606" s="764"/>
      <c r="BD606" s="764"/>
      <c r="BE606" s="764"/>
      <c r="BF606" s="764"/>
      <c r="BG606" s="764"/>
      <c r="BH606" s="764"/>
      <c r="BI606" s="764"/>
      <c r="BJ606" s="764"/>
      <c r="BK606" s="764"/>
      <c r="BL606" s="764"/>
      <c r="BM606" s="764"/>
      <c r="BN606" s="7722"/>
      <c r="BO606" s="7722"/>
      <c r="BP606" s="7722"/>
      <c r="BQ606" s="160"/>
      <c r="BR606" s="160"/>
      <c r="BS606" s="1062" t="s">
        <v>1230</v>
      </c>
      <c r="BT606" s="1069"/>
      <c r="BU606" s="1069"/>
      <c r="BV606" s="706"/>
      <c r="BW606" s="706"/>
    </row>
    <row s="1834" customFormat="1" customHeight="1" ht="14.25">
      <c r="A607" s="1278"/>
      <c r="B607" s="978"/>
      <c r="C607" s="1278"/>
      <c r="D607" s="1278"/>
      <c r="E607" s="703">
        <v>15</v>
      </c>
      <c r="F607" s="50" cm="1" t="str">
        <f t="array" ref="F607:F607">OFFSET(E607,-1,1)</f>
        <v>4</v>
      </c>
      <c r="G607" s="1278"/>
      <c r="H607" s="378"/>
      <c r="I607" s="378" t="s">
        <v>2068</v>
      </c>
      <c r="J607" s="1278"/>
      <c r="K607" s="378" t="s">
        <v>2068</v>
      </c>
      <c r="L607" s="980" t="s">
        <v>1175</v>
      </c>
      <c r="M607" s="107"/>
      <c r="N607" s="1278"/>
      <c r="O607" s="1278"/>
      <c r="P607" s="1278"/>
      <c r="Q607" s="158" t="s">
        <v>2947</v>
      </c>
      <c r="R607" s="161" t="s">
        <v>2947</v>
      </c>
      <c r="S607" s="1278"/>
      <c r="T607" s="465" cm="1" t="str">
        <f t="array" ref="T607:T607">T606</f>
        <v>true</v>
      </c>
      <c r="U607" s="1278"/>
      <c r="V607" s="1278"/>
      <c r="W607" s="1278"/>
      <c r="X607" s="1563"/>
      <c r="Y607" s="1278"/>
      <c r="Z607" s="1546"/>
      <c r="AA607" s="1278"/>
      <c r="AB607" s="299" t="s">
        <v>2069</v>
      </c>
      <c r="AC607" s="765" t="s">
        <v>2639</v>
      </c>
      <c r="AD607" s="766" t="s">
        <v>1514</v>
      </c>
      <c r="AE607" s="943">
        <f>SUM(AE608,AE609)</f>
        <v>0</v>
      </c>
      <c r="AF607" s="943">
        <f>SUM(AF608,AF609)</f>
        <v>0</v>
      </c>
      <c r="AG607" s="943">
        <f>SUM(AG608,AG609)</f>
        <v>0</v>
      </c>
      <c r="AH607" s="943">
        <f>AG607-AF607</f>
        <v>0</v>
      </c>
      <c r="AI607" s="7687">
        <f>SUM(AI608,AI609)</f>
        <v>0</v>
      </c>
      <c r="AJ607" s="7721"/>
      <c r="AK607" s="942"/>
      <c r="AL607" s="942"/>
      <c r="AM607" s="942"/>
      <c r="AN607" s="942"/>
      <c r="AO607" s="942"/>
      <c r="AP607" s="942"/>
      <c r="AQ607" s="942"/>
      <c r="AR607" s="942"/>
      <c r="AS607" s="942"/>
      <c r="AT607" s="942"/>
      <c r="AU607" s="942"/>
      <c r="AV607" s="942"/>
      <c r="AW607" s="942"/>
      <c r="AX607" s="942"/>
      <c r="AY607" s="942"/>
      <c r="AZ607" s="942"/>
      <c r="BA607" s="942"/>
      <c r="BB607" s="942"/>
      <c r="BC607" s="942"/>
      <c r="BD607" s="942"/>
      <c r="BE607" s="942"/>
      <c r="BF607" s="942"/>
      <c r="BG607" s="942"/>
      <c r="BH607" s="942"/>
      <c r="BI607" s="942"/>
      <c r="BJ607" s="942"/>
      <c r="BK607" s="942"/>
      <c r="BL607" s="942"/>
      <c r="BM607" s="942"/>
      <c r="BN607" s="7720"/>
      <c r="BO607" s="7720"/>
      <c r="BP607" s="7720"/>
      <c r="BQ607" s="110"/>
      <c r="BR607" s="1278"/>
      <c r="BS607" s="1063" t="s">
        <v>2436</v>
      </c>
      <c r="BT607" s="1064"/>
      <c r="BU607" s="1064"/>
      <c r="BV607" s="979"/>
      <c r="BW607" s="979"/>
    </row>
    <row s="1834" customFormat="1" customHeight="1" ht="14.25">
      <c r="A608" s="1278"/>
      <c r="B608" s="978"/>
      <c r="C608" s="1278"/>
      <c r="D608" s="1278"/>
      <c r="E608" s="703">
        <v>15</v>
      </c>
      <c r="F608" s="50" cm="1" t="str">
        <f t="array" ref="F608:F608">OFFSET(E608,-1,1)</f>
        <v>4</v>
      </c>
      <c r="G608" s="1278"/>
      <c r="H608" s="378"/>
      <c r="I608" s="378" t="s">
        <v>2640</v>
      </c>
      <c r="J608" s="1278"/>
      <c r="K608" s="378" t="s">
        <v>2640</v>
      </c>
      <c r="L608" s="980" t="s">
        <v>1739</v>
      </c>
      <c r="M608" s="107"/>
      <c r="N608" s="1278"/>
      <c r="O608" s="1278"/>
      <c r="P608" s="1278"/>
      <c r="Q608" s="158" t="s">
        <v>2947</v>
      </c>
      <c r="R608" s="161" t="s">
        <v>2947</v>
      </c>
      <c r="S608" s="1278"/>
      <c r="T608" s="465" cm="1" t="str">
        <f t="array" ref="T608:T608">T607</f>
        <v>true</v>
      </c>
      <c r="U608" s="1278"/>
      <c r="V608" s="1278"/>
      <c r="W608" s="1278"/>
      <c r="X608" s="1563"/>
      <c r="Y608" s="1278"/>
      <c r="Z608" s="1546"/>
      <c r="AA608" s="1278"/>
      <c r="AB608" s="299" t="s">
        <v>2641</v>
      </c>
      <c r="AC608" s="768" t="s">
        <v>2439</v>
      </c>
      <c r="AD608" s="766" t="s">
        <v>1514</v>
      </c>
      <c r="AE608" s="1744">
        <f>_xlfn.SUMIFS('Сырье и материалы'!AE$25:AE$162,'Сырье и материалы'!$F$25:$F$162,$F608,'Сырье и материалы'!$I$25:$I$162,"Горюче-смазочные материалы")</f>
        <v>0</v>
      </c>
      <c r="AF608" s="1744">
        <f>_xlfn.SUMIFS('Сырье и материалы'!AF$25:AF$162,'Сырье и материалы'!$F$25:$F$162,$F608,'Сырье и материалы'!$I$25:$I$162,"Горюче-смазочные материалы")</f>
        <v>0</v>
      </c>
      <c r="AG608" s="1744">
        <f>_xlfn.SUMIFS('Сырье и материалы'!AG$25:AG$162,'Сырье и материалы'!$F$25:$F$162,$F608,'Сырье и материалы'!$I$25:$I$162,"Горюче-смазочные материалы")</f>
        <v>0</v>
      </c>
      <c r="AH608" s="943">
        <f>AG608-AF608</f>
        <v>0</v>
      </c>
      <c r="AI608" s="7689">
        <f>_xlfn.SUMIFS('Сырье и материалы'!AH$25:AH$162,'Сырье и материалы'!$F$25:$F$162,$F608,'Сырье и материалы'!$I$25:$I$162,"Горюче-смазочные материалы")</f>
        <v>0</v>
      </c>
      <c r="AJ608" s="7721"/>
      <c r="AK608" s="942"/>
      <c r="AL608" s="942"/>
      <c r="AM608" s="942"/>
      <c r="AN608" s="942"/>
      <c r="AO608" s="942"/>
      <c r="AP608" s="942"/>
      <c r="AQ608" s="942"/>
      <c r="AR608" s="942"/>
      <c r="AS608" s="942"/>
      <c r="AT608" s="942"/>
      <c r="AU608" s="942"/>
      <c r="AV608" s="942"/>
      <c r="AW608" s="942"/>
      <c r="AX608" s="942"/>
      <c r="AY608" s="942"/>
      <c r="AZ608" s="942"/>
      <c r="BA608" s="942"/>
      <c r="BB608" s="942"/>
      <c r="BC608" s="942"/>
      <c r="BD608" s="942"/>
      <c r="BE608" s="942"/>
      <c r="BF608" s="942"/>
      <c r="BG608" s="942"/>
      <c r="BH608" s="942"/>
      <c r="BI608" s="942"/>
      <c r="BJ608" s="942"/>
      <c r="BK608" s="942"/>
      <c r="BL608" s="942"/>
      <c r="BM608" s="942"/>
      <c r="BN608" s="7720"/>
      <c r="BO608" s="7720"/>
      <c r="BP608" s="7720"/>
      <c r="BQ608" s="1278"/>
      <c r="BR608" s="1278"/>
      <c r="BS608" s="1062" t="s">
        <v>2440</v>
      </c>
      <c r="BT608" s="1064"/>
      <c r="BU608" s="1064"/>
      <c r="BV608" s="979"/>
      <c r="BW608" s="979"/>
    </row>
    <row s="1834" customFormat="1" customHeight="1" ht="14.25">
      <c r="A609" s="1278"/>
      <c r="B609" s="978"/>
      <c r="C609" s="1278"/>
      <c r="D609" s="1278"/>
      <c r="E609" s="703">
        <v>15</v>
      </c>
      <c r="F609" s="50" cm="1" t="str">
        <f t="array" ref="F609:F609">OFFSET(E609,-1,1)</f>
        <v>4</v>
      </c>
      <c r="G609" s="1278"/>
      <c r="H609" s="378"/>
      <c r="I609" s="378" t="s">
        <v>2642</v>
      </c>
      <c r="J609" s="1278"/>
      <c r="K609" s="378" t="s">
        <v>2642</v>
      </c>
      <c r="L609" s="980" t="s">
        <v>2043</v>
      </c>
      <c r="M609" s="107"/>
      <c r="N609" s="1278"/>
      <c r="O609" s="1278"/>
      <c r="P609" s="1278"/>
      <c r="Q609" s="158" t="s">
        <v>2947</v>
      </c>
      <c r="R609" s="161" t="s">
        <v>2947</v>
      </c>
      <c r="S609" s="1278"/>
      <c r="T609" s="465" cm="1" t="str">
        <f t="array" ref="T609:T609">T608</f>
        <v>true</v>
      </c>
      <c r="U609" s="1278"/>
      <c r="V609" s="1278"/>
      <c r="W609" s="1278"/>
      <c r="X609" s="1563"/>
      <c r="Y609" s="1278"/>
      <c r="Z609" s="1546"/>
      <c r="AA609" s="1278"/>
      <c r="AB609" s="299" t="s">
        <v>2643</v>
      </c>
      <c r="AC609" s="768" t="s">
        <v>2441</v>
      </c>
      <c r="AD609" s="766" t="s">
        <v>1514</v>
      </c>
      <c r="AE609" s="1744">
        <f>_xlfn.SUMIFS('Сырье и материалы'!AE$25:AE$162,'Сырье и материалы'!$F$25:$F$162,$F609,'Сырье и материалы'!$I$25:$I$162,"Материалы")</f>
        <v>0</v>
      </c>
      <c r="AF609" s="1744">
        <f>_xlfn.SUMIFS('Сырье и материалы'!AF$25:AF$162,'Сырье и материалы'!$F$25:$F$162,$F609,'Сырье и материалы'!$I$25:$I$162,"Материалы")</f>
        <v>0</v>
      </c>
      <c r="AG609" s="1744">
        <f>_xlfn.SUMIFS('Сырье и материалы'!AG$25:AG$162,'Сырье и материалы'!$F$25:$F$162,$F609,'Сырье и материалы'!$I$25:$I$162,"Материалы")</f>
        <v>0</v>
      </c>
      <c r="AH609" s="943">
        <f>AG609-AF609</f>
        <v>0</v>
      </c>
      <c r="AI609" s="7689">
        <f>_xlfn.SUMIFS('Сырье и материалы'!AH$25:AH$162,'Сырье и материалы'!$F$25:$F$162,$F609,'Сырье и материалы'!$I$25:$I$162,"Материалы")</f>
        <v>0</v>
      </c>
      <c r="AJ609" s="7721"/>
      <c r="AK609" s="942"/>
      <c r="AL609" s="942"/>
      <c r="AM609" s="942"/>
      <c r="AN609" s="942"/>
      <c r="AO609" s="942"/>
      <c r="AP609" s="942"/>
      <c r="AQ609" s="942"/>
      <c r="AR609" s="942"/>
      <c r="AS609" s="942"/>
      <c r="AT609" s="942"/>
      <c r="AU609" s="942"/>
      <c r="AV609" s="942"/>
      <c r="AW609" s="942"/>
      <c r="AX609" s="942"/>
      <c r="AY609" s="942"/>
      <c r="AZ609" s="942"/>
      <c r="BA609" s="942"/>
      <c r="BB609" s="942"/>
      <c r="BC609" s="942"/>
      <c r="BD609" s="942"/>
      <c r="BE609" s="942"/>
      <c r="BF609" s="942"/>
      <c r="BG609" s="942"/>
      <c r="BH609" s="942"/>
      <c r="BI609" s="942"/>
      <c r="BJ609" s="942"/>
      <c r="BK609" s="942"/>
      <c r="BL609" s="942"/>
      <c r="BM609" s="942"/>
      <c r="BN609" s="7720"/>
      <c r="BO609" s="7720"/>
      <c r="BP609" s="7720"/>
      <c r="BQ609" s="1278"/>
      <c r="BR609" s="1278"/>
      <c r="BS609" s="1062" t="s">
        <v>2442</v>
      </c>
      <c r="BT609" s="1064"/>
      <c r="BU609" s="1064"/>
      <c r="BV609" s="979"/>
      <c r="BW609" s="979"/>
    </row>
    <row s="1834" customFormat="1" customHeight="1" ht="21.75">
      <c r="A610" s="1278"/>
      <c r="B610" s="978"/>
      <c r="C610" s="1278"/>
      <c r="D610" s="1278"/>
      <c r="E610" s="703">
        <v>22.5</v>
      </c>
      <c r="F610" s="50" cm="1" t="str">
        <f t="array" ref="F610:F610">OFFSET(E610,-1,1)</f>
        <v>4</v>
      </c>
      <c r="G610" s="1278"/>
      <c r="H610" s="378"/>
      <c r="I610" s="378" t="s">
        <v>2071</v>
      </c>
      <c r="J610" s="1278"/>
      <c r="K610" s="378" t="s">
        <v>2071</v>
      </c>
      <c r="L610" s="980" t="s">
        <v>1182</v>
      </c>
      <c r="M610" s="107"/>
      <c r="N610" s="1278"/>
      <c r="O610" s="1278"/>
      <c r="P610" s="1278"/>
      <c r="Q610" s="158" t="s">
        <v>2947</v>
      </c>
      <c r="R610" s="161" t="s">
        <v>2947</v>
      </c>
      <c r="S610" s="1278"/>
      <c r="T610" s="465" cm="1" t="str">
        <f t="array" ref="T610:T610">T609</f>
        <v>true</v>
      </c>
      <c r="U610" s="1278"/>
      <c r="V610" s="1278"/>
      <c r="W610" s="1278"/>
      <c r="X610" s="1563"/>
      <c r="Y610" s="1278"/>
      <c r="Z610" s="1546"/>
      <c r="AA610" s="1278"/>
      <c r="AB610" s="299" t="s">
        <v>2072</v>
      </c>
      <c r="AC610" s="765" t="s">
        <v>2644</v>
      </c>
      <c r="AD610" s="766" t="s">
        <v>1514</v>
      </c>
      <c r="AE610" s="7723"/>
      <c r="AF610" s="7723"/>
      <c r="AG610" s="7723"/>
      <c r="AH610" s="943">
        <f>AG610-AF610</f>
        <v>0</v>
      </c>
      <c r="AI610" s="7691"/>
      <c r="AJ610" s="7721"/>
      <c r="AK610" s="942"/>
      <c r="AL610" s="942"/>
      <c r="AM610" s="942"/>
      <c r="AN610" s="942"/>
      <c r="AO610" s="942"/>
      <c r="AP610" s="942"/>
      <c r="AQ610" s="942"/>
      <c r="AR610" s="942"/>
      <c r="AS610" s="942"/>
      <c r="AT610" s="942"/>
      <c r="AU610" s="942"/>
      <c r="AV610" s="942"/>
      <c r="AW610" s="942"/>
      <c r="AX610" s="942"/>
      <c r="AY610" s="942"/>
      <c r="AZ610" s="942"/>
      <c r="BA610" s="942"/>
      <c r="BB610" s="942"/>
      <c r="BC610" s="942"/>
      <c r="BD610" s="942"/>
      <c r="BE610" s="942"/>
      <c r="BF610" s="942"/>
      <c r="BG610" s="942"/>
      <c r="BH610" s="942"/>
      <c r="BI610" s="942"/>
      <c r="BJ610" s="942"/>
      <c r="BK610" s="942"/>
      <c r="BL610" s="942"/>
      <c r="BM610" s="942"/>
      <c r="BN610" s="7720"/>
      <c r="BO610" s="7720"/>
      <c r="BP610" s="7720"/>
      <c r="BQ610" s="1278"/>
      <c r="BR610" s="1278"/>
      <c r="BS610" s="1063" t="s">
        <v>2467</v>
      </c>
      <c r="BT610" s="1064"/>
      <c r="BU610" s="1064"/>
      <c r="BV610" s="979"/>
      <c r="BW610" s="979"/>
    </row>
    <row s="1834" customFormat="1" customHeight="1" ht="21.75">
      <c r="A611" s="1278"/>
      <c r="B611" s="978"/>
      <c r="C611" s="1278"/>
      <c r="D611" s="1278"/>
      <c r="E611" s="703">
        <v>22.5</v>
      </c>
      <c r="F611" s="50" cm="1" t="str">
        <f t="array" ref="F611:F611">OFFSET(E611,-1,1)</f>
        <v>4</v>
      </c>
      <c r="G611" s="1278"/>
      <c r="H611" s="378"/>
      <c r="I611" s="378" t="s">
        <v>2075</v>
      </c>
      <c r="J611" s="1278"/>
      <c r="K611" s="378" t="s">
        <v>2075</v>
      </c>
      <c r="L611" s="980" t="s">
        <v>1186</v>
      </c>
      <c r="M611" s="107"/>
      <c r="N611" s="1278"/>
      <c r="O611" s="1278"/>
      <c r="P611" s="1278"/>
      <c r="Q611" s="158" t="s">
        <v>2947</v>
      </c>
      <c r="R611" s="161" t="s">
        <v>2947</v>
      </c>
      <c r="S611" s="1278"/>
      <c r="T611" s="465" cm="1" t="str">
        <f t="array" ref="T611:T611">T610</f>
        <v>true</v>
      </c>
      <c r="U611" s="1278"/>
      <c r="V611" s="1278"/>
      <c r="W611" s="1278"/>
      <c r="X611" s="1563"/>
      <c r="Y611" s="1278"/>
      <c r="Z611" s="1546"/>
      <c r="AA611" s="1278"/>
      <c r="AB611" s="299" t="s">
        <v>2076</v>
      </c>
      <c r="AC611" s="765" t="s">
        <v>2645</v>
      </c>
      <c r="AD611" s="766" t="s">
        <v>1514</v>
      </c>
      <c r="AE611" s="944">
        <f>AE612+AE613</f>
        <v>0</v>
      </c>
      <c r="AF611" s="944">
        <f>AF612+AF613</f>
        <v>0</v>
      </c>
      <c r="AG611" s="944">
        <f>AG612+AG613</f>
        <v>0</v>
      </c>
      <c r="AH611" s="943">
        <f>AG611-AF611</f>
        <v>0</v>
      </c>
      <c r="AI611" s="7693">
        <f>AI612+AI613</f>
        <v>0</v>
      </c>
      <c r="AJ611" s="7721"/>
      <c r="AK611" s="942"/>
      <c r="AL611" s="942"/>
      <c r="AM611" s="942"/>
      <c r="AN611" s="942"/>
      <c r="AO611" s="942"/>
      <c r="AP611" s="942"/>
      <c r="AQ611" s="942"/>
      <c r="AR611" s="942"/>
      <c r="AS611" s="942"/>
      <c r="AT611" s="942"/>
      <c r="AU611" s="942"/>
      <c r="AV611" s="942"/>
      <c r="AW611" s="942"/>
      <c r="AX611" s="942"/>
      <c r="AY611" s="942"/>
      <c r="AZ611" s="942"/>
      <c r="BA611" s="942"/>
      <c r="BB611" s="942"/>
      <c r="BC611" s="942"/>
      <c r="BD611" s="942"/>
      <c r="BE611" s="942"/>
      <c r="BF611" s="942"/>
      <c r="BG611" s="942"/>
      <c r="BH611" s="942"/>
      <c r="BI611" s="942"/>
      <c r="BJ611" s="942"/>
      <c r="BK611" s="942"/>
      <c r="BL611" s="942"/>
      <c r="BM611" s="942"/>
      <c r="BN611" s="7720"/>
      <c r="BO611" s="7720"/>
      <c r="BP611" s="7720"/>
      <c r="BQ611" s="1278"/>
      <c r="BR611" s="1278"/>
      <c r="BS611" s="1063" t="s">
        <v>2646</v>
      </c>
      <c r="BT611" s="1064"/>
      <c r="BU611" s="1064"/>
      <c r="BV611" s="979"/>
      <c r="BW611" s="979"/>
    </row>
    <row s="1834" customFormat="1" customHeight="1" ht="14.25">
      <c r="A612" s="1278"/>
      <c r="B612" s="978"/>
      <c r="C612" s="1278"/>
      <c r="D612" s="1278"/>
      <c r="E612" s="703">
        <v>15</v>
      </c>
      <c r="F612" s="50" cm="1" t="str">
        <f t="array" ref="F612:F612">OFFSET(E612,-1,1)</f>
        <v>4</v>
      </c>
      <c r="G612" s="349" t="s">
        <v>1866</v>
      </c>
      <c r="H612" s="378"/>
      <c r="I612" s="378" t="s">
        <v>2220</v>
      </c>
      <c r="J612" s="1278"/>
      <c r="K612" s="378" t="s">
        <v>2220</v>
      </c>
      <c r="L612" s="980" t="s">
        <v>2095</v>
      </c>
      <c r="M612" s="107"/>
      <c r="N612" s="1278"/>
      <c r="O612" s="1278"/>
      <c r="P612" s="1278"/>
      <c r="Q612" s="158" t="s">
        <v>2947</v>
      </c>
      <c r="R612" s="161" t="s">
        <v>2947</v>
      </c>
      <c r="S612" s="1278"/>
      <c r="T612" s="465" cm="1" t="str">
        <f t="array" ref="T612:T612">T611</f>
        <v>true</v>
      </c>
      <c r="U612" s="1278"/>
      <c r="V612" s="1278"/>
      <c r="W612" s="1278"/>
      <c r="X612" s="1563"/>
      <c r="Y612" s="1278"/>
      <c r="Z612" s="1546"/>
      <c r="AA612" s="1278"/>
      <c r="AB612" s="299" t="s">
        <v>2647</v>
      </c>
      <c r="AC612" s="768" t="s">
        <v>2470</v>
      </c>
      <c r="AD612" s="766" t="s">
        <v>1514</v>
      </c>
      <c r="AE612" s="7723"/>
      <c r="AF612" s="7723"/>
      <c r="AG612" s="7723"/>
      <c r="AH612" s="943">
        <f>AG612-AF612</f>
        <v>0</v>
      </c>
      <c r="AI612" s="7691"/>
      <c r="AJ612" s="7721"/>
      <c r="AK612" s="942"/>
      <c r="AL612" s="942"/>
      <c r="AM612" s="942"/>
      <c r="AN612" s="942"/>
      <c r="AO612" s="942"/>
      <c r="AP612" s="942"/>
      <c r="AQ612" s="942"/>
      <c r="AR612" s="942"/>
      <c r="AS612" s="942"/>
      <c r="AT612" s="942"/>
      <c r="AU612" s="942"/>
      <c r="AV612" s="942"/>
      <c r="AW612" s="942"/>
      <c r="AX612" s="942"/>
      <c r="AY612" s="942"/>
      <c r="AZ612" s="942"/>
      <c r="BA612" s="942"/>
      <c r="BB612" s="942"/>
      <c r="BC612" s="942"/>
      <c r="BD612" s="942"/>
      <c r="BE612" s="942"/>
      <c r="BF612" s="942"/>
      <c r="BG612" s="942"/>
      <c r="BH612" s="942"/>
      <c r="BI612" s="942"/>
      <c r="BJ612" s="942"/>
      <c r="BK612" s="942"/>
      <c r="BL612" s="942"/>
      <c r="BM612" s="942"/>
      <c r="BN612" s="7720"/>
      <c r="BO612" s="7724" t="str">
        <f>IF(_xlfn.IFERROR(INDEX(ФОТ!$K$26:$L$188,MATCH($F612&amp;"1komm",ФОТ!$K$26:$K$188,0),2),"")=0,"",_xlfn.IFERROR(INDEX(ФОТ!$K$26:$L$188,MATCH($F612&amp;"1komm",ФОТ!$K$26:$K$188,0),2),""))</f>
        <v>по предложению организации в соответствии со штатным расписанием.</v>
      </c>
      <c r="BP612" s="7720"/>
      <c r="BQ612" s="1278"/>
      <c r="BR612" s="1278"/>
      <c r="BS612" s="1062" t="s">
        <v>2471</v>
      </c>
      <c r="BT612" s="1064"/>
      <c r="BU612" s="1064"/>
      <c r="BV612" s="979"/>
      <c r="BW612" s="979"/>
    </row>
    <row s="1834" customFormat="1" customHeight="1" ht="21.75">
      <c r="A613" s="1278"/>
      <c r="B613" s="978"/>
      <c r="C613" s="1278"/>
      <c r="D613" s="1278"/>
      <c r="E613" s="703">
        <v>22.5</v>
      </c>
      <c r="F613" s="50" cm="1" t="str">
        <f t="array" ref="F613:F613">OFFSET(E613,-1,1)</f>
        <v>4</v>
      </c>
      <c r="G613" s="349" t="s">
        <v>1878</v>
      </c>
      <c r="H613" s="378"/>
      <c r="I613" s="378" t="s">
        <v>2224</v>
      </c>
      <c r="J613" s="1278"/>
      <c r="K613" s="378" t="s">
        <v>2224</v>
      </c>
      <c r="L613" s="980" t="s">
        <v>2096</v>
      </c>
      <c r="M613" s="107"/>
      <c r="N613" s="1278"/>
      <c r="O613" s="1278"/>
      <c r="P613" s="1278"/>
      <c r="Q613" s="158" t="s">
        <v>2947</v>
      </c>
      <c r="R613" s="161" t="s">
        <v>2947</v>
      </c>
      <c r="S613" s="1278"/>
      <c r="T613" s="465" cm="1" t="str">
        <f t="array" ref="T613:T613">T612</f>
        <v>true</v>
      </c>
      <c r="U613" s="1278"/>
      <c r="V613" s="1278"/>
      <c r="W613" s="1278"/>
      <c r="X613" s="1563"/>
      <c r="Y613" s="1278"/>
      <c r="Z613" s="1546"/>
      <c r="AA613" s="1278"/>
      <c r="AB613" s="299" t="s">
        <v>2648</v>
      </c>
      <c r="AC613" s="768" t="s">
        <v>2649</v>
      </c>
      <c r="AD613" s="766" t="s">
        <v>1514</v>
      </c>
      <c r="AE613" s="7723">
        <f>AE612*_xlfn.SUMIFS(INDEX(Сценарии!$AE$25:$BF$163,,MATCH(AE$8,Сценарии!$AE$8:$BF$8,0)),Сценарии!$F$25:$F$163,$F613,Сценарии!$G$25:$G$163,"СВФОТ")/100</f>
        <v>0</v>
      </c>
      <c r="AF613" s="7723">
        <f>AF612*_xlfn.SUMIFS(INDEX(Сценарии!$AE$25:$BF$163,,MATCH(AF$8,Сценарии!$AE$8:$BF$8,0)),Сценарии!$F$25:$F$163,$F613,Сценарии!$G$25:$G$163,"СВФОТ")/100</f>
        <v>0</v>
      </c>
      <c r="AG613" s="7723">
        <f>AG612*_xlfn.SUMIFS(INDEX(Сценарии!$AE$25:$BF$163,,MATCH(AG$8,Сценарии!$AE$8:$BF$8,0)),Сценарии!$F$25:$F$163,$F613,Сценарии!$G$25:$G$163,"СВФОТ")/100</f>
        <v>0</v>
      </c>
      <c r="AH613" s="943">
        <f>AG613-AF613</f>
        <v>0</v>
      </c>
      <c r="AI613" s="7691">
        <f>AI612*_xlfn.SUMIFS(INDEX(Сценарии!$AE$25:$BF$163,,MATCH(AG$8,Сценарии!$AE$8:$BF$8,0)),Сценарии!$F$25:$F$163,$F613,Сценарии!$G$25:$G$163,"СВФОТ")/100</f>
        <v>0</v>
      </c>
      <c r="AJ613" s="7721"/>
      <c r="AK613" s="942"/>
      <c r="AL613" s="942"/>
      <c r="AM613" s="942"/>
      <c r="AN613" s="942"/>
      <c r="AO613" s="942"/>
      <c r="AP613" s="942"/>
      <c r="AQ613" s="942"/>
      <c r="AR613" s="942"/>
      <c r="AS613" s="942"/>
      <c r="AT613" s="942"/>
      <c r="AU613" s="942"/>
      <c r="AV613" s="942"/>
      <c r="AW613" s="942"/>
      <c r="AX613" s="942"/>
      <c r="AY613" s="942"/>
      <c r="AZ613" s="942"/>
      <c r="BA613" s="942"/>
      <c r="BB613" s="942"/>
      <c r="BC613" s="942"/>
      <c r="BD613" s="942"/>
      <c r="BE613" s="942"/>
      <c r="BF613" s="942"/>
      <c r="BG613" s="942"/>
      <c r="BH613" s="942"/>
      <c r="BI613" s="942"/>
      <c r="BJ613" s="942"/>
      <c r="BK613" s="942"/>
      <c r="BL613" s="942"/>
      <c r="BM613" s="942"/>
      <c r="BN613" s="7720"/>
      <c r="BO613" s="7724" t="str">
        <f>IF(_xlfn.IFERROR(INDEX(ФОТ!$K$26:$L$188,MATCH($F613&amp;"2komm",ФОТ!$K$26:$K$188,0),2),"")=0,"",_xlfn.IFERROR(INDEX(ФОТ!$K$26:$L$188,MATCH($F613&amp;"2komm",ФОТ!$K$26:$K$188,0),2),""))</f>
        <v>на основании Налогового кодекса РФ (часть вторая) от 05.08.2000 № 117-ФЗ в размере 30%, а также в соответствии с Федеральным законом от 24.07.1998 № 125 – ФЗ (0,20%).</v>
      </c>
      <c r="BP613" s="7720"/>
      <c r="BQ613" s="1278"/>
      <c r="BR613" s="1278"/>
      <c r="BS613" s="1062" t="s">
        <v>2473</v>
      </c>
      <c r="BT613" s="1064"/>
      <c r="BU613" s="1064"/>
      <c r="BV613" s="979"/>
      <c r="BW613" s="979"/>
    </row>
    <row s="1834" customFormat="1" customHeight="1" ht="14.25">
      <c r="A614" s="1278"/>
      <c r="B614" s="978"/>
      <c r="C614" s="1278"/>
      <c r="D614" s="1278"/>
      <c r="E614" s="703">
        <v>15</v>
      </c>
      <c r="F614" s="50" cm="1" t="str">
        <f t="array" ref="F614:F614">OFFSET(E614,-1,1)</f>
        <v>4</v>
      </c>
      <c r="G614" s="1278"/>
      <c r="H614" s="378"/>
      <c r="I614" s="378" t="s">
        <v>2235</v>
      </c>
      <c r="J614" s="1278"/>
      <c r="K614" s="378" t="s">
        <v>2235</v>
      </c>
      <c r="L614" s="980" t="s">
        <v>2475</v>
      </c>
      <c r="M614" s="107"/>
      <c r="N614" s="1278"/>
      <c r="O614" s="1278"/>
      <c r="P614" s="1278"/>
      <c r="Q614" s="158" t="s">
        <v>2947</v>
      </c>
      <c r="R614" s="161" t="s">
        <v>2947</v>
      </c>
      <c r="S614" s="1278"/>
      <c r="T614" s="465" cm="1" t="str">
        <f t="array" ref="T614:T614">T613</f>
        <v>true</v>
      </c>
      <c r="U614" s="1278"/>
      <c r="V614" s="1278"/>
      <c r="W614" s="1278"/>
      <c r="X614" s="1563"/>
      <c r="Y614" s="1278"/>
      <c r="Z614" s="1546"/>
      <c r="AA614" s="1278"/>
      <c r="AB614" s="299" t="s">
        <v>2449</v>
      </c>
      <c r="AC614" s="765" t="s">
        <v>2650</v>
      </c>
      <c r="AD614" s="766" t="s">
        <v>1514</v>
      </c>
      <c r="AE614" s="7723"/>
      <c r="AF614" s="7723"/>
      <c r="AG614" s="7723"/>
      <c r="AH614" s="943">
        <f>AG614-AF614</f>
        <v>0</v>
      </c>
      <c r="AI614" s="7691"/>
      <c r="AJ614" s="7721"/>
      <c r="AK614" s="942"/>
      <c r="AL614" s="942"/>
      <c r="AM614" s="942"/>
      <c r="AN614" s="942"/>
      <c r="AO614" s="942"/>
      <c r="AP614" s="942"/>
      <c r="AQ614" s="942"/>
      <c r="AR614" s="942"/>
      <c r="AS614" s="942"/>
      <c r="AT614" s="942"/>
      <c r="AU614" s="942"/>
      <c r="AV614" s="942"/>
      <c r="AW614" s="942"/>
      <c r="AX614" s="942"/>
      <c r="AY614" s="942"/>
      <c r="AZ614" s="942"/>
      <c r="BA614" s="942"/>
      <c r="BB614" s="942"/>
      <c r="BC614" s="942"/>
      <c r="BD614" s="942"/>
      <c r="BE614" s="942"/>
      <c r="BF614" s="942"/>
      <c r="BG614" s="942"/>
      <c r="BH614" s="942"/>
      <c r="BI614" s="942"/>
      <c r="BJ614" s="942"/>
      <c r="BK614" s="942"/>
      <c r="BL614" s="942"/>
      <c r="BM614" s="942"/>
      <c r="BN614" s="7720"/>
      <c r="BO614" s="7720"/>
      <c r="BP614" s="7720"/>
      <c r="BQ614" s="1278"/>
      <c r="BR614" s="1278"/>
      <c r="BS614" s="1063" t="s">
        <v>2478</v>
      </c>
      <c r="BT614" s="1064"/>
      <c r="BU614" s="1064"/>
      <c r="BV614" s="979"/>
      <c r="BW614" s="979"/>
    </row>
    <row s="1834" customFormat="1" customHeight="1" ht="14.25">
      <c r="A615" s="1278"/>
      <c r="B615" s="978"/>
      <c r="C615" s="1278"/>
      <c r="D615" s="1278"/>
      <c r="E615" s="703">
        <v>15</v>
      </c>
      <c r="F615" s="50" cm="1" t="str">
        <f t="array" ref="F615:F615">OFFSET(E615,-1,1)</f>
        <v>4</v>
      </c>
      <c r="G615" s="1278"/>
      <c r="H615" s="378"/>
      <c r="I615" s="378" t="s">
        <v>2239</v>
      </c>
      <c r="J615" s="1278"/>
      <c r="K615" s="378" t="s">
        <v>2239</v>
      </c>
      <c r="L615" s="980" t="s">
        <v>2479</v>
      </c>
      <c r="M615" s="1278"/>
      <c r="N615" s="1278"/>
      <c r="O615" s="1278"/>
      <c r="P615" s="1278"/>
      <c r="Q615" s="158" t="s">
        <v>2947</v>
      </c>
      <c r="R615" s="161" t="s">
        <v>2947</v>
      </c>
      <c r="S615" s="1278"/>
      <c r="T615" s="465" cm="1" t="str">
        <f t="array" ref="T615:T615">T614</f>
        <v>true</v>
      </c>
      <c r="U615" s="1278"/>
      <c r="V615" s="1278"/>
      <c r="W615" s="1278"/>
      <c r="X615" s="1563"/>
      <c r="Y615" s="1278"/>
      <c r="Z615" s="1546"/>
      <c r="AA615" s="1278"/>
      <c r="AB615" s="299" t="s">
        <v>2451</v>
      </c>
      <c r="AC615" s="765" t="s">
        <v>2651</v>
      </c>
      <c r="AD615" s="300" t="s">
        <v>1514</v>
      </c>
      <c r="AE615" s="944">
        <f>SUM(AE616:AE622)</f>
        <v>0</v>
      </c>
      <c r="AF615" s="944">
        <f>SUM(AF616:AF622)</f>
        <v>0</v>
      </c>
      <c r="AG615" s="944">
        <f>SUM(AG616:AG622)</f>
        <v>0</v>
      </c>
      <c r="AH615" s="943">
        <f>AG615-AF615</f>
        <v>0</v>
      </c>
      <c r="AI615" s="7693">
        <f>SUM(AI616:AI622)</f>
        <v>0</v>
      </c>
      <c r="AJ615" s="7721"/>
      <c r="AK615" s="942"/>
      <c r="AL615" s="942"/>
      <c r="AM615" s="942"/>
      <c r="AN615" s="942"/>
      <c r="AO615" s="942"/>
      <c r="AP615" s="942"/>
      <c r="AQ615" s="942"/>
      <c r="AR615" s="942"/>
      <c r="AS615" s="942"/>
      <c r="AT615" s="942"/>
      <c r="AU615" s="942"/>
      <c r="AV615" s="942"/>
      <c r="AW615" s="942"/>
      <c r="AX615" s="942"/>
      <c r="AY615" s="942"/>
      <c r="AZ615" s="942"/>
      <c r="BA615" s="942"/>
      <c r="BB615" s="942"/>
      <c r="BC615" s="942"/>
      <c r="BD615" s="942"/>
      <c r="BE615" s="942"/>
      <c r="BF615" s="942"/>
      <c r="BG615" s="942"/>
      <c r="BH615" s="942"/>
      <c r="BI615" s="942"/>
      <c r="BJ615" s="942"/>
      <c r="BK615" s="942"/>
      <c r="BL615" s="942"/>
      <c r="BM615" s="942"/>
      <c r="BN615" s="7720"/>
      <c r="BO615" s="7720"/>
      <c r="BP615" s="7720"/>
      <c r="BQ615" s="1278"/>
      <c r="BR615" s="1278"/>
      <c r="BS615" s="1063" t="s">
        <v>2652</v>
      </c>
      <c r="BT615" s="1064"/>
      <c r="BU615" s="1064"/>
      <c r="BV615" s="979"/>
      <c r="BW615" s="979"/>
    </row>
    <row s="1834" customFormat="1" customHeight="1" ht="14.25">
      <c r="A616" s="1278"/>
      <c r="B616" s="978"/>
      <c r="C616" s="1278"/>
      <c r="D616" s="1278"/>
      <c r="E616" s="703">
        <v>15</v>
      </c>
      <c r="F616" s="50" cm="1" t="str">
        <f t="array" ref="F616:F616">OFFSET(E616,-1,1)</f>
        <v>4</v>
      </c>
      <c r="G616" s="1278"/>
      <c r="H616" s="378"/>
      <c r="I616" s="378" t="s">
        <v>2653</v>
      </c>
      <c r="J616" s="1278"/>
      <c r="K616" s="378" t="s">
        <v>2653</v>
      </c>
      <c r="L616" s="980" t="s">
        <v>2479</v>
      </c>
      <c r="M616" s="107" t="s">
        <v>2487</v>
      </c>
      <c r="N616" s="1278"/>
      <c r="O616" s="1278"/>
      <c r="P616" s="1278"/>
      <c r="Q616" s="158" t="s">
        <v>2947</v>
      </c>
      <c r="R616" s="161" t="s">
        <v>2947</v>
      </c>
      <c r="S616" s="1278"/>
      <c r="T616" s="465" cm="1" t="str">
        <f t="array" ref="T616:T616">T615</f>
        <v>true</v>
      </c>
      <c r="U616" s="1278"/>
      <c r="V616" s="1278"/>
      <c r="W616" s="1278"/>
      <c r="X616" s="1563"/>
      <c r="Y616" s="1278"/>
      <c r="Z616" s="1546"/>
      <c r="AA616" s="1278"/>
      <c r="AB616" s="299" t="s">
        <v>2654</v>
      </c>
      <c r="AC616" s="768" t="s">
        <v>2655</v>
      </c>
      <c r="AD616" s="300" t="s">
        <v>1514</v>
      </c>
      <c r="AE616" s="7723"/>
      <c r="AF616" s="7723"/>
      <c r="AG616" s="7723"/>
      <c r="AH616" s="943">
        <f>AG616-AF616</f>
        <v>0</v>
      </c>
      <c r="AI616" s="7691"/>
      <c r="AJ616" s="7721"/>
      <c r="AK616" s="942"/>
      <c r="AL616" s="942"/>
      <c r="AM616" s="942"/>
      <c r="AN616" s="942"/>
      <c r="AO616" s="942"/>
      <c r="AP616" s="942"/>
      <c r="AQ616" s="942"/>
      <c r="AR616" s="942"/>
      <c r="AS616" s="942"/>
      <c r="AT616" s="942"/>
      <c r="AU616" s="942"/>
      <c r="AV616" s="942"/>
      <c r="AW616" s="942"/>
      <c r="AX616" s="942"/>
      <c r="AY616" s="942"/>
      <c r="AZ616" s="942"/>
      <c r="BA616" s="942"/>
      <c r="BB616" s="942"/>
      <c r="BC616" s="942"/>
      <c r="BD616" s="942"/>
      <c r="BE616" s="942"/>
      <c r="BF616" s="942"/>
      <c r="BG616" s="942"/>
      <c r="BH616" s="942"/>
      <c r="BI616" s="942"/>
      <c r="BJ616" s="942"/>
      <c r="BK616" s="942"/>
      <c r="BL616" s="942"/>
      <c r="BM616" s="942"/>
      <c r="BN616" s="7720"/>
      <c r="BO616" s="7720"/>
      <c r="BP616" s="7720"/>
      <c r="BQ616" s="1278"/>
      <c r="BR616" s="1278"/>
      <c r="BS616" s="1062" t="s">
        <v>2490</v>
      </c>
      <c r="BT616" s="1064"/>
      <c r="BU616" s="1064"/>
      <c r="BV616" s="979"/>
      <c r="BW616" s="979"/>
    </row>
    <row s="1834" customFormat="1" customHeight="1" ht="21.75">
      <c r="A617" s="1278"/>
      <c r="B617" s="978"/>
      <c r="C617" s="1278"/>
      <c r="D617" s="1278"/>
      <c r="E617" s="703">
        <v>22.5</v>
      </c>
      <c r="F617" s="50" cm="1" t="str">
        <f t="array" ref="F617:F617">OFFSET(E617,-1,1)</f>
        <v>4</v>
      </c>
      <c r="G617" s="1278"/>
      <c r="H617" s="378"/>
      <c r="I617" s="378" t="s">
        <v>2656</v>
      </c>
      <c r="J617" s="1278"/>
      <c r="K617" s="378" t="s">
        <v>2656</v>
      </c>
      <c r="L617" s="980" t="s">
        <v>2479</v>
      </c>
      <c r="M617" s="107" t="s">
        <v>2483</v>
      </c>
      <c r="N617" s="1278"/>
      <c r="O617" s="1278"/>
      <c r="P617" s="1278"/>
      <c r="Q617" s="158" t="s">
        <v>2947</v>
      </c>
      <c r="R617" s="161" t="s">
        <v>2947</v>
      </c>
      <c r="S617" s="1278"/>
      <c r="T617" s="465" cm="1" t="str">
        <f t="array" ref="T617:T617">T616</f>
        <v>true</v>
      </c>
      <c r="U617" s="1278"/>
      <c r="V617" s="1278"/>
      <c r="W617" s="1278"/>
      <c r="X617" s="1563"/>
      <c r="Y617" s="1278"/>
      <c r="Z617" s="1546"/>
      <c r="AA617" s="1278"/>
      <c r="AB617" s="299" t="s">
        <v>2657</v>
      </c>
      <c r="AC617" s="768" t="s">
        <v>2658</v>
      </c>
      <c r="AD617" s="300" t="s">
        <v>1514</v>
      </c>
      <c r="AE617" s="7723"/>
      <c r="AF617" s="7723"/>
      <c r="AG617" s="7723"/>
      <c r="AH617" s="943">
        <f>AG617-AF617</f>
        <v>0</v>
      </c>
      <c r="AI617" s="7691"/>
      <c r="AJ617" s="7721"/>
      <c r="AK617" s="942"/>
      <c r="AL617" s="942"/>
      <c r="AM617" s="942"/>
      <c r="AN617" s="942"/>
      <c r="AO617" s="942"/>
      <c r="AP617" s="942"/>
      <c r="AQ617" s="942"/>
      <c r="AR617" s="942"/>
      <c r="AS617" s="942"/>
      <c r="AT617" s="942"/>
      <c r="AU617" s="942"/>
      <c r="AV617" s="942"/>
      <c r="AW617" s="942"/>
      <c r="AX617" s="942"/>
      <c r="AY617" s="942"/>
      <c r="AZ617" s="942"/>
      <c r="BA617" s="942"/>
      <c r="BB617" s="942"/>
      <c r="BC617" s="942"/>
      <c r="BD617" s="942"/>
      <c r="BE617" s="942"/>
      <c r="BF617" s="942"/>
      <c r="BG617" s="942"/>
      <c r="BH617" s="942"/>
      <c r="BI617" s="942"/>
      <c r="BJ617" s="942"/>
      <c r="BK617" s="942"/>
      <c r="BL617" s="942"/>
      <c r="BM617" s="942"/>
      <c r="BN617" s="7720"/>
      <c r="BO617" s="7720"/>
      <c r="BP617" s="7720"/>
      <c r="BQ617" s="1278"/>
      <c r="BR617" s="1278"/>
      <c r="BS617" s="1064" t="s">
        <v>2659</v>
      </c>
      <c r="BT617" s="1064"/>
      <c r="BU617" s="1064"/>
      <c r="BV617" s="979"/>
      <c r="BW617" s="979"/>
    </row>
    <row s="1834" customFormat="1" customHeight="1" ht="21.75">
      <c r="A618" s="1278"/>
      <c r="B618" s="978"/>
      <c r="C618" s="1278"/>
      <c r="D618" s="1278"/>
      <c r="E618" s="703">
        <v>22.5</v>
      </c>
      <c r="F618" s="50" cm="1" t="str">
        <f t="array" ref="F618:F618">OFFSET(E618,-1,1)</f>
        <v>4</v>
      </c>
      <c r="G618" s="1278"/>
      <c r="H618" s="378"/>
      <c r="I618" s="378" t="s">
        <v>2660</v>
      </c>
      <c r="J618" s="1278"/>
      <c r="K618" s="378" t="s">
        <v>2660</v>
      </c>
      <c r="L618" s="1278"/>
      <c r="M618" s="1278"/>
      <c r="N618" s="1278"/>
      <c r="O618" s="1278"/>
      <c r="P618" s="1278"/>
      <c r="Q618" s="158" t="s">
        <v>2947</v>
      </c>
      <c r="R618" s="161" t="s">
        <v>2947</v>
      </c>
      <c r="S618" s="1278"/>
      <c r="T618" s="465" cm="1" t="str">
        <f t="array" ref="T618:T618">T617</f>
        <v>true</v>
      </c>
      <c r="U618" s="1278"/>
      <c r="V618" s="1278"/>
      <c r="W618" s="1278"/>
      <c r="X618" s="1563"/>
      <c r="Y618" s="1278"/>
      <c r="Z618" s="1546"/>
      <c r="AA618" s="1278"/>
      <c r="AB618" s="299" t="s">
        <v>2661</v>
      </c>
      <c r="AC618" s="769" t="s">
        <v>2662</v>
      </c>
      <c r="AD618" s="300" t="s">
        <v>1514</v>
      </c>
      <c r="AE618" s="7723"/>
      <c r="AF618" s="7723"/>
      <c r="AG618" s="7723"/>
      <c r="AH618" s="943">
        <f>AG618-AF618</f>
        <v>0</v>
      </c>
      <c r="AI618" s="7691"/>
      <c r="AJ618" s="7721"/>
      <c r="AK618" s="942"/>
      <c r="AL618" s="942"/>
      <c r="AM618" s="942"/>
      <c r="AN618" s="942"/>
      <c r="AO618" s="942"/>
      <c r="AP618" s="942"/>
      <c r="AQ618" s="942"/>
      <c r="AR618" s="942"/>
      <c r="AS618" s="942"/>
      <c r="AT618" s="942"/>
      <c r="AU618" s="942"/>
      <c r="AV618" s="942"/>
      <c r="AW618" s="942"/>
      <c r="AX618" s="942"/>
      <c r="AY618" s="942"/>
      <c r="AZ618" s="942"/>
      <c r="BA618" s="942"/>
      <c r="BB618" s="942"/>
      <c r="BC618" s="942"/>
      <c r="BD618" s="942"/>
      <c r="BE618" s="942"/>
      <c r="BF618" s="942"/>
      <c r="BG618" s="942"/>
      <c r="BH618" s="942"/>
      <c r="BI618" s="942"/>
      <c r="BJ618" s="942"/>
      <c r="BK618" s="942"/>
      <c r="BL618" s="942"/>
      <c r="BM618" s="942"/>
      <c r="BN618" s="7720"/>
      <c r="BO618" s="7720"/>
      <c r="BP618" s="7720"/>
      <c r="BQ618" s="1278"/>
      <c r="BR618" s="1278"/>
      <c r="BS618" s="1064" t="s">
        <v>2663</v>
      </c>
      <c r="BT618" s="1064"/>
      <c r="BU618" s="1064"/>
      <c r="BV618" s="979"/>
      <c r="BW618" s="979"/>
    </row>
    <row s="1834" customFormat="1" customHeight="1" ht="21.75">
      <c r="A619" s="1278"/>
      <c r="B619" s="978"/>
      <c r="C619" s="1278"/>
      <c r="D619" s="1278"/>
      <c r="E619" s="703">
        <v>22.5</v>
      </c>
      <c r="F619" s="50" cm="1" t="str">
        <f t="array" ref="F619:F619">OFFSET(E619,-1,1)</f>
        <v>4</v>
      </c>
      <c r="G619" s="1278"/>
      <c r="H619" s="378"/>
      <c r="I619" s="378" t="s">
        <v>2664</v>
      </c>
      <c r="J619" s="1278"/>
      <c r="K619" s="378" t="s">
        <v>2664</v>
      </c>
      <c r="L619" s="980"/>
      <c r="M619" s="1278"/>
      <c r="N619" s="1278"/>
      <c r="O619" s="1278"/>
      <c r="P619" s="1278"/>
      <c r="Q619" s="158" t="s">
        <v>2947</v>
      </c>
      <c r="R619" s="161" t="s">
        <v>2947</v>
      </c>
      <c r="S619" s="1278"/>
      <c r="T619" s="465" cm="1" t="str">
        <f t="array" ref="T619:T619">T618</f>
        <v>true</v>
      </c>
      <c r="U619" s="1278"/>
      <c r="V619" s="1278"/>
      <c r="W619" s="1278"/>
      <c r="X619" s="1563"/>
      <c r="Y619" s="1278"/>
      <c r="Z619" s="1546"/>
      <c r="AA619" s="1278"/>
      <c r="AB619" s="299" t="s">
        <v>2665</v>
      </c>
      <c r="AC619" s="769" t="s">
        <v>2666</v>
      </c>
      <c r="AD619" s="300" t="s">
        <v>1514</v>
      </c>
      <c r="AE619" s="7723"/>
      <c r="AF619" s="7723"/>
      <c r="AG619" s="7723"/>
      <c r="AH619" s="943">
        <f>AG619-AF619</f>
        <v>0</v>
      </c>
      <c r="AI619" s="7691"/>
      <c r="AJ619" s="7721"/>
      <c r="AK619" s="942"/>
      <c r="AL619" s="942"/>
      <c r="AM619" s="942"/>
      <c r="AN619" s="942"/>
      <c r="AO619" s="942"/>
      <c r="AP619" s="942"/>
      <c r="AQ619" s="942"/>
      <c r="AR619" s="942"/>
      <c r="AS619" s="942"/>
      <c r="AT619" s="942"/>
      <c r="AU619" s="942"/>
      <c r="AV619" s="942"/>
      <c r="AW619" s="942"/>
      <c r="AX619" s="942"/>
      <c r="AY619" s="942"/>
      <c r="AZ619" s="942"/>
      <c r="BA619" s="942"/>
      <c r="BB619" s="942"/>
      <c r="BC619" s="942"/>
      <c r="BD619" s="942"/>
      <c r="BE619" s="942"/>
      <c r="BF619" s="942"/>
      <c r="BG619" s="942"/>
      <c r="BH619" s="942"/>
      <c r="BI619" s="942"/>
      <c r="BJ619" s="942"/>
      <c r="BK619" s="942"/>
      <c r="BL619" s="942"/>
      <c r="BM619" s="942"/>
      <c r="BN619" s="7720"/>
      <c r="BO619" s="7720"/>
      <c r="BP619" s="7720"/>
      <c r="BQ619" s="1278"/>
      <c r="BR619" s="1278"/>
      <c r="BS619" s="1064" t="s">
        <v>2667</v>
      </c>
      <c r="BT619" s="1064"/>
      <c r="BU619" s="1064"/>
      <c r="BV619" s="979"/>
      <c r="BW619" s="979"/>
    </row>
    <row s="1834" customFormat="1" customHeight="1" ht="43.5">
      <c r="A620" s="1278"/>
      <c r="B620" s="978"/>
      <c r="C620" s="1278"/>
      <c r="D620" s="1278"/>
      <c r="E620" s="703">
        <v>45</v>
      </c>
      <c r="F620" s="50" cm="1" t="str">
        <f t="array" ref="F620:F620">OFFSET(E620,-1,1)</f>
        <v>4</v>
      </c>
      <c r="G620" s="1278"/>
      <c r="H620" s="378"/>
      <c r="I620" s="378" t="s">
        <v>2668</v>
      </c>
      <c r="J620" s="1278"/>
      <c r="K620" s="378" t="s">
        <v>2668</v>
      </c>
      <c r="L620" s="980" t="s">
        <v>2479</v>
      </c>
      <c r="M620" s="107" t="s">
        <v>2491</v>
      </c>
      <c r="N620" s="1278"/>
      <c r="O620" s="1278"/>
      <c r="P620" s="1278"/>
      <c r="Q620" s="158" t="s">
        <v>2947</v>
      </c>
      <c r="R620" s="161" t="s">
        <v>2947</v>
      </c>
      <c r="S620" s="1278"/>
      <c r="T620" s="465" cm="1" t="str">
        <f t="array" ref="T620:T620">T619</f>
        <v>true</v>
      </c>
      <c r="U620" s="1278"/>
      <c r="V620" s="1278"/>
      <c r="W620" s="1278"/>
      <c r="X620" s="1563"/>
      <c r="Y620" s="1278"/>
      <c r="Z620" s="1546"/>
      <c r="AA620" s="1278"/>
      <c r="AB620" s="299" t="s">
        <v>2669</v>
      </c>
      <c r="AC620" s="768" t="s">
        <v>2670</v>
      </c>
      <c r="AD620" s="300" t="s">
        <v>1514</v>
      </c>
      <c r="AE620" s="7723"/>
      <c r="AF620" s="7723"/>
      <c r="AG620" s="7723"/>
      <c r="AH620" s="943">
        <f>AG620-AF620</f>
        <v>0</v>
      </c>
      <c r="AI620" s="7691"/>
      <c r="AJ620" s="7721"/>
      <c r="AK620" s="942"/>
      <c r="AL620" s="942"/>
      <c r="AM620" s="942"/>
      <c r="AN620" s="942"/>
      <c r="AO620" s="942"/>
      <c r="AP620" s="942"/>
      <c r="AQ620" s="942"/>
      <c r="AR620" s="942"/>
      <c r="AS620" s="942"/>
      <c r="AT620" s="942"/>
      <c r="AU620" s="942"/>
      <c r="AV620" s="942"/>
      <c r="AW620" s="942"/>
      <c r="AX620" s="942"/>
      <c r="AY620" s="942"/>
      <c r="AZ620" s="942"/>
      <c r="BA620" s="942"/>
      <c r="BB620" s="942"/>
      <c r="BC620" s="942"/>
      <c r="BD620" s="942"/>
      <c r="BE620" s="942"/>
      <c r="BF620" s="942"/>
      <c r="BG620" s="942"/>
      <c r="BH620" s="942"/>
      <c r="BI620" s="942"/>
      <c r="BJ620" s="942"/>
      <c r="BK620" s="942"/>
      <c r="BL620" s="942"/>
      <c r="BM620" s="942"/>
      <c r="BN620" s="7720"/>
      <c r="BO620" s="7720"/>
      <c r="BP620" s="7720"/>
      <c r="BQ620" s="1278"/>
      <c r="BR620" s="1278"/>
      <c r="BS620" s="1064" t="s">
        <v>2494</v>
      </c>
      <c r="BT620" s="1064"/>
      <c r="BU620" s="1064"/>
      <c r="BV620" s="979"/>
      <c r="BW620" s="979"/>
    </row>
    <row s="1834" customFormat="1" customHeight="1" ht="14.25">
      <c r="A621" s="1278"/>
      <c r="B621" s="978"/>
      <c r="C621" s="1278"/>
      <c r="D621" s="1278"/>
      <c r="E621" s="703">
        <v>15</v>
      </c>
      <c r="F621" s="50" cm="1" t="str">
        <f t="array" ref="F621:F621">OFFSET(E621,-1,1)</f>
        <v>4</v>
      </c>
      <c r="G621" s="1278"/>
      <c r="H621" s="378"/>
      <c r="I621" s="378" t="s">
        <v>2671</v>
      </c>
      <c r="J621" s="1278"/>
      <c r="K621" s="378" t="s">
        <v>2671</v>
      </c>
      <c r="L621" s="980" t="s">
        <v>2479</v>
      </c>
      <c r="M621" s="107" t="s">
        <v>2495</v>
      </c>
      <c r="N621" s="1278"/>
      <c r="O621" s="1278"/>
      <c r="P621" s="1278"/>
      <c r="Q621" s="158" t="s">
        <v>2947</v>
      </c>
      <c r="R621" s="161" t="s">
        <v>2947</v>
      </c>
      <c r="S621" s="1278"/>
      <c r="T621" s="465" cm="1" t="str">
        <f t="array" ref="T621:T621">T620</f>
        <v>true</v>
      </c>
      <c r="U621" s="1278"/>
      <c r="V621" s="1278"/>
      <c r="W621" s="1278"/>
      <c r="X621" s="1563"/>
      <c r="Y621" s="1278"/>
      <c r="Z621" s="1546"/>
      <c r="AA621" s="1278"/>
      <c r="AB621" s="299" t="s">
        <v>2672</v>
      </c>
      <c r="AC621" s="768" t="s">
        <v>2497</v>
      </c>
      <c r="AD621" s="300" t="s">
        <v>1514</v>
      </c>
      <c r="AE621" s="7723"/>
      <c r="AF621" s="7723"/>
      <c r="AG621" s="7723"/>
      <c r="AH621" s="943">
        <f>AG621-AF621</f>
        <v>0</v>
      </c>
      <c r="AI621" s="7691"/>
      <c r="AJ621" s="7721"/>
      <c r="AK621" s="942"/>
      <c r="AL621" s="942"/>
      <c r="AM621" s="942"/>
      <c r="AN621" s="942"/>
      <c r="AO621" s="942"/>
      <c r="AP621" s="942"/>
      <c r="AQ621" s="942"/>
      <c r="AR621" s="942"/>
      <c r="AS621" s="942"/>
      <c r="AT621" s="942"/>
      <c r="AU621" s="942"/>
      <c r="AV621" s="942"/>
      <c r="AW621" s="942"/>
      <c r="AX621" s="942"/>
      <c r="AY621" s="942"/>
      <c r="AZ621" s="942"/>
      <c r="BA621" s="942"/>
      <c r="BB621" s="942"/>
      <c r="BC621" s="942"/>
      <c r="BD621" s="942"/>
      <c r="BE621" s="942"/>
      <c r="BF621" s="942"/>
      <c r="BG621" s="942"/>
      <c r="BH621" s="942"/>
      <c r="BI621" s="942"/>
      <c r="BJ621" s="942"/>
      <c r="BK621" s="942"/>
      <c r="BL621" s="942"/>
      <c r="BM621" s="942"/>
      <c r="BN621" s="7720"/>
      <c r="BO621" s="7720"/>
      <c r="BP621" s="7720"/>
      <c r="BQ621" s="1278"/>
      <c r="BR621" s="1278"/>
      <c r="BS621" s="1064" t="s">
        <v>2498</v>
      </c>
      <c r="BT621" s="1064"/>
      <c r="BU621" s="1064"/>
      <c r="BV621" s="979"/>
      <c r="BW621" s="979"/>
    </row>
    <row s="1834" customFormat="1" customHeight="1" ht="14.25">
      <c r="A622" s="1278"/>
      <c r="B622" s="978"/>
      <c r="C622" s="1278"/>
      <c r="D622" s="1278"/>
      <c r="E622" s="703">
        <v>15</v>
      </c>
      <c r="F622" s="50" cm="1" t="str">
        <f t="array" ref="F622:F622">OFFSET(E622,-1,1)</f>
        <v>4</v>
      </c>
      <c r="G622" s="1278"/>
      <c r="H622" s="378"/>
      <c r="I622" s="378" t="s">
        <v>2673</v>
      </c>
      <c r="J622" s="1278"/>
      <c r="K622" s="378" t="s">
        <v>2673</v>
      </c>
      <c r="L622" s="980"/>
      <c r="M622" s="107"/>
      <c r="N622" s="1278"/>
      <c r="O622" s="1278"/>
      <c r="P622" s="1278"/>
      <c r="Q622" s="158" t="s">
        <v>2947</v>
      </c>
      <c r="R622" s="161" t="s">
        <v>2947</v>
      </c>
      <c r="S622" s="1278"/>
      <c r="T622" s="465" cm="1" t="str">
        <f t="array" ref="T622:T622">T621</f>
        <v>true</v>
      </c>
      <c r="U622" s="1278"/>
      <c r="V622" s="1278"/>
      <c r="W622" s="1278"/>
      <c r="X622" s="1563"/>
      <c r="Y622" s="1278"/>
      <c r="Z622" s="1546"/>
      <c r="AA622" s="1278"/>
      <c r="AB622" s="299" t="s">
        <v>2674</v>
      </c>
      <c r="AC622" s="768" t="s">
        <v>2675</v>
      </c>
      <c r="AD622" s="300" t="s">
        <v>1514</v>
      </c>
      <c r="AE622" s="7723"/>
      <c r="AF622" s="7723"/>
      <c r="AG622" s="7723"/>
      <c r="AH622" s="943">
        <f>AG622-AF622</f>
        <v>0</v>
      </c>
      <c r="AI622" s="7691"/>
      <c r="AJ622" s="1354"/>
      <c r="AK622" s="942"/>
      <c r="AL622" s="942"/>
      <c r="AM622" s="942"/>
      <c r="AN622" s="942"/>
      <c r="AO622" s="942"/>
      <c r="AP622" s="942"/>
      <c r="AQ622" s="942"/>
      <c r="AR622" s="942"/>
      <c r="AS622" s="942"/>
      <c r="AT622" s="942"/>
      <c r="AU622" s="942"/>
      <c r="AV622" s="942"/>
      <c r="AW622" s="942"/>
      <c r="AX622" s="942"/>
      <c r="AY622" s="942"/>
      <c r="AZ622" s="942"/>
      <c r="BA622" s="942"/>
      <c r="BB622" s="942"/>
      <c r="BC622" s="942"/>
      <c r="BD622" s="942"/>
      <c r="BE622" s="942"/>
      <c r="BF622" s="942"/>
      <c r="BG622" s="942"/>
      <c r="BH622" s="942"/>
      <c r="BI622" s="942"/>
      <c r="BJ622" s="942"/>
      <c r="BK622" s="942"/>
      <c r="BL622" s="942"/>
      <c r="BM622" s="942"/>
      <c r="BN622" s="7720"/>
      <c r="BO622" s="7720"/>
      <c r="BP622" s="7720"/>
      <c r="BQ622" s="1278"/>
      <c r="BR622" s="1278"/>
      <c r="BS622" s="1064" t="s">
        <v>2482</v>
      </c>
      <c r="BT622" s="1064"/>
      <c r="BU622" s="1064"/>
      <c r="BV622" s="979"/>
      <c r="BW622" s="979"/>
    </row>
    <row s="7908" customFormat="1" customHeight="1" ht="20.25">
      <c r="A623" s="700"/>
      <c r="B623" s="435"/>
      <c r="C623" s="700"/>
      <c r="D623" s="700"/>
      <c r="E623" s="707">
        <v>21</v>
      </c>
      <c r="F623" s="50" cm="1" t="str">
        <f t="array" ref="F623:F623">OFFSET(E623,-1,1)</f>
        <v>4</v>
      </c>
      <c r="G623" s="700"/>
      <c r="H623" s="378"/>
      <c r="I623" s="378" t="s">
        <v>1182</v>
      </c>
      <c r="J623" s="700"/>
      <c r="K623" s="378" t="s">
        <v>1182</v>
      </c>
      <c r="L623" s="985"/>
      <c r="M623" s="109"/>
      <c r="N623" s="700"/>
      <c r="O623" s="700"/>
      <c r="P623" s="700"/>
      <c r="Q623" s="158" t="s">
        <v>2947</v>
      </c>
      <c r="R623" s="161" t="s">
        <v>2947</v>
      </c>
      <c r="S623" s="700"/>
      <c r="T623" s="465" cm="1" t="str">
        <f t="array" ref="T623:T623">T622</f>
        <v>true</v>
      </c>
      <c r="U623" s="700"/>
      <c r="V623" s="700"/>
      <c r="W623" s="700"/>
      <c r="X623" s="1563"/>
      <c r="Y623" s="700"/>
      <c r="Z623" s="1546"/>
      <c r="AA623" s="700"/>
      <c r="AB623" s="218" t="s">
        <v>1634</v>
      </c>
      <c r="AC623" s="361" t="s">
        <v>2501</v>
      </c>
      <c r="AD623" s="211" t="s">
        <v>1514</v>
      </c>
      <c r="AE623" s="770">
        <f>AE624+AE625+AE626</f>
        <v>0</v>
      </c>
      <c r="AF623" s="770">
        <f>AF624+AF625+AF626</f>
        <v>0</v>
      </c>
      <c r="AG623" s="770">
        <f>AG624+AG625+AG626</f>
        <v>0</v>
      </c>
      <c r="AH623" s="761">
        <f>AG623-AF623</f>
        <v>0</v>
      </c>
      <c r="AI623" s="7697">
        <f>AI624+AI625+AI626</f>
        <v>0</v>
      </c>
      <c r="AJ623" s="7721"/>
      <c r="AK623" s="764"/>
      <c r="AL623" s="764"/>
      <c r="AM623" s="764"/>
      <c r="AN623" s="764"/>
      <c r="AO623" s="764"/>
      <c r="AP623" s="764"/>
      <c r="AQ623" s="764"/>
      <c r="AR623" s="764"/>
      <c r="AS623" s="764"/>
      <c r="AT623" s="764"/>
      <c r="AU623" s="764"/>
      <c r="AV623" s="764"/>
      <c r="AW623" s="764"/>
      <c r="AX623" s="764"/>
      <c r="AY623" s="764"/>
      <c r="AZ623" s="764"/>
      <c r="BA623" s="764"/>
      <c r="BB623" s="764"/>
      <c r="BC623" s="764"/>
      <c r="BD623" s="764"/>
      <c r="BE623" s="764"/>
      <c r="BF623" s="764"/>
      <c r="BG623" s="764"/>
      <c r="BH623" s="764"/>
      <c r="BI623" s="764"/>
      <c r="BJ623" s="764"/>
      <c r="BK623" s="764"/>
      <c r="BL623" s="764"/>
      <c r="BM623" s="764"/>
      <c r="BN623" s="7722"/>
      <c r="BO623" s="7722"/>
      <c r="BP623" s="7722"/>
      <c r="BQ623" s="700"/>
      <c r="BR623" s="700"/>
      <c r="BS623" s="1063" t="s">
        <v>2502</v>
      </c>
      <c r="BT623" s="1070"/>
      <c r="BU623" s="1070"/>
      <c r="BV623" s="707"/>
      <c r="BW623" s="707"/>
    </row>
    <row s="1834" customFormat="1" customHeight="1" ht="21.75">
      <c r="A624" s="1278"/>
      <c r="B624" s="978"/>
      <c r="C624" s="1278"/>
      <c r="D624" s="1278"/>
      <c r="E624" s="703">
        <v>22.5</v>
      </c>
      <c r="F624" s="50" cm="1" t="str">
        <f t="array" ref="F624:F624">OFFSET(E624,-1,1)</f>
        <v>4</v>
      </c>
      <c r="G624" s="1278"/>
      <c r="H624" s="378"/>
      <c r="I624" s="378" t="s">
        <v>2081</v>
      </c>
      <c r="J624" s="1278"/>
      <c r="K624" s="378" t="s">
        <v>2081</v>
      </c>
      <c r="L624" s="980"/>
      <c r="M624" s="107"/>
      <c r="N624" s="1278"/>
      <c r="O624" s="1278"/>
      <c r="P624" s="1278"/>
      <c r="Q624" s="158" t="s">
        <v>2947</v>
      </c>
      <c r="R624" s="161" t="s">
        <v>2947</v>
      </c>
      <c r="S624" s="1278"/>
      <c r="T624" s="465" cm="1" t="str">
        <f t="array" ref="T624:T624">T623</f>
        <v>true</v>
      </c>
      <c r="U624" s="1278"/>
      <c r="V624" s="1278"/>
      <c r="W624" s="1278"/>
      <c r="X624" s="1563"/>
      <c r="Y624" s="1278"/>
      <c r="Z624" s="1546"/>
      <c r="AA624" s="1278"/>
      <c r="AB624" s="299" t="s">
        <v>2082</v>
      </c>
      <c r="AC624" s="765" t="s">
        <v>2676</v>
      </c>
      <c r="AD624" s="300" t="s">
        <v>1514</v>
      </c>
      <c r="AE624" s="7723"/>
      <c r="AF624" s="7723"/>
      <c r="AG624" s="7723"/>
      <c r="AH624" s="943">
        <f>AG624-AF624</f>
        <v>0</v>
      </c>
      <c r="AI624" s="7691"/>
      <c r="AJ624" s="7721"/>
      <c r="AK624" s="942"/>
      <c r="AL624" s="942"/>
      <c r="AM624" s="942"/>
      <c r="AN624" s="942"/>
      <c r="AO624" s="942"/>
      <c r="AP624" s="942"/>
      <c r="AQ624" s="942"/>
      <c r="AR624" s="942"/>
      <c r="AS624" s="942"/>
      <c r="AT624" s="942"/>
      <c r="AU624" s="942"/>
      <c r="AV624" s="942"/>
      <c r="AW624" s="942"/>
      <c r="AX624" s="942"/>
      <c r="AY624" s="942"/>
      <c r="AZ624" s="942"/>
      <c r="BA624" s="942"/>
      <c r="BB624" s="942"/>
      <c r="BC624" s="942"/>
      <c r="BD624" s="942"/>
      <c r="BE624" s="942"/>
      <c r="BF624" s="942"/>
      <c r="BG624" s="942"/>
      <c r="BH624" s="942"/>
      <c r="BI624" s="942"/>
      <c r="BJ624" s="942"/>
      <c r="BK624" s="942"/>
      <c r="BL624" s="942"/>
      <c r="BM624" s="942"/>
      <c r="BN624" s="7720"/>
      <c r="BO624" s="7720"/>
      <c r="BP624" s="7720"/>
      <c r="BQ624" s="1278"/>
      <c r="BR624" s="1278"/>
      <c r="BS624" s="1062" t="s">
        <v>2504</v>
      </c>
      <c r="BT624" s="1064"/>
      <c r="BU624" s="1064"/>
      <c r="BV624" s="979"/>
      <c r="BW624" s="979"/>
    </row>
    <row s="1834" customFormat="1" customHeight="1" ht="21.75">
      <c r="A625" s="1278"/>
      <c r="B625" s="978"/>
      <c r="C625" s="1278"/>
      <c r="D625" s="1278"/>
      <c r="E625" s="703">
        <v>22.5</v>
      </c>
      <c r="F625" s="50" cm="1" t="str">
        <f t="array" ref="F625:F625">OFFSET(E625,-1,1)</f>
        <v>4</v>
      </c>
      <c r="G625" s="1278"/>
      <c r="H625" s="378"/>
      <c r="I625" s="378" t="s">
        <v>2085</v>
      </c>
      <c r="J625" s="1278"/>
      <c r="K625" s="378" t="s">
        <v>2085</v>
      </c>
      <c r="L625" s="980"/>
      <c r="M625" s="107"/>
      <c r="N625" s="1278"/>
      <c r="O625" s="1278"/>
      <c r="P625" s="1278"/>
      <c r="Q625" s="158" t="s">
        <v>2947</v>
      </c>
      <c r="R625" s="161" t="s">
        <v>2947</v>
      </c>
      <c r="S625" s="1278"/>
      <c r="T625" s="465" cm="1" t="str">
        <f t="array" ref="T625:T625">T624</f>
        <v>true</v>
      </c>
      <c r="U625" s="1278"/>
      <c r="V625" s="1278"/>
      <c r="W625" s="1278"/>
      <c r="X625" s="1563"/>
      <c r="Y625" s="1278"/>
      <c r="Z625" s="1546"/>
      <c r="AA625" s="1278"/>
      <c r="AB625" s="299" t="s">
        <v>2086</v>
      </c>
      <c r="AC625" s="765" t="s">
        <v>2677</v>
      </c>
      <c r="AD625" s="300" t="s">
        <v>1514</v>
      </c>
      <c r="AE625" s="7723"/>
      <c r="AF625" s="7723"/>
      <c r="AG625" s="7723"/>
      <c r="AH625" s="943">
        <f>AG625-AF625</f>
        <v>0</v>
      </c>
      <c r="AI625" s="7691"/>
      <c r="AJ625" s="7721"/>
      <c r="AK625" s="942"/>
      <c r="AL625" s="942"/>
      <c r="AM625" s="942"/>
      <c r="AN625" s="942"/>
      <c r="AO625" s="942"/>
      <c r="AP625" s="942"/>
      <c r="AQ625" s="942"/>
      <c r="AR625" s="942"/>
      <c r="AS625" s="942"/>
      <c r="AT625" s="942"/>
      <c r="AU625" s="942"/>
      <c r="AV625" s="942"/>
      <c r="AW625" s="942"/>
      <c r="AX625" s="942"/>
      <c r="AY625" s="942"/>
      <c r="AZ625" s="942"/>
      <c r="BA625" s="942"/>
      <c r="BB625" s="942"/>
      <c r="BC625" s="942"/>
      <c r="BD625" s="942"/>
      <c r="BE625" s="942"/>
      <c r="BF625" s="942"/>
      <c r="BG625" s="942"/>
      <c r="BH625" s="942"/>
      <c r="BI625" s="942"/>
      <c r="BJ625" s="942"/>
      <c r="BK625" s="942"/>
      <c r="BL625" s="942"/>
      <c r="BM625" s="942"/>
      <c r="BN625" s="7720"/>
      <c r="BO625" s="7720"/>
      <c r="BP625" s="7720"/>
      <c r="BQ625" s="1278"/>
      <c r="BR625" s="1278"/>
      <c r="BS625" s="1064" t="s">
        <v>2678</v>
      </c>
      <c r="BT625" s="1064"/>
      <c r="BU625" s="1064"/>
      <c r="BV625" s="979"/>
      <c r="BW625" s="979"/>
    </row>
    <row s="1834" customFormat="1" customHeight="1" ht="21.75">
      <c r="A626" s="1278"/>
      <c r="B626" s="978"/>
      <c r="C626" s="1278"/>
      <c r="D626" s="1278"/>
      <c r="E626" s="703">
        <v>22.5</v>
      </c>
      <c r="F626" s="50" cm="1" t="str">
        <f t="array" ref="F626:F626">OFFSET(E626,-1,1)</f>
        <v>4</v>
      </c>
      <c r="G626" s="1278"/>
      <c r="H626" s="378"/>
      <c r="I626" s="378" t="s">
        <v>2089</v>
      </c>
      <c r="J626" s="1278"/>
      <c r="K626" s="378" t="s">
        <v>2089</v>
      </c>
      <c r="L626" s="980" t="s">
        <v>1196</v>
      </c>
      <c r="M626" s="107"/>
      <c r="N626" s="1278"/>
      <c r="O626" s="1278"/>
      <c r="P626" s="1278"/>
      <c r="Q626" s="158" t="s">
        <v>2947</v>
      </c>
      <c r="R626" s="161" t="s">
        <v>2947</v>
      </c>
      <c r="S626" s="1278"/>
      <c r="T626" s="465" cm="1" t="str">
        <f t="array" ref="T626:T626">T625</f>
        <v>true</v>
      </c>
      <c r="U626" s="1278"/>
      <c r="V626" s="1278"/>
      <c r="W626" s="1278"/>
      <c r="X626" s="1563"/>
      <c r="Y626" s="1278"/>
      <c r="Z626" s="1546"/>
      <c r="AA626" s="1278"/>
      <c r="AB626" s="299" t="s">
        <v>2090</v>
      </c>
      <c r="AC626" s="765" t="s">
        <v>2679</v>
      </c>
      <c r="AD626" s="300" t="s">
        <v>1514</v>
      </c>
      <c r="AE626" s="7723">
        <f>AE627+AE628</f>
        <v>0</v>
      </c>
      <c r="AF626" s="7723">
        <f>AF627+AF628</f>
        <v>0</v>
      </c>
      <c r="AG626" s="7723">
        <f>AG627+AG628</f>
        <v>0</v>
      </c>
      <c r="AH626" s="943">
        <f>AG626-AF626</f>
        <v>0</v>
      </c>
      <c r="AI626" s="7691">
        <f>AI627+AI628</f>
        <v>0</v>
      </c>
      <c r="AJ626" s="7721"/>
      <c r="AK626" s="942"/>
      <c r="AL626" s="942"/>
      <c r="AM626" s="942"/>
      <c r="AN626" s="942"/>
      <c r="AO626" s="942"/>
      <c r="AP626" s="942"/>
      <c r="AQ626" s="942"/>
      <c r="AR626" s="942"/>
      <c r="AS626" s="942"/>
      <c r="AT626" s="942"/>
      <c r="AU626" s="942"/>
      <c r="AV626" s="942"/>
      <c r="AW626" s="942"/>
      <c r="AX626" s="942"/>
      <c r="AY626" s="942"/>
      <c r="AZ626" s="942"/>
      <c r="BA626" s="942"/>
      <c r="BB626" s="942"/>
      <c r="BC626" s="942"/>
      <c r="BD626" s="942"/>
      <c r="BE626" s="942"/>
      <c r="BF626" s="942"/>
      <c r="BG626" s="942"/>
      <c r="BH626" s="942"/>
      <c r="BI626" s="942"/>
      <c r="BJ626" s="942"/>
      <c r="BK626" s="942"/>
      <c r="BL626" s="942"/>
      <c r="BM626" s="942"/>
      <c r="BN626" s="7720"/>
      <c r="BO626" s="7720"/>
      <c r="BP626" s="7720"/>
      <c r="BQ626" s="1278"/>
      <c r="BR626" s="1278"/>
      <c r="BS626" s="1062" t="s">
        <v>2506</v>
      </c>
      <c r="BT626" s="1064"/>
      <c r="BU626" s="1064"/>
      <c r="BV626" s="979"/>
      <c r="BW626" s="979"/>
    </row>
    <row s="1834" customFormat="1" customHeight="1" ht="14.25">
      <c r="A627" s="1278"/>
      <c r="B627" s="978"/>
      <c r="C627" s="1278"/>
      <c r="D627" s="1278"/>
      <c r="E627" s="703">
        <v>15</v>
      </c>
      <c r="F627" s="50" cm="1" t="str">
        <f t="array" ref="F627:F627">OFFSET(E627,-1,1)</f>
        <v>4</v>
      </c>
      <c r="G627" s="49" t="s">
        <v>1881</v>
      </c>
      <c r="H627" s="378"/>
      <c r="I627" s="378" t="s">
        <v>2680</v>
      </c>
      <c r="J627" s="1278"/>
      <c r="K627" s="378" t="s">
        <v>2680</v>
      </c>
      <c r="L627" s="980" t="s">
        <v>2507</v>
      </c>
      <c r="M627" s="107"/>
      <c r="N627" s="1278"/>
      <c r="O627" s="1278"/>
      <c r="P627" s="1278"/>
      <c r="Q627" s="158" t="s">
        <v>2947</v>
      </c>
      <c r="R627" s="161" t="s">
        <v>2947</v>
      </c>
      <c r="S627" s="1278"/>
      <c r="T627" s="465" cm="1" t="str">
        <f t="array" ref="T627:T627">T626</f>
        <v>true</v>
      </c>
      <c r="U627" s="1278"/>
      <c r="V627" s="1278"/>
      <c r="W627" s="1278"/>
      <c r="X627" s="1563"/>
      <c r="Y627" s="1278"/>
      <c r="Z627" s="1546"/>
      <c r="AA627" s="1278"/>
      <c r="AB627" s="299" t="s">
        <v>2681</v>
      </c>
      <c r="AC627" s="768" t="s">
        <v>2508</v>
      </c>
      <c r="AD627" s="300" t="s">
        <v>1514</v>
      </c>
      <c r="AE627" s="7723"/>
      <c r="AF627" s="7723"/>
      <c r="AG627" s="7723"/>
      <c r="AH627" s="943">
        <f>AG627-AF627</f>
        <v>0</v>
      </c>
      <c r="AI627" s="7691"/>
      <c r="AJ627" s="7721"/>
      <c r="AK627" s="942"/>
      <c r="AL627" s="942"/>
      <c r="AM627" s="942"/>
      <c r="AN627" s="942"/>
      <c r="AO627" s="942"/>
      <c r="AP627" s="942"/>
      <c r="AQ627" s="942"/>
      <c r="AR627" s="942"/>
      <c r="AS627" s="942"/>
      <c r="AT627" s="942"/>
      <c r="AU627" s="942"/>
      <c r="AV627" s="942"/>
      <c r="AW627" s="942"/>
      <c r="AX627" s="942"/>
      <c r="AY627" s="942"/>
      <c r="AZ627" s="942"/>
      <c r="BA627" s="942"/>
      <c r="BB627" s="942"/>
      <c r="BC627" s="942"/>
      <c r="BD627" s="942"/>
      <c r="BE627" s="942"/>
      <c r="BF627" s="942"/>
      <c r="BG627" s="942"/>
      <c r="BH627" s="942"/>
      <c r="BI627" s="942"/>
      <c r="BJ627" s="942"/>
      <c r="BK627" s="942"/>
      <c r="BL627" s="942"/>
      <c r="BM627" s="942"/>
      <c r="BN627" s="7720"/>
      <c r="BO627" s="7724" t="str">
        <f>IF(_xlfn.IFERROR(INDEX(ФОТ!$K$26:$L$188,MATCH($F627&amp;"3komm",ФОТ!$K$26:$K$188,0),2),"")=0,"",_xlfn.IFERROR(INDEX(ФОТ!$K$26:$L$188,MATCH($F627&amp;"3komm",ФОТ!$K$26:$K$188,0),2),""))</f>
        <v/>
      </c>
      <c r="BP627" s="7720"/>
      <c r="BQ627" s="1278"/>
      <c r="BR627" s="1278"/>
      <c r="BS627" s="1062" t="s">
        <v>2509</v>
      </c>
      <c r="BT627" s="1064"/>
      <c r="BU627" s="1064"/>
      <c r="BV627" s="979"/>
      <c r="BW627" s="979"/>
    </row>
    <row s="1834" customFormat="1" customHeight="1" ht="21.75">
      <c r="A628" s="1278"/>
      <c r="B628" s="978"/>
      <c r="C628" s="1278"/>
      <c r="D628" s="1278"/>
      <c r="E628" s="703">
        <v>22.5</v>
      </c>
      <c r="F628" s="50" cm="1" t="str">
        <f t="array" ref="F628:F628">OFFSET(E628,-1,1)</f>
        <v>4</v>
      </c>
      <c r="G628" s="49" t="s">
        <v>1886</v>
      </c>
      <c r="H628" s="378"/>
      <c r="I628" s="378" t="s">
        <v>2682</v>
      </c>
      <c r="J628" s="1278"/>
      <c r="K628" s="378" t="s">
        <v>2682</v>
      </c>
      <c r="L628" s="980" t="s">
        <v>2510</v>
      </c>
      <c r="M628" s="107"/>
      <c r="N628" s="1278"/>
      <c r="O628" s="1278"/>
      <c r="P628" s="1278"/>
      <c r="Q628" s="158" t="s">
        <v>2947</v>
      </c>
      <c r="R628" s="161" t="s">
        <v>2947</v>
      </c>
      <c r="S628" s="1278"/>
      <c r="T628" s="465" cm="1" t="str">
        <f t="array" ref="T628:T628">T627</f>
        <v>true</v>
      </c>
      <c r="U628" s="1278"/>
      <c r="V628" s="1278"/>
      <c r="W628" s="1278"/>
      <c r="X628" s="1563"/>
      <c r="Y628" s="1278"/>
      <c r="Z628" s="1546"/>
      <c r="AA628" s="1278"/>
      <c r="AB628" s="299" t="s">
        <v>2683</v>
      </c>
      <c r="AC628" s="768" t="s">
        <v>2684</v>
      </c>
      <c r="AD628" s="300" t="s">
        <v>1514</v>
      </c>
      <c r="AE628" s="7723">
        <f>AE627*_xlfn.SUMIFS(INDEX(Сценарии!$AE$25:$BF$163,,MATCH(AE$8,Сценарии!$AE$8:$BF$8,0)),Сценарии!$F$25:$F$163,$F628,Сценарии!$G$25:$G$163,"СВФОТ")/100</f>
        <v>0</v>
      </c>
      <c r="AF628" s="7723">
        <f>AF627*_xlfn.SUMIFS(INDEX(Сценарии!$AE$25:$BF$163,,MATCH(AF$8,Сценарии!$AE$8:$BF$8,0)),Сценарии!$F$25:$F$163,$F628,Сценарии!$G$25:$G$163,"СВФОТ")/100</f>
        <v>0</v>
      </c>
      <c r="AG628" s="7723">
        <f>AG627*_xlfn.SUMIFS(INDEX(Сценарии!$AE$25:$BF$163,,MATCH(AG$8,Сценарии!$AE$8:$BF$8,0)),Сценарии!$F$25:$F$163,$F628,Сценарии!$G$25:$G$163,"СВФОТ")/100</f>
        <v>0</v>
      </c>
      <c r="AH628" s="943">
        <f>AG628-AF628</f>
        <v>0</v>
      </c>
      <c r="AI628" s="7691">
        <f>AI627*_xlfn.SUMIFS(INDEX(Сценарии!$AE$25:$BF$163,,MATCH(AG$8,Сценарии!$AE$8:$BF$8,0)),Сценарии!$F$25:$F$163,$F628,Сценарии!$G$25:$G$163,"СВФОТ")/100</f>
        <v>0</v>
      </c>
      <c r="AJ628" s="7721"/>
      <c r="AK628" s="942"/>
      <c r="AL628" s="942"/>
      <c r="AM628" s="942"/>
      <c r="AN628" s="942"/>
      <c r="AO628" s="942"/>
      <c r="AP628" s="942"/>
      <c r="AQ628" s="942"/>
      <c r="AR628" s="942"/>
      <c r="AS628" s="942"/>
      <c r="AT628" s="942"/>
      <c r="AU628" s="942"/>
      <c r="AV628" s="942"/>
      <c r="AW628" s="942"/>
      <c r="AX628" s="942"/>
      <c r="AY628" s="942"/>
      <c r="AZ628" s="942"/>
      <c r="BA628" s="942"/>
      <c r="BB628" s="942"/>
      <c r="BC628" s="942"/>
      <c r="BD628" s="942"/>
      <c r="BE628" s="942"/>
      <c r="BF628" s="942"/>
      <c r="BG628" s="942"/>
      <c r="BH628" s="942"/>
      <c r="BI628" s="942"/>
      <c r="BJ628" s="942"/>
      <c r="BK628" s="942"/>
      <c r="BL628" s="942"/>
      <c r="BM628" s="942"/>
      <c r="BN628" s="7720"/>
      <c r="BO628" s="7724" t="str">
        <f>IF(_xlfn.IFERROR(INDEX(ФОТ!$K$26:$L$188,MATCH($F628&amp;"4komm",ФОТ!$K$26:$K$188,0),2),"")=0,"",_xlfn.IFERROR(INDEX(ФОТ!$K$26:$L$188,MATCH($F628&amp;"4komm",ФОТ!$K$26:$K$188,0),2),""))</f>
        <v/>
      </c>
      <c r="BP628" s="7720"/>
      <c r="BQ628" s="1278"/>
      <c r="BR628" s="1278"/>
      <c r="BS628" s="1062" t="s">
        <v>2512</v>
      </c>
      <c r="BT628" s="1064"/>
      <c r="BU628" s="1064"/>
      <c r="BV628" s="979"/>
      <c r="BW628" s="979"/>
    </row>
    <row s="7909" customFormat="1" customHeight="1" ht="20.25">
      <c r="A629" s="700"/>
      <c r="B629" s="435"/>
      <c r="C629" s="700"/>
      <c r="D629" s="700"/>
      <c r="E629" s="707">
        <v>21</v>
      </c>
      <c r="F629" s="50" cm="1" t="str">
        <f t="array" ref="F629:F629">OFFSET(E629,-1,1)</f>
        <v>4</v>
      </c>
      <c r="G629" s="700"/>
      <c r="H629" s="378"/>
      <c r="I629" s="378" t="s">
        <v>1186</v>
      </c>
      <c r="J629" s="700"/>
      <c r="K629" s="378" t="s">
        <v>1186</v>
      </c>
      <c r="L629" s="985" t="s">
        <v>334</v>
      </c>
      <c r="M629" s="109"/>
      <c r="N629" s="700"/>
      <c r="O629" s="700"/>
      <c r="P629" s="700"/>
      <c r="Q629" s="158" t="s">
        <v>2947</v>
      </c>
      <c r="R629" s="161" t="s">
        <v>2947</v>
      </c>
      <c r="S629" s="700"/>
      <c r="T629" s="465" cm="1" t="str">
        <f t="array" ref="T629:T629">T628</f>
        <v>true</v>
      </c>
      <c r="U629" s="700"/>
      <c r="V629" s="700"/>
      <c r="W629" s="700"/>
      <c r="X629" s="1563"/>
      <c r="Y629" s="700"/>
      <c r="Z629" s="1546"/>
      <c r="AA629" s="700"/>
      <c r="AB629" s="218" t="s">
        <v>1637</v>
      </c>
      <c r="AC629" s="361" t="s">
        <v>2685</v>
      </c>
      <c r="AD629" s="211" t="s">
        <v>1514</v>
      </c>
      <c r="AE629" s="770">
        <f>AE630+AE638+AE641+AE642+AE643+AE644+AE645</f>
        <v>0</v>
      </c>
      <c r="AF629" s="770">
        <f>AF630+AF638+AF641+AF642+AF643+AF644+AF645</f>
        <v>0</v>
      </c>
      <c r="AG629" s="770">
        <f>AG630+AG638+AG641+AG642+AG643+AG644+AG645</f>
        <v>0</v>
      </c>
      <c r="AH629" s="761">
        <f>AG629-AF629</f>
        <v>0</v>
      </c>
      <c r="AI629" s="7697">
        <f>AI630+AI638+AI641+AI642+AI643+AI644+AI645</f>
        <v>0</v>
      </c>
      <c r="AJ629" s="7721"/>
      <c r="AK629" s="764"/>
      <c r="AL629" s="764"/>
      <c r="AM629" s="764"/>
      <c r="AN629" s="764"/>
      <c r="AO629" s="764"/>
      <c r="AP629" s="764"/>
      <c r="AQ629" s="764"/>
      <c r="AR629" s="764"/>
      <c r="AS629" s="764"/>
      <c r="AT629" s="764"/>
      <c r="AU629" s="764"/>
      <c r="AV629" s="764"/>
      <c r="AW629" s="764"/>
      <c r="AX629" s="764"/>
      <c r="AY629" s="764"/>
      <c r="AZ629" s="764"/>
      <c r="BA629" s="764"/>
      <c r="BB629" s="764"/>
      <c r="BC629" s="764"/>
      <c r="BD629" s="764"/>
      <c r="BE629" s="764"/>
      <c r="BF629" s="764"/>
      <c r="BG629" s="764"/>
      <c r="BH629" s="764"/>
      <c r="BI629" s="764"/>
      <c r="BJ629" s="764"/>
      <c r="BK629" s="764"/>
      <c r="BL629" s="764"/>
      <c r="BM629" s="764"/>
      <c r="BN629" s="7722"/>
      <c r="BO629" s="7722"/>
      <c r="BP629" s="7722"/>
      <c r="BQ629" s="700"/>
      <c r="BR629" s="700"/>
      <c r="BS629" s="1063" t="s">
        <v>2514</v>
      </c>
      <c r="BT629" s="1070"/>
      <c r="BU629" s="1070"/>
      <c r="BV629" s="707"/>
      <c r="BW629" s="707"/>
    </row>
    <row s="1834" customFormat="1" customHeight="1" ht="21.75">
      <c r="A630" s="1278"/>
      <c r="B630" s="978"/>
      <c r="C630" s="1278"/>
      <c r="D630" s="1278"/>
      <c r="E630" s="703">
        <v>22.5</v>
      </c>
      <c r="F630" s="50" cm="1" t="str">
        <f t="array" ref="F630:F630">OFFSET(E630,-1,1)</f>
        <v>4</v>
      </c>
      <c r="G630" s="158" t="s">
        <v>1916</v>
      </c>
      <c r="H630" s="378"/>
      <c r="I630" s="378" t="s">
        <v>2095</v>
      </c>
      <c r="J630" s="1278"/>
      <c r="K630" s="378" t="s">
        <v>2095</v>
      </c>
      <c r="L630" s="980" t="s">
        <v>1658</v>
      </c>
      <c r="M630" s="107"/>
      <c r="N630" s="1278"/>
      <c r="O630" s="1278"/>
      <c r="P630" s="1278"/>
      <c r="Q630" s="158" t="s">
        <v>2947</v>
      </c>
      <c r="R630" s="161" t="s">
        <v>2947</v>
      </c>
      <c r="S630" s="1278"/>
      <c r="T630" s="465" cm="1" t="str">
        <f t="array" ref="T630:T630">T629</f>
        <v>true</v>
      </c>
      <c r="U630" s="1278"/>
      <c r="V630" s="1278"/>
      <c r="W630" s="1278"/>
      <c r="X630" s="1563"/>
      <c r="Y630" s="1278"/>
      <c r="Z630" s="1546"/>
      <c r="AA630" s="1278"/>
      <c r="AB630" s="299" t="s">
        <v>1752</v>
      </c>
      <c r="AC630" s="765" t="s">
        <v>2686</v>
      </c>
      <c r="AD630" s="300" t="s">
        <v>1514</v>
      </c>
      <c r="AE630" s="944">
        <f>SUM(AE631:AE637)</f>
        <v>0</v>
      </c>
      <c r="AF630" s="944">
        <f>SUM(AF631:AF637)</f>
        <v>0</v>
      </c>
      <c r="AG630" s="944">
        <f>SUM(AG631:AG637)</f>
        <v>0</v>
      </c>
      <c r="AH630" s="943">
        <f>AG630-AF630</f>
        <v>0</v>
      </c>
      <c r="AI630" s="7693">
        <f>SUM(AI631:AI637)</f>
        <v>0</v>
      </c>
      <c r="AJ630" s="7721"/>
      <c r="AK630" s="942"/>
      <c r="AL630" s="942"/>
      <c r="AM630" s="942"/>
      <c r="AN630" s="942"/>
      <c r="AO630" s="942"/>
      <c r="AP630" s="942"/>
      <c r="AQ630" s="942"/>
      <c r="AR630" s="942"/>
      <c r="AS630" s="942"/>
      <c r="AT630" s="942"/>
      <c r="AU630" s="942"/>
      <c r="AV630" s="942"/>
      <c r="AW630" s="942"/>
      <c r="AX630" s="942"/>
      <c r="AY630" s="942"/>
      <c r="AZ630" s="942"/>
      <c r="BA630" s="942"/>
      <c r="BB630" s="942"/>
      <c r="BC630" s="942"/>
      <c r="BD630" s="942"/>
      <c r="BE630" s="942"/>
      <c r="BF630" s="942"/>
      <c r="BG630" s="942"/>
      <c r="BH630" s="942"/>
      <c r="BI630" s="942"/>
      <c r="BJ630" s="942"/>
      <c r="BK630" s="942"/>
      <c r="BL630" s="942"/>
      <c r="BM630" s="942"/>
      <c r="BN630" s="7720"/>
      <c r="BO630" s="7724" t="str">
        <f>IF(_xlfn.IFERROR(INDEX(Административные!$K$26:$L$122,MATCH($F630&amp;"17komm",Административные!$K$26:$K$122,0),2),"")=0,"",_xlfn.IFERROR(INDEX(Административные!$K$26:$L$122,MATCH($F630&amp;"17komm",Административные!$K$26:$K$122,0),2),""))</f>
        <v>Учтены расходы по выданным долгосрочным параметрам и соответствуют предложению организации.</v>
      </c>
      <c r="BP630" s="7720"/>
      <c r="BQ630" s="1278"/>
      <c r="BR630" s="1278"/>
      <c r="BS630" s="1062" t="s">
        <v>1918</v>
      </c>
      <c r="BT630" s="1064"/>
      <c r="BU630" s="1064"/>
      <c r="BV630" s="979"/>
      <c r="BW630" s="979"/>
    </row>
    <row s="1834" customFormat="1" customHeight="1" ht="14.25">
      <c r="A631" s="1278"/>
      <c r="B631" s="978"/>
      <c r="C631" s="1278"/>
      <c r="D631" s="1278"/>
      <c r="E631" s="703">
        <v>15</v>
      </c>
      <c r="F631" s="50" cm="1" t="str">
        <f t="array" ref="F631:F631">OFFSET(E631,-1,1)</f>
        <v>4</v>
      </c>
      <c r="G631" s="158" t="s">
        <v>1919</v>
      </c>
      <c r="H631" s="378"/>
      <c r="I631" s="378" t="s">
        <v>2687</v>
      </c>
      <c r="J631" s="1278"/>
      <c r="K631" s="378" t="s">
        <v>2687</v>
      </c>
      <c r="L631" s="980"/>
      <c r="M631" s="107"/>
      <c r="N631" s="1278"/>
      <c r="O631" s="1278"/>
      <c r="P631" s="1278"/>
      <c r="Q631" s="158" t="s">
        <v>2947</v>
      </c>
      <c r="R631" s="161" t="s">
        <v>2947</v>
      </c>
      <c r="S631" s="1278"/>
      <c r="T631" s="465" cm="1" t="str">
        <f t="array" ref="T631:T631">T630</f>
        <v>true</v>
      </c>
      <c r="U631" s="1278"/>
      <c r="V631" s="1278"/>
      <c r="W631" s="1278"/>
      <c r="X631" s="1563"/>
      <c r="Y631" s="1278"/>
      <c r="Z631" s="1546"/>
      <c r="AA631" s="1278"/>
      <c r="AB631" s="299" t="s">
        <v>2688</v>
      </c>
      <c r="AC631" s="768" t="s">
        <v>1920</v>
      </c>
      <c r="AD631" s="300" t="s">
        <v>1514</v>
      </c>
      <c r="AE631" s="7723"/>
      <c r="AF631" s="7723"/>
      <c r="AG631" s="7723"/>
      <c r="AH631" s="943">
        <f>AG631-AF631</f>
        <v>0</v>
      </c>
      <c r="AI631" s="7691"/>
      <c r="AJ631" s="7721"/>
      <c r="AK631" s="942"/>
      <c r="AL631" s="942"/>
      <c r="AM631" s="942"/>
      <c r="AN631" s="942"/>
      <c r="AO631" s="942"/>
      <c r="AP631" s="942"/>
      <c r="AQ631" s="942"/>
      <c r="AR631" s="942"/>
      <c r="AS631" s="942"/>
      <c r="AT631" s="942"/>
      <c r="AU631" s="942"/>
      <c r="AV631" s="942"/>
      <c r="AW631" s="942"/>
      <c r="AX631" s="942"/>
      <c r="AY631" s="942"/>
      <c r="AZ631" s="942"/>
      <c r="BA631" s="942"/>
      <c r="BB631" s="942"/>
      <c r="BC631" s="942"/>
      <c r="BD631" s="942"/>
      <c r="BE631" s="942"/>
      <c r="BF631" s="942"/>
      <c r="BG631" s="942"/>
      <c r="BH631" s="942"/>
      <c r="BI631" s="942"/>
      <c r="BJ631" s="942"/>
      <c r="BK631" s="942"/>
      <c r="BL631" s="942"/>
      <c r="BM631" s="942"/>
      <c r="BN631" s="7720"/>
      <c r="BO631" s="7724" t="str">
        <f>IF(_xlfn.IFERROR(INDEX(Административные!$K$26:$L$122,MATCH($F631&amp;"18komm",Административные!$K$26:$K$122,0),2),"")=0,"",_xlfn.IFERROR(INDEX(Административные!$K$26:$L$122,MATCH($F631&amp;"18komm",Административные!$K$26:$K$122,0),2),""))</f>
        <v>рассчитано по факту с января по май 2025 года предыдущей организации в пересчете на годовые показатели, с применением ИПЦ Минэкономразвития России на 2026 год 105,1%.</v>
      </c>
      <c r="BP631" s="7720"/>
      <c r="BQ631" s="1278"/>
      <c r="BR631" s="1278"/>
      <c r="BS631" s="1064" t="s">
        <v>1921</v>
      </c>
      <c r="BT631" s="1064"/>
      <c r="BU631" s="1064"/>
      <c r="BV631" s="979"/>
      <c r="BW631" s="979"/>
    </row>
    <row s="1834" customFormat="1" customHeight="1" ht="14.25">
      <c r="A632" s="1278"/>
      <c r="B632" s="978"/>
      <c r="C632" s="1278"/>
      <c r="D632" s="1278"/>
      <c r="E632" s="703">
        <v>15</v>
      </c>
      <c r="F632" s="50" cm="1" t="str">
        <f t="array" ref="F632:F632">OFFSET(E632,-1,1)</f>
        <v>4</v>
      </c>
      <c r="G632" s="158" t="s">
        <v>1922</v>
      </c>
      <c r="H632" s="378"/>
      <c r="I632" s="378" t="s">
        <v>2689</v>
      </c>
      <c r="J632" s="1278"/>
      <c r="K632" s="378" t="s">
        <v>2689</v>
      </c>
      <c r="L632" s="980"/>
      <c r="M632" s="107"/>
      <c r="N632" s="1278"/>
      <c r="O632" s="1278"/>
      <c r="P632" s="1278"/>
      <c r="Q632" s="158" t="s">
        <v>2947</v>
      </c>
      <c r="R632" s="161" t="s">
        <v>2947</v>
      </c>
      <c r="S632" s="1278"/>
      <c r="T632" s="465" cm="1" t="str">
        <f t="array" ref="T632:T632">T631</f>
        <v>true</v>
      </c>
      <c r="U632" s="1278"/>
      <c r="V632" s="1278"/>
      <c r="W632" s="1278"/>
      <c r="X632" s="1563"/>
      <c r="Y632" s="1278"/>
      <c r="Z632" s="1546"/>
      <c r="AA632" s="1278"/>
      <c r="AB632" s="299" t="s">
        <v>2690</v>
      </c>
      <c r="AC632" s="768" t="s">
        <v>1923</v>
      </c>
      <c r="AD632" s="300" t="s">
        <v>1514</v>
      </c>
      <c r="AE632" s="7723"/>
      <c r="AF632" s="7723"/>
      <c r="AG632" s="7723"/>
      <c r="AH632" s="943">
        <f>AG632-AF632</f>
        <v>0</v>
      </c>
      <c r="AI632" s="7691"/>
      <c r="AJ632" s="7721"/>
      <c r="AK632" s="942"/>
      <c r="AL632" s="942"/>
      <c r="AM632" s="942"/>
      <c r="AN632" s="942"/>
      <c r="AO632" s="942"/>
      <c r="AP632" s="942"/>
      <c r="AQ632" s="942"/>
      <c r="AR632" s="942"/>
      <c r="AS632" s="942"/>
      <c r="AT632" s="942"/>
      <c r="AU632" s="942"/>
      <c r="AV632" s="942"/>
      <c r="AW632" s="942"/>
      <c r="AX632" s="942"/>
      <c r="AY632" s="942"/>
      <c r="AZ632" s="942"/>
      <c r="BA632" s="942"/>
      <c r="BB632" s="942"/>
      <c r="BC632" s="942"/>
      <c r="BD632" s="942"/>
      <c r="BE632" s="942"/>
      <c r="BF632" s="942"/>
      <c r="BG632" s="942"/>
      <c r="BH632" s="942"/>
      <c r="BI632" s="942"/>
      <c r="BJ632" s="942"/>
      <c r="BK632" s="942"/>
      <c r="BL632" s="942"/>
      <c r="BM632" s="942"/>
      <c r="BN632" s="7720"/>
      <c r="BO632" s="7724" t="str">
        <f>IF(_xlfn.IFERROR(INDEX(Административные!$K$26:$L$122,MATCH($F632&amp;"11komm",Административные!$K$26:$K$122,0),2),"")=0,"",_xlfn.IFERROR(INDEX(Административные!$K$26:$L$122,MATCH($F632&amp;"11komm",Административные!$K$26:$K$122,0),2),""))</f>
        <v/>
      </c>
      <c r="BP632" s="7720"/>
      <c r="BQ632" s="1278"/>
      <c r="BR632" s="1278"/>
      <c r="BS632" s="1064" t="s">
        <v>1924</v>
      </c>
      <c r="BT632" s="1064"/>
      <c r="BU632" s="1064"/>
      <c r="BV632" s="979"/>
      <c r="BW632" s="979"/>
    </row>
    <row s="1834" customFormat="1" customHeight="1" ht="14.25">
      <c r="A633" s="1278"/>
      <c r="B633" s="978"/>
      <c r="C633" s="1278"/>
      <c r="D633" s="1278"/>
      <c r="E633" s="703">
        <v>15</v>
      </c>
      <c r="F633" s="50" cm="1" t="str">
        <f t="array" ref="F633:F633">OFFSET(E633,-1,1)</f>
        <v>4</v>
      </c>
      <c r="G633" s="158" t="s">
        <v>1925</v>
      </c>
      <c r="H633" s="378"/>
      <c r="I633" s="378" t="s">
        <v>2691</v>
      </c>
      <c r="J633" s="1278"/>
      <c r="K633" s="378" t="s">
        <v>2691</v>
      </c>
      <c r="L633" s="980"/>
      <c r="M633" s="107"/>
      <c r="N633" s="1278"/>
      <c r="O633" s="1278"/>
      <c r="P633" s="1278"/>
      <c r="Q633" s="158" t="s">
        <v>2947</v>
      </c>
      <c r="R633" s="161" t="s">
        <v>2947</v>
      </c>
      <c r="S633" s="1278"/>
      <c r="T633" s="465" cm="1" t="str">
        <f t="array" ref="T633:T633">T632</f>
        <v>true</v>
      </c>
      <c r="U633" s="1278"/>
      <c r="V633" s="1278"/>
      <c r="W633" s="1278"/>
      <c r="X633" s="1563"/>
      <c r="Y633" s="1278"/>
      <c r="Z633" s="1546"/>
      <c r="AA633" s="1278"/>
      <c r="AB633" s="299" t="s">
        <v>2692</v>
      </c>
      <c r="AC633" s="768" t="s">
        <v>1926</v>
      </c>
      <c r="AD633" s="300" t="s">
        <v>1514</v>
      </c>
      <c r="AE633" s="7723"/>
      <c r="AF633" s="7723"/>
      <c r="AG633" s="7723"/>
      <c r="AH633" s="943">
        <f>AG633-AF633</f>
        <v>0</v>
      </c>
      <c r="AI633" s="7691"/>
      <c r="AJ633" s="7721"/>
      <c r="AK633" s="942"/>
      <c r="AL633" s="942"/>
      <c r="AM633" s="942"/>
      <c r="AN633" s="942"/>
      <c r="AO633" s="942"/>
      <c r="AP633" s="942"/>
      <c r="AQ633" s="942"/>
      <c r="AR633" s="942"/>
      <c r="AS633" s="942"/>
      <c r="AT633" s="942"/>
      <c r="AU633" s="942"/>
      <c r="AV633" s="942"/>
      <c r="AW633" s="942"/>
      <c r="AX633" s="942"/>
      <c r="AY633" s="942"/>
      <c r="AZ633" s="942"/>
      <c r="BA633" s="942"/>
      <c r="BB633" s="942"/>
      <c r="BC633" s="942"/>
      <c r="BD633" s="942"/>
      <c r="BE633" s="942"/>
      <c r="BF633" s="942"/>
      <c r="BG633" s="942"/>
      <c r="BH633" s="942"/>
      <c r="BI633" s="942"/>
      <c r="BJ633" s="942"/>
      <c r="BK633" s="942"/>
      <c r="BL633" s="942"/>
      <c r="BM633" s="942"/>
      <c r="BN633" s="7720"/>
      <c r="BO633" s="7724" t="str">
        <f>IF(_xlfn.IFERROR(INDEX(Административные!$K$26:$L$122,MATCH($F633&amp;"12komm",Административные!$K$26:$K$122,0),2),"")=0,"",_xlfn.IFERROR(INDEX(Административные!$K$26:$L$122,MATCH($F633&amp;"12komm",Административные!$K$26:$K$122,0),2),""))</f>
        <v/>
      </c>
      <c r="BP633" s="7720"/>
      <c r="BQ633" s="1278"/>
      <c r="BR633" s="1278"/>
      <c r="BS633" s="1064" t="s">
        <v>1927</v>
      </c>
      <c r="BT633" s="1064"/>
      <c r="BU633" s="1064"/>
      <c r="BV633" s="979"/>
      <c r="BW633" s="979"/>
    </row>
    <row s="1834" customFormat="1" customHeight="1" ht="14.25">
      <c r="A634" s="1278"/>
      <c r="B634" s="978"/>
      <c r="C634" s="1278"/>
      <c r="D634" s="1278"/>
      <c r="E634" s="703">
        <v>15</v>
      </c>
      <c r="F634" s="50" cm="1" t="str">
        <f t="array" ref="F634:F634">OFFSET(E634,-1,1)</f>
        <v>4</v>
      </c>
      <c r="G634" s="158" t="s">
        <v>1928</v>
      </c>
      <c r="H634" s="378"/>
      <c r="I634" s="378" t="s">
        <v>2693</v>
      </c>
      <c r="J634" s="1278"/>
      <c r="K634" s="378" t="s">
        <v>2693</v>
      </c>
      <c r="L634" s="980"/>
      <c r="M634" s="107"/>
      <c r="N634" s="1278"/>
      <c r="O634" s="1278"/>
      <c r="P634" s="1278"/>
      <c r="Q634" s="158" t="s">
        <v>2947</v>
      </c>
      <c r="R634" s="161" t="s">
        <v>2947</v>
      </c>
      <c r="S634" s="1278"/>
      <c r="T634" s="465" cm="1" t="str">
        <f t="array" ref="T634:T634">T633</f>
        <v>true</v>
      </c>
      <c r="U634" s="1278"/>
      <c r="V634" s="1278"/>
      <c r="W634" s="1278"/>
      <c r="X634" s="1563"/>
      <c r="Y634" s="1278"/>
      <c r="Z634" s="1546"/>
      <c r="AA634" s="1278"/>
      <c r="AB634" s="299" t="s">
        <v>2694</v>
      </c>
      <c r="AC634" s="768" t="s">
        <v>1929</v>
      </c>
      <c r="AD634" s="300" t="s">
        <v>1514</v>
      </c>
      <c r="AE634" s="7723"/>
      <c r="AF634" s="7723"/>
      <c r="AG634" s="7723"/>
      <c r="AH634" s="943">
        <f>AG634-AF634</f>
        <v>0</v>
      </c>
      <c r="AI634" s="7691"/>
      <c r="AJ634" s="7721"/>
      <c r="AK634" s="942"/>
      <c r="AL634" s="942"/>
      <c r="AM634" s="942"/>
      <c r="AN634" s="942"/>
      <c r="AO634" s="942"/>
      <c r="AP634" s="942"/>
      <c r="AQ634" s="942"/>
      <c r="AR634" s="942"/>
      <c r="AS634" s="942"/>
      <c r="AT634" s="942"/>
      <c r="AU634" s="942"/>
      <c r="AV634" s="942"/>
      <c r="AW634" s="942"/>
      <c r="AX634" s="942"/>
      <c r="AY634" s="942"/>
      <c r="AZ634" s="942"/>
      <c r="BA634" s="942"/>
      <c r="BB634" s="942"/>
      <c r="BC634" s="942"/>
      <c r="BD634" s="942"/>
      <c r="BE634" s="942"/>
      <c r="BF634" s="942"/>
      <c r="BG634" s="942"/>
      <c r="BH634" s="942"/>
      <c r="BI634" s="942"/>
      <c r="BJ634" s="942"/>
      <c r="BK634" s="942"/>
      <c r="BL634" s="942"/>
      <c r="BM634" s="942"/>
      <c r="BN634" s="7720"/>
      <c r="BO634" s="7724" t="str">
        <f>IF(_xlfn.IFERROR(INDEX(Административные!$K$26:$L$122,MATCH($F634&amp;"13komm",Административные!$K$26:$K$122,0),2),"")=0,"",_xlfn.IFERROR(INDEX(Административные!$K$26:$L$122,MATCH($F634&amp;"13komm",Административные!$K$26:$K$122,0),2),""))</f>
        <v/>
      </c>
      <c r="BP634" s="7720"/>
      <c r="BQ634" s="1278"/>
      <c r="BR634" s="1278"/>
      <c r="BS634" s="1064" t="s">
        <v>1930</v>
      </c>
      <c r="BT634" s="1064"/>
      <c r="BU634" s="1064"/>
      <c r="BV634" s="979"/>
      <c r="BW634" s="979"/>
    </row>
    <row s="1834" customFormat="1" customHeight="1" ht="14.25">
      <c r="A635" s="1278"/>
      <c r="B635" s="978"/>
      <c r="C635" s="1278"/>
      <c r="D635" s="1278"/>
      <c r="E635" s="703">
        <v>15</v>
      </c>
      <c r="F635" s="50" cm="1" t="str">
        <f t="array" ref="F635:F635">OFFSET(E635,-1,1)</f>
        <v>4</v>
      </c>
      <c r="G635" s="158" t="s">
        <v>1931</v>
      </c>
      <c r="H635" s="378"/>
      <c r="I635" s="378" t="s">
        <v>2695</v>
      </c>
      <c r="J635" s="1278"/>
      <c r="K635" s="378" t="s">
        <v>2695</v>
      </c>
      <c r="L635" s="980"/>
      <c r="M635" s="107"/>
      <c r="N635" s="1278"/>
      <c r="O635" s="1278"/>
      <c r="P635" s="1278"/>
      <c r="Q635" s="158" t="s">
        <v>2947</v>
      </c>
      <c r="R635" s="161" t="s">
        <v>2947</v>
      </c>
      <c r="S635" s="1278"/>
      <c r="T635" s="465" cm="1" t="str">
        <f t="array" ref="T635:T635">T634</f>
        <v>true</v>
      </c>
      <c r="U635" s="1278"/>
      <c r="V635" s="1278"/>
      <c r="W635" s="1278"/>
      <c r="X635" s="1563"/>
      <c r="Y635" s="1278"/>
      <c r="Z635" s="1546"/>
      <c r="AA635" s="1278"/>
      <c r="AB635" s="299" t="s">
        <v>2696</v>
      </c>
      <c r="AC635" s="768" t="s">
        <v>1932</v>
      </c>
      <c r="AD635" s="300" t="s">
        <v>1514</v>
      </c>
      <c r="AE635" s="7723"/>
      <c r="AF635" s="7723"/>
      <c r="AG635" s="7723"/>
      <c r="AH635" s="943">
        <f>AG635-AF635</f>
        <v>0</v>
      </c>
      <c r="AI635" s="7691"/>
      <c r="AJ635" s="7721"/>
      <c r="AK635" s="942"/>
      <c r="AL635" s="942"/>
      <c r="AM635" s="942"/>
      <c r="AN635" s="942"/>
      <c r="AO635" s="942"/>
      <c r="AP635" s="942"/>
      <c r="AQ635" s="942"/>
      <c r="AR635" s="942"/>
      <c r="AS635" s="942"/>
      <c r="AT635" s="942"/>
      <c r="AU635" s="942"/>
      <c r="AV635" s="942"/>
      <c r="AW635" s="942"/>
      <c r="AX635" s="942"/>
      <c r="AY635" s="942"/>
      <c r="AZ635" s="942"/>
      <c r="BA635" s="942"/>
      <c r="BB635" s="942"/>
      <c r="BC635" s="942"/>
      <c r="BD635" s="942"/>
      <c r="BE635" s="942"/>
      <c r="BF635" s="942"/>
      <c r="BG635" s="942"/>
      <c r="BH635" s="942"/>
      <c r="BI635" s="942"/>
      <c r="BJ635" s="942"/>
      <c r="BK635" s="942"/>
      <c r="BL635" s="942"/>
      <c r="BM635" s="942"/>
      <c r="BN635" s="7720"/>
      <c r="BO635" s="7724" t="str">
        <f>IF(_xlfn.IFERROR(INDEX(Административные!$K$26:$L$122,MATCH($F635&amp;"14komm",Административные!$K$26:$K$122,0),2),"")=0,"",_xlfn.IFERROR(INDEX(Административные!$K$26:$L$122,MATCH($F635&amp;"14komm",Административные!$K$26:$K$122,0),2),""))</f>
        <v/>
      </c>
      <c r="BP635" s="7720"/>
      <c r="BQ635" s="1278"/>
      <c r="BR635" s="1278"/>
      <c r="BS635" s="1064" t="s">
        <v>2697</v>
      </c>
      <c r="BT635" s="1064"/>
      <c r="BU635" s="1064"/>
      <c r="BV635" s="979"/>
      <c r="BW635" s="979"/>
    </row>
    <row s="1834" customFormat="1" customHeight="1" ht="14.25">
      <c r="A636" s="1278"/>
      <c r="B636" s="978"/>
      <c r="C636" s="1278"/>
      <c r="D636" s="1278"/>
      <c r="E636" s="703">
        <v>15</v>
      </c>
      <c r="F636" s="50" cm="1" t="str">
        <f t="array" ref="F636:F636">OFFSET(E636,-1,1)</f>
        <v>4</v>
      </c>
      <c r="G636" s="158" t="s">
        <v>1934</v>
      </c>
      <c r="H636" s="378"/>
      <c r="I636" s="378" t="s">
        <v>2698</v>
      </c>
      <c r="J636" s="1278"/>
      <c r="K636" s="378" t="s">
        <v>2698</v>
      </c>
      <c r="L636" s="980"/>
      <c r="M636" s="107"/>
      <c r="N636" s="1278"/>
      <c r="O636" s="1278"/>
      <c r="P636" s="1278"/>
      <c r="Q636" s="158" t="s">
        <v>2947</v>
      </c>
      <c r="R636" s="161" t="s">
        <v>2947</v>
      </c>
      <c r="S636" s="1278"/>
      <c r="T636" s="465" cm="1" t="str">
        <f t="array" ref="T636:T636">T635</f>
        <v>true</v>
      </c>
      <c r="U636" s="1278"/>
      <c r="V636" s="1278"/>
      <c r="W636" s="1278"/>
      <c r="X636" s="1563"/>
      <c r="Y636" s="1278"/>
      <c r="Z636" s="1546"/>
      <c r="AA636" s="1278"/>
      <c r="AB636" s="299" t="s">
        <v>2699</v>
      </c>
      <c r="AC636" s="768" t="s">
        <v>1937</v>
      </c>
      <c r="AD636" s="300" t="s">
        <v>1514</v>
      </c>
      <c r="AE636" s="7723"/>
      <c r="AF636" s="7723"/>
      <c r="AG636" s="7723"/>
      <c r="AH636" s="943">
        <f>AG636-AF636</f>
        <v>0</v>
      </c>
      <c r="AI636" s="7691"/>
      <c r="AJ636" s="7721"/>
      <c r="AK636" s="942"/>
      <c r="AL636" s="942"/>
      <c r="AM636" s="942"/>
      <c r="AN636" s="942"/>
      <c r="AO636" s="942"/>
      <c r="AP636" s="942"/>
      <c r="AQ636" s="942"/>
      <c r="AR636" s="942"/>
      <c r="AS636" s="942"/>
      <c r="AT636" s="942"/>
      <c r="AU636" s="942"/>
      <c r="AV636" s="942"/>
      <c r="AW636" s="942"/>
      <c r="AX636" s="942"/>
      <c r="AY636" s="942"/>
      <c r="AZ636" s="942"/>
      <c r="BA636" s="942"/>
      <c r="BB636" s="942"/>
      <c r="BC636" s="942"/>
      <c r="BD636" s="942"/>
      <c r="BE636" s="942"/>
      <c r="BF636" s="942"/>
      <c r="BG636" s="942"/>
      <c r="BH636" s="942"/>
      <c r="BI636" s="942"/>
      <c r="BJ636" s="942"/>
      <c r="BK636" s="942"/>
      <c r="BL636" s="942"/>
      <c r="BM636" s="942"/>
      <c r="BN636" s="7720"/>
      <c r="BO636" s="7724" t="str">
        <f>IF(_xlfn.IFERROR(INDEX(Административные!$K$26:$L$122,MATCH($F636&amp;"15komm",Административные!$K$26:$K$122,0),2),"")=0,"",_xlfn.IFERROR(INDEX(Административные!$K$26:$L$122,MATCH($F636&amp;"15komm",Административные!$K$26:$K$122,0),2),""))</f>
        <v>по расчету организации, не превышает факт 2025 года предыдущей организации.</v>
      </c>
      <c r="BP636" s="7720"/>
      <c r="BQ636" s="1278"/>
      <c r="BR636" s="1278"/>
      <c r="BS636" s="1064" t="s">
        <v>1938</v>
      </c>
      <c r="BT636" s="1064"/>
      <c r="BU636" s="1064"/>
      <c r="BV636" s="979"/>
      <c r="BW636" s="979"/>
    </row>
    <row s="1834" customFormat="1" customHeight="1" ht="14.25">
      <c r="A637" s="1278"/>
      <c r="B637" s="978"/>
      <c r="C637" s="1278"/>
      <c r="D637" s="1278"/>
      <c r="E637" s="703">
        <v>15</v>
      </c>
      <c r="F637" s="50" cm="1" t="str">
        <f t="array" ref="F637:F637">OFFSET(E637,-1,1)</f>
        <v>4</v>
      </c>
      <c r="G637" s="158" t="s">
        <v>1939</v>
      </c>
      <c r="H637" s="378"/>
      <c r="I637" s="378" t="s">
        <v>2700</v>
      </c>
      <c r="J637" s="1278"/>
      <c r="K637" s="378" t="s">
        <v>2700</v>
      </c>
      <c r="L637" s="980"/>
      <c r="M637" s="107"/>
      <c r="N637" s="1278"/>
      <c r="O637" s="1278"/>
      <c r="P637" s="1278"/>
      <c r="Q637" s="158" t="s">
        <v>2947</v>
      </c>
      <c r="R637" s="161" t="s">
        <v>2947</v>
      </c>
      <c r="S637" s="1278"/>
      <c r="T637" s="465" cm="1" t="str">
        <f t="array" ref="T637:T637">T636</f>
        <v>true</v>
      </c>
      <c r="U637" s="1278"/>
      <c r="V637" s="1278"/>
      <c r="W637" s="1278"/>
      <c r="X637" s="1563"/>
      <c r="Y637" s="1278"/>
      <c r="Z637" s="1546"/>
      <c r="AA637" s="1278"/>
      <c r="AB637" s="299" t="s">
        <v>2701</v>
      </c>
      <c r="AC637" s="768" t="s">
        <v>1942</v>
      </c>
      <c r="AD637" s="300" t="s">
        <v>1514</v>
      </c>
      <c r="AE637" s="7723"/>
      <c r="AF637" s="7723"/>
      <c r="AG637" s="7723"/>
      <c r="AH637" s="943">
        <f>AG637-AF637</f>
        <v>0</v>
      </c>
      <c r="AI637" s="7691"/>
      <c r="AJ637" s="7721"/>
      <c r="AK637" s="942"/>
      <c r="AL637" s="942"/>
      <c r="AM637" s="942"/>
      <c r="AN637" s="942"/>
      <c r="AO637" s="942"/>
      <c r="AP637" s="942"/>
      <c r="AQ637" s="942"/>
      <c r="AR637" s="942"/>
      <c r="AS637" s="942"/>
      <c r="AT637" s="942"/>
      <c r="AU637" s="942"/>
      <c r="AV637" s="942"/>
      <c r="AW637" s="942"/>
      <c r="AX637" s="942"/>
      <c r="AY637" s="942"/>
      <c r="AZ637" s="942"/>
      <c r="BA637" s="942"/>
      <c r="BB637" s="942"/>
      <c r="BC637" s="942"/>
      <c r="BD637" s="942"/>
      <c r="BE637" s="942"/>
      <c r="BF637" s="942"/>
      <c r="BG637" s="942"/>
      <c r="BH637" s="942"/>
      <c r="BI637" s="942"/>
      <c r="BJ637" s="942"/>
      <c r="BK637" s="942"/>
      <c r="BL637" s="942"/>
      <c r="BM637" s="942"/>
      <c r="BN637" s="7720"/>
      <c r="BO637" s="7724" t="str">
        <f>IF(_xlfn.IFERROR(INDEX(Административные!$K$26:$L$122,MATCH($F637&amp;"16komm",Административные!$K$26:$K$122,0),2),"")=0,"",_xlfn.IFERROR(INDEX(Административные!$K$26:$L$122,MATCH($F637&amp;"16komm",Административные!$K$26:$K$122,0),2),""))</f>
        <v>Учтены расходы:
1. По факту с января по май 2025 года в пересчете на годовые показатели, с применением ИПЦ Минэкономразвития России на 2026 год 105,1%:
- прочие расходы (спец.одежда, инструм., хозинвент., матер.на общехоз.и произв.нужды) 363,93 т.р.;
- расходы на канцелярию 245,43 т.р.;
- прочие услуги (изгот. печатей, постановка ККТ на учет, разм.рекламы по трудоустройству, доступ к серверу, изгот. сервис.карты) 97,52 т.р.
- почтовые расходы, типография, обсл.оргтех. 62,04 т.р.;
2. Услуги по начисл. и сбору ВС и ВО 367,49 т.р. приняты по факту с июня 2024 года по май 2025 года, с применением ИПЦ Минэкономразвития на 2025 год 109,0%, на 2026 год 105,1%.
3. По расчету организации ТБО 11,76 т.р. не превышает факт 2025 предыдущей организации.
</v>
      </c>
      <c r="BP637" s="7720"/>
      <c r="BQ637" s="1278"/>
      <c r="BR637" s="1278"/>
      <c r="BS637" s="1064" t="s">
        <v>2702</v>
      </c>
      <c r="BT637" s="1064"/>
      <c r="BU637" s="1064"/>
      <c r="BV637" s="979"/>
      <c r="BW637" s="979"/>
    </row>
    <row s="1834" customFormat="1" customHeight="1" ht="21.75">
      <c r="A638" s="1278"/>
      <c r="B638" s="978"/>
      <c r="C638" s="1278"/>
      <c r="D638" s="1278"/>
      <c r="E638" s="703">
        <v>22.5</v>
      </c>
      <c r="F638" s="50" cm="1" t="str">
        <f t="array" ref="F638:F638">OFFSET(E638,-1,1)</f>
        <v>4</v>
      </c>
      <c r="G638" s="1278"/>
      <c r="H638" s="378"/>
      <c r="I638" s="378" t="s">
        <v>2096</v>
      </c>
      <c r="J638" s="1278"/>
      <c r="K638" s="378" t="s">
        <v>2096</v>
      </c>
      <c r="L638" s="980" t="s">
        <v>1660</v>
      </c>
      <c r="M638" s="107"/>
      <c r="N638" s="1278"/>
      <c r="O638" s="1278"/>
      <c r="P638" s="1278"/>
      <c r="Q638" s="158" t="s">
        <v>2947</v>
      </c>
      <c r="R638" s="161" t="s">
        <v>2947</v>
      </c>
      <c r="S638" s="1278"/>
      <c r="T638" s="465" cm="1" t="str">
        <f t="array" ref="T638:T638">T637</f>
        <v>true</v>
      </c>
      <c r="U638" s="1278"/>
      <c r="V638" s="1278"/>
      <c r="W638" s="1278"/>
      <c r="X638" s="1563"/>
      <c r="Y638" s="1278"/>
      <c r="Z638" s="1546"/>
      <c r="AA638" s="1278"/>
      <c r="AB638" s="299" t="s">
        <v>1755</v>
      </c>
      <c r="AC638" s="765" t="s">
        <v>2703</v>
      </c>
      <c r="AD638" s="300" t="s">
        <v>1514</v>
      </c>
      <c r="AE638" s="944">
        <f>AE639+AE640</f>
        <v>0</v>
      </c>
      <c r="AF638" s="944">
        <f>AF639+AF640</f>
        <v>0</v>
      </c>
      <c r="AG638" s="944">
        <f>AG639+AG640</f>
        <v>0</v>
      </c>
      <c r="AH638" s="943">
        <f>AG638-AF638</f>
        <v>0</v>
      </c>
      <c r="AI638" s="7693">
        <f>AI639+AI640</f>
        <v>0</v>
      </c>
      <c r="AJ638" s="7721"/>
      <c r="AK638" s="942"/>
      <c r="AL638" s="942"/>
      <c r="AM638" s="942"/>
      <c r="AN638" s="942"/>
      <c r="AO638" s="942"/>
      <c r="AP638" s="942"/>
      <c r="AQ638" s="942"/>
      <c r="AR638" s="942"/>
      <c r="AS638" s="942"/>
      <c r="AT638" s="942"/>
      <c r="AU638" s="942"/>
      <c r="AV638" s="942"/>
      <c r="AW638" s="942"/>
      <c r="AX638" s="942"/>
      <c r="AY638" s="942"/>
      <c r="AZ638" s="942"/>
      <c r="BA638" s="942"/>
      <c r="BB638" s="942"/>
      <c r="BC638" s="942"/>
      <c r="BD638" s="942"/>
      <c r="BE638" s="942"/>
      <c r="BF638" s="942"/>
      <c r="BG638" s="942"/>
      <c r="BH638" s="942"/>
      <c r="BI638" s="942"/>
      <c r="BJ638" s="942"/>
      <c r="BK638" s="942"/>
      <c r="BL638" s="942"/>
      <c r="BM638" s="942"/>
      <c r="BN638" s="7720"/>
      <c r="BO638" s="7720"/>
      <c r="BP638" s="7720"/>
      <c r="BQ638" s="1278"/>
      <c r="BR638" s="1278"/>
      <c r="BS638" s="1062" t="s">
        <v>2517</v>
      </c>
      <c r="BT638" s="1064"/>
      <c r="BU638" s="1064"/>
      <c r="BV638" s="979"/>
      <c r="BW638" s="979"/>
    </row>
    <row s="1834" customFormat="1" customHeight="1" ht="14.25">
      <c r="A639" s="1278"/>
      <c r="B639" s="978"/>
      <c r="C639" s="1278"/>
      <c r="D639" s="1278"/>
      <c r="E639" s="703">
        <v>15</v>
      </c>
      <c r="F639" s="50" cm="1" t="str">
        <f t="array" ref="F639:F639">OFFSET(E639,-1,1)</f>
        <v>4</v>
      </c>
      <c r="G639" s="158" t="s">
        <v>1889</v>
      </c>
      <c r="H639" s="378"/>
      <c r="I639" s="378" t="s">
        <v>2704</v>
      </c>
      <c r="J639" s="1278"/>
      <c r="K639" s="378" t="s">
        <v>2704</v>
      </c>
      <c r="L639" s="980" t="s">
        <v>1211</v>
      </c>
      <c r="M639" s="107"/>
      <c r="N639" s="1278"/>
      <c r="O639" s="1278"/>
      <c r="P639" s="1278"/>
      <c r="Q639" s="158" t="s">
        <v>2947</v>
      </c>
      <c r="R639" s="161" t="s">
        <v>2947</v>
      </c>
      <c r="S639" s="1278"/>
      <c r="T639" s="465" cm="1" t="str">
        <f t="array" ref="T639:T639">T638</f>
        <v>true</v>
      </c>
      <c r="U639" s="1278"/>
      <c r="V639" s="1278"/>
      <c r="W639" s="1278"/>
      <c r="X639" s="1563"/>
      <c r="Y639" s="1278"/>
      <c r="Z639" s="1546"/>
      <c r="AA639" s="1278"/>
      <c r="AB639" s="299" t="s">
        <v>2705</v>
      </c>
      <c r="AC639" s="768" t="s">
        <v>2518</v>
      </c>
      <c r="AD639" s="771" t="s">
        <v>1514</v>
      </c>
      <c r="AE639" s="7723"/>
      <c r="AF639" s="7723"/>
      <c r="AG639" s="7723"/>
      <c r="AH639" s="943">
        <f>AG639-AF639</f>
        <v>0</v>
      </c>
      <c r="AI639" s="7691"/>
      <c r="AJ639" s="7721"/>
      <c r="AK639" s="942"/>
      <c r="AL639" s="942"/>
      <c r="AM639" s="942"/>
      <c r="AN639" s="942"/>
      <c r="AO639" s="942"/>
      <c r="AP639" s="942"/>
      <c r="AQ639" s="942"/>
      <c r="AR639" s="942"/>
      <c r="AS639" s="942"/>
      <c r="AT639" s="942"/>
      <c r="AU639" s="942"/>
      <c r="AV639" s="942"/>
      <c r="AW639" s="942"/>
      <c r="AX639" s="942"/>
      <c r="AY639" s="942"/>
      <c r="AZ639" s="942"/>
      <c r="BA639" s="942"/>
      <c r="BB639" s="942"/>
      <c r="BC639" s="942"/>
      <c r="BD639" s="942"/>
      <c r="BE639" s="942"/>
      <c r="BF639" s="942"/>
      <c r="BG639" s="942"/>
      <c r="BH639" s="942"/>
      <c r="BI639" s="942"/>
      <c r="BJ639" s="942"/>
      <c r="BK639" s="942"/>
      <c r="BL639" s="942"/>
      <c r="BM639" s="942"/>
      <c r="BN639" s="7720"/>
      <c r="BO639" s="7724" t="str">
        <f>IF(_xlfn.IFERROR(INDEX(ФОТ!$K$26:$L$188,MATCH($F639&amp;"5komm",ФОТ!$K$26:$K$188,0),2),"")=0,"",_xlfn.IFERROR(INDEX(ФОТ!$K$26:$L$188,MATCH($F639&amp;"5komm",ФОТ!$K$26:$K$188,0),2),""))</f>
        <v>по предложению организации в соответствии со штатным расписанием.</v>
      </c>
      <c r="BP639" s="7720"/>
      <c r="BQ639" s="1278"/>
      <c r="BR639" s="1278"/>
      <c r="BS639" s="1062" t="s">
        <v>1915</v>
      </c>
      <c r="BT639" s="1064"/>
      <c r="BU639" s="1064"/>
      <c r="BV639" s="979"/>
      <c r="BW639" s="979"/>
    </row>
    <row s="1834" customFormat="1" customHeight="1" ht="21.75">
      <c r="A640" s="1278"/>
      <c r="B640" s="978"/>
      <c r="C640" s="1278"/>
      <c r="D640" s="1278"/>
      <c r="E640" s="703">
        <v>22.5</v>
      </c>
      <c r="F640" s="50" cm="1" t="str">
        <f t="array" ref="F640:F640">OFFSET(E640,-1,1)</f>
        <v>4</v>
      </c>
      <c r="G640" s="158" t="s">
        <v>1894</v>
      </c>
      <c r="H640" s="378"/>
      <c r="I640" s="378" t="s">
        <v>2706</v>
      </c>
      <c r="J640" s="1278"/>
      <c r="K640" s="378" t="s">
        <v>2706</v>
      </c>
      <c r="L640" s="980" t="s">
        <v>1216</v>
      </c>
      <c r="M640" s="107"/>
      <c r="N640" s="1278"/>
      <c r="O640" s="1278"/>
      <c r="P640" s="1278"/>
      <c r="Q640" s="158" t="s">
        <v>2947</v>
      </c>
      <c r="R640" s="161" t="s">
        <v>2947</v>
      </c>
      <c r="S640" s="1278"/>
      <c r="T640" s="465" cm="1" t="str">
        <f t="array" ref="T640:T640">T639</f>
        <v>true</v>
      </c>
      <c r="U640" s="1278"/>
      <c r="V640" s="1278"/>
      <c r="W640" s="1278"/>
      <c r="X640" s="1563"/>
      <c r="Y640" s="1278"/>
      <c r="Z640" s="1546"/>
      <c r="AA640" s="1278"/>
      <c r="AB640" s="299" t="s">
        <v>2707</v>
      </c>
      <c r="AC640" s="768" t="s">
        <v>2708</v>
      </c>
      <c r="AD640" s="300" t="s">
        <v>1514</v>
      </c>
      <c r="AE640" s="7723">
        <f>AE639*_xlfn.SUMIFS(INDEX(Сценарии!$AE$25:$BF$163,,MATCH(AE$8,Сценарии!$AE$8:$BF$8,0)),Сценарии!$F$25:$F$163,$F640,Сценарии!$G$25:$G$163,"СВФОТ")/100</f>
        <v>0</v>
      </c>
      <c r="AF640" s="7723">
        <f>AF639*_xlfn.SUMIFS(INDEX(Сценарии!$AE$25:$BF$163,,MATCH(AF$8,Сценарии!$AE$8:$BF$8,0)),Сценарии!$F$25:$F$163,$F640,Сценарии!$G$25:$G$163,"СВФОТ")/100</f>
        <v>0</v>
      </c>
      <c r="AG640" s="7723">
        <f>AG639*_xlfn.SUMIFS(INDEX(Сценарии!$AE$25:$BF$163,,MATCH(AG$8,Сценарии!$AE$8:$BF$8,0)),Сценарии!$F$25:$F$163,$F640,Сценарии!$G$25:$G$163,"СВФОТ")/100</f>
        <v>0</v>
      </c>
      <c r="AH640" s="943">
        <f>AG640-AF640</f>
        <v>0</v>
      </c>
      <c r="AI640" s="7691">
        <f>AI639*_xlfn.SUMIFS(INDEX(Сценарии!$AE$25:$BF$163,,MATCH(AG$8,Сценарии!$AE$8:$BF$8,0)),Сценарии!$F$25:$F$163,$F640,Сценарии!$G$25:$G$163,"СВФОТ")/100</f>
        <v>0</v>
      </c>
      <c r="AJ640" s="7721"/>
      <c r="AK640" s="942"/>
      <c r="AL640" s="942"/>
      <c r="AM640" s="942"/>
      <c r="AN640" s="942"/>
      <c r="AO640" s="942"/>
      <c r="AP640" s="942"/>
      <c r="AQ640" s="942"/>
      <c r="AR640" s="942"/>
      <c r="AS640" s="942"/>
      <c r="AT640" s="942"/>
      <c r="AU640" s="942"/>
      <c r="AV640" s="942"/>
      <c r="AW640" s="942"/>
      <c r="AX640" s="942"/>
      <c r="AY640" s="942"/>
      <c r="AZ640" s="942"/>
      <c r="BA640" s="942"/>
      <c r="BB640" s="942"/>
      <c r="BC640" s="942"/>
      <c r="BD640" s="942"/>
      <c r="BE640" s="942"/>
      <c r="BF640" s="942"/>
      <c r="BG640" s="942"/>
      <c r="BH640" s="942"/>
      <c r="BI640" s="942"/>
      <c r="BJ640" s="942"/>
      <c r="BK640" s="942"/>
      <c r="BL640" s="942"/>
      <c r="BM640" s="942"/>
      <c r="BN640" s="7720"/>
      <c r="BO640" s="7724" t="str">
        <f>IF(_xlfn.IFERROR(INDEX(ФОТ!$K$26:$L$188,MATCH($F640&amp;"6komm",ФОТ!$K$26:$K$188,0),2),"")=0,"",_xlfn.IFERROR(INDEX(ФОТ!$K$26:$L$188,MATCH($F640&amp;"6komm",ФОТ!$K$26:$K$188,0),2),""))</f>
        <v>на основании Налогового кодекса РФ (часть вторая) от 05.08.2000 № 117-ФЗ в размере 30%, а также в соответствии с Федеральным законом от 24.07.1998 № 125 – ФЗ (0,20%).</v>
      </c>
      <c r="BP640" s="7720"/>
      <c r="BQ640" s="1278"/>
      <c r="BR640" s="1278"/>
      <c r="BS640" s="1062" t="s">
        <v>2520</v>
      </c>
      <c r="BT640" s="1064"/>
      <c r="BU640" s="1064"/>
      <c r="BV640" s="979"/>
      <c r="BW640" s="979"/>
    </row>
    <row s="1834" customFormat="1" customHeight="1" ht="32.25">
      <c r="A641" s="1278"/>
      <c r="B641" s="978"/>
      <c r="C641" s="1278"/>
      <c r="D641" s="1278"/>
      <c r="E641" s="703">
        <v>33.75</v>
      </c>
      <c r="F641" s="50" cm="1" t="str">
        <f t="array" ref="F641:F641">OFFSET(E641,-1,1)</f>
        <v>4</v>
      </c>
      <c r="G641" s="49" t="s">
        <v>1944</v>
      </c>
      <c r="H641" s="378"/>
      <c r="I641" s="378" t="s">
        <v>2099</v>
      </c>
      <c r="J641" s="1278"/>
      <c r="K641" s="378" t="s">
        <v>2099</v>
      </c>
      <c r="L641" s="980" t="s">
        <v>1662</v>
      </c>
      <c r="M641" s="107"/>
      <c r="N641" s="1278"/>
      <c r="O641" s="1278"/>
      <c r="P641" s="1278"/>
      <c r="Q641" s="158" t="s">
        <v>2947</v>
      </c>
      <c r="R641" s="161" t="s">
        <v>2947</v>
      </c>
      <c r="S641" s="1278"/>
      <c r="T641" s="465" cm="1" t="str">
        <f t="array" ref="T641:T641">T640</f>
        <v>true</v>
      </c>
      <c r="U641" s="1278"/>
      <c r="V641" s="1278"/>
      <c r="W641" s="1278"/>
      <c r="X641" s="1563"/>
      <c r="Y641" s="1278"/>
      <c r="Z641" s="1546"/>
      <c r="AA641" s="1278"/>
      <c r="AB641" s="299" t="s">
        <v>2100</v>
      </c>
      <c r="AC641" s="765" t="s">
        <v>2709</v>
      </c>
      <c r="AD641" s="300" t="s">
        <v>1514</v>
      </c>
      <c r="AE641" s="7723"/>
      <c r="AF641" s="7723"/>
      <c r="AG641" s="7723"/>
      <c r="AH641" s="943">
        <f>AG641-AF641</f>
        <v>0</v>
      </c>
      <c r="AI641" s="7691"/>
      <c r="AJ641" s="7721"/>
      <c r="AK641" s="942"/>
      <c r="AL641" s="942"/>
      <c r="AM641" s="942"/>
      <c r="AN641" s="942"/>
      <c r="AO641" s="942"/>
      <c r="AP641" s="942"/>
      <c r="AQ641" s="942"/>
      <c r="AR641" s="942"/>
      <c r="AS641" s="942"/>
      <c r="AT641" s="942"/>
      <c r="AU641" s="942"/>
      <c r="AV641" s="942"/>
      <c r="AW641" s="942"/>
      <c r="AX641" s="942"/>
      <c r="AY641" s="942"/>
      <c r="AZ641" s="942"/>
      <c r="BA641" s="942"/>
      <c r="BB641" s="942"/>
      <c r="BC641" s="942"/>
      <c r="BD641" s="942"/>
      <c r="BE641" s="942"/>
      <c r="BF641" s="942"/>
      <c r="BG641" s="942"/>
      <c r="BH641" s="942"/>
      <c r="BI641" s="942"/>
      <c r="BJ641" s="942"/>
      <c r="BK641" s="942"/>
      <c r="BL641" s="942"/>
      <c r="BM641" s="942"/>
      <c r="BN641" s="7720"/>
      <c r="BO641" s="7724" t="str">
        <f>IF(_xlfn.IFERROR(INDEX(Административные!$K$26:$L$122,MATCH($F641&amp;"2komm",Административные!$K$26:$K$122,0),2),"")=0,"",_xlfn.IFERROR(INDEX(Административные!$K$26:$L$122,MATCH($F641&amp;"2komm",Административные!$K$26:$K$122,0),2),""))</f>
        <v/>
      </c>
      <c r="BP641" s="7720"/>
      <c r="BQ641" s="1278"/>
      <c r="BR641" s="1278"/>
      <c r="BS641" s="1062" t="s">
        <v>1946</v>
      </c>
      <c r="BT641" s="1064"/>
      <c r="BU641" s="1064"/>
      <c r="BV641" s="979"/>
      <c r="BW641" s="979"/>
    </row>
    <row s="1834" customFormat="1" customHeight="1" ht="14.25">
      <c r="A642" s="1278"/>
      <c r="B642" s="978"/>
      <c r="C642" s="1278"/>
      <c r="D642" s="1278"/>
      <c r="E642" s="703">
        <v>15</v>
      </c>
      <c r="F642" s="50" cm="1" t="str">
        <f t="array" ref="F642:F642">OFFSET(E642,-1,1)</f>
        <v>4</v>
      </c>
      <c r="G642" s="49" t="s">
        <v>1947</v>
      </c>
      <c r="H642" s="378"/>
      <c r="I642" s="378" t="s">
        <v>2103</v>
      </c>
      <c r="J642" s="1278"/>
      <c r="K642" s="378" t="s">
        <v>2103</v>
      </c>
      <c r="L642" s="980" t="s">
        <v>1664</v>
      </c>
      <c r="M642" s="107"/>
      <c r="N642" s="1278"/>
      <c r="O642" s="1278"/>
      <c r="P642" s="1278"/>
      <c r="Q642" s="158" t="s">
        <v>2947</v>
      </c>
      <c r="R642" s="161" t="s">
        <v>2947</v>
      </c>
      <c r="S642" s="1278"/>
      <c r="T642" s="465" cm="1" t="str">
        <f t="array" ref="T642:T642">T641</f>
        <v>true</v>
      </c>
      <c r="U642" s="1278"/>
      <c r="V642" s="1278"/>
      <c r="W642" s="1278"/>
      <c r="X642" s="1563"/>
      <c r="Y642" s="1278"/>
      <c r="Z642" s="1546"/>
      <c r="AA642" s="1278"/>
      <c r="AB642" s="299" t="s">
        <v>2104</v>
      </c>
      <c r="AC642" s="765" t="s">
        <v>2710</v>
      </c>
      <c r="AD642" s="300" t="s">
        <v>1514</v>
      </c>
      <c r="AE642" s="7723"/>
      <c r="AF642" s="7723"/>
      <c r="AG642" s="7723"/>
      <c r="AH642" s="943">
        <f>AG642-AF642</f>
        <v>0</v>
      </c>
      <c r="AI642" s="7691"/>
      <c r="AJ642" s="7721"/>
      <c r="AK642" s="942"/>
      <c r="AL642" s="942"/>
      <c r="AM642" s="942"/>
      <c r="AN642" s="942"/>
      <c r="AO642" s="942"/>
      <c r="AP642" s="942"/>
      <c r="AQ642" s="942"/>
      <c r="AR642" s="942"/>
      <c r="AS642" s="942"/>
      <c r="AT642" s="942"/>
      <c r="AU642" s="942"/>
      <c r="AV642" s="942"/>
      <c r="AW642" s="942"/>
      <c r="AX642" s="942"/>
      <c r="AY642" s="942"/>
      <c r="AZ642" s="942"/>
      <c r="BA642" s="942"/>
      <c r="BB642" s="942"/>
      <c r="BC642" s="942"/>
      <c r="BD642" s="942"/>
      <c r="BE642" s="942"/>
      <c r="BF642" s="942"/>
      <c r="BG642" s="942"/>
      <c r="BH642" s="942"/>
      <c r="BI642" s="942"/>
      <c r="BJ642" s="942"/>
      <c r="BK642" s="942"/>
      <c r="BL642" s="942"/>
      <c r="BM642" s="942"/>
      <c r="BN642" s="7720"/>
      <c r="BO642" s="7724" t="str">
        <f>IF(_xlfn.IFERROR(INDEX(Административные!$K$26:$L$122,MATCH($F642&amp;"3komm",Административные!$K$26:$K$122,0),2),"")=0,"",_xlfn.IFERROR(INDEX(Административные!$K$26:$L$122,MATCH($F642&amp;"3komm",Административные!$K$26:$K$122,0),2),""))</f>
        <v>рассчитано по факту 2024 года предыдущей организации, с применением ИПЦ Минэкономразвития России на 2025 год 109,0%, на 2026 год 105,1%.</v>
      </c>
      <c r="BP642" s="7720"/>
      <c r="BQ642" s="1278"/>
      <c r="BR642" s="1278"/>
      <c r="BS642" s="1062" t="s">
        <v>1949</v>
      </c>
      <c r="BT642" s="1064"/>
      <c r="BU642" s="1064"/>
      <c r="BV642" s="979"/>
      <c r="BW642" s="979"/>
    </row>
    <row s="1834" customFormat="1" customHeight="1" ht="14.25">
      <c r="A643" s="1278"/>
      <c r="B643" s="978"/>
      <c r="C643" s="1278"/>
      <c r="D643" s="1278"/>
      <c r="E643" s="703">
        <v>15</v>
      </c>
      <c r="F643" s="50" cm="1" t="str">
        <f t="array" ref="F643:F643">OFFSET(E643,-1,1)</f>
        <v>4</v>
      </c>
      <c r="G643" s="49" t="s">
        <v>1950</v>
      </c>
      <c r="H643" s="378"/>
      <c r="I643" s="378" t="s">
        <v>2711</v>
      </c>
      <c r="J643" s="1278"/>
      <c r="K643" s="378" t="s">
        <v>2711</v>
      </c>
      <c r="L643" s="980" t="s">
        <v>1667</v>
      </c>
      <c r="M643" s="107"/>
      <c r="N643" s="1278"/>
      <c r="O643" s="1278"/>
      <c r="P643" s="1278"/>
      <c r="Q643" s="158" t="s">
        <v>2947</v>
      </c>
      <c r="R643" s="161" t="s">
        <v>2947</v>
      </c>
      <c r="S643" s="1278"/>
      <c r="T643" s="465" cm="1" t="str">
        <f t="array" ref="T643:T643">T642</f>
        <v>true</v>
      </c>
      <c r="U643" s="1278"/>
      <c r="V643" s="1278"/>
      <c r="W643" s="1278"/>
      <c r="X643" s="1563"/>
      <c r="Y643" s="1278"/>
      <c r="Z643" s="1546"/>
      <c r="AA643" s="1278"/>
      <c r="AB643" s="299" t="s">
        <v>2712</v>
      </c>
      <c r="AC643" s="765" t="s">
        <v>2713</v>
      </c>
      <c r="AD643" s="300" t="s">
        <v>1514</v>
      </c>
      <c r="AE643" s="7723"/>
      <c r="AF643" s="7723"/>
      <c r="AG643" s="7723"/>
      <c r="AH643" s="943">
        <f>AG643-AF643</f>
        <v>0</v>
      </c>
      <c r="AI643" s="7691"/>
      <c r="AJ643" s="7721"/>
      <c r="AK643" s="942"/>
      <c r="AL643" s="942"/>
      <c r="AM643" s="942"/>
      <c r="AN643" s="942"/>
      <c r="AO643" s="942"/>
      <c r="AP643" s="942"/>
      <c r="AQ643" s="942"/>
      <c r="AR643" s="942"/>
      <c r="AS643" s="942"/>
      <c r="AT643" s="942"/>
      <c r="AU643" s="942"/>
      <c r="AV643" s="942"/>
      <c r="AW643" s="942"/>
      <c r="AX643" s="942"/>
      <c r="AY643" s="942"/>
      <c r="AZ643" s="942"/>
      <c r="BA643" s="942"/>
      <c r="BB643" s="942"/>
      <c r="BC643" s="942"/>
      <c r="BD643" s="942"/>
      <c r="BE643" s="942"/>
      <c r="BF643" s="942"/>
      <c r="BG643" s="942"/>
      <c r="BH643" s="942"/>
      <c r="BI643" s="942"/>
      <c r="BJ643" s="942"/>
      <c r="BK643" s="942"/>
      <c r="BL643" s="942"/>
      <c r="BM643" s="942"/>
      <c r="BN643" s="7720"/>
      <c r="BO643" s="7724" t="str">
        <f>IF(_xlfn.IFERROR(INDEX(Административные!$K$26:$L$122,MATCH($F643&amp;"4komm",Административные!$K$26:$K$122,0),2),"")=0,"",_xlfn.IFERROR(INDEX(Административные!$K$26:$L$122,MATCH($F643&amp;"4komm",Административные!$K$26:$K$122,0),2),""))</f>
        <v/>
      </c>
      <c r="BP643" s="7720"/>
      <c r="BQ643" s="1278"/>
      <c r="BR643" s="1278"/>
      <c r="BS643" s="1062" t="s">
        <v>1952</v>
      </c>
      <c r="BT643" s="1064"/>
      <c r="BU643" s="1064"/>
      <c r="BV643" s="979"/>
      <c r="BW643" s="979"/>
    </row>
    <row s="1834" customFormat="1" customHeight="1" ht="14.25">
      <c r="A644" s="1278"/>
      <c r="B644" s="978"/>
      <c r="C644" s="1278"/>
      <c r="D644" s="1278"/>
      <c r="E644" s="703">
        <v>15</v>
      </c>
      <c r="F644" s="50" cm="1" t="str">
        <f t="array" ref="F644:F644">OFFSET(E644,-1,1)</f>
        <v>4</v>
      </c>
      <c r="G644" s="49" t="s">
        <v>1953</v>
      </c>
      <c r="H644" s="378"/>
      <c r="I644" s="378" t="s">
        <v>2714</v>
      </c>
      <c r="J644" s="1278"/>
      <c r="K644" s="378" t="s">
        <v>2714</v>
      </c>
      <c r="L644" s="980" t="s">
        <v>1935</v>
      </c>
      <c r="M644" s="107"/>
      <c r="N644" s="1278"/>
      <c r="O644" s="1278"/>
      <c r="P644" s="1278"/>
      <c r="Q644" s="158" t="s">
        <v>2947</v>
      </c>
      <c r="R644" s="161" t="s">
        <v>2947</v>
      </c>
      <c r="S644" s="1278"/>
      <c r="T644" s="465" cm="1" t="str">
        <f t="array" ref="T644:T644">T643</f>
        <v>true</v>
      </c>
      <c r="U644" s="1278"/>
      <c r="V644" s="1278"/>
      <c r="W644" s="1278"/>
      <c r="X644" s="1563"/>
      <c r="Y644" s="1278"/>
      <c r="Z644" s="1546"/>
      <c r="AA644" s="1278"/>
      <c r="AB644" s="299" t="s">
        <v>2715</v>
      </c>
      <c r="AC644" s="765" t="s">
        <v>2716</v>
      </c>
      <c r="AD644" s="300" t="s">
        <v>1514</v>
      </c>
      <c r="AE644" s="7723"/>
      <c r="AF644" s="7723"/>
      <c r="AG644" s="7723"/>
      <c r="AH644" s="943">
        <f>AG644-AF644</f>
        <v>0</v>
      </c>
      <c r="AI644" s="7691"/>
      <c r="AJ644" s="7721"/>
      <c r="AK644" s="942"/>
      <c r="AL644" s="942"/>
      <c r="AM644" s="942"/>
      <c r="AN644" s="942"/>
      <c r="AO644" s="942"/>
      <c r="AP644" s="942"/>
      <c r="AQ644" s="942"/>
      <c r="AR644" s="942"/>
      <c r="AS644" s="942"/>
      <c r="AT644" s="942"/>
      <c r="AU644" s="942"/>
      <c r="AV644" s="942"/>
      <c r="AW644" s="942"/>
      <c r="AX644" s="942"/>
      <c r="AY644" s="942"/>
      <c r="AZ644" s="942"/>
      <c r="BA644" s="942"/>
      <c r="BB644" s="942"/>
      <c r="BC644" s="942"/>
      <c r="BD644" s="942"/>
      <c r="BE644" s="942"/>
      <c r="BF644" s="942"/>
      <c r="BG644" s="942"/>
      <c r="BH644" s="942"/>
      <c r="BI644" s="942"/>
      <c r="BJ644" s="942"/>
      <c r="BK644" s="942"/>
      <c r="BL644" s="942"/>
      <c r="BM644" s="942"/>
      <c r="BN644" s="7720"/>
      <c r="BO644" s="7724" t="str">
        <f>IF(_xlfn.IFERROR(INDEX(Административные!$K$26:$L$122,MATCH($F644&amp;"5komm",Административные!$K$26:$K$122,0),2),"")=0,"",_xlfn.IFERROR(INDEX(Административные!$K$26:$L$122,MATCH($F644&amp;"5komm",Административные!$K$26:$K$122,0),2),""))</f>
        <v/>
      </c>
      <c r="BP644" s="7720"/>
      <c r="BQ644" s="1278"/>
      <c r="BR644" s="1278"/>
      <c r="BS644" s="1062" t="s">
        <v>2522</v>
      </c>
      <c r="BT644" s="1064"/>
      <c r="BU644" s="1064"/>
      <c r="BV644" s="979"/>
      <c r="BW644" s="979"/>
    </row>
    <row s="1834" customFormat="1" customHeight="1" ht="14.25">
      <c r="A645" s="1278"/>
      <c r="B645" s="978"/>
      <c r="C645" s="1278"/>
      <c r="D645" s="1278"/>
      <c r="E645" s="703">
        <v>15</v>
      </c>
      <c r="F645" s="50" cm="1" t="str">
        <f t="array" ref="F645:F645">OFFSET(E645,-1,1)</f>
        <v>4</v>
      </c>
      <c r="G645" s="49" t="s">
        <v>1956</v>
      </c>
      <c r="H645" s="378"/>
      <c r="I645" s="378" t="s">
        <v>2717</v>
      </c>
      <c r="J645" s="1278"/>
      <c r="K645" s="378" t="s">
        <v>2717</v>
      </c>
      <c r="L645" s="980" t="s">
        <v>1940</v>
      </c>
      <c r="M645" s="107"/>
      <c r="N645" s="1278"/>
      <c r="O645" s="1278"/>
      <c r="P645" s="1278"/>
      <c r="Q645" s="158" t="s">
        <v>2947</v>
      </c>
      <c r="R645" s="161" t="s">
        <v>2947</v>
      </c>
      <c r="S645" s="1278"/>
      <c r="T645" s="465" cm="1" t="str">
        <f t="array" ref="T645:T645">T644</f>
        <v>true</v>
      </c>
      <c r="U645" s="1278"/>
      <c r="V645" s="1278"/>
      <c r="W645" s="1278"/>
      <c r="X645" s="1563"/>
      <c r="Y645" s="1278"/>
      <c r="Z645" s="1546"/>
      <c r="AA645" s="1278"/>
      <c r="AB645" s="299" t="s">
        <v>2718</v>
      </c>
      <c r="AC645" s="765" t="s">
        <v>2719</v>
      </c>
      <c r="AD645" s="300" t="s">
        <v>1514</v>
      </c>
      <c r="AE645" s="943">
        <f>SUM(AE646:AE648)</f>
        <v>0</v>
      </c>
      <c r="AF645" s="943">
        <f>SUM(AF646:AF648)</f>
        <v>0</v>
      </c>
      <c r="AG645" s="943">
        <f>SUM(AG646:AG648)</f>
        <v>0</v>
      </c>
      <c r="AH645" s="943">
        <f>AG645-AF645</f>
        <v>0</v>
      </c>
      <c r="AI645" s="7687">
        <f>SUM(AI646:AI648)</f>
        <v>0</v>
      </c>
      <c r="AJ645" s="7721"/>
      <c r="AK645" s="942"/>
      <c r="AL645" s="942"/>
      <c r="AM645" s="942"/>
      <c r="AN645" s="942"/>
      <c r="AO645" s="942"/>
      <c r="AP645" s="942"/>
      <c r="AQ645" s="942"/>
      <c r="AR645" s="942"/>
      <c r="AS645" s="942"/>
      <c r="AT645" s="942"/>
      <c r="AU645" s="942"/>
      <c r="AV645" s="942"/>
      <c r="AW645" s="942"/>
      <c r="AX645" s="942"/>
      <c r="AY645" s="942"/>
      <c r="AZ645" s="942"/>
      <c r="BA645" s="942"/>
      <c r="BB645" s="942"/>
      <c r="BC645" s="942"/>
      <c r="BD645" s="942"/>
      <c r="BE645" s="942"/>
      <c r="BF645" s="942"/>
      <c r="BG645" s="942"/>
      <c r="BH645" s="942"/>
      <c r="BI645" s="942"/>
      <c r="BJ645" s="942"/>
      <c r="BK645" s="942"/>
      <c r="BL645" s="942"/>
      <c r="BM645" s="942"/>
      <c r="BN645" s="7720"/>
      <c r="BO645" s="7724" t="str">
        <f>IF(_xlfn.IFERROR(INDEX(Административные!$K$26:$L$122,MATCH($F645&amp;"6komm",Административные!$K$26:$K$122,0),2),"")=0,"",_xlfn.IFERROR(INDEX(Административные!$K$26:$L$122,MATCH($F645&amp;"6komm",Административные!$K$26:$K$122,0),2),""))</f>
        <v/>
      </c>
      <c r="BP645" s="7720"/>
      <c r="BQ645" s="1278"/>
      <c r="BR645" s="1278"/>
      <c r="BS645" s="1062" t="s">
        <v>2524</v>
      </c>
      <c r="BT645" s="1064"/>
      <c r="BU645" s="1064"/>
      <c r="BV645" s="979"/>
      <c r="BW645" s="979"/>
    </row>
    <row s="1834" customFormat="1" customHeight="1" ht="14.25">
      <c r="A646" s="1278"/>
      <c r="B646" s="978"/>
      <c r="C646" s="1278"/>
      <c r="D646" s="1278"/>
      <c r="E646" s="703">
        <v>15</v>
      </c>
      <c r="F646" s="50" cm="1" t="str">
        <f t="array" ref="F646:F646">OFFSET(E646,-1,1)</f>
        <v>4</v>
      </c>
      <c r="G646" s="49" t="s">
        <v>1958</v>
      </c>
      <c r="H646" s="378"/>
      <c r="I646" s="378" t="s">
        <v>2720</v>
      </c>
      <c r="J646" s="1278"/>
      <c r="K646" s="378" t="s">
        <v>2720</v>
      </c>
      <c r="L646" s="980" t="s">
        <v>2525</v>
      </c>
      <c r="M646" s="107"/>
      <c r="N646" s="1278"/>
      <c r="O646" s="1278"/>
      <c r="P646" s="1278"/>
      <c r="Q646" s="158" t="s">
        <v>2947</v>
      </c>
      <c r="R646" s="161" t="s">
        <v>2947</v>
      </c>
      <c r="S646" s="1278"/>
      <c r="T646" s="465" cm="1" t="str">
        <f t="array" ref="T646:T646">T645</f>
        <v>true</v>
      </c>
      <c r="U646" s="1278"/>
      <c r="V646" s="1278"/>
      <c r="W646" s="1278"/>
      <c r="X646" s="1563"/>
      <c r="Y646" s="1278"/>
      <c r="Z646" s="1546"/>
      <c r="AA646" s="1278"/>
      <c r="AB646" s="299" t="s">
        <v>2721</v>
      </c>
      <c r="AC646" s="768" t="s">
        <v>2527</v>
      </c>
      <c r="AD646" s="300" t="s">
        <v>1514</v>
      </c>
      <c r="AE646" s="7723"/>
      <c r="AF646" s="7723"/>
      <c r="AG646" s="7723"/>
      <c r="AH646" s="943">
        <f>AG646-AF646</f>
        <v>0</v>
      </c>
      <c r="AI646" s="7691"/>
      <c r="AJ646" s="7721"/>
      <c r="AK646" s="942"/>
      <c r="AL646" s="942"/>
      <c r="AM646" s="942"/>
      <c r="AN646" s="942"/>
      <c r="AO646" s="942"/>
      <c r="AP646" s="942"/>
      <c r="AQ646" s="942"/>
      <c r="AR646" s="942"/>
      <c r="AS646" s="942"/>
      <c r="AT646" s="942"/>
      <c r="AU646" s="942"/>
      <c r="AV646" s="942"/>
      <c r="AW646" s="942"/>
      <c r="AX646" s="942"/>
      <c r="AY646" s="942"/>
      <c r="AZ646" s="942"/>
      <c r="BA646" s="942"/>
      <c r="BB646" s="942"/>
      <c r="BC646" s="942"/>
      <c r="BD646" s="942"/>
      <c r="BE646" s="942"/>
      <c r="BF646" s="942"/>
      <c r="BG646" s="942"/>
      <c r="BH646" s="942"/>
      <c r="BI646" s="942"/>
      <c r="BJ646" s="942"/>
      <c r="BK646" s="942"/>
      <c r="BL646" s="942"/>
      <c r="BM646" s="942"/>
      <c r="BN646" s="7720"/>
      <c r="BO646" s="7724" t="str">
        <f>IF(_xlfn.IFERROR(INDEX(Административные!$K$26:$L$122,MATCH($F646&amp;"7komm",Административные!$K$26:$K$122,0),2),"")=0,"",_xlfn.IFERROR(INDEX(Административные!$K$26:$L$122,MATCH($F646&amp;"7komm",Административные!$K$26:$K$122,0),2),""))</f>
        <v/>
      </c>
      <c r="BP646" s="7720"/>
      <c r="BQ646" s="1278"/>
      <c r="BR646" s="1278"/>
      <c r="BS646" s="1062" t="s">
        <v>2528</v>
      </c>
      <c r="BT646" s="1064"/>
      <c r="BU646" s="1064"/>
      <c r="BV646" s="979"/>
      <c r="BW646" s="979"/>
    </row>
    <row s="1834" customFormat="1" customHeight="1" ht="14.25">
      <c r="A647" s="1278"/>
      <c r="B647" s="978"/>
      <c r="C647" s="1278"/>
      <c r="D647" s="1278"/>
      <c r="E647" s="703">
        <v>15</v>
      </c>
      <c r="F647" s="50" cm="1" t="str">
        <f t="array" ref="F647:F647">OFFSET(E647,-1,1)</f>
        <v>4</v>
      </c>
      <c r="G647" s="49" t="s">
        <v>1961</v>
      </c>
      <c r="H647" s="378"/>
      <c r="I647" s="378" t="s">
        <v>2722</v>
      </c>
      <c r="J647" s="1278"/>
      <c r="K647" s="378" t="s">
        <v>2722</v>
      </c>
      <c r="L647" s="980" t="s">
        <v>2529</v>
      </c>
      <c r="M647" s="107"/>
      <c r="N647" s="1278"/>
      <c r="O647" s="1278"/>
      <c r="P647" s="1278"/>
      <c r="Q647" s="158" t="s">
        <v>2947</v>
      </c>
      <c r="R647" s="161" t="s">
        <v>2947</v>
      </c>
      <c r="S647" s="1278"/>
      <c r="T647" s="465" cm="1" t="str">
        <f t="array" ref="T647:T647">T646</f>
        <v>true</v>
      </c>
      <c r="U647" s="1278"/>
      <c r="V647" s="1278"/>
      <c r="W647" s="1278"/>
      <c r="X647" s="1563"/>
      <c r="Y647" s="1278"/>
      <c r="Z647" s="1546"/>
      <c r="AA647" s="1278"/>
      <c r="AB647" s="299" t="s">
        <v>2723</v>
      </c>
      <c r="AC647" s="768" t="s">
        <v>1962</v>
      </c>
      <c r="AD647" s="300" t="s">
        <v>1514</v>
      </c>
      <c r="AE647" s="7723"/>
      <c r="AF647" s="7723"/>
      <c r="AG647" s="7723"/>
      <c r="AH647" s="943">
        <f>AG647-AF647</f>
        <v>0</v>
      </c>
      <c r="AI647" s="7691"/>
      <c r="AJ647" s="7721"/>
      <c r="AK647" s="942"/>
      <c r="AL647" s="942"/>
      <c r="AM647" s="942"/>
      <c r="AN647" s="942"/>
      <c r="AO647" s="942"/>
      <c r="AP647" s="942"/>
      <c r="AQ647" s="942"/>
      <c r="AR647" s="942"/>
      <c r="AS647" s="942"/>
      <c r="AT647" s="942"/>
      <c r="AU647" s="942"/>
      <c r="AV647" s="942"/>
      <c r="AW647" s="942"/>
      <c r="AX647" s="942"/>
      <c r="AY647" s="942"/>
      <c r="AZ647" s="942"/>
      <c r="BA647" s="942"/>
      <c r="BB647" s="942"/>
      <c r="BC647" s="942"/>
      <c r="BD647" s="942"/>
      <c r="BE647" s="942"/>
      <c r="BF647" s="942"/>
      <c r="BG647" s="942"/>
      <c r="BH647" s="942"/>
      <c r="BI647" s="942"/>
      <c r="BJ647" s="942"/>
      <c r="BK647" s="942"/>
      <c r="BL647" s="942"/>
      <c r="BM647" s="942"/>
      <c r="BN647" s="7720"/>
      <c r="BO647" s="7724" t="str">
        <f>IF(_xlfn.IFERROR(INDEX(Административные!$K$26:$L$122,MATCH($F647&amp;"8komm",Административные!$K$26:$K$122,0),2),"")=0,"",_xlfn.IFERROR(INDEX(Административные!$K$26:$L$122,MATCH($F647&amp;"8komm",Административные!$K$26:$K$122,0),2),""))</f>
        <v/>
      </c>
      <c r="BP647" s="7720"/>
      <c r="BQ647" s="1278"/>
      <c r="BR647" s="1278"/>
      <c r="BS647" s="1062" t="s">
        <v>2531</v>
      </c>
      <c r="BT647" s="1064"/>
      <c r="BU647" s="1064"/>
      <c r="BV647" s="979"/>
      <c r="BW647" s="979"/>
    </row>
    <row s="1834" customFormat="1" customHeight="1" ht="14.25">
      <c r="A648" s="1278"/>
      <c r="B648" s="978"/>
      <c r="C648" s="1278"/>
      <c r="D648" s="1278"/>
      <c r="E648" s="703">
        <v>15</v>
      </c>
      <c r="F648" s="50" cm="1" t="str">
        <f t="array" ref="F648:F648">OFFSET(E648,-1,1)</f>
        <v>4</v>
      </c>
      <c r="G648" s="158" t="s">
        <v>1964</v>
      </c>
      <c r="H648" s="378"/>
      <c r="I648" s="378" t="s">
        <v>2724</v>
      </c>
      <c r="J648" s="1278"/>
      <c r="K648" s="378" t="s">
        <v>2724</v>
      </c>
      <c r="L648" s="980" t="s">
        <v>2532</v>
      </c>
      <c r="M648" s="107"/>
      <c r="N648" s="1278"/>
      <c r="O648" s="1278"/>
      <c r="P648" s="1278"/>
      <c r="Q648" s="158" t="s">
        <v>2947</v>
      </c>
      <c r="R648" s="161" t="s">
        <v>2947</v>
      </c>
      <c r="S648" s="1278"/>
      <c r="T648" s="465" cm="1" t="str">
        <f t="array" ref="T648:T648">T647</f>
        <v>true</v>
      </c>
      <c r="U648" s="1278"/>
      <c r="V648" s="1278"/>
      <c r="W648" s="1278"/>
      <c r="X648" s="1563"/>
      <c r="Y648" s="1278"/>
      <c r="Z648" s="1546"/>
      <c r="AA648" s="1278"/>
      <c r="AB648" s="299" t="s">
        <v>2725</v>
      </c>
      <c r="AC648" s="768" t="s">
        <v>1965</v>
      </c>
      <c r="AD648" s="300" t="s">
        <v>1514</v>
      </c>
      <c r="AE648" s="7723"/>
      <c r="AF648" s="7723"/>
      <c r="AG648" s="7723"/>
      <c r="AH648" s="943">
        <f>AG648-AF648</f>
        <v>0</v>
      </c>
      <c r="AI648" s="7691"/>
      <c r="AJ648" s="1354"/>
      <c r="AK648" s="942"/>
      <c r="AL648" s="942"/>
      <c r="AM648" s="942"/>
      <c r="AN648" s="942"/>
      <c r="AO648" s="942"/>
      <c r="AP648" s="942"/>
      <c r="AQ648" s="942"/>
      <c r="AR648" s="942"/>
      <c r="AS648" s="942"/>
      <c r="AT648" s="942"/>
      <c r="AU648" s="942"/>
      <c r="AV648" s="942"/>
      <c r="AW648" s="942"/>
      <c r="AX648" s="942"/>
      <c r="AY648" s="942"/>
      <c r="AZ648" s="942"/>
      <c r="BA648" s="942"/>
      <c r="BB648" s="942"/>
      <c r="BC648" s="942"/>
      <c r="BD648" s="942"/>
      <c r="BE648" s="942"/>
      <c r="BF648" s="942"/>
      <c r="BG648" s="942"/>
      <c r="BH648" s="942"/>
      <c r="BI648" s="942"/>
      <c r="BJ648" s="942"/>
      <c r="BK648" s="942"/>
      <c r="BL648" s="942"/>
      <c r="BM648" s="942"/>
      <c r="BN648" s="7720"/>
      <c r="BO648" s="7724" t="str">
        <f>IF(_xlfn.IFERROR(INDEX(Административные!$K$26:$L$122,MATCH($F648&amp;"9komm",Административные!$K$26:$K$122,0),2),"")=0,"",_xlfn.IFERROR(INDEX(Административные!$K$26:$L$122,MATCH($F648&amp;"9komm",Административные!$K$26:$K$122,0),2),""))</f>
        <v/>
      </c>
      <c r="BP648" s="7720"/>
      <c r="BQ648" s="1278"/>
      <c r="BR648" s="1278"/>
      <c r="BS648" s="1062" t="s">
        <v>2534</v>
      </c>
      <c r="BT648" s="1064"/>
      <c r="BU648" s="1064"/>
      <c r="BV648" s="979"/>
      <c r="BW648" s="979"/>
    </row>
    <row s="1834" customFormat="1" customHeight="1" ht="21.75">
      <c r="A649" s="1278"/>
      <c r="B649" s="432">
        <f>STATUS_GO="да"</f>
        <v>1</v>
      </c>
      <c r="C649" s="1278"/>
      <c r="D649" s="1278"/>
      <c r="E649" s="703">
        <v>22.5</v>
      </c>
      <c r="F649" s="50" cm="1" t="str">
        <f t="array" ref="F649:F649">OFFSET(E649,-1,1)</f>
        <v>4</v>
      </c>
      <c r="G649" s="1278"/>
      <c r="H649" s="378"/>
      <c r="I649" s="378" t="s">
        <v>1640</v>
      </c>
      <c r="J649" s="1278"/>
      <c r="K649" s="378" t="s">
        <v>1640</v>
      </c>
      <c r="L649" s="980" t="s">
        <v>336</v>
      </c>
      <c r="M649" s="107"/>
      <c r="N649" s="1278"/>
      <c r="O649" s="1278"/>
      <c r="P649" s="1278"/>
      <c r="Q649" s="158" t="s">
        <v>2947</v>
      </c>
      <c r="R649" s="161" t="s">
        <v>2947</v>
      </c>
      <c r="S649" s="1278"/>
      <c r="T649" s="465" cm="1" t="str">
        <f t="array" ref="T649:T649">T648</f>
        <v>true</v>
      </c>
      <c r="U649" s="1278"/>
      <c r="V649" s="1278"/>
      <c r="W649" s="1278"/>
      <c r="X649" s="1563"/>
      <c r="Y649" s="1278"/>
      <c r="Z649" s="1546"/>
      <c r="AA649" s="1278"/>
      <c r="AB649" s="299" t="s">
        <v>1641</v>
      </c>
      <c r="AC649" s="762" t="s">
        <v>2726</v>
      </c>
      <c r="AD649" s="300" t="s">
        <v>1514</v>
      </c>
      <c r="AE649" s="7723"/>
      <c r="AF649" s="7723"/>
      <c r="AG649" s="7723"/>
      <c r="AH649" s="943">
        <f>AG649-AF649</f>
        <v>0</v>
      </c>
      <c r="AI649" s="7691"/>
      <c r="AJ649" s="7721"/>
      <c r="AK649" s="942"/>
      <c r="AL649" s="942"/>
      <c r="AM649" s="942"/>
      <c r="AN649" s="942"/>
      <c r="AO649" s="942"/>
      <c r="AP649" s="942"/>
      <c r="AQ649" s="942"/>
      <c r="AR649" s="942"/>
      <c r="AS649" s="942"/>
      <c r="AT649" s="942"/>
      <c r="AU649" s="942"/>
      <c r="AV649" s="942"/>
      <c r="AW649" s="942"/>
      <c r="AX649" s="942"/>
      <c r="AY649" s="942"/>
      <c r="AZ649" s="942"/>
      <c r="BA649" s="942"/>
      <c r="BB649" s="942"/>
      <c r="BC649" s="942"/>
      <c r="BD649" s="942"/>
      <c r="BE649" s="942"/>
      <c r="BF649" s="942"/>
      <c r="BG649" s="942"/>
      <c r="BH649" s="942"/>
      <c r="BI649" s="942"/>
      <c r="BJ649" s="942"/>
      <c r="BK649" s="942"/>
      <c r="BL649" s="942"/>
      <c r="BM649" s="942"/>
      <c r="BN649" s="7720"/>
      <c r="BO649" s="7720"/>
      <c r="BP649" s="7720"/>
      <c r="BQ649" s="1278"/>
      <c r="BR649" s="1278"/>
      <c r="BS649" s="1063" t="s">
        <v>2536</v>
      </c>
      <c r="BT649" s="1064"/>
      <c r="BU649" s="1064"/>
      <c r="BV649" s="979"/>
      <c r="BW649" s="979"/>
    </row>
    <row s="1834" customFormat="1" customHeight="1" ht="14.25">
      <c r="A650" s="1278"/>
      <c r="B650" s="978"/>
      <c r="C650" s="1278"/>
      <c r="D650" s="1278"/>
      <c r="E650" s="703">
        <v>15</v>
      </c>
      <c r="F650" s="50" cm="1" t="str">
        <f t="array" ref="F650:F650">OFFSET(E650,-1,1)</f>
        <v>4</v>
      </c>
      <c r="G650" s="1278"/>
      <c r="H650" s="378"/>
      <c r="I650" s="378" t="s">
        <v>2475</v>
      </c>
      <c r="J650" s="1278"/>
      <c r="K650" s="378" t="s">
        <v>2475</v>
      </c>
      <c r="L650" s="980"/>
      <c r="M650" s="107"/>
      <c r="N650" s="1278"/>
      <c r="O650" s="1278"/>
      <c r="P650" s="1278"/>
      <c r="Q650" s="158" t="s">
        <v>2947</v>
      </c>
      <c r="R650" s="161" t="s">
        <v>2947</v>
      </c>
      <c r="S650" s="1278"/>
      <c r="T650" s="465" cm="1" t="str">
        <f t="array" ref="T650:T650">T649</f>
        <v>true</v>
      </c>
      <c r="U650" s="1278"/>
      <c r="V650" s="1278"/>
      <c r="W650" s="1278"/>
      <c r="X650" s="1563"/>
      <c r="Y650" s="1278"/>
      <c r="Z650" s="1546"/>
      <c r="AA650" s="1278"/>
      <c r="AB650" s="299" t="s">
        <v>2476</v>
      </c>
      <c r="AC650" s="762" t="s">
        <v>2727</v>
      </c>
      <c r="AD650" s="300" t="s">
        <v>1514</v>
      </c>
      <c r="AE650" s="7723"/>
      <c r="AF650" s="7723"/>
      <c r="AG650" s="7723"/>
      <c r="AH650" s="943">
        <f>AG650-AF650</f>
        <v>0</v>
      </c>
      <c r="AI650" s="7691"/>
      <c r="AJ650" s="7721"/>
      <c r="AK650" s="942"/>
      <c r="AL650" s="942"/>
      <c r="AM650" s="942"/>
      <c r="AN650" s="942"/>
      <c r="AO650" s="942"/>
      <c r="AP650" s="942"/>
      <c r="AQ650" s="942"/>
      <c r="AR650" s="942"/>
      <c r="AS650" s="942"/>
      <c r="AT650" s="942"/>
      <c r="AU650" s="942"/>
      <c r="AV650" s="942"/>
      <c r="AW650" s="942"/>
      <c r="AX650" s="942"/>
      <c r="AY650" s="942"/>
      <c r="AZ650" s="942"/>
      <c r="BA650" s="942"/>
      <c r="BB650" s="942"/>
      <c r="BC650" s="942"/>
      <c r="BD650" s="942"/>
      <c r="BE650" s="942"/>
      <c r="BF650" s="942"/>
      <c r="BG650" s="942"/>
      <c r="BH650" s="942"/>
      <c r="BI650" s="942"/>
      <c r="BJ650" s="942"/>
      <c r="BK650" s="942"/>
      <c r="BL650" s="942"/>
      <c r="BM650" s="942"/>
      <c r="BN650" s="7720"/>
      <c r="BO650" s="7720"/>
      <c r="BP650" s="7720"/>
      <c r="BQ650" s="1278"/>
      <c r="BR650" s="1278"/>
      <c r="BS650" s="1064" t="s">
        <v>2728</v>
      </c>
      <c r="BT650" s="1064"/>
      <c r="BU650" s="1064"/>
      <c r="BV650" s="979"/>
      <c r="BW650" s="979"/>
    </row>
    <row s="7910" customFormat="1" customHeight="1" ht="20.25">
      <c r="A651" s="700"/>
      <c r="B651" s="435"/>
      <c r="C651" s="700"/>
      <c r="D651" s="700"/>
      <c r="E651" s="707">
        <v>21</v>
      </c>
      <c r="F651" s="50" cm="1" t="str">
        <f t="array" ref="F651:F651">OFFSET(E651,-1,1)</f>
        <v>4</v>
      </c>
      <c r="G651" s="700"/>
      <c r="H651" s="378"/>
      <c r="I651" s="378" t="s">
        <v>2479</v>
      </c>
      <c r="J651" s="700"/>
      <c r="K651" s="378" t="s">
        <v>2479</v>
      </c>
      <c r="L651" s="985"/>
      <c r="M651" s="109"/>
      <c r="N651" s="700"/>
      <c r="O651" s="700"/>
      <c r="P651" s="700"/>
      <c r="Q651" s="158" t="s">
        <v>2947</v>
      </c>
      <c r="R651" s="161" t="s">
        <v>2947</v>
      </c>
      <c r="S651" s="700"/>
      <c r="T651" s="465" cm="1" t="str">
        <f t="array" ref="T651:T651">T650</f>
        <v>true</v>
      </c>
      <c r="U651" s="700"/>
      <c r="V651" s="700"/>
      <c r="W651" s="700"/>
      <c r="X651" s="1563"/>
      <c r="Y651" s="700"/>
      <c r="Z651" s="1546"/>
      <c r="AA651" s="700"/>
      <c r="AB651" s="218" t="s">
        <v>2480</v>
      </c>
      <c r="AC651" s="361" t="s">
        <v>2729</v>
      </c>
      <c r="AD651" s="211" t="s">
        <v>1514</v>
      </c>
      <c r="AE651" s="770">
        <f>SUM(AE652:AE653)</f>
        <v>0</v>
      </c>
      <c r="AF651" s="770">
        <f>SUM(AF652:AF653)</f>
        <v>0</v>
      </c>
      <c r="AG651" s="770">
        <f>SUM(AG652:AG653)</f>
        <v>0</v>
      </c>
      <c r="AH651" s="761">
        <f>AG651-AF651</f>
        <v>0</v>
      </c>
      <c r="AI651" s="7697">
        <f>SUM(AI652:AI653)</f>
        <v>0</v>
      </c>
      <c r="AJ651" s="7721"/>
      <c r="AK651" s="764"/>
      <c r="AL651" s="764"/>
      <c r="AM651" s="764"/>
      <c r="AN651" s="764"/>
      <c r="AO651" s="764"/>
      <c r="AP651" s="764"/>
      <c r="AQ651" s="764"/>
      <c r="AR651" s="764"/>
      <c r="AS651" s="764"/>
      <c r="AT651" s="942"/>
      <c r="AU651" s="942"/>
      <c r="AV651" s="764"/>
      <c r="AW651" s="764"/>
      <c r="AX651" s="764"/>
      <c r="AY651" s="764"/>
      <c r="AZ651" s="764"/>
      <c r="BA651" s="764"/>
      <c r="BB651" s="764"/>
      <c r="BC651" s="764"/>
      <c r="BD651" s="764"/>
      <c r="BE651" s="764"/>
      <c r="BF651" s="764"/>
      <c r="BG651" s="764"/>
      <c r="BH651" s="764"/>
      <c r="BI651" s="764"/>
      <c r="BJ651" s="764"/>
      <c r="BK651" s="764"/>
      <c r="BL651" s="764"/>
      <c r="BM651" s="764"/>
      <c r="BN651" s="7722"/>
      <c r="BO651" s="7722"/>
      <c r="BP651" s="7722"/>
      <c r="BQ651" s="700"/>
      <c r="BR651" s="700"/>
      <c r="BS651" s="1070" t="s">
        <v>2730</v>
      </c>
      <c r="BT651" s="1070"/>
      <c r="BU651" s="1070"/>
      <c r="BV651" s="707"/>
      <c r="BW651" s="707"/>
    </row>
    <row s="1834" customFormat="1" customHeight="1" ht="14.25" hidden="1">
      <c r="A652" s="1278"/>
      <c r="B652" s="978"/>
      <c r="C652" s="1278"/>
      <c r="D652" s="1278"/>
      <c r="E652" s="703">
        <v>15</v>
      </c>
      <c r="F652" s="50" cm="1" t="str">
        <f t="array" ref="F652:F652">OFFSET(E652,-1,1)</f>
        <v>4</v>
      </c>
      <c r="G652" s="1278"/>
      <c r="H652" s="1278"/>
      <c r="I652" s="378" t="s">
        <v>2479</v>
      </c>
      <c r="J652" s="158" cm="1" t="str">
        <f t="array" ref="J652:J652">AC652</f>
        <v>0</v>
      </c>
      <c r="K652" s="378" t="s">
        <v>2479</v>
      </c>
      <c r="L652" s="980"/>
      <c r="M652" s="107"/>
      <c r="N652" s="1278"/>
      <c r="O652" s="1278"/>
      <c r="P652" s="1278"/>
      <c r="Q652" s="158" t="s">
        <v>2947</v>
      </c>
      <c r="R652" s="161" t="s">
        <v>2947</v>
      </c>
      <c r="S652" s="1278"/>
      <c r="T652" s="465">
        <f>AND(F652&gt;0,Y652&gt;0)</f>
        <v>0</v>
      </c>
      <c r="U652" s="1278"/>
      <c r="V652" s="1278"/>
      <c r="W652" s="158" t="s">
        <v>174</v>
      </c>
      <c r="X652" s="1563"/>
      <c r="Y652" s="158">
        <v>0</v>
      </c>
      <c r="Z652" s="1546"/>
      <c r="AA652" s="420" t="s">
        <v>175</v>
      </c>
      <c r="AB652" s="300" t="str">
        <f>"1.7."&amp;Y652</f>
        <v>1.7.0</v>
      </c>
      <c r="AC652" s="1243"/>
      <c r="AD652" s="300" t="s">
        <v>1514</v>
      </c>
      <c r="AE652" s="1255"/>
      <c r="AF652" s="1255"/>
      <c r="AG652" s="1255"/>
      <c r="AH652" s="259">
        <f>AG652-AF652</f>
        <v>0</v>
      </c>
      <c r="AI652" s="7699"/>
      <c r="AJ652" s="1255"/>
      <c r="AK652" s="945"/>
      <c r="AL652" s="945"/>
      <c r="AM652" s="945"/>
      <c r="AN652" s="945"/>
      <c r="AO652" s="945"/>
      <c r="AP652" s="945"/>
      <c r="AQ652" s="945"/>
      <c r="AR652" s="945"/>
      <c r="AS652" s="945"/>
      <c r="AT652" s="942"/>
      <c r="AU652" s="945"/>
      <c r="AV652" s="945"/>
      <c r="AW652" s="945"/>
      <c r="AX652" s="945"/>
      <c r="AY652" s="945"/>
      <c r="AZ652" s="945"/>
      <c r="BA652" s="945"/>
      <c r="BB652" s="945"/>
      <c r="BC652" s="945"/>
      <c r="BD652" s="764"/>
      <c r="BE652" s="945"/>
      <c r="BF652" s="945"/>
      <c r="BG652" s="945"/>
      <c r="BH652" s="945"/>
      <c r="BI652" s="945"/>
      <c r="BJ652" s="945"/>
      <c r="BK652" s="945"/>
      <c r="BL652" s="945"/>
      <c r="BM652" s="945"/>
      <c r="BN652" s="1256"/>
      <c r="BO652" s="1256"/>
      <c r="BP652" s="1256"/>
      <c r="BQ652" s="1278"/>
      <c r="BR652" s="1278"/>
      <c r="BS652" s="1064" t="s">
        <v>2730</v>
      </c>
      <c r="BT652" s="1064" t="s">
        <v>2731</v>
      </c>
      <c r="BU652" s="1064" cm="1" t="str">
        <f t="array" ref="BU652:BU652">AC652</f>
        <v>0</v>
      </c>
      <c r="BV652" s="979"/>
      <c r="BW652" s="703" t="b">
        <v>1</v>
      </c>
    </row>
    <row s="1834" customFormat="1" customHeight="1" ht="14.25">
      <c r="A653" s="1278"/>
      <c r="B653" s="978"/>
      <c r="C653" s="1278"/>
      <c r="D653" s="1278"/>
      <c r="E653" s="703">
        <v>15</v>
      </c>
      <c r="F653" s="50" cm="1" t="str">
        <f t="array" ref="F653:F653">OFFSET(E653,-1,1)</f>
        <v>4</v>
      </c>
      <c r="G653" s="364"/>
      <c r="H653" s="1278"/>
      <c r="I653" s="1278"/>
      <c r="J653" s="158" t="s">
        <v>2732</v>
      </c>
      <c r="K653" s="1278"/>
      <c r="L653" s="980"/>
      <c r="M653" s="107"/>
      <c r="N653" s="1278"/>
      <c r="O653" s="1278"/>
      <c r="P653" s="1278"/>
      <c r="Q653" s="1278"/>
      <c r="R653" s="1278"/>
      <c r="S653" s="1278"/>
      <c r="T653" s="465">
        <f>F653&gt;0</f>
        <v>1</v>
      </c>
      <c r="U653" s="1278"/>
      <c r="V653" s="1278"/>
      <c r="W653" s="702" t="s">
        <v>2948</v>
      </c>
      <c r="X653" s="1563"/>
      <c r="Y653" s="1278"/>
      <c r="Z653" s="1546"/>
      <c r="AA653" s="1278"/>
      <c r="AB653" s="775"/>
      <c r="AC653" s="260" t="s">
        <v>178</v>
      </c>
      <c r="AD653" s="776"/>
      <c r="AE653" s="776"/>
      <c r="AF653" s="776"/>
      <c r="AG653" s="776"/>
      <c r="AH653" s="776"/>
      <c r="AI653" s="776"/>
      <c r="AJ653" s="776"/>
      <c r="AK653" s="776"/>
      <c r="AL653" s="776"/>
      <c r="AM653" s="776"/>
      <c r="AN653" s="776"/>
      <c r="AO653" s="776"/>
      <c r="AP653" s="776"/>
      <c r="AQ653" s="776"/>
      <c r="AR653" s="776"/>
      <c r="AS653" s="776"/>
      <c r="AT653" s="776"/>
      <c r="AU653" s="776"/>
      <c r="AV653" s="776"/>
      <c r="AW653" s="776"/>
      <c r="AX653" s="776"/>
      <c r="AY653" s="776"/>
      <c r="AZ653" s="776"/>
      <c r="BA653" s="776"/>
      <c r="BB653" s="776"/>
      <c r="BC653" s="776"/>
      <c r="BD653" s="776"/>
      <c r="BE653" s="776"/>
      <c r="BF653" s="776"/>
      <c r="BG653" s="776"/>
      <c r="BH653" s="776"/>
      <c r="BI653" s="776"/>
      <c r="BJ653" s="776"/>
      <c r="BK653" s="776"/>
      <c r="BL653" s="776"/>
      <c r="BM653" s="776"/>
      <c r="BN653" s="776"/>
      <c r="BO653" s="776"/>
      <c r="BP653" s="777"/>
      <c r="BQ653" s="1278"/>
      <c r="BR653" s="1278"/>
      <c r="BS653" s="1064"/>
      <c r="BT653" s="1064"/>
      <c r="BU653" s="1064"/>
      <c r="BV653" s="703" t="s">
        <v>2731</v>
      </c>
      <c r="BW653" s="979"/>
    </row>
    <row s="7952" customFormat="1" customHeight="1" ht="20.25">
      <c r="A654" s="700"/>
      <c r="B654" s="435"/>
      <c r="C654" s="700"/>
      <c r="D654" s="700"/>
      <c r="E654" s="707">
        <v>21</v>
      </c>
      <c r="F654" s="50" cm="1" t="str">
        <f t="array" ref="F654:F654">OFFSET(E654,-1,1)</f>
        <v>4</v>
      </c>
      <c r="G654" s="700"/>
      <c r="H654" s="158"/>
      <c r="I654" s="158" t="s">
        <v>333</v>
      </c>
      <c r="J654" s="700"/>
      <c r="K654" s="158" t="s">
        <v>333</v>
      </c>
      <c r="L654" s="985"/>
      <c r="M654" s="109"/>
      <c r="N654" s="700"/>
      <c r="O654" s="700"/>
      <c r="P654" s="700"/>
      <c r="Q654" s="700"/>
      <c r="R654" s="700"/>
      <c r="S654" s="700"/>
      <c r="T654" s="465" cm="1" t="str">
        <f t="array" ref="T654:T654">T653</f>
        <v>true</v>
      </c>
      <c r="U654" s="700"/>
      <c r="V654" s="700"/>
      <c r="W654" s="700"/>
      <c r="X654" s="1563"/>
      <c r="Y654" s="700"/>
      <c r="Z654" s="1546"/>
      <c r="AA654" s="700"/>
      <c r="AB654" s="247" t="s">
        <v>285</v>
      </c>
      <c r="AC654" s="212" t="s">
        <v>2733</v>
      </c>
      <c r="AD654" s="234" t="s">
        <v>1514</v>
      </c>
      <c r="AE654" s="213">
        <f>AE655+AE667+AE668++AE679+AE680+AE681+AE683+AE684+AE685+AE686+AE689</f>
        <v>0</v>
      </c>
      <c r="AF654" s="213">
        <f>AF655+AF667+AF668++AF679+AF680+AF681+AF683+AF684+AF685+AF686+AF689</f>
        <v>0</v>
      </c>
      <c r="AG654" s="213">
        <f>AG655+AG667+AG668++AG679+AG680+AG681+AG683+AG684+AG685+AG686+AG689</f>
        <v>0</v>
      </c>
      <c r="AH654" s="761">
        <f>AG654-AF654</f>
        <v>0</v>
      </c>
      <c r="AI654" s="770">
        <f>AI655+AI667+AI668++AI679+AI680+AI681+AI683+AI684+AI685+AI686+AI689</f>
        <v>0</v>
      </c>
      <c r="AJ654" s="770">
        <f>AJ655+AJ667+AJ668++AJ679+AJ680+AJ681+AJ683+AJ684+AJ685+AJ686+AJ689</f>
        <v>4675.39317234286</v>
      </c>
      <c r="AK654" s="770">
        <f>AK655+AK667+AK668++AK679+AK680+AK681+AK683+AK684+AK685+AK686+AK689</f>
        <v>4789.61019024857</v>
      </c>
      <c r="AL654" s="770">
        <f>AL655+AL667+AL668++AL679+AL680+AL681+AL683+AL684+AL685+AL686+AL689</f>
        <v>4928.82614070145</v>
      </c>
      <c r="AM654" s="770">
        <f>AM655+AM667+AM668++AM679+AM680+AM681+AM683+AM684+AM685+AM686+AM689</f>
        <v>5392.44452260047</v>
      </c>
      <c r="AN654" s="770">
        <f>AN655+AN667+AN668++AN679+AN680+AN681+AN683+AN684+AN685+AN686+AN689</f>
        <v>5453.42912959376</v>
      </c>
      <c r="AO654" s="770">
        <f>AO655+AO667+AO668++AO679+AO680+AO681+AO683+AO684+AO685+AO686+AO689</f>
        <v>0</v>
      </c>
      <c r="AP654" s="770">
        <f>AP655+AP667+AP668++AP679+AP680+AP681+AP683+AP684+AP685+AP686+AP689</f>
        <v>0</v>
      </c>
      <c r="AQ654" s="770">
        <f>AQ655+AQ667+AQ668++AQ679+AQ680+AQ681+AQ683+AQ684+AQ685+AQ686+AQ689</f>
        <v>0</v>
      </c>
      <c r="AR654" s="770">
        <f>AR655+AR667+AR668++AR679+AR680+AR681+AR683+AR684+AR685+AR686+AR689</f>
        <v>0</v>
      </c>
      <c r="AS654" s="770">
        <f>AS655+AS667+AS668++AS679+AS680+AS681+AS683+AS684+AS685+AS686+AS689</f>
        <v>0</v>
      </c>
      <c r="AT654" s="770">
        <f>AT655+AT667+AT668++AT679+AT680+AT681+AT683+AT684+AT685+AT686+AT689</f>
        <v>4675.39317234286</v>
      </c>
      <c r="AU654" s="770">
        <f>AU655+AU667+AU668++AU679+AU680+AU681+AU683+AU684+AU685+AU686+AU689</f>
        <v>4789.61019024857</v>
      </c>
      <c r="AV654" s="770">
        <f>AV655+AV667+AV668++AV679+AV680+AV681+AV683+AV684+AV685+AV686+AV689</f>
        <v>4928.82614070145</v>
      </c>
      <c r="AW654" s="770">
        <f>AW655+AW667+AW668++AW679+AW680+AW681+AW683+AW684+AW685+AW686+AW689</f>
        <v>5392.44452260047</v>
      </c>
      <c r="AX654" s="770">
        <f>AX655+AX667+AX668++AX679+AX680+AX681+AX683+AX684+AX685+AX686+AX689</f>
        <v>5453.42912959376</v>
      </c>
      <c r="AY654" s="770">
        <f>AY655+AY667+AY668++AY679+AY680+AY681+AY683+AY684+AY685+AY686+AY689</f>
        <v>0</v>
      </c>
      <c r="AZ654" s="770">
        <f>AZ655+AZ667+AZ668++AZ679+AZ680+AZ681+AZ683+AZ684+AZ685+AZ686+AZ689</f>
        <v>0</v>
      </c>
      <c r="BA654" s="770">
        <f>BA655+BA667+BA668++BA679+BA680+BA681+BA683+BA684+BA685+BA686+BA689</f>
        <v>0</v>
      </c>
      <c r="BB654" s="770">
        <f>BB655+BB667+BB668++BB679+BB680+BB681+BB683+BB684+BB685+BB686+BB689</f>
        <v>0</v>
      </c>
      <c r="BC654" s="770">
        <f>BC655+BC667+BC668++BC679+BC680+BC681+BC683+BC684+BC685+BC686+BC689</f>
        <v>0</v>
      </c>
      <c r="BD654" s="761">
        <f>IF(AI654=0,0,(AT654-AI654)/AI654*100)</f>
        <v>0</v>
      </c>
      <c r="BE654" s="761">
        <f>IF(AT654=0,0,(AU654-AT654)/AT654*100)</f>
        <v>2.44293931430957</v>
      </c>
      <c r="BF654" s="761">
        <f>IF(AU654=0,0,(AV654-AU654)/AU654*100)</f>
        <v>2.90662381536429</v>
      </c>
      <c r="BG654" s="761">
        <f>IF(AV654=0,0,(AW654-AV654)/AV654*100)</f>
        <v>9.40626365516395</v>
      </c>
      <c r="BH654" s="761">
        <f>IF(AW654=0,0,(AX654-AW654)/AW654*100)</f>
        <v>1.13092692447174</v>
      </c>
      <c r="BI654" s="761">
        <f>IF(AX654=0,0,(AY654-AX654)/AX654*100)</f>
        <v>-100</v>
      </c>
      <c r="BJ654" s="761">
        <f>IF(AY654=0,0,(AZ654-AY654)/AY654*100)</f>
        <v>0</v>
      </c>
      <c r="BK654" s="761">
        <f>IF(AZ654=0,0,(BA654-AZ654)/AZ654*100)</f>
        <v>0</v>
      </c>
      <c r="BL654" s="761">
        <f>IF(BA654=0,0,(BB654-BA654)/BA654*100)</f>
        <v>0</v>
      </c>
      <c r="BM654" s="761">
        <f>IF(BB654=0,0,(BC654-BB654)/BB654*100)</f>
        <v>0</v>
      </c>
      <c r="BN654" s="7771"/>
      <c r="BO654" s="7771"/>
      <c r="BP654" s="7771"/>
      <c r="BQ654" s="160"/>
      <c r="BR654" s="700"/>
      <c r="BS654" s="1070" t="s">
        <v>2734</v>
      </c>
      <c r="BT654" s="1070"/>
      <c r="BU654" s="1070"/>
      <c r="BV654" s="707"/>
      <c r="BW654" s="707"/>
    </row>
    <row s="7953" customFormat="1" customHeight="1" ht="21.75">
      <c r="A655" s="700"/>
      <c r="B655" s="435"/>
      <c r="C655" s="700"/>
      <c r="D655" s="700"/>
      <c r="E655" s="707">
        <v>22.5</v>
      </c>
      <c r="F655" s="50" cm="1" t="str">
        <f t="array" ref="F655:F655">OFFSET(E655,-1,1)</f>
        <v>4</v>
      </c>
      <c r="G655" s="700"/>
      <c r="H655" s="158"/>
      <c r="I655" s="158" t="s">
        <v>1193</v>
      </c>
      <c r="J655" s="700"/>
      <c r="K655" s="158" t="s">
        <v>1193</v>
      </c>
      <c r="L655" s="985" t="s">
        <v>1179</v>
      </c>
      <c r="M655" s="109"/>
      <c r="N655" s="700"/>
      <c r="O655" s="700"/>
      <c r="P655" s="700"/>
      <c r="Q655" s="700"/>
      <c r="R655" s="700"/>
      <c r="S655" s="700"/>
      <c r="T655" s="465" cm="1" t="str">
        <f t="array" ref="T655:T655">T654</f>
        <v>true</v>
      </c>
      <c r="U655" s="700"/>
      <c r="V655" s="700"/>
      <c r="W655" s="700"/>
      <c r="X655" s="1563"/>
      <c r="Y655" s="700"/>
      <c r="Z655" s="1546"/>
      <c r="AA655" s="700"/>
      <c r="AB655" s="218" t="s">
        <v>1250</v>
      </c>
      <c r="AC655" s="361" t="s">
        <v>2735</v>
      </c>
      <c r="AD655" s="211" t="s">
        <v>1514</v>
      </c>
      <c r="AE655" s="213">
        <f>SUM(AE656:AE666)</f>
        <v>0</v>
      </c>
      <c r="AF655" s="213">
        <f>SUM(AF656:AF666)</f>
        <v>0</v>
      </c>
      <c r="AG655" s="213">
        <f>SUM(AG656:AG666)</f>
        <v>0</v>
      </c>
      <c r="AH655" s="761">
        <f>AG655-AF655</f>
        <v>0</v>
      </c>
      <c r="AI655" s="213">
        <f>SUM(AI656:AI666)</f>
        <v>0</v>
      </c>
      <c r="AJ655" s="213">
        <f>SUM(AJ656:AJ666)</f>
        <v>0</v>
      </c>
      <c r="AK655" s="213">
        <f>SUM(AK656:AK666)</f>
        <v>0</v>
      </c>
      <c r="AL655" s="213">
        <f>SUM(AL656:AL666)</f>
        <v>0</v>
      </c>
      <c r="AM655" s="213">
        <f>SUM(AM656:AM666)</f>
        <v>0</v>
      </c>
      <c r="AN655" s="213">
        <f>SUM(AN656:AN666)</f>
        <v>0</v>
      </c>
      <c r="AO655" s="213">
        <f>SUM(AO656:AO666)</f>
        <v>0</v>
      </c>
      <c r="AP655" s="213">
        <f>SUM(AP656:AP666)</f>
        <v>0</v>
      </c>
      <c r="AQ655" s="213">
        <f>SUM(AQ656:AQ666)</f>
        <v>0</v>
      </c>
      <c r="AR655" s="213">
        <f>SUM(AR656:AR666)</f>
        <v>0</v>
      </c>
      <c r="AS655" s="213">
        <f>SUM(AS656:AS666)</f>
        <v>0</v>
      </c>
      <c r="AT655" s="213">
        <f>SUM(AT656:AT666)</f>
        <v>0</v>
      </c>
      <c r="AU655" s="213">
        <f>SUM(AU656:AU666)</f>
        <v>0</v>
      </c>
      <c r="AV655" s="213">
        <f>SUM(AV656:AV666)</f>
        <v>0</v>
      </c>
      <c r="AW655" s="213">
        <f>SUM(AW656:AW666)</f>
        <v>0</v>
      </c>
      <c r="AX655" s="213">
        <f>SUM(AX656:AX666)</f>
        <v>0</v>
      </c>
      <c r="AY655" s="213">
        <f>SUM(AY656:AY666)</f>
        <v>0</v>
      </c>
      <c r="AZ655" s="213">
        <f>SUM(AZ656:AZ666)</f>
        <v>0</v>
      </c>
      <c r="BA655" s="213">
        <f>SUM(BA656:BA666)</f>
        <v>0</v>
      </c>
      <c r="BB655" s="213">
        <f>SUM(BB656:BB666)</f>
        <v>0</v>
      </c>
      <c r="BC655" s="213">
        <f>SUM(BC656:BC666)</f>
        <v>0</v>
      </c>
      <c r="BD655" s="761">
        <f>IF(AI655=0,0,(AT655-AI655)/AI655*100)</f>
        <v>0</v>
      </c>
      <c r="BE655" s="761">
        <f>IF(AT655=0,0,(AU655-AT655)/AT655*100)</f>
        <v>0</v>
      </c>
      <c r="BF655" s="761">
        <f>IF(AU655=0,0,(AV655-AU655)/AU655*100)</f>
        <v>0</v>
      </c>
      <c r="BG655" s="761">
        <f>IF(AV655=0,0,(AW655-AV655)/AV655*100)</f>
        <v>0</v>
      </c>
      <c r="BH655" s="761">
        <f>IF(AW655=0,0,(AX655-AW655)/AW655*100)</f>
        <v>0</v>
      </c>
      <c r="BI655" s="761">
        <f>IF(AX655=0,0,(AY655-AX655)/AX655*100)</f>
        <v>0</v>
      </c>
      <c r="BJ655" s="761">
        <f>IF(AY655=0,0,(AZ655-AY655)/AY655*100)</f>
        <v>0</v>
      </c>
      <c r="BK655" s="761">
        <f>IF(AZ655=0,0,(BA655-AZ655)/AZ655*100)</f>
        <v>0</v>
      </c>
      <c r="BL655" s="761">
        <f>IF(BA655=0,0,(BB655-BA655)/BA655*100)</f>
        <v>0</v>
      </c>
      <c r="BM655" s="761">
        <f>IF(BB655=0,0,(BC655-BB655)/BB655*100)</f>
        <v>0</v>
      </c>
      <c r="BN655" s="7436"/>
      <c r="BO655" s="7436"/>
      <c r="BP655" s="7436"/>
      <c r="BQ655" s="700"/>
      <c r="BR655" s="700"/>
      <c r="BS655" s="1070" t="s">
        <v>2736</v>
      </c>
      <c r="BT655" s="1070"/>
      <c r="BU655" s="1070"/>
      <c r="BV655" s="707"/>
      <c r="BW655" s="707"/>
    </row>
    <row s="1834" customFormat="1" customHeight="1" ht="14.25">
      <c r="A656" s="1278"/>
      <c r="B656" s="978"/>
      <c r="C656" s="1278"/>
      <c r="D656" s="1278"/>
      <c r="E656" s="703">
        <v>15</v>
      </c>
      <c r="F656" s="50" cm="1" t="str">
        <f t="array" ref="F656:F656">OFFSET(E656,-1,1)</f>
        <v>4</v>
      </c>
      <c r="G656" s="158" t="s">
        <v>1819</v>
      </c>
      <c r="H656" s="1278"/>
      <c r="I656" s="158" t="s">
        <v>2295</v>
      </c>
      <c r="J656" s="1278"/>
      <c r="K656" s="158" t="s">
        <v>2295</v>
      </c>
      <c r="L656" s="980" t="s">
        <v>2071</v>
      </c>
      <c r="M656" s="107"/>
      <c r="N656" s="1278"/>
      <c r="O656" s="1278"/>
      <c r="P656" s="1278"/>
      <c r="Q656" s="1278"/>
      <c r="R656" s="1278"/>
      <c r="S656" s="1278"/>
      <c r="T656" s="465" cm="1" t="str">
        <f t="array" ref="T656:T656">T655</f>
        <v>true</v>
      </c>
      <c r="U656" s="1278"/>
      <c r="V656" s="1278"/>
      <c r="W656" s="1278"/>
      <c r="X656" s="1563"/>
      <c r="Y656" s="1278"/>
      <c r="Z656" s="1546"/>
      <c r="AA656" s="1278"/>
      <c r="AB656" s="299" t="s">
        <v>1201</v>
      </c>
      <c r="AC656" s="765" t="s">
        <v>2737</v>
      </c>
      <c r="AD656" s="300" t="s">
        <v>1514</v>
      </c>
      <c r="AE656" s="259">
        <f>_xlfn.SUMIFS(Покупка!AE$25:AE$372,Покупка!$F$25:$F$372,$F656,Покупка!$AC$25:$AC$372,$G656)</f>
        <v>0</v>
      </c>
      <c r="AF656" s="259">
        <f>_xlfn.SUMIFS(Покупка!AF$25:AF$372,Покупка!$F$25:$F$372,$F656,Покупка!$AC$25:$AC$372,$G656)</f>
        <v>0</v>
      </c>
      <c r="AG656" s="259">
        <f>_xlfn.SUMIFS(Покупка!AG$25:AG$372,Покупка!$F$25:$F$372,$F656,Покупка!$AC$25:$AC$372,$G656)</f>
        <v>0</v>
      </c>
      <c r="AH656" s="943">
        <f>AG656-AF656</f>
        <v>0</v>
      </c>
      <c r="AI656" s="943">
        <f>_xlfn.SUMIFS(Покупка!AH$25:AH$372,Покупка!$F$25:$F$372,$F656,Покупка!$AC$25:$AC$372,$G656)</f>
        <v>0</v>
      </c>
      <c r="AJ656" s="943">
        <f>_xlfn.SUMIFS(Покупка!AI$25:AI$372,Покупка!$F$25:$F$372,$F656,Покупка!$AC$25:$AC$372,$G656)</f>
        <v>0</v>
      </c>
      <c r="AK656" s="943">
        <f>_xlfn.SUMIFS(Покупка!AJ$25:AJ$372,Покупка!$F$25:$F$372,$F656,Покупка!$AC$25:$AC$372,$G656)</f>
        <v>0</v>
      </c>
      <c r="AL656" s="943">
        <f>_xlfn.SUMIFS(Покупка!AK$25:AK$372,Покупка!$F$25:$F$372,$F656,Покупка!$AC$25:$AC$372,$G656)</f>
        <v>0</v>
      </c>
      <c r="AM656" s="943">
        <f>_xlfn.SUMIFS(Покупка!AL$25:AL$372,Покупка!$F$25:$F$372,$F656,Покупка!$AC$25:$AC$372,$G656)</f>
        <v>0</v>
      </c>
      <c r="AN656" s="943">
        <f>_xlfn.SUMIFS(Покупка!AM$25:AM$372,Покупка!$F$25:$F$372,$F656,Покупка!$AC$25:$AC$372,$G656)</f>
        <v>0</v>
      </c>
      <c r="AO656" s="943">
        <f>_xlfn.SUMIFS(Покупка!AN$25:AN$372,Покупка!$F$25:$F$372,$F656,Покупка!$AC$25:$AC$372,$G656)</f>
        <v>0</v>
      </c>
      <c r="AP656" s="943">
        <f>_xlfn.SUMIFS(Покупка!AO$25:AO$372,Покупка!$F$25:$F$372,$F656,Покупка!$AC$25:$AC$372,$G656)</f>
        <v>0</v>
      </c>
      <c r="AQ656" s="943">
        <f>_xlfn.SUMIFS(Покупка!AP$25:AP$372,Покупка!$F$25:$F$372,$F656,Покупка!$AC$25:$AC$372,$G656)</f>
        <v>0</v>
      </c>
      <c r="AR656" s="943">
        <f>_xlfn.SUMIFS(Покупка!AQ$25:AQ$372,Покупка!$F$25:$F$372,$F656,Покупка!$AC$25:$AC$372,$G656)</f>
        <v>0</v>
      </c>
      <c r="AS656" s="943">
        <f>_xlfn.SUMIFS(Покупка!AR$25:AR$372,Покупка!$F$25:$F$372,$F656,Покупка!$AC$25:$AC$372,$G656)</f>
        <v>0</v>
      </c>
      <c r="AT656" s="943">
        <f>_xlfn.SUMIFS(Покупка!AS$25:AS$372,Покупка!$F$25:$F$372,$F656,Покупка!$AC$25:$AC$372,$G656)</f>
        <v>0</v>
      </c>
      <c r="AU656" s="943">
        <f>_xlfn.SUMIFS(Покупка!AT$25:AT$372,Покупка!$F$25:$F$372,$F656,Покупка!$AC$25:$AC$372,$G656)</f>
        <v>0</v>
      </c>
      <c r="AV656" s="943">
        <f>_xlfn.SUMIFS(Покупка!AU$25:AU$372,Покупка!$F$25:$F$372,$F656,Покупка!$AC$25:$AC$372,$G656)</f>
        <v>0</v>
      </c>
      <c r="AW656" s="943">
        <f>_xlfn.SUMIFS(Покупка!AV$25:AV$372,Покупка!$F$25:$F$372,$F656,Покупка!$AC$25:$AC$372,$G656)</f>
        <v>0</v>
      </c>
      <c r="AX656" s="943">
        <f>_xlfn.SUMIFS(Покупка!AW$25:AW$372,Покупка!$F$25:$F$372,$F656,Покупка!$AC$25:$AC$372,$G656)</f>
        <v>0</v>
      </c>
      <c r="AY656" s="943">
        <f>_xlfn.SUMIFS(Покупка!AX$25:AX$372,Покупка!$F$25:$F$372,$F656,Покупка!$AC$25:$AC$372,$G656)</f>
        <v>0</v>
      </c>
      <c r="AZ656" s="943">
        <f>_xlfn.SUMIFS(Покупка!AY$25:AY$372,Покупка!$F$25:$F$372,$F656,Покупка!$AC$25:$AC$372,$G656)</f>
        <v>0</v>
      </c>
      <c r="BA656" s="943">
        <f>_xlfn.SUMIFS(Покупка!AZ$25:AZ$372,Покупка!$F$25:$F$372,$F656,Покупка!$AC$25:$AC$372,$G656)</f>
        <v>0</v>
      </c>
      <c r="BB656" s="943">
        <f>_xlfn.SUMIFS(Покупка!BA$25:BA$372,Покупка!$F$25:$F$372,$F656,Покупка!$AC$25:$AC$372,$G656)</f>
        <v>0</v>
      </c>
      <c r="BC656" s="943">
        <f>_xlfn.SUMIFS(Покупка!BB$25:BB$372,Покупка!$F$25:$F$372,$F656,Покупка!$AC$25:$AC$372,$G656)</f>
        <v>0</v>
      </c>
      <c r="BD656" s="943">
        <f>IF(AI656=0,0,(AT656-AI656)/AI656*100)</f>
        <v>0</v>
      </c>
      <c r="BE656" s="943">
        <f>IF(AT656=0,0,(AU656-AT656)/AT656*100)</f>
        <v>0</v>
      </c>
      <c r="BF656" s="943">
        <f>IF(AU656=0,0,(AV656-AU656)/AU656*100)</f>
        <v>0</v>
      </c>
      <c r="BG656" s="943">
        <f>IF(AV656=0,0,(AW656-AV656)/AV656*100)</f>
        <v>0</v>
      </c>
      <c r="BH656" s="943">
        <f>IF(AW656=0,0,(AX656-AW656)/AW656*100)</f>
        <v>0</v>
      </c>
      <c r="BI656" s="943">
        <f>IF(AX656=0,0,(AY656-AX656)/AX656*100)</f>
        <v>0</v>
      </c>
      <c r="BJ656" s="943">
        <f>IF(AY656=0,0,(AZ656-AY656)/AY656*100)</f>
        <v>0</v>
      </c>
      <c r="BK656" s="943">
        <f>IF(AZ656=0,0,(BA656-AZ656)/AZ656*100)</f>
        <v>0</v>
      </c>
      <c r="BL656" s="943">
        <f>IF(BA656=0,0,(BB656-BA656)/BA656*100)</f>
        <v>0</v>
      </c>
      <c r="BM656" s="943">
        <f>IF(BB656=0,0,(BC656-BB656)/BB656*100)</f>
        <v>0</v>
      </c>
      <c r="BN656" s="7771"/>
      <c r="BO656" s="7724" t="str">
        <f>IF(_xlfn.IFERROR(INDEX(Покупка!$K$26:$L$372,MATCH($F656&amp;"6komm",Покупка!$K$26:$K$372,0),2),"")=0,"",_xlfn.IFERROR(INDEX(Покупка!$K$26:$L$372,MATCH($F656&amp;"6komm",Покупка!$K$26:$K$372,0),2),""))</f>
        <v/>
      </c>
      <c r="BP656" s="7771"/>
      <c r="BQ656" s="1278"/>
      <c r="BR656" s="1278"/>
      <c r="BS656" s="1064" t="s">
        <v>1820</v>
      </c>
      <c r="BT656" s="1064"/>
      <c r="BU656" s="1064"/>
      <c r="BV656" s="979"/>
      <c r="BW656" s="979"/>
    </row>
    <row s="1834" customFormat="1" customHeight="1" ht="14.25">
      <c r="A657" s="1278"/>
      <c r="B657" s="96"/>
      <c r="C657" s="107"/>
      <c r="D657" s="107"/>
      <c r="E657" s="621">
        <v>15</v>
      </c>
      <c r="F657" s="50" cm="1" t="str">
        <f t="array" ref="F657:F657">OFFSET(E657,-1,1)</f>
        <v>4</v>
      </c>
      <c r="G657" s="107" t="s">
        <v>1841</v>
      </c>
      <c r="H657" s="107"/>
      <c r="I657" s="107" t="s">
        <v>2299</v>
      </c>
      <c r="J657" s="107"/>
      <c r="K657" s="107" t="s">
        <v>2299</v>
      </c>
      <c r="L657" s="980" t="s">
        <v>2075</v>
      </c>
      <c r="M657" s="107"/>
      <c r="N657" s="107"/>
      <c r="O657" s="107"/>
      <c r="P657" s="107"/>
      <c r="Q657" s="107"/>
      <c r="R657" s="107"/>
      <c r="S657" s="107"/>
      <c r="T657" s="465" cm="1" t="str">
        <f t="array" ref="T657:T657">T656</f>
        <v>true</v>
      </c>
      <c r="U657" s="107"/>
      <c r="V657" s="107"/>
      <c r="W657" s="1278"/>
      <c r="X657" s="1563"/>
      <c r="Y657" s="1278"/>
      <c r="Z657" s="1546"/>
      <c r="AA657" s="1278"/>
      <c r="AB657" s="299" t="s">
        <v>2738</v>
      </c>
      <c r="AC657" s="765" t="s">
        <v>2739</v>
      </c>
      <c r="AD657" s="300" t="s">
        <v>1514</v>
      </c>
      <c r="AE657" s="259">
        <f>_xlfn.SUMIFS(Покупка!AE$25:AE$372,Покупка!$F$25:$F$372,$F657,Покупка!$AC$25:$AC$372,$G657)</f>
        <v>0</v>
      </c>
      <c r="AF657" s="259">
        <f>_xlfn.SUMIFS(Покупка!AF$25:AF$372,Покупка!$F$25:$F$372,$F657,Покупка!$AC$25:$AC$372,$G657)</f>
        <v>0</v>
      </c>
      <c r="AG657" s="259">
        <f>_xlfn.SUMIFS(Покупка!AG$25:AG$372,Покупка!$F$25:$F$372,$F657,Покупка!$AC$25:$AC$372,$G657)</f>
        <v>0</v>
      </c>
      <c r="AH657" s="943">
        <f>AG657-AF657</f>
        <v>0</v>
      </c>
      <c r="AI657" s="943">
        <f>_xlfn.SUMIFS(Покупка!AH$25:AH$372,Покупка!$F$25:$F$372,$F657,Покупка!$AC$25:$AC$372,$G657)</f>
        <v>0</v>
      </c>
      <c r="AJ657" s="943">
        <f>_xlfn.SUMIFS(Покупка!AI$25:AI$372,Покупка!$F$25:$F$372,$F657,Покупка!$AC$25:$AC$372,$G657)</f>
        <v>0</v>
      </c>
      <c r="AK657" s="943">
        <f>_xlfn.SUMIFS(Покупка!AJ$25:AJ$372,Покупка!$F$25:$F$372,$F657,Покупка!$AC$25:$AC$372,$G657)</f>
        <v>0</v>
      </c>
      <c r="AL657" s="943">
        <f>_xlfn.SUMIFS(Покупка!AK$25:AK$372,Покупка!$F$25:$F$372,$F657,Покупка!$AC$25:$AC$372,$G657)</f>
        <v>0</v>
      </c>
      <c r="AM657" s="943">
        <f>_xlfn.SUMIFS(Покупка!AL$25:AL$372,Покупка!$F$25:$F$372,$F657,Покупка!$AC$25:$AC$372,$G657)</f>
        <v>0</v>
      </c>
      <c r="AN657" s="943">
        <f>_xlfn.SUMIFS(Покупка!AM$25:AM$372,Покупка!$F$25:$F$372,$F657,Покупка!$AC$25:$AC$372,$G657)</f>
        <v>0</v>
      </c>
      <c r="AO657" s="943">
        <f>_xlfn.SUMIFS(Покупка!AN$25:AN$372,Покупка!$F$25:$F$372,$F657,Покупка!$AC$25:$AC$372,$G657)</f>
        <v>0</v>
      </c>
      <c r="AP657" s="943">
        <f>_xlfn.SUMIFS(Покупка!AO$25:AO$372,Покупка!$F$25:$F$372,$F657,Покупка!$AC$25:$AC$372,$G657)</f>
        <v>0</v>
      </c>
      <c r="AQ657" s="943">
        <f>_xlfn.SUMIFS(Покупка!AP$25:AP$372,Покупка!$F$25:$F$372,$F657,Покупка!$AC$25:$AC$372,$G657)</f>
        <v>0</v>
      </c>
      <c r="AR657" s="943">
        <f>_xlfn.SUMIFS(Покупка!AQ$25:AQ$372,Покупка!$F$25:$F$372,$F657,Покупка!$AC$25:$AC$372,$G657)</f>
        <v>0</v>
      </c>
      <c r="AS657" s="943">
        <f>_xlfn.SUMIFS(Покупка!AR$25:AR$372,Покупка!$F$25:$F$372,$F657,Покупка!$AC$25:$AC$372,$G657)</f>
        <v>0</v>
      </c>
      <c r="AT657" s="943">
        <f>_xlfn.SUMIFS(Покупка!AS$25:AS$372,Покупка!$F$25:$F$372,$F657,Покупка!$AC$25:$AC$372,$G657)</f>
        <v>0</v>
      </c>
      <c r="AU657" s="943">
        <f>_xlfn.SUMIFS(Покупка!AT$25:AT$372,Покупка!$F$25:$F$372,$F657,Покупка!$AC$25:$AC$372,$G657)</f>
        <v>0</v>
      </c>
      <c r="AV657" s="943">
        <f>_xlfn.SUMIFS(Покупка!AU$25:AU$372,Покупка!$F$25:$F$372,$F657,Покупка!$AC$25:$AC$372,$G657)</f>
        <v>0</v>
      </c>
      <c r="AW657" s="943">
        <f>_xlfn.SUMIFS(Покупка!AV$25:AV$372,Покупка!$F$25:$F$372,$F657,Покупка!$AC$25:$AC$372,$G657)</f>
        <v>0</v>
      </c>
      <c r="AX657" s="943">
        <f>_xlfn.SUMIFS(Покупка!AW$25:AW$372,Покупка!$F$25:$F$372,$F657,Покупка!$AC$25:$AC$372,$G657)</f>
        <v>0</v>
      </c>
      <c r="AY657" s="943">
        <f>_xlfn.SUMIFS(Покупка!AX$25:AX$372,Покупка!$F$25:$F$372,$F657,Покупка!$AC$25:$AC$372,$G657)</f>
        <v>0</v>
      </c>
      <c r="AZ657" s="943">
        <f>_xlfn.SUMIFS(Покупка!AY$25:AY$372,Покупка!$F$25:$F$372,$F657,Покупка!$AC$25:$AC$372,$G657)</f>
        <v>0</v>
      </c>
      <c r="BA657" s="943">
        <f>_xlfn.SUMIFS(Покупка!AZ$25:AZ$372,Покупка!$F$25:$F$372,$F657,Покупка!$AC$25:$AC$372,$G657)</f>
        <v>0</v>
      </c>
      <c r="BB657" s="943">
        <f>_xlfn.SUMIFS(Покупка!BA$25:BA$372,Покупка!$F$25:$F$372,$F657,Покупка!$AC$25:$AC$372,$G657)</f>
        <v>0</v>
      </c>
      <c r="BC657" s="943">
        <f>_xlfn.SUMIFS(Покупка!BB$25:BB$372,Покупка!$F$25:$F$372,$F657,Покупка!$AC$25:$AC$372,$G657)</f>
        <v>0</v>
      </c>
      <c r="BD657" s="943">
        <f>IF(AI657=0,0,(AT657-AI657)/AI657*100)</f>
        <v>0</v>
      </c>
      <c r="BE657" s="943">
        <f>IF(AT657=0,0,(AU657-AT657)/AT657*100)</f>
        <v>0</v>
      </c>
      <c r="BF657" s="943">
        <f>IF(AU657=0,0,(AV657-AU657)/AU657*100)</f>
        <v>0</v>
      </c>
      <c r="BG657" s="943">
        <f>IF(AV657=0,0,(AW657-AV657)/AV657*100)</f>
        <v>0</v>
      </c>
      <c r="BH657" s="943">
        <f>IF(AW657=0,0,(AX657-AW657)/AW657*100)</f>
        <v>0</v>
      </c>
      <c r="BI657" s="943">
        <f>IF(AX657=0,0,(AY657-AX657)/AX657*100)</f>
        <v>0</v>
      </c>
      <c r="BJ657" s="943">
        <f>IF(AY657=0,0,(AZ657-AY657)/AY657*100)</f>
        <v>0</v>
      </c>
      <c r="BK657" s="943">
        <f>IF(AZ657=0,0,(BA657-AZ657)/AZ657*100)</f>
        <v>0</v>
      </c>
      <c r="BL657" s="943">
        <f>IF(BA657=0,0,(BB657-BA657)/BA657*100)</f>
        <v>0</v>
      </c>
      <c r="BM657" s="943">
        <f>IF(BB657=0,0,(BC657-BB657)/BB657*100)</f>
        <v>0</v>
      </c>
      <c r="BN657" s="7771"/>
      <c r="BO657" s="7724" t="str">
        <f>IF(_xlfn.IFERROR(INDEX(Покупка!$K$26:$L$372,MATCH($F657&amp;"7komm",Покупка!$K$26:$K$372,0),2),"")=0,"",_xlfn.IFERROR(INDEX(Покупка!$K$26:$L$372,MATCH($F657&amp;"7komm",Покупка!$K$26:$K$372,0),2),""))</f>
        <v/>
      </c>
      <c r="BP657" s="7771"/>
      <c r="BQ657" s="1278"/>
      <c r="BR657" s="1278"/>
      <c r="BS657" s="1064" t="s">
        <v>1842</v>
      </c>
      <c r="BT657" s="1064"/>
      <c r="BU657" s="1064"/>
      <c r="BV657" s="979"/>
      <c r="BW657" s="979"/>
    </row>
    <row s="1834" customFormat="1" customHeight="1" ht="14.25">
      <c r="A658" s="1278"/>
      <c r="B658" s="96"/>
      <c r="C658" s="107"/>
      <c r="D658" s="107"/>
      <c r="E658" s="621">
        <v>15</v>
      </c>
      <c r="F658" s="50" cm="1" t="str">
        <f t="array" ref="F658:F658">OFFSET(E658,-1,1)</f>
        <v>4</v>
      </c>
      <c r="G658" s="107" t="s">
        <v>1793</v>
      </c>
      <c r="H658" s="107"/>
      <c r="I658" s="107" t="s">
        <v>2374</v>
      </c>
      <c r="J658" s="107"/>
      <c r="K658" s="107" t="s">
        <v>2374</v>
      </c>
      <c r="L658" s="980" t="s">
        <v>2244</v>
      </c>
      <c r="M658" s="107"/>
      <c r="N658" s="107"/>
      <c r="O658" s="107"/>
      <c r="P658" s="107"/>
      <c r="Q658" s="107"/>
      <c r="R658" s="107"/>
      <c r="S658" s="107"/>
      <c r="T658" s="465" cm="1" t="str">
        <f t="array" ref="T658:T658">T657</f>
        <v>true</v>
      </c>
      <c r="U658" s="107"/>
      <c r="V658" s="107"/>
      <c r="W658" s="1278"/>
      <c r="X658" s="1563"/>
      <c r="Y658" s="1278"/>
      <c r="Z658" s="1546"/>
      <c r="AA658" s="1278"/>
      <c r="AB658" s="299" t="s">
        <v>2740</v>
      </c>
      <c r="AC658" s="765" t="s">
        <v>2741</v>
      </c>
      <c r="AD658" s="300" t="s">
        <v>1514</v>
      </c>
      <c r="AE658" s="259">
        <f>_xlfn.SUMIFS(Покупка!AE$25:AE$372,Покупка!$F$25:$F$372,$F658,Покупка!$AC$25:$AC$372,$G658)</f>
        <v>0</v>
      </c>
      <c r="AF658" s="259">
        <f>_xlfn.SUMIFS(Покупка!AF$25:AF$372,Покупка!$F$25:$F$372,$F658,Покупка!$AC$25:$AC$372,$G658)</f>
        <v>0</v>
      </c>
      <c r="AG658" s="259">
        <f>_xlfn.SUMIFS(Покупка!AG$25:AG$372,Покупка!$F$25:$F$372,$F658,Покупка!$AC$25:$AC$372,$G658)</f>
        <v>0</v>
      </c>
      <c r="AH658" s="943">
        <f>AG658-AF658</f>
        <v>0</v>
      </c>
      <c r="AI658" s="943">
        <f>_xlfn.SUMIFS(Покупка!AH$25:AH$372,Покупка!$F$25:$F$372,$F658,Покупка!$AC$25:$AC$372,$G658)</f>
        <v>0</v>
      </c>
      <c r="AJ658" s="943">
        <f>_xlfn.SUMIFS(Покупка!AI$25:AI$372,Покупка!$F$25:$F$372,$F658,Покупка!$AC$25:$AC$372,$G658)</f>
        <v>0</v>
      </c>
      <c r="AK658" s="943">
        <f>_xlfn.SUMIFS(Покупка!AJ$25:AJ$372,Покупка!$F$25:$F$372,$F658,Покупка!$AC$25:$AC$372,$G658)</f>
        <v>0</v>
      </c>
      <c r="AL658" s="943">
        <f>_xlfn.SUMIFS(Покупка!AK$25:AK$372,Покупка!$F$25:$F$372,$F658,Покупка!$AC$25:$AC$372,$G658)</f>
        <v>0</v>
      </c>
      <c r="AM658" s="943">
        <f>_xlfn.SUMIFS(Покупка!AL$25:AL$372,Покупка!$F$25:$F$372,$F658,Покупка!$AC$25:$AC$372,$G658)</f>
        <v>0</v>
      </c>
      <c r="AN658" s="943">
        <f>_xlfn.SUMIFS(Покупка!AM$25:AM$372,Покупка!$F$25:$F$372,$F658,Покупка!$AC$25:$AC$372,$G658)</f>
        <v>0</v>
      </c>
      <c r="AO658" s="943">
        <f>_xlfn.SUMIFS(Покупка!AN$25:AN$372,Покупка!$F$25:$F$372,$F658,Покупка!$AC$25:$AC$372,$G658)</f>
        <v>0</v>
      </c>
      <c r="AP658" s="943">
        <f>_xlfn.SUMIFS(Покупка!AO$25:AO$372,Покупка!$F$25:$F$372,$F658,Покупка!$AC$25:$AC$372,$G658)</f>
        <v>0</v>
      </c>
      <c r="AQ658" s="943">
        <f>_xlfn.SUMIFS(Покупка!AP$25:AP$372,Покупка!$F$25:$F$372,$F658,Покупка!$AC$25:$AC$372,$G658)</f>
        <v>0</v>
      </c>
      <c r="AR658" s="943">
        <f>_xlfn.SUMIFS(Покупка!AQ$25:AQ$372,Покупка!$F$25:$F$372,$F658,Покупка!$AC$25:$AC$372,$G658)</f>
        <v>0</v>
      </c>
      <c r="AS658" s="943">
        <f>_xlfn.SUMIFS(Покупка!AR$25:AR$372,Покупка!$F$25:$F$372,$F658,Покупка!$AC$25:$AC$372,$G658)</f>
        <v>0</v>
      </c>
      <c r="AT658" s="943">
        <f>_xlfn.SUMIFS(Покупка!AS$25:AS$372,Покупка!$F$25:$F$372,$F658,Покупка!$AC$25:$AC$372,$G658)</f>
        <v>0</v>
      </c>
      <c r="AU658" s="943">
        <f>_xlfn.SUMIFS(Покупка!AT$25:AT$372,Покупка!$F$25:$F$372,$F658,Покупка!$AC$25:$AC$372,$G658)</f>
        <v>0</v>
      </c>
      <c r="AV658" s="943">
        <f>_xlfn.SUMIFS(Покупка!AU$25:AU$372,Покупка!$F$25:$F$372,$F658,Покупка!$AC$25:$AC$372,$G658)</f>
        <v>0</v>
      </c>
      <c r="AW658" s="943">
        <f>_xlfn.SUMIFS(Покупка!AV$25:AV$372,Покупка!$F$25:$F$372,$F658,Покупка!$AC$25:$AC$372,$G658)</f>
        <v>0</v>
      </c>
      <c r="AX658" s="943">
        <f>_xlfn.SUMIFS(Покупка!AW$25:AW$372,Покупка!$F$25:$F$372,$F658,Покупка!$AC$25:$AC$372,$G658)</f>
        <v>0</v>
      </c>
      <c r="AY658" s="943">
        <f>_xlfn.SUMIFS(Покупка!AX$25:AX$372,Покупка!$F$25:$F$372,$F658,Покупка!$AC$25:$AC$372,$G658)</f>
        <v>0</v>
      </c>
      <c r="AZ658" s="943">
        <f>_xlfn.SUMIFS(Покупка!AY$25:AY$372,Покупка!$F$25:$F$372,$F658,Покупка!$AC$25:$AC$372,$G658)</f>
        <v>0</v>
      </c>
      <c r="BA658" s="943">
        <f>_xlfn.SUMIFS(Покупка!AZ$25:AZ$372,Покупка!$F$25:$F$372,$F658,Покупка!$AC$25:$AC$372,$G658)</f>
        <v>0</v>
      </c>
      <c r="BB658" s="943">
        <f>_xlfn.SUMIFS(Покупка!BA$25:BA$372,Покупка!$F$25:$F$372,$F658,Покупка!$AC$25:$AC$372,$G658)</f>
        <v>0</v>
      </c>
      <c r="BC658" s="943">
        <f>_xlfn.SUMIFS(Покупка!BB$25:BB$372,Покупка!$F$25:$F$372,$F658,Покупка!$AC$25:$AC$372,$G658)</f>
        <v>0</v>
      </c>
      <c r="BD658" s="943">
        <f>IF(AI658=0,0,(AT658-AI658)/AI658*100)</f>
        <v>0</v>
      </c>
      <c r="BE658" s="943">
        <f>IF(AT658=0,0,(AU658-AT658)/AT658*100)</f>
        <v>0</v>
      </c>
      <c r="BF658" s="943">
        <f>IF(AU658=0,0,(AV658-AU658)/AU658*100)</f>
        <v>0</v>
      </c>
      <c r="BG658" s="943">
        <f>IF(AV658=0,0,(AW658-AV658)/AV658*100)</f>
        <v>0</v>
      </c>
      <c r="BH658" s="943">
        <f>IF(AW658=0,0,(AX658-AW658)/AW658*100)</f>
        <v>0</v>
      </c>
      <c r="BI658" s="943">
        <f>IF(AX658=0,0,(AY658-AX658)/AX658*100)</f>
        <v>0</v>
      </c>
      <c r="BJ658" s="943">
        <f>IF(AY658=0,0,(AZ658-AY658)/AY658*100)</f>
        <v>0</v>
      </c>
      <c r="BK658" s="943">
        <f>IF(AZ658=0,0,(BA658-AZ658)/AZ658*100)</f>
        <v>0</v>
      </c>
      <c r="BL658" s="943">
        <f>IF(BA658=0,0,(BB658-BA658)/BA658*100)</f>
        <v>0</v>
      </c>
      <c r="BM658" s="943">
        <f>IF(BB658=0,0,(BC658-BB658)/BB658*100)</f>
        <v>0</v>
      </c>
      <c r="BN658" s="7771"/>
      <c r="BO658" s="7724" t="str">
        <f>IF(_xlfn.IFERROR(INDEX(Покупка!$K$26:$L$372,MATCH($F658&amp;"2komm",Покупка!$K$26:$K$372,0),2),"")=0,"",_xlfn.IFERROR(INDEX(Покупка!$K$26:$L$372,MATCH($F658&amp;"2komm",Покупка!$K$26:$K$372,0),2),""))</f>
        <v/>
      </c>
      <c r="BP658" s="7771"/>
      <c r="BQ658" s="1278"/>
      <c r="BR658" s="1278"/>
      <c r="BS658" s="1064" t="s">
        <v>2742</v>
      </c>
      <c r="BT658" s="1064"/>
      <c r="BU658" s="1064"/>
      <c r="BV658" s="979"/>
      <c r="BW658" s="979"/>
    </row>
    <row s="1834" customFormat="1" customHeight="1" ht="14.25">
      <c r="A659" s="1278"/>
      <c r="B659" s="96"/>
      <c r="C659" s="107"/>
      <c r="D659" s="107"/>
      <c r="E659" s="621">
        <v>15</v>
      </c>
      <c r="F659" s="50" cm="1" t="str">
        <f t="array" ref="F659:F659">OFFSET(E659,-1,1)</f>
        <v>4</v>
      </c>
      <c r="G659" s="107" t="s">
        <v>1780</v>
      </c>
      <c r="H659" s="107"/>
      <c r="I659" s="107" t="s">
        <v>2376</v>
      </c>
      <c r="J659" s="107"/>
      <c r="K659" s="107" t="s">
        <v>2376</v>
      </c>
      <c r="L659" s="980" t="s">
        <v>2239</v>
      </c>
      <c r="M659" s="107"/>
      <c r="N659" s="107"/>
      <c r="O659" s="107"/>
      <c r="P659" s="107"/>
      <c r="Q659" s="107"/>
      <c r="R659" s="107"/>
      <c r="S659" s="107"/>
      <c r="T659" s="465" cm="1" t="str">
        <f t="array" ref="T659:T659">T658</f>
        <v>true</v>
      </c>
      <c r="U659" s="107"/>
      <c r="V659" s="107"/>
      <c r="W659" s="1278"/>
      <c r="X659" s="1563"/>
      <c r="Y659" s="1278"/>
      <c r="Z659" s="1546"/>
      <c r="AA659" s="1278"/>
      <c r="AB659" s="299" t="s">
        <v>2743</v>
      </c>
      <c r="AC659" s="765" t="s">
        <v>2744</v>
      </c>
      <c r="AD659" s="300" t="s">
        <v>1514</v>
      </c>
      <c r="AE659" s="259">
        <f>_xlfn.SUMIFS(Покупка!AE$25:AE$372,Покупка!$F$25:$F$372,$F659,Покупка!$AC$25:$AC$372,$G659)</f>
        <v>0</v>
      </c>
      <c r="AF659" s="259">
        <f>_xlfn.SUMIFS(Покупка!AF$25:AF$372,Покупка!$F$25:$F$372,$F659,Покупка!$AC$25:$AC$372,$G659)</f>
        <v>0</v>
      </c>
      <c r="AG659" s="259">
        <f>_xlfn.SUMIFS(Покупка!AG$25:AG$372,Покупка!$F$25:$F$372,$F659,Покупка!$AC$25:$AC$372,$G659)</f>
        <v>0</v>
      </c>
      <c r="AH659" s="943">
        <f>AG659-AF659</f>
        <v>0</v>
      </c>
      <c r="AI659" s="943">
        <f>_xlfn.SUMIFS(Покупка!AH$25:AH$372,Покупка!$F$25:$F$372,$F659,Покупка!$AC$25:$AC$372,$G659)</f>
        <v>0</v>
      </c>
      <c r="AJ659" s="943">
        <f>_xlfn.SUMIFS(Покупка!AI$25:AI$372,Покупка!$F$25:$F$372,$F659,Покупка!$AC$25:$AC$372,$G659)</f>
        <v>0</v>
      </c>
      <c r="AK659" s="943">
        <f>_xlfn.SUMIFS(Покупка!AJ$25:AJ$372,Покупка!$F$25:$F$372,$F659,Покупка!$AC$25:$AC$372,$G659)</f>
        <v>0</v>
      </c>
      <c r="AL659" s="943">
        <f>_xlfn.SUMIFS(Покупка!AK$25:AK$372,Покупка!$F$25:$F$372,$F659,Покупка!$AC$25:$AC$372,$G659)</f>
        <v>0</v>
      </c>
      <c r="AM659" s="943">
        <f>_xlfn.SUMIFS(Покупка!AL$25:AL$372,Покупка!$F$25:$F$372,$F659,Покупка!$AC$25:$AC$372,$G659)</f>
        <v>0</v>
      </c>
      <c r="AN659" s="943">
        <f>_xlfn.SUMIFS(Покупка!AM$25:AM$372,Покупка!$F$25:$F$372,$F659,Покупка!$AC$25:$AC$372,$G659)</f>
        <v>0</v>
      </c>
      <c r="AO659" s="943">
        <f>_xlfn.SUMIFS(Покупка!AN$25:AN$372,Покупка!$F$25:$F$372,$F659,Покупка!$AC$25:$AC$372,$G659)</f>
        <v>0</v>
      </c>
      <c r="AP659" s="943">
        <f>_xlfn.SUMIFS(Покупка!AO$25:AO$372,Покупка!$F$25:$F$372,$F659,Покупка!$AC$25:$AC$372,$G659)</f>
        <v>0</v>
      </c>
      <c r="AQ659" s="943">
        <f>_xlfn.SUMIFS(Покупка!AP$25:AP$372,Покупка!$F$25:$F$372,$F659,Покупка!$AC$25:$AC$372,$G659)</f>
        <v>0</v>
      </c>
      <c r="AR659" s="943">
        <f>_xlfn.SUMIFS(Покупка!AQ$25:AQ$372,Покупка!$F$25:$F$372,$F659,Покупка!$AC$25:$AC$372,$G659)</f>
        <v>0</v>
      </c>
      <c r="AS659" s="943">
        <f>_xlfn.SUMIFS(Покупка!AR$25:AR$372,Покупка!$F$25:$F$372,$F659,Покупка!$AC$25:$AC$372,$G659)</f>
        <v>0</v>
      </c>
      <c r="AT659" s="943">
        <f>_xlfn.SUMIFS(Покупка!AS$25:AS$372,Покупка!$F$25:$F$372,$F659,Покупка!$AC$25:$AC$372,$G659)</f>
        <v>0</v>
      </c>
      <c r="AU659" s="943">
        <f>_xlfn.SUMIFS(Покупка!AT$25:AT$372,Покупка!$F$25:$F$372,$F659,Покупка!$AC$25:$AC$372,$G659)</f>
        <v>0</v>
      </c>
      <c r="AV659" s="943">
        <f>_xlfn.SUMIFS(Покупка!AU$25:AU$372,Покупка!$F$25:$F$372,$F659,Покупка!$AC$25:$AC$372,$G659)</f>
        <v>0</v>
      </c>
      <c r="AW659" s="943">
        <f>_xlfn.SUMIFS(Покупка!AV$25:AV$372,Покупка!$F$25:$F$372,$F659,Покупка!$AC$25:$AC$372,$G659)</f>
        <v>0</v>
      </c>
      <c r="AX659" s="943">
        <f>_xlfn.SUMIFS(Покупка!AW$25:AW$372,Покупка!$F$25:$F$372,$F659,Покупка!$AC$25:$AC$372,$G659)</f>
        <v>0</v>
      </c>
      <c r="AY659" s="943">
        <f>_xlfn.SUMIFS(Покупка!AX$25:AX$372,Покупка!$F$25:$F$372,$F659,Покупка!$AC$25:$AC$372,$G659)</f>
        <v>0</v>
      </c>
      <c r="AZ659" s="943">
        <f>_xlfn.SUMIFS(Покупка!AY$25:AY$372,Покупка!$F$25:$F$372,$F659,Покупка!$AC$25:$AC$372,$G659)</f>
        <v>0</v>
      </c>
      <c r="BA659" s="943">
        <f>_xlfn.SUMIFS(Покупка!AZ$25:AZ$372,Покупка!$F$25:$F$372,$F659,Покупка!$AC$25:$AC$372,$G659)</f>
        <v>0</v>
      </c>
      <c r="BB659" s="943">
        <f>_xlfn.SUMIFS(Покупка!BA$25:BA$372,Покупка!$F$25:$F$372,$F659,Покупка!$AC$25:$AC$372,$G659)</f>
        <v>0</v>
      </c>
      <c r="BC659" s="943">
        <f>_xlfn.SUMIFS(Покупка!BB$25:BB$372,Покупка!$F$25:$F$372,$F659,Покупка!$AC$25:$AC$372,$G659)</f>
        <v>0</v>
      </c>
      <c r="BD659" s="943">
        <f>IF(AI659=0,0,(AT659-AI659)/AI659*100)</f>
        <v>0</v>
      </c>
      <c r="BE659" s="943">
        <f>IF(AT659=0,0,(AU659-AT659)/AT659*100)</f>
        <v>0</v>
      </c>
      <c r="BF659" s="943">
        <f>IF(AU659=0,0,(AV659-AU659)/AU659*100)</f>
        <v>0</v>
      </c>
      <c r="BG659" s="943">
        <f>IF(AV659=0,0,(AW659-AV659)/AV659*100)</f>
        <v>0</v>
      </c>
      <c r="BH659" s="943">
        <f>IF(AW659=0,0,(AX659-AW659)/AW659*100)</f>
        <v>0</v>
      </c>
      <c r="BI659" s="943">
        <f>IF(AX659=0,0,(AY659-AX659)/AX659*100)</f>
        <v>0</v>
      </c>
      <c r="BJ659" s="943">
        <f>IF(AY659=0,0,(AZ659-AY659)/AY659*100)</f>
        <v>0</v>
      </c>
      <c r="BK659" s="943">
        <f>IF(AZ659=0,0,(BA659-AZ659)/AZ659*100)</f>
        <v>0</v>
      </c>
      <c r="BL659" s="943">
        <f>IF(BA659=0,0,(BB659-BA659)/BA659*100)</f>
        <v>0</v>
      </c>
      <c r="BM659" s="943">
        <f>IF(BB659=0,0,(BC659-BB659)/BB659*100)</f>
        <v>0</v>
      </c>
      <c r="BN659" s="7771"/>
      <c r="BO659" s="7724" t="str">
        <f>IF(_xlfn.IFERROR(INDEX(Покупка!$K$26:$L$372,MATCH($F659&amp;"1komm",Покупка!$K$26:$K$372,0),2),"")=0,"",_xlfn.IFERROR(INDEX(Покупка!$K$26:$L$372,MATCH($F659&amp;"1komm",Покупка!$K$26:$K$372,0),2),""))</f>
        <v/>
      </c>
      <c r="BP659" s="7771"/>
      <c r="BQ659" s="1278"/>
      <c r="BR659" s="1278"/>
      <c r="BS659" s="1064" t="s">
        <v>2745</v>
      </c>
      <c r="BT659" s="1064"/>
      <c r="BU659" s="1064"/>
      <c r="BV659" s="979"/>
      <c r="BW659" s="979"/>
    </row>
    <row s="1834" customFormat="1" customHeight="1" ht="14.25">
      <c r="A660" s="1278"/>
      <c r="B660" s="96"/>
      <c r="C660" s="107"/>
      <c r="D660" s="107"/>
      <c r="E660" s="621">
        <v>15</v>
      </c>
      <c r="F660" s="50" cm="1" t="str">
        <f t="array" ref="F660:F660">OFFSET(E660,-1,1)</f>
        <v>4</v>
      </c>
      <c r="G660" s="107" t="s">
        <v>1847</v>
      </c>
      <c r="H660" s="107"/>
      <c r="I660" s="107" t="s">
        <v>2379</v>
      </c>
      <c r="J660" s="107"/>
      <c r="K660" s="107" t="s">
        <v>2379</v>
      </c>
      <c r="L660" s="980"/>
      <c r="M660" s="107"/>
      <c r="N660" s="107"/>
      <c r="O660" s="107"/>
      <c r="P660" s="107"/>
      <c r="Q660" s="107"/>
      <c r="R660" s="107"/>
      <c r="S660" s="107"/>
      <c r="T660" s="465" cm="1" t="str">
        <f t="array" ref="T660:T660">T659</f>
        <v>true</v>
      </c>
      <c r="U660" s="107"/>
      <c r="V660" s="107"/>
      <c r="W660" s="1278"/>
      <c r="X660" s="1563"/>
      <c r="Y660" s="1278"/>
      <c r="Z660" s="1546"/>
      <c r="AA660" s="1278"/>
      <c r="AB660" s="299" t="s">
        <v>2746</v>
      </c>
      <c r="AC660" s="765" t="s">
        <v>2747</v>
      </c>
      <c r="AD660" s="300" t="s">
        <v>1514</v>
      </c>
      <c r="AE660" s="259">
        <f>_xlfn.SUMIFS(Покупка!AE$25:AE$372,Покупка!$F$25:$F$372,$F660,Покупка!$AC$25:$AC$372,$G660)</f>
        <v>0</v>
      </c>
      <c r="AF660" s="259">
        <f>_xlfn.SUMIFS(Покупка!AF$25:AF$372,Покупка!$F$25:$F$372,$F660,Покупка!$AC$25:$AC$372,$G660)</f>
        <v>0</v>
      </c>
      <c r="AG660" s="259">
        <f>_xlfn.SUMIFS(Покупка!AG$25:AG$372,Покупка!$F$25:$F$372,$F660,Покупка!$AC$25:$AC$372,$G660)</f>
        <v>0</v>
      </c>
      <c r="AH660" s="943">
        <f>AG660-AF660</f>
        <v>0</v>
      </c>
      <c r="AI660" s="943">
        <f>_xlfn.SUMIFS(Покупка!AH$25:AH$372,Покупка!$F$25:$F$372,$F660,Покупка!$AC$25:$AC$372,$G660)</f>
        <v>0</v>
      </c>
      <c r="AJ660" s="943">
        <f>_xlfn.SUMIFS(Покупка!AI$25:AI$372,Покупка!$F$25:$F$372,$F660,Покупка!$AC$25:$AC$372,$G660)</f>
        <v>0</v>
      </c>
      <c r="AK660" s="943">
        <f>_xlfn.SUMIFS(Покупка!AJ$25:AJ$372,Покупка!$F$25:$F$372,$F660,Покупка!$AC$25:$AC$372,$G660)</f>
        <v>0</v>
      </c>
      <c r="AL660" s="943">
        <f>_xlfn.SUMIFS(Покупка!AK$25:AK$372,Покупка!$F$25:$F$372,$F660,Покупка!$AC$25:$AC$372,$G660)</f>
        <v>0</v>
      </c>
      <c r="AM660" s="943">
        <f>_xlfn.SUMIFS(Покупка!AL$25:AL$372,Покупка!$F$25:$F$372,$F660,Покупка!$AC$25:$AC$372,$G660)</f>
        <v>0</v>
      </c>
      <c r="AN660" s="943">
        <f>_xlfn.SUMIFS(Покупка!AM$25:AM$372,Покупка!$F$25:$F$372,$F660,Покупка!$AC$25:$AC$372,$G660)</f>
        <v>0</v>
      </c>
      <c r="AO660" s="943">
        <f>_xlfn.SUMIFS(Покупка!AN$25:AN$372,Покупка!$F$25:$F$372,$F660,Покупка!$AC$25:$AC$372,$G660)</f>
        <v>0</v>
      </c>
      <c r="AP660" s="943">
        <f>_xlfn.SUMIFS(Покупка!AO$25:AO$372,Покупка!$F$25:$F$372,$F660,Покупка!$AC$25:$AC$372,$G660)</f>
        <v>0</v>
      </c>
      <c r="AQ660" s="943">
        <f>_xlfn.SUMIFS(Покупка!AP$25:AP$372,Покупка!$F$25:$F$372,$F660,Покупка!$AC$25:$AC$372,$G660)</f>
        <v>0</v>
      </c>
      <c r="AR660" s="943">
        <f>_xlfn.SUMIFS(Покупка!AQ$25:AQ$372,Покупка!$F$25:$F$372,$F660,Покупка!$AC$25:$AC$372,$G660)</f>
        <v>0</v>
      </c>
      <c r="AS660" s="943">
        <f>_xlfn.SUMIFS(Покупка!AR$25:AR$372,Покупка!$F$25:$F$372,$F660,Покупка!$AC$25:$AC$372,$G660)</f>
        <v>0</v>
      </c>
      <c r="AT660" s="943">
        <f>_xlfn.SUMIFS(Покупка!AS$25:AS$372,Покупка!$F$25:$F$372,$F660,Покупка!$AC$25:$AC$372,$G660)</f>
        <v>0</v>
      </c>
      <c r="AU660" s="943">
        <f>_xlfn.SUMIFS(Покупка!AT$25:AT$372,Покупка!$F$25:$F$372,$F660,Покупка!$AC$25:$AC$372,$G660)</f>
        <v>0</v>
      </c>
      <c r="AV660" s="943">
        <f>_xlfn.SUMIFS(Покупка!AU$25:AU$372,Покупка!$F$25:$F$372,$F660,Покупка!$AC$25:$AC$372,$G660)</f>
        <v>0</v>
      </c>
      <c r="AW660" s="943">
        <f>_xlfn.SUMIFS(Покупка!AV$25:AV$372,Покупка!$F$25:$F$372,$F660,Покупка!$AC$25:$AC$372,$G660)</f>
        <v>0</v>
      </c>
      <c r="AX660" s="943">
        <f>_xlfn.SUMIFS(Покупка!AW$25:AW$372,Покупка!$F$25:$F$372,$F660,Покупка!$AC$25:$AC$372,$G660)</f>
        <v>0</v>
      </c>
      <c r="AY660" s="943">
        <f>_xlfn.SUMIFS(Покупка!AX$25:AX$372,Покупка!$F$25:$F$372,$F660,Покупка!$AC$25:$AC$372,$G660)</f>
        <v>0</v>
      </c>
      <c r="AZ660" s="943">
        <f>_xlfn.SUMIFS(Покупка!AY$25:AY$372,Покупка!$F$25:$F$372,$F660,Покупка!$AC$25:$AC$372,$G660)</f>
        <v>0</v>
      </c>
      <c r="BA660" s="943">
        <f>_xlfn.SUMIFS(Покупка!AZ$25:AZ$372,Покупка!$F$25:$F$372,$F660,Покупка!$AC$25:$AC$372,$G660)</f>
        <v>0</v>
      </c>
      <c r="BB660" s="943">
        <f>_xlfn.SUMIFS(Покупка!BA$25:BA$372,Покупка!$F$25:$F$372,$F660,Покупка!$AC$25:$AC$372,$G660)</f>
        <v>0</v>
      </c>
      <c r="BC660" s="943">
        <f>_xlfn.SUMIFS(Покупка!BB$25:BB$372,Покупка!$F$25:$F$372,$F660,Покупка!$AC$25:$AC$372,$G660)</f>
        <v>0</v>
      </c>
      <c r="BD660" s="943">
        <f>IF(AI660=0,0,(AT660-AI660)/AI660*100)</f>
        <v>0</v>
      </c>
      <c r="BE660" s="943">
        <f>IF(AT660=0,0,(AU660-AT660)/AT660*100)</f>
        <v>0</v>
      </c>
      <c r="BF660" s="943">
        <f>IF(AU660=0,0,(AV660-AU660)/AU660*100)</f>
        <v>0</v>
      </c>
      <c r="BG660" s="943">
        <f>IF(AV660=0,0,(AW660-AV660)/AV660*100)</f>
        <v>0</v>
      </c>
      <c r="BH660" s="943">
        <f>IF(AW660=0,0,(AX660-AW660)/AW660*100)</f>
        <v>0</v>
      </c>
      <c r="BI660" s="943">
        <f>IF(AX660=0,0,(AY660-AX660)/AX660*100)</f>
        <v>0</v>
      </c>
      <c r="BJ660" s="943">
        <f>IF(AY660=0,0,(AZ660-AY660)/AY660*100)</f>
        <v>0</v>
      </c>
      <c r="BK660" s="943">
        <f>IF(AZ660=0,0,(BA660-AZ660)/AZ660*100)</f>
        <v>0</v>
      </c>
      <c r="BL660" s="943">
        <f>IF(BA660=0,0,(BB660-BA660)/BA660*100)</f>
        <v>0</v>
      </c>
      <c r="BM660" s="943">
        <f>IF(BB660=0,0,(BC660-BB660)/BB660*100)</f>
        <v>0</v>
      </c>
      <c r="BN660" s="7771"/>
      <c r="BO660" s="7724" t="str">
        <f>IF(_xlfn.IFERROR(INDEX(Покупка!$K$26:$L$372,MATCH($F660&amp;"8komm",Покупка!$K$26:$K$372,0),2),"")=0,"",_xlfn.IFERROR(INDEX(Покупка!$K$26:$L$372,MATCH($F660&amp;"8komm",Покупка!$K$26:$K$372,0),2),""))</f>
        <v/>
      </c>
      <c r="BP660" s="7771"/>
      <c r="BQ660" s="1278"/>
      <c r="BR660" s="1278"/>
      <c r="BS660" s="1064" t="s">
        <v>1848</v>
      </c>
      <c r="BT660" s="1064"/>
      <c r="BU660" s="1064"/>
      <c r="BV660" s="979"/>
      <c r="BW660" s="979"/>
    </row>
    <row s="1834" customFormat="1" customHeight="1" ht="14.25">
      <c r="A661" s="1278"/>
      <c r="B661" s="96"/>
      <c r="C661" s="107"/>
      <c r="D661" s="107"/>
      <c r="E661" s="621">
        <v>15</v>
      </c>
      <c r="F661" s="50" cm="1" t="str">
        <f t="array" ref="F661:F661">OFFSET(E661,-1,1)</f>
        <v>4</v>
      </c>
      <c r="G661" s="107"/>
      <c r="H661" s="107"/>
      <c r="I661" s="107" t="s">
        <v>2748</v>
      </c>
      <c r="J661" s="107"/>
      <c r="K661" s="107" t="s">
        <v>2748</v>
      </c>
      <c r="L661" s="980"/>
      <c r="M661" s="107"/>
      <c r="N661" s="107"/>
      <c r="O661" s="107"/>
      <c r="P661" s="107"/>
      <c r="Q661" s="107"/>
      <c r="R661" s="107"/>
      <c r="S661" s="107"/>
      <c r="T661" s="465" cm="1" t="str">
        <f t="array" ref="T661:T661">T660</f>
        <v>true</v>
      </c>
      <c r="U661" s="107"/>
      <c r="V661" s="107"/>
      <c r="W661" s="1278"/>
      <c r="X661" s="1563"/>
      <c r="Y661" s="1278"/>
      <c r="Z661" s="1546"/>
      <c r="AA661" s="1278"/>
      <c r="AB661" s="299" t="s">
        <v>2749</v>
      </c>
      <c r="AC661" s="765" t="s">
        <v>2750</v>
      </c>
      <c r="AD661" s="300" t="s">
        <v>1514</v>
      </c>
      <c r="AE661" s="7773"/>
      <c r="AF661" s="7773"/>
      <c r="AG661" s="7773"/>
      <c r="AH661" s="943">
        <f>AG661-AF661</f>
        <v>0</v>
      </c>
      <c r="AI661" s="7723"/>
      <c r="AJ661" s="7723"/>
      <c r="AK661" s="7723"/>
      <c r="AL661" s="7723"/>
      <c r="AM661" s="7723"/>
      <c r="AN661" s="7723"/>
      <c r="AO661" s="1253"/>
      <c r="AP661" s="1253"/>
      <c r="AQ661" s="1253"/>
      <c r="AR661" s="1253"/>
      <c r="AS661" s="1253"/>
      <c r="AT661" s="7723"/>
      <c r="AU661" s="7723"/>
      <c r="AV661" s="7723"/>
      <c r="AW661" s="7723"/>
      <c r="AX661" s="7723"/>
      <c r="AY661" s="1253"/>
      <c r="AZ661" s="1253"/>
      <c r="BA661" s="1253"/>
      <c r="BB661" s="1253"/>
      <c r="BC661" s="1253"/>
      <c r="BD661" s="943">
        <f>IF(AI661=0,0,(AT661-AI661)/AI661*100)</f>
        <v>0</v>
      </c>
      <c r="BE661" s="943">
        <f>IF(AT661=0,0,(AU661-AT661)/AT661*100)</f>
        <v>0</v>
      </c>
      <c r="BF661" s="943">
        <f>IF(AU661=0,0,(AV661-AU661)/AU661*100)</f>
        <v>0</v>
      </c>
      <c r="BG661" s="943">
        <f>IF(AV661=0,0,(AW661-AV661)/AV661*100)</f>
        <v>0</v>
      </c>
      <c r="BH661" s="943">
        <f>IF(AW661=0,0,(AX661-AW661)/AW661*100)</f>
        <v>0</v>
      </c>
      <c r="BI661" s="943">
        <f>IF(AX661=0,0,(AY661-AX661)/AX661*100)</f>
        <v>0</v>
      </c>
      <c r="BJ661" s="943">
        <f>IF(AY661=0,0,(AZ661-AY661)/AY661*100)</f>
        <v>0</v>
      </c>
      <c r="BK661" s="943">
        <f>IF(AZ661=0,0,(BA661-AZ661)/AZ661*100)</f>
        <v>0</v>
      </c>
      <c r="BL661" s="943">
        <f>IF(BA661=0,0,(BB661-BA661)/BA661*100)</f>
        <v>0</v>
      </c>
      <c r="BM661" s="943">
        <f>IF(BB661=0,0,(BC661-BB661)/BB661*100)</f>
        <v>0</v>
      </c>
      <c r="BN661" s="7771"/>
      <c r="BO661" s="7771"/>
      <c r="BP661" s="7771"/>
      <c r="BQ661" s="1278"/>
      <c r="BR661" s="1278"/>
      <c r="BS661" s="1064" t="s">
        <v>2751</v>
      </c>
      <c r="BT661" s="1064"/>
      <c r="BU661" s="1064"/>
      <c r="BV661" s="979"/>
      <c r="BW661" s="979"/>
    </row>
    <row s="1834" customFormat="1" customHeight="1" ht="14.25">
      <c r="A662" s="1278"/>
      <c r="B662" s="96"/>
      <c r="C662" s="107"/>
      <c r="D662" s="107"/>
      <c r="E662" s="621">
        <v>15</v>
      </c>
      <c r="F662" s="50" cm="1" t="str">
        <f t="array" ref="F662:F662">OFFSET(E662,-1,1)</f>
        <v>4</v>
      </c>
      <c r="G662" s="107"/>
      <c r="H662" s="107"/>
      <c r="I662" s="107" t="s">
        <v>2752</v>
      </c>
      <c r="J662" s="107"/>
      <c r="K662" s="107" t="s">
        <v>2752</v>
      </c>
      <c r="L662" s="980"/>
      <c r="M662" s="107"/>
      <c r="N662" s="107"/>
      <c r="O662" s="107"/>
      <c r="P662" s="107"/>
      <c r="Q662" s="107"/>
      <c r="R662" s="107"/>
      <c r="S662" s="107"/>
      <c r="T662" s="465" cm="1" t="str">
        <f t="array" ref="T662:T662">T661</f>
        <v>true</v>
      </c>
      <c r="U662" s="107"/>
      <c r="V662" s="107"/>
      <c r="W662" s="1278"/>
      <c r="X662" s="1563"/>
      <c r="Y662" s="1278"/>
      <c r="Z662" s="1546"/>
      <c r="AA662" s="1278"/>
      <c r="AB662" s="299" t="s">
        <v>2753</v>
      </c>
      <c r="AC662" s="765" t="s">
        <v>2754</v>
      </c>
      <c r="AD662" s="300" t="s">
        <v>1514</v>
      </c>
      <c r="AE662" s="7773"/>
      <c r="AF662" s="7773"/>
      <c r="AG662" s="7773"/>
      <c r="AH662" s="943">
        <f>AG662-AF662</f>
        <v>0</v>
      </c>
      <c r="AI662" s="7723"/>
      <c r="AJ662" s="7723"/>
      <c r="AK662" s="7723"/>
      <c r="AL662" s="7723"/>
      <c r="AM662" s="7723"/>
      <c r="AN662" s="7723"/>
      <c r="AO662" s="1253"/>
      <c r="AP662" s="1253"/>
      <c r="AQ662" s="1253"/>
      <c r="AR662" s="1253"/>
      <c r="AS662" s="1253"/>
      <c r="AT662" s="7723"/>
      <c r="AU662" s="7723"/>
      <c r="AV662" s="7723"/>
      <c r="AW662" s="7723"/>
      <c r="AX662" s="7723"/>
      <c r="AY662" s="1253"/>
      <c r="AZ662" s="1253"/>
      <c r="BA662" s="1253"/>
      <c r="BB662" s="1253"/>
      <c r="BC662" s="1253"/>
      <c r="BD662" s="943">
        <f>IF(AI662=0,0,(AT662-AI662)/AI662*100)</f>
        <v>0</v>
      </c>
      <c r="BE662" s="943">
        <f>IF(AT662=0,0,(AU662-AT662)/AT662*100)</f>
        <v>0</v>
      </c>
      <c r="BF662" s="943">
        <f>IF(AU662=0,0,(AV662-AU662)/AU662*100)</f>
        <v>0</v>
      </c>
      <c r="BG662" s="943">
        <f>IF(AV662=0,0,(AW662-AV662)/AV662*100)</f>
        <v>0</v>
      </c>
      <c r="BH662" s="943">
        <f>IF(AW662=0,0,(AX662-AW662)/AW662*100)</f>
        <v>0</v>
      </c>
      <c r="BI662" s="943">
        <f>IF(AX662=0,0,(AY662-AX662)/AX662*100)</f>
        <v>0</v>
      </c>
      <c r="BJ662" s="943">
        <f>IF(AY662=0,0,(AZ662-AY662)/AY662*100)</f>
        <v>0</v>
      </c>
      <c r="BK662" s="943">
        <f>IF(AZ662=0,0,(BA662-AZ662)/AZ662*100)</f>
        <v>0</v>
      </c>
      <c r="BL662" s="943">
        <f>IF(BA662=0,0,(BB662-BA662)/BA662*100)</f>
        <v>0</v>
      </c>
      <c r="BM662" s="943">
        <f>IF(BB662=0,0,(BC662-BB662)/BB662*100)</f>
        <v>0</v>
      </c>
      <c r="BN662" s="7771"/>
      <c r="BO662" s="7771"/>
      <c r="BP662" s="7771"/>
      <c r="BQ662" s="1278"/>
      <c r="BR662" s="1278"/>
      <c r="BS662" s="1064" t="s">
        <v>2755</v>
      </c>
      <c r="BT662" s="1064"/>
      <c r="BU662" s="1064"/>
      <c r="BV662" s="979"/>
      <c r="BW662" s="979"/>
    </row>
    <row s="1834" customFormat="1" customHeight="1" ht="14.25">
      <c r="A663" s="1278"/>
      <c r="B663" s="96"/>
      <c r="C663" s="107"/>
      <c r="D663" s="107"/>
      <c r="E663" s="621">
        <v>15</v>
      </c>
      <c r="F663" s="50" cm="1" t="str">
        <f t="array" ref="F663:F663">OFFSET(E663,-1,1)</f>
        <v>4</v>
      </c>
      <c r="G663" s="107" t="s">
        <v>1799</v>
      </c>
      <c r="H663" s="107"/>
      <c r="I663" s="107" t="s">
        <v>2756</v>
      </c>
      <c r="J663" s="107"/>
      <c r="K663" s="107" t="s">
        <v>2756</v>
      </c>
      <c r="L663" s="980" t="s">
        <v>2253</v>
      </c>
      <c r="M663" s="107"/>
      <c r="N663" s="107"/>
      <c r="O663" s="107"/>
      <c r="P663" s="107"/>
      <c r="Q663" s="107"/>
      <c r="R663" s="107"/>
      <c r="S663" s="107"/>
      <c r="T663" s="465" cm="1" t="str">
        <f t="array" ref="T663:T663">T662</f>
        <v>true</v>
      </c>
      <c r="U663" s="107"/>
      <c r="V663" s="107"/>
      <c r="W663" s="1278"/>
      <c r="X663" s="1563"/>
      <c r="Y663" s="1278"/>
      <c r="Z663" s="1546"/>
      <c r="AA663" s="1278"/>
      <c r="AB663" s="299" t="s">
        <v>2757</v>
      </c>
      <c r="AC663" s="765" t="s">
        <v>2758</v>
      </c>
      <c r="AD663" s="300" t="s">
        <v>1514</v>
      </c>
      <c r="AE663" s="259">
        <f>_xlfn.SUMIFS(Покупка!AE$25:AE$372,Покупка!$F$25:$F$372,$F663,Покупка!$AC$25:$AC$372,$G663)</f>
        <v>0</v>
      </c>
      <c r="AF663" s="259">
        <f>_xlfn.SUMIFS(Покупка!AF$25:AF$372,Покупка!$F$25:$F$372,$F663,Покупка!$AC$25:$AC$372,$G663)</f>
        <v>0</v>
      </c>
      <c r="AG663" s="259">
        <f>_xlfn.SUMIFS(Покупка!AG$25:AG$372,Покупка!$F$25:$F$372,$F663,Покупка!$AC$25:$AC$372,$G663)</f>
        <v>0</v>
      </c>
      <c r="AH663" s="943">
        <f>AG663-AF663</f>
        <v>0</v>
      </c>
      <c r="AI663" s="943">
        <f>_xlfn.SUMIFS(Покупка!AH$25:AH$372,Покупка!$F$25:$F$372,$F663,Покупка!$AC$25:$AC$372,$G663)</f>
        <v>0</v>
      </c>
      <c r="AJ663" s="943">
        <f>_xlfn.SUMIFS(Покупка!AI$25:AI$372,Покупка!$F$25:$F$372,$F663,Покупка!$AC$25:$AC$372,$G663)</f>
        <v>0</v>
      </c>
      <c r="AK663" s="943">
        <f>_xlfn.SUMIFS(Покупка!AJ$25:AJ$372,Покупка!$F$25:$F$372,$F663,Покупка!$AC$25:$AC$372,$G663)</f>
        <v>0</v>
      </c>
      <c r="AL663" s="943">
        <f>_xlfn.SUMIFS(Покупка!AK$25:AK$372,Покупка!$F$25:$F$372,$F663,Покупка!$AC$25:$AC$372,$G663)</f>
        <v>0</v>
      </c>
      <c r="AM663" s="943">
        <f>_xlfn.SUMIFS(Покупка!AL$25:AL$372,Покупка!$F$25:$F$372,$F663,Покупка!$AC$25:$AC$372,$G663)</f>
        <v>0</v>
      </c>
      <c r="AN663" s="943">
        <f>_xlfn.SUMIFS(Покупка!AM$25:AM$372,Покупка!$F$25:$F$372,$F663,Покупка!$AC$25:$AC$372,$G663)</f>
        <v>0</v>
      </c>
      <c r="AO663" s="943">
        <f>_xlfn.SUMIFS(Покупка!AN$25:AN$372,Покупка!$F$25:$F$372,$F663,Покупка!$AC$25:$AC$372,$G663)</f>
        <v>0</v>
      </c>
      <c r="AP663" s="943">
        <f>_xlfn.SUMIFS(Покупка!AO$25:AO$372,Покупка!$F$25:$F$372,$F663,Покупка!$AC$25:$AC$372,$G663)</f>
        <v>0</v>
      </c>
      <c r="AQ663" s="943">
        <f>_xlfn.SUMIFS(Покупка!AP$25:AP$372,Покупка!$F$25:$F$372,$F663,Покупка!$AC$25:$AC$372,$G663)</f>
        <v>0</v>
      </c>
      <c r="AR663" s="943">
        <f>_xlfn.SUMIFS(Покупка!AQ$25:AQ$372,Покупка!$F$25:$F$372,$F663,Покупка!$AC$25:$AC$372,$G663)</f>
        <v>0</v>
      </c>
      <c r="AS663" s="943">
        <f>_xlfn.SUMIFS(Покупка!AR$25:AR$372,Покупка!$F$25:$F$372,$F663,Покупка!$AC$25:$AC$372,$G663)</f>
        <v>0</v>
      </c>
      <c r="AT663" s="943">
        <f>_xlfn.SUMIFS(Покупка!AS$25:AS$372,Покупка!$F$25:$F$372,$F663,Покупка!$AC$25:$AC$372,$G663)</f>
        <v>0</v>
      </c>
      <c r="AU663" s="943">
        <f>_xlfn.SUMIFS(Покупка!AT$25:AT$372,Покупка!$F$25:$F$372,$F663,Покупка!$AC$25:$AC$372,$G663)</f>
        <v>0</v>
      </c>
      <c r="AV663" s="943">
        <f>_xlfn.SUMIFS(Покупка!AU$25:AU$372,Покупка!$F$25:$F$372,$F663,Покупка!$AC$25:$AC$372,$G663)</f>
        <v>0</v>
      </c>
      <c r="AW663" s="943">
        <f>_xlfn.SUMIFS(Покупка!AV$25:AV$372,Покупка!$F$25:$F$372,$F663,Покупка!$AC$25:$AC$372,$G663)</f>
        <v>0</v>
      </c>
      <c r="AX663" s="943">
        <f>_xlfn.SUMIFS(Покупка!AW$25:AW$372,Покупка!$F$25:$F$372,$F663,Покупка!$AC$25:$AC$372,$G663)</f>
        <v>0</v>
      </c>
      <c r="AY663" s="943">
        <f>_xlfn.SUMIFS(Покупка!AX$25:AX$372,Покупка!$F$25:$F$372,$F663,Покупка!$AC$25:$AC$372,$G663)</f>
        <v>0</v>
      </c>
      <c r="AZ663" s="943">
        <f>_xlfn.SUMIFS(Покупка!AY$25:AY$372,Покупка!$F$25:$F$372,$F663,Покупка!$AC$25:$AC$372,$G663)</f>
        <v>0</v>
      </c>
      <c r="BA663" s="943">
        <f>_xlfn.SUMIFS(Покупка!AZ$25:AZ$372,Покупка!$F$25:$F$372,$F663,Покупка!$AC$25:$AC$372,$G663)</f>
        <v>0</v>
      </c>
      <c r="BB663" s="943">
        <f>_xlfn.SUMIFS(Покупка!BA$25:BA$372,Покупка!$F$25:$F$372,$F663,Покупка!$AC$25:$AC$372,$G663)</f>
        <v>0</v>
      </c>
      <c r="BC663" s="943">
        <f>_xlfn.SUMIFS(Покупка!BB$25:BB$372,Покупка!$F$25:$F$372,$F663,Покупка!$AC$25:$AC$372,$G663)</f>
        <v>0</v>
      </c>
      <c r="BD663" s="943">
        <f>IF(AI663=0,0,(AT663-AI663)/AI663*100)</f>
        <v>0</v>
      </c>
      <c r="BE663" s="943">
        <f>IF(AT663=0,0,(AU663-AT663)/AT663*100)</f>
        <v>0</v>
      </c>
      <c r="BF663" s="943">
        <f>IF(AU663=0,0,(AV663-AU663)/AU663*100)</f>
        <v>0</v>
      </c>
      <c r="BG663" s="943">
        <f>IF(AV663=0,0,(AW663-AV663)/AV663*100)</f>
        <v>0</v>
      </c>
      <c r="BH663" s="943">
        <f>IF(AW663=0,0,(AX663-AW663)/AW663*100)</f>
        <v>0</v>
      </c>
      <c r="BI663" s="943">
        <f>IF(AX663=0,0,(AY663-AX663)/AX663*100)</f>
        <v>0</v>
      </c>
      <c r="BJ663" s="943">
        <f>IF(AY663=0,0,(AZ663-AY663)/AY663*100)</f>
        <v>0</v>
      </c>
      <c r="BK663" s="943">
        <f>IF(AZ663=0,0,(BA663-AZ663)/AZ663*100)</f>
        <v>0</v>
      </c>
      <c r="BL663" s="943">
        <f>IF(BA663=0,0,(BB663-BA663)/BA663*100)</f>
        <v>0</v>
      </c>
      <c r="BM663" s="943">
        <f>IF(BB663=0,0,(BC663-BB663)/BB663*100)</f>
        <v>0</v>
      </c>
      <c r="BN663" s="7771"/>
      <c r="BO663" s="7724" t="str">
        <f>IF(_xlfn.IFERROR(INDEX(Покупка!$K$26:$L$372,MATCH($F663&amp;"3komm",Покупка!$K$26:$K$372,0),2),"")=0,"",_xlfn.IFERROR(INDEX(Покупка!$K$26:$L$372,MATCH($F663&amp;"3komm",Покупка!$K$26:$K$372,0),2),""))</f>
        <v/>
      </c>
      <c r="BP663" s="7771"/>
      <c r="BQ663" s="1278"/>
      <c r="BR663" s="1278"/>
      <c r="BS663" s="1064" t="s">
        <v>2459</v>
      </c>
      <c r="BT663" s="1064"/>
      <c r="BU663" s="1064"/>
      <c r="BV663" s="979"/>
      <c r="BW663" s="979"/>
    </row>
    <row s="1834" customFormat="1" customHeight="1" ht="14.25">
      <c r="A664" s="1278"/>
      <c r="B664" s="96"/>
      <c r="C664" s="107"/>
      <c r="D664" s="107"/>
      <c r="E664" s="621">
        <v>15</v>
      </c>
      <c r="F664" s="50" cm="1" t="str">
        <f t="array" ref="F664:F664">OFFSET(E664,-1,1)</f>
        <v>4</v>
      </c>
      <c r="G664" s="107" t="s">
        <v>1805</v>
      </c>
      <c r="H664" s="107"/>
      <c r="I664" s="107" t="s">
        <v>2759</v>
      </c>
      <c r="J664" s="107"/>
      <c r="K664" s="107" t="s">
        <v>2759</v>
      </c>
      <c r="L664" s="980" t="s">
        <v>2258</v>
      </c>
      <c r="M664" s="107"/>
      <c r="N664" s="107"/>
      <c r="O664" s="107"/>
      <c r="P664" s="107"/>
      <c r="Q664" s="107"/>
      <c r="R664" s="107"/>
      <c r="S664" s="107"/>
      <c r="T664" s="465" cm="1" t="str">
        <f t="array" ref="T664:T664">T663</f>
        <v>true</v>
      </c>
      <c r="U664" s="107"/>
      <c r="V664" s="107"/>
      <c r="W664" s="1278"/>
      <c r="X664" s="1563"/>
      <c r="Y664" s="1278"/>
      <c r="Z664" s="1546"/>
      <c r="AA664" s="1278"/>
      <c r="AB664" s="299" t="s">
        <v>2760</v>
      </c>
      <c r="AC664" s="765" t="s">
        <v>2761</v>
      </c>
      <c r="AD664" s="300" t="s">
        <v>1514</v>
      </c>
      <c r="AE664" s="259">
        <f>_xlfn.SUMIFS(Покупка!AE$25:AE$372,Покупка!$F$25:$F$372,$F664,Покупка!$AC$25:$AC$372,$G664)</f>
        <v>0</v>
      </c>
      <c r="AF664" s="259">
        <f>_xlfn.SUMIFS(Покупка!AF$25:AF$372,Покупка!$F$25:$F$372,$F664,Покупка!$AC$25:$AC$372,$G664)</f>
        <v>0</v>
      </c>
      <c r="AG664" s="259">
        <f>_xlfn.SUMIFS(Покупка!AG$25:AG$372,Покупка!$F$25:$F$372,$F664,Покупка!$AC$25:$AC$372,$G664)</f>
        <v>0</v>
      </c>
      <c r="AH664" s="943">
        <f>AG664-AF664</f>
        <v>0</v>
      </c>
      <c r="AI664" s="943">
        <f>_xlfn.SUMIFS(Покупка!AH$25:AH$372,Покупка!$F$25:$F$372,$F664,Покупка!$AC$25:$AC$372,$G664)</f>
        <v>0</v>
      </c>
      <c r="AJ664" s="943">
        <f>_xlfn.SUMIFS(Покупка!AI$25:AI$372,Покупка!$F$25:$F$372,$F664,Покупка!$AC$25:$AC$372,$G664)</f>
        <v>0</v>
      </c>
      <c r="AK664" s="943">
        <f>_xlfn.SUMIFS(Покупка!AJ$25:AJ$372,Покупка!$F$25:$F$372,$F664,Покупка!$AC$25:$AC$372,$G664)</f>
        <v>0</v>
      </c>
      <c r="AL664" s="943">
        <f>_xlfn.SUMIFS(Покупка!AK$25:AK$372,Покупка!$F$25:$F$372,$F664,Покупка!$AC$25:$AC$372,$G664)</f>
        <v>0</v>
      </c>
      <c r="AM664" s="943">
        <f>_xlfn.SUMIFS(Покупка!AL$25:AL$372,Покупка!$F$25:$F$372,$F664,Покупка!$AC$25:$AC$372,$G664)</f>
        <v>0</v>
      </c>
      <c r="AN664" s="943">
        <f>_xlfn.SUMIFS(Покупка!AM$25:AM$372,Покупка!$F$25:$F$372,$F664,Покупка!$AC$25:$AC$372,$G664)</f>
        <v>0</v>
      </c>
      <c r="AO664" s="943">
        <f>_xlfn.SUMIFS(Покупка!AN$25:AN$372,Покупка!$F$25:$F$372,$F664,Покупка!$AC$25:$AC$372,$G664)</f>
        <v>0</v>
      </c>
      <c r="AP664" s="943">
        <f>_xlfn.SUMIFS(Покупка!AO$25:AO$372,Покупка!$F$25:$F$372,$F664,Покупка!$AC$25:$AC$372,$G664)</f>
        <v>0</v>
      </c>
      <c r="AQ664" s="943">
        <f>_xlfn.SUMIFS(Покупка!AP$25:AP$372,Покупка!$F$25:$F$372,$F664,Покупка!$AC$25:$AC$372,$G664)</f>
        <v>0</v>
      </c>
      <c r="AR664" s="943">
        <f>_xlfn.SUMIFS(Покупка!AQ$25:AQ$372,Покупка!$F$25:$F$372,$F664,Покупка!$AC$25:$AC$372,$G664)</f>
        <v>0</v>
      </c>
      <c r="AS664" s="943">
        <f>_xlfn.SUMIFS(Покупка!AR$25:AR$372,Покупка!$F$25:$F$372,$F664,Покупка!$AC$25:$AC$372,$G664)</f>
        <v>0</v>
      </c>
      <c r="AT664" s="943">
        <f>_xlfn.SUMIFS(Покупка!AS$25:AS$372,Покупка!$F$25:$F$372,$F664,Покупка!$AC$25:$AC$372,$G664)</f>
        <v>0</v>
      </c>
      <c r="AU664" s="943">
        <f>_xlfn.SUMIFS(Покупка!AT$25:AT$372,Покупка!$F$25:$F$372,$F664,Покупка!$AC$25:$AC$372,$G664)</f>
        <v>0</v>
      </c>
      <c r="AV664" s="943">
        <f>_xlfn.SUMIFS(Покупка!AU$25:AU$372,Покупка!$F$25:$F$372,$F664,Покупка!$AC$25:$AC$372,$G664)</f>
        <v>0</v>
      </c>
      <c r="AW664" s="943">
        <f>_xlfn.SUMIFS(Покупка!AV$25:AV$372,Покупка!$F$25:$F$372,$F664,Покупка!$AC$25:$AC$372,$G664)</f>
        <v>0</v>
      </c>
      <c r="AX664" s="943">
        <f>_xlfn.SUMIFS(Покупка!AW$25:AW$372,Покупка!$F$25:$F$372,$F664,Покупка!$AC$25:$AC$372,$G664)</f>
        <v>0</v>
      </c>
      <c r="AY664" s="943">
        <f>_xlfn.SUMIFS(Покупка!AX$25:AX$372,Покупка!$F$25:$F$372,$F664,Покупка!$AC$25:$AC$372,$G664)</f>
        <v>0</v>
      </c>
      <c r="AZ664" s="943">
        <f>_xlfn.SUMIFS(Покупка!AY$25:AY$372,Покупка!$F$25:$F$372,$F664,Покупка!$AC$25:$AC$372,$G664)</f>
        <v>0</v>
      </c>
      <c r="BA664" s="943">
        <f>_xlfn.SUMIFS(Покупка!AZ$25:AZ$372,Покупка!$F$25:$F$372,$F664,Покупка!$AC$25:$AC$372,$G664)</f>
        <v>0</v>
      </c>
      <c r="BB664" s="943">
        <f>_xlfn.SUMIFS(Покупка!BA$25:BA$372,Покупка!$F$25:$F$372,$F664,Покупка!$AC$25:$AC$372,$G664)</f>
        <v>0</v>
      </c>
      <c r="BC664" s="943">
        <f>_xlfn.SUMIFS(Покупка!BB$25:BB$372,Покупка!$F$25:$F$372,$F664,Покупка!$AC$25:$AC$372,$G664)</f>
        <v>0</v>
      </c>
      <c r="BD664" s="943">
        <f>IF(AI664=0,0,(AT664-AI664)/AI664*100)</f>
        <v>0</v>
      </c>
      <c r="BE664" s="943">
        <f>IF(AT664=0,0,(AU664-AT664)/AT664*100)</f>
        <v>0</v>
      </c>
      <c r="BF664" s="943">
        <f>IF(AU664=0,0,(AV664-AU664)/AU664*100)</f>
        <v>0</v>
      </c>
      <c r="BG664" s="943">
        <f>IF(AV664=0,0,(AW664-AV664)/AV664*100)</f>
        <v>0</v>
      </c>
      <c r="BH664" s="943">
        <f>IF(AW664=0,0,(AX664-AW664)/AW664*100)</f>
        <v>0</v>
      </c>
      <c r="BI664" s="943">
        <f>IF(AX664=0,0,(AY664-AX664)/AX664*100)</f>
        <v>0</v>
      </c>
      <c r="BJ664" s="943">
        <f>IF(AY664=0,0,(AZ664-AY664)/AY664*100)</f>
        <v>0</v>
      </c>
      <c r="BK664" s="943">
        <f>IF(AZ664=0,0,(BA664-AZ664)/AZ664*100)</f>
        <v>0</v>
      </c>
      <c r="BL664" s="943">
        <f>IF(BA664=0,0,(BB664-BA664)/BA664*100)</f>
        <v>0</v>
      </c>
      <c r="BM664" s="943">
        <f>IF(BB664=0,0,(BC664-BB664)/BB664*100)</f>
        <v>0</v>
      </c>
      <c r="BN664" s="7771"/>
      <c r="BO664" s="7724" t="str">
        <f>IF(_xlfn.IFERROR(INDEX(Покупка!$K$26:$L$372,MATCH($F664&amp;"4komm",Покупка!$K$26:$K$372,0),2),"")=0,"",_xlfn.IFERROR(INDEX(Покупка!$K$26:$L$372,MATCH($F663&amp;"3komm",Покупка!$K$26:$K$372,0),2),""))</f>
        <v/>
      </c>
      <c r="BP664" s="7771"/>
      <c r="BQ664" s="1278"/>
      <c r="BR664" s="1278"/>
      <c r="BS664" s="1064" t="s">
        <v>2462</v>
      </c>
      <c r="BT664" s="1064"/>
      <c r="BU664" s="1064"/>
      <c r="BV664" s="979"/>
      <c r="BW664" s="979"/>
    </row>
    <row s="1834" customFormat="1" customHeight="1" ht="14.25">
      <c r="A665" s="1278"/>
      <c r="B665" s="96"/>
      <c r="C665" s="107"/>
      <c r="D665" s="107"/>
      <c r="E665" s="621">
        <v>15</v>
      </c>
      <c r="F665" s="50" cm="1" t="str">
        <f t="array" ref="F665:F665">OFFSET(E665,-1,1)</f>
        <v>4</v>
      </c>
      <c r="G665" s="107" t="s">
        <v>1812</v>
      </c>
      <c r="H665" s="107"/>
      <c r="I665" s="107" t="s">
        <v>2762</v>
      </c>
      <c r="J665" s="107"/>
      <c r="K665" s="107" t="s">
        <v>2762</v>
      </c>
      <c r="L665" s="980" t="s">
        <v>2268</v>
      </c>
      <c r="M665" s="107"/>
      <c r="N665" s="107"/>
      <c r="O665" s="107"/>
      <c r="P665" s="107"/>
      <c r="Q665" s="107"/>
      <c r="R665" s="107"/>
      <c r="S665" s="107"/>
      <c r="T665" s="465" cm="1" t="str">
        <f t="array" ref="T665:T665">T664</f>
        <v>true</v>
      </c>
      <c r="U665" s="107"/>
      <c r="V665" s="107"/>
      <c r="W665" s="1278"/>
      <c r="X665" s="1563"/>
      <c r="Y665" s="1278"/>
      <c r="Z665" s="1546"/>
      <c r="AA665" s="1278"/>
      <c r="AB665" s="299" t="s">
        <v>2763</v>
      </c>
      <c r="AC665" s="765" t="s">
        <v>2764</v>
      </c>
      <c r="AD665" s="300" t="s">
        <v>1514</v>
      </c>
      <c r="AE665" s="259">
        <f>_xlfn.SUMIFS(Покупка!AE$25:AE$372,Покупка!$F$25:$F$372,$F665,Покупка!$AC$25:$AC$372,$G665)</f>
        <v>0</v>
      </c>
      <c r="AF665" s="259">
        <f>_xlfn.SUMIFS(Покупка!AF$25:AF$372,Покупка!$F$25:$F$372,$F665,Покупка!$AC$25:$AC$372,$G665)</f>
        <v>0</v>
      </c>
      <c r="AG665" s="259">
        <f>_xlfn.SUMIFS(Покупка!AG$25:AG$372,Покупка!$F$25:$F$372,$F665,Покупка!$AC$25:$AC$372,$G665)</f>
        <v>0</v>
      </c>
      <c r="AH665" s="943">
        <f>AG665-AF665</f>
        <v>0</v>
      </c>
      <c r="AI665" s="943">
        <f>_xlfn.SUMIFS(Покупка!AH$25:AH$372,Покупка!$F$25:$F$372,$F665,Покупка!$AC$25:$AC$372,$G665)</f>
        <v>0</v>
      </c>
      <c r="AJ665" s="943">
        <f>_xlfn.SUMIFS(Покупка!AI$25:AI$372,Покупка!$F$25:$F$372,$F665,Покупка!$AC$25:$AC$372,$G665)</f>
        <v>0</v>
      </c>
      <c r="AK665" s="943">
        <f>_xlfn.SUMIFS(Покупка!AJ$25:AJ$372,Покупка!$F$25:$F$372,$F665,Покупка!$AC$25:$AC$372,$G665)</f>
        <v>0</v>
      </c>
      <c r="AL665" s="943">
        <f>_xlfn.SUMIFS(Покупка!AK$25:AK$372,Покупка!$F$25:$F$372,$F665,Покупка!$AC$25:$AC$372,$G665)</f>
        <v>0</v>
      </c>
      <c r="AM665" s="943">
        <f>_xlfn.SUMIFS(Покупка!AL$25:AL$372,Покупка!$F$25:$F$372,$F665,Покупка!$AC$25:$AC$372,$G665)</f>
        <v>0</v>
      </c>
      <c r="AN665" s="943">
        <f>_xlfn.SUMIFS(Покупка!AM$25:AM$372,Покупка!$F$25:$F$372,$F665,Покупка!$AC$25:$AC$372,$G665)</f>
        <v>0</v>
      </c>
      <c r="AO665" s="943">
        <f>_xlfn.SUMIFS(Покупка!AN$25:AN$372,Покупка!$F$25:$F$372,$F665,Покупка!$AC$25:$AC$372,$G665)</f>
        <v>0</v>
      </c>
      <c r="AP665" s="943">
        <f>_xlfn.SUMIFS(Покупка!AO$25:AO$372,Покупка!$F$25:$F$372,$F665,Покупка!$AC$25:$AC$372,$G665)</f>
        <v>0</v>
      </c>
      <c r="AQ665" s="943">
        <f>_xlfn.SUMIFS(Покупка!AP$25:AP$372,Покупка!$F$25:$F$372,$F665,Покупка!$AC$25:$AC$372,$G665)</f>
        <v>0</v>
      </c>
      <c r="AR665" s="943">
        <f>_xlfn.SUMIFS(Покупка!AQ$25:AQ$372,Покупка!$F$25:$F$372,$F665,Покупка!$AC$25:$AC$372,$G665)</f>
        <v>0</v>
      </c>
      <c r="AS665" s="943">
        <f>_xlfn.SUMIFS(Покупка!AR$25:AR$372,Покупка!$F$25:$F$372,$F665,Покупка!$AC$25:$AC$372,$G665)</f>
        <v>0</v>
      </c>
      <c r="AT665" s="943">
        <f>_xlfn.SUMIFS(Покупка!AS$25:AS$372,Покупка!$F$25:$F$372,$F665,Покупка!$AC$25:$AC$372,$G665)</f>
        <v>0</v>
      </c>
      <c r="AU665" s="943">
        <f>_xlfn.SUMIFS(Покупка!AT$25:AT$372,Покупка!$F$25:$F$372,$F665,Покупка!$AC$25:$AC$372,$G665)</f>
        <v>0</v>
      </c>
      <c r="AV665" s="943">
        <f>_xlfn.SUMIFS(Покупка!AU$25:AU$372,Покупка!$F$25:$F$372,$F665,Покупка!$AC$25:$AC$372,$G665)</f>
        <v>0</v>
      </c>
      <c r="AW665" s="943">
        <f>_xlfn.SUMIFS(Покупка!AV$25:AV$372,Покупка!$F$25:$F$372,$F665,Покупка!$AC$25:$AC$372,$G665)</f>
        <v>0</v>
      </c>
      <c r="AX665" s="943">
        <f>_xlfn.SUMIFS(Покупка!AW$25:AW$372,Покупка!$F$25:$F$372,$F665,Покупка!$AC$25:$AC$372,$G665)</f>
        <v>0</v>
      </c>
      <c r="AY665" s="943">
        <f>_xlfn.SUMIFS(Покупка!AX$25:AX$372,Покупка!$F$25:$F$372,$F665,Покупка!$AC$25:$AC$372,$G665)</f>
        <v>0</v>
      </c>
      <c r="AZ665" s="943">
        <f>_xlfn.SUMIFS(Покупка!AY$25:AY$372,Покупка!$F$25:$F$372,$F665,Покупка!$AC$25:$AC$372,$G665)</f>
        <v>0</v>
      </c>
      <c r="BA665" s="943">
        <f>_xlfn.SUMIFS(Покупка!AZ$25:AZ$372,Покупка!$F$25:$F$372,$F665,Покупка!$AC$25:$AC$372,$G665)</f>
        <v>0</v>
      </c>
      <c r="BB665" s="943">
        <f>_xlfn.SUMIFS(Покупка!BA$25:BA$372,Покупка!$F$25:$F$372,$F665,Покупка!$AC$25:$AC$372,$G665)</f>
        <v>0</v>
      </c>
      <c r="BC665" s="943">
        <f>_xlfn.SUMIFS(Покупка!BB$25:BB$372,Покупка!$F$25:$F$372,$F665,Покупка!$AC$25:$AC$372,$G665)</f>
        <v>0</v>
      </c>
      <c r="BD665" s="943">
        <f>IF(AI665=0,0,(AT665-AI665)/AI665*100)</f>
        <v>0</v>
      </c>
      <c r="BE665" s="943">
        <f>IF(AT665=0,0,(AU665-AT665)/AT665*100)</f>
        <v>0</v>
      </c>
      <c r="BF665" s="943">
        <f>IF(AU665=0,0,(AV665-AU665)/AU665*100)</f>
        <v>0</v>
      </c>
      <c r="BG665" s="943">
        <f>IF(AV665=0,0,(AW665-AV665)/AV665*100)</f>
        <v>0</v>
      </c>
      <c r="BH665" s="943">
        <f>IF(AW665=0,0,(AX665-AW665)/AW665*100)</f>
        <v>0</v>
      </c>
      <c r="BI665" s="943">
        <f>IF(AX665=0,0,(AY665-AX665)/AX665*100)</f>
        <v>0</v>
      </c>
      <c r="BJ665" s="943">
        <f>IF(AY665=0,0,(AZ665-AY665)/AY665*100)</f>
        <v>0</v>
      </c>
      <c r="BK665" s="943">
        <f>IF(AZ665=0,0,(BA665-AZ665)/AZ665*100)</f>
        <v>0</v>
      </c>
      <c r="BL665" s="943">
        <f>IF(BA665=0,0,(BB665-BA665)/BA665*100)</f>
        <v>0</v>
      </c>
      <c r="BM665" s="943">
        <f>IF(BB665=0,0,(BC665-BB665)/BB665*100)</f>
        <v>0</v>
      </c>
      <c r="BN665" s="7771"/>
      <c r="BO665" s="7724" t="str">
        <f>IF(_xlfn.IFERROR(INDEX(Покупка!$K$26:$L$372,MATCH($F665&amp;"5komm",Покупка!$K$26:$K$372,0),2),"")=0,"",_xlfn.IFERROR(INDEX(Покупка!$K$26:$L$372,MATCH($F665&amp;"5komm",Покупка!$K$26:$K$372,0),2),""))</f>
        <v/>
      </c>
      <c r="BP665" s="7771"/>
      <c r="BQ665" s="1278"/>
      <c r="BR665" s="1278"/>
      <c r="BS665" s="1064" t="s">
        <v>2465</v>
      </c>
      <c r="BT665" s="1064"/>
      <c r="BU665" s="1064"/>
      <c r="BV665" s="979"/>
      <c r="BW665" s="979"/>
    </row>
    <row s="1233" customFormat="1" customHeight="1" ht="14.25">
      <c r="A666" s="1233"/>
      <c r="B666" s="96"/>
      <c r="C666" s="107"/>
      <c r="D666" s="107"/>
      <c r="E666" s="621">
        <v>15</v>
      </c>
      <c r="F666" s="50" cm="1" t="str">
        <f t="array" ref="F666:F666">OFFSET(E666,-1,1)</f>
        <v>4</v>
      </c>
      <c r="G666" s="107" t="s">
        <v>1853</v>
      </c>
      <c r="H666" s="107"/>
      <c r="I666" s="107"/>
      <c r="J666" s="107"/>
      <c r="K666" s="107"/>
      <c r="L666" s="980" t="s">
        <v>2235</v>
      </c>
      <c r="M666" s="107"/>
      <c r="N666" s="107"/>
      <c r="O666" s="107"/>
      <c r="P666" s="107"/>
      <c r="Q666" s="107"/>
      <c r="R666" s="107"/>
      <c r="S666" s="107"/>
      <c r="T666" s="465" cm="1" t="str">
        <f t="array" ref="T666:T666">T665</f>
        <v>true</v>
      </c>
      <c r="U666" s="107"/>
      <c r="V666" s="107"/>
      <c r="W666" s="1233"/>
      <c r="X666" s="1563"/>
      <c r="Y666" s="1233"/>
      <c r="Z666" s="1546"/>
      <c r="AA666" s="1233"/>
      <c r="AB666" s="299" t="s">
        <v>2765</v>
      </c>
      <c r="AC666" s="765" t="s">
        <v>2766</v>
      </c>
      <c r="AD666" s="300" t="s">
        <v>1514</v>
      </c>
      <c r="AE666" s="259">
        <f>_xlfn.SUMIFS(Покупка!AE$25:AE$372,Покупка!$F$25:$F$372,$F666,Покупка!$AC$25:$AC$372,$G666)</f>
        <v>0</v>
      </c>
      <c r="AF666" s="259">
        <f>_xlfn.SUMIFS(Покупка!AF$25:AF$372,Покупка!$F$25:$F$372,$F666,Покупка!$AC$25:$AC$372,$G666)</f>
        <v>0</v>
      </c>
      <c r="AG666" s="259">
        <f>_xlfn.SUMIFS(Покупка!AG$25:AG$372,Покупка!$F$25:$F$372,$F666,Покупка!$AC$25:$AC$372,$G666)</f>
        <v>0</v>
      </c>
      <c r="AH666" s="943">
        <f>AG666-AF666</f>
        <v>0</v>
      </c>
      <c r="AI666" s="943">
        <f>_xlfn.SUMIFS(Покупка!AH$25:AH$372,Покупка!$F$25:$F$372,$F666,Покупка!$AC$25:$AC$372,$G666)</f>
        <v>0</v>
      </c>
      <c r="AJ666" s="1116">
        <f>_xlfn.SUMIFS(Покупка!AI$25:AI$372,Покупка!$F$25:$F$372,$F666,Покупка!$AC$25:$AC$372,$G666)</f>
        <v>0</v>
      </c>
      <c r="AK666" s="1116">
        <f>_xlfn.SUMIFS(Покупка!AJ$25:AJ$372,Покупка!$F$25:$F$372,$F666,Покупка!$AC$25:$AC$372,$G666)</f>
        <v>0</v>
      </c>
      <c r="AL666" s="1116">
        <f>_xlfn.SUMIFS(Покупка!AK$25:AK$372,Покупка!$F$25:$F$372,$F666,Покупка!$AC$25:$AC$372,$G666)</f>
        <v>0</v>
      </c>
      <c r="AM666" s="1116">
        <f>_xlfn.SUMIFS(Покупка!AL$25:AL$372,Покупка!$F$25:$F$372,$F666,Покупка!$AC$25:$AC$372,$G666)</f>
        <v>0</v>
      </c>
      <c r="AN666" s="1116">
        <f>_xlfn.SUMIFS(Покупка!AM$25:AM$372,Покупка!$F$25:$F$372,$F666,Покупка!$AC$25:$AC$372,$G666)</f>
        <v>0</v>
      </c>
      <c r="AO666" s="1116">
        <f>_xlfn.SUMIFS(Покупка!AN$25:AN$372,Покупка!$F$25:$F$372,$F666,Покупка!$AC$25:$AC$372,$G666)</f>
        <v>0</v>
      </c>
      <c r="AP666" s="1116">
        <f>_xlfn.SUMIFS(Покупка!AO$25:AO$372,Покупка!$F$25:$F$372,$F666,Покупка!$AC$25:$AC$372,$G666)</f>
        <v>0</v>
      </c>
      <c r="AQ666" s="1116">
        <f>_xlfn.SUMIFS(Покупка!AP$25:AP$372,Покупка!$F$25:$F$372,$F666,Покупка!$AC$25:$AC$372,$G666)</f>
        <v>0</v>
      </c>
      <c r="AR666" s="1116">
        <f>_xlfn.SUMIFS(Покупка!AQ$25:AQ$372,Покупка!$F$25:$F$372,$F666,Покупка!$AC$25:$AC$372,$G666)</f>
        <v>0</v>
      </c>
      <c r="AS666" s="1116">
        <f>_xlfn.SUMIFS(Покупка!AR$25:AR$372,Покупка!$F$25:$F$372,$F666,Покупка!$AC$25:$AC$372,$G666)</f>
        <v>0</v>
      </c>
      <c r="AT666" s="1116">
        <f>_xlfn.SUMIFS(Покупка!AS$25:AS$372,Покупка!$F$25:$F$372,$F666,Покупка!$AC$25:$AC$372,$G666)</f>
        <v>0</v>
      </c>
      <c r="AU666" s="1116">
        <f>_xlfn.SUMIFS(Покупка!AT$25:AT$372,Покупка!$F$25:$F$372,$F666,Покупка!$AC$25:$AC$372,$G666)</f>
        <v>0</v>
      </c>
      <c r="AV666" s="1116">
        <f>_xlfn.SUMIFS(Покупка!AU$25:AU$372,Покупка!$F$25:$F$372,$F666,Покупка!$AC$25:$AC$372,$G666)</f>
        <v>0</v>
      </c>
      <c r="AW666" s="1116">
        <f>_xlfn.SUMIFS(Покупка!AV$25:AV$372,Покупка!$F$25:$F$372,$F666,Покупка!$AC$25:$AC$372,$G666)</f>
        <v>0</v>
      </c>
      <c r="AX666" s="1116">
        <f>_xlfn.SUMIFS(Покупка!AW$25:AW$372,Покупка!$F$25:$F$372,$F666,Покупка!$AC$25:$AC$372,$G666)</f>
        <v>0</v>
      </c>
      <c r="AY666" s="1116">
        <f>_xlfn.SUMIFS(Покупка!AX$25:AX$372,Покупка!$F$25:$F$372,$F666,Покупка!$AC$25:$AC$372,$G666)</f>
        <v>0</v>
      </c>
      <c r="AZ666" s="1116">
        <f>_xlfn.SUMIFS(Покупка!AY$25:AY$372,Покупка!$F$25:$F$372,$F666,Покупка!$AC$25:$AC$372,$G666)</f>
        <v>0</v>
      </c>
      <c r="BA666" s="1116">
        <f>_xlfn.SUMIFS(Покупка!AZ$25:AZ$372,Покупка!$F$25:$F$372,$F666,Покупка!$AC$25:$AC$372,$G666)</f>
        <v>0</v>
      </c>
      <c r="BB666" s="1116">
        <f>_xlfn.SUMIFS(Покупка!BA$25:BA$372,Покупка!$F$25:$F$372,$F666,Покупка!$AC$25:$AC$372,$G666)</f>
        <v>0</v>
      </c>
      <c r="BC666" s="1116">
        <f>_xlfn.SUMIFS(Покупка!BB$25:BB$372,Покупка!$F$25:$F$372,$F666,Покупка!$AC$25:$AC$372,$G666)</f>
        <v>0</v>
      </c>
      <c r="BD666" s="943">
        <f>IF(AI666=0,0,(AT666-AI666)/AI666*100)</f>
        <v>0</v>
      </c>
      <c r="BE666" s="943">
        <f>IF(AT666=0,0,(AU666-AT666)/AT666*100)</f>
        <v>0</v>
      </c>
      <c r="BF666" s="943">
        <f>IF(AU666=0,0,(AV666-AU666)/AU666*100)</f>
        <v>0</v>
      </c>
      <c r="BG666" s="943">
        <f>IF(AV666=0,0,(AW666-AV666)/AV666*100)</f>
        <v>0</v>
      </c>
      <c r="BH666" s="943">
        <f>IF(AW666=0,0,(AX666-AW666)/AW666*100)</f>
        <v>0</v>
      </c>
      <c r="BI666" s="943">
        <f>IF(AX666=0,0,(AY666-AX666)/AX666*100)</f>
        <v>0</v>
      </c>
      <c r="BJ666" s="943">
        <f>IF(AY666=0,0,(AZ666-AY666)/AY666*100)</f>
        <v>0</v>
      </c>
      <c r="BK666" s="943">
        <f>IF(AZ666=0,0,(BA666-AZ666)/AZ666*100)</f>
        <v>0</v>
      </c>
      <c r="BL666" s="943">
        <f>IF(BA666=0,0,(BB666-BA666)/BA666*100)</f>
        <v>0</v>
      </c>
      <c r="BM666" s="943">
        <f>IF(BB666=0,0,(BC666-BB666)/BB666*100)</f>
        <v>0</v>
      </c>
      <c r="BN666" s="7771"/>
      <c r="BO666" s="7724" t="str">
        <f>IF(_xlfn.IFERROR(INDEX(Покупка!$K$26:$L$372,MATCH($F666&amp;"9komm",Покупка!$K$26:$K$372,0),2),"")=0,"",_xlfn.IFERROR(INDEX(Покупка!$K$26:$L$372,MATCH($F666&amp;"9komm",Покупка!$K$26:$K$372,0),2),""))</f>
        <v/>
      </c>
      <c r="BP666" s="7771"/>
      <c r="BQ666" s="1233"/>
      <c r="BR666" s="1233"/>
      <c r="BS666" s="1064" t="s">
        <v>1854</v>
      </c>
      <c r="BT666" s="1064"/>
      <c r="BU666" s="1064"/>
      <c r="BV666" s="703"/>
      <c r="BW666" s="703"/>
    </row>
    <row s="1834" customFormat="1" customHeight="1" ht="14.25">
      <c r="A667" s="1278"/>
      <c r="B667" s="96"/>
      <c r="C667" s="107"/>
      <c r="D667" s="107"/>
      <c r="E667" s="621">
        <v>15</v>
      </c>
      <c r="F667" s="50" cm="1" t="str">
        <f t="array" ref="F667:F667">OFFSET(E667,-1,1)</f>
        <v>4</v>
      </c>
      <c r="G667" s="107"/>
      <c r="H667" s="107"/>
      <c r="I667" s="107" t="s">
        <v>1196</v>
      </c>
      <c r="J667" s="107"/>
      <c r="K667" s="107" t="s">
        <v>1196</v>
      </c>
      <c r="L667" s="980"/>
      <c r="M667" s="107"/>
      <c r="N667" s="107"/>
      <c r="O667" s="107"/>
      <c r="P667" s="107"/>
      <c r="Q667" s="107"/>
      <c r="R667" s="107"/>
      <c r="S667" s="107"/>
      <c r="T667" s="465" cm="1" t="str">
        <f t="array" ref="T667:T667">T666</f>
        <v>true</v>
      </c>
      <c r="U667" s="107"/>
      <c r="V667" s="107"/>
      <c r="W667" s="1278"/>
      <c r="X667" s="1563"/>
      <c r="Y667" s="1278"/>
      <c r="Z667" s="1546"/>
      <c r="AA667" s="1278"/>
      <c r="AB667" s="299" t="s">
        <v>1254</v>
      </c>
      <c r="AC667" s="762" t="s">
        <v>2767</v>
      </c>
      <c r="AD667" s="779" t="s">
        <v>1514</v>
      </c>
      <c r="AE667" s="259">
        <f>_xlfn.SUMIFS('Сырье и материалы'!AE$25:AE$162,'Сырье и материалы'!$F$25:$F$162,$F667,'Сырье и материалы'!$I$25:$I$162,"Реагенты")</f>
        <v>0</v>
      </c>
      <c r="AF667" s="259">
        <f>_xlfn.SUMIFS('Сырье и материалы'!AF$25:AF$162,'Сырье и материалы'!$F$25:$F$162,$F667,'Сырье и материалы'!$I$25:$I$162,"Реагенты")</f>
        <v>0</v>
      </c>
      <c r="AG667" s="259">
        <f>_xlfn.SUMIFS('Сырье и материалы'!AG$25:AG$162,'Сырье и материалы'!$F$25:$F$162,$F667,'Сырье и материалы'!$I$25:$I$162,"Реагенты")</f>
        <v>0</v>
      </c>
      <c r="AH667" s="943">
        <f>AG667-AF667</f>
        <v>0</v>
      </c>
      <c r="AI667" s="943">
        <f>_xlfn.SUMIFS('Сырье и материалы'!AH$25:AH$162,'Сырье и материалы'!$F$25:$F$162,$F667,'Сырье и материалы'!$I$25:$I$162,"Реагенты")</f>
        <v>0</v>
      </c>
      <c r="AJ667" s="943">
        <f>_xlfn.SUMIFS('Сырье и материалы'!AI$25:AI$162,'Сырье и материалы'!$F$25:$F$162,$F667,'Сырье и материалы'!$I$25:$I$162,"Реагенты")</f>
        <v>3327.168988</v>
      </c>
      <c r="AK667" s="943">
        <f>_xlfn.SUMIFS('Сырье и материалы'!AJ$25:AJ$162,'Сырье и материалы'!$F$25:$F$162,$F667,'Сырье и материалы'!$I$25:$I$162,"Реагенты")</f>
        <v>3456.928578532</v>
      </c>
      <c r="AL667" s="943">
        <f>_xlfn.SUMIFS('Сырье и материалы'!AK$25:AK$162,'Сырье и материалы'!$F$25:$F$162,$F667,'Сырье и материалы'!$I$25:$I$162,"Реагенты")</f>
        <v>3588.29186451622</v>
      </c>
      <c r="AM667" s="943">
        <f>_xlfn.SUMIFS('Сырье и материалы'!AL$25:AL$162,'Сырье и материалы'!$F$25:$F$162,$F667,'Сырье и материалы'!$I$25:$I$162,"Реагенты")</f>
        <v>3724.64695536783</v>
      </c>
      <c r="AN667" s="943">
        <f>_xlfn.SUMIFS('Сырье и материалы'!AM$25:AM$162,'Сырье и материалы'!$F$25:$F$162,$F667,'Сырье и материалы'!$I$25:$I$162,"Реагенты")</f>
        <v>3866.18353967181</v>
      </c>
      <c r="AO667" s="943">
        <f>_xlfn.SUMIFS('Сырье и материалы'!AN$25:AN$162,'Сырье и материалы'!$F$25:$F$162,$F667,'Сырье и материалы'!$I$25:$I$162,"Реагенты")</f>
        <v>0</v>
      </c>
      <c r="AP667" s="943">
        <f>_xlfn.SUMIFS('Сырье и материалы'!AO$25:AO$162,'Сырье и материалы'!$F$25:$F$162,$F667,'Сырье и материалы'!$I$25:$I$162,"Реагенты")</f>
        <v>0</v>
      </c>
      <c r="AQ667" s="943">
        <f>_xlfn.SUMIFS('Сырье и материалы'!AP$25:AP$162,'Сырье и материалы'!$F$25:$F$162,$F667,'Сырье и материалы'!$I$25:$I$162,"Реагенты")</f>
        <v>0</v>
      </c>
      <c r="AR667" s="943">
        <f>_xlfn.SUMIFS('Сырье и материалы'!AQ$25:AQ$162,'Сырье и материалы'!$F$25:$F$162,$F667,'Сырье и материалы'!$I$25:$I$162,"Реагенты")</f>
        <v>0</v>
      </c>
      <c r="AS667" s="943">
        <f>_xlfn.SUMIFS('Сырье и материалы'!AR$25:AR$162,'Сырье и материалы'!$F$25:$F$162,$F667,'Сырье и материалы'!$I$25:$I$162,"Реагенты")</f>
        <v>0</v>
      </c>
      <c r="AT667" s="943">
        <f>_xlfn.SUMIFS('Сырье и материалы'!AS$25:AS$162,'Сырье и материалы'!$F$25:$F$162,$F667,'Сырье и материалы'!$I$25:$I$162,"Реагенты")</f>
        <v>3327.168988</v>
      </c>
      <c r="AU667" s="943">
        <f>_xlfn.SUMIFS('Сырье и материалы'!AT$25:AT$162,'Сырье и материалы'!$F$25:$F$162,$F667,'Сырье и материалы'!$I$25:$I$162,"Реагенты")</f>
        <v>3456.928578532</v>
      </c>
      <c r="AV667" s="943">
        <f>_xlfn.SUMIFS('Сырье и материалы'!AU$25:AU$162,'Сырье и материалы'!$F$25:$F$162,$F667,'Сырье и материалы'!$I$25:$I$162,"Реагенты")</f>
        <v>3588.29186451622</v>
      </c>
      <c r="AW667" s="943">
        <f>_xlfn.SUMIFS('Сырье и материалы'!AV$25:AV$162,'Сырье и материалы'!$F$25:$F$162,$F667,'Сырье и материалы'!$I$25:$I$162,"Реагенты")</f>
        <v>3724.64695536783</v>
      </c>
      <c r="AX667" s="943">
        <f>_xlfn.SUMIFS('Сырье и материалы'!AW$25:AW$162,'Сырье и материалы'!$F$25:$F$162,$F667,'Сырье и материалы'!$I$25:$I$162,"Реагенты")</f>
        <v>3866.18353967181</v>
      </c>
      <c r="AY667" s="943">
        <f>_xlfn.SUMIFS('Сырье и материалы'!AX$25:AX$162,'Сырье и материалы'!$F$25:$F$162,$F667,'Сырье и материалы'!$I$25:$I$162,"Реагенты")</f>
        <v>0</v>
      </c>
      <c r="AZ667" s="943">
        <f>_xlfn.SUMIFS('Сырье и материалы'!AY$25:AY$162,'Сырье и материалы'!$F$25:$F$162,$F667,'Сырье и материалы'!$I$25:$I$162,"Реагенты")</f>
        <v>0</v>
      </c>
      <c r="BA667" s="943">
        <f>_xlfn.SUMIFS('Сырье и материалы'!AZ$25:AZ$162,'Сырье и материалы'!$F$25:$F$162,$F667,'Сырье и материалы'!$I$25:$I$162,"Реагенты")</f>
        <v>0</v>
      </c>
      <c r="BB667" s="943">
        <f>_xlfn.SUMIFS('Сырье и материалы'!BA$25:BA$162,'Сырье и материалы'!$F$25:$F$162,$F667,'Сырье и материалы'!$I$25:$I$162,"Реагенты")</f>
        <v>0</v>
      </c>
      <c r="BC667" s="943">
        <f>_xlfn.SUMIFS('Сырье и материалы'!BB$25:BB$162,'Сырье и материалы'!$F$25:$F$162,$F667,'Сырье и материалы'!$I$25:$I$162,"Реагенты")</f>
        <v>0</v>
      </c>
      <c r="BD667" s="943">
        <f>IF(AI667=0,0,(AT667-AI667)/AI667*100)</f>
        <v>0</v>
      </c>
      <c r="BE667" s="943">
        <f>IF(AT667=0,0,(AU667-AT667)/AT667*100)</f>
        <v>3.9</v>
      </c>
      <c r="BF667" s="943">
        <f>IF(AU667=0,0,(AV667-AU667)/AU667*100)</f>
        <v>3.80000000000012</v>
      </c>
      <c r="BG667" s="943">
        <f>IF(AV667=0,0,(AW667-AV667)/AV667*100)</f>
        <v>3.79999999999982</v>
      </c>
      <c r="BH667" s="943">
        <f>IF(AW667=0,0,(AX667-AW667)/AW667*100)</f>
        <v>3.8000000000001</v>
      </c>
      <c r="BI667" s="943">
        <f>IF(AX667=0,0,(AY667-AX667)/AX667*100)</f>
        <v>-100</v>
      </c>
      <c r="BJ667" s="943">
        <f>IF(AY667=0,0,(AZ667-AY667)/AY667*100)</f>
        <v>0</v>
      </c>
      <c r="BK667" s="943">
        <f>IF(AZ667=0,0,(BA667-AZ667)/AZ667*100)</f>
        <v>0</v>
      </c>
      <c r="BL667" s="943">
        <f>IF(BA667=0,0,(BB667-BA667)/BA667*100)</f>
        <v>0</v>
      </c>
      <c r="BM667" s="943">
        <f>IF(BB667=0,0,(BC667-BB667)/BB667*100)</f>
        <v>0</v>
      </c>
      <c r="BN667" s="7771"/>
      <c r="BO667" s="7724" t="str">
        <f>IF(_xlfn.IFERROR(INDEX('Сырье и материалы'!$K$26:$L$162,MATCH($F667&amp;"komm",'Сырье и материалы'!$K$26:$K$162,0),2),"")=0,"",_xlfn.IFERROR(INDEX('Сырье и материалы'!$K$26:$L$162,MATCH($F667&amp;"komm",'Сырье и материалы'!$K$26:$K$162,0),2),""))</f>
        <v/>
      </c>
      <c r="BP667" s="7771"/>
      <c r="BQ667" s="1278"/>
      <c r="BR667" s="1278"/>
      <c r="BS667" s="1064" t="s">
        <v>2438</v>
      </c>
      <c r="BT667" s="1064"/>
      <c r="BU667" s="1064"/>
      <c r="BV667" s="979"/>
      <c r="BW667" s="979"/>
    </row>
    <row s="7954" customFormat="1" customHeight="1" ht="20.25">
      <c r="A668" s="700"/>
      <c r="B668" s="111"/>
      <c r="C668" s="109"/>
      <c r="D668" s="109"/>
      <c r="E668" s="826">
        <v>21</v>
      </c>
      <c r="F668" s="50" cm="1" t="str">
        <f t="array" ref="F668:F668">OFFSET(E668,-1,1)</f>
        <v>4</v>
      </c>
      <c r="G668" s="109"/>
      <c r="H668" s="107"/>
      <c r="I668" s="107" t="s">
        <v>1648</v>
      </c>
      <c r="J668" s="109"/>
      <c r="K668" s="107" t="s">
        <v>1648</v>
      </c>
      <c r="L668" s="985" t="s">
        <v>1228</v>
      </c>
      <c r="M668" s="109"/>
      <c r="N668" s="109"/>
      <c r="O668" s="109"/>
      <c r="P668" s="109"/>
      <c r="Q668" s="109"/>
      <c r="R668" s="109"/>
      <c r="S668" s="109"/>
      <c r="T668" s="465" cm="1" t="str">
        <f t="array" ref="T668:T668">T667</f>
        <v>true</v>
      </c>
      <c r="U668" s="109"/>
      <c r="V668" s="109"/>
      <c r="W668" s="700"/>
      <c r="X668" s="1563"/>
      <c r="Y668" s="700"/>
      <c r="Z668" s="1546"/>
      <c r="AA668" s="700"/>
      <c r="AB668" s="218" t="s">
        <v>1258</v>
      </c>
      <c r="AC668" s="361" t="s">
        <v>2768</v>
      </c>
      <c r="AD668" s="211" t="s">
        <v>1514</v>
      </c>
      <c r="AE668" s="778">
        <f>SUM(AE669:AE678)</f>
        <v>0</v>
      </c>
      <c r="AF668" s="778">
        <f>SUM(AF669:AF678)</f>
        <v>0</v>
      </c>
      <c r="AG668" s="778">
        <f>SUM(AG669:AG678)</f>
        <v>0</v>
      </c>
      <c r="AH668" s="761">
        <f>AG668-AF668</f>
        <v>0</v>
      </c>
      <c r="AI668" s="761">
        <f>SUM(AI669:AI678)</f>
        <v>0</v>
      </c>
      <c r="AJ668" s="770">
        <f>SUM(AJ669:AJ678)</f>
        <v>375.984184342857</v>
      </c>
      <c r="AK668" s="761">
        <f>SUM(AK669:AK678)</f>
        <v>360.441611716571</v>
      </c>
      <c r="AL668" s="761">
        <f>SUM(AL669:AL678)</f>
        <v>368.294276185234</v>
      </c>
      <c r="AM668" s="761">
        <f>SUM(AM669:AM678)</f>
        <v>695.557567232644</v>
      </c>
      <c r="AN668" s="761">
        <f>SUM(AN669:AN678)</f>
        <v>615.00558992195</v>
      </c>
      <c r="AO668" s="761">
        <f>SUM(AO669:AO678)</f>
        <v>0</v>
      </c>
      <c r="AP668" s="761">
        <f>SUM(AP669:AP678)</f>
        <v>0</v>
      </c>
      <c r="AQ668" s="761">
        <f>SUM(AQ669:AQ678)</f>
        <v>0</v>
      </c>
      <c r="AR668" s="761">
        <f>SUM(AR669:AR678)</f>
        <v>0</v>
      </c>
      <c r="AS668" s="761">
        <f>SUM(AS669:AS678)</f>
        <v>0</v>
      </c>
      <c r="AT668" s="770">
        <f>SUM(AT669:AT678)</f>
        <v>375.984184342857</v>
      </c>
      <c r="AU668" s="761">
        <f>SUM(AU669:AU678)</f>
        <v>360.441611716571</v>
      </c>
      <c r="AV668" s="761">
        <f>SUM(AV669:AV678)</f>
        <v>368.294276185234</v>
      </c>
      <c r="AW668" s="761">
        <f>SUM(AW669:AW678)</f>
        <v>695.557567232644</v>
      </c>
      <c r="AX668" s="761">
        <f>SUM(AX669:AX678)</f>
        <v>615.00558992195</v>
      </c>
      <c r="AY668" s="761">
        <f>SUM(AY669:AY678)</f>
        <v>0</v>
      </c>
      <c r="AZ668" s="761">
        <f>SUM(AZ669:AZ678)</f>
        <v>0</v>
      </c>
      <c r="BA668" s="761">
        <f>SUM(BA669:BA678)</f>
        <v>0</v>
      </c>
      <c r="BB668" s="761">
        <f>SUM(BB669:BB678)</f>
        <v>0</v>
      </c>
      <c r="BC668" s="761">
        <f>SUM(BC669:BC678)</f>
        <v>0</v>
      </c>
      <c r="BD668" s="761">
        <f>IF(AI668=0,0,(AT668-AI668)/AI668*100)</f>
        <v>0</v>
      </c>
      <c r="BE668" s="761">
        <f>IF(AT668=0,0,(AU668-AT668)/AT668*100)</f>
        <v>-4.13383681376152</v>
      </c>
      <c r="BF668" s="761">
        <f>IF(AU668=0,0,(AV668-AU668)/AU668*100)</f>
        <v>2.17862317041182</v>
      </c>
      <c r="BG668" s="761">
        <f>IF(AV668=0,0,(AW668-AV668)/AV668*100)</f>
        <v>88.8591846816573</v>
      </c>
      <c r="BH668" s="761">
        <f>IF(AW668=0,0,(AX668-AW668)/AW668*100)</f>
        <v>-11.5809217102158</v>
      </c>
      <c r="BI668" s="761">
        <f>IF(AX668=0,0,(AY668-AX668)/AX668*100)</f>
        <v>-100</v>
      </c>
      <c r="BJ668" s="761">
        <f>IF(AY668=0,0,(AZ668-AY668)/AY668*100)</f>
        <v>0</v>
      </c>
      <c r="BK668" s="761">
        <f>IF(AZ668=0,0,(BA668-AZ668)/AZ668*100)</f>
        <v>0</v>
      </c>
      <c r="BL668" s="761">
        <f>IF(BA668=0,0,(BB668-BA668)/BA668*100)</f>
        <v>0</v>
      </c>
      <c r="BM668" s="761">
        <f>IF(BB668=0,0,(BC668-BB668)/BB668*100)</f>
        <v>0</v>
      </c>
      <c r="BN668" s="7436"/>
      <c r="BO668" s="7724" t="str">
        <f>IF(_xlfn.IFERROR(INDEX(Налоги!$K$26:$L$101,MATCH($F668&amp;"komm",Налоги!$K$26:$K$101,0),2),"")=0,"",_xlfn.IFERROR(INDEX(Налоги!$K$26:$L$101,MATCH($F668&amp;"komm",Налоги!$K$26:$K$101,0),2),""))</f>
        <v>В соответствии с п.п. 2 п. 49 Методических указаний 1746-э.</v>
      </c>
      <c r="BP668" s="7436"/>
      <c r="BQ668" s="700"/>
      <c r="BR668" s="700"/>
      <c r="BS668" s="1070" t="s">
        <v>1999</v>
      </c>
      <c r="BT668" s="1070"/>
      <c r="BU668" s="1070"/>
      <c r="BV668" s="707"/>
      <c r="BW668" s="707"/>
    </row>
    <row s="1834" customFormat="1" customHeight="1" ht="14.25">
      <c r="A669" s="1278"/>
      <c r="B669" s="96"/>
      <c r="C669" s="107"/>
      <c r="D669" s="107"/>
      <c r="E669" s="621">
        <v>15</v>
      </c>
      <c r="F669" s="50" cm="1" t="str">
        <f t="array" ref="F669:F669">OFFSET(E669,-1,1)</f>
        <v>4</v>
      </c>
      <c r="G669" s="922">
        <v>7</v>
      </c>
      <c r="H669" s="107"/>
      <c r="I669" s="107" t="s">
        <v>2769</v>
      </c>
      <c r="J669" s="107"/>
      <c r="K669" s="107" t="s">
        <v>2769</v>
      </c>
      <c r="L669" s="980"/>
      <c r="M669" s="107"/>
      <c r="N669" s="107"/>
      <c r="O669" s="107"/>
      <c r="P669" s="107"/>
      <c r="Q669" s="107"/>
      <c r="R669" s="107"/>
      <c r="S669" s="107"/>
      <c r="T669" s="465" cm="1" t="str">
        <f t="array" ref="T669:T669">T668</f>
        <v>true</v>
      </c>
      <c r="U669" s="107"/>
      <c r="V669" s="107"/>
      <c r="W669" s="1278"/>
      <c r="X669" s="1563"/>
      <c r="Y669" s="1278"/>
      <c r="Z669" s="1546"/>
      <c r="AA669" s="1278"/>
      <c r="AB669" s="299" t="s">
        <v>1212</v>
      </c>
      <c r="AC669" s="765" t="s">
        <v>2013</v>
      </c>
      <c r="AD669" s="300" t="s">
        <v>1514</v>
      </c>
      <c r="AE669" s="259">
        <f>_xlfn.SUMIFS(Налоги!AE$25:AE$101,Налоги!$F$25:$F$101,$F669,Налоги!$AB$25:$AB$101,$G669)</f>
        <v>0</v>
      </c>
      <c r="AF669" s="259">
        <f>_xlfn.SUMIFS(Налоги!AF$25:AF$101,Налоги!$F$25:$F$101,$F669,Налоги!$AB$25:$AB$101,$G669)</f>
        <v>0</v>
      </c>
      <c r="AG669" s="259">
        <f>_xlfn.SUMIFS(Налоги!AG$25:AG$101,Налоги!$F$25:$F$101,$F669,Налоги!$AB$25:$AB$101,$G669)</f>
        <v>0</v>
      </c>
      <c r="AH669" s="943">
        <f>AG669-AF669</f>
        <v>0</v>
      </c>
      <c r="AI669" s="943">
        <f>_xlfn.SUMIFS(Налоги!AH$25:AH$101,Налоги!$F$25:$F$101,$F669,Налоги!$AB$25:$AB$101,$G669)</f>
        <v>0</v>
      </c>
      <c r="AJ669" s="943">
        <f>_xlfn.SUMIFS(Налоги!AI$25:AI$101,Налоги!$F$25:$F$101,$F669,Налоги!$AB$25:$AB$101,$G669)</f>
        <v>0</v>
      </c>
      <c r="AK669" s="943">
        <f>_xlfn.SUMIFS(Налоги!AJ$25:AJ$101,Налоги!$F$25:$F$101,$F669,Налоги!$AB$25:$AB$101,$G669)</f>
        <v>0</v>
      </c>
      <c r="AL669" s="943">
        <f>_xlfn.SUMIFS(Налоги!AK$25:AK$101,Налоги!$F$25:$F$101,$F669,Налоги!$AB$25:$AB$101,$G669)</f>
        <v>0</v>
      </c>
      <c r="AM669" s="943">
        <f>_xlfn.SUMIFS(Налоги!AL$25:AL$101,Налоги!$F$25:$F$101,$F669,Налоги!$AB$25:$AB$101,$G669)</f>
        <v>0</v>
      </c>
      <c r="AN669" s="943">
        <f>_xlfn.SUMIFS(Налоги!AM$25:AM$101,Налоги!$F$25:$F$101,$F669,Налоги!$AB$25:$AB$101,$G669)</f>
        <v>0</v>
      </c>
      <c r="AO669" s="943">
        <f>_xlfn.SUMIFS(Налоги!AN$25:AN$101,Налоги!$F$25:$F$101,$F669,Налоги!$AB$25:$AB$101,$G669)</f>
        <v>0</v>
      </c>
      <c r="AP669" s="943">
        <f>_xlfn.SUMIFS(Налоги!AO$25:AO$101,Налоги!$F$25:$F$101,$F669,Налоги!$AB$25:$AB$101,$G669)</f>
        <v>0</v>
      </c>
      <c r="AQ669" s="943">
        <f>_xlfn.SUMIFS(Налоги!AP$25:AP$101,Налоги!$F$25:$F$101,$F669,Налоги!$AB$25:$AB$101,$G669)</f>
        <v>0</v>
      </c>
      <c r="AR669" s="943">
        <f>_xlfn.SUMIFS(Налоги!AQ$25:AQ$101,Налоги!$F$25:$F$101,$F669,Налоги!$AB$25:$AB$101,$G669)</f>
        <v>0</v>
      </c>
      <c r="AS669" s="943">
        <f>_xlfn.SUMIFS(Налоги!AR$25:AR$101,Налоги!$F$25:$F$101,$F669,Налоги!$AB$25:$AB$101,$G669)</f>
        <v>0</v>
      </c>
      <c r="AT669" s="943">
        <f>_xlfn.SUMIFS(Налоги!AS$25:AS$101,Налоги!$F$25:$F$101,$F669,Налоги!$AB$25:$AB$101,$G669)</f>
        <v>0</v>
      </c>
      <c r="AU669" s="943">
        <f>_xlfn.SUMIFS(Налоги!AT$25:AT$101,Налоги!$F$25:$F$101,$F669,Налоги!$AB$25:$AB$101,$G669)</f>
        <v>0</v>
      </c>
      <c r="AV669" s="943">
        <f>_xlfn.SUMIFS(Налоги!AU$25:AU$101,Налоги!$F$25:$F$101,$F669,Налоги!$AB$25:$AB$101,$G669)</f>
        <v>0</v>
      </c>
      <c r="AW669" s="943">
        <f>_xlfn.SUMIFS(Налоги!AV$25:AV$101,Налоги!$F$25:$F$101,$F669,Налоги!$AB$25:$AB$101,$G669)</f>
        <v>0</v>
      </c>
      <c r="AX669" s="943">
        <f>_xlfn.SUMIFS(Налоги!AW$25:AW$101,Налоги!$F$25:$F$101,$F669,Налоги!$AB$25:$AB$101,$G669)</f>
        <v>0</v>
      </c>
      <c r="AY669" s="943">
        <f>_xlfn.SUMIFS(Налоги!AX$25:AX$101,Налоги!$F$25:$F$101,$F669,Налоги!$AB$25:$AB$101,$G669)</f>
        <v>0</v>
      </c>
      <c r="AZ669" s="943">
        <f>_xlfn.SUMIFS(Налоги!AY$25:AY$101,Налоги!$F$25:$F$101,$F669,Налоги!$AB$25:$AB$101,$G669)</f>
        <v>0</v>
      </c>
      <c r="BA669" s="943">
        <f>_xlfn.SUMIFS(Налоги!AZ$25:AZ$101,Налоги!$F$25:$F$101,$F669,Налоги!$AB$25:$AB$101,$G669)</f>
        <v>0</v>
      </c>
      <c r="BB669" s="943">
        <f>_xlfn.SUMIFS(Налоги!BA$25:BA$101,Налоги!$F$25:$F$101,$F669,Налоги!$AB$25:$AB$101,$G669)</f>
        <v>0</v>
      </c>
      <c r="BC669" s="943">
        <f>_xlfn.SUMIFS(Налоги!BB$25:BB$101,Налоги!$F$25:$F$101,$F669,Налоги!$AB$25:$AB$101,$G669)</f>
        <v>0</v>
      </c>
      <c r="BD669" s="943">
        <f>IF(AI669=0,0,(AT669-AI669)/AI669*100)</f>
        <v>0</v>
      </c>
      <c r="BE669" s="943">
        <f>IF(AT669=0,0,(AU669-AT669)/AT669*100)</f>
        <v>0</v>
      </c>
      <c r="BF669" s="943">
        <f>IF(AU669=0,0,(AV669-AU669)/AU669*100)</f>
        <v>0</v>
      </c>
      <c r="BG669" s="943">
        <f>IF(AV669=0,0,(AW669-AV669)/AV669*100)</f>
        <v>0</v>
      </c>
      <c r="BH669" s="943">
        <f>IF(AW669=0,0,(AX669-AW669)/AW669*100)</f>
        <v>0</v>
      </c>
      <c r="BI669" s="943">
        <f>IF(AX669=0,0,(AY669-AX669)/AX669*100)</f>
        <v>0</v>
      </c>
      <c r="BJ669" s="943">
        <f>IF(AY669=0,0,(AZ669-AY669)/AY669*100)</f>
        <v>0</v>
      </c>
      <c r="BK669" s="943">
        <f>IF(AZ669=0,0,(BA669-AZ669)/AZ669*100)</f>
        <v>0</v>
      </c>
      <c r="BL669" s="943">
        <f>IF(BA669=0,0,(BB669-BA669)/BA669*100)</f>
        <v>0</v>
      </c>
      <c r="BM669" s="943">
        <f>IF(BB669=0,0,(BC669-BB669)/BB669*100)</f>
        <v>0</v>
      </c>
      <c r="BN669" s="7771"/>
      <c r="BO669" s="7724" t="str">
        <f>IF(_xlfn.IFERROR(INDEX(Налоги!$K$26:$L$101,MATCH($F669&amp;"7komm",Налоги!$K$26:$K$101,0),2),"")=0,"",_xlfn.IFERROR(INDEX(Налоги!$K$26:$L$101,MATCH($F669&amp;"7komm",Налоги!$K$26:$K$101,0),2),""))</f>
        <v/>
      </c>
      <c r="BP669" s="7771"/>
      <c r="BQ669" s="1278"/>
      <c r="BR669" s="1278"/>
      <c r="BS669" s="1064" t="s">
        <v>2770</v>
      </c>
      <c r="BT669" s="1064"/>
      <c r="BU669" s="1064"/>
      <c r="BV669" s="979"/>
      <c r="BW669" s="979"/>
    </row>
    <row s="1834" customFormat="1" customHeight="1" ht="14.25">
      <c r="A670" s="1278"/>
      <c r="B670" s="96"/>
      <c r="C670" s="107"/>
      <c r="D670" s="107"/>
      <c r="E670" s="621">
        <v>15</v>
      </c>
      <c r="F670" s="50" cm="1" t="str">
        <f t="array" ref="F670:F670">OFFSET(E670,-1,1)</f>
        <v>4</v>
      </c>
      <c r="G670" s="922">
        <v>6</v>
      </c>
      <c r="H670" s="107"/>
      <c r="I670" s="107" t="s">
        <v>2771</v>
      </c>
      <c r="J670" s="107"/>
      <c r="K670" s="107" t="s">
        <v>2771</v>
      </c>
      <c r="L670" s="980"/>
      <c r="M670" s="107"/>
      <c r="N670" s="107"/>
      <c r="O670" s="107"/>
      <c r="P670" s="107"/>
      <c r="Q670" s="107"/>
      <c r="R670" s="107"/>
      <c r="S670" s="107"/>
      <c r="T670" s="465" cm="1" t="str">
        <f t="array" ref="T670:T670">T669</f>
        <v>true</v>
      </c>
      <c r="U670" s="107"/>
      <c r="V670" s="107"/>
      <c r="W670" s="1278"/>
      <c r="X670" s="1563"/>
      <c r="Y670" s="1278"/>
      <c r="Z670" s="1546"/>
      <c r="AA670" s="1278"/>
      <c r="AB670" s="299" t="s">
        <v>2225</v>
      </c>
      <c r="AC670" s="765" t="s">
        <v>2772</v>
      </c>
      <c r="AD670" s="300" t="s">
        <v>1514</v>
      </c>
      <c r="AE670" s="259">
        <f>_xlfn.SUMIFS(Налоги!AE$25:AE$101,Налоги!$F$25:$F$101,$F670,Налоги!$AB$25:$AB$101,$G670)</f>
        <v>0</v>
      </c>
      <c r="AF670" s="259">
        <f>_xlfn.SUMIFS(Налоги!AF$25:AF$101,Налоги!$F$25:$F$101,$F670,Налоги!$AB$25:$AB$101,$G670)</f>
        <v>0</v>
      </c>
      <c r="AG670" s="259">
        <f>_xlfn.SUMIFS(Налоги!AG$25:AG$101,Налоги!$F$25:$F$101,$F670,Налоги!$AB$25:$AB$101,$G670)</f>
        <v>0</v>
      </c>
      <c r="AH670" s="943">
        <f>AG670-AF670</f>
        <v>0</v>
      </c>
      <c r="AI670" s="943">
        <f>_xlfn.SUMIFS(Налоги!AH$25:AH$101,Налоги!$F$25:$F$101,$F670,Налоги!$AB$25:$AB$101,$G670)</f>
        <v>0</v>
      </c>
      <c r="AJ670" s="943">
        <f>_xlfn.SUMIFS(Налоги!AI$25:AI$101,Налоги!$F$25:$F$101,$F670,Налоги!$AB$25:$AB$101,$G670)</f>
        <v>291.7735</v>
      </c>
      <c r="AK670" s="943">
        <f>_xlfn.SUMIFS(Налоги!AJ$25:AJ$101,Налоги!$F$25:$F$101,$F670,Налоги!$AB$25:$AB$101,$G670)</f>
        <v>272.8625</v>
      </c>
      <c r="AL670" s="943">
        <f>_xlfn.SUMIFS(Налоги!AK$25:AK$101,Налоги!$F$25:$F$101,$F670,Налоги!$AB$25:$AB$101,$G670)</f>
        <v>253.952</v>
      </c>
      <c r="AM670" s="943">
        <f>_xlfn.SUMIFS(Налоги!AL$25:AL$101,Налоги!$F$25:$F$101,$F670,Налоги!$AB$25:$AB$101,$G670)</f>
        <v>470.082</v>
      </c>
      <c r="AN670" s="943">
        <f>_xlfn.SUMIFS(Налоги!AM$25:AM$101,Налоги!$F$25:$F$101,$F670,Налоги!$AB$25:$AB$101,$G670)</f>
        <v>432.261</v>
      </c>
      <c r="AO670" s="943">
        <f>_xlfn.SUMIFS(Налоги!AN$25:AN$101,Налоги!$F$25:$F$101,$F670,Налоги!$AB$25:$AB$101,$G670)</f>
        <v>0</v>
      </c>
      <c r="AP670" s="943">
        <f>_xlfn.SUMIFS(Налоги!AO$25:AO$101,Налоги!$F$25:$F$101,$F670,Налоги!$AB$25:$AB$101,$G670)</f>
        <v>0</v>
      </c>
      <c r="AQ670" s="943">
        <f>_xlfn.SUMIFS(Налоги!AP$25:AP$101,Налоги!$F$25:$F$101,$F670,Налоги!$AB$25:$AB$101,$G670)</f>
        <v>0</v>
      </c>
      <c r="AR670" s="943">
        <f>_xlfn.SUMIFS(Налоги!AQ$25:AQ$101,Налоги!$F$25:$F$101,$F670,Налоги!$AB$25:$AB$101,$G670)</f>
        <v>0</v>
      </c>
      <c r="AS670" s="943">
        <f>_xlfn.SUMIFS(Налоги!AR$25:AR$101,Налоги!$F$25:$F$101,$F670,Налоги!$AB$25:$AB$101,$G670)</f>
        <v>0</v>
      </c>
      <c r="AT670" s="943">
        <f>_xlfn.SUMIFS(Налоги!AS$25:AS$101,Налоги!$F$25:$F$101,$F670,Налоги!$AB$25:$AB$101,$G670)</f>
        <v>291.7735</v>
      </c>
      <c r="AU670" s="943">
        <f>_xlfn.SUMIFS(Налоги!AT$25:AT$101,Налоги!$F$25:$F$101,$F670,Налоги!$AB$25:$AB$101,$G670)</f>
        <v>272.8625</v>
      </c>
      <c r="AV670" s="943">
        <f>_xlfn.SUMIFS(Налоги!AU$25:AU$101,Налоги!$F$25:$F$101,$F670,Налоги!$AB$25:$AB$101,$G670)</f>
        <v>253.952</v>
      </c>
      <c r="AW670" s="943">
        <f>_xlfn.SUMIFS(Налоги!AV$25:AV$101,Налоги!$F$25:$F$101,$F670,Налоги!$AB$25:$AB$101,$G670)</f>
        <v>470.082</v>
      </c>
      <c r="AX670" s="943">
        <f>_xlfn.SUMIFS(Налоги!AW$25:AW$101,Налоги!$F$25:$F$101,$F670,Налоги!$AB$25:$AB$101,$G670)</f>
        <v>432.261</v>
      </c>
      <c r="AY670" s="943">
        <f>_xlfn.SUMIFS(Налоги!AX$25:AX$101,Налоги!$F$25:$F$101,$F670,Налоги!$AB$25:$AB$101,$G670)</f>
        <v>0</v>
      </c>
      <c r="AZ670" s="943">
        <f>_xlfn.SUMIFS(Налоги!AY$25:AY$101,Налоги!$F$25:$F$101,$F670,Налоги!$AB$25:$AB$101,$G670)</f>
        <v>0</v>
      </c>
      <c r="BA670" s="943">
        <f>_xlfn.SUMIFS(Налоги!AZ$25:AZ$101,Налоги!$F$25:$F$101,$F670,Налоги!$AB$25:$AB$101,$G670)</f>
        <v>0</v>
      </c>
      <c r="BB670" s="943">
        <f>_xlfn.SUMIFS(Налоги!BA$25:BA$101,Налоги!$F$25:$F$101,$F670,Налоги!$AB$25:$AB$101,$G670)</f>
        <v>0</v>
      </c>
      <c r="BC670" s="943">
        <f>_xlfn.SUMIFS(Налоги!BB$25:BB$101,Налоги!$F$25:$F$101,$F670,Налоги!$AB$25:$AB$101,$G670)</f>
        <v>0</v>
      </c>
      <c r="BD670" s="943">
        <f>IF(AI670=0,0,(AT670-AI670)/AI670*100)</f>
        <v>0</v>
      </c>
      <c r="BE670" s="943">
        <f>IF(AT670=0,0,(AU670-AT670)/AT670*100)</f>
        <v>-6.48139738530058</v>
      </c>
      <c r="BF670" s="943">
        <f>IF(AU670=0,0,(AV670-AU670)/AU670*100)</f>
        <v>-6.93041366988869</v>
      </c>
      <c r="BG670" s="943">
        <f>IF(AV670=0,0,(AW670-AV670)/AV670*100)</f>
        <v>85.1066343245968</v>
      </c>
      <c r="BH670" s="943">
        <f>IF(AW670=0,0,(AX670-AW670)/AW670*100)</f>
        <v>-8.04561757310426</v>
      </c>
      <c r="BI670" s="943">
        <f>IF(AX670=0,0,(AY670-AX670)/AX670*100)</f>
        <v>-100</v>
      </c>
      <c r="BJ670" s="943">
        <f>IF(AY670=0,0,(AZ670-AY670)/AY670*100)</f>
        <v>0</v>
      </c>
      <c r="BK670" s="943">
        <f>IF(AZ670=0,0,(BA670-AZ670)/AZ670*100)</f>
        <v>0</v>
      </c>
      <c r="BL670" s="943">
        <f>IF(BA670=0,0,(BB670-BA670)/BA670*100)</f>
        <v>0</v>
      </c>
      <c r="BM670" s="943">
        <f>IF(BB670=0,0,(BC670-BB670)/BB670*100)</f>
        <v>0</v>
      </c>
      <c r="BN670" s="7771"/>
      <c r="BO670" s="7724" t="str">
        <f>IF(_xlfn.IFERROR(INDEX(Налоги!$K$26:$L$101,MATCH($F670&amp;"6komm",Налоги!$K$26:$K$101,0),2),"")=0,"",_xlfn.IFERROR(INDEX(Налоги!$K$26:$L$101,MATCH($F670&amp;"6komm",Налоги!$K$26:$K$101,0),2),""))</f>
        <v>в соответствии с п.1 ст.308 Налогового кодекса РФ от 05.08.2000 № 117-ФЗ, с учетом уменьшения суммы налога на 50% на 2024-2028 годы в соответствии с Законом от 24.11.2033 № 107-ОЗ "О внесении изменения в статью 4 Закона Кемеровской области-кузбасса "О налоге на имущество организаций". Налог рассчитан по остаточной стоимости, данные получены из материалов, представленных организацией при получении долгосрочных параметров регулирования.</v>
      </c>
      <c r="BP670" s="7771"/>
      <c r="BQ670" s="1278"/>
      <c r="BR670" s="1278"/>
      <c r="BS670" s="1064" t="s">
        <v>2773</v>
      </c>
      <c r="BT670" s="1064"/>
      <c r="BU670" s="1064"/>
      <c r="BV670" s="979"/>
      <c r="BW670" s="979"/>
    </row>
    <row s="1834" customFormat="1" customHeight="1" ht="14.25">
      <c r="A671" s="1278"/>
      <c r="B671" s="96"/>
      <c r="C671" s="107"/>
      <c r="D671" s="107"/>
      <c r="E671" s="621">
        <v>15</v>
      </c>
      <c r="F671" s="50" cm="1" t="str">
        <f t="array" ref="F671:F671">OFFSET(E671,-1,1)</f>
        <v>4</v>
      </c>
      <c r="G671" s="922">
        <v>2</v>
      </c>
      <c r="H671" s="107"/>
      <c r="I671" s="107" t="s">
        <v>2774</v>
      </c>
      <c r="J671" s="107"/>
      <c r="K671" s="107" t="s">
        <v>2774</v>
      </c>
      <c r="L671" s="980"/>
      <c r="M671" s="107"/>
      <c r="N671" s="107"/>
      <c r="O671" s="107"/>
      <c r="P671" s="107"/>
      <c r="Q671" s="107"/>
      <c r="R671" s="107"/>
      <c r="S671" s="107"/>
      <c r="T671" s="465" cm="1" t="str">
        <f t="array" ref="T671:T671">T670</f>
        <v>true</v>
      </c>
      <c r="U671" s="107"/>
      <c r="V671" s="107"/>
      <c r="W671" s="1278"/>
      <c r="X671" s="1563"/>
      <c r="Y671" s="1278"/>
      <c r="Z671" s="1546"/>
      <c r="AA671" s="1278"/>
      <c r="AB671" s="299" t="s">
        <v>2230</v>
      </c>
      <c r="AC671" s="765" t="s">
        <v>2775</v>
      </c>
      <c r="AD671" s="300" t="s">
        <v>1514</v>
      </c>
      <c r="AE671" s="259">
        <f>_xlfn.SUMIFS(Налоги!AE$25:AE$101,Налоги!$F$25:$F$101,$F671,Налоги!$AB$25:$AB$101,$G671)</f>
        <v>0</v>
      </c>
      <c r="AF671" s="259">
        <f>_xlfn.SUMIFS(Налоги!AF$25:AF$101,Налоги!$F$25:$F$101,$F671,Налоги!$AB$25:$AB$101,$G671)</f>
        <v>0</v>
      </c>
      <c r="AG671" s="259">
        <f>_xlfn.SUMIFS(Налоги!AG$25:AG$101,Налоги!$F$25:$F$101,$F671,Налоги!$AB$25:$AB$101,$G671)</f>
        <v>0</v>
      </c>
      <c r="AH671" s="943">
        <f>AG671-AF671</f>
        <v>0</v>
      </c>
      <c r="AI671" s="943">
        <f>_xlfn.SUMIFS(Налоги!AH$25:AH$101,Налоги!$F$25:$F$101,$F671,Налоги!$AB$25:$AB$101,$G671)</f>
        <v>0</v>
      </c>
      <c r="AJ671" s="943">
        <f>_xlfn.SUMIFS(Налоги!AI$25:AI$101,Налоги!$F$25:$F$101,$F671,Налоги!$AB$25:$AB$101,$G671)</f>
        <v>0</v>
      </c>
      <c r="AK671" s="943">
        <f>_xlfn.SUMIFS(Налоги!AJ$25:AJ$101,Налоги!$F$25:$F$101,$F671,Налоги!$AB$25:$AB$101,$G671)</f>
        <v>0</v>
      </c>
      <c r="AL671" s="943">
        <f>_xlfn.SUMIFS(Налоги!AK$25:AK$101,Налоги!$F$25:$F$101,$F671,Налоги!$AB$25:$AB$101,$G671)</f>
        <v>0</v>
      </c>
      <c r="AM671" s="943">
        <f>_xlfn.SUMIFS(Налоги!AL$25:AL$101,Налоги!$F$25:$F$101,$F671,Налоги!$AB$25:$AB$101,$G671)</f>
        <v>0</v>
      </c>
      <c r="AN671" s="943">
        <f>_xlfn.SUMIFS(Налоги!AM$25:AM$101,Налоги!$F$25:$F$101,$F671,Налоги!$AB$25:$AB$101,$G671)</f>
        <v>0</v>
      </c>
      <c r="AO671" s="943">
        <f>_xlfn.SUMIFS(Налоги!AN$25:AN$101,Налоги!$F$25:$F$101,$F671,Налоги!$AB$25:$AB$101,$G671)</f>
        <v>0</v>
      </c>
      <c r="AP671" s="943">
        <f>_xlfn.SUMIFS(Налоги!AO$25:AO$101,Налоги!$F$25:$F$101,$F671,Налоги!$AB$25:$AB$101,$G671)</f>
        <v>0</v>
      </c>
      <c r="AQ671" s="943">
        <f>_xlfn.SUMIFS(Налоги!AP$25:AP$101,Налоги!$F$25:$F$101,$F671,Налоги!$AB$25:$AB$101,$G671)</f>
        <v>0</v>
      </c>
      <c r="AR671" s="943">
        <f>_xlfn.SUMIFS(Налоги!AQ$25:AQ$101,Налоги!$F$25:$F$101,$F671,Налоги!$AB$25:$AB$101,$G671)</f>
        <v>0</v>
      </c>
      <c r="AS671" s="943">
        <f>_xlfn.SUMIFS(Налоги!AR$25:AR$101,Налоги!$F$25:$F$101,$F671,Налоги!$AB$25:$AB$101,$G671)</f>
        <v>0</v>
      </c>
      <c r="AT671" s="943">
        <f>_xlfn.SUMIFS(Налоги!AS$25:AS$101,Налоги!$F$25:$F$101,$F671,Налоги!$AB$25:$AB$101,$G671)</f>
        <v>0</v>
      </c>
      <c r="AU671" s="943">
        <f>_xlfn.SUMIFS(Налоги!AT$25:AT$101,Налоги!$F$25:$F$101,$F671,Налоги!$AB$25:$AB$101,$G671)</f>
        <v>0</v>
      </c>
      <c r="AV671" s="943">
        <f>_xlfn.SUMIFS(Налоги!AU$25:AU$101,Налоги!$F$25:$F$101,$F671,Налоги!$AB$25:$AB$101,$G671)</f>
        <v>0</v>
      </c>
      <c r="AW671" s="943">
        <f>_xlfn.SUMIFS(Налоги!AV$25:AV$101,Налоги!$F$25:$F$101,$F671,Налоги!$AB$25:$AB$101,$G671)</f>
        <v>0</v>
      </c>
      <c r="AX671" s="943">
        <f>_xlfn.SUMIFS(Налоги!AW$25:AW$101,Налоги!$F$25:$F$101,$F671,Налоги!$AB$25:$AB$101,$G671)</f>
        <v>0</v>
      </c>
      <c r="AY671" s="943">
        <f>_xlfn.SUMIFS(Налоги!AX$25:AX$101,Налоги!$F$25:$F$101,$F671,Налоги!$AB$25:$AB$101,$G671)</f>
        <v>0</v>
      </c>
      <c r="AZ671" s="943">
        <f>_xlfn.SUMIFS(Налоги!AY$25:AY$101,Налоги!$F$25:$F$101,$F671,Налоги!$AB$25:$AB$101,$G671)</f>
        <v>0</v>
      </c>
      <c r="BA671" s="943">
        <f>_xlfn.SUMIFS(Налоги!AZ$25:AZ$101,Налоги!$F$25:$F$101,$F671,Налоги!$AB$25:$AB$101,$G671)</f>
        <v>0</v>
      </c>
      <c r="BB671" s="943">
        <f>_xlfn.SUMIFS(Налоги!BA$25:BA$101,Налоги!$F$25:$F$101,$F671,Налоги!$AB$25:$AB$101,$G671)</f>
        <v>0</v>
      </c>
      <c r="BC671" s="943">
        <f>_xlfn.SUMIFS(Налоги!BB$25:BB$101,Налоги!$F$25:$F$101,$F671,Налоги!$AB$25:$AB$101,$G671)</f>
        <v>0</v>
      </c>
      <c r="BD671" s="943">
        <f>IF(AI671=0,0,(AT671-AI671)/AI671*100)</f>
        <v>0</v>
      </c>
      <c r="BE671" s="943">
        <f>IF(AT671=0,0,(AU671-AT671)/AT671*100)</f>
        <v>0</v>
      </c>
      <c r="BF671" s="943">
        <f>IF(AU671=0,0,(AV671-AU671)/AU671*100)</f>
        <v>0</v>
      </c>
      <c r="BG671" s="943">
        <f>IF(AV671=0,0,(AW671-AV671)/AV671*100)</f>
        <v>0</v>
      </c>
      <c r="BH671" s="943">
        <f>IF(AW671=0,0,(AX671-AW671)/AW671*100)</f>
        <v>0</v>
      </c>
      <c r="BI671" s="943">
        <f>IF(AX671=0,0,(AY671-AX671)/AX671*100)</f>
        <v>0</v>
      </c>
      <c r="BJ671" s="943">
        <f>IF(AY671=0,0,(AZ671-AY671)/AY671*100)</f>
        <v>0</v>
      </c>
      <c r="BK671" s="943">
        <f>IF(AZ671=0,0,(BA671-AZ671)/AZ671*100)</f>
        <v>0</v>
      </c>
      <c r="BL671" s="943">
        <f>IF(BA671=0,0,(BB671-BA671)/BA671*100)</f>
        <v>0</v>
      </c>
      <c r="BM671" s="943">
        <f>IF(BB671=0,0,(BC671-BB671)/BB671*100)</f>
        <v>0</v>
      </c>
      <c r="BN671" s="7771"/>
      <c r="BO671" s="7724" t="str">
        <f>IF(_xlfn.IFERROR(INDEX(Налоги!$K$26:$L$101,MATCH($F671&amp;"2komm",Налоги!$K$26:$K$101,0),2),"")=0,"",_xlfn.IFERROR(INDEX(Налоги!$K$26:$L$101,MATCH($F671&amp;"2komm",Налоги!$K$26:$K$101,0),2),""))</f>
        <v/>
      </c>
      <c r="BP671" s="7771"/>
      <c r="BQ671" s="1278"/>
      <c r="BR671" s="1278"/>
      <c r="BS671" s="1064" t="s">
        <v>2776</v>
      </c>
      <c r="BT671" s="1064"/>
      <c r="BU671" s="1064"/>
      <c r="BV671" s="979"/>
      <c r="BW671" s="979"/>
    </row>
    <row s="1834" customFormat="1" customHeight="1" ht="14.25">
      <c r="A672" s="1278"/>
      <c r="B672" s="96"/>
      <c r="C672" s="107"/>
      <c r="D672" s="107"/>
      <c r="E672" s="621">
        <v>15</v>
      </c>
      <c r="F672" s="50" cm="1" t="str">
        <f t="array" ref="F672:F672">OFFSET(E672,-1,1)</f>
        <v>4</v>
      </c>
      <c r="G672" s="922">
        <v>4</v>
      </c>
      <c r="H672" s="107"/>
      <c r="I672" s="107" t="s">
        <v>2777</v>
      </c>
      <c r="J672" s="107"/>
      <c r="K672" s="107" t="s">
        <v>2777</v>
      </c>
      <c r="L672" s="980"/>
      <c r="M672" s="107"/>
      <c r="N672" s="107"/>
      <c r="O672" s="107"/>
      <c r="P672" s="107"/>
      <c r="Q672" s="107"/>
      <c r="R672" s="107"/>
      <c r="S672" s="107"/>
      <c r="T672" s="465" cm="1" t="str">
        <f t="array" ref="T672:T672">T671</f>
        <v>true</v>
      </c>
      <c r="U672" s="107"/>
      <c r="V672" s="107"/>
      <c r="W672" s="1278"/>
      <c r="X672" s="1563"/>
      <c r="Y672" s="1278"/>
      <c r="Z672" s="1546"/>
      <c r="AA672" s="1278"/>
      <c r="AB672" s="299" t="s">
        <v>2778</v>
      </c>
      <c r="AC672" s="765" t="s">
        <v>2779</v>
      </c>
      <c r="AD672" s="300" t="s">
        <v>1514</v>
      </c>
      <c r="AE672" s="259">
        <f>_xlfn.SUMIFS(Налоги!AE$25:AE$101,Налоги!$F$25:$F$101,$F672,Налоги!$AB$25:$AB$101,$G672)</f>
        <v>0</v>
      </c>
      <c r="AF672" s="259">
        <f>_xlfn.SUMIFS(Налоги!AF$25:AF$101,Налоги!$F$25:$F$101,$F672,Налоги!$AB$25:$AB$101,$G672)</f>
        <v>0</v>
      </c>
      <c r="AG672" s="259">
        <f>_xlfn.SUMIFS(Налоги!AG$25:AG$101,Налоги!$F$25:$F$101,$F672,Налоги!$AB$25:$AB$101,$G672)</f>
        <v>0</v>
      </c>
      <c r="AH672" s="943">
        <f>AG672-AF672</f>
        <v>0</v>
      </c>
      <c r="AI672" s="943">
        <f>_xlfn.SUMIFS(Налоги!AH$25:AH$101,Налоги!$F$25:$F$101,$F672,Налоги!$AB$25:$AB$101,$G672)</f>
        <v>0</v>
      </c>
      <c r="AJ672" s="943">
        <f>_xlfn.SUMIFS(Налоги!AI$25:AI$101,Налоги!$F$25:$F$101,$F672,Налоги!$AB$25:$AB$101,$G672)</f>
        <v>0</v>
      </c>
      <c r="AK672" s="943">
        <f>_xlfn.SUMIFS(Налоги!AJ$25:AJ$101,Налоги!$F$25:$F$101,$F672,Налоги!$AB$25:$AB$101,$G672)</f>
        <v>0</v>
      </c>
      <c r="AL672" s="943">
        <f>_xlfn.SUMIFS(Налоги!AK$25:AK$101,Налоги!$F$25:$F$101,$F672,Налоги!$AB$25:$AB$101,$G672)</f>
        <v>0</v>
      </c>
      <c r="AM672" s="943">
        <f>_xlfn.SUMIFS(Налоги!AL$25:AL$101,Налоги!$F$25:$F$101,$F672,Налоги!$AB$25:$AB$101,$G672)</f>
        <v>0</v>
      </c>
      <c r="AN672" s="943">
        <f>_xlfn.SUMIFS(Налоги!AM$25:AM$101,Налоги!$F$25:$F$101,$F672,Налоги!$AB$25:$AB$101,$G672)</f>
        <v>0</v>
      </c>
      <c r="AO672" s="943">
        <f>_xlfn.SUMIFS(Налоги!AN$25:AN$101,Налоги!$F$25:$F$101,$F672,Налоги!$AB$25:$AB$101,$G672)</f>
        <v>0</v>
      </c>
      <c r="AP672" s="943">
        <f>_xlfn.SUMIFS(Налоги!AO$25:AO$101,Налоги!$F$25:$F$101,$F672,Налоги!$AB$25:$AB$101,$G672)</f>
        <v>0</v>
      </c>
      <c r="AQ672" s="943">
        <f>_xlfn.SUMIFS(Налоги!AP$25:AP$101,Налоги!$F$25:$F$101,$F672,Налоги!$AB$25:$AB$101,$G672)</f>
        <v>0</v>
      </c>
      <c r="AR672" s="943">
        <f>_xlfn.SUMIFS(Налоги!AQ$25:AQ$101,Налоги!$F$25:$F$101,$F672,Налоги!$AB$25:$AB$101,$G672)</f>
        <v>0</v>
      </c>
      <c r="AS672" s="943">
        <f>_xlfn.SUMIFS(Налоги!AR$25:AR$101,Налоги!$F$25:$F$101,$F672,Налоги!$AB$25:$AB$101,$G672)</f>
        <v>0</v>
      </c>
      <c r="AT672" s="943">
        <f>_xlfn.SUMIFS(Налоги!AS$25:AS$101,Налоги!$F$25:$F$101,$F672,Налоги!$AB$25:$AB$101,$G672)</f>
        <v>0</v>
      </c>
      <c r="AU672" s="943">
        <f>_xlfn.SUMIFS(Налоги!AT$25:AT$101,Налоги!$F$25:$F$101,$F672,Налоги!$AB$25:$AB$101,$G672)</f>
        <v>0</v>
      </c>
      <c r="AV672" s="943">
        <f>_xlfn.SUMIFS(Налоги!AU$25:AU$101,Налоги!$F$25:$F$101,$F672,Налоги!$AB$25:$AB$101,$G672)</f>
        <v>0</v>
      </c>
      <c r="AW672" s="943">
        <f>_xlfn.SUMIFS(Налоги!AV$25:AV$101,Налоги!$F$25:$F$101,$F672,Налоги!$AB$25:$AB$101,$G672)</f>
        <v>0</v>
      </c>
      <c r="AX672" s="943">
        <f>_xlfn.SUMIFS(Налоги!AW$25:AW$101,Налоги!$F$25:$F$101,$F672,Налоги!$AB$25:$AB$101,$G672)</f>
        <v>0</v>
      </c>
      <c r="AY672" s="943">
        <f>_xlfn.SUMIFS(Налоги!AX$25:AX$101,Налоги!$F$25:$F$101,$F672,Налоги!$AB$25:$AB$101,$G672)</f>
        <v>0</v>
      </c>
      <c r="AZ672" s="943">
        <f>_xlfn.SUMIFS(Налоги!AY$25:AY$101,Налоги!$F$25:$F$101,$F672,Налоги!$AB$25:$AB$101,$G672)</f>
        <v>0</v>
      </c>
      <c r="BA672" s="943">
        <f>_xlfn.SUMIFS(Налоги!AZ$25:AZ$101,Налоги!$F$25:$F$101,$F672,Налоги!$AB$25:$AB$101,$G672)</f>
        <v>0</v>
      </c>
      <c r="BB672" s="943">
        <f>_xlfn.SUMIFS(Налоги!BA$25:BA$101,Налоги!$F$25:$F$101,$F672,Налоги!$AB$25:$AB$101,$G672)</f>
        <v>0</v>
      </c>
      <c r="BC672" s="943">
        <f>_xlfn.SUMIFS(Налоги!BB$25:BB$101,Налоги!$F$25:$F$101,$F672,Налоги!$AB$25:$AB$101,$G672)</f>
        <v>0</v>
      </c>
      <c r="BD672" s="943">
        <f>IF(AI672=0,0,(AT672-AI672)/AI672*100)</f>
        <v>0</v>
      </c>
      <c r="BE672" s="943">
        <f>IF(AT672=0,0,(AU672-AT672)/AT672*100)</f>
        <v>0</v>
      </c>
      <c r="BF672" s="943">
        <f>IF(AU672=0,0,(AV672-AU672)/AU672*100)</f>
        <v>0</v>
      </c>
      <c r="BG672" s="943">
        <f>IF(AV672=0,0,(AW672-AV672)/AV672*100)</f>
        <v>0</v>
      </c>
      <c r="BH672" s="943">
        <f>IF(AW672=0,0,(AX672-AW672)/AW672*100)</f>
        <v>0</v>
      </c>
      <c r="BI672" s="943">
        <f>IF(AX672=0,0,(AY672-AX672)/AX672*100)</f>
        <v>0</v>
      </c>
      <c r="BJ672" s="943">
        <f>IF(AY672=0,0,(AZ672-AY672)/AY672*100)</f>
        <v>0</v>
      </c>
      <c r="BK672" s="943">
        <f>IF(AZ672=0,0,(BA672-AZ672)/AZ672*100)</f>
        <v>0</v>
      </c>
      <c r="BL672" s="943">
        <f>IF(BA672=0,0,(BB672-BA672)/BA672*100)</f>
        <v>0</v>
      </c>
      <c r="BM672" s="943">
        <f>IF(BB672=0,0,(BC672-BB672)/BB672*100)</f>
        <v>0</v>
      </c>
      <c r="BN672" s="7771"/>
      <c r="BO672" s="7724" t="str">
        <f>IF(_xlfn.IFERROR(INDEX(Налоги!$K$26:$L$101,MATCH($F672&amp;"4komm",Налоги!$K$26:$K$101,0),2),"")=0,"",_xlfn.IFERROR(INDEX(Налоги!$K$26:$L$101,MATCH($F672&amp;"4komm",Налоги!$K$26:$K$101,0),2),""))</f>
        <v/>
      </c>
      <c r="BP672" s="7771"/>
      <c r="BQ672" s="1278"/>
      <c r="BR672" s="1278"/>
      <c r="BS672" s="1064" t="s">
        <v>2780</v>
      </c>
      <c r="BT672" s="1064"/>
      <c r="BU672" s="1064"/>
      <c r="BV672" s="979"/>
      <c r="BW672" s="979"/>
    </row>
    <row s="1834" customFormat="1" customHeight="1" ht="14.25">
      <c r="A673" s="1278"/>
      <c r="B673" s="96"/>
      <c r="C673" s="107"/>
      <c r="D673" s="107"/>
      <c r="E673" s="621">
        <v>15</v>
      </c>
      <c r="F673" s="50" cm="1" t="str">
        <f t="array" ref="F673:F673">OFFSET(E673,-1,1)</f>
        <v>4</v>
      </c>
      <c r="G673" s="922">
        <v>5</v>
      </c>
      <c r="H673" s="107"/>
      <c r="I673" s="107" t="s">
        <v>2781</v>
      </c>
      <c r="J673" s="107"/>
      <c r="K673" s="107" t="s">
        <v>2781</v>
      </c>
      <c r="L673" s="980"/>
      <c r="M673" s="107"/>
      <c r="N673" s="107"/>
      <c r="O673" s="107"/>
      <c r="P673" s="107"/>
      <c r="Q673" s="107"/>
      <c r="R673" s="107"/>
      <c r="S673" s="107"/>
      <c r="T673" s="465" cm="1" t="str">
        <f t="array" ref="T673:T673">T672</f>
        <v>true</v>
      </c>
      <c r="U673" s="107"/>
      <c r="V673" s="107"/>
      <c r="W673" s="1278"/>
      <c r="X673" s="1563"/>
      <c r="Y673" s="1278"/>
      <c r="Z673" s="1546"/>
      <c r="AA673" s="1278"/>
      <c r="AB673" s="299" t="s">
        <v>2782</v>
      </c>
      <c r="AC673" s="765" t="s">
        <v>2783</v>
      </c>
      <c r="AD673" s="300" t="s">
        <v>1514</v>
      </c>
      <c r="AE673" s="259">
        <f>_xlfn.SUMIFS(Налоги!AE$25:AE$101,Налоги!$F$25:$F$101,$F673,Налоги!$AB$25:$AB$101,$G673)</f>
        <v>0</v>
      </c>
      <c r="AF673" s="259">
        <f>_xlfn.SUMIFS(Налоги!AF$25:AF$101,Налоги!$F$25:$F$101,$F673,Налоги!$AB$25:$AB$101,$G673)</f>
        <v>0</v>
      </c>
      <c r="AG673" s="259">
        <f>_xlfn.SUMIFS(Налоги!AG$25:AG$101,Налоги!$F$25:$F$101,$F673,Налоги!$AB$25:$AB$101,$G673)</f>
        <v>0</v>
      </c>
      <c r="AH673" s="943">
        <f>AG673-AF673</f>
        <v>0</v>
      </c>
      <c r="AI673" s="943">
        <f>_xlfn.SUMIFS(Налоги!AH$25:AH$101,Налоги!$F$25:$F$101,$F673,Налоги!$AB$25:$AB$101,$G673)</f>
        <v>0</v>
      </c>
      <c r="AJ673" s="943">
        <f>_xlfn.SUMIFS(Налоги!AI$25:AI$101,Налоги!$F$25:$F$101,$F673,Налоги!$AB$25:$AB$101,$G673)</f>
        <v>0</v>
      </c>
      <c r="AK673" s="943">
        <f>_xlfn.SUMIFS(Налоги!AJ$25:AJ$101,Налоги!$F$25:$F$101,$F673,Налоги!$AB$25:$AB$101,$G673)</f>
        <v>0</v>
      </c>
      <c r="AL673" s="943">
        <f>_xlfn.SUMIFS(Налоги!AK$25:AK$101,Налоги!$F$25:$F$101,$F673,Налоги!$AB$25:$AB$101,$G673)</f>
        <v>0</v>
      </c>
      <c r="AM673" s="943">
        <f>_xlfn.SUMIFS(Налоги!AL$25:AL$101,Налоги!$F$25:$F$101,$F673,Налоги!$AB$25:$AB$101,$G673)</f>
        <v>0</v>
      </c>
      <c r="AN673" s="943">
        <f>_xlfn.SUMIFS(Налоги!AM$25:AM$101,Налоги!$F$25:$F$101,$F673,Налоги!$AB$25:$AB$101,$G673)</f>
        <v>0</v>
      </c>
      <c r="AO673" s="943">
        <f>_xlfn.SUMIFS(Налоги!AN$25:AN$101,Налоги!$F$25:$F$101,$F673,Налоги!$AB$25:$AB$101,$G673)</f>
        <v>0</v>
      </c>
      <c r="AP673" s="943">
        <f>_xlfn.SUMIFS(Налоги!AO$25:AO$101,Налоги!$F$25:$F$101,$F673,Налоги!$AB$25:$AB$101,$G673)</f>
        <v>0</v>
      </c>
      <c r="AQ673" s="943">
        <f>_xlfn.SUMIFS(Налоги!AP$25:AP$101,Налоги!$F$25:$F$101,$F673,Налоги!$AB$25:$AB$101,$G673)</f>
        <v>0</v>
      </c>
      <c r="AR673" s="943">
        <f>_xlfn.SUMIFS(Налоги!AQ$25:AQ$101,Налоги!$F$25:$F$101,$F673,Налоги!$AB$25:$AB$101,$G673)</f>
        <v>0</v>
      </c>
      <c r="AS673" s="943">
        <f>_xlfn.SUMIFS(Налоги!AR$25:AR$101,Налоги!$F$25:$F$101,$F673,Налоги!$AB$25:$AB$101,$G673)</f>
        <v>0</v>
      </c>
      <c r="AT673" s="943">
        <f>_xlfn.SUMIFS(Налоги!AS$25:AS$101,Налоги!$F$25:$F$101,$F673,Налоги!$AB$25:$AB$101,$G673)</f>
        <v>0</v>
      </c>
      <c r="AU673" s="943">
        <f>_xlfn.SUMIFS(Налоги!AT$25:AT$101,Налоги!$F$25:$F$101,$F673,Налоги!$AB$25:$AB$101,$G673)</f>
        <v>0</v>
      </c>
      <c r="AV673" s="943">
        <f>_xlfn.SUMIFS(Налоги!AU$25:AU$101,Налоги!$F$25:$F$101,$F673,Налоги!$AB$25:$AB$101,$G673)</f>
        <v>0</v>
      </c>
      <c r="AW673" s="943">
        <f>_xlfn.SUMIFS(Налоги!AV$25:AV$101,Налоги!$F$25:$F$101,$F673,Налоги!$AB$25:$AB$101,$G673)</f>
        <v>0</v>
      </c>
      <c r="AX673" s="943">
        <f>_xlfn.SUMIFS(Налоги!AW$25:AW$101,Налоги!$F$25:$F$101,$F673,Налоги!$AB$25:$AB$101,$G673)</f>
        <v>0</v>
      </c>
      <c r="AY673" s="943">
        <f>_xlfn.SUMIFS(Налоги!AX$25:AX$101,Налоги!$F$25:$F$101,$F673,Налоги!$AB$25:$AB$101,$G673)</f>
        <v>0</v>
      </c>
      <c r="AZ673" s="943">
        <f>_xlfn.SUMIFS(Налоги!AY$25:AY$101,Налоги!$F$25:$F$101,$F673,Налоги!$AB$25:$AB$101,$G673)</f>
        <v>0</v>
      </c>
      <c r="BA673" s="943">
        <f>_xlfn.SUMIFS(Налоги!AZ$25:AZ$101,Налоги!$F$25:$F$101,$F673,Налоги!$AB$25:$AB$101,$G673)</f>
        <v>0</v>
      </c>
      <c r="BB673" s="943">
        <f>_xlfn.SUMIFS(Налоги!BA$25:BA$101,Налоги!$F$25:$F$101,$F673,Налоги!$AB$25:$AB$101,$G673)</f>
        <v>0</v>
      </c>
      <c r="BC673" s="943">
        <f>_xlfn.SUMIFS(Налоги!BB$25:BB$101,Налоги!$F$25:$F$101,$F673,Налоги!$AB$25:$AB$101,$G673)</f>
        <v>0</v>
      </c>
      <c r="BD673" s="943">
        <f>IF(AI673=0,0,(AT673-AI673)/AI673*100)</f>
        <v>0</v>
      </c>
      <c r="BE673" s="943">
        <f>IF(AT673=0,0,(AU673-AT673)/AT673*100)</f>
        <v>0</v>
      </c>
      <c r="BF673" s="943">
        <f>IF(AU673=0,0,(AV673-AU673)/AU673*100)</f>
        <v>0</v>
      </c>
      <c r="BG673" s="943">
        <f>IF(AV673=0,0,(AW673-AV673)/AV673*100)</f>
        <v>0</v>
      </c>
      <c r="BH673" s="943">
        <f>IF(AW673=0,0,(AX673-AW673)/AW673*100)</f>
        <v>0</v>
      </c>
      <c r="BI673" s="943">
        <f>IF(AX673=0,0,(AY673-AX673)/AX673*100)</f>
        <v>0</v>
      </c>
      <c r="BJ673" s="943">
        <f>IF(AY673=0,0,(AZ673-AY673)/AY673*100)</f>
        <v>0</v>
      </c>
      <c r="BK673" s="943">
        <f>IF(AZ673=0,0,(BA673-AZ673)/AZ673*100)</f>
        <v>0</v>
      </c>
      <c r="BL673" s="943">
        <f>IF(BA673=0,0,(BB673-BA673)/BA673*100)</f>
        <v>0</v>
      </c>
      <c r="BM673" s="943">
        <f>IF(BB673=0,0,(BC673-BB673)/BB673*100)</f>
        <v>0</v>
      </c>
      <c r="BN673" s="7771"/>
      <c r="BO673" s="7724" t="str">
        <f>IF(_xlfn.IFERROR(INDEX(Налоги!$K$26:$L$101,MATCH($F673&amp;"5komm",Налоги!$K$26:$K$101,0),2),"")=0,"",_xlfn.IFERROR(INDEX(Налоги!$K$26:$L$101,MATCH($F673&amp;"5komm",Налоги!$K$26:$K$101,0),2),""))</f>
        <v/>
      </c>
      <c r="BP673" s="7771"/>
      <c r="BQ673" s="1278"/>
      <c r="BR673" s="1278"/>
      <c r="BS673" s="1064" t="s">
        <v>2784</v>
      </c>
      <c r="BT673" s="1064"/>
      <c r="BU673" s="1064"/>
      <c r="BV673" s="979"/>
      <c r="BW673" s="979"/>
    </row>
    <row s="1834" customFormat="1" customHeight="1" ht="14.25">
      <c r="A674" s="1278"/>
      <c r="B674" s="96"/>
      <c r="C674" s="107"/>
      <c r="D674" s="107"/>
      <c r="E674" s="621">
        <v>15</v>
      </c>
      <c r="F674" s="50" cm="1" t="str">
        <f t="array" ref="F674:F674">OFFSET(E674,-1,1)</f>
        <v>4</v>
      </c>
      <c r="G674" s="922">
        <v>1</v>
      </c>
      <c r="H674" s="107"/>
      <c r="I674" s="107" t="s">
        <v>2785</v>
      </c>
      <c r="J674" s="107"/>
      <c r="K674" s="107" t="s">
        <v>2785</v>
      </c>
      <c r="L674" s="980"/>
      <c r="M674" s="107"/>
      <c r="N674" s="107"/>
      <c r="O674" s="107"/>
      <c r="P674" s="107"/>
      <c r="Q674" s="107"/>
      <c r="R674" s="107"/>
      <c r="S674" s="107"/>
      <c r="T674" s="465" cm="1" t="str">
        <f t="array" ref="T674:T674">T673</f>
        <v>true</v>
      </c>
      <c r="U674" s="107"/>
      <c r="V674" s="107"/>
      <c r="W674" s="1278"/>
      <c r="X674" s="1563"/>
      <c r="Y674" s="1278"/>
      <c r="Z674" s="1546"/>
      <c r="AA674" s="1278"/>
      <c r="AB674" s="299" t="s">
        <v>2786</v>
      </c>
      <c r="AC674" s="765" t="s">
        <v>2787</v>
      </c>
      <c r="AD674" s="300" t="s">
        <v>1514</v>
      </c>
      <c r="AE674" s="259">
        <f>_xlfn.SUMIFS(Налоги!AE$25:AE$101,Налоги!$F$25:$F$101,$F674,Налоги!$AB$25:$AB$101,$G674)</f>
        <v>0</v>
      </c>
      <c r="AF674" s="259">
        <f>_xlfn.SUMIFS(Налоги!AF$25:AF$101,Налоги!$F$25:$F$101,$F674,Налоги!$AB$25:$AB$101,$G674)</f>
        <v>0</v>
      </c>
      <c r="AG674" s="259">
        <f>_xlfn.SUMIFS(Налоги!AG$25:AG$101,Налоги!$F$25:$F$101,$F674,Налоги!$AB$25:$AB$101,$G674)</f>
        <v>0</v>
      </c>
      <c r="AH674" s="943">
        <f>AG674-AF674</f>
        <v>0</v>
      </c>
      <c r="AI674" s="943">
        <f>_xlfn.SUMIFS(Налоги!AH$25:AH$101,Налоги!$F$25:$F$101,$F674,Налоги!$AB$25:$AB$101,$G674)</f>
        <v>0</v>
      </c>
      <c r="AJ674" s="943">
        <f>_xlfn.SUMIFS(Налоги!AI$25:AI$101,Налоги!$F$25:$F$101,$F674,Налоги!$AB$25:$AB$101,$G674)</f>
        <v>0</v>
      </c>
      <c r="AK674" s="943">
        <f>_xlfn.SUMIFS(Налоги!AJ$25:AJ$101,Налоги!$F$25:$F$101,$F674,Налоги!$AB$25:$AB$101,$G674)</f>
        <v>0</v>
      </c>
      <c r="AL674" s="943">
        <f>_xlfn.SUMIFS(Налоги!AK$25:AK$101,Налоги!$F$25:$F$101,$F674,Налоги!$AB$25:$AB$101,$G674)</f>
        <v>0</v>
      </c>
      <c r="AM674" s="943">
        <f>_xlfn.SUMIFS(Налоги!AL$25:AL$101,Налоги!$F$25:$F$101,$F674,Налоги!$AB$25:$AB$101,$G674)</f>
        <v>0</v>
      </c>
      <c r="AN674" s="943">
        <f>_xlfn.SUMIFS(Налоги!AM$25:AM$101,Налоги!$F$25:$F$101,$F674,Налоги!$AB$25:$AB$101,$G674)</f>
        <v>0</v>
      </c>
      <c r="AO674" s="943">
        <f>_xlfn.SUMIFS(Налоги!AN$25:AN$101,Налоги!$F$25:$F$101,$F674,Налоги!$AB$25:$AB$101,$G674)</f>
        <v>0</v>
      </c>
      <c r="AP674" s="943">
        <f>_xlfn.SUMIFS(Налоги!AO$25:AO$101,Налоги!$F$25:$F$101,$F674,Налоги!$AB$25:$AB$101,$G674)</f>
        <v>0</v>
      </c>
      <c r="AQ674" s="943">
        <f>_xlfn.SUMIFS(Налоги!AP$25:AP$101,Налоги!$F$25:$F$101,$F674,Налоги!$AB$25:$AB$101,$G674)</f>
        <v>0</v>
      </c>
      <c r="AR674" s="943">
        <f>_xlfn.SUMIFS(Налоги!AQ$25:AQ$101,Налоги!$F$25:$F$101,$F674,Налоги!$AB$25:$AB$101,$G674)</f>
        <v>0</v>
      </c>
      <c r="AS674" s="943">
        <f>_xlfn.SUMIFS(Налоги!AR$25:AR$101,Налоги!$F$25:$F$101,$F674,Налоги!$AB$25:$AB$101,$G674)</f>
        <v>0</v>
      </c>
      <c r="AT674" s="943">
        <f>_xlfn.SUMIFS(Налоги!AS$25:AS$101,Налоги!$F$25:$F$101,$F674,Налоги!$AB$25:$AB$101,$G674)</f>
        <v>0</v>
      </c>
      <c r="AU674" s="943">
        <f>_xlfn.SUMIFS(Налоги!AT$25:AT$101,Налоги!$F$25:$F$101,$F674,Налоги!$AB$25:$AB$101,$G674)</f>
        <v>0</v>
      </c>
      <c r="AV674" s="943">
        <f>_xlfn.SUMIFS(Налоги!AU$25:AU$101,Налоги!$F$25:$F$101,$F674,Налоги!$AB$25:$AB$101,$G674)</f>
        <v>0</v>
      </c>
      <c r="AW674" s="943">
        <f>_xlfn.SUMIFS(Налоги!AV$25:AV$101,Налоги!$F$25:$F$101,$F674,Налоги!$AB$25:$AB$101,$G674)</f>
        <v>0</v>
      </c>
      <c r="AX674" s="943">
        <f>_xlfn.SUMIFS(Налоги!AW$25:AW$101,Налоги!$F$25:$F$101,$F674,Налоги!$AB$25:$AB$101,$G674)</f>
        <v>0</v>
      </c>
      <c r="AY674" s="943">
        <f>_xlfn.SUMIFS(Налоги!AX$25:AX$101,Налоги!$F$25:$F$101,$F674,Налоги!$AB$25:$AB$101,$G674)</f>
        <v>0</v>
      </c>
      <c r="AZ674" s="943">
        <f>_xlfn.SUMIFS(Налоги!AY$25:AY$101,Налоги!$F$25:$F$101,$F674,Налоги!$AB$25:$AB$101,$G674)</f>
        <v>0</v>
      </c>
      <c r="BA674" s="943">
        <f>_xlfn.SUMIFS(Налоги!AZ$25:AZ$101,Налоги!$F$25:$F$101,$F674,Налоги!$AB$25:$AB$101,$G674)</f>
        <v>0</v>
      </c>
      <c r="BB674" s="943">
        <f>_xlfn.SUMIFS(Налоги!BA$25:BA$101,Налоги!$F$25:$F$101,$F674,Налоги!$AB$25:$AB$101,$G674)</f>
        <v>0</v>
      </c>
      <c r="BC674" s="943">
        <f>_xlfn.SUMIFS(Налоги!BB$25:BB$101,Налоги!$F$25:$F$101,$F674,Налоги!$AB$25:$AB$101,$G674)</f>
        <v>0</v>
      </c>
      <c r="BD674" s="943">
        <f>IF(AI674=0,0,(AT674-AI674)/AI674*100)</f>
        <v>0</v>
      </c>
      <c r="BE674" s="943">
        <f>IF(AT674=0,0,(AU674-AT674)/AT674*100)</f>
        <v>0</v>
      </c>
      <c r="BF674" s="943">
        <f>IF(AU674=0,0,(AV674-AU674)/AU674*100)</f>
        <v>0</v>
      </c>
      <c r="BG674" s="943">
        <f>IF(AV674=0,0,(AW674-AV674)/AV674*100)</f>
        <v>0</v>
      </c>
      <c r="BH674" s="943">
        <f>IF(AW674=0,0,(AX674-AW674)/AW674*100)</f>
        <v>0</v>
      </c>
      <c r="BI674" s="943">
        <f>IF(AX674=0,0,(AY674-AX674)/AX674*100)</f>
        <v>0</v>
      </c>
      <c r="BJ674" s="943">
        <f>IF(AY674=0,0,(AZ674-AY674)/AY674*100)</f>
        <v>0</v>
      </c>
      <c r="BK674" s="943">
        <f>IF(AZ674=0,0,(BA674-AZ674)/AZ674*100)</f>
        <v>0</v>
      </c>
      <c r="BL674" s="943">
        <f>IF(BA674=0,0,(BB674-BA674)/BA674*100)</f>
        <v>0</v>
      </c>
      <c r="BM674" s="943">
        <f>IF(BB674=0,0,(BC674-BB674)/BB674*100)</f>
        <v>0</v>
      </c>
      <c r="BN674" s="7771"/>
      <c r="BO674" s="7724" t="str">
        <f>IF(_xlfn.IFERROR(INDEX(Налоги!$K$26:$L$101,MATCH($F674&amp;"1komm",Налоги!$K$26:$K$101,0),2),"")=0,"",_xlfn.IFERROR(INDEX(Налоги!$K$26:$L$101,MATCH($F674&amp;"1komm",Налоги!$K$26:$K$101,0),2),""))</f>
        <v/>
      </c>
      <c r="BP674" s="7771"/>
      <c r="BQ674" s="1278"/>
      <c r="BR674" s="1278"/>
      <c r="BS674" s="1064" t="s">
        <v>2788</v>
      </c>
      <c r="BT674" s="1064"/>
      <c r="BU674" s="1064"/>
      <c r="BV674" s="979"/>
      <c r="BW674" s="979"/>
    </row>
    <row s="1834" customFormat="1" customHeight="1" ht="14.25">
      <c r="A675" s="1278"/>
      <c r="B675" s="96"/>
      <c r="C675" s="107"/>
      <c r="D675" s="107"/>
      <c r="E675" s="621">
        <v>15</v>
      </c>
      <c r="F675" s="50" cm="1" t="str">
        <f t="array" ref="F675:F675">OFFSET(E675,-1,1)</f>
        <v>4</v>
      </c>
      <c r="G675" s="922">
        <v>3</v>
      </c>
      <c r="H675" s="107"/>
      <c r="I675" s="107" t="s">
        <v>2789</v>
      </c>
      <c r="J675" s="107"/>
      <c r="K675" s="107" t="s">
        <v>2789</v>
      </c>
      <c r="L675" s="980"/>
      <c r="M675" s="107"/>
      <c r="N675" s="107"/>
      <c r="O675" s="107"/>
      <c r="P675" s="107"/>
      <c r="Q675" s="107"/>
      <c r="R675" s="107"/>
      <c r="S675" s="107"/>
      <c r="T675" s="465" cm="1" t="str">
        <f t="array" ref="T675:T675">T674</f>
        <v>true</v>
      </c>
      <c r="U675" s="107"/>
      <c r="V675" s="107"/>
      <c r="W675" s="1278"/>
      <c r="X675" s="1563"/>
      <c r="Y675" s="1278"/>
      <c r="Z675" s="1546"/>
      <c r="AA675" s="1278"/>
      <c r="AB675" s="299" t="s">
        <v>2790</v>
      </c>
      <c r="AC675" s="765" t="s">
        <v>2791</v>
      </c>
      <c r="AD675" s="300" t="s">
        <v>1514</v>
      </c>
      <c r="AE675" s="7773">
        <f>_xlfn.SUMIFS(Налоги!AE$25:AE$101,Налоги!$F$25:$F$101,$F675,Налоги!$AB$25:$AB$101,$G675)</f>
        <v>0</v>
      </c>
      <c r="AF675" s="7773">
        <f>_xlfn.SUMIFS(Налоги!AF$25:AF$101,Налоги!$F$25:$F$101,$F675,Налоги!$AB$25:$AB$101,$G675)</f>
        <v>0</v>
      </c>
      <c r="AG675" s="7773">
        <f>_xlfn.SUMIFS(Налоги!AG$25:AG$101,Налоги!$F$25:$F$101,$F675,Налоги!$AB$25:$AB$101,$G675)</f>
        <v>0</v>
      </c>
      <c r="AH675" s="943">
        <f>AG675-AF675</f>
        <v>0</v>
      </c>
      <c r="AI675" s="7723">
        <f>_xlfn.SUMIFS(Налоги!AH$25:AH$101,Налоги!$F$25:$F$101,$F675,Налоги!$AB$25:$AB$101,$G675)</f>
        <v>0</v>
      </c>
      <c r="AJ675" s="7723">
        <f>_xlfn.SUMIFS(Налоги!AI$25:AI$101,Налоги!$F$25:$F$101,$F675,Налоги!$AB$25:$AB$101,$G675)</f>
        <v>84.2106843428571</v>
      </c>
      <c r="AK675" s="7723">
        <f>_xlfn.SUMIFS(Налоги!AJ$25:AJ$101,Налоги!$F$25:$F$101,$F675,Налоги!$AB$25:$AB$101,$G675)</f>
        <v>87.5791117165714</v>
      </c>
      <c r="AL675" s="7723">
        <f>_xlfn.SUMIFS(Налоги!AK$25:AK$101,Налоги!$F$25:$F$101,$F675,Налоги!$AB$25:$AB$101,$G675)</f>
        <v>91.0822761852343</v>
      </c>
      <c r="AM675" s="7723">
        <f>_xlfn.SUMIFS(Налоги!AL$25:AL$101,Налоги!$F$25:$F$101,$F675,Налоги!$AB$25:$AB$101,$G675)</f>
        <v>94.7255672326437</v>
      </c>
      <c r="AN675" s="7723">
        <f>_xlfn.SUMIFS(Налоги!AM$25:AM$101,Налоги!$F$25:$F$101,$F675,Налоги!$AB$25:$AB$101,$G675)</f>
        <v>98.5145899219495</v>
      </c>
      <c r="AO675" s="1253">
        <f>_xlfn.SUMIFS(Налоги!AN$25:AN$101,Налоги!$F$25:$F$101,$F675,Налоги!$AB$25:$AB$101,$G675)</f>
        <v>0</v>
      </c>
      <c r="AP675" s="1253">
        <f>_xlfn.SUMIFS(Налоги!AO$25:AO$101,Налоги!$F$25:$F$101,$F675,Налоги!$AB$25:$AB$101,$G675)</f>
        <v>0</v>
      </c>
      <c r="AQ675" s="1253">
        <f>_xlfn.SUMIFS(Налоги!AP$25:AP$101,Налоги!$F$25:$F$101,$F675,Налоги!$AB$25:$AB$101,$G675)</f>
        <v>0</v>
      </c>
      <c r="AR675" s="1253">
        <f>_xlfn.SUMIFS(Налоги!AQ$25:AQ$101,Налоги!$F$25:$F$101,$F675,Налоги!$AB$25:$AB$101,$G675)</f>
        <v>0</v>
      </c>
      <c r="AS675" s="1253">
        <f>_xlfn.SUMIFS(Налоги!AR$25:AR$101,Налоги!$F$25:$F$101,$F675,Налоги!$AB$25:$AB$101,$G675)</f>
        <v>0</v>
      </c>
      <c r="AT675" s="7723">
        <f>_xlfn.SUMIFS(Налоги!AS$25:AS$101,Налоги!$F$25:$F$101,$F675,Налоги!$AB$25:$AB$101,$G675)</f>
        <v>84.2106843428571</v>
      </c>
      <c r="AU675" s="7723">
        <f>_xlfn.SUMIFS(Налоги!AT$25:AT$101,Налоги!$F$25:$F$101,$F675,Налоги!$AB$25:$AB$101,$G675)</f>
        <v>87.5791117165714</v>
      </c>
      <c r="AV675" s="7723">
        <f>_xlfn.SUMIFS(Налоги!AU$25:AU$101,Налоги!$F$25:$F$101,$F675,Налоги!$AB$25:$AB$101,$G675)</f>
        <v>91.0822761852343</v>
      </c>
      <c r="AW675" s="7723">
        <f>_xlfn.SUMIFS(Налоги!AV$25:AV$101,Налоги!$F$25:$F$101,$F675,Налоги!$AB$25:$AB$101,$G675)</f>
        <v>94.7255672326437</v>
      </c>
      <c r="AX675" s="7723">
        <f>_xlfn.SUMIFS(Налоги!AW$25:AW$101,Налоги!$F$25:$F$101,$F675,Налоги!$AB$25:$AB$101,$G675)</f>
        <v>98.5145899219495</v>
      </c>
      <c r="AY675" s="1253">
        <f>_xlfn.SUMIFS(Налоги!AX$25:AX$101,Налоги!$F$25:$F$101,$F675,Налоги!$AB$25:$AB$101,$G675)</f>
        <v>0</v>
      </c>
      <c r="AZ675" s="1253">
        <f>_xlfn.SUMIFS(Налоги!AY$25:AY$101,Налоги!$F$25:$F$101,$F675,Налоги!$AB$25:$AB$101,$G675)</f>
        <v>0</v>
      </c>
      <c r="BA675" s="1253">
        <f>_xlfn.SUMIFS(Налоги!AZ$25:AZ$101,Налоги!$F$25:$F$101,$F675,Налоги!$AB$25:$AB$101,$G675)</f>
        <v>0</v>
      </c>
      <c r="BB675" s="1253">
        <f>_xlfn.SUMIFS(Налоги!BA$25:BA$101,Налоги!$F$25:$F$101,$F675,Налоги!$AB$25:$AB$101,$G675)</f>
        <v>0</v>
      </c>
      <c r="BC675" s="1253">
        <f>_xlfn.SUMIFS(Налоги!BB$25:BB$101,Налоги!$F$25:$F$101,$F675,Налоги!$AB$25:$AB$101,$G675)</f>
        <v>0</v>
      </c>
      <c r="BD675" s="943">
        <f>IF(AI675=0,0,(AT675-AI675)/AI675*100)</f>
        <v>0</v>
      </c>
      <c r="BE675" s="943">
        <f>IF(AT675=0,0,(AU675-AT675)/AT675*100)</f>
        <v>4</v>
      </c>
      <c r="BF675" s="943">
        <f>IF(AU675=0,0,(AV675-AU675)/AU675*100)</f>
        <v>4</v>
      </c>
      <c r="BG675" s="943">
        <f>IF(AV675=0,0,(AW675-AV675)/AV675*100)</f>
        <v>4</v>
      </c>
      <c r="BH675" s="943">
        <f>IF(AW675=0,0,(AX675-AW675)/AW675*100)</f>
        <v>4</v>
      </c>
      <c r="BI675" s="943">
        <f>IF(AX675=0,0,(AY675-AX675)/AX675*100)</f>
        <v>-100</v>
      </c>
      <c r="BJ675" s="943">
        <f>IF(AY675=0,0,(AZ675-AY675)/AY675*100)</f>
        <v>0</v>
      </c>
      <c r="BK675" s="943">
        <f>IF(AZ675=0,0,(BA675-AZ675)/AZ675*100)</f>
        <v>0</v>
      </c>
      <c r="BL675" s="943">
        <f>IF(BA675=0,0,(BB675-BA675)/BA675*100)</f>
        <v>0</v>
      </c>
      <c r="BM675" s="943">
        <f>IF(BB675=0,0,(BC675-BB675)/BB675*100)</f>
        <v>0</v>
      </c>
      <c r="BN675" s="7771"/>
      <c r="BO675" s="7724" t="str">
        <f>IF(_xlfn.IFERROR(INDEX(Налоги!$K$26:$L$101,MATCH($F675&amp;"5komm",Налоги!$K$26:$K$101,0),2),"")=0,"",_xlfn.IFERROR(INDEX(Налоги!$K$26:$L$101,MATCH($F675&amp;"5komm",Налоги!$K$26:$K$101,0),2),""))</f>
        <v/>
      </c>
      <c r="BP675" s="7771"/>
      <c r="BQ675" s="1278"/>
      <c r="BR675" s="1278"/>
      <c r="BS675" s="1064" t="s">
        <v>2792</v>
      </c>
      <c r="BT675" s="1064"/>
      <c r="BU675" s="1064"/>
      <c r="BV675" s="979"/>
      <c r="BW675" s="979"/>
    </row>
    <row s="1834" customFormat="1" customHeight="1" ht="14.25">
      <c r="A676" s="1278"/>
      <c r="B676" s="96"/>
      <c r="C676" s="107"/>
      <c r="D676" s="107"/>
      <c r="E676" s="621">
        <v>15</v>
      </c>
      <c r="F676" s="50" cm="1" t="str">
        <f t="array" ref="F676:F676">OFFSET(E676,-1,1)</f>
        <v>4</v>
      </c>
      <c r="G676" s="922">
        <v>8</v>
      </c>
      <c r="H676" s="107"/>
      <c r="I676" s="107" t="s">
        <v>2793</v>
      </c>
      <c r="J676" s="107"/>
      <c r="K676" s="107" t="s">
        <v>2793</v>
      </c>
      <c r="L676" s="980"/>
      <c r="M676" s="107"/>
      <c r="N676" s="107"/>
      <c r="O676" s="107"/>
      <c r="P676" s="107"/>
      <c r="Q676" s="107"/>
      <c r="R676" s="107"/>
      <c r="S676" s="107"/>
      <c r="T676" s="465" cm="1" t="str">
        <f t="array" ref="T676:T676">T675</f>
        <v>true</v>
      </c>
      <c r="U676" s="107"/>
      <c r="V676" s="107"/>
      <c r="W676" s="1278"/>
      <c r="X676" s="1563"/>
      <c r="Y676" s="1278"/>
      <c r="Z676" s="1546"/>
      <c r="AA676" s="1278"/>
      <c r="AB676" s="299" t="s">
        <v>2794</v>
      </c>
      <c r="AC676" s="765" t="s">
        <v>2795</v>
      </c>
      <c r="AD676" s="300" t="s">
        <v>1514</v>
      </c>
      <c r="AE676" s="259">
        <f>_xlfn.SUMIFS(Налоги!AE$25:AE$101,Налоги!$F$25:$F$101,$F676,Налоги!$AB$25:$AB$101,$G676)</f>
        <v>0</v>
      </c>
      <c r="AF676" s="259">
        <f>_xlfn.SUMIFS(Налоги!AF$25:AF$101,Налоги!$F$25:$F$101,$F676,Налоги!$AB$25:$AB$101,$G676)</f>
        <v>0</v>
      </c>
      <c r="AG676" s="259">
        <f>_xlfn.SUMIFS(Налоги!AG$25:AG$101,Налоги!$F$25:$F$101,$F676,Налоги!$AB$25:$AB$101,$G676)</f>
        <v>0</v>
      </c>
      <c r="AH676" s="943">
        <f>AG676-AF676</f>
        <v>0</v>
      </c>
      <c r="AI676" s="943">
        <f>_xlfn.SUMIFS(Налоги!AH$25:AH$101,Налоги!$F$25:$F$101,$F676,Налоги!$AB$25:$AB$101,$G676)</f>
        <v>0</v>
      </c>
      <c r="AJ676" s="943">
        <f>_xlfn.SUMIFS(Налоги!AI$25:AI$101,Налоги!$F$25:$F$101,$F676,Налоги!$AB$25:$AB$101,$G676)</f>
        <v>0</v>
      </c>
      <c r="AK676" s="943">
        <f>_xlfn.SUMIFS(Налоги!AJ$25:AJ$101,Налоги!$F$25:$F$101,$F676,Налоги!$AB$25:$AB$101,$G676)</f>
        <v>0</v>
      </c>
      <c r="AL676" s="943">
        <f>_xlfn.SUMIFS(Налоги!AK$25:AK$101,Налоги!$F$25:$F$101,$F676,Налоги!$AB$25:$AB$101,$G676)</f>
        <v>0</v>
      </c>
      <c r="AM676" s="943">
        <f>_xlfn.SUMIFS(Налоги!AL$25:AL$101,Налоги!$F$25:$F$101,$F676,Налоги!$AB$25:$AB$101,$G676)</f>
        <v>0</v>
      </c>
      <c r="AN676" s="943">
        <f>_xlfn.SUMIFS(Налоги!AM$25:AM$101,Налоги!$F$25:$F$101,$F676,Налоги!$AB$25:$AB$101,$G676)</f>
        <v>0</v>
      </c>
      <c r="AO676" s="943">
        <f>_xlfn.SUMIFS(Налоги!AN$25:AN$101,Налоги!$F$25:$F$101,$F676,Налоги!$AB$25:$AB$101,$G676)</f>
        <v>0</v>
      </c>
      <c r="AP676" s="943">
        <f>_xlfn.SUMIFS(Налоги!AO$25:AO$101,Налоги!$F$25:$F$101,$F676,Налоги!$AB$25:$AB$101,$G676)</f>
        <v>0</v>
      </c>
      <c r="AQ676" s="943">
        <f>_xlfn.SUMIFS(Налоги!AP$25:AP$101,Налоги!$F$25:$F$101,$F676,Налоги!$AB$25:$AB$101,$G676)</f>
        <v>0</v>
      </c>
      <c r="AR676" s="943">
        <f>_xlfn.SUMIFS(Налоги!AQ$25:AQ$101,Налоги!$F$25:$F$101,$F676,Налоги!$AB$25:$AB$101,$G676)</f>
        <v>0</v>
      </c>
      <c r="AS676" s="943">
        <f>_xlfn.SUMIFS(Налоги!AR$25:AR$101,Налоги!$F$25:$F$101,$F676,Налоги!$AB$25:$AB$101,$G676)</f>
        <v>0</v>
      </c>
      <c r="AT676" s="943">
        <f>_xlfn.SUMIFS(Налоги!AS$25:AS$101,Налоги!$F$25:$F$101,$F676,Налоги!$AB$25:$AB$101,$G676)</f>
        <v>0</v>
      </c>
      <c r="AU676" s="943">
        <f>_xlfn.SUMIFS(Налоги!AT$25:AT$101,Налоги!$F$25:$F$101,$F676,Налоги!$AB$25:$AB$101,$G676)</f>
        <v>0</v>
      </c>
      <c r="AV676" s="943">
        <f>_xlfn.SUMIFS(Налоги!AU$25:AU$101,Налоги!$F$25:$F$101,$F676,Налоги!$AB$25:$AB$101,$G676)</f>
        <v>0</v>
      </c>
      <c r="AW676" s="943">
        <f>_xlfn.SUMIFS(Налоги!AV$25:AV$101,Налоги!$F$25:$F$101,$F676,Налоги!$AB$25:$AB$101,$G676)</f>
        <v>0</v>
      </c>
      <c r="AX676" s="943">
        <f>_xlfn.SUMIFS(Налоги!AW$25:AW$101,Налоги!$F$25:$F$101,$F676,Налоги!$AB$25:$AB$101,$G676)</f>
        <v>0</v>
      </c>
      <c r="AY676" s="943">
        <f>_xlfn.SUMIFS(Налоги!AX$25:AX$101,Налоги!$F$25:$F$101,$F676,Налоги!$AB$25:$AB$101,$G676)</f>
        <v>0</v>
      </c>
      <c r="AZ676" s="943">
        <f>_xlfn.SUMIFS(Налоги!AY$25:AY$101,Налоги!$F$25:$F$101,$F676,Налоги!$AB$25:$AB$101,$G676)</f>
        <v>0</v>
      </c>
      <c r="BA676" s="943">
        <f>_xlfn.SUMIFS(Налоги!AZ$25:AZ$101,Налоги!$F$25:$F$101,$F676,Налоги!$AB$25:$AB$101,$G676)</f>
        <v>0</v>
      </c>
      <c r="BB676" s="943">
        <f>_xlfn.SUMIFS(Налоги!BA$25:BA$101,Налоги!$F$25:$F$101,$F676,Налоги!$AB$25:$AB$101,$G676)</f>
        <v>0</v>
      </c>
      <c r="BC676" s="943">
        <f>_xlfn.SUMIFS(Налоги!BB$25:BB$101,Налоги!$F$25:$F$101,$F676,Налоги!$AB$25:$AB$101,$G676)</f>
        <v>0</v>
      </c>
      <c r="BD676" s="943">
        <f>IF(AI676=0,0,(AT676-AI676)/AI676*100)</f>
        <v>0</v>
      </c>
      <c r="BE676" s="943">
        <f>IF(AT676=0,0,(AU676-AT676)/AT676*100)</f>
        <v>0</v>
      </c>
      <c r="BF676" s="943">
        <f>IF(AU676=0,0,(AV676-AU676)/AU676*100)</f>
        <v>0</v>
      </c>
      <c r="BG676" s="943">
        <f>IF(AV676=0,0,(AW676-AV676)/AV676*100)</f>
        <v>0</v>
      </c>
      <c r="BH676" s="943">
        <f>IF(AW676=0,0,(AX676-AW676)/AW676*100)</f>
        <v>0</v>
      </c>
      <c r="BI676" s="943">
        <f>IF(AX676=0,0,(AY676-AX676)/AX676*100)</f>
        <v>0</v>
      </c>
      <c r="BJ676" s="943">
        <f>IF(AY676=0,0,(AZ676-AY676)/AY676*100)</f>
        <v>0</v>
      </c>
      <c r="BK676" s="943">
        <f>IF(AZ676=0,0,(BA676-AZ676)/AZ676*100)</f>
        <v>0</v>
      </c>
      <c r="BL676" s="943">
        <f>IF(BA676=0,0,(BB676-BA676)/BA676*100)</f>
        <v>0</v>
      </c>
      <c r="BM676" s="943">
        <f>IF(BB676=0,0,(BC676-BB676)/BB676*100)</f>
        <v>0</v>
      </c>
      <c r="BN676" s="7771"/>
      <c r="BO676" s="7724" t="str">
        <f>IF(_xlfn.IFERROR(INDEX(Налоги!$K$26:$L$101,MATCH($F676&amp;"8komm",Налоги!$K$26:$K$101,0),2),"")=0,"",_xlfn.IFERROR(INDEX(Налоги!$K$26:$L$101,MATCH($F676&amp;"8komm",Налоги!$K$26:$K$101,0),2),""))</f>
        <v/>
      </c>
      <c r="BP676" s="7771"/>
      <c r="BQ676" s="1278"/>
      <c r="BR676" s="1278"/>
      <c r="BS676" s="1064" t="s">
        <v>2017</v>
      </c>
      <c r="BT676" s="1064"/>
      <c r="BU676" s="1064"/>
      <c r="BV676" s="979"/>
      <c r="BW676" s="979"/>
    </row>
    <row s="1233" customFormat="1" customHeight="1" ht="14.25">
      <c r="A677" s="1233"/>
      <c r="B677" s="96"/>
      <c r="C677" s="107"/>
      <c r="D677" s="107"/>
      <c r="E677" s="621">
        <v>15</v>
      </c>
      <c r="F677" s="50" cm="1" t="str">
        <f t="array" ref="F677:F677">OFFSET(E677,-1,1)</f>
        <v>4</v>
      </c>
      <c r="G677" s="922">
        <v>9</v>
      </c>
      <c r="H677" s="107"/>
      <c r="I677" s="107"/>
      <c r="J677" s="107"/>
      <c r="K677" s="107"/>
      <c r="L677" s="980"/>
      <c r="M677" s="107"/>
      <c r="N677" s="107"/>
      <c r="O677" s="107"/>
      <c r="P677" s="107"/>
      <c r="Q677" s="107"/>
      <c r="R677" s="107"/>
      <c r="S677" s="107"/>
      <c r="T677" s="465" cm="1" t="str">
        <f t="array" ref="T677:T677">T676</f>
        <v>true</v>
      </c>
      <c r="U677" s="107"/>
      <c r="V677" s="107"/>
      <c r="W677" s="1233"/>
      <c r="X677" s="1563"/>
      <c r="Y677" s="1233"/>
      <c r="Z677" s="1546"/>
      <c r="AA677" s="1233"/>
      <c r="AB677" s="299" t="s">
        <v>2796</v>
      </c>
      <c r="AC677" s="780" t="s">
        <v>2797</v>
      </c>
      <c r="AD677" s="300" t="s">
        <v>1514</v>
      </c>
      <c r="AE677" s="259">
        <f>_xlfn.SUMIFS(Налоги!AE$25:AE$101,Налоги!$F$25:$F$101,$F677,Налоги!$AB$25:$AB$101,$G677)</f>
        <v>0</v>
      </c>
      <c r="AF677" s="259">
        <f>_xlfn.SUMIFS(Налоги!AF$25:AF$101,Налоги!$F$25:$F$101,$F677,Налоги!$AB$25:$AB$101,$G677)</f>
        <v>0</v>
      </c>
      <c r="AG677" s="259">
        <f>_xlfn.SUMIFS(Налоги!AG$25:AG$101,Налоги!$F$25:$F$101,$F677,Налоги!$AB$25:$AB$101,$G677)</f>
        <v>0</v>
      </c>
      <c r="AH677" s="943">
        <f>AG677-AF677</f>
        <v>0</v>
      </c>
      <c r="AI677" s="943">
        <f>_xlfn.SUMIFS(Налоги!AH$25:AH$101,Налоги!$F$25:$F$101,$F677,Налоги!$AB$25:$AB$101,$G677)</f>
        <v>0</v>
      </c>
      <c r="AJ677" s="943">
        <f>_xlfn.SUMIFS(Налоги!AI$25:AI$101,Налоги!$F$25:$F$101,$F677,Налоги!$AB$25:$AB$101,$G677)</f>
        <v>0</v>
      </c>
      <c r="AK677" s="943">
        <f>_xlfn.SUMIFS(Налоги!AJ$25:AJ$101,Налоги!$F$25:$F$101,$F677,Налоги!$AB$25:$AB$101,$G677)</f>
        <v>0</v>
      </c>
      <c r="AL677" s="943">
        <f>_xlfn.SUMIFS(Налоги!AK$25:AK$101,Налоги!$F$25:$F$101,$F677,Налоги!$AB$25:$AB$101,$G677)</f>
        <v>0</v>
      </c>
      <c r="AM677" s="943">
        <f>_xlfn.SUMIFS(Налоги!AL$25:AL$101,Налоги!$F$25:$F$101,$F677,Налоги!$AB$25:$AB$101,$G677)</f>
        <v>0</v>
      </c>
      <c r="AN677" s="943">
        <f>_xlfn.SUMIFS(Налоги!AM$25:AM$101,Налоги!$F$25:$F$101,$F677,Налоги!$AB$25:$AB$101,$G677)</f>
        <v>0</v>
      </c>
      <c r="AO677" s="943">
        <f>_xlfn.SUMIFS(Налоги!AN$25:AN$101,Налоги!$F$25:$F$101,$F677,Налоги!$AB$25:$AB$101,$G677)</f>
        <v>0</v>
      </c>
      <c r="AP677" s="943">
        <f>_xlfn.SUMIFS(Налоги!AO$25:AO$101,Налоги!$F$25:$F$101,$F677,Налоги!$AB$25:$AB$101,$G677)</f>
        <v>0</v>
      </c>
      <c r="AQ677" s="943">
        <f>_xlfn.SUMIFS(Налоги!AP$25:AP$101,Налоги!$F$25:$F$101,$F677,Налоги!$AB$25:$AB$101,$G677)</f>
        <v>0</v>
      </c>
      <c r="AR677" s="943">
        <f>_xlfn.SUMIFS(Налоги!AQ$25:AQ$101,Налоги!$F$25:$F$101,$F677,Налоги!$AB$25:$AB$101,$G677)</f>
        <v>0</v>
      </c>
      <c r="AS677" s="943">
        <f>_xlfn.SUMIFS(Налоги!AR$25:AR$101,Налоги!$F$25:$F$101,$F677,Налоги!$AB$25:$AB$101,$G677)</f>
        <v>0</v>
      </c>
      <c r="AT677" s="943">
        <f>_xlfn.SUMIFS(Налоги!AS$25:AS$101,Налоги!$F$25:$F$101,$F677,Налоги!$AB$25:$AB$101,$G677)</f>
        <v>0</v>
      </c>
      <c r="AU677" s="943">
        <f>_xlfn.SUMIFS(Налоги!AT$25:AT$101,Налоги!$F$25:$F$101,$F677,Налоги!$AB$25:$AB$101,$G677)</f>
        <v>0</v>
      </c>
      <c r="AV677" s="943">
        <f>_xlfn.SUMIFS(Налоги!AU$25:AU$101,Налоги!$F$25:$F$101,$F677,Налоги!$AB$25:$AB$101,$G677)</f>
        <v>0</v>
      </c>
      <c r="AW677" s="943">
        <f>_xlfn.SUMIFS(Налоги!AV$25:AV$101,Налоги!$F$25:$F$101,$F677,Налоги!$AB$25:$AB$101,$G677)</f>
        <v>0</v>
      </c>
      <c r="AX677" s="943">
        <f>_xlfn.SUMIFS(Налоги!AW$25:AW$101,Налоги!$F$25:$F$101,$F677,Налоги!$AB$25:$AB$101,$G677)</f>
        <v>0</v>
      </c>
      <c r="AY677" s="943">
        <f>_xlfn.SUMIFS(Налоги!AX$25:AX$101,Налоги!$F$25:$F$101,$F677,Налоги!$AB$25:$AB$101,$G677)</f>
        <v>0</v>
      </c>
      <c r="AZ677" s="943">
        <f>_xlfn.SUMIFS(Налоги!AY$25:AY$101,Налоги!$F$25:$F$101,$F677,Налоги!$AB$25:$AB$101,$G677)</f>
        <v>0</v>
      </c>
      <c r="BA677" s="943">
        <f>_xlfn.SUMIFS(Налоги!AZ$25:AZ$101,Налоги!$F$25:$F$101,$F677,Налоги!$AB$25:$AB$101,$G677)</f>
        <v>0</v>
      </c>
      <c r="BB677" s="943">
        <f>_xlfn.SUMIFS(Налоги!BA$25:BA$101,Налоги!$F$25:$F$101,$F677,Налоги!$AB$25:$AB$101,$G677)</f>
        <v>0</v>
      </c>
      <c r="BC677" s="943">
        <f>_xlfn.SUMIFS(Налоги!BB$25:BB$101,Налоги!$F$25:$F$101,$F677,Налоги!$AB$25:$AB$101,$G677)</f>
        <v>0</v>
      </c>
      <c r="BD677" s="943">
        <f>IF(AI677=0,0,(AT677-AI677)/AI677*100)</f>
        <v>0</v>
      </c>
      <c r="BE677" s="943">
        <f>IF(AT677=0,0,(AU677-AT677)/AT677*100)</f>
        <v>0</v>
      </c>
      <c r="BF677" s="943">
        <f>IF(AU677=0,0,(AV677-AU677)/AU677*100)</f>
        <v>0</v>
      </c>
      <c r="BG677" s="943">
        <f>IF(AV677=0,0,(AW677-AV677)/AV677*100)</f>
        <v>0</v>
      </c>
      <c r="BH677" s="943">
        <f>IF(AW677=0,0,(AX677-AW677)/AW677*100)</f>
        <v>0</v>
      </c>
      <c r="BI677" s="943">
        <f>IF(AX677=0,0,(AY677-AX677)/AX677*100)</f>
        <v>0</v>
      </c>
      <c r="BJ677" s="943">
        <f>IF(AY677=0,0,(AZ677-AY677)/AY677*100)</f>
        <v>0</v>
      </c>
      <c r="BK677" s="943">
        <f>IF(AZ677=0,0,(BA677-AZ677)/AZ677*100)</f>
        <v>0</v>
      </c>
      <c r="BL677" s="943">
        <f>IF(BA677=0,0,(BB677-BA677)/BA677*100)</f>
        <v>0</v>
      </c>
      <c r="BM677" s="943">
        <f>IF(BB677=0,0,(BC677-BB677)/BB677*100)</f>
        <v>0</v>
      </c>
      <c r="BN677" s="7771"/>
      <c r="BO677" s="7724" t="str">
        <f>IF(_xlfn.IFERROR(INDEX(Налоги!$K$26:$L$101,MATCH($F677&amp;"9komm",Налоги!$K$26:$K$101,0),2),"")=0,"",_xlfn.IFERROR(INDEX(Налоги!$K$26:$L$101,MATCH($F677&amp;"9komm",Налоги!$K$26:$K$101,0),2),""))</f>
        <v/>
      </c>
      <c r="BP677" s="7771"/>
      <c r="BQ677" s="1233"/>
      <c r="BR677" s="1233"/>
      <c r="BS677" s="1071" t="s">
        <v>2798</v>
      </c>
      <c r="BT677" s="1071"/>
      <c r="BU677" s="1071"/>
      <c r="BV677" s="1072"/>
      <c r="BW677" s="1072"/>
    </row>
    <row s="1834" customFormat="1" customHeight="1" ht="14.25">
      <c r="A678" s="1278"/>
      <c r="B678" s="96"/>
      <c r="C678" s="107"/>
      <c r="D678" s="107"/>
      <c r="E678" s="621">
        <v>15</v>
      </c>
      <c r="F678" s="50" cm="1" t="str">
        <f t="array" ref="F678:F678">OFFSET(E678,-1,1)</f>
        <v>4</v>
      </c>
      <c r="G678" s="922">
        <v>10</v>
      </c>
      <c r="H678" s="107"/>
      <c r="I678" s="107" t="s">
        <v>2799</v>
      </c>
      <c r="J678" s="107"/>
      <c r="K678" s="107" t="s">
        <v>2799</v>
      </c>
      <c r="L678" s="980"/>
      <c r="M678" s="107"/>
      <c r="N678" s="107"/>
      <c r="O678" s="107"/>
      <c r="P678" s="107"/>
      <c r="Q678" s="107"/>
      <c r="R678" s="107"/>
      <c r="S678" s="107"/>
      <c r="T678" s="465" cm="1" t="str">
        <f t="array" ref="T678:T678">T677</f>
        <v>true</v>
      </c>
      <c r="U678" s="107"/>
      <c r="V678" s="107"/>
      <c r="W678" s="1278"/>
      <c r="X678" s="1563"/>
      <c r="Y678" s="1278"/>
      <c r="Z678" s="1546"/>
      <c r="AA678" s="1278"/>
      <c r="AB678" s="299" t="s">
        <v>2800</v>
      </c>
      <c r="AC678" s="781" t="s">
        <v>2801</v>
      </c>
      <c r="AD678" s="300" t="s">
        <v>1514</v>
      </c>
      <c r="AE678" s="259">
        <f>_xlfn.SUMIFS(Налоги!AE$25:AE$101,Налоги!$F$25:$F$101,$F678,Налоги!$AB$25:$AB$101,$G678)</f>
        <v>0</v>
      </c>
      <c r="AF678" s="259">
        <f>_xlfn.SUMIFS(Налоги!AF$25:AF$101,Налоги!$F$25:$F$101,$F678,Налоги!$AB$25:$AB$101,$G678)</f>
        <v>0</v>
      </c>
      <c r="AG678" s="259">
        <f>_xlfn.SUMIFS(Налоги!AG$25:AG$101,Налоги!$F$25:$F$101,$F678,Налоги!$AB$25:$AB$101,$G678)</f>
        <v>0</v>
      </c>
      <c r="AH678" s="943">
        <f>AG678-AF678</f>
        <v>0</v>
      </c>
      <c r="AI678" s="943">
        <f>_xlfn.SUMIFS(Налоги!AH$25:AH$101,Налоги!$F$25:$F$101,$F678,Налоги!$AB$25:$AB$101,$G678)</f>
        <v>0</v>
      </c>
      <c r="AJ678" s="943">
        <f>_xlfn.SUMIFS(Налоги!AI$25:AI$101,Налоги!$F$25:$F$101,$F678,Налоги!$AB$25:$AB$101,$G678)</f>
        <v>0</v>
      </c>
      <c r="AK678" s="943">
        <f>_xlfn.SUMIFS(Налоги!AJ$25:AJ$101,Налоги!$F$25:$F$101,$F678,Налоги!$AB$25:$AB$101,$G678)</f>
        <v>0</v>
      </c>
      <c r="AL678" s="943">
        <f>_xlfn.SUMIFS(Налоги!AK$25:AK$101,Налоги!$F$25:$F$101,$F678,Налоги!$AB$25:$AB$101,$G678)</f>
        <v>23.26</v>
      </c>
      <c r="AM678" s="943">
        <f>_xlfn.SUMIFS(Налоги!AL$25:AL$101,Налоги!$F$25:$F$101,$F678,Налоги!$AB$25:$AB$101,$G678)</f>
        <v>130.75</v>
      </c>
      <c r="AN678" s="943">
        <f>_xlfn.SUMIFS(Налоги!AM$25:AM$101,Налоги!$F$25:$F$101,$F678,Налоги!$AB$25:$AB$101,$G678)</f>
        <v>84.23</v>
      </c>
      <c r="AO678" s="943">
        <f>_xlfn.SUMIFS(Налоги!AN$25:AN$101,Налоги!$F$25:$F$101,$F678,Налоги!$AB$25:$AB$101,$G678)</f>
        <v>0</v>
      </c>
      <c r="AP678" s="943">
        <f>_xlfn.SUMIFS(Налоги!AO$25:AO$101,Налоги!$F$25:$F$101,$F678,Налоги!$AB$25:$AB$101,$G678)</f>
        <v>0</v>
      </c>
      <c r="AQ678" s="943">
        <f>_xlfn.SUMIFS(Налоги!AP$25:AP$101,Налоги!$F$25:$F$101,$F678,Налоги!$AB$25:$AB$101,$G678)</f>
        <v>0</v>
      </c>
      <c r="AR678" s="943">
        <f>_xlfn.SUMIFS(Налоги!AQ$25:AQ$101,Налоги!$F$25:$F$101,$F678,Налоги!$AB$25:$AB$101,$G678)</f>
        <v>0</v>
      </c>
      <c r="AS678" s="943">
        <f>_xlfn.SUMIFS(Налоги!AR$25:AR$101,Налоги!$F$25:$F$101,$F678,Налоги!$AB$25:$AB$101,$G678)</f>
        <v>0</v>
      </c>
      <c r="AT678" s="943">
        <f>_xlfn.SUMIFS(Налоги!AS$25:AS$101,Налоги!$F$25:$F$101,$F678,Налоги!$AB$25:$AB$101,$G678)</f>
        <v>0</v>
      </c>
      <c r="AU678" s="943">
        <f>_xlfn.SUMIFS(Налоги!AT$25:AT$101,Налоги!$F$25:$F$101,$F678,Налоги!$AB$25:$AB$101,$G678)</f>
        <v>0</v>
      </c>
      <c r="AV678" s="943">
        <f>_xlfn.SUMIFS(Налоги!AU$25:AU$101,Налоги!$F$25:$F$101,$F678,Налоги!$AB$25:$AB$101,$G678)</f>
        <v>23.26</v>
      </c>
      <c r="AW678" s="943">
        <f>_xlfn.SUMIFS(Налоги!AV$25:AV$101,Налоги!$F$25:$F$101,$F678,Налоги!$AB$25:$AB$101,$G678)</f>
        <v>130.75</v>
      </c>
      <c r="AX678" s="943">
        <f>_xlfn.SUMIFS(Налоги!AW$25:AW$101,Налоги!$F$25:$F$101,$F678,Налоги!$AB$25:$AB$101,$G678)</f>
        <v>84.23</v>
      </c>
      <c r="AY678" s="943">
        <f>_xlfn.SUMIFS(Налоги!AX$25:AX$101,Налоги!$F$25:$F$101,$F678,Налоги!$AB$25:$AB$101,$G678)</f>
        <v>0</v>
      </c>
      <c r="AZ678" s="943">
        <f>_xlfn.SUMIFS(Налоги!AY$25:AY$101,Налоги!$F$25:$F$101,$F678,Налоги!$AB$25:$AB$101,$G678)</f>
        <v>0</v>
      </c>
      <c r="BA678" s="943">
        <f>_xlfn.SUMIFS(Налоги!AZ$25:AZ$101,Налоги!$F$25:$F$101,$F678,Налоги!$AB$25:$AB$101,$G678)</f>
        <v>0</v>
      </c>
      <c r="BB678" s="943">
        <f>_xlfn.SUMIFS(Налоги!BA$25:BA$101,Налоги!$F$25:$F$101,$F678,Налоги!$AB$25:$AB$101,$G678)</f>
        <v>0</v>
      </c>
      <c r="BC678" s="943">
        <f>_xlfn.SUMIFS(Налоги!BB$25:BB$101,Налоги!$F$25:$F$101,$F678,Налоги!$AB$25:$AB$101,$G678)</f>
        <v>0</v>
      </c>
      <c r="BD678" s="943">
        <f>IF(AI678=0,0,(AT678-AI678)/AI678*100)</f>
        <v>0</v>
      </c>
      <c r="BE678" s="943">
        <f>IF(AT678=0,0,(AU678-AT678)/AT678*100)</f>
        <v>0</v>
      </c>
      <c r="BF678" s="943">
        <f>IF(AU678=0,0,(AV678-AU678)/AU678*100)</f>
        <v>0</v>
      </c>
      <c r="BG678" s="943">
        <f>IF(AV678=0,0,(AW678-AV678)/AV678*100)</f>
        <v>462.123817712812</v>
      </c>
      <c r="BH678" s="943">
        <f>IF(AW678=0,0,(AX678-AW678)/AW678*100)</f>
        <v>-35.5793499043977</v>
      </c>
      <c r="BI678" s="943">
        <f>IF(AX678=0,0,(AY678-AX678)/AX678*100)</f>
        <v>-100</v>
      </c>
      <c r="BJ678" s="943">
        <f>IF(AY678=0,0,(AZ678-AY678)/AY678*100)</f>
        <v>0</v>
      </c>
      <c r="BK678" s="943">
        <f>IF(AZ678=0,0,(BA678-AZ678)/AZ678*100)</f>
        <v>0</v>
      </c>
      <c r="BL678" s="943">
        <f>IF(BA678=0,0,(BB678-BA678)/BA678*100)</f>
        <v>0</v>
      </c>
      <c r="BM678" s="943">
        <f>IF(BB678=0,0,(BC678-BB678)/BB678*100)</f>
        <v>0</v>
      </c>
      <c r="BN678" s="7771"/>
      <c r="BO678" s="7724" t="str">
        <f>IF(_xlfn.IFERROR(INDEX(Налоги!$K$26:$L$101,MATCH($F678&amp;"10komm",Налоги!$K$26:$K$101,0),2),"")=0,"",_xlfn.IFERROR(INDEX(Налоги!$K$26:$L$101,MATCH($F678&amp;"10komm",Налоги!$K$26:$K$101,0),2),""))</f>
        <v/>
      </c>
      <c r="BP678" s="7771"/>
      <c r="BQ678" s="1278"/>
      <c r="BR678" s="1278"/>
      <c r="BS678" s="1064" t="s">
        <v>2802</v>
      </c>
      <c r="BT678" s="1064"/>
      <c r="BU678" s="1064"/>
      <c r="BV678" s="979"/>
      <c r="BW678" s="979"/>
    </row>
    <row s="1834" customFormat="1" customHeight="1" ht="65.25">
      <c r="A679" s="1278"/>
      <c r="B679" s="978"/>
      <c r="C679" s="1278"/>
      <c r="D679" s="1278"/>
      <c r="E679" s="703">
        <v>67.5</v>
      </c>
      <c r="F679" s="50" cm="1" t="str">
        <f t="array" ref="F679:F679">OFFSET(E679,-1,1)</f>
        <v>4</v>
      </c>
      <c r="G679" s="158" t="s">
        <v>2178</v>
      </c>
      <c r="H679" s="1278"/>
      <c r="I679" s="158" t="s">
        <v>1650</v>
      </c>
      <c r="J679" s="1278"/>
      <c r="K679" s="158" t="s">
        <v>1650</v>
      </c>
      <c r="L679" s="980"/>
      <c r="M679" s="107"/>
      <c r="N679" s="1278"/>
      <c r="O679" s="1278"/>
      <c r="P679" s="1278"/>
      <c r="Q679" s="1278"/>
      <c r="R679" s="1278"/>
      <c r="S679" s="1278"/>
      <c r="T679" s="465" cm="1" t="str">
        <f t="array" ref="T679:T679">T678</f>
        <v>true</v>
      </c>
      <c r="U679" s="1278"/>
      <c r="V679" s="1278"/>
      <c r="W679" s="1278"/>
      <c r="X679" s="1563"/>
      <c r="Y679" s="1278"/>
      <c r="Z679" s="1546"/>
      <c r="AA679" s="1278"/>
      <c r="AB679" s="299" t="s">
        <v>1651</v>
      </c>
      <c r="AC679" s="782" t="s">
        <v>2181</v>
      </c>
      <c r="AD679" s="300" t="s">
        <v>1514</v>
      </c>
      <c r="AE679" s="7775"/>
      <c r="AF679" s="7775"/>
      <c r="AG679" s="7775"/>
      <c r="AH679" s="943">
        <f>AG679-AF679</f>
        <v>0</v>
      </c>
      <c r="AI679" s="7776"/>
      <c r="AJ679" s="7776"/>
      <c r="AK679" s="7776"/>
      <c r="AL679" s="7776"/>
      <c r="AM679" s="7776"/>
      <c r="AN679" s="7776"/>
      <c r="AO679" s="1258"/>
      <c r="AP679" s="1258"/>
      <c r="AQ679" s="1258"/>
      <c r="AR679" s="1258"/>
      <c r="AS679" s="1258"/>
      <c r="AT679" s="7776"/>
      <c r="AU679" s="7776"/>
      <c r="AV679" s="7776"/>
      <c r="AW679" s="7776"/>
      <c r="AX679" s="7776"/>
      <c r="AY679" s="1258"/>
      <c r="AZ679" s="1258"/>
      <c r="BA679" s="1258"/>
      <c r="BB679" s="1258"/>
      <c r="BC679" s="1258"/>
      <c r="BD679" s="943">
        <f>IF(AI679=0,0,(AT679-AI679)/AI679*100)</f>
        <v>0</v>
      </c>
      <c r="BE679" s="943">
        <f>IF(AT679=0,0,(AU679-AT679)/AT679*100)</f>
        <v>0</v>
      </c>
      <c r="BF679" s="943">
        <f>IF(AU679=0,0,(AV679-AU679)/AU679*100)</f>
        <v>0</v>
      </c>
      <c r="BG679" s="943">
        <f>IF(AV679=0,0,(AW679-AV679)/AV679*100)</f>
        <v>0</v>
      </c>
      <c r="BH679" s="943">
        <f>IF(AW679=0,0,(AX679-AW679)/AW679*100)</f>
        <v>0</v>
      </c>
      <c r="BI679" s="943">
        <f>IF(AX679=0,0,(AY679-AX679)/AX679*100)</f>
        <v>0</v>
      </c>
      <c r="BJ679" s="943">
        <f>IF(AY679=0,0,(AZ679-AY679)/AY679*100)</f>
        <v>0</v>
      </c>
      <c r="BK679" s="943">
        <f>IF(AZ679=0,0,(BA679-AZ679)/AZ679*100)</f>
        <v>0</v>
      </c>
      <c r="BL679" s="943">
        <f>IF(BA679=0,0,(BB679-BA679)/BA679*100)</f>
        <v>0</v>
      </c>
      <c r="BM679" s="943">
        <f>IF(BB679=0,0,(BC679-BB679)/BB679*100)</f>
        <v>0</v>
      </c>
      <c r="BN679" s="7771"/>
      <c r="BO679" s="7771"/>
      <c r="BP679" s="7771"/>
      <c r="BQ679" s="1278"/>
      <c r="BR679" s="1278"/>
      <c r="BS679" s="1064" t="s">
        <v>2803</v>
      </c>
      <c r="BT679" s="1064"/>
      <c r="BU679" s="1064"/>
      <c r="BV679" s="979"/>
      <c r="BW679" s="979"/>
    </row>
    <row s="1834" customFormat="1" customHeight="1" ht="14.25">
      <c r="A680" s="1278"/>
      <c r="B680" s="978"/>
      <c r="C680" s="1278"/>
      <c r="D680" s="1278"/>
      <c r="E680" s="703">
        <v>15</v>
      </c>
      <c r="F680" s="50" cm="1" t="str">
        <f t="array" ref="F680:F680">OFFSET(E680,-1,1)</f>
        <v>4</v>
      </c>
      <c r="G680" s="158" t="s">
        <v>1730</v>
      </c>
      <c r="H680" s="1278"/>
      <c r="I680" s="158" t="s">
        <v>1653</v>
      </c>
      <c r="J680" s="1278"/>
      <c r="K680" s="158" t="s">
        <v>1653</v>
      </c>
      <c r="L680" s="980" t="s">
        <v>1225</v>
      </c>
      <c r="M680" s="107"/>
      <c r="N680" s="1278"/>
      <c r="O680" s="1278"/>
      <c r="P680" s="1278"/>
      <c r="Q680" s="1278"/>
      <c r="R680" s="1278"/>
      <c r="S680" s="1278"/>
      <c r="T680" s="465" cm="1" t="str">
        <f t="array" ref="T680:T680">T679</f>
        <v>true</v>
      </c>
      <c r="U680" s="1278"/>
      <c r="V680" s="1278"/>
      <c r="W680" s="1278"/>
      <c r="X680" s="1563"/>
      <c r="Y680" s="1278"/>
      <c r="Z680" s="1546"/>
      <c r="AA680" s="1278"/>
      <c r="AB680" s="299" t="s">
        <v>1654</v>
      </c>
      <c r="AC680" s="762" t="s">
        <v>1730</v>
      </c>
      <c r="AD680" s="300" t="s">
        <v>1514</v>
      </c>
      <c r="AE680" s="259">
        <f>_xlfn.SUMIFS(Аренда!AE$25:AE$77,Аренда!$F$25:$F$77,$F680,Аренда!$G$25:$G$77,"Арендная и концессионная плата, лизинговые платежи")</f>
        <v>0</v>
      </c>
      <c r="AF680" s="259">
        <f>_xlfn.SUMIFS(Аренда!AF$25:AF$77,Аренда!$F$25:$F$77,$F680,Аренда!$G$25:$G$77,"Арендная и концессионная плата, лизинговые платежи")</f>
        <v>0</v>
      </c>
      <c r="AG680" s="259">
        <f>_xlfn.SUMIFS(Аренда!AG$25:AG$77,Аренда!$F$25:$F$77,$F680,Аренда!$G$25:$G$77,"Арендная и концессионная плата, лизинговые платежи")</f>
        <v>0</v>
      </c>
      <c r="AH680" s="943">
        <f>AG680-AF680</f>
        <v>0</v>
      </c>
      <c r="AI680" s="259">
        <f>_xlfn.SUMIFS(Аренда!AH$25:AH$77,Аренда!$F$25:$F$77,$F680,Аренда!$G$25:$G$77,"Арендная и концессионная плата, лизинговые платежи")</f>
        <v>0</v>
      </c>
      <c r="AJ680" s="259">
        <f>_xlfn.SUMIFS(Аренда!AI$25:AI$77,Аренда!$F$25:$F$77,$F680,Аренда!$G$25:$G$77,"Арендная и концессионная плата, лизинговые платежи")</f>
        <v>972.24</v>
      </c>
      <c r="AK680" s="259">
        <f>_xlfn.SUMIFS(Аренда!AJ$25:AJ$77,Аренда!$F$25:$F$77,$F680,Аренда!$G$25:$G$77,"Арендная и концессионная плата, лизинговые платежи")</f>
        <v>972.24</v>
      </c>
      <c r="AL680" s="259">
        <f>_xlfn.SUMIFS(Аренда!AK$25:AK$77,Аренда!$F$25:$F$77,$F680,Аренда!$G$25:$G$77,"Арендная и концессионная плата, лизинговые платежи")</f>
        <v>972.24</v>
      </c>
      <c r="AM680" s="259">
        <f>_xlfn.SUMIFS(Аренда!AL$25:AL$77,Аренда!$F$25:$F$77,$F680,Аренда!$G$25:$G$77,"Арендная и концессионная плата, лизинговые платежи")</f>
        <v>972.24</v>
      </c>
      <c r="AN680" s="259">
        <f>_xlfn.SUMIFS(Аренда!AM$25:AM$77,Аренда!$F$25:$F$77,$F680,Аренда!$G$25:$G$77,"Арендная и концессионная плата, лизинговые платежи")</f>
        <v>972.24</v>
      </c>
      <c r="AO680" s="259">
        <f>_xlfn.SUMIFS(Аренда!AN$25:AN$77,Аренда!$F$25:$F$77,$F680,Аренда!$G$25:$G$77,"Арендная и концессионная плата, лизинговые платежи")</f>
        <v>0</v>
      </c>
      <c r="AP680" s="259">
        <f>_xlfn.SUMIFS(Аренда!AO$25:AO$77,Аренда!$F$25:$F$77,$F680,Аренда!$G$25:$G$77,"Арендная и концессионная плата, лизинговые платежи")</f>
        <v>0</v>
      </c>
      <c r="AQ680" s="259">
        <f>_xlfn.SUMIFS(Аренда!AP$25:AP$77,Аренда!$F$25:$F$77,$F680,Аренда!$G$25:$G$77,"Арендная и концессионная плата, лизинговые платежи")</f>
        <v>0</v>
      </c>
      <c r="AR680" s="259">
        <f>_xlfn.SUMIFS(Аренда!AQ$25:AQ$77,Аренда!$F$25:$F$77,$F680,Аренда!$G$25:$G$77,"Арендная и концессионная плата, лизинговые платежи")</f>
        <v>0</v>
      </c>
      <c r="AS680" s="259">
        <f>_xlfn.SUMIFS(Аренда!AR$25:AR$77,Аренда!$F$25:$F$77,$F680,Аренда!$G$25:$G$77,"Арендная и концессионная плата, лизинговые платежи")</f>
        <v>0</v>
      </c>
      <c r="AT680" s="259">
        <f>_xlfn.SUMIFS(Аренда!AS$25:AS$77,Аренда!$F$25:$F$77,$F680,Аренда!$G$25:$G$77,"Арендная и концессионная плата, лизинговые платежи")</f>
        <v>972.24</v>
      </c>
      <c r="AU680" s="259">
        <f>_xlfn.SUMIFS(Аренда!AT$25:AT$77,Аренда!$F$25:$F$77,$F680,Аренда!$G$25:$G$77,"Арендная и концессионная плата, лизинговые платежи")</f>
        <v>972.24</v>
      </c>
      <c r="AV680" s="259">
        <f>_xlfn.SUMIFS(Аренда!AU$25:AU$77,Аренда!$F$25:$F$77,$F680,Аренда!$G$25:$G$77,"Арендная и концессионная плата, лизинговые платежи")</f>
        <v>972.24</v>
      </c>
      <c r="AW680" s="259">
        <f>_xlfn.SUMIFS(Аренда!AV$25:AV$77,Аренда!$F$25:$F$77,$F680,Аренда!$G$25:$G$77,"Арендная и концессионная плата, лизинговые платежи")</f>
        <v>972.24</v>
      </c>
      <c r="AX680" s="259">
        <f>_xlfn.SUMIFS(Аренда!AW$25:AW$77,Аренда!$F$25:$F$77,$F680,Аренда!$G$25:$G$77,"Арендная и концессионная плата, лизинговые платежи")</f>
        <v>972.24</v>
      </c>
      <c r="AY680" s="259">
        <f>_xlfn.SUMIFS(Аренда!AX$25:AX$77,Аренда!$F$25:$F$77,$F680,Аренда!$G$25:$G$77,"Арендная и концессионная плата, лизинговые платежи")</f>
        <v>0</v>
      </c>
      <c r="AZ680" s="259">
        <f>_xlfn.SUMIFS(Аренда!AY$25:AY$77,Аренда!$F$25:$F$77,$F680,Аренда!$G$25:$G$77,"Арендная и концессионная плата, лизинговые платежи")</f>
        <v>0</v>
      </c>
      <c r="BA680" s="259">
        <f>_xlfn.SUMIFS(Аренда!AZ$25:AZ$77,Аренда!$F$25:$F$77,$F680,Аренда!$G$25:$G$77,"Арендная и концессионная плата, лизинговые платежи")</f>
        <v>0</v>
      </c>
      <c r="BB680" s="259">
        <f>_xlfn.SUMIFS(Аренда!BA$25:BA$77,Аренда!$F$25:$F$77,$F680,Аренда!$G$25:$G$77,"Арендная и концессионная плата, лизинговые платежи")</f>
        <v>0</v>
      </c>
      <c r="BC680" s="259">
        <f>_xlfn.SUMIFS(Аренда!BB$25:BB$77,Аренда!$F$25:$F$77,$F680,Аренда!$G$25:$G$77,"Арендная и концессионная плата, лизинговые платежи")</f>
        <v>0</v>
      </c>
      <c r="BD680" s="943">
        <f>IF(AI680=0,0,(AT680-AI680)/AI680*100)</f>
        <v>0</v>
      </c>
      <c r="BE680" s="943">
        <f>IF(AT680=0,0,(AU680-AT680)/AT680*100)</f>
        <v>0</v>
      </c>
      <c r="BF680" s="943">
        <f>IF(AU680=0,0,(AV680-AU680)/AU680*100)</f>
        <v>0</v>
      </c>
      <c r="BG680" s="943">
        <f>IF(AV680=0,0,(AW680-AV680)/AV680*100)</f>
        <v>0</v>
      </c>
      <c r="BH680" s="943">
        <f>IF(AW680=0,0,(AX680-AW680)/AW680*100)</f>
        <v>0</v>
      </c>
      <c r="BI680" s="943">
        <f>IF(AX680=0,0,(AY680-AX680)/AX680*100)</f>
        <v>-100</v>
      </c>
      <c r="BJ680" s="943">
        <f>IF(AY680=0,0,(AZ680-AY680)/AY680*100)</f>
        <v>0</v>
      </c>
      <c r="BK680" s="943">
        <f>IF(AZ680=0,0,(BA680-AZ680)/AZ680*100)</f>
        <v>0</v>
      </c>
      <c r="BL680" s="943">
        <f>IF(BA680=0,0,(BB680-BA680)/BA680*100)</f>
        <v>0</v>
      </c>
      <c r="BM680" s="943">
        <f>IF(BB680=0,0,(BC680-BB680)/BB680*100)</f>
        <v>0</v>
      </c>
      <c r="BN680" s="7771"/>
      <c r="BO680" s="7777" t="str">
        <f>IF(_xlfn.IFERROR(INDEX(Аренда!$K$26:$L$77,MATCH($F680&amp;"komm",Аренда!$K$26:$K$77,0),2),"")=0,"",_xlfn.IFERROR(INDEX(Аренда!$K$26:$L$77,MATCH($F680&amp;"komm",Аренда!$K$26:$K$77,0),2),""))</f>
        <v>В соответствии с п.п.3 п.49 Методических указаний 1746-э расходы на арендную плату и лизинговые платежи, размер которых определяется с учетом требований, предусмотренных пунктом 29 настоящих Методических указаний.​</v>
      </c>
      <c r="BP680" s="7771"/>
      <c r="BQ680" s="1278"/>
      <c r="BR680" s="1278"/>
      <c r="BS680" s="1064" t="s">
        <v>2804</v>
      </c>
      <c r="BT680" s="1064"/>
      <c r="BU680" s="1064"/>
      <c r="BV680" s="979"/>
      <c r="BW680" s="979"/>
    </row>
    <row s="1834" customFormat="1" customHeight="1" ht="14.25">
      <c r="A681" s="1278"/>
      <c r="B681" s="432">
        <f>STATUS_GO="да"</f>
        <v>1</v>
      </c>
      <c r="C681" s="1278"/>
      <c r="D681" s="1278"/>
      <c r="E681" s="703">
        <v>15</v>
      </c>
      <c r="F681" s="50" cm="1" t="str">
        <f t="array" ref="F681:F681">OFFSET(E681,-1,1)</f>
        <v>4</v>
      </c>
      <c r="G681" s="1278"/>
      <c r="H681" s="1278"/>
      <c r="I681" s="158" t="s">
        <v>2805</v>
      </c>
      <c r="J681" s="1278"/>
      <c r="K681" s="158" t="s">
        <v>2805</v>
      </c>
      <c r="L681" s="980"/>
      <c r="M681" s="107"/>
      <c r="N681" s="1278"/>
      <c r="O681" s="1278"/>
      <c r="P681" s="1278"/>
      <c r="Q681" s="1278"/>
      <c r="R681" s="1278"/>
      <c r="S681" s="1278"/>
      <c r="T681" s="465" cm="1" t="str">
        <f t="array" ref="T681:T681">T680</f>
        <v>true</v>
      </c>
      <c r="U681" s="1278"/>
      <c r="V681" s="1278"/>
      <c r="W681" s="1278"/>
      <c r="X681" s="1563"/>
      <c r="Y681" s="1278"/>
      <c r="Z681" s="1546"/>
      <c r="AA681" s="1278"/>
      <c r="AB681" s="299" t="s">
        <v>2245</v>
      </c>
      <c r="AC681" s="762" t="s">
        <v>2806</v>
      </c>
      <c r="AD681" s="300" t="s">
        <v>1514</v>
      </c>
      <c r="AE681" s="7773"/>
      <c r="AF681" s="7773"/>
      <c r="AG681" s="7773"/>
      <c r="AH681" s="943">
        <f>AG681-AF681</f>
        <v>0</v>
      </c>
      <c r="AI681" s="7723"/>
      <c r="AJ681" s="7723"/>
      <c r="AK681" s="7723"/>
      <c r="AL681" s="7723"/>
      <c r="AM681" s="7723"/>
      <c r="AN681" s="7723"/>
      <c r="AO681" s="1253"/>
      <c r="AP681" s="1253"/>
      <c r="AQ681" s="1253"/>
      <c r="AR681" s="1253"/>
      <c r="AS681" s="1253"/>
      <c r="AT681" s="7723"/>
      <c r="AU681" s="7723"/>
      <c r="AV681" s="7723"/>
      <c r="AW681" s="7723"/>
      <c r="AX681" s="7723"/>
      <c r="AY681" s="1253"/>
      <c r="AZ681" s="1253"/>
      <c r="BA681" s="1253"/>
      <c r="BB681" s="1253"/>
      <c r="BC681" s="1253"/>
      <c r="BD681" s="943">
        <f>IF(AI681=0,0,(AT681-AI681)/AI681*100)</f>
        <v>0</v>
      </c>
      <c r="BE681" s="943">
        <f>IF(AT681=0,0,(AU681-AT681)/AT681*100)</f>
        <v>0</v>
      </c>
      <c r="BF681" s="943">
        <f>IF(AU681=0,0,(AV681-AU681)/AU681*100)</f>
        <v>0</v>
      </c>
      <c r="BG681" s="943">
        <f>IF(AV681=0,0,(AW681-AV681)/AV681*100)</f>
        <v>0</v>
      </c>
      <c r="BH681" s="943">
        <f>IF(AW681=0,0,(AX681-AW681)/AW681*100)</f>
        <v>0</v>
      </c>
      <c r="BI681" s="943">
        <f>IF(AX681=0,0,(AY681-AX681)/AX681*100)</f>
        <v>0</v>
      </c>
      <c r="BJ681" s="943">
        <f>IF(AY681=0,0,(AZ681-AY681)/AY681*100)</f>
        <v>0</v>
      </c>
      <c r="BK681" s="943">
        <f>IF(AZ681=0,0,(BA681-AZ681)/AZ681*100)</f>
        <v>0</v>
      </c>
      <c r="BL681" s="943">
        <f>IF(BA681=0,0,(BB681-BA681)/BA681*100)</f>
        <v>0</v>
      </c>
      <c r="BM681" s="943">
        <f>IF(BB681=0,0,(BC681-BB681)/BB681*100)</f>
        <v>0</v>
      </c>
      <c r="BN681" s="7771"/>
      <c r="BO681" s="7771"/>
      <c r="BP681" s="7771"/>
      <c r="BQ681" s="1278"/>
      <c r="BR681" s="1278"/>
      <c r="BS681" s="1064" t="s">
        <v>2807</v>
      </c>
      <c r="BT681" s="1064"/>
      <c r="BU681" s="1064"/>
      <c r="BV681" s="979"/>
      <c r="BW681" s="979"/>
    </row>
    <row s="1834" customFormat="1" customHeight="1" ht="14.25">
      <c r="A682" s="1278"/>
      <c r="B682" s="432">
        <f>STATUS_GO="да"</f>
        <v>1</v>
      </c>
      <c r="C682" s="1278"/>
      <c r="D682" s="1278"/>
      <c r="E682" s="703">
        <v>15</v>
      </c>
      <c r="F682" s="50" cm="1" t="str">
        <f t="array" ref="F682:F682">OFFSET(E682,-1,1)</f>
        <v>4</v>
      </c>
      <c r="G682" s="158" t="s">
        <v>2187</v>
      </c>
      <c r="H682" s="1278"/>
      <c r="I682" s="158" t="s">
        <v>2808</v>
      </c>
      <c r="J682" s="1278"/>
      <c r="K682" s="158" t="s">
        <v>2808</v>
      </c>
      <c r="L682" s="980"/>
      <c r="M682" s="107"/>
      <c r="N682" s="1278"/>
      <c r="O682" s="1278"/>
      <c r="P682" s="1278"/>
      <c r="Q682" s="1278"/>
      <c r="R682" s="1278"/>
      <c r="S682" s="1278"/>
      <c r="T682" s="465" cm="1" t="str">
        <f t="array" ref="T682:T682">T681</f>
        <v>true</v>
      </c>
      <c r="U682" s="1278"/>
      <c r="V682" s="1278"/>
      <c r="W682" s="1278"/>
      <c r="X682" s="1563"/>
      <c r="Y682" s="1278"/>
      <c r="Z682" s="1546"/>
      <c r="AA682" s="1278"/>
      <c r="AB682" s="299" t="s">
        <v>2809</v>
      </c>
      <c r="AC682" s="765" t="s">
        <v>2187</v>
      </c>
      <c r="AD682" s="300" t="s">
        <v>1514</v>
      </c>
      <c r="AE682" s="7773"/>
      <c r="AF682" s="7773"/>
      <c r="AG682" s="7773"/>
      <c r="AH682" s="943">
        <f>AG682-AF682</f>
        <v>0</v>
      </c>
      <c r="AI682" s="7723"/>
      <c r="AJ682" s="7723"/>
      <c r="AK682" s="7723"/>
      <c r="AL682" s="7723"/>
      <c r="AM682" s="7723"/>
      <c r="AN682" s="7723"/>
      <c r="AO682" s="1253"/>
      <c r="AP682" s="1253"/>
      <c r="AQ682" s="1253"/>
      <c r="AR682" s="1253"/>
      <c r="AS682" s="1253"/>
      <c r="AT682" s="7723"/>
      <c r="AU682" s="7723"/>
      <c r="AV682" s="7723"/>
      <c r="AW682" s="7723"/>
      <c r="AX682" s="7723"/>
      <c r="AY682" s="1253"/>
      <c r="AZ682" s="1253"/>
      <c r="BA682" s="1253"/>
      <c r="BB682" s="1253"/>
      <c r="BC682" s="1253"/>
      <c r="BD682" s="943">
        <f>IF(AI682=0,0,(AT682-AI682)/AI682*100)</f>
        <v>0</v>
      </c>
      <c r="BE682" s="943">
        <f>IF(AT682=0,0,(AU682-AT682)/AT682*100)</f>
        <v>0</v>
      </c>
      <c r="BF682" s="943">
        <f>IF(AU682=0,0,(AV682-AU682)/AU682*100)</f>
        <v>0</v>
      </c>
      <c r="BG682" s="943">
        <f>IF(AV682=0,0,(AW682-AV682)/AV682*100)</f>
        <v>0</v>
      </c>
      <c r="BH682" s="943">
        <f>IF(AW682=0,0,(AX682-AW682)/AW682*100)</f>
        <v>0</v>
      </c>
      <c r="BI682" s="943">
        <f>IF(AX682=0,0,(AY682-AX682)/AX682*100)</f>
        <v>0</v>
      </c>
      <c r="BJ682" s="943">
        <f>IF(AY682=0,0,(AZ682-AY682)/AY682*100)</f>
        <v>0</v>
      </c>
      <c r="BK682" s="943">
        <f>IF(AZ682=0,0,(BA682-AZ682)/AZ682*100)</f>
        <v>0</v>
      </c>
      <c r="BL682" s="943">
        <f>IF(BA682=0,0,(BB682-BA682)/BA682*100)</f>
        <v>0</v>
      </c>
      <c r="BM682" s="943">
        <f>IF(BB682=0,0,(BC682-BB682)/BB682*100)</f>
        <v>0</v>
      </c>
      <c r="BN682" s="7771"/>
      <c r="BO682" s="7777" t="str">
        <f>IF(_xlfn.IFERROR(INDEX('Сбытовые расходы ГО'!$K$26:$M$87,MATCH($F682&amp;"komm",'Сбытовые расходы ГО'!$K$26:$K$87,0),2),"")=0,"",_xlfn.IFERROR(INDEX('Сбытовые расходы ГО'!$K$26:$M$87,MATCH($F682&amp;"komm",'Сбытовые расходы ГО'!$K$26:$K$87,0),2),""))</f>
        <v/>
      </c>
      <c r="BP682" s="7771"/>
      <c r="BQ682" s="1278"/>
      <c r="BR682" s="1278"/>
      <c r="BS682" s="1064" t="s">
        <v>2810</v>
      </c>
      <c r="BT682" s="1064"/>
      <c r="BU682" s="1064"/>
      <c r="BV682" s="979"/>
      <c r="BW682" s="979"/>
    </row>
    <row s="1834" customFormat="1" customHeight="1" ht="14.25">
      <c r="A683" s="1278"/>
      <c r="B683" s="978"/>
      <c r="C683" s="1278"/>
      <c r="D683" s="1278"/>
      <c r="E683" s="703">
        <v>15</v>
      </c>
      <c r="F683" s="50" cm="1" t="str">
        <f t="array" ref="F683:F683">OFFSET(E683,-1,1)</f>
        <v>4</v>
      </c>
      <c r="G683" s="158" t="s">
        <v>2192</v>
      </c>
      <c r="H683" s="1278"/>
      <c r="I683" s="158" t="s">
        <v>2811</v>
      </c>
      <c r="J683" s="1278"/>
      <c r="K683" s="158" t="s">
        <v>2811</v>
      </c>
      <c r="L683" s="980"/>
      <c r="M683" s="107"/>
      <c r="N683" s="1278"/>
      <c r="O683" s="1278"/>
      <c r="P683" s="1278"/>
      <c r="Q683" s="1278"/>
      <c r="R683" s="1278"/>
      <c r="S683" s="1278"/>
      <c r="T683" s="465" cm="1" t="str">
        <f t="array" ref="T683:T683">T682</f>
        <v>true</v>
      </c>
      <c r="U683" s="1278"/>
      <c r="V683" s="1278"/>
      <c r="W683" s="1278"/>
      <c r="X683" s="1563"/>
      <c r="Y683" s="1278"/>
      <c r="Z683" s="1546"/>
      <c r="AA683" s="1278"/>
      <c r="AB683" s="299" t="s">
        <v>2250</v>
      </c>
      <c r="AC683" s="762" t="s">
        <v>2192</v>
      </c>
      <c r="AD683" s="300" t="s">
        <v>1514</v>
      </c>
      <c r="AE683" s="7773"/>
      <c r="AF683" s="7773"/>
      <c r="AG683" s="7773"/>
      <c r="AH683" s="943">
        <f>AG683-AF683</f>
        <v>0</v>
      </c>
      <c r="AI683" s="7723"/>
      <c r="AJ683" s="7723">
        <f>_xlfn.SUMIFS(Экономия_корр!AE$25:AE$67,Экономия_корр!$F$25:$F$67,$F683,Экономия_корр!$AC$25:$AC$67,"Экономия расходов с учетом ИПЦ")</f>
        <v>0</v>
      </c>
      <c r="AK683" s="7723">
        <f>_xlfn.SUMIFS(Экономия_корр!AF$25:AF$67,Экономия_корр!$F$25:$F$67,$F683,Экономия_корр!$AC$25:$AC$67,"Экономия расходов с учетом ИПЦ")</f>
        <v>0</v>
      </c>
      <c r="AL683" s="7723">
        <f>_xlfn.SUMIFS(Экономия_корр!AG$25:AG$67,Экономия_корр!$F$25:$F$67,$F683,Экономия_корр!$AC$25:$AC$67,"Экономия расходов с учетом ИПЦ")</f>
        <v>0</v>
      </c>
      <c r="AM683" s="7723">
        <f>_xlfn.SUMIFS(Экономия_корр!AH$25:AH$67,Экономия_корр!$F$25:$F$67,$F683,Экономия_корр!$AC$25:$AC$67,"Экономия расходов с учетом ИПЦ")</f>
        <v>0</v>
      </c>
      <c r="AN683" s="7723">
        <f>_xlfn.SUMIFS(Экономия_корр!AI$25:AI$67,Экономия_корр!$F$25:$F$67,$F683,Экономия_корр!$AC$25:$AC$67,"Экономия расходов с учетом ИПЦ")</f>
        <v>0</v>
      </c>
      <c r="AO683" s="1253">
        <f>_xlfn.SUMIFS(Экономия_корр!AJ$25:AJ$67,Экономия_корр!$F$25:$F$67,$F683,Экономия_корр!$AC$25:$AC$67,"Экономия расходов с учетом ИПЦ")</f>
        <v>0</v>
      </c>
      <c r="AP683" s="1253">
        <f>_xlfn.SUMIFS(Экономия_корр!AK$25:AK$67,Экономия_корр!$F$25:$F$67,$F683,Экономия_корр!$AC$25:$AC$67,"Экономия расходов с учетом ИПЦ")</f>
        <v>0</v>
      </c>
      <c r="AQ683" s="1253">
        <f>_xlfn.SUMIFS(Экономия_корр!AL$25:AL$67,Экономия_корр!$F$25:$F$67,$F683,Экономия_корр!$AC$25:$AC$67,"Экономия расходов с учетом ИПЦ")</f>
        <v>0</v>
      </c>
      <c r="AR683" s="1253">
        <f>_xlfn.SUMIFS(Экономия_корр!AM$25:AM$67,Экономия_корр!$F$25:$F$67,$F683,Экономия_корр!$AC$25:$AC$67,"Экономия расходов с учетом ИПЦ")</f>
        <v>0</v>
      </c>
      <c r="AS683" s="1253">
        <f>_xlfn.SUMIFS(Экономия_корр!AN$25:AN$67,Экономия_корр!$F$25:$F$67,$F683,Экономия_корр!$AC$25:$AC$67,"Экономия расходов с учетом ИПЦ")</f>
        <v>0</v>
      </c>
      <c r="AT683" s="7723">
        <f>_xlfn.SUMIFS(Экономия_корр!AO$25:AO$67,Экономия_корр!$F$25:$F$67,$F683,Экономия_корр!$AC$25:$AC$67,"Экономия расходов с учетом ИПЦ")</f>
        <v>0</v>
      </c>
      <c r="AU683" s="7723">
        <f>_xlfn.SUMIFS(Экономия_корр!AP$25:AP$67,Экономия_корр!$F$25:$F$67,$F683,Экономия_корр!$AC$25:$AC$67,"Экономия расходов с учетом ИПЦ")</f>
        <v>0</v>
      </c>
      <c r="AV683" s="7723">
        <f>_xlfn.SUMIFS(Экономия_корр!AQ$25:AQ$67,Экономия_корр!$F$25:$F$67,$F683,Экономия_корр!$AC$25:$AC$67,"Экономия расходов с учетом ИПЦ")</f>
        <v>0</v>
      </c>
      <c r="AW683" s="7723">
        <f>_xlfn.SUMIFS(Экономия_корр!AR$25:AR$67,Экономия_корр!$F$25:$F$67,$F683,Экономия_корр!$AC$25:$AC$67,"Экономия расходов с учетом ИПЦ")</f>
        <v>0</v>
      </c>
      <c r="AX683" s="7723">
        <f>_xlfn.SUMIFS(Экономия_корр!AS$25:AS$67,Экономия_корр!$F$25:$F$67,$F683,Экономия_корр!$AC$25:$AC$67,"Экономия расходов с учетом ИПЦ")</f>
        <v>0</v>
      </c>
      <c r="AY683" s="1253">
        <f>_xlfn.SUMIFS(Экономия_корр!AT$25:AT$67,Экономия_корр!$F$25:$F$67,$F683,Экономия_корр!$AC$25:$AC$67,"Экономия расходов с учетом ИПЦ")</f>
        <v>0</v>
      </c>
      <c r="AZ683" s="1253">
        <f>_xlfn.SUMIFS(Экономия_корр!AU$25:AU$67,Экономия_корр!$F$25:$F$67,$F683,Экономия_корр!$AC$25:$AC$67,"Экономия расходов с учетом ИПЦ")</f>
        <v>0</v>
      </c>
      <c r="BA683" s="1253">
        <f>_xlfn.SUMIFS(Экономия_корр!AV$25:AV$67,Экономия_корр!$F$25:$F$67,$F683,Экономия_корр!$AC$25:$AC$67,"Экономия расходов с учетом ИПЦ")</f>
        <v>0</v>
      </c>
      <c r="BB683" s="1253">
        <f>_xlfn.SUMIFS(Экономия_корр!AW$25:AW$67,Экономия_корр!$F$25:$F$67,$F683,Экономия_корр!$AC$25:$AC$67,"Экономия расходов с учетом ИПЦ")</f>
        <v>0</v>
      </c>
      <c r="BC683" s="1253">
        <f>_xlfn.SUMIFS(Экономия_корр!AX$25:AX$67,Экономия_корр!$F$25:$F$67,$F683,Экономия_корр!$AC$25:$AC$67,"Экономия расходов с учетом ИПЦ")</f>
        <v>0</v>
      </c>
      <c r="BD683" s="943">
        <f>IF(AI683=0,0,(AT683-AI683)/AI683*100)</f>
        <v>0</v>
      </c>
      <c r="BE683" s="943">
        <f>IF(AT683=0,0,(AU683-AT683)/AT683*100)</f>
        <v>0</v>
      </c>
      <c r="BF683" s="943">
        <f>IF(AU683=0,0,(AV683-AU683)/AU683*100)</f>
        <v>0</v>
      </c>
      <c r="BG683" s="943">
        <f>IF(AV683=0,0,(AW683-AV683)/AV683*100)</f>
        <v>0</v>
      </c>
      <c r="BH683" s="943">
        <f>IF(AW683=0,0,(AX683-AW683)/AW683*100)</f>
        <v>0</v>
      </c>
      <c r="BI683" s="943">
        <f>IF(AX683=0,0,(AY683-AX683)/AX683*100)</f>
        <v>0</v>
      </c>
      <c r="BJ683" s="943">
        <f>IF(AY683=0,0,(AZ683-AY683)/AY683*100)</f>
        <v>0</v>
      </c>
      <c r="BK683" s="943">
        <f>IF(AZ683=0,0,(BA683-AZ683)/AZ683*100)</f>
        <v>0</v>
      </c>
      <c r="BL683" s="943">
        <f>IF(BA683=0,0,(BB683-BA683)/BA683*100)</f>
        <v>0</v>
      </c>
      <c r="BM683" s="943">
        <f>IF(BB683=0,0,(BC683-BB683)/BB683*100)</f>
        <v>0</v>
      </c>
      <c r="BN683" s="7771"/>
      <c r="BO683" s="7771"/>
      <c r="BP683" s="7771"/>
      <c r="BQ683" s="1278"/>
      <c r="BR683" s="1278"/>
      <c r="BS683" s="1064" t="s">
        <v>2812</v>
      </c>
      <c r="BT683" s="1064"/>
      <c r="BU683" s="1064"/>
      <c r="BV683" s="979"/>
      <c r="BW683" s="979"/>
    </row>
    <row s="1834" customFormat="1" customHeight="1" ht="14.25">
      <c r="A684" s="1278"/>
      <c r="B684" s="978"/>
      <c r="C684" s="1278"/>
      <c r="D684" s="1278"/>
      <c r="E684" s="703">
        <v>15</v>
      </c>
      <c r="F684" s="50" cm="1" t="str">
        <f t="array" ref="F684:F684">OFFSET(E684,-1,1)</f>
        <v>4</v>
      </c>
      <c r="G684" s="158" t="s">
        <v>2197</v>
      </c>
      <c r="H684" s="1278"/>
      <c r="I684" s="158" t="s">
        <v>2813</v>
      </c>
      <c r="J684" s="1278"/>
      <c r="K684" s="158" t="s">
        <v>2813</v>
      </c>
      <c r="L684" s="980"/>
      <c r="M684" s="107"/>
      <c r="N684" s="1278"/>
      <c r="O684" s="1278"/>
      <c r="P684" s="1278"/>
      <c r="Q684" s="1278"/>
      <c r="R684" s="1278"/>
      <c r="S684" s="1278"/>
      <c r="T684" s="465" cm="1" t="str">
        <f t="array" ref="T684:T684">T683</f>
        <v>true</v>
      </c>
      <c r="U684" s="1278"/>
      <c r="V684" s="1278"/>
      <c r="W684" s="1278"/>
      <c r="X684" s="1563"/>
      <c r="Y684" s="1278"/>
      <c r="Z684" s="1546"/>
      <c r="AA684" s="1278"/>
      <c r="AB684" s="299" t="s">
        <v>2814</v>
      </c>
      <c r="AC684" s="762" t="s">
        <v>2197</v>
      </c>
      <c r="AD684" s="300" t="s">
        <v>1514</v>
      </c>
      <c r="AE684" s="7773"/>
      <c r="AF684" s="7773"/>
      <c r="AG684" s="7773"/>
      <c r="AH684" s="943">
        <f>AG684-AF684</f>
        <v>0</v>
      </c>
      <c r="AI684" s="7723"/>
      <c r="AJ684" s="7723"/>
      <c r="AK684" s="7723"/>
      <c r="AL684" s="7723"/>
      <c r="AM684" s="7723"/>
      <c r="AN684" s="7723"/>
      <c r="AO684" s="1253"/>
      <c r="AP684" s="1253"/>
      <c r="AQ684" s="1253"/>
      <c r="AR684" s="1253"/>
      <c r="AS684" s="1253"/>
      <c r="AT684" s="7723"/>
      <c r="AU684" s="7723"/>
      <c r="AV684" s="7723"/>
      <c r="AW684" s="7723"/>
      <c r="AX684" s="7723"/>
      <c r="AY684" s="1253"/>
      <c r="AZ684" s="1253"/>
      <c r="BA684" s="1253"/>
      <c r="BB684" s="1253"/>
      <c r="BC684" s="1253"/>
      <c r="BD684" s="943">
        <f>IF(AI684=0,0,(AT684-AI684)/AI684*100)</f>
        <v>0</v>
      </c>
      <c r="BE684" s="943">
        <f>IF(AT684=0,0,(AU684-AT684)/AT684*100)</f>
        <v>0</v>
      </c>
      <c r="BF684" s="943">
        <f>IF(AU684=0,0,(AV684-AU684)/AU684*100)</f>
        <v>0</v>
      </c>
      <c r="BG684" s="943">
        <f>IF(AV684=0,0,(AW684-AV684)/AV684*100)</f>
        <v>0</v>
      </c>
      <c r="BH684" s="943">
        <f>IF(AW684=0,0,(AX684-AW684)/AW684*100)</f>
        <v>0</v>
      </c>
      <c r="BI684" s="943">
        <f>IF(AX684=0,0,(AY684-AX684)/AX684*100)</f>
        <v>0</v>
      </c>
      <c r="BJ684" s="943">
        <f>IF(AY684=0,0,(AZ684-AY684)/AY684*100)</f>
        <v>0</v>
      </c>
      <c r="BK684" s="943">
        <f>IF(AZ684=0,0,(BA684-AZ684)/AZ684*100)</f>
        <v>0</v>
      </c>
      <c r="BL684" s="943">
        <f>IF(BA684=0,0,(BB684-BA684)/BA684*100)</f>
        <v>0</v>
      </c>
      <c r="BM684" s="943">
        <f>IF(BB684=0,0,(BC684-BB684)/BB684*100)</f>
        <v>0</v>
      </c>
      <c r="BN684" s="7771"/>
      <c r="BO684" s="7771"/>
      <c r="BP684" s="7771"/>
      <c r="BQ684" s="1278"/>
      <c r="BR684" s="1278"/>
      <c r="BS684" s="1064" t="s">
        <v>2551</v>
      </c>
      <c r="BT684" s="1064"/>
      <c r="BU684" s="1064"/>
      <c r="BV684" s="979"/>
      <c r="BW684" s="979"/>
    </row>
    <row s="1834" customFormat="1" customHeight="1" ht="14.25">
      <c r="A685" s="1278"/>
      <c r="B685" s="978"/>
      <c r="C685" s="1278"/>
      <c r="D685" s="1278"/>
      <c r="E685" s="703">
        <v>15</v>
      </c>
      <c r="F685" s="50" cm="1" t="str">
        <f t="array" ref="F685:F685">OFFSET(E685,-1,1)</f>
        <v>4</v>
      </c>
      <c r="G685" s="158" t="s">
        <v>2202</v>
      </c>
      <c r="H685" s="1278"/>
      <c r="I685" s="158" t="s">
        <v>2815</v>
      </c>
      <c r="J685" s="1278"/>
      <c r="K685" s="158" t="s">
        <v>2815</v>
      </c>
      <c r="L685" s="980"/>
      <c r="M685" s="107"/>
      <c r="N685" s="1278"/>
      <c r="O685" s="1278"/>
      <c r="P685" s="1278"/>
      <c r="Q685" s="1278"/>
      <c r="R685" s="1278"/>
      <c r="S685" s="1278"/>
      <c r="T685" s="465" cm="1" t="str">
        <f t="array" ref="T685:T685">T684</f>
        <v>true</v>
      </c>
      <c r="U685" s="1278"/>
      <c r="V685" s="1278"/>
      <c r="W685" s="1278"/>
      <c r="X685" s="1563"/>
      <c r="Y685" s="1278"/>
      <c r="Z685" s="1546"/>
      <c r="AA685" s="1278"/>
      <c r="AB685" s="299" t="s">
        <v>2269</v>
      </c>
      <c r="AC685" s="762" t="s">
        <v>2202</v>
      </c>
      <c r="AD685" s="300" t="s">
        <v>1514</v>
      </c>
      <c r="AE685" s="7773"/>
      <c r="AF685" s="7773"/>
      <c r="AG685" s="7773"/>
      <c r="AH685" s="943">
        <f>AG685-AF685</f>
        <v>0</v>
      </c>
      <c r="AI685" s="7723"/>
      <c r="AJ685" s="7723"/>
      <c r="AK685" s="7723"/>
      <c r="AL685" s="7723"/>
      <c r="AM685" s="7723"/>
      <c r="AN685" s="7723"/>
      <c r="AO685" s="1253"/>
      <c r="AP685" s="1253"/>
      <c r="AQ685" s="1253"/>
      <c r="AR685" s="1253"/>
      <c r="AS685" s="1253"/>
      <c r="AT685" s="7723"/>
      <c r="AU685" s="7723"/>
      <c r="AV685" s="7723"/>
      <c r="AW685" s="7723"/>
      <c r="AX685" s="7723"/>
      <c r="AY685" s="1253"/>
      <c r="AZ685" s="1253"/>
      <c r="BA685" s="1253"/>
      <c r="BB685" s="1253"/>
      <c r="BC685" s="1253"/>
      <c r="BD685" s="943">
        <f>IF(AI685=0,0,(AT685-AI685)/AI685*100)</f>
        <v>0</v>
      </c>
      <c r="BE685" s="943">
        <f>IF(AT685=0,0,(AU685-AT685)/AT685*100)</f>
        <v>0</v>
      </c>
      <c r="BF685" s="943">
        <f>IF(AU685=0,0,(AV685-AU685)/AU685*100)</f>
        <v>0</v>
      </c>
      <c r="BG685" s="943">
        <f>IF(AV685=0,0,(AW685-AV685)/AV685*100)</f>
        <v>0</v>
      </c>
      <c r="BH685" s="943">
        <f>IF(AW685=0,0,(AX685-AW685)/AW685*100)</f>
        <v>0</v>
      </c>
      <c r="BI685" s="943">
        <f>IF(AX685=0,0,(AY685-AX685)/AX685*100)</f>
        <v>0</v>
      </c>
      <c r="BJ685" s="943">
        <f>IF(AY685=0,0,(AZ685-AY685)/AY685*100)</f>
        <v>0</v>
      </c>
      <c r="BK685" s="943">
        <f>IF(AZ685=0,0,(BA685-AZ685)/AZ685*100)</f>
        <v>0</v>
      </c>
      <c r="BL685" s="943">
        <f>IF(BA685=0,0,(BB685-BA685)/BA685*100)</f>
        <v>0</v>
      </c>
      <c r="BM685" s="943">
        <f>IF(BB685=0,0,(BC685-BB685)/BB685*100)</f>
        <v>0</v>
      </c>
      <c r="BN685" s="7771"/>
      <c r="BO685" s="7771"/>
      <c r="BP685" s="7771"/>
      <c r="BQ685" s="1278"/>
      <c r="BR685" s="1278"/>
      <c r="BS685" s="1064" t="s">
        <v>2816</v>
      </c>
      <c r="BT685" s="1064"/>
      <c r="BU685" s="1064"/>
      <c r="BV685" s="979"/>
      <c r="BW685" s="979"/>
    </row>
    <row s="1834" customFormat="1" customHeight="1" ht="14.25">
      <c r="A686" s="1278"/>
      <c r="B686" s="978"/>
      <c r="C686" s="1278"/>
      <c r="D686" s="1278"/>
      <c r="E686" s="703">
        <v>15</v>
      </c>
      <c r="F686" s="50" cm="1" t="str">
        <f t="array" ref="F686:F686">OFFSET(E686,-1,1)</f>
        <v>4</v>
      </c>
      <c r="G686" s="158" t="s">
        <v>2207</v>
      </c>
      <c r="H686" s="1278"/>
      <c r="I686" s="158" t="s">
        <v>2817</v>
      </c>
      <c r="J686" s="1278"/>
      <c r="K686" s="158" t="s">
        <v>2817</v>
      </c>
      <c r="L686" s="980"/>
      <c r="M686" s="107"/>
      <c r="N686" s="1278"/>
      <c r="O686" s="1278"/>
      <c r="P686" s="1278"/>
      <c r="Q686" s="1278"/>
      <c r="R686" s="1278"/>
      <c r="S686" s="1278"/>
      <c r="T686" s="465" cm="1" t="str">
        <f t="array" ref="T686:T686">T685</f>
        <v>true</v>
      </c>
      <c r="U686" s="1278"/>
      <c r="V686" s="1278"/>
      <c r="W686" s="1278"/>
      <c r="X686" s="1563"/>
      <c r="Y686" s="1278"/>
      <c r="Z686" s="1546"/>
      <c r="AA686" s="1278"/>
      <c r="AB686" s="299" t="s">
        <v>2273</v>
      </c>
      <c r="AC686" s="762" t="s">
        <v>2207</v>
      </c>
      <c r="AD686" s="300" t="s">
        <v>1514</v>
      </c>
      <c r="AE686" s="353">
        <f>SUM(AE687,AE688)</f>
        <v>0</v>
      </c>
      <c r="AF686" s="259">
        <f>SUM(AF687,AF688)</f>
        <v>0</v>
      </c>
      <c r="AG686" s="259">
        <f>SUM(AG687,AG688)</f>
        <v>0</v>
      </c>
      <c r="AH686" s="943">
        <f>AG686-AF686</f>
        <v>0</v>
      </c>
      <c r="AI686" s="943">
        <f>SUM(AI687,AI688)</f>
        <v>0</v>
      </c>
      <c r="AJ686" s="944">
        <f>SUM(AJ687,AJ688)</f>
        <v>0</v>
      </c>
      <c r="AK686" s="943">
        <f>SUM(AK687,AK688)</f>
        <v>0</v>
      </c>
      <c r="AL686" s="943">
        <f>SUM(AL687,AL688)</f>
        <v>0</v>
      </c>
      <c r="AM686" s="943">
        <f>SUM(AM687,AM688)</f>
        <v>0</v>
      </c>
      <c r="AN686" s="943">
        <f>SUM(AN687,AN688)</f>
        <v>0</v>
      </c>
      <c r="AO686" s="943">
        <f>SUM(AO687,AO688)</f>
        <v>0</v>
      </c>
      <c r="AP686" s="943">
        <f>SUM(AP687,AP688)</f>
        <v>0</v>
      </c>
      <c r="AQ686" s="943">
        <f>SUM(AQ687,AQ688)</f>
        <v>0</v>
      </c>
      <c r="AR686" s="943">
        <f>SUM(AR687,AR688)</f>
        <v>0</v>
      </c>
      <c r="AS686" s="943">
        <f>SUM(AS687,AS688)</f>
        <v>0</v>
      </c>
      <c r="AT686" s="944">
        <f>SUM(AT687,AT688)</f>
        <v>0</v>
      </c>
      <c r="AU686" s="943">
        <f>SUM(AU687,AU688)</f>
        <v>0</v>
      </c>
      <c r="AV686" s="943">
        <f>SUM(AV687,AV688)</f>
        <v>0</v>
      </c>
      <c r="AW686" s="943">
        <f>SUM(AW687,AW688)</f>
        <v>0</v>
      </c>
      <c r="AX686" s="943">
        <f>SUM(AX687,AX688)</f>
        <v>0</v>
      </c>
      <c r="AY686" s="943">
        <f>SUM(AY687,AY688)</f>
        <v>0</v>
      </c>
      <c r="AZ686" s="943">
        <f>SUM(AZ687,AZ688)</f>
        <v>0</v>
      </c>
      <c r="BA686" s="943">
        <f>SUM(BA687,BA688)</f>
        <v>0</v>
      </c>
      <c r="BB686" s="943">
        <f>SUM(BB687,BB688)</f>
        <v>0</v>
      </c>
      <c r="BC686" s="943">
        <f>SUM(BC687,BC688)</f>
        <v>0</v>
      </c>
      <c r="BD686" s="943">
        <f>IF(AI686=0,0,(AT686-AI686)/AI686*100)</f>
        <v>0</v>
      </c>
      <c r="BE686" s="943">
        <f>IF(AT686=0,0,(AU686-AT686)/AT686*100)</f>
        <v>0</v>
      </c>
      <c r="BF686" s="943">
        <f>IF(AU686=0,0,(AV686-AU686)/AU686*100)</f>
        <v>0</v>
      </c>
      <c r="BG686" s="943">
        <f>IF(AV686=0,0,(AW686-AV686)/AV686*100)</f>
        <v>0</v>
      </c>
      <c r="BH686" s="943">
        <f>IF(AW686=0,0,(AX686-AW686)/AW686*100)</f>
        <v>0</v>
      </c>
      <c r="BI686" s="943">
        <f>IF(AX686=0,0,(AY686-AX686)/AX686*100)</f>
        <v>0</v>
      </c>
      <c r="BJ686" s="943">
        <f>IF(AY686=0,0,(AZ686-AY686)/AY686*100)</f>
        <v>0</v>
      </c>
      <c r="BK686" s="943">
        <f>IF(AZ686=0,0,(BA686-AZ686)/AZ686*100)</f>
        <v>0</v>
      </c>
      <c r="BL686" s="943">
        <f>IF(BA686=0,0,(BB686-BA686)/BA686*100)</f>
        <v>0</v>
      </c>
      <c r="BM686" s="943">
        <f>IF(BB686=0,0,(BC686-BB686)/BB686*100)</f>
        <v>0</v>
      </c>
      <c r="BN686" s="7771"/>
      <c r="BO686" s="7771"/>
      <c r="BP686" s="7771"/>
      <c r="BQ686" s="1278"/>
      <c r="BR686" s="1278"/>
      <c r="BS686" s="1064" t="s">
        <v>2818</v>
      </c>
      <c r="BT686" s="1064"/>
      <c r="BU686" s="1064"/>
      <c r="BV686" s="979"/>
      <c r="BW686" s="979"/>
    </row>
    <row s="1834" customFormat="1" customHeight="1" ht="14.25">
      <c r="A687" s="1278"/>
      <c r="B687" s="978"/>
      <c r="C687" s="1278"/>
      <c r="D687" s="1278"/>
      <c r="E687" s="703">
        <v>15</v>
      </c>
      <c r="F687" s="50" cm="1" t="str">
        <f t="array" ref="F687:F687">OFFSET(E687,-1,1)</f>
        <v>4</v>
      </c>
      <c r="G687" s="1278"/>
      <c r="H687" s="1278"/>
      <c r="I687" s="158" t="s">
        <v>2819</v>
      </c>
      <c r="J687" s="1278"/>
      <c r="K687" s="158" t="s">
        <v>2819</v>
      </c>
      <c r="L687" s="980"/>
      <c r="M687" s="107"/>
      <c r="N687" s="1278"/>
      <c r="O687" s="1278"/>
      <c r="P687" s="1278"/>
      <c r="Q687" s="1278"/>
      <c r="R687" s="1278"/>
      <c r="S687" s="1278"/>
      <c r="T687" s="465" cm="1" t="str">
        <f t="array" ref="T687:T687">T686</f>
        <v>true</v>
      </c>
      <c r="U687" s="1278"/>
      <c r="V687" s="1278"/>
      <c r="W687" s="1278"/>
      <c r="X687" s="1563"/>
      <c r="Y687" s="1278"/>
      <c r="Z687" s="1546"/>
      <c r="AA687" s="1278"/>
      <c r="AB687" s="299" t="s">
        <v>2820</v>
      </c>
      <c r="AC687" s="765" t="s">
        <v>2821</v>
      </c>
      <c r="AD687" s="300" t="s">
        <v>1514</v>
      </c>
      <c r="AE687" s="7773"/>
      <c r="AF687" s="7773"/>
      <c r="AG687" s="7773"/>
      <c r="AH687" s="943">
        <f>AG687-AF687</f>
        <v>0</v>
      </c>
      <c r="AI687" s="7723"/>
      <c r="AJ687" s="7723"/>
      <c r="AK687" s="7723"/>
      <c r="AL687" s="7723"/>
      <c r="AM687" s="7723"/>
      <c r="AN687" s="7723"/>
      <c r="AO687" s="1253"/>
      <c r="AP687" s="1253"/>
      <c r="AQ687" s="1253"/>
      <c r="AR687" s="1253"/>
      <c r="AS687" s="1253"/>
      <c r="AT687" s="7723"/>
      <c r="AU687" s="7723"/>
      <c r="AV687" s="7723"/>
      <c r="AW687" s="7723"/>
      <c r="AX687" s="7723"/>
      <c r="AY687" s="1253"/>
      <c r="AZ687" s="1253"/>
      <c r="BA687" s="1253"/>
      <c r="BB687" s="1253"/>
      <c r="BC687" s="1253"/>
      <c r="BD687" s="943">
        <f>IF(AI687=0,0,(AT687-AI687)/AI687*100)</f>
        <v>0</v>
      </c>
      <c r="BE687" s="943">
        <f>IF(AT687=0,0,(AU687-AT687)/AT687*100)</f>
        <v>0</v>
      </c>
      <c r="BF687" s="943">
        <f>IF(AU687=0,0,(AV687-AU687)/AU687*100)</f>
        <v>0</v>
      </c>
      <c r="BG687" s="943">
        <f>IF(AV687=0,0,(AW687-AV687)/AV687*100)</f>
        <v>0</v>
      </c>
      <c r="BH687" s="943">
        <f>IF(AW687=0,0,(AX687-AW687)/AW687*100)</f>
        <v>0</v>
      </c>
      <c r="BI687" s="943">
        <f>IF(AX687=0,0,(AY687-AX687)/AX687*100)</f>
        <v>0</v>
      </c>
      <c r="BJ687" s="943">
        <f>IF(AY687=0,0,(AZ687-AY687)/AY687*100)</f>
        <v>0</v>
      </c>
      <c r="BK687" s="943">
        <f>IF(AZ687=0,0,(BA687-AZ687)/AZ687*100)</f>
        <v>0</v>
      </c>
      <c r="BL687" s="943">
        <f>IF(BA687=0,0,(BB687-BA687)/BA687*100)</f>
        <v>0</v>
      </c>
      <c r="BM687" s="943">
        <f>IF(BB687=0,0,(BC687-BB687)/BB687*100)</f>
        <v>0</v>
      </c>
      <c r="BN687" s="7771"/>
      <c r="BO687" s="7771"/>
      <c r="BP687" s="7771"/>
      <c r="BQ687" s="1278"/>
      <c r="BR687" s="1278"/>
      <c r="BS687" s="1064" t="s">
        <v>1991</v>
      </c>
      <c r="BT687" s="1064"/>
      <c r="BU687" s="1064"/>
      <c r="BV687" s="979"/>
      <c r="BW687" s="979"/>
    </row>
    <row s="1834" customFormat="1" customHeight="1" ht="14.25">
      <c r="A688" s="1278"/>
      <c r="B688" s="978"/>
      <c r="C688" s="1278"/>
      <c r="D688" s="1278"/>
      <c r="E688" s="703">
        <v>15</v>
      </c>
      <c r="F688" s="50" cm="1" t="str">
        <f t="array" ref="F688:F688">OFFSET(E688,-1,1)</f>
        <v>4</v>
      </c>
      <c r="G688" s="1278"/>
      <c r="H688" s="1278"/>
      <c r="I688" s="158" t="s">
        <v>2822</v>
      </c>
      <c r="J688" s="1278"/>
      <c r="K688" s="158" t="s">
        <v>2822</v>
      </c>
      <c r="L688" s="980" t="s">
        <v>1640</v>
      </c>
      <c r="M688" s="107"/>
      <c r="N688" s="1278"/>
      <c r="O688" s="1278"/>
      <c r="P688" s="1278"/>
      <c r="Q688" s="1278"/>
      <c r="R688" s="1278"/>
      <c r="S688" s="1278"/>
      <c r="T688" s="465" cm="1" t="str">
        <f t="array" ref="T688:T688">T687</f>
        <v>true</v>
      </c>
      <c r="U688" s="1278"/>
      <c r="V688" s="1278"/>
      <c r="W688" s="1278"/>
      <c r="X688" s="1563"/>
      <c r="Y688" s="1278"/>
      <c r="Z688" s="1546"/>
      <c r="AA688" s="1278"/>
      <c r="AB688" s="299" t="s">
        <v>2823</v>
      </c>
      <c r="AC688" s="765" t="s">
        <v>2824</v>
      </c>
      <c r="AD688" s="300" t="s">
        <v>1514</v>
      </c>
      <c r="AE688" s="7773"/>
      <c r="AF688" s="7773"/>
      <c r="AG688" s="7773"/>
      <c r="AH688" s="943">
        <f>AG688-AF688</f>
        <v>0</v>
      </c>
      <c r="AI688" s="7723"/>
      <c r="AJ688" s="7723"/>
      <c r="AK688" s="7723"/>
      <c r="AL688" s="7723"/>
      <c r="AM688" s="7723"/>
      <c r="AN688" s="7723"/>
      <c r="AO688" s="1253"/>
      <c r="AP688" s="1253"/>
      <c r="AQ688" s="1253"/>
      <c r="AR688" s="1253"/>
      <c r="AS688" s="1253"/>
      <c r="AT688" s="7723"/>
      <c r="AU688" s="7723"/>
      <c r="AV688" s="7723"/>
      <c r="AW688" s="7723"/>
      <c r="AX688" s="7723"/>
      <c r="AY688" s="1253"/>
      <c r="AZ688" s="1253"/>
      <c r="BA688" s="1253"/>
      <c r="BB688" s="1253"/>
      <c r="BC688" s="1253"/>
      <c r="BD688" s="943">
        <f>IF(AI688=0,0,(AT688-AI688)/AI688*100)</f>
        <v>0</v>
      </c>
      <c r="BE688" s="943">
        <f>IF(AT688=0,0,(AU688-AT688)/AT688*100)</f>
        <v>0</v>
      </c>
      <c r="BF688" s="943">
        <f>IF(AU688=0,0,(AV688-AU688)/AU688*100)</f>
        <v>0</v>
      </c>
      <c r="BG688" s="943">
        <f>IF(AV688=0,0,(AW688-AV688)/AV688*100)</f>
        <v>0</v>
      </c>
      <c r="BH688" s="943">
        <f>IF(AW688=0,0,(AX688-AW688)/AW688*100)</f>
        <v>0</v>
      </c>
      <c r="BI688" s="943">
        <f>IF(AX688=0,0,(AY688-AX688)/AX688*100)</f>
        <v>0</v>
      </c>
      <c r="BJ688" s="943">
        <f>IF(AY688=0,0,(AZ688-AY688)/AY688*100)</f>
        <v>0</v>
      </c>
      <c r="BK688" s="943">
        <f>IF(AZ688=0,0,(BA688-AZ688)/AZ688*100)</f>
        <v>0</v>
      </c>
      <c r="BL688" s="943">
        <f>IF(BA688=0,0,(BB688-BA688)/BA688*100)</f>
        <v>0</v>
      </c>
      <c r="BM688" s="943">
        <f>IF(BB688=0,0,(BC688-BB688)/BB688*100)</f>
        <v>0</v>
      </c>
      <c r="BN688" s="7771"/>
      <c r="BO688" s="7771"/>
      <c r="BP688" s="7771"/>
      <c r="BQ688" s="1278"/>
      <c r="BR688" s="1278"/>
      <c r="BS688" s="1064" t="s">
        <v>2825</v>
      </c>
      <c r="BT688" s="1064"/>
      <c r="BU688" s="1064"/>
      <c r="BV688" s="979"/>
      <c r="BW688" s="979"/>
    </row>
    <row s="1834" customFormat="1" customHeight="1" ht="21.75">
      <c r="A689" s="1278"/>
      <c r="B689" s="978"/>
      <c r="C689" s="1278"/>
      <c r="D689" s="1278"/>
      <c r="E689" s="703">
        <v>22.5</v>
      </c>
      <c r="F689" s="50" cm="1" t="str">
        <f t="array" ref="F689:F689">OFFSET(E689,-1,1)</f>
        <v>4</v>
      </c>
      <c r="G689" s="158" t="s">
        <v>2212</v>
      </c>
      <c r="H689" s="1278"/>
      <c r="I689" s="158" t="s">
        <v>2826</v>
      </c>
      <c r="J689" s="1278"/>
      <c r="K689" s="158" t="s">
        <v>2826</v>
      </c>
      <c r="L689" s="980"/>
      <c r="M689" s="107"/>
      <c r="N689" s="1278"/>
      <c r="O689" s="1278"/>
      <c r="P689" s="1278"/>
      <c r="Q689" s="1278"/>
      <c r="R689" s="1278"/>
      <c r="S689" s="1278"/>
      <c r="T689" s="465" cm="1" t="str">
        <f t="array" ref="T689:T689">T688</f>
        <v>true</v>
      </c>
      <c r="U689" s="1278"/>
      <c r="V689" s="1278"/>
      <c r="W689" s="1278"/>
      <c r="X689" s="1563"/>
      <c r="Y689" s="1278"/>
      <c r="Z689" s="1546"/>
      <c r="AA689" s="1278"/>
      <c r="AB689" s="299" t="s">
        <v>2276</v>
      </c>
      <c r="AC689" s="762" t="s">
        <v>2827</v>
      </c>
      <c r="AD689" s="300" t="s">
        <v>1514</v>
      </c>
      <c r="AE689" s="7773"/>
      <c r="AF689" s="7773"/>
      <c r="AG689" s="7773"/>
      <c r="AH689" s="943">
        <f>AG689-AF689</f>
        <v>0</v>
      </c>
      <c r="AI689" s="7723"/>
      <c r="AJ689" s="7723"/>
      <c r="AK689" s="7723"/>
      <c r="AL689" s="7723"/>
      <c r="AM689" s="7723"/>
      <c r="AN689" s="7723"/>
      <c r="AO689" s="1253"/>
      <c r="AP689" s="1253"/>
      <c r="AQ689" s="1253"/>
      <c r="AR689" s="1253"/>
      <c r="AS689" s="1253"/>
      <c r="AT689" s="7723"/>
      <c r="AU689" s="7723"/>
      <c r="AV689" s="7723"/>
      <c r="AW689" s="7723"/>
      <c r="AX689" s="7723"/>
      <c r="AY689" s="1253"/>
      <c r="AZ689" s="1253"/>
      <c r="BA689" s="1253"/>
      <c r="BB689" s="1253"/>
      <c r="BC689" s="1253"/>
      <c r="BD689" s="943">
        <f>IF(AI689=0,0,(AT689-AI689)/AI689*100)</f>
        <v>0</v>
      </c>
      <c r="BE689" s="943">
        <f>IF(AT689=0,0,(AU689-AT689)/AT689*100)</f>
        <v>0</v>
      </c>
      <c r="BF689" s="943">
        <f>IF(AU689=0,0,(AV689-AU689)/AU689*100)</f>
        <v>0</v>
      </c>
      <c r="BG689" s="943">
        <f>IF(AV689=0,0,(AW689-AV689)/AV689*100)</f>
        <v>0</v>
      </c>
      <c r="BH689" s="943">
        <f>IF(AW689=0,0,(AX689-AW689)/AW689*100)</f>
        <v>0</v>
      </c>
      <c r="BI689" s="943">
        <f>IF(AX689=0,0,(AY689-AX689)/AX689*100)</f>
        <v>0</v>
      </c>
      <c r="BJ689" s="943">
        <f>IF(AY689=0,0,(AZ689-AY689)/AY689*100)</f>
        <v>0</v>
      </c>
      <c r="BK689" s="943">
        <f>IF(AZ689=0,0,(BA689-AZ689)/AZ689*100)</f>
        <v>0</v>
      </c>
      <c r="BL689" s="943">
        <f>IF(BA689=0,0,(BB689-BA689)/BA689*100)</f>
        <v>0</v>
      </c>
      <c r="BM689" s="943">
        <f>IF(BB689=0,0,(BC689-BB689)/BB689*100)</f>
        <v>0</v>
      </c>
      <c r="BN689" s="7771"/>
      <c r="BO689" s="7771"/>
      <c r="BP689" s="7771"/>
      <c r="BQ689" s="1278"/>
      <c r="BR689" s="1278"/>
      <c r="BS689" s="1064" t="s">
        <v>2828</v>
      </c>
      <c r="BT689" s="1064"/>
      <c r="BU689" s="1064"/>
      <c r="BV689" s="979"/>
      <c r="BW689" s="979"/>
    </row>
    <row s="7955" customFormat="1" customHeight="1" ht="20.25">
      <c r="A690" s="700"/>
      <c r="B690" s="435"/>
      <c r="C690" s="700"/>
      <c r="D690" s="700"/>
      <c r="E690" s="707">
        <v>21</v>
      </c>
      <c r="F690" s="50" cm="1" t="str">
        <f t="array" ref="F690:F690">OFFSET(E690,-1,1)</f>
        <v>4</v>
      </c>
      <c r="G690" s="158" t="s">
        <v>2829</v>
      </c>
      <c r="H690" s="158"/>
      <c r="I690" s="158" t="s">
        <v>334</v>
      </c>
      <c r="J690" s="700"/>
      <c r="K690" s="158" t="s">
        <v>334</v>
      </c>
      <c r="L690" s="985" t="s">
        <v>2068</v>
      </c>
      <c r="M690" s="109"/>
      <c r="N690" s="700"/>
      <c r="O690" s="700"/>
      <c r="P690" s="700"/>
      <c r="Q690" s="700"/>
      <c r="R690" s="700"/>
      <c r="S690" s="700"/>
      <c r="T690" s="465" cm="1" t="str">
        <f t="array" ref="T690:T690">T689</f>
        <v>true</v>
      </c>
      <c r="U690" s="700"/>
      <c r="V690" s="700"/>
      <c r="W690" s="700"/>
      <c r="X690" s="1563"/>
      <c r="Y690" s="700"/>
      <c r="Z690" s="1546"/>
      <c r="AA690" s="700"/>
      <c r="AB690" s="218" t="s">
        <v>289</v>
      </c>
      <c r="AC690" s="212" t="s">
        <v>2830</v>
      </c>
      <c r="AD690" s="211" t="s">
        <v>1514</v>
      </c>
      <c r="AE690" s="778">
        <f>_xlfn.SUMIFS(ЭЭ!AE$25:AE$189,ЭЭ!$F$25:$F$189,$F690,ЭЭ!$AC$25:$AC$189,"Всего по тарифу")</f>
        <v>0</v>
      </c>
      <c r="AF690" s="778">
        <f>_xlfn.SUMIFS(ЭЭ!AF$25:AF$189,ЭЭ!$F$25:$F$189,$F690,ЭЭ!$AC$25:$AC$189,"Всего по тарифу")</f>
        <v>0</v>
      </c>
      <c r="AG690" s="778">
        <f>_xlfn.SUMIFS(ЭЭ!AG$25:AG$189,ЭЭ!$F$25:$F$189,$F690,ЭЭ!$AC$25:$AC$189,"Всего по тарифу")</f>
        <v>0</v>
      </c>
      <c r="AH690" s="761">
        <f>AG690-AF690</f>
        <v>0</v>
      </c>
      <c r="AI690" s="761">
        <f>_xlfn.SUMIFS(ЭЭ!AH$25:AH$189,ЭЭ!$F$25:$F$189,$F690,ЭЭ!$AC$25:$AC$189,"Всего по тарифу")</f>
        <v>0</v>
      </c>
      <c r="AJ690" s="761">
        <f>_xlfn.SUMIFS(ЭЭ!AI$25:AI$189,ЭЭ!$F$25:$F$189,$F690,ЭЭ!$AC$25:$AC$189,"Всего по тарифу")</f>
        <v>8385.20781084891</v>
      </c>
      <c r="AK690" s="761">
        <f>_xlfn.SUMIFS(ЭЭ!AJ$25:AJ$189,ЭЭ!$F$25:$F$189,$F690,ЭЭ!$AC$25:$AC$189,"Всего по тарифу")</f>
        <v>9148.26172163616</v>
      </c>
      <c r="AL690" s="761">
        <f>_xlfn.SUMIFS(ЭЭ!AK$25:AK$189,ЭЭ!$F$25:$F$189,$F690,ЭЭ!$AC$25:$AC$189,"Всего по тарифу")</f>
        <v>9596.52654599633</v>
      </c>
      <c r="AM690" s="761">
        <f>_xlfn.SUMIFS(ЭЭ!AL$25:AL$189,ЭЭ!$F$25:$F$189,$F690,ЭЭ!$AC$25:$AC$189,"Всего по тарифу")</f>
        <v>10066.7563467501</v>
      </c>
      <c r="AN690" s="761">
        <f>_xlfn.SUMIFS(ЭЭ!AM$25:AM$189,ЭЭ!$F$25:$F$189,$F690,ЭЭ!$AC$25:$AC$189,"Всего по тарифу")</f>
        <v>10560.0274077409</v>
      </c>
      <c r="AO690" s="761">
        <f>_xlfn.SUMIFS(ЭЭ!AN$25:AN$189,ЭЭ!$F$25:$F$189,$F690,ЭЭ!$AC$25:$AC$189,"Всего по тарифу")</f>
        <v>0</v>
      </c>
      <c r="AP690" s="761">
        <f>_xlfn.SUMIFS(ЭЭ!AO$25:AO$189,ЭЭ!$F$25:$F$189,$F690,ЭЭ!$AC$25:$AC$189,"Всего по тарифу")</f>
        <v>0</v>
      </c>
      <c r="AQ690" s="761">
        <f>_xlfn.SUMIFS(ЭЭ!AP$25:AP$189,ЭЭ!$F$25:$F$189,$F690,ЭЭ!$AC$25:$AC$189,"Всего по тарифу")</f>
        <v>0</v>
      </c>
      <c r="AR690" s="761">
        <f>_xlfn.SUMIFS(ЭЭ!AQ$25:AQ$189,ЭЭ!$F$25:$F$189,$F690,ЭЭ!$AC$25:$AC$189,"Всего по тарифу")</f>
        <v>0</v>
      </c>
      <c r="AS690" s="761">
        <f>_xlfn.SUMIFS(ЭЭ!AR$25:AR$189,ЭЭ!$F$25:$F$189,$F690,ЭЭ!$AC$25:$AC$189,"Всего по тарифу")</f>
        <v>0</v>
      </c>
      <c r="AT690" s="761">
        <f>_xlfn.SUMIFS(ЭЭ!AS$25:AS$189,ЭЭ!$F$25:$F$189,$F690,ЭЭ!$AC$25:$AC$189,"Всего по тарифу")</f>
        <v>8385.20781084891</v>
      </c>
      <c r="AU690" s="761">
        <f>_xlfn.SUMIFS(ЭЭ!AT$25:AT$189,ЭЭ!$F$25:$F$189,$F690,ЭЭ!$AC$25:$AC$189,"Всего по тарифу")</f>
        <v>9148.26172163616</v>
      </c>
      <c r="AV690" s="761">
        <f>_xlfn.SUMIFS(ЭЭ!AU$25:AU$189,ЭЭ!$F$25:$F$189,$F690,ЭЭ!$AC$25:$AC$189,"Всего по тарифу")</f>
        <v>9596.52654599633</v>
      </c>
      <c r="AW690" s="761">
        <f>_xlfn.SUMIFS(ЭЭ!AV$25:AV$189,ЭЭ!$F$25:$F$189,$F690,ЭЭ!$AC$25:$AC$189,"Всего по тарифу")</f>
        <v>10066.7563467501</v>
      </c>
      <c r="AX690" s="761">
        <f>_xlfn.SUMIFS(ЭЭ!AW$25:AW$189,ЭЭ!$F$25:$F$189,$F690,ЭЭ!$AC$25:$AC$189,"Всего по тарифу")</f>
        <v>10560.0274077409</v>
      </c>
      <c r="AY690" s="761">
        <f>_xlfn.SUMIFS(ЭЭ!AX$25:AX$189,ЭЭ!$F$25:$F$189,$F690,ЭЭ!$AC$25:$AC$189,"Всего по тарифу")</f>
        <v>0</v>
      </c>
      <c r="AZ690" s="761">
        <f>_xlfn.SUMIFS(ЭЭ!AY$25:AY$189,ЭЭ!$F$25:$F$189,$F690,ЭЭ!$AC$25:$AC$189,"Всего по тарифу")</f>
        <v>0</v>
      </c>
      <c r="BA690" s="761">
        <f>_xlfn.SUMIFS(ЭЭ!AZ$25:AZ$189,ЭЭ!$F$25:$F$189,$F690,ЭЭ!$AC$25:$AC$189,"Всего по тарифу")</f>
        <v>0</v>
      </c>
      <c r="BB690" s="761">
        <f>_xlfn.SUMIFS(ЭЭ!BA$25:BA$189,ЭЭ!$F$25:$F$189,$F690,ЭЭ!$AC$25:$AC$189,"Всего по тарифу")</f>
        <v>0</v>
      </c>
      <c r="BC690" s="761">
        <f>_xlfn.SUMIFS(ЭЭ!BB$25:BB$189,ЭЭ!$F$25:$F$189,$F690,ЭЭ!$AC$25:$AC$189,"Всего по тарифу")</f>
        <v>0</v>
      </c>
      <c r="BD690" s="761">
        <f>IF(AI690=0,0,(AT690-AI690)/AI690*100)</f>
        <v>0</v>
      </c>
      <c r="BE690" s="761">
        <f>IF(AT690=0,0,(AU690-AT690)/AT690*100)</f>
        <v>9.1</v>
      </c>
      <c r="BF690" s="761">
        <f>IF(AU690=0,0,(AV690-AU690)/AU690*100)</f>
        <v>4.9</v>
      </c>
      <c r="BG690" s="761">
        <f>IF(AV690=0,0,(AW690-AV690)/AV690*100)</f>
        <v>4.89999999999948</v>
      </c>
      <c r="BH690" s="761">
        <f>IF(AW690=0,0,(AX690-AW690)/AW690*100)</f>
        <v>4.90000000000044</v>
      </c>
      <c r="BI690" s="761">
        <f>IF(AX690=0,0,(AY690-AX690)/AX690*100)</f>
        <v>-100</v>
      </c>
      <c r="BJ690" s="761">
        <f>IF(AY690=0,0,(AZ690-AY690)/AY690*100)</f>
        <v>0</v>
      </c>
      <c r="BK690" s="761">
        <f>IF(AZ690=0,0,(BA690-AZ690)/AZ690*100)</f>
        <v>0</v>
      </c>
      <c r="BL690" s="761">
        <f>IF(BA690=0,0,(BB690-BA690)/BA690*100)</f>
        <v>0</v>
      </c>
      <c r="BM690" s="761">
        <f>IF(BB690=0,0,(BC690-BB690)/BB690*100)</f>
        <v>0</v>
      </c>
      <c r="BN690" s="7771"/>
      <c r="BO690" s="7777" t="str">
        <f>IF(_xlfn.IFERROR(INDEX(ЭЭ!$K$26:$L$189,MATCH($F690&amp;"komm",ЭЭ!$K$26:$K$189,0),2),"")=0,"",_xlfn.IFERROR(INDEX(ЭЭ!$K$26:$L$189,MATCH($F690&amp;"komm",ЭЭ!$K$26:$K$189,0),2),""))</f>
        <v>В соответствии с п. 20 Методических указаний расходы регулируемой организации на приобретаемые электрическую энергию (мощность), тепловую энергию (мощность), другие виды энергетических ресурсов, холодную воду, теплоноситель определяются как сумма произведений расчетных экономически (технологически, технически) обоснованных объемов приобретаемых электрической энергии (мощности), тепловой энергии (мощности), других видов энергетических ресурсов холодной воды на соответственно плановые (расчетные) цены (тарифы) на электрическую энергию (мощность), тепловую энергию (мощность), другие виды энергетических ресурсов, холодную воду. Объемы приобретаемой электрической энергии (мощности), тепловой энергии (мощности) определяются с учетом показателей надежности, качества, энергетической эффективности в сфере водоснабжения и (или) водоотведения, определенных в установленном порядке.</v>
      </c>
      <c r="BP690" s="7771"/>
      <c r="BQ690" s="700"/>
      <c r="BR690" s="700"/>
      <c r="BS690" s="1070" t="s">
        <v>2446</v>
      </c>
      <c r="BT690" s="1070"/>
      <c r="BU690" s="1070"/>
      <c r="BV690" s="707"/>
      <c r="BW690" s="707"/>
    </row>
    <row s="7956" customFormat="1" customHeight="1" ht="21.75">
      <c r="A691" s="700"/>
      <c r="B691" s="162">
        <f>method_reg="Метод индексации"</f>
        <v>1</v>
      </c>
      <c r="C691" s="700"/>
      <c r="D691" s="700"/>
      <c r="E691" s="707">
        <v>22.5</v>
      </c>
      <c r="F691" s="50" cm="1" t="str">
        <f t="array" ref="F691:F691">OFFSET(E691,-1,1)</f>
        <v>4</v>
      </c>
      <c r="G691" s="158" t="s">
        <v>2234</v>
      </c>
      <c r="H691" s="158"/>
      <c r="I691" s="158" t="s">
        <v>336</v>
      </c>
      <c r="J691" s="700"/>
      <c r="K691" s="158" t="s">
        <v>336</v>
      </c>
      <c r="L691" s="985" t="s">
        <v>335</v>
      </c>
      <c r="M691" s="109"/>
      <c r="N691" s="700"/>
      <c r="O691" s="700"/>
      <c r="P691" s="700"/>
      <c r="Q691" s="700"/>
      <c r="R691" s="700"/>
      <c r="S691" s="700"/>
      <c r="T691" s="465" cm="1" t="str">
        <f t="array" ref="T691:T691">T690</f>
        <v>true</v>
      </c>
      <c r="U691" s="700"/>
      <c r="V691" s="700"/>
      <c r="W691" s="700"/>
      <c r="X691" s="1563"/>
      <c r="Y691" s="700"/>
      <c r="Z691" s="1546"/>
      <c r="AA691" s="700"/>
      <c r="AB691" s="218" t="s">
        <v>295</v>
      </c>
      <c r="AC691" s="212" t="s">
        <v>2831</v>
      </c>
      <c r="AD691" s="211" t="s">
        <v>1514</v>
      </c>
      <c r="AE691" s="778">
        <f>_xlfn.SUMIFS(Амортизация!AE$25:AE$272,Амортизация!$F$25:$F$272,$F691,Амортизация!$AC$25:$AC$272,"Сумма амортизационных отчислений")</f>
        <v>0</v>
      </c>
      <c r="AF691" s="778">
        <f>_xlfn.SUMIFS(Амортизация!AF$25:AF$272,Амортизация!$F$25:$F$272,$F691,Амортизация!$AC$25:$AC$272,"Сумма амортизационных отчислений")</f>
        <v>0</v>
      </c>
      <c r="AG691" s="778">
        <f>_xlfn.SUMIFS(Амортизация!AG$25:AG$272,Амортизация!$F$25:$F$272,$F691,Амортизация!$AC$25:$AC$272,"Сумма амортизационных отчислений")</f>
        <v>0</v>
      </c>
      <c r="AH691" s="761">
        <f>AG691-AF691</f>
        <v>0</v>
      </c>
      <c r="AI691" s="761">
        <f>_xlfn.SUMIFS(Амортизация!AH$25:AH$272,Амортизация!$F$25:$F$272,$F691,Амортизация!$AC$25:$AC$272,"Сумма амортизационных отчислений")</f>
        <v>0</v>
      </c>
      <c r="AJ691" s="761">
        <f>_xlfn.SUMIFS(Амортизация!AI$25:AI$272,Амортизация!$F$25:$F$272,$F691,Амортизация!$AC$25:$AC$272,"Сумма амортизационных отчислений")</f>
        <v>0</v>
      </c>
      <c r="AK691" s="761">
        <f>_xlfn.SUMIFS(Амортизация!AJ$25:AJ$272,Амортизация!$F$25:$F$272,$F691,Амортизация!$AC$25:$AC$272,"Сумма амортизационных отчислений")</f>
        <v>0</v>
      </c>
      <c r="AL691" s="761">
        <f>_xlfn.SUMIFS(Амортизация!AK$25:AK$272,Амортизация!$F$25:$F$272,$F691,Амортизация!$AC$25:$AC$272,"Сумма амортизационных отчислений")</f>
        <v>2114.31</v>
      </c>
      <c r="AM691" s="761">
        <f>_xlfn.SUMIFS(Амортизация!AL$25:AL$272,Амортизация!$F$25:$F$272,$F691,Амортизация!$AC$25:$AC$272,"Сумма амортизационных отчислений")</f>
        <v>7657.51</v>
      </c>
      <c r="AN691" s="761">
        <f>_xlfn.SUMIFS(Амортизация!AM$25:AM$272,Амортизация!$F$25:$F$272,$F691,Амортизация!$AC$25:$AC$272,"Сумма амортизационных отчислений")</f>
        <v>32710.78</v>
      </c>
      <c r="AO691" s="761">
        <f>_xlfn.SUMIFS(Амортизация!AN$25:AN$272,Амортизация!$F$25:$F$272,$F691,Амортизация!$AC$25:$AC$272,"Сумма амортизационных отчислений")</f>
        <v>0</v>
      </c>
      <c r="AP691" s="761">
        <f>_xlfn.SUMIFS(Амортизация!AO$25:AO$272,Амортизация!$F$25:$F$272,$F691,Амортизация!$AC$25:$AC$272,"Сумма амортизационных отчислений")</f>
        <v>0</v>
      </c>
      <c r="AQ691" s="761">
        <f>_xlfn.SUMIFS(Амортизация!AP$25:AP$272,Амортизация!$F$25:$F$272,$F691,Амортизация!$AC$25:$AC$272,"Сумма амортизационных отчислений")</f>
        <v>0</v>
      </c>
      <c r="AR691" s="761">
        <f>_xlfn.SUMIFS(Амортизация!AQ$25:AQ$272,Амортизация!$F$25:$F$272,$F691,Амортизация!$AC$25:$AC$272,"Сумма амортизационных отчислений")</f>
        <v>0</v>
      </c>
      <c r="AS691" s="761">
        <f>_xlfn.SUMIFS(Амортизация!AR$25:AR$272,Амортизация!$F$25:$F$272,$F691,Амортизация!$AC$25:$AC$272,"Сумма амортизационных отчислений")</f>
        <v>0</v>
      </c>
      <c r="AT691" s="761">
        <f>_xlfn.SUMIFS(Амортизация!AS$25:AS$272,Амортизация!$F$25:$F$272,$F691,Амортизация!$AC$25:$AC$272,"Сумма амортизационных отчислений")</f>
        <v>0</v>
      </c>
      <c r="AU691" s="761">
        <f>_xlfn.SUMIFS(Амортизация!AT$25:AT$272,Амортизация!$F$25:$F$272,$F691,Амортизация!$AC$25:$AC$272,"Сумма амортизационных отчислений")</f>
        <v>0</v>
      </c>
      <c r="AV691" s="761">
        <f>_xlfn.SUMIFS(Амортизация!AU$25:AU$272,Амортизация!$F$25:$F$272,$F691,Амортизация!$AC$25:$AC$272,"Сумма амортизационных отчислений")</f>
        <v>2114.31</v>
      </c>
      <c r="AW691" s="761">
        <f>_xlfn.SUMIFS(Амортизация!AV$25:AV$272,Амортизация!$F$25:$F$272,$F691,Амортизация!$AC$25:$AC$272,"Сумма амортизационных отчислений")</f>
        <v>7657.51</v>
      </c>
      <c r="AX691" s="761">
        <f>_xlfn.SUMIFS(Амортизация!AW$25:AW$272,Амортизация!$F$25:$F$272,$F691,Амортизация!$AC$25:$AC$272,"Сумма амортизационных отчислений")</f>
        <v>32710.78</v>
      </c>
      <c r="AY691" s="761">
        <f>_xlfn.SUMIFS(Амортизация!AX$25:AX$272,Амортизация!$F$25:$F$272,$F691,Амортизация!$AC$25:$AC$272,"Сумма амортизационных отчислений")</f>
        <v>0</v>
      </c>
      <c r="AZ691" s="761">
        <f>_xlfn.SUMIFS(Амортизация!AY$25:AY$272,Амортизация!$F$25:$F$272,$F691,Амортизация!$AC$25:$AC$272,"Сумма амортизационных отчислений")</f>
        <v>0</v>
      </c>
      <c r="BA691" s="761">
        <f>_xlfn.SUMIFS(Амортизация!AZ$25:AZ$272,Амортизация!$F$25:$F$272,$F691,Амортизация!$AC$25:$AC$272,"Сумма амортизационных отчислений")</f>
        <v>0</v>
      </c>
      <c r="BB691" s="761">
        <f>_xlfn.SUMIFS(Амортизация!BA$25:BA$272,Амортизация!$F$25:$F$272,$F691,Амортизация!$AC$25:$AC$272,"Сумма амортизационных отчислений")</f>
        <v>0</v>
      </c>
      <c r="BC691" s="761">
        <f>_xlfn.SUMIFS(Амортизация!BB$25:BB$272,Амортизация!$F$25:$F$272,$F691,Амортизация!$AC$25:$AC$272,"Сумма амортизационных отчислений")</f>
        <v>0</v>
      </c>
      <c r="BD691" s="761">
        <f>IF(AI691=0,0,(AT691-AI691)/AI691*100)</f>
        <v>0</v>
      </c>
      <c r="BE691" s="761">
        <f>IF(AT691=0,0,(AU691-AT691)/AT691*100)</f>
        <v>0</v>
      </c>
      <c r="BF691" s="761">
        <f>IF(AU691=0,0,(AV691-AU691)/AU691*100)</f>
        <v>0</v>
      </c>
      <c r="BG691" s="761">
        <f>IF(AV691=0,0,(AW691-AV691)/AV691*100)</f>
        <v>262.175366904569</v>
      </c>
      <c r="BH691" s="761">
        <f>IF(AW691=0,0,(AX691-AW691)/AW691*100)</f>
        <v>327.172540421103</v>
      </c>
      <c r="BI691" s="761">
        <f>IF(AX691=0,0,(AY691-AX691)/AX691*100)</f>
        <v>-100</v>
      </c>
      <c r="BJ691" s="761">
        <f>IF(AY691=0,0,(AZ691-AY691)/AY691*100)</f>
        <v>0</v>
      </c>
      <c r="BK691" s="761">
        <f>IF(AZ691=0,0,(BA691-AZ691)/AZ691*100)</f>
        <v>0</v>
      </c>
      <c r="BL691" s="761">
        <f>IF(BA691=0,0,(BB691-BA691)/BA691*100)</f>
        <v>0</v>
      </c>
      <c r="BM691" s="761">
        <f>IF(BB691=0,0,(BC691-BB691)/BB691*100)</f>
        <v>0</v>
      </c>
      <c r="BN691" s="7771"/>
      <c r="BO691" s="7724" t="str">
        <f>IF(_xlfn.IFERROR(INDEX(Амортизация!$K$26:$L$272,MATCH($F691&amp;"komm",Амортизация!$K$26:$K$272,0),2),"")=0,"",_xlfn.IFERROR(INDEX(Амортизация!$K$26:$L$272,MATCH($F691&amp;"komm",Амортизация!$K$26:$K$272,0),2),""))</f>
        <v/>
      </c>
      <c r="BP691" s="7771"/>
      <c r="BQ691" s="700"/>
      <c r="BR691" s="700"/>
      <c r="BS691" s="1070" t="s">
        <v>1960</v>
      </c>
      <c r="BT691" s="1070"/>
      <c r="BU691" s="1070"/>
      <c r="BV691" s="707"/>
      <c r="BW691" s="707"/>
    </row>
    <row s="1834" customFormat="1" customHeight="1" ht="14.25">
      <c r="A692" s="1278"/>
      <c r="B692" s="432" cm="1" t="str">
        <f t="array" ref="B692:B692">B691</f>
        <v>true</v>
      </c>
      <c r="C692" s="1278"/>
      <c r="D692" s="1278"/>
      <c r="E692" s="703">
        <v>15</v>
      </c>
      <c r="F692" s="50" cm="1" t="str">
        <f t="array" ref="F692:F692">OFFSET(E692,-1,1)</f>
        <v>4</v>
      </c>
      <c r="G692" s="1278"/>
      <c r="H692" s="1278"/>
      <c r="I692" s="158" t="s">
        <v>1249</v>
      </c>
      <c r="J692" s="1278"/>
      <c r="K692" s="158" t="s">
        <v>1249</v>
      </c>
      <c r="L692" s="980" t="s">
        <v>1263</v>
      </c>
      <c r="M692" s="107"/>
      <c r="N692" s="1278"/>
      <c r="O692" s="1278"/>
      <c r="P692" s="1278"/>
      <c r="Q692" s="1278"/>
      <c r="R692" s="1278"/>
      <c r="S692" s="1278"/>
      <c r="T692" s="465" cm="1" t="str">
        <f t="array" ref="T692:T692">T691</f>
        <v>true</v>
      </c>
      <c r="U692" s="1278"/>
      <c r="V692" s="1278"/>
      <c r="W692" s="1278"/>
      <c r="X692" s="1563"/>
      <c r="Y692" s="1278"/>
      <c r="Z692" s="1546"/>
      <c r="AA692" s="1278"/>
      <c r="AB692" s="299" t="s">
        <v>1384</v>
      </c>
      <c r="AC692" s="762" t="s">
        <v>2538</v>
      </c>
      <c r="AD692" s="300" t="s">
        <v>1514</v>
      </c>
      <c r="AE692" s="7773">
        <f>_xlfn.SUMIFS('ИП + источники'!AF$27:AF$203,'ИП + источники'!$F$27:$F$203,$F692,'ИП + источники'!$AC$27:$AC$203,"Амортизационные отчисления")+_xlfn.SUMIFS('ИП + источники'!AF$27:AF$203,'ИП + источники'!$F$27:$F$203,$F692,'ИП + источники'!$AC$27:$AC$203,"погашение займов и кредитов из амортизации")</f>
        <v>0</v>
      </c>
      <c r="AF692" s="7773">
        <f>_xlfn.SUMIFS('ИП + источники'!AG$27:AG$203,'ИП + источники'!$F$27:$F$203,$F692,'ИП + источники'!$AC$27:$AC$203,"Амортизационные отчисления")+_xlfn.SUMIFS('ИП + источники'!AG$27:AG$203,'ИП + источники'!$F$27:$F$203,$F692,'ИП + источники'!$AC$27:$AC$203,"погашение займов и кредитов из амортизации")</f>
        <v>0</v>
      </c>
      <c r="AG692" s="7773">
        <f>_xlfn.SUMIFS('ИП + источники'!AH$27:AH$203,'ИП + источники'!$F$27:$F$203,$F692,'ИП + источники'!$AC$27:$AC$203,"Амортизационные отчисления")+_xlfn.SUMIFS('ИП + источники'!AH$27:AH$203,'ИП + источники'!$F$27:$F$203,$F692,'ИП + источники'!$AC$27:$AC$203,"погашение займов и кредитов из амортизации")</f>
        <v>0</v>
      </c>
      <c r="AH692" s="943">
        <f>AG692-AF692</f>
        <v>0</v>
      </c>
      <c r="AI692" s="7723">
        <f>_xlfn.SUMIFS('ИП + источники'!AJ$27:AJ$203,'ИП + источники'!$F$27:$F$203,$F692,'ИП + источники'!$AC$27:$AC$203,"Амортизационные отчисления")+_xlfn.SUMIFS('ИП + источники'!AJ$27:AJ$203,'ИП + источники'!$F$27:$F$203,$F692,'ИП + источники'!$AC$27:$AC$203,"погашение займов и кредитов из амортизации")</f>
        <v>0</v>
      </c>
      <c r="AJ692" s="7723">
        <f>_xlfn.SUMIFS('ИП + источники'!AK$27:AK$203,'ИП + источники'!$F$27:$F$203,$F692,'ИП + источники'!$AC$27:$AC$203,"Амортизационные отчисления")+_xlfn.SUMIFS('ИП + источники'!AK$27:AK$203,'ИП + источники'!$F$27:$F$203,$F692,'ИП + источники'!$AC$27:$AC$203,"погашение займов и кредитов из амортизации")</f>
        <v>0</v>
      </c>
      <c r="AK692" s="7723">
        <f>_xlfn.SUMIFS('ИП + источники'!AL$27:AL$203,'ИП + источники'!$F$27:$F$203,$F692,'ИП + источники'!$AC$27:$AC$203,"Амортизационные отчисления")+_xlfn.SUMIFS('ИП + источники'!AL$27:AL$203,'ИП + источники'!$F$27:$F$203,$F692,'ИП + источники'!$AC$27:$AC$203,"погашение займов и кредитов из амортизации")</f>
        <v>0</v>
      </c>
      <c r="AL692" s="7723">
        <f>_xlfn.SUMIFS('ИП + источники'!AM$27:AM$203,'ИП + источники'!$F$27:$F$203,$F692,'ИП + источники'!$AC$27:$AC$203,"Амортизационные отчисления")+_xlfn.SUMIFS('ИП + источники'!AM$27:AM$203,'ИП + источники'!$F$27:$F$203,$F692,'ИП + источники'!$AC$27:$AC$203,"погашение займов и кредитов из амортизации")</f>
        <v>0</v>
      </c>
      <c r="AM692" s="7723">
        <f>_xlfn.SUMIFS('ИП + источники'!AN$27:AN$203,'ИП + источники'!$F$27:$F$203,$F692,'ИП + источники'!$AC$27:$AC$203,"Амортизационные отчисления")+_xlfn.SUMIFS('ИП + источники'!AN$27:AN$203,'ИП + источники'!$F$27:$F$203,$F692,'ИП + источники'!$AC$27:$AC$203,"погашение займов и кредитов из амортизации")</f>
        <v>0</v>
      </c>
      <c r="AN692" s="7723">
        <f>_xlfn.SUMIFS('ИП + источники'!AO$27:AO$203,'ИП + источники'!$F$27:$F$203,$F692,'ИП + источники'!$AC$27:$AC$203,"Амортизационные отчисления")+_xlfn.SUMIFS('ИП + источники'!AO$27:AO$203,'ИП + источники'!$F$27:$F$203,$F692,'ИП + источники'!$AC$27:$AC$203,"погашение займов и кредитов из амортизации")</f>
        <v>0</v>
      </c>
      <c r="AO692" s="1253">
        <f>_xlfn.SUMIFS('ИП + источники'!AP$27:AP$203,'ИП + источники'!$F$27:$F$203,$F692,'ИП + источники'!$AC$27:$AC$203,"Амортизационные отчисления")+_xlfn.SUMIFS('ИП + источники'!AP$27:AP$203,'ИП + источники'!$F$27:$F$203,$F692,'ИП + источники'!$AC$27:$AC$203,"погашение займов и кредитов из амортизации")</f>
        <v>0</v>
      </c>
      <c r="AP692" s="1253">
        <f>_xlfn.SUMIFS('ИП + источники'!AQ$27:AQ$203,'ИП + источники'!$F$27:$F$203,$F692,'ИП + источники'!$AC$27:$AC$203,"Амортизационные отчисления")+_xlfn.SUMIFS('ИП + источники'!AQ$27:AQ$203,'ИП + источники'!$F$27:$F$203,$F692,'ИП + источники'!$AC$27:$AC$203,"погашение займов и кредитов из амортизации")</f>
        <v>0</v>
      </c>
      <c r="AQ692" s="1253">
        <f>_xlfn.SUMIFS('ИП + источники'!AR$27:AR$203,'ИП + источники'!$F$27:$F$203,$F692,'ИП + источники'!$AC$27:$AC$203,"Амортизационные отчисления")+_xlfn.SUMIFS('ИП + источники'!AR$27:AR$203,'ИП + источники'!$F$27:$F$203,$F692,'ИП + источники'!$AC$27:$AC$203,"погашение займов и кредитов из амортизации")</f>
        <v>0</v>
      </c>
      <c r="AR692" s="1253">
        <f>_xlfn.SUMIFS('ИП + источники'!AS$27:AS$203,'ИП + источники'!$F$27:$F$203,$F692,'ИП + источники'!$AC$27:$AC$203,"Амортизационные отчисления")+_xlfn.SUMIFS('ИП + источники'!AS$27:AS$203,'ИП + источники'!$F$27:$F$203,$F692,'ИП + источники'!$AC$27:$AC$203,"погашение займов и кредитов из амортизации")</f>
        <v>0</v>
      </c>
      <c r="AS692" s="1253">
        <f>_xlfn.SUMIFS('ИП + источники'!AT$27:AT$203,'ИП + источники'!$F$27:$F$203,$F692,'ИП + источники'!$AC$27:$AC$203,"Амортизационные отчисления")+_xlfn.SUMIFS('ИП + источники'!AT$27:AT$203,'ИП + источники'!$F$27:$F$203,$F692,'ИП + источники'!$AC$27:$AC$203,"погашение займов и кредитов из амортизации")</f>
        <v>0</v>
      </c>
      <c r="AT692" s="7723">
        <f>_xlfn.SUMIFS('ИП + источники'!AU$27:AU$203,'ИП + источники'!$F$27:$F$203,$F692,'ИП + источники'!$AC$27:$AC$203,"Амортизационные отчисления")+_xlfn.SUMIFS('ИП + источники'!AU$27:AU$203,'ИП + источники'!$F$27:$F$203,$F692,'ИП + источники'!$AC$27:$AC$203,"погашение займов и кредитов из амортизации")</f>
        <v>0</v>
      </c>
      <c r="AU692" s="7723">
        <f>_xlfn.SUMIFS('ИП + источники'!AV$27:AV$203,'ИП + источники'!$F$27:$F$203,$F692,'ИП + источники'!$AC$27:$AC$203,"Амортизационные отчисления")+_xlfn.SUMIFS('ИП + источники'!AV$27:AV$203,'ИП + источники'!$F$27:$F$203,$F692,'ИП + источники'!$AC$27:$AC$203,"погашение займов и кредитов из амортизации")</f>
        <v>0</v>
      </c>
      <c r="AV692" s="7723">
        <f>_xlfn.SUMIFS('ИП + источники'!AW$27:AW$203,'ИП + источники'!$F$27:$F$203,$F692,'ИП + источники'!$AC$27:$AC$203,"Амортизационные отчисления")+_xlfn.SUMIFS('ИП + источники'!AW$27:AW$203,'ИП + источники'!$F$27:$F$203,$F692,'ИП + источники'!$AC$27:$AC$203,"погашение займов и кредитов из амортизации")</f>
        <v>0</v>
      </c>
      <c r="AW692" s="7723">
        <f>_xlfn.SUMIFS('ИП + источники'!AX$27:AX$203,'ИП + источники'!$F$27:$F$203,$F692,'ИП + источники'!$AC$27:$AC$203,"Амортизационные отчисления")+_xlfn.SUMIFS('ИП + источники'!AX$27:AX$203,'ИП + источники'!$F$27:$F$203,$F692,'ИП + источники'!$AC$27:$AC$203,"погашение займов и кредитов из амортизации")</f>
        <v>0</v>
      </c>
      <c r="AX692" s="7723">
        <f>_xlfn.SUMIFS('ИП + источники'!AY$27:AY$203,'ИП + источники'!$F$27:$F$203,$F692,'ИП + источники'!$AC$27:$AC$203,"Амортизационные отчисления")+_xlfn.SUMIFS('ИП + источники'!AY$27:AY$203,'ИП + источники'!$F$27:$F$203,$F692,'ИП + источники'!$AC$27:$AC$203,"погашение займов и кредитов из амортизации")</f>
        <v>0</v>
      </c>
      <c r="AY692" s="1253">
        <f>_xlfn.SUMIFS('ИП + источники'!AZ$27:AZ$203,'ИП + источники'!$F$27:$F$203,$F692,'ИП + источники'!$AC$27:$AC$203,"Амортизационные отчисления")+_xlfn.SUMIFS('ИП + источники'!AZ$27:AZ$203,'ИП + источники'!$F$27:$F$203,$F692,'ИП + источники'!$AC$27:$AC$203,"погашение займов и кредитов из амортизации")</f>
        <v>0</v>
      </c>
      <c r="AZ692" s="1253">
        <f>_xlfn.SUMIFS('ИП + источники'!BA$27:BA$203,'ИП + источники'!$F$27:$F$203,$F692,'ИП + источники'!$AC$27:$AC$203,"Амортизационные отчисления")+_xlfn.SUMIFS('ИП + источники'!BA$27:BA$203,'ИП + источники'!$F$27:$F$203,$F692,'ИП + источники'!$AC$27:$AC$203,"погашение займов и кредитов из амортизации")</f>
        <v>0</v>
      </c>
      <c r="BA692" s="1253">
        <f>_xlfn.SUMIFS('ИП + источники'!BB$27:BB$203,'ИП + источники'!$F$27:$F$203,$F692,'ИП + источники'!$AC$27:$AC$203,"Амортизационные отчисления")+_xlfn.SUMIFS('ИП + источники'!BB$27:BB$203,'ИП + источники'!$F$27:$F$203,$F692,'ИП + источники'!$AC$27:$AC$203,"погашение займов и кредитов из амортизации")</f>
        <v>0</v>
      </c>
      <c r="BB692" s="1253">
        <f>_xlfn.SUMIFS('ИП + источники'!BC$27:BC$203,'ИП + источники'!$F$27:$F$203,$F692,'ИП + источники'!$AC$27:$AC$203,"Амортизационные отчисления")+_xlfn.SUMIFS('ИП + источники'!BC$27:BC$203,'ИП + источники'!$F$27:$F$203,$F692,'ИП + источники'!$AC$27:$AC$203,"погашение займов и кредитов из амортизации")</f>
        <v>0</v>
      </c>
      <c r="BC692" s="1253">
        <f>_xlfn.SUMIFS('ИП + источники'!BD$27:BD$203,'ИП + источники'!$F$27:$F$203,$F692,'ИП + источники'!$AC$27:$AC$203,"Амортизационные отчисления")+_xlfn.SUMIFS('ИП + источники'!BD$27:BD$203,'ИП + источники'!$F$27:$F$203,$F692,'ИП + источники'!$AC$27:$AC$203,"погашение займов и кредитов из амортизации")</f>
        <v>0</v>
      </c>
      <c r="BD692" s="943">
        <f>IF(AI692=0,0,(AT692-AI692)/AI692*100)</f>
        <v>0</v>
      </c>
      <c r="BE692" s="943">
        <f>IF(AT692=0,0,(AU692-AT692)/AT692*100)</f>
        <v>0</v>
      </c>
      <c r="BF692" s="943">
        <f>IF(AU692=0,0,(AV692-AU692)/AU692*100)</f>
        <v>0</v>
      </c>
      <c r="BG692" s="943">
        <f>IF(AV692=0,0,(AW692-AV692)/AV692*100)</f>
        <v>0</v>
      </c>
      <c r="BH692" s="943">
        <f>IF(AW692=0,0,(AX692-AW692)/AW692*100)</f>
        <v>0</v>
      </c>
      <c r="BI692" s="943">
        <f>IF(AX692=0,0,(AY692-AX692)/AX692*100)</f>
        <v>0</v>
      </c>
      <c r="BJ692" s="943">
        <f>IF(AY692=0,0,(AZ692-AY692)/AY692*100)</f>
        <v>0</v>
      </c>
      <c r="BK692" s="943">
        <f>IF(AZ692=0,0,(BA692-AZ692)/AZ692*100)</f>
        <v>0</v>
      </c>
      <c r="BL692" s="943">
        <f>IF(BA692=0,0,(BB692-BA692)/BA692*100)</f>
        <v>0</v>
      </c>
      <c r="BM692" s="943">
        <f>IF(BB692=0,0,(BC692-BB692)/BB692*100)</f>
        <v>0</v>
      </c>
      <c r="BN692" s="7771"/>
      <c r="BO692" s="7771"/>
      <c r="BP692" s="7771"/>
      <c r="BQ692" s="1278"/>
      <c r="BR692" s="1278"/>
      <c r="BS692" s="1064" t="s">
        <v>2539</v>
      </c>
      <c r="BT692" s="1064"/>
      <c r="BU692" s="1064"/>
      <c r="BV692" s="979"/>
      <c r="BW692" s="979"/>
    </row>
    <row s="7957" customFormat="1" customHeight="1" ht="20.25">
      <c r="A693" s="700"/>
      <c r="B693" s="432" cm="1" t="str">
        <f t="array" ref="B693:B693">B692</f>
        <v>true</v>
      </c>
      <c r="C693" s="700"/>
      <c r="D693" s="700"/>
      <c r="E693" s="707">
        <v>21</v>
      </c>
      <c r="F693" s="50" cm="1" t="str">
        <f t="array" ref="F693:F693">OFFSET(E693,-1,1)</f>
        <v>4</v>
      </c>
      <c r="G693" s="158" t="s">
        <v>2238</v>
      </c>
      <c r="H693" s="158"/>
      <c r="I693" s="158" t="s">
        <v>335</v>
      </c>
      <c r="J693" s="700"/>
      <c r="K693" s="158" t="s">
        <v>335</v>
      </c>
      <c r="L693" s="985" t="s">
        <v>1275</v>
      </c>
      <c r="M693" s="109"/>
      <c r="N693" s="700"/>
      <c r="O693" s="700"/>
      <c r="P693" s="700"/>
      <c r="Q693" s="700"/>
      <c r="R693" s="700"/>
      <c r="S693" s="700"/>
      <c r="T693" s="465" cm="1" t="str">
        <f t="array" ref="T693:T693">T692</f>
        <v>true</v>
      </c>
      <c r="U693" s="700"/>
      <c r="V693" s="700"/>
      <c r="W693" s="700"/>
      <c r="X693" s="1563"/>
      <c r="Y693" s="700"/>
      <c r="Z693" s="1546"/>
      <c r="AA693" s="700"/>
      <c r="AB693" s="218" t="s">
        <v>443</v>
      </c>
      <c r="AC693" s="212" t="s">
        <v>2238</v>
      </c>
      <c r="AD693" s="234" t="s">
        <v>1514</v>
      </c>
      <c r="AE693" s="213">
        <f>AE694+AE695+AE696+AE697</f>
        <v>0</v>
      </c>
      <c r="AF693" s="213">
        <f>AF694+AF695+AF696+AF697</f>
        <v>0</v>
      </c>
      <c r="AG693" s="213">
        <f>AG694+AG695+AG696+AG697</f>
        <v>0</v>
      </c>
      <c r="AH693" s="770">
        <f>AG693-AF693</f>
        <v>0</v>
      </c>
      <c r="AI693" s="770">
        <f>AI694+AI695+AI696+AI697</f>
        <v>0</v>
      </c>
      <c r="AJ693" s="770">
        <f>AJ694+AJ695+AJ696+AJ697</f>
        <v>0</v>
      </c>
      <c r="AK693" s="770">
        <f>AK694+AK695+AK696+AK697</f>
        <v>0</v>
      </c>
      <c r="AL693" s="770">
        <f>AL694+AL695+AL696+AL697</f>
        <v>0</v>
      </c>
      <c r="AM693" s="770">
        <f>AM694+AM695+AM696+AM697</f>
        <v>0</v>
      </c>
      <c r="AN693" s="770">
        <f>AN694+AN695+AN696+AN697</f>
        <v>0</v>
      </c>
      <c r="AO693" s="770">
        <f>AO694+AO695+AO696+AO697</f>
        <v>0</v>
      </c>
      <c r="AP693" s="770">
        <f>AP694+AP695+AP696+AP697</f>
        <v>0</v>
      </c>
      <c r="AQ693" s="770">
        <f>AQ694+AQ695+AQ696+AQ697</f>
        <v>0</v>
      </c>
      <c r="AR693" s="770">
        <f>AR694+AR695+AR696+AR697</f>
        <v>0</v>
      </c>
      <c r="AS693" s="770">
        <f>AS694+AS695+AS696+AS697</f>
        <v>0</v>
      </c>
      <c r="AT693" s="770">
        <f>AT694+AT695+AT696+AT697</f>
        <v>0</v>
      </c>
      <c r="AU693" s="770">
        <f>AU694+AU695+AU696+AU697</f>
        <v>0</v>
      </c>
      <c r="AV693" s="770">
        <f>AV694+AV695+AV696+AV697</f>
        <v>0</v>
      </c>
      <c r="AW693" s="770">
        <f>AW694+AW695+AW696+AW697</f>
        <v>0</v>
      </c>
      <c r="AX693" s="770">
        <f>AX694+AX695+AX696+AX697</f>
        <v>0</v>
      </c>
      <c r="AY693" s="770">
        <f>AY694+AY695+AY696+AY697</f>
        <v>0</v>
      </c>
      <c r="AZ693" s="770">
        <f>AZ694+AZ695+AZ696+AZ697</f>
        <v>0</v>
      </c>
      <c r="BA693" s="770">
        <f>BA694+BA695+BA696+BA697</f>
        <v>0</v>
      </c>
      <c r="BB693" s="770">
        <f>BB694+BB695+BB696+BB697</f>
        <v>0</v>
      </c>
      <c r="BC693" s="770">
        <f>BC694+BC695+BC696+BC697</f>
        <v>0</v>
      </c>
      <c r="BD693" s="761">
        <f>IF(AI693=0,0,(AT693-AI693)/AI693*100)</f>
        <v>0</v>
      </c>
      <c r="BE693" s="761">
        <f>IF(AT693=0,0,(AU693-AT693)/AT693*100)</f>
        <v>0</v>
      </c>
      <c r="BF693" s="761">
        <f>IF(AU693=0,0,(AV693-AU693)/AU693*100)</f>
        <v>0</v>
      </c>
      <c r="BG693" s="761">
        <f>IF(AV693=0,0,(AW693-AV693)/AV693*100)</f>
        <v>0</v>
      </c>
      <c r="BH693" s="761">
        <f>IF(AW693=0,0,(AX693-AW693)/AW693*100)</f>
        <v>0</v>
      </c>
      <c r="BI693" s="761">
        <f>IF(AX693=0,0,(AY693-AX693)/AX693*100)</f>
        <v>0</v>
      </c>
      <c r="BJ693" s="761">
        <f>IF(AY693=0,0,(AZ693-AY693)/AY693*100)</f>
        <v>0</v>
      </c>
      <c r="BK693" s="761">
        <f>IF(AZ693=0,0,(BA693-AZ693)/AZ693*100)</f>
        <v>0</v>
      </c>
      <c r="BL693" s="761">
        <f>IF(BA693=0,0,(BB693-BA693)/BA693*100)</f>
        <v>0</v>
      </c>
      <c r="BM693" s="761">
        <f>IF(BB693=0,0,(BC693-BB693)/BB693*100)</f>
        <v>0</v>
      </c>
      <c r="BN693" s="7771"/>
      <c r="BO693" s="7771"/>
      <c r="BP693" s="7771"/>
      <c r="BQ693" s="700"/>
      <c r="BR693" s="700"/>
      <c r="BS693" s="1063" t="s">
        <v>2242</v>
      </c>
      <c r="BT693" s="1070"/>
      <c r="BU693" s="1070"/>
      <c r="BV693" s="707"/>
      <c r="BW693" s="707"/>
    </row>
    <row s="1834" customFormat="1" customHeight="1" ht="14.25">
      <c r="A694" s="1278"/>
      <c r="B694" s="432" cm="1" t="str">
        <f t="array" ref="B694:B694">B693</f>
        <v>true</v>
      </c>
      <c r="C694" s="1278"/>
      <c r="D694" s="1278"/>
      <c r="E694" s="703">
        <v>15</v>
      </c>
      <c r="F694" s="50" cm="1" t="str">
        <f t="array" ref="F694:F694">OFFSET(E694,-1,1)</f>
        <v>4</v>
      </c>
      <c r="G694" s="1278"/>
      <c r="H694" s="1278"/>
      <c r="I694" s="158" t="s">
        <v>1263</v>
      </c>
      <c r="J694" s="1278"/>
      <c r="K694" s="158" t="s">
        <v>1263</v>
      </c>
      <c r="L694" s="980"/>
      <c r="M694" s="107"/>
      <c r="N694" s="1278"/>
      <c r="O694" s="1278"/>
      <c r="P694" s="1278"/>
      <c r="Q694" s="1278"/>
      <c r="R694" s="1278"/>
      <c r="S694" s="1278"/>
      <c r="T694" s="465" cm="1" t="str">
        <f t="array" ref="T694:T694">T693</f>
        <v>true</v>
      </c>
      <c r="U694" s="1278"/>
      <c r="V694" s="1278"/>
      <c r="W694" s="1278"/>
      <c r="X694" s="1563"/>
      <c r="Y694" s="1278"/>
      <c r="Z694" s="1546"/>
      <c r="AA694" s="1278"/>
      <c r="AB694" s="299" t="s">
        <v>1391</v>
      </c>
      <c r="AC694" s="762" t="s">
        <v>2832</v>
      </c>
      <c r="AD694" s="300" t="s">
        <v>1514</v>
      </c>
      <c r="AE694" s="7773">
        <f>_xlfn.SUMIFS('ИП + источники'!AF$27:AF$203,'ИП + источники'!$F$27:$F$203,$F694,'ИП + источники'!$AC$27:$AC$203,"погашение займов и кредитов из нормативной прибыли")</f>
        <v>0</v>
      </c>
      <c r="AF694" s="7773">
        <f>_xlfn.SUMIFS('ИП + источники'!AG$27:AG$203,'ИП + источники'!$F$27:$F$203,$F694,'ИП + источники'!$AC$27:$AC$203,"погашение займов и кредитов из нормативной прибыли")</f>
        <v>0</v>
      </c>
      <c r="AG694" s="7773">
        <f>_xlfn.SUMIFS('ИП + источники'!AH$27:AH$203,'ИП + источники'!$F$27:$F$203,$F694,'ИП + источники'!$AC$27:$AC$203,"погашение займов и кредитов из нормативной прибыли")</f>
        <v>0</v>
      </c>
      <c r="AH694" s="943">
        <f>AG694-AF694</f>
        <v>0</v>
      </c>
      <c r="AI694" s="7723">
        <f>_xlfn.SUMIFS('ИП + источники'!AJ$27:AJ$203,'ИП + источники'!$F$27:$F$203,$F694,'ИП + источники'!$AC$27:$AC$203,"погашение займов и кредитов из нормативной прибыли")</f>
        <v>0</v>
      </c>
      <c r="AJ694" s="7723">
        <f>_xlfn.SUMIFS('ИП + источники'!AK$27:AK$203,'ИП + источники'!$F$27:$F$203,$F694,'ИП + источники'!$AC$27:$AC$203,"погашение займов и кредитов из нормативной прибыли")</f>
        <v>0</v>
      </c>
      <c r="AK694" s="7723">
        <f>_xlfn.SUMIFS('ИП + источники'!AL$27:AL$203,'ИП + источники'!$F$27:$F$203,$F694,'ИП + источники'!$AC$27:$AC$203,"погашение займов и кредитов из нормативной прибыли")</f>
        <v>0</v>
      </c>
      <c r="AL694" s="7723">
        <f>_xlfn.SUMIFS('ИП + источники'!AM$27:AM$203,'ИП + источники'!$F$27:$F$203,$F694,'ИП + источники'!$AC$27:$AC$203,"погашение займов и кредитов из нормативной прибыли")</f>
        <v>0</v>
      </c>
      <c r="AM694" s="7723">
        <f>_xlfn.SUMIFS('ИП + источники'!AN$27:AN$203,'ИП + источники'!$F$27:$F$203,$F694,'ИП + источники'!$AC$27:$AC$203,"погашение займов и кредитов из нормативной прибыли")</f>
        <v>0</v>
      </c>
      <c r="AN694" s="7723">
        <f>_xlfn.SUMIFS('ИП + источники'!AO$27:AO$203,'ИП + источники'!$F$27:$F$203,$F694,'ИП + источники'!$AC$27:$AC$203,"погашение займов и кредитов из нормативной прибыли")</f>
        <v>0</v>
      </c>
      <c r="AO694" s="1253">
        <f>_xlfn.SUMIFS('ИП + источники'!AP$27:AP$203,'ИП + источники'!$F$27:$F$203,$F694,'ИП + источники'!$AC$27:$AC$203,"погашение займов и кредитов из нормативной прибыли")</f>
        <v>0</v>
      </c>
      <c r="AP694" s="1253">
        <f>_xlfn.SUMIFS('ИП + источники'!AQ$27:AQ$203,'ИП + источники'!$F$27:$F$203,$F694,'ИП + источники'!$AC$27:$AC$203,"погашение займов и кредитов из нормативной прибыли")</f>
        <v>0</v>
      </c>
      <c r="AQ694" s="1253">
        <f>_xlfn.SUMIFS('ИП + источники'!AR$27:AR$203,'ИП + источники'!$F$27:$F$203,$F694,'ИП + источники'!$AC$27:$AC$203,"погашение займов и кредитов из нормативной прибыли")</f>
        <v>0</v>
      </c>
      <c r="AR694" s="1253">
        <f>_xlfn.SUMIFS('ИП + источники'!AS$27:AS$203,'ИП + источники'!$F$27:$F$203,$F694,'ИП + источники'!$AC$27:$AC$203,"погашение займов и кредитов из нормативной прибыли")</f>
        <v>0</v>
      </c>
      <c r="AS694" s="1253">
        <f>_xlfn.SUMIFS('ИП + источники'!AT$27:AT$203,'ИП + источники'!$F$27:$F$203,$F694,'ИП + источники'!$AC$27:$AC$203,"погашение займов и кредитов из нормативной прибыли")</f>
        <v>0</v>
      </c>
      <c r="AT694" s="7723">
        <f>_xlfn.SUMIFS('ИП + источники'!AU$27:AU$203,'ИП + источники'!$F$27:$F$203,$F694,'ИП + источники'!$AC$27:$AC$203,"погашение займов и кредитов из нормативной прибыли")</f>
        <v>0</v>
      </c>
      <c r="AU694" s="7723">
        <f>_xlfn.SUMIFS('ИП + источники'!AV$27:AV$203,'ИП + источники'!$F$27:$F$203,$F694,'ИП + источники'!$AC$27:$AC$203,"погашение займов и кредитов из нормативной прибыли")</f>
        <v>0</v>
      </c>
      <c r="AV694" s="7723">
        <f>_xlfn.SUMIFS('ИП + источники'!AW$27:AW$203,'ИП + источники'!$F$27:$F$203,$F694,'ИП + источники'!$AC$27:$AC$203,"погашение займов и кредитов из нормативной прибыли")</f>
        <v>0</v>
      </c>
      <c r="AW694" s="7723">
        <f>_xlfn.SUMIFS('ИП + источники'!AX$27:AX$203,'ИП + источники'!$F$27:$F$203,$F694,'ИП + источники'!$AC$27:$AC$203,"погашение займов и кредитов из нормативной прибыли")</f>
        <v>0</v>
      </c>
      <c r="AX694" s="7723">
        <f>_xlfn.SUMIFS('ИП + источники'!AY$27:AY$203,'ИП + источники'!$F$27:$F$203,$F694,'ИП + источники'!$AC$27:$AC$203,"погашение займов и кредитов из нормативной прибыли")</f>
        <v>0</v>
      </c>
      <c r="AY694" s="1253">
        <f>_xlfn.SUMIFS('ИП + источники'!AZ$27:AZ$203,'ИП + источники'!$F$27:$F$203,$F694,'ИП + источники'!$AC$27:$AC$203,"погашение займов и кредитов из нормативной прибыли")</f>
        <v>0</v>
      </c>
      <c r="AZ694" s="1253">
        <f>_xlfn.SUMIFS('ИП + источники'!BA$27:BA$203,'ИП + источники'!$F$27:$F$203,$F694,'ИП + источники'!$AC$27:$AC$203,"погашение займов и кредитов из нормативной прибыли")</f>
        <v>0</v>
      </c>
      <c r="BA694" s="1253">
        <f>_xlfn.SUMIFS('ИП + источники'!BB$27:BB$203,'ИП + источники'!$F$27:$F$203,$F694,'ИП + источники'!$AC$27:$AC$203,"погашение займов и кредитов из нормативной прибыли")</f>
        <v>0</v>
      </c>
      <c r="BB694" s="1253">
        <f>_xlfn.SUMIFS('ИП + источники'!BC$27:BC$203,'ИП + источники'!$F$27:$F$203,$F694,'ИП + источники'!$AC$27:$AC$203,"погашение займов и кредитов из нормативной прибыли")</f>
        <v>0</v>
      </c>
      <c r="BC694" s="1253">
        <f>_xlfn.SUMIFS('ИП + источники'!BD$27:BD$203,'ИП + источники'!$F$27:$F$203,$F694,'ИП + источники'!$AC$27:$AC$203,"погашение займов и кредитов из нормативной прибыли")</f>
        <v>0</v>
      </c>
      <c r="BD694" s="943">
        <f>IF(AI694=0,0,(AT694-AI694)/AI694*100)</f>
        <v>0</v>
      </c>
      <c r="BE694" s="943">
        <f>IF(AT694=0,0,(AU694-AT694)/AT694*100)</f>
        <v>0</v>
      </c>
      <c r="BF694" s="943">
        <f>IF(AU694=0,0,(AV694-AU694)/AU694*100)</f>
        <v>0</v>
      </c>
      <c r="BG694" s="943">
        <f>IF(AV694=0,0,(AW694-AV694)/AV694*100)</f>
        <v>0</v>
      </c>
      <c r="BH694" s="943">
        <f>IF(AW694=0,0,(AX694-AW694)/AW694*100)</f>
        <v>0</v>
      </c>
      <c r="BI694" s="943">
        <f>IF(AX694=0,0,(AY694-AX694)/AX694*100)</f>
        <v>0</v>
      </c>
      <c r="BJ694" s="943">
        <f>IF(AY694=0,0,(AZ694-AY694)/AY694*100)</f>
        <v>0</v>
      </c>
      <c r="BK694" s="943">
        <f>IF(AZ694=0,0,(BA694-AZ694)/AZ694*100)</f>
        <v>0</v>
      </c>
      <c r="BL694" s="943">
        <f>IF(BA694=0,0,(BB694-BA694)/BA694*100)</f>
        <v>0</v>
      </c>
      <c r="BM694" s="943">
        <f>IF(BB694=0,0,(BC694-BB694)/BB694*100)</f>
        <v>0</v>
      </c>
      <c r="BN694" s="7771"/>
      <c r="BO694" s="7724" t="str">
        <f>IF(_xlfn.IFERROR(INDEX('ИП + источники'!$K$57:$L$203,MATCH($F694&amp;"2komm",'ИП + источники'!$K$57:$K$203,0),2),"")=0,"",_xlfn.IFERROR(INDEX('ИП + источники'!$K$57:$L$203,MATCH($F694&amp;"2komm",'ИП + источники'!$K$57:$K$203,0),2),""))</f>
        <v/>
      </c>
      <c r="BP694" s="7771"/>
      <c r="BQ694" s="1278"/>
      <c r="BR694" s="1278"/>
      <c r="BS694" s="1064" t="s">
        <v>2833</v>
      </c>
      <c r="BT694" s="1064"/>
      <c r="BU694" s="1064"/>
      <c r="BV694" s="979"/>
      <c r="BW694" s="979"/>
    </row>
    <row s="1834" customFormat="1" customHeight="1" ht="14.25">
      <c r="A695" s="1278"/>
      <c r="B695" s="432" cm="1" t="str">
        <f t="array" ref="B695:B695">B694</f>
        <v>true</v>
      </c>
      <c r="C695" s="1278"/>
      <c r="D695" s="1278"/>
      <c r="E695" s="703">
        <v>15</v>
      </c>
      <c r="F695" s="50" cm="1" t="str">
        <f t="array" ref="F695:F695">OFFSET(E695,-1,1)</f>
        <v>4</v>
      </c>
      <c r="G695" s="1278"/>
      <c r="H695" s="1278"/>
      <c r="I695" s="158" t="s">
        <v>1267</v>
      </c>
      <c r="J695" s="1278"/>
      <c r="K695" s="158" t="s">
        <v>1267</v>
      </c>
      <c r="L695" s="980"/>
      <c r="M695" s="107"/>
      <c r="N695" s="1278"/>
      <c r="O695" s="1278"/>
      <c r="P695" s="1278"/>
      <c r="Q695" s="1278"/>
      <c r="R695" s="1278"/>
      <c r="S695" s="1278"/>
      <c r="T695" s="465" cm="1" t="str">
        <f t="array" ref="T695:T695">T694</f>
        <v>true</v>
      </c>
      <c r="U695" s="1278"/>
      <c r="V695" s="1278"/>
      <c r="W695" s="1278"/>
      <c r="X695" s="1563"/>
      <c r="Y695" s="1278"/>
      <c r="Z695" s="1546"/>
      <c r="AA695" s="1278"/>
      <c r="AB695" s="299" t="s">
        <v>1394</v>
      </c>
      <c r="AC695" s="762" t="s">
        <v>2834</v>
      </c>
      <c r="AD695" s="300" t="s">
        <v>1514</v>
      </c>
      <c r="AE695" s="7773">
        <f>_xlfn.SUMIFS('ИП + источники'!AF$27:AF$203,'ИП + источники'!$F$27:$F$203,$F695,'ИП + источники'!$AC$27:$AC$203,"уплата процентов по кредитам из нормативной прибыли")</f>
        <v>0</v>
      </c>
      <c r="AF695" s="7773">
        <f>_xlfn.SUMIFS('ИП + источники'!AG$27:AG$203,'ИП + источники'!$F$27:$F$203,$F695,'ИП + источники'!$AC$27:$AC$203,"уплата процентов по кредитам из нормативной прибыли")</f>
        <v>0</v>
      </c>
      <c r="AG695" s="7773">
        <f>_xlfn.SUMIFS('ИП + источники'!AH$27:AH$203,'ИП + источники'!$F$27:$F$203,$F695,'ИП + источники'!$AC$27:$AC$203,"уплата процентов по кредитам из нормативной прибыли")</f>
        <v>0</v>
      </c>
      <c r="AH695" s="943">
        <f>AG695-AF695</f>
        <v>0</v>
      </c>
      <c r="AI695" s="7723">
        <f>_xlfn.SUMIFS('ИП + источники'!AJ$27:AJ$203,'ИП + источники'!$F$27:$F$203,$F695,'ИП + источники'!$AC$27:$AC$203,"уплата процентов по кредитам из нормативной прибыли")</f>
        <v>0</v>
      </c>
      <c r="AJ695" s="7723">
        <f>_xlfn.SUMIFS('ИП + источники'!AK$27:AK$203,'ИП + источники'!$F$27:$F$203,$F695,'ИП + источники'!$AC$27:$AC$203,"уплата процентов по кредитам из нормативной прибыли")</f>
        <v>0</v>
      </c>
      <c r="AK695" s="7723">
        <f>_xlfn.SUMIFS('ИП + источники'!AL$27:AL$203,'ИП + источники'!$F$27:$F$203,$F695,'ИП + источники'!$AC$27:$AC$203,"уплата процентов по кредитам из нормативной прибыли")</f>
        <v>0</v>
      </c>
      <c r="AL695" s="7723">
        <f>_xlfn.SUMIFS('ИП + источники'!AM$27:AM$203,'ИП + источники'!$F$27:$F$203,$F695,'ИП + источники'!$AC$27:$AC$203,"уплата процентов по кредитам из нормативной прибыли")</f>
        <v>0</v>
      </c>
      <c r="AM695" s="7723">
        <f>_xlfn.SUMIFS('ИП + источники'!AN$27:AN$203,'ИП + источники'!$F$27:$F$203,$F695,'ИП + источники'!$AC$27:$AC$203,"уплата процентов по кредитам из нормативной прибыли")</f>
        <v>0</v>
      </c>
      <c r="AN695" s="7723">
        <f>_xlfn.SUMIFS('ИП + источники'!AO$27:AO$203,'ИП + источники'!$F$27:$F$203,$F695,'ИП + источники'!$AC$27:$AC$203,"уплата процентов по кредитам из нормативной прибыли")</f>
        <v>0</v>
      </c>
      <c r="AO695" s="1253">
        <f>_xlfn.SUMIFS('ИП + источники'!AP$27:AP$203,'ИП + источники'!$F$27:$F$203,$F695,'ИП + источники'!$AC$27:$AC$203,"уплата процентов по кредитам из нормативной прибыли")</f>
        <v>0</v>
      </c>
      <c r="AP695" s="1253">
        <f>_xlfn.SUMIFS('ИП + источники'!AQ$27:AQ$203,'ИП + источники'!$F$27:$F$203,$F695,'ИП + источники'!$AC$27:$AC$203,"уплата процентов по кредитам из нормативной прибыли")</f>
        <v>0</v>
      </c>
      <c r="AQ695" s="1253">
        <f>_xlfn.SUMIFS('ИП + источники'!AR$27:AR$203,'ИП + источники'!$F$27:$F$203,$F695,'ИП + источники'!$AC$27:$AC$203,"уплата процентов по кредитам из нормативной прибыли")</f>
        <v>0</v>
      </c>
      <c r="AR695" s="1253">
        <f>_xlfn.SUMIFS('ИП + источники'!AS$27:AS$203,'ИП + источники'!$F$27:$F$203,$F695,'ИП + источники'!$AC$27:$AC$203,"уплата процентов по кредитам из нормативной прибыли")</f>
        <v>0</v>
      </c>
      <c r="AS695" s="1253">
        <f>_xlfn.SUMIFS('ИП + источники'!AT$27:AT$203,'ИП + источники'!$F$27:$F$203,$F695,'ИП + источники'!$AC$27:$AC$203,"уплата процентов по кредитам из нормативной прибыли")</f>
        <v>0</v>
      </c>
      <c r="AT695" s="7723">
        <f>_xlfn.SUMIFS('ИП + источники'!AU$27:AU$203,'ИП + источники'!$F$27:$F$203,$F695,'ИП + источники'!$AC$27:$AC$203,"уплата процентов по кредитам из нормативной прибыли")</f>
        <v>0</v>
      </c>
      <c r="AU695" s="7723">
        <f>_xlfn.SUMIFS('ИП + источники'!AV$27:AV$203,'ИП + источники'!$F$27:$F$203,$F695,'ИП + источники'!$AC$27:$AC$203,"уплата процентов по кредитам из нормативной прибыли")</f>
        <v>0</v>
      </c>
      <c r="AV695" s="7723">
        <f>_xlfn.SUMIFS('ИП + источники'!AW$27:AW$203,'ИП + источники'!$F$27:$F$203,$F695,'ИП + источники'!$AC$27:$AC$203,"уплата процентов по кредитам из нормативной прибыли")</f>
        <v>0</v>
      </c>
      <c r="AW695" s="7723">
        <f>_xlfn.SUMIFS('ИП + источники'!AX$27:AX$203,'ИП + источники'!$F$27:$F$203,$F695,'ИП + источники'!$AC$27:$AC$203,"уплата процентов по кредитам из нормативной прибыли")</f>
        <v>0</v>
      </c>
      <c r="AX695" s="7723">
        <f>_xlfn.SUMIFS('ИП + источники'!AY$27:AY$203,'ИП + источники'!$F$27:$F$203,$F695,'ИП + источники'!$AC$27:$AC$203,"уплата процентов по кредитам из нормативной прибыли")</f>
        <v>0</v>
      </c>
      <c r="AY695" s="1253">
        <f>_xlfn.SUMIFS('ИП + источники'!AZ$27:AZ$203,'ИП + источники'!$F$27:$F$203,$F695,'ИП + источники'!$AC$27:$AC$203,"уплата процентов по кредитам из нормативной прибыли")</f>
        <v>0</v>
      </c>
      <c r="AZ695" s="1253">
        <f>_xlfn.SUMIFS('ИП + источники'!BA$27:BA$203,'ИП + источники'!$F$27:$F$203,$F695,'ИП + источники'!$AC$27:$AC$203,"уплата процентов по кредитам из нормативной прибыли")</f>
        <v>0</v>
      </c>
      <c r="BA695" s="1253">
        <f>_xlfn.SUMIFS('ИП + источники'!BB$27:BB$203,'ИП + источники'!$F$27:$F$203,$F695,'ИП + источники'!$AC$27:$AC$203,"уплата процентов по кредитам из нормативной прибыли")</f>
        <v>0</v>
      </c>
      <c r="BB695" s="1253">
        <f>_xlfn.SUMIFS('ИП + источники'!BC$27:BC$203,'ИП + источники'!$F$27:$F$203,$F695,'ИП + источники'!$AC$27:$AC$203,"уплата процентов по кредитам из нормативной прибыли")</f>
        <v>0</v>
      </c>
      <c r="BC695" s="1253">
        <f>_xlfn.SUMIFS('ИП + источники'!BD$27:BD$203,'ИП + источники'!$F$27:$F$203,$F695,'ИП + источники'!$AC$27:$AC$203,"уплата процентов по кредитам из нормативной прибыли")</f>
        <v>0</v>
      </c>
      <c r="BD695" s="943">
        <f>IF(AI695=0,0,(AT695-AI695)/AI695*100)</f>
        <v>0</v>
      </c>
      <c r="BE695" s="943">
        <f>IF(AT695=0,0,(AU695-AT695)/AT695*100)</f>
        <v>0</v>
      </c>
      <c r="BF695" s="943">
        <f>IF(AU695=0,0,(AV695-AU695)/AU695*100)</f>
        <v>0</v>
      </c>
      <c r="BG695" s="943">
        <f>IF(AV695=0,0,(AW695-AV695)/AV695*100)</f>
        <v>0</v>
      </c>
      <c r="BH695" s="943">
        <f>IF(AW695=0,0,(AX695-AW695)/AW695*100)</f>
        <v>0</v>
      </c>
      <c r="BI695" s="943">
        <f>IF(AX695=0,0,(AY695-AX695)/AX695*100)</f>
        <v>0</v>
      </c>
      <c r="BJ695" s="943">
        <f>IF(AY695=0,0,(AZ695-AY695)/AY695*100)</f>
        <v>0</v>
      </c>
      <c r="BK695" s="943">
        <f>IF(AZ695=0,0,(BA695-AZ695)/AZ695*100)</f>
        <v>0</v>
      </c>
      <c r="BL695" s="943">
        <f>IF(BA695=0,0,(BB695-BA695)/BA695*100)</f>
        <v>0</v>
      </c>
      <c r="BM695" s="943">
        <f>IF(BB695=0,0,(BC695-BB695)/BB695*100)</f>
        <v>0</v>
      </c>
      <c r="BN695" s="7771"/>
      <c r="BO695" s="7724" t="str">
        <f>IF(_xlfn.IFERROR(INDEX('ИП + источники'!$K$57:$L$203,MATCH($F695&amp;"3komm",'ИП + источники'!$K$57:$K$203,0),2),"")=0,"",_xlfn.IFERROR(INDEX('ИП + источники'!$K$57:$L$203,MATCH($F695&amp;"3komm",'ИП + источники'!$K$57:$K$203,0),2),""))</f>
        <v/>
      </c>
      <c r="BP695" s="7771"/>
      <c r="BQ695" s="1278"/>
      <c r="BR695" s="1278"/>
      <c r="BS695" s="1064" t="s">
        <v>2835</v>
      </c>
      <c r="BT695" s="1064"/>
      <c r="BU695" s="1064"/>
      <c r="BV695" s="979"/>
      <c r="BW695" s="979"/>
    </row>
    <row s="1834" customFormat="1" customHeight="1" ht="14.25">
      <c r="A696" s="1278"/>
      <c r="B696" s="432" cm="1" t="str">
        <f t="array" ref="B696:B696">B695</f>
        <v>true</v>
      </c>
      <c r="C696" s="1278"/>
      <c r="D696" s="1278"/>
      <c r="E696" s="703">
        <v>15</v>
      </c>
      <c r="F696" s="50" cm="1" t="str">
        <f t="array" ref="F696:F696">OFFSET(E696,-1,1)</f>
        <v>4</v>
      </c>
      <c r="G696" s="1278"/>
      <c r="H696" s="1278"/>
      <c r="I696" s="158" t="s">
        <v>1479</v>
      </c>
      <c r="J696" s="1278"/>
      <c r="K696" s="158" t="s">
        <v>1479</v>
      </c>
      <c r="L696" s="980" t="s">
        <v>1282</v>
      </c>
      <c r="M696" s="107"/>
      <c r="N696" s="1278"/>
      <c r="O696" s="1278"/>
      <c r="P696" s="1278"/>
      <c r="Q696" s="1278"/>
      <c r="R696" s="1278"/>
      <c r="S696" s="1278"/>
      <c r="T696" s="465" cm="1" t="str">
        <f t="array" ref="T696:T696">T695</f>
        <v>true</v>
      </c>
      <c r="U696" s="1278"/>
      <c r="V696" s="1278"/>
      <c r="W696" s="1278"/>
      <c r="X696" s="1563"/>
      <c r="Y696" s="1278"/>
      <c r="Z696" s="1546"/>
      <c r="AA696" s="1278"/>
      <c r="AB696" s="299" t="s">
        <v>1683</v>
      </c>
      <c r="AC696" s="762" t="s">
        <v>2836</v>
      </c>
      <c r="AD696" s="300" t="s">
        <v>1514</v>
      </c>
      <c r="AE696" s="7773">
        <f>_xlfn.SUMIFS('ИП + источники'!AF$27:AF$203,'ИП + источники'!$F$27:$F$203,$F696,'ИП + источники'!$AC$27:$AC$203,"Прибыль на капвложения")</f>
        <v>0</v>
      </c>
      <c r="AF696" s="7773">
        <f>_xlfn.SUMIFS('ИП + источники'!AG$27:AG$203,'ИП + источники'!$F$27:$F$203,$F696,'ИП + источники'!$AC$27:$AC$203,"Прибыль на капвложения")</f>
        <v>0</v>
      </c>
      <c r="AG696" s="7773">
        <f>_xlfn.SUMIFS('ИП + источники'!AH$27:AH$203,'ИП + источники'!$F$27:$F$203,$F696,'ИП + источники'!$AC$27:$AC$203,"Прибыль на капвложения")</f>
        <v>0</v>
      </c>
      <c r="AH696" s="943">
        <f>AG696-AF696</f>
        <v>0</v>
      </c>
      <c r="AI696" s="7723">
        <f>_xlfn.SUMIFS('ИП + источники'!AJ$27:AJ$203,'ИП + источники'!$F$27:$F$203,$F696,'ИП + источники'!$AC$27:$AC$203,"Прибыль на капвложения")</f>
        <v>0</v>
      </c>
      <c r="AJ696" s="7723">
        <f>_xlfn.SUMIFS('ИП + источники'!AK$27:AK$203,'ИП + источники'!$F$27:$F$203,$F696,'ИП + источники'!$AC$27:$AC$203,"Прибыль на капвложения")</f>
        <v>0</v>
      </c>
      <c r="AK696" s="7723">
        <f>_xlfn.SUMIFS('ИП + источники'!AL$27:AL$203,'ИП + источники'!$F$27:$F$203,$F696,'ИП + источники'!$AC$27:$AC$203,"Прибыль на капвложения")</f>
        <v>0</v>
      </c>
      <c r="AL696" s="7723">
        <f>_xlfn.SUMIFS('ИП + источники'!AM$27:AM$203,'ИП + источники'!$F$27:$F$203,$F696,'ИП + источники'!$AC$27:$AC$203,"Прибыль на капвложения")</f>
        <v>0</v>
      </c>
      <c r="AM696" s="7723">
        <f>_xlfn.SUMIFS('ИП + источники'!AN$27:AN$203,'ИП + источники'!$F$27:$F$203,$F696,'ИП + источники'!$AC$27:$AC$203,"Прибыль на капвложения")</f>
        <v>0</v>
      </c>
      <c r="AN696" s="7723">
        <f>_xlfn.SUMIFS('ИП + источники'!AO$27:AO$203,'ИП + источники'!$F$27:$F$203,$F696,'ИП + источники'!$AC$27:$AC$203,"Прибыль на капвложения")</f>
        <v>0</v>
      </c>
      <c r="AO696" s="1253">
        <f>_xlfn.SUMIFS('ИП + источники'!AP$27:AP$203,'ИП + источники'!$F$27:$F$203,$F696,'ИП + источники'!$AC$27:$AC$203,"Прибыль на капвложения")</f>
        <v>0</v>
      </c>
      <c r="AP696" s="1253">
        <f>_xlfn.SUMIFS('ИП + источники'!AQ$27:AQ$203,'ИП + источники'!$F$27:$F$203,$F696,'ИП + источники'!$AC$27:$AC$203,"Прибыль на капвложения")</f>
        <v>0</v>
      </c>
      <c r="AQ696" s="1253">
        <f>_xlfn.SUMIFS('ИП + источники'!AR$27:AR$203,'ИП + источники'!$F$27:$F$203,$F696,'ИП + источники'!$AC$27:$AC$203,"Прибыль на капвложения")</f>
        <v>0</v>
      </c>
      <c r="AR696" s="1253">
        <f>_xlfn.SUMIFS('ИП + источники'!AS$27:AS$203,'ИП + источники'!$F$27:$F$203,$F696,'ИП + источники'!$AC$27:$AC$203,"Прибыль на капвложения")</f>
        <v>0</v>
      </c>
      <c r="AS696" s="1253">
        <f>_xlfn.SUMIFS('ИП + источники'!AT$27:AT$203,'ИП + источники'!$F$27:$F$203,$F696,'ИП + источники'!$AC$27:$AC$203,"Прибыль на капвложения")</f>
        <v>0</v>
      </c>
      <c r="AT696" s="7723">
        <f>_xlfn.SUMIFS('ИП + источники'!AU$27:AU$203,'ИП + источники'!$F$27:$F$203,$F696,'ИП + источники'!$AC$27:$AC$203,"Прибыль на капвложения")</f>
        <v>0</v>
      </c>
      <c r="AU696" s="7723">
        <f>_xlfn.SUMIFS('ИП + источники'!AV$27:AV$203,'ИП + источники'!$F$27:$F$203,$F696,'ИП + источники'!$AC$27:$AC$203,"Прибыль на капвложения")</f>
        <v>0</v>
      </c>
      <c r="AV696" s="7723">
        <f>_xlfn.SUMIFS('ИП + источники'!AW$27:AW$203,'ИП + источники'!$F$27:$F$203,$F696,'ИП + источники'!$AC$27:$AC$203,"Прибыль на капвложения")</f>
        <v>0</v>
      </c>
      <c r="AW696" s="7723">
        <f>_xlfn.SUMIFS('ИП + источники'!AX$27:AX$203,'ИП + источники'!$F$27:$F$203,$F696,'ИП + источники'!$AC$27:$AC$203,"Прибыль на капвложения")</f>
        <v>0</v>
      </c>
      <c r="AX696" s="7723">
        <f>_xlfn.SUMIFS('ИП + источники'!AY$27:AY$203,'ИП + источники'!$F$27:$F$203,$F696,'ИП + источники'!$AC$27:$AC$203,"Прибыль на капвложения")</f>
        <v>0</v>
      </c>
      <c r="AY696" s="1253">
        <f>_xlfn.SUMIFS('ИП + источники'!AZ$27:AZ$203,'ИП + источники'!$F$27:$F$203,$F696,'ИП + источники'!$AC$27:$AC$203,"Прибыль на капвложения")</f>
        <v>0</v>
      </c>
      <c r="AZ696" s="1253">
        <f>_xlfn.SUMIFS('ИП + источники'!BA$27:BA$203,'ИП + источники'!$F$27:$F$203,$F696,'ИП + источники'!$AC$27:$AC$203,"Прибыль на капвложения")</f>
        <v>0</v>
      </c>
      <c r="BA696" s="1253">
        <f>_xlfn.SUMIFS('ИП + источники'!BB$27:BB$203,'ИП + источники'!$F$27:$F$203,$F696,'ИП + источники'!$AC$27:$AC$203,"Прибыль на капвложения")</f>
        <v>0</v>
      </c>
      <c r="BB696" s="1253">
        <f>_xlfn.SUMIFS('ИП + источники'!BC$27:BC$203,'ИП + источники'!$F$27:$F$203,$F696,'ИП + источники'!$AC$27:$AC$203,"Прибыль на капвложения")</f>
        <v>0</v>
      </c>
      <c r="BC696" s="1253">
        <f>_xlfn.SUMIFS('ИП + источники'!BD$27:BD$203,'ИП + источники'!$F$27:$F$203,$F696,'ИП + источники'!$AC$27:$AC$203,"Прибыль на капвложения")</f>
        <v>0</v>
      </c>
      <c r="BD696" s="943">
        <f>IF(AI696=0,0,(AT696-AI696)/AI696*100)</f>
        <v>0</v>
      </c>
      <c r="BE696" s="943">
        <f>IF(AT696=0,0,(AU696-AT696)/AT696*100)</f>
        <v>0</v>
      </c>
      <c r="BF696" s="943">
        <f>IF(AU696=0,0,(AV696-AU696)/AU696*100)</f>
        <v>0</v>
      </c>
      <c r="BG696" s="943">
        <f>IF(AV696=0,0,(AW696-AV696)/AV696*100)</f>
        <v>0</v>
      </c>
      <c r="BH696" s="943">
        <f>IF(AW696=0,0,(AX696-AW696)/AW696*100)</f>
        <v>0</v>
      </c>
      <c r="BI696" s="943">
        <f>IF(AX696=0,0,(AY696-AX696)/AX696*100)</f>
        <v>0</v>
      </c>
      <c r="BJ696" s="943">
        <f>IF(AY696=0,0,(AZ696-AY696)/AY696*100)</f>
        <v>0</v>
      </c>
      <c r="BK696" s="943">
        <f>IF(AZ696=0,0,(BA696-AZ696)/AZ696*100)</f>
        <v>0</v>
      </c>
      <c r="BL696" s="943">
        <f>IF(BA696=0,0,(BB696-BA696)/BA696*100)</f>
        <v>0</v>
      </c>
      <c r="BM696" s="943">
        <f>IF(BB696=0,0,(BC696-BB696)/BB696*100)</f>
        <v>0</v>
      </c>
      <c r="BN696" s="7771"/>
      <c r="BO696" s="7724" t="str">
        <f>IF(_xlfn.IFERROR(INDEX('ИП + источники'!$K$57:$L$203,MATCH($F696&amp;"1komm",'ИП + источники'!$K$57:$K$203,0),2),"")=0,"",_xlfn.IFERROR(INDEX('ИП + источники'!$K$57:$L$203,MATCH($F696&amp;"1komm",'ИП + источники'!$K$57:$K$203,0),2),""))</f>
        <v/>
      </c>
      <c r="BP696" s="7771"/>
      <c r="BQ696" s="1278"/>
      <c r="BR696" s="1278"/>
      <c r="BS696" s="1064" t="s">
        <v>2546</v>
      </c>
      <c r="BT696" s="1064"/>
      <c r="BU696" s="1064"/>
      <c r="BV696" s="979"/>
      <c r="BW696" s="979"/>
    </row>
    <row s="1834" customFormat="1" customHeight="1" ht="21.75">
      <c r="A697" s="1278"/>
      <c r="B697" s="432" cm="1" t="str">
        <f t="array" ref="B697:B697">B696</f>
        <v>true</v>
      </c>
      <c r="C697" s="1278"/>
      <c r="D697" s="1278"/>
      <c r="E697" s="703">
        <v>22.5</v>
      </c>
      <c r="F697" s="50" cm="1" t="str">
        <f t="array" ref="F697:F697">OFFSET(E697,-1,1)</f>
        <v>4</v>
      </c>
      <c r="G697" s="158" t="s">
        <v>2837</v>
      </c>
      <c r="H697" s="1278"/>
      <c r="I697" s="158" t="s">
        <v>1685</v>
      </c>
      <c r="J697" s="1278"/>
      <c r="K697" s="158" t="s">
        <v>1685</v>
      </c>
      <c r="L697" s="980" t="s">
        <v>1286</v>
      </c>
      <c r="M697" s="107"/>
      <c r="N697" s="1278"/>
      <c r="O697" s="1278"/>
      <c r="P697" s="1278"/>
      <c r="Q697" s="1278"/>
      <c r="R697" s="1278"/>
      <c r="S697" s="1278"/>
      <c r="T697" s="465" cm="1" t="str">
        <f t="array" ref="T697:T697">T696</f>
        <v>true</v>
      </c>
      <c r="U697" s="1278"/>
      <c r="V697" s="1278"/>
      <c r="W697" s="1278"/>
      <c r="X697" s="1563"/>
      <c r="Y697" s="1278"/>
      <c r="Z697" s="1546"/>
      <c r="AA697" s="1278"/>
      <c r="AB697" s="299" t="s">
        <v>1686</v>
      </c>
      <c r="AC697" s="762" t="s">
        <v>2838</v>
      </c>
      <c r="AD697" s="300" t="s">
        <v>1514</v>
      </c>
      <c r="AE697" s="7773"/>
      <c r="AF697" s="7773"/>
      <c r="AG697" s="7773"/>
      <c r="AH697" s="943">
        <f>AG697-AF697</f>
        <v>0</v>
      </c>
      <c r="AI697" s="7723"/>
      <c r="AJ697" s="7723"/>
      <c r="AK697" s="7723"/>
      <c r="AL697" s="7723"/>
      <c r="AM697" s="7723"/>
      <c r="AN697" s="7723"/>
      <c r="AO697" s="1253"/>
      <c r="AP697" s="1253"/>
      <c r="AQ697" s="1253"/>
      <c r="AR697" s="1253"/>
      <c r="AS697" s="1253"/>
      <c r="AT697" s="7723"/>
      <c r="AU697" s="7723"/>
      <c r="AV697" s="7723"/>
      <c r="AW697" s="7723"/>
      <c r="AX697" s="7723"/>
      <c r="AY697" s="1253"/>
      <c r="AZ697" s="1253"/>
      <c r="BA697" s="1253"/>
      <c r="BB697" s="1253"/>
      <c r="BC697" s="1253"/>
      <c r="BD697" s="943">
        <f>IF(AI697=0,0,(AT697-AI697)/AI697*100)</f>
        <v>0</v>
      </c>
      <c r="BE697" s="943">
        <f>IF(AT697=0,0,(AU697-AT697)/AT697*100)</f>
        <v>0</v>
      </c>
      <c r="BF697" s="943">
        <f>IF(AU697=0,0,(AV697-AU697)/AU697*100)</f>
        <v>0</v>
      </c>
      <c r="BG697" s="943">
        <f>IF(AV697=0,0,(AW697-AV697)/AV697*100)</f>
        <v>0</v>
      </c>
      <c r="BH697" s="943">
        <f>IF(AW697=0,0,(AX697-AW697)/AW697*100)</f>
        <v>0</v>
      </c>
      <c r="BI697" s="943">
        <f>IF(AX697=0,0,(AY697-AX697)/AX697*100)</f>
        <v>0</v>
      </c>
      <c r="BJ697" s="943">
        <f>IF(AY697=0,0,(AZ697-AY697)/AY697*100)</f>
        <v>0</v>
      </c>
      <c r="BK697" s="943">
        <f>IF(AZ697=0,0,(BA697-AZ697)/AZ697*100)</f>
        <v>0</v>
      </c>
      <c r="BL697" s="943">
        <f>IF(BA697=0,0,(BB697-BA697)/BA697*100)</f>
        <v>0</v>
      </c>
      <c r="BM697" s="943">
        <f>IF(BB697=0,0,(BC697-BB697)/BB697*100)</f>
        <v>0</v>
      </c>
      <c r="BN697" s="7771"/>
      <c r="BO697" s="7771"/>
      <c r="BP697" s="7771"/>
      <c r="BQ697" s="1278"/>
      <c r="BR697" s="1278"/>
      <c r="BS697" s="1064" t="s">
        <v>2839</v>
      </c>
      <c r="BT697" s="1064"/>
      <c r="BU697" s="1064"/>
      <c r="BV697" s="979"/>
      <c r="BW697" s="979"/>
    </row>
    <row s="1834" customFormat="1" customHeight="1" ht="14.25">
      <c r="A698" s="1278"/>
      <c r="B698" s="432">
        <f>AND(method_reg="Метод индексации",STATUS_GO="да")</f>
        <v>1</v>
      </c>
      <c r="C698" s="1278"/>
      <c r="D698" s="1278"/>
      <c r="E698" s="703">
        <v>15</v>
      </c>
      <c r="F698" s="50" cm="1" t="str">
        <f t="array" ref="F698:F698">OFFSET(E698,-1,1)</f>
        <v>4</v>
      </c>
      <c r="G698" s="158" t="s">
        <v>2549</v>
      </c>
      <c r="H698" s="1278"/>
      <c r="I698" s="158" t="s">
        <v>1225</v>
      </c>
      <c r="J698" s="1278"/>
      <c r="K698" s="158" t="s">
        <v>1225</v>
      </c>
      <c r="L698" s="980" t="s">
        <v>1290</v>
      </c>
      <c r="M698" s="107"/>
      <c r="N698" s="1278"/>
      <c r="O698" s="1278"/>
      <c r="P698" s="1278"/>
      <c r="Q698" s="1278"/>
      <c r="R698" s="1278"/>
      <c r="S698" s="1278"/>
      <c r="T698" s="465" cm="1" t="str">
        <f t="array" ref="T698:T698">T697</f>
        <v>true</v>
      </c>
      <c r="U698" s="1278"/>
      <c r="V698" s="1278"/>
      <c r="W698" s="1278"/>
      <c r="X698" s="1563"/>
      <c r="Y698" s="1278"/>
      <c r="Z698" s="1546"/>
      <c r="AA698" s="1278"/>
      <c r="AB698" s="299" t="s">
        <v>446</v>
      </c>
      <c r="AC698" s="452" t="s">
        <v>2549</v>
      </c>
      <c r="AD698" s="300" t="s">
        <v>1514</v>
      </c>
      <c r="AE698" s="7773"/>
      <c r="AF698" s="7773"/>
      <c r="AG698" s="7773"/>
      <c r="AH698" s="943">
        <f>AG698-AF698</f>
        <v>0</v>
      </c>
      <c r="AI698" s="7723"/>
      <c r="AJ698" s="7723"/>
      <c r="AK698" s="7723"/>
      <c r="AL698" s="7723"/>
      <c r="AM698" s="7723"/>
      <c r="AN698" s="7723"/>
      <c r="AO698" s="1253"/>
      <c r="AP698" s="1253"/>
      <c r="AQ698" s="1253"/>
      <c r="AR698" s="1253"/>
      <c r="AS698" s="1253"/>
      <c r="AT698" s="7723"/>
      <c r="AU698" s="7723"/>
      <c r="AV698" s="7723"/>
      <c r="AW698" s="7723"/>
      <c r="AX698" s="7723"/>
      <c r="AY698" s="1253"/>
      <c r="AZ698" s="1253"/>
      <c r="BA698" s="1253"/>
      <c r="BB698" s="1253"/>
      <c r="BC698" s="1253"/>
      <c r="BD698" s="943">
        <f>IF(AI698=0,0,(AT698-AI698)/AI698*100)</f>
        <v>0</v>
      </c>
      <c r="BE698" s="943">
        <f>IF(AT698=0,0,(AU698-AT698)/AT698*100)</f>
        <v>0</v>
      </c>
      <c r="BF698" s="943">
        <f>IF(AU698=0,0,(AV698-AU698)/AU698*100)</f>
        <v>0</v>
      </c>
      <c r="BG698" s="943">
        <f>IF(AV698=0,0,(AW698-AV698)/AV698*100)</f>
        <v>0</v>
      </c>
      <c r="BH698" s="943">
        <f>IF(AW698=0,0,(AX698-AW698)/AW698*100)</f>
        <v>0</v>
      </c>
      <c r="BI698" s="943">
        <f>IF(AX698=0,0,(AY698-AX698)/AX698*100)</f>
        <v>0</v>
      </c>
      <c r="BJ698" s="943">
        <f>IF(AY698=0,0,(AZ698-AY698)/AY698*100)</f>
        <v>0</v>
      </c>
      <c r="BK698" s="943">
        <f>IF(AZ698=0,0,(BA698-AZ698)/AZ698*100)</f>
        <v>0</v>
      </c>
      <c r="BL698" s="943">
        <f>IF(BA698=0,0,(BB698-BA698)/BA698*100)</f>
        <v>0</v>
      </c>
      <c r="BM698" s="943">
        <f>IF(BB698=0,0,(BC698-BB698)/BB698*100)</f>
        <v>0</v>
      </c>
      <c r="BN698" s="7771"/>
      <c r="BO698" s="7771"/>
      <c r="BP698" s="7771"/>
      <c r="BQ698" s="1278"/>
      <c r="BR698" s="1278"/>
      <c r="BS698" s="1064" t="s">
        <v>2550</v>
      </c>
      <c r="BT698" s="1064"/>
      <c r="BU698" s="1064"/>
      <c r="BV698" s="979"/>
      <c r="BW698" s="979"/>
    </row>
    <row s="1834" customFormat="1" customHeight="1" ht="14.25" hidden="1">
      <c r="A699" s="1278"/>
      <c r="B699" s="975">
        <f>method_reg="Метод обеспечения доходности инвестированного капитала"</f>
        <v>0</v>
      </c>
      <c r="C699" s="1278"/>
      <c r="D699" s="1278"/>
      <c r="E699" s="703">
        <v>15</v>
      </c>
      <c r="F699" s="50" cm="1" t="str">
        <f t="array" ref="F699:F699">OFFSET(E699,-1,1)</f>
        <v>4</v>
      </c>
      <c r="G699" s="1278"/>
      <c r="H699" s="1278"/>
      <c r="I699" s="1278"/>
      <c r="J699" s="1278"/>
      <c r="K699" s="107" t="s">
        <v>336</v>
      </c>
      <c r="L699" s="980"/>
      <c r="M699" s="107"/>
      <c r="N699" s="1278"/>
      <c r="O699" s="1278"/>
      <c r="P699" s="1278"/>
      <c r="Q699" s="1278"/>
      <c r="R699" s="1278"/>
      <c r="S699" s="1278"/>
      <c r="T699" s="465" cm="1" t="str">
        <f t="array" ref="T699:T699">T698</f>
        <v>true</v>
      </c>
      <c r="U699" s="1278"/>
      <c r="V699" s="1278"/>
      <c r="W699" s="1278"/>
      <c r="X699" s="1563"/>
      <c r="Y699" s="1278"/>
      <c r="Z699" s="1546"/>
      <c r="AA699" s="1278"/>
      <c r="AB699" s="792" t="s">
        <v>295</v>
      </c>
      <c r="AC699" s="793" t="s">
        <v>2840</v>
      </c>
      <c r="AD699" s="794" t="s">
        <v>1514</v>
      </c>
      <c r="AE699" s="1246"/>
      <c r="AF699" s="1246"/>
      <c r="AG699" s="1246"/>
      <c r="AH699" s="761">
        <f>AG699-AF699</f>
        <v>0</v>
      </c>
      <c r="AI699" s="1246"/>
      <c r="AJ699" s="1246"/>
      <c r="AK699" s="1246"/>
      <c r="AL699" s="1246"/>
      <c r="AM699" s="1246"/>
      <c r="AN699" s="1246"/>
      <c r="AO699" s="1246"/>
      <c r="AP699" s="1246"/>
      <c r="AQ699" s="1246"/>
      <c r="AR699" s="1246"/>
      <c r="AS699" s="1246"/>
      <c r="AT699" s="1246"/>
      <c r="AU699" s="1246"/>
      <c r="AV699" s="1246"/>
      <c r="AW699" s="1246"/>
      <c r="AX699" s="1246"/>
      <c r="AY699" s="1246"/>
      <c r="AZ699" s="1246"/>
      <c r="BA699" s="1246"/>
      <c r="BB699" s="1246"/>
      <c r="BC699" s="1246"/>
      <c r="BD699" s="761">
        <f>IF(AI699=0,0,(AT699-AI699)/AI699*100)</f>
        <v>0</v>
      </c>
      <c r="BE699" s="761">
        <f>IF(AT699=0,0,(AU699-AT699)/AT699*100)</f>
        <v>0</v>
      </c>
      <c r="BF699" s="761">
        <f>IF(AU699=0,0,(AV699-AU699)/AU699*100)</f>
        <v>0</v>
      </c>
      <c r="BG699" s="761">
        <f>IF(AV699=0,0,(AW699-AV699)/AV699*100)</f>
        <v>0</v>
      </c>
      <c r="BH699" s="761">
        <f>IF(AW699=0,0,(AX699-AW699)/AW699*100)</f>
        <v>0</v>
      </c>
      <c r="BI699" s="761">
        <f>IF(AX699=0,0,(AY699-AX699)/AX699*100)</f>
        <v>0</v>
      </c>
      <c r="BJ699" s="761">
        <f>IF(AY699=0,0,(AZ699-AY699)/AY699*100)</f>
        <v>0</v>
      </c>
      <c r="BK699" s="761">
        <f>IF(AZ699=0,0,(BA699-AZ699)/AZ699*100)</f>
        <v>0</v>
      </c>
      <c r="BL699" s="761">
        <f>IF(BA699=0,0,(BB699-BA699)/BA699*100)</f>
        <v>0</v>
      </c>
      <c r="BM699" s="761">
        <f>IF(BB699=0,0,(BC699-BB699)/BB699*100)</f>
        <v>0</v>
      </c>
      <c r="BN699" s="1247"/>
      <c r="BO699" s="1247"/>
      <c r="BP699" s="1247"/>
      <c r="BQ699" s="1278"/>
      <c r="BR699" s="1278"/>
      <c r="BS699" s="1064" t="s">
        <v>2841</v>
      </c>
      <c r="BT699" s="1064"/>
      <c r="BU699" s="1064"/>
      <c r="BV699" s="979"/>
      <c r="BW699" s="979"/>
    </row>
    <row s="1834" customFormat="1" customHeight="1" ht="14.25" hidden="1">
      <c r="A700" s="1278"/>
      <c r="B700" s="975" cm="1" t="str">
        <f t="array" ref="B700:B700">B699</f>
        <v>false</v>
      </c>
      <c r="C700" s="1278"/>
      <c r="D700" s="1278"/>
      <c r="E700" s="703">
        <v>15</v>
      </c>
      <c r="F700" s="50" cm="1" t="str">
        <f t="array" ref="F700:F700">OFFSET(E700,-1,1)</f>
        <v>4</v>
      </c>
      <c r="G700" s="1278"/>
      <c r="H700" s="1278"/>
      <c r="I700" s="1278"/>
      <c r="J700" s="1278"/>
      <c r="K700" s="107" t="s">
        <v>1249</v>
      </c>
      <c r="L700" s="980"/>
      <c r="M700" s="107"/>
      <c r="N700" s="1278"/>
      <c r="O700" s="1278"/>
      <c r="P700" s="1278"/>
      <c r="Q700" s="1278"/>
      <c r="R700" s="1278"/>
      <c r="S700" s="1278"/>
      <c r="T700" s="465" cm="1" t="str">
        <f t="array" ref="T700:T700">T699</f>
        <v>true</v>
      </c>
      <c r="U700" s="1278"/>
      <c r="V700" s="1278"/>
      <c r="W700" s="1278"/>
      <c r="X700" s="1563"/>
      <c r="Y700" s="1278"/>
      <c r="Z700" s="1546"/>
      <c r="AA700" s="1278"/>
      <c r="AB700" s="795" t="s">
        <v>1384</v>
      </c>
      <c r="AC700" s="796" t="s">
        <v>2842</v>
      </c>
      <c r="AD700" s="797" t="s">
        <v>1514</v>
      </c>
      <c r="AE700" s="1253"/>
      <c r="AF700" s="1253"/>
      <c r="AG700" s="1253"/>
      <c r="AH700" s="942"/>
      <c r="AI700" s="1253"/>
      <c r="AJ700" s="1253"/>
      <c r="AK700" s="1253"/>
      <c r="AL700" s="1253"/>
      <c r="AM700" s="1253"/>
      <c r="AN700" s="1253"/>
      <c r="AO700" s="1253"/>
      <c r="AP700" s="1253"/>
      <c r="AQ700" s="1253"/>
      <c r="AR700" s="1253"/>
      <c r="AS700" s="1253"/>
      <c r="AT700" s="1253"/>
      <c r="AU700" s="1253"/>
      <c r="AV700" s="1253"/>
      <c r="AW700" s="1253"/>
      <c r="AX700" s="1253"/>
      <c r="AY700" s="1253"/>
      <c r="AZ700" s="1253"/>
      <c r="BA700" s="1253"/>
      <c r="BB700" s="1253"/>
      <c r="BC700" s="1253"/>
      <c r="BD700" s="942"/>
      <c r="BE700" s="942"/>
      <c r="BF700" s="942"/>
      <c r="BG700" s="942"/>
      <c r="BH700" s="942"/>
      <c r="BI700" s="942"/>
      <c r="BJ700" s="942"/>
      <c r="BK700" s="942"/>
      <c r="BL700" s="942"/>
      <c r="BM700" s="942"/>
      <c r="BN700" s="1251"/>
      <c r="BO700" s="1251"/>
      <c r="BP700" s="1251"/>
      <c r="BQ700" s="1278"/>
      <c r="BR700" s="1278"/>
      <c r="BS700" s="1064" t="s">
        <v>2843</v>
      </c>
      <c r="BT700" s="1064"/>
      <c r="BU700" s="1064"/>
      <c r="BV700" s="979"/>
      <c r="BW700" s="979"/>
    </row>
    <row s="1834" customFormat="1" customHeight="1" ht="14.25" hidden="1">
      <c r="A701" s="1278"/>
      <c r="B701" s="975" cm="1" t="str">
        <f t="array" ref="B701:B701">B700</f>
        <v>false</v>
      </c>
      <c r="C701" s="1278"/>
      <c r="D701" s="1278"/>
      <c r="E701" s="703">
        <v>15</v>
      </c>
      <c r="F701" s="50" cm="1" t="str">
        <f t="array" ref="F701:F701">OFFSET(E701,-1,1)</f>
        <v>4</v>
      </c>
      <c r="G701" s="1278"/>
      <c r="H701" s="1278"/>
      <c r="I701" s="1278"/>
      <c r="J701" s="1278"/>
      <c r="K701" s="107" t="s">
        <v>1253</v>
      </c>
      <c r="L701" s="980"/>
      <c r="M701" s="107"/>
      <c r="N701" s="1278"/>
      <c r="O701" s="1278"/>
      <c r="P701" s="1278"/>
      <c r="Q701" s="1278"/>
      <c r="R701" s="1278"/>
      <c r="S701" s="1278"/>
      <c r="T701" s="465" cm="1" t="str">
        <f t="array" ref="T701:T701">T700</f>
        <v>true</v>
      </c>
      <c r="U701" s="1278"/>
      <c r="V701" s="1278"/>
      <c r="W701" s="1278"/>
      <c r="X701" s="1563"/>
      <c r="Y701" s="1278"/>
      <c r="Z701" s="1546"/>
      <c r="AA701" s="1278"/>
      <c r="AB701" s="795" t="s">
        <v>1387</v>
      </c>
      <c r="AC701" s="796" t="s">
        <v>2844</v>
      </c>
      <c r="AD701" s="797" t="s">
        <v>2845</v>
      </c>
      <c r="AE701" s="1253"/>
      <c r="AF701" s="1253"/>
      <c r="AG701" s="1253"/>
      <c r="AH701" s="942"/>
      <c r="AI701" s="1253"/>
      <c r="AJ701" s="1253"/>
      <c r="AK701" s="1253"/>
      <c r="AL701" s="1253"/>
      <c r="AM701" s="1253"/>
      <c r="AN701" s="1253"/>
      <c r="AO701" s="1253"/>
      <c r="AP701" s="1253"/>
      <c r="AQ701" s="1253"/>
      <c r="AR701" s="1253"/>
      <c r="AS701" s="1253"/>
      <c r="AT701" s="1253"/>
      <c r="AU701" s="1253"/>
      <c r="AV701" s="1253"/>
      <c r="AW701" s="1253"/>
      <c r="AX701" s="1253"/>
      <c r="AY701" s="1253"/>
      <c r="AZ701" s="1253"/>
      <c r="BA701" s="1253"/>
      <c r="BB701" s="1253"/>
      <c r="BC701" s="1253"/>
      <c r="BD701" s="942"/>
      <c r="BE701" s="942"/>
      <c r="BF701" s="942"/>
      <c r="BG701" s="942"/>
      <c r="BH701" s="942"/>
      <c r="BI701" s="942"/>
      <c r="BJ701" s="942"/>
      <c r="BK701" s="942"/>
      <c r="BL701" s="942"/>
      <c r="BM701" s="942"/>
      <c r="BN701" s="1251"/>
      <c r="BO701" s="1251"/>
      <c r="BP701" s="1251"/>
      <c r="BQ701" s="1278"/>
      <c r="BR701" s="1278"/>
      <c r="BS701" s="1064" t="s">
        <v>2846</v>
      </c>
      <c r="BT701" s="1064"/>
      <c r="BU701" s="1064"/>
      <c r="BV701" s="979"/>
      <c r="BW701" s="979"/>
    </row>
    <row s="1834" customFormat="1" customHeight="1" ht="14.25" hidden="1">
      <c r="A702" s="1278"/>
      <c r="B702" s="975" cm="1" t="str">
        <f t="array" ref="B702:B702">B701</f>
        <v>false</v>
      </c>
      <c r="C702" s="1278"/>
      <c r="D702" s="1278"/>
      <c r="E702" s="703">
        <v>15</v>
      </c>
      <c r="F702" s="50" cm="1" t="str">
        <f t="array" ref="F702:F702">OFFSET(E702,-1,1)</f>
        <v>4</v>
      </c>
      <c r="G702" s="1278"/>
      <c r="H702" s="1278"/>
      <c r="I702" s="1278"/>
      <c r="J702" s="1278"/>
      <c r="K702" s="107" t="s">
        <v>335</v>
      </c>
      <c r="L702" s="980"/>
      <c r="M702" s="107"/>
      <c r="N702" s="1278"/>
      <c r="O702" s="1278"/>
      <c r="P702" s="1278"/>
      <c r="Q702" s="1278"/>
      <c r="R702" s="1278"/>
      <c r="S702" s="1278"/>
      <c r="T702" s="465" cm="1" t="str">
        <f t="array" ref="T702:T702">T701</f>
        <v>true</v>
      </c>
      <c r="U702" s="1278"/>
      <c r="V702" s="1278"/>
      <c r="W702" s="1278"/>
      <c r="X702" s="1563"/>
      <c r="Y702" s="1278"/>
      <c r="Z702" s="1546"/>
      <c r="AA702" s="1278"/>
      <c r="AB702" s="792" t="s">
        <v>443</v>
      </c>
      <c r="AC702" s="793" t="s">
        <v>2847</v>
      </c>
      <c r="AD702" s="794" t="s">
        <v>1514</v>
      </c>
      <c r="AE702" s="1246"/>
      <c r="AF702" s="1246"/>
      <c r="AG702" s="1246"/>
      <c r="AH702" s="761">
        <f>AG702-AF702</f>
        <v>0</v>
      </c>
      <c r="AI702" s="1246"/>
      <c r="AJ702" s="1246"/>
      <c r="AK702" s="1246"/>
      <c r="AL702" s="1246"/>
      <c r="AM702" s="1246"/>
      <c r="AN702" s="1246"/>
      <c r="AO702" s="1246"/>
      <c r="AP702" s="1246"/>
      <c r="AQ702" s="1246"/>
      <c r="AR702" s="1246"/>
      <c r="AS702" s="1246"/>
      <c r="AT702" s="1246"/>
      <c r="AU702" s="1246"/>
      <c r="AV702" s="1246"/>
      <c r="AW702" s="1246"/>
      <c r="AX702" s="1246"/>
      <c r="AY702" s="1246"/>
      <c r="AZ702" s="1246"/>
      <c r="BA702" s="1246"/>
      <c r="BB702" s="1246"/>
      <c r="BC702" s="1246"/>
      <c r="BD702" s="761">
        <f>IF(AI702=0,0,(AT702-AI702)/AI702*100)</f>
        <v>0</v>
      </c>
      <c r="BE702" s="761">
        <f>IF(AT702=0,0,(AU702-AT702)/AT702*100)</f>
        <v>0</v>
      </c>
      <c r="BF702" s="761">
        <f>IF(AU702=0,0,(AV702-AU702)/AU702*100)</f>
        <v>0</v>
      </c>
      <c r="BG702" s="761">
        <f>IF(AV702=0,0,(AW702-AV702)/AV702*100)</f>
        <v>0</v>
      </c>
      <c r="BH702" s="761">
        <f>IF(AW702=0,0,(AX702-AW702)/AW702*100)</f>
        <v>0</v>
      </c>
      <c r="BI702" s="761">
        <f>IF(AX702=0,0,(AY702-AX702)/AX702*100)</f>
        <v>0</v>
      </c>
      <c r="BJ702" s="761">
        <f>IF(AY702=0,0,(AZ702-AY702)/AY702*100)</f>
        <v>0</v>
      </c>
      <c r="BK702" s="761">
        <f>IF(AZ702=0,0,(BA702-AZ702)/AZ702*100)</f>
        <v>0</v>
      </c>
      <c r="BL702" s="761">
        <f>IF(BA702=0,0,(BB702-BA702)/BA702*100)</f>
        <v>0</v>
      </c>
      <c r="BM702" s="761">
        <f>IF(BB702=0,0,(BC702-BB702)/BB702*100)</f>
        <v>0</v>
      </c>
      <c r="BN702" s="1247"/>
      <c r="BO702" s="1247"/>
      <c r="BP702" s="1247"/>
      <c r="BQ702" s="1278"/>
      <c r="BR702" s="1278"/>
      <c r="BS702" s="1064" t="s">
        <v>2848</v>
      </c>
      <c r="BT702" s="1064"/>
      <c r="BU702" s="1064"/>
      <c r="BV702" s="979"/>
      <c r="BW702" s="979"/>
    </row>
    <row s="1834" customFormat="1" customHeight="1" ht="14.25" hidden="1">
      <c r="A703" s="1278"/>
      <c r="B703" s="975" cm="1" t="str">
        <f t="array" ref="B703:B703">B702</f>
        <v>false</v>
      </c>
      <c r="C703" s="1278"/>
      <c r="D703" s="1278"/>
      <c r="E703" s="703">
        <v>15</v>
      </c>
      <c r="F703" s="50" cm="1" t="str">
        <f t="array" ref="F703:F703">OFFSET(E703,-1,1)</f>
        <v>4</v>
      </c>
      <c r="G703" s="1278"/>
      <c r="H703" s="1278"/>
      <c r="I703" s="1278"/>
      <c r="J703" s="1278"/>
      <c r="K703" s="107" t="s">
        <v>1263</v>
      </c>
      <c r="L703" s="980"/>
      <c r="M703" s="107"/>
      <c r="N703" s="1278"/>
      <c r="O703" s="1278"/>
      <c r="P703" s="1278"/>
      <c r="Q703" s="1278"/>
      <c r="R703" s="1278"/>
      <c r="S703" s="1278"/>
      <c r="T703" s="465" cm="1" t="str">
        <f t="array" ref="T703:T703">T702</f>
        <v>true</v>
      </c>
      <c r="U703" s="1278"/>
      <c r="V703" s="1278"/>
      <c r="W703" s="1278"/>
      <c r="X703" s="1563"/>
      <c r="Y703" s="1278"/>
      <c r="Z703" s="1546"/>
      <c r="AA703" s="1278"/>
      <c r="AB703" s="795" t="s">
        <v>1391</v>
      </c>
      <c r="AC703" s="796" t="s">
        <v>2849</v>
      </c>
      <c r="AD703" s="797" t="s">
        <v>1514</v>
      </c>
      <c r="AE703" s="1253"/>
      <c r="AF703" s="1253"/>
      <c r="AG703" s="1253"/>
      <c r="AH703" s="942"/>
      <c r="AI703" s="1253"/>
      <c r="AJ703" s="1253"/>
      <c r="AK703" s="1253"/>
      <c r="AL703" s="1253"/>
      <c r="AM703" s="1253"/>
      <c r="AN703" s="1253"/>
      <c r="AO703" s="1253"/>
      <c r="AP703" s="1253"/>
      <c r="AQ703" s="1253"/>
      <c r="AR703" s="1253"/>
      <c r="AS703" s="1253"/>
      <c r="AT703" s="1253"/>
      <c r="AU703" s="1253"/>
      <c r="AV703" s="1253"/>
      <c r="AW703" s="1253"/>
      <c r="AX703" s="1253"/>
      <c r="AY703" s="1253"/>
      <c r="AZ703" s="1253"/>
      <c r="BA703" s="1253"/>
      <c r="BB703" s="1253"/>
      <c r="BC703" s="1253"/>
      <c r="BD703" s="942"/>
      <c r="BE703" s="942"/>
      <c r="BF703" s="942"/>
      <c r="BG703" s="942"/>
      <c r="BH703" s="942"/>
      <c r="BI703" s="942"/>
      <c r="BJ703" s="942"/>
      <c r="BK703" s="942"/>
      <c r="BL703" s="942"/>
      <c r="BM703" s="942"/>
      <c r="BN703" s="1251"/>
      <c r="BO703" s="1251"/>
      <c r="BP703" s="1251"/>
      <c r="BQ703" s="1278"/>
      <c r="BR703" s="1278"/>
      <c r="BS703" s="1064" t="s">
        <v>2850</v>
      </c>
      <c r="BT703" s="1064"/>
      <c r="BU703" s="1064"/>
      <c r="BV703" s="979"/>
      <c r="BW703" s="979"/>
    </row>
    <row s="1834" customFormat="1" customHeight="1" ht="14.25" hidden="1">
      <c r="A704" s="1278"/>
      <c r="B704" s="975" cm="1" t="str">
        <f t="array" ref="B704:B704">B703</f>
        <v>false</v>
      </c>
      <c r="C704" s="1278"/>
      <c r="D704" s="1278"/>
      <c r="E704" s="703">
        <v>15</v>
      </c>
      <c r="F704" s="50" cm="1" t="str">
        <f t="array" ref="F704:F704">OFFSET(E704,-1,1)</f>
        <v>4</v>
      </c>
      <c r="G704" s="1278"/>
      <c r="H704" s="1278"/>
      <c r="I704" s="1278"/>
      <c r="J704" s="1278"/>
      <c r="K704" s="107" t="s">
        <v>1267</v>
      </c>
      <c r="L704" s="980"/>
      <c r="M704" s="107"/>
      <c r="N704" s="1278"/>
      <c r="O704" s="1278"/>
      <c r="P704" s="1278"/>
      <c r="Q704" s="1278"/>
      <c r="R704" s="1278"/>
      <c r="S704" s="1278"/>
      <c r="T704" s="465" cm="1" t="str">
        <f t="array" ref="T704:T704">T703</f>
        <v>true</v>
      </c>
      <c r="U704" s="1278"/>
      <c r="V704" s="1278"/>
      <c r="W704" s="1278"/>
      <c r="X704" s="1563"/>
      <c r="Y704" s="1278"/>
      <c r="Z704" s="1546"/>
      <c r="AA704" s="1278"/>
      <c r="AB704" s="795" t="s">
        <v>1394</v>
      </c>
      <c r="AC704" s="796" t="s">
        <v>2851</v>
      </c>
      <c r="AD704" s="797" t="s">
        <v>1170</v>
      </c>
      <c r="AE704" s="1253"/>
      <c r="AF704" s="1253"/>
      <c r="AG704" s="1253"/>
      <c r="AH704" s="942"/>
      <c r="AI704" s="1253"/>
      <c r="AJ704" s="1253"/>
      <c r="AK704" s="1253"/>
      <c r="AL704" s="1253"/>
      <c r="AM704" s="1253"/>
      <c r="AN704" s="1253"/>
      <c r="AO704" s="1253"/>
      <c r="AP704" s="1253"/>
      <c r="AQ704" s="1253"/>
      <c r="AR704" s="1253"/>
      <c r="AS704" s="1253"/>
      <c r="AT704" s="1253"/>
      <c r="AU704" s="1253"/>
      <c r="AV704" s="1253"/>
      <c r="AW704" s="1253"/>
      <c r="AX704" s="1253"/>
      <c r="AY704" s="1253"/>
      <c r="AZ704" s="1253"/>
      <c r="BA704" s="1253"/>
      <c r="BB704" s="1253"/>
      <c r="BC704" s="1253"/>
      <c r="BD704" s="942"/>
      <c r="BE704" s="942"/>
      <c r="BF704" s="942"/>
      <c r="BG704" s="942"/>
      <c r="BH704" s="942"/>
      <c r="BI704" s="942"/>
      <c r="BJ704" s="942"/>
      <c r="BK704" s="942"/>
      <c r="BL704" s="942"/>
      <c r="BM704" s="942"/>
      <c r="BN704" s="1251"/>
      <c r="BO704" s="1251"/>
      <c r="BP704" s="1251"/>
      <c r="BQ704" s="1278"/>
      <c r="BR704" s="1278"/>
      <c r="BS704" s="1064" t="s">
        <v>2852</v>
      </c>
      <c r="BT704" s="1064"/>
      <c r="BU704" s="1064"/>
      <c r="BV704" s="979"/>
      <c r="BW704" s="979"/>
    </row>
    <row s="1834" customFormat="1" customHeight="1" ht="14.25" hidden="1">
      <c r="A705" s="1278"/>
      <c r="B705" s="975" cm="1" t="str">
        <f t="array" ref="B705:B705">B704</f>
        <v>false</v>
      </c>
      <c r="C705" s="1278"/>
      <c r="D705" s="1278"/>
      <c r="E705" s="703">
        <v>15</v>
      </c>
      <c r="F705" s="50" cm="1" t="str">
        <f t="array" ref="F705:F705">OFFSET(E705,-1,1)</f>
        <v>4</v>
      </c>
      <c r="G705" s="1278"/>
      <c r="H705" s="1278"/>
      <c r="I705" s="1278"/>
      <c r="J705" s="1278"/>
      <c r="K705" s="107" t="s">
        <v>1479</v>
      </c>
      <c r="L705" s="980"/>
      <c r="M705" s="107"/>
      <c r="N705" s="1278"/>
      <c r="O705" s="1278"/>
      <c r="P705" s="1278"/>
      <c r="Q705" s="1278"/>
      <c r="R705" s="1278"/>
      <c r="S705" s="1278"/>
      <c r="T705" s="465" cm="1" t="str">
        <f t="array" ref="T705:T705">T704</f>
        <v>true</v>
      </c>
      <c r="U705" s="1278"/>
      <c r="V705" s="1278"/>
      <c r="W705" s="1278"/>
      <c r="X705" s="1563"/>
      <c r="Y705" s="1278"/>
      <c r="Z705" s="1546"/>
      <c r="AA705" s="1278"/>
      <c r="AB705" s="795" t="s">
        <v>1683</v>
      </c>
      <c r="AC705" s="796" t="s">
        <v>2853</v>
      </c>
      <c r="AD705" s="797" t="s">
        <v>1514</v>
      </c>
      <c r="AE705" s="1253"/>
      <c r="AF705" s="1253"/>
      <c r="AG705" s="1253"/>
      <c r="AH705" s="942"/>
      <c r="AI705" s="1253"/>
      <c r="AJ705" s="1253"/>
      <c r="AK705" s="1253"/>
      <c r="AL705" s="1253"/>
      <c r="AM705" s="1253"/>
      <c r="AN705" s="1253"/>
      <c r="AO705" s="1253"/>
      <c r="AP705" s="1253"/>
      <c r="AQ705" s="1253"/>
      <c r="AR705" s="1253"/>
      <c r="AS705" s="1253"/>
      <c r="AT705" s="1253"/>
      <c r="AU705" s="1253"/>
      <c r="AV705" s="1253"/>
      <c r="AW705" s="1253"/>
      <c r="AX705" s="1253"/>
      <c r="AY705" s="1253"/>
      <c r="AZ705" s="1253"/>
      <c r="BA705" s="1253"/>
      <c r="BB705" s="1253"/>
      <c r="BC705" s="1253"/>
      <c r="BD705" s="942"/>
      <c r="BE705" s="942"/>
      <c r="BF705" s="942"/>
      <c r="BG705" s="942"/>
      <c r="BH705" s="942"/>
      <c r="BI705" s="942"/>
      <c r="BJ705" s="942"/>
      <c r="BK705" s="942"/>
      <c r="BL705" s="942"/>
      <c r="BM705" s="942"/>
      <c r="BN705" s="1251"/>
      <c r="BO705" s="1251"/>
      <c r="BP705" s="1251"/>
      <c r="BQ705" s="1278"/>
      <c r="BR705" s="1278"/>
      <c r="BS705" s="1064" t="s">
        <v>2854</v>
      </c>
      <c r="BT705" s="1064"/>
      <c r="BU705" s="1064"/>
      <c r="BV705" s="979"/>
      <c r="BW705" s="979"/>
    </row>
    <row s="1834" customFormat="1" customHeight="1" ht="14.25" hidden="1">
      <c r="A706" s="1278"/>
      <c r="B706" s="975" cm="1" t="str">
        <f t="array" ref="B706:B706">B705</f>
        <v>false</v>
      </c>
      <c r="C706" s="1278"/>
      <c r="D706" s="1278"/>
      <c r="E706" s="703">
        <v>15</v>
      </c>
      <c r="F706" s="50" cm="1" t="str">
        <f t="array" ref="F706:F706">OFFSET(E706,-1,1)</f>
        <v>4</v>
      </c>
      <c r="G706" s="1278"/>
      <c r="H706" s="1278"/>
      <c r="I706" s="1278"/>
      <c r="J706" s="1278"/>
      <c r="K706" s="107" t="s">
        <v>1685</v>
      </c>
      <c r="L706" s="980"/>
      <c r="M706" s="107"/>
      <c r="N706" s="1278"/>
      <c r="O706" s="1278"/>
      <c r="P706" s="1278"/>
      <c r="Q706" s="1278"/>
      <c r="R706" s="1278"/>
      <c r="S706" s="1278"/>
      <c r="T706" s="465" cm="1" t="str">
        <f t="array" ref="T706:T706">T705</f>
        <v>true</v>
      </c>
      <c r="U706" s="1278"/>
      <c r="V706" s="1278"/>
      <c r="W706" s="1278"/>
      <c r="X706" s="1563"/>
      <c r="Y706" s="1278"/>
      <c r="Z706" s="1546"/>
      <c r="AA706" s="1278"/>
      <c r="AB706" s="795" t="s">
        <v>1686</v>
      </c>
      <c r="AC706" s="796" t="s">
        <v>2855</v>
      </c>
      <c r="AD706" s="797" t="s">
        <v>1514</v>
      </c>
      <c r="AE706" s="1253"/>
      <c r="AF706" s="1253"/>
      <c r="AG706" s="1253"/>
      <c r="AH706" s="942"/>
      <c r="AI706" s="1253"/>
      <c r="AJ706" s="1253"/>
      <c r="AK706" s="1253"/>
      <c r="AL706" s="1253"/>
      <c r="AM706" s="1253"/>
      <c r="AN706" s="1253"/>
      <c r="AO706" s="1253"/>
      <c r="AP706" s="1253"/>
      <c r="AQ706" s="1253"/>
      <c r="AR706" s="1253"/>
      <c r="AS706" s="1253"/>
      <c r="AT706" s="1253"/>
      <c r="AU706" s="1253"/>
      <c r="AV706" s="1253"/>
      <c r="AW706" s="1253"/>
      <c r="AX706" s="1253"/>
      <c r="AY706" s="1253"/>
      <c r="AZ706" s="1253"/>
      <c r="BA706" s="1253"/>
      <c r="BB706" s="1253"/>
      <c r="BC706" s="1253"/>
      <c r="BD706" s="942"/>
      <c r="BE706" s="942"/>
      <c r="BF706" s="942"/>
      <c r="BG706" s="942"/>
      <c r="BH706" s="942"/>
      <c r="BI706" s="942"/>
      <c r="BJ706" s="942"/>
      <c r="BK706" s="942"/>
      <c r="BL706" s="942"/>
      <c r="BM706" s="942"/>
      <c r="BN706" s="1251"/>
      <c r="BO706" s="1251"/>
      <c r="BP706" s="1251"/>
      <c r="BQ706" s="1278"/>
      <c r="BR706" s="1278"/>
      <c r="BS706" s="1064" t="s">
        <v>2856</v>
      </c>
      <c r="BT706" s="1064"/>
      <c r="BU706" s="1064"/>
      <c r="BV706" s="979"/>
      <c r="BW706" s="979"/>
    </row>
    <row s="1834" customFormat="1" customHeight="1" ht="14.25" hidden="1">
      <c r="A707" s="1278"/>
      <c r="B707" s="975" cm="1" t="str">
        <f t="array" ref="B707:B707">B706</f>
        <v>false</v>
      </c>
      <c r="C707" s="1278"/>
      <c r="D707" s="1278"/>
      <c r="E707" s="703">
        <v>15</v>
      </c>
      <c r="F707" s="50" cm="1" t="str">
        <f t="array" ref="F707:F707">OFFSET(E707,-1,1)</f>
        <v>4</v>
      </c>
      <c r="G707" s="1278"/>
      <c r="H707" s="1278"/>
      <c r="I707" s="1278"/>
      <c r="J707" s="1278"/>
      <c r="K707" s="107" t="s">
        <v>2857</v>
      </c>
      <c r="L707" s="980"/>
      <c r="M707" s="107"/>
      <c r="N707" s="1278"/>
      <c r="O707" s="1278"/>
      <c r="P707" s="1278"/>
      <c r="Q707" s="1278"/>
      <c r="R707" s="1278"/>
      <c r="S707" s="1278"/>
      <c r="T707" s="465" cm="1" t="str">
        <f t="array" ref="T707:T707">T706</f>
        <v>true</v>
      </c>
      <c r="U707" s="1278"/>
      <c r="V707" s="1278"/>
      <c r="W707" s="1278"/>
      <c r="X707" s="1563"/>
      <c r="Y707" s="1278"/>
      <c r="Z707" s="1546"/>
      <c r="AA707" s="1278"/>
      <c r="AB707" s="795" t="s">
        <v>2858</v>
      </c>
      <c r="AC707" s="798" t="s">
        <v>2859</v>
      </c>
      <c r="AD707" s="797" t="s">
        <v>1170</v>
      </c>
      <c r="AE707" s="1253"/>
      <c r="AF707" s="1253"/>
      <c r="AG707" s="1253"/>
      <c r="AH707" s="942"/>
      <c r="AI707" s="1253"/>
      <c r="AJ707" s="1253"/>
      <c r="AK707" s="1253"/>
      <c r="AL707" s="1253"/>
      <c r="AM707" s="1253"/>
      <c r="AN707" s="1253"/>
      <c r="AO707" s="1253"/>
      <c r="AP707" s="1253"/>
      <c r="AQ707" s="1253"/>
      <c r="AR707" s="1253"/>
      <c r="AS707" s="1253"/>
      <c r="AT707" s="1253"/>
      <c r="AU707" s="1253"/>
      <c r="AV707" s="1253"/>
      <c r="AW707" s="1253"/>
      <c r="AX707" s="1253"/>
      <c r="AY707" s="1253"/>
      <c r="AZ707" s="1253"/>
      <c r="BA707" s="1253"/>
      <c r="BB707" s="1253"/>
      <c r="BC707" s="1253"/>
      <c r="BD707" s="942"/>
      <c r="BE707" s="942"/>
      <c r="BF707" s="942"/>
      <c r="BG707" s="942"/>
      <c r="BH707" s="942"/>
      <c r="BI707" s="942"/>
      <c r="BJ707" s="942"/>
      <c r="BK707" s="942"/>
      <c r="BL707" s="942"/>
      <c r="BM707" s="942"/>
      <c r="BN707" s="1251"/>
      <c r="BO707" s="1251"/>
      <c r="BP707" s="1251"/>
      <c r="BQ707" s="1278"/>
      <c r="BR707" s="1278"/>
      <c r="BS707" s="1064" t="s">
        <v>2860</v>
      </c>
      <c r="BT707" s="1064"/>
      <c r="BU707" s="1064"/>
      <c r="BV707" s="979"/>
      <c r="BW707" s="979"/>
    </row>
    <row s="1834" customFormat="1" customHeight="1" ht="14.25" hidden="1">
      <c r="A708" s="1278"/>
      <c r="B708" s="975" cm="1" t="str">
        <f t="array" ref="B708:B708">B707</f>
        <v>false</v>
      </c>
      <c r="C708" s="1278"/>
      <c r="D708" s="1278"/>
      <c r="E708" s="703">
        <v>15</v>
      </c>
      <c r="F708" s="50" cm="1" t="str">
        <f t="array" ref="F708:F708">OFFSET(E708,-1,1)</f>
        <v>4</v>
      </c>
      <c r="G708" s="1278"/>
      <c r="H708" s="1278"/>
      <c r="I708" s="1278"/>
      <c r="J708" s="1278"/>
      <c r="K708" s="107" t="s">
        <v>1688</v>
      </c>
      <c r="L708" s="980"/>
      <c r="M708" s="107"/>
      <c r="N708" s="1278"/>
      <c r="O708" s="1278"/>
      <c r="P708" s="1278"/>
      <c r="Q708" s="1278"/>
      <c r="R708" s="1278"/>
      <c r="S708" s="1278"/>
      <c r="T708" s="465" cm="1" t="str">
        <f t="array" ref="T708:T708">T707</f>
        <v>true</v>
      </c>
      <c r="U708" s="1278"/>
      <c r="V708" s="1278"/>
      <c r="W708" s="1278"/>
      <c r="X708" s="1563"/>
      <c r="Y708" s="1278"/>
      <c r="Z708" s="1546"/>
      <c r="AA708" s="1278"/>
      <c r="AB708" s="795" t="s">
        <v>1689</v>
      </c>
      <c r="AC708" s="796" t="s">
        <v>2861</v>
      </c>
      <c r="AD708" s="797" t="s">
        <v>1170</v>
      </c>
      <c r="AE708" s="1253"/>
      <c r="AF708" s="1253"/>
      <c r="AG708" s="1253"/>
      <c r="AH708" s="942"/>
      <c r="AI708" s="1253"/>
      <c r="AJ708" s="1253"/>
      <c r="AK708" s="1253"/>
      <c r="AL708" s="1253"/>
      <c r="AM708" s="1253"/>
      <c r="AN708" s="1253"/>
      <c r="AO708" s="1253"/>
      <c r="AP708" s="1253"/>
      <c r="AQ708" s="1253"/>
      <c r="AR708" s="1253"/>
      <c r="AS708" s="1253"/>
      <c r="AT708" s="1253"/>
      <c r="AU708" s="1253"/>
      <c r="AV708" s="1253"/>
      <c r="AW708" s="1253"/>
      <c r="AX708" s="1253"/>
      <c r="AY708" s="1253"/>
      <c r="AZ708" s="1253"/>
      <c r="BA708" s="1253"/>
      <c r="BB708" s="1253"/>
      <c r="BC708" s="1253"/>
      <c r="BD708" s="942"/>
      <c r="BE708" s="942"/>
      <c r="BF708" s="942"/>
      <c r="BG708" s="942"/>
      <c r="BH708" s="942"/>
      <c r="BI708" s="942"/>
      <c r="BJ708" s="942"/>
      <c r="BK708" s="942"/>
      <c r="BL708" s="942"/>
      <c r="BM708" s="942"/>
      <c r="BN708" s="1251"/>
      <c r="BO708" s="1251"/>
      <c r="BP708" s="1251"/>
      <c r="BQ708" s="1278"/>
      <c r="BR708" s="1278"/>
      <c r="BS708" s="1064" t="s">
        <v>2862</v>
      </c>
      <c r="BT708" s="1064"/>
      <c r="BU708" s="1064"/>
      <c r="BV708" s="979"/>
      <c r="BW708" s="979"/>
    </row>
    <row s="1834" customFormat="1" customHeight="1" ht="14.25" hidden="1">
      <c r="A709" s="1278"/>
      <c r="B709" s="975" cm="1" t="str">
        <f t="array" ref="B709:B709">B708</f>
        <v>false</v>
      </c>
      <c r="C709" s="1278"/>
      <c r="D709" s="1278"/>
      <c r="E709" s="703">
        <v>15</v>
      </c>
      <c r="F709" s="50" cm="1" t="str">
        <f t="array" ref="F709:F709">OFFSET(E709,-1,1)</f>
        <v>4</v>
      </c>
      <c r="G709" s="1278"/>
      <c r="H709" s="1278"/>
      <c r="I709" s="1278"/>
      <c r="J709" s="1278"/>
      <c r="K709" s="107" t="s">
        <v>2863</v>
      </c>
      <c r="L709" s="980"/>
      <c r="M709" s="107"/>
      <c r="N709" s="1278"/>
      <c r="O709" s="1278"/>
      <c r="P709" s="1278"/>
      <c r="Q709" s="1278"/>
      <c r="R709" s="1278"/>
      <c r="S709" s="1278"/>
      <c r="T709" s="465" cm="1" t="str">
        <f t="array" ref="T709:T709">T708</f>
        <v>true</v>
      </c>
      <c r="U709" s="1278"/>
      <c r="V709" s="1278"/>
      <c r="W709" s="1278"/>
      <c r="X709" s="1563"/>
      <c r="Y709" s="1278"/>
      <c r="Z709" s="1546"/>
      <c r="AA709" s="1278"/>
      <c r="AB709" s="795" t="s">
        <v>2864</v>
      </c>
      <c r="AC709" s="798" t="s">
        <v>2865</v>
      </c>
      <c r="AD709" s="797" t="s">
        <v>1170</v>
      </c>
      <c r="AE709" s="1253"/>
      <c r="AF709" s="1253"/>
      <c r="AG709" s="1253"/>
      <c r="AH709" s="942"/>
      <c r="AI709" s="1253"/>
      <c r="AJ709" s="1253"/>
      <c r="AK709" s="1253"/>
      <c r="AL709" s="1253"/>
      <c r="AM709" s="1253"/>
      <c r="AN709" s="1253"/>
      <c r="AO709" s="1253"/>
      <c r="AP709" s="1253"/>
      <c r="AQ709" s="1253"/>
      <c r="AR709" s="1253"/>
      <c r="AS709" s="1253"/>
      <c r="AT709" s="1253"/>
      <c r="AU709" s="1253"/>
      <c r="AV709" s="1253"/>
      <c r="AW709" s="1253"/>
      <c r="AX709" s="1253"/>
      <c r="AY709" s="1253"/>
      <c r="AZ709" s="1253"/>
      <c r="BA709" s="1253"/>
      <c r="BB709" s="1253"/>
      <c r="BC709" s="1253"/>
      <c r="BD709" s="942"/>
      <c r="BE709" s="942"/>
      <c r="BF709" s="942"/>
      <c r="BG709" s="942"/>
      <c r="BH709" s="942"/>
      <c r="BI709" s="942"/>
      <c r="BJ709" s="942"/>
      <c r="BK709" s="942"/>
      <c r="BL709" s="942"/>
      <c r="BM709" s="942"/>
      <c r="BN709" s="1251"/>
      <c r="BO709" s="1251"/>
      <c r="BP709" s="1251"/>
      <c r="BQ709" s="1278"/>
      <c r="BR709" s="1278"/>
      <c r="BS709" s="1064" t="s">
        <v>2866</v>
      </c>
      <c r="BT709" s="1064"/>
      <c r="BU709" s="1064"/>
      <c r="BV709" s="979"/>
      <c r="BW709" s="979"/>
    </row>
    <row s="1834" customFormat="1" customHeight="1" ht="14.25" hidden="1">
      <c r="A710" s="1278"/>
      <c r="B710" s="975" cm="1" t="str">
        <f t="array" ref="B710:B710">B709</f>
        <v>false</v>
      </c>
      <c r="C710" s="1278"/>
      <c r="D710" s="1278"/>
      <c r="E710" s="703">
        <v>15</v>
      </c>
      <c r="F710" s="50" cm="1" t="str">
        <f t="array" ref="F710:F710">OFFSET(E710,-1,1)</f>
        <v>4</v>
      </c>
      <c r="G710" s="1278"/>
      <c r="H710" s="1278"/>
      <c r="I710" s="1278"/>
      <c r="J710" s="1278"/>
      <c r="K710" s="107" t="s">
        <v>2867</v>
      </c>
      <c r="L710" s="980"/>
      <c r="M710" s="107"/>
      <c r="N710" s="1278"/>
      <c r="O710" s="1278"/>
      <c r="P710" s="1278"/>
      <c r="Q710" s="1278"/>
      <c r="R710" s="1278"/>
      <c r="S710" s="1278"/>
      <c r="T710" s="465" cm="1" t="str">
        <f t="array" ref="T710:T710">T709</f>
        <v>true</v>
      </c>
      <c r="U710" s="1278"/>
      <c r="V710" s="1278"/>
      <c r="W710" s="1278"/>
      <c r="X710" s="1563"/>
      <c r="Y710" s="1278"/>
      <c r="Z710" s="1546"/>
      <c r="AA710" s="1278"/>
      <c r="AB710" s="795" t="s">
        <v>2868</v>
      </c>
      <c r="AC710" s="798" t="s">
        <v>2869</v>
      </c>
      <c r="AD710" s="797" t="s">
        <v>1170</v>
      </c>
      <c r="AE710" s="1253"/>
      <c r="AF710" s="1253"/>
      <c r="AG710" s="1253"/>
      <c r="AH710" s="942"/>
      <c r="AI710" s="1253"/>
      <c r="AJ710" s="1253"/>
      <c r="AK710" s="1253"/>
      <c r="AL710" s="1253"/>
      <c r="AM710" s="1253"/>
      <c r="AN710" s="1253"/>
      <c r="AO710" s="1253"/>
      <c r="AP710" s="1253"/>
      <c r="AQ710" s="1253"/>
      <c r="AR710" s="1253"/>
      <c r="AS710" s="1253"/>
      <c r="AT710" s="1253"/>
      <c r="AU710" s="1253"/>
      <c r="AV710" s="1253"/>
      <c r="AW710" s="1253"/>
      <c r="AX710" s="1253"/>
      <c r="AY710" s="1253"/>
      <c r="AZ710" s="1253"/>
      <c r="BA710" s="1253"/>
      <c r="BB710" s="1253"/>
      <c r="BC710" s="1253"/>
      <c r="BD710" s="942"/>
      <c r="BE710" s="942"/>
      <c r="BF710" s="942"/>
      <c r="BG710" s="942"/>
      <c r="BH710" s="942"/>
      <c r="BI710" s="942"/>
      <c r="BJ710" s="942"/>
      <c r="BK710" s="942"/>
      <c r="BL710" s="942"/>
      <c r="BM710" s="942"/>
      <c r="BN710" s="1251"/>
      <c r="BO710" s="1251"/>
      <c r="BP710" s="1251"/>
      <c r="BQ710" s="1278"/>
      <c r="BR710" s="1278"/>
      <c r="BS710" s="1064" t="s">
        <v>2870</v>
      </c>
      <c r="BT710" s="1064"/>
      <c r="BU710" s="1064"/>
      <c r="BV710" s="979"/>
      <c r="BW710" s="979"/>
    </row>
    <row s="7958" customFormat="1" customHeight="1" ht="20.25">
      <c r="A711" s="700"/>
      <c r="B711" s="435"/>
      <c r="C711" s="700"/>
      <c r="D711" s="109" t="str">
        <f>IF(B710,"6","7")</f>
        <v>7</v>
      </c>
      <c r="E711" s="707">
        <v>21</v>
      </c>
      <c r="F711" s="50" cm="1" t="str">
        <f t="array" ref="F711:F711">OFFSET(E711,-1,1)</f>
        <v>4</v>
      </c>
      <c r="G711" s="158" t="s">
        <v>2871</v>
      </c>
      <c r="H711" s="158"/>
      <c r="I711" s="380" t="s">
        <v>2872</v>
      </c>
      <c r="J711" s="700"/>
      <c r="K711" s="380" t="s">
        <v>2872</v>
      </c>
      <c r="L711" s="985"/>
      <c r="M711" s="109"/>
      <c r="N711" s="700"/>
      <c r="O711" s="700"/>
      <c r="P711" s="700"/>
      <c r="Q711" s="700"/>
      <c r="R711" s="700"/>
      <c r="S711" s="700"/>
      <c r="T711" s="465" cm="1" t="str">
        <f t="array" ref="T711:T711">T710</f>
        <v>true</v>
      </c>
      <c r="U711" s="700"/>
      <c r="V711" s="700"/>
      <c r="W711" s="700"/>
      <c r="X711" s="1563"/>
      <c r="Y711" s="700"/>
      <c r="Z711" s="1546"/>
      <c r="AA711" s="700"/>
      <c r="AB711" s="211" cm="1" t="str">
        <f t="array" ref="AB711:AB711">D711</f>
        <v>7</v>
      </c>
      <c r="AC711" s="219" t="s">
        <v>2323</v>
      </c>
      <c r="AD711" s="211" t="s">
        <v>1514</v>
      </c>
      <c r="AE711" s="7432"/>
      <c r="AF711" s="7432"/>
      <c r="AG711" s="7432"/>
      <c r="AH711" s="761">
        <f>AG711-AF711</f>
        <v>0</v>
      </c>
      <c r="AI711" s="7719"/>
      <c r="AJ711" s="7782">
        <f>_xlfn.SUMIFS('Корректировка НВВ'!$AF$25:$AF$282,'Корректировка НВВ'!$F$25:$F$282,$F711,'Корректировка НВВ'!$I$25:$I$282,$G711)</f>
        <v>0</v>
      </c>
      <c r="AK711" s="7719"/>
      <c r="AL711" s="7719"/>
      <c r="AM711" s="7719"/>
      <c r="AN711" s="7719"/>
      <c r="AO711" s="1246"/>
      <c r="AP711" s="1246"/>
      <c r="AQ711" s="1246"/>
      <c r="AR711" s="1246"/>
      <c r="AS711" s="1246"/>
      <c r="AT711" s="7782">
        <f>_xlfn.SUMIFS('Корректировка НВВ'!$AG$25:$AG$282,'Корректировка НВВ'!$F$25:$F$282,$F711,'Корректировка НВВ'!$I$25:$I$282,$G711)</f>
        <v>0</v>
      </c>
      <c r="AU711" s="7719"/>
      <c r="AV711" s="7719"/>
      <c r="AW711" s="7719"/>
      <c r="AX711" s="7719"/>
      <c r="AY711" s="1246"/>
      <c r="AZ711" s="1246"/>
      <c r="BA711" s="1246"/>
      <c r="BB711" s="1246"/>
      <c r="BC711" s="1246"/>
      <c r="BD711" s="761">
        <f>IF(AI711=0,0,(AT711-AI711)/AI711*100)</f>
        <v>0</v>
      </c>
      <c r="BE711" s="761">
        <f>IF(AT711=0,0,(AU711-AT711)/AT711*100)</f>
        <v>0</v>
      </c>
      <c r="BF711" s="761">
        <f>IF(AU711=0,0,(AV711-AU711)/AU711*100)</f>
        <v>0</v>
      </c>
      <c r="BG711" s="761">
        <f>IF(AV711=0,0,(AW711-AV711)/AV711*100)</f>
        <v>0</v>
      </c>
      <c r="BH711" s="761">
        <f>IF(AW711=0,0,(AX711-AW711)/AW711*100)</f>
        <v>0</v>
      </c>
      <c r="BI711" s="761">
        <f>IF(AX711=0,0,(AY711-AX711)/AX711*100)</f>
        <v>0</v>
      </c>
      <c r="BJ711" s="761">
        <f>IF(AY711=0,0,(AZ711-AY711)/AY711*100)</f>
        <v>0</v>
      </c>
      <c r="BK711" s="761">
        <f>IF(AZ711=0,0,(BA711-AZ711)/AZ711*100)</f>
        <v>0</v>
      </c>
      <c r="BL711" s="761">
        <f>IF(BA711=0,0,(BB711-BA711)/BA711*100)</f>
        <v>0</v>
      </c>
      <c r="BM711" s="761">
        <f>IF(BB711=0,0,(BC711-BB711)/BB711*100)</f>
        <v>0</v>
      </c>
      <c r="BN711" s="7436"/>
      <c r="BO711" s="7724" t="str">
        <f>IF(_xlfn.IFERROR(INDEX('Корректировка НВВ'!$K$26:$L$282,MATCH($F711&amp;"11komm",'Корректировка НВВ'!$K$26:$K$282,0),2),"")=0,"",_xlfn.IFERROR(INDEX('Корректировка НВВ'!$K$26:$L$282,MATCH($F711&amp;"11komm",'Корректировка НВВ'!$K$26:$K$282,0),2),""))</f>
        <v/>
      </c>
      <c r="BP711" s="7436"/>
      <c r="BQ711" s="700"/>
      <c r="BR711" s="700"/>
      <c r="BS711" s="1070" t="s">
        <v>2873</v>
      </c>
      <c r="BT711" s="1070"/>
      <c r="BU711" s="1070"/>
      <c r="BV711" s="707"/>
      <c r="BW711" s="707"/>
    </row>
    <row s="1834" customFormat="1" customHeight="1" ht="14.25">
      <c r="A712" s="1278"/>
      <c r="B712" s="978"/>
      <c r="C712" s="1278"/>
      <c r="D712" s="107" cm="1" t="str">
        <f t="array" ref="D712:D712">D711</f>
        <v>7</v>
      </c>
      <c r="E712" s="703">
        <v>15</v>
      </c>
      <c r="F712" s="50" cm="1" t="str">
        <f t="array" ref="F712:F712">OFFSET(E712,-1,1)</f>
        <v>4</v>
      </c>
      <c r="G712" s="1278"/>
      <c r="H712" s="1278"/>
      <c r="I712" s="1278"/>
      <c r="J712" s="1278"/>
      <c r="K712" s="1278"/>
      <c r="L712" s="980"/>
      <c r="M712" s="107"/>
      <c r="N712" s="1278"/>
      <c r="O712" s="1278"/>
      <c r="P712" s="1278"/>
      <c r="Q712" s="1278"/>
      <c r="R712" s="1278"/>
      <c r="S712" s="1278"/>
      <c r="T712" s="465" cm="1" t="str">
        <f t="array" ref="T712:T712">T711</f>
        <v>true</v>
      </c>
      <c r="U712" s="1278"/>
      <c r="V712" s="1278"/>
      <c r="W712" s="1278"/>
      <c r="X712" s="1563"/>
      <c r="Y712" s="1278"/>
      <c r="Z712" s="1546"/>
      <c r="AA712" s="1278"/>
      <c r="AB712" s="300"/>
      <c r="AC712" s="452" t="s">
        <v>2874</v>
      </c>
      <c r="AD712" s="300"/>
      <c r="AE712" s="945"/>
      <c r="AF712" s="945"/>
      <c r="AG712" s="945"/>
      <c r="AH712" s="942"/>
      <c r="AI712" s="942"/>
      <c r="AJ712" s="942"/>
      <c r="AK712" s="942"/>
      <c r="AL712" s="942"/>
      <c r="AM712" s="942"/>
      <c r="AN712" s="942"/>
      <c r="AO712" s="942"/>
      <c r="AP712" s="942"/>
      <c r="AQ712" s="942"/>
      <c r="AR712" s="942"/>
      <c r="AS712" s="942"/>
      <c r="AT712" s="942"/>
      <c r="AU712" s="942"/>
      <c r="AV712" s="942"/>
      <c r="AW712" s="942"/>
      <c r="AX712" s="942"/>
      <c r="AY712" s="942"/>
      <c r="AZ712" s="942"/>
      <c r="BA712" s="942"/>
      <c r="BB712" s="942"/>
      <c r="BC712" s="942"/>
      <c r="BD712" s="942"/>
      <c r="BE712" s="942"/>
      <c r="BF712" s="942"/>
      <c r="BG712" s="942"/>
      <c r="BH712" s="942"/>
      <c r="BI712" s="942"/>
      <c r="BJ712" s="942"/>
      <c r="BK712" s="942"/>
      <c r="BL712" s="942"/>
      <c r="BM712" s="942"/>
      <c r="BN712" s="526"/>
      <c r="BO712" s="526"/>
      <c r="BP712" s="526"/>
      <c r="BQ712" s="1278"/>
      <c r="BR712" s="1278"/>
      <c r="BS712" s="1064"/>
      <c r="BT712" s="1064"/>
      <c r="BU712" s="1064"/>
      <c r="BV712" s="979"/>
      <c r="BW712" s="979"/>
    </row>
    <row s="1834" customFormat="1" customHeight="1" ht="21.75">
      <c r="A713" s="1278"/>
      <c r="B713" s="978"/>
      <c r="C713" s="1278"/>
      <c r="D713" s="107" cm="1" t="str">
        <f t="array" ref="D713:D713">D712</f>
        <v>7</v>
      </c>
      <c r="E713" s="703">
        <v>22.5</v>
      </c>
      <c r="F713" s="50" cm="1" t="str">
        <f t="array" ref="F713:F713">OFFSET(E713,-1,1)</f>
        <v>4</v>
      </c>
      <c r="G713" s="158" t="s">
        <v>375</v>
      </c>
      <c r="H713" s="1278"/>
      <c r="I713" s="158" t="s">
        <v>1228</v>
      </c>
      <c r="J713" s="1278"/>
      <c r="K713" s="158" t="s">
        <v>1228</v>
      </c>
      <c r="L713" s="980"/>
      <c r="M713" s="107"/>
      <c r="N713" s="1278"/>
      <c r="O713" s="1278"/>
      <c r="P713" s="1278"/>
      <c r="Q713" s="1278"/>
      <c r="R713" s="1278"/>
      <c r="S713" s="1278"/>
      <c r="T713" s="465" cm="1" t="str">
        <f t="array" ref="T713:T713">T712</f>
        <v>true</v>
      </c>
      <c r="U713" s="1278"/>
      <c r="V713" s="1278"/>
      <c r="W713" s="1278"/>
      <c r="X713" s="1563"/>
      <c r="Y713" s="1278"/>
      <c r="Z713" s="1546"/>
      <c r="AA713" s="1278"/>
      <c r="AB713" s="300" t="str">
        <f>D713&amp;".1"</f>
        <v>7.1</v>
      </c>
      <c r="AC713" s="762" t="s">
        <v>2875</v>
      </c>
      <c r="AD713" s="300" t="s">
        <v>1514</v>
      </c>
      <c r="AE713" s="7773"/>
      <c r="AF713" s="7773"/>
      <c r="AG713" s="7773"/>
      <c r="AH713" s="943">
        <f>AG713-AF713</f>
        <v>0</v>
      </c>
      <c r="AI713" s="7723"/>
      <c r="AJ713" s="7723">
        <f>_xlfn.SUMIFS('Корректировка НВВ'!$AF$25:$AF$282,'Корректировка НВВ'!$F$25:$F$282,$F713,'Корректировка НВВ'!$I$25:$I$282,$G713)</f>
        <v>0</v>
      </c>
      <c r="AK713" s="7723"/>
      <c r="AL713" s="7723"/>
      <c r="AM713" s="7723"/>
      <c r="AN713" s="7723"/>
      <c r="AO713" s="1253"/>
      <c r="AP713" s="1253"/>
      <c r="AQ713" s="1253"/>
      <c r="AR713" s="1253"/>
      <c r="AS713" s="1253"/>
      <c r="AT713" s="7723">
        <f>_xlfn.SUMIFS('Корректировка НВВ'!$AG$25:$AG$282,'Корректировка НВВ'!$F$25:$F$282,$F713,'Корректировка НВВ'!$I$25:$I$282,$G713)</f>
        <v>0</v>
      </c>
      <c r="AU713" s="7723"/>
      <c r="AV713" s="7723"/>
      <c r="AW713" s="7723"/>
      <c r="AX713" s="7723"/>
      <c r="AY713" s="1253"/>
      <c r="AZ713" s="1253"/>
      <c r="BA713" s="1253"/>
      <c r="BB713" s="1253"/>
      <c r="BC713" s="1253"/>
      <c r="BD713" s="942"/>
      <c r="BE713" s="942"/>
      <c r="BF713" s="942"/>
      <c r="BG713" s="942"/>
      <c r="BH713" s="942"/>
      <c r="BI713" s="942"/>
      <c r="BJ713" s="942"/>
      <c r="BK713" s="942"/>
      <c r="BL713" s="942"/>
      <c r="BM713" s="942"/>
      <c r="BN713" s="7771"/>
      <c r="BO713" s="7724" t="str">
        <f>IF(_xlfn.IFERROR(INDEX('Корректировка НВВ'!$K$26:$L$282,MATCH($F713&amp;"1komm",'Корректировка НВВ'!$K$26:$K$282,0),2),"")=0,"",_xlfn.IFERROR(INDEX('Корректировка НВВ'!$K$26:$L$282,MATCH($F713&amp;"1komm",'Корректировка НВВ'!$K$26:$K$282,0),2),""))</f>
        <v/>
      </c>
      <c r="BP713" s="7771"/>
      <c r="BQ713" s="1278"/>
      <c r="BR713" s="1278"/>
      <c r="BS713" s="1064" t="s">
        <v>2876</v>
      </c>
      <c r="BT713" s="1064"/>
      <c r="BU713" s="1064"/>
      <c r="BV713" s="979"/>
      <c r="BW713" s="979"/>
    </row>
    <row s="1834" customFormat="1" customHeight="1" ht="98.25">
      <c r="A714" s="1278"/>
      <c r="B714" s="978"/>
      <c r="C714" s="1278"/>
      <c r="D714" s="107" cm="1" t="str">
        <f t="array" ref="D714:D714">D713</f>
        <v>7</v>
      </c>
      <c r="E714" s="703">
        <v>101.25</v>
      </c>
      <c r="F714" s="50" cm="1" t="str">
        <f t="array" ref="F714:F714">OFFSET(E714,-1,1)</f>
        <v>4</v>
      </c>
      <c r="G714" s="158" t="s">
        <v>2877</v>
      </c>
      <c r="H714" s="1278"/>
      <c r="I714" s="158" t="s">
        <v>1275</v>
      </c>
      <c r="J714" s="1278"/>
      <c r="K714" s="158" t="s">
        <v>1275</v>
      </c>
      <c r="L714" s="980"/>
      <c r="M714" s="107"/>
      <c r="N714" s="1278"/>
      <c r="O714" s="1278"/>
      <c r="P714" s="1278"/>
      <c r="Q714" s="1278"/>
      <c r="R714" s="1278"/>
      <c r="S714" s="1278"/>
      <c r="T714" s="465" cm="1" t="str">
        <f t="array" ref="T714:T714">T713</f>
        <v>true</v>
      </c>
      <c r="U714" s="1278"/>
      <c r="V714" s="1278"/>
      <c r="W714" s="1278"/>
      <c r="X714" s="1563"/>
      <c r="Y714" s="1278"/>
      <c r="Z714" s="1546"/>
      <c r="AA714" s="1278"/>
      <c r="AB714" s="300" t="str">
        <f>D714&amp;".2"</f>
        <v>7.2</v>
      </c>
      <c r="AC714" s="762" t="s">
        <v>2878</v>
      </c>
      <c r="AD714" s="300" t="s">
        <v>1514</v>
      </c>
      <c r="AE714" s="7773"/>
      <c r="AF714" s="7773"/>
      <c r="AG714" s="7773"/>
      <c r="AH714" s="943">
        <f>AG714-AF714</f>
        <v>0</v>
      </c>
      <c r="AI714" s="7723"/>
      <c r="AJ714" s="7723">
        <f>_xlfn.SUMIFS('Корректировка НВВ'!$AF$25:$AF$282,'Корректировка НВВ'!$F$25:$F$282,$F714,'Корректировка НВВ'!$I$25:$I$282,$G714)</f>
        <v>0</v>
      </c>
      <c r="AK714" s="7723"/>
      <c r="AL714" s="7723"/>
      <c r="AM714" s="7723"/>
      <c r="AN714" s="7723"/>
      <c r="AO714" s="1253"/>
      <c r="AP714" s="1253"/>
      <c r="AQ714" s="1253"/>
      <c r="AR714" s="1253"/>
      <c r="AS714" s="1253"/>
      <c r="AT714" s="7723">
        <f>_xlfn.SUMIFS('Корректировка НВВ'!$AG$25:$AG$282,'Корректировка НВВ'!$F$25:$F$282,$F714,'Корректировка НВВ'!$I$25:$I$282,$G714)</f>
        <v>0</v>
      </c>
      <c r="AU714" s="7723"/>
      <c r="AV714" s="7723"/>
      <c r="AW714" s="7723"/>
      <c r="AX714" s="7723"/>
      <c r="AY714" s="1253"/>
      <c r="AZ714" s="1253"/>
      <c r="BA714" s="1253"/>
      <c r="BB714" s="1253"/>
      <c r="BC714" s="1253"/>
      <c r="BD714" s="942"/>
      <c r="BE714" s="942"/>
      <c r="BF714" s="942"/>
      <c r="BG714" s="942"/>
      <c r="BH714" s="942"/>
      <c r="BI714" s="942"/>
      <c r="BJ714" s="942"/>
      <c r="BK714" s="942"/>
      <c r="BL714" s="942"/>
      <c r="BM714" s="942"/>
      <c r="BN714" s="7771"/>
      <c r="BO714" s="7724" t="str">
        <f>IF(_xlfn.IFERROR(INDEX('Корректировка НВВ'!$K$26:$L$282,MATCH($F714&amp;"2komm",'Корректировка НВВ'!$K$26:$K$282,0),2),"")=0,"",_xlfn.IFERROR(INDEX('Корректировка НВВ'!$K$26:$L$282,MATCH($F714&amp;"2komm",'Корректировка НВВ'!$K$26:$K$282,0),2),""))</f>
        <v/>
      </c>
      <c r="BP714" s="7771"/>
      <c r="BQ714" s="1278"/>
      <c r="BR714" s="1278"/>
      <c r="BS714" s="1064" t="s">
        <v>2879</v>
      </c>
      <c r="BT714" s="1064"/>
      <c r="BU714" s="1064"/>
      <c r="BV714" s="979"/>
      <c r="BW714" s="979"/>
    </row>
    <row s="1834" customFormat="1" customHeight="1" ht="43.5">
      <c r="A715" s="1278"/>
      <c r="B715" s="978"/>
      <c r="C715" s="1278"/>
      <c r="D715" s="107" cm="1" t="str">
        <f t="array" ref="D715:D715">D714</f>
        <v>7</v>
      </c>
      <c r="E715" s="703">
        <v>45</v>
      </c>
      <c r="F715" s="50" cm="1" t="str">
        <f t="array" ref="F715:F715">OFFSET(E715,-1,1)</f>
        <v>4</v>
      </c>
      <c r="G715" s="1278"/>
      <c r="H715" s="1278"/>
      <c r="I715" s="158" t="s">
        <v>1290</v>
      </c>
      <c r="J715" s="1278"/>
      <c r="K715" s="158" t="s">
        <v>1290</v>
      </c>
      <c r="L715" s="980"/>
      <c r="M715" s="107"/>
      <c r="N715" s="1278"/>
      <c r="O715" s="1278"/>
      <c r="P715" s="1278"/>
      <c r="Q715" s="1278"/>
      <c r="R715" s="1278"/>
      <c r="S715" s="1278"/>
      <c r="T715" s="465" cm="1" t="str">
        <f t="array" ref="T715:T715">T714</f>
        <v>true</v>
      </c>
      <c r="U715" s="1278"/>
      <c r="V715" s="1278"/>
      <c r="W715" s="1278"/>
      <c r="X715" s="1563"/>
      <c r="Y715" s="1278"/>
      <c r="Z715" s="1546"/>
      <c r="AA715" s="1278"/>
      <c r="AB715" s="300" t="str">
        <f>D715&amp;".3"</f>
        <v>7.3</v>
      </c>
      <c r="AC715" s="762" t="s">
        <v>2880</v>
      </c>
      <c r="AD715" s="300" t="s">
        <v>1514</v>
      </c>
      <c r="AE715" s="7773"/>
      <c r="AF715" s="7773"/>
      <c r="AG715" s="7773"/>
      <c r="AH715" s="943">
        <f>AG715-AF715</f>
        <v>0</v>
      </c>
      <c r="AI715" s="7723"/>
      <c r="AJ715" s="7723">
        <f>_xlfn.SUMIFS('Корректировка НВВ'!$AF$25:$AF$282,'Корректировка НВВ'!$F$25:$F$282,$F715,'Корректировка НВВ'!$I$25:$I$282,"L1")+_xlfn.SUMIFS('Корректировка НВВ'!$AF$25:$AF$282,'Корректировка НВВ'!$F$25:$F$282,$F715,'Корректировка НВВ'!$I$25:$I$282,"L2")</f>
        <v>0</v>
      </c>
      <c r="AK715" s="7723"/>
      <c r="AL715" s="7723"/>
      <c r="AM715" s="7723"/>
      <c r="AN715" s="7723"/>
      <c r="AO715" s="1253"/>
      <c r="AP715" s="1253"/>
      <c r="AQ715" s="1253"/>
      <c r="AR715" s="1253"/>
      <c r="AS715" s="1253"/>
      <c r="AT715" s="7723">
        <f>_xlfn.SUMIFS('Корректировка НВВ'!$AG$25:$AG$282,'Корректировка НВВ'!$F$25:$F$282,$F715,'Корректировка НВВ'!$I$25:$I$282,"L1")+_xlfn.SUMIFS('Корректировка НВВ'!$AF$25:$AF$282,'Корректировка НВВ'!$F$25:$F$282,$F715,'Корректировка НВВ'!$I$25:$I$282,"L2")</f>
        <v>0</v>
      </c>
      <c r="AU715" s="7723"/>
      <c r="AV715" s="7723"/>
      <c r="AW715" s="7723"/>
      <c r="AX715" s="7723"/>
      <c r="AY715" s="1253"/>
      <c r="AZ715" s="1253"/>
      <c r="BA715" s="1253"/>
      <c r="BB715" s="1253"/>
      <c r="BC715" s="1253"/>
      <c r="BD715" s="942"/>
      <c r="BE715" s="942"/>
      <c r="BF715" s="942"/>
      <c r="BG715" s="942"/>
      <c r="BH715" s="942"/>
      <c r="BI715" s="942"/>
      <c r="BJ715" s="942"/>
      <c r="BK715" s="942"/>
      <c r="BL715" s="942"/>
      <c r="BM715" s="942"/>
      <c r="BN715" s="7771"/>
      <c r="BO715" s="7724"/>
      <c r="BP715" s="7771"/>
      <c r="BQ715" s="1278"/>
      <c r="BR715" s="1278"/>
      <c r="BS715" s="1064" t="s">
        <v>2881</v>
      </c>
      <c r="BT715" s="1064"/>
      <c r="BU715" s="1064"/>
      <c r="BV715" s="979"/>
      <c r="BW715" s="979"/>
    </row>
    <row s="1834" customFormat="1" customHeight="1" ht="87.75">
      <c r="A716" s="1278"/>
      <c r="B716" s="445">
        <f>S603="Водоотведение"</f>
        <v>1</v>
      </c>
      <c r="C716" s="1278"/>
      <c r="D716" s="107" cm="1" t="str">
        <f t="array" ref="D716:D716">D715</f>
        <v>7</v>
      </c>
      <c r="E716" s="703">
        <v>90</v>
      </c>
      <c r="F716" s="50" cm="1" t="str">
        <f t="array" ref="F716:F716">OFFSET(E716,-1,1)</f>
        <v>4</v>
      </c>
      <c r="G716" s="158" t="s">
        <v>2882</v>
      </c>
      <c r="H716" s="49"/>
      <c r="I716" s="158" t="s">
        <v>1456</v>
      </c>
      <c r="J716" s="1278"/>
      <c r="K716" s="158" t="s">
        <v>1456</v>
      </c>
      <c r="L716" s="980" t="s">
        <v>1454</v>
      </c>
      <c r="M716" s="107"/>
      <c r="N716" s="1278"/>
      <c r="O716" s="1278"/>
      <c r="P716" s="1278"/>
      <c r="Q716" s="1278"/>
      <c r="R716" s="1278"/>
      <c r="S716" s="1278"/>
      <c r="T716" s="465" cm="1" t="str">
        <f t="array" ref="T716:T716">T715</f>
        <v>true</v>
      </c>
      <c r="U716" s="1278"/>
      <c r="V716" s="1278"/>
      <c r="W716" s="1278"/>
      <c r="X716" s="1563"/>
      <c r="Y716" s="1278"/>
      <c r="Z716" s="1546"/>
      <c r="AA716" s="1278"/>
      <c r="AB716" s="300" t="str">
        <f>D716&amp;".4"</f>
        <v>7.4</v>
      </c>
      <c r="AC716" s="762" t="s">
        <v>2552</v>
      </c>
      <c r="AD716" s="766" t="s">
        <v>1514</v>
      </c>
      <c r="AE716" s="7773"/>
      <c r="AF716" s="7773"/>
      <c r="AG716" s="7773"/>
      <c r="AH716" s="943">
        <f>AG716-AF716</f>
        <v>0</v>
      </c>
      <c r="AI716" s="7723"/>
      <c r="AJ716" s="7723">
        <f>_xlfn.SUMIFS('Корректировка НВВ'!$AF$25:$AF$282,'Корректировка НВВ'!$F$25:$F$282,$F716,'Корректировка НВВ'!$I$25:$I$282,$G716)</f>
        <v>0</v>
      </c>
      <c r="AK716" s="7723"/>
      <c r="AL716" s="7723"/>
      <c r="AM716" s="7723"/>
      <c r="AN716" s="7723"/>
      <c r="AO716" s="1253"/>
      <c r="AP716" s="1253"/>
      <c r="AQ716" s="1253"/>
      <c r="AR716" s="1253"/>
      <c r="AS716" s="1253"/>
      <c r="AT716" s="7723">
        <f>_xlfn.SUMIFS('Корректировка НВВ'!$AG$25:$AG$282,'Корректировка НВВ'!$F$25:$F$282,$F716,'Корректировка НВВ'!$I$25:$I$282,$G716)</f>
        <v>0</v>
      </c>
      <c r="AU716" s="7723"/>
      <c r="AV716" s="7723"/>
      <c r="AW716" s="7723"/>
      <c r="AX716" s="7723"/>
      <c r="AY716" s="1253"/>
      <c r="AZ716" s="1253"/>
      <c r="BA716" s="1253"/>
      <c r="BB716" s="1253"/>
      <c r="BC716" s="1253"/>
      <c r="BD716" s="942"/>
      <c r="BE716" s="942"/>
      <c r="BF716" s="942"/>
      <c r="BG716" s="942"/>
      <c r="BH716" s="942"/>
      <c r="BI716" s="942"/>
      <c r="BJ716" s="942"/>
      <c r="BK716" s="942"/>
      <c r="BL716" s="942"/>
      <c r="BM716" s="942"/>
      <c r="BN716" s="7771"/>
      <c r="BO716" s="7724" t="str">
        <f>IF(_xlfn.IFERROR(INDEX('Корректировка НВВ'!$K$26:$L$282,MATCH($F716&amp;"3komm",'Корректировка НВВ'!$K$26:$K$282,0),2),"")=0,"",_xlfn.IFERROR(INDEX('Корректировка НВВ'!$K$26:$L$282,MATCH($F716&amp;"3komm",'Корректировка НВВ'!$K$26:$K$282,0),2),""))</f>
        <v/>
      </c>
      <c r="BP716" s="7771"/>
      <c r="BQ716" s="1278"/>
      <c r="BR716" s="1278"/>
      <c r="BS716" s="1064" t="s">
        <v>2098</v>
      </c>
      <c r="BT716" s="1064"/>
      <c r="BU716" s="1064"/>
      <c r="BV716" s="979"/>
      <c r="BW716" s="979"/>
    </row>
    <row s="1834" customFormat="1" customHeight="1" ht="54.75">
      <c r="A717" s="1278"/>
      <c r="B717" s="445" cm="1" t="str">
        <f t="array" ref="B717:B717">B716</f>
        <v>true</v>
      </c>
      <c r="C717" s="1278"/>
      <c r="D717" s="107" cm="1" t="str">
        <f t="array" ref="D717:D717">D716</f>
        <v>7</v>
      </c>
      <c r="E717" s="703">
        <v>56.25</v>
      </c>
      <c r="F717" s="50" cm="1" t="str">
        <f t="array" ref="F717:F717">OFFSET(E717,-1,1)</f>
        <v>4</v>
      </c>
      <c r="G717" s="158" t="s">
        <v>2883</v>
      </c>
      <c r="H717" s="49"/>
      <c r="I717" s="158" t="s">
        <v>1492</v>
      </c>
      <c r="J717" s="1278"/>
      <c r="K717" s="158" t="s">
        <v>1492</v>
      </c>
      <c r="L717" s="980" t="s">
        <v>1456</v>
      </c>
      <c r="M717" s="107"/>
      <c r="N717" s="1278"/>
      <c r="O717" s="1278"/>
      <c r="P717" s="1278"/>
      <c r="Q717" s="1278"/>
      <c r="R717" s="1278"/>
      <c r="S717" s="1278"/>
      <c r="T717" s="465" cm="1" t="str">
        <f t="array" ref="T717:T717">T716</f>
        <v>true</v>
      </c>
      <c r="U717" s="1278"/>
      <c r="V717" s="1278"/>
      <c r="W717" s="1278"/>
      <c r="X717" s="1563"/>
      <c r="Y717" s="1278"/>
      <c r="Z717" s="1546"/>
      <c r="AA717" s="1278"/>
      <c r="AB717" s="300" t="str">
        <f>D717&amp;".5"</f>
        <v>7.5</v>
      </c>
      <c r="AC717" s="762" t="s">
        <v>2553</v>
      </c>
      <c r="AD717" s="766" t="s">
        <v>1514</v>
      </c>
      <c r="AE717" s="7773"/>
      <c r="AF717" s="7773"/>
      <c r="AG717" s="7773"/>
      <c r="AH717" s="943">
        <f>AG717-AF717</f>
        <v>0</v>
      </c>
      <c r="AI717" s="7723"/>
      <c r="AJ717" s="7723">
        <f>_xlfn.SUMIFS('Корректировка НВВ'!$AF$25:$AF$282,'Корректировка НВВ'!$F$25:$F$282,$F717,'Корректировка НВВ'!$I$25:$I$282,$G717)</f>
        <v>0</v>
      </c>
      <c r="AK717" s="7723"/>
      <c r="AL717" s="7723"/>
      <c r="AM717" s="7723"/>
      <c r="AN717" s="7723"/>
      <c r="AO717" s="1253"/>
      <c r="AP717" s="1253"/>
      <c r="AQ717" s="1253"/>
      <c r="AR717" s="1253"/>
      <c r="AS717" s="1253"/>
      <c r="AT717" s="7723">
        <f>_xlfn.SUMIFS('Корректировка НВВ'!$AG$25:$AG$282,'Корректировка НВВ'!$F$25:$F$282,$F717,'Корректировка НВВ'!$I$25:$I$282,$G717)</f>
        <v>0</v>
      </c>
      <c r="AU717" s="7723"/>
      <c r="AV717" s="7723"/>
      <c r="AW717" s="7723"/>
      <c r="AX717" s="7723"/>
      <c r="AY717" s="1253"/>
      <c r="AZ717" s="1253"/>
      <c r="BA717" s="1253"/>
      <c r="BB717" s="1253"/>
      <c r="BC717" s="1253"/>
      <c r="BD717" s="942"/>
      <c r="BE717" s="942"/>
      <c r="BF717" s="942"/>
      <c r="BG717" s="942"/>
      <c r="BH717" s="942"/>
      <c r="BI717" s="942"/>
      <c r="BJ717" s="942"/>
      <c r="BK717" s="942"/>
      <c r="BL717" s="942"/>
      <c r="BM717" s="942"/>
      <c r="BN717" s="7771"/>
      <c r="BO717" s="7724" t="str">
        <f>IF(_xlfn.IFERROR(INDEX('Корректировка НВВ'!$K$26:$L$282,MATCH($F717&amp;"4komm",'Корректировка НВВ'!$K$26:$K$282,0),2),"")=0,"",_xlfn.IFERROR(INDEX('Корректировка НВВ'!$K$26:$L$282,MATCH($F717&amp;"4komm",'Корректировка НВВ'!$K$26:$K$282,0),2),""))</f>
        <v/>
      </c>
      <c r="BP717" s="7771"/>
      <c r="BQ717" s="1278"/>
      <c r="BR717" s="1278"/>
      <c r="BS717" s="1064" t="s">
        <v>2102</v>
      </c>
      <c r="BT717" s="1064"/>
      <c r="BU717" s="1064"/>
      <c r="BV717" s="979"/>
      <c r="BW717" s="979"/>
    </row>
    <row s="1834" customFormat="1" customHeight="1" ht="14.25">
      <c r="A718" s="1278"/>
      <c r="B718" s="978"/>
      <c r="C718" s="1278"/>
      <c r="D718" s="107" cm="1" t="str">
        <f t="array" ref="D718:D718">D717</f>
        <v>7</v>
      </c>
      <c r="E718" s="703">
        <v>15</v>
      </c>
      <c r="F718" s="50" cm="1" t="str">
        <f t="array" ref="F718:F718">OFFSET(E718,-1,1)</f>
        <v>4</v>
      </c>
      <c r="G718" s="158" t="s">
        <v>2884</v>
      </c>
      <c r="H718" s="1278"/>
      <c r="I718" s="158" t="s">
        <v>1493</v>
      </c>
      <c r="J718" s="1278"/>
      <c r="K718" s="158" t="s">
        <v>1493</v>
      </c>
      <c r="L718" s="980" t="s">
        <v>1492</v>
      </c>
      <c r="M718" s="107"/>
      <c r="N718" s="1278"/>
      <c r="O718" s="1278"/>
      <c r="P718" s="1278"/>
      <c r="Q718" s="1278"/>
      <c r="R718" s="1278"/>
      <c r="S718" s="1278"/>
      <c r="T718" s="465" cm="1" t="str">
        <f t="array" ref="T718:T718">T717</f>
        <v>true</v>
      </c>
      <c r="U718" s="1278"/>
      <c r="V718" s="1278"/>
      <c r="W718" s="1278"/>
      <c r="X718" s="1563"/>
      <c r="Y718" s="1278"/>
      <c r="Z718" s="1546"/>
      <c r="AA718" s="1278"/>
      <c r="AB718" s="300" t="str">
        <f>IF(B717,D718&amp;".6",D718&amp;".4")</f>
        <v>7.6</v>
      </c>
      <c r="AC718" s="762" t="s">
        <v>2316</v>
      </c>
      <c r="AD718" s="300" t="s">
        <v>1514</v>
      </c>
      <c r="AE718" s="7773"/>
      <c r="AF718" s="7773"/>
      <c r="AG718" s="7773"/>
      <c r="AH718" s="943">
        <f>AG718-AF718</f>
        <v>0</v>
      </c>
      <c r="AI718" s="7723"/>
      <c r="AJ718" s="7723">
        <f>_xlfn.SUMIFS('Корректировка НВВ'!$AF$25:$AF$282,'Корректировка НВВ'!$F$25:$F$282,$F718,'Корректировка НВВ'!$I$25:$I$282,$G718)</f>
        <v>0</v>
      </c>
      <c r="AK718" s="7723"/>
      <c r="AL718" s="7723"/>
      <c r="AM718" s="7723"/>
      <c r="AN718" s="7723"/>
      <c r="AO718" s="1253"/>
      <c r="AP718" s="1253"/>
      <c r="AQ718" s="1253"/>
      <c r="AR718" s="1253"/>
      <c r="AS718" s="1253"/>
      <c r="AT718" s="7723">
        <f>_xlfn.SUMIFS('Корректировка НВВ'!$AG$25:$AG$282,'Корректировка НВВ'!$F$25:$F$282,$F718,'Корректировка НВВ'!$I$25:$I$282,$G718)</f>
        <v>0</v>
      </c>
      <c r="AU718" s="7723"/>
      <c r="AV718" s="7723"/>
      <c r="AW718" s="7723"/>
      <c r="AX718" s="7723"/>
      <c r="AY718" s="1253"/>
      <c r="AZ718" s="1253"/>
      <c r="BA718" s="1253"/>
      <c r="BB718" s="1253"/>
      <c r="BC718" s="1253"/>
      <c r="BD718" s="942"/>
      <c r="BE718" s="942"/>
      <c r="BF718" s="942"/>
      <c r="BG718" s="942"/>
      <c r="BH718" s="942"/>
      <c r="BI718" s="942"/>
      <c r="BJ718" s="942"/>
      <c r="BK718" s="942"/>
      <c r="BL718" s="942"/>
      <c r="BM718" s="942"/>
      <c r="BN718" s="7771"/>
      <c r="BO718" s="7724" t="str">
        <f>IF(_xlfn.IFERROR(INDEX('Корректировка НВВ'!$K$26:$L$282,MATCH($F718&amp;"5komm",'Корректировка НВВ'!$K$26:$K$282,0),2),"")=0,"",_xlfn.IFERROR(INDEX('Корректировка НВВ'!$K$26:$L$282,MATCH($F718&amp;"5komm",'Корректировка НВВ'!$K$26:$K$282,0),2),""))</f>
        <v/>
      </c>
      <c r="BP718" s="7771"/>
      <c r="BQ718" s="1278"/>
      <c r="BR718" s="1278"/>
      <c r="BS718" s="1064" t="s">
        <v>2885</v>
      </c>
      <c r="BT718" s="1064"/>
      <c r="BU718" s="1064"/>
      <c r="BV718" s="979"/>
      <c r="BW718" s="979"/>
    </row>
    <row s="1834" customFormat="1" customHeight="1" ht="14.25">
      <c r="A719" s="1278"/>
      <c r="B719" s="978"/>
      <c r="C719" s="1278"/>
      <c r="D719" s="107" cm="1" t="str">
        <f t="array" ref="D719:D719">D718</f>
        <v>7</v>
      </c>
      <c r="E719" s="703">
        <v>15</v>
      </c>
      <c r="F719" s="50" cm="1" t="str">
        <f t="array" ref="F719:F719">OFFSET(E719,-1,1)</f>
        <v>4</v>
      </c>
      <c r="G719" s="158" t="s">
        <v>2886</v>
      </c>
      <c r="H719" s="1278"/>
      <c r="I719" s="158" t="s">
        <v>2561</v>
      </c>
      <c r="J719" s="1278"/>
      <c r="K719" s="158" t="s">
        <v>2561</v>
      </c>
      <c r="L719" s="980" t="s">
        <v>1493</v>
      </c>
      <c r="M719" s="107"/>
      <c r="N719" s="1278"/>
      <c r="O719" s="1278"/>
      <c r="P719" s="1278"/>
      <c r="Q719" s="1278"/>
      <c r="R719" s="1278"/>
      <c r="S719" s="1278"/>
      <c r="T719" s="465" cm="1" t="str">
        <f t="array" ref="T719:T719">T718</f>
        <v>true</v>
      </c>
      <c r="U719" s="1278"/>
      <c r="V719" s="1278"/>
      <c r="W719" s="1278"/>
      <c r="X719" s="1563"/>
      <c r="Y719" s="1278"/>
      <c r="Z719" s="1546"/>
      <c r="AA719" s="1278"/>
      <c r="AB719" s="300" t="str">
        <f>IF(B717,D718&amp;".7",D718&amp;".5")</f>
        <v>7.7</v>
      </c>
      <c r="AC719" s="762" t="s">
        <v>2278</v>
      </c>
      <c r="AD719" s="300" t="s">
        <v>1514</v>
      </c>
      <c r="AE719" s="7773">
        <f>AE720+AE721</f>
        <v>0</v>
      </c>
      <c r="AF719" s="7773">
        <f>AF720+AF721</f>
        <v>0</v>
      </c>
      <c r="AG719" s="7773">
        <f>AG720+AG721</f>
        <v>0</v>
      </c>
      <c r="AH719" s="943">
        <f>AG719-AF719</f>
        <v>0</v>
      </c>
      <c r="AI719" s="7723">
        <f>AI720+AI721</f>
        <v>0</v>
      </c>
      <c r="AJ719" s="7723">
        <f>_xlfn.SUMIFS('Корректировка НВВ'!$AF$25:$AF$282,'Корректировка НВВ'!$F$25:$F$282,$F719,'Корректировка НВВ'!$I$25:$I$282,$G719)</f>
        <v>0</v>
      </c>
      <c r="AK719" s="7723">
        <f>AK720+AK721</f>
        <v>0</v>
      </c>
      <c r="AL719" s="7723">
        <f>AL720+AL721</f>
        <v>0</v>
      </c>
      <c r="AM719" s="7723">
        <f>AM720+AM721</f>
        <v>0</v>
      </c>
      <c r="AN719" s="7723">
        <f>AN720+AN721</f>
        <v>0</v>
      </c>
      <c r="AO719" s="1253">
        <f>AO720+AO721</f>
        <v>0</v>
      </c>
      <c r="AP719" s="1253">
        <f>AP720+AP721</f>
        <v>0</v>
      </c>
      <c r="AQ719" s="1253">
        <f>AQ720+AQ721</f>
        <v>0</v>
      </c>
      <c r="AR719" s="1253">
        <f>AR720+AR721</f>
        <v>0</v>
      </c>
      <c r="AS719" s="1253">
        <f>AS720+AS721</f>
        <v>0</v>
      </c>
      <c r="AT719" s="7723">
        <f>_xlfn.SUMIFS('Корректировка НВВ'!$AG$25:$AG$282,'Корректировка НВВ'!$F$25:$F$282,$F719,'Корректировка НВВ'!$I$25:$I$282,$G719)</f>
        <v>0</v>
      </c>
      <c r="AU719" s="7723">
        <f>AU720+AU721</f>
        <v>0</v>
      </c>
      <c r="AV719" s="7723">
        <f>AV720+AV721</f>
        <v>0</v>
      </c>
      <c r="AW719" s="7723">
        <f>AW720+AW721</f>
        <v>0</v>
      </c>
      <c r="AX719" s="7723">
        <f>AX720+AX721</f>
        <v>0</v>
      </c>
      <c r="AY719" s="1253">
        <f>AY720+AY721</f>
        <v>0</v>
      </c>
      <c r="AZ719" s="1253">
        <f>AZ720+AZ721</f>
        <v>0</v>
      </c>
      <c r="BA719" s="1253">
        <f>BA720+BA721</f>
        <v>0</v>
      </c>
      <c r="BB719" s="1253">
        <f>BB720+BB721</f>
        <v>0</v>
      </c>
      <c r="BC719" s="1253">
        <f>BC720+BC721</f>
        <v>0</v>
      </c>
      <c r="BD719" s="943">
        <f>IF(AI719=0,0,(AT719-AI719)/AI719*100)</f>
        <v>0</v>
      </c>
      <c r="BE719" s="943">
        <f>IF(AT719=0,0,(AU719-AT719)/AT719*100)</f>
        <v>0</v>
      </c>
      <c r="BF719" s="943">
        <f>IF(AU719=0,0,(AV719-AU719)/AU719*100)</f>
        <v>0</v>
      </c>
      <c r="BG719" s="943">
        <f>IF(AV719=0,0,(AW719-AV719)/AV719*100)</f>
        <v>0</v>
      </c>
      <c r="BH719" s="943">
        <f>IF(AW719=0,0,(AX719-AW719)/AW719*100)</f>
        <v>0</v>
      </c>
      <c r="BI719" s="943">
        <f>IF(AX719=0,0,(AY719-AX719)/AX719*100)</f>
        <v>0</v>
      </c>
      <c r="BJ719" s="943">
        <f>IF(AY719=0,0,(AZ719-AY719)/AY719*100)</f>
        <v>0</v>
      </c>
      <c r="BK719" s="943">
        <f>IF(AZ719=0,0,(BA719-AZ719)/AZ719*100)</f>
        <v>0</v>
      </c>
      <c r="BL719" s="943">
        <f>IF(BA719=0,0,(BB719-BA719)/BA719*100)</f>
        <v>0</v>
      </c>
      <c r="BM719" s="943">
        <f>IF(BB719=0,0,(BC719-BB719)/BB719*100)</f>
        <v>0</v>
      </c>
      <c r="BN719" s="7771"/>
      <c r="BO719" s="7724" t="str">
        <f>IF(_xlfn.IFERROR(INDEX('Корректировка НВВ'!$K$26:$L$282,MATCH($F719&amp;"6komm",'Корректировка НВВ'!$K$26:$K$282,0),2),"")=0,"",_xlfn.IFERROR(INDEX('Корректировка НВВ'!$K$26:$L$282,MATCH($F719&amp;"6komm",'Корректировка НВВ'!$K$26:$K$282,0),2),""))</f>
        <v/>
      </c>
      <c r="BP719" s="7771"/>
      <c r="BQ719" s="1278"/>
      <c r="BR719" s="1278"/>
      <c r="BS719" s="1064" t="s">
        <v>2280</v>
      </c>
      <c r="BT719" s="1064"/>
      <c r="BU719" s="1064"/>
      <c r="BV719" s="979"/>
      <c r="BW719" s="979"/>
    </row>
    <row s="1834" customFormat="1" customHeight="1" ht="21.75">
      <c r="A720" s="1278"/>
      <c r="B720" s="978"/>
      <c r="C720" s="1278"/>
      <c r="D720" s="107" cm="1" t="str">
        <f t="array" ref="D720:D720">D719</f>
        <v>7</v>
      </c>
      <c r="E720" s="703">
        <v>22.5</v>
      </c>
      <c r="F720" s="50" cm="1" t="str">
        <f t="array" ref="F720:F720">OFFSET(E720,-1,1)</f>
        <v>4</v>
      </c>
      <c r="G720" s="158" t="s">
        <v>2887</v>
      </c>
      <c r="H720" s="1278"/>
      <c r="I720" s="158" t="s">
        <v>2888</v>
      </c>
      <c r="J720" s="1278"/>
      <c r="K720" s="158" t="s">
        <v>2888</v>
      </c>
      <c r="L720" s="980" t="s">
        <v>2556</v>
      </c>
      <c r="M720" s="107"/>
      <c r="N720" s="1278"/>
      <c r="O720" s="1278"/>
      <c r="P720" s="1278"/>
      <c r="Q720" s="1278"/>
      <c r="R720" s="1278"/>
      <c r="S720" s="1278"/>
      <c r="T720" s="465" cm="1" t="str">
        <f t="array" ref="T720:T720">T719</f>
        <v>true</v>
      </c>
      <c r="U720" s="1278"/>
      <c r="V720" s="1278"/>
      <c r="W720" s="1278"/>
      <c r="X720" s="1563"/>
      <c r="Y720" s="1278"/>
      <c r="Z720" s="1546"/>
      <c r="AA720" s="1278"/>
      <c r="AB720" s="300" t="str">
        <f>AB719&amp;".1"</f>
        <v>7.7.1</v>
      </c>
      <c r="AC720" s="781" t="s">
        <v>2281</v>
      </c>
      <c r="AD720" s="300" t="s">
        <v>1514</v>
      </c>
      <c r="AE720" s="7773"/>
      <c r="AF720" s="7773"/>
      <c r="AG720" s="7773"/>
      <c r="AH720" s="943">
        <f>AG720-AF720</f>
        <v>0</v>
      </c>
      <c r="AI720" s="7723"/>
      <c r="AJ720" s="7723">
        <f>_xlfn.SUMIFS('Корректировка НВВ'!$AF$25:$AF$282,'Корректировка НВВ'!$F$25:$F$282,$F720,'Корректировка НВВ'!$I$25:$I$282,$G720)</f>
        <v>0</v>
      </c>
      <c r="AK720" s="7723"/>
      <c r="AL720" s="7723"/>
      <c r="AM720" s="7723"/>
      <c r="AN720" s="7723"/>
      <c r="AO720" s="1253"/>
      <c r="AP720" s="1253"/>
      <c r="AQ720" s="1253"/>
      <c r="AR720" s="1253"/>
      <c r="AS720" s="1253"/>
      <c r="AT720" s="7723">
        <f>_xlfn.SUMIFS('Корректировка НВВ'!$AG$25:$AG$282,'Корректировка НВВ'!$F$25:$F$282,$F720,'Корректировка НВВ'!$I$25:$I$282,$G720)</f>
        <v>0</v>
      </c>
      <c r="AU720" s="7723"/>
      <c r="AV720" s="7723"/>
      <c r="AW720" s="7723"/>
      <c r="AX720" s="7723"/>
      <c r="AY720" s="1253"/>
      <c r="AZ720" s="1253"/>
      <c r="BA720" s="1253"/>
      <c r="BB720" s="1253"/>
      <c r="BC720" s="1253"/>
      <c r="BD720" s="942"/>
      <c r="BE720" s="942"/>
      <c r="BF720" s="942"/>
      <c r="BG720" s="942"/>
      <c r="BH720" s="942"/>
      <c r="BI720" s="942"/>
      <c r="BJ720" s="942"/>
      <c r="BK720" s="942"/>
      <c r="BL720" s="942"/>
      <c r="BM720" s="942"/>
      <c r="BN720" s="7771"/>
      <c r="BO720" s="7724" t="str">
        <f>IF(_xlfn.IFERROR(INDEX('Корректировка НВВ'!$K$26:$L$282,MATCH($F720&amp;"7komm",'Корректировка НВВ'!$K$26:$K$282,0),2),"")=0,"",_xlfn.IFERROR(INDEX('Корректировка НВВ'!$K$26:$L$282,MATCH($F720&amp;"7komm",'Корректировка НВВ'!$K$26:$K$282,0),2),""))</f>
        <v/>
      </c>
      <c r="BP720" s="7771"/>
      <c r="BQ720" s="1278"/>
      <c r="BR720" s="1278"/>
      <c r="BS720" s="1064" t="s">
        <v>2282</v>
      </c>
      <c r="BT720" s="1064"/>
      <c r="BU720" s="1064"/>
      <c r="BV720" s="979"/>
      <c r="BW720" s="979"/>
    </row>
    <row s="1834" customFormat="1" customHeight="1" ht="21.75">
      <c r="A721" s="1278"/>
      <c r="B721" s="978"/>
      <c r="C721" s="1278"/>
      <c r="D721" s="107" cm="1" t="str">
        <f t="array" ref="D721:D721">D720</f>
        <v>7</v>
      </c>
      <c r="E721" s="703">
        <v>22.5</v>
      </c>
      <c r="F721" s="50" cm="1" t="str">
        <f t="array" ref="F721:F721">OFFSET(E721,-1,1)</f>
        <v>4</v>
      </c>
      <c r="G721" s="158" t="s">
        <v>2889</v>
      </c>
      <c r="H721" s="1278"/>
      <c r="I721" s="158" t="s">
        <v>2890</v>
      </c>
      <c r="J721" s="1278"/>
      <c r="K721" s="158" t="s">
        <v>2890</v>
      </c>
      <c r="L721" s="980" t="s">
        <v>2558</v>
      </c>
      <c r="M721" s="107"/>
      <c r="N721" s="1278"/>
      <c r="O721" s="1278"/>
      <c r="P721" s="1278"/>
      <c r="Q721" s="1278"/>
      <c r="R721" s="1278"/>
      <c r="S721" s="1278"/>
      <c r="T721" s="465" cm="1" t="str">
        <f t="array" ref="T721:T721">T720</f>
        <v>true</v>
      </c>
      <c r="U721" s="1278"/>
      <c r="V721" s="1278"/>
      <c r="W721" s="1278"/>
      <c r="X721" s="1563"/>
      <c r="Y721" s="1278"/>
      <c r="Z721" s="1546"/>
      <c r="AA721" s="1278"/>
      <c r="AB721" s="300" t="str">
        <f>AB719&amp;".2"</f>
        <v>7.7.2</v>
      </c>
      <c r="AC721" s="781" t="s">
        <v>2283</v>
      </c>
      <c r="AD721" s="300" t="s">
        <v>1514</v>
      </c>
      <c r="AE721" s="7773"/>
      <c r="AF721" s="7773"/>
      <c r="AG721" s="7773"/>
      <c r="AH721" s="943">
        <f>AG721-AF721</f>
        <v>0</v>
      </c>
      <c r="AI721" s="7723"/>
      <c r="AJ721" s="7723">
        <f>_xlfn.SUMIFS('Корректировка НВВ'!$AF$25:$AF$282,'Корректировка НВВ'!$F$25:$F$282,$F721,'Корректировка НВВ'!$I$25:$I$282,$G721)</f>
        <v>0</v>
      </c>
      <c r="AK721" s="7723"/>
      <c r="AL721" s="7723"/>
      <c r="AM721" s="7723"/>
      <c r="AN721" s="7723"/>
      <c r="AO721" s="1253"/>
      <c r="AP721" s="1253"/>
      <c r="AQ721" s="1253"/>
      <c r="AR721" s="1253"/>
      <c r="AS721" s="1253"/>
      <c r="AT721" s="7723">
        <f>_xlfn.SUMIFS('Корректировка НВВ'!$AG$25:$AG$282,'Корректировка НВВ'!$F$25:$F$282,$F721,'Корректировка НВВ'!$I$25:$I$282,$G721)</f>
        <v>0</v>
      </c>
      <c r="AU721" s="7723"/>
      <c r="AV721" s="7723"/>
      <c r="AW721" s="7723"/>
      <c r="AX721" s="7723"/>
      <c r="AY721" s="1253"/>
      <c r="AZ721" s="1253"/>
      <c r="BA721" s="1253"/>
      <c r="BB721" s="1253"/>
      <c r="BC721" s="1253"/>
      <c r="BD721" s="942"/>
      <c r="BE721" s="942"/>
      <c r="BF721" s="942"/>
      <c r="BG721" s="942"/>
      <c r="BH721" s="942"/>
      <c r="BI721" s="942"/>
      <c r="BJ721" s="942"/>
      <c r="BK721" s="942"/>
      <c r="BL721" s="942"/>
      <c r="BM721" s="942"/>
      <c r="BN721" s="7771"/>
      <c r="BO721" s="7724" t="str">
        <f>IF(_xlfn.IFERROR(INDEX('Корректировка НВВ'!$K$26:$L$282,MATCH($F721&amp;"8komm",'Корректировка НВВ'!$K$26:$K$282,0),2),"")=0,"",_xlfn.IFERROR(INDEX('Корректировка НВВ'!$K$26:$L$282,MATCH($F721&amp;"8komm",'Корректировка НВВ'!$K$26:$K$282,0),2),""))</f>
        <v/>
      </c>
      <c r="BP721" s="7771"/>
      <c r="BQ721" s="1278"/>
      <c r="BR721" s="1278"/>
      <c r="BS721" s="1064" t="s">
        <v>2284</v>
      </c>
      <c r="BT721" s="1064"/>
      <c r="BU721" s="1064"/>
      <c r="BV721" s="979"/>
      <c r="BW721" s="979"/>
    </row>
    <row s="1834" customFormat="1" customHeight="1" ht="14.25">
      <c r="A722" s="1278"/>
      <c r="B722" s="978"/>
      <c r="C722" s="1278"/>
      <c r="D722" s="107" cm="1" t="str">
        <f t="array" ref="D722:D722">D721</f>
        <v>7</v>
      </c>
      <c r="E722" s="703">
        <v>15</v>
      </c>
      <c r="F722" s="50" cm="1" t="str">
        <f t="array" ref="F722:F722">OFFSET(E722,-1,1)</f>
        <v>4</v>
      </c>
      <c r="G722" s="158" t="s">
        <v>320</v>
      </c>
      <c r="H722" s="1278"/>
      <c r="I722" s="158" t="s">
        <v>2562</v>
      </c>
      <c r="J722" s="1278"/>
      <c r="K722" s="158" t="s">
        <v>2562</v>
      </c>
      <c r="L722" s="980" t="s">
        <v>2561</v>
      </c>
      <c r="M722" s="107"/>
      <c r="N722" s="1278"/>
      <c r="O722" s="1278"/>
      <c r="P722" s="1278"/>
      <c r="Q722" s="1278"/>
      <c r="R722" s="1278"/>
      <c r="S722" s="1278"/>
      <c r="T722" s="465" cm="1" t="str">
        <f t="array" ref="T722:T722">T721</f>
        <v>true</v>
      </c>
      <c r="U722" s="1278"/>
      <c r="V722" s="1278"/>
      <c r="W722" s="1278"/>
      <c r="X722" s="1563"/>
      <c r="Y722" s="1278"/>
      <c r="Z722" s="1546"/>
      <c r="AA722" s="1278"/>
      <c r="AB722" s="300" t="str">
        <f>IF(B717,D718&amp;".8",D718&amp;".6")</f>
        <v>7.8</v>
      </c>
      <c r="AC722" s="782" t="s">
        <v>2285</v>
      </c>
      <c r="AD722" s="300" t="s">
        <v>1514</v>
      </c>
      <c r="AE722" s="7773"/>
      <c r="AF722" s="7773"/>
      <c r="AG722" s="7773"/>
      <c r="AH722" s="943">
        <f>AG722-AF722</f>
        <v>0</v>
      </c>
      <c r="AI722" s="7723"/>
      <c r="AJ722" s="7723">
        <f>_xlfn.SUMIFS('Корректировка НВВ'!$AF$25:$AF$282,'Корректировка НВВ'!$F$25:$F$282,$F722,'Корректировка НВВ'!$I$25:$I$282,$G722)</f>
        <v>0</v>
      </c>
      <c r="AK722" s="7723"/>
      <c r="AL722" s="7723"/>
      <c r="AM722" s="7723"/>
      <c r="AN722" s="7723"/>
      <c r="AO722" s="1253"/>
      <c r="AP722" s="1253"/>
      <c r="AQ722" s="1253"/>
      <c r="AR722" s="1253"/>
      <c r="AS722" s="1253"/>
      <c r="AT722" s="7723">
        <f>_xlfn.SUMIFS('Корректировка НВВ'!$AG$25:$AG$282,'Корректировка НВВ'!$F$25:$F$282,$F722,'Корректировка НВВ'!$I$25:$I$282,$G722)</f>
        <v>0</v>
      </c>
      <c r="AU722" s="7723"/>
      <c r="AV722" s="7723"/>
      <c r="AW722" s="7723"/>
      <c r="AX722" s="7723"/>
      <c r="AY722" s="1253"/>
      <c r="AZ722" s="1253"/>
      <c r="BA722" s="1253"/>
      <c r="BB722" s="1253"/>
      <c r="BC722" s="1253"/>
      <c r="BD722" s="942"/>
      <c r="BE722" s="942"/>
      <c r="BF722" s="942"/>
      <c r="BG722" s="942"/>
      <c r="BH722" s="942"/>
      <c r="BI722" s="942"/>
      <c r="BJ722" s="942"/>
      <c r="BK722" s="942"/>
      <c r="BL722" s="942"/>
      <c r="BM722" s="942"/>
      <c r="BN722" s="7771"/>
      <c r="BO722" s="7724" t="str">
        <f>IF(_xlfn.IFERROR(INDEX('Корректировка НВВ'!$K$26:$L$282,MATCH($F722&amp;"9komm",'Корректировка НВВ'!$K$26:$K$282,0),2),"")=0,"",_xlfn.IFERROR(INDEX('Корректировка НВВ'!$K$26:$L$282,MATCH($F722&amp;"9komm",'Корректировка НВВ'!$K$26:$K$282,0),2),""))</f>
        <v/>
      </c>
      <c r="BP722" s="7771"/>
      <c r="BQ722" s="1278"/>
      <c r="BR722" s="1278"/>
      <c r="BS722" s="1064" t="s">
        <v>2891</v>
      </c>
      <c r="BT722" s="1064"/>
      <c r="BU722" s="1064"/>
      <c r="BV722" s="979"/>
      <c r="BW722" s="979"/>
    </row>
    <row s="1834" customFormat="1" customHeight="1" ht="14.25">
      <c r="A723" s="1278"/>
      <c r="B723" s="978"/>
      <c r="C723" s="1278"/>
      <c r="D723" s="107" cm="1" t="str">
        <f t="array" ref="D723:D723">D722</f>
        <v>7</v>
      </c>
      <c r="E723" s="703">
        <v>15</v>
      </c>
      <c r="F723" s="50" cm="1" t="str">
        <f t="array" ref="F723:F723">OFFSET(E723,-1,1)</f>
        <v>4</v>
      </c>
      <c r="G723" s="158" t="s">
        <v>2892</v>
      </c>
      <c r="H723" s="1278"/>
      <c r="I723" s="158" t="s">
        <v>2563</v>
      </c>
      <c r="J723" s="1278"/>
      <c r="K723" s="158" t="s">
        <v>2563</v>
      </c>
      <c r="L723" s="980" t="s">
        <v>2562</v>
      </c>
      <c r="M723" s="107"/>
      <c r="N723" s="1278"/>
      <c r="O723" s="1278"/>
      <c r="P723" s="1278"/>
      <c r="Q723" s="1278"/>
      <c r="R723" s="1278"/>
      <c r="S723" s="1278"/>
      <c r="T723" s="465" cm="1" t="str">
        <f t="array" ref="T723:T723">T722</f>
        <v>true</v>
      </c>
      <c r="U723" s="1278"/>
      <c r="V723" s="1278"/>
      <c r="W723" s="1278"/>
      <c r="X723" s="1563"/>
      <c r="Y723" s="1278"/>
      <c r="Z723" s="1546"/>
      <c r="AA723" s="1278"/>
      <c r="AB723" s="300" t="str">
        <f>IF(B717,D718&amp;".9",D718&amp;".7")</f>
        <v>7.9</v>
      </c>
      <c r="AC723" s="782" t="s">
        <v>2287</v>
      </c>
      <c r="AD723" s="300" t="s">
        <v>1514</v>
      </c>
      <c r="AE723" s="7773"/>
      <c r="AF723" s="7773"/>
      <c r="AG723" s="7773"/>
      <c r="AH723" s="943">
        <f>AG723-AF723</f>
        <v>0</v>
      </c>
      <c r="AI723" s="7723"/>
      <c r="AJ723" s="7723">
        <f>_xlfn.SUMIFS('Корректировка НВВ'!$AF$25:$AF$282,'Корректировка НВВ'!$F$25:$F$282,$F723,'Корректировка НВВ'!$I$25:$I$282,$G723)</f>
        <v>0</v>
      </c>
      <c r="AK723" s="7723"/>
      <c r="AL723" s="7723"/>
      <c r="AM723" s="7723"/>
      <c r="AN723" s="7723"/>
      <c r="AO723" s="1253"/>
      <c r="AP723" s="1253"/>
      <c r="AQ723" s="1253"/>
      <c r="AR723" s="1253"/>
      <c r="AS723" s="1253"/>
      <c r="AT723" s="7723">
        <f>_xlfn.SUMIFS('Корректировка НВВ'!$AG$25:$AG$282,'Корректировка НВВ'!$F$25:$F$282,$F723,'Корректировка НВВ'!$I$25:$I$282,$G723)</f>
        <v>0</v>
      </c>
      <c r="AU723" s="7723"/>
      <c r="AV723" s="7723"/>
      <c r="AW723" s="7723"/>
      <c r="AX723" s="7723"/>
      <c r="AY723" s="1253"/>
      <c r="AZ723" s="1253"/>
      <c r="BA723" s="1253"/>
      <c r="BB723" s="1253"/>
      <c r="BC723" s="1253"/>
      <c r="BD723" s="942"/>
      <c r="BE723" s="942"/>
      <c r="BF723" s="942"/>
      <c r="BG723" s="942"/>
      <c r="BH723" s="942"/>
      <c r="BI723" s="942"/>
      <c r="BJ723" s="942"/>
      <c r="BK723" s="942"/>
      <c r="BL723" s="942"/>
      <c r="BM723" s="942"/>
      <c r="BN723" s="7771"/>
      <c r="BO723" s="7724" t="str">
        <f>IF(_xlfn.IFERROR(INDEX('Корректировка НВВ'!$K$26:$L$282,MATCH($F723&amp;"10komm",'Корректировка НВВ'!$K$26:$K$282,0),2),"")=0,"",_xlfn.IFERROR(INDEX('Корректировка НВВ'!$K$26:$L$282,MATCH($F723&amp;"10komm",'Корректировка НВВ'!$K$26:$K$282,0),2),""))</f>
        <v/>
      </c>
      <c r="BP723" s="7771"/>
      <c r="BQ723" s="1278"/>
      <c r="BR723" s="1278"/>
      <c r="BS723" s="1064" t="s">
        <v>2288</v>
      </c>
      <c r="BT723" s="1064"/>
      <c r="BU723" s="1064"/>
      <c r="BV723" s="979"/>
      <c r="BW723" s="979"/>
    </row>
    <row s="7959" customFormat="1" customHeight="1" ht="20.25">
      <c r="A724" s="700"/>
      <c r="B724" s="435"/>
      <c r="C724" s="700"/>
      <c r="D724" s="109">
        <f>D723+1</f>
        <v>8</v>
      </c>
      <c r="E724" s="707">
        <v>21</v>
      </c>
      <c r="F724" s="50" cm="1" t="str">
        <f t="array" ref="F724:F724">OFFSET(E724,-1,1)</f>
        <v>4</v>
      </c>
      <c r="G724" s="700"/>
      <c r="H724" s="700"/>
      <c r="I724" s="162" t="s">
        <v>1297</v>
      </c>
      <c r="J724" s="700"/>
      <c r="K724" s="162" t="s">
        <v>1297</v>
      </c>
      <c r="L724" s="985"/>
      <c r="M724" s="109"/>
      <c r="N724" s="700"/>
      <c r="O724" s="700"/>
      <c r="P724" s="700"/>
      <c r="Q724" s="700"/>
      <c r="R724" s="700"/>
      <c r="S724" s="700"/>
      <c r="T724" s="465" cm="1" t="str">
        <f t="array" ref="T724:T724">T723</f>
        <v>true</v>
      </c>
      <c r="U724" s="700"/>
      <c r="V724" s="700"/>
      <c r="W724" s="700"/>
      <c r="X724" s="1563"/>
      <c r="Y724" s="700"/>
      <c r="Z724" s="1546"/>
      <c r="AA724" s="700"/>
      <c r="AB724" s="211" cm="1" t="str">
        <f t="array" ref="AB724:AB724">D724</f>
        <v>8</v>
      </c>
      <c r="AC724" s="212" t="s">
        <v>2893</v>
      </c>
      <c r="AD724" s="211" t="s">
        <v>1514</v>
      </c>
      <c r="AE724" s="7432"/>
      <c r="AF724" s="7432"/>
      <c r="AG724" s="7432"/>
      <c r="AH724" s="761">
        <f>AG724-AF724</f>
        <v>0</v>
      </c>
      <c r="AI724" s="7719"/>
      <c r="AJ724" s="7719"/>
      <c r="AK724" s="7719"/>
      <c r="AL724" s="7719"/>
      <c r="AM724" s="7719"/>
      <c r="AN724" s="7719"/>
      <c r="AO724" s="1246"/>
      <c r="AP724" s="1246"/>
      <c r="AQ724" s="1246"/>
      <c r="AR724" s="1246"/>
      <c r="AS724" s="1246"/>
      <c r="AT724" s="7719"/>
      <c r="AU724" s="7719"/>
      <c r="AV724" s="7719"/>
      <c r="AW724" s="7719"/>
      <c r="AX724" s="7719"/>
      <c r="AY724" s="1246"/>
      <c r="AZ724" s="1246"/>
      <c r="BA724" s="1246"/>
      <c r="BB724" s="1246"/>
      <c r="BC724" s="1246"/>
      <c r="BD724" s="764"/>
      <c r="BE724" s="764"/>
      <c r="BF724" s="764"/>
      <c r="BG724" s="764"/>
      <c r="BH724" s="764"/>
      <c r="BI724" s="764"/>
      <c r="BJ724" s="764"/>
      <c r="BK724" s="764"/>
      <c r="BL724" s="764"/>
      <c r="BM724" s="764"/>
      <c r="BN724" s="7436"/>
      <c r="BO724" s="7436"/>
      <c r="BP724" s="7436"/>
      <c r="BQ724" s="700"/>
      <c r="BR724" s="700"/>
      <c r="BS724" s="1070" t="s">
        <v>2894</v>
      </c>
      <c r="BT724" s="1070"/>
      <c r="BU724" s="1070"/>
      <c r="BV724" s="707"/>
      <c r="BW724" s="707"/>
    </row>
    <row s="1834" customFormat="1" customHeight="1" ht="14.25">
      <c r="A725" s="1278"/>
      <c r="B725" s="978"/>
      <c r="C725" s="1278"/>
      <c r="D725" s="109" cm="1" t="str">
        <f t="array" ref="D725:D725">D724</f>
        <v>8</v>
      </c>
      <c r="E725" s="703">
        <v>15</v>
      </c>
      <c r="F725" s="50" cm="1" t="str">
        <f t="array" ref="F725:F725">OFFSET(E725,-1,1)</f>
        <v>4</v>
      </c>
      <c r="G725" s="1278"/>
      <c r="H725" s="1278"/>
      <c r="I725" s="158" t="s">
        <v>1300</v>
      </c>
      <c r="J725" s="1278"/>
      <c r="K725" s="158" t="s">
        <v>1300</v>
      </c>
      <c r="L725" s="980"/>
      <c r="M725" s="107"/>
      <c r="N725" s="1278"/>
      <c r="O725" s="1278"/>
      <c r="P725" s="1278"/>
      <c r="Q725" s="1278"/>
      <c r="R725" s="1278"/>
      <c r="S725" s="1278"/>
      <c r="T725" s="465" cm="1" t="str">
        <f t="array" ref="T725:T725">T724</f>
        <v>true</v>
      </c>
      <c r="U725" s="1278"/>
      <c r="V725" s="1278"/>
      <c r="W725" s="1278"/>
      <c r="X725" s="1563"/>
      <c r="Y725" s="1278"/>
      <c r="Z725" s="1546"/>
      <c r="AA725" s="1278"/>
      <c r="AB725" s="300" t="str">
        <f>D725&amp;".1"</f>
        <v>8.1</v>
      </c>
      <c r="AC725" s="762" t="s">
        <v>2895</v>
      </c>
      <c r="AD725" s="300" t="s">
        <v>1170</v>
      </c>
      <c r="AE725" s="259">
        <f>IF(AE726=0,0,AE724/(AE726+AE711)*100)</f>
        <v>0</v>
      </c>
      <c r="AF725" s="259">
        <f>IF(AF726=0,0,AF724/(AF726+AF711)*100)</f>
        <v>0</v>
      </c>
      <c r="AG725" s="259">
        <f>IF(AG726=0,0,AG724/(AG726+AG711)*100)</f>
        <v>0</v>
      </c>
      <c r="AH725" s="943">
        <f>AG725-AF725</f>
        <v>0</v>
      </c>
      <c r="AI725" s="943">
        <f>IF(AI726=0,0,AI724/(AI726+AI711)*100)</f>
        <v>0</v>
      </c>
      <c r="AJ725" s="943">
        <f>IF(AJ726=0,0,AJ724/(AJ726+AJ711)*100)</f>
        <v>0</v>
      </c>
      <c r="AK725" s="943">
        <f>IF(AK726=0,0,AK724/(AK726+AK711)*100)</f>
        <v>0</v>
      </c>
      <c r="AL725" s="943">
        <f>IF(AL726=0,0,AL724/(AL726+AL711)*100)</f>
        <v>0</v>
      </c>
      <c r="AM725" s="943">
        <f>IF(AM726=0,0,AM724/(AM726+AM711)*100)</f>
        <v>0</v>
      </c>
      <c r="AN725" s="943">
        <f>IF(AN726=0,0,AN724/(AN726+AN711)*100)</f>
        <v>0</v>
      </c>
      <c r="AO725" s="943">
        <f>IF(AO726=0,0,AO724/(AO726+AO711)*100)</f>
        <v>0</v>
      </c>
      <c r="AP725" s="943">
        <f>IF(AP726=0,0,AP724/(AP726+AP711)*100)</f>
        <v>0</v>
      </c>
      <c r="AQ725" s="943">
        <f>IF(AQ726=0,0,AQ724/(AQ726+AQ711)*100)</f>
        <v>0</v>
      </c>
      <c r="AR725" s="943">
        <f>IF(AR726=0,0,AR724/(AR726+AR711)*100)</f>
        <v>0</v>
      </c>
      <c r="AS725" s="943">
        <f>IF(AS726=0,0,AS724/(AS726+AS711)*100)</f>
        <v>0</v>
      </c>
      <c r="AT725" s="943">
        <f>IF(AT726=0,0,AT724/(AT726+AT711)*100)</f>
        <v>0</v>
      </c>
      <c r="AU725" s="943">
        <f>IF(AU726=0,0,AU724/(AU726+AU711)*100)</f>
        <v>0</v>
      </c>
      <c r="AV725" s="943">
        <f>IF(AV726=0,0,AV724/(AV726+AV711)*100)</f>
        <v>0</v>
      </c>
      <c r="AW725" s="943">
        <f>IF(AW726=0,0,AW724/(AW726+AW711)*100)</f>
        <v>0</v>
      </c>
      <c r="AX725" s="943">
        <f>IF(AX726=0,0,AX724/(AX726+AX711)*100)</f>
        <v>0</v>
      </c>
      <c r="AY725" s="943">
        <f>IF(AY726=0,0,AY724/(AY726+AY711)*100)</f>
        <v>0</v>
      </c>
      <c r="AZ725" s="943">
        <f>IF(AZ726=0,0,AZ724/(AZ726+AZ711)*100)</f>
        <v>0</v>
      </c>
      <c r="BA725" s="943">
        <f>IF(BA726=0,0,BA724/(BA726+BA711)*100)</f>
        <v>0</v>
      </c>
      <c r="BB725" s="943">
        <f>IF(BB726=0,0,BB724/(BB726+BB711)*100)</f>
        <v>0</v>
      </c>
      <c r="BC725" s="943">
        <f>IF(BC726=0,0,BC724/(BC726+BC711)*100)</f>
        <v>0</v>
      </c>
      <c r="BD725" s="942"/>
      <c r="BE725" s="942"/>
      <c r="BF725" s="942"/>
      <c r="BG725" s="942"/>
      <c r="BH725" s="942"/>
      <c r="BI725" s="942"/>
      <c r="BJ725" s="942"/>
      <c r="BK725" s="942"/>
      <c r="BL725" s="942"/>
      <c r="BM725" s="942"/>
      <c r="BN725" s="7771"/>
      <c r="BO725" s="7771"/>
      <c r="BP725" s="7771"/>
      <c r="BQ725" s="1278"/>
      <c r="BR725" s="1278"/>
      <c r="BS725" s="1064" t="s">
        <v>2896</v>
      </c>
      <c r="BT725" s="1064"/>
      <c r="BU725" s="1064"/>
      <c r="BV725" s="979"/>
      <c r="BW725" s="979"/>
    </row>
    <row s="7960" customFormat="1" customHeight="1" ht="20.25">
      <c r="A726" s="700"/>
      <c r="B726" s="435"/>
      <c r="C726" s="700"/>
      <c r="D726" s="109">
        <f>D725+1</f>
        <v>9</v>
      </c>
      <c r="E726" s="707">
        <v>21</v>
      </c>
      <c r="F726" s="50" cm="1" t="str">
        <f t="array" ref="F726:F726">OFFSET(E726,-1,1)</f>
        <v>4</v>
      </c>
      <c r="G726" s="700"/>
      <c r="H726" s="158"/>
      <c r="I726" s="158" t="s">
        <v>1454</v>
      </c>
      <c r="J726" s="700"/>
      <c r="K726" s="158" t="s">
        <v>1454</v>
      </c>
      <c r="L726" s="985" t="s">
        <v>2563</v>
      </c>
      <c r="M726" s="109"/>
      <c r="N726" s="700"/>
      <c r="O726" s="700"/>
      <c r="P726" s="700"/>
      <c r="Q726" s="700"/>
      <c r="R726" s="700"/>
      <c r="S726" s="700"/>
      <c r="T726" s="465" cm="1" t="str">
        <f t="array" ref="T726:T726">T725</f>
        <v>true</v>
      </c>
      <c r="U726" s="700"/>
      <c r="V726" s="700"/>
      <c r="W726" s="700"/>
      <c r="X726" s="1563"/>
      <c r="Y726" s="700"/>
      <c r="Z726" s="1546"/>
      <c r="AA726" s="700"/>
      <c r="AB726" s="211" cm="1" t="str">
        <f t="array" ref="AB726:AB726">D726</f>
        <v>9</v>
      </c>
      <c r="AC726" s="212" t="s">
        <v>2564</v>
      </c>
      <c r="AD726" s="234" t="s">
        <v>1514</v>
      </c>
      <c r="AE726" s="213">
        <f>AE604+AE654+AE690+AE691+AE693+AE698+AE699+AE702</f>
        <v>0</v>
      </c>
      <c r="AF726" s="213">
        <f>AF604+AF654+AF690+AF691+AF693+AF698+AF699+AF702</f>
        <v>0</v>
      </c>
      <c r="AG726" s="213">
        <f>AG604+AG654+AG690+AG691+AG693+AG698+AG699+AG702</f>
        <v>0</v>
      </c>
      <c r="AH726" s="761">
        <f>AG726-AF726</f>
        <v>0</v>
      </c>
      <c r="AI726" s="213">
        <f>AI604+AI654+AI690+AI691+AI693+AI698+AI699+AI702</f>
        <v>0</v>
      </c>
      <c r="AJ726" s="213">
        <f>AJ604+AJ654+AJ690+AJ691+AJ693+AJ698+AJ699+AJ702</f>
        <v>13060.6009831918</v>
      </c>
      <c r="AK726" s="213">
        <f>AK604+AK654+AK690+AK691+AK693+AK698+AK699+AK702</f>
        <v>13937.8719118847</v>
      </c>
      <c r="AL726" s="213">
        <f>AL604+AL654+AL690+AL691+AL693+AL698+AL699+AL702</f>
        <v>16639.6626866978</v>
      </c>
      <c r="AM726" s="213">
        <f>AM604+AM654+AM690+AM691+AM693+AM698+AM699+AM702</f>
        <v>23116.7108693506</v>
      </c>
      <c r="AN726" s="213">
        <f>AN604+AN654+AN690+AN691+AN693+AN698+AN699+AN702</f>
        <v>48724.2365373347</v>
      </c>
      <c r="AO726" s="213">
        <f>AO604+AO654+AO690+AO691+AO693+AO698+AO699+AO702</f>
        <v>0</v>
      </c>
      <c r="AP726" s="213">
        <f>AP604+AP654+AP690+AP691+AP693+AP698+AP699+AP702</f>
        <v>0</v>
      </c>
      <c r="AQ726" s="213">
        <f>AQ604+AQ654+AQ690+AQ691+AQ693+AQ698+AQ699+AQ702</f>
        <v>0</v>
      </c>
      <c r="AR726" s="213">
        <f>AR604+AR654+AR690+AR691+AR693+AR698+AR699+AR702</f>
        <v>0</v>
      </c>
      <c r="AS726" s="213">
        <f>AS604+AS654+AS690+AS691+AS693+AS698+AS699+AS702</f>
        <v>0</v>
      </c>
      <c r="AT726" s="213">
        <f>AT604+AT654+AT690+AT691+AT693+AT698+AT699+AT702</f>
        <v>13060.6009831918</v>
      </c>
      <c r="AU726" s="213">
        <f>AU604+AU654+AU690+AU691+AU693+AU698+AU699+AU702</f>
        <v>13937.8719118847</v>
      </c>
      <c r="AV726" s="213">
        <f>AV604+AV654+AV690+AV691+AV693+AV698+AV699+AV702</f>
        <v>16639.6626866978</v>
      </c>
      <c r="AW726" s="213">
        <f>AW604+AW654+AW690+AW691+AW693+AW698+AW699+AW702</f>
        <v>23116.7108693506</v>
      </c>
      <c r="AX726" s="213">
        <f>AX604+AX654+AX690+AX691+AX693+AX698+AX699+AX702</f>
        <v>48724.2365373347</v>
      </c>
      <c r="AY726" s="213">
        <f>AY604+AY654+AY690+AY691+AY693+AY698+AY699+AY702</f>
        <v>0</v>
      </c>
      <c r="AZ726" s="213">
        <f>AZ604+AZ654+AZ690+AZ691+AZ693+AZ698+AZ699+AZ702</f>
        <v>0</v>
      </c>
      <c r="BA726" s="213">
        <f>BA604+BA654+BA690+BA691+BA693+BA698+BA699+BA702</f>
        <v>0</v>
      </c>
      <c r="BB726" s="213">
        <f>BB604+BB654+BB690+BB691+BB693+BB698+BB699+BB702</f>
        <v>0</v>
      </c>
      <c r="BC726" s="213">
        <f>BC604+BC654+BC690+BC691+BC693+BC698+BC699+BC702</f>
        <v>0</v>
      </c>
      <c r="BD726" s="761">
        <f>IF(AI726=0,0,(AT726-AI726)/AI726*100)</f>
        <v>0</v>
      </c>
      <c r="BE726" s="761">
        <f>IF(AT726=0,0,(AU726-AT726)/AT726*100)</f>
        <v>6.71692619521793</v>
      </c>
      <c r="BF726" s="761">
        <f>IF(AU726=0,0,(AV726-AU726)/AU726*100)</f>
        <v>19.3845286561237</v>
      </c>
      <c r="BG726" s="761">
        <f>IF(AV726=0,0,(AW726-AV726)/AV726*100)</f>
        <v>38.9253574703214</v>
      </c>
      <c r="BH726" s="761">
        <f>IF(AW726=0,0,(AX726-AW726)/AW726*100)</f>
        <v>110.774953291197</v>
      </c>
      <c r="BI726" s="761">
        <f>IF(AX726=0,0,(AY726-AX726)/AX726*100)</f>
        <v>-100</v>
      </c>
      <c r="BJ726" s="761">
        <f>IF(AY726=0,0,(AZ726-AY726)/AY726*100)</f>
        <v>0</v>
      </c>
      <c r="BK726" s="761">
        <f>IF(AZ726=0,0,(BA726-AZ726)/AZ726*100)</f>
        <v>0</v>
      </c>
      <c r="BL726" s="761">
        <f>IF(BA726=0,0,(BB726-BA726)/BA726*100)</f>
        <v>0</v>
      </c>
      <c r="BM726" s="761">
        <f>IF(BB726=0,0,(BC726-BB726)/BB726*100)</f>
        <v>0</v>
      </c>
      <c r="BN726" s="7771"/>
      <c r="BO726" s="7771"/>
      <c r="BP726" s="7771"/>
      <c r="BQ726" s="700"/>
      <c r="BR726" s="700"/>
      <c r="BS726" s="1070" t="s">
        <v>2565</v>
      </c>
      <c r="BT726" s="1070"/>
      <c r="BU726" s="1070"/>
      <c r="BV726" s="707"/>
      <c r="BW726" s="707"/>
    </row>
    <row s="7961" customFormat="1" customHeight="1" ht="20.25">
      <c r="A727" s="700"/>
      <c r="B727" s="435"/>
      <c r="C727" s="700"/>
      <c r="D727" s="109">
        <f>D726+1</f>
        <v>10</v>
      </c>
      <c r="E727" s="707">
        <v>21</v>
      </c>
      <c r="F727" s="50" cm="1" t="str">
        <f t="array" ref="F727:F727">OFFSET(E727,-1,1)</f>
        <v>4</v>
      </c>
      <c r="G727" s="700"/>
      <c r="H727" s="158"/>
      <c r="I727" s="158" t="s">
        <v>2574</v>
      </c>
      <c r="J727" s="700"/>
      <c r="K727" s="158" t="s">
        <v>2574</v>
      </c>
      <c r="L727" s="985"/>
      <c r="M727" s="109"/>
      <c r="N727" s="700"/>
      <c r="O727" s="700"/>
      <c r="P727" s="700"/>
      <c r="Q727" s="700"/>
      <c r="R727" s="700"/>
      <c r="S727" s="700"/>
      <c r="T727" s="465" cm="1" t="str">
        <f t="array" ref="T727:T727">T726</f>
        <v>true</v>
      </c>
      <c r="U727" s="700"/>
      <c r="V727" s="700"/>
      <c r="W727" s="700"/>
      <c r="X727" s="1563"/>
      <c r="Y727" s="700"/>
      <c r="Z727" s="1546"/>
      <c r="AA727" s="700"/>
      <c r="AB727" s="211" cm="1" t="str">
        <f t="array" ref="AB727:AB727">D727</f>
        <v>10</v>
      </c>
      <c r="AC727" s="212" t="s">
        <v>2897</v>
      </c>
      <c r="AD727" s="211" t="s">
        <v>1514</v>
      </c>
      <c r="AE727" s="213">
        <f>AE726+AE711+AE724</f>
        <v>0</v>
      </c>
      <c r="AF727" s="213">
        <f>AF726+AF711+AF724</f>
        <v>0</v>
      </c>
      <c r="AG727" s="213">
        <f>AG726+AG711+AG724</f>
        <v>0</v>
      </c>
      <c r="AH727" s="770">
        <f>AH726+AH711+AH724</f>
        <v>0</v>
      </c>
      <c r="AI727" s="770">
        <f>AI726+AI711+AI724</f>
        <v>0</v>
      </c>
      <c r="AJ727" s="770">
        <f>AJ726+AJ711+AJ724</f>
        <v>13060.6009831918</v>
      </c>
      <c r="AK727" s="770">
        <f>AK726+AK711+AK724</f>
        <v>13937.8719118847</v>
      </c>
      <c r="AL727" s="770">
        <f>AL726+AL711+AL724</f>
        <v>16639.6626866978</v>
      </c>
      <c r="AM727" s="770">
        <f>AM726+AM711+AM724</f>
        <v>23116.7108693506</v>
      </c>
      <c r="AN727" s="770">
        <f>AN726+AN711+AN724</f>
        <v>48724.2365373347</v>
      </c>
      <c r="AO727" s="770">
        <f>AO726+AO711+AO724</f>
        <v>0</v>
      </c>
      <c r="AP727" s="770">
        <f>AP726+AP711+AP724</f>
        <v>0</v>
      </c>
      <c r="AQ727" s="770">
        <f>AQ726+AQ711+AQ724</f>
        <v>0</v>
      </c>
      <c r="AR727" s="770">
        <f>AR726+AR711+AR724</f>
        <v>0</v>
      </c>
      <c r="AS727" s="770">
        <f>AS726+AS711+AS724</f>
        <v>0</v>
      </c>
      <c r="AT727" s="770">
        <f>AT726+AT711+AT724</f>
        <v>13060.6009831918</v>
      </c>
      <c r="AU727" s="770">
        <f>AU726+AU711+AU724</f>
        <v>13937.8719118847</v>
      </c>
      <c r="AV727" s="770">
        <f>AV726+AV711+AV724</f>
        <v>16639.6626866978</v>
      </c>
      <c r="AW727" s="770">
        <f>AW726+AW711+AW724</f>
        <v>23116.7108693506</v>
      </c>
      <c r="AX727" s="770">
        <f>AX726+AX711+AX724</f>
        <v>48724.2365373347</v>
      </c>
      <c r="AY727" s="770">
        <f>AY726+AY711+AY724</f>
        <v>0</v>
      </c>
      <c r="AZ727" s="770">
        <f>AZ726+AZ711+AZ724</f>
        <v>0</v>
      </c>
      <c r="BA727" s="770">
        <f>BA726+BA711+BA724</f>
        <v>0</v>
      </c>
      <c r="BB727" s="770">
        <f>BB726+BB711+BB724</f>
        <v>0</v>
      </c>
      <c r="BC727" s="770">
        <f>BC726+BC711+BC724</f>
        <v>0</v>
      </c>
      <c r="BD727" s="761">
        <f>IF(AI727=0,0,(AT727-AI727)/AI727*100)</f>
        <v>0</v>
      </c>
      <c r="BE727" s="761">
        <f>IF(AT727=0,0,(AU727-AT727)/AT727*100)</f>
        <v>6.71692619521793</v>
      </c>
      <c r="BF727" s="761">
        <f>IF(AU727=0,0,(AV727-AU727)/AU727*100)</f>
        <v>19.3845286561237</v>
      </c>
      <c r="BG727" s="761">
        <f>IF(AV727=0,0,(AW727-AV727)/AV727*100)</f>
        <v>38.9253574703214</v>
      </c>
      <c r="BH727" s="761">
        <f>IF(AW727=0,0,(AX727-AW727)/AW727*100)</f>
        <v>110.774953291197</v>
      </c>
      <c r="BI727" s="761">
        <f>IF(AX727=0,0,(AY727-AX727)/AX727*100)</f>
        <v>-100</v>
      </c>
      <c r="BJ727" s="761">
        <f>IF(AY727=0,0,(AZ727-AY727)/AY727*100)</f>
        <v>0</v>
      </c>
      <c r="BK727" s="761">
        <f>IF(AZ727=0,0,(BA727-AZ727)/AZ727*100)</f>
        <v>0</v>
      </c>
      <c r="BL727" s="761">
        <f>IF(BA727=0,0,(BB727-BA727)/BA727*100)</f>
        <v>0</v>
      </c>
      <c r="BM727" s="761">
        <f>IF(BB727=0,0,(BC727-BB727)/BB727*100)</f>
        <v>0</v>
      </c>
      <c r="BN727" s="7771"/>
      <c r="BO727" s="7771"/>
      <c r="BP727" s="7771"/>
      <c r="BQ727" s="700"/>
      <c r="BR727" s="700"/>
      <c r="BS727" s="1070" t="s">
        <v>2898</v>
      </c>
      <c r="BT727" s="1070"/>
      <c r="BU727" s="1070"/>
      <c r="BV727" s="707"/>
      <c r="BW727" s="707"/>
    </row>
    <row s="1834" customFormat="1" customHeight="1" ht="14.25" hidden="1">
      <c r="A728" s="1278"/>
      <c r="B728" s="445">
        <f>A603="двухставочный"</f>
        <v>0</v>
      </c>
      <c r="C728" s="1278"/>
      <c r="D728" s="107" cm="1" t="str">
        <f t="array" ref="D728:D728">D727</f>
        <v>10</v>
      </c>
      <c r="E728" s="703">
        <v>15</v>
      </c>
      <c r="F728" s="50" cm="1" t="str">
        <f t="array" ref="F728:F728">OFFSET(E728,-1,1)</f>
        <v>4</v>
      </c>
      <c r="G728" s="1278"/>
      <c r="H728" s="49"/>
      <c r="I728" s="379" t="s">
        <v>2577</v>
      </c>
      <c r="J728" s="1278"/>
      <c r="K728" s="379" t="s">
        <v>2577</v>
      </c>
      <c r="L728" s="980" t="s">
        <v>2566</v>
      </c>
      <c r="M728" s="107"/>
      <c r="N728" s="1278"/>
      <c r="O728" s="1278"/>
      <c r="P728" s="1278"/>
      <c r="Q728" s="1278"/>
      <c r="R728" s="1278"/>
      <c r="S728" s="1278"/>
      <c r="T728" s="465" cm="1" t="str">
        <f t="array" ref="T728:T728">T727</f>
        <v>true</v>
      </c>
      <c r="U728" s="1278"/>
      <c r="V728" s="1278"/>
      <c r="W728" s="1278"/>
      <c r="X728" s="1563"/>
      <c r="Y728" s="1278"/>
      <c r="Z728" s="1546"/>
      <c r="AA728" s="1278"/>
      <c r="AB728" s="300" t="str">
        <f>D728&amp;".1"</f>
        <v>10.1</v>
      </c>
      <c r="AC728" s="782" t="s">
        <v>2568</v>
      </c>
      <c r="AD728" s="300" t="s">
        <v>1514</v>
      </c>
      <c r="AE728" s="1255"/>
      <c r="AF728" s="1255"/>
      <c r="AG728" s="1255"/>
      <c r="AH728" s="943">
        <f>AG728-AF728</f>
        <v>0</v>
      </c>
      <c r="AI728" s="1253"/>
      <c r="AJ728" s="1253"/>
      <c r="AK728" s="1253"/>
      <c r="AL728" s="1253"/>
      <c r="AM728" s="1253"/>
      <c r="AN728" s="1253"/>
      <c r="AO728" s="1253"/>
      <c r="AP728" s="1253"/>
      <c r="AQ728" s="1253"/>
      <c r="AR728" s="1253"/>
      <c r="AS728" s="1253"/>
      <c r="AT728" s="1253"/>
      <c r="AU728" s="1253"/>
      <c r="AV728" s="1253"/>
      <c r="AW728" s="1253"/>
      <c r="AX728" s="1253"/>
      <c r="AY728" s="1253"/>
      <c r="AZ728" s="1253"/>
      <c r="BA728" s="1253"/>
      <c r="BB728" s="1253"/>
      <c r="BC728" s="1253"/>
      <c r="BD728" s="942"/>
      <c r="BE728" s="942"/>
      <c r="BF728" s="942"/>
      <c r="BG728" s="942"/>
      <c r="BH728" s="942"/>
      <c r="BI728" s="942"/>
      <c r="BJ728" s="942"/>
      <c r="BK728" s="942"/>
      <c r="BL728" s="942"/>
      <c r="BM728" s="942"/>
      <c r="BN728" s="1256"/>
      <c r="BO728" s="1256"/>
      <c r="BP728" s="1256"/>
      <c r="BQ728" s="1278"/>
      <c r="BR728" s="1278"/>
      <c r="BS728" s="1062" t="s">
        <v>2569</v>
      </c>
      <c r="BT728" s="1064"/>
      <c r="BU728" s="1064"/>
      <c r="BV728" s="979"/>
      <c r="BW728" s="979"/>
    </row>
    <row s="1834" customFormat="1" customHeight="1" ht="14.25" hidden="1">
      <c r="A729" s="1278"/>
      <c r="B729" s="445">
        <f>A603="двухставочный"</f>
        <v>0</v>
      </c>
      <c r="C729" s="1278"/>
      <c r="D729" s="107" cm="1" t="str">
        <f t="array" ref="D729:D729">D728</f>
        <v>10</v>
      </c>
      <c r="E729" s="703">
        <v>15</v>
      </c>
      <c r="F729" s="50" cm="1" t="str">
        <f t="array" ref="F729:F729">OFFSET(E729,-1,1)</f>
        <v>4</v>
      </c>
      <c r="G729" s="1278"/>
      <c r="H729" s="49"/>
      <c r="I729" s="379" t="s">
        <v>2581</v>
      </c>
      <c r="J729" s="1278"/>
      <c r="K729" s="379" t="s">
        <v>2581</v>
      </c>
      <c r="L729" s="980" t="s">
        <v>2570</v>
      </c>
      <c r="M729" s="107"/>
      <c r="N729" s="1278"/>
      <c r="O729" s="1278"/>
      <c r="P729" s="1278"/>
      <c r="Q729" s="1278"/>
      <c r="R729" s="1278"/>
      <c r="S729" s="1278"/>
      <c r="T729" s="465" cm="1" t="str">
        <f t="array" ref="T729:T729">T728</f>
        <v>true</v>
      </c>
      <c r="U729" s="1278"/>
      <c r="V729" s="1278"/>
      <c r="W729" s="1278"/>
      <c r="X729" s="1563"/>
      <c r="Y729" s="1278"/>
      <c r="Z729" s="1546"/>
      <c r="AA729" s="1278"/>
      <c r="AB729" s="300" t="str">
        <f>D729&amp;".2"</f>
        <v>10.2</v>
      </c>
      <c r="AC729" s="782" t="s">
        <v>2572</v>
      </c>
      <c r="AD729" s="300" t="s">
        <v>1514</v>
      </c>
      <c r="AE729" s="1255"/>
      <c r="AF729" s="1255"/>
      <c r="AG729" s="1255"/>
      <c r="AH729" s="943">
        <f>AG729-AF729</f>
        <v>0</v>
      </c>
      <c r="AI729" s="1253"/>
      <c r="AJ729" s="1253"/>
      <c r="AK729" s="1253"/>
      <c r="AL729" s="1253"/>
      <c r="AM729" s="1253"/>
      <c r="AN729" s="1253"/>
      <c r="AO729" s="1253"/>
      <c r="AP729" s="1253"/>
      <c r="AQ729" s="1253"/>
      <c r="AR729" s="1253"/>
      <c r="AS729" s="1253"/>
      <c r="AT729" s="1253"/>
      <c r="AU729" s="1253"/>
      <c r="AV729" s="1253"/>
      <c r="AW729" s="1253"/>
      <c r="AX729" s="1253"/>
      <c r="AY729" s="1253"/>
      <c r="AZ729" s="1253"/>
      <c r="BA729" s="1253"/>
      <c r="BB729" s="1253"/>
      <c r="BC729" s="1253"/>
      <c r="BD729" s="942"/>
      <c r="BE729" s="942"/>
      <c r="BF729" s="942"/>
      <c r="BG729" s="942"/>
      <c r="BH729" s="942"/>
      <c r="BI729" s="942"/>
      <c r="BJ729" s="942"/>
      <c r="BK729" s="942"/>
      <c r="BL729" s="942"/>
      <c r="BM729" s="942"/>
      <c r="BN729" s="1256"/>
      <c r="BO729" s="1256"/>
      <c r="BP729" s="1256"/>
      <c r="BQ729" s="1278"/>
      <c r="BR729" s="1278"/>
      <c r="BS729" s="1062" t="s">
        <v>2573</v>
      </c>
      <c r="BT729" s="1064"/>
      <c r="BU729" s="1064"/>
      <c r="BV729" s="979"/>
      <c r="BW729" s="979"/>
    </row>
    <row s="7962" customFormat="1" customHeight="1" ht="20.25">
      <c r="A730" s="700"/>
      <c r="B730" s="435"/>
      <c r="C730" s="700"/>
      <c r="D730" s="109">
        <f>D729+1</f>
        <v>11</v>
      </c>
      <c r="E730" s="707">
        <v>21</v>
      </c>
      <c r="F730" s="50" cm="1" t="str">
        <f t="array" ref="F730:F730">OFFSET(E730,-1,1)</f>
        <v>4</v>
      </c>
      <c r="G730" s="158" t="s">
        <v>2346</v>
      </c>
      <c r="H730" s="158"/>
      <c r="I730" s="158" t="s">
        <v>2601</v>
      </c>
      <c r="J730" s="700"/>
      <c r="K730" s="158" t="s">
        <v>2601</v>
      </c>
      <c r="L730" s="985" t="s">
        <v>2574</v>
      </c>
      <c r="M730" s="109"/>
      <c r="N730" s="700"/>
      <c r="O730" s="700"/>
      <c r="P730" s="700"/>
      <c r="Q730" s="700"/>
      <c r="R730" s="700"/>
      <c r="S730" s="700"/>
      <c r="T730" s="465" cm="1" t="str">
        <f t="array" ref="T730:T730">T729</f>
        <v>true</v>
      </c>
      <c r="U730" s="700"/>
      <c r="V730" s="700"/>
      <c r="W730" s="700"/>
      <c r="X730" s="1563"/>
      <c r="Y730" s="700"/>
      <c r="Z730" s="1546"/>
      <c r="AA730" s="700"/>
      <c r="AB730" s="211" cm="1" t="str">
        <f t="array" ref="AB730:AB730">D730</f>
        <v>11</v>
      </c>
      <c r="AC730" s="212" t="s">
        <v>2575</v>
      </c>
      <c r="AD730" s="211" t="s">
        <v>1247</v>
      </c>
      <c r="AE730" s="785">
        <f>_xlfn.SUMIFS(Баланс!AE$26:AE$482,Баланс!$F$26:$F$482,$F730,Баланс!$G$26:$G$482,"ПО")</f>
        <v>0</v>
      </c>
      <c r="AF730" s="785">
        <f>_xlfn.SUMIFS(Баланс!AF$26:AF$482,Баланс!$F$26:$F$482,$F730,Баланс!$G$26:$G$482,"ПО")</f>
        <v>0</v>
      </c>
      <c r="AG730" s="785">
        <f>_xlfn.SUMIFS(Баланс!AG$26:AG$482,Баланс!$F$26:$F$482,$F730,Баланс!$G$26:$G$482,"ПО")</f>
        <v>0</v>
      </c>
      <c r="AH730" s="786">
        <f>AG730-AF730</f>
        <v>0</v>
      </c>
      <c r="AI730" s="786">
        <f>_xlfn.SUMIFS(Баланс!AH$26:AH$482,Баланс!$F$26:$F$482,$F730,Баланс!$G$26:$G$482,"ПО")</f>
        <v>0</v>
      </c>
      <c r="AJ730" s="786">
        <f>_xlfn.SUMIFS(Баланс!AI$26:AI$482,Баланс!$F$26:$F$482,$F730,Баланс!$G$26:$G$482,"ПО")</f>
        <v>1025.10255</v>
      </c>
      <c r="AK730" s="786">
        <f>_xlfn.SUMIFS(Баланс!AJ$26:AJ$482,Баланс!$F$26:$F$482,$F730,Баланс!$G$26:$G$482,"ПО")</f>
        <v>1025.10255</v>
      </c>
      <c r="AL730" s="786">
        <f>_xlfn.SUMIFS(Баланс!AK$26:AK$482,Баланс!$F$26:$F$482,$F730,Баланс!$G$26:$G$482,"ПО")</f>
        <v>1025.10255</v>
      </c>
      <c r="AM730" s="786">
        <f>_xlfn.SUMIFS(Баланс!AL$26:AL$482,Баланс!$F$26:$F$482,$F730,Баланс!$G$26:$G$482,"ПО")</f>
        <v>1025.10255</v>
      </c>
      <c r="AN730" s="786">
        <f>_xlfn.SUMIFS(Баланс!AM$26:AM$482,Баланс!$F$26:$F$482,$F730,Баланс!$G$26:$G$482,"ПО")</f>
        <v>1025.10255</v>
      </c>
      <c r="AO730" s="786">
        <f>_xlfn.SUMIFS(Баланс!AN$26:AN$482,Баланс!$F$26:$F$482,$F730,Баланс!$G$26:$G$482,"ПО")</f>
        <v>0</v>
      </c>
      <c r="AP730" s="786">
        <f>_xlfn.SUMIFS(Баланс!AO$26:AO$482,Баланс!$F$26:$F$482,$F730,Баланс!$G$26:$G$482,"ПО")</f>
        <v>0</v>
      </c>
      <c r="AQ730" s="786">
        <f>_xlfn.SUMIFS(Баланс!AP$26:AP$482,Баланс!$F$26:$F$482,$F730,Баланс!$G$26:$G$482,"ПО")</f>
        <v>0</v>
      </c>
      <c r="AR730" s="786">
        <f>_xlfn.SUMIFS(Баланс!AQ$26:AQ$482,Баланс!$F$26:$F$482,$F730,Баланс!$G$26:$G$482,"ПО")</f>
        <v>0</v>
      </c>
      <c r="AS730" s="786">
        <f>_xlfn.SUMIFS(Баланс!AR$26:AR$482,Баланс!$F$26:$F$482,$F730,Баланс!$G$26:$G$482,"ПО")</f>
        <v>0</v>
      </c>
      <c r="AT730" s="786">
        <f>_xlfn.SUMIFS(Баланс!AS$26:AS$482,Баланс!$F$26:$F$482,$F730,Баланс!$G$26:$G$482,"ПО")</f>
        <v>1025.10255</v>
      </c>
      <c r="AU730" s="786">
        <f>_xlfn.SUMIFS(Баланс!AT$26:AT$482,Баланс!$F$26:$F$482,$F730,Баланс!$G$26:$G$482,"ПО")</f>
        <v>1025.10255</v>
      </c>
      <c r="AV730" s="786">
        <f>_xlfn.SUMIFS(Баланс!AU$26:AU$482,Баланс!$F$26:$F$482,$F730,Баланс!$G$26:$G$482,"ПО")</f>
        <v>1025.10255</v>
      </c>
      <c r="AW730" s="786">
        <f>_xlfn.SUMIFS(Баланс!AV$26:AV$482,Баланс!$F$26:$F$482,$F730,Баланс!$G$26:$G$482,"ПО")</f>
        <v>1025.10255</v>
      </c>
      <c r="AX730" s="786">
        <f>_xlfn.SUMIFS(Баланс!AW$26:AW$482,Баланс!$F$26:$F$482,$F730,Баланс!$G$26:$G$482,"ПО")</f>
        <v>1025.10255</v>
      </c>
      <c r="AY730" s="786">
        <f>_xlfn.SUMIFS(Баланс!AX$26:AX$482,Баланс!$F$26:$F$482,$F730,Баланс!$G$26:$G$482,"ПО")</f>
        <v>0</v>
      </c>
      <c r="AZ730" s="786">
        <f>_xlfn.SUMIFS(Баланс!AY$26:AY$482,Баланс!$F$26:$F$482,$F730,Баланс!$G$26:$G$482,"ПО")</f>
        <v>0</v>
      </c>
      <c r="BA730" s="786">
        <f>_xlfn.SUMIFS(Баланс!AZ$26:AZ$482,Баланс!$F$26:$F$482,$F730,Баланс!$G$26:$G$482,"ПО")</f>
        <v>0</v>
      </c>
      <c r="BB730" s="786">
        <f>_xlfn.SUMIFS(Баланс!BA$26:BA$482,Баланс!$F$26:$F$482,$F730,Баланс!$G$26:$G$482,"ПО")</f>
        <v>0</v>
      </c>
      <c r="BC730" s="786">
        <f>_xlfn.SUMIFS(Баланс!BB$26:BB$482,Баланс!$F$26:$F$482,$F730,Баланс!$G$26:$G$482,"ПО")</f>
        <v>0</v>
      </c>
      <c r="BD730" s="764"/>
      <c r="BE730" s="764"/>
      <c r="BF730" s="764"/>
      <c r="BG730" s="764"/>
      <c r="BH730" s="764"/>
      <c r="BI730" s="764"/>
      <c r="BJ730" s="764"/>
      <c r="BK730" s="764"/>
      <c r="BL730" s="764"/>
      <c r="BM730" s="764"/>
      <c r="BN730" s="7771"/>
      <c r="BO730" s="7771"/>
      <c r="BP730" s="7771"/>
      <c r="BQ730" s="700"/>
      <c r="BR730" s="700"/>
      <c r="BS730" s="1063" t="s">
        <v>2576</v>
      </c>
      <c r="BT730" s="1070"/>
      <c r="BU730" s="1070"/>
      <c r="BV730" s="707"/>
      <c r="BW730" s="707"/>
    </row>
    <row s="1834" customFormat="1" customHeight="1" ht="14.25">
      <c r="A731" s="1278"/>
      <c r="B731" s="978"/>
      <c r="C731" s="1278"/>
      <c r="D731" s="107" cm="1" t="str">
        <f t="array" ref="D731:D731">D730</f>
        <v>11</v>
      </c>
      <c r="E731" s="703">
        <v>15</v>
      </c>
      <c r="F731" s="50" cm="1" t="str">
        <f t="array" ref="F731:F731">OFFSET(E731,-1,1)</f>
        <v>4</v>
      </c>
      <c r="G731" s="158" t="s">
        <v>2373</v>
      </c>
      <c r="H731" s="1278"/>
      <c r="I731" s="158" t="s">
        <v>2899</v>
      </c>
      <c r="J731" s="1278"/>
      <c r="K731" s="158" t="s">
        <v>2899</v>
      </c>
      <c r="L731" s="980" t="s">
        <v>2577</v>
      </c>
      <c r="M731" s="107"/>
      <c r="N731" s="1278"/>
      <c r="O731" s="1278"/>
      <c r="P731" s="1278"/>
      <c r="Q731" s="1278"/>
      <c r="R731" s="1278"/>
      <c r="S731" s="1278"/>
      <c r="T731" s="465" cm="1" t="str">
        <f t="array" ref="T731:T731">T730</f>
        <v>true</v>
      </c>
      <c r="U731" s="1278"/>
      <c r="V731" s="1278"/>
      <c r="W731" s="1278"/>
      <c r="X731" s="1563"/>
      <c r="Y731" s="1278"/>
      <c r="Z731" s="1546"/>
      <c r="AA731" s="1278"/>
      <c r="AB731" s="300" t="str">
        <f>D731&amp;".1"</f>
        <v>11.1</v>
      </c>
      <c r="AC731" s="1111" t="s">
        <v>2579</v>
      </c>
      <c r="AD731" s="300" t="s">
        <v>1247</v>
      </c>
      <c r="AE731" s="7787">
        <f>IF(AE$24="2026 год",AE730/12*9,AE730/2)</f>
        <v>0</v>
      </c>
      <c r="AF731" s="7787">
        <f>IF(AF$24="2026 год",AF730/12*9,AF730/2)</f>
        <v>0</v>
      </c>
      <c r="AG731" s="7787">
        <f>IF(AG$24="2026 год",AG730/12*9,AG730/2)</f>
        <v>0</v>
      </c>
      <c r="AH731" s="941">
        <f>AG731-AF731</f>
        <v>0</v>
      </c>
      <c r="AI731" s="7497">
        <f>IF(AI$24="2026 год",AI730/12*9,AI730/2)</f>
        <v>0</v>
      </c>
      <c r="AJ731" s="7787">
        <f>IF(AJ$24="2026 год",AJ730/12*9,AJ730/2)</f>
        <v>768.8269125</v>
      </c>
      <c r="AK731" s="7787">
        <f>IF(AK$24="2026 год",AK730/12*9,AK730/2)</f>
        <v>512.551275</v>
      </c>
      <c r="AL731" s="7497">
        <f>IF(AL$24="2026 год",AL730/12*9,AL730/2)</f>
        <v>512.551275</v>
      </c>
      <c r="AM731" s="7497">
        <f>IF(AM$24="2026 год",AM730/12*9,AM730/2)</f>
        <v>512.551275</v>
      </c>
      <c r="AN731" s="7497">
        <f>IF(AN$24="2026 год",AN730/12*9,AN730/2)</f>
        <v>512.551275</v>
      </c>
      <c r="AO731" s="1261">
        <f>IF(AO$24="2026 год",AO730/12*9,AO730/2)</f>
        <v>0</v>
      </c>
      <c r="AP731" s="1261">
        <f>IF(AP$24="2026 год",AP730/12*9,AP730/2)</f>
        <v>0</v>
      </c>
      <c r="AQ731" s="1261">
        <f>IF(AQ$24="2026 год",AQ730/12*9,AQ730/2)</f>
        <v>0</v>
      </c>
      <c r="AR731" s="1261">
        <f>IF(AR$24="2026 год",AR730/12*9,AR730/2)</f>
        <v>0</v>
      </c>
      <c r="AS731" s="1261">
        <f>IF(AS$24="2026 год",AS730/12*9,AS730/2)</f>
        <v>0</v>
      </c>
      <c r="AT731" s="7497">
        <f>IF(AT$24="2026 год",AT730/12*9,AT730/2)</f>
        <v>768.8269125</v>
      </c>
      <c r="AU731" s="7497">
        <f>IF(AU$24="2026 год",AU730/12*9,AU730/2)</f>
        <v>512.551275</v>
      </c>
      <c r="AV731" s="7497">
        <f>IF(AV$24="2026 год",AV730/12*9,AV730/2)</f>
        <v>512.551275</v>
      </c>
      <c r="AW731" s="7497">
        <f>IF(AW$24="2026 год",AW730/12*9,AW730/2)</f>
        <v>512.551275</v>
      </c>
      <c r="AX731" s="7497">
        <f>IF(AX$24="2026 год",AX730/12*9,AX730/2)</f>
        <v>512.551275</v>
      </c>
      <c r="AY731" s="1261">
        <f>IF(AY$24="2026 год",AY730/12*9,AY730/2)</f>
        <v>0</v>
      </c>
      <c r="AZ731" s="1261">
        <f>IF(AZ$24="2026 год",AZ730/12*9,AZ730/2)</f>
        <v>0</v>
      </c>
      <c r="BA731" s="1261">
        <f>IF(BA$24="2026 год",BA730/12*9,BA730/2)</f>
        <v>0</v>
      </c>
      <c r="BB731" s="1261">
        <f>IF(BB$24="2026 год",BB730/12*9,BB730/2)</f>
        <v>0</v>
      </c>
      <c r="BC731" s="1261">
        <f>IF(BC$24="2026 год",BC730/12*9,BC730/2)</f>
        <v>0</v>
      </c>
      <c r="BD731" s="942"/>
      <c r="BE731" s="942"/>
      <c r="BF731" s="942"/>
      <c r="BG731" s="942"/>
      <c r="BH731" s="942"/>
      <c r="BI731" s="942"/>
      <c r="BJ731" s="942"/>
      <c r="BK731" s="942"/>
      <c r="BL731" s="942"/>
      <c r="BM731" s="942"/>
      <c r="BN731" s="7771"/>
      <c r="BO731" s="7771"/>
      <c r="BP731" s="7771"/>
      <c r="BQ731" s="1278"/>
      <c r="BR731" s="1278"/>
      <c r="BS731" s="1062" t="s">
        <v>2580</v>
      </c>
      <c r="BT731" s="1064"/>
      <c r="BU731" s="1064"/>
      <c r="BV731" s="979"/>
      <c r="BW731" s="979"/>
    </row>
    <row s="1834" customFormat="1" customHeight="1" ht="14.25">
      <c r="A732" s="1278"/>
      <c r="B732" s="978"/>
      <c r="C732" s="1278"/>
      <c r="D732" s="107" cm="1" t="str">
        <f t="array" ref="D732:D732">D731</f>
        <v>11</v>
      </c>
      <c r="E732" s="703">
        <v>15</v>
      </c>
      <c r="F732" s="50" cm="1" t="str">
        <f t="array" ref="F732:F732">OFFSET(E732,-1,1)</f>
        <v>4</v>
      </c>
      <c r="G732" s="158" t="s">
        <v>2334</v>
      </c>
      <c r="H732" s="1278"/>
      <c r="I732" s="158" t="s">
        <v>2900</v>
      </c>
      <c r="J732" s="1278"/>
      <c r="K732" s="158" t="s">
        <v>2900</v>
      </c>
      <c r="L732" s="980" t="s">
        <v>2581</v>
      </c>
      <c r="M732" s="107"/>
      <c r="N732" s="1278"/>
      <c r="O732" s="1278"/>
      <c r="P732" s="1278"/>
      <c r="Q732" s="1278"/>
      <c r="R732" s="1278"/>
      <c r="S732" s="1278"/>
      <c r="T732" s="465" cm="1" t="str">
        <f t="array" ref="T732:T732">T731</f>
        <v>true</v>
      </c>
      <c r="U732" s="1278"/>
      <c r="V732" s="1278"/>
      <c r="W732" s="1278"/>
      <c r="X732" s="1563"/>
      <c r="Y732" s="1278"/>
      <c r="Z732" s="1546"/>
      <c r="AA732" s="1278"/>
      <c r="AB732" s="300" t="str">
        <f>D732&amp;".2"</f>
        <v>11.2</v>
      </c>
      <c r="AC732" s="1111" t="s">
        <v>2583</v>
      </c>
      <c r="AD732" s="300" t="s">
        <v>2337</v>
      </c>
      <c r="AE732" s="7773"/>
      <c r="AF732" s="7773"/>
      <c r="AG732" s="7773"/>
      <c r="AH732" s="943">
        <f>AG732-AF732</f>
        <v>0</v>
      </c>
      <c r="AI732" s="7501"/>
      <c r="AJ732" s="7501"/>
      <c r="AK732" s="7501"/>
      <c r="AL732" s="7501"/>
      <c r="AM732" s="7501"/>
      <c r="AN732" s="7501"/>
      <c r="AO732" s="1262"/>
      <c r="AP732" s="1262"/>
      <c r="AQ732" s="1262"/>
      <c r="AR732" s="1262"/>
      <c r="AS732" s="1262"/>
      <c r="AT732" s="7501"/>
      <c r="AU732" s="7501" cm="1" t="str">
        <f t="array" ref="AU732:AU732">AT734</f>
        <v>50.9631001627761</v>
      </c>
      <c r="AV732" s="7501" cm="1" t="str">
        <f t="array" ref="AV732:AV732">AU734</f>
        <v>-23.7699731690237</v>
      </c>
      <c r="AW732" s="7501" cm="1" t="str">
        <f t="array" ref="AW732:AW732">AV734</f>
        <v>56.2343596573761</v>
      </c>
      <c r="AX732" s="7501" cm="1" t="str">
        <f t="array" ref="AX732:AX732">AW734</f>
        <v>-11.1330946778858</v>
      </c>
      <c r="AY732" s="1262" cm="1" t="str">
        <f t="array" ref="AY732:AY732">AX734</f>
        <v>106.195264872145</v>
      </c>
      <c r="AZ732" s="1262" cm="1" t="str">
        <f t="array" ref="AZ732:AZ732">AY734</f>
        <v>0</v>
      </c>
      <c r="BA732" s="1262" cm="1" t="str">
        <f t="array" ref="BA732:BA732">AZ734</f>
        <v>0</v>
      </c>
      <c r="BB732" s="1262" cm="1" t="str">
        <f t="array" ref="BB732:BB732">BA734</f>
        <v>0</v>
      </c>
      <c r="BC732" s="1262" cm="1" t="str">
        <f t="array" ref="BC732:BC732">BB734</f>
        <v>0</v>
      </c>
      <c r="BD732" s="942"/>
      <c r="BE732" s="942"/>
      <c r="BF732" s="942"/>
      <c r="BG732" s="942"/>
      <c r="BH732" s="942"/>
      <c r="BI732" s="942"/>
      <c r="BJ732" s="942"/>
      <c r="BK732" s="942"/>
      <c r="BL732" s="942"/>
      <c r="BM732" s="942"/>
      <c r="BN732" s="7771"/>
      <c r="BO732" s="7771"/>
      <c r="BP732" s="7771"/>
      <c r="BQ732" s="1278"/>
      <c r="BR732" s="1278"/>
      <c r="BS732" s="1062" t="s">
        <v>2584</v>
      </c>
      <c r="BT732" s="1064"/>
      <c r="BU732" s="1064"/>
      <c r="BV732" s="979"/>
      <c r="BW732" s="979"/>
    </row>
    <row s="1834" customFormat="1" customHeight="1" ht="14.25">
      <c r="A733" s="1278"/>
      <c r="B733" s="978"/>
      <c r="C733" s="1278"/>
      <c r="D733" s="107" cm="1" t="str">
        <f t="array" ref="D733:D733">D732</f>
        <v>11</v>
      </c>
      <c r="E733" s="703">
        <v>15</v>
      </c>
      <c r="F733" s="50" cm="1" t="str">
        <f t="array" ref="F733:F733">OFFSET(E733,-1,1)</f>
        <v>4</v>
      </c>
      <c r="G733" s="158" t="s">
        <v>2386</v>
      </c>
      <c r="H733" s="1278"/>
      <c r="I733" s="158" t="s">
        <v>2901</v>
      </c>
      <c r="J733" s="1278"/>
      <c r="K733" s="158" t="s">
        <v>2901</v>
      </c>
      <c r="L733" s="980" t="s">
        <v>2585</v>
      </c>
      <c r="M733" s="107"/>
      <c r="N733" s="1278"/>
      <c r="O733" s="1278"/>
      <c r="P733" s="1278"/>
      <c r="Q733" s="1278"/>
      <c r="R733" s="1278"/>
      <c r="S733" s="1278"/>
      <c r="T733" s="465" cm="1" t="str">
        <f t="array" ref="T733:T733">T732</f>
        <v>true</v>
      </c>
      <c r="U733" s="1278"/>
      <c r="V733" s="1278"/>
      <c r="W733" s="1278"/>
      <c r="X733" s="1563"/>
      <c r="Y733" s="1278"/>
      <c r="Z733" s="1546"/>
      <c r="AA733" s="1278"/>
      <c r="AB733" s="300" t="str">
        <f>D733&amp;".3"</f>
        <v>11.3</v>
      </c>
      <c r="AC733" s="1111" t="s">
        <v>2902</v>
      </c>
      <c r="AD733" s="300" t="s">
        <v>1247</v>
      </c>
      <c r="AE733" s="946">
        <f>AE730-AE731</f>
        <v>0</v>
      </c>
      <c r="AF733" s="946">
        <f>AF730-AF731</f>
        <v>0</v>
      </c>
      <c r="AG733" s="946">
        <f>AG730-AG731</f>
        <v>0</v>
      </c>
      <c r="AH733" s="941">
        <f>AG733-AF733</f>
        <v>0</v>
      </c>
      <c r="AI733" s="825">
        <f>AI730-AI731</f>
        <v>0</v>
      </c>
      <c r="AJ733" s="825">
        <f>AJ730-AJ731</f>
        <v>256.2756375</v>
      </c>
      <c r="AK733" s="825">
        <f>AK730-AK731</f>
        <v>512.551275</v>
      </c>
      <c r="AL733" s="825">
        <f>AL730-AL731</f>
        <v>512.551275</v>
      </c>
      <c r="AM733" s="825">
        <f>AM730-AM731</f>
        <v>512.551275</v>
      </c>
      <c r="AN733" s="825">
        <f>AN730-AN731</f>
        <v>512.551275</v>
      </c>
      <c r="AO733" s="825">
        <f>AO730-AO731</f>
        <v>0</v>
      </c>
      <c r="AP733" s="825">
        <f>AP730-AP731</f>
        <v>0</v>
      </c>
      <c r="AQ733" s="825">
        <f>AQ730-AQ731</f>
        <v>0</v>
      </c>
      <c r="AR733" s="825">
        <f>AR730-AR731</f>
        <v>0</v>
      </c>
      <c r="AS733" s="825">
        <f>AS730-AS731</f>
        <v>0</v>
      </c>
      <c r="AT733" s="825">
        <f>AT730-AT731</f>
        <v>256.2756375</v>
      </c>
      <c r="AU733" s="825">
        <f>AU730-AU731</f>
        <v>512.551275</v>
      </c>
      <c r="AV733" s="825">
        <f>AV730-AV731</f>
        <v>512.551275</v>
      </c>
      <c r="AW733" s="825">
        <f>AW730-AW731</f>
        <v>512.551275</v>
      </c>
      <c r="AX733" s="825">
        <f>AX730-AX731</f>
        <v>512.551275</v>
      </c>
      <c r="AY733" s="825">
        <f>AY730-AY731</f>
        <v>0</v>
      </c>
      <c r="AZ733" s="825">
        <f>AZ730-AZ731</f>
        <v>0</v>
      </c>
      <c r="BA733" s="825">
        <f>BA730-BA731</f>
        <v>0</v>
      </c>
      <c r="BB733" s="825">
        <f>BB730-BB731</f>
        <v>0</v>
      </c>
      <c r="BC733" s="825">
        <f>BC730-BC731</f>
        <v>0</v>
      </c>
      <c r="BD733" s="942"/>
      <c r="BE733" s="942"/>
      <c r="BF733" s="942"/>
      <c r="BG733" s="942"/>
      <c r="BH733" s="942"/>
      <c r="BI733" s="942"/>
      <c r="BJ733" s="942"/>
      <c r="BK733" s="942"/>
      <c r="BL733" s="942"/>
      <c r="BM733" s="942"/>
      <c r="BN733" s="7771"/>
      <c r="BO733" s="7771"/>
      <c r="BP733" s="7771"/>
      <c r="BQ733" s="1278"/>
      <c r="BR733" s="1278"/>
      <c r="BS733" s="1062" t="s">
        <v>2588</v>
      </c>
      <c r="BT733" s="1064"/>
      <c r="BU733" s="1064"/>
      <c r="BV733" s="979"/>
      <c r="BW733" s="979"/>
    </row>
    <row s="1834" customFormat="1" customHeight="1" ht="14.25">
      <c r="A734" s="1278"/>
      <c r="B734" s="978"/>
      <c r="C734" s="1278"/>
      <c r="D734" s="107" cm="1" t="str">
        <f t="array" ref="D734:D734">D733</f>
        <v>11</v>
      </c>
      <c r="E734" s="703">
        <v>15</v>
      </c>
      <c r="F734" s="50" cm="1" t="str">
        <f t="array" ref="F734:F734">OFFSET(E734,-1,1)</f>
        <v>4</v>
      </c>
      <c r="G734" s="158" t="s">
        <v>2339</v>
      </c>
      <c r="H734" s="1278"/>
      <c r="I734" s="158" t="s">
        <v>2903</v>
      </c>
      <c r="J734" s="1278"/>
      <c r="K734" s="158" t="s">
        <v>2903</v>
      </c>
      <c r="L734" s="980" t="s">
        <v>2589</v>
      </c>
      <c r="M734" s="107"/>
      <c r="N734" s="1278"/>
      <c r="O734" s="1278"/>
      <c r="P734" s="1278"/>
      <c r="Q734" s="1278"/>
      <c r="R734" s="1278"/>
      <c r="S734" s="1278"/>
      <c r="T734" s="465" cm="1" t="str">
        <f t="array" ref="T734:T734">T733</f>
        <v>true</v>
      </c>
      <c r="U734" s="1278"/>
      <c r="V734" s="1278"/>
      <c r="W734" s="1278"/>
      <c r="X734" s="1563"/>
      <c r="Y734" s="1278"/>
      <c r="Z734" s="1546"/>
      <c r="AA734" s="1278"/>
      <c r="AB734" s="300" t="str">
        <f>D734&amp;".4"</f>
        <v>11.4</v>
      </c>
      <c r="AC734" s="1111" t="s">
        <v>2591</v>
      </c>
      <c r="AD734" s="300" t="s">
        <v>2337</v>
      </c>
      <c r="AE734" s="7773">
        <f>IF(AE733=0,0,(AE727-AE731*AE732)/AE733)</f>
        <v>0</v>
      </c>
      <c r="AF734" s="7773">
        <f>IF(AF733=0,0,(AF727-AF731*AF732)/AF733)</f>
        <v>0</v>
      </c>
      <c r="AG734" s="7773">
        <f>IF(AG733=0,0,(AG727-AG731*AG732)/AG733)</f>
        <v>0</v>
      </c>
      <c r="AH734" s="943">
        <f>AG734-AF734</f>
        <v>0</v>
      </c>
      <c r="AI734" s="7501">
        <f>IF(AI733=0,0,(AI727-AI731*AI732)/AI733)</f>
        <v>0</v>
      </c>
      <c r="AJ734" s="7501">
        <f>IF(AJ733=0,0,(AJ727-AJ731*AJ732)/AJ733)</f>
        <v>50.9631001627761</v>
      </c>
      <c r="AK734" s="7501">
        <f>IF(AK733=0,0,(AK727-AK731*AK732)/AK733)</f>
        <v>27.1931269937524</v>
      </c>
      <c r="AL734" s="7501">
        <f>IF(AL733=0,0,(AL727-AL731*AL732)/AL733)</f>
        <v>32.4643864883524</v>
      </c>
      <c r="AM734" s="7501">
        <f>IF(AM733=0,0,(AM727-AM731*AM732)/AM733)</f>
        <v>45.1012649794903</v>
      </c>
      <c r="AN734" s="7501">
        <f>IF(AN733=0,0,(AN727-AN731*AN732)/AN733)</f>
        <v>95.0621701942595</v>
      </c>
      <c r="AO734" s="1262">
        <f>IF(AO733=0,0,(AO727-AO731*AO732)/AO733)</f>
        <v>0</v>
      </c>
      <c r="AP734" s="1262">
        <f>IF(AP733=0,0,(AP727-AP731*AP732)/AP733)</f>
        <v>0</v>
      </c>
      <c r="AQ734" s="1262">
        <f>IF(AQ733=0,0,(AQ727-AQ731*AQ732)/AQ733)</f>
        <v>0</v>
      </c>
      <c r="AR734" s="1262">
        <f>IF(AR733=0,0,(AR727-AR731*AR732)/AR733)</f>
        <v>0</v>
      </c>
      <c r="AS734" s="1262">
        <f>IF(AS733=0,0,(AS727-AS731*AS732)/AS733)</f>
        <v>0</v>
      </c>
      <c r="AT734" s="7501">
        <f>IF(AT733=0,0,(AT727-AT731*AT732)/AT733)</f>
        <v>50.9631001627761</v>
      </c>
      <c r="AU734" s="7501">
        <f>IF(AU733=0,0,(AU727-AU731*AU732)/AU733)</f>
        <v>-23.7699731690237</v>
      </c>
      <c r="AV734" s="7501">
        <f>IF(AV733=0,0,(AV727-AV731*AV732)/AV733)</f>
        <v>56.2343596573761</v>
      </c>
      <c r="AW734" s="7501">
        <f>IF(AW733=0,0,(AW727-AW731*AW732)/AW733)</f>
        <v>-11.1330946778858</v>
      </c>
      <c r="AX734" s="7501">
        <f>IF(AX733=0,0,(AX727-AX731*AX732)/AX733)</f>
        <v>106.195264872145</v>
      </c>
      <c r="AY734" s="1262">
        <f>IF(AY733=0,0,(AY727-AY731*AY732)/AY733)</f>
        <v>0</v>
      </c>
      <c r="AZ734" s="1262">
        <f>IF(AZ733=0,0,(AZ727-AZ731*AZ732)/AZ733)</f>
        <v>0</v>
      </c>
      <c r="BA734" s="1262">
        <f>IF(BA733=0,0,(BA727-BA731*BA732)/BA733)</f>
        <v>0</v>
      </c>
      <c r="BB734" s="1262">
        <f>IF(BB733=0,0,(BB727-BB731*BB732)/BB733)</f>
        <v>0</v>
      </c>
      <c r="BC734" s="1262">
        <f>IF(BC733=0,0,(BC727-BC731*BC732)/BC733)</f>
        <v>0</v>
      </c>
      <c r="BD734" s="942"/>
      <c r="BE734" s="942"/>
      <c r="BF734" s="942"/>
      <c r="BG734" s="942"/>
      <c r="BH734" s="942"/>
      <c r="BI734" s="942"/>
      <c r="BJ734" s="942"/>
      <c r="BK734" s="942"/>
      <c r="BL734" s="942"/>
      <c r="BM734" s="942"/>
      <c r="BN734" s="7771"/>
      <c r="BO734" s="7771"/>
      <c r="BP734" s="7771"/>
      <c r="BQ734" s="1278"/>
      <c r="BR734" s="1278"/>
      <c r="BS734" s="1062" t="s">
        <v>2592</v>
      </c>
      <c r="BT734" s="1064"/>
      <c r="BU734" s="1064"/>
      <c r="BV734" s="979"/>
      <c r="BW734" s="979"/>
    </row>
    <row s="1834" customFormat="1" customHeight="1" ht="14.25">
      <c r="A735" s="1278"/>
      <c r="B735" s="978"/>
      <c r="C735" s="1278"/>
      <c r="D735" s="107" cm="1" t="str">
        <f t="array" ref="D735:D735">D734</f>
        <v>11</v>
      </c>
      <c r="E735" s="703">
        <v>15</v>
      </c>
      <c r="F735" s="50" cm="1" t="str">
        <f t="array" ref="F735:F735">OFFSET(E735,-1,1)</f>
        <v>4</v>
      </c>
      <c r="G735" s="1278"/>
      <c r="H735" s="1278"/>
      <c r="I735" s="158" t="s">
        <v>2904</v>
      </c>
      <c r="J735" s="1278"/>
      <c r="K735" s="158" t="s">
        <v>2904</v>
      </c>
      <c r="L735" s="980" t="s">
        <v>2593</v>
      </c>
      <c r="M735" s="107"/>
      <c r="N735" s="1278"/>
      <c r="O735" s="1278"/>
      <c r="P735" s="1278"/>
      <c r="Q735" s="1278"/>
      <c r="R735" s="1278"/>
      <c r="S735" s="1278"/>
      <c r="T735" s="465" cm="1" t="str">
        <f t="array" ref="T735:T735">T734</f>
        <v>true</v>
      </c>
      <c r="U735" s="1278"/>
      <c r="V735" s="1278"/>
      <c r="W735" s="1278"/>
      <c r="X735" s="1563"/>
      <c r="Y735" s="1278"/>
      <c r="Z735" s="1546"/>
      <c r="AA735" s="1278"/>
      <c r="AB735" s="300" t="str">
        <f>D735&amp;".5"</f>
        <v>11.5</v>
      </c>
      <c r="AC735" s="1111" t="s">
        <v>2595</v>
      </c>
      <c r="AD735" s="300" t="s">
        <v>1170</v>
      </c>
      <c r="AE735" s="259">
        <f>IF(AE732=0,0,AE734/AE732*100)</f>
        <v>0</v>
      </c>
      <c r="AF735" s="259">
        <f>IF(AF732=0,0,AF734/AF732*100)</f>
        <v>0</v>
      </c>
      <c r="AG735" s="259">
        <f>IF(AG732=0,0,AG734/AG732*100)</f>
        <v>0</v>
      </c>
      <c r="AH735" s="942"/>
      <c r="AI735" s="802">
        <f>IF(AI732=0,0,AI734/AI732*100)</f>
        <v>0</v>
      </c>
      <c r="AJ735" s="802">
        <f>IF(AJ732=0,0,AJ734/AJ732*100)</f>
        <v>0</v>
      </c>
      <c r="AK735" s="802">
        <f>IF(AK732=0,0,AK734/AK732*100)</f>
        <v>0</v>
      </c>
      <c r="AL735" s="802">
        <f>IF(AL732=0,0,AL734/AL732*100)</f>
        <v>0</v>
      </c>
      <c r="AM735" s="802">
        <f>IF(AM732=0,0,AM734/AM732*100)</f>
        <v>0</v>
      </c>
      <c r="AN735" s="802">
        <f>IF(AN732=0,0,AN734/AN732*100)</f>
        <v>0</v>
      </c>
      <c r="AO735" s="802">
        <f>IF(AO732=0,0,AO734/AO732*100)</f>
        <v>0</v>
      </c>
      <c r="AP735" s="802">
        <f>IF(AP732=0,0,AP734/AP732*100)</f>
        <v>0</v>
      </c>
      <c r="AQ735" s="802">
        <f>IF(AQ732=0,0,AQ734/AQ732*100)</f>
        <v>0</v>
      </c>
      <c r="AR735" s="802">
        <f>IF(AR732=0,0,AR734/AR732*100)</f>
        <v>0</v>
      </c>
      <c r="AS735" s="802">
        <f>IF(AS732=0,0,AS734/AS732*100)</f>
        <v>0</v>
      </c>
      <c r="AT735" s="802">
        <f>IF(AT732=0,0,AT734/AT732*100)</f>
        <v>0</v>
      </c>
      <c r="AU735" s="802">
        <f>IF(AU732=0,0,AU734/AU732*100)</f>
        <v>-46.641536902391</v>
      </c>
      <c r="AV735" s="802">
        <f>IF(AV732=0,0,AV734/AV732*100)</f>
        <v>-236.577295470653</v>
      </c>
      <c r="AW735" s="802">
        <f>IF(AW732=0,0,AW734/AW732*100)</f>
        <v>-19.7976730698409</v>
      </c>
      <c r="AX735" s="802">
        <f>IF(AX732=0,0,AX734/AX732*100)</f>
        <v>-953.870131753085</v>
      </c>
      <c r="AY735" s="802">
        <f>IF(AY732=0,0,AY734/AY732*100)</f>
        <v>0</v>
      </c>
      <c r="AZ735" s="802">
        <f>IF(AZ732=0,0,AZ734/AZ732*100)</f>
        <v>0</v>
      </c>
      <c r="BA735" s="802">
        <f>IF(BA732=0,0,BA734/BA732*100)</f>
        <v>0</v>
      </c>
      <c r="BB735" s="802">
        <f>IF(BB732=0,0,BB734/BB732*100)</f>
        <v>0</v>
      </c>
      <c r="BC735" s="802">
        <f>IF(BC732=0,0,BC734/BC732*100)</f>
        <v>0</v>
      </c>
      <c r="BD735" s="942"/>
      <c r="BE735" s="942"/>
      <c r="BF735" s="942"/>
      <c r="BG735" s="942"/>
      <c r="BH735" s="942"/>
      <c r="BI735" s="942"/>
      <c r="BJ735" s="942"/>
      <c r="BK735" s="942"/>
      <c r="BL735" s="942"/>
      <c r="BM735" s="942"/>
      <c r="BN735" s="7771"/>
      <c r="BO735" s="7771"/>
      <c r="BP735" s="7771"/>
      <c r="BQ735" s="1278"/>
      <c r="BR735" s="1278"/>
      <c r="BS735" s="1062" t="s">
        <v>2596</v>
      </c>
      <c r="BT735" s="1064"/>
      <c r="BU735" s="1064"/>
      <c r="BV735" s="979"/>
      <c r="BW735" s="979"/>
    </row>
    <row s="1834" customFormat="1" customHeight="1" ht="14.25">
      <c r="A736" s="1278"/>
      <c r="B736" s="978"/>
      <c r="C736" s="1278"/>
      <c r="D736" s="107" cm="1" t="str">
        <f t="array" ref="D736:D736">D735</f>
        <v>11</v>
      </c>
      <c r="E736" s="703">
        <v>15</v>
      </c>
      <c r="F736" s="50" cm="1" t="str">
        <f t="array" ref="F736:F736">OFFSET(E736,-1,1)</f>
        <v>4</v>
      </c>
      <c r="G736" s="1278"/>
      <c r="H736" s="1278"/>
      <c r="I736" s="158" t="s">
        <v>2905</v>
      </c>
      <c r="J736" s="1278"/>
      <c r="K736" s="158" t="s">
        <v>2905</v>
      </c>
      <c r="L736" s="980" t="s">
        <v>2597</v>
      </c>
      <c r="M736" s="107"/>
      <c r="N736" s="1278"/>
      <c r="O736" s="1278"/>
      <c r="P736" s="1278"/>
      <c r="Q736" s="1278"/>
      <c r="R736" s="1278"/>
      <c r="S736" s="1278"/>
      <c r="T736" s="465" cm="1" t="str">
        <f t="array" ref="T736:T736">T735</f>
        <v>true</v>
      </c>
      <c r="U736" s="1278"/>
      <c r="V736" s="1278"/>
      <c r="W736" s="1278"/>
      <c r="X736" s="1563"/>
      <c r="Y736" s="1278"/>
      <c r="Z736" s="1546"/>
      <c r="AA736" s="1278"/>
      <c r="AB736" s="300" t="str">
        <f>D736&amp;".6"</f>
        <v>11.6</v>
      </c>
      <c r="AC736" s="1111" t="s">
        <v>2599</v>
      </c>
      <c r="AD736" s="300" t="s">
        <v>2337</v>
      </c>
      <c r="AE736" s="7773">
        <f>IF(AE730=0,0,AE727/AE730)</f>
        <v>0</v>
      </c>
      <c r="AF736" s="7773">
        <f>IF(AF730=0,0,AF727/AF730)</f>
        <v>0</v>
      </c>
      <c r="AG736" s="7773">
        <f>IF(AG730=0,0,AG727/AG730)</f>
        <v>0</v>
      </c>
      <c r="AH736" s="943">
        <f>AG736-AF736</f>
        <v>0</v>
      </c>
      <c r="AI736" s="7501">
        <f>IF(AI730=0,0,AI727/AI730)</f>
        <v>0</v>
      </c>
      <c r="AJ736" s="7501">
        <f>IF(AJ730=0,0,AJ727/AJ730)</f>
        <v>12.740775040694</v>
      </c>
      <c r="AK736" s="7501">
        <f>IF(AK730=0,0,AK727/AK730)</f>
        <v>13.5965634968762</v>
      </c>
      <c r="AL736" s="7501">
        <f>IF(AL730=0,0,AL727/AL730)</f>
        <v>16.2321932441762</v>
      </c>
      <c r="AM736" s="7501">
        <f>IF(AM730=0,0,AM727/AM730)</f>
        <v>22.5506324897451</v>
      </c>
      <c r="AN736" s="7501">
        <f>IF(AN730=0,0,AN727/AN730)</f>
        <v>47.5310850971297</v>
      </c>
      <c r="AO736" s="1262">
        <f>IF(AO730=0,0,AO727/AO730)</f>
        <v>0</v>
      </c>
      <c r="AP736" s="1262">
        <f>IF(AP730=0,0,AP727/AP730)</f>
        <v>0</v>
      </c>
      <c r="AQ736" s="1262">
        <f>IF(AQ730=0,0,AQ727/AQ730)</f>
        <v>0</v>
      </c>
      <c r="AR736" s="1262">
        <f>IF(AR730=0,0,AR727/AR730)</f>
        <v>0</v>
      </c>
      <c r="AS736" s="1262">
        <f>IF(AS730=0,0,AS727/AS730)</f>
        <v>0</v>
      </c>
      <c r="AT736" s="7501">
        <f>IF(AT730=0,0,AT727/AT730)</f>
        <v>12.740775040694</v>
      </c>
      <c r="AU736" s="7501">
        <f>IF(AU730=0,0,AU727/AU730)</f>
        <v>13.5965634968762</v>
      </c>
      <c r="AV736" s="7501">
        <f>IF(AV730=0,0,AV727/AV730)</f>
        <v>16.2321932441762</v>
      </c>
      <c r="AW736" s="7501">
        <f>IF(AW730=0,0,AW727/AW730)</f>
        <v>22.5506324897451</v>
      </c>
      <c r="AX736" s="7501">
        <f>IF(AX730=0,0,AX727/AX730)</f>
        <v>47.5310850971297</v>
      </c>
      <c r="AY736" s="1262">
        <f>IF(AY730=0,0,AY727/AY730)</f>
        <v>0</v>
      </c>
      <c r="AZ736" s="1262">
        <f>IF(AZ730=0,0,AZ727/AZ730)</f>
        <v>0</v>
      </c>
      <c r="BA736" s="1262">
        <f>IF(BA730=0,0,BA727/BA730)</f>
        <v>0</v>
      </c>
      <c r="BB736" s="1262">
        <f>IF(BB730=0,0,BB727/BB730)</f>
        <v>0</v>
      </c>
      <c r="BC736" s="1262">
        <f>IF(BC730=0,0,BC727/BC730)</f>
        <v>0</v>
      </c>
      <c r="BD736" s="942"/>
      <c r="BE736" s="942"/>
      <c r="BF736" s="942"/>
      <c r="BG736" s="942"/>
      <c r="BH736" s="942"/>
      <c r="BI736" s="942"/>
      <c r="BJ736" s="942"/>
      <c r="BK736" s="942"/>
      <c r="BL736" s="942"/>
      <c r="BM736" s="942"/>
      <c r="BN736" s="7771"/>
      <c r="BO736" s="7771"/>
      <c r="BP736" s="7771"/>
      <c r="BQ736" s="1278"/>
      <c r="BR736" s="1278"/>
      <c r="BS736" s="1062" t="s">
        <v>2600</v>
      </c>
      <c r="BT736" s="1064"/>
      <c r="BU736" s="1064"/>
      <c r="BV736" s="979"/>
      <c r="BW736" s="979"/>
    </row>
    <row s="7963" customFormat="1" customHeight="1" ht="20.25">
      <c r="A737" s="700"/>
      <c r="B737" s="435"/>
      <c r="C737" s="700"/>
      <c r="D737" s="109">
        <f>D736+1</f>
        <v>12</v>
      </c>
      <c r="E737" s="707">
        <v>21</v>
      </c>
      <c r="F737" s="50" cm="1" t="str">
        <f t="array" ref="F737:F737">OFFSET(E737,-1,1)</f>
        <v>4</v>
      </c>
      <c r="G737" s="700"/>
      <c r="H737" s="158"/>
      <c r="I737" s="158" t="s">
        <v>2604</v>
      </c>
      <c r="J737" s="700"/>
      <c r="K737" s="158" t="s">
        <v>2604</v>
      </c>
      <c r="L737" s="985" t="s">
        <v>2601</v>
      </c>
      <c r="M737" s="109"/>
      <c r="N737" s="700"/>
      <c r="O737" s="700"/>
      <c r="P737" s="700"/>
      <c r="Q737" s="700"/>
      <c r="R737" s="700"/>
      <c r="S737" s="700"/>
      <c r="T737" s="465" cm="1" t="str">
        <f t="array" ref="T737:T737">T736</f>
        <v>true</v>
      </c>
      <c r="U737" s="700"/>
      <c r="V737" s="700"/>
      <c r="W737" s="700"/>
      <c r="X737" s="1563"/>
      <c r="Y737" s="700"/>
      <c r="Z737" s="1546"/>
      <c r="AA737" s="700"/>
      <c r="AB737" s="211" cm="1" t="str">
        <f t="array" ref="AB737:AB737">D737</f>
        <v>12</v>
      </c>
      <c r="AC737" s="212" t="s">
        <v>2602</v>
      </c>
      <c r="AD737" s="211" t="s">
        <v>1514</v>
      </c>
      <c r="AE737" s="7499">
        <f>IF(AE730=0,0,AE727/AE730*AE738)</f>
        <v>0</v>
      </c>
      <c r="AF737" s="7499">
        <f>IF(AF730=0,0,AF727/AF730*AF738)</f>
        <v>0</v>
      </c>
      <c r="AG737" s="7499">
        <f>IF(AG730=0,0,AG727/AG730*AG738)</f>
        <v>0</v>
      </c>
      <c r="AH737" s="770">
        <f>AH739*AH740+AH741*AH742</f>
        <v>0</v>
      </c>
      <c r="AI737" s="7789">
        <f>IF(AI730=0,0,AI727/AI730*AI738)</f>
        <v>0</v>
      </c>
      <c r="AJ737" s="7789">
        <f>IF(AJ730=0,0,AJ727/AJ730*AJ738)</f>
        <v>9794.75671552544</v>
      </c>
      <c r="AK737" s="7789">
        <f>IF(AK730=0,0,AK727/AK730*AK738)</f>
        <v>10452.6632951084</v>
      </c>
      <c r="AL737" s="7789">
        <f>IF(AL730=0,0,AL727/AL730*AL738)</f>
        <v>12478.8628068769</v>
      </c>
      <c r="AM737" s="7789">
        <f>IF(AM730=0,0,AM727/AM730*AM738)</f>
        <v>17336.3047626847</v>
      </c>
      <c r="AN737" s="7789">
        <f>IF(AN730=0,0,AN727/AN730*AN738)</f>
        <v>36540.5882659681</v>
      </c>
      <c r="AO737" s="1263">
        <f>IF(AO730=0,0,AO727/AO730*AO738)</f>
        <v>0</v>
      </c>
      <c r="AP737" s="1263">
        <f>IF(AP730=0,0,AP727/AP730*AP738)</f>
        <v>0</v>
      </c>
      <c r="AQ737" s="1263">
        <f>IF(AQ730=0,0,AQ727/AQ730*AQ738)</f>
        <v>0</v>
      </c>
      <c r="AR737" s="1263">
        <f>IF(AR730=0,0,AR727/AR730*AR738)</f>
        <v>0</v>
      </c>
      <c r="AS737" s="1263">
        <f>IF(AS730=0,0,AS727/AS730*AS738)</f>
        <v>0</v>
      </c>
      <c r="AT737" s="7789">
        <f>IF(AT730=0,0,AT727/AT730*AT738)</f>
        <v>9794.75671552544</v>
      </c>
      <c r="AU737" s="7789">
        <f>IF(AU730=0,0,AU727/AU730*AU738)</f>
        <v>10452.6632951084</v>
      </c>
      <c r="AV737" s="7789">
        <f>IF(AV730=0,0,AV727/AV730*AV738)</f>
        <v>12478.8628068769</v>
      </c>
      <c r="AW737" s="7789">
        <f>IF(AW730=0,0,AW727/AW730*AW738)</f>
        <v>17336.3047626847</v>
      </c>
      <c r="AX737" s="7789">
        <f>IF(AX730=0,0,AX727/AX730*AX738)</f>
        <v>36540.5882659681</v>
      </c>
      <c r="AY737" s="1263">
        <f>IF(AY730=0,0,AY727/AY730*AY738)</f>
        <v>0</v>
      </c>
      <c r="AZ737" s="1263">
        <f>IF(AZ730=0,0,AZ727/AZ730*AZ738)</f>
        <v>0</v>
      </c>
      <c r="BA737" s="1263">
        <f>IF(BA730=0,0,BA727/BA730*BA738)</f>
        <v>0</v>
      </c>
      <c r="BB737" s="1263">
        <f>IF(BB730=0,0,BB727/BB730*BB738)</f>
        <v>0</v>
      </c>
      <c r="BC737" s="1263">
        <f>IF(BC730=0,0,BC727/BC730*BC738)</f>
        <v>0</v>
      </c>
      <c r="BD737" s="761">
        <f>IF(AI737=0,0,(AT737-AI737)/AI737*100)</f>
        <v>0</v>
      </c>
      <c r="BE737" s="761">
        <f>IF(AT737=0,0,(AU737-AT737)/AT737*100)</f>
        <v>6.71692619521756</v>
      </c>
      <c r="BF737" s="761">
        <f>IF(AU737=0,0,(AV737-AU737)/AU737*100)</f>
        <v>19.3845286561245</v>
      </c>
      <c r="BG737" s="761">
        <f>IF(AV737=0,0,(AW737-AV737)/AV737*100)</f>
        <v>38.9253574703213</v>
      </c>
      <c r="BH737" s="761">
        <f>IF(AW737=0,0,(AX737-AW737)/AW737*100)</f>
        <v>110.774953291196</v>
      </c>
      <c r="BI737" s="761">
        <f>IF(AX737=0,0,(AY737-AX737)/AX737*100)</f>
        <v>-100</v>
      </c>
      <c r="BJ737" s="761">
        <f>IF(AY737=0,0,(AZ737-AY737)/AY737*100)</f>
        <v>0</v>
      </c>
      <c r="BK737" s="761">
        <f>IF(AZ737=0,0,(BA737-AZ737)/AZ737*100)</f>
        <v>0</v>
      </c>
      <c r="BL737" s="761">
        <f>IF(BA737=0,0,(BB737-BA737)/BA737*100)</f>
        <v>0</v>
      </c>
      <c r="BM737" s="761">
        <f>IF(BB737=0,0,(BC737-BB737)/BB737*100)</f>
        <v>0</v>
      </c>
      <c r="BN737" s="7771"/>
      <c r="BO737" s="7771"/>
      <c r="BP737" s="7771"/>
      <c r="BQ737" s="700"/>
      <c r="BR737" s="700"/>
      <c r="BS737" s="1063" t="s">
        <v>2603</v>
      </c>
      <c r="BT737" s="1070"/>
      <c r="BU737" s="1070"/>
      <c r="BV737" s="707"/>
      <c r="BW737" s="707"/>
    </row>
    <row s="7964" customFormat="1" customHeight="1" ht="20.25">
      <c r="A738" s="700"/>
      <c r="B738" s="435"/>
      <c r="C738" s="700"/>
      <c r="D738" s="109">
        <f>D737+1</f>
        <v>13</v>
      </c>
      <c r="E738" s="707">
        <v>21</v>
      </c>
      <c r="F738" s="50" cm="1" t="str">
        <f t="array" ref="F738:F738">OFFSET(E738,-1,1)</f>
        <v>4</v>
      </c>
      <c r="G738" s="158" t="s">
        <v>2359</v>
      </c>
      <c r="H738" s="158"/>
      <c r="I738" s="158" t="s">
        <v>2906</v>
      </c>
      <c r="J738" s="700"/>
      <c r="K738" s="158" t="s">
        <v>2906</v>
      </c>
      <c r="L738" s="985" t="s">
        <v>2604</v>
      </c>
      <c r="M738" s="109"/>
      <c r="N738" s="700"/>
      <c r="O738" s="700"/>
      <c r="P738" s="700"/>
      <c r="Q738" s="700"/>
      <c r="R738" s="700"/>
      <c r="S738" s="700"/>
      <c r="T738" s="465" cm="1" t="str">
        <f t="array" ref="T738:T738">T737</f>
        <v>true</v>
      </c>
      <c r="U738" s="700"/>
      <c r="V738" s="700"/>
      <c r="W738" s="700"/>
      <c r="X738" s="1563"/>
      <c r="Y738" s="700"/>
      <c r="Z738" s="1546"/>
      <c r="AA738" s="700"/>
      <c r="AB738" s="211" cm="1" t="str">
        <f t="array" ref="AB738:AB738">D738</f>
        <v>13</v>
      </c>
      <c r="AC738" s="212" t="s">
        <v>2605</v>
      </c>
      <c r="AD738" s="211" t="s">
        <v>1247</v>
      </c>
      <c r="AE738" s="785">
        <f>_xlfn.SUMIFS(Баланс!AE$26:AE$482,Баланс!$F$26:$F$482,$F738,Баланс!$G$26:$G$482,"население")</f>
        <v>0</v>
      </c>
      <c r="AF738" s="785">
        <f>_xlfn.SUMIFS(Баланс!AF$26:AF$482,Баланс!$F$26:$F$482,$F738,Баланс!$G$26:$G$482,"население")</f>
        <v>0</v>
      </c>
      <c r="AG738" s="785">
        <f>_xlfn.SUMIFS(Баланс!AG$26:AG$482,Баланс!$F$26:$F$482,$F738,Баланс!$G$26:$G$482,"население")</f>
        <v>0</v>
      </c>
      <c r="AH738" s="786">
        <f>AG738-AF738</f>
        <v>0</v>
      </c>
      <c r="AI738" s="786">
        <f>_xlfn.SUMIFS(Баланс!AH$26:AH$482,Баланс!$F$26:$F$482,$F738,Баланс!$G$26:$G$482,"население")</f>
        <v>0</v>
      </c>
      <c r="AJ738" s="786">
        <f>_xlfn.SUMIFS(Баланс!AI$26:AI$482,Баланс!$F$26:$F$482,$F738,Баланс!$G$26:$G$482,"население")</f>
        <v>768.77244</v>
      </c>
      <c r="AK738" s="786">
        <f>_xlfn.SUMIFS(Баланс!AJ$26:AJ$482,Баланс!$F$26:$F$482,$F738,Баланс!$G$26:$G$482,"население")</f>
        <v>768.77244</v>
      </c>
      <c r="AL738" s="786">
        <f>_xlfn.SUMIFS(Баланс!AK$26:AK$482,Баланс!$F$26:$F$482,$F738,Баланс!$G$26:$G$482,"население")</f>
        <v>768.77244</v>
      </c>
      <c r="AM738" s="786">
        <f>_xlfn.SUMIFS(Баланс!AL$26:AL$482,Баланс!$F$26:$F$482,$F738,Баланс!$G$26:$G$482,"население")</f>
        <v>768.77244</v>
      </c>
      <c r="AN738" s="786">
        <f>_xlfn.SUMIFS(Баланс!AM$26:AM$482,Баланс!$F$26:$F$482,$F738,Баланс!$G$26:$G$482,"население")</f>
        <v>768.77244</v>
      </c>
      <c r="AO738" s="786">
        <f>_xlfn.SUMIFS(Баланс!AN$26:AN$482,Баланс!$F$26:$F$482,$F738,Баланс!$G$26:$G$482,"население")</f>
        <v>0</v>
      </c>
      <c r="AP738" s="786">
        <f>_xlfn.SUMIFS(Баланс!AO$26:AO$482,Баланс!$F$26:$F$482,$F738,Баланс!$G$26:$G$482,"население")</f>
        <v>0</v>
      </c>
      <c r="AQ738" s="786">
        <f>_xlfn.SUMIFS(Баланс!AP$26:AP$482,Баланс!$F$26:$F$482,$F738,Баланс!$G$26:$G$482,"население")</f>
        <v>0</v>
      </c>
      <c r="AR738" s="786">
        <f>_xlfn.SUMIFS(Баланс!AQ$26:AQ$482,Баланс!$F$26:$F$482,$F738,Баланс!$G$26:$G$482,"население")</f>
        <v>0</v>
      </c>
      <c r="AS738" s="786">
        <f>_xlfn.SUMIFS(Баланс!AR$26:AR$482,Баланс!$F$26:$F$482,$F738,Баланс!$G$26:$G$482,"население")</f>
        <v>0</v>
      </c>
      <c r="AT738" s="786">
        <f>_xlfn.SUMIFS(Баланс!AS$26:AS$482,Баланс!$F$26:$F$482,$F738,Баланс!$G$26:$G$482,"население")</f>
        <v>768.77244</v>
      </c>
      <c r="AU738" s="786">
        <f>_xlfn.SUMIFS(Баланс!AT$26:AT$482,Баланс!$F$26:$F$482,$F738,Баланс!$G$26:$G$482,"население")</f>
        <v>768.77244</v>
      </c>
      <c r="AV738" s="786">
        <f>_xlfn.SUMIFS(Баланс!AU$26:AU$482,Баланс!$F$26:$F$482,$F738,Баланс!$G$26:$G$482,"население")</f>
        <v>768.77244</v>
      </c>
      <c r="AW738" s="786">
        <f>_xlfn.SUMIFS(Баланс!AV$26:AV$482,Баланс!$F$26:$F$482,$F738,Баланс!$G$26:$G$482,"население")</f>
        <v>768.77244</v>
      </c>
      <c r="AX738" s="786">
        <f>_xlfn.SUMIFS(Баланс!AW$26:AW$482,Баланс!$F$26:$F$482,$F738,Баланс!$G$26:$G$482,"население")</f>
        <v>768.77244</v>
      </c>
      <c r="AY738" s="786">
        <f>_xlfn.SUMIFS(Баланс!AX$26:AX$482,Баланс!$F$26:$F$482,$F738,Баланс!$G$26:$G$482,"население")</f>
        <v>0</v>
      </c>
      <c r="AZ738" s="786">
        <f>_xlfn.SUMIFS(Баланс!AY$26:AY$482,Баланс!$F$26:$F$482,$F738,Баланс!$G$26:$G$482,"население")</f>
        <v>0</v>
      </c>
      <c r="BA738" s="786">
        <f>_xlfn.SUMIFS(Баланс!AZ$26:AZ$482,Баланс!$F$26:$F$482,$F738,Баланс!$G$26:$G$482,"население")</f>
        <v>0</v>
      </c>
      <c r="BB738" s="786">
        <f>_xlfn.SUMIFS(Баланс!BA$26:BA$482,Баланс!$F$26:$F$482,$F738,Баланс!$G$26:$G$482,"население")</f>
        <v>0</v>
      </c>
      <c r="BC738" s="786">
        <f>_xlfn.SUMIFS(Баланс!BB$26:BB$482,Баланс!$F$26:$F$482,$F738,Баланс!$G$26:$G$482,"население")</f>
        <v>0</v>
      </c>
      <c r="BD738" s="764"/>
      <c r="BE738" s="764"/>
      <c r="BF738" s="764"/>
      <c r="BG738" s="764"/>
      <c r="BH738" s="764"/>
      <c r="BI738" s="764"/>
      <c r="BJ738" s="764"/>
      <c r="BK738" s="764"/>
      <c r="BL738" s="764"/>
      <c r="BM738" s="764"/>
      <c r="BN738" s="7771"/>
      <c r="BO738" s="7771"/>
      <c r="BP738" s="7771"/>
      <c r="BQ738" s="700"/>
      <c r="BR738" s="700"/>
      <c r="BS738" s="1063" t="s">
        <v>2606</v>
      </c>
      <c r="BT738" s="1070"/>
      <c r="BU738" s="1070"/>
      <c r="BV738" s="707"/>
      <c r="BW738" s="707"/>
    </row>
    <row s="1834" customFormat="1" customHeight="1" ht="14.25">
      <c r="A739" s="1278"/>
      <c r="B739" s="978"/>
      <c r="C739" s="1278"/>
      <c r="D739" s="107" cm="1" t="str">
        <f t="array" ref="D739:D739">D738</f>
        <v>13</v>
      </c>
      <c r="E739" s="703">
        <v>15</v>
      </c>
      <c r="F739" s="50" cm="1" t="str">
        <f t="array" ref="F739:F739">OFFSET(E739,-1,1)</f>
        <v>4</v>
      </c>
      <c r="G739" s="158" t="s">
        <v>2393</v>
      </c>
      <c r="H739" s="1278"/>
      <c r="I739" s="158" t="s">
        <v>2907</v>
      </c>
      <c r="J739" s="1278"/>
      <c r="K739" s="158" t="s">
        <v>2907</v>
      </c>
      <c r="L739" s="980" t="s">
        <v>2607</v>
      </c>
      <c r="M739" s="107"/>
      <c r="N739" s="1278"/>
      <c r="O739" s="1278"/>
      <c r="P739" s="1278"/>
      <c r="Q739" s="1278"/>
      <c r="R739" s="1278"/>
      <c r="S739" s="1278"/>
      <c r="T739" s="465" cm="1" t="str">
        <f t="array" ref="T739:T739">T738</f>
        <v>true</v>
      </c>
      <c r="U739" s="1278"/>
      <c r="V739" s="1278"/>
      <c r="W739" s="1278"/>
      <c r="X739" s="1563"/>
      <c r="Y739" s="1278"/>
      <c r="Z739" s="1546"/>
      <c r="AA739" s="1278"/>
      <c r="AB739" s="300" t="str">
        <f>D739&amp;".1"</f>
        <v>13.1</v>
      </c>
      <c r="AC739" s="1111" t="s">
        <v>2609</v>
      </c>
      <c r="AD739" s="300" t="s">
        <v>1247</v>
      </c>
      <c r="AE739" s="7787">
        <f>IF(AE$24="2026 год",AE738/12*9,AE738/2)</f>
        <v>0</v>
      </c>
      <c r="AF739" s="7787">
        <f>IF(AF$24="2026 год",AF738/12*9,AF738/2)</f>
        <v>0</v>
      </c>
      <c r="AG739" s="7787">
        <f>IF(AG$24="2026 год",AG738/12*9,AG738/2)</f>
        <v>0</v>
      </c>
      <c r="AH739" s="941">
        <f>AG739-AF739</f>
        <v>0</v>
      </c>
      <c r="AI739" s="7497">
        <f>IF(AI$24="2026 год",AI738/12*9,AI738/2)</f>
        <v>0</v>
      </c>
      <c r="AJ739" s="7787">
        <f>IF(AJ$24="2026 год",AJ738/12*9,AJ738/2)</f>
        <v>576.57933</v>
      </c>
      <c r="AK739" s="7787">
        <f>IF(AK$24="2026 год",AK738/12*9,AK738/2)</f>
        <v>384.38622</v>
      </c>
      <c r="AL739" s="7497">
        <f>IF(AL$24="2026 год",AL738/12*9,AL738/2)</f>
        <v>384.38622</v>
      </c>
      <c r="AM739" s="7497">
        <f>IF(AM$24="2026 год",AM738/12*9,AM738/2)</f>
        <v>384.38622</v>
      </c>
      <c r="AN739" s="7497">
        <f>IF(AN$24="2026 год",AN738/12*9,AN738/2)</f>
        <v>384.38622</v>
      </c>
      <c r="AO739" s="1261">
        <f>IF(AO$24="2026 год",AO738/12*9,AO738/2)</f>
        <v>0</v>
      </c>
      <c r="AP739" s="1261">
        <f>IF(AP$24="2026 год",AP738/12*9,AP738/2)</f>
        <v>0</v>
      </c>
      <c r="AQ739" s="1261">
        <f>IF(AQ$24="2026 год",AQ738/12*9,AQ738/2)</f>
        <v>0</v>
      </c>
      <c r="AR739" s="1261">
        <f>IF(AR$24="2026 год",AR738/12*9,AR738/2)</f>
        <v>0</v>
      </c>
      <c r="AS739" s="1261">
        <f>IF(AS$24="2026 год",AS738/12*9,AS738/2)</f>
        <v>0</v>
      </c>
      <c r="AT739" s="7497">
        <f>IF(AT$24="2026 год",AT738/12*9,AT738/2)</f>
        <v>576.57933</v>
      </c>
      <c r="AU739" s="7497">
        <f>IF(AU$24="2026 год",AU738/12*9,AU738/2)</f>
        <v>384.38622</v>
      </c>
      <c r="AV739" s="7497">
        <f>IF(AV$24="2026 год",AV738/12*9,AV738/2)</f>
        <v>384.38622</v>
      </c>
      <c r="AW739" s="7497">
        <f>IF(AW$24="2026 год",AW738/12*9,AW738/2)</f>
        <v>384.38622</v>
      </c>
      <c r="AX739" s="7497">
        <f>IF(AX$24="2026 год",AX738/12*9,AX738/2)</f>
        <v>384.38622</v>
      </c>
      <c r="AY739" s="1261">
        <f>IF(AY$24="2026 год",AY738/12*9,AY738/2)</f>
        <v>0</v>
      </c>
      <c r="AZ739" s="1261">
        <f>IF(AZ$24="2026 год",AZ738/12*9,AZ738/2)</f>
        <v>0</v>
      </c>
      <c r="BA739" s="1261">
        <f>IF(BA$24="2026 год",BA738/12*9,BA738/2)</f>
        <v>0</v>
      </c>
      <c r="BB739" s="1261">
        <f>IF(BB$24="2026 год",BB738/12*9,BB738/2)</f>
        <v>0</v>
      </c>
      <c r="BC739" s="1261">
        <f>IF(BC$24="2026 год",BC738/12*9,BC738/2)</f>
        <v>0</v>
      </c>
      <c r="BD739" s="942"/>
      <c r="BE739" s="942"/>
      <c r="BF739" s="942"/>
      <c r="BG739" s="942"/>
      <c r="BH739" s="942"/>
      <c r="BI739" s="942"/>
      <c r="BJ739" s="942"/>
      <c r="BK739" s="942"/>
      <c r="BL739" s="942"/>
      <c r="BM739" s="942"/>
      <c r="BN739" s="7771"/>
      <c r="BO739" s="7771"/>
      <c r="BP739" s="7771"/>
      <c r="BQ739" s="1278"/>
      <c r="BR739" s="1278"/>
      <c r="BS739" s="1062" t="s">
        <v>2610</v>
      </c>
      <c r="BT739" s="1064"/>
      <c r="BU739" s="1064"/>
      <c r="BV739" s="979"/>
      <c r="BW739" s="979"/>
    </row>
    <row s="1834" customFormat="1" customHeight="1" ht="14.25">
      <c r="A740" s="1278"/>
      <c r="B740" s="978"/>
      <c r="C740" s="1278"/>
      <c r="D740" s="107" cm="1" t="str">
        <f t="array" ref="D740:D740">D739</f>
        <v>13</v>
      </c>
      <c r="E740" s="703">
        <v>15</v>
      </c>
      <c r="F740" s="50" cm="1" t="str">
        <f t="array" ref="F740:F740">OFFSET(E740,-1,1)</f>
        <v>4</v>
      </c>
      <c r="G740" s="158" t="s">
        <v>2349</v>
      </c>
      <c r="H740" s="1278"/>
      <c r="I740" s="158" t="s">
        <v>2908</v>
      </c>
      <c r="J740" s="1278"/>
      <c r="K740" s="158" t="s">
        <v>2908</v>
      </c>
      <c r="L740" s="980" t="s">
        <v>2611</v>
      </c>
      <c r="M740" s="107"/>
      <c r="N740" s="1278"/>
      <c r="O740" s="1278"/>
      <c r="P740" s="1278"/>
      <c r="Q740" s="1278"/>
      <c r="R740" s="1278"/>
      <c r="S740" s="1278"/>
      <c r="T740" s="465" cm="1" t="str">
        <f t="array" ref="T740:T740">T739</f>
        <v>true</v>
      </c>
      <c r="U740" s="1278"/>
      <c r="V740" s="1278"/>
      <c r="W740" s="1278"/>
      <c r="X740" s="1563"/>
      <c r="Y740" s="1278"/>
      <c r="Z740" s="1546"/>
      <c r="AA740" s="1278"/>
      <c r="AB740" s="300" t="str">
        <f>D740&amp;".2"</f>
        <v>13.2</v>
      </c>
      <c r="AC740" s="1111" t="s">
        <v>2613</v>
      </c>
      <c r="AD740" s="300" t="s">
        <v>2337</v>
      </c>
      <c r="AE740" s="7501">
        <f>IF(AE738=0,0,AE732*(1+Сценарии!AE$26/100))</f>
        <v>0</v>
      </c>
      <c r="AF740" s="7501">
        <f>IF(AF738=0,0,AF732*(1+Сценарии!AF$26/100))</f>
        <v>0</v>
      </c>
      <c r="AG740" s="7501">
        <f>IF(AG738=0,0,AG732*(1+Сценарии!AG$26/100))</f>
        <v>0</v>
      </c>
      <c r="AH740" s="943">
        <f>AG740-AF740</f>
        <v>0</v>
      </c>
      <c r="AI740" s="7501">
        <f>IF(AI738=0,0,AI732*(1+Сценарии!AI$26/100))</f>
        <v>0</v>
      </c>
      <c r="AJ740" s="7501">
        <f>IF(AJ738=0,0,AJ732*(1+Сценарии!AJ$26/100))</f>
        <v>0</v>
      </c>
      <c r="AK740" s="7501">
        <f>IF(AK738=0,0,AK732*(1+Сценарии!AO$26/100))</f>
        <v>0</v>
      </c>
      <c r="AL740" s="7501">
        <f>IF(AL738=0,0,AL732*(1+Сценарии!AP$26/100))</f>
        <v>0</v>
      </c>
      <c r="AM740" s="7501">
        <f>IF(AM738=0,0,AM732*(1+Сценарии!AQ$26/100))</f>
        <v>0</v>
      </c>
      <c r="AN740" s="7501">
        <f>IF(AN738=0,0,AN732*(1+Сценарии!AR$26/100))</f>
        <v>0</v>
      </c>
      <c r="AO740" s="1262">
        <f>IF(AO738=0,0,AO732*(1+Сценарии!AS$26/100))</f>
        <v>0</v>
      </c>
      <c r="AP740" s="1262">
        <f>IF(AP738=0,0,AP732*(1+Сценарии!AT$26/100))</f>
        <v>0</v>
      </c>
      <c r="AQ740" s="1262">
        <f>IF(AQ738=0,0,AQ732*(1+Сценарии!AU$26/100))</f>
        <v>0</v>
      </c>
      <c r="AR740" s="1262">
        <f>IF(AR738=0,0,AR732*(1+Сценарии!AV$26/100))</f>
        <v>0</v>
      </c>
      <c r="AS740" s="1262">
        <f>IF(AS738=0,0,AS732*(1+Сценарии!AW$26/100))</f>
        <v>0</v>
      </c>
      <c r="AT740" s="7501">
        <f>IF(AT738=0,0,AT732*(1+Сценарии!AK$26/100))</f>
        <v>0</v>
      </c>
      <c r="AU740" s="7501">
        <f>IF(AU738=0,0,AU732*(1+Сценарии!AX$26/100))</f>
        <v>62.1749821985868</v>
      </c>
      <c r="AV740" s="7501">
        <f>IF(AV738=0,0,AV732*(1+Сценарии!AY$26/100))</f>
        <v>-28.9993672662089</v>
      </c>
      <c r="AW740" s="7501">
        <f>IF(AW738=0,0,AW732*(1+Сценарии!AZ$26/100))</f>
        <v>68.6059187819988</v>
      </c>
      <c r="AX740" s="7501">
        <f>IF(AX738=0,0,AX732*(1+Сценарии!BA$26/100))</f>
        <v>-13.5823755070207</v>
      </c>
      <c r="AY740" s="1262">
        <f>IF(AY738=0,0,AY732*(1+Сценарии!BB$26/100))</f>
        <v>0</v>
      </c>
      <c r="AZ740" s="1262">
        <f>IF(AZ738=0,0,AZ732*(1+Сценарии!BC$26/100))</f>
        <v>0</v>
      </c>
      <c r="BA740" s="1262">
        <f>IF(BA738=0,0,BA732*(1+Сценарии!BD$26/100))</f>
        <v>0</v>
      </c>
      <c r="BB740" s="1262">
        <f>IF(BB738=0,0,BB732*(1+Сценарии!BE$26/100))</f>
        <v>0</v>
      </c>
      <c r="BC740" s="1262">
        <f>IF(BC738=0,0,BC732*(1+Сценарии!BF$26/100))</f>
        <v>0</v>
      </c>
      <c r="BD740" s="942"/>
      <c r="BE740" s="942"/>
      <c r="BF740" s="942"/>
      <c r="BG740" s="942"/>
      <c r="BH740" s="942"/>
      <c r="BI740" s="942"/>
      <c r="BJ740" s="942"/>
      <c r="BK740" s="942"/>
      <c r="BL740" s="942"/>
      <c r="BM740" s="942"/>
      <c r="BN740" s="7771"/>
      <c r="BO740" s="7771"/>
      <c r="BP740" s="7771"/>
      <c r="BQ740" s="1278"/>
      <c r="BR740" s="1278"/>
      <c r="BS740" s="1062" t="s">
        <v>2614</v>
      </c>
      <c r="BT740" s="1064"/>
      <c r="BU740" s="1064"/>
      <c r="BV740" s="979"/>
      <c r="BW740" s="979"/>
    </row>
    <row s="1834" customFormat="1" customHeight="1" ht="14.25">
      <c r="A741" s="1278"/>
      <c r="B741" s="96"/>
      <c r="C741" s="107"/>
      <c r="D741" s="107" cm="1" t="str">
        <f t="array" ref="D741:D741">D740</f>
        <v>13</v>
      </c>
      <c r="E741" s="621">
        <v>15</v>
      </c>
      <c r="F741" s="50" cm="1" t="str">
        <f t="array" ref="F741:F741">OFFSET(E741,-1,1)</f>
        <v>4</v>
      </c>
      <c r="G741" s="107" t="s">
        <v>2400</v>
      </c>
      <c r="H741" s="107"/>
      <c r="I741" s="107" t="s">
        <v>2909</v>
      </c>
      <c r="J741" s="107"/>
      <c r="K741" s="107" t="s">
        <v>2909</v>
      </c>
      <c r="L741" s="980" t="s">
        <v>2615</v>
      </c>
      <c r="M741" s="107"/>
      <c r="N741" s="107"/>
      <c r="O741" s="107"/>
      <c r="P741" s="107"/>
      <c r="Q741" s="107"/>
      <c r="R741" s="107"/>
      <c r="S741" s="107"/>
      <c r="T741" s="465" cm="1" t="str">
        <f t="array" ref="T741:T741">T740</f>
        <v>true</v>
      </c>
      <c r="U741" s="107"/>
      <c r="V741" s="107"/>
      <c r="W741" s="107"/>
      <c r="X741" s="1563"/>
      <c r="Y741" s="1278"/>
      <c r="Z741" s="1546"/>
      <c r="AA741" s="1278"/>
      <c r="AB741" s="300" t="str">
        <f>D741&amp;".3"</f>
        <v>13.3</v>
      </c>
      <c r="AC741" s="1111" t="s">
        <v>2587</v>
      </c>
      <c r="AD741" s="300" t="s">
        <v>1247</v>
      </c>
      <c r="AE741" s="946">
        <f>AE738-AE739</f>
        <v>0</v>
      </c>
      <c r="AF741" s="946">
        <f>AF738-AF739</f>
        <v>0</v>
      </c>
      <c r="AG741" s="946">
        <f>AG738-AG739</f>
        <v>0</v>
      </c>
      <c r="AH741" s="941">
        <f>AG741-AF741</f>
        <v>0</v>
      </c>
      <c r="AI741" s="825">
        <f>AI738-AI739</f>
        <v>0</v>
      </c>
      <c r="AJ741" s="825">
        <f>AJ738-AJ739</f>
        <v>192.19311</v>
      </c>
      <c r="AK741" s="825">
        <f>AK738-AK739</f>
        <v>384.38622</v>
      </c>
      <c r="AL741" s="825">
        <f>AL738-AL739</f>
        <v>384.38622</v>
      </c>
      <c r="AM741" s="825">
        <f>AM738-AM739</f>
        <v>384.38622</v>
      </c>
      <c r="AN741" s="825">
        <f>AN738-AN739</f>
        <v>384.38622</v>
      </c>
      <c r="AO741" s="825">
        <f>AO738-AO739</f>
        <v>0</v>
      </c>
      <c r="AP741" s="825">
        <f>AP738-AP739</f>
        <v>0</v>
      </c>
      <c r="AQ741" s="825">
        <f>AQ738-AQ739</f>
        <v>0</v>
      </c>
      <c r="AR741" s="825">
        <f>AR738-AR739</f>
        <v>0</v>
      </c>
      <c r="AS741" s="825">
        <f>AS738-AS739</f>
        <v>0</v>
      </c>
      <c r="AT741" s="825">
        <f>AT738-AT739</f>
        <v>192.19311</v>
      </c>
      <c r="AU741" s="825">
        <f>AU738-AU739</f>
        <v>384.38622</v>
      </c>
      <c r="AV741" s="825">
        <f>AV738-AV739</f>
        <v>384.38622</v>
      </c>
      <c r="AW741" s="825">
        <f>AW738-AW739</f>
        <v>384.38622</v>
      </c>
      <c r="AX741" s="825">
        <f>AX738-AX739</f>
        <v>384.38622</v>
      </c>
      <c r="AY741" s="825">
        <f>AY738-AY739</f>
        <v>0</v>
      </c>
      <c r="AZ741" s="825">
        <f>AZ738-AZ739</f>
        <v>0</v>
      </c>
      <c r="BA741" s="825">
        <f>BA738-BA739</f>
        <v>0</v>
      </c>
      <c r="BB741" s="825">
        <f>BB738-BB739</f>
        <v>0</v>
      </c>
      <c r="BC741" s="825">
        <f>BC738-BC739</f>
        <v>0</v>
      </c>
      <c r="BD741" s="942"/>
      <c r="BE741" s="942"/>
      <c r="BF741" s="942"/>
      <c r="BG741" s="942"/>
      <c r="BH741" s="942"/>
      <c r="BI741" s="942"/>
      <c r="BJ741" s="942"/>
      <c r="BK741" s="942"/>
      <c r="BL741" s="942"/>
      <c r="BM741" s="942"/>
      <c r="BN741" s="7771"/>
      <c r="BO741" s="7771"/>
      <c r="BP741" s="7771"/>
      <c r="BQ741" s="1278"/>
      <c r="BR741" s="1278"/>
      <c r="BS741" s="1062" t="s">
        <v>2617</v>
      </c>
      <c r="BT741" s="1064"/>
      <c r="BU741" s="1064"/>
      <c r="BV741" s="979"/>
      <c r="BW741" s="979"/>
    </row>
    <row s="1834" customFormat="1" customHeight="1" ht="14.25">
      <c r="A742" s="1278"/>
      <c r="B742" s="96"/>
      <c r="C742" s="107"/>
      <c r="D742" s="107" cm="1" t="str">
        <f t="array" ref="D742:D742">D741</f>
        <v>13</v>
      </c>
      <c r="E742" s="621">
        <v>15</v>
      </c>
      <c r="F742" s="50" cm="1" t="str">
        <f t="array" ref="F742:F742">OFFSET(E742,-1,1)</f>
        <v>4</v>
      </c>
      <c r="G742" s="107" t="s">
        <v>2353</v>
      </c>
      <c r="H742" s="107"/>
      <c r="I742" s="107" t="s">
        <v>2910</v>
      </c>
      <c r="J742" s="107"/>
      <c r="K742" s="107" t="s">
        <v>2910</v>
      </c>
      <c r="L742" s="980" t="s">
        <v>2618</v>
      </c>
      <c r="M742" s="107"/>
      <c r="N742" s="107"/>
      <c r="O742" s="107"/>
      <c r="P742" s="107"/>
      <c r="Q742" s="107"/>
      <c r="R742" s="107"/>
      <c r="S742" s="107"/>
      <c r="T742" s="465" cm="1" t="str">
        <f t="array" ref="T742:T742">T741</f>
        <v>true</v>
      </c>
      <c r="U742" s="107"/>
      <c r="V742" s="107"/>
      <c r="W742" s="107"/>
      <c r="X742" s="1563"/>
      <c r="Y742" s="1278"/>
      <c r="Z742" s="1546"/>
      <c r="AA742" s="1278"/>
      <c r="AB742" s="300" t="str">
        <f>D742&amp;".4"</f>
        <v>13.4</v>
      </c>
      <c r="AC742" s="1111" t="s">
        <v>2591</v>
      </c>
      <c r="AD742" s="300" t="s">
        <v>2337</v>
      </c>
      <c r="AE742" s="7501">
        <f>IF(AE738=0,0,AE734*(1+Сценарии!AE$26/100))</f>
        <v>0</v>
      </c>
      <c r="AF742" s="7501">
        <f>IF(AF738=0,0,AF734*(1+Сценарии!AF$26/100))</f>
        <v>0</v>
      </c>
      <c r="AG742" s="7501">
        <f>IF(AG738=0,0,AG734*(1+Сценарии!AG$26/100))</f>
        <v>0</v>
      </c>
      <c r="AH742" s="943">
        <f>AG742-AF742</f>
        <v>0</v>
      </c>
      <c r="AI742" s="7501">
        <f>IF(AI738=0,0,AI734*(1+Сценарии!AI$26/100))</f>
        <v>0</v>
      </c>
      <c r="AJ742" s="7501">
        <f>IF(AJ738=0,0,AJ734*(1+Сценарии!AJ$26/100))</f>
        <v>62.1749821985868</v>
      </c>
      <c r="AK742" s="7501">
        <f>IF(AK738=0,0,AK734*(1+Сценарии!AO$26/100))</f>
        <v>33.1756149323779</v>
      </c>
      <c r="AL742" s="7501">
        <f>IF(AL738=0,0,AL734*(1+Сценарии!AP$26/100))</f>
        <v>39.6065515157899</v>
      </c>
      <c r="AM742" s="7501">
        <f>IF(AM738=0,0,AM734*(1+Сценарии!AQ$26/100))</f>
        <v>55.0235432749782</v>
      </c>
      <c r="AN742" s="7501">
        <f>IF(AN738=0,0,AN734*(1+Сценарии!AR$26/100))</f>
        <v>115.975847636997</v>
      </c>
      <c r="AO742" s="1262">
        <f>IF(AO738=0,0,AO734*(1+Сценарии!AS$26/100))</f>
        <v>0</v>
      </c>
      <c r="AP742" s="1262">
        <f>IF(AP738=0,0,AP734*(1+Сценарии!AT$26/100))</f>
        <v>0</v>
      </c>
      <c r="AQ742" s="1262">
        <f>IF(AQ738=0,0,AQ734*(1+Сценарии!AU$26/100))</f>
        <v>0</v>
      </c>
      <c r="AR742" s="1262">
        <f>IF(AR738=0,0,AR734*(1+Сценарии!AV$26/100))</f>
        <v>0</v>
      </c>
      <c r="AS742" s="1262">
        <f>IF(AS738=0,0,AS734*(1+Сценарии!AW$26/100))</f>
        <v>0</v>
      </c>
      <c r="AT742" s="7501">
        <f>IF(AT738=0,0,AT734*(1+Сценарии!AK$26/100))</f>
        <v>62.1749821985868</v>
      </c>
      <c r="AU742" s="7501">
        <f>IF(AU738=0,0,AU734*(1+Сценарии!AX$26/100))</f>
        <v>-28.9993672662089</v>
      </c>
      <c r="AV742" s="7501">
        <f>IF(AV738=0,0,AV734*(1+Сценарии!AY$26/100))</f>
        <v>68.6059187819988</v>
      </c>
      <c r="AW742" s="7501">
        <f>IF(AW738=0,0,AW734*(1+Сценарии!AZ$26/100))</f>
        <v>-13.5823755070207</v>
      </c>
      <c r="AX742" s="7501">
        <f>IF(AX738=0,0,AX734*(1+Сценарии!BA$26/100))</f>
        <v>129.558223144017</v>
      </c>
      <c r="AY742" s="1262">
        <f>IF(AY738=0,0,AY734*(1+Сценарии!BB$26/100))</f>
        <v>0</v>
      </c>
      <c r="AZ742" s="1262">
        <f>IF(AZ738=0,0,AZ734*(1+Сценарии!BC$26/100))</f>
        <v>0</v>
      </c>
      <c r="BA742" s="1262">
        <f>IF(BA738=0,0,BA734*(1+Сценарии!BD$26/100))</f>
        <v>0</v>
      </c>
      <c r="BB742" s="1262">
        <f>IF(BB738=0,0,BB734*(1+Сценарии!BE$26/100))</f>
        <v>0</v>
      </c>
      <c r="BC742" s="1262">
        <f>IF(BC738=0,0,BC734*(1+Сценарии!BF$26/100))</f>
        <v>0</v>
      </c>
      <c r="BD742" s="942"/>
      <c r="BE742" s="942"/>
      <c r="BF742" s="942"/>
      <c r="BG742" s="942"/>
      <c r="BH742" s="942"/>
      <c r="BI742" s="942"/>
      <c r="BJ742" s="942"/>
      <c r="BK742" s="942"/>
      <c r="BL742" s="942"/>
      <c r="BM742" s="942"/>
      <c r="BN742" s="7771"/>
      <c r="BO742" s="7771"/>
      <c r="BP742" s="7771"/>
      <c r="BQ742" s="1278"/>
      <c r="BR742" s="1278"/>
      <c r="BS742" s="1062" t="s">
        <v>2621</v>
      </c>
      <c r="BT742" s="1064"/>
      <c r="BU742" s="1064"/>
      <c r="BV742" s="979"/>
      <c r="BW742" s="979"/>
    </row>
    <row s="1834" customFormat="1" customHeight="1" ht="14.25">
      <c r="A743" s="1278"/>
      <c r="B743" s="96"/>
      <c r="C743" s="107"/>
      <c r="D743" s="107">
        <f>D742+1</f>
        <v>14</v>
      </c>
      <c r="E743" s="621">
        <v>15</v>
      </c>
      <c r="F743" s="50" cm="1" t="str">
        <f t="array" ref="F743:F743">OFFSET(E743,-1,1)</f>
        <v>4</v>
      </c>
      <c r="G743" s="107"/>
      <c r="H743" s="107"/>
      <c r="I743" s="107"/>
      <c r="J743" s="107"/>
      <c r="K743" s="107"/>
      <c r="L743" s="980"/>
      <c r="M743" s="107"/>
      <c r="N743" s="107"/>
      <c r="O743" s="107"/>
      <c r="P743" s="107"/>
      <c r="Q743" s="107"/>
      <c r="R743" s="107"/>
      <c r="S743" s="107"/>
      <c r="T743" s="465" cm="1" t="str">
        <f t="array" ref="T743:T743">T742</f>
        <v>true</v>
      </c>
      <c r="U743" s="107"/>
      <c r="V743" s="107"/>
      <c r="W743" s="107"/>
      <c r="X743" s="1563"/>
      <c r="Y743" s="1278"/>
      <c r="Z743" s="1546"/>
      <c r="AA743" s="1278"/>
      <c r="AB743" s="211" cm="1" t="str">
        <f t="array" ref="AB743:AB743">D743</f>
        <v>14</v>
      </c>
      <c r="AC743" s="212" t="s">
        <v>2622</v>
      </c>
      <c r="AD743" s="211" t="s">
        <v>1514</v>
      </c>
      <c r="AE743" s="7773"/>
      <c r="AF743" s="7773"/>
      <c r="AG743" s="7773"/>
      <c r="AH743" s="943"/>
      <c r="AI743" s="7501"/>
      <c r="AJ743" s="7501"/>
      <c r="AK743" s="7501"/>
      <c r="AL743" s="7501"/>
      <c r="AM743" s="7501"/>
      <c r="AN743" s="7501"/>
      <c r="AO743" s="1262"/>
      <c r="AP743" s="1262"/>
      <c r="AQ743" s="1262"/>
      <c r="AR743" s="1262"/>
      <c r="AS743" s="1262"/>
      <c r="AT743" s="7501"/>
      <c r="AU743" s="7501"/>
      <c r="AV743" s="7501"/>
      <c r="AW743" s="7501"/>
      <c r="AX743" s="7501"/>
      <c r="AY743" s="1262"/>
      <c r="AZ743" s="1262"/>
      <c r="BA743" s="1262"/>
      <c r="BB743" s="1262"/>
      <c r="BC743" s="1262"/>
      <c r="BD743" s="942"/>
      <c r="BE743" s="942"/>
      <c r="BF743" s="942"/>
      <c r="BG743" s="942"/>
      <c r="BH743" s="942"/>
      <c r="BI743" s="942"/>
      <c r="BJ743" s="942"/>
      <c r="BK743" s="942"/>
      <c r="BL743" s="942"/>
      <c r="BM743" s="942"/>
      <c r="BN743" s="7771"/>
      <c r="BO743" s="7771"/>
      <c r="BP743" s="7771"/>
      <c r="BQ743" s="1278"/>
      <c r="BR743" s="1278"/>
      <c r="BS743" s="1062" t="s">
        <v>2623</v>
      </c>
      <c r="BT743" s="1064"/>
      <c r="BU743" s="1064"/>
      <c r="BV743" s="979"/>
      <c r="BW743" s="979"/>
    </row>
    <row s="1834" customFormat="1" customHeight="1" ht="20.25">
      <c r="A744" s="1278"/>
      <c r="B744" s="96"/>
      <c r="C744" s="107"/>
      <c r="D744" s="107" cm="1" t="str">
        <f t="array" ref="D744:D744">D743</f>
        <v>14</v>
      </c>
      <c r="E744" s="621">
        <v>21</v>
      </c>
      <c r="F744" s="50" cm="1" t="str">
        <f t="array" ref="F744:F744">OFFSET(E744,-1,1)</f>
        <v>4</v>
      </c>
      <c r="G744" s="107"/>
      <c r="H744" s="107"/>
      <c r="I744" s="107"/>
      <c r="J744" s="107"/>
      <c r="K744" s="107"/>
      <c r="L744" s="980"/>
      <c r="M744" s="107"/>
      <c r="N744" s="107"/>
      <c r="O744" s="107"/>
      <c r="P744" s="107"/>
      <c r="Q744" s="107"/>
      <c r="R744" s="107"/>
      <c r="S744" s="107"/>
      <c r="T744" s="465" cm="1" t="str">
        <f t="array" ref="T744:T744">T743</f>
        <v>true</v>
      </c>
      <c r="U744" s="107"/>
      <c r="V744" s="107"/>
      <c r="W744" s="107"/>
      <c r="X744" s="1563"/>
      <c r="Y744" s="1278"/>
      <c r="Z744" s="1546"/>
      <c r="AA744" s="1278"/>
      <c r="AB744" s="300" t="str">
        <f>D744&amp;".1"</f>
        <v>14.1</v>
      </c>
      <c r="AC744" s="762" t="s">
        <v>2625</v>
      </c>
      <c r="AD744" s="300" t="s">
        <v>1514</v>
      </c>
      <c r="AE744" s="7773"/>
      <c r="AF744" s="7773"/>
      <c r="AG744" s="7773"/>
      <c r="AH744" s="943">
        <f>AG744-AF744</f>
        <v>0</v>
      </c>
      <c r="AI744" s="7501"/>
      <c r="AJ744" s="7501"/>
      <c r="AK744" s="7501"/>
      <c r="AL744" s="7501"/>
      <c r="AM744" s="7501"/>
      <c r="AN744" s="7501"/>
      <c r="AO744" s="1262"/>
      <c r="AP744" s="1262"/>
      <c r="AQ744" s="1262"/>
      <c r="AR744" s="1262"/>
      <c r="AS744" s="1262"/>
      <c r="AT744" s="7501"/>
      <c r="AU744" s="7501"/>
      <c r="AV744" s="7501"/>
      <c r="AW744" s="7501"/>
      <c r="AX744" s="7501"/>
      <c r="AY744" s="1262"/>
      <c r="AZ744" s="1262"/>
      <c r="BA744" s="1262"/>
      <c r="BB744" s="1262"/>
      <c r="BC744" s="1262"/>
      <c r="BD744" s="942"/>
      <c r="BE744" s="942"/>
      <c r="BF744" s="942"/>
      <c r="BG744" s="942"/>
      <c r="BH744" s="942"/>
      <c r="BI744" s="942"/>
      <c r="BJ744" s="942"/>
      <c r="BK744" s="942"/>
      <c r="BL744" s="942"/>
      <c r="BM744" s="942"/>
      <c r="BN744" s="7771"/>
      <c r="BO744" s="7771"/>
      <c r="BP744" s="7771"/>
      <c r="BQ744" s="1278"/>
      <c r="BR744" s="1278"/>
      <c r="BS744" s="1062" t="s">
        <v>2626</v>
      </c>
      <c r="BT744" s="1071"/>
      <c r="BU744" s="1071"/>
      <c r="BV744" s="1072"/>
      <c r="BW744" s="1072"/>
    </row>
    <row s="1834" customFormat="1" customHeight="1" ht="64.5">
      <c r="A745" s="1278"/>
      <c r="B745" s="96"/>
      <c r="C745" s="107"/>
      <c r="D745" s="107" cm="1" t="str">
        <f t="array" ref="D745:D745">D744</f>
        <v>14</v>
      </c>
      <c r="E745" s="621">
        <v>66.6</v>
      </c>
      <c r="F745" s="50" cm="1" t="str">
        <f t="array" ref="F745:F745">OFFSET(E745,-1,1)</f>
        <v>4</v>
      </c>
      <c r="G745" s="107"/>
      <c r="H745" s="107"/>
      <c r="I745" s="107"/>
      <c r="J745" s="107"/>
      <c r="K745" s="107"/>
      <c r="L745" s="980"/>
      <c r="M745" s="107"/>
      <c r="N745" s="107"/>
      <c r="O745" s="107"/>
      <c r="P745" s="107"/>
      <c r="Q745" s="107"/>
      <c r="R745" s="107"/>
      <c r="S745" s="107"/>
      <c r="T745" s="465" cm="1" t="str">
        <f t="array" ref="T745:T745">T744</f>
        <v>true</v>
      </c>
      <c r="U745" s="107"/>
      <c r="V745" s="107"/>
      <c r="W745" s="107"/>
      <c r="X745" s="1563"/>
      <c r="Y745" s="1278"/>
      <c r="Z745" s="1546"/>
      <c r="AA745" s="1278"/>
      <c r="AB745" s="300" t="str">
        <f>D745&amp;".2"</f>
        <v>14.2</v>
      </c>
      <c r="AC745" s="762" t="s">
        <v>2628</v>
      </c>
      <c r="AD745" s="300" t="s">
        <v>1514</v>
      </c>
      <c r="AE745" s="7773"/>
      <c r="AF745" s="7773"/>
      <c r="AG745" s="7773"/>
      <c r="AH745" s="943">
        <f>AG745-AF745</f>
        <v>0</v>
      </c>
      <c r="AI745" s="7501"/>
      <c r="AJ745" s="7501"/>
      <c r="AK745" s="7501"/>
      <c r="AL745" s="7501"/>
      <c r="AM745" s="7501"/>
      <c r="AN745" s="7501"/>
      <c r="AO745" s="1262"/>
      <c r="AP745" s="1262"/>
      <c r="AQ745" s="1262"/>
      <c r="AR745" s="1262"/>
      <c r="AS745" s="1262"/>
      <c r="AT745" s="7501"/>
      <c r="AU745" s="7501"/>
      <c r="AV745" s="7501"/>
      <c r="AW745" s="7501"/>
      <c r="AX745" s="7501"/>
      <c r="AY745" s="1262"/>
      <c r="AZ745" s="1262"/>
      <c r="BA745" s="1262"/>
      <c r="BB745" s="1262"/>
      <c r="BC745" s="1262"/>
      <c r="BD745" s="942"/>
      <c r="BE745" s="942"/>
      <c r="BF745" s="942"/>
      <c r="BG745" s="942"/>
      <c r="BH745" s="942"/>
      <c r="BI745" s="942"/>
      <c r="BJ745" s="942"/>
      <c r="BK745" s="942"/>
      <c r="BL745" s="942"/>
      <c r="BM745" s="942"/>
      <c r="BN745" s="7771"/>
      <c r="BO745" s="7771"/>
      <c r="BP745" s="7771"/>
      <c r="BQ745" s="1278"/>
      <c r="BR745" s="1278"/>
      <c r="BS745" s="1062" t="s">
        <v>2629</v>
      </c>
      <c r="BT745" s="1071"/>
      <c r="BU745" s="1071"/>
      <c r="BV745" s="1072"/>
      <c r="BW745" s="1072"/>
    </row>
    <row s="1834" customFormat="1" customHeight="1" ht="44.25">
      <c r="A746" s="498"/>
      <c r="B746" s="753"/>
      <c r="C746" s="107"/>
      <c r="D746" s="107" cm="1" t="str">
        <f t="array" ref="D746:D746">D745</f>
        <v>14</v>
      </c>
      <c r="E746" s="621">
        <v>45.6</v>
      </c>
      <c r="F746" s="50" cm="1" t="str">
        <f t="array" ref="F746:F746">OFFSET(E746,-1,1)</f>
        <v>4</v>
      </c>
      <c r="G746" s="107"/>
      <c r="H746" s="107"/>
      <c r="I746" s="107"/>
      <c r="J746" s="107"/>
      <c r="K746" s="107"/>
      <c r="L746" s="980"/>
      <c r="M746" s="107"/>
      <c r="N746" s="107"/>
      <c r="O746" s="107"/>
      <c r="P746" s="107"/>
      <c r="Q746" s="107"/>
      <c r="R746" s="107"/>
      <c r="S746" s="107"/>
      <c r="T746" s="465" cm="1" t="str">
        <f t="array" ref="T746:T746">T745</f>
        <v>true</v>
      </c>
      <c r="U746" s="107"/>
      <c r="V746" s="107"/>
      <c r="W746" s="107"/>
      <c r="X746" s="1563"/>
      <c r="Y746" s="498"/>
      <c r="Z746" s="1546"/>
      <c r="AA746" s="498"/>
      <c r="AB746" s="300" t="str">
        <f>D746&amp;".3"</f>
        <v>14.3</v>
      </c>
      <c r="AC746" s="762" t="s">
        <v>2911</v>
      </c>
      <c r="AD746" s="300" t="s">
        <v>1514</v>
      </c>
      <c r="AE746" s="945"/>
      <c r="AF746" s="7773"/>
      <c r="AG746" s="7773"/>
      <c r="AH746" s="259">
        <f>AG746-AF746</f>
        <v>0</v>
      </c>
      <c r="AI746" s="945"/>
      <c r="AJ746" s="945"/>
      <c r="AK746" s="945"/>
      <c r="AL746" s="945"/>
      <c r="AM746" s="945"/>
      <c r="AN746" s="945"/>
      <c r="AO746" s="945"/>
      <c r="AP746" s="945"/>
      <c r="AQ746" s="945"/>
      <c r="AR746" s="945"/>
      <c r="AS746" s="945"/>
      <c r="AT746" s="945"/>
      <c r="AU746" s="945"/>
      <c r="AV746" s="945"/>
      <c r="AW746" s="945"/>
      <c r="AX746" s="945"/>
      <c r="AY746" s="945"/>
      <c r="AZ746" s="945"/>
      <c r="BA746" s="945"/>
      <c r="BB746" s="945"/>
      <c r="BC746" s="945"/>
      <c r="BD746" s="945"/>
      <c r="BE746" s="945"/>
      <c r="BF746" s="945"/>
      <c r="BG746" s="945"/>
      <c r="BH746" s="945"/>
      <c r="BI746" s="945"/>
      <c r="BJ746" s="945"/>
      <c r="BK746" s="945"/>
      <c r="BL746" s="945"/>
      <c r="BM746" s="945"/>
      <c r="BN746" s="7771"/>
      <c r="BO746" s="7771"/>
      <c r="BP746" s="7771"/>
      <c r="BQ746" s="1278"/>
      <c r="BR746" s="1278"/>
      <c r="BS746" s="1071" t="s">
        <v>2912</v>
      </c>
      <c r="BT746" s="1071"/>
      <c r="BU746" s="1071"/>
      <c r="BV746" s="1072"/>
      <c r="BW746" s="1072"/>
    </row>
    <row s="1834" customFormat="1" customHeight="1" ht="10.96875">
      <c r="B747" s="827"/>
      <c r="C747" s="0"/>
      <c r="D747" s="0"/>
      <c r="E747" s="671">
        <v>11.25</v>
      </c>
      <c r="F747" s="85"/>
      <c r="G747" s="0"/>
      <c r="H747" s="0"/>
      <c r="I747" s="0"/>
      <c r="J747" s="0"/>
      <c r="K747" s="0"/>
      <c r="L747" s="0"/>
      <c r="M747" s="0"/>
      <c r="N747" s="0"/>
      <c r="O747" s="0"/>
      <c r="P747" s="0"/>
      <c r="Q747" s="0"/>
      <c r="R747" s="0"/>
      <c r="S747" s="0"/>
      <c r="T747" s="0"/>
      <c r="U747" s="0" t="s">
        <v>178</v>
      </c>
      <c r="V747" s="828" t="s">
        <v>2949</v>
      </c>
      <c r="W747" s="0"/>
      <c r="AB747" s="0"/>
      <c r="AC747" s="482"/>
      <c r="AD747" s="482"/>
      <c r="AE747" s="482"/>
      <c r="AF747" s="482"/>
      <c r="AG747" s="0"/>
      <c r="AH747" s="0"/>
      <c r="AI747" s="0"/>
      <c r="AJ747" s="47"/>
      <c r="AK747" s="47"/>
      <c r="AL747" s="47"/>
      <c r="AM747" s="47"/>
      <c r="AN747" s="47"/>
      <c r="AO747" s="47"/>
      <c r="AP747" s="47"/>
      <c r="AQ747" s="47"/>
      <c r="AR747" s="47"/>
      <c r="AS747" s="47"/>
      <c r="AT747" s="47"/>
      <c r="AU747" s="47"/>
      <c r="AV747" s="47"/>
      <c r="AW747" s="47"/>
      <c r="AX747" s="47"/>
      <c r="AY747" s="47"/>
      <c r="AZ747" s="47"/>
      <c r="BA747" s="47"/>
      <c r="BB747" s="47"/>
      <c r="BC747" s="47"/>
      <c r="BD747" s="47"/>
      <c r="BE747" s="47"/>
      <c r="BF747" s="47"/>
      <c r="BG747" s="47"/>
      <c r="BH747" s="47"/>
      <c r="BI747" s="47"/>
      <c r="BJ747" s="47"/>
      <c r="BK747" s="47"/>
      <c r="BL747" s="47"/>
      <c r="BM747" s="47"/>
      <c r="BN747" s="0"/>
      <c r="BO747" s="0"/>
      <c r="BP747" s="0"/>
      <c r="BS747" s="1004"/>
      <c r="BT747" s="1004"/>
      <c r="BU747" s="1004"/>
      <c r="BV747" s="624"/>
      <c r="BW747" s="624"/>
    </row>
    <row customHeight="1" ht="14.625">
      <c r="B748" s="96"/>
      <c r="C748" s="107"/>
      <c r="D748" s="107"/>
      <c r="E748" s="621">
        <v>15</v>
      </c>
      <c r="F748" s="107"/>
      <c r="G748" s="107"/>
      <c r="H748" s="107"/>
      <c r="I748" s="107"/>
      <c r="J748" s="107"/>
      <c r="K748" s="107"/>
      <c r="L748" s="980"/>
      <c r="M748" s="107"/>
      <c r="N748" s="107"/>
      <c r="O748" s="107"/>
      <c r="P748" s="107"/>
      <c r="Q748" s="107"/>
      <c r="R748" s="107"/>
      <c r="S748" s="107"/>
      <c r="T748" s="107"/>
      <c r="U748" s="107"/>
      <c r="V748" s="107"/>
      <c r="W748" s="107"/>
      <c r="AB748" s="1577" t="s">
        <v>407</v>
      </c>
      <c r="AC748" s="1577"/>
      <c r="AD748" s="1577"/>
      <c r="AE748" s="1577"/>
      <c r="AF748" s="1577"/>
      <c r="AG748" s="1577"/>
      <c r="AH748" s="1577"/>
      <c r="AI748" s="1577"/>
      <c r="AJ748" s="1577"/>
      <c r="AK748" s="1577"/>
      <c r="AL748" s="1577"/>
      <c r="AM748" s="1577"/>
      <c r="AN748" s="1577"/>
      <c r="AO748" s="1577"/>
      <c r="AP748" s="1577"/>
      <c r="AQ748" s="1577"/>
      <c r="AR748" s="1577"/>
      <c r="AS748" s="1577"/>
      <c r="AT748" s="1577"/>
      <c r="AU748" s="1577"/>
      <c r="AV748" s="1577"/>
      <c r="AW748" s="1577"/>
      <c r="AX748" s="1577"/>
      <c r="AY748" s="1577"/>
      <c r="AZ748" s="1577"/>
      <c r="BA748" s="1577"/>
      <c r="BB748" s="1577"/>
      <c r="BC748" s="1577"/>
      <c r="BD748" s="1577"/>
      <c r="BE748" s="1577"/>
      <c r="BF748" s="1577"/>
      <c r="BG748" s="1577"/>
      <c r="BH748" s="1577"/>
      <c r="BI748" s="1577"/>
      <c r="BJ748" s="1577"/>
      <c r="BK748" s="1577"/>
      <c r="BL748" s="1577"/>
      <c r="BM748" s="1577"/>
      <c r="BN748" s="1577"/>
      <c r="BO748" s="1577"/>
      <c r="BP748" s="1577"/>
    </row>
    <row customHeight="1" ht="14.625">
      <c r="B749" s="96"/>
      <c r="C749" s="107"/>
      <c r="D749" s="107"/>
      <c r="E749" s="621">
        <v>15</v>
      </c>
      <c r="F749" s="107"/>
      <c r="G749" s="107"/>
      <c r="H749" s="107"/>
      <c r="I749" s="107"/>
      <c r="J749" s="107"/>
      <c r="K749" s="107"/>
      <c r="N749" s="107"/>
      <c r="O749" s="107"/>
      <c r="P749" s="107"/>
      <c r="Q749" s="107"/>
      <c r="R749" s="107"/>
      <c r="S749" s="107"/>
      <c r="T749" s="107"/>
      <c r="U749" s="107"/>
      <c r="V749" s="107"/>
      <c r="W749" s="107"/>
      <c r="AA749" s="173"/>
      <c r="AB749" s="1628"/>
      <c r="AC749" s="1629"/>
      <c r="AD749" s="1629"/>
      <c r="AE749" s="1629"/>
      <c r="AF749" s="1629"/>
      <c r="AG749" s="1629"/>
      <c r="AH749" s="1629"/>
      <c r="AI749" s="1629"/>
      <c r="AJ749" s="1629"/>
      <c r="AK749" s="1629"/>
      <c r="AL749" s="1629"/>
      <c r="AM749" s="1629"/>
      <c r="AN749" s="1629"/>
      <c r="AO749" s="1629"/>
      <c r="AP749" s="1629"/>
      <c r="AQ749" s="1629"/>
      <c r="AR749" s="1629"/>
      <c r="AS749" s="1629"/>
      <c r="AT749" s="1629"/>
      <c r="AU749" s="1629"/>
      <c r="AV749" s="1629"/>
      <c r="AW749" s="1629"/>
      <c r="AX749" s="1629"/>
      <c r="AY749" s="1629"/>
      <c r="AZ749" s="1629"/>
      <c r="BA749" s="1629"/>
      <c r="BB749" s="1629"/>
      <c r="BC749" s="1629"/>
      <c r="BD749" s="1629"/>
      <c r="BE749" s="1629"/>
      <c r="BF749" s="1629"/>
      <c r="BG749" s="1629"/>
      <c r="BH749" s="1629"/>
      <c r="BI749" s="1629"/>
      <c r="BJ749" s="1629"/>
      <c r="BK749" s="1629"/>
      <c r="BL749" s="1629"/>
      <c r="BM749" s="1629"/>
      <c r="BN749" s="1629"/>
      <c r="BO749" s="1629"/>
      <c r="BP749" s="1629"/>
    </row>
    <row customHeight="1" ht="14.625" hidden="1">
      <c r="A750" s="1278"/>
      <c r="B750" s="96"/>
      <c r="C750" s="107"/>
      <c r="D750" s="107"/>
      <c r="E750" s="621">
        <v>15</v>
      </c>
      <c r="F750" s="107"/>
      <c r="G750" s="107"/>
      <c r="H750" s="107"/>
      <c r="I750" s="107"/>
      <c r="J750" s="107"/>
      <c r="K750" s="107"/>
      <c r="L750" s="1278"/>
      <c r="M750" s="1278"/>
      <c r="N750" s="107"/>
      <c r="O750" s="107"/>
      <c r="P750" s="107"/>
      <c r="Q750" s="107"/>
      <c r="R750" s="107"/>
      <c r="S750" s="107"/>
      <c r="T750" s="465">
        <f>ROW(W750)&gt;ROW(W$750)</f>
        <v>0</v>
      </c>
      <c r="U750" s="107"/>
      <c r="V750" s="107"/>
      <c r="W750" s="107" t="s">
        <v>174</v>
      </c>
      <c r="X750" s="1278"/>
      <c r="Y750" s="1278"/>
      <c r="Z750" s="1278"/>
      <c r="AA750" s="420" t="s">
        <v>175</v>
      </c>
      <c r="AB750" s="1643" t="s">
        <v>227</v>
      </c>
      <c r="AC750" s="1629"/>
      <c r="AD750" s="1629"/>
      <c r="AE750" s="1629"/>
      <c r="AF750" s="1629"/>
      <c r="AG750" s="1629"/>
      <c r="AH750" s="1629"/>
      <c r="AI750" s="1629"/>
      <c r="AJ750" s="1629"/>
      <c r="AK750" s="1629"/>
      <c r="AL750" s="1629"/>
      <c r="AM750" s="1629"/>
      <c r="AN750" s="1629"/>
      <c r="AO750" s="1629"/>
      <c r="AP750" s="1629"/>
      <c r="AQ750" s="1629"/>
      <c r="AR750" s="1629"/>
      <c r="AS750" s="1629"/>
      <c r="AT750" s="1629"/>
      <c r="AU750" s="1629"/>
      <c r="AV750" s="1629"/>
      <c r="AW750" s="1629"/>
      <c r="AX750" s="1629"/>
      <c r="AY750" s="1629"/>
      <c r="AZ750" s="1629"/>
      <c r="BA750" s="1629"/>
      <c r="BB750" s="1629"/>
      <c r="BC750" s="1629"/>
      <c r="BD750" s="1629"/>
      <c r="BE750" s="1629"/>
      <c r="BF750" s="1629"/>
      <c r="BG750" s="1629"/>
      <c r="BH750" s="1629"/>
      <c r="BI750" s="1629"/>
      <c r="BJ750" s="1629"/>
      <c r="BK750" s="1629"/>
      <c r="BL750" s="1629"/>
      <c r="BM750" s="1629"/>
      <c r="BN750" s="1629"/>
      <c r="BO750" s="1629"/>
      <c r="BP750" s="1629"/>
      <c r="BQ750" s="1278"/>
      <c r="BR750" s="1278"/>
      <c r="BS750" s="1064"/>
      <c r="BT750" s="1064"/>
      <c r="BU750" s="1064"/>
      <c r="BV750" s="979"/>
      <c r="BW750" s="979"/>
    </row>
    <row customHeight="1" ht="14.625">
      <c r="B751" s="96"/>
      <c r="C751" s="107"/>
      <c r="D751" s="107"/>
      <c r="E751" s="621">
        <v>15</v>
      </c>
      <c r="F751" s="107"/>
      <c r="G751" s="107"/>
      <c r="H751" s="107"/>
      <c r="I751" s="107"/>
      <c r="J751" s="107"/>
      <c r="K751" s="107"/>
      <c r="N751" s="107"/>
      <c r="O751" s="107"/>
      <c r="P751" s="107"/>
      <c r="Q751" s="107"/>
      <c r="R751" s="107"/>
      <c r="S751" s="107"/>
      <c r="T751" s="107"/>
      <c r="U751" s="107"/>
      <c r="V751" s="107"/>
      <c r="W751" s="829" t="s">
        <v>408</v>
      </c>
      <c r="AB751" s="789"/>
      <c r="AC751" s="514" t="s">
        <v>409</v>
      </c>
      <c r="AD751" s="790"/>
      <c r="AE751" s="790"/>
      <c r="AF751" s="790"/>
      <c r="AG751" s="790"/>
      <c r="AH751" s="790"/>
      <c r="AI751" s="790"/>
      <c r="AJ751" s="790"/>
      <c r="AK751" s="790"/>
      <c r="AL751" s="790"/>
      <c r="AM751" s="790"/>
      <c r="AN751" s="790"/>
      <c r="AO751" s="790"/>
      <c r="AP751" s="790"/>
      <c r="AQ751" s="790"/>
      <c r="AR751" s="790"/>
      <c r="AS751" s="790"/>
      <c r="AT751" s="790"/>
      <c r="AU751" s="790"/>
      <c r="AV751" s="790"/>
      <c r="AW751" s="790"/>
      <c r="AX751" s="790"/>
      <c r="AY751" s="790"/>
      <c r="AZ751" s="790"/>
      <c r="BA751" s="790"/>
      <c r="BB751" s="790"/>
      <c r="BC751" s="790"/>
      <c r="BD751" s="790"/>
      <c r="BE751" s="790"/>
      <c r="BF751" s="790"/>
      <c r="BG751" s="790"/>
      <c r="BH751" s="790"/>
      <c r="BI751" s="790"/>
      <c r="BJ751" s="790"/>
      <c r="BK751" s="790"/>
      <c r="BL751" s="790"/>
      <c r="BM751" s="790"/>
      <c r="BN751" s="790"/>
      <c r="BO751" s="790"/>
      <c r="BP751" s="791"/>
    </row>
    <row customHeight="1" ht="10.96875">
      <c r="E752" s="703">
        <v>11.25</v>
      </c>
      <c r="AJ752" s="1278"/>
      <c r="AK752" s="1278"/>
      <c r="AL752" s="1278"/>
      <c r="AM752" s="1278"/>
      <c r="AN752" s="1278"/>
      <c r="AO752" s="1278"/>
      <c r="AP752" s="1278"/>
      <c r="AQ752" s="1278"/>
      <c r="AR752" s="1278"/>
      <c r="AS752" s="1278"/>
      <c r="AT752" s="1278"/>
      <c r="AU752" s="1278"/>
      <c r="AV752" s="1278"/>
      <c r="AW752" s="1278"/>
      <c r="AX752" s="1278"/>
      <c r="AY752" s="1278"/>
      <c r="AZ752" s="1278"/>
      <c r="BA752" s="1278"/>
      <c r="BB752" s="1278"/>
      <c r="BC752" s="1278"/>
      <c r="BD752" s="1278"/>
      <c r="BE752" s="1278"/>
      <c r="BF752" s="1278"/>
      <c r="BG752" s="1278"/>
      <c r="BH752" s="1278"/>
      <c r="BI752" s="1278"/>
      <c r="BJ752" s="1278"/>
      <c r="BK752" s="1278"/>
      <c r="BL752" s="1278"/>
      <c r="BM752" s="1278"/>
      <c r="BQ752" s="426"/>
    </row>
  </sheetData>
  <sheetProtection formatColumns="0" formatRows="0" insertRows="0" deleteColumns="0" deleteRows="0" sort="0" autoFilter="0" insertColumns="1"/>
  <mergeCells count="20">
    <mergeCell ref="BP24:BP25"/>
    <mergeCell ref="BD25:BM25"/>
    <mergeCell ref="AB24:AB25"/>
    <mergeCell ref="AC24:AC25"/>
    <mergeCell ref="AD24:AD25"/>
    <mergeCell ref="BN24:BN25"/>
    <mergeCell ref="BO24:BO25"/>
    <mergeCell ref="AB748:BP748"/>
    <mergeCell ref="AB749:BP749"/>
    <mergeCell ref="AB750:BP750"/>
    <mergeCell ref="X27:X170"/>
    <mergeCell ref="Z27:Z170"/>
    <mergeCell ref="X171:X314"/>
    <mergeCell ref="Z171:Z314"/>
    <mergeCell ref="X315:X458"/>
    <mergeCell ref="Z315:Z458"/>
    <mergeCell ref="X459:X602"/>
    <mergeCell ref="Z459:Z602"/>
    <mergeCell ref="X603:X746"/>
    <mergeCell ref="Z603:Z7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37AEC8-3CCC-2E08-A0E9-9C1C1343DE48}" mc:Ignorable="x14ac xr xr2 xr3">
  <sheetPr>
    <tabColor rgb="FF002060"/>
    <outlinePr summaryRight="0" summaryBelow="0"/>
  </sheetPr>
  <dimension ref="A1:AQ291"/>
  <sheetViews>
    <sheetView showGridLines="0" workbookViewId="0">
      <pane xSplit="29" ySplit="28" topLeftCell="AD29"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304" width="3.57421875" hidden="1" customWidth="1"/>
    <col min="2" max="2" style="1436" width="8.57421875" hidden="1" customWidth="1"/>
    <col min="3" max="4" style="1304" width="3.57421875" hidden="1" customWidth="1"/>
    <col min="5" max="5" style="1305" width="3.57421875" hidden="1" customWidth="1"/>
    <col min="6" max="10" style="1304" width="3.57421875" hidden="1" customWidth="1"/>
    <col min="11" max="11" style="1304" width="10.28125" hidden="1" customWidth="1"/>
    <col min="12" max="19" style="1304" width="3.57421875" hidden="1" customWidth="1"/>
    <col min="20" max="20" style="1304" width="8.28125" hidden="1" customWidth="1"/>
    <col min="21" max="21" style="1304" width="5.8515625" hidden="1" customWidth="1"/>
    <col min="22" max="23" style="1304" width="6.140625" hidden="1" customWidth="1"/>
    <col min="24" max="25" style="1304" width="5.57421875" hidden="1" customWidth="1"/>
    <col min="26" max="26" style="1304" width="5.28125" hidden="1" customWidth="1"/>
    <col min="27" max="27" style="1304" width="3.00390625" customWidth="1"/>
    <col min="28" max="28" style="207" width="14.7109375" customWidth="1"/>
    <col min="29" max="33" style="1304" width="17.00390625" customWidth="1"/>
    <col min="34" max="36" style="1304" width="23.00390625" hidden="1" customWidth="1"/>
    <col min="37" max="37" style="1304" width="25.00390625" hidden="1" customWidth="1"/>
    <col min="38" max="38" style="1304" width="3.00390625" customWidth="1"/>
    <col min="39" max="40" style="1304" width="9.140625" hidden="1"/>
    <col min="41" max="41" style="1306" width="9.140625" hidden="1"/>
    <col min="42" max="43" style="1304" width="9.140625" hidden="1"/>
  </cols>
  <sheetData>
    <row customHeight="1" ht="11.25" hidden="1">
      <c r="E1" s="98"/>
      <c r="F1" s="98" t="s">
        <v>321</v>
      </c>
      <c r="K1" s="98" t="s">
        <v>360</v>
      </c>
      <c r="T1" s="465" t="s">
        <v>93</v>
      </c>
      <c r="U1" s="465" t="s">
        <v>98</v>
      </c>
      <c r="V1" s="465" t="s">
        <v>94</v>
      </c>
      <c r="W1" s="465" t="s">
        <v>95</v>
      </c>
      <c r="X1" s="465" t="s">
        <v>96</v>
      </c>
      <c r="Y1" s="467" t="s">
        <v>323</v>
      </c>
      <c r="Z1" s="465" t="s">
        <v>100</v>
      </c>
      <c r="AA1" s="466" t="s">
        <v>97</v>
      </c>
      <c r="AB1" s="85"/>
      <c r="AC1" s="466" t="s">
        <v>99</v>
      </c>
      <c r="AH1" s="1304"/>
      <c r="AI1" s="1304"/>
      <c r="AJ1" s="1304"/>
      <c r="AK1" s="1304"/>
      <c r="AM1" s="98" t="s">
        <v>2950</v>
      </c>
      <c r="AO1" s="1015" t="s">
        <v>365</v>
      </c>
    </row>
    <row s="1436" customFormat="1" customHeight="1" ht="11.25" hidden="1">
      <c r="B2" s="445" t="s">
        <v>19</v>
      </c>
      <c r="AB2" s="429"/>
      <c r="AG2" s="445">
        <f>$AF$24="нет"</f>
        <v>1</v>
      </c>
      <c r="AH2" s="445">
        <f>$AF$24="да"</f>
        <v>0</v>
      </c>
      <c r="AI2" s="445">
        <f>$AF$24="да"</f>
        <v>0</v>
      </c>
      <c r="AJ2" s="445">
        <f>$AF$24="да"</f>
        <v>0</v>
      </c>
      <c r="AK2" s="445">
        <f>$AF$24="да"</f>
        <v>0</v>
      </c>
      <c r="AO2" s="1016"/>
    </row>
    <row customHeight="1" ht="11.25" hidden="1">
      <c r="E3" s="98"/>
      <c r="AH3" s="1304"/>
      <c r="AI3" s="1304"/>
      <c r="AJ3" s="1304"/>
      <c r="AK3" s="1304"/>
    </row>
    <row customHeight="1" ht="11.25" hidden="1">
      <c r="E4" s="98"/>
      <c r="AH4" s="1304"/>
      <c r="AI4" s="1304"/>
      <c r="AJ4" s="1304"/>
      <c r="AK4" s="1304"/>
    </row>
    <row s="1305" customFormat="1" customHeight="1" ht="11.25" hidden="1">
      <c r="A5" s="98"/>
      <c r="B5" s="427"/>
      <c r="C5" s="98"/>
      <c r="D5" s="98"/>
      <c r="E5" s="632" t="s">
        <v>20</v>
      </c>
      <c r="AA5" s="632">
        <v>3</v>
      </c>
      <c r="AB5" s="693">
        <v>14.71</v>
      </c>
      <c r="AC5" s="632">
        <v>17</v>
      </c>
      <c r="AD5" s="632">
        <v>17</v>
      </c>
      <c r="AE5" s="632">
        <v>17</v>
      </c>
      <c r="AF5" s="632">
        <v>17</v>
      </c>
      <c r="AG5" s="632">
        <v>17</v>
      </c>
      <c r="AH5" s="632">
        <v>23</v>
      </c>
      <c r="AI5" s="632">
        <v>23</v>
      </c>
      <c r="AJ5" s="632">
        <v>23</v>
      </c>
      <c r="AK5" s="632">
        <v>25</v>
      </c>
      <c r="AL5" s="632">
        <v>3</v>
      </c>
      <c r="AO5" s="1015"/>
    </row>
    <row customHeight="1" ht="11.25" hidden="1">
      <c r="A6" s="98" t="s">
        <v>331</v>
      </c>
      <c r="AC6" s="98" t="s">
        <v>332</v>
      </c>
      <c r="AD6" s="98" t="s">
        <v>333</v>
      </c>
      <c r="AE6" s="98" t="s">
        <v>334</v>
      </c>
      <c r="AF6" s="98" t="s">
        <v>1249</v>
      </c>
      <c r="AG6" s="98" t="s">
        <v>1253</v>
      </c>
      <c r="AH6" s="98" t="s">
        <v>2951</v>
      </c>
      <c r="AI6" s="98" t="s">
        <v>2952</v>
      </c>
      <c r="AJ6" s="98" t="s">
        <v>2953</v>
      </c>
      <c r="AK6" s="98" t="s">
        <v>2954</v>
      </c>
    </row>
    <row customHeight="1" ht="11.25" hidden="1">
      <c r="AH7" s="1304"/>
      <c r="AI7" s="1304"/>
      <c r="AJ7" s="1304"/>
      <c r="AK7" s="1304"/>
    </row>
    <row customHeight="1" ht="11.25" hidden="1">
      <c r="AH8" s="1304"/>
      <c r="AI8" s="1304"/>
      <c r="AJ8" s="1304"/>
      <c r="AK8" s="1304"/>
    </row>
    <row s="1306" customFormat="1" customHeight="1" ht="11.25" hidden="1">
      <c r="A9" s="1015" t="s">
        <v>324</v>
      </c>
      <c r="B9" s="1016"/>
      <c r="AB9" s="1054"/>
      <c r="AC9" s="1073" t="s">
        <v>2955</v>
      </c>
      <c r="AD9" s="1073" t="s">
        <v>2956</v>
      </c>
      <c r="AE9" s="1073" t="s">
        <v>2957</v>
      </c>
      <c r="AF9" s="1073" t="s">
        <v>2958</v>
      </c>
      <c r="AG9" s="1073" t="s">
        <v>2959</v>
      </c>
      <c r="AH9" s="1073" t="s">
        <v>2960</v>
      </c>
      <c r="AI9" s="1073" t="s">
        <v>2961</v>
      </c>
      <c r="AJ9" s="1073" t="s">
        <v>2962</v>
      </c>
      <c r="AK9" s="1015" t="s">
        <v>2963</v>
      </c>
    </row>
    <row customHeight="1" ht="11.25" hidden="1">
      <c r="AH10" s="1304"/>
      <c r="AI10" s="1304"/>
      <c r="AJ10" s="1304"/>
      <c r="AK10" s="1304"/>
    </row>
    <row customHeight="1" ht="11.25" hidden="1">
      <c r="AH11" s="1304"/>
      <c r="AI11" s="1304"/>
      <c r="AJ11" s="1304"/>
      <c r="AK11" s="1304"/>
    </row>
    <row customHeight="1" ht="11.25" hidden="1">
      <c r="AH12" s="1304"/>
      <c r="AI12" s="1304"/>
      <c r="AJ12" s="1304"/>
      <c r="AK12" s="1304"/>
    </row>
    <row customHeight="1" ht="11.25" hidden="1">
      <c r="AH13" s="1304"/>
      <c r="AI13" s="1304"/>
      <c r="AJ13" s="1304"/>
      <c r="AK13" s="1304"/>
    </row>
    <row customHeight="1" ht="11.25" hidden="1">
      <c r="AH14" s="1304"/>
      <c r="AI14" s="1304"/>
      <c r="AJ14" s="1304"/>
      <c r="AK14" s="1304"/>
    </row>
    <row customHeight="1" ht="11.25" hidden="1">
      <c r="AH15" s="1304"/>
      <c r="AI15" s="1304"/>
      <c r="AJ15" s="1304"/>
      <c r="AK15" s="1304"/>
    </row>
    <row customHeight="1" ht="11.25" hidden="1">
      <c r="AH16" s="1304"/>
      <c r="AI16" s="1304"/>
      <c r="AJ16" s="1304"/>
      <c r="AK16" s="1304"/>
    </row>
    <row customHeight="1" ht="11.25" hidden="1">
      <c r="AH17" s="1304"/>
      <c r="AI17" s="1304"/>
      <c r="AJ17" s="1304"/>
      <c r="AK17" s="1304"/>
    </row>
    <row customHeight="1" ht="11.25" hidden="1">
      <c r="AH18" s="1304"/>
      <c r="AI18" s="1304"/>
      <c r="AJ18" s="1304"/>
      <c r="AK18" s="1304"/>
    </row>
    <row customHeight="1" ht="11.25" hidden="1">
      <c r="AH19" s="1304"/>
      <c r="AI19" s="1304"/>
      <c r="AJ19" s="1304"/>
      <c r="AK19" s="1304"/>
    </row>
    <row customHeight="1" ht="11.25" hidden="1">
      <c r="AH20" s="1304"/>
      <c r="AI20" s="1304"/>
      <c r="AJ20" s="1304"/>
      <c r="AK20" s="1304"/>
    </row>
    <row customHeight="1" ht="14.625">
      <c r="E21" s="632">
        <v>15</v>
      </c>
      <c r="AA21" s="425"/>
      <c r="AB21" s="367" cm="1" t="str">
        <f t="array" ref="AB21:AB21">tpl_title</f>
        <v>Кемеровская область / 2026 / ООО "Теплоэнерго" (ИНН:4214046200, КПП:421401001) / ДПР: 2026-2030</v>
      </c>
      <c r="AH21" s="1304"/>
      <c r="AI21" s="1304"/>
      <c r="AJ21" s="1304"/>
      <c r="AK21" s="1304"/>
    </row>
    <row s="1426" customFormat="1" customHeight="1" ht="23.400000000000002">
      <c r="B22" s="427"/>
      <c r="E22" s="633">
        <v>24</v>
      </c>
      <c r="AB22" s="320" t="s">
        <v>85</v>
      </c>
      <c r="AC22" s="206"/>
      <c r="AD22" s="206"/>
      <c r="AE22" s="206"/>
      <c r="AF22" s="206"/>
      <c r="AG22" s="206"/>
      <c r="AH22" s="206"/>
      <c r="AI22" s="206"/>
      <c r="AJ22" s="206"/>
      <c r="AK22" s="206"/>
      <c r="AO22" s="1018"/>
    </row>
    <row customHeight="1" ht="10.96875">
      <c r="E23" s="632">
        <v>11.25</v>
      </c>
      <c r="AB23" s="144"/>
      <c r="AC23" s="144"/>
      <c r="AH23" s="1304"/>
      <c r="AI23" s="1304"/>
      <c r="AJ23" s="1304"/>
      <c r="AK23" s="1304"/>
    </row>
    <row customHeight="1" ht="19.74375">
      <c r="E24" s="632">
        <v>20.25</v>
      </c>
      <c r="AB24" s="1626" t="s">
        <v>2964</v>
      </c>
      <c r="AC24" s="1626"/>
      <c r="AD24" s="1626"/>
      <c r="AE24" s="1626"/>
      <c r="AF24" s="348" t="s">
        <v>152</v>
      </c>
      <c r="AH24" s="1304"/>
      <c r="AI24" s="1304"/>
      <c r="AJ24" s="1304"/>
      <c r="AK24" s="1304"/>
    </row>
    <row customHeight="1" ht="10.96875">
      <c r="E25" s="632">
        <v>11.25</v>
      </c>
      <c r="AB25" s="144"/>
      <c r="AC25" s="144"/>
      <c r="AH25" s="1304"/>
      <c r="AI25" s="1304"/>
      <c r="AJ25" s="1304"/>
      <c r="AK25" s="1304"/>
    </row>
    <row s="1446" customFormat="1" customHeight="1" ht="38.025">
      <c r="B26" s="429"/>
      <c r="E26" s="630">
        <v>39</v>
      </c>
      <c r="AB26" s="1645" t="s">
        <v>2965</v>
      </c>
      <c r="AC26" s="1569" t="s">
        <v>2966</v>
      </c>
      <c r="AD26" s="1569" t="s">
        <v>1176</v>
      </c>
      <c r="AE26" s="1550" t="s">
        <v>2967</v>
      </c>
      <c r="AF26" s="1577" t="s">
        <v>2968</v>
      </c>
      <c r="AG26" s="1577"/>
      <c r="AH26" s="1577"/>
      <c r="AI26" s="1577"/>
      <c r="AJ26" s="1577"/>
      <c r="AK26" s="1577"/>
      <c r="AO26" s="1013"/>
    </row>
    <row s="1446" customFormat="1" customHeight="1" ht="35.1">
      <c r="B27" s="429"/>
      <c r="E27" s="630">
        <v>36</v>
      </c>
      <c r="AB27" s="1646"/>
      <c r="AC27" s="1569"/>
      <c r="AD27" s="1569"/>
      <c r="AE27" s="1569"/>
      <c r="AF27" s="830" t="s">
        <v>1295</v>
      </c>
      <c r="AG27" s="830" t="s">
        <v>2969</v>
      </c>
      <c r="AH27" s="830" t="s">
        <v>2970</v>
      </c>
      <c r="AI27" s="830" t="s">
        <v>2971</v>
      </c>
      <c r="AJ27" s="830" t="s">
        <v>2972</v>
      </c>
      <c r="AK27" s="830" t="s">
        <v>2973</v>
      </c>
      <c r="AO27" s="1013"/>
    </row>
    <row s="1812" customFormat="1" customHeight="1" ht="11.2125">
      <c r="B28" s="429"/>
      <c r="E28" s="267">
        <v>11.5</v>
      </c>
      <c r="AB28" s="1647"/>
      <c r="AC28" s="831" t="s">
        <v>1514</v>
      </c>
      <c r="AD28" s="831" t="s">
        <v>1170</v>
      </c>
      <c r="AE28" s="766" t="s">
        <v>1170</v>
      </c>
      <c r="AF28" s="831" t="s">
        <v>1170</v>
      </c>
      <c r="AG28" s="831" t="s">
        <v>2974</v>
      </c>
      <c r="AH28" s="831" t="s">
        <v>2974</v>
      </c>
      <c r="AI28" s="831" t="s">
        <v>2974</v>
      </c>
      <c r="AJ28" s="831" t="s">
        <v>2974</v>
      </c>
      <c r="AK28" s="831" t="s">
        <v>2974</v>
      </c>
      <c r="AO28" s="1030"/>
    </row>
    <row s="1834" customFormat="1" customHeight="1" ht="11.25">
      <c r="B29" s="430"/>
      <c r="E29" s="671" t="s">
        <v>373</v>
      </c>
      <c r="F29" s="85"/>
      <c r="AB29" s="0"/>
      <c r="AC29" s="482"/>
      <c r="AD29" s="482"/>
      <c r="AE29" s="482"/>
      <c r="AF29" s="482"/>
      <c r="AG29" s="0"/>
      <c r="AH29" s="0"/>
      <c r="AI29" s="0"/>
      <c r="AJ29" s="0"/>
      <c r="AK29" s="0"/>
      <c r="AO29" s="1004"/>
      <c r="AQ29" s="101"/>
    </row>
    <row s="1758" customFormat="1" customHeight="1" ht="14.625" hidden="1">
      <c r="A30" s="1758"/>
      <c r="B30" s="428"/>
      <c r="C30" s="1758"/>
      <c r="D30" s="1758"/>
      <c r="E30" s="618">
        <v>15</v>
      </c>
      <c r="F30" s="98" cm="1" t="str">
        <f t="array" ref="F30:F30">X30</f>
        <v>0</v>
      </c>
      <c r="G30" s="1758"/>
      <c r="H30" s="1758"/>
      <c r="I30" s="1758"/>
      <c r="J30" s="1758"/>
      <c r="K30" s="1758"/>
      <c r="L30" s="1758"/>
      <c r="M30" s="1758"/>
      <c r="N30" s="1758"/>
      <c r="O30" s="1758"/>
      <c r="P30" s="1758"/>
      <c r="Q30" s="1758"/>
      <c r="R30" s="1758"/>
      <c r="S30" s="1758"/>
      <c r="T30" s="465">
        <f>X30&gt;0</f>
        <v>0</v>
      </c>
      <c r="U30" s="1758"/>
      <c r="V30" s="122" t="s">
        <v>265</v>
      </c>
      <c r="W30" s="1758"/>
      <c r="X30" s="1563">
        <v>0</v>
      </c>
      <c r="Y30" s="1758"/>
      <c r="Z30" s="1546"/>
      <c r="AA30" s="1758"/>
      <c r="AB30" s="381" cm="1" t="str">
        <f t="array" ref="AB30:AB30">INDEX('Общие сведения'!$AG$179:$AG$250,MATCH($X30,'Общие сведения'!$Z$179:$Z$250,0))</f>
        <v>Тариф 0 () - </v>
      </c>
      <c r="AC30" s="832"/>
      <c r="AD30" s="832"/>
      <c r="AE30" s="832"/>
      <c r="AF30" s="832"/>
      <c r="AG30" s="832"/>
      <c r="AH30" s="832"/>
      <c r="AI30" s="832"/>
      <c r="AJ30" s="832"/>
      <c r="AK30" s="832"/>
      <c r="AL30" s="402"/>
      <c r="AM30" s="1758"/>
      <c r="AN30" s="1758"/>
      <c r="AO30" s="997"/>
      <c r="AP30" s="1758"/>
      <c r="AQ30" s="1758"/>
    </row>
    <row s="1278" customFormat="1" customHeight="1" ht="14.625" hidden="1">
      <c r="A31" s="1278"/>
      <c r="B31" s="445">
        <f>K31&lt;first_year+PERIOD_LENGTH</f>
        <v>1</v>
      </c>
      <c r="C31" s="1278"/>
      <c r="D31" s="1278"/>
      <c r="E31" s="703">
        <v>15</v>
      </c>
      <c r="F31" s="50" cm="1" t="str">
        <f t="array" ref="F31:F31">OFFSET(E31,-1,1)</f>
        <v>0</v>
      </c>
      <c r="G31" s="1278"/>
      <c r="H31" s="1278"/>
      <c r="I31" s="1278"/>
      <c r="J31" s="1278"/>
      <c r="K31" s="158" cm="1" t="str">
        <f t="array" ref="K31:K31">first_year</f>
        <v>2026</v>
      </c>
      <c r="L31" s="1278"/>
      <c r="M31" s="1278"/>
      <c r="N31" s="1278"/>
      <c r="O31" s="1278"/>
      <c r="P31" s="1278"/>
      <c r="Q31" s="1278"/>
      <c r="R31" s="1278"/>
      <c r="S31" s="1278"/>
      <c r="T31" s="465" cm="1" t="str">
        <f t="array" ref="T31:T31">T30</f>
        <v>false</v>
      </c>
      <c r="U31" s="1278"/>
      <c r="V31" s="1278"/>
      <c r="W31" s="1278"/>
      <c r="X31" s="1563"/>
      <c r="Y31" s="1278"/>
      <c r="Z31" s="1546"/>
      <c r="AA31" s="1278"/>
      <c r="AB31" s="833" t="str">
        <f>K31&amp;" год"</f>
        <v>2026 год</v>
      </c>
      <c r="AC31" s="7972">
        <f>IF(god=first_year,_xlfn.SUMIFS('Калькуляция (МИ)'!AT$26:AT$747,'Калькуляция (МИ)'!F$26:F$747,F31,'Калькуляция (МИ)'!AC$26:AC$747,"операционные расходы"),IF(god&lt;first_year+3,_xlfn.IFERROR(_xlfn.SUMIFS(INDEX('Калькуляция (МИ корр)'!$AE$25:$BC$747,,MATCH(K31&amp;"Принято органом регулирования",'Калькуляция (МИ корр)'!$AE$8:$BC$8,0)),'Калькуляция (МИ корр)'!$F$25:$F$747,F31,'Калькуляция (МИ корр)'!$AC$25:$AC$747,"Операционные расходы"),0),""))</f>
        <v>0</v>
      </c>
      <c r="AD31" s="7973">
        <f>_xlfn.IFERROR(_xlfn.SUMIFS(INDEX(Сценарии!$AE$25:$BF$163,,MATCH($K31&amp;"Принято органом регулирования",Сценарии!$AE$8:$BF$8,0)),Сценарии!$F$25:$F$163,$F31,Сценарии!$AC$25:$AC$163,"Индекс эффективности операционных расходов"),0)</f>
        <v>0</v>
      </c>
      <c r="AE31" s="7974"/>
      <c r="AF31" s="7974">
        <f>_xlfn.IFERROR(_xlfn.SUMIFS(INDEX(Баланс!$AE$25:$BB$482,,MATCH($K31&amp;"Принято органом регулирования",Баланс!$AE$8:$BB$8,0)),Баланс!$F$25:$F$482,$F31,Баланс!$AC$24:$AC$482,"Уровень потерь воды"),0)</f>
        <v>0</v>
      </c>
      <c r="AG31" s="7975">
        <f>_xlfn.IFERROR(_xlfn.SUMIFS(INDEX(Electricity_LOAD_1,,MATCH($K31&amp;"Принято органом регулирования",ЭЭ!$AE$8:$BB$8,0)),ЭЭ!$F$25:$F$189,$F31,ЭЭ!$AC$25:$AC$189,"Удельный расход электроэнергии"),0)</f>
        <v>0</v>
      </c>
      <c r="AH31" s="7973">
        <f>_xlfn.IFERROR(_xlfn.SUMIFS(INDEX(Electricity_LOAD_1,,MATCH($K31&amp;"Принято органом регулирования",ЭЭ!$AE$8:$BB$8,0)),ЭЭ!$F$25:$F$189,$F31,ЭЭ!$AC$25:$AC$189,"Удельный расход электроэнергии"),0)</f>
        <v>0</v>
      </c>
      <c r="AI31" s="7973">
        <f>_xlfn.IFERROR(_xlfn.SUMIFS(INDEX(Electricity_LOAD_1,,MATCH($K31&amp;"Принято органом регулирования",ЭЭ!$AE$8:$BB$8,0)),ЭЭ!$F$25:$F$189,$F31,ЭЭ!$AC$25:$AC$189,"Удельный расход электроэнергии"),0)</f>
        <v>0</v>
      </c>
      <c r="AJ31" s="7973">
        <f>_xlfn.IFERROR(_xlfn.SUMIFS(INDEX(Electricity_LOAD_1,,MATCH($K31&amp;"Принято органом регулирования",ЭЭ!$AE$8:$BB$8,0)),ЭЭ!$F$25:$F$189,$F31,ЭЭ!$AC$25:$AC$189,"Удельный расход электроэнергии"),0)</f>
        <v>0</v>
      </c>
      <c r="AK31" s="7973">
        <f>_xlfn.IFERROR(_xlfn.SUMIFS(INDEX(Electricity_LOAD_1,,MATCH($K31&amp;"Принято органом регулирования",ЭЭ!$AE$8:$BB$8,0)),ЭЭ!$F$25:$F$189,$F31,ЭЭ!$AC$25:$AC$189,"Удельный расход электроэнергии"),0)</f>
        <v>0</v>
      </c>
      <c r="AL31" s="403"/>
      <c r="AM31" s="158" t="s">
        <v>2975</v>
      </c>
      <c r="AN31" s="1278"/>
      <c r="AO31" s="1064" cm="1" t="str">
        <f t="array" ref="AO31:AO31">K31</f>
        <v>2026</v>
      </c>
      <c r="AP31" s="1278"/>
      <c r="AQ31" s="1278"/>
    </row>
    <row s="1278" customFormat="1" customHeight="1" ht="14.625" hidden="1">
      <c r="A32" s="1278"/>
      <c r="B32" s="445">
        <f>K32&lt;first_year+PERIOD_LENGTH</f>
        <v>1</v>
      </c>
      <c r="C32" s="1278"/>
      <c r="D32" s="1278"/>
      <c r="E32" s="703">
        <v>15</v>
      </c>
      <c r="F32" s="50" cm="1" t="str">
        <f t="array" ref="F32:F32">OFFSET(E32,-1,1)</f>
        <v>0</v>
      </c>
      <c r="G32" s="1278"/>
      <c r="H32" s="1278"/>
      <c r="I32" s="1278"/>
      <c r="J32" s="1278"/>
      <c r="K32" s="158">
        <f>first_year+1</f>
        <v>2027</v>
      </c>
      <c r="L32" s="1278"/>
      <c r="M32" s="1278"/>
      <c r="N32" s="1278"/>
      <c r="O32" s="1278"/>
      <c r="P32" s="1278"/>
      <c r="Q32" s="1278"/>
      <c r="R32" s="1278"/>
      <c r="S32" s="1278"/>
      <c r="T32" s="465" cm="1" t="str">
        <f t="array" ref="T32:T32">T31</f>
        <v>false</v>
      </c>
      <c r="U32" s="1278"/>
      <c r="V32" s="1278"/>
      <c r="W32" s="1278"/>
      <c r="X32" s="1563"/>
      <c r="Y32" s="1278"/>
      <c r="Z32" s="1546"/>
      <c r="AA32" s="1278"/>
      <c r="AB32" s="833" t="str">
        <f>K32&amp;" год"</f>
        <v>2027 год</v>
      </c>
      <c r="AC32" s="7974"/>
      <c r="AD32" s="7973">
        <f>_xlfn.IFERROR(_xlfn.SUMIFS(INDEX(Сценарии!$AE$25:$BF$163,,MATCH($K32&amp;"Принято органом регулирования",Сценарии!$AE$8:$BF$8,0)),Сценарии!$F$25:$F$163,$F32,Сценарии!$AC$25:$AC$163,"Индекс эффективности операционных расходов"),0)</f>
        <v>0</v>
      </c>
      <c r="AE32" s="7974"/>
      <c r="AF32" s="7974">
        <f>_xlfn.IFERROR(_xlfn.SUMIFS(INDEX(Баланс!$AE$25:$BB$482,,MATCH($K32&amp;"Принято органом регулирования",Баланс!$AE$8:$BB$8,0)),Баланс!$F$25:$F$482,$F32,Баланс!$AC$24:$AC$482,"Уровень потерь воды"),0)</f>
        <v>0</v>
      </c>
      <c r="AG32" s="7975">
        <f>_xlfn.IFERROR(_xlfn.SUMIFS(INDEX(Electricity_LOAD_1,,MATCH($K32&amp;"Принято органом регулирования",ЭЭ!$AE$8:$BB$8,0)),ЭЭ!$F$25:$F$189,$F32,ЭЭ!$AC$25:$AC$189,"Удельный расход электроэнергии"),0)</f>
        <v>0</v>
      </c>
      <c r="AH32" s="7973">
        <f>_xlfn.IFERROR(_xlfn.SUMIFS(INDEX(Electricity_LOAD_1,,MATCH($K32&amp;"Принято органом регулирования",ЭЭ!$AE$8:$BB$8,0)),ЭЭ!$F$25:$F$189,$F32,ЭЭ!$AC$25:$AC$189,"Удельный расход электроэнергии"),0)</f>
        <v>0</v>
      </c>
      <c r="AI32" s="7973">
        <f>_xlfn.IFERROR(_xlfn.SUMIFS(INDEX(Electricity_LOAD_1,,MATCH($K32&amp;"Принято органом регулирования",ЭЭ!$AE$8:$BB$8,0)),ЭЭ!$F$25:$F$189,$F32,ЭЭ!$AC$25:$AC$189,"Удельный расход электроэнергии"),0)</f>
        <v>0</v>
      </c>
      <c r="AJ32" s="7973">
        <f>_xlfn.IFERROR(_xlfn.SUMIFS(INDEX(Electricity_LOAD_1,,MATCH($K32&amp;"Принято органом регулирования",ЭЭ!$AE$8:$BB$8,0)),ЭЭ!$F$25:$F$189,$F32,ЭЭ!$AC$25:$AC$189,"Удельный расход электроэнергии"),0)</f>
        <v>0</v>
      </c>
      <c r="AK32" s="7973">
        <f>_xlfn.IFERROR(_xlfn.SUMIFS(INDEX(Electricity_LOAD_1,,MATCH($K32&amp;"Принято органом регулирования",ЭЭ!$AE$8:$BB$8,0)),ЭЭ!$F$25:$F$189,$F32,ЭЭ!$AC$25:$AC$189,"Удельный расход электроэнергии"),0)</f>
        <v>0</v>
      </c>
      <c r="AL32" s="403"/>
      <c r="AM32" s="1278" t="s">
        <v>2975</v>
      </c>
      <c r="AN32" s="1278"/>
      <c r="AO32" s="1064" cm="1" t="str">
        <f t="array" ref="AO32:AO32">K32</f>
        <v>2027</v>
      </c>
      <c r="AP32" s="1278"/>
      <c r="AQ32" s="1278"/>
    </row>
    <row s="1278" customFormat="1" customHeight="1" ht="14.625" hidden="1">
      <c r="A33" s="1278"/>
      <c r="B33" s="445">
        <f>K33&lt;first_year+PERIOD_LENGTH</f>
        <v>1</v>
      </c>
      <c r="C33" s="1278"/>
      <c r="D33" s="1278"/>
      <c r="E33" s="703">
        <v>15</v>
      </c>
      <c r="F33" s="50" cm="1" t="str">
        <f t="array" ref="F33:F33">OFFSET(E33,-1,1)</f>
        <v>0</v>
      </c>
      <c r="G33" s="1278"/>
      <c r="H33" s="1278"/>
      <c r="I33" s="1278"/>
      <c r="J33" s="1278"/>
      <c r="K33" s="158">
        <f>first_year+2</f>
        <v>2028</v>
      </c>
      <c r="L33" s="1278"/>
      <c r="M33" s="1278"/>
      <c r="N33" s="1278"/>
      <c r="O33" s="1278"/>
      <c r="P33" s="1278"/>
      <c r="Q33" s="1278"/>
      <c r="R33" s="1278"/>
      <c r="S33" s="1278"/>
      <c r="T33" s="465" cm="1" t="str">
        <f t="array" ref="T33:T33">T32</f>
        <v>false</v>
      </c>
      <c r="U33" s="1278"/>
      <c r="V33" s="1278"/>
      <c r="W33" s="1278"/>
      <c r="X33" s="1563"/>
      <c r="Y33" s="1278"/>
      <c r="Z33" s="1546"/>
      <c r="AA33" s="1278"/>
      <c r="AB33" s="833" t="str">
        <f>K33&amp;" год"</f>
        <v>2028 год</v>
      </c>
      <c r="AC33" s="7974"/>
      <c r="AD33" s="7973">
        <f>_xlfn.IFERROR(_xlfn.SUMIFS(INDEX(Сценарии!$AE$25:$BF$163,,MATCH($K33&amp;"Принято органом регулирования",Сценарии!$AE$8:$BF$8,0)),Сценарии!$F$25:$F$163,$F33,Сценарии!$AC$25:$AC$163,"Индекс эффективности операционных расходов"),0)</f>
        <v>0</v>
      </c>
      <c r="AE33" s="7974"/>
      <c r="AF33" s="7974">
        <f>_xlfn.IFERROR(_xlfn.SUMIFS(INDEX(Баланс!$AE$25:$BB$482,,MATCH($K33&amp;"Принято органом регулирования",Баланс!$AE$8:$BB$8,0)),Баланс!$F$25:$F$482,$F33,Баланс!$AC$24:$AC$482,"Уровень потерь воды"),0)</f>
        <v>0</v>
      </c>
      <c r="AG33" s="7975">
        <f>_xlfn.IFERROR(_xlfn.SUMIFS(INDEX(Electricity_LOAD_1,,MATCH($K33&amp;"Принято органом регулирования",ЭЭ!$AE$8:$BB$8,0)),ЭЭ!$F$25:$F$189,$F33,ЭЭ!$AC$25:$AC$189,"Удельный расход электроэнергии"),0)</f>
        <v>0</v>
      </c>
      <c r="AH33" s="7973">
        <f>_xlfn.IFERROR(_xlfn.SUMIFS(INDEX(Electricity_LOAD_1,,MATCH($K33&amp;"Принято органом регулирования",ЭЭ!$AE$8:$BB$8,0)),ЭЭ!$F$25:$F$189,$F33,ЭЭ!$AC$25:$AC$189,"Удельный расход электроэнергии"),0)</f>
        <v>0</v>
      </c>
      <c r="AI33" s="7973">
        <f>_xlfn.IFERROR(_xlfn.SUMIFS(INDEX(Electricity_LOAD_1,,MATCH($K33&amp;"Принято органом регулирования",ЭЭ!$AE$8:$BB$8,0)),ЭЭ!$F$25:$F$189,$F33,ЭЭ!$AC$25:$AC$189,"Удельный расход электроэнергии"),0)</f>
        <v>0</v>
      </c>
      <c r="AJ33" s="7973">
        <f>_xlfn.IFERROR(_xlfn.SUMIFS(INDEX(Electricity_LOAD_1,,MATCH($K33&amp;"Принято органом регулирования",ЭЭ!$AE$8:$BB$8,0)),ЭЭ!$F$25:$F$189,$F33,ЭЭ!$AC$25:$AC$189,"Удельный расход электроэнергии"),0)</f>
        <v>0</v>
      </c>
      <c r="AK33" s="7973">
        <f>_xlfn.IFERROR(_xlfn.SUMIFS(INDEX(Electricity_LOAD_1,,MATCH($K33&amp;"Принято органом регулирования",ЭЭ!$AE$8:$BB$8,0)),ЭЭ!$F$25:$F$189,$F33,ЭЭ!$AC$25:$AC$189,"Удельный расход электроэнергии"),0)</f>
        <v>0</v>
      </c>
      <c r="AL33" s="403"/>
      <c r="AM33" s="1278" t="s">
        <v>2975</v>
      </c>
      <c r="AN33" s="1278"/>
      <c r="AO33" s="1064" cm="1" t="str">
        <f t="array" ref="AO33:AO33">K33</f>
        <v>2028</v>
      </c>
      <c r="AP33" s="1278"/>
      <c r="AQ33" s="1278"/>
    </row>
    <row s="1278" customFormat="1" customHeight="1" ht="14.625" hidden="1">
      <c r="A34" s="1278"/>
      <c r="B34" s="445">
        <f>K34&lt;first_year+PERIOD_LENGTH</f>
        <v>1</v>
      </c>
      <c r="C34" s="1278"/>
      <c r="D34" s="1278"/>
      <c r="E34" s="703">
        <v>15</v>
      </c>
      <c r="F34" s="50" cm="1" t="str">
        <f t="array" ref="F34:F34">OFFSET(E34,-1,1)</f>
        <v>0</v>
      </c>
      <c r="G34" s="1278"/>
      <c r="H34" s="1278"/>
      <c r="I34" s="1278"/>
      <c r="J34" s="1278"/>
      <c r="K34" s="158">
        <f>first_year+3</f>
        <v>2029</v>
      </c>
      <c r="L34" s="1278"/>
      <c r="M34" s="1278"/>
      <c r="N34" s="1278"/>
      <c r="O34" s="1278"/>
      <c r="P34" s="1278"/>
      <c r="Q34" s="1278"/>
      <c r="R34" s="1278"/>
      <c r="S34" s="1278"/>
      <c r="T34" s="465" cm="1" t="str">
        <f t="array" ref="T34:T34">T33</f>
        <v>false</v>
      </c>
      <c r="U34" s="1278"/>
      <c r="V34" s="1278"/>
      <c r="W34" s="1278"/>
      <c r="X34" s="1563"/>
      <c r="Y34" s="1278"/>
      <c r="Z34" s="1546"/>
      <c r="AA34" s="1278"/>
      <c r="AB34" s="833" t="str">
        <f>K34&amp;" год"</f>
        <v>2029 год</v>
      </c>
      <c r="AC34" s="7974"/>
      <c r="AD34" s="7973">
        <f>_xlfn.IFERROR(_xlfn.SUMIFS(INDEX(Сценарии!$AE$25:$BF$163,,MATCH($K34&amp;"Принято органом регулирования",Сценарии!$AE$8:$BF$8,0)),Сценарии!$F$25:$F$163,$F34,Сценарии!$AC$25:$AC$163,"Индекс эффективности операционных расходов"),0)</f>
        <v>0</v>
      </c>
      <c r="AE34" s="7974"/>
      <c r="AF34" s="7974">
        <f>_xlfn.IFERROR(_xlfn.SUMIFS(INDEX(Баланс!$AE$25:$BB$482,,MATCH($K34&amp;"Принято органом регулирования",Баланс!$AE$8:$BB$8,0)),Баланс!$F$25:$F$482,$F34,Баланс!$AC$24:$AC$482,"Уровень потерь воды"),0)</f>
        <v>0</v>
      </c>
      <c r="AG34" s="7975">
        <f>_xlfn.IFERROR(_xlfn.SUMIFS(INDEX(Electricity_LOAD_1,,MATCH($K34&amp;"Принято органом регулирования",ЭЭ!$AE$8:$BB$8,0)),ЭЭ!$F$25:$F$189,$F34,ЭЭ!$AC$25:$AC$189,"Удельный расход электроэнергии"),0)</f>
        <v>0</v>
      </c>
      <c r="AH34" s="7973">
        <f>_xlfn.IFERROR(_xlfn.SUMIFS(INDEX(Electricity_LOAD_1,,MATCH($K34&amp;"Принято органом регулирования",ЭЭ!$AE$8:$BB$8,0)),ЭЭ!$F$25:$F$189,$F34,ЭЭ!$AC$25:$AC$189,"Удельный расход электроэнергии"),0)</f>
        <v>0</v>
      </c>
      <c r="AI34" s="7973">
        <f>_xlfn.IFERROR(_xlfn.SUMIFS(INDEX(Electricity_LOAD_1,,MATCH($K34&amp;"Принято органом регулирования",ЭЭ!$AE$8:$BB$8,0)),ЭЭ!$F$25:$F$189,$F34,ЭЭ!$AC$25:$AC$189,"Удельный расход электроэнергии"),0)</f>
        <v>0</v>
      </c>
      <c r="AJ34" s="7973">
        <f>_xlfn.IFERROR(_xlfn.SUMIFS(INDEX(Electricity_LOAD_1,,MATCH($K34&amp;"Принято органом регулирования",ЭЭ!$AE$8:$BB$8,0)),ЭЭ!$F$25:$F$189,$F34,ЭЭ!$AC$25:$AC$189,"Удельный расход электроэнергии"),0)</f>
        <v>0</v>
      </c>
      <c r="AK34" s="7973">
        <f>_xlfn.IFERROR(_xlfn.SUMIFS(INDEX(Electricity_LOAD_1,,MATCH($K34&amp;"Принято органом регулирования",ЭЭ!$AE$8:$BB$8,0)),ЭЭ!$F$25:$F$189,$F34,ЭЭ!$AC$25:$AC$189,"Удельный расход электроэнергии"),0)</f>
        <v>0</v>
      </c>
      <c r="AL34" s="403"/>
      <c r="AM34" s="1278" t="s">
        <v>2975</v>
      </c>
      <c r="AN34" s="1278"/>
      <c r="AO34" s="1064" cm="1" t="str">
        <f t="array" ref="AO34:AO34">K34</f>
        <v>2029</v>
      </c>
      <c r="AP34" s="1278"/>
      <c r="AQ34" s="1278"/>
    </row>
    <row s="1278" customFormat="1" customHeight="1" ht="14.625" hidden="1">
      <c r="A35" s="1278"/>
      <c r="B35" s="445">
        <f>K35&lt;first_year+PERIOD_LENGTH</f>
        <v>1</v>
      </c>
      <c r="C35" s="1278"/>
      <c r="D35" s="1278"/>
      <c r="E35" s="703">
        <v>15</v>
      </c>
      <c r="F35" s="50" cm="1" t="str">
        <f t="array" ref="F35:F35">OFFSET(E35,-1,1)</f>
        <v>0</v>
      </c>
      <c r="G35" s="1278"/>
      <c r="H35" s="1278"/>
      <c r="I35" s="1278"/>
      <c r="J35" s="1278"/>
      <c r="K35" s="158">
        <f>first_year+4</f>
        <v>2030</v>
      </c>
      <c r="L35" s="1278"/>
      <c r="M35" s="1278"/>
      <c r="N35" s="1278"/>
      <c r="O35" s="1278"/>
      <c r="P35" s="1278"/>
      <c r="Q35" s="1278"/>
      <c r="R35" s="1278"/>
      <c r="S35" s="1278"/>
      <c r="T35" s="465" cm="1" t="str">
        <f t="array" ref="T35:T35">T34</f>
        <v>false</v>
      </c>
      <c r="U35" s="1278"/>
      <c r="V35" s="1278"/>
      <c r="W35" s="1278"/>
      <c r="X35" s="1563"/>
      <c r="Y35" s="1278"/>
      <c r="Z35" s="1546"/>
      <c r="AA35" s="1278"/>
      <c r="AB35" s="833" t="str">
        <f>K35&amp;" год"</f>
        <v>2030 год</v>
      </c>
      <c r="AC35" s="7974"/>
      <c r="AD35" s="7973">
        <f>_xlfn.IFERROR(_xlfn.SUMIFS(INDEX(Сценарии!$AE$25:$BF$163,,MATCH($K35&amp;"Принято органом регулирования",Сценарии!$AE$8:$BF$8,0)),Сценарии!$F$25:$F$163,$F35,Сценарии!$AC$25:$AC$163,"Индекс эффективности операционных расходов"),0)</f>
        <v>0</v>
      </c>
      <c r="AE35" s="7974"/>
      <c r="AF35" s="7974">
        <f>_xlfn.IFERROR(_xlfn.SUMIFS(INDEX(Баланс!$AE$25:$BB$482,,MATCH($K35&amp;"Принято органом регулирования",Баланс!$AE$8:$BB$8,0)),Баланс!$F$25:$F$482,$F35,Баланс!$AC$24:$AC$482,"Уровень потерь воды"),0)</f>
        <v>0</v>
      </c>
      <c r="AG35" s="7975">
        <f>_xlfn.IFERROR(_xlfn.SUMIFS(INDEX(Electricity_LOAD_1,,MATCH($K35&amp;"Принято органом регулирования",ЭЭ!$AE$8:$BB$8,0)),ЭЭ!$F$25:$F$189,$F35,ЭЭ!$AC$25:$AC$189,"Удельный расход электроэнергии"),0)</f>
        <v>0</v>
      </c>
      <c r="AH35" s="7973">
        <f>_xlfn.IFERROR(_xlfn.SUMIFS(INDEX(Electricity_LOAD_1,,MATCH($K35&amp;"Принято органом регулирования",ЭЭ!$AE$8:$BB$8,0)),ЭЭ!$F$25:$F$189,$F35,ЭЭ!$AC$25:$AC$189,"Удельный расход электроэнергии"),0)</f>
        <v>0</v>
      </c>
      <c r="AI35" s="7973">
        <f>_xlfn.IFERROR(_xlfn.SUMIFS(INDEX(Electricity_LOAD_1,,MATCH($K35&amp;"Принято органом регулирования",ЭЭ!$AE$8:$BB$8,0)),ЭЭ!$F$25:$F$189,$F35,ЭЭ!$AC$25:$AC$189,"Удельный расход электроэнергии"),0)</f>
        <v>0</v>
      </c>
      <c r="AJ35" s="7973">
        <f>_xlfn.IFERROR(_xlfn.SUMIFS(INDEX(Electricity_LOAD_1,,MATCH($K35&amp;"Принято органом регулирования",ЭЭ!$AE$8:$BB$8,0)),ЭЭ!$F$25:$F$189,$F35,ЭЭ!$AC$25:$AC$189,"Удельный расход электроэнергии"),0)</f>
        <v>0</v>
      </c>
      <c r="AK35" s="7973">
        <f>_xlfn.IFERROR(_xlfn.SUMIFS(INDEX(Electricity_LOAD_1,,MATCH($K35&amp;"Принято органом регулирования",ЭЭ!$AE$8:$BB$8,0)),ЭЭ!$F$25:$F$189,$F35,ЭЭ!$AC$25:$AC$189,"Удельный расход электроэнергии"),0)</f>
        <v>0</v>
      </c>
      <c r="AL35" s="403"/>
      <c r="AM35" s="1278" t="s">
        <v>2975</v>
      </c>
      <c r="AN35" s="1278"/>
      <c r="AO35" s="1064" cm="1" t="str">
        <f t="array" ref="AO35:AO35">K35</f>
        <v>2030</v>
      </c>
      <c r="AP35" s="1278"/>
      <c r="AQ35" s="1278"/>
    </row>
    <row s="1278" customFormat="1" customHeight="1" ht="14.625" hidden="1">
      <c r="A36" s="1278"/>
      <c r="B36" s="445">
        <f>K36&lt;first_year+PERIOD_LENGTH</f>
        <v>0</v>
      </c>
      <c r="C36" s="1278"/>
      <c r="D36" s="1278"/>
      <c r="E36" s="703">
        <v>15</v>
      </c>
      <c r="F36" s="50" cm="1" t="str">
        <f t="array" ref="F36:F36">OFFSET(E36,-1,1)</f>
        <v>0</v>
      </c>
      <c r="G36" s="1278"/>
      <c r="H36" s="1278"/>
      <c r="I36" s="1278"/>
      <c r="J36" s="1278"/>
      <c r="K36" s="158">
        <f>first_year+5</f>
        <v>2031</v>
      </c>
      <c r="L36" s="1278"/>
      <c r="M36" s="1278"/>
      <c r="N36" s="1278"/>
      <c r="O36" s="1278"/>
      <c r="P36" s="1278"/>
      <c r="Q36" s="1278"/>
      <c r="R36" s="1278"/>
      <c r="S36" s="1278"/>
      <c r="T36" s="465" cm="1" t="str">
        <f t="array" ref="T36:T36">T35</f>
        <v>false</v>
      </c>
      <c r="U36" s="1278"/>
      <c r="V36" s="1278"/>
      <c r="W36" s="1278"/>
      <c r="X36" s="1563"/>
      <c r="Y36" s="1278"/>
      <c r="Z36" s="1546"/>
      <c r="AA36" s="1278"/>
      <c r="AB36" s="833" t="str">
        <f>K36&amp;" год"</f>
        <v>2031 год</v>
      </c>
      <c r="AC36" s="7974"/>
      <c r="AD36" s="7973">
        <f>_xlfn.IFERROR(_xlfn.SUMIFS(INDEX(Сценарии!$AE$25:$BF$163,,MATCH($K36&amp;"Принято органом регулирования",Сценарии!$AE$8:$BF$8,0)),Сценарии!$F$25:$F$163,$F36,Сценарии!$AC$25:$AC$163,"Индекс эффективности операционных расходов"),0)</f>
        <v>0</v>
      </c>
      <c r="AE36" s="7974"/>
      <c r="AF36" s="7974">
        <f>_xlfn.IFERROR(_xlfn.SUMIFS(INDEX(Баланс!$AE$25:$BB$482,,MATCH($K36&amp;"Принято органом регулирования",Баланс!$AE$8:$BB$8,0)),Баланс!$F$25:$F$482,$F36,Баланс!$AC$24:$AC$482,"Уровень потерь воды"),0)</f>
        <v>0</v>
      </c>
      <c r="AG36" s="7975">
        <f>_xlfn.IFERROR(_xlfn.SUMIFS(INDEX(Electricity_LOAD_1,,MATCH($K36&amp;"Принято органом регулирования",ЭЭ!$AE$8:$BB$8,0)),ЭЭ!$F$25:$F$189,$F36,ЭЭ!$AC$25:$AC$189,"Удельный расход электроэнергии"),0)</f>
        <v>0</v>
      </c>
      <c r="AH36" s="7973">
        <f>_xlfn.IFERROR(_xlfn.SUMIFS(INDEX(Electricity_LOAD_1,,MATCH($K36&amp;"Принято органом регулирования",ЭЭ!$AE$8:$BB$8,0)),ЭЭ!$F$25:$F$189,$F36,ЭЭ!$AC$25:$AC$189,"Удельный расход электроэнергии"),0)</f>
        <v>0</v>
      </c>
      <c r="AI36" s="7973">
        <f>_xlfn.IFERROR(_xlfn.SUMIFS(INDEX(Electricity_LOAD_1,,MATCH($K36&amp;"Принято органом регулирования",ЭЭ!$AE$8:$BB$8,0)),ЭЭ!$F$25:$F$189,$F36,ЭЭ!$AC$25:$AC$189,"Удельный расход электроэнергии"),0)</f>
        <v>0</v>
      </c>
      <c r="AJ36" s="7973">
        <f>_xlfn.IFERROR(_xlfn.SUMIFS(INDEX(Electricity_LOAD_1,,MATCH($K36&amp;"Принято органом регулирования",ЭЭ!$AE$8:$BB$8,0)),ЭЭ!$F$25:$F$189,$F36,ЭЭ!$AC$25:$AC$189,"Удельный расход электроэнергии"),0)</f>
        <v>0</v>
      </c>
      <c r="AK36" s="7973">
        <f>_xlfn.IFERROR(_xlfn.SUMIFS(INDEX(Electricity_LOAD_1,,MATCH($K36&amp;"Принято органом регулирования",ЭЭ!$AE$8:$BB$8,0)),ЭЭ!$F$25:$F$189,$F36,ЭЭ!$AC$25:$AC$189,"Удельный расход электроэнергии"),0)</f>
        <v>0</v>
      </c>
      <c r="AL36" s="403"/>
      <c r="AM36" s="1278" t="s">
        <v>2975</v>
      </c>
      <c r="AN36" s="1278"/>
      <c r="AO36" s="1064" cm="1" t="str">
        <f t="array" ref="AO36:AO36">K36</f>
        <v>2031</v>
      </c>
      <c r="AP36" s="1278"/>
      <c r="AQ36" s="1278"/>
    </row>
    <row s="1278" customFormat="1" customHeight="1" ht="14.625" hidden="1">
      <c r="A37" s="1278"/>
      <c r="B37" s="445">
        <f>K37&lt;first_year+PERIOD_LENGTH</f>
        <v>0</v>
      </c>
      <c r="C37" s="1278"/>
      <c r="D37" s="1278"/>
      <c r="E37" s="703">
        <v>15</v>
      </c>
      <c r="F37" s="50" cm="1" t="str">
        <f t="array" ref="F37:F37">OFFSET(E37,-1,1)</f>
        <v>0</v>
      </c>
      <c r="G37" s="1278"/>
      <c r="H37" s="1278"/>
      <c r="I37" s="1278"/>
      <c r="J37" s="1278"/>
      <c r="K37" s="158">
        <f>first_year+6</f>
        <v>2032</v>
      </c>
      <c r="L37" s="1278"/>
      <c r="M37" s="1278"/>
      <c r="N37" s="1278"/>
      <c r="O37" s="1278"/>
      <c r="P37" s="1278"/>
      <c r="Q37" s="1278"/>
      <c r="R37" s="1278"/>
      <c r="S37" s="1278"/>
      <c r="T37" s="465" cm="1" t="str">
        <f t="array" ref="T37:T37">T36</f>
        <v>false</v>
      </c>
      <c r="U37" s="1278"/>
      <c r="V37" s="1278"/>
      <c r="W37" s="1278"/>
      <c r="X37" s="1563"/>
      <c r="Y37" s="1278"/>
      <c r="Z37" s="1546"/>
      <c r="AA37" s="1278"/>
      <c r="AB37" s="833" t="str">
        <f>K37&amp;" год"</f>
        <v>2032 год</v>
      </c>
      <c r="AC37" s="7974"/>
      <c r="AD37" s="7973">
        <f>_xlfn.IFERROR(_xlfn.SUMIFS(INDEX(Сценарии!$AE$25:$BF$163,,MATCH($K37&amp;"Принято органом регулирования",Сценарии!$AE$8:$BF$8,0)),Сценарии!$F$25:$F$163,$F37,Сценарии!$AC$25:$AC$163,"Индекс эффективности операционных расходов"),0)</f>
        <v>0</v>
      </c>
      <c r="AE37" s="7974"/>
      <c r="AF37" s="7974">
        <f>_xlfn.IFERROR(_xlfn.SUMIFS(INDEX(Баланс!$AE$25:$BB$482,,MATCH($K37&amp;"Принято органом регулирования",Баланс!$AE$8:$BB$8,0)),Баланс!$F$25:$F$482,$F37,Баланс!$AC$24:$AC$482,"Уровень потерь воды"),0)</f>
        <v>0</v>
      </c>
      <c r="AG37" s="7975">
        <f>_xlfn.IFERROR(_xlfn.SUMIFS(INDEX(Electricity_LOAD_1,,MATCH($K37&amp;"Принято органом регулирования",ЭЭ!$AE$8:$BB$8,0)),ЭЭ!$F$25:$F$189,$F37,ЭЭ!$AC$25:$AC$189,"Удельный расход электроэнергии"),0)</f>
        <v>0</v>
      </c>
      <c r="AH37" s="7973">
        <f>_xlfn.IFERROR(_xlfn.SUMIFS(INDEX(Electricity_LOAD_1,,MATCH($K37&amp;"Принято органом регулирования",ЭЭ!$AE$8:$BB$8,0)),ЭЭ!$F$25:$F$189,$F37,ЭЭ!$AC$25:$AC$189,"Удельный расход электроэнергии"),0)</f>
        <v>0</v>
      </c>
      <c r="AI37" s="7973">
        <f>_xlfn.IFERROR(_xlfn.SUMIFS(INDEX(Electricity_LOAD_1,,MATCH($K37&amp;"Принято органом регулирования",ЭЭ!$AE$8:$BB$8,0)),ЭЭ!$F$25:$F$189,$F37,ЭЭ!$AC$25:$AC$189,"Удельный расход электроэнергии"),0)</f>
        <v>0</v>
      </c>
      <c r="AJ37" s="7973">
        <f>_xlfn.IFERROR(_xlfn.SUMIFS(INDEX(Electricity_LOAD_1,,MATCH($K37&amp;"Принято органом регулирования",ЭЭ!$AE$8:$BB$8,0)),ЭЭ!$F$25:$F$189,$F37,ЭЭ!$AC$25:$AC$189,"Удельный расход электроэнергии"),0)</f>
        <v>0</v>
      </c>
      <c r="AK37" s="7973">
        <f>_xlfn.IFERROR(_xlfn.SUMIFS(INDEX(Electricity_LOAD_1,,MATCH($K37&amp;"Принято органом регулирования",ЭЭ!$AE$8:$BB$8,0)),ЭЭ!$F$25:$F$189,$F37,ЭЭ!$AC$25:$AC$189,"Удельный расход электроэнергии"),0)</f>
        <v>0</v>
      </c>
      <c r="AL37" s="403"/>
      <c r="AM37" s="1278" t="s">
        <v>2975</v>
      </c>
      <c r="AN37" s="1278"/>
      <c r="AO37" s="1064" cm="1" t="str">
        <f t="array" ref="AO37:AO37">K37</f>
        <v>2032</v>
      </c>
      <c r="AP37" s="1278"/>
      <c r="AQ37" s="1278"/>
    </row>
    <row s="1278" customFormat="1" customHeight="1" ht="14.625" hidden="1">
      <c r="A38" s="1278"/>
      <c r="B38" s="445">
        <f>K38&lt;first_year+PERIOD_LENGTH</f>
        <v>0</v>
      </c>
      <c r="C38" s="1278"/>
      <c r="D38" s="1278"/>
      <c r="E38" s="703">
        <v>15</v>
      </c>
      <c r="F38" s="50" cm="1" t="str">
        <f t="array" ref="F38:F38">OFFSET(E38,-1,1)</f>
        <v>0</v>
      </c>
      <c r="G38" s="1278"/>
      <c r="H38" s="1278"/>
      <c r="I38" s="1278"/>
      <c r="J38" s="1278"/>
      <c r="K38" s="158">
        <f>first_year+7</f>
        <v>2033</v>
      </c>
      <c r="L38" s="1278"/>
      <c r="M38" s="1278"/>
      <c r="N38" s="1278"/>
      <c r="O38" s="1278"/>
      <c r="P38" s="1278"/>
      <c r="Q38" s="1278"/>
      <c r="R38" s="1278"/>
      <c r="S38" s="1278"/>
      <c r="T38" s="465" cm="1" t="str">
        <f t="array" ref="T38:T38">T37</f>
        <v>false</v>
      </c>
      <c r="U38" s="1278"/>
      <c r="V38" s="1278"/>
      <c r="W38" s="1278"/>
      <c r="X38" s="1563"/>
      <c r="Y38" s="1278"/>
      <c r="Z38" s="1546"/>
      <c r="AA38" s="1278"/>
      <c r="AB38" s="833" t="str">
        <f>K38&amp;" год"</f>
        <v>2033 год</v>
      </c>
      <c r="AC38" s="7974"/>
      <c r="AD38" s="7973">
        <f>_xlfn.IFERROR(_xlfn.SUMIFS(INDEX(Сценарии!$AE$25:$BF$163,,MATCH($K38&amp;"Принято органом регулирования",Сценарии!$AE$8:$BF$8,0)),Сценарии!$F$25:$F$163,$F38,Сценарии!$AC$25:$AC$163,"Индекс эффективности операционных расходов"),0)</f>
        <v>0</v>
      </c>
      <c r="AE38" s="7974"/>
      <c r="AF38" s="7974">
        <f>_xlfn.IFERROR(_xlfn.SUMIFS(INDEX(Баланс!$AE$25:$BB$482,,MATCH($K38&amp;"Принято органом регулирования",Баланс!$AE$8:$BB$8,0)),Баланс!$F$25:$F$482,$F38,Баланс!$AC$24:$AC$482,"Уровень потерь воды"),0)</f>
        <v>0</v>
      </c>
      <c r="AG38" s="7975">
        <f>_xlfn.IFERROR(_xlfn.SUMIFS(INDEX(Electricity_LOAD_1,,MATCH($K38&amp;"Принято органом регулирования",ЭЭ!$AE$8:$BB$8,0)),ЭЭ!$F$25:$F$189,$F38,ЭЭ!$AC$25:$AC$189,"Удельный расход электроэнергии"),0)</f>
        <v>0</v>
      </c>
      <c r="AH38" s="7973">
        <f>_xlfn.IFERROR(_xlfn.SUMIFS(INDEX(Electricity_LOAD_1,,MATCH($K38&amp;"Принято органом регулирования",ЭЭ!$AE$8:$BB$8,0)),ЭЭ!$F$25:$F$189,$F38,ЭЭ!$AC$25:$AC$189,"Удельный расход электроэнергии"),0)</f>
        <v>0</v>
      </c>
      <c r="AI38" s="7973">
        <f>_xlfn.IFERROR(_xlfn.SUMIFS(INDEX(Electricity_LOAD_1,,MATCH($K38&amp;"Принято органом регулирования",ЭЭ!$AE$8:$BB$8,0)),ЭЭ!$F$25:$F$189,$F38,ЭЭ!$AC$25:$AC$189,"Удельный расход электроэнергии"),0)</f>
        <v>0</v>
      </c>
      <c r="AJ38" s="7973">
        <f>_xlfn.IFERROR(_xlfn.SUMIFS(INDEX(Electricity_LOAD_1,,MATCH($K38&amp;"Принято органом регулирования",ЭЭ!$AE$8:$BB$8,0)),ЭЭ!$F$25:$F$189,$F38,ЭЭ!$AC$25:$AC$189,"Удельный расход электроэнергии"),0)</f>
        <v>0</v>
      </c>
      <c r="AK38" s="7973">
        <f>_xlfn.IFERROR(_xlfn.SUMIFS(INDEX(Electricity_LOAD_1,,MATCH($K38&amp;"Принято органом регулирования",ЭЭ!$AE$8:$BB$8,0)),ЭЭ!$F$25:$F$189,$F38,ЭЭ!$AC$25:$AC$189,"Удельный расход электроэнергии"),0)</f>
        <v>0</v>
      </c>
      <c r="AL38" s="403"/>
      <c r="AM38" s="1278" t="s">
        <v>2975</v>
      </c>
      <c r="AN38" s="1278"/>
      <c r="AO38" s="1064" cm="1" t="str">
        <f t="array" ref="AO38:AO38">K38</f>
        <v>2033</v>
      </c>
      <c r="AP38" s="1278"/>
      <c r="AQ38" s="1278"/>
    </row>
    <row s="1278" customFormat="1" customHeight="1" ht="14.625" hidden="1">
      <c r="A39" s="1278"/>
      <c r="B39" s="445">
        <f>K39&lt;first_year+PERIOD_LENGTH</f>
        <v>0</v>
      </c>
      <c r="C39" s="1278"/>
      <c r="D39" s="1278"/>
      <c r="E39" s="703">
        <v>15</v>
      </c>
      <c r="F39" s="50" cm="1" t="str">
        <f t="array" ref="F39:F39">OFFSET(E39,-1,1)</f>
        <v>0</v>
      </c>
      <c r="G39" s="1278"/>
      <c r="H39" s="1278"/>
      <c r="I39" s="1278"/>
      <c r="J39" s="1278"/>
      <c r="K39" s="158">
        <f>first_year+8</f>
        <v>2034</v>
      </c>
      <c r="L39" s="1278"/>
      <c r="M39" s="1278"/>
      <c r="N39" s="1278"/>
      <c r="O39" s="1278"/>
      <c r="P39" s="1278"/>
      <c r="Q39" s="1278"/>
      <c r="R39" s="1278"/>
      <c r="S39" s="1278"/>
      <c r="T39" s="465" cm="1" t="str">
        <f t="array" ref="T39:T39">T38</f>
        <v>false</v>
      </c>
      <c r="U39" s="1278"/>
      <c r="V39" s="1278"/>
      <c r="W39" s="1278"/>
      <c r="X39" s="1563"/>
      <c r="Y39" s="1278"/>
      <c r="Z39" s="1546"/>
      <c r="AA39" s="1278"/>
      <c r="AB39" s="833" t="str">
        <f>K39&amp;" год"</f>
        <v>2034 год</v>
      </c>
      <c r="AC39" s="7974"/>
      <c r="AD39" s="7973">
        <f>_xlfn.IFERROR(_xlfn.SUMIFS(INDEX(Сценарии!$AE$25:$BF$163,,MATCH($K39&amp;"Принято органом регулирования",Сценарии!$AE$8:$BF$8,0)),Сценарии!$F$25:$F$163,$F39,Сценарии!$AC$25:$AC$163,"Индекс эффективности операционных расходов"),0)</f>
        <v>0</v>
      </c>
      <c r="AE39" s="7974"/>
      <c r="AF39" s="7974">
        <f>_xlfn.IFERROR(_xlfn.SUMIFS(INDEX(Баланс!$AE$25:$BB$482,,MATCH($K39&amp;"Принято органом регулирования",Баланс!$AE$8:$BB$8,0)),Баланс!$F$25:$F$482,$F39,Баланс!$AC$24:$AC$482,"Уровень потерь воды"),0)</f>
        <v>0</v>
      </c>
      <c r="AG39" s="7975">
        <f>_xlfn.IFERROR(_xlfn.SUMIFS(INDEX(Electricity_LOAD_1,,MATCH($K39&amp;"Принято органом регулирования",ЭЭ!$AE$8:$BB$8,0)),ЭЭ!$F$25:$F$189,$F39,ЭЭ!$AC$25:$AC$189,"Удельный расход электроэнергии"),0)</f>
        <v>0</v>
      </c>
      <c r="AH39" s="7973">
        <f>_xlfn.IFERROR(_xlfn.SUMIFS(INDEX(Electricity_LOAD_1,,MATCH($K39&amp;"Принято органом регулирования",ЭЭ!$AE$8:$BB$8,0)),ЭЭ!$F$25:$F$189,$F39,ЭЭ!$AC$25:$AC$189,"Удельный расход электроэнергии"),0)</f>
        <v>0</v>
      </c>
      <c r="AI39" s="7973">
        <f>_xlfn.IFERROR(_xlfn.SUMIFS(INDEX(Electricity_LOAD_1,,MATCH($K39&amp;"Принято органом регулирования",ЭЭ!$AE$8:$BB$8,0)),ЭЭ!$F$25:$F$189,$F39,ЭЭ!$AC$25:$AC$189,"Удельный расход электроэнергии"),0)</f>
        <v>0</v>
      </c>
      <c r="AJ39" s="7973">
        <f>_xlfn.IFERROR(_xlfn.SUMIFS(INDEX(Electricity_LOAD_1,,MATCH($K39&amp;"Принято органом регулирования",ЭЭ!$AE$8:$BB$8,0)),ЭЭ!$F$25:$F$189,$F39,ЭЭ!$AC$25:$AC$189,"Удельный расход электроэнергии"),0)</f>
        <v>0</v>
      </c>
      <c r="AK39" s="7973">
        <f>_xlfn.IFERROR(_xlfn.SUMIFS(INDEX(Electricity_LOAD_1,,MATCH($K39&amp;"Принято органом регулирования",ЭЭ!$AE$8:$BB$8,0)),ЭЭ!$F$25:$F$189,$F39,ЭЭ!$AC$25:$AC$189,"Удельный расход электроэнергии"),0)</f>
        <v>0</v>
      </c>
      <c r="AL39" s="403"/>
      <c r="AM39" s="1278" t="s">
        <v>2975</v>
      </c>
      <c r="AN39" s="1278"/>
      <c r="AO39" s="1064" cm="1" t="str">
        <f t="array" ref="AO39:AO39">K39</f>
        <v>2034</v>
      </c>
      <c r="AP39" s="1278"/>
      <c r="AQ39" s="1278"/>
    </row>
    <row s="1278" customFormat="1" customHeight="1" ht="14.625" hidden="1">
      <c r="A40" s="1278"/>
      <c r="B40" s="445">
        <f>K40&lt;first_year+PERIOD_LENGTH</f>
        <v>0</v>
      </c>
      <c r="C40" s="1278"/>
      <c r="D40" s="1278"/>
      <c r="E40" s="703">
        <v>15</v>
      </c>
      <c r="F40" s="50" cm="1" t="str">
        <f t="array" ref="F40:F40">OFFSET(E40,-1,1)</f>
        <v>0</v>
      </c>
      <c r="G40" s="1278"/>
      <c r="H40" s="1278"/>
      <c r="I40" s="1278"/>
      <c r="J40" s="1278"/>
      <c r="K40" s="158">
        <f>first_year+9</f>
        <v>2035</v>
      </c>
      <c r="L40" s="1278"/>
      <c r="M40" s="1278"/>
      <c r="N40" s="1278"/>
      <c r="O40" s="1278"/>
      <c r="P40" s="1278"/>
      <c r="Q40" s="1278"/>
      <c r="R40" s="1278"/>
      <c r="S40" s="1278"/>
      <c r="T40" s="465" cm="1" t="str">
        <f t="array" ref="T40:T40">T39</f>
        <v>false</v>
      </c>
      <c r="U40" s="1278"/>
      <c r="V40" s="1278"/>
      <c r="W40" s="1278"/>
      <c r="X40" s="1563"/>
      <c r="Y40" s="1278"/>
      <c r="Z40" s="1546"/>
      <c r="AA40" s="1278"/>
      <c r="AB40" s="833" t="str">
        <f>K40&amp;" год"</f>
        <v>2035 год</v>
      </c>
      <c r="AC40" s="7974"/>
      <c r="AD40" s="7973">
        <f>_xlfn.IFERROR(_xlfn.SUMIFS(INDEX(Сценарии!$AE$25:$BF$163,,MATCH($K40&amp;"Принято органом регулирования",Сценарии!$AE$8:$BF$8,0)),Сценарии!$F$25:$F$163,$F40,Сценарии!$AC$25:$AC$163,"Индекс эффективности операционных расходов"),0)</f>
        <v>0</v>
      </c>
      <c r="AE40" s="7974"/>
      <c r="AF40" s="7974">
        <f>_xlfn.IFERROR(_xlfn.SUMIFS(INDEX(Баланс!$AE$25:$BB$482,,MATCH($K40&amp;"Принято органом регулирования",Баланс!$AE$8:$BB$8,0)),Баланс!$F$25:$F$482,$F40,Баланс!$AC$24:$AC$482,"Уровень потерь воды"),0)</f>
        <v>0</v>
      </c>
      <c r="AG40" s="7975">
        <f>_xlfn.IFERROR(_xlfn.SUMIFS(INDEX(Electricity_LOAD_1,,MATCH($K40&amp;"Принято органом регулирования",ЭЭ!$AE$8:$BB$8,0)),ЭЭ!$F$25:$F$189,$F40,ЭЭ!$AC$25:$AC$189,"Удельный расход электроэнергии"),0)</f>
        <v>0</v>
      </c>
      <c r="AH40" s="7973">
        <f>_xlfn.IFERROR(_xlfn.SUMIFS(INDEX(Electricity_LOAD_1,,MATCH($K40&amp;"Принято органом регулирования",ЭЭ!$AE$8:$BB$8,0)),ЭЭ!$F$25:$F$189,$F40,ЭЭ!$AC$25:$AC$189,"Удельный расход электроэнергии"),0)</f>
        <v>0</v>
      </c>
      <c r="AI40" s="7973">
        <f>_xlfn.IFERROR(_xlfn.SUMIFS(INDEX(Electricity_LOAD_1,,MATCH($K40&amp;"Принято органом регулирования",ЭЭ!$AE$8:$BB$8,0)),ЭЭ!$F$25:$F$189,$F40,ЭЭ!$AC$25:$AC$189,"Удельный расход электроэнергии"),0)</f>
        <v>0</v>
      </c>
      <c r="AJ40" s="7973">
        <f>_xlfn.IFERROR(_xlfn.SUMIFS(INDEX(Electricity_LOAD_1,,MATCH($K40&amp;"Принято органом регулирования",ЭЭ!$AE$8:$BB$8,0)),ЭЭ!$F$25:$F$189,$F40,ЭЭ!$AC$25:$AC$189,"Удельный расход электроэнергии"),0)</f>
        <v>0</v>
      </c>
      <c r="AK40" s="7973">
        <f>_xlfn.IFERROR(_xlfn.SUMIFS(INDEX(Electricity_LOAD_1,,MATCH($K40&amp;"Принято органом регулирования",ЭЭ!$AE$8:$BB$8,0)),ЭЭ!$F$25:$F$189,$F40,ЭЭ!$AC$25:$AC$189,"Удельный расход электроэнергии"),0)</f>
        <v>0</v>
      </c>
      <c r="AL40" s="403"/>
      <c r="AM40" s="1278" t="s">
        <v>2975</v>
      </c>
      <c r="AN40" s="1278"/>
      <c r="AO40" s="1064" cm="1" t="str">
        <f t="array" ref="AO40:AO40">K40</f>
        <v>2035</v>
      </c>
      <c r="AP40" s="1278"/>
      <c r="AQ40" s="1278"/>
    </row>
    <row s="1278" customFormat="1" customHeight="1" ht="14.625" hidden="1">
      <c r="A41" s="1278"/>
      <c r="B41" s="445">
        <f>K41&lt;first_year+PERIOD_LENGTH</f>
        <v>0</v>
      </c>
      <c r="C41" s="1278"/>
      <c r="D41" s="1278"/>
      <c r="E41" s="703">
        <v>15</v>
      </c>
      <c r="F41" s="50" cm="1" t="str">
        <f t="array" ref="F41:F41">OFFSET(E41,-1,1)</f>
        <v>0</v>
      </c>
      <c r="G41" s="1278"/>
      <c r="H41" s="1278"/>
      <c r="I41" s="1278"/>
      <c r="J41" s="1278"/>
      <c r="K41" s="158">
        <f>first_year+10</f>
        <v>2036</v>
      </c>
      <c r="L41" s="1278"/>
      <c r="M41" s="1278"/>
      <c r="N41" s="1278"/>
      <c r="O41" s="1278"/>
      <c r="P41" s="1278"/>
      <c r="Q41" s="1278"/>
      <c r="R41" s="1278"/>
      <c r="S41" s="1278"/>
      <c r="T41" s="465" cm="1" t="str">
        <f t="array" ref="T41:T41">T40</f>
        <v>false</v>
      </c>
      <c r="U41" s="1278"/>
      <c r="V41" s="1278"/>
      <c r="W41" s="1278"/>
      <c r="X41" s="1563"/>
      <c r="Y41" s="1278"/>
      <c r="Z41" s="1546"/>
      <c r="AA41" s="1278"/>
      <c r="AB41" s="833" t="str">
        <f>K41&amp;" год"</f>
        <v>2036 год</v>
      </c>
      <c r="AC41" s="7974"/>
      <c r="AD41" s="7973"/>
      <c r="AE41" s="7974"/>
      <c r="AF41" s="7974"/>
      <c r="AG41" s="7973"/>
      <c r="AH41" s="7973"/>
      <c r="AI41" s="7973"/>
      <c r="AJ41" s="7973"/>
      <c r="AK41" s="7978"/>
      <c r="AL41" s="403"/>
      <c r="AM41" s="1278"/>
      <c r="AN41" s="1278"/>
      <c r="AO41" s="1064" cm="1" t="str">
        <f t="array" ref="AO41:AO41">K41</f>
        <v>2036</v>
      </c>
      <c r="AP41" s="1278"/>
      <c r="AQ41" s="1278"/>
    </row>
    <row s="1278" customFormat="1" customHeight="1" ht="14.625" hidden="1">
      <c r="A42" s="1278"/>
      <c r="B42" s="445">
        <f>K42&lt;first_year+PERIOD_LENGTH</f>
        <v>0</v>
      </c>
      <c r="C42" s="1278"/>
      <c r="D42" s="1278"/>
      <c r="E42" s="703">
        <v>15</v>
      </c>
      <c r="F42" s="50" cm="1" t="str">
        <f t="array" ref="F42:F42">OFFSET(E42,-1,1)</f>
        <v>0</v>
      </c>
      <c r="G42" s="1278"/>
      <c r="H42" s="1278"/>
      <c r="I42" s="1278"/>
      <c r="J42" s="1278"/>
      <c r="K42" s="158">
        <f>first_year+11</f>
        <v>2037</v>
      </c>
      <c r="L42" s="1278"/>
      <c r="M42" s="1278"/>
      <c r="N42" s="1278"/>
      <c r="O42" s="1278"/>
      <c r="P42" s="1278"/>
      <c r="Q42" s="1278"/>
      <c r="R42" s="1278"/>
      <c r="S42" s="1278"/>
      <c r="T42" s="465" cm="1" t="str">
        <f t="array" ref="T42:T42">T41</f>
        <v>false</v>
      </c>
      <c r="U42" s="1278"/>
      <c r="V42" s="1278"/>
      <c r="W42" s="1278"/>
      <c r="X42" s="1563"/>
      <c r="Y42" s="1278"/>
      <c r="Z42" s="1546"/>
      <c r="AA42" s="1278"/>
      <c r="AB42" s="255" t="str">
        <f>K42&amp;" год"</f>
        <v>2037 год</v>
      </c>
      <c r="AC42" s="7974"/>
      <c r="AD42" s="7980"/>
      <c r="AE42" s="7981"/>
      <c r="AF42" s="7981"/>
      <c r="AG42" s="7980"/>
      <c r="AH42" s="7980"/>
      <c r="AI42" s="7980"/>
      <c r="AJ42" s="7980"/>
      <c r="AK42" s="7982"/>
      <c r="AL42" s="403"/>
      <c r="AM42" s="1278"/>
      <c r="AN42" s="1278"/>
      <c r="AO42" s="1064" cm="1" t="str">
        <f t="array" ref="AO42:AO42">K42</f>
        <v>2037</v>
      </c>
      <c r="AP42" s="1278"/>
      <c r="AQ42" s="1278"/>
    </row>
    <row s="1278" customFormat="1" customHeight="1" ht="14.625" hidden="1">
      <c r="A43" s="1278"/>
      <c r="B43" s="445">
        <f>K43&lt;first_year+PERIOD_LENGTH</f>
        <v>0</v>
      </c>
      <c r="C43" s="1278"/>
      <c r="D43" s="1278"/>
      <c r="E43" s="703">
        <v>15</v>
      </c>
      <c r="F43" s="50" cm="1" t="str">
        <f t="array" ref="F43:F43">OFFSET(E43,-1,1)</f>
        <v>0</v>
      </c>
      <c r="G43" s="1278"/>
      <c r="H43" s="1278"/>
      <c r="I43" s="1278"/>
      <c r="J43" s="1278"/>
      <c r="K43" s="158">
        <f>first_year+12</f>
        <v>2038</v>
      </c>
      <c r="L43" s="1278"/>
      <c r="M43" s="1278"/>
      <c r="N43" s="1278"/>
      <c r="O43" s="1278"/>
      <c r="P43" s="1278"/>
      <c r="Q43" s="1278"/>
      <c r="R43" s="1278"/>
      <c r="S43" s="1278"/>
      <c r="T43" s="465" cm="1" t="str">
        <f t="array" ref="T43:T43">T42</f>
        <v>false</v>
      </c>
      <c r="U43" s="1278"/>
      <c r="V43" s="1278"/>
      <c r="W43" s="1278"/>
      <c r="X43" s="1563"/>
      <c r="Y43" s="1278"/>
      <c r="Z43" s="1546"/>
      <c r="AA43" s="1278"/>
      <c r="AB43" s="255" t="str">
        <f>K43&amp;" год"</f>
        <v>2038 год</v>
      </c>
      <c r="AC43" s="7974"/>
      <c r="AD43" s="7980"/>
      <c r="AE43" s="7981"/>
      <c r="AF43" s="7981"/>
      <c r="AG43" s="7980"/>
      <c r="AH43" s="7980"/>
      <c r="AI43" s="7980"/>
      <c r="AJ43" s="7980"/>
      <c r="AK43" s="7982"/>
      <c r="AL43" s="403"/>
      <c r="AM43" s="1278"/>
      <c r="AN43" s="1278"/>
      <c r="AO43" s="1064" cm="1" t="str">
        <f t="array" ref="AO43:AO43">K43</f>
        <v>2038</v>
      </c>
      <c r="AP43" s="1278"/>
      <c r="AQ43" s="1278"/>
    </row>
    <row s="1278" customFormat="1" customHeight="1" ht="14.625" hidden="1">
      <c r="A44" s="1278"/>
      <c r="B44" s="445">
        <f>K44&lt;first_year+PERIOD_LENGTH</f>
        <v>0</v>
      </c>
      <c r="C44" s="1278"/>
      <c r="D44" s="1278"/>
      <c r="E44" s="703">
        <v>15</v>
      </c>
      <c r="F44" s="50" cm="1" t="str">
        <f t="array" ref="F44:F44">OFFSET(E44,-1,1)</f>
        <v>0</v>
      </c>
      <c r="G44" s="1278"/>
      <c r="H44" s="1278"/>
      <c r="I44" s="1278"/>
      <c r="J44" s="1278"/>
      <c r="K44" s="158">
        <f>first_year+13</f>
        <v>2039</v>
      </c>
      <c r="L44" s="1278"/>
      <c r="M44" s="1278"/>
      <c r="N44" s="1278"/>
      <c r="O44" s="1278"/>
      <c r="P44" s="1278"/>
      <c r="Q44" s="1278"/>
      <c r="R44" s="1278"/>
      <c r="S44" s="1278"/>
      <c r="T44" s="465" cm="1" t="str">
        <f t="array" ref="T44:T44">T43</f>
        <v>false</v>
      </c>
      <c r="U44" s="1278"/>
      <c r="V44" s="1278"/>
      <c r="W44" s="1278"/>
      <c r="X44" s="1563"/>
      <c r="Y44" s="1278"/>
      <c r="Z44" s="1546"/>
      <c r="AA44" s="1278"/>
      <c r="AB44" s="255" t="str">
        <f>K44&amp;" год"</f>
        <v>2039 год</v>
      </c>
      <c r="AC44" s="7974"/>
      <c r="AD44" s="7980"/>
      <c r="AE44" s="7981"/>
      <c r="AF44" s="7981"/>
      <c r="AG44" s="7980"/>
      <c r="AH44" s="7980"/>
      <c r="AI44" s="7980"/>
      <c r="AJ44" s="7980"/>
      <c r="AK44" s="7982"/>
      <c r="AL44" s="403"/>
      <c r="AM44" s="1278"/>
      <c r="AN44" s="1278"/>
      <c r="AO44" s="1064" cm="1" t="str">
        <f t="array" ref="AO44:AO44">K44</f>
        <v>2039</v>
      </c>
      <c r="AP44" s="1278"/>
      <c r="AQ44" s="1278"/>
    </row>
    <row s="1278" customFormat="1" customHeight="1" ht="14.625" hidden="1">
      <c r="A45" s="1278"/>
      <c r="B45" s="445">
        <f>K45&lt;first_year+PERIOD_LENGTH</f>
        <v>0</v>
      </c>
      <c r="C45" s="1278"/>
      <c r="D45" s="1278"/>
      <c r="E45" s="703">
        <v>15</v>
      </c>
      <c r="F45" s="50" cm="1" t="str">
        <f t="array" ref="F45:F45">OFFSET(E45,-1,1)</f>
        <v>0</v>
      </c>
      <c r="G45" s="1278"/>
      <c r="H45" s="1278"/>
      <c r="I45" s="1278"/>
      <c r="J45" s="1278"/>
      <c r="K45" s="158">
        <f>first_year+14</f>
        <v>2040</v>
      </c>
      <c r="L45" s="1278"/>
      <c r="M45" s="1278"/>
      <c r="N45" s="1278"/>
      <c r="O45" s="1278"/>
      <c r="P45" s="1278"/>
      <c r="Q45" s="1278"/>
      <c r="R45" s="1278"/>
      <c r="S45" s="1278"/>
      <c r="T45" s="465" cm="1" t="str">
        <f t="array" ref="T45:T45">T44</f>
        <v>false</v>
      </c>
      <c r="U45" s="1278"/>
      <c r="V45" s="1278"/>
      <c r="W45" s="1278"/>
      <c r="X45" s="1563"/>
      <c r="Y45" s="1278"/>
      <c r="Z45" s="1546"/>
      <c r="AA45" s="1278"/>
      <c r="AB45" s="255" t="str">
        <f>K45&amp;" год"</f>
        <v>2040 год</v>
      </c>
      <c r="AC45" s="7974"/>
      <c r="AD45" s="7980"/>
      <c r="AE45" s="7981"/>
      <c r="AF45" s="7981"/>
      <c r="AG45" s="7980"/>
      <c r="AH45" s="7980"/>
      <c r="AI45" s="7980"/>
      <c r="AJ45" s="7980"/>
      <c r="AK45" s="7982"/>
      <c r="AL45" s="403"/>
      <c r="AM45" s="1278"/>
      <c r="AN45" s="1278"/>
      <c r="AO45" s="1064" cm="1" t="str">
        <f t="array" ref="AO45:AO45">K45</f>
        <v>2040</v>
      </c>
      <c r="AP45" s="1278"/>
      <c r="AQ45" s="1278"/>
    </row>
    <row s="1278" customFormat="1" customHeight="1" ht="14.625" hidden="1">
      <c r="A46" s="1278"/>
      <c r="B46" s="445">
        <f>K46&lt;first_year+PERIOD_LENGTH</f>
        <v>0</v>
      </c>
      <c r="C46" s="1278"/>
      <c r="D46" s="1278"/>
      <c r="E46" s="703">
        <v>15</v>
      </c>
      <c r="F46" s="50" cm="1" t="str">
        <f t="array" ref="F46:F46">OFFSET(E46,-1,1)</f>
        <v>0</v>
      </c>
      <c r="G46" s="1278"/>
      <c r="H46" s="1278"/>
      <c r="I46" s="1278"/>
      <c r="J46" s="1278"/>
      <c r="K46" s="158">
        <f>first_year+15</f>
        <v>2041</v>
      </c>
      <c r="L46" s="1278"/>
      <c r="M46" s="1278"/>
      <c r="N46" s="1278"/>
      <c r="O46" s="1278"/>
      <c r="P46" s="1278"/>
      <c r="Q46" s="1278"/>
      <c r="R46" s="1278"/>
      <c r="S46" s="1278"/>
      <c r="T46" s="465" cm="1" t="str">
        <f t="array" ref="T46:T46">T45</f>
        <v>false</v>
      </c>
      <c r="U46" s="1278"/>
      <c r="V46" s="1278"/>
      <c r="W46" s="1278"/>
      <c r="X46" s="1563"/>
      <c r="Y46" s="1278"/>
      <c r="Z46" s="1546"/>
      <c r="AA46" s="1278"/>
      <c r="AB46" s="255" t="str">
        <f>K46&amp;" год"</f>
        <v>2041 год</v>
      </c>
      <c r="AC46" s="7974"/>
      <c r="AD46" s="7980"/>
      <c r="AE46" s="7981"/>
      <c r="AF46" s="7981"/>
      <c r="AG46" s="7980"/>
      <c r="AH46" s="7980"/>
      <c r="AI46" s="7980"/>
      <c r="AJ46" s="7980"/>
      <c r="AK46" s="7982"/>
      <c r="AL46" s="403"/>
      <c r="AM46" s="1278"/>
      <c r="AN46" s="1278"/>
      <c r="AO46" s="1064" cm="1" t="str">
        <f t="array" ref="AO46:AO46">K46</f>
        <v>2041</v>
      </c>
      <c r="AP46" s="1278"/>
      <c r="AQ46" s="1278"/>
    </row>
    <row s="1278" customFormat="1" customHeight="1" ht="14.625" hidden="1">
      <c r="A47" s="1278"/>
      <c r="B47" s="445">
        <f>K47&lt;first_year+PERIOD_LENGTH</f>
        <v>0</v>
      </c>
      <c r="C47" s="1278"/>
      <c r="D47" s="1278"/>
      <c r="E47" s="703">
        <v>15</v>
      </c>
      <c r="F47" s="50" cm="1" t="str">
        <f t="array" ref="F47:F47">OFFSET(E47,-1,1)</f>
        <v>0</v>
      </c>
      <c r="G47" s="1278"/>
      <c r="H47" s="1278"/>
      <c r="I47" s="1278"/>
      <c r="J47" s="1278"/>
      <c r="K47" s="158">
        <f>first_year+16</f>
        <v>2042</v>
      </c>
      <c r="L47" s="1278"/>
      <c r="M47" s="1278"/>
      <c r="N47" s="1278"/>
      <c r="O47" s="1278"/>
      <c r="P47" s="1278"/>
      <c r="Q47" s="1278"/>
      <c r="R47" s="1278"/>
      <c r="S47" s="1278"/>
      <c r="T47" s="465" cm="1" t="str">
        <f t="array" ref="T47:T47">T46</f>
        <v>false</v>
      </c>
      <c r="U47" s="1278"/>
      <c r="V47" s="1278"/>
      <c r="W47" s="1278"/>
      <c r="X47" s="1563"/>
      <c r="Y47" s="1278"/>
      <c r="Z47" s="1546"/>
      <c r="AA47" s="1278"/>
      <c r="AB47" s="255" t="str">
        <f>K47&amp;" год"</f>
        <v>2042 год</v>
      </c>
      <c r="AC47" s="7974"/>
      <c r="AD47" s="7980"/>
      <c r="AE47" s="7981"/>
      <c r="AF47" s="7981"/>
      <c r="AG47" s="7980"/>
      <c r="AH47" s="7980"/>
      <c r="AI47" s="7980"/>
      <c r="AJ47" s="7980"/>
      <c r="AK47" s="7982"/>
      <c r="AL47" s="403"/>
      <c r="AM47" s="1278"/>
      <c r="AN47" s="1278"/>
      <c r="AO47" s="1064" cm="1" t="str">
        <f t="array" ref="AO47:AO47">K47</f>
        <v>2042</v>
      </c>
      <c r="AP47" s="1278"/>
      <c r="AQ47" s="1278"/>
    </row>
    <row s="1278" customFormat="1" customHeight="1" ht="14.625" hidden="1">
      <c r="A48" s="1278"/>
      <c r="B48" s="445">
        <f>K48&lt;first_year+PERIOD_LENGTH</f>
        <v>0</v>
      </c>
      <c r="C48" s="1278"/>
      <c r="D48" s="1278"/>
      <c r="E48" s="703">
        <v>15</v>
      </c>
      <c r="F48" s="50" cm="1" t="str">
        <f t="array" ref="F48:F48">OFFSET(E48,-1,1)</f>
        <v>0</v>
      </c>
      <c r="G48" s="1278"/>
      <c r="H48" s="1278"/>
      <c r="I48" s="1278"/>
      <c r="J48" s="1278"/>
      <c r="K48" s="158">
        <f>first_year+17</f>
        <v>2043</v>
      </c>
      <c r="L48" s="1278"/>
      <c r="M48" s="1278"/>
      <c r="N48" s="1278"/>
      <c r="O48" s="1278"/>
      <c r="P48" s="1278"/>
      <c r="Q48" s="1278"/>
      <c r="R48" s="1278"/>
      <c r="S48" s="1278"/>
      <c r="T48" s="465" cm="1" t="str">
        <f t="array" ref="T48:T48">T47</f>
        <v>false</v>
      </c>
      <c r="U48" s="1278"/>
      <c r="V48" s="1278"/>
      <c r="W48" s="1278"/>
      <c r="X48" s="1563"/>
      <c r="Y48" s="1278"/>
      <c r="Z48" s="1546"/>
      <c r="AA48" s="1278"/>
      <c r="AB48" s="255" t="str">
        <f>K48&amp;" год"</f>
        <v>2043 год</v>
      </c>
      <c r="AC48" s="7974"/>
      <c r="AD48" s="7980"/>
      <c r="AE48" s="7981"/>
      <c r="AF48" s="7981"/>
      <c r="AG48" s="7980"/>
      <c r="AH48" s="7980"/>
      <c r="AI48" s="7980"/>
      <c r="AJ48" s="7980"/>
      <c r="AK48" s="7982"/>
      <c r="AL48" s="403"/>
      <c r="AM48" s="1278"/>
      <c r="AN48" s="1278"/>
      <c r="AO48" s="1064" cm="1" t="str">
        <f t="array" ref="AO48:AO48">K48</f>
        <v>2043</v>
      </c>
      <c r="AP48" s="1278"/>
      <c r="AQ48" s="1278"/>
    </row>
    <row s="1278" customFormat="1" customHeight="1" ht="14.625" hidden="1">
      <c r="A49" s="1278"/>
      <c r="B49" s="445">
        <f>K49&lt;first_year+PERIOD_LENGTH</f>
        <v>0</v>
      </c>
      <c r="C49" s="1278"/>
      <c r="D49" s="1278"/>
      <c r="E49" s="703">
        <v>15</v>
      </c>
      <c r="F49" s="50" cm="1" t="str">
        <f t="array" ref="F49:F49">OFFSET(E49,-1,1)</f>
        <v>0</v>
      </c>
      <c r="G49" s="1278"/>
      <c r="H49" s="1278"/>
      <c r="I49" s="1278"/>
      <c r="J49" s="1278"/>
      <c r="K49" s="158">
        <f>first_year+18</f>
        <v>2044</v>
      </c>
      <c r="L49" s="1278"/>
      <c r="M49" s="1278"/>
      <c r="N49" s="1278"/>
      <c r="O49" s="1278"/>
      <c r="P49" s="1278"/>
      <c r="Q49" s="1278"/>
      <c r="R49" s="1278"/>
      <c r="S49" s="1278"/>
      <c r="T49" s="465" cm="1" t="str">
        <f t="array" ref="T49:T49">T48</f>
        <v>false</v>
      </c>
      <c r="U49" s="1278"/>
      <c r="V49" s="1278"/>
      <c r="W49" s="1278"/>
      <c r="X49" s="1563"/>
      <c r="Y49" s="1278"/>
      <c r="Z49" s="1546"/>
      <c r="AA49" s="1278"/>
      <c r="AB49" s="255" t="str">
        <f>K49&amp;" год"</f>
        <v>2044 год</v>
      </c>
      <c r="AC49" s="7974"/>
      <c r="AD49" s="7980"/>
      <c r="AE49" s="7981"/>
      <c r="AF49" s="7981"/>
      <c r="AG49" s="7980"/>
      <c r="AH49" s="7980"/>
      <c r="AI49" s="7980"/>
      <c r="AJ49" s="7980"/>
      <c r="AK49" s="7982"/>
      <c r="AL49" s="403"/>
      <c r="AM49" s="1278"/>
      <c r="AN49" s="1278"/>
      <c r="AO49" s="1064" cm="1" t="str">
        <f t="array" ref="AO49:AO49">K49</f>
        <v>2044</v>
      </c>
      <c r="AP49" s="1278"/>
      <c r="AQ49" s="1278"/>
    </row>
    <row s="1278" customFormat="1" customHeight="1" ht="14.625" hidden="1">
      <c r="A50" s="1278"/>
      <c r="B50" s="445">
        <f>K50&lt;first_year+PERIOD_LENGTH</f>
        <v>0</v>
      </c>
      <c r="C50" s="1278"/>
      <c r="D50" s="1278"/>
      <c r="E50" s="703">
        <v>15</v>
      </c>
      <c r="F50" s="50" cm="1" t="str">
        <f t="array" ref="F50:F50">OFFSET(E50,-1,1)</f>
        <v>0</v>
      </c>
      <c r="G50" s="1278"/>
      <c r="H50" s="1278"/>
      <c r="I50" s="1278"/>
      <c r="J50" s="1278"/>
      <c r="K50" s="158">
        <f>first_year+19</f>
        <v>2045</v>
      </c>
      <c r="L50" s="1278"/>
      <c r="M50" s="1278"/>
      <c r="N50" s="1278"/>
      <c r="O50" s="1278"/>
      <c r="P50" s="1278"/>
      <c r="Q50" s="1278"/>
      <c r="R50" s="1278"/>
      <c r="S50" s="1278"/>
      <c r="T50" s="465" cm="1" t="str">
        <f t="array" ref="T50:T50">T49</f>
        <v>false</v>
      </c>
      <c r="U50" s="1278"/>
      <c r="V50" s="1278"/>
      <c r="W50" s="1278"/>
      <c r="X50" s="1563"/>
      <c r="Y50" s="1278"/>
      <c r="Z50" s="1546"/>
      <c r="AA50" s="1278"/>
      <c r="AB50" s="255" t="str">
        <f>K50&amp;" год"</f>
        <v>2045 год</v>
      </c>
      <c r="AC50" s="7974"/>
      <c r="AD50" s="7980"/>
      <c r="AE50" s="7981"/>
      <c r="AF50" s="7981"/>
      <c r="AG50" s="7980"/>
      <c r="AH50" s="7980"/>
      <c r="AI50" s="7980"/>
      <c r="AJ50" s="7980"/>
      <c r="AK50" s="7982"/>
      <c r="AL50" s="403"/>
      <c r="AM50" s="1278"/>
      <c r="AN50" s="1278"/>
      <c r="AO50" s="1064" cm="1" t="str">
        <f t="array" ref="AO50:AO50">K50</f>
        <v>2045</v>
      </c>
      <c r="AP50" s="1278"/>
      <c r="AQ50" s="1278"/>
    </row>
    <row s="1278" customFormat="1" customHeight="1" ht="14.625" hidden="1">
      <c r="A51" s="1278"/>
      <c r="B51" s="445">
        <f>K51&lt;first_year+PERIOD_LENGTH</f>
        <v>0</v>
      </c>
      <c r="C51" s="1278"/>
      <c r="D51" s="1278"/>
      <c r="E51" s="703">
        <v>15</v>
      </c>
      <c r="F51" s="50" cm="1" t="str">
        <f t="array" ref="F51:F51">OFFSET(E51,-1,1)</f>
        <v>0</v>
      </c>
      <c r="G51" s="1278"/>
      <c r="H51" s="1278"/>
      <c r="I51" s="1278"/>
      <c r="J51" s="1278"/>
      <c r="K51" s="158">
        <f>first_year+20</f>
        <v>2046</v>
      </c>
      <c r="L51" s="1278"/>
      <c r="M51" s="1278"/>
      <c r="N51" s="1278"/>
      <c r="O51" s="1278"/>
      <c r="P51" s="1278"/>
      <c r="Q51" s="1278"/>
      <c r="R51" s="1278"/>
      <c r="S51" s="1278"/>
      <c r="T51" s="465" cm="1" t="str">
        <f t="array" ref="T51:T51">T50</f>
        <v>false</v>
      </c>
      <c r="U51" s="1278"/>
      <c r="V51" s="1278"/>
      <c r="W51" s="1278"/>
      <c r="X51" s="1563"/>
      <c r="Y51" s="1278"/>
      <c r="Z51" s="1546"/>
      <c r="AA51" s="1278"/>
      <c r="AB51" s="255" t="str">
        <f>K51&amp;" год"</f>
        <v>2046 год</v>
      </c>
      <c r="AC51" s="7974"/>
      <c r="AD51" s="7980"/>
      <c r="AE51" s="7981"/>
      <c r="AF51" s="7981"/>
      <c r="AG51" s="7980"/>
      <c r="AH51" s="7980"/>
      <c r="AI51" s="7980"/>
      <c r="AJ51" s="7980"/>
      <c r="AK51" s="7982"/>
      <c r="AL51" s="403"/>
      <c r="AM51" s="1278"/>
      <c r="AN51" s="1278"/>
      <c r="AO51" s="1064" cm="1" t="str">
        <f t="array" ref="AO51:AO51">K51</f>
        <v>2046</v>
      </c>
      <c r="AP51" s="1278"/>
      <c r="AQ51" s="1278"/>
    </row>
    <row s="1278" customFormat="1" customHeight="1" ht="14.625" hidden="1">
      <c r="A52" s="1278"/>
      <c r="B52" s="445">
        <f>K52&lt;first_year+PERIOD_LENGTH</f>
        <v>0</v>
      </c>
      <c r="C52" s="1278"/>
      <c r="D52" s="1278"/>
      <c r="E52" s="703">
        <v>15</v>
      </c>
      <c r="F52" s="50" cm="1" t="str">
        <f t="array" ref="F52:F52">OFFSET(E52,-1,1)</f>
        <v>0</v>
      </c>
      <c r="G52" s="1278"/>
      <c r="H52" s="1278"/>
      <c r="I52" s="1278"/>
      <c r="J52" s="1278"/>
      <c r="K52" s="158">
        <f>first_year+21</f>
        <v>2047</v>
      </c>
      <c r="L52" s="1278"/>
      <c r="M52" s="1278"/>
      <c r="N52" s="1278"/>
      <c r="O52" s="1278"/>
      <c r="P52" s="1278"/>
      <c r="Q52" s="1278"/>
      <c r="R52" s="1278"/>
      <c r="S52" s="1278"/>
      <c r="T52" s="465" cm="1" t="str">
        <f t="array" ref="T52:T52">T51</f>
        <v>false</v>
      </c>
      <c r="U52" s="1278"/>
      <c r="V52" s="1278"/>
      <c r="W52" s="1278"/>
      <c r="X52" s="1563"/>
      <c r="Y52" s="1278"/>
      <c r="Z52" s="1546"/>
      <c r="AA52" s="1278"/>
      <c r="AB52" s="255" t="str">
        <f>K52&amp;" год"</f>
        <v>2047 год</v>
      </c>
      <c r="AC52" s="7974"/>
      <c r="AD52" s="7980"/>
      <c r="AE52" s="7981"/>
      <c r="AF52" s="7981"/>
      <c r="AG52" s="7980"/>
      <c r="AH52" s="7980"/>
      <c r="AI52" s="7980"/>
      <c r="AJ52" s="7980"/>
      <c r="AK52" s="7982"/>
      <c r="AL52" s="403"/>
      <c r="AM52" s="1278"/>
      <c r="AN52" s="1278"/>
      <c r="AO52" s="1064" cm="1" t="str">
        <f t="array" ref="AO52:AO52">K52</f>
        <v>2047</v>
      </c>
      <c r="AP52" s="1278"/>
      <c r="AQ52" s="1278"/>
    </row>
    <row s="1278" customFormat="1" customHeight="1" ht="14.625" hidden="1">
      <c r="A53" s="1278"/>
      <c r="B53" s="445">
        <f>K53&lt;first_year+PERIOD_LENGTH</f>
        <v>0</v>
      </c>
      <c r="C53" s="1278"/>
      <c r="D53" s="1278"/>
      <c r="E53" s="703">
        <v>15</v>
      </c>
      <c r="F53" s="50" cm="1" t="str">
        <f t="array" ref="F53:F53">OFFSET(E53,-1,1)</f>
        <v>0</v>
      </c>
      <c r="G53" s="1278"/>
      <c r="H53" s="1278"/>
      <c r="I53" s="1278"/>
      <c r="J53" s="1278"/>
      <c r="K53" s="158">
        <f>first_year+22</f>
        <v>2048</v>
      </c>
      <c r="L53" s="1278"/>
      <c r="M53" s="1278"/>
      <c r="N53" s="1278"/>
      <c r="O53" s="1278"/>
      <c r="P53" s="1278"/>
      <c r="Q53" s="1278"/>
      <c r="R53" s="1278"/>
      <c r="S53" s="1278"/>
      <c r="T53" s="465" cm="1" t="str">
        <f t="array" ref="T53:T53">T52</f>
        <v>false</v>
      </c>
      <c r="U53" s="1278"/>
      <c r="V53" s="1278"/>
      <c r="W53" s="1278"/>
      <c r="X53" s="1563"/>
      <c r="Y53" s="1278"/>
      <c r="Z53" s="1546"/>
      <c r="AA53" s="1278"/>
      <c r="AB53" s="255" t="str">
        <f>K53&amp;" год"</f>
        <v>2048 год</v>
      </c>
      <c r="AC53" s="7974"/>
      <c r="AD53" s="7980"/>
      <c r="AE53" s="7981"/>
      <c r="AF53" s="7981"/>
      <c r="AG53" s="7980"/>
      <c r="AH53" s="7980"/>
      <c r="AI53" s="7980"/>
      <c r="AJ53" s="7980"/>
      <c r="AK53" s="7982"/>
      <c r="AL53" s="403"/>
      <c r="AM53" s="1278"/>
      <c r="AN53" s="1278"/>
      <c r="AO53" s="1064" cm="1" t="str">
        <f t="array" ref="AO53:AO53">K53</f>
        <v>2048</v>
      </c>
      <c r="AP53" s="1278"/>
      <c r="AQ53" s="1278"/>
    </row>
    <row s="1278" customFormat="1" customHeight="1" ht="14.625" hidden="1">
      <c r="A54" s="1278"/>
      <c r="B54" s="445">
        <f>K54&lt;first_year+PERIOD_LENGTH</f>
        <v>0</v>
      </c>
      <c r="C54" s="1278"/>
      <c r="D54" s="1278"/>
      <c r="E54" s="703">
        <v>15</v>
      </c>
      <c r="F54" s="50" cm="1" t="str">
        <f t="array" ref="F54:F54">OFFSET(E54,-1,1)</f>
        <v>0</v>
      </c>
      <c r="G54" s="1278"/>
      <c r="H54" s="1278"/>
      <c r="I54" s="1278"/>
      <c r="J54" s="1278"/>
      <c r="K54" s="158">
        <f>first_year+23</f>
        <v>2049</v>
      </c>
      <c r="L54" s="1278"/>
      <c r="M54" s="1278"/>
      <c r="N54" s="1278"/>
      <c r="O54" s="1278"/>
      <c r="P54" s="1278"/>
      <c r="Q54" s="1278"/>
      <c r="R54" s="1278"/>
      <c r="S54" s="1278"/>
      <c r="T54" s="465" cm="1" t="str">
        <f t="array" ref="T54:T54">T53</f>
        <v>false</v>
      </c>
      <c r="U54" s="1278"/>
      <c r="V54" s="1278"/>
      <c r="W54" s="1278"/>
      <c r="X54" s="1563"/>
      <c r="Y54" s="1278"/>
      <c r="Z54" s="1546"/>
      <c r="AA54" s="1278"/>
      <c r="AB54" s="255" t="str">
        <f>K54&amp;" год"</f>
        <v>2049 год</v>
      </c>
      <c r="AC54" s="7974"/>
      <c r="AD54" s="7980"/>
      <c r="AE54" s="7981"/>
      <c r="AF54" s="7981"/>
      <c r="AG54" s="7980"/>
      <c r="AH54" s="7980"/>
      <c r="AI54" s="7980"/>
      <c r="AJ54" s="7980"/>
      <c r="AK54" s="7982"/>
      <c r="AL54" s="403"/>
      <c r="AM54" s="1278"/>
      <c r="AN54" s="1278"/>
      <c r="AO54" s="1064" cm="1" t="str">
        <f t="array" ref="AO54:AO54">K54</f>
        <v>2049</v>
      </c>
      <c r="AP54" s="1278"/>
      <c r="AQ54" s="1278"/>
    </row>
    <row s="1278" customFormat="1" customHeight="1" ht="14.625" hidden="1">
      <c r="A55" s="1278"/>
      <c r="B55" s="445">
        <f>K55&lt;first_year+PERIOD_LENGTH</f>
        <v>0</v>
      </c>
      <c r="C55" s="1278"/>
      <c r="D55" s="1278"/>
      <c r="E55" s="703">
        <v>15</v>
      </c>
      <c r="F55" s="50" cm="1" t="str">
        <f t="array" ref="F55:F55">OFFSET(E55,-1,1)</f>
        <v>0</v>
      </c>
      <c r="G55" s="1278"/>
      <c r="H55" s="1278"/>
      <c r="I55" s="1278"/>
      <c r="J55" s="1278"/>
      <c r="K55" s="158">
        <f>first_year+24</f>
        <v>2050</v>
      </c>
      <c r="L55" s="1278"/>
      <c r="M55" s="1278"/>
      <c r="N55" s="1278"/>
      <c r="O55" s="1278"/>
      <c r="P55" s="1278"/>
      <c r="Q55" s="1278"/>
      <c r="R55" s="1278"/>
      <c r="S55" s="1278"/>
      <c r="T55" s="465" cm="1" t="str">
        <f t="array" ref="T55:T55">T54</f>
        <v>false</v>
      </c>
      <c r="U55" s="1278"/>
      <c r="V55" s="1278"/>
      <c r="W55" s="1278"/>
      <c r="X55" s="1563"/>
      <c r="Y55" s="1278"/>
      <c r="Z55" s="1546"/>
      <c r="AA55" s="1278"/>
      <c r="AB55" s="255" t="str">
        <f>K55&amp;" год"</f>
        <v>2050 год</v>
      </c>
      <c r="AC55" s="7974"/>
      <c r="AD55" s="7980"/>
      <c r="AE55" s="7981"/>
      <c r="AF55" s="7981"/>
      <c r="AG55" s="7980"/>
      <c r="AH55" s="7980"/>
      <c r="AI55" s="7980"/>
      <c r="AJ55" s="7980"/>
      <c r="AK55" s="7982"/>
      <c r="AL55" s="403"/>
      <c r="AM55" s="1278"/>
      <c r="AN55" s="1278"/>
      <c r="AO55" s="1064" cm="1" t="str">
        <f t="array" ref="AO55:AO55">K55</f>
        <v>2050</v>
      </c>
      <c r="AP55" s="1278"/>
      <c r="AQ55" s="1278"/>
    </row>
    <row s="1278" customFormat="1" customHeight="1" ht="14.625" hidden="1">
      <c r="A56" s="1278"/>
      <c r="B56" s="445">
        <f>K56&lt;first_year+PERIOD_LENGTH</f>
        <v>0</v>
      </c>
      <c r="C56" s="1278"/>
      <c r="D56" s="1278"/>
      <c r="E56" s="703">
        <v>15</v>
      </c>
      <c r="F56" s="50" cm="1" t="str">
        <f t="array" ref="F56:F56">OFFSET(E56,-1,1)</f>
        <v>0</v>
      </c>
      <c r="G56" s="1278"/>
      <c r="H56" s="1278"/>
      <c r="I56" s="1278"/>
      <c r="J56" s="1278"/>
      <c r="K56" s="158">
        <f>first_year+25</f>
        <v>2051</v>
      </c>
      <c r="L56" s="1278"/>
      <c r="M56" s="1278"/>
      <c r="N56" s="1278"/>
      <c r="O56" s="1278"/>
      <c r="P56" s="1278"/>
      <c r="Q56" s="1278"/>
      <c r="R56" s="1278"/>
      <c r="S56" s="1278"/>
      <c r="T56" s="465" cm="1" t="str">
        <f t="array" ref="T56:T56">T55</f>
        <v>false</v>
      </c>
      <c r="U56" s="1278"/>
      <c r="V56" s="1278"/>
      <c r="W56" s="1278"/>
      <c r="X56" s="1563"/>
      <c r="Y56" s="1278"/>
      <c r="Z56" s="1546"/>
      <c r="AA56" s="1278"/>
      <c r="AB56" s="255" t="str">
        <f>K56&amp;" год"</f>
        <v>2051 год</v>
      </c>
      <c r="AC56" s="7974"/>
      <c r="AD56" s="7980"/>
      <c r="AE56" s="7981"/>
      <c r="AF56" s="7981"/>
      <c r="AG56" s="7980"/>
      <c r="AH56" s="7980"/>
      <c r="AI56" s="7980"/>
      <c r="AJ56" s="7980"/>
      <c r="AK56" s="7982"/>
      <c r="AL56" s="403"/>
      <c r="AM56" s="1278"/>
      <c r="AN56" s="1278"/>
      <c r="AO56" s="1064" cm="1" t="str">
        <f t="array" ref="AO56:AO56">K56</f>
        <v>2051</v>
      </c>
      <c r="AP56" s="1278"/>
      <c r="AQ56" s="1278"/>
    </row>
    <row s="1278" customFormat="1" customHeight="1" ht="14.625" hidden="1">
      <c r="A57" s="1278"/>
      <c r="B57" s="445">
        <f>K57&lt;first_year+PERIOD_LENGTH</f>
        <v>0</v>
      </c>
      <c r="C57" s="1278"/>
      <c r="D57" s="1278"/>
      <c r="E57" s="703">
        <v>15</v>
      </c>
      <c r="F57" s="50" cm="1" t="str">
        <f t="array" ref="F57:F57">OFFSET(E57,-1,1)</f>
        <v>0</v>
      </c>
      <c r="G57" s="1278"/>
      <c r="H57" s="1278"/>
      <c r="I57" s="1278"/>
      <c r="J57" s="1278"/>
      <c r="K57" s="158">
        <f>first_year+26</f>
        <v>2052</v>
      </c>
      <c r="L57" s="1278"/>
      <c r="M57" s="1278"/>
      <c r="N57" s="1278"/>
      <c r="O57" s="1278"/>
      <c r="P57" s="1278"/>
      <c r="Q57" s="1278"/>
      <c r="R57" s="1278"/>
      <c r="S57" s="1278"/>
      <c r="T57" s="465" cm="1" t="str">
        <f t="array" ref="T57:T57">T56</f>
        <v>false</v>
      </c>
      <c r="U57" s="1278"/>
      <c r="V57" s="1278"/>
      <c r="W57" s="1278"/>
      <c r="X57" s="1563"/>
      <c r="Y57" s="1278"/>
      <c r="Z57" s="1546"/>
      <c r="AA57" s="1278"/>
      <c r="AB57" s="255" t="str">
        <f>K57&amp;" год"</f>
        <v>2052 год</v>
      </c>
      <c r="AC57" s="7974"/>
      <c r="AD57" s="7980"/>
      <c r="AE57" s="7981"/>
      <c r="AF57" s="7981"/>
      <c r="AG57" s="7980"/>
      <c r="AH57" s="7980"/>
      <c r="AI57" s="7980"/>
      <c r="AJ57" s="7980"/>
      <c r="AK57" s="7982"/>
      <c r="AL57" s="403"/>
      <c r="AM57" s="1278"/>
      <c r="AN57" s="1278"/>
      <c r="AO57" s="1064" cm="1" t="str">
        <f t="array" ref="AO57:AO57">K57</f>
        <v>2052</v>
      </c>
      <c r="AP57" s="1278"/>
      <c r="AQ57" s="1278"/>
    </row>
    <row s="1278" customFormat="1" customHeight="1" ht="14.625" hidden="1">
      <c r="A58" s="1278"/>
      <c r="B58" s="445">
        <f>K58&lt;first_year+PERIOD_LENGTH</f>
        <v>0</v>
      </c>
      <c r="C58" s="1278"/>
      <c r="D58" s="1278"/>
      <c r="E58" s="703">
        <v>15</v>
      </c>
      <c r="F58" s="50" cm="1" t="str">
        <f t="array" ref="F58:F58">OFFSET(E58,-1,1)</f>
        <v>0</v>
      </c>
      <c r="G58" s="1278"/>
      <c r="H58" s="1278"/>
      <c r="I58" s="1278"/>
      <c r="J58" s="1278"/>
      <c r="K58" s="158">
        <f>first_year+27</f>
        <v>2053</v>
      </c>
      <c r="L58" s="1278"/>
      <c r="M58" s="1278"/>
      <c r="N58" s="1278"/>
      <c r="O58" s="1278"/>
      <c r="P58" s="1278"/>
      <c r="Q58" s="1278"/>
      <c r="R58" s="1278"/>
      <c r="S58" s="1278"/>
      <c r="T58" s="465" cm="1" t="str">
        <f t="array" ref="T58:T58">T57</f>
        <v>false</v>
      </c>
      <c r="U58" s="1278"/>
      <c r="V58" s="1278"/>
      <c r="W58" s="1278"/>
      <c r="X58" s="1563"/>
      <c r="Y58" s="1278"/>
      <c r="Z58" s="1546"/>
      <c r="AA58" s="1278"/>
      <c r="AB58" s="255" t="str">
        <f>K58&amp;" год"</f>
        <v>2053 год</v>
      </c>
      <c r="AC58" s="7974"/>
      <c r="AD58" s="7980"/>
      <c r="AE58" s="7981"/>
      <c r="AF58" s="7981"/>
      <c r="AG58" s="7980"/>
      <c r="AH58" s="7980"/>
      <c r="AI58" s="7980"/>
      <c r="AJ58" s="7980"/>
      <c r="AK58" s="7982"/>
      <c r="AL58" s="403"/>
      <c r="AM58" s="1278"/>
      <c r="AN58" s="1278"/>
      <c r="AO58" s="1064" cm="1" t="str">
        <f t="array" ref="AO58:AO58">K58</f>
        <v>2053</v>
      </c>
      <c r="AP58" s="1278"/>
      <c r="AQ58" s="1278"/>
    </row>
    <row s="1278" customFormat="1" customHeight="1" ht="14.625" hidden="1">
      <c r="A59" s="1278"/>
      <c r="B59" s="445">
        <f>K59&lt;first_year+PERIOD_LENGTH</f>
        <v>0</v>
      </c>
      <c r="C59" s="1278"/>
      <c r="D59" s="1278"/>
      <c r="E59" s="703">
        <v>15</v>
      </c>
      <c r="F59" s="50" cm="1" t="str">
        <f t="array" ref="F59:F59">OFFSET(E59,-1,1)</f>
        <v>0</v>
      </c>
      <c r="G59" s="1278"/>
      <c r="H59" s="1278"/>
      <c r="I59" s="1278"/>
      <c r="J59" s="1278"/>
      <c r="K59" s="158">
        <f>first_year+28</f>
        <v>2054</v>
      </c>
      <c r="L59" s="1278"/>
      <c r="M59" s="1278"/>
      <c r="N59" s="1278"/>
      <c r="O59" s="1278"/>
      <c r="P59" s="1278"/>
      <c r="Q59" s="1278"/>
      <c r="R59" s="1278"/>
      <c r="S59" s="1278"/>
      <c r="T59" s="465" cm="1" t="str">
        <f t="array" ref="T59:T59">T58</f>
        <v>false</v>
      </c>
      <c r="U59" s="1278"/>
      <c r="V59" s="1278"/>
      <c r="W59" s="1278"/>
      <c r="X59" s="1563"/>
      <c r="Y59" s="1278"/>
      <c r="Z59" s="1546"/>
      <c r="AA59" s="1278"/>
      <c r="AB59" s="255" t="str">
        <f>K59&amp;" год"</f>
        <v>2054 год</v>
      </c>
      <c r="AC59" s="7974"/>
      <c r="AD59" s="7980"/>
      <c r="AE59" s="7981"/>
      <c r="AF59" s="7981"/>
      <c r="AG59" s="7980"/>
      <c r="AH59" s="7980"/>
      <c r="AI59" s="7980"/>
      <c r="AJ59" s="7980"/>
      <c r="AK59" s="7982"/>
      <c r="AL59" s="403"/>
      <c r="AM59" s="1278"/>
      <c r="AN59" s="1278"/>
      <c r="AO59" s="1064" cm="1" t="str">
        <f t="array" ref="AO59:AO59">K59</f>
        <v>2054</v>
      </c>
      <c r="AP59" s="1278"/>
      <c r="AQ59" s="1278"/>
    </row>
    <row s="1278" customFormat="1" customHeight="1" ht="14.625" hidden="1">
      <c r="A60" s="1278"/>
      <c r="B60" s="445">
        <f>K60&lt;first_year+PERIOD_LENGTH</f>
        <v>0</v>
      </c>
      <c r="C60" s="1278"/>
      <c r="D60" s="1278"/>
      <c r="E60" s="703">
        <v>15</v>
      </c>
      <c r="F60" s="50" cm="1" t="str">
        <f t="array" ref="F60:F60">OFFSET(E60,-1,1)</f>
        <v>0</v>
      </c>
      <c r="G60" s="1278"/>
      <c r="H60" s="1278"/>
      <c r="I60" s="1278"/>
      <c r="J60" s="1278"/>
      <c r="K60" s="158">
        <f>first_year+29</f>
        <v>2055</v>
      </c>
      <c r="L60" s="1278"/>
      <c r="M60" s="1278"/>
      <c r="N60" s="1278"/>
      <c r="O60" s="1278"/>
      <c r="P60" s="1278"/>
      <c r="Q60" s="1278"/>
      <c r="R60" s="1278"/>
      <c r="S60" s="1278"/>
      <c r="T60" s="465" cm="1" t="str">
        <f t="array" ref="T60:T60">T59</f>
        <v>false</v>
      </c>
      <c r="U60" s="1278"/>
      <c r="V60" s="1278"/>
      <c r="W60" s="1278"/>
      <c r="X60" s="1563"/>
      <c r="Y60" s="1278"/>
      <c r="Z60" s="1546"/>
      <c r="AA60" s="1278"/>
      <c r="AB60" s="255" t="str">
        <f>K60&amp;" год"</f>
        <v>2055 год</v>
      </c>
      <c r="AC60" s="7974"/>
      <c r="AD60" s="7980"/>
      <c r="AE60" s="7981"/>
      <c r="AF60" s="7981"/>
      <c r="AG60" s="7980"/>
      <c r="AH60" s="7980"/>
      <c r="AI60" s="7980"/>
      <c r="AJ60" s="7980"/>
      <c r="AK60" s="7982"/>
      <c r="AL60" s="403"/>
      <c r="AM60" s="1278"/>
      <c r="AN60" s="1278"/>
      <c r="AO60" s="1064" cm="1" t="str">
        <f t="array" ref="AO60:AO60">K60</f>
        <v>2055</v>
      </c>
      <c r="AP60" s="1278"/>
      <c r="AQ60" s="1278"/>
    </row>
    <row s="1278" customFormat="1" customHeight="1" ht="14.625" hidden="1">
      <c r="A61" s="1278"/>
      <c r="B61" s="445">
        <f>K61&lt;first_year+PERIOD_LENGTH</f>
        <v>0</v>
      </c>
      <c r="C61" s="1278"/>
      <c r="D61" s="1278"/>
      <c r="E61" s="703">
        <v>15</v>
      </c>
      <c r="F61" s="50" cm="1" t="str">
        <f t="array" ref="F61:F61">OFFSET(E61,-1,1)</f>
        <v>0</v>
      </c>
      <c r="G61" s="1278"/>
      <c r="H61" s="1278"/>
      <c r="I61" s="1278"/>
      <c r="J61" s="1278"/>
      <c r="K61" s="158">
        <f>first_year+30</f>
        <v>2056</v>
      </c>
      <c r="L61" s="1278"/>
      <c r="M61" s="1278"/>
      <c r="N61" s="1278"/>
      <c r="O61" s="1278"/>
      <c r="P61" s="1278"/>
      <c r="Q61" s="1278"/>
      <c r="R61" s="1278"/>
      <c r="S61" s="1278"/>
      <c r="T61" s="465" cm="1" t="str">
        <f t="array" ref="T61:T61">T60</f>
        <v>false</v>
      </c>
      <c r="U61" s="1278"/>
      <c r="V61" s="1278"/>
      <c r="W61" s="1278"/>
      <c r="X61" s="1563"/>
      <c r="Y61" s="1278"/>
      <c r="Z61" s="1546"/>
      <c r="AA61" s="1278"/>
      <c r="AB61" s="255" t="str">
        <f>K61&amp;" год"</f>
        <v>2056 год</v>
      </c>
      <c r="AC61" s="7974"/>
      <c r="AD61" s="7980"/>
      <c r="AE61" s="7981"/>
      <c r="AF61" s="7981"/>
      <c r="AG61" s="7980"/>
      <c r="AH61" s="7980"/>
      <c r="AI61" s="7980"/>
      <c r="AJ61" s="7980"/>
      <c r="AK61" s="7982"/>
      <c r="AL61" s="403"/>
      <c r="AM61" s="1278"/>
      <c r="AN61" s="1278"/>
      <c r="AO61" s="1064" cm="1" t="str">
        <f t="array" ref="AO61:AO61">K61</f>
        <v>2056</v>
      </c>
      <c r="AP61" s="1278"/>
      <c r="AQ61" s="1278"/>
    </row>
    <row s="1278" customFormat="1" customHeight="1" ht="14.625" hidden="1">
      <c r="A62" s="1278"/>
      <c r="B62" s="445">
        <f>K62&lt;first_year+PERIOD_LENGTH</f>
        <v>0</v>
      </c>
      <c r="C62" s="1278"/>
      <c r="D62" s="1278"/>
      <c r="E62" s="703">
        <v>15</v>
      </c>
      <c r="F62" s="50" cm="1" t="str">
        <f t="array" ref="F62:F62">OFFSET(E62,-1,1)</f>
        <v>0</v>
      </c>
      <c r="G62" s="1278"/>
      <c r="H62" s="1278"/>
      <c r="I62" s="1278"/>
      <c r="J62" s="1278"/>
      <c r="K62" s="158">
        <f>first_year+31</f>
        <v>2057</v>
      </c>
      <c r="L62" s="1278"/>
      <c r="M62" s="1278"/>
      <c r="N62" s="1278"/>
      <c r="O62" s="1278"/>
      <c r="P62" s="1278"/>
      <c r="Q62" s="1278"/>
      <c r="R62" s="1278"/>
      <c r="S62" s="1278"/>
      <c r="T62" s="465" cm="1" t="str">
        <f t="array" ref="T62:T62">T61</f>
        <v>false</v>
      </c>
      <c r="U62" s="1278"/>
      <c r="V62" s="1278"/>
      <c r="W62" s="1278"/>
      <c r="X62" s="1563"/>
      <c r="Y62" s="1278"/>
      <c r="Z62" s="1546"/>
      <c r="AA62" s="1278"/>
      <c r="AB62" s="255" t="str">
        <f>K62&amp;" год"</f>
        <v>2057 год</v>
      </c>
      <c r="AC62" s="7974"/>
      <c r="AD62" s="7980"/>
      <c r="AE62" s="7981"/>
      <c r="AF62" s="7981"/>
      <c r="AG62" s="7980"/>
      <c r="AH62" s="7980"/>
      <c r="AI62" s="7980"/>
      <c r="AJ62" s="7980"/>
      <c r="AK62" s="7982"/>
      <c r="AL62" s="403"/>
      <c r="AM62" s="1278"/>
      <c r="AN62" s="1278"/>
      <c r="AO62" s="1064" cm="1" t="str">
        <f t="array" ref="AO62:AO62">K62</f>
        <v>2057</v>
      </c>
      <c r="AP62" s="1278"/>
      <c r="AQ62" s="1278"/>
    </row>
    <row s="1278" customFormat="1" customHeight="1" ht="14.625" hidden="1">
      <c r="A63" s="1278"/>
      <c r="B63" s="445">
        <f>K63&lt;first_year+PERIOD_LENGTH</f>
        <v>0</v>
      </c>
      <c r="C63" s="1278"/>
      <c r="D63" s="1278"/>
      <c r="E63" s="703">
        <v>15</v>
      </c>
      <c r="F63" s="50" cm="1" t="str">
        <f t="array" ref="F63:F63">OFFSET(E63,-1,1)</f>
        <v>0</v>
      </c>
      <c r="G63" s="1278"/>
      <c r="H63" s="1278"/>
      <c r="I63" s="1278"/>
      <c r="J63" s="1278"/>
      <c r="K63" s="158">
        <f>first_year+32</f>
        <v>2058</v>
      </c>
      <c r="L63" s="1278"/>
      <c r="M63" s="1278"/>
      <c r="N63" s="1278"/>
      <c r="O63" s="1278"/>
      <c r="P63" s="1278"/>
      <c r="Q63" s="1278"/>
      <c r="R63" s="1278"/>
      <c r="S63" s="1278"/>
      <c r="T63" s="465" cm="1" t="str">
        <f t="array" ref="T63:T63">T62</f>
        <v>false</v>
      </c>
      <c r="U63" s="1278"/>
      <c r="V63" s="1278"/>
      <c r="W63" s="1278"/>
      <c r="X63" s="1563"/>
      <c r="Y63" s="1278"/>
      <c r="Z63" s="1546"/>
      <c r="AA63" s="1278"/>
      <c r="AB63" s="255" t="str">
        <f>K63&amp;" год"</f>
        <v>2058 год</v>
      </c>
      <c r="AC63" s="7974"/>
      <c r="AD63" s="7980"/>
      <c r="AE63" s="7981"/>
      <c r="AF63" s="7981"/>
      <c r="AG63" s="7980"/>
      <c r="AH63" s="7980"/>
      <c r="AI63" s="7980"/>
      <c r="AJ63" s="7980"/>
      <c r="AK63" s="7982"/>
      <c r="AL63" s="403"/>
      <c r="AM63" s="1278"/>
      <c r="AN63" s="1278"/>
      <c r="AO63" s="1064" cm="1" t="str">
        <f t="array" ref="AO63:AO63">K63</f>
        <v>2058</v>
      </c>
      <c r="AP63" s="1278"/>
      <c r="AQ63" s="1278"/>
    </row>
    <row s="1278" customFormat="1" customHeight="1" ht="14.625" hidden="1">
      <c r="A64" s="1278"/>
      <c r="B64" s="445">
        <f>K64&lt;first_year+PERIOD_LENGTH</f>
        <v>0</v>
      </c>
      <c r="C64" s="1278"/>
      <c r="D64" s="1278"/>
      <c r="E64" s="703">
        <v>15</v>
      </c>
      <c r="F64" s="50" cm="1" t="str">
        <f t="array" ref="F64:F64">OFFSET(E64,-1,1)</f>
        <v>0</v>
      </c>
      <c r="G64" s="1278"/>
      <c r="H64" s="1278"/>
      <c r="I64" s="1278"/>
      <c r="J64" s="1278"/>
      <c r="K64" s="158">
        <f>first_year+33</f>
        <v>2059</v>
      </c>
      <c r="L64" s="1278"/>
      <c r="M64" s="1278"/>
      <c r="N64" s="1278"/>
      <c r="O64" s="1278"/>
      <c r="P64" s="1278"/>
      <c r="Q64" s="1278"/>
      <c r="R64" s="1278"/>
      <c r="S64" s="1278"/>
      <c r="T64" s="465" cm="1" t="str">
        <f t="array" ref="T64:T64">T63</f>
        <v>false</v>
      </c>
      <c r="U64" s="1278"/>
      <c r="V64" s="1278"/>
      <c r="W64" s="1278"/>
      <c r="X64" s="1563"/>
      <c r="Y64" s="1278"/>
      <c r="Z64" s="1546"/>
      <c r="AA64" s="1278"/>
      <c r="AB64" s="255" t="str">
        <f>K64&amp;" год"</f>
        <v>2059 год</v>
      </c>
      <c r="AC64" s="7974"/>
      <c r="AD64" s="7980"/>
      <c r="AE64" s="7981"/>
      <c r="AF64" s="7981"/>
      <c r="AG64" s="7980"/>
      <c r="AH64" s="7980"/>
      <c r="AI64" s="7980"/>
      <c r="AJ64" s="7980"/>
      <c r="AK64" s="7982"/>
      <c r="AL64" s="403"/>
      <c r="AM64" s="1278"/>
      <c r="AN64" s="1278"/>
      <c r="AO64" s="1064" cm="1" t="str">
        <f t="array" ref="AO64:AO64">K64</f>
        <v>2059</v>
      </c>
      <c r="AP64" s="1278"/>
      <c r="AQ64" s="1278"/>
    </row>
    <row s="1278" customFormat="1" customHeight="1" ht="14.625" hidden="1">
      <c r="A65" s="1278"/>
      <c r="B65" s="445">
        <f>K65&lt;first_year+PERIOD_LENGTH</f>
        <v>0</v>
      </c>
      <c r="C65" s="1278"/>
      <c r="D65" s="1278"/>
      <c r="E65" s="703">
        <v>15</v>
      </c>
      <c r="F65" s="50" cm="1" t="str">
        <f t="array" ref="F65:F65">OFFSET(E65,-1,1)</f>
        <v>0</v>
      </c>
      <c r="G65" s="1278"/>
      <c r="H65" s="1278"/>
      <c r="I65" s="1278"/>
      <c r="J65" s="1278"/>
      <c r="K65" s="158">
        <f>first_year+34</f>
        <v>2060</v>
      </c>
      <c r="L65" s="1278"/>
      <c r="M65" s="1278"/>
      <c r="N65" s="1278"/>
      <c r="O65" s="1278"/>
      <c r="P65" s="1278"/>
      <c r="Q65" s="1278"/>
      <c r="R65" s="1278"/>
      <c r="S65" s="1278"/>
      <c r="T65" s="465" cm="1" t="str">
        <f t="array" ref="T65:T65">T64</f>
        <v>false</v>
      </c>
      <c r="U65" s="1278"/>
      <c r="V65" s="1278"/>
      <c r="W65" s="1278"/>
      <c r="X65" s="1563"/>
      <c r="Y65" s="1278"/>
      <c r="Z65" s="1546"/>
      <c r="AA65" s="1278"/>
      <c r="AB65" s="255" t="str">
        <f>K65&amp;" год"</f>
        <v>2060 год</v>
      </c>
      <c r="AC65" s="7974"/>
      <c r="AD65" s="7980"/>
      <c r="AE65" s="7981"/>
      <c r="AF65" s="7981"/>
      <c r="AG65" s="7980"/>
      <c r="AH65" s="7980"/>
      <c r="AI65" s="7980"/>
      <c r="AJ65" s="7980"/>
      <c r="AK65" s="7982"/>
      <c r="AL65" s="403"/>
      <c r="AM65" s="1278"/>
      <c r="AN65" s="1278"/>
      <c r="AO65" s="1064" cm="1" t="str">
        <f t="array" ref="AO65:AO65">K65</f>
        <v>2060</v>
      </c>
      <c r="AP65" s="1278"/>
      <c r="AQ65" s="1278"/>
    </row>
    <row s="1278" customFormat="1" customHeight="1" ht="14.625" hidden="1">
      <c r="A66" s="1278"/>
      <c r="B66" s="445">
        <f>K66&lt;first_year+PERIOD_LENGTH</f>
        <v>0</v>
      </c>
      <c r="C66" s="1278"/>
      <c r="D66" s="1278"/>
      <c r="E66" s="703">
        <v>15</v>
      </c>
      <c r="F66" s="50" cm="1" t="str">
        <f t="array" ref="F66:F66">OFFSET(E66,-1,1)</f>
        <v>0</v>
      </c>
      <c r="G66" s="1278"/>
      <c r="H66" s="1278"/>
      <c r="I66" s="1278"/>
      <c r="J66" s="1278"/>
      <c r="K66" s="158">
        <f>first_year+35</f>
        <v>2061</v>
      </c>
      <c r="L66" s="1278"/>
      <c r="M66" s="1278"/>
      <c r="N66" s="1278"/>
      <c r="O66" s="1278"/>
      <c r="P66" s="1278"/>
      <c r="Q66" s="1278"/>
      <c r="R66" s="1278"/>
      <c r="S66" s="1278"/>
      <c r="T66" s="465" cm="1" t="str">
        <f t="array" ref="T66:T66">T65</f>
        <v>false</v>
      </c>
      <c r="U66" s="1278"/>
      <c r="V66" s="1278"/>
      <c r="W66" s="1278"/>
      <c r="X66" s="1563"/>
      <c r="Y66" s="1278"/>
      <c r="Z66" s="1546"/>
      <c r="AA66" s="1278"/>
      <c r="AB66" s="255" t="str">
        <f>K66&amp;" год"</f>
        <v>2061 год</v>
      </c>
      <c r="AC66" s="7974"/>
      <c r="AD66" s="7980"/>
      <c r="AE66" s="7981"/>
      <c r="AF66" s="7981"/>
      <c r="AG66" s="7980"/>
      <c r="AH66" s="7980"/>
      <c r="AI66" s="7980"/>
      <c r="AJ66" s="7980"/>
      <c r="AK66" s="7982"/>
      <c r="AL66" s="403"/>
      <c r="AM66" s="1278"/>
      <c r="AN66" s="1278"/>
      <c r="AO66" s="1064" cm="1" t="str">
        <f t="array" ref="AO66:AO66">K66</f>
        <v>2061</v>
      </c>
      <c r="AP66" s="1278"/>
      <c r="AQ66" s="1278"/>
    </row>
    <row s="1278" customFormat="1" customHeight="1" ht="14.625" hidden="1">
      <c r="A67" s="1278"/>
      <c r="B67" s="445">
        <f>K67&lt;first_year+PERIOD_LENGTH</f>
        <v>0</v>
      </c>
      <c r="C67" s="1278"/>
      <c r="D67" s="1278"/>
      <c r="E67" s="703">
        <v>15</v>
      </c>
      <c r="F67" s="50" cm="1" t="str">
        <f t="array" ref="F67:F67">OFFSET(E67,-1,1)</f>
        <v>0</v>
      </c>
      <c r="G67" s="1278"/>
      <c r="H67" s="1278"/>
      <c r="I67" s="1278"/>
      <c r="J67" s="1278"/>
      <c r="K67" s="158">
        <f>first_year+36</f>
        <v>2062</v>
      </c>
      <c r="L67" s="1278"/>
      <c r="M67" s="1278"/>
      <c r="N67" s="1278"/>
      <c r="O67" s="1278"/>
      <c r="P67" s="1278"/>
      <c r="Q67" s="1278"/>
      <c r="R67" s="1278"/>
      <c r="S67" s="1278"/>
      <c r="T67" s="465" cm="1" t="str">
        <f t="array" ref="T67:T67">T66</f>
        <v>false</v>
      </c>
      <c r="U67" s="1278"/>
      <c r="V67" s="1278"/>
      <c r="W67" s="1278"/>
      <c r="X67" s="1563"/>
      <c r="Y67" s="1278"/>
      <c r="Z67" s="1546"/>
      <c r="AA67" s="1278"/>
      <c r="AB67" s="255" t="str">
        <f>K67&amp;" год"</f>
        <v>2062 год</v>
      </c>
      <c r="AC67" s="7974"/>
      <c r="AD67" s="7980"/>
      <c r="AE67" s="7981"/>
      <c r="AF67" s="7981"/>
      <c r="AG67" s="7980"/>
      <c r="AH67" s="7980"/>
      <c r="AI67" s="7980"/>
      <c r="AJ67" s="7980"/>
      <c r="AK67" s="7982"/>
      <c r="AL67" s="403"/>
      <c r="AM67" s="1278"/>
      <c r="AN67" s="1278"/>
      <c r="AO67" s="1064" cm="1" t="str">
        <f t="array" ref="AO67:AO67">K67</f>
        <v>2062</v>
      </c>
      <c r="AP67" s="1278"/>
      <c r="AQ67" s="1278"/>
    </row>
    <row s="1278" customFormat="1" customHeight="1" ht="14.625" hidden="1">
      <c r="A68" s="1278"/>
      <c r="B68" s="445">
        <f>K68&lt;first_year+PERIOD_LENGTH</f>
        <v>0</v>
      </c>
      <c r="C68" s="1278"/>
      <c r="D68" s="1278"/>
      <c r="E68" s="703">
        <v>15</v>
      </c>
      <c r="F68" s="50" cm="1" t="str">
        <f t="array" ref="F68:F68">OFFSET(E68,-1,1)</f>
        <v>0</v>
      </c>
      <c r="G68" s="1278"/>
      <c r="H68" s="1278"/>
      <c r="I68" s="1278"/>
      <c r="J68" s="1278"/>
      <c r="K68" s="158">
        <f>first_year+37</f>
        <v>2063</v>
      </c>
      <c r="L68" s="1278"/>
      <c r="M68" s="1278"/>
      <c r="N68" s="1278"/>
      <c r="O68" s="1278"/>
      <c r="P68" s="1278"/>
      <c r="Q68" s="1278"/>
      <c r="R68" s="1278"/>
      <c r="S68" s="1278"/>
      <c r="T68" s="465" cm="1" t="str">
        <f t="array" ref="T68:T68">T67</f>
        <v>false</v>
      </c>
      <c r="U68" s="1278"/>
      <c r="V68" s="1278"/>
      <c r="W68" s="1278"/>
      <c r="X68" s="1563"/>
      <c r="Y68" s="1278"/>
      <c r="Z68" s="1546"/>
      <c r="AA68" s="1278"/>
      <c r="AB68" s="255" t="str">
        <f>K68&amp;" год"</f>
        <v>2063 год</v>
      </c>
      <c r="AC68" s="7974"/>
      <c r="AD68" s="7980"/>
      <c r="AE68" s="7981"/>
      <c r="AF68" s="7981"/>
      <c r="AG68" s="7980"/>
      <c r="AH68" s="7980"/>
      <c r="AI68" s="7980"/>
      <c r="AJ68" s="7980"/>
      <c r="AK68" s="7982"/>
      <c r="AL68" s="403"/>
      <c r="AM68" s="1278"/>
      <c r="AN68" s="1278"/>
      <c r="AO68" s="1064" cm="1" t="str">
        <f t="array" ref="AO68:AO68">K68</f>
        <v>2063</v>
      </c>
      <c r="AP68" s="1278"/>
      <c r="AQ68" s="1278"/>
    </row>
    <row s="1278" customFormat="1" customHeight="1" ht="14.625" hidden="1">
      <c r="A69" s="1278"/>
      <c r="B69" s="445">
        <f>K69&lt;first_year+PERIOD_LENGTH</f>
        <v>0</v>
      </c>
      <c r="C69" s="1278"/>
      <c r="D69" s="1278"/>
      <c r="E69" s="703">
        <v>15</v>
      </c>
      <c r="F69" s="50" cm="1" t="str">
        <f t="array" ref="F69:F69">OFFSET(E69,-1,1)</f>
        <v>0</v>
      </c>
      <c r="G69" s="1278"/>
      <c r="H69" s="1278"/>
      <c r="I69" s="1278"/>
      <c r="J69" s="1278"/>
      <c r="K69" s="158">
        <f>first_year+38</f>
        <v>2064</v>
      </c>
      <c r="L69" s="1278"/>
      <c r="M69" s="1278"/>
      <c r="N69" s="1278"/>
      <c r="O69" s="1278"/>
      <c r="P69" s="1278"/>
      <c r="Q69" s="1278"/>
      <c r="R69" s="1278"/>
      <c r="S69" s="1278"/>
      <c r="T69" s="465" cm="1" t="str">
        <f t="array" ref="T69:T69">T68</f>
        <v>false</v>
      </c>
      <c r="U69" s="1278"/>
      <c r="V69" s="1278"/>
      <c r="W69" s="1278"/>
      <c r="X69" s="1563"/>
      <c r="Y69" s="1278"/>
      <c r="Z69" s="1546"/>
      <c r="AA69" s="1278"/>
      <c r="AB69" s="255" t="str">
        <f>K69&amp;" год"</f>
        <v>2064 год</v>
      </c>
      <c r="AC69" s="7974"/>
      <c r="AD69" s="7980"/>
      <c r="AE69" s="7981"/>
      <c r="AF69" s="7981"/>
      <c r="AG69" s="7980"/>
      <c r="AH69" s="7980"/>
      <c r="AI69" s="7980"/>
      <c r="AJ69" s="7980"/>
      <c r="AK69" s="7982"/>
      <c r="AL69" s="403"/>
      <c r="AM69" s="1278"/>
      <c r="AN69" s="1278"/>
      <c r="AO69" s="1064" cm="1" t="str">
        <f t="array" ref="AO69:AO69">K69</f>
        <v>2064</v>
      </c>
      <c r="AP69" s="1278"/>
      <c r="AQ69" s="1278"/>
    </row>
    <row s="1278" customFormat="1" customHeight="1" ht="14.625" hidden="1">
      <c r="A70" s="1278"/>
      <c r="B70" s="445">
        <f>K70&lt;first_year+PERIOD_LENGTH</f>
        <v>0</v>
      </c>
      <c r="C70" s="1278"/>
      <c r="D70" s="1278"/>
      <c r="E70" s="703">
        <v>15</v>
      </c>
      <c r="F70" s="50" cm="1" t="str">
        <f t="array" ref="F70:F70">OFFSET(E70,-1,1)</f>
        <v>0</v>
      </c>
      <c r="G70" s="1278"/>
      <c r="H70" s="1278"/>
      <c r="I70" s="1278"/>
      <c r="J70" s="1278"/>
      <c r="K70" s="158">
        <f>first_year+39</f>
        <v>2065</v>
      </c>
      <c r="L70" s="1278"/>
      <c r="M70" s="1278"/>
      <c r="N70" s="1278"/>
      <c r="O70" s="1278"/>
      <c r="P70" s="1278"/>
      <c r="Q70" s="1278"/>
      <c r="R70" s="1278"/>
      <c r="S70" s="1278"/>
      <c r="T70" s="465" cm="1" t="str">
        <f t="array" ref="T70:T70">T69</f>
        <v>false</v>
      </c>
      <c r="U70" s="1278"/>
      <c r="V70" s="1278"/>
      <c r="W70" s="1278"/>
      <c r="X70" s="1563"/>
      <c r="Y70" s="1278"/>
      <c r="Z70" s="1546"/>
      <c r="AA70" s="1278"/>
      <c r="AB70" s="255" t="str">
        <f>K70&amp;" год"</f>
        <v>2065 год</v>
      </c>
      <c r="AC70" s="7974"/>
      <c r="AD70" s="7980"/>
      <c r="AE70" s="7981"/>
      <c r="AF70" s="7981"/>
      <c r="AG70" s="7980"/>
      <c r="AH70" s="7980"/>
      <c r="AI70" s="7980"/>
      <c r="AJ70" s="7980"/>
      <c r="AK70" s="7982"/>
      <c r="AL70" s="403"/>
      <c r="AM70" s="1278"/>
      <c r="AN70" s="1278"/>
      <c r="AO70" s="1064" cm="1" t="str">
        <f t="array" ref="AO70:AO70">K70</f>
        <v>2065</v>
      </c>
      <c r="AP70" s="1278"/>
      <c r="AQ70" s="1278"/>
    </row>
    <row s="1278" customFormat="1" customHeight="1" ht="14.625" hidden="1">
      <c r="A71" s="1278"/>
      <c r="B71" s="445">
        <f>K71&lt;first_year+PERIOD_LENGTH</f>
        <v>0</v>
      </c>
      <c r="C71" s="1278"/>
      <c r="D71" s="1278"/>
      <c r="E71" s="703">
        <v>15</v>
      </c>
      <c r="F71" s="50" cm="1" t="str">
        <f t="array" ref="F71:F71">OFFSET(E71,-1,1)</f>
        <v>0</v>
      </c>
      <c r="G71" s="1278"/>
      <c r="H71" s="1278"/>
      <c r="I71" s="1278"/>
      <c r="J71" s="1278"/>
      <c r="K71" s="158">
        <f>first_year+40</f>
        <v>2066</v>
      </c>
      <c r="L71" s="1278"/>
      <c r="M71" s="1278"/>
      <c r="N71" s="1278"/>
      <c r="O71" s="1278"/>
      <c r="P71" s="1278"/>
      <c r="Q71" s="1278"/>
      <c r="R71" s="1278"/>
      <c r="S71" s="1278"/>
      <c r="T71" s="465" cm="1" t="str">
        <f t="array" ref="T71:T71">T70</f>
        <v>false</v>
      </c>
      <c r="U71" s="1278"/>
      <c r="V71" s="1278"/>
      <c r="W71" s="1278"/>
      <c r="X71" s="1563"/>
      <c r="Y71" s="1278"/>
      <c r="Z71" s="1546"/>
      <c r="AA71" s="1278"/>
      <c r="AB71" s="255" t="str">
        <f>K71&amp;" год"</f>
        <v>2066 год</v>
      </c>
      <c r="AC71" s="7974"/>
      <c r="AD71" s="7980"/>
      <c r="AE71" s="7981"/>
      <c r="AF71" s="7981"/>
      <c r="AG71" s="7980"/>
      <c r="AH71" s="7980"/>
      <c r="AI71" s="7980"/>
      <c r="AJ71" s="7980"/>
      <c r="AK71" s="7982"/>
      <c r="AL71" s="403"/>
      <c r="AM71" s="1278"/>
      <c r="AN71" s="1278"/>
      <c r="AO71" s="1064" cm="1" t="str">
        <f t="array" ref="AO71:AO71">K71</f>
        <v>2066</v>
      </c>
      <c r="AP71" s="1278"/>
      <c r="AQ71" s="1278"/>
    </row>
    <row s="1278" customFormat="1" customHeight="1" ht="14.625" hidden="1">
      <c r="A72" s="1278"/>
      <c r="B72" s="445">
        <f>K72&lt;first_year+PERIOD_LENGTH</f>
        <v>0</v>
      </c>
      <c r="C72" s="1278"/>
      <c r="D72" s="1278"/>
      <c r="E72" s="703">
        <v>15</v>
      </c>
      <c r="F72" s="50" cm="1" t="str">
        <f t="array" ref="F72:F72">OFFSET(E72,-1,1)</f>
        <v>0</v>
      </c>
      <c r="G72" s="1278"/>
      <c r="H72" s="1278"/>
      <c r="I72" s="1278"/>
      <c r="J72" s="1278"/>
      <c r="K72" s="158">
        <f>first_year+41</f>
        <v>2067</v>
      </c>
      <c r="L72" s="1278"/>
      <c r="M72" s="1278"/>
      <c r="N72" s="1278"/>
      <c r="O72" s="1278"/>
      <c r="P72" s="1278"/>
      <c r="Q72" s="1278"/>
      <c r="R72" s="1278"/>
      <c r="S72" s="1278"/>
      <c r="T72" s="465" cm="1" t="str">
        <f t="array" ref="T72:T72">T71</f>
        <v>false</v>
      </c>
      <c r="U72" s="1278"/>
      <c r="V72" s="1278"/>
      <c r="W72" s="1278"/>
      <c r="X72" s="1563"/>
      <c r="Y72" s="1278"/>
      <c r="Z72" s="1546"/>
      <c r="AA72" s="1278"/>
      <c r="AB72" s="255" t="str">
        <f>K72&amp;" год"</f>
        <v>2067 год</v>
      </c>
      <c r="AC72" s="7974"/>
      <c r="AD72" s="7980"/>
      <c r="AE72" s="7981"/>
      <c r="AF72" s="7981"/>
      <c r="AG72" s="7980"/>
      <c r="AH72" s="7980"/>
      <c r="AI72" s="7980"/>
      <c r="AJ72" s="7980"/>
      <c r="AK72" s="7982"/>
      <c r="AL72" s="403"/>
      <c r="AM72" s="1278"/>
      <c r="AN72" s="1278"/>
      <c r="AO72" s="1064" cm="1" t="str">
        <f t="array" ref="AO72:AO72">K72</f>
        <v>2067</v>
      </c>
      <c r="AP72" s="1278"/>
      <c r="AQ72" s="1278"/>
    </row>
    <row s="1278" customFormat="1" customHeight="1" ht="14.625" hidden="1">
      <c r="A73" s="1278"/>
      <c r="B73" s="445">
        <f>K73&lt;first_year+PERIOD_LENGTH</f>
        <v>0</v>
      </c>
      <c r="C73" s="1278"/>
      <c r="D73" s="1278"/>
      <c r="E73" s="703">
        <v>15</v>
      </c>
      <c r="F73" s="50" cm="1" t="str">
        <f t="array" ref="F73:F73">OFFSET(E73,-1,1)</f>
        <v>0</v>
      </c>
      <c r="G73" s="1278"/>
      <c r="H73" s="1278"/>
      <c r="I73" s="1278"/>
      <c r="J73" s="1278"/>
      <c r="K73" s="158">
        <f>first_year+42</f>
        <v>2068</v>
      </c>
      <c r="L73" s="1278"/>
      <c r="M73" s="1278"/>
      <c r="N73" s="1278"/>
      <c r="O73" s="1278"/>
      <c r="P73" s="1278"/>
      <c r="Q73" s="1278"/>
      <c r="R73" s="1278"/>
      <c r="S73" s="1278"/>
      <c r="T73" s="465" cm="1" t="str">
        <f t="array" ref="T73:T73">T72</f>
        <v>false</v>
      </c>
      <c r="U73" s="1278"/>
      <c r="V73" s="1278"/>
      <c r="W73" s="1278"/>
      <c r="X73" s="1563"/>
      <c r="Y73" s="1278"/>
      <c r="Z73" s="1546"/>
      <c r="AA73" s="1278"/>
      <c r="AB73" s="255" t="str">
        <f>K73&amp;" год"</f>
        <v>2068 год</v>
      </c>
      <c r="AC73" s="7974"/>
      <c r="AD73" s="7980"/>
      <c r="AE73" s="7981"/>
      <c r="AF73" s="7981"/>
      <c r="AG73" s="7980"/>
      <c r="AH73" s="7980"/>
      <c r="AI73" s="7980"/>
      <c r="AJ73" s="7980"/>
      <c r="AK73" s="7982"/>
      <c r="AL73" s="403"/>
      <c r="AM73" s="1278"/>
      <c r="AN73" s="1278"/>
      <c r="AO73" s="1064" cm="1" t="str">
        <f t="array" ref="AO73:AO73">K73</f>
        <v>2068</v>
      </c>
      <c r="AP73" s="1278"/>
      <c r="AQ73" s="1278"/>
    </row>
    <row s="1278" customFormat="1" customHeight="1" ht="14.625" hidden="1">
      <c r="A74" s="1278"/>
      <c r="B74" s="445">
        <f>K74&lt;first_year+PERIOD_LENGTH</f>
        <v>0</v>
      </c>
      <c r="C74" s="1278"/>
      <c r="D74" s="1278"/>
      <c r="E74" s="703">
        <v>15</v>
      </c>
      <c r="F74" s="50" cm="1" t="str">
        <f t="array" ref="F74:F74">OFFSET(E74,-1,1)</f>
        <v>0</v>
      </c>
      <c r="G74" s="1278"/>
      <c r="H74" s="1278"/>
      <c r="I74" s="1278"/>
      <c r="J74" s="1278"/>
      <c r="K74" s="158">
        <f>first_year+43</f>
        <v>2069</v>
      </c>
      <c r="L74" s="1278"/>
      <c r="M74" s="1278"/>
      <c r="N74" s="1278"/>
      <c r="O74" s="1278"/>
      <c r="P74" s="1278"/>
      <c r="Q74" s="1278"/>
      <c r="R74" s="1278"/>
      <c r="S74" s="1278"/>
      <c r="T74" s="465" cm="1" t="str">
        <f t="array" ref="T74:T74">T73</f>
        <v>false</v>
      </c>
      <c r="U74" s="1278"/>
      <c r="V74" s="1278"/>
      <c r="W74" s="1278"/>
      <c r="X74" s="1563"/>
      <c r="Y74" s="1278"/>
      <c r="Z74" s="1546"/>
      <c r="AA74" s="1278"/>
      <c r="AB74" s="255" t="str">
        <f>K74&amp;" год"</f>
        <v>2069 год</v>
      </c>
      <c r="AC74" s="7974"/>
      <c r="AD74" s="7980"/>
      <c r="AE74" s="7981"/>
      <c r="AF74" s="7981"/>
      <c r="AG74" s="7980"/>
      <c r="AH74" s="7980"/>
      <c r="AI74" s="7980"/>
      <c r="AJ74" s="7980"/>
      <c r="AK74" s="7982"/>
      <c r="AL74" s="403"/>
      <c r="AM74" s="1278"/>
      <c r="AN74" s="1278"/>
      <c r="AO74" s="1064" cm="1" t="str">
        <f t="array" ref="AO74:AO74">K74</f>
        <v>2069</v>
      </c>
      <c r="AP74" s="1278"/>
      <c r="AQ74" s="1278"/>
    </row>
    <row s="1278" customFormat="1" customHeight="1" ht="14.625" hidden="1">
      <c r="A75" s="1278"/>
      <c r="B75" s="445">
        <f>K75&lt;first_year+PERIOD_LENGTH</f>
        <v>0</v>
      </c>
      <c r="C75" s="1278"/>
      <c r="D75" s="1278"/>
      <c r="E75" s="703">
        <v>15</v>
      </c>
      <c r="F75" s="50" cm="1" t="str">
        <f t="array" ref="F75:F75">OFFSET(E75,-1,1)</f>
        <v>0</v>
      </c>
      <c r="G75" s="1278"/>
      <c r="H75" s="1278"/>
      <c r="I75" s="1278"/>
      <c r="J75" s="1278"/>
      <c r="K75" s="158">
        <f>first_year+44</f>
        <v>2070</v>
      </c>
      <c r="L75" s="1278"/>
      <c r="M75" s="1278"/>
      <c r="N75" s="1278"/>
      <c r="O75" s="1278"/>
      <c r="P75" s="1278"/>
      <c r="Q75" s="1278"/>
      <c r="R75" s="1278"/>
      <c r="S75" s="1278"/>
      <c r="T75" s="465" cm="1" t="str">
        <f t="array" ref="T75:T75">T74</f>
        <v>false</v>
      </c>
      <c r="U75" s="1278"/>
      <c r="V75" s="1278"/>
      <c r="W75" s="1278"/>
      <c r="X75" s="1563"/>
      <c r="Y75" s="1278"/>
      <c r="Z75" s="1546"/>
      <c r="AA75" s="1278"/>
      <c r="AB75" s="255" t="str">
        <f>K75&amp;" год"</f>
        <v>2070 год</v>
      </c>
      <c r="AC75" s="7974"/>
      <c r="AD75" s="7980"/>
      <c r="AE75" s="7981"/>
      <c r="AF75" s="7981"/>
      <c r="AG75" s="7980"/>
      <c r="AH75" s="7980"/>
      <c r="AI75" s="7980"/>
      <c r="AJ75" s="7980"/>
      <c r="AK75" s="7982"/>
      <c r="AL75" s="403"/>
      <c r="AM75" s="1278"/>
      <c r="AN75" s="1278"/>
      <c r="AO75" s="1064" cm="1" t="str">
        <f t="array" ref="AO75:AO75">K75</f>
        <v>2070</v>
      </c>
      <c r="AP75" s="1278"/>
      <c r="AQ75" s="1278"/>
    </row>
    <row s="1278" customFormat="1" customHeight="1" ht="14.625" hidden="1">
      <c r="A76" s="1278"/>
      <c r="B76" s="445">
        <f>K76&lt;first_year+PERIOD_LENGTH</f>
        <v>0</v>
      </c>
      <c r="C76" s="1278"/>
      <c r="D76" s="1278"/>
      <c r="E76" s="703">
        <v>15</v>
      </c>
      <c r="F76" s="50" cm="1" t="str">
        <f t="array" ref="F76:F76">OFFSET(E76,-1,1)</f>
        <v>0</v>
      </c>
      <c r="G76" s="1278"/>
      <c r="H76" s="1278"/>
      <c r="I76" s="1278"/>
      <c r="J76" s="1278"/>
      <c r="K76" s="158">
        <f>first_year+45</f>
        <v>2071</v>
      </c>
      <c r="L76" s="1278"/>
      <c r="M76" s="1278"/>
      <c r="N76" s="1278"/>
      <c r="O76" s="1278"/>
      <c r="P76" s="1278"/>
      <c r="Q76" s="1278"/>
      <c r="R76" s="1278"/>
      <c r="S76" s="1278"/>
      <c r="T76" s="465" cm="1" t="str">
        <f t="array" ref="T76:T76">T75</f>
        <v>false</v>
      </c>
      <c r="U76" s="1278"/>
      <c r="V76" s="1278"/>
      <c r="W76" s="1278"/>
      <c r="X76" s="1563"/>
      <c r="Y76" s="1278"/>
      <c r="Z76" s="1546"/>
      <c r="AA76" s="1278"/>
      <c r="AB76" s="255" t="str">
        <f>K76&amp;" год"</f>
        <v>2071 год</v>
      </c>
      <c r="AC76" s="7974"/>
      <c r="AD76" s="7980"/>
      <c r="AE76" s="7981"/>
      <c r="AF76" s="7981"/>
      <c r="AG76" s="7980"/>
      <c r="AH76" s="7980"/>
      <c r="AI76" s="7980"/>
      <c r="AJ76" s="7980"/>
      <c r="AK76" s="7982"/>
      <c r="AL76" s="403"/>
      <c r="AM76" s="1278"/>
      <c r="AN76" s="1278"/>
      <c r="AO76" s="1064" cm="1" t="str">
        <f t="array" ref="AO76:AO76">K76</f>
        <v>2071</v>
      </c>
      <c r="AP76" s="1278"/>
      <c r="AQ76" s="1278"/>
    </row>
    <row s="1278" customFormat="1" customHeight="1" ht="14.625" hidden="1">
      <c r="A77" s="1278"/>
      <c r="B77" s="445">
        <f>K77&lt;first_year+PERIOD_LENGTH</f>
        <v>0</v>
      </c>
      <c r="C77" s="1278"/>
      <c r="D77" s="1278"/>
      <c r="E77" s="703">
        <v>15</v>
      </c>
      <c r="F77" s="50" cm="1" t="str">
        <f t="array" ref="F77:F77">OFFSET(E77,-1,1)</f>
        <v>0</v>
      </c>
      <c r="G77" s="1278"/>
      <c r="H77" s="1278"/>
      <c r="I77" s="1278"/>
      <c r="J77" s="1278"/>
      <c r="K77" s="158">
        <f>first_year+46</f>
        <v>2072</v>
      </c>
      <c r="L77" s="1278"/>
      <c r="M77" s="1278"/>
      <c r="N77" s="1278"/>
      <c r="O77" s="1278"/>
      <c r="P77" s="1278"/>
      <c r="Q77" s="1278"/>
      <c r="R77" s="1278"/>
      <c r="S77" s="1278"/>
      <c r="T77" s="465" cm="1" t="str">
        <f t="array" ref="T77:T77">T76</f>
        <v>false</v>
      </c>
      <c r="U77" s="1278"/>
      <c r="V77" s="1278"/>
      <c r="W77" s="1278"/>
      <c r="X77" s="1563"/>
      <c r="Y77" s="1278"/>
      <c r="Z77" s="1546"/>
      <c r="AA77" s="1278"/>
      <c r="AB77" s="255" t="str">
        <f>K77&amp;" год"</f>
        <v>2072 год</v>
      </c>
      <c r="AC77" s="7974"/>
      <c r="AD77" s="7980"/>
      <c r="AE77" s="7981"/>
      <c r="AF77" s="7981"/>
      <c r="AG77" s="7980"/>
      <c r="AH77" s="7980"/>
      <c r="AI77" s="7980"/>
      <c r="AJ77" s="7980"/>
      <c r="AK77" s="7982"/>
      <c r="AL77" s="403"/>
      <c r="AM77" s="1278"/>
      <c r="AN77" s="1278"/>
      <c r="AO77" s="1064" cm="1" t="str">
        <f t="array" ref="AO77:AO77">K77</f>
        <v>2072</v>
      </c>
      <c r="AP77" s="1278"/>
      <c r="AQ77" s="1278"/>
    </row>
    <row s="1278" customFormat="1" customHeight="1" ht="14.625" hidden="1">
      <c r="A78" s="1278"/>
      <c r="B78" s="445">
        <f>K78&lt;first_year+PERIOD_LENGTH</f>
        <v>0</v>
      </c>
      <c r="C78" s="1278"/>
      <c r="D78" s="1278"/>
      <c r="E78" s="703">
        <v>15</v>
      </c>
      <c r="F78" s="50" cm="1" t="str">
        <f t="array" ref="F78:F78">OFFSET(E78,-1,1)</f>
        <v>0</v>
      </c>
      <c r="G78" s="1278"/>
      <c r="H78" s="1278"/>
      <c r="I78" s="1278"/>
      <c r="J78" s="1278"/>
      <c r="K78" s="158">
        <f>first_year+47</f>
        <v>2073</v>
      </c>
      <c r="L78" s="1278"/>
      <c r="M78" s="1278"/>
      <c r="N78" s="1278"/>
      <c r="O78" s="1278"/>
      <c r="P78" s="1278"/>
      <c r="Q78" s="1278"/>
      <c r="R78" s="1278"/>
      <c r="S78" s="1278"/>
      <c r="T78" s="465" cm="1" t="str">
        <f t="array" ref="T78:T78">T77</f>
        <v>false</v>
      </c>
      <c r="U78" s="1278"/>
      <c r="V78" s="1278"/>
      <c r="W78" s="1278"/>
      <c r="X78" s="1563"/>
      <c r="Y78" s="1278"/>
      <c r="Z78" s="1546"/>
      <c r="AA78" s="1278"/>
      <c r="AB78" s="255" t="str">
        <f>K78&amp;" год"</f>
        <v>2073 год</v>
      </c>
      <c r="AC78" s="7974"/>
      <c r="AD78" s="7980"/>
      <c r="AE78" s="7981"/>
      <c r="AF78" s="7981"/>
      <c r="AG78" s="7980"/>
      <c r="AH78" s="7980"/>
      <c r="AI78" s="7980"/>
      <c r="AJ78" s="7980"/>
      <c r="AK78" s="7982"/>
      <c r="AL78" s="403"/>
      <c r="AM78" s="1278"/>
      <c r="AN78" s="1278"/>
      <c r="AO78" s="1064" cm="1" t="str">
        <f t="array" ref="AO78:AO78">K78</f>
        <v>2073</v>
      </c>
      <c r="AP78" s="1278"/>
      <c r="AQ78" s="1278"/>
    </row>
    <row s="1278" customFormat="1" customHeight="1" ht="14.625" hidden="1">
      <c r="A79" s="1278"/>
      <c r="B79" s="445">
        <f>K79&lt;first_year+PERIOD_LENGTH</f>
        <v>0</v>
      </c>
      <c r="C79" s="1278"/>
      <c r="D79" s="1278"/>
      <c r="E79" s="703">
        <v>15</v>
      </c>
      <c r="F79" s="50" cm="1" t="str">
        <f t="array" ref="F79:F79">OFFSET(E79,-1,1)</f>
        <v>0</v>
      </c>
      <c r="G79" s="1278"/>
      <c r="H79" s="1278"/>
      <c r="I79" s="1278"/>
      <c r="J79" s="1278"/>
      <c r="K79" s="158">
        <f>first_year+48</f>
        <v>2074</v>
      </c>
      <c r="L79" s="1278"/>
      <c r="M79" s="1278"/>
      <c r="N79" s="1278"/>
      <c r="O79" s="1278"/>
      <c r="P79" s="1278"/>
      <c r="Q79" s="1278"/>
      <c r="R79" s="1278"/>
      <c r="S79" s="1278"/>
      <c r="T79" s="465" cm="1" t="str">
        <f t="array" ref="T79:T79">T78</f>
        <v>false</v>
      </c>
      <c r="U79" s="1278"/>
      <c r="V79" s="1278"/>
      <c r="W79" s="1278"/>
      <c r="X79" s="1563"/>
      <c r="Y79" s="1278"/>
      <c r="Z79" s="1546"/>
      <c r="AA79" s="1278"/>
      <c r="AB79" s="255" t="str">
        <f>K79&amp;" год"</f>
        <v>2074 год</v>
      </c>
      <c r="AC79" s="7974"/>
      <c r="AD79" s="7980"/>
      <c r="AE79" s="7981"/>
      <c r="AF79" s="7981"/>
      <c r="AG79" s="7980"/>
      <c r="AH79" s="7980"/>
      <c r="AI79" s="7980"/>
      <c r="AJ79" s="7980"/>
      <c r="AK79" s="7982"/>
      <c r="AL79" s="403"/>
      <c r="AM79" s="1278"/>
      <c r="AN79" s="1278"/>
      <c r="AO79" s="1064" cm="1" t="str">
        <f t="array" ref="AO79:AO79">K79</f>
        <v>2074</v>
      </c>
      <c r="AP79" s="1278"/>
      <c r="AQ79" s="1278"/>
    </row>
    <row s="1278" customFormat="1" customHeight="1" ht="14.625" hidden="1">
      <c r="A80" s="1278"/>
      <c r="B80" s="445">
        <f>K80&lt;first_year+PERIOD_LENGTH</f>
        <v>0</v>
      </c>
      <c r="C80" s="1278"/>
      <c r="D80" s="1278"/>
      <c r="E80" s="703">
        <v>15</v>
      </c>
      <c r="F80" s="50" cm="1" t="str">
        <f t="array" ref="F80:F80">OFFSET(E80,-1,1)</f>
        <v>0</v>
      </c>
      <c r="G80" s="1278"/>
      <c r="H80" s="1278"/>
      <c r="I80" s="1278"/>
      <c r="J80" s="1278"/>
      <c r="K80" s="158">
        <f>first_year+49</f>
        <v>2075</v>
      </c>
      <c r="L80" s="1278"/>
      <c r="M80" s="1278"/>
      <c r="N80" s="1278"/>
      <c r="O80" s="1278"/>
      <c r="P80" s="1278"/>
      <c r="Q80" s="1278"/>
      <c r="R80" s="1278"/>
      <c r="S80" s="1278"/>
      <c r="T80" s="465" cm="1" t="str">
        <f t="array" ref="T80:T80">T79</f>
        <v>false</v>
      </c>
      <c r="U80" s="1278"/>
      <c r="V80" s="1278"/>
      <c r="W80" s="1278"/>
      <c r="X80" s="1563"/>
      <c r="Y80" s="1278"/>
      <c r="Z80" s="1546"/>
      <c r="AA80" s="1278"/>
      <c r="AB80" s="255" t="str">
        <f>K80&amp;" год"</f>
        <v>2075 год</v>
      </c>
      <c r="AC80" s="7974"/>
      <c r="AD80" s="7980"/>
      <c r="AE80" s="7981"/>
      <c r="AF80" s="7981"/>
      <c r="AG80" s="7980"/>
      <c r="AH80" s="7980"/>
      <c r="AI80" s="7980"/>
      <c r="AJ80" s="7980"/>
      <c r="AK80" s="7982"/>
      <c r="AL80" s="403"/>
      <c r="AM80" s="1278"/>
      <c r="AN80" s="1278"/>
      <c r="AO80" s="1064" cm="1" t="str">
        <f t="array" ref="AO80:AO80">K80</f>
        <v>2075</v>
      </c>
      <c r="AP80" s="1278"/>
      <c r="AQ80" s="1278"/>
    </row>
    <row s="538" customFormat="1" customHeight="1" ht="14.25">
      <c r="A81" s="1758"/>
      <c r="B81" s="428"/>
      <c r="C81" s="1758"/>
      <c r="D81" s="1758"/>
      <c r="E81" s="618">
        <v>15</v>
      </c>
      <c r="F81" s="98" cm="1" t="str">
        <f t="array" ref="F81:F81">X81</f>
        <v>1</v>
      </c>
      <c r="G81" s="1758"/>
      <c r="H81" s="1758"/>
      <c r="I81" s="1758"/>
      <c r="J81" s="1758"/>
      <c r="K81" s="1758"/>
      <c r="L81" s="1758"/>
      <c r="M81" s="1758"/>
      <c r="N81" s="1758"/>
      <c r="O81" s="1758"/>
      <c r="P81" s="1758"/>
      <c r="Q81" s="1758"/>
      <c r="R81" s="1758"/>
      <c r="S81" s="1758"/>
      <c r="T81" s="465">
        <f>X81&gt;0</f>
        <v>1</v>
      </c>
      <c r="U81" s="1758"/>
      <c r="V81" s="122" cm="1" t="str">
        <f t="array" ref="V81:V81">'Калькуляция (МИ корр)'!$AB$171</f>
        <v>Тариф 1 (Водоснабжение) - тариф на питьевую воду (Доп. признак не требуется)</v>
      </c>
      <c r="W81" s="1758"/>
      <c r="X81" s="1563" t="s">
        <v>276</v>
      </c>
      <c r="Y81" s="1758"/>
      <c r="Z81" s="1546"/>
      <c r="AA81" s="1758"/>
      <c r="AB81" s="381" cm="1" t="str">
        <f t="array" ref="AB81:AB81">'Калькуляция (МИ корр)'!$AB$171</f>
        <v>Тариф 1 (Водоснабжение) - тариф на питьевую воду (Доп. признак не требуется)</v>
      </c>
      <c r="AC81" s="832"/>
      <c r="AD81" s="832"/>
      <c r="AE81" s="832"/>
      <c r="AF81" s="832"/>
      <c r="AG81" s="832"/>
      <c r="AH81" s="832"/>
      <c r="AI81" s="832"/>
      <c r="AJ81" s="832"/>
      <c r="AK81" s="832"/>
      <c r="AL81" s="402"/>
      <c r="AM81" s="1758"/>
      <c r="AN81" s="1758"/>
      <c r="AO81" s="997"/>
      <c r="AP81" s="1758"/>
      <c r="AQ81" s="1758"/>
    </row>
    <row s="7983" customFormat="1" customHeight="1" ht="14.25">
      <c r="A82" s="1278"/>
      <c r="B82" s="445">
        <f>K82&lt;first_year+PERIOD_LENGTH</f>
        <v>1</v>
      </c>
      <c r="C82" s="1278"/>
      <c r="D82" s="1278"/>
      <c r="E82" s="703">
        <v>15</v>
      </c>
      <c r="F82" s="50" cm="1" t="str">
        <f t="array" ref="F82:F82">OFFSET(E82,-1,1)</f>
        <v>1</v>
      </c>
      <c r="G82" s="1278"/>
      <c r="H82" s="1278"/>
      <c r="I82" s="1278"/>
      <c r="J82" s="1278"/>
      <c r="K82" s="158" cm="1" t="str">
        <f t="array" ref="K82:K82">first_year</f>
        <v>2026</v>
      </c>
      <c r="L82" s="1278"/>
      <c r="M82" s="1278"/>
      <c r="N82" s="1278"/>
      <c r="O82" s="1278"/>
      <c r="P82" s="1278"/>
      <c r="Q82" s="1278"/>
      <c r="R82" s="1278"/>
      <c r="S82" s="1278"/>
      <c r="T82" s="465" cm="1" t="str">
        <f t="array" ref="T82:T82">T81</f>
        <v>true</v>
      </c>
      <c r="U82" s="1278"/>
      <c r="V82" s="1278"/>
      <c r="W82" s="1278"/>
      <c r="X82" s="1563"/>
      <c r="Y82" s="1278"/>
      <c r="Z82" s="1546"/>
      <c r="AA82" s="1278"/>
      <c r="AB82" s="833" t="str">
        <f>K82&amp;" год"</f>
        <v>2026 год</v>
      </c>
      <c r="AC82" s="921">
        <f>IF(god=first_year,_xlfn.SUMIFS('Калькуляция (МИ)'!AT$26:AT$747,'Калькуляция (МИ)'!F$26:F$747,F82,'Калькуляция (МИ)'!AC$26:AC$747,"операционные расходы"),IF(god&lt;first_year+3,_xlfn.IFERROR(_xlfn.SUMIFS(INDEX('Калькуляция (МИ корр)'!$AE$25:$BC$747,,MATCH(K82&amp;"Принято органом регулирования",'Калькуляция (МИ корр)'!$AE$8:$BC$8,0)),'Калькуляция (МИ корр)'!$F$25:$F$747,F82,'Калькуляция (МИ корр)'!$AC$25:$AC$747,"Операционные расходы"),0),""))</f>
        <v>157936.498612672</v>
      </c>
      <c r="AD82" s="835">
        <f>_xlfn.IFERROR(_xlfn.SUMIFS(INDEX(Сценарии!$AE$25:$BF$163,,MATCH($K82&amp;"Принято органом регулирования",Сценарии!$AE$8:$BF$8,0)),Сценарии!$F$25:$F$163,$F82,Сценарии!$AC$25:$AC$163,"Индекс эффективности операционных расходов"),0)</f>
        <v>0</v>
      </c>
      <c r="AE82" s="834"/>
      <c r="AF82" s="834">
        <f>_xlfn.IFERROR(_xlfn.SUMIFS(INDEX(Баланс!$AE$25:$BB$482,,MATCH($K82&amp;"Принято органом регулирования",Баланс!$AE$8:$BB$8,0)),Баланс!$F$25:$F$482,$F82,Баланс!$AC$24:$AC$482,"Уровень потерь воды"),0)</f>
        <v>0</v>
      </c>
      <c r="AG82" s="1264">
        <f>_xlfn.IFERROR(_xlfn.SUMIFS(INDEX(Electricity_LOAD_1,,MATCH($K82&amp;"Принято органом регулирования",ЭЭ!$AE$8:$BB$8,0)),ЭЭ!$F$25:$F$189,$F82,ЭЭ!$AC$25:$AC$189,"Удельный расход электроэнергии"),0)</f>
        <v>1.29184174515892</v>
      </c>
      <c r="AH82" s="7973">
        <f>_xlfn.IFERROR(_xlfn.SUMIFS(INDEX(Electricity_LOAD_1,,MATCH($K82&amp;"Принято органом регулирования",ЭЭ!$AE$8:$BB$8,0)),ЭЭ!$F$25:$F$189,$F82,ЭЭ!$AC$25:$AC$189,"Удельный расход электроэнергии"),0)</f>
        <v>1.29184174515892</v>
      </c>
      <c r="AI82" s="7973">
        <f>_xlfn.IFERROR(_xlfn.SUMIFS(INDEX(Electricity_LOAD_1,,MATCH($K82&amp;"Принято органом регулирования",ЭЭ!$AE$8:$BB$8,0)),ЭЭ!$F$25:$F$189,$F82,ЭЭ!$AC$25:$AC$189,"Удельный расход электроэнергии"),0)</f>
        <v>1.29184174515892</v>
      </c>
      <c r="AJ82" s="7988"/>
      <c r="AK82" s="7988"/>
      <c r="AL82" s="403"/>
      <c r="AM82" s="158" t="s">
        <v>2975</v>
      </c>
      <c r="AN82" s="1278"/>
      <c r="AO82" s="1064" cm="1" t="str">
        <f t="array" ref="AO82:AO82">K82</f>
        <v>2026</v>
      </c>
      <c r="AP82" s="1278"/>
      <c r="AQ82" s="1278"/>
    </row>
    <row s="7989" customFormat="1" customHeight="1" ht="14.25">
      <c r="A83" s="1278"/>
      <c r="B83" s="445">
        <f>K83&lt;first_year+PERIOD_LENGTH</f>
        <v>1</v>
      </c>
      <c r="C83" s="1278"/>
      <c r="D83" s="1278"/>
      <c r="E83" s="703">
        <v>15</v>
      </c>
      <c r="F83" s="50" cm="1" t="str">
        <f t="array" ref="F83:F83">OFFSET(E83,-1,1)</f>
        <v>1</v>
      </c>
      <c r="G83" s="1278"/>
      <c r="H83" s="1278"/>
      <c r="I83" s="1278"/>
      <c r="J83" s="1278"/>
      <c r="K83" s="158">
        <f>first_year+1</f>
        <v>2027</v>
      </c>
      <c r="L83" s="1278"/>
      <c r="M83" s="1278"/>
      <c r="N83" s="1278"/>
      <c r="O83" s="1278"/>
      <c r="P83" s="1278"/>
      <c r="Q83" s="1278"/>
      <c r="R83" s="1278"/>
      <c r="S83" s="1278"/>
      <c r="T83" s="465" cm="1" t="str">
        <f t="array" ref="T83:T83">T82</f>
        <v>true</v>
      </c>
      <c r="U83" s="1278"/>
      <c r="V83" s="1278"/>
      <c r="W83" s="1278"/>
      <c r="X83" s="1563"/>
      <c r="Y83" s="1278"/>
      <c r="Z83" s="1546"/>
      <c r="AA83" s="1278"/>
      <c r="AB83" s="833" t="str">
        <f>K83&amp;" год"</f>
        <v>2027 год</v>
      </c>
      <c r="AC83" s="834"/>
      <c r="AD83" s="835">
        <f>_xlfn.IFERROR(_xlfn.SUMIFS(INDEX(Сценарии!$AE$25:$BF$163,,MATCH($K83&amp;"Принято органом регулирования",Сценарии!$AE$8:$BF$8,0)),Сценарии!$F$25:$F$163,$F83,Сценарии!$AC$25:$AC$163,"Индекс эффективности операционных расходов"),0)</f>
        <v>1</v>
      </c>
      <c r="AE83" s="834"/>
      <c r="AF83" s="834">
        <f>_xlfn.IFERROR(_xlfn.SUMIFS(INDEX(Баланс!$AE$25:$BB$482,,MATCH($K83&amp;"Принято органом регулирования",Баланс!$AE$8:$BB$8,0)),Баланс!$F$25:$F$482,$F83,Баланс!$AC$24:$AC$482,"Уровень потерь воды"),0)</f>
        <v>0</v>
      </c>
      <c r="AG83" s="1264">
        <f>_xlfn.IFERROR(_xlfn.SUMIFS(INDEX(Electricity_LOAD_1,,MATCH($K83&amp;"Принято органом регулирования",ЭЭ!$AE$8:$BB$8,0)),ЭЭ!$F$25:$F$189,$F83,ЭЭ!$AC$25:$AC$189,"Удельный расход электроэнергии"),0)</f>
        <v>1.29184174515892</v>
      </c>
      <c r="AH83" s="7973">
        <f>_xlfn.IFERROR(_xlfn.SUMIFS(INDEX(Electricity_LOAD_1,,MATCH($K83&amp;"Принято органом регулирования",ЭЭ!$AE$8:$BB$8,0)),ЭЭ!$F$25:$F$189,$F83,ЭЭ!$AC$25:$AC$189,"Удельный расход электроэнергии"),0)</f>
        <v>1.29184174515892</v>
      </c>
      <c r="AI83" s="7973">
        <f>_xlfn.IFERROR(_xlfn.SUMIFS(INDEX(Electricity_LOAD_1,,MATCH($K83&amp;"Принято органом регулирования",ЭЭ!$AE$8:$BB$8,0)),ЭЭ!$F$25:$F$189,$F83,ЭЭ!$AC$25:$AC$189,"Удельный расход электроэнергии"),0)</f>
        <v>1.29184174515892</v>
      </c>
      <c r="AJ83" s="7988"/>
      <c r="AK83" s="7988"/>
      <c r="AL83" s="403"/>
      <c r="AM83" s="1278" t="s">
        <v>2975</v>
      </c>
      <c r="AN83" s="1278"/>
      <c r="AO83" s="1064" cm="1" t="str">
        <f t="array" ref="AO83:AO83">K83</f>
        <v>2027</v>
      </c>
      <c r="AP83" s="1278"/>
      <c r="AQ83" s="1278"/>
    </row>
    <row s="7990" customFormat="1" customHeight="1" ht="14.25">
      <c r="A84" s="1278"/>
      <c r="B84" s="445">
        <f>K84&lt;first_year+PERIOD_LENGTH</f>
        <v>1</v>
      </c>
      <c r="C84" s="1278"/>
      <c r="D84" s="1278"/>
      <c r="E84" s="703">
        <v>15</v>
      </c>
      <c r="F84" s="50" cm="1" t="str">
        <f t="array" ref="F84:F84">OFFSET(E84,-1,1)</f>
        <v>1</v>
      </c>
      <c r="G84" s="1278"/>
      <c r="H84" s="1278"/>
      <c r="I84" s="1278"/>
      <c r="J84" s="1278"/>
      <c r="K84" s="158">
        <f>first_year+2</f>
        <v>2028</v>
      </c>
      <c r="L84" s="1278"/>
      <c r="M84" s="1278"/>
      <c r="N84" s="1278"/>
      <c r="O84" s="1278"/>
      <c r="P84" s="1278"/>
      <c r="Q84" s="1278"/>
      <c r="R84" s="1278"/>
      <c r="S84" s="1278"/>
      <c r="T84" s="465" cm="1" t="str">
        <f t="array" ref="T84:T84">T83</f>
        <v>true</v>
      </c>
      <c r="U84" s="1278"/>
      <c r="V84" s="1278"/>
      <c r="W84" s="1278"/>
      <c r="X84" s="1563"/>
      <c r="Y84" s="1278"/>
      <c r="Z84" s="1546"/>
      <c r="AA84" s="1278"/>
      <c r="AB84" s="833" t="str">
        <f>K84&amp;" год"</f>
        <v>2028 год</v>
      </c>
      <c r="AC84" s="834"/>
      <c r="AD84" s="835">
        <f>_xlfn.IFERROR(_xlfn.SUMIFS(INDEX(Сценарии!$AE$25:$BF$163,,MATCH($K84&amp;"Принято органом регулирования",Сценарии!$AE$8:$BF$8,0)),Сценарии!$F$25:$F$163,$F84,Сценарии!$AC$25:$AC$163,"Индекс эффективности операционных расходов"),0)</f>
        <v>1</v>
      </c>
      <c r="AE84" s="834"/>
      <c r="AF84" s="834">
        <f>_xlfn.IFERROR(_xlfn.SUMIFS(INDEX(Баланс!$AE$25:$BB$482,,MATCH($K84&amp;"Принято органом регулирования",Баланс!$AE$8:$BB$8,0)),Баланс!$F$25:$F$482,$F84,Баланс!$AC$24:$AC$482,"Уровень потерь воды"),0)</f>
        <v>0</v>
      </c>
      <c r="AG84" s="1264">
        <f>_xlfn.IFERROR(_xlfn.SUMIFS(INDEX(Electricity_LOAD_1,,MATCH($K84&amp;"Принято органом регулирования",ЭЭ!$AE$8:$BB$8,0)),ЭЭ!$F$25:$F$189,$F84,ЭЭ!$AC$25:$AC$189,"Удельный расход электроэнергии"),0)</f>
        <v>1.29184174515892</v>
      </c>
      <c r="AH84" s="7973">
        <f>_xlfn.IFERROR(_xlfn.SUMIFS(INDEX(Electricity_LOAD_1,,MATCH($K84&amp;"Принято органом регулирования",ЭЭ!$AE$8:$BB$8,0)),ЭЭ!$F$25:$F$189,$F84,ЭЭ!$AC$25:$AC$189,"Удельный расход электроэнергии"),0)</f>
        <v>1.29184174515892</v>
      </c>
      <c r="AI84" s="7973">
        <f>_xlfn.IFERROR(_xlfn.SUMIFS(INDEX(Electricity_LOAD_1,,MATCH($K84&amp;"Принято органом регулирования",ЭЭ!$AE$8:$BB$8,0)),ЭЭ!$F$25:$F$189,$F84,ЭЭ!$AC$25:$AC$189,"Удельный расход электроэнергии"),0)</f>
        <v>1.29184174515892</v>
      </c>
      <c r="AJ84" s="7988"/>
      <c r="AK84" s="7988"/>
      <c r="AL84" s="403"/>
      <c r="AM84" s="1278" t="s">
        <v>2975</v>
      </c>
      <c r="AN84" s="1278"/>
      <c r="AO84" s="1064" cm="1" t="str">
        <f t="array" ref="AO84:AO84">K84</f>
        <v>2028</v>
      </c>
      <c r="AP84" s="1278"/>
      <c r="AQ84" s="1278"/>
    </row>
    <row s="7991" customFormat="1" customHeight="1" ht="14.25">
      <c r="A85" s="1278"/>
      <c r="B85" s="445">
        <f>K85&lt;first_year+PERIOD_LENGTH</f>
        <v>1</v>
      </c>
      <c r="C85" s="1278"/>
      <c r="D85" s="1278"/>
      <c r="E85" s="703">
        <v>15</v>
      </c>
      <c r="F85" s="50" cm="1" t="str">
        <f t="array" ref="F85:F85">OFFSET(E85,-1,1)</f>
        <v>1</v>
      </c>
      <c r="G85" s="1278"/>
      <c r="H85" s="1278"/>
      <c r="I85" s="1278"/>
      <c r="J85" s="1278"/>
      <c r="K85" s="158">
        <f>first_year+3</f>
        <v>2029</v>
      </c>
      <c r="L85" s="1278"/>
      <c r="M85" s="1278"/>
      <c r="N85" s="1278"/>
      <c r="O85" s="1278"/>
      <c r="P85" s="1278"/>
      <c r="Q85" s="1278"/>
      <c r="R85" s="1278"/>
      <c r="S85" s="1278"/>
      <c r="T85" s="465" cm="1" t="str">
        <f t="array" ref="T85:T85">T84</f>
        <v>true</v>
      </c>
      <c r="U85" s="1278"/>
      <c r="V85" s="1278"/>
      <c r="W85" s="1278"/>
      <c r="X85" s="1563"/>
      <c r="Y85" s="1278"/>
      <c r="Z85" s="1546"/>
      <c r="AA85" s="1278"/>
      <c r="AB85" s="833" t="str">
        <f>K85&amp;" год"</f>
        <v>2029 год</v>
      </c>
      <c r="AC85" s="834"/>
      <c r="AD85" s="835">
        <f>_xlfn.IFERROR(_xlfn.SUMIFS(INDEX(Сценарии!$AE$25:$BF$163,,MATCH($K85&amp;"Принято органом регулирования",Сценарии!$AE$8:$BF$8,0)),Сценарии!$F$25:$F$163,$F85,Сценарии!$AC$25:$AC$163,"Индекс эффективности операционных расходов"),0)</f>
        <v>1</v>
      </c>
      <c r="AE85" s="834"/>
      <c r="AF85" s="834">
        <f>_xlfn.IFERROR(_xlfn.SUMIFS(INDEX(Баланс!$AE$25:$BB$482,,MATCH($K85&amp;"Принято органом регулирования",Баланс!$AE$8:$BB$8,0)),Баланс!$F$25:$F$482,$F85,Баланс!$AC$24:$AC$482,"Уровень потерь воды"),0)</f>
        <v>0</v>
      </c>
      <c r="AG85" s="1264">
        <f>_xlfn.IFERROR(_xlfn.SUMIFS(INDEX(Electricity_LOAD_1,,MATCH($K85&amp;"Принято органом регулирования",ЭЭ!$AE$8:$BB$8,0)),ЭЭ!$F$25:$F$189,$F85,ЭЭ!$AC$25:$AC$189,"Удельный расход электроэнергии"),0)</f>
        <v>1.2918417457403</v>
      </c>
      <c r="AH85" s="7973">
        <f>_xlfn.IFERROR(_xlfn.SUMIFS(INDEX(Electricity_LOAD_1,,MATCH($K85&amp;"Принято органом регулирования",ЭЭ!$AE$8:$BB$8,0)),ЭЭ!$F$25:$F$189,$F85,ЭЭ!$AC$25:$AC$189,"Удельный расход электроэнергии"),0)</f>
        <v>1.2918417457403</v>
      </c>
      <c r="AI85" s="7973">
        <f>_xlfn.IFERROR(_xlfn.SUMIFS(INDEX(Electricity_LOAD_1,,MATCH($K85&amp;"Принято органом регулирования",ЭЭ!$AE$8:$BB$8,0)),ЭЭ!$F$25:$F$189,$F85,ЭЭ!$AC$25:$AC$189,"Удельный расход электроэнергии"),0)</f>
        <v>1.2918417457403</v>
      </c>
      <c r="AJ85" s="7988"/>
      <c r="AK85" s="7988"/>
      <c r="AL85" s="403"/>
      <c r="AM85" s="1278" t="s">
        <v>2975</v>
      </c>
      <c r="AN85" s="1278"/>
      <c r="AO85" s="1064" cm="1" t="str">
        <f t="array" ref="AO85:AO85">K85</f>
        <v>2029</v>
      </c>
      <c r="AP85" s="1278"/>
      <c r="AQ85" s="1278"/>
    </row>
    <row s="7992" customFormat="1" customHeight="1" ht="14.25">
      <c r="A86" s="1278"/>
      <c r="B86" s="445">
        <f>K86&lt;first_year+PERIOD_LENGTH</f>
        <v>1</v>
      </c>
      <c r="C86" s="1278"/>
      <c r="D86" s="1278"/>
      <c r="E86" s="703">
        <v>15</v>
      </c>
      <c r="F86" s="50" cm="1" t="str">
        <f t="array" ref="F86:F86">OFFSET(E86,-1,1)</f>
        <v>1</v>
      </c>
      <c r="G86" s="1278"/>
      <c r="H86" s="1278"/>
      <c r="I86" s="1278"/>
      <c r="J86" s="1278"/>
      <c r="K86" s="158">
        <f>first_year+4</f>
        <v>2030</v>
      </c>
      <c r="L86" s="1278"/>
      <c r="M86" s="1278"/>
      <c r="N86" s="1278"/>
      <c r="O86" s="1278"/>
      <c r="P86" s="1278"/>
      <c r="Q86" s="1278"/>
      <c r="R86" s="1278"/>
      <c r="S86" s="1278"/>
      <c r="T86" s="465" cm="1" t="str">
        <f t="array" ref="T86:T86">T85</f>
        <v>true</v>
      </c>
      <c r="U86" s="1278"/>
      <c r="V86" s="1278"/>
      <c r="W86" s="1278"/>
      <c r="X86" s="1563"/>
      <c r="Y86" s="1278"/>
      <c r="Z86" s="1546"/>
      <c r="AA86" s="1278"/>
      <c r="AB86" s="833" t="str">
        <f>K86&amp;" год"</f>
        <v>2030 год</v>
      </c>
      <c r="AC86" s="834"/>
      <c r="AD86" s="835">
        <f>_xlfn.IFERROR(_xlfn.SUMIFS(INDEX(Сценарии!$AE$25:$BF$163,,MATCH($K86&amp;"Принято органом регулирования",Сценарии!$AE$8:$BF$8,0)),Сценарии!$F$25:$F$163,$F86,Сценарии!$AC$25:$AC$163,"Индекс эффективности операционных расходов"),0)</f>
        <v>1</v>
      </c>
      <c r="AE86" s="834"/>
      <c r="AF86" s="834">
        <f>_xlfn.IFERROR(_xlfn.SUMIFS(INDEX(Баланс!$AE$25:$BB$482,,MATCH($K86&amp;"Принято органом регулирования",Баланс!$AE$8:$BB$8,0)),Баланс!$F$25:$F$482,$F86,Баланс!$AC$24:$AC$482,"Уровень потерь воды"),0)</f>
        <v>0</v>
      </c>
      <c r="AG86" s="1264">
        <f>_xlfn.IFERROR(_xlfn.SUMIFS(INDEX(Electricity_LOAD_1,,MATCH($K86&amp;"Принято органом регулирования",ЭЭ!$AE$8:$BB$8,0)),ЭЭ!$F$25:$F$189,$F86,ЭЭ!$AC$25:$AC$189,"Удельный расход электроэнергии"),0)</f>
        <v>1.29184174384053</v>
      </c>
      <c r="AH86" s="7973">
        <f>_xlfn.IFERROR(_xlfn.SUMIFS(INDEX(Electricity_LOAD_1,,MATCH($K86&amp;"Принято органом регулирования",ЭЭ!$AE$8:$BB$8,0)),ЭЭ!$F$25:$F$189,$F86,ЭЭ!$AC$25:$AC$189,"Удельный расход электроэнергии"),0)</f>
        <v>1.29184174384053</v>
      </c>
      <c r="AI86" s="7973">
        <f>_xlfn.IFERROR(_xlfn.SUMIFS(INDEX(Electricity_LOAD_1,,MATCH($K86&amp;"Принято органом регулирования",ЭЭ!$AE$8:$BB$8,0)),ЭЭ!$F$25:$F$189,$F86,ЭЭ!$AC$25:$AC$189,"Удельный расход электроэнергии"),0)</f>
        <v>1.29184174384053</v>
      </c>
      <c r="AJ86" s="7988"/>
      <c r="AK86" s="7988"/>
      <c r="AL86" s="403"/>
      <c r="AM86" s="1278" t="s">
        <v>2975</v>
      </c>
      <c r="AN86" s="1278"/>
      <c r="AO86" s="1064" cm="1" t="str">
        <f t="array" ref="AO86:AO86">K86</f>
        <v>2030</v>
      </c>
      <c r="AP86" s="1278"/>
      <c r="AQ86" s="1278"/>
    </row>
    <row s="7993" customFormat="1" customHeight="1" ht="14.25" hidden="1">
      <c r="A87" s="1278"/>
      <c r="B87" s="445">
        <f>K87&lt;first_year+PERIOD_LENGTH</f>
        <v>0</v>
      </c>
      <c r="C87" s="1278"/>
      <c r="D87" s="1278"/>
      <c r="E87" s="703">
        <v>15</v>
      </c>
      <c r="F87" s="50" cm="1" t="str">
        <f t="array" ref="F87:F87">OFFSET(E87,-1,1)</f>
        <v>1</v>
      </c>
      <c r="G87" s="1278"/>
      <c r="H87" s="1278"/>
      <c r="I87" s="1278"/>
      <c r="J87" s="1278"/>
      <c r="K87" s="158">
        <f>first_year+5</f>
        <v>2031</v>
      </c>
      <c r="L87" s="1278"/>
      <c r="M87" s="1278"/>
      <c r="N87" s="1278"/>
      <c r="O87" s="1278"/>
      <c r="P87" s="1278"/>
      <c r="Q87" s="1278"/>
      <c r="R87" s="1278"/>
      <c r="S87" s="1278"/>
      <c r="T87" s="465" cm="1" t="str">
        <f t="array" ref="T87:T87">T86</f>
        <v>true</v>
      </c>
      <c r="U87" s="1278"/>
      <c r="V87" s="1278"/>
      <c r="W87" s="1278"/>
      <c r="X87" s="1563"/>
      <c r="Y87" s="1278"/>
      <c r="Z87" s="1546"/>
      <c r="AA87" s="1278"/>
      <c r="AB87" s="833" t="str">
        <f>K87&amp;" год"</f>
        <v>2031 год</v>
      </c>
      <c r="AC87" s="7974"/>
      <c r="AD87" s="7973">
        <f>_xlfn.IFERROR(_xlfn.SUMIFS(INDEX(Сценарии!$AE$25:$BF$163,,MATCH($K87&amp;"Принято органом регулирования",Сценарии!$AE$8:$BF$8,0)),Сценарии!$F$25:$F$163,$F87,Сценарии!$AC$25:$AC$163,"Индекс эффективности операционных расходов"),0)</f>
        <v>0</v>
      </c>
      <c r="AE87" s="7974"/>
      <c r="AF87" s="7974">
        <f>_xlfn.IFERROR(_xlfn.SUMIFS(INDEX(Баланс!$AE$25:$BB$482,,MATCH($K87&amp;"Принято органом регулирования",Баланс!$AE$8:$BB$8,0)),Баланс!$F$25:$F$482,$F87,Баланс!$AC$24:$AC$482,"Уровень потерь воды"),0)</f>
        <v>0</v>
      </c>
      <c r="AG87" s="7975">
        <f>_xlfn.IFERROR(_xlfn.SUMIFS(INDEX(Electricity_LOAD_1,,MATCH($K87&amp;"Принято органом регулирования",ЭЭ!$AE$8:$BB$8,0)),ЭЭ!$F$25:$F$189,$F87,ЭЭ!$AC$25:$AC$189,"Удельный расход электроэнергии"),0)</f>
        <v>0</v>
      </c>
      <c r="AH87" s="7973">
        <f>_xlfn.IFERROR(_xlfn.SUMIFS(INDEX(Electricity_LOAD_1,,MATCH($K87&amp;"Принято органом регулирования",ЭЭ!$AE$8:$BB$8,0)),ЭЭ!$F$25:$F$189,$F87,ЭЭ!$AC$25:$AC$189,"Удельный расход электроэнергии"),0)</f>
        <v>0</v>
      </c>
      <c r="AI87" s="7973">
        <f>_xlfn.IFERROR(_xlfn.SUMIFS(INDEX(Electricity_LOAD_1,,MATCH($K87&amp;"Принято органом регулирования",ЭЭ!$AE$8:$BB$8,0)),ЭЭ!$F$25:$F$189,$F87,ЭЭ!$AC$25:$AC$189,"Удельный расход электроэнергии"),0)</f>
        <v>0</v>
      </c>
      <c r="AJ87" s="7988"/>
      <c r="AK87" s="7988"/>
      <c r="AL87" s="403"/>
      <c r="AM87" s="1278" t="s">
        <v>2975</v>
      </c>
      <c r="AN87" s="1278"/>
      <c r="AO87" s="1064" cm="1" t="str">
        <f t="array" ref="AO87:AO87">K87</f>
        <v>2031</v>
      </c>
      <c r="AP87" s="1278"/>
      <c r="AQ87" s="1278"/>
    </row>
    <row s="7994" customFormat="1" customHeight="1" ht="14.25" hidden="1">
      <c r="A88" s="1278"/>
      <c r="B88" s="445">
        <f>K88&lt;first_year+PERIOD_LENGTH</f>
        <v>0</v>
      </c>
      <c r="C88" s="1278"/>
      <c r="D88" s="1278"/>
      <c r="E88" s="703">
        <v>15</v>
      </c>
      <c r="F88" s="50" cm="1" t="str">
        <f t="array" ref="F88:F88">OFFSET(E88,-1,1)</f>
        <v>1</v>
      </c>
      <c r="G88" s="1278"/>
      <c r="H88" s="1278"/>
      <c r="I88" s="1278"/>
      <c r="J88" s="1278"/>
      <c r="K88" s="158">
        <f>first_year+6</f>
        <v>2032</v>
      </c>
      <c r="L88" s="1278"/>
      <c r="M88" s="1278"/>
      <c r="N88" s="1278"/>
      <c r="O88" s="1278"/>
      <c r="P88" s="1278"/>
      <c r="Q88" s="1278"/>
      <c r="R88" s="1278"/>
      <c r="S88" s="1278"/>
      <c r="T88" s="465" cm="1" t="str">
        <f t="array" ref="T88:T88">T87</f>
        <v>true</v>
      </c>
      <c r="U88" s="1278"/>
      <c r="V88" s="1278"/>
      <c r="W88" s="1278"/>
      <c r="X88" s="1563"/>
      <c r="Y88" s="1278"/>
      <c r="Z88" s="1546"/>
      <c r="AA88" s="1278"/>
      <c r="AB88" s="833" t="str">
        <f>K88&amp;" год"</f>
        <v>2032 год</v>
      </c>
      <c r="AC88" s="7974"/>
      <c r="AD88" s="7973">
        <f>_xlfn.IFERROR(_xlfn.SUMIFS(INDEX(Сценарии!$AE$25:$BF$163,,MATCH($K88&amp;"Принято органом регулирования",Сценарии!$AE$8:$BF$8,0)),Сценарии!$F$25:$F$163,$F88,Сценарии!$AC$25:$AC$163,"Индекс эффективности операционных расходов"),0)</f>
        <v>0</v>
      </c>
      <c r="AE88" s="7974"/>
      <c r="AF88" s="7974">
        <f>_xlfn.IFERROR(_xlfn.SUMIFS(INDEX(Баланс!$AE$25:$BB$482,,MATCH($K88&amp;"Принято органом регулирования",Баланс!$AE$8:$BB$8,0)),Баланс!$F$25:$F$482,$F88,Баланс!$AC$24:$AC$482,"Уровень потерь воды"),0)</f>
        <v>0</v>
      </c>
      <c r="AG88" s="7975">
        <f>_xlfn.IFERROR(_xlfn.SUMIFS(INDEX(Electricity_LOAD_1,,MATCH($K88&amp;"Принято органом регулирования",ЭЭ!$AE$8:$BB$8,0)),ЭЭ!$F$25:$F$189,$F88,ЭЭ!$AC$25:$AC$189,"Удельный расход электроэнергии"),0)</f>
        <v>0</v>
      </c>
      <c r="AH88" s="7973">
        <f>_xlfn.IFERROR(_xlfn.SUMIFS(INDEX(Electricity_LOAD_1,,MATCH($K88&amp;"Принято органом регулирования",ЭЭ!$AE$8:$BB$8,0)),ЭЭ!$F$25:$F$189,$F88,ЭЭ!$AC$25:$AC$189,"Удельный расход электроэнергии"),0)</f>
        <v>0</v>
      </c>
      <c r="AI88" s="7973">
        <f>_xlfn.IFERROR(_xlfn.SUMIFS(INDEX(Electricity_LOAD_1,,MATCH($K88&amp;"Принято органом регулирования",ЭЭ!$AE$8:$BB$8,0)),ЭЭ!$F$25:$F$189,$F88,ЭЭ!$AC$25:$AC$189,"Удельный расход электроэнергии"),0)</f>
        <v>0</v>
      </c>
      <c r="AJ88" s="7988"/>
      <c r="AK88" s="7988"/>
      <c r="AL88" s="403"/>
      <c r="AM88" s="1278" t="s">
        <v>2975</v>
      </c>
      <c r="AN88" s="1278"/>
      <c r="AO88" s="1064" cm="1" t="str">
        <f t="array" ref="AO88:AO88">K88</f>
        <v>2032</v>
      </c>
      <c r="AP88" s="1278"/>
      <c r="AQ88" s="1278"/>
    </row>
    <row s="7995" customFormat="1" customHeight="1" ht="14.25" hidden="1">
      <c r="A89" s="1278"/>
      <c r="B89" s="445">
        <f>K89&lt;first_year+PERIOD_LENGTH</f>
        <v>0</v>
      </c>
      <c r="C89" s="1278"/>
      <c r="D89" s="1278"/>
      <c r="E89" s="703">
        <v>15</v>
      </c>
      <c r="F89" s="50" cm="1" t="str">
        <f t="array" ref="F89:F89">OFFSET(E89,-1,1)</f>
        <v>1</v>
      </c>
      <c r="G89" s="1278"/>
      <c r="H89" s="1278"/>
      <c r="I89" s="1278"/>
      <c r="J89" s="1278"/>
      <c r="K89" s="158">
        <f>first_year+7</f>
        <v>2033</v>
      </c>
      <c r="L89" s="1278"/>
      <c r="M89" s="1278"/>
      <c r="N89" s="1278"/>
      <c r="O89" s="1278"/>
      <c r="P89" s="1278"/>
      <c r="Q89" s="1278"/>
      <c r="R89" s="1278"/>
      <c r="S89" s="1278"/>
      <c r="T89" s="465" cm="1" t="str">
        <f t="array" ref="T89:T89">T88</f>
        <v>true</v>
      </c>
      <c r="U89" s="1278"/>
      <c r="V89" s="1278"/>
      <c r="W89" s="1278"/>
      <c r="X89" s="1563"/>
      <c r="Y89" s="1278"/>
      <c r="Z89" s="1546"/>
      <c r="AA89" s="1278"/>
      <c r="AB89" s="833" t="str">
        <f>K89&amp;" год"</f>
        <v>2033 год</v>
      </c>
      <c r="AC89" s="7974"/>
      <c r="AD89" s="7973">
        <f>_xlfn.IFERROR(_xlfn.SUMIFS(INDEX(Сценарии!$AE$25:$BF$163,,MATCH($K89&amp;"Принято органом регулирования",Сценарии!$AE$8:$BF$8,0)),Сценарии!$F$25:$F$163,$F89,Сценарии!$AC$25:$AC$163,"Индекс эффективности операционных расходов"),0)</f>
        <v>0</v>
      </c>
      <c r="AE89" s="7974"/>
      <c r="AF89" s="7974">
        <f>_xlfn.IFERROR(_xlfn.SUMIFS(INDEX(Баланс!$AE$25:$BB$482,,MATCH($K89&amp;"Принято органом регулирования",Баланс!$AE$8:$BB$8,0)),Баланс!$F$25:$F$482,$F89,Баланс!$AC$24:$AC$482,"Уровень потерь воды"),0)</f>
        <v>0</v>
      </c>
      <c r="AG89" s="7975">
        <f>_xlfn.IFERROR(_xlfn.SUMIFS(INDEX(Electricity_LOAD_1,,MATCH($K89&amp;"Принято органом регулирования",ЭЭ!$AE$8:$BB$8,0)),ЭЭ!$F$25:$F$189,$F89,ЭЭ!$AC$25:$AC$189,"Удельный расход электроэнергии"),0)</f>
        <v>0</v>
      </c>
      <c r="AH89" s="7973">
        <f>_xlfn.IFERROR(_xlfn.SUMIFS(INDEX(Electricity_LOAD_1,,MATCH($K89&amp;"Принято органом регулирования",ЭЭ!$AE$8:$BB$8,0)),ЭЭ!$F$25:$F$189,$F89,ЭЭ!$AC$25:$AC$189,"Удельный расход электроэнергии"),0)</f>
        <v>0</v>
      </c>
      <c r="AI89" s="7973">
        <f>_xlfn.IFERROR(_xlfn.SUMIFS(INDEX(Electricity_LOAD_1,,MATCH($K89&amp;"Принято органом регулирования",ЭЭ!$AE$8:$BB$8,0)),ЭЭ!$F$25:$F$189,$F89,ЭЭ!$AC$25:$AC$189,"Удельный расход электроэнергии"),0)</f>
        <v>0</v>
      </c>
      <c r="AJ89" s="7988"/>
      <c r="AK89" s="7988"/>
      <c r="AL89" s="403"/>
      <c r="AM89" s="1278" t="s">
        <v>2975</v>
      </c>
      <c r="AN89" s="1278"/>
      <c r="AO89" s="1064" cm="1" t="str">
        <f t="array" ref="AO89:AO89">K89</f>
        <v>2033</v>
      </c>
      <c r="AP89" s="1278"/>
      <c r="AQ89" s="1278"/>
    </row>
    <row s="7996" customFormat="1" customHeight="1" ht="14.25" hidden="1">
      <c r="A90" s="1278"/>
      <c r="B90" s="445">
        <f>K90&lt;first_year+PERIOD_LENGTH</f>
        <v>0</v>
      </c>
      <c r="C90" s="1278"/>
      <c r="D90" s="1278"/>
      <c r="E90" s="703">
        <v>15</v>
      </c>
      <c r="F90" s="50" cm="1" t="str">
        <f t="array" ref="F90:F90">OFFSET(E90,-1,1)</f>
        <v>1</v>
      </c>
      <c r="G90" s="1278"/>
      <c r="H90" s="1278"/>
      <c r="I90" s="1278"/>
      <c r="J90" s="1278"/>
      <c r="K90" s="158">
        <f>first_year+8</f>
        <v>2034</v>
      </c>
      <c r="L90" s="1278"/>
      <c r="M90" s="1278"/>
      <c r="N90" s="1278"/>
      <c r="O90" s="1278"/>
      <c r="P90" s="1278"/>
      <c r="Q90" s="1278"/>
      <c r="R90" s="1278"/>
      <c r="S90" s="1278"/>
      <c r="T90" s="465" cm="1" t="str">
        <f t="array" ref="T90:T90">T89</f>
        <v>true</v>
      </c>
      <c r="U90" s="1278"/>
      <c r="V90" s="1278"/>
      <c r="W90" s="1278"/>
      <c r="X90" s="1563"/>
      <c r="Y90" s="1278"/>
      <c r="Z90" s="1546"/>
      <c r="AA90" s="1278"/>
      <c r="AB90" s="833" t="str">
        <f>K90&amp;" год"</f>
        <v>2034 год</v>
      </c>
      <c r="AC90" s="7974"/>
      <c r="AD90" s="7973">
        <f>_xlfn.IFERROR(_xlfn.SUMIFS(INDEX(Сценарии!$AE$25:$BF$163,,MATCH($K90&amp;"Принято органом регулирования",Сценарии!$AE$8:$BF$8,0)),Сценарии!$F$25:$F$163,$F90,Сценарии!$AC$25:$AC$163,"Индекс эффективности операционных расходов"),0)</f>
        <v>0</v>
      </c>
      <c r="AE90" s="7974"/>
      <c r="AF90" s="7974">
        <f>_xlfn.IFERROR(_xlfn.SUMIFS(INDEX(Баланс!$AE$25:$BB$482,,MATCH($K90&amp;"Принято органом регулирования",Баланс!$AE$8:$BB$8,0)),Баланс!$F$25:$F$482,$F90,Баланс!$AC$24:$AC$482,"Уровень потерь воды"),0)</f>
        <v>0</v>
      </c>
      <c r="AG90" s="7975">
        <f>_xlfn.IFERROR(_xlfn.SUMIFS(INDEX(Electricity_LOAD_1,,MATCH($K90&amp;"Принято органом регулирования",ЭЭ!$AE$8:$BB$8,0)),ЭЭ!$F$25:$F$189,$F90,ЭЭ!$AC$25:$AC$189,"Удельный расход электроэнергии"),0)</f>
        <v>0</v>
      </c>
      <c r="AH90" s="7973">
        <f>_xlfn.IFERROR(_xlfn.SUMIFS(INDEX(Electricity_LOAD_1,,MATCH($K90&amp;"Принято органом регулирования",ЭЭ!$AE$8:$BB$8,0)),ЭЭ!$F$25:$F$189,$F90,ЭЭ!$AC$25:$AC$189,"Удельный расход электроэнергии"),0)</f>
        <v>0</v>
      </c>
      <c r="AI90" s="7973">
        <f>_xlfn.IFERROR(_xlfn.SUMIFS(INDEX(Electricity_LOAD_1,,MATCH($K90&amp;"Принято органом регулирования",ЭЭ!$AE$8:$BB$8,0)),ЭЭ!$F$25:$F$189,$F90,ЭЭ!$AC$25:$AC$189,"Удельный расход электроэнергии"),0)</f>
        <v>0</v>
      </c>
      <c r="AJ90" s="7988"/>
      <c r="AK90" s="7988"/>
      <c r="AL90" s="403"/>
      <c r="AM90" s="1278" t="s">
        <v>2975</v>
      </c>
      <c r="AN90" s="1278"/>
      <c r="AO90" s="1064" cm="1" t="str">
        <f t="array" ref="AO90:AO90">K90</f>
        <v>2034</v>
      </c>
      <c r="AP90" s="1278"/>
      <c r="AQ90" s="1278"/>
    </row>
    <row s="7997" customFormat="1" customHeight="1" ht="14.25" hidden="1">
      <c r="A91" s="1278"/>
      <c r="B91" s="445">
        <f>K91&lt;first_year+PERIOD_LENGTH</f>
        <v>0</v>
      </c>
      <c r="C91" s="1278"/>
      <c r="D91" s="1278"/>
      <c r="E91" s="703">
        <v>15</v>
      </c>
      <c r="F91" s="50" cm="1" t="str">
        <f t="array" ref="F91:F91">OFFSET(E91,-1,1)</f>
        <v>1</v>
      </c>
      <c r="G91" s="1278"/>
      <c r="H91" s="1278"/>
      <c r="I91" s="1278"/>
      <c r="J91" s="1278"/>
      <c r="K91" s="158">
        <f>first_year+9</f>
        <v>2035</v>
      </c>
      <c r="L91" s="1278"/>
      <c r="M91" s="1278"/>
      <c r="N91" s="1278"/>
      <c r="O91" s="1278"/>
      <c r="P91" s="1278"/>
      <c r="Q91" s="1278"/>
      <c r="R91" s="1278"/>
      <c r="S91" s="1278"/>
      <c r="T91" s="465" cm="1" t="str">
        <f t="array" ref="T91:T91">T90</f>
        <v>true</v>
      </c>
      <c r="U91" s="1278"/>
      <c r="V91" s="1278"/>
      <c r="W91" s="1278"/>
      <c r="X91" s="1563"/>
      <c r="Y91" s="1278"/>
      <c r="Z91" s="1546"/>
      <c r="AA91" s="1278"/>
      <c r="AB91" s="833" t="str">
        <f>K91&amp;" год"</f>
        <v>2035 год</v>
      </c>
      <c r="AC91" s="7974"/>
      <c r="AD91" s="7973">
        <f>_xlfn.IFERROR(_xlfn.SUMIFS(INDEX(Сценарии!$AE$25:$BF$163,,MATCH($K91&amp;"Принято органом регулирования",Сценарии!$AE$8:$BF$8,0)),Сценарии!$F$25:$F$163,$F91,Сценарии!$AC$25:$AC$163,"Индекс эффективности операционных расходов"),0)</f>
        <v>0</v>
      </c>
      <c r="AE91" s="7974"/>
      <c r="AF91" s="7974">
        <f>_xlfn.IFERROR(_xlfn.SUMIFS(INDEX(Баланс!$AE$25:$BB$482,,MATCH($K91&amp;"Принято органом регулирования",Баланс!$AE$8:$BB$8,0)),Баланс!$F$25:$F$482,$F91,Баланс!$AC$24:$AC$482,"Уровень потерь воды"),0)</f>
        <v>0</v>
      </c>
      <c r="AG91" s="7975">
        <f>_xlfn.IFERROR(_xlfn.SUMIFS(INDEX(Electricity_LOAD_1,,MATCH($K91&amp;"Принято органом регулирования",ЭЭ!$AE$8:$BB$8,0)),ЭЭ!$F$25:$F$189,$F91,ЭЭ!$AC$25:$AC$189,"Удельный расход электроэнергии"),0)</f>
        <v>0</v>
      </c>
      <c r="AH91" s="7973">
        <f>_xlfn.IFERROR(_xlfn.SUMIFS(INDEX(Electricity_LOAD_1,,MATCH($K91&amp;"Принято органом регулирования",ЭЭ!$AE$8:$BB$8,0)),ЭЭ!$F$25:$F$189,$F91,ЭЭ!$AC$25:$AC$189,"Удельный расход электроэнергии"),0)</f>
        <v>0</v>
      </c>
      <c r="AI91" s="7973">
        <f>_xlfn.IFERROR(_xlfn.SUMIFS(INDEX(Electricity_LOAD_1,,MATCH($K91&amp;"Принято органом регулирования",ЭЭ!$AE$8:$BB$8,0)),ЭЭ!$F$25:$F$189,$F91,ЭЭ!$AC$25:$AC$189,"Удельный расход электроэнергии"),0)</f>
        <v>0</v>
      </c>
      <c r="AJ91" s="7988"/>
      <c r="AK91" s="7988"/>
      <c r="AL91" s="403"/>
      <c r="AM91" s="1278" t="s">
        <v>2975</v>
      </c>
      <c r="AN91" s="1278"/>
      <c r="AO91" s="1064" cm="1" t="str">
        <f t="array" ref="AO91:AO91">K91</f>
        <v>2035</v>
      </c>
      <c r="AP91" s="1278"/>
      <c r="AQ91" s="1278"/>
    </row>
    <row s="7998" customFormat="1" customHeight="1" ht="14.25" hidden="1">
      <c r="A92" s="1278"/>
      <c r="B92" s="445">
        <f>K92&lt;first_year+PERIOD_LENGTH</f>
        <v>0</v>
      </c>
      <c r="C92" s="1278"/>
      <c r="D92" s="1278"/>
      <c r="E92" s="703">
        <v>15</v>
      </c>
      <c r="F92" s="50" cm="1" t="str">
        <f t="array" ref="F92:F92">OFFSET(E92,-1,1)</f>
        <v>1</v>
      </c>
      <c r="G92" s="1278"/>
      <c r="H92" s="1278"/>
      <c r="I92" s="1278"/>
      <c r="J92" s="1278"/>
      <c r="K92" s="158">
        <f>first_year+10</f>
        <v>2036</v>
      </c>
      <c r="L92" s="1278"/>
      <c r="M92" s="1278"/>
      <c r="N92" s="1278"/>
      <c r="O92" s="1278"/>
      <c r="P92" s="1278"/>
      <c r="Q92" s="1278"/>
      <c r="R92" s="1278"/>
      <c r="S92" s="1278"/>
      <c r="T92" s="465" cm="1" t="str">
        <f t="array" ref="T92:T92">T91</f>
        <v>true</v>
      </c>
      <c r="U92" s="1278"/>
      <c r="V92" s="1278"/>
      <c r="W92" s="1278"/>
      <c r="X92" s="1563"/>
      <c r="Y92" s="1278"/>
      <c r="Z92" s="1546"/>
      <c r="AA92" s="1278"/>
      <c r="AB92" s="833" t="str">
        <f>K92&amp;" год"</f>
        <v>2036 год</v>
      </c>
      <c r="AC92" s="7974"/>
      <c r="AD92" s="7973"/>
      <c r="AE92" s="7974"/>
      <c r="AF92" s="7974"/>
      <c r="AG92" s="7973"/>
      <c r="AH92" s="7973"/>
      <c r="AI92" s="7973"/>
      <c r="AJ92" s="7988"/>
      <c r="AK92" s="7999"/>
      <c r="AL92" s="403"/>
      <c r="AM92" s="1278"/>
      <c r="AN92" s="1278"/>
      <c r="AO92" s="1064" cm="1" t="str">
        <f t="array" ref="AO92:AO92">K92</f>
        <v>2036</v>
      </c>
      <c r="AP92" s="1278"/>
      <c r="AQ92" s="1278"/>
    </row>
    <row s="8000" customFormat="1" customHeight="1" ht="14.25" hidden="1">
      <c r="A93" s="1278"/>
      <c r="B93" s="445">
        <f>K93&lt;first_year+PERIOD_LENGTH</f>
        <v>0</v>
      </c>
      <c r="C93" s="1278"/>
      <c r="D93" s="1278"/>
      <c r="E93" s="703">
        <v>15</v>
      </c>
      <c r="F93" s="50" cm="1" t="str">
        <f t="array" ref="F93:F93">OFFSET(E93,-1,1)</f>
        <v>1</v>
      </c>
      <c r="G93" s="1278"/>
      <c r="H93" s="1278"/>
      <c r="I93" s="1278"/>
      <c r="J93" s="1278"/>
      <c r="K93" s="158">
        <f>first_year+11</f>
        <v>2037</v>
      </c>
      <c r="L93" s="1278"/>
      <c r="M93" s="1278"/>
      <c r="N93" s="1278"/>
      <c r="O93" s="1278"/>
      <c r="P93" s="1278"/>
      <c r="Q93" s="1278"/>
      <c r="R93" s="1278"/>
      <c r="S93" s="1278"/>
      <c r="T93" s="465" cm="1" t="str">
        <f t="array" ref="T93:T93">T92</f>
        <v>true</v>
      </c>
      <c r="U93" s="1278"/>
      <c r="V93" s="1278"/>
      <c r="W93" s="1278"/>
      <c r="X93" s="1563"/>
      <c r="Y93" s="1278"/>
      <c r="Z93" s="1546"/>
      <c r="AA93" s="1278"/>
      <c r="AB93" s="255" t="str">
        <f>K93&amp;" год"</f>
        <v>2037 год</v>
      </c>
      <c r="AC93" s="7974"/>
      <c r="AD93" s="7980"/>
      <c r="AE93" s="7981"/>
      <c r="AF93" s="7981"/>
      <c r="AG93" s="7980"/>
      <c r="AH93" s="7980"/>
      <c r="AI93" s="7980"/>
      <c r="AJ93" s="8001"/>
      <c r="AK93" s="8002"/>
      <c r="AL93" s="403"/>
      <c r="AM93" s="1278"/>
      <c r="AN93" s="1278"/>
      <c r="AO93" s="1064" cm="1" t="str">
        <f t="array" ref="AO93:AO93">K93</f>
        <v>2037</v>
      </c>
      <c r="AP93" s="1278"/>
      <c r="AQ93" s="1278"/>
    </row>
    <row s="8003" customFormat="1" customHeight="1" ht="14.25" hidden="1">
      <c r="A94" s="1278"/>
      <c r="B94" s="445">
        <f>K94&lt;first_year+PERIOD_LENGTH</f>
        <v>0</v>
      </c>
      <c r="C94" s="1278"/>
      <c r="D94" s="1278"/>
      <c r="E94" s="703">
        <v>15</v>
      </c>
      <c r="F94" s="50" cm="1" t="str">
        <f t="array" ref="F94:F94">OFFSET(E94,-1,1)</f>
        <v>1</v>
      </c>
      <c r="G94" s="1278"/>
      <c r="H94" s="1278"/>
      <c r="I94" s="1278"/>
      <c r="J94" s="1278"/>
      <c r="K94" s="158">
        <f>first_year+12</f>
        <v>2038</v>
      </c>
      <c r="L94" s="1278"/>
      <c r="M94" s="1278"/>
      <c r="N94" s="1278"/>
      <c r="O94" s="1278"/>
      <c r="P94" s="1278"/>
      <c r="Q94" s="1278"/>
      <c r="R94" s="1278"/>
      <c r="S94" s="1278"/>
      <c r="T94" s="465" cm="1" t="str">
        <f t="array" ref="T94:T94">T93</f>
        <v>true</v>
      </c>
      <c r="U94" s="1278"/>
      <c r="V94" s="1278"/>
      <c r="W94" s="1278"/>
      <c r="X94" s="1563"/>
      <c r="Y94" s="1278"/>
      <c r="Z94" s="1546"/>
      <c r="AA94" s="1278"/>
      <c r="AB94" s="255" t="str">
        <f>K94&amp;" год"</f>
        <v>2038 год</v>
      </c>
      <c r="AC94" s="7974"/>
      <c r="AD94" s="7980"/>
      <c r="AE94" s="7981"/>
      <c r="AF94" s="7981"/>
      <c r="AG94" s="7980"/>
      <c r="AH94" s="7980"/>
      <c r="AI94" s="7980"/>
      <c r="AJ94" s="8001"/>
      <c r="AK94" s="8002"/>
      <c r="AL94" s="403"/>
      <c r="AM94" s="1278"/>
      <c r="AN94" s="1278"/>
      <c r="AO94" s="1064" cm="1" t="str">
        <f t="array" ref="AO94:AO94">K94</f>
        <v>2038</v>
      </c>
      <c r="AP94" s="1278"/>
      <c r="AQ94" s="1278"/>
    </row>
    <row s="8004" customFormat="1" customHeight="1" ht="14.25" hidden="1">
      <c r="A95" s="1278"/>
      <c r="B95" s="445">
        <f>K95&lt;first_year+PERIOD_LENGTH</f>
        <v>0</v>
      </c>
      <c r="C95" s="1278"/>
      <c r="D95" s="1278"/>
      <c r="E95" s="703">
        <v>15</v>
      </c>
      <c r="F95" s="50" cm="1" t="str">
        <f t="array" ref="F95:F95">OFFSET(E95,-1,1)</f>
        <v>1</v>
      </c>
      <c r="G95" s="1278"/>
      <c r="H95" s="1278"/>
      <c r="I95" s="1278"/>
      <c r="J95" s="1278"/>
      <c r="K95" s="158">
        <f>first_year+13</f>
        <v>2039</v>
      </c>
      <c r="L95" s="1278"/>
      <c r="M95" s="1278"/>
      <c r="N95" s="1278"/>
      <c r="O95" s="1278"/>
      <c r="P95" s="1278"/>
      <c r="Q95" s="1278"/>
      <c r="R95" s="1278"/>
      <c r="S95" s="1278"/>
      <c r="T95" s="465" cm="1" t="str">
        <f t="array" ref="T95:T95">T94</f>
        <v>true</v>
      </c>
      <c r="U95" s="1278"/>
      <c r="V95" s="1278"/>
      <c r="W95" s="1278"/>
      <c r="X95" s="1563"/>
      <c r="Y95" s="1278"/>
      <c r="Z95" s="1546"/>
      <c r="AA95" s="1278"/>
      <c r="AB95" s="255" t="str">
        <f>K95&amp;" год"</f>
        <v>2039 год</v>
      </c>
      <c r="AC95" s="7974"/>
      <c r="AD95" s="7980"/>
      <c r="AE95" s="7981"/>
      <c r="AF95" s="7981"/>
      <c r="AG95" s="7980"/>
      <c r="AH95" s="7980"/>
      <c r="AI95" s="7980"/>
      <c r="AJ95" s="8001"/>
      <c r="AK95" s="8002"/>
      <c r="AL95" s="403"/>
      <c r="AM95" s="1278"/>
      <c r="AN95" s="1278"/>
      <c r="AO95" s="1064" cm="1" t="str">
        <f t="array" ref="AO95:AO95">K95</f>
        <v>2039</v>
      </c>
      <c r="AP95" s="1278"/>
      <c r="AQ95" s="1278"/>
    </row>
    <row s="8005" customFormat="1" customHeight="1" ht="14.25" hidden="1">
      <c r="A96" s="1278"/>
      <c r="B96" s="445">
        <f>K96&lt;first_year+PERIOD_LENGTH</f>
        <v>0</v>
      </c>
      <c r="C96" s="1278"/>
      <c r="D96" s="1278"/>
      <c r="E96" s="703">
        <v>15</v>
      </c>
      <c r="F96" s="50" cm="1" t="str">
        <f t="array" ref="F96:F96">OFFSET(E96,-1,1)</f>
        <v>1</v>
      </c>
      <c r="G96" s="1278"/>
      <c r="H96" s="1278"/>
      <c r="I96" s="1278"/>
      <c r="J96" s="1278"/>
      <c r="K96" s="158">
        <f>first_year+14</f>
        <v>2040</v>
      </c>
      <c r="L96" s="1278"/>
      <c r="M96" s="1278"/>
      <c r="N96" s="1278"/>
      <c r="O96" s="1278"/>
      <c r="P96" s="1278"/>
      <c r="Q96" s="1278"/>
      <c r="R96" s="1278"/>
      <c r="S96" s="1278"/>
      <c r="T96" s="465" cm="1" t="str">
        <f t="array" ref="T96:T96">T95</f>
        <v>true</v>
      </c>
      <c r="U96" s="1278"/>
      <c r="V96" s="1278"/>
      <c r="W96" s="1278"/>
      <c r="X96" s="1563"/>
      <c r="Y96" s="1278"/>
      <c r="Z96" s="1546"/>
      <c r="AA96" s="1278"/>
      <c r="AB96" s="255" t="str">
        <f>K96&amp;" год"</f>
        <v>2040 год</v>
      </c>
      <c r="AC96" s="7974"/>
      <c r="AD96" s="7980"/>
      <c r="AE96" s="7981"/>
      <c r="AF96" s="7981"/>
      <c r="AG96" s="7980"/>
      <c r="AH96" s="7980"/>
      <c r="AI96" s="7980"/>
      <c r="AJ96" s="8001"/>
      <c r="AK96" s="8002"/>
      <c r="AL96" s="403"/>
      <c r="AM96" s="1278"/>
      <c r="AN96" s="1278"/>
      <c r="AO96" s="1064" cm="1" t="str">
        <f t="array" ref="AO96:AO96">K96</f>
        <v>2040</v>
      </c>
      <c r="AP96" s="1278"/>
      <c r="AQ96" s="1278"/>
    </row>
    <row s="8006" customFormat="1" customHeight="1" ht="14.25" hidden="1">
      <c r="A97" s="1278"/>
      <c r="B97" s="445">
        <f>K97&lt;first_year+PERIOD_LENGTH</f>
        <v>0</v>
      </c>
      <c r="C97" s="1278"/>
      <c r="D97" s="1278"/>
      <c r="E97" s="703">
        <v>15</v>
      </c>
      <c r="F97" s="50" cm="1" t="str">
        <f t="array" ref="F97:F97">OFFSET(E97,-1,1)</f>
        <v>1</v>
      </c>
      <c r="G97" s="1278"/>
      <c r="H97" s="1278"/>
      <c r="I97" s="1278"/>
      <c r="J97" s="1278"/>
      <c r="K97" s="158">
        <f>first_year+15</f>
        <v>2041</v>
      </c>
      <c r="L97" s="1278"/>
      <c r="M97" s="1278"/>
      <c r="N97" s="1278"/>
      <c r="O97" s="1278"/>
      <c r="P97" s="1278"/>
      <c r="Q97" s="1278"/>
      <c r="R97" s="1278"/>
      <c r="S97" s="1278"/>
      <c r="T97" s="465" cm="1" t="str">
        <f t="array" ref="T97:T97">T96</f>
        <v>true</v>
      </c>
      <c r="U97" s="1278"/>
      <c r="V97" s="1278"/>
      <c r="W97" s="1278"/>
      <c r="X97" s="1563"/>
      <c r="Y97" s="1278"/>
      <c r="Z97" s="1546"/>
      <c r="AA97" s="1278"/>
      <c r="AB97" s="255" t="str">
        <f>K97&amp;" год"</f>
        <v>2041 год</v>
      </c>
      <c r="AC97" s="7974"/>
      <c r="AD97" s="7980"/>
      <c r="AE97" s="7981"/>
      <c r="AF97" s="7981"/>
      <c r="AG97" s="7980"/>
      <c r="AH97" s="7980"/>
      <c r="AI97" s="7980"/>
      <c r="AJ97" s="8001"/>
      <c r="AK97" s="8002"/>
      <c r="AL97" s="403"/>
      <c r="AM97" s="1278"/>
      <c r="AN97" s="1278"/>
      <c r="AO97" s="1064" cm="1" t="str">
        <f t="array" ref="AO97:AO97">K97</f>
        <v>2041</v>
      </c>
      <c r="AP97" s="1278"/>
      <c r="AQ97" s="1278"/>
    </row>
    <row s="8007" customFormat="1" customHeight="1" ht="14.25" hidden="1">
      <c r="A98" s="1278"/>
      <c r="B98" s="445">
        <f>K98&lt;first_year+PERIOD_LENGTH</f>
        <v>0</v>
      </c>
      <c r="C98" s="1278"/>
      <c r="D98" s="1278"/>
      <c r="E98" s="703">
        <v>15</v>
      </c>
      <c r="F98" s="50" cm="1" t="str">
        <f t="array" ref="F98:F98">OFFSET(E98,-1,1)</f>
        <v>1</v>
      </c>
      <c r="G98" s="1278"/>
      <c r="H98" s="1278"/>
      <c r="I98" s="1278"/>
      <c r="J98" s="1278"/>
      <c r="K98" s="158">
        <f>first_year+16</f>
        <v>2042</v>
      </c>
      <c r="L98" s="1278"/>
      <c r="M98" s="1278"/>
      <c r="N98" s="1278"/>
      <c r="O98" s="1278"/>
      <c r="P98" s="1278"/>
      <c r="Q98" s="1278"/>
      <c r="R98" s="1278"/>
      <c r="S98" s="1278"/>
      <c r="T98" s="465" cm="1" t="str">
        <f t="array" ref="T98:T98">T97</f>
        <v>true</v>
      </c>
      <c r="U98" s="1278"/>
      <c r="V98" s="1278"/>
      <c r="W98" s="1278"/>
      <c r="X98" s="1563"/>
      <c r="Y98" s="1278"/>
      <c r="Z98" s="1546"/>
      <c r="AA98" s="1278"/>
      <c r="AB98" s="255" t="str">
        <f>K98&amp;" год"</f>
        <v>2042 год</v>
      </c>
      <c r="AC98" s="7974"/>
      <c r="AD98" s="7980"/>
      <c r="AE98" s="7981"/>
      <c r="AF98" s="7981"/>
      <c r="AG98" s="7980"/>
      <c r="AH98" s="7980"/>
      <c r="AI98" s="7980"/>
      <c r="AJ98" s="8001"/>
      <c r="AK98" s="8002"/>
      <c r="AL98" s="403"/>
      <c r="AM98" s="1278"/>
      <c r="AN98" s="1278"/>
      <c r="AO98" s="1064" cm="1" t="str">
        <f t="array" ref="AO98:AO98">K98</f>
        <v>2042</v>
      </c>
      <c r="AP98" s="1278"/>
      <c r="AQ98" s="1278"/>
    </row>
    <row s="8008" customFormat="1" customHeight="1" ht="14.25" hidden="1">
      <c r="A99" s="1278"/>
      <c r="B99" s="445">
        <f>K99&lt;first_year+PERIOD_LENGTH</f>
        <v>0</v>
      </c>
      <c r="C99" s="1278"/>
      <c r="D99" s="1278"/>
      <c r="E99" s="703">
        <v>15</v>
      </c>
      <c r="F99" s="50" cm="1" t="str">
        <f t="array" ref="F99:F99">OFFSET(E99,-1,1)</f>
        <v>1</v>
      </c>
      <c r="G99" s="1278"/>
      <c r="H99" s="1278"/>
      <c r="I99" s="1278"/>
      <c r="J99" s="1278"/>
      <c r="K99" s="158">
        <f>first_year+17</f>
        <v>2043</v>
      </c>
      <c r="L99" s="1278"/>
      <c r="M99" s="1278"/>
      <c r="N99" s="1278"/>
      <c r="O99" s="1278"/>
      <c r="P99" s="1278"/>
      <c r="Q99" s="1278"/>
      <c r="R99" s="1278"/>
      <c r="S99" s="1278"/>
      <c r="T99" s="465" cm="1" t="str">
        <f t="array" ref="T99:T99">T98</f>
        <v>true</v>
      </c>
      <c r="U99" s="1278"/>
      <c r="V99" s="1278"/>
      <c r="W99" s="1278"/>
      <c r="X99" s="1563"/>
      <c r="Y99" s="1278"/>
      <c r="Z99" s="1546"/>
      <c r="AA99" s="1278"/>
      <c r="AB99" s="255" t="str">
        <f>K99&amp;" год"</f>
        <v>2043 год</v>
      </c>
      <c r="AC99" s="7974"/>
      <c r="AD99" s="7980"/>
      <c r="AE99" s="7981"/>
      <c r="AF99" s="7981"/>
      <c r="AG99" s="7980"/>
      <c r="AH99" s="7980"/>
      <c r="AI99" s="7980"/>
      <c r="AJ99" s="8001"/>
      <c r="AK99" s="8002"/>
      <c r="AL99" s="403"/>
      <c r="AM99" s="1278"/>
      <c r="AN99" s="1278"/>
      <c r="AO99" s="1064" cm="1" t="str">
        <f t="array" ref="AO99:AO99">K99</f>
        <v>2043</v>
      </c>
      <c r="AP99" s="1278"/>
      <c r="AQ99" s="1278"/>
    </row>
    <row s="8009" customFormat="1" customHeight="1" ht="14.25" hidden="1">
      <c r="A100" s="1278"/>
      <c r="B100" s="445">
        <f>K100&lt;first_year+PERIOD_LENGTH</f>
        <v>0</v>
      </c>
      <c r="C100" s="1278"/>
      <c r="D100" s="1278"/>
      <c r="E100" s="703">
        <v>15</v>
      </c>
      <c r="F100" s="50" cm="1" t="str">
        <f t="array" ref="F100:F100">OFFSET(E100,-1,1)</f>
        <v>1</v>
      </c>
      <c r="G100" s="1278"/>
      <c r="H100" s="1278"/>
      <c r="I100" s="1278"/>
      <c r="J100" s="1278"/>
      <c r="K100" s="158">
        <f>first_year+18</f>
        <v>2044</v>
      </c>
      <c r="L100" s="1278"/>
      <c r="M100" s="1278"/>
      <c r="N100" s="1278"/>
      <c r="O100" s="1278"/>
      <c r="P100" s="1278"/>
      <c r="Q100" s="1278"/>
      <c r="R100" s="1278"/>
      <c r="S100" s="1278"/>
      <c r="T100" s="465" cm="1" t="str">
        <f t="array" ref="T100:T100">T99</f>
        <v>true</v>
      </c>
      <c r="U100" s="1278"/>
      <c r="V100" s="1278"/>
      <c r="W100" s="1278"/>
      <c r="X100" s="1563"/>
      <c r="Y100" s="1278"/>
      <c r="Z100" s="1546"/>
      <c r="AA100" s="1278"/>
      <c r="AB100" s="255" t="str">
        <f>K100&amp;" год"</f>
        <v>2044 год</v>
      </c>
      <c r="AC100" s="7974"/>
      <c r="AD100" s="7980"/>
      <c r="AE100" s="7981"/>
      <c r="AF100" s="7981"/>
      <c r="AG100" s="7980"/>
      <c r="AH100" s="7980"/>
      <c r="AI100" s="7980"/>
      <c r="AJ100" s="8001"/>
      <c r="AK100" s="8002"/>
      <c r="AL100" s="403"/>
      <c r="AM100" s="1278"/>
      <c r="AN100" s="1278"/>
      <c r="AO100" s="1064" cm="1" t="str">
        <f t="array" ref="AO100:AO100">K100</f>
        <v>2044</v>
      </c>
      <c r="AP100" s="1278"/>
      <c r="AQ100" s="1278"/>
    </row>
    <row s="8010" customFormat="1" customHeight="1" ht="14.25" hidden="1">
      <c r="A101" s="1278"/>
      <c r="B101" s="445">
        <f>K101&lt;first_year+PERIOD_LENGTH</f>
        <v>0</v>
      </c>
      <c r="C101" s="1278"/>
      <c r="D101" s="1278"/>
      <c r="E101" s="703">
        <v>15</v>
      </c>
      <c r="F101" s="50" cm="1" t="str">
        <f t="array" ref="F101:F101">OFFSET(E101,-1,1)</f>
        <v>1</v>
      </c>
      <c r="G101" s="1278"/>
      <c r="H101" s="1278"/>
      <c r="I101" s="1278"/>
      <c r="J101" s="1278"/>
      <c r="K101" s="158">
        <f>first_year+19</f>
        <v>2045</v>
      </c>
      <c r="L101" s="1278"/>
      <c r="M101" s="1278"/>
      <c r="N101" s="1278"/>
      <c r="O101" s="1278"/>
      <c r="P101" s="1278"/>
      <c r="Q101" s="1278"/>
      <c r="R101" s="1278"/>
      <c r="S101" s="1278"/>
      <c r="T101" s="465" cm="1" t="str">
        <f t="array" ref="T101:T101">T100</f>
        <v>true</v>
      </c>
      <c r="U101" s="1278"/>
      <c r="V101" s="1278"/>
      <c r="W101" s="1278"/>
      <c r="X101" s="1563"/>
      <c r="Y101" s="1278"/>
      <c r="Z101" s="1546"/>
      <c r="AA101" s="1278"/>
      <c r="AB101" s="255" t="str">
        <f>K101&amp;" год"</f>
        <v>2045 год</v>
      </c>
      <c r="AC101" s="7974"/>
      <c r="AD101" s="7980"/>
      <c r="AE101" s="7981"/>
      <c r="AF101" s="7981"/>
      <c r="AG101" s="7980"/>
      <c r="AH101" s="7980"/>
      <c r="AI101" s="7980"/>
      <c r="AJ101" s="8001"/>
      <c r="AK101" s="8002"/>
      <c r="AL101" s="403"/>
      <c r="AM101" s="1278"/>
      <c r="AN101" s="1278"/>
      <c r="AO101" s="1064" cm="1" t="str">
        <f t="array" ref="AO101:AO101">K101</f>
        <v>2045</v>
      </c>
      <c r="AP101" s="1278"/>
      <c r="AQ101" s="1278"/>
    </row>
    <row s="8011" customFormat="1" customHeight="1" ht="14.25" hidden="1">
      <c r="A102" s="1278"/>
      <c r="B102" s="445">
        <f>K102&lt;first_year+PERIOD_LENGTH</f>
        <v>0</v>
      </c>
      <c r="C102" s="1278"/>
      <c r="D102" s="1278"/>
      <c r="E102" s="703">
        <v>15</v>
      </c>
      <c r="F102" s="50" cm="1" t="str">
        <f t="array" ref="F102:F102">OFFSET(E102,-1,1)</f>
        <v>1</v>
      </c>
      <c r="G102" s="1278"/>
      <c r="H102" s="1278"/>
      <c r="I102" s="1278"/>
      <c r="J102" s="1278"/>
      <c r="K102" s="158">
        <f>first_year+20</f>
        <v>2046</v>
      </c>
      <c r="L102" s="1278"/>
      <c r="M102" s="1278"/>
      <c r="N102" s="1278"/>
      <c r="O102" s="1278"/>
      <c r="P102" s="1278"/>
      <c r="Q102" s="1278"/>
      <c r="R102" s="1278"/>
      <c r="S102" s="1278"/>
      <c r="T102" s="465" cm="1" t="str">
        <f t="array" ref="T102:T102">T101</f>
        <v>true</v>
      </c>
      <c r="U102" s="1278"/>
      <c r="V102" s="1278"/>
      <c r="W102" s="1278"/>
      <c r="X102" s="1563"/>
      <c r="Y102" s="1278"/>
      <c r="Z102" s="1546"/>
      <c r="AA102" s="1278"/>
      <c r="AB102" s="255" t="str">
        <f>K102&amp;" год"</f>
        <v>2046 год</v>
      </c>
      <c r="AC102" s="7974"/>
      <c r="AD102" s="7980"/>
      <c r="AE102" s="7981"/>
      <c r="AF102" s="7981"/>
      <c r="AG102" s="7980"/>
      <c r="AH102" s="7980"/>
      <c r="AI102" s="7980"/>
      <c r="AJ102" s="8001"/>
      <c r="AK102" s="8002"/>
      <c r="AL102" s="403"/>
      <c r="AM102" s="1278"/>
      <c r="AN102" s="1278"/>
      <c r="AO102" s="1064" cm="1" t="str">
        <f t="array" ref="AO102:AO102">K102</f>
        <v>2046</v>
      </c>
      <c r="AP102" s="1278"/>
      <c r="AQ102" s="1278"/>
    </row>
    <row s="8012" customFormat="1" customHeight="1" ht="14.25" hidden="1">
      <c r="A103" s="1278"/>
      <c r="B103" s="445">
        <f>K103&lt;first_year+PERIOD_LENGTH</f>
        <v>0</v>
      </c>
      <c r="C103" s="1278"/>
      <c r="D103" s="1278"/>
      <c r="E103" s="703">
        <v>15</v>
      </c>
      <c r="F103" s="50" cm="1" t="str">
        <f t="array" ref="F103:F103">OFFSET(E103,-1,1)</f>
        <v>1</v>
      </c>
      <c r="G103" s="1278"/>
      <c r="H103" s="1278"/>
      <c r="I103" s="1278"/>
      <c r="J103" s="1278"/>
      <c r="K103" s="158">
        <f>first_year+21</f>
        <v>2047</v>
      </c>
      <c r="L103" s="1278"/>
      <c r="M103" s="1278"/>
      <c r="N103" s="1278"/>
      <c r="O103" s="1278"/>
      <c r="P103" s="1278"/>
      <c r="Q103" s="1278"/>
      <c r="R103" s="1278"/>
      <c r="S103" s="1278"/>
      <c r="T103" s="465" cm="1" t="str">
        <f t="array" ref="T103:T103">T102</f>
        <v>true</v>
      </c>
      <c r="U103" s="1278"/>
      <c r="V103" s="1278"/>
      <c r="W103" s="1278"/>
      <c r="X103" s="1563"/>
      <c r="Y103" s="1278"/>
      <c r="Z103" s="1546"/>
      <c r="AA103" s="1278"/>
      <c r="AB103" s="255" t="str">
        <f>K103&amp;" год"</f>
        <v>2047 год</v>
      </c>
      <c r="AC103" s="7974"/>
      <c r="AD103" s="7980"/>
      <c r="AE103" s="7981"/>
      <c r="AF103" s="7981"/>
      <c r="AG103" s="7980"/>
      <c r="AH103" s="7980"/>
      <c r="AI103" s="7980"/>
      <c r="AJ103" s="8001"/>
      <c r="AK103" s="8002"/>
      <c r="AL103" s="403"/>
      <c r="AM103" s="1278"/>
      <c r="AN103" s="1278"/>
      <c r="AO103" s="1064" cm="1" t="str">
        <f t="array" ref="AO103:AO103">K103</f>
        <v>2047</v>
      </c>
      <c r="AP103" s="1278"/>
      <c r="AQ103" s="1278"/>
    </row>
    <row s="8013" customFormat="1" customHeight="1" ht="14.25" hidden="1">
      <c r="A104" s="1278"/>
      <c r="B104" s="445">
        <f>K104&lt;first_year+PERIOD_LENGTH</f>
        <v>0</v>
      </c>
      <c r="C104" s="1278"/>
      <c r="D104" s="1278"/>
      <c r="E104" s="703">
        <v>15</v>
      </c>
      <c r="F104" s="50" cm="1" t="str">
        <f t="array" ref="F104:F104">OFFSET(E104,-1,1)</f>
        <v>1</v>
      </c>
      <c r="G104" s="1278"/>
      <c r="H104" s="1278"/>
      <c r="I104" s="1278"/>
      <c r="J104" s="1278"/>
      <c r="K104" s="158">
        <f>first_year+22</f>
        <v>2048</v>
      </c>
      <c r="L104" s="1278"/>
      <c r="M104" s="1278"/>
      <c r="N104" s="1278"/>
      <c r="O104" s="1278"/>
      <c r="P104" s="1278"/>
      <c r="Q104" s="1278"/>
      <c r="R104" s="1278"/>
      <c r="S104" s="1278"/>
      <c r="T104" s="465" cm="1" t="str">
        <f t="array" ref="T104:T104">T103</f>
        <v>true</v>
      </c>
      <c r="U104" s="1278"/>
      <c r="V104" s="1278"/>
      <c r="W104" s="1278"/>
      <c r="X104" s="1563"/>
      <c r="Y104" s="1278"/>
      <c r="Z104" s="1546"/>
      <c r="AA104" s="1278"/>
      <c r="AB104" s="255" t="str">
        <f>K104&amp;" год"</f>
        <v>2048 год</v>
      </c>
      <c r="AC104" s="7974"/>
      <c r="AD104" s="7980"/>
      <c r="AE104" s="7981"/>
      <c r="AF104" s="7981"/>
      <c r="AG104" s="7980"/>
      <c r="AH104" s="7980"/>
      <c r="AI104" s="7980"/>
      <c r="AJ104" s="8001"/>
      <c r="AK104" s="8002"/>
      <c r="AL104" s="403"/>
      <c r="AM104" s="1278"/>
      <c r="AN104" s="1278"/>
      <c r="AO104" s="1064" cm="1" t="str">
        <f t="array" ref="AO104:AO104">K104</f>
        <v>2048</v>
      </c>
      <c r="AP104" s="1278"/>
      <c r="AQ104" s="1278"/>
    </row>
    <row s="8014" customFormat="1" customHeight="1" ht="14.25" hidden="1">
      <c r="A105" s="1278"/>
      <c r="B105" s="445">
        <f>K105&lt;first_year+PERIOD_LENGTH</f>
        <v>0</v>
      </c>
      <c r="C105" s="1278"/>
      <c r="D105" s="1278"/>
      <c r="E105" s="703">
        <v>15</v>
      </c>
      <c r="F105" s="50" cm="1" t="str">
        <f t="array" ref="F105:F105">OFFSET(E105,-1,1)</f>
        <v>1</v>
      </c>
      <c r="G105" s="1278"/>
      <c r="H105" s="1278"/>
      <c r="I105" s="1278"/>
      <c r="J105" s="1278"/>
      <c r="K105" s="158">
        <f>first_year+23</f>
        <v>2049</v>
      </c>
      <c r="L105" s="1278"/>
      <c r="M105" s="1278"/>
      <c r="N105" s="1278"/>
      <c r="O105" s="1278"/>
      <c r="P105" s="1278"/>
      <c r="Q105" s="1278"/>
      <c r="R105" s="1278"/>
      <c r="S105" s="1278"/>
      <c r="T105" s="465" cm="1" t="str">
        <f t="array" ref="T105:T105">T104</f>
        <v>true</v>
      </c>
      <c r="U105" s="1278"/>
      <c r="V105" s="1278"/>
      <c r="W105" s="1278"/>
      <c r="X105" s="1563"/>
      <c r="Y105" s="1278"/>
      <c r="Z105" s="1546"/>
      <c r="AA105" s="1278"/>
      <c r="AB105" s="255" t="str">
        <f>K105&amp;" год"</f>
        <v>2049 год</v>
      </c>
      <c r="AC105" s="7974"/>
      <c r="AD105" s="7980"/>
      <c r="AE105" s="7981"/>
      <c r="AF105" s="7981"/>
      <c r="AG105" s="7980"/>
      <c r="AH105" s="7980"/>
      <c r="AI105" s="7980"/>
      <c r="AJ105" s="8001"/>
      <c r="AK105" s="8002"/>
      <c r="AL105" s="403"/>
      <c r="AM105" s="1278"/>
      <c r="AN105" s="1278"/>
      <c r="AO105" s="1064" cm="1" t="str">
        <f t="array" ref="AO105:AO105">K105</f>
        <v>2049</v>
      </c>
      <c r="AP105" s="1278"/>
      <c r="AQ105" s="1278"/>
    </row>
    <row s="8015" customFormat="1" customHeight="1" ht="14.25" hidden="1">
      <c r="A106" s="1278"/>
      <c r="B106" s="445">
        <f>K106&lt;first_year+PERIOD_LENGTH</f>
        <v>0</v>
      </c>
      <c r="C106" s="1278"/>
      <c r="D106" s="1278"/>
      <c r="E106" s="703">
        <v>15</v>
      </c>
      <c r="F106" s="50" cm="1" t="str">
        <f t="array" ref="F106:F106">OFFSET(E106,-1,1)</f>
        <v>1</v>
      </c>
      <c r="G106" s="1278"/>
      <c r="H106" s="1278"/>
      <c r="I106" s="1278"/>
      <c r="J106" s="1278"/>
      <c r="K106" s="158">
        <f>first_year+24</f>
        <v>2050</v>
      </c>
      <c r="L106" s="1278"/>
      <c r="M106" s="1278"/>
      <c r="N106" s="1278"/>
      <c r="O106" s="1278"/>
      <c r="P106" s="1278"/>
      <c r="Q106" s="1278"/>
      <c r="R106" s="1278"/>
      <c r="S106" s="1278"/>
      <c r="T106" s="465" cm="1" t="str">
        <f t="array" ref="T106:T106">T105</f>
        <v>true</v>
      </c>
      <c r="U106" s="1278"/>
      <c r="V106" s="1278"/>
      <c r="W106" s="1278"/>
      <c r="X106" s="1563"/>
      <c r="Y106" s="1278"/>
      <c r="Z106" s="1546"/>
      <c r="AA106" s="1278"/>
      <c r="AB106" s="255" t="str">
        <f>K106&amp;" год"</f>
        <v>2050 год</v>
      </c>
      <c r="AC106" s="7974"/>
      <c r="AD106" s="7980"/>
      <c r="AE106" s="7981"/>
      <c r="AF106" s="7981"/>
      <c r="AG106" s="7980"/>
      <c r="AH106" s="7980"/>
      <c r="AI106" s="7980"/>
      <c r="AJ106" s="8001"/>
      <c r="AK106" s="8002"/>
      <c r="AL106" s="403"/>
      <c r="AM106" s="1278"/>
      <c r="AN106" s="1278"/>
      <c r="AO106" s="1064" cm="1" t="str">
        <f t="array" ref="AO106:AO106">K106</f>
        <v>2050</v>
      </c>
      <c r="AP106" s="1278"/>
      <c r="AQ106" s="1278"/>
    </row>
    <row s="8016" customFormat="1" customHeight="1" ht="14.25" hidden="1">
      <c r="A107" s="1278"/>
      <c r="B107" s="445">
        <f>K107&lt;first_year+PERIOD_LENGTH</f>
        <v>0</v>
      </c>
      <c r="C107" s="1278"/>
      <c r="D107" s="1278"/>
      <c r="E107" s="703">
        <v>15</v>
      </c>
      <c r="F107" s="50" cm="1" t="str">
        <f t="array" ref="F107:F107">OFFSET(E107,-1,1)</f>
        <v>1</v>
      </c>
      <c r="G107" s="1278"/>
      <c r="H107" s="1278"/>
      <c r="I107" s="1278"/>
      <c r="J107" s="1278"/>
      <c r="K107" s="158">
        <f>first_year+25</f>
        <v>2051</v>
      </c>
      <c r="L107" s="1278"/>
      <c r="M107" s="1278"/>
      <c r="N107" s="1278"/>
      <c r="O107" s="1278"/>
      <c r="P107" s="1278"/>
      <c r="Q107" s="1278"/>
      <c r="R107" s="1278"/>
      <c r="S107" s="1278"/>
      <c r="T107" s="465" cm="1" t="str">
        <f t="array" ref="T107:T107">T106</f>
        <v>true</v>
      </c>
      <c r="U107" s="1278"/>
      <c r="V107" s="1278"/>
      <c r="W107" s="1278"/>
      <c r="X107" s="1563"/>
      <c r="Y107" s="1278"/>
      <c r="Z107" s="1546"/>
      <c r="AA107" s="1278"/>
      <c r="AB107" s="255" t="str">
        <f>K107&amp;" год"</f>
        <v>2051 год</v>
      </c>
      <c r="AC107" s="7974"/>
      <c r="AD107" s="7980"/>
      <c r="AE107" s="7981"/>
      <c r="AF107" s="7981"/>
      <c r="AG107" s="7980"/>
      <c r="AH107" s="7980"/>
      <c r="AI107" s="7980"/>
      <c r="AJ107" s="8001"/>
      <c r="AK107" s="8002"/>
      <c r="AL107" s="403"/>
      <c r="AM107" s="1278"/>
      <c r="AN107" s="1278"/>
      <c r="AO107" s="1064" cm="1" t="str">
        <f t="array" ref="AO107:AO107">K107</f>
        <v>2051</v>
      </c>
      <c r="AP107" s="1278"/>
      <c r="AQ107" s="1278"/>
    </row>
    <row s="8017" customFormat="1" customHeight="1" ht="14.25" hidden="1">
      <c r="A108" s="1278"/>
      <c r="B108" s="445">
        <f>K108&lt;first_year+PERIOD_LENGTH</f>
        <v>0</v>
      </c>
      <c r="C108" s="1278"/>
      <c r="D108" s="1278"/>
      <c r="E108" s="703">
        <v>15</v>
      </c>
      <c r="F108" s="50" cm="1" t="str">
        <f t="array" ref="F108:F108">OFFSET(E108,-1,1)</f>
        <v>1</v>
      </c>
      <c r="G108" s="1278"/>
      <c r="H108" s="1278"/>
      <c r="I108" s="1278"/>
      <c r="J108" s="1278"/>
      <c r="K108" s="158">
        <f>first_year+26</f>
        <v>2052</v>
      </c>
      <c r="L108" s="1278"/>
      <c r="M108" s="1278"/>
      <c r="N108" s="1278"/>
      <c r="O108" s="1278"/>
      <c r="P108" s="1278"/>
      <c r="Q108" s="1278"/>
      <c r="R108" s="1278"/>
      <c r="S108" s="1278"/>
      <c r="T108" s="465" cm="1" t="str">
        <f t="array" ref="T108:T108">T107</f>
        <v>true</v>
      </c>
      <c r="U108" s="1278"/>
      <c r="V108" s="1278"/>
      <c r="W108" s="1278"/>
      <c r="X108" s="1563"/>
      <c r="Y108" s="1278"/>
      <c r="Z108" s="1546"/>
      <c r="AA108" s="1278"/>
      <c r="AB108" s="255" t="str">
        <f>K108&amp;" год"</f>
        <v>2052 год</v>
      </c>
      <c r="AC108" s="7974"/>
      <c r="AD108" s="7980"/>
      <c r="AE108" s="7981"/>
      <c r="AF108" s="7981"/>
      <c r="AG108" s="7980"/>
      <c r="AH108" s="7980"/>
      <c r="AI108" s="7980"/>
      <c r="AJ108" s="8001"/>
      <c r="AK108" s="8002"/>
      <c r="AL108" s="403"/>
      <c r="AM108" s="1278"/>
      <c r="AN108" s="1278"/>
      <c r="AO108" s="1064" cm="1" t="str">
        <f t="array" ref="AO108:AO108">K108</f>
        <v>2052</v>
      </c>
      <c r="AP108" s="1278"/>
      <c r="AQ108" s="1278"/>
    </row>
    <row s="8018" customFormat="1" customHeight="1" ht="14.25" hidden="1">
      <c r="A109" s="1278"/>
      <c r="B109" s="445">
        <f>K109&lt;first_year+PERIOD_LENGTH</f>
        <v>0</v>
      </c>
      <c r="C109" s="1278"/>
      <c r="D109" s="1278"/>
      <c r="E109" s="703">
        <v>15</v>
      </c>
      <c r="F109" s="50" cm="1" t="str">
        <f t="array" ref="F109:F109">OFFSET(E109,-1,1)</f>
        <v>1</v>
      </c>
      <c r="G109" s="1278"/>
      <c r="H109" s="1278"/>
      <c r="I109" s="1278"/>
      <c r="J109" s="1278"/>
      <c r="K109" s="158">
        <f>first_year+27</f>
        <v>2053</v>
      </c>
      <c r="L109" s="1278"/>
      <c r="M109" s="1278"/>
      <c r="N109" s="1278"/>
      <c r="O109" s="1278"/>
      <c r="P109" s="1278"/>
      <c r="Q109" s="1278"/>
      <c r="R109" s="1278"/>
      <c r="S109" s="1278"/>
      <c r="T109" s="465" cm="1" t="str">
        <f t="array" ref="T109:T109">T108</f>
        <v>true</v>
      </c>
      <c r="U109" s="1278"/>
      <c r="V109" s="1278"/>
      <c r="W109" s="1278"/>
      <c r="X109" s="1563"/>
      <c r="Y109" s="1278"/>
      <c r="Z109" s="1546"/>
      <c r="AA109" s="1278"/>
      <c r="AB109" s="255" t="str">
        <f>K109&amp;" год"</f>
        <v>2053 год</v>
      </c>
      <c r="AC109" s="7974"/>
      <c r="AD109" s="7980"/>
      <c r="AE109" s="7981"/>
      <c r="AF109" s="7981"/>
      <c r="AG109" s="7980"/>
      <c r="AH109" s="7980"/>
      <c r="AI109" s="7980"/>
      <c r="AJ109" s="8001"/>
      <c r="AK109" s="8002"/>
      <c r="AL109" s="403"/>
      <c r="AM109" s="1278"/>
      <c r="AN109" s="1278"/>
      <c r="AO109" s="1064" cm="1" t="str">
        <f t="array" ref="AO109:AO109">K109</f>
        <v>2053</v>
      </c>
      <c r="AP109" s="1278"/>
      <c r="AQ109" s="1278"/>
    </row>
    <row s="8019" customFormat="1" customHeight="1" ht="14.25" hidden="1">
      <c r="A110" s="1278"/>
      <c r="B110" s="445">
        <f>K110&lt;first_year+PERIOD_LENGTH</f>
        <v>0</v>
      </c>
      <c r="C110" s="1278"/>
      <c r="D110" s="1278"/>
      <c r="E110" s="703">
        <v>15</v>
      </c>
      <c r="F110" s="50" cm="1" t="str">
        <f t="array" ref="F110:F110">OFFSET(E110,-1,1)</f>
        <v>1</v>
      </c>
      <c r="G110" s="1278"/>
      <c r="H110" s="1278"/>
      <c r="I110" s="1278"/>
      <c r="J110" s="1278"/>
      <c r="K110" s="158">
        <f>first_year+28</f>
        <v>2054</v>
      </c>
      <c r="L110" s="1278"/>
      <c r="M110" s="1278"/>
      <c r="N110" s="1278"/>
      <c r="O110" s="1278"/>
      <c r="P110" s="1278"/>
      <c r="Q110" s="1278"/>
      <c r="R110" s="1278"/>
      <c r="S110" s="1278"/>
      <c r="T110" s="465" cm="1" t="str">
        <f t="array" ref="T110:T110">T109</f>
        <v>true</v>
      </c>
      <c r="U110" s="1278"/>
      <c r="V110" s="1278"/>
      <c r="W110" s="1278"/>
      <c r="X110" s="1563"/>
      <c r="Y110" s="1278"/>
      <c r="Z110" s="1546"/>
      <c r="AA110" s="1278"/>
      <c r="AB110" s="255" t="str">
        <f>K110&amp;" год"</f>
        <v>2054 год</v>
      </c>
      <c r="AC110" s="7974"/>
      <c r="AD110" s="7980"/>
      <c r="AE110" s="7981"/>
      <c r="AF110" s="7981"/>
      <c r="AG110" s="7980"/>
      <c r="AH110" s="7980"/>
      <c r="AI110" s="7980"/>
      <c r="AJ110" s="8001"/>
      <c r="AK110" s="8002"/>
      <c r="AL110" s="403"/>
      <c r="AM110" s="1278"/>
      <c r="AN110" s="1278"/>
      <c r="AO110" s="1064" cm="1" t="str">
        <f t="array" ref="AO110:AO110">K110</f>
        <v>2054</v>
      </c>
      <c r="AP110" s="1278"/>
      <c r="AQ110" s="1278"/>
    </row>
    <row s="8020" customFormat="1" customHeight="1" ht="14.25" hidden="1">
      <c r="A111" s="1278"/>
      <c r="B111" s="445">
        <f>K111&lt;first_year+PERIOD_LENGTH</f>
        <v>0</v>
      </c>
      <c r="C111" s="1278"/>
      <c r="D111" s="1278"/>
      <c r="E111" s="703">
        <v>15</v>
      </c>
      <c r="F111" s="50" cm="1" t="str">
        <f t="array" ref="F111:F111">OFFSET(E111,-1,1)</f>
        <v>1</v>
      </c>
      <c r="G111" s="1278"/>
      <c r="H111" s="1278"/>
      <c r="I111" s="1278"/>
      <c r="J111" s="1278"/>
      <c r="K111" s="158">
        <f>first_year+29</f>
        <v>2055</v>
      </c>
      <c r="L111" s="1278"/>
      <c r="M111" s="1278"/>
      <c r="N111" s="1278"/>
      <c r="O111" s="1278"/>
      <c r="P111" s="1278"/>
      <c r="Q111" s="1278"/>
      <c r="R111" s="1278"/>
      <c r="S111" s="1278"/>
      <c r="T111" s="465" cm="1" t="str">
        <f t="array" ref="T111:T111">T110</f>
        <v>true</v>
      </c>
      <c r="U111" s="1278"/>
      <c r="V111" s="1278"/>
      <c r="W111" s="1278"/>
      <c r="X111" s="1563"/>
      <c r="Y111" s="1278"/>
      <c r="Z111" s="1546"/>
      <c r="AA111" s="1278"/>
      <c r="AB111" s="255" t="str">
        <f>K111&amp;" год"</f>
        <v>2055 год</v>
      </c>
      <c r="AC111" s="7974"/>
      <c r="AD111" s="7980"/>
      <c r="AE111" s="7981"/>
      <c r="AF111" s="7981"/>
      <c r="AG111" s="7980"/>
      <c r="AH111" s="7980"/>
      <c r="AI111" s="7980"/>
      <c r="AJ111" s="8001"/>
      <c r="AK111" s="8002"/>
      <c r="AL111" s="403"/>
      <c r="AM111" s="1278"/>
      <c r="AN111" s="1278"/>
      <c r="AO111" s="1064" cm="1" t="str">
        <f t="array" ref="AO111:AO111">K111</f>
        <v>2055</v>
      </c>
      <c r="AP111" s="1278"/>
      <c r="AQ111" s="1278"/>
    </row>
    <row s="8021" customFormat="1" customHeight="1" ht="14.25" hidden="1">
      <c r="A112" s="1278"/>
      <c r="B112" s="445">
        <f>K112&lt;first_year+PERIOD_LENGTH</f>
        <v>0</v>
      </c>
      <c r="C112" s="1278"/>
      <c r="D112" s="1278"/>
      <c r="E112" s="703">
        <v>15</v>
      </c>
      <c r="F112" s="50" cm="1" t="str">
        <f t="array" ref="F112:F112">OFFSET(E112,-1,1)</f>
        <v>1</v>
      </c>
      <c r="G112" s="1278"/>
      <c r="H112" s="1278"/>
      <c r="I112" s="1278"/>
      <c r="J112" s="1278"/>
      <c r="K112" s="158">
        <f>first_year+30</f>
        <v>2056</v>
      </c>
      <c r="L112" s="1278"/>
      <c r="M112" s="1278"/>
      <c r="N112" s="1278"/>
      <c r="O112" s="1278"/>
      <c r="P112" s="1278"/>
      <c r="Q112" s="1278"/>
      <c r="R112" s="1278"/>
      <c r="S112" s="1278"/>
      <c r="T112" s="465" cm="1" t="str">
        <f t="array" ref="T112:T112">T111</f>
        <v>true</v>
      </c>
      <c r="U112" s="1278"/>
      <c r="V112" s="1278"/>
      <c r="W112" s="1278"/>
      <c r="X112" s="1563"/>
      <c r="Y112" s="1278"/>
      <c r="Z112" s="1546"/>
      <c r="AA112" s="1278"/>
      <c r="AB112" s="255" t="str">
        <f>K112&amp;" год"</f>
        <v>2056 год</v>
      </c>
      <c r="AC112" s="7974"/>
      <c r="AD112" s="7980"/>
      <c r="AE112" s="7981"/>
      <c r="AF112" s="7981"/>
      <c r="AG112" s="7980"/>
      <c r="AH112" s="7980"/>
      <c r="AI112" s="7980"/>
      <c r="AJ112" s="8001"/>
      <c r="AK112" s="8002"/>
      <c r="AL112" s="403"/>
      <c r="AM112" s="1278"/>
      <c r="AN112" s="1278"/>
      <c r="AO112" s="1064" cm="1" t="str">
        <f t="array" ref="AO112:AO112">K112</f>
        <v>2056</v>
      </c>
      <c r="AP112" s="1278"/>
      <c r="AQ112" s="1278"/>
    </row>
    <row s="8022" customFormat="1" customHeight="1" ht="14.25" hidden="1">
      <c r="A113" s="1278"/>
      <c r="B113" s="445">
        <f>K113&lt;first_year+PERIOD_LENGTH</f>
        <v>0</v>
      </c>
      <c r="C113" s="1278"/>
      <c r="D113" s="1278"/>
      <c r="E113" s="703">
        <v>15</v>
      </c>
      <c r="F113" s="50" cm="1" t="str">
        <f t="array" ref="F113:F113">OFFSET(E113,-1,1)</f>
        <v>1</v>
      </c>
      <c r="G113" s="1278"/>
      <c r="H113" s="1278"/>
      <c r="I113" s="1278"/>
      <c r="J113" s="1278"/>
      <c r="K113" s="158">
        <f>first_year+31</f>
        <v>2057</v>
      </c>
      <c r="L113" s="1278"/>
      <c r="M113" s="1278"/>
      <c r="N113" s="1278"/>
      <c r="O113" s="1278"/>
      <c r="P113" s="1278"/>
      <c r="Q113" s="1278"/>
      <c r="R113" s="1278"/>
      <c r="S113" s="1278"/>
      <c r="T113" s="465" cm="1" t="str">
        <f t="array" ref="T113:T113">T112</f>
        <v>true</v>
      </c>
      <c r="U113" s="1278"/>
      <c r="V113" s="1278"/>
      <c r="W113" s="1278"/>
      <c r="X113" s="1563"/>
      <c r="Y113" s="1278"/>
      <c r="Z113" s="1546"/>
      <c r="AA113" s="1278"/>
      <c r="AB113" s="255" t="str">
        <f>K113&amp;" год"</f>
        <v>2057 год</v>
      </c>
      <c r="AC113" s="7974"/>
      <c r="AD113" s="7980"/>
      <c r="AE113" s="7981"/>
      <c r="AF113" s="7981"/>
      <c r="AG113" s="7980"/>
      <c r="AH113" s="7980"/>
      <c r="AI113" s="7980"/>
      <c r="AJ113" s="8001"/>
      <c r="AK113" s="8002"/>
      <c r="AL113" s="403"/>
      <c r="AM113" s="1278"/>
      <c r="AN113" s="1278"/>
      <c r="AO113" s="1064" cm="1" t="str">
        <f t="array" ref="AO113:AO113">K113</f>
        <v>2057</v>
      </c>
      <c r="AP113" s="1278"/>
      <c r="AQ113" s="1278"/>
    </row>
    <row s="8023" customFormat="1" customHeight="1" ht="14.25" hidden="1">
      <c r="A114" s="1278"/>
      <c r="B114" s="445">
        <f>K114&lt;first_year+PERIOD_LENGTH</f>
        <v>0</v>
      </c>
      <c r="C114" s="1278"/>
      <c r="D114" s="1278"/>
      <c r="E114" s="703">
        <v>15</v>
      </c>
      <c r="F114" s="50" cm="1" t="str">
        <f t="array" ref="F114:F114">OFFSET(E114,-1,1)</f>
        <v>1</v>
      </c>
      <c r="G114" s="1278"/>
      <c r="H114" s="1278"/>
      <c r="I114" s="1278"/>
      <c r="J114" s="1278"/>
      <c r="K114" s="158">
        <f>first_year+32</f>
        <v>2058</v>
      </c>
      <c r="L114" s="1278"/>
      <c r="M114" s="1278"/>
      <c r="N114" s="1278"/>
      <c r="O114" s="1278"/>
      <c r="P114" s="1278"/>
      <c r="Q114" s="1278"/>
      <c r="R114" s="1278"/>
      <c r="S114" s="1278"/>
      <c r="T114" s="465" cm="1" t="str">
        <f t="array" ref="T114:T114">T113</f>
        <v>true</v>
      </c>
      <c r="U114" s="1278"/>
      <c r="V114" s="1278"/>
      <c r="W114" s="1278"/>
      <c r="X114" s="1563"/>
      <c r="Y114" s="1278"/>
      <c r="Z114" s="1546"/>
      <c r="AA114" s="1278"/>
      <c r="AB114" s="255" t="str">
        <f>K114&amp;" год"</f>
        <v>2058 год</v>
      </c>
      <c r="AC114" s="7974"/>
      <c r="AD114" s="7980"/>
      <c r="AE114" s="7981"/>
      <c r="AF114" s="7981"/>
      <c r="AG114" s="7980"/>
      <c r="AH114" s="7980"/>
      <c r="AI114" s="7980"/>
      <c r="AJ114" s="8001"/>
      <c r="AK114" s="8002"/>
      <c r="AL114" s="403"/>
      <c r="AM114" s="1278"/>
      <c r="AN114" s="1278"/>
      <c r="AO114" s="1064" cm="1" t="str">
        <f t="array" ref="AO114:AO114">K114</f>
        <v>2058</v>
      </c>
      <c r="AP114" s="1278"/>
      <c r="AQ114" s="1278"/>
    </row>
    <row s="8024" customFormat="1" customHeight="1" ht="14.25" hidden="1">
      <c r="A115" s="1278"/>
      <c r="B115" s="445">
        <f>K115&lt;first_year+PERIOD_LENGTH</f>
        <v>0</v>
      </c>
      <c r="C115" s="1278"/>
      <c r="D115" s="1278"/>
      <c r="E115" s="703">
        <v>15</v>
      </c>
      <c r="F115" s="50" cm="1" t="str">
        <f t="array" ref="F115:F115">OFFSET(E115,-1,1)</f>
        <v>1</v>
      </c>
      <c r="G115" s="1278"/>
      <c r="H115" s="1278"/>
      <c r="I115" s="1278"/>
      <c r="J115" s="1278"/>
      <c r="K115" s="158">
        <f>first_year+33</f>
        <v>2059</v>
      </c>
      <c r="L115" s="1278"/>
      <c r="M115" s="1278"/>
      <c r="N115" s="1278"/>
      <c r="O115" s="1278"/>
      <c r="P115" s="1278"/>
      <c r="Q115" s="1278"/>
      <c r="R115" s="1278"/>
      <c r="S115" s="1278"/>
      <c r="T115" s="465" cm="1" t="str">
        <f t="array" ref="T115:T115">T114</f>
        <v>true</v>
      </c>
      <c r="U115" s="1278"/>
      <c r="V115" s="1278"/>
      <c r="W115" s="1278"/>
      <c r="X115" s="1563"/>
      <c r="Y115" s="1278"/>
      <c r="Z115" s="1546"/>
      <c r="AA115" s="1278"/>
      <c r="AB115" s="255" t="str">
        <f>K115&amp;" год"</f>
        <v>2059 год</v>
      </c>
      <c r="AC115" s="7974"/>
      <c r="AD115" s="7980"/>
      <c r="AE115" s="7981"/>
      <c r="AF115" s="7981"/>
      <c r="AG115" s="7980"/>
      <c r="AH115" s="7980"/>
      <c r="AI115" s="7980"/>
      <c r="AJ115" s="8001"/>
      <c r="AK115" s="8002"/>
      <c r="AL115" s="403"/>
      <c r="AM115" s="1278"/>
      <c r="AN115" s="1278"/>
      <c r="AO115" s="1064" cm="1" t="str">
        <f t="array" ref="AO115:AO115">K115</f>
        <v>2059</v>
      </c>
      <c r="AP115" s="1278"/>
      <c r="AQ115" s="1278"/>
    </row>
    <row s="8025" customFormat="1" customHeight="1" ht="14.25" hidden="1">
      <c r="A116" s="1278"/>
      <c r="B116" s="445">
        <f>K116&lt;first_year+PERIOD_LENGTH</f>
        <v>0</v>
      </c>
      <c r="C116" s="1278"/>
      <c r="D116" s="1278"/>
      <c r="E116" s="703">
        <v>15</v>
      </c>
      <c r="F116" s="50" cm="1" t="str">
        <f t="array" ref="F116:F116">OFFSET(E116,-1,1)</f>
        <v>1</v>
      </c>
      <c r="G116" s="1278"/>
      <c r="H116" s="1278"/>
      <c r="I116" s="1278"/>
      <c r="J116" s="1278"/>
      <c r="K116" s="158">
        <f>first_year+34</f>
        <v>2060</v>
      </c>
      <c r="L116" s="1278"/>
      <c r="M116" s="1278"/>
      <c r="N116" s="1278"/>
      <c r="O116" s="1278"/>
      <c r="P116" s="1278"/>
      <c r="Q116" s="1278"/>
      <c r="R116" s="1278"/>
      <c r="S116" s="1278"/>
      <c r="T116" s="465" cm="1" t="str">
        <f t="array" ref="T116:T116">T115</f>
        <v>true</v>
      </c>
      <c r="U116" s="1278"/>
      <c r="V116" s="1278"/>
      <c r="W116" s="1278"/>
      <c r="X116" s="1563"/>
      <c r="Y116" s="1278"/>
      <c r="Z116" s="1546"/>
      <c r="AA116" s="1278"/>
      <c r="AB116" s="255" t="str">
        <f>K116&amp;" год"</f>
        <v>2060 год</v>
      </c>
      <c r="AC116" s="7974"/>
      <c r="AD116" s="7980"/>
      <c r="AE116" s="7981"/>
      <c r="AF116" s="7981"/>
      <c r="AG116" s="7980"/>
      <c r="AH116" s="7980"/>
      <c r="AI116" s="7980"/>
      <c r="AJ116" s="8001"/>
      <c r="AK116" s="8002"/>
      <c r="AL116" s="403"/>
      <c r="AM116" s="1278"/>
      <c r="AN116" s="1278"/>
      <c r="AO116" s="1064" cm="1" t="str">
        <f t="array" ref="AO116:AO116">K116</f>
        <v>2060</v>
      </c>
      <c r="AP116" s="1278"/>
      <c r="AQ116" s="1278"/>
    </row>
    <row s="8026" customFormat="1" customHeight="1" ht="14.25" hidden="1">
      <c r="A117" s="1278"/>
      <c r="B117" s="445">
        <f>K117&lt;first_year+PERIOD_LENGTH</f>
        <v>0</v>
      </c>
      <c r="C117" s="1278"/>
      <c r="D117" s="1278"/>
      <c r="E117" s="703">
        <v>15</v>
      </c>
      <c r="F117" s="50" cm="1" t="str">
        <f t="array" ref="F117:F117">OFFSET(E117,-1,1)</f>
        <v>1</v>
      </c>
      <c r="G117" s="1278"/>
      <c r="H117" s="1278"/>
      <c r="I117" s="1278"/>
      <c r="J117" s="1278"/>
      <c r="K117" s="158">
        <f>first_year+35</f>
        <v>2061</v>
      </c>
      <c r="L117" s="1278"/>
      <c r="M117" s="1278"/>
      <c r="N117" s="1278"/>
      <c r="O117" s="1278"/>
      <c r="P117" s="1278"/>
      <c r="Q117" s="1278"/>
      <c r="R117" s="1278"/>
      <c r="S117" s="1278"/>
      <c r="T117" s="465" cm="1" t="str">
        <f t="array" ref="T117:T117">T116</f>
        <v>true</v>
      </c>
      <c r="U117" s="1278"/>
      <c r="V117" s="1278"/>
      <c r="W117" s="1278"/>
      <c r="X117" s="1563"/>
      <c r="Y117" s="1278"/>
      <c r="Z117" s="1546"/>
      <c r="AA117" s="1278"/>
      <c r="AB117" s="255" t="str">
        <f>K117&amp;" год"</f>
        <v>2061 год</v>
      </c>
      <c r="AC117" s="7974"/>
      <c r="AD117" s="7980"/>
      <c r="AE117" s="7981"/>
      <c r="AF117" s="7981"/>
      <c r="AG117" s="7980"/>
      <c r="AH117" s="7980"/>
      <c r="AI117" s="7980"/>
      <c r="AJ117" s="8001"/>
      <c r="AK117" s="8002"/>
      <c r="AL117" s="403"/>
      <c r="AM117" s="1278"/>
      <c r="AN117" s="1278"/>
      <c r="AO117" s="1064" cm="1" t="str">
        <f t="array" ref="AO117:AO117">K117</f>
        <v>2061</v>
      </c>
      <c r="AP117" s="1278"/>
      <c r="AQ117" s="1278"/>
    </row>
    <row s="8027" customFormat="1" customHeight="1" ht="14.25" hidden="1">
      <c r="A118" s="1278"/>
      <c r="B118" s="445">
        <f>K118&lt;first_year+PERIOD_LENGTH</f>
        <v>0</v>
      </c>
      <c r="C118" s="1278"/>
      <c r="D118" s="1278"/>
      <c r="E118" s="703">
        <v>15</v>
      </c>
      <c r="F118" s="50" cm="1" t="str">
        <f t="array" ref="F118:F118">OFFSET(E118,-1,1)</f>
        <v>1</v>
      </c>
      <c r="G118" s="1278"/>
      <c r="H118" s="1278"/>
      <c r="I118" s="1278"/>
      <c r="J118" s="1278"/>
      <c r="K118" s="158">
        <f>first_year+36</f>
        <v>2062</v>
      </c>
      <c r="L118" s="1278"/>
      <c r="M118" s="1278"/>
      <c r="N118" s="1278"/>
      <c r="O118" s="1278"/>
      <c r="P118" s="1278"/>
      <c r="Q118" s="1278"/>
      <c r="R118" s="1278"/>
      <c r="S118" s="1278"/>
      <c r="T118" s="465" cm="1" t="str">
        <f t="array" ref="T118:T118">T117</f>
        <v>true</v>
      </c>
      <c r="U118" s="1278"/>
      <c r="V118" s="1278"/>
      <c r="W118" s="1278"/>
      <c r="X118" s="1563"/>
      <c r="Y118" s="1278"/>
      <c r="Z118" s="1546"/>
      <c r="AA118" s="1278"/>
      <c r="AB118" s="255" t="str">
        <f>K118&amp;" год"</f>
        <v>2062 год</v>
      </c>
      <c r="AC118" s="7974"/>
      <c r="AD118" s="7980"/>
      <c r="AE118" s="7981"/>
      <c r="AF118" s="7981"/>
      <c r="AG118" s="7980"/>
      <c r="AH118" s="7980"/>
      <c r="AI118" s="7980"/>
      <c r="AJ118" s="8001"/>
      <c r="AK118" s="8002"/>
      <c r="AL118" s="403"/>
      <c r="AM118" s="1278"/>
      <c r="AN118" s="1278"/>
      <c r="AO118" s="1064" cm="1" t="str">
        <f t="array" ref="AO118:AO118">K118</f>
        <v>2062</v>
      </c>
      <c r="AP118" s="1278"/>
      <c r="AQ118" s="1278"/>
    </row>
    <row s="8028" customFormat="1" customHeight="1" ht="14.25" hidden="1">
      <c r="A119" s="1278"/>
      <c r="B119" s="445">
        <f>K119&lt;first_year+PERIOD_LENGTH</f>
        <v>0</v>
      </c>
      <c r="C119" s="1278"/>
      <c r="D119" s="1278"/>
      <c r="E119" s="703">
        <v>15</v>
      </c>
      <c r="F119" s="50" cm="1" t="str">
        <f t="array" ref="F119:F119">OFFSET(E119,-1,1)</f>
        <v>1</v>
      </c>
      <c r="G119" s="1278"/>
      <c r="H119" s="1278"/>
      <c r="I119" s="1278"/>
      <c r="J119" s="1278"/>
      <c r="K119" s="158">
        <f>first_year+37</f>
        <v>2063</v>
      </c>
      <c r="L119" s="1278"/>
      <c r="M119" s="1278"/>
      <c r="N119" s="1278"/>
      <c r="O119" s="1278"/>
      <c r="P119" s="1278"/>
      <c r="Q119" s="1278"/>
      <c r="R119" s="1278"/>
      <c r="S119" s="1278"/>
      <c r="T119" s="465" cm="1" t="str">
        <f t="array" ref="T119:T119">T118</f>
        <v>true</v>
      </c>
      <c r="U119" s="1278"/>
      <c r="V119" s="1278"/>
      <c r="W119" s="1278"/>
      <c r="X119" s="1563"/>
      <c r="Y119" s="1278"/>
      <c r="Z119" s="1546"/>
      <c r="AA119" s="1278"/>
      <c r="AB119" s="255" t="str">
        <f>K119&amp;" год"</f>
        <v>2063 год</v>
      </c>
      <c r="AC119" s="7974"/>
      <c r="AD119" s="7980"/>
      <c r="AE119" s="7981"/>
      <c r="AF119" s="7981"/>
      <c r="AG119" s="7980"/>
      <c r="AH119" s="7980"/>
      <c r="AI119" s="7980"/>
      <c r="AJ119" s="8001"/>
      <c r="AK119" s="8002"/>
      <c r="AL119" s="403"/>
      <c r="AM119" s="1278"/>
      <c r="AN119" s="1278"/>
      <c r="AO119" s="1064" cm="1" t="str">
        <f t="array" ref="AO119:AO119">K119</f>
        <v>2063</v>
      </c>
      <c r="AP119" s="1278"/>
      <c r="AQ119" s="1278"/>
    </row>
    <row s="8029" customFormat="1" customHeight="1" ht="14.25" hidden="1">
      <c r="A120" s="1278"/>
      <c r="B120" s="445">
        <f>K120&lt;first_year+PERIOD_LENGTH</f>
        <v>0</v>
      </c>
      <c r="C120" s="1278"/>
      <c r="D120" s="1278"/>
      <c r="E120" s="703">
        <v>15</v>
      </c>
      <c r="F120" s="50" cm="1" t="str">
        <f t="array" ref="F120:F120">OFFSET(E120,-1,1)</f>
        <v>1</v>
      </c>
      <c r="G120" s="1278"/>
      <c r="H120" s="1278"/>
      <c r="I120" s="1278"/>
      <c r="J120" s="1278"/>
      <c r="K120" s="158">
        <f>first_year+38</f>
        <v>2064</v>
      </c>
      <c r="L120" s="1278"/>
      <c r="M120" s="1278"/>
      <c r="N120" s="1278"/>
      <c r="O120" s="1278"/>
      <c r="P120" s="1278"/>
      <c r="Q120" s="1278"/>
      <c r="R120" s="1278"/>
      <c r="S120" s="1278"/>
      <c r="T120" s="465" cm="1" t="str">
        <f t="array" ref="T120:T120">T119</f>
        <v>true</v>
      </c>
      <c r="U120" s="1278"/>
      <c r="V120" s="1278"/>
      <c r="W120" s="1278"/>
      <c r="X120" s="1563"/>
      <c r="Y120" s="1278"/>
      <c r="Z120" s="1546"/>
      <c r="AA120" s="1278"/>
      <c r="AB120" s="255" t="str">
        <f>K120&amp;" год"</f>
        <v>2064 год</v>
      </c>
      <c r="AC120" s="7974"/>
      <c r="AD120" s="7980"/>
      <c r="AE120" s="7981"/>
      <c r="AF120" s="7981"/>
      <c r="AG120" s="7980"/>
      <c r="AH120" s="7980"/>
      <c r="AI120" s="7980"/>
      <c r="AJ120" s="8001"/>
      <c r="AK120" s="8002"/>
      <c r="AL120" s="403"/>
      <c r="AM120" s="1278"/>
      <c r="AN120" s="1278"/>
      <c r="AO120" s="1064" cm="1" t="str">
        <f t="array" ref="AO120:AO120">K120</f>
        <v>2064</v>
      </c>
      <c r="AP120" s="1278"/>
      <c r="AQ120" s="1278"/>
    </row>
    <row s="8030" customFormat="1" customHeight="1" ht="14.25" hidden="1">
      <c r="A121" s="1278"/>
      <c r="B121" s="445">
        <f>K121&lt;first_year+PERIOD_LENGTH</f>
        <v>0</v>
      </c>
      <c r="C121" s="1278"/>
      <c r="D121" s="1278"/>
      <c r="E121" s="703">
        <v>15</v>
      </c>
      <c r="F121" s="50" cm="1" t="str">
        <f t="array" ref="F121:F121">OFFSET(E121,-1,1)</f>
        <v>1</v>
      </c>
      <c r="G121" s="1278"/>
      <c r="H121" s="1278"/>
      <c r="I121" s="1278"/>
      <c r="J121" s="1278"/>
      <c r="K121" s="158">
        <f>first_year+39</f>
        <v>2065</v>
      </c>
      <c r="L121" s="1278"/>
      <c r="M121" s="1278"/>
      <c r="N121" s="1278"/>
      <c r="O121" s="1278"/>
      <c r="P121" s="1278"/>
      <c r="Q121" s="1278"/>
      <c r="R121" s="1278"/>
      <c r="S121" s="1278"/>
      <c r="T121" s="465" cm="1" t="str">
        <f t="array" ref="T121:T121">T120</f>
        <v>true</v>
      </c>
      <c r="U121" s="1278"/>
      <c r="V121" s="1278"/>
      <c r="W121" s="1278"/>
      <c r="X121" s="1563"/>
      <c r="Y121" s="1278"/>
      <c r="Z121" s="1546"/>
      <c r="AA121" s="1278"/>
      <c r="AB121" s="255" t="str">
        <f>K121&amp;" год"</f>
        <v>2065 год</v>
      </c>
      <c r="AC121" s="7974"/>
      <c r="AD121" s="7980"/>
      <c r="AE121" s="7981"/>
      <c r="AF121" s="7981"/>
      <c r="AG121" s="7980"/>
      <c r="AH121" s="7980"/>
      <c r="AI121" s="7980"/>
      <c r="AJ121" s="8001"/>
      <c r="AK121" s="8002"/>
      <c r="AL121" s="403"/>
      <c r="AM121" s="1278"/>
      <c r="AN121" s="1278"/>
      <c r="AO121" s="1064" cm="1" t="str">
        <f t="array" ref="AO121:AO121">K121</f>
        <v>2065</v>
      </c>
      <c r="AP121" s="1278"/>
      <c r="AQ121" s="1278"/>
    </row>
    <row s="8031" customFormat="1" customHeight="1" ht="14.25" hidden="1">
      <c r="A122" s="1278"/>
      <c r="B122" s="445">
        <f>K122&lt;first_year+PERIOD_LENGTH</f>
        <v>0</v>
      </c>
      <c r="C122" s="1278"/>
      <c r="D122" s="1278"/>
      <c r="E122" s="703">
        <v>15</v>
      </c>
      <c r="F122" s="50" cm="1" t="str">
        <f t="array" ref="F122:F122">OFFSET(E122,-1,1)</f>
        <v>1</v>
      </c>
      <c r="G122" s="1278"/>
      <c r="H122" s="1278"/>
      <c r="I122" s="1278"/>
      <c r="J122" s="1278"/>
      <c r="K122" s="158">
        <f>first_year+40</f>
        <v>2066</v>
      </c>
      <c r="L122" s="1278"/>
      <c r="M122" s="1278"/>
      <c r="N122" s="1278"/>
      <c r="O122" s="1278"/>
      <c r="P122" s="1278"/>
      <c r="Q122" s="1278"/>
      <c r="R122" s="1278"/>
      <c r="S122" s="1278"/>
      <c r="T122" s="465" cm="1" t="str">
        <f t="array" ref="T122:T122">T121</f>
        <v>true</v>
      </c>
      <c r="U122" s="1278"/>
      <c r="V122" s="1278"/>
      <c r="W122" s="1278"/>
      <c r="X122" s="1563"/>
      <c r="Y122" s="1278"/>
      <c r="Z122" s="1546"/>
      <c r="AA122" s="1278"/>
      <c r="AB122" s="255" t="str">
        <f>K122&amp;" год"</f>
        <v>2066 год</v>
      </c>
      <c r="AC122" s="7974"/>
      <c r="AD122" s="7980"/>
      <c r="AE122" s="7981"/>
      <c r="AF122" s="7981"/>
      <c r="AG122" s="7980"/>
      <c r="AH122" s="7980"/>
      <c r="AI122" s="7980"/>
      <c r="AJ122" s="8001"/>
      <c r="AK122" s="8002"/>
      <c r="AL122" s="403"/>
      <c r="AM122" s="1278"/>
      <c r="AN122" s="1278"/>
      <c r="AO122" s="1064" cm="1" t="str">
        <f t="array" ref="AO122:AO122">K122</f>
        <v>2066</v>
      </c>
      <c r="AP122" s="1278"/>
      <c r="AQ122" s="1278"/>
    </row>
    <row s="8032" customFormat="1" customHeight="1" ht="14.25" hidden="1">
      <c r="A123" s="1278"/>
      <c r="B123" s="445">
        <f>K123&lt;first_year+PERIOD_LENGTH</f>
        <v>0</v>
      </c>
      <c r="C123" s="1278"/>
      <c r="D123" s="1278"/>
      <c r="E123" s="703">
        <v>15</v>
      </c>
      <c r="F123" s="50" cm="1" t="str">
        <f t="array" ref="F123:F123">OFFSET(E123,-1,1)</f>
        <v>1</v>
      </c>
      <c r="G123" s="1278"/>
      <c r="H123" s="1278"/>
      <c r="I123" s="1278"/>
      <c r="J123" s="1278"/>
      <c r="K123" s="158">
        <f>first_year+41</f>
        <v>2067</v>
      </c>
      <c r="L123" s="1278"/>
      <c r="M123" s="1278"/>
      <c r="N123" s="1278"/>
      <c r="O123" s="1278"/>
      <c r="P123" s="1278"/>
      <c r="Q123" s="1278"/>
      <c r="R123" s="1278"/>
      <c r="S123" s="1278"/>
      <c r="T123" s="465" cm="1" t="str">
        <f t="array" ref="T123:T123">T122</f>
        <v>true</v>
      </c>
      <c r="U123" s="1278"/>
      <c r="V123" s="1278"/>
      <c r="W123" s="1278"/>
      <c r="X123" s="1563"/>
      <c r="Y123" s="1278"/>
      <c r="Z123" s="1546"/>
      <c r="AA123" s="1278"/>
      <c r="AB123" s="255" t="str">
        <f>K123&amp;" год"</f>
        <v>2067 год</v>
      </c>
      <c r="AC123" s="7974"/>
      <c r="AD123" s="7980"/>
      <c r="AE123" s="7981"/>
      <c r="AF123" s="7981"/>
      <c r="AG123" s="7980"/>
      <c r="AH123" s="7980"/>
      <c r="AI123" s="7980"/>
      <c r="AJ123" s="8001"/>
      <c r="AK123" s="8002"/>
      <c r="AL123" s="403"/>
      <c r="AM123" s="1278"/>
      <c r="AN123" s="1278"/>
      <c r="AO123" s="1064" cm="1" t="str">
        <f t="array" ref="AO123:AO123">K123</f>
        <v>2067</v>
      </c>
      <c r="AP123" s="1278"/>
      <c r="AQ123" s="1278"/>
    </row>
    <row s="8033" customFormat="1" customHeight="1" ht="14.25" hidden="1">
      <c r="A124" s="1278"/>
      <c r="B124" s="445">
        <f>K124&lt;first_year+PERIOD_LENGTH</f>
        <v>0</v>
      </c>
      <c r="C124" s="1278"/>
      <c r="D124" s="1278"/>
      <c r="E124" s="703">
        <v>15</v>
      </c>
      <c r="F124" s="50" cm="1" t="str">
        <f t="array" ref="F124:F124">OFFSET(E124,-1,1)</f>
        <v>1</v>
      </c>
      <c r="G124" s="1278"/>
      <c r="H124" s="1278"/>
      <c r="I124" s="1278"/>
      <c r="J124" s="1278"/>
      <c r="K124" s="158">
        <f>first_year+42</f>
        <v>2068</v>
      </c>
      <c r="L124" s="1278"/>
      <c r="M124" s="1278"/>
      <c r="N124" s="1278"/>
      <c r="O124" s="1278"/>
      <c r="P124" s="1278"/>
      <c r="Q124" s="1278"/>
      <c r="R124" s="1278"/>
      <c r="S124" s="1278"/>
      <c r="T124" s="465" cm="1" t="str">
        <f t="array" ref="T124:T124">T123</f>
        <v>true</v>
      </c>
      <c r="U124" s="1278"/>
      <c r="V124" s="1278"/>
      <c r="W124" s="1278"/>
      <c r="X124" s="1563"/>
      <c r="Y124" s="1278"/>
      <c r="Z124" s="1546"/>
      <c r="AA124" s="1278"/>
      <c r="AB124" s="255" t="str">
        <f>K124&amp;" год"</f>
        <v>2068 год</v>
      </c>
      <c r="AC124" s="7974"/>
      <c r="AD124" s="7980"/>
      <c r="AE124" s="7981"/>
      <c r="AF124" s="7981"/>
      <c r="AG124" s="7980"/>
      <c r="AH124" s="7980"/>
      <c r="AI124" s="7980"/>
      <c r="AJ124" s="8001"/>
      <c r="AK124" s="8002"/>
      <c r="AL124" s="403"/>
      <c r="AM124" s="1278"/>
      <c r="AN124" s="1278"/>
      <c r="AO124" s="1064" cm="1" t="str">
        <f t="array" ref="AO124:AO124">K124</f>
        <v>2068</v>
      </c>
      <c r="AP124" s="1278"/>
      <c r="AQ124" s="1278"/>
    </row>
    <row s="8034" customFormat="1" customHeight="1" ht="14.25" hidden="1">
      <c r="A125" s="1278"/>
      <c r="B125" s="445">
        <f>K125&lt;first_year+PERIOD_LENGTH</f>
        <v>0</v>
      </c>
      <c r="C125" s="1278"/>
      <c r="D125" s="1278"/>
      <c r="E125" s="703">
        <v>15</v>
      </c>
      <c r="F125" s="50" cm="1" t="str">
        <f t="array" ref="F125:F125">OFFSET(E125,-1,1)</f>
        <v>1</v>
      </c>
      <c r="G125" s="1278"/>
      <c r="H125" s="1278"/>
      <c r="I125" s="1278"/>
      <c r="J125" s="1278"/>
      <c r="K125" s="158">
        <f>first_year+43</f>
        <v>2069</v>
      </c>
      <c r="L125" s="1278"/>
      <c r="M125" s="1278"/>
      <c r="N125" s="1278"/>
      <c r="O125" s="1278"/>
      <c r="P125" s="1278"/>
      <c r="Q125" s="1278"/>
      <c r="R125" s="1278"/>
      <c r="S125" s="1278"/>
      <c r="T125" s="465" cm="1" t="str">
        <f t="array" ref="T125:T125">T124</f>
        <v>true</v>
      </c>
      <c r="U125" s="1278"/>
      <c r="V125" s="1278"/>
      <c r="W125" s="1278"/>
      <c r="X125" s="1563"/>
      <c r="Y125" s="1278"/>
      <c r="Z125" s="1546"/>
      <c r="AA125" s="1278"/>
      <c r="AB125" s="255" t="str">
        <f>K125&amp;" год"</f>
        <v>2069 год</v>
      </c>
      <c r="AC125" s="7974"/>
      <c r="AD125" s="7980"/>
      <c r="AE125" s="7981"/>
      <c r="AF125" s="7981"/>
      <c r="AG125" s="7980"/>
      <c r="AH125" s="7980"/>
      <c r="AI125" s="7980"/>
      <c r="AJ125" s="8001"/>
      <c r="AK125" s="8002"/>
      <c r="AL125" s="403"/>
      <c r="AM125" s="1278"/>
      <c r="AN125" s="1278"/>
      <c r="AO125" s="1064" cm="1" t="str">
        <f t="array" ref="AO125:AO125">K125</f>
        <v>2069</v>
      </c>
      <c r="AP125" s="1278"/>
      <c r="AQ125" s="1278"/>
    </row>
    <row s="8035" customFormat="1" customHeight="1" ht="14.25" hidden="1">
      <c r="A126" s="1278"/>
      <c r="B126" s="445">
        <f>K126&lt;first_year+PERIOD_LENGTH</f>
        <v>0</v>
      </c>
      <c r="C126" s="1278"/>
      <c r="D126" s="1278"/>
      <c r="E126" s="703">
        <v>15</v>
      </c>
      <c r="F126" s="50" cm="1" t="str">
        <f t="array" ref="F126:F126">OFFSET(E126,-1,1)</f>
        <v>1</v>
      </c>
      <c r="G126" s="1278"/>
      <c r="H126" s="1278"/>
      <c r="I126" s="1278"/>
      <c r="J126" s="1278"/>
      <c r="K126" s="158">
        <f>first_year+44</f>
        <v>2070</v>
      </c>
      <c r="L126" s="1278"/>
      <c r="M126" s="1278"/>
      <c r="N126" s="1278"/>
      <c r="O126" s="1278"/>
      <c r="P126" s="1278"/>
      <c r="Q126" s="1278"/>
      <c r="R126" s="1278"/>
      <c r="S126" s="1278"/>
      <c r="T126" s="465" cm="1" t="str">
        <f t="array" ref="T126:T126">T125</f>
        <v>true</v>
      </c>
      <c r="U126" s="1278"/>
      <c r="V126" s="1278"/>
      <c r="W126" s="1278"/>
      <c r="X126" s="1563"/>
      <c r="Y126" s="1278"/>
      <c r="Z126" s="1546"/>
      <c r="AA126" s="1278"/>
      <c r="AB126" s="255" t="str">
        <f>K126&amp;" год"</f>
        <v>2070 год</v>
      </c>
      <c r="AC126" s="7974"/>
      <c r="AD126" s="7980"/>
      <c r="AE126" s="7981"/>
      <c r="AF126" s="7981"/>
      <c r="AG126" s="7980"/>
      <c r="AH126" s="7980"/>
      <c r="AI126" s="7980"/>
      <c r="AJ126" s="8001"/>
      <c r="AK126" s="8002"/>
      <c r="AL126" s="403"/>
      <c r="AM126" s="1278"/>
      <c r="AN126" s="1278"/>
      <c r="AO126" s="1064" cm="1" t="str">
        <f t="array" ref="AO126:AO126">K126</f>
        <v>2070</v>
      </c>
      <c r="AP126" s="1278"/>
      <c r="AQ126" s="1278"/>
    </row>
    <row s="8036" customFormat="1" customHeight="1" ht="14.25" hidden="1">
      <c r="A127" s="1278"/>
      <c r="B127" s="445">
        <f>K127&lt;first_year+PERIOD_LENGTH</f>
        <v>0</v>
      </c>
      <c r="C127" s="1278"/>
      <c r="D127" s="1278"/>
      <c r="E127" s="703">
        <v>15</v>
      </c>
      <c r="F127" s="50" cm="1" t="str">
        <f t="array" ref="F127:F127">OFFSET(E127,-1,1)</f>
        <v>1</v>
      </c>
      <c r="G127" s="1278"/>
      <c r="H127" s="1278"/>
      <c r="I127" s="1278"/>
      <c r="J127" s="1278"/>
      <c r="K127" s="158">
        <f>first_year+45</f>
        <v>2071</v>
      </c>
      <c r="L127" s="1278"/>
      <c r="M127" s="1278"/>
      <c r="N127" s="1278"/>
      <c r="O127" s="1278"/>
      <c r="P127" s="1278"/>
      <c r="Q127" s="1278"/>
      <c r="R127" s="1278"/>
      <c r="S127" s="1278"/>
      <c r="T127" s="465" cm="1" t="str">
        <f t="array" ref="T127:T127">T126</f>
        <v>true</v>
      </c>
      <c r="U127" s="1278"/>
      <c r="V127" s="1278"/>
      <c r="W127" s="1278"/>
      <c r="X127" s="1563"/>
      <c r="Y127" s="1278"/>
      <c r="Z127" s="1546"/>
      <c r="AA127" s="1278"/>
      <c r="AB127" s="255" t="str">
        <f>K127&amp;" год"</f>
        <v>2071 год</v>
      </c>
      <c r="AC127" s="7974"/>
      <c r="AD127" s="7980"/>
      <c r="AE127" s="7981"/>
      <c r="AF127" s="7981"/>
      <c r="AG127" s="7980"/>
      <c r="AH127" s="7980"/>
      <c r="AI127" s="7980"/>
      <c r="AJ127" s="8001"/>
      <c r="AK127" s="8002"/>
      <c r="AL127" s="403"/>
      <c r="AM127" s="1278"/>
      <c r="AN127" s="1278"/>
      <c r="AO127" s="1064" cm="1" t="str">
        <f t="array" ref="AO127:AO127">K127</f>
        <v>2071</v>
      </c>
      <c r="AP127" s="1278"/>
      <c r="AQ127" s="1278"/>
    </row>
    <row s="8037" customFormat="1" customHeight="1" ht="14.25" hidden="1">
      <c r="A128" s="1278"/>
      <c r="B128" s="445">
        <f>K128&lt;first_year+PERIOD_LENGTH</f>
        <v>0</v>
      </c>
      <c r="C128" s="1278"/>
      <c r="D128" s="1278"/>
      <c r="E128" s="703">
        <v>15</v>
      </c>
      <c r="F128" s="50" cm="1" t="str">
        <f t="array" ref="F128:F128">OFFSET(E128,-1,1)</f>
        <v>1</v>
      </c>
      <c r="G128" s="1278"/>
      <c r="H128" s="1278"/>
      <c r="I128" s="1278"/>
      <c r="J128" s="1278"/>
      <c r="K128" s="158">
        <f>first_year+46</f>
        <v>2072</v>
      </c>
      <c r="L128" s="1278"/>
      <c r="M128" s="1278"/>
      <c r="N128" s="1278"/>
      <c r="O128" s="1278"/>
      <c r="P128" s="1278"/>
      <c r="Q128" s="1278"/>
      <c r="R128" s="1278"/>
      <c r="S128" s="1278"/>
      <c r="T128" s="465" cm="1" t="str">
        <f t="array" ref="T128:T128">T127</f>
        <v>true</v>
      </c>
      <c r="U128" s="1278"/>
      <c r="V128" s="1278"/>
      <c r="W128" s="1278"/>
      <c r="X128" s="1563"/>
      <c r="Y128" s="1278"/>
      <c r="Z128" s="1546"/>
      <c r="AA128" s="1278"/>
      <c r="AB128" s="255" t="str">
        <f>K128&amp;" год"</f>
        <v>2072 год</v>
      </c>
      <c r="AC128" s="7974"/>
      <c r="AD128" s="7980"/>
      <c r="AE128" s="7981"/>
      <c r="AF128" s="7981"/>
      <c r="AG128" s="7980"/>
      <c r="AH128" s="7980"/>
      <c r="AI128" s="7980"/>
      <c r="AJ128" s="8001"/>
      <c r="AK128" s="8002"/>
      <c r="AL128" s="403"/>
      <c r="AM128" s="1278"/>
      <c r="AN128" s="1278"/>
      <c r="AO128" s="1064" cm="1" t="str">
        <f t="array" ref="AO128:AO128">K128</f>
        <v>2072</v>
      </c>
      <c r="AP128" s="1278"/>
      <c r="AQ128" s="1278"/>
    </row>
    <row s="8038" customFormat="1" customHeight="1" ht="14.25" hidden="1">
      <c r="A129" s="1278"/>
      <c r="B129" s="445">
        <f>K129&lt;first_year+PERIOD_LENGTH</f>
        <v>0</v>
      </c>
      <c r="C129" s="1278"/>
      <c r="D129" s="1278"/>
      <c r="E129" s="703">
        <v>15</v>
      </c>
      <c r="F129" s="50" cm="1" t="str">
        <f t="array" ref="F129:F129">OFFSET(E129,-1,1)</f>
        <v>1</v>
      </c>
      <c r="G129" s="1278"/>
      <c r="H129" s="1278"/>
      <c r="I129" s="1278"/>
      <c r="J129" s="1278"/>
      <c r="K129" s="158">
        <f>first_year+47</f>
        <v>2073</v>
      </c>
      <c r="L129" s="1278"/>
      <c r="M129" s="1278"/>
      <c r="N129" s="1278"/>
      <c r="O129" s="1278"/>
      <c r="P129" s="1278"/>
      <c r="Q129" s="1278"/>
      <c r="R129" s="1278"/>
      <c r="S129" s="1278"/>
      <c r="T129" s="465" cm="1" t="str">
        <f t="array" ref="T129:T129">T128</f>
        <v>true</v>
      </c>
      <c r="U129" s="1278"/>
      <c r="V129" s="1278"/>
      <c r="W129" s="1278"/>
      <c r="X129" s="1563"/>
      <c r="Y129" s="1278"/>
      <c r="Z129" s="1546"/>
      <c r="AA129" s="1278"/>
      <c r="AB129" s="255" t="str">
        <f>K129&amp;" год"</f>
        <v>2073 год</v>
      </c>
      <c r="AC129" s="7974"/>
      <c r="AD129" s="7980"/>
      <c r="AE129" s="7981"/>
      <c r="AF129" s="7981"/>
      <c r="AG129" s="7980"/>
      <c r="AH129" s="7980"/>
      <c r="AI129" s="7980"/>
      <c r="AJ129" s="8001"/>
      <c r="AK129" s="8002"/>
      <c r="AL129" s="403"/>
      <c r="AM129" s="1278"/>
      <c r="AN129" s="1278"/>
      <c r="AO129" s="1064" cm="1" t="str">
        <f t="array" ref="AO129:AO129">K129</f>
        <v>2073</v>
      </c>
      <c r="AP129" s="1278"/>
      <c r="AQ129" s="1278"/>
    </row>
    <row s="8039" customFormat="1" customHeight="1" ht="14.25" hidden="1">
      <c r="A130" s="1278"/>
      <c r="B130" s="445">
        <f>K130&lt;first_year+PERIOD_LENGTH</f>
        <v>0</v>
      </c>
      <c r="C130" s="1278"/>
      <c r="D130" s="1278"/>
      <c r="E130" s="703">
        <v>15</v>
      </c>
      <c r="F130" s="50" cm="1" t="str">
        <f t="array" ref="F130:F130">OFFSET(E130,-1,1)</f>
        <v>1</v>
      </c>
      <c r="G130" s="1278"/>
      <c r="H130" s="1278"/>
      <c r="I130" s="1278"/>
      <c r="J130" s="1278"/>
      <c r="K130" s="158">
        <f>first_year+48</f>
        <v>2074</v>
      </c>
      <c r="L130" s="1278"/>
      <c r="M130" s="1278"/>
      <c r="N130" s="1278"/>
      <c r="O130" s="1278"/>
      <c r="P130" s="1278"/>
      <c r="Q130" s="1278"/>
      <c r="R130" s="1278"/>
      <c r="S130" s="1278"/>
      <c r="T130" s="465" cm="1" t="str">
        <f t="array" ref="T130:T130">T129</f>
        <v>true</v>
      </c>
      <c r="U130" s="1278"/>
      <c r="V130" s="1278"/>
      <c r="W130" s="1278"/>
      <c r="X130" s="1563"/>
      <c r="Y130" s="1278"/>
      <c r="Z130" s="1546"/>
      <c r="AA130" s="1278"/>
      <c r="AB130" s="255" t="str">
        <f>K130&amp;" год"</f>
        <v>2074 год</v>
      </c>
      <c r="AC130" s="7974"/>
      <c r="AD130" s="7980"/>
      <c r="AE130" s="7981"/>
      <c r="AF130" s="7981"/>
      <c r="AG130" s="7980"/>
      <c r="AH130" s="7980"/>
      <c r="AI130" s="7980"/>
      <c r="AJ130" s="8001"/>
      <c r="AK130" s="8002"/>
      <c r="AL130" s="403"/>
      <c r="AM130" s="1278"/>
      <c r="AN130" s="1278"/>
      <c r="AO130" s="1064" cm="1" t="str">
        <f t="array" ref="AO130:AO130">K130</f>
        <v>2074</v>
      </c>
      <c r="AP130" s="1278"/>
      <c r="AQ130" s="1278"/>
    </row>
    <row s="8040" customFormat="1" customHeight="1" ht="14.25" hidden="1">
      <c r="A131" s="1278"/>
      <c r="B131" s="445">
        <f>K131&lt;first_year+PERIOD_LENGTH</f>
        <v>0</v>
      </c>
      <c r="C131" s="1278"/>
      <c r="D131" s="1278"/>
      <c r="E131" s="703">
        <v>15</v>
      </c>
      <c r="F131" s="50" cm="1" t="str">
        <f t="array" ref="F131:F131">OFFSET(E131,-1,1)</f>
        <v>1</v>
      </c>
      <c r="G131" s="1278"/>
      <c r="H131" s="1278"/>
      <c r="I131" s="1278"/>
      <c r="J131" s="1278"/>
      <c r="K131" s="158">
        <f>first_year+49</f>
        <v>2075</v>
      </c>
      <c r="L131" s="1278"/>
      <c r="M131" s="1278"/>
      <c r="N131" s="1278"/>
      <c r="O131" s="1278"/>
      <c r="P131" s="1278"/>
      <c r="Q131" s="1278"/>
      <c r="R131" s="1278"/>
      <c r="S131" s="1278"/>
      <c r="T131" s="465" cm="1" t="str">
        <f t="array" ref="T131:T131">T130</f>
        <v>true</v>
      </c>
      <c r="U131" s="1278"/>
      <c r="V131" s="1278"/>
      <c r="W131" s="1278"/>
      <c r="X131" s="1563"/>
      <c r="Y131" s="1278"/>
      <c r="Z131" s="1546"/>
      <c r="AA131" s="1278"/>
      <c r="AB131" s="255" t="str">
        <f>K131&amp;" год"</f>
        <v>2075 год</v>
      </c>
      <c r="AC131" s="7974"/>
      <c r="AD131" s="7980"/>
      <c r="AE131" s="7981"/>
      <c r="AF131" s="7981"/>
      <c r="AG131" s="7980"/>
      <c r="AH131" s="7980"/>
      <c r="AI131" s="7980"/>
      <c r="AJ131" s="8001"/>
      <c r="AK131" s="8002"/>
      <c r="AL131" s="403"/>
      <c r="AM131" s="1278"/>
      <c r="AN131" s="1278"/>
      <c r="AO131" s="1064" cm="1" t="str">
        <f t="array" ref="AO131:AO131">K131</f>
        <v>2075</v>
      </c>
      <c r="AP131" s="1278"/>
      <c r="AQ131" s="1278"/>
    </row>
    <row s="538" customFormat="1" customHeight="1" ht="14.25">
      <c r="A132" s="1758"/>
      <c r="B132" s="428"/>
      <c r="C132" s="1758"/>
      <c r="D132" s="1758"/>
      <c r="E132" s="618">
        <v>15</v>
      </c>
      <c r="F132" s="98" cm="1" t="str">
        <f t="array" ref="F132:F132">X132</f>
        <v>2</v>
      </c>
      <c r="G132" s="1758"/>
      <c r="H132" s="1758"/>
      <c r="I132" s="1758"/>
      <c r="J132" s="1758"/>
      <c r="K132" s="1758"/>
      <c r="L132" s="1758"/>
      <c r="M132" s="1758"/>
      <c r="N132" s="1758"/>
      <c r="O132" s="1758"/>
      <c r="P132" s="1758"/>
      <c r="Q132" s="1758"/>
      <c r="R132" s="1758"/>
      <c r="S132" s="1758"/>
      <c r="T132" s="465">
        <f>X132&gt;0</f>
        <v>1</v>
      </c>
      <c r="U132" s="1758"/>
      <c r="V132" s="122" cm="1" t="str">
        <f t="array" ref="V132:V132">'Калькуляция (МИ корр)'!$AB$315</f>
        <v>Тариф 2 (Водоснабжение) - тариф на питьевую воду (Доп. признак не требуется)</v>
      </c>
      <c r="W132" s="1758"/>
      <c r="X132" s="1563" t="s">
        <v>285</v>
      </c>
      <c r="Y132" s="1758"/>
      <c r="Z132" s="1546"/>
      <c r="AA132" s="1758"/>
      <c r="AB132" s="381" cm="1" t="str">
        <f t="array" ref="AB132:AB132">'Калькуляция (МИ корр)'!$AB$315</f>
        <v>Тариф 2 (Водоснабжение) - тариф на питьевую воду (Доп. признак не требуется)</v>
      </c>
      <c r="AC132" s="832"/>
      <c r="AD132" s="832"/>
      <c r="AE132" s="832"/>
      <c r="AF132" s="832"/>
      <c r="AG132" s="832"/>
      <c r="AH132" s="832"/>
      <c r="AI132" s="832"/>
      <c r="AJ132" s="832"/>
      <c r="AK132" s="832"/>
      <c r="AL132" s="402"/>
      <c r="AM132" s="1758"/>
      <c r="AN132" s="1758"/>
      <c r="AO132" s="997"/>
      <c r="AP132" s="1758"/>
      <c r="AQ132" s="1758"/>
    </row>
    <row s="8041" customFormat="1" customHeight="1" ht="14.25">
      <c r="A133" s="1278"/>
      <c r="B133" s="445">
        <f>K133&lt;first_year+PERIOD_LENGTH</f>
        <v>1</v>
      </c>
      <c r="C133" s="1278"/>
      <c r="D133" s="1278"/>
      <c r="E133" s="703">
        <v>15</v>
      </c>
      <c r="F133" s="50" cm="1" t="str">
        <f t="array" ref="F133:F133">OFFSET(E133,-1,1)</f>
        <v>2</v>
      </c>
      <c r="G133" s="1278"/>
      <c r="H133" s="1278"/>
      <c r="I133" s="1278"/>
      <c r="J133" s="1278"/>
      <c r="K133" s="158" cm="1" t="str">
        <f t="array" ref="K133:K133">first_year</f>
        <v>2026</v>
      </c>
      <c r="L133" s="1278"/>
      <c r="M133" s="1278"/>
      <c r="N133" s="1278"/>
      <c r="O133" s="1278"/>
      <c r="P133" s="1278"/>
      <c r="Q133" s="1278"/>
      <c r="R133" s="1278"/>
      <c r="S133" s="1278"/>
      <c r="T133" s="465" cm="1" t="str">
        <f t="array" ref="T133:T133">T132</f>
        <v>true</v>
      </c>
      <c r="U133" s="1278"/>
      <c r="V133" s="1278"/>
      <c r="W133" s="1278"/>
      <c r="X133" s="1563"/>
      <c r="Y133" s="1278"/>
      <c r="Z133" s="1546"/>
      <c r="AA133" s="1278"/>
      <c r="AB133" s="833" t="str">
        <f>K133&amp;" год"</f>
        <v>2026 год</v>
      </c>
      <c r="AC133" s="921">
        <f>IF(god=first_year,_xlfn.SUMIFS('Калькуляция (МИ)'!AT$26:AT$747,'Калькуляция (МИ)'!F$26:F$747,F133,'Калькуляция (МИ)'!AC$26:AC$747,"операционные расходы"),IF(god&lt;first_year+3,_xlfn.IFERROR(_xlfn.SUMIFS(INDEX('Калькуляция (МИ корр)'!$AE$25:$BC$747,,MATCH(K133&amp;"Принято органом регулирования",'Калькуляция (МИ корр)'!$AE$8:$BC$8,0)),'Калькуляция (МИ корр)'!$F$25:$F$747,F133,'Калькуляция (МИ корр)'!$AC$25:$AC$747,"Операционные расходы"),0),""))</f>
        <v>43221.4896612396</v>
      </c>
      <c r="AD133" s="835">
        <f>_xlfn.IFERROR(_xlfn.SUMIFS(INDEX(Сценарии!$AE$25:$BF$163,,MATCH($K133&amp;"Принято органом регулирования",Сценарии!$AE$8:$BF$8,0)),Сценарии!$F$25:$F$163,$F133,Сценарии!$AC$25:$AC$163,"Индекс эффективности операционных расходов"),0)</f>
        <v>0</v>
      </c>
      <c r="AE133" s="834"/>
      <c r="AF133" s="834">
        <f>_xlfn.IFERROR(_xlfn.SUMIFS(INDEX(Баланс!$AE$25:$BB$482,,MATCH($K133&amp;"Принято органом регулирования",Баланс!$AE$8:$BB$8,0)),Баланс!$F$25:$F$482,$F133,Баланс!$AC$24:$AC$482,"Уровень потерь воды"),0)</f>
        <v>0</v>
      </c>
      <c r="AG133" s="1264">
        <f>_xlfn.IFERROR(_xlfn.SUMIFS(INDEX(Electricity_LOAD_1,,MATCH($K133&amp;"Принято органом регулирования",ЭЭ!$AE$8:$BB$8,0)),ЭЭ!$F$25:$F$189,$F133,ЭЭ!$AC$25:$AC$189,"Удельный расход электроэнергии"),0)</f>
        <v>0.261118676387451</v>
      </c>
      <c r="AH133" s="7973">
        <f>_xlfn.IFERROR(_xlfn.SUMIFS(INDEX(Electricity_LOAD_1,,MATCH($K133&amp;"Принято органом регулирования",ЭЭ!$AE$8:$BB$8,0)),ЭЭ!$F$25:$F$189,$F133,ЭЭ!$AC$25:$AC$189,"Удельный расход электроэнергии"),0)</f>
        <v>0.261118676387451</v>
      </c>
      <c r="AI133" s="7973">
        <f>_xlfn.IFERROR(_xlfn.SUMIFS(INDEX(Electricity_LOAD_1,,MATCH($K133&amp;"Принято органом регулирования",ЭЭ!$AE$8:$BB$8,0)),ЭЭ!$F$25:$F$189,$F133,ЭЭ!$AC$25:$AC$189,"Удельный расход электроэнергии"),0)</f>
        <v>0.261118676387451</v>
      </c>
      <c r="AJ133" s="7988"/>
      <c r="AK133" s="7988"/>
      <c r="AL133" s="403"/>
      <c r="AM133" s="158" t="s">
        <v>2975</v>
      </c>
      <c r="AN133" s="1278"/>
      <c r="AO133" s="1064" cm="1" t="str">
        <f t="array" ref="AO133:AO133">K133</f>
        <v>2026</v>
      </c>
      <c r="AP133" s="1278"/>
      <c r="AQ133" s="1278"/>
    </row>
    <row s="8042" customFormat="1" customHeight="1" ht="14.25">
      <c r="A134" s="1278"/>
      <c r="B134" s="445">
        <f>K134&lt;first_year+PERIOD_LENGTH</f>
        <v>1</v>
      </c>
      <c r="C134" s="1278"/>
      <c r="D134" s="1278"/>
      <c r="E134" s="703">
        <v>15</v>
      </c>
      <c r="F134" s="50" cm="1" t="str">
        <f t="array" ref="F134:F134">OFFSET(E134,-1,1)</f>
        <v>2</v>
      </c>
      <c r="G134" s="1278"/>
      <c r="H134" s="1278"/>
      <c r="I134" s="1278"/>
      <c r="J134" s="1278"/>
      <c r="K134" s="158">
        <f>first_year+1</f>
        <v>2027</v>
      </c>
      <c r="L134" s="1278"/>
      <c r="M134" s="1278"/>
      <c r="N134" s="1278"/>
      <c r="O134" s="1278"/>
      <c r="P134" s="1278"/>
      <c r="Q134" s="1278"/>
      <c r="R134" s="1278"/>
      <c r="S134" s="1278"/>
      <c r="T134" s="465" cm="1" t="str">
        <f t="array" ref="T134:T134">T133</f>
        <v>true</v>
      </c>
      <c r="U134" s="1278"/>
      <c r="V134" s="1278"/>
      <c r="W134" s="1278"/>
      <c r="X134" s="1563"/>
      <c r="Y134" s="1278"/>
      <c r="Z134" s="1546"/>
      <c r="AA134" s="1278"/>
      <c r="AB134" s="833" t="str">
        <f>K134&amp;" год"</f>
        <v>2027 год</v>
      </c>
      <c r="AC134" s="834"/>
      <c r="AD134" s="835">
        <f>_xlfn.IFERROR(_xlfn.SUMIFS(INDEX(Сценарии!$AE$25:$BF$163,,MATCH($K134&amp;"Принято органом регулирования",Сценарии!$AE$8:$BF$8,0)),Сценарии!$F$25:$F$163,$F134,Сценарии!$AC$25:$AC$163,"Индекс эффективности операционных расходов"),0)</f>
        <v>1</v>
      </c>
      <c r="AE134" s="834"/>
      <c r="AF134" s="834">
        <f>_xlfn.IFERROR(_xlfn.SUMIFS(INDEX(Баланс!$AE$25:$BB$482,,MATCH($K134&amp;"Принято органом регулирования",Баланс!$AE$8:$BB$8,0)),Баланс!$F$25:$F$482,$F134,Баланс!$AC$24:$AC$482,"Уровень потерь воды"),0)</f>
        <v>0</v>
      </c>
      <c r="AG134" s="1264">
        <f>_xlfn.IFERROR(_xlfn.SUMIFS(INDEX(Electricity_LOAD_1,,MATCH($K134&amp;"Принято органом регулирования",ЭЭ!$AE$8:$BB$8,0)),ЭЭ!$F$25:$F$189,$F134,ЭЭ!$AC$25:$AC$189,"Удельный расход электроэнергии"),0)</f>
        <v>0.261118676387451</v>
      </c>
      <c r="AH134" s="7973">
        <f>_xlfn.IFERROR(_xlfn.SUMIFS(INDEX(Electricity_LOAD_1,,MATCH($K134&amp;"Принято органом регулирования",ЭЭ!$AE$8:$BB$8,0)),ЭЭ!$F$25:$F$189,$F134,ЭЭ!$AC$25:$AC$189,"Удельный расход электроэнергии"),0)</f>
        <v>0.261118676387451</v>
      </c>
      <c r="AI134" s="7973">
        <f>_xlfn.IFERROR(_xlfn.SUMIFS(INDEX(Electricity_LOAD_1,,MATCH($K134&amp;"Принято органом регулирования",ЭЭ!$AE$8:$BB$8,0)),ЭЭ!$F$25:$F$189,$F134,ЭЭ!$AC$25:$AC$189,"Удельный расход электроэнергии"),0)</f>
        <v>0.261118676387451</v>
      </c>
      <c r="AJ134" s="7988"/>
      <c r="AK134" s="7988"/>
      <c r="AL134" s="403"/>
      <c r="AM134" s="1278" t="s">
        <v>2975</v>
      </c>
      <c r="AN134" s="1278"/>
      <c r="AO134" s="1064" cm="1" t="str">
        <f t="array" ref="AO134:AO134">K134</f>
        <v>2027</v>
      </c>
      <c r="AP134" s="1278"/>
      <c r="AQ134" s="1278"/>
    </row>
    <row s="8043" customFormat="1" customHeight="1" ht="14.25">
      <c r="A135" s="1278"/>
      <c r="B135" s="445">
        <f>K135&lt;first_year+PERIOD_LENGTH</f>
        <v>1</v>
      </c>
      <c r="C135" s="1278"/>
      <c r="D135" s="1278"/>
      <c r="E135" s="703">
        <v>15</v>
      </c>
      <c r="F135" s="50" cm="1" t="str">
        <f t="array" ref="F135:F135">OFFSET(E135,-1,1)</f>
        <v>2</v>
      </c>
      <c r="G135" s="1278"/>
      <c r="H135" s="1278"/>
      <c r="I135" s="1278"/>
      <c r="J135" s="1278"/>
      <c r="K135" s="158">
        <f>first_year+2</f>
        <v>2028</v>
      </c>
      <c r="L135" s="1278"/>
      <c r="M135" s="1278"/>
      <c r="N135" s="1278"/>
      <c r="O135" s="1278"/>
      <c r="P135" s="1278"/>
      <c r="Q135" s="1278"/>
      <c r="R135" s="1278"/>
      <c r="S135" s="1278"/>
      <c r="T135" s="465" cm="1" t="str">
        <f t="array" ref="T135:T135">T134</f>
        <v>true</v>
      </c>
      <c r="U135" s="1278"/>
      <c r="V135" s="1278"/>
      <c r="W135" s="1278"/>
      <c r="X135" s="1563"/>
      <c r="Y135" s="1278"/>
      <c r="Z135" s="1546"/>
      <c r="AA135" s="1278"/>
      <c r="AB135" s="833" t="str">
        <f>K135&amp;" год"</f>
        <v>2028 год</v>
      </c>
      <c r="AC135" s="834"/>
      <c r="AD135" s="835">
        <f>_xlfn.IFERROR(_xlfn.SUMIFS(INDEX(Сценарии!$AE$25:$BF$163,,MATCH($K135&amp;"Принято органом регулирования",Сценарии!$AE$8:$BF$8,0)),Сценарии!$F$25:$F$163,$F135,Сценарии!$AC$25:$AC$163,"Индекс эффективности операционных расходов"),0)</f>
        <v>1</v>
      </c>
      <c r="AE135" s="834"/>
      <c r="AF135" s="834">
        <f>_xlfn.IFERROR(_xlfn.SUMIFS(INDEX(Баланс!$AE$25:$BB$482,,MATCH($K135&amp;"Принято органом регулирования",Баланс!$AE$8:$BB$8,0)),Баланс!$F$25:$F$482,$F135,Баланс!$AC$24:$AC$482,"Уровень потерь воды"),0)</f>
        <v>0</v>
      </c>
      <c r="AG135" s="1264">
        <f>_xlfn.IFERROR(_xlfn.SUMIFS(INDEX(Electricity_LOAD_1,,MATCH($K135&amp;"Принято органом регулирования",ЭЭ!$AE$8:$BB$8,0)),ЭЭ!$F$25:$F$189,$F135,ЭЭ!$AC$25:$AC$189,"Удельный расход электроэнергии"),0)</f>
        <v>0.261118676387451</v>
      </c>
      <c r="AH135" s="7973">
        <f>_xlfn.IFERROR(_xlfn.SUMIFS(INDEX(Electricity_LOAD_1,,MATCH($K135&amp;"Принято органом регулирования",ЭЭ!$AE$8:$BB$8,0)),ЭЭ!$F$25:$F$189,$F135,ЭЭ!$AC$25:$AC$189,"Удельный расход электроэнергии"),0)</f>
        <v>0.261118676387451</v>
      </c>
      <c r="AI135" s="7973">
        <f>_xlfn.IFERROR(_xlfn.SUMIFS(INDEX(Electricity_LOAD_1,,MATCH($K135&amp;"Принято органом регулирования",ЭЭ!$AE$8:$BB$8,0)),ЭЭ!$F$25:$F$189,$F135,ЭЭ!$AC$25:$AC$189,"Удельный расход электроэнергии"),0)</f>
        <v>0.261118676387451</v>
      </c>
      <c r="AJ135" s="7988"/>
      <c r="AK135" s="7988"/>
      <c r="AL135" s="403"/>
      <c r="AM135" s="1278" t="s">
        <v>2975</v>
      </c>
      <c r="AN135" s="1278"/>
      <c r="AO135" s="1064" cm="1" t="str">
        <f t="array" ref="AO135:AO135">K135</f>
        <v>2028</v>
      </c>
      <c r="AP135" s="1278"/>
      <c r="AQ135" s="1278"/>
    </row>
    <row s="8044" customFormat="1" customHeight="1" ht="14.25">
      <c r="A136" s="1278"/>
      <c r="B136" s="445">
        <f>K136&lt;first_year+PERIOD_LENGTH</f>
        <v>1</v>
      </c>
      <c r="C136" s="1278"/>
      <c r="D136" s="1278"/>
      <c r="E136" s="703">
        <v>15</v>
      </c>
      <c r="F136" s="50" cm="1" t="str">
        <f t="array" ref="F136:F136">OFFSET(E136,-1,1)</f>
        <v>2</v>
      </c>
      <c r="G136" s="1278"/>
      <c r="H136" s="1278"/>
      <c r="I136" s="1278"/>
      <c r="J136" s="1278"/>
      <c r="K136" s="158">
        <f>first_year+3</f>
        <v>2029</v>
      </c>
      <c r="L136" s="1278"/>
      <c r="M136" s="1278"/>
      <c r="N136" s="1278"/>
      <c r="O136" s="1278"/>
      <c r="P136" s="1278"/>
      <c r="Q136" s="1278"/>
      <c r="R136" s="1278"/>
      <c r="S136" s="1278"/>
      <c r="T136" s="465" cm="1" t="str">
        <f t="array" ref="T136:T136">T135</f>
        <v>true</v>
      </c>
      <c r="U136" s="1278"/>
      <c r="V136" s="1278"/>
      <c r="W136" s="1278"/>
      <c r="X136" s="1563"/>
      <c r="Y136" s="1278"/>
      <c r="Z136" s="1546"/>
      <c r="AA136" s="1278"/>
      <c r="AB136" s="833" t="str">
        <f>K136&amp;" год"</f>
        <v>2029 год</v>
      </c>
      <c r="AC136" s="834"/>
      <c r="AD136" s="835">
        <f>_xlfn.IFERROR(_xlfn.SUMIFS(INDEX(Сценарии!$AE$25:$BF$163,,MATCH($K136&amp;"Принято органом регулирования",Сценарии!$AE$8:$BF$8,0)),Сценарии!$F$25:$F$163,$F136,Сценарии!$AC$25:$AC$163,"Индекс эффективности операционных расходов"),0)</f>
        <v>1</v>
      </c>
      <c r="AE136" s="834"/>
      <c r="AF136" s="834">
        <f>_xlfn.IFERROR(_xlfn.SUMIFS(INDEX(Баланс!$AE$25:$BB$482,,MATCH($K136&amp;"Принято органом регулирования",Баланс!$AE$8:$BB$8,0)),Баланс!$F$25:$F$482,$F136,Баланс!$AC$24:$AC$482,"Уровень потерь воды"),0)</f>
        <v>0</v>
      </c>
      <c r="AG136" s="1264">
        <f>_xlfn.IFERROR(_xlfn.SUMIFS(INDEX(Electricity_LOAD_1,,MATCH($K136&amp;"Принято органом регулирования",ЭЭ!$AE$8:$BB$8,0)),ЭЭ!$F$25:$F$189,$F136,ЭЭ!$AC$25:$AC$189,"Удельный расход электроэнергии"),0)</f>
        <v>0.261118676387452</v>
      </c>
      <c r="AH136" s="7973">
        <f>_xlfn.IFERROR(_xlfn.SUMIFS(INDEX(Electricity_LOAD_1,,MATCH($K136&amp;"Принято органом регулирования",ЭЭ!$AE$8:$BB$8,0)),ЭЭ!$F$25:$F$189,$F136,ЭЭ!$AC$25:$AC$189,"Удельный расход электроэнергии"),0)</f>
        <v>0.261118676387452</v>
      </c>
      <c r="AI136" s="7973">
        <f>_xlfn.IFERROR(_xlfn.SUMIFS(INDEX(Electricity_LOAD_1,,MATCH($K136&amp;"Принято органом регулирования",ЭЭ!$AE$8:$BB$8,0)),ЭЭ!$F$25:$F$189,$F136,ЭЭ!$AC$25:$AC$189,"Удельный расход электроэнергии"),0)</f>
        <v>0.261118676387452</v>
      </c>
      <c r="AJ136" s="7988"/>
      <c r="AK136" s="7988"/>
      <c r="AL136" s="403"/>
      <c r="AM136" s="1278" t="s">
        <v>2975</v>
      </c>
      <c r="AN136" s="1278"/>
      <c r="AO136" s="1064" cm="1" t="str">
        <f t="array" ref="AO136:AO136">K136</f>
        <v>2029</v>
      </c>
      <c r="AP136" s="1278"/>
      <c r="AQ136" s="1278"/>
    </row>
    <row s="8045" customFormat="1" customHeight="1" ht="14.25">
      <c r="A137" s="1278"/>
      <c r="B137" s="445">
        <f>K137&lt;first_year+PERIOD_LENGTH</f>
        <v>1</v>
      </c>
      <c r="C137" s="1278"/>
      <c r="D137" s="1278"/>
      <c r="E137" s="703">
        <v>15</v>
      </c>
      <c r="F137" s="50" cm="1" t="str">
        <f t="array" ref="F137:F137">OFFSET(E137,-1,1)</f>
        <v>2</v>
      </c>
      <c r="G137" s="1278"/>
      <c r="H137" s="1278"/>
      <c r="I137" s="1278"/>
      <c r="J137" s="1278"/>
      <c r="K137" s="158">
        <f>first_year+4</f>
        <v>2030</v>
      </c>
      <c r="L137" s="1278"/>
      <c r="M137" s="1278"/>
      <c r="N137" s="1278"/>
      <c r="O137" s="1278"/>
      <c r="P137" s="1278"/>
      <c r="Q137" s="1278"/>
      <c r="R137" s="1278"/>
      <c r="S137" s="1278"/>
      <c r="T137" s="465" cm="1" t="str">
        <f t="array" ref="T137:T137">T136</f>
        <v>true</v>
      </c>
      <c r="U137" s="1278"/>
      <c r="V137" s="1278"/>
      <c r="W137" s="1278"/>
      <c r="X137" s="1563"/>
      <c r="Y137" s="1278"/>
      <c r="Z137" s="1546"/>
      <c r="AA137" s="1278"/>
      <c r="AB137" s="833" t="str">
        <f>K137&amp;" год"</f>
        <v>2030 год</v>
      </c>
      <c r="AC137" s="834"/>
      <c r="AD137" s="835">
        <f>_xlfn.IFERROR(_xlfn.SUMIFS(INDEX(Сценарии!$AE$25:$BF$163,,MATCH($K137&amp;"Принято органом регулирования",Сценарии!$AE$8:$BF$8,0)),Сценарии!$F$25:$F$163,$F137,Сценарии!$AC$25:$AC$163,"Индекс эффективности операционных расходов"),0)</f>
        <v>1</v>
      </c>
      <c r="AE137" s="834"/>
      <c r="AF137" s="834">
        <f>_xlfn.IFERROR(_xlfn.SUMIFS(INDEX(Баланс!$AE$25:$BB$482,,MATCH($K137&amp;"Принято органом регулирования",Баланс!$AE$8:$BB$8,0)),Баланс!$F$25:$F$482,$F137,Баланс!$AC$24:$AC$482,"Уровень потерь воды"),0)</f>
        <v>0</v>
      </c>
      <c r="AG137" s="1264">
        <f>_xlfn.IFERROR(_xlfn.SUMIFS(INDEX(Electricity_LOAD_1,,MATCH($K137&amp;"Принято органом регулирования",ЭЭ!$AE$8:$BB$8,0)),ЭЭ!$F$25:$F$189,$F137,ЭЭ!$AC$25:$AC$189,"Удельный расход электроэнергии"),0)</f>
        <v>0.261118676387451</v>
      </c>
      <c r="AH137" s="7973">
        <f>_xlfn.IFERROR(_xlfn.SUMIFS(INDEX(Electricity_LOAD_1,,MATCH($K137&amp;"Принято органом регулирования",ЭЭ!$AE$8:$BB$8,0)),ЭЭ!$F$25:$F$189,$F137,ЭЭ!$AC$25:$AC$189,"Удельный расход электроэнергии"),0)</f>
        <v>0.261118676387451</v>
      </c>
      <c r="AI137" s="7973">
        <f>_xlfn.IFERROR(_xlfn.SUMIFS(INDEX(Electricity_LOAD_1,,MATCH($K137&amp;"Принято органом регулирования",ЭЭ!$AE$8:$BB$8,0)),ЭЭ!$F$25:$F$189,$F137,ЭЭ!$AC$25:$AC$189,"Удельный расход электроэнергии"),0)</f>
        <v>0.261118676387451</v>
      </c>
      <c r="AJ137" s="7988"/>
      <c r="AK137" s="7988"/>
      <c r="AL137" s="403"/>
      <c r="AM137" s="1278" t="s">
        <v>2975</v>
      </c>
      <c r="AN137" s="1278"/>
      <c r="AO137" s="1064" cm="1" t="str">
        <f t="array" ref="AO137:AO137">K137</f>
        <v>2030</v>
      </c>
      <c r="AP137" s="1278"/>
      <c r="AQ137" s="1278"/>
    </row>
    <row s="8046" customFormat="1" customHeight="1" ht="14.25" hidden="1">
      <c r="A138" s="1278"/>
      <c r="B138" s="445">
        <f>K138&lt;first_year+PERIOD_LENGTH</f>
        <v>0</v>
      </c>
      <c r="C138" s="1278"/>
      <c r="D138" s="1278"/>
      <c r="E138" s="703">
        <v>15</v>
      </c>
      <c r="F138" s="50" cm="1" t="str">
        <f t="array" ref="F138:F138">OFFSET(E138,-1,1)</f>
        <v>2</v>
      </c>
      <c r="G138" s="1278"/>
      <c r="H138" s="1278"/>
      <c r="I138" s="1278"/>
      <c r="J138" s="1278"/>
      <c r="K138" s="158">
        <f>first_year+5</f>
        <v>2031</v>
      </c>
      <c r="L138" s="1278"/>
      <c r="M138" s="1278"/>
      <c r="N138" s="1278"/>
      <c r="O138" s="1278"/>
      <c r="P138" s="1278"/>
      <c r="Q138" s="1278"/>
      <c r="R138" s="1278"/>
      <c r="S138" s="1278"/>
      <c r="T138" s="465" cm="1" t="str">
        <f t="array" ref="T138:T138">T137</f>
        <v>true</v>
      </c>
      <c r="U138" s="1278"/>
      <c r="V138" s="1278"/>
      <c r="W138" s="1278"/>
      <c r="X138" s="1563"/>
      <c r="Y138" s="1278"/>
      <c r="Z138" s="1546"/>
      <c r="AA138" s="1278"/>
      <c r="AB138" s="833" t="str">
        <f>K138&amp;" год"</f>
        <v>2031 год</v>
      </c>
      <c r="AC138" s="7974"/>
      <c r="AD138" s="7973">
        <f>_xlfn.IFERROR(_xlfn.SUMIFS(INDEX(Сценарии!$AE$25:$BF$163,,MATCH($K138&amp;"Принято органом регулирования",Сценарии!$AE$8:$BF$8,0)),Сценарии!$F$25:$F$163,$F138,Сценарии!$AC$25:$AC$163,"Индекс эффективности операционных расходов"),0)</f>
        <v>0</v>
      </c>
      <c r="AE138" s="7974"/>
      <c r="AF138" s="7974">
        <f>_xlfn.IFERROR(_xlfn.SUMIFS(INDEX(Баланс!$AE$25:$BB$482,,MATCH($K138&amp;"Принято органом регулирования",Баланс!$AE$8:$BB$8,0)),Баланс!$F$25:$F$482,$F138,Баланс!$AC$24:$AC$482,"Уровень потерь воды"),0)</f>
        <v>0</v>
      </c>
      <c r="AG138" s="7975">
        <f>_xlfn.IFERROR(_xlfn.SUMIFS(INDEX(Electricity_LOAD_1,,MATCH($K138&amp;"Принято органом регулирования",ЭЭ!$AE$8:$BB$8,0)),ЭЭ!$F$25:$F$189,$F138,ЭЭ!$AC$25:$AC$189,"Удельный расход электроэнергии"),0)</f>
        <v>0</v>
      </c>
      <c r="AH138" s="7973">
        <f>_xlfn.IFERROR(_xlfn.SUMIFS(INDEX(Electricity_LOAD_1,,MATCH($K138&amp;"Принято органом регулирования",ЭЭ!$AE$8:$BB$8,0)),ЭЭ!$F$25:$F$189,$F138,ЭЭ!$AC$25:$AC$189,"Удельный расход электроэнергии"),0)</f>
        <v>0</v>
      </c>
      <c r="AI138" s="7973">
        <f>_xlfn.IFERROR(_xlfn.SUMIFS(INDEX(Electricity_LOAD_1,,MATCH($K138&amp;"Принято органом регулирования",ЭЭ!$AE$8:$BB$8,0)),ЭЭ!$F$25:$F$189,$F138,ЭЭ!$AC$25:$AC$189,"Удельный расход электроэнергии"),0)</f>
        <v>0</v>
      </c>
      <c r="AJ138" s="7988"/>
      <c r="AK138" s="7988"/>
      <c r="AL138" s="403"/>
      <c r="AM138" s="1278" t="s">
        <v>2975</v>
      </c>
      <c r="AN138" s="1278"/>
      <c r="AO138" s="1064" cm="1" t="str">
        <f t="array" ref="AO138:AO138">K138</f>
        <v>2031</v>
      </c>
      <c r="AP138" s="1278"/>
      <c r="AQ138" s="1278"/>
    </row>
    <row s="8047" customFormat="1" customHeight="1" ht="14.25" hidden="1">
      <c r="A139" s="1278"/>
      <c r="B139" s="445">
        <f>K139&lt;first_year+PERIOD_LENGTH</f>
        <v>0</v>
      </c>
      <c r="C139" s="1278"/>
      <c r="D139" s="1278"/>
      <c r="E139" s="703">
        <v>15</v>
      </c>
      <c r="F139" s="50" cm="1" t="str">
        <f t="array" ref="F139:F139">OFFSET(E139,-1,1)</f>
        <v>2</v>
      </c>
      <c r="G139" s="1278"/>
      <c r="H139" s="1278"/>
      <c r="I139" s="1278"/>
      <c r="J139" s="1278"/>
      <c r="K139" s="158">
        <f>first_year+6</f>
        <v>2032</v>
      </c>
      <c r="L139" s="1278"/>
      <c r="M139" s="1278"/>
      <c r="N139" s="1278"/>
      <c r="O139" s="1278"/>
      <c r="P139" s="1278"/>
      <c r="Q139" s="1278"/>
      <c r="R139" s="1278"/>
      <c r="S139" s="1278"/>
      <c r="T139" s="465" cm="1" t="str">
        <f t="array" ref="T139:T139">T138</f>
        <v>true</v>
      </c>
      <c r="U139" s="1278"/>
      <c r="V139" s="1278"/>
      <c r="W139" s="1278"/>
      <c r="X139" s="1563"/>
      <c r="Y139" s="1278"/>
      <c r="Z139" s="1546"/>
      <c r="AA139" s="1278"/>
      <c r="AB139" s="833" t="str">
        <f>K139&amp;" год"</f>
        <v>2032 год</v>
      </c>
      <c r="AC139" s="7974"/>
      <c r="AD139" s="7973">
        <f>_xlfn.IFERROR(_xlfn.SUMIFS(INDEX(Сценарии!$AE$25:$BF$163,,MATCH($K139&amp;"Принято органом регулирования",Сценарии!$AE$8:$BF$8,0)),Сценарии!$F$25:$F$163,$F139,Сценарии!$AC$25:$AC$163,"Индекс эффективности операционных расходов"),0)</f>
        <v>0</v>
      </c>
      <c r="AE139" s="7974"/>
      <c r="AF139" s="7974">
        <f>_xlfn.IFERROR(_xlfn.SUMIFS(INDEX(Баланс!$AE$25:$BB$482,,MATCH($K139&amp;"Принято органом регулирования",Баланс!$AE$8:$BB$8,0)),Баланс!$F$25:$F$482,$F139,Баланс!$AC$24:$AC$482,"Уровень потерь воды"),0)</f>
        <v>0</v>
      </c>
      <c r="AG139" s="7975">
        <f>_xlfn.IFERROR(_xlfn.SUMIFS(INDEX(Electricity_LOAD_1,,MATCH($K139&amp;"Принято органом регулирования",ЭЭ!$AE$8:$BB$8,0)),ЭЭ!$F$25:$F$189,$F139,ЭЭ!$AC$25:$AC$189,"Удельный расход электроэнергии"),0)</f>
        <v>0</v>
      </c>
      <c r="AH139" s="7973">
        <f>_xlfn.IFERROR(_xlfn.SUMIFS(INDEX(Electricity_LOAD_1,,MATCH($K139&amp;"Принято органом регулирования",ЭЭ!$AE$8:$BB$8,0)),ЭЭ!$F$25:$F$189,$F139,ЭЭ!$AC$25:$AC$189,"Удельный расход электроэнергии"),0)</f>
        <v>0</v>
      </c>
      <c r="AI139" s="7973">
        <f>_xlfn.IFERROR(_xlfn.SUMIFS(INDEX(Electricity_LOAD_1,,MATCH($K139&amp;"Принято органом регулирования",ЭЭ!$AE$8:$BB$8,0)),ЭЭ!$F$25:$F$189,$F139,ЭЭ!$AC$25:$AC$189,"Удельный расход электроэнергии"),0)</f>
        <v>0</v>
      </c>
      <c r="AJ139" s="7988"/>
      <c r="AK139" s="7988"/>
      <c r="AL139" s="403"/>
      <c r="AM139" s="1278" t="s">
        <v>2975</v>
      </c>
      <c r="AN139" s="1278"/>
      <c r="AO139" s="1064" cm="1" t="str">
        <f t="array" ref="AO139:AO139">K139</f>
        <v>2032</v>
      </c>
      <c r="AP139" s="1278"/>
      <c r="AQ139" s="1278"/>
    </row>
    <row s="8048" customFormat="1" customHeight="1" ht="14.25" hidden="1">
      <c r="A140" s="1278"/>
      <c r="B140" s="445">
        <f>K140&lt;first_year+PERIOD_LENGTH</f>
        <v>0</v>
      </c>
      <c r="C140" s="1278"/>
      <c r="D140" s="1278"/>
      <c r="E140" s="703">
        <v>15</v>
      </c>
      <c r="F140" s="50" cm="1" t="str">
        <f t="array" ref="F140:F140">OFFSET(E140,-1,1)</f>
        <v>2</v>
      </c>
      <c r="G140" s="1278"/>
      <c r="H140" s="1278"/>
      <c r="I140" s="1278"/>
      <c r="J140" s="1278"/>
      <c r="K140" s="158">
        <f>first_year+7</f>
        <v>2033</v>
      </c>
      <c r="L140" s="1278"/>
      <c r="M140" s="1278"/>
      <c r="N140" s="1278"/>
      <c r="O140" s="1278"/>
      <c r="P140" s="1278"/>
      <c r="Q140" s="1278"/>
      <c r="R140" s="1278"/>
      <c r="S140" s="1278"/>
      <c r="T140" s="465" cm="1" t="str">
        <f t="array" ref="T140:T140">T139</f>
        <v>true</v>
      </c>
      <c r="U140" s="1278"/>
      <c r="V140" s="1278"/>
      <c r="W140" s="1278"/>
      <c r="X140" s="1563"/>
      <c r="Y140" s="1278"/>
      <c r="Z140" s="1546"/>
      <c r="AA140" s="1278"/>
      <c r="AB140" s="833" t="str">
        <f>K140&amp;" год"</f>
        <v>2033 год</v>
      </c>
      <c r="AC140" s="7974"/>
      <c r="AD140" s="7973">
        <f>_xlfn.IFERROR(_xlfn.SUMIFS(INDEX(Сценарии!$AE$25:$BF$163,,MATCH($K140&amp;"Принято органом регулирования",Сценарии!$AE$8:$BF$8,0)),Сценарии!$F$25:$F$163,$F140,Сценарии!$AC$25:$AC$163,"Индекс эффективности операционных расходов"),0)</f>
        <v>0</v>
      </c>
      <c r="AE140" s="7974"/>
      <c r="AF140" s="7974">
        <f>_xlfn.IFERROR(_xlfn.SUMIFS(INDEX(Баланс!$AE$25:$BB$482,,MATCH($K140&amp;"Принято органом регулирования",Баланс!$AE$8:$BB$8,0)),Баланс!$F$25:$F$482,$F140,Баланс!$AC$24:$AC$482,"Уровень потерь воды"),0)</f>
        <v>0</v>
      </c>
      <c r="AG140" s="7975">
        <f>_xlfn.IFERROR(_xlfn.SUMIFS(INDEX(Electricity_LOAD_1,,MATCH($K140&amp;"Принято органом регулирования",ЭЭ!$AE$8:$BB$8,0)),ЭЭ!$F$25:$F$189,$F140,ЭЭ!$AC$25:$AC$189,"Удельный расход электроэнергии"),0)</f>
        <v>0</v>
      </c>
      <c r="AH140" s="7973">
        <f>_xlfn.IFERROR(_xlfn.SUMIFS(INDEX(Electricity_LOAD_1,,MATCH($K140&amp;"Принято органом регулирования",ЭЭ!$AE$8:$BB$8,0)),ЭЭ!$F$25:$F$189,$F140,ЭЭ!$AC$25:$AC$189,"Удельный расход электроэнергии"),0)</f>
        <v>0</v>
      </c>
      <c r="AI140" s="7973">
        <f>_xlfn.IFERROR(_xlfn.SUMIFS(INDEX(Electricity_LOAD_1,,MATCH($K140&amp;"Принято органом регулирования",ЭЭ!$AE$8:$BB$8,0)),ЭЭ!$F$25:$F$189,$F140,ЭЭ!$AC$25:$AC$189,"Удельный расход электроэнергии"),0)</f>
        <v>0</v>
      </c>
      <c r="AJ140" s="7988"/>
      <c r="AK140" s="7988"/>
      <c r="AL140" s="403"/>
      <c r="AM140" s="1278" t="s">
        <v>2975</v>
      </c>
      <c r="AN140" s="1278"/>
      <c r="AO140" s="1064" cm="1" t="str">
        <f t="array" ref="AO140:AO140">K140</f>
        <v>2033</v>
      </c>
      <c r="AP140" s="1278"/>
      <c r="AQ140" s="1278"/>
    </row>
    <row s="8049" customFormat="1" customHeight="1" ht="14.25" hidden="1">
      <c r="A141" s="1278"/>
      <c r="B141" s="445">
        <f>K141&lt;first_year+PERIOD_LENGTH</f>
        <v>0</v>
      </c>
      <c r="C141" s="1278"/>
      <c r="D141" s="1278"/>
      <c r="E141" s="703">
        <v>15</v>
      </c>
      <c r="F141" s="50" cm="1" t="str">
        <f t="array" ref="F141:F141">OFFSET(E141,-1,1)</f>
        <v>2</v>
      </c>
      <c r="G141" s="1278"/>
      <c r="H141" s="1278"/>
      <c r="I141" s="1278"/>
      <c r="J141" s="1278"/>
      <c r="K141" s="158">
        <f>first_year+8</f>
        <v>2034</v>
      </c>
      <c r="L141" s="1278"/>
      <c r="M141" s="1278"/>
      <c r="N141" s="1278"/>
      <c r="O141" s="1278"/>
      <c r="P141" s="1278"/>
      <c r="Q141" s="1278"/>
      <c r="R141" s="1278"/>
      <c r="S141" s="1278"/>
      <c r="T141" s="465" cm="1" t="str">
        <f t="array" ref="T141:T141">T140</f>
        <v>true</v>
      </c>
      <c r="U141" s="1278"/>
      <c r="V141" s="1278"/>
      <c r="W141" s="1278"/>
      <c r="X141" s="1563"/>
      <c r="Y141" s="1278"/>
      <c r="Z141" s="1546"/>
      <c r="AA141" s="1278"/>
      <c r="AB141" s="833" t="str">
        <f>K141&amp;" год"</f>
        <v>2034 год</v>
      </c>
      <c r="AC141" s="7974"/>
      <c r="AD141" s="7973">
        <f>_xlfn.IFERROR(_xlfn.SUMIFS(INDEX(Сценарии!$AE$25:$BF$163,,MATCH($K141&amp;"Принято органом регулирования",Сценарии!$AE$8:$BF$8,0)),Сценарии!$F$25:$F$163,$F141,Сценарии!$AC$25:$AC$163,"Индекс эффективности операционных расходов"),0)</f>
        <v>0</v>
      </c>
      <c r="AE141" s="7974"/>
      <c r="AF141" s="7974">
        <f>_xlfn.IFERROR(_xlfn.SUMIFS(INDEX(Баланс!$AE$25:$BB$482,,MATCH($K141&amp;"Принято органом регулирования",Баланс!$AE$8:$BB$8,0)),Баланс!$F$25:$F$482,$F141,Баланс!$AC$24:$AC$482,"Уровень потерь воды"),0)</f>
        <v>0</v>
      </c>
      <c r="AG141" s="7975">
        <f>_xlfn.IFERROR(_xlfn.SUMIFS(INDEX(Electricity_LOAD_1,,MATCH($K141&amp;"Принято органом регулирования",ЭЭ!$AE$8:$BB$8,0)),ЭЭ!$F$25:$F$189,$F141,ЭЭ!$AC$25:$AC$189,"Удельный расход электроэнергии"),0)</f>
        <v>0</v>
      </c>
      <c r="AH141" s="7973">
        <f>_xlfn.IFERROR(_xlfn.SUMIFS(INDEX(Electricity_LOAD_1,,MATCH($K141&amp;"Принято органом регулирования",ЭЭ!$AE$8:$BB$8,0)),ЭЭ!$F$25:$F$189,$F141,ЭЭ!$AC$25:$AC$189,"Удельный расход электроэнергии"),0)</f>
        <v>0</v>
      </c>
      <c r="AI141" s="7973">
        <f>_xlfn.IFERROR(_xlfn.SUMIFS(INDEX(Electricity_LOAD_1,,MATCH($K141&amp;"Принято органом регулирования",ЭЭ!$AE$8:$BB$8,0)),ЭЭ!$F$25:$F$189,$F141,ЭЭ!$AC$25:$AC$189,"Удельный расход электроэнергии"),0)</f>
        <v>0</v>
      </c>
      <c r="AJ141" s="7988"/>
      <c r="AK141" s="7988"/>
      <c r="AL141" s="403"/>
      <c r="AM141" s="1278" t="s">
        <v>2975</v>
      </c>
      <c r="AN141" s="1278"/>
      <c r="AO141" s="1064" cm="1" t="str">
        <f t="array" ref="AO141:AO141">K141</f>
        <v>2034</v>
      </c>
      <c r="AP141" s="1278"/>
      <c r="AQ141" s="1278"/>
    </row>
    <row s="8050" customFormat="1" customHeight="1" ht="14.25" hidden="1">
      <c r="A142" s="1278"/>
      <c r="B142" s="445">
        <f>K142&lt;first_year+PERIOD_LENGTH</f>
        <v>0</v>
      </c>
      <c r="C142" s="1278"/>
      <c r="D142" s="1278"/>
      <c r="E142" s="703">
        <v>15</v>
      </c>
      <c r="F142" s="50" cm="1" t="str">
        <f t="array" ref="F142:F142">OFFSET(E142,-1,1)</f>
        <v>2</v>
      </c>
      <c r="G142" s="1278"/>
      <c r="H142" s="1278"/>
      <c r="I142" s="1278"/>
      <c r="J142" s="1278"/>
      <c r="K142" s="158">
        <f>first_year+9</f>
        <v>2035</v>
      </c>
      <c r="L142" s="1278"/>
      <c r="M142" s="1278"/>
      <c r="N142" s="1278"/>
      <c r="O142" s="1278"/>
      <c r="P142" s="1278"/>
      <c r="Q142" s="1278"/>
      <c r="R142" s="1278"/>
      <c r="S142" s="1278"/>
      <c r="T142" s="465" cm="1" t="str">
        <f t="array" ref="T142:T142">T141</f>
        <v>true</v>
      </c>
      <c r="U142" s="1278"/>
      <c r="V142" s="1278"/>
      <c r="W142" s="1278"/>
      <c r="X142" s="1563"/>
      <c r="Y142" s="1278"/>
      <c r="Z142" s="1546"/>
      <c r="AA142" s="1278"/>
      <c r="AB142" s="833" t="str">
        <f>K142&amp;" год"</f>
        <v>2035 год</v>
      </c>
      <c r="AC142" s="7974"/>
      <c r="AD142" s="7973">
        <f>_xlfn.IFERROR(_xlfn.SUMIFS(INDEX(Сценарии!$AE$25:$BF$163,,MATCH($K142&amp;"Принято органом регулирования",Сценарии!$AE$8:$BF$8,0)),Сценарии!$F$25:$F$163,$F142,Сценарии!$AC$25:$AC$163,"Индекс эффективности операционных расходов"),0)</f>
        <v>0</v>
      </c>
      <c r="AE142" s="7974"/>
      <c r="AF142" s="7974">
        <f>_xlfn.IFERROR(_xlfn.SUMIFS(INDEX(Баланс!$AE$25:$BB$482,,MATCH($K142&amp;"Принято органом регулирования",Баланс!$AE$8:$BB$8,0)),Баланс!$F$25:$F$482,$F142,Баланс!$AC$24:$AC$482,"Уровень потерь воды"),0)</f>
        <v>0</v>
      </c>
      <c r="AG142" s="7975">
        <f>_xlfn.IFERROR(_xlfn.SUMIFS(INDEX(Electricity_LOAD_1,,MATCH($K142&amp;"Принято органом регулирования",ЭЭ!$AE$8:$BB$8,0)),ЭЭ!$F$25:$F$189,$F142,ЭЭ!$AC$25:$AC$189,"Удельный расход электроэнергии"),0)</f>
        <v>0</v>
      </c>
      <c r="AH142" s="7973">
        <f>_xlfn.IFERROR(_xlfn.SUMIFS(INDEX(Electricity_LOAD_1,,MATCH($K142&amp;"Принято органом регулирования",ЭЭ!$AE$8:$BB$8,0)),ЭЭ!$F$25:$F$189,$F142,ЭЭ!$AC$25:$AC$189,"Удельный расход электроэнергии"),0)</f>
        <v>0</v>
      </c>
      <c r="AI142" s="7973">
        <f>_xlfn.IFERROR(_xlfn.SUMIFS(INDEX(Electricity_LOAD_1,,MATCH($K142&amp;"Принято органом регулирования",ЭЭ!$AE$8:$BB$8,0)),ЭЭ!$F$25:$F$189,$F142,ЭЭ!$AC$25:$AC$189,"Удельный расход электроэнергии"),0)</f>
        <v>0</v>
      </c>
      <c r="AJ142" s="7988"/>
      <c r="AK142" s="7988"/>
      <c r="AL142" s="403"/>
      <c r="AM142" s="1278" t="s">
        <v>2975</v>
      </c>
      <c r="AN142" s="1278"/>
      <c r="AO142" s="1064" cm="1" t="str">
        <f t="array" ref="AO142:AO142">K142</f>
        <v>2035</v>
      </c>
      <c r="AP142" s="1278"/>
      <c r="AQ142" s="1278"/>
    </row>
    <row s="8051" customFormat="1" customHeight="1" ht="14.25" hidden="1">
      <c r="A143" s="1278"/>
      <c r="B143" s="445">
        <f>K143&lt;first_year+PERIOD_LENGTH</f>
        <v>0</v>
      </c>
      <c r="C143" s="1278"/>
      <c r="D143" s="1278"/>
      <c r="E143" s="703">
        <v>15</v>
      </c>
      <c r="F143" s="50" cm="1" t="str">
        <f t="array" ref="F143:F143">OFFSET(E143,-1,1)</f>
        <v>2</v>
      </c>
      <c r="G143" s="1278"/>
      <c r="H143" s="1278"/>
      <c r="I143" s="1278"/>
      <c r="J143" s="1278"/>
      <c r="K143" s="158">
        <f>first_year+10</f>
        <v>2036</v>
      </c>
      <c r="L143" s="1278"/>
      <c r="M143" s="1278"/>
      <c r="N143" s="1278"/>
      <c r="O143" s="1278"/>
      <c r="P143" s="1278"/>
      <c r="Q143" s="1278"/>
      <c r="R143" s="1278"/>
      <c r="S143" s="1278"/>
      <c r="T143" s="465" cm="1" t="str">
        <f t="array" ref="T143:T143">T142</f>
        <v>true</v>
      </c>
      <c r="U143" s="1278"/>
      <c r="V143" s="1278"/>
      <c r="W143" s="1278"/>
      <c r="X143" s="1563"/>
      <c r="Y143" s="1278"/>
      <c r="Z143" s="1546"/>
      <c r="AA143" s="1278"/>
      <c r="AB143" s="833" t="str">
        <f>K143&amp;" год"</f>
        <v>2036 год</v>
      </c>
      <c r="AC143" s="7974"/>
      <c r="AD143" s="7973"/>
      <c r="AE143" s="7974"/>
      <c r="AF143" s="7974"/>
      <c r="AG143" s="7973"/>
      <c r="AH143" s="7973"/>
      <c r="AI143" s="7973"/>
      <c r="AJ143" s="7988"/>
      <c r="AK143" s="7999"/>
      <c r="AL143" s="403"/>
      <c r="AM143" s="1278"/>
      <c r="AN143" s="1278"/>
      <c r="AO143" s="1064" cm="1" t="str">
        <f t="array" ref="AO143:AO143">K143</f>
        <v>2036</v>
      </c>
      <c r="AP143" s="1278"/>
      <c r="AQ143" s="1278"/>
    </row>
    <row s="8052" customFormat="1" customHeight="1" ht="14.25" hidden="1">
      <c r="A144" s="1278"/>
      <c r="B144" s="445">
        <f>K144&lt;first_year+PERIOD_LENGTH</f>
        <v>0</v>
      </c>
      <c r="C144" s="1278"/>
      <c r="D144" s="1278"/>
      <c r="E144" s="703">
        <v>15</v>
      </c>
      <c r="F144" s="50" cm="1" t="str">
        <f t="array" ref="F144:F144">OFFSET(E144,-1,1)</f>
        <v>2</v>
      </c>
      <c r="G144" s="1278"/>
      <c r="H144" s="1278"/>
      <c r="I144" s="1278"/>
      <c r="J144" s="1278"/>
      <c r="K144" s="158">
        <f>first_year+11</f>
        <v>2037</v>
      </c>
      <c r="L144" s="1278"/>
      <c r="M144" s="1278"/>
      <c r="N144" s="1278"/>
      <c r="O144" s="1278"/>
      <c r="P144" s="1278"/>
      <c r="Q144" s="1278"/>
      <c r="R144" s="1278"/>
      <c r="S144" s="1278"/>
      <c r="T144" s="465" cm="1" t="str">
        <f t="array" ref="T144:T144">T143</f>
        <v>true</v>
      </c>
      <c r="U144" s="1278"/>
      <c r="V144" s="1278"/>
      <c r="W144" s="1278"/>
      <c r="X144" s="1563"/>
      <c r="Y144" s="1278"/>
      <c r="Z144" s="1546"/>
      <c r="AA144" s="1278"/>
      <c r="AB144" s="255" t="str">
        <f>K144&amp;" год"</f>
        <v>2037 год</v>
      </c>
      <c r="AC144" s="7974"/>
      <c r="AD144" s="7980"/>
      <c r="AE144" s="7981"/>
      <c r="AF144" s="7981"/>
      <c r="AG144" s="7980"/>
      <c r="AH144" s="7980"/>
      <c r="AI144" s="7980"/>
      <c r="AJ144" s="8001"/>
      <c r="AK144" s="8002"/>
      <c r="AL144" s="403"/>
      <c r="AM144" s="1278"/>
      <c r="AN144" s="1278"/>
      <c r="AO144" s="1064" cm="1" t="str">
        <f t="array" ref="AO144:AO144">K144</f>
        <v>2037</v>
      </c>
      <c r="AP144" s="1278"/>
      <c r="AQ144" s="1278"/>
    </row>
    <row s="8053" customFormat="1" customHeight="1" ht="14.25" hidden="1">
      <c r="A145" s="1278"/>
      <c r="B145" s="445">
        <f>K145&lt;first_year+PERIOD_LENGTH</f>
        <v>0</v>
      </c>
      <c r="C145" s="1278"/>
      <c r="D145" s="1278"/>
      <c r="E145" s="703">
        <v>15</v>
      </c>
      <c r="F145" s="50" cm="1" t="str">
        <f t="array" ref="F145:F145">OFFSET(E145,-1,1)</f>
        <v>2</v>
      </c>
      <c r="G145" s="1278"/>
      <c r="H145" s="1278"/>
      <c r="I145" s="1278"/>
      <c r="J145" s="1278"/>
      <c r="K145" s="158">
        <f>first_year+12</f>
        <v>2038</v>
      </c>
      <c r="L145" s="1278"/>
      <c r="M145" s="1278"/>
      <c r="N145" s="1278"/>
      <c r="O145" s="1278"/>
      <c r="P145" s="1278"/>
      <c r="Q145" s="1278"/>
      <c r="R145" s="1278"/>
      <c r="S145" s="1278"/>
      <c r="T145" s="465" cm="1" t="str">
        <f t="array" ref="T145:T145">T144</f>
        <v>true</v>
      </c>
      <c r="U145" s="1278"/>
      <c r="V145" s="1278"/>
      <c r="W145" s="1278"/>
      <c r="X145" s="1563"/>
      <c r="Y145" s="1278"/>
      <c r="Z145" s="1546"/>
      <c r="AA145" s="1278"/>
      <c r="AB145" s="255" t="str">
        <f>K145&amp;" год"</f>
        <v>2038 год</v>
      </c>
      <c r="AC145" s="7974"/>
      <c r="AD145" s="7980"/>
      <c r="AE145" s="7981"/>
      <c r="AF145" s="7981"/>
      <c r="AG145" s="7980"/>
      <c r="AH145" s="7980"/>
      <c r="AI145" s="7980"/>
      <c r="AJ145" s="8001"/>
      <c r="AK145" s="8002"/>
      <c r="AL145" s="403"/>
      <c r="AM145" s="1278"/>
      <c r="AN145" s="1278"/>
      <c r="AO145" s="1064" cm="1" t="str">
        <f t="array" ref="AO145:AO145">K145</f>
        <v>2038</v>
      </c>
      <c r="AP145" s="1278"/>
      <c r="AQ145" s="1278"/>
    </row>
    <row s="8054" customFormat="1" customHeight="1" ht="14.25" hidden="1">
      <c r="A146" s="1278"/>
      <c r="B146" s="445">
        <f>K146&lt;first_year+PERIOD_LENGTH</f>
        <v>0</v>
      </c>
      <c r="C146" s="1278"/>
      <c r="D146" s="1278"/>
      <c r="E146" s="703">
        <v>15</v>
      </c>
      <c r="F146" s="50" cm="1" t="str">
        <f t="array" ref="F146:F146">OFFSET(E146,-1,1)</f>
        <v>2</v>
      </c>
      <c r="G146" s="1278"/>
      <c r="H146" s="1278"/>
      <c r="I146" s="1278"/>
      <c r="J146" s="1278"/>
      <c r="K146" s="158">
        <f>first_year+13</f>
        <v>2039</v>
      </c>
      <c r="L146" s="1278"/>
      <c r="M146" s="1278"/>
      <c r="N146" s="1278"/>
      <c r="O146" s="1278"/>
      <c r="P146" s="1278"/>
      <c r="Q146" s="1278"/>
      <c r="R146" s="1278"/>
      <c r="S146" s="1278"/>
      <c r="T146" s="465" cm="1" t="str">
        <f t="array" ref="T146:T146">T145</f>
        <v>true</v>
      </c>
      <c r="U146" s="1278"/>
      <c r="V146" s="1278"/>
      <c r="W146" s="1278"/>
      <c r="X146" s="1563"/>
      <c r="Y146" s="1278"/>
      <c r="Z146" s="1546"/>
      <c r="AA146" s="1278"/>
      <c r="AB146" s="255" t="str">
        <f>K146&amp;" год"</f>
        <v>2039 год</v>
      </c>
      <c r="AC146" s="7974"/>
      <c r="AD146" s="7980"/>
      <c r="AE146" s="7981"/>
      <c r="AF146" s="7981"/>
      <c r="AG146" s="7980"/>
      <c r="AH146" s="7980"/>
      <c r="AI146" s="7980"/>
      <c r="AJ146" s="8001"/>
      <c r="AK146" s="8002"/>
      <c r="AL146" s="403"/>
      <c r="AM146" s="1278"/>
      <c r="AN146" s="1278"/>
      <c r="AO146" s="1064" cm="1" t="str">
        <f t="array" ref="AO146:AO146">K146</f>
        <v>2039</v>
      </c>
      <c r="AP146" s="1278"/>
      <c r="AQ146" s="1278"/>
    </row>
    <row s="8055" customFormat="1" customHeight="1" ht="14.25" hidden="1">
      <c r="A147" s="1278"/>
      <c r="B147" s="445">
        <f>K147&lt;first_year+PERIOD_LENGTH</f>
        <v>0</v>
      </c>
      <c r="C147" s="1278"/>
      <c r="D147" s="1278"/>
      <c r="E147" s="703">
        <v>15</v>
      </c>
      <c r="F147" s="50" cm="1" t="str">
        <f t="array" ref="F147:F147">OFFSET(E147,-1,1)</f>
        <v>2</v>
      </c>
      <c r="G147" s="1278"/>
      <c r="H147" s="1278"/>
      <c r="I147" s="1278"/>
      <c r="J147" s="1278"/>
      <c r="K147" s="158">
        <f>first_year+14</f>
        <v>2040</v>
      </c>
      <c r="L147" s="1278"/>
      <c r="M147" s="1278"/>
      <c r="N147" s="1278"/>
      <c r="O147" s="1278"/>
      <c r="P147" s="1278"/>
      <c r="Q147" s="1278"/>
      <c r="R147" s="1278"/>
      <c r="S147" s="1278"/>
      <c r="T147" s="465" cm="1" t="str">
        <f t="array" ref="T147:T147">T146</f>
        <v>true</v>
      </c>
      <c r="U147" s="1278"/>
      <c r="V147" s="1278"/>
      <c r="W147" s="1278"/>
      <c r="X147" s="1563"/>
      <c r="Y147" s="1278"/>
      <c r="Z147" s="1546"/>
      <c r="AA147" s="1278"/>
      <c r="AB147" s="255" t="str">
        <f>K147&amp;" год"</f>
        <v>2040 год</v>
      </c>
      <c r="AC147" s="7974"/>
      <c r="AD147" s="7980"/>
      <c r="AE147" s="7981"/>
      <c r="AF147" s="7981"/>
      <c r="AG147" s="7980"/>
      <c r="AH147" s="7980"/>
      <c r="AI147" s="7980"/>
      <c r="AJ147" s="8001"/>
      <c r="AK147" s="8002"/>
      <c r="AL147" s="403"/>
      <c r="AM147" s="1278"/>
      <c r="AN147" s="1278"/>
      <c r="AO147" s="1064" cm="1" t="str">
        <f t="array" ref="AO147:AO147">K147</f>
        <v>2040</v>
      </c>
      <c r="AP147" s="1278"/>
      <c r="AQ147" s="1278"/>
    </row>
    <row s="8056" customFormat="1" customHeight="1" ht="14.25" hidden="1">
      <c r="A148" s="1278"/>
      <c r="B148" s="445">
        <f>K148&lt;first_year+PERIOD_LENGTH</f>
        <v>0</v>
      </c>
      <c r="C148" s="1278"/>
      <c r="D148" s="1278"/>
      <c r="E148" s="703">
        <v>15</v>
      </c>
      <c r="F148" s="50" cm="1" t="str">
        <f t="array" ref="F148:F148">OFFSET(E148,-1,1)</f>
        <v>2</v>
      </c>
      <c r="G148" s="1278"/>
      <c r="H148" s="1278"/>
      <c r="I148" s="1278"/>
      <c r="J148" s="1278"/>
      <c r="K148" s="158">
        <f>first_year+15</f>
        <v>2041</v>
      </c>
      <c r="L148" s="1278"/>
      <c r="M148" s="1278"/>
      <c r="N148" s="1278"/>
      <c r="O148" s="1278"/>
      <c r="P148" s="1278"/>
      <c r="Q148" s="1278"/>
      <c r="R148" s="1278"/>
      <c r="S148" s="1278"/>
      <c r="T148" s="465" cm="1" t="str">
        <f t="array" ref="T148:T148">T147</f>
        <v>true</v>
      </c>
      <c r="U148" s="1278"/>
      <c r="V148" s="1278"/>
      <c r="W148" s="1278"/>
      <c r="X148" s="1563"/>
      <c r="Y148" s="1278"/>
      <c r="Z148" s="1546"/>
      <c r="AA148" s="1278"/>
      <c r="AB148" s="255" t="str">
        <f>K148&amp;" год"</f>
        <v>2041 год</v>
      </c>
      <c r="AC148" s="7974"/>
      <c r="AD148" s="7980"/>
      <c r="AE148" s="7981"/>
      <c r="AF148" s="7981"/>
      <c r="AG148" s="7980"/>
      <c r="AH148" s="7980"/>
      <c r="AI148" s="7980"/>
      <c r="AJ148" s="8001"/>
      <c r="AK148" s="8002"/>
      <c r="AL148" s="403"/>
      <c r="AM148" s="1278"/>
      <c r="AN148" s="1278"/>
      <c r="AO148" s="1064" cm="1" t="str">
        <f t="array" ref="AO148:AO148">K148</f>
        <v>2041</v>
      </c>
      <c r="AP148" s="1278"/>
      <c r="AQ148" s="1278"/>
    </row>
    <row s="8057" customFormat="1" customHeight="1" ht="14.25" hidden="1">
      <c r="A149" s="1278"/>
      <c r="B149" s="445">
        <f>K149&lt;first_year+PERIOD_LENGTH</f>
        <v>0</v>
      </c>
      <c r="C149" s="1278"/>
      <c r="D149" s="1278"/>
      <c r="E149" s="703">
        <v>15</v>
      </c>
      <c r="F149" s="50" cm="1" t="str">
        <f t="array" ref="F149:F149">OFFSET(E149,-1,1)</f>
        <v>2</v>
      </c>
      <c r="G149" s="1278"/>
      <c r="H149" s="1278"/>
      <c r="I149" s="1278"/>
      <c r="J149" s="1278"/>
      <c r="K149" s="158">
        <f>first_year+16</f>
        <v>2042</v>
      </c>
      <c r="L149" s="1278"/>
      <c r="M149" s="1278"/>
      <c r="N149" s="1278"/>
      <c r="O149" s="1278"/>
      <c r="P149" s="1278"/>
      <c r="Q149" s="1278"/>
      <c r="R149" s="1278"/>
      <c r="S149" s="1278"/>
      <c r="T149" s="465" cm="1" t="str">
        <f t="array" ref="T149:T149">T148</f>
        <v>true</v>
      </c>
      <c r="U149" s="1278"/>
      <c r="V149" s="1278"/>
      <c r="W149" s="1278"/>
      <c r="X149" s="1563"/>
      <c r="Y149" s="1278"/>
      <c r="Z149" s="1546"/>
      <c r="AA149" s="1278"/>
      <c r="AB149" s="255" t="str">
        <f>K149&amp;" год"</f>
        <v>2042 год</v>
      </c>
      <c r="AC149" s="7974"/>
      <c r="AD149" s="7980"/>
      <c r="AE149" s="7981"/>
      <c r="AF149" s="7981"/>
      <c r="AG149" s="7980"/>
      <c r="AH149" s="7980"/>
      <c r="AI149" s="7980"/>
      <c r="AJ149" s="8001"/>
      <c r="AK149" s="8002"/>
      <c r="AL149" s="403"/>
      <c r="AM149" s="1278"/>
      <c r="AN149" s="1278"/>
      <c r="AO149" s="1064" cm="1" t="str">
        <f t="array" ref="AO149:AO149">K149</f>
        <v>2042</v>
      </c>
      <c r="AP149" s="1278"/>
      <c r="AQ149" s="1278"/>
    </row>
    <row s="8058" customFormat="1" customHeight="1" ht="14.25" hidden="1">
      <c r="A150" s="1278"/>
      <c r="B150" s="445">
        <f>K150&lt;first_year+PERIOD_LENGTH</f>
        <v>0</v>
      </c>
      <c r="C150" s="1278"/>
      <c r="D150" s="1278"/>
      <c r="E150" s="703">
        <v>15</v>
      </c>
      <c r="F150" s="50" cm="1" t="str">
        <f t="array" ref="F150:F150">OFFSET(E150,-1,1)</f>
        <v>2</v>
      </c>
      <c r="G150" s="1278"/>
      <c r="H150" s="1278"/>
      <c r="I150" s="1278"/>
      <c r="J150" s="1278"/>
      <c r="K150" s="158">
        <f>first_year+17</f>
        <v>2043</v>
      </c>
      <c r="L150" s="1278"/>
      <c r="M150" s="1278"/>
      <c r="N150" s="1278"/>
      <c r="O150" s="1278"/>
      <c r="P150" s="1278"/>
      <c r="Q150" s="1278"/>
      <c r="R150" s="1278"/>
      <c r="S150" s="1278"/>
      <c r="T150" s="465" cm="1" t="str">
        <f t="array" ref="T150:T150">T149</f>
        <v>true</v>
      </c>
      <c r="U150" s="1278"/>
      <c r="V150" s="1278"/>
      <c r="W150" s="1278"/>
      <c r="X150" s="1563"/>
      <c r="Y150" s="1278"/>
      <c r="Z150" s="1546"/>
      <c r="AA150" s="1278"/>
      <c r="AB150" s="255" t="str">
        <f>K150&amp;" год"</f>
        <v>2043 год</v>
      </c>
      <c r="AC150" s="7974"/>
      <c r="AD150" s="7980"/>
      <c r="AE150" s="7981"/>
      <c r="AF150" s="7981"/>
      <c r="AG150" s="7980"/>
      <c r="AH150" s="7980"/>
      <c r="AI150" s="7980"/>
      <c r="AJ150" s="8001"/>
      <c r="AK150" s="8002"/>
      <c r="AL150" s="403"/>
      <c r="AM150" s="1278"/>
      <c r="AN150" s="1278"/>
      <c r="AO150" s="1064" cm="1" t="str">
        <f t="array" ref="AO150:AO150">K150</f>
        <v>2043</v>
      </c>
      <c r="AP150" s="1278"/>
      <c r="AQ150" s="1278"/>
    </row>
    <row s="8059" customFormat="1" customHeight="1" ht="14.25" hidden="1">
      <c r="A151" s="1278"/>
      <c r="B151" s="445">
        <f>K151&lt;first_year+PERIOD_LENGTH</f>
        <v>0</v>
      </c>
      <c r="C151" s="1278"/>
      <c r="D151" s="1278"/>
      <c r="E151" s="703">
        <v>15</v>
      </c>
      <c r="F151" s="50" cm="1" t="str">
        <f t="array" ref="F151:F151">OFFSET(E151,-1,1)</f>
        <v>2</v>
      </c>
      <c r="G151" s="1278"/>
      <c r="H151" s="1278"/>
      <c r="I151" s="1278"/>
      <c r="J151" s="1278"/>
      <c r="K151" s="158">
        <f>first_year+18</f>
        <v>2044</v>
      </c>
      <c r="L151" s="1278"/>
      <c r="M151" s="1278"/>
      <c r="N151" s="1278"/>
      <c r="O151" s="1278"/>
      <c r="P151" s="1278"/>
      <c r="Q151" s="1278"/>
      <c r="R151" s="1278"/>
      <c r="S151" s="1278"/>
      <c r="T151" s="465" cm="1" t="str">
        <f t="array" ref="T151:T151">T150</f>
        <v>true</v>
      </c>
      <c r="U151" s="1278"/>
      <c r="V151" s="1278"/>
      <c r="W151" s="1278"/>
      <c r="X151" s="1563"/>
      <c r="Y151" s="1278"/>
      <c r="Z151" s="1546"/>
      <c r="AA151" s="1278"/>
      <c r="AB151" s="255" t="str">
        <f>K151&amp;" год"</f>
        <v>2044 год</v>
      </c>
      <c r="AC151" s="7974"/>
      <c r="AD151" s="7980"/>
      <c r="AE151" s="7981"/>
      <c r="AF151" s="7981"/>
      <c r="AG151" s="7980"/>
      <c r="AH151" s="7980"/>
      <c r="AI151" s="7980"/>
      <c r="AJ151" s="8001"/>
      <c r="AK151" s="8002"/>
      <c r="AL151" s="403"/>
      <c r="AM151" s="1278"/>
      <c r="AN151" s="1278"/>
      <c r="AO151" s="1064" cm="1" t="str">
        <f t="array" ref="AO151:AO151">K151</f>
        <v>2044</v>
      </c>
      <c r="AP151" s="1278"/>
      <c r="AQ151" s="1278"/>
    </row>
    <row s="8060" customFormat="1" customHeight="1" ht="14.25" hidden="1">
      <c r="A152" s="1278"/>
      <c r="B152" s="445">
        <f>K152&lt;first_year+PERIOD_LENGTH</f>
        <v>0</v>
      </c>
      <c r="C152" s="1278"/>
      <c r="D152" s="1278"/>
      <c r="E152" s="703">
        <v>15</v>
      </c>
      <c r="F152" s="50" cm="1" t="str">
        <f t="array" ref="F152:F152">OFFSET(E152,-1,1)</f>
        <v>2</v>
      </c>
      <c r="G152" s="1278"/>
      <c r="H152" s="1278"/>
      <c r="I152" s="1278"/>
      <c r="J152" s="1278"/>
      <c r="K152" s="158">
        <f>first_year+19</f>
        <v>2045</v>
      </c>
      <c r="L152" s="1278"/>
      <c r="M152" s="1278"/>
      <c r="N152" s="1278"/>
      <c r="O152" s="1278"/>
      <c r="P152" s="1278"/>
      <c r="Q152" s="1278"/>
      <c r="R152" s="1278"/>
      <c r="S152" s="1278"/>
      <c r="T152" s="465" cm="1" t="str">
        <f t="array" ref="T152:T152">T151</f>
        <v>true</v>
      </c>
      <c r="U152" s="1278"/>
      <c r="V152" s="1278"/>
      <c r="W152" s="1278"/>
      <c r="X152" s="1563"/>
      <c r="Y152" s="1278"/>
      <c r="Z152" s="1546"/>
      <c r="AA152" s="1278"/>
      <c r="AB152" s="255" t="str">
        <f>K152&amp;" год"</f>
        <v>2045 год</v>
      </c>
      <c r="AC152" s="7974"/>
      <c r="AD152" s="7980"/>
      <c r="AE152" s="7981"/>
      <c r="AF152" s="7981"/>
      <c r="AG152" s="7980"/>
      <c r="AH152" s="7980"/>
      <c r="AI152" s="7980"/>
      <c r="AJ152" s="8001"/>
      <c r="AK152" s="8002"/>
      <c r="AL152" s="403"/>
      <c r="AM152" s="1278"/>
      <c r="AN152" s="1278"/>
      <c r="AO152" s="1064" cm="1" t="str">
        <f t="array" ref="AO152:AO152">K152</f>
        <v>2045</v>
      </c>
      <c r="AP152" s="1278"/>
      <c r="AQ152" s="1278"/>
    </row>
    <row s="8061" customFormat="1" customHeight="1" ht="14.25" hidden="1">
      <c r="A153" s="1278"/>
      <c r="B153" s="445">
        <f>K153&lt;first_year+PERIOD_LENGTH</f>
        <v>0</v>
      </c>
      <c r="C153" s="1278"/>
      <c r="D153" s="1278"/>
      <c r="E153" s="703">
        <v>15</v>
      </c>
      <c r="F153" s="50" cm="1" t="str">
        <f t="array" ref="F153:F153">OFFSET(E153,-1,1)</f>
        <v>2</v>
      </c>
      <c r="G153" s="1278"/>
      <c r="H153" s="1278"/>
      <c r="I153" s="1278"/>
      <c r="J153" s="1278"/>
      <c r="K153" s="158">
        <f>first_year+20</f>
        <v>2046</v>
      </c>
      <c r="L153" s="1278"/>
      <c r="M153" s="1278"/>
      <c r="N153" s="1278"/>
      <c r="O153" s="1278"/>
      <c r="P153" s="1278"/>
      <c r="Q153" s="1278"/>
      <c r="R153" s="1278"/>
      <c r="S153" s="1278"/>
      <c r="T153" s="465" cm="1" t="str">
        <f t="array" ref="T153:T153">T152</f>
        <v>true</v>
      </c>
      <c r="U153" s="1278"/>
      <c r="V153" s="1278"/>
      <c r="W153" s="1278"/>
      <c r="X153" s="1563"/>
      <c r="Y153" s="1278"/>
      <c r="Z153" s="1546"/>
      <c r="AA153" s="1278"/>
      <c r="AB153" s="255" t="str">
        <f>K153&amp;" год"</f>
        <v>2046 год</v>
      </c>
      <c r="AC153" s="7974"/>
      <c r="AD153" s="7980"/>
      <c r="AE153" s="7981"/>
      <c r="AF153" s="7981"/>
      <c r="AG153" s="7980"/>
      <c r="AH153" s="7980"/>
      <c r="AI153" s="7980"/>
      <c r="AJ153" s="8001"/>
      <c r="AK153" s="8002"/>
      <c r="AL153" s="403"/>
      <c r="AM153" s="1278"/>
      <c r="AN153" s="1278"/>
      <c r="AO153" s="1064" cm="1" t="str">
        <f t="array" ref="AO153:AO153">K153</f>
        <v>2046</v>
      </c>
      <c r="AP153" s="1278"/>
      <c r="AQ153" s="1278"/>
    </row>
    <row s="8062" customFormat="1" customHeight="1" ht="14.25" hidden="1">
      <c r="A154" s="1278"/>
      <c r="B154" s="445">
        <f>K154&lt;first_year+PERIOD_LENGTH</f>
        <v>0</v>
      </c>
      <c r="C154" s="1278"/>
      <c r="D154" s="1278"/>
      <c r="E154" s="703">
        <v>15</v>
      </c>
      <c r="F154" s="50" cm="1" t="str">
        <f t="array" ref="F154:F154">OFFSET(E154,-1,1)</f>
        <v>2</v>
      </c>
      <c r="G154" s="1278"/>
      <c r="H154" s="1278"/>
      <c r="I154" s="1278"/>
      <c r="J154" s="1278"/>
      <c r="K154" s="158">
        <f>first_year+21</f>
        <v>2047</v>
      </c>
      <c r="L154" s="1278"/>
      <c r="M154" s="1278"/>
      <c r="N154" s="1278"/>
      <c r="O154" s="1278"/>
      <c r="P154" s="1278"/>
      <c r="Q154" s="1278"/>
      <c r="R154" s="1278"/>
      <c r="S154" s="1278"/>
      <c r="T154" s="465" cm="1" t="str">
        <f t="array" ref="T154:T154">T153</f>
        <v>true</v>
      </c>
      <c r="U154" s="1278"/>
      <c r="V154" s="1278"/>
      <c r="W154" s="1278"/>
      <c r="X154" s="1563"/>
      <c r="Y154" s="1278"/>
      <c r="Z154" s="1546"/>
      <c r="AA154" s="1278"/>
      <c r="AB154" s="255" t="str">
        <f>K154&amp;" год"</f>
        <v>2047 год</v>
      </c>
      <c r="AC154" s="7974"/>
      <c r="AD154" s="7980"/>
      <c r="AE154" s="7981"/>
      <c r="AF154" s="7981"/>
      <c r="AG154" s="7980"/>
      <c r="AH154" s="7980"/>
      <c r="AI154" s="7980"/>
      <c r="AJ154" s="8001"/>
      <c r="AK154" s="8002"/>
      <c r="AL154" s="403"/>
      <c r="AM154" s="1278"/>
      <c r="AN154" s="1278"/>
      <c r="AO154" s="1064" cm="1" t="str">
        <f t="array" ref="AO154:AO154">K154</f>
        <v>2047</v>
      </c>
      <c r="AP154" s="1278"/>
      <c r="AQ154" s="1278"/>
    </row>
    <row s="8063" customFormat="1" customHeight="1" ht="14.25" hidden="1">
      <c r="A155" s="1278"/>
      <c r="B155" s="445">
        <f>K155&lt;first_year+PERIOD_LENGTH</f>
        <v>0</v>
      </c>
      <c r="C155" s="1278"/>
      <c r="D155" s="1278"/>
      <c r="E155" s="703">
        <v>15</v>
      </c>
      <c r="F155" s="50" cm="1" t="str">
        <f t="array" ref="F155:F155">OFFSET(E155,-1,1)</f>
        <v>2</v>
      </c>
      <c r="G155" s="1278"/>
      <c r="H155" s="1278"/>
      <c r="I155" s="1278"/>
      <c r="J155" s="1278"/>
      <c r="K155" s="158">
        <f>first_year+22</f>
        <v>2048</v>
      </c>
      <c r="L155" s="1278"/>
      <c r="M155" s="1278"/>
      <c r="N155" s="1278"/>
      <c r="O155" s="1278"/>
      <c r="P155" s="1278"/>
      <c r="Q155" s="1278"/>
      <c r="R155" s="1278"/>
      <c r="S155" s="1278"/>
      <c r="T155" s="465" cm="1" t="str">
        <f t="array" ref="T155:T155">T154</f>
        <v>true</v>
      </c>
      <c r="U155" s="1278"/>
      <c r="V155" s="1278"/>
      <c r="W155" s="1278"/>
      <c r="X155" s="1563"/>
      <c r="Y155" s="1278"/>
      <c r="Z155" s="1546"/>
      <c r="AA155" s="1278"/>
      <c r="AB155" s="255" t="str">
        <f>K155&amp;" год"</f>
        <v>2048 год</v>
      </c>
      <c r="AC155" s="7974"/>
      <c r="AD155" s="7980"/>
      <c r="AE155" s="7981"/>
      <c r="AF155" s="7981"/>
      <c r="AG155" s="7980"/>
      <c r="AH155" s="7980"/>
      <c r="AI155" s="7980"/>
      <c r="AJ155" s="8001"/>
      <c r="AK155" s="8002"/>
      <c r="AL155" s="403"/>
      <c r="AM155" s="1278"/>
      <c r="AN155" s="1278"/>
      <c r="AO155" s="1064" cm="1" t="str">
        <f t="array" ref="AO155:AO155">K155</f>
        <v>2048</v>
      </c>
      <c r="AP155" s="1278"/>
      <c r="AQ155" s="1278"/>
    </row>
    <row s="8064" customFormat="1" customHeight="1" ht="14.25" hidden="1">
      <c r="A156" s="1278"/>
      <c r="B156" s="445">
        <f>K156&lt;first_year+PERIOD_LENGTH</f>
        <v>0</v>
      </c>
      <c r="C156" s="1278"/>
      <c r="D156" s="1278"/>
      <c r="E156" s="703">
        <v>15</v>
      </c>
      <c r="F156" s="50" cm="1" t="str">
        <f t="array" ref="F156:F156">OFFSET(E156,-1,1)</f>
        <v>2</v>
      </c>
      <c r="G156" s="1278"/>
      <c r="H156" s="1278"/>
      <c r="I156" s="1278"/>
      <c r="J156" s="1278"/>
      <c r="K156" s="158">
        <f>first_year+23</f>
        <v>2049</v>
      </c>
      <c r="L156" s="1278"/>
      <c r="M156" s="1278"/>
      <c r="N156" s="1278"/>
      <c r="O156" s="1278"/>
      <c r="P156" s="1278"/>
      <c r="Q156" s="1278"/>
      <c r="R156" s="1278"/>
      <c r="S156" s="1278"/>
      <c r="T156" s="465" cm="1" t="str">
        <f t="array" ref="T156:T156">T155</f>
        <v>true</v>
      </c>
      <c r="U156" s="1278"/>
      <c r="V156" s="1278"/>
      <c r="W156" s="1278"/>
      <c r="X156" s="1563"/>
      <c r="Y156" s="1278"/>
      <c r="Z156" s="1546"/>
      <c r="AA156" s="1278"/>
      <c r="AB156" s="255" t="str">
        <f>K156&amp;" год"</f>
        <v>2049 год</v>
      </c>
      <c r="AC156" s="7974"/>
      <c r="AD156" s="7980"/>
      <c r="AE156" s="7981"/>
      <c r="AF156" s="7981"/>
      <c r="AG156" s="7980"/>
      <c r="AH156" s="7980"/>
      <c r="AI156" s="7980"/>
      <c r="AJ156" s="8001"/>
      <c r="AK156" s="8002"/>
      <c r="AL156" s="403"/>
      <c r="AM156" s="1278"/>
      <c r="AN156" s="1278"/>
      <c r="AO156" s="1064" cm="1" t="str">
        <f t="array" ref="AO156:AO156">K156</f>
        <v>2049</v>
      </c>
      <c r="AP156" s="1278"/>
      <c r="AQ156" s="1278"/>
    </row>
    <row s="8065" customFormat="1" customHeight="1" ht="14.25" hidden="1">
      <c r="A157" s="1278"/>
      <c r="B157" s="445">
        <f>K157&lt;first_year+PERIOD_LENGTH</f>
        <v>0</v>
      </c>
      <c r="C157" s="1278"/>
      <c r="D157" s="1278"/>
      <c r="E157" s="703">
        <v>15</v>
      </c>
      <c r="F157" s="50" cm="1" t="str">
        <f t="array" ref="F157:F157">OFFSET(E157,-1,1)</f>
        <v>2</v>
      </c>
      <c r="G157" s="1278"/>
      <c r="H157" s="1278"/>
      <c r="I157" s="1278"/>
      <c r="J157" s="1278"/>
      <c r="K157" s="158">
        <f>first_year+24</f>
        <v>2050</v>
      </c>
      <c r="L157" s="1278"/>
      <c r="M157" s="1278"/>
      <c r="N157" s="1278"/>
      <c r="O157" s="1278"/>
      <c r="P157" s="1278"/>
      <c r="Q157" s="1278"/>
      <c r="R157" s="1278"/>
      <c r="S157" s="1278"/>
      <c r="T157" s="465" cm="1" t="str">
        <f t="array" ref="T157:T157">T156</f>
        <v>true</v>
      </c>
      <c r="U157" s="1278"/>
      <c r="V157" s="1278"/>
      <c r="W157" s="1278"/>
      <c r="X157" s="1563"/>
      <c r="Y157" s="1278"/>
      <c r="Z157" s="1546"/>
      <c r="AA157" s="1278"/>
      <c r="AB157" s="255" t="str">
        <f>K157&amp;" год"</f>
        <v>2050 год</v>
      </c>
      <c r="AC157" s="7974"/>
      <c r="AD157" s="7980"/>
      <c r="AE157" s="7981"/>
      <c r="AF157" s="7981"/>
      <c r="AG157" s="7980"/>
      <c r="AH157" s="7980"/>
      <c r="AI157" s="7980"/>
      <c r="AJ157" s="8001"/>
      <c r="AK157" s="8002"/>
      <c r="AL157" s="403"/>
      <c r="AM157" s="1278"/>
      <c r="AN157" s="1278"/>
      <c r="AO157" s="1064" cm="1" t="str">
        <f t="array" ref="AO157:AO157">K157</f>
        <v>2050</v>
      </c>
      <c r="AP157" s="1278"/>
      <c r="AQ157" s="1278"/>
    </row>
    <row s="8066" customFormat="1" customHeight="1" ht="14.25" hidden="1">
      <c r="A158" s="1278"/>
      <c r="B158" s="445">
        <f>K158&lt;first_year+PERIOD_LENGTH</f>
        <v>0</v>
      </c>
      <c r="C158" s="1278"/>
      <c r="D158" s="1278"/>
      <c r="E158" s="703">
        <v>15</v>
      </c>
      <c r="F158" s="50" cm="1" t="str">
        <f t="array" ref="F158:F158">OFFSET(E158,-1,1)</f>
        <v>2</v>
      </c>
      <c r="G158" s="1278"/>
      <c r="H158" s="1278"/>
      <c r="I158" s="1278"/>
      <c r="J158" s="1278"/>
      <c r="K158" s="158">
        <f>first_year+25</f>
        <v>2051</v>
      </c>
      <c r="L158" s="1278"/>
      <c r="M158" s="1278"/>
      <c r="N158" s="1278"/>
      <c r="O158" s="1278"/>
      <c r="P158" s="1278"/>
      <c r="Q158" s="1278"/>
      <c r="R158" s="1278"/>
      <c r="S158" s="1278"/>
      <c r="T158" s="465" cm="1" t="str">
        <f t="array" ref="T158:T158">T157</f>
        <v>true</v>
      </c>
      <c r="U158" s="1278"/>
      <c r="V158" s="1278"/>
      <c r="W158" s="1278"/>
      <c r="X158" s="1563"/>
      <c r="Y158" s="1278"/>
      <c r="Z158" s="1546"/>
      <c r="AA158" s="1278"/>
      <c r="AB158" s="255" t="str">
        <f>K158&amp;" год"</f>
        <v>2051 год</v>
      </c>
      <c r="AC158" s="7974"/>
      <c r="AD158" s="7980"/>
      <c r="AE158" s="7981"/>
      <c r="AF158" s="7981"/>
      <c r="AG158" s="7980"/>
      <c r="AH158" s="7980"/>
      <c r="AI158" s="7980"/>
      <c r="AJ158" s="8001"/>
      <c r="AK158" s="8002"/>
      <c r="AL158" s="403"/>
      <c r="AM158" s="1278"/>
      <c r="AN158" s="1278"/>
      <c r="AO158" s="1064" cm="1" t="str">
        <f t="array" ref="AO158:AO158">K158</f>
        <v>2051</v>
      </c>
      <c r="AP158" s="1278"/>
      <c r="AQ158" s="1278"/>
    </row>
    <row s="8067" customFormat="1" customHeight="1" ht="14.25" hidden="1">
      <c r="A159" s="1278"/>
      <c r="B159" s="445">
        <f>K159&lt;first_year+PERIOD_LENGTH</f>
        <v>0</v>
      </c>
      <c r="C159" s="1278"/>
      <c r="D159" s="1278"/>
      <c r="E159" s="703">
        <v>15</v>
      </c>
      <c r="F159" s="50" cm="1" t="str">
        <f t="array" ref="F159:F159">OFFSET(E159,-1,1)</f>
        <v>2</v>
      </c>
      <c r="G159" s="1278"/>
      <c r="H159" s="1278"/>
      <c r="I159" s="1278"/>
      <c r="J159" s="1278"/>
      <c r="K159" s="158">
        <f>first_year+26</f>
        <v>2052</v>
      </c>
      <c r="L159" s="1278"/>
      <c r="M159" s="1278"/>
      <c r="N159" s="1278"/>
      <c r="O159" s="1278"/>
      <c r="P159" s="1278"/>
      <c r="Q159" s="1278"/>
      <c r="R159" s="1278"/>
      <c r="S159" s="1278"/>
      <c r="T159" s="465" cm="1" t="str">
        <f t="array" ref="T159:T159">T158</f>
        <v>true</v>
      </c>
      <c r="U159" s="1278"/>
      <c r="V159" s="1278"/>
      <c r="W159" s="1278"/>
      <c r="X159" s="1563"/>
      <c r="Y159" s="1278"/>
      <c r="Z159" s="1546"/>
      <c r="AA159" s="1278"/>
      <c r="AB159" s="255" t="str">
        <f>K159&amp;" год"</f>
        <v>2052 год</v>
      </c>
      <c r="AC159" s="7974"/>
      <c r="AD159" s="7980"/>
      <c r="AE159" s="7981"/>
      <c r="AF159" s="7981"/>
      <c r="AG159" s="7980"/>
      <c r="AH159" s="7980"/>
      <c r="AI159" s="7980"/>
      <c r="AJ159" s="8001"/>
      <c r="AK159" s="8002"/>
      <c r="AL159" s="403"/>
      <c r="AM159" s="1278"/>
      <c r="AN159" s="1278"/>
      <c r="AO159" s="1064" cm="1" t="str">
        <f t="array" ref="AO159:AO159">K159</f>
        <v>2052</v>
      </c>
      <c r="AP159" s="1278"/>
      <c r="AQ159" s="1278"/>
    </row>
    <row s="8068" customFormat="1" customHeight="1" ht="14.25" hidden="1">
      <c r="A160" s="1278"/>
      <c r="B160" s="445">
        <f>K160&lt;first_year+PERIOD_LENGTH</f>
        <v>0</v>
      </c>
      <c r="C160" s="1278"/>
      <c r="D160" s="1278"/>
      <c r="E160" s="703">
        <v>15</v>
      </c>
      <c r="F160" s="50" cm="1" t="str">
        <f t="array" ref="F160:F160">OFFSET(E160,-1,1)</f>
        <v>2</v>
      </c>
      <c r="G160" s="1278"/>
      <c r="H160" s="1278"/>
      <c r="I160" s="1278"/>
      <c r="J160" s="1278"/>
      <c r="K160" s="158">
        <f>first_year+27</f>
        <v>2053</v>
      </c>
      <c r="L160" s="1278"/>
      <c r="M160" s="1278"/>
      <c r="N160" s="1278"/>
      <c r="O160" s="1278"/>
      <c r="P160" s="1278"/>
      <c r="Q160" s="1278"/>
      <c r="R160" s="1278"/>
      <c r="S160" s="1278"/>
      <c r="T160" s="465" cm="1" t="str">
        <f t="array" ref="T160:T160">T159</f>
        <v>true</v>
      </c>
      <c r="U160" s="1278"/>
      <c r="V160" s="1278"/>
      <c r="W160" s="1278"/>
      <c r="X160" s="1563"/>
      <c r="Y160" s="1278"/>
      <c r="Z160" s="1546"/>
      <c r="AA160" s="1278"/>
      <c r="AB160" s="255" t="str">
        <f>K160&amp;" год"</f>
        <v>2053 год</v>
      </c>
      <c r="AC160" s="7974"/>
      <c r="AD160" s="7980"/>
      <c r="AE160" s="7981"/>
      <c r="AF160" s="7981"/>
      <c r="AG160" s="7980"/>
      <c r="AH160" s="7980"/>
      <c r="AI160" s="7980"/>
      <c r="AJ160" s="8001"/>
      <c r="AK160" s="8002"/>
      <c r="AL160" s="403"/>
      <c r="AM160" s="1278"/>
      <c r="AN160" s="1278"/>
      <c r="AO160" s="1064" cm="1" t="str">
        <f t="array" ref="AO160:AO160">K160</f>
        <v>2053</v>
      </c>
      <c r="AP160" s="1278"/>
      <c r="AQ160" s="1278"/>
    </row>
    <row s="8069" customFormat="1" customHeight="1" ht="14.25" hidden="1">
      <c r="A161" s="1278"/>
      <c r="B161" s="445">
        <f>K161&lt;first_year+PERIOD_LENGTH</f>
        <v>0</v>
      </c>
      <c r="C161" s="1278"/>
      <c r="D161" s="1278"/>
      <c r="E161" s="703">
        <v>15</v>
      </c>
      <c r="F161" s="50" cm="1" t="str">
        <f t="array" ref="F161:F161">OFFSET(E161,-1,1)</f>
        <v>2</v>
      </c>
      <c r="G161" s="1278"/>
      <c r="H161" s="1278"/>
      <c r="I161" s="1278"/>
      <c r="J161" s="1278"/>
      <c r="K161" s="158">
        <f>first_year+28</f>
        <v>2054</v>
      </c>
      <c r="L161" s="1278"/>
      <c r="M161" s="1278"/>
      <c r="N161" s="1278"/>
      <c r="O161" s="1278"/>
      <c r="P161" s="1278"/>
      <c r="Q161" s="1278"/>
      <c r="R161" s="1278"/>
      <c r="S161" s="1278"/>
      <c r="T161" s="465" cm="1" t="str">
        <f t="array" ref="T161:T161">T160</f>
        <v>true</v>
      </c>
      <c r="U161" s="1278"/>
      <c r="V161" s="1278"/>
      <c r="W161" s="1278"/>
      <c r="X161" s="1563"/>
      <c r="Y161" s="1278"/>
      <c r="Z161" s="1546"/>
      <c r="AA161" s="1278"/>
      <c r="AB161" s="255" t="str">
        <f>K161&amp;" год"</f>
        <v>2054 год</v>
      </c>
      <c r="AC161" s="7974"/>
      <c r="AD161" s="7980"/>
      <c r="AE161" s="7981"/>
      <c r="AF161" s="7981"/>
      <c r="AG161" s="7980"/>
      <c r="AH161" s="7980"/>
      <c r="AI161" s="7980"/>
      <c r="AJ161" s="8001"/>
      <c r="AK161" s="8002"/>
      <c r="AL161" s="403"/>
      <c r="AM161" s="1278"/>
      <c r="AN161" s="1278"/>
      <c r="AO161" s="1064" cm="1" t="str">
        <f t="array" ref="AO161:AO161">K161</f>
        <v>2054</v>
      </c>
      <c r="AP161" s="1278"/>
      <c r="AQ161" s="1278"/>
    </row>
    <row s="8070" customFormat="1" customHeight="1" ht="14.25" hidden="1">
      <c r="A162" s="1278"/>
      <c r="B162" s="445">
        <f>K162&lt;first_year+PERIOD_LENGTH</f>
        <v>0</v>
      </c>
      <c r="C162" s="1278"/>
      <c r="D162" s="1278"/>
      <c r="E162" s="703">
        <v>15</v>
      </c>
      <c r="F162" s="50" cm="1" t="str">
        <f t="array" ref="F162:F162">OFFSET(E162,-1,1)</f>
        <v>2</v>
      </c>
      <c r="G162" s="1278"/>
      <c r="H162" s="1278"/>
      <c r="I162" s="1278"/>
      <c r="J162" s="1278"/>
      <c r="K162" s="158">
        <f>first_year+29</f>
        <v>2055</v>
      </c>
      <c r="L162" s="1278"/>
      <c r="M162" s="1278"/>
      <c r="N162" s="1278"/>
      <c r="O162" s="1278"/>
      <c r="P162" s="1278"/>
      <c r="Q162" s="1278"/>
      <c r="R162" s="1278"/>
      <c r="S162" s="1278"/>
      <c r="T162" s="465" cm="1" t="str">
        <f t="array" ref="T162:T162">T161</f>
        <v>true</v>
      </c>
      <c r="U162" s="1278"/>
      <c r="V162" s="1278"/>
      <c r="W162" s="1278"/>
      <c r="X162" s="1563"/>
      <c r="Y162" s="1278"/>
      <c r="Z162" s="1546"/>
      <c r="AA162" s="1278"/>
      <c r="AB162" s="255" t="str">
        <f>K162&amp;" год"</f>
        <v>2055 год</v>
      </c>
      <c r="AC162" s="7974"/>
      <c r="AD162" s="7980"/>
      <c r="AE162" s="7981"/>
      <c r="AF162" s="7981"/>
      <c r="AG162" s="7980"/>
      <c r="AH162" s="7980"/>
      <c r="AI162" s="7980"/>
      <c r="AJ162" s="8001"/>
      <c r="AK162" s="8002"/>
      <c r="AL162" s="403"/>
      <c r="AM162" s="1278"/>
      <c r="AN162" s="1278"/>
      <c r="AO162" s="1064" cm="1" t="str">
        <f t="array" ref="AO162:AO162">K162</f>
        <v>2055</v>
      </c>
      <c r="AP162" s="1278"/>
      <c r="AQ162" s="1278"/>
    </row>
    <row s="8071" customFormat="1" customHeight="1" ht="14.25" hidden="1">
      <c r="A163" s="1278"/>
      <c r="B163" s="445">
        <f>K163&lt;first_year+PERIOD_LENGTH</f>
        <v>0</v>
      </c>
      <c r="C163" s="1278"/>
      <c r="D163" s="1278"/>
      <c r="E163" s="703">
        <v>15</v>
      </c>
      <c r="F163" s="50" cm="1" t="str">
        <f t="array" ref="F163:F163">OFFSET(E163,-1,1)</f>
        <v>2</v>
      </c>
      <c r="G163" s="1278"/>
      <c r="H163" s="1278"/>
      <c r="I163" s="1278"/>
      <c r="J163" s="1278"/>
      <c r="K163" s="158">
        <f>first_year+30</f>
        <v>2056</v>
      </c>
      <c r="L163" s="1278"/>
      <c r="M163" s="1278"/>
      <c r="N163" s="1278"/>
      <c r="O163" s="1278"/>
      <c r="P163" s="1278"/>
      <c r="Q163" s="1278"/>
      <c r="R163" s="1278"/>
      <c r="S163" s="1278"/>
      <c r="T163" s="465" cm="1" t="str">
        <f t="array" ref="T163:T163">T162</f>
        <v>true</v>
      </c>
      <c r="U163" s="1278"/>
      <c r="V163" s="1278"/>
      <c r="W163" s="1278"/>
      <c r="X163" s="1563"/>
      <c r="Y163" s="1278"/>
      <c r="Z163" s="1546"/>
      <c r="AA163" s="1278"/>
      <c r="AB163" s="255" t="str">
        <f>K163&amp;" год"</f>
        <v>2056 год</v>
      </c>
      <c r="AC163" s="7974"/>
      <c r="AD163" s="7980"/>
      <c r="AE163" s="7981"/>
      <c r="AF163" s="7981"/>
      <c r="AG163" s="7980"/>
      <c r="AH163" s="7980"/>
      <c r="AI163" s="7980"/>
      <c r="AJ163" s="8001"/>
      <c r="AK163" s="8002"/>
      <c r="AL163" s="403"/>
      <c r="AM163" s="1278"/>
      <c r="AN163" s="1278"/>
      <c r="AO163" s="1064" cm="1" t="str">
        <f t="array" ref="AO163:AO163">K163</f>
        <v>2056</v>
      </c>
      <c r="AP163" s="1278"/>
      <c r="AQ163" s="1278"/>
    </row>
    <row s="8072" customFormat="1" customHeight="1" ht="14.25" hidden="1">
      <c r="A164" s="1278"/>
      <c r="B164" s="445">
        <f>K164&lt;first_year+PERIOD_LENGTH</f>
        <v>0</v>
      </c>
      <c r="C164" s="1278"/>
      <c r="D164" s="1278"/>
      <c r="E164" s="703">
        <v>15</v>
      </c>
      <c r="F164" s="50" cm="1" t="str">
        <f t="array" ref="F164:F164">OFFSET(E164,-1,1)</f>
        <v>2</v>
      </c>
      <c r="G164" s="1278"/>
      <c r="H164" s="1278"/>
      <c r="I164" s="1278"/>
      <c r="J164" s="1278"/>
      <c r="K164" s="158">
        <f>first_year+31</f>
        <v>2057</v>
      </c>
      <c r="L164" s="1278"/>
      <c r="M164" s="1278"/>
      <c r="N164" s="1278"/>
      <c r="O164" s="1278"/>
      <c r="P164" s="1278"/>
      <c r="Q164" s="1278"/>
      <c r="R164" s="1278"/>
      <c r="S164" s="1278"/>
      <c r="T164" s="465" cm="1" t="str">
        <f t="array" ref="T164:T164">T163</f>
        <v>true</v>
      </c>
      <c r="U164" s="1278"/>
      <c r="V164" s="1278"/>
      <c r="W164" s="1278"/>
      <c r="X164" s="1563"/>
      <c r="Y164" s="1278"/>
      <c r="Z164" s="1546"/>
      <c r="AA164" s="1278"/>
      <c r="AB164" s="255" t="str">
        <f>K164&amp;" год"</f>
        <v>2057 год</v>
      </c>
      <c r="AC164" s="7974"/>
      <c r="AD164" s="7980"/>
      <c r="AE164" s="7981"/>
      <c r="AF164" s="7981"/>
      <c r="AG164" s="7980"/>
      <c r="AH164" s="7980"/>
      <c r="AI164" s="7980"/>
      <c r="AJ164" s="8001"/>
      <c r="AK164" s="8002"/>
      <c r="AL164" s="403"/>
      <c r="AM164" s="1278"/>
      <c r="AN164" s="1278"/>
      <c r="AO164" s="1064" cm="1" t="str">
        <f t="array" ref="AO164:AO164">K164</f>
        <v>2057</v>
      </c>
      <c r="AP164" s="1278"/>
      <c r="AQ164" s="1278"/>
    </row>
    <row s="8073" customFormat="1" customHeight="1" ht="14.25" hidden="1">
      <c r="A165" s="1278"/>
      <c r="B165" s="445">
        <f>K165&lt;first_year+PERIOD_LENGTH</f>
        <v>0</v>
      </c>
      <c r="C165" s="1278"/>
      <c r="D165" s="1278"/>
      <c r="E165" s="703">
        <v>15</v>
      </c>
      <c r="F165" s="50" cm="1" t="str">
        <f t="array" ref="F165:F165">OFFSET(E165,-1,1)</f>
        <v>2</v>
      </c>
      <c r="G165" s="1278"/>
      <c r="H165" s="1278"/>
      <c r="I165" s="1278"/>
      <c r="J165" s="1278"/>
      <c r="K165" s="158">
        <f>first_year+32</f>
        <v>2058</v>
      </c>
      <c r="L165" s="1278"/>
      <c r="M165" s="1278"/>
      <c r="N165" s="1278"/>
      <c r="O165" s="1278"/>
      <c r="P165" s="1278"/>
      <c r="Q165" s="1278"/>
      <c r="R165" s="1278"/>
      <c r="S165" s="1278"/>
      <c r="T165" s="465" cm="1" t="str">
        <f t="array" ref="T165:T165">T164</f>
        <v>true</v>
      </c>
      <c r="U165" s="1278"/>
      <c r="V165" s="1278"/>
      <c r="W165" s="1278"/>
      <c r="X165" s="1563"/>
      <c r="Y165" s="1278"/>
      <c r="Z165" s="1546"/>
      <c r="AA165" s="1278"/>
      <c r="AB165" s="255" t="str">
        <f>K165&amp;" год"</f>
        <v>2058 год</v>
      </c>
      <c r="AC165" s="7974"/>
      <c r="AD165" s="7980"/>
      <c r="AE165" s="7981"/>
      <c r="AF165" s="7981"/>
      <c r="AG165" s="7980"/>
      <c r="AH165" s="7980"/>
      <c r="AI165" s="7980"/>
      <c r="AJ165" s="8001"/>
      <c r="AK165" s="8002"/>
      <c r="AL165" s="403"/>
      <c r="AM165" s="1278"/>
      <c r="AN165" s="1278"/>
      <c r="AO165" s="1064" cm="1" t="str">
        <f t="array" ref="AO165:AO165">K165</f>
        <v>2058</v>
      </c>
      <c r="AP165" s="1278"/>
      <c r="AQ165" s="1278"/>
    </row>
    <row s="8074" customFormat="1" customHeight="1" ht="14.25" hidden="1">
      <c r="A166" s="1278"/>
      <c r="B166" s="445">
        <f>K166&lt;first_year+PERIOD_LENGTH</f>
        <v>0</v>
      </c>
      <c r="C166" s="1278"/>
      <c r="D166" s="1278"/>
      <c r="E166" s="703">
        <v>15</v>
      </c>
      <c r="F166" s="50" cm="1" t="str">
        <f t="array" ref="F166:F166">OFFSET(E166,-1,1)</f>
        <v>2</v>
      </c>
      <c r="G166" s="1278"/>
      <c r="H166" s="1278"/>
      <c r="I166" s="1278"/>
      <c r="J166" s="1278"/>
      <c r="K166" s="158">
        <f>first_year+33</f>
        <v>2059</v>
      </c>
      <c r="L166" s="1278"/>
      <c r="M166" s="1278"/>
      <c r="N166" s="1278"/>
      <c r="O166" s="1278"/>
      <c r="P166" s="1278"/>
      <c r="Q166" s="1278"/>
      <c r="R166" s="1278"/>
      <c r="S166" s="1278"/>
      <c r="T166" s="465" cm="1" t="str">
        <f t="array" ref="T166:T166">T165</f>
        <v>true</v>
      </c>
      <c r="U166" s="1278"/>
      <c r="V166" s="1278"/>
      <c r="W166" s="1278"/>
      <c r="X166" s="1563"/>
      <c r="Y166" s="1278"/>
      <c r="Z166" s="1546"/>
      <c r="AA166" s="1278"/>
      <c r="AB166" s="255" t="str">
        <f>K166&amp;" год"</f>
        <v>2059 год</v>
      </c>
      <c r="AC166" s="7974"/>
      <c r="AD166" s="7980"/>
      <c r="AE166" s="7981"/>
      <c r="AF166" s="7981"/>
      <c r="AG166" s="7980"/>
      <c r="AH166" s="7980"/>
      <c r="AI166" s="7980"/>
      <c r="AJ166" s="8001"/>
      <c r="AK166" s="8002"/>
      <c r="AL166" s="403"/>
      <c r="AM166" s="1278"/>
      <c r="AN166" s="1278"/>
      <c r="AO166" s="1064" cm="1" t="str">
        <f t="array" ref="AO166:AO166">K166</f>
        <v>2059</v>
      </c>
      <c r="AP166" s="1278"/>
      <c r="AQ166" s="1278"/>
    </row>
    <row s="8075" customFormat="1" customHeight="1" ht="14.25" hidden="1">
      <c r="A167" s="1278"/>
      <c r="B167" s="445">
        <f>K167&lt;first_year+PERIOD_LENGTH</f>
        <v>0</v>
      </c>
      <c r="C167" s="1278"/>
      <c r="D167" s="1278"/>
      <c r="E167" s="703">
        <v>15</v>
      </c>
      <c r="F167" s="50" cm="1" t="str">
        <f t="array" ref="F167:F167">OFFSET(E167,-1,1)</f>
        <v>2</v>
      </c>
      <c r="G167" s="1278"/>
      <c r="H167" s="1278"/>
      <c r="I167" s="1278"/>
      <c r="J167" s="1278"/>
      <c r="K167" s="158">
        <f>first_year+34</f>
        <v>2060</v>
      </c>
      <c r="L167" s="1278"/>
      <c r="M167" s="1278"/>
      <c r="N167" s="1278"/>
      <c r="O167" s="1278"/>
      <c r="P167" s="1278"/>
      <c r="Q167" s="1278"/>
      <c r="R167" s="1278"/>
      <c r="S167" s="1278"/>
      <c r="T167" s="465" cm="1" t="str">
        <f t="array" ref="T167:T167">T166</f>
        <v>true</v>
      </c>
      <c r="U167" s="1278"/>
      <c r="V167" s="1278"/>
      <c r="W167" s="1278"/>
      <c r="X167" s="1563"/>
      <c r="Y167" s="1278"/>
      <c r="Z167" s="1546"/>
      <c r="AA167" s="1278"/>
      <c r="AB167" s="255" t="str">
        <f>K167&amp;" год"</f>
        <v>2060 год</v>
      </c>
      <c r="AC167" s="7974"/>
      <c r="AD167" s="7980"/>
      <c r="AE167" s="7981"/>
      <c r="AF167" s="7981"/>
      <c r="AG167" s="7980"/>
      <c r="AH167" s="7980"/>
      <c r="AI167" s="7980"/>
      <c r="AJ167" s="8001"/>
      <c r="AK167" s="8002"/>
      <c r="AL167" s="403"/>
      <c r="AM167" s="1278"/>
      <c r="AN167" s="1278"/>
      <c r="AO167" s="1064" cm="1" t="str">
        <f t="array" ref="AO167:AO167">K167</f>
        <v>2060</v>
      </c>
      <c r="AP167" s="1278"/>
      <c r="AQ167" s="1278"/>
    </row>
    <row s="8076" customFormat="1" customHeight="1" ht="14.25" hidden="1">
      <c r="A168" s="1278"/>
      <c r="B168" s="445">
        <f>K168&lt;first_year+PERIOD_LENGTH</f>
        <v>0</v>
      </c>
      <c r="C168" s="1278"/>
      <c r="D168" s="1278"/>
      <c r="E168" s="703">
        <v>15</v>
      </c>
      <c r="F168" s="50" cm="1" t="str">
        <f t="array" ref="F168:F168">OFFSET(E168,-1,1)</f>
        <v>2</v>
      </c>
      <c r="G168" s="1278"/>
      <c r="H168" s="1278"/>
      <c r="I168" s="1278"/>
      <c r="J168" s="1278"/>
      <c r="K168" s="158">
        <f>first_year+35</f>
        <v>2061</v>
      </c>
      <c r="L168" s="1278"/>
      <c r="M168" s="1278"/>
      <c r="N168" s="1278"/>
      <c r="O168" s="1278"/>
      <c r="P168" s="1278"/>
      <c r="Q168" s="1278"/>
      <c r="R168" s="1278"/>
      <c r="S168" s="1278"/>
      <c r="T168" s="465" cm="1" t="str">
        <f t="array" ref="T168:T168">T167</f>
        <v>true</v>
      </c>
      <c r="U168" s="1278"/>
      <c r="V168" s="1278"/>
      <c r="W168" s="1278"/>
      <c r="X168" s="1563"/>
      <c r="Y168" s="1278"/>
      <c r="Z168" s="1546"/>
      <c r="AA168" s="1278"/>
      <c r="AB168" s="255" t="str">
        <f>K168&amp;" год"</f>
        <v>2061 год</v>
      </c>
      <c r="AC168" s="7974"/>
      <c r="AD168" s="7980"/>
      <c r="AE168" s="7981"/>
      <c r="AF168" s="7981"/>
      <c r="AG168" s="7980"/>
      <c r="AH168" s="7980"/>
      <c r="AI168" s="7980"/>
      <c r="AJ168" s="8001"/>
      <c r="AK168" s="8002"/>
      <c r="AL168" s="403"/>
      <c r="AM168" s="1278"/>
      <c r="AN168" s="1278"/>
      <c r="AO168" s="1064" cm="1" t="str">
        <f t="array" ref="AO168:AO168">K168</f>
        <v>2061</v>
      </c>
      <c r="AP168" s="1278"/>
      <c r="AQ168" s="1278"/>
    </row>
    <row s="8077" customFormat="1" customHeight="1" ht="14.25" hidden="1">
      <c r="A169" s="1278"/>
      <c r="B169" s="445">
        <f>K169&lt;first_year+PERIOD_LENGTH</f>
        <v>0</v>
      </c>
      <c r="C169" s="1278"/>
      <c r="D169" s="1278"/>
      <c r="E169" s="703">
        <v>15</v>
      </c>
      <c r="F169" s="50" cm="1" t="str">
        <f t="array" ref="F169:F169">OFFSET(E169,-1,1)</f>
        <v>2</v>
      </c>
      <c r="G169" s="1278"/>
      <c r="H169" s="1278"/>
      <c r="I169" s="1278"/>
      <c r="J169" s="1278"/>
      <c r="K169" s="158">
        <f>first_year+36</f>
        <v>2062</v>
      </c>
      <c r="L169" s="1278"/>
      <c r="M169" s="1278"/>
      <c r="N169" s="1278"/>
      <c r="O169" s="1278"/>
      <c r="P169" s="1278"/>
      <c r="Q169" s="1278"/>
      <c r="R169" s="1278"/>
      <c r="S169" s="1278"/>
      <c r="T169" s="465" cm="1" t="str">
        <f t="array" ref="T169:T169">T168</f>
        <v>true</v>
      </c>
      <c r="U169" s="1278"/>
      <c r="V169" s="1278"/>
      <c r="W169" s="1278"/>
      <c r="X169" s="1563"/>
      <c r="Y169" s="1278"/>
      <c r="Z169" s="1546"/>
      <c r="AA169" s="1278"/>
      <c r="AB169" s="255" t="str">
        <f>K169&amp;" год"</f>
        <v>2062 год</v>
      </c>
      <c r="AC169" s="7974"/>
      <c r="AD169" s="7980"/>
      <c r="AE169" s="7981"/>
      <c r="AF169" s="7981"/>
      <c r="AG169" s="7980"/>
      <c r="AH169" s="7980"/>
      <c r="AI169" s="7980"/>
      <c r="AJ169" s="8001"/>
      <c r="AK169" s="8002"/>
      <c r="AL169" s="403"/>
      <c r="AM169" s="1278"/>
      <c r="AN169" s="1278"/>
      <c r="AO169" s="1064" cm="1" t="str">
        <f t="array" ref="AO169:AO169">K169</f>
        <v>2062</v>
      </c>
      <c r="AP169" s="1278"/>
      <c r="AQ169" s="1278"/>
    </row>
    <row s="8078" customFormat="1" customHeight="1" ht="14.25" hidden="1">
      <c r="A170" s="1278"/>
      <c r="B170" s="445">
        <f>K170&lt;first_year+PERIOD_LENGTH</f>
        <v>0</v>
      </c>
      <c r="C170" s="1278"/>
      <c r="D170" s="1278"/>
      <c r="E170" s="703">
        <v>15</v>
      </c>
      <c r="F170" s="50" cm="1" t="str">
        <f t="array" ref="F170:F170">OFFSET(E170,-1,1)</f>
        <v>2</v>
      </c>
      <c r="G170" s="1278"/>
      <c r="H170" s="1278"/>
      <c r="I170" s="1278"/>
      <c r="J170" s="1278"/>
      <c r="K170" s="158">
        <f>first_year+37</f>
        <v>2063</v>
      </c>
      <c r="L170" s="1278"/>
      <c r="M170" s="1278"/>
      <c r="N170" s="1278"/>
      <c r="O170" s="1278"/>
      <c r="P170" s="1278"/>
      <c r="Q170" s="1278"/>
      <c r="R170" s="1278"/>
      <c r="S170" s="1278"/>
      <c r="T170" s="465" cm="1" t="str">
        <f t="array" ref="T170:T170">T169</f>
        <v>true</v>
      </c>
      <c r="U170" s="1278"/>
      <c r="V170" s="1278"/>
      <c r="W170" s="1278"/>
      <c r="X170" s="1563"/>
      <c r="Y170" s="1278"/>
      <c r="Z170" s="1546"/>
      <c r="AA170" s="1278"/>
      <c r="AB170" s="255" t="str">
        <f>K170&amp;" год"</f>
        <v>2063 год</v>
      </c>
      <c r="AC170" s="7974"/>
      <c r="AD170" s="7980"/>
      <c r="AE170" s="7981"/>
      <c r="AF170" s="7981"/>
      <c r="AG170" s="7980"/>
      <c r="AH170" s="7980"/>
      <c r="AI170" s="7980"/>
      <c r="AJ170" s="8001"/>
      <c r="AK170" s="8002"/>
      <c r="AL170" s="403"/>
      <c r="AM170" s="1278"/>
      <c r="AN170" s="1278"/>
      <c r="AO170" s="1064" cm="1" t="str">
        <f t="array" ref="AO170:AO170">K170</f>
        <v>2063</v>
      </c>
      <c r="AP170" s="1278"/>
      <c r="AQ170" s="1278"/>
    </row>
    <row s="8079" customFormat="1" customHeight="1" ht="14.25" hidden="1">
      <c r="A171" s="1278"/>
      <c r="B171" s="445">
        <f>K171&lt;first_year+PERIOD_LENGTH</f>
        <v>0</v>
      </c>
      <c r="C171" s="1278"/>
      <c r="D171" s="1278"/>
      <c r="E171" s="703">
        <v>15</v>
      </c>
      <c r="F171" s="50" cm="1" t="str">
        <f t="array" ref="F171:F171">OFFSET(E171,-1,1)</f>
        <v>2</v>
      </c>
      <c r="G171" s="1278"/>
      <c r="H171" s="1278"/>
      <c r="I171" s="1278"/>
      <c r="J171" s="1278"/>
      <c r="K171" s="158">
        <f>first_year+38</f>
        <v>2064</v>
      </c>
      <c r="L171" s="1278"/>
      <c r="M171" s="1278"/>
      <c r="N171" s="1278"/>
      <c r="O171" s="1278"/>
      <c r="P171" s="1278"/>
      <c r="Q171" s="1278"/>
      <c r="R171" s="1278"/>
      <c r="S171" s="1278"/>
      <c r="T171" s="465" cm="1" t="str">
        <f t="array" ref="T171:T171">T170</f>
        <v>true</v>
      </c>
      <c r="U171" s="1278"/>
      <c r="V171" s="1278"/>
      <c r="W171" s="1278"/>
      <c r="X171" s="1563"/>
      <c r="Y171" s="1278"/>
      <c r="Z171" s="1546"/>
      <c r="AA171" s="1278"/>
      <c r="AB171" s="255" t="str">
        <f>K171&amp;" год"</f>
        <v>2064 год</v>
      </c>
      <c r="AC171" s="7974"/>
      <c r="AD171" s="7980"/>
      <c r="AE171" s="7981"/>
      <c r="AF171" s="7981"/>
      <c r="AG171" s="7980"/>
      <c r="AH171" s="7980"/>
      <c r="AI171" s="7980"/>
      <c r="AJ171" s="8001"/>
      <c r="AK171" s="8002"/>
      <c r="AL171" s="403"/>
      <c r="AM171" s="1278"/>
      <c r="AN171" s="1278"/>
      <c r="AO171" s="1064" cm="1" t="str">
        <f t="array" ref="AO171:AO171">K171</f>
        <v>2064</v>
      </c>
      <c r="AP171" s="1278"/>
      <c r="AQ171" s="1278"/>
    </row>
    <row s="8080" customFormat="1" customHeight="1" ht="14.25" hidden="1">
      <c r="A172" s="1278"/>
      <c r="B172" s="445">
        <f>K172&lt;first_year+PERIOD_LENGTH</f>
        <v>0</v>
      </c>
      <c r="C172" s="1278"/>
      <c r="D172" s="1278"/>
      <c r="E172" s="703">
        <v>15</v>
      </c>
      <c r="F172" s="50" cm="1" t="str">
        <f t="array" ref="F172:F172">OFFSET(E172,-1,1)</f>
        <v>2</v>
      </c>
      <c r="G172" s="1278"/>
      <c r="H172" s="1278"/>
      <c r="I172" s="1278"/>
      <c r="J172" s="1278"/>
      <c r="K172" s="158">
        <f>first_year+39</f>
        <v>2065</v>
      </c>
      <c r="L172" s="1278"/>
      <c r="M172" s="1278"/>
      <c r="N172" s="1278"/>
      <c r="O172" s="1278"/>
      <c r="P172" s="1278"/>
      <c r="Q172" s="1278"/>
      <c r="R172" s="1278"/>
      <c r="S172" s="1278"/>
      <c r="T172" s="465" cm="1" t="str">
        <f t="array" ref="T172:T172">T171</f>
        <v>true</v>
      </c>
      <c r="U172" s="1278"/>
      <c r="V172" s="1278"/>
      <c r="W172" s="1278"/>
      <c r="X172" s="1563"/>
      <c r="Y172" s="1278"/>
      <c r="Z172" s="1546"/>
      <c r="AA172" s="1278"/>
      <c r="AB172" s="255" t="str">
        <f>K172&amp;" год"</f>
        <v>2065 год</v>
      </c>
      <c r="AC172" s="7974"/>
      <c r="AD172" s="7980"/>
      <c r="AE172" s="7981"/>
      <c r="AF172" s="7981"/>
      <c r="AG172" s="7980"/>
      <c r="AH172" s="7980"/>
      <c r="AI172" s="7980"/>
      <c r="AJ172" s="8001"/>
      <c r="AK172" s="8002"/>
      <c r="AL172" s="403"/>
      <c r="AM172" s="1278"/>
      <c r="AN172" s="1278"/>
      <c r="AO172" s="1064" cm="1" t="str">
        <f t="array" ref="AO172:AO172">K172</f>
        <v>2065</v>
      </c>
      <c r="AP172" s="1278"/>
      <c r="AQ172" s="1278"/>
    </row>
    <row s="8081" customFormat="1" customHeight="1" ht="14.25" hidden="1">
      <c r="A173" s="1278"/>
      <c r="B173" s="445">
        <f>K173&lt;first_year+PERIOD_LENGTH</f>
        <v>0</v>
      </c>
      <c r="C173" s="1278"/>
      <c r="D173" s="1278"/>
      <c r="E173" s="703">
        <v>15</v>
      </c>
      <c r="F173" s="50" cm="1" t="str">
        <f t="array" ref="F173:F173">OFFSET(E173,-1,1)</f>
        <v>2</v>
      </c>
      <c r="G173" s="1278"/>
      <c r="H173" s="1278"/>
      <c r="I173" s="1278"/>
      <c r="J173" s="1278"/>
      <c r="K173" s="158">
        <f>first_year+40</f>
        <v>2066</v>
      </c>
      <c r="L173" s="1278"/>
      <c r="M173" s="1278"/>
      <c r="N173" s="1278"/>
      <c r="O173" s="1278"/>
      <c r="P173" s="1278"/>
      <c r="Q173" s="1278"/>
      <c r="R173" s="1278"/>
      <c r="S173" s="1278"/>
      <c r="T173" s="465" cm="1" t="str">
        <f t="array" ref="T173:T173">T172</f>
        <v>true</v>
      </c>
      <c r="U173" s="1278"/>
      <c r="V173" s="1278"/>
      <c r="W173" s="1278"/>
      <c r="X173" s="1563"/>
      <c r="Y173" s="1278"/>
      <c r="Z173" s="1546"/>
      <c r="AA173" s="1278"/>
      <c r="AB173" s="255" t="str">
        <f>K173&amp;" год"</f>
        <v>2066 год</v>
      </c>
      <c r="AC173" s="7974"/>
      <c r="AD173" s="7980"/>
      <c r="AE173" s="7981"/>
      <c r="AF173" s="7981"/>
      <c r="AG173" s="7980"/>
      <c r="AH173" s="7980"/>
      <c r="AI173" s="7980"/>
      <c r="AJ173" s="8001"/>
      <c r="AK173" s="8002"/>
      <c r="AL173" s="403"/>
      <c r="AM173" s="1278"/>
      <c r="AN173" s="1278"/>
      <c r="AO173" s="1064" cm="1" t="str">
        <f t="array" ref="AO173:AO173">K173</f>
        <v>2066</v>
      </c>
      <c r="AP173" s="1278"/>
      <c r="AQ173" s="1278"/>
    </row>
    <row s="8082" customFormat="1" customHeight="1" ht="14.25" hidden="1">
      <c r="A174" s="1278"/>
      <c r="B174" s="445">
        <f>K174&lt;first_year+PERIOD_LENGTH</f>
        <v>0</v>
      </c>
      <c r="C174" s="1278"/>
      <c r="D174" s="1278"/>
      <c r="E174" s="703">
        <v>15</v>
      </c>
      <c r="F174" s="50" cm="1" t="str">
        <f t="array" ref="F174:F174">OFFSET(E174,-1,1)</f>
        <v>2</v>
      </c>
      <c r="G174" s="1278"/>
      <c r="H174" s="1278"/>
      <c r="I174" s="1278"/>
      <c r="J174" s="1278"/>
      <c r="K174" s="158">
        <f>first_year+41</f>
        <v>2067</v>
      </c>
      <c r="L174" s="1278"/>
      <c r="M174" s="1278"/>
      <c r="N174" s="1278"/>
      <c r="O174" s="1278"/>
      <c r="P174" s="1278"/>
      <c r="Q174" s="1278"/>
      <c r="R174" s="1278"/>
      <c r="S174" s="1278"/>
      <c r="T174" s="465" cm="1" t="str">
        <f t="array" ref="T174:T174">T173</f>
        <v>true</v>
      </c>
      <c r="U174" s="1278"/>
      <c r="V174" s="1278"/>
      <c r="W174" s="1278"/>
      <c r="X174" s="1563"/>
      <c r="Y174" s="1278"/>
      <c r="Z174" s="1546"/>
      <c r="AA174" s="1278"/>
      <c r="AB174" s="255" t="str">
        <f>K174&amp;" год"</f>
        <v>2067 год</v>
      </c>
      <c r="AC174" s="7974"/>
      <c r="AD174" s="7980"/>
      <c r="AE174" s="7981"/>
      <c r="AF174" s="7981"/>
      <c r="AG174" s="7980"/>
      <c r="AH174" s="7980"/>
      <c r="AI174" s="7980"/>
      <c r="AJ174" s="8001"/>
      <c r="AK174" s="8002"/>
      <c r="AL174" s="403"/>
      <c r="AM174" s="1278"/>
      <c r="AN174" s="1278"/>
      <c r="AO174" s="1064" cm="1" t="str">
        <f t="array" ref="AO174:AO174">K174</f>
        <v>2067</v>
      </c>
      <c r="AP174" s="1278"/>
      <c r="AQ174" s="1278"/>
    </row>
    <row s="8083" customFormat="1" customHeight="1" ht="14.25" hidden="1">
      <c r="A175" s="1278"/>
      <c r="B175" s="445">
        <f>K175&lt;first_year+PERIOD_LENGTH</f>
        <v>0</v>
      </c>
      <c r="C175" s="1278"/>
      <c r="D175" s="1278"/>
      <c r="E175" s="703">
        <v>15</v>
      </c>
      <c r="F175" s="50" cm="1" t="str">
        <f t="array" ref="F175:F175">OFFSET(E175,-1,1)</f>
        <v>2</v>
      </c>
      <c r="G175" s="1278"/>
      <c r="H175" s="1278"/>
      <c r="I175" s="1278"/>
      <c r="J175" s="1278"/>
      <c r="K175" s="158">
        <f>first_year+42</f>
        <v>2068</v>
      </c>
      <c r="L175" s="1278"/>
      <c r="M175" s="1278"/>
      <c r="N175" s="1278"/>
      <c r="O175" s="1278"/>
      <c r="P175" s="1278"/>
      <c r="Q175" s="1278"/>
      <c r="R175" s="1278"/>
      <c r="S175" s="1278"/>
      <c r="T175" s="465" cm="1" t="str">
        <f t="array" ref="T175:T175">T174</f>
        <v>true</v>
      </c>
      <c r="U175" s="1278"/>
      <c r="V175" s="1278"/>
      <c r="W175" s="1278"/>
      <c r="X175" s="1563"/>
      <c r="Y175" s="1278"/>
      <c r="Z175" s="1546"/>
      <c r="AA175" s="1278"/>
      <c r="AB175" s="255" t="str">
        <f>K175&amp;" год"</f>
        <v>2068 год</v>
      </c>
      <c r="AC175" s="7974"/>
      <c r="AD175" s="7980"/>
      <c r="AE175" s="7981"/>
      <c r="AF175" s="7981"/>
      <c r="AG175" s="7980"/>
      <c r="AH175" s="7980"/>
      <c r="AI175" s="7980"/>
      <c r="AJ175" s="8001"/>
      <c r="AK175" s="8002"/>
      <c r="AL175" s="403"/>
      <c r="AM175" s="1278"/>
      <c r="AN175" s="1278"/>
      <c r="AO175" s="1064" cm="1" t="str">
        <f t="array" ref="AO175:AO175">K175</f>
        <v>2068</v>
      </c>
      <c r="AP175" s="1278"/>
      <c r="AQ175" s="1278"/>
    </row>
    <row s="8084" customFormat="1" customHeight="1" ht="14.25" hidden="1">
      <c r="A176" s="1278"/>
      <c r="B176" s="445">
        <f>K176&lt;first_year+PERIOD_LENGTH</f>
        <v>0</v>
      </c>
      <c r="C176" s="1278"/>
      <c r="D176" s="1278"/>
      <c r="E176" s="703">
        <v>15</v>
      </c>
      <c r="F176" s="50" cm="1" t="str">
        <f t="array" ref="F176:F176">OFFSET(E176,-1,1)</f>
        <v>2</v>
      </c>
      <c r="G176" s="1278"/>
      <c r="H176" s="1278"/>
      <c r="I176" s="1278"/>
      <c r="J176" s="1278"/>
      <c r="K176" s="158">
        <f>first_year+43</f>
        <v>2069</v>
      </c>
      <c r="L176" s="1278"/>
      <c r="M176" s="1278"/>
      <c r="N176" s="1278"/>
      <c r="O176" s="1278"/>
      <c r="P176" s="1278"/>
      <c r="Q176" s="1278"/>
      <c r="R176" s="1278"/>
      <c r="S176" s="1278"/>
      <c r="T176" s="465" cm="1" t="str">
        <f t="array" ref="T176:T176">T175</f>
        <v>true</v>
      </c>
      <c r="U176" s="1278"/>
      <c r="V176" s="1278"/>
      <c r="W176" s="1278"/>
      <c r="X176" s="1563"/>
      <c r="Y176" s="1278"/>
      <c r="Z176" s="1546"/>
      <c r="AA176" s="1278"/>
      <c r="AB176" s="255" t="str">
        <f>K176&amp;" год"</f>
        <v>2069 год</v>
      </c>
      <c r="AC176" s="7974"/>
      <c r="AD176" s="7980"/>
      <c r="AE176" s="7981"/>
      <c r="AF176" s="7981"/>
      <c r="AG176" s="7980"/>
      <c r="AH176" s="7980"/>
      <c r="AI176" s="7980"/>
      <c r="AJ176" s="8001"/>
      <c r="AK176" s="8002"/>
      <c r="AL176" s="403"/>
      <c r="AM176" s="1278"/>
      <c r="AN176" s="1278"/>
      <c r="AO176" s="1064" cm="1" t="str">
        <f t="array" ref="AO176:AO176">K176</f>
        <v>2069</v>
      </c>
      <c r="AP176" s="1278"/>
      <c r="AQ176" s="1278"/>
    </row>
    <row s="8085" customFormat="1" customHeight="1" ht="14.25" hidden="1">
      <c r="A177" s="1278"/>
      <c r="B177" s="445">
        <f>K177&lt;first_year+PERIOD_LENGTH</f>
        <v>0</v>
      </c>
      <c r="C177" s="1278"/>
      <c r="D177" s="1278"/>
      <c r="E177" s="703">
        <v>15</v>
      </c>
      <c r="F177" s="50" cm="1" t="str">
        <f t="array" ref="F177:F177">OFFSET(E177,-1,1)</f>
        <v>2</v>
      </c>
      <c r="G177" s="1278"/>
      <c r="H177" s="1278"/>
      <c r="I177" s="1278"/>
      <c r="J177" s="1278"/>
      <c r="K177" s="158">
        <f>first_year+44</f>
        <v>2070</v>
      </c>
      <c r="L177" s="1278"/>
      <c r="M177" s="1278"/>
      <c r="N177" s="1278"/>
      <c r="O177" s="1278"/>
      <c r="P177" s="1278"/>
      <c r="Q177" s="1278"/>
      <c r="R177" s="1278"/>
      <c r="S177" s="1278"/>
      <c r="T177" s="465" cm="1" t="str">
        <f t="array" ref="T177:T177">T176</f>
        <v>true</v>
      </c>
      <c r="U177" s="1278"/>
      <c r="V177" s="1278"/>
      <c r="W177" s="1278"/>
      <c r="X177" s="1563"/>
      <c r="Y177" s="1278"/>
      <c r="Z177" s="1546"/>
      <c r="AA177" s="1278"/>
      <c r="AB177" s="255" t="str">
        <f>K177&amp;" год"</f>
        <v>2070 год</v>
      </c>
      <c r="AC177" s="7974"/>
      <c r="AD177" s="7980"/>
      <c r="AE177" s="7981"/>
      <c r="AF177" s="7981"/>
      <c r="AG177" s="7980"/>
      <c r="AH177" s="7980"/>
      <c r="AI177" s="7980"/>
      <c r="AJ177" s="8001"/>
      <c r="AK177" s="8002"/>
      <c r="AL177" s="403"/>
      <c r="AM177" s="1278"/>
      <c r="AN177" s="1278"/>
      <c r="AO177" s="1064" cm="1" t="str">
        <f t="array" ref="AO177:AO177">K177</f>
        <v>2070</v>
      </c>
      <c r="AP177" s="1278"/>
      <c r="AQ177" s="1278"/>
    </row>
    <row s="8086" customFormat="1" customHeight="1" ht="14.25" hidden="1">
      <c r="A178" s="1278"/>
      <c r="B178" s="445">
        <f>K178&lt;first_year+PERIOD_LENGTH</f>
        <v>0</v>
      </c>
      <c r="C178" s="1278"/>
      <c r="D178" s="1278"/>
      <c r="E178" s="703">
        <v>15</v>
      </c>
      <c r="F178" s="50" cm="1" t="str">
        <f t="array" ref="F178:F178">OFFSET(E178,-1,1)</f>
        <v>2</v>
      </c>
      <c r="G178" s="1278"/>
      <c r="H178" s="1278"/>
      <c r="I178" s="1278"/>
      <c r="J178" s="1278"/>
      <c r="K178" s="158">
        <f>first_year+45</f>
        <v>2071</v>
      </c>
      <c r="L178" s="1278"/>
      <c r="M178" s="1278"/>
      <c r="N178" s="1278"/>
      <c r="O178" s="1278"/>
      <c r="P178" s="1278"/>
      <c r="Q178" s="1278"/>
      <c r="R178" s="1278"/>
      <c r="S178" s="1278"/>
      <c r="T178" s="465" cm="1" t="str">
        <f t="array" ref="T178:T178">T177</f>
        <v>true</v>
      </c>
      <c r="U178" s="1278"/>
      <c r="V178" s="1278"/>
      <c r="W178" s="1278"/>
      <c r="X178" s="1563"/>
      <c r="Y178" s="1278"/>
      <c r="Z178" s="1546"/>
      <c r="AA178" s="1278"/>
      <c r="AB178" s="255" t="str">
        <f>K178&amp;" год"</f>
        <v>2071 год</v>
      </c>
      <c r="AC178" s="7974"/>
      <c r="AD178" s="7980"/>
      <c r="AE178" s="7981"/>
      <c r="AF178" s="7981"/>
      <c r="AG178" s="7980"/>
      <c r="AH178" s="7980"/>
      <c r="AI178" s="7980"/>
      <c r="AJ178" s="8001"/>
      <c r="AK178" s="8002"/>
      <c r="AL178" s="403"/>
      <c r="AM178" s="1278"/>
      <c r="AN178" s="1278"/>
      <c r="AO178" s="1064" cm="1" t="str">
        <f t="array" ref="AO178:AO178">K178</f>
        <v>2071</v>
      </c>
      <c r="AP178" s="1278"/>
      <c r="AQ178" s="1278"/>
    </row>
    <row s="8087" customFormat="1" customHeight="1" ht="14.25" hidden="1">
      <c r="A179" s="1278"/>
      <c r="B179" s="445">
        <f>K179&lt;first_year+PERIOD_LENGTH</f>
        <v>0</v>
      </c>
      <c r="C179" s="1278"/>
      <c r="D179" s="1278"/>
      <c r="E179" s="703">
        <v>15</v>
      </c>
      <c r="F179" s="50" cm="1" t="str">
        <f t="array" ref="F179:F179">OFFSET(E179,-1,1)</f>
        <v>2</v>
      </c>
      <c r="G179" s="1278"/>
      <c r="H179" s="1278"/>
      <c r="I179" s="1278"/>
      <c r="J179" s="1278"/>
      <c r="K179" s="158">
        <f>first_year+46</f>
        <v>2072</v>
      </c>
      <c r="L179" s="1278"/>
      <c r="M179" s="1278"/>
      <c r="N179" s="1278"/>
      <c r="O179" s="1278"/>
      <c r="P179" s="1278"/>
      <c r="Q179" s="1278"/>
      <c r="R179" s="1278"/>
      <c r="S179" s="1278"/>
      <c r="T179" s="465" cm="1" t="str">
        <f t="array" ref="T179:T179">T178</f>
        <v>true</v>
      </c>
      <c r="U179" s="1278"/>
      <c r="V179" s="1278"/>
      <c r="W179" s="1278"/>
      <c r="X179" s="1563"/>
      <c r="Y179" s="1278"/>
      <c r="Z179" s="1546"/>
      <c r="AA179" s="1278"/>
      <c r="AB179" s="255" t="str">
        <f>K179&amp;" год"</f>
        <v>2072 год</v>
      </c>
      <c r="AC179" s="7974"/>
      <c r="AD179" s="7980"/>
      <c r="AE179" s="7981"/>
      <c r="AF179" s="7981"/>
      <c r="AG179" s="7980"/>
      <c r="AH179" s="7980"/>
      <c r="AI179" s="7980"/>
      <c r="AJ179" s="8001"/>
      <c r="AK179" s="8002"/>
      <c r="AL179" s="403"/>
      <c r="AM179" s="1278"/>
      <c r="AN179" s="1278"/>
      <c r="AO179" s="1064" cm="1" t="str">
        <f t="array" ref="AO179:AO179">K179</f>
        <v>2072</v>
      </c>
      <c r="AP179" s="1278"/>
      <c r="AQ179" s="1278"/>
    </row>
    <row s="8088" customFormat="1" customHeight="1" ht="14.25" hidden="1">
      <c r="A180" s="1278"/>
      <c r="B180" s="445">
        <f>K180&lt;first_year+PERIOD_LENGTH</f>
        <v>0</v>
      </c>
      <c r="C180" s="1278"/>
      <c r="D180" s="1278"/>
      <c r="E180" s="703">
        <v>15</v>
      </c>
      <c r="F180" s="50" cm="1" t="str">
        <f t="array" ref="F180:F180">OFFSET(E180,-1,1)</f>
        <v>2</v>
      </c>
      <c r="G180" s="1278"/>
      <c r="H180" s="1278"/>
      <c r="I180" s="1278"/>
      <c r="J180" s="1278"/>
      <c r="K180" s="158">
        <f>first_year+47</f>
        <v>2073</v>
      </c>
      <c r="L180" s="1278"/>
      <c r="M180" s="1278"/>
      <c r="N180" s="1278"/>
      <c r="O180" s="1278"/>
      <c r="P180" s="1278"/>
      <c r="Q180" s="1278"/>
      <c r="R180" s="1278"/>
      <c r="S180" s="1278"/>
      <c r="T180" s="465" cm="1" t="str">
        <f t="array" ref="T180:T180">T179</f>
        <v>true</v>
      </c>
      <c r="U180" s="1278"/>
      <c r="V180" s="1278"/>
      <c r="W180" s="1278"/>
      <c r="X180" s="1563"/>
      <c r="Y180" s="1278"/>
      <c r="Z180" s="1546"/>
      <c r="AA180" s="1278"/>
      <c r="AB180" s="255" t="str">
        <f>K180&amp;" год"</f>
        <v>2073 год</v>
      </c>
      <c r="AC180" s="7974"/>
      <c r="AD180" s="7980"/>
      <c r="AE180" s="7981"/>
      <c r="AF180" s="7981"/>
      <c r="AG180" s="7980"/>
      <c r="AH180" s="7980"/>
      <c r="AI180" s="7980"/>
      <c r="AJ180" s="8001"/>
      <c r="AK180" s="8002"/>
      <c r="AL180" s="403"/>
      <c r="AM180" s="1278"/>
      <c r="AN180" s="1278"/>
      <c r="AO180" s="1064" cm="1" t="str">
        <f t="array" ref="AO180:AO180">K180</f>
        <v>2073</v>
      </c>
      <c r="AP180" s="1278"/>
      <c r="AQ180" s="1278"/>
    </row>
    <row s="8089" customFormat="1" customHeight="1" ht="14.25" hidden="1">
      <c r="A181" s="1278"/>
      <c r="B181" s="445">
        <f>K181&lt;first_year+PERIOD_LENGTH</f>
        <v>0</v>
      </c>
      <c r="C181" s="1278"/>
      <c r="D181" s="1278"/>
      <c r="E181" s="703">
        <v>15</v>
      </c>
      <c r="F181" s="50" cm="1" t="str">
        <f t="array" ref="F181:F181">OFFSET(E181,-1,1)</f>
        <v>2</v>
      </c>
      <c r="G181" s="1278"/>
      <c r="H181" s="1278"/>
      <c r="I181" s="1278"/>
      <c r="J181" s="1278"/>
      <c r="K181" s="158">
        <f>first_year+48</f>
        <v>2074</v>
      </c>
      <c r="L181" s="1278"/>
      <c r="M181" s="1278"/>
      <c r="N181" s="1278"/>
      <c r="O181" s="1278"/>
      <c r="P181" s="1278"/>
      <c r="Q181" s="1278"/>
      <c r="R181" s="1278"/>
      <c r="S181" s="1278"/>
      <c r="T181" s="465" cm="1" t="str">
        <f t="array" ref="T181:T181">T180</f>
        <v>true</v>
      </c>
      <c r="U181" s="1278"/>
      <c r="V181" s="1278"/>
      <c r="W181" s="1278"/>
      <c r="X181" s="1563"/>
      <c r="Y181" s="1278"/>
      <c r="Z181" s="1546"/>
      <c r="AA181" s="1278"/>
      <c r="AB181" s="255" t="str">
        <f>K181&amp;" год"</f>
        <v>2074 год</v>
      </c>
      <c r="AC181" s="7974"/>
      <c r="AD181" s="7980"/>
      <c r="AE181" s="7981"/>
      <c r="AF181" s="7981"/>
      <c r="AG181" s="7980"/>
      <c r="AH181" s="7980"/>
      <c r="AI181" s="7980"/>
      <c r="AJ181" s="8001"/>
      <c r="AK181" s="8002"/>
      <c r="AL181" s="403"/>
      <c r="AM181" s="1278"/>
      <c r="AN181" s="1278"/>
      <c r="AO181" s="1064" cm="1" t="str">
        <f t="array" ref="AO181:AO181">K181</f>
        <v>2074</v>
      </c>
      <c r="AP181" s="1278"/>
      <c r="AQ181" s="1278"/>
    </row>
    <row s="8090" customFormat="1" customHeight="1" ht="14.25" hidden="1">
      <c r="A182" s="1278"/>
      <c r="B182" s="445">
        <f>K182&lt;first_year+PERIOD_LENGTH</f>
        <v>0</v>
      </c>
      <c r="C182" s="1278"/>
      <c r="D182" s="1278"/>
      <c r="E182" s="703">
        <v>15</v>
      </c>
      <c r="F182" s="50" cm="1" t="str">
        <f t="array" ref="F182:F182">OFFSET(E182,-1,1)</f>
        <v>2</v>
      </c>
      <c r="G182" s="1278"/>
      <c r="H182" s="1278"/>
      <c r="I182" s="1278"/>
      <c r="J182" s="1278"/>
      <c r="K182" s="158">
        <f>first_year+49</f>
        <v>2075</v>
      </c>
      <c r="L182" s="1278"/>
      <c r="M182" s="1278"/>
      <c r="N182" s="1278"/>
      <c r="O182" s="1278"/>
      <c r="P182" s="1278"/>
      <c r="Q182" s="1278"/>
      <c r="R182" s="1278"/>
      <c r="S182" s="1278"/>
      <c r="T182" s="465" cm="1" t="str">
        <f t="array" ref="T182:T182">T181</f>
        <v>true</v>
      </c>
      <c r="U182" s="1278"/>
      <c r="V182" s="1278"/>
      <c r="W182" s="1278"/>
      <c r="X182" s="1563"/>
      <c r="Y182" s="1278"/>
      <c r="Z182" s="1546"/>
      <c r="AA182" s="1278"/>
      <c r="AB182" s="255" t="str">
        <f>K182&amp;" год"</f>
        <v>2075 год</v>
      </c>
      <c r="AC182" s="7974"/>
      <c r="AD182" s="7980"/>
      <c r="AE182" s="7981"/>
      <c r="AF182" s="7981"/>
      <c r="AG182" s="7980"/>
      <c r="AH182" s="7980"/>
      <c r="AI182" s="7980"/>
      <c r="AJ182" s="8001"/>
      <c r="AK182" s="8002"/>
      <c r="AL182" s="403"/>
      <c r="AM182" s="1278"/>
      <c r="AN182" s="1278"/>
      <c r="AO182" s="1064" cm="1" t="str">
        <f t="array" ref="AO182:AO182">K182</f>
        <v>2075</v>
      </c>
      <c r="AP182" s="1278"/>
      <c r="AQ182" s="1278"/>
    </row>
    <row s="538" customFormat="1" customHeight="1" ht="14.25">
      <c r="A183" s="1758"/>
      <c r="B183" s="428"/>
      <c r="C183" s="1758"/>
      <c r="D183" s="1758"/>
      <c r="E183" s="618">
        <v>15</v>
      </c>
      <c r="F183" s="98" cm="1" t="str">
        <f t="array" ref="F183:F183">X183</f>
        <v>3</v>
      </c>
      <c r="G183" s="1758"/>
      <c r="H183" s="1758"/>
      <c r="I183" s="1758"/>
      <c r="J183" s="1758"/>
      <c r="K183" s="1758"/>
      <c r="L183" s="1758"/>
      <c r="M183" s="1758"/>
      <c r="N183" s="1758"/>
      <c r="O183" s="1758"/>
      <c r="P183" s="1758"/>
      <c r="Q183" s="1758"/>
      <c r="R183" s="1758"/>
      <c r="S183" s="1758"/>
      <c r="T183" s="465">
        <f>X183&gt;0</f>
        <v>1</v>
      </c>
      <c r="U183" s="1758"/>
      <c r="V183" s="122" cm="1" t="str">
        <f t="array" ref="V183:V183">'Калькуляция (МИ корр)'!$AB$459</f>
        <v>Тариф 3 (Водоотведение) - тариф на водоотведение (Доп. признак не требуется)</v>
      </c>
      <c r="W183" s="1758"/>
      <c r="X183" s="1563" t="s">
        <v>289</v>
      </c>
      <c r="Y183" s="1758"/>
      <c r="Z183" s="1546"/>
      <c r="AA183" s="1758"/>
      <c r="AB183" s="381" cm="1" t="str">
        <f t="array" ref="AB183:AB183">'Калькуляция (МИ корр)'!$AB$459</f>
        <v>Тариф 3 (Водоотведение) - тариф на водоотведение (Доп. признак не требуется)</v>
      </c>
      <c r="AC183" s="832"/>
      <c r="AD183" s="832"/>
      <c r="AE183" s="832"/>
      <c r="AF183" s="832"/>
      <c r="AG183" s="832"/>
      <c r="AH183" s="832"/>
      <c r="AI183" s="832"/>
      <c r="AJ183" s="832"/>
      <c r="AK183" s="832"/>
      <c r="AL183" s="402"/>
      <c r="AM183" s="1758"/>
      <c r="AN183" s="1758"/>
      <c r="AO183" s="997"/>
      <c r="AP183" s="1758"/>
      <c r="AQ183" s="1758"/>
    </row>
    <row s="8091" customFormat="1" customHeight="1" ht="14.25">
      <c r="A184" s="1278"/>
      <c r="B184" s="445">
        <f>K184&lt;first_year+PERIOD_LENGTH</f>
        <v>1</v>
      </c>
      <c r="C184" s="1278"/>
      <c r="D184" s="1278"/>
      <c r="E184" s="703">
        <v>15</v>
      </c>
      <c r="F184" s="50" cm="1" t="str">
        <f t="array" ref="F184:F184">OFFSET(E184,-1,1)</f>
        <v>3</v>
      </c>
      <c r="G184" s="1278"/>
      <c r="H184" s="1278"/>
      <c r="I184" s="1278"/>
      <c r="J184" s="1278"/>
      <c r="K184" s="158" cm="1" t="str">
        <f t="array" ref="K184:K184">first_year</f>
        <v>2026</v>
      </c>
      <c r="L184" s="1278"/>
      <c r="M184" s="1278"/>
      <c r="N184" s="1278"/>
      <c r="O184" s="1278"/>
      <c r="P184" s="1278"/>
      <c r="Q184" s="1278"/>
      <c r="R184" s="1278"/>
      <c r="S184" s="1278"/>
      <c r="T184" s="465" cm="1" t="str">
        <f t="array" ref="T184:T184">T183</f>
        <v>true</v>
      </c>
      <c r="U184" s="1278"/>
      <c r="V184" s="1278"/>
      <c r="W184" s="1278"/>
      <c r="X184" s="1563"/>
      <c r="Y184" s="1278"/>
      <c r="Z184" s="1546"/>
      <c r="AA184" s="1278"/>
      <c r="AB184" s="833" t="str">
        <f>K184&amp;" год"</f>
        <v>2026 год</v>
      </c>
      <c r="AC184" s="921">
        <f>IF(god=first_year,_xlfn.SUMIFS('Калькуляция (МИ)'!AT$26:AT$747,'Калькуляция (МИ)'!F$26:F$747,F184,'Калькуляция (МИ)'!AC$26:AC$747,"операционные расходы"),IF(god&lt;first_year+3,_xlfn.IFERROR(_xlfn.SUMIFS(INDEX('Калькуляция (МИ корр)'!$AE$25:$BC$747,,MATCH(K184&amp;"Принято органом регулирования",'Калькуляция (МИ корр)'!$AE$8:$BC$8,0)),'Калькуляция (МИ корр)'!$F$25:$F$747,F184,'Калькуляция (МИ корр)'!$AC$25:$AC$747,"Операционные расходы"),0),""))</f>
        <v>117142.433628601</v>
      </c>
      <c r="AD184" s="835">
        <f>_xlfn.IFERROR(_xlfn.SUMIFS(INDEX(Сценарии!$AE$25:$BF$163,,MATCH($K184&amp;"Принято органом регулирования",Сценарии!$AE$8:$BF$8,0)),Сценарии!$F$25:$F$163,$F184,Сценарии!$AC$25:$AC$163,"Индекс эффективности операционных расходов"),0)</f>
        <v>0</v>
      </c>
      <c r="AE184" s="834"/>
      <c r="AF184" s="834">
        <f>_xlfn.IFERROR(_xlfn.SUMIFS(INDEX(Баланс!$AE$25:$BB$482,,MATCH($K184&amp;"Принято органом регулирования",Баланс!$AE$8:$BB$8,0)),Баланс!$F$25:$F$482,$F184,Баланс!$AC$24:$AC$482,"Уровень потерь воды"),0)</f>
        <v>0</v>
      </c>
      <c r="AG184" s="1264">
        <f>_xlfn.IFERROR(_xlfn.SUMIFS(INDEX(Electricity_LOAD_1,,MATCH($K184&amp;"Принято органом регулирования",ЭЭ!$AE$8:$BB$8,0)),ЭЭ!$F$25:$F$189,$F184,ЭЭ!$AC$25:$AC$189,"Удельный расход электроэнергии"),0)</f>
        <v>0.975263863405994</v>
      </c>
      <c r="AH184" s="7988"/>
      <c r="AI184" s="7988"/>
      <c r="AJ184" s="7973">
        <f>_xlfn.IFERROR(_xlfn.SUMIFS(INDEX(Electricity_LOAD_1,,MATCH($K184&amp;"Принято органом регулирования",ЭЭ!$AE$8:$BB$8,0)),ЭЭ!$F$25:$F$189,$F184,ЭЭ!$AC$25:$AC$189,"Удельный расход электроэнергии"),0)</f>
        <v>0.975263863405994</v>
      </c>
      <c r="AK184" s="7973">
        <f>_xlfn.IFERROR(_xlfn.SUMIFS(INDEX(Electricity_LOAD_1,,MATCH($K184&amp;"Принято органом регулирования",ЭЭ!$AE$8:$BB$8,0)),ЭЭ!$F$25:$F$189,$F184,ЭЭ!$AC$25:$AC$189,"Удельный расход электроэнергии"),0)</f>
        <v>0.975263863405994</v>
      </c>
      <c r="AL184" s="403"/>
      <c r="AM184" s="158" t="s">
        <v>2975</v>
      </c>
      <c r="AN184" s="1278"/>
      <c r="AO184" s="1064" cm="1" t="str">
        <f t="array" ref="AO184:AO184">K184</f>
        <v>2026</v>
      </c>
      <c r="AP184" s="1278"/>
      <c r="AQ184" s="1278"/>
    </row>
    <row s="8092" customFormat="1" customHeight="1" ht="14.25">
      <c r="A185" s="1278"/>
      <c r="B185" s="445">
        <f>K185&lt;first_year+PERIOD_LENGTH</f>
        <v>1</v>
      </c>
      <c r="C185" s="1278"/>
      <c r="D185" s="1278"/>
      <c r="E185" s="703">
        <v>15</v>
      </c>
      <c r="F185" s="50" cm="1" t="str">
        <f t="array" ref="F185:F185">OFFSET(E185,-1,1)</f>
        <v>3</v>
      </c>
      <c r="G185" s="1278"/>
      <c r="H185" s="1278"/>
      <c r="I185" s="1278"/>
      <c r="J185" s="1278"/>
      <c r="K185" s="158">
        <f>first_year+1</f>
        <v>2027</v>
      </c>
      <c r="L185" s="1278"/>
      <c r="M185" s="1278"/>
      <c r="N185" s="1278"/>
      <c r="O185" s="1278"/>
      <c r="P185" s="1278"/>
      <c r="Q185" s="1278"/>
      <c r="R185" s="1278"/>
      <c r="S185" s="1278"/>
      <c r="T185" s="465" cm="1" t="str">
        <f t="array" ref="T185:T185">T184</f>
        <v>true</v>
      </c>
      <c r="U185" s="1278"/>
      <c r="V185" s="1278"/>
      <c r="W185" s="1278"/>
      <c r="X185" s="1563"/>
      <c r="Y185" s="1278"/>
      <c r="Z185" s="1546"/>
      <c r="AA185" s="1278"/>
      <c r="AB185" s="833" t="str">
        <f>K185&amp;" год"</f>
        <v>2027 год</v>
      </c>
      <c r="AC185" s="834"/>
      <c r="AD185" s="835">
        <f>_xlfn.IFERROR(_xlfn.SUMIFS(INDEX(Сценарии!$AE$25:$BF$163,,MATCH($K185&amp;"Принято органом регулирования",Сценарии!$AE$8:$BF$8,0)),Сценарии!$F$25:$F$163,$F185,Сценарии!$AC$25:$AC$163,"Индекс эффективности операционных расходов"),0)</f>
        <v>1</v>
      </c>
      <c r="AE185" s="834"/>
      <c r="AF185" s="834">
        <f>_xlfn.IFERROR(_xlfn.SUMIFS(INDEX(Баланс!$AE$25:$BB$482,,MATCH($K185&amp;"Принято органом регулирования",Баланс!$AE$8:$BB$8,0)),Баланс!$F$25:$F$482,$F185,Баланс!$AC$24:$AC$482,"Уровень потерь воды"),0)</f>
        <v>0</v>
      </c>
      <c r="AG185" s="1264">
        <f>_xlfn.IFERROR(_xlfn.SUMIFS(INDEX(Electricity_LOAD_1,,MATCH($K185&amp;"Принято органом регулирования",ЭЭ!$AE$8:$BB$8,0)),ЭЭ!$F$25:$F$189,$F185,ЭЭ!$AC$25:$AC$189,"Удельный расход электроэнергии"),0)</f>
        <v>0.975263863405994</v>
      </c>
      <c r="AH185" s="7988"/>
      <c r="AI185" s="7988"/>
      <c r="AJ185" s="7973">
        <f>_xlfn.IFERROR(_xlfn.SUMIFS(INDEX(Electricity_LOAD_1,,MATCH($K185&amp;"Принято органом регулирования",ЭЭ!$AE$8:$BB$8,0)),ЭЭ!$F$25:$F$189,$F185,ЭЭ!$AC$25:$AC$189,"Удельный расход электроэнергии"),0)</f>
        <v>0.975263863405994</v>
      </c>
      <c r="AK185" s="7973">
        <f>_xlfn.IFERROR(_xlfn.SUMIFS(INDEX(Electricity_LOAD_1,,MATCH($K185&amp;"Принято органом регулирования",ЭЭ!$AE$8:$BB$8,0)),ЭЭ!$F$25:$F$189,$F185,ЭЭ!$AC$25:$AC$189,"Удельный расход электроэнергии"),0)</f>
        <v>0.975263863405994</v>
      </c>
      <c r="AL185" s="403"/>
      <c r="AM185" s="1278" t="s">
        <v>2975</v>
      </c>
      <c r="AN185" s="1278"/>
      <c r="AO185" s="1064" cm="1" t="str">
        <f t="array" ref="AO185:AO185">K185</f>
        <v>2027</v>
      </c>
      <c r="AP185" s="1278"/>
      <c r="AQ185" s="1278"/>
    </row>
    <row s="8093" customFormat="1" customHeight="1" ht="14.25">
      <c r="A186" s="1278"/>
      <c r="B186" s="445">
        <f>K186&lt;first_year+PERIOD_LENGTH</f>
        <v>1</v>
      </c>
      <c r="C186" s="1278"/>
      <c r="D186" s="1278"/>
      <c r="E186" s="703">
        <v>15</v>
      </c>
      <c r="F186" s="50" cm="1" t="str">
        <f t="array" ref="F186:F186">OFFSET(E186,-1,1)</f>
        <v>3</v>
      </c>
      <c r="G186" s="1278"/>
      <c r="H186" s="1278"/>
      <c r="I186" s="1278"/>
      <c r="J186" s="1278"/>
      <c r="K186" s="158">
        <f>first_year+2</f>
        <v>2028</v>
      </c>
      <c r="L186" s="1278"/>
      <c r="M186" s="1278"/>
      <c r="N186" s="1278"/>
      <c r="O186" s="1278"/>
      <c r="P186" s="1278"/>
      <c r="Q186" s="1278"/>
      <c r="R186" s="1278"/>
      <c r="S186" s="1278"/>
      <c r="T186" s="465" cm="1" t="str">
        <f t="array" ref="T186:T186">T185</f>
        <v>true</v>
      </c>
      <c r="U186" s="1278"/>
      <c r="V186" s="1278"/>
      <c r="W186" s="1278"/>
      <c r="X186" s="1563"/>
      <c r="Y186" s="1278"/>
      <c r="Z186" s="1546"/>
      <c r="AA186" s="1278"/>
      <c r="AB186" s="833" t="str">
        <f>K186&amp;" год"</f>
        <v>2028 год</v>
      </c>
      <c r="AC186" s="834"/>
      <c r="AD186" s="835">
        <f>_xlfn.IFERROR(_xlfn.SUMIFS(INDEX(Сценарии!$AE$25:$BF$163,,MATCH($K186&amp;"Принято органом регулирования",Сценарии!$AE$8:$BF$8,0)),Сценарии!$F$25:$F$163,$F186,Сценарии!$AC$25:$AC$163,"Индекс эффективности операционных расходов"),0)</f>
        <v>1</v>
      </c>
      <c r="AE186" s="834"/>
      <c r="AF186" s="834">
        <f>_xlfn.IFERROR(_xlfn.SUMIFS(INDEX(Баланс!$AE$25:$BB$482,,MATCH($K186&amp;"Принято органом регулирования",Баланс!$AE$8:$BB$8,0)),Баланс!$F$25:$F$482,$F186,Баланс!$AC$24:$AC$482,"Уровень потерь воды"),0)</f>
        <v>0</v>
      </c>
      <c r="AG186" s="1264">
        <f>_xlfn.IFERROR(_xlfn.SUMIFS(INDEX(Electricity_LOAD_1,,MATCH($K186&amp;"Принято органом регулирования",ЭЭ!$AE$8:$BB$8,0)),ЭЭ!$F$25:$F$189,$F186,ЭЭ!$AC$25:$AC$189,"Удельный расход электроэнергии"),0)</f>
        <v>0.975263863405994</v>
      </c>
      <c r="AH186" s="7988"/>
      <c r="AI186" s="7988"/>
      <c r="AJ186" s="7973">
        <f>_xlfn.IFERROR(_xlfn.SUMIFS(INDEX(Electricity_LOAD_1,,MATCH($K186&amp;"Принято органом регулирования",ЭЭ!$AE$8:$BB$8,0)),ЭЭ!$F$25:$F$189,$F186,ЭЭ!$AC$25:$AC$189,"Удельный расход электроэнергии"),0)</f>
        <v>0.975263863405994</v>
      </c>
      <c r="AK186" s="7973">
        <f>_xlfn.IFERROR(_xlfn.SUMIFS(INDEX(Electricity_LOAD_1,,MATCH($K186&amp;"Принято органом регулирования",ЭЭ!$AE$8:$BB$8,0)),ЭЭ!$F$25:$F$189,$F186,ЭЭ!$AC$25:$AC$189,"Удельный расход электроэнергии"),0)</f>
        <v>0.975263863405994</v>
      </c>
      <c r="AL186" s="403"/>
      <c r="AM186" s="1278" t="s">
        <v>2975</v>
      </c>
      <c r="AN186" s="1278"/>
      <c r="AO186" s="1064" cm="1" t="str">
        <f t="array" ref="AO186:AO186">K186</f>
        <v>2028</v>
      </c>
      <c r="AP186" s="1278"/>
      <c r="AQ186" s="1278"/>
    </row>
    <row s="8094" customFormat="1" customHeight="1" ht="14.25">
      <c r="A187" s="1278"/>
      <c r="B187" s="445">
        <f>K187&lt;first_year+PERIOD_LENGTH</f>
        <v>1</v>
      </c>
      <c r="C187" s="1278"/>
      <c r="D187" s="1278"/>
      <c r="E187" s="703">
        <v>15</v>
      </c>
      <c r="F187" s="50" cm="1" t="str">
        <f t="array" ref="F187:F187">OFFSET(E187,-1,1)</f>
        <v>3</v>
      </c>
      <c r="G187" s="1278"/>
      <c r="H187" s="1278"/>
      <c r="I187" s="1278"/>
      <c r="J187" s="1278"/>
      <c r="K187" s="158">
        <f>first_year+3</f>
        <v>2029</v>
      </c>
      <c r="L187" s="1278"/>
      <c r="M187" s="1278"/>
      <c r="N187" s="1278"/>
      <c r="O187" s="1278"/>
      <c r="P187" s="1278"/>
      <c r="Q187" s="1278"/>
      <c r="R187" s="1278"/>
      <c r="S187" s="1278"/>
      <c r="T187" s="465" cm="1" t="str">
        <f t="array" ref="T187:T187">T186</f>
        <v>true</v>
      </c>
      <c r="U187" s="1278"/>
      <c r="V187" s="1278"/>
      <c r="W187" s="1278"/>
      <c r="X187" s="1563"/>
      <c r="Y187" s="1278"/>
      <c r="Z187" s="1546"/>
      <c r="AA187" s="1278"/>
      <c r="AB187" s="833" t="str">
        <f>K187&amp;" год"</f>
        <v>2029 год</v>
      </c>
      <c r="AC187" s="834"/>
      <c r="AD187" s="835">
        <f>_xlfn.IFERROR(_xlfn.SUMIFS(INDEX(Сценарии!$AE$25:$BF$163,,MATCH($K187&amp;"Принято органом регулирования",Сценарии!$AE$8:$BF$8,0)),Сценарии!$F$25:$F$163,$F187,Сценарии!$AC$25:$AC$163,"Индекс эффективности операционных расходов"),0)</f>
        <v>1</v>
      </c>
      <c r="AE187" s="834"/>
      <c r="AF187" s="834">
        <f>_xlfn.IFERROR(_xlfn.SUMIFS(INDEX(Баланс!$AE$25:$BB$482,,MATCH($K187&amp;"Принято органом регулирования",Баланс!$AE$8:$BB$8,0)),Баланс!$F$25:$F$482,$F187,Баланс!$AC$24:$AC$482,"Уровень потерь воды"),0)</f>
        <v>0</v>
      </c>
      <c r="AG187" s="1264">
        <f>_xlfn.IFERROR(_xlfn.SUMIFS(INDEX(Electricity_LOAD_1,,MATCH($K187&amp;"Принято органом регулирования",ЭЭ!$AE$8:$BB$8,0)),ЭЭ!$F$25:$F$189,$F187,ЭЭ!$AC$25:$AC$189,"Удельный расход электроэнергии"),0)</f>
        <v>0.975263863405994</v>
      </c>
      <c r="AH187" s="7988"/>
      <c r="AI187" s="7988"/>
      <c r="AJ187" s="7973">
        <f>_xlfn.IFERROR(_xlfn.SUMIFS(INDEX(Electricity_LOAD_1,,MATCH($K187&amp;"Принято органом регулирования",ЭЭ!$AE$8:$BB$8,0)),ЭЭ!$F$25:$F$189,$F187,ЭЭ!$AC$25:$AC$189,"Удельный расход электроэнергии"),0)</f>
        <v>0.975263863405994</v>
      </c>
      <c r="AK187" s="7973">
        <f>_xlfn.IFERROR(_xlfn.SUMIFS(INDEX(Electricity_LOAD_1,,MATCH($K187&amp;"Принято органом регулирования",ЭЭ!$AE$8:$BB$8,0)),ЭЭ!$F$25:$F$189,$F187,ЭЭ!$AC$25:$AC$189,"Удельный расход электроэнергии"),0)</f>
        <v>0.975263863405994</v>
      </c>
      <c r="AL187" s="403"/>
      <c r="AM187" s="1278" t="s">
        <v>2975</v>
      </c>
      <c r="AN187" s="1278"/>
      <c r="AO187" s="1064" cm="1" t="str">
        <f t="array" ref="AO187:AO187">K187</f>
        <v>2029</v>
      </c>
      <c r="AP187" s="1278"/>
      <c r="AQ187" s="1278"/>
    </row>
    <row s="8095" customFormat="1" customHeight="1" ht="14.25">
      <c r="A188" s="1278"/>
      <c r="B188" s="445">
        <f>K188&lt;first_year+PERIOD_LENGTH</f>
        <v>1</v>
      </c>
      <c r="C188" s="1278"/>
      <c r="D188" s="1278"/>
      <c r="E188" s="703">
        <v>15</v>
      </c>
      <c r="F188" s="50" cm="1" t="str">
        <f t="array" ref="F188:F188">OFFSET(E188,-1,1)</f>
        <v>3</v>
      </c>
      <c r="G188" s="1278"/>
      <c r="H188" s="1278"/>
      <c r="I188" s="1278"/>
      <c r="J188" s="1278"/>
      <c r="K188" s="158">
        <f>first_year+4</f>
        <v>2030</v>
      </c>
      <c r="L188" s="1278"/>
      <c r="M188" s="1278"/>
      <c r="N188" s="1278"/>
      <c r="O188" s="1278"/>
      <c r="P188" s="1278"/>
      <c r="Q188" s="1278"/>
      <c r="R188" s="1278"/>
      <c r="S188" s="1278"/>
      <c r="T188" s="465" cm="1" t="str">
        <f t="array" ref="T188:T188">T187</f>
        <v>true</v>
      </c>
      <c r="U188" s="1278"/>
      <c r="V188" s="1278"/>
      <c r="W188" s="1278"/>
      <c r="X188" s="1563"/>
      <c r="Y188" s="1278"/>
      <c r="Z188" s="1546"/>
      <c r="AA188" s="1278"/>
      <c r="AB188" s="833" t="str">
        <f>K188&amp;" год"</f>
        <v>2030 год</v>
      </c>
      <c r="AC188" s="834"/>
      <c r="AD188" s="835">
        <f>_xlfn.IFERROR(_xlfn.SUMIFS(INDEX(Сценарии!$AE$25:$BF$163,,MATCH($K188&amp;"Принято органом регулирования",Сценарии!$AE$8:$BF$8,0)),Сценарии!$F$25:$F$163,$F188,Сценарии!$AC$25:$AC$163,"Индекс эффективности операционных расходов"),0)</f>
        <v>1</v>
      </c>
      <c r="AE188" s="834"/>
      <c r="AF188" s="834">
        <f>_xlfn.IFERROR(_xlfn.SUMIFS(INDEX(Баланс!$AE$25:$BB$482,,MATCH($K188&amp;"Принято органом регулирования",Баланс!$AE$8:$BB$8,0)),Баланс!$F$25:$F$482,$F188,Баланс!$AC$24:$AC$482,"Уровень потерь воды"),0)</f>
        <v>0</v>
      </c>
      <c r="AG188" s="1264">
        <f>_xlfn.IFERROR(_xlfn.SUMIFS(INDEX(Electricity_LOAD_1,,MATCH($K188&amp;"Принято органом регулирования",ЭЭ!$AE$8:$BB$8,0)),ЭЭ!$F$25:$F$189,$F188,ЭЭ!$AC$25:$AC$189,"Удельный расход электроэнергии"),0)</f>
        <v>0.975263863405994</v>
      </c>
      <c r="AH188" s="7988"/>
      <c r="AI188" s="7988"/>
      <c r="AJ188" s="7973">
        <f>_xlfn.IFERROR(_xlfn.SUMIFS(INDEX(Electricity_LOAD_1,,MATCH($K188&amp;"Принято органом регулирования",ЭЭ!$AE$8:$BB$8,0)),ЭЭ!$F$25:$F$189,$F188,ЭЭ!$AC$25:$AC$189,"Удельный расход электроэнергии"),0)</f>
        <v>0.975263863405994</v>
      </c>
      <c r="AK188" s="7973">
        <f>_xlfn.IFERROR(_xlfn.SUMIFS(INDEX(Electricity_LOAD_1,,MATCH($K188&amp;"Принято органом регулирования",ЭЭ!$AE$8:$BB$8,0)),ЭЭ!$F$25:$F$189,$F188,ЭЭ!$AC$25:$AC$189,"Удельный расход электроэнергии"),0)</f>
        <v>0.975263863405994</v>
      </c>
      <c r="AL188" s="403"/>
      <c r="AM188" s="1278" t="s">
        <v>2975</v>
      </c>
      <c r="AN188" s="1278"/>
      <c r="AO188" s="1064" cm="1" t="str">
        <f t="array" ref="AO188:AO188">K188</f>
        <v>2030</v>
      </c>
      <c r="AP188" s="1278"/>
      <c r="AQ188" s="1278"/>
    </row>
    <row s="8096" customFormat="1" customHeight="1" ht="14.25" hidden="1">
      <c r="A189" s="1278"/>
      <c r="B189" s="445">
        <f>K189&lt;first_year+PERIOD_LENGTH</f>
        <v>0</v>
      </c>
      <c r="C189" s="1278"/>
      <c r="D189" s="1278"/>
      <c r="E189" s="703">
        <v>15</v>
      </c>
      <c r="F189" s="50" cm="1" t="str">
        <f t="array" ref="F189:F189">OFFSET(E189,-1,1)</f>
        <v>3</v>
      </c>
      <c r="G189" s="1278"/>
      <c r="H189" s="1278"/>
      <c r="I189" s="1278"/>
      <c r="J189" s="1278"/>
      <c r="K189" s="158">
        <f>first_year+5</f>
        <v>2031</v>
      </c>
      <c r="L189" s="1278"/>
      <c r="M189" s="1278"/>
      <c r="N189" s="1278"/>
      <c r="O189" s="1278"/>
      <c r="P189" s="1278"/>
      <c r="Q189" s="1278"/>
      <c r="R189" s="1278"/>
      <c r="S189" s="1278"/>
      <c r="T189" s="465" cm="1" t="str">
        <f t="array" ref="T189:T189">T188</f>
        <v>true</v>
      </c>
      <c r="U189" s="1278"/>
      <c r="V189" s="1278"/>
      <c r="W189" s="1278"/>
      <c r="X189" s="1563"/>
      <c r="Y189" s="1278"/>
      <c r="Z189" s="1546"/>
      <c r="AA189" s="1278"/>
      <c r="AB189" s="833" t="str">
        <f>K189&amp;" год"</f>
        <v>2031 год</v>
      </c>
      <c r="AC189" s="7974"/>
      <c r="AD189" s="7973">
        <f>_xlfn.IFERROR(_xlfn.SUMIFS(INDEX(Сценарии!$AE$25:$BF$163,,MATCH($K189&amp;"Принято органом регулирования",Сценарии!$AE$8:$BF$8,0)),Сценарии!$F$25:$F$163,$F189,Сценарии!$AC$25:$AC$163,"Индекс эффективности операционных расходов"),0)</f>
        <v>0</v>
      </c>
      <c r="AE189" s="7974"/>
      <c r="AF189" s="7974">
        <f>_xlfn.IFERROR(_xlfn.SUMIFS(INDEX(Баланс!$AE$25:$BB$482,,MATCH($K189&amp;"Принято органом регулирования",Баланс!$AE$8:$BB$8,0)),Баланс!$F$25:$F$482,$F189,Баланс!$AC$24:$AC$482,"Уровень потерь воды"),0)</f>
        <v>0</v>
      </c>
      <c r="AG189" s="7975">
        <f>_xlfn.IFERROR(_xlfn.SUMIFS(INDEX(Electricity_LOAD_1,,MATCH($K189&amp;"Принято органом регулирования",ЭЭ!$AE$8:$BB$8,0)),ЭЭ!$F$25:$F$189,$F189,ЭЭ!$AC$25:$AC$189,"Удельный расход электроэнергии"),0)</f>
        <v>0</v>
      </c>
      <c r="AH189" s="7988"/>
      <c r="AI189" s="7988"/>
      <c r="AJ189" s="7973">
        <f>_xlfn.IFERROR(_xlfn.SUMIFS(INDEX(Electricity_LOAD_1,,MATCH($K189&amp;"Принято органом регулирования",ЭЭ!$AE$8:$BB$8,0)),ЭЭ!$F$25:$F$189,$F189,ЭЭ!$AC$25:$AC$189,"Удельный расход электроэнергии"),0)</f>
        <v>0</v>
      </c>
      <c r="AK189" s="7973">
        <f>_xlfn.IFERROR(_xlfn.SUMIFS(INDEX(Electricity_LOAD_1,,MATCH($K189&amp;"Принято органом регулирования",ЭЭ!$AE$8:$BB$8,0)),ЭЭ!$F$25:$F$189,$F189,ЭЭ!$AC$25:$AC$189,"Удельный расход электроэнергии"),0)</f>
        <v>0</v>
      </c>
      <c r="AL189" s="403"/>
      <c r="AM189" s="1278" t="s">
        <v>2975</v>
      </c>
      <c r="AN189" s="1278"/>
      <c r="AO189" s="1064" cm="1" t="str">
        <f t="array" ref="AO189:AO189">K189</f>
        <v>2031</v>
      </c>
      <c r="AP189" s="1278"/>
      <c r="AQ189" s="1278"/>
    </row>
    <row s="8097" customFormat="1" customHeight="1" ht="14.25" hidden="1">
      <c r="A190" s="1278"/>
      <c r="B190" s="445">
        <f>K190&lt;first_year+PERIOD_LENGTH</f>
        <v>0</v>
      </c>
      <c r="C190" s="1278"/>
      <c r="D190" s="1278"/>
      <c r="E190" s="703">
        <v>15</v>
      </c>
      <c r="F190" s="50" cm="1" t="str">
        <f t="array" ref="F190:F190">OFFSET(E190,-1,1)</f>
        <v>3</v>
      </c>
      <c r="G190" s="1278"/>
      <c r="H190" s="1278"/>
      <c r="I190" s="1278"/>
      <c r="J190" s="1278"/>
      <c r="K190" s="158">
        <f>first_year+6</f>
        <v>2032</v>
      </c>
      <c r="L190" s="1278"/>
      <c r="M190" s="1278"/>
      <c r="N190" s="1278"/>
      <c r="O190" s="1278"/>
      <c r="P190" s="1278"/>
      <c r="Q190" s="1278"/>
      <c r="R190" s="1278"/>
      <c r="S190" s="1278"/>
      <c r="T190" s="465" cm="1" t="str">
        <f t="array" ref="T190:T190">T189</f>
        <v>true</v>
      </c>
      <c r="U190" s="1278"/>
      <c r="V190" s="1278"/>
      <c r="W190" s="1278"/>
      <c r="X190" s="1563"/>
      <c r="Y190" s="1278"/>
      <c r="Z190" s="1546"/>
      <c r="AA190" s="1278"/>
      <c r="AB190" s="833" t="str">
        <f>K190&amp;" год"</f>
        <v>2032 год</v>
      </c>
      <c r="AC190" s="7974"/>
      <c r="AD190" s="7973">
        <f>_xlfn.IFERROR(_xlfn.SUMIFS(INDEX(Сценарии!$AE$25:$BF$163,,MATCH($K190&amp;"Принято органом регулирования",Сценарии!$AE$8:$BF$8,0)),Сценарии!$F$25:$F$163,$F190,Сценарии!$AC$25:$AC$163,"Индекс эффективности операционных расходов"),0)</f>
        <v>0</v>
      </c>
      <c r="AE190" s="7974"/>
      <c r="AF190" s="7974">
        <f>_xlfn.IFERROR(_xlfn.SUMIFS(INDEX(Баланс!$AE$25:$BB$482,,MATCH($K190&amp;"Принято органом регулирования",Баланс!$AE$8:$BB$8,0)),Баланс!$F$25:$F$482,$F190,Баланс!$AC$24:$AC$482,"Уровень потерь воды"),0)</f>
        <v>0</v>
      </c>
      <c r="AG190" s="7975">
        <f>_xlfn.IFERROR(_xlfn.SUMIFS(INDEX(Electricity_LOAD_1,,MATCH($K190&amp;"Принято органом регулирования",ЭЭ!$AE$8:$BB$8,0)),ЭЭ!$F$25:$F$189,$F190,ЭЭ!$AC$25:$AC$189,"Удельный расход электроэнергии"),0)</f>
        <v>0</v>
      </c>
      <c r="AH190" s="7988"/>
      <c r="AI190" s="7988"/>
      <c r="AJ190" s="7973">
        <f>_xlfn.IFERROR(_xlfn.SUMIFS(INDEX(Electricity_LOAD_1,,MATCH($K190&amp;"Принято органом регулирования",ЭЭ!$AE$8:$BB$8,0)),ЭЭ!$F$25:$F$189,$F190,ЭЭ!$AC$25:$AC$189,"Удельный расход электроэнергии"),0)</f>
        <v>0</v>
      </c>
      <c r="AK190" s="7973">
        <f>_xlfn.IFERROR(_xlfn.SUMIFS(INDEX(Electricity_LOAD_1,,MATCH($K190&amp;"Принято органом регулирования",ЭЭ!$AE$8:$BB$8,0)),ЭЭ!$F$25:$F$189,$F190,ЭЭ!$AC$25:$AC$189,"Удельный расход электроэнергии"),0)</f>
        <v>0</v>
      </c>
      <c r="AL190" s="403"/>
      <c r="AM190" s="1278" t="s">
        <v>2975</v>
      </c>
      <c r="AN190" s="1278"/>
      <c r="AO190" s="1064" cm="1" t="str">
        <f t="array" ref="AO190:AO190">K190</f>
        <v>2032</v>
      </c>
      <c r="AP190" s="1278"/>
      <c r="AQ190" s="1278"/>
    </row>
    <row s="8098" customFormat="1" customHeight="1" ht="14.25" hidden="1">
      <c r="A191" s="1278"/>
      <c r="B191" s="445">
        <f>K191&lt;first_year+PERIOD_LENGTH</f>
        <v>0</v>
      </c>
      <c r="C191" s="1278"/>
      <c r="D191" s="1278"/>
      <c r="E191" s="703">
        <v>15</v>
      </c>
      <c r="F191" s="50" cm="1" t="str">
        <f t="array" ref="F191:F191">OFFSET(E191,-1,1)</f>
        <v>3</v>
      </c>
      <c r="G191" s="1278"/>
      <c r="H191" s="1278"/>
      <c r="I191" s="1278"/>
      <c r="J191" s="1278"/>
      <c r="K191" s="158">
        <f>first_year+7</f>
        <v>2033</v>
      </c>
      <c r="L191" s="1278"/>
      <c r="M191" s="1278"/>
      <c r="N191" s="1278"/>
      <c r="O191" s="1278"/>
      <c r="P191" s="1278"/>
      <c r="Q191" s="1278"/>
      <c r="R191" s="1278"/>
      <c r="S191" s="1278"/>
      <c r="T191" s="465" cm="1" t="str">
        <f t="array" ref="T191:T191">T190</f>
        <v>true</v>
      </c>
      <c r="U191" s="1278"/>
      <c r="V191" s="1278"/>
      <c r="W191" s="1278"/>
      <c r="X191" s="1563"/>
      <c r="Y191" s="1278"/>
      <c r="Z191" s="1546"/>
      <c r="AA191" s="1278"/>
      <c r="AB191" s="833" t="str">
        <f>K191&amp;" год"</f>
        <v>2033 год</v>
      </c>
      <c r="AC191" s="7974"/>
      <c r="AD191" s="7973">
        <f>_xlfn.IFERROR(_xlfn.SUMIFS(INDEX(Сценарии!$AE$25:$BF$163,,MATCH($K191&amp;"Принято органом регулирования",Сценарии!$AE$8:$BF$8,0)),Сценарии!$F$25:$F$163,$F191,Сценарии!$AC$25:$AC$163,"Индекс эффективности операционных расходов"),0)</f>
        <v>0</v>
      </c>
      <c r="AE191" s="7974"/>
      <c r="AF191" s="7974">
        <f>_xlfn.IFERROR(_xlfn.SUMIFS(INDEX(Баланс!$AE$25:$BB$482,,MATCH($K191&amp;"Принято органом регулирования",Баланс!$AE$8:$BB$8,0)),Баланс!$F$25:$F$482,$F191,Баланс!$AC$24:$AC$482,"Уровень потерь воды"),0)</f>
        <v>0</v>
      </c>
      <c r="AG191" s="7975">
        <f>_xlfn.IFERROR(_xlfn.SUMIFS(INDEX(Electricity_LOAD_1,,MATCH($K191&amp;"Принято органом регулирования",ЭЭ!$AE$8:$BB$8,0)),ЭЭ!$F$25:$F$189,$F191,ЭЭ!$AC$25:$AC$189,"Удельный расход электроэнергии"),0)</f>
        <v>0</v>
      </c>
      <c r="AH191" s="7988"/>
      <c r="AI191" s="7988"/>
      <c r="AJ191" s="7973">
        <f>_xlfn.IFERROR(_xlfn.SUMIFS(INDEX(Electricity_LOAD_1,,MATCH($K191&amp;"Принято органом регулирования",ЭЭ!$AE$8:$BB$8,0)),ЭЭ!$F$25:$F$189,$F191,ЭЭ!$AC$25:$AC$189,"Удельный расход электроэнергии"),0)</f>
        <v>0</v>
      </c>
      <c r="AK191" s="7973">
        <f>_xlfn.IFERROR(_xlfn.SUMIFS(INDEX(Electricity_LOAD_1,,MATCH($K191&amp;"Принято органом регулирования",ЭЭ!$AE$8:$BB$8,0)),ЭЭ!$F$25:$F$189,$F191,ЭЭ!$AC$25:$AC$189,"Удельный расход электроэнергии"),0)</f>
        <v>0</v>
      </c>
      <c r="AL191" s="403"/>
      <c r="AM191" s="1278" t="s">
        <v>2975</v>
      </c>
      <c r="AN191" s="1278"/>
      <c r="AO191" s="1064" cm="1" t="str">
        <f t="array" ref="AO191:AO191">K191</f>
        <v>2033</v>
      </c>
      <c r="AP191" s="1278"/>
      <c r="AQ191" s="1278"/>
    </row>
    <row s="8099" customFormat="1" customHeight="1" ht="14.25" hidden="1">
      <c r="A192" s="1278"/>
      <c r="B192" s="445">
        <f>K192&lt;first_year+PERIOD_LENGTH</f>
        <v>0</v>
      </c>
      <c r="C192" s="1278"/>
      <c r="D192" s="1278"/>
      <c r="E192" s="703">
        <v>15</v>
      </c>
      <c r="F192" s="50" cm="1" t="str">
        <f t="array" ref="F192:F192">OFFSET(E192,-1,1)</f>
        <v>3</v>
      </c>
      <c r="G192" s="1278"/>
      <c r="H192" s="1278"/>
      <c r="I192" s="1278"/>
      <c r="J192" s="1278"/>
      <c r="K192" s="158">
        <f>first_year+8</f>
        <v>2034</v>
      </c>
      <c r="L192" s="1278"/>
      <c r="M192" s="1278"/>
      <c r="N192" s="1278"/>
      <c r="O192" s="1278"/>
      <c r="P192" s="1278"/>
      <c r="Q192" s="1278"/>
      <c r="R192" s="1278"/>
      <c r="S192" s="1278"/>
      <c r="T192" s="465" cm="1" t="str">
        <f t="array" ref="T192:T192">T191</f>
        <v>true</v>
      </c>
      <c r="U192" s="1278"/>
      <c r="V192" s="1278"/>
      <c r="W192" s="1278"/>
      <c r="X192" s="1563"/>
      <c r="Y192" s="1278"/>
      <c r="Z192" s="1546"/>
      <c r="AA192" s="1278"/>
      <c r="AB192" s="833" t="str">
        <f>K192&amp;" год"</f>
        <v>2034 год</v>
      </c>
      <c r="AC192" s="7974"/>
      <c r="AD192" s="7973">
        <f>_xlfn.IFERROR(_xlfn.SUMIFS(INDEX(Сценарии!$AE$25:$BF$163,,MATCH($K192&amp;"Принято органом регулирования",Сценарии!$AE$8:$BF$8,0)),Сценарии!$F$25:$F$163,$F192,Сценарии!$AC$25:$AC$163,"Индекс эффективности операционных расходов"),0)</f>
        <v>0</v>
      </c>
      <c r="AE192" s="7974"/>
      <c r="AF192" s="7974">
        <f>_xlfn.IFERROR(_xlfn.SUMIFS(INDEX(Баланс!$AE$25:$BB$482,,MATCH($K192&amp;"Принято органом регулирования",Баланс!$AE$8:$BB$8,0)),Баланс!$F$25:$F$482,$F192,Баланс!$AC$24:$AC$482,"Уровень потерь воды"),0)</f>
        <v>0</v>
      </c>
      <c r="AG192" s="7975">
        <f>_xlfn.IFERROR(_xlfn.SUMIFS(INDEX(Electricity_LOAD_1,,MATCH($K192&amp;"Принято органом регулирования",ЭЭ!$AE$8:$BB$8,0)),ЭЭ!$F$25:$F$189,$F192,ЭЭ!$AC$25:$AC$189,"Удельный расход электроэнергии"),0)</f>
        <v>0</v>
      </c>
      <c r="AH192" s="7988"/>
      <c r="AI192" s="7988"/>
      <c r="AJ192" s="7973">
        <f>_xlfn.IFERROR(_xlfn.SUMIFS(INDEX(Electricity_LOAD_1,,MATCH($K192&amp;"Принято органом регулирования",ЭЭ!$AE$8:$BB$8,0)),ЭЭ!$F$25:$F$189,$F192,ЭЭ!$AC$25:$AC$189,"Удельный расход электроэнергии"),0)</f>
        <v>0</v>
      </c>
      <c r="AK192" s="7973">
        <f>_xlfn.IFERROR(_xlfn.SUMIFS(INDEX(Electricity_LOAD_1,,MATCH($K192&amp;"Принято органом регулирования",ЭЭ!$AE$8:$BB$8,0)),ЭЭ!$F$25:$F$189,$F192,ЭЭ!$AC$25:$AC$189,"Удельный расход электроэнергии"),0)</f>
        <v>0</v>
      </c>
      <c r="AL192" s="403"/>
      <c r="AM192" s="1278" t="s">
        <v>2975</v>
      </c>
      <c r="AN192" s="1278"/>
      <c r="AO192" s="1064" cm="1" t="str">
        <f t="array" ref="AO192:AO192">K192</f>
        <v>2034</v>
      </c>
      <c r="AP192" s="1278"/>
      <c r="AQ192" s="1278"/>
    </row>
    <row s="8100" customFormat="1" customHeight="1" ht="14.25" hidden="1">
      <c r="A193" s="1278"/>
      <c r="B193" s="445">
        <f>K193&lt;first_year+PERIOD_LENGTH</f>
        <v>0</v>
      </c>
      <c r="C193" s="1278"/>
      <c r="D193" s="1278"/>
      <c r="E193" s="703">
        <v>15</v>
      </c>
      <c r="F193" s="50" cm="1" t="str">
        <f t="array" ref="F193:F193">OFFSET(E193,-1,1)</f>
        <v>3</v>
      </c>
      <c r="G193" s="1278"/>
      <c r="H193" s="1278"/>
      <c r="I193" s="1278"/>
      <c r="J193" s="1278"/>
      <c r="K193" s="158">
        <f>first_year+9</f>
        <v>2035</v>
      </c>
      <c r="L193" s="1278"/>
      <c r="M193" s="1278"/>
      <c r="N193" s="1278"/>
      <c r="O193" s="1278"/>
      <c r="P193" s="1278"/>
      <c r="Q193" s="1278"/>
      <c r="R193" s="1278"/>
      <c r="S193" s="1278"/>
      <c r="T193" s="465" cm="1" t="str">
        <f t="array" ref="T193:T193">T192</f>
        <v>true</v>
      </c>
      <c r="U193" s="1278"/>
      <c r="V193" s="1278"/>
      <c r="W193" s="1278"/>
      <c r="X193" s="1563"/>
      <c r="Y193" s="1278"/>
      <c r="Z193" s="1546"/>
      <c r="AA193" s="1278"/>
      <c r="AB193" s="833" t="str">
        <f>K193&amp;" год"</f>
        <v>2035 год</v>
      </c>
      <c r="AC193" s="7974"/>
      <c r="AD193" s="7973">
        <f>_xlfn.IFERROR(_xlfn.SUMIFS(INDEX(Сценарии!$AE$25:$BF$163,,MATCH($K193&amp;"Принято органом регулирования",Сценарии!$AE$8:$BF$8,0)),Сценарии!$F$25:$F$163,$F193,Сценарии!$AC$25:$AC$163,"Индекс эффективности операционных расходов"),0)</f>
        <v>0</v>
      </c>
      <c r="AE193" s="7974"/>
      <c r="AF193" s="7974">
        <f>_xlfn.IFERROR(_xlfn.SUMIFS(INDEX(Баланс!$AE$25:$BB$482,,MATCH($K193&amp;"Принято органом регулирования",Баланс!$AE$8:$BB$8,0)),Баланс!$F$25:$F$482,$F193,Баланс!$AC$24:$AC$482,"Уровень потерь воды"),0)</f>
        <v>0</v>
      </c>
      <c r="AG193" s="7975">
        <f>_xlfn.IFERROR(_xlfn.SUMIFS(INDEX(Electricity_LOAD_1,,MATCH($K193&amp;"Принято органом регулирования",ЭЭ!$AE$8:$BB$8,0)),ЭЭ!$F$25:$F$189,$F193,ЭЭ!$AC$25:$AC$189,"Удельный расход электроэнергии"),0)</f>
        <v>0</v>
      </c>
      <c r="AH193" s="7988"/>
      <c r="AI193" s="7988"/>
      <c r="AJ193" s="7973">
        <f>_xlfn.IFERROR(_xlfn.SUMIFS(INDEX(Electricity_LOAD_1,,MATCH($K193&amp;"Принято органом регулирования",ЭЭ!$AE$8:$BB$8,0)),ЭЭ!$F$25:$F$189,$F193,ЭЭ!$AC$25:$AC$189,"Удельный расход электроэнергии"),0)</f>
        <v>0</v>
      </c>
      <c r="AK193" s="7973">
        <f>_xlfn.IFERROR(_xlfn.SUMIFS(INDEX(Electricity_LOAD_1,,MATCH($K193&amp;"Принято органом регулирования",ЭЭ!$AE$8:$BB$8,0)),ЭЭ!$F$25:$F$189,$F193,ЭЭ!$AC$25:$AC$189,"Удельный расход электроэнергии"),0)</f>
        <v>0</v>
      </c>
      <c r="AL193" s="403"/>
      <c r="AM193" s="1278" t="s">
        <v>2975</v>
      </c>
      <c r="AN193" s="1278"/>
      <c r="AO193" s="1064" cm="1" t="str">
        <f t="array" ref="AO193:AO193">K193</f>
        <v>2035</v>
      </c>
      <c r="AP193" s="1278"/>
      <c r="AQ193" s="1278"/>
    </row>
    <row s="8101" customFormat="1" customHeight="1" ht="14.25" hidden="1">
      <c r="A194" s="1278"/>
      <c r="B194" s="445">
        <f>K194&lt;first_year+PERIOD_LENGTH</f>
        <v>0</v>
      </c>
      <c r="C194" s="1278"/>
      <c r="D194" s="1278"/>
      <c r="E194" s="703">
        <v>15</v>
      </c>
      <c r="F194" s="50" cm="1" t="str">
        <f t="array" ref="F194:F194">OFFSET(E194,-1,1)</f>
        <v>3</v>
      </c>
      <c r="G194" s="1278"/>
      <c r="H194" s="1278"/>
      <c r="I194" s="1278"/>
      <c r="J194" s="1278"/>
      <c r="K194" s="158">
        <f>first_year+10</f>
        <v>2036</v>
      </c>
      <c r="L194" s="1278"/>
      <c r="M194" s="1278"/>
      <c r="N194" s="1278"/>
      <c r="O194" s="1278"/>
      <c r="P194" s="1278"/>
      <c r="Q194" s="1278"/>
      <c r="R194" s="1278"/>
      <c r="S194" s="1278"/>
      <c r="T194" s="465" cm="1" t="str">
        <f t="array" ref="T194:T194">T193</f>
        <v>true</v>
      </c>
      <c r="U194" s="1278"/>
      <c r="V194" s="1278"/>
      <c r="W194" s="1278"/>
      <c r="X194" s="1563"/>
      <c r="Y194" s="1278"/>
      <c r="Z194" s="1546"/>
      <c r="AA194" s="1278"/>
      <c r="AB194" s="833" t="str">
        <f>K194&amp;" год"</f>
        <v>2036 год</v>
      </c>
      <c r="AC194" s="7974"/>
      <c r="AD194" s="7973"/>
      <c r="AE194" s="7974"/>
      <c r="AF194" s="7974"/>
      <c r="AG194" s="7973"/>
      <c r="AH194" s="7988"/>
      <c r="AI194" s="7988"/>
      <c r="AJ194" s="7973"/>
      <c r="AK194" s="7978"/>
      <c r="AL194" s="403"/>
      <c r="AM194" s="1278"/>
      <c r="AN194" s="1278"/>
      <c r="AO194" s="1064" cm="1" t="str">
        <f t="array" ref="AO194:AO194">K194</f>
        <v>2036</v>
      </c>
      <c r="AP194" s="1278"/>
      <c r="AQ194" s="1278"/>
    </row>
    <row s="8102" customFormat="1" customHeight="1" ht="14.25" hidden="1">
      <c r="A195" s="1278"/>
      <c r="B195" s="445">
        <f>K195&lt;first_year+PERIOD_LENGTH</f>
        <v>0</v>
      </c>
      <c r="C195" s="1278"/>
      <c r="D195" s="1278"/>
      <c r="E195" s="703">
        <v>15</v>
      </c>
      <c r="F195" s="50" cm="1" t="str">
        <f t="array" ref="F195:F195">OFFSET(E195,-1,1)</f>
        <v>3</v>
      </c>
      <c r="G195" s="1278"/>
      <c r="H195" s="1278"/>
      <c r="I195" s="1278"/>
      <c r="J195" s="1278"/>
      <c r="K195" s="158">
        <f>first_year+11</f>
        <v>2037</v>
      </c>
      <c r="L195" s="1278"/>
      <c r="M195" s="1278"/>
      <c r="N195" s="1278"/>
      <c r="O195" s="1278"/>
      <c r="P195" s="1278"/>
      <c r="Q195" s="1278"/>
      <c r="R195" s="1278"/>
      <c r="S195" s="1278"/>
      <c r="T195" s="465" cm="1" t="str">
        <f t="array" ref="T195:T195">T194</f>
        <v>true</v>
      </c>
      <c r="U195" s="1278"/>
      <c r="V195" s="1278"/>
      <c r="W195" s="1278"/>
      <c r="X195" s="1563"/>
      <c r="Y195" s="1278"/>
      <c r="Z195" s="1546"/>
      <c r="AA195" s="1278"/>
      <c r="AB195" s="255" t="str">
        <f>K195&amp;" год"</f>
        <v>2037 год</v>
      </c>
      <c r="AC195" s="7974"/>
      <c r="AD195" s="7980"/>
      <c r="AE195" s="7981"/>
      <c r="AF195" s="7981"/>
      <c r="AG195" s="7980"/>
      <c r="AH195" s="8001"/>
      <c r="AI195" s="8001"/>
      <c r="AJ195" s="7980"/>
      <c r="AK195" s="7982"/>
      <c r="AL195" s="403"/>
      <c r="AM195" s="1278"/>
      <c r="AN195" s="1278"/>
      <c r="AO195" s="1064" cm="1" t="str">
        <f t="array" ref="AO195:AO195">K195</f>
        <v>2037</v>
      </c>
      <c r="AP195" s="1278"/>
      <c r="AQ195" s="1278"/>
    </row>
    <row s="8103" customFormat="1" customHeight="1" ht="14.25" hidden="1">
      <c r="A196" s="1278"/>
      <c r="B196" s="445">
        <f>K196&lt;first_year+PERIOD_LENGTH</f>
        <v>0</v>
      </c>
      <c r="C196" s="1278"/>
      <c r="D196" s="1278"/>
      <c r="E196" s="703">
        <v>15</v>
      </c>
      <c r="F196" s="50" cm="1" t="str">
        <f t="array" ref="F196:F196">OFFSET(E196,-1,1)</f>
        <v>3</v>
      </c>
      <c r="G196" s="1278"/>
      <c r="H196" s="1278"/>
      <c r="I196" s="1278"/>
      <c r="J196" s="1278"/>
      <c r="K196" s="158">
        <f>first_year+12</f>
        <v>2038</v>
      </c>
      <c r="L196" s="1278"/>
      <c r="M196" s="1278"/>
      <c r="N196" s="1278"/>
      <c r="O196" s="1278"/>
      <c r="P196" s="1278"/>
      <c r="Q196" s="1278"/>
      <c r="R196" s="1278"/>
      <c r="S196" s="1278"/>
      <c r="T196" s="465" cm="1" t="str">
        <f t="array" ref="T196:T196">T195</f>
        <v>true</v>
      </c>
      <c r="U196" s="1278"/>
      <c r="V196" s="1278"/>
      <c r="W196" s="1278"/>
      <c r="X196" s="1563"/>
      <c r="Y196" s="1278"/>
      <c r="Z196" s="1546"/>
      <c r="AA196" s="1278"/>
      <c r="AB196" s="255" t="str">
        <f>K196&amp;" год"</f>
        <v>2038 год</v>
      </c>
      <c r="AC196" s="7974"/>
      <c r="AD196" s="7980"/>
      <c r="AE196" s="7981"/>
      <c r="AF196" s="7981"/>
      <c r="AG196" s="7980"/>
      <c r="AH196" s="8001"/>
      <c r="AI196" s="8001"/>
      <c r="AJ196" s="7980"/>
      <c r="AK196" s="7982"/>
      <c r="AL196" s="403"/>
      <c r="AM196" s="1278"/>
      <c r="AN196" s="1278"/>
      <c r="AO196" s="1064" cm="1" t="str">
        <f t="array" ref="AO196:AO196">K196</f>
        <v>2038</v>
      </c>
      <c r="AP196" s="1278"/>
      <c r="AQ196" s="1278"/>
    </row>
    <row s="8104" customFormat="1" customHeight="1" ht="14.25" hidden="1">
      <c r="A197" s="1278"/>
      <c r="B197" s="445">
        <f>K197&lt;first_year+PERIOD_LENGTH</f>
        <v>0</v>
      </c>
      <c r="C197" s="1278"/>
      <c r="D197" s="1278"/>
      <c r="E197" s="703">
        <v>15</v>
      </c>
      <c r="F197" s="50" cm="1" t="str">
        <f t="array" ref="F197:F197">OFFSET(E197,-1,1)</f>
        <v>3</v>
      </c>
      <c r="G197" s="1278"/>
      <c r="H197" s="1278"/>
      <c r="I197" s="1278"/>
      <c r="J197" s="1278"/>
      <c r="K197" s="158">
        <f>first_year+13</f>
        <v>2039</v>
      </c>
      <c r="L197" s="1278"/>
      <c r="M197" s="1278"/>
      <c r="N197" s="1278"/>
      <c r="O197" s="1278"/>
      <c r="P197" s="1278"/>
      <c r="Q197" s="1278"/>
      <c r="R197" s="1278"/>
      <c r="S197" s="1278"/>
      <c r="T197" s="465" cm="1" t="str">
        <f t="array" ref="T197:T197">T196</f>
        <v>true</v>
      </c>
      <c r="U197" s="1278"/>
      <c r="V197" s="1278"/>
      <c r="W197" s="1278"/>
      <c r="X197" s="1563"/>
      <c r="Y197" s="1278"/>
      <c r="Z197" s="1546"/>
      <c r="AA197" s="1278"/>
      <c r="AB197" s="255" t="str">
        <f>K197&amp;" год"</f>
        <v>2039 год</v>
      </c>
      <c r="AC197" s="7974"/>
      <c r="AD197" s="7980"/>
      <c r="AE197" s="7981"/>
      <c r="AF197" s="7981"/>
      <c r="AG197" s="7980"/>
      <c r="AH197" s="8001"/>
      <c r="AI197" s="8001"/>
      <c r="AJ197" s="7980"/>
      <c r="AK197" s="7982"/>
      <c r="AL197" s="403"/>
      <c r="AM197" s="1278"/>
      <c r="AN197" s="1278"/>
      <c r="AO197" s="1064" cm="1" t="str">
        <f t="array" ref="AO197:AO197">K197</f>
        <v>2039</v>
      </c>
      <c r="AP197" s="1278"/>
      <c r="AQ197" s="1278"/>
    </row>
    <row s="8105" customFormat="1" customHeight="1" ht="14.25" hidden="1">
      <c r="A198" s="1278"/>
      <c r="B198" s="445">
        <f>K198&lt;first_year+PERIOD_LENGTH</f>
        <v>0</v>
      </c>
      <c r="C198" s="1278"/>
      <c r="D198" s="1278"/>
      <c r="E198" s="703">
        <v>15</v>
      </c>
      <c r="F198" s="50" cm="1" t="str">
        <f t="array" ref="F198:F198">OFFSET(E198,-1,1)</f>
        <v>3</v>
      </c>
      <c r="G198" s="1278"/>
      <c r="H198" s="1278"/>
      <c r="I198" s="1278"/>
      <c r="J198" s="1278"/>
      <c r="K198" s="158">
        <f>first_year+14</f>
        <v>2040</v>
      </c>
      <c r="L198" s="1278"/>
      <c r="M198" s="1278"/>
      <c r="N198" s="1278"/>
      <c r="O198" s="1278"/>
      <c r="P198" s="1278"/>
      <c r="Q198" s="1278"/>
      <c r="R198" s="1278"/>
      <c r="S198" s="1278"/>
      <c r="T198" s="465" cm="1" t="str">
        <f t="array" ref="T198:T198">T197</f>
        <v>true</v>
      </c>
      <c r="U198" s="1278"/>
      <c r="V198" s="1278"/>
      <c r="W198" s="1278"/>
      <c r="X198" s="1563"/>
      <c r="Y198" s="1278"/>
      <c r="Z198" s="1546"/>
      <c r="AA198" s="1278"/>
      <c r="AB198" s="255" t="str">
        <f>K198&amp;" год"</f>
        <v>2040 год</v>
      </c>
      <c r="AC198" s="7974"/>
      <c r="AD198" s="7980"/>
      <c r="AE198" s="7981"/>
      <c r="AF198" s="7981"/>
      <c r="AG198" s="7980"/>
      <c r="AH198" s="8001"/>
      <c r="AI198" s="8001"/>
      <c r="AJ198" s="7980"/>
      <c r="AK198" s="7982"/>
      <c r="AL198" s="403"/>
      <c r="AM198" s="1278"/>
      <c r="AN198" s="1278"/>
      <c r="AO198" s="1064" cm="1" t="str">
        <f t="array" ref="AO198:AO198">K198</f>
        <v>2040</v>
      </c>
      <c r="AP198" s="1278"/>
      <c r="AQ198" s="1278"/>
    </row>
    <row s="8106" customFormat="1" customHeight="1" ht="14.25" hidden="1">
      <c r="A199" s="1278"/>
      <c r="B199" s="445">
        <f>K199&lt;first_year+PERIOD_LENGTH</f>
        <v>0</v>
      </c>
      <c r="C199" s="1278"/>
      <c r="D199" s="1278"/>
      <c r="E199" s="703">
        <v>15</v>
      </c>
      <c r="F199" s="50" cm="1" t="str">
        <f t="array" ref="F199:F199">OFFSET(E199,-1,1)</f>
        <v>3</v>
      </c>
      <c r="G199" s="1278"/>
      <c r="H199" s="1278"/>
      <c r="I199" s="1278"/>
      <c r="J199" s="1278"/>
      <c r="K199" s="158">
        <f>first_year+15</f>
        <v>2041</v>
      </c>
      <c r="L199" s="1278"/>
      <c r="M199" s="1278"/>
      <c r="N199" s="1278"/>
      <c r="O199" s="1278"/>
      <c r="P199" s="1278"/>
      <c r="Q199" s="1278"/>
      <c r="R199" s="1278"/>
      <c r="S199" s="1278"/>
      <c r="T199" s="465" cm="1" t="str">
        <f t="array" ref="T199:T199">T198</f>
        <v>true</v>
      </c>
      <c r="U199" s="1278"/>
      <c r="V199" s="1278"/>
      <c r="W199" s="1278"/>
      <c r="X199" s="1563"/>
      <c r="Y199" s="1278"/>
      <c r="Z199" s="1546"/>
      <c r="AA199" s="1278"/>
      <c r="AB199" s="255" t="str">
        <f>K199&amp;" год"</f>
        <v>2041 год</v>
      </c>
      <c r="AC199" s="7974"/>
      <c r="AD199" s="7980"/>
      <c r="AE199" s="7981"/>
      <c r="AF199" s="7981"/>
      <c r="AG199" s="7980"/>
      <c r="AH199" s="8001"/>
      <c r="AI199" s="8001"/>
      <c r="AJ199" s="7980"/>
      <c r="AK199" s="7982"/>
      <c r="AL199" s="403"/>
      <c r="AM199" s="1278"/>
      <c r="AN199" s="1278"/>
      <c r="AO199" s="1064" cm="1" t="str">
        <f t="array" ref="AO199:AO199">K199</f>
        <v>2041</v>
      </c>
      <c r="AP199" s="1278"/>
      <c r="AQ199" s="1278"/>
    </row>
    <row s="8107" customFormat="1" customHeight="1" ht="14.25" hidden="1">
      <c r="A200" s="1278"/>
      <c r="B200" s="445">
        <f>K200&lt;first_year+PERIOD_LENGTH</f>
        <v>0</v>
      </c>
      <c r="C200" s="1278"/>
      <c r="D200" s="1278"/>
      <c r="E200" s="703">
        <v>15</v>
      </c>
      <c r="F200" s="50" cm="1" t="str">
        <f t="array" ref="F200:F200">OFFSET(E200,-1,1)</f>
        <v>3</v>
      </c>
      <c r="G200" s="1278"/>
      <c r="H200" s="1278"/>
      <c r="I200" s="1278"/>
      <c r="J200" s="1278"/>
      <c r="K200" s="158">
        <f>first_year+16</f>
        <v>2042</v>
      </c>
      <c r="L200" s="1278"/>
      <c r="M200" s="1278"/>
      <c r="N200" s="1278"/>
      <c r="O200" s="1278"/>
      <c r="P200" s="1278"/>
      <c r="Q200" s="1278"/>
      <c r="R200" s="1278"/>
      <c r="S200" s="1278"/>
      <c r="T200" s="465" cm="1" t="str">
        <f t="array" ref="T200:T200">T199</f>
        <v>true</v>
      </c>
      <c r="U200" s="1278"/>
      <c r="V200" s="1278"/>
      <c r="W200" s="1278"/>
      <c r="X200" s="1563"/>
      <c r="Y200" s="1278"/>
      <c r="Z200" s="1546"/>
      <c r="AA200" s="1278"/>
      <c r="AB200" s="255" t="str">
        <f>K200&amp;" год"</f>
        <v>2042 год</v>
      </c>
      <c r="AC200" s="7974"/>
      <c r="AD200" s="7980"/>
      <c r="AE200" s="7981"/>
      <c r="AF200" s="7981"/>
      <c r="AG200" s="7980"/>
      <c r="AH200" s="8001"/>
      <c r="AI200" s="8001"/>
      <c r="AJ200" s="7980"/>
      <c r="AK200" s="7982"/>
      <c r="AL200" s="403"/>
      <c r="AM200" s="1278"/>
      <c r="AN200" s="1278"/>
      <c r="AO200" s="1064" cm="1" t="str">
        <f t="array" ref="AO200:AO200">K200</f>
        <v>2042</v>
      </c>
      <c r="AP200" s="1278"/>
      <c r="AQ200" s="1278"/>
    </row>
    <row s="8108" customFormat="1" customHeight="1" ht="14.25" hidden="1">
      <c r="A201" s="1278"/>
      <c r="B201" s="445">
        <f>K201&lt;first_year+PERIOD_LENGTH</f>
        <v>0</v>
      </c>
      <c r="C201" s="1278"/>
      <c r="D201" s="1278"/>
      <c r="E201" s="703">
        <v>15</v>
      </c>
      <c r="F201" s="50" cm="1" t="str">
        <f t="array" ref="F201:F201">OFFSET(E201,-1,1)</f>
        <v>3</v>
      </c>
      <c r="G201" s="1278"/>
      <c r="H201" s="1278"/>
      <c r="I201" s="1278"/>
      <c r="J201" s="1278"/>
      <c r="K201" s="158">
        <f>first_year+17</f>
        <v>2043</v>
      </c>
      <c r="L201" s="1278"/>
      <c r="M201" s="1278"/>
      <c r="N201" s="1278"/>
      <c r="O201" s="1278"/>
      <c r="P201" s="1278"/>
      <c r="Q201" s="1278"/>
      <c r="R201" s="1278"/>
      <c r="S201" s="1278"/>
      <c r="T201" s="465" cm="1" t="str">
        <f t="array" ref="T201:T201">T200</f>
        <v>true</v>
      </c>
      <c r="U201" s="1278"/>
      <c r="V201" s="1278"/>
      <c r="W201" s="1278"/>
      <c r="X201" s="1563"/>
      <c r="Y201" s="1278"/>
      <c r="Z201" s="1546"/>
      <c r="AA201" s="1278"/>
      <c r="AB201" s="255" t="str">
        <f>K201&amp;" год"</f>
        <v>2043 год</v>
      </c>
      <c r="AC201" s="7974"/>
      <c r="AD201" s="7980"/>
      <c r="AE201" s="7981"/>
      <c r="AF201" s="7981"/>
      <c r="AG201" s="7980"/>
      <c r="AH201" s="8001"/>
      <c r="AI201" s="8001"/>
      <c r="AJ201" s="7980"/>
      <c r="AK201" s="7982"/>
      <c r="AL201" s="403"/>
      <c r="AM201" s="1278"/>
      <c r="AN201" s="1278"/>
      <c r="AO201" s="1064" cm="1" t="str">
        <f t="array" ref="AO201:AO201">K201</f>
        <v>2043</v>
      </c>
      <c r="AP201" s="1278"/>
      <c r="AQ201" s="1278"/>
    </row>
    <row s="8109" customFormat="1" customHeight="1" ht="14.25" hidden="1">
      <c r="A202" s="1278"/>
      <c r="B202" s="445">
        <f>K202&lt;first_year+PERIOD_LENGTH</f>
        <v>0</v>
      </c>
      <c r="C202" s="1278"/>
      <c r="D202" s="1278"/>
      <c r="E202" s="703">
        <v>15</v>
      </c>
      <c r="F202" s="50" cm="1" t="str">
        <f t="array" ref="F202:F202">OFFSET(E202,-1,1)</f>
        <v>3</v>
      </c>
      <c r="G202" s="1278"/>
      <c r="H202" s="1278"/>
      <c r="I202" s="1278"/>
      <c r="J202" s="1278"/>
      <c r="K202" s="158">
        <f>first_year+18</f>
        <v>2044</v>
      </c>
      <c r="L202" s="1278"/>
      <c r="M202" s="1278"/>
      <c r="N202" s="1278"/>
      <c r="O202" s="1278"/>
      <c r="P202" s="1278"/>
      <c r="Q202" s="1278"/>
      <c r="R202" s="1278"/>
      <c r="S202" s="1278"/>
      <c r="T202" s="465" cm="1" t="str">
        <f t="array" ref="T202:T202">T201</f>
        <v>true</v>
      </c>
      <c r="U202" s="1278"/>
      <c r="V202" s="1278"/>
      <c r="W202" s="1278"/>
      <c r="X202" s="1563"/>
      <c r="Y202" s="1278"/>
      <c r="Z202" s="1546"/>
      <c r="AA202" s="1278"/>
      <c r="AB202" s="255" t="str">
        <f>K202&amp;" год"</f>
        <v>2044 год</v>
      </c>
      <c r="AC202" s="7974"/>
      <c r="AD202" s="7980"/>
      <c r="AE202" s="7981"/>
      <c r="AF202" s="7981"/>
      <c r="AG202" s="7980"/>
      <c r="AH202" s="8001"/>
      <c r="AI202" s="8001"/>
      <c r="AJ202" s="7980"/>
      <c r="AK202" s="7982"/>
      <c r="AL202" s="403"/>
      <c r="AM202" s="1278"/>
      <c r="AN202" s="1278"/>
      <c r="AO202" s="1064" cm="1" t="str">
        <f t="array" ref="AO202:AO202">K202</f>
        <v>2044</v>
      </c>
      <c r="AP202" s="1278"/>
      <c r="AQ202" s="1278"/>
    </row>
    <row s="8110" customFormat="1" customHeight="1" ht="14.25" hidden="1">
      <c r="A203" s="1278"/>
      <c r="B203" s="445">
        <f>K203&lt;first_year+PERIOD_LENGTH</f>
        <v>0</v>
      </c>
      <c r="C203" s="1278"/>
      <c r="D203" s="1278"/>
      <c r="E203" s="703">
        <v>15</v>
      </c>
      <c r="F203" s="50" cm="1" t="str">
        <f t="array" ref="F203:F203">OFFSET(E203,-1,1)</f>
        <v>3</v>
      </c>
      <c r="G203" s="1278"/>
      <c r="H203" s="1278"/>
      <c r="I203" s="1278"/>
      <c r="J203" s="1278"/>
      <c r="K203" s="158">
        <f>first_year+19</f>
        <v>2045</v>
      </c>
      <c r="L203" s="1278"/>
      <c r="M203" s="1278"/>
      <c r="N203" s="1278"/>
      <c r="O203" s="1278"/>
      <c r="P203" s="1278"/>
      <c r="Q203" s="1278"/>
      <c r="R203" s="1278"/>
      <c r="S203" s="1278"/>
      <c r="T203" s="465" cm="1" t="str">
        <f t="array" ref="T203:T203">T202</f>
        <v>true</v>
      </c>
      <c r="U203" s="1278"/>
      <c r="V203" s="1278"/>
      <c r="W203" s="1278"/>
      <c r="X203" s="1563"/>
      <c r="Y203" s="1278"/>
      <c r="Z203" s="1546"/>
      <c r="AA203" s="1278"/>
      <c r="AB203" s="255" t="str">
        <f>K203&amp;" год"</f>
        <v>2045 год</v>
      </c>
      <c r="AC203" s="7974"/>
      <c r="AD203" s="7980"/>
      <c r="AE203" s="7981"/>
      <c r="AF203" s="7981"/>
      <c r="AG203" s="7980"/>
      <c r="AH203" s="8001"/>
      <c r="AI203" s="8001"/>
      <c r="AJ203" s="7980"/>
      <c r="AK203" s="7982"/>
      <c r="AL203" s="403"/>
      <c r="AM203" s="1278"/>
      <c r="AN203" s="1278"/>
      <c r="AO203" s="1064" cm="1" t="str">
        <f t="array" ref="AO203:AO203">K203</f>
        <v>2045</v>
      </c>
      <c r="AP203" s="1278"/>
      <c r="AQ203" s="1278"/>
    </row>
    <row s="8111" customFormat="1" customHeight="1" ht="14.25" hidden="1">
      <c r="A204" s="1278"/>
      <c r="B204" s="445">
        <f>K204&lt;first_year+PERIOD_LENGTH</f>
        <v>0</v>
      </c>
      <c r="C204" s="1278"/>
      <c r="D204" s="1278"/>
      <c r="E204" s="703">
        <v>15</v>
      </c>
      <c r="F204" s="50" cm="1" t="str">
        <f t="array" ref="F204:F204">OFFSET(E204,-1,1)</f>
        <v>3</v>
      </c>
      <c r="G204" s="1278"/>
      <c r="H204" s="1278"/>
      <c r="I204" s="1278"/>
      <c r="J204" s="1278"/>
      <c r="K204" s="158">
        <f>first_year+20</f>
        <v>2046</v>
      </c>
      <c r="L204" s="1278"/>
      <c r="M204" s="1278"/>
      <c r="N204" s="1278"/>
      <c r="O204" s="1278"/>
      <c r="P204" s="1278"/>
      <c r="Q204" s="1278"/>
      <c r="R204" s="1278"/>
      <c r="S204" s="1278"/>
      <c r="T204" s="465" cm="1" t="str">
        <f t="array" ref="T204:T204">T203</f>
        <v>true</v>
      </c>
      <c r="U204" s="1278"/>
      <c r="V204" s="1278"/>
      <c r="W204" s="1278"/>
      <c r="X204" s="1563"/>
      <c r="Y204" s="1278"/>
      <c r="Z204" s="1546"/>
      <c r="AA204" s="1278"/>
      <c r="AB204" s="255" t="str">
        <f>K204&amp;" год"</f>
        <v>2046 год</v>
      </c>
      <c r="AC204" s="7974"/>
      <c r="AD204" s="7980"/>
      <c r="AE204" s="7981"/>
      <c r="AF204" s="7981"/>
      <c r="AG204" s="7980"/>
      <c r="AH204" s="8001"/>
      <c r="AI204" s="8001"/>
      <c r="AJ204" s="7980"/>
      <c r="AK204" s="7982"/>
      <c r="AL204" s="403"/>
      <c r="AM204" s="1278"/>
      <c r="AN204" s="1278"/>
      <c r="AO204" s="1064" cm="1" t="str">
        <f t="array" ref="AO204:AO204">K204</f>
        <v>2046</v>
      </c>
      <c r="AP204" s="1278"/>
      <c r="AQ204" s="1278"/>
    </row>
    <row s="8112" customFormat="1" customHeight="1" ht="14.25" hidden="1">
      <c r="A205" s="1278"/>
      <c r="B205" s="445">
        <f>K205&lt;first_year+PERIOD_LENGTH</f>
        <v>0</v>
      </c>
      <c r="C205" s="1278"/>
      <c r="D205" s="1278"/>
      <c r="E205" s="703">
        <v>15</v>
      </c>
      <c r="F205" s="50" cm="1" t="str">
        <f t="array" ref="F205:F205">OFFSET(E205,-1,1)</f>
        <v>3</v>
      </c>
      <c r="G205" s="1278"/>
      <c r="H205" s="1278"/>
      <c r="I205" s="1278"/>
      <c r="J205" s="1278"/>
      <c r="K205" s="158">
        <f>first_year+21</f>
        <v>2047</v>
      </c>
      <c r="L205" s="1278"/>
      <c r="M205" s="1278"/>
      <c r="N205" s="1278"/>
      <c r="O205" s="1278"/>
      <c r="P205" s="1278"/>
      <c r="Q205" s="1278"/>
      <c r="R205" s="1278"/>
      <c r="S205" s="1278"/>
      <c r="T205" s="465" cm="1" t="str">
        <f t="array" ref="T205:T205">T204</f>
        <v>true</v>
      </c>
      <c r="U205" s="1278"/>
      <c r="V205" s="1278"/>
      <c r="W205" s="1278"/>
      <c r="X205" s="1563"/>
      <c r="Y205" s="1278"/>
      <c r="Z205" s="1546"/>
      <c r="AA205" s="1278"/>
      <c r="AB205" s="255" t="str">
        <f>K205&amp;" год"</f>
        <v>2047 год</v>
      </c>
      <c r="AC205" s="7974"/>
      <c r="AD205" s="7980"/>
      <c r="AE205" s="7981"/>
      <c r="AF205" s="7981"/>
      <c r="AG205" s="7980"/>
      <c r="AH205" s="8001"/>
      <c r="AI205" s="8001"/>
      <c r="AJ205" s="7980"/>
      <c r="AK205" s="7982"/>
      <c r="AL205" s="403"/>
      <c r="AM205" s="1278"/>
      <c r="AN205" s="1278"/>
      <c r="AO205" s="1064" cm="1" t="str">
        <f t="array" ref="AO205:AO205">K205</f>
        <v>2047</v>
      </c>
      <c r="AP205" s="1278"/>
      <c r="AQ205" s="1278"/>
    </row>
    <row s="8113" customFormat="1" customHeight="1" ht="14.25" hidden="1">
      <c r="A206" s="1278"/>
      <c r="B206" s="445">
        <f>K206&lt;first_year+PERIOD_LENGTH</f>
        <v>0</v>
      </c>
      <c r="C206" s="1278"/>
      <c r="D206" s="1278"/>
      <c r="E206" s="703">
        <v>15</v>
      </c>
      <c r="F206" s="50" cm="1" t="str">
        <f t="array" ref="F206:F206">OFFSET(E206,-1,1)</f>
        <v>3</v>
      </c>
      <c r="G206" s="1278"/>
      <c r="H206" s="1278"/>
      <c r="I206" s="1278"/>
      <c r="J206" s="1278"/>
      <c r="K206" s="158">
        <f>first_year+22</f>
        <v>2048</v>
      </c>
      <c r="L206" s="1278"/>
      <c r="M206" s="1278"/>
      <c r="N206" s="1278"/>
      <c r="O206" s="1278"/>
      <c r="P206" s="1278"/>
      <c r="Q206" s="1278"/>
      <c r="R206" s="1278"/>
      <c r="S206" s="1278"/>
      <c r="T206" s="465" cm="1" t="str">
        <f t="array" ref="T206:T206">T205</f>
        <v>true</v>
      </c>
      <c r="U206" s="1278"/>
      <c r="V206" s="1278"/>
      <c r="W206" s="1278"/>
      <c r="X206" s="1563"/>
      <c r="Y206" s="1278"/>
      <c r="Z206" s="1546"/>
      <c r="AA206" s="1278"/>
      <c r="AB206" s="255" t="str">
        <f>K206&amp;" год"</f>
        <v>2048 год</v>
      </c>
      <c r="AC206" s="7974"/>
      <c r="AD206" s="7980"/>
      <c r="AE206" s="7981"/>
      <c r="AF206" s="7981"/>
      <c r="AG206" s="7980"/>
      <c r="AH206" s="8001"/>
      <c r="AI206" s="8001"/>
      <c r="AJ206" s="7980"/>
      <c r="AK206" s="7982"/>
      <c r="AL206" s="403"/>
      <c r="AM206" s="1278"/>
      <c r="AN206" s="1278"/>
      <c r="AO206" s="1064" cm="1" t="str">
        <f t="array" ref="AO206:AO206">K206</f>
        <v>2048</v>
      </c>
      <c r="AP206" s="1278"/>
      <c r="AQ206" s="1278"/>
    </row>
    <row s="8114" customFormat="1" customHeight="1" ht="14.25" hidden="1">
      <c r="A207" s="1278"/>
      <c r="B207" s="445">
        <f>K207&lt;first_year+PERIOD_LENGTH</f>
        <v>0</v>
      </c>
      <c r="C207" s="1278"/>
      <c r="D207" s="1278"/>
      <c r="E207" s="703">
        <v>15</v>
      </c>
      <c r="F207" s="50" cm="1" t="str">
        <f t="array" ref="F207:F207">OFFSET(E207,-1,1)</f>
        <v>3</v>
      </c>
      <c r="G207" s="1278"/>
      <c r="H207" s="1278"/>
      <c r="I207" s="1278"/>
      <c r="J207" s="1278"/>
      <c r="K207" s="158">
        <f>first_year+23</f>
        <v>2049</v>
      </c>
      <c r="L207" s="1278"/>
      <c r="M207" s="1278"/>
      <c r="N207" s="1278"/>
      <c r="O207" s="1278"/>
      <c r="P207" s="1278"/>
      <c r="Q207" s="1278"/>
      <c r="R207" s="1278"/>
      <c r="S207" s="1278"/>
      <c r="T207" s="465" cm="1" t="str">
        <f t="array" ref="T207:T207">T206</f>
        <v>true</v>
      </c>
      <c r="U207" s="1278"/>
      <c r="V207" s="1278"/>
      <c r="W207" s="1278"/>
      <c r="X207" s="1563"/>
      <c r="Y207" s="1278"/>
      <c r="Z207" s="1546"/>
      <c r="AA207" s="1278"/>
      <c r="AB207" s="255" t="str">
        <f>K207&amp;" год"</f>
        <v>2049 год</v>
      </c>
      <c r="AC207" s="7974"/>
      <c r="AD207" s="7980"/>
      <c r="AE207" s="7981"/>
      <c r="AF207" s="7981"/>
      <c r="AG207" s="7980"/>
      <c r="AH207" s="8001"/>
      <c r="AI207" s="8001"/>
      <c r="AJ207" s="7980"/>
      <c r="AK207" s="7982"/>
      <c r="AL207" s="403"/>
      <c r="AM207" s="1278"/>
      <c r="AN207" s="1278"/>
      <c r="AO207" s="1064" cm="1" t="str">
        <f t="array" ref="AO207:AO207">K207</f>
        <v>2049</v>
      </c>
      <c r="AP207" s="1278"/>
      <c r="AQ207" s="1278"/>
    </row>
    <row s="8115" customFormat="1" customHeight="1" ht="14.25" hidden="1">
      <c r="A208" s="1278"/>
      <c r="B208" s="445">
        <f>K208&lt;first_year+PERIOD_LENGTH</f>
        <v>0</v>
      </c>
      <c r="C208" s="1278"/>
      <c r="D208" s="1278"/>
      <c r="E208" s="703">
        <v>15</v>
      </c>
      <c r="F208" s="50" cm="1" t="str">
        <f t="array" ref="F208:F208">OFFSET(E208,-1,1)</f>
        <v>3</v>
      </c>
      <c r="G208" s="1278"/>
      <c r="H208" s="1278"/>
      <c r="I208" s="1278"/>
      <c r="J208" s="1278"/>
      <c r="K208" s="158">
        <f>first_year+24</f>
        <v>2050</v>
      </c>
      <c r="L208" s="1278"/>
      <c r="M208" s="1278"/>
      <c r="N208" s="1278"/>
      <c r="O208" s="1278"/>
      <c r="P208" s="1278"/>
      <c r="Q208" s="1278"/>
      <c r="R208" s="1278"/>
      <c r="S208" s="1278"/>
      <c r="T208" s="465" cm="1" t="str">
        <f t="array" ref="T208:T208">T207</f>
        <v>true</v>
      </c>
      <c r="U208" s="1278"/>
      <c r="V208" s="1278"/>
      <c r="W208" s="1278"/>
      <c r="X208" s="1563"/>
      <c r="Y208" s="1278"/>
      <c r="Z208" s="1546"/>
      <c r="AA208" s="1278"/>
      <c r="AB208" s="255" t="str">
        <f>K208&amp;" год"</f>
        <v>2050 год</v>
      </c>
      <c r="AC208" s="7974"/>
      <c r="AD208" s="7980"/>
      <c r="AE208" s="7981"/>
      <c r="AF208" s="7981"/>
      <c r="AG208" s="7980"/>
      <c r="AH208" s="8001"/>
      <c r="AI208" s="8001"/>
      <c r="AJ208" s="7980"/>
      <c r="AK208" s="7982"/>
      <c r="AL208" s="403"/>
      <c r="AM208" s="1278"/>
      <c r="AN208" s="1278"/>
      <c r="AO208" s="1064" cm="1" t="str">
        <f t="array" ref="AO208:AO208">K208</f>
        <v>2050</v>
      </c>
      <c r="AP208" s="1278"/>
      <c r="AQ208" s="1278"/>
    </row>
    <row s="8116" customFormat="1" customHeight="1" ht="14.25" hidden="1">
      <c r="A209" s="1278"/>
      <c r="B209" s="445">
        <f>K209&lt;first_year+PERIOD_LENGTH</f>
        <v>0</v>
      </c>
      <c r="C209" s="1278"/>
      <c r="D209" s="1278"/>
      <c r="E209" s="703">
        <v>15</v>
      </c>
      <c r="F209" s="50" cm="1" t="str">
        <f t="array" ref="F209:F209">OFFSET(E209,-1,1)</f>
        <v>3</v>
      </c>
      <c r="G209" s="1278"/>
      <c r="H209" s="1278"/>
      <c r="I209" s="1278"/>
      <c r="J209" s="1278"/>
      <c r="K209" s="158">
        <f>first_year+25</f>
        <v>2051</v>
      </c>
      <c r="L209" s="1278"/>
      <c r="M209" s="1278"/>
      <c r="N209" s="1278"/>
      <c r="O209" s="1278"/>
      <c r="P209" s="1278"/>
      <c r="Q209" s="1278"/>
      <c r="R209" s="1278"/>
      <c r="S209" s="1278"/>
      <c r="T209" s="465" cm="1" t="str">
        <f t="array" ref="T209:T209">T208</f>
        <v>true</v>
      </c>
      <c r="U209" s="1278"/>
      <c r="V209" s="1278"/>
      <c r="W209" s="1278"/>
      <c r="X209" s="1563"/>
      <c r="Y209" s="1278"/>
      <c r="Z209" s="1546"/>
      <c r="AA209" s="1278"/>
      <c r="AB209" s="255" t="str">
        <f>K209&amp;" год"</f>
        <v>2051 год</v>
      </c>
      <c r="AC209" s="7974"/>
      <c r="AD209" s="7980"/>
      <c r="AE209" s="7981"/>
      <c r="AF209" s="7981"/>
      <c r="AG209" s="7980"/>
      <c r="AH209" s="8001"/>
      <c r="AI209" s="8001"/>
      <c r="AJ209" s="7980"/>
      <c r="AK209" s="7982"/>
      <c r="AL209" s="403"/>
      <c r="AM209" s="1278"/>
      <c r="AN209" s="1278"/>
      <c r="AO209" s="1064" cm="1" t="str">
        <f t="array" ref="AO209:AO209">K209</f>
        <v>2051</v>
      </c>
      <c r="AP209" s="1278"/>
      <c r="AQ209" s="1278"/>
    </row>
    <row s="8117" customFormat="1" customHeight="1" ht="14.25" hidden="1">
      <c r="A210" s="1278"/>
      <c r="B210" s="445">
        <f>K210&lt;first_year+PERIOD_LENGTH</f>
        <v>0</v>
      </c>
      <c r="C210" s="1278"/>
      <c r="D210" s="1278"/>
      <c r="E210" s="703">
        <v>15</v>
      </c>
      <c r="F210" s="50" cm="1" t="str">
        <f t="array" ref="F210:F210">OFFSET(E210,-1,1)</f>
        <v>3</v>
      </c>
      <c r="G210" s="1278"/>
      <c r="H210" s="1278"/>
      <c r="I210" s="1278"/>
      <c r="J210" s="1278"/>
      <c r="K210" s="158">
        <f>first_year+26</f>
        <v>2052</v>
      </c>
      <c r="L210" s="1278"/>
      <c r="M210" s="1278"/>
      <c r="N210" s="1278"/>
      <c r="O210" s="1278"/>
      <c r="P210" s="1278"/>
      <c r="Q210" s="1278"/>
      <c r="R210" s="1278"/>
      <c r="S210" s="1278"/>
      <c r="T210" s="465" cm="1" t="str">
        <f t="array" ref="T210:T210">T209</f>
        <v>true</v>
      </c>
      <c r="U210" s="1278"/>
      <c r="V210" s="1278"/>
      <c r="W210" s="1278"/>
      <c r="X210" s="1563"/>
      <c r="Y210" s="1278"/>
      <c r="Z210" s="1546"/>
      <c r="AA210" s="1278"/>
      <c r="AB210" s="255" t="str">
        <f>K210&amp;" год"</f>
        <v>2052 год</v>
      </c>
      <c r="AC210" s="7974"/>
      <c r="AD210" s="7980"/>
      <c r="AE210" s="7981"/>
      <c r="AF210" s="7981"/>
      <c r="AG210" s="7980"/>
      <c r="AH210" s="8001"/>
      <c r="AI210" s="8001"/>
      <c r="AJ210" s="7980"/>
      <c r="AK210" s="7982"/>
      <c r="AL210" s="403"/>
      <c r="AM210" s="1278"/>
      <c r="AN210" s="1278"/>
      <c r="AO210" s="1064" cm="1" t="str">
        <f t="array" ref="AO210:AO210">K210</f>
        <v>2052</v>
      </c>
      <c r="AP210" s="1278"/>
      <c r="AQ210" s="1278"/>
    </row>
    <row s="8118" customFormat="1" customHeight="1" ht="14.25" hidden="1">
      <c r="A211" s="1278"/>
      <c r="B211" s="445">
        <f>K211&lt;first_year+PERIOD_LENGTH</f>
        <v>0</v>
      </c>
      <c r="C211" s="1278"/>
      <c r="D211" s="1278"/>
      <c r="E211" s="703">
        <v>15</v>
      </c>
      <c r="F211" s="50" cm="1" t="str">
        <f t="array" ref="F211:F211">OFFSET(E211,-1,1)</f>
        <v>3</v>
      </c>
      <c r="G211" s="1278"/>
      <c r="H211" s="1278"/>
      <c r="I211" s="1278"/>
      <c r="J211" s="1278"/>
      <c r="K211" s="158">
        <f>first_year+27</f>
        <v>2053</v>
      </c>
      <c r="L211" s="1278"/>
      <c r="M211" s="1278"/>
      <c r="N211" s="1278"/>
      <c r="O211" s="1278"/>
      <c r="P211" s="1278"/>
      <c r="Q211" s="1278"/>
      <c r="R211" s="1278"/>
      <c r="S211" s="1278"/>
      <c r="T211" s="465" cm="1" t="str">
        <f t="array" ref="T211:T211">T210</f>
        <v>true</v>
      </c>
      <c r="U211" s="1278"/>
      <c r="V211" s="1278"/>
      <c r="W211" s="1278"/>
      <c r="X211" s="1563"/>
      <c r="Y211" s="1278"/>
      <c r="Z211" s="1546"/>
      <c r="AA211" s="1278"/>
      <c r="AB211" s="255" t="str">
        <f>K211&amp;" год"</f>
        <v>2053 год</v>
      </c>
      <c r="AC211" s="7974"/>
      <c r="AD211" s="7980"/>
      <c r="AE211" s="7981"/>
      <c r="AF211" s="7981"/>
      <c r="AG211" s="7980"/>
      <c r="AH211" s="8001"/>
      <c r="AI211" s="8001"/>
      <c r="AJ211" s="7980"/>
      <c r="AK211" s="7982"/>
      <c r="AL211" s="403"/>
      <c r="AM211" s="1278"/>
      <c r="AN211" s="1278"/>
      <c r="AO211" s="1064" cm="1" t="str">
        <f t="array" ref="AO211:AO211">K211</f>
        <v>2053</v>
      </c>
      <c r="AP211" s="1278"/>
      <c r="AQ211" s="1278"/>
    </row>
    <row s="8119" customFormat="1" customHeight="1" ht="14.25" hidden="1">
      <c r="A212" s="1278"/>
      <c r="B212" s="445">
        <f>K212&lt;first_year+PERIOD_LENGTH</f>
        <v>0</v>
      </c>
      <c r="C212" s="1278"/>
      <c r="D212" s="1278"/>
      <c r="E212" s="703">
        <v>15</v>
      </c>
      <c r="F212" s="50" cm="1" t="str">
        <f t="array" ref="F212:F212">OFFSET(E212,-1,1)</f>
        <v>3</v>
      </c>
      <c r="G212" s="1278"/>
      <c r="H212" s="1278"/>
      <c r="I212" s="1278"/>
      <c r="J212" s="1278"/>
      <c r="K212" s="158">
        <f>first_year+28</f>
        <v>2054</v>
      </c>
      <c r="L212" s="1278"/>
      <c r="M212" s="1278"/>
      <c r="N212" s="1278"/>
      <c r="O212" s="1278"/>
      <c r="P212" s="1278"/>
      <c r="Q212" s="1278"/>
      <c r="R212" s="1278"/>
      <c r="S212" s="1278"/>
      <c r="T212" s="465" cm="1" t="str">
        <f t="array" ref="T212:T212">T211</f>
        <v>true</v>
      </c>
      <c r="U212" s="1278"/>
      <c r="V212" s="1278"/>
      <c r="W212" s="1278"/>
      <c r="X212" s="1563"/>
      <c r="Y212" s="1278"/>
      <c r="Z212" s="1546"/>
      <c r="AA212" s="1278"/>
      <c r="AB212" s="255" t="str">
        <f>K212&amp;" год"</f>
        <v>2054 год</v>
      </c>
      <c r="AC212" s="7974"/>
      <c r="AD212" s="7980"/>
      <c r="AE212" s="7981"/>
      <c r="AF212" s="7981"/>
      <c r="AG212" s="7980"/>
      <c r="AH212" s="8001"/>
      <c r="AI212" s="8001"/>
      <c r="AJ212" s="7980"/>
      <c r="AK212" s="7982"/>
      <c r="AL212" s="403"/>
      <c r="AM212" s="1278"/>
      <c r="AN212" s="1278"/>
      <c r="AO212" s="1064" cm="1" t="str">
        <f t="array" ref="AO212:AO212">K212</f>
        <v>2054</v>
      </c>
      <c r="AP212" s="1278"/>
      <c r="AQ212" s="1278"/>
    </row>
    <row s="8120" customFormat="1" customHeight="1" ht="14.25" hidden="1">
      <c r="A213" s="1278"/>
      <c r="B213" s="445">
        <f>K213&lt;first_year+PERIOD_LENGTH</f>
        <v>0</v>
      </c>
      <c r="C213" s="1278"/>
      <c r="D213" s="1278"/>
      <c r="E213" s="703">
        <v>15</v>
      </c>
      <c r="F213" s="50" cm="1" t="str">
        <f t="array" ref="F213:F213">OFFSET(E213,-1,1)</f>
        <v>3</v>
      </c>
      <c r="G213" s="1278"/>
      <c r="H213" s="1278"/>
      <c r="I213" s="1278"/>
      <c r="J213" s="1278"/>
      <c r="K213" s="158">
        <f>first_year+29</f>
        <v>2055</v>
      </c>
      <c r="L213" s="1278"/>
      <c r="M213" s="1278"/>
      <c r="N213" s="1278"/>
      <c r="O213" s="1278"/>
      <c r="P213" s="1278"/>
      <c r="Q213" s="1278"/>
      <c r="R213" s="1278"/>
      <c r="S213" s="1278"/>
      <c r="T213" s="465" cm="1" t="str">
        <f t="array" ref="T213:T213">T212</f>
        <v>true</v>
      </c>
      <c r="U213" s="1278"/>
      <c r="V213" s="1278"/>
      <c r="W213" s="1278"/>
      <c r="X213" s="1563"/>
      <c r="Y213" s="1278"/>
      <c r="Z213" s="1546"/>
      <c r="AA213" s="1278"/>
      <c r="AB213" s="255" t="str">
        <f>K213&amp;" год"</f>
        <v>2055 год</v>
      </c>
      <c r="AC213" s="7974"/>
      <c r="AD213" s="7980"/>
      <c r="AE213" s="7981"/>
      <c r="AF213" s="7981"/>
      <c r="AG213" s="7980"/>
      <c r="AH213" s="8001"/>
      <c r="AI213" s="8001"/>
      <c r="AJ213" s="7980"/>
      <c r="AK213" s="7982"/>
      <c r="AL213" s="403"/>
      <c r="AM213" s="1278"/>
      <c r="AN213" s="1278"/>
      <c r="AO213" s="1064" cm="1" t="str">
        <f t="array" ref="AO213:AO213">K213</f>
        <v>2055</v>
      </c>
      <c r="AP213" s="1278"/>
      <c r="AQ213" s="1278"/>
    </row>
    <row s="8121" customFormat="1" customHeight="1" ht="14.25" hidden="1">
      <c r="A214" s="1278"/>
      <c r="B214" s="445">
        <f>K214&lt;first_year+PERIOD_LENGTH</f>
        <v>0</v>
      </c>
      <c r="C214" s="1278"/>
      <c r="D214" s="1278"/>
      <c r="E214" s="703">
        <v>15</v>
      </c>
      <c r="F214" s="50" cm="1" t="str">
        <f t="array" ref="F214:F214">OFFSET(E214,-1,1)</f>
        <v>3</v>
      </c>
      <c r="G214" s="1278"/>
      <c r="H214" s="1278"/>
      <c r="I214" s="1278"/>
      <c r="J214" s="1278"/>
      <c r="K214" s="158">
        <f>first_year+30</f>
        <v>2056</v>
      </c>
      <c r="L214" s="1278"/>
      <c r="M214" s="1278"/>
      <c r="N214" s="1278"/>
      <c r="O214" s="1278"/>
      <c r="P214" s="1278"/>
      <c r="Q214" s="1278"/>
      <c r="R214" s="1278"/>
      <c r="S214" s="1278"/>
      <c r="T214" s="465" cm="1" t="str">
        <f t="array" ref="T214:T214">T213</f>
        <v>true</v>
      </c>
      <c r="U214" s="1278"/>
      <c r="V214" s="1278"/>
      <c r="W214" s="1278"/>
      <c r="X214" s="1563"/>
      <c r="Y214" s="1278"/>
      <c r="Z214" s="1546"/>
      <c r="AA214" s="1278"/>
      <c r="AB214" s="255" t="str">
        <f>K214&amp;" год"</f>
        <v>2056 год</v>
      </c>
      <c r="AC214" s="7974"/>
      <c r="AD214" s="7980"/>
      <c r="AE214" s="7981"/>
      <c r="AF214" s="7981"/>
      <c r="AG214" s="7980"/>
      <c r="AH214" s="8001"/>
      <c r="AI214" s="8001"/>
      <c r="AJ214" s="7980"/>
      <c r="AK214" s="7982"/>
      <c r="AL214" s="403"/>
      <c r="AM214" s="1278"/>
      <c r="AN214" s="1278"/>
      <c r="AO214" s="1064" cm="1" t="str">
        <f t="array" ref="AO214:AO214">K214</f>
        <v>2056</v>
      </c>
      <c r="AP214" s="1278"/>
      <c r="AQ214" s="1278"/>
    </row>
    <row s="8122" customFormat="1" customHeight="1" ht="14.25" hidden="1">
      <c r="A215" s="1278"/>
      <c r="B215" s="445">
        <f>K215&lt;first_year+PERIOD_LENGTH</f>
        <v>0</v>
      </c>
      <c r="C215" s="1278"/>
      <c r="D215" s="1278"/>
      <c r="E215" s="703">
        <v>15</v>
      </c>
      <c r="F215" s="50" cm="1" t="str">
        <f t="array" ref="F215:F215">OFFSET(E215,-1,1)</f>
        <v>3</v>
      </c>
      <c r="G215" s="1278"/>
      <c r="H215" s="1278"/>
      <c r="I215" s="1278"/>
      <c r="J215" s="1278"/>
      <c r="K215" s="158">
        <f>first_year+31</f>
        <v>2057</v>
      </c>
      <c r="L215" s="1278"/>
      <c r="M215" s="1278"/>
      <c r="N215" s="1278"/>
      <c r="O215" s="1278"/>
      <c r="P215" s="1278"/>
      <c r="Q215" s="1278"/>
      <c r="R215" s="1278"/>
      <c r="S215" s="1278"/>
      <c r="T215" s="465" cm="1" t="str">
        <f t="array" ref="T215:T215">T214</f>
        <v>true</v>
      </c>
      <c r="U215" s="1278"/>
      <c r="V215" s="1278"/>
      <c r="W215" s="1278"/>
      <c r="X215" s="1563"/>
      <c r="Y215" s="1278"/>
      <c r="Z215" s="1546"/>
      <c r="AA215" s="1278"/>
      <c r="AB215" s="255" t="str">
        <f>K215&amp;" год"</f>
        <v>2057 год</v>
      </c>
      <c r="AC215" s="7974"/>
      <c r="AD215" s="7980"/>
      <c r="AE215" s="7981"/>
      <c r="AF215" s="7981"/>
      <c r="AG215" s="7980"/>
      <c r="AH215" s="8001"/>
      <c r="AI215" s="8001"/>
      <c r="AJ215" s="7980"/>
      <c r="AK215" s="7982"/>
      <c r="AL215" s="403"/>
      <c r="AM215" s="1278"/>
      <c r="AN215" s="1278"/>
      <c r="AO215" s="1064" cm="1" t="str">
        <f t="array" ref="AO215:AO215">K215</f>
        <v>2057</v>
      </c>
      <c r="AP215" s="1278"/>
      <c r="AQ215" s="1278"/>
    </row>
    <row s="8123" customFormat="1" customHeight="1" ht="14.25" hidden="1">
      <c r="A216" s="1278"/>
      <c r="B216" s="445">
        <f>K216&lt;first_year+PERIOD_LENGTH</f>
        <v>0</v>
      </c>
      <c r="C216" s="1278"/>
      <c r="D216" s="1278"/>
      <c r="E216" s="703">
        <v>15</v>
      </c>
      <c r="F216" s="50" cm="1" t="str">
        <f t="array" ref="F216:F216">OFFSET(E216,-1,1)</f>
        <v>3</v>
      </c>
      <c r="G216" s="1278"/>
      <c r="H216" s="1278"/>
      <c r="I216" s="1278"/>
      <c r="J216" s="1278"/>
      <c r="K216" s="158">
        <f>first_year+32</f>
        <v>2058</v>
      </c>
      <c r="L216" s="1278"/>
      <c r="M216" s="1278"/>
      <c r="N216" s="1278"/>
      <c r="O216" s="1278"/>
      <c r="P216" s="1278"/>
      <c r="Q216" s="1278"/>
      <c r="R216" s="1278"/>
      <c r="S216" s="1278"/>
      <c r="T216" s="465" cm="1" t="str">
        <f t="array" ref="T216:T216">T215</f>
        <v>true</v>
      </c>
      <c r="U216" s="1278"/>
      <c r="V216" s="1278"/>
      <c r="W216" s="1278"/>
      <c r="X216" s="1563"/>
      <c r="Y216" s="1278"/>
      <c r="Z216" s="1546"/>
      <c r="AA216" s="1278"/>
      <c r="AB216" s="255" t="str">
        <f>K216&amp;" год"</f>
        <v>2058 год</v>
      </c>
      <c r="AC216" s="7974"/>
      <c r="AD216" s="7980"/>
      <c r="AE216" s="7981"/>
      <c r="AF216" s="7981"/>
      <c r="AG216" s="7980"/>
      <c r="AH216" s="8001"/>
      <c r="AI216" s="8001"/>
      <c r="AJ216" s="7980"/>
      <c r="AK216" s="7982"/>
      <c r="AL216" s="403"/>
      <c r="AM216" s="1278"/>
      <c r="AN216" s="1278"/>
      <c r="AO216" s="1064" cm="1" t="str">
        <f t="array" ref="AO216:AO216">K216</f>
        <v>2058</v>
      </c>
      <c r="AP216" s="1278"/>
      <c r="AQ216" s="1278"/>
    </row>
    <row s="8124" customFormat="1" customHeight="1" ht="14.25" hidden="1">
      <c r="A217" s="1278"/>
      <c r="B217" s="445">
        <f>K217&lt;first_year+PERIOD_LENGTH</f>
        <v>0</v>
      </c>
      <c r="C217" s="1278"/>
      <c r="D217" s="1278"/>
      <c r="E217" s="703">
        <v>15</v>
      </c>
      <c r="F217" s="50" cm="1" t="str">
        <f t="array" ref="F217:F217">OFFSET(E217,-1,1)</f>
        <v>3</v>
      </c>
      <c r="G217" s="1278"/>
      <c r="H217" s="1278"/>
      <c r="I217" s="1278"/>
      <c r="J217" s="1278"/>
      <c r="K217" s="158">
        <f>first_year+33</f>
        <v>2059</v>
      </c>
      <c r="L217" s="1278"/>
      <c r="M217" s="1278"/>
      <c r="N217" s="1278"/>
      <c r="O217" s="1278"/>
      <c r="P217" s="1278"/>
      <c r="Q217" s="1278"/>
      <c r="R217" s="1278"/>
      <c r="S217" s="1278"/>
      <c r="T217" s="465" cm="1" t="str">
        <f t="array" ref="T217:T217">T216</f>
        <v>true</v>
      </c>
      <c r="U217" s="1278"/>
      <c r="V217" s="1278"/>
      <c r="W217" s="1278"/>
      <c r="X217" s="1563"/>
      <c r="Y217" s="1278"/>
      <c r="Z217" s="1546"/>
      <c r="AA217" s="1278"/>
      <c r="AB217" s="255" t="str">
        <f>K217&amp;" год"</f>
        <v>2059 год</v>
      </c>
      <c r="AC217" s="7974"/>
      <c r="AD217" s="7980"/>
      <c r="AE217" s="7981"/>
      <c r="AF217" s="7981"/>
      <c r="AG217" s="7980"/>
      <c r="AH217" s="8001"/>
      <c r="AI217" s="8001"/>
      <c r="AJ217" s="7980"/>
      <c r="AK217" s="7982"/>
      <c r="AL217" s="403"/>
      <c r="AM217" s="1278"/>
      <c r="AN217" s="1278"/>
      <c r="AO217" s="1064" cm="1" t="str">
        <f t="array" ref="AO217:AO217">K217</f>
        <v>2059</v>
      </c>
      <c r="AP217" s="1278"/>
      <c r="AQ217" s="1278"/>
    </row>
    <row s="8125" customFormat="1" customHeight="1" ht="14.25" hidden="1">
      <c r="A218" s="1278"/>
      <c r="B218" s="445">
        <f>K218&lt;first_year+PERIOD_LENGTH</f>
        <v>0</v>
      </c>
      <c r="C218" s="1278"/>
      <c r="D218" s="1278"/>
      <c r="E218" s="703">
        <v>15</v>
      </c>
      <c r="F218" s="50" cm="1" t="str">
        <f t="array" ref="F218:F218">OFFSET(E218,-1,1)</f>
        <v>3</v>
      </c>
      <c r="G218" s="1278"/>
      <c r="H218" s="1278"/>
      <c r="I218" s="1278"/>
      <c r="J218" s="1278"/>
      <c r="K218" s="158">
        <f>first_year+34</f>
        <v>2060</v>
      </c>
      <c r="L218" s="1278"/>
      <c r="M218" s="1278"/>
      <c r="N218" s="1278"/>
      <c r="O218" s="1278"/>
      <c r="P218" s="1278"/>
      <c r="Q218" s="1278"/>
      <c r="R218" s="1278"/>
      <c r="S218" s="1278"/>
      <c r="T218" s="465" cm="1" t="str">
        <f t="array" ref="T218:T218">T217</f>
        <v>true</v>
      </c>
      <c r="U218" s="1278"/>
      <c r="V218" s="1278"/>
      <c r="W218" s="1278"/>
      <c r="X218" s="1563"/>
      <c r="Y218" s="1278"/>
      <c r="Z218" s="1546"/>
      <c r="AA218" s="1278"/>
      <c r="AB218" s="255" t="str">
        <f>K218&amp;" год"</f>
        <v>2060 год</v>
      </c>
      <c r="AC218" s="7974"/>
      <c r="AD218" s="7980"/>
      <c r="AE218" s="7981"/>
      <c r="AF218" s="7981"/>
      <c r="AG218" s="7980"/>
      <c r="AH218" s="8001"/>
      <c r="AI218" s="8001"/>
      <c r="AJ218" s="7980"/>
      <c r="AK218" s="7982"/>
      <c r="AL218" s="403"/>
      <c r="AM218" s="1278"/>
      <c r="AN218" s="1278"/>
      <c r="AO218" s="1064" cm="1" t="str">
        <f t="array" ref="AO218:AO218">K218</f>
        <v>2060</v>
      </c>
      <c r="AP218" s="1278"/>
      <c r="AQ218" s="1278"/>
    </row>
    <row s="8126" customFormat="1" customHeight="1" ht="14.25" hidden="1">
      <c r="A219" s="1278"/>
      <c r="B219" s="445">
        <f>K219&lt;first_year+PERIOD_LENGTH</f>
        <v>0</v>
      </c>
      <c r="C219" s="1278"/>
      <c r="D219" s="1278"/>
      <c r="E219" s="703">
        <v>15</v>
      </c>
      <c r="F219" s="50" cm="1" t="str">
        <f t="array" ref="F219:F219">OFFSET(E219,-1,1)</f>
        <v>3</v>
      </c>
      <c r="G219" s="1278"/>
      <c r="H219" s="1278"/>
      <c r="I219" s="1278"/>
      <c r="J219" s="1278"/>
      <c r="K219" s="158">
        <f>first_year+35</f>
        <v>2061</v>
      </c>
      <c r="L219" s="1278"/>
      <c r="M219" s="1278"/>
      <c r="N219" s="1278"/>
      <c r="O219" s="1278"/>
      <c r="P219" s="1278"/>
      <c r="Q219" s="1278"/>
      <c r="R219" s="1278"/>
      <c r="S219" s="1278"/>
      <c r="T219" s="465" cm="1" t="str">
        <f t="array" ref="T219:T219">T218</f>
        <v>true</v>
      </c>
      <c r="U219" s="1278"/>
      <c r="V219" s="1278"/>
      <c r="W219" s="1278"/>
      <c r="X219" s="1563"/>
      <c r="Y219" s="1278"/>
      <c r="Z219" s="1546"/>
      <c r="AA219" s="1278"/>
      <c r="AB219" s="255" t="str">
        <f>K219&amp;" год"</f>
        <v>2061 год</v>
      </c>
      <c r="AC219" s="7974"/>
      <c r="AD219" s="7980"/>
      <c r="AE219" s="7981"/>
      <c r="AF219" s="7981"/>
      <c r="AG219" s="7980"/>
      <c r="AH219" s="8001"/>
      <c r="AI219" s="8001"/>
      <c r="AJ219" s="7980"/>
      <c r="AK219" s="7982"/>
      <c r="AL219" s="403"/>
      <c r="AM219" s="1278"/>
      <c r="AN219" s="1278"/>
      <c r="AO219" s="1064" cm="1" t="str">
        <f t="array" ref="AO219:AO219">K219</f>
        <v>2061</v>
      </c>
      <c r="AP219" s="1278"/>
      <c r="AQ219" s="1278"/>
    </row>
    <row s="8127" customFormat="1" customHeight="1" ht="14.25" hidden="1">
      <c r="A220" s="1278"/>
      <c r="B220" s="445">
        <f>K220&lt;first_year+PERIOD_LENGTH</f>
        <v>0</v>
      </c>
      <c r="C220" s="1278"/>
      <c r="D220" s="1278"/>
      <c r="E220" s="703">
        <v>15</v>
      </c>
      <c r="F220" s="50" cm="1" t="str">
        <f t="array" ref="F220:F220">OFFSET(E220,-1,1)</f>
        <v>3</v>
      </c>
      <c r="G220" s="1278"/>
      <c r="H220" s="1278"/>
      <c r="I220" s="1278"/>
      <c r="J220" s="1278"/>
      <c r="K220" s="158">
        <f>first_year+36</f>
        <v>2062</v>
      </c>
      <c r="L220" s="1278"/>
      <c r="M220" s="1278"/>
      <c r="N220" s="1278"/>
      <c r="O220" s="1278"/>
      <c r="P220" s="1278"/>
      <c r="Q220" s="1278"/>
      <c r="R220" s="1278"/>
      <c r="S220" s="1278"/>
      <c r="T220" s="465" cm="1" t="str">
        <f t="array" ref="T220:T220">T219</f>
        <v>true</v>
      </c>
      <c r="U220" s="1278"/>
      <c r="V220" s="1278"/>
      <c r="W220" s="1278"/>
      <c r="X220" s="1563"/>
      <c r="Y220" s="1278"/>
      <c r="Z220" s="1546"/>
      <c r="AA220" s="1278"/>
      <c r="AB220" s="255" t="str">
        <f>K220&amp;" год"</f>
        <v>2062 год</v>
      </c>
      <c r="AC220" s="7974"/>
      <c r="AD220" s="7980"/>
      <c r="AE220" s="7981"/>
      <c r="AF220" s="7981"/>
      <c r="AG220" s="7980"/>
      <c r="AH220" s="8001"/>
      <c r="AI220" s="8001"/>
      <c r="AJ220" s="7980"/>
      <c r="AK220" s="7982"/>
      <c r="AL220" s="403"/>
      <c r="AM220" s="1278"/>
      <c r="AN220" s="1278"/>
      <c r="AO220" s="1064" cm="1" t="str">
        <f t="array" ref="AO220:AO220">K220</f>
        <v>2062</v>
      </c>
      <c r="AP220" s="1278"/>
      <c r="AQ220" s="1278"/>
    </row>
    <row s="8128" customFormat="1" customHeight="1" ht="14.25" hidden="1">
      <c r="A221" s="1278"/>
      <c r="B221" s="445">
        <f>K221&lt;first_year+PERIOD_LENGTH</f>
        <v>0</v>
      </c>
      <c r="C221" s="1278"/>
      <c r="D221" s="1278"/>
      <c r="E221" s="703">
        <v>15</v>
      </c>
      <c r="F221" s="50" cm="1" t="str">
        <f t="array" ref="F221:F221">OFFSET(E221,-1,1)</f>
        <v>3</v>
      </c>
      <c r="G221" s="1278"/>
      <c r="H221" s="1278"/>
      <c r="I221" s="1278"/>
      <c r="J221" s="1278"/>
      <c r="K221" s="158">
        <f>first_year+37</f>
        <v>2063</v>
      </c>
      <c r="L221" s="1278"/>
      <c r="M221" s="1278"/>
      <c r="N221" s="1278"/>
      <c r="O221" s="1278"/>
      <c r="P221" s="1278"/>
      <c r="Q221" s="1278"/>
      <c r="R221" s="1278"/>
      <c r="S221" s="1278"/>
      <c r="T221" s="465" cm="1" t="str">
        <f t="array" ref="T221:T221">T220</f>
        <v>true</v>
      </c>
      <c r="U221" s="1278"/>
      <c r="V221" s="1278"/>
      <c r="W221" s="1278"/>
      <c r="X221" s="1563"/>
      <c r="Y221" s="1278"/>
      <c r="Z221" s="1546"/>
      <c r="AA221" s="1278"/>
      <c r="AB221" s="255" t="str">
        <f>K221&amp;" год"</f>
        <v>2063 год</v>
      </c>
      <c r="AC221" s="7974"/>
      <c r="AD221" s="7980"/>
      <c r="AE221" s="7981"/>
      <c r="AF221" s="7981"/>
      <c r="AG221" s="7980"/>
      <c r="AH221" s="8001"/>
      <c r="AI221" s="8001"/>
      <c r="AJ221" s="7980"/>
      <c r="AK221" s="7982"/>
      <c r="AL221" s="403"/>
      <c r="AM221" s="1278"/>
      <c r="AN221" s="1278"/>
      <c r="AO221" s="1064" cm="1" t="str">
        <f t="array" ref="AO221:AO221">K221</f>
        <v>2063</v>
      </c>
      <c r="AP221" s="1278"/>
      <c r="AQ221" s="1278"/>
    </row>
    <row s="8129" customFormat="1" customHeight="1" ht="14.25" hidden="1">
      <c r="A222" s="1278"/>
      <c r="B222" s="445">
        <f>K222&lt;first_year+PERIOD_LENGTH</f>
        <v>0</v>
      </c>
      <c r="C222" s="1278"/>
      <c r="D222" s="1278"/>
      <c r="E222" s="703">
        <v>15</v>
      </c>
      <c r="F222" s="50" cm="1" t="str">
        <f t="array" ref="F222:F222">OFFSET(E222,-1,1)</f>
        <v>3</v>
      </c>
      <c r="G222" s="1278"/>
      <c r="H222" s="1278"/>
      <c r="I222" s="1278"/>
      <c r="J222" s="1278"/>
      <c r="K222" s="158">
        <f>first_year+38</f>
        <v>2064</v>
      </c>
      <c r="L222" s="1278"/>
      <c r="M222" s="1278"/>
      <c r="N222" s="1278"/>
      <c r="O222" s="1278"/>
      <c r="P222" s="1278"/>
      <c r="Q222" s="1278"/>
      <c r="R222" s="1278"/>
      <c r="S222" s="1278"/>
      <c r="T222" s="465" cm="1" t="str">
        <f t="array" ref="T222:T222">T221</f>
        <v>true</v>
      </c>
      <c r="U222" s="1278"/>
      <c r="V222" s="1278"/>
      <c r="W222" s="1278"/>
      <c r="X222" s="1563"/>
      <c r="Y222" s="1278"/>
      <c r="Z222" s="1546"/>
      <c r="AA222" s="1278"/>
      <c r="AB222" s="255" t="str">
        <f>K222&amp;" год"</f>
        <v>2064 год</v>
      </c>
      <c r="AC222" s="7974"/>
      <c r="AD222" s="7980"/>
      <c r="AE222" s="7981"/>
      <c r="AF222" s="7981"/>
      <c r="AG222" s="7980"/>
      <c r="AH222" s="8001"/>
      <c r="AI222" s="8001"/>
      <c r="AJ222" s="7980"/>
      <c r="AK222" s="7982"/>
      <c r="AL222" s="403"/>
      <c r="AM222" s="1278"/>
      <c r="AN222" s="1278"/>
      <c r="AO222" s="1064" cm="1" t="str">
        <f t="array" ref="AO222:AO222">K222</f>
        <v>2064</v>
      </c>
      <c r="AP222" s="1278"/>
      <c r="AQ222" s="1278"/>
    </row>
    <row s="8130" customFormat="1" customHeight="1" ht="14.25" hidden="1">
      <c r="A223" s="1278"/>
      <c r="B223" s="445">
        <f>K223&lt;first_year+PERIOD_LENGTH</f>
        <v>0</v>
      </c>
      <c r="C223" s="1278"/>
      <c r="D223" s="1278"/>
      <c r="E223" s="703">
        <v>15</v>
      </c>
      <c r="F223" s="50" cm="1" t="str">
        <f t="array" ref="F223:F223">OFFSET(E223,-1,1)</f>
        <v>3</v>
      </c>
      <c r="G223" s="1278"/>
      <c r="H223" s="1278"/>
      <c r="I223" s="1278"/>
      <c r="J223" s="1278"/>
      <c r="K223" s="158">
        <f>first_year+39</f>
        <v>2065</v>
      </c>
      <c r="L223" s="1278"/>
      <c r="M223" s="1278"/>
      <c r="N223" s="1278"/>
      <c r="O223" s="1278"/>
      <c r="P223" s="1278"/>
      <c r="Q223" s="1278"/>
      <c r="R223" s="1278"/>
      <c r="S223" s="1278"/>
      <c r="T223" s="465" cm="1" t="str">
        <f t="array" ref="T223:T223">T222</f>
        <v>true</v>
      </c>
      <c r="U223" s="1278"/>
      <c r="V223" s="1278"/>
      <c r="W223" s="1278"/>
      <c r="X223" s="1563"/>
      <c r="Y223" s="1278"/>
      <c r="Z223" s="1546"/>
      <c r="AA223" s="1278"/>
      <c r="AB223" s="255" t="str">
        <f>K223&amp;" год"</f>
        <v>2065 год</v>
      </c>
      <c r="AC223" s="7974"/>
      <c r="AD223" s="7980"/>
      <c r="AE223" s="7981"/>
      <c r="AF223" s="7981"/>
      <c r="AG223" s="7980"/>
      <c r="AH223" s="8001"/>
      <c r="AI223" s="8001"/>
      <c r="AJ223" s="7980"/>
      <c r="AK223" s="7982"/>
      <c r="AL223" s="403"/>
      <c r="AM223" s="1278"/>
      <c r="AN223" s="1278"/>
      <c r="AO223" s="1064" cm="1" t="str">
        <f t="array" ref="AO223:AO223">K223</f>
        <v>2065</v>
      </c>
      <c r="AP223" s="1278"/>
      <c r="AQ223" s="1278"/>
    </row>
    <row s="8131" customFormat="1" customHeight="1" ht="14.25" hidden="1">
      <c r="A224" s="1278"/>
      <c r="B224" s="445">
        <f>K224&lt;first_year+PERIOD_LENGTH</f>
        <v>0</v>
      </c>
      <c r="C224" s="1278"/>
      <c r="D224" s="1278"/>
      <c r="E224" s="703">
        <v>15</v>
      </c>
      <c r="F224" s="50" cm="1" t="str">
        <f t="array" ref="F224:F224">OFFSET(E224,-1,1)</f>
        <v>3</v>
      </c>
      <c r="G224" s="1278"/>
      <c r="H224" s="1278"/>
      <c r="I224" s="1278"/>
      <c r="J224" s="1278"/>
      <c r="K224" s="158">
        <f>first_year+40</f>
        <v>2066</v>
      </c>
      <c r="L224" s="1278"/>
      <c r="M224" s="1278"/>
      <c r="N224" s="1278"/>
      <c r="O224" s="1278"/>
      <c r="P224" s="1278"/>
      <c r="Q224" s="1278"/>
      <c r="R224" s="1278"/>
      <c r="S224" s="1278"/>
      <c r="T224" s="465" cm="1" t="str">
        <f t="array" ref="T224:T224">T223</f>
        <v>true</v>
      </c>
      <c r="U224" s="1278"/>
      <c r="V224" s="1278"/>
      <c r="W224" s="1278"/>
      <c r="X224" s="1563"/>
      <c r="Y224" s="1278"/>
      <c r="Z224" s="1546"/>
      <c r="AA224" s="1278"/>
      <c r="AB224" s="255" t="str">
        <f>K224&amp;" год"</f>
        <v>2066 год</v>
      </c>
      <c r="AC224" s="7974"/>
      <c r="AD224" s="7980"/>
      <c r="AE224" s="7981"/>
      <c r="AF224" s="7981"/>
      <c r="AG224" s="7980"/>
      <c r="AH224" s="8001"/>
      <c r="AI224" s="8001"/>
      <c r="AJ224" s="7980"/>
      <c r="AK224" s="7982"/>
      <c r="AL224" s="403"/>
      <c r="AM224" s="1278"/>
      <c r="AN224" s="1278"/>
      <c r="AO224" s="1064" cm="1" t="str">
        <f t="array" ref="AO224:AO224">K224</f>
        <v>2066</v>
      </c>
      <c r="AP224" s="1278"/>
      <c r="AQ224" s="1278"/>
    </row>
    <row s="8132" customFormat="1" customHeight="1" ht="14.25" hidden="1">
      <c r="A225" s="1278"/>
      <c r="B225" s="445">
        <f>K225&lt;first_year+PERIOD_LENGTH</f>
        <v>0</v>
      </c>
      <c r="C225" s="1278"/>
      <c r="D225" s="1278"/>
      <c r="E225" s="703">
        <v>15</v>
      </c>
      <c r="F225" s="50" cm="1" t="str">
        <f t="array" ref="F225:F225">OFFSET(E225,-1,1)</f>
        <v>3</v>
      </c>
      <c r="G225" s="1278"/>
      <c r="H225" s="1278"/>
      <c r="I225" s="1278"/>
      <c r="J225" s="1278"/>
      <c r="K225" s="158">
        <f>first_year+41</f>
        <v>2067</v>
      </c>
      <c r="L225" s="1278"/>
      <c r="M225" s="1278"/>
      <c r="N225" s="1278"/>
      <c r="O225" s="1278"/>
      <c r="P225" s="1278"/>
      <c r="Q225" s="1278"/>
      <c r="R225" s="1278"/>
      <c r="S225" s="1278"/>
      <c r="T225" s="465" cm="1" t="str">
        <f t="array" ref="T225:T225">T224</f>
        <v>true</v>
      </c>
      <c r="U225" s="1278"/>
      <c r="V225" s="1278"/>
      <c r="W225" s="1278"/>
      <c r="X225" s="1563"/>
      <c r="Y225" s="1278"/>
      <c r="Z225" s="1546"/>
      <c r="AA225" s="1278"/>
      <c r="AB225" s="255" t="str">
        <f>K225&amp;" год"</f>
        <v>2067 год</v>
      </c>
      <c r="AC225" s="7974"/>
      <c r="AD225" s="7980"/>
      <c r="AE225" s="7981"/>
      <c r="AF225" s="7981"/>
      <c r="AG225" s="7980"/>
      <c r="AH225" s="8001"/>
      <c r="AI225" s="8001"/>
      <c r="AJ225" s="7980"/>
      <c r="AK225" s="7982"/>
      <c r="AL225" s="403"/>
      <c r="AM225" s="1278"/>
      <c r="AN225" s="1278"/>
      <c r="AO225" s="1064" cm="1" t="str">
        <f t="array" ref="AO225:AO225">K225</f>
        <v>2067</v>
      </c>
      <c r="AP225" s="1278"/>
      <c r="AQ225" s="1278"/>
    </row>
    <row s="8133" customFormat="1" customHeight="1" ht="14.25" hidden="1">
      <c r="A226" s="1278"/>
      <c r="B226" s="445">
        <f>K226&lt;first_year+PERIOD_LENGTH</f>
        <v>0</v>
      </c>
      <c r="C226" s="1278"/>
      <c r="D226" s="1278"/>
      <c r="E226" s="703">
        <v>15</v>
      </c>
      <c r="F226" s="50" cm="1" t="str">
        <f t="array" ref="F226:F226">OFFSET(E226,-1,1)</f>
        <v>3</v>
      </c>
      <c r="G226" s="1278"/>
      <c r="H226" s="1278"/>
      <c r="I226" s="1278"/>
      <c r="J226" s="1278"/>
      <c r="K226" s="158">
        <f>first_year+42</f>
        <v>2068</v>
      </c>
      <c r="L226" s="1278"/>
      <c r="M226" s="1278"/>
      <c r="N226" s="1278"/>
      <c r="O226" s="1278"/>
      <c r="P226" s="1278"/>
      <c r="Q226" s="1278"/>
      <c r="R226" s="1278"/>
      <c r="S226" s="1278"/>
      <c r="T226" s="465" cm="1" t="str">
        <f t="array" ref="T226:T226">T225</f>
        <v>true</v>
      </c>
      <c r="U226" s="1278"/>
      <c r="V226" s="1278"/>
      <c r="W226" s="1278"/>
      <c r="X226" s="1563"/>
      <c r="Y226" s="1278"/>
      <c r="Z226" s="1546"/>
      <c r="AA226" s="1278"/>
      <c r="AB226" s="255" t="str">
        <f>K226&amp;" год"</f>
        <v>2068 год</v>
      </c>
      <c r="AC226" s="7974"/>
      <c r="AD226" s="7980"/>
      <c r="AE226" s="7981"/>
      <c r="AF226" s="7981"/>
      <c r="AG226" s="7980"/>
      <c r="AH226" s="8001"/>
      <c r="AI226" s="8001"/>
      <c r="AJ226" s="7980"/>
      <c r="AK226" s="7982"/>
      <c r="AL226" s="403"/>
      <c r="AM226" s="1278"/>
      <c r="AN226" s="1278"/>
      <c r="AO226" s="1064" cm="1" t="str">
        <f t="array" ref="AO226:AO226">K226</f>
        <v>2068</v>
      </c>
      <c r="AP226" s="1278"/>
      <c r="AQ226" s="1278"/>
    </row>
    <row s="8134" customFormat="1" customHeight="1" ht="14.25" hidden="1">
      <c r="A227" s="1278"/>
      <c r="B227" s="445">
        <f>K227&lt;first_year+PERIOD_LENGTH</f>
        <v>0</v>
      </c>
      <c r="C227" s="1278"/>
      <c r="D227" s="1278"/>
      <c r="E227" s="703">
        <v>15</v>
      </c>
      <c r="F227" s="50" cm="1" t="str">
        <f t="array" ref="F227:F227">OFFSET(E227,-1,1)</f>
        <v>3</v>
      </c>
      <c r="G227" s="1278"/>
      <c r="H227" s="1278"/>
      <c r="I227" s="1278"/>
      <c r="J227" s="1278"/>
      <c r="K227" s="158">
        <f>first_year+43</f>
        <v>2069</v>
      </c>
      <c r="L227" s="1278"/>
      <c r="M227" s="1278"/>
      <c r="N227" s="1278"/>
      <c r="O227" s="1278"/>
      <c r="P227" s="1278"/>
      <c r="Q227" s="1278"/>
      <c r="R227" s="1278"/>
      <c r="S227" s="1278"/>
      <c r="T227" s="465" cm="1" t="str">
        <f t="array" ref="T227:T227">T226</f>
        <v>true</v>
      </c>
      <c r="U227" s="1278"/>
      <c r="V227" s="1278"/>
      <c r="W227" s="1278"/>
      <c r="X227" s="1563"/>
      <c r="Y227" s="1278"/>
      <c r="Z227" s="1546"/>
      <c r="AA227" s="1278"/>
      <c r="AB227" s="255" t="str">
        <f>K227&amp;" год"</f>
        <v>2069 год</v>
      </c>
      <c r="AC227" s="7974"/>
      <c r="AD227" s="7980"/>
      <c r="AE227" s="7981"/>
      <c r="AF227" s="7981"/>
      <c r="AG227" s="7980"/>
      <c r="AH227" s="8001"/>
      <c r="AI227" s="8001"/>
      <c r="AJ227" s="7980"/>
      <c r="AK227" s="7982"/>
      <c r="AL227" s="403"/>
      <c r="AM227" s="1278"/>
      <c r="AN227" s="1278"/>
      <c r="AO227" s="1064" cm="1" t="str">
        <f t="array" ref="AO227:AO227">K227</f>
        <v>2069</v>
      </c>
      <c r="AP227" s="1278"/>
      <c r="AQ227" s="1278"/>
    </row>
    <row s="8135" customFormat="1" customHeight="1" ht="14.25" hidden="1">
      <c r="A228" s="1278"/>
      <c r="B228" s="445">
        <f>K228&lt;first_year+PERIOD_LENGTH</f>
        <v>0</v>
      </c>
      <c r="C228" s="1278"/>
      <c r="D228" s="1278"/>
      <c r="E228" s="703">
        <v>15</v>
      </c>
      <c r="F228" s="50" cm="1" t="str">
        <f t="array" ref="F228:F228">OFFSET(E228,-1,1)</f>
        <v>3</v>
      </c>
      <c r="G228" s="1278"/>
      <c r="H228" s="1278"/>
      <c r="I228" s="1278"/>
      <c r="J228" s="1278"/>
      <c r="K228" s="158">
        <f>first_year+44</f>
        <v>2070</v>
      </c>
      <c r="L228" s="1278"/>
      <c r="M228" s="1278"/>
      <c r="N228" s="1278"/>
      <c r="O228" s="1278"/>
      <c r="P228" s="1278"/>
      <c r="Q228" s="1278"/>
      <c r="R228" s="1278"/>
      <c r="S228" s="1278"/>
      <c r="T228" s="465" cm="1" t="str">
        <f t="array" ref="T228:T228">T227</f>
        <v>true</v>
      </c>
      <c r="U228" s="1278"/>
      <c r="V228" s="1278"/>
      <c r="W228" s="1278"/>
      <c r="X228" s="1563"/>
      <c r="Y228" s="1278"/>
      <c r="Z228" s="1546"/>
      <c r="AA228" s="1278"/>
      <c r="AB228" s="255" t="str">
        <f>K228&amp;" год"</f>
        <v>2070 год</v>
      </c>
      <c r="AC228" s="7974"/>
      <c r="AD228" s="7980"/>
      <c r="AE228" s="7981"/>
      <c r="AF228" s="7981"/>
      <c r="AG228" s="7980"/>
      <c r="AH228" s="8001"/>
      <c r="AI228" s="8001"/>
      <c r="AJ228" s="7980"/>
      <c r="AK228" s="7982"/>
      <c r="AL228" s="403"/>
      <c r="AM228" s="1278"/>
      <c r="AN228" s="1278"/>
      <c r="AO228" s="1064" cm="1" t="str">
        <f t="array" ref="AO228:AO228">K228</f>
        <v>2070</v>
      </c>
      <c r="AP228" s="1278"/>
      <c r="AQ228" s="1278"/>
    </row>
    <row s="8136" customFormat="1" customHeight="1" ht="14.25" hidden="1">
      <c r="A229" s="1278"/>
      <c r="B229" s="445">
        <f>K229&lt;first_year+PERIOD_LENGTH</f>
        <v>0</v>
      </c>
      <c r="C229" s="1278"/>
      <c r="D229" s="1278"/>
      <c r="E229" s="703">
        <v>15</v>
      </c>
      <c r="F229" s="50" cm="1" t="str">
        <f t="array" ref="F229:F229">OFFSET(E229,-1,1)</f>
        <v>3</v>
      </c>
      <c r="G229" s="1278"/>
      <c r="H229" s="1278"/>
      <c r="I229" s="1278"/>
      <c r="J229" s="1278"/>
      <c r="K229" s="158">
        <f>first_year+45</f>
        <v>2071</v>
      </c>
      <c r="L229" s="1278"/>
      <c r="M229" s="1278"/>
      <c r="N229" s="1278"/>
      <c r="O229" s="1278"/>
      <c r="P229" s="1278"/>
      <c r="Q229" s="1278"/>
      <c r="R229" s="1278"/>
      <c r="S229" s="1278"/>
      <c r="T229" s="465" cm="1" t="str">
        <f t="array" ref="T229:T229">T228</f>
        <v>true</v>
      </c>
      <c r="U229" s="1278"/>
      <c r="V229" s="1278"/>
      <c r="W229" s="1278"/>
      <c r="X229" s="1563"/>
      <c r="Y229" s="1278"/>
      <c r="Z229" s="1546"/>
      <c r="AA229" s="1278"/>
      <c r="AB229" s="255" t="str">
        <f>K229&amp;" год"</f>
        <v>2071 год</v>
      </c>
      <c r="AC229" s="7974"/>
      <c r="AD229" s="7980"/>
      <c r="AE229" s="7981"/>
      <c r="AF229" s="7981"/>
      <c r="AG229" s="7980"/>
      <c r="AH229" s="8001"/>
      <c r="AI229" s="8001"/>
      <c r="AJ229" s="7980"/>
      <c r="AK229" s="7982"/>
      <c r="AL229" s="403"/>
      <c r="AM229" s="1278"/>
      <c r="AN229" s="1278"/>
      <c r="AO229" s="1064" cm="1" t="str">
        <f t="array" ref="AO229:AO229">K229</f>
        <v>2071</v>
      </c>
      <c r="AP229" s="1278"/>
      <c r="AQ229" s="1278"/>
    </row>
    <row s="8137" customFormat="1" customHeight="1" ht="14.25" hidden="1">
      <c r="A230" s="1278"/>
      <c r="B230" s="445">
        <f>K230&lt;first_year+PERIOD_LENGTH</f>
        <v>0</v>
      </c>
      <c r="C230" s="1278"/>
      <c r="D230" s="1278"/>
      <c r="E230" s="703">
        <v>15</v>
      </c>
      <c r="F230" s="50" cm="1" t="str">
        <f t="array" ref="F230:F230">OFFSET(E230,-1,1)</f>
        <v>3</v>
      </c>
      <c r="G230" s="1278"/>
      <c r="H230" s="1278"/>
      <c r="I230" s="1278"/>
      <c r="J230" s="1278"/>
      <c r="K230" s="158">
        <f>first_year+46</f>
        <v>2072</v>
      </c>
      <c r="L230" s="1278"/>
      <c r="M230" s="1278"/>
      <c r="N230" s="1278"/>
      <c r="O230" s="1278"/>
      <c r="P230" s="1278"/>
      <c r="Q230" s="1278"/>
      <c r="R230" s="1278"/>
      <c r="S230" s="1278"/>
      <c r="T230" s="465" cm="1" t="str">
        <f t="array" ref="T230:T230">T229</f>
        <v>true</v>
      </c>
      <c r="U230" s="1278"/>
      <c r="V230" s="1278"/>
      <c r="W230" s="1278"/>
      <c r="X230" s="1563"/>
      <c r="Y230" s="1278"/>
      <c r="Z230" s="1546"/>
      <c r="AA230" s="1278"/>
      <c r="AB230" s="255" t="str">
        <f>K230&amp;" год"</f>
        <v>2072 год</v>
      </c>
      <c r="AC230" s="7974"/>
      <c r="AD230" s="7980"/>
      <c r="AE230" s="7981"/>
      <c r="AF230" s="7981"/>
      <c r="AG230" s="7980"/>
      <c r="AH230" s="8001"/>
      <c r="AI230" s="8001"/>
      <c r="AJ230" s="7980"/>
      <c r="AK230" s="7982"/>
      <c r="AL230" s="403"/>
      <c r="AM230" s="1278"/>
      <c r="AN230" s="1278"/>
      <c r="AO230" s="1064" cm="1" t="str">
        <f t="array" ref="AO230:AO230">K230</f>
        <v>2072</v>
      </c>
      <c r="AP230" s="1278"/>
      <c r="AQ230" s="1278"/>
    </row>
    <row s="8138" customFormat="1" customHeight="1" ht="14.25" hidden="1">
      <c r="A231" s="1278"/>
      <c r="B231" s="445">
        <f>K231&lt;first_year+PERIOD_LENGTH</f>
        <v>0</v>
      </c>
      <c r="C231" s="1278"/>
      <c r="D231" s="1278"/>
      <c r="E231" s="703">
        <v>15</v>
      </c>
      <c r="F231" s="50" cm="1" t="str">
        <f t="array" ref="F231:F231">OFFSET(E231,-1,1)</f>
        <v>3</v>
      </c>
      <c r="G231" s="1278"/>
      <c r="H231" s="1278"/>
      <c r="I231" s="1278"/>
      <c r="J231" s="1278"/>
      <c r="K231" s="158">
        <f>first_year+47</f>
        <v>2073</v>
      </c>
      <c r="L231" s="1278"/>
      <c r="M231" s="1278"/>
      <c r="N231" s="1278"/>
      <c r="O231" s="1278"/>
      <c r="P231" s="1278"/>
      <c r="Q231" s="1278"/>
      <c r="R231" s="1278"/>
      <c r="S231" s="1278"/>
      <c r="T231" s="465" cm="1" t="str">
        <f t="array" ref="T231:T231">T230</f>
        <v>true</v>
      </c>
      <c r="U231" s="1278"/>
      <c r="V231" s="1278"/>
      <c r="W231" s="1278"/>
      <c r="X231" s="1563"/>
      <c r="Y231" s="1278"/>
      <c r="Z231" s="1546"/>
      <c r="AA231" s="1278"/>
      <c r="AB231" s="255" t="str">
        <f>K231&amp;" год"</f>
        <v>2073 год</v>
      </c>
      <c r="AC231" s="7974"/>
      <c r="AD231" s="7980"/>
      <c r="AE231" s="7981"/>
      <c r="AF231" s="7981"/>
      <c r="AG231" s="7980"/>
      <c r="AH231" s="8001"/>
      <c r="AI231" s="8001"/>
      <c r="AJ231" s="7980"/>
      <c r="AK231" s="7982"/>
      <c r="AL231" s="403"/>
      <c r="AM231" s="1278"/>
      <c r="AN231" s="1278"/>
      <c r="AO231" s="1064" cm="1" t="str">
        <f t="array" ref="AO231:AO231">K231</f>
        <v>2073</v>
      </c>
      <c r="AP231" s="1278"/>
      <c r="AQ231" s="1278"/>
    </row>
    <row s="8139" customFormat="1" customHeight="1" ht="14.25" hidden="1">
      <c r="A232" s="1278"/>
      <c r="B232" s="445">
        <f>K232&lt;first_year+PERIOD_LENGTH</f>
        <v>0</v>
      </c>
      <c r="C232" s="1278"/>
      <c r="D232" s="1278"/>
      <c r="E232" s="703">
        <v>15</v>
      </c>
      <c r="F232" s="50" cm="1" t="str">
        <f t="array" ref="F232:F232">OFFSET(E232,-1,1)</f>
        <v>3</v>
      </c>
      <c r="G232" s="1278"/>
      <c r="H232" s="1278"/>
      <c r="I232" s="1278"/>
      <c r="J232" s="1278"/>
      <c r="K232" s="158">
        <f>first_year+48</f>
        <v>2074</v>
      </c>
      <c r="L232" s="1278"/>
      <c r="M232" s="1278"/>
      <c r="N232" s="1278"/>
      <c r="O232" s="1278"/>
      <c r="P232" s="1278"/>
      <c r="Q232" s="1278"/>
      <c r="R232" s="1278"/>
      <c r="S232" s="1278"/>
      <c r="T232" s="465" cm="1" t="str">
        <f t="array" ref="T232:T232">T231</f>
        <v>true</v>
      </c>
      <c r="U232" s="1278"/>
      <c r="V232" s="1278"/>
      <c r="W232" s="1278"/>
      <c r="X232" s="1563"/>
      <c r="Y232" s="1278"/>
      <c r="Z232" s="1546"/>
      <c r="AA232" s="1278"/>
      <c r="AB232" s="255" t="str">
        <f>K232&amp;" год"</f>
        <v>2074 год</v>
      </c>
      <c r="AC232" s="7974"/>
      <c r="AD232" s="7980"/>
      <c r="AE232" s="7981"/>
      <c r="AF232" s="7981"/>
      <c r="AG232" s="7980"/>
      <c r="AH232" s="8001"/>
      <c r="AI232" s="8001"/>
      <c r="AJ232" s="7980"/>
      <c r="AK232" s="7982"/>
      <c r="AL232" s="403"/>
      <c r="AM232" s="1278"/>
      <c r="AN232" s="1278"/>
      <c r="AO232" s="1064" cm="1" t="str">
        <f t="array" ref="AO232:AO232">K232</f>
        <v>2074</v>
      </c>
      <c r="AP232" s="1278"/>
      <c r="AQ232" s="1278"/>
    </row>
    <row s="8140" customFormat="1" customHeight="1" ht="14.25" hidden="1">
      <c r="A233" s="1278"/>
      <c r="B233" s="445">
        <f>K233&lt;first_year+PERIOD_LENGTH</f>
        <v>0</v>
      </c>
      <c r="C233" s="1278"/>
      <c r="D233" s="1278"/>
      <c r="E233" s="703">
        <v>15</v>
      </c>
      <c r="F233" s="50" cm="1" t="str">
        <f t="array" ref="F233:F233">OFFSET(E233,-1,1)</f>
        <v>3</v>
      </c>
      <c r="G233" s="1278"/>
      <c r="H233" s="1278"/>
      <c r="I233" s="1278"/>
      <c r="J233" s="1278"/>
      <c r="K233" s="158">
        <f>first_year+49</f>
        <v>2075</v>
      </c>
      <c r="L233" s="1278"/>
      <c r="M233" s="1278"/>
      <c r="N233" s="1278"/>
      <c r="O233" s="1278"/>
      <c r="P233" s="1278"/>
      <c r="Q233" s="1278"/>
      <c r="R233" s="1278"/>
      <c r="S233" s="1278"/>
      <c r="T233" s="465" cm="1" t="str">
        <f t="array" ref="T233:T233">T232</f>
        <v>true</v>
      </c>
      <c r="U233" s="1278"/>
      <c r="V233" s="1278"/>
      <c r="W233" s="1278"/>
      <c r="X233" s="1563"/>
      <c r="Y233" s="1278"/>
      <c r="Z233" s="1546"/>
      <c r="AA233" s="1278"/>
      <c r="AB233" s="255" t="str">
        <f>K233&amp;" год"</f>
        <v>2075 год</v>
      </c>
      <c r="AC233" s="7974"/>
      <c r="AD233" s="7980"/>
      <c r="AE233" s="7981"/>
      <c r="AF233" s="7981"/>
      <c r="AG233" s="7980"/>
      <c r="AH233" s="8001"/>
      <c r="AI233" s="8001"/>
      <c r="AJ233" s="7980"/>
      <c r="AK233" s="7982"/>
      <c r="AL233" s="403"/>
      <c r="AM233" s="1278"/>
      <c r="AN233" s="1278"/>
      <c r="AO233" s="1064" cm="1" t="str">
        <f t="array" ref="AO233:AO233">K233</f>
        <v>2075</v>
      </c>
      <c r="AP233" s="1278"/>
      <c r="AQ233" s="1278"/>
    </row>
    <row s="538" customFormat="1" customHeight="1" ht="14.25">
      <c r="A234" s="1758"/>
      <c r="B234" s="428"/>
      <c r="C234" s="1758"/>
      <c r="D234" s="1758"/>
      <c r="E234" s="618">
        <v>15</v>
      </c>
      <c r="F234" s="98" cm="1" t="str">
        <f t="array" ref="F234:F234">X234</f>
        <v>4</v>
      </c>
      <c r="G234" s="1758"/>
      <c r="H234" s="1758"/>
      <c r="I234" s="1758"/>
      <c r="J234" s="1758"/>
      <c r="K234" s="1758"/>
      <c r="L234" s="1758"/>
      <c r="M234" s="1758"/>
      <c r="N234" s="1758"/>
      <c r="O234" s="1758"/>
      <c r="P234" s="1758"/>
      <c r="Q234" s="1758"/>
      <c r="R234" s="1758"/>
      <c r="S234" s="1758"/>
      <c r="T234" s="465">
        <f>X234&gt;0</f>
        <v>1</v>
      </c>
      <c r="U234" s="1758"/>
      <c r="V234" s="122" cm="1" t="str">
        <f t="array" ref="V234:V234">'Калькуляция (МИ корр)'!$AB$603</f>
        <v>Тариф 4 (Водоотведение) - тариф на водоотведение (Доп. признак не требуется)</v>
      </c>
      <c r="W234" s="1758"/>
      <c r="X234" s="1563" t="s">
        <v>295</v>
      </c>
      <c r="Y234" s="1758"/>
      <c r="Z234" s="1546"/>
      <c r="AA234" s="1758"/>
      <c r="AB234" s="381" cm="1" t="str">
        <f t="array" ref="AB234:AB234">'Калькуляция (МИ корр)'!$AB$603</f>
        <v>Тариф 4 (Водоотведение) - тариф на водоотведение (Доп. признак не требуется)</v>
      </c>
      <c r="AC234" s="832"/>
      <c r="AD234" s="832"/>
      <c r="AE234" s="832"/>
      <c r="AF234" s="832"/>
      <c r="AG234" s="832"/>
      <c r="AH234" s="832"/>
      <c r="AI234" s="832"/>
      <c r="AJ234" s="832"/>
      <c r="AK234" s="832"/>
      <c r="AL234" s="402"/>
      <c r="AM234" s="1758"/>
      <c r="AN234" s="1758"/>
      <c r="AO234" s="997"/>
      <c r="AP234" s="1758"/>
      <c r="AQ234" s="1758"/>
    </row>
    <row s="8141" customFormat="1" customHeight="1" ht="14.25">
      <c r="A235" s="1278"/>
      <c r="B235" s="445">
        <f>K235&lt;first_year+PERIOD_LENGTH</f>
        <v>1</v>
      </c>
      <c r="C235" s="1278"/>
      <c r="D235" s="1278"/>
      <c r="E235" s="703">
        <v>15</v>
      </c>
      <c r="F235" s="50" cm="1" t="str">
        <f t="array" ref="F235:F235">OFFSET(E235,-1,1)</f>
        <v>4</v>
      </c>
      <c r="G235" s="1278"/>
      <c r="H235" s="1278"/>
      <c r="I235" s="1278"/>
      <c r="J235" s="1278"/>
      <c r="K235" s="158" cm="1" t="str">
        <f t="array" ref="K235:K235">first_year</f>
        <v>2026</v>
      </c>
      <c r="L235" s="1278"/>
      <c r="M235" s="1278"/>
      <c r="N235" s="1278"/>
      <c r="O235" s="1278"/>
      <c r="P235" s="1278"/>
      <c r="Q235" s="1278"/>
      <c r="R235" s="1278"/>
      <c r="S235" s="1278"/>
      <c r="T235" s="465" cm="1" t="str">
        <f t="array" ref="T235:T235">T234</f>
        <v>true</v>
      </c>
      <c r="U235" s="1278"/>
      <c r="V235" s="1278"/>
      <c r="W235" s="1278"/>
      <c r="X235" s="1563"/>
      <c r="Y235" s="1278"/>
      <c r="Z235" s="1546"/>
      <c r="AA235" s="1278"/>
      <c r="AB235" s="833" t="str">
        <f>K235&amp;" год"</f>
        <v>2026 год</v>
      </c>
      <c r="AC235" s="921">
        <f>IF(god=first_year,_xlfn.SUMIFS('Калькуляция (МИ)'!AT$26:AT$747,'Калькуляция (МИ)'!F$26:F$747,F235,'Калькуляция (МИ)'!AC$26:AC$747,"операционные расходы"),IF(god&lt;first_year+3,_xlfn.IFERROR(_xlfn.SUMIFS(INDEX('Калькуляция (МИ корр)'!$AE$25:$BC$747,,MATCH(K235&amp;"Принято органом регулирования",'Калькуляция (МИ корр)'!$AE$8:$BC$8,0)),'Калькуляция (МИ корр)'!$F$25:$F$747,F235,'Калькуляция (МИ корр)'!$AC$25:$AC$747,"Операционные расходы"),0),""))</f>
        <v>112322.901770886</v>
      </c>
      <c r="AD235" s="835">
        <f>_xlfn.IFERROR(_xlfn.SUMIFS(INDEX(Сценарии!$AE$25:$BF$163,,MATCH($K235&amp;"Принято органом регулирования",Сценарии!$AE$8:$BF$8,0)),Сценарии!$F$25:$F$163,$F235,Сценарии!$AC$25:$AC$163,"Индекс эффективности операционных расходов"),0)</f>
        <v>0</v>
      </c>
      <c r="AE235" s="834"/>
      <c r="AF235" s="834">
        <f>_xlfn.IFERROR(_xlfn.SUMIFS(INDEX(Баланс!$AE$25:$BB$482,,MATCH($K235&amp;"Принято органом регулирования",Баланс!$AE$8:$BB$8,0)),Баланс!$F$25:$F$482,$F235,Баланс!$AC$24:$AC$482,"Уровень потерь воды"),0)</f>
        <v>0</v>
      </c>
      <c r="AG235" s="1264">
        <f>_xlfn.IFERROR(_xlfn.SUMIFS(INDEX(Electricity_LOAD_1,,MATCH($K235&amp;"Принято органом регулирования",ЭЭ!$AE$8:$BB$8,0)),ЭЭ!$F$25:$F$189,$F235,ЭЭ!$AC$25:$AC$189,"Удельный расход электроэнергии"),0)</f>
        <v>0.331684644396548</v>
      </c>
      <c r="AH235" s="7988"/>
      <c r="AI235" s="7988"/>
      <c r="AJ235" s="7973">
        <f>_xlfn.IFERROR(_xlfn.SUMIFS(INDEX(Electricity_LOAD_1,,MATCH($K235&amp;"Принято органом регулирования",ЭЭ!$AE$8:$BB$8,0)),ЭЭ!$F$25:$F$189,$F235,ЭЭ!$AC$25:$AC$189,"Удельный расход электроэнергии"),0)</f>
        <v>0.331684644396548</v>
      </c>
      <c r="AK235" s="7973">
        <f>_xlfn.IFERROR(_xlfn.SUMIFS(INDEX(Electricity_LOAD_1,,MATCH($K235&amp;"Принято органом регулирования",ЭЭ!$AE$8:$BB$8,0)),ЭЭ!$F$25:$F$189,$F235,ЭЭ!$AC$25:$AC$189,"Удельный расход электроэнергии"),0)</f>
        <v>0.331684644396548</v>
      </c>
      <c r="AL235" s="403"/>
      <c r="AM235" s="158" t="s">
        <v>2975</v>
      </c>
      <c r="AN235" s="1278"/>
      <c r="AO235" s="1064" cm="1" t="str">
        <f t="array" ref="AO235:AO235">K235</f>
        <v>2026</v>
      </c>
      <c r="AP235" s="1278"/>
      <c r="AQ235" s="1278"/>
    </row>
    <row s="8142" customFormat="1" customHeight="1" ht="14.25">
      <c r="A236" s="1278"/>
      <c r="B236" s="445">
        <f>K236&lt;first_year+PERIOD_LENGTH</f>
        <v>1</v>
      </c>
      <c r="C236" s="1278"/>
      <c r="D236" s="1278"/>
      <c r="E236" s="703">
        <v>15</v>
      </c>
      <c r="F236" s="50" cm="1" t="str">
        <f t="array" ref="F236:F236">OFFSET(E236,-1,1)</f>
        <v>4</v>
      </c>
      <c r="G236" s="1278"/>
      <c r="H236" s="1278"/>
      <c r="I236" s="1278"/>
      <c r="J236" s="1278"/>
      <c r="K236" s="158">
        <f>first_year+1</f>
        <v>2027</v>
      </c>
      <c r="L236" s="1278"/>
      <c r="M236" s="1278"/>
      <c r="N236" s="1278"/>
      <c r="O236" s="1278"/>
      <c r="P236" s="1278"/>
      <c r="Q236" s="1278"/>
      <c r="R236" s="1278"/>
      <c r="S236" s="1278"/>
      <c r="T236" s="465" cm="1" t="str">
        <f t="array" ref="T236:T236">T235</f>
        <v>true</v>
      </c>
      <c r="U236" s="1278"/>
      <c r="V236" s="1278"/>
      <c r="W236" s="1278"/>
      <c r="X236" s="1563"/>
      <c r="Y236" s="1278"/>
      <c r="Z236" s="1546"/>
      <c r="AA236" s="1278"/>
      <c r="AB236" s="833" t="str">
        <f>K236&amp;" год"</f>
        <v>2027 год</v>
      </c>
      <c r="AC236" s="834"/>
      <c r="AD236" s="835">
        <f>_xlfn.IFERROR(_xlfn.SUMIFS(INDEX(Сценарии!$AE$25:$BF$163,,MATCH($K236&amp;"Принято органом регулирования",Сценарии!$AE$8:$BF$8,0)),Сценарии!$F$25:$F$163,$F236,Сценарии!$AC$25:$AC$163,"Индекс эффективности операционных расходов"),0)</f>
        <v>1</v>
      </c>
      <c r="AE236" s="834"/>
      <c r="AF236" s="834">
        <f>_xlfn.IFERROR(_xlfn.SUMIFS(INDEX(Баланс!$AE$25:$BB$482,,MATCH($K236&amp;"Принято органом регулирования",Баланс!$AE$8:$BB$8,0)),Баланс!$F$25:$F$482,$F236,Баланс!$AC$24:$AC$482,"Уровень потерь воды"),0)</f>
        <v>0</v>
      </c>
      <c r="AG236" s="1264">
        <f>_xlfn.IFERROR(_xlfn.SUMIFS(INDEX(Electricity_LOAD_1,,MATCH($K236&amp;"Принято органом регулирования",ЭЭ!$AE$8:$BB$8,0)),ЭЭ!$F$25:$F$189,$F236,ЭЭ!$AC$25:$AC$189,"Удельный расход электроэнергии"),0)</f>
        <v>0.331684644396548</v>
      </c>
      <c r="AH236" s="7988"/>
      <c r="AI236" s="7988"/>
      <c r="AJ236" s="7973">
        <f>_xlfn.IFERROR(_xlfn.SUMIFS(INDEX(Electricity_LOAD_1,,MATCH($K236&amp;"Принято органом регулирования",ЭЭ!$AE$8:$BB$8,0)),ЭЭ!$F$25:$F$189,$F236,ЭЭ!$AC$25:$AC$189,"Удельный расход электроэнергии"),0)</f>
        <v>0.331684644396548</v>
      </c>
      <c r="AK236" s="7973">
        <f>_xlfn.IFERROR(_xlfn.SUMIFS(INDEX(Electricity_LOAD_1,,MATCH($K236&amp;"Принято органом регулирования",ЭЭ!$AE$8:$BB$8,0)),ЭЭ!$F$25:$F$189,$F236,ЭЭ!$AC$25:$AC$189,"Удельный расход электроэнергии"),0)</f>
        <v>0.331684644396548</v>
      </c>
      <c r="AL236" s="403"/>
      <c r="AM236" s="1278" t="s">
        <v>2975</v>
      </c>
      <c r="AN236" s="1278"/>
      <c r="AO236" s="1064" cm="1" t="str">
        <f t="array" ref="AO236:AO236">K236</f>
        <v>2027</v>
      </c>
      <c r="AP236" s="1278"/>
      <c r="AQ236" s="1278"/>
    </row>
    <row s="8143" customFormat="1" customHeight="1" ht="14.25">
      <c r="A237" s="1278"/>
      <c r="B237" s="445">
        <f>K237&lt;first_year+PERIOD_LENGTH</f>
        <v>1</v>
      </c>
      <c r="C237" s="1278"/>
      <c r="D237" s="1278"/>
      <c r="E237" s="703">
        <v>15</v>
      </c>
      <c r="F237" s="50" cm="1" t="str">
        <f t="array" ref="F237:F237">OFFSET(E237,-1,1)</f>
        <v>4</v>
      </c>
      <c r="G237" s="1278"/>
      <c r="H237" s="1278"/>
      <c r="I237" s="1278"/>
      <c r="J237" s="1278"/>
      <c r="K237" s="158">
        <f>first_year+2</f>
        <v>2028</v>
      </c>
      <c r="L237" s="1278"/>
      <c r="M237" s="1278"/>
      <c r="N237" s="1278"/>
      <c r="O237" s="1278"/>
      <c r="P237" s="1278"/>
      <c r="Q237" s="1278"/>
      <c r="R237" s="1278"/>
      <c r="S237" s="1278"/>
      <c r="T237" s="465" cm="1" t="str">
        <f t="array" ref="T237:T237">T236</f>
        <v>true</v>
      </c>
      <c r="U237" s="1278"/>
      <c r="V237" s="1278"/>
      <c r="W237" s="1278"/>
      <c r="X237" s="1563"/>
      <c r="Y237" s="1278"/>
      <c r="Z237" s="1546"/>
      <c r="AA237" s="1278"/>
      <c r="AB237" s="833" t="str">
        <f>K237&amp;" год"</f>
        <v>2028 год</v>
      </c>
      <c r="AC237" s="834"/>
      <c r="AD237" s="835">
        <f>_xlfn.IFERROR(_xlfn.SUMIFS(INDEX(Сценарии!$AE$25:$BF$163,,MATCH($K237&amp;"Принято органом регулирования",Сценарии!$AE$8:$BF$8,0)),Сценарии!$F$25:$F$163,$F237,Сценарии!$AC$25:$AC$163,"Индекс эффективности операционных расходов"),0)</f>
        <v>1</v>
      </c>
      <c r="AE237" s="834"/>
      <c r="AF237" s="834">
        <f>_xlfn.IFERROR(_xlfn.SUMIFS(INDEX(Баланс!$AE$25:$BB$482,,MATCH($K237&amp;"Принято органом регулирования",Баланс!$AE$8:$BB$8,0)),Баланс!$F$25:$F$482,$F237,Баланс!$AC$24:$AC$482,"Уровень потерь воды"),0)</f>
        <v>0</v>
      </c>
      <c r="AG237" s="1264">
        <f>_xlfn.IFERROR(_xlfn.SUMIFS(INDEX(Electricity_LOAD_1,,MATCH($K237&amp;"Принято органом регулирования",ЭЭ!$AE$8:$BB$8,0)),ЭЭ!$F$25:$F$189,$F237,ЭЭ!$AC$25:$AC$189,"Удельный расход электроэнергии"),0)</f>
        <v>0.331684644396548</v>
      </c>
      <c r="AH237" s="7988"/>
      <c r="AI237" s="7988"/>
      <c r="AJ237" s="7973">
        <f>_xlfn.IFERROR(_xlfn.SUMIFS(INDEX(Electricity_LOAD_1,,MATCH($K237&amp;"Принято органом регулирования",ЭЭ!$AE$8:$BB$8,0)),ЭЭ!$F$25:$F$189,$F237,ЭЭ!$AC$25:$AC$189,"Удельный расход электроэнергии"),0)</f>
        <v>0.331684644396548</v>
      </c>
      <c r="AK237" s="7973">
        <f>_xlfn.IFERROR(_xlfn.SUMIFS(INDEX(Electricity_LOAD_1,,MATCH($K237&amp;"Принято органом регулирования",ЭЭ!$AE$8:$BB$8,0)),ЭЭ!$F$25:$F$189,$F237,ЭЭ!$AC$25:$AC$189,"Удельный расход электроэнергии"),0)</f>
        <v>0.331684644396548</v>
      </c>
      <c r="AL237" s="403"/>
      <c r="AM237" s="1278" t="s">
        <v>2975</v>
      </c>
      <c r="AN237" s="1278"/>
      <c r="AO237" s="1064" cm="1" t="str">
        <f t="array" ref="AO237:AO237">K237</f>
        <v>2028</v>
      </c>
      <c r="AP237" s="1278"/>
      <c r="AQ237" s="1278"/>
    </row>
    <row s="8144" customFormat="1" customHeight="1" ht="14.25">
      <c r="A238" s="1278"/>
      <c r="B238" s="445">
        <f>K238&lt;first_year+PERIOD_LENGTH</f>
        <v>1</v>
      </c>
      <c r="C238" s="1278"/>
      <c r="D238" s="1278"/>
      <c r="E238" s="703">
        <v>15</v>
      </c>
      <c r="F238" s="50" cm="1" t="str">
        <f t="array" ref="F238:F238">OFFSET(E238,-1,1)</f>
        <v>4</v>
      </c>
      <c r="G238" s="1278"/>
      <c r="H238" s="1278"/>
      <c r="I238" s="1278"/>
      <c r="J238" s="1278"/>
      <c r="K238" s="158">
        <f>first_year+3</f>
        <v>2029</v>
      </c>
      <c r="L238" s="1278"/>
      <c r="M238" s="1278"/>
      <c r="N238" s="1278"/>
      <c r="O238" s="1278"/>
      <c r="P238" s="1278"/>
      <c r="Q238" s="1278"/>
      <c r="R238" s="1278"/>
      <c r="S238" s="1278"/>
      <c r="T238" s="465" cm="1" t="str">
        <f t="array" ref="T238:T238">T237</f>
        <v>true</v>
      </c>
      <c r="U238" s="1278"/>
      <c r="V238" s="1278"/>
      <c r="W238" s="1278"/>
      <c r="X238" s="1563"/>
      <c r="Y238" s="1278"/>
      <c r="Z238" s="1546"/>
      <c r="AA238" s="1278"/>
      <c r="AB238" s="833" t="str">
        <f>K238&amp;" год"</f>
        <v>2029 год</v>
      </c>
      <c r="AC238" s="834"/>
      <c r="AD238" s="835">
        <f>_xlfn.IFERROR(_xlfn.SUMIFS(INDEX(Сценарии!$AE$25:$BF$163,,MATCH($K238&amp;"Принято органом регулирования",Сценарии!$AE$8:$BF$8,0)),Сценарии!$F$25:$F$163,$F238,Сценарии!$AC$25:$AC$163,"Индекс эффективности операционных расходов"),0)</f>
        <v>1</v>
      </c>
      <c r="AE238" s="834"/>
      <c r="AF238" s="834">
        <f>_xlfn.IFERROR(_xlfn.SUMIFS(INDEX(Баланс!$AE$25:$BB$482,,MATCH($K238&amp;"Принято органом регулирования",Баланс!$AE$8:$BB$8,0)),Баланс!$F$25:$F$482,$F238,Баланс!$AC$24:$AC$482,"Уровень потерь воды"),0)</f>
        <v>0</v>
      </c>
      <c r="AG238" s="1264">
        <f>_xlfn.IFERROR(_xlfn.SUMIFS(INDEX(Electricity_LOAD_1,,MATCH($K238&amp;"Принято органом регулирования",ЭЭ!$AE$8:$BB$8,0)),ЭЭ!$F$25:$F$189,$F238,ЭЭ!$AC$25:$AC$189,"Удельный расход электроэнергии"),0)</f>
        <v>0.331684644396548</v>
      </c>
      <c r="AH238" s="7988"/>
      <c r="AI238" s="7988"/>
      <c r="AJ238" s="7973">
        <f>_xlfn.IFERROR(_xlfn.SUMIFS(INDEX(Electricity_LOAD_1,,MATCH($K238&amp;"Принято органом регулирования",ЭЭ!$AE$8:$BB$8,0)),ЭЭ!$F$25:$F$189,$F238,ЭЭ!$AC$25:$AC$189,"Удельный расход электроэнергии"),0)</f>
        <v>0.331684644396548</v>
      </c>
      <c r="AK238" s="7973">
        <f>_xlfn.IFERROR(_xlfn.SUMIFS(INDEX(Electricity_LOAD_1,,MATCH($K238&amp;"Принято органом регулирования",ЭЭ!$AE$8:$BB$8,0)),ЭЭ!$F$25:$F$189,$F238,ЭЭ!$AC$25:$AC$189,"Удельный расход электроэнергии"),0)</f>
        <v>0.331684644396548</v>
      </c>
      <c r="AL238" s="403"/>
      <c r="AM238" s="1278" t="s">
        <v>2975</v>
      </c>
      <c r="AN238" s="1278"/>
      <c r="AO238" s="1064" cm="1" t="str">
        <f t="array" ref="AO238:AO238">K238</f>
        <v>2029</v>
      </c>
      <c r="AP238" s="1278"/>
      <c r="AQ238" s="1278"/>
    </row>
    <row s="8145" customFormat="1" customHeight="1" ht="14.25">
      <c r="A239" s="1278"/>
      <c r="B239" s="445">
        <f>K239&lt;first_year+PERIOD_LENGTH</f>
        <v>1</v>
      </c>
      <c r="C239" s="1278"/>
      <c r="D239" s="1278"/>
      <c r="E239" s="703">
        <v>15</v>
      </c>
      <c r="F239" s="50" cm="1" t="str">
        <f t="array" ref="F239:F239">OFFSET(E239,-1,1)</f>
        <v>4</v>
      </c>
      <c r="G239" s="1278"/>
      <c r="H239" s="1278"/>
      <c r="I239" s="1278"/>
      <c r="J239" s="1278"/>
      <c r="K239" s="158">
        <f>first_year+4</f>
        <v>2030</v>
      </c>
      <c r="L239" s="1278"/>
      <c r="M239" s="1278"/>
      <c r="N239" s="1278"/>
      <c r="O239" s="1278"/>
      <c r="P239" s="1278"/>
      <c r="Q239" s="1278"/>
      <c r="R239" s="1278"/>
      <c r="S239" s="1278"/>
      <c r="T239" s="465" cm="1" t="str">
        <f t="array" ref="T239:T239">T238</f>
        <v>true</v>
      </c>
      <c r="U239" s="1278"/>
      <c r="V239" s="1278"/>
      <c r="W239" s="1278"/>
      <c r="X239" s="1563"/>
      <c r="Y239" s="1278"/>
      <c r="Z239" s="1546"/>
      <c r="AA239" s="1278"/>
      <c r="AB239" s="833" t="str">
        <f>K239&amp;" год"</f>
        <v>2030 год</v>
      </c>
      <c r="AC239" s="834"/>
      <c r="AD239" s="835">
        <f>_xlfn.IFERROR(_xlfn.SUMIFS(INDEX(Сценарии!$AE$25:$BF$163,,MATCH($K239&amp;"Принято органом регулирования",Сценарии!$AE$8:$BF$8,0)),Сценарии!$F$25:$F$163,$F239,Сценарии!$AC$25:$AC$163,"Индекс эффективности операционных расходов"),0)</f>
        <v>1</v>
      </c>
      <c r="AE239" s="834"/>
      <c r="AF239" s="834">
        <f>_xlfn.IFERROR(_xlfn.SUMIFS(INDEX(Баланс!$AE$25:$BB$482,,MATCH($K239&amp;"Принято органом регулирования",Баланс!$AE$8:$BB$8,0)),Баланс!$F$25:$F$482,$F239,Баланс!$AC$24:$AC$482,"Уровень потерь воды"),0)</f>
        <v>0</v>
      </c>
      <c r="AG239" s="1264">
        <f>_xlfn.IFERROR(_xlfn.SUMIFS(INDEX(Electricity_LOAD_1,,MATCH($K239&amp;"Принято органом регулирования",ЭЭ!$AE$8:$BB$8,0)),ЭЭ!$F$25:$F$189,$F239,ЭЭ!$AC$25:$AC$189,"Удельный расход электроэнергии"),0)</f>
        <v>0.331684644396548</v>
      </c>
      <c r="AH239" s="7988"/>
      <c r="AI239" s="7988"/>
      <c r="AJ239" s="7973">
        <f>_xlfn.IFERROR(_xlfn.SUMIFS(INDEX(Electricity_LOAD_1,,MATCH($K239&amp;"Принято органом регулирования",ЭЭ!$AE$8:$BB$8,0)),ЭЭ!$F$25:$F$189,$F239,ЭЭ!$AC$25:$AC$189,"Удельный расход электроэнергии"),0)</f>
        <v>0.331684644396548</v>
      </c>
      <c r="AK239" s="7973">
        <f>_xlfn.IFERROR(_xlfn.SUMIFS(INDEX(Electricity_LOAD_1,,MATCH($K239&amp;"Принято органом регулирования",ЭЭ!$AE$8:$BB$8,0)),ЭЭ!$F$25:$F$189,$F239,ЭЭ!$AC$25:$AC$189,"Удельный расход электроэнергии"),0)</f>
        <v>0.331684644396548</v>
      </c>
      <c r="AL239" s="403"/>
      <c r="AM239" s="1278" t="s">
        <v>2975</v>
      </c>
      <c r="AN239" s="1278"/>
      <c r="AO239" s="1064" cm="1" t="str">
        <f t="array" ref="AO239:AO239">K239</f>
        <v>2030</v>
      </c>
      <c r="AP239" s="1278"/>
      <c r="AQ239" s="1278"/>
    </row>
    <row s="8146" customFormat="1" customHeight="1" ht="14.25" hidden="1">
      <c r="A240" s="1278"/>
      <c r="B240" s="445">
        <f>K240&lt;first_year+PERIOD_LENGTH</f>
        <v>0</v>
      </c>
      <c r="C240" s="1278"/>
      <c r="D240" s="1278"/>
      <c r="E240" s="703">
        <v>15</v>
      </c>
      <c r="F240" s="50" cm="1" t="str">
        <f t="array" ref="F240:F240">OFFSET(E240,-1,1)</f>
        <v>4</v>
      </c>
      <c r="G240" s="1278"/>
      <c r="H240" s="1278"/>
      <c r="I240" s="1278"/>
      <c r="J240" s="1278"/>
      <c r="K240" s="158">
        <f>first_year+5</f>
        <v>2031</v>
      </c>
      <c r="L240" s="1278"/>
      <c r="M240" s="1278"/>
      <c r="N240" s="1278"/>
      <c r="O240" s="1278"/>
      <c r="P240" s="1278"/>
      <c r="Q240" s="1278"/>
      <c r="R240" s="1278"/>
      <c r="S240" s="1278"/>
      <c r="T240" s="465" cm="1" t="str">
        <f t="array" ref="T240:T240">T239</f>
        <v>true</v>
      </c>
      <c r="U240" s="1278"/>
      <c r="V240" s="1278"/>
      <c r="W240" s="1278"/>
      <c r="X240" s="1563"/>
      <c r="Y240" s="1278"/>
      <c r="Z240" s="1546"/>
      <c r="AA240" s="1278"/>
      <c r="AB240" s="833" t="str">
        <f>K240&amp;" год"</f>
        <v>2031 год</v>
      </c>
      <c r="AC240" s="7974"/>
      <c r="AD240" s="7973">
        <f>_xlfn.IFERROR(_xlfn.SUMIFS(INDEX(Сценарии!$AE$25:$BF$163,,MATCH($K240&amp;"Принято органом регулирования",Сценарии!$AE$8:$BF$8,0)),Сценарии!$F$25:$F$163,$F240,Сценарии!$AC$25:$AC$163,"Индекс эффективности операционных расходов"),0)</f>
        <v>0</v>
      </c>
      <c r="AE240" s="7974"/>
      <c r="AF240" s="7974">
        <f>_xlfn.IFERROR(_xlfn.SUMIFS(INDEX(Баланс!$AE$25:$BB$482,,MATCH($K240&amp;"Принято органом регулирования",Баланс!$AE$8:$BB$8,0)),Баланс!$F$25:$F$482,$F240,Баланс!$AC$24:$AC$482,"Уровень потерь воды"),0)</f>
        <v>0</v>
      </c>
      <c r="AG240" s="7975">
        <f>_xlfn.IFERROR(_xlfn.SUMIFS(INDEX(Electricity_LOAD_1,,MATCH($K240&amp;"Принято органом регулирования",ЭЭ!$AE$8:$BB$8,0)),ЭЭ!$F$25:$F$189,$F240,ЭЭ!$AC$25:$AC$189,"Удельный расход электроэнергии"),0)</f>
        <v>0</v>
      </c>
      <c r="AH240" s="7988"/>
      <c r="AI240" s="7988"/>
      <c r="AJ240" s="7973">
        <f>_xlfn.IFERROR(_xlfn.SUMIFS(INDEX(Electricity_LOAD_1,,MATCH($K240&amp;"Принято органом регулирования",ЭЭ!$AE$8:$BB$8,0)),ЭЭ!$F$25:$F$189,$F240,ЭЭ!$AC$25:$AC$189,"Удельный расход электроэнергии"),0)</f>
        <v>0</v>
      </c>
      <c r="AK240" s="7973">
        <f>_xlfn.IFERROR(_xlfn.SUMIFS(INDEX(Electricity_LOAD_1,,MATCH($K240&amp;"Принято органом регулирования",ЭЭ!$AE$8:$BB$8,0)),ЭЭ!$F$25:$F$189,$F240,ЭЭ!$AC$25:$AC$189,"Удельный расход электроэнергии"),0)</f>
        <v>0</v>
      </c>
      <c r="AL240" s="403"/>
      <c r="AM240" s="1278" t="s">
        <v>2975</v>
      </c>
      <c r="AN240" s="1278"/>
      <c r="AO240" s="1064" cm="1" t="str">
        <f t="array" ref="AO240:AO240">K240</f>
        <v>2031</v>
      </c>
      <c r="AP240" s="1278"/>
      <c r="AQ240" s="1278"/>
    </row>
    <row s="8147" customFormat="1" customHeight="1" ht="14.25" hidden="1">
      <c r="A241" s="1278"/>
      <c r="B241" s="445">
        <f>K241&lt;first_year+PERIOD_LENGTH</f>
        <v>0</v>
      </c>
      <c r="C241" s="1278"/>
      <c r="D241" s="1278"/>
      <c r="E241" s="703">
        <v>15</v>
      </c>
      <c r="F241" s="50" cm="1" t="str">
        <f t="array" ref="F241:F241">OFFSET(E241,-1,1)</f>
        <v>4</v>
      </c>
      <c r="G241" s="1278"/>
      <c r="H241" s="1278"/>
      <c r="I241" s="1278"/>
      <c r="J241" s="1278"/>
      <c r="K241" s="158">
        <f>first_year+6</f>
        <v>2032</v>
      </c>
      <c r="L241" s="1278"/>
      <c r="M241" s="1278"/>
      <c r="N241" s="1278"/>
      <c r="O241" s="1278"/>
      <c r="P241" s="1278"/>
      <c r="Q241" s="1278"/>
      <c r="R241" s="1278"/>
      <c r="S241" s="1278"/>
      <c r="T241" s="465" cm="1" t="str">
        <f t="array" ref="T241:T241">T240</f>
        <v>true</v>
      </c>
      <c r="U241" s="1278"/>
      <c r="V241" s="1278"/>
      <c r="W241" s="1278"/>
      <c r="X241" s="1563"/>
      <c r="Y241" s="1278"/>
      <c r="Z241" s="1546"/>
      <c r="AA241" s="1278"/>
      <c r="AB241" s="833" t="str">
        <f>K241&amp;" год"</f>
        <v>2032 год</v>
      </c>
      <c r="AC241" s="7974"/>
      <c r="AD241" s="7973">
        <f>_xlfn.IFERROR(_xlfn.SUMIFS(INDEX(Сценарии!$AE$25:$BF$163,,MATCH($K241&amp;"Принято органом регулирования",Сценарии!$AE$8:$BF$8,0)),Сценарии!$F$25:$F$163,$F241,Сценарии!$AC$25:$AC$163,"Индекс эффективности операционных расходов"),0)</f>
        <v>0</v>
      </c>
      <c r="AE241" s="7974"/>
      <c r="AF241" s="7974">
        <f>_xlfn.IFERROR(_xlfn.SUMIFS(INDEX(Баланс!$AE$25:$BB$482,,MATCH($K241&amp;"Принято органом регулирования",Баланс!$AE$8:$BB$8,0)),Баланс!$F$25:$F$482,$F241,Баланс!$AC$24:$AC$482,"Уровень потерь воды"),0)</f>
        <v>0</v>
      </c>
      <c r="AG241" s="7975">
        <f>_xlfn.IFERROR(_xlfn.SUMIFS(INDEX(Electricity_LOAD_1,,MATCH($K241&amp;"Принято органом регулирования",ЭЭ!$AE$8:$BB$8,0)),ЭЭ!$F$25:$F$189,$F241,ЭЭ!$AC$25:$AC$189,"Удельный расход электроэнергии"),0)</f>
        <v>0</v>
      </c>
      <c r="AH241" s="7988"/>
      <c r="AI241" s="7988"/>
      <c r="AJ241" s="7973">
        <f>_xlfn.IFERROR(_xlfn.SUMIFS(INDEX(Electricity_LOAD_1,,MATCH($K241&amp;"Принято органом регулирования",ЭЭ!$AE$8:$BB$8,0)),ЭЭ!$F$25:$F$189,$F241,ЭЭ!$AC$25:$AC$189,"Удельный расход электроэнергии"),0)</f>
        <v>0</v>
      </c>
      <c r="AK241" s="7973">
        <f>_xlfn.IFERROR(_xlfn.SUMIFS(INDEX(Electricity_LOAD_1,,MATCH($K241&amp;"Принято органом регулирования",ЭЭ!$AE$8:$BB$8,0)),ЭЭ!$F$25:$F$189,$F241,ЭЭ!$AC$25:$AC$189,"Удельный расход электроэнергии"),0)</f>
        <v>0</v>
      </c>
      <c r="AL241" s="403"/>
      <c r="AM241" s="1278" t="s">
        <v>2975</v>
      </c>
      <c r="AN241" s="1278"/>
      <c r="AO241" s="1064" cm="1" t="str">
        <f t="array" ref="AO241:AO241">K241</f>
        <v>2032</v>
      </c>
      <c r="AP241" s="1278"/>
      <c r="AQ241" s="1278"/>
    </row>
    <row s="8148" customFormat="1" customHeight="1" ht="14.25" hidden="1">
      <c r="A242" s="1278"/>
      <c r="B242" s="445">
        <f>K242&lt;first_year+PERIOD_LENGTH</f>
        <v>0</v>
      </c>
      <c r="C242" s="1278"/>
      <c r="D242" s="1278"/>
      <c r="E242" s="703">
        <v>15</v>
      </c>
      <c r="F242" s="50" cm="1" t="str">
        <f t="array" ref="F242:F242">OFFSET(E242,-1,1)</f>
        <v>4</v>
      </c>
      <c r="G242" s="1278"/>
      <c r="H242" s="1278"/>
      <c r="I242" s="1278"/>
      <c r="J242" s="1278"/>
      <c r="K242" s="158">
        <f>first_year+7</f>
        <v>2033</v>
      </c>
      <c r="L242" s="1278"/>
      <c r="M242" s="1278"/>
      <c r="N242" s="1278"/>
      <c r="O242" s="1278"/>
      <c r="P242" s="1278"/>
      <c r="Q242" s="1278"/>
      <c r="R242" s="1278"/>
      <c r="S242" s="1278"/>
      <c r="T242" s="465" cm="1" t="str">
        <f t="array" ref="T242:T242">T241</f>
        <v>true</v>
      </c>
      <c r="U242" s="1278"/>
      <c r="V242" s="1278"/>
      <c r="W242" s="1278"/>
      <c r="X242" s="1563"/>
      <c r="Y242" s="1278"/>
      <c r="Z242" s="1546"/>
      <c r="AA242" s="1278"/>
      <c r="AB242" s="833" t="str">
        <f>K242&amp;" год"</f>
        <v>2033 год</v>
      </c>
      <c r="AC242" s="7974"/>
      <c r="AD242" s="7973">
        <f>_xlfn.IFERROR(_xlfn.SUMIFS(INDEX(Сценарии!$AE$25:$BF$163,,MATCH($K242&amp;"Принято органом регулирования",Сценарии!$AE$8:$BF$8,0)),Сценарии!$F$25:$F$163,$F242,Сценарии!$AC$25:$AC$163,"Индекс эффективности операционных расходов"),0)</f>
        <v>0</v>
      </c>
      <c r="AE242" s="7974"/>
      <c r="AF242" s="7974">
        <f>_xlfn.IFERROR(_xlfn.SUMIFS(INDEX(Баланс!$AE$25:$BB$482,,MATCH($K242&amp;"Принято органом регулирования",Баланс!$AE$8:$BB$8,0)),Баланс!$F$25:$F$482,$F242,Баланс!$AC$24:$AC$482,"Уровень потерь воды"),0)</f>
        <v>0</v>
      </c>
      <c r="AG242" s="7975">
        <f>_xlfn.IFERROR(_xlfn.SUMIFS(INDEX(Electricity_LOAD_1,,MATCH($K242&amp;"Принято органом регулирования",ЭЭ!$AE$8:$BB$8,0)),ЭЭ!$F$25:$F$189,$F242,ЭЭ!$AC$25:$AC$189,"Удельный расход электроэнергии"),0)</f>
        <v>0</v>
      </c>
      <c r="AH242" s="7988"/>
      <c r="AI242" s="7988"/>
      <c r="AJ242" s="7973">
        <f>_xlfn.IFERROR(_xlfn.SUMIFS(INDEX(Electricity_LOAD_1,,MATCH($K242&amp;"Принято органом регулирования",ЭЭ!$AE$8:$BB$8,0)),ЭЭ!$F$25:$F$189,$F242,ЭЭ!$AC$25:$AC$189,"Удельный расход электроэнергии"),0)</f>
        <v>0</v>
      </c>
      <c r="AK242" s="7973">
        <f>_xlfn.IFERROR(_xlfn.SUMIFS(INDEX(Electricity_LOAD_1,,MATCH($K242&amp;"Принято органом регулирования",ЭЭ!$AE$8:$BB$8,0)),ЭЭ!$F$25:$F$189,$F242,ЭЭ!$AC$25:$AC$189,"Удельный расход электроэнергии"),0)</f>
        <v>0</v>
      </c>
      <c r="AL242" s="403"/>
      <c r="AM242" s="1278" t="s">
        <v>2975</v>
      </c>
      <c r="AN242" s="1278"/>
      <c r="AO242" s="1064" cm="1" t="str">
        <f t="array" ref="AO242:AO242">K242</f>
        <v>2033</v>
      </c>
      <c r="AP242" s="1278"/>
      <c r="AQ242" s="1278"/>
    </row>
    <row s="8149" customFormat="1" customHeight="1" ht="14.25" hidden="1">
      <c r="A243" s="1278"/>
      <c r="B243" s="445">
        <f>K243&lt;first_year+PERIOD_LENGTH</f>
        <v>0</v>
      </c>
      <c r="C243" s="1278"/>
      <c r="D243" s="1278"/>
      <c r="E243" s="703">
        <v>15</v>
      </c>
      <c r="F243" s="50" cm="1" t="str">
        <f t="array" ref="F243:F243">OFFSET(E243,-1,1)</f>
        <v>4</v>
      </c>
      <c r="G243" s="1278"/>
      <c r="H243" s="1278"/>
      <c r="I243" s="1278"/>
      <c r="J243" s="1278"/>
      <c r="K243" s="158">
        <f>first_year+8</f>
        <v>2034</v>
      </c>
      <c r="L243" s="1278"/>
      <c r="M243" s="1278"/>
      <c r="N243" s="1278"/>
      <c r="O243" s="1278"/>
      <c r="P243" s="1278"/>
      <c r="Q243" s="1278"/>
      <c r="R243" s="1278"/>
      <c r="S243" s="1278"/>
      <c r="T243" s="465" cm="1" t="str">
        <f t="array" ref="T243:T243">T242</f>
        <v>true</v>
      </c>
      <c r="U243" s="1278"/>
      <c r="V243" s="1278"/>
      <c r="W243" s="1278"/>
      <c r="X243" s="1563"/>
      <c r="Y243" s="1278"/>
      <c r="Z243" s="1546"/>
      <c r="AA243" s="1278"/>
      <c r="AB243" s="833" t="str">
        <f>K243&amp;" год"</f>
        <v>2034 год</v>
      </c>
      <c r="AC243" s="7974"/>
      <c r="AD243" s="7973">
        <f>_xlfn.IFERROR(_xlfn.SUMIFS(INDEX(Сценарии!$AE$25:$BF$163,,MATCH($K243&amp;"Принято органом регулирования",Сценарии!$AE$8:$BF$8,0)),Сценарии!$F$25:$F$163,$F243,Сценарии!$AC$25:$AC$163,"Индекс эффективности операционных расходов"),0)</f>
        <v>0</v>
      </c>
      <c r="AE243" s="7974"/>
      <c r="AF243" s="7974">
        <f>_xlfn.IFERROR(_xlfn.SUMIFS(INDEX(Баланс!$AE$25:$BB$482,,MATCH($K243&amp;"Принято органом регулирования",Баланс!$AE$8:$BB$8,0)),Баланс!$F$25:$F$482,$F243,Баланс!$AC$24:$AC$482,"Уровень потерь воды"),0)</f>
        <v>0</v>
      </c>
      <c r="AG243" s="7975">
        <f>_xlfn.IFERROR(_xlfn.SUMIFS(INDEX(Electricity_LOAD_1,,MATCH($K243&amp;"Принято органом регулирования",ЭЭ!$AE$8:$BB$8,0)),ЭЭ!$F$25:$F$189,$F243,ЭЭ!$AC$25:$AC$189,"Удельный расход электроэнергии"),0)</f>
        <v>0</v>
      </c>
      <c r="AH243" s="7988"/>
      <c r="AI243" s="7988"/>
      <c r="AJ243" s="7973">
        <f>_xlfn.IFERROR(_xlfn.SUMIFS(INDEX(Electricity_LOAD_1,,MATCH($K243&amp;"Принято органом регулирования",ЭЭ!$AE$8:$BB$8,0)),ЭЭ!$F$25:$F$189,$F243,ЭЭ!$AC$25:$AC$189,"Удельный расход электроэнергии"),0)</f>
        <v>0</v>
      </c>
      <c r="AK243" s="7973">
        <f>_xlfn.IFERROR(_xlfn.SUMIFS(INDEX(Electricity_LOAD_1,,MATCH($K243&amp;"Принято органом регулирования",ЭЭ!$AE$8:$BB$8,0)),ЭЭ!$F$25:$F$189,$F243,ЭЭ!$AC$25:$AC$189,"Удельный расход электроэнергии"),0)</f>
        <v>0</v>
      </c>
      <c r="AL243" s="403"/>
      <c r="AM243" s="1278" t="s">
        <v>2975</v>
      </c>
      <c r="AN243" s="1278"/>
      <c r="AO243" s="1064" cm="1" t="str">
        <f t="array" ref="AO243:AO243">K243</f>
        <v>2034</v>
      </c>
      <c r="AP243" s="1278"/>
      <c r="AQ243" s="1278"/>
    </row>
    <row s="8150" customFormat="1" customHeight="1" ht="14.25" hidden="1">
      <c r="A244" s="1278"/>
      <c r="B244" s="445">
        <f>K244&lt;first_year+PERIOD_LENGTH</f>
        <v>0</v>
      </c>
      <c r="C244" s="1278"/>
      <c r="D244" s="1278"/>
      <c r="E244" s="703">
        <v>15</v>
      </c>
      <c r="F244" s="50" cm="1" t="str">
        <f t="array" ref="F244:F244">OFFSET(E244,-1,1)</f>
        <v>4</v>
      </c>
      <c r="G244" s="1278"/>
      <c r="H244" s="1278"/>
      <c r="I244" s="1278"/>
      <c r="J244" s="1278"/>
      <c r="K244" s="158">
        <f>first_year+9</f>
        <v>2035</v>
      </c>
      <c r="L244" s="1278"/>
      <c r="M244" s="1278"/>
      <c r="N244" s="1278"/>
      <c r="O244" s="1278"/>
      <c r="P244" s="1278"/>
      <c r="Q244" s="1278"/>
      <c r="R244" s="1278"/>
      <c r="S244" s="1278"/>
      <c r="T244" s="465" cm="1" t="str">
        <f t="array" ref="T244:T244">T243</f>
        <v>true</v>
      </c>
      <c r="U244" s="1278"/>
      <c r="V244" s="1278"/>
      <c r="W244" s="1278"/>
      <c r="X244" s="1563"/>
      <c r="Y244" s="1278"/>
      <c r="Z244" s="1546"/>
      <c r="AA244" s="1278"/>
      <c r="AB244" s="833" t="str">
        <f>K244&amp;" год"</f>
        <v>2035 год</v>
      </c>
      <c r="AC244" s="7974"/>
      <c r="AD244" s="7973">
        <f>_xlfn.IFERROR(_xlfn.SUMIFS(INDEX(Сценарии!$AE$25:$BF$163,,MATCH($K244&amp;"Принято органом регулирования",Сценарии!$AE$8:$BF$8,0)),Сценарии!$F$25:$F$163,$F244,Сценарии!$AC$25:$AC$163,"Индекс эффективности операционных расходов"),0)</f>
        <v>0</v>
      </c>
      <c r="AE244" s="7974"/>
      <c r="AF244" s="7974">
        <f>_xlfn.IFERROR(_xlfn.SUMIFS(INDEX(Баланс!$AE$25:$BB$482,,MATCH($K244&amp;"Принято органом регулирования",Баланс!$AE$8:$BB$8,0)),Баланс!$F$25:$F$482,$F244,Баланс!$AC$24:$AC$482,"Уровень потерь воды"),0)</f>
        <v>0</v>
      </c>
      <c r="AG244" s="7975">
        <f>_xlfn.IFERROR(_xlfn.SUMIFS(INDEX(Electricity_LOAD_1,,MATCH($K244&amp;"Принято органом регулирования",ЭЭ!$AE$8:$BB$8,0)),ЭЭ!$F$25:$F$189,$F244,ЭЭ!$AC$25:$AC$189,"Удельный расход электроэнергии"),0)</f>
        <v>0</v>
      </c>
      <c r="AH244" s="7988"/>
      <c r="AI244" s="7988"/>
      <c r="AJ244" s="7973">
        <f>_xlfn.IFERROR(_xlfn.SUMIFS(INDEX(Electricity_LOAD_1,,MATCH($K244&amp;"Принято органом регулирования",ЭЭ!$AE$8:$BB$8,0)),ЭЭ!$F$25:$F$189,$F244,ЭЭ!$AC$25:$AC$189,"Удельный расход электроэнергии"),0)</f>
        <v>0</v>
      </c>
      <c r="AK244" s="7973">
        <f>_xlfn.IFERROR(_xlfn.SUMIFS(INDEX(Electricity_LOAD_1,,MATCH($K244&amp;"Принято органом регулирования",ЭЭ!$AE$8:$BB$8,0)),ЭЭ!$F$25:$F$189,$F244,ЭЭ!$AC$25:$AC$189,"Удельный расход электроэнергии"),0)</f>
        <v>0</v>
      </c>
      <c r="AL244" s="403"/>
      <c r="AM244" s="1278" t="s">
        <v>2975</v>
      </c>
      <c r="AN244" s="1278"/>
      <c r="AO244" s="1064" cm="1" t="str">
        <f t="array" ref="AO244:AO244">K244</f>
        <v>2035</v>
      </c>
      <c r="AP244" s="1278"/>
      <c r="AQ244" s="1278"/>
    </row>
    <row s="8151" customFormat="1" customHeight="1" ht="14.25" hidden="1">
      <c r="A245" s="1278"/>
      <c r="B245" s="445">
        <f>K245&lt;first_year+PERIOD_LENGTH</f>
        <v>0</v>
      </c>
      <c r="C245" s="1278"/>
      <c r="D245" s="1278"/>
      <c r="E245" s="703">
        <v>15</v>
      </c>
      <c r="F245" s="50" cm="1" t="str">
        <f t="array" ref="F245:F245">OFFSET(E245,-1,1)</f>
        <v>4</v>
      </c>
      <c r="G245" s="1278"/>
      <c r="H245" s="1278"/>
      <c r="I245" s="1278"/>
      <c r="J245" s="1278"/>
      <c r="K245" s="158">
        <f>first_year+10</f>
        <v>2036</v>
      </c>
      <c r="L245" s="1278"/>
      <c r="M245" s="1278"/>
      <c r="N245" s="1278"/>
      <c r="O245" s="1278"/>
      <c r="P245" s="1278"/>
      <c r="Q245" s="1278"/>
      <c r="R245" s="1278"/>
      <c r="S245" s="1278"/>
      <c r="T245" s="465" cm="1" t="str">
        <f t="array" ref="T245:T245">T244</f>
        <v>true</v>
      </c>
      <c r="U245" s="1278"/>
      <c r="V245" s="1278"/>
      <c r="W245" s="1278"/>
      <c r="X245" s="1563"/>
      <c r="Y245" s="1278"/>
      <c r="Z245" s="1546"/>
      <c r="AA245" s="1278"/>
      <c r="AB245" s="833" t="str">
        <f>K245&amp;" год"</f>
        <v>2036 год</v>
      </c>
      <c r="AC245" s="7974"/>
      <c r="AD245" s="7973"/>
      <c r="AE245" s="7974"/>
      <c r="AF245" s="7974"/>
      <c r="AG245" s="7973"/>
      <c r="AH245" s="7988"/>
      <c r="AI245" s="7988"/>
      <c r="AJ245" s="7973"/>
      <c r="AK245" s="7978"/>
      <c r="AL245" s="403"/>
      <c r="AM245" s="1278"/>
      <c r="AN245" s="1278"/>
      <c r="AO245" s="1064" cm="1" t="str">
        <f t="array" ref="AO245:AO245">K245</f>
        <v>2036</v>
      </c>
      <c r="AP245" s="1278"/>
      <c r="AQ245" s="1278"/>
    </row>
    <row s="8152" customFormat="1" customHeight="1" ht="14.25" hidden="1">
      <c r="A246" s="1278"/>
      <c r="B246" s="445">
        <f>K246&lt;first_year+PERIOD_LENGTH</f>
        <v>0</v>
      </c>
      <c r="C246" s="1278"/>
      <c r="D246" s="1278"/>
      <c r="E246" s="703">
        <v>15</v>
      </c>
      <c r="F246" s="50" cm="1" t="str">
        <f t="array" ref="F246:F246">OFFSET(E246,-1,1)</f>
        <v>4</v>
      </c>
      <c r="G246" s="1278"/>
      <c r="H246" s="1278"/>
      <c r="I246" s="1278"/>
      <c r="J246" s="1278"/>
      <c r="K246" s="158">
        <f>first_year+11</f>
        <v>2037</v>
      </c>
      <c r="L246" s="1278"/>
      <c r="M246" s="1278"/>
      <c r="N246" s="1278"/>
      <c r="O246" s="1278"/>
      <c r="P246" s="1278"/>
      <c r="Q246" s="1278"/>
      <c r="R246" s="1278"/>
      <c r="S246" s="1278"/>
      <c r="T246" s="465" cm="1" t="str">
        <f t="array" ref="T246:T246">T245</f>
        <v>true</v>
      </c>
      <c r="U246" s="1278"/>
      <c r="V246" s="1278"/>
      <c r="W246" s="1278"/>
      <c r="X246" s="1563"/>
      <c r="Y246" s="1278"/>
      <c r="Z246" s="1546"/>
      <c r="AA246" s="1278"/>
      <c r="AB246" s="255" t="str">
        <f>K246&amp;" год"</f>
        <v>2037 год</v>
      </c>
      <c r="AC246" s="7974"/>
      <c r="AD246" s="7980"/>
      <c r="AE246" s="7981"/>
      <c r="AF246" s="7981"/>
      <c r="AG246" s="7980"/>
      <c r="AH246" s="8001"/>
      <c r="AI246" s="8001"/>
      <c r="AJ246" s="7980"/>
      <c r="AK246" s="7982"/>
      <c r="AL246" s="403"/>
      <c r="AM246" s="1278"/>
      <c r="AN246" s="1278"/>
      <c r="AO246" s="1064" cm="1" t="str">
        <f t="array" ref="AO246:AO246">K246</f>
        <v>2037</v>
      </c>
      <c r="AP246" s="1278"/>
      <c r="AQ246" s="1278"/>
    </row>
    <row s="8153" customFormat="1" customHeight="1" ht="14.25" hidden="1">
      <c r="A247" s="1278"/>
      <c r="B247" s="445">
        <f>K247&lt;first_year+PERIOD_LENGTH</f>
        <v>0</v>
      </c>
      <c r="C247" s="1278"/>
      <c r="D247" s="1278"/>
      <c r="E247" s="703">
        <v>15</v>
      </c>
      <c r="F247" s="50" cm="1" t="str">
        <f t="array" ref="F247:F247">OFFSET(E247,-1,1)</f>
        <v>4</v>
      </c>
      <c r="G247" s="1278"/>
      <c r="H247" s="1278"/>
      <c r="I247" s="1278"/>
      <c r="J247" s="1278"/>
      <c r="K247" s="158">
        <f>first_year+12</f>
        <v>2038</v>
      </c>
      <c r="L247" s="1278"/>
      <c r="M247" s="1278"/>
      <c r="N247" s="1278"/>
      <c r="O247" s="1278"/>
      <c r="P247" s="1278"/>
      <c r="Q247" s="1278"/>
      <c r="R247" s="1278"/>
      <c r="S247" s="1278"/>
      <c r="T247" s="465" cm="1" t="str">
        <f t="array" ref="T247:T247">T246</f>
        <v>true</v>
      </c>
      <c r="U247" s="1278"/>
      <c r="V247" s="1278"/>
      <c r="W247" s="1278"/>
      <c r="X247" s="1563"/>
      <c r="Y247" s="1278"/>
      <c r="Z247" s="1546"/>
      <c r="AA247" s="1278"/>
      <c r="AB247" s="255" t="str">
        <f>K247&amp;" год"</f>
        <v>2038 год</v>
      </c>
      <c r="AC247" s="7974"/>
      <c r="AD247" s="7980"/>
      <c r="AE247" s="7981"/>
      <c r="AF247" s="7981"/>
      <c r="AG247" s="7980"/>
      <c r="AH247" s="8001"/>
      <c r="AI247" s="8001"/>
      <c r="AJ247" s="7980"/>
      <c r="AK247" s="7982"/>
      <c r="AL247" s="403"/>
      <c r="AM247" s="1278"/>
      <c r="AN247" s="1278"/>
      <c r="AO247" s="1064" cm="1" t="str">
        <f t="array" ref="AO247:AO247">K247</f>
        <v>2038</v>
      </c>
      <c r="AP247" s="1278"/>
      <c r="AQ247" s="1278"/>
    </row>
    <row s="8154" customFormat="1" customHeight="1" ht="14.25" hidden="1">
      <c r="A248" s="1278"/>
      <c r="B248" s="445">
        <f>K248&lt;first_year+PERIOD_LENGTH</f>
        <v>0</v>
      </c>
      <c r="C248" s="1278"/>
      <c r="D248" s="1278"/>
      <c r="E248" s="703">
        <v>15</v>
      </c>
      <c r="F248" s="50" cm="1" t="str">
        <f t="array" ref="F248:F248">OFFSET(E248,-1,1)</f>
        <v>4</v>
      </c>
      <c r="G248" s="1278"/>
      <c r="H248" s="1278"/>
      <c r="I248" s="1278"/>
      <c r="J248" s="1278"/>
      <c r="K248" s="158">
        <f>first_year+13</f>
        <v>2039</v>
      </c>
      <c r="L248" s="1278"/>
      <c r="M248" s="1278"/>
      <c r="N248" s="1278"/>
      <c r="O248" s="1278"/>
      <c r="P248" s="1278"/>
      <c r="Q248" s="1278"/>
      <c r="R248" s="1278"/>
      <c r="S248" s="1278"/>
      <c r="T248" s="465" cm="1" t="str">
        <f t="array" ref="T248:T248">T247</f>
        <v>true</v>
      </c>
      <c r="U248" s="1278"/>
      <c r="V248" s="1278"/>
      <c r="W248" s="1278"/>
      <c r="X248" s="1563"/>
      <c r="Y248" s="1278"/>
      <c r="Z248" s="1546"/>
      <c r="AA248" s="1278"/>
      <c r="AB248" s="255" t="str">
        <f>K248&amp;" год"</f>
        <v>2039 год</v>
      </c>
      <c r="AC248" s="7974"/>
      <c r="AD248" s="7980"/>
      <c r="AE248" s="7981"/>
      <c r="AF248" s="7981"/>
      <c r="AG248" s="7980"/>
      <c r="AH248" s="8001"/>
      <c r="AI248" s="8001"/>
      <c r="AJ248" s="7980"/>
      <c r="AK248" s="7982"/>
      <c r="AL248" s="403"/>
      <c r="AM248" s="1278"/>
      <c r="AN248" s="1278"/>
      <c r="AO248" s="1064" cm="1" t="str">
        <f t="array" ref="AO248:AO248">K248</f>
        <v>2039</v>
      </c>
      <c r="AP248" s="1278"/>
      <c r="AQ248" s="1278"/>
    </row>
    <row s="8155" customFormat="1" customHeight="1" ht="14.25" hidden="1">
      <c r="A249" s="1278"/>
      <c r="B249" s="445">
        <f>K249&lt;first_year+PERIOD_LENGTH</f>
        <v>0</v>
      </c>
      <c r="C249" s="1278"/>
      <c r="D249" s="1278"/>
      <c r="E249" s="703">
        <v>15</v>
      </c>
      <c r="F249" s="50" cm="1" t="str">
        <f t="array" ref="F249:F249">OFFSET(E249,-1,1)</f>
        <v>4</v>
      </c>
      <c r="G249" s="1278"/>
      <c r="H249" s="1278"/>
      <c r="I249" s="1278"/>
      <c r="J249" s="1278"/>
      <c r="K249" s="158">
        <f>first_year+14</f>
        <v>2040</v>
      </c>
      <c r="L249" s="1278"/>
      <c r="M249" s="1278"/>
      <c r="N249" s="1278"/>
      <c r="O249" s="1278"/>
      <c r="P249" s="1278"/>
      <c r="Q249" s="1278"/>
      <c r="R249" s="1278"/>
      <c r="S249" s="1278"/>
      <c r="T249" s="465" cm="1" t="str">
        <f t="array" ref="T249:T249">T248</f>
        <v>true</v>
      </c>
      <c r="U249" s="1278"/>
      <c r="V249" s="1278"/>
      <c r="W249" s="1278"/>
      <c r="X249" s="1563"/>
      <c r="Y249" s="1278"/>
      <c r="Z249" s="1546"/>
      <c r="AA249" s="1278"/>
      <c r="AB249" s="255" t="str">
        <f>K249&amp;" год"</f>
        <v>2040 год</v>
      </c>
      <c r="AC249" s="7974"/>
      <c r="AD249" s="7980"/>
      <c r="AE249" s="7981"/>
      <c r="AF249" s="7981"/>
      <c r="AG249" s="7980"/>
      <c r="AH249" s="8001"/>
      <c r="AI249" s="8001"/>
      <c r="AJ249" s="7980"/>
      <c r="AK249" s="7982"/>
      <c r="AL249" s="403"/>
      <c r="AM249" s="1278"/>
      <c r="AN249" s="1278"/>
      <c r="AO249" s="1064" cm="1" t="str">
        <f t="array" ref="AO249:AO249">K249</f>
        <v>2040</v>
      </c>
      <c r="AP249" s="1278"/>
      <c r="AQ249" s="1278"/>
    </row>
    <row s="8156" customFormat="1" customHeight="1" ht="14.25" hidden="1">
      <c r="A250" s="1278"/>
      <c r="B250" s="445">
        <f>K250&lt;first_year+PERIOD_LENGTH</f>
        <v>0</v>
      </c>
      <c r="C250" s="1278"/>
      <c r="D250" s="1278"/>
      <c r="E250" s="703">
        <v>15</v>
      </c>
      <c r="F250" s="50" cm="1" t="str">
        <f t="array" ref="F250:F250">OFFSET(E250,-1,1)</f>
        <v>4</v>
      </c>
      <c r="G250" s="1278"/>
      <c r="H250" s="1278"/>
      <c r="I250" s="1278"/>
      <c r="J250" s="1278"/>
      <c r="K250" s="158">
        <f>first_year+15</f>
        <v>2041</v>
      </c>
      <c r="L250" s="1278"/>
      <c r="M250" s="1278"/>
      <c r="N250" s="1278"/>
      <c r="O250" s="1278"/>
      <c r="P250" s="1278"/>
      <c r="Q250" s="1278"/>
      <c r="R250" s="1278"/>
      <c r="S250" s="1278"/>
      <c r="T250" s="465" cm="1" t="str">
        <f t="array" ref="T250:T250">T249</f>
        <v>true</v>
      </c>
      <c r="U250" s="1278"/>
      <c r="V250" s="1278"/>
      <c r="W250" s="1278"/>
      <c r="X250" s="1563"/>
      <c r="Y250" s="1278"/>
      <c r="Z250" s="1546"/>
      <c r="AA250" s="1278"/>
      <c r="AB250" s="255" t="str">
        <f>K250&amp;" год"</f>
        <v>2041 год</v>
      </c>
      <c r="AC250" s="7974"/>
      <c r="AD250" s="7980"/>
      <c r="AE250" s="7981"/>
      <c r="AF250" s="7981"/>
      <c r="AG250" s="7980"/>
      <c r="AH250" s="8001"/>
      <c r="AI250" s="8001"/>
      <c r="AJ250" s="7980"/>
      <c r="AK250" s="7982"/>
      <c r="AL250" s="403"/>
      <c r="AM250" s="1278"/>
      <c r="AN250" s="1278"/>
      <c r="AO250" s="1064" cm="1" t="str">
        <f t="array" ref="AO250:AO250">K250</f>
        <v>2041</v>
      </c>
      <c r="AP250" s="1278"/>
      <c r="AQ250" s="1278"/>
    </row>
    <row s="8157" customFormat="1" customHeight="1" ht="14.25" hidden="1">
      <c r="A251" s="1278"/>
      <c r="B251" s="445">
        <f>K251&lt;first_year+PERIOD_LENGTH</f>
        <v>0</v>
      </c>
      <c r="C251" s="1278"/>
      <c r="D251" s="1278"/>
      <c r="E251" s="703">
        <v>15</v>
      </c>
      <c r="F251" s="50" cm="1" t="str">
        <f t="array" ref="F251:F251">OFFSET(E251,-1,1)</f>
        <v>4</v>
      </c>
      <c r="G251" s="1278"/>
      <c r="H251" s="1278"/>
      <c r="I251" s="1278"/>
      <c r="J251" s="1278"/>
      <c r="K251" s="158">
        <f>first_year+16</f>
        <v>2042</v>
      </c>
      <c r="L251" s="1278"/>
      <c r="M251" s="1278"/>
      <c r="N251" s="1278"/>
      <c r="O251" s="1278"/>
      <c r="P251" s="1278"/>
      <c r="Q251" s="1278"/>
      <c r="R251" s="1278"/>
      <c r="S251" s="1278"/>
      <c r="T251" s="465" cm="1" t="str">
        <f t="array" ref="T251:T251">T250</f>
        <v>true</v>
      </c>
      <c r="U251" s="1278"/>
      <c r="V251" s="1278"/>
      <c r="W251" s="1278"/>
      <c r="X251" s="1563"/>
      <c r="Y251" s="1278"/>
      <c r="Z251" s="1546"/>
      <c r="AA251" s="1278"/>
      <c r="AB251" s="255" t="str">
        <f>K251&amp;" год"</f>
        <v>2042 год</v>
      </c>
      <c r="AC251" s="7974"/>
      <c r="AD251" s="7980"/>
      <c r="AE251" s="7981"/>
      <c r="AF251" s="7981"/>
      <c r="AG251" s="7980"/>
      <c r="AH251" s="8001"/>
      <c r="AI251" s="8001"/>
      <c r="AJ251" s="7980"/>
      <c r="AK251" s="7982"/>
      <c r="AL251" s="403"/>
      <c r="AM251" s="1278"/>
      <c r="AN251" s="1278"/>
      <c r="AO251" s="1064" cm="1" t="str">
        <f t="array" ref="AO251:AO251">K251</f>
        <v>2042</v>
      </c>
      <c r="AP251" s="1278"/>
      <c r="AQ251" s="1278"/>
    </row>
    <row s="8158" customFormat="1" customHeight="1" ht="14.25" hidden="1">
      <c r="A252" s="1278"/>
      <c r="B252" s="445">
        <f>K252&lt;first_year+PERIOD_LENGTH</f>
        <v>0</v>
      </c>
      <c r="C252" s="1278"/>
      <c r="D252" s="1278"/>
      <c r="E252" s="703">
        <v>15</v>
      </c>
      <c r="F252" s="50" cm="1" t="str">
        <f t="array" ref="F252:F252">OFFSET(E252,-1,1)</f>
        <v>4</v>
      </c>
      <c r="G252" s="1278"/>
      <c r="H252" s="1278"/>
      <c r="I252" s="1278"/>
      <c r="J252" s="1278"/>
      <c r="K252" s="158">
        <f>first_year+17</f>
        <v>2043</v>
      </c>
      <c r="L252" s="1278"/>
      <c r="M252" s="1278"/>
      <c r="N252" s="1278"/>
      <c r="O252" s="1278"/>
      <c r="P252" s="1278"/>
      <c r="Q252" s="1278"/>
      <c r="R252" s="1278"/>
      <c r="S252" s="1278"/>
      <c r="T252" s="465" cm="1" t="str">
        <f t="array" ref="T252:T252">T251</f>
        <v>true</v>
      </c>
      <c r="U252" s="1278"/>
      <c r="V252" s="1278"/>
      <c r="W252" s="1278"/>
      <c r="X252" s="1563"/>
      <c r="Y252" s="1278"/>
      <c r="Z252" s="1546"/>
      <c r="AA252" s="1278"/>
      <c r="AB252" s="255" t="str">
        <f>K252&amp;" год"</f>
        <v>2043 год</v>
      </c>
      <c r="AC252" s="7974"/>
      <c r="AD252" s="7980"/>
      <c r="AE252" s="7981"/>
      <c r="AF252" s="7981"/>
      <c r="AG252" s="7980"/>
      <c r="AH252" s="8001"/>
      <c r="AI252" s="8001"/>
      <c r="AJ252" s="7980"/>
      <c r="AK252" s="7982"/>
      <c r="AL252" s="403"/>
      <c r="AM252" s="1278"/>
      <c r="AN252" s="1278"/>
      <c r="AO252" s="1064" cm="1" t="str">
        <f t="array" ref="AO252:AO252">K252</f>
        <v>2043</v>
      </c>
      <c r="AP252" s="1278"/>
      <c r="AQ252" s="1278"/>
    </row>
    <row s="8159" customFormat="1" customHeight="1" ht="14.25" hidden="1">
      <c r="A253" s="1278"/>
      <c r="B253" s="445">
        <f>K253&lt;first_year+PERIOD_LENGTH</f>
        <v>0</v>
      </c>
      <c r="C253" s="1278"/>
      <c r="D253" s="1278"/>
      <c r="E253" s="703">
        <v>15</v>
      </c>
      <c r="F253" s="50" cm="1" t="str">
        <f t="array" ref="F253:F253">OFFSET(E253,-1,1)</f>
        <v>4</v>
      </c>
      <c r="G253" s="1278"/>
      <c r="H253" s="1278"/>
      <c r="I253" s="1278"/>
      <c r="J253" s="1278"/>
      <c r="K253" s="158">
        <f>first_year+18</f>
        <v>2044</v>
      </c>
      <c r="L253" s="1278"/>
      <c r="M253" s="1278"/>
      <c r="N253" s="1278"/>
      <c r="O253" s="1278"/>
      <c r="P253" s="1278"/>
      <c r="Q253" s="1278"/>
      <c r="R253" s="1278"/>
      <c r="S253" s="1278"/>
      <c r="T253" s="465" cm="1" t="str">
        <f t="array" ref="T253:T253">T252</f>
        <v>true</v>
      </c>
      <c r="U253" s="1278"/>
      <c r="V253" s="1278"/>
      <c r="W253" s="1278"/>
      <c r="X253" s="1563"/>
      <c r="Y253" s="1278"/>
      <c r="Z253" s="1546"/>
      <c r="AA253" s="1278"/>
      <c r="AB253" s="255" t="str">
        <f>K253&amp;" год"</f>
        <v>2044 год</v>
      </c>
      <c r="AC253" s="7974"/>
      <c r="AD253" s="7980"/>
      <c r="AE253" s="7981"/>
      <c r="AF253" s="7981"/>
      <c r="AG253" s="7980"/>
      <c r="AH253" s="8001"/>
      <c r="AI253" s="8001"/>
      <c r="AJ253" s="7980"/>
      <c r="AK253" s="7982"/>
      <c r="AL253" s="403"/>
      <c r="AM253" s="1278"/>
      <c r="AN253" s="1278"/>
      <c r="AO253" s="1064" cm="1" t="str">
        <f t="array" ref="AO253:AO253">K253</f>
        <v>2044</v>
      </c>
      <c r="AP253" s="1278"/>
      <c r="AQ253" s="1278"/>
    </row>
    <row s="8160" customFormat="1" customHeight="1" ht="14.25" hidden="1">
      <c r="A254" s="1278"/>
      <c r="B254" s="445">
        <f>K254&lt;first_year+PERIOD_LENGTH</f>
        <v>0</v>
      </c>
      <c r="C254" s="1278"/>
      <c r="D254" s="1278"/>
      <c r="E254" s="703">
        <v>15</v>
      </c>
      <c r="F254" s="50" cm="1" t="str">
        <f t="array" ref="F254:F254">OFFSET(E254,-1,1)</f>
        <v>4</v>
      </c>
      <c r="G254" s="1278"/>
      <c r="H254" s="1278"/>
      <c r="I254" s="1278"/>
      <c r="J254" s="1278"/>
      <c r="K254" s="158">
        <f>first_year+19</f>
        <v>2045</v>
      </c>
      <c r="L254" s="1278"/>
      <c r="M254" s="1278"/>
      <c r="N254" s="1278"/>
      <c r="O254" s="1278"/>
      <c r="P254" s="1278"/>
      <c r="Q254" s="1278"/>
      <c r="R254" s="1278"/>
      <c r="S254" s="1278"/>
      <c r="T254" s="465" cm="1" t="str">
        <f t="array" ref="T254:T254">T253</f>
        <v>true</v>
      </c>
      <c r="U254" s="1278"/>
      <c r="V254" s="1278"/>
      <c r="W254" s="1278"/>
      <c r="X254" s="1563"/>
      <c r="Y254" s="1278"/>
      <c r="Z254" s="1546"/>
      <c r="AA254" s="1278"/>
      <c r="AB254" s="255" t="str">
        <f>K254&amp;" год"</f>
        <v>2045 год</v>
      </c>
      <c r="AC254" s="7974"/>
      <c r="AD254" s="7980"/>
      <c r="AE254" s="7981"/>
      <c r="AF254" s="7981"/>
      <c r="AG254" s="7980"/>
      <c r="AH254" s="8001"/>
      <c r="AI254" s="8001"/>
      <c r="AJ254" s="7980"/>
      <c r="AK254" s="7982"/>
      <c r="AL254" s="403"/>
      <c r="AM254" s="1278"/>
      <c r="AN254" s="1278"/>
      <c r="AO254" s="1064" cm="1" t="str">
        <f t="array" ref="AO254:AO254">K254</f>
        <v>2045</v>
      </c>
      <c r="AP254" s="1278"/>
      <c r="AQ254" s="1278"/>
    </row>
    <row s="8161" customFormat="1" customHeight="1" ht="14.25" hidden="1">
      <c r="A255" s="1278"/>
      <c r="B255" s="445">
        <f>K255&lt;first_year+PERIOD_LENGTH</f>
        <v>0</v>
      </c>
      <c r="C255" s="1278"/>
      <c r="D255" s="1278"/>
      <c r="E255" s="703">
        <v>15</v>
      </c>
      <c r="F255" s="50" cm="1" t="str">
        <f t="array" ref="F255:F255">OFFSET(E255,-1,1)</f>
        <v>4</v>
      </c>
      <c r="G255" s="1278"/>
      <c r="H255" s="1278"/>
      <c r="I255" s="1278"/>
      <c r="J255" s="1278"/>
      <c r="K255" s="158">
        <f>first_year+20</f>
        <v>2046</v>
      </c>
      <c r="L255" s="1278"/>
      <c r="M255" s="1278"/>
      <c r="N255" s="1278"/>
      <c r="O255" s="1278"/>
      <c r="P255" s="1278"/>
      <c r="Q255" s="1278"/>
      <c r="R255" s="1278"/>
      <c r="S255" s="1278"/>
      <c r="T255" s="465" cm="1" t="str">
        <f t="array" ref="T255:T255">T254</f>
        <v>true</v>
      </c>
      <c r="U255" s="1278"/>
      <c r="V255" s="1278"/>
      <c r="W255" s="1278"/>
      <c r="X255" s="1563"/>
      <c r="Y255" s="1278"/>
      <c r="Z255" s="1546"/>
      <c r="AA255" s="1278"/>
      <c r="AB255" s="255" t="str">
        <f>K255&amp;" год"</f>
        <v>2046 год</v>
      </c>
      <c r="AC255" s="7974"/>
      <c r="AD255" s="7980"/>
      <c r="AE255" s="7981"/>
      <c r="AF255" s="7981"/>
      <c r="AG255" s="7980"/>
      <c r="AH255" s="8001"/>
      <c r="AI255" s="8001"/>
      <c r="AJ255" s="7980"/>
      <c r="AK255" s="7982"/>
      <c r="AL255" s="403"/>
      <c r="AM255" s="1278"/>
      <c r="AN255" s="1278"/>
      <c r="AO255" s="1064" cm="1" t="str">
        <f t="array" ref="AO255:AO255">K255</f>
        <v>2046</v>
      </c>
      <c r="AP255" s="1278"/>
      <c r="AQ255" s="1278"/>
    </row>
    <row s="8162" customFormat="1" customHeight="1" ht="14.25" hidden="1">
      <c r="A256" s="1278"/>
      <c r="B256" s="445">
        <f>K256&lt;first_year+PERIOD_LENGTH</f>
        <v>0</v>
      </c>
      <c r="C256" s="1278"/>
      <c r="D256" s="1278"/>
      <c r="E256" s="703">
        <v>15</v>
      </c>
      <c r="F256" s="50" cm="1" t="str">
        <f t="array" ref="F256:F256">OFFSET(E256,-1,1)</f>
        <v>4</v>
      </c>
      <c r="G256" s="1278"/>
      <c r="H256" s="1278"/>
      <c r="I256" s="1278"/>
      <c r="J256" s="1278"/>
      <c r="K256" s="158">
        <f>first_year+21</f>
        <v>2047</v>
      </c>
      <c r="L256" s="1278"/>
      <c r="M256" s="1278"/>
      <c r="N256" s="1278"/>
      <c r="O256" s="1278"/>
      <c r="P256" s="1278"/>
      <c r="Q256" s="1278"/>
      <c r="R256" s="1278"/>
      <c r="S256" s="1278"/>
      <c r="T256" s="465" cm="1" t="str">
        <f t="array" ref="T256:T256">T255</f>
        <v>true</v>
      </c>
      <c r="U256" s="1278"/>
      <c r="V256" s="1278"/>
      <c r="W256" s="1278"/>
      <c r="X256" s="1563"/>
      <c r="Y256" s="1278"/>
      <c r="Z256" s="1546"/>
      <c r="AA256" s="1278"/>
      <c r="AB256" s="255" t="str">
        <f>K256&amp;" год"</f>
        <v>2047 год</v>
      </c>
      <c r="AC256" s="7974"/>
      <c r="AD256" s="7980"/>
      <c r="AE256" s="7981"/>
      <c r="AF256" s="7981"/>
      <c r="AG256" s="7980"/>
      <c r="AH256" s="8001"/>
      <c r="AI256" s="8001"/>
      <c r="AJ256" s="7980"/>
      <c r="AK256" s="7982"/>
      <c r="AL256" s="403"/>
      <c r="AM256" s="1278"/>
      <c r="AN256" s="1278"/>
      <c r="AO256" s="1064" cm="1" t="str">
        <f t="array" ref="AO256:AO256">K256</f>
        <v>2047</v>
      </c>
      <c r="AP256" s="1278"/>
      <c r="AQ256" s="1278"/>
    </row>
    <row s="8163" customFormat="1" customHeight="1" ht="14.25" hidden="1">
      <c r="A257" s="1278"/>
      <c r="B257" s="445">
        <f>K257&lt;first_year+PERIOD_LENGTH</f>
        <v>0</v>
      </c>
      <c r="C257" s="1278"/>
      <c r="D257" s="1278"/>
      <c r="E257" s="703">
        <v>15</v>
      </c>
      <c r="F257" s="50" cm="1" t="str">
        <f t="array" ref="F257:F257">OFFSET(E257,-1,1)</f>
        <v>4</v>
      </c>
      <c r="G257" s="1278"/>
      <c r="H257" s="1278"/>
      <c r="I257" s="1278"/>
      <c r="J257" s="1278"/>
      <c r="K257" s="158">
        <f>first_year+22</f>
        <v>2048</v>
      </c>
      <c r="L257" s="1278"/>
      <c r="M257" s="1278"/>
      <c r="N257" s="1278"/>
      <c r="O257" s="1278"/>
      <c r="P257" s="1278"/>
      <c r="Q257" s="1278"/>
      <c r="R257" s="1278"/>
      <c r="S257" s="1278"/>
      <c r="T257" s="465" cm="1" t="str">
        <f t="array" ref="T257:T257">T256</f>
        <v>true</v>
      </c>
      <c r="U257" s="1278"/>
      <c r="V257" s="1278"/>
      <c r="W257" s="1278"/>
      <c r="X257" s="1563"/>
      <c r="Y257" s="1278"/>
      <c r="Z257" s="1546"/>
      <c r="AA257" s="1278"/>
      <c r="AB257" s="255" t="str">
        <f>K257&amp;" год"</f>
        <v>2048 год</v>
      </c>
      <c r="AC257" s="7974"/>
      <c r="AD257" s="7980"/>
      <c r="AE257" s="7981"/>
      <c r="AF257" s="7981"/>
      <c r="AG257" s="7980"/>
      <c r="AH257" s="8001"/>
      <c r="AI257" s="8001"/>
      <c r="AJ257" s="7980"/>
      <c r="AK257" s="7982"/>
      <c r="AL257" s="403"/>
      <c r="AM257" s="1278"/>
      <c r="AN257" s="1278"/>
      <c r="AO257" s="1064" cm="1" t="str">
        <f t="array" ref="AO257:AO257">K257</f>
        <v>2048</v>
      </c>
      <c r="AP257" s="1278"/>
      <c r="AQ257" s="1278"/>
    </row>
    <row s="8164" customFormat="1" customHeight="1" ht="14.25" hidden="1">
      <c r="A258" s="1278"/>
      <c r="B258" s="445">
        <f>K258&lt;first_year+PERIOD_LENGTH</f>
        <v>0</v>
      </c>
      <c r="C258" s="1278"/>
      <c r="D258" s="1278"/>
      <c r="E258" s="703">
        <v>15</v>
      </c>
      <c r="F258" s="50" cm="1" t="str">
        <f t="array" ref="F258:F258">OFFSET(E258,-1,1)</f>
        <v>4</v>
      </c>
      <c r="G258" s="1278"/>
      <c r="H258" s="1278"/>
      <c r="I258" s="1278"/>
      <c r="J258" s="1278"/>
      <c r="K258" s="158">
        <f>first_year+23</f>
        <v>2049</v>
      </c>
      <c r="L258" s="1278"/>
      <c r="M258" s="1278"/>
      <c r="N258" s="1278"/>
      <c r="O258" s="1278"/>
      <c r="P258" s="1278"/>
      <c r="Q258" s="1278"/>
      <c r="R258" s="1278"/>
      <c r="S258" s="1278"/>
      <c r="T258" s="465" cm="1" t="str">
        <f t="array" ref="T258:T258">T257</f>
        <v>true</v>
      </c>
      <c r="U258" s="1278"/>
      <c r="V258" s="1278"/>
      <c r="W258" s="1278"/>
      <c r="X258" s="1563"/>
      <c r="Y258" s="1278"/>
      <c r="Z258" s="1546"/>
      <c r="AA258" s="1278"/>
      <c r="AB258" s="255" t="str">
        <f>K258&amp;" год"</f>
        <v>2049 год</v>
      </c>
      <c r="AC258" s="7974"/>
      <c r="AD258" s="7980"/>
      <c r="AE258" s="7981"/>
      <c r="AF258" s="7981"/>
      <c r="AG258" s="7980"/>
      <c r="AH258" s="8001"/>
      <c r="AI258" s="8001"/>
      <c r="AJ258" s="7980"/>
      <c r="AK258" s="7982"/>
      <c r="AL258" s="403"/>
      <c r="AM258" s="1278"/>
      <c r="AN258" s="1278"/>
      <c r="AO258" s="1064" cm="1" t="str">
        <f t="array" ref="AO258:AO258">K258</f>
        <v>2049</v>
      </c>
      <c r="AP258" s="1278"/>
      <c r="AQ258" s="1278"/>
    </row>
    <row s="8165" customFormat="1" customHeight="1" ht="14.25" hidden="1">
      <c r="A259" s="1278"/>
      <c r="B259" s="445">
        <f>K259&lt;first_year+PERIOD_LENGTH</f>
        <v>0</v>
      </c>
      <c r="C259" s="1278"/>
      <c r="D259" s="1278"/>
      <c r="E259" s="703">
        <v>15</v>
      </c>
      <c r="F259" s="50" cm="1" t="str">
        <f t="array" ref="F259:F259">OFFSET(E259,-1,1)</f>
        <v>4</v>
      </c>
      <c r="G259" s="1278"/>
      <c r="H259" s="1278"/>
      <c r="I259" s="1278"/>
      <c r="J259" s="1278"/>
      <c r="K259" s="158">
        <f>first_year+24</f>
        <v>2050</v>
      </c>
      <c r="L259" s="1278"/>
      <c r="M259" s="1278"/>
      <c r="N259" s="1278"/>
      <c r="O259" s="1278"/>
      <c r="P259" s="1278"/>
      <c r="Q259" s="1278"/>
      <c r="R259" s="1278"/>
      <c r="S259" s="1278"/>
      <c r="T259" s="465" cm="1" t="str">
        <f t="array" ref="T259:T259">T258</f>
        <v>true</v>
      </c>
      <c r="U259" s="1278"/>
      <c r="V259" s="1278"/>
      <c r="W259" s="1278"/>
      <c r="X259" s="1563"/>
      <c r="Y259" s="1278"/>
      <c r="Z259" s="1546"/>
      <c r="AA259" s="1278"/>
      <c r="AB259" s="255" t="str">
        <f>K259&amp;" год"</f>
        <v>2050 год</v>
      </c>
      <c r="AC259" s="7974"/>
      <c r="AD259" s="7980"/>
      <c r="AE259" s="7981"/>
      <c r="AF259" s="7981"/>
      <c r="AG259" s="7980"/>
      <c r="AH259" s="8001"/>
      <c r="AI259" s="8001"/>
      <c r="AJ259" s="7980"/>
      <c r="AK259" s="7982"/>
      <c r="AL259" s="403"/>
      <c r="AM259" s="1278"/>
      <c r="AN259" s="1278"/>
      <c r="AO259" s="1064" cm="1" t="str">
        <f t="array" ref="AO259:AO259">K259</f>
        <v>2050</v>
      </c>
      <c r="AP259" s="1278"/>
      <c r="AQ259" s="1278"/>
    </row>
    <row s="8166" customFormat="1" customHeight="1" ht="14.25" hidden="1">
      <c r="A260" s="1278"/>
      <c r="B260" s="445">
        <f>K260&lt;first_year+PERIOD_LENGTH</f>
        <v>0</v>
      </c>
      <c r="C260" s="1278"/>
      <c r="D260" s="1278"/>
      <c r="E260" s="703">
        <v>15</v>
      </c>
      <c r="F260" s="50" cm="1" t="str">
        <f t="array" ref="F260:F260">OFFSET(E260,-1,1)</f>
        <v>4</v>
      </c>
      <c r="G260" s="1278"/>
      <c r="H260" s="1278"/>
      <c r="I260" s="1278"/>
      <c r="J260" s="1278"/>
      <c r="K260" s="158">
        <f>first_year+25</f>
        <v>2051</v>
      </c>
      <c r="L260" s="1278"/>
      <c r="M260" s="1278"/>
      <c r="N260" s="1278"/>
      <c r="O260" s="1278"/>
      <c r="P260" s="1278"/>
      <c r="Q260" s="1278"/>
      <c r="R260" s="1278"/>
      <c r="S260" s="1278"/>
      <c r="T260" s="465" cm="1" t="str">
        <f t="array" ref="T260:T260">T259</f>
        <v>true</v>
      </c>
      <c r="U260" s="1278"/>
      <c r="V260" s="1278"/>
      <c r="W260" s="1278"/>
      <c r="X260" s="1563"/>
      <c r="Y260" s="1278"/>
      <c r="Z260" s="1546"/>
      <c r="AA260" s="1278"/>
      <c r="AB260" s="255" t="str">
        <f>K260&amp;" год"</f>
        <v>2051 год</v>
      </c>
      <c r="AC260" s="7974"/>
      <c r="AD260" s="7980"/>
      <c r="AE260" s="7981"/>
      <c r="AF260" s="7981"/>
      <c r="AG260" s="7980"/>
      <c r="AH260" s="8001"/>
      <c r="AI260" s="8001"/>
      <c r="AJ260" s="7980"/>
      <c r="AK260" s="7982"/>
      <c r="AL260" s="403"/>
      <c r="AM260" s="1278"/>
      <c r="AN260" s="1278"/>
      <c r="AO260" s="1064" cm="1" t="str">
        <f t="array" ref="AO260:AO260">K260</f>
        <v>2051</v>
      </c>
      <c r="AP260" s="1278"/>
      <c r="AQ260" s="1278"/>
    </row>
    <row s="8167" customFormat="1" customHeight="1" ht="14.25" hidden="1">
      <c r="A261" s="1278"/>
      <c r="B261" s="445">
        <f>K261&lt;first_year+PERIOD_LENGTH</f>
        <v>0</v>
      </c>
      <c r="C261" s="1278"/>
      <c r="D261" s="1278"/>
      <c r="E261" s="703">
        <v>15</v>
      </c>
      <c r="F261" s="50" cm="1" t="str">
        <f t="array" ref="F261:F261">OFFSET(E261,-1,1)</f>
        <v>4</v>
      </c>
      <c r="G261" s="1278"/>
      <c r="H261" s="1278"/>
      <c r="I261" s="1278"/>
      <c r="J261" s="1278"/>
      <c r="K261" s="158">
        <f>first_year+26</f>
        <v>2052</v>
      </c>
      <c r="L261" s="1278"/>
      <c r="M261" s="1278"/>
      <c r="N261" s="1278"/>
      <c r="O261" s="1278"/>
      <c r="P261" s="1278"/>
      <c r="Q261" s="1278"/>
      <c r="R261" s="1278"/>
      <c r="S261" s="1278"/>
      <c r="T261" s="465" cm="1" t="str">
        <f t="array" ref="T261:T261">T260</f>
        <v>true</v>
      </c>
      <c r="U261" s="1278"/>
      <c r="V261" s="1278"/>
      <c r="W261" s="1278"/>
      <c r="X261" s="1563"/>
      <c r="Y261" s="1278"/>
      <c r="Z261" s="1546"/>
      <c r="AA261" s="1278"/>
      <c r="AB261" s="255" t="str">
        <f>K261&amp;" год"</f>
        <v>2052 год</v>
      </c>
      <c r="AC261" s="7974"/>
      <c r="AD261" s="7980"/>
      <c r="AE261" s="7981"/>
      <c r="AF261" s="7981"/>
      <c r="AG261" s="7980"/>
      <c r="AH261" s="8001"/>
      <c r="AI261" s="8001"/>
      <c r="AJ261" s="7980"/>
      <c r="AK261" s="7982"/>
      <c r="AL261" s="403"/>
      <c r="AM261" s="1278"/>
      <c r="AN261" s="1278"/>
      <c r="AO261" s="1064" cm="1" t="str">
        <f t="array" ref="AO261:AO261">K261</f>
        <v>2052</v>
      </c>
      <c r="AP261" s="1278"/>
      <c r="AQ261" s="1278"/>
    </row>
    <row s="8168" customFormat="1" customHeight="1" ht="14.25" hidden="1">
      <c r="A262" s="1278"/>
      <c r="B262" s="445">
        <f>K262&lt;first_year+PERIOD_LENGTH</f>
        <v>0</v>
      </c>
      <c r="C262" s="1278"/>
      <c r="D262" s="1278"/>
      <c r="E262" s="703">
        <v>15</v>
      </c>
      <c r="F262" s="50" cm="1" t="str">
        <f t="array" ref="F262:F262">OFFSET(E262,-1,1)</f>
        <v>4</v>
      </c>
      <c r="G262" s="1278"/>
      <c r="H262" s="1278"/>
      <c r="I262" s="1278"/>
      <c r="J262" s="1278"/>
      <c r="K262" s="158">
        <f>first_year+27</f>
        <v>2053</v>
      </c>
      <c r="L262" s="1278"/>
      <c r="M262" s="1278"/>
      <c r="N262" s="1278"/>
      <c r="O262" s="1278"/>
      <c r="P262" s="1278"/>
      <c r="Q262" s="1278"/>
      <c r="R262" s="1278"/>
      <c r="S262" s="1278"/>
      <c r="T262" s="465" cm="1" t="str">
        <f t="array" ref="T262:T262">T261</f>
        <v>true</v>
      </c>
      <c r="U262" s="1278"/>
      <c r="V262" s="1278"/>
      <c r="W262" s="1278"/>
      <c r="X262" s="1563"/>
      <c r="Y262" s="1278"/>
      <c r="Z262" s="1546"/>
      <c r="AA262" s="1278"/>
      <c r="AB262" s="255" t="str">
        <f>K262&amp;" год"</f>
        <v>2053 год</v>
      </c>
      <c r="AC262" s="7974"/>
      <c r="AD262" s="7980"/>
      <c r="AE262" s="7981"/>
      <c r="AF262" s="7981"/>
      <c r="AG262" s="7980"/>
      <c r="AH262" s="8001"/>
      <c r="AI262" s="8001"/>
      <c r="AJ262" s="7980"/>
      <c r="AK262" s="7982"/>
      <c r="AL262" s="403"/>
      <c r="AM262" s="1278"/>
      <c r="AN262" s="1278"/>
      <c r="AO262" s="1064" cm="1" t="str">
        <f t="array" ref="AO262:AO262">K262</f>
        <v>2053</v>
      </c>
      <c r="AP262" s="1278"/>
      <c r="AQ262" s="1278"/>
    </row>
    <row s="8169" customFormat="1" customHeight="1" ht="14.25" hidden="1">
      <c r="A263" s="1278"/>
      <c r="B263" s="445">
        <f>K263&lt;first_year+PERIOD_LENGTH</f>
        <v>0</v>
      </c>
      <c r="C263" s="1278"/>
      <c r="D263" s="1278"/>
      <c r="E263" s="703">
        <v>15</v>
      </c>
      <c r="F263" s="50" cm="1" t="str">
        <f t="array" ref="F263:F263">OFFSET(E263,-1,1)</f>
        <v>4</v>
      </c>
      <c r="G263" s="1278"/>
      <c r="H263" s="1278"/>
      <c r="I263" s="1278"/>
      <c r="J263" s="1278"/>
      <c r="K263" s="158">
        <f>first_year+28</f>
        <v>2054</v>
      </c>
      <c r="L263" s="1278"/>
      <c r="M263" s="1278"/>
      <c r="N263" s="1278"/>
      <c r="O263" s="1278"/>
      <c r="P263" s="1278"/>
      <c r="Q263" s="1278"/>
      <c r="R263" s="1278"/>
      <c r="S263" s="1278"/>
      <c r="T263" s="465" cm="1" t="str">
        <f t="array" ref="T263:T263">T262</f>
        <v>true</v>
      </c>
      <c r="U263" s="1278"/>
      <c r="V263" s="1278"/>
      <c r="W263" s="1278"/>
      <c r="X263" s="1563"/>
      <c r="Y263" s="1278"/>
      <c r="Z263" s="1546"/>
      <c r="AA263" s="1278"/>
      <c r="AB263" s="255" t="str">
        <f>K263&amp;" год"</f>
        <v>2054 год</v>
      </c>
      <c r="AC263" s="7974"/>
      <c r="AD263" s="7980"/>
      <c r="AE263" s="7981"/>
      <c r="AF263" s="7981"/>
      <c r="AG263" s="7980"/>
      <c r="AH263" s="8001"/>
      <c r="AI263" s="8001"/>
      <c r="AJ263" s="7980"/>
      <c r="AK263" s="7982"/>
      <c r="AL263" s="403"/>
      <c r="AM263" s="1278"/>
      <c r="AN263" s="1278"/>
      <c r="AO263" s="1064" cm="1" t="str">
        <f t="array" ref="AO263:AO263">K263</f>
        <v>2054</v>
      </c>
      <c r="AP263" s="1278"/>
      <c r="AQ263" s="1278"/>
    </row>
    <row s="8170" customFormat="1" customHeight="1" ht="14.25" hidden="1">
      <c r="A264" s="1278"/>
      <c r="B264" s="445">
        <f>K264&lt;first_year+PERIOD_LENGTH</f>
        <v>0</v>
      </c>
      <c r="C264" s="1278"/>
      <c r="D264" s="1278"/>
      <c r="E264" s="703">
        <v>15</v>
      </c>
      <c r="F264" s="50" cm="1" t="str">
        <f t="array" ref="F264:F264">OFFSET(E264,-1,1)</f>
        <v>4</v>
      </c>
      <c r="G264" s="1278"/>
      <c r="H264" s="1278"/>
      <c r="I264" s="1278"/>
      <c r="J264" s="1278"/>
      <c r="K264" s="158">
        <f>first_year+29</f>
        <v>2055</v>
      </c>
      <c r="L264" s="1278"/>
      <c r="M264" s="1278"/>
      <c r="N264" s="1278"/>
      <c r="O264" s="1278"/>
      <c r="P264" s="1278"/>
      <c r="Q264" s="1278"/>
      <c r="R264" s="1278"/>
      <c r="S264" s="1278"/>
      <c r="T264" s="465" cm="1" t="str">
        <f t="array" ref="T264:T264">T263</f>
        <v>true</v>
      </c>
      <c r="U264" s="1278"/>
      <c r="V264" s="1278"/>
      <c r="W264" s="1278"/>
      <c r="X264" s="1563"/>
      <c r="Y264" s="1278"/>
      <c r="Z264" s="1546"/>
      <c r="AA264" s="1278"/>
      <c r="AB264" s="255" t="str">
        <f>K264&amp;" год"</f>
        <v>2055 год</v>
      </c>
      <c r="AC264" s="7974"/>
      <c r="AD264" s="7980"/>
      <c r="AE264" s="7981"/>
      <c r="AF264" s="7981"/>
      <c r="AG264" s="7980"/>
      <c r="AH264" s="8001"/>
      <c r="AI264" s="8001"/>
      <c r="AJ264" s="7980"/>
      <c r="AK264" s="7982"/>
      <c r="AL264" s="403"/>
      <c r="AM264" s="1278"/>
      <c r="AN264" s="1278"/>
      <c r="AO264" s="1064" cm="1" t="str">
        <f t="array" ref="AO264:AO264">K264</f>
        <v>2055</v>
      </c>
      <c r="AP264" s="1278"/>
      <c r="AQ264" s="1278"/>
    </row>
    <row s="8171" customFormat="1" customHeight="1" ht="14.25" hidden="1">
      <c r="A265" s="1278"/>
      <c r="B265" s="445">
        <f>K265&lt;first_year+PERIOD_LENGTH</f>
        <v>0</v>
      </c>
      <c r="C265" s="1278"/>
      <c r="D265" s="1278"/>
      <c r="E265" s="703">
        <v>15</v>
      </c>
      <c r="F265" s="50" cm="1" t="str">
        <f t="array" ref="F265:F265">OFFSET(E265,-1,1)</f>
        <v>4</v>
      </c>
      <c r="G265" s="1278"/>
      <c r="H265" s="1278"/>
      <c r="I265" s="1278"/>
      <c r="J265" s="1278"/>
      <c r="K265" s="158">
        <f>first_year+30</f>
        <v>2056</v>
      </c>
      <c r="L265" s="1278"/>
      <c r="M265" s="1278"/>
      <c r="N265" s="1278"/>
      <c r="O265" s="1278"/>
      <c r="P265" s="1278"/>
      <c r="Q265" s="1278"/>
      <c r="R265" s="1278"/>
      <c r="S265" s="1278"/>
      <c r="T265" s="465" cm="1" t="str">
        <f t="array" ref="T265:T265">T264</f>
        <v>true</v>
      </c>
      <c r="U265" s="1278"/>
      <c r="V265" s="1278"/>
      <c r="W265" s="1278"/>
      <c r="X265" s="1563"/>
      <c r="Y265" s="1278"/>
      <c r="Z265" s="1546"/>
      <c r="AA265" s="1278"/>
      <c r="AB265" s="255" t="str">
        <f>K265&amp;" год"</f>
        <v>2056 год</v>
      </c>
      <c r="AC265" s="7974"/>
      <c r="AD265" s="7980"/>
      <c r="AE265" s="7981"/>
      <c r="AF265" s="7981"/>
      <c r="AG265" s="7980"/>
      <c r="AH265" s="8001"/>
      <c r="AI265" s="8001"/>
      <c r="AJ265" s="7980"/>
      <c r="AK265" s="7982"/>
      <c r="AL265" s="403"/>
      <c r="AM265" s="1278"/>
      <c r="AN265" s="1278"/>
      <c r="AO265" s="1064" cm="1" t="str">
        <f t="array" ref="AO265:AO265">K265</f>
        <v>2056</v>
      </c>
      <c r="AP265" s="1278"/>
      <c r="AQ265" s="1278"/>
    </row>
    <row s="8172" customFormat="1" customHeight="1" ht="14.25" hidden="1">
      <c r="A266" s="1278"/>
      <c r="B266" s="445">
        <f>K266&lt;first_year+PERIOD_LENGTH</f>
        <v>0</v>
      </c>
      <c r="C266" s="1278"/>
      <c r="D266" s="1278"/>
      <c r="E266" s="703">
        <v>15</v>
      </c>
      <c r="F266" s="50" cm="1" t="str">
        <f t="array" ref="F266:F266">OFFSET(E266,-1,1)</f>
        <v>4</v>
      </c>
      <c r="G266" s="1278"/>
      <c r="H266" s="1278"/>
      <c r="I266" s="1278"/>
      <c r="J266" s="1278"/>
      <c r="K266" s="158">
        <f>first_year+31</f>
        <v>2057</v>
      </c>
      <c r="L266" s="1278"/>
      <c r="M266" s="1278"/>
      <c r="N266" s="1278"/>
      <c r="O266" s="1278"/>
      <c r="P266" s="1278"/>
      <c r="Q266" s="1278"/>
      <c r="R266" s="1278"/>
      <c r="S266" s="1278"/>
      <c r="T266" s="465" cm="1" t="str">
        <f t="array" ref="T266:T266">T265</f>
        <v>true</v>
      </c>
      <c r="U266" s="1278"/>
      <c r="V266" s="1278"/>
      <c r="W266" s="1278"/>
      <c r="X266" s="1563"/>
      <c r="Y266" s="1278"/>
      <c r="Z266" s="1546"/>
      <c r="AA266" s="1278"/>
      <c r="AB266" s="255" t="str">
        <f>K266&amp;" год"</f>
        <v>2057 год</v>
      </c>
      <c r="AC266" s="7974"/>
      <c r="AD266" s="7980"/>
      <c r="AE266" s="7981"/>
      <c r="AF266" s="7981"/>
      <c r="AG266" s="7980"/>
      <c r="AH266" s="8001"/>
      <c r="AI266" s="8001"/>
      <c r="AJ266" s="7980"/>
      <c r="AK266" s="7982"/>
      <c r="AL266" s="403"/>
      <c r="AM266" s="1278"/>
      <c r="AN266" s="1278"/>
      <c r="AO266" s="1064" cm="1" t="str">
        <f t="array" ref="AO266:AO266">K266</f>
        <v>2057</v>
      </c>
      <c r="AP266" s="1278"/>
      <c r="AQ266" s="1278"/>
    </row>
    <row s="8173" customFormat="1" customHeight="1" ht="14.25" hidden="1">
      <c r="A267" s="1278"/>
      <c r="B267" s="445">
        <f>K267&lt;first_year+PERIOD_LENGTH</f>
        <v>0</v>
      </c>
      <c r="C267" s="1278"/>
      <c r="D267" s="1278"/>
      <c r="E267" s="703">
        <v>15</v>
      </c>
      <c r="F267" s="50" cm="1" t="str">
        <f t="array" ref="F267:F267">OFFSET(E267,-1,1)</f>
        <v>4</v>
      </c>
      <c r="G267" s="1278"/>
      <c r="H267" s="1278"/>
      <c r="I267" s="1278"/>
      <c r="J267" s="1278"/>
      <c r="K267" s="158">
        <f>first_year+32</f>
        <v>2058</v>
      </c>
      <c r="L267" s="1278"/>
      <c r="M267" s="1278"/>
      <c r="N267" s="1278"/>
      <c r="O267" s="1278"/>
      <c r="P267" s="1278"/>
      <c r="Q267" s="1278"/>
      <c r="R267" s="1278"/>
      <c r="S267" s="1278"/>
      <c r="T267" s="465" cm="1" t="str">
        <f t="array" ref="T267:T267">T266</f>
        <v>true</v>
      </c>
      <c r="U267" s="1278"/>
      <c r="V267" s="1278"/>
      <c r="W267" s="1278"/>
      <c r="X267" s="1563"/>
      <c r="Y267" s="1278"/>
      <c r="Z267" s="1546"/>
      <c r="AA267" s="1278"/>
      <c r="AB267" s="255" t="str">
        <f>K267&amp;" год"</f>
        <v>2058 год</v>
      </c>
      <c r="AC267" s="7974"/>
      <c r="AD267" s="7980"/>
      <c r="AE267" s="7981"/>
      <c r="AF267" s="7981"/>
      <c r="AG267" s="7980"/>
      <c r="AH267" s="8001"/>
      <c r="AI267" s="8001"/>
      <c r="AJ267" s="7980"/>
      <c r="AK267" s="7982"/>
      <c r="AL267" s="403"/>
      <c r="AM267" s="1278"/>
      <c r="AN267" s="1278"/>
      <c r="AO267" s="1064" cm="1" t="str">
        <f t="array" ref="AO267:AO267">K267</f>
        <v>2058</v>
      </c>
      <c r="AP267" s="1278"/>
      <c r="AQ267" s="1278"/>
    </row>
    <row s="8174" customFormat="1" customHeight="1" ht="14.25" hidden="1">
      <c r="A268" s="1278"/>
      <c r="B268" s="445">
        <f>K268&lt;first_year+PERIOD_LENGTH</f>
        <v>0</v>
      </c>
      <c r="C268" s="1278"/>
      <c r="D268" s="1278"/>
      <c r="E268" s="703">
        <v>15</v>
      </c>
      <c r="F268" s="50" cm="1" t="str">
        <f t="array" ref="F268:F268">OFFSET(E268,-1,1)</f>
        <v>4</v>
      </c>
      <c r="G268" s="1278"/>
      <c r="H268" s="1278"/>
      <c r="I268" s="1278"/>
      <c r="J268" s="1278"/>
      <c r="K268" s="158">
        <f>first_year+33</f>
        <v>2059</v>
      </c>
      <c r="L268" s="1278"/>
      <c r="M268" s="1278"/>
      <c r="N268" s="1278"/>
      <c r="O268" s="1278"/>
      <c r="P268" s="1278"/>
      <c r="Q268" s="1278"/>
      <c r="R268" s="1278"/>
      <c r="S268" s="1278"/>
      <c r="T268" s="465" cm="1" t="str">
        <f t="array" ref="T268:T268">T267</f>
        <v>true</v>
      </c>
      <c r="U268" s="1278"/>
      <c r="V268" s="1278"/>
      <c r="W268" s="1278"/>
      <c r="X268" s="1563"/>
      <c r="Y268" s="1278"/>
      <c r="Z268" s="1546"/>
      <c r="AA268" s="1278"/>
      <c r="AB268" s="255" t="str">
        <f>K268&amp;" год"</f>
        <v>2059 год</v>
      </c>
      <c r="AC268" s="7974"/>
      <c r="AD268" s="7980"/>
      <c r="AE268" s="7981"/>
      <c r="AF268" s="7981"/>
      <c r="AG268" s="7980"/>
      <c r="AH268" s="8001"/>
      <c r="AI268" s="8001"/>
      <c r="AJ268" s="7980"/>
      <c r="AK268" s="7982"/>
      <c r="AL268" s="403"/>
      <c r="AM268" s="1278"/>
      <c r="AN268" s="1278"/>
      <c r="AO268" s="1064" cm="1" t="str">
        <f t="array" ref="AO268:AO268">K268</f>
        <v>2059</v>
      </c>
      <c r="AP268" s="1278"/>
      <c r="AQ268" s="1278"/>
    </row>
    <row s="8175" customFormat="1" customHeight="1" ht="14.25" hidden="1">
      <c r="A269" s="1278"/>
      <c r="B269" s="445">
        <f>K269&lt;first_year+PERIOD_LENGTH</f>
        <v>0</v>
      </c>
      <c r="C269" s="1278"/>
      <c r="D269" s="1278"/>
      <c r="E269" s="703">
        <v>15</v>
      </c>
      <c r="F269" s="50" cm="1" t="str">
        <f t="array" ref="F269:F269">OFFSET(E269,-1,1)</f>
        <v>4</v>
      </c>
      <c r="G269" s="1278"/>
      <c r="H269" s="1278"/>
      <c r="I269" s="1278"/>
      <c r="J269" s="1278"/>
      <c r="K269" s="158">
        <f>first_year+34</f>
        <v>2060</v>
      </c>
      <c r="L269" s="1278"/>
      <c r="M269" s="1278"/>
      <c r="N269" s="1278"/>
      <c r="O269" s="1278"/>
      <c r="P269" s="1278"/>
      <c r="Q269" s="1278"/>
      <c r="R269" s="1278"/>
      <c r="S269" s="1278"/>
      <c r="T269" s="465" cm="1" t="str">
        <f t="array" ref="T269:T269">T268</f>
        <v>true</v>
      </c>
      <c r="U269" s="1278"/>
      <c r="V269" s="1278"/>
      <c r="W269" s="1278"/>
      <c r="X269" s="1563"/>
      <c r="Y269" s="1278"/>
      <c r="Z269" s="1546"/>
      <c r="AA269" s="1278"/>
      <c r="AB269" s="255" t="str">
        <f>K269&amp;" год"</f>
        <v>2060 год</v>
      </c>
      <c r="AC269" s="7974"/>
      <c r="AD269" s="7980"/>
      <c r="AE269" s="7981"/>
      <c r="AF269" s="7981"/>
      <c r="AG269" s="7980"/>
      <c r="AH269" s="8001"/>
      <c r="AI269" s="8001"/>
      <c r="AJ269" s="7980"/>
      <c r="AK269" s="7982"/>
      <c r="AL269" s="403"/>
      <c r="AM269" s="1278"/>
      <c r="AN269" s="1278"/>
      <c r="AO269" s="1064" cm="1" t="str">
        <f t="array" ref="AO269:AO269">K269</f>
        <v>2060</v>
      </c>
      <c r="AP269" s="1278"/>
      <c r="AQ269" s="1278"/>
    </row>
    <row s="8176" customFormat="1" customHeight="1" ht="14.25" hidden="1">
      <c r="A270" s="1278"/>
      <c r="B270" s="445">
        <f>K270&lt;first_year+PERIOD_LENGTH</f>
        <v>0</v>
      </c>
      <c r="C270" s="1278"/>
      <c r="D270" s="1278"/>
      <c r="E270" s="703">
        <v>15</v>
      </c>
      <c r="F270" s="50" cm="1" t="str">
        <f t="array" ref="F270:F270">OFFSET(E270,-1,1)</f>
        <v>4</v>
      </c>
      <c r="G270" s="1278"/>
      <c r="H270" s="1278"/>
      <c r="I270" s="1278"/>
      <c r="J270" s="1278"/>
      <c r="K270" s="158">
        <f>first_year+35</f>
        <v>2061</v>
      </c>
      <c r="L270" s="1278"/>
      <c r="M270" s="1278"/>
      <c r="N270" s="1278"/>
      <c r="O270" s="1278"/>
      <c r="P270" s="1278"/>
      <c r="Q270" s="1278"/>
      <c r="R270" s="1278"/>
      <c r="S270" s="1278"/>
      <c r="T270" s="465" cm="1" t="str">
        <f t="array" ref="T270:T270">T269</f>
        <v>true</v>
      </c>
      <c r="U270" s="1278"/>
      <c r="V270" s="1278"/>
      <c r="W270" s="1278"/>
      <c r="X270" s="1563"/>
      <c r="Y270" s="1278"/>
      <c r="Z270" s="1546"/>
      <c r="AA270" s="1278"/>
      <c r="AB270" s="255" t="str">
        <f>K270&amp;" год"</f>
        <v>2061 год</v>
      </c>
      <c r="AC270" s="7974"/>
      <c r="AD270" s="7980"/>
      <c r="AE270" s="7981"/>
      <c r="AF270" s="7981"/>
      <c r="AG270" s="7980"/>
      <c r="AH270" s="8001"/>
      <c r="AI270" s="8001"/>
      <c r="AJ270" s="7980"/>
      <c r="AK270" s="7982"/>
      <c r="AL270" s="403"/>
      <c r="AM270" s="1278"/>
      <c r="AN270" s="1278"/>
      <c r="AO270" s="1064" cm="1" t="str">
        <f t="array" ref="AO270:AO270">K270</f>
        <v>2061</v>
      </c>
      <c r="AP270" s="1278"/>
      <c r="AQ270" s="1278"/>
    </row>
    <row s="8177" customFormat="1" customHeight="1" ht="14.25" hidden="1">
      <c r="A271" s="1278"/>
      <c r="B271" s="445">
        <f>K271&lt;first_year+PERIOD_LENGTH</f>
        <v>0</v>
      </c>
      <c r="C271" s="1278"/>
      <c r="D271" s="1278"/>
      <c r="E271" s="703">
        <v>15</v>
      </c>
      <c r="F271" s="50" cm="1" t="str">
        <f t="array" ref="F271:F271">OFFSET(E271,-1,1)</f>
        <v>4</v>
      </c>
      <c r="G271" s="1278"/>
      <c r="H271" s="1278"/>
      <c r="I271" s="1278"/>
      <c r="J271" s="1278"/>
      <c r="K271" s="158">
        <f>first_year+36</f>
        <v>2062</v>
      </c>
      <c r="L271" s="1278"/>
      <c r="M271" s="1278"/>
      <c r="N271" s="1278"/>
      <c r="O271" s="1278"/>
      <c r="P271" s="1278"/>
      <c r="Q271" s="1278"/>
      <c r="R271" s="1278"/>
      <c r="S271" s="1278"/>
      <c r="T271" s="465" cm="1" t="str">
        <f t="array" ref="T271:T271">T270</f>
        <v>true</v>
      </c>
      <c r="U271" s="1278"/>
      <c r="V271" s="1278"/>
      <c r="W271" s="1278"/>
      <c r="X271" s="1563"/>
      <c r="Y271" s="1278"/>
      <c r="Z271" s="1546"/>
      <c r="AA271" s="1278"/>
      <c r="AB271" s="255" t="str">
        <f>K271&amp;" год"</f>
        <v>2062 год</v>
      </c>
      <c r="AC271" s="7974"/>
      <c r="AD271" s="7980"/>
      <c r="AE271" s="7981"/>
      <c r="AF271" s="7981"/>
      <c r="AG271" s="7980"/>
      <c r="AH271" s="8001"/>
      <c r="AI271" s="8001"/>
      <c r="AJ271" s="7980"/>
      <c r="AK271" s="7982"/>
      <c r="AL271" s="403"/>
      <c r="AM271" s="1278"/>
      <c r="AN271" s="1278"/>
      <c r="AO271" s="1064" cm="1" t="str">
        <f t="array" ref="AO271:AO271">K271</f>
        <v>2062</v>
      </c>
      <c r="AP271" s="1278"/>
      <c r="AQ271" s="1278"/>
    </row>
    <row s="8178" customFormat="1" customHeight="1" ht="14.25" hidden="1">
      <c r="A272" s="1278"/>
      <c r="B272" s="445">
        <f>K272&lt;first_year+PERIOD_LENGTH</f>
        <v>0</v>
      </c>
      <c r="C272" s="1278"/>
      <c r="D272" s="1278"/>
      <c r="E272" s="703">
        <v>15</v>
      </c>
      <c r="F272" s="50" cm="1" t="str">
        <f t="array" ref="F272:F272">OFFSET(E272,-1,1)</f>
        <v>4</v>
      </c>
      <c r="G272" s="1278"/>
      <c r="H272" s="1278"/>
      <c r="I272" s="1278"/>
      <c r="J272" s="1278"/>
      <c r="K272" s="158">
        <f>first_year+37</f>
        <v>2063</v>
      </c>
      <c r="L272" s="1278"/>
      <c r="M272" s="1278"/>
      <c r="N272" s="1278"/>
      <c r="O272" s="1278"/>
      <c r="P272" s="1278"/>
      <c r="Q272" s="1278"/>
      <c r="R272" s="1278"/>
      <c r="S272" s="1278"/>
      <c r="T272" s="465" cm="1" t="str">
        <f t="array" ref="T272:T272">T271</f>
        <v>true</v>
      </c>
      <c r="U272" s="1278"/>
      <c r="V272" s="1278"/>
      <c r="W272" s="1278"/>
      <c r="X272" s="1563"/>
      <c r="Y272" s="1278"/>
      <c r="Z272" s="1546"/>
      <c r="AA272" s="1278"/>
      <c r="AB272" s="255" t="str">
        <f>K272&amp;" год"</f>
        <v>2063 год</v>
      </c>
      <c r="AC272" s="7974"/>
      <c r="AD272" s="7980"/>
      <c r="AE272" s="7981"/>
      <c r="AF272" s="7981"/>
      <c r="AG272" s="7980"/>
      <c r="AH272" s="8001"/>
      <c r="AI272" s="8001"/>
      <c r="AJ272" s="7980"/>
      <c r="AK272" s="7982"/>
      <c r="AL272" s="403"/>
      <c r="AM272" s="1278"/>
      <c r="AN272" s="1278"/>
      <c r="AO272" s="1064" cm="1" t="str">
        <f t="array" ref="AO272:AO272">K272</f>
        <v>2063</v>
      </c>
      <c r="AP272" s="1278"/>
      <c r="AQ272" s="1278"/>
    </row>
    <row s="8179" customFormat="1" customHeight="1" ht="14.25" hidden="1">
      <c r="A273" s="1278"/>
      <c r="B273" s="445">
        <f>K273&lt;first_year+PERIOD_LENGTH</f>
        <v>0</v>
      </c>
      <c r="C273" s="1278"/>
      <c r="D273" s="1278"/>
      <c r="E273" s="703">
        <v>15</v>
      </c>
      <c r="F273" s="50" cm="1" t="str">
        <f t="array" ref="F273:F273">OFFSET(E273,-1,1)</f>
        <v>4</v>
      </c>
      <c r="G273" s="1278"/>
      <c r="H273" s="1278"/>
      <c r="I273" s="1278"/>
      <c r="J273" s="1278"/>
      <c r="K273" s="158">
        <f>first_year+38</f>
        <v>2064</v>
      </c>
      <c r="L273" s="1278"/>
      <c r="M273" s="1278"/>
      <c r="N273" s="1278"/>
      <c r="O273" s="1278"/>
      <c r="P273" s="1278"/>
      <c r="Q273" s="1278"/>
      <c r="R273" s="1278"/>
      <c r="S273" s="1278"/>
      <c r="T273" s="465" cm="1" t="str">
        <f t="array" ref="T273:T273">T272</f>
        <v>true</v>
      </c>
      <c r="U273" s="1278"/>
      <c r="V273" s="1278"/>
      <c r="W273" s="1278"/>
      <c r="X273" s="1563"/>
      <c r="Y273" s="1278"/>
      <c r="Z273" s="1546"/>
      <c r="AA273" s="1278"/>
      <c r="AB273" s="255" t="str">
        <f>K273&amp;" год"</f>
        <v>2064 год</v>
      </c>
      <c r="AC273" s="7974"/>
      <c r="AD273" s="7980"/>
      <c r="AE273" s="7981"/>
      <c r="AF273" s="7981"/>
      <c r="AG273" s="7980"/>
      <c r="AH273" s="8001"/>
      <c r="AI273" s="8001"/>
      <c r="AJ273" s="7980"/>
      <c r="AK273" s="7982"/>
      <c r="AL273" s="403"/>
      <c r="AM273" s="1278"/>
      <c r="AN273" s="1278"/>
      <c r="AO273" s="1064" cm="1" t="str">
        <f t="array" ref="AO273:AO273">K273</f>
        <v>2064</v>
      </c>
      <c r="AP273" s="1278"/>
      <c r="AQ273" s="1278"/>
    </row>
    <row s="8180" customFormat="1" customHeight="1" ht="14.25" hidden="1">
      <c r="A274" s="1278"/>
      <c r="B274" s="445">
        <f>K274&lt;first_year+PERIOD_LENGTH</f>
        <v>0</v>
      </c>
      <c r="C274" s="1278"/>
      <c r="D274" s="1278"/>
      <c r="E274" s="703">
        <v>15</v>
      </c>
      <c r="F274" s="50" cm="1" t="str">
        <f t="array" ref="F274:F274">OFFSET(E274,-1,1)</f>
        <v>4</v>
      </c>
      <c r="G274" s="1278"/>
      <c r="H274" s="1278"/>
      <c r="I274" s="1278"/>
      <c r="J274" s="1278"/>
      <c r="K274" s="158">
        <f>first_year+39</f>
        <v>2065</v>
      </c>
      <c r="L274" s="1278"/>
      <c r="M274" s="1278"/>
      <c r="N274" s="1278"/>
      <c r="O274" s="1278"/>
      <c r="P274" s="1278"/>
      <c r="Q274" s="1278"/>
      <c r="R274" s="1278"/>
      <c r="S274" s="1278"/>
      <c r="T274" s="465" cm="1" t="str">
        <f t="array" ref="T274:T274">T273</f>
        <v>true</v>
      </c>
      <c r="U274" s="1278"/>
      <c r="V274" s="1278"/>
      <c r="W274" s="1278"/>
      <c r="X274" s="1563"/>
      <c r="Y274" s="1278"/>
      <c r="Z274" s="1546"/>
      <c r="AA274" s="1278"/>
      <c r="AB274" s="255" t="str">
        <f>K274&amp;" год"</f>
        <v>2065 год</v>
      </c>
      <c r="AC274" s="7974"/>
      <c r="AD274" s="7980"/>
      <c r="AE274" s="7981"/>
      <c r="AF274" s="7981"/>
      <c r="AG274" s="7980"/>
      <c r="AH274" s="8001"/>
      <c r="AI274" s="8001"/>
      <c r="AJ274" s="7980"/>
      <c r="AK274" s="7982"/>
      <c r="AL274" s="403"/>
      <c r="AM274" s="1278"/>
      <c r="AN274" s="1278"/>
      <c r="AO274" s="1064" cm="1" t="str">
        <f t="array" ref="AO274:AO274">K274</f>
        <v>2065</v>
      </c>
      <c r="AP274" s="1278"/>
      <c r="AQ274" s="1278"/>
    </row>
    <row s="8181" customFormat="1" customHeight="1" ht="14.25" hidden="1">
      <c r="A275" s="1278"/>
      <c r="B275" s="445">
        <f>K275&lt;first_year+PERIOD_LENGTH</f>
        <v>0</v>
      </c>
      <c r="C275" s="1278"/>
      <c r="D275" s="1278"/>
      <c r="E275" s="703">
        <v>15</v>
      </c>
      <c r="F275" s="50" cm="1" t="str">
        <f t="array" ref="F275:F275">OFFSET(E275,-1,1)</f>
        <v>4</v>
      </c>
      <c r="G275" s="1278"/>
      <c r="H275" s="1278"/>
      <c r="I275" s="1278"/>
      <c r="J275" s="1278"/>
      <c r="K275" s="158">
        <f>first_year+40</f>
        <v>2066</v>
      </c>
      <c r="L275" s="1278"/>
      <c r="M275" s="1278"/>
      <c r="N275" s="1278"/>
      <c r="O275" s="1278"/>
      <c r="P275" s="1278"/>
      <c r="Q275" s="1278"/>
      <c r="R275" s="1278"/>
      <c r="S275" s="1278"/>
      <c r="T275" s="465" cm="1" t="str">
        <f t="array" ref="T275:T275">T274</f>
        <v>true</v>
      </c>
      <c r="U275" s="1278"/>
      <c r="V275" s="1278"/>
      <c r="W275" s="1278"/>
      <c r="X275" s="1563"/>
      <c r="Y275" s="1278"/>
      <c r="Z275" s="1546"/>
      <c r="AA275" s="1278"/>
      <c r="AB275" s="255" t="str">
        <f>K275&amp;" год"</f>
        <v>2066 год</v>
      </c>
      <c r="AC275" s="7974"/>
      <c r="AD275" s="7980"/>
      <c r="AE275" s="7981"/>
      <c r="AF275" s="7981"/>
      <c r="AG275" s="7980"/>
      <c r="AH275" s="8001"/>
      <c r="AI275" s="8001"/>
      <c r="AJ275" s="7980"/>
      <c r="AK275" s="7982"/>
      <c r="AL275" s="403"/>
      <c r="AM275" s="1278"/>
      <c r="AN275" s="1278"/>
      <c r="AO275" s="1064" cm="1" t="str">
        <f t="array" ref="AO275:AO275">K275</f>
        <v>2066</v>
      </c>
      <c r="AP275" s="1278"/>
      <c r="AQ275" s="1278"/>
    </row>
    <row s="8182" customFormat="1" customHeight="1" ht="14.25" hidden="1">
      <c r="A276" s="1278"/>
      <c r="B276" s="445">
        <f>K276&lt;first_year+PERIOD_LENGTH</f>
        <v>0</v>
      </c>
      <c r="C276" s="1278"/>
      <c r="D276" s="1278"/>
      <c r="E276" s="703">
        <v>15</v>
      </c>
      <c r="F276" s="50" cm="1" t="str">
        <f t="array" ref="F276:F276">OFFSET(E276,-1,1)</f>
        <v>4</v>
      </c>
      <c r="G276" s="1278"/>
      <c r="H276" s="1278"/>
      <c r="I276" s="1278"/>
      <c r="J276" s="1278"/>
      <c r="K276" s="158">
        <f>first_year+41</f>
        <v>2067</v>
      </c>
      <c r="L276" s="1278"/>
      <c r="M276" s="1278"/>
      <c r="N276" s="1278"/>
      <c r="O276" s="1278"/>
      <c r="P276" s="1278"/>
      <c r="Q276" s="1278"/>
      <c r="R276" s="1278"/>
      <c r="S276" s="1278"/>
      <c r="T276" s="465" cm="1" t="str">
        <f t="array" ref="T276:T276">T275</f>
        <v>true</v>
      </c>
      <c r="U276" s="1278"/>
      <c r="V276" s="1278"/>
      <c r="W276" s="1278"/>
      <c r="X276" s="1563"/>
      <c r="Y276" s="1278"/>
      <c r="Z276" s="1546"/>
      <c r="AA276" s="1278"/>
      <c r="AB276" s="255" t="str">
        <f>K276&amp;" год"</f>
        <v>2067 год</v>
      </c>
      <c r="AC276" s="7974"/>
      <c r="AD276" s="7980"/>
      <c r="AE276" s="7981"/>
      <c r="AF276" s="7981"/>
      <c r="AG276" s="7980"/>
      <c r="AH276" s="8001"/>
      <c r="AI276" s="8001"/>
      <c r="AJ276" s="7980"/>
      <c r="AK276" s="7982"/>
      <c r="AL276" s="403"/>
      <c r="AM276" s="1278"/>
      <c r="AN276" s="1278"/>
      <c r="AO276" s="1064" cm="1" t="str">
        <f t="array" ref="AO276:AO276">K276</f>
        <v>2067</v>
      </c>
      <c r="AP276" s="1278"/>
      <c r="AQ276" s="1278"/>
    </row>
    <row s="8183" customFormat="1" customHeight="1" ht="14.25" hidden="1">
      <c r="A277" s="1278"/>
      <c r="B277" s="445">
        <f>K277&lt;first_year+PERIOD_LENGTH</f>
        <v>0</v>
      </c>
      <c r="C277" s="1278"/>
      <c r="D277" s="1278"/>
      <c r="E277" s="703">
        <v>15</v>
      </c>
      <c r="F277" s="50" cm="1" t="str">
        <f t="array" ref="F277:F277">OFFSET(E277,-1,1)</f>
        <v>4</v>
      </c>
      <c r="G277" s="1278"/>
      <c r="H277" s="1278"/>
      <c r="I277" s="1278"/>
      <c r="J277" s="1278"/>
      <c r="K277" s="158">
        <f>first_year+42</f>
        <v>2068</v>
      </c>
      <c r="L277" s="1278"/>
      <c r="M277" s="1278"/>
      <c r="N277" s="1278"/>
      <c r="O277" s="1278"/>
      <c r="P277" s="1278"/>
      <c r="Q277" s="1278"/>
      <c r="R277" s="1278"/>
      <c r="S277" s="1278"/>
      <c r="T277" s="465" cm="1" t="str">
        <f t="array" ref="T277:T277">T276</f>
        <v>true</v>
      </c>
      <c r="U277" s="1278"/>
      <c r="V277" s="1278"/>
      <c r="W277" s="1278"/>
      <c r="X277" s="1563"/>
      <c r="Y277" s="1278"/>
      <c r="Z277" s="1546"/>
      <c r="AA277" s="1278"/>
      <c r="AB277" s="255" t="str">
        <f>K277&amp;" год"</f>
        <v>2068 год</v>
      </c>
      <c r="AC277" s="7974"/>
      <c r="AD277" s="7980"/>
      <c r="AE277" s="7981"/>
      <c r="AF277" s="7981"/>
      <c r="AG277" s="7980"/>
      <c r="AH277" s="8001"/>
      <c r="AI277" s="8001"/>
      <c r="AJ277" s="7980"/>
      <c r="AK277" s="7982"/>
      <c r="AL277" s="403"/>
      <c r="AM277" s="1278"/>
      <c r="AN277" s="1278"/>
      <c r="AO277" s="1064" cm="1" t="str">
        <f t="array" ref="AO277:AO277">K277</f>
        <v>2068</v>
      </c>
      <c r="AP277" s="1278"/>
      <c r="AQ277" s="1278"/>
    </row>
    <row s="8184" customFormat="1" customHeight="1" ht="14.25" hidden="1">
      <c r="A278" s="1278"/>
      <c r="B278" s="445">
        <f>K278&lt;first_year+PERIOD_LENGTH</f>
        <v>0</v>
      </c>
      <c r="C278" s="1278"/>
      <c r="D278" s="1278"/>
      <c r="E278" s="703">
        <v>15</v>
      </c>
      <c r="F278" s="50" cm="1" t="str">
        <f t="array" ref="F278:F278">OFFSET(E278,-1,1)</f>
        <v>4</v>
      </c>
      <c r="G278" s="1278"/>
      <c r="H278" s="1278"/>
      <c r="I278" s="1278"/>
      <c r="J278" s="1278"/>
      <c r="K278" s="158">
        <f>first_year+43</f>
        <v>2069</v>
      </c>
      <c r="L278" s="1278"/>
      <c r="M278" s="1278"/>
      <c r="N278" s="1278"/>
      <c r="O278" s="1278"/>
      <c r="P278" s="1278"/>
      <c r="Q278" s="1278"/>
      <c r="R278" s="1278"/>
      <c r="S278" s="1278"/>
      <c r="T278" s="465" cm="1" t="str">
        <f t="array" ref="T278:T278">T277</f>
        <v>true</v>
      </c>
      <c r="U278" s="1278"/>
      <c r="V278" s="1278"/>
      <c r="W278" s="1278"/>
      <c r="X278" s="1563"/>
      <c r="Y278" s="1278"/>
      <c r="Z278" s="1546"/>
      <c r="AA278" s="1278"/>
      <c r="AB278" s="255" t="str">
        <f>K278&amp;" год"</f>
        <v>2069 год</v>
      </c>
      <c r="AC278" s="7974"/>
      <c r="AD278" s="7980"/>
      <c r="AE278" s="7981"/>
      <c r="AF278" s="7981"/>
      <c r="AG278" s="7980"/>
      <c r="AH278" s="8001"/>
      <c r="AI278" s="8001"/>
      <c r="AJ278" s="7980"/>
      <c r="AK278" s="7982"/>
      <c r="AL278" s="403"/>
      <c r="AM278" s="1278"/>
      <c r="AN278" s="1278"/>
      <c r="AO278" s="1064" cm="1" t="str">
        <f t="array" ref="AO278:AO278">K278</f>
        <v>2069</v>
      </c>
      <c r="AP278" s="1278"/>
      <c r="AQ278" s="1278"/>
    </row>
    <row s="8185" customFormat="1" customHeight="1" ht="14.25" hidden="1">
      <c r="A279" s="1278"/>
      <c r="B279" s="445">
        <f>K279&lt;first_year+PERIOD_LENGTH</f>
        <v>0</v>
      </c>
      <c r="C279" s="1278"/>
      <c r="D279" s="1278"/>
      <c r="E279" s="703">
        <v>15</v>
      </c>
      <c r="F279" s="50" cm="1" t="str">
        <f t="array" ref="F279:F279">OFFSET(E279,-1,1)</f>
        <v>4</v>
      </c>
      <c r="G279" s="1278"/>
      <c r="H279" s="1278"/>
      <c r="I279" s="1278"/>
      <c r="J279" s="1278"/>
      <c r="K279" s="158">
        <f>first_year+44</f>
        <v>2070</v>
      </c>
      <c r="L279" s="1278"/>
      <c r="M279" s="1278"/>
      <c r="N279" s="1278"/>
      <c r="O279" s="1278"/>
      <c r="P279" s="1278"/>
      <c r="Q279" s="1278"/>
      <c r="R279" s="1278"/>
      <c r="S279" s="1278"/>
      <c r="T279" s="465" cm="1" t="str">
        <f t="array" ref="T279:T279">T278</f>
        <v>true</v>
      </c>
      <c r="U279" s="1278"/>
      <c r="V279" s="1278"/>
      <c r="W279" s="1278"/>
      <c r="X279" s="1563"/>
      <c r="Y279" s="1278"/>
      <c r="Z279" s="1546"/>
      <c r="AA279" s="1278"/>
      <c r="AB279" s="255" t="str">
        <f>K279&amp;" год"</f>
        <v>2070 год</v>
      </c>
      <c r="AC279" s="7974"/>
      <c r="AD279" s="7980"/>
      <c r="AE279" s="7981"/>
      <c r="AF279" s="7981"/>
      <c r="AG279" s="7980"/>
      <c r="AH279" s="8001"/>
      <c r="AI279" s="8001"/>
      <c r="AJ279" s="7980"/>
      <c r="AK279" s="7982"/>
      <c r="AL279" s="403"/>
      <c r="AM279" s="1278"/>
      <c r="AN279" s="1278"/>
      <c r="AO279" s="1064" cm="1" t="str">
        <f t="array" ref="AO279:AO279">K279</f>
        <v>2070</v>
      </c>
      <c r="AP279" s="1278"/>
      <c r="AQ279" s="1278"/>
    </row>
    <row s="8186" customFormat="1" customHeight="1" ht="14.25" hidden="1">
      <c r="A280" s="1278"/>
      <c r="B280" s="445">
        <f>K280&lt;first_year+PERIOD_LENGTH</f>
        <v>0</v>
      </c>
      <c r="C280" s="1278"/>
      <c r="D280" s="1278"/>
      <c r="E280" s="703">
        <v>15</v>
      </c>
      <c r="F280" s="50" cm="1" t="str">
        <f t="array" ref="F280:F280">OFFSET(E280,-1,1)</f>
        <v>4</v>
      </c>
      <c r="G280" s="1278"/>
      <c r="H280" s="1278"/>
      <c r="I280" s="1278"/>
      <c r="J280" s="1278"/>
      <c r="K280" s="158">
        <f>first_year+45</f>
        <v>2071</v>
      </c>
      <c r="L280" s="1278"/>
      <c r="M280" s="1278"/>
      <c r="N280" s="1278"/>
      <c r="O280" s="1278"/>
      <c r="P280" s="1278"/>
      <c r="Q280" s="1278"/>
      <c r="R280" s="1278"/>
      <c r="S280" s="1278"/>
      <c r="T280" s="465" cm="1" t="str">
        <f t="array" ref="T280:T280">T279</f>
        <v>true</v>
      </c>
      <c r="U280" s="1278"/>
      <c r="V280" s="1278"/>
      <c r="W280" s="1278"/>
      <c r="X280" s="1563"/>
      <c r="Y280" s="1278"/>
      <c r="Z280" s="1546"/>
      <c r="AA280" s="1278"/>
      <c r="AB280" s="255" t="str">
        <f>K280&amp;" год"</f>
        <v>2071 год</v>
      </c>
      <c r="AC280" s="7974"/>
      <c r="AD280" s="7980"/>
      <c r="AE280" s="7981"/>
      <c r="AF280" s="7981"/>
      <c r="AG280" s="7980"/>
      <c r="AH280" s="8001"/>
      <c r="AI280" s="8001"/>
      <c r="AJ280" s="7980"/>
      <c r="AK280" s="7982"/>
      <c r="AL280" s="403"/>
      <c r="AM280" s="1278"/>
      <c r="AN280" s="1278"/>
      <c r="AO280" s="1064" cm="1" t="str">
        <f t="array" ref="AO280:AO280">K280</f>
        <v>2071</v>
      </c>
      <c r="AP280" s="1278"/>
      <c r="AQ280" s="1278"/>
    </row>
    <row s="8187" customFormat="1" customHeight="1" ht="14.25" hidden="1">
      <c r="A281" s="1278"/>
      <c r="B281" s="445">
        <f>K281&lt;first_year+PERIOD_LENGTH</f>
        <v>0</v>
      </c>
      <c r="C281" s="1278"/>
      <c r="D281" s="1278"/>
      <c r="E281" s="703">
        <v>15</v>
      </c>
      <c r="F281" s="50" cm="1" t="str">
        <f t="array" ref="F281:F281">OFFSET(E281,-1,1)</f>
        <v>4</v>
      </c>
      <c r="G281" s="1278"/>
      <c r="H281" s="1278"/>
      <c r="I281" s="1278"/>
      <c r="J281" s="1278"/>
      <c r="K281" s="158">
        <f>first_year+46</f>
        <v>2072</v>
      </c>
      <c r="L281" s="1278"/>
      <c r="M281" s="1278"/>
      <c r="N281" s="1278"/>
      <c r="O281" s="1278"/>
      <c r="P281" s="1278"/>
      <c r="Q281" s="1278"/>
      <c r="R281" s="1278"/>
      <c r="S281" s="1278"/>
      <c r="T281" s="465" cm="1" t="str">
        <f t="array" ref="T281:T281">T280</f>
        <v>true</v>
      </c>
      <c r="U281" s="1278"/>
      <c r="V281" s="1278"/>
      <c r="W281" s="1278"/>
      <c r="X281" s="1563"/>
      <c r="Y281" s="1278"/>
      <c r="Z281" s="1546"/>
      <c r="AA281" s="1278"/>
      <c r="AB281" s="255" t="str">
        <f>K281&amp;" год"</f>
        <v>2072 год</v>
      </c>
      <c r="AC281" s="7974"/>
      <c r="AD281" s="7980"/>
      <c r="AE281" s="7981"/>
      <c r="AF281" s="7981"/>
      <c r="AG281" s="7980"/>
      <c r="AH281" s="8001"/>
      <c r="AI281" s="8001"/>
      <c r="AJ281" s="7980"/>
      <c r="AK281" s="7982"/>
      <c r="AL281" s="403"/>
      <c r="AM281" s="1278"/>
      <c r="AN281" s="1278"/>
      <c r="AO281" s="1064" cm="1" t="str">
        <f t="array" ref="AO281:AO281">K281</f>
        <v>2072</v>
      </c>
      <c r="AP281" s="1278"/>
      <c r="AQ281" s="1278"/>
    </row>
    <row s="8188" customFormat="1" customHeight="1" ht="14.25" hidden="1">
      <c r="A282" s="1278"/>
      <c r="B282" s="445">
        <f>K282&lt;first_year+PERIOD_LENGTH</f>
        <v>0</v>
      </c>
      <c r="C282" s="1278"/>
      <c r="D282" s="1278"/>
      <c r="E282" s="703">
        <v>15</v>
      </c>
      <c r="F282" s="50" cm="1" t="str">
        <f t="array" ref="F282:F282">OFFSET(E282,-1,1)</f>
        <v>4</v>
      </c>
      <c r="G282" s="1278"/>
      <c r="H282" s="1278"/>
      <c r="I282" s="1278"/>
      <c r="J282" s="1278"/>
      <c r="K282" s="158">
        <f>first_year+47</f>
        <v>2073</v>
      </c>
      <c r="L282" s="1278"/>
      <c r="M282" s="1278"/>
      <c r="N282" s="1278"/>
      <c r="O282" s="1278"/>
      <c r="P282" s="1278"/>
      <c r="Q282" s="1278"/>
      <c r="R282" s="1278"/>
      <c r="S282" s="1278"/>
      <c r="T282" s="465" cm="1" t="str">
        <f t="array" ref="T282:T282">T281</f>
        <v>true</v>
      </c>
      <c r="U282" s="1278"/>
      <c r="V282" s="1278"/>
      <c r="W282" s="1278"/>
      <c r="X282" s="1563"/>
      <c r="Y282" s="1278"/>
      <c r="Z282" s="1546"/>
      <c r="AA282" s="1278"/>
      <c r="AB282" s="255" t="str">
        <f>K282&amp;" год"</f>
        <v>2073 год</v>
      </c>
      <c r="AC282" s="7974"/>
      <c r="AD282" s="7980"/>
      <c r="AE282" s="7981"/>
      <c r="AF282" s="7981"/>
      <c r="AG282" s="7980"/>
      <c r="AH282" s="8001"/>
      <c r="AI282" s="8001"/>
      <c r="AJ282" s="7980"/>
      <c r="AK282" s="7982"/>
      <c r="AL282" s="403"/>
      <c r="AM282" s="1278"/>
      <c r="AN282" s="1278"/>
      <c r="AO282" s="1064" cm="1" t="str">
        <f t="array" ref="AO282:AO282">K282</f>
        <v>2073</v>
      </c>
      <c r="AP282" s="1278"/>
      <c r="AQ282" s="1278"/>
    </row>
    <row s="8189" customFormat="1" customHeight="1" ht="14.25" hidden="1">
      <c r="A283" s="1278"/>
      <c r="B283" s="445">
        <f>K283&lt;first_year+PERIOD_LENGTH</f>
        <v>0</v>
      </c>
      <c r="C283" s="1278"/>
      <c r="D283" s="1278"/>
      <c r="E283" s="703">
        <v>15</v>
      </c>
      <c r="F283" s="50" cm="1" t="str">
        <f t="array" ref="F283:F283">OFFSET(E283,-1,1)</f>
        <v>4</v>
      </c>
      <c r="G283" s="1278"/>
      <c r="H283" s="1278"/>
      <c r="I283" s="1278"/>
      <c r="J283" s="1278"/>
      <c r="K283" s="158">
        <f>first_year+48</f>
        <v>2074</v>
      </c>
      <c r="L283" s="1278"/>
      <c r="M283" s="1278"/>
      <c r="N283" s="1278"/>
      <c r="O283" s="1278"/>
      <c r="P283" s="1278"/>
      <c r="Q283" s="1278"/>
      <c r="R283" s="1278"/>
      <c r="S283" s="1278"/>
      <c r="T283" s="465" cm="1" t="str">
        <f t="array" ref="T283:T283">T282</f>
        <v>true</v>
      </c>
      <c r="U283" s="1278"/>
      <c r="V283" s="1278"/>
      <c r="W283" s="1278"/>
      <c r="X283" s="1563"/>
      <c r="Y283" s="1278"/>
      <c r="Z283" s="1546"/>
      <c r="AA283" s="1278"/>
      <c r="AB283" s="255" t="str">
        <f>K283&amp;" год"</f>
        <v>2074 год</v>
      </c>
      <c r="AC283" s="7974"/>
      <c r="AD283" s="7980"/>
      <c r="AE283" s="7981"/>
      <c r="AF283" s="7981"/>
      <c r="AG283" s="7980"/>
      <c r="AH283" s="8001"/>
      <c r="AI283" s="8001"/>
      <c r="AJ283" s="7980"/>
      <c r="AK283" s="7982"/>
      <c r="AL283" s="403"/>
      <c r="AM283" s="1278"/>
      <c r="AN283" s="1278"/>
      <c r="AO283" s="1064" cm="1" t="str">
        <f t="array" ref="AO283:AO283">K283</f>
        <v>2074</v>
      </c>
      <c r="AP283" s="1278"/>
      <c r="AQ283" s="1278"/>
    </row>
    <row s="8190" customFormat="1" customHeight="1" ht="14.25" hidden="1">
      <c r="A284" s="1278"/>
      <c r="B284" s="445">
        <f>K284&lt;first_year+PERIOD_LENGTH</f>
        <v>0</v>
      </c>
      <c r="C284" s="1278"/>
      <c r="D284" s="1278"/>
      <c r="E284" s="703">
        <v>15</v>
      </c>
      <c r="F284" s="50" cm="1" t="str">
        <f t="array" ref="F284:F284">OFFSET(E284,-1,1)</f>
        <v>4</v>
      </c>
      <c r="G284" s="1278"/>
      <c r="H284" s="1278"/>
      <c r="I284" s="1278"/>
      <c r="J284" s="1278"/>
      <c r="K284" s="158">
        <f>first_year+49</f>
        <v>2075</v>
      </c>
      <c r="L284" s="1278"/>
      <c r="M284" s="1278"/>
      <c r="N284" s="1278"/>
      <c r="O284" s="1278"/>
      <c r="P284" s="1278"/>
      <c r="Q284" s="1278"/>
      <c r="R284" s="1278"/>
      <c r="S284" s="1278"/>
      <c r="T284" s="465" cm="1" t="str">
        <f t="array" ref="T284:T284">T283</f>
        <v>true</v>
      </c>
      <c r="U284" s="1278"/>
      <c r="V284" s="1278"/>
      <c r="W284" s="1278"/>
      <c r="X284" s="1563"/>
      <c r="Y284" s="1278"/>
      <c r="Z284" s="1546"/>
      <c r="AA284" s="1278"/>
      <c r="AB284" s="255" t="str">
        <f>K284&amp;" год"</f>
        <v>2075 год</v>
      </c>
      <c r="AC284" s="7974"/>
      <c r="AD284" s="7980"/>
      <c r="AE284" s="7981"/>
      <c r="AF284" s="7981"/>
      <c r="AG284" s="7980"/>
      <c r="AH284" s="8001"/>
      <c r="AI284" s="8001"/>
      <c r="AJ284" s="7980"/>
      <c r="AK284" s="7982"/>
      <c r="AL284" s="403"/>
      <c r="AM284" s="1278"/>
      <c r="AN284" s="1278"/>
      <c r="AO284" s="1064" cm="1" t="str">
        <f t="array" ref="AO284:AO284">K284</f>
        <v>2075</v>
      </c>
      <c r="AP284" s="1278"/>
      <c r="AQ284" s="1278"/>
    </row>
    <row customHeight="1" ht="10.725000000000001">
      <c r="E285" s="703">
        <v>11</v>
      </c>
      <c r="U285" s="696" t="s">
        <v>178</v>
      </c>
      <c r="V285" s="709" t="s">
        <v>2976</v>
      </c>
      <c r="AH285" s="1304"/>
      <c r="AI285" s="1304"/>
      <c r="AJ285" s="1304"/>
      <c r="AK285" s="1304"/>
      <c r="AO285" s="1006"/>
    </row>
    <row s="1278" customFormat="1" customHeight="1" ht="14.625">
      <c r="A286" s="98"/>
      <c r="B286" s="427"/>
      <c r="C286" s="98"/>
      <c r="D286" s="98"/>
      <c r="E286" s="632">
        <v>15</v>
      </c>
      <c r="F286" s="98"/>
      <c r="G286" s="98"/>
      <c r="H286" s="98"/>
      <c r="I286" s="98"/>
      <c r="J286" s="98"/>
      <c r="K286" s="98"/>
      <c r="L286" s="98"/>
      <c r="M286" s="98"/>
      <c r="N286" s="98"/>
      <c r="O286" s="98"/>
      <c r="P286" s="98"/>
      <c r="Q286" s="98"/>
      <c r="R286" s="98"/>
      <c r="S286" s="98"/>
      <c r="T286" s="98"/>
      <c r="U286" s="98"/>
      <c r="V286" s="98"/>
      <c r="W286" s="98"/>
      <c r="X286" s="98"/>
      <c r="Y286" s="98"/>
      <c r="Z286" s="98"/>
      <c r="AA286" s="98"/>
      <c r="AB286" s="1569" t="s">
        <v>407</v>
      </c>
      <c r="AC286" s="1569"/>
      <c r="AD286" s="1569"/>
      <c r="AE286" s="1569"/>
      <c r="AF286" s="1569"/>
      <c r="AG286" s="1569"/>
      <c r="AH286" s="1569"/>
      <c r="AI286" s="1569"/>
      <c r="AJ286" s="1569"/>
      <c r="AK286" s="1569"/>
      <c r="AL286" s="98"/>
      <c r="AO286" s="1064"/>
    </row>
    <row s="1278" customFormat="1" customHeight="1" ht="14.625">
      <c r="A287" s="98"/>
      <c r="B287" s="427"/>
      <c r="C287" s="98"/>
      <c r="D287" s="98"/>
      <c r="E287" s="632">
        <v>15</v>
      </c>
      <c r="F287" s="98"/>
      <c r="G287" s="98"/>
      <c r="H287" s="98"/>
      <c r="I287" s="98"/>
      <c r="J287" s="98"/>
      <c r="K287" s="98"/>
      <c r="L287" s="98"/>
      <c r="M287" s="98"/>
      <c r="N287" s="98"/>
      <c r="O287" s="98"/>
      <c r="P287" s="98"/>
      <c r="Q287" s="98"/>
      <c r="R287" s="98"/>
      <c r="S287" s="98"/>
      <c r="T287" s="98"/>
      <c r="U287" s="98"/>
      <c r="V287" s="98"/>
      <c r="W287" s="98"/>
      <c r="X287" s="98"/>
      <c r="Y287" s="98"/>
      <c r="Z287" s="98"/>
      <c r="AA287" s="173"/>
      <c r="AB287" s="1644"/>
      <c r="AC287" s="1644"/>
      <c r="AD287" s="1644"/>
      <c r="AE287" s="1644"/>
      <c r="AF287" s="1644"/>
      <c r="AG287" s="1644"/>
      <c r="AH287" s="8192"/>
      <c r="AI287" s="8192"/>
      <c r="AJ287" s="8192"/>
      <c r="AK287" s="8192"/>
      <c r="AL287" s="98"/>
      <c r="AO287" s="1064"/>
    </row>
    <row s="1834" customFormat="1" customHeight="1" ht="14.625" hidden="1">
      <c r="A288" s="98"/>
      <c r="B288" s="427"/>
      <c r="C288" s="98"/>
      <c r="D288" s="98"/>
      <c r="E288" s="632">
        <v>15</v>
      </c>
      <c r="F288" s="98"/>
      <c r="G288" s="98"/>
      <c r="H288" s="98"/>
      <c r="I288" s="98"/>
      <c r="J288" s="98"/>
      <c r="K288" s="98"/>
      <c r="L288" s="98"/>
      <c r="M288" s="98"/>
      <c r="N288" s="98"/>
      <c r="O288" s="98"/>
      <c r="P288" s="98"/>
      <c r="Q288" s="98"/>
      <c r="R288" s="98"/>
      <c r="S288" s="98"/>
      <c r="T288" s="489">
        <f>ROW(W288)&gt;ROW(W$288)</f>
        <v>0</v>
      </c>
      <c r="U288" s="98"/>
      <c r="V288" s="98"/>
      <c r="W288" s="158" t="s">
        <v>174</v>
      </c>
      <c r="X288" s="98"/>
      <c r="Y288" s="98"/>
      <c r="Z288" s="98"/>
      <c r="AA288" s="420" t="s">
        <v>175</v>
      </c>
      <c r="AB288" s="8192" t="s">
        <v>227</v>
      </c>
      <c r="AC288" s="8192"/>
      <c r="AD288" s="8192"/>
      <c r="AE288" s="8192"/>
      <c r="AF288" s="8192"/>
      <c r="AG288" s="8192"/>
      <c r="AH288" s="8192"/>
      <c r="AI288" s="8192"/>
      <c r="AJ288" s="8192"/>
      <c r="AK288" s="8192"/>
      <c r="AL288" s="98"/>
      <c r="AM288" s="1834"/>
      <c r="AN288" s="1834"/>
      <c r="AO288" s="1004"/>
      <c r="AP288" s="1834"/>
      <c r="AQ288" s="101"/>
    </row>
    <row s="1834" customFormat="1" customHeight="1" ht="14.625">
      <c r="A289" s="98"/>
      <c r="B289" s="427"/>
      <c r="C289" s="98"/>
      <c r="D289" s="98"/>
      <c r="E289" s="632">
        <v>15</v>
      </c>
      <c r="F289" s="98"/>
      <c r="G289" s="98"/>
      <c r="H289" s="98"/>
      <c r="I289" s="98"/>
      <c r="J289" s="98"/>
      <c r="K289" s="98"/>
      <c r="L289" s="98"/>
      <c r="M289" s="98"/>
      <c r="N289" s="98"/>
      <c r="O289" s="98"/>
      <c r="P289" s="98"/>
      <c r="Q289" s="98"/>
      <c r="R289" s="98"/>
      <c r="S289" s="98"/>
      <c r="T289" s="98"/>
      <c r="U289" s="98"/>
      <c r="V289" s="98"/>
      <c r="W289" s="829" t="s">
        <v>408</v>
      </c>
      <c r="X289" s="98"/>
      <c r="Y289" s="98"/>
      <c r="Z289" s="98"/>
      <c r="AA289" s="98"/>
      <c r="AB289" s="647"/>
      <c r="AC289" s="514" t="s">
        <v>409</v>
      </c>
      <c r="AD289" s="313"/>
      <c r="AE289" s="313"/>
      <c r="AF289" s="313"/>
      <c r="AG289" s="313"/>
      <c r="AH289" s="313"/>
      <c r="AI289" s="313"/>
      <c r="AJ289" s="313"/>
      <c r="AK289" s="314"/>
      <c r="AL289" s="98"/>
      <c r="AO289" s="1004"/>
      <c r="AQ289" s="101"/>
    </row>
    <row s="1834" customFormat="1" customHeight="1" ht="10.725000000000001">
      <c r="A290" s="98"/>
      <c r="B290" s="427"/>
      <c r="C290" s="98"/>
      <c r="D290" s="98"/>
      <c r="E290" s="632">
        <v>11</v>
      </c>
      <c r="F290" s="98"/>
      <c r="G290" s="98"/>
      <c r="H290" s="98"/>
      <c r="I290" s="98"/>
      <c r="J290" s="98"/>
      <c r="K290" s="98"/>
      <c r="L290" s="98"/>
      <c r="M290" s="98"/>
      <c r="N290" s="98"/>
      <c r="O290" s="98"/>
      <c r="P290" s="98"/>
      <c r="Q290" s="98"/>
      <c r="R290" s="98"/>
      <c r="S290" s="98"/>
      <c r="T290" s="98"/>
      <c r="U290" s="98"/>
      <c r="V290" s="98"/>
      <c r="W290" s="98"/>
      <c r="X290" s="98"/>
      <c r="Y290" s="98"/>
      <c r="Z290" s="98"/>
      <c r="AA290" s="98"/>
      <c r="AB290" s="207"/>
      <c r="AC290" s="98"/>
      <c r="AD290" s="98"/>
      <c r="AE290" s="98"/>
      <c r="AF290" s="98"/>
      <c r="AG290" s="98"/>
      <c r="AH290" s="98"/>
      <c r="AI290" s="98"/>
      <c r="AJ290" s="98"/>
      <c r="AK290" s="98"/>
      <c r="AL290" s="426"/>
      <c r="AO290" s="1004"/>
      <c r="AQ290" s="101"/>
    </row>
    <row s="1834" customFormat="1" customHeight="1" ht="11.25" hidden="1">
      <c r="B291" s="430"/>
      <c r="E291" s="624"/>
      <c r="AC291" s="100"/>
      <c r="AD291" s="100"/>
      <c r="AE291" s="100"/>
      <c r="AF291" s="100"/>
      <c r="AH291" s="1834"/>
      <c r="AI291" s="1834"/>
      <c r="AJ291" s="1834"/>
      <c r="AK291" s="1834"/>
      <c r="AO291" s="1004"/>
      <c r="AQ291" s="101"/>
    </row>
  </sheetData>
  <sheetProtection formatColumns="0" formatRows="0" insertRows="0" deleteColumns="0" deleteRows="0" sort="0" autoFilter="0" insertColumns="1"/>
  <mergeCells count="19">
    <mergeCell ref="AB288:AK288"/>
    <mergeCell ref="X30:X80"/>
    <mergeCell ref="Z30:Z80"/>
    <mergeCell ref="AB24:AE24"/>
    <mergeCell ref="AB286:AK286"/>
    <mergeCell ref="AB287:AK287"/>
    <mergeCell ref="AB26:AB28"/>
    <mergeCell ref="AC26:AC27"/>
    <mergeCell ref="AD26:AD27"/>
    <mergeCell ref="AE26:AE27"/>
    <mergeCell ref="AF26:AK26"/>
    <mergeCell ref="X81:X131"/>
    <mergeCell ref="Z81:Z131"/>
    <mergeCell ref="X132:X182"/>
    <mergeCell ref="Z132:Z182"/>
    <mergeCell ref="X183:X233"/>
    <mergeCell ref="Z183:Z233"/>
    <mergeCell ref="X234:X284"/>
    <mergeCell ref="Z234:Z284"/>
  </mergeCells>
  <dataValidations count="2">
    <dataValidation type="list" allowBlank="1" showInputMessage="1" showErrorMessage="1" errorTitle="Внимание" error="Пожалуйста, выберите значение из списка!" sqref="AF24">
      <formula1>YES_NO</formula1>
    </dataValidation>
    <dataValidation type="decimal" allowBlank="1" showErrorMessage="1" errorTitle="Ошибка" error="Допускается ввод только неотрицательных чисел!" sqref="AE31:AE80 AE82:AE131 AE133:AE182 AE184:AE233 AE235:AE284">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A8D318-650C-9528-0A7D-9EA0E8DA5858}" mc:Ignorable="x14ac xr xr2 xr3">
  <sheetPr>
    <tabColor rgb="FF002060"/>
    <outlinePr summaryRight="0" summaryBelow="0"/>
  </sheetPr>
  <dimension ref="A1:AR502"/>
  <sheetViews>
    <sheetView showGridLines="0" workbookViewId="0">
      <pane xSplit="29" ySplit="26" topLeftCell="AD237" activePane="bottomRight" state="frozen"/>
      <selection pane="bottomLeft" activeCell="A27" sqref="A27"/>
      <selection pane="topRight" activeCell="AD1" sqref="AD1"/>
      <selection pane="bottomRight" activeCell="AB446" sqref="AB446"/>
    </sheetView>
  </sheetViews>
  <sheetFormatPr defaultColWidth="9.140625" customHeight="1" defaultRowHeight="11.25"/>
  <cols>
    <col min="1" max="1" style="1304" width="3.57421875" hidden="1" customWidth="1"/>
    <col min="2" max="2" style="1436" width="8.57421875" hidden="1" customWidth="1"/>
    <col min="3" max="4" style="1304" width="3.57421875" hidden="1" customWidth="1"/>
    <col min="5" max="5" style="1305" width="3.57421875" hidden="1" customWidth="1"/>
    <col min="6" max="10" style="1304" width="3.57421875" hidden="1" customWidth="1"/>
    <col min="11" max="11" style="1304" width="7.140625" hidden="1" customWidth="1"/>
    <col min="12" max="19" style="1304" width="3.57421875" hidden="1" customWidth="1"/>
    <col min="20" max="20" style="1304" width="9.140625" hidden="1"/>
    <col min="21" max="26" style="1304" width="3.57421875" hidden="1" customWidth="1"/>
    <col min="27" max="27" style="1304" width="3.00390625" customWidth="1"/>
    <col min="28" max="28" style="207" width="14.7109375" customWidth="1"/>
    <col min="29" max="33" style="1304" width="17.00390625" customWidth="1"/>
    <col min="34" max="36" style="1304" width="23.00390625" hidden="1" customWidth="1"/>
    <col min="37" max="37" style="1304" width="25.00390625" hidden="1" customWidth="1"/>
    <col min="38" max="38" style="1304" width="3.00390625" customWidth="1"/>
    <col min="39" max="39" style="1304" width="9.140625" hidden="1"/>
    <col min="40" max="42" style="1306" width="9.140625" hidden="1"/>
    <col min="43" max="44" style="1305" width="9.140625" hidden="1"/>
  </cols>
  <sheetData>
    <row customHeight="1" ht="11.25" hidden="1">
      <c r="E1" s="98"/>
      <c r="F1" s="98" t="s">
        <v>321</v>
      </c>
      <c r="G1" s="98" t="s">
        <v>357</v>
      </c>
      <c r="K1" s="98" t="s">
        <v>360</v>
      </c>
      <c r="T1" s="465" t="s">
        <v>93</v>
      </c>
      <c r="U1" s="465" t="s">
        <v>98</v>
      </c>
      <c r="V1" s="465" t="s">
        <v>94</v>
      </c>
      <c r="W1" s="465" t="s">
        <v>95</v>
      </c>
      <c r="X1" s="465" t="s">
        <v>96</v>
      </c>
      <c r="Y1" s="467" t="s">
        <v>323</v>
      </c>
      <c r="Z1" s="465" t="s">
        <v>100</v>
      </c>
      <c r="AA1" s="466" t="s">
        <v>97</v>
      </c>
      <c r="AB1" s="465" t="s">
        <v>99</v>
      </c>
      <c r="AC1" s="466" t="s">
        <v>99</v>
      </c>
      <c r="AH1" s="1304"/>
      <c r="AI1" s="1304"/>
      <c r="AJ1" s="1304"/>
      <c r="AK1" s="1304"/>
      <c r="AN1" s="1015" t="s">
        <v>365</v>
      </c>
      <c r="AO1" s="1015" t="s">
        <v>325</v>
      </c>
      <c r="AP1" s="1015" t="s">
        <v>326</v>
      </c>
      <c r="AQ1" s="632" t="s">
        <v>329</v>
      </c>
      <c r="AR1" s="632" t="s">
        <v>330</v>
      </c>
    </row>
    <row s="1436" customFormat="1" customHeight="1" ht="11.25" hidden="1">
      <c r="B2" s="445" t="s">
        <v>19</v>
      </c>
      <c r="AB2" s="429"/>
      <c r="AG2" s="445">
        <f>DPR_ee_divide="нет"</f>
        <v>1</v>
      </c>
      <c r="AH2" s="445">
        <f>DPR_ee_divide="да"</f>
        <v>0</v>
      </c>
      <c r="AI2" s="445">
        <f>DPR_ee_divide="да"</f>
        <v>0</v>
      </c>
      <c r="AJ2" s="445">
        <f>DPR_ee_divide="да"</f>
        <v>0</v>
      </c>
      <c r="AK2" s="445">
        <f>DPR_ee_divide="да"</f>
        <v>0</v>
      </c>
      <c r="AN2" s="1016"/>
      <c r="AO2" s="1016"/>
      <c r="AP2" s="1016"/>
      <c r="AQ2" s="1029"/>
      <c r="AR2" s="1029"/>
    </row>
    <row customHeight="1" ht="11.25" hidden="1">
      <c r="E3" s="98"/>
      <c r="AH3" s="1304"/>
      <c r="AI3" s="1304"/>
      <c r="AJ3" s="1304"/>
      <c r="AK3" s="1304"/>
    </row>
    <row customHeight="1" ht="11.25" hidden="1">
      <c r="E4" s="98"/>
      <c r="AH4" s="1304"/>
      <c r="AI4" s="1304"/>
      <c r="AJ4" s="1304"/>
      <c r="AK4" s="1304"/>
    </row>
    <row s="1305" customFormat="1" customHeight="1" ht="11.25" hidden="1">
      <c r="A5" s="98"/>
      <c r="B5" s="427"/>
      <c r="C5" s="98"/>
      <c r="D5" s="98"/>
      <c r="E5" s="632" t="s">
        <v>20</v>
      </c>
      <c r="AA5" s="632">
        <v>3</v>
      </c>
      <c r="AB5" s="693">
        <v>14.71</v>
      </c>
      <c r="AC5" s="632">
        <v>17</v>
      </c>
      <c r="AD5" s="632">
        <v>17</v>
      </c>
      <c r="AE5" s="632">
        <v>17</v>
      </c>
      <c r="AF5" s="632">
        <v>17</v>
      </c>
      <c r="AG5" s="632">
        <v>17</v>
      </c>
      <c r="AH5" s="632">
        <v>23</v>
      </c>
      <c r="AI5" s="632">
        <v>23</v>
      </c>
      <c r="AJ5" s="632">
        <v>23</v>
      </c>
      <c r="AK5" s="632">
        <v>25</v>
      </c>
      <c r="AL5" s="632">
        <v>3</v>
      </c>
      <c r="AN5" s="1015"/>
      <c r="AO5" s="1015"/>
      <c r="AP5" s="1015"/>
    </row>
    <row customHeight="1" ht="11.25" hidden="1">
      <c r="A6" s="98" t="s">
        <v>331</v>
      </c>
      <c r="AC6" s="98" t="s">
        <v>332</v>
      </c>
      <c r="AD6" s="98" t="s">
        <v>333</v>
      </c>
      <c r="AE6" s="98" t="s">
        <v>334</v>
      </c>
      <c r="AF6" s="98" t="s">
        <v>1249</v>
      </c>
      <c r="AG6" s="98" t="s">
        <v>1253</v>
      </c>
      <c r="AH6" s="98" t="s">
        <v>2951</v>
      </c>
      <c r="AI6" s="98" t="s">
        <v>2952</v>
      </c>
      <c r="AJ6" s="98" t="s">
        <v>2953</v>
      </c>
      <c r="AK6" s="98" t="s">
        <v>2954</v>
      </c>
    </row>
    <row customHeight="1" ht="11.25" hidden="1">
      <c r="AH7" s="1304"/>
      <c r="AI7" s="1304"/>
      <c r="AJ7" s="1304"/>
      <c r="AK7" s="1304"/>
    </row>
    <row customHeight="1" ht="11.25" hidden="1">
      <c r="AH8" s="1304"/>
      <c r="AI8" s="1304"/>
      <c r="AJ8" s="1304"/>
      <c r="AK8" s="1304"/>
    </row>
    <row s="1306" customFormat="1" customHeight="1" ht="11.25" hidden="1">
      <c r="A9" s="1015" t="s">
        <v>324</v>
      </c>
      <c r="B9" s="1016"/>
      <c r="AB9" s="1054"/>
      <c r="AC9" s="1073" t="s">
        <v>2955</v>
      </c>
      <c r="AD9" s="1073" t="s">
        <v>2956</v>
      </c>
      <c r="AE9" s="1073" t="s">
        <v>2957</v>
      </c>
      <c r="AF9" s="1073" t="s">
        <v>2958</v>
      </c>
      <c r="AG9" s="1073" t="s">
        <v>2959</v>
      </c>
      <c r="AH9" s="1073" t="s">
        <v>2960</v>
      </c>
      <c r="AI9" s="1073" t="s">
        <v>2961</v>
      </c>
      <c r="AJ9" s="1073" t="s">
        <v>2962</v>
      </c>
      <c r="AK9" s="1015" t="s">
        <v>2963</v>
      </c>
      <c r="AQ9" s="632"/>
      <c r="AR9" s="632"/>
    </row>
    <row s="1306" customFormat="1" customHeight="1" ht="11.25" hidden="1">
      <c r="A10" s="1015" t="s">
        <v>338</v>
      </c>
      <c r="B10" s="1016"/>
      <c r="AB10" s="1054" t="s">
        <v>326</v>
      </c>
      <c r="AH10" s="1306"/>
      <c r="AI10" s="1306"/>
      <c r="AJ10" s="1306"/>
      <c r="AK10" s="1306"/>
      <c r="AQ10" s="632"/>
      <c r="AR10" s="632"/>
    </row>
    <row customHeight="1" ht="11.25" hidden="1">
      <c r="AH11" s="1304"/>
      <c r="AI11" s="1304"/>
      <c r="AJ11" s="1304"/>
      <c r="AK11" s="1304"/>
    </row>
    <row customHeight="1" ht="11.25" hidden="1">
      <c r="AH12" s="1304"/>
      <c r="AI12" s="1304"/>
      <c r="AJ12" s="1304"/>
      <c r="AK12" s="1304"/>
    </row>
    <row customHeight="1" ht="11.25" hidden="1">
      <c r="AH13" s="1304"/>
      <c r="AI13" s="1304"/>
      <c r="AJ13" s="1304"/>
      <c r="AK13" s="1304"/>
    </row>
    <row customHeight="1" ht="11.25" hidden="1">
      <c r="AH14" s="1304"/>
      <c r="AI14" s="1304"/>
      <c r="AJ14" s="1304"/>
      <c r="AK14" s="1304"/>
    </row>
    <row customHeight="1" ht="11.25" hidden="1">
      <c r="AH15" s="1304"/>
      <c r="AI15" s="1304"/>
      <c r="AJ15" s="1304"/>
      <c r="AK15" s="1304"/>
    </row>
    <row customHeight="1" ht="11.25" hidden="1">
      <c r="AH16" s="1304"/>
      <c r="AI16" s="1304"/>
      <c r="AJ16" s="1304"/>
      <c r="AK16" s="1304"/>
    </row>
    <row customHeight="1" ht="11.25" hidden="1">
      <c r="AH17" s="1304"/>
      <c r="AI17" s="1304"/>
      <c r="AJ17" s="1304"/>
      <c r="AK17" s="1304"/>
    </row>
    <row customHeight="1" ht="11.25" hidden="1">
      <c r="A18" s="98" t="s">
        <v>368</v>
      </c>
      <c r="AB18" s="207" t="s">
        <v>195</v>
      </c>
      <c r="AH18" s="1304"/>
      <c r="AI18" s="1304"/>
      <c r="AJ18" s="1304"/>
      <c r="AK18" s="1304"/>
    </row>
    <row customHeight="1" ht="11.25" hidden="1">
      <c r="AH19" s="1304"/>
      <c r="AI19" s="1304"/>
      <c r="AJ19" s="1304"/>
      <c r="AK19" s="1304"/>
    </row>
    <row customHeight="1" ht="11.25" hidden="1">
      <c r="AH20" s="1304"/>
      <c r="AI20" s="1304"/>
      <c r="AJ20" s="1304"/>
      <c r="AK20" s="1304"/>
    </row>
    <row customHeight="1" ht="14.625">
      <c r="E21" s="632">
        <v>15</v>
      </c>
      <c r="AA21" s="657"/>
      <c r="AB21" s="367" cm="1" t="str">
        <f t="array" ref="AB21:AB21">tpl_title</f>
        <v>Кемеровская область / 2026 / ООО "Теплоэнерго" (ИНН:4214046200, КПП:421401001) / ДПР: 2026-2030</v>
      </c>
      <c r="AH21" s="1304"/>
      <c r="AI21" s="1304"/>
      <c r="AJ21" s="1304"/>
      <c r="AK21" s="1304"/>
    </row>
    <row s="1426" customFormat="1" customHeight="1" ht="23.400000000000002">
      <c r="B22" s="427"/>
      <c r="E22" s="633">
        <v>24</v>
      </c>
      <c r="AB22" s="320" t="s">
        <v>87</v>
      </c>
      <c r="AC22" s="206"/>
      <c r="AD22" s="206"/>
      <c r="AE22" s="206"/>
      <c r="AF22" s="206"/>
      <c r="AG22" s="206"/>
      <c r="AH22" s="206"/>
      <c r="AI22" s="206"/>
      <c r="AJ22" s="206"/>
      <c r="AK22" s="206"/>
      <c r="AN22" s="1018"/>
      <c r="AO22" s="1018"/>
      <c r="AP22" s="1018"/>
      <c r="AQ22" s="633"/>
      <c r="AR22" s="633"/>
    </row>
    <row customHeight="1" ht="10.96875">
      <c r="E23" s="632">
        <v>11.25</v>
      </c>
      <c r="AB23" s="144"/>
      <c r="AC23" s="144"/>
      <c r="AH23" s="1304"/>
      <c r="AI23" s="1304"/>
      <c r="AJ23" s="1304"/>
      <c r="AK23" s="1304"/>
    </row>
    <row s="1446" customFormat="1" customHeight="1" ht="38.025">
      <c r="B24" s="429"/>
      <c r="E24" s="630">
        <v>39</v>
      </c>
      <c r="AB24" s="1652" t="s">
        <v>2965</v>
      </c>
      <c r="AC24" s="1655" t="s">
        <v>2966</v>
      </c>
      <c r="AD24" s="1655" t="s">
        <v>1176</v>
      </c>
      <c r="AE24" s="1655" t="s">
        <v>2967</v>
      </c>
      <c r="AF24" s="1655" t="s">
        <v>2968</v>
      </c>
      <c r="AG24" s="1655"/>
      <c r="AH24" s="1655"/>
      <c r="AI24" s="1655"/>
      <c r="AJ24" s="1655"/>
      <c r="AK24" s="1656"/>
      <c r="AN24" s="1013"/>
      <c r="AO24" s="1013"/>
      <c r="AP24" s="1013"/>
      <c r="AQ24" s="630"/>
      <c r="AR24" s="630"/>
    </row>
    <row s="1446" customFormat="1" customHeight="1" ht="35.1">
      <c r="B25" s="429"/>
      <c r="E25" s="630">
        <v>36</v>
      </c>
      <c r="AB25" s="1653"/>
      <c r="AC25" s="1655"/>
      <c r="AD25" s="1655"/>
      <c r="AE25" s="1655"/>
      <c r="AF25" s="254" t="s">
        <v>1295</v>
      </c>
      <c r="AG25" s="254" t="s">
        <v>2969</v>
      </c>
      <c r="AH25" s="254" t="s">
        <v>2970</v>
      </c>
      <c r="AI25" s="254" t="s">
        <v>2971</v>
      </c>
      <c r="AJ25" s="254" t="s">
        <v>2972</v>
      </c>
      <c r="AK25" s="255" t="s">
        <v>2973</v>
      </c>
      <c r="AN25" s="1013"/>
      <c r="AO25" s="1013"/>
      <c r="AP25" s="1013"/>
      <c r="AQ25" s="630"/>
      <c r="AR25" s="630"/>
    </row>
    <row s="1812" customFormat="1" customHeight="1" ht="10.96875">
      <c r="B26" s="429"/>
      <c r="E26" s="267">
        <v>11.25</v>
      </c>
      <c r="AB26" s="1654"/>
      <c r="AC26" s="254" t="s">
        <v>1514</v>
      </c>
      <c r="AD26" s="254" t="s">
        <v>1170</v>
      </c>
      <c r="AE26" s="91" t="s">
        <v>1170</v>
      </c>
      <c r="AF26" s="254" t="s">
        <v>1170</v>
      </c>
      <c r="AG26" s="254" t="s">
        <v>2974</v>
      </c>
      <c r="AH26" s="254" t="s">
        <v>2974</v>
      </c>
      <c r="AI26" s="254" t="s">
        <v>2974</v>
      </c>
      <c r="AJ26" s="254" t="s">
        <v>2974</v>
      </c>
      <c r="AK26" s="255" t="s">
        <v>2974</v>
      </c>
      <c r="AN26" s="1030"/>
      <c r="AO26" s="1030"/>
      <c r="AP26" s="1030"/>
      <c r="AQ26" s="267"/>
      <c r="AR26" s="267"/>
    </row>
    <row s="1834" customFormat="1" customHeight="1" ht="11.25" hidden="1">
      <c r="A27" s="499"/>
      <c r="B27" s="658"/>
      <c r="C27" s="499"/>
      <c r="D27" s="499"/>
      <c r="E27" s="659">
        <v>0</v>
      </c>
      <c r="F27" s="85"/>
      <c r="G27" s="499"/>
      <c r="H27" s="499"/>
      <c r="I27" s="499"/>
      <c r="J27" s="499"/>
      <c r="K27" s="499"/>
      <c r="L27" s="499"/>
      <c r="M27" s="499"/>
      <c r="N27" s="499"/>
      <c r="O27" s="499"/>
      <c r="P27" s="499"/>
      <c r="Q27" s="499"/>
      <c r="R27" s="499"/>
      <c r="S27" s="499"/>
      <c r="T27" s="499"/>
      <c r="U27" s="499"/>
      <c r="V27" s="499"/>
      <c r="W27" s="499"/>
      <c r="X27" s="499"/>
      <c r="Y27" s="499"/>
      <c r="Z27" s="499"/>
      <c r="AA27" s="499"/>
      <c r="AC27" s="100"/>
      <c r="AD27" s="100"/>
      <c r="AE27" s="100"/>
      <c r="AF27" s="100"/>
      <c r="AH27" s="1834"/>
      <c r="AI27" s="1834"/>
      <c r="AJ27" s="1834"/>
      <c r="AK27" s="1834"/>
      <c r="AN27" s="1004"/>
      <c r="AO27" s="1004"/>
      <c r="AP27" s="1004"/>
      <c r="AQ27" s="1007"/>
      <c r="AR27" s="624"/>
    </row>
    <row s="1758" customFormat="1" customHeight="1" ht="14.625" hidden="1">
      <c r="A28" s="1758"/>
      <c r="B28" s="428"/>
      <c r="C28" s="1758"/>
      <c r="D28" s="1758"/>
      <c r="E28" s="618">
        <v>15</v>
      </c>
      <c r="F28" s="98" cm="1" t="str">
        <f t="array" ref="F28:F28">X28</f>
        <v>0</v>
      </c>
      <c r="G28" s="1758"/>
      <c r="H28" s="1758"/>
      <c r="I28" s="1758"/>
      <c r="J28" s="1758"/>
      <c r="K28" s="1758"/>
      <c r="L28" s="1758"/>
      <c r="M28" s="1758"/>
      <c r="N28" s="1758"/>
      <c r="O28" s="1758"/>
      <c r="P28" s="1758"/>
      <c r="Q28" s="1758"/>
      <c r="R28" s="1758"/>
      <c r="S28" s="1758"/>
      <c r="T28" s="465">
        <f>X28&gt;0</f>
        <v>0</v>
      </c>
      <c r="U28" s="1758"/>
      <c r="V28" s="122" t="s">
        <v>265</v>
      </c>
      <c r="W28" s="1758"/>
      <c r="X28" s="1563">
        <v>0</v>
      </c>
      <c r="Y28" s="1758"/>
      <c r="Z28" s="1546"/>
      <c r="AA28" s="1758"/>
      <c r="AB28" s="381" cm="1" t="str">
        <f t="array" ref="AB28:AB28">INDEX('Общие сведения'!$AG$179:$AG$250,MATCH($X28,'Общие сведения'!$Z$179:$Z$250,0))</f>
        <v>Тариф 0 () - </v>
      </c>
      <c r="AC28" s="243"/>
      <c r="AD28" s="243"/>
      <c r="AE28" s="243"/>
      <c r="AF28" s="243"/>
      <c r="AG28" s="243"/>
      <c r="AH28" s="243"/>
      <c r="AI28" s="243"/>
      <c r="AJ28" s="243"/>
      <c r="AK28" s="243"/>
      <c r="AL28" s="402"/>
      <c r="AM28" s="1758"/>
      <c r="AN28" s="997"/>
      <c r="AO28" s="997"/>
      <c r="AP28" s="997"/>
      <c r="AQ28" s="618"/>
      <c r="AR28" s="618"/>
    </row>
    <row s="1758" customFormat="1" customHeight="1" ht="14.625" hidden="1">
      <c r="A29" s="1758"/>
      <c r="B29" s="428"/>
      <c r="C29" s="1758"/>
      <c r="D29" s="1758"/>
      <c r="E29" s="618">
        <v>15</v>
      </c>
      <c r="F29" s="50" cm="1" t="str">
        <f t="array" ref="F29:F29">OFFSET(E29,-1,1)</f>
        <v>0</v>
      </c>
      <c r="G29" s="122" cm="1" t="str">
        <f t="array" ref="G29:G29">AB29</f>
        <v>0</v>
      </c>
      <c r="H29" s="1758"/>
      <c r="I29" s="1758"/>
      <c r="J29" s="1758"/>
      <c r="K29" s="1758"/>
      <c r="L29" s="1758"/>
      <c r="M29" s="1758"/>
      <c r="N29" s="1758"/>
      <c r="O29" s="1758"/>
      <c r="P29" s="1758"/>
      <c r="Q29" s="1758"/>
      <c r="R29" s="1758"/>
      <c r="S29" s="1758"/>
      <c r="T29" s="465">
        <f>AND(F29&gt;0,Y29&gt;0)</f>
        <v>0</v>
      </c>
      <c r="U29" s="1758"/>
      <c r="V29" s="1758"/>
      <c r="W29" s="122" t="s">
        <v>174</v>
      </c>
      <c r="X29" s="1563"/>
      <c r="Y29" s="1563">
        <v>0</v>
      </c>
      <c r="Z29" s="1546"/>
      <c r="AA29" s="1648" t="s">
        <v>175</v>
      </c>
      <c r="AB29" s="8199"/>
      <c r="AC29" s="8199"/>
      <c r="AD29" s="8199"/>
      <c r="AE29" s="8199"/>
      <c r="AF29" s="8199"/>
      <c r="AG29" s="8199"/>
      <c r="AH29" s="8199"/>
      <c r="AI29" s="8199"/>
      <c r="AJ29" s="8199"/>
      <c r="AK29" s="8200"/>
      <c r="AL29" s="402"/>
      <c r="AM29" s="1758"/>
      <c r="AN29" s="997"/>
      <c r="AO29" s="1064" t="s">
        <v>2977</v>
      </c>
      <c r="AP29" s="1078" cm="1" t="str">
        <f t="array" ref="AP29:AP29">AB29</f>
        <v>0</v>
      </c>
      <c r="AQ29" s="618"/>
      <c r="AR29" s="618" t="b">
        <v>1</v>
      </c>
    </row>
    <row s="1278" customFormat="1" customHeight="1" ht="14.625" hidden="1">
      <c r="A30" s="1278"/>
      <c r="B30" s="445">
        <f>K30&lt;first_year+PERIOD_LENGTH</f>
        <v>1</v>
      </c>
      <c r="C30" s="1278"/>
      <c r="D30" s="1278"/>
      <c r="E30" s="703">
        <v>15</v>
      </c>
      <c r="F30" s="50" cm="1" t="str">
        <f t="array" ref="F30:F30">OFFSET(E30,-1,1)</f>
        <v>0</v>
      </c>
      <c r="G30" s="98" cm="1" t="str">
        <f t="array" ref="G30:G30">G29</f>
        <v>0</v>
      </c>
      <c r="H30" s="1278"/>
      <c r="I30" s="1278"/>
      <c r="J30" s="1278"/>
      <c r="K30" s="158" cm="1" t="str">
        <f t="array" ref="K30:K30">first_year</f>
        <v>2026</v>
      </c>
      <c r="L30" s="1278"/>
      <c r="M30" s="1278"/>
      <c r="N30" s="1278"/>
      <c r="O30" s="1278"/>
      <c r="P30" s="1278"/>
      <c r="Q30" s="1278"/>
      <c r="R30" s="1278"/>
      <c r="S30" s="1278"/>
      <c r="T30" s="465" cm="1" t="str">
        <f t="array" ref="T30:T30">T29</f>
        <v>false</v>
      </c>
      <c r="U30" s="1278"/>
      <c r="V30" s="1278"/>
      <c r="W30" s="1278"/>
      <c r="X30" s="1563"/>
      <c r="Y30" s="1563"/>
      <c r="Z30" s="1546"/>
      <c r="AA30" s="1648"/>
      <c r="AB30" s="302" t="str">
        <f>K30&amp;" год"</f>
        <v>2026 год</v>
      </c>
      <c r="AC30" s="8203"/>
      <c r="AD30" s="8204"/>
      <c r="AE30" s="8203"/>
      <c r="AF30" s="8203"/>
      <c r="AG30" s="8204"/>
      <c r="AH30" s="8203"/>
      <c r="AI30" s="8204"/>
      <c r="AJ30" s="8203"/>
      <c r="AK30" s="8205"/>
      <c r="AL30" s="403"/>
      <c r="AM30" s="1278"/>
      <c r="AN30" s="1064" cm="1" t="str">
        <f t="array" ref="AN30:AN30">K30</f>
        <v>2026</v>
      </c>
      <c r="AO30" s="1064" t="s">
        <v>2977</v>
      </c>
      <c r="AP30" s="1074" cm="1" t="str">
        <f t="array" ref="AP30:AP30">AP29</f>
        <v>0</v>
      </c>
      <c r="AQ30" s="703"/>
      <c r="AR30" s="703"/>
    </row>
    <row s="1278" customFormat="1" customHeight="1" ht="14.625" hidden="1">
      <c r="A31" s="1278"/>
      <c r="B31" s="445">
        <f>K31&lt;first_year+PERIOD_LENGTH</f>
        <v>1</v>
      </c>
      <c r="C31" s="1278"/>
      <c r="D31" s="1278"/>
      <c r="E31" s="703">
        <v>15</v>
      </c>
      <c r="F31" s="50" cm="1" t="str">
        <f t="array" ref="F31:F31">OFFSET(E31,-1,1)</f>
        <v>0</v>
      </c>
      <c r="G31" s="98" cm="1" t="str">
        <f t="array" ref="G31:G31">G30</f>
        <v>0</v>
      </c>
      <c r="H31" s="1278"/>
      <c r="I31" s="1278"/>
      <c r="J31" s="1278"/>
      <c r="K31" s="158">
        <f>first_year+1</f>
        <v>2027</v>
      </c>
      <c r="L31" s="1278"/>
      <c r="M31" s="1278"/>
      <c r="N31" s="1278"/>
      <c r="O31" s="1278"/>
      <c r="P31" s="1278"/>
      <c r="Q31" s="1278"/>
      <c r="R31" s="1278"/>
      <c r="S31" s="1278"/>
      <c r="T31" s="465" cm="1" t="str">
        <f t="array" ref="T31:T31">T30</f>
        <v>false</v>
      </c>
      <c r="U31" s="1278"/>
      <c r="V31" s="1278"/>
      <c r="W31" s="1278"/>
      <c r="X31" s="1563"/>
      <c r="Y31" s="1563"/>
      <c r="Z31" s="1546"/>
      <c r="AA31" s="1648"/>
      <c r="AB31" s="255" t="str">
        <f>K31&amp;" год"</f>
        <v>2027 год</v>
      </c>
      <c r="AC31" s="408"/>
      <c r="AD31" s="8204"/>
      <c r="AE31" s="8203"/>
      <c r="AF31" s="8203"/>
      <c r="AG31" s="8204"/>
      <c r="AH31" s="8203"/>
      <c r="AI31" s="8204"/>
      <c r="AJ31" s="8203"/>
      <c r="AK31" s="8205"/>
      <c r="AL31" s="403"/>
      <c r="AM31" s="1278"/>
      <c r="AN31" s="1064" cm="1" t="str">
        <f t="array" ref="AN31:AN31">K31</f>
        <v>2027</v>
      </c>
      <c r="AO31" s="1064" t="s">
        <v>2977</v>
      </c>
      <c r="AP31" s="1074" cm="1" t="str">
        <f t="array" ref="AP31:AP31">AP30</f>
        <v>0</v>
      </c>
      <c r="AQ31" s="703"/>
      <c r="AR31" s="703"/>
    </row>
    <row s="1278" customFormat="1" customHeight="1" ht="14.625" hidden="1">
      <c r="A32" s="1278"/>
      <c r="B32" s="445">
        <f>K32&lt;first_year+PERIOD_LENGTH</f>
        <v>1</v>
      </c>
      <c r="C32" s="1278"/>
      <c r="D32" s="1278"/>
      <c r="E32" s="703">
        <v>15</v>
      </c>
      <c r="F32" s="50" cm="1" t="str">
        <f t="array" ref="F32:F32">OFFSET(E32,-1,1)</f>
        <v>0</v>
      </c>
      <c r="G32" s="98" cm="1" t="str">
        <f t="array" ref="G32:G32">G31</f>
        <v>0</v>
      </c>
      <c r="H32" s="1278"/>
      <c r="I32" s="1278"/>
      <c r="J32" s="1278"/>
      <c r="K32" s="158">
        <f>first_year+2</f>
        <v>2028</v>
      </c>
      <c r="L32" s="1278"/>
      <c r="M32" s="1278"/>
      <c r="N32" s="1278"/>
      <c r="O32" s="1278"/>
      <c r="P32" s="1278"/>
      <c r="Q32" s="1278"/>
      <c r="R32" s="1278"/>
      <c r="S32" s="1278"/>
      <c r="T32" s="465" cm="1" t="str">
        <f t="array" ref="T32:T32">T31</f>
        <v>false</v>
      </c>
      <c r="U32" s="1278"/>
      <c r="V32" s="1278"/>
      <c r="W32" s="1278"/>
      <c r="X32" s="1563"/>
      <c r="Y32" s="1563"/>
      <c r="Z32" s="1546"/>
      <c r="AA32" s="1648"/>
      <c r="AB32" s="255" t="str">
        <f>K32&amp;" год"</f>
        <v>2028 год</v>
      </c>
      <c r="AC32" s="408"/>
      <c r="AD32" s="8204"/>
      <c r="AE32" s="8203"/>
      <c r="AF32" s="8203"/>
      <c r="AG32" s="8204"/>
      <c r="AH32" s="8203"/>
      <c r="AI32" s="8204"/>
      <c r="AJ32" s="8203"/>
      <c r="AK32" s="8205"/>
      <c r="AL32" s="403"/>
      <c r="AM32" s="1278"/>
      <c r="AN32" s="1064" cm="1" t="str">
        <f t="array" ref="AN32:AN32">K32</f>
        <v>2028</v>
      </c>
      <c r="AO32" s="1064" t="s">
        <v>2977</v>
      </c>
      <c r="AP32" s="1074" cm="1" t="str">
        <f t="array" ref="AP32:AP32">AP31</f>
        <v>0</v>
      </c>
      <c r="AQ32" s="703"/>
      <c r="AR32" s="703"/>
    </row>
    <row s="1278" customFormat="1" customHeight="1" ht="14.625" hidden="1">
      <c r="A33" s="1278"/>
      <c r="B33" s="445">
        <f>K33&lt;first_year+PERIOD_LENGTH</f>
        <v>1</v>
      </c>
      <c r="C33" s="1278"/>
      <c r="D33" s="1278"/>
      <c r="E33" s="703">
        <v>15</v>
      </c>
      <c r="F33" s="50" cm="1" t="str">
        <f t="array" ref="F33:F33">OFFSET(E33,-1,1)</f>
        <v>0</v>
      </c>
      <c r="G33" s="98" cm="1" t="str">
        <f t="array" ref="G33:G33">G32</f>
        <v>0</v>
      </c>
      <c r="H33" s="1278"/>
      <c r="I33" s="1278"/>
      <c r="J33" s="1278"/>
      <c r="K33" s="158">
        <f>first_year+3</f>
        <v>2029</v>
      </c>
      <c r="L33" s="1278"/>
      <c r="M33" s="1278"/>
      <c r="N33" s="1278"/>
      <c r="O33" s="1278"/>
      <c r="P33" s="1278"/>
      <c r="Q33" s="1278"/>
      <c r="R33" s="1278"/>
      <c r="S33" s="1278"/>
      <c r="T33" s="465" cm="1" t="str">
        <f t="array" ref="T33:T33">T32</f>
        <v>false</v>
      </c>
      <c r="U33" s="1278"/>
      <c r="V33" s="1278"/>
      <c r="W33" s="1278"/>
      <c r="X33" s="1563"/>
      <c r="Y33" s="1563"/>
      <c r="Z33" s="1546"/>
      <c r="AA33" s="1648"/>
      <c r="AB33" s="255" t="str">
        <f>K33&amp;" год"</f>
        <v>2029 год</v>
      </c>
      <c r="AC33" s="408"/>
      <c r="AD33" s="8204"/>
      <c r="AE33" s="8203"/>
      <c r="AF33" s="8203"/>
      <c r="AG33" s="8204"/>
      <c r="AH33" s="8203"/>
      <c r="AI33" s="8204"/>
      <c r="AJ33" s="8203"/>
      <c r="AK33" s="8205"/>
      <c r="AL33" s="403"/>
      <c r="AM33" s="1278"/>
      <c r="AN33" s="1064" cm="1" t="str">
        <f t="array" ref="AN33:AN33">K33</f>
        <v>2029</v>
      </c>
      <c r="AO33" s="1064" t="s">
        <v>2977</v>
      </c>
      <c r="AP33" s="1074" cm="1" t="str">
        <f t="array" ref="AP33:AP33">AP32</f>
        <v>0</v>
      </c>
      <c r="AQ33" s="703"/>
      <c r="AR33" s="703"/>
    </row>
    <row s="1278" customFormat="1" customHeight="1" ht="14.625" hidden="1">
      <c r="A34" s="1278"/>
      <c r="B34" s="445">
        <f>K34&lt;first_year+PERIOD_LENGTH</f>
        <v>1</v>
      </c>
      <c r="C34" s="1278"/>
      <c r="D34" s="1278"/>
      <c r="E34" s="703">
        <v>15</v>
      </c>
      <c r="F34" s="50" cm="1" t="str">
        <f t="array" ref="F34:F34">OFFSET(E34,-1,1)</f>
        <v>0</v>
      </c>
      <c r="G34" s="98" cm="1" t="str">
        <f t="array" ref="G34:G34">G33</f>
        <v>0</v>
      </c>
      <c r="H34" s="1278"/>
      <c r="I34" s="1278"/>
      <c r="J34" s="1278"/>
      <c r="K34" s="158">
        <f>first_year+4</f>
        <v>2030</v>
      </c>
      <c r="L34" s="1278"/>
      <c r="M34" s="1278"/>
      <c r="N34" s="1278"/>
      <c r="O34" s="1278"/>
      <c r="P34" s="1278"/>
      <c r="Q34" s="1278"/>
      <c r="R34" s="1278"/>
      <c r="S34" s="1278"/>
      <c r="T34" s="465" cm="1" t="str">
        <f t="array" ref="T34:T34">T33</f>
        <v>false</v>
      </c>
      <c r="U34" s="1278"/>
      <c r="V34" s="1278"/>
      <c r="W34" s="1278"/>
      <c r="X34" s="1563"/>
      <c r="Y34" s="1563"/>
      <c r="Z34" s="1546"/>
      <c r="AA34" s="1648"/>
      <c r="AB34" s="255" t="str">
        <f>K34&amp;" год"</f>
        <v>2030 год</v>
      </c>
      <c r="AC34" s="408"/>
      <c r="AD34" s="8204"/>
      <c r="AE34" s="8203"/>
      <c r="AF34" s="8203"/>
      <c r="AG34" s="8204"/>
      <c r="AH34" s="8203"/>
      <c r="AI34" s="8204"/>
      <c r="AJ34" s="8203"/>
      <c r="AK34" s="8205"/>
      <c r="AL34" s="403"/>
      <c r="AM34" s="1278"/>
      <c r="AN34" s="1064" cm="1" t="str">
        <f t="array" ref="AN34:AN34">K34</f>
        <v>2030</v>
      </c>
      <c r="AO34" s="1064" t="s">
        <v>2977</v>
      </c>
      <c r="AP34" s="1074" cm="1" t="str">
        <f t="array" ref="AP34:AP34">AP33</f>
        <v>0</v>
      </c>
      <c r="AQ34" s="703"/>
      <c r="AR34" s="703"/>
    </row>
    <row s="1278" customFormat="1" customHeight="1" ht="14.625" hidden="1">
      <c r="A35" s="1278"/>
      <c r="B35" s="445">
        <f>K35&lt;first_year+PERIOD_LENGTH</f>
        <v>0</v>
      </c>
      <c r="C35" s="1278"/>
      <c r="D35" s="1278"/>
      <c r="E35" s="703">
        <v>15</v>
      </c>
      <c r="F35" s="50" cm="1" t="str">
        <f t="array" ref="F35:F35">OFFSET(E35,-1,1)</f>
        <v>0</v>
      </c>
      <c r="G35" s="98" cm="1" t="str">
        <f t="array" ref="G35:G35">G34</f>
        <v>0</v>
      </c>
      <c r="H35" s="1278"/>
      <c r="I35" s="1278"/>
      <c r="J35" s="1278"/>
      <c r="K35" s="158">
        <f>first_year+5</f>
        <v>2031</v>
      </c>
      <c r="L35" s="1278"/>
      <c r="M35" s="1278"/>
      <c r="N35" s="1278"/>
      <c r="O35" s="1278"/>
      <c r="P35" s="1278"/>
      <c r="Q35" s="1278"/>
      <c r="R35" s="1278"/>
      <c r="S35" s="1278"/>
      <c r="T35" s="465" cm="1" t="str">
        <f t="array" ref="T35:T35">T34</f>
        <v>false</v>
      </c>
      <c r="U35" s="1278"/>
      <c r="V35" s="1278"/>
      <c r="W35" s="1278"/>
      <c r="X35" s="1563"/>
      <c r="Y35" s="1563"/>
      <c r="Z35" s="1546"/>
      <c r="AA35" s="1648"/>
      <c r="AB35" s="255" t="str">
        <f>K35&amp;" год"</f>
        <v>2031 год</v>
      </c>
      <c r="AC35" s="408"/>
      <c r="AD35" s="8204"/>
      <c r="AE35" s="8203"/>
      <c r="AF35" s="8203"/>
      <c r="AG35" s="8204"/>
      <c r="AH35" s="8203"/>
      <c r="AI35" s="8204"/>
      <c r="AJ35" s="8203"/>
      <c r="AK35" s="8205"/>
      <c r="AL35" s="403"/>
      <c r="AM35" s="1278"/>
      <c r="AN35" s="1064" cm="1" t="str">
        <f t="array" ref="AN35:AN35">K35</f>
        <v>2031</v>
      </c>
      <c r="AO35" s="1064" t="s">
        <v>2977</v>
      </c>
      <c r="AP35" s="1074" cm="1" t="str">
        <f t="array" ref="AP35:AP35">AP34</f>
        <v>0</v>
      </c>
      <c r="AQ35" s="703"/>
      <c r="AR35" s="703"/>
    </row>
    <row s="1278" customFormat="1" customHeight="1" ht="14.625" hidden="1">
      <c r="A36" s="1278"/>
      <c r="B36" s="445">
        <f>K36&lt;first_year+PERIOD_LENGTH</f>
        <v>0</v>
      </c>
      <c r="C36" s="1278"/>
      <c r="D36" s="1278"/>
      <c r="E36" s="703">
        <v>15</v>
      </c>
      <c r="F36" s="50" cm="1" t="str">
        <f t="array" ref="F36:F36">OFFSET(E36,-1,1)</f>
        <v>0</v>
      </c>
      <c r="G36" s="98" cm="1" t="str">
        <f t="array" ref="G36:G36">G35</f>
        <v>0</v>
      </c>
      <c r="H36" s="1278"/>
      <c r="I36" s="1278"/>
      <c r="J36" s="1278"/>
      <c r="K36" s="158">
        <f>first_year+6</f>
        <v>2032</v>
      </c>
      <c r="L36" s="1278"/>
      <c r="M36" s="1278"/>
      <c r="N36" s="1278"/>
      <c r="O36" s="1278"/>
      <c r="P36" s="1278"/>
      <c r="Q36" s="1278"/>
      <c r="R36" s="1278"/>
      <c r="S36" s="1278"/>
      <c r="T36" s="465" cm="1" t="str">
        <f t="array" ref="T36:T36">T35</f>
        <v>false</v>
      </c>
      <c r="U36" s="1278"/>
      <c r="V36" s="1278"/>
      <c r="W36" s="1278"/>
      <c r="X36" s="1563"/>
      <c r="Y36" s="1563"/>
      <c r="Z36" s="1546"/>
      <c r="AA36" s="1648"/>
      <c r="AB36" s="255" t="str">
        <f>K36&amp;" год"</f>
        <v>2032 год</v>
      </c>
      <c r="AC36" s="408"/>
      <c r="AD36" s="8204"/>
      <c r="AE36" s="8203"/>
      <c r="AF36" s="8203"/>
      <c r="AG36" s="8204"/>
      <c r="AH36" s="8203"/>
      <c r="AI36" s="8204"/>
      <c r="AJ36" s="8203"/>
      <c r="AK36" s="8205"/>
      <c r="AL36" s="403"/>
      <c r="AM36" s="1278"/>
      <c r="AN36" s="1064" cm="1" t="str">
        <f t="array" ref="AN36:AN36">K36</f>
        <v>2032</v>
      </c>
      <c r="AO36" s="1064" t="s">
        <v>2977</v>
      </c>
      <c r="AP36" s="1074" cm="1" t="str">
        <f t="array" ref="AP36:AP36">AP35</f>
        <v>0</v>
      </c>
      <c r="AQ36" s="703"/>
      <c r="AR36" s="703"/>
    </row>
    <row s="1278" customFormat="1" customHeight="1" ht="14.625" hidden="1">
      <c r="A37" s="1278"/>
      <c r="B37" s="445">
        <f>K37&lt;first_year+PERIOD_LENGTH</f>
        <v>0</v>
      </c>
      <c r="C37" s="1278"/>
      <c r="D37" s="1278"/>
      <c r="E37" s="703">
        <v>15</v>
      </c>
      <c r="F37" s="50" cm="1" t="str">
        <f t="array" ref="F37:F37">OFFSET(E37,-1,1)</f>
        <v>0</v>
      </c>
      <c r="G37" s="98" cm="1" t="str">
        <f t="array" ref="G37:G37">G36</f>
        <v>0</v>
      </c>
      <c r="H37" s="1278"/>
      <c r="I37" s="1278"/>
      <c r="J37" s="1278"/>
      <c r="K37" s="158">
        <f>first_year+7</f>
        <v>2033</v>
      </c>
      <c r="L37" s="1278"/>
      <c r="M37" s="1278"/>
      <c r="N37" s="1278"/>
      <c r="O37" s="1278"/>
      <c r="P37" s="1278"/>
      <c r="Q37" s="1278"/>
      <c r="R37" s="1278"/>
      <c r="S37" s="1278"/>
      <c r="T37" s="465" cm="1" t="str">
        <f t="array" ref="T37:T37">T36</f>
        <v>false</v>
      </c>
      <c r="U37" s="1278"/>
      <c r="V37" s="1278"/>
      <c r="W37" s="1278"/>
      <c r="X37" s="1563"/>
      <c r="Y37" s="1563"/>
      <c r="Z37" s="1546"/>
      <c r="AA37" s="1648"/>
      <c r="AB37" s="255" t="str">
        <f>K37&amp;" год"</f>
        <v>2033 год</v>
      </c>
      <c r="AC37" s="408"/>
      <c r="AD37" s="8204"/>
      <c r="AE37" s="8203"/>
      <c r="AF37" s="8203"/>
      <c r="AG37" s="8204"/>
      <c r="AH37" s="8203"/>
      <c r="AI37" s="8204"/>
      <c r="AJ37" s="8203"/>
      <c r="AK37" s="8205"/>
      <c r="AL37" s="403"/>
      <c r="AM37" s="1278"/>
      <c r="AN37" s="1064" cm="1" t="str">
        <f t="array" ref="AN37:AN37">K37</f>
        <v>2033</v>
      </c>
      <c r="AO37" s="1064" t="s">
        <v>2977</v>
      </c>
      <c r="AP37" s="1074" cm="1" t="str">
        <f t="array" ref="AP37:AP37">AP36</f>
        <v>0</v>
      </c>
      <c r="AQ37" s="703"/>
      <c r="AR37" s="703"/>
    </row>
    <row s="1278" customFormat="1" customHeight="1" ht="14.625" hidden="1">
      <c r="A38" s="1278"/>
      <c r="B38" s="445">
        <f>K38&lt;first_year+PERIOD_LENGTH</f>
        <v>0</v>
      </c>
      <c r="C38" s="1278"/>
      <c r="D38" s="1278"/>
      <c r="E38" s="703">
        <v>15</v>
      </c>
      <c r="F38" s="50" cm="1" t="str">
        <f t="array" ref="F38:F38">OFFSET(E38,-1,1)</f>
        <v>0</v>
      </c>
      <c r="G38" s="98" cm="1" t="str">
        <f t="array" ref="G38:G38">G37</f>
        <v>0</v>
      </c>
      <c r="H38" s="1278"/>
      <c r="I38" s="1278"/>
      <c r="J38" s="1278"/>
      <c r="K38" s="158">
        <f>first_year+8</f>
        <v>2034</v>
      </c>
      <c r="L38" s="1278"/>
      <c r="M38" s="1278"/>
      <c r="N38" s="1278"/>
      <c r="O38" s="1278"/>
      <c r="P38" s="1278"/>
      <c r="Q38" s="1278"/>
      <c r="R38" s="1278"/>
      <c r="S38" s="1278"/>
      <c r="T38" s="465" cm="1" t="str">
        <f t="array" ref="T38:T38">T37</f>
        <v>false</v>
      </c>
      <c r="U38" s="1278"/>
      <c r="V38" s="1278"/>
      <c r="W38" s="1278"/>
      <c r="X38" s="1563"/>
      <c r="Y38" s="1563"/>
      <c r="Z38" s="1546"/>
      <c r="AA38" s="1648"/>
      <c r="AB38" s="255" t="str">
        <f>K38&amp;" год"</f>
        <v>2034 год</v>
      </c>
      <c r="AC38" s="408"/>
      <c r="AD38" s="8204"/>
      <c r="AE38" s="8203"/>
      <c r="AF38" s="8203"/>
      <c r="AG38" s="8204"/>
      <c r="AH38" s="8203"/>
      <c r="AI38" s="8204"/>
      <c r="AJ38" s="8203"/>
      <c r="AK38" s="8205"/>
      <c r="AL38" s="403"/>
      <c r="AM38" s="1278"/>
      <c r="AN38" s="1064" cm="1" t="str">
        <f t="array" ref="AN38:AN38">K38</f>
        <v>2034</v>
      </c>
      <c r="AO38" s="1064" t="s">
        <v>2977</v>
      </c>
      <c r="AP38" s="1074" cm="1" t="str">
        <f t="array" ref="AP38:AP38">AP37</f>
        <v>0</v>
      </c>
      <c r="AQ38" s="703"/>
      <c r="AR38" s="703"/>
    </row>
    <row s="1278" customFormat="1" customHeight="1" ht="14.625" hidden="1">
      <c r="A39" s="1278"/>
      <c r="B39" s="445">
        <f>K39&lt;first_year+PERIOD_LENGTH</f>
        <v>0</v>
      </c>
      <c r="C39" s="1278"/>
      <c r="D39" s="1278"/>
      <c r="E39" s="703">
        <v>15</v>
      </c>
      <c r="F39" s="50" cm="1" t="str">
        <f t="array" ref="F39:F39">OFFSET(E39,-1,1)</f>
        <v>0</v>
      </c>
      <c r="G39" s="98" cm="1" t="str">
        <f t="array" ref="G39:G39">G38</f>
        <v>0</v>
      </c>
      <c r="H39" s="1278"/>
      <c r="I39" s="1278"/>
      <c r="J39" s="1278"/>
      <c r="K39" s="158">
        <f>first_year+9</f>
        <v>2035</v>
      </c>
      <c r="L39" s="1278"/>
      <c r="M39" s="1278"/>
      <c r="N39" s="1278"/>
      <c r="O39" s="1278"/>
      <c r="P39" s="1278"/>
      <c r="Q39" s="1278"/>
      <c r="R39" s="1278"/>
      <c r="S39" s="1278"/>
      <c r="T39" s="465" cm="1" t="str">
        <f t="array" ref="T39:T39">T38</f>
        <v>false</v>
      </c>
      <c r="U39" s="1278"/>
      <c r="V39" s="1278"/>
      <c r="W39" s="1278"/>
      <c r="X39" s="1563"/>
      <c r="Y39" s="1563"/>
      <c r="Z39" s="1546"/>
      <c r="AA39" s="1648"/>
      <c r="AB39" s="255" t="str">
        <f>K39&amp;" год"</f>
        <v>2035 год</v>
      </c>
      <c r="AC39" s="408"/>
      <c r="AD39" s="8204"/>
      <c r="AE39" s="8203"/>
      <c r="AF39" s="8203"/>
      <c r="AG39" s="8204"/>
      <c r="AH39" s="8203"/>
      <c r="AI39" s="8204"/>
      <c r="AJ39" s="8203"/>
      <c r="AK39" s="8205"/>
      <c r="AL39" s="403"/>
      <c r="AM39" s="1278"/>
      <c r="AN39" s="1064" cm="1" t="str">
        <f t="array" ref="AN39:AN39">K39</f>
        <v>2035</v>
      </c>
      <c r="AO39" s="1064" t="s">
        <v>2977</v>
      </c>
      <c r="AP39" s="1074" cm="1" t="str">
        <f t="array" ref="AP39:AP39">AP38</f>
        <v>0</v>
      </c>
      <c r="AQ39" s="703"/>
      <c r="AR39" s="703"/>
    </row>
    <row s="1278" customFormat="1" customHeight="1" ht="14.625" hidden="1">
      <c r="A40" s="1278"/>
      <c r="B40" s="445">
        <f>K40&lt;first_year+PERIOD_LENGTH</f>
        <v>0</v>
      </c>
      <c r="C40" s="1278"/>
      <c r="D40" s="1278"/>
      <c r="E40" s="703">
        <v>15</v>
      </c>
      <c r="F40" s="50" cm="1" t="str">
        <f t="array" ref="F40:F40">OFFSET(E40,-1,1)</f>
        <v>0</v>
      </c>
      <c r="G40" s="98" cm="1" t="str">
        <f t="array" ref="G40:G40">G39</f>
        <v>0</v>
      </c>
      <c r="H40" s="1278"/>
      <c r="I40" s="1278"/>
      <c r="J40" s="1278"/>
      <c r="K40" s="158">
        <f>first_year+10</f>
        <v>2036</v>
      </c>
      <c r="L40" s="1278"/>
      <c r="M40" s="1278"/>
      <c r="N40" s="1278"/>
      <c r="O40" s="1278"/>
      <c r="P40" s="1278"/>
      <c r="Q40" s="1278"/>
      <c r="R40" s="1278"/>
      <c r="S40" s="1278"/>
      <c r="T40" s="465" cm="1" t="str">
        <f t="array" ref="T40:T40">T39</f>
        <v>false</v>
      </c>
      <c r="U40" s="1278"/>
      <c r="V40" s="1278"/>
      <c r="W40" s="1278"/>
      <c r="X40" s="1563"/>
      <c r="Y40" s="1563"/>
      <c r="Z40" s="1546"/>
      <c r="AA40" s="1648"/>
      <c r="AB40" s="255" t="str">
        <f>K40&amp;" год"</f>
        <v>2036 год</v>
      </c>
      <c r="AC40" s="408"/>
      <c r="AD40" s="8204"/>
      <c r="AE40" s="8203"/>
      <c r="AF40" s="8203"/>
      <c r="AG40" s="8204"/>
      <c r="AH40" s="8203"/>
      <c r="AI40" s="8204"/>
      <c r="AJ40" s="8203"/>
      <c r="AK40" s="8205"/>
      <c r="AL40" s="403"/>
      <c r="AM40" s="1278"/>
      <c r="AN40" s="1064" cm="1" t="str">
        <f t="array" ref="AN40:AN40">K40</f>
        <v>2036</v>
      </c>
      <c r="AO40" s="1064" t="s">
        <v>2977</v>
      </c>
      <c r="AP40" s="1074" cm="1" t="str">
        <f t="array" ref="AP40:AP40">AP39</f>
        <v>0</v>
      </c>
      <c r="AQ40" s="703"/>
      <c r="AR40" s="703"/>
    </row>
    <row s="1278" customFormat="1" customHeight="1" ht="14.625" hidden="1">
      <c r="A41" s="1278"/>
      <c r="B41" s="445">
        <f>K41&lt;first_year+PERIOD_LENGTH</f>
        <v>0</v>
      </c>
      <c r="C41" s="1278"/>
      <c r="D41" s="1278"/>
      <c r="E41" s="703">
        <v>15</v>
      </c>
      <c r="F41" s="50" cm="1" t="str">
        <f t="array" ref="F41:F41">OFFSET(E41,-1,1)</f>
        <v>0</v>
      </c>
      <c r="G41" s="98" cm="1" t="str">
        <f t="array" ref="G41:G41">G40</f>
        <v>0</v>
      </c>
      <c r="H41" s="1278"/>
      <c r="I41" s="1278"/>
      <c r="J41" s="1278"/>
      <c r="K41" s="158">
        <f>first_year+11</f>
        <v>2037</v>
      </c>
      <c r="L41" s="1278"/>
      <c r="M41" s="1278"/>
      <c r="N41" s="1278"/>
      <c r="O41" s="1278"/>
      <c r="P41" s="1278"/>
      <c r="Q41" s="1278"/>
      <c r="R41" s="1278"/>
      <c r="S41" s="1278"/>
      <c r="T41" s="465" cm="1" t="str">
        <f t="array" ref="T41:T41">T40</f>
        <v>false</v>
      </c>
      <c r="U41" s="1278"/>
      <c r="V41" s="1278"/>
      <c r="W41" s="1278"/>
      <c r="X41" s="1563"/>
      <c r="Y41" s="1563"/>
      <c r="Z41" s="1546"/>
      <c r="AA41" s="1648"/>
      <c r="AB41" s="255" t="str">
        <f>K41&amp;" год"</f>
        <v>2037 год</v>
      </c>
      <c r="AC41" s="408"/>
      <c r="AD41" s="8204"/>
      <c r="AE41" s="8203"/>
      <c r="AF41" s="8203"/>
      <c r="AG41" s="8204"/>
      <c r="AH41" s="8203"/>
      <c r="AI41" s="8204"/>
      <c r="AJ41" s="8203"/>
      <c r="AK41" s="8205"/>
      <c r="AL41" s="403"/>
      <c r="AM41" s="1278"/>
      <c r="AN41" s="1064" cm="1" t="str">
        <f t="array" ref="AN41:AN41">K41</f>
        <v>2037</v>
      </c>
      <c r="AO41" s="1064" t="s">
        <v>2977</v>
      </c>
      <c r="AP41" s="1074" cm="1" t="str">
        <f t="array" ref="AP41:AP41">AP40</f>
        <v>0</v>
      </c>
      <c r="AQ41" s="703"/>
      <c r="AR41" s="703"/>
    </row>
    <row s="1278" customFormat="1" customHeight="1" ht="14.625" hidden="1">
      <c r="A42" s="1278"/>
      <c r="B42" s="445">
        <f>K42&lt;first_year+PERIOD_LENGTH</f>
        <v>0</v>
      </c>
      <c r="C42" s="1278"/>
      <c r="D42" s="1278"/>
      <c r="E42" s="703">
        <v>15</v>
      </c>
      <c r="F42" s="50" cm="1" t="str">
        <f t="array" ref="F42:F42">OFFSET(E42,-1,1)</f>
        <v>0</v>
      </c>
      <c r="G42" s="98" cm="1" t="str">
        <f t="array" ref="G42:G42">G41</f>
        <v>0</v>
      </c>
      <c r="H42" s="1278"/>
      <c r="I42" s="1278"/>
      <c r="J42" s="1278"/>
      <c r="K42" s="158">
        <f>first_year+12</f>
        <v>2038</v>
      </c>
      <c r="L42" s="1278"/>
      <c r="M42" s="1278"/>
      <c r="N42" s="1278"/>
      <c r="O42" s="1278"/>
      <c r="P42" s="1278"/>
      <c r="Q42" s="1278"/>
      <c r="R42" s="1278"/>
      <c r="S42" s="1278"/>
      <c r="T42" s="465" cm="1" t="str">
        <f t="array" ref="T42:T42">T41</f>
        <v>false</v>
      </c>
      <c r="U42" s="1278"/>
      <c r="V42" s="1278"/>
      <c r="W42" s="1278"/>
      <c r="X42" s="1563"/>
      <c r="Y42" s="1563"/>
      <c r="Z42" s="1546"/>
      <c r="AA42" s="1648"/>
      <c r="AB42" s="255" t="str">
        <f>K42&amp;" год"</f>
        <v>2038 год</v>
      </c>
      <c r="AC42" s="408"/>
      <c r="AD42" s="8204"/>
      <c r="AE42" s="8203"/>
      <c r="AF42" s="8203"/>
      <c r="AG42" s="8204"/>
      <c r="AH42" s="8203"/>
      <c r="AI42" s="8204"/>
      <c r="AJ42" s="8203"/>
      <c r="AK42" s="8205"/>
      <c r="AL42" s="403"/>
      <c r="AM42" s="1278"/>
      <c r="AN42" s="1064" cm="1" t="str">
        <f t="array" ref="AN42:AN42">K42</f>
        <v>2038</v>
      </c>
      <c r="AO42" s="1064" t="s">
        <v>2977</v>
      </c>
      <c r="AP42" s="1074" cm="1" t="str">
        <f t="array" ref="AP42:AP42">AP41</f>
        <v>0</v>
      </c>
      <c r="AQ42" s="703"/>
      <c r="AR42" s="703"/>
    </row>
    <row s="1278" customFormat="1" customHeight="1" ht="14.625" hidden="1">
      <c r="A43" s="1278"/>
      <c r="B43" s="445">
        <f>K43&lt;first_year+PERIOD_LENGTH</f>
        <v>0</v>
      </c>
      <c r="C43" s="1278"/>
      <c r="D43" s="1278"/>
      <c r="E43" s="703">
        <v>15</v>
      </c>
      <c r="F43" s="50" cm="1" t="str">
        <f t="array" ref="F43:F43">OFFSET(E43,-1,1)</f>
        <v>0</v>
      </c>
      <c r="G43" s="98" cm="1" t="str">
        <f t="array" ref="G43:G43">G42</f>
        <v>0</v>
      </c>
      <c r="H43" s="1278"/>
      <c r="I43" s="1278"/>
      <c r="J43" s="1278"/>
      <c r="K43" s="158">
        <f>first_year+13</f>
        <v>2039</v>
      </c>
      <c r="L43" s="1278"/>
      <c r="M43" s="1278"/>
      <c r="N43" s="1278"/>
      <c r="O43" s="1278"/>
      <c r="P43" s="1278"/>
      <c r="Q43" s="1278"/>
      <c r="R43" s="1278"/>
      <c r="S43" s="1278"/>
      <c r="T43" s="465" cm="1" t="str">
        <f t="array" ref="T43:T43">T42</f>
        <v>false</v>
      </c>
      <c r="U43" s="1278"/>
      <c r="V43" s="1278"/>
      <c r="W43" s="1278"/>
      <c r="X43" s="1563"/>
      <c r="Y43" s="1563"/>
      <c r="Z43" s="1546"/>
      <c r="AA43" s="1648"/>
      <c r="AB43" s="255" t="str">
        <f>K43&amp;" год"</f>
        <v>2039 год</v>
      </c>
      <c r="AC43" s="408"/>
      <c r="AD43" s="8204"/>
      <c r="AE43" s="8203"/>
      <c r="AF43" s="8203"/>
      <c r="AG43" s="8204"/>
      <c r="AH43" s="8203"/>
      <c r="AI43" s="8204"/>
      <c r="AJ43" s="8203"/>
      <c r="AK43" s="8205"/>
      <c r="AL43" s="403"/>
      <c r="AM43" s="1278"/>
      <c r="AN43" s="1064" cm="1" t="str">
        <f t="array" ref="AN43:AN43">K43</f>
        <v>2039</v>
      </c>
      <c r="AO43" s="1064" t="s">
        <v>2977</v>
      </c>
      <c r="AP43" s="1074" cm="1" t="str">
        <f t="array" ref="AP43:AP43">AP42</f>
        <v>0</v>
      </c>
      <c r="AQ43" s="703"/>
      <c r="AR43" s="703"/>
    </row>
    <row s="1278" customFormat="1" customHeight="1" ht="14.625" hidden="1">
      <c r="A44" s="1278"/>
      <c r="B44" s="445">
        <f>K44&lt;first_year+PERIOD_LENGTH</f>
        <v>0</v>
      </c>
      <c r="C44" s="1278"/>
      <c r="D44" s="1278"/>
      <c r="E44" s="703">
        <v>15</v>
      </c>
      <c r="F44" s="50" cm="1" t="str">
        <f t="array" ref="F44:F44">OFFSET(E44,-1,1)</f>
        <v>0</v>
      </c>
      <c r="G44" s="98" cm="1" t="str">
        <f t="array" ref="G44:G44">G43</f>
        <v>0</v>
      </c>
      <c r="H44" s="1278"/>
      <c r="I44" s="1278"/>
      <c r="J44" s="1278"/>
      <c r="K44" s="158">
        <f>first_year+14</f>
        <v>2040</v>
      </c>
      <c r="L44" s="1278"/>
      <c r="M44" s="1278"/>
      <c r="N44" s="1278"/>
      <c r="O44" s="1278"/>
      <c r="P44" s="1278"/>
      <c r="Q44" s="1278"/>
      <c r="R44" s="1278"/>
      <c r="S44" s="1278"/>
      <c r="T44" s="465" cm="1" t="str">
        <f t="array" ref="T44:T44">T43</f>
        <v>false</v>
      </c>
      <c r="U44" s="1278"/>
      <c r="V44" s="1278"/>
      <c r="W44" s="1278"/>
      <c r="X44" s="1563"/>
      <c r="Y44" s="1563"/>
      <c r="Z44" s="1546"/>
      <c r="AA44" s="1648"/>
      <c r="AB44" s="255" t="str">
        <f>K44&amp;" год"</f>
        <v>2040 год</v>
      </c>
      <c r="AC44" s="408"/>
      <c r="AD44" s="8204"/>
      <c r="AE44" s="8203"/>
      <c r="AF44" s="8203"/>
      <c r="AG44" s="8204"/>
      <c r="AH44" s="8203"/>
      <c r="AI44" s="8204"/>
      <c r="AJ44" s="8203"/>
      <c r="AK44" s="8205"/>
      <c r="AL44" s="403"/>
      <c r="AM44" s="1278"/>
      <c r="AN44" s="1064" cm="1" t="str">
        <f t="array" ref="AN44:AN44">K44</f>
        <v>2040</v>
      </c>
      <c r="AO44" s="1064" t="s">
        <v>2977</v>
      </c>
      <c r="AP44" s="1074" cm="1" t="str">
        <f t="array" ref="AP44:AP44">AP43</f>
        <v>0</v>
      </c>
      <c r="AQ44" s="703"/>
      <c r="AR44" s="703"/>
    </row>
    <row s="1278" customFormat="1" customHeight="1" ht="14.625" hidden="1">
      <c r="A45" s="1278"/>
      <c r="B45" s="445">
        <f>K45&lt;first_year+PERIOD_LENGTH</f>
        <v>0</v>
      </c>
      <c r="C45" s="1278"/>
      <c r="D45" s="1278"/>
      <c r="E45" s="703">
        <v>15</v>
      </c>
      <c r="F45" s="50" cm="1" t="str">
        <f t="array" ref="F45:F45">OFFSET(E45,-1,1)</f>
        <v>0</v>
      </c>
      <c r="G45" s="98" cm="1" t="str">
        <f t="array" ref="G45:G45">G44</f>
        <v>0</v>
      </c>
      <c r="H45" s="1278"/>
      <c r="I45" s="1278"/>
      <c r="J45" s="1278"/>
      <c r="K45" s="158">
        <f>first_year+15</f>
        <v>2041</v>
      </c>
      <c r="L45" s="1278"/>
      <c r="M45" s="1278"/>
      <c r="N45" s="1278"/>
      <c r="O45" s="1278"/>
      <c r="P45" s="1278"/>
      <c r="Q45" s="1278"/>
      <c r="R45" s="1278"/>
      <c r="S45" s="1278"/>
      <c r="T45" s="465" cm="1" t="str">
        <f t="array" ref="T45:T45">T44</f>
        <v>false</v>
      </c>
      <c r="U45" s="1278"/>
      <c r="V45" s="1278"/>
      <c r="W45" s="1278"/>
      <c r="X45" s="1563"/>
      <c r="Y45" s="1563"/>
      <c r="Z45" s="1546"/>
      <c r="AA45" s="1648"/>
      <c r="AB45" s="255" t="str">
        <f>K45&amp;" год"</f>
        <v>2041 год</v>
      </c>
      <c r="AC45" s="408"/>
      <c r="AD45" s="8204"/>
      <c r="AE45" s="8203"/>
      <c r="AF45" s="8203"/>
      <c r="AG45" s="8204"/>
      <c r="AH45" s="8203"/>
      <c r="AI45" s="8204"/>
      <c r="AJ45" s="8203"/>
      <c r="AK45" s="8205"/>
      <c r="AL45" s="403"/>
      <c r="AM45" s="1278"/>
      <c r="AN45" s="1064" cm="1" t="str">
        <f t="array" ref="AN45:AN45">K45</f>
        <v>2041</v>
      </c>
      <c r="AO45" s="1064" t="s">
        <v>2977</v>
      </c>
      <c r="AP45" s="1074" cm="1" t="str">
        <f t="array" ref="AP45:AP45">AP44</f>
        <v>0</v>
      </c>
      <c r="AQ45" s="703"/>
      <c r="AR45" s="703"/>
    </row>
    <row s="1278" customFormat="1" customHeight="1" ht="14.625" hidden="1">
      <c r="A46" s="1278"/>
      <c r="B46" s="445">
        <f>K46&lt;first_year+PERIOD_LENGTH</f>
        <v>0</v>
      </c>
      <c r="C46" s="1278"/>
      <c r="D46" s="1278"/>
      <c r="E46" s="703">
        <v>15</v>
      </c>
      <c r="F46" s="50" cm="1" t="str">
        <f t="array" ref="F46:F46">OFFSET(E46,-1,1)</f>
        <v>0</v>
      </c>
      <c r="G46" s="98" cm="1" t="str">
        <f t="array" ref="G46:G46">G45</f>
        <v>0</v>
      </c>
      <c r="H46" s="1278"/>
      <c r="I46" s="1278"/>
      <c r="J46" s="1278"/>
      <c r="K46" s="158">
        <f>first_year+16</f>
        <v>2042</v>
      </c>
      <c r="L46" s="1278"/>
      <c r="M46" s="1278"/>
      <c r="N46" s="1278"/>
      <c r="O46" s="1278"/>
      <c r="P46" s="1278"/>
      <c r="Q46" s="1278"/>
      <c r="R46" s="1278"/>
      <c r="S46" s="1278"/>
      <c r="T46" s="465" cm="1" t="str">
        <f t="array" ref="T46:T46">T45</f>
        <v>false</v>
      </c>
      <c r="U46" s="1278"/>
      <c r="V46" s="1278"/>
      <c r="W46" s="1278"/>
      <c r="X46" s="1563"/>
      <c r="Y46" s="1563"/>
      <c r="Z46" s="1546"/>
      <c r="AA46" s="1648"/>
      <c r="AB46" s="255" t="str">
        <f>K46&amp;" год"</f>
        <v>2042 год</v>
      </c>
      <c r="AC46" s="408"/>
      <c r="AD46" s="8204"/>
      <c r="AE46" s="8203"/>
      <c r="AF46" s="8203"/>
      <c r="AG46" s="8204"/>
      <c r="AH46" s="8203"/>
      <c r="AI46" s="8204"/>
      <c r="AJ46" s="8203"/>
      <c r="AK46" s="8205"/>
      <c r="AL46" s="403"/>
      <c r="AM46" s="1278"/>
      <c r="AN46" s="1064" cm="1" t="str">
        <f t="array" ref="AN46:AN46">K46</f>
        <v>2042</v>
      </c>
      <c r="AO46" s="1064" t="s">
        <v>2977</v>
      </c>
      <c r="AP46" s="1074" cm="1" t="str">
        <f t="array" ref="AP46:AP46">AP45</f>
        <v>0</v>
      </c>
      <c r="AQ46" s="703"/>
      <c r="AR46" s="703"/>
    </row>
    <row s="1278" customFormat="1" customHeight="1" ht="14.625" hidden="1">
      <c r="A47" s="1278"/>
      <c r="B47" s="445">
        <f>K47&lt;first_year+PERIOD_LENGTH</f>
        <v>0</v>
      </c>
      <c r="C47" s="1278"/>
      <c r="D47" s="1278"/>
      <c r="E47" s="703">
        <v>15</v>
      </c>
      <c r="F47" s="50" cm="1" t="str">
        <f t="array" ref="F47:F47">OFFSET(E47,-1,1)</f>
        <v>0</v>
      </c>
      <c r="G47" s="98" cm="1" t="str">
        <f t="array" ref="G47:G47">G46</f>
        <v>0</v>
      </c>
      <c r="H47" s="1278"/>
      <c r="I47" s="1278"/>
      <c r="J47" s="1278"/>
      <c r="K47" s="158">
        <f>first_year+17</f>
        <v>2043</v>
      </c>
      <c r="L47" s="1278"/>
      <c r="M47" s="1278"/>
      <c r="N47" s="1278"/>
      <c r="O47" s="1278"/>
      <c r="P47" s="1278"/>
      <c r="Q47" s="1278"/>
      <c r="R47" s="1278"/>
      <c r="S47" s="1278"/>
      <c r="T47" s="465" cm="1" t="str">
        <f t="array" ref="T47:T47">T46</f>
        <v>false</v>
      </c>
      <c r="U47" s="1278"/>
      <c r="V47" s="1278"/>
      <c r="W47" s="1278"/>
      <c r="X47" s="1563"/>
      <c r="Y47" s="1563"/>
      <c r="Z47" s="1546"/>
      <c r="AA47" s="1648"/>
      <c r="AB47" s="255" t="str">
        <f>K47&amp;" год"</f>
        <v>2043 год</v>
      </c>
      <c r="AC47" s="408"/>
      <c r="AD47" s="8204"/>
      <c r="AE47" s="8203"/>
      <c r="AF47" s="8203"/>
      <c r="AG47" s="8204"/>
      <c r="AH47" s="8203"/>
      <c r="AI47" s="8204"/>
      <c r="AJ47" s="8203"/>
      <c r="AK47" s="8205"/>
      <c r="AL47" s="403"/>
      <c r="AM47" s="1278"/>
      <c r="AN47" s="1064" cm="1" t="str">
        <f t="array" ref="AN47:AN47">K47</f>
        <v>2043</v>
      </c>
      <c r="AO47" s="1064" t="s">
        <v>2977</v>
      </c>
      <c r="AP47" s="1074" cm="1" t="str">
        <f t="array" ref="AP47:AP47">AP46</f>
        <v>0</v>
      </c>
      <c r="AQ47" s="703"/>
      <c r="AR47" s="703"/>
    </row>
    <row s="1278" customFormat="1" customHeight="1" ht="14.625" hidden="1">
      <c r="A48" s="1278"/>
      <c r="B48" s="445">
        <f>K48&lt;first_year+PERIOD_LENGTH</f>
        <v>0</v>
      </c>
      <c r="C48" s="1278"/>
      <c r="D48" s="1278"/>
      <c r="E48" s="703">
        <v>15</v>
      </c>
      <c r="F48" s="50" cm="1" t="str">
        <f t="array" ref="F48:F48">OFFSET(E48,-1,1)</f>
        <v>0</v>
      </c>
      <c r="G48" s="98" cm="1" t="str">
        <f t="array" ref="G48:G48">G47</f>
        <v>0</v>
      </c>
      <c r="H48" s="1278"/>
      <c r="I48" s="1278"/>
      <c r="J48" s="1278"/>
      <c r="K48" s="158">
        <f>first_year+18</f>
        <v>2044</v>
      </c>
      <c r="L48" s="1278"/>
      <c r="M48" s="1278"/>
      <c r="N48" s="1278"/>
      <c r="O48" s="1278"/>
      <c r="P48" s="1278"/>
      <c r="Q48" s="1278"/>
      <c r="R48" s="1278"/>
      <c r="S48" s="1278"/>
      <c r="T48" s="465" cm="1" t="str">
        <f t="array" ref="T48:T48">T47</f>
        <v>false</v>
      </c>
      <c r="U48" s="1278"/>
      <c r="V48" s="1278"/>
      <c r="W48" s="1278"/>
      <c r="X48" s="1563"/>
      <c r="Y48" s="1563"/>
      <c r="Z48" s="1546"/>
      <c r="AA48" s="1648"/>
      <c r="AB48" s="255" t="str">
        <f>K48&amp;" год"</f>
        <v>2044 год</v>
      </c>
      <c r="AC48" s="408"/>
      <c r="AD48" s="8204"/>
      <c r="AE48" s="8203"/>
      <c r="AF48" s="8203"/>
      <c r="AG48" s="8204"/>
      <c r="AH48" s="8203"/>
      <c r="AI48" s="8204"/>
      <c r="AJ48" s="8203"/>
      <c r="AK48" s="8205"/>
      <c r="AL48" s="403"/>
      <c r="AM48" s="1278"/>
      <c r="AN48" s="1064" cm="1" t="str">
        <f t="array" ref="AN48:AN48">K48</f>
        <v>2044</v>
      </c>
      <c r="AO48" s="1064" t="s">
        <v>2977</v>
      </c>
      <c r="AP48" s="1074" cm="1" t="str">
        <f t="array" ref="AP48:AP48">AP47</f>
        <v>0</v>
      </c>
      <c r="AQ48" s="703"/>
      <c r="AR48" s="703"/>
    </row>
    <row s="1278" customFormat="1" customHeight="1" ht="14.625" hidden="1">
      <c r="A49" s="1278"/>
      <c r="B49" s="445">
        <f>K49&lt;first_year+PERIOD_LENGTH</f>
        <v>0</v>
      </c>
      <c r="C49" s="1278"/>
      <c r="D49" s="1278"/>
      <c r="E49" s="703">
        <v>15</v>
      </c>
      <c r="F49" s="50" cm="1" t="str">
        <f t="array" ref="F49:F49">OFFSET(E49,-1,1)</f>
        <v>0</v>
      </c>
      <c r="G49" s="98" cm="1" t="str">
        <f t="array" ref="G49:G49">G48</f>
        <v>0</v>
      </c>
      <c r="H49" s="1278"/>
      <c r="I49" s="1278"/>
      <c r="J49" s="1278"/>
      <c r="K49" s="158">
        <f>first_year+19</f>
        <v>2045</v>
      </c>
      <c r="L49" s="1278"/>
      <c r="M49" s="1278"/>
      <c r="N49" s="1278"/>
      <c r="O49" s="1278"/>
      <c r="P49" s="1278"/>
      <c r="Q49" s="1278"/>
      <c r="R49" s="1278"/>
      <c r="S49" s="1278"/>
      <c r="T49" s="465" cm="1" t="str">
        <f t="array" ref="T49:T49">T48</f>
        <v>false</v>
      </c>
      <c r="U49" s="1278"/>
      <c r="V49" s="1278"/>
      <c r="W49" s="1278"/>
      <c r="X49" s="1563"/>
      <c r="Y49" s="1563"/>
      <c r="Z49" s="1546"/>
      <c r="AA49" s="1648"/>
      <c r="AB49" s="255" t="str">
        <f>K49&amp;" год"</f>
        <v>2045 год</v>
      </c>
      <c r="AC49" s="408"/>
      <c r="AD49" s="8204"/>
      <c r="AE49" s="8203"/>
      <c r="AF49" s="8203"/>
      <c r="AG49" s="8204"/>
      <c r="AH49" s="8203"/>
      <c r="AI49" s="8204"/>
      <c r="AJ49" s="8203"/>
      <c r="AK49" s="8205"/>
      <c r="AL49" s="403"/>
      <c r="AM49" s="1278"/>
      <c r="AN49" s="1064" cm="1" t="str">
        <f t="array" ref="AN49:AN49">K49</f>
        <v>2045</v>
      </c>
      <c r="AO49" s="1064" t="s">
        <v>2977</v>
      </c>
      <c r="AP49" s="1074" cm="1" t="str">
        <f t="array" ref="AP49:AP49">AP48</f>
        <v>0</v>
      </c>
      <c r="AQ49" s="703"/>
      <c r="AR49" s="703"/>
    </row>
    <row s="1278" customFormat="1" customHeight="1" ht="14.625" hidden="1">
      <c r="A50" s="1278"/>
      <c r="B50" s="445">
        <f>K50&lt;first_year+PERIOD_LENGTH</f>
        <v>0</v>
      </c>
      <c r="C50" s="1278"/>
      <c r="D50" s="1278"/>
      <c r="E50" s="703">
        <v>15</v>
      </c>
      <c r="F50" s="50" cm="1" t="str">
        <f t="array" ref="F50:F50">OFFSET(E50,-1,1)</f>
        <v>0</v>
      </c>
      <c r="G50" s="98" cm="1" t="str">
        <f t="array" ref="G50:G50">G49</f>
        <v>0</v>
      </c>
      <c r="H50" s="1278"/>
      <c r="I50" s="1278"/>
      <c r="J50" s="1278"/>
      <c r="K50" s="158">
        <f>first_year+20</f>
        <v>2046</v>
      </c>
      <c r="L50" s="1278"/>
      <c r="M50" s="1278"/>
      <c r="N50" s="1278"/>
      <c r="O50" s="1278"/>
      <c r="P50" s="1278"/>
      <c r="Q50" s="1278"/>
      <c r="R50" s="1278"/>
      <c r="S50" s="1278"/>
      <c r="T50" s="465" cm="1" t="str">
        <f t="array" ref="T50:T50">T49</f>
        <v>false</v>
      </c>
      <c r="U50" s="1278"/>
      <c r="V50" s="1278"/>
      <c r="W50" s="1278"/>
      <c r="X50" s="1563"/>
      <c r="Y50" s="1563"/>
      <c r="Z50" s="1546"/>
      <c r="AA50" s="1648"/>
      <c r="AB50" s="255" t="str">
        <f>K50&amp;" год"</f>
        <v>2046 год</v>
      </c>
      <c r="AC50" s="408"/>
      <c r="AD50" s="8204"/>
      <c r="AE50" s="8203"/>
      <c r="AF50" s="8203"/>
      <c r="AG50" s="8204"/>
      <c r="AH50" s="8203"/>
      <c r="AI50" s="8204"/>
      <c r="AJ50" s="8203"/>
      <c r="AK50" s="8205"/>
      <c r="AL50" s="403"/>
      <c r="AM50" s="1278"/>
      <c r="AN50" s="1064" cm="1" t="str">
        <f t="array" ref="AN50:AN50">K50</f>
        <v>2046</v>
      </c>
      <c r="AO50" s="1064" t="s">
        <v>2977</v>
      </c>
      <c r="AP50" s="1074" cm="1" t="str">
        <f t="array" ref="AP50:AP50">AP49</f>
        <v>0</v>
      </c>
      <c r="AQ50" s="703"/>
      <c r="AR50" s="703"/>
    </row>
    <row s="1278" customFormat="1" customHeight="1" ht="14.625" hidden="1">
      <c r="A51" s="1278"/>
      <c r="B51" s="445">
        <f>K51&lt;first_year+PERIOD_LENGTH</f>
        <v>0</v>
      </c>
      <c r="C51" s="1278"/>
      <c r="D51" s="1278"/>
      <c r="E51" s="703">
        <v>15</v>
      </c>
      <c r="F51" s="50" cm="1" t="str">
        <f t="array" ref="F51:F51">OFFSET(E51,-1,1)</f>
        <v>0</v>
      </c>
      <c r="G51" s="98" cm="1" t="str">
        <f t="array" ref="G51:G51">G50</f>
        <v>0</v>
      </c>
      <c r="H51" s="1278"/>
      <c r="I51" s="1278"/>
      <c r="J51" s="1278"/>
      <c r="K51" s="158">
        <f>first_year+21</f>
        <v>2047</v>
      </c>
      <c r="L51" s="1278"/>
      <c r="M51" s="1278"/>
      <c r="N51" s="1278"/>
      <c r="O51" s="1278"/>
      <c r="P51" s="1278"/>
      <c r="Q51" s="1278"/>
      <c r="R51" s="1278"/>
      <c r="S51" s="1278"/>
      <c r="T51" s="465" cm="1" t="str">
        <f t="array" ref="T51:T51">T50</f>
        <v>false</v>
      </c>
      <c r="U51" s="1278"/>
      <c r="V51" s="1278"/>
      <c r="W51" s="1278"/>
      <c r="X51" s="1563"/>
      <c r="Y51" s="1563"/>
      <c r="Z51" s="1546"/>
      <c r="AA51" s="1648"/>
      <c r="AB51" s="255" t="str">
        <f>K51&amp;" год"</f>
        <v>2047 год</v>
      </c>
      <c r="AC51" s="408"/>
      <c r="AD51" s="8204"/>
      <c r="AE51" s="8203"/>
      <c r="AF51" s="8203"/>
      <c r="AG51" s="8204"/>
      <c r="AH51" s="8203"/>
      <c r="AI51" s="8204"/>
      <c r="AJ51" s="8203"/>
      <c r="AK51" s="8205"/>
      <c r="AL51" s="403"/>
      <c r="AM51" s="1278"/>
      <c r="AN51" s="1064" cm="1" t="str">
        <f t="array" ref="AN51:AN51">K51</f>
        <v>2047</v>
      </c>
      <c r="AO51" s="1064" t="s">
        <v>2977</v>
      </c>
      <c r="AP51" s="1074" cm="1" t="str">
        <f t="array" ref="AP51:AP51">AP50</f>
        <v>0</v>
      </c>
      <c r="AQ51" s="703"/>
      <c r="AR51" s="703"/>
    </row>
    <row s="1278" customFormat="1" customHeight="1" ht="14.625" hidden="1">
      <c r="A52" s="1278"/>
      <c r="B52" s="445">
        <f>K52&lt;first_year+PERIOD_LENGTH</f>
        <v>0</v>
      </c>
      <c r="C52" s="1278"/>
      <c r="D52" s="1278"/>
      <c r="E52" s="703">
        <v>15</v>
      </c>
      <c r="F52" s="50" cm="1" t="str">
        <f t="array" ref="F52:F52">OFFSET(E52,-1,1)</f>
        <v>0</v>
      </c>
      <c r="G52" s="98" cm="1" t="str">
        <f t="array" ref="G52:G52">G51</f>
        <v>0</v>
      </c>
      <c r="H52" s="1278"/>
      <c r="I52" s="1278"/>
      <c r="J52" s="1278"/>
      <c r="K52" s="158">
        <f>first_year+22</f>
        <v>2048</v>
      </c>
      <c r="L52" s="1278"/>
      <c r="M52" s="1278"/>
      <c r="N52" s="1278"/>
      <c r="O52" s="1278"/>
      <c r="P52" s="1278"/>
      <c r="Q52" s="1278"/>
      <c r="R52" s="1278"/>
      <c r="S52" s="1278"/>
      <c r="T52" s="465" cm="1" t="str">
        <f t="array" ref="T52:T52">T51</f>
        <v>false</v>
      </c>
      <c r="U52" s="1278"/>
      <c r="V52" s="1278"/>
      <c r="W52" s="1278"/>
      <c r="X52" s="1563"/>
      <c r="Y52" s="1563"/>
      <c r="Z52" s="1546"/>
      <c r="AA52" s="1648"/>
      <c r="AB52" s="255" t="str">
        <f>K52&amp;" год"</f>
        <v>2048 год</v>
      </c>
      <c r="AC52" s="408"/>
      <c r="AD52" s="8204"/>
      <c r="AE52" s="8203"/>
      <c r="AF52" s="8203"/>
      <c r="AG52" s="8204"/>
      <c r="AH52" s="8203"/>
      <c r="AI52" s="8204"/>
      <c r="AJ52" s="8203"/>
      <c r="AK52" s="8205"/>
      <c r="AL52" s="403"/>
      <c r="AM52" s="1278"/>
      <c r="AN52" s="1064" cm="1" t="str">
        <f t="array" ref="AN52:AN52">K52</f>
        <v>2048</v>
      </c>
      <c r="AO52" s="1064" t="s">
        <v>2977</v>
      </c>
      <c r="AP52" s="1074" cm="1" t="str">
        <f t="array" ref="AP52:AP52">AP51</f>
        <v>0</v>
      </c>
      <c r="AQ52" s="703"/>
      <c r="AR52" s="703"/>
    </row>
    <row s="1278" customFormat="1" customHeight="1" ht="14.625" hidden="1">
      <c r="A53" s="1278"/>
      <c r="B53" s="445">
        <f>K53&lt;first_year+PERIOD_LENGTH</f>
        <v>0</v>
      </c>
      <c r="C53" s="1278"/>
      <c r="D53" s="1278"/>
      <c r="E53" s="703">
        <v>15</v>
      </c>
      <c r="F53" s="50" cm="1" t="str">
        <f t="array" ref="F53:F53">OFFSET(E53,-1,1)</f>
        <v>0</v>
      </c>
      <c r="G53" s="98" cm="1" t="str">
        <f t="array" ref="G53:G53">G52</f>
        <v>0</v>
      </c>
      <c r="H53" s="1278"/>
      <c r="I53" s="1278"/>
      <c r="J53" s="1278"/>
      <c r="K53" s="158">
        <f>first_year+23</f>
        <v>2049</v>
      </c>
      <c r="L53" s="1278"/>
      <c r="M53" s="1278"/>
      <c r="N53" s="1278"/>
      <c r="O53" s="1278"/>
      <c r="P53" s="1278"/>
      <c r="Q53" s="1278"/>
      <c r="R53" s="1278"/>
      <c r="S53" s="1278"/>
      <c r="T53" s="465" cm="1" t="str">
        <f t="array" ref="T53:T53">T52</f>
        <v>false</v>
      </c>
      <c r="U53" s="1278"/>
      <c r="V53" s="1278"/>
      <c r="W53" s="1278"/>
      <c r="X53" s="1563"/>
      <c r="Y53" s="1563"/>
      <c r="Z53" s="1546"/>
      <c r="AA53" s="1648"/>
      <c r="AB53" s="255" t="str">
        <f>K53&amp;" год"</f>
        <v>2049 год</v>
      </c>
      <c r="AC53" s="408"/>
      <c r="AD53" s="8204"/>
      <c r="AE53" s="8203"/>
      <c r="AF53" s="8203"/>
      <c r="AG53" s="8204"/>
      <c r="AH53" s="8203"/>
      <c r="AI53" s="8204"/>
      <c r="AJ53" s="8203"/>
      <c r="AK53" s="8205"/>
      <c r="AL53" s="403"/>
      <c r="AM53" s="1278"/>
      <c r="AN53" s="1064" cm="1" t="str">
        <f t="array" ref="AN53:AN53">K53</f>
        <v>2049</v>
      </c>
      <c r="AO53" s="1064" t="s">
        <v>2977</v>
      </c>
      <c r="AP53" s="1074" cm="1" t="str">
        <f t="array" ref="AP53:AP53">AP52</f>
        <v>0</v>
      </c>
      <c r="AQ53" s="703"/>
      <c r="AR53" s="703"/>
    </row>
    <row s="1278" customFormat="1" customHeight="1" ht="14.625" hidden="1">
      <c r="A54" s="1278"/>
      <c r="B54" s="445">
        <f>K54&lt;first_year+PERIOD_LENGTH</f>
        <v>0</v>
      </c>
      <c r="C54" s="1278"/>
      <c r="D54" s="1278"/>
      <c r="E54" s="703">
        <v>15</v>
      </c>
      <c r="F54" s="50" cm="1" t="str">
        <f t="array" ref="F54:F54">OFFSET(E54,-1,1)</f>
        <v>0</v>
      </c>
      <c r="G54" s="98" cm="1" t="str">
        <f t="array" ref="G54:G54">G53</f>
        <v>0</v>
      </c>
      <c r="H54" s="1278"/>
      <c r="I54" s="1278"/>
      <c r="J54" s="1278"/>
      <c r="K54" s="158">
        <f>first_year+24</f>
        <v>2050</v>
      </c>
      <c r="L54" s="1278"/>
      <c r="M54" s="1278"/>
      <c r="N54" s="1278"/>
      <c r="O54" s="1278"/>
      <c r="P54" s="1278"/>
      <c r="Q54" s="1278"/>
      <c r="R54" s="1278"/>
      <c r="S54" s="1278"/>
      <c r="T54" s="465" cm="1" t="str">
        <f t="array" ref="T54:T54">T53</f>
        <v>false</v>
      </c>
      <c r="U54" s="1278"/>
      <c r="V54" s="1278"/>
      <c r="W54" s="1278"/>
      <c r="X54" s="1563"/>
      <c r="Y54" s="1563"/>
      <c r="Z54" s="1546"/>
      <c r="AA54" s="1648"/>
      <c r="AB54" s="255" t="str">
        <f>K54&amp;" год"</f>
        <v>2050 год</v>
      </c>
      <c r="AC54" s="408"/>
      <c r="AD54" s="8204"/>
      <c r="AE54" s="8203"/>
      <c r="AF54" s="8203"/>
      <c r="AG54" s="8204"/>
      <c r="AH54" s="8203"/>
      <c r="AI54" s="8204"/>
      <c r="AJ54" s="8203"/>
      <c r="AK54" s="8205"/>
      <c r="AL54" s="403"/>
      <c r="AM54" s="1278"/>
      <c r="AN54" s="1064" cm="1" t="str">
        <f t="array" ref="AN54:AN54">K54</f>
        <v>2050</v>
      </c>
      <c r="AO54" s="1064" t="s">
        <v>2977</v>
      </c>
      <c r="AP54" s="1074" cm="1" t="str">
        <f t="array" ref="AP54:AP54">AP53</f>
        <v>0</v>
      </c>
      <c r="AQ54" s="703"/>
      <c r="AR54" s="703"/>
    </row>
    <row s="1278" customFormat="1" customHeight="1" ht="14.625" hidden="1">
      <c r="A55" s="1278"/>
      <c r="B55" s="445">
        <f>K55&lt;first_year+PERIOD_LENGTH</f>
        <v>0</v>
      </c>
      <c r="C55" s="1278"/>
      <c r="D55" s="1278"/>
      <c r="E55" s="703">
        <v>15</v>
      </c>
      <c r="F55" s="50" cm="1" t="str">
        <f t="array" ref="F55:F55">OFFSET(E55,-1,1)</f>
        <v>0</v>
      </c>
      <c r="G55" s="98" cm="1" t="str">
        <f t="array" ref="G55:G55">G54</f>
        <v>0</v>
      </c>
      <c r="H55" s="1278"/>
      <c r="I55" s="1278"/>
      <c r="J55" s="1278"/>
      <c r="K55" s="158">
        <f>first_year+25</f>
        <v>2051</v>
      </c>
      <c r="L55" s="1278"/>
      <c r="M55" s="1278"/>
      <c r="N55" s="1278"/>
      <c r="O55" s="1278"/>
      <c r="P55" s="1278"/>
      <c r="Q55" s="1278"/>
      <c r="R55" s="1278"/>
      <c r="S55" s="1278"/>
      <c r="T55" s="465" cm="1" t="str">
        <f t="array" ref="T55:T55">T54</f>
        <v>false</v>
      </c>
      <c r="U55" s="1278"/>
      <c r="V55" s="1278"/>
      <c r="W55" s="1278"/>
      <c r="X55" s="1563"/>
      <c r="Y55" s="1563"/>
      <c r="Z55" s="1546"/>
      <c r="AA55" s="1648"/>
      <c r="AB55" s="255" t="str">
        <f>K55&amp;" год"</f>
        <v>2051 год</v>
      </c>
      <c r="AC55" s="408"/>
      <c r="AD55" s="8204"/>
      <c r="AE55" s="8203"/>
      <c r="AF55" s="8203"/>
      <c r="AG55" s="8204"/>
      <c r="AH55" s="8203"/>
      <c r="AI55" s="8204"/>
      <c r="AJ55" s="8203"/>
      <c r="AK55" s="8205"/>
      <c r="AL55" s="403"/>
      <c r="AM55" s="1278"/>
      <c r="AN55" s="1064" cm="1" t="str">
        <f t="array" ref="AN55:AN55">K55</f>
        <v>2051</v>
      </c>
      <c r="AO55" s="1064" t="s">
        <v>2977</v>
      </c>
      <c r="AP55" s="1074" cm="1" t="str">
        <f t="array" ref="AP55:AP55">AP54</f>
        <v>0</v>
      </c>
      <c r="AQ55" s="703"/>
      <c r="AR55" s="703"/>
    </row>
    <row s="1278" customFormat="1" customHeight="1" ht="14.625" hidden="1">
      <c r="A56" s="1278"/>
      <c r="B56" s="445">
        <f>K56&lt;first_year+PERIOD_LENGTH</f>
        <v>0</v>
      </c>
      <c r="C56" s="1278"/>
      <c r="D56" s="1278"/>
      <c r="E56" s="703">
        <v>15</v>
      </c>
      <c r="F56" s="50" cm="1" t="str">
        <f t="array" ref="F56:F56">OFFSET(E56,-1,1)</f>
        <v>0</v>
      </c>
      <c r="G56" s="98" cm="1" t="str">
        <f t="array" ref="G56:G56">G55</f>
        <v>0</v>
      </c>
      <c r="H56" s="1278"/>
      <c r="I56" s="1278"/>
      <c r="J56" s="1278"/>
      <c r="K56" s="158">
        <f>first_year+26</f>
        <v>2052</v>
      </c>
      <c r="L56" s="1278"/>
      <c r="M56" s="1278"/>
      <c r="N56" s="1278"/>
      <c r="O56" s="1278"/>
      <c r="P56" s="1278"/>
      <c r="Q56" s="1278"/>
      <c r="R56" s="1278"/>
      <c r="S56" s="1278"/>
      <c r="T56" s="465" cm="1" t="str">
        <f t="array" ref="T56:T56">T55</f>
        <v>false</v>
      </c>
      <c r="U56" s="1278"/>
      <c r="V56" s="1278"/>
      <c r="W56" s="1278"/>
      <c r="X56" s="1563"/>
      <c r="Y56" s="1563"/>
      <c r="Z56" s="1546"/>
      <c r="AA56" s="1648"/>
      <c r="AB56" s="255" t="str">
        <f>K56&amp;" год"</f>
        <v>2052 год</v>
      </c>
      <c r="AC56" s="408"/>
      <c r="AD56" s="8204"/>
      <c r="AE56" s="8203"/>
      <c r="AF56" s="8203"/>
      <c r="AG56" s="8204"/>
      <c r="AH56" s="8203"/>
      <c r="AI56" s="8204"/>
      <c r="AJ56" s="8203"/>
      <c r="AK56" s="8205"/>
      <c r="AL56" s="403"/>
      <c r="AM56" s="1278"/>
      <c r="AN56" s="1064" cm="1" t="str">
        <f t="array" ref="AN56:AN56">K56</f>
        <v>2052</v>
      </c>
      <c r="AO56" s="1064" t="s">
        <v>2977</v>
      </c>
      <c r="AP56" s="1074" cm="1" t="str">
        <f t="array" ref="AP56:AP56">AP55</f>
        <v>0</v>
      </c>
      <c r="AQ56" s="703"/>
      <c r="AR56" s="703"/>
    </row>
    <row s="1278" customFormat="1" customHeight="1" ht="14.625" hidden="1">
      <c r="A57" s="1278"/>
      <c r="B57" s="445">
        <f>K57&lt;first_year+PERIOD_LENGTH</f>
        <v>0</v>
      </c>
      <c r="C57" s="1278"/>
      <c r="D57" s="1278"/>
      <c r="E57" s="703">
        <v>15</v>
      </c>
      <c r="F57" s="50" cm="1" t="str">
        <f t="array" ref="F57:F57">OFFSET(E57,-1,1)</f>
        <v>0</v>
      </c>
      <c r="G57" s="98" cm="1" t="str">
        <f t="array" ref="G57:G57">G56</f>
        <v>0</v>
      </c>
      <c r="H57" s="1278"/>
      <c r="I57" s="1278"/>
      <c r="J57" s="1278"/>
      <c r="K57" s="158">
        <f>first_year+27</f>
        <v>2053</v>
      </c>
      <c r="L57" s="1278"/>
      <c r="M57" s="1278"/>
      <c r="N57" s="1278"/>
      <c r="O57" s="1278"/>
      <c r="P57" s="1278"/>
      <c r="Q57" s="1278"/>
      <c r="R57" s="1278"/>
      <c r="S57" s="1278"/>
      <c r="T57" s="465" cm="1" t="str">
        <f t="array" ref="T57:T57">T56</f>
        <v>false</v>
      </c>
      <c r="U57" s="1278"/>
      <c r="V57" s="1278"/>
      <c r="W57" s="1278"/>
      <c r="X57" s="1563"/>
      <c r="Y57" s="1563"/>
      <c r="Z57" s="1546"/>
      <c r="AA57" s="1648"/>
      <c r="AB57" s="255" t="str">
        <f>K57&amp;" год"</f>
        <v>2053 год</v>
      </c>
      <c r="AC57" s="408"/>
      <c r="AD57" s="8204"/>
      <c r="AE57" s="8203"/>
      <c r="AF57" s="8203"/>
      <c r="AG57" s="8204"/>
      <c r="AH57" s="8203"/>
      <c r="AI57" s="8204"/>
      <c r="AJ57" s="8203"/>
      <c r="AK57" s="8205"/>
      <c r="AL57" s="403"/>
      <c r="AM57" s="1278"/>
      <c r="AN57" s="1064" cm="1" t="str">
        <f t="array" ref="AN57:AN57">K57</f>
        <v>2053</v>
      </c>
      <c r="AO57" s="1064" t="s">
        <v>2977</v>
      </c>
      <c r="AP57" s="1074" cm="1" t="str">
        <f t="array" ref="AP57:AP57">AP56</f>
        <v>0</v>
      </c>
      <c r="AQ57" s="703"/>
      <c r="AR57" s="703"/>
    </row>
    <row s="1278" customFormat="1" customHeight="1" ht="14.625" hidden="1">
      <c r="A58" s="1278"/>
      <c r="B58" s="445">
        <f>K58&lt;first_year+PERIOD_LENGTH</f>
        <v>0</v>
      </c>
      <c r="C58" s="1278"/>
      <c r="D58" s="1278"/>
      <c r="E58" s="703">
        <v>15</v>
      </c>
      <c r="F58" s="50" cm="1" t="str">
        <f t="array" ref="F58:F58">OFFSET(E58,-1,1)</f>
        <v>0</v>
      </c>
      <c r="G58" s="98" cm="1" t="str">
        <f t="array" ref="G58:G58">G57</f>
        <v>0</v>
      </c>
      <c r="H58" s="1278"/>
      <c r="I58" s="1278"/>
      <c r="J58" s="1278"/>
      <c r="K58" s="158">
        <f>first_year+28</f>
        <v>2054</v>
      </c>
      <c r="L58" s="1278"/>
      <c r="M58" s="1278"/>
      <c r="N58" s="1278"/>
      <c r="O58" s="1278"/>
      <c r="P58" s="1278"/>
      <c r="Q58" s="1278"/>
      <c r="R58" s="1278"/>
      <c r="S58" s="1278"/>
      <c r="T58" s="465" cm="1" t="str">
        <f t="array" ref="T58:T58">T57</f>
        <v>false</v>
      </c>
      <c r="U58" s="1278"/>
      <c r="V58" s="1278"/>
      <c r="W58" s="1278"/>
      <c r="X58" s="1563"/>
      <c r="Y58" s="1563"/>
      <c r="Z58" s="1546"/>
      <c r="AA58" s="1648"/>
      <c r="AB58" s="255" t="str">
        <f>K58&amp;" год"</f>
        <v>2054 год</v>
      </c>
      <c r="AC58" s="408"/>
      <c r="AD58" s="8204"/>
      <c r="AE58" s="8203"/>
      <c r="AF58" s="8203"/>
      <c r="AG58" s="8204"/>
      <c r="AH58" s="8203"/>
      <c r="AI58" s="8204"/>
      <c r="AJ58" s="8203"/>
      <c r="AK58" s="8205"/>
      <c r="AL58" s="403"/>
      <c r="AM58" s="1278"/>
      <c r="AN58" s="1064" cm="1" t="str">
        <f t="array" ref="AN58:AN58">K58</f>
        <v>2054</v>
      </c>
      <c r="AO58" s="1064" t="s">
        <v>2977</v>
      </c>
      <c r="AP58" s="1074" cm="1" t="str">
        <f t="array" ref="AP58:AP58">AP57</f>
        <v>0</v>
      </c>
      <c r="AQ58" s="703"/>
      <c r="AR58" s="703"/>
    </row>
    <row s="1278" customFormat="1" customHeight="1" ht="14.625" hidden="1">
      <c r="A59" s="1278"/>
      <c r="B59" s="445">
        <f>K59&lt;first_year+PERIOD_LENGTH</f>
        <v>0</v>
      </c>
      <c r="C59" s="1278"/>
      <c r="D59" s="1278"/>
      <c r="E59" s="703">
        <v>15</v>
      </c>
      <c r="F59" s="50" cm="1" t="str">
        <f t="array" ref="F59:F59">OFFSET(E59,-1,1)</f>
        <v>0</v>
      </c>
      <c r="G59" s="98" cm="1" t="str">
        <f t="array" ref="G59:G59">G58</f>
        <v>0</v>
      </c>
      <c r="H59" s="1278"/>
      <c r="I59" s="1278"/>
      <c r="J59" s="1278"/>
      <c r="K59" s="158">
        <f>first_year+29</f>
        <v>2055</v>
      </c>
      <c r="L59" s="1278"/>
      <c r="M59" s="1278"/>
      <c r="N59" s="1278"/>
      <c r="O59" s="1278"/>
      <c r="P59" s="1278"/>
      <c r="Q59" s="1278"/>
      <c r="R59" s="1278"/>
      <c r="S59" s="1278"/>
      <c r="T59" s="465" cm="1" t="str">
        <f t="array" ref="T59:T59">T58</f>
        <v>false</v>
      </c>
      <c r="U59" s="1278"/>
      <c r="V59" s="1278"/>
      <c r="W59" s="1278"/>
      <c r="X59" s="1563"/>
      <c r="Y59" s="1563"/>
      <c r="Z59" s="1546"/>
      <c r="AA59" s="1648"/>
      <c r="AB59" s="255" t="str">
        <f>K59&amp;" год"</f>
        <v>2055 год</v>
      </c>
      <c r="AC59" s="408"/>
      <c r="AD59" s="8204"/>
      <c r="AE59" s="8203"/>
      <c r="AF59" s="8203"/>
      <c r="AG59" s="8204"/>
      <c r="AH59" s="8203"/>
      <c r="AI59" s="8204"/>
      <c r="AJ59" s="8203"/>
      <c r="AK59" s="8205"/>
      <c r="AL59" s="403"/>
      <c r="AM59" s="1278"/>
      <c r="AN59" s="1064" cm="1" t="str">
        <f t="array" ref="AN59:AN59">K59</f>
        <v>2055</v>
      </c>
      <c r="AO59" s="1064" t="s">
        <v>2977</v>
      </c>
      <c r="AP59" s="1074" cm="1" t="str">
        <f t="array" ref="AP59:AP59">AP58</f>
        <v>0</v>
      </c>
      <c r="AQ59" s="703"/>
      <c r="AR59" s="703"/>
    </row>
    <row s="1278" customFormat="1" customHeight="1" ht="14.625" hidden="1">
      <c r="A60" s="1278"/>
      <c r="B60" s="445">
        <f>K60&lt;first_year+PERIOD_LENGTH</f>
        <v>0</v>
      </c>
      <c r="C60" s="1278"/>
      <c r="D60" s="1278"/>
      <c r="E60" s="703">
        <v>15</v>
      </c>
      <c r="F60" s="50" cm="1" t="str">
        <f t="array" ref="F60:F60">OFFSET(E60,-1,1)</f>
        <v>0</v>
      </c>
      <c r="G60" s="98" cm="1" t="str">
        <f t="array" ref="G60:G60">G59</f>
        <v>0</v>
      </c>
      <c r="H60" s="1278"/>
      <c r="I60" s="1278"/>
      <c r="J60" s="1278"/>
      <c r="K60" s="158">
        <f>first_year+30</f>
        <v>2056</v>
      </c>
      <c r="L60" s="1278"/>
      <c r="M60" s="1278"/>
      <c r="N60" s="1278"/>
      <c r="O60" s="1278"/>
      <c r="P60" s="1278"/>
      <c r="Q60" s="1278"/>
      <c r="R60" s="1278"/>
      <c r="S60" s="1278"/>
      <c r="T60" s="465" cm="1" t="str">
        <f t="array" ref="T60:T60">T59</f>
        <v>false</v>
      </c>
      <c r="U60" s="1278"/>
      <c r="V60" s="1278"/>
      <c r="W60" s="1278"/>
      <c r="X60" s="1563"/>
      <c r="Y60" s="1563"/>
      <c r="Z60" s="1546"/>
      <c r="AA60" s="1648"/>
      <c r="AB60" s="255" t="str">
        <f>K60&amp;" год"</f>
        <v>2056 год</v>
      </c>
      <c r="AC60" s="408"/>
      <c r="AD60" s="8204"/>
      <c r="AE60" s="8203"/>
      <c r="AF60" s="8203"/>
      <c r="AG60" s="8204"/>
      <c r="AH60" s="8203"/>
      <c r="AI60" s="8204"/>
      <c r="AJ60" s="8203"/>
      <c r="AK60" s="8205"/>
      <c r="AL60" s="403"/>
      <c r="AM60" s="1278"/>
      <c r="AN60" s="1064" cm="1" t="str">
        <f t="array" ref="AN60:AN60">K60</f>
        <v>2056</v>
      </c>
      <c r="AO60" s="1064" t="s">
        <v>2977</v>
      </c>
      <c r="AP60" s="1074" cm="1" t="str">
        <f t="array" ref="AP60:AP60">AP59</f>
        <v>0</v>
      </c>
      <c r="AQ60" s="703"/>
      <c r="AR60" s="703"/>
    </row>
    <row s="1278" customFormat="1" customHeight="1" ht="14.625" hidden="1">
      <c r="A61" s="1278"/>
      <c r="B61" s="445">
        <f>K61&lt;first_year+PERIOD_LENGTH</f>
        <v>0</v>
      </c>
      <c r="C61" s="1278"/>
      <c r="D61" s="1278"/>
      <c r="E61" s="703">
        <v>15</v>
      </c>
      <c r="F61" s="50" cm="1" t="str">
        <f t="array" ref="F61:F61">OFFSET(E61,-1,1)</f>
        <v>0</v>
      </c>
      <c r="G61" s="98" cm="1" t="str">
        <f t="array" ref="G61:G61">G60</f>
        <v>0</v>
      </c>
      <c r="H61" s="1278"/>
      <c r="I61" s="1278"/>
      <c r="J61" s="1278"/>
      <c r="K61" s="158">
        <f>first_year+31</f>
        <v>2057</v>
      </c>
      <c r="L61" s="1278"/>
      <c r="M61" s="1278"/>
      <c r="N61" s="1278"/>
      <c r="O61" s="1278"/>
      <c r="P61" s="1278"/>
      <c r="Q61" s="1278"/>
      <c r="R61" s="1278"/>
      <c r="S61" s="1278"/>
      <c r="T61" s="465" cm="1" t="str">
        <f t="array" ref="T61:T61">T60</f>
        <v>false</v>
      </c>
      <c r="U61" s="1278"/>
      <c r="V61" s="1278"/>
      <c r="W61" s="1278"/>
      <c r="X61" s="1563"/>
      <c r="Y61" s="1563"/>
      <c r="Z61" s="1546"/>
      <c r="AA61" s="1648"/>
      <c r="AB61" s="255" t="str">
        <f>K61&amp;" год"</f>
        <v>2057 год</v>
      </c>
      <c r="AC61" s="408"/>
      <c r="AD61" s="8204"/>
      <c r="AE61" s="8203"/>
      <c r="AF61" s="8203"/>
      <c r="AG61" s="8204"/>
      <c r="AH61" s="8203"/>
      <c r="AI61" s="8204"/>
      <c r="AJ61" s="8203"/>
      <c r="AK61" s="8205"/>
      <c r="AL61" s="403"/>
      <c r="AM61" s="1278"/>
      <c r="AN61" s="1064" cm="1" t="str">
        <f t="array" ref="AN61:AN61">K61</f>
        <v>2057</v>
      </c>
      <c r="AO61" s="1064" t="s">
        <v>2977</v>
      </c>
      <c r="AP61" s="1074" cm="1" t="str">
        <f t="array" ref="AP61:AP61">AP60</f>
        <v>0</v>
      </c>
      <c r="AQ61" s="703"/>
      <c r="AR61" s="703"/>
    </row>
    <row s="1278" customFormat="1" customHeight="1" ht="14.625" hidden="1">
      <c r="A62" s="1278"/>
      <c r="B62" s="445">
        <f>K62&lt;first_year+PERIOD_LENGTH</f>
        <v>0</v>
      </c>
      <c r="C62" s="1278"/>
      <c r="D62" s="1278"/>
      <c r="E62" s="703">
        <v>15</v>
      </c>
      <c r="F62" s="50" cm="1" t="str">
        <f t="array" ref="F62:F62">OFFSET(E62,-1,1)</f>
        <v>0</v>
      </c>
      <c r="G62" s="98" cm="1" t="str">
        <f t="array" ref="G62:G62">G61</f>
        <v>0</v>
      </c>
      <c r="H62" s="1278"/>
      <c r="I62" s="1278"/>
      <c r="J62" s="1278"/>
      <c r="K62" s="158">
        <f>first_year+32</f>
        <v>2058</v>
      </c>
      <c r="L62" s="1278"/>
      <c r="M62" s="1278"/>
      <c r="N62" s="1278"/>
      <c r="O62" s="1278"/>
      <c r="P62" s="1278"/>
      <c r="Q62" s="1278"/>
      <c r="R62" s="1278"/>
      <c r="S62" s="1278"/>
      <c r="T62" s="465" cm="1" t="str">
        <f t="array" ref="T62:T62">T61</f>
        <v>false</v>
      </c>
      <c r="U62" s="1278"/>
      <c r="V62" s="1278"/>
      <c r="W62" s="1278"/>
      <c r="X62" s="1563"/>
      <c r="Y62" s="1563"/>
      <c r="Z62" s="1546"/>
      <c r="AA62" s="1648"/>
      <c r="AB62" s="255" t="str">
        <f>K62&amp;" год"</f>
        <v>2058 год</v>
      </c>
      <c r="AC62" s="408"/>
      <c r="AD62" s="8204"/>
      <c r="AE62" s="8203"/>
      <c r="AF62" s="8203"/>
      <c r="AG62" s="8204"/>
      <c r="AH62" s="8203"/>
      <c r="AI62" s="8204"/>
      <c r="AJ62" s="8203"/>
      <c r="AK62" s="8205"/>
      <c r="AL62" s="403"/>
      <c r="AM62" s="1278"/>
      <c r="AN62" s="1064" cm="1" t="str">
        <f t="array" ref="AN62:AN62">K62</f>
        <v>2058</v>
      </c>
      <c r="AO62" s="1064" t="s">
        <v>2977</v>
      </c>
      <c r="AP62" s="1074" cm="1" t="str">
        <f t="array" ref="AP62:AP62">AP61</f>
        <v>0</v>
      </c>
      <c r="AQ62" s="703"/>
      <c r="AR62" s="703"/>
    </row>
    <row s="1278" customFormat="1" customHeight="1" ht="14.625" hidden="1">
      <c r="A63" s="1278"/>
      <c r="B63" s="445">
        <f>K63&lt;first_year+PERIOD_LENGTH</f>
        <v>0</v>
      </c>
      <c r="C63" s="1278"/>
      <c r="D63" s="1278"/>
      <c r="E63" s="703">
        <v>15</v>
      </c>
      <c r="F63" s="50" cm="1" t="str">
        <f t="array" ref="F63:F63">OFFSET(E63,-1,1)</f>
        <v>0</v>
      </c>
      <c r="G63" s="98" cm="1" t="str">
        <f t="array" ref="G63:G63">G62</f>
        <v>0</v>
      </c>
      <c r="H63" s="1278"/>
      <c r="I63" s="1278"/>
      <c r="J63" s="1278"/>
      <c r="K63" s="158">
        <f>first_year+33</f>
        <v>2059</v>
      </c>
      <c r="L63" s="1278"/>
      <c r="M63" s="1278"/>
      <c r="N63" s="1278"/>
      <c r="O63" s="1278"/>
      <c r="P63" s="1278"/>
      <c r="Q63" s="1278"/>
      <c r="R63" s="1278"/>
      <c r="S63" s="1278"/>
      <c r="T63" s="465" cm="1" t="str">
        <f t="array" ref="T63:T63">T62</f>
        <v>false</v>
      </c>
      <c r="U63" s="1278"/>
      <c r="V63" s="1278"/>
      <c r="W63" s="1278"/>
      <c r="X63" s="1563"/>
      <c r="Y63" s="1563"/>
      <c r="Z63" s="1546"/>
      <c r="AA63" s="1648"/>
      <c r="AB63" s="255" t="str">
        <f>K63&amp;" год"</f>
        <v>2059 год</v>
      </c>
      <c r="AC63" s="408"/>
      <c r="AD63" s="8204"/>
      <c r="AE63" s="8203"/>
      <c r="AF63" s="8203"/>
      <c r="AG63" s="8204"/>
      <c r="AH63" s="8203"/>
      <c r="AI63" s="8204"/>
      <c r="AJ63" s="8203"/>
      <c r="AK63" s="8205"/>
      <c r="AL63" s="403"/>
      <c r="AM63" s="1278"/>
      <c r="AN63" s="1064" cm="1" t="str">
        <f t="array" ref="AN63:AN63">K63</f>
        <v>2059</v>
      </c>
      <c r="AO63" s="1064" t="s">
        <v>2977</v>
      </c>
      <c r="AP63" s="1074" cm="1" t="str">
        <f t="array" ref="AP63:AP63">AP62</f>
        <v>0</v>
      </c>
      <c r="AQ63" s="703"/>
      <c r="AR63" s="703"/>
    </row>
    <row s="1278" customFormat="1" customHeight="1" ht="14.625" hidden="1">
      <c r="A64" s="1278"/>
      <c r="B64" s="445">
        <f>K64&lt;first_year+PERIOD_LENGTH</f>
        <v>0</v>
      </c>
      <c r="C64" s="1278"/>
      <c r="D64" s="1278"/>
      <c r="E64" s="703">
        <v>15</v>
      </c>
      <c r="F64" s="50" cm="1" t="str">
        <f t="array" ref="F64:F64">OFFSET(E64,-1,1)</f>
        <v>0</v>
      </c>
      <c r="G64" s="98" cm="1" t="str">
        <f t="array" ref="G64:G64">G63</f>
        <v>0</v>
      </c>
      <c r="H64" s="1278"/>
      <c r="I64" s="1278"/>
      <c r="J64" s="1278"/>
      <c r="K64" s="158">
        <f>first_year+34</f>
        <v>2060</v>
      </c>
      <c r="L64" s="1278"/>
      <c r="M64" s="1278"/>
      <c r="N64" s="1278"/>
      <c r="O64" s="1278"/>
      <c r="P64" s="1278"/>
      <c r="Q64" s="1278"/>
      <c r="R64" s="1278"/>
      <c r="S64" s="1278"/>
      <c r="T64" s="465" cm="1" t="str">
        <f t="array" ref="T64:T64">T63</f>
        <v>false</v>
      </c>
      <c r="U64" s="1278"/>
      <c r="V64" s="1278"/>
      <c r="W64" s="1278"/>
      <c r="X64" s="1563"/>
      <c r="Y64" s="1563"/>
      <c r="Z64" s="1546"/>
      <c r="AA64" s="1648"/>
      <c r="AB64" s="255" t="str">
        <f>K64&amp;" год"</f>
        <v>2060 год</v>
      </c>
      <c r="AC64" s="408"/>
      <c r="AD64" s="8204"/>
      <c r="AE64" s="8203"/>
      <c r="AF64" s="8203"/>
      <c r="AG64" s="8204"/>
      <c r="AH64" s="8203"/>
      <c r="AI64" s="8204"/>
      <c r="AJ64" s="8203"/>
      <c r="AK64" s="8205"/>
      <c r="AL64" s="403"/>
      <c r="AM64" s="1278"/>
      <c r="AN64" s="1064" cm="1" t="str">
        <f t="array" ref="AN64:AN64">K64</f>
        <v>2060</v>
      </c>
      <c r="AO64" s="1064" t="s">
        <v>2977</v>
      </c>
      <c r="AP64" s="1074" cm="1" t="str">
        <f t="array" ref="AP64:AP64">AP63</f>
        <v>0</v>
      </c>
      <c r="AQ64" s="703"/>
      <c r="AR64" s="703"/>
    </row>
    <row s="1278" customFormat="1" customHeight="1" ht="14.625" hidden="1">
      <c r="A65" s="1278"/>
      <c r="B65" s="445">
        <f>K65&lt;first_year+PERIOD_LENGTH</f>
        <v>0</v>
      </c>
      <c r="C65" s="1278"/>
      <c r="D65" s="1278"/>
      <c r="E65" s="703">
        <v>15</v>
      </c>
      <c r="F65" s="50" cm="1" t="str">
        <f t="array" ref="F65:F65">OFFSET(E65,-1,1)</f>
        <v>0</v>
      </c>
      <c r="G65" s="98" cm="1" t="str">
        <f t="array" ref="G65:G65">G64</f>
        <v>0</v>
      </c>
      <c r="H65" s="1278"/>
      <c r="I65" s="1278"/>
      <c r="J65" s="1278"/>
      <c r="K65" s="158">
        <f>first_year+35</f>
        <v>2061</v>
      </c>
      <c r="L65" s="1278"/>
      <c r="M65" s="1278"/>
      <c r="N65" s="1278"/>
      <c r="O65" s="1278"/>
      <c r="P65" s="1278"/>
      <c r="Q65" s="1278"/>
      <c r="R65" s="1278"/>
      <c r="S65" s="1278"/>
      <c r="T65" s="465" cm="1" t="str">
        <f t="array" ref="T65:T65">T64</f>
        <v>false</v>
      </c>
      <c r="U65" s="1278"/>
      <c r="V65" s="1278"/>
      <c r="W65" s="1278"/>
      <c r="X65" s="1563"/>
      <c r="Y65" s="1563"/>
      <c r="Z65" s="1546"/>
      <c r="AA65" s="1648"/>
      <c r="AB65" s="255" t="str">
        <f>K65&amp;" год"</f>
        <v>2061 год</v>
      </c>
      <c r="AC65" s="408"/>
      <c r="AD65" s="8204"/>
      <c r="AE65" s="8203"/>
      <c r="AF65" s="8203"/>
      <c r="AG65" s="8204"/>
      <c r="AH65" s="8203"/>
      <c r="AI65" s="8204"/>
      <c r="AJ65" s="8203"/>
      <c r="AK65" s="8205"/>
      <c r="AL65" s="403"/>
      <c r="AM65" s="1278"/>
      <c r="AN65" s="1064" cm="1" t="str">
        <f t="array" ref="AN65:AN65">K65</f>
        <v>2061</v>
      </c>
      <c r="AO65" s="1064" t="s">
        <v>2977</v>
      </c>
      <c r="AP65" s="1074" cm="1" t="str">
        <f t="array" ref="AP65:AP65">AP64</f>
        <v>0</v>
      </c>
      <c r="AQ65" s="703"/>
      <c r="AR65" s="703"/>
    </row>
    <row s="1278" customFormat="1" customHeight="1" ht="14.625" hidden="1">
      <c r="A66" s="1278"/>
      <c r="B66" s="445">
        <f>K66&lt;first_year+PERIOD_LENGTH</f>
        <v>0</v>
      </c>
      <c r="C66" s="1278"/>
      <c r="D66" s="1278"/>
      <c r="E66" s="703">
        <v>15</v>
      </c>
      <c r="F66" s="50" cm="1" t="str">
        <f t="array" ref="F66:F66">OFFSET(E66,-1,1)</f>
        <v>0</v>
      </c>
      <c r="G66" s="98" cm="1" t="str">
        <f t="array" ref="G66:G66">G65</f>
        <v>0</v>
      </c>
      <c r="H66" s="1278"/>
      <c r="I66" s="1278"/>
      <c r="J66" s="1278"/>
      <c r="K66" s="158">
        <f>first_year+36</f>
        <v>2062</v>
      </c>
      <c r="L66" s="1278"/>
      <c r="M66" s="1278"/>
      <c r="N66" s="1278"/>
      <c r="O66" s="1278"/>
      <c r="P66" s="1278"/>
      <c r="Q66" s="1278"/>
      <c r="R66" s="1278"/>
      <c r="S66" s="1278"/>
      <c r="T66" s="465" cm="1" t="str">
        <f t="array" ref="T66:T66">T65</f>
        <v>false</v>
      </c>
      <c r="U66" s="1278"/>
      <c r="V66" s="1278"/>
      <c r="W66" s="1278"/>
      <c r="X66" s="1563"/>
      <c r="Y66" s="1563"/>
      <c r="Z66" s="1546"/>
      <c r="AA66" s="1648"/>
      <c r="AB66" s="255" t="str">
        <f>K66&amp;" год"</f>
        <v>2062 год</v>
      </c>
      <c r="AC66" s="408"/>
      <c r="AD66" s="8204"/>
      <c r="AE66" s="8203"/>
      <c r="AF66" s="8203"/>
      <c r="AG66" s="8204"/>
      <c r="AH66" s="8203"/>
      <c r="AI66" s="8204"/>
      <c r="AJ66" s="8203"/>
      <c r="AK66" s="8205"/>
      <c r="AL66" s="403"/>
      <c r="AM66" s="1278"/>
      <c r="AN66" s="1064" cm="1" t="str">
        <f t="array" ref="AN66:AN66">K66</f>
        <v>2062</v>
      </c>
      <c r="AO66" s="1064" t="s">
        <v>2977</v>
      </c>
      <c r="AP66" s="1074" cm="1" t="str">
        <f t="array" ref="AP66:AP66">AP65</f>
        <v>0</v>
      </c>
      <c r="AQ66" s="703"/>
      <c r="AR66" s="703"/>
    </row>
    <row s="1278" customFormat="1" customHeight="1" ht="14.625" hidden="1">
      <c r="A67" s="1278"/>
      <c r="B67" s="445">
        <f>K67&lt;first_year+PERIOD_LENGTH</f>
        <v>0</v>
      </c>
      <c r="C67" s="1278"/>
      <c r="D67" s="1278"/>
      <c r="E67" s="703">
        <v>15</v>
      </c>
      <c r="F67" s="50" cm="1" t="str">
        <f t="array" ref="F67:F67">OFFSET(E67,-1,1)</f>
        <v>0</v>
      </c>
      <c r="G67" s="98" cm="1" t="str">
        <f t="array" ref="G67:G67">G66</f>
        <v>0</v>
      </c>
      <c r="H67" s="1278"/>
      <c r="I67" s="1278"/>
      <c r="J67" s="1278"/>
      <c r="K67" s="158">
        <f>first_year+37</f>
        <v>2063</v>
      </c>
      <c r="L67" s="1278"/>
      <c r="M67" s="1278"/>
      <c r="N67" s="1278"/>
      <c r="O67" s="1278"/>
      <c r="P67" s="1278"/>
      <c r="Q67" s="1278"/>
      <c r="R67" s="1278"/>
      <c r="S67" s="1278"/>
      <c r="T67" s="465" cm="1" t="str">
        <f t="array" ref="T67:T67">T66</f>
        <v>false</v>
      </c>
      <c r="U67" s="1278"/>
      <c r="V67" s="1278"/>
      <c r="W67" s="1278"/>
      <c r="X67" s="1563"/>
      <c r="Y67" s="1563"/>
      <c r="Z67" s="1546"/>
      <c r="AA67" s="1648"/>
      <c r="AB67" s="255" t="str">
        <f>K67&amp;" год"</f>
        <v>2063 год</v>
      </c>
      <c r="AC67" s="408"/>
      <c r="AD67" s="8204"/>
      <c r="AE67" s="8203"/>
      <c r="AF67" s="8203"/>
      <c r="AG67" s="8204"/>
      <c r="AH67" s="8203"/>
      <c r="AI67" s="8204"/>
      <c r="AJ67" s="8203"/>
      <c r="AK67" s="8205"/>
      <c r="AL67" s="403"/>
      <c r="AM67" s="1278"/>
      <c r="AN67" s="1064" cm="1" t="str">
        <f t="array" ref="AN67:AN67">K67</f>
        <v>2063</v>
      </c>
      <c r="AO67" s="1064" t="s">
        <v>2977</v>
      </c>
      <c r="AP67" s="1074" cm="1" t="str">
        <f t="array" ref="AP67:AP67">AP66</f>
        <v>0</v>
      </c>
      <c r="AQ67" s="703"/>
      <c r="AR67" s="703"/>
    </row>
    <row s="1278" customFormat="1" customHeight="1" ht="14.625" hidden="1">
      <c r="A68" s="1278"/>
      <c r="B68" s="445">
        <f>K68&lt;first_year+PERIOD_LENGTH</f>
        <v>0</v>
      </c>
      <c r="C68" s="1278"/>
      <c r="D68" s="1278"/>
      <c r="E68" s="703">
        <v>15</v>
      </c>
      <c r="F68" s="50" cm="1" t="str">
        <f t="array" ref="F68:F68">OFFSET(E68,-1,1)</f>
        <v>0</v>
      </c>
      <c r="G68" s="98" cm="1" t="str">
        <f t="array" ref="G68:G68">G67</f>
        <v>0</v>
      </c>
      <c r="H68" s="1278"/>
      <c r="I68" s="1278"/>
      <c r="J68" s="1278"/>
      <c r="K68" s="158">
        <f>first_year+38</f>
        <v>2064</v>
      </c>
      <c r="L68" s="1278"/>
      <c r="M68" s="1278"/>
      <c r="N68" s="1278"/>
      <c r="O68" s="1278"/>
      <c r="P68" s="1278"/>
      <c r="Q68" s="1278"/>
      <c r="R68" s="1278"/>
      <c r="S68" s="1278"/>
      <c r="T68" s="465" cm="1" t="str">
        <f t="array" ref="T68:T68">T67</f>
        <v>false</v>
      </c>
      <c r="U68" s="1278"/>
      <c r="V68" s="1278"/>
      <c r="W68" s="1278"/>
      <c r="X68" s="1563"/>
      <c r="Y68" s="1563"/>
      <c r="Z68" s="1546"/>
      <c r="AA68" s="1648"/>
      <c r="AB68" s="255" t="str">
        <f>K68&amp;" год"</f>
        <v>2064 год</v>
      </c>
      <c r="AC68" s="408"/>
      <c r="AD68" s="8204"/>
      <c r="AE68" s="8203"/>
      <c r="AF68" s="8203"/>
      <c r="AG68" s="8204"/>
      <c r="AH68" s="8203"/>
      <c r="AI68" s="8204"/>
      <c r="AJ68" s="8203"/>
      <c r="AK68" s="8205"/>
      <c r="AL68" s="403"/>
      <c r="AM68" s="1278"/>
      <c r="AN68" s="1064" cm="1" t="str">
        <f t="array" ref="AN68:AN68">K68</f>
        <v>2064</v>
      </c>
      <c r="AO68" s="1064" t="s">
        <v>2977</v>
      </c>
      <c r="AP68" s="1074" cm="1" t="str">
        <f t="array" ref="AP68:AP68">AP67</f>
        <v>0</v>
      </c>
      <c r="AQ68" s="703"/>
      <c r="AR68" s="703"/>
    </row>
    <row s="1278" customFormat="1" customHeight="1" ht="14.625" hidden="1">
      <c r="A69" s="1278"/>
      <c r="B69" s="445">
        <f>K69&lt;first_year+PERIOD_LENGTH</f>
        <v>0</v>
      </c>
      <c r="C69" s="1278"/>
      <c r="D69" s="1278"/>
      <c r="E69" s="703">
        <v>15</v>
      </c>
      <c r="F69" s="50" cm="1" t="str">
        <f t="array" ref="F69:F69">OFFSET(E69,-1,1)</f>
        <v>0</v>
      </c>
      <c r="G69" s="98" cm="1" t="str">
        <f t="array" ref="G69:G69">G68</f>
        <v>0</v>
      </c>
      <c r="H69" s="1278"/>
      <c r="I69" s="1278"/>
      <c r="J69" s="1278"/>
      <c r="K69" s="158">
        <f>first_year+39</f>
        <v>2065</v>
      </c>
      <c r="L69" s="1278"/>
      <c r="M69" s="1278"/>
      <c r="N69" s="1278"/>
      <c r="O69" s="1278"/>
      <c r="P69" s="1278"/>
      <c r="Q69" s="1278"/>
      <c r="R69" s="1278"/>
      <c r="S69" s="1278"/>
      <c r="T69" s="465" cm="1" t="str">
        <f t="array" ref="T69:T69">T68</f>
        <v>false</v>
      </c>
      <c r="U69" s="1278"/>
      <c r="V69" s="1278"/>
      <c r="W69" s="1278"/>
      <c r="X69" s="1563"/>
      <c r="Y69" s="1563"/>
      <c r="Z69" s="1546"/>
      <c r="AA69" s="1648"/>
      <c r="AB69" s="255" t="str">
        <f>K69&amp;" год"</f>
        <v>2065 год</v>
      </c>
      <c r="AC69" s="408"/>
      <c r="AD69" s="8204"/>
      <c r="AE69" s="8203"/>
      <c r="AF69" s="8203"/>
      <c r="AG69" s="8204"/>
      <c r="AH69" s="8203"/>
      <c r="AI69" s="8204"/>
      <c r="AJ69" s="8203"/>
      <c r="AK69" s="8205"/>
      <c r="AL69" s="403"/>
      <c r="AM69" s="1278"/>
      <c r="AN69" s="1064" cm="1" t="str">
        <f t="array" ref="AN69:AN69">K69</f>
        <v>2065</v>
      </c>
      <c r="AO69" s="1064" t="s">
        <v>2977</v>
      </c>
      <c r="AP69" s="1074" cm="1" t="str">
        <f t="array" ref="AP69:AP69">AP68</f>
        <v>0</v>
      </c>
      <c r="AQ69" s="703"/>
      <c r="AR69" s="703"/>
    </row>
    <row s="1278" customFormat="1" customHeight="1" ht="14.625" hidden="1">
      <c r="A70" s="1278"/>
      <c r="B70" s="445">
        <f>K70&lt;first_year+PERIOD_LENGTH</f>
        <v>0</v>
      </c>
      <c r="C70" s="1278"/>
      <c r="D70" s="1278"/>
      <c r="E70" s="703">
        <v>15</v>
      </c>
      <c r="F70" s="50" cm="1" t="str">
        <f t="array" ref="F70:F70">OFFSET(E70,-1,1)</f>
        <v>0</v>
      </c>
      <c r="G70" s="98" cm="1" t="str">
        <f t="array" ref="G70:G70">G69</f>
        <v>0</v>
      </c>
      <c r="H70" s="1278"/>
      <c r="I70" s="1278"/>
      <c r="J70" s="1278"/>
      <c r="K70" s="158">
        <f>first_year+40</f>
        <v>2066</v>
      </c>
      <c r="L70" s="1278"/>
      <c r="M70" s="1278"/>
      <c r="N70" s="1278"/>
      <c r="O70" s="1278"/>
      <c r="P70" s="1278"/>
      <c r="Q70" s="1278"/>
      <c r="R70" s="1278"/>
      <c r="S70" s="1278"/>
      <c r="T70" s="465" cm="1" t="str">
        <f t="array" ref="T70:T70">T69</f>
        <v>false</v>
      </c>
      <c r="U70" s="1278"/>
      <c r="V70" s="1278"/>
      <c r="W70" s="1278"/>
      <c r="X70" s="1563"/>
      <c r="Y70" s="1563"/>
      <c r="Z70" s="1546"/>
      <c r="AA70" s="1648"/>
      <c r="AB70" s="255" t="str">
        <f>K70&amp;" год"</f>
        <v>2066 год</v>
      </c>
      <c r="AC70" s="408"/>
      <c r="AD70" s="8204"/>
      <c r="AE70" s="8203"/>
      <c r="AF70" s="8203"/>
      <c r="AG70" s="8204"/>
      <c r="AH70" s="8203"/>
      <c r="AI70" s="8204"/>
      <c r="AJ70" s="8203"/>
      <c r="AK70" s="8205"/>
      <c r="AL70" s="403"/>
      <c r="AM70" s="1278"/>
      <c r="AN70" s="1064" cm="1" t="str">
        <f t="array" ref="AN70:AN70">K70</f>
        <v>2066</v>
      </c>
      <c r="AO70" s="1064" t="s">
        <v>2977</v>
      </c>
      <c r="AP70" s="1074" cm="1" t="str">
        <f t="array" ref="AP70:AP70">AP69</f>
        <v>0</v>
      </c>
      <c r="AQ70" s="703"/>
      <c r="AR70" s="703"/>
    </row>
    <row s="1278" customFormat="1" customHeight="1" ht="14.625" hidden="1">
      <c r="A71" s="1278"/>
      <c r="B71" s="445">
        <f>K71&lt;first_year+PERIOD_LENGTH</f>
        <v>0</v>
      </c>
      <c r="C71" s="1278"/>
      <c r="D71" s="1278"/>
      <c r="E71" s="703">
        <v>15</v>
      </c>
      <c r="F71" s="50" cm="1" t="str">
        <f t="array" ref="F71:F71">OFFSET(E71,-1,1)</f>
        <v>0</v>
      </c>
      <c r="G71" s="98" cm="1" t="str">
        <f t="array" ref="G71:G71">G70</f>
        <v>0</v>
      </c>
      <c r="H71" s="1278"/>
      <c r="I71" s="1278"/>
      <c r="J71" s="1278"/>
      <c r="K71" s="158">
        <f>first_year+41</f>
        <v>2067</v>
      </c>
      <c r="L71" s="1278"/>
      <c r="M71" s="1278"/>
      <c r="N71" s="1278"/>
      <c r="O71" s="1278"/>
      <c r="P71" s="1278"/>
      <c r="Q71" s="1278"/>
      <c r="R71" s="1278"/>
      <c r="S71" s="1278"/>
      <c r="T71" s="465" cm="1" t="str">
        <f t="array" ref="T71:T71">T70</f>
        <v>false</v>
      </c>
      <c r="U71" s="1278"/>
      <c r="V71" s="1278"/>
      <c r="W71" s="1278"/>
      <c r="X71" s="1563"/>
      <c r="Y71" s="1563"/>
      <c r="Z71" s="1546"/>
      <c r="AA71" s="1648"/>
      <c r="AB71" s="255" t="str">
        <f>K71&amp;" год"</f>
        <v>2067 год</v>
      </c>
      <c r="AC71" s="408"/>
      <c r="AD71" s="8204"/>
      <c r="AE71" s="8203"/>
      <c r="AF71" s="8203"/>
      <c r="AG71" s="8204"/>
      <c r="AH71" s="8203"/>
      <c r="AI71" s="8204"/>
      <c r="AJ71" s="8203"/>
      <c r="AK71" s="8205"/>
      <c r="AL71" s="403"/>
      <c r="AM71" s="1278"/>
      <c r="AN71" s="1064" cm="1" t="str">
        <f t="array" ref="AN71:AN71">K71</f>
        <v>2067</v>
      </c>
      <c r="AO71" s="1064" t="s">
        <v>2977</v>
      </c>
      <c r="AP71" s="1074" cm="1" t="str">
        <f t="array" ref="AP71:AP71">AP70</f>
        <v>0</v>
      </c>
      <c r="AQ71" s="703"/>
      <c r="AR71" s="703"/>
    </row>
    <row s="1278" customFormat="1" customHeight="1" ht="14.625" hidden="1">
      <c r="A72" s="1278"/>
      <c r="B72" s="445">
        <f>K72&lt;first_year+PERIOD_LENGTH</f>
        <v>0</v>
      </c>
      <c r="C72" s="1278"/>
      <c r="D72" s="1278"/>
      <c r="E72" s="703">
        <v>15</v>
      </c>
      <c r="F72" s="50" cm="1" t="str">
        <f t="array" ref="F72:F72">OFFSET(E72,-1,1)</f>
        <v>0</v>
      </c>
      <c r="G72" s="98" cm="1" t="str">
        <f t="array" ref="G72:G72">G71</f>
        <v>0</v>
      </c>
      <c r="H72" s="1278"/>
      <c r="I72" s="1278"/>
      <c r="J72" s="1278"/>
      <c r="K72" s="158">
        <f>first_year+42</f>
        <v>2068</v>
      </c>
      <c r="L72" s="1278"/>
      <c r="M72" s="1278"/>
      <c r="N72" s="1278"/>
      <c r="O72" s="1278"/>
      <c r="P72" s="1278"/>
      <c r="Q72" s="1278"/>
      <c r="R72" s="1278"/>
      <c r="S72" s="1278"/>
      <c r="T72" s="465" cm="1" t="str">
        <f t="array" ref="T72:T72">T71</f>
        <v>false</v>
      </c>
      <c r="U72" s="1278"/>
      <c r="V72" s="1278"/>
      <c r="W72" s="1278"/>
      <c r="X72" s="1563"/>
      <c r="Y72" s="1563"/>
      <c r="Z72" s="1546"/>
      <c r="AA72" s="1648"/>
      <c r="AB72" s="255" t="str">
        <f>K72&amp;" год"</f>
        <v>2068 год</v>
      </c>
      <c r="AC72" s="408"/>
      <c r="AD72" s="8204"/>
      <c r="AE72" s="8203"/>
      <c r="AF72" s="8203"/>
      <c r="AG72" s="8204"/>
      <c r="AH72" s="8203"/>
      <c r="AI72" s="8204"/>
      <c r="AJ72" s="8203"/>
      <c r="AK72" s="8205"/>
      <c r="AL72" s="403"/>
      <c r="AM72" s="1278"/>
      <c r="AN72" s="1064" cm="1" t="str">
        <f t="array" ref="AN72:AN72">K72</f>
        <v>2068</v>
      </c>
      <c r="AO72" s="1064" t="s">
        <v>2977</v>
      </c>
      <c r="AP72" s="1074" cm="1" t="str">
        <f t="array" ref="AP72:AP72">AP71</f>
        <v>0</v>
      </c>
      <c r="AQ72" s="703"/>
      <c r="AR72" s="703"/>
    </row>
    <row s="1278" customFormat="1" customHeight="1" ht="14.625" hidden="1">
      <c r="A73" s="1278"/>
      <c r="B73" s="445">
        <f>K73&lt;first_year+PERIOD_LENGTH</f>
        <v>0</v>
      </c>
      <c r="C73" s="1278"/>
      <c r="D73" s="1278"/>
      <c r="E73" s="703">
        <v>15</v>
      </c>
      <c r="F73" s="50" cm="1" t="str">
        <f t="array" ref="F73:F73">OFFSET(E73,-1,1)</f>
        <v>0</v>
      </c>
      <c r="G73" s="98" cm="1" t="str">
        <f t="array" ref="G73:G73">G72</f>
        <v>0</v>
      </c>
      <c r="H73" s="1278"/>
      <c r="I73" s="1278"/>
      <c r="J73" s="1278"/>
      <c r="K73" s="158">
        <f>first_year+43</f>
        <v>2069</v>
      </c>
      <c r="L73" s="1278"/>
      <c r="M73" s="1278"/>
      <c r="N73" s="1278"/>
      <c r="O73" s="1278"/>
      <c r="P73" s="1278"/>
      <c r="Q73" s="1278"/>
      <c r="R73" s="1278"/>
      <c r="S73" s="1278"/>
      <c r="T73" s="465" cm="1" t="str">
        <f t="array" ref="T73:T73">T72</f>
        <v>false</v>
      </c>
      <c r="U73" s="1278"/>
      <c r="V73" s="1278"/>
      <c r="W73" s="1278"/>
      <c r="X73" s="1563"/>
      <c r="Y73" s="1563"/>
      <c r="Z73" s="1546"/>
      <c r="AA73" s="1648"/>
      <c r="AB73" s="255" t="str">
        <f>K73&amp;" год"</f>
        <v>2069 год</v>
      </c>
      <c r="AC73" s="408"/>
      <c r="AD73" s="8204"/>
      <c r="AE73" s="8203"/>
      <c r="AF73" s="8203"/>
      <c r="AG73" s="8204"/>
      <c r="AH73" s="8203"/>
      <c r="AI73" s="8204"/>
      <c r="AJ73" s="8203"/>
      <c r="AK73" s="8205"/>
      <c r="AL73" s="403"/>
      <c r="AM73" s="1278"/>
      <c r="AN73" s="1064" cm="1" t="str">
        <f t="array" ref="AN73:AN73">K73</f>
        <v>2069</v>
      </c>
      <c r="AO73" s="1064" t="s">
        <v>2977</v>
      </c>
      <c r="AP73" s="1074" cm="1" t="str">
        <f t="array" ref="AP73:AP73">AP72</f>
        <v>0</v>
      </c>
      <c r="AQ73" s="703"/>
      <c r="AR73" s="703"/>
    </row>
    <row s="1278" customFormat="1" customHeight="1" ht="14.625" hidden="1">
      <c r="A74" s="1278"/>
      <c r="B74" s="445">
        <f>K74&lt;first_year+PERIOD_LENGTH</f>
        <v>0</v>
      </c>
      <c r="C74" s="1278"/>
      <c r="D74" s="1278"/>
      <c r="E74" s="703">
        <v>15</v>
      </c>
      <c r="F74" s="50" cm="1" t="str">
        <f t="array" ref="F74:F74">OFFSET(E74,-1,1)</f>
        <v>0</v>
      </c>
      <c r="G74" s="98" cm="1" t="str">
        <f t="array" ref="G74:G74">G73</f>
        <v>0</v>
      </c>
      <c r="H74" s="1278"/>
      <c r="I74" s="1278"/>
      <c r="J74" s="1278"/>
      <c r="K74" s="158">
        <f>first_year+44</f>
        <v>2070</v>
      </c>
      <c r="L74" s="1278"/>
      <c r="M74" s="1278"/>
      <c r="N74" s="1278"/>
      <c r="O74" s="1278"/>
      <c r="P74" s="1278"/>
      <c r="Q74" s="1278"/>
      <c r="R74" s="1278"/>
      <c r="S74" s="1278"/>
      <c r="T74" s="465" cm="1" t="str">
        <f t="array" ref="T74:T74">T73</f>
        <v>false</v>
      </c>
      <c r="U74" s="1278"/>
      <c r="V74" s="1278"/>
      <c r="W74" s="1278"/>
      <c r="X74" s="1563"/>
      <c r="Y74" s="1563"/>
      <c r="Z74" s="1546"/>
      <c r="AA74" s="1648"/>
      <c r="AB74" s="255" t="str">
        <f>K74&amp;" год"</f>
        <v>2070 год</v>
      </c>
      <c r="AC74" s="408"/>
      <c r="AD74" s="8204"/>
      <c r="AE74" s="8203"/>
      <c r="AF74" s="8203"/>
      <c r="AG74" s="8204"/>
      <c r="AH74" s="8203"/>
      <c r="AI74" s="8204"/>
      <c r="AJ74" s="8203"/>
      <c r="AK74" s="8205"/>
      <c r="AL74" s="403"/>
      <c r="AM74" s="1278"/>
      <c r="AN74" s="1064" cm="1" t="str">
        <f t="array" ref="AN74:AN74">K74</f>
        <v>2070</v>
      </c>
      <c r="AO74" s="1064" t="s">
        <v>2977</v>
      </c>
      <c r="AP74" s="1074" cm="1" t="str">
        <f t="array" ref="AP74:AP74">AP73</f>
        <v>0</v>
      </c>
      <c r="AQ74" s="703"/>
      <c r="AR74" s="703"/>
    </row>
    <row s="1278" customFormat="1" customHeight="1" ht="14.625" hidden="1">
      <c r="A75" s="1278"/>
      <c r="B75" s="445">
        <f>K75&lt;first_year+PERIOD_LENGTH</f>
        <v>0</v>
      </c>
      <c r="C75" s="1278"/>
      <c r="D75" s="1278"/>
      <c r="E75" s="703">
        <v>15</v>
      </c>
      <c r="F75" s="50" cm="1" t="str">
        <f t="array" ref="F75:F75">OFFSET(E75,-1,1)</f>
        <v>0</v>
      </c>
      <c r="G75" s="98" cm="1" t="str">
        <f t="array" ref="G75:G75">G74</f>
        <v>0</v>
      </c>
      <c r="H75" s="1278"/>
      <c r="I75" s="1278"/>
      <c r="J75" s="1278"/>
      <c r="K75" s="158">
        <f>first_year+45</f>
        <v>2071</v>
      </c>
      <c r="L75" s="1278"/>
      <c r="M75" s="1278"/>
      <c r="N75" s="1278"/>
      <c r="O75" s="1278"/>
      <c r="P75" s="1278"/>
      <c r="Q75" s="1278"/>
      <c r="R75" s="1278"/>
      <c r="S75" s="1278"/>
      <c r="T75" s="465" cm="1" t="str">
        <f t="array" ref="T75:T75">T74</f>
        <v>false</v>
      </c>
      <c r="U75" s="1278"/>
      <c r="V75" s="1278"/>
      <c r="W75" s="1278"/>
      <c r="X75" s="1563"/>
      <c r="Y75" s="1563"/>
      <c r="Z75" s="1546"/>
      <c r="AA75" s="1648"/>
      <c r="AB75" s="255" t="str">
        <f>K75&amp;" год"</f>
        <v>2071 год</v>
      </c>
      <c r="AC75" s="408"/>
      <c r="AD75" s="8204"/>
      <c r="AE75" s="8203"/>
      <c r="AF75" s="8203"/>
      <c r="AG75" s="8204"/>
      <c r="AH75" s="8203"/>
      <c r="AI75" s="8204"/>
      <c r="AJ75" s="8203"/>
      <c r="AK75" s="8205"/>
      <c r="AL75" s="403"/>
      <c r="AM75" s="1278"/>
      <c r="AN75" s="1064" cm="1" t="str">
        <f t="array" ref="AN75:AN75">K75</f>
        <v>2071</v>
      </c>
      <c r="AO75" s="1064" t="s">
        <v>2977</v>
      </c>
      <c r="AP75" s="1074" cm="1" t="str">
        <f t="array" ref="AP75:AP75">AP74</f>
        <v>0</v>
      </c>
      <c r="AQ75" s="703"/>
      <c r="AR75" s="703"/>
    </row>
    <row s="1278" customFormat="1" customHeight="1" ht="14.625" hidden="1">
      <c r="A76" s="1278"/>
      <c r="B76" s="445">
        <f>K76&lt;first_year+PERIOD_LENGTH</f>
        <v>0</v>
      </c>
      <c r="C76" s="1278"/>
      <c r="D76" s="1278"/>
      <c r="E76" s="703">
        <v>15</v>
      </c>
      <c r="F76" s="50" cm="1" t="str">
        <f t="array" ref="F76:F76">OFFSET(E76,-1,1)</f>
        <v>0</v>
      </c>
      <c r="G76" s="98" cm="1" t="str">
        <f t="array" ref="G76:G76">G75</f>
        <v>0</v>
      </c>
      <c r="H76" s="1278"/>
      <c r="I76" s="1278"/>
      <c r="J76" s="1278"/>
      <c r="K76" s="158">
        <f>first_year+46</f>
        <v>2072</v>
      </c>
      <c r="L76" s="1278"/>
      <c r="M76" s="1278"/>
      <c r="N76" s="1278"/>
      <c r="O76" s="1278"/>
      <c r="P76" s="1278"/>
      <c r="Q76" s="1278"/>
      <c r="R76" s="1278"/>
      <c r="S76" s="1278"/>
      <c r="T76" s="465" cm="1" t="str">
        <f t="array" ref="T76:T76">T75</f>
        <v>false</v>
      </c>
      <c r="U76" s="1278"/>
      <c r="V76" s="1278"/>
      <c r="W76" s="1278"/>
      <c r="X76" s="1563"/>
      <c r="Y76" s="1563"/>
      <c r="Z76" s="1546"/>
      <c r="AA76" s="1648"/>
      <c r="AB76" s="255" t="str">
        <f>K76&amp;" год"</f>
        <v>2072 год</v>
      </c>
      <c r="AC76" s="408"/>
      <c r="AD76" s="8204"/>
      <c r="AE76" s="8203"/>
      <c r="AF76" s="8203"/>
      <c r="AG76" s="8204"/>
      <c r="AH76" s="8203"/>
      <c r="AI76" s="8204"/>
      <c r="AJ76" s="8203"/>
      <c r="AK76" s="8205"/>
      <c r="AL76" s="403"/>
      <c r="AM76" s="1278"/>
      <c r="AN76" s="1064" cm="1" t="str">
        <f t="array" ref="AN76:AN76">K76</f>
        <v>2072</v>
      </c>
      <c r="AO76" s="1064" t="s">
        <v>2977</v>
      </c>
      <c r="AP76" s="1074" cm="1" t="str">
        <f t="array" ref="AP76:AP76">AP75</f>
        <v>0</v>
      </c>
      <c r="AQ76" s="703"/>
      <c r="AR76" s="703"/>
    </row>
    <row s="1278" customFormat="1" customHeight="1" ht="14.625" hidden="1">
      <c r="A77" s="1278"/>
      <c r="B77" s="445">
        <f>K77&lt;first_year+PERIOD_LENGTH</f>
        <v>0</v>
      </c>
      <c r="C77" s="1278"/>
      <c r="D77" s="1278"/>
      <c r="E77" s="703">
        <v>15</v>
      </c>
      <c r="F77" s="50" cm="1" t="str">
        <f t="array" ref="F77:F77">OFFSET(E77,-1,1)</f>
        <v>0</v>
      </c>
      <c r="G77" s="98" cm="1" t="str">
        <f t="array" ref="G77:G77">G76</f>
        <v>0</v>
      </c>
      <c r="H77" s="1278"/>
      <c r="I77" s="1278"/>
      <c r="J77" s="1278"/>
      <c r="K77" s="158">
        <f>first_year+47</f>
        <v>2073</v>
      </c>
      <c r="L77" s="1278"/>
      <c r="M77" s="1278"/>
      <c r="N77" s="1278"/>
      <c r="O77" s="1278"/>
      <c r="P77" s="1278"/>
      <c r="Q77" s="1278"/>
      <c r="R77" s="1278"/>
      <c r="S77" s="1278"/>
      <c r="T77" s="465" cm="1" t="str">
        <f t="array" ref="T77:T77">T76</f>
        <v>false</v>
      </c>
      <c r="U77" s="1278"/>
      <c r="V77" s="1278"/>
      <c r="W77" s="1278"/>
      <c r="X77" s="1563"/>
      <c r="Y77" s="1563"/>
      <c r="Z77" s="1546"/>
      <c r="AA77" s="1648"/>
      <c r="AB77" s="255" t="str">
        <f>K77&amp;" год"</f>
        <v>2073 год</v>
      </c>
      <c r="AC77" s="408"/>
      <c r="AD77" s="8204"/>
      <c r="AE77" s="8203"/>
      <c r="AF77" s="8203"/>
      <c r="AG77" s="8204"/>
      <c r="AH77" s="8203"/>
      <c r="AI77" s="8204"/>
      <c r="AJ77" s="8203"/>
      <c r="AK77" s="8205"/>
      <c r="AL77" s="403"/>
      <c r="AM77" s="1278"/>
      <c r="AN77" s="1064" cm="1" t="str">
        <f t="array" ref="AN77:AN77">K77</f>
        <v>2073</v>
      </c>
      <c r="AO77" s="1064" t="s">
        <v>2977</v>
      </c>
      <c r="AP77" s="1074" cm="1" t="str">
        <f t="array" ref="AP77:AP77">AP76</f>
        <v>0</v>
      </c>
      <c r="AQ77" s="703"/>
      <c r="AR77" s="703"/>
    </row>
    <row s="1278" customFormat="1" customHeight="1" ht="14.625" hidden="1">
      <c r="A78" s="1278"/>
      <c r="B78" s="445">
        <f>K78&lt;first_year+PERIOD_LENGTH</f>
        <v>0</v>
      </c>
      <c r="C78" s="1278"/>
      <c r="D78" s="1278"/>
      <c r="E78" s="703">
        <v>15</v>
      </c>
      <c r="F78" s="50" cm="1" t="str">
        <f t="array" ref="F78:F78">OFFSET(E78,-1,1)</f>
        <v>0</v>
      </c>
      <c r="G78" s="98" cm="1" t="str">
        <f t="array" ref="G78:G78">G77</f>
        <v>0</v>
      </c>
      <c r="H78" s="1278"/>
      <c r="I78" s="1278"/>
      <c r="J78" s="1278"/>
      <c r="K78" s="158">
        <f>first_year+48</f>
        <v>2074</v>
      </c>
      <c r="L78" s="1278"/>
      <c r="M78" s="1278"/>
      <c r="N78" s="1278"/>
      <c r="O78" s="1278"/>
      <c r="P78" s="1278"/>
      <c r="Q78" s="1278"/>
      <c r="R78" s="1278"/>
      <c r="S78" s="1278"/>
      <c r="T78" s="465" cm="1" t="str">
        <f t="array" ref="T78:T78">T77</f>
        <v>false</v>
      </c>
      <c r="U78" s="1278"/>
      <c r="V78" s="1278"/>
      <c r="W78" s="1278"/>
      <c r="X78" s="1563"/>
      <c r="Y78" s="1563"/>
      <c r="Z78" s="1546"/>
      <c r="AA78" s="1648"/>
      <c r="AB78" s="255" t="str">
        <f>K78&amp;" год"</f>
        <v>2074 год</v>
      </c>
      <c r="AC78" s="408"/>
      <c r="AD78" s="8204"/>
      <c r="AE78" s="8203"/>
      <c r="AF78" s="8203"/>
      <c r="AG78" s="8204"/>
      <c r="AH78" s="8203"/>
      <c r="AI78" s="8204"/>
      <c r="AJ78" s="8203"/>
      <c r="AK78" s="8205"/>
      <c r="AL78" s="403"/>
      <c r="AM78" s="1278"/>
      <c r="AN78" s="1064" cm="1" t="str">
        <f t="array" ref="AN78:AN78">K78</f>
        <v>2074</v>
      </c>
      <c r="AO78" s="1064" t="s">
        <v>2977</v>
      </c>
      <c r="AP78" s="1074" cm="1" t="str">
        <f t="array" ref="AP78:AP78">AP77</f>
        <v>0</v>
      </c>
      <c r="AQ78" s="703"/>
      <c r="AR78" s="703"/>
    </row>
    <row s="1278" customFormat="1" customHeight="1" ht="14.625" hidden="1">
      <c r="A79" s="1278"/>
      <c r="B79" s="445">
        <f>K79&lt;first_year+PERIOD_LENGTH</f>
        <v>0</v>
      </c>
      <c r="C79" s="1278"/>
      <c r="D79" s="1278"/>
      <c r="E79" s="703">
        <v>15</v>
      </c>
      <c r="F79" s="50" cm="1" t="str">
        <f t="array" ref="F79:F79">OFFSET(E79,-1,1)</f>
        <v>0</v>
      </c>
      <c r="G79" s="98" cm="1" t="str">
        <f t="array" ref="G79:G79">G78</f>
        <v>0</v>
      </c>
      <c r="H79" s="1278"/>
      <c r="I79" s="1278"/>
      <c r="J79" s="1278"/>
      <c r="K79" s="158">
        <f>first_year+49</f>
        <v>2075</v>
      </c>
      <c r="L79" s="1278"/>
      <c r="M79" s="1278"/>
      <c r="N79" s="1278"/>
      <c r="O79" s="1278"/>
      <c r="P79" s="1278"/>
      <c r="Q79" s="1278"/>
      <c r="R79" s="1278"/>
      <c r="S79" s="1278"/>
      <c r="T79" s="465" cm="1" t="str">
        <f t="array" ref="T79:T79">T78</f>
        <v>false</v>
      </c>
      <c r="U79" s="1278"/>
      <c r="V79" s="1278"/>
      <c r="W79" s="1278"/>
      <c r="X79" s="1563"/>
      <c r="Y79" s="1563"/>
      <c r="Z79" s="1546"/>
      <c r="AA79" s="1648"/>
      <c r="AB79" s="255" t="str">
        <f>K79&amp;" год"</f>
        <v>2075 год</v>
      </c>
      <c r="AC79" s="408"/>
      <c r="AD79" s="8204"/>
      <c r="AE79" s="8203"/>
      <c r="AF79" s="8203"/>
      <c r="AG79" s="8204"/>
      <c r="AH79" s="8203"/>
      <c r="AI79" s="8204"/>
      <c r="AJ79" s="8203"/>
      <c r="AK79" s="8205"/>
      <c r="AL79" s="403"/>
      <c r="AM79" s="1278"/>
      <c r="AN79" s="1064" cm="1" t="str">
        <f t="array" ref="AN79:AN79">K79</f>
        <v>2075</v>
      </c>
      <c r="AO79" s="1064" t="s">
        <v>2977</v>
      </c>
      <c r="AP79" s="1074" cm="1" t="str">
        <f t="array" ref="AP79:AP79">AP78</f>
        <v>0</v>
      </c>
      <c r="AQ79" s="703"/>
      <c r="AR79" s="703"/>
    </row>
    <row s="1834" customFormat="1" customHeight="1" ht="14.625" hidden="1">
      <c r="A80" s="158"/>
      <c r="B80" s="432"/>
      <c r="C80" s="158"/>
      <c r="D80" s="158"/>
      <c r="E80" s="703">
        <v>15</v>
      </c>
      <c r="F80" s="1175" cm="1" t="str">
        <f t="array" ref="F80:F80">OFFSET(E80,-1,1)</f>
        <v>0</v>
      </c>
      <c r="G80" s="158" t="str">
        <f>"!== 'не определено'"</f>
        <v>!== 'не определено'</v>
      </c>
      <c r="H80" s="158"/>
      <c r="I80" s="158"/>
      <c r="J80" s="158"/>
      <c r="K80" s="158"/>
      <c r="L80" s="158"/>
      <c r="M80" s="158"/>
      <c r="N80" s="158"/>
      <c r="O80" s="158"/>
      <c r="P80" s="158"/>
      <c r="Q80" s="158"/>
      <c r="R80" s="158"/>
      <c r="S80" s="158"/>
      <c r="T80" s="465">
        <f>F80&gt;0</f>
        <v>0</v>
      </c>
      <c r="U80" s="158"/>
      <c r="V80" s="158"/>
      <c r="W80" s="829" t="s">
        <v>2978</v>
      </c>
      <c r="X80" s="1563"/>
      <c r="Y80" s="158"/>
      <c r="Z80" s="1546"/>
      <c r="AA80" s="158"/>
      <c r="AB80" s="938" t="s">
        <v>178</v>
      </c>
      <c r="AC80" s="304"/>
      <c r="AD80" s="304"/>
      <c r="AE80" s="304"/>
      <c r="AF80" s="304"/>
      <c r="AG80" s="304"/>
      <c r="AH80" s="304"/>
      <c r="AI80" s="304"/>
      <c r="AJ80" s="304"/>
      <c r="AK80" s="304"/>
      <c r="AL80" s="403"/>
      <c r="AM80" s="1834"/>
      <c r="AN80" s="1004"/>
      <c r="AO80" s="1004"/>
      <c r="AP80" s="1004"/>
      <c r="AQ80" s="1007" t="s">
        <v>2977</v>
      </c>
      <c r="AR80" s="624"/>
    </row>
    <row s="538" customFormat="1" customHeight="1" ht="14.25">
      <c r="A81" s="1758"/>
      <c r="B81" s="428"/>
      <c r="C81" s="1758"/>
      <c r="D81" s="1758"/>
      <c r="E81" s="618">
        <v>15</v>
      </c>
      <c r="F81" s="98" cm="1" t="str">
        <f t="array" ref="F81:F81">X81</f>
        <v>1</v>
      </c>
      <c r="G81" s="1758"/>
      <c r="H81" s="1758"/>
      <c r="I81" s="1758"/>
      <c r="J81" s="1758"/>
      <c r="K81" s="1758"/>
      <c r="L81" s="1758"/>
      <c r="M81" s="1758"/>
      <c r="N81" s="1758"/>
      <c r="O81" s="1758"/>
      <c r="P81" s="1758"/>
      <c r="Q81" s="1758"/>
      <c r="R81" s="1758"/>
      <c r="S81" s="1758"/>
      <c r="T81" s="465">
        <f>X81&gt;0</f>
        <v>1</v>
      </c>
      <c r="U81" s="1758"/>
      <c r="V81" s="122" cm="1" t="str">
        <f t="array" ref="V81:V81">ДПР!$AB$81</f>
        <v>Тариф 1 (Водоснабжение) - тариф на питьевую воду (Доп. признак не требуется)</v>
      </c>
      <c r="W81" s="1758"/>
      <c r="X81" s="1563" t="s">
        <v>276</v>
      </c>
      <c r="Y81" s="1758"/>
      <c r="Z81" s="1546"/>
      <c r="AA81" s="1758"/>
      <c r="AB81" s="381" cm="1" t="str">
        <f t="array" ref="AB81:AB81">ДПР!$AB$81</f>
        <v>Тариф 1 (Водоснабжение) - тариф на питьевую воду (Доп. признак не требуется)</v>
      </c>
      <c r="AC81" s="243"/>
      <c r="AD81" s="243"/>
      <c r="AE81" s="243"/>
      <c r="AF81" s="243"/>
      <c r="AG81" s="243"/>
      <c r="AH81" s="243"/>
      <c r="AI81" s="243"/>
      <c r="AJ81" s="243"/>
      <c r="AK81" s="243"/>
      <c r="AL81" s="402"/>
      <c r="AM81" s="1758"/>
      <c r="AN81" s="997"/>
      <c r="AO81" s="997"/>
      <c r="AP81" s="997"/>
      <c r="AQ81" s="618"/>
      <c r="AR81" s="618"/>
    </row>
    <row s="538" customFormat="1" customHeight="1" ht="14.25" hidden="1">
      <c r="E82" s="618">
        <v>15</v>
      </c>
      <c r="F82" s="50" cm="1" t="str">
        <f t="array" ref="F82:F82">OFFSET(E82,-1,1)</f>
        <v>1</v>
      </c>
      <c r="G82" s="122" cm="1" t="str">
        <f t="array" ref="G82:G82">AB82</f>
        <v>0</v>
      </c>
      <c r="T82" s="465">
        <f>AND(F82&gt;0,Y82&gt;0)</f>
        <v>0</v>
      </c>
      <c r="W82" s="122" t="s">
        <v>174</v>
      </c>
      <c r="Y82" s="1563">
        <v>0</v>
      </c>
      <c r="AA82" s="1648" t="s">
        <v>175</v>
      </c>
      <c r="AB82" s="68"/>
      <c r="AC82" s="68"/>
      <c r="AD82" s="68"/>
      <c r="AE82" s="68"/>
      <c r="AF82" s="68"/>
      <c r="AG82" s="68"/>
      <c r="AH82" s="68"/>
      <c r="AI82" s="68"/>
      <c r="AJ82" s="68"/>
      <c r="AK82" s="69"/>
      <c r="AL82" s="402"/>
      <c r="AN82" s="997"/>
      <c r="AO82" s="1064" t="s">
        <v>2977</v>
      </c>
      <c r="AP82" s="1050" cm="1" t="str">
        <f t="array" ref="AP82:AP82">AB82</f>
        <v>0</v>
      </c>
      <c r="AQ82" s="618"/>
      <c r="AR82" s="618" t="b">
        <v>1</v>
      </c>
    </row>
    <row s="8212" customFormat="1" customHeight="1" ht="14.25" hidden="1">
      <c r="B83" s="445">
        <f>K83&lt;first_year+PERIOD_LENGTH</f>
        <v>1</v>
      </c>
      <c r="E83" s="703">
        <v>15</v>
      </c>
      <c r="F83" s="50" cm="1" t="str">
        <f t="array" ref="F83:F83">OFFSET(E83,-1,1)</f>
        <v>1</v>
      </c>
      <c r="G83" s="98" cm="1" t="str">
        <f t="array" ref="G83:G83">G82</f>
        <v>0</v>
      </c>
      <c r="K83" s="158" cm="1" t="str">
        <f t="array" ref="K83:K83">first_year</f>
        <v>2026</v>
      </c>
      <c r="T83" s="465" cm="1" t="str">
        <f t="array" ref="T83:T83">T82</f>
        <v>false</v>
      </c>
      <c r="AB83" s="302" t="str">
        <f>K83&amp;" год"</f>
        <v>2026 год</v>
      </c>
      <c r="AC83" s="70"/>
      <c r="AD83" s="71"/>
      <c r="AE83" s="70"/>
      <c r="AF83" s="70"/>
      <c r="AG83" s="71"/>
      <c r="AH83" s="70"/>
      <c r="AI83" s="71"/>
      <c r="AJ83" s="70"/>
      <c r="AK83" s="72"/>
      <c r="AL83" s="403"/>
      <c r="AN83" s="1064" cm="1" t="str">
        <f t="array" ref="AN83:AN83">K83</f>
        <v>2026</v>
      </c>
      <c r="AO83" s="1064" t="s">
        <v>2977</v>
      </c>
      <c r="AP83" s="1074" cm="1" t="str">
        <f t="array" ref="AP83:AP83">AP82</f>
        <v>0</v>
      </c>
      <c r="AQ83" s="703"/>
      <c r="AR83" s="703"/>
    </row>
    <row s="8213" customFormat="1" customHeight="1" ht="14.25" hidden="1">
      <c r="B84" s="445">
        <f>K84&lt;first_year+PERIOD_LENGTH</f>
        <v>1</v>
      </c>
      <c r="E84" s="703">
        <v>15</v>
      </c>
      <c r="F84" s="50" cm="1" t="str">
        <f t="array" ref="F84:F84">OFFSET(E84,-1,1)</f>
        <v>1</v>
      </c>
      <c r="G84" s="98" cm="1" t="str">
        <f t="array" ref="G84:G84">G83</f>
        <v>0</v>
      </c>
      <c r="K84" s="158">
        <f>first_year+1</f>
        <v>2027</v>
      </c>
      <c r="T84" s="465" cm="1" t="str">
        <f t="array" ref="T84:T84">T83</f>
        <v>false</v>
      </c>
      <c r="AB84" s="255" t="str">
        <f>K84&amp;" год"</f>
        <v>2027 год</v>
      </c>
      <c r="AC84" s="408"/>
      <c r="AD84" s="71"/>
      <c r="AE84" s="70"/>
      <c r="AF84" s="70"/>
      <c r="AG84" s="71"/>
      <c r="AH84" s="70"/>
      <c r="AI84" s="71"/>
      <c r="AJ84" s="70"/>
      <c r="AK84" s="72"/>
      <c r="AL84" s="403"/>
      <c r="AN84" s="1064" cm="1" t="str">
        <f t="array" ref="AN84:AN84">K84</f>
        <v>2027</v>
      </c>
      <c r="AO84" s="1064" t="s">
        <v>2977</v>
      </c>
      <c r="AP84" s="1074" cm="1" t="str">
        <f t="array" ref="AP84:AP84">AP83</f>
        <v>0</v>
      </c>
      <c r="AQ84" s="703"/>
      <c r="AR84" s="703"/>
    </row>
    <row s="8214" customFormat="1" customHeight="1" ht="14.25" hidden="1">
      <c r="B85" s="445">
        <f>K85&lt;first_year+PERIOD_LENGTH</f>
        <v>1</v>
      </c>
      <c r="E85" s="703">
        <v>15</v>
      </c>
      <c r="F85" s="50" cm="1" t="str">
        <f t="array" ref="F85:F85">OFFSET(E85,-1,1)</f>
        <v>1</v>
      </c>
      <c r="G85" s="98" cm="1" t="str">
        <f t="array" ref="G85:G85">G84</f>
        <v>0</v>
      </c>
      <c r="K85" s="158">
        <f>first_year+2</f>
        <v>2028</v>
      </c>
      <c r="T85" s="465" cm="1" t="str">
        <f t="array" ref="T85:T85">T84</f>
        <v>false</v>
      </c>
      <c r="AB85" s="255" t="str">
        <f>K85&amp;" год"</f>
        <v>2028 год</v>
      </c>
      <c r="AC85" s="408"/>
      <c r="AD85" s="71"/>
      <c r="AE85" s="70"/>
      <c r="AF85" s="70"/>
      <c r="AG85" s="71"/>
      <c r="AH85" s="70"/>
      <c r="AI85" s="71"/>
      <c r="AJ85" s="70"/>
      <c r="AK85" s="72"/>
      <c r="AL85" s="403"/>
      <c r="AN85" s="1064" cm="1" t="str">
        <f t="array" ref="AN85:AN85">K85</f>
        <v>2028</v>
      </c>
      <c r="AO85" s="1064" t="s">
        <v>2977</v>
      </c>
      <c r="AP85" s="1074" cm="1" t="str">
        <f t="array" ref="AP85:AP85">AP84</f>
        <v>0</v>
      </c>
      <c r="AQ85" s="703"/>
      <c r="AR85" s="703"/>
    </row>
    <row s="8215" customFormat="1" customHeight="1" ht="14.25" hidden="1">
      <c r="B86" s="445">
        <f>K86&lt;first_year+PERIOD_LENGTH</f>
        <v>1</v>
      </c>
      <c r="E86" s="703">
        <v>15</v>
      </c>
      <c r="F86" s="50" cm="1" t="str">
        <f t="array" ref="F86:F86">OFFSET(E86,-1,1)</f>
        <v>1</v>
      </c>
      <c r="G86" s="98" cm="1" t="str">
        <f t="array" ref="G86:G86">G85</f>
        <v>0</v>
      </c>
      <c r="K86" s="158">
        <f>first_year+3</f>
        <v>2029</v>
      </c>
      <c r="T86" s="465" cm="1" t="str">
        <f t="array" ref="T86:T86">T85</f>
        <v>false</v>
      </c>
      <c r="AB86" s="255" t="str">
        <f>K86&amp;" год"</f>
        <v>2029 год</v>
      </c>
      <c r="AC86" s="408"/>
      <c r="AD86" s="71"/>
      <c r="AE86" s="70"/>
      <c r="AF86" s="70"/>
      <c r="AG86" s="71"/>
      <c r="AH86" s="70"/>
      <c r="AI86" s="71"/>
      <c r="AJ86" s="70"/>
      <c r="AK86" s="72"/>
      <c r="AL86" s="403"/>
      <c r="AN86" s="1064" cm="1" t="str">
        <f t="array" ref="AN86:AN86">K86</f>
        <v>2029</v>
      </c>
      <c r="AO86" s="1064" t="s">
        <v>2977</v>
      </c>
      <c r="AP86" s="1074" cm="1" t="str">
        <f t="array" ref="AP86:AP86">AP85</f>
        <v>0</v>
      </c>
      <c r="AQ86" s="703"/>
      <c r="AR86" s="703"/>
    </row>
    <row s="8216" customFormat="1" customHeight="1" ht="14.25" hidden="1">
      <c r="B87" s="445">
        <f>K87&lt;first_year+PERIOD_LENGTH</f>
        <v>1</v>
      </c>
      <c r="E87" s="703">
        <v>15</v>
      </c>
      <c r="F87" s="50" cm="1" t="str">
        <f t="array" ref="F87:F87">OFFSET(E87,-1,1)</f>
        <v>1</v>
      </c>
      <c r="G87" s="98" cm="1" t="str">
        <f t="array" ref="G87:G87">G86</f>
        <v>0</v>
      </c>
      <c r="K87" s="158">
        <f>first_year+4</f>
        <v>2030</v>
      </c>
      <c r="T87" s="465" cm="1" t="str">
        <f t="array" ref="T87:T87">T86</f>
        <v>false</v>
      </c>
      <c r="AB87" s="255" t="str">
        <f>K87&amp;" год"</f>
        <v>2030 год</v>
      </c>
      <c r="AC87" s="408"/>
      <c r="AD87" s="71"/>
      <c r="AE87" s="70"/>
      <c r="AF87" s="70"/>
      <c r="AG87" s="71"/>
      <c r="AH87" s="70"/>
      <c r="AI87" s="71"/>
      <c r="AJ87" s="70"/>
      <c r="AK87" s="72"/>
      <c r="AL87" s="403"/>
      <c r="AN87" s="1064" cm="1" t="str">
        <f t="array" ref="AN87:AN87">K87</f>
        <v>2030</v>
      </c>
      <c r="AO87" s="1064" t="s">
        <v>2977</v>
      </c>
      <c r="AP87" s="1074" cm="1" t="str">
        <f t="array" ref="AP87:AP87">AP86</f>
        <v>0</v>
      </c>
      <c r="AQ87" s="703"/>
      <c r="AR87" s="703"/>
    </row>
    <row s="8217" customFormat="1" customHeight="1" ht="14.25" hidden="1">
      <c r="B88" s="445">
        <f>K88&lt;first_year+PERIOD_LENGTH</f>
        <v>0</v>
      </c>
      <c r="E88" s="703">
        <v>15</v>
      </c>
      <c r="F88" s="50" cm="1" t="str">
        <f t="array" ref="F88:F88">OFFSET(E88,-1,1)</f>
        <v>1</v>
      </c>
      <c r="G88" s="98" cm="1" t="str">
        <f t="array" ref="G88:G88">G87</f>
        <v>0</v>
      </c>
      <c r="K88" s="158">
        <f>first_year+5</f>
        <v>2031</v>
      </c>
      <c r="T88" s="465" cm="1" t="str">
        <f t="array" ref="T88:T88">T87</f>
        <v>false</v>
      </c>
      <c r="AB88" s="255" t="str">
        <f>K88&amp;" год"</f>
        <v>2031 год</v>
      </c>
      <c r="AC88" s="408"/>
      <c r="AD88" s="71"/>
      <c r="AE88" s="70"/>
      <c r="AF88" s="70"/>
      <c r="AG88" s="71"/>
      <c r="AH88" s="70"/>
      <c r="AI88" s="71"/>
      <c r="AJ88" s="70"/>
      <c r="AK88" s="72"/>
      <c r="AL88" s="403"/>
      <c r="AN88" s="1064" cm="1" t="str">
        <f t="array" ref="AN88:AN88">K88</f>
        <v>2031</v>
      </c>
      <c r="AO88" s="1064" t="s">
        <v>2977</v>
      </c>
      <c r="AP88" s="1074" cm="1" t="str">
        <f t="array" ref="AP88:AP88">AP87</f>
        <v>0</v>
      </c>
      <c r="AQ88" s="703"/>
      <c r="AR88" s="703"/>
    </row>
    <row s="8218" customFormat="1" customHeight="1" ht="14.25" hidden="1">
      <c r="B89" s="445">
        <f>K89&lt;first_year+PERIOD_LENGTH</f>
        <v>0</v>
      </c>
      <c r="E89" s="703">
        <v>15</v>
      </c>
      <c r="F89" s="50" cm="1" t="str">
        <f t="array" ref="F89:F89">OFFSET(E89,-1,1)</f>
        <v>1</v>
      </c>
      <c r="G89" s="98" cm="1" t="str">
        <f t="array" ref="G89:G89">G88</f>
        <v>0</v>
      </c>
      <c r="K89" s="158">
        <f>first_year+6</f>
        <v>2032</v>
      </c>
      <c r="T89" s="465" cm="1" t="str">
        <f t="array" ref="T89:T89">T88</f>
        <v>false</v>
      </c>
      <c r="AB89" s="255" t="str">
        <f>K89&amp;" год"</f>
        <v>2032 год</v>
      </c>
      <c r="AC89" s="408"/>
      <c r="AD89" s="71"/>
      <c r="AE89" s="70"/>
      <c r="AF89" s="70"/>
      <c r="AG89" s="71"/>
      <c r="AH89" s="70"/>
      <c r="AI89" s="71"/>
      <c r="AJ89" s="70"/>
      <c r="AK89" s="72"/>
      <c r="AL89" s="403"/>
      <c r="AN89" s="1064" cm="1" t="str">
        <f t="array" ref="AN89:AN89">K89</f>
        <v>2032</v>
      </c>
      <c r="AO89" s="1064" t="s">
        <v>2977</v>
      </c>
      <c r="AP89" s="1074" cm="1" t="str">
        <f t="array" ref="AP89:AP89">AP88</f>
        <v>0</v>
      </c>
      <c r="AQ89" s="703"/>
      <c r="AR89" s="703"/>
    </row>
    <row s="8219" customFormat="1" customHeight="1" ht="14.25" hidden="1">
      <c r="B90" s="445">
        <f>K90&lt;first_year+PERIOD_LENGTH</f>
        <v>0</v>
      </c>
      <c r="E90" s="703">
        <v>15</v>
      </c>
      <c r="F90" s="50" cm="1" t="str">
        <f t="array" ref="F90:F90">OFFSET(E90,-1,1)</f>
        <v>1</v>
      </c>
      <c r="G90" s="98" cm="1" t="str">
        <f t="array" ref="G90:G90">G89</f>
        <v>0</v>
      </c>
      <c r="K90" s="158">
        <f>first_year+7</f>
        <v>2033</v>
      </c>
      <c r="T90" s="465" cm="1" t="str">
        <f t="array" ref="T90:T90">T89</f>
        <v>false</v>
      </c>
      <c r="AB90" s="255" t="str">
        <f>K90&amp;" год"</f>
        <v>2033 год</v>
      </c>
      <c r="AC90" s="408"/>
      <c r="AD90" s="71"/>
      <c r="AE90" s="70"/>
      <c r="AF90" s="70"/>
      <c r="AG90" s="71"/>
      <c r="AH90" s="70"/>
      <c r="AI90" s="71"/>
      <c r="AJ90" s="70"/>
      <c r="AK90" s="72"/>
      <c r="AL90" s="403"/>
      <c r="AN90" s="1064" cm="1" t="str">
        <f t="array" ref="AN90:AN90">K90</f>
        <v>2033</v>
      </c>
      <c r="AO90" s="1064" t="s">
        <v>2977</v>
      </c>
      <c r="AP90" s="1074" cm="1" t="str">
        <f t="array" ref="AP90:AP90">AP89</f>
        <v>0</v>
      </c>
      <c r="AQ90" s="703"/>
      <c r="AR90" s="703"/>
    </row>
    <row s="8220" customFormat="1" customHeight="1" ht="14.25" hidden="1">
      <c r="B91" s="445">
        <f>K91&lt;first_year+PERIOD_LENGTH</f>
        <v>0</v>
      </c>
      <c r="E91" s="703">
        <v>15</v>
      </c>
      <c r="F91" s="50" cm="1" t="str">
        <f t="array" ref="F91:F91">OFFSET(E91,-1,1)</f>
        <v>1</v>
      </c>
      <c r="G91" s="98" cm="1" t="str">
        <f t="array" ref="G91:G91">G90</f>
        <v>0</v>
      </c>
      <c r="K91" s="158">
        <f>first_year+8</f>
        <v>2034</v>
      </c>
      <c r="T91" s="465" cm="1" t="str">
        <f t="array" ref="T91:T91">T90</f>
        <v>false</v>
      </c>
      <c r="AB91" s="255" t="str">
        <f>K91&amp;" год"</f>
        <v>2034 год</v>
      </c>
      <c r="AC91" s="408"/>
      <c r="AD91" s="71"/>
      <c r="AE91" s="70"/>
      <c r="AF91" s="70"/>
      <c r="AG91" s="71"/>
      <c r="AH91" s="70"/>
      <c r="AI91" s="71"/>
      <c r="AJ91" s="70"/>
      <c r="AK91" s="72"/>
      <c r="AL91" s="403"/>
      <c r="AN91" s="1064" cm="1" t="str">
        <f t="array" ref="AN91:AN91">K91</f>
        <v>2034</v>
      </c>
      <c r="AO91" s="1064" t="s">
        <v>2977</v>
      </c>
      <c r="AP91" s="1074" cm="1" t="str">
        <f t="array" ref="AP91:AP91">AP90</f>
        <v>0</v>
      </c>
      <c r="AQ91" s="703"/>
      <c r="AR91" s="703"/>
    </row>
    <row s="8221" customFormat="1" customHeight="1" ht="14.25" hidden="1">
      <c r="B92" s="445">
        <f>K92&lt;first_year+PERIOD_LENGTH</f>
        <v>0</v>
      </c>
      <c r="E92" s="703">
        <v>15</v>
      </c>
      <c r="F92" s="50" cm="1" t="str">
        <f t="array" ref="F92:F92">OFFSET(E92,-1,1)</f>
        <v>1</v>
      </c>
      <c r="G92" s="98" cm="1" t="str">
        <f t="array" ref="G92:G92">G91</f>
        <v>0</v>
      </c>
      <c r="K92" s="158">
        <f>first_year+9</f>
        <v>2035</v>
      </c>
      <c r="T92" s="465" cm="1" t="str">
        <f t="array" ref="T92:T92">T91</f>
        <v>false</v>
      </c>
      <c r="AB92" s="255" t="str">
        <f>K92&amp;" год"</f>
        <v>2035 год</v>
      </c>
      <c r="AC92" s="408"/>
      <c r="AD92" s="71"/>
      <c r="AE92" s="70"/>
      <c r="AF92" s="70"/>
      <c r="AG92" s="71"/>
      <c r="AH92" s="70"/>
      <c r="AI92" s="71"/>
      <c r="AJ92" s="70"/>
      <c r="AK92" s="72"/>
      <c r="AL92" s="403"/>
      <c r="AN92" s="1064" cm="1" t="str">
        <f t="array" ref="AN92:AN92">K92</f>
        <v>2035</v>
      </c>
      <c r="AO92" s="1064" t="s">
        <v>2977</v>
      </c>
      <c r="AP92" s="1074" cm="1" t="str">
        <f t="array" ref="AP92:AP92">AP91</f>
        <v>0</v>
      </c>
      <c r="AQ92" s="703"/>
      <c r="AR92" s="703"/>
    </row>
    <row s="8222" customFormat="1" customHeight="1" ht="14.25" hidden="1">
      <c r="B93" s="445">
        <f>K93&lt;first_year+PERIOD_LENGTH</f>
        <v>0</v>
      </c>
      <c r="E93" s="703">
        <v>15</v>
      </c>
      <c r="F93" s="50" cm="1" t="str">
        <f t="array" ref="F93:F93">OFFSET(E93,-1,1)</f>
        <v>1</v>
      </c>
      <c r="G93" s="98" cm="1" t="str">
        <f t="array" ref="G93:G93">G92</f>
        <v>0</v>
      </c>
      <c r="K93" s="158">
        <f>first_year+10</f>
        <v>2036</v>
      </c>
      <c r="T93" s="465" cm="1" t="str">
        <f t="array" ref="T93:T93">T92</f>
        <v>false</v>
      </c>
      <c r="AB93" s="255" t="str">
        <f>K93&amp;" год"</f>
        <v>2036 год</v>
      </c>
      <c r="AC93" s="408"/>
      <c r="AD93" s="71"/>
      <c r="AE93" s="70"/>
      <c r="AF93" s="70"/>
      <c r="AG93" s="71"/>
      <c r="AH93" s="70"/>
      <c r="AI93" s="71"/>
      <c r="AJ93" s="70"/>
      <c r="AK93" s="72"/>
      <c r="AL93" s="403"/>
      <c r="AN93" s="1064" cm="1" t="str">
        <f t="array" ref="AN93:AN93">K93</f>
        <v>2036</v>
      </c>
      <c r="AO93" s="1064" t="s">
        <v>2977</v>
      </c>
      <c r="AP93" s="1074" cm="1" t="str">
        <f t="array" ref="AP93:AP93">AP92</f>
        <v>0</v>
      </c>
      <c r="AQ93" s="703"/>
      <c r="AR93" s="703"/>
    </row>
    <row s="8223" customFormat="1" customHeight="1" ht="14.25" hidden="1">
      <c r="B94" s="445">
        <f>K94&lt;first_year+PERIOD_LENGTH</f>
        <v>0</v>
      </c>
      <c r="E94" s="703">
        <v>15</v>
      </c>
      <c r="F94" s="50" cm="1" t="str">
        <f t="array" ref="F94:F94">OFFSET(E94,-1,1)</f>
        <v>1</v>
      </c>
      <c r="G94" s="98" cm="1" t="str">
        <f t="array" ref="G94:G94">G93</f>
        <v>0</v>
      </c>
      <c r="K94" s="158">
        <f>first_year+11</f>
        <v>2037</v>
      </c>
      <c r="T94" s="465" cm="1" t="str">
        <f t="array" ref="T94:T94">T93</f>
        <v>false</v>
      </c>
      <c r="AB94" s="255" t="str">
        <f>K94&amp;" год"</f>
        <v>2037 год</v>
      </c>
      <c r="AC94" s="408"/>
      <c r="AD94" s="71"/>
      <c r="AE94" s="70"/>
      <c r="AF94" s="70"/>
      <c r="AG94" s="71"/>
      <c r="AH94" s="70"/>
      <c r="AI94" s="71"/>
      <c r="AJ94" s="70"/>
      <c r="AK94" s="72"/>
      <c r="AL94" s="403"/>
      <c r="AN94" s="1064" cm="1" t="str">
        <f t="array" ref="AN94:AN94">K94</f>
        <v>2037</v>
      </c>
      <c r="AO94" s="1064" t="s">
        <v>2977</v>
      </c>
      <c r="AP94" s="1074" cm="1" t="str">
        <f t="array" ref="AP94:AP94">AP93</f>
        <v>0</v>
      </c>
      <c r="AQ94" s="703"/>
      <c r="AR94" s="703"/>
    </row>
    <row s="8224" customFormat="1" customHeight="1" ht="14.25" hidden="1">
      <c r="B95" s="445">
        <f>K95&lt;first_year+PERIOD_LENGTH</f>
        <v>0</v>
      </c>
      <c r="E95" s="703">
        <v>15</v>
      </c>
      <c r="F95" s="50" cm="1" t="str">
        <f t="array" ref="F95:F95">OFFSET(E95,-1,1)</f>
        <v>1</v>
      </c>
      <c r="G95" s="98" cm="1" t="str">
        <f t="array" ref="G95:G95">G94</f>
        <v>0</v>
      </c>
      <c r="K95" s="158">
        <f>first_year+12</f>
        <v>2038</v>
      </c>
      <c r="T95" s="465" cm="1" t="str">
        <f t="array" ref="T95:T95">T94</f>
        <v>false</v>
      </c>
      <c r="AB95" s="255" t="str">
        <f>K95&amp;" год"</f>
        <v>2038 год</v>
      </c>
      <c r="AC95" s="408"/>
      <c r="AD95" s="71"/>
      <c r="AE95" s="70"/>
      <c r="AF95" s="70"/>
      <c r="AG95" s="71"/>
      <c r="AH95" s="70"/>
      <c r="AI95" s="71"/>
      <c r="AJ95" s="70"/>
      <c r="AK95" s="72"/>
      <c r="AL95" s="403"/>
      <c r="AN95" s="1064" cm="1" t="str">
        <f t="array" ref="AN95:AN95">K95</f>
        <v>2038</v>
      </c>
      <c r="AO95" s="1064" t="s">
        <v>2977</v>
      </c>
      <c r="AP95" s="1074" cm="1" t="str">
        <f t="array" ref="AP95:AP95">AP94</f>
        <v>0</v>
      </c>
      <c r="AQ95" s="703"/>
      <c r="AR95" s="703"/>
    </row>
    <row s="8225" customFormat="1" customHeight="1" ht="14.25" hidden="1">
      <c r="B96" s="445">
        <f>K96&lt;first_year+PERIOD_LENGTH</f>
        <v>0</v>
      </c>
      <c r="E96" s="703">
        <v>15</v>
      </c>
      <c r="F96" s="50" cm="1" t="str">
        <f t="array" ref="F96:F96">OFFSET(E96,-1,1)</f>
        <v>1</v>
      </c>
      <c r="G96" s="98" cm="1" t="str">
        <f t="array" ref="G96:G96">G95</f>
        <v>0</v>
      </c>
      <c r="K96" s="158">
        <f>first_year+13</f>
        <v>2039</v>
      </c>
      <c r="T96" s="465" cm="1" t="str">
        <f t="array" ref="T96:T96">T95</f>
        <v>false</v>
      </c>
      <c r="AB96" s="255" t="str">
        <f>K96&amp;" год"</f>
        <v>2039 год</v>
      </c>
      <c r="AC96" s="408"/>
      <c r="AD96" s="71"/>
      <c r="AE96" s="70"/>
      <c r="AF96" s="70"/>
      <c r="AG96" s="71"/>
      <c r="AH96" s="70"/>
      <c r="AI96" s="71"/>
      <c r="AJ96" s="70"/>
      <c r="AK96" s="72"/>
      <c r="AL96" s="403"/>
      <c r="AN96" s="1064" cm="1" t="str">
        <f t="array" ref="AN96:AN96">K96</f>
        <v>2039</v>
      </c>
      <c r="AO96" s="1064" t="s">
        <v>2977</v>
      </c>
      <c r="AP96" s="1074" cm="1" t="str">
        <f t="array" ref="AP96:AP96">AP95</f>
        <v>0</v>
      </c>
      <c r="AQ96" s="703"/>
      <c r="AR96" s="703"/>
    </row>
    <row s="8226" customFormat="1" customHeight="1" ht="14.25" hidden="1">
      <c r="B97" s="445">
        <f>K97&lt;first_year+PERIOD_LENGTH</f>
        <v>0</v>
      </c>
      <c r="E97" s="703">
        <v>15</v>
      </c>
      <c r="F97" s="50" cm="1" t="str">
        <f t="array" ref="F97:F97">OFFSET(E97,-1,1)</f>
        <v>1</v>
      </c>
      <c r="G97" s="98" cm="1" t="str">
        <f t="array" ref="G97:G97">G96</f>
        <v>0</v>
      </c>
      <c r="K97" s="158">
        <f>first_year+14</f>
        <v>2040</v>
      </c>
      <c r="T97" s="465" cm="1" t="str">
        <f t="array" ref="T97:T97">T96</f>
        <v>false</v>
      </c>
      <c r="AB97" s="255" t="str">
        <f>K97&amp;" год"</f>
        <v>2040 год</v>
      </c>
      <c r="AC97" s="408"/>
      <c r="AD97" s="71"/>
      <c r="AE97" s="70"/>
      <c r="AF97" s="70"/>
      <c r="AG97" s="71"/>
      <c r="AH97" s="70"/>
      <c r="AI97" s="71"/>
      <c r="AJ97" s="70"/>
      <c r="AK97" s="72"/>
      <c r="AL97" s="403"/>
      <c r="AN97" s="1064" cm="1" t="str">
        <f t="array" ref="AN97:AN97">K97</f>
        <v>2040</v>
      </c>
      <c r="AO97" s="1064" t="s">
        <v>2977</v>
      </c>
      <c r="AP97" s="1074" cm="1" t="str">
        <f t="array" ref="AP97:AP97">AP96</f>
        <v>0</v>
      </c>
      <c r="AQ97" s="703"/>
      <c r="AR97" s="703"/>
    </row>
    <row s="8227" customFormat="1" customHeight="1" ht="14.25" hidden="1">
      <c r="B98" s="445">
        <f>K98&lt;first_year+PERIOD_LENGTH</f>
        <v>0</v>
      </c>
      <c r="E98" s="703">
        <v>15</v>
      </c>
      <c r="F98" s="50" cm="1" t="str">
        <f t="array" ref="F98:F98">OFFSET(E98,-1,1)</f>
        <v>1</v>
      </c>
      <c r="G98" s="98" cm="1" t="str">
        <f t="array" ref="G98:G98">G97</f>
        <v>0</v>
      </c>
      <c r="K98" s="158">
        <f>first_year+15</f>
        <v>2041</v>
      </c>
      <c r="T98" s="465" cm="1" t="str">
        <f t="array" ref="T98:T98">T97</f>
        <v>false</v>
      </c>
      <c r="AB98" s="255" t="str">
        <f>K98&amp;" год"</f>
        <v>2041 год</v>
      </c>
      <c r="AC98" s="408"/>
      <c r="AD98" s="71"/>
      <c r="AE98" s="70"/>
      <c r="AF98" s="70"/>
      <c r="AG98" s="71"/>
      <c r="AH98" s="70"/>
      <c r="AI98" s="71"/>
      <c r="AJ98" s="70"/>
      <c r="AK98" s="72"/>
      <c r="AL98" s="403"/>
      <c r="AN98" s="1064" cm="1" t="str">
        <f t="array" ref="AN98:AN98">K98</f>
        <v>2041</v>
      </c>
      <c r="AO98" s="1064" t="s">
        <v>2977</v>
      </c>
      <c r="AP98" s="1074" cm="1" t="str">
        <f t="array" ref="AP98:AP98">AP97</f>
        <v>0</v>
      </c>
      <c r="AQ98" s="703"/>
      <c r="AR98" s="703"/>
    </row>
    <row s="8228" customFormat="1" customHeight="1" ht="14.25" hidden="1">
      <c r="B99" s="445">
        <f>K99&lt;first_year+PERIOD_LENGTH</f>
        <v>0</v>
      </c>
      <c r="E99" s="703">
        <v>15</v>
      </c>
      <c r="F99" s="50" cm="1" t="str">
        <f t="array" ref="F99:F99">OFFSET(E99,-1,1)</f>
        <v>1</v>
      </c>
      <c r="G99" s="98" cm="1" t="str">
        <f t="array" ref="G99:G99">G98</f>
        <v>0</v>
      </c>
      <c r="K99" s="158">
        <f>first_year+16</f>
        <v>2042</v>
      </c>
      <c r="T99" s="465" cm="1" t="str">
        <f t="array" ref="T99:T99">T98</f>
        <v>false</v>
      </c>
      <c r="AB99" s="255" t="str">
        <f>K99&amp;" год"</f>
        <v>2042 год</v>
      </c>
      <c r="AC99" s="408"/>
      <c r="AD99" s="71"/>
      <c r="AE99" s="70"/>
      <c r="AF99" s="70"/>
      <c r="AG99" s="71"/>
      <c r="AH99" s="70"/>
      <c r="AI99" s="71"/>
      <c r="AJ99" s="70"/>
      <c r="AK99" s="72"/>
      <c r="AL99" s="403"/>
      <c r="AN99" s="1064" cm="1" t="str">
        <f t="array" ref="AN99:AN99">K99</f>
        <v>2042</v>
      </c>
      <c r="AO99" s="1064" t="s">
        <v>2977</v>
      </c>
      <c r="AP99" s="1074" cm="1" t="str">
        <f t="array" ref="AP99:AP99">AP98</f>
        <v>0</v>
      </c>
      <c r="AQ99" s="703"/>
      <c r="AR99" s="703"/>
    </row>
    <row s="8229" customFormat="1" customHeight="1" ht="14.25" hidden="1">
      <c r="B100" s="445">
        <f>K100&lt;first_year+PERIOD_LENGTH</f>
        <v>0</v>
      </c>
      <c r="E100" s="703">
        <v>15</v>
      </c>
      <c r="F100" s="50" cm="1" t="str">
        <f t="array" ref="F100:F100">OFFSET(E100,-1,1)</f>
        <v>1</v>
      </c>
      <c r="G100" s="98" cm="1" t="str">
        <f t="array" ref="G100:G100">G99</f>
        <v>0</v>
      </c>
      <c r="K100" s="158">
        <f>first_year+17</f>
        <v>2043</v>
      </c>
      <c r="T100" s="465" cm="1" t="str">
        <f t="array" ref="T100:T100">T99</f>
        <v>false</v>
      </c>
      <c r="AB100" s="255" t="str">
        <f>K100&amp;" год"</f>
        <v>2043 год</v>
      </c>
      <c r="AC100" s="408"/>
      <c r="AD100" s="71"/>
      <c r="AE100" s="70"/>
      <c r="AF100" s="70"/>
      <c r="AG100" s="71"/>
      <c r="AH100" s="70"/>
      <c r="AI100" s="71"/>
      <c r="AJ100" s="70"/>
      <c r="AK100" s="72"/>
      <c r="AL100" s="403"/>
      <c r="AN100" s="1064" cm="1" t="str">
        <f t="array" ref="AN100:AN100">K100</f>
        <v>2043</v>
      </c>
      <c r="AO100" s="1064" t="s">
        <v>2977</v>
      </c>
      <c r="AP100" s="1074" cm="1" t="str">
        <f t="array" ref="AP100:AP100">AP99</f>
        <v>0</v>
      </c>
      <c r="AQ100" s="703"/>
      <c r="AR100" s="703"/>
    </row>
    <row s="8230" customFormat="1" customHeight="1" ht="14.25" hidden="1">
      <c r="B101" s="445">
        <f>K101&lt;first_year+PERIOD_LENGTH</f>
        <v>0</v>
      </c>
      <c r="E101" s="703">
        <v>15</v>
      </c>
      <c r="F101" s="50" cm="1" t="str">
        <f t="array" ref="F101:F101">OFFSET(E101,-1,1)</f>
        <v>1</v>
      </c>
      <c r="G101" s="98" cm="1" t="str">
        <f t="array" ref="G101:G101">G100</f>
        <v>0</v>
      </c>
      <c r="K101" s="158">
        <f>first_year+18</f>
        <v>2044</v>
      </c>
      <c r="T101" s="465" cm="1" t="str">
        <f t="array" ref="T101:T101">T100</f>
        <v>false</v>
      </c>
      <c r="AB101" s="255" t="str">
        <f>K101&amp;" год"</f>
        <v>2044 год</v>
      </c>
      <c r="AC101" s="408"/>
      <c r="AD101" s="71"/>
      <c r="AE101" s="70"/>
      <c r="AF101" s="70"/>
      <c r="AG101" s="71"/>
      <c r="AH101" s="70"/>
      <c r="AI101" s="71"/>
      <c r="AJ101" s="70"/>
      <c r="AK101" s="72"/>
      <c r="AL101" s="403"/>
      <c r="AN101" s="1064" cm="1" t="str">
        <f t="array" ref="AN101:AN101">K101</f>
        <v>2044</v>
      </c>
      <c r="AO101" s="1064" t="s">
        <v>2977</v>
      </c>
      <c r="AP101" s="1074" cm="1" t="str">
        <f t="array" ref="AP101:AP101">AP100</f>
        <v>0</v>
      </c>
      <c r="AQ101" s="703"/>
      <c r="AR101" s="703"/>
    </row>
    <row s="8231" customFormat="1" customHeight="1" ht="14.25" hidden="1">
      <c r="B102" s="445">
        <f>K102&lt;first_year+PERIOD_LENGTH</f>
        <v>0</v>
      </c>
      <c r="E102" s="703">
        <v>15</v>
      </c>
      <c r="F102" s="50" cm="1" t="str">
        <f t="array" ref="F102:F102">OFFSET(E102,-1,1)</f>
        <v>1</v>
      </c>
      <c r="G102" s="98" cm="1" t="str">
        <f t="array" ref="G102:G102">G101</f>
        <v>0</v>
      </c>
      <c r="K102" s="158">
        <f>first_year+19</f>
        <v>2045</v>
      </c>
      <c r="T102" s="465" cm="1" t="str">
        <f t="array" ref="T102:T102">T101</f>
        <v>false</v>
      </c>
      <c r="AB102" s="255" t="str">
        <f>K102&amp;" год"</f>
        <v>2045 год</v>
      </c>
      <c r="AC102" s="408"/>
      <c r="AD102" s="71"/>
      <c r="AE102" s="70"/>
      <c r="AF102" s="70"/>
      <c r="AG102" s="71"/>
      <c r="AH102" s="70"/>
      <c r="AI102" s="71"/>
      <c r="AJ102" s="70"/>
      <c r="AK102" s="72"/>
      <c r="AL102" s="403"/>
      <c r="AN102" s="1064" cm="1" t="str">
        <f t="array" ref="AN102:AN102">K102</f>
        <v>2045</v>
      </c>
      <c r="AO102" s="1064" t="s">
        <v>2977</v>
      </c>
      <c r="AP102" s="1074" cm="1" t="str">
        <f t="array" ref="AP102:AP102">AP101</f>
        <v>0</v>
      </c>
      <c r="AQ102" s="703"/>
      <c r="AR102" s="703"/>
    </row>
    <row s="8232" customFormat="1" customHeight="1" ht="14.25" hidden="1">
      <c r="B103" s="445">
        <f>K103&lt;first_year+PERIOD_LENGTH</f>
        <v>0</v>
      </c>
      <c r="E103" s="703">
        <v>15</v>
      </c>
      <c r="F103" s="50" cm="1" t="str">
        <f t="array" ref="F103:F103">OFFSET(E103,-1,1)</f>
        <v>1</v>
      </c>
      <c r="G103" s="98" cm="1" t="str">
        <f t="array" ref="G103:G103">G102</f>
        <v>0</v>
      </c>
      <c r="K103" s="158">
        <f>first_year+20</f>
        <v>2046</v>
      </c>
      <c r="T103" s="465" cm="1" t="str">
        <f t="array" ref="T103:T103">T102</f>
        <v>false</v>
      </c>
      <c r="AB103" s="255" t="str">
        <f>K103&amp;" год"</f>
        <v>2046 год</v>
      </c>
      <c r="AC103" s="408"/>
      <c r="AD103" s="71"/>
      <c r="AE103" s="70"/>
      <c r="AF103" s="70"/>
      <c r="AG103" s="71"/>
      <c r="AH103" s="70"/>
      <c r="AI103" s="71"/>
      <c r="AJ103" s="70"/>
      <c r="AK103" s="72"/>
      <c r="AL103" s="403"/>
      <c r="AN103" s="1064" cm="1" t="str">
        <f t="array" ref="AN103:AN103">K103</f>
        <v>2046</v>
      </c>
      <c r="AO103" s="1064" t="s">
        <v>2977</v>
      </c>
      <c r="AP103" s="1074" cm="1" t="str">
        <f t="array" ref="AP103:AP103">AP102</f>
        <v>0</v>
      </c>
      <c r="AQ103" s="703"/>
      <c r="AR103" s="703"/>
    </row>
    <row s="8233" customFormat="1" customHeight="1" ht="14.25" hidden="1">
      <c r="B104" s="445">
        <f>K104&lt;first_year+PERIOD_LENGTH</f>
        <v>0</v>
      </c>
      <c r="E104" s="703">
        <v>15</v>
      </c>
      <c r="F104" s="50" cm="1" t="str">
        <f t="array" ref="F104:F104">OFFSET(E104,-1,1)</f>
        <v>1</v>
      </c>
      <c r="G104" s="98" cm="1" t="str">
        <f t="array" ref="G104:G104">G103</f>
        <v>0</v>
      </c>
      <c r="K104" s="158">
        <f>first_year+21</f>
        <v>2047</v>
      </c>
      <c r="T104" s="465" cm="1" t="str">
        <f t="array" ref="T104:T104">T103</f>
        <v>false</v>
      </c>
      <c r="AB104" s="255" t="str">
        <f>K104&amp;" год"</f>
        <v>2047 год</v>
      </c>
      <c r="AC104" s="408"/>
      <c r="AD104" s="71"/>
      <c r="AE104" s="70"/>
      <c r="AF104" s="70"/>
      <c r="AG104" s="71"/>
      <c r="AH104" s="70"/>
      <c r="AI104" s="71"/>
      <c r="AJ104" s="70"/>
      <c r="AK104" s="72"/>
      <c r="AL104" s="403"/>
      <c r="AN104" s="1064" cm="1" t="str">
        <f t="array" ref="AN104:AN104">K104</f>
        <v>2047</v>
      </c>
      <c r="AO104" s="1064" t="s">
        <v>2977</v>
      </c>
      <c r="AP104" s="1074" cm="1" t="str">
        <f t="array" ref="AP104:AP104">AP103</f>
        <v>0</v>
      </c>
      <c r="AQ104" s="703"/>
      <c r="AR104" s="703"/>
    </row>
    <row s="8234" customFormat="1" customHeight="1" ht="14.25" hidden="1">
      <c r="B105" s="445">
        <f>K105&lt;first_year+PERIOD_LENGTH</f>
        <v>0</v>
      </c>
      <c r="E105" s="703">
        <v>15</v>
      </c>
      <c r="F105" s="50" cm="1" t="str">
        <f t="array" ref="F105:F105">OFFSET(E105,-1,1)</f>
        <v>1</v>
      </c>
      <c r="G105" s="98" cm="1" t="str">
        <f t="array" ref="G105:G105">G104</f>
        <v>0</v>
      </c>
      <c r="K105" s="158">
        <f>first_year+22</f>
        <v>2048</v>
      </c>
      <c r="T105" s="465" cm="1" t="str">
        <f t="array" ref="T105:T105">T104</f>
        <v>false</v>
      </c>
      <c r="AB105" s="255" t="str">
        <f>K105&amp;" год"</f>
        <v>2048 год</v>
      </c>
      <c r="AC105" s="408"/>
      <c r="AD105" s="71"/>
      <c r="AE105" s="70"/>
      <c r="AF105" s="70"/>
      <c r="AG105" s="71"/>
      <c r="AH105" s="70"/>
      <c r="AI105" s="71"/>
      <c r="AJ105" s="70"/>
      <c r="AK105" s="72"/>
      <c r="AL105" s="403"/>
      <c r="AN105" s="1064" cm="1" t="str">
        <f t="array" ref="AN105:AN105">K105</f>
        <v>2048</v>
      </c>
      <c r="AO105" s="1064" t="s">
        <v>2977</v>
      </c>
      <c r="AP105" s="1074" cm="1" t="str">
        <f t="array" ref="AP105:AP105">AP104</f>
        <v>0</v>
      </c>
      <c r="AQ105" s="703"/>
      <c r="AR105" s="703"/>
    </row>
    <row s="8235" customFormat="1" customHeight="1" ht="14.25" hidden="1">
      <c r="B106" s="445">
        <f>K106&lt;first_year+PERIOD_LENGTH</f>
        <v>0</v>
      </c>
      <c r="E106" s="703">
        <v>15</v>
      </c>
      <c r="F106" s="50" cm="1" t="str">
        <f t="array" ref="F106:F106">OFFSET(E106,-1,1)</f>
        <v>1</v>
      </c>
      <c r="G106" s="98" cm="1" t="str">
        <f t="array" ref="G106:G106">G105</f>
        <v>0</v>
      </c>
      <c r="K106" s="158">
        <f>first_year+23</f>
        <v>2049</v>
      </c>
      <c r="T106" s="465" cm="1" t="str">
        <f t="array" ref="T106:T106">T105</f>
        <v>false</v>
      </c>
      <c r="AB106" s="255" t="str">
        <f>K106&amp;" год"</f>
        <v>2049 год</v>
      </c>
      <c r="AC106" s="408"/>
      <c r="AD106" s="71"/>
      <c r="AE106" s="70"/>
      <c r="AF106" s="70"/>
      <c r="AG106" s="71"/>
      <c r="AH106" s="70"/>
      <c r="AI106" s="71"/>
      <c r="AJ106" s="70"/>
      <c r="AK106" s="72"/>
      <c r="AL106" s="403"/>
      <c r="AN106" s="1064" cm="1" t="str">
        <f t="array" ref="AN106:AN106">K106</f>
        <v>2049</v>
      </c>
      <c r="AO106" s="1064" t="s">
        <v>2977</v>
      </c>
      <c r="AP106" s="1074" cm="1" t="str">
        <f t="array" ref="AP106:AP106">AP105</f>
        <v>0</v>
      </c>
      <c r="AQ106" s="703"/>
      <c r="AR106" s="703"/>
    </row>
    <row s="8236" customFormat="1" customHeight="1" ht="14.25" hidden="1">
      <c r="B107" s="445">
        <f>K107&lt;first_year+PERIOD_LENGTH</f>
        <v>0</v>
      </c>
      <c r="E107" s="703">
        <v>15</v>
      </c>
      <c r="F107" s="50" cm="1" t="str">
        <f t="array" ref="F107:F107">OFFSET(E107,-1,1)</f>
        <v>1</v>
      </c>
      <c r="G107" s="98" cm="1" t="str">
        <f t="array" ref="G107:G107">G106</f>
        <v>0</v>
      </c>
      <c r="K107" s="158">
        <f>first_year+24</f>
        <v>2050</v>
      </c>
      <c r="T107" s="465" cm="1" t="str">
        <f t="array" ref="T107:T107">T106</f>
        <v>false</v>
      </c>
      <c r="AB107" s="255" t="str">
        <f>K107&amp;" год"</f>
        <v>2050 год</v>
      </c>
      <c r="AC107" s="408"/>
      <c r="AD107" s="71"/>
      <c r="AE107" s="70"/>
      <c r="AF107" s="70"/>
      <c r="AG107" s="71"/>
      <c r="AH107" s="70"/>
      <c r="AI107" s="71"/>
      <c r="AJ107" s="70"/>
      <c r="AK107" s="72"/>
      <c r="AL107" s="403"/>
      <c r="AN107" s="1064" cm="1" t="str">
        <f t="array" ref="AN107:AN107">K107</f>
        <v>2050</v>
      </c>
      <c r="AO107" s="1064" t="s">
        <v>2977</v>
      </c>
      <c r="AP107" s="1074" cm="1" t="str">
        <f t="array" ref="AP107:AP107">AP106</f>
        <v>0</v>
      </c>
      <c r="AQ107" s="703"/>
      <c r="AR107" s="703"/>
    </row>
    <row s="8237" customFormat="1" customHeight="1" ht="14.25" hidden="1">
      <c r="B108" s="445">
        <f>K108&lt;first_year+PERIOD_LENGTH</f>
        <v>0</v>
      </c>
      <c r="E108" s="703">
        <v>15</v>
      </c>
      <c r="F108" s="50" cm="1" t="str">
        <f t="array" ref="F108:F108">OFFSET(E108,-1,1)</f>
        <v>1</v>
      </c>
      <c r="G108" s="98" cm="1" t="str">
        <f t="array" ref="G108:G108">G107</f>
        <v>0</v>
      </c>
      <c r="K108" s="158">
        <f>first_year+25</f>
        <v>2051</v>
      </c>
      <c r="T108" s="465" cm="1" t="str">
        <f t="array" ref="T108:T108">T107</f>
        <v>false</v>
      </c>
      <c r="AB108" s="255" t="str">
        <f>K108&amp;" год"</f>
        <v>2051 год</v>
      </c>
      <c r="AC108" s="408"/>
      <c r="AD108" s="71"/>
      <c r="AE108" s="70"/>
      <c r="AF108" s="70"/>
      <c r="AG108" s="71"/>
      <c r="AH108" s="70"/>
      <c r="AI108" s="71"/>
      <c r="AJ108" s="70"/>
      <c r="AK108" s="72"/>
      <c r="AL108" s="403"/>
      <c r="AN108" s="1064" cm="1" t="str">
        <f t="array" ref="AN108:AN108">K108</f>
        <v>2051</v>
      </c>
      <c r="AO108" s="1064" t="s">
        <v>2977</v>
      </c>
      <c r="AP108" s="1074" cm="1" t="str">
        <f t="array" ref="AP108:AP108">AP107</f>
        <v>0</v>
      </c>
      <c r="AQ108" s="703"/>
      <c r="AR108" s="703"/>
    </row>
    <row s="8238" customFormat="1" customHeight="1" ht="14.25" hidden="1">
      <c r="B109" s="445">
        <f>K109&lt;first_year+PERIOD_LENGTH</f>
        <v>0</v>
      </c>
      <c r="E109" s="703">
        <v>15</v>
      </c>
      <c r="F109" s="50" cm="1" t="str">
        <f t="array" ref="F109:F109">OFFSET(E109,-1,1)</f>
        <v>1</v>
      </c>
      <c r="G109" s="98" cm="1" t="str">
        <f t="array" ref="G109:G109">G108</f>
        <v>0</v>
      </c>
      <c r="K109" s="158">
        <f>first_year+26</f>
        <v>2052</v>
      </c>
      <c r="T109" s="465" cm="1" t="str">
        <f t="array" ref="T109:T109">T108</f>
        <v>false</v>
      </c>
      <c r="AB109" s="255" t="str">
        <f>K109&amp;" год"</f>
        <v>2052 год</v>
      </c>
      <c r="AC109" s="408"/>
      <c r="AD109" s="71"/>
      <c r="AE109" s="70"/>
      <c r="AF109" s="70"/>
      <c r="AG109" s="71"/>
      <c r="AH109" s="70"/>
      <c r="AI109" s="71"/>
      <c r="AJ109" s="70"/>
      <c r="AK109" s="72"/>
      <c r="AL109" s="403"/>
      <c r="AN109" s="1064" cm="1" t="str">
        <f t="array" ref="AN109:AN109">K109</f>
        <v>2052</v>
      </c>
      <c r="AO109" s="1064" t="s">
        <v>2977</v>
      </c>
      <c r="AP109" s="1074" cm="1" t="str">
        <f t="array" ref="AP109:AP109">AP108</f>
        <v>0</v>
      </c>
      <c r="AQ109" s="703"/>
      <c r="AR109" s="703"/>
    </row>
    <row s="8239" customFormat="1" customHeight="1" ht="14.25" hidden="1">
      <c r="B110" s="445">
        <f>K110&lt;first_year+PERIOD_LENGTH</f>
        <v>0</v>
      </c>
      <c r="E110" s="703">
        <v>15</v>
      </c>
      <c r="F110" s="50" cm="1" t="str">
        <f t="array" ref="F110:F110">OFFSET(E110,-1,1)</f>
        <v>1</v>
      </c>
      <c r="G110" s="98" cm="1" t="str">
        <f t="array" ref="G110:G110">G109</f>
        <v>0</v>
      </c>
      <c r="K110" s="158">
        <f>first_year+27</f>
        <v>2053</v>
      </c>
      <c r="T110" s="465" cm="1" t="str">
        <f t="array" ref="T110:T110">T109</f>
        <v>false</v>
      </c>
      <c r="AB110" s="255" t="str">
        <f>K110&amp;" год"</f>
        <v>2053 год</v>
      </c>
      <c r="AC110" s="408"/>
      <c r="AD110" s="71"/>
      <c r="AE110" s="70"/>
      <c r="AF110" s="70"/>
      <c r="AG110" s="71"/>
      <c r="AH110" s="70"/>
      <c r="AI110" s="71"/>
      <c r="AJ110" s="70"/>
      <c r="AK110" s="72"/>
      <c r="AL110" s="403"/>
      <c r="AN110" s="1064" cm="1" t="str">
        <f t="array" ref="AN110:AN110">K110</f>
        <v>2053</v>
      </c>
      <c r="AO110" s="1064" t="s">
        <v>2977</v>
      </c>
      <c r="AP110" s="1074" cm="1" t="str">
        <f t="array" ref="AP110:AP110">AP109</f>
        <v>0</v>
      </c>
      <c r="AQ110" s="703"/>
      <c r="AR110" s="703"/>
    </row>
    <row s="8240" customFormat="1" customHeight="1" ht="14.25" hidden="1">
      <c r="B111" s="445">
        <f>K111&lt;first_year+PERIOD_LENGTH</f>
        <v>0</v>
      </c>
      <c r="E111" s="703">
        <v>15</v>
      </c>
      <c r="F111" s="50" cm="1" t="str">
        <f t="array" ref="F111:F111">OFFSET(E111,-1,1)</f>
        <v>1</v>
      </c>
      <c r="G111" s="98" cm="1" t="str">
        <f t="array" ref="G111:G111">G110</f>
        <v>0</v>
      </c>
      <c r="K111" s="158">
        <f>first_year+28</f>
        <v>2054</v>
      </c>
      <c r="T111" s="465" cm="1" t="str">
        <f t="array" ref="T111:T111">T110</f>
        <v>false</v>
      </c>
      <c r="AB111" s="255" t="str">
        <f>K111&amp;" год"</f>
        <v>2054 год</v>
      </c>
      <c r="AC111" s="408"/>
      <c r="AD111" s="71"/>
      <c r="AE111" s="70"/>
      <c r="AF111" s="70"/>
      <c r="AG111" s="71"/>
      <c r="AH111" s="70"/>
      <c r="AI111" s="71"/>
      <c r="AJ111" s="70"/>
      <c r="AK111" s="72"/>
      <c r="AL111" s="403"/>
      <c r="AN111" s="1064" cm="1" t="str">
        <f t="array" ref="AN111:AN111">K111</f>
        <v>2054</v>
      </c>
      <c r="AO111" s="1064" t="s">
        <v>2977</v>
      </c>
      <c r="AP111" s="1074" cm="1" t="str">
        <f t="array" ref="AP111:AP111">AP110</f>
        <v>0</v>
      </c>
      <c r="AQ111" s="703"/>
      <c r="AR111" s="703"/>
    </row>
    <row s="8241" customFormat="1" customHeight="1" ht="14.25" hidden="1">
      <c r="B112" s="445">
        <f>K112&lt;first_year+PERIOD_LENGTH</f>
        <v>0</v>
      </c>
      <c r="E112" s="703">
        <v>15</v>
      </c>
      <c r="F112" s="50" cm="1" t="str">
        <f t="array" ref="F112:F112">OFFSET(E112,-1,1)</f>
        <v>1</v>
      </c>
      <c r="G112" s="98" cm="1" t="str">
        <f t="array" ref="G112:G112">G111</f>
        <v>0</v>
      </c>
      <c r="K112" s="158">
        <f>first_year+29</f>
        <v>2055</v>
      </c>
      <c r="T112" s="465" cm="1" t="str">
        <f t="array" ref="T112:T112">T111</f>
        <v>false</v>
      </c>
      <c r="AB112" s="255" t="str">
        <f>K112&amp;" год"</f>
        <v>2055 год</v>
      </c>
      <c r="AC112" s="408"/>
      <c r="AD112" s="71"/>
      <c r="AE112" s="70"/>
      <c r="AF112" s="70"/>
      <c r="AG112" s="71"/>
      <c r="AH112" s="70"/>
      <c r="AI112" s="71"/>
      <c r="AJ112" s="70"/>
      <c r="AK112" s="72"/>
      <c r="AL112" s="403"/>
      <c r="AN112" s="1064" cm="1" t="str">
        <f t="array" ref="AN112:AN112">K112</f>
        <v>2055</v>
      </c>
      <c r="AO112" s="1064" t="s">
        <v>2977</v>
      </c>
      <c r="AP112" s="1074" cm="1" t="str">
        <f t="array" ref="AP112:AP112">AP111</f>
        <v>0</v>
      </c>
      <c r="AQ112" s="703"/>
      <c r="AR112" s="703"/>
    </row>
    <row s="8242" customFormat="1" customHeight="1" ht="14.25" hidden="1">
      <c r="B113" s="445">
        <f>K113&lt;first_year+PERIOD_LENGTH</f>
        <v>0</v>
      </c>
      <c r="E113" s="703">
        <v>15</v>
      </c>
      <c r="F113" s="50" cm="1" t="str">
        <f t="array" ref="F113:F113">OFFSET(E113,-1,1)</f>
        <v>1</v>
      </c>
      <c r="G113" s="98" cm="1" t="str">
        <f t="array" ref="G113:G113">G112</f>
        <v>0</v>
      </c>
      <c r="K113" s="158">
        <f>first_year+30</f>
        <v>2056</v>
      </c>
      <c r="T113" s="465" cm="1" t="str">
        <f t="array" ref="T113:T113">T112</f>
        <v>false</v>
      </c>
      <c r="AB113" s="255" t="str">
        <f>K113&amp;" год"</f>
        <v>2056 год</v>
      </c>
      <c r="AC113" s="408"/>
      <c r="AD113" s="71"/>
      <c r="AE113" s="70"/>
      <c r="AF113" s="70"/>
      <c r="AG113" s="71"/>
      <c r="AH113" s="70"/>
      <c r="AI113" s="71"/>
      <c r="AJ113" s="70"/>
      <c r="AK113" s="72"/>
      <c r="AL113" s="403"/>
      <c r="AN113" s="1064" cm="1" t="str">
        <f t="array" ref="AN113:AN113">K113</f>
        <v>2056</v>
      </c>
      <c r="AO113" s="1064" t="s">
        <v>2977</v>
      </c>
      <c r="AP113" s="1074" cm="1" t="str">
        <f t="array" ref="AP113:AP113">AP112</f>
        <v>0</v>
      </c>
      <c r="AQ113" s="703"/>
      <c r="AR113" s="703"/>
    </row>
    <row s="8243" customFormat="1" customHeight="1" ht="14.25" hidden="1">
      <c r="B114" s="445">
        <f>K114&lt;first_year+PERIOD_LENGTH</f>
        <v>0</v>
      </c>
      <c r="E114" s="703">
        <v>15</v>
      </c>
      <c r="F114" s="50" cm="1" t="str">
        <f t="array" ref="F114:F114">OFFSET(E114,-1,1)</f>
        <v>1</v>
      </c>
      <c r="G114" s="98" cm="1" t="str">
        <f t="array" ref="G114:G114">G113</f>
        <v>0</v>
      </c>
      <c r="K114" s="158">
        <f>first_year+31</f>
        <v>2057</v>
      </c>
      <c r="T114" s="465" cm="1" t="str">
        <f t="array" ref="T114:T114">T113</f>
        <v>false</v>
      </c>
      <c r="AB114" s="255" t="str">
        <f>K114&amp;" год"</f>
        <v>2057 год</v>
      </c>
      <c r="AC114" s="408"/>
      <c r="AD114" s="71"/>
      <c r="AE114" s="70"/>
      <c r="AF114" s="70"/>
      <c r="AG114" s="71"/>
      <c r="AH114" s="70"/>
      <c r="AI114" s="71"/>
      <c r="AJ114" s="70"/>
      <c r="AK114" s="72"/>
      <c r="AL114" s="403"/>
      <c r="AN114" s="1064" cm="1" t="str">
        <f t="array" ref="AN114:AN114">K114</f>
        <v>2057</v>
      </c>
      <c r="AO114" s="1064" t="s">
        <v>2977</v>
      </c>
      <c r="AP114" s="1074" cm="1" t="str">
        <f t="array" ref="AP114:AP114">AP113</f>
        <v>0</v>
      </c>
      <c r="AQ114" s="703"/>
      <c r="AR114" s="703"/>
    </row>
    <row s="8244" customFormat="1" customHeight="1" ht="14.25" hidden="1">
      <c r="B115" s="445">
        <f>K115&lt;first_year+PERIOD_LENGTH</f>
        <v>0</v>
      </c>
      <c r="E115" s="703">
        <v>15</v>
      </c>
      <c r="F115" s="50" cm="1" t="str">
        <f t="array" ref="F115:F115">OFFSET(E115,-1,1)</f>
        <v>1</v>
      </c>
      <c r="G115" s="98" cm="1" t="str">
        <f t="array" ref="G115:G115">G114</f>
        <v>0</v>
      </c>
      <c r="K115" s="158">
        <f>first_year+32</f>
        <v>2058</v>
      </c>
      <c r="T115" s="465" cm="1" t="str">
        <f t="array" ref="T115:T115">T114</f>
        <v>false</v>
      </c>
      <c r="AB115" s="255" t="str">
        <f>K115&amp;" год"</f>
        <v>2058 год</v>
      </c>
      <c r="AC115" s="408"/>
      <c r="AD115" s="71"/>
      <c r="AE115" s="70"/>
      <c r="AF115" s="70"/>
      <c r="AG115" s="71"/>
      <c r="AH115" s="70"/>
      <c r="AI115" s="71"/>
      <c r="AJ115" s="70"/>
      <c r="AK115" s="72"/>
      <c r="AL115" s="403"/>
      <c r="AN115" s="1064" cm="1" t="str">
        <f t="array" ref="AN115:AN115">K115</f>
        <v>2058</v>
      </c>
      <c r="AO115" s="1064" t="s">
        <v>2977</v>
      </c>
      <c r="AP115" s="1074" cm="1" t="str">
        <f t="array" ref="AP115:AP115">AP114</f>
        <v>0</v>
      </c>
      <c r="AQ115" s="703"/>
      <c r="AR115" s="703"/>
    </row>
    <row s="8245" customFormat="1" customHeight="1" ht="14.25" hidden="1">
      <c r="B116" s="445">
        <f>K116&lt;first_year+PERIOD_LENGTH</f>
        <v>0</v>
      </c>
      <c r="E116" s="703">
        <v>15</v>
      </c>
      <c r="F116" s="50" cm="1" t="str">
        <f t="array" ref="F116:F116">OFFSET(E116,-1,1)</f>
        <v>1</v>
      </c>
      <c r="G116" s="98" cm="1" t="str">
        <f t="array" ref="G116:G116">G115</f>
        <v>0</v>
      </c>
      <c r="K116" s="158">
        <f>first_year+33</f>
        <v>2059</v>
      </c>
      <c r="T116" s="465" cm="1" t="str">
        <f t="array" ref="T116:T116">T115</f>
        <v>false</v>
      </c>
      <c r="AB116" s="255" t="str">
        <f>K116&amp;" год"</f>
        <v>2059 год</v>
      </c>
      <c r="AC116" s="408"/>
      <c r="AD116" s="71"/>
      <c r="AE116" s="70"/>
      <c r="AF116" s="70"/>
      <c r="AG116" s="71"/>
      <c r="AH116" s="70"/>
      <c r="AI116" s="71"/>
      <c r="AJ116" s="70"/>
      <c r="AK116" s="72"/>
      <c r="AL116" s="403"/>
      <c r="AN116" s="1064" cm="1" t="str">
        <f t="array" ref="AN116:AN116">K116</f>
        <v>2059</v>
      </c>
      <c r="AO116" s="1064" t="s">
        <v>2977</v>
      </c>
      <c r="AP116" s="1074" cm="1" t="str">
        <f t="array" ref="AP116:AP116">AP115</f>
        <v>0</v>
      </c>
      <c r="AQ116" s="703"/>
      <c r="AR116" s="703"/>
    </row>
    <row s="8246" customFormat="1" customHeight="1" ht="14.25" hidden="1">
      <c r="B117" s="445">
        <f>K117&lt;first_year+PERIOD_LENGTH</f>
        <v>0</v>
      </c>
      <c r="E117" s="703">
        <v>15</v>
      </c>
      <c r="F117" s="50" cm="1" t="str">
        <f t="array" ref="F117:F117">OFFSET(E117,-1,1)</f>
        <v>1</v>
      </c>
      <c r="G117" s="98" cm="1" t="str">
        <f t="array" ref="G117:G117">G116</f>
        <v>0</v>
      </c>
      <c r="K117" s="158">
        <f>first_year+34</f>
        <v>2060</v>
      </c>
      <c r="T117" s="465" cm="1" t="str">
        <f t="array" ref="T117:T117">T116</f>
        <v>false</v>
      </c>
      <c r="AB117" s="255" t="str">
        <f>K117&amp;" год"</f>
        <v>2060 год</v>
      </c>
      <c r="AC117" s="408"/>
      <c r="AD117" s="71"/>
      <c r="AE117" s="70"/>
      <c r="AF117" s="70"/>
      <c r="AG117" s="71"/>
      <c r="AH117" s="70"/>
      <c r="AI117" s="71"/>
      <c r="AJ117" s="70"/>
      <c r="AK117" s="72"/>
      <c r="AL117" s="403"/>
      <c r="AN117" s="1064" cm="1" t="str">
        <f t="array" ref="AN117:AN117">K117</f>
        <v>2060</v>
      </c>
      <c r="AO117" s="1064" t="s">
        <v>2977</v>
      </c>
      <c r="AP117" s="1074" cm="1" t="str">
        <f t="array" ref="AP117:AP117">AP116</f>
        <v>0</v>
      </c>
      <c r="AQ117" s="703"/>
      <c r="AR117" s="703"/>
    </row>
    <row s="8247" customFormat="1" customHeight="1" ht="14.25" hidden="1">
      <c r="B118" s="445">
        <f>K118&lt;first_year+PERIOD_LENGTH</f>
        <v>0</v>
      </c>
      <c r="E118" s="703">
        <v>15</v>
      </c>
      <c r="F118" s="50" cm="1" t="str">
        <f t="array" ref="F118:F118">OFFSET(E118,-1,1)</f>
        <v>1</v>
      </c>
      <c r="G118" s="98" cm="1" t="str">
        <f t="array" ref="G118:G118">G117</f>
        <v>0</v>
      </c>
      <c r="K118" s="158">
        <f>first_year+35</f>
        <v>2061</v>
      </c>
      <c r="T118" s="465" cm="1" t="str">
        <f t="array" ref="T118:T118">T117</f>
        <v>false</v>
      </c>
      <c r="AB118" s="255" t="str">
        <f>K118&amp;" год"</f>
        <v>2061 год</v>
      </c>
      <c r="AC118" s="408"/>
      <c r="AD118" s="71"/>
      <c r="AE118" s="70"/>
      <c r="AF118" s="70"/>
      <c r="AG118" s="71"/>
      <c r="AH118" s="70"/>
      <c r="AI118" s="71"/>
      <c r="AJ118" s="70"/>
      <c r="AK118" s="72"/>
      <c r="AL118" s="403"/>
      <c r="AN118" s="1064" cm="1" t="str">
        <f t="array" ref="AN118:AN118">K118</f>
        <v>2061</v>
      </c>
      <c r="AO118" s="1064" t="s">
        <v>2977</v>
      </c>
      <c r="AP118" s="1074" cm="1" t="str">
        <f t="array" ref="AP118:AP118">AP117</f>
        <v>0</v>
      </c>
      <c r="AQ118" s="703"/>
      <c r="AR118" s="703"/>
    </row>
    <row s="8248" customFormat="1" customHeight="1" ht="14.25" hidden="1">
      <c r="B119" s="445">
        <f>K119&lt;first_year+PERIOD_LENGTH</f>
        <v>0</v>
      </c>
      <c r="E119" s="703">
        <v>15</v>
      </c>
      <c r="F119" s="50" cm="1" t="str">
        <f t="array" ref="F119:F119">OFFSET(E119,-1,1)</f>
        <v>1</v>
      </c>
      <c r="G119" s="98" cm="1" t="str">
        <f t="array" ref="G119:G119">G118</f>
        <v>0</v>
      </c>
      <c r="K119" s="158">
        <f>first_year+36</f>
        <v>2062</v>
      </c>
      <c r="T119" s="465" cm="1" t="str">
        <f t="array" ref="T119:T119">T118</f>
        <v>false</v>
      </c>
      <c r="AB119" s="255" t="str">
        <f>K119&amp;" год"</f>
        <v>2062 год</v>
      </c>
      <c r="AC119" s="408"/>
      <c r="AD119" s="71"/>
      <c r="AE119" s="70"/>
      <c r="AF119" s="70"/>
      <c r="AG119" s="71"/>
      <c r="AH119" s="70"/>
      <c r="AI119" s="71"/>
      <c r="AJ119" s="70"/>
      <c r="AK119" s="72"/>
      <c r="AL119" s="403"/>
      <c r="AN119" s="1064" cm="1" t="str">
        <f t="array" ref="AN119:AN119">K119</f>
        <v>2062</v>
      </c>
      <c r="AO119" s="1064" t="s">
        <v>2977</v>
      </c>
      <c r="AP119" s="1074" cm="1" t="str">
        <f t="array" ref="AP119:AP119">AP118</f>
        <v>0</v>
      </c>
      <c r="AQ119" s="703"/>
      <c r="AR119" s="703"/>
    </row>
    <row s="8249" customFormat="1" customHeight="1" ht="14.25" hidden="1">
      <c r="B120" s="445">
        <f>K120&lt;first_year+PERIOD_LENGTH</f>
        <v>0</v>
      </c>
      <c r="E120" s="703">
        <v>15</v>
      </c>
      <c r="F120" s="50" cm="1" t="str">
        <f t="array" ref="F120:F120">OFFSET(E120,-1,1)</f>
        <v>1</v>
      </c>
      <c r="G120" s="98" cm="1" t="str">
        <f t="array" ref="G120:G120">G119</f>
        <v>0</v>
      </c>
      <c r="K120" s="158">
        <f>first_year+37</f>
        <v>2063</v>
      </c>
      <c r="T120" s="465" cm="1" t="str">
        <f t="array" ref="T120:T120">T119</f>
        <v>false</v>
      </c>
      <c r="AB120" s="255" t="str">
        <f>K120&amp;" год"</f>
        <v>2063 год</v>
      </c>
      <c r="AC120" s="408"/>
      <c r="AD120" s="71"/>
      <c r="AE120" s="70"/>
      <c r="AF120" s="70"/>
      <c r="AG120" s="71"/>
      <c r="AH120" s="70"/>
      <c r="AI120" s="71"/>
      <c r="AJ120" s="70"/>
      <c r="AK120" s="72"/>
      <c r="AL120" s="403"/>
      <c r="AN120" s="1064" cm="1" t="str">
        <f t="array" ref="AN120:AN120">K120</f>
        <v>2063</v>
      </c>
      <c r="AO120" s="1064" t="s">
        <v>2977</v>
      </c>
      <c r="AP120" s="1074" cm="1" t="str">
        <f t="array" ref="AP120:AP120">AP119</f>
        <v>0</v>
      </c>
      <c r="AQ120" s="703"/>
      <c r="AR120" s="703"/>
    </row>
    <row s="8250" customFormat="1" customHeight="1" ht="14.25" hidden="1">
      <c r="B121" s="445">
        <f>K121&lt;first_year+PERIOD_LENGTH</f>
        <v>0</v>
      </c>
      <c r="E121" s="703">
        <v>15</v>
      </c>
      <c r="F121" s="50" cm="1" t="str">
        <f t="array" ref="F121:F121">OFFSET(E121,-1,1)</f>
        <v>1</v>
      </c>
      <c r="G121" s="98" cm="1" t="str">
        <f t="array" ref="G121:G121">G120</f>
        <v>0</v>
      </c>
      <c r="K121" s="158">
        <f>first_year+38</f>
        <v>2064</v>
      </c>
      <c r="T121" s="465" cm="1" t="str">
        <f t="array" ref="T121:T121">T120</f>
        <v>false</v>
      </c>
      <c r="AB121" s="255" t="str">
        <f>K121&amp;" год"</f>
        <v>2064 год</v>
      </c>
      <c r="AC121" s="408"/>
      <c r="AD121" s="71"/>
      <c r="AE121" s="70"/>
      <c r="AF121" s="70"/>
      <c r="AG121" s="71"/>
      <c r="AH121" s="70"/>
      <c r="AI121" s="71"/>
      <c r="AJ121" s="70"/>
      <c r="AK121" s="72"/>
      <c r="AL121" s="403"/>
      <c r="AN121" s="1064" cm="1" t="str">
        <f t="array" ref="AN121:AN121">K121</f>
        <v>2064</v>
      </c>
      <c r="AO121" s="1064" t="s">
        <v>2977</v>
      </c>
      <c r="AP121" s="1074" cm="1" t="str">
        <f t="array" ref="AP121:AP121">AP120</f>
        <v>0</v>
      </c>
      <c r="AQ121" s="703"/>
      <c r="AR121" s="703"/>
    </row>
    <row s="8251" customFormat="1" customHeight="1" ht="14.25" hidden="1">
      <c r="B122" s="445">
        <f>K122&lt;first_year+PERIOD_LENGTH</f>
        <v>0</v>
      </c>
      <c r="E122" s="703">
        <v>15</v>
      </c>
      <c r="F122" s="50" cm="1" t="str">
        <f t="array" ref="F122:F122">OFFSET(E122,-1,1)</f>
        <v>1</v>
      </c>
      <c r="G122" s="98" cm="1" t="str">
        <f t="array" ref="G122:G122">G121</f>
        <v>0</v>
      </c>
      <c r="K122" s="158">
        <f>first_year+39</f>
        <v>2065</v>
      </c>
      <c r="T122" s="465" cm="1" t="str">
        <f t="array" ref="T122:T122">T121</f>
        <v>false</v>
      </c>
      <c r="AB122" s="255" t="str">
        <f>K122&amp;" год"</f>
        <v>2065 год</v>
      </c>
      <c r="AC122" s="408"/>
      <c r="AD122" s="71"/>
      <c r="AE122" s="70"/>
      <c r="AF122" s="70"/>
      <c r="AG122" s="71"/>
      <c r="AH122" s="70"/>
      <c r="AI122" s="71"/>
      <c r="AJ122" s="70"/>
      <c r="AK122" s="72"/>
      <c r="AL122" s="403"/>
      <c r="AN122" s="1064" cm="1" t="str">
        <f t="array" ref="AN122:AN122">K122</f>
        <v>2065</v>
      </c>
      <c r="AO122" s="1064" t="s">
        <v>2977</v>
      </c>
      <c r="AP122" s="1074" cm="1" t="str">
        <f t="array" ref="AP122:AP122">AP121</f>
        <v>0</v>
      </c>
      <c r="AQ122" s="703"/>
      <c r="AR122" s="703"/>
    </row>
    <row s="8252" customFormat="1" customHeight="1" ht="14.25" hidden="1">
      <c r="B123" s="445">
        <f>K123&lt;first_year+PERIOD_LENGTH</f>
        <v>0</v>
      </c>
      <c r="E123" s="703">
        <v>15</v>
      </c>
      <c r="F123" s="50" cm="1" t="str">
        <f t="array" ref="F123:F123">OFFSET(E123,-1,1)</f>
        <v>1</v>
      </c>
      <c r="G123" s="98" cm="1" t="str">
        <f t="array" ref="G123:G123">G122</f>
        <v>0</v>
      </c>
      <c r="K123" s="158">
        <f>first_year+40</f>
        <v>2066</v>
      </c>
      <c r="T123" s="465" cm="1" t="str">
        <f t="array" ref="T123:T123">T122</f>
        <v>false</v>
      </c>
      <c r="AB123" s="255" t="str">
        <f>K123&amp;" год"</f>
        <v>2066 год</v>
      </c>
      <c r="AC123" s="408"/>
      <c r="AD123" s="71"/>
      <c r="AE123" s="70"/>
      <c r="AF123" s="70"/>
      <c r="AG123" s="71"/>
      <c r="AH123" s="70"/>
      <c r="AI123" s="71"/>
      <c r="AJ123" s="70"/>
      <c r="AK123" s="72"/>
      <c r="AL123" s="403"/>
      <c r="AN123" s="1064" cm="1" t="str">
        <f t="array" ref="AN123:AN123">K123</f>
        <v>2066</v>
      </c>
      <c r="AO123" s="1064" t="s">
        <v>2977</v>
      </c>
      <c r="AP123" s="1074" cm="1" t="str">
        <f t="array" ref="AP123:AP123">AP122</f>
        <v>0</v>
      </c>
      <c r="AQ123" s="703"/>
      <c r="AR123" s="703"/>
    </row>
    <row s="8253" customFormat="1" customHeight="1" ht="14.25" hidden="1">
      <c r="B124" s="445">
        <f>K124&lt;first_year+PERIOD_LENGTH</f>
        <v>0</v>
      </c>
      <c r="E124" s="703">
        <v>15</v>
      </c>
      <c r="F124" s="50" cm="1" t="str">
        <f t="array" ref="F124:F124">OFFSET(E124,-1,1)</f>
        <v>1</v>
      </c>
      <c r="G124" s="98" cm="1" t="str">
        <f t="array" ref="G124:G124">G123</f>
        <v>0</v>
      </c>
      <c r="K124" s="158">
        <f>first_year+41</f>
        <v>2067</v>
      </c>
      <c r="T124" s="465" cm="1" t="str">
        <f t="array" ref="T124:T124">T123</f>
        <v>false</v>
      </c>
      <c r="AB124" s="255" t="str">
        <f>K124&amp;" год"</f>
        <v>2067 год</v>
      </c>
      <c r="AC124" s="408"/>
      <c r="AD124" s="71"/>
      <c r="AE124" s="70"/>
      <c r="AF124" s="70"/>
      <c r="AG124" s="71"/>
      <c r="AH124" s="70"/>
      <c r="AI124" s="71"/>
      <c r="AJ124" s="70"/>
      <c r="AK124" s="72"/>
      <c r="AL124" s="403"/>
      <c r="AN124" s="1064" cm="1" t="str">
        <f t="array" ref="AN124:AN124">K124</f>
        <v>2067</v>
      </c>
      <c r="AO124" s="1064" t="s">
        <v>2977</v>
      </c>
      <c r="AP124" s="1074" cm="1" t="str">
        <f t="array" ref="AP124:AP124">AP123</f>
        <v>0</v>
      </c>
      <c r="AQ124" s="703"/>
      <c r="AR124" s="703"/>
    </row>
    <row s="8254" customFormat="1" customHeight="1" ht="14.25" hidden="1">
      <c r="B125" s="445">
        <f>K125&lt;first_year+PERIOD_LENGTH</f>
        <v>0</v>
      </c>
      <c r="E125" s="703">
        <v>15</v>
      </c>
      <c r="F125" s="50" cm="1" t="str">
        <f t="array" ref="F125:F125">OFFSET(E125,-1,1)</f>
        <v>1</v>
      </c>
      <c r="G125" s="98" cm="1" t="str">
        <f t="array" ref="G125:G125">G124</f>
        <v>0</v>
      </c>
      <c r="K125" s="158">
        <f>first_year+42</f>
        <v>2068</v>
      </c>
      <c r="T125" s="465" cm="1" t="str">
        <f t="array" ref="T125:T125">T124</f>
        <v>false</v>
      </c>
      <c r="AB125" s="255" t="str">
        <f>K125&amp;" год"</f>
        <v>2068 год</v>
      </c>
      <c r="AC125" s="408"/>
      <c r="AD125" s="71"/>
      <c r="AE125" s="70"/>
      <c r="AF125" s="70"/>
      <c r="AG125" s="71"/>
      <c r="AH125" s="70"/>
      <c r="AI125" s="71"/>
      <c r="AJ125" s="70"/>
      <c r="AK125" s="72"/>
      <c r="AL125" s="403"/>
      <c r="AN125" s="1064" cm="1" t="str">
        <f t="array" ref="AN125:AN125">K125</f>
        <v>2068</v>
      </c>
      <c r="AO125" s="1064" t="s">
        <v>2977</v>
      </c>
      <c r="AP125" s="1074" cm="1" t="str">
        <f t="array" ref="AP125:AP125">AP124</f>
        <v>0</v>
      </c>
      <c r="AQ125" s="703"/>
      <c r="AR125" s="703"/>
    </row>
    <row s="8255" customFormat="1" customHeight="1" ht="14.25" hidden="1">
      <c r="B126" s="445">
        <f>K126&lt;first_year+PERIOD_LENGTH</f>
        <v>0</v>
      </c>
      <c r="E126" s="703">
        <v>15</v>
      </c>
      <c r="F126" s="50" cm="1" t="str">
        <f t="array" ref="F126:F126">OFFSET(E126,-1,1)</f>
        <v>1</v>
      </c>
      <c r="G126" s="98" cm="1" t="str">
        <f t="array" ref="G126:G126">G125</f>
        <v>0</v>
      </c>
      <c r="K126" s="158">
        <f>first_year+43</f>
        <v>2069</v>
      </c>
      <c r="T126" s="465" cm="1" t="str">
        <f t="array" ref="T126:T126">T125</f>
        <v>false</v>
      </c>
      <c r="AB126" s="255" t="str">
        <f>K126&amp;" год"</f>
        <v>2069 год</v>
      </c>
      <c r="AC126" s="408"/>
      <c r="AD126" s="71"/>
      <c r="AE126" s="70"/>
      <c r="AF126" s="70"/>
      <c r="AG126" s="71"/>
      <c r="AH126" s="70"/>
      <c r="AI126" s="71"/>
      <c r="AJ126" s="70"/>
      <c r="AK126" s="72"/>
      <c r="AL126" s="403"/>
      <c r="AN126" s="1064" cm="1" t="str">
        <f t="array" ref="AN126:AN126">K126</f>
        <v>2069</v>
      </c>
      <c r="AO126" s="1064" t="s">
        <v>2977</v>
      </c>
      <c r="AP126" s="1074" cm="1" t="str">
        <f t="array" ref="AP126:AP126">AP125</f>
        <v>0</v>
      </c>
      <c r="AQ126" s="703"/>
      <c r="AR126" s="703"/>
    </row>
    <row s="8256" customFormat="1" customHeight="1" ht="14.25" hidden="1">
      <c r="B127" s="445">
        <f>K127&lt;first_year+PERIOD_LENGTH</f>
        <v>0</v>
      </c>
      <c r="E127" s="703">
        <v>15</v>
      </c>
      <c r="F127" s="50" cm="1" t="str">
        <f t="array" ref="F127:F127">OFFSET(E127,-1,1)</f>
        <v>1</v>
      </c>
      <c r="G127" s="98" cm="1" t="str">
        <f t="array" ref="G127:G127">G126</f>
        <v>0</v>
      </c>
      <c r="K127" s="158">
        <f>first_year+44</f>
        <v>2070</v>
      </c>
      <c r="T127" s="465" cm="1" t="str">
        <f t="array" ref="T127:T127">T126</f>
        <v>false</v>
      </c>
      <c r="AB127" s="255" t="str">
        <f>K127&amp;" год"</f>
        <v>2070 год</v>
      </c>
      <c r="AC127" s="408"/>
      <c r="AD127" s="71"/>
      <c r="AE127" s="70"/>
      <c r="AF127" s="70"/>
      <c r="AG127" s="71"/>
      <c r="AH127" s="70"/>
      <c r="AI127" s="71"/>
      <c r="AJ127" s="70"/>
      <c r="AK127" s="72"/>
      <c r="AL127" s="403"/>
      <c r="AN127" s="1064" cm="1" t="str">
        <f t="array" ref="AN127:AN127">K127</f>
        <v>2070</v>
      </c>
      <c r="AO127" s="1064" t="s">
        <v>2977</v>
      </c>
      <c r="AP127" s="1074" cm="1" t="str">
        <f t="array" ref="AP127:AP127">AP126</f>
        <v>0</v>
      </c>
      <c r="AQ127" s="703"/>
      <c r="AR127" s="703"/>
    </row>
    <row s="8257" customFormat="1" customHeight="1" ht="14.25" hidden="1">
      <c r="B128" s="445">
        <f>K128&lt;first_year+PERIOD_LENGTH</f>
        <v>0</v>
      </c>
      <c r="E128" s="703">
        <v>15</v>
      </c>
      <c r="F128" s="50" cm="1" t="str">
        <f t="array" ref="F128:F128">OFFSET(E128,-1,1)</f>
        <v>1</v>
      </c>
      <c r="G128" s="98" cm="1" t="str">
        <f t="array" ref="G128:G128">G127</f>
        <v>0</v>
      </c>
      <c r="K128" s="158">
        <f>first_year+45</f>
        <v>2071</v>
      </c>
      <c r="T128" s="465" cm="1" t="str">
        <f t="array" ref="T128:T128">T127</f>
        <v>false</v>
      </c>
      <c r="AB128" s="255" t="str">
        <f>K128&amp;" год"</f>
        <v>2071 год</v>
      </c>
      <c r="AC128" s="408"/>
      <c r="AD128" s="71"/>
      <c r="AE128" s="70"/>
      <c r="AF128" s="70"/>
      <c r="AG128" s="71"/>
      <c r="AH128" s="70"/>
      <c r="AI128" s="71"/>
      <c r="AJ128" s="70"/>
      <c r="AK128" s="72"/>
      <c r="AL128" s="403"/>
      <c r="AN128" s="1064" cm="1" t="str">
        <f t="array" ref="AN128:AN128">K128</f>
        <v>2071</v>
      </c>
      <c r="AO128" s="1064" t="s">
        <v>2977</v>
      </c>
      <c r="AP128" s="1074" cm="1" t="str">
        <f t="array" ref="AP128:AP128">AP127</f>
        <v>0</v>
      </c>
      <c r="AQ128" s="703"/>
      <c r="AR128" s="703"/>
    </row>
    <row s="8258" customFormat="1" customHeight="1" ht="14.25" hidden="1">
      <c r="B129" s="445">
        <f>K129&lt;first_year+PERIOD_LENGTH</f>
        <v>0</v>
      </c>
      <c r="E129" s="703">
        <v>15</v>
      </c>
      <c r="F129" s="50" cm="1" t="str">
        <f t="array" ref="F129:F129">OFFSET(E129,-1,1)</f>
        <v>1</v>
      </c>
      <c r="G129" s="98" cm="1" t="str">
        <f t="array" ref="G129:G129">G128</f>
        <v>0</v>
      </c>
      <c r="K129" s="158">
        <f>first_year+46</f>
        <v>2072</v>
      </c>
      <c r="T129" s="465" cm="1" t="str">
        <f t="array" ref="T129:T129">T128</f>
        <v>false</v>
      </c>
      <c r="AB129" s="255" t="str">
        <f>K129&amp;" год"</f>
        <v>2072 год</v>
      </c>
      <c r="AC129" s="408"/>
      <c r="AD129" s="71"/>
      <c r="AE129" s="70"/>
      <c r="AF129" s="70"/>
      <c r="AG129" s="71"/>
      <c r="AH129" s="70"/>
      <c r="AI129" s="71"/>
      <c r="AJ129" s="70"/>
      <c r="AK129" s="72"/>
      <c r="AL129" s="403"/>
      <c r="AN129" s="1064" cm="1" t="str">
        <f t="array" ref="AN129:AN129">K129</f>
        <v>2072</v>
      </c>
      <c r="AO129" s="1064" t="s">
        <v>2977</v>
      </c>
      <c r="AP129" s="1074" cm="1" t="str">
        <f t="array" ref="AP129:AP129">AP128</f>
        <v>0</v>
      </c>
      <c r="AQ129" s="703"/>
      <c r="AR129" s="703"/>
    </row>
    <row s="8259" customFormat="1" customHeight="1" ht="14.25" hidden="1">
      <c r="B130" s="445">
        <f>K130&lt;first_year+PERIOD_LENGTH</f>
        <v>0</v>
      </c>
      <c r="E130" s="703">
        <v>15</v>
      </c>
      <c r="F130" s="50" cm="1" t="str">
        <f t="array" ref="F130:F130">OFFSET(E130,-1,1)</f>
        <v>1</v>
      </c>
      <c r="G130" s="98" cm="1" t="str">
        <f t="array" ref="G130:G130">G129</f>
        <v>0</v>
      </c>
      <c r="K130" s="158">
        <f>first_year+47</f>
        <v>2073</v>
      </c>
      <c r="T130" s="465" cm="1" t="str">
        <f t="array" ref="T130:T130">T129</f>
        <v>false</v>
      </c>
      <c r="AB130" s="255" t="str">
        <f>K130&amp;" год"</f>
        <v>2073 год</v>
      </c>
      <c r="AC130" s="408"/>
      <c r="AD130" s="71"/>
      <c r="AE130" s="70"/>
      <c r="AF130" s="70"/>
      <c r="AG130" s="71"/>
      <c r="AH130" s="70"/>
      <c r="AI130" s="71"/>
      <c r="AJ130" s="70"/>
      <c r="AK130" s="72"/>
      <c r="AL130" s="403"/>
      <c r="AN130" s="1064" cm="1" t="str">
        <f t="array" ref="AN130:AN130">K130</f>
        <v>2073</v>
      </c>
      <c r="AO130" s="1064" t="s">
        <v>2977</v>
      </c>
      <c r="AP130" s="1074" cm="1" t="str">
        <f t="array" ref="AP130:AP130">AP129</f>
        <v>0</v>
      </c>
      <c r="AQ130" s="703"/>
      <c r="AR130" s="703"/>
    </row>
    <row s="8260" customFormat="1" customHeight="1" ht="14.25" hidden="1">
      <c r="B131" s="445">
        <f>K131&lt;first_year+PERIOD_LENGTH</f>
        <v>0</v>
      </c>
      <c r="E131" s="703">
        <v>15</v>
      </c>
      <c r="F131" s="50" cm="1" t="str">
        <f t="array" ref="F131:F131">OFFSET(E131,-1,1)</f>
        <v>1</v>
      </c>
      <c r="G131" s="98" cm="1" t="str">
        <f t="array" ref="G131:G131">G130</f>
        <v>0</v>
      </c>
      <c r="K131" s="158">
        <f>first_year+48</f>
        <v>2074</v>
      </c>
      <c r="T131" s="465" cm="1" t="str">
        <f t="array" ref="T131:T131">T130</f>
        <v>false</v>
      </c>
      <c r="AB131" s="255" t="str">
        <f>K131&amp;" год"</f>
        <v>2074 год</v>
      </c>
      <c r="AC131" s="408"/>
      <c r="AD131" s="71"/>
      <c r="AE131" s="70"/>
      <c r="AF131" s="70"/>
      <c r="AG131" s="71"/>
      <c r="AH131" s="70"/>
      <c r="AI131" s="71"/>
      <c r="AJ131" s="70"/>
      <c r="AK131" s="72"/>
      <c r="AL131" s="403"/>
      <c r="AN131" s="1064" cm="1" t="str">
        <f t="array" ref="AN131:AN131">K131</f>
        <v>2074</v>
      </c>
      <c r="AO131" s="1064" t="s">
        <v>2977</v>
      </c>
      <c r="AP131" s="1074" cm="1" t="str">
        <f t="array" ref="AP131:AP131">AP130</f>
        <v>0</v>
      </c>
      <c r="AQ131" s="703"/>
      <c r="AR131" s="703"/>
    </row>
    <row s="8261" customFormat="1" customHeight="1" ht="14.25" hidden="1">
      <c r="B132" s="445">
        <f>K132&lt;first_year+PERIOD_LENGTH</f>
        <v>0</v>
      </c>
      <c r="E132" s="703">
        <v>15</v>
      </c>
      <c r="F132" s="50" cm="1" t="str">
        <f t="array" ref="F132:F132">OFFSET(E132,-1,1)</f>
        <v>1</v>
      </c>
      <c r="G132" s="98" cm="1" t="str">
        <f t="array" ref="G132:G132">G131</f>
        <v>0</v>
      </c>
      <c r="K132" s="158">
        <f>first_year+49</f>
        <v>2075</v>
      </c>
      <c r="T132" s="465" cm="1" t="str">
        <f t="array" ref="T132:T132">T131</f>
        <v>false</v>
      </c>
      <c r="AB132" s="255" t="str">
        <f>K132&amp;" год"</f>
        <v>2075 год</v>
      </c>
      <c r="AC132" s="408"/>
      <c r="AD132" s="71"/>
      <c r="AE132" s="70"/>
      <c r="AF132" s="70"/>
      <c r="AG132" s="71"/>
      <c r="AH132" s="70"/>
      <c r="AI132" s="71"/>
      <c r="AJ132" s="70"/>
      <c r="AK132" s="72"/>
      <c r="AL132" s="403"/>
      <c r="AN132" s="1064" cm="1" t="str">
        <f t="array" ref="AN132:AN132">K132</f>
        <v>2075</v>
      </c>
      <c r="AO132" s="1064" t="s">
        <v>2977</v>
      </c>
      <c r="AP132" s="1074" cm="1" t="str">
        <f t="array" ref="AP132:AP132">AP131</f>
        <v>0</v>
      </c>
      <c r="AQ132" s="703"/>
      <c r="AR132" s="703"/>
    </row>
    <row s="538" customFormat="1" customHeight="1" ht="14.25">
      <c r="A133" s="538"/>
      <c r="B133" s="538"/>
      <c r="C133" s="538"/>
      <c r="D133" s="538"/>
      <c r="E133" s="618">
        <v>15</v>
      </c>
      <c r="F133" s="50" cm="1" t="str">
        <f t="array" ref="F133:F133">OFFSET(E133,-1,1)</f>
        <v>1</v>
      </c>
      <c r="G133" s="122" cm="1" t="str">
        <f t="array" ref="G133:G133">AB133</f>
        <v>Питьевая вода (Осинниковский городской округ)</v>
      </c>
      <c r="H133" s="538"/>
      <c r="I133" s="538"/>
      <c r="J133" s="538"/>
      <c r="K133" s="538"/>
      <c r="L133" s="538"/>
      <c r="M133" s="538"/>
      <c r="N133" s="538"/>
      <c r="O133" s="538"/>
      <c r="P133" s="538"/>
      <c r="Q133" s="538"/>
      <c r="R133" s="538"/>
      <c r="S133" s="538"/>
      <c r="T133" s="465">
        <f>AND(F133&gt;0,Y133&gt;0)</f>
        <v>1</v>
      </c>
      <c r="U133" s="538"/>
      <c r="V133" s="538"/>
      <c r="W133" s="122"/>
      <c r="X133" s="538"/>
      <c r="Y133" s="1563" t="s">
        <v>276</v>
      </c>
      <c r="Z133" s="538"/>
      <c r="AA133" s="1648" t="s">
        <v>175</v>
      </c>
      <c r="AB133" s="8262" t="s">
        <v>2979</v>
      </c>
      <c r="AC133" s="68"/>
      <c r="AD133" s="68"/>
      <c r="AE133" s="68"/>
      <c r="AF133" s="68"/>
      <c r="AG133" s="68"/>
      <c r="AH133" s="68"/>
      <c r="AI133" s="68"/>
      <c r="AJ133" s="68"/>
      <c r="AK133" s="69"/>
      <c r="AL133" s="402"/>
      <c r="AM133" s="538"/>
      <c r="AN133" s="997"/>
      <c r="AO133" s="1064" t="s">
        <v>2977</v>
      </c>
      <c r="AP133" s="1050" cm="1" t="str">
        <f t="array" ref="AP133:AP133">AB133</f>
        <v>Питьевая вода (Осинниковский городской округ)</v>
      </c>
      <c r="AQ133" s="618"/>
      <c r="AR133" s="618" t="b">
        <v>1</v>
      </c>
    </row>
    <row s="8263" customFormat="1" customHeight="1" ht="14.25">
      <c r="A134" s="8264"/>
      <c r="B134" s="445">
        <f>K134&lt;first_year+PERIOD_LENGTH</f>
        <v>1</v>
      </c>
      <c r="C134" s="8264"/>
      <c r="D134" s="8264"/>
      <c r="E134" s="703">
        <v>15</v>
      </c>
      <c r="F134" s="50" cm="1" t="str">
        <f t="array" ref="F134:F134">OFFSET(E134,-1,1)</f>
        <v>1</v>
      </c>
      <c r="G134" s="98" cm="1" t="str">
        <f t="array" ref="G134:G134">G133</f>
        <v>Питьевая вода (Осинниковский городской округ)</v>
      </c>
      <c r="H134" s="8264"/>
      <c r="I134" s="8264"/>
      <c r="J134" s="8264"/>
      <c r="K134" s="158" cm="1" t="str">
        <f t="array" ref="K134:K134">first_year</f>
        <v>2026</v>
      </c>
      <c r="L134" s="8264"/>
      <c r="M134" s="8264"/>
      <c r="N134" s="8264"/>
      <c r="O134" s="8264"/>
      <c r="P134" s="8264"/>
      <c r="Q134" s="8264"/>
      <c r="R134" s="8264"/>
      <c r="S134" s="8264"/>
      <c r="T134" s="465" cm="1" t="str">
        <f t="array" ref="T134:T134">T133</f>
        <v>true</v>
      </c>
      <c r="U134" s="8264"/>
      <c r="V134" s="8264"/>
      <c r="W134" s="8264"/>
      <c r="X134" s="8264"/>
      <c r="Y134" s="8264"/>
      <c r="Z134" s="8264"/>
      <c r="AA134" s="8264"/>
      <c r="AB134" s="302" t="str">
        <f>K134&amp;" год"</f>
        <v>2026 год</v>
      </c>
      <c r="AC134" s="8265" cm="1" t="str">
        <f t="array" ref="AC134:AC134">'Калькуляция (МИ)'!AT172</f>
        <v>157936.498612672</v>
      </c>
      <c r="AD134" s="8266"/>
      <c r="AE134" s="8265">
        <v>0</v>
      </c>
      <c r="AF134" s="8267">
        <v>37.5</v>
      </c>
      <c r="AG134" s="8266">
        <v>1.292</v>
      </c>
      <c r="AH134" s="70"/>
      <c r="AI134" s="71"/>
      <c r="AJ134" s="70"/>
      <c r="AK134" s="72"/>
      <c r="AL134" s="403"/>
      <c r="AM134" s="8264"/>
      <c r="AN134" s="1064" cm="1" t="str">
        <f t="array" ref="AN134:AN134">K134</f>
        <v>2026</v>
      </c>
      <c r="AO134" s="1064" t="s">
        <v>2977</v>
      </c>
      <c r="AP134" s="1074" cm="1" t="str">
        <f t="array" ref="AP134:AP134">AP133</f>
        <v>Питьевая вода (Осинниковский городской округ)</v>
      </c>
      <c r="AQ134" s="703"/>
      <c r="AR134" s="703"/>
    </row>
    <row s="8264" customFormat="1" customHeight="1" ht="14.25">
      <c r="A135" s="8264"/>
      <c r="B135" s="445">
        <f>K135&lt;first_year+PERIOD_LENGTH</f>
        <v>1</v>
      </c>
      <c r="C135" s="8264"/>
      <c r="D135" s="8264"/>
      <c r="E135" s="703">
        <v>15</v>
      </c>
      <c r="F135" s="50" cm="1" t="str">
        <f t="array" ref="F135:F135">OFFSET(E135,-1,1)</f>
        <v>1</v>
      </c>
      <c r="G135" s="98" cm="1" t="str">
        <f t="array" ref="G135:G135">G134</f>
        <v>Питьевая вода (Осинниковский городской округ)</v>
      </c>
      <c r="H135" s="8264"/>
      <c r="I135" s="8264"/>
      <c r="J135" s="8264"/>
      <c r="K135" s="158">
        <f>first_year+1</f>
        <v>2027</v>
      </c>
      <c r="L135" s="8264"/>
      <c r="M135" s="8264"/>
      <c r="N135" s="8264"/>
      <c r="O135" s="8264"/>
      <c r="P135" s="8264"/>
      <c r="Q135" s="8264"/>
      <c r="R135" s="8264"/>
      <c r="S135" s="8264"/>
      <c r="T135" s="465" cm="1" t="str">
        <f t="array" ref="T135:T135">T134</f>
        <v>true</v>
      </c>
      <c r="U135" s="8264"/>
      <c r="V135" s="8264"/>
      <c r="W135" s="8264"/>
      <c r="X135" s="8264"/>
      <c r="Y135" s="8264"/>
      <c r="Z135" s="8264"/>
      <c r="AA135" s="8264"/>
      <c r="AB135" s="255" t="str">
        <f>K135&amp;" год"</f>
        <v>2027 год</v>
      </c>
      <c r="AC135" s="408"/>
      <c r="AD135" s="8266">
        <v>1</v>
      </c>
      <c r="AE135" s="8265">
        <v>0</v>
      </c>
      <c r="AF135" s="8267">
        <v>37.5</v>
      </c>
      <c r="AG135" s="8266" cm="1" t="str">
        <f t="array" ref="AG135:AG135">AG134</f>
        <v>1.292</v>
      </c>
      <c r="AH135" s="70"/>
      <c r="AI135" s="71"/>
      <c r="AJ135" s="70"/>
      <c r="AK135" s="72"/>
      <c r="AL135" s="403"/>
      <c r="AM135" s="8264"/>
      <c r="AN135" s="1064" cm="1" t="str">
        <f t="array" ref="AN135:AN135">K135</f>
        <v>2027</v>
      </c>
      <c r="AO135" s="1064" t="s">
        <v>2977</v>
      </c>
      <c r="AP135" s="1074" cm="1" t="str">
        <f t="array" ref="AP135:AP135">AP134</f>
        <v>Питьевая вода (Осинниковский городской округ)</v>
      </c>
      <c r="AQ135" s="703"/>
      <c r="AR135" s="703"/>
    </row>
    <row s="8264" customFormat="1" customHeight="1" ht="14.25">
      <c r="A136" s="8264"/>
      <c r="B136" s="445">
        <f>K136&lt;first_year+PERIOD_LENGTH</f>
        <v>1</v>
      </c>
      <c r="C136" s="8264"/>
      <c r="D136" s="8264"/>
      <c r="E136" s="703">
        <v>15</v>
      </c>
      <c r="F136" s="50" cm="1" t="str">
        <f t="array" ref="F136:F136">OFFSET(E136,-1,1)</f>
        <v>1</v>
      </c>
      <c r="G136" s="98" cm="1" t="str">
        <f t="array" ref="G136:G136">G135</f>
        <v>Питьевая вода (Осинниковский городской округ)</v>
      </c>
      <c r="H136" s="8264"/>
      <c r="I136" s="8264"/>
      <c r="J136" s="8264"/>
      <c r="K136" s="158">
        <f>first_year+2</f>
        <v>2028</v>
      </c>
      <c r="L136" s="8264"/>
      <c r="M136" s="8264"/>
      <c r="N136" s="8264"/>
      <c r="O136" s="8264"/>
      <c r="P136" s="8264"/>
      <c r="Q136" s="8264"/>
      <c r="R136" s="8264"/>
      <c r="S136" s="8264"/>
      <c r="T136" s="465" cm="1" t="str">
        <f t="array" ref="T136:T136">T135</f>
        <v>true</v>
      </c>
      <c r="U136" s="8264"/>
      <c r="V136" s="8264"/>
      <c r="W136" s="8264"/>
      <c r="X136" s="8264"/>
      <c r="Y136" s="8264"/>
      <c r="Z136" s="8264"/>
      <c r="AA136" s="8264"/>
      <c r="AB136" s="255" t="str">
        <f>K136&amp;" год"</f>
        <v>2028 год</v>
      </c>
      <c r="AC136" s="408"/>
      <c r="AD136" s="8266">
        <v>1</v>
      </c>
      <c r="AE136" s="8265">
        <v>0</v>
      </c>
      <c r="AF136" s="8267">
        <v>37.494</v>
      </c>
      <c r="AG136" s="8266" cm="1" t="str">
        <f t="array" ref="AG136:AG136">AG135</f>
        <v>1.292</v>
      </c>
      <c r="AH136" s="70"/>
      <c r="AI136" s="71"/>
      <c r="AJ136" s="70"/>
      <c r="AK136" s="72"/>
      <c r="AL136" s="403"/>
      <c r="AM136" s="8264"/>
      <c r="AN136" s="1064" cm="1" t="str">
        <f t="array" ref="AN136:AN136">K136</f>
        <v>2028</v>
      </c>
      <c r="AO136" s="1064" t="s">
        <v>2977</v>
      </c>
      <c r="AP136" s="1074" cm="1" t="str">
        <f t="array" ref="AP136:AP136">AP135</f>
        <v>Питьевая вода (Осинниковский городской округ)</v>
      </c>
      <c r="AQ136" s="703"/>
      <c r="AR136" s="703"/>
    </row>
    <row s="8264" customFormat="1" customHeight="1" ht="14.25">
      <c r="A137" s="8264"/>
      <c r="B137" s="445">
        <f>K137&lt;first_year+PERIOD_LENGTH</f>
        <v>1</v>
      </c>
      <c r="C137" s="8264"/>
      <c r="D137" s="8264"/>
      <c r="E137" s="703">
        <v>15</v>
      </c>
      <c r="F137" s="50" cm="1" t="str">
        <f t="array" ref="F137:F137">OFFSET(E137,-1,1)</f>
        <v>1</v>
      </c>
      <c r="G137" s="98" cm="1" t="str">
        <f t="array" ref="G137:G137">G136</f>
        <v>Питьевая вода (Осинниковский городской округ)</v>
      </c>
      <c r="H137" s="8264"/>
      <c r="I137" s="8264"/>
      <c r="J137" s="8264"/>
      <c r="K137" s="158">
        <f>first_year+3</f>
        <v>2029</v>
      </c>
      <c r="L137" s="8264"/>
      <c r="M137" s="8264"/>
      <c r="N137" s="8264"/>
      <c r="O137" s="8264"/>
      <c r="P137" s="8264"/>
      <c r="Q137" s="8264"/>
      <c r="R137" s="8264"/>
      <c r="S137" s="8264"/>
      <c r="T137" s="465" cm="1" t="str">
        <f t="array" ref="T137:T137">T136</f>
        <v>true</v>
      </c>
      <c r="U137" s="8264"/>
      <c r="V137" s="8264"/>
      <c r="W137" s="8264"/>
      <c r="X137" s="8264"/>
      <c r="Y137" s="8264"/>
      <c r="Z137" s="8264"/>
      <c r="AA137" s="8264"/>
      <c r="AB137" s="255" t="str">
        <f>K137&amp;" год"</f>
        <v>2029 год</v>
      </c>
      <c r="AC137" s="408"/>
      <c r="AD137" s="8266">
        <v>1</v>
      </c>
      <c r="AE137" s="8265">
        <v>0</v>
      </c>
      <c r="AF137" s="8267">
        <v>37.478</v>
      </c>
      <c r="AG137" s="8266" cm="1" t="str">
        <f t="array" ref="AG137:AG137">AG136</f>
        <v>1.292</v>
      </c>
      <c r="AH137" s="70"/>
      <c r="AI137" s="71"/>
      <c r="AJ137" s="70"/>
      <c r="AK137" s="72"/>
      <c r="AL137" s="403"/>
      <c r="AM137" s="8264"/>
      <c r="AN137" s="1064" cm="1" t="str">
        <f t="array" ref="AN137:AN137">K137</f>
        <v>2029</v>
      </c>
      <c r="AO137" s="1064" t="s">
        <v>2977</v>
      </c>
      <c r="AP137" s="1074" cm="1" t="str">
        <f t="array" ref="AP137:AP137">AP136</f>
        <v>Питьевая вода (Осинниковский городской округ)</v>
      </c>
      <c r="AQ137" s="703"/>
      <c r="AR137" s="703"/>
    </row>
    <row s="8264" customFormat="1" customHeight="1" ht="14.25">
      <c r="A138" s="8264"/>
      <c r="B138" s="445">
        <f>K138&lt;first_year+PERIOD_LENGTH</f>
        <v>1</v>
      </c>
      <c r="C138" s="8264"/>
      <c r="D138" s="8264"/>
      <c r="E138" s="703">
        <v>15</v>
      </c>
      <c r="F138" s="50" cm="1" t="str">
        <f t="array" ref="F138:F138">OFFSET(E138,-1,1)</f>
        <v>1</v>
      </c>
      <c r="G138" s="98" cm="1" t="str">
        <f t="array" ref="G138:G138">G137</f>
        <v>Питьевая вода (Осинниковский городской округ)</v>
      </c>
      <c r="H138" s="8264"/>
      <c r="I138" s="8264"/>
      <c r="J138" s="8264"/>
      <c r="K138" s="158">
        <f>first_year+4</f>
        <v>2030</v>
      </c>
      <c r="L138" s="8264"/>
      <c r="M138" s="8264"/>
      <c r="N138" s="8264"/>
      <c r="O138" s="8264"/>
      <c r="P138" s="8264"/>
      <c r="Q138" s="8264"/>
      <c r="R138" s="8264"/>
      <c r="S138" s="8264"/>
      <c r="T138" s="465" cm="1" t="str">
        <f t="array" ref="T138:T138">T137</f>
        <v>true</v>
      </c>
      <c r="U138" s="8264"/>
      <c r="V138" s="8264"/>
      <c r="W138" s="8264"/>
      <c r="X138" s="8264"/>
      <c r="Y138" s="8264"/>
      <c r="Z138" s="8264"/>
      <c r="AA138" s="8264"/>
      <c r="AB138" s="255" t="str">
        <f>K138&amp;" год"</f>
        <v>2030 год</v>
      </c>
      <c r="AC138" s="408"/>
      <c r="AD138" s="8266">
        <v>1</v>
      </c>
      <c r="AE138" s="8265">
        <v>0</v>
      </c>
      <c r="AF138" s="8267">
        <v>37.478</v>
      </c>
      <c r="AG138" s="8266" cm="1" t="str">
        <f t="array" ref="AG138:AG138">AG137</f>
        <v>1.292</v>
      </c>
      <c r="AH138" s="70"/>
      <c r="AI138" s="71"/>
      <c r="AJ138" s="70"/>
      <c r="AK138" s="72"/>
      <c r="AL138" s="403"/>
      <c r="AM138" s="8264"/>
      <c r="AN138" s="1064" cm="1" t="str">
        <f t="array" ref="AN138:AN138">K138</f>
        <v>2030</v>
      </c>
      <c r="AO138" s="1064" t="s">
        <v>2977</v>
      </c>
      <c r="AP138" s="1074" cm="1" t="str">
        <f t="array" ref="AP138:AP138">AP137</f>
        <v>Питьевая вода (Осинниковский городской округ)</v>
      </c>
      <c r="AQ138" s="703"/>
      <c r="AR138" s="703"/>
    </row>
    <row s="8264" customFormat="1" customHeight="1" ht="14.25" hidden="1">
      <c r="A139" s="8264"/>
      <c r="B139" s="445">
        <f>K139&lt;first_year+PERIOD_LENGTH</f>
        <v>0</v>
      </c>
      <c r="C139" s="8264"/>
      <c r="D139" s="8264"/>
      <c r="E139" s="703">
        <v>15</v>
      </c>
      <c r="F139" s="50" cm="1" t="str">
        <f t="array" ref="F139:F139">OFFSET(E139,-1,1)</f>
        <v>1</v>
      </c>
      <c r="G139" s="98" cm="1" t="str">
        <f t="array" ref="G139:G139">G138</f>
        <v>Питьевая вода (Осинниковский городской округ)</v>
      </c>
      <c r="H139" s="8264"/>
      <c r="I139" s="8264"/>
      <c r="J139" s="8264"/>
      <c r="K139" s="158">
        <f>first_year+5</f>
        <v>2031</v>
      </c>
      <c r="L139" s="8264"/>
      <c r="M139" s="8264"/>
      <c r="N139" s="8264"/>
      <c r="O139" s="8264"/>
      <c r="P139" s="8264"/>
      <c r="Q139" s="8264"/>
      <c r="R139" s="8264"/>
      <c r="S139" s="8264"/>
      <c r="T139" s="465" cm="1" t="str">
        <f t="array" ref="T139:T139">T138</f>
        <v>true</v>
      </c>
      <c r="U139" s="8264"/>
      <c r="V139" s="8264"/>
      <c r="W139" s="8264"/>
      <c r="X139" s="8264"/>
      <c r="Y139" s="8264"/>
      <c r="Z139" s="8264"/>
      <c r="AA139" s="8264"/>
      <c r="AB139" s="255" t="str">
        <f>K139&amp;" год"</f>
        <v>2031 год</v>
      </c>
      <c r="AC139" s="408"/>
      <c r="AD139" s="71"/>
      <c r="AE139" s="70"/>
      <c r="AF139" s="70"/>
      <c r="AG139" s="71"/>
      <c r="AH139" s="70"/>
      <c r="AI139" s="71"/>
      <c r="AJ139" s="70"/>
      <c r="AK139" s="72"/>
      <c r="AL139" s="403"/>
      <c r="AM139" s="8264"/>
      <c r="AN139" s="1064" cm="1" t="str">
        <f t="array" ref="AN139:AN139">K139</f>
        <v>2031</v>
      </c>
      <c r="AO139" s="1064" t="s">
        <v>2977</v>
      </c>
      <c r="AP139" s="1074" cm="1" t="str">
        <f t="array" ref="AP139:AP139">AP138</f>
        <v>Питьевая вода (Осинниковский городской округ)</v>
      </c>
      <c r="AQ139" s="703"/>
      <c r="AR139" s="703"/>
    </row>
    <row s="8264" customFormat="1" customHeight="1" ht="14.25" hidden="1">
      <c r="A140" s="8264"/>
      <c r="B140" s="445">
        <f>K140&lt;first_year+PERIOD_LENGTH</f>
        <v>0</v>
      </c>
      <c r="C140" s="8264"/>
      <c r="D140" s="8264"/>
      <c r="E140" s="703">
        <v>15</v>
      </c>
      <c r="F140" s="50" cm="1" t="str">
        <f t="array" ref="F140:F140">OFFSET(E140,-1,1)</f>
        <v>1</v>
      </c>
      <c r="G140" s="98" cm="1" t="str">
        <f t="array" ref="G140:G140">G139</f>
        <v>Питьевая вода (Осинниковский городской округ)</v>
      </c>
      <c r="H140" s="8264"/>
      <c r="I140" s="8264"/>
      <c r="J140" s="8264"/>
      <c r="K140" s="158">
        <f>first_year+6</f>
        <v>2032</v>
      </c>
      <c r="L140" s="8264"/>
      <c r="M140" s="8264"/>
      <c r="N140" s="8264"/>
      <c r="O140" s="8264"/>
      <c r="P140" s="8264"/>
      <c r="Q140" s="8264"/>
      <c r="R140" s="8264"/>
      <c r="S140" s="8264"/>
      <c r="T140" s="465" cm="1" t="str">
        <f t="array" ref="T140:T140">T139</f>
        <v>true</v>
      </c>
      <c r="U140" s="8264"/>
      <c r="V140" s="8264"/>
      <c r="W140" s="8264"/>
      <c r="X140" s="8264"/>
      <c r="Y140" s="8264"/>
      <c r="Z140" s="8264"/>
      <c r="AA140" s="8264"/>
      <c r="AB140" s="255" t="str">
        <f>K140&amp;" год"</f>
        <v>2032 год</v>
      </c>
      <c r="AC140" s="408"/>
      <c r="AD140" s="71"/>
      <c r="AE140" s="70"/>
      <c r="AF140" s="70"/>
      <c r="AG140" s="71"/>
      <c r="AH140" s="70"/>
      <c r="AI140" s="71"/>
      <c r="AJ140" s="70"/>
      <c r="AK140" s="72"/>
      <c r="AL140" s="403"/>
      <c r="AM140" s="8264"/>
      <c r="AN140" s="1064" cm="1" t="str">
        <f t="array" ref="AN140:AN140">K140</f>
        <v>2032</v>
      </c>
      <c r="AO140" s="1064" t="s">
        <v>2977</v>
      </c>
      <c r="AP140" s="1074" cm="1" t="str">
        <f t="array" ref="AP140:AP140">AP139</f>
        <v>Питьевая вода (Осинниковский городской округ)</v>
      </c>
      <c r="AQ140" s="703"/>
      <c r="AR140" s="703"/>
    </row>
    <row s="8264" customFormat="1" customHeight="1" ht="14.25" hidden="1">
      <c r="A141" s="8264"/>
      <c r="B141" s="445">
        <f>K141&lt;first_year+PERIOD_LENGTH</f>
        <v>0</v>
      </c>
      <c r="C141" s="8264"/>
      <c r="D141" s="8264"/>
      <c r="E141" s="703">
        <v>15</v>
      </c>
      <c r="F141" s="50" cm="1" t="str">
        <f t="array" ref="F141:F141">OFFSET(E141,-1,1)</f>
        <v>1</v>
      </c>
      <c r="G141" s="98" cm="1" t="str">
        <f t="array" ref="G141:G141">G140</f>
        <v>Питьевая вода (Осинниковский городской округ)</v>
      </c>
      <c r="H141" s="8264"/>
      <c r="I141" s="8264"/>
      <c r="J141" s="8264"/>
      <c r="K141" s="158">
        <f>first_year+7</f>
        <v>2033</v>
      </c>
      <c r="L141" s="8264"/>
      <c r="M141" s="8264"/>
      <c r="N141" s="8264"/>
      <c r="O141" s="8264"/>
      <c r="P141" s="8264"/>
      <c r="Q141" s="8264"/>
      <c r="R141" s="8264"/>
      <c r="S141" s="8264"/>
      <c r="T141" s="465" cm="1" t="str">
        <f t="array" ref="T141:T141">T140</f>
        <v>true</v>
      </c>
      <c r="U141" s="8264"/>
      <c r="V141" s="8264"/>
      <c r="W141" s="8264"/>
      <c r="X141" s="8264"/>
      <c r="Y141" s="8264"/>
      <c r="Z141" s="8264"/>
      <c r="AA141" s="8264"/>
      <c r="AB141" s="255" t="str">
        <f>K141&amp;" год"</f>
        <v>2033 год</v>
      </c>
      <c r="AC141" s="408"/>
      <c r="AD141" s="71"/>
      <c r="AE141" s="70"/>
      <c r="AF141" s="70"/>
      <c r="AG141" s="71"/>
      <c r="AH141" s="70"/>
      <c r="AI141" s="71"/>
      <c r="AJ141" s="70"/>
      <c r="AK141" s="72"/>
      <c r="AL141" s="403"/>
      <c r="AM141" s="8264"/>
      <c r="AN141" s="1064" cm="1" t="str">
        <f t="array" ref="AN141:AN141">K141</f>
        <v>2033</v>
      </c>
      <c r="AO141" s="1064" t="s">
        <v>2977</v>
      </c>
      <c r="AP141" s="1074" cm="1" t="str">
        <f t="array" ref="AP141:AP141">AP140</f>
        <v>Питьевая вода (Осинниковский городской округ)</v>
      </c>
      <c r="AQ141" s="703"/>
      <c r="AR141" s="703"/>
    </row>
    <row s="8264" customFormat="1" customHeight="1" ht="14.25" hidden="1">
      <c r="A142" s="8264"/>
      <c r="B142" s="445">
        <f>K142&lt;first_year+PERIOD_LENGTH</f>
        <v>0</v>
      </c>
      <c r="C142" s="8264"/>
      <c r="D142" s="8264"/>
      <c r="E142" s="703">
        <v>15</v>
      </c>
      <c r="F142" s="50" cm="1" t="str">
        <f t="array" ref="F142:F142">OFFSET(E142,-1,1)</f>
        <v>1</v>
      </c>
      <c r="G142" s="98" cm="1" t="str">
        <f t="array" ref="G142:G142">G141</f>
        <v>Питьевая вода (Осинниковский городской округ)</v>
      </c>
      <c r="H142" s="8264"/>
      <c r="I142" s="8264"/>
      <c r="J142" s="8264"/>
      <c r="K142" s="158">
        <f>first_year+8</f>
        <v>2034</v>
      </c>
      <c r="L142" s="8264"/>
      <c r="M142" s="8264"/>
      <c r="N142" s="8264"/>
      <c r="O142" s="8264"/>
      <c r="P142" s="8264"/>
      <c r="Q142" s="8264"/>
      <c r="R142" s="8264"/>
      <c r="S142" s="8264"/>
      <c r="T142" s="465" cm="1" t="str">
        <f t="array" ref="T142:T142">T141</f>
        <v>true</v>
      </c>
      <c r="U142" s="8264"/>
      <c r="V142" s="8264"/>
      <c r="W142" s="8264"/>
      <c r="X142" s="8264"/>
      <c r="Y142" s="8264"/>
      <c r="Z142" s="8264"/>
      <c r="AA142" s="8264"/>
      <c r="AB142" s="255" t="str">
        <f>K142&amp;" год"</f>
        <v>2034 год</v>
      </c>
      <c r="AC142" s="408"/>
      <c r="AD142" s="71"/>
      <c r="AE142" s="70"/>
      <c r="AF142" s="70"/>
      <c r="AG142" s="71"/>
      <c r="AH142" s="70"/>
      <c r="AI142" s="71"/>
      <c r="AJ142" s="70"/>
      <c r="AK142" s="72"/>
      <c r="AL142" s="403"/>
      <c r="AM142" s="8264"/>
      <c r="AN142" s="1064" cm="1" t="str">
        <f t="array" ref="AN142:AN142">K142</f>
        <v>2034</v>
      </c>
      <c r="AO142" s="1064" t="s">
        <v>2977</v>
      </c>
      <c r="AP142" s="1074" cm="1" t="str">
        <f t="array" ref="AP142:AP142">AP141</f>
        <v>Питьевая вода (Осинниковский городской округ)</v>
      </c>
      <c r="AQ142" s="703"/>
      <c r="AR142" s="703"/>
    </row>
    <row s="8264" customFormat="1" customHeight="1" ht="14.25" hidden="1">
      <c r="A143" s="8264"/>
      <c r="B143" s="445">
        <f>K143&lt;first_year+PERIOD_LENGTH</f>
        <v>0</v>
      </c>
      <c r="C143" s="8264"/>
      <c r="D143" s="8264"/>
      <c r="E143" s="703">
        <v>15</v>
      </c>
      <c r="F143" s="50" cm="1" t="str">
        <f t="array" ref="F143:F143">OFFSET(E143,-1,1)</f>
        <v>1</v>
      </c>
      <c r="G143" s="98" cm="1" t="str">
        <f t="array" ref="G143:G143">G142</f>
        <v>Питьевая вода (Осинниковский городской округ)</v>
      </c>
      <c r="H143" s="8264"/>
      <c r="I143" s="8264"/>
      <c r="J143" s="8264"/>
      <c r="K143" s="158">
        <f>first_year+9</f>
        <v>2035</v>
      </c>
      <c r="L143" s="8264"/>
      <c r="M143" s="8264"/>
      <c r="N143" s="8264"/>
      <c r="O143" s="8264"/>
      <c r="P143" s="8264"/>
      <c r="Q143" s="8264"/>
      <c r="R143" s="8264"/>
      <c r="S143" s="8264"/>
      <c r="T143" s="465" cm="1" t="str">
        <f t="array" ref="T143:T143">T142</f>
        <v>true</v>
      </c>
      <c r="U143" s="8264"/>
      <c r="V143" s="8264"/>
      <c r="W143" s="8264"/>
      <c r="X143" s="8264"/>
      <c r="Y143" s="8264"/>
      <c r="Z143" s="8264"/>
      <c r="AA143" s="8264"/>
      <c r="AB143" s="255" t="str">
        <f>K143&amp;" год"</f>
        <v>2035 год</v>
      </c>
      <c r="AC143" s="408"/>
      <c r="AD143" s="71"/>
      <c r="AE143" s="70"/>
      <c r="AF143" s="70"/>
      <c r="AG143" s="71"/>
      <c r="AH143" s="70"/>
      <c r="AI143" s="71"/>
      <c r="AJ143" s="70"/>
      <c r="AK143" s="72"/>
      <c r="AL143" s="403"/>
      <c r="AM143" s="8264"/>
      <c r="AN143" s="1064" cm="1" t="str">
        <f t="array" ref="AN143:AN143">K143</f>
        <v>2035</v>
      </c>
      <c r="AO143" s="1064" t="s">
        <v>2977</v>
      </c>
      <c r="AP143" s="1074" cm="1" t="str">
        <f t="array" ref="AP143:AP143">AP142</f>
        <v>Питьевая вода (Осинниковский городской округ)</v>
      </c>
      <c r="AQ143" s="703"/>
      <c r="AR143" s="703"/>
    </row>
    <row s="8264" customFormat="1" customHeight="1" ht="14.25" hidden="1">
      <c r="A144" s="8264"/>
      <c r="B144" s="445">
        <f>K144&lt;first_year+PERIOD_LENGTH</f>
        <v>0</v>
      </c>
      <c r="C144" s="8264"/>
      <c r="D144" s="8264"/>
      <c r="E144" s="703">
        <v>15</v>
      </c>
      <c r="F144" s="50" cm="1" t="str">
        <f t="array" ref="F144:F144">OFFSET(E144,-1,1)</f>
        <v>1</v>
      </c>
      <c r="G144" s="98" cm="1" t="str">
        <f t="array" ref="G144:G144">G143</f>
        <v>Питьевая вода (Осинниковский городской округ)</v>
      </c>
      <c r="H144" s="8264"/>
      <c r="I144" s="8264"/>
      <c r="J144" s="8264"/>
      <c r="K144" s="158">
        <f>first_year+10</f>
        <v>2036</v>
      </c>
      <c r="L144" s="8264"/>
      <c r="M144" s="8264"/>
      <c r="N144" s="8264"/>
      <c r="O144" s="8264"/>
      <c r="P144" s="8264"/>
      <c r="Q144" s="8264"/>
      <c r="R144" s="8264"/>
      <c r="S144" s="8264"/>
      <c r="T144" s="465" cm="1" t="str">
        <f t="array" ref="T144:T144">T143</f>
        <v>true</v>
      </c>
      <c r="U144" s="8264"/>
      <c r="V144" s="8264"/>
      <c r="W144" s="8264"/>
      <c r="X144" s="8264"/>
      <c r="Y144" s="8264"/>
      <c r="Z144" s="8264"/>
      <c r="AA144" s="8264"/>
      <c r="AB144" s="255" t="str">
        <f>K144&amp;" год"</f>
        <v>2036 год</v>
      </c>
      <c r="AC144" s="408"/>
      <c r="AD144" s="71"/>
      <c r="AE144" s="70"/>
      <c r="AF144" s="70"/>
      <c r="AG144" s="71"/>
      <c r="AH144" s="70"/>
      <c r="AI144" s="71"/>
      <c r="AJ144" s="70"/>
      <c r="AK144" s="72"/>
      <c r="AL144" s="403"/>
      <c r="AM144" s="8264"/>
      <c r="AN144" s="1064" cm="1" t="str">
        <f t="array" ref="AN144:AN144">K144</f>
        <v>2036</v>
      </c>
      <c r="AO144" s="1064" t="s">
        <v>2977</v>
      </c>
      <c r="AP144" s="1074" cm="1" t="str">
        <f t="array" ref="AP144:AP144">AP143</f>
        <v>Питьевая вода (Осинниковский городской округ)</v>
      </c>
      <c r="AQ144" s="703"/>
      <c r="AR144" s="703"/>
    </row>
    <row s="8264" customFormat="1" customHeight="1" ht="14.25" hidden="1">
      <c r="A145" s="8264"/>
      <c r="B145" s="445">
        <f>K145&lt;first_year+PERIOD_LENGTH</f>
        <v>0</v>
      </c>
      <c r="C145" s="8264"/>
      <c r="D145" s="8264"/>
      <c r="E145" s="703">
        <v>15</v>
      </c>
      <c r="F145" s="50" cm="1" t="str">
        <f t="array" ref="F145:F145">OFFSET(E145,-1,1)</f>
        <v>1</v>
      </c>
      <c r="G145" s="98" cm="1" t="str">
        <f t="array" ref="G145:G145">G144</f>
        <v>Питьевая вода (Осинниковский городской округ)</v>
      </c>
      <c r="H145" s="8264"/>
      <c r="I145" s="8264"/>
      <c r="J145" s="8264"/>
      <c r="K145" s="158">
        <f>first_year+11</f>
        <v>2037</v>
      </c>
      <c r="L145" s="8264"/>
      <c r="M145" s="8264"/>
      <c r="N145" s="8264"/>
      <c r="O145" s="8264"/>
      <c r="P145" s="8264"/>
      <c r="Q145" s="8264"/>
      <c r="R145" s="8264"/>
      <c r="S145" s="8264"/>
      <c r="T145" s="465" cm="1" t="str">
        <f t="array" ref="T145:T145">T144</f>
        <v>true</v>
      </c>
      <c r="U145" s="8264"/>
      <c r="V145" s="8264"/>
      <c r="W145" s="8264"/>
      <c r="X145" s="8264"/>
      <c r="Y145" s="8264"/>
      <c r="Z145" s="8264"/>
      <c r="AA145" s="8264"/>
      <c r="AB145" s="255" t="str">
        <f>K145&amp;" год"</f>
        <v>2037 год</v>
      </c>
      <c r="AC145" s="408"/>
      <c r="AD145" s="71"/>
      <c r="AE145" s="70"/>
      <c r="AF145" s="70"/>
      <c r="AG145" s="71"/>
      <c r="AH145" s="70"/>
      <c r="AI145" s="71"/>
      <c r="AJ145" s="70"/>
      <c r="AK145" s="72"/>
      <c r="AL145" s="403"/>
      <c r="AM145" s="8264"/>
      <c r="AN145" s="1064" cm="1" t="str">
        <f t="array" ref="AN145:AN145">K145</f>
        <v>2037</v>
      </c>
      <c r="AO145" s="1064" t="s">
        <v>2977</v>
      </c>
      <c r="AP145" s="1074" cm="1" t="str">
        <f t="array" ref="AP145:AP145">AP144</f>
        <v>Питьевая вода (Осинниковский городской округ)</v>
      </c>
      <c r="AQ145" s="703"/>
      <c r="AR145" s="703"/>
    </row>
    <row s="8264" customFormat="1" customHeight="1" ht="14.25" hidden="1">
      <c r="A146" s="8264"/>
      <c r="B146" s="445">
        <f>K146&lt;first_year+PERIOD_LENGTH</f>
        <v>0</v>
      </c>
      <c r="C146" s="8264"/>
      <c r="D146" s="8264"/>
      <c r="E146" s="703">
        <v>15</v>
      </c>
      <c r="F146" s="50" cm="1" t="str">
        <f t="array" ref="F146:F146">OFFSET(E146,-1,1)</f>
        <v>1</v>
      </c>
      <c r="G146" s="98" cm="1" t="str">
        <f t="array" ref="G146:G146">G145</f>
        <v>Питьевая вода (Осинниковский городской округ)</v>
      </c>
      <c r="H146" s="8264"/>
      <c r="I146" s="8264"/>
      <c r="J146" s="8264"/>
      <c r="K146" s="158">
        <f>first_year+12</f>
        <v>2038</v>
      </c>
      <c r="L146" s="8264"/>
      <c r="M146" s="8264"/>
      <c r="N146" s="8264"/>
      <c r="O146" s="8264"/>
      <c r="P146" s="8264"/>
      <c r="Q146" s="8264"/>
      <c r="R146" s="8264"/>
      <c r="S146" s="8264"/>
      <c r="T146" s="465" cm="1" t="str">
        <f t="array" ref="T146:T146">T145</f>
        <v>true</v>
      </c>
      <c r="U146" s="8264"/>
      <c r="V146" s="8264"/>
      <c r="W146" s="8264"/>
      <c r="X146" s="8264"/>
      <c r="Y146" s="8264"/>
      <c r="Z146" s="8264"/>
      <c r="AA146" s="8264"/>
      <c r="AB146" s="255" t="str">
        <f>K146&amp;" год"</f>
        <v>2038 год</v>
      </c>
      <c r="AC146" s="408"/>
      <c r="AD146" s="71"/>
      <c r="AE146" s="70"/>
      <c r="AF146" s="70"/>
      <c r="AG146" s="71"/>
      <c r="AH146" s="70"/>
      <c r="AI146" s="71"/>
      <c r="AJ146" s="70"/>
      <c r="AK146" s="72"/>
      <c r="AL146" s="403"/>
      <c r="AM146" s="8264"/>
      <c r="AN146" s="1064" cm="1" t="str">
        <f t="array" ref="AN146:AN146">K146</f>
        <v>2038</v>
      </c>
      <c r="AO146" s="1064" t="s">
        <v>2977</v>
      </c>
      <c r="AP146" s="1074" cm="1" t="str">
        <f t="array" ref="AP146:AP146">AP145</f>
        <v>Питьевая вода (Осинниковский городской округ)</v>
      </c>
      <c r="AQ146" s="703"/>
      <c r="AR146" s="703"/>
    </row>
    <row s="8264" customFormat="1" customHeight="1" ht="14.25" hidden="1">
      <c r="A147" s="8264"/>
      <c r="B147" s="445">
        <f>K147&lt;first_year+PERIOD_LENGTH</f>
        <v>0</v>
      </c>
      <c r="C147" s="8264"/>
      <c r="D147" s="8264"/>
      <c r="E147" s="703">
        <v>15</v>
      </c>
      <c r="F147" s="50" cm="1" t="str">
        <f t="array" ref="F147:F147">OFFSET(E147,-1,1)</f>
        <v>1</v>
      </c>
      <c r="G147" s="98" cm="1" t="str">
        <f t="array" ref="G147:G147">G146</f>
        <v>Питьевая вода (Осинниковский городской округ)</v>
      </c>
      <c r="H147" s="8264"/>
      <c r="I147" s="8264"/>
      <c r="J147" s="8264"/>
      <c r="K147" s="158">
        <f>first_year+13</f>
        <v>2039</v>
      </c>
      <c r="L147" s="8264"/>
      <c r="M147" s="8264"/>
      <c r="N147" s="8264"/>
      <c r="O147" s="8264"/>
      <c r="P147" s="8264"/>
      <c r="Q147" s="8264"/>
      <c r="R147" s="8264"/>
      <c r="S147" s="8264"/>
      <c r="T147" s="465" cm="1" t="str">
        <f t="array" ref="T147:T147">T146</f>
        <v>true</v>
      </c>
      <c r="U147" s="8264"/>
      <c r="V147" s="8264"/>
      <c r="W147" s="8264"/>
      <c r="X147" s="8264"/>
      <c r="Y147" s="8264"/>
      <c r="Z147" s="8264"/>
      <c r="AA147" s="8264"/>
      <c r="AB147" s="255" t="str">
        <f>K147&amp;" год"</f>
        <v>2039 год</v>
      </c>
      <c r="AC147" s="408"/>
      <c r="AD147" s="71"/>
      <c r="AE147" s="70"/>
      <c r="AF147" s="70"/>
      <c r="AG147" s="71"/>
      <c r="AH147" s="70"/>
      <c r="AI147" s="71"/>
      <c r="AJ147" s="70"/>
      <c r="AK147" s="72"/>
      <c r="AL147" s="403"/>
      <c r="AM147" s="8264"/>
      <c r="AN147" s="1064" cm="1" t="str">
        <f t="array" ref="AN147:AN147">K147</f>
        <v>2039</v>
      </c>
      <c r="AO147" s="1064" t="s">
        <v>2977</v>
      </c>
      <c r="AP147" s="1074" cm="1" t="str">
        <f t="array" ref="AP147:AP147">AP146</f>
        <v>Питьевая вода (Осинниковский городской округ)</v>
      </c>
      <c r="AQ147" s="703"/>
      <c r="AR147" s="703"/>
    </row>
    <row s="8264" customFormat="1" customHeight="1" ht="14.25" hidden="1">
      <c r="A148" s="8264"/>
      <c r="B148" s="445">
        <f>K148&lt;first_year+PERIOD_LENGTH</f>
        <v>0</v>
      </c>
      <c r="C148" s="8264"/>
      <c r="D148" s="8264"/>
      <c r="E148" s="703">
        <v>15</v>
      </c>
      <c r="F148" s="50" cm="1" t="str">
        <f t="array" ref="F148:F148">OFFSET(E148,-1,1)</f>
        <v>1</v>
      </c>
      <c r="G148" s="98" cm="1" t="str">
        <f t="array" ref="G148:G148">G147</f>
        <v>Питьевая вода (Осинниковский городской округ)</v>
      </c>
      <c r="H148" s="8264"/>
      <c r="I148" s="8264"/>
      <c r="J148" s="8264"/>
      <c r="K148" s="158">
        <f>first_year+14</f>
        <v>2040</v>
      </c>
      <c r="L148" s="8264"/>
      <c r="M148" s="8264"/>
      <c r="N148" s="8264"/>
      <c r="O148" s="8264"/>
      <c r="P148" s="8264"/>
      <c r="Q148" s="8264"/>
      <c r="R148" s="8264"/>
      <c r="S148" s="8264"/>
      <c r="T148" s="465" cm="1" t="str">
        <f t="array" ref="T148:T148">T147</f>
        <v>true</v>
      </c>
      <c r="U148" s="8264"/>
      <c r="V148" s="8264"/>
      <c r="W148" s="8264"/>
      <c r="X148" s="8264"/>
      <c r="Y148" s="8264"/>
      <c r="Z148" s="8264"/>
      <c r="AA148" s="8264"/>
      <c r="AB148" s="255" t="str">
        <f>K148&amp;" год"</f>
        <v>2040 год</v>
      </c>
      <c r="AC148" s="408"/>
      <c r="AD148" s="71"/>
      <c r="AE148" s="70"/>
      <c r="AF148" s="70"/>
      <c r="AG148" s="71"/>
      <c r="AH148" s="70"/>
      <c r="AI148" s="71"/>
      <c r="AJ148" s="70"/>
      <c r="AK148" s="72"/>
      <c r="AL148" s="403"/>
      <c r="AM148" s="8264"/>
      <c r="AN148" s="1064" cm="1" t="str">
        <f t="array" ref="AN148:AN148">K148</f>
        <v>2040</v>
      </c>
      <c r="AO148" s="1064" t="s">
        <v>2977</v>
      </c>
      <c r="AP148" s="1074" cm="1" t="str">
        <f t="array" ref="AP148:AP148">AP147</f>
        <v>Питьевая вода (Осинниковский городской округ)</v>
      </c>
      <c r="AQ148" s="703"/>
      <c r="AR148" s="703"/>
    </row>
    <row s="8264" customFormat="1" customHeight="1" ht="14.25" hidden="1">
      <c r="A149" s="8264"/>
      <c r="B149" s="445">
        <f>K149&lt;first_year+PERIOD_LENGTH</f>
        <v>0</v>
      </c>
      <c r="C149" s="8264"/>
      <c r="D149" s="8264"/>
      <c r="E149" s="703">
        <v>15</v>
      </c>
      <c r="F149" s="50" cm="1" t="str">
        <f t="array" ref="F149:F149">OFFSET(E149,-1,1)</f>
        <v>1</v>
      </c>
      <c r="G149" s="98" cm="1" t="str">
        <f t="array" ref="G149:G149">G148</f>
        <v>Питьевая вода (Осинниковский городской округ)</v>
      </c>
      <c r="H149" s="8264"/>
      <c r="I149" s="8264"/>
      <c r="J149" s="8264"/>
      <c r="K149" s="158">
        <f>first_year+15</f>
        <v>2041</v>
      </c>
      <c r="L149" s="8264"/>
      <c r="M149" s="8264"/>
      <c r="N149" s="8264"/>
      <c r="O149" s="8264"/>
      <c r="P149" s="8264"/>
      <c r="Q149" s="8264"/>
      <c r="R149" s="8264"/>
      <c r="S149" s="8264"/>
      <c r="T149" s="465" cm="1" t="str">
        <f t="array" ref="T149:T149">T148</f>
        <v>true</v>
      </c>
      <c r="U149" s="8264"/>
      <c r="V149" s="8264"/>
      <c r="W149" s="8264"/>
      <c r="X149" s="8264"/>
      <c r="Y149" s="8264"/>
      <c r="Z149" s="8264"/>
      <c r="AA149" s="8264"/>
      <c r="AB149" s="255" t="str">
        <f>K149&amp;" год"</f>
        <v>2041 год</v>
      </c>
      <c r="AC149" s="408"/>
      <c r="AD149" s="71"/>
      <c r="AE149" s="70"/>
      <c r="AF149" s="70"/>
      <c r="AG149" s="71"/>
      <c r="AH149" s="70"/>
      <c r="AI149" s="71"/>
      <c r="AJ149" s="70"/>
      <c r="AK149" s="72"/>
      <c r="AL149" s="403"/>
      <c r="AM149" s="8264"/>
      <c r="AN149" s="1064" cm="1" t="str">
        <f t="array" ref="AN149:AN149">K149</f>
        <v>2041</v>
      </c>
      <c r="AO149" s="1064" t="s">
        <v>2977</v>
      </c>
      <c r="AP149" s="1074" cm="1" t="str">
        <f t="array" ref="AP149:AP149">AP148</f>
        <v>Питьевая вода (Осинниковский городской округ)</v>
      </c>
      <c r="AQ149" s="703"/>
      <c r="AR149" s="703"/>
    </row>
    <row s="8264" customFormat="1" customHeight="1" ht="14.25" hidden="1">
      <c r="A150" s="8264"/>
      <c r="B150" s="445">
        <f>K150&lt;first_year+PERIOD_LENGTH</f>
        <v>0</v>
      </c>
      <c r="C150" s="8264"/>
      <c r="D150" s="8264"/>
      <c r="E150" s="703">
        <v>15</v>
      </c>
      <c r="F150" s="50" cm="1" t="str">
        <f t="array" ref="F150:F150">OFFSET(E150,-1,1)</f>
        <v>1</v>
      </c>
      <c r="G150" s="98" cm="1" t="str">
        <f t="array" ref="G150:G150">G149</f>
        <v>Питьевая вода (Осинниковский городской округ)</v>
      </c>
      <c r="H150" s="8264"/>
      <c r="I150" s="8264"/>
      <c r="J150" s="8264"/>
      <c r="K150" s="158">
        <f>first_year+16</f>
        <v>2042</v>
      </c>
      <c r="L150" s="8264"/>
      <c r="M150" s="8264"/>
      <c r="N150" s="8264"/>
      <c r="O150" s="8264"/>
      <c r="P150" s="8264"/>
      <c r="Q150" s="8264"/>
      <c r="R150" s="8264"/>
      <c r="S150" s="8264"/>
      <c r="T150" s="465" cm="1" t="str">
        <f t="array" ref="T150:T150">T149</f>
        <v>true</v>
      </c>
      <c r="U150" s="8264"/>
      <c r="V150" s="8264"/>
      <c r="W150" s="8264"/>
      <c r="X150" s="8264"/>
      <c r="Y150" s="8264"/>
      <c r="Z150" s="8264"/>
      <c r="AA150" s="8264"/>
      <c r="AB150" s="255" t="str">
        <f>K150&amp;" год"</f>
        <v>2042 год</v>
      </c>
      <c r="AC150" s="408"/>
      <c r="AD150" s="71"/>
      <c r="AE150" s="70"/>
      <c r="AF150" s="70"/>
      <c r="AG150" s="71"/>
      <c r="AH150" s="70"/>
      <c r="AI150" s="71"/>
      <c r="AJ150" s="70"/>
      <c r="AK150" s="72"/>
      <c r="AL150" s="403"/>
      <c r="AM150" s="8264"/>
      <c r="AN150" s="1064" cm="1" t="str">
        <f t="array" ref="AN150:AN150">K150</f>
        <v>2042</v>
      </c>
      <c r="AO150" s="1064" t="s">
        <v>2977</v>
      </c>
      <c r="AP150" s="1074" cm="1" t="str">
        <f t="array" ref="AP150:AP150">AP149</f>
        <v>Питьевая вода (Осинниковский городской округ)</v>
      </c>
      <c r="AQ150" s="703"/>
      <c r="AR150" s="703"/>
    </row>
    <row s="8264" customFormat="1" customHeight="1" ht="14.25" hidden="1">
      <c r="A151" s="8264"/>
      <c r="B151" s="445">
        <f>K151&lt;first_year+PERIOD_LENGTH</f>
        <v>0</v>
      </c>
      <c r="C151" s="8264"/>
      <c r="D151" s="8264"/>
      <c r="E151" s="703">
        <v>15</v>
      </c>
      <c r="F151" s="50" cm="1" t="str">
        <f t="array" ref="F151:F151">OFFSET(E151,-1,1)</f>
        <v>1</v>
      </c>
      <c r="G151" s="98" cm="1" t="str">
        <f t="array" ref="G151:G151">G150</f>
        <v>Питьевая вода (Осинниковский городской округ)</v>
      </c>
      <c r="H151" s="8264"/>
      <c r="I151" s="8264"/>
      <c r="J151" s="8264"/>
      <c r="K151" s="158">
        <f>first_year+17</f>
        <v>2043</v>
      </c>
      <c r="L151" s="8264"/>
      <c r="M151" s="8264"/>
      <c r="N151" s="8264"/>
      <c r="O151" s="8264"/>
      <c r="P151" s="8264"/>
      <c r="Q151" s="8264"/>
      <c r="R151" s="8264"/>
      <c r="S151" s="8264"/>
      <c r="T151" s="465" cm="1" t="str">
        <f t="array" ref="T151:T151">T150</f>
        <v>true</v>
      </c>
      <c r="U151" s="8264"/>
      <c r="V151" s="8264"/>
      <c r="W151" s="8264"/>
      <c r="X151" s="8264"/>
      <c r="Y151" s="8264"/>
      <c r="Z151" s="8264"/>
      <c r="AA151" s="8264"/>
      <c r="AB151" s="255" t="str">
        <f>K151&amp;" год"</f>
        <v>2043 год</v>
      </c>
      <c r="AC151" s="408"/>
      <c r="AD151" s="71"/>
      <c r="AE151" s="70"/>
      <c r="AF151" s="70"/>
      <c r="AG151" s="71"/>
      <c r="AH151" s="70"/>
      <c r="AI151" s="71"/>
      <c r="AJ151" s="70"/>
      <c r="AK151" s="72"/>
      <c r="AL151" s="403"/>
      <c r="AM151" s="8264"/>
      <c r="AN151" s="1064" cm="1" t="str">
        <f t="array" ref="AN151:AN151">K151</f>
        <v>2043</v>
      </c>
      <c r="AO151" s="1064" t="s">
        <v>2977</v>
      </c>
      <c r="AP151" s="1074" cm="1" t="str">
        <f t="array" ref="AP151:AP151">AP150</f>
        <v>Питьевая вода (Осинниковский городской округ)</v>
      </c>
      <c r="AQ151" s="703"/>
      <c r="AR151" s="703"/>
    </row>
    <row s="8264" customFormat="1" customHeight="1" ht="14.25" hidden="1">
      <c r="A152" s="8264"/>
      <c r="B152" s="445">
        <f>K152&lt;first_year+PERIOD_LENGTH</f>
        <v>0</v>
      </c>
      <c r="C152" s="8264"/>
      <c r="D152" s="8264"/>
      <c r="E152" s="703">
        <v>15</v>
      </c>
      <c r="F152" s="50" cm="1" t="str">
        <f t="array" ref="F152:F152">OFFSET(E152,-1,1)</f>
        <v>1</v>
      </c>
      <c r="G152" s="98" cm="1" t="str">
        <f t="array" ref="G152:G152">G151</f>
        <v>Питьевая вода (Осинниковский городской округ)</v>
      </c>
      <c r="H152" s="8264"/>
      <c r="I152" s="8264"/>
      <c r="J152" s="8264"/>
      <c r="K152" s="158">
        <f>first_year+18</f>
        <v>2044</v>
      </c>
      <c r="L152" s="8264"/>
      <c r="M152" s="8264"/>
      <c r="N152" s="8264"/>
      <c r="O152" s="8264"/>
      <c r="P152" s="8264"/>
      <c r="Q152" s="8264"/>
      <c r="R152" s="8264"/>
      <c r="S152" s="8264"/>
      <c r="T152" s="465" cm="1" t="str">
        <f t="array" ref="T152:T152">T151</f>
        <v>true</v>
      </c>
      <c r="U152" s="8264"/>
      <c r="V152" s="8264"/>
      <c r="W152" s="8264"/>
      <c r="X152" s="8264"/>
      <c r="Y152" s="8264"/>
      <c r="Z152" s="8264"/>
      <c r="AA152" s="8264"/>
      <c r="AB152" s="255" t="str">
        <f>K152&amp;" год"</f>
        <v>2044 год</v>
      </c>
      <c r="AC152" s="408"/>
      <c r="AD152" s="71"/>
      <c r="AE152" s="70"/>
      <c r="AF152" s="70"/>
      <c r="AG152" s="71"/>
      <c r="AH152" s="70"/>
      <c r="AI152" s="71"/>
      <c r="AJ152" s="70"/>
      <c r="AK152" s="72"/>
      <c r="AL152" s="403"/>
      <c r="AM152" s="8264"/>
      <c r="AN152" s="1064" cm="1" t="str">
        <f t="array" ref="AN152:AN152">K152</f>
        <v>2044</v>
      </c>
      <c r="AO152" s="1064" t="s">
        <v>2977</v>
      </c>
      <c r="AP152" s="1074" cm="1" t="str">
        <f t="array" ref="AP152:AP152">AP151</f>
        <v>Питьевая вода (Осинниковский городской округ)</v>
      </c>
      <c r="AQ152" s="703"/>
      <c r="AR152" s="703"/>
    </row>
    <row s="8264" customFormat="1" customHeight="1" ht="14.25" hidden="1">
      <c r="A153" s="8264"/>
      <c r="B153" s="445">
        <f>K153&lt;first_year+PERIOD_LENGTH</f>
        <v>0</v>
      </c>
      <c r="C153" s="8264"/>
      <c r="D153" s="8264"/>
      <c r="E153" s="703">
        <v>15</v>
      </c>
      <c r="F153" s="50" cm="1" t="str">
        <f t="array" ref="F153:F153">OFFSET(E153,-1,1)</f>
        <v>1</v>
      </c>
      <c r="G153" s="98" cm="1" t="str">
        <f t="array" ref="G153:G153">G152</f>
        <v>Питьевая вода (Осинниковский городской округ)</v>
      </c>
      <c r="H153" s="8264"/>
      <c r="I153" s="8264"/>
      <c r="J153" s="8264"/>
      <c r="K153" s="158">
        <f>first_year+19</f>
        <v>2045</v>
      </c>
      <c r="L153" s="8264"/>
      <c r="M153" s="8264"/>
      <c r="N153" s="8264"/>
      <c r="O153" s="8264"/>
      <c r="P153" s="8264"/>
      <c r="Q153" s="8264"/>
      <c r="R153" s="8264"/>
      <c r="S153" s="8264"/>
      <c r="T153" s="465" cm="1" t="str">
        <f t="array" ref="T153:T153">T152</f>
        <v>true</v>
      </c>
      <c r="U153" s="8264"/>
      <c r="V153" s="8264"/>
      <c r="W153" s="8264"/>
      <c r="X153" s="8264"/>
      <c r="Y153" s="8264"/>
      <c r="Z153" s="8264"/>
      <c r="AA153" s="8264"/>
      <c r="AB153" s="255" t="str">
        <f>K153&amp;" год"</f>
        <v>2045 год</v>
      </c>
      <c r="AC153" s="408"/>
      <c r="AD153" s="71"/>
      <c r="AE153" s="70"/>
      <c r="AF153" s="70"/>
      <c r="AG153" s="71"/>
      <c r="AH153" s="70"/>
      <c r="AI153" s="71"/>
      <c r="AJ153" s="70"/>
      <c r="AK153" s="72"/>
      <c r="AL153" s="403"/>
      <c r="AM153" s="8264"/>
      <c r="AN153" s="1064" cm="1" t="str">
        <f t="array" ref="AN153:AN153">K153</f>
        <v>2045</v>
      </c>
      <c r="AO153" s="1064" t="s">
        <v>2977</v>
      </c>
      <c r="AP153" s="1074" cm="1" t="str">
        <f t="array" ref="AP153:AP153">AP152</f>
        <v>Питьевая вода (Осинниковский городской округ)</v>
      </c>
      <c r="AQ153" s="703"/>
      <c r="AR153" s="703"/>
    </row>
    <row s="8264" customFormat="1" customHeight="1" ht="14.25" hidden="1">
      <c r="A154" s="8264"/>
      <c r="B154" s="445">
        <f>K154&lt;first_year+PERIOD_LENGTH</f>
        <v>0</v>
      </c>
      <c r="C154" s="8264"/>
      <c r="D154" s="8264"/>
      <c r="E154" s="703">
        <v>15</v>
      </c>
      <c r="F154" s="50" cm="1" t="str">
        <f t="array" ref="F154:F154">OFFSET(E154,-1,1)</f>
        <v>1</v>
      </c>
      <c r="G154" s="98" cm="1" t="str">
        <f t="array" ref="G154:G154">G153</f>
        <v>Питьевая вода (Осинниковский городской округ)</v>
      </c>
      <c r="H154" s="8264"/>
      <c r="I154" s="8264"/>
      <c r="J154" s="8264"/>
      <c r="K154" s="158">
        <f>first_year+20</f>
        <v>2046</v>
      </c>
      <c r="L154" s="8264"/>
      <c r="M154" s="8264"/>
      <c r="N154" s="8264"/>
      <c r="O154" s="8264"/>
      <c r="P154" s="8264"/>
      <c r="Q154" s="8264"/>
      <c r="R154" s="8264"/>
      <c r="S154" s="8264"/>
      <c r="T154" s="465" cm="1" t="str">
        <f t="array" ref="T154:T154">T153</f>
        <v>true</v>
      </c>
      <c r="U154" s="8264"/>
      <c r="V154" s="8264"/>
      <c r="W154" s="8264"/>
      <c r="X154" s="8264"/>
      <c r="Y154" s="8264"/>
      <c r="Z154" s="8264"/>
      <c r="AA154" s="8264"/>
      <c r="AB154" s="255" t="str">
        <f>K154&amp;" год"</f>
        <v>2046 год</v>
      </c>
      <c r="AC154" s="408"/>
      <c r="AD154" s="71"/>
      <c r="AE154" s="70"/>
      <c r="AF154" s="70"/>
      <c r="AG154" s="71"/>
      <c r="AH154" s="70"/>
      <c r="AI154" s="71"/>
      <c r="AJ154" s="70"/>
      <c r="AK154" s="72"/>
      <c r="AL154" s="403"/>
      <c r="AM154" s="8264"/>
      <c r="AN154" s="1064" cm="1" t="str">
        <f t="array" ref="AN154:AN154">K154</f>
        <v>2046</v>
      </c>
      <c r="AO154" s="1064" t="s">
        <v>2977</v>
      </c>
      <c r="AP154" s="1074" cm="1" t="str">
        <f t="array" ref="AP154:AP154">AP153</f>
        <v>Питьевая вода (Осинниковский городской округ)</v>
      </c>
      <c r="AQ154" s="703"/>
      <c r="AR154" s="703"/>
    </row>
    <row s="8264" customFormat="1" customHeight="1" ht="14.25" hidden="1">
      <c r="A155" s="8264"/>
      <c r="B155" s="445">
        <f>K155&lt;first_year+PERIOD_LENGTH</f>
        <v>0</v>
      </c>
      <c r="C155" s="8264"/>
      <c r="D155" s="8264"/>
      <c r="E155" s="703">
        <v>15</v>
      </c>
      <c r="F155" s="50" cm="1" t="str">
        <f t="array" ref="F155:F155">OFFSET(E155,-1,1)</f>
        <v>1</v>
      </c>
      <c r="G155" s="98" cm="1" t="str">
        <f t="array" ref="G155:G155">G154</f>
        <v>Питьевая вода (Осинниковский городской округ)</v>
      </c>
      <c r="H155" s="8264"/>
      <c r="I155" s="8264"/>
      <c r="J155" s="8264"/>
      <c r="K155" s="158">
        <f>first_year+21</f>
        <v>2047</v>
      </c>
      <c r="L155" s="8264"/>
      <c r="M155" s="8264"/>
      <c r="N155" s="8264"/>
      <c r="O155" s="8264"/>
      <c r="P155" s="8264"/>
      <c r="Q155" s="8264"/>
      <c r="R155" s="8264"/>
      <c r="S155" s="8264"/>
      <c r="T155" s="465" cm="1" t="str">
        <f t="array" ref="T155:T155">T154</f>
        <v>true</v>
      </c>
      <c r="U155" s="8264"/>
      <c r="V155" s="8264"/>
      <c r="W155" s="8264"/>
      <c r="X155" s="8264"/>
      <c r="Y155" s="8264"/>
      <c r="Z155" s="8264"/>
      <c r="AA155" s="8264"/>
      <c r="AB155" s="255" t="str">
        <f>K155&amp;" год"</f>
        <v>2047 год</v>
      </c>
      <c r="AC155" s="408"/>
      <c r="AD155" s="71"/>
      <c r="AE155" s="70"/>
      <c r="AF155" s="70"/>
      <c r="AG155" s="71"/>
      <c r="AH155" s="70"/>
      <c r="AI155" s="71"/>
      <c r="AJ155" s="70"/>
      <c r="AK155" s="72"/>
      <c r="AL155" s="403"/>
      <c r="AM155" s="8264"/>
      <c r="AN155" s="1064" cm="1" t="str">
        <f t="array" ref="AN155:AN155">K155</f>
        <v>2047</v>
      </c>
      <c r="AO155" s="1064" t="s">
        <v>2977</v>
      </c>
      <c r="AP155" s="1074" cm="1" t="str">
        <f t="array" ref="AP155:AP155">AP154</f>
        <v>Питьевая вода (Осинниковский городской округ)</v>
      </c>
      <c r="AQ155" s="703"/>
      <c r="AR155" s="703"/>
    </row>
    <row s="8264" customFormat="1" customHeight="1" ht="14.25" hidden="1">
      <c r="A156" s="8264"/>
      <c r="B156" s="445">
        <f>K156&lt;first_year+PERIOD_LENGTH</f>
        <v>0</v>
      </c>
      <c r="C156" s="8264"/>
      <c r="D156" s="8264"/>
      <c r="E156" s="703">
        <v>15</v>
      </c>
      <c r="F156" s="50" cm="1" t="str">
        <f t="array" ref="F156:F156">OFFSET(E156,-1,1)</f>
        <v>1</v>
      </c>
      <c r="G156" s="98" cm="1" t="str">
        <f t="array" ref="G156:G156">G155</f>
        <v>Питьевая вода (Осинниковский городской округ)</v>
      </c>
      <c r="H156" s="8264"/>
      <c r="I156" s="8264"/>
      <c r="J156" s="8264"/>
      <c r="K156" s="158">
        <f>first_year+22</f>
        <v>2048</v>
      </c>
      <c r="L156" s="8264"/>
      <c r="M156" s="8264"/>
      <c r="N156" s="8264"/>
      <c r="O156" s="8264"/>
      <c r="P156" s="8264"/>
      <c r="Q156" s="8264"/>
      <c r="R156" s="8264"/>
      <c r="S156" s="8264"/>
      <c r="T156" s="465" cm="1" t="str">
        <f t="array" ref="T156:T156">T155</f>
        <v>true</v>
      </c>
      <c r="U156" s="8264"/>
      <c r="V156" s="8264"/>
      <c r="W156" s="8264"/>
      <c r="X156" s="8264"/>
      <c r="Y156" s="8264"/>
      <c r="Z156" s="8264"/>
      <c r="AA156" s="8264"/>
      <c r="AB156" s="255" t="str">
        <f>K156&amp;" год"</f>
        <v>2048 год</v>
      </c>
      <c r="AC156" s="408"/>
      <c r="AD156" s="71"/>
      <c r="AE156" s="70"/>
      <c r="AF156" s="70"/>
      <c r="AG156" s="71"/>
      <c r="AH156" s="70"/>
      <c r="AI156" s="71"/>
      <c r="AJ156" s="70"/>
      <c r="AK156" s="72"/>
      <c r="AL156" s="403"/>
      <c r="AM156" s="8264"/>
      <c r="AN156" s="1064" cm="1" t="str">
        <f t="array" ref="AN156:AN156">K156</f>
        <v>2048</v>
      </c>
      <c r="AO156" s="1064" t="s">
        <v>2977</v>
      </c>
      <c r="AP156" s="1074" cm="1" t="str">
        <f t="array" ref="AP156:AP156">AP155</f>
        <v>Питьевая вода (Осинниковский городской округ)</v>
      </c>
      <c r="AQ156" s="703"/>
      <c r="AR156" s="703"/>
    </row>
    <row s="8264" customFormat="1" customHeight="1" ht="14.25" hidden="1">
      <c r="A157" s="8264"/>
      <c r="B157" s="445">
        <f>K157&lt;first_year+PERIOD_LENGTH</f>
        <v>0</v>
      </c>
      <c r="C157" s="8264"/>
      <c r="D157" s="8264"/>
      <c r="E157" s="703">
        <v>15</v>
      </c>
      <c r="F157" s="50" cm="1" t="str">
        <f t="array" ref="F157:F157">OFFSET(E157,-1,1)</f>
        <v>1</v>
      </c>
      <c r="G157" s="98" cm="1" t="str">
        <f t="array" ref="G157:G157">G156</f>
        <v>Питьевая вода (Осинниковский городской округ)</v>
      </c>
      <c r="H157" s="8264"/>
      <c r="I157" s="8264"/>
      <c r="J157" s="8264"/>
      <c r="K157" s="158">
        <f>first_year+23</f>
        <v>2049</v>
      </c>
      <c r="L157" s="8264"/>
      <c r="M157" s="8264"/>
      <c r="N157" s="8264"/>
      <c r="O157" s="8264"/>
      <c r="P157" s="8264"/>
      <c r="Q157" s="8264"/>
      <c r="R157" s="8264"/>
      <c r="S157" s="8264"/>
      <c r="T157" s="465" cm="1" t="str">
        <f t="array" ref="T157:T157">T156</f>
        <v>true</v>
      </c>
      <c r="U157" s="8264"/>
      <c r="V157" s="8264"/>
      <c r="W157" s="8264"/>
      <c r="X157" s="8264"/>
      <c r="Y157" s="8264"/>
      <c r="Z157" s="8264"/>
      <c r="AA157" s="8264"/>
      <c r="AB157" s="255" t="str">
        <f>K157&amp;" год"</f>
        <v>2049 год</v>
      </c>
      <c r="AC157" s="408"/>
      <c r="AD157" s="71"/>
      <c r="AE157" s="70"/>
      <c r="AF157" s="70"/>
      <c r="AG157" s="71"/>
      <c r="AH157" s="70"/>
      <c r="AI157" s="71"/>
      <c r="AJ157" s="70"/>
      <c r="AK157" s="72"/>
      <c r="AL157" s="403"/>
      <c r="AM157" s="8264"/>
      <c r="AN157" s="1064" cm="1" t="str">
        <f t="array" ref="AN157:AN157">K157</f>
        <v>2049</v>
      </c>
      <c r="AO157" s="1064" t="s">
        <v>2977</v>
      </c>
      <c r="AP157" s="1074" cm="1" t="str">
        <f t="array" ref="AP157:AP157">AP156</f>
        <v>Питьевая вода (Осинниковский городской округ)</v>
      </c>
      <c r="AQ157" s="703"/>
      <c r="AR157" s="703"/>
    </row>
    <row s="8264" customFormat="1" customHeight="1" ht="14.25" hidden="1">
      <c r="A158" s="8264"/>
      <c r="B158" s="445">
        <f>K158&lt;first_year+PERIOD_LENGTH</f>
        <v>0</v>
      </c>
      <c r="C158" s="8264"/>
      <c r="D158" s="8264"/>
      <c r="E158" s="703">
        <v>15</v>
      </c>
      <c r="F158" s="50" cm="1" t="str">
        <f t="array" ref="F158:F158">OFFSET(E158,-1,1)</f>
        <v>1</v>
      </c>
      <c r="G158" s="98" cm="1" t="str">
        <f t="array" ref="G158:G158">G157</f>
        <v>Питьевая вода (Осинниковский городской округ)</v>
      </c>
      <c r="H158" s="8264"/>
      <c r="I158" s="8264"/>
      <c r="J158" s="8264"/>
      <c r="K158" s="158">
        <f>first_year+24</f>
        <v>2050</v>
      </c>
      <c r="L158" s="8264"/>
      <c r="M158" s="8264"/>
      <c r="N158" s="8264"/>
      <c r="O158" s="8264"/>
      <c r="P158" s="8264"/>
      <c r="Q158" s="8264"/>
      <c r="R158" s="8264"/>
      <c r="S158" s="8264"/>
      <c r="T158" s="465" cm="1" t="str">
        <f t="array" ref="T158:T158">T157</f>
        <v>true</v>
      </c>
      <c r="U158" s="8264"/>
      <c r="V158" s="8264"/>
      <c r="W158" s="8264"/>
      <c r="X158" s="8264"/>
      <c r="Y158" s="8264"/>
      <c r="Z158" s="8264"/>
      <c r="AA158" s="8264"/>
      <c r="AB158" s="255" t="str">
        <f>K158&amp;" год"</f>
        <v>2050 год</v>
      </c>
      <c r="AC158" s="408"/>
      <c r="AD158" s="71"/>
      <c r="AE158" s="70"/>
      <c r="AF158" s="70"/>
      <c r="AG158" s="71"/>
      <c r="AH158" s="70"/>
      <c r="AI158" s="71"/>
      <c r="AJ158" s="70"/>
      <c r="AK158" s="72"/>
      <c r="AL158" s="403"/>
      <c r="AM158" s="8264"/>
      <c r="AN158" s="1064" cm="1" t="str">
        <f t="array" ref="AN158:AN158">K158</f>
        <v>2050</v>
      </c>
      <c r="AO158" s="1064" t="s">
        <v>2977</v>
      </c>
      <c r="AP158" s="1074" cm="1" t="str">
        <f t="array" ref="AP158:AP158">AP157</f>
        <v>Питьевая вода (Осинниковский городской округ)</v>
      </c>
      <c r="AQ158" s="703"/>
      <c r="AR158" s="703"/>
    </row>
    <row s="8264" customFormat="1" customHeight="1" ht="14.25" hidden="1">
      <c r="A159" s="8264"/>
      <c r="B159" s="445">
        <f>K159&lt;first_year+PERIOD_LENGTH</f>
        <v>0</v>
      </c>
      <c r="C159" s="8264"/>
      <c r="D159" s="8264"/>
      <c r="E159" s="703">
        <v>15</v>
      </c>
      <c r="F159" s="50" cm="1" t="str">
        <f t="array" ref="F159:F159">OFFSET(E159,-1,1)</f>
        <v>1</v>
      </c>
      <c r="G159" s="98" cm="1" t="str">
        <f t="array" ref="G159:G159">G158</f>
        <v>Питьевая вода (Осинниковский городской округ)</v>
      </c>
      <c r="H159" s="8264"/>
      <c r="I159" s="8264"/>
      <c r="J159" s="8264"/>
      <c r="K159" s="158">
        <f>first_year+25</f>
        <v>2051</v>
      </c>
      <c r="L159" s="8264"/>
      <c r="M159" s="8264"/>
      <c r="N159" s="8264"/>
      <c r="O159" s="8264"/>
      <c r="P159" s="8264"/>
      <c r="Q159" s="8264"/>
      <c r="R159" s="8264"/>
      <c r="S159" s="8264"/>
      <c r="T159" s="465" cm="1" t="str">
        <f t="array" ref="T159:T159">T158</f>
        <v>true</v>
      </c>
      <c r="U159" s="8264"/>
      <c r="V159" s="8264"/>
      <c r="W159" s="8264"/>
      <c r="X159" s="8264"/>
      <c r="Y159" s="8264"/>
      <c r="Z159" s="8264"/>
      <c r="AA159" s="8264"/>
      <c r="AB159" s="255" t="str">
        <f>K159&amp;" год"</f>
        <v>2051 год</v>
      </c>
      <c r="AC159" s="408"/>
      <c r="AD159" s="71"/>
      <c r="AE159" s="70"/>
      <c r="AF159" s="70"/>
      <c r="AG159" s="71"/>
      <c r="AH159" s="70"/>
      <c r="AI159" s="71"/>
      <c r="AJ159" s="70"/>
      <c r="AK159" s="72"/>
      <c r="AL159" s="403"/>
      <c r="AM159" s="8264"/>
      <c r="AN159" s="1064" cm="1" t="str">
        <f t="array" ref="AN159:AN159">K159</f>
        <v>2051</v>
      </c>
      <c r="AO159" s="1064" t="s">
        <v>2977</v>
      </c>
      <c r="AP159" s="1074" cm="1" t="str">
        <f t="array" ref="AP159:AP159">AP158</f>
        <v>Питьевая вода (Осинниковский городской округ)</v>
      </c>
      <c r="AQ159" s="703"/>
      <c r="AR159" s="703"/>
    </row>
    <row s="8264" customFormat="1" customHeight="1" ht="14.25" hidden="1">
      <c r="A160" s="8264"/>
      <c r="B160" s="445">
        <f>K160&lt;first_year+PERIOD_LENGTH</f>
        <v>0</v>
      </c>
      <c r="C160" s="8264"/>
      <c r="D160" s="8264"/>
      <c r="E160" s="703">
        <v>15</v>
      </c>
      <c r="F160" s="50" cm="1" t="str">
        <f t="array" ref="F160:F160">OFFSET(E160,-1,1)</f>
        <v>1</v>
      </c>
      <c r="G160" s="98" cm="1" t="str">
        <f t="array" ref="G160:G160">G159</f>
        <v>Питьевая вода (Осинниковский городской округ)</v>
      </c>
      <c r="H160" s="8264"/>
      <c r="I160" s="8264"/>
      <c r="J160" s="8264"/>
      <c r="K160" s="158">
        <f>first_year+26</f>
        <v>2052</v>
      </c>
      <c r="L160" s="8264"/>
      <c r="M160" s="8264"/>
      <c r="N160" s="8264"/>
      <c r="O160" s="8264"/>
      <c r="P160" s="8264"/>
      <c r="Q160" s="8264"/>
      <c r="R160" s="8264"/>
      <c r="S160" s="8264"/>
      <c r="T160" s="465" cm="1" t="str">
        <f t="array" ref="T160:T160">T159</f>
        <v>true</v>
      </c>
      <c r="U160" s="8264"/>
      <c r="V160" s="8264"/>
      <c r="W160" s="8264"/>
      <c r="X160" s="8264"/>
      <c r="Y160" s="8264"/>
      <c r="Z160" s="8264"/>
      <c r="AA160" s="8264"/>
      <c r="AB160" s="255" t="str">
        <f>K160&amp;" год"</f>
        <v>2052 год</v>
      </c>
      <c r="AC160" s="408"/>
      <c r="AD160" s="71"/>
      <c r="AE160" s="70"/>
      <c r="AF160" s="70"/>
      <c r="AG160" s="71"/>
      <c r="AH160" s="70"/>
      <c r="AI160" s="71"/>
      <c r="AJ160" s="70"/>
      <c r="AK160" s="72"/>
      <c r="AL160" s="403"/>
      <c r="AM160" s="8264"/>
      <c r="AN160" s="1064" cm="1" t="str">
        <f t="array" ref="AN160:AN160">K160</f>
        <v>2052</v>
      </c>
      <c r="AO160" s="1064" t="s">
        <v>2977</v>
      </c>
      <c r="AP160" s="1074" cm="1" t="str">
        <f t="array" ref="AP160:AP160">AP159</f>
        <v>Питьевая вода (Осинниковский городской округ)</v>
      </c>
      <c r="AQ160" s="703"/>
      <c r="AR160" s="703"/>
    </row>
    <row s="8264" customFormat="1" customHeight="1" ht="14.25" hidden="1">
      <c r="A161" s="8264"/>
      <c r="B161" s="445">
        <f>K161&lt;first_year+PERIOD_LENGTH</f>
        <v>0</v>
      </c>
      <c r="C161" s="8264"/>
      <c r="D161" s="8264"/>
      <c r="E161" s="703">
        <v>15</v>
      </c>
      <c r="F161" s="50" cm="1" t="str">
        <f t="array" ref="F161:F161">OFFSET(E161,-1,1)</f>
        <v>1</v>
      </c>
      <c r="G161" s="98" cm="1" t="str">
        <f t="array" ref="G161:G161">G160</f>
        <v>Питьевая вода (Осинниковский городской округ)</v>
      </c>
      <c r="H161" s="8264"/>
      <c r="I161" s="8264"/>
      <c r="J161" s="8264"/>
      <c r="K161" s="158">
        <f>first_year+27</f>
        <v>2053</v>
      </c>
      <c r="L161" s="8264"/>
      <c r="M161" s="8264"/>
      <c r="N161" s="8264"/>
      <c r="O161" s="8264"/>
      <c r="P161" s="8264"/>
      <c r="Q161" s="8264"/>
      <c r="R161" s="8264"/>
      <c r="S161" s="8264"/>
      <c r="T161" s="465" cm="1" t="str">
        <f t="array" ref="T161:T161">T160</f>
        <v>true</v>
      </c>
      <c r="U161" s="8264"/>
      <c r="V161" s="8264"/>
      <c r="W161" s="8264"/>
      <c r="X161" s="8264"/>
      <c r="Y161" s="8264"/>
      <c r="Z161" s="8264"/>
      <c r="AA161" s="8264"/>
      <c r="AB161" s="255" t="str">
        <f>K161&amp;" год"</f>
        <v>2053 год</v>
      </c>
      <c r="AC161" s="408"/>
      <c r="AD161" s="71"/>
      <c r="AE161" s="70"/>
      <c r="AF161" s="70"/>
      <c r="AG161" s="71"/>
      <c r="AH161" s="70"/>
      <c r="AI161" s="71"/>
      <c r="AJ161" s="70"/>
      <c r="AK161" s="72"/>
      <c r="AL161" s="403"/>
      <c r="AM161" s="8264"/>
      <c r="AN161" s="1064" cm="1" t="str">
        <f t="array" ref="AN161:AN161">K161</f>
        <v>2053</v>
      </c>
      <c r="AO161" s="1064" t="s">
        <v>2977</v>
      </c>
      <c r="AP161" s="1074" cm="1" t="str">
        <f t="array" ref="AP161:AP161">AP160</f>
        <v>Питьевая вода (Осинниковский городской округ)</v>
      </c>
      <c r="AQ161" s="703"/>
      <c r="AR161" s="703"/>
    </row>
    <row s="8264" customFormat="1" customHeight="1" ht="14.25" hidden="1">
      <c r="A162" s="8264"/>
      <c r="B162" s="445">
        <f>K162&lt;first_year+PERIOD_LENGTH</f>
        <v>0</v>
      </c>
      <c r="C162" s="8264"/>
      <c r="D162" s="8264"/>
      <c r="E162" s="703">
        <v>15</v>
      </c>
      <c r="F162" s="50" cm="1" t="str">
        <f t="array" ref="F162:F162">OFFSET(E162,-1,1)</f>
        <v>1</v>
      </c>
      <c r="G162" s="98" cm="1" t="str">
        <f t="array" ref="G162:G162">G161</f>
        <v>Питьевая вода (Осинниковский городской округ)</v>
      </c>
      <c r="H162" s="8264"/>
      <c r="I162" s="8264"/>
      <c r="J162" s="8264"/>
      <c r="K162" s="158">
        <f>first_year+28</f>
        <v>2054</v>
      </c>
      <c r="L162" s="8264"/>
      <c r="M162" s="8264"/>
      <c r="N162" s="8264"/>
      <c r="O162" s="8264"/>
      <c r="P162" s="8264"/>
      <c r="Q162" s="8264"/>
      <c r="R162" s="8264"/>
      <c r="S162" s="8264"/>
      <c r="T162" s="465" cm="1" t="str">
        <f t="array" ref="T162:T162">T161</f>
        <v>true</v>
      </c>
      <c r="U162" s="8264"/>
      <c r="V162" s="8264"/>
      <c r="W162" s="8264"/>
      <c r="X162" s="8264"/>
      <c r="Y162" s="8264"/>
      <c r="Z162" s="8264"/>
      <c r="AA162" s="8264"/>
      <c r="AB162" s="255" t="str">
        <f>K162&amp;" год"</f>
        <v>2054 год</v>
      </c>
      <c r="AC162" s="408"/>
      <c r="AD162" s="71"/>
      <c r="AE162" s="70"/>
      <c r="AF162" s="70"/>
      <c r="AG162" s="71"/>
      <c r="AH162" s="70"/>
      <c r="AI162" s="71"/>
      <c r="AJ162" s="70"/>
      <c r="AK162" s="72"/>
      <c r="AL162" s="403"/>
      <c r="AM162" s="8264"/>
      <c r="AN162" s="1064" cm="1" t="str">
        <f t="array" ref="AN162:AN162">K162</f>
        <v>2054</v>
      </c>
      <c r="AO162" s="1064" t="s">
        <v>2977</v>
      </c>
      <c r="AP162" s="1074" cm="1" t="str">
        <f t="array" ref="AP162:AP162">AP161</f>
        <v>Питьевая вода (Осинниковский городской округ)</v>
      </c>
      <c r="AQ162" s="703"/>
      <c r="AR162" s="703"/>
    </row>
    <row s="8264" customFormat="1" customHeight="1" ht="14.25" hidden="1">
      <c r="A163" s="8264"/>
      <c r="B163" s="445">
        <f>K163&lt;first_year+PERIOD_LENGTH</f>
        <v>0</v>
      </c>
      <c r="C163" s="8264"/>
      <c r="D163" s="8264"/>
      <c r="E163" s="703">
        <v>15</v>
      </c>
      <c r="F163" s="50" cm="1" t="str">
        <f t="array" ref="F163:F163">OFFSET(E163,-1,1)</f>
        <v>1</v>
      </c>
      <c r="G163" s="98" cm="1" t="str">
        <f t="array" ref="G163:G163">G162</f>
        <v>Питьевая вода (Осинниковский городской округ)</v>
      </c>
      <c r="H163" s="8264"/>
      <c r="I163" s="8264"/>
      <c r="J163" s="8264"/>
      <c r="K163" s="158">
        <f>first_year+29</f>
        <v>2055</v>
      </c>
      <c r="L163" s="8264"/>
      <c r="M163" s="8264"/>
      <c r="N163" s="8264"/>
      <c r="O163" s="8264"/>
      <c r="P163" s="8264"/>
      <c r="Q163" s="8264"/>
      <c r="R163" s="8264"/>
      <c r="S163" s="8264"/>
      <c r="T163" s="465" cm="1" t="str">
        <f t="array" ref="T163:T163">T162</f>
        <v>true</v>
      </c>
      <c r="U163" s="8264"/>
      <c r="V163" s="8264"/>
      <c r="W163" s="8264"/>
      <c r="X163" s="8264"/>
      <c r="Y163" s="8264"/>
      <c r="Z163" s="8264"/>
      <c r="AA163" s="8264"/>
      <c r="AB163" s="255" t="str">
        <f>K163&amp;" год"</f>
        <v>2055 год</v>
      </c>
      <c r="AC163" s="408"/>
      <c r="AD163" s="71"/>
      <c r="AE163" s="70"/>
      <c r="AF163" s="70"/>
      <c r="AG163" s="71"/>
      <c r="AH163" s="70"/>
      <c r="AI163" s="71"/>
      <c r="AJ163" s="70"/>
      <c r="AK163" s="72"/>
      <c r="AL163" s="403"/>
      <c r="AM163" s="8264"/>
      <c r="AN163" s="1064" cm="1" t="str">
        <f t="array" ref="AN163:AN163">K163</f>
        <v>2055</v>
      </c>
      <c r="AO163" s="1064" t="s">
        <v>2977</v>
      </c>
      <c r="AP163" s="1074" cm="1" t="str">
        <f t="array" ref="AP163:AP163">AP162</f>
        <v>Питьевая вода (Осинниковский городской округ)</v>
      </c>
      <c r="AQ163" s="703"/>
      <c r="AR163" s="703"/>
    </row>
    <row s="8264" customFormat="1" customHeight="1" ht="14.25" hidden="1">
      <c r="A164" s="8264"/>
      <c r="B164" s="445">
        <f>K164&lt;first_year+PERIOD_LENGTH</f>
        <v>0</v>
      </c>
      <c r="C164" s="8264"/>
      <c r="D164" s="8264"/>
      <c r="E164" s="703">
        <v>15</v>
      </c>
      <c r="F164" s="50" cm="1" t="str">
        <f t="array" ref="F164:F164">OFFSET(E164,-1,1)</f>
        <v>1</v>
      </c>
      <c r="G164" s="98" cm="1" t="str">
        <f t="array" ref="G164:G164">G163</f>
        <v>Питьевая вода (Осинниковский городской округ)</v>
      </c>
      <c r="H164" s="8264"/>
      <c r="I164" s="8264"/>
      <c r="J164" s="8264"/>
      <c r="K164" s="158">
        <f>first_year+30</f>
        <v>2056</v>
      </c>
      <c r="L164" s="8264"/>
      <c r="M164" s="8264"/>
      <c r="N164" s="8264"/>
      <c r="O164" s="8264"/>
      <c r="P164" s="8264"/>
      <c r="Q164" s="8264"/>
      <c r="R164" s="8264"/>
      <c r="S164" s="8264"/>
      <c r="T164" s="465" cm="1" t="str">
        <f t="array" ref="T164:T164">T163</f>
        <v>true</v>
      </c>
      <c r="U164" s="8264"/>
      <c r="V164" s="8264"/>
      <c r="W164" s="8264"/>
      <c r="X164" s="8264"/>
      <c r="Y164" s="8264"/>
      <c r="Z164" s="8264"/>
      <c r="AA164" s="8264"/>
      <c r="AB164" s="255" t="str">
        <f>K164&amp;" год"</f>
        <v>2056 год</v>
      </c>
      <c r="AC164" s="408"/>
      <c r="AD164" s="71"/>
      <c r="AE164" s="70"/>
      <c r="AF164" s="70"/>
      <c r="AG164" s="71"/>
      <c r="AH164" s="70"/>
      <c r="AI164" s="71"/>
      <c r="AJ164" s="70"/>
      <c r="AK164" s="72"/>
      <c r="AL164" s="403"/>
      <c r="AM164" s="8264"/>
      <c r="AN164" s="1064" cm="1" t="str">
        <f t="array" ref="AN164:AN164">K164</f>
        <v>2056</v>
      </c>
      <c r="AO164" s="1064" t="s">
        <v>2977</v>
      </c>
      <c r="AP164" s="1074" cm="1" t="str">
        <f t="array" ref="AP164:AP164">AP163</f>
        <v>Питьевая вода (Осинниковский городской округ)</v>
      </c>
      <c r="AQ164" s="703"/>
      <c r="AR164" s="703"/>
    </row>
    <row s="8264" customFormat="1" customHeight="1" ht="14.25" hidden="1">
      <c r="A165" s="8264"/>
      <c r="B165" s="445">
        <f>K165&lt;first_year+PERIOD_LENGTH</f>
        <v>0</v>
      </c>
      <c r="C165" s="8264"/>
      <c r="D165" s="8264"/>
      <c r="E165" s="703">
        <v>15</v>
      </c>
      <c r="F165" s="50" cm="1" t="str">
        <f t="array" ref="F165:F165">OFFSET(E165,-1,1)</f>
        <v>1</v>
      </c>
      <c r="G165" s="98" cm="1" t="str">
        <f t="array" ref="G165:G165">G164</f>
        <v>Питьевая вода (Осинниковский городской округ)</v>
      </c>
      <c r="H165" s="8264"/>
      <c r="I165" s="8264"/>
      <c r="J165" s="8264"/>
      <c r="K165" s="158">
        <f>first_year+31</f>
        <v>2057</v>
      </c>
      <c r="L165" s="8264"/>
      <c r="M165" s="8264"/>
      <c r="N165" s="8264"/>
      <c r="O165" s="8264"/>
      <c r="P165" s="8264"/>
      <c r="Q165" s="8264"/>
      <c r="R165" s="8264"/>
      <c r="S165" s="8264"/>
      <c r="T165" s="465" cm="1" t="str">
        <f t="array" ref="T165:T165">T164</f>
        <v>true</v>
      </c>
      <c r="U165" s="8264"/>
      <c r="V165" s="8264"/>
      <c r="W165" s="8264"/>
      <c r="X165" s="8264"/>
      <c r="Y165" s="8264"/>
      <c r="Z165" s="8264"/>
      <c r="AA165" s="8264"/>
      <c r="AB165" s="255" t="str">
        <f>K165&amp;" год"</f>
        <v>2057 год</v>
      </c>
      <c r="AC165" s="408"/>
      <c r="AD165" s="71"/>
      <c r="AE165" s="70"/>
      <c r="AF165" s="70"/>
      <c r="AG165" s="71"/>
      <c r="AH165" s="70"/>
      <c r="AI165" s="71"/>
      <c r="AJ165" s="70"/>
      <c r="AK165" s="72"/>
      <c r="AL165" s="403"/>
      <c r="AM165" s="8264"/>
      <c r="AN165" s="1064" cm="1" t="str">
        <f t="array" ref="AN165:AN165">K165</f>
        <v>2057</v>
      </c>
      <c r="AO165" s="1064" t="s">
        <v>2977</v>
      </c>
      <c r="AP165" s="1074" cm="1" t="str">
        <f t="array" ref="AP165:AP165">AP164</f>
        <v>Питьевая вода (Осинниковский городской округ)</v>
      </c>
      <c r="AQ165" s="703"/>
      <c r="AR165" s="703"/>
    </row>
    <row s="8264" customFormat="1" customHeight="1" ht="14.25" hidden="1">
      <c r="A166" s="8264"/>
      <c r="B166" s="445">
        <f>K166&lt;first_year+PERIOD_LENGTH</f>
        <v>0</v>
      </c>
      <c r="C166" s="8264"/>
      <c r="D166" s="8264"/>
      <c r="E166" s="703">
        <v>15</v>
      </c>
      <c r="F166" s="50" cm="1" t="str">
        <f t="array" ref="F166:F166">OFFSET(E166,-1,1)</f>
        <v>1</v>
      </c>
      <c r="G166" s="98" cm="1" t="str">
        <f t="array" ref="G166:G166">G165</f>
        <v>Питьевая вода (Осинниковский городской округ)</v>
      </c>
      <c r="H166" s="8264"/>
      <c r="I166" s="8264"/>
      <c r="J166" s="8264"/>
      <c r="K166" s="158">
        <f>first_year+32</f>
        <v>2058</v>
      </c>
      <c r="L166" s="8264"/>
      <c r="M166" s="8264"/>
      <c r="N166" s="8264"/>
      <c r="O166" s="8264"/>
      <c r="P166" s="8264"/>
      <c r="Q166" s="8264"/>
      <c r="R166" s="8264"/>
      <c r="S166" s="8264"/>
      <c r="T166" s="465" cm="1" t="str">
        <f t="array" ref="T166:T166">T165</f>
        <v>true</v>
      </c>
      <c r="U166" s="8264"/>
      <c r="V166" s="8264"/>
      <c r="W166" s="8264"/>
      <c r="X166" s="8264"/>
      <c r="Y166" s="8264"/>
      <c r="Z166" s="8264"/>
      <c r="AA166" s="8264"/>
      <c r="AB166" s="255" t="str">
        <f>K166&amp;" год"</f>
        <v>2058 год</v>
      </c>
      <c r="AC166" s="408"/>
      <c r="AD166" s="71"/>
      <c r="AE166" s="70"/>
      <c r="AF166" s="70"/>
      <c r="AG166" s="71"/>
      <c r="AH166" s="70"/>
      <c r="AI166" s="71"/>
      <c r="AJ166" s="70"/>
      <c r="AK166" s="72"/>
      <c r="AL166" s="403"/>
      <c r="AM166" s="8264"/>
      <c r="AN166" s="1064" cm="1" t="str">
        <f t="array" ref="AN166:AN166">K166</f>
        <v>2058</v>
      </c>
      <c r="AO166" s="1064" t="s">
        <v>2977</v>
      </c>
      <c r="AP166" s="1074" cm="1" t="str">
        <f t="array" ref="AP166:AP166">AP165</f>
        <v>Питьевая вода (Осинниковский городской округ)</v>
      </c>
      <c r="AQ166" s="703"/>
      <c r="AR166" s="703"/>
    </row>
    <row s="8264" customFormat="1" customHeight="1" ht="14.25" hidden="1">
      <c r="A167" s="8264"/>
      <c r="B167" s="445">
        <f>K167&lt;first_year+PERIOD_LENGTH</f>
        <v>0</v>
      </c>
      <c r="C167" s="8264"/>
      <c r="D167" s="8264"/>
      <c r="E167" s="703">
        <v>15</v>
      </c>
      <c r="F167" s="50" cm="1" t="str">
        <f t="array" ref="F167:F167">OFFSET(E167,-1,1)</f>
        <v>1</v>
      </c>
      <c r="G167" s="98" cm="1" t="str">
        <f t="array" ref="G167:G167">G166</f>
        <v>Питьевая вода (Осинниковский городской округ)</v>
      </c>
      <c r="H167" s="8264"/>
      <c r="I167" s="8264"/>
      <c r="J167" s="8264"/>
      <c r="K167" s="158">
        <f>first_year+33</f>
        <v>2059</v>
      </c>
      <c r="L167" s="8264"/>
      <c r="M167" s="8264"/>
      <c r="N167" s="8264"/>
      <c r="O167" s="8264"/>
      <c r="P167" s="8264"/>
      <c r="Q167" s="8264"/>
      <c r="R167" s="8264"/>
      <c r="S167" s="8264"/>
      <c r="T167" s="465" cm="1" t="str">
        <f t="array" ref="T167:T167">T166</f>
        <v>true</v>
      </c>
      <c r="U167" s="8264"/>
      <c r="V167" s="8264"/>
      <c r="W167" s="8264"/>
      <c r="X167" s="8264"/>
      <c r="Y167" s="8264"/>
      <c r="Z167" s="8264"/>
      <c r="AA167" s="8264"/>
      <c r="AB167" s="255" t="str">
        <f>K167&amp;" год"</f>
        <v>2059 год</v>
      </c>
      <c r="AC167" s="408"/>
      <c r="AD167" s="71"/>
      <c r="AE167" s="70"/>
      <c r="AF167" s="70"/>
      <c r="AG167" s="71"/>
      <c r="AH167" s="70"/>
      <c r="AI167" s="71"/>
      <c r="AJ167" s="70"/>
      <c r="AK167" s="72"/>
      <c r="AL167" s="403"/>
      <c r="AM167" s="8264"/>
      <c r="AN167" s="1064" cm="1" t="str">
        <f t="array" ref="AN167:AN167">K167</f>
        <v>2059</v>
      </c>
      <c r="AO167" s="1064" t="s">
        <v>2977</v>
      </c>
      <c r="AP167" s="1074" cm="1" t="str">
        <f t="array" ref="AP167:AP167">AP166</f>
        <v>Питьевая вода (Осинниковский городской округ)</v>
      </c>
      <c r="AQ167" s="703"/>
      <c r="AR167" s="703"/>
    </row>
    <row s="8264" customFormat="1" customHeight="1" ht="14.25" hidden="1">
      <c r="A168" s="8264"/>
      <c r="B168" s="445">
        <f>K168&lt;first_year+PERIOD_LENGTH</f>
        <v>0</v>
      </c>
      <c r="C168" s="8264"/>
      <c r="D168" s="8264"/>
      <c r="E168" s="703">
        <v>15</v>
      </c>
      <c r="F168" s="50" cm="1" t="str">
        <f t="array" ref="F168:F168">OFFSET(E168,-1,1)</f>
        <v>1</v>
      </c>
      <c r="G168" s="98" cm="1" t="str">
        <f t="array" ref="G168:G168">G167</f>
        <v>Питьевая вода (Осинниковский городской округ)</v>
      </c>
      <c r="H168" s="8264"/>
      <c r="I168" s="8264"/>
      <c r="J168" s="8264"/>
      <c r="K168" s="158">
        <f>first_year+34</f>
        <v>2060</v>
      </c>
      <c r="L168" s="8264"/>
      <c r="M168" s="8264"/>
      <c r="N168" s="8264"/>
      <c r="O168" s="8264"/>
      <c r="P168" s="8264"/>
      <c r="Q168" s="8264"/>
      <c r="R168" s="8264"/>
      <c r="S168" s="8264"/>
      <c r="T168" s="465" cm="1" t="str">
        <f t="array" ref="T168:T168">T167</f>
        <v>true</v>
      </c>
      <c r="U168" s="8264"/>
      <c r="V168" s="8264"/>
      <c r="W168" s="8264"/>
      <c r="X168" s="8264"/>
      <c r="Y168" s="8264"/>
      <c r="Z168" s="8264"/>
      <c r="AA168" s="8264"/>
      <c r="AB168" s="255" t="str">
        <f>K168&amp;" год"</f>
        <v>2060 год</v>
      </c>
      <c r="AC168" s="408"/>
      <c r="AD168" s="71"/>
      <c r="AE168" s="70"/>
      <c r="AF168" s="70"/>
      <c r="AG168" s="71"/>
      <c r="AH168" s="70"/>
      <c r="AI168" s="71"/>
      <c r="AJ168" s="70"/>
      <c r="AK168" s="72"/>
      <c r="AL168" s="403"/>
      <c r="AM168" s="8264"/>
      <c r="AN168" s="1064" cm="1" t="str">
        <f t="array" ref="AN168:AN168">K168</f>
        <v>2060</v>
      </c>
      <c r="AO168" s="1064" t="s">
        <v>2977</v>
      </c>
      <c r="AP168" s="1074" cm="1" t="str">
        <f t="array" ref="AP168:AP168">AP167</f>
        <v>Питьевая вода (Осинниковский городской округ)</v>
      </c>
      <c r="AQ168" s="703"/>
      <c r="AR168" s="703"/>
    </row>
    <row s="8264" customFormat="1" customHeight="1" ht="14.25" hidden="1">
      <c r="A169" s="8264"/>
      <c r="B169" s="445">
        <f>K169&lt;first_year+PERIOD_LENGTH</f>
        <v>0</v>
      </c>
      <c r="C169" s="8264"/>
      <c r="D169" s="8264"/>
      <c r="E169" s="703">
        <v>15</v>
      </c>
      <c r="F169" s="50" cm="1" t="str">
        <f t="array" ref="F169:F169">OFFSET(E169,-1,1)</f>
        <v>1</v>
      </c>
      <c r="G169" s="98" cm="1" t="str">
        <f t="array" ref="G169:G169">G168</f>
        <v>Питьевая вода (Осинниковский городской округ)</v>
      </c>
      <c r="H169" s="8264"/>
      <c r="I169" s="8264"/>
      <c r="J169" s="8264"/>
      <c r="K169" s="158">
        <f>first_year+35</f>
        <v>2061</v>
      </c>
      <c r="L169" s="8264"/>
      <c r="M169" s="8264"/>
      <c r="N169" s="8264"/>
      <c r="O169" s="8264"/>
      <c r="P169" s="8264"/>
      <c r="Q169" s="8264"/>
      <c r="R169" s="8264"/>
      <c r="S169" s="8264"/>
      <c r="T169" s="465" cm="1" t="str">
        <f t="array" ref="T169:T169">T168</f>
        <v>true</v>
      </c>
      <c r="U169" s="8264"/>
      <c r="V169" s="8264"/>
      <c r="W169" s="8264"/>
      <c r="X169" s="8264"/>
      <c r="Y169" s="8264"/>
      <c r="Z169" s="8264"/>
      <c r="AA169" s="8264"/>
      <c r="AB169" s="255" t="str">
        <f>K169&amp;" год"</f>
        <v>2061 год</v>
      </c>
      <c r="AC169" s="408"/>
      <c r="AD169" s="71"/>
      <c r="AE169" s="70"/>
      <c r="AF169" s="70"/>
      <c r="AG169" s="71"/>
      <c r="AH169" s="70"/>
      <c r="AI169" s="71"/>
      <c r="AJ169" s="70"/>
      <c r="AK169" s="72"/>
      <c r="AL169" s="403"/>
      <c r="AM169" s="8264"/>
      <c r="AN169" s="1064" cm="1" t="str">
        <f t="array" ref="AN169:AN169">K169</f>
        <v>2061</v>
      </c>
      <c r="AO169" s="1064" t="s">
        <v>2977</v>
      </c>
      <c r="AP169" s="1074" cm="1" t="str">
        <f t="array" ref="AP169:AP169">AP168</f>
        <v>Питьевая вода (Осинниковский городской округ)</v>
      </c>
      <c r="AQ169" s="703"/>
      <c r="AR169" s="703"/>
    </row>
    <row s="8264" customFormat="1" customHeight="1" ht="14.25" hidden="1">
      <c r="A170" s="8264"/>
      <c r="B170" s="445">
        <f>K170&lt;first_year+PERIOD_LENGTH</f>
        <v>0</v>
      </c>
      <c r="C170" s="8264"/>
      <c r="D170" s="8264"/>
      <c r="E170" s="703">
        <v>15</v>
      </c>
      <c r="F170" s="50" cm="1" t="str">
        <f t="array" ref="F170:F170">OFFSET(E170,-1,1)</f>
        <v>1</v>
      </c>
      <c r="G170" s="98" cm="1" t="str">
        <f t="array" ref="G170:G170">G169</f>
        <v>Питьевая вода (Осинниковский городской округ)</v>
      </c>
      <c r="H170" s="8264"/>
      <c r="I170" s="8264"/>
      <c r="J170" s="8264"/>
      <c r="K170" s="158">
        <f>first_year+36</f>
        <v>2062</v>
      </c>
      <c r="L170" s="8264"/>
      <c r="M170" s="8264"/>
      <c r="N170" s="8264"/>
      <c r="O170" s="8264"/>
      <c r="P170" s="8264"/>
      <c r="Q170" s="8264"/>
      <c r="R170" s="8264"/>
      <c r="S170" s="8264"/>
      <c r="T170" s="465" cm="1" t="str">
        <f t="array" ref="T170:T170">T169</f>
        <v>true</v>
      </c>
      <c r="U170" s="8264"/>
      <c r="V170" s="8264"/>
      <c r="W170" s="8264"/>
      <c r="X170" s="8264"/>
      <c r="Y170" s="8264"/>
      <c r="Z170" s="8264"/>
      <c r="AA170" s="8264"/>
      <c r="AB170" s="255" t="str">
        <f>K170&amp;" год"</f>
        <v>2062 год</v>
      </c>
      <c r="AC170" s="408"/>
      <c r="AD170" s="71"/>
      <c r="AE170" s="70"/>
      <c r="AF170" s="70"/>
      <c r="AG170" s="71"/>
      <c r="AH170" s="70"/>
      <c r="AI170" s="71"/>
      <c r="AJ170" s="70"/>
      <c r="AK170" s="72"/>
      <c r="AL170" s="403"/>
      <c r="AM170" s="8264"/>
      <c r="AN170" s="1064" cm="1" t="str">
        <f t="array" ref="AN170:AN170">K170</f>
        <v>2062</v>
      </c>
      <c r="AO170" s="1064" t="s">
        <v>2977</v>
      </c>
      <c r="AP170" s="1074" cm="1" t="str">
        <f t="array" ref="AP170:AP170">AP169</f>
        <v>Питьевая вода (Осинниковский городской округ)</v>
      </c>
      <c r="AQ170" s="703"/>
      <c r="AR170" s="703"/>
    </row>
    <row s="8264" customFormat="1" customHeight="1" ht="14.25" hidden="1">
      <c r="A171" s="8264"/>
      <c r="B171" s="445">
        <f>K171&lt;first_year+PERIOD_LENGTH</f>
        <v>0</v>
      </c>
      <c r="C171" s="8264"/>
      <c r="D171" s="8264"/>
      <c r="E171" s="703">
        <v>15</v>
      </c>
      <c r="F171" s="50" cm="1" t="str">
        <f t="array" ref="F171:F171">OFFSET(E171,-1,1)</f>
        <v>1</v>
      </c>
      <c r="G171" s="98" cm="1" t="str">
        <f t="array" ref="G171:G171">G170</f>
        <v>Питьевая вода (Осинниковский городской округ)</v>
      </c>
      <c r="H171" s="8264"/>
      <c r="I171" s="8264"/>
      <c r="J171" s="8264"/>
      <c r="K171" s="158">
        <f>first_year+37</f>
        <v>2063</v>
      </c>
      <c r="L171" s="8264"/>
      <c r="M171" s="8264"/>
      <c r="N171" s="8264"/>
      <c r="O171" s="8264"/>
      <c r="P171" s="8264"/>
      <c r="Q171" s="8264"/>
      <c r="R171" s="8264"/>
      <c r="S171" s="8264"/>
      <c r="T171" s="465" cm="1" t="str">
        <f t="array" ref="T171:T171">T170</f>
        <v>true</v>
      </c>
      <c r="U171" s="8264"/>
      <c r="V171" s="8264"/>
      <c r="W171" s="8264"/>
      <c r="X171" s="8264"/>
      <c r="Y171" s="8264"/>
      <c r="Z171" s="8264"/>
      <c r="AA171" s="8264"/>
      <c r="AB171" s="255" t="str">
        <f>K171&amp;" год"</f>
        <v>2063 год</v>
      </c>
      <c r="AC171" s="408"/>
      <c r="AD171" s="71"/>
      <c r="AE171" s="70"/>
      <c r="AF171" s="70"/>
      <c r="AG171" s="71"/>
      <c r="AH171" s="70"/>
      <c r="AI171" s="71"/>
      <c r="AJ171" s="70"/>
      <c r="AK171" s="72"/>
      <c r="AL171" s="403"/>
      <c r="AM171" s="8264"/>
      <c r="AN171" s="1064" cm="1" t="str">
        <f t="array" ref="AN171:AN171">K171</f>
        <v>2063</v>
      </c>
      <c r="AO171" s="1064" t="s">
        <v>2977</v>
      </c>
      <c r="AP171" s="1074" cm="1" t="str">
        <f t="array" ref="AP171:AP171">AP170</f>
        <v>Питьевая вода (Осинниковский городской округ)</v>
      </c>
      <c r="AQ171" s="703"/>
      <c r="AR171" s="703"/>
    </row>
    <row s="8264" customFormat="1" customHeight="1" ht="14.25" hidden="1">
      <c r="A172" s="8264"/>
      <c r="B172" s="445">
        <f>K172&lt;first_year+PERIOD_LENGTH</f>
        <v>0</v>
      </c>
      <c r="C172" s="8264"/>
      <c r="D172" s="8264"/>
      <c r="E172" s="703">
        <v>15</v>
      </c>
      <c r="F172" s="50" cm="1" t="str">
        <f t="array" ref="F172:F172">OFFSET(E172,-1,1)</f>
        <v>1</v>
      </c>
      <c r="G172" s="98" cm="1" t="str">
        <f t="array" ref="G172:G172">G171</f>
        <v>Питьевая вода (Осинниковский городской округ)</v>
      </c>
      <c r="H172" s="8264"/>
      <c r="I172" s="8264"/>
      <c r="J172" s="8264"/>
      <c r="K172" s="158">
        <f>first_year+38</f>
        <v>2064</v>
      </c>
      <c r="L172" s="8264"/>
      <c r="M172" s="8264"/>
      <c r="N172" s="8264"/>
      <c r="O172" s="8264"/>
      <c r="P172" s="8264"/>
      <c r="Q172" s="8264"/>
      <c r="R172" s="8264"/>
      <c r="S172" s="8264"/>
      <c r="T172" s="465" cm="1" t="str">
        <f t="array" ref="T172:T172">T171</f>
        <v>true</v>
      </c>
      <c r="U172" s="8264"/>
      <c r="V172" s="8264"/>
      <c r="W172" s="8264"/>
      <c r="X172" s="8264"/>
      <c r="Y172" s="8264"/>
      <c r="Z172" s="8264"/>
      <c r="AA172" s="8264"/>
      <c r="AB172" s="255" t="str">
        <f>K172&amp;" год"</f>
        <v>2064 год</v>
      </c>
      <c r="AC172" s="408"/>
      <c r="AD172" s="71"/>
      <c r="AE172" s="70"/>
      <c r="AF172" s="70"/>
      <c r="AG172" s="71"/>
      <c r="AH172" s="70"/>
      <c r="AI172" s="71"/>
      <c r="AJ172" s="70"/>
      <c r="AK172" s="72"/>
      <c r="AL172" s="403"/>
      <c r="AM172" s="8264"/>
      <c r="AN172" s="1064" cm="1" t="str">
        <f t="array" ref="AN172:AN172">K172</f>
        <v>2064</v>
      </c>
      <c r="AO172" s="1064" t="s">
        <v>2977</v>
      </c>
      <c r="AP172" s="1074" cm="1" t="str">
        <f t="array" ref="AP172:AP172">AP171</f>
        <v>Питьевая вода (Осинниковский городской округ)</v>
      </c>
      <c r="AQ172" s="703"/>
      <c r="AR172" s="703"/>
    </row>
    <row s="8264" customFormat="1" customHeight="1" ht="14.25" hidden="1">
      <c r="A173" s="8264"/>
      <c r="B173" s="445">
        <f>K173&lt;first_year+PERIOD_LENGTH</f>
        <v>0</v>
      </c>
      <c r="C173" s="8264"/>
      <c r="D173" s="8264"/>
      <c r="E173" s="703">
        <v>15</v>
      </c>
      <c r="F173" s="50" cm="1" t="str">
        <f t="array" ref="F173:F173">OFFSET(E173,-1,1)</f>
        <v>1</v>
      </c>
      <c r="G173" s="98" cm="1" t="str">
        <f t="array" ref="G173:G173">G172</f>
        <v>Питьевая вода (Осинниковский городской округ)</v>
      </c>
      <c r="H173" s="8264"/>
      <c r="I173" s="8264"/>
      <c r="J173" s="8264"/>
      <c r="K173" s="158">
        <f>first_year+39</f>
        <v>2065</v>
      </c>
      <c r="L173" s="8264"/>
      <c r="M173" s="8264"/>
      <c r="N173" s="8264"/>
      <c r="O173" s="8264"/>
      <c r="P173" s="8264"/>
      <c r="Q173" s="8264"/>
      <c r="R173" s="8264"/>
      <c r="S173" s="8264"/>
      <c r="T173" s="465" cm="1" t="str">
        <f t="array" ref="T173:T173">T172</f>
        <v>true</v>
      </c>
      <c r="U173" s="8264"/>
      <c r="V173" s="8264"/>
      <c r="W173" s="8264"/>
      <c r="X173" s="8264"/>
      <c r="Y173" s="8264"/>
      <c r="Z173" s="8264"/>
      <c r="AA173" s="8264"/>
      <c r="AB173" s="255" t="str">
        <f>K173&amp;" год"</f>
        <v>2065 год</v>
      </c>
      <c r="AC173" s="408"/>
      <c r="AD173" s="71"/>
      <c r="AE173" s="70"/>
      <c r="AF173" s="70"/>
      <c r="AG173" s="71"/>
      <c r="AH173" s="70"/>
      <c r="AI173" s="71"/>
      <c r="AJ173" s="70"/>
      <c r="AK173" s="72"/>
      <c r="AL173" s="403"/>
      <c r="AM173" s="8264"/>
      <c r="AN173" s="1064" cm="1" t="str">
        <f t="array" ref="AN173:AN173">K173</f>
        <v>2065</v>
      </c>
      <c r="AO173" s="1064" t="s">
        <v>2977</v>
      </c>
      <c r="AP173" s="1074" cm="1" t="str">
        <f t="array" ref="AP173:AP173">AP172</f>
        <v>Питьевая вода (Осинниковский городской округ)</v>
      </c>
      <c r="AQ173" s="703"/>
      <c r="AR173" s="703"/>
    </row>
    <row s="8264" customFormat="1" customHeight="1" ht="14.25" hidden="1">
      <c r="A174" s="8264"/>
      <c r="B174" s="445">
        <f>K174&lt;first_year+PERIOD_LENGTH</f>
        <v>0</v>
      </c>
      <c r="C174" s="8264"/>
      <c r="D174" s="8264"/>
      <c r="E174" s="703">
        <v>15</v>
      </c>
      <c r="F174" s="50" cm="1" t="str">
        <f t="array" ref="F174:F174">OFFSET(E174,-1,1)</f>
        <v>1</v>
      </c>
      <c r="G174" s="98" cm="1" t="str">
        <f t="array" ref="G174:G174">G173</f>
        <v>Питьевая вода (Осинниковский городской округ)</v>
      </c>
      <c r="H174" s="8264"/>
      <c r="I174" s="8264"/>
      <c r="J174" s="8264"/>
      <c r="K174" s="158">
        <f>first_year+40</f>
        <v>2066</v>
      </c>
      <c r="L174" s="8264"/>
      <c r="M174" s="8264"/>
      <c r="N174" s="8264"/>
      <c r="O174" s="8264"/>
      <c r="P174" s="8264"/>
      <c r="Q174" s="8264"/>
      <c r="R174" s="8264"/>
      <c r="S174" s="8264"/>
      <c r="T174" s="465" cm="1" t="str">
        <f t="array" ref="T174:T174">T173</f>
        <v>true</v>
      </c>
      <c r="U174" s="8264"/>
      <c r="V174" s="8264"/>
      <c r="W174" s="8264"/>
      <c r="X174" s="8264"/>
      <c r="Y174" s="8264"/>
      <c r="Z174" s="8264"/>
      <c r="AA174" s="8264"/>
      <c r="AB174" s="255" t="str">
        <f>K174&amp;" год"</f>
        <v>2066 год</v>
      </c>
      <c r="AC174" s="408"/>
      <c r="AD174" s="71"/>
      <c r="AE174" s="70"/>
      <c r="AF174" s="70"/>
      <c r="AG174" s="71"/>
      <c r="AH174" s="70"/>
      <c r="AI174" s="71"/>
      <c r="AJ174" s="70"/>
      <c r="AK174" s="72"/>
      <c r="AL174" s="403"/>
      <c r="AM174" s="8264"/>
      <c r="AN174" s="1064" cm="1" t="str">
        <f t="array" ref="AN174:AN174">K174</f>
        <v>2066</v>
      </c>
      <c r="AO174" s="1064" t="s">
        <v>2977</v>
      </c>
      <c r="AP174" s="1074" cm="1" t="str">
        <f t="array" ref="AP174:AP174">AP173</f>
        <v>Питьевая вода (Осинниковский городской округ)</v>
      </c>
      <c r="AQ174" s="703"/>
      <c r="AR174" s="703"/>
    </row>
    <row s="8264" customFormat="1" customHeight="1" ht="14.25" hidden="1">
      <c r="A175" s="8264"/>
      <c r="B175" s="445">
        <f>K175&lt;first_year+PERIOD_LENGTH</f>
        <v>0</v>
      </c>
      <c r="C175" s="8264"/>
      <c r="D175" s="8264"/>
      <c r="E175" s="703">
        <v>15</v>
      </c>
      <c r="F175" s="50" cm="1" t="str">
        <f t="array" ref="F175:F175">OFFSET(E175,-1,1)</f>
        <v>1</v>
      </c>
      <c r="G175" s="98" cm="1" t="str">
        <f t="array" ref="G175:G175">G174</f>
        <v>Питьевая вода (Осинниковский городской округ)</v>
      </c>
      <c r="H175" s="8264"/>
      <c r="I175" s="8264"/>
      <c r="J175" s="8264"/>
      <c r="K175" s="158">
        <f>first_year+41</f>
        <v>2067</v>
      </c>
      <c r="L175" s="8264"/>
      <c r="M175" s="8264"/>
      <c r="N175" s="8264"/>
      <c r="O175" s="8264"/>
      <c r="P175" s="8264"/>
      <c r="Q175" s="8264"/>
      <c r="R175" s="8264"/>
      <c r="S175" s="8264"/>
      <c r="T175" s="465" cm="1" t="str">
        <f t="array" ref="T175:T175">T174</f>
        <v>true</v>
      </c>
      <c r="U175" s="8264"/>
      <c r="V175" s="8264"/>
      <c r="W175" s="8264"/>
      <c r="X175" s="8264"/>
      <c r="Y175" s="8264"/>
      <c r="Z175" s="8264"/>
      <c r="AA175" s="8264"/>
      <c r="AB175" s="255" t="str">
        <f>K175&amp;" год"</f>
        <v>2067 год</v>
      </c>
      <c r="AC175" s="408"/>
      <c r="AD175" s="71"/>
      <c r="AE175" s="70"/>
      <c r="AF175" s="70"/>
      <c r="AG175" s="71"/>
      <c r="AH175" s="70"/>
      <c r="AI175" s="71"/>
      <c r="AJ175" s="70"/>
      <c r="AK175" s="72"/>
      <c r="AL175" s="403"/>
      <c r="AM175" s="8264"/>
      <c r="AN175" s="1064" cm="1" t="str">
        <f t="array" ref="AN175:AN175">K175</f>
        <v>2067</v>
      </c>
      <c r="AO175" s="1064" t="s">
        <v>2977</v>
      </c>
      <c r="AP175" s="1074" cm="1" t="str">
        <f t="array" ref="AP175:AP175">AP174</f>
        <v>Питьевая вода (Осинниковский городской округ)</v>
      </c>
      <c r="AQ175" s="703"/>
      <c r="AR175" s="703"/>
    </row>
    <row s="8264" customFormat="1" customHeight="1" ht="14.25" hidden="1">
      <c r="A176" s="8264"/>
      <c r="B176" s="445">
        <f>K176&lt;first_year+PERIOD_LENGTH</f>
        <v>0</v>
      </c>
      <c r="C176" s="8264"/>
      <c r="D176" s="8264"/>
      <c r="E176" s="703">
        <v>15</v>
      </c>
      <c r="F176" s="50" cm="1" t="str">
        <f t="array" ref="F176:F176">OFFSET(E176,-1,1)</f>
        <v>1</v>
      </c>
      <c r="G176" s="98" cm="1" t="str">
        <f t="array" ref="G176:G176">G175</f>
        <v>Питьевая вода (Осинниковский городской округ)</v>
      </c>
      <c r="H176" s="8264"/>
      <c r="I176" s="8264"/>
      <c r="J176" s="8264"/>
      <c r="K176" s="158">
        <f>first_year+42</f>
        <v>2068</v>
      </c>
      <c r="L176" s="8264"/>
      <c r="M176" s="8264"/>
      <c r="N176" s="8264"/>
      <c r="O176" s="8264"/>
      <c r="P176" s="8264"/>
      <c r="Q176" s="8264"/>
      <c r="R176" s="8264"/>
      <c r="S176" s="8264"/>
      <c r="T176" s="465" cm="1" t="str">
        <f t="array" ref="T176:T176">T175</f>
        <v>true</v>
      </c>
      <c r="U176" s="8264"/>
      <c r="V176" s="8264"/>
      <c r="W176" s="8264"/>
      <c r="X176" s="8264"/>
      <c r="Y176" s="8264"/>
      <c r="Z176" s="8264"/>
      <c r="AA176" s="8264"/>
      <c r="AB176" s="255" t="str">
        <f>K176&amp;" год"</f>
        <v>2068 год</v>
      </c>
      <c r="AC176" s="408"/>
      <c r="AD176" s="71"/>
      <c r="AE176" s="70"/>
      <c r="AF176" s="70"/>
      <c r="AG176" s="71"/>
      <c r="AH176" s="70"/>
      <c r="AI176" s="71"/>
      <c r="AJ176" s="70"/>
      <c r="AK176" s="72"/>
      <c r="AL176" s="403"/>
      <c r="AM176" s="8264"/>
      <c r="AN176" s="1064" cm="1" t="str">
        <f t="array" ref="AN176:AN176">K176</f>
        <v>2068</v>
      </c>
      <c r="AO176" s="1064" t="s">
        <v>2977</v>
      </c>
      <c r="AP176" s="1074" cm="1" t="str">
        <f t="array" ref="AP176:AP176">AP175</f>
        <v>Питьевая вода (Осинниковский городской округ)</v>
      </c>
      <c r="AQ176" s="703"/>
      <c r="AR176" s="703"/>
    </row>
    <row s="8264" customFormat="1" customHeight="1" ht="14.25" hidden="1">
      <c r="A177" s="8264"/>
      <c r="B177" s="445">
        <f>K177&lt;first_year+PERIOD_LENGTH</f>
        <v>0</v>
      </c>
      <c r="C177" s="8264"/>
      <c r="D177" s="8264"/>
      <c r="E177" s="703">
        <v>15</v>
      </c>
      <c r="F177" s="50" cm="1" t="str">
        <f t="array" ref="F177:F177">OFFSET(E177,-1,1)</f>
        <v>1</v>
      </c>
      <c r="G177" s="98" cm="1" t="str">
        <f t="array" ref="G177:G177">G176</f>
        <v>Питьевая вода (Осинниковский городской округ)</v>
      </c>
      <c r="H177" s="8264"/>
      <c r="I177" s="8264"/>
      <c r="J177" s="8264"/>
      <c r="K177" s="158">
        <f>first_year+43</f>
        <v>2069</v>
      </c>
      <c r="L177" s="8264"/>
      <c r="M177" s="8264"/>
      <c r="N177" s="8264"/>
      <c r="O177" s="8264"/>
      <c r="P177" s="8264"/>
      <c r="Q177" s="8264"/>
      <c r="R177" s="8264"/>
      <c r="S177" s="8264"/>
      <c r="T177" s="465" cm="1" t="str">
        <f t="array" ref="T177:T177">T176</f>
        <v>true</v>
      </c>
      <c r="U177" s="8264"/>
      <c r="V177" s="8264"/>
      <c r="W177" s="8264"/>
      <c r="X177" s="8264"/>
      <c r="Y177" s="8264"/>
      <c r="Z177" s="8264"/>
      <c r="AA177" s="8264"/>
      <c r="AB177" s="255" t="str">
        <f>K177&amp;" год"</f>
        <v>2069 год</v>
      </c>
      <c r="AC177" s="408"/>
      <c r="AD177" s="71"/>
      <c r="AE177" s="70"/>
      <c r="AF177" s="70"/>
      <c r="AG177" s="71"/>
      <c r="AH177" s="70"/>
      <c r="AI177" s="71"/>
      <c r="AJ177" s="70"/>
      <c r="AK177" s="72"/>
      <c r="AL177" s="403"/>
      <c r="AM177" s="8264"/>
      <c r="AN177" s="1064" cm="1" t="str">
        <f t="array" ref="AN177:AN177">K177</f>
        <v>2069</v>
      </c>
      <c r="AO177" s="1064" t="s">
        <v>2977</v>
      </c>
      <c r="AP177" s="1074" cm="1" t="str">
        <f t="array" ref="AP177:AP177">AP176</f>
        <v>Питьевая вода (Осинниковский городской округ)</v>
      </c>
      <c r="AQ177" s="703"/>
      <c r="AR177" s="703"/>
    </row>
    <row s="8264" customFormat="1" customHeight="1" ht="14.25" hidden="1">
      <c r="A178" s="8264"/>
      <c r="B178" s="445">
        <f>K178&lt;first_year+PERIOD_LENGTH</f>
        <v>0</v>
      </c>
      <c r="C178" s="8264"/>
      <c r="D178" s="8264"/>
      <c r="E178" s="703">
        <v>15</v>
      </c>
      <c r="F178" s="50" cm="1" t="str">
        <f t="array" ref="F178:F178">OFFSET(E178,-1,1)</f>
        <v>1</v>
      </c>
      <c r="G178" s="98" cm="1" t="str">
        <f t="array" ref="G178:G178">G177</f>
        <v>Питьевая вода (Осинниковский городской округ)</v>
      </c>
      <c r="H178" s="8264"/>
      <c r="I178" s="8264"/>
      <c r="J178" s="8264"/>
      <c r="K178" s="158">
        <f>first_year+44</f>
        <v>2070</v>
      </c>
      <c r="L178" s="8264"/>
      <c r="M178" s="8264"/>
      <c r="N178" s="8264"/>
      <c r="O178" s="8264"/>
      <c r="P178" s="8264"/>
      <c r="Q178" s="8264"/>
      <c r="R178" s="8264"/>
      <c r="S178" s="8264"/>
      <c r="T178" s="465" cm="1" t="str">
        <f t="array" ref="T178:T178">T177</f>
        <v>true</v>
      </c>
      <c r="U178" s="8264"/>
      <c r="V178" s="8264"/>
      <c r="W178" s="8264"/>
      <c r="X178" s="8264"/>
      <c r="Y178" s="8264"/>
      <c r="Z178" s="8264"/>
      <c r="AA178" s="8264"/>
      <c r="AB178" s="255" t="str">
        <f>K178&amp;" год"</f>
        <v>2070 год</v>
      </c>
      <c r="AC178" s="408"/>
      <c r="AD178" s="71"/>
      <c r="AE178" s="70"/>
      <c r="AF178" s="70"/>
      <c r="AG178" s="71"/>
      <c r="AH178" s="70"/>
      <c r="AI178" s="71"/>
      <c r="AJ178" s="70"/>
      <c r="AK178" s="72"/>
      <c r="AL178" s="403"/>
      <c r="AM178" s="8264"/>
      <c r="AN178" s="1064" cm="1" t="str">
        <f t="array" ref="AN178:AN178">K178</f>
        <v>2070</v>
      </c>
      <c r="AO178" s="1064" t="s">
        <v>2977</v>
      </c>
      <c r="AP178" s="1074" cm="1" t="str">
        <f t="array" ref="AP178:AP178">AP177</f>
        <v>Питьевая вода (Осинниковский городской округ)</v>
      </c>
      <c r="AQ178" s="703"/>
      <c r="AR178" s="703"/>
    </row>
    <row s="8264" customFormat="1" customHeight="1" ht="14.25" hidden="1">
      <c r="A179" s="8264"/>
      <c r="B179" s="445">
        <f>K179&lt;first_year+PERIOD_LENGTH</f>
        <v>0</v>
      </c>
      <c r="C179" s="8264"/>
      <c r="D179" s="8264"/>
      <c r="E179" s="703">
        <v>15</v>
      </c>
      <c r="F179" s="50" cm="1" t="str">
        <f t="array" ref="F179:F179">OFFSET(E179,-1,1)</f>
        <v>1</v>
      </c>
      <c r="G179" s="98" cm="1" t="str">
        <f t="array" ref="G179:G179">G178</f>
        <v>Питьевая вода (Осинниковский городской округ)</v>
      </c>
      <c r="H179" s="8264"/>
      <c r="I179" s="8264"/>
      <c r="J179" s="8264"/>
      <c r="K179" s="158">
        <f>first_year+45</f>
        <v>2071</v>
      </c>
      <c r="L179" s="8264"/>
      <c r="M179" s="8264"/>
      <c r="N179" s="8264"/>
      <c r="O179" s="8264"/>
      <c r="P179" s="8264"/>
      <c r="Q179" s="8264"/>
      <c r="R179" s="8264"/>
      <c r="S179" s="8264"/>
      <c r="T179" s="465" cm="1" t="str">
        <f t="array" ref="T179:T179">T178</f>
        <v>true</v>
      </c>
      <c r="U179" s="8264"/>
      <c r="V179" s="8264"/>
      <c r="W179" s="8264"/>
      <c r="X179" s="8264"/>
      <c r="Y179" s="8264"/>
      <c r="Z179" s="8264"/>
      <c r="AA179" s="8264"/>
      <c r="AB179" s="255" t="str">
        <f>K179&amp;" год"</f>
        <v>2071 год</v>
      </c>
      <c r="AC179" s="408"/>
      <c r="AD179" s="71"/>
      <c r="AE179" s="70"/>
      <c r="AF179" s="70"/>
      <c r="AG179" s="71"/>
      <c r="AH179" s="70"/>
      <c r="AI179" s="71"/>
      <c r="AJ179" s="70"/>
      <c r="AK179" s="72"/>
      <c r="AL179" s="403"/>
      <c r="AM179" s="8264"/>
      <c r="AN179" s="1064" cm="1" t="str">
        <f t="array" ref="AN179:AN179">K179</f>
        <v>2071</v>
      </c>
      <c r="AO179" s="1064" t="s">
        <v>2977</v>
      </c>
      <c r="AP179" s="1074" cm="1" t="str">
        <f t="array" ref="AP179:AP179">AP178</f>
        <v>Питьевая вода (Осинниковский городской округ)</v>
      </c>
      <c r="AQ179" s="703"/>
      <c r="AR179" s="703"/>
    </row>
    <row s="8264" customFormat="1" customHeight="1" ht="14.25" hidden="1">
      <c r="A180" s="8264"/>
      <c r="B180" s="445">
        <f>K180&lt;first_year+PERIOD_LENGTH</f>
        <v>0</v>
      </c>
      <c r="C180" s="8264"/>
      <c r="D180" s="8264"/>
      <c r="E180" s="703">
        <v>15</v>
      </c>
      <c r="F180" s="50" cm="1" t="str">
        <f t="array" ref="F180:F180">OFFSET(E180,-1,1)</f>
        <v>1</v>
      </c>
      <c r="G180" s="98" cm="1" t="str">
        <f t="array" ref="G180:G180">G179</f>
        <v>Питьевая вода (Осинниковский городской округ)</v>
      </c>
      <c r="H180" s="8264"/>
      <c r="I180" s="8264"/>
      <c r="J180" s="8264"/>
      <c r="K180" s="158">
        <f>first_year+46</f>
        <v>2072</v>
      </c>
      <c r="L180" s="8264"/>
      <c r="M180" s="8264"/>
      <c r="N180" s="8264"/>
      <c r="O180" s="8264"/>
      <c r="P180" s="8264"/>
      <c r="Q180" s="8264"/>
      <c r="R180" s="8264"/>
      <c r="S180" s="8264"/>
      <c r="T180" s="465" cm="1" t="str">
        <f t="array" ref="T180:T180">T179</f>
        <v>true</v>
      </c>
      <c r="U180" s="8264"/>
      <c r="V180" s="8264"/>
      <c r="W180" s="8264"/>
      <c r="X180" s="8264"/>
      <c r="Y180" s="8264"/>
      <c r="Z180" s="8264"/>
      <c r="AA180" s="8264"/>
      <c r="AB180" s="255" t="str">
        <f>K180&amp;" год"</f>
        <v>2072 год</v>
      </c>
      <c r="AC180" s="408"/>
      <c r="AD180" s="71"/>
      <c r="AE180" s="70"/>
      <c r="AF180" s="70"/>
      <c r="AG180" s="71"/>
      <c r="AH180" s="70"/>
      <c r="AI180" s="71"/>
      <c r="AJ180" s="70"/>
      <c r="AK180" s="72"/>
      <c r="AL180" s="403"/>
      <c r="AM180" s="8264"/>
      <c r="AN180" s="1064" cm="1" t="str">
        <f t="array" ref="AN180:AN180">K180</f>
        <v>2072</v>
      </c>
      <c r="AO180" s="1064" t="s">
        <v>2977</v>
      </c>
      <c r="AP180" s="1074" cm="1" t="str">
        <f t="array" ref="AP180:AP180">AP179</f>
        <v>Питьевая вода (Осинниковский городской округ)</v>
      </c>
      <c r="AQ180" s="703"/>
      <c r="AR180" s="703"/>
    </row>
    <row s="8264" customFormat="1" customHeight="1" ht="14.25" hidden="1">
      <c r="A181" s="8264"/>
      <c r="B181" s="445">
        <f>K181&lt;first_year+PERIOD_LENGTH</f>
        <v>0</v>
      </c>
      <c r="C181" s="8264"/>
      <c r="D181" s="8264"/>
      <c r="E181" s="703">
        <v>15</v>
      </c>
      <c r="F181" s="50" cm="1" t="str">
        <f t="array" ref="F181:F181">OFFSET(E181,-1,1)</f>
        <v>1</v>
      </c>
      <c r="G181" s="98" cm="1" t="str">
        <f t="array" ref="G181:G181">G180</f>
        <v>Питьевая вода (Осинниковский городской округ)</v>
      </c>
      <c r="H181" s="8264"/>
      <c r="I181" s="8264"/>
      <c r="J181" s="8264"/>
      <c r="K181" s="158">
        <f>first_year+47</f>
        <v>2073</v>
      </c>
      <c r="L181" s="8264"/>
      <c r="M181" s="8264"/>
      <c r="N181" s="8264"/>
      <c r="O181" s="8264"/>
      <c r="P181" s="8264"/>
      <c r="Q181" s="8264"/>
      <c r="R181" s="8264"/>
      <c r="S181" s="8264"/>
      <c r="T181" s="465" cm="1" t="str">
        <f t="array" ref="T181:T181">T180</f>
        <v>true</v>
      </c>
      <c r="U181" s="8264"/>
      <c r="V181" s="8264"/>
      <c r="W181" s="8264"/>
      <c r="X181" s="8264"/>
      <c r="Y181" s="8264"/>
      <c r="Z181" s="8264"/>
      <c r="AA181" s="8264"/>
      <c r="AB181" s="255" t="str">
        <f>K181&amp;" год"</f>
        <v>2073 год</v>
      </c>
      <c r="AC181" s="408"/>
      <c r="AD181" s="71"/>
      <c r="AE181" s="70"/>
      <c r="AF181" s="70"/>
      <c r="AG181" s="71"/>
      <c r="AH181" s="70"/>
      <c r="AI181" s="71"/>
      <c r="AJ181" s="70"/>
      <c r="AK181" s="72"/>
      <c r="AL181" s="403"/>
      <c r="AM181" s="8264"/>
      <c r="AN181" s="1064" cm="1" t="str">
        <f t="array" ref="AN181:AN181">K181</f>
        <v>2073</v>
      </c>
      <c r="AO181" s="1064" t="s">
        <v>2977</v>
      </c>
      <c r="AP181" s="1074" cm="1" t="str">
        <f t="array" ref="AP181:AP181">AP180</f>
        <v>Питьевая вода (Осинниковский городской округ)</v>
      </c>
      <c r="AQ181" s="703"/>
      <c r="AR181" s="703"/>
    </row>
    <row s="8264" customFormat="1" customHeight="1" ht="14.25" hidden="1">
      <c r="A182" s="8264"/>
      <c r="B182" s="445">
        <f>K182&lt;first_year+PERIOD_LENGTH</f>
        <v>0</v>
      </c>
      <c r="C182" s="8264"/>
      <c r="D182" s="8264"/>
      <c r="E182" s="703">
        <v>15</v>
      </c>
      <c r="F182" s="50" cm="1" t="str">
        <f t="array" ref="F182:F182">OFFSET(E182,-1,1)</f>
        <v>1</v>
      </c>
      <c r="G182" s="98" cm="1" t="str">
        <f t="array" ref="G182:G182">G181</f>
        <v>Питьевая вода (Осинниковский городской округ)</v>
      </c>
      <c r="H182" s="8264"/>
      <c r="I182" s="8264"/>
      <c r="J182" s="8264"/>
      <c r="K182" s="158">
        <f>first_year+48</f>
        <v>2074</v>
      </c>
      <c r="L182" s="8264"/>
      <c r="M182" s="8264"/>
      <c r="N182" s="8264"/>
      <c r="O182" s="8264"/>
      <c r="P182" s="8264"/>
      <c r="Q182" s="8264"/>
      <c r="R182" s="8264"/>
      <c r="S182" s="8264"/>
      <c r="T182" s="465" cm="1" t="str">
        <f t="array" ref="T182:T182">T181</f>
        <v>true</v>
      </c>
      <c r="U182" s="8264"/>
      <c r="V182" s="8264"/>
      <c r="W182" s="8264"/>
      <c r="X182" s="8264"/>
      <c r="Y182" s="8264"/>
      <c r="Z182" s="8264"/>
      <c r="AA182" s="8264"/>
      <c r="AB182" s="255" t="str">
        <f>K182&amp;" год"</f>
        <v>2074 год</v>
      </c>
      <c r="AC182" s="408"/>
      <c r="AD182" s="71"/>
      <c r="AE182" s="70"/>
      <c r="AF182" s="70"/>
      <c r="AG182" s="71"/>
      <c r="AH182" s="70"/>
      <c r="AI182" s="71"/>
      <c r="AJ182" s="70"/>
      <c r="AK182" s="72"/>
      <c r="AL182" s="403"/>
      <c r="AM182" s="8264"/>
      <c r="AN182" s="1064" cm="1" t="str">
        <f t="array" ref="AN182:AN182">K182</f>
        <v>2074</v>
      </c>
      <c r="AO182" s="1064" t="s">
        <v>2977</v>
      </c>
      <c r="AP182" s="1074" cm="1" t="str">
        <f t="array" ref="AP182:AP182">AP181</f>
        <v>Питьевая вода (Осинниковский городской округ)</v>
      </c>
      <c r="AQ182" s="703"/>
      <c r="AR182" s="703"/>
    </row>
    <row s="8264" customFormat="1" customHeight="1" ht="14.25" hidden="1">
      <c r="A183" s="8264"/>
      <c r="B183" s="445">
        <f>K183&lt;first_year+PERIOD_LENGTH</f>
        <v>0</v>
      </c>
      <c r="C183" s="8264"/>
      <c r="D183" s="8264"/>
      <c r="E183" s="703">
        <v>15</v>
      </c>
      <c r="F183" s="50" cm="1" t="str">
        <f t="array" ref="F183:F183">OFFSET(E183,-1,1)</f>
        <v>1</v>
      </c>
      <c r="G183" s="98" cm="1" t="str">
        <f t="array" ref="G183:G183">G182</f>
        <v>Питьевая вода (Осинниковский городской округ)</v>
      </c>
      <c r="H183" s="8264"/>
      <c r="I183" s="8264"/>
      <c r="J183" s="8264"/>
      <c r="K183" s="158">
        <f>first_year+49</f>
        <v>2075</v>
      </c>
      <c r="L183" s="8264"/>
      <c r="M183" s="8264"/>
      <c r="N183" s="8264"/>
      <c r="O183" s="8264"/>
      <c r="P183" s="8264"/>
      <c r="Q183" s="8264"/>
      <c r="R183" s="8264"/>
      <c r="S183" s="8264"/>
      <c r="T183" s="465" cm="1" t="str">
        <f t="array" ref="T183:T183">T182</f>
        <v>true</v>
      </c>
      <c r="U183" s="8264"/>
      <c r="V183" s="8264"/>
      <c r="W183" s="8264"/>
      <c r="X183" s="8264"/>
      <c r="Y183" s="8264"/>
      <c r="Z183" s="8264"/>
      <c r="AA183" s="8264"/>
      <c r="AB183" s="255" t="str">
        <f>K183&amp;" год"</f>
        <v>2075 год</v>
      </c>
      <c r="AC183" s="408"/>
      <c r="AD183" s="71"/>
      <c r="AE183" s="70"/>
      <c r="AF183" s="70"/>
      <c r="AG183" s="71"/>
      <c r="AH183" s="70"/>
      <c r="AI183" s="71"/>
      <c r="AJ183" s="70"/>
      <c r="AK183" s="72"/>
      <c r="AL183" s="403"/>
      <c r="AM183" s="8264"/>
      <c r="AN183" s="1064" cm="1" t="str">
        <f t="array" ref="AN183:AN183">K183</f>
        <v>2075</v>
      </c>
      <c r="AO183" s="1064" t="s">
        <v>2977</v>
      </c>
      <c r="AP183" s="1074" cm="1" t="str">
        <f t="array" ref="AP183:AP183">AP182</f>
        <v>Питьевая вода (Осинниковский городской округ)</v>
      </c>
      <c r="AQ183" s="703"/>
      <c r="AR183" s="703"/>
    </row>
    <row s="1834" customFormat="1" customHeight="1" ht="14.25">
      <c r="A184" s="158"/>
      <c r="B184" s="432"/>
      <c r="C184" s="158"/>
      <c r="D184" s="158"/>
      <c r="E184" s="703">
        <v>15</v>
      </c>
      <c r="F184" s="1175" cm="1" t="str">
        <f t="array" ref="F184:F184">OFFSET(E184,-1,1)</f>
        <v>1</v>
      </c>
      <c r="G184" s="158" t="str">
        <f>"!== 'не определено'"</f>
        <v>!== 'не определено'</v>
      </c>
      <c r="H184" s="158"/>
      <c r="I184" s="158"/>
      <c r="J184" s="158"/>
      <c r="K184" s="158"/>
      <c r="L184" s="158"/>
      <c r="M184" s="158"/>
      <c r="N184" s="158"/>
      <c r="O184" s="158"/>
      <c r="P184" s="158"/>
      <c r="Q184" s="158"/>
      <c r="R184" s="158"/>
      <c r="S184" s="158"/>
      <c r="T184" s="465">
        <f>F184&gt;0</f>
        <v>1</v>
      </c>
      <c r="U184" s="158"/>
      <c r="V184" s="158"/>
      <c r="W184" s="829" t="s">
        <v>2978</v>
      </c>
      <c r="X184" s="1563"/>
      <c r="Y184" s="158"/>
      <c r="Z184" s="1546"/>
      <c r="AA184" s="158"/>
      <c r="AB184" s="938" t="s">
        <v>178</v>
      </c>
      <c r="AC184" s="304"/>
      <c r="AD184" s="304"/>
      <c r="AE184" s="304"/>
      <c r="AF184" s="304"/>
      <c r="AG184" s="304"/>
      <c r="AH184" s="304"/>
      <c r="AI184" s="304"/>
      <c r="AJ184" s="304"/>
      <c r="AK184" s="304"/>
      <c r="AL184" s="403"/>
      <c r="AM184" s="1834"/>
      <c r="AN184" s="1004"/>
      <c r="AO184" s="1004"/>
      <c r="AP184" s="1004"/>
      <c r="AQ184" s="1007" t="s">
        <v>2977</v>
      </c>
      <c r="AR184" s="624"/>
    </row>
    <row s="538" customFormat="1" customHeight="1" ht="14.25">
      <c r="A185" s="1758"/>
      <c r="B185" s="428"/>
      <c r="C185" s="1758"/>
      <c r="D185" s="1758"/>
      <c r="E185" s="618">
        <v>15</v>
      </c>
      <c r="F185" s="98" cm="1" t="str">
        <f t="array" ref="F185:F185">X185</f>
        <v>2</v>
      </c>
      <c r="G185" s="1758"/>
      <c r="H185" s="1758"/>
      <c r="I185" s="1758"/>
      <c r="J185" s="1758"/>
      <c r="K185" s="1758"/>
      <c r="L185" s="1758"/>
      <c r="M185" s="1758"/>
      <c r="N185" s="1758"/>
      <c r="O185" s="1758"/>
      <c r="P185" s="1758"/>
      <c r="Q185" s="1758"/>
      <c r="R185" s="1758"/>
      <c r="S185" s="1758"/>
      <c r="T185" s="465">
        <f>X185&gt;0</f>
        <v>1</v>
      </c>
      <c r="U185" s="1758"/>
      <c r="V185" s="122" cm="1" t="str">
        <f t="array" ref="V185:V185">ДПР!$AB$132</f>
        <v>Тариф 2 (Водоснабжение) - тариф на питьевую воду (Доп. признак не требуется)</v>
      </c>
      <c r="W185" s="1758"/>
      <c r="X185" s="1563" t="s">
        <v>285</v>
      </c>
      <c r="Y185" s="1758"/>
      <c r="Z185" s="1546"/>
      <c r="AA185" s="1758"/>
      <c r="AB185" s="381" cm="1" t="str">
        <f t="array" ref="AB185:AB185">ДПР!$AB$132</f>
        <v>Тариф 2 (Водоснабжение) - тариф на питьевую воду (Доп. признак не требуется)</v>
      </c>
      <c r="AC185" s="243"/>
      <c r="AD185" s="243"/>
      <c r="AE185" s="243"/>
      <c r="AF185" s="243"/>
      <c r="AG185" s="243"/>
      <c r="AH185" s="243"/>
      <c r="AI185" s="243"/>
      <c r="AJ185" s="243"/>
      <c r="AK185" s="243"/>
      <c r="AL185" s="402"/>
      <c r="AM185" s="1758"/>
      <c r="AN185" s="997"/>
      <c r="AO185" s="997"/>
      <c r="AP185" s="997"/>
      <c r="AQ185" s="618"/>
      <c r="AR185" s="618"/>
    </row>
    <row s="538" customFormat="1" customHeight="1" ht="14.25" hidden="1">
      <c r="E186" s="618">
        <v>15</v>
      </c>
      <c r="F186" s="50" cm="1" t="str">
        <f t="array" ref="F186:F186">OFFSET(E186,-1,1)</f>
        <v>2</v>
      </c>
      <c r="G186" s="122" cm="1" t="str">
        <f t="array" ref="G186:G186">AB186</f>
        <v>0</v>
      </c>
      <c r="T186" s="465">
        <f>AND(F186&gt;0,Y186&gt;0)</f>
        <v>0</v>
      </c>
      <c r="W186" s="122" t="s">
        <v>174</v>
      </c>
      <c r="Y186" s="1563">
        <v>0</v>
      </c>
      <c r="AA186" s="1648" t="s">
        <v>175</v>
      </c>
      <c r="AB186" s="8278"/>
      <c r="AC186" s="8278"/>
      <c r="AD186" s="8278"/>
      <c r="AE186" s="8278"/>
      <c r="AF186" s="8278"/>
      <c r="AG186" s="8278"/>
      <c r="AH186" s="8278"/>
      <c r="AI186" s="8278"/>
      <c r="AJ186" s="8278"/>
      <c r="AK186" s="8279"/>
      <c r="AL186" s="402"/>
      <c r="AN186" s="997"/>
      <c r="AO186" s="1064" t="s">
        <v>2977</v>
      </c>
      <c r="AP186" s="1050" cm="1" t="str">
        <f t="array" ref="AP186:AP186">AB186</f>
        <v>0</v>
      </c>
      <c r="AQ186" s="618"/>
      <c r="AR186" s="618" t="b">
        <v>1</v>
      </c>
    </row>
    <row s="8264" customFormat="1" customHeight="1" ht="14.25" hidden="1">
      <c r="B187" s="445">
        <f>K187&lt;first_year+PERIOD_LENGTH</f>
        <v>1</v>
      </c>
      <c r="E187" s="703">
        <v>15</v>
      </c>
      <c r="F187" s="50" cm="1" t="str">
        <f t="array" ref="F187:F187">OFFSET(E187,-1,1)</f>
        <v>2</v>
      </c>
      <c r="G187" s="98" cm="1" t="str">
        <f t="array" ref="G187:G187">G186</f>
        <v>0</v>
      </c>
      <c r="K187" s="158" cm="1" t="str">
        <f t="array" ref="K187:K187">first_year</f>
        <v>2026</v>
      </c>
      <c r="T187" s="465" cm="1" t="str">
        <f t="array" ref="T187:T187">T186</f>
        <v>false</v>
      </c>
      <c r="AB187" s="302" t="str">
        <f>K187&amp;" год"</f>
        <v>2026 год</v>
      </c>
      <c r="AC187" s="8280"/>
      <c r="AD187" s="8281"/>
      <c r="AE187" s="8280"/>
      <c r="AF187" s="8280"/>
      <c r="AG187" s="8281"/>
      <c r="AH187" s="8280"/>
      <c r="AI187" s="8281"/>
      <c r="AJ187" s="8280"/>
      <c r="AK187" s="8282"/>
      <c r="AL187" s="403"/>
      <c r="AN187" s="1064" cm="1" t="str">
        <f t="array" ref="AN187:AN187">K187</f>
        <v>2026</v>
      </c>
      <c r="AO187" s="1064" t="s">
        <v>2977</v>
      </c>
      <c r="AP187" s="1074" cm="1" t="str">
        <f t="array" ref="AP187:AP187">AP186</f>
        <v>0</v>
      </c>
      <c r="AQ187" s="703"/>
      <c r="AR187" s="703"/>
    </row>
    <row s="8264" customFormat="1" customHeight="1" ht="14.25" hidden="1">
      <c r="B188" s="445">
        <f>K188&lt;first_year+PERIOD_LENGTH</f>
        <v>1</v>
      </c>
      <c r="E188" s="703">
        <v>15</v>
      </c>
      <c r="F188" s="50" cm="1" t="str">
        <f t="array" ref="F188:F188">OFFSET(E188,-1,1)</f>
        <v>2</v>
      </c>
      <c r="G188" s="98" cm="1" t="str">
        <f t="array" ref="G188:G188">G187</f>
        <v>0</v>
      </c>
      <c r="K188" s="158">
        <f>first_year+1</f>
        <v>2027</v>
      </c>
      <c r="T188" s="465" cm="1" t="str">
        <f t="array" ref="T188:T188">T187</f>
        <v>false</v>
      </c>
      <c r="AB188" s="255" t="str">
        <f>K188&amp;" год"</f>
        <v>2027 год</v>
      </c>
      <c r="AC188" s="408"/>
      <c r="AD188" s="8281"/>
      <c r="AE188" s="8280"/>
      <c r="AF188" s="8280"/>
      <c r="AG188" s="8281"/>
      <c r="AH188" s="8280"/>
      <c r="AI188" s="8281"/>
      <c r="AJ188" s="8280"/>
      <c r="AK188" s="8282"/>
      <c r="AL188" s="403"/>
      <c r="AN188" s="1064" cm="1" t="str">
        <f t="array" ref="AN188:AN188">K188</f>
        <v>2027</v>
      </c>
      <c r="AO188" s="1064" t="s">
        <v>2977</v>
      </c>
      <c r="AP188" s="1074" cm="1" t="str">
        <f t="array" ref="AP188:AP188">AP187</f>
        <v>0</v>
      </c>
      <c r="AQ188" s="703"/>
      <c r="AR188" s="703"/>
    </row>
    <row s="8264" customFormat="1" customHeight="1" ht="14.25" hidden="1">
      <c r="B189" s="445">
        <f>K189&lt;first_year+PERIOD_LENGTH</f>
        <v>1</v>
      </c>
      <c r="E189" s="703">
        <v>15</v>
      </c>
      <c r="F189" s="50" cm="1" t="str">
        <f t="array" ref="F189:F189">OFFSET(E189,-1,1)</f>
        <v>2</v>
      </c>
      <c r="G189" s="98" cm="1" t="str">
        <f t="array" ref="G189:G189">G188</f>
        <v>0</v>
      </c>
      <c r="K189" s="158">
        <f>first_year+2</f>
        <v>2028</v>
      </c>
      <c r="T189" s="465" cm="1" t="str">
        <f t="array" ref="T189:T189">T188</f>
        <v>false</v>
      </c>
      <c r="AB189" s="255" t="str">
        <f>K189&amp;" год"</f>
        <v>2028 год</v>
      </c>
      <c r="AC189" s="408"/>
      <c r="AD189" s="8281"/>
      <c r="AE189" s="8280"/>
      <c r="AF189" s="8280"/>
      <c r="AG189" s="8281"/>
      <c r="AH189" s="8280"/>
      <c r="AI189" s="8281"/>
      <c r="AJ189" s="8280"/>
      <c r="AK189" s="8282"/>
      <c r="AL189" s="403"/>
      <c r="AN189" s="1064" cm="1" t="str">
        <f t="array" ref="AN189:AN189">K189</f>
        <v>2028</v>
      </c>
      <c r="AO189" s="1064" t="s">
        <v>2977</v>
      </c>
      <c r="AP189" s="1074" cm="1" t="str">
        <f t="array" ref="AP189:AP189">AP188</f>
        <v>0</v>
      </c>
      <c r="AQ189" s="703"/>
      <c r="AR189" s="703"/>
    </row>
    <row s="8264" customFormat="1" customHeight="1" ht="14.25" hidden="1">
      <c r="B190" s="445">
        <f>K190&lt;first_year+PERIOD_LENGTH</f>
        <v>1</v>
      </c>
      <c r="E190" s="703">
        <v>15</v>
      </c>
      <c r="F190" s="50" cm="1" t="str">
        <f t="array" ref="F190:F190">OFFSET(E190,-1,1)</f>
        <v>2</v>
      </c>
      <c r="G190" s="98" cm="1" t="str">
        <f t="array" ref="G190:G190">G189</f>
        <v>0</v>
      </c>
      <c r="K190" s="158">
        <f>first_year+3</f>
        <v>2029</v>
      </c>
      <c r="T190" s="465" cm="1" t="str">
        <f t="array" ref="T190:T190">T189</f>
        <v>false</v>
      </c>
      <c r="AB190" s="255" t="str">
        <f>K190&amp;" год"</f>
        <v>2029 год</v>
      </c>
      <c r="AC190" s="408"/>
      <c r="AD190" s="8281"/>
      <c r="AE190" s="8280"/>
      <c r="AF190" s="8280"/>
      <c r="AG190" s="8281"/>
      <c r="AH190" s="8280"/>
      <c r="AI190" s="8281"/>
      <c r="AJ190" s="8280"/>
      <c r="AK190" s="8282"/>
      <c r="AL190" s="403"/>
      <c r="AN190" s="1064" cm="1" t="str">
        <f t="array" ref="AN190:AN190">K190</f>
        <v>2029</v>
      </c>
      <c r="AO190" s="1064" t="s">
        <v>2977</v>
      </c>
      <c r="AP190" s="1074" cm="1" t="str">
        <f t="array" ref="AP190:AP190">AP189</f>
        <v>0</v>
      </c>
      <c r="AQ190" s="703"/>
      <c r="AR190" s="703"/>
    </row>
    <row s="8264" customFormat="1" customHeight="1" ht="14.25" hidden="1">
      <c r="B191" s="445">
        <f>K191&lt;first_year+PERIOD_LENGTH</f>
        <v>1</v>
      </c>
      <c r="E191" s="703">
        <v>15</v>
      </c>
      <c r="F191" s="50" cm="1" t="str">
        <f t="array" ref="F191:F191">OFFSET(E191,-1,1)</f>
        <v>2</v>
      </c>
      <c r="G191" s="98" cm="1" t="str">
        <f t="array" ref="G191:G191">G190</f>
        <v>0</v>
      </c>
      <c r="K191" s="158">
        <f>first_year+4</f>
        <v>2030</v>
      </c>
      <c r="T191" s="465" cm="1" t="str">
        <f t="array" ref="T191:T191">T190</f>
        <v>false</v>
      </c>
      <c r="AB191" s="255" t="str">
        <f>K191&amp;" год"</f>
        <v>2030 год</v>
      </c>
      <c r="AC191" s="408"/>
      <c r="AD191" s="8281"/>
      <c r="AE191" s="8280"/>
      <c r="AF191" s="8280"/>
      <c r="AG191" s="8281"/>
      <c r="AH191" s="8280"/>
      <c r="AI191" s="8281"/>
      <c r="AJ191" s="8280"/>
      <c r="AK191" s="8282"/>
      <c r="AL191" s="403"/>
      <c r="AN191" s="1064" cm="1" t="str">
        <f t="array" ref="AN191:AN191">K191</f>
        <v>2030</v>
      </c>
      <c r="AO191" s="1064" t="s">
        <v>2977</v>
      </c>
      <c r="AP191" s="1074" cm="1" t="str">
        <f t="array" ref="AP191:AP191">AP190</f>
        <v>0</v>
      </c>
      <c r="AQ191" s="703"/>
      <c r="AR191" s="703"/>
    </row>
    <row s="8264" customFormat="1" customHeight="1" ht="14.25" hidden="1">
      <c r="B192" s="445">
        <f>K192&lt;first_year+PERIOD_LENGTH</f>
        <v>0</v>
      </c>
      <c r="E192" s="703">
        <v>15</v>
      </c>
      <c r="F192" s="50" cm="1" t="str">
        <f t="array" ref="F192:F192">OFFSET(E192,-1,1)</f>
        <v>2</v>
      </c>
      <c r="G192" s="98" cm="1" t="str">
        <f t="array" ref="G192:G192">G191</f>
        <v>0</v>
      </c>
      <c r="K192" s="158">
        <f>first_year+5</f>
        <v>2031</v>
      </c>
      <c r="T192" s="465" cm="1" t="str">
        <f t="array" ref="T192:T192">T191</f>
        <v>false</v>
      </c>
      <c r="AB192" s="255" t="str">
        <f>K192&amp;" год"</f>
        <v>2031 год</v>
      </c>
      <c r="AC192" s="408"/>
      <c r="AD192" s="8281"/>
      <c r="AE192" s="8280"/>
      <c r="AF192" s="8280"/>
      <c r="AG192" s="8281"/>
      <c r="AH192" s="8280"/>
      <c r="AI192" s="8281"/>
      <c r="AJ192" s="8280"/>
      <c r="AK192" s="8282"/>
      <c r="AL192" s="403"/>
      <c r="AN192" s="1064" cm="1" t="str">
        <f t="array" ref="AN192:AN192">K192</f>
        <v>2031</v>
      </c>
      <c r="AO192" s="1064" t="s">
        <v>2977</v>
      </c>
      <c r="AP192" s="1074" cm="1" t="str">
        <f t="array" ref="AP192:AP192">AP191</f>
        <v>0</v>
      </c>
      <c r="AQ192" s="703"/>
      <c r="AR192" s="703"/>
    </row>
    <row s="8264" customFormat="1" customHeight="1" ht="14.25" hidden="1">
      <c r="B193" s="445">
        <f>K193&lt;first_year+PERIOD_LENGTH</f>
        <v>0</v>
      </c>
      <c r="E193" s="703">
        <v>15</v>
      </c>
      <c r="F193" s="50" cm="1" t="str">
        <f t="array" ref="F193:F193">OFFSET(E193,-1,1)</f>
        <v>2</v>
      </c>
      <c r="G193" s="98" cm="1" t="str">
        <f t="array" ref="G193:G193">G192</f>
        <v>0</v>
      </c>
      <c r="K193" s="158">
        <f>first_year+6</f>
        <v>2032</v>
      </c>
      <c r="T193" s="465" cm="1" t="str">
        <f t="array" ref="T193:T193">T192</f>
        <v>false</v>
      </c>
      <c r="AB193" s="255" t="str">
        <f>K193&amp;" год"</f>
        <v>2032 год</v>
      </c>
      <c r="AC193" s="408"/>
      <c r="AD193" s="8281"/>
      <c r="AE193" s="8280"/>
      <c r="AF193" s="8280"/>
      <c r="AG193" s="8281"/>
      <c r="AH193" s="8280"/>
      <c r="AI193" s="8281"/>
      <c r="AJ193" s="8280"/>
      <c r="AK193" s="8282"/>
      <c r="AL193" s="403"/>
      <c r="AN193" s="1064" cm="1" t="str">
        <f t="array" ref="AN193:AN193">K193</f>
        <v>2032</v>
      </c>
      <c r="AO193" s="1064" t="s">
        <v>2977</v>
      </c>
      <c r="AP193" s="1074" cm="1" t="str">
        <f t="array" ref="AP193:AP193">AP192</f>
        <v>0</v>
      </c>
      <c r="AQ193" s="703"/>
      <c r="AR193" s="703"/>
    </row>
    <row s="8264" customFormat="1" customHeight="1" ht="14.25" hidden="1">
      <c r="B194" s="445">
        <f>K194&lt;first_year+PERIOD_LENGTH</f>
        <v>0</v>
      </c>
      <c r="E194" s="703">
        <v>15</v>
      </c>
      <c r="F194" s="50" cm="1" t="str">
        <f t="array" ref="F194:F194">OFFSET(E194,-1,1)</f>
        <v>2</v>
      </c>
      <c r="G194" s="98" cm="1" t="str">
        <f t="array" ref="G194:G194">G193</f>
        <v>0</v>
      </c>
      <c r="K194" s="158">
        <f>first_year+7</f>
        <v>2033</v>
      </c>
      <c r="T194" s="465" cm="1" t="str">
        <f t="array" ref="T194:T194">T193</f>
        <v>false</v>
      </c>
      <c r="AB194" s="255" t="str">
        <f>K194&amp;" год"</f>
        <v>2033 год</v>
      </c>
      <c r="AC194" s="408"/>
      <c r="AD194" s="8281"/>
      <c r="AE194" s="8280"/>
      <c r="AF194" s="8280"/>
      <c r="AG194" s="8281"/>
      <c r="AH194" s="8280"/>
      <c r="AI194" s="8281"/>
      <c r="AJ194" s="8280"/>
      <c r="AK194" s="8282"/>
      <c r="AL194" s="403"/>
      <c r="AN194" s="1064" cm="1" t="str">
        <f t="array" ref="AN194:AN194">K194</f>
        <v>2033</v>
      </c>
      <c r="AO194" s="1064" t="s">
        <v>2977</v>
      </c>
      <c r="AP194" s="1074" cm="1" t="str">
        <f t="array" ref="AP194:AP194">AP193</f>
        <v>0</v>
      </c>
      <c r="AQ194" s="703"/>
      <c r="AR194" s="703"/>
    </row>
    <row s="8264" customFormat="1" customHeight="1" ht="14.25" hidden="1">
      <c r="B195" s="445">
        <f>K195&lt;first_year+PERIOD_LENGTH</f>
        <v>0</v>
      </c>
      <c r="E195" s="703">
        <v>15</v>
      </c>
      <c r="F195" s="50" cm="1" t="str">
        <f t="array" ref="F195:F195">OFFSET(E195,-1,1)</f>
        <v>2</v>
      </c>
      <c r="G195" s="98" cm="1" t="str">
        <f t="array" ref="G195:G195">G194</f>
        <v>0</v>
      </c>
      <c r="K195" s="158">
        <f>first_year+8</f>
        <v>2034</v>
      </c>
      <c r="T195" s="465" cm="1" t="str">
        <f t="array" ref="T195:T195">T194</f>
        <v>false</v>
      </c>
      <c r="AB195" s="255" t="str">
        <f>K195&amp;" год"</f>
        <v>2034 год</v>
      </c>
      <c r="AC195" s="408"/>
      <c r="AD195" s="8281"/>
      <c r="AE195" s="8280"/>
      <c r="AF195" s="8280"/>
      <c r="AG195" s="8281"/>
      <c r="AH195" s="8280"/>
      <c r="AI195" s="8281"/>
      <c r="AJ195" s="8280"/>
      <c r="AK195" s="8282"/>
      <c r="AL195" s="403"/>
      <c r="AN195" s="1064" cm="1" t="str">
        <f t="array" ref="AN195:AN195">K195</f>
        <v>2034</v>
      </c>
      <c r="AO195" s="1064" t="s">
        <v>2977</v>
      </c>
      <c r="AP195" s="1074" cm="1" t="str">
        <f t="array" ref="AP195:AP195">AP194</f>
        <v>0</v>
      </c>
      <c r="AQ195" s="703"/>
      <c r="AR195" s="703"/>
    </row>
    <row s="8264" customFormat="1" customHeight="1" ht="14.25" hidden="1">
      <c r="B196" s="445">
        <f>K196&lt;first_year+PERIOD_LENGTH</f>
        <v>0</v>
      </c>
      <c r="E196" s="703">
        <v>15</v>
      </c>
      <c r="F196" s="50" cm="1" t="str">
        <f t="array" ref="F196:F196">OFFSET(E196,-1,1)</f>
        <v>2</v>
      </c>
      <c r="G196" s="98" cm="1" t="str">
        <f t="array" ref="G196:G196">G195</f>
        <v>0</v>
      </c>
      <c r="K196" s="158">
        <f>first_year+9</f>
        <v>2035</v>
      </c>
      <c r="T196" s="465" cm="1" t="str">
        <f t="array" ref="T196:T196">T195</f>
        <v>false</v>
      </c>
      <c r="AB196" s="255" t="str">
        <f>K196&amp;" год"</f>
        <v>2035 год</v>
      </c>
      <c r="AC196" s="408"/>
      <c r="AD196" s="8281"/>
      <c r="AE196" s="8280"/>
      <c r="AF196" s="8280"/>
      <c r="AG196" s="8281"/>
      <c r="AH196" s="8280"/>
      <c r="AI196" s="8281"/>
      <c r="AJ196" s="8280"/>
      <c r="AK196" s="8282"/>
      <c r="AL196" s="403"/>
      <c r="AN196" s="1064" cm="1" t="str">
        <f t="array" ref="AN196:AN196">K196</f>
        <v>2035</v>
      </c>
      <c r="AO196" s="1064" t="s">
        <v>2977</v>
      </c>
      <c r="AP196" s="1074" cm="1" t="str">
        <f t="array" ref="AP196:AP196">AP195</f>
        <v>0</v>
      </c>
      <c r="AQ196" s="703"/>
      <c r="AR196" s="703"/>
    </row>
    <row s="8264" customFormat="1" customHeight="1" ht="14.25" hidden="1">
      <c r="B197" s="445">
        <f>K197&lt;first_year+PERIOD_LENGTH</f>
        <v>0</v>
      </c>
      <c r="E197" s="703">
        <v>15</v>
      </c>
      <c r="F197" s="50" cm="1" t="str">
        <f t="array" ref="F197:F197">OFFSET(E197,-1,1)</f>
        <v>2</v>
      </c>
      <c r="G197" s="98" cm="1" t="str">
        <f t="array" ref="G197:G197">G196</f>
        <v>0</v>
      </c>
      <c r="K197" s="158">
        <f>first_year+10</f>
        <v>2036</v>
      </c>
      <c r="T197" s="465" cm="1" t="str">
        <f t="array" ref="T197:T197">T196</f>
        <v>false</v>
      </c>
      <c r="AB197" s="255" t="str">
        <f>K197&amp;" год"</f>
        <v>2036 год</v>
      </c>
      <c r="AC197" s="408"/>
      <c r="AD197" s="8281"/>
      <c r="AE197" s="8280"/>
      <c r="AF197" s="8280"/>
      <c r="AG197" s="8281"/>
      <c r="AH197" s="8280"/>
      <c r="AI197" s="8281"/>
      <c r="AJ197" s="8280"/>
      <c r="AK197" s="8282"/>
      <c r="AL197" s="403"/>
      <c r="AN197" s="1064" cm="1" t="str">
        <f t="array" ref="AN197:AN197">K197</f>
        <v>2036</v>
      </c>
      <c r="AO197" s="1064" t="s">
        <v>2977</v>
      </c>
      <c r="AP197" s="1074" cm="1" t="str">
        <f t="array" ref="AP197:AP197">AP196</f>
        <v>0</v>
      </c>
      <c r="AQ197" s="703"/>
      <c r="AR197" s="703"/>
    </row>
    <row s="8264" customFormat="1" customHeight="1" ht="14.25" hidden="1">
      <c r="B198" s="445">
        <f>K198&lt;first_year+PERIOD_LENGTH</f>
        <v>0</v>
      </c>
      <c r="E198" s="703">
        <v>15</v>
      </c>
      <c r="F198" s="50" cm="1" t="str">
        <f t="array" ref="F198:F198">OFFSET(E198,-1,1)</f>
        <v>2</v>
      </c>
      <c r="G198" s="98" cm="1" t="str">
        <f t="array" ref="G198:G198">G197</f>
        <v>0</v>
      </c>
      <c r="K198" s="158">
        <f>first_year+11</f>
        <v>2037</v>
      </c>
      <c r="T198" s="465" cm="1" t="str">
        <f t="array" ref="T198:T198">T197</f>
        <v>false</v>
      </c>
      <c r="AB198" s="255" t="str">
        <f>K198&amp;" год"</f>
        <v>2037 год</v>
      </c>
      <c r="AC198" s="408"/>
      <c r="AD198" s="8281"/>
      <c r="AE198" s="8280"/>
      <c r="AF198" s="8280"/>
      <c r="AG198" s="8281"/>
      <c r="AH198" s="8280"/>
      <c r="AI198" s="8281"/>
      <c r="AJ198" s="8280"/>
      <c r="AK198" s="8282"/>
      <c r="AL198" s="403"/>
      <c r="AN198" s="1064" cm="1" t="str">
        <f t="array" ref="AN198:AN198">K198</f>
        <v>2037</v>
      </c>
      <c r="AO198" s="1064" t="s">
        <v>2977</v>
      </c>
      <c r="AP198" s="1074" cm="1" t="str">
        <f t="array" ref="AP198:AP198">AP197</f>
        <v>0</v>
      </c>
      <c r="AQ198" s="703"/>
      <c r="AR198" s="703"/>
    </row>
    <row s="8264" customFormat="1" customHeight="1" ht="14.25" hidden="1">
      <c r="B199" s="445">
        <f>K199&lt;first_year+PERIOD_LENGTH</f>
        <v>0</v>
      </c>
      <c r="E199" s="703">
        <v>15</v>
      </c>
      <c r="F199" s="50" cm="1" t="str">
        <f t="array" ref="F199:F199">OFFSET(E199,-1,1)</f>
        <v>2</v>
      </c>
      <c r="G199" s="98" cm="1" t="str">
        <f t="array" ref="G199:G199">G198</f>
        <v>0</v>
      </c>
      <c r="K199" s="158">
        <f>first_year+12</f>
        <v>2038</v>
      </c>
      <c r="T199" s="465" cm="1" t="str">
        <f t="array" ref="T199:T199">T198</f>
        <v>false</v>
      </c>
      <c r="AB199" s="255" t="str">
        <f>K199&amp;" год"</f>
        <v>2038 год</v>
      </c>
      <c r="AC199" s="408"/>
      <c r="AD199" s="8281"/>
      <c r="AE199" s="8280"/>
      <c r="AF199" s="8280"/>
      <c r="AG199" s="8281"/>
      <c r="AH199" s="8280"/>
      <c r="AI199" s="8281"/>
      <c r="AJ199" s="8280"/>
      <c r="AK199" s="8282"/>
      <c r="AL199" s="403"/>
      <c r="AN199" s="1064" cm="1" t="str">
        <f t="array" ref="AN199:AN199">K199</f>
        <v>2038</v>
      </c>
      <c r="AO199" s="1064" t="s">
        <v>2977</v>
      </c>
      <c r="AP199" s="1074" cm="1" t="str">
        <f t="array" ref="AP199:AP199">AP198</f>
        <v>0</v>
      </c>
      <c r="AQ199" s="703"/>
      <c r="AR199" s="703"/>
    </row>
    <row s="8264" customFormat="1" customHeight="1" ht="14.25" hidden="1">
      <c r="B200" s="445">
        <f>K200&lt;first_year+PERIOD_LENGTH</f>
        <v>0</v>
      </c>
      <c r="E200" s="703">
        <v>15</v>
      </c>
      <c r="F200" s="50" cm="1" t="str">
        <f t="array" ref="F200:F200">OFFSET(E200,-1,1)</f>
        <v>2</v>
      </c>
      <c r="G200" s="98" cm="1" t="str">
        <f t="array" ref="G200:G200">G199</f>
        <v>0</v>
      </c>
      <c r="K200" s="158">
        <f>first_year+13</f>
        <v>2039</v>
      </c>
      <c r="T200" s="465" cm="1" t="str">
        <f t="array" ref="T200:T200">T199</f>
        <v>false</v>
      </c>
      <c r="AB200" s="255" t="str">
        <f>K200&amp;" год"</f>
        <v>2039 год</v>
      </c>
      <c r="AC200" s="408"/>
      <c r="AD200" s="8281"/>
      <c r="AE200" s="8280"/>
      <c r="AF200" s="8280"/>
      <c r="AG200" s="8281"/>
      <c r="AH200" s="8280"/>
      <c r="AI200" s="8281"/>
      <c r="AJ200" s="8280"/>
      <c r="AK200" s="8282"/>
      <c r="AL200" s="403"/>
      <c r="AN200" s="1064" cm="1" t="str">
        <f t="array" ref="AN200:AN200">K200</f>
        <v>2039</v>
      </c>
      <c r="AO200" s="1064" t="s">
        <v>2977</v>
      </c>
      <c r="AP200" s="1074" cm="1" t="str">
        <f t="array" ref="AP200:AP200">AP199</f>
        <v>0</v>
      </c>
      <c r="AQ200" s="703"/>
      <c r="AR200" s="703"/>
    </row>
    <row s="8264" customFormat="1" customHeight="1" ht="14.25" hidden="1">
      <c r="B201" s="445">
        <f>K201&lt;first_year+PERIOD_LENGTH</f>
        <v>0</v>
      </c>
      <c r="E201" s="703">
        <v>15</v>
      </c>
      <c r="F201" s="50" cm="1" t="str">
        <f t="array" ref="F201:F201">OFFSET(E201,-1,1)</f>
        <v>2</v>
      </c>
      <c r="G201" s="98" cm="1" t="str">
        <f t="array" ref="G201:G201">G200</f>
        <v>0</v>
      </c>
      <c r="K201" s="158">
        <f>first_year+14</f>
        <v>2040</v>
      </c>
      <c r="T201" s="465" cm="1" t="str">
        <f t="array" ref="T201:T201">T200</f>
        <v>false</v>
      </c>
      <c r="AB201" s="255" t="str">
        <f>K201&amp;" год"</f>
        <v>2040 год</v>
      </c>
      <c r="AC201" s="408"/>
      <c r="AD201" s="8281"/>
      <c r="AE201" s="8280"/>
      <c r="AF201" s="8280"/>
      <c r="AG201" s="8281"/>
      <c r="AH201" s="8280"/>
      <c r="AI201" s="8281"/>
      <c r="AJ201" s="8280"/>
      <c r="AK201" s="8282"/>
      <c r="AL201" s="403"/>
      <c r="AN201" s="1064" cm="1" t="str">
        <f t="array" ref="AN201:AN201">K201</f>
        <v>2040</v>
      </c>
      <c r="AO201" s="1064" t="s">
        <v>2977</v>
      </c>
      <c r="AP201" s="1074" cm="1" t="str">
        <f t="array" ref="AP201:AP201">AP200</f>
        <v>0</v>
      </c>
      <c r="AQ201" s="703"/>
      <c r="AR201" s="703"/>
    </row>
    <row s="8264" customFormat="1" customHeight="1" ht="14.25" hidden="1">
      <c r="B202" s="445">
        <f>K202&lt;first_year+PERIOD_LENGTH</f>
        <v>0</v>
      </c>
      <c r="E202" s="703">
        <v>15</v>
      </c>
      <c r="F202" s="50" cm="1" t="str">
        <f t="array" ref="F202:F202">OFFSET(E202,-1,1)</f>
        <v>2</v>
      </c>
      <c r="G202" s="98" cm="1" t="str">
        <f t="array" ref="G202:G202">G201</f>
        <v>0</v>
      </c>
      <c r="K202" s="158">
        <f>first_year+15</f>
        <v>2041</v>
      </c>
      <c r="T202" s="465" cm="1" t="str">
        <f t="array" ref="T202:T202">T201</f>
        <v>false</v>
      </c>
      <c r="AB202" s="255" t="str">
        <f>K202&amp;" год"</f>
        <v>2041 год</v>
      </c>
      <c r="AC202" s="408"/>
      <c r="AD202" s="8281"/>
      <c r="AE202" s="8280"/>
      <c r="AF202" s="8280"/>
      <c r="AG202" s="8281"/>
      <c r="AH202" s="8280"/>
      <c r="AI202" s="8281"/>
      <c r="AJ202" s="8280"/>
      <c r="AK202" s="8282"/>
      <c r="AL202" s="403"/>
      <c r="AN202" s="1064" cm="1" t="str">
        <f t="array" ref="AN202:AN202">K202</f>
        <v>2041</v>
      </c>
      <c r="AO202" s="1064" t="s">
        <v>2977</v>
      </c>
      <c r="AP202" s="1074" cm="1" t="str">
        <f t="array" ref="AP202:AP202">AP201</f>
        <v>0</v>
      </c>
      <c r="AQ202" s="703"/>
      <c r="AR202" s="703"/>
    </row>
    <row s="8264" customFormat="1" customHeight="1" ht="14.25" hidden="1">
      <c r="B203" s="445">
        <f>K203&lt;first_year+PERIOD_LENGTH</f>
        <v>0</v>
      </c>
      <c r="E203" s="703">
        <v>15</v>
      </c>
      <c r="F203" s="50" cm="1" t="str">
        <f t="array" ref="F203:F203">OFFSET(E203,-1,1)</f>
        <v>2</v>
      </c>
      <c r="G203" s="98" cm="1" t="str">
        <f t="array" ref="G203:G203">G202</f>
        <v>0</v>
      </c>
      <c r="K203" s="158">
        <f>first_year+16</f>
        <v>2042</v>
      </c>
      <c r="T203" s="465" cm="1" t="str">
        <f t="array" ref="T203:T203">T202</f>
        <v>false</v>
      </c>
      <c r="AB203" s="255" t="str">
        <f>K203&amp;" год"</f>
        <v>2042 год</v>
      </c>
      <c r="AC203" s="408"/>
      <c r="AD203" s="8281"/>
      <c r="AE203" s="8280"/>
      <c r="AF203" s="8280"/>
      <c r="AG203" s="8281"/>
      <c r="AH203" s="8280"/>
      <c r="AI203" s="8281"/>
      <c r="AJ203" s="8280"/>
      <c r="AK203" s="8282"/>
      <c r="AL203" s="403"/>
      <c r="AN203" s="1064" cm="1" t="str">
        <f t="array" ref="AN203:AN203">K203</f>
        <v>2042</v>
      </c>
      <c r="AO203" s="1064" t="s">
        <v>2977</v>
      </c>
      <c r="AP203" s="1074" cm="1" t="str">
        <f t="array" ref="AP203:AP203">AP202</f>
        <v>0</v>
      </c>
      <c r="AQ203" s="703"/>
      <c r="AR203" s="703"/>
    </row>
    <row s="8264" customFormat="1" customHeight="1" ht="14.25" hidden="1">
      <c r="B204" s="445">
        <f>K204&lt;first_year+PERIOD_LENGTH</f>
        <v>0</v>
      </c>
      <c r="E204" s="703">
        <v>15</v>
      </c>
      <c r="F204" s="50" cm="1" t="str">
        <f t="array" ref="F204:F204">OFFSET(E204,-1,1)</f>
        <v>2</v>
      </c>
      <c r="G204" s="98" cm="1" t="str">
        <f t="array" ref="G204:G204">G203</f>
        <v>0</v>
      </c>
      <c r="K204" s="158">
        <f>first_year+17</f>
        <v>2043</v>
      </c>
      <c r="T204" s="465" cm="1" t="str">
        <f t="array" ref="T204:T204">T203</f>
        <v>false</v>
      </c>
      <c r="AB204" s="255" t="str">
        <f>K204&amp;" год"</f>
        <v>2043 год</v>
      </c>
      <c r="AC204" s="408"/>
      <c r="AD204" s="8281"/>
      <c r="AE204" s="8280"/>
      <c r="AF204" s="8280"/>
      <c r="AG204" s="8281"/>
      <c r="AH204" s="8280"/>
      <c r="AI204" s="8281"/>
      <c r="AJ204" s="8280"/>
      <c r="AK204" s="8282"/>
      <c r="AL204" s="403"/>
      <c r="AN204" s="1064" cm="1" t="str">
        <f t="array" ref="AN204:AN204">K204</f>
        <v>2043</v>
      </c>
      <c r="AO204" s="1064" t="s">
        <v>2977</v>
      </c>
      <c r="AP204" s="1074" cm="1" t="str">
        <f t="array" ref="AP204:AP204">AP203</f>
        <v>0</v>
      </c>
      <c r="AQ204" s="703"/>
      <c r="AR204" s="703"/>
    </row>
    <row s="8264" customFormat="1" customHeight="1" ht="14.25" hidden="1">
      <c r="B205" s="445">
        <f>K205&lt;first_year+PERIOD_LENGTH</f>
        <v>0</v>
      </c>
      <c r="E205" s="703">
        <v>15</v>
      </c>
      <c r="F205" s="50" cm="1" t="str">
        <f t="array" ref="F205:F205">OFFSET(E205,-1,1)</f>
        <v>2</v>
      </c>
      <c r="G205" s="98" cm="1" t="str">
        <f t="array" ref="G205:G205">G204</f>
        <v>0</v>
      </c>
      <c r="K205" s="158">
        <f>first_year+18</f>
        <v>2044</v>
      </c>
      <c r="T205" s="465" cm="1" t="str">
        <f t="array" ref="T205:T205">T204</f>
        <v>false</v>
      </c>
      <c r="AB205" s="255" t="str">
        <f>K205&amp;" год"</f>
        <v>2044 год</v>
      </c>
      <c r="AC205" s="408"/>
      <c r="AD205" s="8281"/>
      <c r="AE205" s="8280"/>
      <c r="AF205" s="8280"/>
      <c r="AG205" s="8281"/>
      <c r="AH205" s="8280"/>
      <c r="AI205" s="8281"/>
      <c r="AJ205" s="8280"/>
      <c r="AK205" s="8282"/>
      <c r="AL205" s="403"/>
      <c r="AN205" s="1064" cm="1" t="str">
        <f t="array" ref="AN205:AN205">K205</f>
        <v>2044</v>
      </c>
      <c r="AO205" s="1064" t="s">
        <v>2977</v>
      </c>
      <c r="AP205" s="1074" cm="1" t="str">
        <f t="array" ref="AP205:AP205">AP204</f>
        <v>0</v>
      </c>
      <c r="AQ205" s="703"/>
      <c r="AR205" s="703"/>
    </row>
    <row s="8264" customFormat="1" customHeight="1" ht="14.25" hidden="1">
      <c r="B206" s="445">
        <f>K206&lt;first_year+PERIOD_LENGTH</f>
        <v>0</v>
      </c>
      <c r="E206" s="703">
        <v>15</v>
      </c>
      <c r="F206" s="50" cm="1" t="str">
        <f t="array" ref="F206:F206">OFFSET(E206,-1,1)</f>
        <v>2</v>
      </c>
      <c r="G206" s="98" cm="1" t="str">
        <f t="array" ref="G206:G206">G205</f>
        <v>0</v>
      </c>
      <c r="K206" s="158">
        <f>first_year+19</f>
        <v>2045</v>
      </c>
      <c r="T206" s="465" cm="1" t="str">
        <f t="array" ref="T206:T206">T205</f>
        <v>false</v>
      </c>
      <c r="AB206" s="255" t="str">
        <f>K206&amp;" год"</f>
        <v>2045 год</v>
      </c>
      <c r="AC206" s="408"/>
      <c r="AD206" s="8281"/>
      <c r="AE206" s="8280"/>
      <c r="AF206" s="8280"/>
      <c r="AG206" s="8281"/>
      <c r="AH206" s="8280"/>
      <c r="AI206" s="8281"/>
      <c r="AJ206" s="8280"/>
      <c r="AK206" s="8282"/>
      <c r="AL206" s="403"/>
      <c r="AN206" s="1064" cm="1" t="str">
        <f t="array" ref="AN206:AN206">K206</f>
        <v>2045</v>
      </c>
      <c r="AO206" s="1064" t="s">
        <v>2977</v>
      </c>
      <c r="AP206" s="1074" cm="1" t="str">
        <f t="array" ref="AP206:AP206">AP205</f>
        <v>0</v>
      </c>
      <c r="AQ206" s="703"/>
      <c r="AR206" s="703"/>
    </row>
    <row s="8264" customFormat="1" customHeight="1" ht="14.25" hidden="1">
      <c r="B207" s="445">
        <f>K207&lt;first_year+PERIOD_LENGTH</f>
        <v>0</v>
      </c>
      <c r="E207" s="703">
        <v>15</v>
      </c>
      <c r="F207" s="50" cm="1" t="str">
        <f t="array" ref="F207:F207">OFFSET(E207,-1,1)</f>
        <v>2</v>
      </c>
      <c r="G207" s="98" cm="1" t="str">
        <f t="array" ref="G207:G207">G206</f>
        <v>0</v>
      </c>
      <c r="K207" s="158">
        <f>first_year+20</f>
        <v>2046</v>
      </c>
      <c r="T207" s="465" cm="1" t="str">
        <f t="array" ref="T207:T207">T206</f>
        <v>false</v>
      </c>
      <c r="AB207" s="255" t="str">
        <f>K207&amp;" год"</f>
        <v>2046 год</v>
      </c>
      <c r="AC207" s="408"/>
      <c r="AD207" s="8281"/>
      <c r="AE207" s="8280"/>
      <c r="AF207" s="8280"/>
      <c r="AG207" s="8281"/>
      <c r="AH207" s="8280"/>
      <c r="AI207" s="8281"/>
      <c r="AJ207" s="8280"/>
      <c r="AK207" s="8282"/>
      <c r="AL207" s="403"/>
      <c r="AN207" s="1064" cm="1" t="str">
        <f t="array" ref="AN207:AN207">K207</f>
        <v>2046</v>
      </c>
      <c r="AO207" s="1064" t="s">
        <v>2977</v>
      </c>
      <c r="AP207" s="1074" cm="1" t="str">
        <f t="array" ref="AP207:AP207">AP206</f>
        <v>0</v>
      </c>
      <c r="AQ207" s="703"/>
      <c r="AR207" s="703"/>
    </row>
    <row s="8264" customFormat="1" customHeight="1" ht="14.25" hidden="1">
      <c r="B208" s="445">
        <f>K208&lt;first_year+PERIOD_LENGTH</f>
        <v>0</v>
      </c>
      <c r="E208" s="703">
        <v>15</v>
      </c>
      <c r="F208" s="50" cm="1" t="str">
        <f t="array" ref="F208:F208">OFFSET(E208,-1,1)</f>
        <v>2</v>
      </c>
      <c r="G208" s="98" cm="1" t="str">
        <f t="array" ref="G208:G208">G207</f>
        <v>0</v>
      </c>
      <c r="K208" s="158">
        <f>first_year+21</f>
        <v>2047</v>
      </c>
      <c r="T208" s="465" cm="1" t="str">
        <f t="array" ref="T208:T208">T207</f>
        <v>false</v>
      </c>
      <c r="AB208" s="255" t="str">
        <f>K208&amp;" год"</f>
        <v>2047 год</v>
      </c>
      <c r="AC208" s="408"/>
      <c r="AD208" s="8281"/>
      <c r="AE208" s="8280"/>
      <c r="AF208" s="8280"/>
      <c r="AG208" s="8281"/>
      <c r="AH208" s="8280"/>
      <c r="AI208" s="8281"/>
      <c r="AJ208" s="8280"/>
      <c r="AK208" s="8282"/>
      <c r="AL208" s="403"/>
      <c r="AN208" s="1064" cm="1" t="str">
        <f t="array" ref="AN208:AN208">K208</f>
        <v>2047</v>
      </c>
      <c r="AO208" s="1064" t="s">
        <v>2977</v>
      </c>
      <c r="AP208" s="1074" cm="1" t="str">
        <f t="array" ref="AP208:AP208">AP207</f>
        <v>0</v>
      </c>
      <c r="AQ208" s="703"/>
      <c r="AR208" s="703"/>
    </row>
    <row s="8264" customFormat="1" customHeight="1" ht="14.25" hidden="1">
      <c r="B209" s="445">
        <f>K209&lt;first_year+PERIOD_LENGTH</f>
        <v>0</v>
      </c>
      <c r="E209" s="703">
        <v>15</v>
      </c>
      <c r="F209" s="50" cm="1" t="str">
        <f t="array" ref="F209:F209">OFFSET(E209,-1,1)</f>
        <v>2</v>
      </c>
      <c r="G209" s="98" cm="1" t="str">
        <f t="array" ref="G209:G209">G208</f>
        <v>0</v>
      </c>
      <c r="K209" s="158">
        <f>first_year+22</f>
        <v>2048</v>
      </c>
      <c r="T209" s="465" cm="1" t="str">
        <f t="array" ref="T209:T209">T208</f>
        <v>false</v>
      </c>
      <c r="AB209" s="255" t="str">
        <f>K209&amp;" год"</f>
        <v>2048 год</v>
      </c>
      <c r="AC209" s="408"/>
      <c r="AD209" s="8281"/>
      <c r="AE209" s="8280"/>
      <c r="AF209" s="8280"/>
      <c r="AG209" s="8281"/>
      <c r="AH209" s="8280"/>
      <c r="AI209" s="8281"/>
      <c r="AJ209" s="8280"/>
      <c r="AK209" s="8282"/>
      <c r="AL209" s="403"/>
      <c r="AN209" s="1064" cm="1" t="str">
        <f t="array" ref="AN209:AN209">K209</f>
        <v>2048</v>
      </c>
      <c r="AO209" s="1064" t="s">
        <v>2977</v>
      </c>
      <c r="AP209" s="1074" cm="1" t="str">
        <f t="array" ref="AP209:AP209">AP208</f>
        <v>0</v>
      </c>
      <c r="AQ209" s="703"/>
      <c r="AR209" s="703"/>
    </row>
    <row s="8264" customFormat="1" customHeight="1" ht="14.25" hidden="1">
      <c r="B210" s="445">
        <f>K210&lt;first_year+PERIOD_LENGTH</f>
        <v>0</v>
      </c>
      <c r="E210" s="703">
        <v>15</v>
      </c>
      <c r="F210" s="50" cm="1" t="str">
        <f t="array" ref="F210:F210">OFFSET(E210,-1,1)</f>
        <v>2</v>
      </c>
      <c r="G210" s="98" cm="1" t="str">
        <f t="array" ref="G210:G210">G209</f>
        <v>0</v>
      </c>
      <c r="K210" s="158">
        <f>first_year+23</f>
        <v>2049</v>
      </c>
      <c r="T210" s="465" cm="1" t="str">
        <f t="array" ref="T210:T210">T209</f>
        <v>false</v>
      </c>
      <c r="AB210" s="255" t="str">
        <f>K210&amp;" год"</f>
        <v>2049 год</v>
      </c>
      <c r="AC210" s="408"/>
      <c r="AD210" s="8281"/>
      <c r="AE210" s="8280"/>
      <c r="AF210" s="8280"/>
      <c r="AG210" s="8281"/>
      <c r="AH210" s="8280"/>
      <c r="AI210" s="8281"/>
      <c r="AJ210" s="8280"/>
      <c r="AK210" s="8282"/>
      <c r="AL210" s="403"/>
      <c r="AN210" s="1064" cm="1" t="str">
        <f t="array" ref="AN210:AN210">K210</f>
        <v>2049</v>
      </c>
      <c r="AO210" s="1064" t="s">
        <v>2977</v>
      </c>
      <c r="AP210" s="1074" cm="1" t="str">
        <f t="array" ref="AP210:AP210">AP209</f>
        <v>0</v>
      </c>
      <c r="AQ210" s="703"/>
      <c r="AR210" s="703"/>
    </row>
    <row s="8264" customFormat="1" customHeight="1" ht="14.25" hidden="1">
      <c r="B211" s="445">
        <f>K211&lt;first_year+PERIOD_LENGTH</f>
        <v>0</v>
      </c>
      <c r="E211" s="703">
        <v>15</v>
      </c>
      <c r="F211" s="50" cm="1" t="str">
        <f t="array" ref="F211:F211">OFFSET(E211,-1,1)</f>
        <v>2</v>
      </c>
      <c r="G211" s="98" cm="1" t="str">
        <f t="array" ref="G211:G211">G210</f>
        <v>0</v>
      </c>
      <c r="K211" s="158">
        <f>first_year+24</f>
        <v>2050</v>
      </c>
      <c r="T211" s="465" cm="1" t="str">
        <f t="array" ref="T211:T211">T210</f>
        <v>false</v>
      </c>
      <c r="AB211" s="255" t="str">
        <f>K211&amp;" год"</f>
        <v>2050 год</v>
      </c>
      <c r="AC211" s="408"/>
      <c r="AD211" s="8281"/>
      <c r="AE211" s="8280"/>
      <c r="AF211" s="8280"/>
      <c r="AG211" s="8281"/>
      <c r="AH211" s="8280"/>
      <c r="AI211" s="8281"/>
      <c r="AJ211" s="8280"/>
      <c r="AK211" s="8282"/>
      <c r="AL211" s="403"/>
      <c r="AN211" s="1064" cm="1" t="str">
        <f t="array" ref="AN211:AN211">K211</f>
        <v>2050</v>
      </c>
      <c r="AO211" s="1064" t="s">
        <v>2977</v>
      </c>
      <c r="AP211" s="1074" cm="1" t="str">
        <f t="array" ref="AP211:AP211">AP210</f>
        <v>0</v>
      </c>
      <c r="AQ211" s="703"/>
      <c r="AR211" s="703"/>
    </row>
    <row s="8264" customFormat="1" customHeight="1" ht="14.25" hidden="1">
      <c r="B212" s="445">
        <f>K212&lt;first_year+PERIOD_LENGTH</f>
        <v>0</v>
      </c>
      <c r="E212" s="703">
        <v>15</v>
      </c>
      <c r="F212" s="50" cm="1" t="str">
        <f t="array" ref="F212:F212">OFFSET(E212,-1,1)</f>
        <v>2</v>
      </c>
      <c r="G212" s="98" cm="1" t="str">
        <f t="array" ref="G212:G212">G211</f>
        <v>0</v>
      </c>
      <c r="K212" s="158">
        <f>first_year+25</f>
        <v>2051</v>
      </c>
      <c r="T212" s="465" cm="1" t="str">
        <f t="array" ref="T212:T212">T211</f>
        <v>false</v>
      </c>
      <c r="AB212" s="255" t="str">
        <f>K212&amp;" год"</f>
        <v>2051 год</v>
      </c>
      <c r="AC212" s="408"/>
      <c r="AD212" s="8281"/>
      <c r="AE212" s="8280"/>
      <c r="AF212" s="8280"/>
      <c r="AG212" s="8281"/>
      <c r="AH212" s="8280"/>
      <c r="AI212" s="8281"/>
      <c r="AJ212" s="8280"/>
      <c r="AK212" s="8282"/>
      <c r="AL212" s="403"/>
      <c r="AN212" s="1064" cm="1" t="str">
        <f t="array" ref="AN212:AN212">K212</f>
        <v>2051</v>
      </c>
      <c r="AO212" s="1064" t="s">
        <v>2977</v>
      </c>
      <c r="AP212" s="1074" cm="1" t="str">
        <f t="array" ref="AP212:AP212">AP211</f>
        <v>0</v>
      </c>
      <c r="AQ212" s="703"/>
      <c r="AR212" s="703"/>
    </row>
    <row s="8264" customFormat="1" customHeight="1" ht="14.25" hidden="1">
      <c r="B213" s="445">
        <f>K213&lt;first_year+PERIOD_LENGTH</f>
        <v>0</v>
      </c>
      <c r="E213" s="703">
        <v>15</v>
      </c>
      <c r="F213" s="50" cm="1" t="str">
        <f t="array" ref="F213:F213">OFFSET(E213,-1,1)</f>
        <v>2</v>
      </c>
      <c r="G213" s="98" cm="1" t="str">
        <f t="array" ref="G213:G213">G212</f>
        <v>0</v>
      </c>
      <c r="K213" s="158">
        <f>first_year+26</f>
        <v>2052</v>
      </c>
      <c r="T213" s="465" cm="1" t="str">
        <f t="array" ref="T213:T213">T212</f>
        <v>false</v>
      </c>
      <c r="AB213" s="255" t="str">
        <f>K213&amp;" год"</f>
        <v>2052 год</v>
      </c>
      <c r="AC213" s="408"/>
      <c r="AD213" s="8281"/>
      <c r="AE213" s="8280"/>
      <c r="AF213" s="8280"/>
      <c r="AG213" s="8281"/>
      <c r="AH213" s="8280"/>
      <c r="AI213" s="8281"/>
      <c r="AJ213" s="8280"/>
      <c r="AK213" s="8282"/>
      <c r="AL213" s="403"/>
      <c r="AN213" s="1064" cm="1" t="str">
        <f t="array" ref="AN213:AN213">K213</f>
        <v>2052</v>
      </c>
      <c r="AO213" s="1064" t="s">
        <v>2977</v>
      </c>
      <c r="AP213" s="1074" cm="1" t="str">
        <f t="array" ref="AP213:AP213">AP212</f>
        <v>0</v>
      </c>
      <c r="AQ213" s="703"/>
      <c r="AR213" s="703"/>
    </row>
    <row s="8264" customFormat="1" customHeight="1" ht="14.25" hidden="1">
      <c r="B214" s="445">
        <f>K214&lt;first_year+PERIOD_LENGTH</f>
        <v>0</v>
      </c>
      <c r="E214" s="703">
        <v>15</v>
      </c>
      <c r="F214" s="50" cm="1" t="str">
        <f t="array" ref="F214:F214">OFFSET(E214,-1,1)</f>
        <v>2</v>
      </c>
      <c r="G214" s="98" cm="1" t="str">
        <f t="array" ref="G214:G214">G213</f>
        <v>0</v>
      </c>
      <c r="K214" s="158">
        <f>first_year+27</f>
        <v>2053</v>
      </c>
      <c r="T214" s="465" cm="1" t="str">
        <f t="array" ref="T214:T214">T213</f>
        <v>false</v>
      </c>
      <c r="AB214" s="255" t="str">
        <f>K214&amp;" год"</f>
        <v>2053 год</v>
      </c>
      <c r="AC214" s="408"/>
      <c r="AD214" s="8281"/>
      <c r="AE214" s="8280"/>
      <c r="AF214" s="8280"/>
      <c r="AG214" s="8281"/>
      <c r="AH214" s="8280"/>
      <c r="AI214" s="8281"/>
      <c r="AJ214" s="8280"/>
      <c r="AK214" s="8282"/>
      <c r="AL214" s="403"/>
      <c r="AN214" s="1064" cm="1" t="str">
        <f t="array" ref="AN214:AN214">K214</f>
        <v>2053</v>
      </c>
      <c r="AO214" s="1064" t="s">
        <v>2977</v>
      </c>
      <c r="AP214" s="1074" cm="1" t="str">
        <f t="array" ref="AP214:AP214">AP213</f>
        <v>0</v>
      </c>
      <c r="AQ214" s="703"/>
      <c r="AR214" s="703"/>
    </row>
    <row s="8264" customFormat="1" customHeight="1" ht="14.25" hidden="1">
      <c r="B215" s="445">
        <f>K215&lt;first_year+PERIOD_LENGTH</f>
        <v>0</v>
      </c>
      <c r="E215" s="703">
        <v>15</v>
      </c>
      <c r="F215" s="50" cm="1" t="str">
        <f t="array" ref="F215:F215">OFFSET(E215,-1,1)</f>
        <v>2</v>
      </c>
      <c r="G215" s="98" cm="1" t="str">
        <f t="array" ref="G215:G215">G214</f>
        <v>0</v>
      </c>
      <c r="K215" s="158">
        <f>first_year+28</f>
        <v>2054</v>
      </c>
      <c r="T215" s="465" cm="1" t="str">
        <f t="array" ref="T215:T215">T214</f>
        <v>false</v>
      </c>
      <c r="AB215" s="255" t="str">
        <f>K215&amp;" год"</f>
        <v>2054 год</v>
      </c>
      <c r="AC215" s="408"/>
      <c r="AD215" s="8281"/>
      <c r="AE215" s="8280"/>
      <c r="AF215" s="8280"/>
      <c r="AG215" s="8281"/>
      <c r="AH215" s="8280"/>
      <c r="AI215" s="8281"/>
      <c r="AJ215" s="8280"/>
      <c r="AK215" s="8282"/>
      <c r="AL215" s="403"/>
      <c r="AN215" s="1064" cm="1" t="str">
        <f t="array" ref="AN215:AN215">K215</f>
        <v>2054</v>
      </c>
      <c r="AO215" s="1064" t="s">
        <v>2977</v>
      </c>
      <c r="AP215" s="1074" cm="1" t="str">
        <f t="array" ref="AP215:AP215">AP214</f>
        <v>0</v>
      </c>
      <c r="AQ215" s="703"/>
      <c r="AR215" s="703"/>
    </row>
    <row s="8264" customFormat="1" customHeight="1" ht="14.25" hidden="1">
      <c r="B216" s="445">
        <f>K216&lt;first_year+PERIOD_LENGTH</f>
        <v>0</v>
      </c>
      <c r="E216" s="703">
        <v>15</v>
      </c>
      <c r="F216" s="50" cm="1" t="str">
        <f t="array" ref="F216:F216">OFFSET(E216,-1,1)</f>
        <v>2</v>
      </c>
      <c r="G216" s="98" cm="1" t="str">
        <f t="array" ref="G216:G216">G215</f>
        <v>0</v>
      </c>
      <c r="K216" s="158">
        <f>first_year+29</f>
        <v>2055</v>
      </c>
      <c r="T216" s="465" cm="1" t="str">
        <f t="array" ref="T216:T216">T215</f>
        <v>false</v>
      </c>
      <c r="AB216" s="255" t="str">
        <f>K216&amp;" год"</f>
        <v>2055 год</v>
      </c>
      <c r="AC216" s="408"/>
      <c r="AD216" s="8281"/>
      <c r="AE216" s="8280"/>
      <c r="AF216" s="8280"/>
      <c r="AG216" s="8281"/>
      <c r="AH216" s="8280"/>
      <c r="AI216" s="8281"/>
      <c r="AJ216" s="8280"/>
      <c r="AK216" s="8282"/>
      <c r="AL216" s="403"/>
      <c r="AN216" s="1064" cm="1" t="str">
        <f t="array" ref="AN216:AN216">K216</f>
        <v>2055</v>
      </c>
      <c r="AO216" s="1064" t="s">
        <v>2977</v>
      </c>
      <c r="AP216" s="1074" cm="1" t="str">
        <f t="array" ref="AP216:AP216">AP215</f>
        <v>0</v>
      </c>
      <c r="AQ216" s="703"/>
      <c r="AR216" s="703"/>
    </row>
    <row s="8264" customFormat="1" customHeight="1" ht="14.25" hidden="1">
      <c r="B217" s="445">
        <f>K217&lt;first_year+PERIOD_LENGTH</f>
        <v>0</v>
      </c>
      <c r="E217" s="703">
        <v>15</v>
      </c>
      <c r="F217" s="50" cm="1" t="str">
        <f t="array" ref="F217:F217">OFFSET(E217,-1,1)</f>
        <v>2</v>
      </c>
      <c r="G217" s="98" cm="1" t="str">
        <f t="array" ref="G217:G217">G216</f>
        <v>0</v>
      </c>
      <c r="K217" s="158">
        <f>first_year+30</f>
        <v>2056</v>
      </c>
      <c r="T217" s="465" cm="1" t="str">
        <f t="array" ref="T217:T217">T216</f>
        <v>false</v>
      </c>
      <c r="AB217" s="255" t="str">
        <f>K217&amp;" год"</f>
        <v>2056 год</v>
      </c>
      <c r="AC217" s="408"/>
      <c r="AD217" s="8281"/>
      <c r="AE217" s="8280"/>
      <c r="AF217" s="8280"/>
      <c r="AG217" s="8281"/>
      <c r="AH217" s="8280"/>
      <c r="AI217" s="8281"/>
      <c r="AJ217" s="8280"/>
      <c r="AK217" s="8282"/>
      <c r="AL217" s="403"/>
      <c r="AN217" s="1064" cm="1" t="str">
        <f t="array" ref="AN217:AN217">K217</f>
        <v>2056</v>
      </c>
      <c r="AO217" s="1064" t="s">
        <v>2977</v>
      </c>
      <c r="AP217" s="1074" cm="1" t="str">
        <f t="array" ref="AP217:AP217">AP216</f>
        <v>0</v>
      </c>
      <c r="AQ217" s="703"/>
      <c r="AR217" s="703"/>
    </row>
    <row s="8264" customFormat="1" customHeight="1" ht="14.25" hidden="1">
      <c r="B218" s="445">
        <f>K218&lt;first_year+PERIOD_LENGTH</f>
        <v>0</v>
      </c>
      <c r="E218" s="703">
        <v>15</v>
      </c>
      <c r="F218" s="50" cm="1" t="str">
        <f t="array" ref="F218:F218">OFFSET(E218,-1,1)</f>
        <v>2</v>
      </c>
      <c r="G218" s="98" cm="1" t="str">
        <f t="array" ref="G218:G218">G217</f>
        <v>0</v>
      </c>
      <c r="K218" s="158">
        <f>first_year+31</f>
        <v>2057</v>
      </c>
      <c r="T218" s="465" cm="1" t="str">
        <f t="array" ref="T218:T218">T217</f>
        <v>false</v>
      </c>
      <c r="AB218" s="255" t="str">
        <f>K218&amp;" год"</f>
        <v>2057 год</v>
      </c>
      <c r="AC218" s="408"/>
      <c r="AD218" s="8281"/>
      <c r="AE218" s="8280"/>
      <c r="AF218" s="8280"/>
      <c r="AG218" s="8281"/>
      <c r="AH218" s="8280"/>
      <c r="AI218" s="8281"/>
      <c r="AJ218" s="8280"/>
      <c r="AK218" s="8282"/>
      <c r="AL218" s="403"/>
      <c r="AN218" s="1064" cm="1" t="str">
        <f t="array" ref="AN218:AN218">K218</f>
        <v>2057</v>
      </c>
      <c r="AO218" s="1064" t="s">
        <v>2977</v>
      </c>
      <c r="AP218" s="1074" cm="1" t="str">
        <f t="array" ref="AP218:AP218">AP217</f>
        <v>0</v>
      </c>
      <c r="AQ218" s="703"/>
      <c r="AR218" s="703"/>
    </row>
    <row s="8264" customFormat="1" customHeight="1" ht="14.25" hidden="1">
      <c r="B219" s="445">
        <f>K219&lt;first_year+PERIOD_LENGTH</f>
        <v>0</v>
      </c>
      <c r="E219" s="703">
        <v>15</v>
      </c>
      <c r="F219" s="50" cm="1" t="str">
        <f t="array" ref="F219:F219">OFFSET(E219,-1,1)</f>
        <v>2</v>
      </c>
      <c r="G219" s="98" cm="1" t="str">
        <f t="array" ref="G219:G219">G218</f>
        <v>0</v>
      </c>
      <c r="K219" s="158">
        <f>first_year+32</f>
        <v>2058</v>
      </c>
      <c r="T219" s="465" cm="1" t="str">
        <f t="array" ref="T219:T219">T218</f>
        <v>false</v>
      </c>
      <c r="AB219" s="255" t="str">
        <f>K219&amp;" год"</f>
        <v>2058 год</v>
      </c>
      <c r="AC219" s="408"/>
      <c r="AD219" s="8281"/>
      <c r="AE219" s="8280"/>
      <c r="AF219" s="8280"/>
      <c r="AG219" s="8281"/>
      <c r="AH219" s="8280"/>
      <c r="AI219" s="8281"/>
      <c r="AJ219" s="8280"/>
      <c r="AK219" s="8282"/>
      <c r="AL219" s="403"/>
      <c r="AN219" s="1064" cm="1" t="str">
        <f t="array" ref="AN219:AN219">K219</f>
        <v>2058</v>
      </c>
      <c r="AO219" s="1064" t="s">
        <v>2977</v>
      </c>
      <c r="AP219" s="1074" cm="1" t="str">
        <f t="array" ref="AP219:AP219">AP218</f>
        <v>0</v>
      </c>
      <c r="AQ219" s="703"/>
      <c r="AR219" s="703"/>
    </row>
    <row s="8264" customFormat="1" customHeight="1" ht="14.25" hidden="1">
      <c r="B220" s="445">
        <f>K220&lt;first_year+PERIOD_LENGTH</f>
        <v>0</v>
      </c>
      <c r="E220" s="703">
        <v>15</v>
      </c>
      <c r="F220" s="50" cm="1" t="str">
        <f t="array" ref="F220:F220">OFFSET(E220,-1,1)</f>
        <v>2</v>
      </c>
      <c r="G220" s="98" cm="1" t="str">
        <f t="array" ref="G220:G220">G219</f>
        <v>0</v>
      </c>
      <c r="K220" s="158">
        <f>first_year+33</f>
        <v>2059</v>
      </c>
      <c r="T220" s="465" cm="1" t="str">
        <f t="array" ref="T220:T220">T219</f>
        <v>false</v>
      </c>
      <c r="AB220" s="255" t="str">
        <f>K220&amp;" год"</f>
        <v>2059 год</v>
      </c>
      <c r="AC220" s="408"/>
      <c r="AD220" s="8281"/>
      <c r="AE220" s="8280"/>
      <c r="AF220" s="8280"/>
      <c r="AG220" s="8281"/>
      <c r="AH220" s="8280"/>
      <c r="AI220" s="8281"/>
      <c r="AJ220" s="8280"/>
      <c r="AK220" s="8282"/>
      <c r="AL220" s="403"/>
      <c r="AN220" s="1064" cm="1" t="str">
        <f t="array" ref="AN220:AN220">K220</f>
        <v>2059</v>
      </c>
      <c r="AO220" s="1064" t="s">
        <v>2977</v>
      </c>
      <c r="AP220" s="1074" cm="1" t="str">
        <f t="array" ref="AP220:AP220">AP219</f>
        <v>0</v>
      </c>
      <c r="AQ220" s="703"/>
      <c r="AR220" s="703"/>
    </row>
    <row s="8264" customFormat="1" customHeight="1" ht="14.25" hidden="1">
      <c r="B221" s="445">
        <f>K221&lt;first_year+PERIOD_LENGTH</f>
        <v>0</v>
      </c>
      <c r="E221" s="703">
        <v>15</v>
      </c>
      <c r="F221" s="50" cm="1" t="str">
        <f t="array" ref="F221:F221">OFFSET(E221,-1,1)</f>
        <v>2</v>
      </c>
      <c r="G221" s="98" cm="1" t="str">
        <f t="array" ref="G221:G221">G220</f>
        <v>0</v>
      </c>
      <c r="K221" s="158">
        <f>first_year+34</f>
        <v>2060</v>
      </c>
      <c r="T221" s="465" cm="1" t="str">
        <f t="array" ref="T221:T221">T220</f>
        <v>false</v>
      </c>
      <c r="AB221" s="255" t="str">
        <f>K221&amp;" год"</f>
        <v>2060 год</v>
      </c>
      <c r="AC221" s="408"/>
      <c r="AD221" s="8281"/>
      <c r="AE221" s="8280"/>
      <c r="AF221" s="8280"/>
      <c r="AG221" s="8281"/>
      <c r="AH221" s="8280"/>
      <c r="AI221" s="8281"/>
      <c r="AJ221" s="8280"/>
      <c r="AK221" s="8282"/>
      <c r="AL221" s="403"/>
      <c r="AN221" s="1064" cm="1" t="str">
        <f t="array" ref="AN221:AN221">K221</f>
        <v>2060</v>
      </c>
      <c r="AO221" s="1064" t="s">
        <v>2977</v>
      </c>
      <c r="AP221" s="1074" cm="1" t="str">
        <f t="array" ref="AP221:AP221">AP220</f>
        <v>0</v>
      </c>
      <c r="AQ221" s="703"/>
      <c r="AR221" s="703"/>
    </row>
    <row s="8264" customFormat="1" customHeight="1" ht="14.25" hidden="1">
      <c r="B222" s="445">
        <f>K222&lt;first_year+PERIOD_LENGTH</f>
        <v>0</v>
      </c>
      <c r="E222" s="703">
        <v>15</v>
      </c>
      <c r="F222" s="50" cm="1" t="str">
        <f t="array" ref="F222:F222">OFFSET(E222,-1,1)</f>
        <v>2</v>
      </c>
      <c r="G222" s="98" cm="1" t="str">
        <f t="array" ref="G222:G222">G221</f>
        <v>0</v>
      </c>
      <c r="K222" s="158">
        <f>first_year+35</f>
        <v>2061</v>
      </c>
      <c r="T222" s="465" cm="1" t="str">
        <f t="array" ref="T222:T222">T221</f>
        <v>false</v>
      </c>
      <c r="AB222" s="255" t="str">
        <f>K222&amp;" год"</f>
        <v>2061 год</v>
      </c>
      <c r="AC222" s="408"/>
      <c r="AD222" s="8281"/>
      <c r="AE222" s="8280"/>
      <c r="AF222" s="8280"/>
      <c r="AG222" s="8281"/>
      <c r="AH222" s="8280"/>
      <c r="AI222" s="8281"/>
      <c r="AJ222" s="8280"/>
      <c r="AK222" s="8282"/>
      <c r="AL222" s="403"/>
      <c r="AN222" s="1064" cm="1" t="str">
        <f t="array" ref="AN222:AN222">K222</f>
        <v>2061</v>
      </c>
      <c r="AO222" s="1064" t="s">
        <v>2977</v>
      </c>
      <c r="AP222" s="1074" cm="1" t="str">
        <f t="array" ref="AP222:AP222">AP221</f>
        <v>0</v>
      </c>
      <c r="AQ222" s="703"/>
      <c r="AR222" s="703"/>
    </row>
    <row s="8264" customFormat="1" customHeight="1" ht="14.25" hidden="1">
      <c r="B223" s="445">
        <f>K223&lt;first_year+PERIOD_LENGTH</f>
        <v>0</v>
      </c>
      <c r="E223" s="703">
        <v>15</v>
      </c>
      <c r="F223" s="50" cm="1" t="str">
        <f t="array" ref="F223:F223">OFFSET(E223,-1,1)</f>
        <v>2</v>
      </c>
      <c r="G223" s="98" cm="1" t="str">
        <f t="array" ref="G223:G223">G222</f>
        <v>0</v>
      </c>
      <c r="K223" s="158">
        <f>first_year+36</f>
        <v>2062</v>
      </c>
      <c r="T223" s="465" cm="1" t="str">
        <f t="array" ref="T223:T223">T222</f>
        <v>false</v>
      </c>
      <c r="AB223" s="255" t="str">
        <f>K223&amp;" год"</f>
        <v>2062 год</v>
      </c>
      <c r="AC223" s="408"/>
      <c r="AD223" s="8281"/>
      <c r="AE223" s="8280"/>
      <c r="AF223" s="8280"/>
      <c r="AG223" s="8281"/>
      <c r="AH223" s="8280"/>
      <c r="AI223" s="8281"/>
      <c r="AJ223" s="8280"/>
      <c r="AK223" s="8282"/>
      <c r="AL223" s="403"/>
      <c r="AN223" s="1064" cm="1" t="str">
        <f t="array" ref="AN223:AN223">K223</f>
        <v>2062</v>
      </c>
      <c r="AO223" s="1064" t="s">
        <v>2977</v>
      </c>
      <c r="AP223" s="1074" cm="1" t="str">
        <f t="array" ref="AP223:AP223">AP222</f>
        <v>0</v>
      </c>
      <c r="AQ223" s="703"/>
      <c r="AR223" s="703"/>
    </row>
    <row s="8264" customFormat="1" customHeight="1" ht="14.25" hidden="1">
      <c r="B224" s="445">
        <f>K224&lt;first_year+PERIOD_LENGTH</f>
        <v>0</v>
      </c>
      <c r="E224" s="703">
        <v>15</v>
      </c>
      <c r="F224" s="50" cm="1" t="str">
        <f t="array" ref="F224:F224">OFFSET(E224,-1,1)</f>
        <v>2</v>
      </c>
      <c r="G224" s="98" cm="1" t="str">
        <f t="array" ref="G224:G224">G223</f>
        <v>0</v>
      </c>
      <c r="K224" s="158">
        <f>first_year+37</f>
        <v>2063</v>
      </c>
      <c r="T224" s="465" cm="1" t="str">
        <f t="array" ref="T224:T224">T223</f>
        <v>false</v>
      </c>
      <c r="AB224" s="255" t="str">
        <f>K224&amp;" год"</f>
        <v>2063 год</v>
      </c>
      <c r="AC224" s="408"/>
      <c r="AD224" s="8281"/>
      <c r="AE224" s="8280"/>
      <c r="AF224" s="8280"/>
      <c r="AG224" s="8281"/>
      <c r="AH224" s="8280"/>
      <c r="AI224" s="8281"/>
      <c r="AJ224" s="8280"/>
      <c r="AK224" s="8282"/>
      <c r="AL224" s="403"/>
      <c r="AN224" s="1064" cm="1" t="str">
        <f t="array" ref="AN224:AN224">K224</f>
        <v>2063</v>
      </c>
      <c r="AO224" s="1064" t="s">
        <v>2977</v>
      </c>
      <c r="AP224" s="1074" cm="1" t="str">
        <f t="array" ref="AP224:AP224">AP223</f>
        <v>0</v>
      </c>
      <c r="AQ224" s="703"/>
      <c r="AR224" s="703"/>
    </row>
    <row s="8264" customFormat="1" customHeight="1" ht="14.25" hidden="1">
      <c r="B225" s="445">
        <f>K225&lt;first_year+PERIOD_LENGTH</f>
        <v>0</v>
      </c>
      <c r="E225" s="703">
        <v>15</v>
      </c>
      <c r="F225" s="50" cm="1" t="str">
        <f t="array" ref="F225:F225">OFFSET(E225,-1,1)</f>
        <v>2</v>
      </c>
      <c r="G225" s="98" cm="1" t="str">
        <f t="array" ref="G225:G225">G224</f>
        <v>0</v>
      </c>
      <c r="K225" s="158">
        <f>first_year+38</f>
        <v>2064</v>
      </c>
      <c r="T225" s="465" cm="1" t="str">
        <f t="array" ref="T225:T225">T224</f>
        <v>false</v>
      </c>
      <c r="AB225" s="255" t="str">
        <f>K225&amp;" год"</f>
        <v>2064 год</v>
      </c>
      <c r="AC225" s="408"/>
      <c r="AD225" s="8281"/>
      <c r="AE225" s="8280"/>
      <c r="AF225" s="8280"/>
      <c r="AG225" s="8281"/>
      <c r="AH225" s="8280"/>
      <c r="AI225" s="8281"/>
      <c r="AJ225" s="8280"/>
      <c r="AK225" s="8282"/>
      <c r="AL225" s="403"/>
      <c r="AN225" s="1064" cm="1" t="str">
        <f t="array" ref="AN225:AN225">K225</f>
        <v>2064</v>
      </c>
      <c r="AO225" s="1064" t="s">
        <v>2977</v>
      </c>
      <c r="AP225" s="1074" cm="1" t="str">
        <f t="array" ref="AP225:AP225">AP224</f>
        <v>0</v>
      </c>
      <c r="AQ225" s="703"/>
      <c r="AR225" s="703"/>
    </row>
    <row s="8264" customFormat="1" customHeight="1" ht="14.25" hidden="1">
      <c r="B226" s="445">
        <f>K226&lt;first_year+PERIOD_LENGTH</f>
        <v>0</v>
      </c>
      <c r="E226" s="703">
        <v>15</v>
      </c>
      <c r="F226" s="50" cm="1" t="str">
        <f t="array" ref="F226:F226">OFFSET(E226,-1,1)</f>
        <v>2</v>
      </c>
      <c r="G226" s="98" cm="1" t="str">
        <f t="array" ref="G226:G226">G225</f>
        <v>0</v>
      </c>
      <c r="K226" s="158">
        <f>first_year+39</f>
        <v>2065</v>
      </c>
      <c r="T226" s="465" cm="1" t="str">
        <f t="array" ref="T226:T226">T225</f>
        <v>false</v>
      </c>
      <c r="AB226" s="255" t="str">
        <f>K226&amp;" год"</f>
        <v>2065 год</v>
      </c>
      <c r="AC226" s="408"/>
      <c r="AD226" s="8281"/>
      <c r="AE226" s="8280"/>
      <c r="AF226" s="8280"/>
      <c r="AG226" s="8281"/>
      <c r="AH226" s="8280"/>
      <c r="AI226" s="8281"/>
      <c r="AJ226" s="8280"/>
      <c r="AK226" s="8282"/>
      <c r="AL226" s="403"/>
      <c r="AN226" s="1064" cm="1" t="str">
        <f t="array" ref="AN226:AN226">K226</f>
        <v>2065</v>
      </c>
      <c r="AO226" s="1064" t="s">
        <v>2977</v>
      </c>
      <c r="AP226" s="1074" cm="1" t="str">
        <f t="array" ref="AP226:AP226">AP225</f>
        <v>0</v>
      </c>
      <c r="AQ226" s="703"/>
      <c r="AR226" s="703"/>
    </row>
    <row s="8264" customFormat="1" customHeight="1" ht="14.25" hidden="1">
      <c r="B227" s="445">
        <f>K227&lt;first_year+PERIOD_LENGTH</f>
        <v>0</v>
      </c>
      <c r="E227" s="703">
        <v>15</v>
      </c>
      <c r="F227" s="50" cm="1" t="str">
        <f t="array" ref="F227:F227">OFFSET(E227,-1,1)</f>
        <v>2</v>
      </c>
      <c r="G227" s="98" cm="1" t="str">
        <f t="array" ref="G227:G227">G226</f>
        <v>0</v>
      </c>
      <c r="K227" s="158">
        <f>first_year+40</f>
        <v>2066</v>
      </c>
      <c r="T227" s="465" cm="1" t="str">
        <f t="array" ref="T227:T227">T226</f>
        <v>false</v>
      </c>
      <c r="AB227" s="255" t="str">
        <f>K227&amp;" год"</f>
        <v>2066 год</v>
      </c>
      <c r="AC227" s="408"/>
      <c r="AD227" s="8281"/>
      <c r="AE227" s="8280"/>
      <c r="AF227" s="8280"/>
      <c r="AG227" s="8281"/>
      <c r="AH227" s="8280"/>
      <c r="AI227" s="8281"/>
      <c r="AJ227" s="8280"/>
      <c r="AK227" s="8282"/>
      <c r="AL227" s="403"/>
      <c r="AN227" s="1064" cm="1" t="str">
        <f t="array" ref="AN227:AN227">K227</f>
        <v>2066</v>
      </c>
      <c r="AO227" s="1064" t="s">
        <v>2977</v>
      </c>
      <c r="AP227" s="1074" cm="1" t="str">
        <f t="array" ref="AP227:AP227">AP226</f>
        <v>0</v>
      </c>
      <c r="AQ227" s="703"/>
      <c r="AR227" s="703"/>
    </row>
    <row s="8264" customFormat="1" customHeight="1" ht="14.25" hidden="1">
      <c r="B228" s="445">
        <f>K228&lt;first_year+PERIOD_LENGTH</f>
        <v>0</v>
      </c>
      <c r="E228" s="703">
        <v>15</v>
      </c>
      <c r="F228" s="50" cm="1" t="str">
        <f t="array" ref="F228:F228">OFFSET(E228,-1,1)</f>
        <v>2</v>
      </c>
      <c r="G228" s="98" cm="1" t="str">
        <f t="array" ref="G228:G228">G227</f>
        <v>0</v>
      </c>
      <c r="K228" s="158">
        <f>first_year+41</f>
        <v>2067</v>
      </c>
      <c r="T228" s="465" cm="1" t="str">
        <f t="array" ref="T228:T228">T227</f>
        <v>false</v>
      </c>
      <c r="AB228" s="255" t="str">
        <f>K228&amp;" год"</f>
        <v>2067 год</v>
      </c>
      <c r="AC228" s="408"/>
      <c r="AD228" s="8281"/>
      <c r="AE228" s="8280"/>
      <c r="AF228" s="8280"/>
      <c r="AG228" s="8281"/>
      <c r="AH228" s="8280"/>
      <c r="AI228" s="8281"/>
      <c r="AJ228" s="8280"/>
      <c r="AK228" s="8282"/>
      <c r="AL228" s="403"/>
      <c r="AN228" s="1064" cm="1" t="str">
        <f t="array" ref="AN228:AN228">K228</f>
        <v>2067</v>
      </c>
      <c r="AO228" s="1064" t="s">
        <v>2977</v>
      </c>
      <c r="AP228" s="1074" cm="1" t="str">
        <f t="array" ref="AP228:AP228">AP227</f>
        <v>0</v>
      </c>
      <c r="AQ228" s="703"/>
      <c r="AR228" s="703"/>
    </row>
    <row s="8264" customFormat="1" customHeight="1" ht="14.25" hidden="1">
      <c r="B229" s="445">
        <f>K229&lt;first_year+PERIOD_LENGTH</f>
        <v>0</v>
      </c>
      <c r="E229" s="703">
        <v>15</v>
      </c>
      <c r="F229" s="50" cm="1" t="str">
        <f t="array" ref="F229:F229">OFFSET(E229,-1,1)</f>
        <v>2</v>
      </c>
      <c r="G229" s="98" cm="1" t="str">
        <f t="array" ref="G229:G229">G228</f>
        <v>0</v>
      </c>
      <c r="K229" s="158">
        <f>first_year+42</f>
        <v>2068</v>
      </c>
      <c r="T229" s="465" cm="1" t="str">
        <f t="array" ref="T229:T229">T228</f>
        <v>false</v>
      </c>
      <c r="AB229" s="255" t="str">
        <f>K229&amp;" год"</f>
        <v>2068 год</v>
      </c>
      <c r="AC229" s="408"/>
      <c r="AD229" s="8281"/>
      <c r="AE229" s="8280"/>
      <c r="AF229" s="8280"/>
      <c r="AG229" s="8281"/>
      <c r="AH229" s="8280"/>
      <c r="AI229" s="8281"/>
      <c r="AJ229" s="8280"/>
      <c r="AK229" s="8282"/>
      <c r="AL229" s="403"/>
      <c r="AN229" s="1064" cm="1" t="str">
        <f t="array" ref="AN229:AN229">K229</f>
        <v>2068</v>
      </c>
      <c r="AO229" s="1064" t="s">
        <v>2977</v>
      </c>
      <c r="AP229" s="1074" cm="1" t="str">
        <f t="array" ref="AP229:AP229">AP228</f>
        <v>0</v>
      </c>
      <c r="AQ229" s="703"/>
      <c r="AR229" s="703"/>
    </row>
    <row s="8264" customFormat="1" customHeight="1" ht="14.25" hidden="1">
      <c r="B230" s="445">
        <f>K230&lt;first_year+PERIOD_LENGTH</f>
        <v>0</v>
      </c>
      <c r="E230" s="703">
        <v>15</v>
      </c>
      <c r="F230" s="50" cm="1" t="str">
        <f t="array" ref="F230:F230">OFFSET(E230,-1,1)</f>
        <v>2</v>
      </c>
      <c r="G230" s="98" cm="1" t="str">
        <f t="array" ref="G230:G230">G229</f>
        <v>0</v>
      </c>
      <c r="K230" s="158">
        <f>first_year+43</f>
        <v>2069</v>
      </c>
      <c r="T230" s="465" cm="1" t="str">
        <f t="array" ref="T230:T230">T229</f>
        <v>false</v>
      </c>
      <c r="AB230" s="255" t="str">
        <f>K230&amp;" год"</f>
        <v>2069 год</v>
      </c>
      <c r="AC230" s="408"/>
      <c r="AD230" s="8281"/>
      <c r="AE230" s="8280"/>
      <c r="AF230" s="8280"/>
      <c r="AG230" s="8281"/>
      <c r="AH230" s="8280"/>
      <c r="AI230" s="8281"/>
      <c r="AJ230" s="8280"/>
      <c r="AK230" s="8282"/>
      <c r="AL230" s="403"/>
      <c r="AN230" s="1064" cm="1" t="str">
        <f t="array" ref="AN230:AN230">K230</f>
        <v>2069</v>
      </c>
      <c r="AO230" s="1064" t="s">
        <v>2977</v>
      </c>
      <c r="AP230" s="1074" cm="1" t="str">
        <f t="array" ref="AP230:AP230">AP229</f>
        <v>0</v>
      </c>
      <c r="AQ230" s="703"/>
      <c r="AR230" s="703"/>
    </row>
    <row s="8264" customFormat="1" customHeight="1" ht="14.25" hidden="1">
      <c r="B231" s="445">
        <f>K231&lt;first_year+PERIOD_LENGTH</f>
        <v>0</v>
      </c>
      <c r="E231" s="703">
        <v>15</v>
      </c>
      <c r="F231" s="50" cm="1" t="str">
        <f t="array" ref="F231:F231">OFFSET(E231,-1,1)</f>
        <v>2</v>
      </c>
      <c r="G231" s="98" cm="1" t="str">
        <f t="array" ref="G231:G231">G230</f>
        <v>0</v>
      </c>
      <c r="K231" s="158">
        <f>first_year+44</f>
        <v>2070</v>
      </c>
      <c r="T231" s="465" cm="1" t="str">
        <f t="array" ref="T231:T231">T230</f>
        <v>false</v>
      </c>
      <c r="AB231" s="255" t="str">
        <f>K231&amp;" год"</f>
        <v>2070 год</v>
      </c>
      <c r="AC231" s="408"/>
      <c r="AD231" s="8281"/>
      <c r="AE231" s="8280"/>
      <c r="AF231" s="8280"/>
      <c r="AG231" s="8281"/>
      <c r="AH231" s="8280"/>
      <c r="AI231" s="8281"/>
      <c r="AJ231" s="8280"/>
      <c r="AK231" s="8282"/>
      <c r="AL231" s="403"/>
      <c r="AN231" s="1064" cm="1" t="str">
        <f t="array" ref="AN231:AN231">K231</f>
        <v>2070</v>
      </c>
      <c r="AO231" s="1064" t="s">
        <v>2977</v>
      </c>
      <c r="AP231" s="1074" cm="1" t="str">
        <f t="array" ref="AP231:AP231">AP230</f>
        <v>0</v>
      </c>
      <c r="AQ231" s="703"/>
      <c r="AR231" s="703"/>
    </row>
    <row s="8264" customFormat="1" customHeight="1" ht="14.25" hidden="1">
      <c r="B232" s="445">
        <f>K232&lt;first_year+PERIOD_LENGTH</f>
        <v>0</v>
      </c>
      <c r="E232" s="703">
        <v>15</v>
      </c>
      <c r="F232" s="50" cm="1" t="str">
        <f t="array" ref="F232:F232">OFFSET(E232,-1,1)</f>
        <v>2</v>
      </c>
      <c r="G232" s="98" cm="1" t="str">
        <f t="array" ref="G232:G232">G231</f>
        <v>0</v>
      </c>
      <c r="K232" s="158">
        <f>first_year+45</f>
        <v>2071</v>
      </c>
      <c r="T232" s="465" cm="1" t="str">
        <f t="array" ref="T232:T232">T231</f>
        <v>false</v>
      </c>
      <c r="AB232" s="255" t="str">
        <f>K232&amp;" год"</f>
        <v>2071 год</v>
      </c>
      <c r="AC232" s="408"/>
      <c r="AD232" s="8281"/>
      <c r="AE232" s="8280"/>
      <c r="AF232" s="8280"/>
      <c r="AG232" s="8281"/>
      <c r="AH232" s="8280"/>
      <c r="AI232" s="8281"/>
      <c r="AJ232" s="8280"/>
      <c r="AK232" s="8282"/>
      <c r="AL232" s="403"/>
      <c r="AN232" s="1064" cm="1" t="str">
        <f t="array" ref="AN232:AN232">K232</f>
        <v>2071</v>
      </c>
      <c r="AO232" s="1064" t="s">
        <v>2977</v>
      </c>
      <c r="AP232" s="1074" cm="1" t="str">
        <f t="array" ref="AP232:AP232">AP231</f>
        <v>0</v>
      </c>
      <c r="AQ232" s="703"/>
      <c r="AR232" s="703"/>
    </row>
    <row s="8264" customFormat="1" customHeight="1" ht="14.25" hidden="1">
      <c r="B233" s="445">
        <f>K233&lt;first_year+PERIOD_LENGTH</f>
        <v>0</v>
      </c>
      <c r="E233" s="703">
        <v>15</v>
      </c>
      <c r="F233" s="50" cm="1" t="str">
        <f t="array" ref="F233:F233">OFFSET(E233,-1,1)</f>
        <v>2</v>
      </c>
      <c r="G233" s="98" cm="1" t="str">
        <f t="array" ref="G233:G233">G232</f>
        <v>0</v>
      </c>
      <c r="K233" s="158">
        <f>first_year+46</f>
        <v>2072</v>
      </c>
      <c r="T233" s="465" cm="1" t="str">
        <f t="array" ref="T233:T233">T232</f>
        <v>false</v>
      </c>
      <c r="AB233" s="255" t="str">
        <f>K233&amp;" год"</f>
        <v>2072 год</v>
      </c>
      <c r="AC233" s="408"/>
      <c r="AD233" s="8281"/>
      <c r="AE233" s="8280"/>
      <c r="AF233" s="8280"/>
      <c r="AG233" s="8281"/>
      <c r="AH233" s="8280"/>
      <c r="AI233" s="8281"/>
      <c r="AJ233" s="8280"/>
      <c r="AK233" s="8282"/>
      <c r="AL233" s="403"/>
      <c r="AN233" s="1064" cm="1" t="str">
        <f t="array" ref="AN233:AN233">K233</f>
        <v>2072</v>
      </c>
      <c r="AO233" s="1064" t="s">
        <v>2977</v>
      </c>
      <c r="AP233" s="1074" cm="1" t="str">
        <f t="array" ref="AP233:AP233">AP232</f>
        <v>0</v>
      </c>
      <c r="AQ233" s="703"/>
      <c r="AR233" s="703"/>
    </row>
    <row s="8264" customFormat="1" customHeight="1" ht="14.25" hidden="1">
      <c r="B234" s="445">
        <f>K234&lt;first_year+PERIOD_LENGTH</f>
        <v>0</v>
      </c>
      <c r="E234" s="703">
        <v>15</v>
      </c>
      <c r="F234" s="50" cm="1" t="str">
        <f t="array" ref="F234:F234">OFFSET(E234,-1,1)</f>
        <v>2</v>
      </c>
      <c r="G234" s="98" cm="1" t="str">
        <f t="array" ref="G234:G234">G233</f>
        <v>0</v>
      </c>
      <c r="K234" s="158">
        <f>first_year+47</f>
        <v>2073</v>
      </c>
      <c r="T234" s="465" cm="1" t="str">
        <f t="array" ref="T234:T234">T233</f>
        <v>false</v>
      </c>
      <c r="AB234" s="255" t="str">
        <f>K234&amp;" год"</f>
        <v>2073 год</v>
      </c>
      <c r="AC234" s="408"/>
      <c r="AD234" s="8281"/>
      <c r="AE234" s="8280"/>
      <c r="AF234" s="8280"/>
      <c r="AG234" s="8281"/>
      <c r="AH234" s="8280"/>
      <c r="AI234" s="8281"/>
      <c r="AJ234" s="8280"/>
      <c r="AK234" s="8282"/>
      <c r="AL234" s="403"/>
      <c r="AN234" s="1064" cm="1" t="str">
        <f t="array" ref="AN234:AN234">K234</f>
        <v>2073</v>
      </c>
      <c r="AO234" s="1064" t="s">
        <v>2977</v>
      </c>
      <c r="AP234" s="1074" cm="1" t="str">
        <f t="array" ref="AP234:AP234">AP233</f>
        <v>0</v>
      </c>
      <c r="AQ234" s="703"/>
      <c r="AR234" s="703"/>
    </row>
    <row s="8264" customFormat="1" customHeight="1" ht="14.25" hidden="1">
      <c r="B235" s="445">
        <f>K235&lt;first_year+PERIOD_LENGTH</f>
        <v>0</v>
      </c>
      <c r="E235" s="703">
        <v>15</v>
      </c>
      <c r="F235" s="50" cm="1" t="str">
        <f t="array" ref="F235:F235">OFFSET(E235,-1,1)</f>
        <v>2</v>
      </c>
      <c r="G235" s="98" cm="1" t="str">
        <f t="array" ref="G235:G235">G234</f>
        <v>0</v>
      </c>
      <c r="K235" s="158">
        <f>first_year+48</f>
        <v>2074</v>
      </c>
      <c r="T235" s="465" cm="1" t="str">
        <f t="array" ref="T235:T235">T234</f>
        <v>false</v>
      </c>
      <c r="AB235" s="255" t="str">
        <f>K235&amp;" год"</f>
        <v>2074 год</v>
      </c>
      <c r="AC235" s="408"/>
      <c r="AD235" s="8281"/>
      <c r="AE235" s="8280"/>
      <c r="AF235" s="8280"/>
      <c r="AG235" s="8281"/>
      <c r="AH235" s="8280"/>
      <c r="AI235" s="8281"/>
      <c r="AJ235" s="8280"/>
      <c r="AK235" s="8282"/>
      <c r="AL235" s="403"/>
      <c r="AN235" s="1064" cm="1" t="str">
        <f t="array" ref="AN235:AN235">K235</f>
        <v>2074</v>
      </c>
      <c r="AO235" s="1064" t="s">
        <v>2977</v>
      </c>
      <c r="AP235" s="1074" cm="1" t="str">
        <f t="array" ref="AP235:AP235">AP234</f>
        <v>0</v>
      </c>
      <c r="AQ235" s="703"/>
      <c r="AR235" s="703"/>
    </row>
    <row s="8264" customFormat="1" customHeight="1" ht="14.25" hidden="1">
      <c r="B236" s="445">
        <f>K236&lt;first_year+PERIOD_LENGTH</f>
        <v>0</v>
      </c>
      <c r="E236" s="703">
        <v>15</v>
      </c>
      <c r="F236" s="50" cm="1" t="str">
        <f t="array" ref="F236:F236">OFFSET(E236,-1,1)</f>
        <v>2</v>
      </c>
      <c r="G236" s="98" cm="1" t="str">
        <f t="array" ref="G236:G236">G235</f>
        <v>0</v>
      </c>
      <c r="K236" s="158">
        <f>first_year+49</f>
        <v>2075</v>
      </c>
      <c r="T236" s="465" cm="1" t="str">
        <f t="array" ref="T236:T236">T235</f>
        <v>false</v>
      </c>
      <c r="AB236" s="255" t="str">
        <f>K236&amp;" год"</f>
        <v>2075 год</v>
      </c>
      <c r="AC236" s="408"/>
      <c r="AD236" s="8281"/>
      <c r="AE236" s="8280"/>
      <c r="AF236" s="8280"/>
      <c r="AG236" s="8281"/>
      <c r="AH236" s="8280"/>
      <c r="AI236" s="8281"/>
      <c r="AJ236" s="8280"/>
      <c r="AK236" s="8282"/>
      <c r="AL236" s="403"/>
      <c r="AN236" s="1064" cm="1" t="str">
        <f t="array" ref="AN236:AN236">K236</f>
        <v>2075</v>
      </c>
      <c r="AO236" s="1064" t="s">
        <v>2977</v>
      </c>
      <c r="AP236" s="1074" cm="1" t="str">
        <f t="array" ref="AP236:AP236">AP235</f>
        <v>0</v>
      </c>
      <c r="AQ236" s="703"/>
      <c r="AR236" s="703"/>
    </row>
    <row s="538" customFormat="1" customHeight="1" ht="14.25">
      <c r="A237" s="538"/>
      <c r="B237" s="538"/>
      <c r="C237" s="538"/>
      <c r="D237" s="538"/>
      <c r="E237" s="618">
        <v>15</v>
      </c>
      <c r="F237" s="50" cm="1" t="str">
        <f t="array" ref="F237:F237">OFFSET(E237,-1,1)</f>
        <v>2</v>
      </c>
      <c r="G237" s="122" cm="1" t="str">
        <f t="array" ref="G237:G237">AB237</f>
        <v>Питьевая вода (Калтанский городской округ)</v>
      </c>
      <c r="H237" s="538"/>
      <c r="I237" s="538"/>
      <c r="J237" s="538"/>
      <c r="K237" s="538"/>
      <c r="L237" s="538"/>
      <c r="M237" s="538"/>
      <c r="N237" s="538"/>
      <c r="O237" s="538"/>
      <c r="P237" s="538"/>
      <c r="Q237" s="538"/>
      <c r="R237" s="538"/>
      <c r="S237" s="538"/>
      <c r="T237" s="465">
        <f>AND(F237&gt;0,Y237&gt;0)</f>
        <v>1</v>
      </c>
      <c r="U237" s="538"/>
      <c r="V237" s="538"/>
      <c r="W237" s="122"/>
      <c r="X237" s="538"/>
      <c r="Y237" s="1563" t="s">
        <v>276</v>
      </c>
      <c r="Z237" s="538"/>
      <c r="AA237" s="1648" t="s">
        <v>175</v>
      </c>
      <c r="AB237" s="8283" t="s">
        <v>2980</v>
      </c>
      <c r="AC237" s="8278"/>
      <c r="AD237" s="8278"/>
      <c r="AE237" s="8278"/>
      <c r="AF237" s="8278"/>
      <c r="AG237" s="8278"/>
      <c r="AH237" s="8278"/>
      <c r="AI237" s="8278"/>
      <c r="AJ237" s="8278"/>
      <c r="AK237" s="8279"/>
      <c r="AL237" s="402"/>
      <c r="AM237" s="538"/>
      <c r="AN237" s="997"/>
      <c r="AO237" s="1064" t="s">
        <v>2977</v>
      </c>
      <c r="AP237" s="1050" cm="1" t="str">
        <f t="array" ref="AP237:AP237">AB237</f>
        <v>Питьевая вода (Калтанский городской округ)</v>
      </c>
      <c r="AQ237" s="618"/>
      <c r="AR237" s="618" t="b">
        <v>1</v>
      </c>
    </row>
    <row s="8264" customFormat="1" customHeight="1" ht="14.25">
      <c r="A238" s="8264"/>
      <c r="B238" s="445">
        <f>K238&lt;first_year+PERIOD_LENGTH</f>
        <v>1</v>
      </c>
      <c r="C238" s="8264"/>
      <c r="D238" s="8264"/>
      <c r="E238" s="703">
        <v>15</v>
      </c>
      <c r="F238" s="50" cm="1" t="str">
        <f t="array" ref="F238:F238">OFFSET(E238,-1,1)</f>
        <v>2</v>
      </c>
      <c r="G238" s="98" cm="1" t="str">
        <f t="array" ref="G238:G238">G237</f>
        <v>Питьевая вода (Калтанский городской округ)</v>
      </c>
      <c r="H238" s="8264"/>
      <c r="I238" s="8264"/>
      <c r="J238" s="8264"/>
      <c r="K238" s="158" cm="1" t="str">
        <f t="array" ref="K238:K238">first_year</f>
        <v>2026</v>
      </c>
      <c r="L238" s="8264"/>
      <c r="M238" s="8264"/>
      <c r="N238" s="8264"/>
      <c r="O238" s="8264"/>
      <c r="P238" s="8264"/>
      <c r="Q238" s="8264"/>
      <c r="R238" s="8264"/>
      <c r="S238" s="8264"/>
      <c r="T238" s="465" cm="1" t="str">
        <f t="array" ref="T238:T238">T237</f>
        <v>true</v>
      </c>
      <c r="U238" s="8264"/>
      <c r="V238" s="8264"/>
      <c r="W238" s="8264"/>
      <c r="X238" s="8264"/>
      <c r="Y238" s="8264"/>
      <c r="Z238" s="8264"/>
      <c r="AA238" s="8264"/>
      <c r="AB238" s="302" t="str">
        <f>K238&amp;" год"</f>
        <v>2026 год</v>
      </c>
      <c r="AC238" s="8284" cm="1" t="str">
        <f t="array" ref="AC238:AC238">'Калькуляция (МИ)'!AT316</f>
        <v>43221.4896612396</v>
      </c>
      <c r="AD238" s="8285"/>
      <c r="AE238" s="8284">
        <v>0</v>
      </c>
      <c r="AF238" s="8286">
        <v>55.08</v>
      </c>
      <c r="AG238" s="8285">
        <v>0.261</v>
      </c>
      <c r="AH238" s="8280"/>
      <c r="AI238" s="8281"/>
      <c r="AJ238" s="8280"/>
      <c r="AK238" s="8282"/>
      <c r="AL238" s="403"/>
      <c r="AM238" s="8264"/>
      <c r="AN238" s="1064" cm="1" t="str">
        <f t="array" ref="AN238:AN238">K238</f>
        <v>2026</v>
      </c>
      <c r="AO238" s="1064" t="s">
        <v>2977</v>
      </c>
      <c r="AP238" s="1074" cm="1" t="str">
        <f t="array" ref="AP238:AP238">AP237</f>
        <v>Питьевая вода (Калтанский городской округ)</v>
      </c>
      <c r="AQ238" s="703"/>
      <c r="AR238" s="703"/>
    </row>
    <row s="8264" customFormat="1" customHeight="1" ht="14.25">
      <c r="A239" s="8264"/>
      <c r="B239" s="445">
        <f>K239&lt;first_year+PERIOD_LENGTH</f>
        <v>1</v>
      </c>
      <c r="C239" s="8264"/>
      <c r="D239" s="8264"/>
      <c r="E239" s="703">
        <v>15</v>
      </c>
      <c r="F239" s="50" cm="1" t="str">
        <f t="array" ref="F239:F239">OFFSET(E239,-1,1)</f>
        <v>2</v>
      </c>
      <c r="G239" s="98" cm="1" t="str">
        <f t="array" ref="G239:G239">G238</f>
        <v>Питьевая вода (Калтанский городской округ)</v>
      </c>
      <c r="H239" s="8264"/>
      <c r="I239" s="8264"/>
      <c r="J239" s="8264"/>
      <c r="K239" s="158">
        <f>first_year+1</f>
        <v>2027</v>
      </c>
      <c r="L239" s="8264"/>
      <c r="M239" s="8264"/>
      <c r="N239" s="8264"/>
      <c r="O239" s="8264"/>
      <c r="P239" s="8264"/>
      <c r="Q239" s="8264"/>
      <c r="R239" s="8264"/>
      <c r="S239" s="8264"/>
      <c r="T239" s="465" cm="1" t="str">
        <f t="array" ref="T239:T239">T238</f>
        <v>true</v>
      </c>
      <c r="U239" s="8264"/>
      <c r="V239" s="8264"/>
      <c r="W239" s="8264"/>
      <c r="X239" s="8264"/>
      <c r="Y239" s="8264"/>
      <c r="Z239" s="8264"/>
      <c r="AA239" s="8264"/>
      <c r="AB239" s="255" t="str">
        <f>K239&amp;" год"</f>
        <v>2027 год</v>
      </c>
      <c r="AC239" s="408"/>
      <c r="AD239" s="8285">
        <v>1</v>
      </c>
      <c r="AE239" s="8284">
        <v>0</v>
      </c>
      <c r="AF239" s="8286">
        <v>55.08</v>
      </c>
      <c r="AG239" s="8285" cm="1" t="str">
        <f t="array" ref="AG239:AG239">AG238</f>
        <v>0.261</v>
      </c>
      <c r="AH239" s="8280"/>
      <c r="AI239" s="8281"/>
      <c r="AJ239" s="8280"/>
      <c r="AK239" s="8282"/>
      <c r="AL239" s="403"/>
      <c r="AM239" s="8264"/>
      <c r="AN239" s="1064" cm="1" t="str">
        <f t="array" ref="AN239:AN239">K239</f>
        <v>2027</v>
      </c>
      <c r="AO239" s="1064" t="s">
        <v>2977</v>
      </c>
      <c r="AP239" s="1074" cm="1" t="str">
        <f t="array" ref="AP239:AP239">AP238</f>
        <v>Питьевая вода (Калтанский городской округ)</v>
      </c>
      <c r="AQ239" s="703"/>
      <c r="AR239" s="703"/>
    </row>
    <row s="8264" customFormat="1" customHeight="1" ht="14.25">
      <c r="A240" s="8264"/>
      <c r="B240" s="445">
        <f>K240&lt;first_year+PERIOD_LENGTH</f>
        <v>1</v>
      </c>
      <c r="C240" s="8264"/>
      <c r="D240" s="8264"/>
      <c r="E240" s="703">
        <v>15</v>
      </c>
      <c r="F240" s="50" cm="1" t="str">
        <f t="array" ref="F240:F240">OFFSET(E240,-1,1)</f>
        <v>2</v>
      </c>
      <c r="G240" s="98" cm="1" t="str">
        <f t="array" ref="G240:G240">G239</f>
        <v>Питьевая вода (Калтанский городской округ)</v>
      </c>
      <c r="H240" s="8264"/>
      <c r="I240" s="8264"/>
      <c r="J240" s="8264"/>
      <c r="K240" s="158">
        <f>first_year+2</f>
        <v>2028</v>
      </c>
      <c r="L240" s="8264"/>
      <c r="M240" s="8264"/>
      <c r="N240" s="8264"/>
      <c r="O240" s="8264"/>
      <c r="P240" s="8264"/>
      <c r="Q240" s="8264"/>
      <c r="R240" s="8264"/>
      <c r="S240" s="8264"/>
      <c r="T240" s="465" cm="1" t="str">
        <f t="array" ref="T240:T240">T239</f>
        <v>true</v>
      </c>
      <c r="U240" s="8264"/>
      <c r="V240" s="8264"/>
      <c r="W240" s="8264"/>
      <c r="X240" s="8264"/>
      <c r="Y240" s="8264"/>
      <c r="Z240" s="8264"/>
      <c r="AA240" s="8264"/>
      <c r="AB240" s="255" t="str">
        <f>K240&amp;" год"</f>
        <v>2028 год</v>
      </c>
      <c r="AC240" s="408"/>
      <c r="AD240" s="8285">
        <v>1</v>
      </c>
      <c r="AE240" s="8284">
        <v>0</v>
      </c>
      <c r="AF240" s="8286">
        <v>55.08</v>
      </c>
      <c r="AG240" s="8285" cm="1" t="str">
        <f t="array" ref="AG240:AG240">AG239</f>
        <v>0.261</v>
      </c>
      <c r="AH240" s="8280"/>
      <c r="AI240" s="8281"/>
      <c r="AJ240" s="8280"/>
      <c r="AK240" s="8282"/>
      <c r="AL240" s="403"/>
      <c r="AM240" s="8264"/>
      <c r="AN240" s="1064" cm="1" t="str">
        <f t="array" ref="AN240:AN240">K240</f>
        <v>2028</v>
      </c>
      <c r="AO240" s="1064" t="s">
        <v>2977</v>
      </c>
      <c r="AP240" s="1074" cm="1" t="str">
        <f t="array" ref="AP240:AP240">AP239</f>
        <v>Питьевая вода (Калтанский городской округ)</v>
      </c>
      <c r="AQ240" s="703"/>
      <c r="AR240" s="703"/>
    </row>
    <row s="8264" customFormat="1" customHeight="1" ht="14.25">
      <c r="A241" s="8264"/>
      <c r="B241" s="445">
        <f>K241&lt;first_year+PERIOD_LENGTH</f>
        <v>1</v>
      </c>
      <c r="C241" s="8264"/>
      <c r="D241" s="8264"/>
      <c r="E241" s="703">
        <v>15</v>
      </c>
      <c r="F241" s="50" cm="1" t="str">
        <f t="array" ref="F241:F241">OFFSET(E241,-1,1)</f>
        <v>2</v>
      </c>
      <c r="G241" s="98" cm="1" t="str">
        <f t="array" ref="G241:G241">G240</f>
        <v>Питьевая вода (Калтанский городской округ)</v>
      </c>
      <c r="H241" s="8264"/>
      <c r="I241" s="8264"/>
      <c r="J241" s="8264"/>
      <c r="K241" s="158">
        <f>first_year+3</f>
        <v>2029</v>
      </c>
      <c r="L241" s="8264"/>
      <c r="M241" s="8264"/>
      <c r="N241" s="8264"/>
      <c r="O241" s="8264"/>
      <c r="P241" s="8264"/>
      <c r="Q241" s="8264"/>
      <c r="R241" s="8264"/>
      <c r="S241" s="8264"/>
      <c r="T241" s="465" cm="1" t="str">
        <f t="array" ref="T241:T241">T240</f>
        <v>true</v>
      </c>
      <c r="U241" s="8264"/>
      <c r="V241" s="8264"/>
      <c r="W241" s="8264"/>
      <c r="X241" s="8264"/>
      <c r="Y241" s="8264"/>
      <c r="Z241" s="8264"/>
      <c r="AA241" s="8264"/>
      <c r="AB241" s="255" t="str">
        <f>K241&amp;" год"</f>
        <v>2029 год</v>
      </c>
      <c r="AC241" s="408"/>
      <c r="AD241" s="8285">
        <v>1</v>
      </c>
      <c r="AE241" s="8284">
        <v>0</v>
      </c>
      <c r="AF241" s="8286">
        <v>55.077</v>
      </c>
      <c r="AG241" s="8285" cm="1" t="str">
        <f t="array" ref="AG241:AG241">AG240</f>
        <v>0.261</v>
      </c>
      <c r="AH241" s="8280"/>
      <c r="AI241" s="8281"/>
      <c r="AJ241" s="8280"/>
      <c r="AK241" s="8282"/>
      <c r="AL241" s="403"/>
      <c r="AM241" s="8264"/>
      <c r="AN241" s="1064" cm="1" t="str">
        <f t="array" ref="AN241:AN241">K241</f>
        <v>2029</v>
      </c>
      <c r="AO241" s="1064" t="s">
        <v>2977</v>
      </c>
      <c r="AP241" s="1074" cm="1" t="str">
        <f t="array" ref="AP241:AP241">AP240</f>
        <v>Питьевая вода (Калтанский городской округ)</v>
      </c>
      <c r="AQ241" s="703"/>
      <c r="AR241" s="703"/>
    </row>
    <row s="8264" customFormat="1" customHeight="1" ht="14.25">
      <c r="A242" s="8264"/>
      <c r="B242" s="445">
        <f>K242&lt;first_year+PERIOD_LENGTH</f>
        <v>1</v>
      </c>
      <c r="C242" s="8264"/>
      <c r="D242" s="8264"/>
      <c r="E242" s="703">
        <v>15</v>
      </c>
      <c r="F242" s="50" cm="1" t="str">
        <f t="array" ref="F242:F242">OFFSET(E242,-1,1)</f>
        <v>2</v>
      </c>
      <c r="G242" s="98" cm="1" t="str">
        <f t="array" ref="G242:G242">G241</f>
        <v>Питьевая вода (Калтанский городской округ)</v>
      </c>
      <c r="H242" s="8264"/>
      <c r="I242" s="8264"/>
      <c r="J242" s="8264"/>
      <c r="K242" s="158">
        <f>first_year+4</f>
        <v>2030</v>
      </c>
      <c r="L242" s="8264"/>
      <c r="M242" s="8264"/>
      <c r="N242" s="8264"/>
      <c r="O242" s="8264"/>
      <c r="P242" s="8264"/>
      <c r="Q242" s="8264"/>
      <c r="R242" s="8264"/>
      <c r="S242" s="8264"/>
      <c r="T242" s="465" cm="1" t="str">
        <f t="array" ref="T242:T242">T241</f>
        <v>true</v>
      </c>
      <c r="U242" s="8264"/>
      <c r="V242" s="8264"/>
      <c r="W242" s="8264"/>
      <c r="X242" s="8264"/>
      <c r="Y242" s="8264"/>
      <c r="Z242" s="8264"/>
      <c r="AA242" s="8264"/>
      <c r="AB242" s="255" t="str">
        <f>K242&amp;" год"</f>
        <v>2030 год</v>
      </c>
      <c r="AC242" s="408"/>
      <c r="AD242" s="8285">
        <v>1</v>
      </c>
      <c r="AE242" s="8284">
        <v>0</v>
      </c>
      <c r="AF242" s="8286">
        <v>55.024</v>
      </c>
      <c r="AG242" s="8285" cm="1" t="str">
        <f t="array" ref="AG242:AG242">AG241</f>
        <v>0.261</v>
      </c>
      <c r="AH242" s="8280"/>
      <c r="AI242" s="8281"/>
      <c r="AJ242" s="8280"/>
      <c r="AK242" s="8282"/>
      <c r="AL242" s="403"/>
      <c r="AM242" s="8264"/>
      <c r="AN242" s="1064" cm="1" t="str">
        <f t="array" ref="AN242:AN242">K242</f>
        <v>2030</v>
      </c>
      <c r="AO242" s="1064" t="s">
        <v>2977</v>
      </c>
      <c r="AP242" s="1074" cm="1" t="str">
        <f t="array" ref="AP242:AP242">AP241</f>
        <v>Питьевая вода (Калтанский городской округ)</v>
      </c>
      <c r="AQ242" s="703"/>
      <c r="AR242" s="703"/>
    </row>
    <row s="8264" customFormat="1" customHeight="1" ht="14.25" hidden="1">
      <c r="A243" s="8264"/>
      <c r="B243" s="445">
        <f>K243&lt;first_year+PERIOD_LENGTH</f>
        <v>0</v>
      </c>
      <c r="C243" s="8264"/>
      <c r="D243" s="8264"/>
      <c r="E243" s="703">
        <v>15</v>
      </c>
      <c r="F243" s="50" cm="1" t="str">
        <f t="array" ref="F243:F243">OFFSET(E243,-1,1)</f>
        <v>2</v>
      </c>
      <c r="G243" s="98" cm="1" t="str">
        <f t="array" ref="G243:G243">G242</f>
        <v>Питьевая вода (Калтанский городской округ)</v>
      </c>
      <c r="H243" s="8264"/>
      <c r="I243" s="8264"/>
      <c r="J243" s="8264"/>
      <c r="K243" s="158">
        <f>first_year+5</f>
        <v>2031</v>
      </c>
      <c r="L243" s="8264"/>
      <c r="M243" s="8264"/>
      <c r="N243" s="8264"/>
      <c r="O243" s="8264"/>
      <c r="P243" s="8264"/>
      <c r="Q243" s="8264"/>
      <c r="R243" s="8264"/>
      <c r="S243" s="8264"/>
      <c r="T243" s="465" cm="1" t="str">
        <f t="array" ref="T243:T243">T242</f>
        <v>true</v>
      </c>
      <c r="U243" s="8264"/>
      <c r="V243" s="8264"/>
      <c r="W243" s="8264"/>
      <c r="X243" s="8264"/>
      <c r="Y243" s="8264"/>
      <c r="Z243" s="8264"/>
      <c r="AA243" s="8264"/>
      <c r="AB243" s="255" t="str">
        <f>K243&amp;" год"</f>
        <v>2031 год</v>
      </c>
      <c r="AC243" s="408"/>
      <c r="AD243" s="8281"/>
      <c r="AE243" s="8280"/>
      <c r="AF243" s="8280"/>
      <c r="AG243" s="8281"/>
      <c r="AH243" s="8280"/>
      <c r="AI243" s="8281"/>
      <c r="AJ243" s="8280"/>
      <c r="AK243" s="8282"/>
      <c r="AL243" s="403"/>
      <c r="AM243" s="8264"/>
      <c r="AN243" s="1064" cm="1" t="str">
        <f t="array" ref="AN243:AN243">K243</f>
        <v>2031</v>
      </c>
      <c r="AO243" s="1064" t="s">
        <v>2977</v>
      </c>
      <c r="AP243" s="1074" cm="1" t="str">
        <f t="array" ref="AP243:AP243">AP242</f>
        <v>Питьевая вода (Калтанский городской округ)</v>
      </c>
      <c r="AQ243" s="703"/>
      <c r="AR243" s="703"/>
    </row>
    <row s="8264" customFormat="1" customHeight="1" ht="14.25" hidden="1">
      <c r="A244" s="8264"/>
      <c r="B244" s="445">
        <f>K244&lt;first_year+PERIOD_LENGTH</f>
        <v>0</v>
      </c>
      <c r="C244" s="8264"/>
      <c r="D244" s="8264"/>
      <c r="E244" s="703">
        <v>15</v>
      </c>
      <c r="F244" s="50" cm="1" t="str">
        <f t="array" ref="F244:F244">OFFSET(E244,-1,1)</f>
        <v>2</v>
      </c>
      <c r="G244" s="98" cm="1" t="str">
        <f t="array" ref="G244:G244">G243</f>
        <v>Питьевая вода (Калтанский городской округ)</v>
      </c>
      <c r="H244" s="8264"/>
      <c r="I244" s="8264"/>
      <c r="J244" s="8264"/>
      <c r="K244" s="158">
        <f>first_year+6</f>
        <v>2032</v>
      </c>
      <c r="L244" s="8264"/>
      <c r="M244" s="8264"/>
      <c r="N244" s="8264"/>
      <c r="O244" s="8264"/>
      <c r="P244" s="8264"/>
      <c r="Q244" s="8264"/>
      <c r="R244" s="8264"/>
      <c r="S244" s="8264"/>
      <c r="T244" s="465" cm="1" t="str">
        <f t="array" ref="T244:T244">T243</f>
        <v>true</v>
      </c>
      <c r="U244" s="8264"/>
      <c r="V244" s="8264"/>
      <c r="W244" s="8264"/>
      <c r="X244" s="8264"/>
      <c r="Y244" s="8264"/>
      <c r="Z244" s="8264"/>
      <c r="AA244" s="8264"/>
      <c r="AB244" s="255" t="str">
        <f>K244&amp;" год"</f>
        <v>2032 год</v>
      </c>
      <c r="AC244" s="408"/>
      <c r="AD244" s="8281"/>
      <c r="AE244" s="8280"/>
      <c r="AF244" s="8280"/>
      <c r="AG244" s="8281"/>
      <c r="AH244" s="8280"/>
      <c r="AI244" s="8281"/>
      <c r="AJ244" s="8280"/>
      <c r="AK244" s="8282"/>
      <c r="AL244" s="403"/>
      <c r="AM244" s="8264"/>
      <c r="AN244" s="1064" cm="1" t="str">
        <f t="array" ref="AN244:AN244">K244</f>
        <v>2032</v>
      </c>
      <c r="AO244" s="1064" t="s">
        <v>2977</v>
      </c>
      <c r="AP244" s="1074" cm="1" t="str">
        <f t="array" ref="AP244:AP244">AP243</f>
        <v>Питьевая вода (Калтанский городской округ)</v>
      </c>
      <c r="AQ244" s="703"/>
      <c r="AR244" s="703"/>
    </row>
    <row s="8264" customFormat="1" customHeight="1" ht="14.25" hidden="1">
      <c r="A245" s="8264"/>
      <c r="B245" s="445">
        <f>K245&lt;first_year+PERIOD_LENGTH</f>
        <v>0</v>
      </c>
      <c r="C245" s="8264"/>
      <c r="D245" s="8264"/>
      <c r="E245" s="703">
        <v>15</v>
      </c>
      <c r="F245" s="50" cm="1" t="str">
        <f t="array" ref="F245:F245">OFFSET(E245,-1,1)</f>
        <v>2</v>
      </c>
      <c r="G245" s="98" cm="1" t="str">
        <f t="array" ref="G245:G245">G244</f>
        <v>Питьевая вода (Калтанский городской округ)</v>
      </c>
      <c r="H245" s="8264"/>
      <c r="I245" s="8264"/>
      <c r="J245" s="8264"/>
      <c r="K245" s="158">
        <f>first_year+7</f>
        <v>2033</v>
      </c>
      <c r="L245" s="8264"/>
      <c r="M245" s="8264"/>
      <c r="N245" s="8264"/>
      <c r="O245" s="8264"/>
      <c r="P245" s="8264"/>
      <c r="Q245" s="8264"/>
      <c r="R245" s="8264"/>
      <c r="S245" s="8264"/>
      <c r="T245" s="465" cm="1" t="str">
        <f t="array" ref="T245:T245">T244</f>
        <v>true</v>
      </c>
      <c r="U245" s="8264"/>
      <c r="V245" s="8264"/>
      <c r="W245" s="8264"/>
      <c r="X245" s="8264"/>
      <c r="Y245" s="8264"/>
      <c r="Z245" s="8264"/>
      <c r="AA245" s="8264"/>
      <c r="AB245" s="255" t="str">
        <f>K245&amp;" год"</f>
        <v>2033 год</v>
      </c>
      <c r="AC245" s="408"/>
      <c r="AD245" s="8281"/>
      <c r="AE245" s="8280"/>
      <c r="AF245" s="8280"/>
      <c r="AG245" s="8281"/>
      <c r="AH245" s="8280"/>
      <c r="AI245" s="8281"/>
      <c r="AJ245" s="8280"/>
      <c r="AK245" s="8282"/>
      <c r="AL245" s="403"/>
      <c r="AM245" s="8264"/>
      <c r="AN245" s="1064" cm="1" t="str">
        <f t="array" ref="AN245:AN245">K245</f>
        <v>2033</v>
      </c>
      <c r="AO245" s="1064" t="s">
        <v>2977</v>
      </c>
      <c r="AP245" s="1074" cm="1" t="str">
        <f t="array" ref="AP245:AP245">AP244</f>
        <v>Питьевая вода (Калтанский городской округ)</v>
      </c>
      <c r="AQ245" s="703"/>
      <c r="AR245" s="703"/>
    </row>
    <row s="8264" customFormat="1" customHeight="1" ht="14.25" hidden="1">
      <c r="A246" s="8264"/>
      <c r="B246" s="445">
        <f>K246&lt;first_year+PERIOD_LENGTH</f>
        <v>0</v>
      </c>
      <c r="C246" s="8264"/>
      <c r="D246" s="8264"/>
      <c r="E246" s="703">
        <v>15</v>
      </c>
      <c r="F246" s="50" cm="1" t="str">
        <f t="array" ref="F246:F246">OFFSET(E246,-1,1)</f>
        <v>2</v>
      </c>
      <c r="G246" s="98" cm="1" t="str">
        <f t="array" ref="G246:G246">G245</f>
        <v>Питьевая вода (Калтанский городской округ)</v>
      </c>
      <c r="H246" s="8264"/>
      <c r="I246" s="8264"/>
      <c r="J246" s="8264"/>
      <c r="K246" s="158">
        <f>first_year+8</f>
        <v>2034</v>
      </c>
      <c r="L246" s="8264"/>
      <c r="M246" s="8264"/>
      <c r="N246" s="8264"/>
      <c r="O246" s="8264"/>
      <c r="P246" s="8264"/>
      <c r="Q246" s="8264"/>
      <c r="R246" s="8264"/>
      <c r="S246" s="8264"/>
      <c r="T246" s="465" cm="1" t="str">
        <f t="array" ref="T246:T246">T245</f>
        <v>true</v>
      </c>
      <c r="U246" s="8264"/>
      <c r="V246" s="8264"/>
      <c r="W246" s="8264"/>
      <c r="X246" s="8264"/>
      <c r="Y246" s="8264"/>
      <c r="Z246" s="8264"/>
      <c r="AA246" s="8264"/>
      <c r="AB246" s="255" t="str">
        <f>K246&amp;" год"</f>
        <v>2034 год</v>
      </c>
      <c r="AC246" s="408"/>
      <c r="AD246" s="8281"/>
      <c r="AE246" s="8280"/>
      <c r="AF246" s="8280"/>
      <c r="AG246" s="8281"/>
      <c r="AH246" s="8280"/>
      <c r="AI246" s="8281"/>
      <c r="AJ246" s="8280"/>
      <c r="AK246" s="8282"/>
      <c r="AL246" s="403"/>
      <c r="AM246" s="8264"/>
      <c r="AN246" s="1064" cm="1" t="str">
        <f t="array" ref="AN246:AN246">K246</f>
        <v>2034</v>
      </c>
      <c r="AO246" s="1064" t="s">
        <v>2977</v>
      </c>
      <c r="AP246" s="1074" cm="1" t="str">
        <f t="array" ref="AP246:AP246">AP245</f>
        <v>Питьевая вода (Калтанский городской округ)</v>
      </c>
      <c r="AQ246" s="703"/>
      <c r="AR246" s="703"/>
    </row>
    <row s="8264" customFormat="1" customHeight="1" ht="14.25" hidden="1">
      <c r="A247" s="8264"/>
      <c r="B247" s="445">
        <f>K247&lt;first_year+PERIOD_LENGTH</f>
        <v>0</v>
      </c>
      <c r="C247" s="8264"/>
      <c r="D247" s="8264"/>
      <c r="E247" s="703">
        <v>15</v>
      </c>
      <c r="F247" s="50" cm="1" t="str">
        <f t="array" ref="F247:F247">OFFSET(E247,-1,1)</f>
        <v>2</v>
      </c>
      <c r="G247" s="98" cm="1" t="str">
        <f t="array" ref="G247:G247">G246</f>
        <v>Питьевая вода (Калтанский городской округ)</v>
      </c>
      <c r="H247" s="8264"/>
      <c r="I247" s="8264"/>
      <c r="J247" s="8264"/>
      <c r="K247" s="158">
        <f>first_year+9</f>
        <v>2035</v>
      </c>
      <c r="L247" s="8264"/>
      <c r="M247" s="8264"/>
      <c r="N247" s="8264"/>
      <c r="O247" s="8264"/>
      <c r="P247" s="8264"/>
      <c r="Q247" s="8264"/>
      <c r="R247" s="8264"/>
      <c r="S247" s="8264"/>
      <c r="T247" s="465" cm="1" t="str">
        <f t="array" ref="T247:T247">T246</f>
        <v>true</v>
      </c>
      <c r="U247" s="8264"/>
      <c r="V247" s="8264"/>
      <c r="W247" s="8264"/>
      <c r="X247" s="8264"/>
      <c r="Y247" s="8264"/>
      <c r="Z247" s="8264"/>
      <c r="AA247" s="8264"/>
      <c r="AB247" s="255" t="str">
        <f>K247&amp;" год"</f>
        <v>2035 год</v>
      </c>
      <c r="AC247" s="408"/>
      <c r="AD247" s="8281"/>
      <c r="AE247" s="8280"/>
      <c r="AF247" s="8280"/>
      <c r="AG247" s="8281"/>
      <c r="AH247" s="8280"/>
      <c r="AI247" s="8281"/>
      <c r="AJ247" s="8280"/>
      <c r="AK247" s="8282"/>
      <c r="AL247" s="403"/>
      <c r="AM247" s="8264"/>
      <c r="AN247" s="1064" cm="1" t="str">
        <f t="array" ref="AN247:AN247">K247</f>
        <v>2035</v>
      </c>
      <c r="AO247" s="1064" t="s">
        <v>2977</v>
      </c>
      <c r="AP247" s="1074" cm="1" t="str">
        <f t="array" ref="AP247:AP247">AP246</f>
        <v>Питьевая вода (Калтанский городской округ)</v>
      </c>
      <c r="AQ247" s="703"/>
      <c r="AR247" s="703"/>
    </row>
    <row s="8264" customFormat="1" customHeight="1" ht="14.25" hidden="1">
      <c r="A248" s="8264"/>
      <c r="B248" s="445">
        <f>K248&lt;first_year+PERIOD_LENGTH</f>
        <v>0</v>
      </c>
      <c r="C248" s="8264"/>
      <c r="D248" s="8264"/>
      <c r="E248" s="703">
        <v>15</v>
      </c>
      <c r="F248" s="50" cm="1" t="str">
        <f t="array" ref="F248:F248">OFFSET(E248,-1,1)</f>
        <v>2</v>
      </c>
      <c r="G248" s="98" cm="1" t="str">
        <f t="array" ref="G248:G248">G247</f>
        <v>Питьевая вода (Калтанский городской округ)</v>
      </c>
      <c r="H248" s="8264"/>
      <c r="I248" s="8264"/>
      <c r="J248" s="8264"/>
      <c r="K248" s="158">
        <f>first_year+10</f>
        <v>2036</v>
      </c>
      <c r="L248" s="8264"/>
      <c r="M248" s="8264"/>
      <c r="N248" s="8264"/>
      <c r="O248" s="8264"/>
      <c r="P248" s="8264"/>
      <c r="Q248" s="8264"/>
      <c r="R248" s="8264"/>
      <c r="S248" s="8264"/>
      <c r="T248" s="465" cm="1" t="str">
        <f t="array" ref="T248:T248">T247</f>
        <v>true</v>
      </c>
      <c r="U248" s="8264"/>
      <c r="V248" s="8264"/>
      <c r="W248" s="8264"/>
      <c r="X248" s="8264"/>
      <c r="Y248" s="8264"/>
      <c r="Z248" s="8264"/>
      <c r="AA248" s="8264"/>
      <c r="AB248" s="255" t="str">
        <f>K248&amp;" год"</f>
        <v>2036 год</v>
      </c>
      <c r="AC248" s="408"/>
      <c r="AD248" s="8281"/>
      <c r="AE248" s="8280"/>
      <c r="AF248" s="8280"/>
      <c r="AG248" s="8281"/>
      <c r="AH248" s="8280"/>
      <c r="AI248" s="8281"/>
      <c r="AJ248" s="8280"/>
      <c r="AK248" s="8282"/>
      <c r="AL248" s="403"/>
      <c r="AM248" s="8264"/>
      <c r="AN248" s="1064" cm="1" t="str">
        <f t="array" ref="AN248:AN248">K248</f>
        <v>2036</v>
      </c>
      <c r="AO248" s="1064" t="s">
        <v>2977</v>
      </c>
      <c r="AP248" s="1074" cm="1" t="str">
        <f t="array" ref="AP248:AP248">AP247</f>
        <v>Питьевая вода (Калтанский городской округ)</v>
      </c>
      <c r="AQ248" s="703"/>
      <c r="AR248" s="703"/>
    </row>
    <row s="8264" customFormat="1" customHeight="1" ht="14.25" hidden="1">
      <c r="A249" s="8264"/>
      <c r="B249" s="445">
        <f>K249&lt;first_year+PERIOD_LENGTH</f>
        <v>0</v>
      </c>
      <c r="C249" s="8264"/>
      <c r="D249" s="8264"/>
      <c r="E249" s="703">
        <v>15</v>
      </c>
      <c r="F249" s="50" cm="1" t="str">
        <f t="array" ref="F249:F249">OFFSET(E249,-1,1)</f>
        <v>2</v>
      </c>
      <c r="G249" s="98" cm="1" t="str">
        <f t="array" ref="G249:G249">G248</f>
        <v>Питьевая вода (Калтанский городской округ)</v>
      </c>
      <c r="H249" s="8264"/>
      <c r="I249" s="8264"/>
      <c r="J249" s="8264"/>
      <c r="K249" s="158">
        <f>first_year+11</f>
        <v>2037</v>
      </c>
      <c r="L249" s="8264"/>
      <c r="M249" s="8264"/>
      <c r="N249" s="8264"/>
      <c r="O249" s="8264"/>
      <c r="P249" s="8264"/>
      <c r="Q249" s="8264"/>
      <c r="R249" s="8264"/>
      <c r="S249" s="8264"/>
      <c r="T249" s="465" cm="1" t="str">
        <f t="array" ref="T249:T249">T248</f>
        <v>true</v>
      </c>
      <c r="U249" s="8264"/>
      <c r="V249" s="8264"/>
      <c r="W249" s="8264"/>
      <c r="X249" s="8264"/>
      <c r="Y249" s="8264"/>
      <c r="Z249" s="8264"/>
      <c r="AA249" s="8264"/>
      <c r="AB249" s="255" t="str">
        <f>K249&amp;" год"</f>
        <v>2037 год</v>
      </c>
      <c r="AC249" s="408"/>
      <c r="AD249" s="8281"/>
      <c r="AE249" s="8280"/>
      <c r="AF249" s="8280"/>
      <c r="AG249" s="8281"/>
      <c r="AH249" s="8280"/>
      <c r="AI249" s="8281"/>
      <c r="AJ249" s="8280"/>
      <c r="AK249" s="8282"/>
      <c r="AL249" s="403"/>
      <c r="AM249" s="8264"/>
      <c r="AN249" s="1064" cm="1" t="str">
        <f t="array" ref="AN249:AN249">K249</f>
        <v>2037</v>
      </c>
      <c r="AO249" s="1064" t="s">
        <v>2977</v>
      </c>
      <c r="AP249" s="1074" cm="1" t="str">
        <f t="array" ref="AP249:AP249">AP248</f>
        <v>Питьевая вода (Калтанский городской округ)</v>
      </c>
      <c r="AQ249" s="703"/>
      <c r="AR249" s="703"/>
    </row>
    <row s="8264" customFormat="1" customHeight="1" ht="14.25" hidden="1">
      <c r="A250" s="8264"/>
      <c r="B250" s="445">
        <f>K250&lt;first_year+PERIOD_LENGTH</f>
        <v>0</v>
      </c>
      <c r="C250" s="8264"/>
      <c r="D250" s="8264"/>
      <c r="E250" s="703">
        <v>15</v>
      </c>
      <c r="F250" s="50" cm="1" t="str">
        <f t="array" ref="F250:F250">OFFSET(E250,-1,1)</f>
        <v>2</v>
      </c>
      <c r="G250" s="98" cm="1" t="str">
        <f t="array" ref="G250:G250">G249</f>
        <v>Питьевая вода (Калтанский городской округ)</v>
      </c>
      <c r="H250" s="8264"/>
      <c r="I250" s="8264"/>
      <c r="J250" s="8264"/>
      <c r="K250" s="158">
        <f>first_year+12</f>
        <v>2038</v>
      </c>
      <c r="L250" s="8264"/>
      <c r="M250" s="8264"/>
      <c r="N250" s="8264"/>
      <c r="O250" s="8264"/>
      <c r="P250" s="8264"/>
      <c r="Q250" s="8264"/>
      <c r="R250" s="8264"/>
      <c r="S250" s="8264"/>
      <c r="T250" s="465" cm="1" t="str">
        <f t="array" ref="T250:T250">T249</f>
        <v>true</v>
      </c>
      <c r="U250" s="8264"/>
      <c r="V250" s="8264"/>
      <c r="W250" s="8264"/>
      <c r="X250" s="8264"/>
      <c r="Y250" s="8264"/>
      <c r="Z250" s="8264"/>
      <c r="AA250" s="8264"/>
      <c r="AB250" s="255" t="str">
        <f>K250&amp;" год"</f>
        <v>2038 год</v>
      </c>
      <c r="AC250" s="408"/>
      <c r="AD250" s="8281"/>
      <c r="AE250" s="8280"/>
      <c r="AF250" s="8280"/>
      <c r="AG250" s="8281"/>
      <c r="AH250" s="8280"/>
      <c r="AI250" s="8281"/>
      <c r="AJ250" s="8280"/>
      <c r="AK250" s="8282"/>
      <c r="AL250" s="403"/>
      <c r="AM250" s="8264"/>
      <c r="AN250" s="1064" cm="1" t="str">
        <f t="array" ref="AN250:AN250">K250</f>
        <v>2038</v>
      </c>
      <c r="AO250" s="1064" t="s">
        <v>2977</v>
      </c>
      <c r="AP250" s="1074" cm="1" t="str">
        <f t="array" ref="AP250:AP250">AP249</f>
        <v>Питьевая вода (Калтанский городской округ)</v>
      </c>
      <c r="AQ250" s="703"/>
      <c r="AR250" s="703"/>
    </row>
    <row s="8264" customFormat="1" customHeight="1" ht="14.25" hidden="1">
      <c r="A251" s="8264"/>
      <c r="B251" s="445">
        <f>K251&lt;first_year+PERIOD_LENGTH</f>
        <v>0</v>
      </c>
      <c r="C251" s="8264"/>
      <c r="D251" s="8264"/>
      <c r="E251" s="703">
        <v>15</v>
      </c>
      <c r="F251" s="50" cm="1" t="str">
        <f t="array" ref="F251:F251">OFFSET(E251,-1,1)</f>
        <v>2</v>
      </c>
      <c r="G251" s="98" cm="1" t="str">
        <f t="array" ref="G251:G251">G250</f>
        <v>Питьевая вода (Калтанский городской округ)</v>
      </c>
      <c r="H251" s="8264"/>
      <c r="I251" s="8264"/>
      <c r="J251" s="8264"/>
      <c r="K251" s="158">
        <f>first_year+13</f>
        <v>2039</v>
      </c>
      <c r="L251" s="8264"/>
      <c r="M251" s="8264"/>
      <c r="N251" s="8264"/>
      <c r="O251" s="8264"/>
      <c r="P251" s="8264"/>
      <c r="Q251" s="8264"/>
      <c r="R251" s="8264"/>
      <c r="S251" s="8264"/>
      <c r="T251" s="465" cm="1" t="str">
        <f t="array" ref="T251:T251">T250</f>
        <v>true</v>
      </c>
      <c r="U251" s="8264"/>
      <c r="V251" s="8264"/>
      <c r="W251" s="8264"/>
      <c r="X251" s="8264"/>
      <c r="Y251" s="8264"/>
      <c r="Z251" s="8264"/>
      <c r="AA251" s="8264"/>
      <c r="AB251" s="255" t="str">
        <f>K251&amp;" год"</f>
        <v>2039 год</v>
      </c>
      <c r="AC251" s="408"/>
      <c r="AD251" s="8281"/>
      <c r="AE251" s="8280"/>
      <c r="AF251" s="8280"/>
      <c r="AG251" s="8281"/>
      <c r="AH251" s="8280"/>
      <c r="AI251" s="8281"/>
      <c r="AJ251" s="8280"/>
      <c r="AK251" s="8282"/>
      <c r="AL251" s="403"/>
      <c r="AM251" s="8264"/>
      <c r="AN251" s="1064" cm="1" t="str">
        <f t="array" ref="AN251:AN251">K251</f>
        <v>2039</v>
      </c>
      <c r="AO251" s="1064" t="s">
        <v>2977</v>
      </c>
      <c r="AP251" s="1074" cm="1" t="str">
        <f t="array" ref="AP251:AP251">AP250</f>
        <v>Питьевая вода (Калтанский городской округ)</v>
      </c>
      <c r="AQ251" s="703"/>
      <c r="AR251" s="703"/>
    </row>
    <row s="8264" customFormat="1" customHeight="1" ht="14.25" hidden="1">
      <c r="A252" s="8264"/>
      <c r="B252" s="445">
        <f>K252&lt;first_year+PERIOD_LENGTH</f>
        <v>0</v>
      </c>
      <c r="C252" s="8264"/>
      <c r="D252" s="8264"/>
      <c r="E252" s="703">
        <v>15</v>
      </c>
      <c r="F252" s="50" cm="1" t="str">
        <f t="array" ref="F252:F252">OFFSET(E252,-1,1)</f>
        <v>2</v>
      </c>
      <c r="G252" s="98" cm="1" t="str">
        <f t="array" ref="G252:G252">G251</f>
        <v>Питьевая вода (Калтанский городской округ)</v>
      </c>
      <c r="H252" s="8264"/>
      <c r="I252" s="8264"/>
      <c r="J252" s="8264"/>
      <c r="K252" s="158">
        <f>first_year+14</f>
        <v>2040</v>
      </c>
      <c r="L252" s="8264"/>
      <c r="M252" s="8264"/>
      <c r="N252" s="8264"/>
      <c r="O252" s="8264"/>
      <c r="P252" s="8264"/>
      <c r="Q252" s="8264"/>
      <c r="R252" s="8264"/>
      <c r="S252" s="8264"/>
      <c r="T252" s="465" cm="1" t="str">
        <f t="array" ref="T252:T252">T251</f>
        <v>true</v>
      </c>
      <c r="U252" s="8264"/>
      <c r="V252" s="8264"/>
      <c r="W252" s="8264"/>
      <c r="X252" s="8264"/>
      <c r="Y252" s="8264"/>
      <c r="Z252" s="8264"/>
      <c r="AA252" s="8264"/>
      <c r="AB252" s="255" t="str">
        <f>K252&amp;" год"</f>
        <v>2040 год</v>
      </c>
      <c r="AC252" s="408"/>
      <c r="AD252" s="8281"/>
      <c r="AE252" s="8280"/>
      <c r="AF252" s="8280"/>
      <c r="AG252" s="8281"/>
      <c r="AH252" s="8280"/>
      <c r="AI252" s="8281"/>
      <c r="AJ252" s="8280"/>
      <c r="AK252" s="8282"/>
      <c r="AL252" s="403"/>
      <c r="AM252" s="8264"/>
      <c r="AN252" s="1064" cm="1" t="str">
        <f t="array" ref="AN252:AN252">K252</f>
        <v>2040</v>
      </c>
      <c r="AO252" s="1064" t="s">
        <v>2977</v>
      </c>
      <c r="AP252" s="1074" cm="1" t="str">
        <f t="array" ref="AP252:AP252">AP251</f>
        <v>Питьевая вода (Калтанский городской округ)</v>
      </c>
      <c r="AQ252" s="703"/>
      <c r="AR252" s="703"/>
    </row>
    <row s="8264" customFormat="1" customHeight="1" ht="14.25" hidden="1">
      <c r="A253" s="8264"/>
      <c r="B253" s="445">
        <f>K253&lt;first_year+PERIOD_LENGTH</f>
        <v>0</v>
      </c>
      <c r="C253" s="8264"/>
      <c r="D253" s="8264"/>
      <c r="E253" s="703">
        <v>15</v>
      </c>
      <c r="F253" s="50" cm="1" t="str">
        <f t="array" ref="F253:F253">OFFSET(E253,-1,1)</f>
        <v>2</v>
      </c>
      <c r="G253" s="98" cm="1" t="str">
        <f t="array" ref="G253:G253">G252</f>
        <v>Питьевая вода (Калтанский городской округ)</v>
      </c>
      <c r="H253" s="8264"/>
      <c r="I253" s="8264"/>
      <c r="J253" s="8264"/>
      <c r="K253" s="158">
        <f>first_year+15</f>
        <v>2041</v>
      </c>
      <c r="L253" s="8264"/>
      <c r="M253" s="8264"/>
      <c r="N253" s="8264"/>
      <c r="O253" s="8264"/>
      <c r="P253" s="8264"/>
      <c r="Q253" s="8264"/>
      <c r="R253" s="8264"/>
      <c r="S253" s="8264"/>
      <c r="T253" s="465" cm="1" t="str">
        <f t="array" ref="T253:T253">T252</f>
        <v>true</v>
      </c>
      <c r="U253" s="8264"/>
      <c r="V253" s="8264"/>
      <c r="W253" s="8264"/>
      <c r="X253" s="8264"/>
      <c r="Y253" s="8264"/>
      <c r="Z253" s="8264"/>
      <c r="AA253" s="8264"/>
      <c r="AB253" s="255" t="str">
        <f>K253&amp;" год"</f>
        <v>2041 год</v>
      </c>
      <c r="AC253" s="408"/>
      <c r="AD253" s="8281"/>
      <c r="AE253" s="8280"/>
      <c r="AF253" s="8280"/>
      <c r="AG253" s="8281"/>
      <c r="AH253" s="8280"/>
      <c r="AI253" s="8281"/>
      <c r="AJ253" s="8280"/>
      <c r="AK253" s="8282"/>
      <c r="AL253" s="403"/>
      <c r="AM253" s="8264"/>
      <c r="AN253" s="1064" cm="1" t="str">
        <f t="array" ref="AN253:AN253">K253</f>
        <v>2041</v>
      </c>
      <c r="AO253" s="1064" t="s">
        <v>2977</v>
      </c>
      <c r="AP253" s="1074" cm="1" t="str">
        <f t="array" ref="AP253:AP253">AP252</f>
        <v>Питьевая вода (Калтанский городской округ)</v>
      </c>
      <c r="AQ253" s="703"/>
      <c r="AR253" s="703"/>
    </row>
    <row s="8264" customFormat="1" customHeight="1" ht="14.25" hidden="1">
      <c r="A254" s="8264"/>
      <c r="B254" s="445">
        <f>K254&lt;first_year+PERIOD_LENGTH</f>
        <v>0</v>
      </c>
      <c r="C254" s="8264"/>
      <c r="D254" s="8264"/>
      <c r="E254" s="703">
        <v>15</v>
      </c>
      <c r="F254" s="50" cm="1" t="str">
        <f t="array" ref="F254:F254">OFFSET(E254,-1,1)</f>
        <v>2</v>
      </c>
      <c r="G254" s="98" cm="1" t="str">
        <f t="array" ref="G254:G254">G253</f>
        <v>Питьевая вода (Калтанский городской округ)</v>
      </c>
      <c r="H254" s="8264"/>
      <c r="I254" s="8264"/>
      <c r="J254" s="8264"/>
      <c r="K254" s="158">
        <f>first_year+16</f>
        <v>2042</v>
      </c>
      <c r="L254" s="8264"/>
      <c r="M254" s="8264"/>
      <c r="N254" s="8264"/>
      <c r="O254" s="8264"/>
      <c r="P254" s="8264"/>
      <c r="Q254" s="8264"/>
      <c r="R254" s="8264"/>
      <c r="S254" s="8264"/>
      <c r="T254" s="465" cm="1" t="str">
        <f t="array" ref="T254:T254">T253</f>
        <v>true</v>
      </c>
      <c r="U254" s="8264"/>
      <c r="V254" s="8264"/>
      <c r="W254" s="8264"/>
      <c r="X254" s="8264"/>
      <c r="Y254" s="8264"/>
      <c r="Z254" s="8264"/>
      <c r="AA254" s="8264"/>
      <c r="AB254" s="255" t="str">
        <f>K254&amp;" год"</f>
        <v>2042 год</v>
      </c>
      <c r="AC254" s="408"/>
      <c r="AD254" s="8281"/>
      <c r="AE254" s="8280"/>
      <c r="AF254" s="8280"/>
      <c r="AG254" s="8281"/>
      <c r="AH254" s="8280"/>
      <c r="AI254" s="8281"/>
      <c r="AJ254" s="8280"/>
      <c r="AK254" s="8282"/>
      <c r="AL254" s="403"/>
      <c r="AM254" s="8264"/>
      <c r="AN254" s="1064" cm="1" t="str">
        <f t="array" ref="AN254:AN254">K254</f>
        <v>2042</v>
      </c>
      <c r="AO254" s="1064" t="s">
        <v>2977</v>
      </c>
      <c r="AP254" s="1074" cm="1" t="str">
        <f t="array" ref="AP254:AP254">AP253</f>
        <v>Питьевая вода (Калтанский городской округ)</v>
      </c>
      <c r="AQ254" s="703"/>
      <c r="AR254" s="703"/>
    </row>
    <row s="8264" customFormat="1" customHeight="1" ht="14.25" hidden="1">
      <c r="A255" s="8264"/>
      <c r="B255" s="445">
        <f>K255&lt;first_year+PERIOD_LENGTH</f>
        <v>0</v>
      </c>
      <c r="C255" s="8264"/>
      <c r="D255" s="8264"/>
      <c r="E255" s="703">
        <v>15</v>
      </c>
      <c r="F255" s="50" cm="1" t="str">
        <f t="array" ref="F255:F255">OFFSET(E255,-1,1)</f>
        <v>2</v>
      </c>
      <c r="G255" s="98" cm="1" t="str">
        <f t="array" ref="G255:G255">G254</f>
        <v>Питьевая вода (Калтанский городской округ)</v>
      </c>
      <c r="H255" s="8264"/>
      <c r="I255" s="8264"/>
      <c r="J255" s="8264"/>
      <c r="K255" s="158">
        <f>first_year+17</f>
        <v>2043</v>
      </c>
      <c r="L255" s="8264"/>
      <c r="M255" s="8264"/>
      <c r="N255" s="8264"/>
      <c r="O255" s="8264"/>
      <c r="P255" s="8264"/>
      <c r="Q255" s="8264"/>
      <c r="R255" s="8264"/>
      <c r="S255" s="8264"/>
      <c r="T255" s="465" cm="1" t="str">
        <f t="array" ref="T255:T255">T254</f>
        <v>true</v>
      </c>
      <c r="U255" s="8264"/>
      <c r="V255" s="8264"/>
      <c r="W255" s="8264"/>
      <c r="X255" s="8264"/>
      <c r="Y255" s="8264"/>
      <c r="Z255" s="8264"/>
      <c r="AA255" s="8264"/>
      <c r="AB255" s="255" t="str">
        <f>K255&amp;" год"</f>
        <v>2043 год</v>
      </c>
      <c r="AC255" s="408"/>
      <c r="AD255" s="8281"/>
      <c r="AE255" s="8280"/>
      <c r="AF255" s="8280"/>
      <c r="AG255" s="8281"/>
      <c r="AH255" s="8280"/>
      <c r="AI255" s="8281"/>
      <c r="AJ255" s="8280"/>
      <c r="AK255" s="8282"/>
      <c r="AL255" s="403"/>
      <c r="AM255" s="8264"/>
      <c r="AN255" s="1064" cm="1" t="str">
        <f t="array" ref="AN255:AN255">K255</f>
        <v>2043</v>
      </c>
      <c r="AO255" s="1064" t="s">
        <v>2977</v>
      </c>
      <c r="AP255" s="1074" cm="1" t="str">
        <f t="array" ref="AP255:AP255">AP254</f>
        <v>Питьевая вода (Калтанский городской округ)</v>
      </c>
      <c r="AQ255" s="703"/>
      <c r="AR255" s="703"/>
    </row>
    <row s="8264" customFormat="1" customHeight="1" ht="14.25" hidden="1">
      <c r="A256" s="8264"/>
      <c r="B256" s="445">
        <f>K256&lt;first_year+PERIOD_LENGTH</f>
        <v>0</v>
      </c>
      <c r="C256" s="8264"/>
      <c r="D256" s="8264"/>
      <c r="E256" s="703">
        <v>15</v>
      </c>
      <c r="F256" s="50" cm="1" t="str">
        <f t="array" ref="F256:F256">OFFSET(E256,-1,1)</f>
        <v>2</v>
      </c>
      <c r="G256" s="98" cm="1" t="str">
        <f t="array" ref="G256:G256">G255</f>
        <v>Питьевая вода (Калтанский городской округ)</v>
      </c>
      <c r="H256" s="8264"/>
      <c r="I256" s="8264"/>
      <c r="J256" s="8264"/>
      <c r="K256" s="158">
        <f>first_year+18</f>
        <v>2044</v>
      </c>
      <c r="L256" s="8264"/>
      <c r="M256" s="8264"/>
      <c r="N256" s="8264"/>
      <c r="O256" s="8264"/>
      <c r="P256" s="8264"/>
      <c r="Q256" s="8264"/>
      <c r="R256" s="8264"/>
      <c r="S256" s="8264"/>
      <c r="T256" s="465" cm="1" t="str">
        <f t="array" ref="T256:T256">T255</f>
        <v>true</v>
      </c>
      <c r="U256" s="8264"/>
      <c r="V256" s="8264"/>
      <c r="W256" s="8264"/>
      <c r="X256" s="8264"/>
      <c r="Y256" s="8264"/>
      <c r="Z256" s="8264"/>
      <c r="AA256" s="8264"/>
      <c r="AB256" s="255" t="str">
        <f>K256&amp;" год"</f>
        <v>2044 год</v>
      </c>
      <c r="AC256" s="408"/>
      <c r="AD256" s="8281"/>
      <c r="AE256" s="8280"/>
      <c r="AF256" s="8280"/>
      <c r="AG256" s="8281"/>
      <c r="AH256" s="8280"/>
      <c r="AI256" s="8281"/>
      <c r="AJ256" s="8280"/>
      <c r="AK256" s="8282"/>
      <c r="AL256" s="403"/>
      <c r="AM256" s="8264"/>
      <c r="AN256" s="1064" cm="1" t="str">
        <f t="array" ref="AN256:AN256">K256</f>
        <v>2044</v>
      </c>
      <c r="AO256" s="1064" t="s">
        <v>2977</v>
      </c>
      <c r="AP256" s="1074" cm="1" t="str">
        <f t="array" ref="AP256:AP256">AP255</f>
        <v>Питьевая вода (Калтанский городской округ)</v>
      </c>
      <c r="AQ256" s="703"/>
      <c r="AR256" s="703"/>
    </row>
    <row s="8264" customFormat="1" customHeight="1" ht="14.25" hidden="1">
      <c r="A257" s="8264"/>
      <c r="B257" s="445">
        <f>K257&lt;first_year+PERIOD_LENGTH</f>
        <v>0</v>
      </c>
      <c r="C257" s="8264"/>
      <c r="D257" s="8264"/>
      <c r="E257" s="703">
        <v>15</v>
      </c>
      <c r="F257" s="50" cm="1" t="str">
        <f t="array" ref="F257:F257">OFFSET(E257,-1,1)</f>
        <v>2</v>
      </c>
      <c r="G257" s="98" cm="1" t="str">
        <f t="array" ref="G257:G257">G256</f>
        <v>Питьевая вода (Калтанский городской округ)</v>
      </c>
      <c r="H257" s="8264"/>
      <c r="I257" s="8264"/>
      <c r="J257" s="8264"/>
      <c r="K257" s="158">
        <f>first_year+19</f>
        <v>2045</v>
      </c>
      <c r="L257" s="8264"/>
      <c r="M257" s="8264"/>
      <c r="N257" s="8264"/>
      <c r="O257" s="8264"/>
      <c r="P257" s="8264"/>
      <c r="Q257" s="8264"/>
      <c r="R257" s="8264"/>
      <c r="S257" s="8264"/>
      <c r="T257" s="465" cm="1" t="str">
        <f t="array" ref="T257:T257">T256</f>
        <v>true</v>
      </c>
      <c r="U257" s="8264"/>
      <c r="V257" s="8264"/>
      <c r="W257" s="8264"/>
      <c r="X257" s="8264"/>
      <c r="Y257" s="8264"/>
      <c r="Z257" s="8264"/>
      <c r="AA257" s="8264"/>
      <c r="AB257" s="255" t="str">
        <f>K257&amp;" год"</f>
        <v>2045 год</v>
      </c>
      <c r="AC257" s="408"/>
      <c r="AD257" s="8281"/>
      <c r="AE257" s="8280"/>
      <c r="AF257" s="8280"/>
      <c r="AG257" s="8281"/>
      <c r="AH257" s="8280"/>
      <c r="AI257" s="8281"/>
      <c r="AJ257" s="8280"/>
      <c r="AK257" s="8282"/>
      <c r="AL257" s="403"/>
      <c r="AM257" s="8264"/>
      <c r="AN257" s="1064" cm="1" t="str">
        <f t="array" ref="AN257:AN257">K257</f>
        <v>2045</v>
      </c>
      <c r="AO257" s="1064" t="s">
        <v>2977</v>
      </c>
      <c r="AP257" s="1074" cm="1" t="str">
        <f t="array" ref="AP257:AP257">AP256</f>
        <v>Питьевая вода (Калтанский городской округ)</v>
      </c>
      <c r="AQ257" s="703"/>
      <c r="AR257" s="703"/>
    </row>
    <row s="8264" customFormat="1" customHeight="1" ht="14.25" hidden="1">
      <c r="A258" s="8264"/>
      <c r="B258" s="445">
        <f>K258&lt;first_year+PERIOD_LENGTH</f>
        <v>0</v>
      </c>
      <c r="C258" s="8264"/>
      <c r="D258" s="8264"/>
      <c r="E258" s="703">
        <v>15</v>
      </c>
      <c r="F258" s="50" cm="1" t="str">
        <f t="array" ref="F258:F258">OFFSET(E258,-1,1)</f>
        <v>2</v>
      </c>
      <c r="G258" s="98" cm="1" t="str">
        <f t="array" ref="G258:G258">G257</f>
        <v>Питьевая вода (Калтанский городской округ)</v>
      </c>
      <c r="H258" s="8264"/>
      <c r="I258" s="8264"/>
      <c r="J258" s="8264"/>
      <c r="K258" s="158">
        <f>first_year+20</f>
        <v>2046</v>
      </c>
      <c r="L258" s="8264"/>
      <c r="M258" s="8264"/>
      <c r="N258" s="8264"/>
      <c r="O258" s="8264"/>
      <c r="P258" s="8264"/>
      <c r="Q258" s="8264"/>
      <c r="R258" s="8264"/>
      <c r="S258" s="8264"/>
      <c r="T258" s="465" cm="1" t="str">
        <f t="array" ref="T258:T258">T257</f>
        <v>true</v>
      </c>
      <c r="U258" s="8264"/>
      <c r="V258" s="8264"/>
      <c r="W258" s="8264"/>
      <c r="X258" s="8264"/>
      <c r="Y258" s="8264"/>
      <c r="Z258" s="8264"/>
      <c r="AA258" s="8264"/>
      <c r="AB258" s="255" t="str">
        <f>K258&amp;" год"</f>
        <v>2046 год</v>
      </c>
      <c r="AC258" s="408"/>
      <c r="AD258" s="8281"/>
      <c r="AE258" s="8280"/>
      <c r="AF258" s="8280"/>
      <c r="AG258" s="8281"/>
      <c r="AH258" s="8280"/>
      <c r="AI258" s="8281"/>
      <c r="AJ258" s="8280"/>
      <c r="AK258" s="8282"/>
      <c r="AL258" s="403"/>
      <c r="AM258" s="8264"/>
      <c r="AN258" s="1064" cm="1" t="str">
        <f t="array" ref="AN258:AN258">K258</f>
        <v>2046</v>
      </c>
      <c r="AO258" s="1064" t="s">
        <v>2977</v>
      </c>
      <c r="AP258" s="1074" cm="1" t="str">
        <f t="array" ref="AP258:AP258">AP257</f>
        <v>Питьевая вода (Калтанский городской округ)</v>
      </c>
      <c r="AQ258" s="703"/>
      <c r="AR258" s="703"/>
    </row>
    <row s="8264" customFormat="1" customHeight="1" ht="14.25" hidden="1">
      <c r="A259" s="8264"/>
      <c r="B259" s="445">
        <f>K259&lt;first_year+PERIOD_LENGTH</f>
        <v>0</v>
      </c>
      <c r="C259" s="8264"/>
      <c r="D259" s="8264"/>
      <c r="E259" s="703">
        <v>15</v>
      </c>
      <c r="F259" s="50" cm="1" t="str">
        <f t="array" ref="F259:F259">OFFSET(E259,-1,1)</f>
        <v>2</v>
      </c>
      <c r="G259" s="98" cm="1" t="str">
        <f t="array" ref="G259:G259">G258</f>
        <v>Питьевая вода (Калтанский городской округ)</v>
      </c>
      <c r="H259" s="8264"/>
      <c r="I259" s="8264"/>
      <c r="J259" s="8264"/>
      <c r="K259" s="158">
        <f>first_year+21</f>
        <v>2047</v>
      </c>
      <c r="L259" s="8264"/>
      <c r="M259" s="8264"/>
      <c r="N259" s="8264"/>
      <c r="O259" s="8264"/>
      <c r="P259" s="8264"/>
      <c r="Q259" s="8264"/>
      <c r="R259" s="8264"/>
      <c r="S259" s="8264"/>
      <c r="T259" s="465" cm="1" t="str">
        <f t="array" ref="T259:T259">T258</f>
        <v>true</v>
      </c>
      <c r="U259" s="8264"/>
      <c r="V259" s="8264"/>
      <c r="W259" s="8264"/>
      <c r="X259" s="8264"/>
      <c r="Y259" s="8264"/>
      <c r="Z259" s="8264"/>
      <c r="AA259" s="8264"/>
      <c r="AB259" s="255" t="str">
        <f>K259&amp;" год"</f>
        <v>2047 год</v>
      </c>
      <c r="AC259" s="408"/>
      <c r="AD259" s="8281"/>
      <c r="AE259" s="8280"/>
      <c r="AF259" s="8280"/>
      <c r="AG259" s="8281"/>
      <c r="AH259" s="8280"/>
      <c r="AI259" s="8281"/>
      <c r="AJ259" s="8280"/>
      <c r="AK259" s="8282"/>
      <c r="AL259" s="403"/>
      <c r="AM259" s="8264"/>
      <c r="AN259" s="1064" cm="1" t="str">
        <f t="array" ref="AN259:AN259">K259</f>
        <v>2047</v>
      </c>
      <c r="AO259" s="1064" t="s">
        <v>2977</v>
      </c>
      <c r="AP259" s="1074" cm="1" t="str">
        <f t="array" ref="AP259:AP259">AP258</f>
        <v>Питьевая вода (Калтанский городской округ)</v>
      </c>
      <c r="AQ259" s="703"/>
      <c r="AR259" s="703"/>
    </row>
    <row s="8264" customFormat="1" customHeight="1" ht="14.25" hidden="1">
      <c r="A260" s="8264"/>
      <c r="B260" s="445">
        <f>K260&lt;first_year+PERIOD_LENGTH</f>
        <v>0</v>
      </c>
      <c r="C260" s="8264"/>
      <c r="D260" s="8264"/>
      <c r="E260" s="703">
        <v>15</v>
      </c>
      <c r="F260" s="50" cm="1" t="str">
        <f t="array" ref="F260:F260">OFFSET(E260,-1,1)</f>
        <v>2</v>
      </c>
      <c r="G260" s="98" cm="1" t="str">
        <f t="array" ref="G260:G260">G259</f>
        <v>Питьевая вода (Калтанский городской округ)</v>
      </c>
      <c r="H260" s="8264"/>
      <c r="I260" s="8264"/>
      <c r="J260" s="8264"/>
      <c r="K260" s="158">
        <f>first_year+22</f>
        <v>2048</v>
      </c>
      <c r="L260" s="8264"/>
      <c r="M260" s="8264"/>
      <c r="N260" s="8264"/>
      <c r="O260" s="8264"/>
      <c r="P260" s="8264"/>
      <c r="Q260" s="8264"/>
      <c r="R260" s="8264"/>
      <c r="S260" s="8264"/>
      <c r="T260" s="465" cm="1" t="str">
        <f t="array" ref="T260:T260">T259</f>
        <v>true</v>
      </c>
      <c r="U260" s="8264"/>
      <c r="V260" s="8264"/>
      <c r="W260" s="8264"/>
      <c r="X260" s="8264"/>
      <c r="Y260" s="8264"/>
      <c r="Z260" s="8264"/>
      <c r="AA260" s="8264"/>
      <c r="AB260" s="255" t="str">
        <f>K260&amp;" год"</f>
        <v>2048 год</v>
      </c>
      <c r="AC260" s="408"/>
      <c r="AD260" s="8281"/>
      <c r="AE260" s="8280"/>
      <c r="AF260" s="8280"/>
      <c r="AG260" s="8281"/>
      <c r="AH260" s="8280"/>
      <c r="AI260" s="8281"/>
      <c r="AJ260" s="8280"/>
      <c r="AK260" s="8282"/>
      <c r="AL260" s="403"/>
      <c r="AM260" s="8264"/>
      <c r="AN260" s="1064" cm="1" t="str">
        <f t="array" ref="AN260:AN260">K260</f>
        <v>2048</v>
      </c>
      <c r="AO260" s="1064" t="s">
        <v>2977</v>
      </c>
      <c r="AP260" s="1074" cm="1" t="str">
        <f t="array" ref="AP260:AP260">AP259</f>
        <v>Питьевая вода (Калтанский городской округ)</v>
      </c>
      <c r="AQ260" s="703"/>
      <c r="AR260" s="703"/>
    </row>
    <row s="8264" customFormat="1" customHeight="1" ht="14.25" hidden="1">
      <c r="A261" s="8264"/>
      <c r="B261" s="445">
        <f>K261&lt;first_year+PERIOD_LENGTH</f>
        <v>0</v>
      </c>
      <c r="C261" s="8264"/>
      <c r="D261" s="8264"/>
      <c r="E261" s="703">
        <v>15</v>
      </c>
      <c r="F261" s="50" cm="1" t="str">
        <f t="array" ref="F261:F261">OFFSET(E261,-1,1)</f>
        <v>2</v>
      </c>
      <c r="G261" s="98" cm="1" t="str">
        <f t="array" ref="G261:G261">G260</f>
        <v>Питьевая вода (Калтанский городской округ)</v>
      </c>
      <c r="H261" s="8264"/>
      <c r="I261" s="8264"/>
      <c r="J261" s="8264"/>
      <c r="K261" s="158">
        <f>first_year+23</f>
        <v>2049</v>
      </c>
      <c r="L261" s="8264"/>
      <c r="M261" s="8264"/>
      <c r="N261" s="8264"/>
      <c r="O261" s="8264"/>
      <c r="P261" s="8264"/>
      <c r="Q261" s="8264"/>
      <c r="R261" s="8264"/>
      <c r="S261" s="8264"/>
      <c r="T261" s="465" cm="1" t="str">
        <f t="array" ref="T261:T261">T260</f>
        <v>true</v>
      </c>
      <c r="U261" s="8264"/>
      <c r="V261" s="8264"/>
      <c r="W261" s="8264"/>
      <c r="X261" s="8264"/>
      <c r="Y261" s="8264"/>
      <c r="Z261" s="8264"/>
      <c r="AA261" s="8264"/>
      <c r="AB261" s="255" t="str">
        <f>K261&amp;" год"</f>
        <v>2049 год</v>
      </c>
      <c r="AC261" s="408"/>
      <c r="AD261" s="8281"/>
      <c r="AE261" s="8280"/>
      <c r="AF261" s="8280"/>
      <c r="AG261" s="8281"/>
      <c r="AH261" s="8280"/>
      <c r="AI261" s="8281"/>
      <c r="AJ261" s="8280"/>
      <c r="AK261" s="8282"/>
      <c r="AL261" s="403"/>
      <c r="AM261" s="8264"/>
      <c r="AN261" s="1064" cm="1" t="str">
        <f t="array" ref="AN261:AN261">K261</f>
        <v>2049</v>
      </c>
      <c r="AO261" s="1064" t="s">
        <v>2977</v>
      </c>
      <c r="AP261" s="1074" cm="1" t="str">
        <f t="array" ref="AP261:AP261">AP260</f>
        <v>Питьевая вода (Калтанский городской округ)</v>
      </c>
      <c r="AQ261" s="703"/>
      <c r="AR261" s="703"/>
    </row>
    <row s="8264" customFormat="1" customHeight="1" ht="14.25" hidden="1">
      <c r="A262" s="8264"/>
      <c r="B262" s="445">
        <f>K262&lt;first_year+PERIOD_LENGTH</f>
        <v>0</v>
      </c>
      <c r="C262" s="8264"/>
      <c r="D262" s="8264"/>
      <c r="E262" s="703">
        <v>15</v>
      </c>
      <c r="F262" s="50" cm="1" t="str">
        <f t="array" ref="F262:F262">OFFSET(E262,-1,1)</f>
        <v>2</v>
      </c>
      <c r="G262" s="98" cm="1" t="str">
        <f t="array" ref="G262:G262">G261</f>
        <v>Питьевая вода (Калтанский городской округ)</v>
      </c>
      <c r="H262" s="8264"/>
      <c r="I262" s="8264"/>
      <c r="J262" s="8264"/>
      <c r="K262" s="158">
        <f>first_year+24</f>
        <v>2050</v>
      </c>
      <c r="L262" s="8264"/>
      <c r="M262" s="8264"/>
      <c r="N262" s="8264"/>
      <c r="O262" s="8264"/>
      <c r="P262" s="8264"/>
      <c r="Q262" s="8264"/>
      <c r="R262" s="8264"/>
      <c r="S262" s="8264"/>
      <c r="T262" s="465" cm="1" t="str">
        <f t="array" ref="T262:T262">T261</f>
        <v>true</v>
      </c>
      <c r="U262" s="8264"/>
      <c r="V262" s="8264"/>
      <c r="W262" s="8264"/>
      <c r="X262" s="8264"/>
      <c r="Y262" s="8264"/>
      <c r="Z262" s="8264"/>
      <c r="AA262" s="8264"/>
      <c r="AB262" s="255" t="str">
        <f>K262&amp;" год"</f>
        <v>2050 год</v>
      </c>
      <c r="AC262" s="408"/>
      <c r="AD262" s="8281"/>
      <c r="AE262" s="8280"/>
      <c r="AF262" s="8280"/>
      <c r="AG262" s="8281"/>
      <c r="AH262" s="8280"/>
      <c r="AI262" s="8281"/>
      <c r="AJ262" s="8280"/>
      <c r="AK262" s="8282"/>
      <c r="AL262" s="403"/>
      <c r="AM262" s="8264"/>
      <c r="AN262" s="1064" cm="1" t="str">
        <f t="array" ref="AN262:AN262">K262</f>
        <v>2050</v>
      </c>
      <c r="AO262" s="1064" t="s">
        <v>2977</v>
      </c>
      <c r="AP262" s="1074" cm="1" t="str">
        <f t="array" ref="AP262:AP262">AP261</f>
        <v>Питьевая вода (Калтанский городской округ)</v>
      </c>
      <c r="AQ262" s="703"/>
      <c r="AR262" s="703"/>
    </row>
    <row s="8264" customFormat="1" customHeight="1" ht="14.25" hidden="1">
      <c r="A263" s="8264"/>
      <c r="B263" s="445">
        <f>K263&lt;first_year+PERIOD_LENGTH</f>
        <v>0</v>
      </c>
      <c r="C263" s="8264"/>
      <c r="D263" s="8264"/>
      <c r="E263" s="703">
        <v>15</v>
      </c>
      <c r="F263" s="50" cm="1" t="str">
        <f t="array" ref="F263:F263">OFFSET(E263,-1,1)</f>
        <v>2</v>
      </c>
      <c r="G263" s="98" cm="1" t="str">
        <f t="array" ref="G263:G263">G262</f>
        <v>Питьевая вода (Калтанский городской округ)</v>
      </c>
      <c r="H263" s="8264"/>
      <c r="I263" s="8264"/>
      <c r="J263" s="8264"/>
      <c r="K263" s="158">
        <f>first_year+25</f>
        <v>2051</v>
      </c>
      <c r="L263" s="8264"/>
      <c r="M263" s="8264"/>
      <c r="N263" s="8264"/>
      <c r="O263" s="8264"/>
      <c r="P263" s="8264"/>
      <c r="Q263" s="8264"/>
      <c r="R263" s="8264"/>
      <c r="S263" s="8264"/>
      <c r="T263" s="465" cm="1" t="str">
        <f t="array" ref="T263:T263">T262</f>
        <v>true</v>
      </c>
      <c r="U263" s="8264"/>
      <c r="V263" s="8264"/>
      <c r="W263" s="8264"/>
      <c r="X263" s="8264"/>
      <c r="Y263" s="8264"/>
      <c r="Z263" s="8264"/>
      <c r="AA263" s="8264"/>
      <c r="AB263" s="255" t="str">
        <f>K263&amp;" год"</f>
        <v>2051 год</v>
      </c>
      <c r="AC263" s="408"/>
      <c r="AD263" s="8281"/>
      <c r="AE263" s="8280"/>
      <c r="AF263" s="8280"/>
      <c r="AG263" s="8281"/>
      <c r="AH263" s="8280"/>
      <c r="AI263" s="8281"/>
      <c r="AJ263" s="8280"/>
      <c r="AK263" s="8282"/>
      <c r="AL263" s="403"/>
      <c r="AM263" s="8264"/>
      <c r="AN263" s="1064" cm="1" t="str">
        <f t="array" ref="AN263:AN263">K263</f>
        <v>2051</v>
      </c>
      <c r="AO263" s="1064" t="s">
        <v>2977</v>
      </c>
      <c r="AP263" s="1074" cm="1" t="str">
        <f t="array" ref="AP263:AP263">AP262</f>
        <v>Питьевая вода (Калтанский городской округ)</v>
      </c>
      <c r="AQ263" s="703"/>
      <c r="AR263" s="703"/>
    </row>
    <row s="8264" customFormat="1" customHeight="1" ht="14.25" hidden="1">
      <c r="A264" s="8264"/>
      <c r="B264" s="445">
        <f>K264&lt;first_year+PERIOD_LENGTH</f>
        <v>0</v>
      </c>
      <c r="C264" s="8264"/>
      <c r="D264" s="8264"/>
      <c r="E264" s="703">
        <v>15</v>
      </c>
      <c r="F264" s="50" cm="1" t="str">
        <f t="array" ref="F264:F264">OFFSET(E264,-1,1)</f>
        <v>2</v>
      </c>
      <c r="G264" s="98" cm="1" t="str">
        <f t="array" ref="G264:G264">G263</f>
        <v>Питьевая вода (Калтанский городской округ)</v>
      </c>
      <c r="H264" s="8264"/>
      <c r="I264" s="8264"/>
      <c r="J264" s="8264"/>
      <c r="K264" s="158">
        <f>first_year+26</f>
        <v>2052</v>
      </c>
      <c r="L264" s="8264"/>
      <c r="M264" s="8264"/>
      <c r="N264" s="8264"/>
      <c r="O264" s="8264"/>
      <c r="P264" s="8264"/>
      <c r="Q264" s="8264"/>
      <c r="R264" s="8264"/>
      <c r="S264" s="8264"/>
      <c r="T264" s="465" cm="1" t="str">
        <f t="array" ref="T264:T264">T263</f>
        <v>true</v>
      </c>
      <c r="U264" s="8264"/>
      <c r="V264" s="8264"/>
      <c r="W264" s="8264"/>
      <c r="X264" s="8264"/>
      <c r="Y264" s="8264"/>
      <c r="Z264" s="8264"/>
      <c r="AA264" s="8264"/>
      <c r="AB264" s="255" t="str">
        <f>K264&amp;" год"</f>
        <v>2052 год</v>
      </c>
      <c r="AC264" s="408"/>
      <c r="AD264" s="8281"/>
      <c r="AE264" s="8280"/>
      <c r="AF264" s="8280"/>
      <c r="AG264" s="8281"/>
      <c r="AH264" s="8280"/>
      <c r="AI264" s="8281"/>
      <c r="AJ264" s="8280"/>
      <c r="AK264" s="8282"/>
      <c r="AL264" s="403"/>
      <c r="AM264" s="8264"/>
      <c r="AN264" s="1064" cm="1" t="str">
        <f t="array" ref="AN264:AN264">K264</f>
        <v>2052</v>
      </c>
      <c r="AO264" s="1064" t="s">
        <v>2977</v>
      </c>
      <c r="AP264" s="1074" cm="1" t="str">
        <f t="array" ref="AP264:AP264">AP263</f>
        <v>Питьевая вода (Калтанский городской округ)</v>
      </c>
      <c r="AQ264" s="703"/>
      <c r="AR264" s="703"/>
    </row>
    <row s="8264" customFormat="1" customHeight="1" ht="14.25" hidden="1">
      <c r="A265" s="8264"/>
      <c r="B265" s="445">
        <f>K265&lt;first_year+PERIOD_LENGTH</f>
        <v>0</v>
      </c>
      <c r="C265" s="8264"/>
      <c r="D265" s="8264"/>
      <c r="E265" s="703">
        <v>15</v>
      </c>
      <c r="F265" s="50" cm="1" t="str">
        <f t="array" ref="F265:F265">OFFSET(E265,-1,1)</f>
        <v>2</v>
      </c>
      <c r="G265" s="98" cm="1" t="str">
        <f t="array" ref="G265:G265">G264</f>
        <v>Питьевая вода (Калтанский городской округ)</v>
      </c>
      <c r="H265" s="8264"/>
      <c r="I265" s="8264"/>
      <c r="J265" s="8264"/>
      <c r="K265" s="158">
        <f>first_year+27</f>
        <v>2053</v>
      </c>
      <c r="L265" s="8264"/>
      <c r="M265" s="8264"/>
      <c r="N265" s="8264"/>
      <c r="O265" s="8264"/>
      <c r="P265" s="8264"/>
      <c r="Q265" s="8264"/>
      <c r="R265" s="8264"/>
      <c r="S265" s="8264"/>
      <c r="T265" s="465" cm="1" t="str">
        <f t="array" ref="T265:T265">T264</f>
        <v>true</v>
      </c>
      <c r="U265" s="8264"/>
      <c r="V265" s="8264"/>
      <c r="W265" s="8264"/>
      <c r="X265" s="8264"/>
      <c r="Y265" s="8264"/>
      <c r="Z265" s="8264"/>
      <c r="AA265" s="8264"/>
      <c r="AB265" s="255" t="str">
        <f>K265&amp;" год"</f>
        <v>2053 год</v>
      </c>
      <c r="AC265" s="408"/>
      <c r="AD265" s="8281"/>
      <c r="AE265" s="8280"/>
      <c r="AF265" s="8280"/>
      <c r="AG265" s="8281"/>
      <c r="AH265" s="8280"/>
      <c r="AI265" s="8281"/>
      <c r="AJ265" s="8280"/>
      <c r="AK265" s="8282"/>
      <c r="AL265" s="403"/>
      <c r="AM265" s="8264"/>
      <c r="AN265" s="1064" cm="1" t="str">
        <f t="array" ref="AN265:AN265">K265</f>
        <v>2053</v>
      </c>
      <c r="AO265" s="1064" t="s">
        <v>2977</v>
      </c>
      <c r="AP265" s="1074" cm="1" t="str">
        <f t="array" ref="AP265:AP265">AP264</f>
        <v>Питьевая вода (Калтанский городской округ)</v>
      </c>
      <c r="AQ265" s="703"/>
      <c r="AR265" s="703"/>
    </row>
    <row s="8264" customFormat="1" customHeight="1" ht="14.25" hidden="1">
      <c r="A266" s="8264"/>
      <c r="B266" s="445">
        <f>K266&lt;first_year+PERIOD_LENGTH</f>
        <v>0</v>
      </c>
      <c r="C266" s="8264"/>
      <c r="D266" s="8264"/>
      <c r="E266" s="703">
        <v>15</v>
      </c>
      <c r="F266" s="50" cm="1" t="str">
        <f t="array" ref="F266:F266">OFFSET(E266,-1,1)</f>
        <v>2</v>
      </c>
      <c r="G266" s="98" cm="1" t="str">
        <f t="array" ref="G266:G266">G265</f>
        <v>Питьевая вода (Калтанский городской округ)</v>
      </c>
      <c r="H266" s="8264"/>
      <c r="I266" s="8264"/>
      <c r="J266" s="8264"/>
      <c r="K266" s="158">
        <f>first_year+28</f>
        <v>2054</v>
      </c>
      <c r="L266" s="8264"/>
      <c r="M266" s="8264"/>
      <c r="N266" s="8264"/>
      <c r="O266" s="8264"/>
      <c r="P266" s="8264"/>
      <c r="Q266" s="8264"/>
      <c r="R266" s="8264"/>
      <c r="S266" s="8264"/>
      <c r="T266" s="465" cm="1" t="str">
        <f t="array" ref="T266:T266">T265</f>
        <v>true</v>
      </c>
      <c r="U266" s="8264"/>
      <c r="V266" s="8264"/>
      <c r="W266" s="8264"/>
      <c r="X266" s="8264"/>
      <c r="Y266" s="8264"/>
      <c r="Z266" s="8264"/>
      <c r="AA266" s="8264"/>
      <c r="AB266" s="255" t="str">
        <f>K266&amp;" год"</f>
        <v>2054 год</v>
      </c>
      <c r="AC266" s="408"/>
      <c r="AD266" s="8281"/>
      <c r="AE266" s="8280"/>
      <c r="AF266" s="8280"/>
      <c r="AG266" s="8281"/>
      <c r="AH266" s="8280"/>
      <c r="AI266" s="8281"/>
      <c r="AJ266" s="8280"/>
      <c r="AK266" s="8282"/>
      <c r="AL266" s="403"/>
      <c r="AM266" s="8264"/>
      <c r="AN266" s="1064" cm="1" t="str">
        <f t="array" ref="AN266:AN266">K266</f>
        <v>2054</v>
      </c>
      <c r="AO266" s="1064" t="s">
        <v>2977</v>
      </c>
      <c r="AP266" s="1074" cm="1" t="str">
        <f t="array" ref="AP266:AP266">AP265</f>
        <v>Питьевая вода (Калтанский городской округ)</v>
      </c>
      <c r="AQ266" s="703"/>
      <c r="AR266" s="703"/>
    </row>
    <row s="8264" customFormat="1" customHeight="1" ht="14.25" hidden="1">
      <c r="A267" s="8264"/>
      <c r="B267" s="445">
        <f>K267&lt;first_year+PERIOD_LENGTH</f>
        <v>0</v>
      </c>
      <c r="C267" s="8264"/>
      <c r="D267" s="8264"/>
      <c r="E267" s="703">
        <v>15</v>
      </c>
      <c r="F267" s="50" cm="1" t="str">
        <f t="array" ref="F267:F267">OFFSET(E267,-1,1)</f>
        <v>2</v>
      </c>
      <c r="G267" s="98" cm="1" t="str">
        <f t="array" ref="G267:G267">G266</f>
        <v>Питьевая вода (Калтанский городской округ)</v>
      </c>
      <c r="H267" s="8264"/>
      <c r="I267" s="8264"/>
      <c r="J267" s="8264"/>
      <c r="K267" s="158">
        <f>first_year+29</f>
        <v>2055</v>
      </c>
      <c r="L267" s="8264"/>
      <c r="M267" s="8264"/>
      <c r="N267" s="8264"/>
      <c r="O267" s="8264"/>
      <c r="P267" s="8264"/>
      <c r="Q267" s="8264"/>
      <c r="R267" s="8264"/>
      <c r="S267" s="8264"/>
      <c r="T267" s="465" cm="1" t="str">
        <f t="array" ref="T267:T267">T266</f>
        <v>true</v>
      </c>
      <c r="U267" s="8264"/>
      <c r="V267" s="8264"/>
      <c r="W267" s="8264"/>
      <c r="X267" s="8264"/>
      <c r="Y267" s="8264"/>
      <c r="Z267" s="8264"/>
      <c r="AA267" s="8264"/>
      <c r="AB267" s="255" t="str">
        <f>K267&amp;" год"</f>
        <v>2055 год</v>
      </c>
      <c r="AC267" s="408"/>
      <c r="AD267" s="8281"/>
      <c r="AE267" s="8280"/>
      <c r="AF267" s="8280"/>
      <c r="AG267" s="8281"/>
      <c r="AH267" s="8280"/>
      <c r="AI267" s="8281"/>
      <c r="AJ267" s="8280"/>
      <c r="AK267" s="8282"/>
      <c r="AL267" s="403"/>
      <c r="AM267" s="8264"/>
      <c r="AN267" s="1064" cm="1" t="str">
        <f t="array" ref="AN267:AN267">K267</f>
        <v>2055</v>
      </c>
      <c r="AO267" s="1064" t="s">
        <v>2977</v>
      </c>
      <c r="AP267" s="1074" cm="1" t="str">
        <f t="array" ref="AP267:AP267">AP266</f>
        <v>Питьевая вода (Калтанский городской округ)</v>
      </c>
      <c r="AQ267" s="703"/>
      <c r="AR267" s="703"/>
    </row>
    <row s="8264" customFormat="1" customHeight="1" ht="14.25" hidden="1">
      <c r="A268" s="8264"/>
      <c r="B268" s="445">
        <f>K268&lt;first_year+PERIOD_LENGTH</f>
        <v>0</v>
      </c>
      <c r="C268" s="8264"/>
      <c r="D268" s="8264"/>
      <c r="E268" s="703">
        <v>15</v>
      </c>
      <c r="F268" s="50" cm="1" t="str">
        <f t="array" ref="F268:F268">OFFSET(E268,-1,1)</f>
        <v>2</v>
      </c>
      <c r="G268" s="98" cm="1" t="str">
        <f t="array" ref="G268:G268">G267</f>
        <v>Питьевая вода (Калтанский городской округ)</v>
      </c>
      <c r="H268" s="8264"/>
      <c r="I268" s="8264"/>
      <c r="J268" s="8264"/>
      <c r="K268" s="158">
        <f>first_year+30</f>
        <v>2056</v>
      </c>
      <c r="L268" s="8264"/>
      <c r="M268" s="8264"/>
      <c r="N268" s="8264"/>
      <c r="O268" s="8264"/>
      <c r="P268" s="8264"/>
      <c r="Q268" s="8264"/>
      <c r="R268" s="8264"/>
      <c r="S268" s="8264"/>
      <c r="T268" s="465" cm="1" t="str">
        <f t="array" ref="T268:T268">T267</f>
        <v>true</v>
      </c>
      <c r="U268" s="8264"/>
      <c r="V268" s="8264"/>
      <c r="W268" s="8264"/>
      <c r="X268" s="8264"/>
      <c r="Y268" s="8264"/>
      <c r="Z268" s="8264"/>
      <c r="AA268" s="8264"/>
      <c r="AB268" s="255" t="str">
        <f>K268&amp;" год"</f>
        <v>2056 год</v>
      </c>
      <c r="AC268" s="408"/>
      <c r="AD268" s="8281"/>
      <c r="AE268" s="8280"/>
      <c r="AF268" s="8280"/>
      <c r="AG268" s="8281"/>
      <c r="AH268" s="8280"/>
      <c r="AI268" s="8281"/>
      <c r="AJ268" s="8280"/>
      <c r="AK268" s="8282"/>
      <c r="AL268" s="403"/>
      <c r="AM268" s="8264"/>
      <c r="AN268" s="1064" cm="1" t="str">
        <f t="array" ref="AN268:AN268">K268</f>
        <v>2056</v>
      </c>
      <c r="AO268" s="1064" t="s">
        <v>2977</v>
      </c>
      <c r="AP268" s="1074" cm="1" t="str">
        <f t="array" ref="AP268:AP268">AP267</f>
        <v>Питьевая вода (Калтанский городской округ)</v>
      </c>
      <c r="AQ268" s="703"/>
      <c r="AR268" s="703"/>
    </row>
    <row s="8264" customFormat="1" customHeight="1" ht="14.25" hidden="1">
      <c r="A269" s="8264"/>
      <c r="B269" s="445">
        <f>K269&lt;first_year+PERIOD_LENGTH</f>
        <v>0</v>
      </c>
      <c r="C269" s="8264"/>
      <c r="D269" s="8264"/>
      <c r="E269" s="703">
        <v>15</v>
      </c>
      <c r="F269" s="50" cm="1" t="str">
        <f t="array" ref="F269:F269">OFFSET(E269,-1,1)</f>
        <v>2</v>
      </c>
      <c r="G269" s="98" cm="1" t="str">
        <f t="array" ref="G269:G269">G268</f>
        <v>Питьевая вода (Калтанский городской округ)</v>
      </c>
      <c r="H269" s="8264"/>
      <c r="I269" s="8264"/>
      <c r="J269" s="8264"/>
      <c r="K269" s="158">
        <f>first_year+31</f>
        <v>2057</v>
      </c>
      <c r="L269" s="8264"/>
      <c r="M269" s="8264"/>
      <c r="N269" s="8264"/>
      <c r="O269" s="8264"/>
      <c r="P269" s="8264"/>
      <c r="Q269" s="8264"/>
      <c r="R269" s="8264"/>
      <c r="S269" s="8264"/>
      <c r="T269" s="465" cm="1" t="str">
        <f t="array" ref="T269:T269">T268</f>
        <v>true</v>
      </c>
      <c r="U269" s="8264"/>
      <c r="V269" s="8264"/>
      <c r="W269" s="8264"/>
      <c r="X269" s="8264"/>
      <c r="Y269" s="8264"/>
      <c r="Z269" s="8264"/>
      <c r="AA269" s="8264"/>
      <c r="AB269" s="255" t="str">
        <f>K269&amp;" год"</f>
        <v>2057 год</v>
      </c>
      <c r="AC269" s="408"/>
      <c r="AD269" s="8281"/>
      <c r="AE269" s="8280"/>
      <c r="AF269" s="8280"/>
      <c r="AG269" s="8281"/>
      <c r="AH269" s="8280"/>
      <c r="AI269" s="8281"/>
      <c r="AJ269" s="8280"/>
      <c r="AK269" s="8282"/>
      <c r="AL269" s="403"/>
      <c r="AM269" s="8264"/>
      <c r="AN269" s="1064" cm="1" t="str">
        <f t="array" ref="AN269:AN269">K269</f>
        <v>2057</v>
      </c>
      <c r="AO269" s="1064" t="s">
        <v>2977</v>
      </c>
      <c r="AP269" s="1074" cm="1" t="str">
        <f t="array" ref="AP269:AP269">AP268</f>
        <v>Питьевая вода (Калтанский городской округ)</v>
      </c>
      <c r="AQ269" s="703"/>
      <c r="AR269" s="703"/>
    </row>
    <row s="8264" customFormat="1" customHeight="1" ht="14.25" hidden="1">
      <c r="A270" s="8264"/>
      <c r="B270" s="445">
        <f>K270&lt;first_year+PERIOD_LENGTH</f>
        <v>0</v>
      </c>
      <c r="C270" s="8264"/>
      <c r="D270" s="8264"/>
      <c r="E270" s="703">
        <v>15</v>
      </c>
      <c r="F270" s="50" cm="1" t="str">
        <f t="array" ref="F270:F270">OFFSET(E270,-1,1)</f>
        <v>2</v>
      </c>
      <c r="G270" s="98" cm="1" t="str">
        <f t="array" ref="G270:G270">G269</f>
        <v>Питьевая вода (Калтанский городской округ)</v>
      </c>
      <c r="H270" s="8264"/>
      <c r="I270" s="8264"/>
      <c r="J270" s="8264"/>
      <c r="K270" s="158">
        <f>first_year+32</f>
        <v>2058</v>
      </c>
      <c r="L270" s="8264"/>
      <c r="M270" s="8264"/>
      <c r="N270" s="8264"/>
      <c r="O270" s="8264"/>
      <c r="P270" s="8264"/>
      <c r="Q270" s="8264"/>
      <c r="R270" s="8264"/>
      <c r="S270" s="8264"/>
      <c r="T270" s="465" cm="1" t="str">
        <f t="array" ref="T270:T270">T269</f>
        <v>true</v>
      </c>
      <c r="U270" s="8264"/>
      <c r="V270" s="8264"/>
      <c r="W270" s="8264"/>
      <c r="X270" s="8264"/>
      <c r="Y270" s="8264"/>
      <c r="Z270" s="8264"/>
      <c r="AA270" s="8264"/>
      <c r="AB270" s="255" t="str">
        <f>K270&amp;" год"</f>
        <v>2058 год</v>
      </c>
      <c r="AC270" s="408"/>
      <c r="AD270" s="8281"/>
      <c r="AE270" s="8280"/>
      <c r="AF270" s="8280"/>
      <c r="AG270" s="8281"/>
      <c r="AH270" s="8280"/>
      <c r="AI270" s="8281"/>
      <c r="AJ270" s="8280"/>
      <c r="AK270" s="8282"/>
      <c r="AL270" s="403"/>
      <c r="AM270" s="8264"/>
      <c r="AN270" s="1064" cm="1" t="str">
        <f t="array" ref="AN270:AN270">K270</f>
        <v>2058</v>
      </c>
      <c r="AO270" s="1064" t="s">
        <v>2977</v>
      </c>
      <c r="AP270" s="1074" cm="1" t="str">
        <f t="array" ref="AP270:AP270">AP269</f>
        <v>Питьевая вода (Калтанский городской округ)</v>
      </c>
      <c r="AQ270" s="703"/>
      <c r="AR270" s="703"/>
    </row>
    <row s="8264" customFormat="1" customHeight="1" ht="14.25" hidden="1">
      <c r="A271" s="8264"/>
      <c r="B271" s="445">
        <f>K271&lt;first_year+PERIOD_LENGTH</f>
        <v>0</v>
      </c>
      <c r="C271" s="8264"/>
      <c r="D271" s="8264"/>
      <c r="E271" s="703">
        <v>15</v>
      </c>
      <c r="F271" s="50" cm="1" t="str">
        <f t="array" ref="F271:F271">OFFSET(E271,-1,1)</f>
        <v>2</v>
      </c>
      <c r="G271" s="98" cm="1" t="str">
        <f t="array" ref="G271:G271">G270</f>
        <v>Питьевая вода (Калтанский городской округ)</v>
      </c>
      <c r="H271" s="8264"/>
      <c r="I271" s="8264"/>
      <c r="J271" s="8264"/>
      <c r="K271" s="158">
        <f>first_year+33</f>
        <v>2059</v>
      </c>
      <c r="L271" s="8264"/>
      <c r="M271" s="8264"/>
      <c r="N271" s="8264"/>
      <c r="O271" s="8264"/>
      <c r="P271" s="8264"/>
      <c r="Q271" s="8264"/>
      <c r="R271" s="8264"/>
      <c r="S271" s="8264"/>
      <c r="T271" s="465" cm="1" t="str">
        <f t="array" ref="T271:T271">T270</f>
        <v>true</v>
      </c>
      <c r="U271" s="8264"/>
      <c r="V271" s="8264"/>
      <c r="W271" s="8264"/>
      <c r="X271" s="8264"/>
      <c r="Y271" s="8264"/>
      <c r="Z271" s="8264"/>
      <c r="AA271" s="8264"/>
      <c r="AB271" s="255" t="str">
        <f>K271&amp;" год"</f>
        <v>2059 год</v>
      </c>
      <c r="AC271" s="408"/>
      <c r="AD271" s="8281"/>
      <c r="AE271" s="8280"/>
      <c r="AF271" s="8280"/>
      <c r="AG271" s="8281"/>
      <c r="AH271" s="8280"/>
      <c r="AI271" s="8281"/>
      <c r="AJ271" s="8280"/>
      <c r="AK271" s="8282"/>
      <c r="AL271" s="403"/>
      <c r="AM271" s="8264"/>
      <c r="AN271" s="1064" cm="1" t="str">
        <f t="array" ref="AN271:AN271">K271</f>
        <v>2059</v>
      </c>
      <c r="AO271" s="1064" t="s">
        <v>2977</v>
      </c>
      <c r="AP271" s="1074" cm="1" t="str">
        <f t="array" ref="AP271:AP271">AP270</f>
        <v>Питьевая вода (Калтанский городской округ)</v>
      </c>
      <c r="AQ271" s="703"/>
      <c r="AR271" s="703"/>
    </row>
    <row s="8264" customFormat="1" customHeight="1" ht="14.25" hidden="1">
      <c r="A272" s="8264"/>
      <c r="B272" s="445">
        <f>K272&lt;first_year+PERIOD_LENGTH</f>
        <v>0</v>
      </c>
      <c r="C272" s="8264"/>
      <c r="D272" s="8264"/>
      <c r="E272" s="703">
        <v>15</v>
      </c>
      <c r="F272" s="50" cm="1" t="str">
        <f t="array" ref="F272:F272">OFFSET(E272,-1,1)</f>
        <v>2</v>
      </c>
      <c r="G272" s="98" cm="1" t="str">
        <f t="array" ref="G272:G272">G271</f>
        <v>Питьевая вода (Калтанский городской округ)</v>
      </c>
      <c r="H272" s="8264"/>
      <c r="I272" s="8264"/>
      <c r="J272" s="8264"/>
      <c r="K272" s="158">
        <f>first_year+34</f>
        <v>2060</v>
      </c>
      <c r="L272" s="8264"/>
      <c r="M272" s="8264"/>
      <c r="N272" s="8264"/>
      <c r="O272" s="8264"/>
      <c r="P272" s="8264"/>
      <c r="Q272" s="8264"/>
      <c r="R272" s="8264"/>
      <c r="S272" s="8264"/>
      <c r="T272" s="465" cm="1" t="str">
        <f t="array" ref="T272:T272">T271</f>
        <v>true</v>
      </c>
      <c r="U272" s="8264"/>
      <c r="V272" s="8264"/>
      <c r="W272" s="8264"/>
      <c r="X272" s="8264"/>
      <c r="Y272" s="8264"/>
      <c r="Z272" s="8264"/>
      <c r="AA272" s="8264"/>
      <c r="AB272" s="255" t="str">
        <f>K272&amp;" год"</f>
        <v>2060 год</v>
      </c>
      <c r="AC272" s="408"/>
      <c r="AD272" s="8281"/>
      <c r="AE272" s="8280"/>
      <c r="AF272" s="8280"/>
      <c r="AG272" s="8281"/>
      <c r="AH272" s="8280"/>
      <c r="AI272" s="8281"/>
      <c r="AJ272" s="8280"/>
      <c r="AK272" s="8282"/>
      <c r="AL272" s="403"/>
      <c r="AM272" s="8264"/>
      <c r="AN272" s="1064" cm="1" t="str">
        <f t="array" ref="AN272:AN272">K272</f>
        <v>2060</v>
      </c>
      <c r="AO272" s="1064" t="s">
        <v>2977</v>
      </c>
      <c r="AP272" s="1074" cm="1" t="str">
        <f t="array" ref="AP272:AP272">AP271</f>
        <v>Питьевая вода (Калтанский городской округ)</v>
      </c>
      <c r="AQ272" s="703"/>
      <c r="AR272" s="703"/>
    </row>
    <row s="8264" customFormat="1" customHeight="1" ht="14.25" hidden="1">
      <c r="A273" s="8264"/>
      <c r="B273" s="445">
        <f>K273&lt;first_year+PERIOD_LENGTH</f>
        <v>0</v>
      </c>
      <c r="C273" s="8264"/>
      <c r="D273" s="8264"/>
      <c r="E273" s="703">
        <v>15</v>
      </c>
      <c r="F273" s="50" cm="1" t="str">
        <f t="array" ref="F273:F273">OFFSET(E273,-1,1)</f>
        <v>2</v>
      </c>
      <c r="G273" s="98" cm="1" t="str">
        <f t="array" ref="G273:G273">G272</f>
        <v>Питьевая вода (Калтанский городской округ)</v>
      </c>
      <c r="H273" s="8264"/>
      <c r="I273" s="8264"/>
      <c r="J273" s="8264"/>
      <c r="K273" s="158">
        <f>first_year+35</f>
        <v>2061</v>
      </c>
      <c r="L273" s="8264"/>
      <c r="M273" s="8264"/>
      <c r="N273" s="8264"/>
      <c r="O273" s="8264"/>
      <c r="P273" s="8264"/>
      <c r="Q273" s="8264"/>
      <c r="R273" s="8264"/>
      <c r="S273" s="8264"/>
      <c r="T273" s="465" cm="1" t="str">
        <f t="array" ref="T273:T273">T272</f>
        <v>true</v>
      </c>
      <c r="U273" s="8264"/>
      <c r="V273" s="8264"/>
      <c r="W273" s="8264"/>
      <c r="X273" s="8264"/>
      <c r="Y273" s="8264"/>
      <c r="Z273" s="8264"/>
      <c r="AA273" s="8264"/>
      <c r="AB273" s="255" t="str">
        <f>K273&amp;" год"</f>
        <v>2061 год</v>
      </c>
      <c r="AC273" s="408"/>
      <c r="AD273" s="8281"/>
      <c r="AE273" s="8280"/>
      <c r="AF273" s="8280"/>
      <c r="AG273" s="8281"/>
      <c r="AH273" s="8280"/>
      <c r="AI273" s="8281"/>
      <c r="AJ273" s="8280"/>
      <c r="AK273" s="8282"/>
      <c r="AL273" s="403"/>
      <c r="AM273" s="8264"/>
      <c r="AN273" s="1064" cm="1" t="str">
        <f t="array" ref="AN273:AN273">K273</f>
        <v>2061</v>
      </c>
      <c r="AO273" s="1064" t="s">
        <v>2977</v>
      </c>
      <c r="AP273" s="1074" cm="1" t="str">
        <f t="array" ref="AP273:AP273">AP272</f>
        <v>Питьевая вода (Калтанский городской округ)</v>
      </c>
      <c r="AQ273" s="703"/>
      <c r="AR273" s="703"/>
    </row>
    <row s="8264" customFormat="1" customHeight="1" ht="14.25" hidden="1">
      <c r="A274" s="8264"/>
      <c r="B274" s="445">
        <f>K274&lt;first_year+PERIOD_LENGTH</f>
        <v>0</v>
      </c>
      <c r="C274" s="8264"/>
      <c r="D274" s="8264"/>
      <c r="E274" s="703">
        <v>15</v>
      </c>
      <c r="F274" s="50" cm="1" t="str">
        <f t="array" ref="F274:F274">OFFSET(E274,-1,1)</f>
        <v>2</v>
      </c>
      <c r="G274" s="98" cm="1" t="str">
        <f t="array" ref="G274:G274">G273</f>
        <v>Питьевая вода (Калтанский городской округ)</v>
      </c>
      <c r="H274" s="8264"/>
      <c r="I274" s="8264"/>
      <c r="J274" s="8264"/>
      <c r="K274" s="158">
        <f>first_year+36</f>
        <v>2062</v>
      </c>
      <c r="L274" s="8264"/>
      <c r="M274" s="8264"/>
      <c r="N274" s="8264"/>
      <c r="O274" s="8264"/>
      <c r="P274" s="8264"/>
      <c r="Q274" s="8264"/>
      <c r="R274" s="8264"/>
      <c r="S274" s="8264"/>
      <c r="T274" s="465" cm="1" t="str">
        <f t="array" ref="T274:T274">T273</f>
        <v>true</v>
      </c>
      <c r="U274" s="8264"/>
      <c r="V274" s="8264"/>
      <c r="W274" s="8264"/>
      <c r="X274" s="8264"/>
      <c r="Y274" s="8264"/>
      <c r="Z274" s="8264"/>
      <c r="AA274" s="8264"/>
      <c r="AB274" s="255" t="str">
        <f>K274&amp;" год"</f>
        <v>2062 год</v>
      </c>
      <c r="AC274" s="408"/>
      <c r="AD274" s="8281"/>
      <c r="AE274" s="8280"/>
      <c r="AF274" s="8280"/>
      <c r="AG274" s="8281"/>
      <c r="AH274" s="8280"/>
      <c r="AI274" s="8281"/>
      <c r="AJ274" s="8280"/>
      <c r="AK274" s="8282"/>
      <c r="AL274" s="403"/>
      <c r="AM274" s="8264"/>
      <c r="AN274" s="1064" cm="1" t="str">
        <f t="array" ref="AN274:AN274">K274</f>
        <v>2062</v>
      </c>
      <c r="AO274" s="1064" t="s">
        <v>2977</v>
      </c>
      <c r="AP274" s="1074" cm="1" t="str">
        <f t="array" ref="AP274:AP274">AP273</f>
        <v>Питьевая вода (Калтанский городской округ)</v>
      </c>
      <c r="AQ274" s="703"/>
      <c r="AR274" s="703"/>
    </row>
    <row s="8264" customFormat="1" customHeight="1" ht="14.25" hidden="1">
      <c r="A275" s="8264"/>
      <c r="B275" s="445">
        <f>K275&lt;first_year+PERIOD_LENGTH</f>
        <v>0</v>
      </c>
      <c r="C275" s="8264"/>
      <c r="D275" s="8264"/>
      <c r="E275" s="703">
        <v>15</v>
      </c>
      <c r="F275" s="50" cm="1" t="str">
        <f t="array" ref="F275:F275">OFFSET(E275,-1,1)</f>
        <v>2</v>
      </c>
      <c r="G275" s="98" cm="1" t="str">
        <f t="array" ref="G275:G275">G274</f>
        <v>Питьевая вода (Калтанский городской округ)</v>
      </c>
      <c r="H275" s="8264"/>
      <c r="I275" s="8264"/>
      <c r="J275" s="8264"/>
      <c r="K275" s="158">
        <f>first_year+37</f>
        <v>2063</v>
      </c>
      <c r="L275" s="8264"/>
      <c r="M275" s="8264"/>
      <c r="N275" s="8264"/>
      <c r="O275" s="8264"/>
      <c r="P275" s="8264"/>
      <c r="Q275" s="8264"/>
      <c r="R275" s="8264"/>
      <c r="S275" s="8264"/>
      <c r="T275" s="465" cm="1" t="str">
        <f t="array" ref="T275:T275">T274</f>
        <v>true</v>
      </c>
      <c r="U275" s="8264"/>
      <c r="V275" s="8264"/>
      <c r="W275" s="8264"/>
      <c r="X275" s="8264"/>
      <c r="Y275" s="8264"/>
      <c r="Z275" s="8264"/>
      <c r="AA275" s="8264"/>
      <c r="AB275" s="255" t="str">
        <f>K275&amp;" год"</f>
        <v>2063 год</v>
      </c>
      <c r="AC275" s="408"/>
      <c r="AD275" s="8281"/>
      <c r="AE275" s="8280"/>
      <c r="AF275" s="8280"/>
      <c r="AG275" s="8281"/>
      <c r="AH275" s="8280"/>
      <c r="AI275" s="8281"/>
      <c r="AJ275" s="8280"/>
      <c r="AK275" s="8282"/>
      <c r="AL275" s="403"/>
      <c r="AM275" s="8264"/>
      <c r="AN275" s="1064" cm="1" t="str">
        <f t="array" ref="AN275:AN275">K275</f>
        <v>2063</v>
      </c>
      <c r="AO275" s="1064" t="s">
        <v>2977</v>
      </c>
      <c r="AP275" s="1074" cm="1" t="str">
        <f t="array" ref="AP275:AP275">AP274</f>
        <v>Питьевая вода (Калтанский городской округ)</v>
      </c>
      <c r="AQ275" s="703"/>
      <c r="AR275" s="703"/>
    </row>
    <row s="8264" customFormat="1" customHeight="1" ht="14.25" hidden="1">
      <c r="A276" s="8264"/>
      <c r="B276" s="445">
        <f>K276&lt;first_year+PERIOD_LENGTH</f>
        <v>0</v>
      </c>
      <c r="C276" s="8264"/>
      <c r="D276" s="8264"/>
      <c r="E276" s="703">
        <v>15</v>
      </c>
      <c r="F276" s="50" cm="1" t="str">
        <f t="array" ref="F276:F276">OFFSET(E276,-1,1)</f>
        <v>2</v>
      </c>
      <c r="G276" s="98" cm="1" t="str">
        <f t="array" ref="G276:G276">G275</f>
        <v>Питьевая вода (Калтанский городской округ)</v>
      </c>
      <c r="H276" s="8264"/>
      <c r="I276" s="8264"/>
      <c r="J276" s="8264"/>
      <c r="K276" s="158">
        <f>first_year+38</f>
        <v>2064</v>
      </c>
      <c r="L276" s="8264"/>
      <c r="M276" s="8264"/>
      <c r="N276" s="8264"/>
      <c r="O276" s="8264"/>
      <c r="P276" s="8264"/>
      <c r="Q276" s="8264"/>
      <c r="R276" s="8264"/>
      <c r="S276" s="8264"/>
      <c r="T276" s="465" cm="1" t="str">
        <f t="array" ref="T276:T276">T275</f>
        <v>true</v>
      </c>
      <c r="U276" s="8264"/>
      <c r="V276" s="8264"/>
      <c r="W276" s="8264"/>
      <c r="X276" s="8264"/>
      <c r="Y276" s="8264"/>
      <c r="Z276" s="8264"/>
      <c r="AA276" s="8264"/>
      <c r="AB276" s="255" t="str">
        <f>K276&amp;" год"</f>
        <v>2064 год</v>
      </c>
      <c r="AC276" s="408"/>
      <c r="AD276" s="8281"/>
      <c r="AE276" s="8280"/>
      <c r="AF276" s="8280"/>
      <c r="AG276" s="8281"/>
      <c r="AH276" s="8280"/>
      <c r="AI276" s="8281"/>
      <c r="AJ276" s="8280"/>
      <c r="AK276" s="8282"/>
      <c r="AL276" s="403"/>
      <c r="AM276" s="8264"/>
      <c r="AN276" s="1064" cm="1" t="str">
        <f t="array" ref="AN276:AN276">K276</f>
        <v>2064</v>
      </c>
      <c r="AO276" s="1064" t="s">
        <v>2977</v>
      </c>
      <c r="AP276" s="1074" cm="1" t="str">
        <f t="array" ref="AP276:AP276">AP275</f>
        <v>Питьевая вода (Калтанский городской округ)</v>
      </c>
      <c r="AQ276" s="703"/>
      <c r="AR276" s="703"/>
    </row>
    <row s="8264" customFormat="1" customHeight="1" ht="14.25" hidden="1">
      <c r="A277" s="8264"/>
      <c r="B277" s="445">
        <f>K277&lt;first_year+PERIOD_LENGTH</f>
        <v>0</v>
      </c>
      <c r="C277" s="8264"/>
      <c r="D277" s="8264"/>
      <c r="E277" s="703">
        <v>15</v>
      </c>
      <c r="F277" s="50" cm="1" t="str">
        <f t="array" ref="F277:F277">OFFSET(E277,-1,1)</f>
        <v>2</v>
      </c>
      <c r="G277" s="98" cm="1" t="str">
        <f t="array" ref="G277:G277">G276</f>
        <v>Питьевая вода (Калтанский городской округ)</v>
      </c>
      <c r="H277" s="8264"/>
      <c r="I277" s="8264"/>
      <c r="J277" s="8264"/>
      <c r="K277" s="158">
        <f>first_year+39</f>
        <v>2065</v>
      </c>
      <c r="L277" s="8264"/>
      <c r="M277" s="8264"/>
      <c r="N277" s="8264"/>
      <c r="O277" s="8264"/>
      <c r="P277" s="8264"/>
      <c r="Q277" s="8264"/>
      <c r="R277" s="8264"/>
      <c r="S277" s="8264"/>
      <c r="T277" s="465" cm="1" t="str">
        <f t="array" ref="T277:T277">T276</f>
        <v>true</v>
      </c>
      <c r="U277" s="8264"/>
      <c r="V277" s="8264"/>
      <c r="W277" s="8264"/>
      <c r="X277" s="8264"/>
      <c r="Y277" s="8264"/>
      <c r="Z277" s="8264"/>
      <c r="AA277" s="8264"/>
      <c r="AB277" s="255" t="str">
        <f>K277&amp;" год"</f>
        <v>2065 год</v>
      </c>
      <c r="AC277" s="408"/>
      <c r="AD277" s="8281"/>
      <c r="AE277" s="8280"/>
      <c r="AF277" s="8280"/>
      <c r="AG277" s="8281"/>
      <c r="AH277" s="8280"/>
      <c r="AI277" s="8281"/>
      <c r="AJ277" s="8280"/>
      <c r="AK277" s="8282"/>
      <c r="AL277" s="403"/>
      <c r="AM277" s="8264"/>
      <c r="AN277" s="1064" cm="1" t="str">
        <f t="array" ref="AN277:AN277">K277</f>
        <v>2065</v>
      </c>
      <c r="AO277" s="1064" t="s">
        <v>2977</v>
      </c>
      <c r="AP277" s="1074" cm="1" t="str">
        <f t="array" ref="AP277:AP277">AP276</f>
        <v>Питьевая вода (Калтанский городской округ)</v>
      </c>
      <c r="AQ277" s="703"/>
      <c r="AR277" s="703"/>
    </row>
    <row s="8264" customFormat="1" customHeight="1" ht="14.25" hidden="1">
      <c r="A278" s="8264"/>
      <c r="B278" s="445">
        <f>K278&lt;first_year+PERIOD_LENGTH</f>
        <v>0</v>
      </c>
      <c r="C278" s="8264"/>
      <c r="D278" s="8264"/>
      <c r="E278" s="703">
        <v>15</v>
      </c>
      <c r="F278" s="50" cm="1" t="str">
        <f t="array" ref="F278:F278">OFFSET(E278,-1,1)</f>
        <v>2</v>
      </c>
      <c r="G278" s="98" cm="1" t="str">
        <f t="array" ref="G278:G278">G277</f>
        <v>Питьевая вода (Калтанский городской округ)</v>
      </c>
      <c r="H278" s="8264"/>
      <c r="I278" s="8264"/>
      <c r="J278" s="8264"/>
      <c r="K278" s="158">
        <f>first_year+40</f>
        <v>2066</v>
      </c>
      <c r="L278" s="8264"/>
      <c r="M278" s="8264"/>
      <c r="N278" s="8264"/>
      <c r="O278" s="8264"/>
      <c r="P278" s="8264"/>
      <c r="Q278" s="8264"/>
      <c r="R278" s="8264"/>
      <c r="S278" s="8264"/>
      <c r="T278" s="465" cm="1" t="str">
        <f t="array" ref="T278:T278">T277</f>
        <v>true</v>
      </c>
      <c r="U278" s="8264"/>
      <c r="V278" s="8264"/>
      <c r="W278" s="8264"/>
      <c r="X278" s="8264"/>
      <c r="Y278" s="8264"/>
      <c r="Z278" s="8264"/>
      <c r="AA278" s="8264"/>
      <c r="AB278" s="255" t="str">
        <f>K278&amp;" год"</f>
        <v>2066 год</v>
      </c>
      <c r="AC278" s="408"/>
      <c r="AD278" s="8281"/>
      <c r="AE278" s="8280"/>
      <c r="AF278" s="8280"/>
      <c r="AG278" s="8281"/>
      <c r="AH278" s="8280"/>
      <c r="AI278" s="8281"/>
      <c r="AJ278" s="8280"/>
      <c r="AK278" s="8282"/>
      <c r="AL278" s="403"/>
      <c r="AM278" s="8264"/>
      <c r="AN278" s="1064" cm="1" t="str">
        <f t="array" ref="AN278:AN278">K278</f>
        <v>2066</v>
      </c>
      <c r="AO278" s="1064" t="s">
        <v>2977</v>
      </c>
      <c r="AP278" s="1074" cm="1" t="str">
        <f t="array" ref="AP278:AP278">AP277</f>
        <v>Питьевая вода (Калтанский городской округ)</v>
      </c>
      <c r="AQ278" s="703"/>
      <c r="AR278" s="703"/>
    </row>
    <row s="8264" customFormat="1" customHeight="1" ht="14.25" hidden="1">
      <c r="A279" s="8264"/>
      <c r="B279" s="445">
        <f>K279&lt;first_year+PERIOD_LENGTH</f>
        <v>0</v>
      </c>
      <c r="C279" s="8264"/>
      <c r="D279" s="8264"/>
      <c r="E279" s="703">
        <v>15</v>
      </c>
      <c r="F279" s="50" cm="1" t="str">
        <f t="array" ref="F279:F279">OFFSET(E279,-1,1)</f>
        <v>2</v>
      </c>
      <c r="G279" s="98" cm="1" t="str">
        <f t="array" ref="G279:G279">G278</f>
        <v>Питьевая вода (Калтанский городской округ)</v>
      </c>
      <c r="H279" s="8264"/>
      <c r="I279" s="8264"/>
      <c r="J279" s="8264"/>
      <c r="K279" s="158">
        <f>first_year+41</f>
        <v>2067</v>
      </c>
      <c r="L279" s="8264"/>
      <c r="M279" s="8264"/>
      <c r="N279" s="8264"/>
      <c r="O279" s="8264"/>
      <c r="P279" s="8264"/>
      <c r="Q279" s="8264"/>
      <c r="R279" s="8264"/>
      <c r="S279" s="8264"/>
      <c r="T279" s="465" cm="1" t="str">
        <f t="array" ref="T279:T279">T278</f>
        <v>true</v>
      </c>
      <c r="U279" s="8264"/>
      <c r="V279" s="8264"/>
      <c r="W279" s="8264"/>
      <c r="X279" s="8264"/>
      <c r="Y279" s="8264"/>
      <c r="Z279" s="8264"/>
      <c r="AA279" s="8264"/>
      <c r="AB279" s="255" t="str">
        <f>K279&amp;" год"</f>
        <v>2067 год</v>
      </c>
      <c r="AC279" s="408"/>
      <c r="AD279" s="8281"/>
      <c r="AE279" s="8280"/>
      <c r="AF279" s="8280"/>
      <c r="AG279" s="8281"/>
      <c r="AH279" s="8280"/>
      <c r="AI279" s="8281"/>
      <c r="AJ279" s="8280"/>
      <c r="AK279" s="8282"/>
      <c r="AL279" s="403"/>
      <c r="AM279" s="8264"/>
      <c r="AN279" s="1064" cm="1" t="str">
        <f t="array" ref="AN279:AN279">K279</f>
        <v>2067</v>
      </c>
      <c r="AO279" s="1064" t="s">
        <v>2977</v>
      </c>
      <c r="AP279" s="1074" cm="1" t="str">
        <f t="array" ref="AP279:AP279">AP278</f>
        <v>Питьевая вода (Калтанский городской округ)</v>
      </c>
      <c r="AQ279" s="703"/>
      <c r="AR279" s="703"/>
    </row>
    <row s="8264" customFormat="1" customHeight="1" ht="14.25" hidden="1">
      <c r="A280" s="8264"/>
      <c r="B280" s="445">
        <f>K280&lt;first_year+PERIOD_LENGTH</f>
        <v>0</v>
      </c>
      <c r="C280" s="8264"/>
      <c r="D280" s="8264"/>
      <c r="E280" s="703">
        <v>15</v>
      </c>
      <c r="F280" s="50" cm="1" t="str">
        <f t="array" ref="F280:F280">OFFSET(E280,-1,1)</f>
        <v>2</v>
      </c>
      <c r="G280" s="98" cm="1" t="str">
        <f t="array" ref="G280:G280">G279</f>
        <v>Питьевая вода (Калтанский городской округ)</v>
      </c>
      <c r="H280" s="8264"/>
      <c r="I280" s="8264"/>
      <c r="J280" s="8264"/>
      <c r="K280" s="158">
        <f>first_year+42</f>
        <v>2068</v>
      </c>
      <c r="L280" s="8264"/>
      <c r="M280" s="8264"/>
      <c r="N280" s="8264"/>
      <c r="O280" s="8264"/>
      <c r="P280" s="8264"/>
      <c r="Q280" s="8264"/>
      <c r="R280" s="8264"/>
      <c r="S280" s="8264"/>
      <c r="T280" s="465" cm="1" t="str">
        <f t="array" ref="T280:T280">T279</f>
        <v>true</v>
      </c>
      <c r="U280" s="8264"/>
      <c r="V280" s="8264"/>
      <c r="W280" s="8264"/>
      <c r="X280" s="8264"/>
      <c r="Y280" s="8264"/>
      <c r="Z280" s="8264"/>
      <c r="AA280" s="8264"/>
      <c r="AB280" s="255" t="str">
        <f>K280&amp;" год"</f>
        <v>2068 год</v>
      </c>
      <c r="AC280" s="408"/>
      <c r="AD280" s="8281"/>
      <c r="AE280" s="8280"/>
      <c r="AF280" s="8280"/>
      <c r="AG280" s="8281"/>
      <c r="AH280" s="8280"/>
      <c r="AI280" s="8281"/>
      <c r="AJ280" s="8280"/>
      <c r="AK280" s="8282"/>
      <c r="AL280" s="403"/>
      <c r="AM280" s="8264"/>
      <c r="AN280" s="1064" cm="1" t="str">
        <f t="array" ref="AN280:AN280">K280</f>
        <v>2068</v>
      </c>
      <c r="AO280" s="1064" t="s">
        <v>2977</v>
      </c>
      <c r="AP280" s="1074" cm="1" t="str">
        <f t="array" ref="AP280:AP280">AP279</f>
        <v>Питьевая вода (Калтанский городской округ)</v>
      </c>
      <c r="AQ280" s="703"/>
      <c r="AR280" s="703"/>
    </row>
    <row s="8264" customFormat="1" customHeight="1" ht="14.25" hidden="1">
      <c r="A281" s="8264"/>
      <c r="B281" s="445">
        <f>K281&lt;first_year+PERIOD_LENGTH</f>
        <v>0</v>
      </c>
      <c r="C281" s="8264"/>
      <c r="D281" s="8264"/>
      <c r="E281" s="703">
        <v>15</v>
      </c>
      <c r="F281" s="50" cm="1" t="str">
        <f t="array" ref="F281:F281">OFFSET(E281,-1,1)</f>
        <v>2</v>
      </c>
      <c r="G281" s="98" cm="1" t="str">
        <f t="array" ref="G281:G281">G280</f>
        <v>Питьевая вода (Калтанский городской округ)</v>
      </c>
      <c r="H281" s="8264"/>
      <c r="I281" s="8264"/>
      <c r="J281" s="8264"/>
      <c r="K281" s="158">
        <f>first_year+43</f>
        <v>2069</v>
      </c>
      <c r="L281" s="8264"/>
      <c r="M281" s="8264"/>
      <c r="N281" s="8264"/>
      <c r="O281" s="8264"/>
      <c r="P281" s="8264"/>
      <c r="Q281" s="8264"/>
      <c r="R281" s="8264"/>
      <c r="S281" s="8264"/>
      <c r="T281" s="465" cm="1" t="str">
        <f t="array" ref="T281:T281">T280</f>
        <v>true</v>
      </c>
      <c r="U281" s="8264"/>
      <c r="V281" s="8264"/>
      <c r="W281" s="8264"/>
      <c r="X281" s="8264"/>
      <c r="Y281" s="8264"/>
      <c r="Z281" s="8264"/>
      <c r="AA281" s="8264"/>
      <c r="AB281" s="255" t="str">
        <f>K281&amp;" год"</f>
        <v>2069 год</v>
      </c>
      <c r="AC281" s="408"/>
      <c r="AD281" s="8281"/>
      <c r="AE281" s="8280"/>
      <c r="AF281" s="8280"/>
      <c r="AG281" s="8281"/>
      <c r="AH281" s="8280"/>
      <c r="AI281" s="8281"/>
      <c r="AJ281" s="8280"/>
      <c r="AK281" s="8282"/>
      <c r="AL281" s="403"/>
      <c r="AM281" s="8264"/>
      <c r="AN281" s="1064" cm="1" t="str">
        <f t="array" ref="AN281:AN281">K281</f>
        <v>2069</v>
      </c>
      <c r="AO281" s="1064" t="s">
        <v>2977</v>
      </c>
      <c r="AP281" s="1074" cm="1" t="str">
        <f t="array" ref="AP281:AP281">AP280</f>
        <v>Питьевая вода (Калтанский городской округ)</v>
      </c>
      <c r="AQ281" s="703"/>
      <c r="AR281" s="703"/>
    </row>
    <row s="8264" customFormat="1" customHeight="1" ht="14.25" hidden="1">
      <c r="A282" s="8264"/>
      <c r="B282" s="445">
        <f>K282&lt;first_year+PERIOD_LENGTH</f>
        <v>0</v>
      </c>
      <c r="C282" s="8264"/>
      <c r="D282" s="8264"/>
      <c r="E282" s="703">
        <v>15</v>
      </c>
      <c r="F282" s="50" cm="1" t="str">
        <f t="array" ref="F282:F282">OFFSET(E282,-1,1)</f>
        <v>2</v>
      </c>
      <c r="G282" s="98" cm="1" t="str">
        <f t="array" ref="G282:G282">G281</f>
        <v>Питьевая вода (Калтанский городской округ)</v>
      </c>
      <c r="H282" s="8264"/>
      <c r="I282" s="8264"/>
      <c r="J282" s="8264"/>
      <c r="K282" s="158">
        <f>first_year+44</f>
        <v>2070</v>
      </c>
      <c r="L282" s="8264"/>
      <c r="M282" s="8264"/>
      <c r="N282" s="8264"/>
      <c r="O282" s="8264"/>
      <c r="P282" s="8264"/>
      <c r="Q282" s="8264"/>
      <c r="R282" s="8264"/>
      <c r="S282" s="8264"/>
      <c r="T282" s="465" cm="1" t="str">
        <f t="array" ref="T282:T282">T281</f>
        <v>true</v>
      </c>
      <c r="U282" s="8264"/>
      <c r="V282" s="8264"/>
      <c r="W282" s="8264"/>
      <c r="X282" s="8264"/>
      <c r="Y282" s="8264"/>
      <c r="Z282" s="8264"/>
      <c r="AA282" s="8264"/>
      <c r="AB282" s="255" t="str">
        <f>K282&amp;" год"</f>
        <v>2070 год</v>
      </c>
      <c r="AC282" s="408"/>
      <c r="AD282" s="8281"/>
      <c r="AE282" s="8280"/>
      <c r="AF282" s="8280"/>
      <c r="AG282" s="8281"/>
      <c r="AH282" s="8280"/>
      <c r="AI282" s="8281"/>
      <c r="AJ282" s="8280"/>
      <c r="AK282" s="8282"/>
      <c r="AL282" s="403"/>
      <c r="AM282" s="8264"/>
      <c r="AN282" s="1064" cm="1" t="str">
        <f t="array" ref="AN282:AN282">K282</f>
        <v>2070</v>
      </c>
      <c r="AO282" s="1064" t="s">
        <v>2977</v>
      </c>
      <c r="AP282" s="1074" cm="1" t="str">
        <f t="array" ref="AP282:AP282">AP281</f>
        <v>Питьевая вода (Калтанский городской округ)</v>
      </c>
      <c r="AQ282" s="703"/>
      <c r="AR282" s="703"/>
    </row>
    <row s="8264" customFormat="1" customHeight="1" ht="14.25" hidden="1">
      <c r="A283" s="8264"/>
      <c r="B283" s="445">
        <f>K283&lt;first_year+PERIOD_LENGTH</f>
        <v>0</v>
      </c>
      <c r="C283" s="8264"/>
      <c r="D283" s="8264"/>
      <c r="E283" s="703">
        <v>15</v>
      </c>
      <c r="F283" s="50" cm="1" t="str">
        <f t="array" ref="F283:F283">OFFSET(E283,-1,1)</f>
        <v>2</v>
      </c>
      <c r="G283" s="98" cm="1" t="str">
        <f t="array" ref="G283:G283">G282</f>
        <v>Питьевая вода (Калтанский городской округ)</v>
      </c>
      <c r="H283" s="8264"/>
      <c r="I283" s="8264"/>
      <c r="J283" s="8264"/>
      <c r="K283" s="158">
        <f>first_year+45</f>
        <v>2071</v>
      </c>
      <c r="L283" s="8264"/>
      <c r="M283" s="8264"/>
      <c r="N283" s="8264"/>
      <c r="O283" s="8264"/>
      <c r="P283" s="8264"/>
      <c r="Q283" s="8264"/>
      <c r="R283" s="8264"/>
      <c r="S283" s="8264"/>
      <c r="T283" s="465" cm="1" t="str">
        <f t="array" ref="T283:T283">T282</f>
        <v>true</v>
      </c>
      <c r="U283" s="8264"/>
      <c r="V283" s="8264"/>
      <c r="W283" s="8264"/>
      <c r="X283" s="8264"/>
      <c r="Y283" s="8264"/>
      <c r="Z283" s="8264"/>
      <c r="AA283" s="8264"/>
      <c r="AB283" s="255" t="str">
        <f>K283&amp;" год"</f>
        <v>2071 год</v>
      </c>
      <c r="AC283" s="408"/>
      <c r="AD283" s="8281"/>
      <c r="AE283" s="8280"/>
      <c r="AF283" s="8280"/>
      <c r="AG283" s="8281"/>
      <c r="AH283" s="8280"/>
      <c r="AI283" s="8281"/>
      <c r="AJ283" s="8280"/>
      <c r="AK283" s="8282"/>
      <c r="AL283" s="403"/>
      <c r="AM283" s="8264"/>
      <c r="AN283" s="1064" cm="1" t="str">
        <f t="array" ref="AN283:AN283">K283</f>
        <v>2071</v>
      </c>
      <c r="AO283" s="1064" t="s">
        <v>2977</v>
      </c>
      <c r="AP283" s="1074" cm="1" t="str">
        <f t="array" ref="AP283:AP283">AP282</f>
        <v>Питьевая вода (Калтанский городской округ)</v>
      </c>
      <c r="AQ283" s="703"/>
      <c r="AR283" s="703"/>
    </row>
    <row s="8264" customFormat="1" customHeight="1" ht="14.25" hidden="1">
      <c r="A284" s="8264"/>
      <c r="B284" s="445">
        <f>K284&lt;first_year+PERIOD_LENGTH</f>
        <v>0</v>
      </c>
      <c r="C284" s="8264"/>
      <c r="D284" s="8264"/>
      <c r="E284" s="703">
        <v>15</v>
      </c>
      <c r="F284" s="50" cm="1" t="str">
        <f t="array" ref="F284:F284">OFFSET(E284,-1,1)</f>
        <v>2</v>
      </c>
      <c r="G284" s="98" cm="1" t="str">
        <f t="array" ref="G284:G284">G283</f>
        <v>Питьевая вода (Калтанский городской округ)</v>
      </c>
      <c r="H284" s="8264"/>
      <c r="I284" s="8264"/>
      <c r="J284" s="8264"/>
      <c r="K284" s="158">
        <f>first_year+46</f>
        <v>2072</v>
      </c>
      <c r="L284" s="8264"/>
      <c r="M284" s="8264"/>
      <c r="N284" s="8264"/>
      <c r="O284" s="8264"/>
      <c r="P284" s="8264"/>
      <c r="Q284" s="8264"/>
      <c r="R284" s="8264"/>
      <c r="S284" s="8264"/>
      <c r="T284" s="465" cm="1" t="str">
        <f t="array" ref="T284:T284">T283</f>
        <v>true</v>
      </c>
      <c r="U284" s="8264"/>
      <c r="V284" s="8264"/>
      <c r="W284" s="8264"/>
      <c r="X284" s="8264"/>
      <c r="Y284" s="8264"/>
      <c r="Z284" s="8264"/>
      <c r="AA284" s="8264"/>
      <c r="AB284" s="255" t="str">
        <f>K284&amp;" год"</f>
        <v>2072 год</v>
      </c>
      <c r="AC284" s="408"/>
      <c r="AD284" s="8281"/>
      <c r="AE284" s="8280"/>
      <c r="AF284" s="8280"/>
      <c r="AG284" s="8281"/>
      <c r="AH284" s="8280"/>
      <c r="AI284" s="8281"/>
      <c r="AJ284" s="8280"/>
      <c r="AK284" s="8282"/>
      <c r="AL284" s="403"/>
      <c r="AM284" s="8264"/>
      <c r="AN284" s="1064" cm="1" t="str">
        <f t="array" ref="AN284:AN284">K284</f>
        <v>2072</v>
      </c>
      <c r="AO284" s="1064" t="s">
        <v>2977</v>
      </c>
      <c r="AP284" s="1074" cm="1" t="str">
        <f t="array" ref="AP284:AP284">AP283</f>
        <v>Питьевая вода (Калтанский городской округ)</v>
      </c>
      <c r="AQ284" s="703"/>
      <c r="AR284" s="703"/>
    </row>
    <row s="8264" customFormat="1" customHeight="1" ht="14.25" hidden="1">
      <c r="A285" s="8264"/>
      <c r="B285" s="445">
        <f>K285&lt;first_year+PERIOD_LENGTH</f>
        <v>0</v>
      </c>
      <c r="C285" s="8264"/>
      <c r="D285" s="8264"/>
      <c r="E285" s="703">
        <v>15</v>
      </c>
      <c r="F285" s="50" cm="1" t="str">
        <f t="array" ref="F285:F285">OFFSET(E285,-1,1)</f>
        <v>2</v>
      </c>
      <c r="G285" s="98" cm="1" t="str">
        <f t="array" ref="G285:G285">G284</f>
        <v>Питьевая вода (Калтанский городской округ)</v>
      </c>
      <c r="H285" s="8264"/>
      <c r="I285" s="8264"/>
      <c r="J285" s="8264"/>
      <c r="K285" s="158">
        <f>first_year+47</f>
        <v>2073</v>
      </c>
      <c r="L285" s="8264"/>
      <c r="M285" s="8264"/>
      <c r="N285" s="8264"/>
      <c r="O285" s="8264"/>
      <c r="P285" s="8264"/>
      <c r="Q285" s="8264"/>
      <c r="R285" s="8264"/>
      <c r="S285" s="8264"/>
      <c r="T285" s="465" cm="1" t="str">
        <f t="array" ref="T285:T285">T284</f>
        <v>true</v>
      </c>
      <c r="U285" s="8264"/>
      <c r="V285" s="8264"/>
      <c r="W285" s="8264"/>
      <c r="X285" s="8264"/>
      <c r="Y285" s="8264"/>
      <c r="Z285" s="8264"/>
      <c r="AA285" s="8264"/>
      <c r="AB285" s="255" t="str">
        <f>K285&amp;" год"</f>
        <v>2073 год</v>
      </c>
      <c r="AC285" s="408"/>
      <c r="AD285" s="8281"/>
      <c r="AE285" s="8280"/>
      <c r="AF285" s="8280"/>
      <c r="AG285" s="8281"/>
      <c r="AH285" s="8280"/>
      <c r="AI285" s="8281"/>
      <c r="AJ285" s="8280"/>
      <c r="AK285" s="8282"/>
      <c r="AL285" s="403"/>
      <c r="AM285" s="8264"/>
      <c r="AN285" s="1064" cm="1" t="str">
        <f t="array" ref="AN285:AN285">K285</f>
        <v>2073</v>
      </c>
      <c r="AO285" s="1064" t="s">
        <v>2977</v>
      </c>
      <c r="AP285" s="1074" cm="1" t="str">
        <f t="array" ref="AP285:AP285">AP284</f>
        <v>Питьевая вода (Калтанский городской округ)</v>
      </c>
      <c r="AQ285" s="703"/>
      <c r="AR285" s="703"/>
    </row>
    <row s="8264" customFormat="1" customHeight="1" ht="14.25" hidden="1">
      <c r="A286" s="8264"/>
      <c r="B286" s="445">
        <f>K286&lt;first_year+PERIOD_LENGTH</f>
        <v>0</v>
      </c>
      <c r="C286" s="8264"/>
      <c r="D286" s="8264"/>
      <c r="E286" s="703">
        <v>15</v>
      </c>
      <c r="F286" s="50" cm="1" t="str">
        <f t="array" ref="F286:F286">OFFSET(E286,-1,1)</f>
        <v>2</v>
      </c>
      <c r="G286" s="98" cm="1" t="str">
        <f t="array" ref="G286:G286">G285</f>
        <v>Питьевая вода (Калтанский городской округ)</v>
      </c>
      <c r="H286" s="8264"/>
      <c r="I286" s="8264"/>
      <c r="J286" s="8264"/>
      <c r="K286" s="158">
        <f>first_year+48</f>
        <v>2074</v>
      </c>
      <c r="L286" s="8264"/>
      <c r="M286" s="8264"/>
      <c r="N286" s="8264"/>
      <c r="O286" s="8264"/>
      <c r="P286" s="8264"/>
      <c r="Q286" s="8264"/>
      <c r="R286" s="8264"/>
      <c r="S286" s="8264"/>
      <c r="T286" s="465" cm="1" t="str">
        <f t="array" ref="T286:T286">T285</f>
        <v>true</v>
      </c>
      <c r="U286" s="8264"/>
      <c r="V286" s="8264"/>
      <c r="W286" s="8264"/>
      <c r="X286" s="8264"/>
      <c r="Y286" s="8264"/>
      <c r="Z286" s="8264"/>
      <c r="AA286" s="8264"/>
      <c r="AB286" s="255" t="str">
        <f>K286&amp;" год"</f>
        <v>2074 год</v>
      </c>
      <c r="AC286" s="408"/>
      <c r="AD286" s="8281"/>
      <c r="AE286" s="8280"/>
      <c r="AF286" s="8280"/>
      <c r="AG286" s="8281"/>
      <c r="AH286" s="8280"/>
      <c r="AI286" s="8281"/>
      <c r="AJ286" s="8280"/>
      <c r="AK286" s="8282"/>
      <c r="AL286" s="403"/>
      <c r="AM286" s="8264"/>
      <c r="AN286" s="1064" cm="1" t="str">
        <f t="array" ref="AN286:AN286">K286</f>
        <v>2074</v>
      </c>
      <c r="AO286" s="1064" t="s">
        <v>2977</v>
      </c>
      <c r="AP286" s="1074" cm="1" t="str">
        <f t="array" ref="AP286:AP286">AP285</f>
        <v>Питьевая вода (Калтанский городской округ)</v>
      </c>
      <c r="AQ286" s="703"/>
      <c r="AR286" s="703"/>
    </row>
    <row s="8264" customFormat="1" customHeight="1" ht="14.25" hidden="1">
      <c r="A287" s="8264"/>
      <c r="B287" s="445">
        <f>K287&lt;first_year+PERIOD_LENGTH</f>
        <v>0</v>
      </c>
      <c r="C287" s="8264"/>
      <c r="D287" s="8264"/>
      <c r="E287" s="703">
        <v>15</v>
      </c>
      <c r="F287" s="50" cm="1" t="str">
        <f t="array" ref="F287:F287">OFFSET(E287,-1,1)</f>
        <v>2</v>
      </c>
      <c r="G287" s="98" cm="1" t="str">
        <f t="array" ref="G287:G287">G286</f>
        <v>Питьевая вода (Калтанский городской округ)</v>
      </c>
      <c r="H287" s="8264"/>
      <c r="I287" s="8264"/>
      <c r="J287" s="8264"/>
      <c r="K287" s="158">
        <f>first_year+49</f>
        <v>2075</v>
      </c>
      <c r="L287" s="8264"/>
      <c r="M287" s="8264"/>
      <c r="N287" s="8264"/>
      <c r="O287" s="8264"/>
      <c r="P287" s="8264"/>
      <c r="Q287" s="8264"/>
      <c r="R287" s="8264"/>
      <c r="S287" s="8264"/>
      <c r="T287" s="465" cm="1" t="str">
        <f t="array" ref="T287:T287">T286</f>
        <v>true</v>
      </c>
      <c r="U287" s="8264"/>
      <c r="V287" s="8264"/>
      <c r="W287" s="8264"/>
      <c r="X287" s="8264"/>
      <c r="Y287" s="8264"/>
      <c r="Z287" s="8264"/>
      <c r="AA287" s="8264"/>
      <c r="AB287" s="255" t="str">
        <f>K287&amp;" год"</f>
        <v>2075 год</v>
      </c>
      <c r="AC287" s="408"/>
      <c r="AD287" s="8281"/>
      <c r="AE287" s="8280"/>
      <c r="AF287" s="8280"/>
      <c r="AG287" s="8281"/>
      <c r="AH287" s="8280"/>
      <c r="AI287" s="8281"/>
      <c r="AJ287" s="8280"/>
      <c r="AK287" s="8282"/>
      <c r="AL287" s="403"/>
      <c r="AM287" s="8264"/>
      <c r="AN287" s="1064" cm="1" t="str">
        <f t="array" ref="AN287:AN287">K287</f>
        <v>2075</v>
      </c>
      <c r="AO287" s="1064" t="s">
        <v>2977</v>
      </c>
      <c r="AP287" s="1074" cm="1" t="str">
        <f t="array" ref="AP287:AP287">AP286</f>
        <v>Питьевая вода (Калтанский городской округ)</v>
      </c>
      <c r="AQ287" s="703"/>
      <c r="AR287" s="703"/>
    </row>
    <row s="1834" customFormat="1" customHeight="1" ht="14.25">
      <c r="A288" s="158"/>
      <c r="B288" s="432"/>
      <c r="C288" s="158"/>
      <c r="D288" s="158"/>
      <c r="E288" s="703">
        <v>15</v>
      </c>
      <c r="F288" s="1175" cm="1" t="str">
        <f t="array" ref="F288:F288">OFFSET(E288,-1,1)</f>
        <v>2</v>
      </c>
      <c r="G288" s="158" t="str">
        <f>"!== 'не определено'"</f>
        <v>!== 'не определено'</v>
      </c>
      <c r="H288" s="158"/>
      <c r="I288" s="158"/>
      <c r="J288" s="158"/>
      <c r="K288" s="158"/>
      <c r="L288" s="158"/>
      <c r="M288" s="158"/>
      <c r="N288" s="158"/>
      <c r="O288" s="158"/>
      <c r="P288" s="158"/>
      <c r="Q288" s="158"/>
      <c r="R288" s="158"/>
      <c r="S288" s="158"/>
      <c r="T288" s="465">
        <f>F288&gt;0</f>
        <v>1</v>
      </c>
      <c r="U288" s="158"/>
      <c r="V288" s="158"/>
      <c r="W288" s="829" t="s">
        <v>2978</v>
      </c>
      <c r="X288" s="1563"/>
      <c r="Y288" s="158"/>
      <c r="Z288" s="1546"/>
      <c r="AA288" s="158"/>
      <c r="AB288" s="938" t="s">
        <v>178</v>
      </c>
      <c r="AC288" s="304"/>
      <c r="AD288" s="304"/>
      <c r="AE288" s="304"/>
      <c r="AF288" s="304"/>
      <c r="AG288" s="304"/>
      <c r="AH288" s="304"/>
      <c r="AI288" s="304"/>
      <c r="AJ288" s="304"/>
      <c r="AK288" s="304"/>
      <c r="AL288" s="403"/>
      <c r="AM288" s="1834"/>
      <c r="AN288" s="1004"/>
      <c r="AO288" s="1004"/>
      <c r="AP288" s="1004"/>
      <c r="AQ288" s="1007" t="s">
        <v>2977</v>
      </c>
      <c r="AR288" s="624"/>
    </row>
    <row s="538" customFormat="1" customHeight="1" ht="14.25">
      <c r="A289" s="1758"/>
      <c r="B289" s="428"/>
      <c r="C289" s="1758"/>
      <c r="D289" s="1758"/>
      <c r="E289" s="618">
        <v>15</v>
      </c>
      <c r="F289" s="98" cm="1" t="str">
        <f t="array" ref="F289:F289">X289</f>
        <v>3</v>
      </c>
      <c r="G289" s="1758"/>
      <c r="H289" s="1758"/>
      <c r="I289" s="1758"/>
      <c r="J289" s="1758"/>
      <c r="K289" s="1758"/>
      <c r="L289" s="1758"/>
      <c r="M289" s="1758"/>
      <c r="N289" s="1758"/>
      <c r="O289" s="1758"/>
      <c r="P289" s="1758"/>
      <c r="Q289" s="1758"/>
      <c r="R289" s="1758"/>
      <c r="S289" s="1758"/>
      <c r="T289" s="465">
        <f>X289&gt;0</f>
        <v>1</v>
      </c>
      <c r="U289" s="1758"/>
      <c r="V289" s="122" cm="1" t="str">
        <f t="array" ref="V289:V289">ДПР!$AB$183</f>
        <v>Тариф 3 (Водоотведение) - тариф на водоотведение (Доп. признак не требуется)</v>
      </c>
      <c r="W289" s="1758"/>
      <c r="X289" s="1563" t="s">
        <v>289</v>
      </c>
      <c r="Y289" s="1758"/>
      <c r="Z289" s="1546"/>
      <c r="AA289" s="1758"/>
      <c r="AB289" s="381" cm="1" t="str">
        <f t="array" ref="AB289:AB289">ДПР!$AB$183</f>
        <v>Тариф 3 (Водоотведение) - тариф на водоотведение (Доп. признак не требуется)</v>
      </c>
      <c r="AC289" s="243"/>
      <c r="AD289" s="243"/>
      <c r="AE289" s="243"/>
      <c r="AF289" s="243"/>
      <c r="AG289" s="243"/>
      <c r="AH289" s="243"/>
      <c r="AI289" s="243"/>
      <c r="AJ289" s="243"/>
      <c r="AK289" s="243"/>
      <c r="AL289" s="402"/>
      <c r="AM289" s="1758"/>
      <c r="AN289" s="997"/>
      <c r="AO289" s="997"/>
      <c r="AP289" s="997"/>
      <c r="AQ289" s="618"/>
      <c r="AR289" s="618"/>
    </row>
    <row s="538" customFormat="1" customHeight="1" ht="14.25" hidden="1">
      <c r="E290" s="618">
        <v>15</v>
      </c>
      <c r="F290" s="50" cm="1" t="str">
        <f t="array" ref="F290:F290">OFFSET(E290,-1,1)</f>
        <v>3</v>
      </c>
      <c r="G290" s="122" cm="1" t="str">
        <f t="array" ref="G290:G290">AB290</f>
        <v>0</v>
      </c>
      <c r="T290" s="465">
        <f>AND(F290&gt;0,Y290&gt;0)</f>
        <v>0</v>
      </c>
      <c r="W290" s="122" t="s">
        <v>174</v>
      </c>
      <c r="Y290" s="1563">
        <v>0</v>
      </c>
      <c r="AA290" s="1648" t="s">
        <v>175</v>
      </c>
      <c r="AB290" s="8297"/>
      <c r="AC290" s="8297"/>
      <c r="AD290" s="8297"/>
      <c r="AE290" s="8297"/>
      <c r="AF290" s="8297"/>
      <c r="AG290" s="8297"/>
      <c r="AH290" s="8297"/>
      <c r="AI290" s="8297"/>
      <c r="AJ290" s="8297"/>
      <c r="AK290" s="8298"/>
      <c r="AL290" s="402"/>
      <c r="AN290" s="997"/>
      <c r="AO290" s="1064" t="s">
        <v>2977</v>
      </c>
      <c r="AP290" s="1050" cm="1" t="str">
        <f t="array" ref="AP290:AP290">AB290</f>
        <v>0</v>
      </c>
      <c r="AQ290" s="618"/>
      <c r="AR290" s="618" t="b">
        <v>1</v>
      </c>
    </row>
    <row s="8264" customFormat="1" customHeight="1" ht="14.25" hidden="1">
      <c r="B291" s="445">
        <f>K291&lt;first_year+PERIOD_LENGTH</f>
        <v>1</v>
      </c>
      <c r="E291" s="703">
        <v>15</v>
      </c>
      <c r="F291" s="50" cm="1" t="str">
        <f t="array" ref="F291:F291">OFFSET(E291,-1,1)</f>
        <v>3</v>
      </c>
      <c r="G291" s="98" cm="1" t="str">
        <f t="array" ref="G291:G291">G290</f>
        <v>0</v>
      </c>
      <c r="K291" s="158" cm="1" t="str">
        <f t="array" ref="K291:K291">first_year</f>
        <v>2026</v>
      </c>
      <c r="T291" s="465" cm="1" t="str">
        <f t="array" ref="T291:T291">T290</f>
        <v>false</v>
      </c>
      <c r="AB291" s="302" t="str">
        <f>K291&amp;" год"</f>
        <v>2026 год</v>
      </c>
      <c r="AC291" s="8299"/>
      <c r="AD291" s="8300"/>
      <c r="AE291" s="8299"/>
      <c r="AF291" s="8299"/>
      <c r="AG291" s="8300"/>
      <c r="AH291" s="8299"/>
      <c r="AI291" s="8300"/>
      <c r="AJ291" s="8299"/>
      <c r="AK291" s="8301"/>
      <c r="AL291" s="403"/>
      <c r="AN291" s="1064" cm="1" t="str">
        <f t="array" ref="AN291:AN291">K291</f>
        <v>2026</v>
      </c>
      <c r="AO291" s="1064" t="s">
        <v>2977</v>
      </c>
      <c r="AP291" s="1074" cm="1" t="str">
        <f t="array" ref="AP291:AP291">AP290</f>
        <v>0</v>
      </c>
      <c r="AQ291" s="703"/>
      <c r="AR291" s="703"/>
    </row>
    <row s="8264" customFormat="1" customHeight="1" ht="14.25" hidden="1">
      <c r="B292" s="445">
        <f>K292&lt;first_year+PERIOD_LENGTH</f>
        <v>1</v>
      </c>
      <c r="E292" s="703">
        <v>15</v>
      </c>
      <c r="F292" s="50" cm="1" t="str">
        <f t="array" ref="F292:F292">OFFSET(E292,-1,1)</f>
        <v>3</v>
      </c>
      <c r="G292" s="98" cm="1" t="str">
        <f t="array" ref="G292:G292">G291</f>
        <v>0</v>
      </c>
      <c r="K292" s="158">
        <f>first_year+1</f>
        <v>2027</v>
      </c>
      <c r="T292" s="465" cm="1" t="str">
        <f t="array" ref="T292:T292">T291</f>
        <v>false</v>
      </c>
      <c r="AB292" s="255" t="str">
        <f>K292&amp;" год"</f>
        <v>2027 год</v>
      </c>
      <c r="AC292" s="408"/>
      <c r="AD292" s="8300"/>
      <c r="AE292" s="8299"/>
      <c r="AF292" s="8299"/>
      <c r="AG292" s="8300"/>
      <c r="AH292" s="8299"/>
      <c r="AI292" s="8300"/>
      <c r="AJ292" s="8299"/>
      <c r="AK292" s="8301"/>
      <c r="AL292" s="403"/>
      <c r="AN292" s="1064" cm="1" t="str">
        <f t="array" ref="AN292:AN292">K292</f>
        <v>2027</v>
      </c>
      <c r="AO292" s="1064" t="s">
        <v>2977</v>
      </c>
      <c r="AP292" s="1074" cm="1" t="str">
        <f t="array" ref="AP292:AP292">AP291</f>
        <v>0</v>
      </c>
      <c r="AQ292" s="703"/>
      <c r="AR292" s="703"/>
    </row>
    <row s="8264" customFormat="1" customHeight="1" ht="14.25" hidden="1">
      <c r="B293" s="445">
        <f>K293&lt;first_year+PERIOD_LENGTH</f>
        <v>1</v>
      </c>
      <c r="E293" s="703">
        <v>15</v>
      </c>
      <c r="F293" s="50" cm="1" t="str">
        <f t="array" ref="F293:F293">OFFSET(E293,-1,1)</f>
        <v>3</v>
      </c>
      <c r="G293" s="98" cm="1" t="str">
        <f t="array" ref="G293:G293">G292</f>
        <v>0</v>
      </c>
      <c r="K293" s="158">
        <f>first_year+2</f>
        <v>2028</v>
      </c>
      <c r="T293" s="465" cm="1" t="str">
        <f t="array" ref="T293:T293">T292</f>
        <v>false</v>
      </c>
      <c r="AB293" s="255" t="str">
        <f>K293&amp;" год"</f>
        <v>2028 год</v>
      </c>
      <c r="AC293" s="408"/>
      <c r="AD293" s="8300"/>
      <c r="AE293" s="8299"/>
      <c r="AF293" s="8299"/>
      <c r="AG293" s="8300"/>
      <c r="AH293" s="8299"/>
      <c r="AI293" s="8300"/>
      <c r="AJ293" s="8299"/>
      <c r="AK293" s="8301"/>
      <c r="AL293" s="403"/>
      <c r="AN293" s="1064" cm="1" t="str">
        <f t="array" ref="AN293:AN293">K293</f>
        <v>2028</v>
      </c>
      <c r="AO293" s="1064" t="s">
        <v>2977</v>
      </c>
      <c r="AP293" s="1074" cm="1" t="str">
        <f t="array" ref="AP293:AP293">AP292</f>
        <v>0</v>
      </c>
      <c r="AQ293" s="703"/>
      <c r="AR293" s="703"/>
    </row>
    <row s="8264" customFormat="1" customHeight="1" ht="14.25" hidden="1">
      <c r="B294" s="445">
        <f>K294&lt;first_year+PERIOD_LENGTH</f>
        <v>1</v>
      </c>
      <c r="E294" s="703">
        <v>15</v>
      </c>
      <c r="F294" s="50" cm="1" t="str">
        <f t="array" ref="F294:F294">OFFSET(E294,-1,1)</f>
        <v>3</v>
      </c>
      <c r="G294" s="98" cm="1" t="str">
        <f t="array" ref="G294:G294">G293</f>
        <v>0</v>
      </c>
      <c r="K294" s="158">
        <f>first_year+3</f>
        <v>2029</v>
      </c>
      <c r="T294" s="465" cm="1" t="str">
        <f t="array" ref="T294:T294">T293</f>
        <v>false</v>
      </c>
      <c r="AB294" s="255" t="str">
        <f>K294&amp;" год"</f>
        <v>2029 год</v>
      </c>
      <c r="AC294" s="408"/>
      <c r="AD294" s="8300"/>
      <c r="AE294" s="8299"/>
      <c r="AF294" s="8299"/>
      <c r="AG294" s="8300"/>
      <c r="AH294" s="8299"/>
      <c r="AI294" s="8300"/>
      <c r="AJ294" s="8299"/>
      <c r="AK294" s="8301"/>
      <c r="AL294" s="403"/>
      <c r="AN294" s="1064" cm="1" t="str">
        <f t="array" ref="AN294:AN294">K294</f>
        <v>2029</v>
      </c>
      <c r="AO294" s="1064" t="s">
        <v>2977</v>
      </c>
      <c r="AP294" s="1074" cm="1" t="str">
        <f t="array" ref="AP294:AP294">AP293</f>
        <v>0</v>
      </c>
      <c r="AQ294" s="703"/>
      <c r="AR294" s="703"/>
    </row>
    <row s="8264" customFormat="1" customHeight="1" ht="14.25" hidden="1">
      <c r="B295" s="445">
        <f>K295&lt;first_year+PERIOD_LENGTH</f>
        <v>1</v>
      </c>
      <c r="E295" s="703">
        <v>15</v>
      </c>
      <c r="F295" s="50" cm="1" t="str">
        <f t="array" ref="F295:F295">OFFSET(E295,-1,1)</f>
        <v>3</v>
      </c>
      <c r="G295" s="98" cm="1" t="str">
        <f t="array" ref="G295:G295">G294</f>
        <v>0</v>
      </c>
      <c r="K295" s="158">
        <f>first_year+4</f>
        <v>2030</v>
      </c>
      <c r="T295" s="465" cm="1" t="str">
        <f t="array" ref="T295:T295">T294</f>
        <v>false</v>
      </c>
      <c r="AB295" s="255" t="str">
        <f>K295&amp;" год"</f>
        <v>2030 год</v>
      </c>
      <c r="AC295" s="408"/>
      <c r="AD295" s="8300"/>
      <c r="AE295" s="8299"/>
      <c r="AF295" s="8299"/>
      <c r="AG295" s="8300"/>
      <c r="AH295" s="8299"/>
      <c r="AI295" s="8300"/>
      <c r="AJ295" s="8299"/>
      <c r="AK295" s="8301"/>
      <c r="AL295" s="403"/>
      <c r="AN295" s="1064" cm="1" t="str">
        <f t="array" ref="AN295:AN295">K295</f>
        <v>2030</v>
      </c>
      <c r="AO295" s="1064" t="s">
        <v>2977</v>
      </c>
      <c r="AP295" s="1074" cm="1" t="str">
        <f t="array" ref="AP295:AP295">AP294</f>
        <v>0</v>
      </c>
      <c r="AQ295" s="703"/>
      <c r="AR295" s="703"/>
    </row>
    <row s="8264" customFormat="1" customHeight="1" ht="14.25" hidden="1">
      <c r="B296" s="445">
        <f>K296&lt;first_year+PERIOD_LENGTH</f>
        <v>0</v>
      </c>
      <c r="E296" s="703">
        <v>15</v>
      </c>
      <c r="F296" s="50" cm="1" t="str">
        <f t="array" ref="F296:F296">OFFSET(E296,-1,1)</f>
        <v>3</v>
      </c>
      <c r="G296" s="98" cm="1" t="str">
        <f t="array" ref="G296:G296">G295</f>
        <v>0</v>
      </c>
      <c r="K296" s="158">
        <f>first_year+5</f>
        <v>2031</v>
      </c>
      <c r="T296" s="465" cm="1" t="str">
        <f t="array" ref="T296:T296">T295</f>
        <v>false</v>
      </c>
      <c r="AB296" s="255" t="str">
        <f>K296&amp;" год"</f>
        <v>2031 год</v>
      </c>
      <c r="AC296" s="408"/>
      <c r="AD296" s="8300"/>
      <c r="AE296" s="8299"/>
      <c r="AF296" s="8299"/>
      <c r="AG296" s="8300"/>
      <c r="AH296" s="8299"/>
      <c r="AI296" s="8300"/>
      <c r="AJ296" s="8299"/>
      <c r="AK296" s="8301"/>
      <c r="AL296" s="403"/>
      <c r="AN296" s="1064" cm="1" t="str">
        <f t="array" ref="AN296:AN296">K296</f>
        <v>2031</v>
      </c>
      <c r="AO296" s="1064" t="s">
        <v>2977</v>
      </c>
      <c r="AP296" s="1074" cm="1" t="str">
        <f t="array" ref="AP296:AP296">AP295</f>
        <v>0</v>
      </c>
      <c r="AQ296" s="703"/>
      <c r="AR296" s="703"/>
    </row>
    <row s="8264" customFormat="1" customHeight="1" ht="14.25" hidden="1">
      <c r="B297" s="445">
        <f>K297&lt;first_year+PERIOD_LENGTH</f>
        <v>0</v>
      </c>
      <c r="E297" s="703">
        <v>15</v>
      </c>
      <c r="F297" s="50" cm="1" t="str">
        <f t="array" ref="F297:F297">OFFSET(E297,-1,1)</f>
        <v>3</v>
      </c>
      <c r="G297" s="98" cm="1" t="str">
        <f t="array" ref="G297:G297">G296</f>
        <v>0</v>
      </c>
      <c r="K297" s="158">
        <f>first_year+6</f>
        <v>2032</v>
      </c>
      <c r="T297" s="465" cm="1" t="str">
        <f t="array" ref="T297:T297">T296</f>
        <v>false</v>
      </c>
      <c r="AB297" s="255" t="str">
        <f>K297&amp;" год"</f>
        <v>2032 год</v>
      </c>
      <c r="AC297" s="408"/>
      <c r="AD297" s="8300"/>
      <c r="AE297" s="8299"/>
      <c r="AF297" s="8299"/>
      <c r="AG297" s="8300"/>
      <c r="AH297" s="8299"/>
      <c r="AI297" s="8300"/>
      <c r="AJ297" s="8299"/>
      <c r="AK297" s="8301"/>
      <c r="AL297" s="403"/>
      <c r="AN297" s="1064" cm="1" t="str">
        <f t="array" ref="AN297:AN297">K297</f>
        <v>2032</v>
      </c>
      <c r="AO297" s="1064" t="s">
        <v>2977</v>
      </c>
      <c r="AP297" s="1074" cm="1" t="str">
        <f t="array" ref="AP297:AP297">AP296</f>
        <v>0</v>
      </c>
      <c r="AQ297" s="703"/>
      <c r="AR297" s="703"/>
    </row>
    <row s="8264" customFormat="1" customHeight="1" ht="14.25" hidden="1">
      <c r="B298" s="445">
        <f>K298&lt;first_year+PERIOD_LENGTH</f>
        <v>0</v>
      </c>
      <c r="E298" s="703">
        <v>15</v>
      </c>
      <c r="F298" s="50" cm="1" t="str">
        <f t="array" ref="F298:F298">OFFSET(E298,-1,1)</f>
        <v>3</v>
      </c>
      <c r="G298" s="98" cm="1" t="str">
        <f t="array" ref="G298:G298">G297</f>
        <v>0</v>
      </c>
      <c r="K298" s="158">
        <f>first_year+7</f>
        <v>2033</v>
      </c>
      <c r="T298" s="465" cm="1" t="str">
        <f t="array" ref="T298:T298">T297</f>
        <v>false</v>
      </c>
      <c r="AB298" s="255" t="str">
        <f>K298&amp;" год"</f>
        <v>2033 год</v>
      </c>
      <c r="AC298" s="408"/>
      <c r="AD298" s="8300"/>
      <c r="AE298" s="8299"/>
      <c r="AF298" s="8299"/>
      <c r="AG298" s="8300"/>
      <c r="AH298" s="8299"/>
      <c r="AI298" s="8300"/>
      <c r="AJ298" s="8299"/>
      <c r="AK298" s="8301"/>
      <c r="AL298" s="403"/>
      <c r="AN298" s="1064" cm="1" t="str">
        <f t="array" ref="AN298:AN298">K298</f>
        <v>2033</v>
      </c>
      <c r="AO298" s="1064" t="s">
        <v>2977</v>
      </c>
      <c r="AP298" s="1074" cm="1" t="str">
        <f t="array" ref="AP298:AP298">AP297</f>
        <v>0</v>
      </c>
      <c r="AQ298" s="703"/>
      <c r="AR298" s="703"/>
    </row>
    <row s="8264" customFormat="1" customHeight="1" ht="14.25" hidden="1">
      <c r="B299" s="445">
        <f>K299&lt;first_year+PERIOD_LENGTH</f>
        <v>0</v>
      </c>
      <c r="E299" s="703">
        <v>15</v>
      </c>
      <c r="F299" s="50" cm="1" t="str">
        <f t="array" ref="F299:F299">OFFSET(E299,-1,1)</f>
        <v>3</v>
      </c>
      <c r="G299" s="98" cm="1" t="str">
        <f t="array" ref="G299:G299">G298</f>
        <v>0</v>
      </c>
      <c r="K299" s="158">
        <f>first_year+8</f>
        <v>2034</v>
      </c>
      <c r="T299" s="465" cm="1" t="str">
        <f t="array" ref="T299:T299">T298</f>
        <v>false</v>
      </c>
      <c r="AB299" s="255" t="str">
        <f>K299&amp;" год"</f>
        <v>2034 год</v>
      </c>
      <c r="AC299" s="408"/>
      <c r="AD299" s="8300"/>
      <c r="AE299" s="8299"/>
      <c r="AF299" s="8299"/>
      <c r="AG299" s="8300"/>
      <c r="AH299" s="8299"/>
      <c r="AI299" s="8300"/>
      <c r="AJ299" s="8299"/>
      <c r="AK299" s="8301"/>
      <c r="AL299" s="403"/>
      <c r="AN299" s="1064" cm="1" t="str">
        <f t="array" ref="AN299:AN299">K299</f>
        <v>2034</v>
      </c>
      <c r="AO299" s="1064" t="s">
        <v>2977</v>
      </c>
      <c r="AP299" s="1074" cm="1" t="str">
        <f t="array" ref="AP299:AP299">AP298</f>
        <v>0</v>
      </c>
      <c r="AQ299" s="703"/>
      <c r="AR299" s="703"/>
    </row>
    <row s="8264" customFormat="1" customHeight="1" ht="14.25" hidden="1">
      <c r="B300" s="445">
        <f>K300&lt;first_year+PERIOD_LENGTH</f>
        <v>0</v>
      </c>
      <c r="E300" s="703">
        <v>15</v>
      </c>
      <c r="F300" s="50" cm="1" t="str">
        <f t="array" ref="F300:F300">OFFSET(E300,-1,1)</f>
        <v>3</v>
      </c>
      <c r="G300" s="98" cm="1" t="str">
        <f t="array" ref="G300:G300">G299</f>
        <v>0</v>
      </c>
      <c r="K300" s="158">
        <f>first_year+9</f>
        <v>2035</v>
      </c>
      <c r="T300" s="465" cm="1" t="str">
        <f t="array" ref="T300:T300">T299</f>
        <v>false</v>
      </c>
      <c r="AB300" s="255" t="str">
        <f>K300&amp;" год"</f>
        <v>2035 год</v>
      </c>
      <c r="AC300" s="408"/>
      <c r="AD300" s="8300"/>
      <c r="AE300" s="8299"/>
      <c r="AF300" s="8299"/>
      <c r="AG300" s="8300"/>
      <c r="AH300" s="8299"/>
      <c r="AI300" s="8300"/>
      <c r="AJ300" s="8299"/>
      <c r="AK300" s="8301"/>
      <c r="AL300" s="403"/>
      <c r="AN300" s="1064" cm="1" t="str">
        <f t="array" ref="AN300:AN300">K300</f>
        <v>2035</v>
      </c>
      <c r="AO300" s="1064" t="s">
        <v>2977</v>
      </c>
      <c r="AP300" s="1074" cm="1" t="str">
        <f t="array" ref="AP300:AP300">AP299</f>
        <v>0</v>
      </c>
      <c r="AQ300" s="703"/>
      <c r="AR300" s="703"/>
    </row>
    <row s="8264" customFormat="1" customHeight="1" ht="14.25" hidden="1">
      <c r="B301" s="445">
        <f>K301&lt;first_year+PERIOD_LENGTH</f>
        <v>0</v>
      </c>
      <c r="E301" s="703">
        <v>15</v>
      </c>
      <c r="F301" s="50" cm="1" t="str">
        <f t="array" ref="F301:F301">OFFSET(E301,-1,1)</f>
        <v>3</v>
      </c>
      <c r="G301" s="98" cm="1" t="str">
        <f t="array" ref="G301:G301">G300</f>
        <v>0</v>
      </c>
      <c r="K301" s="158">
        <f>first_year+10</f>
        <v>2036</v>
      </c>
      <c r="T301" s="465" cm="1" t="str">
        <f t="array" ref="T301:T301">T300</f>
        <v>false</v>
      </c>
      <c r="AB301" s="255" t="str">
        <f>K301&amp;" год"</f>
        <v>2036 год</v>
      </c>
      <c r="AC301" s="408"/>
      <c r="AD301" s="8300"/>
      <c r="AE301" s="8299"/>
      <c r="AF301" s="8299"/>
      <c r="AG301" s="8300"/>
      <c r="AH301" s="8299"/>
      <c r="AI301" s="8300"/>
      <c r="AJ301" s="8299"/>
      <c r="AK301" s="8301"/>
      <c r="AL301" s="403"/>
      <c r="AN301" s="1064" cm="1" t="str">
        <f t="array" ref="AN301:AN301">K301</f>
        <v>2036</v>
      </c>
      <c r="AO301" s="1064" t="s">
        <v>2977</v>
      </c>
      <c r="AP301" s="1074" cm="1" t="str">
        <f t="array" ref="AP301:AP301">AP300</f>
        <v>0</v>
      </c>
      <c r="AQ301" s="703"/>
      <c r="AR301" s="703"/>
    </row>
    <row s="8264" customFormat="1" customHeight="1" ht="14.25" hidden="1">
      <c r="B302" s="445">
        <f>K302&lt;first_year+PERIOD_LENGTH</f>
        <v>0</v>
      </c>
      <c r="E302" s="703">
        <v>15</v>
      </c>
      <c r="F302" s="50" cm="1" t="str">
        <f t="array" ref="F302:F302">OFFSET(E302,-1,1)</f>
        <v>3</v>
      </c>
      <c r="G302" s="98" cm="1" t="str">
        <f t="array" ref="G302:G302">G301</f>
        <v>0</v>
      </c>
      <c r="K302" s="158">
        <f>first_year+11</f>
        <v>2037</v>
      </c>
      <c r="T302" s="465" cm="1" t="str">
        <f t="array" ref="T302:T302">T301</f>
        <v>false</v>
      </c>
      <c r="AB302" s="255" t="str">
        <f>K302&amp;" год"</f>
        <v>2037 год</v>
      </c>
      <c r="AC302" s="408"/>
      <c r="AD302" s="8300"/>
      <c r="AE302" s="8299"/>
      <c r="AF302" s="8299"/>
      <c r="AG302" s="8300"/>
      <c r="AH302" s="8299"/>
      <c r="AI302" s="8300"/>
      <c r="AJ302" s="8299"/>
      <c r="AK302" s="8301"/>
      <c r="AL302" s="403"/>
      <c r="AN302" s="1064" cm="1" t="str">
        <f t="array" ref="AN302:AN302">K302</f>
        <v>2037</v>
      </c>
      <c r="AO302" s="1064" t="s">
        <v>2977</v>
      </c>
      <c r="AP302" s="1074" cm="1" t="str">
        <f t="array" ref="AP302:AP302">AP301</f>
        <v>0</v>
      </c>
      <c r="AQ302" s="703"/>
      <c r="AR302" s="703"/>
    </row>
    <row s="8264" customFormat="1" customHeight="1" ht="14.25" hidden="1">
      <c r="B303" s="445">
        <f>K303&lt;first_year+PERIOD_LENGTH</f>
        <v>0</v>
      </c>
      <c r="E303" s="703">
        <v>15</v>
      </c>
      <c r="F303" s="50" cm="1" t="str">
        <f t="array" ref="F303:F303">OFFSET(E303,-1,1)</f>
        <v>3</v>
      </c>
      <c r="G303" s="98" cm="1" t="str">
        <f t="array" ref="G303:G303">G302</f>
        <v>0</v>
      </c>
      <c r="K303" s="158">
        <f>first_year+12</f>
        <v>2038</v>
      </c>
      <c r="T303" s="465" cm="1" t="str">
        <f t="array" ref="T303:T303">T302</f>
        <v>false</v>
      </c>
      <c r="AB303" s="255" t="str">
        <f>K303&amp;" год"</f>
        <v>2038 год</v>
      </c>
      <c r="AC303" s="408"/>
      <c r="AD303" s="8300"/>
      <c r="AE303" s="8299"/>
      <c r="AF303" s="8299"/>
      <c r="AG303" s="8300"/>
      <c r="AH303" s="8299"/>
      <c r="AI303" s="8300"/>
      <c r="AJ303" s="8299"/>
      <c r="AK303" s="8301"/>
      <c r="AL303" s="403"/>
      <c r="AN303" s="1064" cm="1" t="str">
        <f t="array" ref="AN303:AN303">K303</f>
        <v>2038</v>
      </c>
      <c r="AO303" s="1064" t="s">
        <v>2977</v>
      </c>
      <c r="AP303" s="1074" cm="1" t="str">
        <f t="array" ref="AP303:AP303">AP302</f>
        <v>0</v>
      </c>
      <c r="AQ303" s="703"/>
      <c r="AR303" s="703"/>
    </row>
    <row s="8264" customFormat="1" customHeight="1" ht="14.25" hidden="1">
      <c r="B304" s="445">
        <f>K304&lt;first_year+PERIOD_LENGTH</f>
        <v>0</v>
      </c>
      <c r="E304" s="703">
        <v>15</v>
      </c>
      <c r="F304" s="50" cm="1" t="str">
        <f t="array" ref="F304:F304">OFFSET(E304,-1,1)</f>
        <v>3</v>
      </c>
      <c r="G304" s="98" cm="1" t="str">
        <f t="array" ref="G304:G304">G303</f>
        <v>0</v>
      </c>
      <c r="K304" s="158">
        <f>first_year+13</f>
        <v>2039</v>
      </c>
      <c r="T304" s="465" cm="1" t="str">
        <f t="array" ref="T304:T304">T303</f>
        <v>false</v>
      </c>
      <c r="AB304" s="255" t="str">
        <f>K304&amp;" год"</f>
        <v>2039 год</v>
      </c>
      <c r="AC304" s="408"/>
      <c r="AD304" s="8300"/>
      <c r="AE304" s="8299"/>
      <c r="AF304" s="8299"/>
      <c r="AG304" s="8300"/>
      <c r="AH304" s="8299"/>
      <c r="AI304" s="8300"/>
      <c r="AJ304" s="8299"/>
      <c r="AK304" s="8301"/>
      <c r="AL304" s="403"/>
      <c r="AN304" s="1064" cm="1" t="str">
        <f t="array" ref="AN304:AN304">K304</f>
        <v>2039</v>
      </c>
      <c r="AO304" s="1064" t="s">
        <v>2977</v>
      </c>
      <c r="AP304" s="1074" cm="1" t="str">
        <f t="array" ref="AP304:AP304">AP303</f>
        <v>0</v>
      </c>
      <c r="AQ304" s="703"/>
      <c r="AR304" s="703"/>
    </row>
    <row s="8264" customFormat="1" customHeight="1" ht="14.25" hidden="1">
      <c r="B305" s="445">
        <f>K305&lt;first_year+PERIOD_LENGTH</f>
        <v>0</v>
      </c>
      <c r="E305" s="703">
        <v>15</v>
      </c>
      <c r="F305" s="50" cm="1" t="str">
        <f t="array" ref="F305:F305">OFFSET(E305,-1,1)</f>
        <v>3</v>
      </c>
      <c r="G305" s="98" cm="1" t="str">
        <f t="array" ref="G305:G305">G304</f>
        <v>0</v>
      </c>
      <c r="K305" s="158">
        <f>first_year+14</f>
        <v>2040</v>
      </c>
      <c r="T305" s="465" cm="1" t="str">
        <f t="array" ref="T305:T305">T304</f>
        <v>false</v>
      </c>
      <c r="AB305" s="255" t="str">
        <f>K305&amp;" год"</f>
        <v>2040 год</v>
      </c>
      <c r="AC305" s="408"/>
      <c r="AD305" s="8300"/>
      <c r="AE305" s="8299"/>
      <c r="AF305" s="8299"/>
      <c r="AG305" s="8300"/>
      <c r="AH305" s="8299"/>
      <c r="AI305" s="8300"/>
      <c r="AJ305" s="8299"/>
      <c r="AK305" s="8301"/>
      <c r="AL305" s="403"/>
      <c r="AN305" s="1064" cm="1" t="str">
        <f t="array" ref="AN305:AN305">K305</f>
        <v>2040</v>
      </c>
      <c r="AO305" s="1064" t="s">
        <v>2977</v>
      </c>
      <c r="AP305" s="1074" cm="1" t="str">
        <f t="array" ref="AP305:AP305">AP304</f>
        <v>0</v>
      </c>
      <c r="AQ305" s="703"/>
      <c r="AR305" s="703"/>
    </row>
    <row s="8264" customFormat="1" customHeight="1" ht="14.25" hidden="1">
      <c r="B306" s="445">
        <f>K306&lt;first_year+PERIOD_LENGTH</f>
        <v>0</v>
      </c>
      <c r="E306" s="703">
        <v>15</v>
      </c>
      <c r="F306" s="50" cm="1" t="str">
        <f t="array" ref="F306:F306">OFFSET(E306,-1,1)</f>
        <v>3</v>
      </c>
      <c r="G306" s="98" cm="1" t="str">
        <f t="array" ref="G306:G306">G305</f>
        <v>0</v>
      </c>
      <c r="K306" s="158">
        <f>first_year+15</f>
        <v>2041</v>
      </c>
      <c r="T306" s="465" cm="1" t="str">
        <f t="array" ref="T306:T306">T305</f>
        <v>false</v>
      </c>
      <c r="AB306" s="255" t="str">
        <f>K306&amp;" год"</f>
        <v>2041 год</v>
      </c>
      <c r="AC306" s="408"/>
      <c r="AD306" s="8300"/>
      <c r="AE306" s="8299"/>
      <c r="AF306" s="8299"/>
      <c r="AG306" s="8300"/>
      <c r="AH306" s="8299"/>
      <c r="AI306" s="8300"/>
      <c r="AJ306" s="8299"/>
      <c r="AK306" s="8301"/>
      <c r="AL306" s="403"/>
      <c r="AN306" s="1064" cm="1" t="str">
        <f t="array" ref="AN306:AN306">K306</f>
        <v>2041</v>
      </c>
      <c r="AO306" s="1064" t="s">
        <v>2977</v>
      </c>
      <c r="AP306" s="1074" cm="1" t="str">
        <f t="array" ref="AP306:AP306">AP305</f>
        <v>0</v>
      </c>
      <c r="AQ306" s="703"/>
      <c r="AR306" s="703"/>
    </row>
    <row s="8264" customFormat="1" customHeight="1" ht="14.25" hidden="1">
      <c r="B307" s="445">
        <f>K307&lt;first_year+PERIOD_LENGTH</f>
        <v>0</v>
      </c>
      <c r="E307" s="703">
        <v>15</v>
      </c>
      <c r="F307" s="50" cm="1" t="str">
        <f t="array" ref="F307:F307">OFFSET(E307,-1,1)</f>
        <v>3</v>
      </c>
      <c r="G307" s="98" cm="1" t="str">
        <f t="array" ref="G307:G307">G306</f>
        <v>0</v>
      </c>
      <c r="K307" s="158">
        <f>first_year+16</f>
        <v>2042</v>
      </c>
      <c r="T307" s="465" cm="1" t="str">
        <f t="array" ref="T307:T307">T306</f>
        <v>false</v>
      </c>
      <c r="AB307" s="255" t="str">
        <f>K307&amp;" год"</f>
        <v>2042 год</v>
      </c>
      <c r="AC307" s="408"/>
      <c r="AD307" s="8300"/>
      <c r="AE307" s="8299"/>
      <c r="AF307" s="8299"/>
      <c r="AG307" s="8300"/>
      <c r="AH307" s="8299"/>
      <c r="AI307" s="8300"/>
      <c r="AJ307" s="8299"/>
      <c r="AK307" s="8301"/>
      <c r="AL307" s="403"/>
      <c r="AN307" s="1064" cm="1" t="str">
        <f t="array" ref="AN307:AN307">K307</f>
        <v>2042</v>
      </c>
      <c r="AO307" s="1064" t="s">
        <v>2977</v>
      </c>
      <c r="AP307" s="1074" cm="1" t="str">
        <f t="array" ref="AP307:AP307">AP306</f>
        <v>0</v>
      </c>
      <c r="AQ307" s="703"/>
      <c r="AR307" s="703"/>
    </row>
    <row s="8264" customFormat="1" customHeight="1" ht="14.25" hidden="1">
      <c r="B308" s="445">
        <f>K308&lt;first_year+PERIOD_LENGTH</f>
        <v>0</v>
      </c>
      <c r="E308" s="703">
        <v>15</v>
      </c>
      <c r="F308" s="50" cm="1" t="str">
        <f t="array" ref="F308:F308">OFFSET(E308,-1,1)</f>
        <v>3</v>
      </c>
      <c r="G308" s="98" cm="1" t="str">
        <f t="array" ref="G308:G308">G307</f>
        <v>0</v>
      </c>
      <c r="K308" s="158">
        <f>first_year+17</f>
        <v>2043</v>
      </c>
      <c r="T308" s="465" cm="1" t="str">
        <f t="array" ref="T308:T308">T307</f>
        <v>false</v>
      </c>
      <c r="AB308" s="255" t="str">
        <f>K308&amp;" год"</f>
        <v>2043 год</v>
      </c>
      <c r="AC308" s="408"/>
      <c r="AD308" s="8300"/>
      <c r="AE308" s="8299"/>
      <c r="AF308" s="8299"/>
      <c r="AG308" s="8300"/>
      <c r="AH308" s="8299"/>
      <c r="AI308" s="8300"/>
      <c r="AJ308" s="8299"/>
      <c r="AK308" s="8301"/>
      <c r="AL308" s="403"/>
      <c r="AN308" s="1064" cm="1" t="str">
        <f t="array" ref="AN308:AN308">K308</f>
        <v>2043</v>
      </c>
      <c r="AO308" s="1064" t="s">
        <v>2977</v>
      </c>
      <c r="AP308" s="1074" cm="1" t="str">
        <f t="array" ref="AP308:AP308">AP307</f>
        <v>0</v>
      </c>
      <c r="AQ308" s="703"/>
      <c r="AR308" s="703"/>
    </row>
    <row s="8264" customFormat="1" customHeight="1" ht="14.25" hidden="1">
      <c r="B309" s="445">
        <f>K309&lt;first_year+PERIOD_LENGTH</f>
        <v>0</v>
      </c>
      <c r="E309" s="703">
        <v>15</v>
      </c>
      <c r="F309" s="50" cm="1" t="str">
        <f t="array" ref="F309:F309">OFFSET(E309,-1,1)</f>
        <v>3</v>
      </c>
      <c r="G309" s="98" cm="1" t="str">
        <f t="array" ref="G309:G309">G308</f>
        <v>0</v>
      </c>
      <c r="K309" s="158">
        <f>first_year+18</f>
        <v>2044</v>
      </c>
      <c r="T309" s="465" cm="1" t="str">
        <f t="array" ref="T309:T309">T308</f>
        <v>false</v>
      </c>
      <c r="AB309" s="255" t="str">
        <f>K309&amp;" год"</f>
        <v>2044 год</v>
      </c>
      <c r="AC309" s="408"/>
      <c r="AD309" s="8300"/>
      <c r="AE309" s="8299"/>
      <c r="AF309" s="8299"/>
      <c r="AG309" s="8300"/>
      <c r="AH309" s="8299"/>
      <c r="AI309" s="8300"/>
      <c r="AJ309" s="8299"/>
      <c r="AK309" s="8301"/>
      <c r="AL309" s="403"/>
      <c r="AN309" s="1064" cm="1" t="str">
        <f t="array" ref="AN309:AN309">K309</f>
        <v>2044</v>
      </c>
      <c r="AO309" s="1064" t="s">
        <v>2977</v>
      </c>
      <c r="AP309" s="1074" cm="1" t="str">
        <f t="array" ref="AP309:AP309">AP308</f>
        <v>0</v>
      </c>
      <c r="AQ309" s="703"/>
      <c r="AR309" s="703"/>
    </row>
    <row s="8264" customFormat="1" customHeight="1" ht="14.25" hidden="1">
      <c r="B310" s="445">
        <f>K310&lt;first_year+PERIOD_LENGTH</f>
        <v>0</v>
      </c>
      <c r="E310" s="703">
        <v>15</v>
      </c>
      <c r="F310" s="50" cm="1" t="str">
        <f t="array" ref="F310:F310">OFFSET(E310,-1,1)</f>
        <v>3</v>
      </c>
      <c r="G310" s="98" cm="1" t="str">
        <f t="array" ref="G310:G310">G309</f>
        <v>0</v>
      </c>
      <c r="K310" s="158">
        <f>first_year+19</f>
        <v>2045</v>
      </c>
      <c r="T310" s="465" cm="1" t="str">
        <f t="array" ref="T310:T310">T309</f>
        <v>false</v>
      </c>
      <c r="AB310" s="255" t="str">
        <f>K310&amp;" год"</f>
        <v>2045 год</v>
      </c>
      <c r="AC310" s="408"/>
      <c r="AD310" s="8300"/>
      <c r="AE310" s="8299"/>
      <c r="AF310" s="8299"/>
      <c r="AG310" s="8300"/>
      <c r="AH310" s="8299"/>
      <c r="AI310" s="8300"/>
      <c r="AJ310" s="8299"/>
      <c r="AK310" s="8301"/>
      <c r="AL310" s="403"/>
      <c r="AN310" s="1064" cm="1" t="str">
        <f t="array" ref="AN310:AN310">K310</f>
        <v>2045</v>
      </c>
      <c r="AO310" s="1064" t="s">
        <v>2977</v>
      </c>
      <c r="AP310" s="1074" cm="1" t="str">
        <f t="array" ref="AP310:AP310">AP309</f>
        <v>0</v>
      </c>
      <c r="AQ310" s="703"/>
      <c r="AR310" s="703"/>
    </row>
    <row s="8264" customFormat="1" customHeight="1" ht="14.25" hidden="1">
      <c r="B311" s="445">
        <f>K311&lt;first_year+PERIOD_LENGTH</f>
        <v>0</v>
      </c>
      <c r="E311" s="703">
        <v>15</v>
      </c>
      <c r="F311" s="50" cm="1" t="str">
        <f t="array" ref="F311:F311">OFFSET(E311,-1,1)</f>
        <v>3</v>
      </c>
      <c r="G311" s="98" cm="1" t="str">
        <f t="array" ref="G311:G311">G310</f>
        <v>0</v>
      </c>
      <c r="K311" s="158">
        <f>first_year+20</f>
        <v>2046</v>
      </c>
      <c r="T311" s="465" cm="1" t="str">
        <f t="array" ref="T311:T311">T310</f>
        <v>false</v>
      </c>
      <c r="AB311" s="255" t="str">
        <f>K311&amp;" год"</f>
        <v>2046 год</v>
      </c>
      <c r="AC311" s="408"/>
      <c r="AD311" s="8300"/>
      <c r="AE311" s="8299"/>
      <c r="AF311" s="8299"/>
      <c r="AG311" s="8300"/>
      <c r="AH311" s="8299"/>
      <c r="AI311" s="8300"/>
      <c r="AJ311" s="8299"/>
      <c r="AK311" s="8301"/>
      <c r="AL311" s="403"/>
      <c r="AN311" s="1064" cm="1" t="str">
        <f t="array" ref="AN311:AN311">K311</f>
        <v>2046</v>
      </c>
      <c r="AO311" s="1064" t="s">
        <v>2977</v>
      </c>
      <c r="AP311" s="1074" cm="1" t="str">
        <f t="array" ref="AP311:AP311">AP310</f>
        <v>0</v>
      </c>
      <c r="AQ311" s="703"/>
      <c r="AR311" s="703"/>
    </row>
    <row s="8264" customFormat="1" customHeight="1" ht="14.25" hidden="1">
      <c r="B312" s="445">
        <f>K312&lt;first_year+PERIOD_LENGTH</f>
        <v>0</v>
      </c>
      <c r="E312" s="703">
        <v>15</v>
      </c>
      <c r="F312" s="50" cm="1" t="str">
        <f t="array" ref="F312:F312">OFFSET(E312,-1,1)</f>
        <v>3</v>
      </c>
      <c r="G312" s="98" cm="1" t="str">
        <f t="array" ref="G312:G312">G311</f>
        <v>0</v>
      </c>
      <c r="K312" s="158">
        <f>first_year+21</f>
        <v>2047</v>
      </c>
      <c r="T312" s="465" cm="1" t="str">
        <f t="array" ref="T312:T312">T311</f>
        <v>false</v>
      </c>
      <c r="AB312" s="255" t="str">
        <f>K312&amp;" год"</f>
        <v>2047 год</v>
      </c>
      <c r="AC312" s="408"/>
      <c r="AD312" s="8300"/>
      <c r="AE312" s="8299"/>
      <c r="AF312" s="8299"/>
      <c r="AG312" s="8300"/>
      <c r="AH312" s="8299"/>
      <c r="AI312" s="8300"/>
      <c r="AJ312" s="8299"/>
      <c r="AK312" s="8301"/>
      <c r="AL312" s="403"/>
      <c r="AN312" s="1064" cm="1" t="str">
        <f t="array" ref="AN312:AN312">K312</f>
        <v>2047</v>
      </c>
      <c r="AO312" s="1064" t="s">
        <v>2977</v>
      </c>
      <c r="AP312" s="1074" cm="1" t="str">
        <f t="array" ref="AP312:AP312">AP311</f>
        <v>0</v>
      </c>
      <c r="AQ312" s="703"/>
      <c r="AR312" s="703"/>
    </row>
    <row s="8264" customFormat="1" customHeight="1" ht="14.25" hidden="1">
      <c r="B313" s="445">
        <f>K313&lt;first_year+PERIOD_LENGTH</f>
        <v>0</v>
      </c>
      <c r="E313" s="703">
        <v>15</v>
      </c>
      <c r="F313" s="50" cm="1" t="str">
        <f t="array" ref="F313:F313">OFFSET(E313,-1,1)</f>
        <v>3</v>
      </c>
      <c r="G313" s="98" cm="1" t="str">
        <f t="array" ref="G313:G313">G312</f>
        <v>0</v>
      </c>
      <c r="K313" s="158">
        <f>first_year+22</f>
        <v>2048</v>
      </c>
      <c r="T313" s="465" cm="1" t="str">
        <f t="array" ref="T313:T313">T312</f>
        <v>false</v>
      </c>
      <c r="AB313" s="255" t="str">
        <f>K313&amp;" год"</f>
        <v>2048 год</v>
      </c>
      <c r="AC313" s="408"/>
      <c r="AD313" s="8300"/>
      <c r="AE313" s="8299"/>
      <c r="AF313" s="8299"/>
      <c r="AG313" s="8300"/>
      <c r="AH313" s="8299"/>
      <c r="AI313" s="8300"/>
      <c r="AJ313" s="8299"/>
      <c r="AK313" s="8301"/>
      <c r="AL313" s="403"/>
      <c r="AN313" s="1064" cm="1" t="str">
        <f t="array" ref="AN313:AN313">K313</f>
        <v>2048</v>
      </c>
      <c r="AO313" s="1064" t="s">
        <v>2977</v>
      </c>
      <c r="AP313" s="1074" cm="1" t="str">
        <f t="array" ref="AP313:AP313">AP312</f>
        <v>0</v>
      </c>
      <c r="AQ313" s="703"/>
      <c r="AR313" s="703"/>
    </row>
    <row s="8264" customFormat="1" customHeight="1" ht="14.25" hidden="1">
      <c r="B314" s="445">
        <f>K314&lt;first_year+PERIOD_LENGTH</f>
        <v>0</v>
      </c>
      <c r="E314" s="703">
        <v>15</v>
      </c>
      <c r="F314" s="50" cm="1" t="str">
        <f t="array" ref="F314:F314">OFFSET(E314,-1,1)</f>
        <v>3</v>
      </c>
      <c r="G314" s="98" cm="1" t="str">
        <f t="array" ref="G314:G314">G313</f>
        <v>0</v>
      </c>
      <c r="K314" s="158">
        <f>first_year+23</f>
        <v>2049</v>
      </c>
      <c r="T314" s="465" cm="1" t="str">
        <f t="array" ref="T314:T314">T313</f>
        <v>false</v>
      </c>
      <c r="AB314" s="255" t="str">
        <f>K314&amp;" год"</f>
        <v>2049 год</v>
      </c>
      <c r="AC314" s="408"/>
      <c r="AD314" s="8300"/>
      <c r="AE314" s="8299"/>
      <c r="AF314" s="8299"/>
      <c r="AG314" s="8300"/>
      <c r="AH314" s="8299"/>
      <c r="AI314" s="8300"/>
      <c r="AJ314" s="8299"/>
      <c r="AK314" s="8301"/>
      <c r="AL314" s="403"/>
      <c r="AN314" s="1064" cm="1" t="str">
        <f t="array" ref="AN314:AN314">K314</f>
        <v>2049</v>
      </c>
      <c r="AO314" s="1064" t="s">
        <v>2977</v>
      </c>
      <c r="AP314" s="1074" cm="1" t="str">
        <f t="array" ref="AP314:AP314">AP313</f>
        <v>0</v>
      </c>
      <c r="AQ314" s="703"/>
      <c r="AR314" s="703"/>
    </row>
    <row s="8264" customFormat="1" customHeight="1" ht="14.25" hidden="1">
      <c r="B315" s="445">
        <f>K315&lt;first_year+PERIOD_LENGTH</f>
        <v>0</v>
      </c>
      <c r="E315" s="703">
        <v>15</v>
      </c>
      <c r="F315" s="50" cm="1" t="str">
        <f t="array" ref="F315:F315">OFFSET(E315,-1,1)</f>
        <v>3</v>
      </c>
      <c r="G315" s="98" cm="1" t="str">
        <f t="array" ref="G315:G315">G314</f>
        <v>0</v>
      </c>
      <c r="K315" s="158">
        <f>first_year+24</f>
        <v>2050</v>
      </c>
      <c r="T315" s="465" cm="1" t="str">
        <f t="array" ref="T315:T315">T314</f>
        <v>false</v>
      </c>
      <c r="AB315" s="255" t="str">
        <f>K315&amp;" год"</f>
        <v>2050 год</v>
      </c>
      <c r="AC315" s="408"/>
      <c r="AD315" s="8300"/>
      <c r="AE315" s="8299"/>
      <c r="AF315" s="8299"/>
      <c r="AG315" s="8300"/>
      <c r="AH315" s="8299"/>
      <c r="AI315" s="8300"/>
      <c r="AJ315" s="8299"/>
      <c r="AK315" s="8301"/>
      <c r="AL315" s="403"/>
      <c r="AN315" s="1064" cm="1" t="str">
        <f t="array" ref="AN315:AN315">K315</f>
        <v>2050</v>
      </c>
      <c r="AO315" s="1064" t="s">
        <v>2977</v>
      </c>
      <c r="AP315" s="1074" cm="1" t="str">
        <f t="array" ref="AP315:AP315">AP314</f>
        <v>0</v>
      </c>
      <c r="AQ315" s="703"/>
      <c r="AR315" s="703"/>
    </row>
    <row s="8264" customFormat="1" customHeight="1" ht="14.25" hidden="1">
      <c r="B316" s="445">
        <f>K316&lt;first_year+PERIOD_LENGTH</f>
        <v>0</v>
      </c>
      <c r="E316" s="703">
        <v>15</v>
      </c>
      <c r="F316" s="50" cm="1" t="str">
        <f t="array" ref="F316:F316">OFFSET(E316,-1,1)</f>
        <v>3</v>
      </c>
      <c r="G316" s="98" cm="1" t="str">
        <f t="array" ref="G316:G316">G315</f>
        <v>0</v>
      </c>
      <c r="K316" s="158">
        <f>first_year+25</f>
        <v>2051</v>
      </c>
      <c r="T316" s="465" cm="1" t="str">
        <f t="array" ref="T316:T316">T315</f>
        <v>false</v>
      </c>
      <c r="AB316" s="255" t="str">
        <f>K316&amp;" год"</f>
        <v>2051 год</v>
      </c>
      <c r="AC316" s="408"/>
      <c r="AD316" s="8300"/>
      <c r="AE316" s="8299"/>
      <c r="AF316" s="8299"/>
      <c r="AG316" s="8300"/>
      <c r="AH316" s="8299"/>
      <c r="AI316" s="8300"/>
      <c r="AJ316" s="8299"/>
      <c r="AK316" s="8301"/>
      <c r="AL316" s="403"/>
      <c r="AN316" s="1064" cm="1" t="str">
        <f t="array" ref="AN316:AN316">K316</f>
        <v>2051</v>
      </c>
      <c r="AO316" s="1064" t="s">
        <v>2977</v>
      </c>
      <c r="AP316" s="1074" cm="1" t="str">
        <f t="array" ref="AP316:AP316">AP315</f>
        <v>0</v>
      </c>
      <c r="AQ316" s="703"/>
      <c r="AR316" s="703"/>
    </row>
    <row s="8264" customFormat="1" customHeight="1" ht="14.25" hidden="1">
      <c r="B317" s="445">
        <f>K317&lt;first_year+PERIOD_LENGTH</f>
        <v>0</v>
      </c>
      <c r="E317" s="703">
        <v>15</v>
      </c>
      <c r="F317" s="50" cm="1" t="str">
        <f t="array" ref="F317:F317">OFFSET(E317,-1,1)</f>
        <v>3</v>
      </c>
      <c r="G317" s="98" cm="1" t="str">
        <f t="array" ref="G317:G317">G316</f>
        <v>0</v>
      </c>
      <c r="K317" s="158">
        <f>first_year+26</f>
        <v>2052</v>
      </c>
      <c r="T317" s="465" cm="1" t="str">
        <f t="array" ref="T317:T317">T316</f>
        <v>false</v>
      </c>
      <c r="AB317" s="255" t="str">
        <f>K317&amp;" год"</f>
        <v>2052 год</v>
      </c>
      <c r="AC317" s="408"/>
      <c r="AD317" s="8300"/>
      <c r="AE317" s="8299"/>
      <c r="AF317" s="8299"/>
      <c r="AG317" s="8300"/>
      <c r="AH317" s="8299"/>
      <c r="AI317" s="8300"/>
      <c r="AJ317" s="8299"/>
      <c r="AK317" s="8301"/>
      <c r="AL317" s="403"/>
      <c r="AN317" s="1064" cm="1" t="str">
        <f t="array" ref="AN317:AN317">K317</f>
        <v>2052</v>
      </c>
      <c r="AO317" s="1064" t="s">
        <v>2977</v>
      </c>
      <c r="AP317" s="1074" cm="1" t="str">
        <f t="array" ref="AP317:AP317">AP316</f>
        <v>0</v>
      </c>
      <c r="AQ317" s="703"/>
      <c r="AR317" s="703"/>
    </row>
    <row s="8264" customFormat="1" customHeight="1" ht="14.25" hidden="1">
      <c r="B318" s="445">
        <f>K318&lt;first_year+PERIOD_LENGTH</f>
        <v>0</v>
      </c>
      <c r="E318" s="703">
        <v>15</v>
      </c>
      <c r="F318" s="50" cm="1" t="str">
        <f t="array" ref="F318:F318">OFFSET(E318,-1,1)</f>
        <v>3</v>
      </c>
      <c r="G318" s="98" cm="1" t="str">
        <f t="array" ref="G318:G318">G317</f>
        <v>0</v>
      </c>
      <c r="K318" s="158">
        <f>first_year+27</f>
        <v>2053</v>
      </c>
      <c r="T318" s="465" cm="1" t="str">
        <f t="array" ref="T318:T318">T317</f>
        <v>false</v>
      </c>
      <c r="AB318" s="255" t="str">
        <f>K318&amp;" год"</f>
        <v>2053 год</v>
      </c>
      <c r="AC318" s="408"/>
      <c r="AD318" s="8300"/>
      <c r="AE318" s="8299"/>
      <c r="AF318" s="8299"/>
      <c r="AG318" s="8300"/>
      <c r="AH318" s="8299"/>
      <c r="AI318" s="8300"/>
      <c r="AJ318" s="8299"/>
      <c r="AK318" s="8301"/>
      <c r="AL318" s="403"/>
      <c r="AN318" s="1064" cm="1" t="str">
        <f t="array" ref="AN318:AN318">K318</f>
        <v>2053</v>
      </c>
      <c r="AO318" s="1064" t="s">
        <v>2977</v>
      </c>
      <c r="AP318" s="1074" cm="1" t="str">
        <f t="array" ref="AP318:AP318">AP317</f>
        <v>0</v>
      </c>
      <c r="AQ318" s="703"/>
      <c r="AR318" s="703"/>
    </row>
    <row s="8264" customFormat="1" customHeight="1" ht="14.25" hidden="1">
      <c r="B319" s="445">
        <f>K319&lt;first_year+PERIOD_LENGTH</f>
        <v>0</v>
      </c>
      <c r="E319" s="703">
        <v>15</v>
      </c>
      <c r="F319" s="50" cm="1" t="str">
        <f t="array" ref="F319:F319">OFFSET(E319,-1,1)</f>
        <v>3</v>
      </c>
      <c r="G319" s="98" cm="1" t="str">
        <f t="array" ref="G319:G319">G318</f>
        <v>0</v>
      </c>
      <c r="K319" s="158">
        <f>first_year+28</f>
        <v>2054</v>
      </c>
      <c r="T319" s="465" cm="1" t="str">
        <f t="array" ref="T319:T319">T318</f>
        <v>false</v>
      </c>
      <c r="AB319" s="255" t="str">
        <f>K319&amp;" год"</f>
        <v>2054 год</v>
      </c>
      <c r="AC319" s="408"/>
      <c r="AD319" s="8300"/>
      <c r="AE319" s="8299"/>
      <c r="AF319" s="8299"/>
      <c r="AG319" s="8300"/>
      <c r="AH319" s="8299"/>
      <c r="AI319" s="8300"/>
      <c r="AJ319" s="8299"/>
      <c r="AK319" s="8301"/>
      <c r="AL319" s="403"/>
      <c r="AN319" s="1064" cm="1" t="str">
        <f t="array" ref="AN319:AN319">K319</f>
        <v>2054</v>
      </c>
      <c r="AO319" s="1064" t="s">
        <v>2977</v>
      </c>
      <c r="AP319" s="1074" cm="1" t="str">
        <f t="array" ref="AP319:AP319">AP318</f>
        <v>0</v>
      </c>
      <c r="AQ319" s="703"/>
      <c r="AR319" s="703"/>
    </row>
    <row s="8264" customFormat="1" customHeight="1" ht="14.25" hidden="1">
      <c r="B320" s="445">
        <f>K320&lt;first_year+PERIOD_LENGTH</f>
        <v>0</v>
      </c>
      <c r="E320" s="703">
        <v>15</v>
      </c>
      <c r="F320" s="50" cm="1" t="str">
        <f t="array" ref="F320:F320">OFFSET(E320,-1,1)</f>
        <v>3</v>
      </c>
      <c r="G320" s="98" cm="1" t="str">
        <f t="array" ref="G320:G320">G319</f>
        <v>0</v>
      </c>
      <c r="K320" s="158">
        <f>first_year+29</f>
        <v>2055</v>
      </c>
      <c r="T320" s="465" cm="1" t="str">
        <f t="array" ref="T320:T320">T319</f>
        <v>false</v>
      </c>
      <c r="AB320" s="255" t="str">
        <f>K320&amp;" год"</f>
        <v>2055 год</v>
      </c>
      <c r="AC320" s="408"/>
      <c r="AD320" s="8300"/>
      <c r="AE320" s="8299"/>
      <c r="AF320" s="8299"/>
      <c r="AG320" s="8300"/>
      <c r="AH320" s="8299"/>
      <c r="AI320" s="8300"/>
      <c r="AJ320" s="8299"/>
      <c r="AK320" s="8301"/>
      <c r="AL320" s="403"/>
      <c r="AN320" s="1064" cm="1" t="str">
        <f t="array" ref="AN320:AN320">K320</f>
        <v>2055</v>
      </c>
      <c r="AO320" s="1064" t="s">
        <v>2977</v>
      </c>
      <c r="AP320" s="1074" cm="1" t="str">
        <f t="array" ref="AP320:AP320">AP319</f>
        <v>0</v>
      </c>
      <c r="AQ320" s="703"/>
      <c r="AR320" s="703"/>
    </row>
    <row s="8264" customFormat="1" customHeight="1" ht="14.25" hidden="1">
      <c r="B321" s="445">
        <f>K321&lt;first_year+PERIOD_LENGTH</f>
        <v>0</v>
      </c>
      <c r="E321" s="703">
        <v>15</v>
      </c>
      <c r="F321" s="50" cm="1" t="str">
        <f t="array" ref="F321:F321">OFFSET(E321,-1,1)</f>
        <v>3</v>
      </c>
      <c r="G321" s="98" cm="1" t="str">
        <f t="array" ref="G321:G321">G320</f>
        <v>0</v>
      </c>
      <c r="K321" s="158">
        <f>first_year+30</f>
        <v>2056</v>
      </c>
      <c r="T321" s="465" cm="1" t="str">
        <f t="array" ref="T321:T321">T320</f>
        <v>false</v>
      </c>
      <c r="AB321" s="255" t="str">
        <f>K321&amp;" год"</f>
        <v>2056 год</v>
      </c>
      <c r="AC321" s="408"/>
      <c r="AD321" s="8300"/>
      <c r="AE321" s="8299"/>
      <c r="AF321" s="8299"/>
      <c r="AG321" s="8300"/>
      <c r="AH321" s="8299"/>
      <c r="AI321" s="8300"/>
      <c r="AJ321" s="8299"/>
      <c r="AK321" s="8301"/>
      <c r="AL321" s="403"/>
      <c r="AN321" s="1064" cm="1" t="str">
        <f t="array" ref="AN321:AN321">K321</f>
        <v>2056</v>
      </c>
      <c r="AO321" s="1064" t="s">
        <v>2977</v>
      </c>
      <c r="AP321" s="1074" cm="1" t="str">
        <f t="array" ref="AP321:AP321">AP320</f>
        <v>0</v>
      </c>
      <c r="AQ321" s="703"/>
      <c r="AR321" s="703"/>
    </row>
    <row s="8264" customFormat="1" customHeight="1" ht="14.25" hidden="1">
      <c r="B322" s="445">
        <f>K322&lt;first_year+PERIOD_LENGTH</f>
        <v>0</v>
      </c>
      <c r="E322" s="703">
        <v>15</v>
      </c>
      <c r="F322" s="50" cm="1" t="str">
        <f t="array" ref="F322:F322">OFFSET(E322,-1,1)</f>
        <v>3</v>
      </c>
      <c r="G322" s="98" cm="1" t="str">
        <f t="array" ref="G322:G322">G321</f>
        <v>0</v>
      </c>
      <c r="K322" s="158">
        <f>first_year+31</f>
        <v>2057</v>
      </c>
      <c r="T322" s="465" cm="1" t="str">
        <f t="array" ref="T322:T322">T321</f>
        <v>false</v>
      </c>
      <c r="AB322" s="255" t="str">
        <f>K322&amp;" год"</f>
        <v>2057 год</v>
      </c>
      <c r="AC322" s="408"/>
      <c r="AD322" s="8300"/>
      <c r="AE322" s="8299"/>
      <c r="AF322" s="8299"/>
      <c r="AG322" s="8300"/>
      <c r="AH322" s="8299"/>
      <c r="AI322" s="8300"/>
      <c r="AJ322" s="8299"/>
      <c r="AK322" s="8301"/>
      <c r="AL322" s="403"/>
      <c r="AN322" s="1064" cm="1" t="str">
        <f t="array" ref="AN322:AN322">K322</f>
        <v>2057</v>
      </c>
      <c r="AO322" s="1064" t="s">
        <v>2977</v>
      </c>
      <c r="AP322" s="1074" cm="1" t="str">
        <f t="array" ref="AP322:AP322">AP321</f>
        <v>0</v>
      </c>
      <c r="AQ322" s="703"/>
      <c r="AR322" s="703"/>
    </row>
    <row s="8264" customFormat="1" customHeight="1" ht="14.25" hidden="1">
      <c r="B323" s="445">
        <f>K323&lt;first_year+PERIOD_LENGTH</f>
        <v>0</v>
      </c>
      <c r="E323" s="703">
        <v>15</v>
      </c>
      <c r="F323" s="50" cm="1" t="str">
        <f t="array" ref="F323:F323">OFFSET(E323,-1,1)</f>
        <v>3</v>
      </c>
      <c r="G323" s="98" cm="1" t="str">
        <f t="array" ref="G323:G323">G322</f>
        <v>0</v>
      </c>
      <c r="K323" s="158">
        <f>first_year+32</f>
        <v>2058</v>
      </c>
      <c r="T323" s="465" cm="1" t="str">
        <f t="array" ref="T323:T323">T322</f>
        <v>false</v>
      </c>
      <c r="AB323" s="255" t="str">
        <f>K323&amp;" год"</f>
        <v>2058 год</v>
      </c>
      <c r="AC323" s="408"/>
      <c r="AD323" s="8300"/>
      <c r="AE323" s="8299"/>
      <c r="AF323" s="8299"/>
      <c r="AG323" s="8300"/>
      <c r="AH323" s="8299"/>
      <c r="AI323" s="8300"/>
      <c r="AJ323" s="8299"/>
      <c r="AK323" s="8301"/>
      <c r="AL323" s="403"/>
      <c r="AN323" s="1064" cm="1" t="str">
        <f t="array" ref="AN323:AN323">K323</f>
        <v>2058</v>
      </c>
      <c r="AO323" s="1064" t="s">
        <v>2977</v>
      </c>
      <c r="AP323" s="1074" cm="1" t="str">
        <f t="array" ref="AP323:AP323">AP322</f>
        <v>0</v>
      </c>
      <c r="AQ323" s="703"/>
      <c r="AR323" s="703"/>
    </row>
    <row s="8264" customFormat="1" customHeight="1" ht="14.25" hidden="1">
      <c r="B324" s="445">
        <f>K324&lt;first_year+PERIOD_LENGTH</f>
        <v>0</v>
      </c>
      <c r="E324" s="703">
        <v>15</v>
      </c>
      <c r="F324" s="50" cm="1" t="str">
        <f t="array" ref="F324:F324">OFFSET(E324,-1,1)</f>
        <v>3</v>
      </c>
      <c r="G324" s="98" cm="1" t="str">
        <f t="array" ref="G324:G324">G323</f>
        <v>0</v>
      </c>
      <c r="K324" s="158">
        <f>first_year+33</f>
        <v>2059</v>
      </c>
      <c r="T324" s="465" cm="1" t="str">
        <f t="array" ref="T324:T324">T323</f>
        <v>false</v>
      </c>
      <c r="AB324" s="255" t="str">
        <f>K324&amp;" год"</f>
        <v>2059 год</v>
      </c>
      <c r="AC324" s="408"/>
      <c r="AD324" s="8300"/>
      <c r="AE324" s="8299"/>
      <c r="AF324" s="8299"/>
      <c r="AG324" s="8300"/>
      <c r="AH324" s="8299"/>
      <c r="AI324" s="8300"/>
      <c r="AJ324" s="8299"/>
      <c r="AK324" s="8301"/>
      <c r="AL324" s="403"/>
      <c r="AN324" s="1064" cm="1" t="str">
        <f t="array" ref="AN324:AN324">K324</f>
        <v>2059</v>
      </c>
      <c r="AO324" s="1064" t="s">
        <v>2977</v>
      </c>
      <c r="AP324" s="1074" cm="1" t="str">
        <f t="array" ref="AP324:AP324">AP323</f>
        <v>0</v>
      </c>
      <c r="AQ324" s="703"/>
      <c r="AR324" s="703"/>
    </row>
    <row s="8264" customFormat="1" customHeight="1" ht="14.25" hidden="1">
      <c r="B325" s="445">
        <f>K325&lt;first_year+PERIOD_LENGTH</f>
        <v>0</v>
      </c>
      <c r="E325" s="703">
        <v>15</v>
      </c>
      <c r="F325" s="50" cm="1" t="str">
        <f t="array" ref="F325:F325">OFFSET(E325,-1,1)</f>
        <v>3</v>
      </c>
      <c r="G325" s="98" cm="1" t="str">
        <f t="array" ref="G325:G325">G324</f>
        <v>0</v>
      </c>
      <c r="K325" s="158">
        <f>first_year+34</f>
        <v>2060</v>
      </c>
      <c r="T325" s="465" cm="1" t="str">
        <f t="array" ref="T325:T325">T324</f>
        <v>false</v>
      </c>
      <c r="AB325" s="255" t="str">
        <f>K325&amp;" год"</f>
        <v>2060 год</v>
      </c>
      <c r="AC325" s="408"/>
      <c r="AD325" s="8300"/>
      <c r="AE325" s="8299"/>
      <c r="AF325" s="8299"/>
      <c r="AG325" s="8300"/>
      <c r="AH325" s="8299"/>
      <c r="AI325" s="8300"/>
      <c r="AJ325" s="8299"/>
      <c r="AK325" s="8301"/>
      <c r="AL325" s="403"/>
      <c r="AN325" s="1064" cm="1" t="str">
        <f t="array" ref="AN325:AN325">K325</f>
        <v>2060</v>
      </c>
      <c r="AO325" s="1064" t="s">
        <v>2977</v>
      </c>
      <c r="AP325" s="1074" cm="1" t="str">
        <f t="array" ref="AP325:AP325">AP324</f>
        <v>0</v>
      </c>
      <c r="AQ325" s="703"/>
      <c r="AR325" s="703"/>
    </row>
    <row s="8264" customFormat="1" customHeight="1" ht="14.25" hidden="1">
      <c r="B326" s="445">
        <f>K326&lt;first_year+PERIOD_LENGTH</f>
        <v>0</v>
      </c>
      <c r="E326" s="703">
        <v>15</v>
      </c>
      <c r="F326" s="50" cm="1" t="str">
        <f t="array" ref="F326:F326">OFFSET(E326,-1,1)</f>
        <v>3</v>
      </c>
      <c r="G326" s="98" cm="1" t="str">
        <f t="array" ref="G326:G326">G325</f>
        <v>0</v>
      </c>
      <c r="K326" s="158">
        <f>first_year+35</f>
        <v>2061</v>
      </c>
      <c r="T326" s="465" cm="1" t="str">
        <f t="array" ref="T326:T326">T325</f>
        <v>false</v>
      </c>
      <c r="AB326" s="255" t="str">
        <f>K326&amp;" год"</f>
        <v>2061 год</v>
      </c>
      <c r="AC326" s="408"/>
      <c r="AD326" s="8300"/>
      <c r="AE326" s="8299"/>
      <c r="AF326" s="8299"/>
      <c r="AG326" s="8300"/>
      <c r="AH326" s="8299"/>
      <c r="AI326" s="8300"/>
      <c r="AJ326" s="8299"/>
      <c r="AK326" s="8301"/>
      <c r="AL326" s="403"/>
      <c r="AN326" s="1064" cm="1" t="str">
        <f t="array" ref="AN326:AN326">K326</f>
        <v>2061</v>
      </c>
      <c r="AO326" s="1064" t="s">
        <v>2977</v>
      </c>
      <c r="AP326" s="1074" cm="1" t="str">
        <f t="array" ref="AP326:AP326">AP325</f>
        <v>0</v>
      </c>
      <c r="AQ326" s="703"/>
      <c r="AR326" s="703"/>
    </row>
    <row s="8264" customFormat="1" customHeight="1" ht="14.25" hidden="1">
      <c r="B327" s="445">
        <f>K327&lt;first_year+PERIOD_LENGTH</f>
        <v>0</v>
      </c>
      <c r="E327" s="703">
        <v>15</v>
      </c>
      <c r="F327" s="50" cm="1" t="str">
        <f t="array" ref="F327:F327">OFFSET(E327,-1,1)</f>
        <v>3</v>
      </c>
      <c r="G327" s="98" cm="1" t="str">
        <f t="array" ref="G327:G327">G326</f>
        <v>0</v>
      </c>
      <c r="K327" s="158">
        <f>first_year+36</f>
        <v>2062</v>
      </c>
      <c r="T327" s="465" cm="1" t="str">
        <f t="array" ref="T327:T327">T326</f>
        <v>false</v>
      </c>
      <c r="AB327" s="255" t="str">
        <f>K327&amp;" год"</f>
        <v>2062 год</v>
      </c>
      <c r="AC327" s="408"/>
      <c r="AD327" s="8300"/>
      <c r="AE327" s="8299"/>
      <c r="AF327" s="8299"/>
      <c r="AG327" s="8300"/>
      <c r="AH327" s="8299"/>
      <c r="AI327" s="8300"/>
      <c r="AJ327" s="8299"/>
      <c r="AK327" s="8301"/>
      <c r="AL327" s="403"/>
      <c r="AN327" s="1064" cm="1" t="str">
        <f t="array" ref="AN327:AN327">K327</f>
        <v>2062</v>
      </c>
      <c r="AO327" s="1064" t="s">
        <v>2977</v>
      </c>
      <c r="AP327" s="1074" cm="1" t="str">
        <f t="array" ref="AP327:AP327">AP326</f>
        <v>0</v>
      </c>
      <c r="AQ327" s="703"/>
      <c r="AR327" s="703"/>
    </row>
    <row s="8264" customFormat="1" customHeight="1" ht="14.25" hidden="1">
      <c r="B328" s="445">
        <f>K328&lt;first_year+PERIOD_LENGTH</f>
        <v>0</v>
      </c>
      <c r="E328" s="703">
        <v>15</v>
      </c>
      <c r="F328" s="50" cm="1" t="str">
        <f t="array" ref="F328:F328">OFFSET(E328,-1,1)</f>
        <v>3</v>
      </c>
      <c r="G328" s="98" cm="1" t="str">
        <f t="array" ref="G328:G328">G327</f>
        <v>0</v>
      </c>
      <c r="K328" s="158">
        <f>first_year+37</f>
        <v>2063</v>
      </c>
      <c r="T328" s="465" cm="1" t="str">
        <f t="array" ref="T328:T328">T327</f>
        <v>false</v>
      </c>
      <c r="AB328" s="255" t="str">
        <f>K328&amp;" год"</f>
        <v>2063 год</v>
      </c>
      <c r="AC328" s="408"/>
      <c r="AD328" s="8300"/>
      <c r="AE328" s="8299"/>
      <c r="AF328" s="8299"/>
      <c r="AG328" s="8300"/>
      <c r="AH328" s="8299"/>
      <c r="AI328" s="8300"/>
      <c r="AJ328" s="8299"/>
      <c r="AK328" s="8301"/>
      <c r="AL328" s="403"/>
      <c r="AN328" s="1064" cm="1" t="str">
        <f t="array" ref="AN328:AN328">K328</f>
        <v>2063</v>
      </c>
      <c r="AO328" s="1064" t="s">
        <v>2977</v>
      </c>
      <c r="AP328" s="1074" cm="1" t="str">
        <f t="array" ref="AP328:AP328">AP327</f>
        <v>0</v>
      </c>
      <c r="AQ328" s="703"/>
      <c r="AR328" s="703"/>
    </row>
    <row s="8264" customFormat="1" customHeight="1" ht="14.25" hidden="1">
      <c r="B329" s="445">
        <f>K329&lt;first_year+PERIOD_LENGTH</f>
        <v>0</v>
      </c>
      <c r="E329" s="703">
        <v>15</v>
      </c>
      <c r="F329" s="50" cm="1" t="str">
        <f t="array" ref="F329:F329">OFFSET(E329,-1,1)</f>
        <v>3</v>
      </c>
      <c r="G329" s="98" cm="1" t="str">
        <f t="array" ref="G329:G329">G328</f>
        <v>0</v>
      </c>
      <c r="K329" s="158">
        <f>first_year+38</f>
        <v>2064</v>
      </c>
      <c r="T329" s="465" cm="1" t="str">
        <f t="array" ref="T329:T329">T328</f>
        <v>false</v>
      </c>
      <c r="AB329" s="255" t="str">
        <f>K329&amp;" год"</f>
        <v>2064 год</v>
      </c>
      <c r="AC329" s="408"/>
      <c r="AD329" s="8300"/>
      <c r="AE329" s="8299"/>
      <c r="AF329" s="8299"/>
      <c r="AG329" s="8300"/>
      <c r="AH329" s="8299"/>
      <c r="AI329" s="8300"/>
      <c r="AJ329" s="8299"/>
      <c r="AK329" s="8301"/>
      <c r="AL329" s="403"/>
      <c r="AN329" s="1064" cm="1" t="str">
        <f t="array" ref="AN329:AN329">K329</f>
        <v>2064</v>
      </c>
      <c r="AO329" s="1064" t="s">
        <v>2977</v>
      </c>
      <c r="AP329" s="1074" cm="1" t="str">
        <f t="array" ref="AP329:AP329">AP328</f>
        <v>0</v>
      </c>
      <c r="AQ329" s="703"/>
      <c r="AR329" s="703"/>
    </row>
    <row s="8264" customFormat="1" customHeight="1" ht="14.25" hidden="1">
      <c r="B330" s="445">
        <f>K330&lt;first_year+PERIOD_LENGTH</f>
        <v>0</v>
      </c>
      <c r="E330" s="703">
        <v>15</v>
      </c>
      <c r="F330" s="50" cm="1" t="str">
        <f t="array" ref="F330:F330">OFFSET(E330,-1,1)</f>
        <v>3</v>
      </c>
      <c r="G330" s="98" cm="1" t="str">
        <f t="array" ref="G330:G330">G329</f>
        <v>0</v>
      </c>
      <c r="K330" s="158">
        <f>first_year+39</f>
        <v>2065</v>
      </c>
      <c r="T330" s="465" cm="1" t="str">
        <f t="array" ref="T330:T330">T329</f>
        <v>false</v>
      </c>
      <c r="AB330" s="255" t="str">
        <f>K330&amp;" год"</f>
        <v>2065 год</v>
      </c>
      <c r="AC330" s="408"/>
      <c r="AD330" s="8300"/>
      <c r="AE330" s="8299"/>
      <c r="AF330" s="8299"/>
      <c r="AG330" s="8300"/>
      <c r="AH330" s="8299"/>
      <c r="AI330" s="8300"/>
      <c r="AJ330" s="8299"/>
      <c r="AK330" s="8301"/>
      <c r="AL330" s="403"/>
      <c r="AN330" s="1064" cm="1" t="str">
        <f t="array" ref="AN330:AN330">K330</f>
        <v>2065</v>
      </c>
      <c r="AO330" s="1064" t="s">
        <v>2977</v>
      </c>
      <c r="AP330" s="1074" cm="1" t="str">
        <f t="array" ref="AP330:AP330">AP329</f>
        <v>0</v>
      </c>
      <c r="AQ330" s="703"/>
      <c r="AR330" s="703"/>
    </row>
    <row s="8264" customFormat="1" customHeight="1" ht="14.25" hidden="1">
      <c r="B331" s="445">
        <f>K331&lt;first_year+PERIOD_LENGTH</f>
        <v>0</v>
      </c>
      <c r="E331" s="703">
        <v>15</v>
      </c>
      <c r="F331" s="50" cm="1" t="str">
        <f t="array" ref="F331:F331">OFFSET(E331,-1,1)</f>
        <v>3</v>
      </c>
      <c r="G331" s="98" cm="1" t="str">
        <f t="array" ref="G331:G331">G330</f>
        <v>0</v>
      </c>
      <c r="K331" s="158">
        <f>first_year+40</f>
        <v>2066</v>
      </c>
      <c r="T331" s="465" cm="1" t="str">
        <f t="array" ref="T331:T331">T330</f>
        <v>false</v>
      </c>
      <c r="AB331" s="255" t="str">
        <f>K331&amp;" год"</f>
        <v>2066 год</v>
      </c>
      <c r="AC331" s="408"/>
      <c r="AD331" s="8300"/>
      <c r="AE331" s="8299"/>
      <c r="AF331" s="8299"/>
      <c r="AG331" s="8300"/>
      <c r="AH331" s="8299"/>
      <c r="AI331" s="8300"/>
      <c r="AJ331" s="8299"/>
      <c r="AK331" s="8301"/>
      <c r="AL331" s="403"/>
      <c r="AN331" s="1064" cm="1" t="str">
        <f t="array" ref="AN331:AN331">K331</f>
        <v>2066</v>
      </c>
      <c r="AO331" s="1064" t="s">
        <v>2977</v>
      </c>
      <c r="AP331" s="1074" cm="1" t="str">
        <f t="array" ref="AP331:AP331">AP330</f>
        <v>0</v>
      </c>
      <c r="AQ331" s="703"/>
      <c r="AR331" s="703"/>
    </row>
    <row s="8264" customFormat="1" customHeight="1" ht="14.25" hidden="1">
      <c r="B332" s="445">
        <f>K332&lt;first_year+PERIOD_LENGTH</f>
        <v>0</v>
      </c>
      <c r="E332" s="703">
        <v>15</v>
      </c>
      <c r="F332" s="50" cm="1" t="str">
        <f t="array" ref="F332:F332">OFFSET(E332,-1,1)</f>
        <v>3</v>
      </c>
      <c r="G332" s="98" cm="1" t="str">
        <f t="array" ref="G332:G332">G331</f>
        <v>0</v>
      </c>
      <c r="K332" s="158">
        <f>first_year+41</f>
        <v>2067</v>
      </c>
      <c r="T332" s="465" cm="1" t="str">
        <f t="array" ref="T332:T332">T331</f>
        <v>false</v>
      </c>
      <c r="AB332" s="255" t="str">
        <f>K332&amp;" год"</f>
        <v>2067 год</v>
      </c>
      <c r="AC332" s="408"/>
      <c r="AD332" s="8300"/>
      <c r="AE332" s="8299"/>
      <c r="AF332" s="8299"/>
      <c r="AG332" s="8300"/>
      <c r="AH332" s="8299"/>
      <c r="AI332" s="8300"/>
      <c r="AJ332" s="8299"/>
      <c r="AK332" s="8301"/>
      <c r="AL332" s="403"/>
      <c r="AN332" s="1064" cm="1" t="str">
        <f t="array" ref="AN332:AN332">K332</f>
        <v>2067</v>
      </c>
      <c r="AO332" s="1064" t="s">
        <v>2977</v>
      </c>
      <c r="AP332" s="1074" cm="1" t="str">
        <f t="array" ref="AP332:AP332">AP331</f>
        <v>0</v>
      </c>
      <c r="AQ332" s="703"/>
      <c r="AR332" s="703"/>
    </row>
    <row s="8264" customFormat="1" customHeight="1" ht="14.25" hidden="1">
      <c r="B333" s="445">
        <f>K333&lt;first_year+PERIOD_LENGTH</f>
        <v>0</v>
      </c>
      <c r="E333" s="703">
        <v>15</v>
      </c>
      <c r="F333" s="50" cm="1" t="str">
        <f t="array" ref="F333:F333">OFFSET(E333,-1,1)</f>
        <v>3</v>
      </c>
      <c r="G333" s="98" cm="1" t="str">
        <f t="array" ref="G333:G333">G332</f>
        <v>0</v>
      </c>
      <c r="K333" s="158">
        <f>first_year+42</f>
        <v>2068</v>
      </c>
      <c r="T333" s="465" cm="1" t="str">
        <f t="array" ref="T333:T333">T332</f>
        <v>false</v>
      </c>
      <c r="AB333" s="255" t="str">
        <f>K333&amp;" год"</f>
        <v>2068 год</v>
      </c>
      <c r="AC333" s="408"/>
      <c r="AD333" s="8300"/>
      <c r="AE333" s="8299"/>
      <c r="AF333" s="8299"/>
      <c r="AG333" s="8300"/>
      <c r="AH333" s="8299"/>
      <c r="AI333" s="8300"/>
      <c r="AJ333" s="8299"/>
      <c r="AK333" s="8301"/>
      <c r="AL333" s="403"/>
      <c r="AN333" s="1064" cm="1" t="str">
        <f t="array" ref="AN333:AN333">K333</f>
        <v>2068</v>
      </c>
      <c r="AO333" s="1064" t="s">
        <v>2977</v>
      </c>
      <c r="AP333" s="1074" cm="1" t="str">
        <f t="array" ref="AP333:AP333">AP332</f>
        <v>0</v>
      </c>
      <c r="AQ333" s="703"/>
      <c r="AR333" s="703"/>
    </row>
    <row s="8264" customFormat="1" customHeight="1" ht="14.25" hidden="1">
      <c r="B334" s="445">
        <f>K334&lt;first_year+PERIOD_LENGTH</f>
        <v>0</v>
      </c>
      <c r="E334" s="703">
        <v>15</v>
      </c>
      <c r="F334" s="50" cm="1" t="str">
        <f t="array" ref="F334:F334">OFFSET(E334,-1,1)</f>
        <v>3</v>
      </c>
      <c r="G334" s="98" cm="1" t="str">
        <f t="array" ref="G334:G334">G333</f>
        <v>0</v>
      </c>
      <c r="K334" s="158">
        <f>first_year+43</f>
        <v>2069</v>
      </c>
      <c r="T334" s="465" cm="1" t="str">
        <f t="array" ref="T334:T334">T333</f>
        <v>false</v>
      </c>
      <c r="AB334" s="255" t="str">
        <f>K334&amp;" год"</f>
        <v>2069 год</v>
      </c>
      <c r="AC334" s="408"/>
      <c r="AD334" s="8300"/>
      <c r="AE334" s="8299"/>
      <c r="AF334" s="8299"/>
      <c r="AG334" s="8300"/>
      <c r="AH334" s="8299"/>
      <c r="AI334" s="8300"/>
      <c r="AJ334" s="8299"/>
      <c r="AK334" s="8301"/>
      <c r="AL334" s="403"/>
      <c r="AN334" s="1064" cm="1" t="str">
        <f t="array" ref="AN334:AN334">K334</f>
        <v>2069</v>
      </c>
      <c r="AO334" s="1064" t="s">
        <v>2977</v>
      </c>
      <c r="AP334" s="1074" cm="1" t="str">
        <f t="array" ref="AP334:AP334">AP333</f>
        <v>0</v>
      </c>
      <c r="AQ334" s="703"/>
      <c r="AR334" s="703"/>
    </row>
    <row s="8264" customFormat="1" customHeight="1" ht="14.25" hidden="1">
      <c r="B335" s="445">
        <f>K335&lt;first_year+PERIOD_LENGTH</f>
        <v>0</v>
      </c>
      <c r="E335" s="703">
        <v>15</v>
      </c>
      <c r="F335" s="50" cm="1" t="str">
        <f t="array" ref="F335:F335">OFFSET(E335,-1,1)</f>
        <v>3</v>
      </c>
      <c r="G335" s="98" cm="1" t="str">
        <f t="array" ref="G335:G335">G334</f>
        <v>0</v>
      </c>
      <c r="K335" s="158">
        <f>first_year+44</f>
        <v>2070</v>
      </c>
      <c r="T335" s="465" cm="1" t="str">
        <f t="array" ref="T335:T335">T334</f>
        <v>false</v>
      </c>
      <c r="AB335" s="255" t="str">
        <f>K335&amp;" год"</f>
        <v>2070 год</v>
      </c>
      <c r="AC335" s="408"/>
      <c r="AD335" s="8300"/>
      <c r="AE335" s="8299"/>
      <c r="AF335" s="8299"/>
      <c r="AG335" s="8300"/>
      <c r="AH335" s="8299"/>
      <c r="AI335" s="8300"/>
      <c r="AJ335" s="8299"/>
      <c r="AK335" s="8301"/>
      <c r="AL335" s="403"/>
      <c r="AN335" s="1064" cm="1" t="str">
        <f t="array" ref="AN335:AN335">K335</f>
        <v>2070</v>
      </c>
      <c r="AO335" s="1064" t="s">
        <v>2977</v>
      </c>
      <c r="AP335" s="1074" cm="1" t="str">
        <f t="array" ref="AP335:AP335">AP334</f>
        <v>0</v>
      </c>
      <c r="AQ335" s="703"/>
      <c r="AR335" s="703"/>
    </row>
    <row s="8264" customFormat="1" customHeight="1" ht="14.25" hidden="1">
      <c r="B336" s="445">
        <f>K336&lt;first_year+PERIOD_LENGTH</f>
        <v>0</v>
      </c>
      <c r="E336" s="703">
        <v>15</v>
      </c>
      <c r="F336" s="50" cm="1" t="str">
        <f t="array" ref="F336:F336">OFFSET(E336,-1,1)</f>
        <v>3</v>
      </c>
      <c r="G336" s="98" cm="1" t="str">
        <f t="array" ref="G336:G336">G335</f>
        <v>0</v>
      </c>
      <c r="K336" s="158">
        <f>first_year+45</f>
        <v>2071</v>
      </c>
      <c r="T336" s="465" cm="1" t="str">
        <f t="array" ref="T336:T336">T335</f>
        <v>false</v>
      </c>
      <c r="AB336" s="255" t="str">
        <f>K336&amp;" год"</f>
        <v>2071 год</v>
      </c>
      <c r="AC336" s="408"/>
      <c r="AD336" s="8300"/>
      <c r="AE336" s="8299"/>
      <c r="AF336" s="8299"/>
      <c r="AG336" s="8300"/>
      <c r="AH336" s="8299"/>
      <c r="AI336" s="8300"/>
      <c r="AJ336" s="8299"/>
      <c r="AK336" s="8301"/>
      <c r="AL336" s="403"/>
      <c r="AN336" s="1064" cm="1" t="str">
        <f t="array" ref="AN336:AN336">K336</f>
        <v>2071</v>
      </c>
      <c r="AO336" s="1064" t="s">
        <v>2977</v>
      </c>
      <c r="AP336" s="1074" cm="1" t="str">
        <f t="array" ref="AP336:AP336">AP335</f>
        <v>0</v>
      </c>
      <c r="AQ336" s="703"/>
      <c r="AR336" s="703"/>
    </row>
    <row s="8264" customFormat="1" customHeight="1" ht="14.25" hidden="1">
      <c r="B337" s="445">
        <f>K337&lt;first_year+PERIOD_LENGTH</f>
        <v>0</v>
      </c>
      <c r="E337" s="703">
        <v>15</v>
      </c>
      <c r="F337" s="50" cm="1" t="str">
        <f t="array" ref="F337:F337">OFFSET(E337,-1,1)</f>
        <v>3</v>
      </c>
      <c r="G337" s="98" cm="1" t="str">
        <f t="array" ref="G337:G337">G336</f>
        <v>0</v>
      </c>
      <c r="K337" s="158">
        <f>first_year+46</f>
        <v>2072</v>
      </c>
      <c r="T337" s="465" cm="1" t="str">
        <f t="array" ref="T337:T337">T336</f>
        <v>false</v>
      </c>
      <c r="AB337" s="255" t="str">
        <f>K337&amp;" год"</f>
        <v>2072 год</v>
      </c>
      <c r="AC337" s="408"/>
      <c r="AD337" s="8300"/>
      <c r="AE337" s="8299"/>
      <c r="AF337" s="8299"/>
      <c r="AG337" s="8300"/>
      <c r="AH337" s="8299"/>
      <c r="AI337" s="8300"/>
      <c r="AJ337" s="8299"/>
      <c r="AK337" s="8301"/>
      <c r="AL337" s="403"/>
      <c r="AN337" s="1064" cm="1" t="str">
        <f t="array" ref="AN337:AN337">K337</f>
        <v>2072</v>
      </c>
      <c r="AO337" s="1064" t="s">
        <v>2977</v>
      </c>
      <c r="AP337" s="1074" cm="1" t="str">
        <f t="array" ref="AP337:AP337">AP336</f>
        <v>0</v>
      </c>
      <c r="AQ337" s="703"/>
      <c r="AR337" s="703"/>
    </row>
    <row s="8264" customFormat="1" customHeight="1" ht="14.25" hidden="1">
      <c r="B338" s="445">
        <f>K338&lt;first_year+PERIOD_LENGTH</f>
        <v>0</v>
      </c>
      <c r="E338" s="703">
        <v>15</v>
      </c>
      <c r="F338" s="50" cm="1" t="str">
        <f t="array" ref="F338:F338">OFFSET(E338,-1,1)</f>
        <v>3</v>
      </c>
      <c r="G338" s="98" cm="1" t="str">
        <f t="array" ref="G338:G338">G337</f>
        <v>0</v>
      </c>
      <c r="K338" s="158">
        <f>first_year+47</f>
        <v>2073</v>
      </c>
      <c r="T338" s="465" cm="1" t="str">
        <f t="array" ref="T338:T338">T337</f>
        <v>false</v>
      </c>
      <c r="AB338" s="255" t="str">
        <f>K338&amp;" год"</f>
        <v>2073 год</v>
      </c>
      <c r="AC338" s="408"/>
      <c r="AD338" s="8300"/>
      <c r="AE338" s="8299"/>
      <c r="AF338" s="8299"/>
      <c r="AG338" s="8300"/>
      <c r="AH338" s="8299"/>
      <c r="AI338" s="8300"/>
      <c r="AJ338" s="8299"/>
      <c r="AK338" s="8301"/>
      <c r="AL338" s="403"/>
      <c r="AN338" s="1064" cm="1" t="str">
        <f t="array" ref="AN338:AN338">K338</f>
        <v>2073</v>
      </c>
      <c r="AO338" s="1064" t="s">
        <v>2977</v>
      </c>
      <c r="AP338" s="1074" cm="1" t="str">
        <f t="array" ref="AP338:AP338">AP337</f>
        <v>0</v>
      </c>
      <c r="AQ338" s="703"/>
      <c r="AR338" s="703"/>
    </row>
    <row s="8264" customFormat="1" customHeight="1" ht="14.25" hidden="1">
      <c r="B339" s="445">
        <f>K339&lt;first_year+PERIOD_LENGTH</f>
        <v>0</v>
      </c>
      <c r="E339" s="703">
        <v>15</v>
      </c>
      <c r="F339" s="50" cm="1" t="str">
        <f t="array" ref="F339:F339">OFFSET(E339,-1,1)</f>
        <v>3</v>
      </c>
      <c r="G339" s="98" cm="1" t="str">
        <f t="array" ref="G339:G339">G338</f>
        <v>0</v>
      </c>
      <c r="K339" s="158">
        <f>first_year+48</f>
        <v>2074</v>
      </c>
      <c r="T339" s="465" cm="1" t="str">
        <f t="array" ref="T339:T339">T338</f>
        <v>false</v>
      </c>
      <c r="AB339" s="255" t="str">
        <f>K339&amp;" год"</f>
        <v>2074 год</v>
      </c>
      <c r="AC339" s="408"/>
      <c r="AD339" s="8300"/>
      <c r="AE339" s="8299"/>
      <c r="AF339" s="8299"/>
      <c r="AG339" s="8300"/>
      <c r="AH339" s="8299"/>
      <c r="AI339" s="8300"/>
      <c r="AJ339" s="8299"/>
      <c r="AK339" s="8301"/>
      <c r="AL339" s="403"/>
      <c r="AN339" s="1064" cm="1" t="str">
        <f t="array" ref="AN339:AN339">K339</f>
        <v>2074</v>
      </c>
      <c r="AO339" s="1064" t="s">
        <v>2977</v>
      </c>
      <c r="AP339" s="1074" cm="1" t="str">
        <f t="array" ref="AP339:AP339">AP338</f>
        <v>0</v>
      </c>
      <c r="AQ339" s="703"/>
      <c r="AR339" s="703"/>
    </row>
    <row s="8264" customFormat="1" customHeight="1" ht="14.25" hidden="1">
      <c r="B340" s="445">
        <f>K340&lt;first_year+PERIOD_LENGTH</f>
        <v>0</v>
      </c>
      <c r="E340" s="703">
        <v>15</v>
      </c>
      <c r="F340" s="50" cm="1" t="str">
        <f t="array" ref="F340:F340">OFFSET(E340,-1,1)</f>
        <v>3</v>
      </c>
      <c r="G340" s="98" cm="1" t="str">
        <f t="array" ref="G340:G340">G339</f>
        <v>0</v>
      </c>
      <c r="K340" s="158">
        <f>first_year+49</f>
        <v>2075</v>
      </c>
      <c r="T340" s="465" cm="1" t="str">
        <f t="array" ref="T340:T340">T339</f>
        <v>false</v>
      </c>
      <c r="AB340" s="255" t="str">
        <f>K340&amp;" год"</f>
        <v>2075 год</v>
      </c>
      <c r="AC340" s="408"/>
      <c r="AD340" s="8300"/>
      <c r="AE340" s="8299"/>
      <c r="AF340" s="8299"/>
      <c r="AG340" s="8300"/>
      <c r="AH340" s="8299"/>
      <c r="AI340" s="8300"/>
      <c r="AJ340" s="8299"/>
      <c r="AK340" s="8301"/>
      <c r="AL340" s="403"/>
      <c r="AN340" s="1064" cm="1" t="str">
        <f t="array" ref="AN340:AN340">K340</f>
        <v>2075</v>
      </c>
      <c r="AO340" s="1064" t="s">
        <v>2977</v>
      </c>
      <c r="AP340" s="1074" cm="1" t="str">
        <f t="array" ref="AP340:AP340">AP339</f>
        <v>0</v>
      </c>
      <c r="AQ340" s="703"/>
      <c r="AR340" s="703"/>
    </row>
    <row s="538" customFormat="1" customHeight="1" ht="14.25">
      <c r="A341" s="538"/>
      <c r="B341" s="538"/>
      <c r="C341" s="538"/>
      <c r="D341" s="538"/>
      <c r="E341" s="618">
        <v>15</v>
      </c>
      <c r="F341" s="50" cm="1" t="str">
        <f t="array" ref="F341:F341">OFFSET(E341,-1,1)</f>
        <v>3</v>
      </c>
      <c r="G341" s="122" cm="1" t="str">
        <f t="array" ref="G341:G341">AB341</f>
        <v>Водоотведение (Осинниковский городской округ)</v>
      </c>
      <c r="H341" s="538"/>
      <c r="I341" s="538"/>
      <c r="J341" s="538"/>
      <c r="K341" s="538"/>
      <c r="L341" s="538"/>
      <c r="M341" s="538"/>
      <c r="N341" s="538"/>
      <c r="O341" s="538"/>
      <c r="P341" s="538"/>
      <c r="Q341" s="538"/>
      <c r="R341" s="538"/>
      <c r="S341" s="538"/>
      <c r="T341" s="465">
        <f>AND(F341&gt;0,Y341&gt;0)</f>
        <v>1</v>
      </c>
      <c r="U341" s="538"/>
      <c r="V341" s="538"/>
      <c r="W341" s="122"/>
      <c r="X341" s="538"/>
      <c r="Y341" s="1563" t="s">
        <v>276</v>
      </c>
      <c r="Z341" s="538"/>
      <c r="AA341" s="1648" t="s">
        <v>175</v>
      </c>
      <c r="AB341" s="8302" t="s">
        <v>2981</v>
      </c>
      <c r="AC341" s="8297"/>
      <c r="AD341" s="8297"/>
      <c r="AE341" s="8297"/>
      <c r="AF341" s="8297"/>
      <c r="AG341" s="8297"/>
      <c r="AH341" s="8297"/>
      <c r="AI341" s="8297"/>
      <c r="AJ341" s="8297"/>
      <c r="AK341" s="8298"/>
      <c r="AL341" s="402"/>
      <c r="AM341" s="538"/>
      <c r="AN341" s="997"/>
      <c r="AO341" s="1064" t="s">
        <v>2977</v>
      </c>
      <c r="AP341" s="1050" cm="1" t="str">
        <f t="array" ref="AP341:AP341">AB341</f>
        <v>Водоотведение (Осинниковский городской округ)</v>
      </c>
      <c r="AQ341" s="618"/>
      <c r="AR341" s="618" t="b">
        <v>1</v>
      </c>
    </row>
    <row s="8264" customFormat="1" customHeight="1" ht="14.25">
      <c r="A342" s="8264"/>
      <c r="B342" s="445">
        <f>K342&lt;first_year+PERIOD_LENGTH</f>
        <v>1</v>
      </c>
      <c r="C342" s="8264"/>
      <c r="D342" s="8264"/>
      <c r="E342" s="703">
        <v>15</v>
      </c>
      <c r="F342" s="50" cm="1" t="str">
        <f t="array" ref="F342:F342">OFFSET(E342,-1,1)</f>
        <v>3</v>
      </c>
      <c r="G342" s="98" cm="1" t="str">
        <f t="array" ref="G342:G342">G341</f>
        <v>Водоотведение (Осинниковский городской округ)</v>
      </c>
      <c r="H342" s="8264"/>
      <c r="I342" s="8264"/>
      <c r="J342" s="8264"/>
      <c r="K342" s="158" cm="1" t="str">
        <f t="array" ref="K342:K342">first_year</f>
        <v>2026</v>
      </c>
      <c r="L342" s="8264"/>
      <c r="M342" s="8264"/>
      <c r="N342" s="8264"/>
      <c r="O342" s="8264"/>
      <c r="P342" s="8264"/>
      <c r="Q342" s="8264"/>
      <c r="R342" s="8264"/>
      <c r="S342" s="8264"/>
      <c r="T342" s="465" cm="1" t="str">
        <f t="array" ref="T342:T342">T341</f>
        <v>true</v>
      </c>
      <c r="U342" s="8264"/>
      <c r="V342" s="8264"/>
      <c r="W342" s="8264"/>
      <c r="X342" s="8264"/>
      <c r="Y342" s="8264"/>
      <c r="Z342" s="8264"/>
      <c r="AA342" s="8264"/>
      <c r="AB342" s="302" t="str">
        <f>K342&amp;" год"</f>
        <v>2026 год</v>
      </c>
      <c r="AC342" s="8303" cm="1" t="str">
        <f t="array" ref="AC342:AC342">'Калькуляция (МИ)'!AT460</f>
        <v>117142.433628601</v>
      </c>
      <c r="AD342" s="8304"/>
      <c r="AE342" s="8303">
        <v>0</v>
      </c>
      <c r="AF342" s="8303"/>
      <c r="AG342" s="8304">
        <v>0.975</v>
      </c>
      <c r="AH342" s="8299"/>
      <c r="AI342" s="8300"/>
      <c r="AJ342" s="8299"/>
      <c r="AK342" s="8301"/>
      <c r="AL342" s="403"/>
      <c r="AM342" s="8264"/>
      <c r="AN342" s="1064" cm="1" t="str">
        <f t="array" ref="AN342:AN342">K342</f>
        <v>2026</v>
      </c>
      <c r="AO342" s="1064" t="s">
        <v>2977</v>
      </c>
      <c r="AP342" s="1074" cm="1" t="str">
        <f t="array" ref="AP342:AP342">AP341</f>
        <v>Водоотведение (Осинниковский городской округ)</v>
      </c>
      <c r="AQ342" s="703"/>
      <c r="AR342" s="703"/>
    </row>
    <row s="8264" customFormat="1" customHeight="1" ht="14.25">
      <c r="A343" s="8264"/>
      <c r="B343" s="445">
        <f>K343&lt;first_year+PERIOD_LENGTH</f>
        <v>1</v>
      </c>
      <c r="C343" s="8264"/>
      <c r="D343" s="8264"/>
      <c r="E343" s="703">
        <v>15</v>
      </c>
      <c r="F343" s="50" cm="1" t="str">
        <f t="array" ref="F343:F343">OFFSET(E343,-1,1)</f>
        <v>3</v>
      </c>
      <c r="G343" s="98" cm="1" t="str">
        <f t="array" ref="G343:G343">G342</f>
        <v>Водоотведение (Осинниковский городской округ)</v>
      </c>
      <c r="H343" s="8264"/>
      <c r="I343" s="8264"/>
      <c r="J343" s="8264"/>
      <c r="K343" s="158">
        <f>first_year+1</f>
        <v>2027</v>
      </c>
      <c r="L343" s="8264"/>
      <c r="M343" s="8264"/>
      <c r="N343" s="8264"/>
      <c r="O343" s="8264"/>
      <c r="P343" s="8264"/>
      <c r="Q343" s="8264"/>
      <c r="R343" s="8264"/>
      <c r="S343" s="8264"/>
      <c r="T343" s="465" cm="1" t="str">
        <f t="array" ref="T343:T343">T342</f>
        <v>true</v>
      </c>
      <c r="U343" s="8264"/>
      <c r="V343" s="8264"/>
      <c r="W343" s="8264"/>
      <c r="X343" s="8264"/>
      <c r="Y343" s="8264"/>
      <c r="Z343" s="8264"/>
      <c r="AA343" s="8264"/>
      <c r="AB343" s="255" t="str">
        <f>K343&amp;" год"</f>
        <v>2027 год</v>
      </c>
      <c r="AC343" s="408"/>
      <c r="AD343" s="8304">
        <v>1</v>
      </c>
      <c r="AE343" s="8303">
        <v>0</v>
      </c>
      <c r="AF343" s="8303"/>
      <c r="AG343" s="8304" cm="1" t="str">
        <f t="array" ref="AG343:AG343">AG342</f>
        <v>0.975</v>
      </c>
      <c r="AH343" s="8299"/>
      <c r="AI343" s="8300"/>
      <c r="AJ343" s="8299"/>
      <c r="AK343" s="8301"/>
      <c r="AL343" s="403"/>
      <c r="AM343" s="8264"/>
      <c r="AN343" s="1064" cm="1" t="str">
        <f t="array" ref="AN343:AN343">K343</f>
        <v>2027</v>
      </c>
      <c r="AO343" s="1064" t="s">
        <v>2977</v>
      </c>
      <c r="AP343" s="1074" cm="1" t="str">
        <f t="array" ref="AP343:AP343">AP342</f>
        <v>Водоотведение (Осинниковский городской округ)</v>
      </c>
      <c r="AQ343" s="703"/>
      <c r="AR343" s="703"/>
    </row>
    <row s="8264" customFormat="1" customHeight="1" ht="14.25">
      <c r="A344" s="8264"/>
      <c r="B344" s="445">
        <f>K344&lt;first_year+PERIOD_LENGTH</f>
        <v>1</v>
      </c>
      <c r="C344" s="8264"/>
      <c r="D344" s="8264"/>
      <c r="E344" s="703">
        <v>15</v>
      </c>
      <c r="F344" s="50" cm="1" t="str">
        <f t="array" ref="F344:F344">OFFSET(E344,-1,1)</f>
        <v>3</v>
      </c>
      <c r="G344" s="98" cm="1" t="str">
        <f t="array" ref="G344:G344">G343</f>
        <v>Водоотведение (Осинниковский городской округ)</v>
      </c>
      <c r="H344" s="8264"/>
      <c r="I344" s="8264"/>
      <c r="J344" s="8264"/>
      <c r="K344" s="158">
        <f>first_year+2</f>
        <v>2028</v>
      </c>
      <c r="L344" s="8264"/>
      <c r="M344" s="8264"/>
      <c r="N344" s="8264"/>
      <c r="O344" s="8264"/>
      <c r="P344" s="8264"/>
      <c r="Q344" s="8264"/>
      <c r="R344" s="8264"/>
      <c r="S344" s="8264"/>
      <c r="T344" s="465" cm="1" t="str">
        <f t="array" ref="T344:T344">T343</f>
        <v>true</v>
      </c>
      <c r="U344" s="8264"/>
      <c r="V344" s="8264"/>
      <c r="W344" s="8264"/>
      <c r="X344" s="8264"/>
      <c r="Y344" s="8264"/>
      <c r="Z344" s="8264"/>
      <c r="AA344" s="8264"/>
      <c r="AB344" s="255" t="str">
        <f>K344&amp;" год"</f>
        <v>2028 год</v>
      </c>
      <c r="AC344" s="408"/>
      <c r="AD344" s="8304">
        <v>1</v>
      </c>
      <c r="AE344" s="8303">
        <v>0</v>
      </c>
      <c r="AF344" s="8303"/>
      <c r="AG344" s="8304" cm="1" t="str">
        <f t="array" ref="AG344:AG344">AG343</f>
        <v>0.975</v>
      </c>
      <c r="AH344" s="8299"/>
      <c r="AI344" s="8300"/>
      <c r="AJ344" s="8299"/>
      <c r="AK344" s="8301"/>
      <c r="AL344" s="403"/>
      <c r="AM344" s="8264"/>
      <c r="AN344" s="1064" cm="1" t="str">
        <f t="array" ref="AN344:AN344">K344</f>
        <v>2028</v>
      </c>
      <c r="AO344" s="1064" t="s">
        <v>2977</v>
      </c>
      <c r="AP344" s="1074" cm="1" t="str">
        <f t="array" ref="AP344:AP344">AP343</f>
        <v>Водоотведение (Осинниковский городской округ)</v>
      </c>
      <c r="AQ344" s="703"/>
      <c r="AR344" s="703"/>
    </row>
    <row s="8264" customFormat="1" customHeight="1" ht="14.25">
      <c r="A345" s="8264"/>
      <c r="B345" s="445">
        <f>K345&lt;first_year+PERIOD_LENGTH</f>
        <v>1</v>
      </c>
      <c r="C345" s="8264"/>
      <c r="D345" s="8264"/>
      <c r="E345" s="703">
        <v>15</v>
      </c>
      <c r="F345" s="50" cm="1" t="str">
        <f t="array" ref="F345:F345">OFFSET(E345,-1,1)</f>
        <v>3</v>
      </c>
      <c r="G345" s="98" cm="1" t="str">
        <f t="array" ref="G345:G345">G344</f>
        <v>Водоотведение (Осинниковский городской округ)</v>
      </c>
      <c r="H345" s="8264"/>
      <c r="I345" s="8264"/>
      <c r="J345" s="8264"/>
      <c r="K345" s="158">
        <f>first_year+3</f>
        <v>2029</v>
      </c>
      <c r="L345" s="8264"/>
      <c r="M345" s="8264"/>
      <c r="N345" s="8264"/>
      <c r="O345" s="8264"/>
      <c r="P345" s="8264"/>
      <c r="Q345" s="8264"/>
      <c r="R345" s="8264"/>
      <c r="S345" s="8264"/>
      <c r="T345" s="465" cm="1" t="str">
        <f t="array" ref="T345:T345">T344</f>
        <v>true</v>
      </c>
      <c r="U345" s="8264"/>
      <c r="V345" s="8264"/>
      <c r="W345" s="8264"/>
      <c r="X345" s="8264"/>
      <c r="Y345" s="8264"/>
      <c r="Z345" s="8264"/>
      <c r="AA345" s="8264"/>
      <c r="AB345" s="255" t="str">
        <f>K345&amp;" год"</f>
        <v>2029 год</v>
      </c>
      <c r="AC345" s="408"/>
      <c r="AD345" s="8304">
        <v>1</v>
      </c>
      <c r="AE345" s="8303">
        <v>0</v>
      </c>
      <c r="AF345" s="8303"/>
      <c r="AG345" s="8304" cm="1" t="str">
        <f t="array" ref="AG345:AG345">AG344</f>
        <v>0.975</v>
      </c>
      <c r="AH345" s="8299"/>
      <c r="AI345" s="8300"/>
      <c r="AJ345" s="8299"/>
      <c r="AK345" s="8301"/>
      <c r="AL345" s="403"/>
      <c r="AM345" s="8264"/>
      <c r="AN345" s="1064" cm="1" t="str">
        <f t="array" ref="AN345:AN345">K345</f>
        <v>2029</v>
      </c>
      <c r="AO345" s="1064" t="s">
        <v>2977</v>
      </c>
      <c r="AP345" s="1074" cm="1" t="str">
        <f t="array" ref="AP345:AP345">AP344</f>
        <v>Водоотведение (Осинниковский городской округ)</v>
      </c>
      <c r="AQ345" s="703"/>
      <c r="AR345" s="703"/>
    </row>
    <row s="8264" customFormat="1" customHeight="1" ht="14.25">
      <c r="A346" s="8264"/>
      <c r="B346" s="445">
        <f>K346&lt;first_year+PERIOD_LENGTH</f>
        <v>1</v>
      </c>
      <c r="C346" s="8264"/>
      <c r="D346" s="8264"/>
      <c r="E346" s="703">
        <v>15</v>
      </c>
      <c r="F346" s="50" cm="1" t="str">
        <f t="array" ref="F346:F346">OFFSET(E346,-1,1)</f>
        <v>3</v>
      </c>
      <c r="G346" s="98" cm="1" t="str">
        <f t="array" ref="G346:G346">G345</f>
        <v>Водоотведение (Осинниковский городской округ)</v>
      </c>
      <c r="H346" s="8264"/>
      <c r="I346" s="8264"/>
      <c r="J346" s="8264"/>
      <c r="K346" s="158">
        <f>first_year+4</f>
        <v>2030</v>
      </c>
      <c r="L346" s="8264"/>
      <c r="M346" s="8264"/>
      <c r="N346" s="8264"/>
      <c r="O346" s="8264"/>
      <c r="P346" s="8264"/>
      <c r="Q346" s="8264"/>
      <c r="R346" s="8264"/>
      <c r="S346" s="8264"/>
      <c r="T346" s="465" cm="1" t="str">
        <f t="array" ref="T346:T346">T345</f>
        <v>true</v>
      </c>
      <c r="U346" s="8264"/>
      <c r="V346" s="8264"/>
      <c r="W346" s="8264"/>
      <c r="X346" s="8264"/>
      <c r="Y346" s="8264"/>
      <c r="Z346" s="8264"/>
      <c r="AA346" s="8264"/>
      <c r="AB346" s="255" t="str">
        <f>K346&amp;" год"</f>
        <v>2030 год</v>
      </c>
      <c r="AC346" s="408"/>
      <c r="AD346" s="8304">
        <v>1</v>
      </c>
      <c r="AE346" s="8303">
        <v>0</v>
      </c>
      <c r="AF346" s="8303"/>
      <c r="AG346" s="8304" cm="1" t="str">
        <f t="array" ref="AG346:AG346">AG345</f>
        <v>0.975</v>
      </c>
      <c r="AH346" s="8299"/>
      <c r="AI346" s="8300"/>
      <c r="AJ346" s="8299"/>
      <c r="AK346" s="8301"/>
      <c r="AL346" s="403"/>
      <c r="AM346" s="8264"/>
      <c r="AN346" s="1064" cm="1" t="str">
        <f t="array" ref="AN346:AN346">K346</f>
        <v>2030</v>
      </c>
      <c r="AO346" s="1064" t="s">
        <v>2977</v>
      </c>
      <c r="AP346" s="1074" cm="1" t="str">
        <f t="array" ref="AP346:AP346">AP345</f>
        <v>Водоотведение (Осинниковский городской округ)</v>
      </c>
      <c r="AQ346" s="703"/>
      <c r="AR346" s="703"/>
    </row>
    <row s="8264" customFormat="1" customHeight="1" ht="14.25" hidden="1">
      <c r="A347" s="8264"/>
      <c r="B347" s="445">
        <f>K347&lt;first_year+PERIOD_LENGTH</f>
        <v>0</v>
      </c>
      <c r="C347" s="8264"/>
      <c r="D347" s="8264"/>
      <c r="E347" s="703">
        <v>15</v>
      </c>
      <c r="F347" s="50" cm="1" t="str">
        <f t="array" ref="F347:F347">OFFSET(E347,-1,1)</f>
        <v>3</v>
      </c>
      <c r="G347" s="98" cm="1" t="str">
        <f t="array" ref="G347:G347">G346</f>
        <v>Водоотведение (Осинниковский городской округ)</v>
      </c>
      <c r="H347" s="8264"/>
      <c r="I347" s="8264"/>
      <c r="J347" s="8264"/>
      <c r="K347" s="158">
        <f>first_year+5</f>
        <v>2031</v>
      </c>
      <c r="L347" s="8264"/>
      <c r="M347" s="8264"/>
      <c r="N347" s="8264"/>
      <c r="O347" s="8264"/>
      <c r="P347" s="8264"/>
      <c r="Q347" s="8264"/>
      <c r="R347" s="8264"/>
      <c r="S347" s="8264"/>
      <c r="T347" s="465" cm="1" t="str">
        <f t="array" ref="T347:T347">T346</f>
        <v>true</v>
      </c>
      <c r="U347" s="8264"/>
      <c r="V347" s="8264"/>
      <c r="W347" s="8264"/>
      <c r="X347" s="8264"/>
      <c r="Y347" s="8264"/>
      <c r="Z347" s="8264"/>
      <c r="AA347" s="8264"/>
      <c r="AB347" s="255" t="str">
        <f>K347&amp;" год"</f>
        <v>2031 год</v>
      </c>
      <c r="AC347" s="408"/>
      <c r="AD347" s="8300"/>
      <c r="AE347" s="8299"/>
      <c r="AF347" s="8299"/>
      <c r="AG347" s="8300"/>
      <c r="AH347" s="8299"/>
      <c r="AI347" s="8300"/>
      <c r="AJ347" s="8299"/>
      <c r="AK347" s="8301"/>
      <c r="AL347" s="403"/>
      <c r="AM347" s="8264"/>
      <c r="AN347" s="1064" cm="1" t="str">
        <f t="array" ref="AN347:AN347">K347</f>
        <v>2031</v>
      </c>
      <c r="AO347" s="1064" t="s">
        <v>2977</v>
      </c>
      <c r="AP347" s="1074" cm="1" t="str">
        <f t="array" ref="AP347:AP347">AP346</f>
        <v>Водоотведение (Осинниковский городской округ)</v>
      </c>
      <c r="AQ347" s="703"/>
      <c r="AR347" s="703"/>
    </row>
    <row s="8264" customFormat="1" customHeight="1" ht="14.25" hidden="1">
      <c r="A348" s="8264"/>
      <c r="B348" s="445">
        <f>K348&lt;first_year+PERIOD_LENGTH</f>
        <v>0</v>
      </c>
      <c r="C348" s="8264"/>
      <c r="D348" s="8264"/>
      <c r="E348" s="703">
        <v>15</v>
      </c>
      <c r="F348" s="50" cm="1" t="str">
        <f t="array" ref="F348:F348">OFFSET(E348,-1,1)</f>
        <v>3</v>
      </c>
      <c r="G348" s="98" cm="1" t="str">
        <f t="array" ref="G348:G348">G347</f>
        <v>Водоотведение (Осинниковский городской округ)</v>
      </c>
      <c r="H348" s="8264"/>
      <c r="I348" s="8264"/>
      <c r="J348" s="8264"/>
      <c r="K348" s="158">
        <f>first_year+6</f>
        <v>2032</v>
      </c>
      <c r="L348" s="8264"/>
      <c r="M348" s="8264"/>
      <c r="N348" s="8264"/>
      <c r="O348" s="8264"/>
      <c r="P348" s="8264"/>
      <c r="Q348" s="8264"/>
      <c r="R348" s="8264"/>
      <c r="S348" s="8264"/>
      <c r="T348" s="465" cm="1" t="str">
        <f t="array" ref="T348:T348">T347</f>
        <v>true</v>
      </c>
      <c r="U348" s="8264"/>
      <c r="V348" s="8264"/>
      <c r="W348" s="8264"/>
      <c r="X348" s="8264"/>
      <c r="Y348" s="8264"/>
      <c r="Z348" s="8264"/>
      <c r="AA348" s="8264"/>
      <c r="AB348" s="255" t="str">
        <f>K348&amp;" год"</f>
        <v>2032 год</v>
      </c>
      <c r="AC348" s="408"/>
      <c r="AD348" s="8300"/>
      <c r="AE348" s="8299"/>
      <c r="AF348" s="8299"/>
      <c r="AG348" s="8300"/>
      <c r="AH348" s="8299"/>
      <c r="AI348" s="8300"/>
      <c r="AJ348" s="8299"/>
      <c r="AK348" s="8301"/>
      <c r="AL348" s="403"/>
      <c r="AM348" s="8264"/>
      <c r="AN348" s="1064" cm="1" t="str">
        <f t="array" ref="AN348:AN348">K348</f>
        <v>2032</v>
      </c>
      <c r="AO348" s="1064" t="s">
        <v>2977</v>
      </c>
      <c r="AP348" s="1074" cm="1" t="str">
        <f t="array" ref="AP348:AP348">AP347</f>
        <v>Водоотведение (Осинниковский городской округ)</v>
      </c>
      <c r="AQ348" s="703"/>
      <c r="AR348" s="703"/>
    </row>
    <row s="8264" customFormat="1" customHeight="1" ht="14.25" hidden="1">
      <c r="A349" s="8264"/>
      <c r="B349" s="445">
        <f>K349&lt;first_year+PERIOD_LENGTH</f>
        <v>0</v>
      </c>
      <c r="C349" s="8264"/>
      <c r="D349" s="8264"/>
      <c r="E349" s="703">
        <v>15</v>
      </c>
      <c r="F349" s="50" cm="1" t="str">
        <f t="array" ref="F349:F349">OFFSET(E349,-1,1)</f>
        <v>3</v>
      </c>
      <c r="G349" s="98" cm="1" t="str">
        <f t="array" ref="G349:G349">G348</f>
        <v>Водоотведение (Осинниковский городской округ)</v>
      </c>
      <c r="H349" s="8264"/>
      <c r="I349" s="8264"/>
      <c r="J349" s="8264"/>
      <c r="K349" s="158">
        <f>first_year+7</f>
        <v>2033</v>
      </c>
      <c r="L349" s="8264"/>
      <c r="M349" s="8264"/>
      <c r="N349" s="8264"/>
      <c r="O349" s="8264"/>
      <c r="P349" s="8264"/>
      <c r="Q349" s="8264"/>
      <c r="R349" s="8264"/>
      <c r="S349" s="8264"/>
      <c r="T349" s="465" cm="1" t="str">
        <f t="array" ref="T349:T349">T348</f>
        <v>true</v>
      </c>
      <c r="U349" s="8264"/>
      <c r="V349" s="8264"/>
      <c r="W349" s="8264"/>
      <c r="X349" s="8264"/>
      <c r="Y349" s="8264"/>
      <c r="Z349" s="8264"/>
      <c r="AA349" s="8264"/>
      <c r="AB349" s="255" t="str">
        <f>K349&amp;" год"</f>
        <v>2033 год</v>
      </c>
      <c r="AC349" s="408"/>
      <c r="AD349" s="8300"/>
      <c r="AE349" s="8299"/>
      <c r="AF349" s="8299"/>
      <c r="AG349" s="8300"/>
      <c r="AH349" s="8299"/>
      <c r="AI349" s="8300"/>
      <c r="AJ349" s="8299"/>
      <c r="AK349" s="8301"/>
      <c r="AL349" s="403"/>
      <c r="AM349" s="8264"/>
      <c r="AN349" s="1064" cm="1" t="str">
        <f t="array" ref="AN349:AN349">K349</f>
        <v>2033</v>
      </c>
      <c r="AO349" s="1064" t="s">
        <v>2977</v>
      </c>
      <c r="AP349" s="1074" cm="1" t="str">
        <f t="array" ref="AP349:AP349">AP348</f>
        <v>Водоотведение (Осинниковский городской округ)</v>
      </c>
      <c r="AQ349" s="703"/>
      <c r="AR349" s="703"/>
    </row>
    <row s="8264" customFormat="1" customHeight="1" ht="14.25" hidden="1">
      <c r="A350" s="8264"/>
      <c r="B350" s="445">
        <f>K350&lt;first_year+PERIOD_LENGTH</f>
        <v>0</v>
      </c>
      <c r="C350" s="8264"/>
      <c r="D350" s="8264"/>
      <c r="E350" s="703">
        <v>15</v>
      </c>
      <c r="F350" s="50" cm="1" t="str">
        <f t="array" ref="F350:F350">OFFSET(E350,-1,1)</f>
        <v>3</v>
      </c>
      <c r="G350" s="98" cm="1" t="str">
        <f t="array" ref="G350:G350">G349</f>
        <v>Водоотведение (Осинниковский городской округ)</v>
      </c>
      <c r="H350" s="8264"/>
      <c r="I350" s="8264"/>
      <c r="J350" s="8264"/>
      <c r="K350" s="158">
        <f>first_year+8</f>
        <v>2034</v>
      </c>
      <c r="L350" s="8264"/>
      <c r="M350" s="8264"/>
      <c r="N350" s="8264"/>
      <c r="O350" s="8264"/>
      <c r="P350" s="8264"/>
      <c r="Q350" s="8264"/>
      <c r="R350" s="8264"/>
      <c r="S350" s="8264"/>
      <c r="T350" s="465" cm="1" t="str">
        <f t="array" ref="T350:T350">T349</f>
        <v>true</v>
      </c>
      <c r="U350" s="8264"/>
      <c r="V350" s="8264"/>
      <c r="W350" s="8264"/>
      <c r="X350" s="8264"/>
      <c r="Y350" s="8264"/>
      <c r="Z350" s="8264"/>
      <c r="AA350" s="8264"/>
      <c r="AB350" s="255" t="str">
        <f>K350&amp;" год"</f>
        <v>2034 год</v>
      </c>
      <c r="AC350" s="408"/>
      <c r="AD350" s="8300"/>
      <c r="AE350" s="8299"/>
      <c r="AF350" s="8299"/>
      <c r="AG350" s="8300"/>
      <c r="AH350" s="8299"/>
      <c r="AI350" s="8300"/>
      <c r="AJ350" s="8299"/>
      <c r="AK350" s="8301"/>
      <c r="AL350" s="403"/>
      <c r="AM350" s="8264"/>
      <c r="AN350" s="1064" cm="1" t="str">
        <f t="array" ref="AN350:AN350">K350</f>
        <v>2034</v>
      </c>
      <c r="AO350" s="1064" t="s">
        <v>2977</v>
      </c>
      <c r="AP350" s="1074" cm="1" t="str">
        <f t="array" ref="AP350:AP350">AP349</f>
        <v>Водоотведение (Осинниковский городской округ)</v>
      </c>
      <c r="AQ350" s="703"/>
      <c r="AR350" s="703"/>
    </row>
    <row s="8264" customFormat="1" customHeight="1" ht="14.25" hidden="1">
      <c r="A351" s="8264"/>
      <c r="B351" s="445">
        <f>K351&lt;first_year+PERIOD_LENGTH</f>
        <v>0</v>
      </c>
      <c r="C351" s="8264"/>
      <c r="D351" s="8264"/>
      <c r="E351" s="703">
        <v>15</v>
      </c>
      <c r="F351" s="50" cm="1" t="str">
        <f t="array" ref="F351:F351">OFFSET(E351,-1,1)</f>
        <v>3</v>
      </c>
      <c r="G351" s="98" cm="1" t="str">
        <f t="array" ref="G351:G351">G350</f>
        <v>Водоотведение (Осинниковский городской округ)</v>
      </c>
      <c r="H351" s="8264"/>
      <c r="I351" s="8264"/>
      <c r="J351" s="8264"/>
      <c r="K351" s="158">
        <f>first_year+9</f>
        <v>2035</v>
      </c>
      <c r="L351" s="8264"/>
      <c r="M351" s="8264"/>
      <c r="N351" s="8264"/>
      <c r="O351" s="8264"/>
      <c r="P351" s="8264"/>
      <c r="Q351" s="8264"/>
      <c r="R351" s="8264"/>
      <c r="S351" s="8264"/>
      <c r="T351" s="465" cm="1" t="str">
        <f t="array" ref="T351:T351">T350</f>
        <v>true</v>
      </c>
      <c r="U351" s="8264"/>
      <c r="V351" s="8264"/>
      <c r="W351" s="8264"/>
      <c r="X351" s="8264"/>
      <c r="Y351" s="8264"/>
      <c r="Z351" s="8264"/>
      <c r="AA351" s="8264"/>
      <c r="AB351" s="255" t="str">
        <f>K351&amp;" год"</f>
        <v>2035 год</v>
      </c>
      <c r="AC351" s="408"/>
      <c r="AD351" s="8300"/>
      <c r="AE351" s="8299"/>
      <c r="AF351" s="8299"/>
      <c r="AG351" s="8300"/>
      <c r="AH351" s="8299"/>
      <c r="AI351" s="8300"/>
      <c r="AJ351" s="8299"/>
      <c r="AK351" s="8301"/>
      <c r="AL351" s="403"/>
      <c r="AM351" s="8264"/>
      <c r="AN351" s="1064" cm="1" t="str">
        <f t="array" ref="AN351:AN351">K351</f>
        <v>2035</v>
      </c>
      <c r="AO351" s="1064" t="s">
        <v>2977</v>
      </c>
      <c r="AP351" s="1074" cm="1" t="str">
        <f t="array" ref="AP351:AP351">AP350</f>
        <v>Водоотведение (Осинниковский городской округ)</v>
      </c>
      <c r="AQ351" s="703"/>
      <c r="AR351" s="703"/>
    </row>
    <row s="8264" customFormat="1" customHeight="1" ht="14.25" hidden="1">
      <c r="A352" s="8264"/>
      <c r="B352" s="445">
        <f>K352&lt;first_year+PERIOD_LENGTH</f>
        <v>0</v>
      </c>
      <c r="C352" s="8264"/>
      <c r="D352" s="8264"/>
      <c r="E352" s="703">
        <v>15</v>
      </c>
      <c r="F352" s="50" cm="1" t="str">
        <f t="array" ref="F352:F352">OFFSET(E352,-1,1)</f>
        <v>3</v>
      </c>
      <c r="G352" s="98" cm="1" t="str">
        <f t="array" ref="G352:G352">G351</f>
        <v>Водоотведение (Осинниковский городской округ)</v>
      </c>
      <c r="H352" s="8264"/>
      <c r="I352" s="8264"/>
      <c r="J352" s="8264"/>
      <c r="K352" s="158">
        <f>first_year+10</f>
        <v>2036</v>
      </c>
      <c r="L352" s="8264"/>
      <c r="M352" s="8264"/>
      <c r="N352" s="8264"/>
      <c r="O352" s="8264"/>
      <c r="P352" s="8264"/>
      <c r="Q352" s="8264"/>
      <c r="R352" s="8264"/>
      <c r="S352" s="8264"/>
      <c r="T352" s="465" cm="1" t="str">
        <f t="array" ref="T352:T352">T351</f>
        <v>true</v>
      </c>
      <c r="U352" s="8264"/>
      <c r="V352" s="8264"/>
      <c r="W352" s="8264"/>
      <c r="X352" s="8264"/>
      <c r="Y352" s="8264"/>
      <c r="Z352" s="8264"/>
      <c r="AA352" s="8264"/>
      <c r="AB352" s="255" t="str">
        <f>K352&amp;" год"</f>
        <v>2036 год</v>
      </c>
      <c r="AC352" s="408"/>
      <c r="AD352" s="8300"/>
      <c r="AE352" s="8299"/>
      <c r="AF352" s="8299"/>
      <c r="AG352" s="8300"/>
      <c r="AH352" s="8299"/>
      <c r="AI352" s="8300"/>
      <c r="AJ352" s="8299"/>
      <c r="AK352" s="8301"/>
      <c r="AL352" s="403"/>
      <c r="AM352" s="8264"/>
      <c r="AN352" s="1064" cm="1" t="str">
        <f t="array" ref="AN352:AN352">K352</f>
        <v>2036</v>
      </c>
      <c r="AO352" s="1064" t="s">
        <v>2977</v>
      </c>
      <c r="AP352" s="1074" cm="1" t="str">
        <f t="array" ref="AP352:AP352">AP351</f>
        <v>Водоотведение (Осинниковский городской округ)</v>
      </c>
      <c r="AQ352" s="703"/>
      <c r="AR352" s="703"/>
    </row>
    <row s="8264" customFormat="1" customHeight="1" ht="14.25" hidden="1">
      <c r="A353" s="8264"/>
      <c r="B353" s="445">
        <f>K353&lt;first_year+PERIOD_LENGTH</f>
        <v>0</v>
      </c>
      <c r="C353" s="8264"/>
      <c r="D353" s="8264"/>
      <c r="E353" s="703">
        <v>15</v>
      </c>
      <c r="F353" s="50" cm="1" t="str">
        <f t="array" ref="F353:F353">OFFSET(E353,-1,1)</f>
        <v>3</v>
      </c>
      <c r="G353" s="98" cm="1" t="str">
        <f t="array" ref="G353:G353">G352</f>
        <v>Водоотведение (Осинниковский городской округ)</v>
      </c>
      <c r="H353" s="8264"/>
      <c r="I353" s="8264"/>
      <c r="J353" s="8264"/>
      <c r="K353" s="158">
        <f>first_year+11</f>
        <v>2037</v>
      </c>
      <c r="L353" s="8264"/>
      <c r="M353" s="8264"/>
      <c r="N353" s="8264"/>
      <c r="O353" s="8264"/>
      <c r="P353" s="8264"/>
      <c r="Q353" s="8264"/>
      <c r="R353" s="8264"/>
      <c r="S353" s="8264"/>
      <c r="T353" s="465" cm="1" t="str">
        <f t="array" ref="T353:T353">T352</f>
        <v>true</v>
      </c>
      <c r="U353" s="8264"/>
      <c r="V353" s="8264"/>
      <c r="W353" s="8264"/>
      <c r="X353" s="8264"/>
      <c r="Y353" s="8264"/>
      <c r="Z353" s="8264"/>
      <c r="AA353" s="8264"/>
      <c r="AB353" s="255" t="str">
        <f>K353&amp;" год"</f>
        <v>2037 год</v>
      </c>
      <c r="AC353" s="408"/>
      <c r="AD353" s="8300"/>
      <c r="AE353" s="8299"/>
      <c r="AF353" s="8299"/>
      <c r="AG353" s="8300"/>
      <c r="AH353" s="8299"/>
      <c r="AI353" s="8300"/>
      <c r="AJ353" s="8299"/>
      <c r="AK353" s="8301"/>
      <c r="AL353" s="403"/>
      <c r="AM353" s="8264"/>
      <c r="AN353" s="1064" cm="1" t="str">
        <f t="array" ref="AN353:AN353">K353</f>
        <v>2037</v>
      </c>
      <c r="AO353" s="1064" t="s">
        <v>2977</v>
      </c>
      <c r="AP353" s="1074" cm="1" t="str">
        <f t="array" ref="AP353:AP353">AP352</f>
        <v>Водоотведение (Осинниковский городской округ)</v>
      </c>
      <c r="AQ353" s="703"/>
      <c r="AR353" s="703"/>
    </row>
    <row s="8264" customFormat="1" customHeight="1" ht="14.25" hidden="1">
      <c r="A354" s="8264"/>
      <c r="B354" s="445">
        <f>K354&lt;first_year+PERIOD_LENGTH</f>
        <v>0</v>
      </c>
      <c r="C354" s="8264"/>
      <c r="D354" s="8264"/>
      <c r="E354" s="703">
        <v>15</v>
      </c>
      <c r="F354" s="50" cm="1" t="str">
        <f t="array" ref="F354:F354">OFFSET(E354,-1,1)</f>
        <v>3</v>
      </c>
      <c r="G354" s="98" cm="1" t="str">
        <f t="array" ref="G354:G354">G353</f>
        <v>Водоотведение (Осинниковский городской округ)</v>
      </c>
      <c r="H354" s="8264"/>
      <c r="I354" s="8264"/>
      <c r="J354" s="8264"/>
      <c r="K354" s="158">
        <f>first_year+12</f>
        <v>2038</v>
      </c>
      <c r="L354" s="8264"/>
      <c r="M354" s="8264"/>
      <c r="N354" s="8264"/>
      <c r="O354" s="8264"/>
      <c r="P354" s="8264"/>
      <c r="Q354" s="8264"/>
      <c r="R354" s="8264"/>
      <c r="S354" s="8264"/>
      <c r="T354" s="465" cm="1" t="str">
        <f t="array" ref="T354:T354">T353</f>
        <v>true</v>
      </c>
      <c r="U354" s="8264"/>
      <c r="V354" s="8264"/>
      <c r="W354" s="8264"/>
      <c r="X354" s="8264"/>
      <c r="Y354" s="8264"/>
      <c r="Z354" s="8264"/>
      <c r="AA354" s="8264"/>
      <c r="AB354" s="255" t="str">
        <f>K354&amp;" год"</f>
        <v>2038 год</v>
      </c>
      <c r="AC354" s="408"/>
      <c r="AD354" s="8300"/>
      <c r="AE354" s="8299"/>
      <c r="AF354" s="8299"/>
      <c r="AG354" s="8300"/>
      <c r="AH354" s="8299"/>
      <c r="AI354" s="8300"/>
      <c r="AJ354" s="8299"/>
      <c r="AK354" s="8301"/>
      <c r="AL354" s="403"/>
      <c r="AM354" s="8264"/>
      <c r="AN354" s="1064" cm="1" t="str">
        <f t="array" ref="AN354:AN354">K354</f>
        <v>2038</v>
      </c>
      <c r="AO354" s="1064" t="s">
        <v>2977</v>
      </c>
      <c r="AP354" s="1074" cm="1" t="str">
        <f t="array" ref="AP354:AP354">AP353</f>
        <v>Водоотведение (Осинниковский городской округ)</v>
      </c>
      <c r="AQ354" s="703"/>
      <c r="AR354" s="703"/>
    </row>
    <row s="8264" customFormat="1" customHeight="1" ht="14.25" hidden="1">
      <c r="A355" s="8264"/>
      <c r="B355" s="445">
        <f>K355&lt;first_year+PERIOD_LENGTH</f>
        <v>0</v>
      </c>
      <c r="C355" s="8264"/>
      <c r="D355" s="8264"/>
      <c r="E355" s="703">
        <v>15</v>
      </c>
      <c r="F355" s="50" cm="1" t="str">
        <f t="array" ref="F355:F355">OFFSET(E355,-1,1)</f>
        <v>3</v>
      </c>
      <c r="G355" s="98" cm="1" t="str">
        <f t="array" ref="G355:G355">G354</f>
        <v>Водоотведение (Осинниковский городской округ)</v>
      </c>
      <c r="H355" s="8264"/>
      <c r="I355" s="8264"/>
      <c r="J355" s="8264"/>
      <c r="K355" s="158">
        <f>first_year+13</f>
        <v>2039</v>
      </c>
      <c r="L355" s="8264"/>
      <c r="M355" s="8264"/>
      <c r="N355" s="8264"/>
      <c r="O355" s="8264"/>
      <c r="P355" s="8264"/>
      <c r="Q355" s="8264"/>
      <c r="R355" s="8264"/>
      <c r="S355" s="8264"/>
      <c r="T355" s="465" cm="1" t="str">
        <f t="array" ref="T355:T355">T354</f>
        <v>true</v>
      </c>
      <c r="U355" s="8264"/>
      <c r="V355" s="8264"/>
      <c r="W355" s="8264"/>
      <c r="X355" s="8264"/>
      <c r="Y355" s="8264"/>
      <c r="Z355" s="8264"/>
      <c r="AA355" s="8264"/>
      <c r="AB355" s="255" t="str">
        <f>K355&amp;" год"</f>
        <v>2039 год</v>
      </c>
      <c r="AC355" s="408"/>
      <c r="AD355" s="8300"/>
      <c r="AE355" s="8299"/>
      <c r="AF355" s="8299"/>
      <c r="AG355" s="8300"/>
      <c r="AH355" s="8299"/>
      <c r="AI355" s="8300"/>
      <c r="AJ355" s="8299"/>
      <c r="AK355" s="8301"/>
      <c r="AL355" s="403"/>
      <c r="AM355" s="8264"/>
      <c r="AN355" s="1064" cm="1" t="str">
        <f t="array" ref="AN355:AN355">K355</f>
        <v>2039</v>
      </c>
      <c r="AO355" s="1064" t="s">
        <v>2977</v>
      </c>
      <c r="AP355" s="1074" cm="1" t="str">
        <f t="array" ref="AP355:AP355">AP354</f>
        <v>Водоотведение (Осинниковский городской округ)</v>
      </c>
      <c r="AQ355" s="703"/>
      <c r="AR355" s="703"/>
    </row>
    <row s="8264" customFormat="1" customHeight="1" ht="14.25" hidden="1">
      <c r="A356" s="8264"/>
      <c r="B356" s="445">
        <f>K356&lt;first_year+PERIOD_LENGTH</f>
        <v>0</v>
      </c>
      <c r="C356" s="8264"/>
      <c r="D356" s="8264"/>
      <c r="E356" s="703">
        <v>15</v>
      </c>
      <c r="F356" s="50" cm="1" t="str">
        <f t="array" ref="F356:F356">OFFSET(E356,-1,1)</f>
        <v>3</v>
      </c>
      <c r="G356" s="98" cm="1" t="str">
        <f t="array" ref="G356:G356">G355</f>
        <v>Водоотведение (Осинниковский городской округ)</v>
      </c>
      <c r="H356" s="8264"/>
      <c r="I356" s="8264"/>
      <c r="J356" s="8264"/>
      <c r="K356" s="158">
        <f>first_year+14</f>
        <v>2040</v>
      </c>
      <c r="L356" s="8264"/>
      <c r="M356" s="8264"/>
      <c r="N356" s="8264"/>
      <c r="O356" s="8264"/>
      <c r="P356" s="8264"/>
      <c r="Q356" s="8264"/>
      <c r="R356" s="8264"/>
      <c r="S356" s="8264"/>
      <c r="T356" s="465" cm="1" t="str">
        <f t="array" ref="T356:T356">T355</f>
        <v>true</v>
      </c>
      <c r="U356" s="8264"/>
      <c r="V356" s="8264"/>
      <c r="W356" s="8264"/>
      <c r="X356" s="8264"/>
      <c r="Y356" s="8264"/>
      <c r="Z356" s="8264"/>
      <c r="AA356" s="8264"/>
      <c r="AB356" s="255" t="str">
        <f>K356&amp;" год"</f>
        <v>2040 год</v>
      </c>
      <c r="AC356" s="408"/>
      <c r="AD356" s="8300"/>
      <c r="AE356" s="8299"/>
      <c r="AF356" s="8299"/>
      <c r="AG356" s="8300"/>
      <c r="AH356" s="8299"/>
      <c r="AI356" s="8300"/>
      <c r="AJ356" s="8299"/>
      <c r="AK356" s="8301"/>
      <c r="AL356" s="403"/>
      <c r="AM356" s="8264"/>
      <c r="AN356" s="1064" cm="1" t="str">
        <f t="array" ref="AN356:AN356">K356</f>
        <v>2040</v>
      </c>
      <c r="AO356" s="1064" t="s">
        <v>2977</v>
      </c>
      <c r="AP356" s="1074" cm="1" t="str">
        <f t="array" ref="AP356:AP356">AP355</f>
        <v>Водоотведение (Осинниковский городской округ)</v>
      </c>
      <c r="AQ356" s="703"/>
      <c r="AR356" s="703"/>
    </row>
    <row s="8264" customFormat="1" customHeight="1" ht="14.25" hidden="1">
      <c r="A357" s="8264"/>
      <c r="B357" s="445">
        <f>K357&lt;first_year+PERIOD_LENGTH</f>
        <v>0</v>
      </c>
      <c r="C357" s="8264"/>
      <c r="D357" s="8264"/>
      <c r="E357" s="703">
        <v>15</v>
      </c>
      <c r="F357" s="50" cm="1" t="str">
        <f t="array" ref="F357:F357">OFFSET(E357,-1,1)</f>
        <v>3</v>
      </c>
      <c r="G357" s="98" cm="1" t="str">
        <f t="array" ref="G357:G357">G356</f>
        <v>Водоотведение (Осинниковский городской округ)</v>
      </c>
      <c r="H357" s="8264"/>
      <c r="I357" s="8264"/>
      <c r="J357" s="8264"/>
      <c r="K357" s="158">
        <f>first_year+15</f>
        <v>2041</v>
      </c>
      <c r="L357" s="8264"/>
      <c r="M357" s="8264"/>
      <c r="N357" s="8264"/>
      <c r="O357" s="8264"/>
      <c r="P357" s="8264"/>
      <c r="Q357" s="8264"/>
      <c r="R357" s="8264"/>
      <c r="S357" s="8264"/>
      <c r="T357" s="465" cm="1" t="str">
        <f t="array" ref="T357:T357">T356</f>
        <v>true</v>
      </c>
      <c r="U357" s="8264"/>
      <c r="V357" s="8264"/>
      <c r="W357" s="8264"/>
      <c r="X357" s="8264"/>
      <c r="Y357" s="8264"/>
      <c r="Z357" s="8264"/>
      <c r="AA357" s="8264"/>
      <c r="AB357" s="255" t="str">
        <f>K357&amp;" год"</f>
        <v>2041 год</v>
      </c>
      <c r="AC357" s="408"/>
      <c r="AD357" s="8300"/>
      <c r="AE357" s="8299"/>
      <c r="AF357" s="8299"/>
      <c r="AG357" s="8300"/>
      <c r="AH357" s="8299"/>
      <c r="AI357" s="8300"/>
      <c r="AJ357" s="8299"/>
      <c r="AK357" s="8301"/>
      <c r="AL357" s="403"/>
      <c r="AM357" s="8264"/>
      <c r="AN357" s="1064" cm="1" t="str">
        <f t="array" ref="AN357:AN357">K357</f>
        <v>2041</v>
      </c>
      <c r="AO357" s="1064" t="s">
        <v>2977</v>
      </c>
      <c r="AP357" s="1074" cm="1" t="str">
        <f t="array" ref="AP357:AP357">AP356</f>
        <v>Водоотведение (Осинниковский городской округ)</v>
      </c>
      <c r="AQ357" s="703"/>
      <c r="AR357" s="703"/>
    </row>
    <row s="8264" customFormat="1" customHeight="1" ht="14.25" hidden="1">
      <c r="A358" s="8264"/>
      <c r="B358" s="445">
        <f>K358&lt;first_year+PERIOD_LENGTH</f>
        <v>0</v>
      </c>
      <c r="C358" s="8264"/>
      <c r="D358" s="8264"/>
      <c r="E358" s="703">
        <v>15</v>
      </c>
      <c r="F358" s="50" cm="1" t="str">
        <f t="array" ref="F358:F358">OFFSET(E358,-1,1)</f>
        <v>3</v>
      </c>
      <c r="G358" s="98" cm="1" t="str">
        <f t="array" ref="G358:G358">G357</f>
        <v>Водоотведение (Осинниковский городской округ)</v>
      </c>
      <c r="H358" s="8264"/>
      <c r="I358" s="8264"/>
      <c r="J358" s="8264"/>
      <c r="K358" s="158">
        <f>first_year+16</f>
        <v>2042</v>
      </c>
      <c r="L358" s="8264"/>
      <c r="M358" s="8264"/>
      <c r="N358" s="8264"/>
      <c r="O358" s="8264"/>
      <c r="P358" s="8264"/>
      <c r="Q358" s="8264"/>
      <c r="R358" s="8264"/>
      <c r="S358" s="8264"/>
      <c r="T358" s="465" cm="1" t="str">
        <f t="array" ref="T358:T358">T357</f>
        <v>true</v>
      </c>
      <c r="U358" s="8264"/>
      <c r="V358" s="8264"/>
      <c r="W358" s="8264"/>
      <c r="X358" s="8264"/>
      <c r="Y358" s="8264"/>
      <c r="Z358" s="8264"/>
      <c r="AA358" s="8264"/>
      <c r="AB358" s="255" t="str">
        <f>K358&amp;" год"</f>
        <v>2042 год</v>
      </c>
      <c r="AC358" s="408"/>
      <c r="AD358" s="8300"/>
      <c r="AE358" s="8299"/>
      <c r="AF358" s="8299"/>
      <c r="AG358" s="8300"/>
      <c r="AH358" s="8299"/>
      <c r="AI358" s="8300"/>
      <c r="AJ358" s="8299"/>
      <c r="AK358" s="8301"/>
      <c r="AL358" s="403"/>
      <c r="AM358" s="8264"/>
      <c r="AN358" s="1064" cm="1" t="str">
        <f t="array" ref="AN358:AN358">K358</f>
        <v>2042</v>
      </c>
      <c r="AO358" s="1064" t="s">
        <v>2977</v>
      </c>
      <c r="AP358" s="1074" cm="1" t="str">
        <f t="array" ref="AP358:AP358">AP357</f>
        <v>Водоотведение (Осинниковский городской округ)</v>
      </c>
      <c r="AQ358" s="703"/>
      <c r="AR358" s="703"/>
    </row>
    <row s="8264" customFormat="1" customHeight="1" ht="14.25" hidden="1">
      <c r="A359" s="8264"/>
      <c r="B359" s="445">
        <f>K359&lt;first_year+PERIOD_LENGTH</f>
        <v>0</v>
      </c>
      <c r="C359" s="8264"/>
      <c r="D359" s="8264"/>
      <c r="E359" s="703">
        <v>15</v>
      </c>
      <c r="F359" s="50" cm="1" t="str">
        <f t="array" ref="F359:F359">OFFSET(E359,-1,1)</f>
        <v>3</v>
      </c>
      <c r="G359" s="98" cm="1" t="str">
        <f t="array" ref="G359:G359">G358</f>
        <v>Водоотведение (Осинниковский городской округ)</v>
      </c>
      <c r="H359" s="8264"/>
      <c r="I359" s="8264"/>
      <c r="J359" s="8264"/>
      <c r="K359" s="158">
        <f>first_year+17</f>
        <v>2043</v>
      </c>
      <c r="L359" s="8264"/>
      <c r="M359" s="8264"/>
      <c r="N359" s="8264"/>
      <c r="O359" s="8264"/>
      <c r="P359" s="8264"/>
      <c r="Q359" s="8264"/>
      <c r="R359" s="8264"/>
      <c r="S359" s="8264"/>
      <c r="T359" s="465" cm="1" t="str">
        <f t="array" ref="T359:T359">T358</f>
        <v>true</v>
      </c>
      <c r="U359" s="8264"/>
      <c r="V359" s="8264"/>
      <c r="W359" s="8264"/>
      <c r="X359" s="8264"/>
      <c r="Y359" s="8264"/>
      <c r="Z359" s="8264"/>
      <c r="AA359" s="8264"/>
      <c r="AB359" s="255" t="str">
        <f>K359&amp;" год"</f>
        <v>2043 год</v>
      </c>
      <c r="AC359" s="408"/>
      <c r="AD359" s="8300"/>
      <c r="AE359" s="8299"/>
      <c r="AF359" s="8299"/>
      <c r="AG359" s="8300"/>
      <c r="AH359" s="8299"/>
      <c r="AI359" s="8300"/>
      <c r="AJ359" s="8299"/>
      <c r="AK359" s="8301"/>
      <c r="AL359" s="403"/>
      <c r="AM359" s="8264"/>
      <c r="AN359" s="1064" cm="1" t="str">
        <f t="array" ref="AN359:AN359">K359</f>
        <v>2043</v>
      </c>
      <c r="AO359" s="1064" t="s">
        <v>2977</v>
      </c>
      <c r="AP359" s="1074" cm="1" t="str">
        <f t="array" ref="AP359:AP359">AP358</f>
        <v>Водоотведение (Осинниковский городской округ)</v>
      </c>
      <c r="AQ359" s="703"/>
      <c r="AR359" s="703"/>
    </row>
    <row s="8264" customFormat="1" customHeight="1" ht="14.25" hidden="1">
      <c r="A360" s="8264"/>
      <c r="B360" s="445">
        <f>K360&lt;first_year+PERIOD_LENGTH</f>
        <v>0</v>
      </c>
      <c r="C360" s="8264"/>
      <c r="D360" s="8264"/>
      <c r="E360" s="703">
        <v>15</v>
      </c>
      <c r="F360" s="50" cm="1" t="str">
        <f t="array" ref="F360:F360">OFFSET(E360,-1,1)</f>
        <v>3</v>
      </c>
      <c r="G360" s="98" cm="1" t="str">
        <f t="array" ref="G360:G360">G359</f>
        <v>Водоотведение (Осинниковский городской округ)</v>
      </c>
      <c r="H360" s="8264"/>
      <c r="I360" s="8264"/>
      <c r="J360" s="8264"/>
      <c r="K360" s="158">
        <f>first_year+18</f>
        <v>2044</v>
      </c>
      <c r="L360" s="8264"/>
      <c r="M360" s="8264"/>
      <c r="N360" s="8264"/>
      <c r="O360" s="8264"/>
      <c r="P360" s="8264"/>
      <c r="Q360" s="8264"/>
      <c r="R360" s="8264"/>
      <c r="S360" s="8264"/>
      <c r="T360" s="465" cm="1" t="str">
        <f t="array" ref="T360:T360">T359</f>
        <v>true</v>
      </c>
      <c r="U360" s="8264"/>
      <c r="V360" s="8264"/>
      <c r="W360" s="8264"/>
      <c r="X360" s="8264"/>
      <c r="Y360" s="8264"/>
      <c r="Z360" s="8264"/>
      <c r="AA360" s="8264"/>
      <c r="AB360" s="255" t="str">
        <f>K360&amp;" год"</f>
        <v>2044 год</v>
      </c>
      <c r="AC360" s="408"/>
      <c r="AD360" s="8300"/>
      <c r="AE360" s="8299"/>
      <c r="AF360" s="8299"/>
      <c r="AG360" s="8300"/>
      <c r="AH360" s="8299"/>
      <c r="AI360" s="8300"/>
      <c r="AJ360" s="8299"/>
      <c r="AK360" s="8301"/>
      <c r="AL360" s="403"/>
      <c r="AM360" s="8264"/>
      <c r="AN360" s="1064" cm="1" t="str">
        <f t="array" ref="AN360:AN360">K360</f>
        <v>2044</v>
      </c>
      <c r="AO360" s="1064" t="s">
        <v>2977</v>
      </c>
      <c r="AP360" s="1074" cm="1" t="str">
        <f t="array" ref="AP360:AP360">AP359</f>
        <v>Водоотведение (Осинниковский городской округ)</v>
      </c>
      <c r="AQ360" s="703"/>
      <c r="AR360" s="703"/>
    </row>
    <row s="8264" customFormat="1" customHeight="1" ht="14.25" hidden="1">
      <c r="A361" s="8264"/>
      <c r="B361" s="445">
        <f>K361&lt;first_year+PERIOD_LENGTH</f>
        <v>0</v>
      </c>
      <c r="C361" s="8264"/>
      <c r="D361" s="8264"/>
      <c r="E361" s="703">
        <v>15</v>
      </c>
      <c r="F361" s="50" cm="1" t="str">
        <f t="array" ref="F361:F361">OFFSET(E361,-1,1)</f>
        <v>3</v>
      </c>
      <c r="G361" s="98" cm="1" t="str">
        <f t="array" ref="G361:G361">G360</f>
        <v>Водоотведение (Осинниковский городской округ)</v>
      </c>
      <c r="H361" s="8264"/>
      <c r="I361" s="8264"/>
      <c r="J361" s="8264"/>
      <c r="K361" s="158">
        <f>first_year+19</f>
        <v>2045</v>
      </c>
      <c r="L361" s="8264"/>
      <c r="M361" s="8264"/>
      <c r="N361" s="8264"/>
      <c r="O361" s="8264"/>
      <c r="P361" s="8264"/>
      <c r="Q361" s="8264"/>
      <c r="R361" s="8264"/>
      <c r="S361" s="8264"/>
      <c r="T361" s="465" cm="1" t="str">
        <f t="array" ref="T361:T361">T360</f>
        <v>true</v>
      </c>
      <c r="U361" s="8264"/>
      <c r="V361" s="8264"/>
      <c r="W361" s="8264"/>
      <c r="X361" s="8264"/>
      <c r="Y361" s="8264"/>
      <c r="Z361" s="8264"/>
      <c r="AA361" s="8264"/>
      <c r="AB361" s="255" t="str">
        <f>K361&amp;" год"</f>
        <v>2045 год</v>
      </c>
      <c r="AC361" s="408"/>
      <c r="AD361" s="8300"/>
      <c r="AE361" s="8299"/>
      <c r="AF361" s="8299"/>
      <c r="AG361" s="8300"/>
      <c r="AH361" s="8299"/>
      <c r="AI361" s="8300"/>
      <c r="AJ361" s="8299"/>
      <c r="AK361" s="8301"/>
      <c r="AL361" s="403"/>
      <c r="AM361" s="8264"/>
      <c r="AN361" s="1064" cm="1" t="str">
        <f t="array" ref="AN361:AN361">K361</f>
        <v>2045</v>
      </c>
      <c r="AO361" s="1064" t="s">
        <v>2977</v>
      </c>
      <c r="AP361" s="1074" cm="1" t="str">
        <f t="array" ref="AP361:AP361">AP360</f>
        <v>Водоотведение (Осинниковский городской округ)</v>
      </c>
      <c r="AQ361" s="703"/>
      <c r="AR361" s="703"/>
    </row>
    <row s="8264" customFormat="1" customHeight="1" ht="14.25" hidden="1">
      <c r="A362" s="8264"/>
      <c r="B362" s="445">
        <f>K362&lt;first_year+PERIOD_LENGTH</f>
        <v>0</v>
      </c>
      <c r="C362" s="8264"/>
      <c r="D362" s="8264"/>
      <c r="E362" s="703">
        <v>15</v>
      </c>
      <c r="F362" s="50" cm="1" t="str">
        <f t="array" ref="F362:F362">OFFSET(E362,-1,1)</f>
        <v>3</v>
      </c>
      <c r="G362" s="98" cm="1" t="str">
        <f t="array" ref="G362:G362">G361</f>
        <v>Водоотведение (Осинниковский городской округ)</v>
      </c>
      <c r="H362" s="8264"/>
      <c r="I362" s="8264"/>
      <c r="J362" s="8264"/>
      <c r="K362" s="158">
        <f>first_year+20</f>
        <v>2046</v>
      </c>
      <c r="L362" s="8264"/>
      <c r="M362" s="8264"/>
      <c r="N362" s="8264"/>
      <c r="O362" s="8264"/>
      <c r="P362" s="8264"/>
      <c r="Q362" s="8264"/>
      <c r="R362" s="8264"/>
      <c r="S362" s="8264"/>
      <c r="T362" s="465" cm="1" t="str">
        <f t="array" ref="T362:T362">T361</f>
        <v>true</v>
      </c>
      <c r="U362" s="8264"/>
      <c r="V362" s="8264"/>
      <c r="W362" s="8264"/>
      <c r="X362" s="8264"/>
      <c r="Y362" s="8264"/>
      <c r="Z362" s="8264"/>
      <c r="AA362" s="8264"/>
      <c r="AB362" s="255" t="str">
        <f>K362&amp;" год"</f>
        <v>2046 год</v>
      </c>
      <c r="AC362" s="408"/>
      <c r="AD362" s="8300"/>
      <c r="AE362" s="8299"/>
      <c r="AF362" s="8299"/>
      <c r="AG362" s="8300"/>
      <c r="AH362" s="8299"/>
      <c r="AI362" s="8300"/>
      <c r="AJ362" s="8299"/>
      <c r="AK362" s="8301"/>
      <c r="AL362" s="403"/>
      <c r="AM362" s="8264"/>
      <c r="AN362" s="1064" cm="1" t="str">
        <f t="array" ref="AN362:AN362">K362</f>
        <v>2046</v>
      </c>
      <c r="AO362" s="1064" t="s">
        <v>2977</v>
      </c>
      <c r="AP362" s="1074" cm="1" t="str">
        <f t="array" ref="AP362:AP362">AP361</f>
        <v>Водоотведение (Осинниковский городской округ)</v>
      </c>
      <c r="AQ362" s="703"/>
      <c r="AR362" s="703"/>
    </row>
    <row s="8264" customFormat="1" customHeight="1" ht="14.25" hidden="1">
      <c r="A363" s="8264"/>
      <c r="B363" s="445">
        <f>K363&lt;first_year+PERIOD_LENGTH</f>
        <v>0</v>
      </c>
      <c r="C363" s="8264"/>
      <c r="D363" s="8264"/>
      <c r="E363" s="703">
        <v>15</v>
      </c>
      <c r="F363" s="50" cm="1" t="str">
        <f t="array" ref="F363:F363">OFFSET(E363,-1,1)</f>
        <v>3</v>
      </c>
      <c r="G363" s="98" cm="1" t="str">
        <f t="array" ref="G363:G363">G362</f>
        <v>Водоотведение (Осинниковский городской округ)</v>
      </c>
      <c r="H363" s="8264"/>
      <c r="I363" s="8264"/>
      <c r="J363" s="8264"/>
      <c r="K363" s="158">
        <f>first_year+21</f>
        <v>2047</v>
      </c>
      <c r="L363" s="8264"/>
      <c r="M363" s="8264"/>
      <c r="N363" s="8264"/>
      <c r="O363" s="8264"/>
      <c r="P363" s="8264"/>
      <c r="Q363" s="8264"/>
      <c r="R363" s="8264"/>
      <c r="S363" s="8264"/>
      <c r="T363" s="465" cm="1" t="str">
        <f t="array" ref="T363:T363">T362</f>
        <v>true</v>
      </c>
      <c r="U363" s="8264"/>
      <c r="V363" s="8264"/>
      <c r="W363" s="8264"/>
      <c r="X363" s="8264"/>
      <c r="Y363" s="8264"/>
      <c r="Z363" s="8264"/>
      <c r="AA363" s="8264"/>
      <c r="AB363" s="255" t="str">
        <f>K363&amp;" год"</f>
        <v>2047 год</v>
      </c>
      <c r="AC363" s="408"/>
      <c r="AD363" s="8300"/>
      <c r="AE363" s="8299"/>
      <c r="AF363" s="8299"/>
      <c r="AG363" s="8300"/>
      <c r="AH363" s="8299"/>
      <c r="AI363" s="8300"/>
      <c r="AJ363" s="8299"/>
      <c r="AK363" s="8301"/>
      <c r="AL363" s="403"/>
      <c r="AM363" s="8264"/>
      <c r="AN363" s="1064" cm="1" t="str">
        <f t="array" ref="AN363:AN363">K363</f>
        <v>2047</v>
      </c>
      <c r="AO363" s="1064" t="s">
        <v>2977</v>
      </c>
      <c r="AP363" s="1074" cm="1" t="str">
        <f t="array" ref="AP363:AP363">AP362</f>
        <v>Водоотведение (Осинниковский городской округ)</v>
      </c>
      <c r="AQ363" s="703"/>
      <c r="AR363" s="703"/>
    </row>
    <row s="8264" customFormat="1" customHeight="1" ht="14.25" hidden="1">
      <c r="A364" s="8264"/>
      <c r="B364" s="445">
        <f>K364&lt;first_year+PERIOD_LENGTH</f>
        <v>0</v>
      </c>
      <c r="C364" s="8264"/>
      <c r="D364" s="8264"/>
      <c r="E364" s="703">
        <v>15</v>
      </c>
      <c r="F364" s="50" cm="1" t="str">
        <f t="array" ref="F364:F364">OFFSET(E364,-1,1)</f>
        <v>3</v>
      </c>
      <c r="G364" s="98" cm="1" t="str">
        <f t="array" ref="G364:G364">G363</f>
        <v>Водоотведение (Осинниковский городской округ)</v>
      </c>
      <c r="H364" s="8264"/>
      <c r="I364" s="8264"/>
      <c r="J364" s="8264"/>
      <c r="K364" s="158">
        <f>first_year+22</f>
        <v>2048</v>
      </c>
      <c r="L364" s="8264"/>
      <c r="M364" s="8264"/>
      <c r="N364" s="8264"/>
      <c r="O364" s="8264"/>
      <c r="P364" s="8264"/>
      <c r="Q364" s="8264"/>
      <c r="R364" s="8264"/>
      <c r="S364" s="8264"/>
      <c r="T364" s="465" cm="1" t="str">
        <f t="array" ref="T364:T364">T363</f>
        <v>true</v>
      </c>
      <c r="U364" s="8264"/>
      <c r="V364" s="8264"/>
      <c r="W364" s="8264"/>
      <c r="X364" s="8264"/>
      <c r="Y364" s="8264"/>
      <c r="Z364" s="8264"/>
      <c r="AA364" s="8264"/>
      <c r="AB364" s="255" t="str">
        <f>K364&amp;" год"</f>
        <v>2048 год</v>
      </c>
      <c r="AC364" s="408"/>
      <c r="AD364" s="8300"/>
      <c r="AE364" s="8299"/>
      <c r="AF364" s="8299"/>
      <c r="AG364" s="8300"/>
      <c r="AH364" s="8299"/>
      <c r="AI364" s="8300"/>
      <c r="AJ364" s="8299"/>
      <c r="AK364" s="8301"/>
      <c r="AL364" s="403"/>
      <c r="AM364" s="8264"/>
      <c r="AN364" s="1064" cm="1" t="str">
        <f t="array" ref="AN364:AN364">K364</f>
        <v>2048</v>
      </c>
      <c r="AO364" s="1064" t="s">
        <v>2977</v>
      </c>
      <c r="AP364" s="1074" cm="1" t="str">
        <f t="array" ref="AP364:AP364">AP363</f>
        <v>Водоотведение (Осинниковский городской округ)</v>
      </c>
      <c r="AQ364" s="703"/>
      <c r="AR364" s="703"/>
    </row>
    <row s="8264" customFormat="1" customHeight="1" ht="14.25" hidden="1">
      <c r="A365" s="8264"/>
      <c r="B365" s="445">
        <f>K365&lt;first_year+PERIOD_LENGTH</f>
        <v>0</v>
      </c>
      <c r="C365" s="8264"/>
      <c r="D365" s="8264"/>
      <c r="E365" s="703">
        <v>15</v>
      </c>
      <c r="F365" s="50" cm="1" t="str">
        <f t="array" ref="F365:F365">OFFSET(E365,-1,1)</f>
        <v>3</v>
      </c>
      <c r="G365" s="98" cm="1" t="str">
        <f t="array" ref="G365:G365">G364</f>
        <v>Водоотведение (Осинниковский городской округ)</v>
      </c>
      <c r="H365" s="8264"/>
      <c r="I365" s="8264"/>
      <c r="J365" s="8264"/>
      <c r="K365" s="158">
        <f>first_year+23</f>
        <v>2049</v>
      </c>
      <c r="L365" s="8264"/>
      <c r="M365" s="8264"/>
      <c r="N365" s="8264"/>
      <c r="O365" s="8264"/>
      <c r="P365" s="8264"/>
      <c r="Q365" s="8264"/>
      <c r="R365" s="8264"/>
      <c r="S365" s="8264"/>
      <c r="T365" s="465" cm="1" t="str">
        <f t="array" ref="T365:T365">T364</f>
        <v>true</v>
      </c>
      <c r="U365" s="8264"/>
      <c r="V365" s="8264"/>
      <c r="W365" s="8264"/>
      <c r="X365" s="8264"/>
      <c r="Y365" s="8264"/>
      <c r="Z365" s="8264"/>
      <c r="AA365" s="8264"/>
      <c r="AB365" s="255" t="str">
        <f>K365&amp;" год"</f>
        <v>2049 год</v>
      </c>
      <c r="AC365" s="408"/>
      <c r="AD365" s="8300"/>
      <c r="AE365" s="8299"/>
      <c r="AF365" s="8299"/>
      <c r="AG365" s="8300"/>
      <c r="AH365" s="8299"/>
      <c r="AI365" s="8300"/>
      <c r="AJ365" s="8299"/>
      <c r="AK365" s="8301"/>
      <c r="AL365" s="403"/>
      <c r="AM365" s="8264"/>
      <c r="AN365" s="1064" cm="1" t="str">
        <f t="array" ref="AN365:AN365">K365</f>
        <v>2049</v>
      </c>
      <c r="AO365" s="1064" t="s">
        <v>2977</v>
      </c>
      <c r="AP365" s="1074" cm="1" t="str">
        <f t="array" ref="AP365:AP365">AP364</f>
        <v>Водоотведение (Осинниковский городской округ)</v>
      </c>
      <c r="AQ365" s="703"/>
      <c r="AR365" s="703"/>
    </row>
    <row s="8264" customFormat="1" customHeight="1" ht="14.25" hidden="1">
      <c r="A366" s="8264"/>
      <c r="B366" s="445">
        <f>K366&lt;first_year+PERIOD_LENGTH</f>
        <v>0</v>
      </c>
      <c r="C366" s="8264"/>
      <c r="D366" s="8264"/>
      <c r="E366" s="703">
        <v>15</v>
      </c>
      <c r="F366" s="50" cm="1" t="str">
        <f t="array" ref="F366:F366">OFFSET(E366,-1,1)</f>
        <v>3</v>
      </c>
      <c r="G366" s="98" cm="1" t="str">
        <f t="array" ref="G366:G366">G365</f>
        <v>Водоотведение (Осинниковский городской округ)</v>
      </c>
      <c r="H366" s="8264"/>
      <c r="I366" s="8264"/>
      <c r="J366" s="8264"/>
      <c r="K366" s="158">
        <f>first_year+24</f>
        <v>2050</v>
      </c>
      <c r="L366" s="8264"/>
      <c r="M366" s="8264"/>
      <c r="N366" s="8264"/>
      <c r="O366" s="8264"/>
      <c r="P366" s="8264"/>
      <c r="Q366" s="8264"/>
      <c r="R366" s="8264"/>
      <c r="S366" s="8264"/>
      <c r="T366" s="465" cm="1" t="str">
        <f t="array" ref="T366:T366">T365</f>
        <v>true</v>
      </c>
      <c r="U366" s="8264"/>
      <c r="V366" s="8264"/>
      <c r="W366" s="8264"/>
      <c r="X366" s="8264"/>
      <c r="Y366" s="8264"/>
      <c r="Z366" s="8264"/>
      <c r="AA366" s="8264"/>
      <c r="AB366" s="255" t="str">
        <f>K366&amp;" год"</f>
        <v>2050 год</v>
      </c>
      <c r="AC366" s="408"/>
      <c r="AD366" s="8300"/>
      <c r="AE366" s="8299"/>
      <c r="AF366" s="8299"/>
      <c r="AG366" s="8300"/>
      <c r="AH366" s="8299"/>
      <c r="AI366" s="8300"/>
      <c r="AJ366" s="8299"/>
      <c r="AK366" s="8301"/>
      <c r="AL366" s="403"/>
      <c r="AM366" s="8264"/>
      <c r="AN366" s="1064" cm="1" t="str">
        <f t="array" ref="AN366:AN366">K366</f>
        <v>2050</v>
      </c>
      <c r="AO366" s="1064" t="s">
        <v>2977</v>
      </c>
      <c r="AP366" s="1074" cm="1" t="str">
        <f t="array" ref="AP366:AP366">AP365</f>
        <v>Водоотведение (Осинниковский городской округ)</v>
      </c>
      <c r="AQ366" s="703"/>
      <c r="AR366" s="703"/>
    </row>
    <row s="8264" customFormat="1" customHeight="1" ht="14.25" hidden="1">
      <c r="A367" s="8264"/>
      <c r="B367" s="445">
        <f>K367&lt;first_year+PERIOD_LENGTH</f>
        <v>0</v>
      </c>
      <c r="C367" s="8264"/>
      <c r="D367" s="8264"/>
      <c r="E367" s="703">
        <v>15</v>
      </c>
      <c r="F367" s="50" cm="1" t="str">
        <f t="array" ref="F367:F367">OFFSET(E367,-1,1)</f>
        <v>3</v>
      </c>
      <c r="G367" s="98" cm="1" t="str">
        <f t="array" ref="G367:G367">G366</f>
        <v>Водоотведение (Осинниковский городской округ)</v>
      </c>
      <c r="H367" s="8264"/>
      <c r="I367" s="8264"/>
      <c r="J367" s="8264"/>
      <c r="K367" s="158">
        <f>first_year+25</f>
        <v>2051</v>
      </c>
      <c r="L367" s="8264"/>
      <c r="M367" s="8264"/>
      <c r="N367" s="8264"/>
      <c r="O367" s="8264"/>
      <c r="P367" s="8264"/>
      <c r="Q367" s="8264"/>
      <c r="R367" s="8264"/>
      <c r="S367" s="8264"/>
      <c r="T367" s="465" cm="1" t="str">
        <f t="array" ref="T367:T367">T366</f>
        <v>true</v>
      </c>
      <c r="U367" s="8264"/>
      <c r="V367" s="8264"/>
      <c r="W367" s="8264"/>
      <c r="X367" s="8264"/>
      <c r="Y367" s="8264"/>
      <c r="Z367" s="8264"/>
      <c r="AA367" s="8264"/>
      <c r="AB367" s="255" t="str">
        <f>K367&amp;" год"</f>
        <v>2051 год</v>
      </c>
      <c r="AC367" s="408"/>
      <c r="AD367" s="8300"/>
      <c r="AE367" s="8299"/>
      <c r="AF367" s="8299"/>
      <c r="AG367" s="8300"/>
      <c r="AH367" s="8299"/>
      <c r="AI367" s="8300"/>
      <c r="AJ367" s="8299"/>
      <c r="AK367" s="8301"/>
      <c r="AL367" s="403"/>
      <c r="AM367" s="8264"/>
      <c r="AN367" s="1064" cm="1" t="str">
        <f t="array" ref="AN367:AN367">K367</f>
        <v>2051</v>
      </c>
      <c r="AO367" s="1064" t="s">
        <v>2977</v>
      </c>
      <c r="AP367" s="1074" cm="1" t="str">
        <f t="array" ref="AP367:AP367">AP366</f>
        <v>Водоотведение (Осинниковский городской округ)</v>
      </c>
      <c r="AQ367" s="703"/>
      <c r="AR367" s="703"/>
    </row>
    <row s="8264" customFormat="1" customHeight="1" ht="14.25" hidden="1">
      <c r="A368" s="8264"/>
      <c r="B368" s="445">
        <f>K368&lt;first_year+PERIOD_LENGTH</f>
        <v>0</v>
      </c>
      <c r="C368" s="8264"/>
      <c r="D368" s="8264"/>
      <c r="E368" s="703">
        <v>15</v>
      </c>
      <c r="F368" s="50" cm="1" t="str">
        <f t="array" ref="F368:F368">OFFSET(E368,-1,1)</f>
        <v>3</v>
      </c>
      <c r="G368" s="98" cm="1" t="str">
        <f t="array" ref="G368:G368">G367</f>
        <v>Водоотведение (Осинниковский городской округ)</v>
      </c>
      <c r="H368" s="8264"/>
      <c r="I368" s="8264"/>
      <c r="J368" s="8264"/>
      <c r="K368" s="158">
        <f>first_year+26</f>
        <v>2052</v>
      </c>
      <c r="L368" s="8264"/>
      <c r="M368" s="8264"/>
      <c r="N368" s="8264"/>
      <c r="O368" s="8264"/>
      <c r="P368" s="8264"/>
      <c r="Q368" s="8264"/>
      <c r="R368" s="8264"/>
      <c r="S368" s="8264"/>
      <c r="T368" s="465" cm="1" t="str">
        <f t="array" ref="T368:T368">T367</f>
        <v>true</v>
      </c>
      <c r="U368" s="8264"/>
      <c r="V368" s="8264"/>
      <c r="W368" s="8264"/>
      <c r="X368" s="8264"/>
      <c r="Y368" s="8264"/>
      <c r="Z368" s="8264"/>
      <c r="AA368" s="8264"/>
      <c r="AB368" s="255" t="str">
        <f>K368&amp;" год"</f>
        <v>2052 год</v>
      </c>
      <c r="AC368" s="408"/>
      <c r="AD368" s="8300"/>
      <c r="AE368" s="8299"/>
      <c r="AF368" s="8299"/>
      <c r="AG368" s="8300"/>
      <c r="AH368" s="8299"/>
      <c r="AI368" s="8300"/>
      <c r="AJ368" s="8299"/>
      <c r="AK368" s="8301"/>
      <c r="AL368" s="403"/>
      <c r="AM368" s="8264"/>
      <c r="AN368" s="1064" cm="1" t="str">
        <f t="array" ref="AN368:AN368">K368</f>
        <v>2052</v>
      </c>
      <c r="AO368" s="1064" t="s">
        <v>2977</v>
      </c>
      <c r="AP368" s="1074" cm="1" t="str">
        <f t="array" ref="AP368:AP368">AP367</f>
        <v>Водоотведение (Осинниковский городской округ)</v>
      </c>
      <c r="AQ368" s="703"/>
      <c r="AR368" s="703"/>
    </row>
    <row s="8264" customFormat="1" customHeight="1" ht="14.25" hidden="1">
      <c r="A369" s="8264"/>
      <c r="B369" s="445">
        <f>K369&lt;first_year+PERIOD_LENGTH</f>
        <v>0</v>
      </c>
      <c r="C369" s="8264"/>
      <c r="D369" s="8264"/>
      <c r="E369" s="703">
        <v>15</v>
      </c>
      <c r="F369" s="50" cm="1" t="str">
        <f t="array" ref="F369:F369">OFFSET(E369,-1,1)</f>
        <v>3</v>
      </c>
      <c r="G369" s="98" cm="1" t="str">
        <f t="array" ref="G369:G369">G368</f>
        <v>Водоотведение (Осинниковский городской округ)</v>
      </c>
      <c r="H369" s="8264"/>
      <c r="I369" s="8264"/>
      <c r="J369" s="8264"/>
      <c r="K369" s="158">
        <f>first_year+27</f>
        <v>2053</v>
      </c>
      <c r="L369" s="8264"/>
      <c r="M369" s="8264"/>
      <c r="N369" s="8264"/>
      <c r="O369" s="8264"/>
      <c r="P369" s="8264"/>
      <c r="Q369" s="8264"/>
      <c r="R369" s="8264"/>
      <c r="S369" s="8264"/>
      <c r="T369" s="465" cm="1" t="str">
        <f t="array" ref="T369:T369">T368</f>
        <v>true</v>
      </c>
      <c r="U369" s="8264"/>
      <c r="V369" s="8264"/>
      <c r="W369" s="8264"/>
      <c r="X369" s="8264"/>
      <c r="Y369" s="8264"/>
      <c r="Z369" s="8264"/>
      <c r="AA369" s="8264"/>
      <c r="AB369" s="255" t="str">
        <f>K369&amp;" год"</f>
        <v>2053 год</v>
      </c>
      <c r="AC369" s="408"/>
      <c r="AD369" s="8300"/>
      <c r="AE369" s="8299"/>
      <c r="AF369" s="8299"/>
      <c r="AG369" s="8300"/>
      <c r="AH369" s="8299"/>
      <c r="AI369" s="8300"/>
      <c r="AJ369" s="8299"/>
      <c r="AK369" s="8301"/>
      <c r="AL369" s="403"/>
      <c r="AM369" s="8264"/>
      <c r="AN369" s="1064" cm="1" t="str">
        <f t="array" ref="AN369:AN369">K369</f>
        <v>2053</v>
      </c>
      <c r="AO369" s="1064" t="s">
        <v>2977</v>
      </c>
      <c r="AP369" s="1074" cm="1" t="str">
        <f t="array" ref="AP369:AP369">AP368</f>
        <v>Водоотведение (Осинниковский городской округ)</v>
      </c>
      <c r="AQ369" s="703"/>
      <c r="AR369" s="703"/>
    </row>
    <row s="8264" customFormat="1" customHeight="1" ht="14.25" hidden="1">
      <c r="A370" s="8264"/>
      <c r="B370" s="445">
        <f>K370&lt;first_year+PERIOD_LENGTH</f>
        <v>0</v>
      </c>
      <c r="C370" s="8264"/>
      <c r="D370" s="8264"/>
      <c r="E370" s="703">
        <v>15</v>
      </c>
      <c r="F370" s="50" cm="1" t="str">
        <f t="array" ref="F370:F370">OFFSET(E370,-1,1)</f>
        <v>3</v>
      </c>
      <c r="G370" s="98" cm="1" t="str">
        <f t="array" ref="G370:G370">G369</f>
        <v>Водоотведение (Осинниковский городской округ)</v>
      </c>
      <c r="H370" s="8264"/>
      <c r="I370" s="8264"/>
      <c r="J370" s="8264"/>
      <c r="K370" s="158">
        <f>first_year+28</f>
        <v>2054</v>
      </c>
      <c r="L370" s="8264"/>
      <c r="M370" s="8264"/>
      <c r="N370" s="8264"/>
      <c r="O370" s="8264"/>
      <c r="P370" s="8264"/>
      <c r="Q370" s="8264"/>
      <c r="R370" s="8264"/>
      <c r="S370" s="8264"/>
      <c r="T370" s="465" cm="1" t="str">
        <f t="array" ref="T370:T370">T369</f>
        <v>true</v>
      </c>
      <c r="U370" s="8264"/>
      <c r="V370" s="8264"/>
      <c r="W370" s="8264"/>
      <c r="X370" s="8264"/>
      <c r="Y370" s="8264"/>
      <c r="Z370" s="8264"/>
      <c r="AA370" s="8264"/>
      <c r="AB370" s="255" t="str">
        <f>K370&amp;" год"</f>
        <v>2054 год</v>
      </c>
      <c r="AC370" s="408"/>
      <c r="AD370" s="8300"/>
      <c r="AE370" s="8299"/>
      <c r="AF370" s="8299"/>
      <c r="AG370" s="8300"/>
      <c r="AH370" s="8299"/>
      <c r="AI370" s="8300"/>
      <c r="AJ370" s="8299"/>
      <c r="AK370" s="8301"/>
      <c r="AL370" s="403"/>
      <c r="AM370" s="8264"/>
      <c r="AN370" s="1064" cm="1" t="str">
        <f t="array" ref="AN370:AN370">K370</f>
        <v>2054</v>
      </c>
      <c r="AO370" s="1064" t="s">
        <v>2977</v>
      </c>
      <c r="AP370" s="1074" cm="1" t="str">
        <f t="array" ref="AP370:AP370">AP369</f>
        <v>Водоотведение (Осинниковский городской округ)</v>
      </c>
      <c r="AQ370" s="703"/>
      <c r="AR370" s="703"/>
    </row>
    <row s="8264" customFormat="1" customHeight="1" ht="14.25" hidden="1">
      <c r="A371" s="8264"/>
      <c r="B371" s="445">
        <f>K371&lt;first_year+PERIOD_LENGTH</f>
        <v>0</v>
      </c>
      <c r="C371" s="8264"/>
      <c r="D371" s="8264"/>
      <c r="E371" s="703">
        <v>15</v>
      </c>
      <c r="F371" s="50" cm="1" t="str">
        <f t="array" ref="F371:F371">OFFSET(E371,-1,1)</f>
        <v>3</v>
      </c>
      <c r="G371" s="98" cm="1" t="str">
        <f t="array" ref="G371:G371">G370</f>
        <v>Водоотведение (Осинниковский городской округ)</v>
      </c>
      <c r="H371" s="8264"/>
      <c r="I371" s="8264"/>
      <c r="J371" s="8264"/>
      <c r="K371" s="158">
        <f>first_year+29</f>
        <v>2055</v>
      </c>
      <c r="L371" s="8264"/>
      <c r="M371" s="8264"/>
      <c r="N371" s="8264"/>
      <c r="O371" s="8264"/>
      <c r="P371" s="8264"/>
      <c r="Q371" s="8264"/>
      <c r="R371" s="8264"/>
      <c r="S371" s="8264"/>
      <c r="T371" s="465" cm="1" t="str">
        <f t="array" ref="T371:T371">T370</f>
        <v>true</v>
      </c>
      <c r="U371" s="8264"/>
      <c r="V371" s="8264"/>
      <c r="W371" s="8264"/>
      <c r="X371" s="8264"/>
      <c r="Y371" s="8264"/>
      <c r="Z371" s="8264"/>
      <c r="AA371" s="8264"/>
      <c r="AB371" s="255" t="str">
        <f>K371&amp;" год"</f>
        <v>2055 год</v>
      </c>
      <c r="AC371" s="408"/>
      <c r="AD371" s="8300"/>
      <c r="AE371" s="8299"/>
      <c r="AF371" s="8299"/>
      <c r="AG371" s="8300"/>
      <c r="AH371" s="8299"/>
      <c r="AI371" s="8300"/>
      <c r="AJ371" s="8299"/>
      <c r="AK371" s="8301"/>
      <c r="AL371" s="403"/>
      <c r="AM371" s="8264"/>
      <c r="AN371" s="1064" cm="1" t="str">
        <f t="array" ref="AN371:AN371">K371</f>
        <v>2055</v>
      </c>
      <c r="AO371" s="1064" t="s">
        <v>2977</v>
      </c>
      <c r="AP371" s="1074" cm="1" t="str">
        <f t="array" ref="AP371:AP371">AP370</f>
        <v>Водоотведение (Осинниковский городской округ)</v>
      </c>
      <c r="AQ371" s="703"/>
      <c r="AR371" s="703"/>
    </row>
    <row s="8264" customFormat="1" customHeight="1" ht="14.25" hidden="1">
      <c r="A372" s="8264"/>
      <c r="B372" s="445">
        <f>K372&lt;first_year+PERIOD_LENGTH</f>
        <v>0</v>
      </c>
      <c r="C372" s="8264"/>
      <c r="D372" s="8264"/>
      <c r="E372" s="703">
        <v>15</v>
      </c>
      <c r="F372" s="50" cm="1" t="str">
        <f t="array" ref="F372:F372">OFFSET(E372,-1,1)</f>
        <v>3</v>
      </c>
      <c r="G372" s="98" cm="1" t="str">
        <f t="array" ref="G372:G372">G371</f>
        <v>Водоотведение (Осинниковский городской округ)</v>
      </c>
      <c r="H372" s="8264"/>
      <c r="I372" s="8264"/>
      <c r="J372" s="8264"/>
      <c r="K372" s="158">
        <f>first_year+30</f>
        <v>2056</v>
      </c>
      <c r="L372" s="8264"/>
      <c r="M372" s="8264"/>
      <c r="N372" s="8264"/>
      <c r="O372" s="8264"/>
      <c r="P372" s="8264"/>
      <c r="Q372" s="8264"/>
      <c r="R372" s="8264"/>
      <c r="S372" s="8264"/>
      <c r="T372" s="465" cm="1" t="str">
        <f t="array" ref="T372:T372">T371</f>
        <v>true</v>
      </c>
      <c r="U372" s="8264"/>
      <c r="V372" s="8264"/>
      <c r="W372" s="8264"/>
      <c r="X372" s="8264"/>
      <c r="Y372" s="8264"/>
      <c r="Z372" s="8264"/>
      <c r="AA372" s="8264"/>
      <c r="AB372" s="255" t="str">
        <f>K372&amp;" год"</f>
        <v>2056 год</v>
      </c>
      <c r="AC372" s="408"/>
      <c r="AD372" s="8300"/>
      <c r="AE372" s="8299"/>
      <c r="AF372" s="8299"/>
      <c r="AG372" s="8300"/>
      <c r="AH372" s="8299"/>
      <c r="AI372" s="8300"/>
      <c r="AJ372" s="8299"/>
      <c r="AK372" s="8301"/>
      <c r="AL372" s="403"/>
      <c r="AM372" s="8264"/>
      <c r="AN372" s="1064" cm="1" t="str">
        <f t="array" ref="AN372:AN372">K372</f>
        <v>2056</v>
      </c>
      <c r="AO372" s="1064" t="s">
        <v>2977</v>
      </c>
      <c r="AP372" s="1074" cm="1" t="str">
        <f t="array" ref="AP372:AP372">AP371</f>
        <v>Водоотведение (Осинниковский городской округ)</v>
      </c>
      <c r="AQ372" s="703"/>
      <c r="AR372" s="703"/>
    </row>
    <row s="8264" customFormat="1" customHeight="1" ht="14.25" hidden="1">
      <c r="A373" s="8264"/>
      <c r="B373" s="445">
        <f>K373&lt;first_year+PERIOD_LENGTH</f>
        <v>0</v>
      </c>
      <c r="C373" s="8264"/>
      <c r="D373" s="8264"/>
      <c r="E373" s="703">
        <v>15</v>
      </c>
      <c r="F373" s="50" cm="1" t="str">
        <f t="array" ref="F373:F373">OFFSET(E373,-1,1)</f>
        <v>3</v>
      </c>
      <c r="G373" s="98" cm="1" t="str">
        <f t="array" ref="G373:G373">G372</f>
        <v>Водоотведение (Осинниковский городской округ)</v>
      </c>
      <c r="H373" s="8264"/>
      <c r="I373" s="8264"/>
      <c r="J373" s="8264"/>
      <c r="K373" s="158">
        <f>first_year+31</f>
        <v>2057</v>
      </c>
      <c r="L373" s="8264"/>
      <c r="M373" s="8264"/>
      <c r="N373" s="8264"/>
      <c r="O373" s="8264"/>
      <c r="P373" s="8264"/>
      <c r="Q373" s="8264"/>
      <c r="R373" s="8264"/>
      <c r="S373" s="8264"/>
      <c r="T373" s="465" cm="1" t="str">
        <f t="array" ref="T373:T373">T372</f>
        <v>true</v>
      </c>
      <c r="U373" s="8264"/>
      <c r="V373" s="8264"/>
      <c r="W373" s="8264"/>
      <c r="X373" s="8264"/>
      <c r="Y373" s="8264"/>
      <c r="Z373" s="8264"/>
      <c r="AA373" s="8264"/>
      <c r="AB373" s="255" t="str">
        <f>K373&amp;" год"</f>
        <v>2057 год</v>
      </c>
      <c r="AC373" s="408"/>
      <c r="AD373" s="8300"/>
      <c r="AE373" s="8299"/>
      <c r="AF373" s="8299"/>
      <c r="AG373" s="8300"/>
      <c r="AH373" s="8299"/>
      <c r="AI373" s="8300"/>
      <c r="AJ373" s="8299"/>
      <c r="AK373" s="8301"/>
      <c r="AL373" s="403"/>
      <c r="AM373" s="8264"/>
      <c r="AN373" s="1064" cm="1" t="str">
        <f t="array" ref="AN373:AN373">K373</f>
        <v>2057</v>
      </c>
      <c r="AO373" s="1064" t="s">
        <v>2977</v>
      </c>
      <c r="AP373" s="1074" cm="1" t="str">
        <f t="array" ref="AP373:AP373">AP372</f>
        <v>Водоотведение (Осинниковский городской округ)</v>
      </c>
      <c r="AQ373" s="703"/>
      <c r="AR373" s="703"/>
    </row>
    <row s="8264" customFormat="1" customHeight="1" ht="14.25" hidden="1">
      <c r="A374" s="8264"/>
      <c r="B374" s="445">
        <f>K374&lt;first_year+PERIOD_LENGTH</f>
        <v>0</v>
      </c>
      <c r="C374" s="8264"/>
      <c r="D374" s="8264"/>
      <c r="E374" s="703">
        <v>15</v>
      </c>
      <c r="F374" s="50" cm="1" t="str">
        <f t="array" ref="F374:F374">OFFSET(E374,-1,1)</f>
        <v>3</v>
      </c>
      <c r="G374" s="98" cm="1" t="str">
        <f t="array" ref="G374:G374">G373</f>
        <v>Водоотведение (Осинниковский городской округ)</v>
      </c>
      <c r="H374" s="8264"/>
      <c r="I374" s="8264"/>
      <c r="J374" s="8264"/>
      <c r="K374" s="158">
        <f>first_year+32</f>
        <v>2058</v>
      </c>
      <c r="L374" s="8264"/>
      <c r="M374" s="8264"/>
      <c r="N374" s="8264"/>
      <c r="O374" s="8264"/>
      <c r="P374" s="8264"/>
      <c r="Q374" s="8264"/>
      <c r="R374" s="8264"/>
      <c r="S374" s="8264"/>
      <c r="T374" s="465" cm="1" t="str">
        <f t="array" ref="T374:T374">T373</f>
        <v>true</v>
      </c>
      <c r="U374" s="8264"/>
      <c r="V374" s="8264"/>
      <c r="W374" s="8264"/>
      <c r="X374" s="8264"/>
      <c r="Y374" s="8264"/>
      <c r="Z374" s="8264"/>
      <c r="AA374" s="8264"/>
      <c r="AB374" s="255" t="str">
        <f>K374&amp;" год"</f>
        <v>2058 год</v>
      </c>
      <c r="AC374" s="408"/>
      <c r="AD374" s="8300"/>
      <c r="AE374" s="8299"/>
      <c r="AF374" s="8299"/>
      <c r="AG374" s="8300"/>
      <c r="AH374" s="8299"/>
      <c r="AI374" s="8300"/>
      <c r="AJ374" s="8299"/>
      <c r="AK374" s="8301"/>
      <c r="AL374" s="403"/>
      <c r="AM374" s="8264"/>
      <c r="AN374" s="1064" cm="1" t="str">
        <f t="array" ref="AN374:AN374">K374</f>
        <v>2058</v>
      </c>
      <c r="AO374" s="1064" t="s">
        <v>2977</v>
      </c>
      <c r="AP374" s="1074" cm="1" t="str">
        <f t="array" ref="AP374:AP374">AP373</f>
        <v>Водоотведение (Осинниковский городской округ)</v>
      </c>
      <c r="AQ374" s="703"/>
      <c r="AR374" s="703"/>
    </row>
    <row s="8264" customFormat="1" customHeight="1" ht="14.25" hidden="1">
      <c r="A375" s="8264"/>
      <c r="B375" s="445">
        <f>K375&lt;first_year+PERIOD_LENGTH</f>
        <v>0</v>
      </c>
      <c r="C375" s="8264"/>
      <c r="D375" s="8264"/>
      <c r="E375" s="703">
        <v>15</v>
      </c>
      <c r="F375" s="50" cm="1" t="str">
        <f t="array" ref="F375:F375">OFFSET(E375,-1,1)</f>
        <v>3</v>
      </c>
      <c r="G375" s="98" cm="1" t="str">
        <f t="array" ref="G375:G375">G374</f>
        <v>Водоотведение (Осинниковский городской округ)</v>
      </c>
      <c r="H375" s="8264"/>
      <c r="I375" s="8264"/>
      <c r="J375" s="8264"/>
      <c r="K375" s="158">
        <f>first_year+33</f>
        <v>2059</v>
      </c>
      <c r="L375" s="8264"/>
      <c r="M375" s="8264"/>
      <c r="N375" s="8264"/>
      <c r="O375" s="8264"/>
      <c r="P375" s="8264"/>
      <c r="Q375" s="8264"/>
      <c r="R375" s="8264"/>
      <c r="S375" s="8264"/>
      <c r="T375" s="465" cm="1" t="str">
        <f t="array" ref="T375:T375">T374</f>
        <v>true</v>
      </c>
      <c r="U375" s="8264"/>
      <c r="V375" s="8264"/>
      <c r="W375" s="8264"/>
      <c r="X375" s="8264"/>
      <c r="Y375" s="8264"/>
      <c r="Z375" s="8264"/>
      <c r="AA375" s="8264"/>
      <c r="AB375" s="255" t="str">
        <f>K375&amp;" год"</f>
        <v>2059 год</v>
      </c>
      <c r="AC375" s="408"/>
      <c r="AD375" s="8300"/>
      <c r="AE375" s="8299"/>
      <c r="AF375" s="8299"/>
      <c r="AG375" s="8300"/>
      <c r="AH375" s="8299"/>
      <c r="AI375" s="8300"/>
      <c r="AJ375" s="8299"/>
      <c r="AK375" s="8301"/>
      <c r="AL375" s="403"/>
      <c r="AM375" s="8264"/>
      <c r="AN375" s="1064" cm="1" t="str">
        <f t="array" ref="AN375:AN375">K375</f>
        <v>2059</v>
      </c>
      <c r="AO375" s="1064" t="s">
        <v>2977</v>
      </c>
      <c r="AP375" s="1074" cm="1" t="str">
        <f t="array" ref="AP375:AP375">AP374</f>
        <v>Водоотведение (Осинниковский городской округ)</v>
      </c>
      <c r="AQ375" s="703"/>
      <c r="AR375" s="703"/>
    </row>
    <row s="8264" customFormat="1" customHeight="1" ht="14.25" hidden="1">
      <c r="A376" s="8264"/>
      <c r="B376" s="445">
        <f>K376&lt;first_year+PERIOD_LENGTH</f>
        <v>0</v>
      </c>
      <c r="C376" s="8264"/>
      <c r="D376" s="8264"/>
      <c r="E376" s="703">
        <v>15</v>
      </c>
      <c r="F376" s="50" cm="1" t="str">
        <f t="array" ref="F376:F376">OFFSET(E376,-1,1)</f>
        <v>3</v>
      </c>
      <c r="G376" s="98" cm="1" t="str">
        <f t="array" ref="G376:G376">G375</f>
        <v>Водоотведение (Осинниковский городской округ)</v>
      </c>
      <c r="H376" s="8264"/>
      <c r="I376" s="8264"/>
      <c r="J376" s="8264"/>
      <c r="K376" s="158">
        <f>first_year+34</f>
        <v>2060</v>
      </c>
      <c r="L376" s="8264"/>
      <c r="M376" s="8264"/>
      <c r="N376" s="8264"/>
      <c r="O376" s="8264"/>
      <c r="P376" s="8264"/>
      <c r="Q376" s="8264"/>
      <c r="R376" s="8264"/>
      <c r="S376" s="8264"/>
      <c r="T376" s="465" cm="1" t="str">
        <f t="array" ref="T376:T376">T375</f>
        <v>true</v>
      </c>
      <c r="U376" s="8264"/>
      <c r="V376" s="8264"/>
      <c r="W376" s="8264"/>
      <c r="X376" s="8264"/>
      <c r="Y376" s="8264"/>
      <c r="Z376" s="8264"/>
      <c r="AA376" s="8264"/>
      <c r="AB376" s="255" t="str">
        <f>K376&amp;" год"</f>
        <v>2060 год</v>
      </c>
      <c r="AC376" s="408"/>
      <c r="AD376" s="8300"/>
      <c r="AE376" s="8299"/>
      <c r="AF376" s="8299"/>
      <c r="AG376" s="8300"/>
      <c r="AH376" s="8299"/>
      <c r="AI376" s="8300"/>
      <c r="AJ376" s="8299"/>
      <c r="AK376" s="8301"/>
      <c r="AL376" s="403"/>
      <c r="AM376" s="8264"/>
      <c r="AN376" s="1064" cm="1" t="str">
        <f t="array" ref="AN376:AN376">K376</f>
        <v>2060</v>
      </c>
      <c r="AO376" s="1064" t="s">
        <v>2977</v>
      </c>
      <c r="AP376" s="1074" cm="1" t="str">
        <f t="array" ref="AP376:AP376">AP375</f>
        <v>Водоотведение (Осинниковский городской округ)</v>
      </c>
      <c r="AQ376" s="703"/>
      <c r="AR376" s="703"/>
    </row>
    <row s="8264" customFormat="1" customHeight="1" ht="14.25" hidden="1">
      <c r="A377" s="8264"/>
      <c r="B377" s="445">
        <f>K377&lt;first_year+PERIOD_LENGTH</f>
        <v>0</v>
      </c>
      <c r="C377" s="8264"/>
      <c r="D377" s="8264"/>
      <c r="E377" s="703">
        <v>15</v>
      </c>
      <c r="F377" s="50" cm="1" t="str">
        <f t="array" ref="F377:F377">OFFSET(E377,-1,1)</f>
        <v>3</v>
      </c>
      <c r="G377" s="98" cm="1" t="str">
        <f t="array" ref="G377:G377">G376</f>
        <v>Водоотведение (Осинниковский городской округ)</v>
      </c>
      <c r="H377" s="8264"/>
      <c r="I377" s="8264"/>
      <c r="J377" s="8264"/>
      <c r="K377" s="158">
        <f>first_year+35</f>
        <v>2061</v>
      </c>
      <c r="L377" s="8264"/>
      <c r="M377" s="8264"/>
      <c r="N377" s="8264"/>
      <c r="O377" s="8264"/>
      <c r="P377" s="8264"/>
      <c r="Q377" s="8264"/>
      <c r="R377" s="8264"/>
      <c r="S377" s="8264"/>
      <c r="T377" s="465" cm="1" t="str">
        <f t="array" ref="T377:T377">T376</f>
        <v>true</v>
      </c>
      <c r="U377" s="8264"/>
      <c r="V377" s="8264"/>
      <c r="W377" s="8264"/>
      <c r="X377" s="8264"/>
      <c r="Y377" s="8264"/>
      <c r="Z377" s="8264"/>
      <c r="AA377" s="8264"/>
      <c r="AB377" s="255" t="str">
        <f>K377&amp;" год"</f>
        <v>2061 год</v>
      </c>
      <c r="AC377" s="408"/>
      <c r="AD377" s="8300"/>
      <c r="AE377" s="8299"/>
      <c r="AF377" s="8299"/>
      <c r="AG377" s="8300"/>
      <c r="AH377" s="8299"/>
      <c r="AI377" s="8300"/>
      <c r="AJ377" s="8299"/>
      <c r="AK377" s="8301"/>
      <c r="AL377" s="403"/>
      <c r="AM377" s="8264"/>
      <c r="AN377" s="1064" cm="1" t="str">
        <f t="array" ref="AN377:AN377">K377</f>
        <v>2061</v>
      </c>
      <c r="AO377" s="1064" t="s">
        <v>2977</v>
      </c>
      <c r="AP377" s="1074" cm="1" t="str">
        <f t="array" ref="AP377:AP377">AP376</f>
        <v>Водоотведение (Осинниковский городской округ)</v>
      </c>
      <c r="AQ377" s="703"/>
      <c r="AR377" s="703"/>
    </row>
    <row s="8264" customFormat="1" customHeight="1" ht="14.25" hidden="1">
      <c r="A378" s="8264"/>
      <c r="B378" s="445">
        <f>K378&lt;first_year+PERIOD_LENGTH</f>
        <v>0</v>
      </c>
      <c r="C378" s="8264"/>
      <c r="D378" s="8264"/>
      <c r="E378" s="703">
        <v>15</v>
      </c>
      <c r="F378" s="50" cm="1" t="str">
        <f t="array" ref="F378:F378">OFFSET(E378,-1,1)</f>
        <v>3</v>
      </c>
      <c r="G378" s="98" cm="1" t="str">
        <f t="array" ref="G378:G378">G377</f>
        <v>Водоотведение (Осинниковский городской округ)</v>
      </c>
      <c r="H378" s="8264"/>
      <c r="I378" s="8264"/>
      <c r="J378" s="8264"/>
      <c r="K378" s="158">
        <f>first_year+36</f>
        <v>2062</v>
      </c>
      <c r="L378" s="8264"/>
      <c r="M378" s="8264"/>
      <c r="N378" s="8264"/>
      <c r="O378" s="8264"/>
      <c r="P378" s="8264"/>
      <c r="Q378" s="8264"/>
      <c r="R378" s="8264"/>
      <c r="S378" s="8264"/>
      <c r="T378" s="465" cm="1" t="str">
        <f t="array" ref="T378:T378">T377</f>
        <v>true</v>
      </c>
      <c r="U378" s="8264"/>
      <c r="V378" s="8264"/>
      <c r="W378" s="8264"/>
      <c r="X378" s="8264"/>
      <c r="Y378" s="8264"/>
      <c r="Z378" s="8264"/>
      <c r="AA378" s="8264"/>
      <c r="AB378" s="255" t="str">
        <f>K378&amp;" год"</f>
        <v>2062 год</v>
      </c>
      <c r="AC378" s="408"/>
      <c r="AD378" s="8300"/>
      <c r="AE378" s="8299"/>
      <c r="AF378" s="8299"/>
      <c r="AG378" s="8300"/>
      <c r="AH378" s="8299"/>
      <c r="AI378" s="8300"/>
      <c r="AJ378" s="8299"/>
      <c r="AK378" s="8301"/>
      <c r="AL378" s="403"/>
      <c r="AM378" s="8264"/>
      <c r="AN378" s="1064" cm="1" t="str">
        <f t="array" ref="AN378:AN378">K378</f>
        <v>2062</v>
      </c>
      <c r="AO378" s="1064" t="s">
        <v>2977</v>
      </c>
      <c r="AP378" s="1074" cm="1" t="str">
        <f t="array" ref="AP378:AP378">AP377</f>
        <v>Водоотведение (Осинниковский городской округ)</v>
      </c>
      <c r="AQ378" s="703"/>
      <c r="AR378" s="703"/>
    </row>
    <row s="8264" customFormat="1" customHeight="1" ht="14.25" hidden="1">
      <c r="A379" s="8264"/>
      <c r="B379" s="445">
        <f>K379&lt;first_year+PERIOD_LENGTH</f>
        <v>0</v>
      </c>
      <c r="C379" s="8264"/>
      <c r="D379" s="8264"/>
      <c r="E379" s="703">
        <v>15</v>
      </c>
      <c r="F379" s="50" cm="1" t="str">
        <f t="array" ref="F379:F379">OFFSET(E379,-1,1)</f>
        <v>3</v>
      </c>
      <c r="G379" s="98" cm="1" t="str">
        <f t="array" ref="G379:G379">G378</f>
        <v>Водоотведение (Осинниковский городской округ)</v>
      </c>
      <c r="H379" s="8264"/>
      <c r="I379" s="8264"/>
      <c r="J379" s="8264"/>
      <c r="K379" s="158">
        <f>first_year+37</f>
        <v>2063</v>
      </c>
      <c r="L379" s="8264"/>
      <c r="M379" s="8264"/>
      <c r="N379" s="8264"/>
      <c r="O379" s="8264"/>
      <c r="P379" s="8264"/>
      <c r="Q379" s="8264"/>
      <c r="R379" s="8264"/>
      <c r="S379" s="8264"/>
      <c r="T379" s="465" cm="1" t="str">
        <f t="array" ref="T379:T379">T378</f>
        <v>true</v>
      </c>
      <c r="U379" s="8264"/>
      <c r="V379" s="8264"/>
      <c r="W379" s="8264"/>
      <c r="X379" s="8264"/>
      <c r="Y379" s="8264"/>
      <c r="Z379" s="8264"/>
      <c r="AA379" s="8264"/>
      <c r="AB379" s="255" t="str">
        <f>K379&amp;" год"</f>
        <v>2063 год</v>
      </c>
      <c r="AC379" s="408"/>
      <c r="AD379" s="8300"/>
      <c r="AE379" s="8299"/>
      <c r="AF379" s="8299"/>
      <c r="AG379" s="8300"/>
      <c r="AH379" s="8299"/>
      <c r="AI379" s="8300"/>
      <c r="AJ379" s="8299"/>
      <c r="AK379" s="8301"/>
      <c r="AL379" s="403"/>
      <c r="AM379" s="8264"/>
      <c r="AN379" s="1064" cm="1" t="str">
        <f t="array" ref="AN379:AN379">K379</f>
        <v>2063</v>
      </c>
      <c r="AO379" s="1064" t="s">
        <v>2977</v>
      </c>
      <c r="AP379" s="1074" cm="1" t="str">
        <f t="array" ref="AP379:AP379">AP378</f>
        <v>Водоотведение (Осинниковский городской округ)</v>
      </c>
      <c r="AQ379" s="703"/>
      <c r="AR379" s="703"/>
    </row>
    <row s="8264" customFormat="1" customHeight="1" ht="14.25" hidden="1">
      <c r="A380" s="8264"/>
      <c r="B380" s="445">
        <f>K380&lt;first_year+PERIOD_LENGTH</f>
        <v>0</v>
      </c>
      <c r="C380" s="8264"/>
      <c r="D380" s="8264"/>
      <c r="E380" s="703">
        <v>15</v>
      </c>
      <c r="F380" s="50" cm="1" t="str">
        <f t="array" ref="F380:F380">OFFSET(E380,-1,1)</f>
        <v>3</v>
      </c>
      <c r="G380" s="98" cm="1" t="str">
        <f t="array" ref="G380:G380">G379</f>
        <v>Водоотведение (Осинниковский городской округ)</v>
      </c>
      <c r="H380" s="8264"/>
      <c r="I380" s="8264"/>
      <c r="J380" s="8264"/>
      <c r="K380" s="158">
        <f>first_year+38</f>
        <v>2064</v>
      </c>
      <c r="L380" s="8264"/>
      <c r="M380" s="8264"/>
      <c r="N380" s="8264"/>
      <c r="O380" s="8264"/>
      <c r="P380" s="8264"/>
      <c r="Q380" s="8264"/>
      <c r="R380" s="8264"/>
      <c r="S380" s="8264"/>
      <c r="T380" s="465" cm="1" t="str">
        <f t="array" ref="T380:T380">T379</f>
        <v>true</v>
      </c>
      <c r="U380" s="8264"/>
      <c r="V380" s="8264"/>
      <c r="W380" s="8264"/>
      <c r="X380" s="8264"/>
      <c r="Y380" s="8264"/>
      <c r="Z380" s="8264"/>
      <c r="AA380" s="8264"/>
      <c r="AB380" s="255" t="str">
        <f>K380&amp;" год"</f>
        <v>2064 год</v>
      </c>
      <c r="AC380" s="408"/>
      <c r="AD380" s="8300"/>
      <c r="AE380" s="8299"/>
      <c r="AF380" s="8299"/>
      <c r="AG380" s="8300"/>
      <c r="AH380" s="8299"/>
      <c r="AI380" s="8300"/>
      <c r="AJ380" s="8299"/>
      <c r="AK380" s="8301"/>
      <c r="AL380" s="403"/>
      <c r="AM380" s="8264"/>
      <c r="AN380" s="1064" cm="1" t="str">
        <f t="array" ref="AN380:AN380">K380</f>
        <v>2064</v>
      </c>
      <c r="AO380" s="1064" t="s">
        <v>2977</v>
      </c>
      <c r="AP380" s="1074" cm="1" t="str">
        <f t="array" ref="AP380:AP380">AP379</f>
        <v>Водоотведение (Осинниковский городской округ)</v>
      </c>
      <c r="AQ380" s="703"/>
      <c r="AR380" s="703"/>
    </row>
    <row s="8264" customFormat="1" customHeight="1" ht="14.25" hidden="1">
      <c r="A381" s="8264"/>
      <c r="B381" s="445">
        <f>K381&lt;first_year+PERIOD_LENGTH</f>
        <v>0</v>
      </c>
      <c r="C381" s="8264"/>
      <c r="D381" s="8264"/>
      <c r="E381" s="703">
        <v>15</v>
      </c>
      <c r="F381" s="50" cm="1" t="str">
        <f t="array" ref="F381:F381">OFFSET(E381,-1,1)</f>
        <v>3</v>
      </c>
      <c r="G381" s="98" cm="1" t="str">
        <f t="array" ref="G381:G381">G380</f>
        <v>Водоотведение (Осинниковский городской округ)</v>
      </c>
      <c r="H381" s="8264"/>
      <c r="I381" s="8264"/>
      <c r="J381" s="8264"/>
      <c r="K381" s="158">
        <f>first_year+39</f>
        <v>2065</v>
      </c>
      <c r="L381" s="8264"/>
      <c r="M381" s="8264"/>
      <c r="N381" s="8264"/>
      <c r="O381" s="8264"/>
      <c r="P381" s="8264"/>
      <c r="Q381" s="8264"/>
      <c r="R381" s="8264"/>
      <c r="S381" s="8264"/>
      <c r="T381" s="465" cm="1" t="str">
        <f t="array" ref="T381:T381">T380</f>
        <v>true</v>
      </c>
      <c r="U381" s="8264"/>
      <c r="V381" s="8264"/>
      <c r="W381" s="8264"/>
      <c r="X381" s="8264"/>
      <c r="Y381" s="8264"/>
      <c r="Z381" s="8264"/>
      <c r="AA381" s="8264"/>
      <c r="AB381" s="255" t="str">
        <f>K381&amp;" год"</f>
        <v>2065 год</v>
      </c>
      <c r="AC381" s="408"/>
      <c r="AD381" s="8300"/>
      <c r="AE381" s="8299"/>
      <c r="AF381" s="8299"/>
      <c r="AG381" s="8300"/>
      <c r="AH381" s="8299"/>
      <c r="AI381" s="8300"/>
      <c r="AJ381" s="8299"/>
      <c r="AK381" s="8301"/>
      <c r="AL381" s="403"/>
      <c r="AM381" s="8264"/>
      <c r="AN381" s="1064" cm="1" t="str">
        <f t="array" ref="AN381:AN381">K381</f>
        <v>2065</v>
      </c>
      <c r="AO381" s="1064" t="s">
        <v>2977</v>
      </c>
      <c r="AP381" s="1074" cm="1" t="str">
        <f t="array" ref="AP381:AP381">AP380</f>
        <v>Водоотведение (Осинниковский городской округ)</v>
      </c>
      <c r="AQ381" s="703"/>
      <c r="AR381" s="703"/>
    </row>
    <row s="8264" customFormat="1" customHeight="1" ht="14.25" hidden="1">
      <c r="A382" s="8264"/>
      <c r="B382" s="445">
        <f>K382&lt;first_year+PERIOD_LENGTH</f>
        <v>0</v>
      </c>
      <c r="C382" s="8264"/>
      <c r="D382" s="8264"/>
      <c r="E382" s="703">
        <v>15</v>
      </c>
      <c r="F382" s="50" cm="1" t="str">
        <f t="array" ref="F382:F382">OFFSET(E382,-1,1)</f>
        <v>3</v>
      </c>
      <c r="G382" s="98" cm="1" t="str">
        <f t="array" ref="G382:G382">G381</f>
        <v>Водоотведение (Осинниковский городской округ)</v>
      </c>
      <c r="H382" s="8264"/>
      <c r="I382" s="8264"/>
      <c r="J382" s="8264"/>
      <c r="K382" s="158">
        <f>first_year+40</f>
        <v>2066</v>
      </c>
      <c r="L382" s="8264"/>
      <c r="M382" s="8264"/>
      <c r="N382" s="8264"/>
      <c r="O382" s="8264"/>
      <c r="P382" s="8264"/>
      <c r="Q382" s="8264"/>
      <c r="R382" s="8264"/>
      <c r="S382" s="8264"/>
      <c r="T382" s="465" cm="1" t="str">
        <f t="array" ref="T382:T382">T381</f>
        <v>true</v>
      </c>
      <c r="U382" s="8264"/>
      <c r="V382" s="8264"/>
      <c r="W382" s="8264"/>
      <c r="X382" s="8264"/>
      <c r="Y382" s="8264"/>
      <c r="Z382" s="8264"/>
      <c r="AA382" s="8264"/>
      <c r="AB382" s="255" t="str">
        <f>K382&amp;" год"</f>
        <v>2066 год</v>
      </c>
      <c r="AC382" s="408"/>
      <c r="AD382" s="8300"/>
      <c r="AE382" s="8299"/>
      <c r="AF382" s="8299"/>
      <c r="AG382" s="8300"/>
      <c r="AH382" s="8299"/>
      <c r="AI382" s="8300"/>
      <c r="AJ382" s="8299"/>
      <c r="AK382" s="8301"/>
      <c r="AL382" s="403"/>
      <c r="AM382" s="8264"/>
      <c r="AN382" s="1064" cm="1" t="str">
        <f t="array" ref="AN382:AN382">K382</f>
        <v>2066</v>
      </c>
      <c r="AO382" s="1064" t="s">
        <v>2977</v>
      </c>
      <c r="AP382" s="1074" cm="1" t="str">
        <f t="array" ref="AP382:AP382">AP381</f>
        <v>Водоотведение (Осинниковский городской округ)</v>
      </c>
      <c r="AQ382" s="703"/>
      <c r="AR382" s="703"/>
    </row>
    <row s="8264" customFormat="1" customHeight="1" ht="14.25" hidden="1">
      <c r="A383" s="8264"/>
      <c r="B383" s="445">
        <f>K383&lt;first_year+PERIOD_LENGTH</f>
        <v>0</v>
      </c>
      <c r="C383" s="8264"/>
      <c r="D383" s="8264"/>
      <c r="E383" s="703">
        <v>15</v>
      </c>
      <c r="F383" s="50" cm="1" t="str">
        <f t="array" ref="F383:F383">OFFSET(E383,-1,1)</f>
        <v>3</v>
      </c>
      <c r="G383" s="98" cm="1" t="str">
        <f t="array" ref="G383:G383">G382</f>
        <v>Водоотведение (Осинниковский городской округ)</v>
      </c>
      <c r="H383" s="8264"/>
      <c r="I383" s="8264"/>
      <c r="J383" s="8264"/>
      <c r="K383" s="158">
        <f>first_year+41</f>
        <v>2067</v>
      </c>
      <c r="L383" s="8264"/>
      <c r="M383" s="8264"/>
      <c r="N383" s="8264"/>
      <c r="O383" s="8264"/>
      <c r="P383" s="8264"/>
      <c r="Q383" s="8264"/>
      <c r="R383" s="8264"/>
      <c r="S383" s="8264"/>
      <c r="T383" s="465" cm="1" t="str">
        <f t="array" ref="T383:T383">T382</f>
        <v>true</v>
      </c>
      <c r="U383" s="8264"/>
      <c r="V383" s="8264"/>
      <c r="W383" s="8264"/>
      <c r="X383" s="8264"/>
      <c r="Y383" s="8264"/>
      <c r="Z383" s="8264"/>
      <c r="AA383" s="8264"/>
      <c r="AB383" s="255" t="str">
        <f>K383&amp;" год"</f>
        <v>2067 год</v>
      </c>
      <c r="AC383" s="408"/>
      <c r="AD383" s="8300"/>
      <c r="AE383" s="8299"/>
      <c r="AF383" s="8299"/>
      <c r="AG383" s="8300"/>
      <c r="AH383" s="8299"/>
      <c r="AI383" s="8300"/>
      <c r="AJ383" s="8299"/>
      <c r="AK383" s="8301"/>
      <c r="AL383" s="403"/>
      <c r="AM383" s="8264"/>
      <c r="AN383" s="1064" cm="1" t="str">
        <f t="array" ref="AN383:AN383">K383</f>
        <v>2067</v>
      </c>
      <c r="AO383" s="1064" t="s">
        <v>2977</v>
      </c>
      <c r="AP383" s="1074" cm="1" t="str">
        <f t="array" ref="AP383:AP383">AP382</f>
        <v>Водоотведение (Осинниковский городской округ)</v>
      </c>
      <c r="AQ383" s="703"/>
      <c r="AR383" s="703"/>
    </row>
    <row s="8264" customFormat="1" customHeight="1" ht="14.25" hidden="1">
      <c r="A384" s="8264"/>
      <c r="B384" s="445">
        <f>K384&lt;first_year+PERIOD_LENGTH</f>
        <v>0</v>
      </c>
      <c r="C384" s="8264"/>
      <c r="D384" s="8264"/>
      <c r="E384" s="703">
        <v>15</v>
      </c>
      <c r="F384" s="50" cm="1" t="str">
        <f t="array" ref="F384:F384">OFFSET(E384,-1,1)</f>
        <v>3</v>
      </c>
      <c r="G384" s="98" cm="1" t="str">
        <f t="array" ref="G384:G384">G383</f>
        <v>Водоотведение (Осинниковский городской округ)</v>
      </c>
      <c r="H384" s="8264"/>
      <c r="I384" s="8264"/>
      <c r="J384" s="8264"/>
      <c r="K384" s="158">
        <f>first_year+42</f>
        <v>2068</v>
      </c>
      <c r="L384" s="8264"/>
      <c r="M384" s="8264"/>
      <c r="N384" s="8264"/>
      <c r="O384" s="8264"/>
      <c r="P384" s="8264"/>
      <c r="Q384" s="8264"/>
      <c r="R384" s="8264"/>
      <c r="S384" s="8264"/>
      <c r="T384" s="465" cm="1" t="str">
        <f t="array" ref="T384:T384">T383</f>
        <v>true</v>
      </c>
      <c r="U384" s="8264"/>
      <c r="V384" s="8264"/>
      <c r="W384" s="8264"/>
      <c r="X384" s="8264"/>
      <c r="Y384" s="8264"/>
      <c r="Z384" s="8264"/>
      <c r="AA384" s="8264"/>
      <c r="AB384" s="255" t="str">
        <f>K384&amp;" год"</f>
        <v>2068 год</v>
      </c>
      <c r="AC384" s="408"/>
      <c r="AD384" s="8300"/>
      <c r="AE384" s="8299"/>
      <c r="AF384" s="8299"/>
      <c r="AG384" s="8300"/>
      <c r="AH384" s="8299"/>
      <c r="AI384" s="8300"/>
      <c r="AJ384" s="8299"/>
      <c r="AK384" s="8301"/>
      <c r="AL384" s="403"/>
      <c r="AM384" s="8264"/>
      <c r="AN384" s="1064" cm="1" t="str">
        <f t="array" ref="AN384:AN384">K384</f>
        <v>2068</v>
      </c>
      <c r="AO384" s="1064" t="s">
        <v>2977</v>
      </c>
      <c r="AP384" s="1074" cm="1" t="str">
        <f t="array" ref="AP384:AP384">AP383</f>
        <v>Водоотведение (Осинниковский городской округ)</v>
      </c>
      <c r="AQ384" s="703"/>
      <c r="AR384" s="703"/>
    </row>
    <row s="8264" customFormat="1" customHeight="1" ht="14.25" hidden="1">
      <c r="A385" s="8264"/>
      <c r="B385" s="445">
        <f>K385&lt;first_year+PERIOD_LENGTH</f>
        <v>0</v>
      </c>
      <c r="C385" s="8264"/>
      <c r="D385" s="8264"/>
      <c r="E385" s="703">
        <v>15</v>
      </c>
      <c r="F385" s="50" cm="1" t="str">
        <f t="array" ref="F385:F385">OFFSET(E385,-1,1)</f>
        <v>3</v>
      </c>
      <c r="G385" s="98" cm="1" t="str">
        <f t="array" ref="G385:G385">G384</f>
        <v>Водоотведение (Осинниковский городской округ)</v>
      </c>
      <c r="H385" s="8264"/>
      <c r="I385" s="8264"/>
      <c r="J385" s="8264"/>
      <c r="K385" s="158">
        <f>first_year+43</f>
        <v>2069</v>
      </c>
      <c r="L385" s="8264"/>
      <c r="M385" s="8264"/>
      <c r="N385" s="8264"/>
      <c r="O385" s="8264"/>
      <c r="P385" s="8264"/>
      <c r="Q385" s="8264"/>
      <c r="R385" s="8264"/>
      <c r="S385" s="8264"/>
      <c r="T385" s="465" cm="1" t="str">
        <f t="array" ref="T385:T385">T384</f>
        <v>true</v>
      </c>
      <c r="U385" s="8264"/>
      <c r="V385" s="8264"/>
      <c r="W385" s="8264"/>
      <c r="X385" s="8264"/>
      <c r="Y385" s="8264"/>
      <c r="Z385" s="8264"/>
      <c r="AA385" s="8264"/>
      <c r="AB385" s="255" t="str">
        <f>K385&amp;" год"</f>
        <v>2069 год</v>
      </c>
      <c r="AC385" s="408"/>
      <c r="AD385" s="8300"/>
      <c r="AE385" s="8299"/>
      <c r="AF385" s="8299"/>
      <c r="AG385" s="8300"/>
      <c r="AH385" s="8299"/>
      <c r="AI385" s="8300"/>
      <c r="AJ385" s="8299"/>
      <c r="AK385" s="8301"/>
      <c r="AL385" s="403"/>
      <c r="AM385" s="8264"/>
      <c r="AN385" s="1064" cm="1" t="str">
        <f t="array" ref="AN385:AN385">K385</f>
        <v>2069</v>
      </c>
      <c r="AO385" s="1064" t="s">
        <v>2977</v>
      </c>
      <c r="AP385" s="1074" cm="1" t="str">
        <f t="array" ref="AP385:AP385">AP384</f>
        <v>Водоотведение (Осинниковский городской округ)</v>
      </c>
      <c r="AQ385" s="703"/>
      <c r="AR385" s="703"/>
    </row>
    <row s="8264" customFormat="1" customHeight="1" ht="14.25" hidden="1">
      <c r="A386" s="8264"/>
      <c r="B386" s="445">
        <f>K386&lt;first_year+PERIOD_LENGTH</f>
        <v>0</v>
      </c>
      <c r="C386" s="8264"/>
      <c r="D386" s="8264"/>
      <c r="E386" s="703">
        <v>15</v>
      </c>
      <c r="F386" s="50" cm="1" t="str">
        <f t="array" ref="F386:F386">OFFSET(E386,-1,1)</f>
        <v>3</v>
      </c>
      <c r="G386" s="98" cm="1" t="str">
        <f t="array" ref="G386:G386">G385</f>
        <v>Водоотведение (Осинниковский городской округ)</v>
      </c>
      <c r="H386" s="8264"/>
      <c r="I386" s="8264"/>
      <c r="J386" s="8264"/>
      <c r="K386" s="158">
        <f>first_year+44</f>
        <v>2070</v>
      </c>
      <c r="L386" s="8264"/>
      <c r="M386" s="8264"/>
      <c r="N386" s="8264"/>
      <c r="O386" s="8264"/>
      <c r="P386" s="8264"/>
      <c r="Q386" s="8264"/>
      <c r="R386" s="8264"/>
      <c r="S386" s="8264"/>
      <c r="T386" s="465" cm="1" t="str">
        <f t="array" ref="T386:T386">T385</f>
        <v>true</v>
      </c>
      <c r="U386" s="8264"/>
      <c r="V386" s="8264"/>
      <c r="W386" s="8264"/>
      <c r="X386" s="8264"/>
      <c r="Y386" s="8264"/>
      <c r="Z386" s="8264"/>
      <c r="AA386" s="8264"/>
      <c r="AB386" s="255" t="str">
        <f>K386&amp;" год"</f>
        <v>2070 год</v>
      </c>
      <c r="AC386" s="408"/>
      <c r="AD386" s="8300"/>
      <c r="AE386" s="8299"/>
      <c r="AF386" s="8299"/>
      <c r="AG386" s="8300"/>
      <c r="AH386" s="8299"/>
      <c r="AI386" s="8300"/>
      <c r="AJ386" s="8299"/>
      <c r="AK386" s="8301"/>
      <c r="AL386" s="403"/>
      <c r="AM386" s="8264"/>
      <c r="AN386" s="1064" cm="1" t="str">
        <f t="array" ref="AN386:AN386">K386</f>
        <v>2070</v>
      </c>
      <c r="AO386" s="1064" t="s">
        <v>2977</v>
      </c>
      <c r="AP386" s="1074" cm="1" t="str">
        <f t="array" ref="AP386:AP386">AP385</f>
        <v>Водоотведение (Осинниковский городской округ)</v>
      </c>
      <c r="AQ386" s="703"/>
      <c r="AR386" s="703"/>
    </row>
    <row s="8264" customFormat="1" customHeight="1" ht="14.25" hidden="1">
      <c r="A387" s="8264"/>
      <c r="B387" s="445">
        <f>K387&lt;first_year+PERIOD_LENGTH</f>
        <v>0</v>
      </c>
      <c r="C387" s="8264"/>
      <c r="D387" s="8264"/>
      <c r="E387" s="703">
        <v>15</v>
      </c>
      <c r="F387" s="50" cm="1" t="str">
        <f t="array" ref="F387:F387">OFFSET(E387,-1,1)</f>
        <v>3</v>
      </c>
      <c r="G387" s="98" cm="1" t="str">
        <f t="array" ref="G387:G387">G386</f>
        <v>Водоотведение (Осинниковский городской округ)</v>
      </c>
      <c r="H387" s="8264"/>
      <c r="I387" s="8264"/>
      <c r="J387" s="8264"/>
      <c r="K387" s="158">
        <f>first_year+45</f>
        <v>2071</v>
      </c>
      <c r="L387" s="8264"/>
      <c r="M387" s="8264"/>
      <c r="N387" s="8264"/>
      <c r="O387" s="8264"/>
      <c r="P387" s="8264"/>
      <c r="Q387" s="8264"/>
      <c r="R387" s="8264"/>
      <c r="S387" s="8264"/>
      <c r="T387" s="465" cm="1" t="str">
        <f t="array" ref="T387:T387">T386</f>
        <v>true</v>
      </c>
      <c r="U387" s="8264"/>
      <c r="V387" s="8264"/>
      <c r="W387" s="8264"/>
      <c r="X387" s="8264"/>
      <c r="Y387" s="8264"/>
      <c r="Z387" s="8264"/>
      <c r="AA387" s="8264"/>
      <c r="AB387" s="255" t="str">
        <f>K387&amp;" год"</f>
        <v>2071 год</v>
      </c>
      <c r="AC387" s="408"/>
      <c r="AD387" s="8300"/>
      <c r="AE387" s="8299"/>
      <c r="AF387" s="8299"/>
      <c r="AG387" s="8300"/>
      <c r="AH387" s="8299"/>
      <c r="AI387" s="8300"/>
      <c r="AJ387" s="8299"/>
      <c r="AK387" s="8301"/>
      <c r="AL387" s="403"/>
      <c r="AM387" s="8264"/>
      <c r="AN387" s="1064" cm="1" t="str">
        <f t="array" ref="AN387:AN387">K387</f>
        <v>2071</v>
      </c>
      <c r="AO387" s="1064" t="s">
        <v>2977</v>
      </c>
      <c r="AP387" s="1074" cm="1" t="str">
        <f t="array" ref="AP387:AP387">AP386</f>
        <v>Водоотведение (Осинниковский городской округ)</v>
      </c>
      <c r="AQ387" s="703"/>
      <c r="AR387" s="703"/>
    </row>
    <row s="8264" customFormat="1" customHeight="1" ht="14.25" hidden="1">
      <c r="A388" s="8264"/>
      <c r="B388" s="445">
        <f>K388&lt;first_year+PERIOD_LENGTH</f>
        <v>0</v>
      </c>
      <c r="C388" s="8264"/>
      <c r="D388" s="8264"/>
      <c r="E388" s="703">
        <v>15</v>
      </c>
      <c r="F388" s="50" cm="1" t="str">
        <f t="array" ref="F388:F388">OFFSET(E388,-1,1)</f>
        <v>3</v>
      </c>
      <c r="G388" s="98" cm="1" t="str">
        <f t="array" ref="G388:G388">G387</f>
        <v>Водоотведение (Осинниковский городской округ)</v>
      </c>
      <c r="H388" s="8264"/>
      <c r="I388" s="8264"/>
      <c r="J388" s="8264"/>
      <c r="K388" s="158">
        <f>first_year+46</f>
        <v>2072</v>
      </c>
      <c r="L388" s="8264"/>
      <c r="M388" s="8264"/>
      <c r="N388" s="8264"/>
      <c r="O388" s="8264"/>
      <c r="P388" s="8264"/>
      <c r="Q388" s="8264"/>
      <c r="R388" s="8264"/>
      <c r="S388" s="8264"/>
      <c r="T388" s="465" cm="1" t="str">
        <f t="array" ref="T388:T388">T387</f>
        <v>true</v>
      </c>
      <c r="U388" s="8264"/>
      <c r="V388" s="8264"/>
      <c r="W388" s="8264"/>
      <c r="X388" s="8264"/>
      <c r="Y388" s="8264"/>
      <c r="Z388" s="8264"/>
      <c r="AA388" s="8264"/>
      <c r="AB388" s="255" t="str">
        <f>K388&amp;" год"</f>
        <v>2072 год</v>
      </c>
      <c r="AC388" s="408"/>
      <c r="AD388" s="8300"/>
      <c r="AE388" s="8299"/>
      <c r="AF388" s="8299"/>
      <c r="AG388" s="8300"/>
      <c r="AH388" s="8299"/>
      <c r="AI388" s="8300"/>
      <c r="AJ388" s="8299"/>
      <c r="AK388" s="8301"/>
      <c r="AL388" s="403"/>
      <c r="AM388" s="8264"/>
      <c r="AN388" s="1064" cm="1" t="str">
        <f t="array" ref="AN388:AN388">K388</f>
        <v>2072</v>
      </c>
      <c r="AO388" s="1064" t="s">
        <v>2977</v>
      </c>
      <c r="AP388" s="1074" cm="1" t="str">
        <f t="array" ref="AP388:AP388">AP387</f>
        <v>Водоотведение (Осинниковский городской округ)</v>
      </c>
      <c r="AQ388" s="703"/>
      <c r="AR388" s="703"/>
    </row>
    <row s="8264" customFormat="1" customHeight="1" ht="14.25" hidden="1">
      <c r="A389" s="8264"/>
      <c r="B389" s="445">
        <f>K389&lt;first_year+PERIOD_LENGTH</f>
        <v>0</v>
      </c>
      <c r="C389" s="8264"/>
      <c r="D389" s="8264"/>
      <c r="E389" s="703">
        <v>15</v>
      </c>
      <c r="F389" s="50" cm="1" t="str">
        <f t="array" ref="F389:F389">OFFSET(E389,-1,1)</f>
        <v>3</v>
      </c>
      <c r="G389" s="98" cm="1" t="str">
        <f t="array" ref="G389:G389">G388</f>
        <v>Водоотведение (Осинниковский городской округ)</v>
      </c>
      <c r="H389" s="8264"/>
      <c r="I389" s="8264"/>
      <c r="J389" s="8264"/>
      <c r="K389" s="158">
        <f>first_year+47</f>
        <v>2073</v>
      </c>
      <c r="L389" s="8264"/>
      <c r="M389" s="8264"/>
      <c r="N389" s="8264"/>
      <c r="O389" s="8264"/>
      <c r="P389" s="8264"/>
      <c r="Q389" s="8264"/>
      <c r="R389" s="8264"/>
      <c r="S389" s="8264"/>
      <c r="T389" s="465" cm="1" t="str">
        <f t="array" ref="T389:T389">T388</f>
        <v>true</v>
      </c>
      <c r="U389" s="8264"/>
      <c r="V389" s="8264"/>
      <c r="W389" s="8264"/>
      <c r="X389" s="8264"/>
      <c r="Y389" s="8264"/>
      <c r="Z389" s="8264"/>
      <c r="AA389" s="8264"/>
      <c r="AB389" s="255" t="str">
        <f>K389&amp;" год"</f>
        <v>2073 год</v>
      </c>
      <c r="AC389" s="408"/>
      <c r="AD389" s="8300"/>
      <c r="AE389" s="8299"/>
      <c r="AF389" s="8299"/>
      <c r="AG389" s="8300"/>
      <c r="AH389" s="8299"/>
      <c r="AI389" s="8300"/>
      <c r="AJ389" s="8299"/>
      <c r="AK389" s="8301"/>
      <c r="AL389" s="403"/>
      <c r="AM389" s="8264"/>
      <c r="AN389" s="1064" cm="1" t="str">
        <f t="array" ref="AN389:AN389">K389</f>
        <v>2073</v>
      </c>
      <c r="AO389" s="1064" t="s">
        <v>2977</v>
      </c>
      <c r="AP389" s="1074" cm="1" t="str">
        <f t="array" ref="AP389:AP389">AP388</f>
        <v>Водоотведение (Осинниковский городской округ)</v>
      </c>
      <c r="AQ389" s="703"/>
      <c r="AR389" s="703"/>
    </row>
    <row s="8264" customFormat="1" customHeight="1" ht="14.25" hidden="1">
      <c r="A390" s="8264"/>
      <c r="B390" s="445">
        <f>K390&lt;first_year+PERIOD_LENGTH</f>
        <v>0</v>
      </c>
      <c r="C390" s="8264"/>
      <c r="D390" s="8264"/>
      <c r="E390" s="703">
        <v>15</v>
      </c>
      <c r="F390" s="50" cm="1" t="str">
        <f t="array" ref="F390:F390">OFFSET(E390,-1,1)</f>
        <v>3</v>
      </c>
      <c r="G390" s="98" cm="1" t="str">
        <f t="array" ref="G390:G390">G389</f>
        <v>Водоотведение (Осинниковский городской округ)</v>
      </c>
      <c r="H390" s="8264"/>
      <c r="I390" s="8264"/>
      <c r="J390" s="8264"/>
      <c r="K390" s="158">
        <f>first_year+48</f>
        <v>2074</v>
      </c>
      <c r="L390" s="8264"/>
      <c r="M390" s="8264"/>
      <c r="N390" s="8264"/>
      <c r="O390" s="8264"/>
      <c r="P390" s="8264"/>
      <c r="Q390" s="8264"/>
      <c r="R390" s="8264"/>
      <c r="S390" s="8264"/>
      <c r="T390" s="465" cm="1" t="str">
        <f t="array" ref="T390:T390">T389</f>
        <v>true</v>
      </c>
      <c r="U390" s="8264"/>
      <c r="V390" s="8264"/>
      <c r="W390" s="8264"/>
      <c r="X390" s="8264"/>
      <c r="Y390" s="8264"/>
      <c r="Z390" s="8264"/>
      <c r="AA390" s="8264"/>
      <c r="AB390" s="255" t="str">
        <f>K390&amp;" год"</f>
        <v>2074 год</v>
      </c>
      <c r="AC390" s="408"/>
      <c r="AD390" s="8300"/>
      <c r="AE390" s="8299"/>
      <c r="AF390" s="8299"/>
      <c r="AG390" s="8300"/>
      <c r="AH390" s="8299"/>
      <c r="AI390" s="8300"/>
      <c r="AJ390" s="8299"/>
      <c r="AK390" s="8301"/>
      <c r="AL390" s="403"/>
      <c r="AM390" s="8264"/>
      <c r="AN390" s="1064" cm="1" t="str">
        <f t="array" ref="AN390:AN390">K390</f>
        <v>2074</v>
      </c>
      <c r="AO390" s="1064" t="s">
        <v>2977</v>
      </c>
      <c r="AP390" s="1074" cm="1" t="str">
        <f t="array" ref="AP390:AP390">AP389</f>
        <v>Водоотведение (Осинниковский городской округ)</v>
      </c>
      <c r="AQ390" s="703"/>
      <c r="AR390" s="703"/>
    </row>
    <row s="8264" customFormat="1" customHeight="1" ht="14.25" hidden="1">
      <c r="A391" s="8264"/>
      <c r="B391" s="445">
        <f>K391&lt;first_year+PERIOD_LENGTH</f>
        <v>0</v>
      </c>
      <c r="C391" s="8264"/>
      <c r="D391" s="8264"/>
      <c r="E391" s="703">
        <v>15</v>
      </c>
      <c r="F391" s="50" cm="1" t="str">
        <f t="array" ref="F391:F391">OFFSET(E391,-1,1)</f>
        <v>3</v>
      </c>
      <c r="G391" s="98" cm="1" t="str">
        <f t="array" ref="G391:G391">G390</f>
        <v>Водоотведение (Осинниковский городской округ)</v>
      </c>
      <c r="H391" s="8264"/>
      <c r="I391" s="8264"/>
      <c r="J391" s="8264"/>
      <c r="K391" s="158">
        <f>first_year+49</f>
        <v>2075</v>
      </c>
      <c r="L391" s="8264"/>
      <c r="M391" s="8264"/>
      <c r="N391" s="8264"/>
      <c r="O391" s="8264"/>
      <c r="P391" s="8264"/>
      <c r="Q391" s="8264"/>
      <c r="R391" s="8264"/>
      <c r="S391" s="8264"/>
      <c r="T391" s="465" cm="1" t="str">
        <f t="array" ref="T391:T391">T390</f>
        <v>true</v>
      </c>
      <c r="U391" s="8264"/>
      <c r="V391" s="8264"/>
      <c r="W391" s="8264"/>
      <c r="X391" s="8264"/>
      <c r="Y391" s="8264"/>
      <c r="Z391" s="8264"/>
      <c r="AA391" s="8264"/>
      <c r="AB391" s="255" t="str">
        <f>K391&amp;" год"</f>
        <v>2075 год</v>
      </c>
      <c r="AC391" s="408"/>
      <c r="AD391" s="8300"/>
      <c r="AE391" s="8299"/>
      <c r="AF391" s="8299"/>
      <c r="AG391" s="8300"/>
      <c r="AH391" s="8299"/>
      <c r="AI391" s="8300"/>
      <c r="AJ391" s="8299"/>
      <c r="AK391" s="8301"/>
      <c r="AL391" s="403"/>
      <c r="AM391" s="8264"/>
      <c r="AN391" s="1064" cm="1" t="str">
        <f t="array" ref="AN391:AN391">K391</f>
        <v>2075</v>
      </c>
      <c r="AO391" s="1064" t="s">
        <v>2977</v>
      </c>
      <c r="AP391" s="1074" cm="1" t="str">
        <f t="array" ref="AP391:AP391">AP390</f>
        <v>Водоотведение (Осинниковский городской округ)</v>
      </c>
      <c r="AQ391" s="703"/>
      <c r="AR391" s="703"/>
    </row>
    <row s="1834" customFormat="1" customHeight="1" ht="14.25">
      <c r="A392" s="158"/>
      <c r="B392" s="432"/>
      <c r="C392" s="158"/>
      <c r="D392" s="158"/>
      <c r="E392" s="703">
        <v>15</v>
      </c>
      <c r="F392" s="1175" cm="1" t="str">
        <f t="array" ref="F392:F392">OFFSET(E392,-1,1)</f>
        <v>3</v>
      </c>
      <c r="G392" s="158" t="str">
        <f>"!== 'не определено'"</f>
        <v>!== 'не определено'</v>
      </c>
      <c r="H392" s="158"/>
      <c r="I392" s="158"/>
      <c r="J392" s="158"/>
      <c r="K392" s="158"/>
      <c r="L392" s="158"/>
      <c r="M392" s="158"/>
      <c r="N392" s="158"/>
      <c r="O392" s="158"/>
      <c r="P392" s="158"/>
      <c r="Q392" s="158"/>
      <c r="R392" s="158"/>
      <c r="S392" s="158"/>
      <c r="T392" s="465">
        <f>F392&gt;0</f>
        <v>1</v>
      </c>
      <c r="U392" s="158"/>
      <c r="V392" s="158"/>
      <c r="W392" s="829" t="s">
        <v>2978</v>
      </c>
      <c r="X392" s="1563"/>
      <c r="Y392" s="158"/>
      <c r="Z392" s="1546"/>
      <c r="AA392" s="158"/>
      <c r="AB392" s="938" t="s">
        <v>178</v>
      </c>
      <c r="AC392" s="304"/>
      <c r="AD392" s="304"/>
      <c r="AE392" s="304"/>
      <c r="AF392" s="304"/>
      <c r="AG392" s="304"/>
      <c r="AH392" s="304"/>
      <c r="AI392" s="304"/>
      <c r="AJ392" s="304"/>
      <c r="AK392" s="304"/>
      <c r="AL392" s="403"/>
      <c r="AM392" s="1834"/>
      <c r="AN392" s="1004"/>
      <c r="AO392" s="1004"/>
      <c r="AP392" s="1004"/>
      <c r="AQ392" s="1007" t="s">
        <v>2977</v>
      </c>
      <c r="AR392" s="624"/>
    </row>
    <row s="538" customFormat="1" customHeight="1" ht="14.25">
      <c r="A393" s="1758"/>
      <c r="B393" s="428"/>
      <c r="C393" s="1758"/>
      <c r="D393" s="1758"/>
      <c r="E393" s="618">
        <v>15</v>
      </c>
      <c r="F393" s="98" cm="1" t="str">
        <f t="array" ref="F393:F393">X393</f>
        <v>4</v>
      </c>
      <c r="G393" s="1758"/>
      <c r="H393" s="1758"/>
      <c r="I393" s="1758"/>
      <c r="J393" s="1758"/>
      <c r="K393" s="1758"/>
      <c r="L393" s="1758"/>
      <c r="M393" s="1758"/>
      <c r="N393" s="1758"/>
      <c r="O393" s="1758"/>
      <c r="P393" s="1758"/>
      <c r="Q393" s="1758"/>
      <c r="R393" s="1758"/>
      <c r="S393" s="1758"/>
      <c r="T393" s="465">
        <f>X393&gt;0</f>
        <v>1</v>
      </c>
      <c r="U393" s="1758"/>
      <c r="V393" s="122" cm="1" t="str">
        <f t="array" ref="V393:V393">ДПР!$AB$234</f>
        <v>Тариф 4 (Водоотведение) - тариф на водоотведение (Доп. признак не требуется)</v>
      </c>
      <c r="W393" s="1758"/>
      <c r="X393" s="1563" t="s">
        <v>295</v>
      </c>
      <c r="Y393" s="1758"/>
      <c r="Z393" s="1546"/>
      <c r="AA393" s="1758"/>
      <c r="AB393" s="381" cm="1" t="str">
        <f t="array" ref="AB393:AB393">ДПР!$AB$234</f>
        <v>Тариф 4 (Водоотведение) - тариф на водоотведение (Доп. признак не требуется)</v>
      </c>
      <c r="AC393" s="243"/>
      <c r="AD393" s="243"/>
      <c r="AE393" s="243"/>
      <c r="AF393" s="243"/>
      <c r="AG393" s="243"/>
      <c r="AH393" s="243"/>
      <c r="AI393" s="243"/>
      <c r="AJ393" s="243"/>
      <c r="AK393" s="243"/>
      <c r="AL393" s="402"/>
      <c r="AM393" s="1758"/>
      <c r="AN393" s="997"/>
      <c r="AO393" s="997"/>
      <c r="AP393" s="997"/>
      <c r="AQ393" s="618"/>
      <c r="AR393" s="618"/>
    </row>
    <row s="538" customFormat="1" customHeight="1" ht="14.25" hidden="1">
      <c r="E394" s="618">
        <v>15</v>
      </c>
      <c r="F394" s="50" cm="1" t="str">
        <f t="array" ref="F394:F394">OFFSET(E394,-1,1)</f>
        <v>4</v>
      </c>
      <c r="G394" s="122" cm="1" t="str">
        <f t="array" ref="G394:G394">AB394</f>
        <v>0</v>
      </c>
      <c r="T394" s="465">
        <f>AND(F394&gt;0,Y394&gt;0)</f>
        <v>0</v>
      </c>
      <c r="W394" s="122" t="s">
        <v>174</v>
      </c>
      <c r="Y394" s="1563">
        <v>0</v>
      </c>
      <c r="AA394" s="1648" t="s">
        <v>175</v>
      </c>
      <c r="AB394" s="8315"/>
      <c r="AC394" s="8315"/>
      <c r="AD394" s="8315"/>
      <c r="AE394" s="8315"/>
      <c r="AF394" s="8315"/>
      <c r="AG394" s="8315"/>
      <c r="AH394" s="8315"/>
      <c r="AI394" s="8315"/>
      <c r="AJ394" s="8315"/>
      <c r="AK394" s="8316"/>
      <c r="AL394" s="402"/>
      <c r="AN394" s="997"/>
      <c r="AO394" s="1064" t="s">
        <v>2977</v>
      </c>
      <c r="AP394" s="1050" cm="1" t="str">
        <f t="array" ref="AP394:AP394">AB394</f>
        <v>0</v>
      </c>
      <c r="AQ394" s="618"/>
      <c r="AR394" s="618" t="b">
        <v>1</v>
      </c>
    </row>
    <row s="8264" customFormat="1" customHeight="1" ht="14.25" hidden="1">
      <c r="B395" s="445">
        <f>K395&lt;first_year+PERIOD_LENGTH</f>
        <v>1</v>
      </c>
      <c r="E395" s="703">
        <v>15</v>
      </c>
      <c r="F395" s="50" cm="1" t="str">
        <f t="array" ref="F395:F395">OFFSET(E395,-1,1)</f>
        <v>4</v>
      </c>
      <c r="G395" s="98" cm="1" t="str">
        <f t="array" ref="G395:G395">G394</f>
        <v>0</v>
      </c>
      <c r="K395" s="158" cm="1" t="str">
        <f t="array" ref="K395:K395">first_year</f>
        <v>2026</v>
      </c>
      <c r="T395" s="465" cm="1" t="str">
        <f t="array" ref="T395:T395">T394</f>
        <v>false</v>
      </c>
      <c r="AB395" s="302" t="str">
        <f>K395&amp;" год"</f>
        <v>2026 год</v>
      </c>
      <c r="AC395" s="8317"/>
      <c r="AD395" s="8318"/>
      <c r="AE395" s="8317"/>
      <c r="AF395" s="8317"/>
      <c r="AG395" s="8318"/>
      <c r="AH395" s="8317"/>
      <c r="AI395" s="8318"/>
      <c r="AJ395" s="8317"/>
      <c r="AK395" s="8319"/>
      <c r="AL395" s="403"/>
      <c r="AN395" s="1064" cm="1" t="str">
        <f t="array" ref="AN395:AN395">K395</f>
        <v>2026</v>
      </c>
      <c r="AO395" s="1064" t="s">
        <v>2977</v>
      </c>
      <c r="AP395" s="1074" cm="1" t="str">
        <f t="array" ref="AP395:AP395">AP394</f>
        <v>0</v>
      </c>
      <c r="AQ395" s="703"/>
      <c r="AR395" s="703"/>
    </row>
    <row s="8264" customFormat="1" customHeight="1" ht="14.25" hidden="1">
      <c r="B396" s="445">
        <f>K396&lt;first_year+PERIOD_LENGTH</f>
        <v>1</v>
      </c>
      <c r="E396" s="703">
        <v>15</v>
      </c>
      <c r="F396" s="50" cm="1" t="str">
        <f t="array" ref="F396:F396">OFFSET(E396,-1,1)</f>
        <v>4</v>
      </c>
      <c r="G396" s="98" cm="1" t="str">
        <f t="array" ref="G396:G396">G395</f>
        <v>0</v>
      </c>
      <c r="K396" s="158">
        <f>first_year+1</f>
        <v>2027</v>
      </c>
      <c r="T396" s="465" cm="1" t="str">
        <f t="array" ref="T396:T396">T395</f>
        <v>false</v>
      </c>
      <c r="AB396" s="255" t="str">
        <f>K396&amp;" год"</f>
        <v>2027 год</v>
      </c>
      <c r="AC396" s="408"/>
      <c r="AD396" s="8318"/>
      <c r="AE396" s="8317"/>
      <c r="AF396" s="8317"/>
      <c r="AG396" s="8318"/>
      <c r="AH396" s="8317"/>
      <c r="AI396" s="8318"/>
      <c r="AJ396" s="8317"/>
      <c r="AK396" s="8319"/>
      <c r="AL396" s="403"/>
      <c r="AN396" s="1064" cm="1" t="str">
        <f t="array" ref="AN396:AN396">K396</f>
        <v>2027</v>
      </c>
      <c r="AO396" s="1064" t="s">
        <v>2977</v>
      </c>
      <c r="AP396" s="1074" cm="1" t="str">
        <f t="array" ref="AP396:AP396">AP395</f>
        <v>0</v>
      </c>
      <c r="AQ396" s="703"/>
      <c r="AR396" s="703"/>
    </row>
    <row s="8264" customFormat="1" customHeight="1" ht="14.25" hidden="1">
      <c r="B397" s="445">
        <f>K397&lt;first_year+PERIOD_LENGTH</f>
        <v>1</v>
      </c>
      <c r="E397" s="703">
        <v>15</v>
      </c>
      <c r="F397" s="50" cm="1" t="str">
        <f t="array" ref="F397:F397">OFFSET(E397,-1,1)</f>
        <v>4</v>
      </c>
      <c r="G397" s="98" cm="1" t="str">
        <f t="array" ref="G397:G397">G396</f>
        <v>0</v>
      </c>
      <c r="K397" s="158">
        <f>first_year+2</f>
        <v>2028</v>
      </c>
      <c r="T397" s="465" cm="1" t="str">
        <f t="array" ref="T397:T397">T396</f>
        <v>false</v>
      </c>
      <c r="AB397" s="255" t="str">
        <f>K397&amp;" год"</f>
        <v>2028 год</v>
      </c>
      <c r="AC397" s="408"/>
      <c r="AD397" s="8318"/>
      <c r="AE397" s="8317"/>
      <c r="AF397" s="8317"/>
      <c r="AG397" s="8318"/>
      <c r="AH397" s="8317"/>
      <c r="AI397" s="8318"/>
      <c r="AJ397" s="8317"/>
      <c r="AK397" s="8319"/>
      <c r="AL397" s="403"/>
      <c r="AN397" s="1064" cm="1" t="str">
        <f t="array" ref="AN397:AN397">K397</f>
        <v>2028</v>
      </c>
      <c r="AO397" s="1064" t="s">
        <v>2977</v>
      </c>
      <c r="AP397" s="1074" cm="1" t="str">
        <f t="array" ref="AP397:AP397">AP396</f>
        <v>0</v>
      </c>
      <c r="AQ397" s="703"/>
      <c r="AR397" s="703"/>
    </row>
    <row s="8264" customFormat="1" customHeight="1" ht="14.25" hidden="1">
      <c r="B398" s="445">
        <f>K398&lt;first_year+PERIOD_LENGTH</f>
        <v>1</v>
      </c>
      <c r="E398" s="703">
        <v>15</v>
      </c>
      <c r="F398" s="50" cm="1" t="str">
        <f t="array" ref="F398:F398">OFFSET(E398,-1,1)</f>
        <v>4</v>
      </c>
      <c r="G398" s="98" cm="1" t="str">
        <f t="array" ref="G398:G398">G397</f>
        <v>0</v>
      </c>
      <c r="K398" s="158">
        <f>first_year+3</f>
        <v>2029</v>
      </c>
      <c r="T398" s="465" cm="1" t="str">
        <f t="array" ref="T398:T398">T397</f>
        <v>false</v>
      </c>
      <c r="AB398" s="255" t="str">
        <f>K398&amp;" год"</f>
        <v>2029 год</v>
      </c>
      <c r="AC398" s="408"/>
      <c r="AD398" s="8318"/>
      <c r="AE398" s="8317"/>
      <c r="AF398" s="8317"/>
      <c r="AG398" s="8318"/>
      <c r="AH398" s="8317"/>
      <c r="AI398" s="8318"/>
      <c r="AJ398" s="8317"/>
      <c r="AK398" s="8319"/>
      <c r="AL398" s="403"/>
      <c r="AN398" s="1064" cm="1" t="str">
        <f t="array" ref="AN398:AN398">K398</f>
        <v>2029</v>
      </c>
      <c r="AO398" s="1064" t="s">
        <v>2977</v>
      </c>
      <c r="AP398" s="1074" cm="1" t="str">
        <f t="array" ref="AP398:AP398">AP397</f>
        <v>0</v>
      </c>
      <c r="AQ398" s="703"/>
      <c r="AR398" s="703"/>
    </row>
    <row s="8264" customFormat="1" customHeight="1" ht="14.25" hidden="1">
      <c r="B399" s="445">
        <f>K399&lt;first_year+PERIOD_LENGTH</f>
        <v>1</v>
      </c>
      <c r="E399" s="703">
        <v>15</v>
      </c>
      <c r="F399" s="50" cm="1" t="str">
        <f t="array" ref="F399:F399">OFFSET(E399,-1,1)</f>
        <v>4</v>
      </c>
      <c r="G399" s="98" cm="1" t="str">
        <f t="array" ref="G399:G399">G398</f>
        <v>0</v>
      </c>
      <c r="K399" s="158">
        <f>first_year+4</f>
        <v>2030</v>
      </c>
      <c r="T399" s="465" cm="1" t="str">
        <f t="array" ref="T399:T399">T398</f>
        <v>false</v>
      </c>
      <c r="AB399" s="255" t="str">
        <f>K399&amp;" год"</f>
        <v>2030 год</v>
      </c>
      <c r="AC399" s="408"/>
      <c r="AD399" s="8318"/>
      <c r="AE399" s="8317"/>
      <c r="AF399" s="8317"/>
      <c r="AG399" s="8318"/>
      <c r="AH399" s="8317"/>
      <c r="AI399" s="8318"/>
      <c r="AJ399" s="8317"/>
      <c r="AK399" s="8319"/>
      <c r="AL399" s="403"/>
      <c r="AN399" s="1064" cm="1" t="str">
        <f t="array" ref="AN399:AN399">K399</f>
        <v>2030</v>
      </c>
      <c r="AO399" s="1064" t="s">
        <v>2977</v>
      </c>
      <c r="AP399" s="1074" cm="1" t="str">
        <f t="array" ref="AP399:AP399">AP398</f>
        <v>0</v>
      </c>
      <c r="AQ399" s="703"/>
      <c r="AR399" s="703"/>
    </row>
    <row s="8264" customFormat="1" customHeight="1" ht="14.25" hidden="1">
      <c r="B400" s="445">
        <f>K400&lt;first_year+PERIOD_LENGTH</f>
        <v>0</v>
      </c>
      <c r="E400" s="703">
        <v>15</v>
      </c>
      <c r="F400" s="50" cm="1" t="str">
        <f t="array" ref="F400:F400">OFFSET(E400,-1,1)</f>
        <v>4</v>
      </c>
      <c r="G400" s="98" cm="1" t="str">
        <f t="array" ref="G400:G400">G399</f>
        <v>0</v>
      </c>
      <c r="K400" s="158">
        <f>first_year+5</f>
        <v>2031</v>
      </c>
      <c r="T400" s="465" cm="1" t="str">
        <f t="array" ref="T400:T400">T399</f>
        <v>false</v>
      </c>
      <c r="AB400" s="255" t="str">
        <f>K400&amp;" год"</f>
        <v>2031 год</v>
      </c>
      <c r="AC400" s="408"/>
      <c r="AD400" s="8318"/>
      <c r="AE400" s="8317"/>
      <c r="AF400" s="8317"/>
      <c r="AG400" s="8318"/>
      <c r="AH400" s="8317"/>
      <c r="AI400" s="8318"/>
      <c r="AJ400" s="8317"/>
      <c r="AK400" s="8319"/>
      <c r="AL400" s="403"/>
      <c r="AN400" s="1064" cm="1" t="str">
        <f t="array" ref="AN400:AN400">K400</f>
        <v>2031</v>
      </c>
      <c r="AO400" s="1064" t="s">
        <v>2977</v>
      </c>
      <c r="AP400" s="1074" cm="1" t="str">
        <f t="array" ref="AP400:AP400">AP399</f>
        <v>0</v>
      </c>
      <c r="AQ400" s="703"/>
      <c r="AR400" s="703"/>
    </row>
    <row s="8264" customFormat="1" customHeight="1" ht="14.25" hidden="1">
      <c r="B401" s="445">
        <f>K401&lt;first_year+PERIOD_LENGTH</f>
        <v>0</v>
      </c>
      <c r="E401" s="703">
        <v>15</v>
      </c>
      <c r="F401" s="50" cm="1" t="str">
        <f t="array" ref="F401:F401">OFFSET(E401,-1,1)</f>
        <v>4</v>
      </c>
      <c r="G401" s="98" cm="1" t="str">
        <f t="array" ref="G401:G401">G400</f>
        <v>0</v>
      </c>
      <c r="K401" s="158">
        <f>first_year+6</f>
        <v>2032</v>
      </c>
      <c r="T401" s="465" cm="1" t="str">
        <f t="array" ref="T401:T401">T400</f>
        <v>false</v>
      </c>
      <c r="AB401" s="255" t="str">
        <f>K401&amp;" год"</f>
        <v>2032 год</v>
      </c>
      <c r="AC401" s="408"/>
      <c r="AD401" s="8318"/>
      <c r="AE401" s="8317"/>
      <c r="AF401" s="8317"/>
      <c r="AG401" s="8318"/>
      <c r="AH401" s="8317"/>
      <c r="AI401" s="8318"/>
      <c r="AJ401" s="8317"/>
      <c r="AK401" s="8319"/>
      <c r="AL401" s="403"/>
      <c r="AN401" s="1064" cm="1" t="str">
        <f t="array" ref="AN401:AN401">K401</f>
        <v>2032</v>
      </c>
      <c r="AO401" s="1064" t="s">
        <v>2977</v>
      </c>
      <c r="AP401" s="1074" cm="1" t="str">
        <f t="array" ref="AP401:AP401">AP400</f>
        <v>0</v>
      </c>
      <c r="AQ401" s="703"/>
      <c r="AR401" s="703"/>
    </row>
    <row s="8264" customFormat="1" customHeight="1" ht="14.25" hidden="1">
      <c r="B402" s="445">
        <f>K402&lt;first_year+PERIOD_LENGTH</f>
        <v>0</v>
      </c>
      <c r="E402" s="703">
        <v>15</v>
      </c>
      <c r="F402" s="50" cm="1" t="str">
        <f t="array" ref="F402:F402">OFFSET(E402,-1,1)</f>
        <v>4</v>
      </c>
      <c r="G402" s="98" cm="1" t="str">
        <f t="array" ref="G402:G402">G401</f>
        <v>0</v>
      </c>
      <c r="K402" s="158">
        <f>first_year+7</f>
        <v>2033</v>
      </c>
      <c r="T402" s="465" cm="1" t="str">
        <f t="array" ref="T402:T402">T401</f>
        <v>false</v>
      </c>
      <c r="AB402" s="255" t="str">
        <f>K402&amp;" год"</f>
        <v>2033 год</v>
      </c>
      <c r="AC402" s="408"/>
      <c r="AD402" s="8318"/>
      <c r="AE402" s="8317"/>
      <c r="AF402" s="8317"/>
      <c r="AG402" s="8318"/>
      <c r="AH402" s="8317"/>
      <c r="AI402" s="8318"/>
      <c r="AJ402" s="8317"/>
      <c r="AK402" s="8319"/>
      <c r="AL402" s="403"/>
      <c r="AN402" s="1064" cm="1" t="str">
        <f t="array" ref="AN402:AN402">K402</f>
        <v>2033</v>
      </c>
      <c r="AO402" s="1064" t="s">
        <v>2977</v>
      </c>
      <c r="AP402" s="1074" cm="1" t="str">
        <f t="array" ref="AP402:AP402">AP401</f>
        <v>0</v>
      </c>
      <c r="AQ402" s="703"/>
      <c r="AR402" s="703"/>
    </row>
    <row s="8264" customFormat="1" customHeight="1" ht="14.25" hidden="1">
      <c r="B403" s="445">
        <f>K403&lt;first_year+PERIOD_LENGTH</f>
        <v>0</v>
      </c>
      <c r="E403" s="703">
        <v>15</v>
      </c>
      <c r="F403" s="50" cm="1" t="str">
        <f t="array" ref="F403:F403">OFFSET(E403,-1,1)</f>
        <v>4</v>
      </c>
      <c r="G403" s="98" cm="1" t="str">
        <f t="array" ref="G403:G403">G402</f>
        <v>0</v>
      </c>
      <c r="K403" s="158">
        <f>first_year+8</f>
        <v>2034</v>
      </c>
      <c r="T403" s="465" cm="1" t="str">
        <f t="array" ref="T403:T403">T402</f>
        <v>false</v>
      </c>
      <c r="AB403" s="255" t="str">
        <f>K403&amp;" год"</f>
        <v>2034 год</v>
      </c>
      <c r="AC403" s="408"/>
      <c r="AD403" s="8318"/>
      <c r="AE403" s="8317"/>
      <c r="AF403" s="8317"/>
      <c r="AG403" s="8318"/>
      <c r="AH403" s="8317"/>
      <c r="AI403" s="8318"/>
      <c r="AJ403" s="8317"/>
      <c r="AK403" s="8319"/>
      <c r="AL403" s="403"/>
      <c r="AN403" s="1064" cm="1" t="str">
        <f t="array" ref="AN403:AN403">K403</f>
        <v>2034</v>
      </c>
      <c r="AO403" s="1064" t="s">
        <v>2977</v>
      </c>
      <c r="AP403" s="1074" cm="1" t="str">
        <f t="array" ref="AP403:AP403">AP402</f>
        <v>0</v>
      </c>
      <c r="AQ403" s="703"/>
      <c r="AR403" s="703"/>
    </row>
    <row s="8264" customFormat="1" customHeight="1" ht="14.25" hidden="1">
      <c r="B404" s="445">
        <f>K404&lt;first_year+PERIOD_LENGTH</f>
        <v>0</v>
      </c>
      <c r="E404" s="703">
        <v>15</v>
      </c>
      <c r="F404" s="50" cm="1" t="str">
        <f t="array" ref="F404:F404">OFFSET(E404,-1,1)</f>
        <v>4</v>
      </c>
      <c r="G404" s="98" cm="1" t="str">
        <f t="array" ref="G404:G404">G403</f>
        <v>0</v>
      </c>
      <c r="K404" s="158">
        <f>first_year+9</f>
        <v>2035</v>
      </c>
      <c r="T404" s="465" cm="1" t="str">
        <f t="array" ref="T404:T404">T403</f>
        <v>false</v>
      </c>
      <c r="AB404" s="255" t="str">
        <f>K404&amp;" год"</f>
        <v>2035 год</v>
      </c>
      <c r="AC404" s="408"/>
      <c r="AD404" s="8318"/>
      <c r="AE404" s="8317"/>
      <c r="AF404" s="8317"/>
      <c r="AG404" s="8318"/>
      <c r="AH404" s="8317"/>
      <c r="AI404" s="8318"/>
      <c r="AJ404" s="8317"/>
      <c r="AK404" s="8319"/>
      <c r="AL404" s="403"/>
      <c r="AN404" s="1064" cm="1" t="str">
        <f t="array" ref="AN404:AN404">K404</f>
        <v>2035</v>
      </c>
      <c r="AO404" s="1064" t="s">
        <v>2977</v>
      </c>
      <c r="AP404" s="1074" cm="1" t="str">
        <f t="array" ref="AP404:AP404">AP403</f>
        <v>0</v>
      </c>
      <c r="AQ404" s="703"/>
      <c r="AR404" s="703"/>
    </row>
    <row s="8264" customFormat="1" customHeight="1" ht="14.25" hidden="1">
      <c r="B405" s="445">
        <f>K405&lt;first_year+PERIOD_LENGTH</f>
        <v>0</v>
      </c>
      <c r="E405" s="703">
        <v>15</v>
      </c>
      <c r="F405" s="50" cm="1" t="str">
        <f t="array" ref="F405:F405">OFFSET(E405,-1,1)</f>
        <v>4</v>
      </c>
      <c r="G405" s="98" cm="1" t="str">
        <f t="array" ref="G405:G405">G404</f>
        <v>0</v>
      </c>
      <c r="K405" s="158">
        <f>first_year+10</f>
        <v>2036</v>
      </c>
      <c r="T405" s="465" cm="1" t="str">
        <f t="array" ref="T405:T405">T404</f>
        <v>false</v>
      </c>
      <c r="AB405" s="255" t="str">
        <f>K405&amp;" год"</f>
        <v>2036 год</v>
      </c>
      <c r="AC405" s="408"/>
      <c r="AD405" s="8318"/>
      <c r="AE405" s="8317"/>
      <c r="AF405" s="8317"/>
      <c r="AG405" s="8318"/>
      <c r="AH405" s="8317"/>
      <c r="AI405" s="8318"/>
      <c r="AJ405" s="8317"/>
      <c r="AK405" s="8319"/>
      <c r="AL405" s="403"/>
      <c r="AN405" s="1064" cm="1" t="str">
        <f t="array" ref="AN405:AN405">K405</f>
        <v>2036</v>
      </c>
      <c r="AO405" s="1064" t="s">
        <v>2977</v>
      </c>
      <c r="AP405" s="1074" cm="1" t="str">
        <f t="array" ref="AP405:AP405">AP404</f>
        <v>0</v>
      </c>
      <c r="AQ405" s="703"/>
      <c r="AR405" s="703"/>
    </row>
    <row s="8264" customFormat="1" customHeight="1" ht="14.25" hidden="1">
      <c r="B406" s="445">
        <f>K406&lt;first_year+PERIOD_LENGTH</f>
        <v>0</v>
      </c>
      <c r="E406" s="703">
        <v>15</v>
      </c>
      <c r="F406" s="50" cm="1" t="str">
        <f t="array" ref="F406:F406">OFFSET(E406,-1,1)</f>
        <v>4</v>
      </c>
      <c r="G406" s="98" cm="1" t="str">
        <f t="array" ref="G406:G406">G405</f>
        <v>0</v>
      </c>
      <c r="K406" s="158">
        <f>first_year+11</f>
        <v>2037</v>
      </c>
      <c r="T406" s="465" cm="1" t="str">
        <f t="array" ref="T406:T406">T405</f>
        <v>false</v>
      </c>
      <c r="AB406" s="255" t="str">
        <f>K406&amp;" год"</f>
        <v>2037 год</v>
      </c>
      <c r="AC406" s="408"/>
      <c r="AD406" s="8318"/>
      <c r="AE406" s="8317"/>
      <c r="AF406" s="8317"/>
      <c r="AG406" s="8318"/>
      <c r="AH406" s="8317"/>
      <c r="AI406" s="8318"/>
      <c r="AJ406" s="8317"/>
      <c r="AK406" s="8319"/>
      <c r="AL406" s="403"/>
      <c r="AN406" s="1064" cm="1" t="str">
        <f t="array" ref="AN406:AN406">K406</f>
        <v>2037</v>
      </c>
      <c r="AO406" s="1064" t="s">
        <v>2977</v>
      </c>
      <c r="AP406" s="1074" cm="1" t="str">
        <f t="array" ref="AP406:AP406">AP405</f>
        <v>0</v>
      </c>
      <c r="AQ406" s="703"/>
      <c r="AR406" s="703"/>
    </row>
    <row s="8264" customFormat="1" customHeight="1" ht="14.25" hidden="1">
      <c r="B407" s="445">
        <f>K407&lt;first_year+PERIOD_LENGTH</f>
        <v>0</v>
      </c>
      <c r="E407" s="703">
        <v>15</v>
      </c>
      <c r="F407" s="50" cm="1" t="str">
        <f t="array" ref="F407:F407">OFFSET(E407,-1,1)</f>
        <v>4</v>
      </c>
      <c r="G407" s="98" cm="1" t="str">
        <f t="array" ref="G407:G407">G406</f>
        <v>0</v>
      </c>
      <c r="K407" s="158">
        <f>first_year+12</f>
        <v>2038</v>
      </c>
      <c r="T407" s="465" cm="1" t="str">
        <f t="array" ref="T407:T407">T406</f>
        <v>false</v>
      </c>
      <c r="AB407" s="255" t="str">
        <f>K407&amp;" год"</f>
        <v>2038 год</v>
      </c>
      <c r="AC407" s="408"/>
      <c r="AD407" s="8318"/>
      <c r="AE407" s="8317"/>
      <c r="AF407" s="8317"/>
      <c r="AG407" s="8318"/>
      <c r="AH407" s="8317"/>
      <c r="AI407" s="8318"/>
      <c r="AJ407" s="8317"/>
      <c r="AK407" s="8319"/>
      <c r="AL407" s="403"/>
      <c r="AN407" s="1064" cm="1" t="str">
        <f t="array" ref="AN407:AN407">K407</f>
        <v>2038</v>
      </c>
      <c r="AO407" s="1064" t="s">
        <v>2977</v>
      </c>
      <c r="AP407" s="1074" cm="1" t="str">
        <f t="array" ref="AP407:AP407">AP406</f>
        <v>0</v>
      </c>
      <c r="AQ407" s="703"/>
      <c r="AR407" s="703"/>
    </row>
    <row s="8264" customFormat="1" customHeight="1" ht="14.25" hidden="1">
      <c r="B408" s="445">
        <f>K408&lt;first_year+PERIOD_LENGTH</f>
        <v>0</v>
      </c>
      <c r="E408" s="703">
        <v>15</v>
      </c>
      <c r="F408" s="50" cm="1" t="str">
        <f t="array" ref="F408:F408">OFFSET(E408,-1,1)</f>
        <v>4</v>
      </c>
      <c r="G408" s="98" cm="1" t="str">
        <f t="array" ref="G408:G408">G407</f>
        <v>0</v>
      </c>
      <c r="K408" s="158">
        <f>first_year+13</f>
        <v>2039</v>
      </c>
      <c r="T408" s="465" cm="1" t="str">
        <f t="array" ref="T408:T408">T407</f>
        <v>false</v>
      </c>
      <c r="AB408" s="255" t="str">
        <f>K408&amp;" год"</f>
        <v>2039 год</v>
      </c>
      <c r="AC408" s="408"/>
      <c r="AD408" s="8318"/>
      <c r="AE408" s="8317"/>
      <c r="AF408" s="8317"/>
      <c r="AG408" s="8318"/>
      <c r="AH408" s="8317"/>
      <c r="AI408" s="8318"/>
      <c r="AJ408" s="8317"/>
      <c r="AK408" s="8319"/>
      <c r="AL408" s="403"/>
      <c r="AN408" s="1064" cm="1" t="str">
        <f t="array" ref="AN408:AN408">K408</f>
        <v>2039</v>
      </c>
      <c r="AO408" s="1064" t="s">
        <v>2977</v>
      </c>
      <c r="AP408" s="1074" cm="1" t="str">
        <f t="array" ref="AP408:AP408">AP407</f>
        <v>0</v>
      </c>
      <c r="AQ408" s="703"/>
      <c r="AR408" s="703"/>
    </row>
    <row s="8264" customFormat="1" customHeight="1" ht="14.25" hidden="1">
      <c r="B409" s="445">
        <f>K409&lt;first_year+PERIOD_LENGTH</f>
        <v>0</v>
      </c>
      <c r="E409" s="703">
        <v>15</v>
      </c>
      <c r="F409" s="50" cm="1" t="str">
        <f t="array" ref="F409:F409">OFFSET(E409,-1,1)</f>
        <v>4</v>
      </c>
      <c r="G409" s="98" cm="1" t="str">
        <f t="array" ref="G409:G409">G408</f>
        <v>0</v>
      </c>
      <c r="K409" s="158">
        <f>first_year+14</f>
        <v>2040</v>
      </c>
      <c r="T409" s="465" cm="1" t="str">
        <f t="array" ref="T409:T409">T408</f>
        <v>false</v>
      </c>
      <c r="AB409" s="255" t="str">
        <f>K409&amp;" год"</f>
        <v>2040 год</v>
      </c>
      <c r="AC409" s="408"/>
      <c r="AD409" s="8318"/>
      <c r="AE409" s="8317"/>
      <c r="AF409" s="8317"/>
      <c r="AG409" s="8318"/>
      <c r="AH409" s="8317"/>
      <c r="AI409" s="8318"/>
      <c r="AJ409" s="8317"/>
      <c r="AK409" s="8319"/>
      <c r="AL409" s="403"/>
      <c r="AN409" s="1064" cm="1" t="str">
        <f t="array" ref="AN409:AN409">K409</f>
        <v>2040</v>
      </c>
      <c r="AO409" s="1064" t="s">
        <v>2977</v>
      </c>
      <c r="AP409" s="1074" cm="1" t="str">
        <f t="array" ref="AP409:AP409">AP408</f>
        <v>0</v>
      </c>
      <c r="AQ409" s="703"/>
      <c r="AR409" s="703"/>
    </row>
    <row s="8264" customFormat="1" customHeight="1" ht="14.25" hidden="1">
      <c r="B410" s="445">
        <f>K410&lt;first_year+PERIOD_LENGTH</f>
        <v>0</v>
      </c>
      <c r="E410" s="703">
        <v>15</v>
      </c>
      <c r="F410" s="50" cm="1" t="str">
        <f t="array" ref="F410:F410">OFFSET(E410,-1,1)</f>
        <v>4</v>
      </c>
      <c r="G410" s="98" cm="1" t="str">
        <f t="array" ref="G410:G410">G409</f>
        <v>0</v>
      </c>
      <c r="K410" s="158">
        <f>first_year+15</f>
        <v>2041</v>
      </c>
      <c r="T410" s="465" cm="1" t="str">
        <f t="array" ref="T410:T410">T409</f>
        <v>false</v>
      </c>
      <c r="AB410" s="255" t="str">
        <f>K410&amp;" год"</f>
        <v>2041 год</v>
      </c>
      <c r="AC410" s="408"/>
      <c r="AD410" s="8318"/>
      <c r="AE410" s="8317"/>
      <c r="AF410" s="8317"/>
      <c r="AG410" s="8318"/>
      <c r="AH410" s="8317"/>
      <c r="AI410" s="8318"/>
      <c r="AJ410" s="8317"/>
      <c r="AK410" s="8319"/>
      <c r="AL410" s="403"/>
      <c r="AN410" s="1064" cm="1" t="str">
        <f t="array" ref="AN410:AN410">K410</f>
        <v>2041</v>
      </c>
      <c r="AO410" s="1064" t="s">
        <v>2977</v>
      </c>
      <c r="AP410" s="1074" cm="1" t="str">
        <f t="array" ref="AP410:AP410">AP409</f>
        <v>0</v>
      </c>
      <c r="AQ410" s="703"/>
      <c r="AR410" s="703"/>
    </row>
    <row s="8264" customFormat="1" customHeight="1" ht="14.25" hidden="1">
      <c r="B411" s="445">
        <f>K411&lt;first_year+PERIOD_LENGTH</f>
        <v>0</v>
      </c>
      <c r="E411" s="703">
        <v>15</v>
      </c>
      <c r="F411" s="50" cm="1" t="str">
        <f t="array" ref="F411:F411">OFFSET(E411,-1,1)</f>
        <v>4</v>
      </c>
      <c r="G411" s="98" cm="1" t="str">
        <f t="array" ref="G411:G411">G410</f>
        <v>0</v>
      </c>
      <c r="K411" s="158">
        <f>first_year+16</f>
        <v>2042</v>
      </c>
      <c r="T411" s="465" cm="1" t="str">
        <f t="array" ref="T411:T411">T410</f>
        <v>false</v>
      </c>
      <c r="AB411" s="255" t="str">
        <f>K411&amp;" год"</f>
        <v>2042 год</v>
      </c>
      <c r="AC411" s="408"/>
      <c r="AD411" s="8318"/>
      <c r="AE411" s="8317"/>
      <c r="AF411" s="8317"/>
      <c r="AG411" s="8318"/>
      <c r="AH411" s="8317"/>
      <c r="AI411" s="8318"/>
      <c r="AJ411" s="8317"/>
      <c r="AK411" s="8319"/>
      <c r="AL411" s="403"/>
      <c r="AN411" s="1064" cm="1" t="str">
        <f t="array" ref="AN411:AN411">K411</f>
        <v>2042</v>
      </c>
      <c r="AO411" s="1064" t="s">
        <v>2977</v>
      </c>
      <c r="AP411" s="1074" cm="1" t="str">
        <f t="array" ref="AP411:AP411">AP410</f>
        <v>0</v>
      </c>
      <c r="AQ411" s="703"/>
      <c r="AR411" s="703"/>
    </row>
    <row s="8264" customFormat="1" customHeight="1" ht="14.25" hidden="1">
      <c r="B412" s="445">
        <f>K412&lt;first_year+PERIOD_LENGTH</f>
        <v>0</v>
      </c>
      <c r="E412" s="703">
        <v>15</v>
      </c>
      <c r="F412" s="50" cm="1" t="str">
        <f t="array" ref="F412:F412">OFFSET(E412,-1,1)</f>
        <v>4</v>
      </c>
      <c r="G412" s="98" cm="1" t="str">
        <f t="array" ref="G412:G412">G411</f>
        <v>0</v>
      </c>
      <c r="K412" s="158">
        <f>first_year+17</f>
        <v>2043</v>
      </c>
      <c r="T412" s="465" cm="1" t="str">
        <f t="array" ref="T412:T412">T411</f>
        <v>false</v>
      </c>
      <c r="AB412" s="255" t="str">
        <f>K412&amp;" год"</f>
        <v>2043 год</v>
      </c>
      <c r="AC412" s="408"/>
      <c r="AD412" s="8318"/>
      <c r="AE412" s="8317"/>
      <c r="AF412" s="8317"/>
      <c r="AG412" s="8318"/>
      <c r="AH412" s="8317"/>
      <c r="AI412" s="8318"/>
      <c r="AJ412" s="8317"/>
      <c r="AK412" s="8319"/>
      <c r="AL412" s="403"/>
      <c r="AN412" s="1064" cm="1" t="str">
        <f t="array" ref="AN412:AN412">K412</f>
        <v>2043</v>
      </c>
      <c r="AO412" s="1064" t="s">
        <v>2977</v>
      </c>
      <c r="AP412" s="1074" cm="1" t="str">
        <f t="array" ref="AP412:AP412">AP411</f>
        <v>0</v>
      </c>
      <c r="AQ412" s="703"/>
      <c r="AR412" s="703"/>
    </row>
    <row s="8264" customFormat="1" customHeight="1" ht="14.25" hidden="1">
      <c r="B413" s="445">
        <f>K413&lt;first_year+PERIOD_LENGTH</f>
        <v>0</v>
      </c>
      <c r="E413" s="703">
        <v>15</v>
      </c>
      <c r="F413" s="50" cm="1" t="str">
        <f t="array" ref="F413:F413">OFFSET(E413,-1,1)</f>
        <v>4</v>
      </c>
      <c r="G413" s="98" cm="1" t="str">
        <f t="array" ref="G413:G413">G412</f>
        <v>0</v>
      </c>
      <c r="K413" s="158">
        <f>first_year+18</f>
        <v>2044</v>
      </c>
      <c r="T413" s="465" cm="1" t="str">
        <f t="array" ref="T413:T413">T412</f>
        <v>false</v>
      </c>
      <c r="AB413" s="255" t="str">
        <f>K413&amp;" год"</f>
        <v>2044 год</v>
      </c>
      <c r="AC413" s="408"/>
      <c r="AD413" s="8318"/>
      <c r="AE413" s="8317"/>
      <c r="AF413" s="8317"/>
      <c r="AG413" s="8318"/>
      <c r="AH413" s="8317"/>
      <c r="AI413" s="8318"/>
      <c r="AJ413" s="8317"/>
      <c r="AK413" s="8319"/>
      <c r="AL413" s="403"/>
      <c r="AN413" s="1064" cm="1" t="str">
        <f t="array" ref="AN413:AN413">K413</f>
        <v>2044</v>
      </c>
      <c r="AO413" s="1064" t="s">
        <v>2977</v>
      </c>
      <c r="AP413" s="1074" cm="1" t="str">
        <f t="array" ref="AP413:AP413">AP412</f>
        <v>0</v>
      </c>
      <c r="AQ413" s="703"/>
      <c r="AR413" s="703"/>
    </row>
    <row s="8264" customFormat="1" customHeight="1" ht="14.25" hidden="1">
      <c r="B414" s="445">
        <f>K414&lt;first_year+PERIOD_LENGTH</f>
        <v>0</v>
      </c>
      <c r="E414" s="703">
        <v>15</v>
      </c>
      <c r="F414" s="50" cm="1" t="str">
        <f t="array" ref="F414:F414">OFFSET(E414,-1,1)</f>
        <v>4</v>
      </c>
      <c r="G414" s="98" cm="1" t="str">
        <f t="array" ref="G414:G414">G413</f>
        <v>0</v>
      </c>
      <c r="K414" s="158">
        <f>first_year+19</f>
        <v>2045</v>
      </c>
      <c r="T414" s="465" cm="1" t="str">
        <f t="array" ref="T414:T414">T413</f>
        <v>false</v>
      </c>
      <c r="AB414" s="255" t="str">
        <f>K414&amp;" год"</f>
        <v>2045 год</v>
      </c>
      <c r="AC414" s="408"/>
      <c r="AD414" s="8318"/>
      <c r="AE414" s="8317"/>
      <c r="AF414" s="8317"/>
      <c r="AG414" s="8318"/>
      <c r="AH414" s="8317"/>
      <c r="AI414" s="8318"/>
      <c r="AJ414" s="8317"/>
      <c r="AK414" s="8319"/>
      <c r="AL414" s="403"/>
      <c r="AN414" s="1064" cm="1" t="str">
        <f t="array" ref="AN414:AN414">K414</f>
        <v>2045</v>
      </c>
      <c r="AO414" s="1064" t="s">
        <v>2977</v>
      </c>
      <c r="AP414" s="1074" cm="1" t="str">
        <f t="array" ref="AP414:AP414">AP413</f>
        <v>0</v>
      </c>
      <c r="AQ414" s="703"/>
      <c r="AR414" s="703"/>
    </row>
    <row s="8264" customFormat="1" customHeight="1" ht="14.25" hidden="1">
      <c r="B415" s="445">
        <f>K415&lt;first_year+PERIOD_LENGTH</f>
        <v>0</v>
      </c>
      <c r="E415" s="703">
        <v>15</v>
      </c>
      <c r="F415" s="50" cm="1" t="str">
        <f t="array" ref="F415:F415">OFFSET(E415,-1,1)</f>
        <v>4</v>
      </c>
      <c r="G415" s="98" cm="1" t="str">
        <f t="array" ref="G415:G415">G414</f>
        <v>0</v>
      </c>
      <c r="K415" s="158">
        <f>first_year+20</f>
        <v>2046</v>
      </c>
      <c r="T415" s="465" cm="1" t="str">
        <f t="array" ref="T415:T415">T414</f>
        <v>false</v>
      </c>
      <c r="AB415" s="255" t="str">
        <f>K415&amp;" год"</f>
        <v>2046 год</v>
      </c>
      <c r="AC415" s="408"/>
      <c r="AD415" s="8318"/>
      <c r="AE415" s="8317"/>
      <c r="AF415" s="8317"/>
      <c r="AG415" s="8318"/>
      <c r="AH415" s="8317"/>
      <c r="AI415" s="8318"/>
      <c r="AJ415" s="8317"/>
      <c r="AK415" s="8319"/>
      <c r="AL415" s="403"/>
      <c r="AN415" s="1064" cm="1" t="str">
        <f t="array" ref="AN415:AN415">K415</f>
        <v>2046</v>
      </c>
      <c r="AO415" s="1064" t="s">
        <v>2977</v>
      </c>
      <c r="AP415" s="1074" cm="1" t="str">
        <f t="array" ref="AP415:AP415">AP414</f>
        <v>0</v>
      </c>
      <c r="AQ415" s="703"/>
      <c r="AR415" s="703"/>
    </row>
    <row s="8264" customFormat="1" customHeight="1" ht="14.25" hidden="1">
      <c r="B416" s="445">
        <f>K416&lt;first_year+PERIOD_LENGTH</f>
        <v>0</v>
      </c>
      <c r="E416" s="703">
        <v>15</v>
      </c>
      <c r="F416" s="50" cm="1" t="str">
        <f t="array" ref="F416:F416">OFFSET(E416,-1,1)</f>
        <v>4</v>
      </c>
      <c r="G416" s="98" cm="1" t="str">
        <f t="array" ref="G416:G416">G415</f>
        <v>0</v>
      </c>
      <c r="K416" s="158">
        <f>first_year+21</f>
        <v>2047</v>
      </c>
      <c r="T416" s="465" cm="1" t="str">
        <f t="array" ref="T416:T416">T415</f>
        <v>false</v>
      </c>
      <c r="AB416" s="255" t="str">
        <f>K416&amp;" год"</f>
        <v>2047 год</v>
      </c>
      <c r="AC416" s="408"/>
      <c r="AD416" s="8318"/>
      <c r="AE416" s="8317"/>
      <c r="AF416" s="8317"/>
      <c r="AG416" s="8318"/>
      <c r="AH416" s="8317"/>
      <c r="AI416" s="8318"/>
      <c r="AJ416" s="8317"/>
      <c r="AK416" s="8319"/>
      <c r="AL416" s="403"/>
      <c r="AN416" s="1064" cm="1" t="str">
        <f t="array" ref="AN416:AN416">K416</f>
        <v>2047</v>
      </c>
      <c r="AO416" s="1064" t="s">
        <v>2977</v>
      </c>
      <c r="AP416" s="1074" cm="1" t="str">
        <f t="array" ref="AP416:AP416">AP415</f>
        <v>0</v>
      </c>
      <c r="AQ416" s="703"/>
      <c r="AR416" s="703"/>
    </row>
    <row s="8264" customFormat="1" customHeight="1" ht="14.25" hidden="1">
      <c r="B417" s="445">
        <f>K417&lt;first_year+PERIOD_LENGTH</f>
        <v>0</v>
      </c>
      <c r="E417" s="703">
        <v>15</v>
      </c>
      <c r="F417" s="50" cm="1" t="str">
        <f t="array" ref="F417:F417">OFFSET(E417,-1,1)</f>
        <v>4</v>
      </c>
      <c r="G417" s="98" cm="1" t="str">
        <f t="array" ref="G417:G417">G416</f>
        <v>0</v>
      </c>
      <c r="K417" s="158">
        <f>first_year+22</f>
        <v>2048</v>
      </c>
      <c r="T417" s="465" cm="1" t="str">
        <f t="array" ref="T417:T417">T416</f>
        <v>false</v>
      </c>
      <c r="AB417" s="255" t="str">
        <f>K417&amp;" год"</f>
        <v>2048 год</v>
      </c>
      <c r="AC417" s="408"/>
      <c r="AD417" s="8318"/>
      <c r="AE417" s="8317"/>
      <c r="AF417" s="8317"/>
      <c r="AG417" s="8318"/>
      <c r="AH417" s="8317"/>
      <c r="AI417" s="8318"/>
      <c r="AJ417" s="8317"/>
      <c r="AK417" s="8319"/>
      <c r="AL417" s="403"/>
      <c r="AN417" s="1064" cm="1" t="str">
        <f t="array" ref="AN417:AN417">K417</f>
        <v>2048</v>
      </c>
      <c r="AO417" s="1064" t="s">
        <v>2977</v>
      </c>
      <c r="AP417" s="1074" cm="1" t="str">
        <f t="array" ref="AP417:AP417">AP416</f>
        <v>0</v>
      </c>
      <c r="AQ417" s="703"/>
      <c r="AR417" s="703"/>
    </row>
    <row s="8264" customFormat="1" customHeight="1" ht="14.25" hidden="1">
      <c r="B418" s="445">
        <f>K418&lt;first_year+PERIOD_LENGTH</f>
        <v>0</v>
      </c>
      <c r="E418" s="703">
        <v>15</v>
      </c>
      <c r="F418" s="50" cm="1" t="str">
        <f t="array" ref="F418:F418">OFFSET(E418,-1,1)</f>
        <v>4</v>
      </c>
      <c r="G418" s="98" cm="1" t="str">
        <f t="array" ref="G418:G418">G417</f>
        <v>0</v>
      </c>
      <c r="K418" s="158">
        <f>first_year+23</f>
        <v>2049</v>
      </c>
      <c r="T418" s="465" cm="1" t="str">
        <f t="array" ref="T418:T418">T417</f>
        <v>false</v>
      </c>
      <c r="AB418" s="255" t="str">
        <f>K418&amp;" год"</f>
        <v>2049 год</v>
      </c>
      <c r="AC418" s="408"/>
      <c r="AD418" s="8318"/>
      <c r="AE418" s="8317"/>
      <c r="AF418" s="8317"/>
      <c r="AG418" s="8318"/>
      <c r="AH418" s="8317"/>
      <c r="AI418" s="8318"/>
      <c r="AJ418" s="8317"/>
      <c r="AK418" s="8319"/>
      <c r="AL418" s="403"/>
      <c r="AN418" s="1064" cm="1" t="str">
        <f t="array" ref="AN418:AN418">K418</f>
        <v>2049</v>
      </c>
      <c r="AO418" s="1064" t="s">
        <v>2977</v>
      </c>
      <c r="AP418" s="1074" cm="1" t="str">
        <f t="array" ref="AP418:AP418">AP417</f>
        <v>0</v>
      </c>
      <c r="AQ418" s="703"/>
      <c r="AR418" s="703"/>
    </row>
    <row s="8264" customFormat="1" customHeight="1" ht="14.25" hidden="1">
      <c r="B419" s="445">
        <f>K419&lt;first_year+PERIOD_LENGTH</f>
        <v>0</v>
      </c>
      <c r="E419" s="703">
        <v>15</v>
      </c>
      <c r="F419" s="50" cm="1" t="str">
        <f t="array" ref="F419:F419">OFFSET(E419,-1,1)</f>
        <v>4</v>
      </c>
      <c r="G419" s="98" cm="1" t="str">
        <f t="array" ref="G419:G419">G418</f>
        <v>0</v>
      </c>
      <c r="K419" s="158">
        <f>first_year+24</f>
        <v>2050</v>
      </c>
      <c r="T419" s="465" cm="1" t="str">
        <f t="array" ref="T419:T419">T418</f>
        <v>false</v>
      </c>
      <c r="AB419" s="255" t="str">
        <f>K419&amp;" год"</f>
        <v>2050 год</v>
      </c>
      <c r="AC419" s="408"/>
      <c r="AD419" s="8318"/>
      <c r="AE419" s="8317"/>
      <c r="AF419" s="8317"/>
      <c r="AG419" s="8318"/>
      <c r="AH419" s="8317"/>
      <c r="AI419" s="8318"/>
      <c r="AJ419" s="8317"/>
      <c r="AK419" s="8319"/>
      <c r="AL419" s="403"/>
      <c r="AN419" s="1064" cm="1" t="str">
        <f t="array" ref="AN419:AN419">K419</f>
        <v>2050</v>
      </c>
      <c r="AO419" s="1064" t="s">
        <v>2977</v>
      </c>
      <c r="AP419" s="1074" cm="1" t="str">
        <f t="array" ref="AP419:AP419">AP418</f>
        <v>0</v>
      </c>
      <c r="AQ419" s="703"/>
      <c r="AR419" s="703"/>
    </row>
    <row s="8264" customFormat="1" customHeight="1" ht="14.25" hidden="1">
      <c r="B420" s="445">
        <f>K420&lt;first_year+PERIOD_LENGTH</f>
        <v>0</v>
      </c>
      <c r="E420" s="703">
        <v>15</v>
      </c>
      <c r="F420" s="50" cm="1" t="str">
        <f t="array" ref="F420:F420">OFFSET(E420,-1,1)</f>
        <v>4</v>
      </c>
      <c r="G420" s="98" cm="1" t="str">
        <f t="array" ref="G420:G420">G419</f>
        <v>0</v>
      </c>
      <c r="K420" s="158">
        <f>first_year+25</f>
        <v>2051</v>
      </c>
      <c r="T420" s="465" cm="1" t="str">
        <f t="array" ref="T420:T420">T419</f>
        <v>false</v>
      </c>
      <c r="AB420" s="255" t="str">
        <f>K420&amp;" год"</f>
        <v>2051 год</v>
      </c>
      <c r="AC420" s="408"/>
      <c r="AD420" s="8318"/>
      <c r="AE420" s="8317"/>
      <c r="AF420" s="8317"/>
      <c r="AG420" s="8318"/>
      <c r="AH420" s="8317"/>
      <c r="AI420" s="8318"/>
      <c r="AJ420" s="8317"/>
      <c r="AK420" s="8319"/>
      <c r="AL420" s="403"/>
      <c r="AN420" s="1064" cm="1" t="str">
        <f t="array" ref="AN420:AN420">K420</f>
        <v>2051</v>
      </c>
      <c r="AO420" s="1064" t="s">
        <v>2977</v>
      </c>
      <c r="AP420" s="1074" cm="1" t="str">
        <f t="array" ref="AP420:AP420">AP419</f>
        <v>0</v>
      </c>
      <c r="AQ420" s="703"/>
      <c r="AR420" s="703"/>
    </row>
    <row s="8264" customFormat="1" customHeight="1" ht="14.25" hidden="1">
      <c r="B421" s="445">
        <f>K421&lt;first_year+PERIOD_LENGTH</f>
        <v>0</v>
      </c>
      <c r="E421" s="703">
        <v>15</v>
      </c>
      <c r="F421" s="50" cm="1" t="str">
        <f t="array" ref="F421:F421">OFFSET(E421,-1,1)</f>
        <v>4</v>
      </c>
      <c r="G421" s="98" cm="1" t="str">
        <f t="array" ref="G421:G421">G420</f>
        <v>0</v>
      </c>
      <c r="K421" s="158">
        <f>first_year+26</f>
        <v>2052</v>
      </c>
      <c r="T421" s="465" cm="1" t="str">
        <f t="array" ref="T421:T421">T420</f>
        <v>false</v>
      </c>
      <c r="AB421" s="255" t="str">
        <f>K421&amp;" год"</f>
        <v>2052 год</v>
      </c>
      <c r="AC421" s="408"/>
      <c r="AD421" s="8318"/>
      <c r="AE421" s="8317"/>
      <c r="AF421" s="8317"/>
      <c r="AG421" s="8318"/>
      <c r="AH421" s="8317"/>
      <c r="AI421" s="8318"/>
      <c r="AJ421" s="8317"/>
      <c r="AK421" s="8319"/>
      <c r="AL421" s="403"/>
      <c r="AN421" s="1064" cm="1" t="str">
        <f t="array" ref="AN421:AN421">K421</f>
        <v>2052</v>
      </c>
      <c r="AO421" s="1064" t="s">
        <v>2977</v>
      </c>
      <c r="AP421" s="1074" cm="1" t="str">
        <f t="array" ref="AP421:AP421">AP420</f>
        <v>0</v>
      </c>
      <c r="AQ421" s="703"/>
      <c r="AR421" s="703"/>
    </row>
    <row s="8264" customFormat="1" customHeight="1" ht="14.25" hidden="1">
      <c r="B422" s="445">
        <f>K422&lt;first_year+PERIOD_LENGTH</f>
        <v>0</v>
      </c>
      <c r="E422" s="703">
        <v>15</v>
      </c>
      <c r="F422" s="50" cm="1" t="str">
        <f t="array" ref="F422:F422">OFFSET(E422,-1,1)</f>
        <v>4</v>
      </c>
      <c r="G422" s="98" cm="1" t="str">
        <f t="array" ref="G422:G422">G421</f>
        <v>0</v>
      </c>
      <c r="K422" s="158">
        <f>first_year+27</f>
        <v>2053</v>
      </c>
      <c r="T422" s="465" cm="1" t="str">
        <f t="array" ref="T422:T422">T421</f>
        <v>false</v>
      </c>
      <c r="AB422" s="255" t="str">
        <f>K422&amp;" год"</f>
        <v>2053 год</v>
      </c>
      <c r="AC422" s="408"/>
      <c r="AD422" s="8318"/>
      <c r="AE422" s="8317"/>
      <c r="AF422" s="8317"/>
      <c r="AG422" s="8318"/>
      <c r="AH422" s="8317"/>
      <c r="AI422" s="8318"/>
      <c r="AJ422" s="8317"/>
      <c r="AK422" s="8319"/>
      <c r="AL422" s="403"/>
      <c r="AN422" s="1064" cm="1" t="str">
        <f t="array" ref="AN422:AN422">K422</f>
        <v>2053</v>
      </c>
      <c r="AO422" s="1064" t="s">
        <v>2977</v>
      </c>
      <c r="AP422" s="1074" cm="1" t="str">
        <f t="array" ref="AP422:AP422">AP421</f>
        <v>0</v>
      </c>
      <c r="AQ422" s="703"/>
      <c r="AR422" s="703"/>
    </row>
    <row s="8264" customFormat="1" customHeight="1" ht="14.25" hidden="1">
      <c r="B423" s="445">
        <f>K423&lt;first_year+PERIOD_LENGTH</f>
        <v>0</v>
      </c>
      <c r="E423" s="703">
        <v>15</v>
      </c>
      <c r="F423" s="50" cm="1" t="str">
        <f t="array" ref="F423:F423">OFFSET(E423,-1,1)</f>
        <v>4</v>
      </c>
      <c r="G423" s="98" cm="1" t="str">
        <f t="array" ref="G423:G423">G422</f>
        <v>0</v>
      </c>
      <c r="K423" s="158">
        <f>first_year+28</f>
        <v>2054</v>
      </c>
      <c r="T423" s="465" cm="1" t="str">
        <f t="array" ref="T423:T423">T422</f>
        <v>false</v>
      </c>
      <c r="AB423" s="255" t="str">
        <f>K423&amp;" год"</f>
        <v>2054 год</v>
      </c>
      <c r="AC423" s="408"/>
      <c r="AD423" s="8318"/>
      <c r="AE423" s="8317"/>
      <c r="AF423" s="8317"/>
      <c r="AG423" s="8318"/>
      <c r="AH423" s="8317"/>
      <c r="AI423" s="8318"/>
      <c r="AJ423" s="8317"/>
      <c r="AK423" s="8319"/>
      <c r="AL423" s="403"/>
      <c r="AN423" s="1064" cm="1" t="str">
        <f t="array" ref="AN423:AN423">K423</f>
        <v>2054</v>
      </c>
      <c r="AO423" s="1064" t="s">
        <v>2977</v>
      </c>
      <c r="AP423" s="1074" cm="1" t="str">
        <f t="array" ref="AP423:AP423">AP422</f>
        <v>0</v>
      </c>
      <c r="AQ423" s="703"/>
      <c r="AR423" s="703"/>
    </row>
    <row s="8264" customFormat="1" customHeight="1" ht="14.25" hidden="1">
      <c r="B424" s="445">
        <f>K424&lt;first_year+PERIOD_LENGTH</f>
        <v>0</v>
      </c>
      <c r="E424" s="703">
        <v>15</v>
      </c>
      <c r="F424" s="50" cm="1" t="str">
        <f t="array" ref="F424:F424">OFFSET(E424,-1,1)</f>
        <v>4</v>
      </c>
      <c r="G424" s="98" cm="1" t="str">
        <f t="array" ref="G424:G424">G423</f>
        <v>0</v>
      </c>
      <c r="K424" s="158">
        <f>first_year+29</f>
        <v>2055</v>
      </c>
      <c r="T424" s="465" cm="1" t="str">
        <f t="array" ref="T424:T424">T423</f>
        <v>false</v>
      </c>
      <c r="AB424" s="255" t="str">
        <f>K424&amp;" год"</f>
        <v>2055 год</v>
      </c>
      <c r="AC424" s="408"/>
      <c r="AD424" s="8318"/>
      <c r="AE424" s="8317"/>
      <c r="AF424" s="8317"/>
      <c r="AG424" s="8318"/>
      <c r="AH424" s="8317"/>
      <c r="AI424" s="8318"/>
      <c r="AJ424" s="8317"/>
      <c r="AK424" s="8319"/>
      <c r="AL424" s="403"/>
      <c r="AN424" s="1064" cm="1" t="str">
        <f t="array" ref="AN424:AN424">K424</f>
        <v>2055</v>
      </c>
      <c r="AO424" s="1064" t="s">
        <v>2977</v>
      </c>
      <c r="AP424" s="1074" cm="1" t="str">
        <f t="array" ref="AP424:AP424">AP423</f>
        <v>0</v>
      </c>
      <c r="AQ424" s="703"/>
      <c r="AR424" s="703"/>
    </row>
    <row s="8264" customFormat="1" customHeight="1" ht="14.25" hidden="1">
      <c r="B425" s="445">
        <f>K425&lt;first_year+PERIOD_LENGTH</f>
        <v>0</v>
      </c>
      <c r="E425" s="703">
        <v>15</v>
      </c>
      <c r="F425" s="50" cm="1" t="str">
        <f t="array" ref="F425:F425">OFFSET(E425,-1,1)</f>
        <v>4</v>
      </c>
      <c r="G425" s="98" cm="1" t="str">
        <f t="array" ref="G425:G425">G424</f>
        <v>0</v>
      </c>
      <c r="K425" s="158">
        <f>first_year+30</f>
        <v>2056</v>
      </c>
      <c r="T425" s="465" cm="1" t="str">
        <f t="array" ref="T425:T425">T424</f>
        <v>false</v>
      </c>
      <c r="AB425" s="255" t="str">
        <f>K425&amp;" год"</f>
        <v>2056 год</v>
      </c>
      <c r="AC425" s="408"/>
      <c r="AD425" s="8318"/>
      <c r="AE425" s="8317"/>
      <c r="AF425" s="8317"/>
      <c r="AG425" s="8318"/>
      <c r="AH425" s="8317"/>
      <c r="AI425" s="8318"/>
      <c r="AJ425" s="8317"/>
      <c r="AK425" s="8319"/>
      <c r="AL425" s="403"/>
      <c r="AN425" s="1064" cm="1" t="str">
        <f t="array" ref="AN425:AN425">K425</f>
        <v>2056</v>
      </c>
      <c r="AO425" s="1064" t="s">
        <v>2977</v>
      </c>
      <c r="AP425" s="1074" cm="1" t="str">
        <f t="array" ref="AP425:AP425">AP424</f>
        <v>0</v>
      </c>
      <c r="AQ425" s="703"/>
      <c r="AR425" s="703"/>
    </row>
    <row s="8264" customFormat="1" customHeight="1" ht="14.25" hidden="1">
      <c r="B426" s="445">
        <f>K426&lt;first_year+PERIOD_LENGTH</f>
        <v>0</v>
      </c>
      <c r="E426" s="703">
        <v>15</v>
      </c>
      <c r="F426" s="50" cm="1" t="str">
        <f t="array" ref="F426:F426">OFFSET(E426,-1,1)</f>
        <v>4</v>
      </c>
      <c r="G426" s="98" cm="1" t="str">
        <f t="array" ref="G426:G426">G425</f>
        <v>0</v>
      </c>
      <c r="K426" s="158">
        <f>first_year+31</f>
        <v>2057</v>
      </c>
      <c r="T426" s="465" cm="1" t="str">
        <f t="array" ref="T426:T426">T425</f>
        <v>false</v>
      </c>
      <c r="AB426" s="255" t="str">
        <f>K426&amp;" год"</f>
        <v>2057 год</v>
      </c>
      <c r="AC426" s="408"/>
      <c r="AD426" s="8318"/>
      <c r="AE426" s="8317"/>
      <c r="AF426" s="8317"/>
      <c r="AG426" s="8318"/>
      <c r="AH426" s="8317"/>
      <c r="AI426" s="8318"/>
      <c r="AJ426" s="8317"/>
      <c r="AK426" s="8319"/>
      <c r="AL426" s="403"/>
      <c r="AN426" s="1064" cm="1" t="str">
        <f t="array" ref="AN426:AN426">K426</f>
        <v>2057</v>
      </c>
      <c r="AO426" s="1064" t="s">
        <v>2977</v>
      </c>
      <c r="AP426" s="1074" cm="1" t="str">
        <f t="array" ref="AP426:AP426">AP425</f>
        <v>0</v>
      </c>
      <c r="AQ426" s="703"/>
      <c r="AR426" s="703"/>
    </row>
    <row s="8264" customFormat="1" customHeight="1" ht="14.25" hidden="1">
      <c r="B427" s="445">
        <f>K427&lt;first_year+PERIOD_LENGTH</f>
        <v>0</v>
      </c>
      <c r="E427" s="703">
        <v>15</v>
      </c>
      <c r="F427" s="50" cm="1" t="str">
        <f t="array" ref="F427:F427">OFFSET(E427,-1,1)</f>
        <v>4</v>
      </c>
      <c r="G427" s="98" cm="1" t="str">
        <f t="array" ref="G427:G427">G426</f>
        <v>0</v>
      </c>
      <c r="K427" s="158">
        <f>first_year+32</f>
        <v>2058</v>
      </c>
      <c r="T427" s="465" cm="1" t="str">
        <f t="array" ref="T427:T427">T426</f>
        <v>false</v>
      </c>
      <c r="AB427" s="255" t="str">
        <f>K427&amp;" год"</f>
        <v>2058 год</v>
      </c>
      <c r="AC427" s="408"/>
      <c r="AD427" s="8318"/>
      <c r="AE427" s="8317"/>
      <c r="AF427" s="8317"/>
      <c r="AG427" s="8318"/>
      <c r="AH427" s="8317"/>
      <c r="AI427" s="8318"/>
      <c r="AJ427" s="8317"/>
      <c r="AK427" s="8319"/>
      <c r="AL427" s="403"/>
      <c r="AN427" s="1064" cm="1" t="str">
        <f t="array" ref="AN427:AN427">K427</f>
        <v>2058</v>
      </c>
      <c r="AO427" s="1064" t="s">
        <v>2977</v>
      </c>
      <c r="AP427" s="1074" cm="1" t="str">
        <f t="array" ref="AP427:AP427">AP426</f>
        <v>0</v>
      </c>
      <c r="AQ427" s="703"/>
      <c r="AR427" s="703"/>
    </row>
    <row s="8264" customFormat="1" customHeight="1" ht="14.25" hidden="1">
      <c r="B428" s="445">
        <f>K428&lt;first_year+PERIOD_LENGTH</f>
        <v>0</v>
      </c>
      <c r="E428" s="703">
        <v>15</v>
      </c>
      <c r="F428" s="50" cm="1" t="str">
        <f t="array" ref="F428:F428">OFFSET(E428,-1,1)</f>
        <v>4</v>
      </c>
      <c r="G428" s="98" cm="1" t="str">
        <f t="array" ref="G428:G428">G427</f>
        <v>0</v>
      </c>
      <c r="K428" s="158">
        <f>first_year+33</f>
        <v>2059</v>
      </c>
      <c r="T428" s="465" cm="1" t="str">
        <f t="array" ref="T428:T428">T427</f>
        <v>false</v>
      </c>
      <c r="AB428" s="255" t="str">
        <f>K428&amp;" год"</f>
        <v>2059 год</v>
      </c>
      <c r="AC428" s="408"/>
      <c r="AD428" s="8318"/>
      <c r="AE428" s="8317"/>
      <c r="AF428" s="8317"/>
      <c r="AG428" s="8318"/>
      <c r="AH428" s="8317"/>
      <c r="AI428" s="8318"/>
      <c r="AJ428" s="8317"/>
      <c r="AK428" s="8319"/>
      <c r="AL428" s="403"/>
      <c r="AN428" s="1064" cm="1" t="str">
        <f t="array" ref="AN428:AN428">K428</f>
        <v>2059</v>
      </c>
      <c r="AO428" s="1064" t="s">
        <v>2977</v>
      </c>
      <c r="AP428" s="1074" cm="1" t="str">
        <f t="array" ref="AP428:AP428">AP427</f>
        <v>0</v>
      </c>
      <c r="AQ428" s="703"/>
      <c r="AR428" s="703"/>
    </row>
    <row s="8264" customFormat="1" customHeight="1" ht="14.25" hidden="1">
      <c r="B429" s="445">
        <f>K429&lt;first_year+PERIOD_LENGTH</f>
        <v>0</v>
      </c>
      <c r="E429" s="703">
        <v>15</v>
      </c>
      <c r="F429" s="50" cm="1" t="str">
        <f t="array" ref="F429:F429">OFFSET(E429,-1,1)</f>
        <v>4</v>
      </c>
      <c r="G429" s="98" cm="1" t="str">
        <f t="array" ref="G429:G429">G428</f>
        <v>0</v>
      </c>
      <c r="K429" s="158">
        <f>first_year+34</f>
        <v>2060</v>
      </c>
      <c r="T429" s="465" cm="1" t="str">
        <f t="array" ref="T429:T429">T428</f>
        <v>false</v>
      </c>
      <c r="AB429" s="255" t="str">
        <f>K429&amp;" год"</f>
        <v>2060 год</v>
      </c>
      <c r="AC429" s="408"/>
      <c r="AD429" s="8318"/>
      <c r="AE429" s="8317"/>
      <c r="AF429" s="8317"/>
      <c r="AG429" s="8318"/>
      <c r="AH429" s="8317"/>
      <c r="AI429" s="8318"/>
      <c r="AJ429" s="8317"/>
      <c r="AK429" s="8319"/>
      <c r="AL429" s="403"/>
      <c r="AN429" s="1064" cm="1" t="str">
        <f t="array" ref="AN429:AN429">K429</f>
        <v>2060</v>
      </c>
      <c r="AO429" s="1064" t="s">
        <v>2977</v>
      </c>
      <c r="AP429" s="1074" cm="1" t="str">
        <f t="array" ref="AP429:AP429">AP428</f>
        <v>0</v>
      </c>
      <c r="AQ429" s="703"/>
      <c r="AR429" s="703"/>
    </row>
    <row s="8264" customFormat="1" customHeight="1" ht="14.25" hidden="1">
      <c r="B430" s="445">
        <f>K430&lt;first_year+PERIOD_LENGTH</f>
        <v>0</v>
      </c>
      <c r="E430" s="703">
        <v>15</v>
      </c>
      <c r="F430" s="50" cm="1" t="str">
        <f t="array" ref="F430:F430">OFFSET(E430,-1,1)</f>
        <v>4</v>
      </c>
      <c r="G430" s="98" cm="1" t="str">
        <f t="array" ref="G430:G430">G429</f>
        <v>0</v>
      </c>
      <c r="K430" s="158">
        <f>first_year+35</f>
        <v>2061</v>
      </c>
      <c r="T430" s="465" cm="1" t="str">
        <f t="array" ref="T430:T430">T429</f>
        <v>false</v>
      </c>
      <c r="AB430" s="255" t="str">
        <f>K430&amp;" год"</f>
        <v>2061 год</v>
      </c>
      <c r="AC430" s="408"/>
      <c r="AD430" s="8318"/>
      <c r="AE430" s="8317"/>
      <c r="AF430" s="8317"/>
      <c r="AG430" s="8318"/>
      <c r="AH430" s="8317"/>
      <c r="AI430" s="8318"/>
      <c r="AJ430" s="8317"/>
      <c r="AK430" s="8319"/>
      <c r="AL430" s="403"/>
      <c r="AN430" s="1064" cm="1" t="str">
        <f t="array" ref="AN430:AN430">K430</f>
        <v>2061</v>
      </c>
      <c r="AO430" s="1064" t="s">
        <v>2977</v>
      </c>
      <c r="AP430" s="1074" cm="1" t="str">
        <f t="array" ref="AP430:AP430">AP429</f>
        <v>0</v>
      </c>
      <c r="AQ430" s="703"/>
      <c r="AR430" s="703"/>
    </row>
    <row s="8264" customFormat="1" customHeight="1" ht="14.25" hidden="1">
      <c r="B431" s="445">
        <f>K431&lt;first_year+PERIOD_LENGTH</f>
        <v>0</v>
      </c>
      <c r="E431" s="703">
        <v>15</v>
      </c>
      <c r="F431" s="50" cm="1" t="str">
        <f t="array" ref="F431:F431">OFFSET(E431,-1,1)</f>
        <v>4</v>
      </c>
      <c r="G431" s="98" cm="1" t="str">
        <f t="array" ref="G431:G431">G430</f>
        <v>0</v>
      </c>
      <c r="K431" s="158">
        <f>first_year+36</f>
        <v>2062</v>
      </c>
      <c r="T431" s="465" cm="1" t="str">
        <f t="array" ref="T431:T431">T430</f>
        <v>false</v>
      </c>
      <c r="AB431" s="255" t="str">
        <f>K431&amp;" год"</f>
        <v>2062 год</v>
      </c>
      <c r="AC431" s="408"/>
      <c r="AD431" s="8318"/>
      <c r="AE431" s="8317"/>
      <c r="AF431" s="8317"/>
      <c r="AG431" s="8318"/>
      <c r="AH431" s="8317"/>
      <c r="AI431" s="8318"/>
      <c r="AJ431" s="8317"/>
      <c r="AK431" s="8319"/>
      <c r="AL431" s="403"/>
      <c r="AN431" s="1064" cm="1" t="str">
        <f t="array" ref="AN431:AN431">K431</f>
        <v>2062</v>
      </c>
      <c r="AO431" s="1064" t="s">
        <v>2977</v>
      </c>
      <c r="AP431" s="1074" cm="1" t="str">
        <f t="array" ref="AP431:AP431">AP430</f>
        <v>0</v>
      </c>
      <c r="AQ431" s="703"/>
      <c r="AR431" s="703"/>
    </row>
    <row s="8264" customFormat="1" customHeight="1" ht="14.25" hidden="1">
      <c r="B432" s="445">
        <f>K432&lt;first_year+PERIOD_LENGTH</f>
        <v>0</v>
      </c>
      <c r="E432" s="703">
        <v>15</v>
      </c>
      <c r="F432" s="50" cm="1" t="str">
        <f t="array" ref="F432:F432">OFFSET(E432,-1,1)</f>
        <v>4</v>
      </c>
      <c r="G432" s="98" cm="1" t="str">
        <f t="array" ref="G432:G432">G431</f>
        <v>0</v>
      </c>
      <c r="K432" s="158">
        <f>first_year+37</f>
        <v>2063</v>
      </c>
      <c r="T432" s="465" cm="1" t="str">
        <f t="array" ref="T432:T432">T431</f>
        <v>false</v>
      </c>
      <c r="AB432" s="255" t="str">
        <f>K432&amp;" год"</f>
        <v>2063 год</v>
      </c>
      <c r="AC432" s="408"/>
      <c r="AD432" s="8318"/>
      <c r="AE432" s="8317"/>
      <c r="AF432" s="8317"/>
      <c r="AG432" s="8318"/>
      <c r="AH432" s="8317"/>
      <c r="AI432" s="8318"/>
      <c r="AJ432" s="8317"/>
      <c r="AK432" s="8319"/>
      <c r="AL432" s="403"/>
      <c r="AN432" s="1064" cm="1" t="str">
        <f t="array" ref="AN432:AN432">K432</f>
        <v>2063</v>
      </c>
      <c r="AO432" s="1064" t="s">
        <v>2977</v>
      </c>
      <c r="AP432" s="1074" cm="1" t="str">
        <f t="array" ref="AP432:AP432">AP431</f>
        <v>0</v>
      </c>
      <c r="AQ432" s="703"/>
      <c r="AR432" s="703"/>
    </row>
    <row s="8264" customFormat="1" customHeight="1" ht="14.25" hidden="1">
      <c r="B433" s="445">
        <f>K433&lt;first_year+PERIOD_LENGTH</f>
        <v>0</v>
      </c>
      <c r="E433" s="703">
        <v>15</v>
      </c>
      <c r="F433" s="50" cm="1" t="str">
        <f t="array" ref="F433:F433">OFFSET(E433,-1,1)</f>
        <v>4</v>
      </c>
      <c r="G433" s="98" cm="1" t="str">
        <f t="array" ref="G433:G433">G432</f>
        <v>0</v>
      </c>
      <c r="K433" s="158">
        <f>first_year+38</f>
        <v>2064</v>
      </c>
      <c r="T433" s="465" cm="1" t="str">
        <f t="array" ref="T433:T433">T432</f>
        <v>false</v>
      </c>
      <c r="AB433" s="255" t="str">
        <f>K433&amp;" год"</f>
        <v>2064 год</v>
      </c>
      <c r="AC433" s="408"/>
      <c r="AD433" s="8318"/>
      <c r="AE433" s="8317"/>
      <c r="AF433" s="8317"/>
      <c r="AG433" s="8318"/>
      <c r="AH433" s="8317"/>
      <c r="AI433" s="8318"/>
      <c r="AJ433" s="8317"/>
      <c r="AK433" s="8319"/>
      <c r="AL433" s="403"/>
      <c r="AN433" s="1064" cm="1" t="str">
        <f t="array" ref="AN433:AN433">K433</f>
        <v>2064</v>
      </c>
      <c r="AO433" s="1064" t="s">
        <v>2977</v>
      </c>
      <c r="AP433" s="1074" cm="1" t="str">
        <f t="array" ref="AP433:AP433">AP432</f>
        <v>0</v>
      </c>
      <c r="AQ433" s="703"/>
      <c r="AR433" s="703"/>
    </row>
    <row s="8264" customFormat="1" customHeight="1" ht="14.25" hidden="1">
      <c r="B434" s="445">
        <f>K434&lt;first_year+PERIOD_LENGTH</f>
        <v>0</v>
      </c>
      <c r="E434" s="703">
        <v>15</v>
      </c>
      <c r="F434" s="50" cm="1" t="str">
        <f t="array" ref="F434:F434">OFFSET(E434,-1,1)</f>
        <v>4</v>
      </c>
      <c r="G434" s="98" cm="1" t="str">
        <f t="array" ref="G434:G434">G433</f>
        <v>0</v>
      </c>
      <c r="K434" s="158">
        <f>first_year+39</f>
        <v>2065</v>
      </c>
      <c r="T434" s="465" cm="1" t="str">
        <f t="array" ref="T434:T434">T433</f>
        <v>false</v>
      </c>
      <c r="AB434" s="255" t="str">
        <f>K434&amp;" год"</f>
        <v>2065 год</v>
      </c>
      <c r="AC434" s="408"/>
      <c r="AD434" s="8318"/>
      <c r="AE434" s="8317"/>
      <c r="AF434" s="8317"/>
      <c r="AG434" s="8318"/>
      <c r="AH434" s="8317"/>
      <c r="AI434" s="8318"/>
      <c r="AJ434" s="8317"/>
      <c r="AK434" s="8319"/>
      <c r="AL434" s="403"/>
      <c r="AN434" s="1064" cm="1" t="str">
        <f t="array" ref="AN434:AN434">K434</f>
        <v>2065</v>
      </c>
      <c r="AO434" s="1064" t="s">
        <v>2977</v>
      </c>
      <c r="AP434" s="1074" cm="1" t="str">
        <f t="array" ref="AP434:AP434">AP433</f>
        <v>0</v>
      </c>
      <c r="AQ434" s="703"/>
      <c r="AR434" s="703"/>
    </row>
    <row s="8264" customFormat="1" customHeight="1" ht="14.25" hidden="1">
      <c r="B435" s="445">
        <f>K435&lt;first_year+PERIOD_LENGTH</f>
        <v>0</v>
      </c>
      <c r="E435" s="703">
        <v>15</v>
      </c>
      <c r="F435" s="50" cm="1" t="str">
        <f t="array" ref="F435:F435">OFFSET(E435,-1,1)</f>
        <v>4</v>
      </c>
      <c r="G435" s="98" cm="1" t="str">
        <f t="array" ref="G435:G435">G434</f>
        <v>0</v>
      </c>
      <c r="K435" s="158">
        <f>first_year+40</f>
        <v>2066</v>
      </c>
      <c r="T435" s="465" cm="1" t="str">
        <f t="array" ref="T435:T435">T434</f>
        <v>false</v>
      </c>
      <c r="AB435" s="255" t="str">
        <f>K435&amp;" год"</f>
        <v>2066 год</v>
      </c>
      <c r="AC435" s="408"/>
      <c r="AD435" s="8318"/>
      <c r="AE435" s="8317"/>
      <c r="AF435" s="8317"/>
      <c r="AG435" s="8318"/>
      <c r="AH435" s="8317"/>
      <c r="AI435" s="8318"/>
      <c r="AJ435" s="8317"/>
      <c r="AK435" s="8319"/>
      <c r="AL435" s="403"/>
      <c r="AN435" s="1064" cm="1" t="str">
        <f t="array" ref="AN435:AN435">K435</f>
        <v>2066</v>
      </c>
      <c r="AO435" s="1064" t="s">
        <v>2977</v>
      </c>
      <c r="AP435" s="1074" cm="1" t="str">
        <f t="array" ref="AP435:AP435">AP434</f>
        <v>0</v>
      </c>
      <c r="AQ435" s="703"/>
      <c r="AR435" s="703"/>
    </row>
    <row s="8264" customFormat="1" customHeight="1" ht="14.25" hidden="1">
      <c r="B436" s="445">
        <f>K436&lt;first_year+PERIOD_LENGTH</f>
        <v>0</v>
      </c>
      <c r="E436" s="703">
        <v>15</v>
      </c>
      <c r="F436" s="50" cm="1" t="str">
        <f t="array" ref="F436:F436">OFFSET(E436,-1,1)</f>
        <v>4</v>
      </c>
      <c r="G436" s="98" cm="1" t="str">
        <f t="array" ref="G436:G436">G435</f>
        <v>0</v>
      </c>
      <c r="K436" s="158">
        <f>first_year+41</f>
        <v>2067</v>
      </c>
      <c r="T436" s="465" cm="1" t="str">
        <f t="array" ref="T436:T436">T435</f>
        <v>false</v>
      </c>
      <c r="AB436" s="255" t="str">
        <f>K436&amp;" год"</f>
        <v>2067 год</v>
      </c>
      <c r="AC436" s="408"/>
      <c r="AD436" s="8318"/>
      <c r="AE436" s="8317"/>
      <c r="AF436" s="8317"/>
      <c r="AG436" s="8318"/>
      <c r="AH436" s="8317"/>
      <c r="AI436" s="8318"/>
      <c r="AJ436" s="8317"/>
      <c r="AK436" s="8319"/>
      <c r="AL436" s="403"/>
      <c r="AN436" s="1064" cm="1" t="str">
        <f t="array" ref="AN436:AN436">K436</f>
        <v>2067</v>
      </c>
      <c r="AO436" s="1064" t="s">
        <v>2977</v>
      </c>
      <c r="AP436" s="1074" cm="1" t="str">
        <f t="array" ref="AP436:AP436">AP435</f>
        <v>0</v>
      </c>
      <c r="AQ436" s="703"/>
      <c r="AR436" s="703"/>
    </row>
    <row s="8264" customFormat="1" customHeight="1" ht="14.25" hidden="1">
      <c r="B437" s="445">
        <f>K437&lt;first_year+PERIOD_LENGTH</f>
        <v>0</v>
      </c>
      <c r="E437" s="703">
        <v>15</v>
      </c>
      <c r="F437" s="50" cm="1" t="str">
        <f t="array" ref="F437:F437">OFFSET(E437,-1,1)</f>
        <v>4</v>
      </c>
      <c r="G437" s="98" cm="1" t="str">
        <f t="array" ref="G437:G437">G436</f>
        <v>0</v>
      </c>
      <c r="K437" s="158">
        <f>first_year+42</f>
        <v>2068</v>
      </c>
      <c r="T437" s="465" cm="1" t="str">
        <f t="array" ref="T437:T437">T436</f>
        <v>false</v>
      </c>
      <c r="AB437" s="255" t="str">
        <f>K437&amp;" год"</f>
        <v>2068 год</v>
      </c>
      <c r="AC437" s="408"/>
      <c r="AD437" s="8318"/>
      <c r="AE437" s="8317"/>
      <c r="AF437" s="8317"/>
      <c r="AG437" s="8318"/>
      <c r="AH437" s="8317"/>
      <c r="AI437" s="8318"/>
      <c r="AJ437" s="8317"/>
      <c r="AK437" s="8319"/>
      <c r="AL437" s="403"/>
      <c r="AN437" s="1064" cm="1" t="str">
        <f t="array" ref="AN437:AN437">K437</f>
        <v>2068</v>
      </c>
      <c r="AO437" s="1064" t="s">
        <v>2977</v>
      </c>
      <c r="AP437" s="1074" cm="1" t="str">
        <f t="array" ref="AP437:AP437">AP436</f>
        <v>0</v>
      </c>
      <c r="AQ437" s="703"/>
      <c r="AR437" s="703"/>
    </row>
    <row s="8264" customFormat="1" customHeight="1" ht="14.25" hidden="1">
      <c r="B438" s="445">
        <f>K438&lt;first_year+PERIOD_LENGTH</f>
        <v>0</v>
      </c>
      <c r="E438" s="703">
        <v>15</v>
      </c>
      <c r="F438" s="50" cm="1" t="str">
        <f t="array" ref="F438:F438">OFFSET(E438,-1,1)</f>
        <v>4</v>
      </c>
      <c r="G438" s="98" cm="1" t="str">
        <f t="array" ref="G438:G438">G437</f>
        <v>0</v>
      </c>
      <c r="K438" s="158">
        <f>first_year+43</f>
        <v>2069</v>
      </c>
      <c r="T438" s="465" cm="1" t="str">
        <f t="array" ref="T438:T438">T437</f>
        <v>false</v>
      </c>
      <c r="AB438" s="255" t="str">
        <f>K438&amp;" год"</f>
        <v>2069 год</v>
      </c>
      <c r="AC438" s="408"/>
      <c r="AD438" s="8318"/>
      <c r="AE438" s="8317"/>
      <c r="AF438" s="8317"/>
      <c r="AG438" s="8318"/>
      <c r="AH438" s="8317"/>
      <c r="AI438" s="8318"/>
      <c r="AJ438" s="8317"/>
      <c r="AK438" s="8319"/>
      <c r="AL438" s="403"/>
      <c r="AN438" s="1064" cm="1" t="str">
        <f t="array" ref="AN438:AN438">K438</f>
        <v>2069</v>
      </c>
      <c r="AO438" s="1064" t="s">
        <v>2977</v>
      </c>
      <c r="AP438" s="1074" cm="1" t="str">
        <f t="array" ref="AP438:AP438">AP437</f>
        <v>0</v>
      </c>
      <c r="AQ438" s="703"/>
      <c r="AR438" s="703"/>
    </row>
    <row s="8264" customFormat="1" customHeight="1" ht="14.25" hidden="1">
      <c r="B439" s="445">
        <f>K439&lt;first_year+PERIOD_LENGTH</f>
        <v>0</v>
      </c>
      <c r="E439" s="703">
        <v>15</v>
      </c>
      <c r="F439" s="50" cm="1" t="str">
        <f t="array" ref="F439:F439">OFFSET(E439,-1,1)</f>
        <v>4</v>
      </c>
      <c r="G439" s="98" cm="1" t="str">
        <f t="array" ref="G439:G439">G438</f>
        <v>0</v>
      </c>
      <c r="K439" s="158">
        <f>first_year+44</f>
        <v>2070</v>
      </c>
      <c r="T439" s="465" cm="1" t="str">
        <f t="array" ref="T439:T439">T438</f>
        <v>false</v>
      </c>
      <c r="AB439" s="255" t="str">
        <f>K439&amp;" год"</f>
        <v>2070 год</v>
      </c>
      <c r="AC439" s="408"/>
      <c r="AD439" s="8318"/>
      <c r="AE439" s="8317"/>
      <c r="AF439" s="8317"/>
      <c r="AG439" s="8318"/>
      <c r="AH439" s="8317"/>
      <c r="AI439" s="8318"/>
      <c r="AJ439" s="8317"/>
      <c r="AK439" s="8319"/>
      <c r="AL439" s="403"/>
      <c r="AN439" s="1064" cm="1" t="str">
        <f t="array" ref="AN439:AN439">K439</f>
        <v>2070</v>
      </c>
      <c r="AO439" s="1064" t="s">
        <v>2977</v>
      </c>
      <c r="AP439" s="1074" cm="1" t="str">
        <f t="array" ref="AP439:AP439">AP438</f>
        <v>0</v>
      </c>
      <c r="AQ439" s="703"/>
      <c r="AR439" s="703"/>
    </row>
    <row s="8264" customFormat="1" customHeight="1" ht="14.25" hidden="1">
      <c r="B440" s="445">
        <f>K440&lt;first_year+PERIOD_LENGTH</f>
        <v>0</v>
      </c>
      <c r="E440" s="703">
        <v>15</v>
      </c>
      <c r="F440" s="50" cm="1" t="str">
        <f t="array" ref="F440:F440">OFFSET(E440,-1,1)</f>
        <v>4</v>
      </c>
      <c r="G440" s="98" cm="1" t="str">
        <f t="array" ref="G440:G440">G439</f>
        <v>0</v>
      </c>
      <c r="K440" s="158">
        <f>first_year+45</f>
        <v>2071</v>
      </c>
      <c r="T440" s="465" cm="1" t="str">
        <f t="array" ref="T440:T440">T439</f>
        <v>false</v>
      </c>
      <c r="AB440" s="255" t="str">
        <f>K440&amp;" год"</f>
        <v>2071 год</v>
      </c>
      <c r="AC440" s="408"/>
      <c r="AD440" s="8318"/>
      <c r="AE440" s="8317"/>
      <c r="AF440" s="8317"/>
      <c r="AG440" s="8318"/>
      <c r="AH440" s="8317"/>
      <c r="AI440" s="8318"/>
      <c r="AJ440" s="8317"/>
      <c r="AK440" s="8319"/>
      <c r="AL440" s="403"/>
      <c r="AN440" s="1064" cm="1" t="str">
        <f t="array" ref="AN440:AN440">K440</f>
        <v>2071</v>
      </c>
      <c r="AO440" s="1064" t="s">
        <v>2977</v>
      </c>
      <c r="AP440" s="1074" cm="1" t="str">
        <f t="array" ref="AP440:AP440">AP439</f>
        <v>0</v>
      </c>
      <c r="AQ440" s="703"/>
      <c r="AR440" s="703"/>
    </row>
    <row s="8264" customFormat="1" customHeight="1" ht="14.25" hidden="1">
      <c r="B441" s="445">
        <f>K441&lt;first_year+PERIOD_LENGTH</f>
        <v>0</v>
      </c>
      <c r="E441" s="703">
        <v>15</v>
      </c>
      <c r="F441" s="50" cm="1" t="str">
        <f t="array" ref="F441:F441">OFFSET(E441,-1,1)</f>
        <v>4</v>
      </c>
      <c r="G441" s="98" cm="1" t="str">
        <f t="array" ref="G441:G441">G440</f>
        <v>0</v>
      </c>
      <c r="K441" s="158">
        <f>first_year+46</f>
        <v>2072</v>
      </c>
      <c r="T441" s="465" cm="1" t="str">
        <f t="array" ref="T441:T441">T440</f>
        <v>false</v>
      </c>
      <c r="AB441" s="255" t="str">
        <f>K441&amp;" год"</f>
        <v>2072 год</v>
      </c>
      <c r="AC441" s="408"/>
      <c r="AD441" s="8318"/>
      <c r="AE441" s="8317"/>
      <c r="AF441" s="8317"/>
      <c r="AG441" s="8318"/>
      <c r="AH441" s="8317"/>
      <c r="AI441" s="8318"/>
      <c r="AJ441" s="8317"/>
      <c r="AK441" s="8319"/>
      <c r="AL441" s="403"/>
      <c r="AN441" s="1064" cm="1" t="str">
        <f t="array" ref="AN441:AN441">K441</f>
        <v>2072</v>
      </c>
      <c r="AO441" s="1064" t="s">
        <v>2977</v>
      </c>
      <c r="AP441" s="1074" cm="1" t="str">
        <f t="array" ref="AP441:AP441">AP440</f>
        <v>0</v>
      </c>
      <c r="AQ441" s="703"/>
      <c r="AR441" s="703"/>
    </row>
    <row s="8264" customFormat="1" customHeight="1" ht="14.25" hidden="1">
      <c r="B442" s="445">
        <f>K442&lt;first_year+PERIOD_LENGTH</f>
        <v>0</v>
      </c>
      <c r="E442" s="703">
        <v>15</v>
      </c>
      <c r="F442" s="50" cm="1" t="str">
        <f t="array" ref="F442:F442">OFFSET(E442,-1,1)</f>
        <v>4</v>
      </c>
      <c r="G442" s="98" cm="1" t="str">
        <f t="array" ref="G442:G442">G441</f>
        <v>0</v>
      </c>
      <c r="K442" s="158">
        <f>first_year+47</f>
        <v>2073</v>
      </c>
      <c r="T442" s="465" cm="1" t="str">
        <f t="array" ref="T442:T442">T441</f>
        <v>false</v>
      </c>
      <c r="AB442" s="255" t="str">
        <f>K442&amp;" год"</f>
        <v>2073 год</v>
      </c>
      <c r="AC442" s="408"/>
      <c r="AD442" s="8318"/>
      <c r="AE442" s="8317"/>
      <c r="AF442" s="8317"/>
      <c r="AG442" s="8318"/>
      <c r="AH442" s="8317"/>
      <c r="AI442" s="8318"/>
      <c r="AJ442" s="8317"/>
      <c r="AK442" s="8319"/>
      <c r="AL442" s="403"/>
      <c r="AN442" s="1064" cm="1" t="str">
        <f t="array" ref="AN442:AN442">K442</f>
        <v>2073</v>
      </c>
      <c r="AO442" s="1064" t="s">
        <v>2977</v>
      </c>
      <c r="AP442" s="1074" cm="1" t="str">
        <f t="array" ref="AP442:AP442">AP441</f>
        <v>0</v>
      </c>
      <c r="AQ442" s="703"/>
      <c r="AR442" s="703"/>
    </row>
    <row s="8264" customFormat="1" customHeight="1" ht="14.25" hidden="1">
      <c r="B443" s="445">
        <f>K443&lt;first_year+PERIOD_LENGTH</f>
        <v>0</v>
      </c>
      <c r="E443" s="703">
        <v>15</v>
      </c>
      <c r="F443" s="50" cm="1" t="str">
        <f t="array" ref="F443:F443">OFFSET(E443,-1,1)</f>
        <v>4</v>
      </c>
      <c r="G443" s="98" cm="1" t="str">
        <f t="array" ref="G443:G443">G442</f>
        <v>0</v>
      </c>
      <c r="K443" s="158">
        <f>first_year+48</f>
        <v>2074</v>
      </c>
      <c r="T443" s="465" cm="1" t="str">
        <f t="array" ref="T443:T443">T442</f>
        <v>false</v>
      </c>
      <c r="AB443" s="255" t="str">
        <f>K443&amp;" год"</f>
        <v>2074 год</v>
      </c>
      <c r="AC443" s="408"/>
      <c r="AD443" s="8318"/>
      <c r="AE443" s="8317"/>
      <c r="AF443" s="8317"/>
      <c r="AG443" s="8318"/>
      <c r="AH443" s="8317"/>
      <c r="AI443" s="8318"/>
      <c r="AJ443" s="8317"/>
      <c r="AK443" s="8319"/>
      <c r="AL443" s="403"/>
      <c r="AN443" s="1064" cm="1" t="str">
        <f t="array" ref="AN443:AN443">K443</f>
        <v>2074</v>
      </c>
      <c r="AO443" s="1064" t="s">
        <v>2977</v>
      </c>
      <c r="AP443" s="1074" cm="1" t="str">
        <f t="array" ref="AP443:AP443">AP442</f>
        <v>0</v>
      </c>
      <c r="AQ443" s="703"/>
      <c r="AR443" s="703"/>
    </row>
    <row s="8264" customFormat="1" customHeight="1" ht="14.25" hidden="1">
      <c r="B444" s="445">
        <f>K444&lt;first_year+PERIOD_LENGTH</f>
        <v>0</v>
      </c>
      <c r="E444" s="703">
        <v>15</v>
      </c>
      <c r="F444" s="50" cm="1" t="str">
        <f t="array" ref="F444:F444">OFFSET(E444,-1,1)</f>
        <v>4</v>
      </c>
      <c r="G444" s="98" cm="1" t="str">
        <f t="array" ref="G444:G444">G443</f>
        <v>0</v>
      </c>
      <c r="K444" s="158">
        <f>first_year+49</f>
        <v>2075</v>
      </c>
      <c r="T444" s="465" cm="1" t="str">
        <f t="array" ref="T444:T444">T443</f>
        <v>false</v>
      </c>
      <c r="AB444" s="255" t="str">
        <f>K444&amp;" год"</f>
        <v>2075 год</v>
      </c>
      <c r="AC444" s="408"/>
      <c r="AD444" s="8318"/>
      <c r="AE444" s="8317"/>
      <c r="AF444" s="8317"/>
      <c r="AG444" s="8318"/>
      <c r="AH444" s="8317"/>
      <c r="AI444" s="8318"/>
      <c r="AJ444" s="8317"/>
      <c r="AK444" s="8319"/>
      <c r="AL444" s="403"/>
      <c r="AN444" s="1064" cm="1" t="str">
        <f t="array" ref="AN444:AN444">K444</f>
        <v>2075</v>
      </c>
      <c r="AO444" s="1064" t="s">
        <v>2977</v>
      </c>
      <c r="AP444" s="1074" cm="1" t="str">
        <f t="array" ref="AP444:AP444">AP443</f>
        <v>0</v>
      </c>
      <c r="AQ444" s="703"/>
      <c r="AR444" s="703"/>
    </row>
    <row s="538" customFormat="1" customHeight="1" ht="14.25">
      <c r="A445" s="538"/>
      <c r="B445" s="538"/>
      <c r="C445" s="538"/>
      <c r="D445" s="538"/>
      <c r="E445" s="618">
        <v>15</v>
      </c>
      <c r="F445" s="50" cm="1" t="str">
        <f t="array" ref="F445:F445">OFFSET(E445,-1,1)</f>
        <v>4</v>
      </c>
      <c r="G445" s="122" cm="1" t="str">
        <f t="array" ref="G445:G445">AB445</f>
        <v>Водоотведение (Калтанский городской округ)</v>
      </c>
      <c r="H445" s="538"/>
      <c r="I445" s="538"/>
      <c r="J445" s="538"/>
      <c r="K445" s="538"/>
      <c r="L445" s="538"/>
      <c r="M445" s="538"/>
      <c r="N445" s="538"/>
      <c r="O445" s="538"/>
      <c r="P445" s="538"/>
      <c r="Q445" s="538"/>
      <c r="R445" s="538"/>
      <c r="S445" s="538"/>
      <c r="T445" s="465">
        <f>AND(F445&gt;0,Y445&gt;0)</f>
        <v>1</v>
      </c>
      <c r="U445" s="538"/>
      <c r="V445" s="538"/>
      <c r="W445" s="122"/>
      <c r="X445" s="538"/>
      <c r="Y445" s="1563" t="s">
        <v>276</v>
      </c>
      <c r="Z445" s="538"/>
      <c r="AA445" s="1648" t="s">
        <v>175</v>
      </c>
      <c r="AB445" s="8320" t="s">
        <v>2982</v>
      </c>
      <c r="AC445" s="8315"/>
      <c r="AD445" s="8315"/>
      <c r="AE445" s="8315"/>
      <c r="AF445" s="8315"/>
      <c r="AG445" s="8315"/>
      <c r="AH445" s="8315"/>
      <c r="AI445" s="8315"/>
      <c r="AJ445" s="8315"/>
      <c r="AK445" s="8316"/>
      <c r="AL445" s="402"/>
      <c r="AM445" s="538"/>
      <c r="AN445" s="997"/>
      <c r="AO445" s="1064" t="s">
        <v>2977</v>
      </c>
      <c r="AP445" s="1050" cm="1" t="str">
        <f t="array" ref="AP445:AP445">AB445</f>
        <v>Водоотведение (Калтанский городской округ)</v>
      </c>
      <c r="AQ445" s="618"/>
      <c r="AR445" s="618" t="b">
        <v>1</v>
      </c>
    </row>
    <row s="8264" customFormat="1" customHeight="1" ht="14.25">
      <c r="A446" s="8264"/>
      <c r="B446" s="445">
        <f>K446&lt;first_year+PERIOD_LENGTH</f>
        <v>1</v>
      </c>
      <c r="C446" s="8264"/>
      <c r="D446" s="8264"/>
      <c r="E446" s="703">
        <v>15</v>
      </c>
      <c r="F446" s="50" cm="1" t="str">
        <f t="array" ref="F446:F446">OFFSET(E446,-1,1)</f>
        <v>4</v>
      </c>
      <c r="G446" s="98" cm="1" t="str">
        <f t="array" ref="G446:G446">G445</f>
        <v>Водоотведение (Калтанский городской округ)</v>
      </c>
      <c r="H446" s="8264"/>
      <c r="I446" s="8264"/>
      <c r="J446" s="8264"/>
      <c r="K446" s="158" cm="1" t="str">
        <f t="array" ref="K446:K446">first_year</f>
        <v>2026</v>
      </c>
      <c r="L446" s="8264"/>
      <c r="M446" s="8264"/>
      <c r="N446" s="8264"/>
      <c r="O446" s="8264"/>
      <c r="P446" s="8264"/>
      <c r="Q446" s="8264"/>
      <c r="R446" s="8264"/>
      <c r="S446" s="8264"/>
      <c r="T446" s="465" cm="1" t="str">
        <f t="array" ref="T446:T446">T445</f>
        <v>true</v>
      </c>
      <c r="U446" s="8264"/>
      <c r="V446" s="8264"/>
      <c r="W446" s="8264"/>
      <c r="X446" s="8264"/>
      <c r="Y446" s="8264"/>
      <c r="Z446" s="8264"/>
      <c r="AA446" s="8264"/>
      <c r="AB446" s="302" t="str">
        <f>K446&amp;" год"</f>
        <v>2026 год</v>
      </c>
      <c r="AC446" s="8321" cm="1" t="str">
        <f t="array" ref="AC446:AC446">'Калькуляция (МИ)'!AT604</f>
        <v>112322.901770886</v>
      </c>
      <c r="AD446" s="8322"/>
      <c r="AE446" s="8321">
        <v>0</v>
      </c>
      <c r="AF446" s="8321"/>
      <c r="AG446" s="8322">
        <v>0.332</v>
      </c>
      <c r="AH446" s="8317"/>
      <c r="AI446" s="8318"/>
      <c r="AJ446" s="8317"/>
      <c r="AK446" s="8319"/>
      <c r="AL446" s="403"/>
      <c r="AM446" s="8264"/>
      <c r="AN446" s="1064" cm="1" t="str">
        <f t="array" ref="AN446:AN446">K446</f>
        <v>2026</v>
      </c>
      <c r="AO446" s="1064" t="s">
        <v>2977</v>
      </c>
      <c r="AP446" s="1074" cm="1" t="str">
        <f t="array" ref="AP446:AP446">AP445</f>
        <v>Водоотведение (Калтанский городской округ)</v>
      </c>
      <c r="AQ446" s="703"/>
      <c r="AR446" s="703"/>
    </row>
    <row s="8264" customFormat="1" customHeight="1" ht="14.25">
      <c r="A447" s="8264"/>
      <c r="B447" s="445">
        <f>K447&lt;first_year+PERIOD_LENGTH</f>
        <v>1</v>
      </c>
      <c r="C447" s="8264"/>
      <c r="D447" s="8264"/>
      <c r="E447" s="703">
        <v>15</v>
      </c>
      <c r="F447" s="50" cm="1" t="str">
        <f t="array" ref="F447:F447">OFFSET(E447,-1,1)</f>
        <v>4</v>
      </c>
      <c r="G447" s="98" cm="1" t="str">
        <f t="array" ref="G447:G447">G446</f>
        <v>Водоотведение (Калтанский городской округ)</v>
      </c>
      <c r="H447" s="8264"/>
      <c r="I447" s="8264"/>
      <c r="J447" s="8264"/>
      <c r="K447" s="158">
        <f>first_year+1</f>
        <v>2027</v>
      </c>
      <c r="L447" s="8264"/>
      <c r="M447" s="8264"/>
      <c r="N447" s="8264"/>
      <c r="O447" s="8264"/>
      <c r="P447" s="8264"/>
      <c r="Q447" s="8264"/>
      <c r="R447" s="8264"/>
      <c r="S447" s="8264"/>
      <c r="T447" s="465" cm="1" t="str">
        <f t="array" ref="T447:T447">T446</f>
        <v>true</v>
      </c>
      <c r="U447" s="8264"/>
      <c r="V447" s="8264"/>
      <c r="W447" s="8264"/>
      <c r="X447" s="8264"/>
      <c r="Y447" s="8264"/>
      <c r="Z447" s="8264"/>
      <c r="AA447" s="8264"/>
      <c r="AB447" s="255" t="str">
        <f>K447&amp;" год"</f>
        <v>2027 год</v>
      </c>
      <c r="AC447" s="408"/>
      <c r="AD447" s="8322">
        <v>1</v>
      </c>
      <c r="AE447" s="8321">
        <v>0</v>
      </c>
      <c r="AF447" s="8321"/>
      <c r="AG447" s="8322" cm="1" t="str">
        <f t="array" ref="AG447:AG447">AG446</f>
        <v>0.332</v>
      </c>
      <c r="AH447" s="8317"/>
      <c r="AI447" s="8318"/>
      <c r="AJ447" s="8317"/>
      <c r="AK447" s="8319"/>
      <c r="AL447" s="403"/>
      <c r="AM447" s="8264"/>
      <c r="AN447" s="1064" cm="1" t="str">
        <f t="array" ref="AN447:AN447">K447</f>
        <v>2027</v>
      </c>
      <c r="AO447" s="1064" t="s">
        <v>2977</v>
      </c>
      <c r="AP447" s="1074" cm="1" t="str">
        <f t="array" ref="AP447:AP447">AP446</f>
        <v>Водоотведение (Калтанский городской округ)</v>
      </c>
      <c r="AQ447" s="703"/>
      <c r="AR447" s="703"/>
    </row>
    <row s="8264" customFormat="1" customHeight="1" ht="14.25">
      <c r="A448" s="8264"/>
      <c r="B448" s="445">
        <f>K448&lt;first_year+PERIOD_LENGTH</f>
        <v>1</v>
      </c>
      <c r="C448" s="8264"/>
      <c r="D448" s="8264"/>
      <c r="E448" s="703">
        <v>15</v>
      </c>
      <c r="F448" s="50" cm="1" t="str">
        <f t="array" ref="F448:F448">OFFSET(E448,-1,1)</f>
        <v>4</v>
      </c>
      <c r="G448" s="98" cm="1" t="str">
        <f t="array" ref="G448:G448">G447</f>
        <v>Водоотведение (Калтанский городской округ)</v>
      </c>
      <c r="H448" s="8264"/>
      <c r="I448" s="8264"/>
      <c r="J448" s="8264"/>
      <c r="K448" s="158">
        <f>first_year+2</f>
        <v>2028</v>
      </c>
      <c r="L448" s="8264"/>
      <c r="M448" s="8264"/>
      <c r="N448" s="8264"/>
      <c r="O448" s="8264"/>
      <c r="P448" s="8264"/>
      <c r="Q448" s="8264"/>
      <c r="R448" s="8264"/>
      <c r="S448" s="8264"/>
      <c r="T448" s="465" cm="1" t="str">
        <f t="array" ref="T448:T448">T447</f>
        <v>true</v>
      </c>
      <c r="U448" s="8264"/>
      <c r="V448" s="8264"/>
      <c r="W448" s="8264"/>
      <c r="X448" s="8264"/>
      <c r="Y448" s="8264"/>
      <c r="Z448" s="8264"/>
      <c r="AA448" s="8264"/>
      <c r="AB448" s="255" t="str">
        <f>K448&amp;" год"</f>
        <v>2028 год</v>
      </c>
      <c r="AC448" s="408"/>
      <c r="AD448" s="8322">
        <v>1</v>
      </c>
      <c r="AE448" s="8321">
        <v>0</v>
      </c>
      <c r="AF448" s="8321"/>
      <c r="AG448" s="8322" cm="1" t="str">
        <f t="array" ref="AG448:AG448">AG447</f>
        <v>0.332</v>
      </c>
      <c r="AH448" s="8317"/>
      <c r="AI448" s="8318"/>
      <c r="AJ448" s="8317"/>
      <c r="AK448" s="8319"/>
      <c r="AL448" s="403"/>
      <c r="AM448" s="8264"/>
      <c r="AN448" s="1064" cm="1" t="str">
        <f t="array" ref="AN448:AN448">K448</f>
        <v>2028</v>
      </c>
      <c r="AO448" s="1064" t="s">
        <v>2977</v>
      </c>
      <c r="AP448" s="1074" cm="1" t="str">
        <f t="array" ref="AP448:AP448">AP447</f>
        <v>Водоотведение (Калтанский городской округ)</v>
      </c>
      <c r="AQ448" s="703"/>
      <c r="AR448" s="703"/>
    </row>
    <row s="8264" customFormat="1" customHeight="1" ht="14.25">
      <c r="A449" s="8264"/>
      <c r="B449" s="445">
        <f>K449&lt;first_year+PERIOD_LENGTH</f>
        <v>1</v>
      </c>
      <c r="C449" s="8264"/>
      <c r="D449" s="8264"/>
      <c r="E449" s="703">
        <v>15</v>
      </c>
      <c r="F449" s="50" cm="1" t="str">
        <f t="array" ref="F449:F449">OFFSET(E449,-1,1)</f>
        <v>4</v>
      </c>
      <c r="G449" s="98" cm="1" t="str">
        <f t="array" ref="G449:G449">G448</f>
        <v>Водоотведение (Калтанский городской округ)</v>
      </c>
      <c r="H449" s="8264"/>
      <c r="I449" s="8264"/>
      <c r="J449" s="8264"/>
      <c r="K449" s="158">
        <f>first_year+3</f>
        <v>2029</v>
      </c>
      <c r="L449" s="8264"/>
      <c r="M449" s="8264"/>
      <c r="N449" s="8264"/>
      <c r="O449" s="8264"/>
      <c r="P449" s="8264"/>
      <c r="Q449" s="8264"/>
      <c r="R449" s="8264"/>
      <c r="S449" s="8264"/>
      <c r="T449" s="465" cm="1" t="str">
        <f t="array" ref="T449:T449">T448</f>
        <v>true</v>
      </c>
      <c r="U449" s="8264"/>
      <c r="V449" s="8264"/>
      <c r="W449" s="8264"/>
      <c r="X449" s="8264"/>
      <c r="Y449" s="8264"/>
      <c r="Z449" s="8264"/>
      <c r="AA449" s="8264"/>
      <c r="AB449" s="255" t="str">
        <f>K449&amp;" год"</f>
        <v>2029 год</v>
      </c>
      <c r="AC449" s="408"/>
      <c r="AD449" s="8322">
        <v>1</v>
      </c>
      <c r="AE449" s="8321">
        <v>0</v>
      </c>
      <c r="AF449" s="8321"/>
      <c r="AG449" s="8322" cm="1" t="str">
        <f t="array" ref="AG449:AG449">AG448</f>
        <v>0.332</v>
      </c>
      <c r="AH449" s="8317"/>
      <c r="AI449" s="8318"/>
      <c r="AJ449" s="8317"/>
      <c r="AK449" s="8319"/>
      <c r="AL449" s="403"/>
      <c r="AM449" s="8264"/>
      <c r="AN449" s="1064" cm="1" t="str">
        <f t="array" ref="AN449:AN449">K449</f>
        <v>2029</v>
      </c>
      <c r="AO449" s="1064" t="s">
        <v>2977</v>
      </c>
      <c r="AP449" s="1074" cm="1" t="str">
        <f t="array" ref="AP449:AP449">AP448</f>
        <v>Водоотведение (Калтанский городской округ)</v>
      </c>
      <c r="AQ449" s="703"/>
      <c r="AR449" s="703"/>
    </row>
    <row s="8264" customFormat="1" customHeight="1" ht="14.25">
      <c r="A450" s="8264"/>
      <c r="B450" s="445">
        <f>K450&lt;first_year+PERIOD_LENGTH</f>
        <v>1</v>
      </c>
      <c r="C450" s="8264"/>
      <c r="D450" s="8264"/>
      <c r="E450" s="703">
        <v>15</v>
      </c>
      <c r="F450" s="50" cm="1" t="str">
        <f t="array" ref="F450:F450">OFFSET(E450,-1,1)</f>
        <v>4</v>
      </c>
      <c r="G450" s="98" cm="1" t="str">
        <f t="array" ref="G450:G450">G449</f>
        <v>Водоотведение (Калтанский городской округ)</v>
      </c>
      <c r="H450" s="8264"/>
      <c r="I450" s="8264"/>
      <c r="J450" s="8264"/>
      <c r="K450" s="158">
        <f>first_year+4</f>
        <v>2030</v>
      </c>
      <c r="L450" s="8264"/>
      <c r="M450" s="8264"/>
      <c r="N450" s="8264"/>
      <c r="O450" s="8264"/>
      <c r="P450" s="8264"/>
      <c r="Q450" s="8264"/>
      <c r="R450" s="8264"/>
      <c r="S450" s="8264"/>
      <c r="T450" s="465" cm="1" t="str">
        <f t="array" ref="T450:T450">T449</f>
        <v>true</v>
      </c>
      <c r="U450" s="8264"/>
      <c r="V450" s="8264"/>
      <c r="W450" s="8264"/>
      <c r="X450" s="8264"/>
      <c r="Y450" s="8264"/>
      <c r="Z450" s="8264"/>
      <c r="AA450" s="8264"/>
      <c r="AB450" s="255" t="str">
        <f>K450&amp;" год"</f>
        <v>2030 год</v>
      </c>
      <c r="AC450" s="408"/>
      <c r="AD450" s="8322">
        <v>1</v>
      </c>
      <c r="AE450" s="8321">
        <v>0</v>
      </c>
      <c r="AF450" s="8321"/>
      <c r="AG450" s="8322" cm="1" t="str">
        <f t="array" ref="AG450:AG450">AG449</f>
        <v>0.332</v>
      </c>
      <c r="AH450" s="8317"/>
      <c r="AI450" s="8318"/>
      <c r="AJ450" s="8317"/>
      <c r="AK450" s="8319"/>
      <c r="AL450" s="403"/>
      <c r="AM450" s="8264"/>
      <c r="AN450" s="1064" cm="1" t="str">
        <f t="array" ref="AN450:AN450">K450</f>
        <v>2030</v>
      </c>
      <c r="AO450" s="1064" t="s">
        <v>2977</v>
      </c>
      <c r="AP450" s="1074" cm="1" t="str">
        <f t="array" ref="AP450:AP450">AP449</f>
        <v>Водоотведение (Калтанский городской округ)</v>
      </c>
      <c r="AQ450" s="703"/>
      <c r="AR450" s="703"/>
    </row>
    <row s="8264" customFormat="1" customHeight="1" ht="14.25" hidden="1">
      <c r="A451" s="8264"/>
      <c r="B451" s="445">
        <f>K451&lt;first_year+PERIOD_LENGTH</f>
        <v>0</v>
      </c>
      <c r="C451" s="8264"/>
      <c r="D451" s="8264"/>
      <c r="E451" s="703">
        <v>15</v>
      </c>
      <c r="F451" s="50" cm="1" t="str">
        <f t="array" ref="F451:F451">OFFSET(E451,-1,1)</f>
        <v>4</v>
      </c>
      <c r="G451" s="98" cm="1" t="str">
        <f t="array" ref="G451:G451">G450</f>
        <v>Водоотведение (Калтанский городской округ)</v>
      </c>
      <c r="H451" s="8264"/>
      <c r="I451" s="8264"/>
      <c r="J451" s="8264"/>
      <c r="K451" s="158">
        <f>first_year+5</f>
        <v>2031</v>
      </c>
      <c r="L451" s="8264"/>
      <c r="M451" s="8264"/>
      <c r="N451" s="8264"/>
      <c r="O451" s="8264"/>
      <c r="P451" s="8264"/>
      <c r="Q451" s="8264"/>
      <c r="R451" s="8264"/>
      <c r="S451" s="8264"/>
      <c r="T451" s="465" cm="1" t="str">
        <f t="array" ref="T451:T451">T450</f>
        <v>true</v>
      </c>
      <c r="U451" s="8264"/>
      <c r="V451" s="8264"/>
      <c r="W451" s="8264"/>
      <c r="X451" s="8264"/>
      <c r="Y451" s="8264"/>
      <c r="Z451" s="8264"/>
      <c r="AA451" s="8264"/>
      <c r="AB451" s="255" t="str">
        <f>K451&amp;" год"</f>
        <v>2031 год</v>
      </c>
      <c r="AC451" s="408"/>
      <c r="AD451" s="8318"/>
      <c r="AE451" s="8317"/>
      <c r="AF451" s="8317"/>
      <c r="AG451" s="8318"/>
      <c r="AH451" s="8317"/>
      <c r="AI451" s="8318"/>
      <c r="AJ451" s="8317"/>
      <c r="AK451" s="8319"/>
      <c r="AL451" s="403"/>
      <c r="AM451" s="8264"/>
      <c r="AN451" s="1064" cm="1" t="str">
        <f t="array" ref="AN451:AN451">K451</f>
        <v>2031</v>
      </c>
      <c r="AO451" s="1064" t="s">
        <v>2977</v>
      </c>
      <c r="AP451" s="1074" cm="1" t="str">
        <f t="array" ref="AP451:AP451">AP450</f>
        <v>Водоотведение (Калтанский городской округ)</v>
      </c>
      <c r="AQ451" s="703"/>
      <c r="AR451" s="703"/>
    </row>
    <row s="8264" customFormat="1" customHeight="1" ht="14.25" hidden="1">
      <c r="A452" s="8264"/>
      <c r="B452" s="445">
        <f>K452&lt;first_year+PERIOD_LENGTH</f>
        <v>0</v>
      </c>
      <c r="C452" s="8264"/>
      <c r="D452" s="8264"/>
      <c r="E452" s="703">
        <v>15</v>
      </c>
      <c r="F452" s="50" cm="1" t="str">
        <f t="array" ref="F452:F452">OFFSET(E452,-1,1)</f>
        <v>4</v>
      </c>
      <c r="G452" s="98" cm="1" t="str">
        <f t="array" ref="G452:G452">G451</f>
        <v>Водоотведение (Калтанский городской округ)</v>
      </c>
      <c r="H452" s="8264"/>
      <c r="I452" s="8264"/>
      <c r="J452" s="8264"/>
      <c r="K452" s="158">
        <f>first_year+6</f>
        <v>2032</v>
      </c>
      <c r="L452" s="8264"/>
      <c r="M452" s="8264"/>
      <c r="N452" s="8264"/>
      <c r="O452" s="8264"/>
      <c r="P452" s="8264"/>
      <c r="Q452" s="8264"/>
      <c r="R452" s="8264"/>
      <c r="S452" s="8264"/>
      <c r="T452" s="465" cm="1" t="str">
        <f t="array" ref="T452:T452">T451</f>
        <v>true</v>
      </c>
      <c r="U452" s="8264"/>
      <c r="V452" s="8264"/>
      <c r="W452" s="8264"/>
      <c r="X452" s="8264"/>
      <c r="Y452" s="8264"/>
      <c r="Z452" s="8264"/>
      <c r="AA452" s="8264"/>
      <c r="AB452" s="255" t="str">
        <f>K452&amp;" год"</f>
        <v>2032 год</v>
      </c>
      <c r="AC452" s="408"/>
      <c r="AD452" s="8318"/>
      <c r="AE452" s="8317"/>
      <c r="AF452" s="8317"/>
      <c r="AG452" s="8318"/>
      <c r="AH452" s="8317"/>
      <c r="AI452" s="8318"/>
      <c r="AJ452" s="8317"/>
      <c r="AK452" s="8319"/>
      <c r="AL452" s="403"/>
      <c r="AM452" s="8264"/>
      <c r="AN452" s="1064" cm="1" t="str">
        <f t="array" ref="AN452:AN452">K452</f>
        <v>2032</v>
      </c>
      <c r="AO452" s="1064" t="s">
        <v>2977</v>
      </c>
      <c r="AP452" s="1074" cm="1" t="str">
        <f t="array" ref="AP452:AP452">AP451</f>
        <v>Водоотведение (Калтанский городской округ)</v>
      </c>
      <c r="AQ452" s="703"/>
      <c r="AR452" s="703"/>
    </row>
    <row s="8264" customFormat="1" customHeight="1" ht="14.25" hidden="1">
      <c r="A453" s="8264"/>
      <c r="B453" s="445">
        <f>K453&lt;first_year+PERIOD_LENGTH</f>
        <v>0</v>
      </c>
      <c r="C453" s="8264"/>
      <c r="D453" s="8264"/>
      <c r="E453" s="703">
        <v>15</v>
      </c>
      <c r="F453" s="50" cm="1" t="str">
        <f t="array" ref="F453:F453">OFFSET(E453,-1,1)</f>
        <v>4</v>
      </c>
      <c r="G453" s="98" cm="1" t="str">
        <f t="array" ref="G453:G453">G452</f>
        <v>Водоотведение (Калтанский городской округ)</v>
      </c>
      <c r="H453" s="8264"/>
      <c r="I453" s="8264"/>
      <c r="J453" s="8264"/>
      <c r="K453" s="158">
        <f>first_year+7</f>
        <v>2033</v>
      </c>
      <c r="L453" s="8264"/>
      <c r="M453" s="8264"/>
      <c r="N453" s="8264"/>
      <c r="O453" s="8264"/>
      <c r="P453" s="8264"/>
      <c r="Q453" s="8264"/>
      <c r="R453" s="8264"/>
      <c r="S453" s="8264"/>
      <c r="T453" s="465" cm="1" t="str">
        <f t="array" ref="T453:T453">T452</f>
        <v>true</v>
      </c>
      <c r="U453" s="8264"/>
      <c r="V453" s="8264"/>
      <c r="W453" s="8264"/>
      <c r="X453" s="8264"/>
      <c r="Y453" s="8264"/>
      <c r="Z453" s="8264"/>
      <c r="AA453" s="8264"/>
      <c r="AB453" s="255" t="str">
        <f>K453&amp;" год"</f>
        <v>2033 год</v>
      </c>
      <c r="AC453" s="408"/>
      <c r="AD453" s="8318"/>
      <c r="AE453" s="8317"/>
      <c r="AF453" s="8317"/>
      <c r="AG453" s="8318"/>
      <c r="AH453" s="8317"/>
      <c r="AI453" s="8318"/>
      <c r="AJ453" s="8317"/>
      <c r="AK453" s="8319"/>
      <c r="AL453" s="403"/>
      <c r="AM453" s="8264"/>
      <c r="AN453" s="1064" cm="1" t="str">
        <f t="array" ref="AN453:AN453">K453</f>
        <v>2033</v>
      </c>
      <c r="AO453" s="1064" t="s">
        <v>2977</v>
      </c>
      <c r="AP453" s="1074" cm="1" t="str">
        <f t="array" ref="AP453:AP453">AP452</f>
        <v>Водоотведение (Калтанский городской округ)</v>
      </c>
      <c r="AQ453" s="703"/>
      <c r="AR453" s="703"/>
    </row>
    <row s="8264" customFormat="1" customHeight="1" ht="14.25" hidden="1">
      <c r="A454" s="8264"/>
      <c r="B454" s="445">
        <f>K454&lt;first_year+PERIOD_LENGTH</f>
        <v>0</v>
      </c>
      <c r="C454" s="8264"/>
      <c r="D454" s="8264"/>
      <c r="E454" s="703">
        <v>15</v>
      </c>
      <c r="F454" s="50" cm="1" t="str">
        <f t="array" ref="F454:F454">OFFSET(E454,-1,1)</f>
        <v>4</v>
      </c>
      <c r="G454" s="98" cm="1" t="str">
        <f t="array" ref="G454:G454">G453</f>
        <v>Водоотведение (Калтанский городской округ)</v>
      </c>
      <c r="H454" s="8264"/>
      <c r="I454" s="8264"/>
      <c r="J454" s="8264"/>
      <c r="K454" s="158">
        <f>first_year+8</f>
        <v>2034</v>
      </c>
      <c r="L454" s="8264"/>
      <c r="M454" s="8264"/>
      <c r="N454" s="8264"/>
      <c r="O454" s="8264"/>
      <c r="P454" s="8264"/>
      <c r="Q454" s="8264"/>
      <c r="R454" s="8264"/>
      <c r="S454" s="8264"/>
      <c r="T454" s="465" cm="1" t="str">
        <f t="array" ref="T454:T454">T453</f>
        <v>true</v>
      </c>
      <c r="U454" s="8264"/>
      <c r="V454" s="8264"/>
      <c r="W454" s="8264"/>
      <c r="X454" s="8264"/>
      <c r="Y454" s="8264"/>
      <c r="Z454" s="8264"/>
      <c r="AA454" s="8264"/>
      <c r="AB454" s="255" t="str">
        <f>K454&amp;" год"</f>
        <v>2034 год</v>
      </c>
      <c r="AC454" s="408"/>
      <c r="AD454" s="8318"/>
      <c r="AE454" s="8317"/>
      <c r="AF454" s="8317"/>
      <c r="AG454" s="8318"/>
      <c r="AH454" s="8317"/>
      <c r="AI454" s="8318"/>
      <c r="AJ454" s="8317"/>
      <c r="AK454" s="8319"/>
      <c r="AL454" s="403"/>
      <c r="AM454" s="8264"/>
      <c r="AN454" s="1064" cm="1" t="str">
        <f t="array" ref="AN454:AN454">K454</f>
        <v>2034</v>
      </c>
      <c r="AO454" s="1064" t="s">
        <v>2977</v>
      </c>
      <c r="AP454" s="1074" cm="1" t="str">
        <f t="array" ref="AP454:AP454">AP453</f>
        <v>Водоотведение (Калтанский городской округ)</v>
      </c>
      <c r="AQ454" s="703"/>
      <c r="AR454" s="703"/>
    </row>
    <row s="8264" customFormat="1" customHeight="1" ht="14.25" hidden="1">
      <c r="A455" s="8264"/>
      <c r="B455" s="445">
        <f>K455&lt;first_year+PERIOD_LENGTH</f>
        <v>0</v>
      </c>
      <c r="C455" s="8264"/>
      <c r="D455" s="8264"/>
      <c r="E455" s="703">
        <v>15</v>
      </c>
      <c r="F455" s="50" cm="1" t="str">
        <f t="array" ref="F455:F455">OFFSET(E455,-1,1)</f>
        <v>4</v>
      </c>
      <c r="G455" s="98" cm="1" t="str">
        <f t="array" ref="G455:G455">G454</f>
        <v>Водоотведение (Калтанский городской округ)</v>
      </c>
      <c r="H455" s="8264"/>
      <c r="I455" s="8264"/>
      <c r="J455" s="8264"/>
      <c r="K455" s="158">
        <f>first_year+9</f>
        <v>2035</v>
      </c>
      <c r="L455" s="8264"/>
      <c r="M455" s="8264"/>
      <c r="N455" s="8264"/>
      <c r="O455" s="8264"/>
      <c r="P455" s="8264"/>
      <c r="Q455" s="8264"/>
      <c r="R455" s="8264"/>
      <c r="S455" s="8264"/>
      <c r="T455" s="465" cm="1" t="str">
        <f t="array" ref="T455:T455">T454</f>
        <v>true</v>
      </c>
      <c r="U455" s="8264"/>
      <c r="V455" s="8264"/>
      <c r="W455" s="8264"/>
      <c r="X455" s="8264"/>
      <c r="Y455" s="8264"/>
      <c r="Z455" s="8264"/>
      <c r="AA455" s="8264"/>
      <c r="AB455" s="255" t="str">
        <f>K455&amp;" год"</f>
        <v>2035 год</v>
      </c>
      <c r="AC455" s="408"/>
      <c r="AD455" s="8318"/>
      <c r="AE455" s="8317"/>
      <c r="AF455" s="8317"/>
      <c r="AG455" s="8318"/>
      <c r="AH455" s="8317"/>
      <c r="AI455" s="8318"/>
      <c r="AJ455" s="8317"/>
      <c r="AK455" s="8319"/>
      <c r="AL455" s="403"/>
      <c r="AM455" s="8264"/>
      <c r="AN455" s="1064" cm="1" t="str">
        <f t="array" ref="AN455:AN455">K455</f>
        <v>2035</v>
      </c>
      <c r="AO455" s="1064" t="s">
        <v>2977</v>
      </c>
      <c r="AP455" s="1074" cm="1" t="str">
        <f t="array" ref="AP455:AP455">AP454</f>
        <v>Водоотведение (Калтанский городской округ)</v>
      </c>
      <c r="AQ455" s="703"/>
      <c r="AR455" s="703"/>
    </row>
    <row s="8264" customFormat="1" customHeight="1" ht="14.25" hidden="1">
      <c r="A456" s="8264"/>
      <c r="B456" s="445">
        <f>K456&lt;first_year+PERIOD_LENGTH</f>
        <v>0</v>
      </c>
      <c r="C456" s="8264"/>
      <c r="D456" s="8264"/>
      <c r="E456" s="703">
        <v>15</v>
      </c>
      <c r="F456" s="50" cm="1" t="str">
        <f t="array" ref="F456:F456">OFFSET(E456,-1,1)</f>
        <v>4</v>
      </c>
      <c r="G456" s="98" cm="1" t="str">
        <f t="array" ref="G456:G456">G455</f>
        <v>Водоотведение (Калтанский городской округ)</v>
      </c>
      <c r="H456" s="8264"/>
      <c r="I456" s="8264"/>
      <c r="J456" s="8264"/>
      <c r="K456" s="158">
        <f>first_year+10</f>
        <v>2036</v>
      </c>
      <c r="L456" s="8264"/>
      <c r="M456" s="8264"/>
      <c r="N456" s="8264"/>
      <c r="O456" s="8264"/>
      <c r="P456" s="8264"/>
      <c r="Q456" s="8264"/>
      <c r="R456" s="8264"/>
      <c r="S456" s="8264"/>
      <c r="T456" s="465" cm="1" t="str">
        <f t="array" ref="T456:T456">T455</f>
        <v>true</v>
      </c>
      <c r="U456" s="8264"/>
      <c r="V456" s="8264"/>
      <c r="W456" s="8264"/>
      <c r="X456" s="8264"/>
      <c r="Y456" s="8264"/>
      <c r="Z456" s="8264"/>
      <c r="AA456" s="8264"/>
      <c r="AB456" s="255" t="str">
        <f>K456&amp;" год"</f>
        <v>2036 год</v>
      </c>
      <c r="AC456" s="408"/>
      <c r="AD456" s="8318"/>
      <c r="AE456" s="8317"/>
      <c r="AF456" s="8317"/>
      <c r="AG456" s="8318"/>
      <c r="AH456" s="8317"/>
      <c r="AI456" s="8318"/>
      <c r="AJ456" s="8317"/>
      <c r="AK456" s="8319"/>
      <c r="AL456" s="403"/>
      <c r="AM456" s="8264"/>
      <c r="AN456" s="1064" cm="1" t="str">
        <f t="array" ref="AN456:AN456">K456</f>
        <v>2036</v>
      </c>
      <c r="AO456" s="1064" t="s">
        <v>2977</v>
      </c>
      <c r="AP456" s="1074" cm="1" t="str">
        <f t="array" ref="AP456:AP456">AP455</f>
        <v>Водоотведение (Калтанский городской округ)</v>
      </c>
      <c r="AQ456" s="703"/>
      <c r="AR456" s="703"/>
    </row>
    <row s="8264" customFormat="1" customHeight="1" ht="14.25" hidden="1">
      <c r="A457" s="8264"/>
      <c r="B457" s="445">
        <f>K457&lt;first_year+PERIOD_LENGTH</f>
        <v>0</v>
      </c>
      <c r="C457" s="8264"/>
      <c r="D457" s="8264"/>
      <c r="E457" s="703">
        <v>15</v>
      </c>
      <c r="F457" s="50" cm="1" t="str">
        <f t="array" ref="F457:F457">OFFSET(E457,-1,1)</f>
        <v>4</v>
      </c>
      <c r="G457" s="98" cm="1" t="str">
        <f t="array" ref="G457:G457">G456</f>
        <v>Водоотведение (Калтанский городской округ)</v>
      </c>
      <c r="H457" s="8264"/>
      <c r="I457" s="8264"/>
      <c r="J457" s="8264"/>
      <c r="K457" s="158">
        <f>first_year+11</f>
        <v>2037</v>
      </c>
      <c r="L457" s="8264"/>
      <c r="M457" s="8264"/>
      <c r="N457" s="8264"/>
      <c r="O457" s="8264"/>
      <c r="P457" s="8264"/>
      <c r="Q457" s="8264"/>
      <c r="R457" s="8264"/>
      <c r="S457" s="8264"/>
      <c r="T457" s="465" cm="1" t="str">
        <f t="array" ref="T457:T457">T456</f>
        <v>true</v>
      </c>
      <c r="U457" s="8264"/>
      <c r="V457" s="8264"/>
      <c r="W457" s="8264"/>
      <c r="X457" s="8264"/>
      <c r="Y457" s="8264"/>
      <c r="Z457" s="8264"/>
      <c r="AA457" s="8264"/>
      <c r="AB457" s="255" t="str">
        <f>K457&amp;" год"</f>
        <v>2037 год</v>
      </c>
      <c r="AC457" s="408"/>
      <c r="AD457" s="8318"/>
      <c r="AE457" s="8317"/>
      <c r="AF457" s="8317"/>
      <c r="AG457" s="8318"/>
      <c r="AH457" s="8317"/>
      <c r="AI457" s="8318"/>
      <c r="AJ457" s="8317"/>
      <c r="AK457" s="8319"/>
      <c r="AL457" s="403"/>
      <c r="AM457" s="8264"/>
      <c r="AN457" s="1064" cm="1" t="str">
        <f t="array" ref="AN457:AN457">K457</f>
        <v>2037</v>
      </c>
      <c r="AO457" s="1064" t="s">
        <v>2977</v>
      </c>
      <c r="AP457" s="1074" cm="1" t="str">
        <f t="array" ref="AP457:AP457">AP456</f>
        <v>Водоотведение (Калтанский городской округ)</v>
      </c>
      <c r="AQ457" s="703"/>
      <c r="AR457" s="703"/>
    </row>
    <row s="8264" customFormat="1" customHeight="1" ht="14.25" hidden="1">
      <c r="A458" s="8264"/>
      <c r="B458" s="445">
        <f>K458&lt;first_year+PERIOD_LENGTH</f>
        <v>0</v>
      </c>
      <c r="C458" s="8264"/>
      <c r="D458" s="8264"/>
      <c r="E458" s="703">
        <v>15</v>
      </c>
      <c r="F458" s="50" cm="1" t="str">
        <f t="array" ref="F458:F458">OFFSET(E458,-1,1)</f>
        <v>4</v>
      </c>
      <c r="G458" s="98" cm="1" t="str">
        <f t="array" ref="G458:G458">G457</f>
        <v>Водоотведение (Калтанский городской округ)</v>
      </c>
      <c r="H458" s="8264"/>
      <c r="I458" s="8264"/>
      <c r="J458" s="8264"/>
      <c r="K458" s="158">
        <f>first_year+12</f>
        <v>2038</v>
      </c>
      <c r="L458" s="8264"/>
      <c r="M458" s="8264"/>
      <c r="N458" s="8264"/>
      <c r="O458" s="8264"/>
      <c r="P458" s="8264"/>
      <c r="Q458" s="8264"/>
      <c r="R458" s="8264"/>
      <c r="S458" s="8264"/>
      <c r="T458" s="465" cm="1" t="str">
        <f t="array" ref="T458:T458">T457</f>
        <v>true</v>
      </c>
      <c r="U458" s="8264"/>
      <c r="V458" s="8264"/>
      <c r="W458" s="8264"/>
      <c r="X458" s="8264"/>
      <c r="Y458" s="8264"/>
      <c r="Z458" s="8264"/>
      <c r="AA458" s="8264"/>
      <c r="AB458" s="255" t="str">
        <f>K458&amp;" год"</f>
        <v>2038 год</v>
      </c>
      <c r="AC458" s="408"/>
      <c r="AD458" s="8318"/>
      <c r="AE458" s="8317"/>
      <c r="AF458" s="8317"/>
      <c r="AG458" s="8318"/>
      <c r="AH458" s="8317"/>
      <c r="AI458" s="8318"/>
      <c r="AJ458" s="8317"/>
      <c r="AK458" s="8319"/>
      <c r="AL458" s="403"/>
      <c r="AM458" s="8264"/>
      <c r="AN458" s="1064" cm="1" t="str">
        <f t="array" ref="AN458:AN458">K458</f>
        <v>2038</v>
      </c>
      <c r="AO458" s="1064" t="s">
        <v>2977</v>
      </c>
      <c r="AP458" s="1074" cm="1" t="str">
        <f t="array" ref="AP458:AP458">AP457</f>
        <v>Водоотведение (Калтанский городской округ)</v>
      </c>
      <c r="AQ458" s="703"/>
      <c r="AR458" s="703"/>
    </row>
    <row s="8264" customFormat="1" customHeight="1" ht="14.25" hidden="1">
      <c r="A459" s="8264"/>
      <c r="B459" s="445">
        <f>K459&lt;first_year+PERIOD_LENGTH</f>
        <v>0</v>
      </c>
      <c r="C459" s="8264"/>
      <c r="D459" s="8264"/>
      <c r="E459" s="703">
        <v>15</v>
      </c>
      <c r="F459" s="50" cm="1" t="str">
        <f t="array" ref="F459:F459">OFFSET(E459,-1,1)</f>
        <v>4</v>
      </c>
      <c r="G459" s="98" cm="1" t="str">
        <f t="array" ref="G459:G459">G458</f>
        <v>Водоотведение (Калтанский городской округ)</v>
      </c>
      <c r="H459" s="8264"/>
      <c r="I459" s="8264"/>
      <c r="J459" s="8264"/>
      <c r="K459" s="158">
        <f>first_year+13</f>
        <v>2039</v>
      </c>
      <c r="L459" s="8264"/>
      <c r="M459" s="8264"/>
      <c r="N459" s="8264"/>
      <c r="O459" s="8264"/>
      <c r="P459" s="8264"/>
      <c r="Q459" s="8264"/>
      <c r="R459" s="8264"/>
      <c r="S459" s="8264"/>
      <c r="T459" s="465" cm="1" t="str">
        <f t="array" ref="T459:T459">T458</f>
        <v>true</v>
      </c>
      <c r="U459" s="8264"/>
      <c r="V459" s="8264"/>
      <c r="W459" s="8264"/>
      <c r="X459" s="8264"/>
      <c r="Y459" s="8264"/>
      <c r="Z459" s="8264"/>
      <c r="AA459" s="8264"/>
      <c r="AB459" s="255" t="str">
        <f>K459&amp;" год"</f>
        <v>2039 год</v>
      </c>
      <c r="AC459" s="408"/>
      <c r="AD459" s="8318"/>
      <c r="AE459" s="8317"/>
      <c r="AF459" s="8317"/>
      <c r="AG459" s="8318"/>
      <c r="AH459" s="8317"/>
      <c r="AI459" s="8318"/>
      <c r="AJ459" s="8317"/>
      <c r="AK459" s="8319"/>
      <c r="AL459" s="403"/>
      <c r="AM459" s="8264"/>
      <c r="AN459" s="1064" cm="1" t="str">
        <f t="array" ref="AN459:AN459">K459</f>
        <v>2039</v>
      </c>
      <c r="AO459" s="1064" t="s">
        <v>2977</v>
      </c>
      <c r="AP459" s="1074" cm="1" t="str">
        <f t="array" ref="AP459:AP459">AP458</f>
        <v>Водоотведение (Калтанский городской округ)</v>
      </c>
      <c r="AQ459" s="703"/>
      <c r="AR459" s="703"/>
    </row>
    <row s="8264" customFormat="1" customHeight="1" ht="14.25" hidden="1">
      <c r="A460" s="8264"/>
      <c r="B460" s="445">
        <f>K460&lt;first_year+PERIOD_LENGTH</f>
        <v>0</v>
      </c>
      <c r="C460" s="8264"/>
      <c r="D460" s="8264"/>
      <c r="E460" s="703">
        <v>15</v>
      </c>
      <c r="F460" s="50" cm="1" t="str">
        <f t="array" ref="F460:F460">OFFSET(E460,-1,1)</f>
        <v>4</v>
      </c>
      <c r="G460" s="98" cm="1" t="str">
        <f t="array" ref="G460:G460">G459</f>
        <v>Водоотведение (Калтанский городской округ)</v>
      </c>
      <c r="H460" s="8264"/>
      <c r="I460" s="8264"/>
      <c r="J460" s="8264"/>
      <c r="K460" s="158">
        <f>first_year+14</f>
        <v>2040</v>
      </c>
      <c r="L460" s="8264"/>
      <c r="M460" s="8264"/>
      <c r="N460" s="8264"/>
      <c r="O460" s="8264"/>
      <c r="P460" s="8264"/>
      <c r="Q460" s="8264"/>
      <c r="R460" s="8264"/>
      <c r="S460" s="8264"/>
      <c r="T460" s="465" cm="1" t="str">
        <f t="array" ref="T460:T460">T459</f>
        <v>true</v>
      </c>
      <c r="U460" s="8264"/>
      <c r="V460" s="8264"/>
      <c r="W460" s="8264"/>
      <c r="X460" s="8264"/>
      <c r="Y460" s="8264"/>
      <c r="Z460" s="8264"/>
      <c r="AA460" s="8264"/>
      <c r="AB460" s="255" t="str">
        <f>K460&amp;" год"</f>
        <v>2040 год</v>
      </c>
      <c r="AC460" s="408"/>
      <c r="AD460" s="8318"/>
      <c r="AE460" s="8317"/>
      <c r="AF460" s="8317"/>
      <c r="AG460" s="8318"/>
      <c r="AH460" s="8317"/>
      <c r="AI460" s="8318"/>
      <c r="AJ460" s="8317"/>
      <c r="AK460" s="8319"/>
      <c r="AL460" s="403"/>
      <c r="AM460" s="8264"/>
      <c r="AN460" s="1064" cm="1" t="str">
        <f t="array" ref="AN460:AN460">K460</f>
        <v>2040</v>
      </c>
      <c r="AO460" s="1064" t="s">
        <v>2977</v>
      </c>
      <c r="AP460" s="1074" cm="1" t="str">
        <f t="array" ref="AP460:AP460">AP459</f>
        <v>Водоотведение (Калтанский городской округ)</v>
      </c>
      <c r="AQ460" s="703"/>
      <c r="AR460" s="703"/>
    </row>
    <row s="8264" customFormat="1" customHeight="1" ht="14.25" hidden="1">
      <c r="A461" s="8264"/>
      <c r="B461" s="445">
        <f>K461&lt;first_year+PERIOD_LENGTH</f>
        <v>0</v>
      </c>
      <c r="C461" s="8264"/>
      <c r="D461" s="8264"/>
      <c r="E461" s="703">
        <v>15</v>
      </c>
      <c r="F461" s="50" cm="1" t="str">
        <f t="array" ref="F461:F461">OFFSET(E461,-1,1)</f>
        <v>4</v>
      </c>
      <c r="G461" s="98" cm="1" t="str">
        <f t="array" ref="G461:G461">G460</f>
        <v>Водоотведение (Калтанский городской округ)</v>
      </c>
      <c r="H461" s="8264"/>
      <c r="I461" s="8264"/>
      <c r="J461" s="8264"/>
      <c r="K461" s="158">
        <f>first_year+15</f>
        <v>2041</v>
      </c>
      <c r="L461" s="8264"/>
      <c r="M461" s="8264"/>
      <c r="N461" s="8264"/>
      <c r="O461" s="8264"/>
      <c r="P461" s="8264"/>
      <c r="Q461" s="8264"/>
      <c r="R461" s="8264"/>
      <c r="S461" s="8264"/>
      <c r="T461" s="465" cm="1" t="str">
        <f t="array" ref="T461:T461">T460</f>
        <v>true</v>
      </c>
      <c r="U461" s="8264"/>
      <c r="V461" s="8264"/>
      <c r="W461" s="8264"/>
      <c r="X461" s="8264"/>
      <c r="Y461" s="8264"/>
      <c r="Z461" s="8264"/>
      <c r="AA461" s="8264"/>
      <c r="AB461" s="255" t="str">
        <f>K461&amp;" год"</f>
        <v>2041 год</v>
      </c>
      <c r="AC461" s="408"/>
      <c r="AD461" s="8318"/>
      <c r="AE461" s="8317"/>
      <c r="AF461" s="8317"/>
      <c r="AG461" s="8318"/>
      <c r="AH461" s="8317"/>
      <c r="AI461" s="8318"/>
      <c r="AJ461" s="8317"/>
      <c r="AK461" s="8319"/>
      <c r="AL461" s="403"/>
      <c r="AM461" s="8264"/>
      <c r="AN461" s="1064" cm="1" t="str">
        <f t="array" ref="AN461:AN461">K461</f>
        <v>2041</v>
      </c>
      <c r="AO461" s="1064" t="s">
        <v>2977</v>
      </c>
      <c r="AP461" s="1074" cm="1" t="str">
        <f t="array" ref="AP461:AP461">AP460</f>
        <v>Водоотведение (Калтанский городской округ)</v>
      </c>
      <c r="AQ461" s="703"/>
      <c r="AR461" s="703"/>
    </row>
    <row s="8264" customFormat="1" customHeight="1" ht="14.25" hidden="1">
      <c r="A462" s="8264"/>
      <c r="B462" s="445">
        <f>K462&lt;first_year+PERIOD_LENGTH</f>
        <v>0</v>
      </c>
      <c r="C462" s="8264"/>
      <c r="D462" s="8264"/>
      <c r="E462" s="703">
        <v>15</v>
      </c>
      <c r="F462" s="50" cm="1" t="str">
        <f t="array" ref="F462:F462">OFFSET(E462,-1,1)</f>
        <v>4</v>
      </c>
      <c r="G462" s="98" cm="1" t="str">
        <f t="array" ref="G462:G462">G461</f>
        <v>Водоотведение (Калтанский городской округ)</v>
      </c>
      <c r="H462" s="8264"/>
      <c r="I462" s="8264"/>
      <c r="J462" s="8264"/>
      <c r="K462" s="158">
        <f>first_year+16</f>
        <v>2042</v>
      </c>
      <c r="L462" s="8264"/>
      <c r="M462" s="8264"/>
      <c r="N462" s="8264"/>
      <c r="O462" s="8264"/>
      <c r="P462" s="8264"/>
      <c r="Q462" s="8264"/>
      <c r="R462" s="8264"/>
      <c r="S462" s="8264"/>
      <c r="T462" s="465" cm="1" t="str">
        <f t="array" ref="T462:T462">T461</f>
        <v>true</v>
      </c>
      <c r="U462" s="8264"/>
      <c r="V462" s="8264"/>
      <c r="W462" s="8264"/>
      <c r="X462" s="8264"/>
      <c r="Y462" s="8264"/>
      <c r="Z462" s="8264"/>
      <c r="AA462" s="8264"/>
      <c r="AB462" s="255" t="str">
        <f>K462&amp;" год"</f>
        <v>2042 год</v>
      </c>
      <c r="AC462" s="408"/>
      <c r="AD462" s="8318"/>
      <c r="AE462" s="8317"/>
      <c r="AF462" s="8317"/>
      <c r="AG462" s="8318"/>
      <c r="AH462" s="8317"/>
      <c r="AI462" s="8318"/>
      <c r="AJ462" s="8317"/>
      <c r="AK462" s="8319"/>
      <c r="AL462" s="403"/>
      <c r="AM462" s="8264"/>
      <c r="AN462" s="1064" cm="1" t="str">
        <f t="array" ref="AN462:AN462">K462</f>
        <v>2042</v>
      </c>
      <c r="AO462" s="1064" t="s">
        <v>2977</v>
      </c>
      <c r="AP462" s="1074" cm="1" t="str">
        <f t="array" ref="AP462:AP462">AP461</f>
        <v>Водоотведение (Калтанский городской округ)</v>
      </c>
      <c r="AQ462" s="703"/>
      <c r="AR462" s="703"/>
    </row>
    <row s="8264" customFormat="1" customHeight="1" ht="14.25" hidden="1">
      <c r="A463" s="8264"/>
      <c r="B463" s="445">
        <f>K463&lt;first_year+PERIOD_LENGTH</f>
        <v>0</v>
      </c>
      <c r="C463" s="8264"/>
      <c r="D463" s="8264"/>
      <c r="E463" s="703">
        <v>15</v>
      </c>
      <c r="F463" s="50" cm="1" t="str">
        <f t="array" ref="F463:F463">OFFSET(E463,-1,1)</f>
        <v>4</v>
      </c>
      <c r="G463" s="98" cm="1" t="str">
        <f t="array" ref="G463:G463">G462</f>
        <v>Водоотведение (Калтанский городской округ)</v>
      </c>
      <c r="H463" s="8264"/>
      <c r="I463" s="8264"/>
      <c r="J463" s="8264"/>
      <c r="K463" s="158">
        <f>first_year+17</f>
        <v>2043</v>
      </c>
      <c r="L463" s="8264"/>
      <c r="M463" s="8264"/>
      <c r="N463" s="8264"/>
      <c r="O463" s="8264"/>
      <c r="P463" s="8264"/>
      <c r="Q463" s="8264"/>
      <c r="R463" s="8264"/>
      <c r="S463" s="8264"/>
      <c r="T463" s="465" cm="1" t="str">
        <f t="array" ref="T463:T463">T462</f>
        <v>true</v>
      </c>
      <c r="U463" s="8264"/>
      <c r="V463" s="8264"/>
      <c r="W463" s="8264"/>
      <c r="X463" s="8264"/>
      <c r="Y463" s="8264"/>
      <c r="Z463" s="8264"/>
      <c r="AA463" s="8264"/>
      <c r="AB463" s="255" t="str">
        <f>K463&amp;" год"</f>
        <v>2043 год</v>
      </c>
      <c r="AC463" s="408"/>
      <c r="AD463" s="8318"/>
      <c r="AE463" s="8317"/>
      <c r="AF463" s="8317"/>
      <c r="AG463" s="8318"/>
      <c r="AH463" s="8317"/>
      <c r="AI463" s="8318"/>
      <c r="AJ463" s="8317"/>
      <c r="AK463" s="8319"/>
      <c r="AL463" s="403"/>
      <c r="AM463" s="8264"/>
      <c r="AN463" s="1064" cm="1" t="str">
        <f t="array" ref="AN463:AN463">K463</f>
        <v>2043</v>
      </c>
      <c r="AO463" s="1064" t="s">
        <v>2977</v>
      </c>
      <c r="AP463" s="1074" cm="1" t="str">
        <f t="array" ref="AP463:AP463">AP462</f>
        <v>Водоотведение (Калтанский городской округ)</v>
      </c>
      <c r="AQ463" s="703"/>
      <c r="AR463" s="703"/>
    </row>
    <row s="8264" customFormat="1" customHeight="1" ht="14.25" hidden="1">
      <c r="A464" s="8264"/>
      <c r="B464" s="445">
        <f>K464&lt;first_year+PERIOD_LENGTH</f>
        <v>0</v>
      </c>
      <c r="C464" s="8264"/>
      <c r="D464" s="8264"/>
      <c r="E464" s="703">
        <v>15</v>
      </c>
      <c r="F464" s="50" cm="1" t="str">
        <f t="array" ref="F464:F464">OFFSET(E464,-1,1)</f>
        <v>4</v>
      </c>
      <c r="G464" s="98" cm="1" t="str">
        <f t="array" ref="G464:G464">G463</f>
        <v>Водоотведение (Калтанский городской округ)</v>
      </c>
      <c r="H464" s="8264"/>
      <c r="I464" s="8264"/>
      <c r="J464" s="8264"/>
      <c r="K464" s="158">
        <f>first_year+18</f>
        <v>2044</v>
      </c>
      <c r="L464" s="8264"/>
      <c r="M464" s="8264"/>
      <c r="N464" s="8264"/>
      <c r="O464" s="8264"/>
      <c r="P464" s="8264"/>
      <c r="Q464" s="8264"/>
      <c r="R464" s="8264"/>
      <c r="S464" s="8264"/>
      <c r="T464" s="465" cm="1" t="str">
        <f t="array" ref="T464:T464">T463</f>
        <v>true</v>
      </c>
      <c r="U464" s="8264"/>
      <c r="V464" s="8264"/>
      <c r="W464" s="8264"/>
      <c r="X464" s="8264"/>
      <c r="Y464" s="8264"/>
      <c r="Z464" s="8264"/>
      <c r="AA464" s="8264"/>
      <c r="AB464" s="255" t="str">
        <f>K464&amp;" год"</f>
        <v>2044 год</v>
      </c>
      <c r="AC464" s="408"/>
      <c r="AD464" s="8318"/>
      <c r="AE464" s="8317"/>
      <c r="AF464" s="8317"/>
      <c r="AG464" s="8318"/>
      <c r="AH464" s="8317"/>
      <c r="AI464" s="8318"/>
      <c r="AJ464" s="8317"/>
      <c r="AK464" s="8319"/>
      <c r="AL464" s="403"/>
      <c r="AM464" s="8264"/>
      <c r="AN464" s="1064" cm="1" t="str">
        <f t="array" ref="AN464:AN464">K464</f>
        <v>2044</v>
      </c>
      <c r="AO464" s="1064" t="s">
        <v>2977</v>
      </c>
      <c r="AP464" s="1074" cm="1" t="str">
        <f t="array" ref="AP464:AP464">AP463</f>
        <v>Водоотведение (Калтанский городской округ)</v>
      </c>
      <c r="AQ464" s="703"/>
      <c r="AR464" s="703"/>
    </row>
    <row s="8264" customFormat="1" customHeight="1" ht="14.25" hidden="1">
      <c r="A465" s="8264"/>
      <c r="B465" s="445">
        <f>K465&lt;first_year+PERIOD_LENGTH</f>
        <v>0</v>
      </c>
      <c r="C465" s="8264"/>
      <c r="D465" s="8264"/>
      <c r="E465" s="703">
        <v>15</v>
      </c>
      <c r="F465" s="50" cm="1" t="str">
        <f t="array" ref="F465:F465">OFFSET(E465,-1,1)</f>
        <v>4</v>
      </c>
      <c r="G465" s="98" cm="1" t="str">
        <f t="array" ref="G465:G465">G464</f>
        <v>Водоотведение (Калтанский городской округ)</v>
      </c>
      <c r="H465" s="8264"/>
      <c r="I465" s="8264"/>
      <c r="J465" s="8264"/>
      <c r="K465" s="158">
        <f>first_year+19</f>
        <v>2045</v>
      </c>
      <c r="L465" s="8264"/>
      <c r="M465" s="8264"/>
      <c r="N465" s="8264"/>
      <c r="O465" s="8264"/>
      <c r="P465" s="8264"/>
      <c r="Q465" s="8264"/>
      <c r="R465" s="8264"/>
      <c r="S465" s="8264"/>
      <c r="T465" s="465" cm="1" t="str">
        <f t="array" ref="T465:T465">T464</f>
        <v>true</v>
      </c>
      <c r="U465" s="8264"/>
      <c r="V465" s="8264"/>
      <c r="W465" s="8264"/>
      <c r="X465" s="8264"/>
      <c r="Y465" s="8264"/>
      <c r="Z465" s="8264"/>
      <c r="AA465" s="8264"/>
      <c r="AB465" s="255" t="str">
        <f>K465&amp;" год"</f>
        <v>2045 год</v>
      </c>
      <c r="AC465" s="408"/>
      <c r="AD465" s="8318"/>
      <c r="AE465" s="8317"/>
      <c r="AF465" s="8317"/>
      <c r="AG465" s="8318"/>
      <c r="AH465" s="8317"/>
      <c r="AI465" s="8318"/>
      <c r="AJ465" s="8317"/>
      <c r="AK465" s="8319"/>
      <c r="AL465" s="403"/>
      <c r="AM465" s="8264"/>
      <c r="AN465" s="1064" cm="1" t="str">
        <f t="array" ref="AN465:AN465">K465</f>
        <v>2045</v>
      </c>
      <c r="AO465" s="1064" t="s">
        <v>2977</v>
      </c>
      <c r="AP465" s="1074" cm="1" t="str">
        <f t="array" ref="AP465:AP465">AP464</f>
        <v>Водоотведение (Калтанский городской округ)</v>
      </c>
      <c r="AQ465" s="703"/>
      <c r="AR465" s="703"/>
    </row>
    <row s="8264" customFormat="1" customHeight="1" ht="14.25" hidden="1">
      <c r="A466" s="8264"/>
      <c r="B466" s="445">
        <f>K466&lt;first_year+PERIOD_LENGTH</f>
        <v>0</v>
      </c>
      <c r="C466" s="8264"/>
      <c r="D466" s="8264"/>
      <c r="E466" s="703">
        <v>15</v>
      </c>
      <c r="F466" s="50" cm="1" t="str">
        <f t="array" ref="F466:F466">OFFSET(E466,-1,1)</f>
        <v>4</v>
      </c>
      <c r="G466" s="98" cm="1" t="str">
        <f t="array" ref="G466:G466">G465</f>
        <v>Водоотведение (Калтанский городской округ)</v>
      </c>
      <c r="H466" s="8264"/>
      <c r="I466" s="8264"/>
      <c r="J466" s="8264"/>
      <c r="K466" s="158">
        <f>first_year+20</f>
        <v>2046</v>
      </c>
      <c r="L466" s="8264"/>
      <c r="M466" s="8264"/>
      <c r="N466" s="8264"/>
      <c r="O466" s="8264"/>
      <c r="P466" s="8264"/>
      <c r="Q466" s="8264"/>
      <c r="R466" s="8264"/>
      <c r="S466" s="8264"/>
      <c r="T466" s="465" cm="1" t="str">
        <f t="array" ref="T466:T466">T465</f>
        <v>true</v>
      </c>
      <c r="U466" s="8264"/>
      <c r="V466" s="8264"/>
      <c r="W466" s="8264"/>
      <c r="X466" s="8264"/>
      <c r="Y466" s="8264"/>
      <c r="Z466" s="8264"/>
      <c r="AA466" s="8264"/>
      <c r="AB466" s="255" t="str">
        <f>K466&amp;" год"</f>
        <v>2046 год</v>
      </c>
      <c r="AC466" s="408"/>
      <c r="AD466" s="8318"/>
      <c r="AE466" s="8317"/>
      <c r="AF466" s="8317"/>
      <c r="AG466" s="8318"/>
      <c r="AH466" s="8317"/>
      <c r="AI466" s="8318"/>
      <c r="AJ466" s="8317"/>
      <c r="AK466" s="8319"/>
      <c r="AL466" s="403"/>
      <c r="AM466" s="8264"/>
      <c r="AN466" s="1064" cm="1" t="str">
        <f t="array" ref="AN466:AN466">K466</f>
        <v>2046</v>
      </c>
      <c r="AO466" s="1064" t="s">
        <v>2977</v>
      </c>
      <c r="AP466" s="1074" cm="1" t="str">
        <f t="array" ref="AP466:AP466">AP465</f>
        <v>Водоотведение (Калтанский городской округ)</v>
      </c>
      <c r="AQ466" s="703"/>
      <c r="AR466" s="703"/>
    </row>
    <row s="8264" customFormat="1" customHeight="1" ht="14.25" hidden="1">
      <c r="A467" s="8264"/>
      <c r="B467" s="445">
        <f>K467&lt;first_year+PERIOD_LENGTH</f>
        <v>0</v>
      </c>
      <c r="C467" s="8264"/>
      <c r="D467" s="8264"/>
      <c r="E467" s="703">
        <v>15</v>
      </c>
      <c r="F467" s="50" cm="1" t="str">
        <f t="array" ref="F467:F467">OFFSET(E467,-1,1)</f>
        <v>4</v>
      </c>
      <c r="G467" s="98" cm="1" t="str">
        <f t="array" ref="G467:G467">G466</f>
        <v>Водоотведение (Калтанский городской округ)</v>
      </c>
      <c r="H467" s="8264"/>
      <c r="I467" s="8264"/>
      <c r="J467" s="8264"/>
      <c r="K467" s="158">
        <f>first_year+21</f>
        <v>2047</v>
      </c>
      <c r="L467" s="8264"/>
      <c r="M467" s="8264"/>
      <c r="N467" s="8264"/>
      <c r="O467" s="8264"/>
      <c r="P467" s="8264"/>
      <c r="Q467" s="8264"/>
      <c r="R467" s="8264"/>
      <c r="S467" s="8264"/>
      <c r="T467" s="465" cm="1" t="str">
        <f t="array" ref="T467:T467">T466</f>
        <v>true</v>
      </c>
      <c r="U467" s="8264"/>
      <c r="V467" s="8264"/>
      <c r="W467" s="8264"/>
      <c r="X467" s="8264"/>
      <c r="Y467" s="8264"/>
      <c r="Z467" s="8264"/>
      <c r="AA467" s="8264"/>
      <c r="AB467" s="255" t="str">
        <f>K467&amp;" год"</f>
        <v>2047 год</v>
      </c>
      <c r="AC467" s="408"/>
      <c r="AD467" s="8318"/>
      <c r="AE467" s="8317"/>
      <c r="AF467" s="8317"/>
      <c r="AG467" s="8318"/>
      <c r="AH467" s="8317"/>
      <c r="AI467" s="8318"/>
      <c r="AJ467" s="8317"/>
      <c r="AK467" s="8319"/>
      <c r="AL467" s="403"/>
      <c r="AM467" s="8264"/>
      <c r="AN467" s="1064" cm="1" t="str">
        <f t="array" ref="AN467:AN467">K467</f>
        <v>2047</v>
      </c>
      <c r="AO467" s="1064" t="s">
        <v>2977</v>
      </c>
      <c r="AP467" s="1074" cm="1" t="str">
        <f t="array" ref="AP467:AP467">AP466</f>
        <v>Водоотведение (Калтанский городской округ)</v>
      </c>
      <c r="AQ467" s="703"/>
      <c r="AR467" s="703"/>
    </row>
    <row s="8264" customFormat="1" customHeight="1" ht="14.25" hidden="1">
      <c r="A468" s="8264"/>
      <c r="B468" s="445">
        <f>K468&lt;first_year+PERIOD_LENGTH</f>
        <v>0</v>
      </c>
      <c r="C468" s="8264"/>
      <c r="D468" s="8264"/>
      <c r="E468" s="703">
        <v>15</v>
      </c>
      <c r="F468" s="50" cm="1" t="str">
        <f t="array" ref="F468:F468">OFFSET(E468,-1,1)</f>
        <v>4</v>
      </c>
      <c r="G468" s="98" cm="1" t="str">
        <f t="array" ref="G468:G468">G467</f>
        <v>Водоотведение (Калтанский городской округ)</v>
      </c>
      <c r="H468" s="8264"/>
      <c r="I468" s="8264"/>
      <c r="J468" s="8264"/>
      <c r="K468" s="158">
        <f>first_year+22</f>
        <v>2048</v>
      </c>
      <c r="L468" s="8264"/>
      <c r="M468" s="8264"/>
      <c r="N468" s="8264"/>
      <c r="O468" s="8264"/>
      <c r="P468" s="8264"/>
      <c r="Q468" s="8264"/>
      <c r="R468" s="8264"/>
      <c r="S468" s="8264"/>
      <c r="T468" s="465" cm="1" t="str">
        <f t="array" ref="T468:T468">T467</f>
        <v>true</v>
      </c>
      <c r="U468" s="8264"/>
      <c r="V468" s="8264"/>
      <c r="W468" s="8264"/>
      <c r="X468" s="8264"/>
      <c r="Y468" s="8264"/>
      <c r="Z468" s="8264"/>
      <c r="AA468" s="8264"/>
      <c r="AB468" s="255" t="str">
        <f>K468&amp;" год"</f>
        <v>2048 год</v>
      </c>
      <c r="AC468" s="408"/>
      <c r="AD468" s="8318"/>
      <c r="AE468" s="8317"/>
      <c r="AF468" s="8317"/>
      <c r="AG468" s="8318"/>
      <c r="AH468" s="8317"/>
      <c r="AI468" s="8318"/>
      <c r="AJ468" s="8317"/>
      <c r="AK468" s="8319"/>
      <c r="AL468" s="403"/>
      <c r="AM468" s="8264"/>
      <c r="AN468" s="1064" cm="1" t="str">
        <f t="array" ref="AN468:AN468">K468</f>
        <v>2048</v>
      </c>
      <c r="AO468" s="1064" t="s">
        <v>2977</v>
      </c>
      <c r="AP468" s="1074" cm="1" t="str">
        <f t="array" ref="AP468:AP468">AP467</f>
        <v>Водоотведение (Калтанский городской округ)</v>
      </c>
      <c r="AQ468" s="703"/>
      <c r="AR468" s="703"/>
    </row>
    <row s="8264" customFormat="1" customHeight="1" ht="14.25" hidden="1">
      <c r="A469" s="8264"/>
      <c r="B469" s="445">
        <f>K469&lt;first_year+PERIOD_LENGTH</f>
        <v>0</v>
      </c>
      <c r="C469" s="8264"/>
      <c r="D469" s="8264"/>
      <c r="E469" s="703">
        <v>15</v>
      </c>
      <c r="F469" s="50" cm="1" t="str">
        <f t="array" ref="F469:F469">OFFSET(E469,-1,1)</f>
        <v>4</v>
      </c>
      <c r="G469" s="98" cm="1" t="str">
        <f t="array" ref="G469:G469">G468</f>
        <v>Водоотведение (Калтанский городской округ)</v>
      </c>
      <c r="H469" s="8264"/>
      <c r="I469" s="8264"/>
      <c r="J469" s="8264"/>
      <c r="K469" s="158">
        <f>first_year+23</f>
        <v>2049</v>
      </c>
      <c r="L469" s="8264"/>
      <c r="M469" s="8264"/>
      <c r="N469" s="8264"/>
      <c r="O469" s="8264"/>
      <c r="P469" s="8264"/>
      <c r="Q469" s="8264"/>
      <c r="R469" s="8264"/>
      <c r="S469" s="8264"/>
      <c r="T469" s="465" cm="1" t="str">
        <f t="array" ref="T469:T469">T468</f>
        <v>true</v>
      </c>
      <c r="U469" s="8264"/>
      <c r="V469" s="8264"/>
      <c r="W469" s="8264"/>
      <c r="X469" s="8264"/>
      <c r="Y469" s="8264"/>
      <c r="Z469" s="8264"/>
      <c r="AA469" s="8264"/>
      <c r="AB469" s="255" t="str">
        <f>K469&amp;" год"</f>
        <v>2049 год</v>
      </c>
      <c r="AC469" s="408"/>
      <c r="AD469" s="8318"/>
      <c r="AE469" s="8317"/>
      <c r="AF469" s="8317"/>
      <c r="AG469" s="8318"/>
      <c r="AH469" s="8317"/>
      <c r="AI469" s="8318"/>
      <c r="AJ469" s="8317"/>
      <c r="AK469" s="8319"/>
      <c r="AL469" s="403"/>
      <c r="AM469" s="8264"/>
      <c r="AN469" s="1064" cm="1" t="str">
        <f t="array" ref="AN469:AN469">K469</f>
        <v>2049</v>
      </c>
      <c r="AO469" s="1064" t="s">
        <v>2977</v>
      </c>
      <c r="AP469" s="1074" cm="1" t="str">
        <f t="array" ref="AP469:AP469">AP468</f>
        <v>Водоотведение (Калтанский городской округ)</v>
      </c>
      <c r="AQ469" s="703"/>
      <c r="AR469" s="703"/>
    </row>
    <row s="8264" customFormat="1" customHeight="1" ht="14.25" hidden="1">
      <c r="A470" s="8264"/>
      <c r="B470" s="445">
        <f>K470&lt;first_year+PERIOD_LENGTH</f>
        <v>0</v>
      </c>
      <c r="C470" s="8264"/>
      <c r="D470" s="8264"/>
      <c r="E470" s="703">
        <v>15</v>
      </c>
      <c r="F470" s="50" cm="1" t="str">
        <f t="array" ref="F470:F470">OFFSET(E470,-1,1)</f>
        <v>4</v>
      </c>
      <c r="G470" s="98" cm="1" t="str">
        <f t="array" ref="G470:G470">G469</f>
        <v>Водоотведение (Калтанский городской округ)</v>
      </c>
      <c r="H470" s="8264"/>
      <c r="I470" s="8264"/>
      <c r="J470" s="8264"/>
      <c r="K470" s="158">
        <f>first_year+24</f>
        <v>2050</v>
      </c>
      <c r="L470" s="8264"/>
      <c r="M470" s="8264"/>
      <c r="N470" s="8264"/>
      <c r="O470" s="8264"/>
      <c r="P470" s="8264"/>
      <c r="Q470" s="8264"/>
      <c r="R470" s="8264"/>
      <c r="S470" s="8264"/>
      <c r="T470" s="465" cm="1" t="str">
        <f t="array" ref="T470:T470">T469</f>
        <v>true</v>
      </c>
      <c r="U470" s="8264"/>
      <c r="V470" s="8264"/>
      <c r="W470" s="8264"/>
      <c r="X470" s="8264"/>
      <c r="Y470" s="8264"/>
      <c r="Z470" s="8264"/>
      <c r="AA470" s="8264"/>
      <c r="AB470" s="255" t="str">
        <f>K470&amp;" год"</f>
        <v>2050 год</v>
      </c>
      <c r="AC470" s="408"/>
      <c r="AD470" s="8318"/>
      <c r="AE470" s="8317"/>
      <c r="AF470" s="8317"/>
      <c r="AG470" s="8318"/>
      <c r="AH470" s="8317"/>
      <c r="AI470" s="8318"/>
      <c r="AJ470" s="8317"/>
      <c r="AK470" s="8319"/>
      <c r="AL470" s="403"/>
      <c r="AM470" s="8264"/>
      <c r="AN470" s="1064" cm="1" t="str">
        <f t="array" ref="AN470:AN470">K470</f>
        <v>2050</v>
      </c>
      <c r="AO470" s="1064" t="s">
        <v>2977</v>
      </c>
      <c r="AP470" s="1074" cm="1" t="str">
        <f t="array" ref="AP470:AP470">AP469</f>
        <v>Водоотведение (Калтанский городской округ)</v>
      </c>
      <c r="AQ470" s="703"/>
      <c r="AR470" s="703"/>
    </row>
    <row s="8264" customFormat="1" customHeight="1" ht="14.25" hidden="1">
      <c r="A471" s="8264"/>
      <c r="B471" s="445">
        <f>K471&lt;first_year+PERIOD_LENGTH</f>
        <v>0</v>
      </c>
      <c r="C471" s="8264"/>
      <c r="D471" s="8264"/>
      <c r="E471" s="703">
        <v>15</v>
      </c>
      <c r="F471" s="50" cm="1" t="str">
        <f t="array" ref="F471:F471">OFFSET(E471,-1,1)</f>
        <v>4</v>
      </c>
      <c r="G471" s="98" cm="1" t="str">
        <f t="array" ref="G471:G471">G470</f>
        <v>Водоотведение (Калтанский городской округ)</v>
      </c>
      <c r="H471" s="8264"/>
      <c r="I471" s="8264"/>
      <c r="J471" s="8264"/>
      <c r="K471" s="158">
        <f>first_year+25</f>
        <v>2051</v>
      </c>
      <c r="L471" s="8264"/>
      <c r="M471" s="8264"/>
      <c r="N471" s="8264"/>
      <c r="O471" s="8264"/>
      <c r="P471" s="8264"/>
      <c r="Q471" s="8264"/>
      <c r="R471" s="8264"/>
      <c r="S471" s="8264"/>
      <c r="T471" s="465" cm="1" t="str">
        <f t="array" ref="T471:T471">T470</f>
        <v>true</v>
      </c>
      <c r="U471" s="8264"/>
      <c r="V471" s="8264"/>
      <c r="W471" s="8264"/>
      <c r="X471" s="8264"/>
      <c r="Y471" s="8264"/>
      <c r="Z471" s="8264"/>
      <c r="AA471" s="8264"/>
      <c r="AB471" s="255" t="str">
        <f>K471&amp;" год"</f>
        <v>2051 год</v>
      </c>
      <c r="AC471" s="408"/>
      <c r="AD471" s="8318"/>
      <c r="AE471" s="8317"/>
      <c r="AF471" s="8317"/>
      <c r="AG471" s="8318"/>
      <c r="AH471" s="8317"/>
      <c r="AI471" s="8318"/>
      <c r="AJ471" s="8317"/>
      <c r="AK471" s="8319"/>
      <c r="AL471" s="403"/>
      <c r="AM471" s="8264"/>
      <c r="AN471" s="1064" cm="1" t="str">
        <f t="array" ref="AN471:AN471">K471</f>
        <v>2051</v>
      </c>
      <c r="AO471" s="1064" t="s">
        <v>2977</v>
      </c>
      <c r="AP471" s="1074" cm="1" t="str">
        <f t="array" ref="AP471:AP471">AP470</f>
        <v>Водоотведение (Калтанский городской округ)</v>
      </c>
      <c r="AQ471" s="703"/>
      <c r="AR471" s="703"/>
    </row>
    <row s="8264" customFormat="1" customHeight="1" ht="14.25" hidden="1">
      <c r="A472" s="8264"/>
      <c r="B472" s="445">
        <f>K472&lt;first_year+PERIOD_LENGTH</f>
        <v>0</v>
      </c>
      <c r="C472" s="8264"/>
      <c r="D472" s="8264"/>
      <c r="E472" s="703">
        <v>15</v>
      </c>
      <c r="F472" s="50" cm="1" t="str">
        <f t="array" ref="F472:F472">OFFSET(E472,-1,1)</f>
        <v>4</v>
      </c>
      <c r="G472" s="98" cm="1" t="str">
        <f t="array" ref="G472:G472">G471</f>
        <v>Водоотведение (Калтанский городской округ)</v>
      </c>
      <c r="H472" s="8264"/>
      <c r="I472" s="8264"/>
      <c r="J472" s="8264"/>
      <c r="K472" s="158">
        <f>first_year+26</f>
        <v>2052</v>
      </c>
      <c r="L472" s="8264"/>
      <c r="M472" s="8264"/>
      <c r="N472" s="8264"/>
      <c r="O472" s="8264"/>
      <c r="P472" s="8264"/>
      <c r="Q472" s="8264"/>
      <c r="R472" s="8264"/>
      <c r="S472" s="8264"/>
      <c r="T472" s="465" cm="1" t="str">
        <f t="array" ref="T472:T472">T471</f>
        <v>true</v>
      </c>
      <c r="U472" s="8264"/>
      <c r="V472" s="8264"/>
      <c r="W472" s="8264"/>
      <c r="X472" s="8264"/>
      <c r="Y472" s="8264"/>
      <c r="Z472" s="8264"/>
      <c r="AA472" s="8264"/>
      <c r="AB472" s="255" t="str">
        <f>K472&amp;" год"</f>
        <v>2052 год</v>
      </c>
      <c r="AC472" s="408"/>
      <c r="AD472" s="8318"/>
      <c r="AE472" s="8317"/>
      <c r="AF472" s="8317"/>
      <c r="AG472" s="8318"/>
      <c r="AH472" s="8317"/>
      <c r="AI472" s="8318"/>
      <c r="AJ472" s="8317"/>
      <c r="AK472" s="8319"/>
      <c r="AL472" s="403"/>
      <c r="AM472" s="8264"/>
      <c r="AN472" s="1064" cm="1" t="str">
        <f t="array" ref="AN472:AN472">K472</f>
        <v>2052</v>
      </c>
      <c r="AO472" s="1064" t="s">
        <v>2977</v>
      </c>
      <c r="AP472" s="1074" cm="1" t="str">
        <f t="array" ref="AP472:AP472">AP471</f>
        <v>Водоотведение (Калтанский городской округ)</v>
      </c>
      <c r="AQ472" s="703"/>
      <c r="AR472" s="703"/>
    </row>
    <row s="8264" customFormat="1" customHeight="1" ht="14.25" hidden="1">
      <c r="A473" s="8264"/>
      <c r="B473" s="445">
        <f>K473&lt;first_year+PERIOD_LENGTH</f>
        <v>0</v>
      </c>
      <c r="C473" s="8264"/>
      <c r="D473" s="8264"/>
      <c r="E473" s="703">
        <v>15</v>
      </c>
      <c r="F473" s="50" cm="1" t="str">
        <f t="array" ref="F473:F473">OFFSET(E473,-1,1)</f>
        <v>4</v>
      </c>
      <c r="G473" s="98" cm="1" t="str">
        <f t="array" ref="G473:G473">G472</f>
        <v>Водоотведение (Калтанский городской округ)</v>
      </c>
      <c r="H473" s="8264"/>
      <c r="I473" s="8264"/>
      <c r="J473" s="8264"/>
      <c r="K473" s="158">
        <f>first_year+27</f>
        <v>2053</v>
      </c>
      <c r="L473" s="8264"/>
      <c r="M473" s="8264"/>
      <c r="N473" s="8264"/>
      <c r="O473" s="8264"/>
      <c r="P473" s="8264"/>
      <c r="Q473" s="8264"/>
      <c r="R473" s="8264"/>
      <c r="S473" s="8264"/>
      <c r="T473" s="465" cm="1" t="str">
        <f t="array" ref="T473:T473">T472</f>
        <v>true</v>
      </c>
      <c r="U473" s="8264"/>
      <c r="V473" s="8264"/>
      <c r="W473" s="8264"/>
      <c r="X473" s="8264"/>
      <c r="Y473" s="8264"/>
      <c r="Z473" s="8264"/>
      <c r="AA473" s="8264"/>
      <c r="AB473" s="255" t="str">
        <f>K473&amp;" год"</f>
        <v>2053 год</v>
      </c>
      <c r="AC473" s="408"/>
      <c r="AD473" s="8318"/>
      <c r="AE473" s="8317"/>
      <c r="AF473" s="8317"/>
      <c r="AG473" s="8318"/>
      <c r="AH473" s="8317"/>
      <c r="AI473" s="8318"/>
      <c r="AJ473" s="8317"/>
      <c r="AK473" s="8319"/>
      <c r="AL473" s="403"/>
      <c r="AM473" s="8264"/>
      <c r="AN473" s="1064" cm="1" t="str">
        <f t="array" ref="AN473:AN473">K473</f>
        <v>2053</v>
      </c>
      <c r="AO473" s="1064" t="s">
        <v>2977</v>
      </c>
      <c r="AP473" s="1074" cm="1" t="str">
        <f t="array" ref="AP473:AP473">AP472</f>
        <v>Водоотведение (Калтанский городской округ)</v>
      </c>
      <c r="AQ473" s="703"/>
      <c r="AR473" s="703"/>
    </row>
    <row s="8264" customFormat="1" customHeight="1" ht="14.25" hidden="1">
      <c r="A474" s="8264"/>
      <c r="B474" s="445">
        <f>K474&lt;first_year+PERIOD_LENGTH</f>
        <v>0</v>
      </c>
      <c r="C474" s="8264"/>
      <c r="D474" s="8264"/>
      <c r="E474" s="703">
        <v>15</v>
      </c>
      <c r="F474" s="50" cm="1" t="str">
        <f t="array" ref="F474:F474">OFFSET(E474,-1,1)</f>
        <v>4</v>
      </c>
      <c r="G474" s="98" cm="1" t="str">
        <f t="array" ref="G474:G474">G473</f>
        <v>Водоотведение (Калтанский городской округ)</v>
      </c>
      <c r="H474" s="8264"/>
      <c r="I474" s="8264"/>
      <c r="J474" s="8264"/>
      <c r="K474" s="158">
        <f>first_year+28</f>
        <v>2054</v>
      </c>
      <c r="L474" s="8264"/>
      <c r="M474" s="8264"/>
      <c r="N474" s="8264"/>
      <c r="O474" s="8264"/>
      <c r="P474" s="8264"/>
      <c r="Q474" s="8264"/>
      <c r="R474" s="8264"/>
      <c r="S474" s="8264"/>
      <c r="T474" s="465" cm="1" t="str">
        <f t="array" ref="T474:T474">T473</f>
        <v>true</v>
      </c>
      <c r="U474" s="8264"/>
      <c r="V474" s="8264"/>
      <c r="W474" s="8264"/>
      <c r="X474" s="8264"/>
      <c r="Y474" s="8264"/>
      <c r="Z474" s="8264"/>
      <c r="AA474" s="8264"/>
      <c r="AB474" s="255" t="str">
        <f>K474&amp;" год"</f>
        <v>2054 год</v>
      </c>
      <c r="AC474" s="408"/>
      <c r="AD474" s="8318"/>
      <c r="AE474" s="8317"/>
      <c r="AF474" s="8317"/>
      <c r="AG474" s="8318"/>
      <c r="AH474" s="8317"/>
      <c r="AI474" s="8318"/>
      <c r="AJ474" s="8317"/>
      <c r="AK474" s="8319"/>
      <c r="AL474" s="403"/>
      <c r="AM474" s="8264"/>
      <c r="AN474" s="1064" cm="1" t="str">
        <f t="array" ref="AN474:AN474">K474</f>
        <v>2054</v>
      </c>
      <c r="AO474" s="1064" t="s">
        <v>2977</v>
      </c>
      <c r="AP474" s="1074" cm="1" t="str">
        <f t="array" ref="AP474:AP474">AP473</f>
        <v>Водоотведение (Калтанский городской округ)</v>
      </c>
      <c r="AQ474" s="703"/>
      <c r="AR474" s="703"/>
    </row>
    <row s="8264" customFormat="1" customHeight="1" ht="14.25" hidden="1">
      <c r="A475" s="8264"/>
      <c r="B475" s="445">
        <f>K475&lt;first_year+PERIOD_LENGTH</f>
        <v>0</v>
      </c>
      <c r="C475" s="8264"/>
      <c r="D475" s="8264"/>
      <c r="E475" s="703">
        <v>15</v>
      </c>
      <c r="F475" s="50" cm="1" t="str">
        <f t="array" ref="F475:F475">OFFSET(E475,-1,1)</f>
        <v>4</v>
      </c>
      <c r="G475" s="98" cm="1" t="str">
        <f t="array" ref="G475:G475">G474</f>
        <v>Водоотведение (Калтанский городской округ)</v>
      </c>
      <c r="H475" s="8264"/>
      <c r="I475" s="8264"/>
      <c r="J475" s="8264"/>
      <c r="K475" s="158">
        <f>first_year+29</f>
        <v>2055</v>
      </c>
      <c r="L475" s="8264"/>
      <c r="M475" s="8264"/>
      <c r="N475" s="8264"/>
      <c r="O475" s="8264"/>
      <c r="P475" s="8264"/>
      <c r="Q475" s="8264"/>
      <c r="R475" s="8264"/>
      <c r="S475" s="8264"/>
      <c r="T475" s="465" cm="1" t="str">
        <f t="array" ref="T475:T475">T474</f>
        <v>true</v>
      </c>
      <c r="U475" s="8264"/>
      <c r="V475" s="8264"/>
      <c r="W475" s="8264"/>
      <c r="X475" s="8264"/>
      <c r="Y475" s="8264"/>
      <c r="Z475" s="8264"/>
      <c r="AA475" s="8264"/>
      <c r="AB475" s="255" t="str">
        <f>K475&amp;" год"</f>
        <v>2055 год</v>
      </c>
      <c r="AC475" s="408"/>
      <c r="AD475" s="8318"/>
      <c r="AE475" s="8317"/>
      <c r="AF475" s="8317"/>
      <c r="AG475" s="8318"/>
      <c r="AH475" s="8317"/>
      <c r="AI475" s="8318"/>
      <c r="AJ475" s="8317"/>
      <c r="AK475" s="8319"/>
      <c r="AL475" s="403"/>
      <c r="AM475" s="8264"/>
      <c r="AN475" s="1064" cm="1" t="str">
        <f t="array" ref="AN475:AN475">K475</f>
        <v>2055</v>
      </c>
      <c r="AO475" s="1064" t="s">
        <v>2977</v>
      </c>
      <c r="AP475" s="1074" cm="1" t="str">
        <f t="array" ref="AP475:AP475">AP474</f>
        <v>Водоотведение (Калтанский городской округ)</v>
      </c>
      <c r="AQ475" s="703"/>
      <c r="AR475" s="703"/>
    </row>
    <row s="8264" customFormat="1" customHeight="1" ht="14.25" hidden="1">
      <c r="A476" s="8264"/>
      <c r="B476" s="445">
        <f>K476&lt;first_year+PERIOD_LENGTH</f>
        <v>0</v>
      </c>
      <c r="C476" s="8264"/>
      <c r="D476" s="8264"/>
      <c r="E476" s="703">
        <v>15</v>
      </c>
      <c r="F476" s="50" cm="1" t="str">
        <f t="array" ref="F476:F476">OFFSET(E476,-1,1)</f>
        <v>4</v>
      </c>
      <c r="G476" s="98" cm="1" t="str">
        <f t="array" ref="G476:G476">G475</f>
        <v>Водоотведение (Калтанский городской округ)</v>
      </c>
      <c r="H476" s="8264"/>
      <c r="I476" s="8264"/>
      <c r="J476" s="8264"/>
      <c r="K476" s="158">
        <f>first_year+30</f>
        <v>2056</v>
      </c>
      <c r="L476" s="8264"/>
      <c r="M476" s="8264"/>
      <c r="N476" s="8264"/>
      <c r="O476" s="8264"/>
      <c r="P476" s="8264"/>
      <c r="Q476" s="8264"/>
      <c r="R476" s="8264"/>
      <c r="S476" s="8264"/>
      <c r="T476" s="465" cm="1" t="str">
        <f t="array" ref="T476:T476">T475</f>
        <v>true</v>
      </c>
      <c r="U476" s="8264"/>
      <c r="V476" s="8264"/>
      <c r="W476" s="8264"/>
      <c r="X476" s="8264"/>
      <c r="Y476" s="8264"/>
      <c r="Z476" s="8264"/>
      <c r="AA476" s="8264"/>
      <c r="AB476" s="255" t="str">
        <f>K476&amp;" год"</f>
        <v>2056 год</v>
      </c>
      <c r="AC476" s="408"/>
      <c r="AD476" s="8318"/>
      <c r="AE476" s="8317"/>
      <c r="AF476" s="8317"/>
      <c r="AG476" s="8318"/>
      <c r="AH476" s="8317"/>
      <c r="AI476" s="8318"/>
      <c r="AJ476" s="8317"/>
      <c r="AK476" s="8319"/>
      <c r="AL476" s="403"/>
      <c r="AM476" s="8264"/>
      <c r="AN476" s="1064" cm="1" t="str">
        <f t="array" ref="AN476:AN476">K476</f>
        <v>2056</v>
      </c>
      <c r="AO476" s="1064" t="s">
        <v>2977</v>
      </c>
      <c r="AP476" s="1074" cm="1" t="str">
        <f t="array" ref="AP476:AP476">AP475</f>
        <v>Водоотведение (Калтанский городской округ)</v>
      </c>
      <c r="AQ476" s="703"/>
      <c r="AR476" s="703"/>
    </row>
    <row s="8264" customFormat="1" customHeight="1" ht="14.25" hidden="1">
      <c r="A477" s="8264"/>
      <c r="B477" s="445">
        <f>K477&lt;first_year+PERIOD_LENGTH</f>
        <v>0</v>
      </c>
      <c r="C477" s="8264"/>
      <c r="D477" s="8264"/>
      <c r="E477" s="703">
        <v>15</v>
      </c>
      <c r="F477" s="50" cm="1" t="str">
        <f t="array" ref="F477:F477">OFFSET(E477,-1,1)</f>
        <v>4</v>
      </c>
      <c r="G477" s="98" cm="1" t="str">
        <f t="array" ref="G477:G477">G476</f>
        <v>Водоотведение (Калтанский городской округ)</v>
      </c>
      <c r="H477" s="8264"/>
      <c r="I477" s="8264"/>
      <c r="J477" s="8264"/>
      <c r="K477" s="158">
        <f>first_year+31</f>
        <v>2057</v>
      </c>
      <c r="L477" s="8264"/>
      <c r="M477" s="8264"/>
      <c r="N477" s="8264"/>
      <c r="O477" s="8264"/>
      <c r="P477" s="8264"/>
      <c r="Q477" s="8264"/>
      <c r="R477" s="8264"/>
      <c r="S477" s="8264"/>
      <c r="T477" s="465" cm="1" t="str">
        <f t="array" ref="T477:T477">T476</f>
        <v>true</v>
      </c>
      <c r="U477" s="8264"/>
      <c r="V477" s="8264"/>
      <c r="W477" s="8264"/>
      <c r="X477" s="8264"/>
      <c r="Y477" s="8264"/>
      <c r="Z477" s="8264"/>
      <c r="AA477" s="8264"/>
      <c r="AB477" s="255" t="str">
        <f>K477&amp;" год"</f>
        <v>2057 год</v>
      </c>
      <c r="AC477" s="408"/>
      <c r="AD477" s="8318"/>
      <c r="AE477" s="8317"/>
      <c r="AF477" s="8317"/>
      <c r="AG477" s="8318"/>
      <c r="AH477" s="8317"/>
      <c r="AI477" s="8318"/>
      <c r="AJ477" s="8317"/>
      <c r="AK477" s="8319"/>
      <c r="AL477" s="403"/>
      <c r="AM477" s="8264"/>
      <c r="AN477" s="1064" cm="1" t="str">
        <f t="array" ref="AN477:AN477">K477</f>
        <v>2057</v>
      </c>
      <c r="AO477" s="1064" t="s">
        <v>2977</v>
      </c>
      <c r="AP477" s="1074" cm="1" t="str">
        <f t="array" ref="AP477:AP477">AP476</f>
        <v>Водоотведение (Калтанский городской округ)</v>
      </c>
      <c r="AQ477" s="703"/>
      <c r="AR477" s="703"/>
    </row>
    <row s="8264" customFormat="1" customHeight="1" ht="14.25" hidden="1">
      <c r="A478" s="8264"/>
      <c r="B478" s="445">
        <f>K478&lt;first_year+PERIOD_LENGTH</f>
        <v>0</v>
      </c>
      <c r="C478" s="8264"/>
      <c r="D478" s="8264"/>
      <c r="E478" s="703">
        <v>15</v>
      </c>
      <c r="F478" s="50" cm="1" t="str">
        <f t="array" ref="F478:F478">OFFSET(E478,-1,1)</f>
        <v>4</v>
      </c>
      <c r="G478" s="98" cm="1" t="str">
        <f t="array" ref="G478:G478">G477</f>
        <v>Водоотведение (Калтанский городской округ)</v>
      </c>
      <c r="H478" s="8264"/>
      <c r="I478" s="8264"/>
      <c r="J478" s="8264"/>
      <c r="K478" s="158">
        <f>first_year+32</f>
        <v>2058</v>
      </c>
      <c r="L478" s="8264"/>
      <c r="M478" s="8264"/>
      <c r="N478" s="8264"/>
      <c r="O478" s="8264"/>
      <c r="P478" s="8264"/>
      <c r="Q478" s="8264"/>
      <c r="R478" s="8264"/>
      <c r="S478" s="8264"/>
      <c r="T478" s="465" cm="1" t="str">
        <f t="array" ref="T478:T478">T477</f>
        <v>true</v>
      </c>
      <c r="U478" s="8264"/>
      <c r="V478" s="8264"/>
      <c r="W478" s="8264"/>
      <c r="X478" s="8264"/>
      <c r="Y478" s="8264"/>
      <c r="Z478" s="8264"/>
      <c r="AA478" s="8264"/>
      <c r="AB478" s="255" t="str">
        <f>K478&amp;" год"</f>
        <v>2058 год</v>
      </c>
      <c r="AC478" s="408"/>
      <c r="AD478" s="8318"/>
      <c r="AE478" s="8317"/>
      <c r="AF478" s="8317"/>
      <c r="AG478" s="8318"/>
      <c r="AH478" s="8317"/>
      <c r="AI478" s="8318"/>
      <c r="AJ478" s="8317"/>
      <c r="AK478" s="8319"/>
      <c r="AL478" s="403"/>
      <c r="AM478" s="8264"/>
      <c r="AN478" s="1064" cm="1" t="str">
        <f t="array" ref="AN478:AN478">K478</f>
        <v>2058</v>
      </c>
      <c r="AO478" s="1064" t="s">
        <v>2977</v>
      </c>
      <c r="AP478" s="1074" cm="1" t="str">
        <f t="array" ref="AP478:AP478">AP477</f>
        <v>Водоотведение (Калтанский городской округ)</v>
      </c>
      <c r="AQ478" s="703"/>
      <c r="AR478" s="703"/>
    </row>
    <row s="8264" customFormat="1" customHeight="1" ht="14.25" hidden="1">
      <c r="A479" s="8264"/>
      <c r="B479" s="445">
        <f>K479&lt;first_year+PERIOD_LENGTH</f>
        <v>0</v>
      </c>
      <c r="C479" s="8264"/>
      <c r="D479" s="8264"/>
      <c r="E479" s="703">
        <v>15</v>
      </c>
      <c r="F479" s="50" cm="1" t="str">
        <f t="array" ref="F479:F479">OFFSET(E479,-1,1)</f>
        <v>4</v>
      </c>
      <c r="G479" s="98" cm="1" t="str">
        <f t="array" ref="G479:G479">G478</f>
        <v>Водоотведение (Калтанский городской округ)</v>
      </c>
      <c r="H479" s="8264"/>
      <c r="I479" s="8264"/>
      <c r="J479" s="8264"/>
      <c r="K479" s="158">
        <f>first_year+33</f>
        <v>2059</v>
      </c>
      <c r="L479" s="8264"/>
      <c r="M479" s="8264"/>
      <c r="N479" s="8264"/>
      <c r="O479" s="8264"/>
      <c r="P479" s="8264"/>
      <c r="Q479" s="8264"/>
      <c r="R479" s="8264"/>
      <c r="S479" s="8264"/>
      <c r="T479" s="465" cm="1" t="str">
        <f t="array" ref="T479:T479">T478</f>
        <v>true</v>
      </c>
      <c r="U479" s="8264"/>
      <c r="V479" s="8264"/>
      <c r="W479" s="8264"/>
      <c r="X479" s="8264"/>
      <c r="Y479" s="8264"/>
      <c r="Z479" s="8264"/>
      <c r="AA479" s="8264"/>
      <c r="AB479" s="255" t="str">
        <f>K479&amp;" год"</f>
        <v>2059 год</v>
      </c>
      <c r="AC479" s="408"/>
      <c r="AD479" s="8318"/>
      <c r="AE479" s="8317"/>
      <c r="AF479" s="8317"/>
      <c r="AG479" s="8318"/>
      <c r="AH479" s="8317"/>
      <c r="AI479" s="8318"/>
      <c r="AJ479" s="8317"/>
      <c r="AK479" s="8319"/>
      <c r="AL479" s="403"/>
      <c r="AM479" s="8264"/>
      <c r="AN479" s="1064" cm="1" t="str">
        <f t="array" ref="AN479:AN479">K479</f>
        <v>2059</v>
      </c>
      <c r="AO479" s="1064" t="s">
        <v>2977</v>
      </c>
      <c r="AP479" s="1074" cm="1" t="str">
        <f t="array" ref="AP479:AP479">AP478</f>
        <v>Водоотведение (Калтанский городской округ)</v>
      </c>
      <c r="AQ479" s="703"/>
      <c r="AR479" s="703"/>
    </row>
    <row s="8264" customFormat="1" customHeight="1" ht="14.25" hidden="1">
      <c r="A480" s="8264"/>
      <c r="B480" s="445">
        <f>K480&lt;first_year+PERIOD_LENGTH</f>
        <v>0</v>
      </c>
      <c r="C480" s="8264"/>
      <c r="D480" s="8264"/>
      <c r="E480" s="703">
        <v>15</v>
      </c>
      <c r="F480" s="50" cm="1" t="str">
        <f t="array" ref="F480:F480">OFFSET(E480,-1,1)</f>
        <v>4</v>
      </c>
      <c r="G480" s="98" cm="1" t="str">
        <f t="array" ref="G480:G480">G479</f>
        <v>Водоотведение (Калтанский городской округ)</v>
      </c>
      <c r="H480" s="8264"/>
      <c r="I480" s="8264"/>
      <c r="J480" s="8264"/>
      <c r="K480" s="158">
        <f>first_year+34</f>
        <v>2060</v>
      </c>
      <c r="L480" s="8264"/>
      <c r="M480" s="8264"/>
      <c r="N480" s="8264"/>
      <c r="O480" s="8264"/>
      <c r="P480" s="8264"/>
      <c r="Q480" s="8264"/>
      <c r="R480" s="8264"/>
      <c r="S480" s="8264"/>
      <c r="T480" s="465" cm="1" t="str">
        <f t="array" ref="T480:T480">T479</f>
        <v>true</v>
      </c>
      <c r="U480" s="8264"/>
      <c r="V480" s="8264"/>
      <c r="W480" s="8264"/>
      <c r="X480" s="8264"/>
      <c r="Y480" s="8264"/>
      <c r="Z480" s="8264"/>
      <c r="AA480" s="8264"/>
      <c r="AB480" s="255" t="str">
        <f>K480&amp;" год"</f>
        <v>2060 год</v>
      </c>
      <c r="AC480" s="408"/>
      <c r="AD480" s="8318"/>
      <c r="AE480" s="8317"/>
      <c r="AF480" s="8317"/>
      <c r="AG480" s="8318"/>
      <c r="AH480" s="8317"/>
      <c r="AI480" s="8318"/>
      <c r="AJ480" s="8317"/>
      <c r="AK480" s="8319"/>
      <c r="AL480" s="403"/>
      <c r="AM480" s="8264"/>
      <c r="AN480" s="1064" cm="1" t="str">
        <f t="array" ref="AN480:AN480">K480</f>
        <v>2060</v>
      </c>
      <c r="AO480" s="1064" t="s">
        <v>2977</v>
      </c>
      <c r="AP480" s="1074" cm="1" t="str">
        <f t="array" ref="AP480:AP480">AP479</f>
        <v>Водоотведение (Калтанский городской округ)</v>
      </c>
      <c r="AQ480" s="703"/>
      <c r="AR480" s="703"/>
    </row>
    <row s="8264" customFormat="1" customHeight="1" ht="14.25" hidden="1">
      <c r="A481" s="8264"/>
      <c r="B481" s="445">
        <f>K481&lt;first_year+PERIOD_LENGTH</f>
        <v>0</v>
      </c>
      <c r="C481" s="8264"/>
      <c r="D481" s="8264"/>
      <c r="E481" s="703">
        <v>15</v>
      </c>
      <c r="F481" s="50" cm="1" t="str">
        <f t="array" ref="F481:F481">OFFSET(E481,-1,1)</f>
        <v>4</v>
      </c>
      <c r="G481" s="98" cm="1" t="str">
        <f t="array" ref="G481:G481">G480</f>
        <v>Водоотведение (Калтанский городской округ)</v>
      </c>
      <c r="H481" s="8264"/>
      <c r="I481" s="8264"/>
      <c r="J481" s="8264"/>
      <c r="K481" s="158">
        <f>first_year+35</f>
        <v>2061</v>
      </c>
      <c r="L481" s="8264"/>
      <c r="M481" s="8264"/>
      <c r="N481" s="8264"/>
      <c r="O481" s="8264"/>
      <c r="P481" s="8264"/>
      <c r="Q481" s="8264"/>
      <c r="R481" s="8264"/>
      <c r="S481" s="8264"/>
      <c r="T481" s="465" cm="1" t="str">
        <f t="array" ref="T481:T481">T480</f>
        <v>true</v>
      </c>
      <c r="U481" s="8264"/>
      <c r="V481" s="8264"/>
      <c r="W481" s="8264"/>
      <c r="X481" s="8264"/>
      <c r="Y481" s="8264"/>
      <c r="Z481" s="8264"/>
      <c r="AA481" s="8264"/>
      <c r="AB481" s="255" t="str">
        <f>K481&amp;" год"</f>
        <v>2061 год</v>
      </c>
      <c r="AC481" s="408"/>
      <c r="AD481" s="8318"/>
      <c r="AE481" s="8317"/>
      <c r="AF481" s="8317"/>
      <c r="AG481" s="8318"/>
      <c r="AH481" s="8317"/>
      <c r="AI481" s="8318"/>
      <c r="AJ481" s="8317"/>
      <c r="AK481" s="8319"/>
      <c r="AL481" s="403"/>
      <c r="AM481" s="8264"/>
      <c r="AN481" s="1064" cm="1" t="str">
        <f t="array" ref="AN481:AN481">K481</f>
        <v>2061</v>
      </c>
      <c r="AO481" s="1064" t="s">
        <v>2977</v>
      </c>
      <c r="AP481" s="1074" cm="1" t="str">
        <f t="array" ref="AP481:AP481">AP480</f>
        <v>Водоотведение (Калтанский городской округ)</v>
      </c>
      <c r="AQ481" s="703"/>
      <c r="AR481" s="703"/>
    </row>
    <row s="8264" customFormat="1" customHeight="1" ht="14.25" hidden="1">
      <c r="A482" s="8264"/>
      <c r="B482" s="445">
        <f>K482&lt;first_year+PERIOD_LENGTH</f>
        <v>0</v>
      </c>
      <c r="C482" s="8264"/>
      <c r="D482" s="8264"/>
      <c r="E482" s="703">
        <v>15</v>
      </c>
      <c r="F482" s="50" cm="1" t="str">
        <f t="array" ref="F482:F482">OFFSET(E482,-1,1)</f>
        <v>4</v>
      </c>
      <c r="G482" s="98" cm="1" t="str">
        <f t="array" ref="G482:G482">G481</f>
        <v>Водоотведение (Калтанский городской округ)</v>
      </c>
      <c r="H482" s="8264"/>
      <c r="I482" s="8264"/>
      <c r="J482" s="8264"/>
      <c r="K482" s="158">
        <f>first_year+36</f>
        <v>2062</v>
      </c>
      <c r="L482" s="8264"/>
      <c r="M482" s="8264"/>
      <c r="N482" s="8264"/>
      <c r="O482" s="8264"/>
      <c r="P482" s="8264"/>
      <c r="Q482" s="8264"/>
      <c r="R482" s="8264"/>
      <c r="S482" s="8264"/>
      <c r="T482" s="465" cm="1" t="str">
        <f t="array" ref="T482:T482">T481</f>
        <v>true</v>
      </c>
      <c r="U482" s="8264"/>
      <c r="V482" s="8264"/>
      <c r="W482" s="8264"/>
      <c r="X482" s="8264"/>
      <c r="Y482" s="8264"/>
      <c r="Z482" s="8264"/>
      <c r="AA482" s="8264"/>
      <c r="AB482" s="255" t="str">
        <f>K482&amp;" год"</f>
        <v>2062 год</v>
      </c>
      <c r="AC482" s="408"/>
      <c r="AD482" s="8318"/>
      <c r="AE482" s="8317"/>
      <c r="AF482" s="8317"/>
      <c r="AG482" s="8318"/>
      <c r="AH482" s="8317"/>
      <c r="AI482" s="8318"/>
      <c r="AJ482" s="8317"/>
      <c r="AK482" s="8319"/>
      <c r="AL482" s="403"/>
      <c r="AM482" s="8264"/>
      <c r="AN482" s="1064" cm="1" t="str">
        <f t="array" ref="AN482:AN482">K482</f>
        <v>2062</v>
      </c>
      <c r="AO482" s="1064" t="s">
        <v>2977</v>
      </c>
      <c r="AP482" s="1074" cm="1" t="str">
        <f t="array" ref="AP482:AP482">AP481</f>
        <v>Водоотведение (Калтанский городской округ)</v>
      </c>
      <c r="AQ482" s="703"/>
      <c r="AR482" s="703"/>
    </row>
    <row s="8264" customFormat="1" customHeight="1" ht="14.25" hidden="1">
      <c r="A483" s="8264"/>
      <c r="B483" s="445">
        <f>K483&lt;first_year+PERIOD_LENGTH</f>
        <v>0</v>
      </c>
      <c r="C483" s="8264"/>
      <c r="D483" s="8264"/>
      <c r="E483" s="703">
        <v>15</v>
      </c>
      <c r="F483" s="50" cm="1" t="str">
        <f t="array" ref="F483:F483">OFFSET(E483,-1,1)</f>
        <v>4</v>
      </c>
      <c r="G483" s="98" cm="1" t="str">
        <f t="array" ref="G483:G483">G482</f>
        <v>Водоотведение (Калтанский городской округ)</v>
      </c>
      <c r="H483" s="8264"/>
      <c r="I483" s="8264"/>
      <c r="J483" s="8264"/>
      <c r="K483" s="158">
        <f>first_year+37</f>
        <v>2063</v>
      </c>
      <c r="L483" s="8264"/>
      <c r="M483" s="8264"/>
      <c r="N483" s="8264"/>
      <c r="O483" s="8264"/>
      <c r="P483" s="8264"/>
      <c r="Q483" s="8264"/>
      <c r="R483" s="8264"/>
      <c r="S483" s="8264"/>
      <c r="T483" s="465" cm="1" t="str">
        <f t="array" ref="T483:T483">T482</f>
        <v>true</v>
      </c>
      <c r="U483" s="8264"/>
      <c r="V483" s="8264"/>
      <c r="W483" s="8264"/>
      <c r="X483" s="8264"/>
      <c r="Y483" s="8264"/>
      <c r="Z483" s="8264"/>
      <c r="AA483" s="8264"/>
      <c r="AB483" s="255" t="str">
        <f>K483&amp;" год"</f>
        <v>2063 год</v>
      </c>
      <c r="AC483" s="408"/>
      <c r="AD483" s="8318"/>
      <c r="AE483" s="8317"/>
      <c r="AF483" s="8317"/>
      <c r="AG483" s="8318"/>
      <c r="AH483" s="8317"/>
      <c r="AI483" s="8318"/>
      <c r="AJ483" s="8317"/>
      <c r="AK483" s="8319"/>
      <c r="AL483" s="403"/>
      <c r="AM483" s="8264"/>
      <c r="AN483" s="1064" cm="1" t="str">
        <f t="array" ref="AN483:AN483">K483</f>
        <v>2063</v>
      </c>
      <c r="AO483" s="1064" t="s">
        <v>2977</v>
      </c>
      <c r="AP483" s="1074" cm="1" t="str">
        <f t="array" ref="AP483:AP483">AP482</f>
        <v>Водоотведение (Калтанский городской округ)</v>
      </c>
      <c r="AQ483" s="703"/>
      <c r="AR483" s="703"/>
    </row>
    <row s="8264" customFormat="1" customHeight="1" ht="14.25" hidden="1">
      <c r="A484" s="8264"/>
      <c r="B484" s="445">
        <f>K484&lt;first_year+PERIOD_LENGTH</f>
        <v>0</v>
      </c>
      <c r="C484" s="8264"/>
      <c r="D484" s="8264"/>
      <c r="E484" s="703">
        <v>15</v>
      </c>
      <c r="F484" s="50" cm="1" t="str">
        <f t="array" ref="F484:F484">OFFSET(E484,-1,1)</f>
        <v>4</v>
      </c>
      <c r="G484" s="98" cm="1" t="str">
        <f t="array" ref="G484:G484">G483</f>
        <v>Водоотведение (Калтанский городской округ)</v>
      </c>
      <c r="H484" s="8264"/>
      <c r="I484" s="8264"/>
      <c r="J484" s="8264"/>
      <c r="K484" s="158">
        <f>first_year+38</f>
        <v>2064</v>
      </c>
      <c r="L484" s="8264"/>
      <c r="M484" s="8264"/>
      <c r="N484" s="8264"/>
      <c r="O484" s="8264"/>
      <c r="P484" s="8264"/>
      <c r="Q484" s="8264"/>
      <c r="R484" s="8264"/>
      <c r="S484" s="8264"/>
      <c r="T484" s="465" cm="1" t="str">
        <f t="array" ref="T484:T484">T483</f>
        <v>true</v>
      </c>
      <c r="U484" s="8264"/>
      <c r="V484" s="8264"/>
      <c r="W484" s="8264"/>
      <c r="X484" s="8264"/>
      <c r="Y484" s="8264"/>
      <c r="Z484" s="8264"/>
      <c r="AA484" s="8264"/>
      <c r="AB484" s="255" t="str">
        <f>K484&amp;" год"</f>
        <v>2064 год</v>
      </c>
      <c r="AC484" s="408"/>
      <c r="AD484" s="8318"/>
      <c r="AE484" s="8317"/>
      <c r="AF484" s="8317"/>
      <c r="AG484" s="8318"/>
      <c r="AH484" s="8317"/>
      <c r="AI484" s="8318"/>
      <c r="AJ484" s="8317"/>
      <c r="AK484" s="8319"/>
      <c r="AL484" s="403"/>
      <c r="AM484" s="8264"/>
      <c r="AN484" s="1064" cm="1" t="str">
        <f t="array" ref="AN484:AN484">K484</f>
        <v>2064</v>
      </c>
      <c r="AO484" s="1064" t="s">
        <v>2977</v>
      </c>
      <c r="AP484" s="1074" cm="1" t="str">
        <f t="array" ref="AP484:AP484">AP483</f>
        <v>Водоотведение (Калтанский городской округ)</v>
      </c>
      <c r="AQ484" s="703"/>
      <c r="AR484" s="703"/>
    </row>
    <row s="8264" customFormat="1" customHeight="1" ht="14.25" hidden="1">
      <c r="A485" s="8264"/>
      <c r="B485" s="445">
        <f>K485&lt;first_year+PERIOD_LENGTH</f>
        <v>0</v>
      </c>
      <c r="C485" s="8264"/>
      <c r="D485" s="8264"/>
      <c r="E485" s="703">
        <v>15</v>
      </c>
      <c r="F485" s="50" cm="1" t="str">
        <f t="array" ref="F485:F485">OFFSET(E485,-1,1)</f>
        <v>4</v>
      </c>
      <c r="G485" s="98" cm="1" t="str">
        <f t="array" ref="G485:G485">G484</f>
        <v>Водоотведение (Калтанский городской округ)</v>
      </c>
      <c r="H485" s="8264"/>
      <c r="I485" s="8264"/>
      <c r="J485" s="8264"/>
      <c r="K485" s="158">
        <f>first_year+39</f>
        <v>2065</v>
      </c>
      <c r="L485" s="8264"/>
      <c r="M485" s="8264"/>
      <c r="N485" s="8264"/>
      <c r="O485" s="8264"/>
      <c r="P485" s="8264"/>
      <c r="Q485" s="8264"/>
      <c r="R485" s="8264"/>
      <c r="S485" s="8264"/>
      <c r="T485" s="465" cm="1" t="str">
        <f t="array" ref="T485:T485">T484</f>
        <v>true</v>
      </c>
      <c r="U485" s="8264"/>
      <c r="V485" s="8264"/>
      <c r="W485" s="8264"/>
      <c r="X485" s="8264"/>
      <c r="Y485" s="8264"/>
      <c r="Z485" s="8264"/>
      <c r="AA485" s="8264"/>
      <c r="AB485" s="255" t="str">
        <f>K485&amp;" год"</f>
        <v>2065 год</v>
      </c>
      <c r="AC485" s="408"/>
      <c r="AD485" s="8318"/>
      <c r="AE485" s="8317"/>
      <c r="AF485" s="8317"/>
      <c r="AG485" s="8318"/>
      <c r="AH485" s="8317"/>
      <c r="AI485" s="8318"/>
      <c r="AJ485" s="8317"/>
      <c r="AK485" s="8319"/>
      <c r="AL485" s="403"/>
      <c r="AM485" s="8264"/>
      <c r="AN485" s="1064" cm="1" t="str">
        <f t="array" ref="AN485:AN485">K485</f>
        <v>2065</v>
      </c>
      <c r="AO485" s="1064" t="s">
        <v>2977</v>
      </c>
      <c r="AP485" s="1074" cm="1" t="str">
        <f t="array" ref="AP485:AP485">AP484</f>
        <v>Водоотведение (Калтанский городской округ)</v>
      </c>
      <c r="AQ485" s="703"/>
      <c r="AR485" s="703"/>
    </row>
    <row s="8264" customFormat="1" customHeight="1" ht="14.25" hidden="1">
      <c r="A486" s="8264"/>
      <c r="B486" s="445">
        <f>K486&lt;first_year+PERIOD_LENGTH</f>
        <v>0</v>
      </c>
      <c r="C486" s="8264"/>
      <c r="D486" s="8264"/>
      <c r="E486" s="703">
        <v>15</v>
      </c>
      <c r="F486" s="50" cm="1" t="str">
        <f t="array" ref="F486:F486">OFFSET(E486,-1,1)</f>
        <v>4</v>
      </c>
      <c r="G486" s="98" cm="1" t="str">
        <f t="array" ref="G486:G486">G485</f>
        <v>Водоотведение (Калтанский городской округ)</v>
      </c>
      <c r="H486" s="8264"/>
      <c r="I486" s="8264"/>
      <c r="J486" s="8264"/>
      <c r="K486" s="158">
        <f>first_year+40</f>
        <v>2066</v>
      </c>
      <c r="L486" s="8264"/>
      <c r="M486" s="8264"/>
      <c r="N486" s="8264"/>
      <c r="O486" s="8264"/>
      <c r="P486" s="8264"/>
      <c r="Q486" s="8264"/>
      <c r="R486" s="8264"/>
      <c r="S486" s="8264"/>
      <c r="T486" s="465" cm="1" t="str">
        <f t="array" ref="T486:T486">T485</f>
        <v>true</v>
      </c>
      <c r="U486" s="8264"/>
      <c r="V486" s="8264"/>
      <c r="W486" s="8264"/>
      <c r="X486" s="8264"/>
      <c r="Y486" s="8264"/>
      <c r="Z486" s="8264"/>
      <c r="AA486" s="8264"/>
      <c r="AB486" s="255" t="str">
        <f>K486&amp;" год"</f>
        <v>2066 год</v>
      </c>
      <c r="AC486" s="408"/>
      <c r="AD486" s="8318"/>
      <c r="AE486" s="8317"/>
      <c r="AF486" s="8317"/>
      <c r="AG486" s="8318"/>
      <c r="AH486" s="8317"/>
      <c r="AI486" s="8318"/>
      <c r="AJ486" s="8317"/>
      <c r="AK486" s="8319"/>
      <c r="AL486" s="403"/>
      <c r="AM486" s="8264"/>
      <c r="AN486" s="1064" cm="1" t="str">
        <f t="array" ref="AN486:AN486">K486</f>
        <v>2066</v>
      </c>
      <c r="AO486" s="1064" t="s">
        <v>2977</v>
      </c>
      <c r="AP486" s="1074" cm="1" t="str">
        <f t="array" ref="AP486:AP486">AP485</f>
        <v>Водоотведение (Калтанский городской округ)</v>
      </c>
      <c r="AQ486" s="703"/>
      <c r="AR486" s="703"/>
    </row>
    <row s="8264" customFormat="1" customHeight="1" ht="14.25" hidden="1">
      <c r="A487" s="8264"/>
      <c r="B487" s="445">
        <f>K487&lt;first_year+PERIOD_LENGTH</f>
        <v>0</v>
      </c>
      <c r="C487" s="8264"/>
      <c r="D487" s="8264"/>
      <c r="E487" s="703">
        <v>15</v>
      </c>
      <c r="F487" s="50" cm="1" t="str">
        <f t="array" ref="F487:F487">OFFSET(E487,-1,1)</f>
        <v>4</v>
      </c>
      <c r="G487" s="98" cm="1" t="str">
        <f t="array" ref="G487:G487">G486</f>
        <v>Водоотведение (Калтанский городской округ)</v>
      </c>
      <c r="H487" s="8264"/>
      <c r="I487" s="8264"/>
      <c r="J487" s="8264"/>
      <c r="K487" s="158">
        <f>first_year+41</f>
        <v>2067</v>
      </c>
      <c r="L487" s="8264"/>
      <c r="M487" s="8264"/>
      <c r="N487" s="8264"/>
      <c r="O487" s="8264"/>
      <c r="P487" s="8264"/>
      <c r="Q487" s="8264"/>
      <c r="R487" s="8264"/>
      <c r="S487" s="8264"/>
      <c r="T487" s="465" cm="1" t="str">
        <f t="array" ref="T487:T487">T486</f>
        <v>true</v>
      </c>
      <c r="U487" s="8264"/>
      <c r="V487" s="8264"/>
      <c r="W487" s="8264"/>
      <c r="X487" s="8264"/>
      <c r="Y487" s="8264"/>
      <c r="Z487" s="8264"/>
      <c r="AA487" s="8264"/>
      <c r="AB487" s="255" t="str">
        <f>K487&amp;" год"</f>
        <v>2067 год</v>
      </c>
      <c r="AC487" s="408"/>
      <c r="AD487" s="8318"/>
      <c r="AE487" s="8317"/>
      <c r="AF487" s="8317"/>
      <c r="AG487" s="8318"/>
      <c r="AH487" s="8317"/>
      <c r="AI487" s="8318"/>
      <c r="AJ487" s="8317"/>
      <c r="AK487" s="8319"/>
      <c r="AL487" s="403"/>
      <c r="AM487" s="8264"/>
      <c r="AN487" s="1064" cm="1" t="str">
        <f t="array" ref="AN487:AN487">K487</f>
        <v>2067</v>
      </c>
      <c r="AO487" s="1064" t="s">
        <v>2977</v>
      </c>
      <c r="AP487" s="1074" cm="1" t="str">
        <f t="array" ref="AP487:AP487">AP486</f>
        <v>Водоотведение (Калтанский городской округ)</v>
      </c>
      <c r="AQ487" s="703"/>
      <c r="AR487" s="703"/>
    </row>
    <row s="8264" customFormat="1" customHeight="1" ht="14.25" hidden="1">
      <c r="A488" s="8264"/>
      <c r="B488" s="445">
        <f>K488&lt;first_year+PERIOD_LENGTH</f>
        <v>0</v>
      </c>
      <c r="C488" s="8264"/>
      <c r="D488" s="8264"/>
      <c r="E488" s="703">
        <v>15</v>
      </c>
      <c r="F488" s="50" cm="1" t="str">
        <f t="array" ref="F488:F488">OFFSET(E488,-1,1)</f>
        <v>4</v>
      </c>
      <c r="G488" s="98" cm="1" t="str">
        <f t="array" ref="G488:G488">G487</f>
        <v>Водоотведение (Калтанский городской округ)</v>
      </c>
      <c r="H488" s="8264"/>
      <c r="I488" s="8264"/>
      <c r="J488" s="8264"/>
      <c r="K488" s="158">
        <f>first_year+42</f>
        <v>2068</v>
      </c>
      <c r="L488" s="8264"/>
      <c r="M488" s="8264"/>
      <c r="N488" s="8264"/>
      <c r="O488" s="8264"/>
      <c r="P488" s="8264"/>
      <c r="Q488" s="8264"/>
      <c r="R488" s="8264"/>
      <c r="S488" s="8264"/>
      <c r="T488" s="465" cm="1" t="str">
        <f t="array" ref="T488:T488">T487</f>
        <v>true</v>
      </c>
      <c r="U488" s="8264"/>
      <c r="V488" s="8264"/>
      <c r="W488" s="8264"/>
      <c r="X488" s="8264"/>
      <c r="Y488" s="8264"/>
      <c r="Z488" s="8264"/>
      <c r="AA488" s="8264"/>
      <c r="AB488" s="255" t="str">
        <f>K488&amp;" год"</f>
        <v>2068 год</v>
      </c>
      <c r="AC488" s="408"/>
      <c r="AD488" s="8318"/>
      <c r="AE488" s="8317"/>
      <c r="AF488" s="8317"/>
      <c r="AG488" s="8318"/>
      <c r="AH488" s="8317"/>
      <c r="AI488" s="8318"/>
      <c r="AJ488" s="8317"/>
      <c r="AK488" s="8319"/>
      <c r="AL488" s="403"/>
      <c r="AM488" s="8264"/>
      <c r="AN488" s="1064" cm="1" t="str">
        <f t="array" ref="AN488:AN488">K488</f>
        <v>2068</v>
      </c>
      <c r="AO488" s="1064" t="s">
        <v>2977</v>
      </c>
      <c r="AP488" s="1074" cm="1" t="str">
        <f t="array" ref="AP488:AP488">AP487</f>
        <v>Водоотведение (Калтанский городской округ)</v>
      </c>
      <c r="AQ488" s="703"/>
      <c r="AR488" s="703"/>
    </row>
    <row s="8264" customFormat="1" customHeight="1" ht="14.25" hidden="1">
      <c r="A489" s="8264"/>
      <c r="B489" s="445">
        <f>K489&lt;first_year+PERIOD_LENGTH</f>
        <v>0</v>
      </c>
      <c r="C489" s="8264"/>
      <c r="D489" s="8264"/>
      <c r="E489" s="703">
        <v>15</v>
      </c>
      <c r="F489" s="50" cm="1" t="str">
        <f t="array" ref="F489:F489">OFFSET(E489,-1,1)</f>
        <v>4</v>
      </c>
      <c r="G489" s="98" cm="1" t="str">
        <f t="array" ref="G489:G489">G488</f>
        <v>Водоотведение (Калтанский городской округ)</v>
      </c>
      <c r="H489" s="8264"/>
      <c r="I489" s="8264"/>
      <c r="J489" s="8264"/>
      <c r="K489" s="158">
        <f>first_year+43</f>
        <v>2069</v>
      </c>
      <c r="L489" s="8264"/>
      <c r="M489" s="8264"/>
      <c r="N489" s="8264"/>
      <c r="O489" s="8264"/>
      <c r="P489" s="8264"/>
      <c r="Q489" s="8264"/>
      <c r="R489" s="8264"/>
      <c r="S489" s="8264"/>
      <c r="T489" s="465" cm="1" t="str">
        <f t="array" ref="T489:T489">T488</f>
        <v>true</v>
      </c>
      <c r="U489" s="8264"/>
      <c r="V489" s="8264"/>
      <c r="W489" s="8264"/>
      <c r="X489" s="8264"/>
      <c r="Y489" s="8264"/>
      <c r="Z489" s="8264"/>
      <c r="AA489" s="8264"/>
      <c r="AB489" s="255" t="str">
        <f>K489&amp;" год"</f>
        <v>2069 год</v>
      </c>
      <c r="AC489" s="408"/>
      <c r="AD489" s="8318"/>
      <c r="AE489" s="8317"/>
      <c r="AF489" s="8317"/>
      <c r="AG489" s="8318"/>
      <c r="AH489" s="8317"/>
      <c r="AI489" s="8318"/>
      <c r="AJ489" s="8317"/>
      <c r="AK489" s="8319"/>
      <c r="AL489" s="403"/>
      <c r="AM489" s="8264"/>
      <c r="AN489" s="1064" cm="1" t="str">
        <f t="array" ref="AN489:AN489">K489</f>
        <v>2069</v>
      </c>
      <c r="AO489" s="1064" t="s">
        <v>2977</v>
      </c>
      <c r="AP489" s="1074" cm="1" t="str">
        <f t="array" ref="AP489:AP489">AP488</f>
        <v>Водоотведение (Калтанский городской округ)</v>
      </c>
      <c r="AQ489" s="703"/>
      <c r="AR489" s="703"/>
    </row>
    <row s="8264" customFormat="1" customHeight="1" ht="14.25" hidden="1">
      <c r="A490" s="8264"/>
      <c r="B490" s="445">
        <f>K490&lt;first_year+PERIOD_LENGTH</f>
        <v>0</v>
      </c>
      <c r="C490" s="8264"/>
      <c r="D490" s="8264"/>
      <c r="E490" s="703">
        <v>15</v>
      </c>
      <c r="F490" s="50" cm="1" t="str">
        <f t="array" ref="F490:F490">OFFSET(E490,-1,1)</f>
        <v>4</v>
      </c>
      <c r="G490" s="98" cm="1" t="str">
        <f t="array" ref="G490:G490">G489</f>
        <v>Водоотведение (Калтанский городской округ)</v>
      </c>
      <c r="H490" s="8264"/>
      <c r="I490" s="8264"/>
      <c r="J490" s="8264"/>
      <c r="K490" s="158">
        <f>first_year+44</f>
        <v>2070</v>
      </c>
      <c r="L490" s="8264"/>
      <c r="M490" s="8264"/>
      <c r="N490" s="8264"/>
      <c r="O490" s="8264"/>
      <c r="P490" s="8264"/>
      <c r="Q490" s="8264"/>
      <c r="R490" s="8264"/>
      <c r="S490" s="8264"/>
      <c r="T490" s="465" cm="1" t="str">
        <f t="array" ref="T490:T490">T489</f>
        <v>true</v>
      </c>
      <c r="U490" s="8264"/>
      <c r="V490" s="8264"/>
      <c r="W490" s="8264"/>
      <c r="X490" s="8264"/>
      <c r="Y490" s="8264"/>
      <c r="Z490" s="8264"/>
      <c r="AA490" s="8264"/>
      <c r="AB490" s="255" t="str">
        <f>K490&amp;" год"</f>
        <v>2070 год</v>
      </c>
      <c r="AC490" s="408"/>
      <c r="AD490" s="8318"/>
      <c r="AE490" s="8317"/>
      <c r="AF490" s="8317"/>
      <c r="AG490" s="8318"/>
      <c r="AH490" s="8317"/>
      <c r="AI490" s="8318"/>
      <c r="AJ490" s="8317"/>
      <c r="AK490" s="8319"/>
      <c r="AL490" s="403"/>
      <c r="AM490" s="8264"/>
      <c r="AN490" s="1064" cm="1" t="str">
        <f t="array" ref="AN490:AN490">K490</f>
        <v>2070</v>
      </c>
      <c r="AO490" s="1064" t="s">
        <v>2977</v>
      </c>
      <c r="AP490" s="1074" cm="1" t="str">
        <f t="array" ref="AP490:AP490">AP489</f>
        <v>Водоотведение (Калтанский городской округ)</v>
      </c>
      <c r="AQ490" s="703"/>
      <c r="AR490" s="703"/>
    </row>
    <row s="8264" customFormat="1" customHeight="1" ht="14.25" hidden="1">
      <c r="A491" s="8264"/>
      <c r="B491" s="445">
        <f>K491&lt;first_year+PERIOD_LENGTH</f>
        <v>0</v>
      </c>
      <c r="C491" s="8264"/>
      <c r="D491" s="8264"/>
      <c r="E491" s="703">
        <v>15</v>
      </c>
      <c r="F491" s="50" cm="1" t="str">
        <f t="array" ref="F491:F491">OFFSET(E491,-1,1)</f>
        <v>4</v>
      </c>
      <c r="G491" s="98" cm="1" t="str">
        <f t="array" ref="G491:G491">G490</f>
        <v>Водоотведение (Калтанский городской округ)</v>
      </c>
      <c r="H491" s="8264"/>
      <c r="I491" s="8264"/>
      <c r="J491" s="8264"/>
      <c r="K491" s="158">
        <f>first_year+45</f>
        <v>2071</v>
      </c>
      <c r="L491" s="8264"/>
      <c r="M491" s="8264"/>
      <c r="N491" s="8264"/>
      <c r="O491" s="8264"/>
      <c r="P491" s="8264"/>
      <c r="Q491" s="8264"/>
      <c r="R491" s="8264"/>
      <c r="S491" s="8264"/>
      <c r="T491" s="465" cm="1" t="str">
        <f t="array" ref="T491:T491">T490</f>
        <v>true</v>
      </c>
      <c r="U491" s="8264"/>
      <c r="V491" s="8264"/>
      <c r="W491" s="8264"/>
      <c r="X491" s="8264"/>
      <c r="Y491" s="8264"/>
      <c r="Z491" s="8264"/>
      <c r="AA491" s="8264"/>
      <c r="AB491" s="255" t="str">
        <f>K491&amp;" год"</f>
        <v>2071 год</v>
      </c>
      <c r="AC491" s="408"/>
      <c r="AD491" s="8318"/>
      <c r="AE491" s="8317"/>
      <c r="AF491" s="8317"/>
      <c r="AG491" s="8318"/>
      <c r="AH491" s="8317"/>
      <c r="AI491" s="8318"/>
      <c r="AJ491" s="8317"/>
      <c r="AK491" s="8319"/>
      <c r="AL491" s="403"/>
      <c r="AM491" s="8264"/>
      <c r="AN491" s="1064" cm="1" t="str">
        <f t="array" ref="AN491:AN491">K491</f>
        <v>2071</v>
      </c>
      <c r="AO491" s="1064" t="s">
        <v>2977</v>
      </c>
      <c r="AP491" s="1074" cm="1" t="str">
        <f t="array" ref="AP491:AP491">AP490</f>
        <v>Водоотведение (Калтанский городской округ)</v>
      </c>
      <c r="AQ491" s="703"/>
      <c r="AR491" s="703"/>
    </row>
    <row s="8264" customFormat="1" customHeight="1" ht="14.25" hidden="1">
      <c r="A492" s="8264"/>
      <c r="B492" s="445">
        <f>K492&lt;first_year+PERIOD_LENGTH</f>
        <v>0</v>
      </c>
      <c r="C492" s="8264"/>
      <c r="D492" s="8264"/>
      <c r="E492" s="703">
        <v>15</v>
      </c>
      <c r="F492" s="50" cm="1" t="str">
        <f t="array" ref="F492:F492">OFFSET(E492,-1,1)</f>
        <v>4</v>
      </c>
      <c r="G492" s="98" cm="1" t="str">
        <f t="array" ref="G492:G492">G491</f>
        <v>Водоотведение (Калтанский городской округ)</v>
      </c>
      <c r="H492" s="8264"/>
      <c r="I492" s="8264"/>
      <c r="J492" s="8264"/>
      <c r="K492" s="158">
        <f>first_year+46</f>
        <v>2072</v>
      </c>
      <c r="L492" s="8264"/>
      <c r="M492" s="8264"/>
      <c r="N492" s="8264"/>
      <c r="O492" s="8264"/>
      <c r="P492" s="8264"/>
      <c r="Q492" s="8264"/>
      <c r="R492" s="8264"/>
      <c r="S492" s="8264"/>
      <c r="T492" s="465" cm="1" t="str">
        <f t="array" ref="T492:T492">T491</f>
        <v>true</v>
      </c>
      <c r="U492" s="8264"/>
      <c r="V492" s="8264"/>
      <c r="W492" s="8264"/>
      <c r="X492" s="8264"/>
      <c r="Y492" s="8264"/>
      <c r="Z492" s="8264"/>
      <c r="AA492" s="8264"/>
      <c r="AB492" s="255" t="str">
        <f>K492&amp;" год"</f>
        <v>2072 год</v>
      </c>
      <c r="AC492" s="408"/>
      <c r="AD492" s="8318"/>
      <c r="AE492" s="8317"/>
      <c r="AF492" s="8317"/>
      <c r="AG492" s="8318"/>
      <c r="AH492" s="8317"/>
      <c r="AI492" s="8318"/>
      <c r="AJ492" s="8317"/>
      <c r="AK492" s="8319"/>
      <c r="AL492" s="403"/>
      <c r="AM492" s="8264"/>
      <c r="AN492" s="1064" cm="1" t="str">
        <f t="array" ref="AN492:AN492">K492</f>
        <v>2072</v>
      </c>
      <c r="AO492" s="1064" t="s">
        <v>2977</v>
      </c>
      <c r="AP492" s="1074" cm="1" t="str">
        <f t="array" ref="AP492:AP492">AP491</f>
        <v>Водоотведение (Калтанский городской округ)</v>
      </c>
      <c r="AQ492" s="703"/>
      <c r="AR492" s="703"/>
    </row>
    <row s="8264" customFormat="1" customHeight="1" ht="14.25" hidden="1">
      <c r="A493" s="8264"/>
      <c r="B493" s="445">
        <f>K493&lt;first_year+PERIOD_LENGTH</f>
        <v>0</v>
      </c>
      <c r="C493" s="8264"/>
      <c r="D493" s="8264"/>
      <c r="E493" s="703">
        <v>15</v>
      </c>
      <c r="F493" s="50" cm="1" t="str">
        <f t="array" ref="F493:F493">OFFSET(E493,-1,1)</f>
        <v>4</v>
      </c>
      <c r="G493" s="98" cm="1" t="str">
        <f t="array" ref="G493:G493">G492</f>
        <v>Водоотведение (Калтанский городской округ)</v>
      </c>
      <c r="H493" s="8264"/>
      <c r="I493" s="8264"/>
      <c r="J493" s="8264"/>
      <c r="K493" s="158">
        <f>first_year+47</f>
        <v>2073</v>
      </c>
      <c r="L493" s="8264"/>
      <c r="M493" s="8264"/>
      <c r="N493" s="8264"/>
      <c r="O493" s="8264"/>
      <c r="P493" s="8264"/>
      <c r="Q493" s="8264"/>
      <c r="R493" s="8264"/>
      <c r="S493" s="8264"/>
      <c r="T493" s="465" cm="1" t="str">
        <f t="array" ref="T493:T493">T492</f>
        <v>true</v>
      </c>
      <c r="U493" s="8264"/>
      <c r="V493" s="8264"/>
      <c r="W493" s="8264"/>
      <c r="X493" s="8264"/>
      <c r="Y493" s="8264"/>
      <c r="Z493" s="8264"/>
      <c r="AA493" s="8264"/>
      <c r="AB493" s="255" t="str">
        <f>K493&amp;" год"</f>
        <v>2073 год</v>
      </c>
      <c r="AC493" s="408"/>
      <c r="AD493" s="8318"/>
      <c r="AE493" s="8317"/>
      <c r="AF493" s="8317"/>
      <c r="AG493" s="8318"/>
      <c r="AH493" s="8317"/>
      <c r="AI493" s="8318"/>
      <c r="AJ493" s="8317"/>
      <c r="AK493" s="8319"/>
      <c r="AL493" s="403"/>
      <c r="AM493" s="8264"/>
      <c r="AN493" s="1064" cm="1" t="str">
        <f t="array" ref="AN493:AN493">K493</f>
        <v>2073</v>
      </c>
      <c r="AO493" s="1064" t="s">
        <v>2977</v>
      </c>
      <c r="AP493" s="1074" cm="1" t="str">
        <f t="array" ref="AP493:AP493">AP492</f>
        <v>Водоотведение (Калтанский городской округ)</v>
      </c>
      <c r="AQ493" s="703"/>
      <c r="AR493" s="703"/>
    </row>
    <row s="8264" customFormat="1" customHeight="1" ht="14.25" hidden="1">
      <c r="A494" s="8264"/>
      <c r="B494" s="445">
        <f>K494&lt;first_year+PERIOD_LENGTH</f>
        <v>0</v>
      </c>
      <c r="C494" s="8264"/>
      <c r="D494" s="8264"/>
      <c r="E494" s="703">
        <v>15</v>
      </c>
      <c r="F494" s="50" cm="1" t="str">
        <f t="array" ref="F494:F494">OFFSET(E494,-1,1)</f>
        <v>4</v>
      </c>
      <c r="G494" s="98" cm="1" t="str">
        <f t="array" ref="G494:G494">G493</f>
        <v>Водоотведение (Калтанский городской округ)</v>
      </c>
      <c r="H494" s="8264"/>
      <c r="I494" s="8264"/>
      <c r="J494" s="8264"/>
      <c r="K494" s="158">
        <f>first_year+48</f>
        <v>2074</v>
      </c>
      <c r="L494" s="8264"/>
      <c r="M494" s="8264"/>
      <c r="N494" s="8264"/>
      <c r="O494" s="8264"/>
      <c r="P494" s="8264"/>
      <c r="Q494" s="8264"/>
      <c r="R494" s="8264"/>
      <c r="S494" s="8264"/>
      <c r="T494" s="465" cm="1" t="str">
        <f t="array" ref="T494:T494">T493</f>
        <v>true</v>
      </c>
      <c r="U494" s="8264"/>
      <c r="V494" s="8264"/>
      <c r="W494" s="8264"/>
      <c r="X494" s="8264"/>
      <c r="Y494" s="8264"/>
      <c r="Z494" s="8264"/>
      <c r="AA494" s="8264"/>
      <c r="AB494" s="255" t="str">
        <f>K494&amp;" год"</f>
        <v>2074 год</v>
      </c>
      <c r="AC494" s="408"/>
      <c r="AD494" s="8318"/>
      <c r="AE494" s="8317"/>
      <c r="AF494" s="8317"/>
      <c r="AG494" s="8318"/>
      <c r="AH494" s="8317"/>
      <c r="AI494" s="8318"/>
      <c r="AJ494" s="8317"/>
      <c r="AK494" s="8319"/>
      <c r="AL494" s="403"/>
      <c r="AM494" s="8264"/>
      <c r="AN494" s="1064" cm="1" t="str">
        <f t="array" ref="AN494:AN494">K494</f>
        <v>2074</v>
      </c>
      <c r="AO494" s="1064" t="s">
        <v>2977</v>
      </c>
      <c r="AP494" s="1074" cm="1" t="str">
        <f t="array" ref="AP494:AP494">AP493</f>
        <v>Водоотведение (Калтанский городской округ)</v>
      </c>
      <c r="AQ494" s="703"/>
      <c r="AR494" s="703"/>
    </row>
    <row s="8264" customFormat="1" customHeight="1" ht="14.25" hidden="1">
      <c r="A495" s="8264"/>
      <c r="B495" s="445">
        <f>K495&lt;first_year+PERIOD_LENGTH</f>
        <v>0</v>
      </c>
      <c r="C495" s="8264"/>
      <c r="D495" s="8264"/>
      <c r="E495" s="703">
        <v>15</v>
      </c>
      <c r="F495" s="50" cm="1" t="str">
        <f t="array" ref="F495:F495">OFFSET(E495,-1,1)</f>
        <v>4</v>
      </c>
      <c r="G495" s="98" cm="1" t="str">
        <f t="array" ref="G495:G495">G494</f>
        <v>Водоотведение (Калтанский городской округ)</v>
      </c>
      <c r="H495" s="8264"/>
      <c r="I495" s="8264"/>
      <c r="J495" s="8264"/>
      <c r="K495" s="158">
        <f>first_year+49</f>
        <v>2075</v>
      </c>
      <c r="L495" s="8264"/>
      <c r="M495" s="8264"/>
      <c r="N495" s="8264"/>
      <c r="O495" s="8264"/>
      <c r="P495" s="8264"/>
      <c r="Q495" s="8264"/>
      <c r="R495" s="8264"/>
      <c r="S495" s="8264"/>
      <c r="T495" s="465" cm="1" t="str">
        <f t="array" ref="T495:T495">T494</f>
        <v>true</v>
      </c>
      <c r="U495" s="8264"/>
      <c r="V495" s="8264"/>
      <c r="W495" s="8264"/>
      <c r="X495" s="8264"/>
      <c r="Y495" s="8264"/>
      <c r="Z495" s="8264"/>
      <c r="AA495" s="8264"/>
      <c r="AB495" s="255" t="str">
        <f>K495&amp;" год"</f>
        <v>2075 год</v>
      </c>
      <c r="AC495" s="408"/>
      <c r="AD495" s="8318"/>
      <c r="AE495" s="8317"/>
      <c r="AF495" s="8317"/>
      <c r="AG495" s="8318"/>
      <c r="AH495" s="8317"/>
      <c r="AI495" s="8318"/>
      <c r="AJ495" s="8317"/>
      <c r="AK495" s="8319"/>
      <c r="AL495" s="403"/>
      <c r="AM495" s="8264"/>
      <c r="AN495" s="1064" cm="1" t="str">
        <f t="array" ref="AN495:AN495">K495</f>
        <v>2075</v>
      </c>
      <c r="AO495" s="1064" t="s">
        <v>2977</v>
      </c>
      <c r="AP495" s="1074" cm="1" t="str">
        <f t="array" ref="AP495:AP495">AP494</f>
        <v>Водоотведение (Калтанский городской округ)</v>
      </c>
      <c r="AQ495" s="703"/>
      <c r="AR495" s="703"/>
    </row>
    <row s="1834" customFormat="1" customHeight="1" ht="14.25">
      <c r="A496" s="158"/>
      <c r="B496" s="432"/>
      <c r="C496" s="158"/>
      <c r="D496" s="158"/>
      <c r="E496" s="703">
        <v>15</v>
      </c>
      <c r="F496" s="1175" cm="1" t="str">
        <f t="array" ref="F496:F496">OFFSET(E496,-1,1)</f>
        <v>4</v>
      </c>
      <c r="G496" s="158" t="str">
        <f>"!== 'не определено'"</f>
        <v>!== 'не определено'</v>
      </c>
      <c r="H496" s="158"/>
      <c r="I496" s="158"/>
      <c r="J496" s="158"/>
      <c r="K496" s="158"/>
      <c r="L496" s="158"/>
      <c r="M496" s="158"/>
      <c r="N496" s="158"/>
      <c r="O496" s="158"/>
      <c r="P496" s="158"/>
      <c r="Q496" s="158"/>
      <c r="R496" s="158"/>
      <c r="S496" s="158"/>
      <c r="T496" s="465">
        <f>F496&gt;0</f>
        <v>1</v>
      </c>
      <c r="U496" s="158"/>
      <c r="V496" s="158"/>
      <c r="W496" s="829" t="s">
        <v>2978</v>
      </c>
      <c r="X496" s="1563"/>
      <c r="Y496" s="158"/>
      <c r="Z496" s="1546"/>
      <c r="AA496" s="158"/>
      <c r="AB496" s="938" t="s">
        <v>178</v>
      </c>
      <c r="AC496" s="304"/>
      <c r="AD496" s="304"/>
      <c r="AE496" s="304"/>
      <c r="AF496" s="304"/>
      <c r="AG496" s="304"/>
      <c r="AH496" s="304"/>
      <c r="AI496" s="304"/>
      <c r="AJ496" s="304"/>
      <c r="AK496" s="304"/>
      <c r="AL496" s="403"/>
      <c r="AM496" s="1834"/>
      <c r="AN496" s="1004"/>
      <c r="AO496" s="1004"/>
      <c r="AP496" s="1004"/>
      <c r="AQ496" s="1007" t="s">
        <v>2977</v>
      </c>
      <c r="AR496" s="624"/>
    </row>
    <row customHeight="1" ht="10.96875">
      <c r="E497" s="703">
        <v>11.25</v>
      </c>
      <c r="U497" s="696" t="s">
        <v>178</v>
      </c>
      <c r="V497" s="709" t="s">
        <v>2983</v>
      </c>
      <c r="AH497" s="1304"/>
      <c r="AI497" s="1304"/>
      <c r="AJ497" s="1304"/>
      <c r="AK497" s="1304"/>
      <c r="AN497" s="1006"/>
      <c r="AO497" s="1006"/>
      <c r="AP497" s="1006"/>
      <c r="AQ497" s="675"/>
      <c r="AR497" s="675"/>
    </row>
    <row customHeight="1" ht="14.625">
      <c r="E498" s="632">
        <v>15</v>
      </c>
      <c r="AB498" s="1569" t="s">
        <v>407</v>
      </c>
      <c r="AC498" s="1569"/>
      <c r="AD498" s="1569"/>
      <c r="AE498" s="1569"/>
      <c r="AF498" s="1569"/>
      <c r="AG498" s="1569"/>
      <c r="AH498" s="1569"/>
      <c r="AI498" s="1569"/>
      <c r="AJ498" s="1569"/>
      <c r="AK498" s="1569"/>
    </row>
    <row customHeight="1" ht="14.625">
      <c r="E499" s="632">
        <v>15</v>
      </c>
      <c r="AA499" s="661"/>
      <c r="AB499" s="1644"/>
      <c r="AC499" s="1644"/>
      <c r="AD499" s="1644"/>
      <c r="AE499" s="1644"/>
      <c r="AF499" s="1644"/>
      <c r="AG499" s="1644"/>
      <c r="AH499" s="8192"/>
      <c r="AI499" s="8192"/>
      <c r="AJ499" s="8192"/>
      <c r="AK499" s="8192"/>
    </row>
    <row customHeight="1" ht="14.625" hidden="1">
      <c r="A500" s="1304"/>
      <c r="B500" s="1436"/>
      <c r="C500" s="1304"/>
      <c r="D500" s="1304"/>
      <c r="E500" s="632">
        <v>15</v>
      </c>
      <c r="F500" s="1304"/>
      <c r="G500" s="1304"/>
      <c r="H500" s="1304"/>
      <c r="I500" s="1304"/>
      <c r="J500" s="1304"/>
      <c r="K500" s="1304"/>
      <c r="L500" s="1304"/>
      <c r="M500" s="1304"/>
      <c r="N500" s="1304"/>
      <c r="O500" s="1304"/>
      <c r="P500" s="1304"/>
      <c r="Q500" s="1304"/>
      <c r="R500" s="1304"/>
      <c r="S500" s="1304"/>
      <c r="T500" s="98">
        <f>ROW(W500)&gt;ROW(W$500)</f>
        <v>0</v>
      </c>
      <c r="U500" s="1304"/>
      <c r="V500" s="1304"/>
      <c r="W500" s="98" t="s">
        <v>174</v>
      </c>
      <c r="X500" s="1304"/>
      <c r="Y500" s="1304"/>
      <c r="Z500" s="1304"/>
      <c r="AA500" s="420" t="s">
        <v>175</v>
      </c>
      <c r="AB500" s="8192" t="s">
        <v>227</v>
      </c>
      <c r="AC500" s="8192"/>
      <c r="AD500" s="8192"/>
      <c r="AE500" s="8192"/>
      <c r="AF500" s="8192"/>
      <c r="AG500" s="8192"/>
      <c r="AH500" s="8192"/>
      <c r="AI500" s="8192"/>
      <c r="AJ500" s="8192"/>
      <c r="AK500" s="8333"/>
      <c r="AL500" s="1304"/>
      <c r="AM500" s="1304"/>
      <c r="AN500" s="1306"/>
      <c r="AO500" s="1306"/>
      <c r="AP500" s="1306"/>
      <c r="AQ500" s="1305"/>
      <c r="AR500" s="1305"/>
    </row>
    <row customHeight="1" ht="14.625">
      <c r="E501" s="632">
        <v>15</v>
      </c>
      <c r="W501" s="829" t="s">
        <v>408</v>
      </c>
      <c r="AB501" s="647"/>
      <c r="AC501" s="514" t="s">
        <v>409</v>
      </c>
      <c r="AD501" s="313"/>
      <c r="AE501" s="313"/>
      <c r="AF501" s="313"/>
      <c r="AG501" s="313"/>
      <c r="AH501" s="313"/>
      <c r="AI501" s="313"/>
      <c r="AJ501" s="313"/>
      <c r="AK501" s="710"/>
    </row>
    <row customHeight="1" ht="10.725000000000001">
      <c r="E502" s="632">
        <v>11</v>
      </c>
      <c r="AH502" s="1304"/>
      <c r="AI502" s="1304"/>
      <c r="AJ502" s="1304"/>
      <c r="AK502" s="1304"/>
      <c r="AL502" s="426"/>
    </row>
  </sheetData>
  <sheetProtection formatColumns="0" formatRows="0" insertRows="0" deleteColumns="0" deleteRows="0" sort="0" autoFilter="0" insertColumns="1"/>
  <mergeCells count="45">
    <mergeCell ref="AB499:AK499"/>
    <mergeCell ref="AB498:AK498"/>
    <mergeCell ref="AB500:AK500"/>
    <mergeCell ref="AB24:AB26"/>
    <mergeCell ref="AC24:AC25"/>
    <mergeCell ref="AD24:AD25"/>
    <mergeCell ref="AE24:AE25"/>
    <mergeCell ref="AF24:AK24"/>
    <mergeCell ref="X28:X80"/>
    <mergeCell ref="Z28:Z80"/>
    <mergeCell ref="Y29:Y79"/>
    <mergeCell ref="AA29:AA79"/>
    <mergeCell ref="AB29:AK29"/>
    <mergeCell ref="X81:X184"/>
    <mergeCell ref="Z81:Z184"/>
    <mergeCell ref="Y82:Y132"/>
    <mergeCell ref="AA82:AA132"/>
    <mergeCell ref="AB82:AK82"/>
    <mergeCell ref="X185:X288"/>
    <mergeCell ref="Z185:Z288"/>
    <mergeCell ref="Y186:Y236"/>
    <mergeCell ref="AA186:AA236"/>
    <mergeCell ref="AB186:AK186"/>
    <mergeCell ref="X289:X392"/>
    <mergeCell ref="Z289:Z392"/>
    <mergeCell ref="Y290:Y340"/>
    <mergeCell ref="AA290:AA340"/>
    <mergeCell ref="AB290:AK290"/>
    <mergeCell ref="X393:X496"/>
    <mergeCell ref="Z393:Z496"/>
    <mergeCell ref="Y394:Y444"/>
    <mergeCell ref="AA394:AA444"/>
    <mergeCell ref="AB394:AK394"/>
    <mergeCell ref="Y133:Y183"/>
    <mergeCell ref="AA133:AA183"/>
    <mergeCell ref="AB133:AK133"/>
    <mergeCell ref="Y237:Y287"/>
    <mergeCell ref="AA237:AA287"/>
    <mergeCell ref="AB237:AK237"/>
    <mergeCell ref="Y341:Y391"/>
    <mergeCell ref="AA341:AA391"/>
    <mergeCell ref="AB341:AK341"/>
    <mergeCell ref="Y445:Y495"/>
    <mergeCell ref="AA445:AA495"/>
    <mergeCell ref="AB445:AK445"/>
  </mergeCells>
  <dataValidations count="1">
    <dataValidation type="decimal" allowBlank="1" showErrorMessage="1" errorTitle="Ошибка" error="Допускается ввод только неотрицательных чисел!" sqref="AK30:AK80 AK83:AK132 AK134:AK183 AK187:AK236 AK238:AK288 AK291:AK340 AK342:AK392 AK395:AK444 AK446:AK496 AJ30:AJ80 AJ83:AJ132 AJ134:AJ183 AJ187:AJ236 AJ238:AJ288 AJ291:AJ340 AJ342:AJ392 AJ395:AJ444 AJ446:AJ496 AI30:AI80 AI83:AI132 AI134:AI183 AI187:AI236 AI238:AI288 AI291:AI340 AI342:AI392 AI395:AI444 AI446:AI496 AH30:AH80 AH83:AH132 AH134:AH183 AH187:AH236 AH238:AH288 AH291:AH340 AH342:AH392 AH395:AH444 AH446:AH496 AG30:AG80 AG83:AG132 AG134:AG183 AG187:AG236 AG238:AG288 AG291:AG340 AG342:AG392 AG395:AG444 AG446:AG496 AF30:AF80 AF83:AF132 AF134:AF183 AF187:AF236 AF238:AF288 AF291:AF340 AF342:AF392 AF395:AF444 AF446:AF496 AE30:AE80 AE83:AE132 AE134:AE183 AE187:AE236 AE238:AE288 AE291:AE340 AE342:AE392 AE395:AE444 AE446:AE496 AD30:AD80 AD83:AD132 AD134:AD183 AD187:AD236 AD238:AD288 AD291:AD340 AD342:AD392 AD395:AD444 AD446:AD496 AC30:AC80 AC83:AC132 AC134:AC183 AC187:AC236 AC238:AC288 AC291:AC340 AC342:AC392 AC395:AC444 AC446:AC496">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244DA8-6DE8-2DA2-69C9-1CDB1959A128}" mc:Ignorable="x14ac xr xr2 xr3">
  <sheetPr>
    <tabColor rgb="FF002060"/>
    <outlinePr summaryRight="0" summaryBelow="0"/>
    <pageSetUpPr fitToPage="1"/>
  </sheetPr>
  <dimension ref="A1:AP496"/>
  <sheetViews>
    <sheetView showGridLines="0" workbookViewId="0">
      <pane xSplit="30" ySplit="25" topLeftCell="AE116" activePane="bottomRight" state="frozen"/>
      <selection pane="bottomLeft" activeCell="A26" sqref="A26"/>
      <selection pane="topRight" activeCell="AE1" sqref="AE1"/>
      <selection pane="bottomRight" activeCell="AA21" sqref="AA21"/>
    </sheetView>
  </sheetViews>
  <sheetFormatPr defaultColWidth="8.7109375" customHeight="1" defaultRowHeight="11.25"/>
  <cols>
    <col min="1" max="1" style="667" width="5.140625" hidden="1" customWidth="1"/>
    <col min="2" max="2" style="1459" width="9.28125" hidden="1" customWidth="1"/>
    <col min="3" max="3" style="1459" width="5.140625" hidden="1" customWidth="1"/>
    <col min="4" max="4" style="1459" width="2.7109375" hidden="1" customWidth="1"/>
    <col min="5" max="5" style="1419" width="5.7109375" hidden="1" customWidth="1"/>
    <col min="6" max="6" style="1459" width="2.7109375" hidden="1" customWidth="1"/>
    <col min="7" max="7" style="1459" width="7.57421875" hidden="1" customWidth="1"/>
    <col min="8" max="9" style="1459" width="2.7109375" hidden="1" customWidth="1"/>
    <col min="10" max="10" style="1459" width="8.140625" hidden="1" customWidth="1"/>
    <col min="11" max="18" style="1459" width="2.7109375" hidden="1" customWidth="1"/>
    <col min="19" max="19" style="1459" width="4.421875" hidden="1" customWidth="1"/>
    <col min="20" max="20" style="1459" width="9.140625" hidden="1" customWidth="1"/>
    <col min="21" max="21" style="1459" width="5.8515625" hidden="1" customWidth="1"/>
    <col min="22" max="23" style="1459" width="6.140625" hidden="1" customWidth="1"/>
    <col min="24" max="25" style="1459" width="5.57421875" hidden="1" customWidth="1"/>
    <col min="26" max="26" style="1459" width="5.28125" hidden="1" customWidth="1"/>
    <col min="27" max="27" style="1459" width="3.00390625" customWidth="1"/>
    <col min="28" max="28" style="1459" width="11.00390625" customWidth="1"/>
    <col min="29" max="29" style="1459" width="58.00390625" customWidth="1"/>
    <col min="30" max="30" style="1597" width="11.00390625" customWidth="1"/>
    <col min="31" max="31" style="1597" width="18.29296875" customWidth="1"/>
    <col min="32" max="32" style="1442" width="8.7109375"/>
    <col min="33" max="33" style="1442" width="8.7109375" hidden="1"/>
    <col min="34" max="36" style="1811" width="8.7109375" hidden="1"/>
    <col min="37" max="38" style="1444" width="8.7109375" hidden="1"/>
    <col min="39" max="42" width="8.7109375" hidden="1"/>
  </cols>
  <sheetData>
    <row customHeight="1" ht="11.25" hidden="1">
      <c r="E1" s="488"/>
      <c r="F1" s="488" t="s">
        <v>321</v>
      </c>
      <c r="H1" s="488" t="s">
        <v>331</v>
      </c>
      <c r="I1" s="488" t="s">
        <v>357</v>
      </c>
      <c r="T1" s="465" t="s">
        <v>93</v>
      </c>
      <c r="U1" s="465" t="s">
        <v>98</v>
      </c>
      <c r="V1" s="465" t="s">
        <v>94</v>
      </c>
      <c r="W1" s="465" t="s">
        <v>95</v>
      </c>
      <c r="X1" s="465" t="s">
        <v>96</v>
      </c>
      <c r="Y1" s="467" t="s">
        <v>323</v>
      </c>
      <c r="Z1" s="465" t="s">
        <v>100</v>
      </c>
      <c r="AA1" s="467" t="s">
        <v>97</v>
      </c>
      <c r="AB1" s="416"/>
      <c r="AC1" s="466" t="s">
        <v>99</v>
      </c>
      <c r="AH1" s="1001" t="s">
        <v>324</v>
      </c>
      <c r="AI1" s="1001" t="s">
        <v>325</v>
      </c>
      <c r="AJ1" s="1001" t="s">
        <v>326</v>
      </c>
      <c r="AK1" s="656" t="s">
        <v>329</v>
      </c>
      <c r="AL1" s="656" t="s">
        <v>330</v>
      </c>
    </row>
    <row customHeight="1" ht="11.25" hidden="1">
      <c r="B2" s="1265" t="s">
        <v>19</v>
      </c>
      <c r="E2" s="488"/>
    </row>
    <row customHeight="1" ht="11.25" hidden="1">
      <c r="E3" s="488"/>
    </row>
    <row customHeight="1" ht="11.25" hidden="1">
      <c r="E4" s="488"/>
    </row>
    <row s="1419" customFormat="1" customHeight="1" ht="11.25" hidden="1">
      <c r="A5" s="667"/>
      <c r="B5" s="488"/>
      <c r="C5" s="488"/>
      <c r="D5" s="488"/>
      <c r="E5" s="649" t="s">
        <v>20</v>
      </c>
      <c r="AA5" s="649">
        <v>3</v>
      </c>
      <c r="AB5" s="649">
        <v>11</v>
      </c>
      <c r="AC5" s="649">
        <v>58</v>
      </c>
      <c r="AD5" s="651">
        <v>11</v>
      </c>
      <c r="AE5" s="651">
        <v>18.29</v>
      </c>
      <c r="AF5" s="656" t="s">
        <v>289</v>
      </c>
      <c r="AG5" s="656"/>
      <c r="AH5" s="1001"/>
      <c r="AI5" s="1001"/>
      <c r="AJ5" s="1001"/>
      <c r="AK5" s="656"/>
      <c r="AL5" s="656"/>
      <c r="AM5" s="675"/>
      <c r="AN5" s="675"/>
      <c r="AO5" s="675"/>
      <c r="AP5" s="675"/>
    </row>
    <row customHeight="1" ht="13.5" hidden="1">
      <c r="A6" s="667" t="s">
        <v>360</v>
      </c>
      <c r="AE6" s="555">
        <f>god-2</f>
        <v>2024</v>
      </c>
    </row>
    <row customHeight="1" ht="11.25" hidden="1">
      <c r="AE7" s="555"/>
    </row>
    <row customHeight="1" ht="11.25" hidden="1">
      <c r="AE8" s="555"/>
    </row>
    <row customHeight="1" ht="11.25" hidden="1">
      <c r="AE9" s="555" cm="1" t="str">
        <f t="array" ref="AE9:AE9">god</f>
        <v>2026</v>
      </c>
    </row>
    <row s="1424" customFormat="1" customHeight="1" ht="11.25" hidden="1">
      <c r="A10" s="1075" t="s">
        <v>338</v>
      </c>
      <c r="AC10" s="1025" t="s">
        <v>326</v>
      </c>
      <c r="AD10" s="1026"/>
      <c r="AE10" s="1076"/>
      <c r="AF10" s="1001"/>
      <c r="AG10" s="1001"/>
      <c r="AH10" s="1001"/>
      <c r="AI10" s="1001"/>
      <c r="AJ10" s="1001"/>
      <c r="AK10" s="656"/>
      <c r="AL10" s="656"/>
      <c r="AM10" s="1006"/>
      <c r="AN10" s="1006"/>
      <c r="AO10" s="1006"/>
      <c r="AP10" s="1006"/>
    </row>
    <row customHeight="1" ht="11.25" hidden="1">
      <c r="AE11" s="555"/>
    </row>
    <row customHeight="1" ht="11.25" hidden="1">
      <c r="AE12" s="555"/>
    </row>
    <row customHeight="1" ht="11.25" hidden="1">
      <c r="AE13" s="555"/>
    </row>
    <row customHeight="1" ht="11.25" hidden="1">
      <c r="AE14" s="555"/>
    </row>
    <row customHeight="1" ht="11.25" hidden="1">
      <c r="AE15" s="555"/>
    </row>
    <row customHeight="1" ht="11.25" hidden="1">
      <c r="AE16" s="555"/>
    </row>
    <row customHeight="1" ht="11.25" hidden="1">
      <c r="AE17" s="517"/>
    </row>
    <row customHeight="1" ht="11.25" hidden="1">
      <c r="A18" s="667" t="s">
        <v>368</v>
      </c>
      <c r="AC18" s="488" t="s">
        <v>195</v>
      </c>
    </row>
    <row customHeight="1" ht="11.25" hidden="1"/>
    <row customHeight="1" ht="11.25" hidden="1"/>
    <row customHeight="1" ht="14.625">
      <c r="E21" s="649">
        <v>15</v>
      </c>
      <c r="AA21" s="488"/>
      <c r="AC21" s="523" cm="1" t="str">
        <f t="array" ref="AC21:AC21">tpl_title</f>
        <v>Кемеровская область / 2026 / ООО "Теплоэнерго" (ИНН:4214046200, КПП:421401001) / ДПР: 2026-2030</v>
      </c>
    </row>
    <row customHeight="1" ht="43.875">
      <c r="E22" s="649">
        <v>45</v>
      </c>
      <c r="AB22" s="1657" t="str">
        <f>IF(method_reg="Метод сравнения аналогов"," Калькуляция текущих расходов гарантирующей организации ("&amp;STATUS_GO&amp;")","Текущие 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Текущие 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C22" s="1658"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D22" s="1659"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E22" s="1658"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row>
    <row customHeight="1" ht="10.96875">
      <c r="E23" s="649">
        <v>11.25</v>
      </c>
      <c r="AB23" s="1581"/>
      <c r="AC23" s="1581"/>
      <c r="AD23" s="1581"/>
      <c r="AE23" s="1581"/>
    </row>
    <row customHeight="1" ht="14.625">
      <c r="E24" s="649">
        <v>15</v>
      </c>
      <c r="AB24" s="1577" t="s">
        <v>1496</v>
      </c>
      <c r="AC24" s="1608" t="s">
        <v>195</v>
      </c>
      <c r="AD24" s="1577" t="s">
        <v>370</v>
      </c>
      <c r="AE24" s="1330" t="str">
        <f>god-2&amp;" год"</f>
        <v>2024 год</v>
      </c>
    </row>
    <row customHeight="1" ht="48.75">
      <c r="E25" s="649">
        <v>50</v>
      </c>
      <c r="AB25" s="1577"/>
      <c r="AC25" s="1608"/>
      <c r="AD25" s="1605"/>
      <c r="AE25" s="556" t="s">
        <v>2984</v>
      </c>
    </row>
    <row customHeight="1" ht="11.25" hidden="1">
      <c r="E26" s="649">
        <v>0</v>
      </c>
      <c r="AB26" s="722"/>
      <c r="AC26" s="721"/>
      <c r="AD26" s="722"/>
      <c r="AE26" s="728"/>
    </row>
    <row customHeight="1" ht="14.625" hidden="1">
      <c r="A27" s="667"/>
      <c r="B27" s="1459"/>
      <c r="C27" s="1459"/>
      <c r="D27" s="1459"/>
      <c r="E27" s="649">
        <v>15</v>
      </c>
      <c r="F27" s="836" cm="1" t="str">
        <f t="array" ref="F27:F27">X27</f>
        <v>0</v>
      </c>
      <c r="G27" s="488" t="s">
        <v>1507</v>
      </c>
      <c r="H27" s="1459"/>
      <c r="I27" s="1459"/>
      <c r="J27" s="1459"/>
      <c r="K27" s="1459"/>
      <c r="L27" s="1459"/>
      <c r="M27" s="1459"/>
      <c r="N27" s="1459"/>
      <c r="O27" s="1459"/>
      <c r="P27" s="1459"/>
      <c r="Q27" s="1459"/>
      <c r="R27" s="1459"/>
      <c r="S27" s="1459"/>
      <c r="T27" s="465">
        <f>X27&gt;0</f>
        <v>0</v>
      </c>
      <c r="U27" s="1459"/>
      <c r="V27" s="488" t="s">
        <v>265</v>
      </c>
      <c r="W27" s="1459"/>
      <c r="X27" s="1596">
        <v>0</v>
      </c>
      <c r="Y27" s="1459"/>
      <c r="Z27" s="1597"/>
      <c r="AA27" s="1459"/>
      <c r="AB27" s="222" cm="1" t="str">
        <f t="array" ref="AB27:AB27">INDEX('Общие сведения'!$AG$179:$AG$250,MATCH($X27,'Общие сведения'!$Z$179:$Z$250,0))</f>
        <v>Тариф 0 () - </v>
      </c>
      <c r="AC27" s="180"/>
      <c r="AD27" s="174"/>
      <c r="AE27" s="1266">
        <f>AE28+AE78+AE115</f>
        <v>0</v>
      </c>
      <c r="AF27" s="1442"/>
      <c r="AG27" s="1442"/>
      <c r="AH27" s="1811"/>
      <c r="AI27" s="1811"/>
      <c r="AJ27" s="1811"/>
      <c r="AK27" s="1444"/>
      <c r="AL27" s="1444"/>
      <c r="AM27" s="8337"/>
      <c r="AN27" s="8337"/>
      <c r="AO27" s="8337"/>
      <c r="AP27" s="8337"/>
    </row>
    <row customHeight="1" ht="14.625" hidden="1">
      <c r="A28" s="667"/>
      <c r="B28" s="1459"/>
      <c r="C28" s="1459"/>
      <c r="D28" s="1459"/>
      <c r="E28" s="649">
        <v>15</v>
      </c>
      <c r="F28" s="50" cm="1" t="str">
        <f t="array" ref="F28:F28">OFFSET(E28,-1,1)</f>
        <v>0</v>
      </c>
      <c r="G28" s="1459"/>
      <c r="H28" s="488" t="s">
        <v>332</v>
      </c>
      <c r="I28" s="1459"/>
      <c r="J28" s="1459"/>
      <c r="K28" s="1459"/>
      <c r="L28" s="1459"/>
      <c r="M28" s="1459"/>
      <c r="N28" s="1459"/>
      <c r="O28" s="1459"/>
      <c r="P28" s="1459"/>
      <c r="Q28" s="1459"/>
      <c r="R28" s="1459"/>
      <c r="S28" s="1459"/>
      <c r="T28" s="465" cm="1" t="str">
        <f t="array" ref="T28:T28">T27</f>
        <v>false</v>
      </c>
      <c r="U28" s="1459"/>
      <c r="V28" s="1459"/>
      <c r="W28" s="1459"/>
      <c r="X28" s="1596"/>
      <c r="Y28" s="1459"/>
      <c r="Z28" s="1597"/>
      <c r="AA28" s="1459"/>
      <c r="AB28" s="1267" t="s">
        <v>276</v>
      </c>
      <c r="AC28" s="1268" t="s">
        <v>2636</v>
      </c>
      <c r="AD28" s="1269" t="s">
        <v>1514</v>
      </c>
      <c r="AE28" s="1331">
        <f>AE29+AE47+AE55+AE75</f>
        <v>0</v>
      </c>
      <c r="AF28" s="1442"/>
      <c r="AG28" s="1442"/>
      <c r="AH28" s="1001" t="s">
        <v>1239</v>
      </c>
      <c r="AI28" s="1811"/>
      <c r="AJ28" s="1811"/>
      <c r="AK28" s="1444"/>
      <c r="AL28" s="1444"/>
      <c r="AM28" s="8337"/>
      <c r="AN28" s="8337"/>
      <c r="AO28" s="8337"/>
      <c r="AP28" s="8337"/>
    </row>
    <row customHeight="1" ht="14.625" hidden="1">
      <c r="A29" s="667"/>
      <c r="B29" s="1459"/>
      <c r="C29" s="1459"/>
      <c r="D29" s="1459"/>
      <c r="E29" s="649">
        <v>15</v>
      </c>
      <c r="F29" s="50" cm="1" t="str">
        <f t="array" ref="F29:F29">OFFSET(E29,-1,1)</f>
        <v>0</v>
      </c>
      <c r="G29" s="1459"/>
      <c r="H29" s="488" t="s">
        <v>1175</v>
      </c>
      <c r="I29" s="1459"/>
      <c r="J29" s="1459"/>
      <c r="K29" s="1459"/>
      <c r="L29" s="1459"/>
      <c r="M29" s="1459"/>
      <c r="N29" s="1459"/>
      <c r="O29" s="1459"/>
      <c r="P29" s="1459"/>
      <c r="Q29" s="1459"/>
      <c r="R29" s="1459"/>
      <c r="S29" s="1459"/>
      <c r="T29" s="465" cm="1" t="str">
        <f t="array" ref="T29:T29">T28</f>
        <v>false</v>
      </c>
      <c r="U29" s="1459"/>
      <c r="V29" s="1459"/>
      <c r="W29" s="1459"/>
      <c r="X29" s="1596"/>
      <c r="Y29" s="1459"/>
      <c r="Z29" s="1597"/>
      <c r="AA29" s="1459"/>
      <c r="AB29" s="1270" t="s">
        <v>1628</v>
      </c>
      <c r="AC29" s="1271" t="s">
        <v>2434</v>
      </c>
      <c r="AD29" s="1272" t="s">
        <v>1514</v>
      </c>
      <c r="AE29" s="557">
        <f>AE30+AE31+AE32+AE37+AE38+AE39</f>
        <v>0</v>
      </c>
      <c r="AF29" s="1442"/>
      <c r="AG29" s="1442"/>
      <c r="AH29" s="1001" t="s">
        <v>1868</v>
      </c>
      <c r="AI29" s="1811"/>
      <c r="AJ29" s="1811"/>
      <c r="AK29" s="1444"/>
      <c r="AL29" s="1444"/>
      <c r="AM29" s="8337"/>
      <c r="AN29" s="8337"/>
      <c r="AO29" s="8337"/>
      <c r="AP29" s="8337"/>
    </row>
    <row customHeight="1" ht="14.625" hidden="1">
      <c r="A30" s="667"/>
      <c r="B30" s="1459"/>
      <c r="C30" s="1459"/>
      <c r="D30" s="1459"/>
      <c r="E30" s="649">
        <v>15</v>
      </c>
      <c r="F30" s="50" cm="1" t="str">
        <f t="array" ref="F30:F30">OFFSET(E30,-1,1)</f>
        <v>0</v>
      </c>
      <c r="G30" s="1459"/>
      <c r="H30" s="488" t="s">
        <v>1735</v>
      </c>
      <c r="I30" s="1459"/>
      <c r="J30" s="1459"/>
      <c r="K30" s="1459"/>
      <c r="L30" s="1459"/>
      <c r="M30" s="1459"/>
      <c r="N30" s="1459"/>
      <c r="O30" s="1459"/>
      <c r="P30" s="1459"/>
      <c r="Q30" s="1459"/>
      <c r="R30" s="1459"/>
      <c r="S30" s="1459"/>
      <c r="T30" s="465" cm="1" t="str">
        <f t="array" ref="T30:T30">T29</f>
        <v>false</v>
      </c>
      <c r="U30" s="1459"/>
      <c r="V30" s="1459"/>
      <c r="W30" s="1459"/>
      <c r="X30" s="1596"/>
      <c r="Y30" s="1459"/>
      <c r="Z30" s="1597"/>
      <c r="AA30" s="1459"/>
      <c r="AB30" s="714" t="s">
        <v>1736</v>
      </c>
      <c r="AC30" s="1273" t="s">
        <v>2985</v>
      </c>
      <c r="AD30" s="548" t="s">
        <v>1514</v>
      </c>
      <c r="AE30" s="8349"/>
      <c r="AF30" s="1442"/>
      <c r="AG30" s="1442"/>
      <c r="AH30" s="1001" t="s">
        <v>1983</v>
      </c>
      <c r="AI30" s="1811"/>
      <c r="AJ30" s="1811"/>
      <c r="AK30" s="1444"/>
      <c r="AL30" s="1444"/>
      <c r="AM30" s="8337"/>
      <c r="AN30" s="8337"/>
      <c r="AO30" s="8337"/>
      <c r="AP30" s="8337"/>
    </row>
    <row customHeight="1" ht="21.9375" hidden="1">
      <c r="A31" s="667"/>
      <c r="B31" s="1459"/>
      <c r="C31" s="1459"/>
      <c r="D31" s="1459"/>
      <c r="E31" s="649">
        <v>22.5</v>
      </c>
      <c r="F31" s="50" cm="1" t="str">
        <f t="array" ref="F31:F31">OFFSET(E31,-1,1)</f>
        <v>0</v>
      </c>
      <c r="G31" s="1459"/>
      <c r="H31" s="488" t="s">
        <v>1739</v>
      </c>
      <c r="I31" s="1459"/>
      <c r="J31" s="1459"/>
      <c r="K31" s="1459"/>
      <c r="L31" s="1459"/>
      <c r="M31" s="1459"/>
      <c r="N31" s="1459"/>
      <c r="O31" s="1459"/>
      <c r="P31" s="1459"/>
      <c r="Q31" s="1459"/>
      <c r="R31" s="1459"/>
      <c r="S31" s="1459"/>
      <c r="T31" s="465" cm="1" t="str">
        <f t="array" ref="T31:T31">T30</f>
        <v>false</v>
      </c>
      <c r="U31" s="1459"/>
      <c r="V31" s="1459"/>
      <c r="W31" s="1459"/>
      <c r="X31" s="1596"/>
      <c r="Y31" s="1459"/>
      <c r="Z31" s="1597"/>
      <c r="AA31" s="1459"/>
      <c r="AB31" s="714" t="s">
        <v>1740</v>
      </c>
      <c r="AC31" s="549" t="s">
        <v>2644</v>
      </c>
      <c r="AD31" s="548" t="s">
        <v>1514</v>
      </c>
      <c r="AE31" s="8349"/>
      <c r="AF31" s="1442"/>
      <c r="AG31" s="1442"/>
      <c r="AH31" s="1001" t="s">
        <v>2467</v>
      </c>
      <c r="AI31" s="1811"/>
      <c r="AJ31" s="1811"/>
      <c r="AK31" s="1444"/>
      <c r="AL31" s="1444"/>
      <c r="AM31" s="8337"/>
      <c r="AN31" s="8337"/>
      <c r="AO31" s="8337"/>
      <c r="AP31" s="8337"/>
    </row>
    <row customHeight="1" ht="32.90625" hidden="1">
      <c r="A32" s="667"/>
      <c r="B32" s="1459"/>
      <c r="C32" s="1459"/>
      <c r="D32" s="1459"/>
      <c r="E32" s="649">
        <v>33.75</v>
      </c>
      <c r="F32" s="50" cm="1" t="str">
        <f t="array" ref="F32:F32">OFFSET(E32,-1,1)</f>
        <v>0</v>
      </c>
      <c r="G32" s="1459"/>
      <c r="H32" s="488" t="s">
        <v>2043</v>
      </c>
      <c r="I32" s="1459"/>
      <c r="J32" s="1459"/>
      <c r="K32" s="1459"/>
      <c r="L32" s="1459"/>
      <c r="M32" s="1459"/>
      <c r="N32" s="1459"/>
      <c r="O32" s="1459"/>
      <c r="P32" s="1459"/>
      <c r="Q32" s="1459"/>
      <c r="R32" s="1459"/>
      <c r="S32" s="1459"/>
      <c r="T32" s="465" cm="1" t="str">
        <f t="array" ref="T32:T32">T31</f>
        <v>false</v>
      </c>
      <c r="U32" s="1459"/>
      <c r="V32" s="1459"/>
      <c r="W32" s="1459"/>
      <c r="X32" s="1596"/>
      <c r="Y32" s="1459"/>
      <c r="Z32" s="1597"/>
      <c r="AA32" s="1459"/>
      <c r="AB32" s="714" t="s">
        <v>2044</v>
      </c>
      <c r="AC32" s="549" t="s">
        <v>2986</v>
      </c>
      <c r="AD32" s="548" t="s">
        <v>1514</v>
      </c>
      <c r="AE32" s="557">
        <f>AE33+AE36</f>
        <v>0</v>
      </c>
      <c r="AF32" s="1442"/>
      <c r="AG32" s="1442"/>
      <c r="AH32" s="1001" t="s">
        <v>2469</v>
      </c>
      <c r="AI32" s="1811"/>
      <c r="AJ32" s="1811"/>
      <c r="AK32" s="1444"/>
      <c r="AL32" s="1444"/>
      <c r="AM32" s="8337"/>
      <c r="AN32" s="8337"/>
      <c r="AO32" s="8337"/>
      <c r="AP32" s="8337"/>
    </row>
    <row customHeight="1" ht="21.9375" hidden="1">
      <c r="A33" s="667"/>
      <c r="B33" s="1459"/>
      <c r="C33" s="1459"/>
      <c r="D33" s="1459"/>
      <c r="E33" s="649">
        <v>22.5</v>
      </c>
      <c r="F33" s="50" cm="1" t="str">
        <f t="array" ref="F33:F33">OFFSET(E33,-1,1)</f>
        <v>0</v>
      </c>
      <c r="G33" s="1459"/>
      <c r="H33" s="488" t="s">
        <v>2987</v>
      </c>
      <c r="I33" s="1459"/>
      <c r="J33" s="1459"/>
      <c r="K33" s="1459"/>
      <c r="L33" s="1459"/>
      <c r="M33" s="1459"/>
      <c r="N33" s="1459"/>
      <c r="O33" s="1459"/>
      <c r="P33" s="1459"/>
      <c r="Q33" s="1459"/>
      <c r="R33" s="1459"/>
      <c r="S33" s="1459"/>
      <c r="T33" s="465" cm="1" t="str">
        <f t="array" ref="T33:T33">T32</f>
        <v>false</v>
      </c>
      <c r="U33" s="1459"/>
      <c r="V33" s="1459"/>
      <c r="W33" s="1459"/>
      <c r="X33" s="1596"/>
      <c r="Y33" s="1459"/>
      <c r="Z33" s="1597"/>
      <c r="AA33" s="1459"/>
      <c r="AB33" s="714" t="s">
        <v>2988</v>
      </c>
      <c r="AC33" s="1274" t="s">
        <v>2989</v>
      </c>
      <c r="AD33" s="548" t="s">
        <v>1514</v>
      </c>
      <c r="AE33" s="8349"/>
      <c r="AF33" s="1442"/>
      <c r="AG33" s="1442"/>
      <c r="AH33" s="1001" t="s">
        <v>2471</v>
      </c>
      <c r="AI33" s="1811"/>
      <c r="AJ33" s="1811"/>
      <c r="AK33" s="1444"/>
      <c r="AL33" s="1444"/>
      <c r="AM33" s="8337"/>
      <c r="AN33" s="8337"/>
      <c r="AO33" s="8337"/>
      <c r="AP33" s="8337"/>
    </row>
    <row customHeight="1" ht="21.9375" hidden="1">
      <c r="A34" s="667"/>
      <c r="B34" s="1459"/>
      <c r="C34" s="1459"/>
      <c r="D34" s="1459"/>
      <c r="E34" s="649">
        <v>22.5</v>
      </c>
      <c r="F34" s="50" cm="1" t="str">
        <f t="array" ref="F34:F34">OFFSET(E34,-1,1)</f>
        <v>0</v>
      </c>
      <c r="G34" s="1459"/>
      <c r="H34" s="488" t="s">
        <v>2990</v>
      </c>
      <c r="I34" s="1459"/>
      <c r="J34" s="1459"/>
      <c r="K34" s="1459"/>
      <c r="L34" s="1459"/>
      <c r="M34" s="1459"/>
      <c r="N34" s="1459"/>
      <c r="O34" s="1459"/>
      <c r="P34" s="1459"/>
      <c r="Q34" s="1459"/>
      <c r="R34" s="1459"/>
      <c r="S34" s="1459"/>
      <c r="T34" s="465" cm="1" t="str">
        <f t="array" ref="T34:T34">T33</f>
        <v>false</v>
      </c>
      <c r="U34" s="1459"/>
      <c r="V34" s="1459"/>
      <c r="W34" s="1459"/>
      <c r="X34" s="1596"/>
      <c r="Y34" s="1459"/>
      <c r="Z34" s="1597"/>
      <c r="AA34" s="1459"/>
      <c r="AB34" s="714" t="s">
        <v>2991</v>
      </c>
      <c r="AC34" s="1275" t="s">
        <v>2992</v>
      </c>
      <c r="AD34" s="548" t="s">
        <v>2993</v>
      </c>
      <c r="AE34" s="8349"/>
      <c r="AF34" s="1442"/>
      <c r="AG34" s="1442"/>
      <c r="AH34" s="1001" t="s">
        <v>2994</v>
      </c>
      <c r="AI34" s="1811"/>
      <c r="AJ34" s="1811"/>
      <c r="AK34" s="1444"/>
      <c r="AL34" s="1444"/>
      <c r="AM34" s="8337"/>
      <c r="AN34" s="8337"/>
      <c r="AO34" s="8337"/>
      <c r="AP34" s="8337"/>
    </row>
    <row customHeight="1" ht="21.9375" hidden="1">
      <c r="A35" s="667"/>
      <c r="B35" s="1459"/>
      <c r="C35" s="1459"/>
      <c r="D35" s="1459"/>
      <c r="E35" s="649">
        <v>22.5</v>
      </c>
      <c r="F35" s="50" cm="1" t="str">
        <f t="array" ref="F35:F35">OFFSET(E35,-1,1)</f>
        <v>0</v>
      </c>
      <c r="G35" s="1459"/>
      <c r="H35" s="488" t="s">
        <v>2995</v>
      </c>
      <c r="I35" s="1459"/>
      <c r="J35" s="1459"/>
      <c r="K35" s="1459"/>
      <c r="L35" s="1459"/>
      <c r="M35" s="1459"/>
      <c r="N35" s="1459"/>
      <c r="O35" s="1459"/>
      <c r="P35" s="1459"/>
      <c r="Q35" s="1459"/>
      <c r="R35" s="1459"/>
      <c r="S35" s="1459"/>
      <c r="T35" s="465" cm="1" t="str">
        <f t="array" ref="T35:T35">T34</f>
        <v>false</v>
      </c>
      <c r="U35" s="1459"/>
      <c r="V35" s="1459"/>
      <c r="W35" s="1459"/>
      <c r="X35" s="1596"/>
      <c r="Y35" s="1459"/>
      <c r="Z35" s="1597"/>
      <c r="AA35" s="1459"/>
      <c r="AB35" s="714" t="s">
        <v>2996</v>
      </c>
      <c r="AC35" s="551" t="s">
        <v>2997</v>
      </c>
      <c r="AD35" s="548" t="s">
        <v>2998</v>
      </c>
      <c r="AE35" s="8349"/>
      <c r="AF35" s="1442"/>
      <c r="AG35" s="1442"/>
      <c r="AH35" s="1001" t="s">
        <v>2999</v>
      </c>
      <c r="AI35" s="1811"/>
      <c r="AJ35" s="1811"/>
      <c r="AK35" s="1444"/>
      <c r="AL35" s="1444"/>
      <c r="AM35" s="8337"/>
      <c r="AN35" s="8337"/>
      <c r="AO35" s="8337"/>
      <c r="AP35" s="8337"/>
    </row>
    <row customHeight="1" ht="21.9375" hidden="1">
      <c r="A36" s="667"/>
      <c r="B36" s="1459"/>
      <c r="C36" s="1459"/>
      <c r="D36" s="1459"/>
      <c r="E36" s="649">
        <v>22.5</v>
      </c>
      <c r="F36" s="50" cm="1" t="str">
        <f t="array" ref="F36:F36">OFFSET(E36,-1,1)</f>
        <v>0</v>
      </c>
      <c r="G36" s="1459"/>
      <c r="H36" s="488" t="s">
        <v>3000</v>
      </c>
      <c r="I36" s="1459"/>
      <c r="J36" s="1459"/>
      <c r="K36" s="1459"/>
      <c r="L36" s="1459"/>
      <c r="M36" s="1459"/>
      <c r="N36" s="1459"/>
      <c r="O36" s="1459"/>
      <c r="P36" s="1459"/>
      <c r="Q36" s="1459"/>
      <c r="R36" s="1459"/>
      <c r="S36" s="1459"/>
      <c r="T36" s="465" cm="1" t="str">
        <f t="array" ref="T36:T36">T35</f>
        <v>false</v>
      </c>
      <c r="U36" s="1459"/>
      <c r="V36" s="1459"/>
      <c r="W36" s="1459"/>
      <c r="X36" s="1596"/>
      <c r="Y36" s="1459"/>
      <c r="Z36" s="1597"/>
      <c r="AA36" s="1459"/>
      <c r="AB36" s="714" t="s">
        <v>3001</v>
      </c>
      <c r="AC36" s="550" t="s">
        <v>3002</v>
      </c>
      <c r="AD36" s="548" t="s">
        <v>1514</v>
      </c>
      <c r="AE36" s="8349"/>
      <c r="AF36" s="1442"/>
      <c r="AG36" s="1442"/>
      <c r="AH36" s="1001" t="s">
        <v>2473</v>
      </c>
      <c r="AI36" s="1811"/>
      <c r="AJ36" s="1811"/>
      <c r="AK36" s="1444"/>
      <c r="AL36" s="1444"/>
      <c r="AM36" s="8337"/>
      <c r="AN36" s="8337"/>
      <c r="AO36" s="8337"/>
      <c r="AP36" s="8337"/>
    </row>
    <row customHeight="1" ht="14.625" hidden="1">
      <c r="A37" s="667"/>
      <c r="B37" s="1459"/>
      <c r="C37" s="1459"/>
      <c r="D37" s="1459"/>
      <c r="E37" s="649">
        <v>15</v>
      </c>
      <c r="F37" s="50" cm="1" t="str">
        <f t="array" ref="F37:F37">OFFSET(E37,-1,1)</f>
        <v>0</v>
      </c>
      <c r="G37" s="1459"/>
      <c r="H37" s="488" t="s">
        <v>2047</v>
      </c>
      <c r="I37" s="1459"/>
      <c r="J37" s="1459"/>
      <c r="K37" s="1459"/>
      <c r="L37" s="1459"/>
      <c r="M37" s="1459"/>
      <c r="N37" s="1459"/>
      <c r="O37" s="1459"/>
      <c r="P37" s="1459"/>
      <c r="Q37" s="1459"/>
      <c r="R37" s="1459"/>
      <c r="S37" s="1459"/>
      <c r="T37" s="465" cm="1" t="str">
        <f t="array" ref="T37:T37">T36</f>
        <v>false</v>
      </c>
      <c r="U37" s="1459"/>
      <c r="V37" s="1459"/>
      <c r="W37" s="1459"/>
      <c r="X37" s="1596"/>
      <c r="Y37" s="1459"/>
      <c r="Z37" s="1597"/>
      <c r="AA37" s="1459"/>
      <c r="AB37" s="714" t="s">
        <v>2048</v>
      </c>
      <c r="AC37" s="549" t="s">
        <v>3003</v>
      </c>
      <c r="AD37" s="548" t="s">
        <v>1514</v>
      </c>
      <c r="AE37" s="8349"/>
      <c r="AF37" s="1442"/>
      <c r="AG37" s="1442"/>
      <c r="AH37" s="1001" t="s">
        <v>2825</v>
      </c>
      <c r="AI37" s="1811"/>
      <c r="AJ37" s="1811"/>
      <c r="AK37" s="1444"/>
      <c r="AL37" s="1444"/>
      <c r="AM37" s="8337"/>
      <c r="AN37" s="8337"/>
      <c r="AO37" s="8337"/>
      <c r="AP37" s="8337"/>
    </row>
    <row customHeight="1" ht="14.625" hidden="1">
      <c r="A38" s="667"/>
      <c r="B38" s="1459"/>
      <c r="C38" s="1459"/>
      <c r="D38" s="1459"/>
      <c r="E38" s="649">
        <v>15</v>
      </c>
      <c r="F38" s="50" cm="1" t="str">
        <f t="array" ref="F38:F38">OFFSET(E38,-1,1)</f>
        <v>0</v>
      </c>
      <c r="G38" s="1459"/>
      <c r="H38" s="488" t="s">
        <v>3004</v>
      </c>
      <c r="I38" s="1459"/>
      <c r="J38" s="1459"/>
      <c r="K38" s="1459"/>
      <c r="L38" s="1459"/>
      <c r="M38" s="1459"/>
      <c r="N38" s="1459"/>
      <c r="O38" s="1459"/>
      <c r="P38" s="1459"/>
      <c r="Q38" s="1459"/>
      <c r="R38" s="1459"/>
      <c r="S38" s="1459"/>
      <c r="T38" s="465" cm="1" t="str">
        <f t="array" ref="T38:T38">T37</f>
        <v>false</v>
      </c>
      <c r="U38" s="1459"/>
      <c r="V38" s="1459"/>
      <c r="W38" s="1459"/>
      <c r="X38" s="1596"/>
      <c r="Y38" s="1459"/>
      <c r="Z38" s="1597"/>
      <c r="AA38" s="1459"/>
      <c r="AB38" s="714" t="s">
        <v>2051</v>
      </c>
      <c r="AC38" s="549" t="s">
        <v>2650</v>
      </c>
      <c r="AD38" s="548" t="s">
        <v>1514</v>
      </c>
      <c r="AE38" s="8349"/>
      <c r="AF38" s="1442"/>
      <c r="AG38" s="1442"/>
      <c r="AH38" s="1001" t="s">
        <v>2478</v>
      </c>
      <c r="AI38" s="1811"/>
      <c r="AJ38" s="1811"/>
      <c r="AK38" s="1444"/>
      <c r="AL38" s="1444"/>
      <c r="AM38" s="8337"/>
      <c r="AN38" s="8337"/>
      <c r="AO38" s="8337"/>
      <c r="AP38" s="8337"/>
    </row>
    <row customHeight="1" ht="14.625" hidden="1">
      <c r="A39" s="667"/>
      <c r="B39" s="1459"/>
      <c r="C39" s="1459"/>
      <c r="D39" s="1459"/>
      <c r="E39" s="649">
        <v>15</v>
      </c>
      <c r="F39" s="50" cm="1" t="str">
        <f t="array" ref="F39:F39">OFFSET(E39,-1,1)</f>
        <v>0</v>
      </c>
      <c r="G39" s="1459"/>
      <c r="H39" s="488" t="s">
        <v>3005</v>
      </c>
      <c r="I39" s="1459"/>
      <c r="J39" s="1459"/>
      <c r="K39" s="1459"/>
      <c r="L39" s="1459"/>
      <c r="M39" s="1459"/>
      <c r="N39" s="1459"/>
      <c r="O39" s="1459"/>
      <c r="P39" s="1459"/>
      <c r="Q39" s="1459"/>
      <c r="R39" s="1459"/>
      <c r="S39" s="1459"/>
      <c r="T39" s="465" cm="1" t="str">
        <f t="array" ref="T39:T39">T38</f>
        <v>false</v>
      </c>
      <c r="U39" s="1459"/>
      <c r="V39" s="1459"/>
      <c r="W39" s="1459"/>
      <c r="X39" s="1596"/>
      <c r="Y39" s="1459"/>
      <c r="Z39" s="1597"/>
      <c r="AA39" s="1459"/>
      <c r="AB39" s="714" t="s">
        <v>3006</v>
      </c>
      <c r="AC39" s="549" t="s">
        <v>3007</v>
      </c>
      <c r="AD39" s="548" t="s">
        <v>1514</v>
      </c>
      <c r="AE39" s="557">
        <f>SUM(AE40:AE46)</f>
        <v>0</v>
      </c>
      <c r="AF39" s="1442"/>
      <c r="AG39" s="1442"/>
      <c r="AH39" s="1001" t="s">
        <v>2482</v>
      </c>
      <c r="AI39" s="1811"/>
      <c r="AJ39" s="1811"/>
      <c r="AK39" s="1444"/>
      <c r="AL39" s="1444"/>
      <c r="AM39" s="8337"/>
      <c r="AN39" s="8337"/>
      <c r="AO39" s="8337"/>
      <c r="AP39" s="8337"/>
    </row>
    <row customHeight="1" ht="14.625" hidden="1">
      <c r="A40" s="667"/>
      <c r="B40" s="1459"/>
      <c r="C40" s="1459"/>
      <c r="D40" s="1459"/>
      <c r="E40" s="649">
        <v>15</v>
      </c>
      <c r="F40" s="50" cm="1" t="str">
        <f t="array" ref="F40:F40">OFFSET(E40,-1,1)</f>
        <v>0</v>
      </c>
      <c r="G40" s="1459"/>
      <c r="H40" s="488" t="s">
        <v>3008</v>
      </c>
      <c r="I40" s="1459"/>
      <c r="J40" s="1459"/>
      <c r="K40" s="1459"/>
      <c r="L40" s="1459"/>
      <c r="M40" s="1459"/>
      <c r="N40" s="1459"/>
      <c r="O40" s="1459"/>
      <c r="P40" s="1459"/>
      <c r="Q40" s="1459"/>
      <c r="R40" s="1459"/>
      <c r="S40" s="1459"/>
      <c r="T40" s="465" cm="1" t="str">
        <f t="array" ref="T40:T40">T39</f>
        <v>false</v>
      </c>
      <c r="U40" s="1459"/>
      <c r="V40" s="1459"/>
      <c r="W40" s="1459"/>
      <c r="X40" s="1596"/>
      <c r="Y40" s="1459"/>
      <c r="Z40" s="1597"/>
      <c r="AA40" s="1459"/>
      <c r="AB40" s="714" t="s">
        <v>3009</v>
      </c>
      <c r="AC40" s="550" t="s">
        <v>2489</v>
      </c>
      <c r="AD40" s="548" t="s">
        <v>1514</v>
      </c>
      <c r="AE40" s="8349"/>
      <c r="AF40" s="1442"/>
      <c r="AG40" s="1442"/>
      <c r="AH40" s="1001" t="s">
        <v>3010</v>
      </c>
      <c r="AI40" s="1811"/>
      <c r="AJ40" s="1811"/>
      <c r="AK40" s="1444"/>
      <c r="AL40" s="1444"/>
      <c r="AM40" s="8337"/>
      <c r="AN40" s="8337"/>
      <c r="AO40" s="8337"/>
      <c r="AP40" s="8337"/>
    </row>
    <row customHeight="1" ht="21.9375" hidden="1">
      <c r="A41" s="667"/>
      <c r="B41" s="1459"/>
      <c r="C41" s="1459"/>
      <c r="D41" s="1459"/>
      <c r="E41" s="649">
        <v>22.5</v>
      </c>
      <c r="F41" s="50" cm="1" t="str">
        <f t="array" ref="F41:F41">OFFSET(E41,-1,1)</f>
        <v>0</v>
      </c>
      <c r="G41" s="1459"/>
      <c r="H41" s="488" t="s">
        <v>3011</v>
      </c>
      <c r="I41" s="1459"/>
      <c r="J41" s="1459"/>
      <c r="K41" s="1459"/>
      <c r="L41" s="1459"/>
      <c r="M41" s="1459"/>
      <c r="N41" s="1459"/>
      <c r="O41" s="1459"/>
      <c r="P41" s="1459"/>
      <c r="Q41" s="1459"/>
      <c r="R41" s="1459"/>
      <c r="S41" s="1459"/>
      <c r="T41" s="465" cm="1" t="str">
        <f t="array" ref="T41:T41">T40</f>
        <v>false</v>
      </c>
      <c r="U41" s="1459"/>
      <c r="V41" s="1459"/>
      <c r="W41" s="1459"/>
      <c r="X41" s="1596"/>
      <c r="Y41" s="1459"/>
      <c r="Z41" s="1597"/>
      <c r="AA41" s="1459"/>
      <c r="AB41" s="714" t="s">
        <v>3012</v>
      </c>
      <c r="AC41" s="550" t="s">
        <v>2658</v>
      </c>
      <c r="AD41" s="548" t="s">
        <v>1514</v>
      </c>
      <c r="AE41" s="8349"/>
      <c r="AF41" s="1442"/>
      <c r="AG41" s="1442"/>
      <c r="AH41" s="1064" t="s">
        <v>2659</v>
      </c>
      <c r="AI41" s="1811"/>
      <c r="AJ41" s="1811"/>
      <c r="AK41" s="1444"/>
      <c r="AL41" s="1444"/>
      <c r="AM41" s="8337"/>
      <c r="AN41" s="8337"/>
      <c r="AO41" s="8337"/>
      <c r="AP41" s="8337"/>
    </row>
    <row customHeight="1" ht="21.9375" hidden="1">
      <c r="A42" s="667"/>
      <c r="B42" s="1459"/>
      <c r="C42" s="1459"/>
      <c r="D42" s="1459"/>
      <c r="E42" s="649">
        <v>22.5</v>
      </c>
      <c r="F42" s="50" cm="1" t="str">
        <f t="array" ref="F42:F42">OFFSET(E42,-1,1)</f>
        <v>0</v>
      </c>
      <c r="G42" s="1459"/>
      <c r="H42" s="488" t="s">
        <v>3013</v>
      </c>
      <c r="I42" s="1459"/>
      <c r="J42" s="1459"/>
      <c r="K42" s="1459"/>
      <c r="L42" s="1459"/>
      <c r="M42" s="1459"/>
      <c r="N42" s="1459"/>
      <c r="O42" s="1459"/>
      <c r="P42" s="1459"/>
      <c r="Q42" s="1459"/>
      <c r="R42" s="1459"/>
      <c r="S42" s="1459"/>
      <c r="T42" s="465" cm="1" t="str">
        <f t="array" ref="T42:T42">T41</f>
        <v>false</v>
      </c>
      <c r="U42" s="1459"/>
      <c r="V42" s="1459"/>
      <c r="W42" s="1459"/>
      <c r="X42" s="1596"/>
      <c r="Y42" s="1459"/>
      <c r="Z42" s="1597"/>
      <c r="AA42" s="1459"/>
      <c r="AB42" s="714" t="s">
        <v>3014</v>
      </c>
      <c r="AC42" s="550" t="s">
        <v>2662</v>
      </c>
      <c r="AD42" s="548" t="s">
        <v>1514</v>
      </c>
      <c r="AE42" s="8349"/>
      <c r="AF42" s="1442"/>
      <c r="AG42" s="1442"/>
      <c r="AH42" s="1064" t="s">
        <v>2663</v>
      </c>
      <c r="AI42" s="1811"/>
      <c r="AJ42" s="1811"/>
      <c r="AK42" s="1444"/>
      <c r="AL42" s="1444"/>
      <c r="AM42" s="8337"/>
      <c r="AN42" s="8337"/>
      <c r="AO42" s="8337"/>
      <c r="AP42" s="8337"/>
    </row>
    <row customHeight="1" ht="21.9375" hidden="1">
      <c r="A43" s="667"/>
      <c r="B43" s="1459"/>
      <c r="C43" s="1459"/>
      <c r="D43" s="1459"/>
      <c r="E43" s="649">
        <v>22.5</v>
      </c>
      <c r="F43" s="50" cm="1" t="str">
        <f t="array" ref="F43:F43">OFFSET(E43,-1,1)</f>
        <v>0</v>
      </c>
      <c r="G43" s="1459"/>
      <c r="H43" s="488" t="s">
        <v>3015</v>
      </c>
      <c r="I43" s="1459"/>
      <c r="J43" s="1459"/>
      <c r="K43" s="1459"/>
      <c r="L43" s="1459"/>
      <c r="M43" s="1459"/>
      <c r="N43" s="1459"/>
      <c r="O43" s="1459"/>
      <c r="P43" s="1459"/>
      <c r="Q43" s="1459"/>
      <c r="R43" s="1459"/>
      <c r="S43" s="1459"/>
      <c r="T43" s="465" cm="1" t="str">
        <f t="array" ref="T43:T43">T42</f>
        <v>false</v>
      </c>
      <c r="U43" s="1459"/>
      <c r="V43" s="1459"/>
      <c r="W43" s="1459"/>
      <c r="X43" s="1596"/>
      <c r="Y43" s="1459"/>
      <c r="Z43" s="1597"/>
      <c r="AA43" s="1459"/>
      <c r="AB43" s="714" t="s">
        <v>3016</v>
      </c>
      <c r="AC43" s="550" t="s">
        <v>3017</v>
      </c>
      <c r="AD43" s="548" t="s">
        <v>1514</v>
      </c>
      <c r="AE43" s="8349"/>
      <c r="AF43" s="1442"/>
      <c r="AG43" s="1442"/>
      <c r="AH43" s="1064" t="s">
        <v>2667</v>
      </c>
      <c r="AI43" s="1811"/>
      <c r="AJ43" s="1811"/>
      <c r="AK43" s="1444"/>
      <c r="AL43" s="1444"/>
      <c r="AM43" s="8337"/>
      <c r="AN43" s="8337"/>
      <c r="AO43" s="8337"/>
      <c r="AP43" s="8337"/>
    </row>
    <row customHeight="1" ht="54.84375" hidden="1">
      <c r="A44" s="667"/>
      <c r="B44" s="1459"/>
      <c r="C44" s="1459"/>
      <c r="D44" s="1459"/>
      <c r="E44" s="649">
        <v>56.25</v>
      </c>
      <c r="F44" s="50" cm="1" t="str">
        <f t="array" ref="F44:F44">OFFSET(E44,-1,1)</f>
        <v>0</v>
      </c>
      <c r="G44" s="1459"/>
      <c r="H44" s="488" t="s">
        <v>3018</v>
      </c>
      <c r="I44" s="1459"/>
      <c r="J44" s="1459"/>
      <c r="K44" s="1459"/>
      <c r="L44" s="1459"/>
      <c r="M44" s="1459"/>
      <c r="N44" s="1459"/>
      <c r="O44" s="1459"/>
      <c r="P44" s="1459"/>
      <c r="Q44" s="1459"/>
      <c r="R44" s="1459"/>
      <c r="S44" s="1459"/>
      <c r="T44" s="465" cm="1" t="str">
        <f t="array" ref="T44:T44">T43</f>
        <v>false</v>
      </c>
      <c r="U44" s="1459"/>
      <c r="V44" s="1459"/>
      <c r="W44" s="1459"/>
      <c r="X44" s="1596"/>
      <c r="Y44" s="1459"/>
      <c r="Z44" s="1597"/>
      <c r="AA44" s="1459"/>
      <c r="AB44" s="714" t="s">
        <v>3019</v>
      </c>
      <c r="AC44" s="550" t="s">
        <v>2670</v>
      </c>
      <c r="AD44" s="548" t="s">
        <v>1514</v>
      </c>
      <c r="AE44" s="8349"/>
      <c r="AF44" s="1442"/>
      <c r="AG44" s="1442"/>
      <c r="AH44" s="1064" t="s">
        <v>2494</v>
      </c>
      <c r="AI44" s="1811"/>
      <c r="AJ44" s="1811"/>
      <c r="AK44" s="1444"/>
      <c r="AL44" s="1444"/>
      <c r="AM44" s="8337"/>
      <c r="AN44" s="8337"/>
      <c r="AO44" s="8337"/>
      <c r="AP44" s="8337"/>
    </row>
    <row customHeight="1" ht="14.625" hidden="1">
      <c r="A45" s="667"/>
      <c r="B45" s="1459"/>
      <c r="C45" s="1459"/>
      <c r="D45" s="1459"/>
      <c r="E45" s="649">
        <v>15</v>
      </c>
      <c r="F45" s="50" cm="1" t="str">
        <f t="array" ref="F45:F45">OFFSET(E45,-1,1)</f>
        <v>0</v>
      </c>
      <c r="G45" s="1459"/>
      <c r="H45" s="488" t="s">
        <v>3020</v>
      </c>
      <c r="I45" s="1459"/>
      <c r="J45" s="1459"/>
      <c r="K45" s="1459"/>
      <c r="L45" s="1459"/>
      <c r="M45" s="1459"/>
      <c r="N45" s="1459"/>
      <c r="O45" s="1459"/>
      <c r="P45" s="1459"/>
      <c r="Q45" s="1459"/>
      <c r="R45" s="1459"/>
      <c r="S45" s="1459"/>
      <c r="T45" s="465" cm="1" t="str">
        <f t="array" ref="T45:T45">T44</f>
        <v>false</v>
      </c>
      <c r="U45" s="1459"/>
      <c r="V45" s="1459"/>
      <c r="W45" s="1459"/>
      <c r="X45" s="1596"/>
      <c r="Y45" s="1459"/>
      <c r="Z45" s="1597"/>
      <c r="AA45" s="1459"/>
      <c r="AB45" s="714" t="s">
        <v>3021</v>
      </c>
      <c r="AC45" s="550" t="s">
        <v>2497</v>
      </c>
      <c r="AD45" s="548" t="s">
        <v>1514</v>
      </c>
      <c r="AE45" s="8349"/>
      <c r="AF45" s="1442"/>
      <c r="AG45" s="1442"/>
      <c r="AH45" s="1064" t="s">
        <v>2498</v>
      </c>
      <c r="AI45" s="1811"/>
      <c r="AJ45" s="1811"/>
      <c r="AK45" s="1444"/>
      <c r="AL45" s="1444"/>
      <c r="AM45" s="8337"/>
      <c r="AN45" s="8337"/>
      <c r="AO45" s="8337"/>
      <c r="AP45" s="8337"/>
    </row>
    <row customHeight="1" ht="14.625" hidden="1">
      <c r="A46" s="667"/>
      <c r="B46" s="1459"/>
      <c r="C46" s="1459"/>
      <c r="D46" s="1459"/>
      <c r="E46" s="649">
        <v>15</v>
      </c>
      <c r="F46" s="50" cm="1" t="str">
        <f t="array" ref="F46:F46">OFFSET(E46,-1,1)</f>
        <v>0</v>
      </c>
      <c r="G46" s="1459"/>
      <c r="H46" s="488" t="s">
        <v>3022</v>
      </c>
      <c r="I46" s="1459"/>
      <c r="J46" s="1459"/>
      <c r="K46" s="1459"/>
      <c r="L46" s="1459"/>
      <c r="M46" s="1459"/>
      <c r="N46" s="1459"/>
      <c r="O46" s="1459"/>
      <c r="P46" s="1459"/>
      <c r="Q46" s="1459"/>
      <c r="R46" s="1459"/>
      <c r="S46" s="1459"/>
      <c r="T46" s="465" cm="1" t="str">
        <f t="array" ref="T46:T46">T45</f>
        <v>false</v>
      </c>
      <c r="U46" s="1459"/>
      <c r="V46" s="1459"/>
      <c r="W46" s="1459"/>
      <c r="X46" s="1596"/>
      <c r="Y46" s="1459"/>
      <c r="Z46" s="1597"/>
      <c r="AA46" s="1459"/>
      <c r="AB46" s="714" t="s">
        <v>3023</v>
      </c>
      <c r="AC46" s="550" t="s">
        <v>1965</v>
      </c>
      <c r="AD46" s="548" t="s">
        <v>1514</v>
      </c>
      <c r="AE46" s="8349"/>
      <c r="AF46" s="1442"/>
      <c r="AG46" s="1442"/>
      <c r="AH46" s="1064" t="s">
        <v>2482</v>
      </c>
      <c r="AI46" s="1811"/>
      <c r="AJ46" s="1811"/>
      <c r="AK46" s="1444"/>
      <c r="AL46" s="1444"/>
      <c r="AM46" s="8337"/>
      <c r="AN46" s="8337"/>
      <c r="AO46" s="8337"/>
      <c r="AP46" s="8337"/>
    </row>
    <row customHeight="1" ht="14.625" hidden="1">
      <c r="A47" s="667"/>
      <c r="B47" s="1459"/>
      <c r="C47" s="1459"/>
      <c r="D47" s="1459"/>
      <c r="E47" s="649">
        <v>15</v>
      </c>
      <c r="F47" s="50" cm="1" t="str">
        <f t="array" ref="F47:F47">OFFSET(E47,-1,1)</f>
        <v>0</v>
      </c>
      <c r="G47" s="1459"/>
      <c r="H47" s="488" t="s">
        <v>1179</v>
      </c>
      <c r="I47" s="1459"/>
      <c r="J47" s="1459"/>
      <c r="K47" s="1459"/>
      <c r="L47" s="1459"/>
      <c r="M47" s="1459"/>
      <c r="N47" s="1459"/>
      <c r="O47" s="1459"/>
      <c r="P47" s="1459"/>
      <c r="Q47" s="1459"/>
      <c r="R47" s="1459"/>
      <c r="S47" s="1459"/>
      <c r="T47" s="465" cm="1" t="str">
        <f t="array" ref="T47:T47">T46</f>
        <v>false</v>
      </c>
      <c r="U47" s="1459"/>
      <c r="V47" s="1459"/>
      <c r="W47" s="1459"/>
      <c r="X47" s="1596"/>
      <c r="Y47" s="1459"/>
      <c r="Z47" s="1597"/>
      <c r="AA47" s="1459"/>
      <c r="AB47" s="714" t="s">
        <v>1631</v>
      </c>
      <c r="AC47" s="547" t="s">
        <v>3024</v>
      </c>
      <c r="AD47" s="548" t="s">
        <v>1514</v>
      </c>
      <c r="AE47" s="557">
        <f>AE48+AE49+AE50</f>
        <v>0</v>
      </c>
      <c r="AF47" s="1442"/>
      <c r="AG47" s="1442"/>
      <c r="AH47" s="1063" t="s">
        <v>2502</v>
      </c>
      <c r="AI47" s="1811"/>
      <c r="AJ47" s="1811"/>
      <c r="AK47" s="1444"/>
      <c r="AL47" s="1444"/>
      <c r="AM47" s="8337"/>
      <c r="AN47" s="8337"/>
      <c r="AO47" s="8337"/>
      <c r="AP47" s="8337"/>
    </row>
    <row customHeight="1" ht="14.625" hidden="1">
      <c r="A48" s="667"/>
      <c r="B48" s="1459"/>
      <c r="C48" s="1459"/>
      <c r="D48" s="1459"/>
      <c r="E48" s="649">
        <v>15</v>
      </c>
      <c r="F48" s="50" cm="1" t="str">
        <f t="array" ref="F48:F48">OFFSET(E48,-1,1)</f>
        <v>0</v>
      </c>
      <c r="G48" s="1459"/>
      <c r="H48" s="488" t="s">
        <v>2068</v>
      </c>
      <c r="I48" s="1459"/>
      <c r="J48" s="1459"/>
      <c r="K48" s="1459"/>
      <c r="L48" s="1459"/>
      <c r="M48" s="1459"/>
      <c r="N48" s="1459"/>
      <c r="O48" s="1459"/>
      <c r="P48" s="1459"/>
      <c r="Q48" s="1459"/>
      <c r="R48" s="1459"/>
      <c r="S48" s="1459"/>
      <c r="T48" s="465" cm="1" t="str">
        <f t="array" ref="T48:T48">T47</f>
        <v>false</v>
      </c>
      <c r="U48" s="1459"/>
      <c r="V48" s="1459"/>
      <c r="W48" s="1459"/>
      <c r="X48" s="1596"/>
      <c r="Y48" s="1459"/>
      <c r="Z48" s="1597"/>
      <c r="AA48" s="1459"/>
      <c r="AB48" s="714" t="s">
        <v>2069</v>
      </c>
      <c r="AC48" s="549" t="s">
        <v>3025</v>
      </c>
      <c r="AD48" s="548" t="s">
        <v>1514</v>
      </c>
      <c r="AE48" s="8349"/>
      <c r="AF48" s="1442"/>
      <c r="AG48" s="1442"/>
      <c r="AH48" s="1062" t="s">
        <v>2504</v>
      </c>
      <c r="AI48" s="1811"/>
      <c r="AJ48" s="1811"/>
      <c r="AK48" s="1444"/>
      <c r="AL48" s="1444"/>
      <c r="AM48" s="8337"/>
      <c r="AN48" s="8337"/>
      <c r="AO48" s="8337"/>
      <c r="AP48" s="8337"/>
    </row>
    <row customHeight="1" ht="14.625" hidden="1">
      <c r="A49" s="667"/>
      <c r="B49" s="1459"/>
      <c r="C49" s="1459"/>
      <c r="D49" s="1459"/>
      <c r="E49" s="649">
        <v>15</v>
      </c>
      <c r="F49" s="50" cm="1" t="str">
        <f t="array" ref="F49:F49">OFFSET(E49,-1,1)</f>
        <v>0</v>
      </c>
      <c r="G49" s="1459"/>
      <c r="H49" s="488" t="s">
        <v>2071</v>
      </c>
      <c r="I49" s="1459"/>
      <c r="J49" s="1459"/>
      <c r="K49" s="1459"/>
      <c r="L49" s="1459"/>
      <c r="M49" s="1459"/>
      <c r="N49" s="1459"/>
      <c r="O49" s="1459"/>
      <c r="P49" s="1459"/>
      <c r="Q49" s="1459"/>
      <c r="R49" s="1459"/>
      <c r="S49" s="1459"/>
      <c r="T49" s="465" cm="1" t="str">
        <f t="array" ref="T49:T49">T48</f>
        <v>false</v>
      </c>
      <c r="U49" s="1459"/>
      <c r="V49" s="1459"/>
      <c r="W49" s="1459"/>
      <c r="X49" s="1596"/>
      <c r="Y49" s="1459"/>
      <c r="Z49" s="1597"/>
      <c r="AA49" s="1459"/>
      <c r="AB49" s="714" t="s">
        <v>2072</v>
      </c>
      <c r="AC49" s="549" t="s">
        <v>3026</v>
      </c>
      <c r="AD49" s="548" t="s">
        <v>1514</v>
      </c>
      <c r="AE49" s="8349"/>
      <c r="AF49" s="1442"/>
      <c r="AG49" s="1442"/>
      <c r="AH49" s="1064" t="s">
        <v>2678</v>
      </c>
      <c r="AI49" s="1811"/>
      <c r="AJ49" s="1811"/>
      <c r="AK49" s="1444"/>
      <c r="AL49" s="1444"/>
      <c r="AM49" s="8337"/>
      <c r="AN49" s="8337"/>
      <c r="AO49" s="8337"/>
      <c r="AP49" s="8337"/>
    </row>
    <row customHeight="1" ht="21.9375" hidden="1">
      <c r="A50" s="667"/>
      <c r="B50" s="1459"/>
      <c r="C50" s="1459"/>
      <c r="D50" s="1459"/>
      <c r="E50" s="649">
        <v>22.5</v>
      </c>
      <c r="F50" s="50" cm="1" t="str">
        <f t="array" ref="F50:F50">OFFSET(E50,-1,1)</f>
        <v>0</v>
      </c>
      <c r="G50" s="1459"/>
      <c r="H50" s="488" t="s">
        <v>2075</v>
      </c>
      <c r="I50" s="1459"/>
      <c r="J50" s="1459"/>
      <c r="K50" s="1459"/>
      <c r="L50" s="1459"/>
      <c r="M50" s="1459"/>
      <c r="N50" s="1459"/>
      <c r="O50" s="1459"/>
      <c r="P50" s="1459"/>
      <c r="Q50" s="1459"/>
      <c r="R50" s="1459"/>
      <c r="S50" s="1459"/>
      <c r="T50" s="465" cm="1" t="str">
        <f t="array" ref="T50:T50">T49</f>
        <v>false</v>
      </c>
      <c r="U50" s="1459"/>
      <c r="V50" s="1459"/>
      <c r="W50" s="1459"/>
      <c r="X50" s="1596"/>
      <c r="Y50" s="1459"/>
      <c r="Z50" s="1597"/>
      <c r="AA50" s="1459"/>
      <c r="AB50" s="714" t="s">
        <v>2076</v>
      </c>
      <c r="AC50" s="549" t="s">
        <v>3027</v>
      </c>
      <c r="AD50" s="548" t="s">
        <v>1514</v>
      </c>
      <c r="AE50" s="557">
        <f>AE51+AE54</f>
        <v>0</v>
      </c>
      <c r="AF50" s="1442"/>
      <c r="AG50" s="1442"/>
      <c r="AH50" s="1062" t="s">
        <v>2506</v>
      </c>
      <c r="AI50" s="1811"/>
      <c r="AJ50" s="1811"/>
      <c r="AK50" s="1444"/>
      <c r="AL50" s="1444"/>
      <c r="AM50" s="8337"/>
      <c r="AN50" s="8337"/>
      <c r="AO50" s="8337"/>
      <c r="AP50" s="8337"/>
    </row>
    <row customHeight="1" ht="14.625" hidden="1">
      <c r="A51" s="667"/>
      <c r="B51" s="1459"/>
      <c r="C51" s="1459"/>
      <c r="D51" s="1459"/>
      <c r="E51" s="649">
        <v>15</v>
      </c>
      <c r="F51" s="50" cm="1" t="str">
        <f t="array" ref="F51:F51">OFFSET(E51,-1,1)</f>
        <v>0</v>
      </c>
      <c r="G51" s="1459"/>
      <c r="H51" s="488" t="s">
        <v>2220</v>
      </c>
      <c r="I51" s="1459"/>
      <c r="J51" s="1459"/>
      <c r="K51" s="1459"/>
      <c r="L51" s="1459"/>
      <c r="M51" s="1459"/>
      <c r="N51" s="1459"/>
      <c r="O51" s="1459"/>
      <c r="P51" s="1459"/>
      <c r="Q51" s="1459"/>
      <c r="R51" s="1459"/>
      <c r="S51" s="1459"/>
      <c r="T51" s="465" cm="1" t="str">
        <f t="array" ref="T51:T51">T50</f>
        <v>false</v>
      </c>
      <c r="U51" s="1459"/>
      <c r="V51" s="1459"/>
      <c r="W51" s="1459"/>
      <c r="X51" s="1596"/>
      <c r="Y51" s="1459"/>
      <c r="Z51" s="1597"/>
      <c r="AA51" s="1459"/>
      <c r="AB51" s="714" t="s">
        <v>2647</v>
      </c>
      <c r="AC51" s="550" t="s">
        <v>2508</v>
      </c>
      <c r="AD51" s="548" t="s">
        <v>1514</v>
      </c>
      <c r="AE51" s="8349"/>
      <c r="AF51" s="1442"/>
      <c r="AG51" s="1442"/>
      <c r="AH51" s="1062" t="s">
        <v>2509</v>
      </c>
      <c r="AI51" s="1811"/>
      <c r="AJ51" s="1811"/>
      <c r="AK51" s="1444"/>
      <c r="AL51" s="1444"/>
      <c r="AM51" s="8337"/>
      <c r="AN51" s="8337"/>
      <c r="AO51" s="8337"/>
      <c r="AP51" s="8337"/>
    </row>
    <row customHeight="1" ht="14.625" hidden="1">
      <c r="A52" s="667"/>
      <c r="B52" s="1459"/>
      <c r="C52" s="1459"/>
      <c r="D52" s="1459"/>
      <c r="E52" s="649">
        <v>15</v>
      </c>
      <c r="F52" s="50" cm="1" t="str">
        <f t="array" ref="F52:F52">OFFSET(E52,-1,1)</f>
        <v>0</v>
      </c>
      <c r="G52" s="1459"/>
      <c r="H52" s="488" t="s">
        <v>3028</v>
      </c>
      <c r="I52" s="1459"/>
      <c r="J52" s="1459"/>
      <c r="K52" s="1459"/>
      <c r="L52" s="1459"/>
      <c r="M52" s="1459"/>
      <c r="N52" s="1459"/>
      <c r="O52" s="1459"/>
      <c r="P52" s="1459"/>
      <c r="Q52" s="1459"/>
      <c r="R52" s="1459"/>
      <c r="S52" s="1459"/>
      <c r="T52" s="465" cm="1" t="str">
        <f t="array" ref="T52:T52">T51</f>
        <v>false</v>
      </c>
      <c r="U52" s="1459"/>
      <c r="V52" s="1459"/>
      <c r="W52" s="1459"/>
      <c r="X52" s="1596"/>
      <c r="Y52" s="1459"/>
      <c r="Z52" s="1597"/>
      <c r="AA52" s="1459"/>
      <c r="AB52" s="714" t="s">
        <v>3029</v>
      </c>
      <c r="AC52" s="551" t="s">
        <v>3030</v>
      </c>
      <c r="AD52" s="548" t="s">
        <v>2993</v>
      </c>
      <c r="AE52" s="8349"/>
      <c r="AF52" s="1442"/>
      <c r="AG52" s="1442"/>
      <c r="AH52" s="1001" t="s">
        <v>3031</v>
      </c>
      <c r="AI52" s="1811"/>
      <c r="AJ52" s="1811"/>
      <c r="AK52" s="1444"/>
      <c r="AL52" s="1444"/>
      <c r="AM52" s="8337"/>
      <c r="AN52" s="8337"/>
      <c r="AO52" s="8337"/>
      <c r="AP52" s="8337"/>
    </row>
    <row customHeight="1" ht="14.625" hidden="1">
      <c r="A53" s="667"/>
      <c r="B53" s="1459"/>
      <c r="C53" s="1459"/>
      <c r="D53" s="1459"/>
      <c r="E53" s="649">
        <v>15</v>
      </c>
      <c r="F53" s="50" cm="1" t="str">
        <f t="array" ref="F53:F53">OFFSET(E53,-1,1)</f>
        <v>0</v>
      </c>
      <c r="G53" s="1459"/>
      <c r="H53" s="488" t="s">
        <v>3032</v>
      </c>
      <c r="I53" s="1459"/>
      <c r="J53" s="1459"/>
      <c r="K53" s="1459"/>
      <c r="L53" s="1459"/>
      <c r="M53" s="1459"/>
      <c r="N53" s="1459"/>
      <c r="O53" s="1459"/>
      <c r="P53" s="1459"/>
      <c r="Q53" s="1459"/>
      <c r="R53" s="1459"/>
      <c r="S53" s="1459"/>
      <c r="T53" s="465" cm="1" t="str">
        <f t="array" ref="T53:T53">T52</f>
        <v>false</v>
      </c>
      <c r="U53" s="1459"/>
      <c r="V53" s="1459"/>
      <c r="W53" s="1459"/>
      <c r="X53" s="1596"/>
      <c r="Y53" s="1459"/>
      <c r="Z53" s="1597"/>
      <c r="AA53" s="1459"/>
      <c r="AB53" s="714" t="s">
        <v>3033</v>
      </c>
      <c r="AC53" s="551" t="s">
        <v>3034</v>
      </c>
      <c r="AD53" s="548" t="s">
        <v>2998</v>
      </c>
      <c r="AE53" s="8349"/>
      <c r="AF53" s="1442"/>
      <c r="AG53" s="1442"/>
      <c r="AH53" s="1001" t="s">
        <v>3035</v>
      </c>
      <c r="AI53" s="1811"/>
      <c r="AJ53" s="1811"/>
      <c r="AK53" s="1444"/>
      <c r="AL53" s="1444"/>
      <c r="AM53" s="8337"/>
      <c r="AN53" s="8337"/>
      <c r="AO53" s="8337"/>
      <c r="AP53" s="8337"/>
    </row>
    <row customHeight="1" ht="21.9375" hidden="1">
      <c r="A54" s="667"/>
      <c r="B54" s="1459"/>
      <c r="C54" s="1459"/>
      <c r="D54" s="1459"/>
      <c r="E54" s="649">
        <v>22.5</v>
      </c>
      <c r="F54" s="50" cm="1" t="str">
        <f t="array" ref="F54:F54">OFFSET(E54,-1,1)</f>
        <v>0</v>
      </c>
      <c r="G54" s="1459"/>
      <c r="H54" s="488" t="s">
        <v>2224</v>
      </c>
      <c r="I54" s="1459"/>
      <c r="J54" s="1459"/>
      <c r="K54" s="1459"/>
      <c r="L54" s="1459"/>
      <c r="M54" s="1459"/>
      <c r="N54" s="1459"/>
      <c r="O54" s="1459"/>
      <c r="P54" s="1459"/>
      <c r="Q54" s="1459"/>
      <c r="R54" s="1459"/>
      <c r="S54" s="1459"/>
      <c r="T54" s="465" cm="1" t="str">
        <f t="array" ref="T54:T54">T53</f>
        <v>false</v>
      </c>
      <c r="U54" s="1459"/>
      <c r="V54" s="1459"/>
      <c r="W54" s="1459"/>
      <c r="X54" s="1596"/>
      <c r="Y54" s="1459"/>
      <c r="Z54" s="1597"/>
      <c r="AA54" s="1459"/>
      <c r="AB54" s="714" t="s">
        <v>2648</v>
      </c>
      <c r="AC54" s="550" t="s">
        <v>2684</v>
      </c>
      <c r="AD54" s="548" t="s">
        <v>1514</v>
      </c>
      <c r="AE54" s="8349"/>
      <c r="AF54" s="1442"/>
      <c r="AG54" s="1442"/>
      <c r="AH54" s="1062" t="s">
        <v>2512</v>
      </c>
      <c r="AI54" s="1811"/>
      <c r="AJ54" s="1811"/>
      <c r="AK54" s="1444"/>
      <c r="AL54" s="1444"/>
      <c r="AM54" s="8337"/>
      <c r="AN54" s="8337"/>
      <c r="AO54" s="8337"/>
      <c r="AP54" s="8337"/>
    </row>
    <row customHeight="1" ht="14.625" hidden="1">
      <c r="A55" s="667"/>
      <c r="B55" s="1459"/>
      <c r="C55" s="1459"/>
      <c r="D55" s="1459"/>
      <c r="E55" s="649">
        <v>15</v>
      </c>
      <c r="F55" s="50" cm="1" t="str">
        <f t="array" ref="F55:F55">OFFSET(E55,-1,1)</f>
        <v>0</v>
      </c>
      <c r="G55" s="1459"/>
      <c r="H55" s="488" t="s">
        <v>1182</v>
      </c>
      <c r="I55" s="1459"/>
      <c r="J55" s="1459"/>
      <c r="K55" s="1459"/>
      <c r="L55" s="1459"/>
      <c r="M55" s="1459"/>
      <c r="N55" s="1459"/>
      <c r="O55" s="1459"/>
      <c r="P55" s="1459"/>
      <c r="Q55" s="1459"/>
      <c r="R55" s="1459"/>
      <c r="S55" s="1459"/>
      <c r="T55" s="465" cm="1" t="str">
        <f t="array" ref="T55:T55">T54</f>
        <v>false</v>
      </c>
      <c r="U55" s="1459"/>
      <c r="V55" s="1459"/>
      <c r="W55" s="1459"/>
      <c r="X55" s="1596"/>
      <c r="Y55" s="1459"/>
      <c r="Z55" s="1597"/>
      <c r="AA55" s="1459"/>
      <c r="AB55" s="714" t="s">
        <v>1634</v>
      </c>
      <c r="AC55" s="547" t="s">
        <v>2685</v>
      </c>
      <c r="AD55" s="548" t="s">
        <v>1514</v>
      </c>
      <c r="AE55" s="557">
        <f>AE56+AE62+AE67+AE68+AE69+AE70+AE71</f>
        <v>0</v>
      </c>
      <c r="AF55" s="1442"/>
      <c r="AG55" s="1442"/>
      <c r="AH55" s="1063" t="s">
        <v>2514</v>
      </c>
      <c r="AI55" s="1811"/>
      <c r="AJ55" s="1811"/>
      <c r="AK55" s="1444"/>
      <c r="AL55" s="1444"/>
      <c r="AM55" s="8337"/>
      <c r="AN55" s="8337"/>
      <c r="AO55" s="8337"/>
      <c r="AP55" s="8337"/>
    </row>
    <row customHeight="1" ht="21.9375" hidden="1">
      <c r="A56" s="667"/>
      <c r="B56" s="1459"/>
      <c r="C56" s="1459"/>
      <c r="D56" s="1459"/>
      <c r="E56" s="649">
        <v>22.5</v>
      </c>
      <c r="F56" s="50" cm="1" t="str">
        <f t="array" ref="F56:F56">OFFSET(E56,-1,1)</f>
        <v>0</v>
      </c>
      <c r="G56" s="1459"/>
      <c r="H56" s="488" t="s">
        <v>2081</v>
      </c>
      <c r="I56" s="1459"/>
      <c r="J56" s="1459"/>
      <c r="K56" s="1459"/>
      <c r="L56" s="1459"/>
      <c r="M56" s="1459"/>
      <c r="N56" s="1459"/>
      <c r="O56" s="1459"/>
      <c r="P56" s="1459"/>
      <c r="Q56" s="1459"/>
      <c r="R56" s="1459"/>
      <c r="S56" s="1459"/>
      <c r="T56" s="465" cm="1" t="str">
        <f t="array" ref="T56:T56">T55</f>
        <v>false</v>
      </c>
      <c r="U56" s="1459"/>
      <c r="V56" s="1459"/>
      <c r="W56" s="1459"/>
      <c r="X56" s="1596"/>
      <c r="Y56" s="1459"/>
      <c r="Z56" s="1597"/>
      <c r="AA56" s="1459"/>
      <c r="AB56" s="714" t="s">
        <v>2082</v>
      </c>
      <c r="AC56" s="549" t="s">
        <v>2515</v>
      </c>
      <c r="AD56" s="548" t="s">
        <v>1514</v>
      </c>
      <c r="AE56" s="557">
        <f>SUM(AE57:AE61)</f>
        <v>0</v>
      </c>
      <c r="AF56" s="1442"/>
      <c r="AG56" s="1442"/>
      <c r="AH56" s="1062" t="s">
        <v>1918</v>
      </c>
      <c r="AI56" s="1811"/>
      <c r="AJ56" s="1811"/>
      <c r="AK56" s="1444"/>
      <c r="AL56" s="1444"/>
      <c r="AM56" s="8337"/>
      <c r="AN56" s="8337"/>
      <c r="AO56" s="8337"/>
      <c r="AP56" s="8337"/>
    </row>
    <row customHeight="1" ht="14.625" hidden="1">
      <c r="A57" s="667"/>
      <c r="B57" s="1459"/>
      <c r="C57" s="1459"/>
      <c r="D57" s="1459"/>
      <c r="E57" s="649">
        <v>15</v>
      </c>
      <c r="F57" s="50" cm="1" t="str">
        <f t="array" ref="F57:F57">OFFSET(E57,-1,1)</f>
        <v>0</v>
      </c>
      <c r="G57" s="1459"/>
      <c r="H57" s="488" t="s">
        <v>3036</v>
      </c>
      <c r="I57" s="1459"/>
      <c r="J57" s="1459"/>
      <c r="K57" s="1459"/>
      <c r="L57" s="1459"/>
      <c r="M57" s="1459"/>
      <c r="N57" s="1459"/>
      <c r="O57" s="1459"/>
      <c r="P57" s="1459"/>
      <c r="Q57" s="1459"/>
      <c r="R57" s="1459"/>
      <c r="S57" s="1459"/>
      <c r="T57" s="465" cm="1" t="str">
        <f t="array" ref="T57:T57">T56</f>
        <v>false</v>
      </c>
      <c r="U57" s="1459"/>
      <c r="V57" s="1459"/>
      <c r="W57" s="1459"/>
      <c r="X57" s="1596"/>
      <c r="Y57" s="1459"/>
      <c r="Z57" s="1597"/>
      <c r="AA57" s="1459"/>
      <c r="AB57" s="714" t="s">
        <v>3037</v>
      </c>
      <c r="AC57" s="550" t="s">
        <v>1920</v>
      </c>
      <c r="AD57" s="548" t="s">
        <v>1514</v>
      </c>
      <c r="AE57" s="8349"/>
      <c r="AF57" s="1442"/>
      <c r="AG57" s="1442"/>
      <c r="AH57" s="1064" t="s">
        <v>1921</v>
      </c>
      <c r="AI57" s="1811"/>
      <c r="AJ57" s="1811"/>
      <c r="AK57" s="1444"/>
      <c r="AL57" s="1444"/>
      <c r="AM57" s="8337"/>
      <c r="AN57" s="8337"/>
      <c r="AO57" s="8337"/>
      <c r="AP57" s="8337"/>
    </row>
    <row customHeight="1" ht="14.625" hidden="1">
      <c r="A58" s="667"/>
      <c r="B58" s="1459"/>
      <c r="C58" s="1459"/>
      <c r="D58" s="1459"/>
      <c r="E58" s="649">
        <v>15</v>
      </c>
      <c r="F58" s="50" cm="1" t="str">
        <f t="array" ref="F58:F58">OFFSET(E58,-1,1)</f>
        <v>0</v>
      </c>
      <c r="G58" s="1459"/>
      <c r="H58" s="488" t="s">
        <v>3038</v>
      </c>
      <c r="I58" s="1459"/>
      <c r="J58" s="1459"/>
      <c r="K58" s="1459"/>
      <c r="L58" s="1459"/>
      <c r="M58" s="1459"/>
      <c r="N58" s="1459"/>
      <c r="O58" s="1459"/>
      <c r="P58" s="1459"/>
      <c r="Q58" s="1459"/>
      <c r="R58" s="1459"/>
      <c r="S58" s="1459"/>
      <c r="T58" s="465" cm="1" t="str">
        <f t="array" ref="T58:T58">T57</f>
        <v>false</v>
      </c>
      <c r="U58" s="1459"/>
      <c r="V58" s="1459"/>
      <c r="W58" s="1459"/>
      <c r="X58" s="1596"/>
      <c r="Y58" s="1459"/>
      <c r="Z58" s="1597"/>
      <c r="AA58" s="1459"/>
      <c r="AB58" s="714" t="s">
        <v>3039</v>
      </c>
      <c r="AC58" s="550" t="s">
        <v>1923</v>
      </c>
      <c r="AD58" s="548" t="s">
        <v>1514</v>
      </c>
      <c r="AE58" s="8349"/>
      <c r="AF58" s="1442"/>
      <c r="AG58" s="1442"/>
      <c r="AH58" s="1064" t="s">
        <v>1924</v>
      </c>
      <c r="AI58" s="1811"/>
      <c r="AJ58" s="1811"/>
      <c r="AK58" s="1444"/>
      <c r="AL58" s="1444"/>
      <c r="AM58" s="8337"/>
      <c r="AN58" s="8337"/>
      <c r="AO58" s="8337"/>
      <c r="AP58" s="8337"/>
    </row>
    <row customHeight="1" ht="14.625" hidden="1">
      <c r="A59" s="667"/>
      <c r="B59" s="1459"/>
      <c r="C59" s="1459"/>
      <c r="D59" s="1459"/>
      <c r="E59" s="649">
        <v>15</v>
      </c>
      <c r="F59" s="50" cm="1" t="str">
        <f t="array" ref="F59:F59">OFFSET(E59,-1,1)</f>
        <v>0</v>
      </c>
      <c r="G59" s="1459"/>
      <c r="H59" s="488" t="s">
        <v>3040</v>
      </c>
      <c r="I59" s="1459"/>
      <c r="J59" s="1459"/>
      <c r="K59" s="1459"/>
      <c r="L59" s="1459"/>
      <c r="M59" s="1459"/>
      <c r="N59" s="1459"/>
      <c r="O59" s="1459"/>
      <c r="P59" s="1459"/>
      <c r="Q59" s="1459"/>
      <c r="R59" s="1459"/>
      <c r="S59" s="1459"/>
      <c r="T59" s="465" cm="1" t="str">
        <f t="array" ref="T59:T59">T58</f>
        <v>false</v>
      </c>
      <c r="U59" s="1459"/>
      <c r="V59" s="1459"/>
      <c r="W59" s="1459"/>
      <c r="X59" s="1596"/>
      <c r="Y59" s="1459"/>
      <c r="Z59" s="1597"/>
      <c r="AA59" s="1459"/>
      <c r="AB59" s="714" t="s">
        <v>3041</v>
      </c>
      <c r="AC59" s="550" t="s">
        <v>1926</v>
      </c>
      <c r="AD59" s="548" t="s">
        <v>1514</v>
      </c>
      <c r="AE59" s="8349"/>
      <c r="AF59" s="1442"/>
      <c r="AG59" s="1442"/>
      <c r="AH59" s="1064" t="s">
        <v>1927</v>
      </c>
      <c r="AI59" s="1811"/>
      <c r="AJ59" s="1811"/>
      <c r="AK59" s="1444"/>
      <c r="AL59" s="1444"/>
      <c r="AM59" s="8337"/>
      <c r="AN59" s="8337"/>
      <c r="AO59" s="8337"/>
      <c r="AP59" s="8337"/>
    </row>
    <row customHeight="1" ht="14.625" hidden="1">
      <c r="A60" s="667"/>
      <c r="B60" s="1459"/>
      <c r="C60" s="1459"/>
      <c r="D60" s="1459"/>
      <c r="E60" s="649">
        <v>15</v>
      </c>
      <c r="F60" s="50" cm="1" t="str">
        <f t="array" ref="F60:F60">OFFSET(E60,-1,1)</f>
        <v>0</v>
      </c>
      <c r="G60" s="1459"/>
      <c r="H60" s="488" t="s">
        <v>3042</v>
      </c>
      <c r="I60" s="1459"/>
      <c r="J60" s="1459"/>
      <c r="K60" s="1459"/>
      <c r="L60" s="1459"/>
      <c r="M60" s="1459"/>
      <c r="N60" s="1459"/>
      <c r="O60" s="1459"/>
      <c r="P60" s="1459"/>
      <c r="Q60" s="1459"/>
      <c r="R60" s="1459"/>
      <c r="S60" s="1459"/>
      <c r="T60" s="465" cm="1" t="str">
        <f t="array" ref="T60:T60">T59</f>
        <v>false</v>
      </c>
      <c r="U60" s="1459"/>
      <c r="V60" s="1459"/>
      <c r="W60" s="1459"/>
      <c r="X60" s="1596"/>
      <c r="Y60" s="1459"/>
      <c r="Z60" s="1597"/>
      <c r="AA60" s="1459"/>
      <c r="AB60" s="714" t="s">
        <v>3043</v>
      </c>
      <c r="AC60" s="550" t="s">
        <v>1929</v>
      </c>
      <c r="AD60" s="548" t="s">
        <v>1514</v>
      </c>
      <c r="AE60" s="8349"/>
      <c r="AF60" s="1442"/>
      <c r="AG60" s="1442"/>
      <c r="AH60" s="1064" t="s">
        <v>1930</v>
      </c>
      <c r="AI60" s="1811"/>
      <c r="AJ60" s="1811"/>
      <c r="AK60" s="1444"/>
      <c r="AL60" s="1444"/>
      <c r="AM60" s="8337"/>
      <c r="AN60" s="8337"/>
      <c r="AO60" s="8337"/>
      <c r="AP60" s="8337"/>
    </row>
    <row customHeight="1" ht="14.625" hidden="1">
      <c r="A61" s="667"/>
      <c r="B61" s="1459"/>
      <c r="C61" s="1459"/>
      <c r="D61" s="1459"/>
      <c r="E61" s="649">
        <v>15</v>
      </c>
      <c r="F61" s="50" cm="1" t="str">
        <f t="array" ref="F61:F61">OFFSET(E61,-1,1)</f>
        <v>0</v>
      </c>
      <c r="G61" s="1459"/>
      <c r="H61" s="488" t="s">
        <v>3044</v>
      </c>
      <c r="I61" s="1459"/>
      <c r="J61" s="1459"/>
      <c r="K61" s="1459"/>
      <c r="L61" s="1459"/>
      <c r="M61" s="1459"/>
      <c r="N61" s="1459"/>
      <c r="O61" s="1459"/>
      <c r="P61" s="1459"/>
      <c r="Q61" s="1459"/>
      <c r="R61" s="1459"/>
      <c r="S61" s="1459"/>
      <c r="T61" s="465" cm="1" t="str">
        <f t="array" ref="T61:T61">T60</f>
        <v>false</v>
      </c>
      <c r="U61" s="1459"/>
      <c r="V61" s="1459"/>
      <c r="W61" s="1459"/>
      <c r="X61" s="1596"/>
      <c r="Y61" s="1459"/>
      <c r="Z61" s="1597"/>
      <c r="AA61" s="1459"/>
      <c r="AB61" s="714" t="s">
        <v>3045</v>
      </c>
      <c r="AC61" s="550" t="s">
        <v>1937</v>
      </c>
      <c r="AD61" s="548" t="s">
        <v>1514</v>
      </c>
      <c r="AE61" s="8349"/>
      <c r="AF61" s="1442"/>
      <c r="AG61" s="1442"/>
      <c r="AH61" s="1064" t="s">
        <v>1938</v>
      </c>
      <c r="AI61" s="1811"/>
      <c r="AJ61" s="1811"/>
      <c r="AK61" s="1444"/>
      <c r="AL61" s="1444"/>
      <c r="AM61" s="8337"/>
      <c r="AN61" s="8337"/>
      <c r="AO61" s="8337"/>
      <c r="AP61" s="8337"/>
    </row>
    <row customHeight="1" ht="32.90625" hidden="1">
      <c r="A62" s="667"/>
      <c r="B62" s="1459"/>
      <c r="C62" s="1459"/>
      <c r="D62" s="1459"/>
      <c r="E62" s="649">
        <v>33.75</v>
      </c>
      <c r="F62" s="50" cm="1" t="str">
        <f t="array" ref="F62:F62">OFFSET(E62,-1,1)</f>
        <v>0</v>
      </c>
      <c r="G62" s="1459"/>
      <c r="H62" s="488" t="s">
        <v>2085</v>
      </c>
      <c r="I62" s="1459"/>
      <c r="J62" s="1459"/>
      <c r="K62" s="1459"/>
      <c r="L62" s="1459"/>
      <c r="M62" s="1459"/>
      <c r="N62" s="1459"/>
      <c r="O62" s="1459"/>
      <c r="P62" s="1459"/>
      <c r="Q62" s="1459"/>
      <c r="R62" s="1459"/>
      <c r="S62" s="1459"/>
      <c r="T62" s="465" cm="1" t="str">
        <f t="array" ref="T62:T62">T61</f>
        <v>false</v>
      </c>
      <c r="U62" s="1459"/>
      <c r="V62" s="1459"/>
      <c r="W62" s="1459"/>
      <c r="X62" s="1596"/>
      <c r="Y62" s="1459"/>
      <c r="Z62" s="1597"/>
      <c r="AA62" s="1459"/>
      <c r="AB62" s="714" t="s">
        <v>2086</v>
      </c>
      <c r="AC62" s="549" t="s">
        <v>3046</v>
      </c>
      <c r="AD62" s="548" t="s">
        <v>1514</v>
      </c>
      <c r="AE62" s="557">
        <f>AE63+AE66</f>
        <v>0</v>
      </c>
      <c r="AF62" s="1442"/>
      <c r="AG62" s="1442"/>
      <c r="AH62" s="1062" t="s">
        <v>2517</v>
      </c>
      <c r="AI62" s="1811"/>
      <c r="AJ62" s="1811"/>
      <c r="AK62" s="1444"/>
      <c r="AL62" s="1444"/>
      <c r="AM62" s="8337"/>
      <c r="AN62" s="8337"/>
      <c r="AO62" s="8337"/>
      <c r="AP62" s="8337"/>
    </row>
    <row customHeight="1" ht="21.9375" hidden="1">
      <c r="A63" s="667"/>
      <c r="B63" s="1459"/>
      <c r="C63" s="1459"/>
      <c r="D63" s="1459"/>
      <c r="E63" s="649">
        <v>22.5</v>
      </c>
      <c r="F63" s="50" cm="1" t="str">
        <f t="array" ref="F63:F63">OFFSET(E63,-1,1)</f>
        <v>0</v>
      </c>
      <c r="G63" s="1459"/>
      <c r="H63" s="488" t="s">
        <v>3047</v>
      </c>
      <c r="I63" s="1459"/>
      <c r="J63" s="1459"/>
      <c r="K63" s="1459"/>
      <c r="L63" s="1459"/>
      <c r="M63" s="1459"/>
      <c r="N63" s="1459"/>
      <c r="O63" s="1459"/>
      <c r="P63" s="1459"/>
      <c r="Q63" s="1459"/>
      <c r="R63" s="1459"/>
      <c r="S63" s="1459"/>
      <c r="T63" s="465" cm="1" t="str">
        <f t="array" ref="T63:T63">T62</f>
        <v>false</v>
      </c>
      <c r="U63" s="1459"/>
      <c r="V63" s="1459"/>
      <c r="W63" s="1459"/>
      <c r="X63" s="1596"/>
      <c r="Y63" s="1459"/>
      <c r="Z63" s="1597"/>
      <c r="AA63" s="1459"/>
      <c r="AB63" s="714" t="s">
        <v>3048</v>
      </c>
      <c r="AC63" s="550" t="s">
        <v>2518</v>
      </c>
      <c r="AD63" s="548" t="s">
        <v>1514</v>
      </c>
      <c r="AE63" s="8349"/>
      <c r="AF63" s="1442"/>
      <c r="AG63" s="1442"/>
      <c r="AH63" s="1062" t="s">
        <v>1915</v>
      </c>
      <c r="AI63" s="1811"/>
      <c r="AJ63" s="1811"/>
      <c r="AK63" s="1444"/>
      <c r="AL63" s="1444"/>
      <c r="AM63" s="8337"/>
      <c r="AN63" s="8337"/>
      <c r="AO63" s="8337"/>
      <c r="AP63" s="8337"/>
    </row>
    <row customHeight="1" ht="14.625" hidden="1">
      <c r="A64" s="667"/>
      <c r="B64" s="1459"/>
      <c r="C64" s="1459"/>
      <c r="D64" s="1459"/>
      <c r="E64" s="649">
        <v>15</v>
      </c>
      <c r="F64" s="50" cm="1" t="str">
        <f t="array" ref="F64:F64">OFFSET(E64,-1,1)</f>
        <v>0</v>
      </c>
      <c r="G64" s="1459"/>
      <c r="H64" s="488" t="s">
        <v>3049</v>
      </c>
      <c r="I64" s="1459"/>
      <c r="J64" s="1459"/>
      <c r="K64" s="1459"/>
      <c r="L64" s="1459"/>
      <c r="M64" s="1459"/>
      <c r="N64" s="1459"/>
      <c r="O64" s="1459"/>
      <c r="P64" s="1459"/>
      <c r="Q64" s="1459"/>
      <c r="R64" s="1459"/>
      <c r="S64" s="1459"/>
      <c r="T64" s="465" cm="1" t="str">
        <f t="array" ref="T64:T64">T63</f>
        <v>false</v>
      </c>
      <c r="U64" s="1459"/>
      <c r="V64" s="1459"/>
      <c r="W64" s="1459"/>
      <c r="X64" s="1596"/>
      <c r="Y64" s="1459"/>
      <c r="Z64" s="1597"/>
      <c r="AA64" s="1459"/>
      <c r="AB64" s="714" t="s">
        <v>3050</v>
      </c>
      <c r="AC64" s="551" t="s">
        <v>3051</v>
      </c>
      <c r="AD64" s="548" t="s">
        <v>2993</v>
      </c>
      <c r="AE64" s="8349"/>
      <c r="AF64" s="1442"/>
      <c r="AG64" s="1442"/>
      <c r="AH64" s="1001" t="s">
        <v>3052</v>
      </c>
      <c r="AI64" s="1811"/>
      <c r="AJ64" s="1811"/>
      <c r="AK64" s="1444"/>
      <c r="AL64" s="1444"/>
      <c r="AM64" s="8337"/>
      <c r="AN64" s="8337"/>
      <c r="AO64" s="8337"/>
      <c r="AP64" s="8337"/>
    </row>
    <row customHeight="1" ht="21.9375" hidden="1">
      <c r="A65" s="667"/>
      <c r="B65" s="1459"/>
      <c r="C65" s="1459"/>
      <c r="D65" s="1459"/>
      <c r="E65" s="649">
        <v>22.5</v>
      </c>
      <c r="F65" s="50" cm="1" t="str">
        <f t="array" ref="F65:F65">OFFSET(E65,-1,1)</f>
        <v>0</v>
      </c>
      <c r="G65" s="1459"/>
      <c r="H65" s="488" t="s">
        <v>3053</v>
      </c>
      <c r="I65" s="1459"/>
      <c r="J65" s="1459"/>
      <c r="K65" s="1459"/>
      <c r="L65" s="1459"/>
      <c r="M65" s="1459"/>
      <c r="N65" s="1459"/>
      <c r="O65" s="1459"/>
      <c r="P65" s="1459"/>
      <c r="Q65" s="1459"/>
      <c r="R65" s="1459"/>
      <c r="S65" s="1459"/>
      <c r="T65" s="465" cm="1" t="str">
        <f t="array" ref="T65:T65">T64</f>
        <v>false</v>
      </c>
      <c r="U65" s="1459"/>
      <c r="V65" s="1459"/>
      <c r="W65" s="1459"/>
      <c r="X65" s="1596"/>
      <c r="Y65" s="1459"/>
      <c r="Z65" s="1597"/>
      <c r="AA65" s="1459"/>
      <c r="AB65" s="714" t="s">
        <v>3054</v>
      </c>
      <c r="AC65" s="551" t="s">
        <v>3055</v>
      </c>
      <c r="AD65" s="548" t="s">
        <v>2998</v>
      </c>
      <c r="AE65" s="8349"/>
      <c r="AF65" s="1442"/>
      <c r="AG65" s="1442"/>
      <c r="AH65" s="1001" t="s">
        <v>3056</v>
      </c>
      <c r="AI65" s="1811"/>
      <c r="AJ65" s="1811"/>
      <c r="AK65" s="1444"/>
      <c r="AL65" s="1444"/>
      <c r="AM65" s="8337"/>
      <c r="AN65" s="8337"/>
      <c r="AO65" s="8337"/>
      <c r="AP65" s="8337"/>
    </row>
    <row customHeight="1" ht="21.9375" hidden="1">
      <c r="A66" s="667"/>
      <c r="B66" s="1459"/>
      <c r="C66" s="1459"/>
      <c r="D66" s="1459"/>
      <c r="E66" s="649">
        <v>22.5</v>
      </c>
      <c r="F66" s="50" cm="1" t="str">
        <f t="array" ref="F66:F66">OFFSET(E66,-1,1)</f>
        <v>0</v>
      </c>
      <c r="G66" s="1459"/>
      <c r="H66" s="488" t="s">
        <v>3057</v>
      </c>
      <c r="I66" s="1459"/>
      <c r="J66" s="1459"/>
      <c r="K66" s="1459"/>
      <c r="L66" s="1459"/>
      <c r="M66" s="1459"/>
      <c r="N66" s="1459"/>
      <c r="O66" s="1459"/>
      <c r="P66" s="1459"/>
      <c r="Q66" s="1459"/>
      <c r="R66" s="1459"/>
      <c r="S66" s="1459"/>
      <c r="T66" s="465" cm="1" t="str">
        <f t="array" ref="T66:T66">T65</f>
        <v>false</v>
      </c>
      <c r="U66" s="1459"/>
      <c r="V66" s="1459"/>
      <c r="W66" s="1459"/>
      <c r="X66" s="1596"/>
      <c r="Y66" s="1459"/>
      <c r="Z66" s="1597"/>
      <c r="AA66" s="1459"/>
      <c r="AB66" s="714" t="s">
        <v>3058</v>
      </c>
      <c r="AC66" s="550" t="s">
        <v>2708</v>
      </c>
      <c r="AD66" s="548" t="s">
        <v>1514</v>
      </c>
      <c r="AE66" s="8349"/>
      <c r="AF66" s="1442"/>
      <c r="AG66" s="1442"/>
      <c r="AH66" s="1062" t="s">
        <v>2520</v>
      </c>
      <c r="AI66" s="1811"/>
      <c r="AJ66" s="1811"/>
      <c r="AK66" s="1444"/>
      <c r="AL66" s="1444"/>
      <c r="AM66" s="8337"/>
      <c r="AN66" s="8337"/>
      <c r="AO66" s="8337"/>
      <c r="AP66" s="8337"/>
    </row>
    <row customHeight="1" ht="21.9375" hidden="1">
      <c r="A67" s="667"/>
      <c r="B67" s="1459"/>
      <c r="C67" s="1459"/>
      <c r="D67" s="1459"/>
      <c r="E67" s="649">
        <v>22.5</v>
      </c>
      <c r="F67" s="50" cm="1" t="str">
        <f t="array" ref="F67:F67">OFFSET(E67,-1,1)</f>
        <v>0</v>
      </c>
      <c r="G67" s="1459"/>
      <c r="H67" s="488" t="s">
        <v>2089</v>
      </c>
      <c r="I67" s="1459"/>
      <c r="J67" s="1459"/>
      <c r="K67" s="1459"/>
      <c r="L67" s="1459"/>
      <c r="M67" s="1459"/>
      <c r="N67" s="1459"/>
      <c r="O67" s="1459"/>
      <c r="P67" s="1459"/>
      <c r="Q67" s="1459"/>
      <c r="R67" s="1459"/>
      <c r="S67" s="1459"/>
      <c r="T67" s="465" cm="1" t="str">
        <f t="array" ref="T67:T67">T66</f>
        <v>false</v>
      </c>
      <c r="U67" s="1459"/>
      <c r="V67" s="1459"/>
      <c r="W67" s="1459"/>
      <c r="X67" s="1596"/>
      <c r="Y67" s="1459"/>
      <c r="Z67" s="1597"/>
      <c r="AA67" s="1459"/>
      <c r="AB67" s="714" t="s">
        <v>2090</v>
      </c>
      <c r="AC67" s="549" t="s">
        <v>3059</v>
      </c>
      <c r="AD67" s="548" t="s">
        <v>1514</v>
      </c>
      <c r="AE67" s="8349"/>
      <c r="AF67" s="1442"/>
      <c r="AG67" s="1442"/>
      <c r="AH67" s="1062" t="s">
        <v>1946</v>
      </c>
      <c r="AI67" s="1811"/>
      <c r="AJ67" s="1811"/>
      <c r="AK67" s="1444"/>
      <c r="AL67" s="1444"/>
      <c r="AM67" s="8337"/>
      <c r="AN67" s="8337"/>
      <c r="AO67" s="8337"/>
      <c r="AP67" s="8337"/>
    </row>
    <row customHeight="1" ht="14.625" hidden="1">
      <c r="A68" s="667"/>
      <c r="B68" s="1459"/>
      <c r="C68" s="1459"/>
      <c r="D68" s="1459"/>
      <c r="E68" s="649">
        <v>15</v>
      </c>
      <c r="F68" s="50" cm="1" t="str">
        <f t="array" ref="F68:F68">OFFSET(E68,-1,1)</f>
        <v>0</v>
      </c>
      <c r="G68" s="1459"/>
      <c r="H68" s="488" t="s">
        <v>3060</v>
      </c>
      <c r="I68" s="1459"/>
      <c r="J68" s="1459"/>
      <c r="K68" s="1459"/>
      <c r="L68" s="1459"/>
      <c r="M68" s="1459"/>
      <c r="N68" s="1459"/>
      <c r="O68" s="1459"/>
      <c r="P68" s="1459"/>
      <c r="Q68" s="1459"/>
      <c r="R68" s="1459"/>
      <c r="S68" s="1459"/>
      <c r="T68" s="465" cm="1" t="str">
        <f t="array" ref="T68:T68">T67</f>
        <v>false</v>
      </c>
      <c r="U68" s="1459"/>
      <c r="V68" s="1459"/>
      <c r="W68" s="1459"/>
      <c r="X68" s="1596"/>
      <c r="Y68" s="1459"/>
      <c r="Z68" s="1597"/>
      <c r="AA68" s="1459"/>
      <c r="AB68" s="714" t="s">
        <v>3061</v>
      </c>
      <c r="AC68" s="549" t="s">
        <v>1948</v>
      </c>
      <c r="AD68" s="548" t="s">
        <v>1514</v>
      </c>
      <c r="AE68" s="8349"/>
      <c r="AF68" s="1442"/>
      <c r="AG68" s="1442"/>
      <c r="AH68" s="1062" t="s">
        <v>1949</v>
      </c>
      <c r="AI68" s="1811"/>
      <c r="AJ68" s="1811"/>
      <c r="AK68" s="1444"/>
      <c r="AL68" s="1444"/>
      <c r="AM68" s="8337"/>
      <c r="AN68" s="8337"/>
      <c r="AO68" s="8337"/>
      <c r="AP68" s="8337"/>
    </row>
    <row customHeight="1" ht="14.625" hidden="1">
      <c r="A69" s="667"/>
      <c r="B69" s="1459"/>
      <c r="C69" s="1459"/>
      <c r="D69" s="1459"/>
      <c r="E69" s="649">
        <v>15</v>
      </c>
      <c r="F69" s="50" cm="1" t="str">
        <f t="array" ref="F69:F69">OFFSET(E69,-1,1)</f>
        <v>0</v>
      </c>
      <c r="G69" s="1459"/>
      <c r="H69" s="488" t="s">
        <v>3062</v>
      </c>
      <c r="I69" s="1459"/>
      <c r="J69" s="1459"/>
      <c r="K69" s="1459"/>
      <c r="L69" s="1459"/>
      <c r="M69" s="1459"/>
      <c r="N69" s="1459"/>
      <c r="O69" s="1459"/>
      <c r="P69" s="1459"/>
      <c r="Q69" s="1459"/>
      <c r="R69" s="1459"/>
      <c r="S69" s="1459"/>
      <c r="T69" s="465" cm="1" t="str">
        <f t="array" ref="T69:T69">T68</f>
        <v>false</v>
      </c>
      <c r="U69" s="1459"/>
      <c r="V69" s="1459"/>
      <c r="W69" s="1459"/>
      <c r="X69" s="1596"/>
      <c r="Y69" s="1459"/>
      <c r="Z69" s="1597"/>
      <c r="AA69" s="1459"/>
      <c r="AB69" s="714" t="s">
        <v>3063</v>
      </c>
      <c r="AC69" s="549" t="s">
        <v>1951</v>
      </c>
      <c r="AD69" s="548" t="s">
        <v>1514</v>
      </c>
      <c r="AE69" s="8349"/>
      <c r="AF69" s="1442"/>
      <c r="AG69" s="1442"/>
      <c r="AH69" s="1062" t="s">
        <v>1952</v>
      </c>
      <c r="AI69" s="1811"/>
      <c r="AJ69" s="1811"/>
      <c r="AK69" s="1444"/>
      <c r="AL69" s="1444"/>
      <c r="AM69" s="8337"/>
      <c r="AN69" s="8337"/>
      <c r="AO69" s="8337"/>
      <c r="AP69" s="8337"/>
    </row>
    <row customHeight="1" ht="21.9375" hidden="1">
      <c r="A70" s="667"/>
      <c r="B70" s="1459"/>
      <c r="C70" s="1459"/>
      <c r="D70" s="1459"/>
      <c r="E70" s="649">
        <v>22.5</v>
      </c>
      <c r="F70" s="50" cm="1" t="str">
        <f t="array" ref="F70:F70">OFFSET(E70,-1,1)</f>
        <v>0</v>
      </c>
      <c r="G70" s="1459"/>
      <c r="H70" s="488" t="s">
        <v>3064</v>
      </c>
      <c r="I70" s="1459"/>
      <c r="J70" s="1459"/>
      <c r="K70" s="1459"/>
      <c r="L70" s="1459"/>
      <c r="M70" s="1459"/>
      <c r="N70" s="1459"/>
      <c r="O70" s="1459"/>
      <c r="P70" s="1459"/>
      <c r="Q70" s="1459"/>
      <c r="R70" s="1459"/>
      <c r="S70" s="1459"/>
      <c r="T70" s="465" cm="1" t="str">
        <f t="array" ref="T70:T70">T69</f>
        <v>false</v>
      </c>
      <c r="U70" s="1459"/>
      <c r="V70" s="1459"/>
      <c r="W70" s="1459"/>
      <c r="X70" s="1596"/>
      <c r="Y70" s="1459"/>
      <c r="Z70" s="1597"/>
      <c r="AA70" s="1459"/>
      <c r="AB70" s="714" t="s">
        <v>3065</v>
      </c>
      <c r="AC70" s="549" t="s">
        <v>3066</v>
      </c>
      <c r="AD70" s="548" t="s">
        <v>1514</v>
      </c>
      <c r="AE70" s="8349"/>
      <c r="AF70" s="1442"/>
      <c r="AG70" s="1442"/>
      <c r="AH70" s="1062" t="s">
        <v>2522</v>
      </c>
      <c r="AI70" s="1811"/>
      <c r="AJ70" s="1811"/>
      <c r="AK70" s="1444"/>
      <c r="AL70" s="1444"/>
      <c r="AM70" s="8337"/>
      <c r="AN70" s="8337"/>
      <c r="AO70" s="8337"/>
      <c r="AP70" s="8337"/>
    </row>
    <row customHeight="1" ht="14.625" hidden="1">
      <c r="A71" s="667"/>
      <c r="B71" s="1459"/>
      <c r="C71" s="1459"/>
      <c r="D71" s="1459"/>
      <c r="E71" s="649">
        <v>15</v>
      </c>
      <c r="F71" s="50" cm="1" t="str">
        <f t="array" ref="F71:F71">OFFSET(E71,-1,1)</f>
        <v>0</v>
      </c>
      <c r="G71" s="1459"/>
      <c r="H71" s="488" t="s">
        <v>3067</v>
      </c>
      <c r="I71" s="1459"/>
      <c r="J71" s="1459"/>
      <c r="K71" s="1459"/>
      <c r="L71" s="1459"/>
      <c r="M71" s="1459"/>
      <c r="N71" s="1459"/>
      <c r="O71" s="1459"/>
      <c r="P71" s="1459"/>
      <c r="Q71" s="1459"/>
      <c r="R71" s="1459"/>
      <c r="S71" s="1459"/>
      <c r="T71" s="465" cm="1" t="str">
        <f t="array" ref="T71:T71">T70</f>
        <v>false</v>
      </c>
      <c r="U71" s="1459"/>
      <c r="V71" s="1459"/>
      <c r="W71" s="1459"/>
      <c r="X71" s="1596"/>
      <c r="Y71" s="1459"/>
      <c r="Z71" s="1597"/>
      <c r="AA71" s="1459"/>
      <c r="AB71" s="714" t="s">
        <v>3068</v>
      </c>
      <c r="AC71" s="549" t="s">
        <v>3069</v>
      </c>
      <c r="AD71" s="548" t="s">
        <v>1514</v>
      </c>
      <c r="AE71" s="557">
        <f>AE72+AE73+AE74</f>
        <v>0</v>
      </c>
      <c r="AF71" s="1442"/>
      <c r="AG71" s="1442"/>
      <c r="AH71" s="1062" t="s">
        <v>2524</v>
      </c>
      <c r="AI71" s="1811"/>
      <c r="AJ71" s="1811"/>
      <c r="AK71" s="1444"/>
      <c r="AL71" s="1444"/>
      <c r="AM71" s="8337"/>
      <c r="AN71" s="8337"/>
      <c r="AO71" s="8337"/>
      <c r="AP71" s="8337"/>
    </row>
    <row customHeight="1" ht="14.625" hidden="1">
      <c r="A72" s="667"/>
      <c r="B72" s="1459"/>
      <c r="C72" s="1459"/>
      <c r="D72" s="1459"/>
      <c r="E72" s="649">
        <v>15</v>
      </c>
      <c r="F72" s="50" cm="1" t="str">
        <f t="array" ref="F72:F72">OFFSET(E72,-1,1)</f>
        <v>0</v>
      </c>
      <c r="G72" s="1459"/>
      <c r="H72" s="488" t="s">
        <v>3070</v>
      </c>
      <c r="I72" s="1459"/>
      <c r="J72" s="1459"/>
      <c r="K72" s="1459"/>
      <c r="L72" s="1459"/>
      <c r="M72" s="1459"/>
      <c r="N72" s="1459"/>
      <c r="O72" s="1459"/>
      <c r="P72" s="1459"/>
      <c r="Q72" s="1459"/>
      <c r="R72" s="1459"/>
      <c r="S72" s="1459"/>
      <c r="T72" s="465" cm="1" t="str">
        <f t="array" ref="T72:T72">T71</f>
        <v>false</v>
      </c>
      <c r="U72" s="1459"/>
      <c r="V72" s="1459"/>
      <c r="W72" s="1459"/>
      <c r="X72" s="1596"/>
      <c r="Y72" s="1459"/>
      <c r="Z72" s="1597"/>
      <c r="AA72" s="1459"/>
      <c r="AB72" s="714" t="s">
        <v>3071</v>
      </c>
      <c r="AC72" s="550" t="s">
        <v>3072</v>
      </c>
      <c r="AD72" s="548" t="s">
        <v>1514</v>
      </c>
      <c r="AE72" s="8349"/>
      <c r="AF72" s="1442"/>
      <c r="AG72" s="1442"/>
      <c r="AH72" s="1062" t="s">
        <v>2528</v>
      </c>
      <c r="AI72" s="1811"/>
      <c r="AJ72" s="1811"/>
      <c r="AK72" s="1444"/>
      <c r="AL72" s="1444"/>
      <c r="AM72" s="8337"/>
      <c r="AN72" s="8337"/>
      <c r="AO72" s="8337"/>
      <c r="AP72" s="8337"/>
    </row>
    <row customHeight="1" ht="14.625" hidden="1">
      <c r="A73" s="667"/>
      <c r="B73" s="1459"/>
      <c r="C73" s="1459"/>
      <c r="D73" s="1459"/>
      <c r="E73" s="649">
        <v>15</v>
      </c>
      <c r="F73" s="50" cm="1" t="str">
        <f t="array" ref="F73:F73">OFFSET(E73,-1,1)</f>
        <v>0</v>
      </c>
      <c r="G73" s="1459"/>
      <c r="H73" s="488" t="s">
        <v>3073</v>
      </c>
      <c r="I73" s="1459"/>
      <c r="J73" s="1459"/>
      <c r="K73" s="1459"/>
      <c r="L73" s="1459"/>
      <c r="M73" s="1459"/>
      <c r="N73" s="1459"/>
      <c r="O73" s="1459"/>
      <c r="P73" s="1459"/>
      <c r="Q73" s="1459"/>
      <c r="R73" s="1459"/>
      <c r="S73" s="1459"/>
      <c r="T73" s="465" cm="1" t="str">
        <f t="array" ref="T73:T73">T72</f>
        <v>false</v>
      </c>
      <c r="U73" s="1459"/>
      <c r="V73" s="1459"/>
      <c r="W73" s="1459"/>
      <c r="X73" s="1596"/>
      <c r="Y73" s="1459"/>
      <c r="Z73" s="1597"/>
      <c r="AA73" s="1459"/>
      <c r="AB73" s="715" t="s">
        <v>3074</v>
      </c>
      <c r="AC73" s="552" t="s">
        <v>3075</v>
      </c>
      <c r="AD73" s="553" t="s">
        <v>1514</v>
      </c>
      <c r="AE73" s="8349"/>
      <c r="AF73" s="1442"/>
      <c r="AG73" s="1442"/>
      <c r="AH73" s="1062" t="s">
        <v>2531</v>
      </c>
      <c r="AI73" s="1811"/>
      <c r="AJ73" s="1811"/>
      <c r="AK73" s="1444"/>
      <c r="AL73" s="1444"/>
      <c r="AM73" s="8337"/>
      <c r="AN73" s="8337"/>
      <c r="AO73" s="8337"/>
      <c r="AP73" s="8337"/>
    </row>
    <row customHeight="1" ht="14.625" hidden="1">
      <c r="A74" s="667"/>
      <c r="B74" s="1459"/>
      <c r="C74" s="1459"/>
      <c r="D74" s="1459"/>
      <c r="E74" s="649">
        <v>15</v>
      </c>
      <c r="F74" s="50" cm="1" t="str">
        <f t="array" ref="F74:F74">OFFSET(E74,-1,1)</f>
        <v>0</v>
      </c>
      <c r="G74" s="1459"/>
      <c r="H74" s="488" t="s">
        <v>3076</v>
      </c>
      <c r="I74" s="1459"/>
      <c r="J74" s="1459"/>
      <c r="K74" s="1459"/>
      <c r="L74" s="1459"/>
      <c r="M74" s="1459"/>
      <c r="N74" s="1459"/>
      <c r="O74" s="1459"/>
      <c r="P74" s="1459"/>
      <c r="Q74" s="1459"/>
      <c r="R74" s="1459"/>
      <c r="S74" s="1459"/>
      <c r="T74" s="465" cm="1" t="str">
        <f t="array" ref="T74:T74">T73</f>
        <v>false</v>
      </c>
      <c r="U74" s="1459"/>
      <c r="V74" s="1459"/>
      <c r="W74" s="1459"/>
      <c r="X74" s="1596"/>
      <c r="Y74" s="1459"/>
      <c r="Z74" s="1597"/>
      <c r="AA74" s="1459"/>
      <c r="AB74" s="715" t="s">
        <v>3077</v>
      </c>
      <c r="AC74" s="552" t="s">
        <v>1965</v>
      </c>
      <c r="AD74" s="553" t="s">
        <v>1514</v>
      </c>
      <c r="AE74" s="8349"/>
      <c r="AF74" s="1442"/>
      <c r="AG74" s="1442"/>
      <c r="AH74" s="1062" t="s">
        <v>2534</v>
      </c>
      <c r="AI74" s="1811"/>
      <c r="AJ74" s="1811"/>
      <c r="AK74" s="1444"/>
      <c r="AL74" s="1444"/>
      <c r="AM74" s="8337"/>
      <c r="AN74" s="8337"/>
      <c r="AO74" s="8337"/>
      <c r="AP74" s="8337"/>
    </row>
    <row customHeight="1" ht="14.625" hidden="1">
      <c r="A75" s="667"/>
      <c r="B75" s="1459"/>
      <c r="C75" s="1459"/>
      <c r="D75" s="1459"/>
      <c r="E75" s="649">
        <v>15</v>
      </c>
      <c r="F75" s="50" cm="1" t="str">
        <f t="array" ref="F75:F75">OFFSET(E75,-1,1)</f>
        <v>0</v>
      </c>
      <c r="G75" s="1459"/>
      <c r="H75" s="488" t="s">
        <v>1186</v>
      </c>
      <c r="I75" s="1459"/>
      <c r="J75" s="1459"/>
      <c r="K75" s="1459"/>
      <c r="L75" s="1459"/>
      <c r="M75" s="1459"/>
      <c r="N75" s="1459"/>
      <c r="O75" s="1459"/>
      <c r="P75" s="1459"/>
      <c r="Q75" s="1459"/>
      <c r="R75" s="1459"/>
      <c r="S75" s="1459"/>
      <c r="T75" s="465" cm="1" t="str">
        <f t="array" ref="T75:T75">T74</f>
        <v>false</v>
      </c>
      <c r="U75" s="1459"/>
      <c r="V75" s="1459"/>
      <c r="W75" s="1459"/>
      <c r="X75" s="1596"/>
      <c r="Y75" s="1459"/>
      <c r="Z75" s="1597"/>
      <c r="AA75" s="1459"/>
      <c r="AB75" s="715" t="s">
        <v>1637</v>
      </c>
      <c r="AC75" s="554" t="s">
        <v>3078</v>
      </c>
      <c r="AD75" s="553" t="s">
        <v>1514</v>
      </c>
      <c r="AE75" s="557">
        <f>SUM(AE76:AE77)</f>
        <v>0</v>
      </c>
      <c r="AF75" s="1442"/>
      <c r="AG75" s="1442"/>
      <c r="AH75" s="1064" t="s">
        <v>3079</v>
      </c>
      <c r="AI75" s="1811"/>
      <c r="AJ75" s="1811"/>
      <c r="AK75" s="1444"/>
      <c r="AL75" s="1444"/>
      <c r="AM75" s="8337"/>
      <c r="AN75" s="8337"/>
      <c r="AO75" s="8337"/>
      <c r="AP75" s="8337"/>
    </row>
    <row customHeight="1" ht="14.625" hidden="1">
      <c r="A76" s="667"/>
      <c r="B76" s="1459"/>
      <c r="C76" s="1459"/>
      <c r="D76" s="1459"/>
      <c r="E76" s="649">
        <v>15</v>
      </c>
      <c r="F76" s="50" cm="1" t="str">
        <f t="array" ref="F76:F76">OFFSET(E76,-1,1)</f>
        <v>0</v>
      </c>
      <c r="G76" s="1459"/>
      <c r="H76" s="488" t="s">
        <v>1186</v>
      </c>
      <c r="I76" s="563" cm="1" t="str">
        <f t="array" ref="I76:I76">AC76</f>
        <v>0</v>
      </c>
      <c r="J76" s="1459"/>
      <c r="K76" s="1459"/>
      <c r="L76" s="1459"/>
      <c r="M76" s="1459"/>
      <c r="N76" s="1459"/>
      <c r="O76" s="1459"/>
      <c r="P76" s="1459"/>
      <c r="Q76" s="1459"/>
      <c r="R76" s="1459"/>
      <c r="S76" s="1459"/>
      <c r="T76" s="465">
        <f>AND(F76&gt;0,Y76&gt;0)</f>
        <v>0</v>
      </c>
      <c r="U76" s="1459"/>
      <c r="V76" s="1459"/>
      <c r="W76" s="555" t="s">
        <v>174</v>
      </c>
      <c r="X76" s="1596"/>
      <c r="Y76" s="488">
        <v>0</v>
      </c>
      <c r="Z76" s="1597"/>
      <c r="AA76" s="1276" t="s">
        <v>175</v>
      </c>
      <c r="AB76" s="714" t="str">
        <f>"1.4."&amp;Y76</f>
        <v>1.4.0</v>
      </c>
      <c r="AC76" s="8363"/>
      <c r="AD76" s="548" t="s">
        <v>1514</v>
      </c>
      <c r="AE76" s="8364"/>
      <c r="AF76" s="1442"/>
      <c r="AG76" s="1442"/>
      <c r="AH76" s="1064" t="s">
        <v>3079</v>
      </c>
      <c r="AI76" s="1001" t="s">
        <v>3080</v>
      </c>
      <c r="AJ76" s="1001" cm="1" t="str">
        <f t="array" ref="AJ76:AJ76">AC76</f>
        <v>0</v>
      </c>
      <c r="AK76" s="1444"/>
      <c r="AL76" s="656" t="b">
        <v>1</v>
      </c>
      <c r="AM76" s="8337"/>
      <c r="AN76" s="8337"/>
      <c r="AO76" s="8337"/>
      <c r="AP76" s="8337"/>
    </row>
    <row customHeight="1" ht="14.625" hidden="1">
      <c r="A77" s="667"/>
      <c r="B77" s="1459"/>
      <c r="C77" s="1459"/>
      <c r="D77" s="1459"/>
      <c r="E77" s="649">
        <v>15</v>
      </c>
      <c r="F77" s="50" cm="1" t="str">
        <f t="array" ref="F77:F77">OFFSET(E77,-1,1)</f>
        <v>0</v>
      </c>
      <c r="G77" s="1459"/>
      <c r="H77" s="1459"/>
      <c r="I77" s="1278" t="str">
        <f>"!== 'не определено' &amp;&amp; row.l1_4 !== null"</f>
        <v>!== 'не определено' &amp;&amp; row.l1_4 !== null</v>
      </c>
      <c r="J77" s="1459"/>
      <c r="K77" s="1459"/>
      <c r="L77" s="1459"/>
      <c r="M77" s="1459"/>
      <c r="N77" s="1459"/>
      <c r="O77" s="1459"/>
      <c r="P77" s="1459"/>
      <c r="Q77" s="1459"/>
      <c r="R77" s="1459"/>
      <c r="S77" s="1459"/>
      <c r="T77" s="465">
        <f>F77&gt;0</f>
        <v>0</v>
      </c>
      <c r="U77" s="1459"/>
      <c r="V77" s="1459"/>
      <c r="W77" s="1366" t="s">
        <v>399</v>
      </c>
      <c r="X77" s="1596"/>
      <c r="Y77" s="1459"/>
      <c r="Z77" s="1597"/>
      <c r="AA77" s="1459"/>
      <c r="AB77" s="1279"/>
      <c r="AC77" s="1280" t="s">
        <v>178</v>
      </c>
      <c r="AD77" s="1281"/>
      <c r="AE77" s="1333"/>
      <c r="AF77" s="1442"/>
      <c r="AG77" s="1442"/>
      <c r="AH77" s="1811"/>
      <c r="AI77" s="1811"/>
      <c r="AJ77" s="1811"/>
      <c r="AK77" s="656" t="s">
        <v>3080</v>
      </c>
      <c r="AL77" s="1444"/>
      <c r="AM77" s="8337"/>
      <c r="AN77" s="8337"/>
      <c r="AO77" s="8337"/>
      <c r="AP77" s="8337"/>
    </row>
    <row customHeight="1" ht="14.625" hidden="1">
      <c r="A78" s="667"/>
      <c r="B78" s="1459"/>
      <c r="C78" s="1459"/>
      <c r="D78" s="1459"/>
      <c r="E78" s="649">
        <v>15</v>
      </c>
      <c r="F78" s="50" cm="1" t="str">
        <f t="array" ref="F78:F78">OFFSET(E78,-1,1)</f>
        <v>0</v>
      </c>
      <c r="G78" s="1459"/>
      <c r="H78" s="488" t="s">
        <v>333</v>
      </c>
      <c r="I78" s="1459"/>
      <c r="J78" s="1459"/>
      <c r="K78" s="1459"/>
      <c r="L78" s="1459"/>
      <c r="M78" s="1459"/>
      <c r="N78" s="1459"/>
      <c r="O78" s="1459"/>
      <c r="P78" s="1459"/>
      <c r="Q78" s="1459"/>
      <c r="R78" s="1459"/>
      <c r="S78" s="1459"/>
      <c r="T78" s="465" cm="1" t="str">
        <f t="array" ref="T78:T78">T77</f>
        <v>false</v>
      </c>
      <c r="U78" s="1459"/>
      <c r="V78" s="1459"/>
      <c r="W78" s="1459"/>
      <c r="X78" s="1596"/>
      <c r="Y78" s="1459"/>
      <c r="Z78" s="1597"/>
      <c r="AA78" s="1459"/>
      <c r="AB78" s="713" t="s">
        <v>285</v>
      </c>
      <c r="AC78" s="545" t="s">
        <v>2733</v>
      </c>
      <c r="AD78" s="546" t="s">
        <v>1514</v>
      </c>
      <c r="AE78" s="557">
        <f>AE79+AE91+AE92+AE102+AE103+AE104+AE107+AE108+AE109+AE110+AE111+AE112</f>
        <v>0</v>
      </c>
      <c r="AF78" s="1442"/>
      <c r="AG78" s="1442"/>
      <c r="AH78" s="1001" t="s">
        <v>3081</v>
      </c>
      <c r="AI78" s="1811"/>
      <c r="AJ78" s="1811"/>
      <c r="AK78" s="1444"/>
      <c r="AL78" s="1444"/>
      <c r="AM78" s="8337"/>
      <c r="AN78" s="8337"/>
      <c r="AO78" s="8337"/>
      <c r="AP78" s="8337"/>
    </row>
    <row s="1806" customFormat="1" customHeight="1" ht="26.325000000000003" hidden="1">
      <c r="A79" s="667"/>
      <c r="B79" s="488"/>
      <c r="C79" s="488"/>
      <c r="D79" s="488"/>
      <c r="E79" s="649">
        <v>27</v>
      </c>
      <c r="F79" s="523" cm="1" t="str">
        <f t="array" ref="F79:F79">OFFSET(E79,-1,1)</f>
        <v>0</v>
      </c>
      <c r="G79" s="488"/>
      <c r="H79" s="488"/>
      <c r="I79" s="488"/>
      <c r="J79" s="488"/>
      <c r="K79" s="488"/>
      <c r="L79" s="488"/>
      <c r="M79" s="488"/>
      <c r="N79" s="488"/>
      <c r="O79" s="488"/>
      <c r="P79" s="488"/>
      <c r="Q79" s="488"/>
      <c r="R79" s="488"/>
      <c r="S79" s="488"/>
      <c r="T79" s="465" cm="1" t="str">
        <f t="array" ref="T79:T79">T78</f>
        <v>false</v>
      </c>
      <c r="U79" s="488"/>
      <c r="V79" s="488"/>
      <c r="W79" s="488"/>
      <c r="X79" s="1596"/>
      <c r="Y79" s="488"/>
      <c r="Z79" s="1597"/>
      <c r="AA79" s="488"/>
      <c r="AB79" s="1270" t="s">
        <v>1250</v>
      </c>
      <c r="AC79" s="1282" t="s">
        <v>2735</v>
      </c>
      <c r="AD79" s="1269" t="s">
        <v>1514</v>
      </c>
      <c r="AE79" s="557">
        <f>SUM(AE80:AE90)</f>
        <v>0</v>
      </c>
      <c r="AF79" s="1108"/>
      <c r="AG79" s="1108"/>
      <c r="AH79" s="1064" t="s">
        <v>1966</v>
      </c>
      <c r="AI79" s="1058"/>
      <c r="AJ79" s="1058"/>
      <c r="AK79" s="965"/>
      <c r="AL79" s="965"/>
      <c r="AM79" s="1806"/>
      <c r="AN79" s="1806"/>
      <c r="AO79" s="1806"/>
      <c r="AP79" s="1806"/>
    </row>
    <row s="1806" customFormat="1" customHeight="1" ht="14.625" hidden="1">
      <c r="A80" s="667"/>
      <c r="B80" s="488"/>
      <c r="C80" s="488"/>
      <c r="D80" s="488"/>
      <c r="E80" s="649">
        <v>15</v>
      </c>
      <c r="F80" s="523" cm="1" t="str">
        <f t="array" ref="F80:F80">OFFSET(E80,-1,1)</f>
        <v>0</v>
      </c>
      <c r="G80" s="488"/>
      <c r="H80" s="488"/>
      <c r="I80" s="488"/>
      <c r="J80" s="488"/>
      <c r="K80" s="488"/>
      <c r="L80" s="488"/>
      <c r="M80" s="488"/>
      <c r="N80" s="488"/>
      <c r="O80" s="488"/>
      <c r="P80" s="488"/>
      <c r="Q80" s="488"/>
      <c r="R80" s="488"/>
      <c r="S80" s="488"/>
      <c r="T80" s="465" cm="1" t="str">
        <f t="array" ref="T80:T80">T79</f>
        <v>false</v>
      </c>
      <c r="U80" s="488"/>
      <c r="V80" s="488"/>
      <c r="W80" s="488"/>
      <c r="X80" s="1596"/>
      <c r="Y80" s="488"/>
      <c r="Z80" s="1597"/>
      <c r="AA80" s="488"/>
      <c r="AB80" s="1270" t="s">
        <v>1201</v>
      </c>
      <c r="AC80" s="1273" t="s">
        <v>2737</v>
      </c>
      <c r="AD80" s="1272" t="s">
        <v>1514</v>
      </c>
      <c r="AE80" s="8378"/>
      <c r="AF80" s="1108"/>
      <c r="AG80" s="1108"/>
      <c r="AH80" s="1064" t="s">
        <v>3082</v>
      </c>
      <c r="AI80" s="1058"/>
      <c r="AJ80" s="1058"/>
      <c r="AK80" s="965"/>
      <c r="AL80" s="965"/>
      <c r="AM80" s="1806"/>
      <c r="AN80" s="1806"/>
      <c r="AO80" s="1806"/>
      <c r="AP80" s="1806"/>
    </row>
    <row s="1806" customFormat="1" customHeight="1" ht="14.625" hidden="1">
      <c r="A81" s="667"/>
      <c r="B81" s="488"/>
      <c r="C81" s="488"/>
      <c r="D81" s="488"/>
      <c r="E81" s="649">
        <v>15</v>
      </c>
      <c r="F81" s="523" cm="1" t="str">
        <f t="array" ref="F81:F81">OFFSET(E81,-1,1)</f>
        <v>0</v>
      </c>
      <c r="G81" s="488"/>
      <c r="H81" s="488"/>
      <c r="I81" s="488"/>
      <c r="J81" s="488"/>
      <c r="K81" s="488"/>
      <c r="L81" s="488"/>
      <c r="M81" s="488"/>
      <c r="N81" s="488"/>
      <c r="O81" s="488"/>
      <c r="P81" s="488"/>
      <c r="Q81" s="488"/>
      <c r="R81" s="488"/>
      <c r="S81" s="488"/>
      <c r="T81" s="465" cm="1" t="str">
        <f t="array" ref="T81:T81">T80</f>
        <v>false</v>
      </c>
      <c r="U81" s="488"/>
      <c r="V81" s="488"/>
      <c r="W81" s="488"/>
      <c r="X81" s="1596"/>
      <c r="Y81" s="488"/>
      <c r="Z81" s="1597"/>
      <c r="AA81" s="488"/>
      <c r="AB81" s="1270" t="s">
        <v>2738</v>
      </c>
      <c r="AC81" s="1273" t="s">
        <v>2739</v>
      </c>
      <c r="AD81" s="1272" t="s">
        <v>1514</v>
      </c>
      <c r="AE81" s="8378"/>
      <c r="AF81" s="1108"/>
      <c r="AG81" s="1108"/>
      <c r="AH81" s="1064" t="s">
        <v>3083</v>
      </c>
      <c r="AI81" s="1058"/>
      <c r="AJ81" s="1058"/>
      <c r="AK81" s="965"/>
      <c r="AL81" s="965"/>
      <c r="AM81" s="1806"/>
      <c r="AN81" s="1806"/>
      <c r="AO81" s="1806"/>
      <c r="AP81" s="1806"/>
    </row>
    <row s="1806" customFormat="1" customHeight="1" ht="14.625" hidden="1">
      <c r="A82" s="667"/>
      <c r="B82" s="488"/>
      <c r="C82" s="488"/>
      <c r="D82" s="488"/>
      <c r="E82" s="649">
        <v>15</v>
      </c>
      <c r="F82" s="523" cm="1" t="str">
        <f t="array" ref="F82:F82">OFFSET(E82,-1,1)</f>
        <v>0</v>
      </c>
      <c r="G82" s="488"/>
      <c r="H82" s="488"/>
      <c r="I82" s="488"/>
      <c r="J82" s="488"/>
      <c r="K82" s="488"/>
      <c r="L82" s="488"/>
      <c r="M82" s="488"/>
      <c r="N82" s="488"/>
      <c r="O82" s="488"/>
      <c r="P82" s="488"/>
      <c r="Q82" s="488"/>
      <c r="R82" s="488"/>
      <c r="S82" s="488"/>
      <c r="T82" s="465" cm="1" t="str">
        <f t="array" ref="T82:T82">T81</f>
        <v>false</v>
      </c>
      <c r="U82" s="488"/>
      <c r="V82" s="488"/>
      <c r="W82" s="488"/>
      <c r="X82" s="1596"/>
      <c r="Y82" s="488"/>
      <c r="Z82" s="1597"/>
      <c r="AA82" s="488"/>
      <c r="AB82" s="1270" t="s">
        <v>2740</v>
      </c>
      <c r="AC82" s="1273" t="s">
        <v>2741</v>
      </c>
      <c r="AD82" s="1272" t="s">
        <v>1514</v>
      </c>
      <c r="AE82" s="8378"/>
      <c r="AF82" s="1108"/>
      <c r="AG82" s="1108"/>
      <c r="AH82" s="1064" t="s">
        <v>3084</v>
      </c>
      <c r="AI82" s="1058"/>
      <c r="AJ82" s="1058"/>
      <c r="AK82" s="965"/>
      <c r="AL82" s="965"/>
      <c r="AM82" s="1806"/>
      <c r="AN82" s="1806"/>
      <c r="AO82" s="1806"/>
      <c r="AP82" s="1806"/>
    </row>
    <row s="1806" customFormat="1" customHeight="1" ht="14.625" hidden="1">
      <c r="A83" s="667"/>
      <c r="B83" s="488"/>
      <c r="C83" s="488"/>
      <c r="D83" s="488"/>
      <c r="E83" s="649">
        <v>15</v>
      </c>
      <c r="F83" s="523" cm="1" t="str">
        <f t="array" ref="F83:F83">OFFSET(E83,-1,1)</f>
        <v>0</v>
      </c>
      <c r="G83" s="488"/>
      <c r="H83" s="488"/>
      <c r="I83" s="488"/>
      <c r="J83" s="488"/>
      <c r="K83" s="488"/>
      <c r="L83" s="488"/>
      <c r="M83" s="488"/>
      <c r="N83" s="488"/>
      <c r="O83" s="488"/>
      <c r="P83" s="488"/>
      <c r="Q83" s="488"/>
      <c r="R83" s="488"/>
      <c r="S83" s="488"/>
      <c r="T83" s="465" cm="1" t="str">
        <f t="array" ref="T83:T83">T82</f>
        <v>false</v>
      </c>
      <c r="U83" s="488"/>
      <c r="V83" s="488"/>
      <c r="W83" s="488"/>
      <c r="X83" s="1596"/>
      <c r="Y83" s="488"/>
      <c r="Z83" s="1597"/>
      <c r="AA83" s="488"/>
      <c r="AB83" s="1270" t="s">
        <v>2743</v>
      </c>
      <c r="AC83" s="1273" t="s">
        <v>2744</v>
      </c>
      <c r="AD83" s="1272" t="s">
        <v>1514</v>
      </c>
      <c r="AE83" s="8378"/>
      <c r="AF83" s="1108"/>
      <c r="AG83" s="1108"/>
      <c r="AH83" s="1064" t="s">
        <v>3085</v>
      </c>
      <c r="AI83" s="1058"/>
      <c r="AJ83" s="1058"/>
      <c r="AK83" s="965"/>
      <c r="AL83" s="965"/>
      <c r="AM83" s="1806"/>
      <c r="AN83" s="1806"/>
      <c r="AO83" s="1806"/>
      <c r="AP83" s="1806"/>
    </row>
    <row s="1806" customFormat="1" customHeight="1" ht="14.625" hidden="1">
      <c r="A84" s="667"/>
      <c r="B84" s="488"/>
      <c r="C84" s="488"/>
      <c r="D84" s="488"/>
      <c r="E84" s="649">
        <v>15</v>
      </c>
      <c r="F84" s="523" cm="1" t="str">
        <f t="array" ref="F84:F84">OFFSET(E84,-1,1)</f>
        <v>0</v>
      </c>
      <c r="G84" s="488"/>
      <c r="H84" s="488"/>
      <c r="I84" s="488"/>
      <c r="J84" s="488"/>
      <c r="K84" s="488"/>
      <c r="L84" s="488"/>
      <c r="M84" s="488"/>
      <c r="N84" s="488"/>
      <c r="O84" s="488"/>
      <c r="P84" s="488"/>
      <c r="Q84" s="488"/>
      <c r="R84" s="488"/>
      <c r="S84" s="488"/>
      <c r="T84" s="465" cm="1" t="str">
        <f t="array" ref="T84:T84">T83</f>
        <v>false</v>
      </c>
      <c r="U84" s="488"/>
      <c r="V84" s="488"/>
      <c r="W84" s="488"/>
      <c r="X84" s="1596"/>
      <c r="Y84" s="488"/>
      <c r="Z84" s="1597"/>
      <c r="AA84" s="488"/>
      <c r="AB84" s="1270" t="s">
        <v>2746</v>
      </c>
      <c r="AC84" s="1273" t="s">
        <v>2747</v>
      </c>
      <c r="AD84" s="1272" t="s">
        <v>1514</v>
      </c>
      <c r="AE84" s="8378"/>
      <c r="AF84" s="1108"/>
      <c r="AG84" s="1108"/>
      <c r="AH84" s="1064" t="s">
        <v>3086</v>
      </c>
      <c r="AI84" s="1058"/>
      <c r="AJ84" s="1058"/>
      <c r="AK84" s="965"/>
      <c r="AL84" s="965"/>
      <c r="AM84" s="1806"/>
      <c r="AN84" s="1806"/>
      <c r="AO84" s="1806"/>
      <c r="AP84" s="1806"/>
    </row>
    <row s="1806" customFormat="1" customHeight="1" ht="26.325000000000003" hidden="1">
      <c r="A85" s="667"/>
      <c r="B85" s="488"/>
      <c r="C85" s="488"/>
      <c r="D85" s="488"/>
      <c r="E85" s="649">
        <v>27</v>
      </c>
      <c r="F85" s="523" cm="1" t="str">
        <f t="array" ref="F85:F85">OFFSET(E85,-1,1)</f>
        <v>0</v>
      </c>
      <c r="G85" s="488"/>
      <c r="H85" s="488"/>
      <c r="I85" s="488"/>
      <c r="J85" s="488"/>
      <c r="K85" s="488"/>
      <c r="L85" s="488"/>
      <c r="M85" s="488"/>
      <c r="N85" s="488"/>
      <c r="O85" s="488"/>
      <c r="P85" s="488"/>
      <c r="Q85" s="488"/>
      <c r="R85" s="488"/>
      <c r="S85" s="488"/>
      <c r="T85" s="465" cm="1" t="str">
        <f t="array" ref="T85:T85">T84</f>
        <v>false</v>
      </c>
      <c r="U85" s="488"/>
      <c r="V85" s="488"/>
      <c r="W85" s="488"/>
      <c r="X85" s="1596"/>
      <c r="Y85" s="488"/>
      <c r="Z85" s="1597"/>
      <c r="AA85" s="488"/>
      <c r="AB85" s="1270" t="s">
        <v>2749</v>
      </c>
      <c r="AC85" s="1273" t="s">
        <v>2750</v>
      </c>
      <c r="AD85" s="1272" t="s">
        <v>1514</v>
      </c>
      <c r="AE85" s="8378"/>
      <c r="AF85" s="1108"/>
      <c r="AG85" s="1108"/>
      <c r="AH85" s="1064" t="s">
        <v>3087</v>
      </c>
      <c r="AI85" s="1058"/>
      <c r="AJ85" s="1058"/>
      <c r="AK85" s="965"/>
      <c r="AL85" s="965"/>
      <c r="AM85" s="1806"/>
      <c r="AN85" s="1806"/>
      <c r="AO85" s="1806"/>
      <c r="AP85" s="1806"/>
    </row>
    <row s="1806" customFormat="1" customHeight="1" ht="14.625" hidden="1">
      <c r="A86" s="667"/>
      <c r="B86" s="488"/>
      <c r="C86" s="488"/>
      <c r="D86" s="488"/>
      <c r="E86" s="649">
        <v>15</v>
      </c>
      <c r="F86" s="523" cm="1" t="str">
        <f t="array" ref="F86:F86">OFFSET(E86,-1,1)</f>
        <v>0</v>
      </c>
      <c r="G86" s="488"/>
      <c r="H86" s="488"/>
      <c r="I86" s="488"/>
      <c r="J86" s="488"/>
      <c r="K86" s="488"/>
      <c r="L86" s="488"/>
      <c r="M86" s="488"/>
      <c r="N86" s="488"/>
      <c r="O86" s="488"/>
      <c r="P86" s="488"/>
      <c r="Q86" s="488"/>
      <c r="R86" s="488"/>
      <c r="S86" s="488"/>
      <c r="T86" s="465" cm="1" t="str">
        <f t="array" ref="T86:T86">T85</f>
        <v>false</v>
      </c>
      <c r="U86" s="488"/>
      <c r="V86" s="488"/>
      <c r="W86" s="488"/>
      <c r="X86" s="1596"/>
      <c r="Y86" s="488"/>
      <c r="Z86" s="1597"/>
      <c r="AA86" s="488"/>
      <c r="AB86" s="1270" t="s">
        <v>2753</v>
      </c>
      <c r="AC86" s="1273" t="s">
        <v>2754</v>
      </c>
      <c r="AD86" s="1272" t="s">
        <v>1514</v>
      </c>
      <c r="AE86" s="8378"/>
      <c r="AF86" s="1108"/>
      <c r="AG86" s="1108"/>
      <c r="AH86" s="1064" t="s">
        <v>3088</v>
      </c>
      <c r="AI86" s="1058"/>
      <c r="AJ86" s="1058"/>
      <c r="AK86" s="965"/>
      <c r="AL86" s="965"/>
      <c r="AM86" s="1806"/>
      <c r="AN86" s="1806"/>
      <c r="AO86" s="1806"/>
      <c r="AP86" s="1806"/>
    </row>
    <row s="1806" customFormat="1" customHeight="1" ht="14.625" hidden="1">
      <c r="A87" s="667"/>
      <c r="B87" s="488"/>
      <c r="C87" s="488"/>
      <c r="D87" s="488"/>
      <c r="E87" s="649">
        <v>15</v>
      </c>
      <c r="F87" s="523" cm="1" t="str">
        <f t="array" ref="F87:F87">OFFSET(E87,-1,1)</f>
        <v>0</v>
      </c>
      <c r="G87" s="488"/>
      <c r="H87" s="488"/>
      <c r="I87" s="488"/>
      <c r="J87" s="488"/>
      <c r="K87" s="488"/>
      <c r="L87" s="488"/>
      <c r="M87" s="488"/>
      <c r="N87" s="488"/>
      <c r="O87" s="488"/>
      <c r="P87" s="488"/>
      <c r="Q87" s="488"/>
      <c r="R87" s="488"/>
      <c r="S87" s="488"/>
      <c r="T87" s="465" cm="1" t="str">
        <f t="array" ref="T87:T87">T86</f>
        <v>false</v>
      </c>
      <c r="U87" s="488"/>
      <c r="V87" s="488"/>
      <c r="W87" s="488"/>
      <c r="X87" s="1596"/>
      <c r="Y87" s="488"/>
      <c r="Z87" s="1597"/>
      <c r="AA87" s="488"/>
      <c r="AB87" s="1270" t="s">
        <v>2757</v>
      </c>
      <c r="AC87" s="1273" t="s">
        <v>2758</v>
      </c>
      <c r="AD87" s="1272" t="s">
        <v>1514</v>
      </c>
      <c r="AE87" s="8378"/>
      <c r="AF87" s="1108"/>
      <c r="AG87" s="1108"/>
      <c r="AH87" s="1064" t="s">
        <v>3089</v>
      </c>
      <c r="AI87" s="1058"/>
      <c r="AJ87" s="1058"/>
      <c r="AK87" s="965"/>
      <c r="AL87" s="965"/>
      <c r="AM87" s="1806"/>
      <c r="AN87" s="1806"/>
      <c r="AO87" s="1806"/>
      <c r="AP87" s="1806"/>
    </row>
    <row s="1806" customFormat="1" customHeight="1" ht="14.625" hidden="1">
      <c r="A88" s="667"/>
      <c r="B88" s="488"/>
      <c r="C88" s="488"/>
      <c r="D88" s="488"/>
      <c r="E88" s="649">
        <v>15</v>
      </c>
      <c r="F88" s="523" cm="1" t="str">
        <f t="array" ref="F88:F88">OFFSET(E88,-1,1)</f>
        <v>0</v>
      </c>
      <c r="G88" s="488"/>
      <c r="H88" s="488"/>
      <c r="I88" s="488"/>
      <c r="J88" s="488"/>
      <c r="K88" s="488"/>
      <c r="L88" s="488"/>
      <c r="M88" s="488"/>
      <c r="N88" s="488"/>
      <c r="O88" s="488"/>
      <c r="P88" s="488"/>
      <c r="Q88" s="488"/>
      <c r="R88" s="488"/>
      <c r="S88" s="488"/>
      <c r="T88" s="465" cm="1" t="str">
        <f t="array" ref="T88:T88">T87</f>
        <v>false</v>
      </c>
      <c r="U88" s="488"/>
      <c r="V88" s="488"/>
      <c r="W88" s="488"/>
      <c r="X88" s="1596"/>
      <c r="Y88" s="488"/>
      <c r="Z88" s="1597"/>
      <c r="AA88" s="488"/>
      <c r="AB88" s="1270" t="s">
        <v>2760</v>
      </c>
      <c r="AC88" s="1273" t="s">
        <v>2761</v>
      </c>
      <c r="AD88" s="1272" t="s">
        <v>1514</v>
      </c>
      <c r="AE88" s="8378"/>
      <c r="AF88" s="1108"/>
      <c r="AG88" s="1108"/>
      <c r="AH88" s="1064" t="s">
        <v>3090</v>
      </c>
      <c r="AI88" s="1058"/>
      <c r="AJ88" s="1058"/>
      <c r="AK88" s="965"/>
      <c r="AL88" s="965"/>
      <c r="AM88" s="1806"/>
      <c r="AN88" s="1806"/>
      <c r="AO88" s="1806"/>
      <c r="AP88" s="1806"/>
    </row>
    <row s="1806" customFormat="1" customHeight="1" ht="14.625" hidden="1">
      <c r="A89" s="667"/>
      <c r="B89" s="488"/>
      <c r="C89" s="488"/>
      <c r="D89" s="488"/>
      <c r="E89" s="649">
        <v>15</v>
      </c>
      <c r="F89" s="523" cm="1" t="str">
        <f t="array" ref="F89:F89">OFFSET(E89,-1,1)</f>
        <v>0</v>
      </c>
      <c r="G89" s="488"/>
      <c r="H89" s="488"/>
      <c r="I89" s="488"/>
      <c r="J89" s="488"/>
      <c r="K89" s="488"/>
      <c r="L89" s="488"/>
      <c r="M89" s="488"/>
      <c r="N89" s="488"/>
      <c r="O89" s="488"/>
      <c r="P89" s="488"/>
      <c r="Q89" s="488"/>
      <c r="R89" s="488"/>
      <c r="S89" s="488"/>
      <c r="T89" s="465" cm="1" t="str">
        <f t="array" ref="T89:T89">T88</f>
        <v>false</v>
      </c>
      <c r="U89" s="488"/>
      <c r="V89" s="488"/>
      <c r="W89" s="488"/>
      <c r="X89" s="1596"/>
      <c r="Y89" s="488"/>
      <c r="Z89" s="1597"/>
      <c r="AA89" s="488"/>
      <c r="AB89" s="1270" t="s">
        <v>2763</v>
      </c>
      <c r="AC89" s="1273" t="s">
        <v>2764</v>
      </c>
      <c r="AD89" s="1272" t="s">
        <v>1514</v>
      </c>
      <c r="AE89" s="8378"/>
      <c r="AF89" s="1108"/>
      <c r="AG89" s="1108"/>
      <c r="AH89" s="1064" t="s">
        <v>3091</v>
      </c>
      <c r="AI89" s="1058"/>
      <c r="AJ89" s="1058"/>
      <c r="AK89" s="965"/>
      <c r="AL89" s="965"/>
      <c r="AM89" s="1806"/>
      <c r="AN89" s="1806"/>
      <c r="AO89" s="1806"/>
      <c r="AP89" s="1806"/>
    </row>
    <row s="1806" customFormat="1" customHeight="1" ht="14.625" hidden="1">
      <c r="A90" s="667"/>
      <c r="B90" s="488"/>
      <c r="C90" s="488"/>
      <c r="D90" s="488"/>
      <c r="E90" s="649">
        <v>15</v>
      </c>
      <c r="F90" s="523" cm="1" t="str">
        <f t="array" ref="F90:F90">OFFSET(E90,-1,1)</f>
        <v>0</v>
      </c>
      <c r="G90" s="488"/>
      <c r="H90" s="488"/>
      <c r="I90" s="488"/>
      <c r="J90" s="488"/>
      <c r="K90" s="488"/>
      <c r="L90" s="488"/>
      <c r="M90" s="488"/>
      <c r="N90" s="488"/>
      <c r="O90" s="488"/>
      <c r="P90" s="488"/>
      <c r="Q90" s="488"/>
      <c r="R90" s="488"/>
      <c r="S90" s="488"/>
      <c r="T90" s="465" cm="1" t="str">
        <f t="array" ref="T90:T90">T89</f>
        <v>false</v>
      </c>
      <c r="U90" s="488"/>
      <c r="V90" s="488"/>
      <c r="W90" s="488"/>
      <c r="X90" s="1596"/>
      <c r="Y90" s="488"/>
      <c r="Z90" s="1597"/>
      <c r="AA90" s="488"/>
      <c r="AB90" s="1270" t="s">
        <v>2765</v>
      </c>
      <c r="AC90" s="1273" t="s">
        <v>2766</v>
      </c>
      <c r="AD90" s="1272" t="s">
        <v>1514</v>
      </c>
      <c r="AE90" s="8378"/>
      <c r="AF90" s="1108"/>
      <c r="AG90" s="1108"/>
      <c r="AH90" s="1064" t="s">
        <v>3092</v>
      </c>
      <c r="AI90" s="1058"/>
      <c r="AJ90" s="1058"/>
      <c r="AK90" s="965"/>
      <c r="AL90" s="965"/>
      <c r="AM90" s="1806"/>
      <c r="AN90" s="1806"/>
      <c r="AO90" s="1806"/>
      <c r="AP90" s="1806"/>
    </row>
    <row s="1806" customFormat="1" customHeight="1" ht="14.625" hidden="1">
      <c r="A91" s="667"/>
      <c r="B91" s="488"/>
      <c r="C91" s="488"/>
      <c r="D91" s="488"/>
      <c r="E91" s="649">
        <v>15</v>
      </c>
      <c r="F91" s="523" cm="1" t="str">
        <f t="array" ref="F91:F91">OFFSET(E91,-1,1)</f>
        <v>0</v>
      </c>
      <c r="G91" s="488"/>
      <c r="H91" s="488"/>
      <c r="I91" s="488"/>
      <c r="J91" s="488"/>
      <c r="K91" s="488"/>
      <c r="L91" s="488"/>
      <c r="M91" s="488"/>
      <c r="N91" s="488"/>
      <c r="O91" s="488"/>
      <c r="P91" s="488"/>
      <c r="Q91" s="488"/>
      <c r="R91" s="488"/>
      <c r="S91" s="488"/>
      <c r="T91" s="465" cm="1" t="str">
        <f t="array" ref="T91:T91">T90</f>
        <v>false</v>
      </c>
      <c r="U91" s="488"/>
      <c r="V91" s="488"/>
      <c r="W91" s="488"/>
      <c r="X91" s="1596"/>
      <c r="Y91" s="488"/>
      <c r="Z91" s="1597"/>
      <c r="AA91" s="488"/>
      <c r="AB91" s="1270" t="s">
        <v>1254</v>
      </c>
      <c r="AC91" s="1271" t="s">
        <v>2767</v>
      </c>
      <c r="AD91" s="1272" t="s">
        <v>1514</v>
      </c>
      <c r="AE91" s="8378"/>
      <c r="AF91" s="1108"/>
      <c r="AG91" s="1108"/>
      <c r="AH91" s="1064" t="s">
        <v>3093</v>
      </c>
      <c r="AI91" s="1058"/>
      <c r="AJ91" s="1058"/>
      <c r="AK91" s="965"/>
      <c r="AL91" s="965"/>
      <c r="AM91" s="1806"/>
      <c r="AN91" s="1806"/>
      <c r="AO91" s="1806"/>
      <c r="AP91" s="1806"/>
    </row>
    <row customHeight="1" ht="14.625" hidden="1">
      <c r="A92" s="667"/>
      <c r="B92" s="1459"/>
      <c r="C92" s="1459"/>
      <c r="D92" s="1459"/>
      <c r="E92" s="649">
        <v>15</v>
      </c>
      <c r="F92" s="50" cm="1" t="str">
        <f t="array" ref="F92:F92">OFFSET(E92,-1,1)</f>
        <v>0</v>
      </c>
      <c r="G92" s="1459"/>
      <c r="H92" s="488" t="s">
        <v>1196</v>
      </c>
      <c r="I92" s="1459"/>
      <c r="J92" s="1459"/>
      <c r="K92" s="1459"/>
      <c r="L92" s="1459"/>
      <c r="M92" s="1459"/>
      <c r="N92" s="1459"/>
      <c r="O92" s="1459"/>
      <c r="P92" s="1459"/>
      <c r="Q92" s="1459"/>
      <c r="R92" s="1459"/>
      <c r="S92" s="1459"/>
      <c r="T92" s="465" cm="1" t="str">
        <f t="array" ref="T92:T92">T78</f>
        <v>false</v>
      </c>
      <c r="U92" s="1459"/>
      <c r="V92" s="1459"/>
      <c r="W92" s="1459"/>
      <c r="X92" s="1596"/>
      <c r="Y92" s="1459"/>
      <c r="Z92" s="1597"/>
      <c r="AA92" s="1459"/>
      <c r="AB92" s="714" t="s">
        <v>1258</v>
      </c>
      <c r="AC92" s="547" t="s">
        <v>3094</v>
      </c>
      <c r="AD92" s="548" t="s">
        <v>1514</v>
      </c>
      <c r="AE92" s="557">
        <f>SUM(AE93:AE101)</f>
        <v>0</v>
      </c>
      <c r="AF92" s="1442"/>
      <c r="AG92" s="1442"/>
      <c r="AH92" s="1070" t="s">
        <v>1999</v>
      </c>
      <c r="AI92" s="1811"/>
      <c r="AJ92" s="1811"/>
      <c r="AK92" s="1444"/>
      <c r="AL92" s="1444"/>
      <c r="AM92" s="8337"/>
      <c r="AN92" s="8337"/>
      <c r="AO92" s="8337"/>
      <c r="AP92" s="8337"/>
    </row>
    <row customHeight="1" ht="14.625" hidden="1">
      <c r="A93" s="667"/>
      <c r="B93" s="1459"/>
      <c r="C93" s="1459"/>
      <c r="D93" s="1459"/>
      <c r="E93" s="649">
        <v>15</v>
      </c>
      <c r="F93" s="50" cm="1" t="str">
        <f t="array" ref="F93:F93">OFFSET(E93,-1,1)</f>
        <v>0</v>
      </c>
      <c r="G93" s="1459"/>
      <c r="H93" s="488" t="s">
        <v>2507</v>
      </c>
      <c r="I93" s="1459"/>
      <c r="J93" s="1459"/>
      <c r="K93" s="1459"/>
      <c r="L93" s="1459"/>
      <c r="M93" s="1459"/>
      <c r="N93" s="1459"/>
      <c r="O93" s="1459"/>
      <c r="P93" s="1459"/>
      <c r="Q93" s="1459"/>
      <c r="R93" s="1459"/>
      <c r="S93" s="1459"/>
      <c r="T93" s="465" cm="1" t="str">
        <f t="array" ref="T93:T93">T92</f>
        <v>false</v>
      </c>
      <c r="U93" s="1459"/>
      <c r="V93" s="1459"/>
      <c r="W93" s="1459"/>
      <c r="X93" s="1596"/>
      <c r="Y93" s="1459"/>
      <c r="Z93" s="1597"/>
      <c r="AA93" s="1459"/>
      <c r="AB93" s="714" t="s">
        <v>1212</v>
      </c>
      <c r="AC93" s="549" t="s">
        <v>2014</v>
      </c>
      <c r="AD93" s="548" t="s">
        <v>1514</v>
      </c>
      <c r="AE93" s="8349"/>
      <c r="AF93" s="1442"/>
      <c r="AG93" s="1442"/>
      <c r="AH93" s="1064" t="s">
        <v>2770</v>
      </c>
      <c r="AI93" s="1811"/>
      <c r="AJ93" s="1811"/>
      <c r="AK93" s="1444"/>
      <c r="AL93" s="1444"/>
      <c r="AM93" s="8337"/>
      <c r="AN93" s="8337"/>
      <c r="AO93" s="8337"/>
      <c r="AP93" s="8337"/>
    </row>
    <row customHeight="1" ht="14.625" hidden="1">
      <c r="A94" s="667"/>
      <c r="B94" s="1459"/>
      <c r="C94" s="1459"/>
      <c r="D94" s="1459"/>
      <c r="E94" s="649">
        <v>15</v>
      </c>
      <c r="F94" s="50" cm="1" t="str">
        <f t="array" ref="F94:F94">OFFSET(E94,-1,1)</f>
        <v>0</v>
      </c>
      <c r="G94" s="1459"/>
      <c r="H94" s="488" t="s">
        <v>2510</v>
      </c>
      <c r="I94" s="1459"/>
      <c r="J94" s="1459"/>
      <c r="K94" s="1459"/>
      <c r="L94" s="1459"/>
      <c r="M94" s="1459"/>
      <c r="N94" s="1459"/>
      <c r="O94" s="1459"/>
      <c r="P94" s="1459"/>
      <c r="Q94" s="1459"/>
      <c r="R94" s="1459"/>
      <c r="S94" s="1459"/>
      <c r="T94" s="465" cm="1" t="str">
        <f t="array" ref="T94:T94">T93</f>
        <v>false</v>
      </c>
      <c r="U94" s="1459"/>
      <c r="V94" s="1459"/>
      <c r="W94" s="1459"/>
      <c r="X94" s="1596"/>
      <c r="Y94" s="1459"/>
      <c r="Z94" s="1597"/>
      <c r="AA94" s="1459"/>
      <c r="AB94" s="714" t="s">
        <v>2225</v>
      </c>
      <c r="AC94" s="549" t="s">
        <v>3095</v>
      </c>
      <c r="AD94" s="548" t="s">
        <v>1514</v>
      </c>
      <c r="AE94" s="8349"/>
      <c r="AF94" s="1442"/>
      <c r="AG94" s="1442"/>
      <c r="AH94" s="1064" t="s">
        <v>2773</v>
      </c>
      <c r="AI94" s="1811"/>
      <c r="AJ94" s="1811"/>
      <c r="AK94" s="1444"/>
      <c r="AL94" s="1444"/>
      <c r="AM94" s="8337"/>
      <c r="AN94" s="8337"/>
      <c r="AO94" s="8337"/>
      <c r="AP94" s="8337"/>
    </row>
    <row customHeight="1" ht="14.625" hidden="1">
      <c r="A95" s="667"/>
      <c r="B95" s="1459"/>
      <c r="C95" s="1459"/>
      <c r="D95" s="1459"/>
      <c r="E95" s="649">
        <v>15</v>
      </c>
      <c r="F95" s="50" cm="1" t="str">
        <f t="array" ref="F95:F95">OFFSET(E95,-1,1)</f>
        <v>0</v>
      </c>
      <c r="G95" s="1459"/>
      <c r="H95" s="488" t="s">
        <v>3096</v>
      </c>
      <c r="I95" s="1459"/>
      <c r="J95" s="1459"/>
      <c r="K95" s="1459"/>
      <c r="L95" s="1459"/>
      <c r="M95" s="1459"/>
      <c r="N95" s="1459"/>
      <c r="O95" s="1459"/>
      <c r="P95" s="1459"/>
      <c r="Q95" s="1459"/>
      <c r="R95" s="1459"/>
      <c r="S95" s="1459"/>
      <c r="T95" s="465" cm="1" t="str">
        <f t="array" ref="T95:T95">T94</f>
        <v>false</v>
      </c>
      <c r="U95" s="1459"/>
      <c r="V95" s="1459"/>
      <c r="W95" s="1459"/>
      <c r="X95" s="1596"/>
      <c r="Y95" s="1459"/>
      <c r="Z95" s="1597"/>
      <c r="AA95" s="1459"/>
      <c r="AB95" s="714" t="s">
        <v>2230</v>
      </c>
      <c r="AC95" s="549" t="s">
        <v>3097</v>
      </c>
      <c r="AD95" s="548" t="s">
        <v>1514</v>
      </c>
      <c r="AE95" s="8349"/>
      <c r="AF95" s="1442"/>
      <c r="AG95" s="1442"/>
      <c r="AH95" s="1064" t="s">
        <v>2776</v>
      </c>
      <c r="AI95" s="1811"/>
      <c r="AJ95" s="1811"/>
      <c r="AK95" s="1444"/>
      <c r="AL95" s="1444"/>
      <c r="AM95" s="8337"/>
      <c r="AN95" s="8337"/>
      <c r="AO95" s="8337"/>
      <c r="AP95" s="8337"/>
    </row>
    <row customHeight="1" ht="14.625" hidden="1">
      <c r="A96" s="667"/>
      <c r="B96" s="1459"/>
      <c r="C96" s="1459"/>
      <c r="D96" s="1459"/>
      <c r="E96" s="649">
        <v>15</v>
      </c>
      <c r="F96" s="50" cm="1" t="str">
        <f t="array" ref="F96:F96">OFFSET(E96,-1,1)</f>
        <v>0</v>
      </c>
      <c r="G96" s="1459"/>
      <c r="H96" s="488" t="s">
        <v>3098</v>
      </c>
      <c r="I96" s="1459"/>
      <c r="J96" s="1459"/>
      <c r="K96" s="1459"/>
      <c r="L96" s="1459"/>
      <c r="M96" s="1459"/>
      <c r="N96" s="1459"/>
      <c r="O96" s="1459"/>
      <c r="P96" s="1459"/>
      <c r="Q96" s="1459"/>
      <c r="R96" s="1459"/>
      <c r="S96" s="1459"/>
      <c r="T96" s="465" cm="1" t="str">
        <f t="array" ref="T96:T96">T95</f>
        <v>false</v>
      </c>
      <c r="U96" s="1459"/>
      <c r="V96" s="1459"/>
      <c r="W96" s="1459"/>
      <c r="X96" s="1596"/>
      <c r="Y96" s="1459"/>
      <c r="Z96" s="1597"/>
      <c r="AA96" s="1459"/>
      <c r="AB96" s="714" t="s">
        <v>2778</v>
      </c>
      <c r="AC96" s="549" t="s">
        <v>2007</v>
      </c>
      <c r="AD96" s="548" t="s">
        <v>1514</v>
      </c>
      <c r="AE96" s="8349"/>
      <c r="AF96" s="1442"/>
      <c r="AG96" s="1442"/>
      <c r="AH96" s="1064" t="s">
        <v>2780</v>
      </c>
      <c r="AI96" s="1811"/>
      <c r="AJ96" s="1811"/>
      <c r="AK96" s="1444"/>
      <c r="AL96" s="1444"/>
      <c r="AM96" s="8337"/>
      <c r="AN96" s="8337"/>
      <c r="AO96" s="8337"/>
      <c r="AP96" s="8337"/>
    </row>
    <row customHeight="1" ht="14.625" hidden="1">
      <c r="A97" s="667"/>
      <c r="B97" s="1459"/>
      <c r="C97" s="1459"/>
      <c r="D97" s="1459"/>
      <c r="E97" s="649">
        <v>15</v>
      </c>
      <c r="F97" s="50" cm="1" t="str">
        <f t="array" ref="F97:F97">OFFSET(E97,-1,1)</f>
        <v>0</v>
      </c>
      <c r="G97" s="1459"/>
      <c r="H97" s="488" t="s">
        <v>3099</v>
      </c>
      <c r="I97" s="1459"/>
      <c r="J97" s="1459"/>
      <c r="K97" s="1459"/>
      <c r="L97" s="1459"/>
      <c r="M97" s="1459"/>
      <c r="N97" s="1459"/>
      <c r="O97" s="1459"/>
      <c r="P97" s="1459"/>
      <c r="Q97" s="1459"/>
      <c r="R97" s="1459"/>
      <c r="S97" s="1459"/>
      <c r="T97" s="465" cm="1" t="str">
        <f t="array" ref="T97:T97">T96</f>
        <v>false</v>
      </c>
      <c r="U97" s="1459"/>
      <c r="V97" s="1459"/>
      <c r="W97" s="1459"/>
      <c r="X97" s="1596"/>
      <c r="Y97" s="1459"/>
      <c r="Z97" s="1597"/>
      <c r="AA97" s="1459"/>
      <c r="AB97" s="714" t="s">
        <v>2782</v>
      </c>
      <c r="AC97" s="549" t="s">
        <v>2009</v>
      </c>
      <c r="AD97" s="548" t="s">
        <v>1514</v>
      </c>
      <c r="AE97" s="8349"/>
      <c r="AF97" s="1442"/>
      <c r="AG97" s="1442"/>
      <c r="AH97" s="1064" t="s">
        <v>2784</v>
      </c>
      <c r="AI97" s="1811"/>
      <c r="AJ97" s="1811"/>
      <c r="AK97" s="1444"/>
      <c r="AL97" s="1444"/>
      <c r="AM97" s="8337"/>
      <c r="AN97" s="8337"/>
      <c r="AO97" s="8337"/>
      <c r="AP97" s="8337"/>
    </row>
    <row customHeight="1" ht="14.625" hidden="1">
      <c r="A98" s="667"/>
      <c r="B98" s="1459"/>
      <c r="C98" s="1459"/>
      <c r="D98" s="1459"/>
      <c r="E98" s="649">
        <v>15</v>
      </c>
      <c r="F98" s="50" cm="1" t="str">
        <f t="array" ref="F98:F98">OFFSET(E98,-1,1)</f>
        <v>0</v>
      </c>
      <c r="G98" s="1459"/>
      <c r="H98" s="488" t="s">
        <v>3100</v>
      </c>
      <c r="I98" s="1459"/>
      <c r="J98" s="1459"/>
      <c r="K98" s="1459"/>
      <c r="L98" s="1459"/>
      <c r="M98" s="1459"/>
      <c r="N98" s="1459"/>
      <c r="O98" s="1459"/>
      <c r="P98" s="1459"/>
      <c r="Q98" s="1459"/>
      <c r="R98" s="1459"/>
      <c r="S98" s="1459"/>
      <c r="T98" s="465" cm="1" t="str">
        <f t="array" ref="T98:T98">T97</f>
        <v>false</v>
      </c>
      <c r="U98" s="1459"/>
      <c r="V98" s="1459"/>
      <c r="W98" s="1459"/>
      <c r="X98" s="1596"/>
      <c r="Y98" s="1459"/>
      <c r="Z98" s="1597"/>
      <c r="AA98" s="1459"/>
      <c r="AB98" s="714" t="s">
        <v>2786</v>
      </c>
      <c r="AC98" s="549" t="s">
        <v>2000</v>
      </c>
      <c r="AD98" s="548" t="s">
        <v>1514</v>
      </c>
      <c r="AE98" s="8349"/>
      <c r="AF98" s="1442"/>
      <c r="AG98" s="1442"/>
      <c r="AH98" s="1064" t="s">
        <v>2788</v>
      </c>
      <c r="AI98" s="1811"/>
      <c r="AJ98" s="1811"/>
      <c r="AK98" s="1444"/>
      <c r="AL98" s="1444"/>
      <c r="AM98" s="8337"/>
      <c r="AN98" s="8337"/>
      <c r="AO98" s="8337"/>
      <c r="AP98" s="8337"/>
    </row>
    <row s="1806" customFormat="1" customHeight="1" ht="14.625" hidden="1">
      <c r="A99" s="667"/>
      <c r="B99" s="488"/>
      <c r="C99" s="488"/>
      <c r="D99" s="488"/>
      <c r="E99" s="649">
        <v>15</v>
      </c>
      <c r="F99" s="523" cm="1" t="str">
        <f t="array" ref="F99:F99">OFFSET(E99,-1,1)</f>
        <v>0</v>
      </c>
      <c r="G99" s="488"/>
      <c r="H99" s="488"/>
      <c r="I99" s="488"/>
      <c r="J99" s="488"/>
      <c r="K99" s="488"/>
      <c r="L99" s="488"/>
      <c r="M99" s="488"/>
      <c r="N99" s="488"/>
      <c r="O99" s="488"/>
      <c r="P99" s="488"/>
      <c r="Q99" s="488"/>
      <c r="R99" s="488"/>
      <c r="S99" s="488"/>
      <c r="T99" s="465" cm="1" t="str">
        <f t="array" ref="T99:T99">T98</f>
        <v>false</v>
      </c>
      <c r="U99" s="488"/>
      <c r="V99" s="488"/>
      <c r="W99" s="488"/>
      <c r="X99" s="1596"/>
      <c r="Y99" s="488"/>
      <c r="Z99" s="1597"/>
      <c r="AA99" s="488"/>
      <c r="AB99" s="1270" t="s">
        <v>2790</v>
      </c>
      <c r="AC99" s="1273" t="s">
        <v>3101</v>
      </c>
      <c r="AD99" s="1272" t="s">
        <v>1514</v>
      </c>
      <c r="AE99" s="8378"/>
      <c r="AF99" s="1108"/>
      <c r="AG99" s="1108"/>
      <c r="AH99" s="1064" t="s">
        <v>2017</v>
      </c>
      <c r="AI99" s="1058"/>
      <c r="AJ99" s="1058"/>
      <c r="AK99" s="965"/>
      <c r="AL99" s="965"/>
      <c r="AM99" s="1806"/>
      <c r="AN99" s="1806"/>
      <c r="AO99" s="1806"/>
      <c r="AP99" s="1806"/>
    </row>
    <row s="1806" customFormat="1" customHeight="1" ht="14.625" hidden="1">
      <c r="A100" s="667"/>
      <c r="B100" s="488"/>
      <c r="C100" s="488"/>
      <c r="D100" s="488"/>
      <c r="E100" s="649">
        <v>15</v>
      </c>
      <c r="F100" s="523" cm="1" t="str">
        <f t="array" ref="F100:F100">OFFSET(E100,-1,1)</f>
        <v>0</v>
      </c>
      <c r="G100" s="488"/>
      <c r="H100" s="488"/>
      <c r="I100" s="488"/>
      <c r="J100" s="488"/>
      <c r="K100" s="488"/>
      <c r="L100" s="488"/>
      <c r="M100" s="488"/>
      <c r="N100" s="488"/>
      <c r="O100" s="488"/>
      <c r="P100" s="488"/>
      <c r="Q100" s="488"/>
      <c r="R100" s="488"/>
      <c r="S100" s="488"/>
      <c r="T100" s="465" cm="1" t="str">
        <f t="array" ref="T100:T100">T99</f>
        <v>false</v>
      </c>
      <c r="U100" s="488"/>
      <c r="V100" s="488"/>
      <c r="W100" s="488"/>
      <c r="X100" s="1596"/>
      <c r="Y100" s="488"/>
      <c r="Z100" s="1597"/>
      <c r="AA100" s="488"/>
      <c r="AB100" s="1270" t="s">
        <v>2794</v>
      </c>
      <c r="AC100" s="1273" t="s">
        <v>2018</v>
      </c>
      <c r="AD100" s="1272" t="s">
        <v>1514</v>
      </c>
      <c r="AE100" s="8378"/>
      <c r="AF100" s="1108"/>
      <c r="AG100" s="1108"/>
      <c r="AH100" s="1064" t="s">
        <v>3102</v>
      </c>
      <c r="AI100" s="1058"/>
      <c r="AJ100" s="1058"/>
      <c r="AK100" s="965"/>
      <c r="AL100" s="965"/>
      <c r="AM100" s="1806"/>
      <c r="AN100" s="1806"/>
      <c r="AO100" s="1806"/>
      <c r="AP100" s="1806"/>
    </row>
    <row customHeight="1" ht="14.625" hidden="1">
      <c r="A101" s="667"/>
      <c r="B101" s="1459"/>
      <c r="C101" s="1459"/>
      <c r="D101" s="1459"/>
      <c r="E101" s="649">
        <v>15</v>
      </c>
      <c r="F101" s="50" cm="1" t="str">
        <f t="array" ref="F101:F101">OFFSET(E101,-1,1)</f>
        <v>0</v>
      </c>
      <c r="G101" s="1459"/>
      <c r="H101" s="488" t="s">
        <v>3103</v>
      </c>
      <c r="I101" s="1459"/>
      <c r="J101" s="1459"/>
      <c r="K101" s="1459"/>
      <c r="L101" s="1459"/>
      <c r="M101" s="1459"/>
      <c r="N101" s="1459"/>
      <c r="O101" s="1459"/>
      <c r="P101" s="1459"/>
      <c r="Q101" s="1459"/>
      <c r="R101" s="1459"/>
      <c r="S101" s="1459"/>
      <c r="T101" s="465" cm="1" t="str">
        <f t="array" ref="T101:T101">T98</f>
        <v>false</v>
      </c>
      <c r="U101" s="1459"/>
      <c r="V101" s="1459"/>
      <c r="W101" s="1459"/>
      <c r="X101" s="1596"/>
      <c r="Y101" s="1459"/>
      <c r="Z101" s="1597"/>
      <c r="AA101" s="1459"/>
      <c r="AB101" s="714" t="s">
        <v>2796</v>
      </c>
      <c r="AC101" s="549" t="s">
        <v>2020</v>
      </c>
      <c r="AD101" s="548" t="s">
        <v>1514</v>
      </c>
      <c r="AE101" s="8349"/>
      <c r="AF101" s="1442"/>
      <c r="AG101" s="1442"/>
      <c r="AH101" s="1064" t="s">
        <v>2802</v>
      </c>
      <c r="AI101" s="1811"/>
      <c r="AJ101" s="1811"/>
      <c r="AK101" s="1444"/>
      <c r="AL101" s="1444"/>
      <c r="AM101" s="8337"/>
      <c r="AN101" s="8337"/>
      <c r="AO101" s="8337"/>
      <c r="AP101" s="8337"/>
    </row>
    <row customHeight="1" ht="14.625" hidden="1">
      <c r="A102" s="667"/>
      <c r="B102" s="1459"/>
      <c r="C102" s="1459"/>
      <c r="D102" s="1459"/>
      <c r="E102" s="649">
        <v>15</v>
      </c>
      <c r="F102" s="50" cm="1" t="str">
        <f t="array" ref="F102:F102">OFFSET(E102,-1,1)</f>
        <v>0</v>
      </c>
      <c r="G102" s="1459"/>
      <c r="H102" s="488" t="s">
        <v>1648</v>
      </c>
      <c r="I102" s="1459"/>
      <c r="J102" s="1459"/>
      <c r="K102" s="1459"/>
      <c r="L102" s="1459"/>
      <c r="M102" s="1459"/>
      <c r="N102" s="1459"/>
      <c r="O102" s="1459"/>
      <c r="P102" s="1459"/>
      <c r="Q102" s="1459"/>
      <c r="R102" s="1459"/>
      <c r="S102" s="1459"/>
      <c r="T102" s="465" cm="1" t="str">
        <f t="array" ref="T102:T102">T101</f>
        <v>false</v>
      </c>
      <c r="U102" s="1459"/>
      <c r="V102" s="1459"/>
      <c r="W102" s="1459"/>
      <c r="X102" s="1596"/>
      <c r="Y102" s="1459"/>
      <c r="Z102" s="1597"/>
      <c r="AA102" s="1459"/>
      <c r="AB102" s="714" t="s">
        <v>1651</v>
      </c>
      <c r="AC102" s="549" t="s">
        <v>1750</v>
      </c>
      <c r="AD102" s="548" t="s">
        <v>1514</v>
      </c>
      <c r="AE102" s="8349"/>
      <c r="AF102" s="1442"/>
      <c r="AG102" s="1442"/>
      <c r="AH102" s="1064" t="s">
        <v>1946</v>
      </c>
      <c r="AI102" s="1811"/>
      <c r="AJ102" s="1811"/>
      <c r="AK102" s="1444"/>
      <c r="AL102" s="1444"/>
      <c r="AM102" s="8337"/>
      <c r="AN102" s="8337"/>
      <c r="AO102" s="8337"/>
      <c r="AP102" s="8337"/>
    </row>
    <row customHeight="1" ht="14.625" hidden="1">
      <c r="A103" s="667"/>
      <c r="B103" s="1459"/>
      <c r="C103" s="1459"/>
      <c r="D103" s="1459"/>
      <c r="E103" s="649">
        <v>15</v>
      </c>
      <c r="F103" s="50" cm="1" t="str">
        <f t="array" ref="F103:F103">OFFSET(E103,-1,1)</f>
        <v>0</v>
      </c>
      <c r="G103" s="1459"/>
      <c r="H103" s="488" t="s">
        <v>2805</v>
      </c>
      <c r="I103" s="1459"/>
      <c r="J103" s="1459"/>
      <c r="K103" s="1459"/>
      <c r="L103" s="1459"/>
      <c r="M103" s="1459"/>
      <c r="N103" s="1459"/>
      <c r="O103" s="1459"/>
      <c r="P103" s="1459"/>
      <c r="Q103" s="1459"/>
      <c r="R103" s="1459"/>
      <c r="S103" s="1459"/>
      <c r="T103" s="465" cm="1" t="str">
        <f t="array" ref="T103:T103">T102</f>
        <v>false</v>
      </c>
      <c r="U103" s="1459"/>
      <c r="V103" s="1459"/>
      <c r="W103" s="1459"/>
      <c r="X103" s="1596"/>
      <c r="Y103" s="1459"/>
      <c r="Z103" s="1597"/>
      <c r="AA103" s="1459"/>
      <c r="AB103" s="714" t="s">
        <v>1654</v>
      </c>
      <c r="AC103" s="547" t="s">
        <v>2197</v>
      </c>
      <c r="AD103" s="548" t="s">
        <v>1514</v>
      </c>
      <c r="AE103" s="8349"/>
      <c r="AF103" s="1442"/>
      <c r="AG103" s="1442"/>
      <c r="AH103" s="1071" t="s">
        <v>2551</v>
      </c>
      <c r="AI103" s="1811"/>
      <c r="AJ103" s="1811"/>
      <c r="AK103" s="1444"/>
      <c r="AL103" s="1444"/>
      <c r="AM103" s="8337"/>
      <c r="AN103" s="8337"/>
      <c r="AO103" s="8337"/>
      <c r="AP103" s="8337"/>
    </row>
    <row customHeight="1" ht="14.625" hidden="1">
      <c r="A104" s="667"/>
      <c r="B104" s="1459"/>
      <c r="C104" s="1459"/>
      <c r="D104" s="1459"/>
      <c r="E104" s="649">
        <v>15</v>
      </c>
      <c r="F104" s="50" cm="1" t="str">
        <f t="array" ref="F104:F104">OFFSET(E104,-1,1)</f>
        <v>0</v>
      </c>
      <c r="G104" s="1459"/>
      <c r="H104" s="488" t="s">
        <v>2813</v>
      </c>
      <c r="I104" s="1459"/>
      <c r="J104" s="1459"/>
      <c r="K104" s="1459"/>
      <c r="L104" s="1459"/>
      <c r="M104" s="1459"/>
      <c r="N104" s="1459"/>
      <c r="O104" s="1459"/>
      <c r="P104" s="1459"/>
      <c r="Q104" s="1459"/>
      <c r="R104" s="1459"/>
      <c r="S104" s="1459"/>
      <c r="T104" s="465" cm="1" t="str">
        <f t="array" ref="T104:T104">T103</f>
        <v>false</v>
      </c>
      <c r="U104" s="1459"/>
      <c r="V104" s="1459"/>
      <c r="W104" s="1459"/>
      <c r="X104" s="1596"/>
      <c r="Y104" s="1459"/>
      <c r="Z104" s="1597"/>
      <c r="AA104" s="1459"/>
      <c r="AB104" s="714" t="s">
        <v>2245</v>
      </c>
      <c r="AC104" s="547" t="s">
        <v>2207</v>
      </c>
      <c r="AD104" s="548" t="s">
        <v>1514</v>
      </c>
      <c r="AE104" s="557">
        <f>AE105+AE106</f>
        <v>0</v>
      </c>
      <c r="AF104" s="1442"/>
      <c r="AG104" s="1442"/>
      <c r="AH104" s="1064" t="s">
        <v>2818</v>
      </c>
      <c r="AI104" s="1811"/>
      <c r="AJ104" s="1811"/>
      <c r="AK104" s="1444"/>
      <c r="AL104" s="1444"/>
      <c r="AM104" s="8337"/>
      <c r="AN104" s="8337"/>
      <c r="AO104" s="8337"/>
      <c r="AP104" s="8337"/>
    </row>
    <row customHeight="1" ht="14.625" hidden="1">
      <c r="A105" s="667"/>
      <c r="B105" s="1459"/>
      <c r="C105" s="1459"/>
      <c r="D105" s="1459"/>
      <c r="E105" s="649">
        <v>15</v>
      </c>
      <c r="F105" s="50" cm="1" t="str">
        <f t="array" ref="F105:F105">OFFSET(E105,-1,1)</f>
        <v>0</v>
      </c>
      <c r="G105" s="1459"/>
      <c r="H105" s="488" t="s">
        <v>3104</v>
      </c>
      <c r="I105" s="1459"/>
      <c r="J105" s="1459"/>
      <c r="K105" s="1459"/>
      <c r="L105" s="1459"/>
      <c r="M105" s="1459"/>
      <c r="N105" s="1459"/>
      <c r="O105" s="1459"/>
      <c r="P105" s="1459"/>
      <c r="Q105" s="1459"/>
      <c r="R105" s="1459"/>
      <c r="S105" s="1459"/>
      <c r="T105" s="465" cm="1" t="str">
        <f t="array" ref="T105:T105">T104</f>
        <v>false</v>
      </c>
      <c r="U105" s="1459"/>
      <c r="V105" s="1459"/>
      <c r="W105" s="1459"/>
      <c r="X105" s="1596"/>
      <c r="Y105" s="1459"/>
      <c r="Z105" s="1597"/>
      <c r="AA105" s="1459"/>
      <c r="AB105" s="714" t="s">
        <v>2809</v>
      </c>
      <c r="AC105" s="549" t="s">
        <v>3105</v>
      </c>
      <c r="AD105" s="548" t="s">
        <v>1514</v>
      </c>
      <c r="AE105" s="8349"/>
      <c r="AF105" s="1442"/>
      <c r="AG105" s="1442"/>
      <c r="AH105" s="1064" t="s">
        <v>1991</v>
      </c>
      <c r="AI105" s="1811"/>
      <c r="AJ105" s="1811"/>
      <c r="AK105" s="1444"/>
      <c r="AL105" s="1444"/>
      <c r="AM105" s="8337"/>
      <c r="AN105" s="8337"/>
      <c r="AO105" s="8337"/>
      <c r="AP105" s="8337"/>
    </row>
    <row customHeight="1" ht="21.9375" hidden="1">
      <c r="A106" s="667"/>
      <c r="B106" s="1459"/>
      <c r="C106" s="1459"/>
      <c r="D106" s="1459"/>
      <c r="E106" s="649">
        <v>22.5</v>
      </c>
      <c r="F106" s="50" cm="1" t="str">
        <f t="array" ref="F106:F106">OFFSET(E106,-1,1)</f>
        <v>0</v>
      </c>
      <c r="G106" s="1459"/>
      <c r="H106" s="488" t="s">
        <v>3106</v>
      </c>
      <c r="I106" s="1459"/>
      <c r="J106" s="1459"/>
      <c r="K106" s="1459"/>
      <c r="L106" s="1459"/>
      <c r="M106" s="1459"/>
      <c r="N106" s="1459"/>
      <c r="O106" s="1459"/>
      <c r="P106" s="1459"/>
      <c r="Q106" s="1459"/>
      <c r="R106" s="1459"/>
      <c r="S106" s="1459"/>
      <c r="T106" s="465" cm="1" t="str">
        <f t="array" ref="T106:T106">T105</f>
        <v>false</v>
      </c>
      <c r="U106" s="1459"/>
      <c r="V106" s="1459"/>
      <c r="W106" s="1459"/>
      <c r="X106" s="1596"/>
      <c r="Y106" s="1459"/>
      <c r="Z106" s="1597"/>
      <c r="AA106" s="1459"/>
      <c r="AB106" s="714" t="s">
        <v>3107</v>
      </c>
      <c r="AC106" s="549" t="s">
        <v>3108</v>
      </c>
      <c r="AD106" s="548" t="s">
        <v>1514</v>
      </c>
      <c r="AE106" s="8349"/>
      <c r="AF106" s="1442"/>
      <c r="AG106" s="1442"/>
      <c r="AH106" s="1064" t="s">
        <v>2825</v>
      </c>
      <c r="AI106" s="1811"/>
      <c r="AJ106" s="1811"/>
      <c r="AK106" s="1444"/>
      <c r="AL106" s="1444"/>
      <c r="AM106" s="8337"/>
      <c r="AN106" s="8337"/>
      <c r="AO106" s="8337"/>
      <c r="AP106" s="8337"/>
    </row>
    <row customHeight="1" ht="76.78125" hidden="1">
      <c r="A107" s="667"/>
      <c r="B107" s="1459"/>
      <c r="C107" s="1459"/>
      <c r="D107" s="1459"/>
      <c r="E107" s="649">
        <v>78.75</v>
      </c>
      <c r="F107" s="50" cm="1" t="str">
        <f t="array" ref="F107:F107">OFFSET(E107,-1,1)</f>
        <v>0</v>
      </c>
      <c r="G107" s="1459"/>
      <c r="H107" s="488" t="s">
        <v>2817</v>
      </c>
      <c r="I107" s="1459"/>
      <c r="J107" s="1459"/>
      <c r="K107" s="1459"/>
      <c r="L107" s="1459"/>
      <c r="M107" s="1459"/>
      <c r="N107" s="1459"/>
      <c r="O107" s="1459"/>
      <c r="P107" s="1459"/>
      <c r="Q107" s="1459"/>
      <c r="R107" s="1459"/>
      <c r="S107" s="1459"/>
      <c r="T107" s="465" cm="1" t="str">
        <f t="array" ref="T107:T107">T106</f>
        <v>false</v>
      </c>
      <c r="U107" s="1459"/>
      <c r="V107" s="1459"/>
      <c r="W107" s="1459"/>
      <c r="X107" s="1596"/>
      <c r="Y107" s="1459"/>
      <c r="Z107" s="1597"/>
      <c r="AA107" s="1459"/>
      <c r="AB107" s="714" t="s">
        <v>2250</v>
      </c>
      <c r="AC107" s="1283" t="s">
        <v>2181</v>
      </c>
      <c r="AD107" s="548" t="s">
        <v>1514</v>
      </c>
      <c r="AE107" s="8349"/>
      <c r="AF107" s="1442"/>
      <c r="AG107" s="1442"/>
      <c r="AH107" s="1064" t="s">
        <v>2803</v>
      </c>
      <c r="AI107" s="1811"/>
      <c r="AJ107" s="1811"/>
      <c r="AK107" s="1444"/>
      <c r="AL107" s="1444"/>
      <c r="AM107" s="8337"/>
      <c r="AN107" s="8337"/>
      <c r="AO107" s="8337"/>
      <c r="AP107" s="8337"/>
    </row>
    <row s="1806" customFormat="1" customHeight="1" ht="14.625" hidden="1">
      <c r="A108" s="667"/>
      <c r="B108" s="488"/>
      <c r="C108" s="488"/>
      <c r="D108" s="488"/>
      <c r="E108" s="649">
        <v>15</v>
      </c>
      <c r="F108" s="523" cm="1" t="str">
        <f t="array" ref="F108:F108">OFFSET(E108,-1,1)</f>
        <v>0</v>
      </c>
      <c r="G108" s="488"/>
      <c r="H108" s="488"/>
      <c r="I108" s="488"/>
      <c r="J108" s="488"/>
      <c r="K108" s="488"/>
      <c r="L108" s="488"/>
      <c r="M108" s="488"/>
      <c r="N108" s="488"/>
      <c r="O108" s="488"/>
      <c r="P108" s="488"/>
      <c r="Q108" s="488"/>
      <c r="R108" s="488"/>
      <c r="S108" s="488"/>
      <c r="T108" s="465" cm="1" t="str">
        <f t="array" ref="T108:T108">T107</f>
        <v>false</v>
      </c>
      <c r="U108" s="488"/>
      <c r="V108" s="488"/>
      <c r="W108" s="488"/>
      <c r="X108" s="1596"/>
      <c r="Y108" s="488"/>
      <c r="Z108" s="1597"/>
      <c r="AA108" s="488"/>
      <c r="AB108" s="1270" t="s">
        <v>2814</v>
      </c>
      <c r="AC108" s="1283" t="s">
        <v>1730</v>
      </c>
      <c r="AD108" s="1272" t="s">
        <v>1514</v>
      </c>
      <c r="AE108" s="8378"/>
      <c r="AF108" s="1108"/>
      <c r="AG108" s="1108"/>
      <c r="AH108" s="1064" t="s">
        <v>1732</v>
      </c>
      <c r="AI108" s="1058"/>
      <c r="AJ108" s="1058"/>
      <c r="AK108" s="965"/>
      <c r="AL108" s="965"/>
      <c r="AM108" s="1806"/>
      <c r="AN108" s="1806"/>
      <c r="AO108" s="1806"/>
      <c r="AP108" s="1806"/>
    </row>
    <row s="1806" customFormat="1" customHeight="1" ht="14.625" hidden="1">
      <c r="A109" s="667"/>
      <c r="B109" s="488"/>
      <c r="C109" s="488"/>
      <c r="D109" s="488"/>
      <c r="E109" s="649">
        <v>15</v>
      </c>
      <c r="F109" s="523" cm="1" t="str">
        <f t="array" ref="F109:F109">OFFSET(E109,-1,1)</f>
        <v>0</v>
      </c>
      <c r="G109" s="488"/>
      <c r="H109" s="488"/>
      <c r="I109" s="488"/>
      <c r="J109" s="488"/>
      <c r="K109" s="488"/>
      <c r="L109" s="488"/>
      <c r="M109" s="488"/>
      <c r="N109" s="488"/>
      <c r="O109" s="488"/>
      <c r="P109" s="488"/>
      <c r="Q109" s="488"/>
      <c r="R109" s="488"/>
      <c r="S109" s="488"/>
      <c r="T109" s="465" cm="1" t="str">
        <f t="array" ref="T109:T109">T108</f>
        <v>false</v>
      </c>
      <c r="U109" s="488"/>
      <c r="V109" s="488"/>
      <c r="W109" s="488"/>
      <c r="X109" s="1596"/>
      <c r="Y109" s="488"/>
      <c r="Z109" s="1597"/>
      <c r="AA109" s="488"/>
      <c r="AB109" s="1270" t="s">
        <v>2269</v>
      </c>
      <c r="AC109" s="1283" t="s">
        <v>2192</v>
      </c>
      <c r="AD109" s="1272" t="s">
        <v>1514</v>
      </c>
      <c r="AE109" s="8378"/>
      <c r="AF109" s="1108"/>
      <c r="AG109" s="1108"/>
      <c r="AH109" s="1064" t="s">
        <v>3109</v>
      </c>
      <c r="AI109" s="1058"/>
      <c r="AJ109" s="1058"/>
      <c r="AK109" s="965"/>
      <c r="AL109" s="965"/>
      <c r="AM109" s="1806"/>
      <c r="AN109" s="1806"/>
      <c r="AO109" s="1806"/>
      <c r="AP109" s="1806"/>
    </row>
    <row customHeight="1" ht="14.625" hidden="1">
      <c r="A110" s="667"/>
      <c r="B110" s="1459"/>
      <c r="C110" s="1459"/>
      <c r="D110" s="1459"/>
      <c r="E110" s="649">
        <v>15</v>
      </c>
      <c r="F110" s="50" cm="1" t="str">
        <f t="array" ref="F110:F110">OFFSET(E110,-1,1)</f>
        <v>0</v>
      </c>
      <c r="G110" s="1459"/>
      <c r="H110" s="488" t="s">
        <v>3110</v>
      </c>
      <c r="I110" s="1459"/>
      <c r="J110" s="1459"/>
      <c r="K110" s="1459"/>
      <c r="L110" s="1459"/>
      <c r="M110" s="1459"/>
      <c r="N110" s="1459"/>
      <c r="O110" s="1459"/>
      <c r="P110" s="1459"/>
      <c r="Q110" s="1459"/>
      <c r="R110" s="1459"/>
      <c r="S110" s="1459"/>
      <c r="T110" s="465" cm="1" t="str">
        <f t="array" ref="T110:T110">T107</f>
        <v>false</v>
      </c>
      <c r="U110" s="1459"/>
      <c r="V110" s="1459"/>
      <c r="W110" s="1459"/>
      <c r="X110" s="1596"/>
      <c r="Y110" s="1459"/>
      <c r="Z110" s="1597"/>
      <c r="AA110" s="1459"/>
      <c r="AB110" s="714" t="s">
        <v>2273</v>
      </c>
      <c r="AC110" s="547" t="s">
        <v>3111</v>
      </c>
      <c r="AD110" s="548" t="s">
        <v>1514</v>
      </c>
      <c r="AE110" s="8349"/>
      <c r="AF110" s="1442"/>
      <c r="AG110" s="1442"/>
      <c r="AH110" s="1001" t="s">
        <v>3112</v>
      </c>
      <c r="AI110" s="1811"/>
      <c r="AJ110" s="1811"/>
      <c r="AK110" s="1444"/>
      <c r="AL110" s="1444"/>
      <c r="AM110" s="8337"/>
      <c r="AN110" s="8337"/>
      <c r="AO110" s="8337"/>
      <c r="AP110" s="8337"/>
    </row>
    <row s="1806" customFormat="1" customHeight="1" ht="32.175" hidden="1">
      <c r="A111" s="667"/>
      <c r="B111" s="488"/>
      <c r="C111" s="488"/>
      <c r="D111" s="488"/>
      <c r="E111" s="649">
        <v>33</v>
      </c>
      <c r="F111" s="523" cm="1" t="str">
        <f t="array" ref="F111:F111">OFFSET(E111,-1,1)</f>
        <v>0</v>
      </c>
      <c r="G111" s="488"/>
      <c r="H111" s="488"/>
      <c r="I111" s="488"/>
      <c r="J111" s="488"/>
      <c r="K111" s="488"/>
      <c r="L111" s="488"/>
      <c r="M111" s="488"/>
      <c r="N111" s="488"/>
      <c r="O111" s="488"/>
      <c r="P111" s="488"/>
      <c r="Q111" s="488"/>
      <c r="R111" s="488"/>
      <c r="S111" s="488"/>
      <c r="T111" s="465" cm="1" t="str">
        <f t="array" ref="T111:T111">T110</f>
        <v>false</v>
      </c>
      <c r="U111" s="488"/>
      <c r="V111" s="488"/>
      <c r="W111" s="488"/>
      <c r="X111" s="1596"/>
      <c r="Y111" s="488"/>
      <c r="Z111" s="1597"/>
      <c r="AA111" s="488"/>
      <c r="AB111" s="1270" t="s">
        <v>2276</v>
      </c>
      <c r="AC111" s="1271" t="s">
        <v>2827</v>
      </c>
      <c r="AD111" s="1272" t="s">
        <v>1514</v>
      </c>
      <c r="AE111" s="8378"/>
      <c r="AF111" s="1108"/>
      <c r="AG111" s="1108"/>
      <c r="AH111" s="1058" t="s">
        <v>3113</v>
      </c>
      <c r="AI111" s="1058"/>
      <c r="AJ111" s="1058"/>
      <c r="AK111" s="965"/>
      <c r="AL111" s="965"/>
      <c r="AM111" s="1806"/>
      <c r="AN111" s="1806"/>
      <c r="AO111" s="1806"/>
      <c r="AP111" s="1806"/>
    </row>
    <row customHeight="1" ht="14.625" hidden="1">
      <c r="A112" s="667"/>
      <c r="B112" s="1459"/>
      <c r="C112" s="1459"/>
      <c r="D112" s="1459"/>
      <c r="E112" s="649">
        <v>15</v>
      </c>
      <c r="F112" s="50" cm="1" t="str">
        <f t="array" ref="F112:F112">OFFSET(E112,-1,1)</f>
        <v>0</v>
      </c>
      <c r="G112" s="1459"/>
      <c r="H112" s="488" t="s">
        <v>3114</v>
      </c>
      <c r="I112" s="1459"/>
      <c r="J112" s="1459"/>
      <c r="K112" s="1459"/>
      <c r="L112" s="1459"/>
      <c r="M112" s="1459"/>
      <c r="N112" s="1459"/>
      <c r="O112" s="1459"/>
      <c r="P112" s="1459"/>
      <c r="Q112" s="1459"/>
      <c r="R112" s="1459"/>
      <c r="S112" s="1459"/>
      <c r="T112" s="465" cm="1" t="str">
        <f t="array" ref="T112:T112">T110</f>
        <v>false</v>
      </c>
      <c r="U112" s="1459"/>
      <c r="V112" s="1459"/>
      <c r="W112" s="1459"/>
      <c r="X112" s="1596"/>
      <c r="Y112" s="1459"/>
      <c r="Z112" s="1597"/>
      <c r="AA112" s="1459"/>
      <c r="AB112" s="714" t="s">
        <v>3115</v>
      </c>
      <c r="AC112" s="547" t="s">
        <v>3116</v>
      </c>
      <c r="AD112" s="548" t="s">
        <v>1514</v>
      </c>
      <c r="AE112" s="557">
        <f>SUM(AE113:AE114)</f>
        <v>0</v>
      </c>
      <c r="AF112" s="1442"/>
      <c r="AG112" s="1442"/>
      <c r="AH112" s="1001" t="s">
        <v>3117</v>
      </c>
      <c r="AI112" s="1811"/>
      <c r="AJ112" s="1811"/>
      <c r="AK112" s="1444"/>
      <c r="AL112" s="1444"/>
      <c r="AM112" s="8337"/>
      <c r="AN112" s="8337"/>
      <c r="AO112" s="8337"/>
      <c r="AP112" s="8337"/>
    </row>
    <row customHeight="1" ht="14.625" hidden="1">
      <c r="A113" s="667"/>
      <c r="B113" s="1459"/>
      <c r="C113" s="1459"/>
      <c r="D113" s="1459"/>
      <c r="E113" s="649">
        <v>15</v>
      </c>
      <c r="F113" s="50" cm="1" t="str">
        <f t="array" ref="F113:F113">OFFSET(E113,-1,1)</f>
        <v>0</v>
      </c>
      <c r="G113" s="1459"/>
      <c r="H113" s="488" t="s">
        <v>3114</v>
      </c>
      <c r="I113" s="563" cm="1" t="str">
        <f t="array" ref="I113:I113">AC113</f>
        <v>0</v>
      </c>
      <c r="J113" s="1459"/>
      <c r="K113" s="1459"/>
      <c r="L113" s="1459"/>
      <c r="M113" s="1459"/>
      <c r="N113" s="1459"/>
      <c r="O113" s="1459"/>
      <c r="P113" s="1459"/>
      <c r="Q113" s="1459"/>
      <c r="R113" s="1459"/>
      <c r="S113" s="1459"/>
      <c r="T113" s="465">
        <f>AND(F113&gt;0,Y113&gt;0)</f>
        <v>0</v>
      </c>
      <c r="U113" s="1459"/>
      <c r="V113" s="1459"/>
      <c r="W113" s="555" t="s">
        <v>174</v>
      </c>
      <c r="X113" s="1596"/>
      <c r="Y113" s="488">
        <v>0</v>
      </c>
      <c r="Z113" s="1597"/>
      <c r="AA113" s="662" t="s">
        <v>175</v>
      </c>
      <c r="AB113" s="714" t="str">
        <f>"2.12."&amp;Y113</f>
        <v>2.12.0</v>
      </c>
      <c r="AC113" s="8363"/>
      <c r="AD113" s="548" t="s">
        <v>1514</v>
      </c>
      <c r="AE113" s="8364"/>
      <c r="AF113" s="1442"/>
      <c r="AG113" s="1442"/>
      <c r="AH113" s="1001" t="s">
        <v>3117</v>
      </c>
      <c r="AI113" s="1001" t="s">
        <v>3118</v>
      </c>
      <c r="AJ113" s="1006" cm="1" t="str">
        <f t="array" ref="AJ113:AJ113">AC113</f>
        <v>0</v>
      </c>
      <c r="AK113" s="1444"/>
      <c r="AL113" s="656" t="b">
        <v>1</v>
      </c>
      <c r="AM113" s="8337"/>
      <c r="AN113" s="8337"/>
      <c r="AO113" s="8337"/>
      <c r="AP113" s="8337"/>
    </row>
    <row customHeight="1" ht="14.625" hidden="1">
      <c r="A114" s="667"/>
      <c r="B114" s="1459"/>
      <c r="C114" s="1459"/>
      <c r="D114" s="1459"/>
      <c r="E114" s="649">
        <v>15</v>
      </c>
      <c r="F114" s="50" cm="1" t="str">
        <f t="array" ref="F114:F114">OFFSET(E114,-1,1)</f>
        <v>0</v>
      </c>
      <c r="G114" s="1459"/>
      <c r="H114" s="1459"/>
      <c r="I114" s="158" t="str">
        <f>"!== 'не определено' &amp;&amp; row.l2_13 !== null"</f>
        <v>!== 'не определено' &amp;&amp; row.l2_13 !== null</v>
      </c>
      <c r="J114" s="1459"/>
      <c r="K114" s="1459"/>
      <c r="L114" s="1459"/>
      <c r="M114" s="1459"/>
      <c r="N114" s="1459"/>
      <c r="O114" s="1459"/>
      <c r="P114" s="1459"/>
      <c r="Q114" s="1459"/>
      <c r="R114" s="1459"/>
      <c r="S114" s="1459"/>
      <c r="T114" s="465">
        <f>F114&gt;0</f>
        <v>0</v>
      </c>
      <c r="U114" s="1459"/>
      <c r="V114" s="1459"/>
      <c r="W114" s="829" t="s">
        <v>1613</v>
      </c>
      <c r="X114" s="1596"/>
      <c r="Y114" s="1459"/>
      <c r="Z114" s="1597"/>
      <c r="AA114" s="1459"/>
      <c r="AB114" s="1279"/>
      <c r="AC114" s="1334" t="s">
        <v>178</v>
      </c>
      <c r="AD114" s="1281"/>
      <c r="AE114" s="1333"/>
      <c r="AF114" s="1442"/>
      <c r="AG114" s="1442"/>
      <c r="AH114" s="1811"/>
      <c r="AI114" s="1811"/>
      <c r="AJ114" s="1811"/>
      <c r="AK114" s="656" t="s">
        <v>3118</v>
      </c>
      <c r="AL114" s="1444"/>
      <c r="AM114" s="8337"/>
      <c r="AN114" s="8337"/>
      <c r="AO114" s="8337"/>
      <c r="AP114" s="8337"/>
    </row>
    <row customHeight="1" ht="14.625" hidden="1">
      <c r="A115" s="667"/>
      <c r="B115" s="1459"/>
      <c r="C115" s="1459"/>
      <c r="D115" s="1459"/>
      <c r="E115" s="649">
        <v>15</v>
      </c>
      <c r="F115" s="50" cm="1" t="str">
        <f t="array" ref="F115:F115">OFFSET(E115,-1,1)</f>
        <v>0</v>
      </c>
      <c r="G115" s="488" t="s">
        <v>50</v>
      </c>
      <c r="H115" s="488" t="s">
        <v>334</v>
      </c>
      <c r="I115" s="1459"/>
      <c r="J115" s="1459"/>
      <c r="K115" s="1459"/>
      <c r="L115" s="1459"/>
      <c r="M115" s="1459"/>
      <c r="N115" s="1459"/>
      <c r="O115" s="1459"/>
      <c r="P115" s="1459"/>
      <c r="Q115" s="1459"/>
      <c r="R115" s="1459"/>
      <c r="S115" s="1459"/>
      <c r="T115" s="465" cm="1" t="str">
        <f t="array" ref="T115:T115">T114</f>
        <v>false</v>
      </c>
      <c r="U115" s="1459"/>
      <c r="V115" s="1459"/>
      <c r="W115" s="1459"/>
      <c r="X115" s="1596"/>
      <c r="Y115" s="1459"/>
      <c r="Z115" s="1597"/>
      <c r="AA115" s="1459"/>
      <c r="AB115" s="713" t="s">
        <v>289</v>
      </c>
      <c r="AC115" s="545" t="s">
        <v>2830</v>
      </c>
      <c r="AD115" s="546" t="s">
        <v>1514</v>
      </c>
      <c r="AE115" s="8381"/>
      <c r="AF115" s="1442"/>
      <c r="AG115" s="1442"/>
      <c r="AH115" s="1001" t="s">
        <v>2446</v>
      </c>
      <c r="AI115" s="1811"/>
      <c r="AJ115" s="1811"/>
      <c r="AK115" s="1444"/>
      <c r="AL115" s="1444"/>
      <c r="AM115" s="8337"/>
      <c r="AN115" s="8337"/>
      <c r="AO115" s="8337"/>
      <c r="AP115" s="8337"/>
    </row>
    <row s="1834" customFormat="1" customHeight="1" ht="14.25">
      <c r="A116" s="667"/>
      <c r="B116" s="1459"/>
      <c r="C116" s="1459"/>
      <c r="D116" s="1459"/>
      <c r="E116" s="649">
        <v>15</v>
      </c>
      <c r="F116" s="836" cm="1" t="str">
        <f t="array" ref="F116:F116">X116</f>
        <v>1</v>
      </c>
      <c r="G116" s="488" t="s">
        <v>1507</v>
      </c>
      <c r="H116" s="1459"/>
      <c r="I116" s="1459"/>
      <c r="J116" s="1459"/>
      <c r="K116" s="1459"/>
      <c r="L116" s="1459"/>
      <c r="M116" s="1459"/>
      <c r="N116" s="1459"/>
      <c r="O116" s="1459"/>
      <c r="P116" s="1459"/>
      <c r="Q116" s="1459"/>
      <c r="R116" s="1459"/>
      <c r="S116" s="1459"/>
      <c r="T116" s="465">
        <f>X116&gt;0</f>
        <v>1</v>
      </c>
      <c r="U116" s="1459"/>
      <c r="V116" s="488" cm="1" t="str">
        <f t="array" ref="V116:V116">'ДПР (концессии)'!$AB$81</f>
        <v>Тариф 1 (Водоснабжение) - тариф на питьевую воду (Доп. признак не требуется)</v>
      </c>
      <c r="W116" s="1459"/>
      <c r="X116" s="1596" t="s">
        <v>276</v>
      </c>
      <c r="Y116" s="1459"/>
      <c r="Z116" s="1597"/>
      <c r="AA116" s="1459"/>
      <c r="AB116" s="222" cm="1" t="str">
        <f t="array" ref="AB116:AB116">'ДПР (концессии)'!$AB$81</f>
        <v>Тариф 1 (Водоснабжение) - тариф на питьевую воду (Доп. признак не требуется)</v>
      </c>
      <c r="AC116" s="180"/>
      <c r="AD116" s="174"/>
      <c r="AE116" s="1266">
        <f>AE117+AE167+AE204</f>
        <v>0</v>
      </c>
      <c r="AF116" s="1442"/>
      <c r="AG116" s="1442"/>
      <c r="AH116" s="1811"/>
      <c r="AI116" s="1811"/>
      <c r="AJ116" s="1811"/>
      <c r="AK116" s="1444"/>
      <c r="AL116" s="1444"/>
      <c r="AM116" s="1834"/>
      <c r="AN116" s="1834"/>
      <c r="AO116" s="1834"/>
      <c r="AP116" s="1834"/>
    </row>
    <row s="1834" customFormat="1" customHeight="1" ht="14.25">
      <c r="A117" s="667"/>
      <c r="B117" s="1459"/>
      <c r="C117" s="1459"/>
      <c r="D117" s="1459"/>
      <c r="E117" s="649">
        <v>15</v>
      </c>
      <c r="F117" s="50" cm="1" t="str">
        <f t="array" ref="F117:F117">OFFSET(E117,-1,1)</f>
        <v>1</v>
      </c>
      <c r="G117" s="1459"/>
      <c r="H117" s="488" t="s">
        <v>332</v>
      </c>
      <c r="I117" s="1459"/>
      <c r="J117" s="1459"/>
      <c r="K117" s="1459"/>
      <c r="L117" s="1459"/>
      <c r="M117" s="1459"/>
      <c r="N117" s="1459"/>
      <c r="O117" s="1459"/>
      <c r="P117" s="1459"/>
      <c r="Q117" s="1459"/>
      <c r="R117" s="1459"/>
      <c r="S117" s="1459"/>
      <c r="T117" s="465" cm="1" t="str">
        <f t="array" ref="T117:T117">T116</f>
        <v>true</v>
      </c>
      <c r="U117" s="1459"/>
      <c r="V117" s="1459"/>
      <c r="W117" s="1459"/>
      <c r="X117" s="1596"/>
      <c r="Y117" s="1459"/>
      <c r="Z117" s="1597"/>
      <c r="AA117" s="1459"/>
      <c r="AB117" s="1267" t="s">
        <v>276</v>
      </c>
      <c r="AC117" s="1268" t="s">
        <v>2636</v>
      </c>
      <c r="AD117" s="1269" t="s">
        <v>1514</v>
      </c>
      <c r="AE117" s="1331">
        <f>AE118+AE136+AE144+AE164</f>
        <v>0</v>
      </c>
      <c r="AF117" s="1442"/>
      <c r="AG117" s="1442"/>
      <c r="AH117" s="1001" t="s">
        <v>1239</v>
      </c>
      <c r="AI117" s="1811"/>
      <c r="AJ117" s="1811"/>
      <c r="AK117" s="1444"/>
      <c r="AL117" s="1444"/>
      <c r="AM117" s="1834"/>
      <c r="AN117" s="1834"/>
      <c r="AO117" s="1834"/>
      <c r="AP117" s="1834"/>
    </row>
    <row s="1834" customFormat="1" customHeight="1" ht="14.25">
      <c r="A118" s="667"/>
      <c r="B118" s="1459"/>
      <c r="C118" s="1459"/>
      <c r="D118" s="1459"/>
      <c r="E118" s="649">
        <v>15</v>
      </c>
      <c r="F118" s="50" cm="1" t="str">
        <f t="array" ref="F118:F118">OFFSET(E118,-1,1)</f>
        <v>1</v>
      </c>
      <c r="G118" s="1459"/>
      <c r="H118" s="488" t="s">
        <v>1175</v>
      </c>
      <c r="I118" s="1459"/>
      <c r="J118" s="1459"/>
      <c r="K118" s="1459"/>
      <c r="L118" s="1459"/>
      <c r="M118" s="1459"/>
      <c r="N118" s="1459"/>
      <c r="O118" s="1459"/>
      <c r="P118" s="1459"/>
      <c r="Q118" s="1459"/>
      <c r="R118" s="1459"/>
      <c r="S118" s="1459"/>
      <c r="T118" s="465" cm="1" t="str">
        <f t="array" ref="T118:T118">T117</f>
        <v>true</v>
      </c>
      <c r="U118" s="1459"/>
      <c r="V118" s="1459"/>
      <c r="W118" s="1459"/>
      <c r="X118" s="1596"/>
      <c r="Y118" s="1459"/>
      <c r="Z118" s="1597"/>
      <c r="AA118" s="1459"/>
      <c r="AB118" s="1270" t="s">
        <v>1628</v>
      </c>
      <c r="AC118" s="1271" t="s">
        <v>2434</v>
      </c>
      <c r="AD118" s="1272" t="s">
        <v>1514</v>
      </c>
      <c r="AE118" s="557">
        <f>AE119+AE120+AE121+AE126+AE127+AE128</f>
        <v>0</v>
      </c>
      <c r="AF118" s="1442"/>
      <c r="AG118" s="1442"/>
      <c r="AH118" s="1001" t="s">
        <v>1868</v>
      </c>
      <c r="AI118" s="1811"/>
      <c r="AJ118" s="1811"/>
      <c r="AK118" s="1444"/>
      <c r="AL118" s="1444"/>
      <c r="AM118" s="1834"/>
      <c r="AN118" s="1834"/>
      <c r="AO118" s="1834"/>
      <c r="AP118" s="1834"/>
    </row>
    <row s="1834" customFormat="1" customHeight="1" ht="14.25">
      <c r="A119" s="667"/>
      <c r="B119" s="1459"/>
      <c r="C119" s="1459"/>
      <c r="D119" s="1459"/>
      <c r="E119" s="649">
        <v>15</v>
      </c>
      <c r="F119" s="50" cm="1" t="str">
        <f t="array" ref="F119:F119">OFFSET(E119,-1,1)</f>
        <v>1</v>
      </c>
      <c r="G119" s="1459"/>
      <c r="H119" s="488" t="s">
        <v>1735</v>
      </c>
      <c r="I119" s="1459"/>
      <c r="J119" s="1459"/>
      <c r="K119" s="1459"/>
      <c r="L119" s="1459"/>
      <c r="M119" s="1459"/>
      <c r="N119" s="1459"/>
      <c r="O119" s="1459"/>
      <c r="P119" s="1459"/>
      <c r="Q119" s="1459"/>
      <c r="R119" s="1459"/>
      <c r="S119" s="1459"/>
      <c r="T119" s="465" cm="1" t="str">
        <f t="array" ref="T119:T119">T118</f>
        <v>true</v>
      </c>
      <c r="U119" s="1459"/>
      <c r="V119" s="1459"/>
      <c r="W119" s="1459"/>
      <c r="X119" s="1596"/>
      <c r="Y119" s="1459"/>
      <c r="Z119" s="1597"/>
      <c r="AA119" s="1459"/>
      <c r="AB119" s="714" t="s">
        <v>1736</v>
      </c>
      <c r="AC119" s="1273" t="s">
        <v>2985</v>
      </c>
      <c r="AD119" s="548" t="s">
        <v>1514</v>
      </c>
      <c r="AE119" s="1332"/>
      <c r="AF119" s="1442"/>
      <c r="AG119" s="1442"/>
      <c r="AH119" s="1001" t="s">
        <v>1983</v>
      </c>
      <c r="AI119" s="1811"/>
      <c r="AJ119" s="1811"/>
      <c r="AK119" s="1444"/>
      <c r="AL119" s="1444"/>
      <c r="AM119" s="1834"/>
      <c r="AN119" s="1834"/>
      <c r="AO119" s="1834"/>
      <c r="AP119" s="1834"/>
    </row>
    <row s="1834" customFormat="1" customHeight="1" ht="21.75">
      <c r="A120" s="667"/>
      <c r="B120" s="1459"/>
      <c r="C120" s="1459"/>
      <c r="D120" s="1459"/>
      <c r="E120" s="649">
        <v>22.5</v>
      </c>
      <c r="F120" s="50" cm="1" t="str">
        <f t="array" ref="F120:F120">OFFSET(E120,-1,1)</f>
        <v>1</v>
      </c>
      <c r="G120" s="1459"/>
      <c r="H120" s="488" t="s">
        <v>1739</v>
      </c>
      <c r="I120" s="1459"/>
      <c r="J120" s="1459"/>
      <c r="K120" s="1459"/>
      <c r="L120" s="1459"/>
      <c r="M120" s="1459"/>
      <c r="N120" s="1459"/>
      <c r="O120" s="1459"/>
      <c r="P120" s="1459"/>
      <c r="Q120" s="1459"/>
      <c r="R120" s="1459"/>
      <c r="S120" s="1459"/>
      <c r="T120" s="465" cm="1" t="str">
        <f t="array" ref="T120:T120">T119</f>
        <v>true</v>
      </c>
      <c r="U120" s="1459"/>
      <c r="V120" s="1459"/>
      <c r="W120" s="1459"/>
      <c r="X120" s="1596"/>
      <c r="Y120" s="1459"/>
      <c r="Z120" s="1597"/>
      <c r="AA120" s="1459"/>
      <c r="AB120" s="714" t="s">
        <v>1740</v>
      </c>
      <c r="AC120" s="549" t="s">
        <v>2644</v>
      </c>
      <c r="AD120" s="548" t="s">
        <v>1514</v>
      </c>
      <c r="AE120" s="1332"/>
      <c r="AF120" s="1442"/>
      <c r="AG120" s="1442"/>
      <c r="AH120" s="1001" t="s">
        <v>2467</v>
      </c>
      <c r="AI120" s="1811"/>
      <c r="AJ120" s="1811"/>
      <c r="AK120" s="1444"/>
      <c r="AL120" s="1444"/>
      <c r="AM120" s="1834"/>
      <c r="AN120" s="1834"/>
      <c r="AO120" s="1834"/>
      <c r="AP120" s="1834"/>
    </row>
    <row s="1834" customFormat="1" customHeight="1" ht="32.25">
      <c r="A121" s="667"/>
      <c r="B121" s="1459"/>
      <c r="C121" s="1459"/>
      <c r="D121" s="1459"/>
      <c r="E121" s="649">
        <v>33.75</v>
      </c>
      <c r="F121" s="50" cm="1" t="str">
        <f t="array" ref="F121:F121">OFFSET(E121,-1,1)</f>
        <v>1</v>
      </c>
      <c r="G121" s="1459"/>
      <c r="H121" s="488" t="s">
        <v>2043</v>
      </c>
      <c r="I121" s="1459"/>
      <c r="J121" s="1459"/>
      <c r="K121" s="1459"/>
      <c r="L121" s="1459"/>
      <c r="M121" s="1459"/>
      <c r="N121" s="1459"/>
      <c r="O121" s="1459"/>
      <c r="P121" s="1459"/>
      <c r="Q121" s="1459"/>
      <c r="R121" s="1459"/>
      <c r="S121" s="1459"/>
      <c r="T121" s="465" cm="1" t="str">
        <f t="array" ref="T121:T121">T120</f>
        <v>true</v>
      </c>
      <c r="U121" s="1459"/>
      <c r="V121" s="1459"/>
      <c r="W121" s="1459"/>
      <c r="X121" s="1596"/>
      <c r="Y121" s="1459"/>
      <c r="Z121" s="1597"/>
      <c r="AA121" s="1459"/>
      <c r="AB121" s="714" t="s">
        <v>2044</v>
      </c>
      <c r="AC121" s="549" t="s">
        <v>2986</v>
      </c>
      <c r="AD121" s="548" t="s">
        <v>1514</v>
      </c>
      <c r="AE121" s="557">
        <f>AE122+AE125</f>
        <v>0</v>
      </c>
      <c r="AF121" s="1442"/>
      <c r="AG121" s="1442"/>
      <c r="AH121" s="1001" t="s">
        <v>2469</v>
      </c>
      <c r="AI121" s="1811"/>
      <c r="AJ121" s="1811"/>
      <c r="AK121" s="1444"/>
      <c r="AL121" s="1444"/>
      <c r="AM121" s="1834"/>
      <c r="AN121" s="1834"/>
      <c r="AO121" s="1834"/>
      <c r="AP121" s="1834"/>
    </row>
    <row s="1834" customFormat="1" customHeight="1" ht="21.75">
      <c r="A122" s="667"/>
      <c r="B122" s="1459"/>
      <c r="C122" s="1459"/>
      <c r="D122" s="1459"/>
      <c r="E122" s="649">
        <v>22.5</v>
      </c>
      <c r="F122" s="50" cm="1" t="str">
        <f t="array" ref="F122:F122">OFFSET(E122,-1,1)</f>
        <v>1</v>
      </c>
      <c r="G122" s="1459"/>
      <c r="H122" s="488" t="s">
        <v>2987</v>
      </c>
      <c r="I122" s="1459"/>
      <c r="J122" s="1459"/>
      <c r="K122" s="1459"/>
      <c r="L122" s="1459"/>
      <c r="M122" s="1459"/>
      <c r="N122" s="1459"/>
      <c r="O122" s="1459"/>
      <c r="P122" s="1459"/>
      <c r="Q122" s="1459"/>
      <c r="R122" s="1459"/>
      <c r="S122" s="1459"/>
      <c r="T122" s="465" cm="1" t="str">
        <f t="array" ref="T122:T122">T121</f>
        <v>true</v>
      </c>
      <c r="U122" s="1459"/>
      <c r="V122" s="1459"/>
      <c r="W122" s="1459"/>
      <c r="X122" s="1596"/>
      <c r="Y122" s="1459"/>
      <c r="Z122" s="1597"/>
      <c r="AA122" s="1459"/>
      <c r="AB122" s="714" t="s">
        <v>2988</v>
      </c>
      <c r="AC122" s="1274" t="s">
        <v>2989</v>
      </c>
      <c r="AD122" s="548" t="s">
        <v>1514</v>
      </c>
      <c r="AE122" s="1332"/>
      <c r="AF122" s="1442"/>
      <c r="AG122" s="1442"/>
      <c r="AH122" s="1001" t="s">
        <v>2471</v>
      </c>
      <c r="AI122" s="1811"/>
      <c r="AJ122" s="1811"/>
      <c r="AK122" s="1444"/>
      <c r="AL122" s="1444"/>
      <c r="AM122" s="1834"/>
      <c r="AN122" s="1834"/>
      <c r="AO122" s="1834"/>
      <c r="AP122" s="1834"/>
    </row>
    <row s="1834" customFormat="1" customHeight="1" ht="21.75">
      <c r="A123" s="667"/>
      <c r="B123" s="1459"/>
      <c r="C123" s="1459"/>
      <c r="D123" s="1459"/>
      <c r="E123" s="649">
        <v>22.5</v>
      </c>
      <c r="F123" s="50" cm="1" t="str">
        <f t="array" ref="F123:F123">OFFSET(E123,-1,1)</f>
        <v>1</v>
      </c>
      <c r="G123" s="1459"/>
      <c r="H123" s="488" t="s">
        <v>2990</v>
      </c>
      <c r="I123" s="1459"/>
      <c r="J123" s="1459"/>
      <c r="K123" s="1459"/>
      <c r="L123" s="1459"/>
      <c r="M123" s="1459"/>
      <c r="N123" s="1459"/>
      <c r="O123" s="1459"/>
      <c r="P123" s="1459"/>
      <c r="Q123" s="1459"/>
      <c r="R123" s="1459"/>
      <c r="S123" s="1459"/>
      <c r="T123" s="465" cm="1" t="str">
        <f t="array" ref="T123:T123">T122</f>
        <v>true</v>
      </c>
      <c r="U123" s="1459"/>
      <c r="V123" s="1459"/>
      <c r="W123" s="1459"/>
      <c r="X123" s="1596"/>
      <c r="Y123" s="1459"/>
      <c r="Z123" s="1597"/>
      <c r="AA123" s="1459"/>
      <c r="AB123" s="714" t="s">
        <v>2991</v>
      </c>
      <c r="AC123" s="1275" t="s">
        <v>2992</v>
      </c>
      <c r="AD123" s="548" t="s">
        <v>2993</v>
      </c>
      <c r="AE123" s="1332"/>
      <c r="AF123" s="1442"/>
      <c r="AG123" s="1442"/>
      <c r="AH123" s="1001" t="s">
        <v>2994</v>
      </c>
      <c r="AI123" s="1811"/>
      <c r="AJ123" s="1811"/>
      <c r="AK123" s="1444"/>
      <c r="AL123" s="1444"/>
      <c r="AM123" s="1834"/>
      <c r="AN123" s="1834"/>
      <c r="AO123" s="1834"/>
      <c r="AP123" s="1834"/>
    </row>
    <row s="1834" customFormat="1" customHeight="1" ht="21.75">
      <c r="A124" s="667"/>
      <c r="B124" s="1459"/>
      <c r="C124" s="1459"/>
      <c r="D124" s="1459"/>
      <c r="E124" s="649">
        <v>22.5</v>
      </c>
      <c r="F124" s="50" cm="1" t="str">
        <f t="array" ref="F124:F124">OFFSET(E124,-1,1)</f>
        <v>1</v>
      </c>
      <c r="G124" s="1459"/>
      <c r="H124" s="488" t="s">
        <v>2995</v>
      </c>
      <c r="I124" s="1459"/>
      <c r="J124" s="1459"/>
      <c r="K124" s="1459"/>
      <c r="L124" s="1459"/>
      <c r="M124" s="1459"/>
      <c r="N124" s="1459"/>
      <c r="O124" s="1459"/>
      <c r="P124" s="1459"/>
      <c r="Q124" s="1459"/>
      <c r="R124" s="1459"/>
      <c r="S124" s="1459"/>
      <c r="T124" s="465" cm="1" t="str">
        <f t="array" ref="T124:T124">T123</f>
        <v>true</v>
      </c>
      <c r="U124" s="1459"/>
      <c r="V124" s="1459"/>
      <c r="W124" s="1459"/>
      <c r="X124" s="1596"/>
      <c r="Y124" s="1459"/>
      <c r="Z124" s="1597"/>
      <c r="AA124" s="1459"/>
      <c r="AB124" s="714" t="s">
        <v>2996</v>
      </c>
      <c r="AC124" s="551" t="s">
        <v>2997</v>
      </c>
      <c r="AD124" s="548" t="s">
        <v>2998</v>
      </c>
      <c r="AE124" s="1332"/>
      <c r="AF124" s="1442"/>
      <c r="AG124" s="1442"/>
      <c r="AH124" s="1001" t="s">
        <v>2999</v>
      </c>
      <c r="AI124" s="1811"/>
      <c r="AJ124" s="1811"/>
      <c r="AK124" s="1444"/>
      <c r="AL124" s="1444"/>
      <c r="AM124" s="1834"/>
      <c r="AN124" s="1834"/>
      <c r="AO124" s="1834"/>
      <c r="AP124" s="1834"/>
    </row>
    <row s="1834" customFormat="1" customHeight="1" ht="21.75">
      <c r="A125" s="667"/>
      <c r="B125" s="1459"/>
      <c r="C125" s="1459"/>
      <c r="D125" s="1459"/>
      <c r="E125" s="649">
        <v>22.5</v>
      </c>
      <c r="F125" s="50" cm="1" t="str">
        <f t="array" ref="F125:F125">OFFSET(E125,-1,1)</f>
        <v>1</v>
      </c>
      <c r="G125" s="1459"/>
      <c r="H125" s="488" t="s">
        <v>3000</v>
      </c>
      <c r="I125" s="1459"/>
      <c r="J125" s="1459"/>
      <c r="K125" s="1459"/>
      <c r="L125" s="1459"/>
      <c r="M125" s="1459"/>
      <c r="N125" s="1459"/>
      <c r="O125" s="1459"/>
      <c r="P125" s="1459"/>
      <c r="Q125" s="1459"/>
      <c r="R125" s="1459"/>
      <c r="S125" s="1459"/>
      <c r="T125" s="465" cm="1" t="str">
        <f t="array" ref="T125:T125">T124</f>
        <v>true</v>
      </c>
      <c r="U125" s="1459"/>
      <c r="V125" s="1459"/>
      <c r="W125" s="1459"/>
      <c r="X125" s="1596"/>
      <c r="Y125" s="1459"/>
      <c r="Z125" s="1597"/>
      <c r="AA125" s="1459"/>
      <c r="AB125" s="714" t="s">
        <v>3001</v>
      </c>
      <c r="AC125" s="550" t="s">
        <v>3002</v>
      </c>
      <c r="AD125" s="548" t="s">
        <v>1514</v>
      </c>
      <c r="AE125" s="1332"/>
      <c r="AF125" s="1442"/>
      <c r="AG125" s="1442"/>
      <c r="AH125" s="1001" t="s">
        <v>2473</v>
      </c>
      <c r="AI125" s="1811"/>
      <c r="AJ125" s="1811"/>
      <c r="AK125" s="1444"/>
      <c r="AL125" s="1444"/>
      <c r="AM125" s="1834"/>
      <c r="AN125" s="1834"/>
      <c r="AO125" s="1834"/>
      <c r="AP125" s="1834"/>
    </row>
    <row s="1834" customFormat="1" customHeight="1" ht="14.25">
      <c r="A126" s="667"/>
      <c r="B126" s="1459"/>
      <c r="C126" s="1459"/>
      <c r="D126" s="1459"/>
      <c r="E126" s="649">
        <v>15</v>
      </c>
      <c r="F126" s="50" cm="1" t="str">
        <f t="array" ref="F126:F126">OFFSET(E126,-1,1)</f>
        <v>1</v>
      </c>
      <c r="G126" s="1459"/>
      <c r="H126" s="488" t="s">
        <v>2047</v>
      </c>
      <c r="I126" s="1459"/>
      <c r="J126" s="1459"/>
      <c r="K126" s="1459"/>
      <c r="L126" s="1459"/>
      <c r="M126" s="1459"/>
      <c r="N126" s="1459"/>
      <c r="O126" s="1459"/>
      <c r="P126" s="1459"/>
      <c r="Q126" s="1459"/>
      <c r="R126" s="1459"/>
      <c r="S126" s="1459"/>
      <c r="T126" s="465" cm="1" t="str">
        <f t="array" ref="T126:T126">T125</f>
        <v>true</v>
      </c>
      <c r="U126" s="1459"/>
      <c r="V126" s="1459"/>
      <c r="W126" s="1459"/>
      <c r="X126" s="1596"/>
      <c r="Y126" s="1459"/>
      <c r="Z126" s="1597"/>
      <c r="AA126" s="1459"/>
      <c r="AB126" s="714" t="s">
        <v>2048</v>
      </c>
      <c r="AC126" s="549" t="s">
        <v>3003</v>
      </c>
      <c r="AD126" s="548" t="s">
        <v>1514</v>
      </c>
      <c r="AE126" s="1332"/>
      <c r="AF126" s="1442"/>
      <c r="AG126" s="1442"/>
      <c r="AH126" s="1001" t="s">
        <v>2825</v>
      </c>
      <c r="AI126" s="1811"/>
      <c r="AJ126" s="1811"/>
      <c r="AK126" s="1444"/>
      <c r="AL126" s="1444"/>
      <c r="AM126" s="1834"/>
      <c r="AN126" s="1834"/>
      <c r="AO126" s="1834"/>
      <c r="AP126" s="1834"/>
    </row>
    <row s="1834" customFormat="1" customHeight="1" ht="14.25">
      <c r="A127" s="667"/>
      <c r="B127" s="1459"/>
      <c r="C127" s="1459"/>
      <c r="D127" s="1459"/>
      <c r="E127" s="649">
        <v>15</v>
      </c>
      <c r="F127" s="50" cm="1" t="str">
        <f t="array" ref="F127:F127">OFFSET(E127,-1,1)</f>
        <v>1</v>
      </c>
      <c r="G127" s="1459"/>
      <c r="H127" s="488" t="s">
        <v>3004</v>
      </c>
      <c r="I127" s="1459"/>
      <c r="J127" s="1459"/>
      <c r="K127" s="1459"/>
      <c r="L127" s="1459"/>
      <c r="M127" s="1459"/>
      <c r="N127" s="1459"/>
      <c r="O127" s="1459"/>
      <c r="P127" s="1459"/>
      <c r="Q127" s="1459"/>
      <c r="R127" s="1459"/>
      <c r="S127" s="1459"/>
      <c r="T127" s="465" cm="1" t="str">
        <f t="array" ref="T127:T127">T126</f>
        <v>true</v>
      </c>
      <c r="U127" s="1459"/>
      <c r="V127" s="1459"/>
      <c r="W127" s="1459"/>
      <c r="X127" s="1596"/>
      <c r="Y127" s="1459"/>
      <c r="Z127" s="1597"/>
      <c r="AA127" s="1459"/>
      <c r="AB127" s="714" t="s">
        <v>2051</v>
      </c>
      <c r="AC127" s="549" t="s">
        <v>2650</v>
      </c>
      <c r="AD127" s="548" t="s">
        <v>1514</v>
      </c>
      <c r="AE127" s="1332"/>
      <c r="AF127" s="1442"/>
      <c r="AG127" s="1442"/>
      <c r="AH127" s="1001" t="s">
        <v>2478</v>
      </c>
      <c r="AI127" s="1811"/>
      <c r="AJ127" s="1811"/>
      <c r="AK127" s="1444"/>
      <c r="AL127" s="1444"/>
      <c r="AM127" s="1834"/>
      <c r="AN127" s="1834"/>
      <c r="AO127" s="1834"/>
      <c r="AP127" s="1834"/>
    </row>
    <row s="1834" customFormat="1" customHeight="1" ht="14.25">
      <c r="A128" s="667"/>
      <c r="B128" s="1459"/>
      <c r="C128" s="1459"/>
      <c r="D128" s="1459"/>
      <c r="E128" s="649">
        <v>15</v>
      </c>
      <c r="F128" s="50" cm="1" t="str">
        <f t="array" ref="F128:F128">OFFSET(E128,-1,1)</f>
        <v>1</v>
      </c>
      <c r="G128" s="1459"/>
      <c r="H128" s="488" t="s">
        <v>3005</v>
      </c>
      <c r="I128" s="1459"/>
      <c r="J128" s="1459"/>
      <c r="K128" s="1459"/>
      <c r="L128" s="1459"/>
      <c r="M128" s="1459"/>
      <c r="N128" s="1459"/>
      <c r="O128" s="1459"/>
      <c r="P128" s="1459"/>
      <c r="Q128" s="1459"/>
      <c r="R128" s="1459"/>
      <c r="S128" s="1459"/>
      <c r="T128" s="465" cm="1" t="str">
        <f t="array" ref="T128:T128">T127</f>
        <v>true</v>
      </c>
      <c r="U128" s="1459"/>
      <c r="V128" s="1459"/>
      <c r="W128" s="1459"/>
      <c r="X128" s="1596"/>
      <c r="Y128" s="1459"/>
      <c r="Z128" s="1597"/>
      <c r="AA128" s="1459"/>
      <c r="AB128" s="714" t="s">
        <v>3006</v>
      </c>
      <c r="AC128" s="549" t="s">
        <v>3007</v>
      </c>
      <c r="AD128" s="548" t="s">
        <v>1514</v>
      </c>
      <c r="AE128" s="557">
        <f>SUM(AE129:AE135)</f>
        <v>0</v>
      </c>
      <c r="AF128" s="1442"/>
      <c r="AG128" s="1442"/>
      <c r="AH128" s="1001" t="s">
        <v>2482</v>
      </c>
      <c r="AI128" s="1811"/>
      <c r="AJ128" s="1811"/>
      <c r="AK128" s="1444"/>
      <c r="AL128" s="1444"/>
      <c r="AM128" s="1834"/>
      <c r="AN128" s="1834"/>
      <c r="AO128" s="1834"/>
      <c r="AP128" s="1834"/>
    </row>
    <row s="1834" customFormat="1" customHeight="1" ht="14.25">
      <c r="A129" s="667"/>
      <c r="B129" s="1459"/>
      <c r="C129" s="1459"/>
      <c r="D129" s="1459"/>
      <c r="E129" s="649">
        <v>15</v>
      </c>
      <c r="F129" s="50" cm="1" t="str">
        <f t="array" ref="F129:F129">OFFSET(E129,-1,1)</f>
        <v>1</v>
      </c>
      <c r="G129" s="1459"/>
      <c r="H129" s="488" t="s">
        <v>3008</v>
      </c>
      <c r="I129" s="1459"/>
      <c r="J129" s="1459"/>
      <c r="K129" s="1459"/>
      <c r="L129" s="1459"/>
      <c r="M129" s="1459"/>
      <c r="N129" s="1459"/>
      <c r="O129" s="1459"/>
      <c r="P129" s="1459"/>
      <c r="Q129" s="1459"/>
      <c r="R129" s="1459"/>
      <c r="S129" s="1459"/>
      <c r="T129" s="465" cm="1" t="str">
        <f t="array" ref="T129:T129">T128</f>
        <v>true</v>
      </c>
      <c r="U129" s="1459"/>
      <c r="V129" s="1459"/>
      <c r="W129" s="1459"/>
      <c r="X129" s="1596"/>
      <c r="Y129" s="1459"/>
      <c r="Z129" s="1597"/>
      <c r="AA129" s="1459"/>
      <c r="AB129" s="714" t="s">
        <v>3009</v>
      </c>
      <c r="AC129" s="550" t="s">
        <v>2489</v>
      </c>
      <c r="AD129" s="548" t="s">
        <v>1514</v>
      </c>
      <c r="AE129" s="1332"/>
      <c r="AF129" s="1442"/>
      <c r="AG129" s="1442"/>
      <c r="AH129" s="1001" t="s">
        <v>3010</v>
      </c>
      <c r="AI129" s="1811"/>
      <c r="AJ129" s="1811"/>
      <c r="AK129" s="1444"/>
      <c r="AL129" s="1444"/>
      <c r="AM129" s="1834"/>
      <c r="AN129" s="1834"/>
      <c r="AO129" s="1834"/>
      <c r="AP129" s="1834"/>
    </row>
    <row s="1834" customFormat="1" customHeight="1" ht="21.75">
      <c r="A130" s="667"/>
      <c r="B130" s="1459"/>
      <c r="C130" s="1459"/>
      <c r="D130" s="1459"/>
      <c r="E130" s="649">
        <v>22.5</v>
      </c>
      <c r="F130" s="50" cm="1" t="str">
        <f t="array" ref="F130:F130">OFFSET(E130,-1,1)</f>
        <v>1</v>
      </c>
      <c r="G130" s="1459"/>
      <c r="H130" s="488" t="s">
        <v>3011</v>
      </c>
      <c r="I130" s="1459"/>
      <c r="J130" s="1459"/>
      <c r="K130" s="1459"/>
      <c r="L130" s="1459"/>
      <c r="M130" s="1459"/>
      <c r="N130" s="1459"/>
      <c r="O130" s="1459"/>
      <c r="P130" s="1459"/>
      <c r="Q130" s="1459"/>
      <c r="R130" s="1459"/>
      <c r="S130" s="1459"/>
      <c r="T130" s="465" cm="1" t="str">
        <f t="array" ref="T130:T130">T129</f>
        <v>true</v>
      </c>
      <c r="U130" s="1459"/>
      <c r="V130" s="1459"/>
      <c r="W130" s="1459"/>
      <c r="X130" s="1596"/>
      <c r="Y130" s="1459"/>
      <c r="Z130" s="1597"/>
      <c r="AA130" s="1459"/>
      <c r="AB130" s="714" t="s">
        <v>3012</v>
      </c>
      <c r="AC130" s="550" t="s">
        <v>2658</v>
      </c>
      <c r="AD130" s="548" t="s">
        <v>1514</v>
      </c>
      <c r="AE130" s="1332"/>
      <c r="AF130" s="1442"/>
      <c r="AG130" s="1442"/>
      <c r="AH130" s="1064" t="s">
        <v>2659</v>
      </c>
      <c r="AI130" s="1811"/>
      <c r="AJ130" s="1811"/>
      <c r="AK130" s="1444"/>
      <c r="AL130" s="1444"/>
      <c r="AM130" s="1834"/>
      <c r="AN130" s="1834"/>
      <c r="AO130" s="1834"/>
      <c r="AP130" s="1834"/>
    </row>
    <row s="1834" customFormat="1" customHeight="1" ht="21.75">
      <c r="A131" s="667"/>
      <c r="B131" s="1459"/>
      <c r="C131" s="1459"/>
      <c r="D131" s="1459"/>
      <c r="E131" s="649">
        <v>22.5</v>
      </c>
      <c r="F131" s="50" cm="1" t="str">
        <f t="array" ref="F131:F131">OFFSET(E131,-1,1)</f>
        <v>1</v>
      </c>
      <c r="G131" s="1459"/>
      <c r="H131" s="488" t="s">
        <v>3013</v>
      </c>
      <c r="I131" s="1459"/>
      <c r="J131" s="1459"/>
      <c r="K131" s="1459"/>
      <c r="L131" s="1459"/>
      <c r="M131" s="1459"/>
      <c r="N131" s="1459"/>
      <c r="O131" s="1459"/>
      <c r="P131" s="1459"/>
      <c r="Q131" s="1459"/>
      <c r="R131" s="1459"/>
      <c r="S131" s="1459"/>
      <c r="T131" s="465" cm="1" t="str">
        <f t="array" ref="T131:T131">T130</f>
        <v>true</v>
      </c>
      <c r="U131" s="1459"/>
      <c r="V131" s="1459"/>
      <c r="W131" s="1459"/>
      <c r="X131" s="1596"/>
      <c r="Y131" s="1459"/>
      <c r="Z131" s="1597"/>
      <c r="AA131" s="1459"/>
      <c r="AB131" s="714" t="s">
        <v>3014</v>
      </c>
      <c r="AC131" s="550" t="s">
        <v>2662</v>
      </c>
      <c r="AD131" s="548" t="s">
        <v>1514</v>
      </c>
      <c r="AE131" s="1332"/>
      <c r="AF131" s="1442"/>
      <c r="AG131" s="1442"/>
      <c r="AH131" s="1064" t="s">
        <v>2663</v>
      </c>
      <c r="AI131" s="1811"/>
      <c r="AJ131" s="1811"/>
      <c r="AK131" s="1444"/>
      <c r="AL131" s="1444"/>
      <c r="AM131" s="1834"/>
      <c r="AN131" s="1834"/>
      <c r="AO131" s="1834"/>
      <c r="AP131" s="1834"/>
    </row>
    <row s="1834" customFormat="1" customHeight="1" ht="21.75">
      <c r="A132" s="667"/>
      <c r="B132" s="1459"/>
      <c r="C132" s="1459"/>
      <c r="D132" s="1459"/>
      <c r="E132" s="649">
        <v>22.5</v>
      </c>
      <c r="F132" s="50" cm="1" t="str">
        <f t="array" ref="F132:F132">OFFSET(E132,-1,1)</f>
        <v>1</v>
      </c>
      <c r="G132" s="1459"/>
      <c r="H132" s="488" t="s">
        <v>3015</v>
      </c>
      <c r="I132" s="1459"/>
      <c r="J132" s="1459"/>
      <c r="K132" s="1459"/>
      <c r="L132" s="1459"/>
      <c r="M132" s="1459"/>
      <c r="N132" s="1459"/>
      <c r="O132" s="1459"/>
      <c r="P132" s="1459"/>
      <c r="Q132" s="1459"/>
      <c r="R132" s="1459"/>
      <c r="S132" s="1459"/>
      <c r="T132" s="465" cm="1" t="str">
        <f t="array" ref="T132:T132">T131</f>
        <v>true</v>
      </c>
      <c r="U132" s="1459"/>
      <c r="V132" s="1459"/>
      <c r="W132" s="1459"/>
      <c r="X132" s="1596"/>
      <c r="Y132" s="1459"/>
      <c r="Z132" s="1597"/>
      <c r="AA132" s="1459"/>
      <c r="AB132" s="714" t="s">
        <v>3016</v>
      </c>
      <c r="AC132" s="550" t="s">
        <v>3017</v>
      </c>
      <c r="AD132" s="548" t="s">
        <v>1514</v>
      </c>
      <c r="AE132" s="1332"/>
      <c r="AF132" s="1442"/>
      <c r="AG132" s="1442"/>
      <c r="AH132" s="1064" t="s">
        <v>2667</v>
      </c>
      <c r="AI132" s="1811"/>
      <c r="AJ132" s="1811"/>
      <c r="AK132" s="1444"/>
      <c r="AL132" s="1444"/>
      <c r="AM132" s="1834"/>
      <c r="AN132" s="1834"/>
      <c r="AO132" s="1834"/>
      <c r="AP132" s="1834"/>
    </row>
    <row s="1834" customFormat="1" customHeight="1" ht="54.75">
      <c r="A133" s="667"/>
      <c r="B133" s="1459"/>
      <c r="C133" s="1459"/>
      <c r="D133" s="1459"/>
      <c r="E133" s="649">
        <v>56.25</v>
      </c>
      <c r="F133" s="50" cm="1" t="str">
        <f t="array" ref="F133:F133">OFFSET(E133,-1,1)</f>
        <v>1</v>
      </c>
      <c r="G133" s="1459"/>
      <c r="H133" s="488" t="s">
        <v>3018</v>
      </c>
      <c r="I133" s="1459"/>
      <c r="J133" s="1459"/>
      <c r="K133" s="1459"/>
      <c r="L133" s="1459"/>
      <c r="M133" s="1459"/>
      <c r="N133" s="1459"/>
      <c r="O133" s="1459"/>
      <c r="P133" s="1459"/>
      <c r="Q133" s="1459"/>
      <c r="R133" s="1459"/>
      <c r="S133" s="1459"/>
      <c r="T133" s="465" cm="1" t="str">
        <f t="array" ref="T133:T133">T132</f>
        <v>true</v>
      </c>
      <c r="U133" s="1459"/>
      <c r="V133" s="1459"/>
      <c r="W133" s="1459"/>
      <c r="X133" s="1596"/>
      <c r="Y133" s="1459"/>
      <c r="Z133" s="1597"/>
      <c r="AA133" s="1459"/>
      <c r="AB133" s="714" t="s">
        <v>3019</v>
      </c>
      <c r="AC133" s="550" t="s">
        <v>2670</v>
      </c>
      <c r="AD133" s="548" t="s">
        <v>1514</v>
      </c>
      <c r="AE133" s="1332"/>
      <c r="AF133" s="1442"/>
      <c r="AG133" s="1442"/>
      <c r="AH133" s="1064" t="s">
        <v>2494</v>
      </c>
      <c r="AI133" s="1811"/>
      <c r="AJ133" s="1811"/>
      <c r="AK133" s="1444"/>
      <c r="AL133" s="1444"/>
      <c r="AM133" s="1834"/>
      <c r="AN133" s="1834"/>
      <c r="AO133" s="1834"/>
      <c r="AP133" s="1834"/>
    </row>
    <row s="1834" customFormat="1" customHeight="1" ht="14.25">
      <c r="A134" s="667"/>
      <c r="B134" s="1459"/>
      <c r="C134" s="1459"/>
      <c r="D134" s="1459"/>
      <c r="E134" s="649">
        <v>15</v>
      </c>
      <c r="F134" s="50" cm="1" t="str">
        <f t="array" ref="F134:F134">OFFSET(E134,-1,1)</f>
        <v>1</v>
      </c>
      <c r="G134" s="1459"/>
      <c r="H134" s="488" t="s">
        <v>3020</v>
      </c>
      <c r="I134" s="1459"/>
      <c r="J134" s="1459"/>
      <c r="K134" s="1459"/>
      <c r="L134" s="1459"/>
      <c r="M134" s="1459"/>
      <c r="N134" s="1459"/>
      <c r="O134" s="1459"/>
      <c r="P134" s="1459"/>
      <c r="Q134" s="1459"/>
      <c r="R134" s="1459"/>
      <c r="S134" s="1459"/>
      <c r="T134" s="465" cm="1" t="str">
        <f t="array" ref="T134:T134">T133</f>
        <v>true</v>
      </c>
      <c r="U134" s="1459"/>
      <c r="V134" s="1459"/>
      <c r="W134" s="1459"/>
      <c r="X134" s="1596"/>
      <c r="Y134" s="1459"/>
      <c r="Z134" s="1597"/>
      <c r="AA134" s="1459"/>
      <c r="AB134" s="714" t="s">
        <v>3021</v>
      </c>
      <c r="AC134" s="550" t="s">
        <v>2497</v>
      </c>
      <c r="AD134" s="548" t="s">
        <v>1514</v>
      </c>
      <c r="AE134" s="1332"/>
      <c r="AF134" s="1442"/>
      <c r="AG134" s="1442"/>
      <c r="AH134" s="1064" t="s">
        <v>2498</v>
      </c>
      <c r="AI134" s="1811"/>
      <c r="AJ134" s="1811"/>
      <c r="AK134" s="1444"/>
      <c r="AL134" s="1444"/>
      <c r="AM134" s="1834"/>
      <c r="AN134" s="1834"/>
      <c r="AO134" s="1834"/>
      <c r="AP134" s="1834"/>
    </row>
    <row s="1834" customFormat="1" customHeight="1" ht="14.25">
      <c r="A135" s="667"/>
      <c r="B135" s="1459"/>
      <c r="C135" s="1459"/>
      <c r="D135" s="1459"/>
      <c r="E135" s="649">
        <v>15</v>
      </c>
      <c r="F135" s="50" cm="1" t="str">
        <f t="array" ref="F135:F135">OFFSET(E135,-1,1)</f>
        <v>1</v>
      </c>
      <c r="G135" s="1459"/>
      <c r="H135" s="488" t="s">
        <v>3022</v>
      </c>
      <c r="I135" s="1459"/>
      <c r="J135" s="1459"/>
      <c r="K135" s="1459"/>
      <c r="L135" s="1459"/>
      <c r="M135" s="1459"/>
      <c r="N135" s="1459"/>
      <c r="O135" s="1459"/>
      <c r="P135" s="1459"/>
      <c r="Q135" s="1459"/>
      <c r="R135" s="1459"/>
      <c r="S135" s="1459"/>
      <c r="T135" s="465" cm="1" t="str">
        <f t="array" ref="T135:T135">T134</f>
        <v>true</v>
      </c>
      <c r="U135" s="1459"/>
      <c r="V135" s="1459"/>
      <c r="W135" s="1459"/>
      <c r="X135" s="1596"/>
      <c r="Y135" s="1459"/>
      <c r="Z135" s="1597"/>
      <c r="AA135" s="1459"/>
      <c r="AB135" s="714" t="s">
        <v>3023</v>
      </c>
      <c r="AC135" s="550" t="s">
        <v>1965</v>
      </c>
      <c r="AD135" s="548" t="s">
        <v>1514</v>
      </c>
      <c r="AE135" s="1332"/>
      <c r="AF135" s="1442"/>
      <c r="AG135" s="1442"/>
      <c r="AH135" s="1064" t="s">
        <v>2482</v>
      </c>
      <c r="AI135" s="1811"/>
      <c r="AJ135" s="1811"/>
      <c r="AK135" s="1444"/>
      <c r="AL135" s="1444"/>
      <c r="AM135" s="1834"/>
      <c r="AN135" s="1834"/>
      <c r="AO135" s="1834"/>
      <c r="AP135" s="1834"/>
    </row>
    <row s="1834" customFormat="1" customHeight="1" ht="14.25">
      <c r="A136" s="667"/>
      <c r="B136" s="1459"/>
      <c r="C136" s="1459"/>
      <c r="D136" s="1459"/>
      <c r="E136" s="649">
        <v>15</v>
      </c>
      <c r="F136" s="50" cm="1" t="str">
        <f t="array" ref="F136:F136">OFFSET(E136,-1,1)</f>
        <v>1</v>
      </c>
      <c r="G136" s="1459"/>
      <c r="H136" s="488" t="s">
        <v>1179</v>
      </c>
      <c r="I136" s="1459"/>
      <c r="J136" s="1459"/>
      <c r="K136" s="1459"/>
      <c r="L136" s="1459"/>
      <c r="M136" s="1459"/>
      <c r="N136" s="1459"/>
      <c r="O136" s="1459"/>
      <c r="P136" s="1459"/>
      <c r="Q136" s="1459"/>
      <c r="R136" s="1459"/>
      <c r="S136" s="1459"/>
      <c r="T136" s="465" cm="1" t="str">
        <f t="array" ref="T136:T136">T135</f>
        <v>true</v>
      </c>
      <c r="U136" s="1459"/>
      <c r="V136" s="1459"/>
      <c r="W136" s="1459"/>
      <c r="X136" s="1596"/>
      <c r="Y136" s="1459"/>
      <c r="Z136" s="1597"/>
      <c r="AA136" s="1459"/>
      <c r="AB136" s="714" t="s">
        <v>1631</v>
      </c>
      <c r="AC136" s="547" t="s">
        <v>3024</v>
      </c>
      <c r="AD136" s="548" t="s">
        <v>1514</v>
      </c>
      <c r="AE136" s="557">
        <f>AE137+AE138+AE139</f>
        <v>0</v>
      </c>
      <c r="AF136" s="1442"/>
      <c r="AG136" s="1442"/>
      <c r="AH136" s="1063" t="s">
        <v>2502</v>
      </c>
      <c r="AI136" s="1811"/>
      <c r="AJ136" s="1811"/>
      <c r="AK136" s="1444"/>
      <c r="AL136" s="1444"/>
      <c r="AM136" s="1834"/>
      <c r="AN136" s="1834"/>
      <c r="AO136" s="1834"/>
      <c r="AP136" s="1834"/>
    </row>
    <row s="1834" customFormat="1" customHeight="1" ht="14.25">
      <c r="A137" s="667"/>
      <c r="B137" s="1459"/>
      <c r="C137" s="1459"/>
      <c r="D137" s="1459"/>
      <c r="E137" s="649">
        <v>15</v>
      </c>
      <c r="F137" s="50" cm="1" t="str">
        <f t="array" ref="F137:F137">OFFSET(E137,-1,1)</f>
        <v>1</v>
      </c>
      <c r="G137" s="1459"/>
      <c r="H137" s="488" t="s">
        <v>2068</v>
      </c>
      <c r="I137" s="1459"/>
      <c r="J137" s="1459"/>
      <c r="K137" s="1459"/>
      <c r="L137" s="1459"/>
      <c r="M137" s="1459"/>
      <c r="N137" s="1459"/>
      <c r="O137" s="1459"/>
      <c r="P137" s="1459"/>
      <c r="Q137" s="1459"/>
      <c r="R137" s="1459"/>
      <c r="S137" s="1459"/>
      <c r="T137" s="465" cm="1" t="str">
        <f t="array" ref="T137:T137">T136</f>
        <v>true</v>
      </c>
      <c r="U137" s="1459"/>
      <c r="V137" s="1459"/>
      <c r="W137" s="1459"/>
      <c r="X137" s="1596"/>
      <c r="Y137" s="1459"/>
      <c r="Z137" s="1597"/>
      <c r="AA137" s="1459"/>
      <c r="AB137" s="714" t="s">
        <v>2069</v>
      </c>
      <c r="AC137" s="549" t="s">
        <v>3025</v>
      </c>
      <c r="AD137" s="548" t="s">
        <v>1514</v>
      </c>
      <c r="AE137" s="1332"/>
      <c r="AF137" s="1442"/>
      <c r="AG137" s="1442"/>
      <c r="AH137" s="1062" t="s">
        <v>2504</v>
      </c>
      <c r="AI137" s="1811"/>
      <c r="AJ137" s="1811"/>
      <c r="AK137" s="1444"/>
      <c r="AL137" s="1444"/>
      <c r="AM137" s="1834"/>
      <c r="AN137" s="1834"/>
      <c r="AO137" s="1834"/>
      <c r="AP137" s="1834"/>
    </row>
    <row s="1834" customFormat="1" customHeight="1" ht="14.25">
      <c r="A138" s="667"/>
      <c r="B138" s="1459"/>
      <c r="C138" s="1459"/>
      <c r="D138" s="1459"/>
      <c r="E138" s="649">
        <v>15</v>
      </c>
      <c r="F138" s="50" cm="1" t="str">
        <f t="array" ref="F138:F138">OFFSET(E138,-1,1)</f>
        <v>1</v>
      </c>
      <c r="G138" s="1459"/>
      <c r="H138" s="488" t="s">
        <v>2071</v>
      </c>
      <c r="I138" s="1459"/>
      <c r="J138" s="1459"/>
      <c r="K138" s="1459"/>
      <c r="L138" s="1459"/>
      <c r="M138" s="1459"/>
      <c r="N138" s="1459"/>
      <c r="O138" s="1459"/>
      <c r="P138" s="1459"/>
      <c r="Q138" s="1459"/>
      <c r="R138" s="1459"/>
      <c r="S138" s="1459"/>
      <c r="T138" s="465" cm="1" t="str">
        <f t="array" ref="T138:T138">T137</f>
        <v>true</v>
      </c>
      <c r="U138" s="1459"/>
      <c r="V138" s="1459"/>
      <c r="W138" s="1459"/>
      <c r="X138" s="1596"/>
      <c r="Y138" s="1459"/>
      <c r="Z138" s="1597"/>
      <c r="AA138" s="1459"/>
      <c r="AB138" s="714" t="s">
        <v>2072</v>
      </c>
      <c r="AC138" s="549" t="s">
        <v>3026</v>
      </c>
      <c r="AD138" s="548" t="s">
        <v>1514</v>
      </c>
      <c r="AE138" s="1332"/>
      <c r="AF138" s="1442"/>
      <c r="AG138" s="1442"/>
      <c r="AH138" s="1064" t="s">
        <v>2678</v>
      </c>
      <c r="AI138" s="1811"/>
      <c r="AJ138" s="1811"/>
      <c r="AK138" s="1444"/>
      <c r="AL138" s="1444"/>
      <c r="AM138" s="1834"/>
      <c r="AN138" s="1834"/>
      <c r="AO138" s="1834"/>
      <c r="AP138" s="1834"/>
    </row>
    <row s="1834" customFormat="1" customHeight="1" ht="21.75">
      <c r="A139" s="667"/>
      <c r="B139" s="1459"/>
      <c r="C139" s="1459"/>
      <c r="D139" s="1459"/>
      <c r="E139" s="649">
        <v>22.5</v>
      </c>
      <c r="F139" s="50" cm="1" t="str">
        <f t="array" ref="F139:F139">OFFSET(E139,-1,1)</f>
        <v>1</v>
      </c>
      <c r="G139" s="1459"/>
      <c r="H139" s="488" t="s">
        <v>2075</v>
      </c>
      <c r="I139" s="1459"/>
      <c r="J139" s="1459"/>
      <c r="K139" s="1459"/>
      <c r="L139" s="1459"/>
      <c r="M139" s="1459"/>
      <c r="N139" s="1459"/>
      <c r="O139" s="1459"/>
      <c r="P139" s="1459"/>
      <c r="Q139" s="1459"/>
      <c r="R139" s="1459"/>
      <c r="S139" s="1459"/>
      <c r="T139" s="465" cm="1" t="str">
        <f t="array" ref="T139:T139">T138</f>
        <v>true</v>
      </c>
      <c r="U139" s="1459"/>
      <c r="V139" s="1459"/>
      <c r="W139" s="1459"/>
      <c r="X139" s="1596"/>
      <c r="Y139" s="1459"/>
      <c r="Z139" s="1597"/>
      <c r="AA139" s="1459"/>
      <c r="AB139" s="714" t="s">
        <v>2076</v>
      </c>
      <c r="AC139" s="549" t="s">
        <v>3027</v>
      </c>
      <c r="AD139" s="548" t="s">
        <v>1514</v>
      </c>
      <c r="AE139" s="557">
        <f>AE140+AE143</f>
        <v>0</v>
      </c>
      <c r="AF139" s="1442"/>
      <c r="AG139" s="1442"/>
      <c r="AH139" s="1062" t="s">
        <v>2506</v>
      </c>
      <c r="AI139" s="1811"/>
      <c r="AJ139" s="1811"/>
      <c r="AK139" s="1444"/>
      <c r="AL139" s="1444"/>
      <c r="AM139" s="1834"/>
      <c r="AN139" s="1834"/>
      <c r="AO139" s="1834"/>
      <c r="AP139" s="1834"/>
    </row>
    <row s="1834" customFormat="1" customHeight="1" ht="14.25">
      <c r="A140" s="667"/>
      <c r="B140" s="1459"/>
      <c r="C140" s="1459"/>
      <c r="D140" s="1459"/>
      <c r="E140" s="649">
        <v>15</v>
      </c>
      <c r="F140" s="50" cm="1" t="str">
        <f t="array" ref="F140:F140">OFFSET(E140,-1,1)</f>
        <v>1</v>
      </c>
      <c r="G140" s="1459"/>
      <c r="H140" s="488" t="s">
        <v>2220</v>
      </c>
      <c r="I140" s="1459"/>
      <c r="J140" s="1459"/>
      <c r="K140" s="1459"/>
      <c r="L140" s="1459"/>
      <c r="M140" s="1459"/>
      <c r="N140" s="1459"/>
      <c r="O140" s="1459"/>
      <c r="P140" s="1459"/>
      <c r="Q140" s="1459"/>
      <c r="R140" s="1459"/>
      <c r="S140" s="1459"/>
      <c r="T140" s="465" cm="1" t="str">
        <f t="array" ref="T140:T140">T139</f>
        <v>true</v>
      </c>
      <c r="U140" s="1459"/>
      <c r="V140" s="1459"/>
      <c r="W140" s="1459"/>
      <c r="X140" s="1596"/>
      <c r="Y140" s="1459"/>
      <c r="Z140" s="1597"/>
      <c r="AA140" s="1459"/>
      <c r="AB140" s="714" t="s">
        <v>2647</v>
      </c>
      <c r="AC140" s="550" t="s">
        <v>2508</v>
      </c>
      <c r="AD140" s="548" t="s">
        <v>1514</v>
      </c>
      <c r="AE140" s="1332"/>
      <c r="AF140" s="1442"/>
      <c r="AG140" s="1442"/>
      <c r="AH140" s="1062" t="s">
        <v>2509</v>
      </c>
      <c r="AI140" s="1811"/>
      <c r="AJ140" s="1811"/>
      <c r="AK140" s="1444"/>
      <c r="AL140" s="1444"/>
      <c r="AM140" s="1834"/>
      <c r="AN140" s="1834"/>
      <c r="AO140" s="1834"/>
      <c r="AP140" s="1834"/>
    </row>
    <row s="1834" customFormat="1" customHeight="1" ht="14.25">
      <c r="A141" s="667"/>
      <c r="B141" s="1459"/>
      <c r="C141" s="1459"/>
      <c r="D141" s="1459"/>
      <c r="E141" s="649">
        <v>15</v>
      </c>
      <c r="F141" s="50" cm="1" t="str">
        <f t="array" ref="F141:F141">OFFSET(E141,-1,1)</f>
        <v>1</v>
      </c>
      <c r="G141" s="1459"/>
      <c r="H141" s="488" t="s">
        <v>3028</v>
      </c>
      <c r="I141" s="1459"/>
      <c r="J141" s="1459"/>
      <c r="K141" s="1459"/>
      <c r="L141" s="1459"/>
      <c r="M141" s="1459"/>
      <c r="N141" s="1459"/>
      <c r="O141" s="1459"/>
      <c r="P141" s="1459"/>
      <c r="Q141" s="1459"/>
      <c r="R141" s="1459"/>
      <c r="S141" s="1459"/>
      <c r="T141" s="465" cm="1" t="str">
        <f t="array" ref="T141:T141">T140</f>
        <v>true</v>
      </c>
      <c r="U141" s="1459"/>
      <c r="V141" s="1459"/>
      <c r="W141" s="1459"/>
      <c r="X141" s="1596"/>
      <c r="Y141" s="1459"/>
      <c r="Z141" s="1597"/>
      <c r="AA141" s="1459"/>
      <c r="AB141" s="714" t="s">
        <v>3029</v>
      </c>
      <c r="AC141" s="551" t="s">
        <v>3030</v>
      </c>
      <c r="AD141" s="548" t="s">
        <v>2993</v>
      </c>
      <c r="AE141" s="1332"/>
      <c r="AF141" s="1442"/>
      <c r="AG141" s="1442"/>
      <c r="AH141" s="1001" t="s">
        <v>3031</v>
      </c>
      <c r="AI141" s="1811"/>
      <c r="AJ141" s="1811"/>
      <c r="AK141" s="1444"/>
      <c r="AL141" s="1444"/>
      <c r="AM141" s="1834"/>
      <c r="AN141" s="1834"/>
      <c r="AO141" s="1834"/>
      <c r="AP141" s="1834"/>
    </row>
    <row s="1834" customFormat="1" customHeight="1" ht="14.25">
      <c r="A142" s="667"/>
      <c r="B142" s="1459"/>
      <c r="C142" s="1459"/>
      <c r="D142" s="1459"/>
      <c r="E142" s="649">
        <v>15</v>
      </c>
      <c r="F142" s="50" cm="1" t="str">
        <f t="array" ref="F142:F142">OFFSET(E142,-1,1)</f>
        <v>1</v>
      </c>
      <c r="G142" s="1459"/>
      <c r="H142" s="488" t="s">
        <v>3032</v>
      </c>
      <c r="I142" s="1459"/>
      <c r="J142" s="1459"/>
      <c r="K142" s="1459"/>
      <c r="L142" s="1459"/>
      <c r="M142" s="1459"/>
      <c r="N142" s="1459"/>
      <c r="O142" s="1459"/>
      <c r="P142" s="1459"/>
      <c r="Q142" s="1459"/>
      <c r="R142" s="1459"/>
      <c r="S142" s="1459"/>
      <c r="T142" s="465" cm="1" t="str">
        <f t="array" ref="T142:T142">T141</f>
        <v>true</v>
      </c>
      <c r="U142" s="1459"/>
      <c r="V142" s="1459"/>
      <c r="W142" s="1459"/>
      <c r="X142" s="1596"/>
      <c r="Y142" s="1459"/>
      <c r="Z142" s="1597"/>
      <c r="AA142" s="1459"/>
      <c r="AB142" s="714" t="s">
        <v>3033</v>
      </c>
      <c r="AC142" s="551" t="s">
        <v>3034</v>
      </c>
      <c r="AD142" s="548" t="s">
        <v>2998</v>
      </c>
      <c r="AE142" s="1332"/>
      <c r="AF142" s="1442"/>
      <c r="AG142" s="1442"/>
      <c r="AH142" s="1001" t="s">
        <v>3035</v>
      </c>
      <c r="AI142" s="1811"/>
      <c r="AJ142" s="1811"/>
      <c r="AK142" s="1444"/>
      <c r="AL142" s="1444"/>
      <c r="AM142" s="1834"/>
      <c r="AN142" s="1834"/>
      <c r="AO142" s="1834"/>
      <c r="AP142" s="1834"/>
    </row>
    <row s="1834" customFormat="1" customHeight="1" ht="21.75">
      <c r="A143" s="667"/>
      <c r="B143" s="1459"/>
      <c r="C143" s="1459"/>
      <c r="D143" s="1459"/>
      <c r="E143" s="649">
        <v>22.5</v>
      </c>
      <c r="F143" s="50" cm="1" t="str">
        <f t="array" ref="F143:F143">OFFSET(E143,-1,1)</f>
        <v>1</v>
      </c>
      <c r="G143" s="1459"/>
      <c r="H143" s="488" t="s">
        <v>2224</v>
      </c>
      <c r="I143" s="1459"/>
      <c r="J143" s="1459"/>
      <c r="K143" s="1459"/>
      <c r="L143" s="1459"/>
      <c r="M143" s="1459"/>
      <c r="N143" s="1459"/>
      <c r="O143" s="1459"/>
      <c r="P143" s="1459"/>
      <c r="Q143" s="1459"/>
      <c r="R143" s="1459"/>
      <c r="S143" s="1459"/>
      <c r="T143" s="465" cm="1" t="str">
        <f t="array" ref="T143:T143">T142</f>
        <v>true</v>
      </c>
      <c r="U143" s="1459"/>
      <c r="V143" s="1459"/>
      <c r="W143" s="1459"/>
      <c r="X143" s="1596"/>
      <c r="Y143" s="1459"/>
      <c r="Z143" s="1597"/>
      <c r="AA143" s="1459"/>
      <c r="AB143" s="714" t="s">
        <v>2648</v>
      </c>
      <c r="AC143" s="550" t="s">
        <v>2684</v>
      </c>
      <c r="AD143" s="548" t="s">
        <v>1514</v>
      </c>
      <c r="AE143" s="1332"/>
      <c r="AF143" s="1442"/>
      <c r="AG143" s="1442"/>
      <c r="AH143" s="1062" t="s">
        <v>2512</v>
      </c>
      <c r="AI143" s="1811"/>
      <c r="AJ143" s="1811"/>
      <c r="AK143" s="1444"/>
      <c r="AL143" s="1444"/>
      <c r="AM143" s="1834"/>
      <c r="AN143" s="1834"/>
      <c r="AO143" s="1834"/>
      <c r="AP143" s="1834"/>
    </row>
    <row s="1834" customFormat="1" customHeight="1" ht="14.25">
      <c r="A144" s="667"/>
      <c r="B144" s="1459"/>
      <c r="C144" s="1459"/>
      <c r="D144" s="1459"/>
      <c r="E144" s="649">
        <v>15</v>
      </c>
      <c r="F144" s="50" cm="1" t="str">
        <f t="array" ref="F144:F144">OFFSET(E144,-1,1)</f>
        <v>1</v>
      </c>
      <c r="G144" s="1459"/>
      <c r="H144" s="488" t="s">
        <v>1182</v>
      </c>
      <c r="I144" s="1459"/>
      <c r="J144" s="1459"/>
      <c r="K144" s="1459"/>
      <c r="L144" s="1459"/>
      <c r="M144" s="1459"/>
      <c r="N144" s="1459"/>
      <c r="O144" s="1459"/>
      <c r="P144" s="1459"/>
      <c r="Q144" s="1459"/>
      <c r="R144" s="1459"/>
      <c r="S144" s="1459"/>
      <c r="T144" s="465" cm="1" t="str">
        <f t="array" ref="T144:T144">T143</f>
        <v>true</v>
      </c>
      <c r="U144" s="1459"/>
      <c r="V144" s="1459"/>
      <c r="W144" s="1459"/>
      <c r="X144" s="1596"/>
      <c r="Y144" s="1459"/>
      <c r="Z144" s="1597"/>
      <c r="AA144" s="1459"/>
      <c r="AB144" s="714" t="s">
        <v>1634</v>
      </c>
      <c r="AC144" s="547" t="s">
        <v>2685</v>
      </c>
      <c r="AD144" s="548" t="s">
        <v>1514</v>
      </c>
      <c r="AE144" s="557">
        <f>AE145+AE151+AE156+AE157+AE158+AE159+AE160</f>
        <v>0</v>
      </c>
      <c r="AF144" s="1442"/>
      <c r="AG144" s="1442"/>
      <c r="AH144" s="1063" t="s">
        <v>2514</v>
      </c>
      <c r="AI144" s="1811"/>
      <c r="AJ144" s="1811"/>
      <c r="AK144" s="1444"/>
      <c r="AL144" s="1444"/>
      <c r="AM144" s="1834"/>
      <c r="AN144" s="1834"/>
      <c r="AO144" s="1834"/>
      <c r="AP144" s="1834"/>
    </row>
    <row s="1834" customFormat="1" customHeight="1" ht="21.75">
      <c r="A145" s="667"/>
      <c r="B145" s="1459"/>
      <c r="C145" s="1459"/>
      <c r="D145" s="1459"/>
      <c r="E145" s="649">
        <v>22.5</v>
      </c>
      <c r="F145" s="50" cm="1" t="str">
        <f t="array" ref="F145:F145">OFFSET(E145,-1,1)</f>
        <v>1</v>
      </c>
      <c r="G145" s="1459"/>
      <c r="H145" s="488" t="s">
        <v>2081</v>
      </c>
      <c r="I145" s="1459"/>
      <c r="J145" s="1459"/>
      <c r="K145" s="1459"/>
      <c r="L145" s="1459"/>
      <c r="M145" s="1459"/>
      <c r="N145" s="1459"/>
      <c r="O145" s="1459"/>
      <c r="P145" s="1459"/>
      <c r="Q145" s="1459"/>
      <c r="R145" s="1459"/>
      <c r="S145" s="1459"/>
      <c r="T145" s="465" cm="1" t="str">
        <f t="array" ref="T145:T145">T144</f>
        <v>true</v>
      </c>
      <c r="U145" s="1459"/>
      <c r="V145" s="1459"/>
      <c r="W145" s="1459"/>
      <c r="X145" s="1596"/>
      <c r="Y145" s="1459"/>
      <c r="Z145" s="1597"/>
      <c r="AA145" s="1459"/>
      <c r="AB145" s="714" t="s">
        <v>2082</v>
      </c>
      <c r="AC145" s="549" t="s">
        <v>2515</v>
      </c>
      <c r="AD145" s="548" t="s">
        <v>1514</v>
      </c>
      <c r="AE145" s="557">
        <f>SUM(AE146:AE150)</f>
        <v>0</v>
      </c>
      <c r="AF145" s="1442"/>
      <c r="AG145" s="1442"/>
      <c r="AH145" s="1062" t="s">
        <v>1918</v>
      </c>
      <c r="AI145" s="1811"/>
      <c r="AJ145" s="1811"/>
      <c r="AK145" s="1444"/>
      <c r="AL145" s="1444"/>
      <c r="AM145" s="1834"/>
      <c r="AN145" s="1834"/>
      <c r="AO145" s="1834"/>
      <c r="AP145" s="1834"/>
    </row>
    <row s="1834" customFormat="1" customHeight="1" ht="14.25">
      <c r="A146" s="667"/>
      <c r="B146" s="1459"/>
      <c r="C146" s="1459"/>
      <c r="D146" s="1459"/>
      <c r="E146" s="649">
        <v>15</v>
      </c>
      <c r="F146" s="50" cm="1" t="str">
        <f t="array" ref="F146:F146">OFFSET(E146,-1,1)</f>
        <v>1</v>
      </c>
      <c r="G146" s="1459"/>
      <c r="H146" s="488" t="s">
        <v>3036</v>
      </c>
      <c r="I146" s="1459"/>
      <c r="J146" s="1459"/>
      <c r="K146" s="1459"/>
      <c r="L146" s="1459"/>
      <c r="M146" s="1459"/>
      <c r="N146" s="1459"/>
      <c r="O146" s="1459"/>
      <c r="P146" s="1459"/>
      <c r="Q146" s="1459"/>
      <c r="R146" s="1459"/>
      <c r="S146" s="1459"/>
      <c r="T146" s="465" cm="1" t="str">
        <f t="array" ref="T146:T146">T145</f>
        <v>true</v>
      </c>
      <c r="U146" s="1459"/>
      <c r="V146" s="1459"/>
      <c r="W146" s="1459"/>
      <c r="X146" s="1596"/>
      <c r="Y146" s="1459"/>
      <c r="Z146" s="1597"/>
      <c r="AA146" s="1459"/>
      <c r="AB146" s="714" t="s">
        <v>3037</v>
      </c>
      <c r="AC146" s="550" t="s">
        <v>1920</v>
      </c>
      <c r="AD146" s="548" t="s">
        <v>1514</v>
      </c>
      <c r="AE146" s="1332"/>
      <c r="AF146" s="1442"/>
      <c r="AG146" s="1442"/>
      <c r="AH146" s="1064" t="s">
        <v>1921</v>
      </c>
      <c r="AI146" s="1811"/>
      <c r="AJ146" s="1811"/>
      <c r="AK146" s="1444"/>
      <c r="AL146" s="1444"/>
      <c r="AM146" s="1834"/>
      <c r="AN146" s="1834"/>
      <c r="AO146" s="1834"/>
      <c r="AP146" s="1834"/>
    </row>
    <row s="1834" customFormat="1" customHeight="1" ht="14.25">
      <c r="A147" s="667"/>
      <c r="B147" s="1459"/>
      <c r="C147" s="1459"/>
      <c r="D147" s="1459"/>
      <c r="E147" s="649">
        <v>15</v>
      </c>
      <c r="F147" s="50" cm="1" t="str">
        <f t="array" ref="F147:F147">OFFSET(E147,-1,1)</f>
        <v>1</v>
      </c>
      <c r="G147" s="1459"/>
      <c r="H147" s="488" t="s">
        <v>3038</v>
      </c>
      <c r="I147" s="1459"/>
      <c r="J147" s="1459"/>
      <c r="K147" s="1459"/>
      <c r="L147" s="1459"/>
      <c r="M147" s="1459"/>
      <c r="N147" s="1459"/>
      <c r="O147" s="1459"/>
      <c r="P147" s="1459"/>
      <c r="Q147" s="1459"/>
      <c r="R147" s="1459"/>
      <c r="S147" s="1459"/>
      <c r="T147" s="465" cm="1" t="str">
        <f t="array" ref="T147:T147">T146</f>
        <v>true</v>
      </c>
      <c r="U147" s="1459"/>
      <c r="V147" s="1459"/>
      <c r="W147" s="1459"/>
      <c r="X147" s="1596"/>
      <c r="Y147" s="1459"/>
      <c r="Z147" s="1597"/>
      <c r="AA147" s="1459"/>
      <c r="AB147" s="714" t="s">
        <v>3039</v>
      </c>
      <c r="AC147" s="550" t="s">
        <v>1923</v>
      </c>
      <c r="AD147" s="548" t="s">
        <v>1514</v>
      </c>
      <c r="AE147" s="1332"/>
      <c r="AF147" s="1442"/>
      <c r="AG147" s="1442"/>
      <c r="AH147" s="1064" t="s">
        <v>1924</v>
      </c>
      <c r="AI147" s="1811"/>
      <c r="AJ147" s="1811"/>
      <c r="AK147" s="1444"/>
      <c r="AL147" s="1444"/>
      <c r="AM147" s="1834"/>
      <c r="AN147" s="1834"/>
      <c r="AO147" s="1834"/>
      <c r="AP147" s="1834"/>
    </row>
    <row s="1834" customFormat="1" customHeight="1" ht="14.25">
      <c r="A148" s="667"/>
      <c r="B148" s="1459"/>
      <c r="C148" s="1459"/>
      <c r="D148" s="1459"/>
      <c r="E148" s="649">
        <v>15</v>
      </c>
      <c r="F148" s="50" cm="1" t="str">
        <f t="array" ref="F148:F148">OFFSET(E148,-1,1)</f>
        <v>1</v>
      </c>
      <c r="G148" s="1459"/>
      <c r="H148" s="488" t="s">
        <v>3040</v>
      </c>
      <c r="I148" s="1459"/>
      <c r="J148" s="1459"/>
      <c r="K148" s="1459"/>
      <c r="L148" s="1459"/>
      <c r="M148" s="1459"/>
      <c r="N148" s="1459"/>
      <c r="O148" s="1459"/>
      <c r="P148" s="1459"/>
      <c r="Q148" s="1459"/>
      <c r="R148" s="1459"/>
      <c r="S148" s="1459"/>
      <c r="T148" s="465" cm="1" t="str">
        <f t="array" ref="T148:T148">T147</f>
        <v>true</v>
      </c>
      <c r="U148" s="1459"/>
      <c r="V148" s="1459"/>
      <c r="W148" s="1459"/>
      <c r="X148" s="1596"/>
      <c r="Y148" s="1459"/>
      <c r="Z148" s="1597"/>
      <c r="AA148" s="1459"/>
      <c r="AB148" s="714" t="s">
        <v>3041</v>
      </c>
      <c r="AC148" s="550" t="s">
        <v>1926</v>
      </c>
      <c r="AD148" s="548" t="s">
        <v>1514</v>
      </c>
      <c r="AE148" s="1332"/>
      <c r="AF148" s="1442"/>
      <c r="AG148" s="1442"/>
      <c r="AH148" s="1064" t="s">
        <v>1927</v>
      </c>
      <c r="AI148" s="1811"/>
      <c r="AJ148" s="1811"/>
      <c r="AK148" s="1444"/>
      <c r="AL148" s="1444"/>
      <c r="AM148" s="1834"/>
      <c r="AN148" s="1834"/>
      <c r="AO148" s="1834"/>
      <c r="AP148" s="1834"/>
    </row>
    <row s="1834" customFormat="1" customHeight="1" ht="14.25">
      <c r="A149" s="667"/>
      <c r="B149" s="1459"/>
      <c r="C149" s="1459"/>
      <c r="D149" s="1459"/>
      <c r="E149" s="649">
        <v>15</v>
      </c>
      <c r="F149" s="50" cm="1" t="str">
        <f t="array" ref="F149:F149">OFFSET(E149,-1,1)</f>
        <v>1</v>
      </c>
      <c r="G149" s="1459"/>
      <c r="H149" s="488" t="s">
        <v>3042</v>
      </c>
      <c r="I149" s="1459"/>
      <c r="J149" s="1459"/>
      <c r="K149" s="1459"/>
      <c r="L149" s="1459"/>
      <c r="M149" s="1459"/>
      <c r="N149" s="1459"/>
      <c r="O149" s="1459"/>
      <c r="P149" s="1459"/>
      <c r="Q149" s="1459"/>
      <c r="R149" s="1459"/>
      <c r="S149" s="1459"/>
      <c r="T149" s="465" cm="1" t="str">
        <f t="array" ref="T149:T149">T148</f>
        <v>true</v>
      </c>
      <c r="U149" s="1459"/>
      <c r="V149" s="1459"/>
      <c r="W149" s="1459"/>
      <c r="X149" s="1596"/>
      <c r="Y149" s="1459"/>
      <c r="Z149" s="1597"/>
      <c r="AA149" s="1459"/>
      <c r="AB149" s="714" t="s">
        <v>3043</v>
      </c>
      <c r="AC149" s="550" t="s">
        <v>1929</v>
      </c>
      <c r="AD149" s="548" t="s">
        <v>1514</v>
      </c>
      <c r="AE149" s="1332"/>
      <c r="AF149" s="1442"/>
      <c r="AG149" s="1442"/>
      <c r="AH149" s="1064" t="s">
        <v>1930</v>
      </c>
      <c r="AI149" s="1811"/>
      <c r="AJ149" s="1811"/>
      <c r="AK149" s="1444"/>
      <c r="AL149" s="1444"/>
      <c r="AM149" s="1834"/>
      <c r="AN149" s="1834"/>
      <c r="AO149" s="1834"/>
      <c r="AP149" s="1834"/>
    </row>
    <row s="1834" customFormat="1" customHeight="1" ht="14.25">
      <c r="A150" s="667"/>
      <c r="B150" s="1459"/>
      <c r="C150" s="1459"/>
      <c r="D150" s="1459"/>
      <c r="E150" s="649">
        <v>15</v>
      </c>
      <c r="F150" s="50" cm="1" t="str">
        <f t="array" ref="F150:F150">OFFSET(E150,-1,1)</f>
        <v>1</v>
      </c>
      <c r="G150" s="1459"/>
      <c r="H150" s="488" t="s">
        <v>3044</v>
      </c>
      <c r="I150" s="1459"/>
      <c r="J150" s="1459"/>
      <c r="K150" s="1459"/>
      <c r="L150" s="1459"/>
      <c r="M150" s="1459"/>
      <c r="N150" s="1459"/>
      <c r="O150" s="1459"/>
      <c r="P150" s="1459"/>
      <c r="Q150" s="1459"/>
      <c r="R150" s="1459"/>
      <c r="S150" s="1459"/>
      <c r="T150" s="465" cm="1" t="str">
        <f t="array" ref="T150:T150">T149</f>
        <v>true</v>
      </c>
      <c r="U150" s="1459"/>
      <c r="V150" s="1459"/>
      <c r="W150" s="1459"/>
      <c r="X150" s="1596"/>
      <c r="Y150" s="1459"/>
      <c r="Z150" s="1597"/>
      <c r="AA150" s="1459"/>
      <c r="AB150" s="714" t="s">
        <v>3045</v>
      </c>
      <c r="AC150" s="550" t="s">
        <v>1937</v>
      </c>
      <c r="AD150" s="548" t="s">
        <v>1514</v>
      </c>
      <c r="AE150" s="1332"/>
      <c r="AF150" s="1442"/>
      <c r="AG150" s="1442"/>
      <c r="AH150" s="1064" t="s">
        <v>1938</v>
      </c>
      <c r="AI150" s="1811"/>
      <c r="AJ150" s="1811"/>
      <c r="AK150" s="1444"/>
      <c r="AL150" s="1444"/>
      <c r="AM150" s="1834"/>
      <c r="AN150" s="1834"/>
      <c r="AO150" s="1834"/>
      <c r="AP150" s="1834"/>
    </row>
    <row s="1834" customFormat="1" customHeight="1" ht="32.25">
      <c r="A151" s="667"/>
      <c r="B151" s="1459"/>
      <c r="C151" s="1459"/>
      <c r="D151" s="1459"/>
      <c r="E151" s="649">
        <v>33.75</v>
      </c>
      <c r="F151" s="50" cm="1" t="str">
        <f t="array" ref="F151:F151">OFFSET(E151,-1,1)</f>
        <v>1</v>
      </c>
      <c r="G151" s="1459"/>
      <c r="H151" s="488" t="s">
        <v>2085</v>
      </c>
      <c r="I151" s="1459"/>
      <c r="J151" s="1459"/>
      <c r="K151" s="1459"/>
      <c r="L151" s="1459"/>
      <c r="M151" s="1459"/>
      <c r="N151" s="1459"/>
      <c r="O151" s="1459"/>
      <c r="P151" s="1459"/>
      <c r="Q151" s="1459"/>
      <c r="R151" s="1459"/>
      <c r="S151" s="1459"/>
      <c r="T151" s="465" cm="1" t="str">
        <f t="array" ref="T151:T151">T150</f>
        <v>true</v>
      </c>
      <c r="U151" s="1459"/>
      <c r="V151" s="1459"/>
      <c r="W151" s="1459"/>
      <c r="X151" s="1596"/>
      <c r="Y151" s="1459"/>
      <c r="Z151" s="1597"/>
      <c r="AA151" s="1459"/>
      <c r="AB151" s="714" t="s">
        <v>2086</v>
      </c>
      <c r="AC151" s="549" t="s">
        <v>3046</v>
      </c>
      <c r="AD151" s="548" t="s">
        <v>1514</v>
      </c>
      <c r="AE151" s="557">
        <f>AE152+AE155</f>
        <v>0</v>
      </c>
      <c r="AF151" s="1442"/>
      <c r="AG151" s="1442"/>
      <c r="AH151" s="1062" t="s">
        <v>2517</v>
      </c>
      <c r="AI151" s="1811"/>
      <c r="AJ151" s="1811"/>
      <c r="AK151" s="1444"/>
      <c r="AL151" s="1444"/>
      <c r="AM151" s="1834"/>
      <c r="AN151" s="1834"/>
      <c r="AO151" s="1834"/>
      <c r="AP151" s="1834"/>
    </row>
    <row s="1834" customFormat="1" customHeight="1" ht="21.75">
      <c r="A152" s="667"/>
      <c r="B152" s="1459"/>
      <c r="C152" s="1459"/>
      <c r="D152" s="1459"/>
      <c r="E152" s="649">
        <v>22.5</v>
      </c>
      <c r="F152" s="50" cm="1" t="str">
        <f t="array" ref="F152:F152">OFFSET(E152,-1,1)</f>
        <v>1</v>
      </c>
      <c r="G152" s="1459"/>
      <c r="H152" s="488" t="s">
        <v>3047</v>
      </c>
      <c r="I152" s="1459"/>
      <c r="J152" s="1459"/>
      <c r="K152" s="1459"/>
      <c r="L152" s="1459"/>
      <c r="M152" s="1459"/>
      <c r="N152" s="1459"/>
      <c r="O152" s="1459"/>
      <c r="P152" s="1459"/>
      <c r="Q152" s="1459"/>
      <c r="R152" s="1459"/>
      <c r="S152" s="1459"/>
      <c r="T152" s="465" cm="1" t="str">
        <f t="array" ref="T152:T152">T151</f>
        <v>true</v>
      </c>
      <c r="U152" s="1459"/>
      <c r="V152" s="1459"/>
      <c r="W152" s="1459"/>
      <c r="X152" s="1596"/>
      <c r="Y152" s="1459"/>
      <c r="Z152" s="1597"/>
      <c r="AA152" s="1459"/>
      <c r="AB152" s="714" t="s">
        <v>3048</v>
      </c>
      <c r="AC152" s="550" t="s">
        <v>2518</v>
      </c>
      <c r="AD152" s="548" t="s">
        <v>1514</v>
      </c>
      <c r="AE152" s="1332"/>
      <c r="AF152" s="1442"/>
      <c r="AG152" s="1442"/>
      <c r="AH152" s="1062" t="s">
        <v>1915</v>
      </c>
      <c r="AI152" s="1811"/>
      <c r="AJ152" s="1811"/>
      <c r="AK152" s="1444"/>
      <c r="AL152" s="1444"/>
      <c r="AM152" s="1834"/>
      <c r="AN152" s="1834"/>
      <c r="AO152" s="1834"/>
      <c r="AP152" s="1834"/>
    </row>
    <row s="1834" customFormat="1" customHeight="1" ht="14.25">
      <c r="A153" s="667"/>
      <c r="B153" s="1459"/>
      <c r="C153" s="1459"/>
      <c r="D153" s="1459"/>
      <c r="E153" s="649">
        <v>15</v>
      </c>
      <c r="F153" s="50" cm="1" t="str">
        <f t="array" ref="F153:F153">OFFSET(E153,-1,1)</f>
        <v>1</v>
      </c>
      <c r="G153" s="1459"/>
      <c r="H153" s="488" t="s">
        <v>3049</v>
      </c>
      <c r="I153" s="1459"/>
      <c r="J153" s="1459"/>
      <c r="K153" s="1459"/>
      <c r="L153" s="1459"/>
      <c r="M153" s="1459"/>
      <c r="N153" s="1459"/>
      <c r="O153" s="1459"/>
      <c r="P153" s="1459"/>
      <c r="Q153" s="1459"/>
      <c r="R153" s="1459"/>
      <c r="S153" s="1459"/>
      <c r="T153" s="465" cm="1" t="str">
        <f t="array" ref="T153:T153">T152</f>
        <v>true</v>
      </c>
      <c r="U153" s="1459"/>
      <c r="V153" s="1459"/>
      <c r="W153" s="1459"/>
      <c r="X153" s="1596"/>
      <c r="Y153" s="1459"/>
      <c r="Z153" s="1597"/>
      <c r="AA153" s="1459"/>
      <c r="AB153" s="714" t="s">
        <v>3050</v>
      </c>
      <c r="AC153" s="551" t="s">
        <v>3051</v>
      </c>
      <c r="AD153" s="548" t="s">
        <v>2993</v>
      </c>
      <c r="AE153" s="1332"/>
      <c r="AF153" s="1442"/>
      <c r="AG153" s="1442"/>
      <c r="AH153" s="1001" t="s">
        <v>3052</v>
      </c>
      <c r="AI153" s="1811"/>
      <c r="AJ153" s="1811"/>
      <c r="AK153" s="1444"/>
      <c r="AL153" s="1444"/>
      <c r="AM153" s="1834"/>
      <c r="AN153" s="1834"/>
      <c r="AO153" s="1834"/>
      <c r="AP153" s="1834"/>
    </row>
    <row s="1834" customFormat="1" customHeight="1" ht="21.75">
      <c r="A154" s="667"/>
      <c r="B154" s="1459"/>
      <c r="C154" s="1459"/>
      <c r="D154" s="1459"/>
      <c r="E154" s="649">
        <v>22.5</v>
      </c>
      <c r="F154" s="50" cm="1" t="str">
        <f t="array" ref="F154:F154">OFFSET(E154,-1,1)</f>
        <v>1</v>
      </c>
      <c r="G154" s="1459"/>
      <c r="H154" s="488" t="s">
        <v>3053</v>
      </c>
      <c r="I154" s="1459"/>
      <c r="J154" s="1459"/>
      <c r="K154" s="1459"/>
      <c r="L154" s="1459"/>
      <c r="M154" s="1459"/>
      <c r="N154" s="1459"/>
      <c r="O154" s="1459"/>
      <c r="P154" s="1459"/>
      <c r="Q154" s="1459"/>
      <c r="R154" s="1459"/>
      <c r="S154" s="1459"/>
      <c r="T154" s="465" cm="1" t="str">
        <f t="array" ref="T154:T154">T153</f>
        <v>true</v>
      </c>
      <c r="U154" s="1459"/>
      <c r="V154" s="1459"/>
      <c r="W154" s="1459"/>
      <c r="X154" s="1596"/>
      <c r="Y154" s="1459"/>
      <c r="Z154" s="1597"/>
      <c r="AA154" s="1459"/>
      <c r="AB154" s="714" t="s">
        <v>3054</v>
      </c>
      <c r="AC154" s="551" t="s">
        <v>3055</v>
      </c>
      <c r="AD154" s="548" t="s">
        <v>2998</v>
      </c>
      <c r="AE154" s="1332"/>
      <c r="AF154" s="1442"/>
      <c r="AG154" s="1442"/>
      <c r="AH154" s="1001" t="s">
        <v>3056</v>
      </c>
      <c r="AI154" s="1811"/>
      <c r="AJ154" s="1811"/>
      <c r="AK154" s="1444"/>
      <c r="AL154" s="1444"/>
      <c r="AM154" s="1834"/>
      <c r="AN154" s="1834"/>
      <c r="AO154" s="1834"/>
      <c r="AP154" s="1834"/>
    </row>
    <row s="1834" customFormat="1" customHeight="1" ht="21.75">
      <c r="A155" s="667"/>
      <c r="B155" s="1459"/>
      <c r="C155" s="1459"/>
      <c r="D155" s="1459"/>
      <c r="E155" s="649">
        <v>22.5</v>
      </c>
      <c r="F155" s="50" cm="1" t="str">
        <f t="array" ref="F155:F155">OFFSET(E155,-1,1)</f>
        <v>1</v>
      </c>
      <c r="G155" s="1459"/>
      <c r="H155" s="488" t="s">
        <v>3057</v>
      </c>
      <c r="I155" s="1459"/>
      <c r="J155" s="1459"/>
      <c r="K155" s="1459"/>
      <c r="L155" s="1459"/>
      <c r="M155" s="1459"/>
      <c r="N155" s="1459"/>
      <c r="O155" s="1459"/>
      <c r="P155" s="1459"/>
      <c r="Q155" s="1459"/>
      <c r="R155" s="1459"/>
      <c r="S155" s="1459"/>
      <c r="T155" s="465" cm="1" t="str">
        <f t="array" ref="T155:T155">T154</f>
        <v>true</v>
      </c>
      <c r="U155" s="1459"/>
      <c r="V155" s="1459"/>
      <c r="W155" s="1459"/>
      <c r="X155" s="1596"/>
      <c r="Y155" s="1459"/>
      <c r="Z155" s="1597"/>
      <c r="AA155" s="1459"/>
      <c r="AB155" s="714" t="s">
        <v>3058</v>
      </c>
      <c r="AC155" s="550" t="s">
        <v>2708</v>
      </c>
      <c r="AD155" s="548" t="s">
        <v>1514</v>
      </c>
      <c r="AE155" s="1332"/>
      <c r="AF155" s="1442"/>
      <c r="AG155" s="1442"/>
      <c r="AH155" s="1062" t="s">
        <v>2520</v>
      </c>
      <c r="AI155" s="1811"/>
      <c r="AJ155" s="1811"/>
      <c r="AK155" s="1444"/>
      <c r="AL155" s="1444"/>
      <c r="AM155" s="1834"/>
      <c r="AN155" s="1834"/>
      <c r="AO155" s="1834"/>
      <c r="AP155" s="1834"/>
    </row>
    <row s="1834" customFormat="1" customHeight="1" ht="21.75">
      <c r="A156" s="667"/>
      <c r="B156" s="1459"/>
      <c r="C156" s="1459"/>
      <c r="D156" s="1459"/>
      <c r="E156" s="649">
        <v>22.5</v>
      </c>
      <c r="F156" s="50" cm="1" t="str">
        <f t="array" ref="F156:F156">OFFSET(E156,-1,1)</f>
        <v>1</v>
      </c>
      <c r="G156" s="1459"/>
      <c r="H156" s="488" t="s">
        <v>2089</v>
      </c>
      <c r="I156" s="1459"/>
      <c r="J156" s="1459"/>
      <c r="K156" s="1459"/>
      <c r="L156" s="1459"/>
      <c r="M156" s="1459"/>
      <c r="N156" s="1459"/>
      <c r="O156" s="1459"/>
      <c r="P156" s="1459"/>
      <c r="Q156" s="1459"/>
      <c r="R156" s="1459"/>
      <c r="S156" s="1459"/>
      <c r="T156" s="465" cm="1" t="str">
        <f t="array" ref="T156:T156">T155</f>
        <v>true</v>
      </c>
      <c r="U156" s="1459"/>
      <c r="V156" s="1459"/>
      <c r="W156" s="1459"/>
      <c r="X156" s="1596"/>
      <c r="Y156" s="1459"/>
      <c r="Z156" s="1597"/>
      <c r="AA156" s="1459"/>
      <c r="AB156" s="714" t="s">
        <v>2090</v>
      </c>
      <c r="AC156" s="549" t="s">
        <v>3059</v>
      </c>
      <c r="AD156" s="548" t="s">
        <v>1514</v>
      </c>
      <c r="AE156" s="1332"/>
      <c r="AF156" s="1442"/>
      <c r="AG156" s="1442"/>
      <c r="AH156" s="1062" t="s">
        <v>1946</v>
      </c>
      <c r="AI156" s="1811"/>
      <c r="AJ156" s="1811"/>
      <c r="AK156" s="1444"/>
      <c r="AL156" s="1444"/>
      <c r="AM156" s="1834"/>
      <c r="AN156" s="1834"/>
      <c r="AO156" s="1834"/>
      <c r="AP156" s="1834"/>
    </row>
    <row s="1834" customFormat="1" customHeight="1" ht="14.25">
      <c r="A157" s="667"/>
      <c r="B157" s="1459"/>
      <c r="C157" s="1459"/>
      <c r="D157" s="1459"/>
      <c r="E157" s="649">
        <v>15</v>
      </c>
      <c r="F157" s="50" cm="1" t="str">
        <f t="array" ref="F157:F157">OFFSET(E157,-1,1)</f>
        <v>1</v>
      </c>
      <c r="G157" s="1459"/>
      <c r="H157" s="488" t="s">
        <v>3060</v>
      </c>
      <c r="I157" s="1459"/>
      <c r="J157" s="1459"/>
      <c r="K157" s="1459"/>
      <c r="L157" s="1459"/>
      <c r="M157" s="1459"/>
      <c r="N157" s="1459"/>
      <c r="O157" s="1459"/>
      <c r="P157" s="1459"/>
      <c r="Q157" s="1459"/>
      <c r="R157" s="1459"/>
      <c r="S157" s="1459"/>
      <c r="T157" s="465" cm="1" t="str">
        <f t="array" ref="T157:T157">T156</f>
        <v>true</v>
      </c>
      <c r="U157" s="1459"/>
      <c r="V157" s="1459"/>
      <c r="W157" s="1459"/>
      <c r="X157" s="1596"/>
      <c r="Y157" s="1459"/>
      <c r="Z157" s="1597"/>
      <c r="AA157" s="1459"/>
      <c r="AB157" s="714" t="s">
        <v>3061</v>
      </c>
      <c r="AC157" s="549" t="s">
        <v>1948</v>
      </c>
      <c r="AD157" s="548" t="s">
        <v>1514</v>
      </c>
      <c r="AE157" s="1332"/>
      <c r="AF157" s="1442"/>
      <c r="AG157" s="1442"/>
      <c r="AH157" s="1062" t="s">
        <v>1949</v>
      </c>
      <c r="AI157" s="1811"/>
      <c r="AJ157" s="1811"/>
      <c r="AK157" s="1444"/>
      <c r="AL157" s="1444"/>
      <c r="AM157" s="1834"/>
      <c r="AN157" s="1834"/>
      <c r="AO157" s="1834"/>
      <c r="AP157" s="1834"/>
    </row>
    <row s="1834" customFormat="1" customHeight="1" ht="14.25">
      <c r="A158" s="667"/>
      <c r="B158" s="1459"/>
      <c r="C158" s="1459"/>
      <c r="D158" s="1459"/>
      <c r="E158" s="649">
        <v>15</v>
      </c>
      <c r="F158" s="50" cm="1" t="str">
        <f t="array" ref="F158:F158">OFFSET(E158,-1,1)</f>
        <v>1</v>
      </c>
      <c r="G158" s="1459"/>
      <c r="H158" s="488" t="s">
        <v>3062</v>
      </c>
      <c r="I158" s="1459"/>
      <c r="J158" s="1459"/>
      <c r="K158" s="1459"/>
      <c r="L158" s="1459"/>
      <c r="M158" s="1459"/>
      <c r="N158" s="1459"/>
      <c r="O158" s="1459"/>
      <c r="P158" s="1459"/>
      <c r="Q158" s="1459"/>
      <c r="R158" s="1459"/>
      <c r="S158" s="1459"/>
      <c r="T158" s="465" cm="1" t="str">
        <f t="array" ref="T158:T158">T157</f>
        <v>true</v>
      </c>
      <c r="U158" s="1459"/>
      <c r="V158" s="1459"/>
      <c r="W158" s="1459"/>
      <c r="X158" s="1596"/>
      <c r="Y158" s="1459"/>
      <c r="Z158" s="1597"/>
      <c r="AA158" s="1459"/>
      <c r="AB158" s="714" t="s">
        <v>3063</v>
      </c>
      <c r="AC158" s="549" t="s">
        <v>1951</v>
      </c>
      <c r="AD158" s="548" t="s">
        <v>1514</v>
      </c>
      <c r="AE158" s="1332"/>
      <c r="AF158" s="1442"/>
      <c r="AG158" s="1442"/>
      <c r="AH158" s="1062" t="s">
        <v>1952</v>
      </c>
      <c r="AI158" s="1811"/>
      <c r="AJ158" s="1811"/>
      <c r="AK158" s="1444"/>
      <c r="AL158" s="1444"/>
      <c r="AM158" s="1834"/>
      <c r="AN158" s="1834"/>
      <c r="AO158" s="1834"/>
      <c r="AP158" s="1834"/>
    </row>
    <row s="1834" customFormat="1" customHeight="1" ht="21.75">
      <c r="A159" s="667"/>
      <c r="B159" s="1459"/>
      <c r="C159" s="1459"/>
      <c r="D159" s="1459"/>
      <c r="E159" s="649">
        <v>22.5</v>
      </c>
      <c r="F159" s="50" cm="1" t="str">
        <f t="array" ref="F159:F159">OFFSET(E159,-1,1)</f>
        <v>1</v>
      </c>
      <c r="G159" s="1459"/>
      <c r="H159" s="488" t="s">
        <v>3064</v>
      </c>
      <c r="I159" s="1459"/>
      <c r="J159" s="1459"/>
      <c r="K159" s="1459"/>
      <c r="L159" s="1459"/>
      <c r="M159" s="1459"/>
      <c r="N159" s="1459"/>
      <c r="O159" s="1459"/>
      <c r="P159" s="1459"/>
      <c r="Q159" s="1459"/>
      <c r="R159" s="1459"/>
      <c r="S159" s="1459"/>
      <c r="T159" s="465" cm="1" t="str">
        <f t="array" ref="T159:T159">T158</f>
        <v>true</v>
      </c>
      <c r="U159" s="1459"/>
      <c r="V159" s="1459"/>
      <c r="W159" s="1459"/>
      <c r="X159" s="1596"/>
      <c r="Y159" s="1459"/>
      <c r="Z159" s="1597"/>
      <c r="AA159" s="1459"/>
      <c r="AB159" s="714" t="s">
        <v>3065</v>
      </c>
      <c r="AC159" s="549" t="s">
        <v>3066</v>
      </c>
      <c r="AD159" s="548" t="s">
        <v>1514</v>
      </c>
      <c r="AE159" s="1332"/>
      <c r="AF159" s="1442"/>
      <c r="AG159" s="1442"/>
      <c r="AH159" s="1062" t="s">
        <v>2522</v>
      </c>
      <c r="AI159" s="1811"/>
      <c r="AJ159" s="1811"/>
      <c r="AK159" s="1444"/>
      <c r="AL159" s="1444"/>
      <c r="AM159" s="1834"/>
      <c r="AN159" s="1834"/>
      <c r="AO159" s="1834"/>
      <c r="AP159" s="1834"/>
    </row>
    <row s="1834" customFormat="1" customHeight="1" ht="14.25">
      <c r="A160" s="667"/>
      <c r="B160" s="1459"/>
      <c r="C160" s="1459"/>
      <c r="D160" s="1459"/>
      <c r="E160" s="649">
        <v>15</v>
      </c>
      <c r="F160" s="50" cm="1" t="str">
        <f t="array" ref="F160:F160">OFFSET(E160,-1,1)</f>
        <v>1</v>
      </c>
      <c r="G160" s="1459"/>
      <c r="H160" s="488" t="s">
        <v>3067</v>
      </c>
      <c r="I160" s="1459"/>
      <c r="J160" s="1459"/>
      <c r="K160" s="1459"/>
      <c r="L160" s="1459"/>
      <c r="M160" s="1459"/>
      <c r="N160" s="1459"/>
      <c r="O160" s="1459"/>
      <c r="P160" s="1459"/>
      <c r="Q160" s="1459"/>
      <c r="R160" s="1459"/>
      <c r="S160" s="1459"/>
      <c r="T160" s="465" cm="1" t="str">
        <f t="array" ref="T160:T160">T159</f>
        <v>true</v>
      </c>
      <c r="U160" s="1459"/>
      <c r="V160" s="1459"/>
      <c r="W160" s="1459"/>
      <c r="X160" s="1596"/>
      <c r="Y160" s="1459"/>
      <c r="Z160" s="1597"/>
      <c r="AA160" s="1459"/>
      <c r="AB160" s="714" t="s">
        <v>3068</v>
      </c>
      <c r="AC160" s="549" t="s">
        <v>3069</v>
      </c>
      <c r="AD160" s="548" t="s">
        <v>1514</v>
      </c>
      <c r="AE160" s="557">
        <f>AE161+AE162+AE163</f>
        <v>0</v>
      </c>
      <c r="AF160" s="1442"/>
      <c r="AG160" s="1442"/>
      <c r="AH160" s="1062" t="s">
        <v>2524</v>
      </c>
      <c r="AI160" s="1811"/>
      <c r="AJ160" s="1811"/>
      <c r="AK160" s="1444"/>
      <c r="AL160" s="1444"/>
      <c r="AM160" s="1834"/>
      <c r="AN160" s="1834"/>
      <c r="AO160" s="1834"/>
      <c r="AP160" s="1834"/>
    </row>
    <row s="1834" customFormat="1" customHeight="1" ht="14.25">
      <c r="A161" s="667"/>
      <c r="B161" s="1459"/>
      <c r="C161" s="1459"/>
      <c r="D161" s="1459"/>
      <c r="E161" s="649">
        <v>15</v>
      </c>
      <c r="F161" s="50" cm="1" t="str">
        <f t="array" ref="F161:F161">OFFSET(E161,-1,1)</f>
        <v>1</v>
      </c>
      <c r="G161" s="1459"/>
      <c r="H161" s="488" t="s">
        <v>3070</v>
      </c>
      <c r="I161" s="1459"/>
      <c r="J161" s="1459"/>
      <c r="K161" s="1459"/>
      <c r="L161" s="1459"/>
      <c r="M161" s="1459"/>
      <c r="N161" s="1459"/>
      <c r="O161" s="1459"/>
      <c r="P161" s="1459"/>
      <c r="Q161" s="1459"/>
      <c r="R161" s="1459"/>
      <c r="S161" s="1459"/>
      <c r="T161" s="465" cm="1" t="str">
        <f t="array" ref="T161:T161">T160</f>
        <v>true</v>
      </c>
      <c r="U161" s="1459"/>
      <c r="V161" s="1459"/>
      <c r="W161" s="1459"/>
      <c r="X161" s="1596"/>
      <c r="Y161" s="1459"/>
      <c r="Z161" s="1597"/>
      <c r="AA161" s="1459"/>
      <c r="AB161" s="714" t="s">
        <v>3071</v>
      </c>
      <c r="AC161" s="550" t="s">
        <v>3072</v>
      </c>
      <c r="AD161" s="548" t="s">
        <v>1514</v>
      </c>
      <c r="AE161" s="1332"/>
      <c r="AF161" s="1442"/>
      <c r="AG161" s="1442"/>
      <c r="AH161" s="1062" t="s">
        <v>2528</v>
      </c>
      <c r="AI161" s="1811"/>
      <c r="AJ161" s="1811"/>
      <c r="AK161" s="1444"/>
      <c r="AL161" s="1444"/>
      <c r="AM161" s="1834"/>
      <c r="AN161" s="1834"/>
      <c r="AO161" s="1834"/>
      <c r="AP161" s="1834"/>
    </row>
    <row s="1834" customFormat="1" customHeight="1" ht="14.25">
      <c r="A162" s="667"/>
      <c r="B162" s="1459"/>
      <c r="C162" s="1459"/>
      <c r="D162" s="1459"/>
      <c r="E162" s="649">
        <v>15</v>
      </c>
      <c r="F162" s="50" cm="1" t="str">
        <f t="array" ref="F162:F162">OFFSET(E162,-1,1)</f>
        <v>1</v>
      </c>
      <c r="G162" s="1459"/>
      <c r="H162" s="488" t="s">
        <v>3073</v>
      </c>
      <c r="I162" s="1459"/>
      <c r="J162" s="1459"/>
      <c r="K162" s="1459"/>
      <c r="L162" s="1459"/>
      <c r="M162" s="1459"/>
      <c r="N162" s="1459"/>
      <c r="O162" s="1459"/>
      <c r="P162" s="1459"/>
      <c r="Q162" s="1459"/>
      <c r="R162" s="1459"/>
      <c r="S162" s="1459"/>
      <c r="T162" s="465" cm="1" t="str">
        <f t="array" ref="T162:T162">T161</f>
        <v>true</v>
      </c>
      <c r="U162" s="1459"/>
      <c r="V162" s="1459"/>
      <c r="W162" s="1459"/>
      <c r="X162" s="1596"/>
      <c r="Y162" s="1459"/>
      <c r="Z162" s="1597"/>
      <c r="AA162" s="1459"/>
      <c r="AB162" s="715" t="s">
        <v>3074</v>
      </c>
      <c r="AC162" s="552" t="s">
        <v>3075</v>
      </c>
      <c r="AD162" s="553" t="s">
        <v>1514</v>
      </c>
      <c r="AE162" s="1332"/>
      <c r="AF162" s="1442"/>
      <c r="AG162" s="1442"/>
      <c r="AH162" s="1062" t="s">
        <v>2531</v>
      </c>
      <c r="AI162" s="1811"/>
      <c r="AJ162" s="1811"/>
      <c r="AK162" s="1444"/>
      <c r="AL162" s="1444"/>
      <c r="AM162" s="1834"/>
      <c r="AN162" s="1834"/>
      <c r="AO162" s="1834"/>
      <c r="AP162" s="1834"/>
    </row>
    <row s="1834" customFormat="1" customHeight="1" ht="14.25">
      <c r="A163" s="667"/>
      <c r="B163" s="1459"/>
      <c r="C163" s="1459"/>
      <c r="D163" s="1459"/>
      <c r="E163" s="649">
        <v>15</v>
      </c>
      <c r="F163" s="50" cm="1" t="str">
        <f t="array" ref="F163:F163">OFFSET(E163,-1,1)</f>
        <v>1</v>
      </c>
      <c r="G163" s="1459"/>
      <c r="H163" s="488" t="s">
        <v>3076</v>
      </c>
      <c r="I163" s="1459"/>
      <c r="J163" s="1459"/>
      <c r="K163" s="1459"/>
      <c r="L163" s="1459"/>
      <c r="M163" s="1459"/>
      <c r="N163" s="1459"/>
      <c r="O163" s="1459"/>
      <c r="P163" s="1459"/>
      <c r="Q163" s="1459"/>
      <c r="R163" s="1459"/>
      <c r="S163" s="1459"/>
      <c r="T163" s="465" cm="1" t="str">
        <f t="array" ref="T163:T163">T162</f>
        <v>true</v>
      </c>
      <c r="U163" s="1459"/>
      <c r="V163" s="1459"/>
      <c r="W163" s="1459"/>
      <c r="X163" s="1596"/>
      <c r="Y163" s="1459"/>
      <c r="Z163" s="1597"/>
      <c r="AA163" s="1459"/>
      <c r="AB163" s="715" t="s">
        <v>3077</v>
      </c>
      <c r="AC163" s="552" t="s">
        <v>1965</v>
      </c>
      <c r="AD163" s="553" t="s">
        <v>1514</v>
      </c>
      <c r="AE163" s="1332"/>
      <c r="AF163" s="1442"/>
      <c r="AG163" s="1442"/>
      <c r="AH163" s="1062" t="s">
        <v>2534</v>
      </c>
      <c r="AI163" s="1811"/>
      <c r="AJ163" s="1811"/>
      <c r="AK163" s="1444"/>
      <c r="AL163" s="1444"/>
      <c r="AM163" s="1834"/>
      <c r="AN163" s="1834"/>
      <c r="AO163" s="1834"/>
      <c r="AP163" s="1834"/>
    </row>
    <row s="1834" customFormat="1" customHeight="1" ht="14.25">
      <c r="A164" s="667"/>
      <c r="B164" s="1459"/>
      <c r="C164" s="1459"/>
      <c r="D164" s="1459"/>
      <c r="E164" s="649">
        <v>15</v>
      </c>
      <c r="F164" s="50" cm="1" t="str">
        <f t="array" ref="F164:F164">OFFSET(E164,-1,1)</f>
        <v>1</v>
      </c>
      <c r="G164" s="1459"/>
      <c r="H164" s="488" t="s">
        <v>1186</v>
      </c>
      <c r="I164" s="1459"/>
      <c r="J164" s="1459"/>
      <c r="K164" s="1459"/>
      <c r="L164" s="1459"/>
      <c r="M164" s="1459"/>
      <c r="N164" s="1459"/>
      <c r="O164" s="1459"/>
      <c r="P164" s="1459"/>
      <c r="Q164" s="1459"/>
      <c r="R164" s="1459"/>
      <c r="S164" s="1459"/>
      <c r="T164" s="465" cm="1" t="str">
        <f t="array" ref="T164:T164">T163</f>
        <v>true</v>
      </c>
      <c r="U164" s="1459"/>
      <c r="V164" s="1459"/>
      <c r="W164" s="1459"/>
      <c r="X164" s="1596"/>
      <c r="Y164" s="1459"/>
      <c r="Z164" s="1597"/>
      <c r="AA164" s="1459"/>
      <c r="AB164" s="715" t="s">
        <v>1637</v>
      </c>
      <c r="AC164" s="554" t="s">
        <v>3078</v>
      </c>
      <c r="AD164" s="553" t="s">
        <v>1514</v>
      </c>
      <c r="AE164" s="557">
        <f>SUM(AE165:AE166)</f>
        <v>0</v>
      </c>
      <c r="AF164" s="1442"/>
      <c r="AG164" s="1442"/>
      <c r="AH164" s="1064" t="s">
        <v>3079</v>
      </c>
      <c r="AI164" s="1811"/>
      <c r="AJ164" s="1811"/>
      <c r="AK164" s="1444"/>
      <c r="AL164" s="1444"/>
      <c r="AM164" s="1834"/>
      <c r="AN164" s="1834"/>
      <c r="AO164" s="1834"/>
      <c r="AP164" s="1834"/>
    </row>
    <row s="1834" customFormat="1" customHeight="1" ht="14.25" hidden="1">
      <c r="A165" s="667"/>
      <c r="B165" s="1459"/>
      <c r="C165" s="1459"/>
      <c r="D165" s="1459"/>
      <c r="E165" s="649">
        <v>15</v>
      </c>
      <c r="F165" s="50" cm="1" t="str">
        <f t="array" ref="F165:F165">OFFSET(E165,-1,1)</f>
        <v>1</v>
      </c>
      <c r="G165" s="1459"/>
      <c r="H165" s="488" t="s">
        <v>1186</v>
      </c>
      <c r="I165" s="563" cm="1" t="str">
        <f t="array" ref="I165:I165">AC165</f>
        <v>0</v>
      </c>
      <c r="J165" s="1459"/>
      <c r="K165" s="1459"/>
      <c r="L165" s="1459"/>
      <c r="M165" s="1459"/>
      <c r="N165" s="1459"/>
      <c r="O165" s="1459"/>
      <c r="P165" s="1459"/>
      <c r="Q165" s="1459"/>
      <c r="R165" s="1459"/>
      <c r="S165" s="1459"/>
      <c r="T165" s="465">
        <f>AND(F165&gt;0,Y165&gt;0)</f>
        <v>0</v>
      </c>
      <c r="U165" s="1459"/>
      <c r="V165" s="1459"/>
      <c r="W165" s="555" t="s">
        <v>174</v>
      </c>
      <c r="X165" s="1596"/>
      <c r="Y165" s="488">
        <v>0</v>
      </c>
      <c r="Z165" s="1597"/>
      <c r="AA165" s="1276" t="s">
        <v>175</v>
      </c>
      <c r="AB165" s="714" t="str">
        <f>"1.4."&amp;Y165</f>
        <v>1.4.0</v>
      </c>
      <c r="AC165" s="8363"/>
      <c r="AD165" s="548" t="s">
        <v>1514</v>
      </c>
      <c r="AE165" s="8364"/>
      <c r="AF165" s="1442"/>
      <c r="AG165" s="1442"/>
      <c r="AH165" s="1064" t="s">
        <v>3079</v>
      </c>
      <c r="AI165" s="1001" t="s">
        <v>3080</v>
      </c>
      <c r="AJ165" s="1001" cm="1" t="str">
        <f t="array" ref="AJ165:AJ165">AC165</f>
        <v>0</v>
      </c>
      <c r="AK165" s="1444"/>
      <c r="AL165" s="656" t="b">
        <v>1</v>
      </c>
      <c r="AM165" s="1834"/>
      <c r="AN165" s="1834"/>
      <c r="AO165" s="1834"/>
      <c r="AP165" s="1834"/>
    </row>
    <row s="1834" customFormat="1" customHeight="1" ht="14.25">
      <c r="A166" s="667"/>
      <c r="B166" s="1459"/>
      <c r="C166" s="1459"/>
      <c r="D166" s="1459"/>
      <c r="E166" s="649">
        <v>15</v>
      </c>
      <c r="F166" s="50" cm="1" t="str">
        <f t="array" ref="F166:F166">OFFSET(E166,-1,1)</f>
        <v>1</v>
      </c>
      <c r="G166" s="1459"/>
      <c r="H166" s="1459"/>
      <c r="I166" s="1278" t="str">
        <f>"!== 'не определено' &amp;&amp; row.l1_4 !== null"</f>
        <v>!== 'не определено' &amp;&amp; row.l1_4 !== null</v>
      </c>
      <c r="J166" s="1459"/>
      <c r="K166" s="1459"/>
      <c r="L166" s="1459"/>
      <c r="M166" s="1459"/>
      <c r="N166" s="1459"/>
      <c r="O166" s="1459"/>
      <c r="P166" s="1459"/>
      <c r="Q166" s="1459"/>
      <c r="R166" s="1459"/>
      <c r="S166" s="1459"/>
      <c r="T166" s="465">
        <f>F166&gt;0</f>
        <v>1</v>
      </c>
      <c r="U166" s="1459"/>
      <c r="V166" s="1459"/>
      <c r="W166" s="1366" t="s">
        <v>399</v>
      </c>
      <c r="X166" s="1596"/>
      <c r="Y166" s="1459"/>
      <c r="Z166" s="1597"/>
      <c r="AA166" s="1459"/>
      <c r="AB166" s="1279"/>
      <c r="AC166" s="1280" t="s">
        <v>178</v>
      </c>
      <c r="AD166" s="1281"/>
      <c r="AE166" s="1333"/>
      <c r="AF166" s="1442"/>
      <c r="AG166" s="1442"/>
      <c r="AH166" s="1811"/>
      <c r="AI166" s="1811"/>
      <c r="AJ166" s="1811"/>
      <c r="AK166" s="656" t="s">
        <v>3080</v>
      </c>
      <c r="AL166" s="1444"/>
      <c r="AM166" s="1834"/>
      <c r="AN166" s="1834"/>
      <c r="AO166" s="1834"/>
      <c r="AP166" s="1834"/>
    </row>
    <row s="1834" customFormat="1" customHeight="1" ht="14.25">
      <c r="A167" s="667"/>
      <c r="B167" s="1459"/>
      <c r="C167" s="1459"/>
      <c r="D167" s="1459"/>
      <c r="E167" s="649">
        <v>15</v>
      </c>
      <c r="F167" s="50" cm="1" t="str">
        <f t="array" ref="F167:F167">OFFSET(E167,-1,1)</f>
        <v>1</v>
      </c>
      <c r="G167" s="1459"/>
      <c r="H167" s="488" t="s">
        <v>333</v>
      </c>
      <c r="I167" s="1459"/>
      <c r="J167" s="1459"/>
      <c r="K167" s="1459"/>
      <c r="L167" s="1459"/>
      <c r="M167" s="1459"/>
      <c r="N167" s="1459"/>
      <c r="O167" s="1459"/>
      <c r="P167" s="1459"/>
      <c r="Q167" s="1459"/>
      <c r="R167" s="1459"/>
      <c r="S167" s="1459"/>
      <c r="T167" s="465" cm="1" t="str">
        <f t="array" ref="T167:T167">T166</f>
        <v>true</v>
      </c>
      <c r="U167" s="1459"/>
      <c r="V167" s="1459"/>
      <c r="W167" s="1459"/>
      <c r="X167" s="1596"/>
      <c r="Y167" s="1459"/>
      <c r="Z167" s="1597"/>
      <c r="AA167" s="1459"/>
      <c r="AB167" s="713" t="s">
        <v>285</v>
      </c>
      <c r="AC167" s="545" t="s">
        <v>2733</v>
      </c>
      <c r="AD167" s="546" t="s">
        <v>1514</v>
      </c>
      <c r="AE167" s="557">
        <f>AE168+AE180+AE181+AE191+AE192+AE193+AE196+AE197+AE198+AE199+AE200+AE201</f>
        <v>0</v>
      </c>
      <c r="AF167" s="1442"/>
      <c r="AG167" s="1442"/>
      <c r="AH167" s="1001" t="s">
        <v>3081</v>
      </c>
      <c r="AI167" s="1811"/>
      <c r="AJ167" s="1811"/>
      <c r="AK167" s="1444"/>
      <c r="AL167" s="1444"/>
      <c r="AM167" s="1834"/>
      <c r="AN167" s="1834"/>
      <c r="AO167" s="1834"/>
      <c r="AP167" s="1834"/>
    </row>
    <row s="1806" customFormat="1" customHeight="1" ht="26.25">
      <c r="A168" s="667"/>
      <c r="B168" s="488"/>
      <c r="C168" s="488"/>
      <c r="D168" s="488"/>
      <c r="E168" s="649">
        <v>27</v>
      </c>
      <c r="F168" s="523" cm="1" t="str">
        <f t="array" ref="F168:F168">OFFSET(E168,-1,1)</f>
        <v>1</v>
      </c>
      <c r="G168" s="488"/>
      <c r="H168" s="488"/>
      <c r="I168" s="488"/>
      <c r="J168" s="488"/>
      <c r="K168" s="488"/>
      <c r="L168" s="488"/>
      <c r="M168" s="488"/>
      <c r="N168" s="488"/>
      <c r="O168" s="488"/>
      <c r="P168" s="488"/>
      <c r="Q168" s="488"/>
      <c r="R168" s="488"/>
      <c r="S168" s="488"/>
      <c r="T168" s="465" cm="1" t="str">
        <f t="array" ref="T168:T168">T167</f>
        <v>true</v>
      </c>
      <c r="U168" s="488"/>
      <c r="V168" s="488"/>
      <c r="W168" s="488"/>
      <c r="X168" s="1596"/>
      <c r="Y168" s="488"/>
      <c r="Z168" s="1597"/>
      <c r="AA168" s="488"/>
      <c r="AB168" s="1270" t="s">
        <v>1250</v>
      </c>
      <c r="AC168" s="1282" t="s">
        <v>2735</v>
      </c>
      <c r="AD168" s="1269" t="s">
        <v>1514</v>
      </c>
      <c r="AE168" s="557">
        <f>SUM(AE169:AE179)</f>
        <v>0</v>
      </c>
      <c r="AF168" s="1108"/>
      <c r="AG168" s="1108"/>
      <c r="AH168" s="1064" t="s">
        <v>1966</v>
      </c>
      <c r="AI168" s="1058"/>
      <c r="AJ168" s="1058"/>
      <c r="AK168" s="965"/>
      <c r="AL168" s="965"/>
      <c r="AM168" s="1806"/>
      <c r="AN168" s="1806"/>
      <c r="AO168" s="1806"/>
      <c r="AP168" s="1806"/>
    </row>
    <row s="1806" customFormat="1" customHeight="1" ht="14.25">
      <c r="A169" s="667"/>
      <c r="B169" s="488"/>
      <c r="C169" s="488"/>
      <c r="D169" s="488"/>
      <c r="E169" s="649">
        <v>15</v>
      </c>
      <c r="F169" s="523" cm="1" t="str">
        <f t="array" ref="F169:F169">OFFSET(E169,-1,1)</f>
        <v>1</v>
      </c>
      <c r="G169" s="488"/>
      <c r="H169" s="488"/>
      <c r="I169" s="488"/>
      <c r="J169" s="488"/>
      <c r="K169" s="488"/>
      <c r="L169" s="488"/>
      <c r="M169" s="488"/>
      <c r="N169" s="488"/>
      <c r="O169" s="488"/>
      <c r="P169" s="488"/>
      <c r="Q169" s="488"/>
      <c r="R169" s="488"/>
      <c r="S169" s="488"/>
      <c r="T169" s="465" cm="1" t="str">
        <f t="array" ref="T169:T169">T168</f>
        <v>true</v>
      </c>
      <c r="U169" s="488"/>
      <c r="V169" s="488"/>
      <c r="W169" s="488"/>
      <c r="X169" s="1596"/>
      <c r="Y169" s="488"/>
      <c r="Z169" s="1597"/>
      <c r="AA169" s="488"/>
      <c r="AB169" s="1270" t="s">
        <v>1201</v>
      </c>
      <c r="AC169" s="1273" t="s">
        <v>2737</v>
      </c>
      <c r="AD169" s="1272" t="s">
        <v>1514</v>
      </c>
      <c r="AE169" s="558"/>
      <c r="AF169" s="1108"/>
      <c r="AG169" s="1108"/>
      <c r="AH169" s="1064" t="s">
        <v>3082</v>
      </c>
      <c r="AI169" s="1058"/>
      <c r="AJ169" s="1058"/>
      <c r="AK169" s="965"/>
      <c r="AL169" s="965"/>
      <c r="AM169" s="1806"/>
      <c r="AN169" s="1806"/>
      <c r="AO169" s="1806"/>
      <c r="AP169" s="1806"/>
    </row>
    <row s="1806" customFormat="1" customHeight="1" ht="14.25">
      <c r="A170" s="667"/>
      <c r="B170" s="488"/>
      <c r="C170" s="488"/>
      <c r="D170" s="488"/>
      <c r="E170" s="649">
        <v>15</v>
      </c>
      <c r="F170" s="523" cm="1" t="str">
        <f t="array" ref="F170:F170">OFFSET(E170,-1,1)</f>
        <v>1</v>
      </c>
      <c r="G170" s="488"/>
      <c r="H170" s="488"/>
      <c r="I170" s="488"/>
      <c r="J170" s="488"/>
      <c r="K170" s="488"/>
      <c r="L170" s="488"/>
      <c r="M170" s="488"/>
      <c r="N170" s="488"/>
      <c r="O170" s="488"/>
      <c r="P170" s="488"/>
      <c r="Q170" s="488"/>
      <c r="R170" s="488"/>
      <c r="S170" s="488"/>
      <c r="T170" s="465" cm="1" t="str">
        <f t="array" ref="T170:T170">T169</f>
        <v>true</v>
      </c>
      <c r="U170" s="488"/>
      <c r="V170" s="488"/>
      <c r="W170" s="488"/>
      <c r="X170" s="1596"/>
      <c r="Y170" s="488"/>
      <c r="Z170" s="1597"/>
      <c r="AA170" s="488"/>
      <c r="AB170" s="1270" t="s">
        <v>2738</v>
      </c>
      <c r="AC170" s="1273" t="s">
        <v>2739</v>
      </c>
      <c r="AD170" s="1272" t="s">
        <v>1514</v>
      </c>
      <c r="AE170" s="558"/>
      <c r="AF170" s="1108"/>
      <c r="AG170" s="1108"/>
      <c r="AH170" s="1064" t="s">
        <v>3083</v>
      </c>
      <c r="AI170" s="1058"/>
      <c r="AJ170" s="1058"/>
      <c r="AK170" s="965"/>
      <c r="AL170" s="965"/>
      <c r="AM170" s="1806"/>
      <c r="AN170" s="1806"/>
      <c r="AO170" s="1806"/>
      <c r="AP170" s="1806"/>
    </row>
    <row s="1806" customFormat="1" customHeight="1" ht="14.25">
      <c r="A171" s="667"/>
      <c r="B171" s="488"/>
      <c r="C171" s="488"/>
      <c r="D171" s="488"/>
      <c r="E171" s="649">
        <v>15</v>
      </c>
      <c r="F171" s="523" cm="1" t="str">
        <f t="array" ref="F171:F171">OFFSET(E171,-1,1)</f>
        <v>1</v>
      </c>
      <c r="G171" s="488"/>
      <c r="H171" s="488"/>
      <c r="I171" s="488"/>
      <c r="J171" s="488"/>
      <c r="K171" s="488"/>
      <c r="L171" s="488"/>
      <c r="M171" s="488"/>
      <c r="N171" s="488"/>
      <c r="O171" s="488"/>
      <c r="P171" s="488"/>
      <c r="Q171" s="488"/>
      <c r="R171" s="488"/>
      <c r="S171" s="488"/>
      <c r="T171" s="465" cm="1" t="str">
        <f t="array" ref="T171:T171">T170</f>
        <v>true</v>
      </c>
      <c r="U171" s="488"/>
      <c r="V171" s="488"/>
      <c r="W171" s="488"/>
      <c r="X171" s="1596"/>
      <c r="Y171" s="488"/>
      <c r="Z171" s="1597"/>
      <c r="AA171" s="488"/>
      <c r="AB171" s="1270" t="s">
        <v>2740</v>
      </c>
      <c r="AC171" s="1273" t="s">
        <v>2741</v>
      </c>
      <c r="AD171" s="1272" t="s">
        <v>1514</v>
      </c>
      <c r="AE171" s="558"/>
      <c r="AF171" s="1108"/>
      <c r="AG171" s="1108"/>
      <c r="AH171" s="1064" t="s">
        <v>3084</v>
      </c>
      <c r="AI171" s="1058"/>
      <c r="AJ171" s="1058"/>
      <c r="AK171" s="965"/>
      <c r="AL171" s="965"/>
      <c r="AM171" s="1806"/>
      <c r="AN171" s="1806"/>
      <c r="AO171" s="1806"/>
      <c r="AP171" s="1806"/>
    </row>
    <row s="1806" customFormat="1" customHeight="1" ht="14.25">
      <c r="A172" s="667"/>
      <c r="B172" s="488"/>
      <c r="C172" s="488"/>
      <c r="D172" s="488"/>
      <c r="E172" s="649">
        <v>15</v>
      </c>
      <c r="F172" s="523" cm="1" t="str">
        <f t="array" ref="F172:F172">OFFSET(E172,-1,1)</f>
        <v>1</v>
      </c>
      <c r="G172" s="488"/>
      <c r="H172" s="488"/>
      <c r="I172" s="488"/>
      <c r="J172" s="488"/>
      <c r="K172" s="488"/>
      <c r="L172" s="488"/>
      <c r="M172" s="488"/>
      <c r="N172" s="488"/>
      <c r="O172" s="488"/>
      <c r="P172" s="488"/>
      <c r="Q172" s="488"/>
      <c r="R172" s="488"/>
      <c r="S172" s="488"/>
      <c r="T172" s="465" cm="1" t="str">
        <f t="array" ref="T172:T172">T171</f>
        <v>true</v>
      </c>
      <c r="U172" s="488"/>
      <c r="V172" s="488"/>
      <c r="W172" s="488"/>
      <c r="X172" s="1596"/>
      <c r="Y172" s="488"/>
      <c r="Z172" s="1597"/>
      <c r="AA172" s="488"/>
      <c r="AB172" s="1270" t="s">
        <v>2743</v>
      </c>
      <c r="AC172" s="1273" t="s">
        <v>2744</v>
      </c>
      <c r="AD172" s="1272" t="s">
        <v>1514</v>
      </c>
      <c r="AE172" s="558"/>
      <c r="AF172" s="1108"/>
      <c r="AG172" s="1108"/>
      <c r="AH172" s="1064" t="s">
        <v>3085</v>
      </c>
      <c r="AI172" s="1058"/>
      <c r="AJ172" s="1058"/>
      <c r="AK172" s="965"/>
      <c r="AL172" s="965"/>
      <c r="AM172" s="1806"/>
      <c r="AN172" s="1806"/>
      <c r="AO172" s="1806"/>
      <c r="AP172" s="1806"/>
    </row>
    <row s="1806" customFormat="1" customHeight="1" ht="14.25">
      <c r="A173" s="667"/>
      <c r="B173" s="488"/>
      <c r="C173" s="488"/>
      <c r="D173" s="488"/>
      <c r="E173" s="649">
        <v>15</v>
      </c>
      <c r="F173" s="523" cm="1" t="str">
        <f t="array" ref="F173:F173">OFFSET(E173,-1,1)</f>
        <v>1</v>
      </c>
      <c r="G173" s="488"/>
      <c r="H173" s="488"/>
      <c r="I173" s="488"/>
      <c r="J173" s="488"/>
      <c r="K173" s="488"/>
      <c r="L173" s="488"/>
      <c r="M173" s="488"/>
      <c r="N173" s="488"/>
      <c r="O173" s="488"/>
      <c r="P173" s="488"/>
      <c r="Q173" s="488"/>
      <c r="R173" s="488"/>
      <c r="S173" s="488"/>
      <c r="T173" s="465" cm="1" t="str">
        <f t="array" ref="T173:T173">T172</f>
        <v>true</v>
      </c>
      <c r="U173" s="488"/>
      <c r="V173" s="488"/>
      <c r="W173" s="488"/>
      <c r="X173" s="1596"/>
      <c r="Y173" s="488"/>
      <c r="Z173" s="1597"/>
      <c r="AA173" s="488"/>
      <c r="AB173" s="1270" t="s">
        <v>2746</v>
      </c>
      <c r="AC173" s="1273" t="s">
        <v>2747</v>
      </c>
      <c r="AD173" s="1272" t="s">
        <v>1514</v>
      </c>
      <c r="AE173" s="558"/>
      <c r="AF173" s="1108"/>
      <c r="AG173" s="1108"/>
      <c r="AH173" s="1064" t="s">
        <v>3086</v>
      </c>
      <c r="AI173" s="1058"/>
      <c r="AJ173" s="1058"/>
      <c r="AK173" s="965"/>
      <c r="AL173" s="965"/>
      <c r="AM173" s="1806"/>
      <c r="AN173" s="1806"/>
      <c r="AO173" s="1806"/>
      <c r="AP173" s="1806"/>
    </row>
    <row s="1806" customFormat="1" customHeight="1" ht="26.25">
      <c r="A174" s="667"/>
      <c r="B174" s="488"/>
      <c r="C174" s="488"/>
      <c r="D174" s="488"/>
      <c r="E174" s="649">
        <v>27</v>
      </c>
      <c r="F174" s="523" cm="1" t="str">
        <f t="array" ref="F174:F174">OFFSET(E174,-1,1)</f>
        <v>1</v>
      </c>
      <c r="G174" s="488"/>
      <c r="H174" s="488"/>
      <c r="I174" s="488"/>
      <c r="J174" s="488"/>
      <c r="K174" s="488"/>
      <c r="L174" s="488"/>
      <c r="M174" s="488"/>
      <c r="N174" s="488"/>
      <c r="O174" s="488"/>
      <c r="P174" s="488"/>
      <c r="Q174" s="488"/>
      <c r="R174" s="488"/>
      <c r="S174" s="488"/>
      <c r="T174" s="465" cm="1" t="str">
        <f t="array" ref="T174:T174">T173</f>
        <v>true</v>
      </c>
      <c r="U174" s="488"/>
      <c r="V174" s="488"/>
      <c r="W174" s="488"/>
      <c r="X174" s="1596"/>
      <c r="Y174" s="488"/>
      <c r="Z174" s="1597"/>
      <c r="AA174" s="488"/>
      <c r="AB174" s="1270" t="s">
        <v>2749</v>
      </c>
      <c r="AC174" s="1273" t="s">
        <v>2750</v>
      </c>
      <c r="AD174" s="1272" t="s">
        <v>1514</v>
      </c>
      <c r="AE174" s="558"/>
      <c r="AF174" s="1108"/>
      <c r="AG174" s="1108"/>
      <c r="AH174" s="1064" t="s">
        <v>3087</v>
      </c>
      <c r="AI174" s="1058"/>
      <c r="AJ174" s="1058"/>
      <c r="AK174" s="965"/>
      <c r="AL174" s="965"/>
      <c r="AM174" s="1806"/>
      <c r="AN174" s="1806"/>
      <c r="AO174" s="1806"/>
      <c r="AP174" s="1806"/>
    </row>
    <row s="1806" customFormat="1" customHeight="1" ht="14.25">
      <c r="A175" s="667"/>
      <c r="B175" s="488"/>
      <c r="C175" s="488"/>
      <c r="D175" s="488"/>
      <c r="E175" s="649">
        <v>15</v>
      </c>
      <c r="F175" s="523" cm="1" t="str">
        <f t="array" ref="F175:F175">OFFSET(E175,-1,1)</f>
        <v>1</v>
      </c>
      <c r="G175" s="488"/>
      <c r="H175" s="488"/>
      <c r="I175" s="488"/>
      <c r="J175" s="488"/>
      <c r="K175" s="488"/>
      <c r="L175" s="488"/>
      <c r="M175" s="488"/>
      <c r="N175" s="488"/>
      <c r="O175" s="488"/>
      <c r="P175" s="488"/>
      <c r="Q175" s="488"/>
      <c r="R175" s="488"/>
      <c r="S175" s="488"/>
      <c r="T175" s="465" cm="1" t="str">
        <f t="array" ref="T175:T175">T174</f>
        <v>true</v>
      </c>
      <c r="U175" s="488"/>
      <c r="V175" s="488"/>
      <c r="W175" s="488"/>
      <c r="X175" s="1596"/>
      <c r="Y175" s="488"/>
      <c r="Z175" s="1597"/>
      <c r="AA175" s="488"/>
      <c r="AB175" s="1270" t="s">
        <v>2753</v>
      </c>
      <c r="AC175" s="1273" t="s">
        <v>2754</v>
      </c>
      <c r="AD175" s="1272" t="s">
        <v>1514</v>
      </c>
      <c r="AE175" s="558"/>
      <c r="AF175" s="1108"/>
      <c r="AG175" s="1108"/>
      <c r="AH175" s="1064" t="s">
        <v>3088</v>
      </c>
      <c r="AI175" s="1058"/>
      <c r="AJ175" s="1058"/>
      <c r="AK175" s="965"/>
      <c r="AL175" s="965"/>
      <c r="AM175" s="1806"/>
      <c r="AN175" s="1806"/>
      <c r="AO175" s="1806"/>
      <c r="AP175" s="1806"/>
    </row>
    <row s="1806" customFormat="1" customHeight="1" ht="14.25">
      <c r="A176" s="667"/>
      <c r="B176" s="488"/>
      <c r="C176" s="488"/>
      <c r="D176" s="488"/>
      <c r="E176" s="649">
        <v>15</v>
      </c>
      <c r="F176" s="523" cm="1" t="str">
        <f t="array" ref="F176:F176">OFFSET(E176,-1,1)</f>
        <v>1</v>
      </c>
      <c r="G176" s="488"/>
      <c r="H176" s="488"/>
      <c r="I176" s="488"/>
      <c r="J176" s="488"/>
      <c r="K176" s="488"/>
      <c r="L176" s="488"/>
      <c r="M176" s="488"/>
      <c r="N176" s="488"/>
      <c r="O176" s="488"/>
      <c r="P176" s="488"/>
      <c r="Q176" s="488"/>
      <c r="R176" s="488"/>
      <c r="S176" s="488"/>
      <c r="T176" s="465" cm="1" t="str">
        <f t="array" ref="T176:T176">T175</f>
        <v>true</v>
      </c>
      <c r="U176" s="488"/>
      <c r="V176" s="488"/>
      <c r="W176" s="488"/>
      <c r="X176" s="1596"/>
      <c r="Y176" s="488"/>
      <c r="Z176" s="1597"/>
      <c r="AA176" s="488"/>
      <c r="AB176" s="1270" t="s">
        <v>2757</v>
      </c>
      <c r="AC176" s="1273" t="s">
        <v>2758</v>
      </c>
      <c r="AD176" s="1272" t="s">
        <v>1514</v>
      </c>
      <c r="AE176" s="558"/>
      <c r="AF176" s="1108"/>
      <c r="AG176" s="1108"/>
      <c r="AH176" s="1064" t="s">
        <v>3089</v>
      </c>
      <c r="AI176" s="1058"/>
      <c r="AJ176" s="1058"/>
      <c r="AK176" s="965"/>
      <c r="AL176" s="965"/>
      <c r="AM176" s="1806"/>
      <c r="AN176" s="1806"/>
      <c r="AO176" s="1806"/>
      <c r="AP176" s="1806"/>
    </row>
    <row s="1806" customFormat="1" customHeight="1" ht="14.25">
      <c r="A177" s="667"/>
      <c r="B177" s="488"/>
      <c r="C177" s="488"/>
      <c r="D177" s="488"/>
      <c r="E177" s="649">
        <v>15</v>
      </c>
      <c r="F177" s="523" cm="1" t="str">
        <f t="array" ref="F177:F177">OFFSET(E177,-1,1)</f>
        <v>1</v>
      </c>
      <c r="G177" s="488"/>
      <c r="H177" s="488"/>
      <c r="I177" s="488"/>
      <c r="J177" s="488"/>
      <c r="K177" s="488"/>
      <c r="L177" s="488"/>
      <c r="M177" s="488"/>
      <c r="N177" s="488"/>
      <c r="O177" s="488"/>
      <c r="P177" s="488"/>
      <c r="Q177" s="488"/>
      <c r="R177" s="488"/>
      <c r="S177" s="488"/>
      <c r="T177" s="465" cm="1" t="str">
        <f t="array" ref="T177:T177">T176</f>
        <v>true</v>
      </c>
      <c r="U177" s="488"/>
      <c r="V177" s="488"/>
      <c r="W177" s="488"/>
      <c r="X177" s="1596"/>
      <c r="Y177" s="488"/>
      <c r="Z177" s="1597"/>
      <c r="AA177" s="488"/>
      <c r="AB177" s="1270" t="s">
        <v>2760</v>
      </c>
      <c r="AC177" s="1273" t="s">
        <v>2761</v>
      </c>
      <c r="AD177" s="1272" t="s">
        <v>1514</v>
      </c>
      <c r="AE177" s="558"/>
      <c r="AF177" s="1108"/>
      <c r="AG177" s="1108"/>
      <c r="AH177" s="1064" t="s">
        <v>3090</v>
      </c>
      <c r="AI177" s="1058"/>
      <c r="AJ177" s="1058"/>
      <c r="AK177" s="965"/>
      <c r="AL177" s="965"/>
      <c r="AM177" s="1806"/>
      <c r="AN177" s="1806"/>
      <c r="AO177" s="1806"/>
      <c r="AP177" s="1806"/>
    </row>
    <row s="1806" customFormat="1" customHeight="1" ht="14.25">
      <c r="A178" s="667"/>
      <c r="B178" s="488"/>
      <c r="C178" s="488"/>
      <c r="D178" s="488"/>
      <c r="E178" s="649">
        <v>15</v>
      </c>
      <c r="F178" s="523" cm="1" t="str">
        <f t="array" ref="F178:F178">OFFSET(E178,-1,1)</f>
        <v>1</v>
      </c>
      <c r="G178" s="488"/>
      <c r="H178" s="488"/>
      <c r="I178" s="488"/>
      <c r="J178" s="488"/>
      <c r="K178" s="488"/>
      <c r="L178" s="488"/>
      <c r="M178" s="488"/>
      <c r="N178" s="488"/>
      <c r="O178" s="488"/>
      <c r="P178" s="488"/>
      <c r="Q178" s="488"/>
      <c r="R178" s="488"/>
      <c r="S178" s="488"/>
      <c r="T178" s="465" cm="1" t="str">
        <f t="array" ref="T178:T178">T177</f>
        <v>true</v>
      </c>
      <c r="U178" s="488"/>
      <c r="V178" s="488"/>
      <c r="W178" s="488"/>
      <c r="X178" s="1596"/>
      <c r="Y178" s="488"/>
      <c r="Z178" s="1597"/>
      <c r="AA178" s="488"/>
      <c r="AB178" s="1270" t="s">
        <v>2763</v>
      </c>
      <c r="AC178" s="1273" t="s">
        <v>2764</v>
      </c>
      <c r="AD178" s="1272" t="s">
        <v>1514</v>
      </c>
      <c r="AE178" s="558"/>
      <c r="AF178" s="1108"/>
      <c r="AG178" s="1108"/>
      <c r="AH178" s="1064" t="s">
        <v>3091</v>
      </c>
      <c r="AI178" s="1058"/>
      <c r="AJ178" s="1058"/>
      <c r="AK178" s="965"/>
      <c r="AL178" s="965"/>
      <c r="AM178" s="1806"/>
      <c r="AN178" s="1806"/>
      <c r="AO178" s="1806"/>
      <c r="AP178" s="1806"/>
    </row>
    <row s="1806" customFormat="1" customHeight="1" ht="14.25">
      <c r="A179" s="667"/>
      <c r="B179" s="488"/>
      <c r="C179" s="488"/>
      <c r="D179" s="488"/>
      <c r="E179" s="649">
        <v>15</v>
      </c>
      <c r="F179" s="523" cm="1" t="str">
        <f t="array" ref="F179:F179">OFFSET(E179,-1,1)</f>
        <v>1</v>
      </c>
      <c r="G179" s="488"/>
      <c r="H179" s="488"/>
      <c r="I179" s="488"/>
      <c r="J179" s="488"/>
      <c r="K179" s="488"/>
      <c r="L179" s="488"/>
      <c r="M179" s="488"/>
      <c r="N179" s="488"/>
      <c r="O179" s="488"/>
      <c r="P179" s="488"/>
      <c r="Q179" s="488"/>
      <c r="R179" s="488"/>
      <c r="S179" s="488"/>
      <c r="T179" s="465" cm="1" t="str">
        <f t="array" ref="T179:T179">T178</f>
        <v>true</v>
      </c>
      <c r="U179" s="488"/>
      <c r="V179" s="488"/>
      <c r="W179" s="488"/>
      <c r="X179" s="1596"/>
      <c r="Y179" s="488"/>
      <c r="Z179" s="1597"/>
      <c r="AA179" s="488"/>
      <c r="AB179" s="1270" t="s">
        <v>2765</v>
      </c>
      <c r="AC179" s="1273" t="s">
        <v>2766</v>
      </c>
      <c r="AD179" s="1272" t="s">
        <v>1514</v>
      </c>
      <c r="AE179" s="558"/>
      <c r="AF179" s="1108"/>
      <c r="AG179" s="1108"/>
      <c r="AH179" s="1064" t="s">
        <v>3092</v>
      </c>
      <c r="AI179" s="1058"/>
      <c r="AJ179" s="1058"/>
      <c r="AK179" s="965"/>
      <c r="AL179" s="965"/>
      <c r="AM179" s="1806"/>
      <c r="AN179" s="1806"/>
      <c r="AO179" s="1806"/>
      <c r="AP179" s="1806"/>
    </row>
    <row s="1806" customFormat="1" customHeight="1" ht="14.25">
      <c r="A180" s="667"/>
      <c r="B180" s="488"/>
      <c r="C180" s="488"/>
      <c r="D180" s="488"/>
      <c r="E180" s="649">
        <v>15</v>
      </c>
      <c r="F180" s="523" cm="1" t="str">
        <f t="array" ref="F180:F180">OFFSET(E180,-1,1)</f>
        <v>1</v>
      </c>
      <c r="G180" s="488"/>
      <c r="H180" s="488"/>
      <c r="I180" s="488"/>
      <c r="J180" s="488"/>
      <c r="K180" s="488"/>
      <c r="L180" s="488"/>
      <c r="M180" s="488"/>
      <c r="N180" s="488"/>
      <c r="O180" s="488"/>
      <c r="P180" s="488"/>
      <c r="Q180" s="488"/>
      <c r="R180" s="488"/>
      <c r="S180" s="488"/>
      <c r="T180" s="465" cm="1" t="str">
        <f t="array" ref="T180:T180">T179</f>
        <v>true</v>
      </c>
      <c r="U180" s="488"/>
      <c r="V180" s="488"/>
      <c r="W180" s="488"/>
      <c r="X180" s="1596"/>
      <c r="Y180" s="488"/>
      <c r="Z180" s="1597"/>
      <c r="AA180" s="488"/>
      <c r="AB180" s="1270" t="s">
        <v>1254</v>
      </c>
      <c r="AC180" s="1271" t="s">
        <v>2767</v>
      </c>
      <c r="AD180" s="1272" t="s">
        <v>1514</v>
      </c>
      <c r="AE180" s="558"/>
      <c r="AF180" s="1108"/>
      <c r="AG180" s="1108"/>
      <c r="AH180" s="1064" t="s">
        <v>3093</v>
      </c>
      <c r="AI180" s="1058"/>
      <c r="AJ180" s="1058"/>
      <c r="AK180" s="965"/>
      <c r="AL180" s="965"/>
      <c r="AM180" s="1806"/>
      <c r="AN180" s="1806"/>
      <c r="AO180" s="1806"/>
      <c r="AP180" s="1806"/>
    </row>
    <row s="1834" customFormat="1" customHeight="1" ht="14.25">
      <c r="A181" s="667"/>
      <c r="B181" s="1459"/>
      <c r="C181" s="1459"/>
      <c r="D181" s="1459"/>
      <c r="E181" s="649">
        <v>15</v>
      </c>
      <c r="F181" s="50" cm="1" t="str">
        <f t="array" ref="F181:F181">OFFSET(E181,-1,1)</f>
        <v>1</v>
      </c>
      <c r="G181" s="1459"/>
      <c r="H181" s="488" t="s">
        <v>1196</v>
      </c>
      <c r="I181" s="1459"/>
      <c r="J181" s="1459"/>
      <c r="K181" s="1459"/>
      <c r="L181" s="1459"/>
      <c r="M181" s="1459"/>
      <c r="N181" s="1459"/>
      <c r="O181" s="1459"/>
      <c r="P181" s="1459"/>
      <c r="Q181" s="1459"/>
      <c r="R181" s="1459"/>
      <c r="S181" s="1459"/>
      <c r="T181" s="465" cm="1" t="str">
        <f t="array" ref="T181:T181">T167</f>
        <v>true</v>
      </c>
      <c r="U181" s="1459"/>
      <c r="V181" s="1459"/>
      <c r="W181" s="1459"/>
      <c r="X181" s="1596"/>
      <c r="Y181" s="1459"/>
      <c r="Z181" s="1597"/>
      <c r="AA181" s="1459"/>
      <c r="AB181" s="714" t="s">
        <v>1258</v>
      </c>
      <c r="AC181" s="547" t="s">
        <v>3094</v>
      </c>
      <c r="AD181" s="548" t="s">
        <v>1514</v>
      </c>
      <c r="AE181" s="557">
        <f>SUM(AE182:AE190)</f>
        <v>0</v>
      </c>
      <c r="AF181" s="1442"/>
      <c r="AG181" s="1442"/>
      <c r="AH181" s="1070" t="s">
        <v>1999</v>
      </c>
      <c r="AI181" s="1811"/>
      <c r="AJ181" s="1811"/>
      <c r="AK181" s="1444"/>
      <c r="AL181" s="1444"/>
      <c r="AM181" s="1834"/>
      <c r="AN181" s="1834"/>
      <c r="AO181" s="1834"/>
      <c r="AP181" s="1834"/>
    </row>
    <row s="1834" customFormat="1" customHeight="1" ht="14.25">
      <c r="A182" s="667"/>
      <c r="B182" s="1459"/>
      <c r="C182" s="1459"/>
      <c r="D182" s="1459"/>
      <c r="E182" s="649">
        <v>15</v>
      </c>
      <c r="F182" s="50" cm="1" t="str">
        <f t="array" ref="F182:F182">OFFSET(E182,-1,1)</f>
        <v>1</v>
      </c>
      <c r="G182" s="1459"/>
      <c r="H182" s="488" t="s">
        <v>2507</v>
      </c>
      <c r="I182" s="1459"/>
      <c r="J182" s="1459"/>
      <c r="K182" s="1459"/>
      <c r="L182" s="1459"/>
      <c r="M182" s="1459"/>
      <c r="N182" s="1459"/>
      <c r="O182" s="1459"/>
      <c r="P182" s="1459"/>
      <c r="Q182" s="1459"/>
      <c r="R182" s="1459"/>
      <c r="S182" s="1459"/>
      <c r="T182" s="465" cm="1" t="str">
        <f t="array" ref="T182:T182">T181</f>
        <v>true</v>
      </c>
      <c r="U182" s="1459"/>
      <c r="V182" s="1459"/>
      <c r="W182" s="1459"/>
      <c r="X182" s="1596"/>
      <c r="Y182" s="1459"/>
      <c r="Z182" s="1597"/>
      <c r="AA182" s="1459"/>
      <c r="AB182" s="714" t="s">
        <v>1212</v>
      </c>
      <c r="AC182" s="549" t="s">
        <v>2014</v>
      </c>
      <c r="AD182" s="548" t="s">
        <v>1514</v>
      </c>
      <c r="AE182" s="1332"/>
      <c r="AF182" s="1442"/>
      <c r="AG182" s="1442"/>
      <c r="AH182" s="1064" t="s">
        <v>2770</v>
      </c>
      <c r="AI182" s="1811"/>
      <c r="AJ182" s="1811"/>
      <c r="AK182" s="1444"/>
      <c r="AL182" s="1444"/>
      <c r="AM182" s="1834"/>
      <c r="AN182" s="1834"/>
      <c r="AO182" s="1834"/>
      <c r="AP182" s="1834"/>
    </row>
    <row s="1834" customFormat="1" customHeight="1" ht="14.25">
      <c r="A183" s="667"/>
      <c r="B183" s="1459"/>
      <c r="C183" s="1459"/>
      <c r="D183" s="1459"/>
      <c r="E183" s="649">
        <v>15</v>
      </c>
      <c r="F183" s="50" cm="1" t="str">
        <f t="array" ref="F183:F183">OFFSET(E183,-1,1)</f>
        <v>1</v>
      </c>
      <c r="G183" s="1459"/>
      <c r="H183" s="488" t="s">
        <v>2510</v>
      </c>
      <c r="I183" s="1459"/>
      <c r="J183" s="1459"/>
      <c r="K183" s="1459"/>
      <c r="L183" s="1459"/>
      <c r="M183" s="1459"/>
      <c r="N183" s="1459"/>
      <c r="O183" s="1459"/>
      <c r="P183" s="1459"/>
      <c r="Q183" s="1459"/>
      <c r="R183" s="1459"/>
      <c r="S183" s="1459"/>
      <c r="T183" s="465" cm="1" t="str">
        <f t="array" ref="T183:T183">T182</f>
        <v>true</v>
      </c>
      <c r="U183" s="1459"/>
      <c r="V183" s="1459"/>
      <c r="W183" s="1459"/>
      <c r="X183" s="1596"/>
      <c r="Y183" s="1459"/>
      <c r="Z183" s="1597"/>
      <c r="AA183" s="1459"/>
      <c r="AB183" s="714" t="s">
        <v>2225</v>
      </c>
      <c r="AC183" s="549" t="s">
        <v>3095</v>
      </c>
      <c r="AD183" s="548" t="s">
        <v>1514</v>
      </c>
      <c r="AE183" s="1332"/>
      <c r="AF183" s="1442"/>
      <c r="AG183" s="1442"/>
      <c r="AH183" s="1064" t="s">
        <v>2773</v>
      </c>
      <c r="AI183" s="1811"/>
      <c r="AJ183" s="1811"/>
      <c r="AK183" s="1444"/>
      <c r="AL183" s="1444"/>
      <c r="AM183" s="1834"/>
      <c r="AN183" s="1834"/>
      <c r="AO183" s="1834"/>
      <c r="AP183" s="1834"/>
    </row>
    <row s="1834" customFormat="1" customHeight="1" ht="14.25">
      <c r="A184" s="667"/>
      <c r="B184" s="1459"/>
      <c r="C184" s="1459"/>
      <c r="D184" s="1459"/>
      <c r="E184" s="649">
        <v>15</v>
      </c>
      <c r="F184" s="50" cm="1" t="str">
        <f t="array" ref="F184:F184">OFFSET(E184,-1,1)</f>
        <v>1</v>
      </c>
      <c r="G184" s="1459"/>
      <c r="H184" s="488" t="s">
        <v>3096</v>
      </c>
      <c r="I184" s="1459"/>
      <c r="J184" s="1459"/>
      <c r="K184" s="1459"/>
      <c r="L184" s="1459"/>
      <c r="M184" s="1459"/>
      <c r="N184" s="1459"/>
      <c r="O184" s="1459"/>
      <c r="P184" s="1459"/>
      <c r="Q184" s="1459"/>
      <c r="R184" s="1459"/>
      <c r="S184" s="1459"/>
      <c r="T184" s="465" cm="1" t="str">
        <f t="array" ref="T184:T184">T183</f>
        <v>true</v>
      </c>
      <c r="U184" s="1459"/>
      <c r="V184" s="1459"/>
      <c r="W184" s="1459"/>
      <c r="X184" s="1596"/>
      <c r="Y184" s="1459"/>
      <c r="Z184" s="1597"/>
      <c r="AA184" s="1459"/>
      <c r="AB184" s="714" t="s">
        <v>2230</v>
      </c>
      <c r="AC184" s="549" t="s">
        <v>3097</v>
      </c>
      <c r="AD184" s="548" t="s">
        <v>1514</v>
      </c>
      <c r="AE184" s="1332"/>
      <c r="AF184" s="1442"/>
      <c r="AG184" s="1442"/>
      <c r="AH184" s="1064" t="s">
        <v>2776</v>
      </c>
      <c r="AI184" s="1811"/>
      <c r="AJ184" s="1811"/>
      <c r="AK184" s="1444"/>
      <c r="AL184" s="1444"/>
      <c r="AM184" s="1834"/>
      <c r="AN184" s="1834"/>
      <c r="AO184" s="1834"/>
      <c r="AP184" s="1834"/>
    </row>
    <row s="1834" customFormat="1" customHeight="1" ht="14.25">
      <c r="A185" s="667"/>
      <c r="B185" s="1459"/>
      <c r="C185" s="1459"/>
      <c r="D185" s="1459"/>
      <c r="E185" s="649">
        <v>15</v>
      </c>
      <c r="F185" s="50" cm="1" t="str">
        <f t="array" ref="F185:F185">OFFSET(E185,-1,1)</f>
        <v>1</v>
      </c>
      <c r="G185" s="1459"/>
      <c r="H185" s="488" t="s">
        <v>3098</v>
      </c>
      <c r="I185" s="1459"/>
      <c r="J185" s="1459"/>
      <c r="K185" s="1459"/>
      <c r="L185" s="1459"/>
      <c r="M185" s="1459"/>
      <c r="N185" s="1459"/>
      <c r="O185" s="1459"/>
      <c r="P185" s="1459"/>
      <c r="Q185" s="1459"/>
      <c r="R185" s="1459"/>
      <c r="S185" s="1459"/>
      <c r="T185" s="465" cm="1" t="str">
        <f t="array" ref="T185:T185">T184</f>
        <v>true</v>
      </c>
      <c r="U185" s="1459"/>
      <c r="V185" s="1459"/>
      <c r="W185" s="1459"/>
      <c r="X185" s="1596"/>
      <c r="Y185" s="1459"/>
      <c r="Z185" s="1597"/>
      <c r="AA185" s="1459"/>
      <c r="AB185" s="714" t="s">
        <v>2778</v>
      </c>
      <c r="AC185" s="549" t="s">
        <v>2007</v>
      </c>
      <c r="AD185" s="548" t="s">
        <v>1514</v>
      </c>
      <c r="AE185" s="1332"/>
      <c r="AF185" s="1442"/>
      <c r="AG185" s="1442"/>
      <c r="AH185" s="1064" t="s">
        <v>2780</v>
      </c>
      <c r="AI185" s="1811"/>
      <c r="AJ185" s="1811"/>
      <c r="AK185" s="1444"/>
      <c r="AL185" s="1444"/>
      <c r="AM185" s="1834"/>
      <c r="AN185" s="1834"/>
      <c r="AO185" s="1834"/>
      <c r="AP185" s="1834"/>
    </row>
    <row s="1834" customFormat="1" customHeight="1" ht="14.25">
      <c r="A186" s="667"/>
      <c r="B186" s="1459"/>
      <c r="C186" s="1459"/>
      <c r="D186" s="1459"/>
      <c r="E186" s="649">
        <v>15</v>
      </c>
      <c r="F186" s="50" cm="1" t="str">
        <f t="array" ref="F186:F186">OFFSET(E186,-1,1)</f>
        <v>1</v>
      </c>
      <c r="G186" s="1459"/>
      <c r="H186" s="488" t="s">
        <v>3099</v>
      </c>
      <c r="I186" s="1459"/>
      <c r="J186" s="1459"/>
      <c r="K186" s="1459"/>
      <c r="L186" s="1459"/>
      <c r="M186" s="1459"/>
      <c r="N186" s="1459"/>
      <c r="O186" s="1459"/>
      <c r="P186" s="1459"/>
      <c r="Q186" s="1459"/>
      <c r="R186" s="1459"/>
      <c r="S186" s="1459"/>
      <c r="T186" s="465" cm="1" t="str">
        <f t="array" ref="T186:T186">T185</f>
        <v>true</v>
      </c>
      <c r="U186" s="1459"/>
      <c r="V186" s="1459"/>
      <c r="W186" s="1459"/>
      <c r="X186" s="1596"/>
      <c r="Y186" s="1459"/>
      <c r="Z186" s="1597"/>
      <c r="AA186" s="1459"/>
      <c r="AB186" s="714" t="s">
        <v>2782</v>
      </c>
      <c r="AC186" s="549" t="s">
        <v>2009</v>
      </c>
      <c r="AD186" s="548" t="s">
        <v>1514</v>
      </c>
      <c r="AE186" s="1332"/>
      <c r="AF186" s="1442"/>
      <c r="AG186" s="1442"/>
      <c r="AH186" s="1064" t="s">
        <v>2784</v>
      </c>
      <c r="AI186" s="1811"/>
      <c r="AJ186" s="1811"/>
      <c r="AK186" s="1444"/>
      <c r="AL186" s="1444"/>
      <c r="AM186" s="1834"/>
      <c r="AN186" s="1834"/>
      <c r="AO186" s="1834"/>
      <c r="AP186" s="1834"/>
    </row>
    <row s="1834" customFormat="1" customHeight="1" ht="14.25">
      <c r="A187" s="667"/>
      <c r="B187" s="1459"/>
      <c r="C187" s="1459"/>
      <c r="D187" s="1459"/>
      <c r="E187" s="649">
        <v>15</v>
      </c>
      <c r="F187" s="50" cm="1" t="str">
        <f t="array" ref="F187:F187">OFFSET(E187,-1,1)</f>
        <v>1</v>
      </c>
      <c r="G187" s="1459"/>
      <c r="H187" s="488" t="s">
        <v>3100</v>
      </c>
      <c r="I187" s="1459"/>
      <c r="J187" s="1459"/>
      <c r="K187" s="1459"/>
      <c r="L187" s="1459"/>
      <c r="M187" s="1459"/>
      <c r="N187" s="1459"/>
      <c r="O187" s="1459"/>
      <c r="P187" s="1459"/>
      <c r="Q187" s="1459"/>
      <c r="R187" s="1459"/>
      <c r="S187" s="1459"/>
      <c r="T187" s="465" cm="1" t="str">
        <f t="array" ref="T187:T187">T186</f>
        <v>true</v>
      </c>
      <c r="U187" s="1459"/>
      <c r="V187" s="1459"/>
      <c r="W187" s="1459"/>
      <c r="X187" s="1596"/>
      <c r="Y187" s="1459"/>
      <c r="Z187" s="1597"/>
      <c r="AA187" s="1459"/>
      <c r="AB187" s="714" t="s">
        <v>2786</v>
      </c>
      <c r="AC187" s="549" t="s">
        <v>2000</v>
      </c>
      <c r="AD187" s="548" t="s">
        <v>1514</v>
      </c>
      <c r="AE187" s="1332"/>
      <c r="AF187" s="1442"/>
      <c r="AG187" s="1442"/>
      <c r="AH187" s="1064" t="s">
        <v>2788</v>
      </c>
      <c r="AI187" s="1811"/>
      <c r="AJ187" s="1811"/>
      <c r="AK187" s="1444"/>
      <c r="AL187" s="1444"/>
      <c r="AM187" s="1834"/>
      <c r="AN187" s="1834"/>
      <c r="AO187" s="1834"/>
      <c r="AP187" s="1834"/>
    </row>
    <row s="1806" customFormat="1" customHeight="1" ht="14.25">
      <c r="A188" s="667"/>
      <c r="B188" s="488"/>
      <c r="C188" s="488"/>
      <c r="D188" s="488"/>
      <c r="E188" s="649">
        <v>15</v>
      </c>
      <c r="F188" s="523" cm="1" t="str">
        <f t="array" ref="F188:F188">OFFSET(E188,-1,1)</f>
        <v>1</v>
      </c>
      <c r="G188" s="488"/>
      <c r="H188" s="488"/>
      <c r="I188" s="488"/>
      <c r="J188" s="488"/>
      <c r="K188" s="488"/>
      <c r="L188" s="488"/>
      <c r="M188" s="488"/>
      <c r="N188" s="488"/>
      <c r="O188" s="488"/>
      <c r="P188" s="488"/>
      <c r="Q188" s="488"/>
      <c r="R188" s="488"/>
      <c r="S188" s="488"/>
      <c r="T188" s="465" cm="1" t="str">
        <f t="array" ref="T188:T188">T187</f>
        <v>true</v>
      </c>
      <c r="U188" s="488"/>
      <c r="V188" s="488"/>
      <c r="W188" s="488"/>
      <c r="X188" s="1596"/>
      <c r="Y188" s="488"/>
      <c r="Z188" s="1597"/>
      <c r="AA188" s="488"/>
      <c r="AB188" s="1270" t="s">
        <v>2790</v>
      </c>
      <c r="AC188" s="1273" t="s">
        <v>3101</v>
      </c>
      <c r="AD188" s="1272" t="s">
        <v>1514</v>
      </c>
      <c r="AE188" s="558"/>
      <c r="AF188" s="1108"/>
      <c r="AG188" s="1108"/>
      <c r="AH188" s="1064" t="s">
        <v>2017</v>
      </c>
      <c r="AI188" s="1058"/>
      <c r="AJ188" s="1058"/>
      <c r="AK188" s="965"/>
      <c r="AL188" s="965"/>
      <c r="AM188" s="1806"/>
      <c r="AN188" s="1806"/>
      <c r="AO188" s="1806"/>
      <c r="AP188" s="1806"/>
    </row>
    <row s="1806" customFormat="1" customHeight="1" ht="14.25">
      <c r="A189" s="667"/>
      <c r="B189" s="488"/>
      <c r="C189" s="488"/>
      <c r="D189" s="488"/>
      <c r="E189" s="649">
        <v>15</v>
      </c>
      <c r="F189" s="523" cm="1" t="str">
        <f t="array" ref="F189:F189">OFFSET(E189,-1,1)</f>
        <v>1</v>
      </c>
      <c r="G189" s="488"/>
      <c r="H189" s="488"/>
      <c r="I189" s="488"/>
      <c r="J189" s="488"/>
      <c r="K189" s="488"/>
      <c r="L189" s="488"/>
      <c r="M189" s="488"/>
      <c r="N189" s="488"/>
      <c r="O189" s="488"/>
      <c r="P189" s="488"/>
      <c r="Q189" s="488"/>
      <c r="R189" s="488"/>
      <c r="S189" s="488"/>
      <c r="T189" s="465" cm="1" t="str">
        <f t="array" ref="T189:T189">T188</f>
        <v>true</v>
      </c>
      <c r="U189" s="488"/>
      <c r="V189" s="488"/>
      <c r="W189" s="488"/>
      <c r="X189" s="1596"/>
      <c r="Y189" s="488"/>
      <c r="Z189" s="1597"/>
      <c r="AA189" s="488"/>
      <c r="AB189" s="1270" t="s">
        <v>2794</v>
      </c>
      <c r="AC189" s="1273" t="s">
        <v>2018</v>
      </c>
      <c r="AD189" s="1272" t="s">
        <v>1514</v>
      </c>
      <c r="AE189" s="558"/>
      <c r="AF189" s="1108"/>
      <c r="AG189" s="1108"/>
      <c r="AH189" s="1064" t="s">
        <v>3102</v>
      </c>
      <c r="AI189" s="1058"/>
      <c r="AJ189" s="1058"/>
      <c r="AK189" s="965"/>
      <c r="AL189" s="965"/>
      <c r="AM189" s="1806"/>
      <c r="AN189" s="1806"/>
      <c r="AO189" s="1806"/>
      <c r="AP189" s="1806"/>
    </row>
    <row s="1834" customFormat="1" customHeight="1" ht="14.25">
      <c r="A190" s="667"/>
      <c r="B190" s="1459"/>
      <c r="C190" s="1459"/>
      <c r="D190" s="1459"/>
      <c r="E190" s="649">
        <v>15</v>
      </c>
      <c r="F190" s="50" cm="1" t="str">
        <f t="array" ref="F190:F190">OFFSET(E190,-1,1)</f>
        <v>1</v>
      </c>
      <c r="G190" s="1459"/>
      <c r="H190" s="488" t="s">
        <v>3103</v>
      </c>
      <c r="I190" s="1459"/>
      <c r="J190" s="1459"/>
      <c r="K190" s="1459"/>
      <c r="L190" s="1459"/>
      <c r="M190" s="1459"/>
      <c r="N190" s="1459"/>
      <c r="O190" s="1459"/>
      <c r="P190" s="1459"/>
      <c r="Q190" s="1459"/>
      <c r="R190" s="1459"/>
      <c r="S190" s="1459"/>
      <c r="T190" s="465" cm="1" t="str">
        <f t="array" ref="T190:T190">T187</f>
        <v>true</v>
      </c>
      <c r="U190" s="1459"/>
      <c r="V190" s="1459"/>
      <c r="W190" s="1459"/>
      <c r="X190" s="1596"/>
      <c r="Y190" s="1459"/>
      <c r="Z190" s="1597"/>
      <c r="AA190" s="1459"/>
      <c r="AB190" s="714" t="s">
        <v>2796</v>
      </c>
      <c r="AC190" s="549" t="s">
        <v>2020</v>
      </c>
      <c r="AD190" s="548" t="s">
        <v>1514</v>
      </c>
      <c r="AE190" s="1332"/>
      <c r="AF190" s="1442"/>
      <c r="AG190" s="1442"/>
      <c r="AH190" s="1064" t="s">
        <v>2802</v>
      </c>
      <c r="AI190" s="1811"/>
      <c r="AJ190" s="1811"/>
      <c r="AK190" s="1444"/>
      <c r="AL190" s="1444"/>
      <c r="AM190" s="1834"/>
      <c r="AN190" s="1834"/>
      <c r="AO190" s="1834"/>
      <c r="AP190" s="1834"/>
    </row>
    <row s="1834" customFormat="1" customHeight="1" ht="14.25">
      <c r="A191" s="667"/>
      <c r="B191" s="1459"/>
      <c r="C191" s="1459"/>
      <c r="D191" s="1459"/>
      <c r="E191" s="649">
        <v>15</v>
      </c>
      <c r="F191" s="50" cm="1" t="str">
        <f t="array" ref="F191:F191">OFFSET(E191,-1,1)</f>
        <v>1</v>
      </c>
      <c r="G191" s="1459"/>
      <c r="H191" s="488" t="s">
        <v>1648</v>
      </c>
      <c r="I191" s="1459"/>
      <c r="J191" s="1459"/>
      <c r="K191" s="1459"/>
      <c r="L191" s="1459"/>
      <c r="M191" s="1459"/>
      <c r="N191" s="1459"/>
      <c r="O191" s="1459"/>
      <c r="P191" s="1459"/>
      <c r="Q191" s="1459"/>
      <c r="R191" s="1459"/>
      <c r="S191" s="1459"/>
      <c r="T191" s="465" cm="1" t="str">
        <f t="array" ref="T191:T191">T190</f>
        <v>true</v>
      </c>
      <c r="U191" s="1459"/>
      <c r="V191" s="1459"/>
      <c r="W191" s="1459"/>
      <c r="X191" s="1596"/>
      <c r="Y191" s="1459"/>
      <c r="Z191" s="1597"/>
      <c r="AA191" s="1459"/>
      <c r="AB191" s="714" t="s">
        <v>1651</v>
      </c>
      <c r="AC191" s="549" t="s">
        <v>1750</v>
      </c>
      <c r="AD191" s="548" t="s">
        <v>1514</v>
      </c>
      <c r="AE191" s="1332"/>
      <c r="AF191" s="1442"/>
      <c r="AG191" s="1442"/>
      <c r="AH191" s="1064" t="s">
        <v>1946</v>
      </c>
      <c r="AI191" s="1811"/>
      <c r="AJ191" s="1811"/>
      <c r="AK191" s="1444"/>
      <c r="AL191" s="1444"/>
      <c r="AM191" s="1834"/>
      <c r="AN191" s="1834"/>
      <c r="AO191" s="1834"/>
      <c r="AP191" s="1834"/>
    </row>
    <row s="1834" customFormat="1" customHeight="1" ht="14.25">
      <c r="A192" s="667"/>
      <c r="B192" s="1459"/>
      <c r="C192" s="1459"/>
      <c r="D192" s="1459"/>
      <c r="E192" s="649">
        <v>15</v>
      </c>
      <c r="F192" s="50" cm="1" t="str">
        <f t="array" ref="F192:F192">OFFSET(E192,-1,1)</f>
        <v>1</v>
      </c>
      <c r="G192" s="1459"/>
      <c r="H192" s="488" t="s">
        <v>2805</v>
      </c>
      <c r="I192" s="1459"/>
      <c r="J192" s="1459"/>
      <c r="K192" s="1459"/>
      <c r="L192" s="1459"/>
      <c r="M192" s="1459"/>
      <c r="N192" s="1459"/>
      <c r="O192" s="1459"/>
      <c r="P192" s="1459"/>
      <c r="Q192" s="1459"/>
      <c r="R192" s="1459"/>
      <c r="S192" s="1459"/>
      <c r="T192" s="465" cm="1" t="str">
        <f t="array" ref="T192:T192">T191</f>
        <v>true</v>
      </c>
      <c r="U192" s="1459"/>
      <c r="V192" s="1459"/>
      <c r="W192" s="1459"/>
      <c r="X192" s="1596"/>
      <c r="Y192" s="1459"/>
      <c r="Z192" s="1597"/>
      <c r="AA192" s="1459"/>
      <c r="AB192" s="714" t="s">
        <v>1654</v>
      </c>
      <c r="AC192" s="547" t="s">
        <v>2197</v>
      </c>
      <c r="AD192" s="548" t="s">
        <v>1514</v>
      </c>
      <c r="AE192" s="1332"/>
      <c r="AF192" s="1442"/>
      <c r="AG192" s="1442"/>
      <c r="AH192" s="1071" t="s">
        <v>2551</v>
      </c>
      <c r="AI192" s="1811"/>
      <c r="AJ192" s="1811"/>
      <c r="AK192" s="1444"/>
      <c r="AL192" s="1444"/>
      <c r="AM192" s="1834"/>
      <c r="AN192" s="1834"/>
      <c r="AO192" s="1834"/>
      <c r="AP192" s="1834"/>
    </row>
    <row s="1834" customFormat="1" customHeight="1" ht="14.25">
      <c r="A193" s="667"/>
      <c r="B193" s="1459"/>
      <c r="C193" s="1459"/>
      <c r="D193" s="1459"/>
      <c r="E193" s="649">
        <v>15</v>
      </c>
      <c r="F193" s="50" cm="1" t="str">
        <f t="array" ref="F193:F193">OFFSET(E193,-1,1)</f>
        <v>1</v>
      </c>
      <c r="G193" s="1459"/>
      <c r="H193" s="488" t="s">
        <v>2813</v>
      </c>
      <c r="I193" s="1459"/>
      <c r="J193" s="1459"/>
      <c r="K193" s="1459"/>
      <c r="L193" s="1459"/>
      <c r="M193" s="1459"/>
      <c r="N193" s="1459"/>
      <c r="O193" s="1459"/>
      <c r="P193" s="1459"/>
      <c r="Q193" s="1459"/>
      <c r="R193" s="1459"/>
      <c r="S193" s="1459"/>
      <c r="T193" s="465" cm="1" t="str">
        <f t="array" ref="T193:T193">T192</f>
        <v>true</v>
      </c>
      <c r="U193" s="1459"/>
      <c r="V193" s="1459"/>
      <c r="W193" s="1459"/>
      <c r="X193" s="1596"/>
      <c r="Y193" s="1459"/>
      <c r="Z193" s="1597"/>
      <c r="AA193" s="1459"/>
      <c r="AB193" s="714" t="s">
        <v>2245</v>
      </c>
      <c r="AC193" s="547" t="s">
        <v>2207</v>
      </c>
      <c r="AD193" s="548" t="s">
        <v>1514</v>
      </c>
      <c r="AE193" s="557">
        <f>AE194+AE195</f>
        <v>0</v>
      </c>
      <c r="AF193" s="1442"/>
      <c r="AG193" s="1442"/>
      <c r="AH193" s="1064" t="s">
        <v>2818</v>
      </c>
      <c r="AI193" s="1811"/>
      <c r="AJ193" s="1811"/>
      <c r="AK193" s="1444"/>
      <c r="AL193" s="1444"/>
      <c r="AM193" s="1834"/>
      <c r="AN193" s="1834"/>
      <c r="AO193" s="1834"/>
      <c r="AP193" s="1834"/>
    </row>
    <row s="1834" customFormat="1" customHeight="1" ht="14.25">
      <c r="A194" s="667"/>
      <c r="B194" s="1459"/>
      <c r="C194" s="1459"/>
      <c r="D194" s="1459"/>
      <c r="E194" s="649">
        <v>15</v>
      </c>
      <c r="F194" s="50" cm="1" t="str">
        <f t="array" ref="F194:F194">OFFSET(E194,-1,1)</f>
        <v>1</v>
      </c>
      <c r="G194" s="1459"/>
      <c r="H194" s="488" t="s">
        <v>3104</v>
      </c>
      <c r="I194" s="1459"/>
      <c r="J194" s="1459"/>
      <c r="K194" s="1459"/>
      <c r="L194" s="1459"/>
      <c r="M194" s="1459"/>
      <c r="N194" s="1459"/>
      <c r="O194" s="1459"/>
      <c r="P194" s="1459"/>
      <c r="Q194" s="1459"/>
      <c r="R194" s="1459"/>
      <c r="S194" s="1459"/>
      <c r="T194" s="465" cm="1" t="str">
        <f t="array" ref="T194:T194">T193</f>
        <v>true</v>
      </c>
      <c r="U194" s="1459"/>
      <c r="V194" s="1459"/>
      <c r="W194" s="1459"/>
      <c r="X194" s="1596"/>
      <c r="Y194" s="1459"/>
      <c r="Z194" s="1597"/>
      <c r="AA194" s="1459"/>
      <c r="AB194" s="714" t="s">
        <v>2809</v>
      </c>
      <c r="AC194" s="549" t="s">
        <v>3105</v>
      </c>
      <c r="AD194" s="548" t="s">
        <v>1514</v>
      </c>
      <c r="AE194" s="1332"/>
      <c r="AF194" s="1442"/>
      <c r="AG194" s="1442"/>
      <c r="AH194" s="1064" t="s">
        <v>1991</v>
      </c>
      <c r="AI194" s="1811"/>
      <c r="AJ194" s="1811"/>
      <c r="AK194" s="1444"/>
      <c r="AL194" s="1444"/>
      <c r="AM194" s="1834"/>
      <c r="AN194" s="1834"/>
      <c r="AO194" s="1834"/>
      <c r="AP194" s="1834"/>
    </row>
    <row s="1834" customFormat="1" customHeight="1" ht="21.75">
      <c r="A195" s="667"/>
      <c r="B195" s="1459"/>
      <c r="C195" s="1459"/>
      <c r="D195" s="1459"/>
      <c r="E195" s="649">
        <v>22.5</v>
      </c>
      <c r="F195" s="50" cm="1" t="str">
        <f t="array" ref="F195:F195">OFFSET(E195,-1,1)</f>
        <v>1</v>
      </c>
      <c r="G195" s="1459"/>
      <c r="H195" s="488" t="s">
        <v>3106</v>
      </c>
      <c r="I195" s="1459"/>
      <c r="J195" s="1459"/>
      <c r="K195" s="1459"/>
      <c r="L195" s="1459"/>
      <c r="M195" s="1459"/>
      <c r="N195" s="1459"/>
      <c r="O195" s="1459"/>
      <c r="P195" s="1459"/>
      <c r="Q195" s="1459"/>
      <c r="R195" s="1459"/>
      <c r="S195" s="1459"/>
      <c r="T195" s="465" cm="1" t="str">
        <f t="array" ref="T195:T195">T194</f>
        <v>true</v>
      </c>
      <c r="U195" s="1459"/>
      <c r="V195" s="1459"/>
      <c r="W195" s="1459"/>
      <c r="X195" s="1596"/>
      <c r="Y195" s="1459"/>
      <c r="Z195" s="1597"/>
      <c r="AA195" s="1459"/>
      <c r="AB195" s="714" t="s">
        <v>3107</v>
      </c>
      <c r="AC195" s="549" t="s">
        <v>3108</v>
      </c>
      <c r="AD195" s="548" t="s">
        <v>1514</v>
      </c>
      <c r="AE195" s="1332"/>
      <c r="AF195" s="1442"/>
      <c r="AG195" s="1442"/>
      <c r="AH195" s="1064" t="s">
        <v>2825</v>
      </c>
      <c r="AI195" s="1811"/>
      <c r="AJ195" s="1811"/>
      <c r="AK195" s="1444"/>
      <c r="AL195" s="1444"/>
      <c r="AM195" s="1834"/>
      <c r="AN195" s="1834"/>
      <c r="AO195" s="1834"/>
      <c r="AP195" s="1834"/>
    </row>
    <row s="1834" customFormat="1" customHeight="1" ht="76.5">
      <c r="A196" s="667"/>
      <c r="B196" s="1459"/>
      <c r="C196" s="1459"/>
      <c r="D196" s="1459"/>
      <c r="E196" s="649">
        <v>78.75</v>
      </c>
      <c r="F196" s="50" cm="1" t="str">
        <f t="array" ref="F196:F196">OFFSET(E196,-1,1)</f>
        <v>1</v>
      </c>
      <c r="G196" s="1459"/>
      <c r="H196" s="488" t="s">
        <v>2817</v>
      </c>
      <c r="I196" s="1459"/>
      <c r="J196" s="1459"/>
      <c r="K196" s="1459"/>
      <c r="L196" s="1459"/>
      <c r="M196" s="1459"/>
      <c r="N196" s="1459"/>
      <c r="O196" s="1459"/>
      <c r="P196" s="1459"/>
      <c r="Q196" s="1459"/>
      <c r="R196" s="1459"/>
      <c r="S196" s="1459"/>
      <c r="T196" s="465" cm="1" t="str">
        <f t="array" ref="T196:T196">T195</f>
        <v>true</v>
      </c>
      <c r="U196" s="1459"/>
      <c r="V196" s="1459"/>
      <c r="W196" s="1459"/>
      <c r="X196" s="1596"/>
      <c r="Y196" s="1459"/>
      <c r="Z196" s="1597"/>
      <c r="AA196" s="1459"/>
      <c r="AB196" s="714" t="s">
        <v>2250</v>
      </c>
      <c r="AC196" s="1283" t="s">
        <v>2181</v>
      </c>
      <c r="AD196" s="548" t="s">
        <v>1514</v>
      </c>
      <c r="AE196" s="1332"/>
      <c r="AF196" s="1442"/>
      <c r="AG196" s="1442"/>
      <c r="AH196" s="1064" t="s">
        <v>2803</v>
      </c>
      <c r="AI196" s="1811"/>
      <c r="AJ196" s="1811"/>
      <c r="AK196" s="1444"/>
      <c r="AL196" s="1444"/>
      <c r="AM196" s="1834"/>
      <c r="AN196" s="1834"/>
      <c r="AO196" s="1834"/>
      <c r="AP196" s="1834"/>
    </row>
    <row s="1806" customFormat="1" customHeight="1" ht="14.25">
      <c r="A197" s="667"/>
      <c r="B197" s="488"/>
      <c r="C197" s="488"/>
      <c r="D197" s="488"/>
      <c r="E197" s="649">
        <v>15</v>
      </c>
      <c r="F197" s="523" cm="1" t="str">
        <f t="array" ref="F197:F197">OFFSET(E197,-1,1)</f>
        <v>1</v>
      </c>
      <c r="G197" s="488"/>
      <c r="H197" s="488"/>
      <c r="I197" s="488"/>
      <c r="J197" s="488"/>
      <c r="K197" s="488"/>
      <c r="L197" s="488"/>
      <c r="M197" s="488"/>
      <c r="N197" s="488"/>
      <c r="O197" s="488"/>
      <c r="P197" s="488"/>
      <c r="Q197" s="488"/>
      <c r="R197" s="488"/>
      <c r="S197" s="488"/>
      <c r="T197" s="465" cm="1" t="str">
        <f t="array" ref="T197:T197">T196</f>
        <v>true</v>
      </c>
      <c r="U197" s="488"/>
      <c r="V197" s="488"/>
      <c r="W197" s="488"/>
      <c r="X197" s="1596"/>
      <c r="Y197" s="488"/>
      <c r="Z197" s="1597"/>
      <c r="AA197" s="488"/>
      <c r="AB197" s="1270" t="s">
        <v>2814</v>
      </c>
      <c r="AC197" s="1283" t="s">
        <v>1730</v>
      </c>
      <c r="AD197" s="1272" t="s">
        <v>1514</v>
      </c>
      <c r="AE197" s="558"/>
      <c r="AF197" s="1108"/>
      <c r="AG197" s="1108"/>
      <c r="AH197" s="1064" t="s">
        <v>1732</v>
      </c>
      <c r="AI197" s="1058"/>
      <c r="AJ197" s="1058"/>
      <c r="AK197" s="965"/>
      <c r="AL197" s="965"/>
      <c r="AM197" s="1806"/>
      <c r="AN197" s="1806"/>
      <c r="AO197" s="1806"/>
      <c r="AP197" s="1806"/>
    </row>
    <row s="1806" customFormat="1" customHeight="1" ht="14.25">
      <c r="A198" s="667"/>
      <c r="B198" s="488"/>
      <c r="C198" s="488"/>
      <c r="D198" s="488"/>
      <c r="E198" s="649">
        <v>15</v>
      </c>
      <c r="F198" s="523" cm="1" t="str">
        <f t="array" ref="F198:F198">OFFSET(E198,-1,1)</f>
        <v>1</v>
      </c>
      <c r="G198" s="488"/>
      <c r="H198" s="488"/>
      <c r="I198" s="488"/>
      <c r="J198" s="488"/>
      <c r="K198" s="488"/>
      <c r="L198" s="488"/>
      <c r="M198" s="488"/>
      <c r="N198" s="488"/>
      <c r="O198" s="488"/>
      <c r="P198" s="488"/>
      <c r="Q198" s="488"/>
      <c r="R198" s="488"/>
      <c r="S198" s="488"/>
      <c r="T198" s="465" cm="1" t="str">
        <f t="array" ref="T198:T198">T197</f>
        <v>true</v>
      </c>
      <c r="U198" s="488"/>
      <c r="V198" s="488"/>
      <c r="W198" s="488"/>
      <c r="X198" s="1596"/>
      <c r="Y198" s="488"/>
      <c r="Z198" s="1597"/>
      <c r="AA198" s="488"/>
      <c r="AB198" s="1270" t="s">
        <v>2269</v>
      </c>
      <c r="AC198" s="1283" t="s">
        <v>2192</v>
      </c>
      <c r="AD198" s="1272" t="s">
        <v>1514</v>
      </c>
      <c r="AE198" s="558"/>
      <c r="AF198" s="1108"/>
      <c r="AG198" s="1108"/>
      <c r="AH198" s="1064" t="s">
        <v>3109</v>
      </c>
      <c r="AI198" s="1058"/>
      <c r="AJ198" s="1058"/>
      <c r="AK198" s="965"/>
      <c r="AL198" s="965"/>
      <c r="AM198" s="1806"/>
      <c r="AN198" s="1806"/>
      <c r="AO198" s="1806"/>
      <c r="AP198" s="1806"/>
    </row>
    <row s="1834" customFormat="1" customHeight="1" ht="14.25">
      <c r="A199" s="667"/>
      <c r="B199" s="1459"/>
      <c r="C199" s="1459"/>
      <c r="D199" s="1459"/>
      <c r="E199" s="649">
        <v>15</v>
      </c>
      <c r="F199" s="50" cm="1" t="str">
        <f t="array" ref="F199:F199">OFFSET(E199,-1,1)</f>
        <v>1</v>
      </c>
      <c r="G199" s="1459"/>
      <c r="H199" s="488" t="s">
        <v>3110</v>
      </c>
      <c r="I199" s="1459"/>
      <c r="J199" s="1459"/>
      <c r="K199" s="1459"/>
      <c r="L199" s="1459"/>
      <c r="M199" s="1459"/>
      <c r="N199" s="1459"/>
      <c r="O199" s="1459"/>
      <c r="P199" s="1459"/>
      <c r="Q199" s="1459"/>
      <c r="R199" s="1459"/>
      <c r="S199" s="1459"/>
      <c r="T199" s="465" cm="1" t="str">
        <f t="array" ref="T199:T199">T196</f>
        <v>true</v>
      </c>
      <c r="U199" s="1459"/>
      <c r="V199" s="1459"/>
      <c r="W199" s="1459"/>
      <c r="X199" s="1596"/>
      <c r="Y199" s="1459"/>
      <c r="Z199" s="1597"/>
      <c r="AA199" s="1459"/>
      <c r="AB199" s="714" t="s">
        <v>2273</v>
      </c>
      <c r="AC199" s="547" t="s">
        <v>3111</v>
      </c>
      <c r="AD199" s="548" t="s">
        <v>1514</v>
      </c>
      <c r="AE199" s="1332"/>
      <c r="AF199" s="1442"/>
      <c r="AG199" s="1442"/>
      <c r="AH199" s="1001" t="s">
        <v>3112</v>
      </c>
      <c r="AI199" s="1811"/>
      <c r="AJ199" s="1811"/>
      <c r="AK199" s="1444"/>
      <c r="AL199" s="1444"/>
      <c r="AM199" s="1834"/>
      <c r="AN199" s="1834"/>
      <c r="AO199" s="1834"/>
      <c r="AP199" s="1834"/>
    </row>
    <row s="1806" customFormat="1" customHeight="1" ht="31.5">
      <c r="A200" s="667"/>
      <c r="B200" s="488"/>
      <c r="C200" s="488"/>
      <c r="D200" s="488"/>
      <c r="E200" s="649">
        <v>33</v>
      </c>
      <c r="F200" s="523" cm="1" t="str">
        <f t="array" ref="F200:F200">OFFSET(E200,-1,1)</f>
        <v>1</v>
      </c>
      <c r="G200" s="488"/>
      <c r="H200" s="488"/>
      <c r="I200" s="488"/>
      <c r="J200" s="488"/>
      <c r="K200" s="488"/>
      <c r="L200" s="488"/>
      <c r="M200" s="488"/>
      <c r="N200" s="488"/>
      <c r="O200" s="488"/>
      <c r="P200" s="488"/>
      <c r="Q200" s="488"/>
      <c r="R200" s="488"/>
      <c r="S200" s="488"/>
      <c r="T200" s="465" cm="1" t="str">
        <f t="array" ref="T200:T200">T199</f>
        <v>true</v>
      </c>
      <c r="U200" s="488"/>
      <c r="V200" s="488"/>
      <c r="W200" s="488"/>
      <c r="X200" s="1596"/>
      <c r="Y200" s="488"/>
      <c r="Z200" s="1597"/>
      <c r="AA200" s="488"/>
      <c r="AB200" s="1270" t="s">
        <v>2276</v>
      </c>
      <c r="AC200" s="1271" t="s">
        <v>2827</v>
      </c>
      <c r="AD200" s="1272" t="s">
        <v>1514</v>
      </c>
      <c r="AE200" s="558"/>
      <c r="AF200" s="1108"/>
      <c r="AG200" s="1108"/>
      <c r="AH200" s="1058" t="s">
        <v>3113</v>
      </c>
      <c r="AI200" s="1058"/>
      <c r="AJ200" s="1058"/>
      <c r="AK200" s="965"/>
      <c r="AL200" s="965"/>
      <c r="AM200" s="1806"/>
      <c r="AN200" s="1806"/>
      <c r="AO200" s="1806"/>
      <c r="AP200" s="1806"/>
    </row>
    <row s="1834" customFormat="1" customHeight="1" ht="14.25">
      <c r="A201" s="667"/>
      <c r="B201" s="1459"/>
      <c r="C201" s="1459"/>
      <c r="D201" s="1459"/>
      <c r="E201" s="649">
        <v>15</v>
      </c>
      <c r="F201" s="50" cm="1" t="str">
        <f t="array" ref="F201:F201">OFFSET(E201,-1,1)</f>
        <v>1</v>
      </c>
      <c r="G201" s="1459"/>
      <c r="H201" s="488" t="s">
        <v>3114</v>
      </c>
      <c r="I201" s="1459"/>
      <c r="J201" s="1459"/>
      <c r="K201" s="1459"/>
      <c r="L201" s="1459"/>
      <c r="M201" s="1459"/>
      <c r="N201" s="1459"/>
      <c r="O201" s="1459"/>
      <c r="P201" s="1459"/>
      <c r="Q201" s="1459"/>
      <c r="R201" s="1459"/>
      <c r="S201" s="1459"/>
      <c r="T201" s="465" cm="1" t="str">
        <f t="array" ref="T201:T201">T199</f>
        <v>true</v>
      </c>
      <c r="U201" s="1459"/>
      <c r="V201" s="1459"/>
      <c r="W201" s="1459"/>
      <c r="X201" s="1596"/>
      <c r="Y201" s="1459"/>
      <c r="Z201" s="1597"/>
      <c r="AA201" s="1459"/>
      <c r="AB201" s="714" t="s">
        <v>3115</v>
      </c>
      <c r="AC201" s="547" t="s">
        <v>3116</v>
      </c>
      <c r="AD201" s="548" t="s">
        <v>1514</v>
      </c>
      <c r="AE201" s="557">
        <f>SUM(AE202:AE203)</f>
        <v>0</v>
      </c>
      <c r="AF201" s="1442"/>
      <c r="AG201" s="1442"/>
      <c r="AH201" s="1001" t="s">
        <v>3117</v>
      </c>
      <c r="AI201" s="1811"/>
      <c r="AJ201" s="1811"/>
      <c r="AK201" s="1444"/>
      <c r="AL201" s="1444"/>
      <c r="AM201" s="1834"/>
      <c r="AN201" s="1834"/>
      <c r="AO201" s="1834"/>
      <c r="AP201" s="1834"/>
    </row>
    <row s="1834" customFormat="1" customHeight="1" ht="14.25" hidden="1">
      <c r="A202" s="667"/>
      <c r="B202" s="1459"/>
      <c r="C202" s="1459"/>
      <c r="D202" s="1459"/>
      <c r="E202" s="649">
        <v>15</v>
      </c>
      <c r="F202" s="50" cm="1" t="str">
        <f t="array" ref="F202:F202">OFFSET(E202,-1,1)</f>
        <v>1</v>
      </c>
      <c r="G202" s="1459"/>
      <c r="H202" s="488" t="s">
        <v>3114</v>
      </c>
      <c r="I202" s="563" cm="1" t="str">
        <f t="array" ref="I202:I202">AC202</f>
        <v>0</v>
      </c>
      <c r="J202" s="1459"/>
      <c r="K202" s="1459"/>
      <c r="L202" s="1459"/>
      <c r="M202" s="1459"/>
      <c r="N202" s="1459"/>
      <c r="O202" s="1459"/>
      <c r="P202" s="1459"/>
      <c r="Q202" s="1459"/>
      <c r="R202" s="1459"/>
      <c r="S202" s="1459"/>
      <c r="T202" s="465">
        <f>AND(F202&gt;0,Y202&gt;0)</f>
        <v>0</v>
      </c>
      <c r="U202" s="1459"/>
      <c r="V202" s="1459"/>
      <c r="W202" s="555" t="s">
        <v>174</v>
      </c>
      <c r="X202" s="1596"/>
      <c r="Y202" s="488">
        <v>0</v>
      </c>
      <c r="Z202" s="1597"/>
      <c r="AA202" s="662" t="s">
        <v>175</v>
      </c>
      <c r="AB202" s="714" t="str">
        <f>"2.12."&amp;Y202</f>
        <v>2.12.0</v>
      </c>
      <c r="AC202" s="8363"/>
      <c r="AD202" s="548" t="s">
        <v>1514</v>
      </c>
      <c r="AE202" s="8364"/>
      <c r="AF202" s="1442"/>
      <c r="AG202" s="1442"/>
      <c r="AH202" s="1001" t="s">
        <v>3117</v>
      </c>
      <c r="AI202" s="1001" t="s">
        <v>3118</v>
      </c>
      <c r="AJ202" s="1006" cm="1" t="str">
        <f t="array" ref="AJ202:AJ202">AC202</f>
        <v>0</v>
      </c>
      <c r="AK202" s="1444"/>
      <c r="AL202" s="656" t="b">
        <v>1</v>
      </c>
      <c r="AM202" s="1834"/>
      <c r="AN202" s="1834"/>
      <c r="AO202" s="1834"/>
      <c r="AP202" s="1834"/>
    </row>
    <row s="1834" customFormat="1" customHeight="1" ht="14.25">
      <c r="A203" s="667"/>
      <c r="B203" s="1459"/>
      <c r="C203" s="1459"/>
      <c r="D203" s="1459"/>
      <c r="E203" s="649">
        <v>15</v>
      </c>
      <c r="F203" s="50" cm="1" t="str">
        <f t="array" ref="F203:F203">OFFSET(E203,-1,1)</f>
        <v>1</v>
      </c>
      <c r="G203" s="1459"/>
      <c r="H203" s="1459"/>
      <c r="I203" s="158" t="str">
        <f>"!== 'не определено' &amp;&amp; row.l2_13 !== null"</f>
        <v>!== 'не определено' &amp;&amp; row.l2_13 !== null</v>
      </c>
      <c r="J203" s="1459"/>
      <c r="K203" s="1459"/>
      <c r="L203" s="1459"/>
      <c r="M203" s="1459"/>
      <c r="N203" s="1459"/>
      <c r="O203" s="1459"/>
      <c r="P203" s="1459"/>
      <c r="Q203" s="1459"/>
      <c r="R203" s="1459"/>
      <c r="S203" s="1459"/>
      <c r="T203" s="465">
        <f>F203&gt;0</f>
        <v>1</v>
      </c>
      <c r="U203" s="1459"/>
      <c r="V203" s="1459"/>
      <c r="W203" s="829" t="s">
        <v>1613</v>
      </c>
      <c r="X203" s="1596"/>
      <c r="Y203" s="1459"/>
      <c r="Z203" s="1597"/>
      <c r="AA203" s="1459"/>
      <c r="AB203" s="1279"/>
      <c r="AC203" s="1334" t="s">
        <v>178</v>
      </c>
      <c r="AD203" s="1281"/>
      <c r="AE203" s="1333"/>
      <c r="AF203" s="1442"/>
      <c r="AG203" s="1442"/>
      <c r="AH203" s="1811"/>
      <c r="AI203" s="1811"/>
      <c r="AJ203" s="1811"/>
      <c r="AK203" s="656" t="s">
        <v>3118</v>
      </c>
      <c r="AL203" s="1444"/>
      <c r="AM203" s="1834"/>
      <c r="AN203" s="1834"/>
      <c r="AO203" s="1834"/>
      <c r="AP203" s="1834"/>
    </row>
    <row s="1834" customFormat="1" customHeight="1" ht="14.25">
      <c r="A204" s="667"/>
      <c r="B204" s="1459"/>
      <c r="C204" s="1459"/>
      <c r="D204" s="1459"/>
      <c r="E204" s="649">
        <v>15</v>
      </c>
      <c r="F204" s="50" cm="1" t="str">
        <f t="array" ref="F204:F204">OFFSET(E204,-1,1)</f>
        <v>1</v>
      </c>
      <c r="G204" s="488" t="s">
        <v>50</v>
      </c>
      <c r="H204" s="488" t="s">
        <v>334</v>
      </c>
      <c r="I204" s="1459"/>
      <c r="J204" s="1459"/>
      <c r="K204" s="1459"/>
      <c r="L204" s="1459"/>
      <c r="M204" s="1459"/>
      <c r="N204" s="1459"/>
      <c r="O204" s="1459"/>
      <c r="P204" s="1459"/>
      <c r="Q204" s="1459"/>
      <c r="R204" s="1459"/>
      <c r="S204" s="1459"/>
      <c r="T204" s="465" cm="1" t="str">
        <f t="array" ref="T204:T204">T203</f>
        <v>true</v>
      </c>
      <c r="U204" s="1459"/>
      <c r="V204" s="1459"/>
      <c r="W204" s="1459"/>
      <c r="X204" s="1596"/>
      <c r="Y204" s="1459"/>
      <c r="Z204" s="1597"/>
      <c r="AA204" s="1459"/>
      <c r="AB204" s="713" t="s">
        <v>289</v>
      </c>
      <c r="AC204" s="545" t="s">
        <v>2830</v>
      </c>
      <c r="AD204" s="546" t="s">
        <v>1514</v>
      </c>
      <c r="AE204" s="1335"/>
      <c r="AF204" s="1442"/>
      <c r="AG204" s="1442"/>
      <c r="AH204" s="1001" t="s">
        <v>2446</v>
      </c>
      <c r="AI204" s="1811"/>
      <c r="AJ204" s="1811"/>
      <c r="AK204" s="1444"/>
      <c r="AL204" s="1444"/>
      <c r="AM204" s="1834"/>
      <c r="AN204" s="1834"/>
      <c r="AO204" s="1834"/>
      <c r="AP204" s="1834"/>
    </row>
    <row s="1834" customFormat="1" customHeight="1" ht="14.25">
      <c r="A205" s="667"/>
      <c r="B205" s="1459"/>
      <c r="C205" s="1459"/>
      <c r="D205" s="1459"/>
      <c r="E205" s="649">
        <v>15</v>
      </c>
      <c r="F205" s="836" cm="1" t="str">
        <f t="array" ref="F205:F205">X205</f>
        <v>2</v>
      </c>
      <c r="G205" s="488" t="s">
        <v>1507</v>
      </c>
      <c r="H205" s="1459"/>
      <c r="I205" s="1459"/>
      <c r="J205" s="1459"/>
      <c r="K205" s="1459"/>
      <c r="L205" s="1459"/>
      <c r="M205" s="1459"/>
      <c r="N205" s="1459"/>
      <c r="O205" s="1459"/>
      <c r="P205" s="1459"/>
      <c r="Q205" s="1459"/>
      <c r="R205" s="1459"/>
      <c r="S205" s="1459"/>
      <c r="T205" s="465">
        <f>X205&gt;0</f>
        <v>1</v>
      </c>
      <c r="U205" s="1459"/>
      <c r="V205" s="488" cm="1" t="str">
        <f t="array" ref="V205:V205">'ДПР (концессии)'!$AB$185</f>
        <v>Тариф 2 (Водоснабжение) - тариф на питьевую воду (Доп. признак не требуется)</v>
      </c>
      <c r="W205" s="1459"/>
      <c r="X205" s="1596" t="s">
        <v>285</v>
      </c>
      <c r="Y205" s="1459"/>
      <c r="Z205" s="1597"/>
      <c r="AA205" s="1459"/>
      <c r="AB205" s="222" cm="1" t="str">
        <f t="array" ref="AB205:AB205">'ДПР (концессии)'!$AB$185</f>
        <v>Тариф 2 (Водоснабжение) - тариф на питьевую воду (Доп. признак не требуется)</v>
      </c>
      <c r="AC205" s="180"/>
      <c r="AD205" s="174"/>
      <c r="AE205" s="1266">
        <f>AE206+AE256+AE293</f>
        <v>0</v>
      </c>
      <c r="AF205" s="1442"/>
      <c r="AG205" s="1442"/>
      <c r="AH205" s="1811"/>
      <c r="AI205" s="1811"/>
      <c r="AJ205" s="1811"/>
      <c r="AK205" s="1444"/>
      <c r="AL205" s="1444"/>
      <c r="AM205" s="1834"/>
      <c r="AN205" s="1834"/>
      <c r="AO205" s="1834"/>
      <c r="AP205" s="1834"/>
    </row>
    <row s="1834" customFormat="1" customHeight="1" ht="14.25">
      <c r="A206" s="667"/>
      <c r="B206" s="1459"/>
      <c r="C206" s="1459"/>
      <c r="D206" s="1459"/>
      <c r="E206" s="649">
        <v>15</v>
      </c>
      <c r="F206" s="50" cm="1" t="str">
        <f t="array" ref="F206:F206">OFFSET(E206,-1,1)</f>
        <v>2</v>
      </c>
      <c r="G206" s="1459"/>
      <c r="H206" s="488" t="s">
        <v>332</v>
      </c>
      <c r="I206" s="1459"/>
      <c r="J206" s="1459"/>
      <c r="K206" s="1459"/>
      <c r="L206" s="1459"/>
      <c r="M206" s="1459"/>
      <c r="N206" s="1459"/>
      <c r="O206" s="1459"/>
      <c r="P206" s="1459"/>
      <c r="Q206" s="1459"/>
      <c r="R206" s="1459"/>
      <c r="S206" s="1459"/>
      <c r="T206" s="465" cm="1" t="str">
        <f t="array" ref="T206:T206">T205</f>
        <v>true</v>
      </c>
      <c r="U206" s="1459"/>
      <c r="V206" s="1459"/>
      <c r="W206" s="1459"/>
      <c r="X206" s="1596"/>
      <c r="Y206" s="1459"/>
      <c r="Z206" s="1597"/>
      <c r="AA206" s="1459"/>
      <c r="AB206" s="1267" t="s">
        <v>276</v>
      </c>
      <c r="AC206" s="1268" t="s">
        <v>2636</v>
      </c>
      <c r="AD206" s="1269" t="s">
        <v>1514</v>
      </c>
      <c r="AE206" s="1331">
        <f>AE207+AE225+AE233+AE253</f>
        <v>0</v>
      </c>
      <c r="AF206" s="1442"/>
      <c r="AG206" s="1442"/>
      <c r="AH206" s="1001" t="s">
        <v>1239</v>
      </c>
      <c r="AI206" s="1811"/>
      <c r="AJ206" s="1811"/>
      <c r="AK206" s="1444"/>
      <c r="AL206" s="1444"/>
      <c r="AM206" s="1834"/>
      <c r="AN206" s="1834"/>
      <c r="AO206" s="1834"/>
      <c r="AP206" s="1834"/>
    </row>
    <row s="1834" customFormat="1" customHeight="1" ht="14.25">
      <c r="A207" s="667"/>
      <c r="B207" s="1459"/>
      <c r="C207" s="1459"/>
      <c r="D207" s="1459"/>
      <c r="E207" s="649">
        <v>15</v>
      </c>
      <c r="F207" s="50" cm="1" t="str">
        <f t="array" ref="F207:F207">OFFSET(E207,-1,1)</f>
        <v>2</v>
      </c>
      <c r="G207" s="1459"/>
      <c r="H207" s="488" t="s">
        <v>1175</v>
      </c>
      <c r="I207" s="1459"/>
      <c r="J207" s="1459"/>
      <c r="K207" s="1459"/>
      <c r="L207" s="1459"/>
      <c r="M207" s="1459"/>
      <c r="N207" s="1459"/>
      <c r="O207" s="1459"/>
      <c r="P207" s="1459"/>
      <c r="Q207" s="1459"/>
      <c r="R207" s="1459"/>
      <c r="S207" s="1459"/>
      <c r="T207" s="465" cm="1" t="str">
        <f t="array" ref="T207:T207">T206</f>
        <v>true</v>
      </c>
      <c r="U207" s="1459"/>
      <c r="V207" s="1459"/>
      <c r="W207" s="1459"/>
      <c r="X207" s="1596"/>
      <c r="Y207" s="1459"/>
      <c r="Z207" s="1597"/>
      <c r="AA207" s="1459"/>
      <c r="AB207" s="1270" t="s">
        <v>1628</v>
      </c>
      <c r="AC207" s="1271" t="s">
        <v>2434</v>
      </c>
      <c r="AD207" s="1272" t="s">
        <v>1514</v>
      </c>
      <c r="AE207" s="557">
        <f>AE208+AE209+AE210+AE215+AE216+AE217</f>
        <v>0</v>
      </c>
      <c r="AF207" s="1442"/>
      <c r="AG207" s="1442"/>
      <c r="AH207" s="1001" t="s">
        <v>1868</v>
      </c>
      <c r="AI207" s="1811"/>
      <c r="AJ207" s="1811"/>
      <c r="AK207" s="1444"/>
      <c r="AL207" s="1444"/>
      <c r="AM207" s="1834"/>
      <c r="AN207" s="1834"/>
      <c r="AO207" s="1834"/>
      <c r="AP207" s="1834"/>
    </row>
    <row s="1834" customFormat="1" customHeight="1" ht="14.25">
      <c r="A208" s="667"/>
      <c r="B208" s="1459"/>
      <c r="C208" s="1459"/>
      <c r="D208" s="1459"/>
      <c r="E208" s="649">
        <v>15</v>
      </c>
      <c r="F208" s="50" cm="1" t="str">
        <f t="array" ref="F208:F208">OFFSET(E208,-1,1)</f>
        <v>2</v>
      </c>
      <c r="G208" s="1459"/>
      <c r="H208" s="488" t="s">
        <v>1735</v>
      </c>
      <c r="I208" s="1459"/>
      <c r="J208" s="1459"/>
      <c r="K208" s="1459"/>
      <c r="L208" s="1459"/>
      <c r="M208" s="1459"/>
      <c r="N208" s="1459"/>
      <c r="O208" s="1459"/>
      <c r="P208" s="1459"/>
      <c r="Q208" s="1459"/>
      <c r="R208" s="1459"/>
      <c r="S208" s="1459"/>
      <c r="T208" s="465" cm="1" t="str">
        <f t="array" ref="T208:T208">T207</f>
        <v>true</v>
      </c>
      <c r="U208" s="1459"/>
      <c r="V208" s="1459"/>
      <c r="W208" s="1459"/>
      <c r="X208" s="1596"/>
      <c r="Y208" s="1459"/>
      <c r="Z208" s="1597"/>
      <c r="AA208" s="1459"/>
      <c r="AB208" s="714" t="s">
        <v>1736</v>
      </c>
      <c r="AC208" s="1273" t="s">
        <v>2985</v>
      </c>
      <c r="AD208" s="548" t="s">
        <v>1514</v>
      </c>
      <c r="AE208" s="1332"/>
      <c r="AF208" s="1442"/>
      <c r="AG208" s="1442"/>
      <c r="AH208" s="1001" t="s">
        <v>1983</v>
      </c>
      <c r="AI208" s="1811"/>
      <c r="AJ208" s="1811"/>
      <c r="AK208" s="1444"/>
      <c r="AL208" s="1444"/>
      <c r="AM208" s="1834"/>
      <c r="AN208" s="1834"/>
      <c r="AO208" s="1834"/>
      <c r="AP208" s="1834"/>
    </row>
    <row s="1834" customFormat="1" customHeight="1" ht="21.75">
      <c r="A209" s="667"/>
      <c r="B209" s="1459"/>
      <c r="C209" s="1459"/>
      <c r="D209" s="1459"/>
      <c r="E209" s="649">
        <v>22.5</v>
      </c>
      <c r="F209" s="50" cm="1" t="str">
        <f t="array" ref="F209:F209">OFFSET(E209,-1,1)</f>
        <v>2</v>
      </c>
      <c r="G209" s="1459"/>
      <c r="H209" s="488" t="s">
        <v>1739</v>
      </c>
      <c r="I209" s="1459"/>
      <c r="J209" s="1459"/>
      <c r="K209" s="1459"/>
      <c r="L209" s="1459"/>
      <c r="M209" s="1459"/>
      <c r="N209" s="1459"/>
      <c r="O209" s="1459"/>
      <c r="P209" s="1459"/>
      <c r="Q209" s="1459"/>
      <c r="R209" s="1459"/>
      <c r="S209" s="1459"/>
      <c r="T209" s="465" cm="1" t="str">
        <f t="array" ref="T209:T209">T208</f>
        <v>true</v>
      </c>
      <c r="U209" s="1459"/>
      <c r="V209" s="1459"/>
      <c r="W209" s="1459"/>
      <c r="X209" s="1596"/>
      <c r="Y209" s="1459"/>
      <c r="Z209" s="1597"/>
      <c r="AA209" s="1459"/>
      <c r="AB209" s="714" t="s">
        <v>1740</v>
      </c>
      <c r="AC209" s="549" t="s">
        <v>2644</v>
      </c>
      <c r="AD209" s="548" t="s">
        <v>1514</v>
      </c>
      <c r="AE209" s="1332"/>
      <c r="AF209" s="1442"/>
      <c r="AG209" s="1442"/>
      <c r="AH209" s="1001" t="s">
        <v>2467</v>
      </c>
      <c r="AI209" s="1811"/>
      <c r="AJ209" s="1811"/>
      <c r="AK209" s="1444"/>
      <c r="AL209" s="1444"/>
      <c r="AM209" s="1834"/>
      <c r="AN209" s="1834"/>
      <c r="AO209" s="1834"/>
      <c r="AP209" s="1834"/>
    </row>
    <row s="1834" customFormat="1" customHeight="1" ht="32.25">
      <c r="A210" s="667"/>
      <c r="B210" s="1459"/>
      <c r="C210" s="1459"/>
      <c r="D210" s="1459"/>
      <c r="E210" s="649">
        <v>33.75</v>
      </c>
      <c r="F210" s="50" cm="1" t="str">
        <f t="array" ref="F210:F210">OFFSET(E210,-1,1)</f>
        <v>2</v>
      </c>
      <c r="G210" s="1459"/>
      <c r="H210" s="488" t="s">
        <v>2043</v>
      </c>
      <c r="I210" s="1459"/>
      <c r="J210" s="1459"/>
      <c r="K210" s="1459"/>
      <c r="L210" s="1459"/>
      <c r="M210" s="1459"/>
      <c r="N210" s="1459"/>
      <c r="O210" s="1459"/>
      <c r="P210" s="1459"/>
      <c r="Q210" s="1459"/>
      <c r="R210" s="1459"/>
      <c r="S210" s="1459"/>
      <c r="T210" s="465" cm="1" t="str">
        <f t="array" ref="T210:T210">T209</f>
        <v>true</v>
      </c>
      <c r="U210" s="1459"/>
      <c r="V210" s="1459"/>
      <c r="W210" s="1459"/>
      <c r="X210" s="1596"/>
      <c r="Y210" s="1459"/>
      <c r="Z210" s="1597"/>
      <c r="AA210" s="1459"/>
      <c r="AB210" s="714" t="s">
        <v>2044</v>
      </c>
      <c r="AC210" s="549" t="s">
        <v>2986</v>
      </c>
      <c r="AD210" s="548" t="s">
        <v>1514</v>
      </c>
      <c r="AE210" s="557">
        <f>AE211+AE214</f>
        <v>0</v>
      </c>
      <c r="AF210" s="1442"/>
      <c r="AG210" s="1442"/>
      <c r="AH210" s="1001" t="s">
        <v>2469</v>
      </c>
      <c r="AI210" s="1811"/>
      <c r="AJ210" s="1811"/>
      <c r="AK210" s="1444"/>
      <c r="AL210" s="1444"/>
      <c r="AM210" s="1834"/>
      <c r="AN210" s="1834"/>
      <c r="AO210" s="1834"/>
      <c r="AP210" s="1834"/>
    </row>
    <row s="1834" customFormat="1" customHeight="1" ht="21.75">
      <c r="A211" s="667"/>
      <c r="B211" s="1459"/>
      <c r="C211" s="1459"/>
      <c r="D211" s="1459"/>
      <c r="E211" s="649">
        <v>22.5</v>
      </c>
      <c r="F211" s="50" cm="1" t="str">
        <f t="array" ref="F211:F211">OFFSET(E211,-1,1)</f>
        <v>2</v>
      </c>
      <c r="G211" s="1459"/>
      <c r="H211" s="488" t="s">
        <v>2987</v>
      </c>
      <c r="I211" s="1459"/>
      <c r="J211" s="1459"/>
      <c r="K211" s="1459"/>
      <c r="L211" s="1459"/>
      <c r="M211" s="1459"/>
      <c r="N211" s="1459"/>
      <c r="O211" s="1459"/>
      <c r="P211" s="1459"/>
      <c r="Q211" s="1459"/>
      <c r="R211" s="1459"/>
      <c r="S211" s="1459"/>
      <c r="T211" s="465" cm="1" t="str">
        <f t="array" ref="T211:T211">T210</f>
        <v>true</v>
      </c>
      <c r="U211" s="1459"/>
      <c r="V211" s="1459"/>
      <c r="W211" s="1459"/>
      <c r="X211" s="1596"/>
      <c r="Y211" s="1459"/>
      <c r="Z211" s="1597"/>
      <c r="AA211" s="1459"/>
      <c r="AB211" s="714" t="s">
        <v>2988</v>
      </c>
      <c r="AC211" s="1274" t="s">
        <v>2989</v>
      </c>
      <c r="AD211" s="548" t="s">
        <v>1514</v>
      </c>
      <c r="AE211" s="1332"/>
      <c r="AF211" s="1442"/>
      <c r="AG211" s="1442"/>
      <c r="AH211" s="1001" t="s">
        <v>2471</v>
      </c>
      <c r="AI211" s="1811"/>
      <c r="AJ211" s="1811"/>
      <c r="AK211" s="1444"/>
      <c r="AL211" s="1444"/>
      <c r="AM211" s="1834"/>
      <c r="AN211" s="1834"/>
      <c r="AO211" s="1834"/>
      <c r="AP211" s="1834"/>
    </row>
    <row s="1834" customFormat="1" customHeight="1" ht="21.75">
      <c r="A212" s="667"/>
      <c r="B212" s="1459"/>
      <c r="C212" s="1459"/>
      <c r="D212" s="1459"/>
      <c r="E212" s="649">
        <v>22.5</v>
      </c>
      <c r="F212" s="50" cm="1" t="str">
        <f t="array" ref="F212:F212">OFFSET(E212,-1,1)</f>
        <v>2</v>
      </c>
      <c r="G212" s="1459"/>
      <c r="H212" s="488" t="s">
        <v>2990</v>
      </c>
      <c r="I212" s="1459"/>
      <c r="J212" s="1459"/>
      <c r="K212" s="1459"/>
      <c r="L212" s="1459"/>
      <c r="M212" s="1459"/>
      <c r="N212" s="1459"/>
      <c r="O212" s="1459"/>
      <c r="P212" s="1459"/>
      <c r="Q212" s="1459"/>
      <c r="R212" s="1459"/>
      <c r="S212" s="1459"/>
      <c r="T212" s="465" cm="1" t="str">
        <f t="array" ref="T212:T212">T211</f>
        <v>true</v>
      </c>
      <c r="U212" s="1459"/>
      <c r="V212" s="1459"/>
      <c r="W212" s="1459"/>
      <c r="X212" s="1596"/>
      <c r="Y212" s="1459"/>
      <c r="Z212" s="1597"/>
      <c r="AA212" s="1459"/>
      <c r="AB212" s="714" t="s">
        <v>2991</v>
      </c>
      <c r="AC212" s="1275" t="s">
        <v>2992</v>
      </c>
      <c r="AD212" s="548" t="s">
        <v>2993</v>
      </c>
      <c r="AE212" s="1332"/>
      <c r="AF212" s="1442"/>
      <c r="AG212" s="1442"/>
      <c r="AH212" s="1001" t="s">
        <v>2994</v>
      </c>
      <c r="AI212" s="1811"/>
      <c r="AJ212" s="1811"/>
      <c r="AK212" s="1444"/>
      <c r="AL212" s="1444"/>
      <c r="AM212" s="1834"/>
      <c r="AN212" s="1834"/>
      <c r="AO212" s="1834"/>
      <c r="AP212" s="1834"/>
    </row>
    <row s="1834" customFormat="1" customHeight="1" ht="21.75">
      <c r="A213" s="667"/>
      <c r="B213" s="1459"/>
      <c r="C213" s="1459"/>
      <c r="D213" s="1459"/>
      <c r="E213" s="649">
        <v>22.5</v>
      </c>
      <c r="F213" s="50" cm="1" t="str">
        <f t="array" ref="F213:F213">OFFSET(E213,-1,1)</f>
        <v>2</v>
      </c>
      <c r="G213" s="1459"/>
      <c r="H213" s="488" t="s">
        <v>2995</v>
      </c>
      <c r="I213" s="1459"/>
      <c r="J213" s="1459"/>
      <c r="K213" s="1459"/>
      <c r="L213" s="1459"/>
      <c r="M213" s="1459"/>
      <c r="N213" s="1459"/>
      <c r="O213" s="1459"/>
      <c r="P213" s="1459"/>
      <c r="Q213" s="1459"/>
      <c r="R213" s="1459"/>
      <c r="S213" s="1459"/>
      <c r="T213" s="465" cm="1" t="str">
        <f t="array" ref="T213:T213">T212</f>
        <v>true</v>
      </c>
      <c r="U213" s="1459"/>
      <c r="V213" s="1459"/>
      <c r="W213" s="1459"/>
      <c r="X213" s="1596"/>
      <c r="Y213" s="1459"/>
      <c r="Z213" s="1597"/>
      <c r="AA213" s="1459"/>
      <c r="AB213" s="714" t="s">
        <v>2996</v>
      </c>
      <c r="AC213" s="551" t="s">
        <v>2997</v>
      </c>
      <c r="AD213" s="548" t="s">
        <v>2998</v>
      </c>
      <c r="AE213" s="1332"/>
      <c r="AF213" s="1442"/>
      <c r="AG213" s="1442"/>
      <c r="AH213" s="1001" t="s">
        <v>2999</v>
      </c>
      <c r="AI213" s="1811"/>
      <c r="AJ213" s="1811"/>
      <c r="AK213" s="1444"/>
      <c r="AL213" s="1444"/>
      <c r="AM213" s="1834"/>
      <c r="AN213" s="1834"/>
      <c r="AO213" s="1834"/>
      <c r="AP213" s="1834"/>
    </row>
    <row s="1834" customFormat="1" customHeight="1" ht="21.75">
      <c r="A214" s="667"/>
      <c r="B214" s="1459"/>
      <c r="C214" s="1459"/>
      <c r="D214" s="1459"/>
      <c r="E214" s="649">
        <v>22.5</v>
      </c>
      <c r="F214" s="50" cm="1" t="str">
        <f t="array" ref="F214:F214">OFFSET(E214,-1,1)</f>
        <v>2</v>
      </c>
      <c r="G214" s="1459"/>
      <c r="H214" s="488" t="s">
        <v>3000</v>
      </c>
      <c r="I214" s="1459"/>
      <c r="J214" s="1459"/>
      <c r="K214" s="1459"/>
      <c r="L214" s="1459"/>
      <c r="M214" s="1459"/>
      <c r="N214" s="1459"/>
      <c r="O214" s="1459"/>
      <c r="P214" s="1459"/>
      <c r="Q214" s="1459"/>
      <c r="R214" s="1459"/>
      <c r="S214" s="1459"/>
      <c r="T214" s="465" cm="1" t="str">
        <f t="array" ref="T214:T214">T213</f>
        <v>true</v>
      </c>
      <c r="U214" s="1459"/>
      <c r="V214" s="1459"/>
      <c r="W214" s="1459"/>
      <c r="X214" s="1596"/>
      <c r="Y214" s="1459"/>
      <c r="Z214" s="1597"/>
      <c r="AA214" s="1459"/>
      <c r="AB214" s="714" t="s">
        <v>3001</v>
      </c>
      <c r="AC214" s="550" t="s">
        <v>3002</v>
      </c>
      <c r="AD214" s="548" t="s">
        <v>1514</v>
      </c>
      <c r="AE214" s="1332"/>
      <c r="AF214" s="1442"/>
      <c r="AG214" s="1442"/>
      <c r="AH214" s="1001" t="s">
        <v>2473</v>
      </c>
      <c r="AI214" s="1811"/>
      <c r="AJ214" s="1811"/>
      <c r="AK214" s="1444"/>
      <c r="AL214" s="1444"/>
      <c r="AM214" s="1834"/>
      <c r="AN214" s="1834"/>
      <c r="AO214" s="1834"/>
      <c r="AP214" s="1834"/>
    </row>
    <row s="1834" customFormat="1" customHeight="1" ht="14.25">
      <c r="A215" s="667"/>
      <c r="B215" s="1459"/>
      <c r="C215" s="1459"/>
      <c r="D215" s="1459"/>
      <c r="E215" s="649">
        <v>15</v>
      </c>
      <c r="F215" s="50" cm="1" t="str">
        <f t="array" ref="F215:F215">OFFSET(E215,-1,1)</f>
        <v>2</v>
      </c>
      <c r="G215" s="1459"/>
      <c r="H215" s="488" t="s">
        <v>2047</v>
      </c>
      <c r="I215" s="1459"/>
      <c r="J215" s="1459"/>
      <c r="K215" s="1459"/>
      <c r="L215" s="1459"/>
      <c r="M215" s="1459"/>
      <c r="N215" s="1459"/>
      <c r="O215" s="1459"/>
      <c r="P215" s="1459"/>
      <c r="Q215" s="1459"/>
      <c r="R215" s="1459"/>
      <c r="S215" s="1459"/>
      <c r="T215" s="465" cm="1" t="str">
        <f t="array" ref="T215:T215">T214</f>
        <v>true</v>
      </c>
      <c r="U215" s="1459"/>
      <c r="V215" s="1459"/>
      <c r="W215" s="1459"/>
      <c r="X215" s="1596"/>
      <c r="Y215" s="1459"/>
      <c r="Z215" s="1597"/>
      <c r="AA215" s="1459"/>
      <c r="AB215" s="714" t="s">
        <v>2048</v>
      </c>
      <c r="AC215" s="549" t="s">
        <v>3003</v>
      </c>
      <c r="AD215" s="548" t="s">
        <v>1514</v>
      </c>
      <c r="AE215" s="1332"/>
      <c r="AF215" s="1442"/>
      <c r="AG215" s="1442"/>
      <c r="AH215" s="1001" t="s">
        <v>2825</v>
      </c>
      <c r="AI215" s="1811"/>
      <c r="AJ215" s="1811"/>
      <c r="AK215" s="1444"/>
      <c r="AL215" s="1444"/>
      <c r="AM215" s="1834"/>
      <c r="AN215" s="1834"/>
      <c r="AO215" s="1834"/>
      <c r="AP215" s="1834"/>
    </row>
    <row s="1834" customFormat="1" customHeight="1" ht="14.25">
      <c r="A216" s="667"/>
      <c r="B216" s="1459"/>
      <c r="C216" s="1459"/>
      <c r="D216" s="1459"/>
      <c r="E216" s="649">
        <v>15</v>
      </c>
      <c r="F216" s="50" cm="1" t="str">
        <f t="array" ref="F216:F216">OFFSET(E216,-1,1)</f>
        <v>2</v>
      </c>
      <c r="G216" s="1459"/>
      <c r="H216" s="488" t="s">
        <v>3004</v>
      </c>
      <c r="I216" s="1459"/>
      <c r="J216" s="1459"/>
      <c r="K216" s="1459"/>
      <c r="L216" s="1459"/>
      <c r="M216" s="1459"/>
      <c r="N216" s="1459"/>
      <c r="O216" s="1459"/>
      <c r="P216" s="1459"/>
      <c r="Q216" s="1459"/>
      <c r="R216" s="1459"/>
      <c r="S216" s="1459"/>
      <c r="T216" s="465" cm="1" t="str">
        <f t="array" ref="T216:T216">T215</f>
        <v>true</v>
      </c>
      <c r="U216" s="1459"/>
      <c r="V216" s="1459"/>
      <c r="W216" s="1459"/>
      <c r="X216" s="1596"/>
      <c r="Y216" s="1459"/>
      <c r="Z216" s="1597"/>
      <c r="AA216" s="1459"/>
      <c r="AB216" s="714" t="s">
        <v>2051</v>
      </c>
      <c r="AC216" s="549" t="s">
        <v>2650</v>
      </c>
      <c r="AD216" s="548" t="s">
        <v>1514</v>
      </c>
      <c r="AE216" s="1332"/>
      <c r="AF216" s="1442"/>
      <c r="AG216" s="1442"/>
      <c r="AH216" s="1001" t="s">
        <v>2478</v>
      </c>
      <c r="AI216" s="1811"/>
      <c r="AJ216" s="1811"/>
      <c r="AK216" s="1444"/>
      <c r="AL216" s="1444"/>
      <c r="AM216" s="1834"/>
      <c r="AN216" s="1834"/>
      <c r="AO216" s="1834"/>
      <c r="AP216" s="1834"/>
    </row>
    <row s="1834" customFormat="1" customHeight="1" ht="14.25">
      <c r="A217" s="667"/>
      <c r="B217" s="1459"/>
      <c r="C217" s="1459"/>
      <c r="D217" s="1459"/>
      <c r="E217" s="649">
        <v>15</v>
      </c>
      <c r="F217" s="50" cm="1" t="str">
        <f t="array" ref="F217:F217">OFFSET(E217,-1,1)</f>
        <v>2</v>
      </c>
      <c r="G217" s="1459"/>
      <c r="H217" s="488" t="s">
        <v>3005</v>
      </c>
      <c r="I217" s="1459"/>
      <c r="J217" s="1459"/>
      <c r="K217" s="1459"/>
      <c r="L217" s="1459"/>
      <c r="M217" s="1459"/>
      <c r="N217" s="1459"/>
      <c r="O217" s="1459"/>
      <c r="P217" s="1459"/>
      <c r="Q217" s="1459"/>
      <c r="R217" s="1459"/>
      <c r="S217" s="1459"/>
      <c r="T217" s="465" cm="1" t="str">
        <f t="array" ref="T217:T217">T216</f>
        <v>true</v>
      </c>
      <c r="U217" s="1459"/>
      <c r="V217" s="1459"/>
      <c r="W217" s="1459"/>
      <c r="X217" s="1596"/>
      <c r="Y217" s="1459"/>
      <c r="Z217" s="1597"/>
      <c r="AA217" s="1459"/>
      <c r="AB217" s="714" t="s">
        <v>3006</v>
      </c>
      <c r="AC217" s="549" t="s">
        <v>3007</v>
      </c>
      <c r="AD217" s="548" t="s">
        <v>1514</v>
      </c>
      <c r="AE217" s="557">
        <f>SUM(AE218:AE224)</f>
        <v>0</v>
      </c>
      <c r="AF217" s="1442"/>
      <c r="AG217" s="1442"/>
      <c r="AH217" s="1001" t="s">
        <v>2482</v>
      </c>
      <c r="AI217" s="1811"/>
      <c r="AJ217" s="1811"/>
      <c r="AK217" s="1444"/>
      <c r="AL217" s="1444"/>
      <c r="AM217" s="1834"/>
      <c r="AN217" s="1834"/>
      <c r="AO217" s="1834"/>
      <c r="AP217" s="1834"/>
    </row>
    <row s="1834" customFormat="1" customHeight="1" ht="14.25">
      <c r="A218" s="667"/>
      <c r="B218" s="1459"/>
      <c r="C218" s="1459"/>
      <c r="D218" s="1459"/>
      <c r="E218" s="649">
        <v>15</v>
      </c>
      <c r="F218" s="50" cm="1" t="str">
        <f t="array" ref="F218:F218">OFFSET(E218,-1,1)</f>
        <v>2</v>
      </c>
      <c r="G218" s="1459"/>
      <c r="H218" s="488" t="s">
        <v>3008</v>
      </c>
      <c r="I218" s="1459"/>
      <c r="J218" s="1459"/>
      <c r="K218" s="1459"/>
      <c r="L218" s="1459"/>
      <c r="M218" s="1459"/>
      <c r="N218" s="1459"/>
      <c r="O218" s="1459"/>
      <c r="P218" s="1459"/>
      <c r="Q218" s="1459"/>
      <c r="R218" s="1459"/>
      <c r="S218" s="1459"/>
      <c r="T218" s="465" cm="1" t="str">
        <f t="array" ref="T218:T218">T217</f>
        <v>true</v>
      </c>
      <c r="U218" s="1459"/>
      <c r="V218" s="1459"/>
      <c r="W218" s="1459"/>
      <c r="X218" s="1596"/>
      <c r="Y218" s="1459"/>
      <c r="Z218" s="1597"/>
      <c r="AA218" s="1459"/>
      <c r="AB218" s="714" t="s">
        <v>3009</v>
      </c>
      <c r="AC218" s="550" t="s">
        <v>2489</v>
      </c>
      <c r="AD218" s="548" t="s">
        <v>1514</v>
      </c>
      <c r="AE218" s="1332"/>
      <c r="AF218" s="1442"/>
      <c r="AG218" s="1442"/>
      <c r="AH218" s="1001" t="s">
        <v>3010</v>
      </c>
      <c r="AI218" s="1811"/>
      <c r="AJ218" s="1811"/>
      <c r="AK218" s="1444"/>
      <c r="AL218" s="1444"/>
      <c r="AM218" s="1834"/>
      <c r="AN218" s="1834"/>
      <c r="AO218" s="1834"/>
      <c r="AP218" s="1834"/>
    </row>
    <row s="1834" customFormat="1" customHeight="1" ht="21.75">
      <c r="A219" s="667"/>
      <c r="B219" s="1459"/>
      <c r="C219" s="1459"/>
      <c r="D219" s="1459"/>
      <c r="E219" s="649">
        <v>22.5</v>
      </c>
      <c r="F219" s="50" cm="1" t="str">
        <f t="array" ref="F219:F219">OFFSET(E219,-1,1)</f>
        <v>2</v>
      </c>
      <c r="G219" s="1459"/>
      <c r="H219" s="488" t="s">
        <v>3011</v>
      </c>
      <c r="I219" s="1459"/>
      <c r="J219" s="1459"/>
      <c r="K219" s="1459"/>
      <c r="L219" s="1459"/>
      <c r="M219" s="1459"/>
      <c r="N219" s="1459"/>
      <c r="O219" s="1459"/>
      <c r="P219" s="1459"/>
      <c r="Q219" s="1459"/>
      <c r="R219" s="1459"/>
      <c r="S219" s="1459"/>
      <c r="T219" s="465" cm="1" t="str">
        <f t="array" ref="T219:T219">T218</f>
        <v>true</v>
      </c>
      <c r="U219" s="1459"/>
      <c r="V219" s="1459"/>
      <c r="W219" s="1459"/>
      <c r="X219" s="1596"/>
      <c r="Y219" s="1459"/>
      <c r="Z219" s="1597"/>
      <c r="AA219" s="1459"/>
      <c r="AB219" s="714" t="s">
        <v>3012</v>
      </c>
      <c r="AC219" s="550" t="s">
        <v>2658</v>
      </c>
      <c r="AD219" s="548" t="s">
        <v>1514</v>
      </c>
      <c r="AE219" s="1332"/>
      <c r="AF219" s="1442"/>
      <c r="AG219" s="1442"/>
      <c r="AH219" s="1064" t="s">
        <v>2659</v>
      </c>
      <c r="AI219" s="1811"/>
      <c r="AJ219" s="1811"/>
      <c r="AK219" s="1444"/>
      <c r="AL219" s="1444"/>
      <c r="AM219" s="1834"/>
      <c r="AN219" s="1834"/>
      <c r="AO219" s="1834"/>
      <c r="AP219" s="1834"/>
    </row>
    <row s="1834" customFormat="1" customHeight="1" ht="21.75">
      <c r="A220" s="667"/>
      <c r="B220" s="1459"/>
      <c r="C220" s="1459"/>
      <c r="D220" s="1459"/>
      <c r="E220" s="649">
        <v>22.5</v>
      </c>
      <c r="F220" s="50" cm="1" t="str">
        <f t="array" ref="F220:F220">OFFSET(E220,-1,1)</f>
        <v>2</v>
      </c>
      <c r="G220" s="1459"/>
      <c r="H220" s="488" t="s">
        <v>3013</v>
      </c>
      <c r="I220" s="1459"/>
      <c r="J220" s="1459"/>
      <c r="K220" s="1459"/>
      <c r="L220" s="1459"/>
      <c r="M220" s="1459"/>
      <c r="N220" s="1459"/>
      <c r="O220" s="1459"/>
      <c r="P220" s="1459"/>
      <c r="Q220" s="1459"/>
      <c r="R220" s="1459"/>
      <c r="S220" s="1459"/>
      <c r="T220" s="465" cm="1" t="str">
        <f t="array" ref="T220:T220">T219</f>
        <v>true</v>
      </c>
      <c r="U220" s="1459"/>
      <c r="V220" s="1459"/>
      <c r="W220" s="1459"/>
      <c r="X220" s="1596"/>
      <c r="Y220" s="1459"/>
      <c r="Z220" s="1597"/>
      <c r="AA220" s="1459"/>
      <c r="AB220" s="714" t="s">
        <v>3014</v>
      </c>
      <c r="AC220" s="550" t="s">
        <v>2662</v>
      </c>
      <c r="AD220" s="548" t="s">
        <v>1514</v>
      </c>
      <c r="AE220" s="1332"/>
      <c r="AF220" s="1442"/>
      <c r="AG220" s="1442"/>
      <c r="AH220" s="1064" t="s">
        <v>2663</v>
      </c>
      <c r="AI220" s="1811"/>
      <c r="AJ220" s="1811"/>
      <c r="AK220" s="1444"/>
      <c r="AL220" s="1444"/>
      <c r="AM220" s="1834"/>
      <c r="AN220" s="1834"/>
      <c r="AO220" s="1834"/>
      <c r="AP220" s="1834"/>
    </row>
    <row s="1834" customFormat="1" customHeight="1" ht="21.75">
      <c r="A221" s="667"/>
      <c r="B221" s="1459"/>
      <c r="C221" s="1459"/>
      <c r="D221" s="1459"/>
      <c r="E221" s="649">
        <v>22.5</v>
      </c>
      <c r="F221" s="50" cm="1" t="str">
        <f t="array" ref="F221:F221">OFFSET(E221,-1,1)</f>
        <v>2</v>
      </c>
      <c r="G221" s="1459"/>
      <c r="H221" s="488" t="s">
        <v>3015</v>
      </c>
      <c r="I221" s="1459"/>
      <c r="J221" s="1459"/>
      <c r="K221" s="1459"/>
      <c r="L221" s="1459"/>
      <c r="M221" s="1459"/>
      <c r="N221" s="1459"/>
      <c r="O221" s="1459"/>
      <c r="P221" s="1459"/>
      <c r="Q221" s="1459"/>
      <c r="R221" s="1459"/>
      <c r="S221" s="1459"/>
      <c r="T221" s="465" cm="1" t="str">
        <f t="array" ref="T221:T221">T220</f>
        <v>true</v>
      </c>
      <c r="U221" s="1459"/>
      <c r="V221" s="1459"/>
      <c r="W221" s="1459"/>
      <c r="X221" s="1596"/>
      <c r="Y221" s="1459"/>
      <c r="Z221" s="1597"/>
      <c r="AA221" s="1459"/>
      <c r="AB221" s="714" t="s">
        <v>3016</v>
      </c>
      <c r="AC221" s="550" t="s">
        <v>3017</v>
      </c>
      <c r="AD221" s="548" t="s">
        <v>1514</v>
      </c>
      <c r="AE221" s="1332"/>
      <c r="AF221" s="1442"/>
      <c r="AG221" s="1442"/>
      <c r="AH221" s="1064" t="s">
        <v>2667</v>
      </c>
      <c r="AI221" s="1811"/>
      <c r="AJ221" s="1811"/>
      <c r="AK221" s="1444"/>
      <c r="AL221" s="1444"/>
      <c r="AM221" s="1834"/>
      <c r="AN221" s="1834"/>
      <c r="AO221" s="1834"/>
      <c r="AP221" s="1834"/>
    </row>
    <row s="1834" customFormat="1" customHeight="1" ht="54.75">
      <c r="A222" s="667"/>
      <c r="B222" s="1459"/>
      <c r="C222" s="1459"/>
      <c r="D222" s="1459"/>
      <c r="E222" s="649">
        <v>56.25</v>
      </c>
      <c r="F222" s="50" cm="1" t="str">
        <f t="array" ref="F222:F222">OFFSET(E222,-1,1)</f>
        <v>2</v>
      </c>
      <c r="G222" s="1459"/>
      <c r="H222" s="488" t="s">
        <v>3018</v>
      </c>
      <c r="I222" s="1459"/>
      <c r="J222" s="1459"/>
      <c r="K222" s="1459"/>
      <c r="L222" s="1459"/>
      <c r="M222" s="1459"/>
      <c r="N222" s="1459"/>
      <c r="O222" s="1459"/>
      <c r="P222" s="1459"/>
      <c r="Q222" s="1459"/>
      <c r="R222" s="1459"/>
      <c r="S222" s="1459"/>
      <c r="T222" s="465" cm="1" t="str">
        <f t="array" ref="T222:T222">T221</f>
        <v>true</v>
      </c>
      <c r="U222" s="1459"/>
      <c r="V222" s="1459"/>
      <c r="W222" s="1459"/>
      <c r="X222" s="1596"/>
      <c r="Y222" s="1459"/>
      <c r="Z222" s="1597"/>
      <c r="AA222" s="1459"/>
      <c r="AB222" s="714" t="s">
        <v>3019</v>
      </c>
      <c r="AC222" s="550" t="s">
        <v>2670</v>
      </c>
      <c r="AD222" s="548" t="s">
        <v>1514</v>
      </c>
      <c r="AE222" s="1332"/>
      <c r="AF222" s="1442"/>
      <c r="AG222" s="1442"/>
      <c r="AH222" s="1064" t="s">
        <v>2494</v>
      </c>
      <c r="AI222" s="1811"/>
      <c r="AJ222" s="1811"/>
      <c r="AK222" s="1444"/>
      <c r="AL222" s="1444"/>
      <c r="AM222" s="1834"/>
      <c r="AN222" s="1834"/>
      <c r="AO222" s="1834"/>
      <c r="AP222" s="1834"/>
    </row>
    <row s="1834" customFormat="1" customHeight="1" ht="14.25">
      <c r="A223" s="667"/>
      <c r="B223" s="1459"/>
      <c r="C223" s="1459"/>
      <c r="D223" s="1459"/>
      <c r="E223" s="649">
        <v>15</v>
      </c>
      <c r="F223" s="50" cm="1" t="str">
        <f t="array" ref="F223:F223">OFFSET(E223,-1,1)</f>
        <v>2</v>
      </c>
      <c r="G223" s="1459"/>
      <c r="H223" s="488" t="s">
        <v>3020</v>
      </c>
      <c r="I223" s="1459"/>
      <c r="J223" s="1459"/>
      <c r="K223" s="1459"/>
      <c r="L223" s="1459"/>
      <c r="M223" s="1459"/>
      <c r="N223" s="1459"/>
      <c r="O223" s="1459"/>
      <c r="P223" s="1459"/>
      <c r="Q223" s="1459"/>
      <c r="R223" s="1459"/>
      <c r="S223" s="1459"/>
      <c r="T223" s="465" cm="1" t="str">
        <f t="array" ref="T223:T223">T222</f>
        <v>true</v>
      </c>
      <c r="U223" s="1459"/>
      <c r="V223" s="1459"/>
      <c r="W223" s="1459"/>
      <c r="X223" s="1596"/>
      <c r="Y223" s="1459"/>
      <c r="Z223" s="1597"/>
      <c r="AA223" s="1459"/>
      <c r="AB223" s="714" t="s">
        <v>3021</v>
      </c>
      <c r="AC223" s="550" t="s">
        <v>2497</v>
      </c>
      <c r="AD223" s="548" t="s">
        <v>1514</v>
      </c>
      <c r="AE223" s="1332"/>
      <c r="AF223" s="1442"/>
      <c r="AG223" s="1442"/>
      <c r="AH223" s="1064" t="s">
        <v>2498</v>
      </c>
      <c r="AI223" s="1811"/>
      <c r="AJ223" s="1811"/>
      <c r="AK223" s="1444"/>
      <c r="AL223" s="1444"/>
      <c r="AM223" s="1834"/>
      <c r="AN223" s="1834"/>
      <c r="AO223" s="1834"/>
      <c r="AP223" s="1834"/>
    </row>
    <row s="1834" customFormat="1" customHeight="1" ht="14.25">
      <c r="A224" s="667"/>
      <c r="B224" s="1459"/>
      <c r="C224" s="1459"/>
      <c r="D224" s="1459"/>
      <c r="E224" s="649">
        <v>15</v>
      </c>
      <c r="F224" s="50" cm="1" t="str">
        <f t="array" ref="F224:F224">OFFSET(E224,-1,1)</f>
        <v>2</v>
      </c>
      <c r="G224" s="1459"/>
      <c r="H224" s="488" t="s">
        <v>3022</v>
      </c>
      <c r="I224" s="1459"/>
      <c r="J224" s="1459"/>
      <c r="K224" s="1459"/>
      <c r="L224" s="1459"/>
      <c r="M224" s="1459"/>
      <c r="N224" s="1459"/>
      <c r="O224" s="1459"/>
      <c r="P224" s="1459"/>
      <c r="Q224" s="1459"/>
      <c r="R224" s="1459"/>
      <c r="S224" s="1459"/>
      <c r="T224" s="465" cm="1" t="str">
        <f t="array" ref="T224:T224">T223</f>
        <v>true</v>
      </c>
      <c r="U224" s="1459"/>
      <c r="V224" s="1459"/>
      <c r="W224" s="1459"/>
      <c r="X224" s="1596"/>
      <c r="Y224" s="1459"/>
      <c r="Z224" s="1597"/>
      <c r="AA224" s="1459"/>
      <c r="AB224" s="714" t="s">
        <v>3023</v>
      </c>
      <c r="AC224" s="550" t="s">
        <v>1965</v>
      </c>
      <c r="AD224" s="548" t="s">
        <v>1514</v>
      </c>
      <c r="AE224" s="1332"/>
      <c r="AF224" s="1442"/>
      <c r="AG224" s="1442"/>
      <c r="AH224" s="1064" t="s">
        <v>2482</v>
      </c>
      <c r="AI224" s="1811"/>
      <c r="AJ224" s="1811"/>
      <c r="AK224" s="1444"/>
      <c r="AL224" s="1444"/>
      <c r="AM224" s="1834"/>
      <c r="AN224" s="1834"/>
      <c r="AO224" s="1834"/>
      <c r="AP224" s="1834"/>
    </row>
    <row s="1834" customFormat="1" customHeight="1" ht="14.25">
      <c r="A225" s="667"/>
      <c r="B225" s="1459"/>
      <c r="C225" s="1459"/>
      <c r="D225" s="1459"/>
      <c r="E225" s="649">
        <v>15</v>
      </c>
      <c r="F225" s="50" cm="1" t="str">
        <f t="array" ref="F225:F225">OFFSET(E225,-1,1)</f>
        <v>2</v>
      </c>
      <c r="G225" s="1459"/>
      <c r="H225" s="488" t="s">
        <v>1179</v>
      </c>
      <c r="I225" s="1459"/>
      <c r="J225" s="1459"/>
      <c r="K225" s="1459"/>
      <c r="L225" s="1459"/>
      <c r="M225" s="1459"/>
      <c r="N225" s="1459"/>
      <c r="O225" s="1459"/>
      <c r="P225" s="1459"/>
      <c r="Q225" s="1459"/>
      <c r="R225" s="1459"/>
      <c r="S225" s="1459"/>
      <c r="T225" s="465" cm="1" t="str">
        <f t="array" ref="T225:T225">T224</f>
        <v>true</v>
      </c>
      <c r="U225" s="1459"/>
      <c r="V225" s="1459"/>
      <c r="W225" s="1459"/>
      <c r="X225" s="1596"/>
      <c r="Y225" s="1459"/>
      <c r="Z225" s="1597"/>
      <c r="AA225" s="1459"/>
      <c r="AB225" s="714" t="s">
        <v>1631</v>
      </c>
      <c r="AC225" s="547" t="s">
        <v>3024</v>
      </c>
      <c r="AD225" s="548" t="s">
        <v>1514</v>
      </c>
      <c r="AE225" s="557">
        <f>AE226+AE227+AE228</f>
        <v>0</v>
      </c>
      <c r="AF225" s="1442"/>
      <c r="AG225" s="1442"/>
      <c r="AH225" s="1063" t="s">
        <v>2502</v>
      </c>
      <c r="AI225" s="1811"/>
      <c r="AJ225" s="1811"/>
      <c r="AK225" s="1444"/>
      <c r="AL225" s="1444"/>
      <c r="AM225" s="1834"/>
      <c r="AN225" s="1834"/>
      <c r="AO225" s="1834"/>
      <c r="AP225" s="1834"/>
    </row>
    <row s="1834" customFormat="1" customHeight="1" ht="14.25">
      <c r="A226" s="667"/>
      <c r="B226" s="1459"/>
      <c r="C226" s="1459"/>
      <c r="D226" s="1459"/>
      <c r="E226" s="649">
        <v>15</v>
      </c>
      <c r="F226" s="50" cm="1" t="str">
        <f t="array" ref="F226:F226">OFFSET(E226,-1,1)</f>
        <v>2</v>
      </c>
      <c r="G226" s="1459"/>
      <c r="H226" s="488" t="s">
        <v>2068</v>
      </c>
      <c r="I226" s="1459"/>
      <c r="J226" s="1459"/>
      <c r="K226" s="1459"/>
      <c r="L226" s="1459"/>
      <c r="M226" s="1459"/>
      <c r="N226" s="1459"/>
      <c r="O226" s="1459"/>
      <c r="P226" s="1459"/>
      <c r="Q226" s="1459"/>
      <c r="R226" s="1459"/>
      <c r="S226" s="1459"/>
      <c r="T226" s="465" cm="1" t="str">
        <f t="array" ref="T226:T226">T225</f>
        <v>true</v>
      </c>
      <c r="U226" s="1459"/>
      <c r="V226" s="1459"/>
      <c r="W226" s="1459"/>
      <c r="X226" s="1596"/>
      <c r="Y226" s="1459"/>
      <c r="Z226" s="1597"/>
      <c r="AA226" s="1459"/>
      <c r="AB226" s="714" t="s">
        <v>2069</v>
      </c>
      <c r="AC226" s="549" t="s">
        <v>3025</v>
      </c>
      <c r="AD226" s="548" t="s">
        <v>1514</v>
      </c>
      <c r="AE226" s="1332"/>
      <c r="AF226" s="1442"/>
      <c r="AG226" s="1442"/>
      <c r="AH226" s="1062" t="s">
        <v>2504</v>
      </c>
      <c r="AI226" s="1811"/>
      <c r="AJ226" s="1811"/>
      <c r="AK226" s="1444"/>
      <c r="AL226" s="1444"/>
      <c r="AM226" s="1834"/>
      <c r="AN226" s="1834"/>
      <c r="AO226" s="1834"/>
      <c r="AP226" s="1834"/>
    </row>
    <row s="1834" customFormat="1" customHeight="1" ht="14.25">
      <c r="A227" s="667"/>
      <c r="B227" s="1459"/>
      <c r="C227" s="1459"/>
      <c r="D227" s="1459"/>
      <c r="E227" s="649">
        <v>15</v>
      </c>
      <c r="F227" s="50" cm="1" t="str">
        <f t="array" ref="F227:F227">OFFSET(E227,-1,1)</f>
        <v>2</v>
      </c>
      <c r="G227" s="1459"/>
      <c r="H227" s="488" t="s">
        <v>2071</v>
      </c>
      <c r="I227" s="1459"/>
      <c r="J227" s="1459"/>
      <c r="K227" s="1459"/>
      <c r="L227" s="1459"/>
      <c r="M227" s="1459"/>
      <c r="N227" s="1459"/>
      <c r="O227" s="1459"/>
      <c r="P227" s="1459"/>
      <c r="Q227" s="1459"/>
      <c r="R227" s="1459"/>
      <c r="S227" s="1459"/>
      <c r="T227" s="465" cm="1" t="str">
        <f t="array" ref="T227:T227">T226</f>
        <v>true</v>
      </c>
      <c r="U227" s="1459"/>
      <c r="V227" s="1459"/>
      <c r="W227" s="1459"/>
      <c r="X227" s="1596"/>
      <c r="Y227" s="1459"/>
      <c r="Z227" s="1597"/>
      <c r="AA227" s="1459"/>
      <c r="AB227" s="714" t="s">
        <v>2072</v>
      </c>
      <c r="AC227" s="549" t="s">
        <v>3026</v>
      </c>
      <c r="AD227" s="548" t="s">
        <v>1514</v>
      </c>
      <c r="AE227" s="1332"/>
      <c r="AF227" s="1442"/>
      <c r="AG227" s="1442"/>
      <c r="AH227" s="1064" t="s">
        <v>2678</v>
      </c>
      <c r="AI227" s="1811"/>
      <c r="AJ227" s="1811"/>
      <c r="AK227" s="1444"/>
      <c r="AL227" s="1444"/>
      <c r="AM227" s="1834"/>
      <c r="AN227" s="1834"/>
      <c r="AO227" s="1834"/>
      <c r="AP227" s="1834"/>
    </row>
    <row s="1834" customFormat="1" customHeight="1" ht="21.75">
      <c r="A228" s="667"/>
      <c r="B228" s="1459"/>
      <c r="C228" s="1459"/>
      <c r="D228" s="1459"/>
      <c r="E228" s="649">
        <v>22.5</v>
      </c>
      <c r="F228" s="50" cm="1" t="str">
        <f t="array" ref="F228:F228">OFFSET(E228,-1,1)</f>
        <v>2</v>
      </c>
      <c r="G228" s="1459"/>
      <c r="H228" s="488" t="s">
        <v>2075</v>
      </c>
      <c r="I228" s="1459"/>
      <c r="J228" s="1459"/>
      <c r="K228" s="1459"/>
      <c r="L228" s="1459"/>
      <c r="M228" s="1459"/>
      <c r="N228" s="1459"/>
      <c r="O228" s="1459"/>
      <c r="P228" s="1459"/>
      <c r="Q228" s="1459"/>
      <c r="R228" s="1459"/>
      <c r="S228" s="1459"/>
      <c r="T228" s="465" cm="1" t="str">
        <f t="array" ref="T228:T228">T227</f>
        <v>true</v>
      </c>
      <c r="U228" s="1459"/>
      <c r="V228" s="1459"/>
      <c r="W228" s="1459"/>
      <c r="X228" s="1596"/>
      <c r="Y228" s="1459"/>
      <c r="Z228" s="1597"/>
      <c r="AA228" s="1459"/>
      <c r="AB228" s="714" t="s">
        <v>2076</v>
      </c>
      <c r="AC228" s="549" t="s">
        <v>3027</v>
      </c>
      <c r="AD228" s="548" t="s">
        <v>1514</v>
      </c>
      <c r="AE228" s="557">
        <f>AE229+AE232</f>
        <v>0</v>
      </c>
      <c r="AF228" s="1442"/>
      <c r="AG228" s="1442"/>
      <c r="AH228" s="1062" t="s">
        <v>2506</v>
      </c>
      <c r="AI228" s="1811"/>
      <c r="AJ228" s="1811"/>
      <c r="AK228" s="1444"/>
      <c r="AL228" s="1444"/>
      <c r="AM228" s="1834"/>
      <c r="AN228" s="1834"/>
      <c r="AO228" s="1834"/>
      <c r="AP228" s="1834"/>
    </row>
    <row s="1834" customFormat="1" customHeight="1" ht="14.25">
      <c r="A229" s="667"/>
      <c r="B229" s="1459"/>
      <c r="C229" s="1459"/>
      <c r="D229" s="1459"/>
      <c r="E229" s="649">
        <v>15</v>
      </c>
      <c r="F229" s="50" cm="1" t="str">
        <f t="array" ref="F229:F229">OFFSET(E229,-1,1)</f>
        <v>2</v>
      </c>
      <c r="G229" s="1459"/>
      <c r="H229" s="488" t="s">
        <v>2220</v>
      </c>
      <c r="I229" s="1459"/>
      <c r="J229" s="1459"/>
      <c r="K229" s="1459"/>
      <c r="L229" s="1459"/>
      <c r="M229" s="1459"/>
      <c r="N229" s="1459"/>
      <c r="O229" s="1459"/>
      <c r="P229" s="1459"/>
      <c r="Q229" s="1459"/>
      <c r="R229" s="1459"/>
      <c r="S229" s="1459"/>
      <c r="T229" s="465" cm="1" t="str">
        <f t="array" ref="T229:T229">T228</f>
        <v>true</v>
      </c>
      <c r="U229" s="1459"/>
      <c r="V229" s="1459"/>
      <c r="W229" s="1459"/>
      <c r="X229" s="1596"/>
      <c r="Y229" s="1459"/>
      <c r="Z229" s="1597"/>
      <c r="AA229" s="1459"/>
      <c r="AB229" s="714" t="s">
        <v>2647</v>
      </c>
      <c r="AC229" s="550" t="s">
        <v>2508</v>
      </c>
      <c r="AD229" s="548" t="s">
        <v>1514</v>
      </c>
      <c r="AE229" s="1332"/>
      <c r="AF229" s="1442"/>
      <c r="AG229" s="1442"/>
      <c r="AH229" s="1062" t="s">
        <v>2509</v>
      </c>
      <c r="AI229" s="1811"/>
      <c r="AJ229" s="1811"/>
      <c r="AK229" s="1444"/>
      <c r="AL229" s="1444"/>
      <c r="AM229" s="1834"/>
      <c r="AN229" s="1834"/>
      <c r="AO229" s="1834"/>
      <c r="AP229" s="1834"/>
    </row>
    <row s="1834" customFormat="1" customHeight="1" ht="14.25">
      <c r="A230" s="667"/>
      <c r="B230" s="1459"/>
      <c r="C230" s="1459"/>
      <c r="D230" s="1459"/>
      <c r="E230" s="649">
        <v>15</v>
      </c>
      <c r="F230" s="50" cm="1" t="str">
        <f t="array" ref="F230:F230">OFFSET(E230,-1,1)</f>
        <v>2</v>
      </c>
      <c r="G230" s="1459"/>
      <c r="H230" s="488" t="s">
        <v>3028</v>
      </c>
      <c r="I230" s="1459"/>
      <c r="J230" s="1459"/>
      <c r="K230" s="1459"/>
      <c r="L230" s="1459"/>
      <c r="M230" s="1459"/>
      <c r="N230" s="1459"/>
      <c r="O230" s="1459"/>
      <c r="P230" s="1459"/>
      <c r="Q230" s="1459"/>
      <c r="R230" s="1459"/>
      <c r="S230" s="1459"/>
      <c r="T230" s="465" cm="1" t="str">
        <f t="array" ref="T230:T230">T229</f>
        <v>true</v>
      </c>
      <c r="U230" s="1459"/>
      <c r="V230" s="1459"/>
      <c r="W230" s="1459"/>
      <c r="X230" s="1596"/>
      <c r="Y230" s="1459"/>
      <c r="Z230" s="1597"/>
      <c r="AA230" s="1459"/>
      <c r="AB230" s="714" t="s">
        <v>3029</v>
      </c>
      <c r="AC230" s="551" t="s">
        <v>3030</v>
      </c>
      <c r="AD230" s="548" t="s">
        <v>2993</v>
      </c>
      <c r="AE230" s="1332"/>
      <c r="AF230" s="1442"/>
      <c r="AG230" s="1442"/>
      <c r="AH230" s="1001" t="s">
        <v>3031</v>
      </c>
      <c r="AI230" s="1811"/>
      <c r="AJ230" s="1811"/>
      <c r="AK230" s="1444"/>
      <c r="AL230" s="1444"/>
      <c r="AM230" s="1834"/>
      <c r="AN230" s="1834"/>
      <c r="AO230" s="1834"/>
      <c r="AP230" s="1834"/>
    </row>
    <row s="1834" customFormat="1" customHeight="1" ht="14.25">
      <c r="A231" s="667"/>
      <c r="B231" s="1459"/>
      <c r="C231" s="1459"/>
      <c r="D231" s="1459"/>
      <c r="E231" s="649">
        <v>15</v>
      </c>
      <c r="F231" s="50" cm="1" t="str">
        <f t="array" ref="F231:F231">OFFSET(E231,-1,1)</f>
        <v>2</v>
      </c>
      <c r="G231" s="1459"/>
      <c r="H231" s="488" t="s">
        <v>3032</v>
      </c>
      <c r="I231" s="1459"/>
      <c r="J231" s="1459"/>
      <c r="K231" s="1459"/>
      <c r="L231" s="1459"/>
      <c r="M231" s="1459"/>
      <c r="N231" s="1459"/>
      <c r="O231" s="1459"/>
      <c r="P231" s="1459"/>
      <c r="Q231" s="1459"/>
      <c r="R231" s="1459"/>
      <c r="S231" s="1459"/>
      <c r="T231" s="465" cm="1" t="str">
        <f t="array" ref="T231:T231">T230</f>
        <v>true</v>
      </c>
      <c r="U231" s="1459"/>
      <c r="V231" s="1459"/>
      <c r="W231" s="1459"/>
      <c r="X231" s="1596"/>
      <c r="Y231" s="1459"/>
      <c r="Z231" s="1597"/>
      <c r="AA231" s="1459"/>
      <c r="AB231" s="714" t="s">
        <v>3033</v>
      </c>
      <c r="AC231" s="551" t="s">
        <v>3034</v>
      </c>
      <c r="AD231" s="548" t="s">
        <v>2998</v>
      </c>
      <c r="AE231" s="1332"/>
      <c r="AF231" s="1442"/>
      <c r="AG231" s="1442"/>
      <c r="AH231" s="1001" t="s">
        <v>3035</v>
      </c>
      <c r="AI231" s="1811"/>
      <c r="AJ231" s="1811"/>
      <c r="AK231" s="1444"/>
      <c r="AL231" s="1444"/>
      <c r="AM231" s="1834"/>
      <c r="AN231" s="1834"/>
      <c r="AO231" s="1834"/>
      <c r="AP231" s="1834"/>
    </row>
    <row s="1834" customFormat="1" customHeight="1" ht="21.75">
      <c r="A232" s="667"/>
      <c r="B232" s="1459"/>
      <c r="C232" s="1459"/>
      <c r="D232" s="1459"/>
      <c r="E232" s="649">
        <v>22.5</v>
      </c>
      <c r="F232" s="50" cm="1" t="str">
        <f t="array" ref="F232:F232">OFFSET(E232,-1,1)</f>
        <v>2</v>
      </c>
      <c r="G232" s="1459"/>
      <c r="H232" s="488" t="s">
        <v>2224</v>
      </c>
      <c r="I232" s="1459"/>
      <c r="J232" s="1459"/>
      <c r="K232" s="1459"/>
      <c r="L232" s="1459"/>
      <c r="M232" s="1459"/>
      <c r="N232" s="1459"/>
      <c r="O232" s="1459"/>
      <c r="P232" s="1459"/>
      <c r="Q232" s="1459"/>
      <c r="R232" s="1459"/>
      <c r="S232" s="1459"/>
      <c r="T232" s="465" cm="1" t="str">
        <f t="array" ref="T232:T232">T231</f>
        <v>true</v>
      </c>
      <c r="U232" s="1459"/>
      <c r="V232" s="1459"/>
      <c r="W232" s="1459"/>
      <c r="X232" s="1596"/>
      <c r="Y232" s="1459"/>
      <c r="Z232" s="1597"/>
      <c r="AA232" s="1459"/>
      <c r="AB232" s="714" t="s">
        <v>2648</v>
      </c>
      <c r="AC232" s="550" t="s">
        <v>2684</v>
      </c>
      <c r="AD232" s="548" t="s">
        <v>1514</v>
      </c>
      <c r="AE232" s="1332"/>
      <c r="AF232" s="1442"/>
      <c r="AG232" s="1442"/>
      <c r="AH232" s="1062" t="s">
        <v>2512</v>
      </c>
      <c r="AI232" s="1811"/>
      <c r="AJ232" s="1811"/>
      <c r="AK232" s="1444"/>
      <c r="AL232" s="1444"/>
      <c r="AM232" s="1834"/>
      <c r="AN232" s="1834"/>
      <c r="AO232" s="1834"/>
      <c r="AP232" s="1834"/>
    </row>
    <row s="1834" customFormat="1" customHeight="1" ht="14.25">
      <c r="A233" s="667"/>
      <c r="B233" s="1459"/>
      <c r="C233" s="1459"/>
      <c r="D233" s="1459"/>
      <c r="E233" s="649">
        <v>15</v>
      </c>
      <c r="F233" s="50" cm="1" t="str">
        <f t="array" ref="F233:F233">OFFSET(E233,-1,1)</f>
        <v>2</v>
      </c>
      <c r="G233" s="1459"/>
      <c r="H233" s="488" t="s">
        <v>1182</v>
      </c>
      <c r="I233" s="1459"/>
      <c r="J233" s="1459"/>
      <c r="K233" s="1459"/>
      <c r="L233" s="1459"/>
      <c r="M233" s="1459"/>
      <c r="N233" s="1459"/>
      <c r="O233" s="1459"/>
      <c r="P233" s="1459"/>
      <c r="Q233" s="1459"/>
      <c r="R233" s="1459"/>
      <c r="S233" s="1459"/>
      <c r="T233" s="465" cm="1" t="str">
        <f t="array" ref="T233:T233">T232</f>
        <v>true</v>
      </c>
      <c r="U233" s="1459"/>
      <c r="V233" s="1459"/>
      <c r="W233" s="1459"/>
      <c r="X233" s="1596"/>
      <c r="Y233" s="1459"/>
      <c r="Z233" s="1597"/>
      <c r="AA233" s="1459"/>
      <c r="AB233" s="714" t="s">
        <v>1634</v>
      </c>
      <c r="AC233" s="547" t="s">
        <v>2685</v>
      </c>
      <c r="AD233" s="548" t="s">
        <v>1514</v>
      </c>
      <c r="AE233" s="557">
        <f>AE234+AE240+AE245+AE246+AE247+AE248+AE249</f>
        <v>0</v>
      </c>
      <c r="AF233" s="1442"/>
      <c r="AG233" s="1442"/>
      <c r="AH233" s="1063" t="s">
        <v>2514</v>
      </c>
      <c r="AI233" s="1811"/>
      <c r="AJ233" s="1811"/>
      <c r="AK233" s="1444"/>
      <c r="AL233" s="1444"/>
      <c r="AM233" s="1834"/>
      <c r="AN233" s="1834"/>
      <c r="AO233" s="1834"/>
      <c r="AP233" s="1834"/>
    </row>
    <row s="1834" customFormat="1" customHeight="1" ht="21.75">
      <c r="A234" s="667"/>
      <c r="B234" s="1459"/>
      <c r="C234" s="1459"/>
      <c r="D234" s="1459"/>
      <c r="E234" s="649">
        <v>22.5</v>
      </c>
      <c r="F234" s="50" cm="1" t="str">
        <f t="array" ref="F234:F234">OFFSET(E234,-1,1)</f>
        <v>2</v>
      </c>
      <c r="G234" s="1459"/>
      <c r="H234" s="488" t="s">
        <v>2081</v>
      </c>
      <c r="I234" s="1459"/>
      <c r="J234" s="1459"/>
      <c r="K234" s="1459"/>
      <c r="L234" s="1459"/>
      <c r="M234" s="1459"/>
      <c r="N234" s="1459"/>
      <c r="O234" s="1459"/>
      <c r="P234" s="1459"/>
      <c r="Q234" s="1459"/>
      <c r="R234" s="1459"/>
      <c r="S234" s="1459"/>
      <c r="T234" s="465" cm="1" t="str">
        <f t="array" ref="T234:T234">T233</f>
        <v>true</v>
      </c>
      <c r="U234" s="1459"/>
      <c r="V234" s="1459"/>
      <c r="W234" s="1459"/>
      <c r="X234" s="1596"/>
      <c r="Y234" s="1459"/>
      <c r="Z234" s="1597"/>
      <c r="AA234" s="1459"/>
      <c r="AB234" s="714" t="s">
        <v>2082</v>
      </c>
      <c r="AC234" s="549" t="s">
        <v>2515</v>
      </c>
      <c r="AD234" s="548" t="s">
        <v>1514</v>
      </c>
      <c r="AE234" s="557">
        <f>SUM(AE235:AE239)</f>
        <v>0</v>
      </c>
      <c r="AF234" s="1442"/>
      <c r="AG234" s="1442"/>
      <c r="AH234" s="1062" t="s">
        <v>1918</v>
      </c>
      <c r="AI234" s="1811"/>
      <c r="AJ234" s="1811"/>
      <c r="AK234" s="1444"/>
      <c r="AL234" s="1444"/>
      <c r="AM234" s="1834"/>
      <c r="AN234" s="1834"/>
      <c r="AO234" s="1834"/>
      <c r="AP234" s="1834"/>
    </row>
    <row s="1834" customFormat="1" customHeight="1" ht="14.25">
      <c r="A235" s="667"/>
      <c r="B235" s="1459"/>
      <c r="C235" s="1459"/>
      <c r="D235" s="1459"/>
      <c r="E235" s="649">
        <v>15</v>
      </c>
      <c r="F235" s="50" cm="1" t="str">
        <f t="array" ref="F235:F235">OFFSET(E235,-1,1)</f>
        <v>2</v>
      </c>
      <c r="G235" s="1459"/>
      <c r="H235" s="488" t="s">
        <v>3036</v>
      </c>
      <c r="I235" s="1459"/>
      <c r="J235" s="1459"/>
      <c r="K235" s="1459"/>
      <c r="L235" s="1459"/>
      <c r="M235" s="1459"/>
      <c r="N235" s="1459"/>
      <c r="O235" s="1459"/>
      <c r="P235" s="1459"/>
      <c r="Q235" s="1459"/>
      <c r="R235" s="1459"/>
      <c r="S235" s="1459"/>
      <c r="T235" s="465" cm="1" t="str">
        <f t="array" ref="T235:T235">T234</f>
        <v>true</v>
      </c>
      <c r="U235" s="1459"/>
      <c r="V235" s="1459"/>
      <c r="W235" s="1459"/>
      <c r="X235" s="1596"/>
      <c r="Y235" s="1459"/>
      <c r="Z235" s="1597"/>
      <c r="AA235" s="1459"/>
      <c r="AB235" s="714" t="s">
        <v>3037</v>
      </c>
      <c r="AC235" s="550" t="s">
        <v>1920</v>
      </c>
      <c r="AD235" s="548" t="s">
        <v>1514</v>
      </c>
      <c r="AE235" s="1332"/>
      <c r="AF235" s="1442"/>
      <c r="AG235" s="1442"/>
      <c r="AH235" s="1064" t="s">
        <v>1921</v>
      </c>
      <c r="AI235" s="1811"/>
      <c r="AJ235" s="1811"/>
      <c r="AK235" s="1444"/>
      <c r="AL235" s="1444"/>
      <c r="AM235" s="1834"/>
      <c r="AN235" s="1834"/>
      <c r="AO235" s="1834"/>
      <c r="AP235" s="1834"/>
    </row>
    <row s="1834" customFormat="1" customHeight="1" ht="14.25">
      <c r="A236" s="667"/>
      <c r="B236" s="1459"/>
      <c r="C236" s="1459"/>
      <c r="D236" s="1459"/>
      <c r="E236" s="649">
        <v>15</v>
      </c>
      <c r="F236" s="50" cm="1" t="str">
        <f t="array" ref="F236:F236">OFFSET(E236,-1,1)</f>
        <v>2</v>
      </c>
      <c r="G236" s="1459"/>
      <c r="H236" s="488" t="s">
        <v>3038</v>
      </c>
      <c r="I236" s="1459"/>
      <c r="J236" s="1459"/>
      <c r="K236" s="1459"/>
      <c r="L236" s="1459"/>
      <c r="M236" s="1459"/>
      <c r="N236" s="1459"/>
      <c r="O236" s="1459"/>
      <c r="P236" s="1459"/>
      <c r="Q236" s="1459"/>
      <c r="R236" s="1459"/>
      <c r="S236" s="1459"/>
      <c r="T236" s="465" cm="1" t="str">
        <f t="array" ref="T236:T236">T235</f>
        <v>true</v>
      </c>
      <c r="U236" s="1459"/>
      <c r="V236" s="1459"/>
      <c r="W236" s="1459"/>
      <c r="X236" s="1596"/>
      <c r="Y236" s="1459"/>
      <c r="Z236" s="1597"/>
      <c r="AA236" s="1459"/>
      <c r="AB236" s="714" t="s">
        <v>3039</v>
      </c>
      <c r="AC236" s="550" t="s">
        <v>1923</v>
      </c>
      <c r="AD236" s="548" t="s">
        <v>1514</v>
      </c>
      <c r="AE236" s="1332"/>
      <c r="AF236" s="1442"/>
      <c r="AG236" s="1442"/>
      <c r="AH236" s="1064" t="s">
        <v>1924</v>
      </c>
      <c r="AI236" s="1811"/>
      <c r="AJ236" s="1811"/>
      <c r="AK236" s="1444"/>
      <c r="AL236" s="1444"/>
      <c r="AM236" s="1834"/>
      <c r="AN236" s="1834"/>
      <c r="AO236" s="1834"/>
      <c r="AP236" s="1834"/>
    </row>
    <row s="1834" customFormat="1" customHeight="1" ht="14.25">
      <c r="A237" s="667"/>
      <c r="B237" s="1459"/>
      <c r="C237" s="1459"/>
      <c r="D237" s="1459"/>
      <c r="E237" s="649">
        <v>15</v>
      </c>
      <c r="F237" s="50" cm="1" t="str">
        <f t="array" ref="F237:F237">OFFSET(E237,-1,1)</f>
        <v>2</v>
      </c>
      <c r="G237" s="1459"/>
      <c r="H237" s="488" t="s">
        <v>3040</v>
      </c>
      <c r="I237" s="1459"/>
      <c r="J237" s="1459"/>
      <c r="K237" s="1459"/>
      <c r="L237" s="1459"/>
      <c r="M237" s="1459"/>
      <c r="N237" s="1459"/>
      <c r="O237" s="1459"/>
      <c r="P237" s="1459"/>
      <c r="Q237" s="1459"/>
      <c r="R237" s="1459"/>
      <c r="S237" s="1459"/>
      <c r="T237" s="465" cm="1" t="str">
        <f t="array" ref="T237:T237">T236</f>
        <v>true</v>
      </c>
      <c r="U237" s="1459"/>
      <c r="V237" s="1459"/>
      <c r="W237" s="1459"/>
      <c r="X237" s="1596"/>
      <c r="Y237" s="1459"/>
      <c r="Z237" s="1597"/>
      <c r="AA237" s="1459"/>
      <c r="AB237" s="714" t="s">
        <v>3041</v>
      </c>
      <c r="AC237" s="550" t="s">
        <v>1926</v>
      </c>
      <c r="AD237" s="548" t="s">
        <v>1514</v>
      </c>
      <c r="AE237" s="1332"/>
      <c r="AF237" s="1442"/>
      <c r="AG237" s="1442"/>
      <c r="AH237" s="1064" t="s">
        <v>1927</v>
      </c>
      <c r="AI237" s="1811"/>
      <c r="AJ237" s="1811"/>
      <c r="AK237" s="1444"/>
      <c r="AL237" s="1444"/>
      <c r="AM237" s="1834"/>
      <c r="AN237" s="1834"/>
      <c r="AO237" s="1834"/>
      <c r="AP237" s="1834"/>
    </row>
    <row s="1834" customFormat="1" customHeight="1" ht="14.25">
      <c r="A238" s="667"/>
      <c r="B238" s="1459"/>
      <c r="C238" s="1459"/>
      <c r="D238" s="1459"/>
      <c r="E238" s="649">
        <v>15</v>
      </c>
      <c r="F238" s="50" cm="1" t="str">
        <f t="array" ref="F238:F238">OFFSET(E238,-1,1)</f>
        <v>2</v>
      </c>
      <c r="G238" s="1459"/>
      <c r="H238" s="488" t="s">
        <v>3042</v>
      </c>
      <c r="I238" s="1459"/>
      <c r="J238" s="1459"/>
      <c r="K238" s="1459"/>
      <c r="L238" s="1459"/>
      <c r="M238" s="1459"/>
      <c r="N238" s="1459"/>
      <c r="O238" s="1459"/>
      <c r="P238" s="1459"/>
      <c r="Q238" s="1459"/>
      <c r="R238" s="1459"/>
      <c r="S238" s="1459"/>
      <c r="T238" s="465" cm="1" t="str">
        <f t="array" ref="T238:T238">T237</f>
        <v>true</v>
      </c>
      <c r="U238" s="1459"/>
      <c r="V238" s="1459"/>
      <c r="W238" s="1459"/>
      <c r="X238" s="1596"/>
      <c r="Y238" s="1459"/>
      <c r="Z238" s="1597"/>
      <c r="AA238" s="1459"/>
      <c r="AB238" s="714" t="s">
        <v>3043</v>
      </c>
      <c r="AC238" s="550" t="s">
        <v>1929</v>
      </c>
      <c r="AD238" s="548" t="s">
        <v>1514</v>
      </c>
      <c r="AE238" s="1332"/>
      <c r="AF238" s="1442"/>
      <c r="AG238" s="1442"/>
      <c r="AH238" s="1064" t="s">
        <v>1930</v>
      </c>
      <c r="AI238" s="1811"/>
      <c r="AJ238" s="1811"/>
      <c r="AK238" s="1444"/>
      <c r="AL238" s="1444"/>
      <c r="AM238" s="1834"/>
      <c r="AN238" s="1834"/>
      <c r="AO238" s="1834"/>
      <c r="AP238" s="1834"/>
    </row>
    <row s="1834" customFormat="1" customHeight="1" ht="14.25">
      <c r="A239" s="667"/>
      <c r="B239" s="1459"/>
      <c r="C239" s="1459"/>
      <c r="D239" s="1459"/>
      <c r="E239" s="649">
        <v>15</v>
      </c>
      <c r="F239" s="50" cm="1" t="str">
        <f t="array" ref="F239:F239">OFFSET(E239,-1,1)</f>
        <v>2</v>
      </c>
      <c r="G239" s="1459"/>
      <c r="H239" s="488" t="s">
        <v>3044</v>
      </c>
      <c r="I239" s="1459"/>
      <c r="J239" s="1459"/>
      <c r="K239" s="1459"/>
      <c r="L239" s="1459"/>
      <c r="M239" s="1459"/>
      <c r="N239" s="1459"/>
      <c r="O239" s="1459"/>
      <c r="P239" s="1459"/>
      <c r="Q239" s="1459"/>
      <c r="R239" s="1459"/>
      <c r="S239" s="1459"/>
      <c r="T239" s="465" cm="1" t="str">
        <f t="array" ref="T239:T239">T238</f>
        <v>true</v>
      </c>
      <c r="U239" s="1459"/>
      <c r="V239" s="1459"/>
      <c r="W239" s="1459"/>
      <c r="X239" s="1596"/>
      <c r="Y239" s="1459"/>
      <c r="Z239" s="1597"/>
      <c r="AA239" s="1459"/>
      <c r="AB239" s="714" t="s">
        <v>3045</v>
      </c>
      <c r="AC239" s="550" t="s">
        <v>1937</v>
      </c>
      <c r="AD239" s="548" t="s">
        <v>1514</v>
      </c>
      <c r="AE239" s="1332"/>
      <c r="AF239" s="1442"/>
      <c r="AG239" s="1442"/>
      <c r="AH239" s="1064" t="s">
        <v>1938</v>
      </c>
      <c r="AI239" s="1811"/>
      <c r="AJ239" s="1811"/>
      <c r="AK239" s="1444"/>
      <c r="AL239" s="1444"/>
      <c r="AM239" s="1834"/>
      <c r="AN239" s="1834"/>
      <c r="AO239" s="1834"/>
      <c r="AP239" s="1834"/>
    </row>
    <row s="1834" customFormat="1" customHeight="1" ht="32.25">
      <c r="A240" s="667"/>
      <c r="B240" s="1459"/>
      <c r="C240" s="1459"/>
      <c r="D240" s="1459"/>
      <c r="E240" s="649">
        <v>33.75</v>
      </c>
      <c r="F240" s="50" cm="1" t="str">
        <f t="array" ref="F240:F240">OFFSET(E240,-1,1)</f>
        <v>2</v>
      </c>
      <c r="G240" s="1459"/>
      <c r="H240" s="488" t="s">
        <v>2085</v>
      </c>
      <c r="I240" s="1459"/>
      <c r="J240" s="1459"/>
      <c r="K240" s="1459"/>
      <c r="L240" s="1459"/>
      <c r="M240" s="1459"/>
      <c r="N240" s="1459"/>
      <c r="O240" s="1459"/>
      <c r="P240" s="1459"/>
      <c r="Q240" s="1459"/>
      <c r="R240" s="1459"/>
      <c r="S240" s="1459"/>
      <c r="T240" s="465" cm="1" t="str">
        <f t="array" ref="T240:T240">T239</f>
        <v>true</v>
      </c>
      <c r="U240" s="1459"/>
      <c r="V240" s="1459"/>
      <c r="W240" s="1459"/>
      <c r="X240" s="1596"/>
      <c r="Y240" s="1459"/>
      <c r="Z240" s="1597"/>
      <c r="AA240" s="1459"/>
      <c r="AB240" s="714" t="s">
        <v>2086</v>
      </c>
      <c r="AC240" s="549" t="s">
        <v>3046</v>
      </c>
      <c r="AD240" s="548" t="s">
        <v>1514</v>
      </c>
      <c r="AE240" s="557">
        <f>AE241+AE244</f>
        <v>0</v>
      </c>
      <c r="AF240" s="1442"/>
      <c r="AG240" s="1442"/>
      <c r="AH240" s="1062" t="s">
        <v>2517</v>
      </c>
      <c r="AI240" s="1811"/>
      <c r="AJ240" s="1811"/>
      <c r="AK240" s="1444"/>
      <c r="AL240" s="1444"/>
      <c r="AM240" s="1834"/>
      <c r="AN240" s="1834"/>
      <c r="AO240" s="1834"/>
      <c r="AP240" s="1834"/>
    </row>
    <row s="1834" customFormat="1" customHeight="1" ht="21.75">
      <c r="A241" s="667"/>
      <c r="B241" s="1459"/>
      <c r="C241" s="1459"/>
      <c r="D241" s="1459"/>
      <c r="E241" s="649">
        <v>22.5</v>
      </c>
      <c r="F241" s="50" cm="1" t="str">
        <f t="array" ref="F241:F241">OFFSET(E241,-1,1)</f>
        <v>2</v>
      </c>
      <c r="G241" s="1459"/>
      <c r="H241" s="488" t="s">
        <v>3047</v>
      </c>
      <c r="I241" s="1459"/>
      <c r="J241" s="1459"/>
      <c r="K241" s="1459"/>
      <c r="L241" s="1459"/>
      <c r="M241" s="1459"/>
      <c r="N241" s="1459"/>
      <c r="O241" s="1459"/>
      <c r="P241" s="1459"/>
      <c r="Q241" s="1459"/>
      <c r="R241" s="1459"/>
      <c r="S241" s="1459"/>
      <c r="T241" s="465" cm="1" t="str">
        <f t="array" ref="T241:T241">T240</f>
        <v>true</v>
      </c>
      <c r="U241" s="1459"/>
      <c r="V241" s="1459"/>
      <c r="W241" s="1459"/>
      <c r="X241" s="1596"/>
      <c r="Y241" s="1459"/>
      <c r="Z241" s="1597"/>
      <c r="AA241" s="1459"/>
      <c r="AB241" s="714" t="s">
        <v>3048</v>
      </c>
      <c r="AC241" s="550" t="s">
        <v>2518</v>
      </c>
      <c r="AD241" s="548" t="s">
        <v>1514</v>
      </c>
      <c r="AE241" s="1332"/>
      <c r="AF241" s="1442"/>
      <c r="AG241" s="1442"/>
      <c r="AH241" s="1062" t="s">
        <v>1915</v>
      </c>
      <c r="AI241" s="1811"/>
      <c r="AJ241" s="1811"/>
      <c r="AK241" s="1444"/>
      <c r="AL241" s="1444"/>
      <c r="AM241" s="1834"/>
      <c r="AN241" s="1834"/>
      <c r="AO241" s="1834"/>
      <c r="AP241" s="1834"/>
    </row>
    <row s="1834" customFormat="1" customHeight="1" ht="14.25">
      <c r="A242" s="667"/>
      <c r="B242" s="1459"/>
      <c r="C242" s="1459"/>
      <c r="D242" s="1459"/>
      <c r="E242" s="649">
        <v>15</v>
      </c>
      <c r="F242" s="50" cm="1" t="str">
        <f t="array" ref="F242:F242">OFFSET(E242,-1,1)</f>
        <v>2</v>
      </c>
      <c r="G242" s="1459"/>
      <c r="H242" s="488" t="s">
        <v>3049</v>
      </c>
      <c r="I242" s="1459"/>
      <c r="J242" s="1459"/>
      <c r="K242" s="1459"/>
      <c r="L242" s="1459"/>
      <c r="M242" s="1459"/>
      <c r="N242" s="1459"/>
      <c r="O242" s="1459"/>
      <c r="P242" s="1459"/>
      <c r="Q242" s="1459"/>
      <c r="R242" s="1459"/>
      <c r="S242" s="1459"/>
      <c r="T242" s="465" cm="1" t="str">
        <f t="array" ref="T242:T242">T241</f>
        <v>true</v>
      </c>
      <c r="U242" s="1459"/>
      <c r="V242" s="1459"/>
      <c r="W242" s="1459"/>
      <c r="X242" s="1596"/>
      <c r="Y242" s="1459"/>
      <c r="Z242" s="1597"/>
      <c r="AA242" s="1459"/>
      <c r="AB242" s="714" t="s">
        <v>3050</v>
      </c>
      <c r="AC242" s="551" t="s">
        <v>3051</v>
      </c>
      <c r="AD242" s="548" t="s">
        <v>2993</v>
      </c>
      <c r="AE242" s="1332"/>
      <c r="AF242" s="1442"/>
      <c r="AG242" s="1442"/>
      <c r="AH242" s="1001" t="s">
        <v>3052</v>
      </c>
      <c r="AI242" s="1811"/>
      <c r="AJ242" s="1811"/>
      <c r="AK242" s="1444"/>
      <c r="AL242" s="1444"/>
      <c r="AM242" s="1834"/>
      <c r="AN242" s="1834"/>
      <c r="AO242" s="1834"/>
      <c r="AP242" s="1834"/>
    </row>
    <row s="1834" customFormat="1" customHeight="1" ht="21.75">
      <c r="A243" s="667"/>
      <c r="B243" s="1459"/>
      <c r="C243" s="1459"/>
      <c r="D243" s="1459"/>
      <c r="E243" s="649">
        <v>22.5</v>
      </c>
      <c r="F243" s="50" cm="1" t="str">
        <f t="array" ref="F243:F243">OFFSET(E243,-1,1)</f>
        <v>2</v>
      </c>
      <c r="G243" s="1459"/>
      <c r="H243" s="488" t="s">
        <v>3053</v>
      </c>
      <c r="I243" s="1459"/>
      <c r="J243" s="1459"/>
      <c r="K243" s="1459"/>
      <c r="L243" s="1459"/>
      <c r="M243" s="1459"/>
      <c r="N243" s="1459"/>
      <c r="O243" s="1459"/>
      <c r="P243" s="1459"/>
      <c r="Q243" s="1459"/>
      <c r="R243" s="1459"/>
      <c r="S243" s="1459"/>
      <c r="T243" s="465" cm="1" t="str">
        <f t="array" ref="T243:T243">T242</f>
        <v>true</v>
      </c>
      <c r="U243" s="1459"/>
      <c r="V243" s="1459"/>
      <c r="W243" s="1459"/>
      <c r="X243" s="1596"/>
      <c r="Y243" s="1459"/>
      <c r="Z243" s="1597"/>
      <c r="AA243" s="1459"/>
      <c r="AB243" s="714" t="s">
        <v>3054</v>
      </c>
      <c r="AC243" s="551" t="s">
        <v>3055</v>
      </c>
      <c r="AD243" s="548" t="s">
        <v>2998</v>
      </c>
      <c r="AE243" s="1332"/>
      <c r="AF243" s="1442"/>
      <c r="AG243" s="1442"/>
      <c r="AH243" s="1001" t="s">
        <v>3056</v>
      </c>
      <c r="AI243" s="1811"/>
      <c r="AJ243" s="1811"/>
      <c r="AK243" s="1444"/>
      <c r="AL243" s="1444"/>
      <c r="AM243" s="1834"/>
      <c r="AN243" s="1834"/>
      <c r="AO243" s="1834"/>
      <c r="AP243" s="1834"/>
    </row>
    <row s="1834" customFormat="1" customHeight="1" ht="21.75">
      <c r="A244" s="667"/>
      <c r="B244" s="1459"/>
      <c r="C244" s="1459"/>
      <c r="D244" s="1459"/>
      <c r="E244" s="649">
        <v>22.5</v>
      </c>
      <c r="F244" s="50" cm="1" t="str">
        <f t="array" ref="F244:F244">OFFSET(E244,-1,1)</f>
        <v>2</v>
      </c>
      <c r="G244" s="1459"/>
      <c r="H244" s="488" t="s">
        <v>3057</v>
      </c>
      <c r="I244" s="1459"/>
      <c r="J244" s="1459"/>
      <c r="K244" s="1459"/>
      <c r="L244" s="1459"/>
      <c r="M244" s="1459"/>
      <c r="N244" s="1459"/>
      <c r="O244" s="1459"/>
      <c r="P244" s="1459"/>
      <c r="Q244" s="1459"/>
      <c r="R244" s="1459"/>
      <c r="S244" s="1459"/>
      <c r="T244" s="465" cm="1" t="str">
        <f t="array" ref="T244:T244">T243</f>
        <v>true</v>
      </c>
      <c r="U244" s="1459"/>
      <c r="V244" s="1459"/>
      <c r="W244" s="1459"/>
      <c r="X244" s="1596"/>
      <c r="Y244" s="1459"/>
      <c r="Z244" s="1597"/>
      <c r="AA244" s="1459"/>
      <c r="AB244" s="714" t="s">
        <v>3058</v>
      </c>
      <c r="AC244" s="550" t="s">
        <v>2708</v>
      </c>
      <c r="AD244" s="548" t="s">
        <v>1514</v>
      </c>
      <c r="AE244" s="1332"/>
      <c r="AF244" s="1442"/>
      <c r="AG244" s="1442"/>
      <c r="AH244" s="1062" t="s">
        <v>2520</v>
      </c>
      <c r="AI244" s="1811"/>
      <c r="AJ244" s="1811"/>
      <c r="AK244" s="1444"/>
      <c r="AL244" s="1444"/>
      <c r="AM244" s="1834"/>
      <c r="AN244" s="1834"/>
      <c r="AO244" s="1834"/>
      <c r="AP244" s="1834"/>
    </row>
    <row s="1834" customFormat="1" customHeight="1" ht="21.75">
      <c r="A245" s="667"/>
      <c r="B245" s="1459"/>
      <c r="C245" s="1459"/>
      <c r="D245" s="1459"/>
      <c r="E245" s="649">
        <v>22.5</v>
      </c>
      <c r="F245" s="50" cm="1" t="str">
        <f t="array" ref="F245:F245">OFFSET(E245,-1,1)</f>
        <v>2</v>
      </c>
      <c r="G245" s="1459"/>
      <c r="H245" s="488" t="s">
        <v>2089</v>
      </c>
      <c r="I245" s="1459"/>
      <c r="J245" s="1459"/>
      <c r="K245" s="1459"/>
      <c r="L245" s="1459"/>
      <c r="M245" s="1459"/>
      <c r="N245" s="1459"/>
      <c r="O245" s="1459"/>
      <c r="P245" s="1459"/>
      <c r="Q245" s="1459"/>
      <c r="R245" s="1459"/>
      <c r="S245" s="1459"/>
      <c r="T245" s="465" cm="1" t="str">
        <f t="array" ref="T245:T245">T244</f>
        <v>true</v>
      </c>
      <c r="U245" s="1459"/>
      <c r="V245" s="1459"/>
      <c r="W245" s="1459"/>
      <c r="X245" s="1596"/>
      <c r="Y245" s="1459"/>
      <c r="Z245" s="1597"/>
      <c r="AA245" s="1459"/>
      <c r="AB245" s="714" t="s">
        <v>2090</v>
      </c>
      <c r="AC245" s="549" t="s">
        <v>3059</v>
      </c>
      <c r="AD245" s="548" t="s">
        <v>1514</v>
      </c>
      <c r="AE245" s="1332"/>
      <c r="AF245" s="1442"/>
      <c r="AG245" s="1442"/>
      <c r="AH245" s="1062" t="s">
        <v>1946</v>
      </c>
      <c r="AI245" s="1811"/>
      <c r="AJ245" s="1811"/>
      <c r="AK245" s="1444"/>
      <c r="AL245" s="1444"/>
      <c r="AM245" s="1834"/>
      <c r="AN245" s="1834"/>
      <c r="AO245" s="1834"/>
      <c r="AP245" s="1834"/>
    </row>
    <row s="1834" customFormat="1" customHeight="1" ht="14.25">
      <c r="A246" s="667"/>
      <c r="B246" s="1459"/>
      <c r="C246" s="1459"/>
      <c r="D246" s="1459"/>
      <c r="E246" s="649">
        <v>15</v>
      </c>
      <c r="F246" s="50" cm="1" t="str">
        <f t="array" ref="F246:F246">OFFSET(E246,-1,1)</f>
        <v>2</v>
      </c>
      <c r="G246" s="1459"/>
      <c r="H246" s="488" t="s">
        <v>3060</v>
      </c>
      <c r="I246" s="1459"/>
      <c r="J246" s="1459"/>
      <c r="K246" s="1459"/>
      <c r="L246" s="1459"/>
      <c r="M246" s="1459"/>
      <c r="N246" s="1459"/>
      <c r="O246" s="1459"/>
      <c r="P246" s="1459"/>
      <c r="Q246" s="1459"/>
      <c r="R246" s="1459"/>
      <c r="S246" s="1459"/>
      <c r="T246" s="465" cm="1" t="str">
        <f t="array" ref="T246:T246">T245</f>
        <v>true</v>
      </c>
      <c r="U246" s="1459"/>
      <c r="V246" s="1459"/>
      <c r="W246" s="1459"/>
      <c r="X246" s="1596"/>
      <c r="Y246" s="1459"/>
      <c r="Z246" s="1597"/>
      <c r="AA246" s="1459"/>
      <c r="AB246" s="714" t="s">
        <v>3061</v>
      </c>
      <c r="AC246" s="549" t="s">
        <v>1948</v>
      </c>
      <c r="AD246" s="548" t="s">
        <v>1514</v>
      </c>
      <c r="AE246" s="1332"/>
      <c r="AF246" s="1442"/>
      <c r="AG246" s="1442"/>
      <c r="AH246" s="1062" t="s">
        <v>1949</v>
      </c>
      <c r="AI246" s="1811"/>
      <c r="AJ246" s="1811"/>
      <c r="AK246" s="1444"/>
      <c r="AL246" s="1444"/>
      <c r="AM246" s="1834"/>
      <c r="AN246" s="1834"/>
      <c r="AO246" s="1834"/>
      <c r="AP246" s="1834"/>
    </row>
    <row s="1834" customFormat="1" customHeight="1" ht="14.25">
      <c r="A247" s="667"/>
      <c r="B247" s="1459"/>
      <c r="C247" s="1459"/>
      <c r="D247" s="1459"/>
      <c r="E247" s="649">
        <v>15</v>
      </c>
      <c r="F247" s="50" cm="1" t="str">
        <f t="array" ref="F247:F247">OFFSET(E247,-1,1)</f>
        <v>2</v>
      </c>
      <c r="G247" s="1459"/>
      <c r="H247" s="488" t="s">
        <v>3062</v>
      </c>
      <c r="I247" s="1459"/>
      <c r="J247" s="1459"/>
      <c r="K247" s="1459"/>
      <c r="L247" s="1459"/>
      <c r="M247" s="1459"/>
      <c r="N247" s="1459"/>
      <c r="O247" s="1459"/>
      <c r="P247" s="1459"/>
      <c r="Q247" s="1459"/>
      <c r="R247" s="1459"/>
      <c r="S247" s="1459"/>
      <c r="T247" s="465" cm="1" t="str">
        <f t="array" ref="T247:T247">T246</f>
        <v>true</v>
      </c>
      <c r="U247" s="1459"/>
      <c r="V247" s="1459"/>
      <c r="W247" s="1459"/>
      <c r="X247" s="1596"/>
      <c r="Y247" s="1459"/>
      <c r="Z247" s="1597"/>
      <c r="AA247" s="1459"/>
      <c r="AB247" s="714" t="s">
        <v>3063</v>
      </c>
      <c r="AC247" s="549" t="s">
        <v>1951</v>
      </c>
      <c r="AD247" s="548" t="s">
        <v>1514</v>
      </c>
      <c r="AE247" s="1332"/>
      <c r="AF247" s="1442"/>
      <c r="AG247" s="1442"/>
      <c r="AH247" s="1062" t="s">
        <v>1952</v>
      </c>
      <c r="AI247" s="1811"/>
      <c r="AJ247" s="1811"/>
      <c r="AK247" s="1444"/>
      <c r="AL247" s="1444"/>
      <c r="AM247" s="1834"/>
      <c r="AN247" s="1834"/>
      <c r="AO247" s="1834"/>
      <c r="AP247" s="1834"/>
    </row>
    <row s="1834" customFormat="1" customHeight="1" ht="21.75">
      <c r="A248" s="667"/>
      <c r="B248" s="1459"/>
      <c r="C248" s="1459"/>
      <c r="D248" s="1459"/>
      <c r="E248" s="649">
        <v>22.5</v>
      </c>
      <c r="F248" s="50" cm="1" t="str">
        <f t="array" ref="F248:F248">OFFSET(E248,-1,1)</f>
        <v>2</v>
      </c>
      <c r="G248" s="1459"/>
      <c r="H248" s="488" t="s">
        <v>3064</v>
      </c>
      <c r="I248" s="1459"/>
      <c r="J248" s="1459"/>
      <c r="K248" s="1459"/>
      <c r="L248" s="1459"/>
      <c r="M248" s="1459"/>
      <c r="N248" s="1459"/>
      <c r="O248" s="1459"/>
      <c r="P248" s="1459"/>
      <c r="Q248" s="1459"/>
      <c r="R248" s="1459"/>
      <c r="S248" s="1459"/>
      <c r="T248" s="465" cm="1" t="str">
        <f t="array" ref="T248:T248">T247</f>
        <v>true</v>
      </c>
      <c r="U248" s="1459"/>
      <c r="V248" s="1459"/>
      <c r="W248" s="1459"/>
      <c r="X248" s="1596"/>
      <c r="Y248" s="1459"/>
      <c r="Z248" s="1597"/>
      <c r="AA248" s="1459"/>
      <c r="AB248" s="714" t="s">
        <v>3065</v>
      </c>
      <c r="AC248" s="549" t="s">
        <v>3066</v>
      </c>
      <c r="AD248" s="548" t="s">
        <v>1514</v>
      </c>
      <c r="AE248" s="1332"/>
      <c r="AF248" s="1442"/>
      <c r="AG248" s="1442"/>
      <c r="AH248" s="1062" t="s">
        <v>2522</v>
      </c>
      <c r="AI248" s="1811"/>
      <c r="AJ248" s="1811"/>
      <c r="AK248" s="1444"/>
      <c r="AL248" s="1444"/>
      <c r="AM248" s="1834"/>
      <c r="AN248" s="1834"/>
      <c r="AO248" s="1834"/>
      <c r="AP248" s="1834"/>
    </row>
    <row s="1834" customFormat="1" customHeight="1" ht="14.25">
      <c r="A249" s="667"/>
      <c r="B249" s="1459"/>
      <c r="C249" s="1459"/>
      <c r="D249" s="1459"/>
      <c r="E249" s="649">
        <v>15</v>
      </c>
      <c r="F249" s="50" cm="1" t="str">
        <f t="array" ref="F249:F249">OFFSET(E249,-1,1)</f>
        <v>2</v>
      </c>
      <c r="G249" s="1459"/>
      <c r="H249" s="488" t="s">
        <v>3067</v>
      </c>
      <c r="I249" s="1459"/>
      <c r="J249" s="1459"/>
      <c r="K249" s="1459"/>
      <c r="L249" s="1459"/>
      <c r="M249" s="1459"/>
      <c r="N249" s="1459"/>
      <c r="O249" s="1459"/>
      <c r="P249" s="1459"/>
      <c r="Q249" s="1459"/>
      <c r="R249" s="1459"/>
      <c r="S249" s="1459"/>
      <c r="T249" s="465" cm="1" t="str">
        <f t="array" ref="T249:T249">T248</f>
        <v>true</v>
      </c>
      <c r="U249" s="1459"/>
      <c r="V249" s="1459"/>
      <c r="W249" s="1459"/>
      <c r="X249" s="1596"/>
      <c r="Y249" s="1459"/>
      <c r="Z249" s="1597"/>
      <c r="AA249" s="1459"/>
      <c r="AB249" s="714" t="s">
        <v>3068</v>
      </c>
      <c r="AC249" s="549" t="s">
        <v>3069</v>
      </c>
      <c r="AD249" s="548" t="s">
        <v>1514</v>
      </c>
      <c r="AE249" s="557">
        <f>AE250+AE251+AE252</f>
        <v>0</v>
      </c>
      <c r="AF249" s="1442"/>
      <c r="AG249" s="1442"/>
      <c r="AH249" s="1062" t="s">
        <v>2524</v>
      </c>
      <c r="AI249" s="1811"/>
      <c r="AJ249" s="1811"/>
      <c r="AK249" s="1444"/>
      <c r="AL249" s="1444"/>
      <c r="AM249" s="1834"/>
      <c r="AN249" s="1834"/>
      <c r="AO249" s="1834"/>
      <c r="AP249" s="1834"/>
    </row>
    <row s="1834" customFormat="1" customHeight="1" ht="14.25">
      <c r="A250" s="667"/>
      <c r="B250" s="1459"/>
      <c r="C250" s="1459"/>
      <c r="D250" s="1459"/>
      <c r="E250" s="649">
        <v>15</v>
      </c>
      <c r="F250" s="50" cm="1" t="str">
        <f t="array" ref="F250:F250">OFFSET(E250,-1,1)</f>
        <v>2</v>
      </c>
      <c r="G250" s="1459"/>
      <c r="H250" s="488" t="s">
        <v>3070</v>
      </c>
      <c r="I250" s="1459"/>
      <c r="J250" s="1459"/>
      <c r="K250" s="1459"/>
      <c r="L250" s="1459"/>
      <c r="M250" s="1459"/>
      <c r="N250" s="1459"/>
      <c r="O250" s="1459"/>
      <c r="P250" s="1459"/>
      <c r="Q250" s="1459"/>
      <c r="R250" s="1459"/>
      <c r="S250" s="1459"/>
      <c r="T250" s="465" cm="1" t="str">
        <f t="array" ref="T250:T250">T249</f>
        <v>true</v>
      </c>
      <c r="U250" s="1459"/>
      <c r="V250" s="1459"/>
      <c r="W250" s="1459"/>
      <c r="X250" s="1596"/>
      <c r="Y250" s="1459"/>
      <c r="Z250" s="1597"/>
      <c r="AA250" s="1459"/>
      <c r="AB250" s="714" t="s">
        <v>3071</v>
      </c>
      <c r="AC250" s="550" t="s">
        <v>3072</v>
      </c>
      <c r="AD250" s="548" t="s">
        <v>1514</v>
      </c>
      <c r="AE250" s="1332"/>
      <c r="AF250" s="1442"/>
      <c r="AG250" s="1442"/>
      <c r="AH250" s="1062" t="s">
        <v>2528</v>
      </c>
      <c r="AI250" s="1811"/>
      <c r="AJ250" s="1811"/>
      <c r="AK250" s="1444"/>
      <c r="AL250" s="1444"/>
      <c r="AM250" s="1834"/>
      <c r="AN250" s="1834"/>
      <c r="AO250" s="1834"/>
      <c r="AP250" s="1834"/>
    </row>
    <row s="1834" customFormat="1" customHeight="1" ht="14.25">
      <c r="A251" s="667"/>
      <c r="B251" s="1459"/>
      <c r="C251" s="1459"/>
      <c r="D251" s="1459"/>
      <c r="E251" s="649">
        <v>15</v>
      </c>
      <c r="F251" s="50" cm="1" t="str">
        <f t="array" ref="F251:F251">OFFSET(E251,-1,1)</f>
        <v>2</v>
      </c>
      <c r="G251" s="1459"/>
      <c r="H251" s="488" t="s">
        <v>3073</v>
      </c>
      <c r="I251" s="1459"/>
      <c r="J251" s="1459"/>
      <c r="K251" s="1459"/>
      <c r="L251" s="1459"/>
      <c r="M251" s="1459"/>
      <c r="N251" s="1459"/>
      <c r="O251" s="1459"/>
      <c r="P251" s="1459"/>
      <c r="Q251" s="1459"/>
      <c r="R251" s="1459"/>
      <c r="S251" s="1459"/>
      <c r="T251" s="465" cm="1" t="str">
        <f t="array" ref="T251:T251">T250</f>
        <v>true</v>
      </c>
      <c r="U251" s="1459"/>
      <c r="V251" s="1459"/>
      <c r="W251" s="1459"/>
      <c r="X251" s="1596"/>
      <c r="Y251" s="1459"/>
      <c r="Z251" s="1597"/>
      <c r="AA251" s="1459"/>
      <c r="AB251" s="715" t="s">
        <v>3074</v>
      </c>
      <c r="AC251" s="552" t="s">
        <v>3075</v>
      </c>
      <c r="AD251" s="553" t="s">
        <v>1514</v>
      </c>
      <c r="AE251" s="1332"/>
      <c r="AF251" s="1442"/>
      <c r="AG251" s="1442"/>
      <c r="AH251" s="1062" t="s">
        <v>2531</v>
      </c>
      <c r="AI251" s="1811"/>
      <c r="AJ251" s="1811"/>
      <c r="AK251" s="1444"/>
      <c r="AL251" s="1444"/>
      <c r="AM251" s="1834"/>
      <c r="AN251" s="1834"/>
      <c r="AO251" s="1834"/>
      <c r="AP251" s="1834"/>
    </row>
    <row s="1834" customFormat="1" customHeight="1" ht="14.25">
      <c r="A252" s="667"/>
      <c r="B252" s="1459"/>
      <c r="C252" s="1459"/>
      <c r="D252" s="1459"/>
      <c r="E252" s="649">
        <v>15</v>
      </c>
      <c r="F252" s="50" cm="1" t="str">
        <f t="array" ref="F252:F252">OFFSET(E252,-1,1)</f>
        <v>2</v>
      </c>
      <c r="G252" s="1459"/>
      <c r="H252" s="488" t="s">
        <v>3076</v>
      </c>
      <c r="I252" s="1459"/>
      <c r="J252" s="1459"/>
      <c r="K252" s="1459"/>
      <c r="L252" s="1459"/>
      <c r="M252" s="1459"/>
      <c r="N252" s="1459"/>
      <c r="O252" s="1459"/>
      <c r="P252" s="1459"/>
      <c r="Q252" s="1459"/>
      <c r="R252" s="1459"/>
      <c r="S252" s="1459"/>
      <c r="T252" s="465" cm="1" t="str">
        <f t="array" ref="T252:T252">T251</f>
        <v>true</v>
      </c>
      <c r="U252" s="1459"/>
      <c r="V252" s="1459"/>
      <c r="W252" s="1459"/>
      <c r="X252" s="1596"/>
      <c r="Y252" s="1459"/>
      <c r="Z252" s="1597"/>
      <c r="AA252" s="1459"/>
      <c r="AB252" s="715" t="s">
        <v>3077</v>
      </c>
      <c r="AC252" s="552" t="s">
        <v>1965</v>
      </c>
      <c r="AD252" s="553" t="s">
        <v>1514</v>
      </c>
      <c r="AE252" s="1332"/>
      <c r="AF252" s="1442"/>
      <c r="AG252" s="1442"/>
      <c r="AH252" s="1062" t="s">
        <v>2534</v>
      </c>
      <c r="AI252" s="1811"/>
      <c r="AJ252" s="1811"/>
      <c r="AK252" s="1444"/>
      <c r="AL252" s="1444"/>
      <c r="AM252" s="1834"/>
      <c r="AN252" s="1834"/>
      <c r="AO252" s="1834"/>
      <c r="AP252" s="1834"/>
    </row>
    <row s="1834" customFormat="1" customHeight="1" ht="14.25">
      <c r="A253" s="667"/>
      <c r="B253" s="1459"/>
      <c r="C253" s="1459"/>
      <c r="D253" s="1459"/>
      <c r="E253" s="649">
        <v>15</v>
      </c>
      <c r="F253" s="50" cm="1" t="str">
        <f t="array" ref="F253:F253">OFFSET(E253,-1,1)</f>
        <v>2</v>
      </c>
      <c r="G253" s="1459"/>
      <c r="H253" s="488" t="s">
        <v>1186</v>
      </c>
      <c r="I253" s="1459"/>
      <c r="J253" s="1459"/>
      <c r="K253" s="1459"/>
      <c r="L253" s="1459"/>
      <c r="M253" s="1459"/>
      <c r="N253" s="1459"/>
      <c r="O253" s="1459"/>
      <c r="P253" s="1459"/>
      <c r="Q253" s="1459"/>
      <c r="R253" s="1459"/>
      <c r="S253" s="1459"/>
      <c r="T253" s="465" cm="1" t="str">
        <f t="array" ref="T253:T253">T252</f>
        <v>true</v>
      </c>
      <c r="U253" s="1459"/>
      <c r="V253" s="1459"/>
      <c r="W253" s="1459"/>
      <c r="X253" s="1596"/>
      <c r="Y253" s="1459"/>
      <c r="Z253" s="1597"/>
      <c r="AA253" s="1459"/>
      <c r="AB253" s="715" t="s">
        <v>1637</v>
      </c>
      <c r="AC253" s="554" t="s">
        <v>3078</v>
      </c>
      <c r="AD253" s="553" t="s">
        <v>1514</v>
      </c>
      <c r="AE253" s="557">
        <f>SUM(AE254:AE255)</f>
        <v>0</v>
      </c>
      <c r="AF253" s="1442"/>
      <c r="AG253" s="1442"/>
      <c r="AH253" s="1064" t="s">
        <v>3079</v>
      </c>
      <c r="AI253" s="1811"/>
      <c r="AJ253" s="1811"/>
      <c r="AK253" s="1444"/>
      <c r="AL253" s="1444"/>
      <c r="AM253" s="1834"/>
      <c r="AN253" s="1834"/>
      <c r="AO253" s="1834"/>
      <c r="AP253" s="1834"/>
    </row>
    <row s="1834" customFormat="1" customHeight="1" ht="14.25" hidden="1">
      <c r="A254" s="667"/>
      <c r="B254" s="1459"/>
      <c r="C254" s="1459"/>
      <c r="D254" s="1459"/>
      <c r="E254" s="649">
        <v>15</v>
      </c>
      <c r="F254" s="50" cm="1" t="str">
        <f t="array" ref="F254:F254">OFFSET(E254,-1,1)</f>
        <v>2</v>
      </c>
      <c r="G254" s="1459"/>
      <c r="H254" s="488" t="s">
        <v>1186</v>
      </c>
      <c r="I254" s="563" cm="1" t="str">
        <f t="array" ref="I254:I254">AC254</f>
        <v>0</v>
      </c>
      <c r="J254" s="1459"/>
      <c r="K254" s="1459"/>
      <c r="L254" s="1459"/>
      <c r="M254" s="1459"/>
      <c r="N254" s="1459"/>
      <c r="O254" s="1459"/>
      <c r="P254" s="1459"/>
      <c r="Q254" s="1459"/>
      <c r="R254" s="1459"/>
      <c r="S254" s="1459"/>
      <c r="T254" s="465">
        <f>AND(F254&gt;0,Y254&gt;0)</f>
        <v>0</v>
      </c>
      <c r="U254" s="1459"/>
      <c r="V254" s="1459"/>
      <c r="W254" s="555" t="s">
        <v>174</v>
      </c>
      <c r="X254" s="1596"/>
      <c r="Y254" s="488">
        <v>0</v>
      </c>
      <c r="Z254" s="1597"/>
      <c r="AA254" s="1276" t="s">
        <v>175</v>
      </c>
      <c r="AB254" s="714" t="str">
        <f>"1.4."&amp;Y254</f>
        <v>1.4.0</v>
      </c>
      <c r="AC254" s="8363"/>
      <c r="AD254" s="548" t="s">
        <v>1514</v>
      </c>
      <c r="AE254" s="8364"/>
      <c r="AF254" s="1442"/>
      <c r="AG254" s="1442"/>
      <c r="AH254" s="1064" t="s">
        <v>3079</v>
      </c>
      <c r="AI254" s="1001" t="s">
        <v>3080</v>
      </c>
      <c r="AJ254" s="1001" cm="1" t="str">
        <f t="array" ref="AJ254:AJ254">AC254</f>
        <v>0</v>
      </c>
      <c r="AK254" s="1444"/>
      <c r="AL254" s="656" t="b">
        <v>1</v>
      </c>
      <c r="AM254" s="1834"/>
      <c r="AN254" s="1834"/>
      <c r="AO254" s="1834"/>
      <c r="AP254" s="1834"/>
    </row>
    <row s="1834" customFormat="1" customHeight="1" ht="14.25">
      <c r="A255" s="667"/>
      <c r="B255" s="1459"/>
      <c r="C255" s="1459"/>
      <c r="D255" s="1459"/>
      <c r="E255" s="649">
        <v>15</v>
      </c>
      <c r="F255" s="50" cm="1" t="str">
        <f t="array" ref="F255:F255">OFFSET(E255,-1,1)</f>
        <v>2</v>
      </c>
      <c r="G255" s="1459"/>
      <c r="H255" s="1459"/>
      <c r="I255" s="1278" t="str">
        <f>"!== 'не определено' &amp;&amp; row.l1_4 !== null"</f>
        <v>!== 'не определено' &amp;&amp; row.l1_4 !== null</v>
      </c>
      <c r="J255" s="1459"/>
      <c r="K255" s="1459"/>
      <c r="L255" s="1459"/>
      <c r="M255" s="1459"/>
      <c r="N255" s="1459"/>
      <c r="O255" s="1459"/>
      <c r="P255" s="1459"/>
      <c r="Q255" s="1459"/>
      <c r="R255" s="1459"/>
      <c r="S255" s="1459"/>
      <c r="T255" s="465">
        <f>F255&gt;0</f>
        <v>1</v>
      </c>
      <c r="U255" s="1459"/>
      <c r="V255" s="1459"/>
      <c r="W255" s="1366" t="s">
        <v>399</v>
      </c>
      <c r="X255" s="1596"/>
      <c r="Y255" s="1459"/>
      <c r="Z255" s="1597"/>
      <c r="AA255" s="1459"/>
      <c r="AB255" s="1279"/>
      <c r="AC255" s="1280" t="s">
        <v>178</v>
      </c>
      <c r="AD255" s="1281"/>
      <c r="AE255" s="1333"/>
      <c r="AF255" s="1442"/>
      <c r="AG255" s="1442"/>
      <c r="AH255" s="1811"/>
      <c r="AI255" s="1811"/>
      <c r="AJ255" s="1811"/>
      <c r="AK255" s="656" t="s">
        <v>3080</v>
      </c>
      <c r="AL255" s="1444"/>
      <c r="AM255" s="1834"/>
      <c r="AN255" s="1834"/>
      <c r="AO255" s="1834"/>
      <c r="AP255" s="1834"/>
    </row>
    <row s="1834" customFormat="1" customHeight="1" ht="14.25">
      <c r="A256" s="667"/>
      <c r="B256" s="1459"/>
      <c r="C256" s="1459"/>
      <c r="D256" s="1459"/>
      <c r="E256" s="649">
        <v>15</v>
      </c>
      <c r="F256" s="50" cm="1" t="str">
        <f t="array" ref="F256:F256">OFFSET(E256,-1,1)</f>
        <v>2</v>
      </c>
      <c r="G256" s="1459"/>
      <c r="H256" s="488" t="s">
        <v>333</v>
      </c>
      <c r="I256" s="1459"/>
      <c r="J256" s="1459"/>
      <c r="K256" s="1459"/>
      <c r="L256" s="1459"/>
      <c r="M256" s="1459"/>
      <c r="N256" s="1459"/>
      <c r="O256" s="1459"/>
      <c r="P256" s="1459"/>
      <c r="Q256" s="1459"/>
      <c r="R256" s="1459"/>
      <c r="S256" s="1459"/>
      <c r="T256" s="465" cm="1" t="str">
        <f t="array" ref="T256:T256">T255</f>
        <v>true</v>
      </c>
      <c r="U256" s="1459"/>
      <c r="V256" s="1459"/>
      <c r="W256" s="1459"/>
      <c r="X256" s="1596"/>
      <c r="Y256" s="1459"/>
      <c r="Z256" s="1597"/>
      <c r="AA256" s="1459"/>
      <c r="AB256" s="713" t="s">
        <v>285</v>
      </c>
      <c r="AC256" s="545" t="s">
        <v>2733</v>
      </c>
      <c r="AD256" s="546" t="s">
        <v>1514</v>
      </c>
      <c r="AE256" s="557">
        <f>AE257+AE269+AE270+AE280+AE281+AE282+AE285+AE286+AE287+AE288+AE289+AE290</f>
        <v>0</v>
      </c>
      <c r="AF256" s="1442"/>
      <c r="AG256" s="1442"/>
      <c r="AH256" s="1001" t="s">
        <v>3081</v>
      </c>
      <c r="AI256" s="1811"/>
      <c r="AJ256" s="1811"/>
      <c r="AK256" s="1444"/>
      <c r="AL256" s="1444"/>
      <c r="AM256" s="1834"/>
      <c r="AN256" s="1834"/>
      <c r="AO256" s="1834"/>
      <c r="AP256" s="1834"/>
    </row>
    <row s="1806" customFormat="1" customHeight="1" ht="26.25">
      <c r="A257" s="667"/>
      <c r="B257" s="488"/>
      <c r="C257" s="488"/>
      <c r="D257" s="488"/>
      <c r="E257" s="649">
        <v>27</v>
      </c>
      <c r="F257" s="523" cm="1" t="str">
        <f t="array" ref="F257:F257">OFFSET(E257,-1,1)</f>
        <v>2</v>
      </c>
      <c r="G257" s="488"/>
      <c r="H257" s="488"/>
      <c r="I257" s="488"/>
      <c r="J257" s="488"/>
      <c r="K257" s="488"/>
      <c r="L257" s="488"/>
      <c r="M257" s="488"/>
      <c r="N257" s="488"/>
      <c r="O257" s="488"/>
      <c r="P257" s="488"/>
      <c r="Q257" s="488"/>
      <c r="R257" s="488"/>
      <c r="S257" s="488"/>
      <c r="T257" s="465" cm="1" t="str">
        <f t="array" ref="T257:T257">T256</f>
        <v>true</v>
      </c>
      <c r="U257" s="488"/>
      <c r="V257" s="488"/>
      <c r="W257" s="488"/>
      <c r="X257" s="1596"/>
      <c r="Y257" s="488"/>
      <c r="Z257" s="1597"/>
      <c r="AA257" s="488"/>
      <c r="AB257" s="1270" t="s">
        <v>1250</v>
      </c>
      <c r="AC257" s="1282" t="s">
        <v>2735</v>
      </c>
      <c r="AD257" s="1269" t="s">
        <v>1514</v>
      </c>
      <c r="AE257" s="557">
        <f>SUM(AE258:AE268)</f>
        <v>0</v>
      </c>
      <c r="AF257" s="1108"/>
      <c r="AG257" s="1108"/>
      <c r="AH257" s="1064" t="s">
        <v>1966</v>
      </c>
      <c r="AI257" s="1058"/>
      <c r="AJ257" s="1058"/>
      <c r="AK257" s="965"/>
      <c r="AL257" s="965"/>
      <c r="AM257" s="1806"/>
      <c r="AN257" s="1806"/>
      <c r="AO257" s="1806"/>
      <c r="AP257" s="1806"/>
    </row>
    <row s="1806" customFormat="1" customHeight="1" ht="14.25">
      <c r="A258" s="667"/>
      <c r="B258" s="488"/>
      <c r="C258" s="488"/>
      <c r="D258" s="488"/>
      <c r="E258" s="649">
        <v>15</v>
      </c>
      <c r="F258" s="523" cm="1" t="str">
        <f t="array" ref="F258:F258">OFFSET(E258,-1,1)</f>
        <v>2</v>
      </c>
      <c r="G258" s="488"/>
      <c r="H258" s="488"/>
      <c r="I258" s="488"/>
      <c r="J258" s="488"/>
      <c r="K258" s="488"/>
      <c r="L258" s="488"/>
      <c r="M258" s="488"/>
      <c r="N258" s="488"/>
      <c r="O258" s="488"/>
      <c r="P258" s="488"/>
      <c r="Q258" s="488"/>
      <c r="R258" s="488"/>
      <c r="S258" s="488"/>
      <c r="T258" s="465" cm="1" t="str">
        <f t="array" ref="T258:T258">T257</f>
        <v>true</v>
      </c>
      <c r="U258" s="488"/>
      <c r="V258" s="488"/>
      <c r="W258" s="488"/>
      <c r="X258" s="1596"/>
      <c r="Y258" s="488"/>
      <c r="Z258" s="1597"/>
      <c r="AA258" s="488"/>
      <c r="AB258" s="1270" t="s">
        <v>1201</v>
      </c>
      <c r="AC258" s="1273" t="s">
        <v>2737</v>
      </c>
      <c r="AD258" s="1272" t="s">
        <v>1514</v>
      </c>
      <c r="AE258" s="558"/>
      <c r="AF258" s="1108"/>
      <c r="AG258" s="1108"/>
      <c r="AH258" s="1064" t="s">
        <v>3082</v>
      </c>
      <c r="AI258" s="1058"/>
      <c r="AJ258" s="1058"/>
      <c r="AK258" s="965"/>
      <c r="AL258" s="965"/>
      <c r="AM258" s="1806"/>
      <c r="AN258" s="1806"/>
      <c r="AO258" s="1806"/>
      <c r="AP258" s="1806"/>
    </row>
    <row s="1806" customFormat="1" customHeight="1" ht="14.25">
      <c r="A259" s="667"/>
      <c r="B259" s="488"/>
      <c r="C259" s="488"/>
      <c r="D259" s="488"/>
      <c r="E259" s="649">
        <v>15</v>
      </c>
      <c r="F259" s="523" cm="1" t="str">
        <f t="array" ref="F259:F259">OFFSET(E259,-1,1)</f>
        <v>2</v>
      </c>
      <c r="G259" s="488"/>
      <c r="H259" s="488"/>
      <c r="I259" s="488"/>
      <c r="J259" s="488"/>
      <c r="K259" s="488"/>
      <c r="L259" s="488"/>
      <c r="M259" s="488"/>
      <c r="N259" s="488"/>
      <c r="O259" s="488"/>
      <c r="P259" s="488"/>
      <c r="Q259" s="488"/>
      <c r="R259" s="488"/>
      <c r="S259" s="488"/>
      <c r="T259" s="465" cm="1" t="str">
        <f t="array" ref="T259:T259">T258</f>
        <v>true</v>
      </c>
      <c r="U259" s="488"/>
      <c r="V259" s="488"/>
      <c r="W259" s="488"/>
      <c r="X259" s="1596"/>
      <c r="Y259" s="488"/>
      <c r="Z259" s="1597"/>
      <c r="AA259" s="488"/>
      <c r="AB259" s="1270" t="s">
        <v>2738</v>
      </c>
      <c r="AC259" s="1273" t="s">
        <v>2739</v>
      </c>
      <c r="AD259" s="1272" t="s">
        <v>1514</v>
      </c>
      <c r="AE259" s="558"/>
      <c r="AF259" s="1108"/>
      <c r="AG259" s="1108"/>
      <c r="AH259" s="1064" t="s">
        <v>3083</v>
      </c>
      <c r="AI259" s="1058"/>
      <c r="AJ259" s="1058"/>
      <c r="AK259" s="965"/>
      <c r="AL259" s="965"/>
      <c r="AM259" s="1806"/>
      <c r="AN259" s="1806"/>
      <c r="AO259" s="1806"/>
      <c r="AP259" s="1806"/>
    </row>
    <row s="1806" customFormat="1" customHeight="1" ht="14.25">
      <c r="A260" s="667"/>
      <c r="B260" s="488"/>
      <c r="C260" s="488"/>
      <c r="D260" s="488"/>
      <c r="E260" s="649">
        <v>15</v>
      </c>
      <c r="F260" s="523" cm="1" t="str">
        <f t="array" ref="F260:F260">OFFSET(E260,-1,1)</f>
        <v>2</v>
      </c>
      <c r="G260" s="488"/>
      <c r="H260" s="488"/>
      <c r="I260" s="488"/>
      <c r="J260" s="488"/>
      <c r="K260" s="488"/>
      <c r="L260" s="488"/>
      <c r="M260" s="488"/>
      <c r="N260" s="488"/>
      <c r="O260" s="488"/>
      <c r="P260" s="488"/>
      <c r="Q260" s="488"/>
      <c r="R260" s="488"/>
      <c r="S260" s="488"/>
      <c r="T260" s="465" cm="1" t="str">
        <f t="array" ref="T260:T260">T259</f>
        <v>true</v>
      </c>
      <c r="U260" s="488"/>
      <c r="V260" s="488"/>
      <c r="W260" s="488"/>
      <c r="X260" s="1596"/>
      <c r="Y260" s="488"/>
      <c r="Z260" s="1597"/>
      <c r="AA260" s="488"/>
      <c r="AB260" s="1270" t="s">
        <v>2740</v>
      </c>
      <c r="AC260" s="1273" t="s">
        <v>2741</v>
      </c>
      <c r="AD260" s="1272" t="s">
        <v>1514</v>
      </c>
      <c r="AE260" s="558"/>
      <c r="AF260" s="1108"/>
      <c r="AG260" s="1108"/>
      <c r="AH260" s="1064" t="s">
        <v>3084</v>
      </c>
      <c r="AI260" s="1058"/>
      <c r="AJ260" s="1058"/>
      <c r="AK260" s="965"/>
      <c r="AL260" s="965"/>
      <c r="AM260" s="1806"/>
      <c r="AN260" s="1806"/>
      <c r="AO260" s="1806"/>
      <c r="AP260" s="1806"/>
    </row>
    <row s="1806" customFormat="1" customHeight="1" ht="14.25">
      <c r="A261" s="667"/>
      <c r="B261" s="488"/>
      <c r="C261" s="488"/>
      <c r="D261" s="488"/>
      <c r="E261" s="649">
        <v>15</v>
      </c>
      <c r="F261" s="523" cm="1" t="str">
        <f t="array" ref="F261:F261">OFFSET(E261,-1,1)</f>
        <v>2</v>
      </c>
      <c r="G261" s="488"/>
      <c r="H261" s="488"/>
      <c r="I261" s="488"/>
      <c r="J261" s="488"/>
      <c r="K261" s="488"/>
      <c r="L261" s="488"/>
      <c r="M261" s="488"/>
      <c r="N261" s="488"/>
      <c r="O261" s="488"/>
      <c r="P261" s="488"/>
      <c r="Q261" s="488"/>
      <c r="R261" s="488"/>
      <c r="S261" s="488"/>
      <c r="T261" s="465" cm="1" t="str">
        <f t="array" ref="T261:T261">T260</f>
        <v>true</v>
      </c>
      <c r="U261" s="488"/>
      <c r="V261" s="488"/>
      <c r="W261" s="488"/>
      <c r="X261" s="1596"/>
      <c r="Y261" s="488"/>
      <c r="Z261" s="1597"/>
      <c r="AA261" s="488"/>
      <c r="AB261" s="1270" t="s">
        <v>2743</v>
      </c>
      <c r="AC261" s="1273" t="s">
        <v>2744</v>
      </c>
      <c r="AD261" s="1272" t="s">
        <v>1514</v>
      </c>
      <c r="AE261" s="558"/>
      <c r="AF261" s="1108"/>
      <c r="AG261" s="1108"/>
      <c r="AH261" s="1064" t="s">
        <v>3085</v>
      </c>
      <c r="AI261" s="1058"/>
      <c r="AJ261" s="1058"/>
      <c r="AK261" s="965"/>
      <c r="AL261" s="965"/>
      <c r="AM261" s="1806"/>
      <c r="AN261" s="1806"/>
      <c r="AO261" s="1806"/>
      <c r="AP261" s="1806"/>
    </row>
    <row s="1806" customFormat="1" customHeight="1" ht="14.25">
      <c r="A262" s="667"/>
      <c r="B262" s="488"/>
      <c r="C262" s="488"/>
      <c r="D262" s="488"/>
      <c r="E262" s="649">
        <v>15</v>
      </c>
      <c r="F262" s="523" cm="1" t="str">
        <f t="array" ref="F262:F262">OFFSET(E262,-1,1)</f>
        <v>2</v>
      </c>
      <c r="G262" s="488"/>
      <c r="H262" s="488"/>
      <c r="I262" s="488"/>
      <c r="J262" s="488"/>
      <c r="K262" s="488"/>
      <c r="L262" s="488"/>
      <c r="M262" s="488"/>
      <c r="N262" s="488"/>
      <c r="O262" s="488"/>
      <c r="P262" s="488"/>
      <c r="Q262" s="488"/>
      <c r="R262" s="488"/>
      <c r="S262" s="488"/>
      <c r="T262" s="465" cm="1" t="str">
        <f t="array" ref="T262:T262">T261</f>
        <v>true</v>
      </c>
      <c r="U262" s="488"/>
      <c r="V262" s="488"/>
      <c r="W262" s="488"/>
      <c r="X262" s="1596"/>
      <c r="Y262" s="488"/>
      <c r="Z262" s="1597"/>
      <c r="AA262" s="488"/>
      <c r="AB262" s="1270" t="s">
        <v>2746</v>
      </c>
      <c r="AC262" s="1273" t="s">
        <v>2747</v>
      </c>
      <c r="AD262" s="1272" t="s">
        <v>1514</v>
      </c>
      <c r="AE262" s="558"/>
      <c r="AF262" s="1108"/>
      <c r="AG262" s="1108"/>
      <c r="AH262" s="1064" t="s">
        <v>3086</v>
      </c>
      <c r="AI262" s="1058"/>
      <c r="AJ262" s="1058"/>
      <c r="AK262" s="965"/>
      <c r="AL262" s="965"/>
      <c r="AM262" s="1806"/>
      <c r="AN262" s="1806"/>
      <c r="AO262" s="1806"/>
      <c r="AP262" s="1806"/>
    </row>
    <row s="1806" customFormat="1" customHeight="1" ht="26.25">
      <c r="A263" s="667"/>
      <c r="B263" s="488"/>
      <c r="C263" s="488"/>
      <c r="D263" s="488"/>
      <c r="E263" s="649">
        <v>27</v>
      </c>
      <c r="F263" s="523" cm="1" t="str">
        <f t="array" ref="F263:F263">OFFSET(E263,-1,1)</f>
        <v>2</v>
      </c>
      <c r="G263" s="488"/>
      <c r="H263" s="488"/>
      <c r="I263" s="488"/>
      <c r="J263" s="488"/>
      <c r="K263" s="488"/>
      <c r="L263" s="488"/>
      <c r="M263" s="488"/>
      <c r="N263" s="488"/>
      <c r="O263" s="488"/>
      <c r="P263" s="488"/>
      <c r="Q263" s="488"/>
      <c r="R263" s="488"/>
      <c r="S263" s="488"/>
      <c r="T263" s="465" cm="1" t="str">
        <f t="array" ref="T263:T263">T262</f>
        <v>true</v>
      </c>
      <c r="U263" s="488"/>
      <c r="V263" s="488"/>
      <c r="W263" s="488"/>
      <c r="X263" s="1596"/>
      <c r="Y263" s="488"/>
      <c r="Z263" s="1597"/>
      <c r="AA263" s="488"/>
      <c r="AB263" s="1270" t="s">
        <v>2749</v>
      </c>
      <c r="AC263" s="1273" t="s">
        <v>2750</v>
      </c>
      <c r="AD263" s="1272" t="s">
        <v>1514</v>
      </c>
      <c r="AE263" s="558"/>
      <c r="AF263" s="1108"/>
      <c r="AG263" s="1108"/>
      <c r="AH263" s="1064" t="s">
        <v>3087</v>
      </c>
      <c r="AI263" s="1058"/>
      <c r="AJ263" s="1058"/>
      <c r="AK263" s="965"/>
      <c r="AL263" s="965"/>
      <c r="AM263" s="1806"/>
      <c r="AN263" s="1806"/>
      <c r="AO263" s="1806"/>
      <c r="AP263" s="1806"/>
    </row>
    <row s="1806" customFormat="1" customHeight="1" ht="14.25">
      <c r="A264" s="667"/>
      <c r="B264" s="488"/>
      <c r="C264" s="488"/>
      <c r="D264" s="488"/>
      <c r="E264" s="649">
        <v>15</v>
      </c>
      <c r="F264" s="523" cm="1" t="str">
        <f t="array" ref="F264:F264">OFFSET(E264,-1,1)</f>
        <v>2</v>
      </c>
      <c r="G264" s="488"/>
      <c r="H264" s="488"/>
      <c r="I264" s="488"/>
      <c r="J264" s="488"/>
      <c r="K264" s="488"/>
      <c r="L264" s="488"/>
      <c r="M264" s="488"/>
      <c r="N264" s="488"/>
      <c r="O264" s="488"/>
      <c r="P264" s="488"/>
      <c r="Q264" s="488"/>
      <c r="R264" s="488"/>
      <c r="S264" s="488"/>
      <c r="T264" s="465" cm="1" t="str">
        <f t="array" ref="T264:T264">T263</f>
        <v>true</v>
      </c>
      <c r="U264" s="488"/>
      <c r="V264" s="488"/>
      <c r="W264" s="488"/>
      <c r="X264" s="1596"/>
      <c r="Y264" s="488"/>
      <c r="Z264" s="1597"/>
      <c r="AA264" s="488"/>
      <c r="AB264" s="1270" t="s">
        <v>2753</v>
      </c>
      <c r="AC264" s="1273" t="s">
        <v>2754</v>
      </c>
      <c r="AD264" s="1272" t="s">
        <v>1514</v>
      </c>
      <c r="AE264" s="558"/>
      <c r="AF264" s="1108"/>
      <c r="AG264" s="1108"/>
      <c r="AH264" s="1064" t="s">
        <v>3088</v>
      </c>
      <c r="AI264" s="1058"/>
      <c r="AJ264" s="1058"/>
      <c r="AK264" s="965"/>
      <c r="AL264" s="965"/>
      <c r="AM264" s="1806"/>
      <c r="AN264" s="1806"/>
      <c r="AO264" s="1806"/>
      <c r="AP264" s="1806"/>
    </row>
    <row s="1806" customFormat="1" customHeight="1" ht="14.25">
      <c r="A265" s="667"/>
      <c r="B265" s="488"/>
      <c r="C265" s="488"/>
      <c r="D265" s="488"/>
      <c r="E265" s="649">
        <v>15</v>
      </c>
      <c r="F265" s="523" cm="1" t="str">
        <f t="array" ref="F265:F265">OFFSET(E265,-1,1)</f>
        <v>2</v>
      </c>
      <c r="G265" s="488"/>
      <c r="H265" s="488"/>
      <c r="I265" s="488"/>
      <c r="J265" s="488"/>
      <c r="K265" s="488"/>
      <c r="L265" s="488"/>
      <c r="M265" s="488"/>
      <c r="N265" s="488"/>
      <c r="O265" s="488"/>
      <c r="P265" s="488"/>
      <c r="Q265" s="488"/>
      <c r="R265" s="488"/>
      <c r="S265" s="488"/>
      <c r="T265" s="465" cm="1" t="str">
        <f t="array" ref="T265:T265">T264</f>
        <v>true</v>
      </c>
      <c r="U265" s="488"/>
      <c r="V265" s="488"/>
      <c r="W265" s="488"/>
      <c r="X265" s="1596"/>
      <c r="Y265" s="488"/>
      <c r="Z265" s="1597"/>
      <c r="AA265" s="488"/>
      <c r="AB265" s="1270" t="s">
        <v>2757</v>
      </c>
      <c r="AC265" s="1273" t="s">
        <v>2758</v>
      </c>
      <c r="AD265" s="1272" t="s">
        <v>1514</v>
      </c>
      <c r="AE265" s="558"/>
      <c r="AF265" s="1108"/>
      <c r="AG265" s="1108"/>
      <c r="AH265" s="1064" t="s">
        <v>3089</v>
      </c>
      <c r="AI265" s="1058"/>
      <c r="AJ265" s="1058"/>
      <c r="AK265" s="965"/>
      <c r="AL265" s="965"/>
      <c r="AM265" s="1806"/>
      <c r="AN265" s="1806"/>
      <c r="AO265" s="1806"/>
      <c r="AP265" s="1806"/>
    </row>
    <row s="1806" customFormat="1" customHeight="1" ht="14.25">
      <c r="A266" s="667"/>
      <c r="B266" s="488"/>
      <c r="C266" s="488"/>
      <c r="D266" s="488"/>
      <c r="E266" s="649">
        <v>15</v>
      </c>
      <c r="F266" s="523" cm="1" t="str">
        <f t="array" ref="F266:F266">OFFSET(E266,-1,1)</f>
        <v>2</v>
      </c>
      <c r="G266" s="488"/>
      <c r="H266" s="488"/>
      <c r="I266" s="488"/>
      <c r="J266" s="488"/>
      <c r="K266" s="488"/>
      <c r="L266" s="488"/>
      <c r="M266" s="488"/>
      <c r="N266" s="488"/>
      <c r="O266" s="488"/>
      <c r="P266" s="488"/>
      <c r="Q266" s="488"/>
      <c r="R266" s="488"/>
      <c r="S266" s="488"/>
      <c r="T266" s="465" cm="1" t="str">
        <f t="array" ref="T266:T266">T265</f>
        <v>true</v>
      </c>
      <c r="U266" s="488"/>
      <c r="V266" s="488"/>
      <c r="W266" s="488"/>
      <c r="X266" s="1596"/>
      <c r="Y266" s="488"/>
      <c r="Z266" s="1597"/>
      <c r="AA266" s="488"/>
      <c r="AB266" s="1270" t="s">
        <v>2760</v>
      </c>
      <c r="AC266" s="1273" t="s">
        <v>2761</v>
      </c>
      <c r="AD266" s="1272" t="s">
        <v>1514</v>
      </c>
      <c r="AE266" s="558"/>
      <c r="AF266" s="1108"/>
      <c r="AG266" s="1108"/>
      <c r="AH266" s="1064" t="s">
        <v>3090</v>
      </c>
      <c r="AI266" s="1058"/>
      <c r="AJ266" s="1058"/>
      <c r="AK266" s="965"/>
      <c r="AL266" s="965"/>
      <c r="AM266" s="1806"/>
      <c r="AN266" s="1806"/>
      <c r="AO266" s="1806"/>
      <c r="AP266" s="1806"/>
    </row>
    <row s="1806" customFormat="1" customHeight="1" ht="14.25">
      <c r="A267" s="667"/>
      <c r="B267" s="488"/>
      <c r="C267" s="488"/>
      <c r="D267" s="488"/>
      <c r="E267" s="649">
        <v>15</v>
      </c>
      <c r="F267" s="523" cm="1" t="str">
        <f t="array" ref="F267:F267">OFFSET(E267,-1,1)</f>
        <v>2</v>
      </c>
      <c r="G267" s="488"/>
      <c r="H267" s="488"/>
      <c r="I267" s="488"/>
      <c r="J267" s="488"/>
      <c r="K267" s="488"/>
      <c r="L267" s="488"/>
      <c r="M267" s="488"/>
      <c r="N267" s="488"/>
      <c r="O267" s="488"/>
      <c r="P267" s="488"/>
      <c r="Q267" s="488"/>
      <c r="R267" s="488"/>
      <c r="S267" s="488"/>
      <c r="T267" s="465" cm="1" t="str">
        <f t="array" ref="T267:T267">T266</f>
        <v>true</v>
      </c>
      <c r="U267" s="488"/>
      <c r="V267" s="488"/>
      <c r="W267" s="488"/>
      <c r="X267" s="1596"/>
      <c r="Y267" s="488"/>
      <c r="Z267" s="1597"/>
      <c r="AA267" s="488"/>
      <c r="AB267" s="1270" t="s">
        <v>2763</v>
      </c>
      <c r="AC267" s="1273" t="s">
        <v>2764</v>
      </c>
      <c r="AD267" s="1272" t="s">
        <v>1514</v>
      </c>
      <c r="AE267" s="558"/>
      <c r="AF267" s="1108"/>
      <c r="AG267" s="1108"/>
      <c r="AH267" s="1064" t="s">
        <v>3091</v>
      </c>
      <c r="AI267" s="1058"/>
      <c r="AJ267" s="1058"/>
      <c r="AK267" s="965"/>
      <c r="AL267" s="965"/>
      <c r="AM267" s="1806"/>
      <c r="AN267" s="1806"/>
      <c r="AO267" s="1806"/>
      <c r="AP267" s="1806"/>
    </row>
    <row s="1806" customFormat="1" customHeight="1" ht="14.25">
      <c r="A268" s="667"/>
      <c r="B268" s="488"/>
      <c r="C268" s="488"/>
      <c r="D268" s="488"/>
      <c r="E268" s="649">
        <v>15</v>
      </c>
      <c r="F268" s="523" cm="1" t="str">
        <f t="array" ref="F268:F268">OFFSET(E268,-1,1)</f>
        <v>2</v>
      </c>
      <c r="G268" s="488"/>
      <c r="H268" s="488"/>
      <c r="I268" s="488"/>
      <c r="J268" s="488"/>
      <c r="K268" s="488"/>
      <c r="L268" s="488"/>
      <c r="M268" s="488"/>
      <c r="N268" s="488"/>
      <c r="O268" s="488"/>
      <c r="P268" s="488"/>
      <c r="Q268" s="488"/>
      <c r="R268" s="488"/>
      <c r="S268" s="488"/>
      <c r="T268" s="465" cm="1" t="str">
        <f t="array" ref="T268:T268">T267</f>
        <v>true</v>
      </c>
      <c r="U268" s="488"/>
      <c r="V268" s="488"/>
      <c r="W268" s="488"/>
      <c r="X268" s="1596"/>
      <c r="Y268" s="488"/>
      <c r="Z268" s="1597"/>
      <c r="AA268" s="488"/>
      <c r="AB268" s="1270" t="s">
        <v>2765</v>
      </c>
      <c r="AC268" s="1273" t="s">
        <v>2766</v>
      </c>
      <c r="AD268" s="1272" t="s">
        <v>1514</v>
      </c>
      <c r="AE268" s="558"/>
      <c r="AF268" s="1108"/>
      <c r="AG268" s="1108"/>
      <c r="AH268" s="1064" t="s">
        <v>3092</v>
      </c>
      <c r="AI268" s="1058"/>
      <c r="AJ268" s="1058"/>
      <c r="AK268" s="965"/>
      <c r="AL268" s="965"/>
      <c r="AM268" s="1806"/>
      <c r="AN268" s="1806"/>
      <c r="AO268" s="1806"/>
      <c r="AP268" s="1806"/>
    </row>
    <row s="1806" customFormat="1" customHeight="1" ht="14.25">
      <c r="A269" s="667"/>
      <c r="B269" s="488"/>
      <c r="C269" s="488"/>
      <c r="D269" s="488"/>
      <c r="E269" s="649">
        <v>15</v>
      </c>
      <c r="F269" s="523" cm="1" t="str">
        <f t="array" ref="F269:F269">OFFSET(E269,-1,1)</f>
        <v>2</v>
      </c>
      <c r="G269" s="488"/>
      <c r="H269" s="488"/>
      <c r="I269" s="488"/>
      <c r="J269" s="488"/>
      <c r="K269" s="488"/>
      <c r="L269" s="488"/>
      <c r="M269" s="488"/>
      <c r="N269" s="488"/>
      <c r="O269" s="488"/>
      <c r="P269" s="488"/>
      <c r="Q269" s="488"/>
      <c r="R269" s="488"/>
      <c r="S269" s="488"/>
      <c r="T269" s="465" cm="1" t="str">
        <f t="array" ref="T269:T269">T268</f>
        <v>true</v>
      </c>
      <c r="U269" s="488"/>
      <c r="V269" s="488"/>
      <c r="W269" s="488"/>
      <c r="X269" s="1596"/>
      <c r="Y269" s="488"/>
      <c r="Z269" s="1597"/>
      <c r="AA269" s="488"/>
      <c r="AB269" s="1270" t="s">
        <v>1254</v>
      </c>
      <c r="AC269" s="1271" t="s">
        <v>2767</v>
      </c>
      <c r="AD269" s="1272" t="s">
        <v>1514</v>
      </c>
      <c r="AE269" s="558"/>
      <c r="AF269" s="1108"/>
      <c r="AG269" s="1108"/>
      <c r="AH269" s="1064" t="s">
        <v>3093</v>
      </c>
      <c r="AI269" s="1058"/>
      <c r="AJ269" s="1058"/>
      <c r="AK269" s="965"/>
      <c r="AL269" s="965"/>
      <c r="AM269" s="1806"/>
      <c r="AN269" s="1806"/>
      <c r="AO269" s="1806"/>
      <c r="AP269" s="1806"/>
    </row>
    <row s="1834" customFormat="1" customHeight="1" ht="14.25">
      <c r="A270" s="667"/>
      <c r="B270" s="1459"/>
      <c r="C270" s="1459"/>
      <c r="D270" s="1459"/>
      <c r="E270" s="649">
        <v>15</v>
      </c>
      <c r="F270" s="50" cm="1" t="str">
        <f t="array" ref="F270:F270">OFFSET(E270,-1,1)</f>
        <v>2</v>
      </c>
      <c r="G270" s="1459"/>
      <c r="H270" s="488" t="s">
        <v>1196</v>
      </c>
      <c r="I270" s="1459"/>
      <c r="J270" s="1459"/>
      <c r="K270" s="1459"/>
      <c r="L270" s="1459"/>
      <c r="M270" s="1459"/>
      <c r="N270" s="1459"/>
      <c r="O270" s="1459"/>
      <c r="P270" s="1459"/>
      <c r="Q270" s="1459"/>
      <c r="R270" s="1459"/>
      <c r="S270" s="1459"/>
      <c r="T270" s="465" cm="1" t="str">
        <f t="array" ref="T270:T270">T256</f>
        <v>true</v>
      </c>
      <c r="U270" s="1459"/>
      <c r="V270" s="1459"/>
      <c r="W270" s="1459"/>
      <c r="X270" s="1596"/>
      <c r="Y270" s="1459"/>
      <c r="Z270" s="1597"/>
      <c r="AA270" s="1459"/>
      <c r="AB270" s="714" t="s">
        <v>1258</v>
      </c>
      <c r="AC270" s="547" t="s">
        <v>3094</v>
      </c>
      <c r="AD270" s="548" t="s">
        <v>1514</v>
      </c>
      <c r="AE270" s="557">
        <f>SUM(AE271:AE279)</f>
        <v>0</v>
      </c>
      <c r="AF270" s="1442"/>
      <c r="AG270" s="1442"/>
      <c r="AH270" s="1070" t="s">
        <v>1999</v>
      </c>
      <c r="AI270" s="1811"/>
      <c r="AJ270" s="1811"/>
      <c r="AK270" s="1444"/>
      <c r="AL270" s="1444"/>
      <c r="AM270" s="1834"/>
      <c r="AN270" s="1834"/>
      <c r="AO270" s="1834"/>
      <c r="AP270" s="1834"/>
    </row>
    <row s="1834" customFormat="1" customHeight="1" ht="14.25">
      <c r="A271" s="667"/>
      <c r="B271" s="1459"/>
      <c r="C271" s="1459"/>
      <c r="D271" s="1459"/>
      <c r="E271" s="649">
        <v>15</v>
      </c>
      <c r="F271" s="50" cm="1" t="str">
        <f t="array" ref="F271:F271">OFFSET(E271,-1,1)</f>
        <v>2</v>
      </c>
      <c r="G271" s="1459"/>
      <c r="H271" s="488" t="s">
        <v>2507</v>
      </c>
      <c r="I271" s="1459"/>
      <c r="J271" s="1459"/>
      <c r="K271" s="1459"/>
      <c r="L271" s="1459"/>
      <c r="M271" s="1459"/>
      <c r="N271" s="1459"/>
      <c r="O271" s="1459"/>
      <c r="P271" s="1459"/>
      <c r="Q271" s="1459"/>
      <c r="R271" s="1459"/>
      <c r="S271" s="1459"/>
      <c r="T271" s="465" cm="1" t="str">
        <f t="array" ref="T271:T271">T270</f>
        <v>true</v>
      </c>
      <c r="U271" s="1459"/>
      <c r="V271" s="1459"/>
      <c r="W271" s="1459"/>
      <c r="X271" s="1596"/>
      <c r="Y271" s="1459"/>
      <c r="Z271" s="1597"/>
      <c r="AA271" s="1459"/>
      <c r="AB271" s="714" t="s">
        <v>1212</v>
      </c>
      <c r="AC271" s="549" t="s">
        <v>2014</v>
      </c>
      <c r="AD271" s="548" t="s">
        <v>1514</v>
      </c>
      <c r="AE271" s="1332"/>
      <c r="AF271" s="1442"/>
      <c r="AG271" s="1442"/>
      <c r="AH271" s="1064" t="s">
        <v>2770</v>
      </c>
      <c r="AI271" s="1811"/>
      <c r="AJ271" s="1811"/>
      <c r="AK271" s="1444"/>
      <c r="AL271" s="1444"/>
      <c r="AM271" s="1834"/>
      <c r="AN271" s="1834"/>
      <c r="AO271" s="1834"/>
      <c r="AP271" s="1834"/>
    </row>
    <row s="1834" customFormat="1" customHeight="1" ht="14.25">
      <c r="A272" s="667"/>
      <c r="B272" s="1459"/>
      <c r="C272" s="1459"/>
      <c r="D272" s="1459"/>
      <c r="E272" s="649">
        <v>15</v>
      </c>
      <c r="F272" s="50" cm="1" t="str">
        <f t="array" ref="F272:F272">OFFSET(E272,-1,1)</f>
        <v>2</v>
      </c>
      <c r="G272" s="1459"/>
      <c r="H272" s="488" t="s">
        <v>2510</v>
      </c>
      <c r="I272" s="1459"/>
      <c r="J272" s="1459"/>
      <c r="K272" s="1459"/>
      <c r="L272" s="1459"/>
      <c r="M272" s="1459"/>
      <c r="N272" s="1459"/>
      <c r="O272" s="1459"/>
      <c r="P272" s="1459"/>
      <c r="Q272" s="1459"/>
      <c r="R272" s="1459"/>
      <c r="S272" s="1459"/>
      <c r="T272" s="465" cm="1" t="str">
        <f t="array" ref="T272:T272">T271</f>
        <v>true</v>
      </c>
      <c r="U272" s="1459"/>
      <c r="V272" s="1459"/>
      <c r="W272" s="1459"/>
      <c r="X272" s="1596"/>
      <c r="Y272" s="1459"/>
      <c r="Z272" s="1597"/>
      <c r="AA272" s="1459"/>
      <c r="AB272" s="714" t="s">
        <v>2225</v>
      </c>
      <c r="AC272" s="549" t="s">
        <v>3095</v>
      </c>
      <c r="AD272" s="548" t="s">
        <v>1514</v>
      </c>
      <c r="AE272" s="1332"/>
      <c r="AF272" s="1442"/>
      <c r="AG272" s="1442"/>
      <c r="AH272" s="1064" t="s">
        <v>2773</v>
      </c>
      <c r="AI272" s="1811"/>
      <c r="AJ272" s="1811"/>
      <c r="AK272" s="1444"/>
      <c r="AL272" s="1444"/>
      <c r="AM272" s="1834"/>
      <c r="AN272" s="1834"/>
      <c r="AO272" s="1834"/>
      <c r="AP272" s="1834"/>
    </row>
    <row s="1834" customFormat="1" customHeight="1" ht="14.25">
      <c r="A273" s="667"/>
      <c r="B273" s="1459"/>
      <c r="C273" s="1459"/>
      <c r="D273" s="1459"/>
      <c r="E273" s="649">
        <v>15</v>
      </c>
      <c r="F273" s="50" cm="1" t="str">
        <f t="array" ref="F273:F273">OFFSET(E273,-1,1)</f>
        <v>2</v>
      </c>
      <c r="G273" s="1459"/>
      <c r="H273" s="488" t="s">
        <v>3096</v>
      </c>
      <c r="I273" s="1459"/>
      <c r="J273" s="1459"/>
      <c r="K273" s="1459"/>
      <c r="L273" s="1459"/>
      <c r="M273" s="1459"/>
      <c r="N273" s="1459"/>
      <c r="O273" s="1459"/>
      <c r="P273" s="1459"/>
      <c r="Q273" s="1459"/>
      <c r="R273" s="1459"/>
      <c r="S273" s="1459"/>
      <c r="T273" s="465" cm="1" t="str">
        <f t="array" ref="T273:T273">T272</f>
        <v>true</v>
      </c>
      <c r="U273" s="1459"/>
      <c r="V273" s="1459"/>
      <c r="W273" s="1459"/>
      <c r="X273" s="1596"/>
      <c r="Y273" s="1459"/>
      <c r="Z273" s="1597"/>
      <c r="AA273" s="1459"/>
      <c r="AB273" s="714" t="s">
        <v>2230</v>
      </c>
      <c r="AC273" s="549" t="s">
        <v>3097</v>
      </c>
      <c r="AD273" s="548" t="s">
        <v>1514</v>
      </c>
      <c r="AE273" s="1332"/>
      <c r="AF273" s="1442"/>
      <c r="AG273" s="1442"/>
      <c r="AH273" s="1064" t="s">
        <v>2776</v>
      </c>
      <c r="AI273" s="1811"/>
      <c r="AJ273" s="1811"/>
      <c r="AK273" s="1444"/>
      <c r="AL273" s="1444"/>
      <c r="AM273" s="1834"/>
      <c r="AN273" s="1834"/>
      <c r="AO273" s="1834"/>
      <c r="AP273" s="1834"/>
    </row>
    <row s="1834" customFormat="1" customHeight="1" ht="14.25">
      <c r="A274" s="667"/>
      <c r="B274" s="1459"/>
      <c r="C274" s="1459"/>
      <c r="D274" s="1459"/>
      <c r="E274" s="649">
        <v>15</v>
      </c>
      <c r="F274" s="50" cm="1" t="str">
        <f t="array" ref="F274:F274">OFFSET(E274,-1,1)</f>
        <v>2</v>
      </c>
      <c r="G274" s="1459"/>
      <c r="H274" s="488" t="s">
        <v>3098</v>
      </c>
      <c r="I274" s="1459"/>
      <c r="J274" s="1459"/>
      <c r="K274" s="1459"/>
      <c r="L274" s="1459"/>
      <c r="M274" s="1459"/>
      <c r="N274" s="1459"/>
      <c r="O274" s="1459"/>
      <c r="P274" s="1459"/>
      <c r="Q274" s="1459"/>
      <c r="R274" s="1459"/>
      <c r="S274" s="1459"/>
      <c r="T274" s="465" cm="1" t="str">
        <f t="array" ref="T274:T274">T273</f>
        <v>true</v>
      </c>
      <c r="U274" s="1459"/>
      <c r="V274" s="1459"/>
      <c r="W274" s="1459"/>
      <c r="X274" s="1596"/>
      <c r="Y274" s="1459"/>
      <c r="Z274" s="1597"/>
      <c r="AA274" s="1459"/>
      <c r="AB274" s="714" t="s">
        <v>2778</v>
      </c>
      <c r="AC274" s="549" t="s">
        <v>2007</v>
      </c>
      <c r="AD274" s="548" t="s">
        <v>1514</v>
      </c>
      <c r="AE274" s="1332"/>
      <c r="AF274" s="1442"/>
      <c r="AG274" s="1442"/>
      <c r="AH274" s="1064" t="s">
        <v>2780</v>
      </c>
      <c r="AI274" s="1811"/>
      <c r="AJ274" s="1811"/>
      <c r="AK274" s="1444"/>
      <c r="AL274" s="1444"/>
      <c r="AM274" s="1834"/>
      <c r="AN274" s="1834"/>
      <c r="AO274" s="1834"/>
      <c r="AP274" s="1834"/>
    </row>
    <row s="1834" customFormat="1" customHeight="1" ht="14.25">
      <c r="A275" s="667"/>
      <c r="B275" s="1459"/>
      <c r="C275" s="1459"/>
      <c r="D275" s="1459"/>
      <c r="E275" s="649">
        <v>15</v>
      </c>
      <c r="F275" s="50" cm="1" t="str">
        <f t="array" ref="F275:F275">OFFSET(E275,-1,1)</f>
        <v>2</v>
      </c>
      <c r="G275" s="1459"/>
      <c r="H275" s="488" t="s">
        <v>3099</v>
      </c>
      <c r="I275" s="1459"/>
      <c r="J275" s="1459"/>
      <c r="K275" s="1459"/>
      <c r="L275" s="1459"/>
      <c r="M275" s="1459"/>
      <c r="N275" s="1459"/>
      <c r="O275" s="1459"/>
      <c r="P275" s="1459"/>
      <c r="Q275" s="1459"/>
      <c r="R275" s="1459"/>
      <c r="S275" s="1459"/>
      <c r="T275" s="465" cm="1" t="str">
        <f t="array" ref="T275:T275">T274</f>
        <v>true</v>
      </c>
      <c r="U275" s="1459"/>
      <c r="V275" s="1459"/>
      <c r="W275" s="1459"/>
      <c r="X275" s="1596"/>
      <c r="Y275" s="1459"/>
      <c r="Z275" s="1597"/>
      <c r="AA275" s="1459"/>
      <c r="AB275" s="714" t="s">
        <v>2782</v>
      </c>
      <c r="AC275" s="549" t="s">
        <v>2009</v>
      </c>
      <c r="AD275" s="548" t="s">
        <v>1514</v>
      </c>
      <c r="AE275" s="1332"/>
      <c r="AF275" s="1442"/>
      <c r="AG275" s="1442"/>
      <c r="AH275" s="1064" t="s">
        <v>2784</v>
      </c>
      <c r="AI275" s="1811"/>
      <c r="AJ275" s="1811"/>
      <c r="AK275" s="1444"/>
      <c r="AL275" s="1444"/>
      <c r="AM275" s="1834"/>
      <c r="AN275" s="1834"/>
      <c r="AO275" s="1834"/>
      <c r="AP275" s="1834"/>
    </row>
    <row s="1834" customFormat="1" customHeight="1" ht="14.25">
      <c r="A276" s="667"/>
      <c r="B276" s="1459"/>
      <c r="C276" s="1459"/>
      <c r="D276" s="1459"/>
      <c r="E276" s="649">
        <v>15</v>
      </c>
      <c r="F276" s="50" cm="1" t="str">
        <f t="array" ref="F276:F276">OFFSET(E276,-1,1)</f>
        <v>2</v>
      </c>
      <c r="G276" s="1459"/>
      <c r="H276" s="488" t="s">
        <v>3100</v>
      </c>
      <c r="I276" s="1459"/>
      <c r="J276" s="1459"/>
      <c r="K276" s="1459"/>
      <c r="L276" s="1459"/>
      <c r="M276" s="1459"/>
      <c r="N276" s="1459"/>
      <c r="O276" s="1459"/>
      <c r="P276" s="1459"/>
      <c r="Q276" s="1459"/>
      <c r="R276" s="1459"/>
      <c r="S276" s="1459"/>
      <c r="T276" s="465" cm="1" t="str">
        <f t="array" ref="T276:T276">T275</f>
        <v>true</v>
      </c>
      <c r="U276" s="1459"/>
      <c r="V276" s="1459"/>
      <c r="W276" s="1459"/>
      <c r="X276" s="1596"/>
      <c r="Y276" s="1459"/>
      <c r="Z276" s="1597"/>
      <c r="AA276" s="1459"/>
      <c r="AB276" s="714" t="s">
        <v>2786</v>
      </c>
      <c r="AC276" s="549" t="s">
        <v>2000</v>
      </c>
      <c r="AD276" s="548" t="s">
        <v>1514</v>
      </c>
      <c r="AE276" s="1332"/>
      <c r="AF276" s="1442"/>
      <c r="AG276" s="1442"/>
      <c r="AH276" s="1064" t="s">
        <v>2788</v>
      </c>
      <c r="AI276" s="1811"/>
      <c r="AJ276" s="1811"/>
      <c r="AK276" s="1444"/>
      <c r="AL276" s="1444"/>
      <c r="AM276" s="1834"/>
      <c r="AN276" s="1834"/>
      <c r="AO276" s="1834"/>
      <c r="AP276" s="1834"/>
    </row>
    <row s="1806" customFormat="1" customHeight="1" ht="14.25">
      <c r="A277" s="667"/>
      <c r="B277" s="488"/>
      <c r="C277" s="488"/>
      <c r="D277" s="488"/>
      <c r="E277" s="649">
        <v>15</v>
      </c>
      <c r="F277" s="523" cm="1" t="str">
        <f t="array" ref="F277:F277">OFFSET(E277,-1,1)</f>
        <v>2</v>
      </c>
      <c r="G277" s="488"/>
      <c r="H277" s="488"/>
      <c r="I277" s="488"/>
      <c r="J277" s="488"/>
      <c r="K277" s="488"/>
      <c r="L277" s="488"/>
      <c r="M277" s="488"/>
      <c r="N277" s="488"/>
      <c r="O277" s="488"/>
      <c r="P277" s="488"/>
      <c r="Q277" s="488"/>
      <c r="R277" s="488"/>
      <c r="S277" s="488"/>
      <c r="T277" s="465" cm="1" t="str">
        <f t="array" ref="T277:T277">T276</f>
        <v>true</v>
      </c>
      <c r="U277" s="488"/>
      <c r="V277" s="488"/>
      <c r="W277" s="488"/>
      <c r="X277" s="1596"/>
      <c r="Y277" s="488"/>
      <c r="Z277" s="1597"/>
      <c r="AA277" s="488"/>
      <c r="AB277" s="1270" t="s">
        <v>2790</v>
      </c>
      <c r="AC277" s="1273" t="s">
        <v>3101</v>
      </c>
      <c r="AD277" s="1272" t="s">
        <v>1514</v>
      </c>
      <c r="AE277" s="558"/>
      <c r="AF277" s="1108"/>
      <c r="AG277" s="1108"/>
      <c r="AH277" s="1064" t="s">
        <v>2017</v>
      </c>
      <c r="AI277" s="1058"/>
      <c r="AJ277" s="1058"/>
      <c r="AK277" s="965"/>
      <c r="AL277" s="965"/>
      <c r="AM277" s="1806"/>
      <c r="AN277" s="1806"/>
      <c r="AO277" s="1806"/>
      <c r="AP277" s="1806"/>
    </row>
    <row s="1806" customFormat="1" customHeight="1" ht="14.25">
      <c r="A278" s="667"/>
      <c r="B278" s="488"/>
      <c r="C278" s="488"/>
      <c r="D278" s="488"/>
      <c r="E278" s="649">
        <v>15</v>
      </c>
      <c r="F278" s="523" cm="1" t="str">
        <f t="array" ref="F278:F278">OFFSET(E278,-1,1)</f>
        <v>2</v>
      </c>
      <c r="G278" s="488"/>
      <c r="H278" s="488"/>
      <c r="I278" s="488"/>
      <c r="J278" s="488"/>
      <c r="K278" s="488"/>
      <c r="L278" s="488"/>
      <c r="M278" s="488"/>
      <c r="N278" s="488"/>
      <c r="O278" s="488"/>
      <c r="P278" s="488"/>
      <c r="Q278" s="488"/>
      <c r="R278" s="488"/>
      <c r="S278" s="488"/>
      <c r="T278" s="465" cm="1" t="str">
        <f t="array" ref="T278:T278">T277</f>
        <v>true</v>
      </c>
      <c r="U278" s="488"/>
      <c r="V278" s="488"/>
      <c r="W278" s="488"/>
      <c r="X278" s="1596"/>
      <c r="Y278" s="488"/>
      <c r="Z278" s="1597"/>
      <c r="AA278" s="488"/>
      <c r="AB278" s="1270" t="s">
        <v>2794</v>
      </c>
      <c r="AC278" s="1273" t="s">
        <v>2018</v>
      </c>
      <c r="AD278" s="1272" t="s">
        <v>1514</v>
      </c>
      <c r="AE278" s="558"/>
      <c r="AF278" s="1108"/>
      <c r="AG278" s="1108"/>
      <c r="AH278" s="1064" t="s">
        <v>3102</v>
      </c>
      <c r="AI278" s="1058"/>
      <c r="AJ278" s="1058"/>
      <c r="AK278" s="965"/>
      <c r="AL278" s="965"/>
      <c r="AM278" s="1806"/>
      <c r="AN278" s="1806"/>
      <c r="AO278" s="1806"/>
      <c r="AP278" s="1806"/>
    </row>
    <row s="1834" customFormat="1" customHeight="1" ht="14.25">
      <c r="A279" s="667"/>
      <c r="B279" s="1459"/>
      <c r="C279" s="1459"/>
      <c r="D279" s="1459"/>
      <c r="E279" s="649">
        <v>15</v>
      </c>
      <c r="F279" s="50" cm="1" t="str">
        <f t="array" ref="F279:F279">OFFSET(E279,-1,1)</f>
        <v>2</v>
      </c>
      <c r="G279" s="1459"/>
      <c r="H279" s="488" t="s">
        <v>3103</v>
      </c>
      <c r="I279" s="1459"/>
      <c r="J279" s="1459"/>
      <c r="K279" s="1459"/>
      <c r="L279" s="1459"/>
      <c r="M279" s="1459"/>
      <c r="N279" s="1459"/>
      <c r="O279" s="1459"/>
      <c r="P279" s="1459"/>
      <c r="Q279" s="1459"/>
      <c r="R279" s="1459"/>
      <c r="S279" s="1459"/>
      <c r="T279" s="465" cm="1" t="str">
        <f t="array" ref="T279:T279">T276</f>
        <v>true</v>
      </c>
      <c r="U279" s="1459"/>
      <c r="V279" s="1459"/>
      <c r="W279" s="1459"/>
      <c r="X279" s="1596"/>
      <c r="Y279" s="1459"/>
      <c r="Z279" s="1597"/>
      <c r="AA279" s="1459"/>
      <c r="AB279" s="714" t="s">
        <v>2796</v>
      </c>
      <c r="AC279" s="549" t="s">
        <v>2020</v>
      </c>
      <c r="AD279" s="548" t="s">
        <v>1514</v>
      </c>
      <c r="AE279" s="1332"/>
      <c r="AF279" s="1442"/>
      <c r="AG279" s="1442"/>
      <c r="AH279" s="1064" t="s">
        <v>2802</v>
      </c>
      <c r="AI279" s="1811"/>
      <c r="AJ279" s="1811"/>
      <c r="AK279" s="1444"/>
      <c r="AL279" s="1444"/>
      <c r="AM279" s="1834"/>
      <c r="AN279" s="1834"/>
      <c r="AO279" s="1834"/>
      <c r="AP279" s="1834"/>
    </row>
    <row s="1834" customFormat="1" customHeight="1" ht="14.25">
      <c r="A280" s="667"/>
      <c r="B280" s="1459"/>
      <c r="C280" s="1459"/>
      <c r="D280" s="1459"/>
      <c r="E280" s="649">
        <v>15</v>
      </c>
      <c r="F280" s="50" cm="1" t="str">
        <f t="array" ref="F280:F280">OFFSET(E280,-1,1)</f>
        <v>2</v>
      </c>
      <c r="G280" s="1459"/>
      <c r="H280" s="488" t="s">
        <v>1648</v>
      </c>
      <c r="I280" s="1459"/>
      <c r="J280" s="1459"/>
      <c r="K280" s="1459"/>
      <c r="L280" s="1459"/>
      <c r="M280" s="1459"/>
      <c r="N280" s="1459"/>
      <c r="O280" s="1459"/>
      <c r="P280" s="1459"/>
      <c r="Q280" s="1459"/>
      <c r="R280" s="1459"/>
      <c r="S280" s="1459"/>
      <c r="T280" s="465" cm="1" t="str">
        <f t="array" ref="T280:T280">T279</f>
        <v>true</v>
      </c>
      <c r="U280" s="1459"/>
      <c r="V280" s="1459"/>
      <c r="W280" s="1459"/>
      <c r="X280" s="1596"/>
      <c r="Y280" s="1459"/>
      <c r="Z280" s="1597"/>
      <c r="AA280" s="1459"/>
      <c r="AB280" s="714" t="s">
        <v>1651</v>
      </c>
      <c r="AC280" s="549" t="s">
        <v>1750</v>
      </c>
      <c r="AD280" s="548" t="s">
        <v>1514</v>
      </c>
      <c r="AE280" s="1332"/>
      <c r="AF280" s="1442"/>
      <c r="AG280" s="1442"/>
      <c r="AH280" s="1064" t="s">
        <v>1946</v>
      </c>
      <c r="AI280" s="1811"/>
      <c r="AJ280" s="1811"/>
      <c r="AK280" s="1444"/>
      <c r="AL280" s="1444"/>
      <c r="AM280" s="1834"/>
      <c r="AN280" s="1834"/>
      <c r="AO280" s="1834"/>
      <c r="AP280" s="1834"/>
    </row>
    <row s="1834" customFormat="1" customHeight="1" ht="14.25">
      <c r="A281" s="667"/>
      <c r="B281" s="1459"/>
      <c r="C281" s="1459"/>
      <c r="D281" s="1459"/>
      <c r="E281" s="649">
        <v>15</v>
      </c>
      <c r="F281" s="50" cm="1" t="str">
        <f t="array" ref="F281:F281">OFFSET(E281,-1,1)</f>
        <v>2</v>
      </c>
      <c r="G281" s="1459"/>
      <c r="H281" s="488" t="s">
        <v>2805</v>
      </c>
      <c r="I281" s="1459"/>
      <c r="J281" s="1459"/>
      <c r="K281" s="1459"/>
      <c r="L281" s="1459"/>
      <c r="M281" s="1459"/>
      <c r="N281" s="1459"/>
      <c r="O281" s="1459"/>
      <c r="P281" s="1459"/>
      <c r="Q281" s="1459"/>
      <c r="R281" s="1459"/>
      <c r="S281" s="1459"/>
      <c r="T281" s="465" cm="1" t="str">
        <f t="array" ref="T281:T281">T280</f>
        <v>true</v>
      </c>
      <c r="U281" s="1459"/>
      <c r="V281" s="1459"/>
      <c r="W281" s="1459"/>
      <c r="X281" s="1596"/>
      <c r="Y281" s="1459"/>
      <c r="Z281" s="1597"/>
      <c r="AA281" s="1459"/>
      <c r="AB281" s="714" t="s">
        <v>1654</v>
      </c>
      <c r="AC281" s="547" t="s">
        <v>2197</v>
      </c>
      <c r="AD281" s="548" t="s">
        <v>1514</v>
      </c>
      <c r="AE281" s="1332"/>
      <c r="AF281" s="1442"/>
      <c r="AG281" s="1442"/>
      <c r="AH281" s="1071" t="s">
        <v>2551</v>
      </c>
      <c r="AI281" s="1811"/>
      <c r="AJ281" s="1811"/>
      <c r="AK281" s="1444"/>
      <c r="AL281" s="1444"/>
      <c r="AM281" s="1834"/>
      <c r="AN281" s="1834"/>
      <c r="AO281" s="1834"/>
      <c r="AP281" s="1834"/>
    </row>
    <row s="1834" customFormat="1" customHeight="1" ht="14.25">
      <c r="A282" s="667"/>
      <c r="B282" s="1459"/>
      <c r="C282" s="1459"/>
      <c r="D282" s="1459"/>
      <c r="E282" s="649">
        <v>15</v>
      </c>
      <c r="F282" s="50" cm="1" t="str">
        <f t="array" ref="F282:F282">OFFSET(E282,-1,1)</f>
        <v>2</v>
      </c>
      <c r="G282" s="1459"/>
      <c r="H282" s="488" t="s">
        <v>2813</v>
      </c>
      <c r="I282" s="1459"/>
      <c r="J282" s="1459"/>
      <c r="K282" s="1459"/>
      <c r="L282" s="1459"/>
      <c r="M282" s="1459"/>
      <c r="N282" s="1459"/>
      <c r="O282" s="1459"/>
      <c r="P282" s="1459"/>
      <c r="Q282" s="1459"/>
      <c r="R282" s="1459"/>
      <c r="S282" s="1459"/>
      <c r="T282" s="465" cm="1" t="str">
        <f t="array" ref="T282:T282">T281</f>
        <v>true</v>
      </c>
      <c r="U282" s="1459"/>
      <c r="V282" s="1459"/>
      <c r="W282" s="1459"/>
      <c r="X282" s="1596"/>
      <c r="Y282" s="1459"/>
      <c r="Z282" s="1597"/>
      <c r="AA282" s="1459"/>
      <c r="AB282" s="714" t="s">
        <v>2245</v>
      </c>
      <c r="AC282" s="547" t="s">
        <v>2207</v>
      </c>
      <c r="AD282" s="548" t="s">
        <v>1514</v>
      </c>
      <c r="AE282" s="557">
        <f>AE283+AE284</f>
        <v>0</v>
      </c>
      <c r="AF282" s="1442"/>
      <c r="AG282" s="1442"/>
      <c r="AH282" s="1064" t="s">
        <v>2818</v>
      </c>
      <c r="AI282" s="1811"/>
      <c r="AJ282" s="1811"/>
      <c r="AK282" s="1444"/>
      <c r="AL282" s="1444"/>
      <c r="AM282" s="1834"/>
      <c r="AN282" s="1834"/>
      <c r="AO282" s="1834"/>
      <c r="AP282" s="1834"/>
    </row>
    <row s="1834" customFormat="1" customHeight="1" ht="14.25">
      <c r="A283" s="667"/>
      <c r="B283" s="1459"/>
      <c r="C283" s="1459"/>
      <c r="D283" s="1459"/>
      <c r="E283" s="649">
        <v>15</v>
      </c>
      <c r="F283" s="50" cm="1" t="str">
        <f t="array" ref="F283:F283">OFFSET(E283,-1,1)</f>
        <v>2</v>
      </c>
      <c r="G283" s="1459"/>
      <c r="H283" s="488" t="s">
        <v>3104</v>
      </c>
      <c r="I283" s="1459"/>
      <c r="J283" s="1459"/>
      <c r="K283" s="1459"/>
      <c r="L283" s="1459"/>
      <c r="M283" s="1459"/>
      <c r="N283" s="1459"/>
      <c r="O283" s="1459"/>
      <c r="P283" s="1459"/>
      <c r="Q283" s="1459"/>
      <c r="R283" s="1459"/>
      <c r="S283" s="1459"/>
      <c r="T283" s="465" cm="1" t="str">
        <f t="array" ref="T283:T283">T282</f>
        <v>true</v>
      </c>
      <c r="U283" s="1459"/>
      <c r="V283" s="1459"/>
      <c r="W283" s="1459"/>
      <c r="X283" s="1596"/>
      <c r="Y283" s="1459"/>
      <c r="Z283" s="1597"/>
      <c r="AA283" s="1459"/>
      <c r="AB283" s="714" t="s">
        <v>2809</v>
      </c>
      <c r="AC283" s="549" t="s">
        <v>3105</v>
      </c>
      <c r="AD283" s="548" t="s">
        <v>1514</v>
      </c>
      <c r="AE283" s="1332"/>
      <c r="AF283" s="1442"/>
      <c r="AG283" s="1442"/>
      <c r="AH283" s="1064" t="s">
        <v>1991</v>
      </c>
      <c r="AI283" s="1811"/>
      <c r="AJ283" s="1811"/>
      <c r="AK283" s="1444"/>
      <c r="AL283" s="1444"/>
      <c r="AM283" s="1834"/>
      <c r="AN283" s="1834"/>
      <c r="AO283" s="1834"/>
      <c r="AP283" s="1834"/>
    </row>
    <row s="1834" customFormat="1" customHeight="1" ht="21.75">
      <c r="A284" s="667"/>
      <c r="B284" s="1459"/>
      <c r="C284" s="1459"/>
      <c r="D284" s="1459"/>
      <c r="E284" s="649">
        <v>22.5</v>
      </c>
      <c r="F284" s="50" cm="1" t="str">
        <f t="array" ref="F284:F284">OFFSET(E284,-1,1)</f>
        <v>2</v>
      </c>
      <c r="G284" s="1459"/>
      <c r="H284" s="488" t="s">
        <v>3106</v>
      </c>
      <c r="I284" s="1459"/>
      <c r="J284" s="1459"/>
      <c r="K284" s="1459"/>
      <c r="L284" s="1459"/>
      <c r="M284" s="1459"/>
      <c r="N284" s="1459"/>
      <c r="O284" s="1459"/>
      <c r="P284" s="1459"/>
      <c r="Q284" s="1459"/>
      <c r="R284" s="1459"/>
      <c r="S284" s="1459"/>
      <c r="T284" s="465" cm="1" t="str">
        <f t="array" ref="T284:T284">T283</f>
        <v>true</v>
      </c>
      <c r="U284" s="1459"/>
      <c r="V284" s="1459"/>
      <c r="W284" s="1459"/>
      <c r="X284" s="1596"/>
      <c r="Y284" s="1459"/>
      <c r="Z284" s="1597"/>
      <c r="AA284" s="1459"/>
      <c r="AB284" s="714" t="s">
        <v>3107</v>
      </c>
      <c r="AC284" s="549" t="s">
        <v>3108</v>
      </c>
      <c r="AD284" s="548" t="s">
        <v>1514</v>
      </c>
      <c r="AE284" s="1332"/>
      <c r="AF284" s="1442"/>
      <c r="AG284" s="1442"/>
      <c r="AH284" s="1064" t="s">
        <v>2825</v>
      </c>
      <c r="AI284" s="1811"/>
      <c r="AJ284" s="1811"/>
      <c r="AK284" s="1444"/>
      <c r="AL284" s="1444"/>
      <c r="AM284" s="1834"/>
      <c r="AN284" s="1834"/>
      <c r="AO284" s="1834"/>
      <c r="AP284" s="1834"/>
    </row>
    <row s="1834" customFormat="1" customHeight="1" ht="76.5">
      <c r="A285" s="667"/>
      <c r="B285" s="1459"/>
      <c r="C285" s="1459"/>
      <c r="D285" s="1459"/>
      <c r="E285" s="649">
        <v>78.75</v>
      </c>
      <c r="F285" s="50" cm="1" t="str">
        <f t="array" ref="F285:F285">OFFSET(E285,-1,1)</f>
        <v>2</v>
      </c>
      <c r="G285" s="1459"/>
      <c r="H285" s="488" t="s">
        <v>2817</v>
      </c>
      <c r="I285" s="1459"/>
      <c r="J285" s="1459"/>
      <c r="K285" s="1459"/>
      <c r="L285" s="1459"/>
      <c r="M285" s="1459"/>
      <c r="N285" s="1459"/>
      <c r="O285" s="1459"/>
      <c r="P285" s="1459"/>
      <c r="Q285" s="1459"/>
      <c r="R285" s="1459"/>
      <c r="S285" s="1459"/>
      <c r="T285" s="465" cm="1" t="str">
        <f t="array" ref="T285:T285">T284</f>
        <v>true</v>
      </c>
      <c r="U285" s="1459"/>
      <c r="V285" s="1459"/>
      <c r="W285" s="1459"/>
      <c r="X285" s="1596"/>
      <c r="Y285" s="1459"/>
      <c r="Z285" s="1597"/>
      <c r="AA285" s="1459"/>
      <c r="AB285" s="714" t="s">
        <v>2250</v>
      </c>
      <c r="AC285" s="1283" t="s">
        <v>2181</v>
      </c>
      <c r="AD285" s="548" t="s">
        <v>1514</v>
      </c>
      <c r="AE285" s="1332"/>
      <c r="AF285" s="1442"/>
      <c r="AG285" s="1442"/>
      <c r="AH285" s="1064" t="s">
        <v>2803</v>
      </c>
      <c r="AI285" s="1811"/>
      <c r="AJ285" s="1811"/>
      <c r="AK285" s="1444"/>
      <c r="AL285" s="1444"/>
      <c r="AM285" s="1834"/>
      <c r="AN285" s="1834"/>
      <c r="AO285" s="1834"/>
      <c r="AP285" s="1834"/>
    </row>
    <row s="1806" customFormat="1" customHeight="1" ht="14.25">
      <c r="A286" s="667"/>
      <c r="B286" s="488"/>
      <c r="C286" s="488"/>
      <c r="D286" s="488"/>
      <c r="E286" s="649">
        <v>15</v>
      </c>
      <c r="F286" s="523" cm="1" t="str">
        <f t="array" ref="F286:F286">OFFSET(E286,-1,1)</f>
        <v>2</v>
      </c>
      <c r="G286" s="488"/>
      <c r="H286" s="488"/>
      <c r="I286" s="488"/>
      <c r="J286" s="488"/>
      <c r="K286" s="488"/>
      <c r="L286" s="488"/>
      <c r="M286" s="488"/>
      <c r="N286" s="488"/>
      <c r="O286" s="488"/>
      <c r="P286" s="488"/>
      <c r="Q286" s="488"/>
      <c r="R286" s="488"/>
      <c r="S286" s="488"/>
      <c r="T286" s="465" cm="1" t="str">
        <f t="array" ref="T286:T286">T285</f>
        <v>true</v>
      </c>
      <c r="U286" s="488"/>
      <c r="V286" s="488"/>
      <c r="W286" s="488"/>
      <c r="X286" s="1596"/>
      <c r="Y286" s="488"/>
      <c r="Z286" s="1597"/>
      <c r="AA286" s="488"/>
      <c r="AB286" s="1270" t="s">
        <v>2814</v>
      </c>
      <c r="AC286" s="1283" t="s">
        <v>1730</v>
      </c>
      <c r="AD286" s="1272" t="s">
        <v>1514</v>
      </c>
      <c r="AE286" s="558"/>
      <c r="AF286" s="1108"/>
      <c r="AG286" s="1108"/>
      <c r="AH286" s="1064" t="s">
        <v>1732</v>
      </c>
      <c r="AI286" s="1058"/>
      <c r="AJ286" s="1058"/>
      <c r="AK286" s="965"/>
      <c r="AL286" s="965"/>
      <c r="AM286" s="1806"/>
      <c r="AN286" s="1806"/>
      <c r="AO286" s="1806"/>
      <c r="AP286" s="1806"/>
    </row>
    <row s="1806" customFormat="1" customHeight="1" ht="14.25">
      <c r="A287" s="667"/>
      <c r="B287" s="488"/>
      <c r="C287" s="488"/>
      <c r="D287" s="488"/>
      <c r="E287" s="649">
        <v>15</v>
      </c>
      <c r="F287" s="523" cm="1" t="str">
        <f t="array" ref="F287:F287">OFFSET(E287,-1,1)</f>
        <v>2</v>
      </c>
      <c r="G287" s="488"/>
      <c r="H287" s="488"/>
      <c r="I287" s="488"/>
      <c r="J287" s="488"/>
      <c r="K287" s="488"/>
      <c r="L287" s="488"/>
      <c r="M287" s="488"/>
      <c r="N287" s="488"/>
      <c r="O287" s="488"/>
      <c r="P287" s="488"/>
      <c r="Q287" s="488"/>
      <c r="R287" s="488"/>
      <c r="S287" s="488"/>
      <c r="T287" s="465" cm="1" t="str">
        <f t="array" ref="T287:T287">T286</f>
        <v>true</v>
      </c>
      <c r="U287" s="488"/>
      <c r="V287" s="488"/>
      <c r="W287" s="488"/>
      <c r="X287" s="1596"/>
      <c r="Y287" s="488"/>
      <c r="Z287" s="1597"/>
      <c r="AA287" s="488"/>
      <c r="AB287" s="1270" t="s">
        <v>2269</v>
      </c>
      <c r="AC287" s="1283" t="s">
        <v>2192</v>
      </c>
      <c r="AD287" s="1272" t="s">
        <v>1514</v>
      </c>
      <c r="AE287" s="558"/>
      <c r="AF287" s="1108"/>
      <c r="AG287" s="1108"/>
      <c r="AH287" s="1064" t="s">
        <v>3109</v>
      </c>
      <c r="AI287" s="1058"/>
      <c r="AJ287" s="1058"/>
      <c r="AK287" s="965"/>
      <c r="AL287" s="965"/>
      <c r="AM287" s="1806"/>
      <c r="AN287" s="1806"/>
      <c r="AO287" s="1806"/>
      <c r="AP287" s="1806"/>
    </row>
    <row s="1834" customFormat="1" customHeight="1" ht="14.25">
      <c r="A288" s="667"/>
      <c r="B288" s="1459"/>
      <c r="C288" s="1459"/>
      <c r="D288" s="1459"/>
      <c r="E288" s="649">
        <v>15</v>
      </c>
      <c r="F288" s="50" cm="1" t="str">
        <f t="array" ref="F288:F288">OFFSET(E288,-1,1)</f>
        <v>2</v>
      </c>
      <c r="G288" s="1459"/>
      <c r="H288" s="488" t="s">
        <v>3110</v>
      </c>
      <c r="I288" s="1459"/>
      <c r="J288" s="1459"/>
      <c r="K288" s="1459"/>
      <c r="L288" s="1459"/>
      <c r="M288" s="1459"/>
      <c r="N288" s="1459"/>
      <c r="O288" s="1459"/>
      <c r="P288" s="1459"/>
      <c r="Q288" s="1459"/>
      <c r="R288" s="1459"/>
      <c r="S288" s="1459"/>
      <c r="T288" s="465" cm="1" t="str">
        <f t="array" ref="T288:T288">T285</f>
        <v>true</v>
      </c>
      <c r="U288" s="1459"/>
      <c r="V288" s="1459"/>
      <c r="W288" s="1459"/>
      <c r="X288" s="1596"/>
      <c r="Y288" s="1459"/>
      <c r="Z288" s="1597"/>
      <c r="AA288" s="1459"/>
      <c r="AB288" s="714" t="s">
        <v>2273</v>
      </c>
      <c r="AC288" s="547" t="s">
        <v>3111</v>
      </c>
      <c r="AD288" s="548" t="s">
        <v>1514</v>
      </c>
      <c r="AE288" s="1332"/>
      <c r="AF288" s="1442"/>
      <c r="AG288" s="1442"/>
      <c r="AH288" s="1001" t="s">
        <v>3112</v>
      </c>
      <c r="AI288" s="1811"/>
      <c r="AJ288" s="1811"/>
      <c r="AK288" s="1444"/>
      <c r="AL288" s="1444"/>
      <c r="AM288" s="1834"/>
      <c r="AN288" s="1834"/>
      <c r="AO288" s="1834"/>
      <c r="AP288" s="1834"/>
    </row>
    <row s="1806" customFormat="1" customHeight="1" ht="31.5">
      <c r="A289" s="667"/>
      <c r="B289" s="488"/>
      <c r="C289" s="488"/>
      <c r="D289" s="488"/>
      <c r="E289" s="649">
        <v>33</v>
      </c>
      <c r="F289" s="523" cm="1" t="str">
        <f t="array" ref="F289:F289">OFFSET(E289,-1,1)</f>
        <v>2</v>
      </c>
      <c r="G289" s="488"/>
      <c r="H289" s="488"/>
      <c r="I289" s="488"/>
      <c r="J289" s="488"/>
      <c r="K289" s="488"/>
      <c r="L289" s="488"/>
      <c r="M289" s="488"/>
      <c r="N289" s="488"/>
      <c r="O289" s="488"/>
      <c r="P289" s="488"/>
      <c r="Q289" s="488"/>
      <c r="R289" s="488"/>
      <c r="S289" s="488"/>
      <c r="T289" s="465" cm="1" t="str">
        <f t="array" ref="T289:T289">T288</f>
        <v>true</v>
      </c>
      <c r="U289" s="488"/>
      <c r="V289" s="488"/>
      <c r="W289" s="488"/>
      <c r="X289" s="1596"/>
      <c r="Y289" s="488"/>
      <c r="Z289" s="1597"/>
      <c r="AA289" s="488"/>
      <c r="AB289" s="1270" t="s">
        <v>2276</v>
      </c>
      <c r="AC289" s="1271" t="s">
        <v>2827</v>
      </c>
      <c r="AD289" s="1272" t="s">
        <v>1514</v>
      </c>
      <c r="AE289" s="558"/>
      <c r="AF289" s="1108"/>
      <c r="AG289" s="1108"/>
      <c r="AH289" s="1058" t="s">
        <v>3113</v>
      </c>
      <c r="AI289" s="1058"/>
      <c r="AJ289" s="1058"/>
      <c r="AK289" s="965"/>
      <c r="AL289" s="965"/>
      <c r="AM289" s="1806"/>
      <c r="AN289" s="1806"/>
      <c r="AO289" s="1806"/>
      <c r="AP289" s="1806"/>
    </row>
    <row s="1834" customFormat="1" customHeight="1" ht="14.25">
      <c r="A290" s="667"/>
      <c r="B290" s="1459"/>
      <c r="C290" s="1459"/>
      <c r="D290" s="1459"/>
      <c r="E290" s="649">
        <v>15</v>
      </c>
      <c r="F290" s="50" cm="1" t="str">
        <f t="array" ref="F290:F290">OFFSET(E290,-1,1)</f>
        <v>2</v>
      </c>
      <c r="G290" s="1459"/>
      <c r="H290" s="488" t="s">
        <v>3114</v>
      </c>
      <c r="I290" s="1459"/>
      <c r="J290" s="1459"/>
      <c r="K290" s="1459"/>
      <c r="L290" s="1459"/>
      <c r="M290" s="1459"/>
      <c r="N290" s="1459"/>
      <c r="O290" s="1459"/>
      <c r="P290" s="1459"/>
      <c r="Q290" s="1459"/>
      <c r="R290" s="1459"/>
      <c r="S290" s="1459"/>
      <c r="T290" s="465" cm="1" t="str">
        <f t="array" ref="T290:T290">T288</f>
        <v>true</v>
      </c>
      <c r="U290" s="1459"/>
      <c r="V290" s="1459"/>
      <c r="W290" s="1459"/>
      <c r="X290" s="1596"/>
      <c r="Y290" s="1459"/>
      <c r="Z290" s="1597"/>
      <c r="AA290" s="1459"/>
      <c r="AB290" s="714" t="s">
        <v>3115</v>
      </c>
      <c r="AC290" s="547" t="s">
        <v>3116</v>
      </c>
      <c r="AD290" s="548" t="s">
        <v>1514</v>
      </c>
      <c r="AE290" s="557">
        <f>SUM(AE291:AE292)</f>
        <v>0</v>
      </c>
      <c r="AF290" s="1442"/>
      <c r="AG290" s="1442"/>
      <c r="AH290" s="1001" t="s">
        <v>3117</v>
      </c>
      <c r="AI290" s="1811"/>
      <c r="AJ290" s="1811"/>
      <c r="AK290" s="1444"/>
      <c r="AL290" s="1444"/>
      <c r="AM290" s="1834"/>
      <c r="AN290" s="1834"/>
      <c r="AO290" s="1834"/>
      <c r="AP290" s="1834"/>
    </row>
    <row s="1834" customFormat="1" customHeight="1" ht="14.25" hidden="1">
      <c r="A291" s="667"/>
      <c r="B291" s="1459"/>
      <c r="C291" s="1459"/>
      <c r="D291" s="1459"/>
      <c r="E291" s="649">
        <v>15</v>
      </c>
      <c r="F291" s="50" cm="1" t="str">
        <f t="array" ref="F291:F291">OFFSET(E291,-1,1)</f>
        <v>2</v>
      </c>
      <c r="G291" s="1459"/>
      <c r="H291" s="488" t="s">
        <v>3114</v>
      </c>
      <c r="I291" s="563" cm="1" t="str">
        <f t="array" ref="I291:I291">AC291</f>
        <v>0</v>
      </c>
      <c r="J291" s="1459"/>
      <c r="K291" s="1459"/>
      <c r="L291" s="1459"/>
      <c r="M291" s="1459"/>
      <c r="N291" s="1459"/>
      <c r="O291" s="1459"/>
      <c r="P291" s="1459"/>
      <c r="Q291" s="1459"/>
      <c r="R291" s="1459"/>
      <c r="S291" s="1459"/>
      <c r="T291" s="465">
        <f>AND(F291&gt;0,Y291&gt;0)</f>
        <v>0</v>
      </c>
      <c r="U291" s="1459"/>
      <c r="V291" s="1459"/>
      <c r="W291" s="555" t="s">
        <v>174</v>
      </c>
      <c r="X291" s="1596"/>
      <c r="Y291" s="488">
        <v>0</v>
      </c>
      <c r="Z291" s="1597"/>
      <c r="AA291" s="662" t="s">
        <v>175</v>
      </c>
      <c r="AB291" s="714" t="str">
        <f>"2.12."&amp;Y291</f>
        <v>2.12.0</v>
      </c>
      <c r="AC291" s="8363"/>
      <c r="AD291" s="548" t="s">
        <v>1514</v>
      </c>
      <c r="AE291" s="8364"/>
      <c r="AF291" s="1442"/>
      <c r="AG291" s="1442"/>
      <c r="AH291" s="1001" t="s">
        <v>3117</v>
      </c>
      <c r="AI291" s="1001" t="s">
        <v>3118</v>
      </c>
      <c r="AJ291" s="1006" cm="1" t="str">
        <f t="array" ref="AJ291:AJ291">AC291</f>
        <v>0</v>
      </c>
      <c r="AK291" s="1444"/>
      <c r="AL291" s="656" t="b">
        <v>1</v>
      </c>
      <c r="AM291" s="1834"/>
      <c r="AN291" s="1834"/>
      <c r="AO291" s="1834"/>
      <c r="AP291" s="1834"/>
    </row>
    <row s="1834" customFormat="1" customHeight="1" ht="14.25">
      <c r="A292" s="667"/>
      <c r="B292" s="1459"/>
      <c r="C292" s="1459"/>
      <c r="D292" s="1459"/>
      <c r="E292" s="649">
        <v>15</v>
      </c>
      <c r="F292" s="50" cm="1" t="str">
        <f t="array" ref="F292:F292">OFFSET(E292,-1,1)</f>
        <v>2</v>
      </c>
      <c r="G292" s="1459"/>
      <c r="H292" s="1459"/>
      <c r="I292" s="158" t="str">
        <f>"!== 'не определено' &amp;&amp; row.l2_13 !== null"</f>
        <v>!== 'не определено' &amp;&amp; row.l2_13 !== null</v>
      </c>
      <c r="J292" s="1459"/>
      <c r="K292" s="1459"/>
      <c r="L292" s="1459"/>
      <c r="M292" s="1459"/>
      <c r="N292" s="1459"/>
      <c r="O292" s="1459"/>
      <c r="P292" s="1459"/>
      <c r="Q292" s="1459"/>
      <c r="R292" s="1459"/>
      <c r="S292" s="1459"/>
      <c r="T292" s="465">
        <f>F292&gt;0</f>
        <v>1</v>
      </c>
      <c r="U292" s="1459"/>
      <c r="V292" s="1459"/>
      <c r="W292" s="829" t="s">
        <v>1613</v>
      </c>
      <c r="X292" s="1596"/>
      <c r="Y292" s="1459"/>
      <c r="Z292" s="1597"/>
      <c r="AA292" s="1459"/>
      <c r="AB292" s="1279"/>
      <c r="AC292" s="1334" t="s">
        <v>178</v>
      </c>
      <c r="AD292" s="1281"/>
      <c r="AE292" s="1333"/>
      <c r="AF292" s="1442"/>
      <c r="AG292" s="1442"/>
      <c r="AH292" s="1811"/>
      <c r="AI292" s="1811"/>
      <c r="AJ292" s="1811"/>
      <c r="AK292" s="656" t="s">
        <v>3118</v>
      </c>
      <c r="AL292" s="1444"/>
      <c r="AM292" s="1834"/>
      <c r="AN292" s="1834"/>
      <c r="AO292" s="1834"/>
      <c r="AP292" s="1834"/>
    </row>
    <row s="1834" customFormat="1" customHeight="1" ht="14.25">
      <c r="A293" s="667"/>
      <c r="B293" s="1459"/>
      <c r="C293" s="1459"/>
      <c r="D293" s="1459"/>
      <c r="E293" s="649">
        <v>15</v>
      </c>
      <c r="F293" s="50" cm="1" t="str">
        <f t="array" ref="F293:F293">OFFSET(E293,-1,1)</f>
        <v>2</v>
      </c>
      <c r="G293" s="488" t="s">
        <v>50</v>
      </c>
      <c r="H293" s="488" t="s">
        <v>334</v>
      </c>
      <c r="I293" s="1459"/>
      <c r="J293" s="1459"/>
      <c r="K293" s="1459"/>
      <c r="L293" s="1459"/>
      <c r="M293" s="1459"/>
      <c r="N293" s="1459"/>
      <c r="O293" s="1459"/>
      <c r="P293" s="1459"/>
      <c r="Q293" s="1459"/>
      <c r="R293" s="1459"/>
      <c r="S293" s="1459"/>
      <c r="T293" s="465" cm="1" t="str">
        <f t="array" ref="T293:T293">T292</f>
        <v>true</v>
      </c>
      <c r="U293" s="1459"/>
      <c r="V293" s="1459"/>
      <c r="W293" s="1459"/>
      <c r="X293" s="1596"/>
      <c r="Y293" s="1459"/>
      <c r="Z293" s="1597"/>
      <c r="AA293" s="1459"/>
      <c r="AB293" s="713" t="s">
        <v>289</v>
      </c>
      <c r="AC293" s="545" t="s">
        <v>2830</v>
      </c>
      <c r="AD293" s="546" t="s">
        <v>1514</v>
      </c>
      <c r="AE293" s="1335"/>
      <c r="AF293" s="1442"/>
      <c r="AG293" s="1442"/>
      <c r="AH293" s="1001" t="s">
        <v>2446</v>
      </c>
      <c r="AI293" s="1811"/>
      <c r="AJ293" s="1811"/>
      <c r="AK293" s="1444"/>
      <c r="AL293" s="1444"/>
      <c r="AM293" s="1834"/>
      <c r="AN293" s="1834"/>
      <c r="AO293" s="1834"/>
      <c r="AP293" s="1834"/>
    </row>
    <row s="1834" customFormat="1" customHeight="1" ht="14.25">
      <c r="A294" s="667"/>
      <c r="B294" s="1459"/>
      <c r="C294" s="1459"/>
      <c r="D294" s="1459"/>
      <c r="E294" s="649">
        <v>15</v>
      </c>
      <c r="F294" s="836" cm="1" t="str">
        <f t="array" ref="F294:F294">X294</f>
        <v>3</v>
      </c>
      <c r="G294" s="488" t="s">
        <v>1507</v>
      </c>
      <c r="H294" s="1459"/>
      <c r="I294" s="1459"/>
      <c r="J294" s="1459"/>
      <c r="K294" s="1459"/>
      <c r="L294" s="1459"/>
      <c r="M294" s="1459"/>
      <c r="N294" s="1459"/>
      <c r="O294" s="1459"/>
      <c r="P294" s="1459"/>
      <c r="Q294" s="1459"/>
      <c r="R294" s="1459"/>
      <c r="S294" s="1459"/>
      <c r="T294" s="465">
        <f>X294&gt;0</f>
        <v>1</v>
      </c>
      <c r="U294" s="1459"/>
      <c r="V294" s="488" cm="1" t="str">
        <f t="array" ref="V294:V294">'ДПР (концессии)'!$AB$289</f>
        <v>Тариф 3 (Водоотведение) - тариф на водоотведение (Доп. признак не требуется)</v>
      </c>
      <c r="W294" s="1459"/>
      <c r="X294" s="1596" t="s">
        <v>289</v>
      </c>
      <c r="Y294" s="1459"/>
      <c r="Z294" s="1597"/>
      <c r="AA294" s="1459"/>
      <c r="AB294" s="222" cm="1" t="str">
        <f t="array" ref="AB294:AB294">'ДПР (концессии)'!$AB$289</f>
        <v>Тариф 3 (Водоотведение) - тариф на водоотведение (Доп. признак не требуется)</v>
      </c>
      <c r="AC294" s="180"/>
      <c r="AD294" s="174"/>
      <c r="AE294" s="1266">
        <f>AE295+AE345+AE382</f>
        <v>0</v>
      </c>
      <c r="AF294" s="1442"/>
      <c r="AG294" s="1442"/>
      <c r="AH294" s="1811"/>
      <c r="AI294" s="1811"/>
      <c r="AJ294" s="1811"/>
      <c r="AK294" s="1444"/>
      <c r="AL294" s="1444"/>
      <c r="AM294" s="1834"/>
      <c r="AN294" s="1834"/>
      <c r="AO294" s="1834"/>
      <c r="AP294" s="1834"/>
    </row>
    <row s="1834" customFormat="1" customHeight="1" ht="14.25">
      <c r="A295" s="667"/>
      <c r="B295" s="1459"/>
      <c r="C295" s="1459"/>
      <c r="D295" s="1459"/>
      <c r="E295" s="649">
        <v>15</v>
      </c>
      <c r="F295" s="50" cm="1" t="str">
        <f t="array" ref="F295:F295">OFFSET(E295,-1,1)</f>
        <v>3</v>
      </c>
      <c r="G295" s="1459"/>
      <c r="H295" s="488" t="s">
        <v>332</v>
      </c>
      <c r="I295" s="1459"/>
      <c r="J295" s="1459"/>
      <c r="K295" s="1459"/>
      <c r="L295" s="1459"/>
      <c r="M295" s="1459"/>
      <c r="N295" s="1459"/>
      <c r="O295" s="1459"/>
      <c r="P295" s="1459"/>
      <c r="Q295" s="1459"/>
      <c r="R295" s="1459"/>
      <c r="S295" s="1459"/>
      <c r="T295" s="465" cm="1" t="str">
        <f t="array" ref="T295:T295">T294</f>
        <v>true</v>
      </c>
      <c r="U295" s="1459"/>
      <c r="V295" s="1459"/>
      <c r="W295" s="1459"/>
      <c r="X295" s="1596"/>
      <c r="Y295" s="1459"/>
      <c r="Z295" s="1597"/>
      <c r="AA295" s="1459"/>
      <c r="AB295" s="1267" t="s">
        <v>276</v>
      </c>
      <c r="AC295" s="1268" t="s">
        <v>2636</v>
      </c>
      <c r="AD295" s="1269" t="s">
        <v>1514</v>
      </c>
      <c r="AE295" s="1331">
        <f>AE296+AE314+AE322+AE342</f>
        <v>0</v>
      </c>
      <c r="AF295" s="1442"/>
      <c r="AG295" s="1442"/>
      <c r="AH295" s="1001" t="s">
        <v>1239</v>
      </c>
      <c r="AI295" s="1811"/>
      <c r="AJ295" s="1811"/>
      <c r="AK295" s="1444"/>
      <c r="AL295" s="1444"/>
      <c r="AM295" s="1834"/>
      <c r="AN295" s="1834"/>
      <c r="AO295" s="1834"/>
      <c r="AP295" s="1834"/>
    </row>
    <row s="1834" customFormat="1" customHeight="1" ht="14.25">
      <c r="A296" s="667"/>
      <c r="B296" s="1459"/>
      <c r="C296" s="1459"/>
      <c r="D296" s="1459"/>
      <c r="E296" s="649">
        <v>15</v>
      </c>
      <c r="F296" s="50" cm="1" t="str">
        <f t="array" ref="F296:F296">OFFSET(E296,-1,1)</f>
        <v>3</v>
      </c>
      <c r="G296" s="1459"/>
      <c r="H296" s="488" t="s">
        <v>1175</v>
      </c>
      <c r="I296" s="1459"/>
      <c r="J296" s="1459"/>
      <c r="K296" s="1459"/>
      <c r="L296" s="1459"/>
      <c r="M296" s="1459"/>
      <c r="N296" s="1459"/>
      <c r="O296" s="1459"/>
      <c r="P296" s="1459"/>
      <c r="Q296" s="1459"/>
      <c r="R296" s="1459"/>
      <c r="S296" s="1459"/>
      <c r="T296" s="465" cm="1" t="str">
        <f t="array" ref="T296:T296">T295</f>
        <v>true</v>
      </c>
      <c r="U296" s="1459"/>
      <c r="V296" s="1459"/>
      <c r="W296" s="1459"/>
      <c r="X296" s="1596"/>
      <c r="Y296" s="1459"/>
      <c r="Z296" s="1597"/>
      <c r="AA296" s="1459"/>
      <c r="AB296" s="1270" t="s">
        <v>1628</v>
      </c>
      <c r="AC296" s="1271" t="s">
        <v>2434</v>
      </c>
      <c r="AD296" s="1272" t="s">
        <v>1514</v>
      </c>
      <c r="AE296" s="557">
        <f>AE297+AE298+AE299+AE304+AE305+AE306</f>
        <v>0</v>
      </c>
      <c r="AF296" s="1442"/>
      <c r="AG296" s="1442"/>
      <c r="AH296" s="1001" t="s">
        <v>1868</v>
      </c>
      <c r="AI296" s="1811"/>
      <c r="AJ296" s="1811"/>
      <c r="AK296" s="1444"/>
      <c r="AL296" s="1444"/>
      <c r="AM296" s="1834"/>
      <c r="AN296" s="1834"/>
      <c r="AO296" s="1834"/>
      <c r="AP296" s="1834"/>
    </row>
    <row s="1834" customFormat="1" customHeight="1" ht="14.25">
      <c r="A297" s="667"/>
      <c r="B297" s="1459"/>
      <c r="C297" s="1459"/>
      <c r="D297" s="1459"/>
      <c r="E297" s="649">
        <v>15</v>
      </c>
      <c r="F297" s="50" cm="1" t="str">
        <f t="array" ref="F297:F297">OFFSET(E297,-1,1)</f>
        <v>3</v>
      </c>
      <c r="G297" s="1459"/>
      <c r="H297" s="488" t="s">
        <v>1735</v>
      </c>
      <c r="I297" s="1459"/>
      <c r="J297" s="1459"/>
      <c r="K297" s="1459"/>
      <c r="L297" s="1459"/>
      <c r="M297" s="1459"/>
      <c r="N297" s="1459"/>
      <c r="O297" s="1459"/>
      <c r="P297" s="1459"/>
      <c r="Q297" s="1459"/>
      <c r="R297" s="1459"/>
      <c r="S297" s="1459"/>
      <c r="T297" s="465" cm="1" t="str">
        <f t="array" ref="T297:T297">T296</f>
        <v>true</v>
      </c>
      <c r="U297" s="1459"/>
      <c r="V297" s="1459"/>
      <c r="W297" s="1459"/>
      <c r="X297" s="1596"/>
      <c r="Y297" s="1459"/>
      <c r="Z297" s="1597"/>
      <c r="AA297" s="1459"/>
      <c r="AB297" s="714" t="s">
        <v>1736</v>
      </c>
      <c r="AC297" s="1273" t="s">
        <v>2985</v>
      </c>
      <c r="AD297" s="548" t="s">
        <v>1514</v>
      </c>
      <c r="AE297" s="1332"/>
      <c r="AF297" s="1442"/>
      <c r="AG297" s="1442"/>
      <c r="AH297" s="1001" t="s">
        <v>1983</v>
      </c>
      <c r="AI297" s="1811"/>
      <c r="AJ297" s="1811"/>
      <c r="AK297" s="1444"/>
      <c r="AL297" s="1444"/>
      <c r="AM297" s="1834"/>
      <c r="AN297" s="1834"/>
      <c r="AO297" s="1834"/>
      <c r="AP297" s="1834"/>
    </row>
    <row s="1834" customFormat="1" customHeight="1" ht="21.75">
      <c r="A298" s="667"/>
      <c r="B298" s="1459"/>
      <c r="C298" s="1459"/>
      <c r="D298" s="1459"/>
      <c r="E298" s="649">
        <v>22.5</v>
      </c>
      <c r="F298" s="50" cm="1" t="str">
        <f t="array" ref="F298:F298">OFFSET(E298,-1,1)</f>
        <v>3</v>
      </c>
      <c r="G298" s="1459"/>
      <c r="H298" s="488" t="s">
        <v>1739</v>
      </c>
      <c r="I298" s="1459"/>
      <c r="J298" s="1459"/>
      <c r="K298" s="1459"/>
      <c r="L298" s="1459"/>
      <c r="M298" s="1459"/>
      <c r="N298" s="1459"/>
      <c r="O298" s="1459"/>
      <c r="P298" s="1459"/>
      <c r="Q298" s="1459"/>
      <c r="R298" s="1459"/>
      <c r="S298" s="1459"/>
      <c r="T298" s="465" cm="1" t="str">
        <f t="array" ref="T298:T298">T297</f>
        <v>true</v>
      </c>
      <c r="U298" s="1459"/>
      <c r="V298" s="1459"/>
      <c r="W298" s="1459"/>
      <c r="X298" s="1596"/>
      <c r="Y298" s="1459"/>
      <c r="Z298" s="1597"/>
      <c r="AA298" s="1459"/>
      <c r="AB298" s="714" t="s">
        <v>1740</v>
      </c>
      <c r="AC298" s="549" t="s">
        <v>2644</v>
      </c>
      <c r="AD298" s="548" t="s">
        <v>1514</v>
      </c>
      <c r="AE298" s="1332"/>
      <c r="AF298" s="1442"/>
      <c r="AG298" s="1442"/>
      <c r="AH298" s="1001" t="s">
        <v>2467</v>
      </c>
      <c r="AI298" s="1811"/>
      <c r="AJ298" s="1811"/>
      <c r="AK298" s="1444"/>
      <c r="AL298" s="1444"/>
      <c r="AM298" s="1834"/>
      <c r="AN298" s="1834"/>
      <c r="AO298" s="1834"/>
      <c r="AP298" s="1834"/>
    </row>
    <row s="1834" customFormat="1" customHeight="1" ht="32.25">
      <c r="A299" s="667"/>
      <c r="B299" s="1459"/>
      <c r="C299" s="1459"/>
      <c r="D299" s="1459"/>
      <c r="E299" s="649">
        <v>33.75</v>
      </c>
      <c r="F299" s="50" cm="1" t="str">
        <f t="array" ref="F299:F299">OFFSET(E299,-1,1)</f>
        <v>3</v>
      </c>
      <c r="G299" s="1459"/>
      <c r="H299" s="488" t="s">
        <v>2043</v>
      </c>
      <c r="I299" s="1459"/>
      <c r="J299" s="1459"/>
      <c r="K299" s="1459"/>
      <c r="L299" s="1459"/>
      <c r="M299" s="1459"/>
      <c r="N299" s="1459"/>
      <c r="O299" s="1459"/>
      <c r="P299" s="1459"/>
      <c r="Q299" s="1459"/>
      <c r="R299" s="1459"/>
      <c r="S299" s="1459"/>
      <c r="T299" s="465" cm="1" t="str">
        <f t="array" ref="T299:T299">T298</f>
        <v>true</v>
      </c>
      <c r="U299" s="1459"/>
      <c r="V299" s="1459"/>
      <c r="W299" s="1459"/>
      <c r="X299" s="1596"/>
      <c r="Y299" s="1459"/>
      <c r="Z299" s="1597"/>
      <c r="AA299" s="1459"/>
      <c r="AB299" s="714" t="s">
        <v>2044</v>
      </c>
      <c r="AC299" s="549" t="s">
        <v>2986</v>
      </c>
      <c r="AD299" s="548" t="s">
        <v>1514</v>
      </c>
      <c r="AE299" s="557">
        <f>AE300+AE303</f>
        <v>0</v>
      </c>
      <c r="AF299" s="1442"/>
      <c r="AG299" s="1442"/>
      <c r="AH299" s="1001" t="s">
        <v>2469</v>
      </c>
      <c r="AI299" s="1811"/>
      <c r="AJ299" s="1811"/>
      <c r="AK299" s="1444"/>
      <c r="AL299" s="1444"/>
      <c r="AM299" s="1834"/>
      <c r="AN299" s="1834"/>
      <c r="AO299" s="1834"/>
      <c r="AP299" s="1834"/>
    </row>
    <row s="1834" customFormat="1" customHeight="1" ht="21.75">
      <c r="A300" s="667"/>
      <c r="B300" s="1459"/>
      <c r="C300" s="1459"/>
      <c r="D300" s="1459"/>
      <c r="E300" s="649">
        <v>22.5</v>
      </c>
      <c r="F300" s="50" cm="1" t="str">
        <f t="array" ref="F300:F300">OFFSET(E300,-1,1)</f>
        <v>3</v>
      </c>
      <c r="G300" s="1459"/>
      <c r="H300" s="488" t="s">
        <v>2987</v>
      </c>
      <c r="I300" s="1459"/>
      <c r="J300" s="1459"/>
      <c r="K300" s="1459"/>
      <c r="L300" s="1459"/>
      <c r="M300" s="1459"/>
      <c r="N300" s="1459"/>
      <c r="O300" s="1459"/>
      <c r="P300" s="1459"/>
      <c r="Q300" s="1459"/>
      <c r="R300" s="1459"/>
      <c r="S300" s="1459"/>
      <c r="T300" s="465" cm="1" t="str">
        <f t="array" ref="T300:T300">T299</f>
        <v>true</v>
      </c>
      <c r="U300" s="1459"/>
      <c r="V300" s="1459"/>
      <c r="W300" s="1459"/>
      <c r="X300" s="1596"/>
      <c r="Y300" s="1459"/>
      <c r="Z300" s="1597"/>
      <c r="AA300" s="1459"/>
      <c r="AB300" s="714" t="s">
        <v>2988</v>
      </c>
      <c r="AC300" s="1274" t="s">
        <v>2989</v>
      </c>
      <c r="AD300" s="548" t="s">
        <v>1514</v>
      </c>
      <c r="AE300" s="1332"/>
      <c r="AF300" s="1442"/>
      <c r="AG300" s="1442"/>
      <c r="AH300" s="1001" t="s">
        <v>2471</v>
      </c>
      <c r="AI300" s="1811"/>
      <c r="AJ300" s="1811"/>
      <c r="AK300" s="1444"/>
      <c r="AL300" s="1444"/>
      <c r="AM300" s="1834"/>
      <c r="AN300" s="1834"/>
      <c r="AO300" s="1834"/>
      <c r="AP300" s="1834"/>
    </row>
    <row s="1834" customFormat="1" customHeight="1" ht="21.75">
      <c r="A301" s="667"/>
      <c r="B301" s="1459"/>
      <c r="C301" s="1459"/>
      <c r="D301" s="1459"/>
      <c r="E301" s="649">
        <v>22.5</v>
      </c>
      <c r="F301" s="50" cm="1" t="str">
        <f t="array" ref="F301:F301">OFFSET(E301,-1,1)</f>
        <v>3</v>
      </c>
      <c r="G301" s="1459"/>
      <c r="H301" s="488" t="s">
        <v>2990</v>
      </c>
      <c r="I301" s="1459"/>
      <c r="J301" s="1459"/>
      <c r="K301" s="1459"/>
      <c r="L301" s="1459"/>
      <c r="M301" s="1459"/>
      <c r="N301" s="1459"/>
      <c r="O301" s="1459"/>
      <c r="P301" s="1459"/>
      <c r="Q301" s="1459"/>
      <c r="R301" s="1459"/>
      <c r="S301" s="1459"/>
      <c r="T301" s="465" cm="1" t="str">
        <f t="array" ref="T301:T301">T300</f>
        <v>true</v>
      </c>
      <c r="U301" s="1459"/>
      <c r="V301" s="1459"/>
      <c r="W301" s="1459"/>
      <c r="X301" s="1596"/>
      <c r="Y301" s="1459"/>
      <c r="Z301" s="1597"/>
      <c r="AA301" s="1459"/>
      <c r="AB301" s="714" t="s">
        <v>2991</v>
      </c>
      <c r="AC301" s="1275" t="s">
        <v>2992</v>
      </c>
      <c r="AD301" s="548" t="s">
        <v>2993</v>
      </c>
      <c r="AE301" s="1332"/>
      <c r="AF301" s="1442"/>
      <c r="AG301" s="1442"/>
      <c r="AH301" s="1001" t="s">
        <v>2994</v>
      </c>
      <c r="AI301" s="1811"/>
      <c r="AJ301" s="1811"/>
      <c r="AK301" s="1444"/>
      <c r="AL301" s="1444"/>
      <c r="AM301" s="1834"/>
      <c r="AN301" s="1834"/>
      <c r="AO301" s="1834"/>
      <c r="AP301" s="1834"/>
    </row>
    <row s="1834" customFormat="1" customHeight="1" ht="21.75">
      <c r="A302" s="667"/>
      <c r="B302" s="1459"/>
      <c r="C302" s="1459"/>
      <c r="D302" s="1459"/>
      <c r="E302" s="649">
        <v>22.5</v>
      </c>
      <c r="F302" s="50" cm="1" t="str">
        <f t="array" ref="F302:F302">OFFSET(E302,-1,1)</f>
        <v>3</v>
      </c>
      <c r="G302" s="1459"/>
      <c r="H302" s="488" t="s">
        <v>2995</v>
      </c>
      <c r="I302" s="1459"/>
      <c r="J302" s="1459"/>
      <c r="K302" s="1459"/>
      <c r="L302" s="1459"/>
      <c r="M302" s="1459"/>
      <c r="N302" s="1459"/>
      <c r="O302" s="1459"/>
      <c r="P302" s="1459"/>
      <c r="Q302" s="1459"/>
      <c r="R302" s="1459"/>
      <c r="S302" s="1459"/>
      <c r="T302" s="465" cm="1" t="str">
        <f t="array" ref="T302:T302">T301</f>
        <v>true</v>
      </c>
      <c r="U302" s="1459"/>
      <c r="V302" s="1459"/>
      <c r="W302" s="1459"/>
      <c r="X302" s="1596"/>
      <c r="Y302" s="1459"/>
      <c r="Z302" s="1597"/>
      <c r="AA302" s="1459"/>
      <c r="AB302" s="714" t="s">
        <v>2996</v>
      </c>
      <c r="AC302" s="551" t="s">
        <v>2997</v>
      </c>
      <c r="AD302" s="548" t="s">
        <v>2998</v>
      </c>
      <c r="AE302" s="1332"/>
      <c r="AF302" s="1442"/>
      <c r="AG302" s="1442"/>
      <c r="AH302" s="1001" t="s">
        <v>2999</v>
      </c>
      <c r="AI302" s="1811"/>
      <c r="AJ302" s="1811"/>
      <c r="AK302" s="1444"/>
      <c r="AL302" s="1444"/>
      <c r="AM302" s="1834"/>
      <c r="AN302" s="1834"/>
      <c r="AO302" s="1834"/>
      <c r="AP302" s="1834"/>
    </row>
    <row s="1834" customFormat="1" customHeight="1" ht="21.75">
      <c r="A303" s="667"/>
      <c r="B303" s="1459"/>
      <c r="C303" s="1459"/>
      <c r="D303" s="1459"/>
      <c r="E303" s="649">
        <v>22.5</v>
      </c>
      <c r="F303" s="50" cm="1" t="str">
        <f t="array" ref="F303:F303">OFFSET(E303,-1,1)</f>
        <v>3</v>
      </c>
      <c r="G303" s="1459"/>
      <c r="H303" s="488" t="s">
        <v>3000</v>
      </c>
      <c r="I303" s="1459"/>
      <c r="J303" s="1459"/>
      <c r="K303" s="1459"/>
      <c r="L303" s="1459"/>
      <c r="M303" s="1459"/>
      <c r="N303" s="1459"/>
      <c r="O303" s="1459"/>
      <c r="P303" s="1459"/>
      <c r="Q303" s="1459"/>
      <c r="R303" s="1459"/>
      <c r="S303" s="1459"/>
      <c r="T303" s="465" cm="1" t="str">
        <f t="array" ref="T303:T303">T302</f>
        <v>true</v>
      </c>
      <c r="U303" s="1459"/>
      <c r="V303" s="1459"/>
      <c r="W303" s="1459"/>
      <c r="X303" s="1596"/>
      <c r="Y303" s="1459"/>
      <c r="Z303" s="1597"/>
      <c r="AA303" s="1459"/>
      <c r="AB303" s="714" t="s">
        <v>3001</v>
      </c>
      <c r="AC303" s="550" t="s">
        <v>3002</v>
      </c>
      <c r="AD303" s="548" t="s">
        <v>1514</v>
      </c>
      <c r="AE303" s="1332"/>
      <c r="AF303" s="1442"/>
      <c r="AG303" s="1442"/>
      <c r="AH303" s="1001" t="s">
        <v>2473</v>
      </c>
      <c r="AI303" s="1811"/>
      <c r="AJ303" s="1811"/>
      <c r="AK303" s="1444"/>
      <c r="AL303" s="1444"/>
      <c r="AM303" s="1834"/>
      <c r="AN303" s="1834"/>
      <c r="AO303" s="1834"/>
      <c r="AP303" s="1834"/>
    </row>
    <row s="1834" customFormat="1" customHeight="1" ht="14.25">
      <c r="A304" s="667"/>
      <c r="B304" s="1459"/>
      <c r="C304" s="1459"/>
      <c r="D304" s="1459"/>
      <c r="E304" s="649">
        <v>15</v>
      </c>
      <c r="F304" s="50" cm="1" t="str">
        <f t="array" ref="F304:F304">OFFSET(E304,-1,1)</f>
        <v>3</v>
      </c>
      <c r="G304" s="1459"/>
      <c r="H304" s="488" t="s">
        <v>2047</v>
      </c>
      <c r="I304" s="1459"/>
      <c r="J304" s="1459"/>
      <c r="K304" s="1459"/>
      <c r="L304" s="1459"/>
      <c r="M304" s="1459"/>
      <c r="N304" s="1459"/>
      <c r="O304" s="1459"/>
      <c r="P304" s="1459"/>
      <c r="Q304" s="1459"/>
      <c r="R304" s="1459"/>
      <c r="S304" s="1459"/>
      <c r="T304" s="465" cm="1" t="str">
        <f t="array" ref="T304:T304">T303</f>
        <v>true</v>
      </c>
      <c r="U304" s="1459"/>
      <c r="V304" s="1459"/>
      <c r="W304" s="1459"/>
      <c r="X304" s="1596"/>
      <c r="Y304" s="1459"/>
      <c r="Z304" s="1597"/>
      <c r="AA304" s="1459"/>
      <c r="AB304" s="714" t="s">
        <v>2048</v>
      </c>
      <c r="AC304" s="549" t="s">
        <v>3003</v>
      </c>
      <c r="AD304" s="548" t="s">
        <v>1514</v>
      </c>
      <c r="AE304" s="1332"/>
      <c r="AF304" s="1442"/>
      <c r="AG304" s="1442"/>
      <c r="AH304" s="1001" t="s">
        <v>2825</v>
      </c>
      <c r="AI304" s="1811"/>
      <c r="AJ304" s="1811"/>
      <c r="AK304" s="1444"/>
      <c r="AL304" s="1444"/>
      <c r="AM304" s="1834"/>
      <c r="AN304" s="1834"/>
      <c r="AO304" s="1834"/>
      <c r="AP304" s="1834"/>
    </row>
    <row s="1834" customFormat="1" customHeight="1" ht="14.25">
      <c r="A305" s="667"/>
      <c r="B305" s="1459"/>
      <c r="C305" s="1459"/>
      <c r="D305" s="1459"/>
      <c r="E305" s="649">
        <v>15</v>
      </c>
      <c r="F305" s="50" cm="1" t="str">
        <f t="array" ref="F305:F305">OFFSET(E305,-1,1)</f>
        <v>3</v>
      </c>
      <c r="G305" s="1459"/>
      <c r="H305" s="488" t="s">
        <v>3004</v>
      </c>
      <c r="I305" s="1459"/>
      <c r="J305" s="1459"/>
      <c r="K305" s="1459"/>
      <c r="L305" s="1459"/>
      <c r="M305" s="1459"/>
      <c r="N305" s="1459"/>
      <c r="O305" s="1459"/>
      <c r="P305" s="1459"/>
      <c r="Q305" s="1459"/>
      <c r="R305" s="1459"/>
      <c r="S305" s="1459"/>
      <c r="T305" s="465" cm="1" t="str">
        <f t="array" ref="T305:T305">T304</f>
        <v>true</v>
      </c>
      <c r="U305" s="1459"/>
      <c r="V305" s="1459"/>
      <c r="W305" s="1459"/>
      <c r="X305" s="1596"/>
      <c r="Y305" s="1459"/>
      <c r="Z305" s="1597"/>
      <c r="AA305" s="1459"/>
      <c r="AB305" s="714" t="s">
        <v>2051</v>
      </c>
      <c r="AC305" s="549" t="s">
        <v>2650</v>
      </c>
      <c r="AD305" s="548" t="s">
        <v>1514</v>
      </c>
      <c r="AE305" s="1332"/>
      <c r="AF305" s="1442"/>
      <c r="AG305" s="1442"/>
      <c r="AH305" s="1001" t="s">
        <v>2478</v>
      </c>
      <c r="AI305" s="1811"/>
      <c r="AJ305" s="1811"/>
      <c r="AK305" s="1444"/>
      <c r="AL305" s="1444"/>
      <c r="AM305" s="1834"/>
      <c r="AN305" s="1834"/>
      <c r="AO305" s="1834"/>
      <c r="AP305" s="1834"/>
    </row>
    <row s="1834" customFormat="1" customHeight="1" ht="14.25">
      <c r="A306" s="667"/>
      <c r="B306" s="1459"/>
      <c r="C306" s="1459"/>
      <c r="D306" s="1459"/>
      <c r="E306" s="649">
        <v>15</v>
      </c>
      <c r="F306" s="50" cm="1" t="str">
        <f t="array" ref="F306:F306">OFFSET(E306,-1,1)</f>
        <v>3</v>
      </c>
      <c r="G306" s="1459"/>
      <c r="H306" s="488" t="s">
        <v>3005</v>
      </c>
      <c r="I306" s="1459"/>
      <c r="J306" s="1459"/>
      <c r="K306" s="1459"/>
      <c r="L306" s="1459"/>
      <c r="M306" s="1459"/>
      <c r="N306" s="1459"/>
      <c r="O306" s="1459"/>
      <c r="P306" s="1459"/>
      <c r="Q306" s="1459"/>
      <c r="R306" s="1459"/>
      <c r="S306" s="1459"/>
      <c r="T306" s="465" cm="1" t="str">
        <f t="array" ref="T306:T306">T305</f>
        <v>true</v>
      </c>
      <c r="U306" s="1459"/>
      <c r="V306" s="1459"/>
      <c r="W306" s="1459"/>
      <c r="X306" s="1596"/>
      <c r="Y306" s="1459"/>
      <c r="Z306" s="1597"/>
      <c r="AA306" s="1459"/>
      <c r="AB306" s="714" t="s">
        <v>3006</v>
      </c>
      <c r="AC306" s="549" t="s">
        <v>3007</v>
      </c>
      <c r="AD306" s="548" t="s">
        <v>1514</v>
      </c>
      <c r="AE306" s="557">
        <f>SUM(AE307:AE313)</f>
        <v>0</v>
      </c>
      <c r="AF306" s="1442"/>
      <c r="AG306" s="1442"/>
      <c r="AH306" s="1001" t="s">
        <v>2482</v>
      </c>
      <c r="AI306" s="1811"/>
      <c r="AJ306" s="1811"/>
      <c r="AK306" s="1444"/>
      <c r="AL306" s="1444"/>
      <c r="AM306" s="1834"/>
      <c r="AN306" s="1834"/>
      <c r="AO306" s="1834"/>
      <c r="AP306" s="1834"/>
    </row>
    <row s="1834" customFormat="1" customHeight="1" ht="14.25">
      <c r="A307" s="667"/>
      <c r="B307" s="1459"/>
      <c r="C307" s="1459"/>
      <c r="D307" s="1459"/>
      <c r="E307" s="649">
        <v>15</v>
      </c>
      <c r="F307" s="50" cm="1" t="str">
        <f t="array" ref="F307:F307">OFFSET(E307,-1,1)</f>
        <v>3</v>
      </c>
      <c r="G307" s="1459"/>
      <c r="H307" s="488" t="s">
        <v>3008</v>
      </c>
      <c r="I307" s="1459"/>
      <c r="J307" s="1459"/>
      <c r="K307" s="1459"/>
      <c r="L307" s="1459"/>
      <c r="M307" s="1459"/>
      <c r="N307" s="1459"/>
      <c r="O307" s="1459"/>
      <c r="P307" s="1459"/>
      <c r="Q307" s="1459"/>
      <c r="R307" s="1459"/>
      <c r="S307" s="1459"/>
      <c r="T307" s="465" cm="1" t="str">
        <f t="array" ref="T307:T307">T306</f>
        <v>true</v>
      </c>
      <c r="U307" s="1459"/>
      <c r="V307" s="1459"/>
      <c r="W307" s="1459"/>
      <c r="X307" s="1596"/>
      <c r="Y307" s="1459"/>
      <c r="Z307" s="1597"/>
      <c r="AA307" s="1459"/>
      <c r="AB307" s="714" t="s">
        <v>3009</v>
      </c>
      <c r="AC307" s="550" t="s">
        <v>2489</v>
      </c>
      <c r="AD307" s="548" t="s">
        <v>1514</v>
      </c>
      <c r="AE307" s="1332"/>
      <c r="AF307" s="1442"/>
      <c r="AG307" s="1442"/>
      <c r="AH307" s="1001" t="s">
        <v>3010</v>
      </c>
      <c r="AI307" s="1811"/>
      <c r="AJ307" s="1811"/>
      <c r="AK307" s="1444"/>
      <c r="AL307" s="1444"/>
      <c r="AM307" s="1834"/>
      <c r="AN307" s="1834"/>
      <c r="AO307" s="1834"/>
      <c r="AP307" s="1834"/>
    </row>
    <row s="1834" customFormat="1" customHeight="1" ht="21.75">
      <c r="A308" s="667"/>
      <c r="B308" s="1459"/>
      <c r="C308" s="1459"/>
      <c r="D308" s="1459"/>
      <c r="E308" s="649">
        <v>22.5</v>
      </c>
      <c r="F308" s="50" cm="1" t="str">
        <f t="array" ref="F308:F308">OFFSET(E308,-1,1)</f>
        <v>3</v>
      </c>
      <c r="G308" s="1459"/>
      <c r="H308" s="488" t="s">
        <v>3011</v>
      </c>
      <c r="I308" s="1459"/>
      <c r="J308" s="1459"/>
      <c r="K308" s="1459"/>
      <c r="L308" s="1459"/>
      <c r="M308" s="1459"/>
      <c r="N308" s="1459"/>
      <c r="O308" s="1459"/>
      <c r="P308" s="1459"/>
      <c r="Q308" s="1459"/>
      <c r="R308" s="1459"/>
      <c r="S308" s="1459"/>
      <c r="T308" s="465" cm="1" t="str">
        <f t="array" ref="T308:T308">T307</f>
        <v>true</v>
      </c>
      <c r="U308" s="1459"/>
      <c r="V308" s="1459"/>
      <c r="W308" s="1459"/>
      <c r="X308" s="1596"/>
      <c r="Y308" s="1459"/>
      <c r="Z308" s="1597"/>
      <c r="AA308" s="1459"/>
      <c r="AB308" s="714" t="s">
        <v>3012</v>
      </c>
      <c r="AC308" s="550" t="s">
        <v>2658</v>
      </c>
      <c r="AD308" s="548" t="s">
        <v>1514</v>
      </c>
      <c r="AE308" s="1332"/>
      <c r="AF308" s="1442"/>
      <c r="AG308" s="1442"/>
      <c r="AH308" s="1064" t="s">
        <v>2659</v>
      </c>
      <c r="AI308" s="1811"/>
      <c r="AJ308" s="1811"/>
      <c r="AK308" s="1444"/>
      <c r="AL308" s="1444"/>
      <c r="AM308" s="1834"/>
      <c r="AN308" s="1834"/>
      <c r="AO308" s="1834"/>
      <c r="AP308" s="1834"/>
    </row>
    <row s="1834" customFormat="1" customHeight="1" ht="21.75">
      <c r="A309" s="667"/>
      <c r="B309" s="1459"/>
      <c r="C309" s="1459"/>
      <c r="D309" s="1459"/>
      <c r="E309" s="649">
        <v>22.5</v>
      </c>
      <c r="F309" s="50" cm="1" t="str">
        <f t="array" ref="F309:F309">OFFSET(E309,-1,1)</f>
        <v>3</v>
      </c>
      <c r="G309" s="1459"/>
      <c r="H309" s="488" t="s">
        <v>3013</v>
      </c>
      <c r="I309" s="1459"/>
      <c r="J309" s="1459"/>
      <c r="K309" s="1459"/>
      <c r="L309" s="1459"/>
      <c r="M309" s="1459"/>
      <c r="N309" s="1459"/>
      <c r="O309" s="1459"/>
      <c r="P309" s="1459"/>
      <c r="Q309" s="1459"/>
      <c r="R309" s="1459"/>
      <c r="S309" s="1459"/>
      <c r="T309" s="465" cm="1" t="str">
        <f t="array" ref="T309:T309">T308</f>
        <v>true</v>
      </c>
      <c r="U309" s="1459"/>
      <c r="V309" s="1459"/>
      <c r="W309" s="1459"/>
      <c r="X309" s="1596"/>
      <c r="Y309" s="1459"/>
      <c r="Z309" s="1597"/>
      <c r="AA309" s="1459"/>
      <c r="AB309" s="714" t="s">
        <v>3014</v>
      </c>
      <c r="AC309" s="550" t="s">
        <v>2662</v>
      </c>
      <c r="AD309" s="548" t="s">
        <v>1514</v>
      </c>
      <c r="AE309" s="1332"/>
      <c r="AF309" s="1442"/>
      <c r="AG309" s="1442"/>
      <c r="AH309" s="1064" t="s">
        <v>2663</v>
      </c>
      <c r="AI309" s="1811"/>
      <c r="AJ309" s="1811"/>
      <c r="AK309" s="1444"/>
      <c r="AL309" s="1444"/>
      <c r="AM309" s="1834"/>
      <c r="AN309" s="1834"/>
      <c r="AO309" s="1834"/>
      <c r="AP309" s="1834"/>
    </row>
    <row s="1834" customFormat="1" customHeight="1" ht="21.75">
      <c r="A310" s="667"/>
      <c r="B310" s="1459"/>
      <c r="C310" s="1459"/>
      <c r="D310" s="1459"/>
      <c r="E310" s="649">
        <v>22.5</v>
      </c>
      <c r="F310" s="50" cm="1" t="str">
        <f t="array" ref="F310:F310">OFFSET(E310,-1,1)</f>
        <v>3</v>
      </c>
      <c r="G310" s="1459"/>
      <c r="H310" s="488" t="s">
        <v>3015</v>
      </c>
      <c r="I310" s="1459"/>
      <c r="J310" s="1459"/>
      <c r="K310" s="1459"/>
      <c r="L310" s="1459"/>
      <c r="M310" s="1459"/>
      <c r="N310" s="1459"/>
      <c r="O310" s="1459"/>
      <c r="P310" s="1459"/>
      <c r="Q310" s="1459"/>
      <c r="R310" s="1459"/>
      <c r="S310" s="1459"/>
      <c r="T310" s="465" cm="1" t="str">
        <f t="array" ref="T310:T310">T309</f>
        <v>true</v>
      </c>
      <c r="U310" s="1459"/>
      <c r="V310" s="1459"/>
      <c r="W310" s="1459"/>
      <c r="X310" s="1596"/>
      <c r="Y310" s="1459"/>
      <c r="Z310" s="1597"/>
      <c r="AA310" s="1459"/>
      <c r="AB310" s="714" t="s">
        <v>3016</v>
      </c>
      <c r="AC310" s="550" t="s">
        <v>3017</v>
      </c>
      <c r="AD310" s="548" t="s">
        <v>1514</v>
      </c>
      <c r="AE310" s="1332"/>
      <c r="AF310" s="1442"/>
      <c r="AG310" s="1442"/>
      <c r="AH310" s="1064" t="s">
        <v>2667</v>
      </c>
      <c r="AI310" s="1811"/>
      <c r="AJ310" s="1811"/>
      <c r="AK310" s="1444"/>
      <c r="AL310" s="1444"/>
      <c r="AM310" s="1834"/>
      <c r="AN310" s="1834"/>
      <c r="AO310" s="1834"/>
      <c r="AP310" s="1834"/>
    </row>
    <row s="1834" customFormat="1" customHeight="1" ht="54.75">
      <c r="A311" s="667"/>
      <c r="B311" s="1459"/>
      <c r="C311" s="1459"/>
      <c r="D311" s="1459"/>
      <c r="E311" s="649">
        <v>56.25</v>
      </c>
      <c r="F311" s="50" cm="1" t="str">
        <f t="array" ref="F311:F311">OFFSET(E311,-1,1)</f>
        <v>3</v>
      </c>
      <c r="G311" s="1459"/>
      <c r="H311" s="488" t="s">
        <v>3018</v>
      </c>
      <c r="I311" s="1459"/>
      <c r="J311" s="1459"/>
      <c r="K311" s="1459"/>
      <c r="L311" s="1459"/>
      <c r="M311" s="1459"/>
      <c r="N311" s="1459"/>
      <c r="O311" s="1459"/>
      <c r="P311" s="1459"/>
      <c r="Q311" s="1459"/>
      <c r="R311" s="1459"/>
      <c r="S311" s="1459"/>
      <c r="T311" s="465" cm="1" t="str">
        <f t="array" ref="T311:T311">T310</f>
        <v>true</v>
      </c>
      <c r="U311" s="1459"/>
      <c r="V311" s="1459"/>
      <c r="W311" s="1459"/>
      <c r="X311" s="1596"/>
      <c r="Y311" s="1459"/>
      <c r="Z311" s="1597"/>
      <c r="AA311" s="1459"/>
      <c r="AB311" s="714" t="s">
        <v>3019</v>
      </c>
      <c r="AC311" s="550" t="s">
        <v>2670</v>
      </c>
      <c r="AD311" s="548" t="s">
        <v>1514</v>
      </c>
      <c r="AE311" s="1332"/>
      <c r="AF311" s="1442"/>
      <c r="AG311" s="1442"/>
      <c r="AH311" s="1064" t="s">
        <v>2494</v>
      </c>
      <c r="AI311" s="1811"/>
      <c r="AJ311" s="1811"/>
      <c r="AK311" s="1444"/>
      <c r="AL311" s="1444"/>
      <c r="AM311" s="1834"/>
      <c r="AN311" s="1834"/>
      <c r="AO311" s="1834"/>
      <c r="AP311" s="1834"/>
    </row>
    <row s="1834" customFormat="1" customHeight="1" ht="14.25">
      <c r="A312" s="667"/>
      <c r="B312" s="1459"/>
      <c r="C312" s="1459"/>
      <c r="D312" s="1459"/>
      <c r="E312" s="649">
        <v>15</v>
      </c>
      <c r="F312" s="50" cm="1" t="str">
        <f t="array" ref="F312:F312">OFFSET(E312,-1,1)</f>
        <v>3</v>
      </c>
      <c r="G312" s="1459"/>
      <c r="H312" s="488" t="s">
        <v>3020</v>
      </c>
      <c r="I312" s="1459"/>
      <c r="J312" s="1459"/>
      <c r="K312" s="1459"/>
      <c r="L312" s="1459"/>
      <c r="M312" s="1459"/>
      <c r="N312" s="1459"/>
      <c r="O312" s="1459"/>
      <c r="P312" s="1459"/>
      <c r="Q312" s="1459"/>
      <c r="R312" s="1459"/>
      <c r="S312" s="1459"/>
      <c r="T312" s="465" cm="1" t="str">
        <f t="array" ref="T312:T312">T311</f>
        <v>true</v>
      </c>
      <c r="U312" s="1459"/>
      <c r="V312" s="1459"/>
      <c r="W312" s="1459"/>
      <c r="X312" s="1596"/>
      <c r="Y312" s="1459"/>
      <c r="Z312" s="1597"/>
      <c r="AA312" s="1459"/>
      <c r="AB312" s="714" t="s">
        <v>3021</v>
      </c>
      <c r="AC312" s="550" t="s">
        <v>2497</v>
      </c>
      <c r="AD312" s="548" t="s">
        <v>1514</v>
      </c>
      <c r="AE312" s="1332"/>
      <c r="AF312" s="1442"/>
      <c r="AG312" s="1442"/>
      <c r="AH312" s="1064" t="s">
        <v>2498</v>
      </c>
      <c r="AI312" s="1811"/>
      <c r="AJ312" s="1811"/>
      <c r="AK312" s="1444"/>
      <c r="AL312" s="1444"/>
      <c r="AM312" s="1834"/>
      <c r="AN312" s="1834"/>
      <c r="AO312" s="1834"/>
      <c r="AP312" s="1834"/>
    </row>
    <row s="1834" customFormat="1" customHeight="1" ht="14.25">
      <c r="A313" s="667"/>
      <c r="B313" s="1459"/>
      <c r="C313" s="1459"/>
      <c r="D313" s="1459"/>
      <c r="E313" s="649">
        <v>15</v>
      </c>
      <c r="F313" s="50" cm="1" t="str">
        <f t="array" ref="F313:F313">OFFSET(E313,-1,1)</f>
        <v>3</v>
      </c>
      <c r="G313" s="1459"/>
      <c r="H313" s="488" t="s">
        <v>3022</v>
      </c>
      <c r="I313" s="1459"/>
      <c r="J313" s="1459"/>
      <c r="K313" s="1459"/>
      <c r="L313" s="1459"/>
      <c r="M313" s="1459"/>
      <c r="N313" s="1459"/>
      <c r="O313" s="1459"/>
      <c r="P313" s="1459"/>
      <c r="Q313" s="1459"/>
      <c r="R313" s="1459"/>
      <c r="S313" s="1459"/>
      <c r="T313" s="465" cm="1" t="str">
        <f t="array" ref="T313:T313">T312</f>
        <v>true</v>
      </c>
      <c r="U313" s="1459"/>
      <c r="V313" s="1459"/>
      <c r="W313" s="1459"/>
      <c r="X313" s="1596"/>
      <c r="Y313" s="1459"/>
      <c r="Z313" s="1597"/>
      <c r="AA313" s="1459"/>
      <c r="AB313" s="714" t="s">
        <v>3023</v>
      </c>
      <c r="AC313" s="550" t="s">
        <v>1965</v>
      </c>
      <c r="AD313" s="548" t="s">
        <v>1514</v>
      </c>
      <c r="AE313" s="1332"/>
      <c r="AF313" s="1442"/>
      <c r="AG313" s="1442"/>
      <c r="AH313" s="1064" t="s">
        <v>2482</v>
      </c>
      <c r="AI313" s="1811"/>
      <c r="AJ313" s="1811"/>
      <c r="AK313" s="1444"/>
      <c r="AL313" s="1444"/>
      <c r="AM313" s="1834"/>
      <c r="AN313" s="1834"/>
      <c r="AO313" s="1834"/>
      <c r="AP313" s="1834"/>
    </row>
    <row s="1834" customFormat="1" customHeight="1" ht="14.25">
      <c r="A314" s="667"/>
      <c r="B314" s="1459"/>
      <c r="C314" s="1459"/>
      <c r="D314" s="1459"/>
      <c r="E314" s="649">
        <v>15</v>
      </c>
      <c r="F314" s="50" cm="1" t="str">
        <f t="array" ref="F314:F314">OFFSET(E314,-1,1)</f>
        <v>3</v>
      </c>
      <c r="G314" s="1459"/>
      <c r="H314" s="488" t="s">
        <v>1179</v>
      </c>
      <c r="I314" s="1459"/>
      <c r="J314" s="1459"/>
      <c r="K314" s="1459"/>
      <c r="L314" s="1459"/>
      <c r="M314" s="1459"/>
      <c r="N314" s="1459"/>
      <c r="O314" s="1459"/>
      <c r="P314" s="1459"/>
      <c r="Q314" s="1459"/>
      <c r="R314" s="1459"/>
      <c r="S314" s="1459"/>
      <c r="T314" s="465" cm="1" t="str">
        <f t="array" ref="T314:T314">T313</f>
        <v>true</v>
      </c>
      <c r="U314" s="1459"/>
      <c r="V314" s="1459"/>
      <c r="W314" s="1459"/>
      <c r="X314" s="1596"/>
      <c r="Y314" s="1459"/>
      <c r="Z314" s="1597"/>
      <c r="AA314" s="1459"/>
      <c r="AB314" s="714" t="s">
        <v>1631</v>
      </c>
      <c r="AC314" s="547" t="s">
        <v>3024</v>
      </c>
      <c r="AD314" s="548" t="s">
        <v>1514</v>
      </c>
      <c r="AE314" s="557">
        <f>AE315+AE316+AE317</f>
        <v>0</v>
      </c>
      <c r="AF314" s="1442"/>
      <c r="AG314" s="1442"/>
      <c r="AH314" s="1063" t="s">
        <v>2502</v>
      </c>
      <c r="AI314" s="1811"/>
      <c r="AJ314" s="1811"/>
      <c r="AK314" s="1444"/>
      <c r="AL314" s="1444"/>
      <c r="AM314" s="1834"/>
      <c r="AN314" s="1834"/>
      <c r="AO314" s="1834"/>
      <c r="AP314" s="1834"/>
    </row>
    <row s="1834" customFormat="1" customHeight="1" ht="14.25">
      <c r="A315" s="667"/>
      <c r="B315" s="1459"/>
      <c r="C315" s="1459"/>
      <c r="D315" s="1459"/>
      <c r="E315" s="649">
        <v>15</v>
      </c>
      <c r="F315" s="50" cm="1" t="str">
        <f t="array" ref="F315:F315">OFFSET(E315,-1,1)</f>
        <v>3</v>
      </c>
      <c r="G315" s="1459"/>
      <c r="H315" s="488" t="s">
        <v>2068</v>
      </c>
      <c r="I315" s="1459"/>
      <c r="J315" s="1459"/>
      <c r="K315" s="1459"/>
      <c r="L315" s="1459"/>
      <c r="M315" s="1459"/>
      <c r="N315" s="1459"/>
      <c r="O315" s="1459"/>
      <c r="P315" s="1459"/>
      <c r="Q315" s="1459"/>
      <c r="R315" s="1459"/>
      <c r="S315" s="1459"/>
      <c r="T315" s="465" cm="1" t="str">
        <f t="array" ref="T315:T315">T314</f>
        <v>true</v>
      </c>
      <c r="U315" s="1459"/>
      <c r="V315" s="1459"/>
      <c r="W315" s="1459"/>
      <c r="X315" s="1596"/>
      <c r="Y315" s="1459"/>
      <c r="Z315" s="1597"/>
      <c r="AA315" s="1459"/>
      <c r="AB315" s="714" t="s">
        <v>2069</v>
      </c>
      <c r="AC315" s="549" t="s">
        <v>3025</v>
      </c>
      <c r="AD315" s="548" t="s">
        <v>1514</v>
      </c>
      <c r="AE315" s="1332"/>
      <c r="AF315" s="1442"/>
      <c r="AG315" s="1442"/>
      <c r="AH315" s="1062" t="s">
        <v>2504</v>
      </c>
      <c r="AI315" s="1811"/>
      <c r="AJ315" s="1811"/>
      <c r="AK315" s="1444"/>
      <c r="AL315" s="1444"/>
      <c r="AM315" s="1834"/>
      <c r="AN315" s="1834"/>
      <c r="AO315" s="1834"/>
      <c r="AP315" s="1834"/>
    </row>
    <row s="1834" customFormat="1" customHeight="1" ht="14.25">
      <c r="A316" s="667"/>
      <c r="B316" s="1459"/>
      <c r="C316" s="1459"/>
      <c r="D316" s="1459"/>
      <c r="E316" s="649">
        <v>15</v>
      </c>
      <c r="F316" s="50" cm="1" t="str">
        <f t="array" ref="F316:F316">OFFSET(E316,-1,1)</f>
        <v>3</v>
      </c>
      <c r="G316" s="1459"/>
      <c r="H316" s="488" t="s">
        <v>2071</v>
      </c>
      <c r="I316" s="1459"/>
      <c r="J316" s="1459"/>
      <c r="K316" s="1459"/>
      <c r="L316" s="1459"/>
      <c r="M316" s="1459"/>
      <c r="N316" s="1459"/>
      <c r="O316" s="1459"/>
      <c r="P316" s="1459"/>
      <c r="Q316" s="1459"/>
      <c r="R316" s="1459"/>
      <c r="S316" s="1459"/>
      <c r="T316" s="465" cm="1" t="str">
        <f t="array" ref="T316:T316">T315</f>
        <v>true</v>
      </c>
      <c r="U316" s="1459"/>
      <c r="V316" s="1459"/>
      <c r="W316" s="1459"/>
      <c r="X316" s="1596"/>
      <c r="Y316" s="1459"/>
      <c r="Z316" s="1597"/>
      <c r="AA316" s="1459"/>
      <c r="AB316" s="714" t="s">
        <v>2072</v>
      </c>
      <c r="AC316" s="549" t="s">
        <v>3026</v>
      </c>
      <c r="AD316" s="548" t="s">
        <v>1514</v>
      </c>
      <c r="AE316" s="1332"/>
      <c r="AF316" s="1442"/>
      <c r="AG316" s="1442"/>
      <c r="AH316" s="1064" t="s">
        <v>2678</v>
      </c>
      <c r="AI316" s="1811"/>
      <c r="AJ316" s="1811"/>
      <c r="AK316" s="1444"/>
      <c r="AL316" s="1444"/>
      <c r="AM316" s="1834"/>
      <c r="AN316" s="1834"/>
      <c r="AO316" s="1834"/>
      <c r="AP316" s="1834"/>
    </row>
    <row s="1834" customFormat="1" customHeight="1" ht="21.75">
      <c r="A317" s="667"/>
      <c r="B317" s="1459"/>
      <c r="C317" s="1459"/>
      <c r="D317" s="1459"/>
      <c r="E317" s="649">
        <v>22.5</v>
      </c>
      <c r="F317" s="50" cm="1" t="str">
        <f t="array" ref="F317:F317">OFFSET(E317,-1,1)</f>
        <v>3</v>
      </c>
      <c r="G317" s="1459"/>
      <c r="H317" s="488" t="s">
        <v>2075</v>
      </c>
      <c r="I317" s="1459"/>
      <c r="J317" s="1459"/>
      <c r="K317" s="1459"/>
      <c r="L317" s="1459"/>
      <c r="M317" s="1459"/>
      <c r="N317" s="1459"/>
      <c r="O317" s="1459"/>
      <c r="P317" s="1459"/>
      <c r="Q317" s="1459"/>
      <c r="R317" s="1459"/>
      <c r="S317" s="1459"/>
      <c r="T317" s="465" cm="1" t="str">
        <f t="array" ref="T317:T317">T316</f>
        <v>true</v>
      </c>
      <c r="U317" s="1459"/>
      <c r="V317" s="1459"/>
      <c r="W317" s="1459"/>
      <c r="X317" s="1596"/>
      <c r="Y317" s="1459"/>
      <c r="Z317" s="1597"/>
      <c r="AA317" s="1459"/>
      <c r="AB317" s="714" t="s">
        <v>2076</v>
      </c>
      <c r="AC317" s="549" t="s">
        <v>3027</v>
      </c>
      <c r="AD317" s="548" t="s">
        <v>1514</v>
      </c>
      <c r="AE317" s="557">
        <f>AE318+AE321</f>
        <v>0</v>
      </c>
      <c r="AF317" s="1442"/>
      <c r="AG317" s="1442"/>
      <c r="AH317" s="1062" t="s">
        <v>2506</v>
      </c>
      <c r="AI317" s="1811"/>
      <c r="AJ317" s="1811"/>
      <c r="AK317" s="1444"/>
      <c r="AL317" s="1444"/>
      <c r="AM317" s="1834"/>
      <c r="AN317" s="1834"/>
      <c r="AO317" s="1834"/>
      <c r="AP317" s="1834"/>
    </row>
    <row s="1834" customFormat="1" customHeight="1" ht="14.25">
      <c r="A318" s="667"/>
      <c r="B318" s="1459"/>
      <c r="C318" s="1459"/>
      <c r="D318" s="1459"/>
      <c r="E318" s="649">
        <v>15</v>
      </c>
      <c r="F318" s="50" cm="1" t="str">
        <f t="array" ref="F318:F318">OFFSET(E318,-1,1)</f>
        <v>3</v>
      </c>
      <c r="G318" s="1459"/>
      <c r="H318" s="488" t="s">
        <v>2220</v>
      </c>
      <c r="I318" s="1459"/>
      <c r="J318" s="1459"/>
      <c r="K318" s="1459"/>
      <c r="L318" s="1459"/>
      <c r="M318" s="1459"/>
      <c r="N318" s="1459"/>
      <c r="O318" s="1459"/>
      <c r="P318" s="1459"/>
      <c r="Q318" s="1459"/>
      <c r="R318" s="1459"/>
      <c r="S318" s="1459"/>
      <c r="T318" s="465" cm="1" t="str">
        <f t="array" ref="T318:T318">T317</f>
        <v>true</v>
      </c>
      <c r="U318" s="1459"/>
      <c r="V318" s="1459"/>
      <c r="W318" s="1459"/>
      <c r="X318" s="1596"/>
      <c r="Y318" s="1459"/>
      <c r="Z318" s="1597"/>
      <c r="AA318" s="1459"/>
      <c r="AB318" s="714" t="s">
        <v>2647</v>
      </c>
      <c r="AC318" s="550" t="s">
        <v>2508</v>
      </c>
      <c r="AD318" s="548" t="s">
        <v>1514</v>
      </c>
      <c r="AE318" s="1332"/>
      <c r="AF318" s="1442"/>
      <c r="AG318" s="1442"/>
      <c r="AH318" s="1062" t="s">
        <v>2509</v>
      </c>
      <c r="AI318" s="1811"/>
      <c r="AJ318" s="1811"/>
      <c r="AK318" s="1444"/>
      <c r="AL318" s="1444"/>
      <c r="AM318" s="1834"/>
      <c r="AN318" s="1834"/>
      <c r="AO318" s="1834"/>
      <c r="AP318" s="1834"/>
    </row>
    <row s="1834" customFormat="1" customHeight="1" ht="14.25">
      <c r="A319" s="667"/>
      <c r="B319" s="1459"/>
      <c r="C319" s="1459"/>
      <c r="D319" s="1459"/>
      <c r="E319" s="649">
        <v>15</v>
      </c>
      <c r="F319" s="50" cm="1" t="str">
        <f t="array" ref="F319:F319">OFFSET(E319,-1,1)</f>
        <v>3</v>
      </c>
      <c r="G319" s="1459"/>
      <c r="H319" s="488" t="s">
        <v>3028</v>
      </c>
      <c r="I319" s="1459"/>
      <c r="J319" s="1459"/>
      <c r="K319" s="1459"/>
      <c r="L319" s="1459"/>
      <c r="M319" s="1459"/>
      <c r="N319" s="1459"/>
      <c r="O319" s="1459"/>
      <c r="P319" s="1459"/>
      <c r="Q319" s="1459"/>
      <c r="R319" s="1459"/>
      <c r="S319" s="1459"/>
      <c r="T319" s="465" cm="1" t="str">
        <f t="array" ref="T319:T319">T318</f>
        <v>true</v>
      </c>
      <c r="U319" s="1459"/>
      <c r="V319" s="1459"/>
      <c r="W319" s="1459"/>
      <c r="X319" s="1596"/>
      <c r="Y319" s="1459"/>
      <c r="Z319" s="1597"/>
      <c r="AA319" s="1459"/>
      <c r="AB319" s="714" t="s">
        <v>3029</v>
      </c>
      <c r="AC319" s="551" t="s">
        <v>3030</v>
      </c>
      <c r="AD319" s="548" t="s">
        <v>2993</v>
      </c>
      <c r="AE319" s="1332"/>
      <c r="AF319" s="1442"/>
      <c r="AG319" s="1442"/>
      <c r="AH319" s="1001" t="s">
        <v>3031</v>
      </c>
      <c r="AI319" s="1811"/>
      <c r="AJ319" s="1811"/>
      <c r="AK319" s="1444"/>
      <c r="AL319" s="1444"/>
      <c r="AM319" s="1834"/>
      <c r="AN319" s="1834"/>
      <c r="AO319" s="1834"/>
      <c r="AP319" s="1834"/>
    </row>
    <row s="1834" customFormat="1" customHeight="1" ht="14.25">
      <c r="A320" s="667"/>
      <c r="B320" s="1459"/>
      <c r="C320" s="1459"/>
      <c r="D320" s="1459"/>
      <c r="E320" s="649">
        <v>15</v>
      </c>
      <c r="F320" s="50" cm="1" t="str">
        <f t="array" ref="F320:F320">OFFSET(E320,-1,1)</f>
        <v>3</v>
      </c>
      <c r="G320" s="1459"/>
      <c r="H320" s="488" t="s">
        <v>3032</v>
      </c>
      <c r="I320" s="1459"/>
      <c r="J320" s="1459"/>
      <c r="K320" s="1459"/>
      <c r="L320" s="1459"/>
      <c r="M320" s="1459"/>
      <c r="N320" s="1459"/>
      <c r="O320" s="1459"/>
      <c r="P320" s="1459"/>
      <c r="Q320" s="1459"/>
      <c r="R320" s="1459"/>
      <c r="S320" s="1459"/>
      <c r="T320" s="465" cm="1" t="str">
        <f t="array" ref="T320:T320">T319</f>
        <v>true</v>
      </c>
      <c r="U320" s="1459"/>
      <c r="V320" s="1459"/>
      <c r="W320" s="1459"/>
      <c r="X320" s="1596"/>
      <c r="Y320" s="1459"/>
      <c r="Z320" s="1597"/>
      <c r="AA320" s="1459"/>
      <c r="AB320" s="714" t="s">
        <v>3033</v>
      </c>
      <c r="AC320" s="551" t="s">
        <v>3034</v>
      </c>
      <c r="AD320" s="548" t="s">
        <v>2998</v>
      </c>
      <c r="AE320" s="1332"/>
      <c r="AF320" s="1442"/>
      <c r="AG320" s="1442"/>
      <c r="AH320" s="1001" t="s">
        <v>3035</v>
      </c>
      <c r="AI320" s="1811"/>
      <c r="AJ320" s="1811"/>
      <c r="AK320" s="1444"/>
      <c r="AL320" s="1444"/>
      <c r="AM320" s="1834"/>
      <c r="AN320" s="1834"/>
      <c r="AO320" s="1834"/>
      <c r="AP320" s="1834"/>
    </row>
    <row s="1834" customFormat="1" customHeight="1" ht="21.75">
      <c r="A321" s="667"/>
      <c r="B321" s="1459"/>
      <c r="C321" s="1459"/>
      <c r="D321" s="1459"/>
      <c r="E321" s="649">
        <v>22.5</v>
      </c>
      <c r="F321" s="50" cm="1" t="str">
        <f t="array" ref="F321:F321">OFFSET(E321,-1,1)</f>
        <v>3</v>
      </c>
      <c r="G321" s="1459"/>
      <c r="H321" s="488" t="s">
        <v>2224</v>
      </c>
      <c r="I321" s="1459"/>
      <c r="J321" s="1459"/>
      <c r="K321" s="1459"/>
      <c r="L321" s="1459"/>
      <c r="M321" s="1459"/>
      <c r="N321" s="1459"/>
      <c r="O321" s="1459"/>
      <c r="P321" s="1459"/>
      <c r="Q321" s="1459"/>
      <c r="R321" s="1459"/>
      <c r="S321" s="1459"/>
      <c r="T321" s="465" cm="1" t="str">
        <f t="array" ref="T321:T321">T320</f>
        <v>true</v>
      </c>
      <c r="U321" s="1459"/>
      <c r="V321" s="1459"/>
      <c r="W321" s="1459"/>
      <c r="X321" s="1596"/>
      <c r="Y321" s="1459"/>
      <c r="Z321" s="1597"/>
      <c r="AA321" s="1459"/>
      <c r="AB321" s="714" t="s">
        <v>2648</v>
      </c>
      <c r="AC321" s="550" t="s">
        <v>2684</v>
      </c>
      <c r="AD321" s="548" t="s">
        <v>1514</v>
      </c>
      <c r="AE321" s="1332"/>
      <c r="AF321" s="1442"/>
      <c r="AG321" s="1442"/>
      <c r="AH321" s="1062" t="s">
        <v>2512</v>
      </c>
      <c r="AI321" s="1811"/>
      <c r="AJ321" s="1811"/>
      <c r="AK321" s="1444"/>
      <c r="AL321" s="1444"/>
      <c r="AM321" s="1834"/>
      <c r="AN321" s="1834"/>
      <c r="AO321" s="1834"/>
      <c r="AP321" s="1834"/>
    </row>
    <row s="1834" customFormat="1" customHeight="1" ht="14.25">
      <c r="A322" s="667"/>
      <c r="B322" s="1459"/>
      <c r="C322" s="1459"/>
      <c r="D322" s="1459"/>
      <c r="E322" s="649">
        <v>15</v>
      </c>
      <c r="F322" s="50" cm="1" t="str">
        <f t="array" ref="F322:F322">OFFSET(E322,-1,1)</f>
        <v>3</v>
      </c>
      <c r="G322" s="1459"/>
      <c r="H322" s="488" t="s">
        <v>1182</v>
      </c>
      <c r="I322" s="1459"/>
      <c r="J322" s="1459"/>
      <c r="K322" s="1459"/>
      <c r="L322" s="1459"/>
      <c r="M322" s="1459"/>
      <c r="N322" s="1459"/>
      <c r="O322" s="1459"/>
      <c r="P322" s="1459"/>
      <c r="Q322" s="1459"/>
      <c r="R322" s="1459"/>
      <c r="S322" s="1459"/>
      <c r="T322" s="465" cm="1" t="str">
        <f t="array" ref="T322:T322">T321</f>
        <v>true</v>
      </c>
      <c r="U322" s="1459"/>
      <c r="V322" s="1459"/>
      <c r="W322" s="1459"/>
      <c r="X322" s="1596"/>
      <c r="Y322" s="1459"/>
      <c r="Z322" s="1597"/>
      <c r="AA322" s="1459"/>
      <c r="AB322" s="714" t="s">
        <v>1634</v>
      </c>
      <c r="AC322" s="547" t="s">
        <v>2685</v>
      </c>
      <c r="AD322" s="548" t="s">
        <v>1514</v>
      </c>
      <c r="AE322" s="557">
        <f>AE323+AE329+AE334+AE335+AE336+AE337+AE338</f>
        <v>0</v>
      </c>
      <c r="AF322" s="1442"/>
      <c r="AG322" s="1442"/>
      <c r="AH322" s="1063" t="s">
        <v>2514</v>
      </c>
      <c r="AI322" s="1811"/>
      <c r="AJ322" s="1811"/>
      <c r="AK322" s="1444"/>
      <c r="AL322" s="1444"/>
      <c r="AM322" s="1834"/>
      <c r="AN322" s="1834"/>
      <c r="AO322" s="1834"/>
      <c r="AP322" s="1834"/>
    </row>
    <row s="1834" customFormat="1" customHeight="1" ht="21.75">
      <c r="A323" s="667"/>
      <c r="B323" s="1459"/>
      <c r="C323" s="1459"/>
      <c r="D323" s="1459"/>
      <c r="E323" s="649">
        <v>22.5</v>
      </c>
      <c r="F323" s="50" cm="1" t="str">
        <f t="array" ref="F323:F323">OFFSET(E323,-1,1)</f>
        <v>3</v>
      </c>
      <c r="G323" s="1459"/>
      <c r="H323" s="488" t="s">
        <v>2081</v>
      </c>
      <c r="I323" s="1459"/>
      <c r="J323" s="1459"/>
      <c r="K323" s="1459"/>
      <c r="L323" s="1459"/>
      <c r="M323" s="1459"/>
      <c r="N323" s="1459"/>
      <c r="O323" s="1459"/>
      <c r="P323" s="1459"/>
      <c r="Q323" s="1459"/>
      <c r="R323" s="1459"/>
      <c r="S323" s="1459"/>
      <c r="T323" s="465" cm="1" t="str">
        <f t="array" ref="T323:T323">T322</f>
        <v>true</v>
      </c>
      <c r="U323" s="1459"/>
      <c r="V323" s="1459"/>
      <c r="W323" s="1459"/>
      <c r="X323" s="1596"/>
      <c r="Y323" s="1459"/>
      <c r="Z323" s="1597"/>
      <c r="AA323" s="1459"/>
      <c r="AB323" s="714" t="s">
        <v>2082</v>
      </c>
      <c r="AC323" s="549" t="s">
        <v>2515</v>
      </c>
      <c r="AD323" s="548" t="s">
        <v>1514</v>
      </c>
      <c r="AE323" s="557">
        <f>SUM(AE324:AE328)</f>
        <v>0</v>
      </c>
      <c r="AF323" s="1442"/>
      <c r="AG323" s="1442"/>
      <c r="AH323" s="1062" t="s">
        <v>1918</v>
      </c>
      <c r="AI323" s="1811"/>
      <c r="AJ323" s="1811"/>
      <c r="AK323" s="1444"/>
      <c r="AL323" s="1444"/>
      <c r="AM323" s="1834"/>
      <c r="AN323" s="1834"/>
      <c r="AO323" s="1834"/>
      <c r="AP323" s="1834"/>
    </row>
    <row s="1834" customFormat="1" customHeight="1" ht="14.25">
      <c r="A324" s="667"/>
      <c r="B324" s="1459"/>
      <c r="C324" s="1459"/>
      <c r="D324" s="1459"/>
      <c r="E324" s="649">
        <v>15</v>
      </c>
      <c r="F324" s="50" cm="1" t="str">
        <f t="array" ref="F324:F324">OFFSET(E324,-1,1)</f>
        <v>3</v>
      </c>
      <c r="G324" s="1459"/>
      <c r="H324" s="488" t="s">
        <v>3036</v>
      </c>
      <c r="I324" s="1459"/>
      <c r="J324" s="1459"/>
      <c r="K324" s="1459"/>
      <c r="L324" s="1459"/>
      <c r="M324" s="1459"/>
      <c r="N324" s="1459"/>
      <c r="O324" s="1459"/>
      <c r="P324" s="1459"/>
      <c r="Q324" s="1459"/>
      <c r="R324" s="1459"/>
      <c r="S324" s="1459"/>
      <c r="T324" s="465" cm="1" t="str">
        <f t="array" ref="T324:T324">T323</f>
        <v>true</v>
      </c>
      <c r="U324" s="1459"/>
      <c r="V324" s="1459"/>
      <c r="W324" s="1459"/>
      <c r="X324" s="1596"/>
      <c r="Y324" s="1459"/>
      <c r="Z324" s="1597"/>
      <c r="AA324" s="1459"/>
      <c r="AB324" s="714" t="s">
        <v>3037</v>
      </c>
      <c r="AC324" s="550" t="s">
        <v>1920</v>
      </c>
      <c r="AD324" s="548" t="s">
        <v>1514</v>
      </c>
      <c r="AE324" s="1332"/>
      <c r="AF324" s="1442"/>
      <c r="AG324" s="1442"/>
      <c r="AH324" s="1064" t="s">
        <v>1921</v>
      </c>
      <c r="AI324" s="1811"/>
      <c r="AJ324" s="1811"/>
      <c r="AK324" s="1444"/>
      <c r="AL324" s="1444"/>
      <c r="AM324" s="1834"/>
      <c r="AN324" s="1834"/>
      <c r="AO324" s="1834"/>
      <c r="AP324" s="1834"/>
    </row>
    <row s="1834" customFormat="1" customHeight="1" ht="14.25">
      <c r="A325" s="667"/>
      <c r="B325" s="1459"/>
      <c r="C325" s="1459"/>
      <c r="D325" s="1459"/>
      <c r="E325" s="649">
        <v>15</v>
      </c>
      <c r="F325" s="50" cm="1" t="str">
        <f t="array" ref="F325:F325">OFFSET(E325,-1,1)</f>
        <v>3</v>
      </c>
      <c r="G325" s="1459"/>
      <c r="H325" s="488" t="s">
        <v>3038</v>
      </c>
      <c r="I325" s="1459"/>
      <c r="J325" s="1459"/>
      <c r="K325" s="1459"/>
      <c r="L325" s="1459"/>
      <c r="M325" s="1459"/>
      <c r="N325" s="1459"/>
      <c r="O325" s="1459"/>
      <c r="P325" s="1459"/>
      <c r="Q325" s="1459"/>
      <c r="R325" s="1459"/>
      <c r="S325" s="1459"/>
      <c r="T325" s="465" cm="1" t="str">
        <f t="array" ref="T325:T325">T324</f>
        <v>true</v>
      </c>
      <c r="U325" s="1459"/>
      <c r="V325" s="1459"/>
      <c r="W325" s="1459"/>
      <c r="X325" s="1596"/>
      <c r="Y325" s="1459"/>
      <c r="Z325" s="1597"/>
      <c r="AA325" s="1459"/>
      <c r="AB325" s="714" t="s">
        <v>3039</v>
      </c>
      <c r="AC325" s="550" t="s">
        <v>1923</v>
      </c>
      <c r="AD325" s="548" t="s">
        <v>1514</v>
      </c>
      <c r="AE325" s="1332"/>
      <c r="AF325" s="1442"/>
      <c r="AG325" s="1442"/>
      <c r="AH325" s="1064" t="s">
        <v>1924</v>
      </c>
      <c r="AI325" s="1811"/>
      <c r="AJ325" s="1811"/>
      <c r="AK325" s="1444"/>
      <c r="AL325" s="1444"/>
      <c r="AM325" s="1834"/>
      <c r="AN325" s="1834"/>
      <c r="AO325" s="1834"/>
      <c r="AP325" s="1834"/>
    </row>
    <row s="1834" customFormat="1" customHeight="1" ht="14.25">
      <c r="A326" s="667"/>
      <c r="B326" s="1459"/>
      <c r="C326" s="1459"/>
      <c r="D326" s="1459"/>
      <c r="E326" s="649">
        <v>15</v>
      </c>
      <c r="F326" s="50" cm="1" t="str">
        <f t="array" ref="F326:F326">OFFSET(E326,-1,1)</f>
        <v>3</v>
      </c>
      <c r="G326" s="1459"/>
      <c r="H326" s="488" t="s">
        <v>3040</v>
      </c>
      <c r="I326" s="1459"/>
      <c r="J326" s="1459"/>
      <c r="K326" s="1459"/>
      <c r="L326" s="1459"/>
      <c r="M326" s="1459"/>
      <c r="N326" s="1459"/>
      <c r="O326" s="1459"/>
      <c r="P326" s="1459"/>
      <c r="Q326" s="1459"/>
      <c r="R326" s="1459"/>
      <c r="S326" s="1459"/>
      <c r="T326" s="465" cm="1" t="str">
        <f t="array" ref="T326:T326">T325</f>
        <v>true</v>
      </c>
      <c r="U326" s="1459"/>
      <c r="V326" s="1459"/>
      <c r="W326" s="1459"/>
      <c r="X326" s="1596"/>
      <c r="Y326" s="1459"/>
      <c r="Z326" s="1597"/>
      <c r="AA326" s="1459"/>
      <c r="AB326" s="714" t="s">
        <v>3041</v>
      </c>
      <c r="AC326" s="550" t="s">
        <v>1926</v>
      </c>
      <c r="AD326" s="548" t="s">
        <v>1514</v>
      </c>
      <c r="AE326" s="1332"/>
      <c r="AF326" s="1442"/>
      <c r="AG326" s="1442"/>
      <c r="AH326" s="1064" t="s">
        <v>1927</v>
      </c>
      <c r="AI326" s="1811"/>
      <c r="AJ326" s="1811"/>
      <c r="AK326" s="1444"/>
      <c r="AL326" s="1444"/>
      <c r="AM326" s="1834"/>
      <c r="AN326" s="1834"/>
      <c r="AO326" s="1834"/>
      <c r="AP326" s="1834"/>
    </row>
    <row s="1834" customFormat="1" customHeight="1" ht="14.25">
      <c r="A327" s="667"/>
      <c r="B327" s="1459"/>
      <c r="C327" s="1459"/>
      <c r="D327" s="1459"/>
      <c r="E327" s="649">
        <v>15</v>
      </c>
      <c r="F327" s="50" cm="1" t="str">
        <f t="array" ref="F327:F327">OFFSET(E327,-1,1)</f>
        <v>3</v>
      </c>
      <c r="G327" s="1459"/>
      <c r="H327" s="488" t="s">
        <v>3042</v>
      </c>
      <c r="I327" s="1459"/>
      <c r="J327" s="1459"/>
      <c r="K327" s="1459"/>
      <c r="L327" s="1459"/>
      <c r="M327" s="1459"/>
      <c r="N327" s="1459"/>
      <c r="O327" s="1459"/>
      <c r="P327" s="1459"/>
      <c r="Q327" s="1459"/>
      <c r="R327" s="1459"/>
      <c r="S327" s="1459"/>
      <c r="T327" s="465" cm="1" t="str">
        <f t="array" ref="T327:T327">T326</f>
        <v>true</v>
      </c>
      <c r="U327" s="1459"/>
      <c r="V327" s="1459"/>
      <c r="W327" s="1459"/>
      <c r="X327" s="1596"/>
      <c r="Y327" s="1459"/>
      <c r="Z327" s="1597"/>
      <c r="AA327" s="1459"/>
      <c r="AB327" s="714" t="s">
        <v>3043</v>
      </c>
      <c r="AC327" s="550" t="s">
        <v>1929</v>
      </c>
      <c r="AD327" s="548" t="s">
        <v>1514</v>
      </c>
      <c r="AE327" s="1332"/>
      <c r="AF327" s="1442"/>
      <c r="AG327" s="1442"/>
      <c r="AH327" s="1064" t="s">
        <v>1930</v>
      </c>
      <c r="AI327" s="1811"/>
      <c r="AJ327" s="1811"/>
      <c r="AK327" s="1444"/>
      <c r="AL327" s="1444"/>
      <c r="AM327" s="1834"/>
      <c r="AN327" s="1834"/>
      <c r="AO327" s="1834"/>
      <c r="AP327" s="1834"/>
    </row>
    <row s="1834" customFormat="1" customHeight="1" ht="14.25">
      <c r="A328" s="667"/>
      <c r="B328" s="1459"/>
      <c r="C328" s="1459"/>
      <c r="D328" s="1459"/>
      <c r="E328" s="649">
        <v>15</v>
      </c>
      <c r="F328" s="50" cm="1" t="str">
        <f t="array" ref="F328:F328">OFFSET(E328,-1,1)</f>
        <v>3</v>
      </c>
      <c r="G328" s="1459"/>
      <c r="H328" s="488" t="s">
        <v>3044</v>
      </c>
      <c r="I328" s="1459"/>
      <c r="J328" s="1459"/>
      <c r="K328" s="1459"/>
      <c r="L328" s="1459"/>
      <c r="M328" s="1459"/>
      <c r="N328" s="1459"/>
      <c r="O328" s="1459"/>
      <c r="P328" s="1459"/>
      <c r="Q328" s="1459"/>
      <c r="R328" s="1459"/>
      <c r="S328" s="1459"/>
      <c r="T328" s="465" cm="1" t="str">
        <f t="array" ref="T328:T328">T327</f>
        <v>true</v>
      </c>
      <c r="U328" s="1459"/>
      <c r="V328" s="1459"/>
      <c r="W328" s="1459"/>
      <c r="X328" s="1596"/>
      <c r="Y328" s="1459"/>
      <c r="Z328" s="1597"/>
      <c r="AA328" s="1459"/>
      <c r="AB328" s="714" t="s">
        <v>3045</v>
      </c>
      <c r="AC328" s="550" t="s">
        <v>1937</v>
      </c>
      <c r="AD328" s="548" t="s">
        <v>1514</v>
      </c>
      <c r="AE328" s="1332"/>
      <c r="AF328" s="1442"/>
      <c r="AG328" s="1442"/>
      <c r="AH328" s="1064" t="s">
        <v>1938</v>
      </c>
      <c r="AI328" s="1811"/>
      <c r="AJ328" s="1811"/>
      <c r="AK328" s="1444"/>
      <c r="AL328" s="1444"/>
      <c r="AM328" s="1834"/>
      <c r="AN328" s="1834"/>
      <c r="AO328" s="1834"/>
      <c r="AP328" s="1834"/>
    </row>
    <row s="1834" customFormat="1" customHeight="1" ht="32.25">
      <c r="A329" s="667"/>
      <c r="B329" s="1459"/>
      <c r="C329" s="1459"/>
      <c r="D329" s="1459"/>
      <c r="E329" s="649">
        <v>33.75</v>
      </c>
      <c r="F329" s="50" cm="1" t="str">
        <f t="array" ref="F329:F329">OFFSET(E329,-1,1)</f>
        <v>3</v>
      </c>
      <c r="G329" s="1459"/>
      <c r="H329" s="488" t="s">
        <v>2085</v>
      </c>
      <c r="I329" s="1459"/>
      <c r="J329" s="1459"/>
      <c r="K329" s="1459"/>
      <c r="L329" s="1459"/>
      <c r="M329" s="1459"/>
      <c r="N329" s="1459"/>
      <c r="O329" s="1459"/>
      <c r="P329" s="1459"/>
      <c r="Q329" s="1459"/>
      <c r="R329" s="1459"/>
      <c r="S329" s="1459"/>
      <c r="T329" s="465" cm="1" t="str">
        <f t="array" ref="T329:T329">T328</f>
        <v>true</v>
      </c>
      <c r="U329" s="1459"/>
      <c r="V329" s="1459"/>
      <c r="W329" s="1459"/>
      <c r="X329" s="1596"/>
      <c r="Y329" s="1459"/>
      <c r="Z329" s="1597"/>
      <c r="AA329" s="1459"/>
      <c r="AB329" s="714" t="s">
        <v>2086</v>
      </c>
      <c r="AC329" s="549" t="s">
        <v>3046</v>
      </c>
      <c r="AD329" s="548" t="s">
        <v>1514</v>
      </c>
      <c r="AE329" s="557">
        <f>AE330+AE333</f>
        <v>0</v>
      </c>
      <c r="AF329" s="1442"/>
      <c r="AG329" s="1442"/>
      <c r="AH329" s="1062" t="s">
        <v>2517</v>
      </c>
      <c r="AI329" s="1811"/>
      <c r="AJ329" s="1811"/>
      <c r="AK329" s="1444"/>
      <c r="AL329" s="1444"/>
      <c r="AM329" s="1834"/>
      <c r="AN329" s="1834"/>
      <c r="AO329" s="1834"/>
      <c r="AP329" s="1834"/>
    </row>
    <row s="1834" customFormat="1" customHeight="1" ht="21.75">
      <c r="A330" s="667"/>
      <c r="B330" s="1459"/>
      <c r="C330" s="1459"/>
      <c r="D330" s="1459"/>
      <c r="E330" s="649">
        <v>22.5</v>
      </c>
      <c r="F330" s="50" cm="1" t="str">
        <f t="array" ref="F330:F330">OFFSET(E330,-1,1)</f>
        <v>3</v>
      </c>
      <c r="G330" s="1459"/>
      <c r="H330" s="488" t="s">
        <v>3047</v>
      </c>
      <c r="I330" s="1459"/>
      <c r="J330" s="1459"/>
      <c r="K330" s="1459"/>
      <c r="L330" s="1459"/>
      <c r="M330" s="1459"/>
      <c r="N330" s="1459"/>
      <c r="O330" s="1459"/>
      <c r="P330" s="1459"/>
      <c r="Q330" s="1459"/>
      <c r="R330" s="1459"/>
      <c r="S330" s="1459"/>
      <c r="T330" s="465" cm="1" t="str">
        <f t="array" ref="T330:T330">T329</f>
        <v>true</v>
      </c>
      <c r="U330" s="1459"/>
      <c r="V330" s="1459"/>
      <c r="W330" s="1459"/>
      <c r="X330" s="1596"/>
      <c r="Y330" s="1459"/>
      <c r="Z330" s="1597"/>
      <c r="AA330" s="1459"/>
      <c r="AB330" s="714" t="s">
        <v>3048</v>
      </c>
      <c r="AC330" s="550" t="s">
        <v>2518</v>
      </c>
      <c r="AD330" s="548" t="s">
        <v>1514</v>
      </c>
      <c r="AE330" s="1332"/>
      <c r="AF330" s="1442"/>
      <c r="AG330" s="1442"/>
      <c r="AH330" s="1062" t="s">
        <v>1915</v>
      </c>
      <c r="AI330" s="1811"/>
      <c r="AJ330" s="1811"/>
      <c r="AK330" s="1444"/>
      <c r="AL330" s="1444"/>
      <c r="AM330" s="1834"/>
      <c r="AN330" s="1834"/>
      <c r="AO330" s="1834"/>
      <c r="AP330" s="1834"/>
    </row>
    <row s="1834" customFormat="1" customHeight="1" ht="14.25">
      <c r="A331" s="667"/>
      <c r="B331" s="1459"/>
      <c r="C331" s="1459"/>
      <c r="D331" s="1459"/>
      <c r="E331" s="649">
        <v>15</v>
      </c>
      <c r="F331" s="50" cm="1" t="str">
        <f t="array" ref="F331:F331">OFFSET(E331,-1,1)</f>
        <v>3</v>
      </c>
      <c r="G331" s="1459"/>
      <c r="H331" s="488" t="s">
        <v>3049</v>
      </c>
      <c r="I331" s="1459"/>
      <c r="J331" s="1459"/>
      <c r="K331" s="1459"/>
      <c r="L331" s="1459"/>
      <c r="M331" s="1459"/>
      <c r="N331" s="1459"/>
      <c r="O331" s="1459"/>
      <c r="P331" s="1459"/>
      <c r="Q331" s="1459"/>
      <c r="R331" s="1459"/>
      <c r="S331" s="1459"/>
      <c r="T331" s="465" cm="1" t="str">
        <f t="array" ref="T331:T331">T330</f>
        <v>true</v>
      </c>
      <c r="U331" s="1459"/>
      <c r="V331" s="1459"/>
      <c r="W331" s="1459"/>
      <c r="X331" s="1596"/>
      <c r="Y331" s="1459"/>
      <c r="Z331" s="1597"/>
      <c r="AA331" s="1459"/>
      <c r="AB331" s="714" t="s">
        <v>3050</v>
      </c>
      <c r="AC331" s="551" t="s">
        <v>3051</v>
      </c>
      <c r="AD331" s="548" t="s">
        <v>2993</v>
      </c>
      <c r="AE331" s="1332"/>
      <c r="AF331" s="1442"/>
      <c r="AG331" s="1442"/>
      <c r="AH331" s="1001" t="s">
        <v>3052</v>
      </c>
      <c r="AI331" s="1811"/>
      <c r="AJ331" s="1811"/>
      <c r="AK331" s="1444"/>
      <c r="AL331" s="1444"/>
      <c r="AM331" s="1834"/>
      <c r="AN331" s="1834"/>
      <c r="AO331" s="1834"/>
      <c r="AP331" s="1834"/>
    </row>
    <row s="1834" customFormat="1" customHeight="1" ht="21.75">
      <c r="A332" s="667"/>
      <c r="B332" s="1459"/>
      <c r="C332" s="1459"/>
      <c r="D332" s="1459"/>
      <c r="E332" s="649">
        <v>22.5</v>
      </c>
      <c r="F332" s="50" cm="1" t="str">
        <f t="array" ref="F332:F332">OFFSET(E332,-1,1)</f>
        <v>3</v>
      </c>
      <c r="G332" s="1459"/>
      <c r="H332" s="488" t="s">
        <v>3053</v>
      </c>
      <c r="I332" s="1459"/>
      <c r="J332" s="1459"/>
      <c r="K332" s="1459"/>
      <c r="L332" s="1459"/>
      <c r="M332" s="1459"/>
      <c r="N332" s="1459"/>
      <c r="O332" s="1459"/>
      <c r="P332" s="1459"/>
      <c r="Q332" s="1459"/>
      <c r="R332" s="1459"/>
      <c r="S332" s="1459"/>
      <c r="T332" s="465" cm="1" t="str">
        <f t="array" ref="T332:T332">T331</f>
        <v>true</v>
      </c>
      <c r="U332" s="1459"/>
      <c r="V332" s="1459"/>
      <c r="W332" s="1459"/>
      <c r="X332" s="1596"/>
      <c r="Y332" s="1459"/>
      <c r="Z332" s="1597"/>
      <c r="AA332" s="1459"/>
      <c r="AB332" s="714" t="s">
        <v>3054</v>
      </c>
      <c r="AC332" s="551" t="s">
        <v>3055</v>
      </c>
      <c r="AD332" s="548" t="s">
        <v>2998</v>
      </c>
      <c r="AE332" s="1332"/>
      <c r="AF332" s="1442"/>
      <c r="AG332" s="1442"/>
      <c r="AH332" s="1001" t="s">
        <v>3056</v>
      </c>
      <c r="AI332" s="1811"/>
      <c r="AJ332" s="1811"/>
      <c r="AK332" s="1444"/>
      <c r="AL332" s="1444"/>
      <c r="AM332" s="1834"/>
      <c r="AN332" s="1834"/>
      <c r="AO332" s="1834"/>
      <c r="AP332" s="1834"/>
    </row>
    <row s="1834" customFormat="1" customHeight="1" ht="21.75">
      <c r="A333" s="667"/>
      <c r="B333" s="1459"/>
      <c r="C333" s="1459"/>
      <c r="D333" s="1459"/>
      <c r="E333" s="649">
        <v>22.5</v>
      </c>
      <c r="F333" s="50" cm="1" t="str">
        <f t="array" ref="F333:F333">OFFSET(E333,-1,1)</f>
        <v>3</v>
      </c>
      <c r="G333" s="1459"/>
      <c r="H333" s="488" t="s">
        <v>3057</v>
      </c>
      <c r="I333" s="1459"/>
      <c r="J333" s="1459"/>
      <c r="K333" s="1459"/>
      <c r="L333" s="1459"/>
      <c r="M333" s="1459"/>
      <c r="N333" s="1459"/>
      <c r="O333" s="1459"/>
      <c r="P333" s="1459"/>
      <c r="Q333" s="1459"/>
      <c r="R333" s="1459"/>
      <c r="S333" s="1459"/>
      <c r="T333" s="465" cm="1" t="str">
        <f t="array" ref="T333:T333">T332</f>
        <v>true</v>
      </c>
      <c r="U333" s="1459"/>
      <c r="V333" s="1459"/>
      <c r="W333" s="1459"/>
      <c r="X333" s="1596"/>
      <c r="Y333" s="1459"/>
      <c r="Z333" s="1597"/>
      <c r="AA333" s="1459"/>
      <c r="AB333" s="714" t="s">
        <v>3058</v>
      </c>
      <c r="AC333" s="550" t="s">
        <v>2708</v>
      </c>
      <c r="AD333" s="548" t="s">
        <v>1514</v>
      </c>
      <c r="AE333" s="1332"/>
      <c r="AF333" s="1442"/>
      <c r="AG333" s="1442"/>
      <c r="AH333" s="1062" t="s">
        <v>2520</v>
      </c>
      <c r="AI333" s="1811"/>
      <c r="AJ333" s="1811"/>
      <c r="AK333" s="1444"/>
      <c r="AL333" s="1444"/>
      <c r="AM333" s="1834"/>
      <c r="AN333" s="1834"/>
      <c r="AO333" s="1834"/>
      <c r="AP333" s="1834"/>
    </row>
    <row s="1834" customFormat="1" customHeight="1" ht="21.75">
      <c r="A334" s="667"/>
      <c r="B334" s="1459"/>
      <c r="C334" s="1459"/>
      <c r="D334" s="1459"/>
      <c r="E334" s="649">
        <v>22.5</v>
      </c>
      <c r="F334" s="50" cm="1" t="str">
        <f t="array" ref="F334:F334">OFFSET(E334,-1,1)</f>
        <v>3</v>
      </c>
      <c r="G334" s="1459"/>
      <c r="H334" s="488" t="s">
        <v>2089</v>
      </c>
      <c r="I334" s="1459"/>
      <c r="J334" s="1459"/>
      <c r="K334" s="1459"/>
      <c r="L334" s="1459"/>
      <c r="M334" s="1459"/>
      <c r="N334" s="1459"/>
      <c r="O334" s="1459"/>
      <c r="P334" s="1459"/>
      <c r="Q334" s="1459"/>
      <c r="R334" s="1459"/>
      <c r="S334" s="1459"/>
      <c r="T334" s="465" cm="1" t="str">
        <f t="array" ref="T334:T334">T333</f>
        <v>true</v>
      </c>
      <c r="U334" s="1459"/>
      <c r="V334" s="1459"/>
      <c r="W334" s="1459"/>
      <c r="X334" s="1596"/>
      <c r="Y334" s="1459"/>
      <c r="Z334" s="1597"/>
      <c r="AA334" s="1459"/>
      <c r="AB334" s="714" t="s">
        <v>2090</v>
      </c>
      <c r="AC334" s="549" t="s">
        <v>3059</v>
      </c>
      <c r="AD334" s="548" t="s">
        <v>1514</v>
      </c>
      <c r="AE334" s="1332"/>
      <c r="AF334" s="1442"/>
      <c r="AG334" s="1442"/>
      <c r="AH334" s="1062" t="s">
        <v>1946</v>
      </c>
      <c r="AI334" s="1811"/>
      <c r="AJ334" s="1811"/>
      <c r="AK334" s="1444"/>
      <c r="AL334" s="1444"/>
      <c r="AM334" s="1834"/>
      <c r="AN334" s="1834"/>
      <c r="AO334" s="1834"/>
      <c r="AP334" s="1834"/>
    </row>
    <row s="1834" customFormat="1" customHeight="1" ht="14.25">
      <c r="A335" s="667"/>
      <c r="B335" s="1459"/>
      <c r="C335" s="1459"/>
      <c r="D335" s="1459"/>
      <c r="E335" s="649">
        <v>15</v>
      </c>
      <c r="F335" s="50" cm="1" t="str">
        <f t="array" ref="F335:F335">OFFSET(E335,-1,1)</f>
        <v>3</v>
      </c>
      <c r="G335" s="1459"/>
      <c r="H335" s="488" t="s">
        <v>3060</v>
      </c>
      <c r="I335" s="1459"/>
      <c r="J335" s="1459"/>
      <c r="K335" s="1459"/>
      <c r="L335" s="1459"/>
      <c r="M335" s="1459"/>
      <c r="N335" s="1459"/>
      <c r="O335" s="1459"/>
      <c r="P335" s="1459"/>
      <c r="Q335" s="1459"/>
      <c r="R335" s="1459"/>
      <c r="S335" s="1459"/>
      <c r="T335" s="465" cm="1" t="str">
        <f t="array" ref="T335:T335">T334</f>
        <v>true</v>
      </c>
      <c r="U335" s="1459"/>
      <c r="V335" s="1459"/>
      <c r="W335" s="1459"/>
      <c r="X335" s="1596"/>
      <c r="Y335" s="1459"/>
      <c r="Z335" s="1597"/>
      <c r="AA335" s="1459"/>
      <c r="AB335" s="714" t="s">
        <v>3061</v>
      </c>
      <c r="AC335" s="549" t="s">
        <v>1948</v>
      </c>
      <c r="AD335" s="548" t="s">
        <v>1514</v>
      </c>
      <c r="AE335" s="1332"/>
      <c r="AF335" s="1442"/>
      <c r="AG335" s="1442"/>
      <c r="AH335" s="1062" t="s">
        <v>1949</v>
      </c>
      <c r="AI335" s="1811"/>
      <c r="AJ335" s="1811"/>
      <c r="AK335" s="1444"/>
      <c r="AL335" s="1444"/>
      <c r="AM335" s="1834"/>
      <c r="AN335" s="1834"/>
      <c r="AO335" s="1834"/>
      <c r="AP335" s="1834"/>
    </row>
    <row s="1834" customFormat="1" customHeight="1" ht="14.25">
      <c r="A336" s="667"/>
      <c r="B336" s="1459"/>
      <c r="C336" s="1459"/>
      <c r="D336" s="1459"/>
      <c r="E336" s="649">
        <v>15</v>
      </c>
      <c r="F336" s="50" cm="1" t="str">
        <f t="array" ref="F336:F336">OFFSET(E336,-1,1)</f>
        <v>3</v>
      </c>
      <c r="G336" s="1459"/>
      <c r="H336" s="488" t="s">
        <v>3062</v>
      </c>
      <c r="I336" s="1459"/>
      <c r="J336" s="1459"/>
      <c r="K336" s="1459"/>
      <c r="L336" s="1459"/>
      <c r="M336" s="1459"/>
      <c r="N336" s="1459"/>
      <c r="O336" s="1459"/>
      <c r="P336" s="1459"/>
      <c r="Q336" s="1459"/>
      <c r="R336" s="1459"/>
      <c r="S336" s="1459"/>
      <c r="T336" s="465" cm="1" t="str">
        <f t="array" ref="T336:T336">T335</f>
        <v>true</v>
      </c>
      <c r="U336" s="1459"/>
      <c r="V336" s="1459"/>
      <c r="W336" s="1459"/>
      <c r="X336" s="1596"/>
      <c r="Y336" s="1459"/>
      <c r="Z336" s="1597"/>
      <c r="AA336" s="1459"/>
      <c r="AB336" s="714" t="s">
        <v>3063</v>
      </c>
      <c r="AC336" s="549" t="s">
        <v>1951</v>
      </c>
      <c r="AD336" s="548" t="s">
        <v>1514</v>
      </c>
      <c r="AE336" s="1332"/>
      <c r="AF336" s="1442"/>
      <c r="AG336" s="1442"/>
      <c r="AH336" s="1062" t="s">
        <v>1952</v>
      </c>
      <c r="AI336" s="1811"/>
      <c r="AJ336" s="1811"/>
      <c r="AK336" s="1444"/>
      <c r="AL336" s="1444"/>
      <c r="AM336" s="1834"/>
      <c r="AN336" s="1834"/>
      <c r="AO336" s="1834"/>
      <c r="AP336" s="1834"/>
    </row>
    <row s="1834" customFormat="1" customHeight="1" ht="21.75">
      <c r="A337" s="667"/>
      <c r="B337" s="1459"/>
      <c r="C337" s="1459"/>
      <c r="D337" s="1459"/>
      <c r="E337" s="649">
        <v>22.5</v>
      </c>
      <c r="F337" s="50" cm="1" t="str">
        <f t="array" ref="F337:F337">OFFSET(E337,-1,1)</f>
        <v>3</v>
      </c>
      <c r="G337" s="1459"/>
      <c r="H337" s="488" t="s">
        <v>3064</v>
      </c>
      <c r="I337" s="1459"/>
      <c r="J337" s="1459"/>
      <c r="K337" s="1459"/>
      <c r="L337" s="1459"/>
      <c r="M337" s="1459"/>
      <c r="N337" s="1459"/>
      <c r="O337" s="1459"/>
      <c r="P337" s="1459"/>
      <c r="Q337" s="1459"/>
      <c r="R337" s="1459"/>
      <c r="S337" s="1459"/>
      <c r="T337" s="465" cm="1" t="str">
        <f t="array" ref="T337:T337">T336</f>
        <v>true</v>
      </c>
      <c r="U337" s="1459"/>
      <c r="V337" s="1459"/>
      <c r="W337" s="1459"/>
      <c r="X337" s="1596"/>
      <c r="Y337" s="1459"/>
      <c r="Z337" s="1597"/>
      <c r="AA337" s="1459"/>
      <c r="AB337" s="714" t="s">
        <v>3065</v>
      </c>
      <c r="AC337" s="549" t="s">
        <v>3066</v>
      </c>
      <c r="AD337" s="548" t="s">
        <v>1514</v>
      </c>
      <c r="AE337" s="1332"/>
      <c r="AF337" s="1442"/>
      <c r="AG337" s="1442"/>
      <c r="AH337" s="1062" t="s">
        <v>2522</v>
      </c>
      <c r="AI337" s="1811"/>
      <c r="AJ337" s="1811"/>
      <c r="AK337" s="1444"/>
      <c r="AL337" s="1444"/>
      <c r="AM337" s="1834"/>
      <c r="AN337" s="1834"/>
      <c r="AO337" s="1834"/>
      <c r="AP337" s="1834"/>
    </row>
    <row s="1834" customFormat="1" customHeight="1" ht="14.25">
      <c r="A338" s="667"/>
      <c r="B338" s="1459"/>
      <c r="C338" s="1459"/>
      <c r="D338" s="1459"/>
      <c r="E338" s="649">
        <v>15</v>
      </c>
      <c r="F338" s="50" cm="1" t="str">
        <f t="array" ref="F338:F338">OFFSET(E338,-1,1)</f>
        <v>3</v>
      </c>
      <c r="G338" s="1459"/>
      <c r="H338" s="488" t="s">
        <v>3067</v>
      </c>
      <c r="I338" s="1459"/>
      <c r="J338" s="1459"/>
      <c r="K338" s="1459"/>
      <c r="L338" s="1459"/>
      <c r="M338" s="1459"/>
      <c r="N338" s="1459"/>
      <c r="O338" s="1459"/>
      <c r="P338" s="1459"/>
      <c r="Q338" s="1459"/>
      <c r="R338" s="1459"/>
      <c r="S338" s="1459"/>
      <c r="T338" s="465" cm="1" t="str">
        <f t="array" ref="T338:T338">T337</f>
        <v>true</v>
      </c>
      <c r="U338" s="1459"/>
      <c r="V338" s="1459"/>
      <c r="W338" s="1459"/>
      <c r="X338" s="1596"/>
      <c r="Y338" s="1459"/>
      <c r="Z338" s="1597"/>
      <c r="AA338" s="1459"/>
      <c r="AB338" s="714" t="s">
        <v>3068</v>
      </c>
      <c r="AC338" s="549" t="s">
        <v>3069</v>
      </c>
      <c r="AD338" s="548" t="s">
        <v>1514</v>
      </c>
      <c r="AE338" s="557">
        <f>AE339+AE340+AE341</f>
        <v>0</v>
      </c>
      <c r="AF338" s="1442"/>
      <c r="AG338" s="1442"/>
      <c r="AH338" s="1062" t="s">
        <v>2524</v>
      </c>
      <c r="AI338" s="1811"/>
      <c r="AJ338" s="1811"/>
      <c r="AK338" s="1444"/>
      <c r="AL338" s="1444"/>
      <c r="AM338" s="1834"/>
      <c r="AN338" s="1834"/>
      <c r="AO338" s="1834"/>
      <c r="AP338" s="1834"/>
    </row>
    <row s="1834" customFormat="1" customHeight="1" ht="14.25">
      <c r="A339" s="667"/>
      <c r="B339" s="1459"/>
      <c r="C339" s="1459"/>
      <c r="D339" s="1459"/>
      <c r="E339" s="649">
        <v>15</v>
      </c>
      <c r="F339" s="50" cm="1" t="str">
        <f t="array" ref="F339:F339">OFFSET(E339,-1,1)</f>
        <v>3</v>
      </c>
      <c r="G339" s="1459"/>
      <c r="H339" s="488" t="s">
        <v>3070</v>
      </c>
      <c r="I339" s="1459"/>
      <c r="J339" s="1459"/>
      <c r="K339" s="1459"/>
      <c r="L339" s="1459"/>
      <c r="M339" s="1459"/>
      <c r="N339" s="1459"/>
      <c r="O339" s="1459"/>
      <c r="P339" s="1459"/>
      <c r="Q339" s="1459"/>
      <c r="R339" s="1459"/>
      <c r="S339" s="1459"/>
      <c r="T339" s="465" cm="1" t="str">
        <f t="array" ref="T339:T339">T338</f>
        <v>true</v>
      </c>
      <c r="U339" s="1459"/>
      <c r="V339" s="1459"/>
      <c r="W339" s="1459"/>
      <c r="X339" s="1596"/>
      <c r="Y339" s="1459"/>
      <c r="Z339" s="1597"/>
      <c r="AA339" s="1459"/>
      <c r="AB339" s="714" t="s">
        <v>3071</v>
      </c>
      <c r="AC339" s="550" t="s">
        <v>3072</v>
      </c>
      <c r="AD339" s="548" t="s">
        <v>1514</v>
      </c>
      <c r="AE339" s="1332"/>
      <c r="AF339" s="1442"/>
      <c r="AG339" s="1442"/>
      <c r="AH339" s="1062" t="s">
        <v>2528</v>
      </c>
      <c r="AI339" s="1811"/>
      <c r="AJ339" s="1811"/>
      <c r="AK339" s="1444"/>
      <c r="AL339" s="1444"/>
      <c r="AM339" s="1834"/>
      <c r="AN339" s="1834"/>
      <c r="AO339" s="1834"/>
      <c r="AP339" s="1834"/>
    </row>
    <row s="1834" customFormat="1" customHeight="1" ht="14.25">
      <c r="A340" s="667"/>
      <c r="B340" s="1459"/>
      <c r="C340" s="1459"/>
      <c r="D340" s="1459"/>
      <c r="E340" s="649">
        <v>15</v>
      </c>
      <c r="F340" s="50" cm="1" t="str">
        <f t="array" ref="F340:F340">OFFSET(E340,-1,1)</f>
        <v>3</v>
      </c>
      <c r="G340" s="1459"/>
      <c r="H340" s="488" t="s">
        <v>3073</v>
      </c>
      <c r="I340" s="1459"/>
      <c r="J340" s="1459"/>
      <c r="K340" s="1459"/>
      <c r="L340" s="1459"/>
      <c r="M340" s="1459"/>
      <c r="N340" s="1459"/>
      <c r="O340" s="1459"/>
      <c r="P340" s="1459"/>
      <c r="Q340" s="1459"/>
      <c r="R340" s="1459"/>
      <c r="S340" s="1459"/>
      <c r="T340" s="465" cm="1" t="str">
        <f t="array" ref="T340:T340">T339</f>
        <v>true</v>
      </c>
      <c r="U340" s="1459"/>
      <c r="V340" s="1459"/>
      <c r="W340" s="1459"/>
      <c r="X340" s="1596"/>
      <c r="Y340" s="1459"/>
      <c r="Z340" s="1597"/>
      <c r="AA340" s="1459"/>
      <c r="AB340" s="715" t="s">
        <v>3074</v>
      </c>
      <c r="AC340" s="552" t="s">
        <v>3075</v>
      </c>
      <c r="AD340" s="553" t="s">
        <v>1514</v>
      </c>
      <c r="AE340" s="1332"/>
      <c r="AF340" s="1442"/>
      <c r="AG340" s="1442"/>
      <c r="AH340" s="1062" t="s">
        <v>2531</v>
      </c>
      <c r="AI340" s="1811"/>
      <c r="AJ340" s="1811"/>
      <c r="AK340" s="1444"/>
      <c r="AL340" s="1444"/>
      <c r="AM340" s="1834"/>
      <c r="AN340" s="1834"/>
      <c r="AO340" s="1834"/>
      <c r="AP340" s="1834"/>
    </row>
    <row s="1834" customFormat="1" customHeight="1" ht="14.25">
      <c r="A341" s="667"/>
      <c r="B341" s="1459"/>
      <c r="C341" s="1459"/>
      <c r="D341" s="1459"/>
      <c r="E341" s="649">
        <v>15</v>
      </c>
      <c r="F341" s="50" cm="1" t="str">
        <f t="array" ref="F341:F341">OFFSET(E341,-1,1)</f>
        <v>3</v>
      </c>
      <c r="G341" s="1459"/>
      <c r="H341" s="488" t="s">
        <v>3076</v>
      </c>
      <c r="I341" s="1459"/>
      <c r="J341" s="1459"/>
      <c r="K341" s="1459"/>
      <c r="L341" s="1459"/>
      <c r="M341" s="1459"/>
      <c r="N341" s="1459"/>
      <c r="O341" s="1459"/>
      <c r="P341" s="1459"/>
      <c r="Q341" s="1459"/>
      <c r="R341" s="1459"/>
      <c r="S341" s="1459"/>
      <c r="T341" s="465" cm="1" t="str">
        <f t="array" ref="T341:T341">T340</f>
        <v>true</v>
      </c>
      <c r="U341" s="1459"/>
      <c r="V341" s="1459"/>
      <c r="W341" s="1459"/>
      <c r="X341" s="1596"/>
      <c r="Y341" s="1459"/>
      <c r="Z341" s="1597"/>
      <c r="AA341" s="1459"/>
      <c r="AB341" s="715" t="s">
        <v>3077</v>
      </c>
      <c r="AC341" s="552" t="s">
        <v>1965</v>
      </c>
      <c r="AD341" s="553" t="s">
        <v>1514</v>
      </c>
      <c r="AE341" s="1332"/>
      <c r="AF341" s="1442"/>
      <c r="AG341" s="1442"/>
      <c r="AH341" s="1062" t="s">
        <v>2534</v>
      </c>
      <c r="AI341" s="1811"/>
      <c r="AJ341" s="1811"/>
      <c r="AK341" s="1444"/>
      <c r="AL341" s="1444"/>
      <c r="AM341" s="1834"/>
      <c r="AN341" s="1834"/>
      <c r="AO341" s="1834"/>
      <c r="AP341" s="1834"/>
    </row>
    <row s="1834" customFormat="1" customHeight="1" ht="14.25">
      <c r="A342" s="667"/>
      <c r="B342" s="1459"/>
      <c r="C342" s="1459"/>
      <c r="D342" s="1459"/>
      <c r="E342" s="649">
        <v>15</v>
      </c>
      <c r="F342" s="50" cm="1" t="str">
        <f t="array" ref="F342:F342">OFFSET(E342,-1,1)</f>
        <v>3</v>
      </c>
      <c r="G342" s="1459"/>
      <c r="H342" s="488" t="s">
        <v>1186</v>
      </c>
      <c r="I342" s="1459"/>
      <c r="J342" s="1459"/>
      <c r="K342" s="1459"/>
      <c r="L342" s="1459"/>
      <c r="M342" s="1459"/>
      <c r="N342" s="1459"/>
      <c r="O342" s="1459"/>
      <c r="P342" s="1459"/>
      <c r="Q342" s="1459"/>
      <c r="R342" s="1459"/>
      <c r="S342" s="1459"/>
      <c r="T342" s="465" cm="1" t="str">
        <f t="array" ref="T342:T342">T341</f>
        <v>true</v>
      </c>
      <c r="U342" s="1459"/>
      <c r="V342" s="1459"/>
      <c r="W342" s="1459"/>
      <c r="X342" s="1596"/>
      <c r="Y342" s="1459"/>
      <c r="Z342" s="1597"/>
      <c r="AA342" s="1459"/>
      <c r="AB342" s="715" t="s">
        <v>1637</v>
      </c>
      <c r="AC342" s="554" t="s">
        <v>3078</v>
      </c>
      <c r="AD342" s="553" t="s">
        <v>1514</v>
      </c>
      <c r="AE342" s="557">
        <f>SUM(AE343:AE344)</f>
        <v>0</v>
      </c>
      <c r="AF342" s="1442"/>
      <c r="AG342" s="1442"/>
      <c r="AH342" s="1064" t="s">
        <v>3079</v>
      </c>
      <c r="AI342" s="1811"/>
      <c r="AJ342" s="1811"/>
      <c r="AK342" s="1444"/>
      <c r="AL342" s="1444"/>
      <c r="AM342" s="1834"/>
      <c r="AN342" s="1834"/>
      <c r="AO342" s="1834"/>
      <c r="AP342" s="1834"/>
    </row>
    <row s="1834" customFormat="1" customHeight="1" ht="14.25" hidden="1">
      <c r="A343" s="667"/>
      <c r="B343" s="1459"/>
      <c r="C343" s="1459"/>
      <c r="D343" s="1459"/>
      <c r="E343" s="649">
        <v>15</v>
      </c>
      <c r="F343" s="50" cm="1" t="str">
        <f t="array" ref="F343:F343">OFFSET(E343,-1,1)</f>
        <v>3</v>
      </c>
      <c r="G343" s="1459"/>
      <c r="H343" s="488" t="s">
        <v>1186</v>
      </c>
      <c r="I343" s="563" cm="1" t="str">
        <f t="array" ref="I343:I343">AC343</f>
        <v>0</v>
      </c>
      <c r="J343" s="1459"/>
      <c r="K343" s="1459"/>
      <c r="L343" s="1459"/>
      <c r="M343" s="1459"/>
      <c r="N343" s="1459"/>
      <c r="O343" s="1459"/>
      <c r="P343" s="1459"/>
      <c r="Q343" s="1459"/>
      <c r="R343" s="1459"/>
      <c r="S343" s="1459"/>
      <c r="T343" s="465">
        <f>AND(F343&gt;0,Y343&gt;0)</f>
        <v>0</v>
      </c>
      <c r="U343" s="1459"/>
      <c r="V343" s="1459"/>
      <c r="W343" s="555" t="s">
        <v>174</v>
      </c>
      <c r="X343" s="1596"/>
      <c r="Y343" s="488">
        <v>0</v>
      </c>
      <c r="Z343" s="1597"/>
      <c r="AA343" s="1276" t="s">
        <v>175</v>
      </c>
      <c r="AB343" s="714" t="str">
        <f>"1.4."&amp;Y343</f>
        <v>1.4.0</v>
      </c>
      <c r="AC343" s="8363"/>
      <c r="AD343" s="548" t="s">
        <v>1514</v>
      </c>
      <c r="AE343" s="8364"/>
      <c r="AF343" s="1442"/>
      <c r="AG343" s="1442"/>
      <c r="AH343" s="1064" t="s">
        <v>3079</v>
      </c>
      <c r="AI343" s="1001" t="s">
        <v>3080</v>
      </c>
      <c r="AJ343" s="1001" cm="1" t="str">
        <f t="array" ref="AJ343:AJ343">AC343</f>
        <v>0</v>
      </c>
      <c r="AK343" s="1444"/>
      <c r="AL343" s="656" t="b">
        <v>1</v>
      </c>
      <c r="AM343" s="1834"/>
      <c r="AN343" s="1834"/>
      <c r="AO343" s="1834"/>
      <c r="AP343" s="1834"/>
    </row>
    <row s="1834" customFormat="1" customHeight="1" ht="14.25">
      <c r="A344" s="667"/>
      <c r="B344" s="1459"/>
      <c r="C344" s="1459"/>
      <c r="D344" s="1459"/>
      <c r="E344" s="649">
        <v>15</v>
      </c>
      <c r="F344" s="50" cm="1" t="str">
        <f t="array" ref="F344:F344">OFFSET(E344,-1,1)</f>
        <v>3</v>
      </c>
      <c r="G344" s="1459"/>
      <c r="H344" s="1459"/>
      <c r="I344" s="1278" t="str">
        <f>"!== 'не определено' &amp;&amp; row.l1_4 !== null"</f>
        <v>!== 'не определено' &amp;&amp; row.l1_4 !== null</v>
      </c>
      <c r="J344" s="1459"/>
      <c r="K344" s="1459"/>
      <c r="L344" s="1459"/>
      <c r="M344" s="1459"/>
      <c r="N344" s="1459"/>
      <c r="O344" s="1459"/>
      <c r="P344" s="1459"/>
      <c r="Q344" s="1459"/>
      <c r="R344" s="1459"/>
      <c r="S344" s="1459"/>
      <c r="T344" s="465">
        <f>F344&gt;0</f>
        <v>1</v>
      </c>
      <c r="U344" s="1459"/>
      <c r="V344" s="1459"/>
      <c r="W344" s="1366" t="s">
        <v>399</v>
      </c>
      <c r="X344" s="1596"/>
      <c r="Y344" s="1459"/>
      <c r="Z344" s="1597"/>
      <c r="AA344" s="1459"/>
      <c r="AB344" s="1279"/>
      <c r="AC344" s="1280" t="s">
        <v>178</v>
      </c>
      <c r="AD344" s="1281"/>
      <c r="AE344" s="1333"/>
      <c r="AF344" s="1442"/>
      <c r="AG344" s="1442"/>
      <c r="AH344" s="1811"/>
      <c r="AI344" s="1811"/>
      <c r="AJ344" s="1811"/>
      <c r="AK344" s="656" t="s">
        <v>3080</v>
      </c>
      <c r="AL344" s="1444"/>
      <c r="AM344" s="1834"/>
      <c r="AN344" s="1834"/>
      <c r="AO344" s="1834"/>
      <c r="AP344" s="1834"/>
    </row>
    <row s="1834" customFormat="1" customHeight="1" ht="14.25">
      <c r="A345" s="667"/>
      <c r="B345" s="1459"/>
      <c r="C345" s="1459"/>
      <c r="D345" s="1459"/>
      <c r="E345" s="649">
        <v>15</v>
      </c>
      <c r="F345" s="50" cm="1" t="str">
        <f t="array" ref="F345:F345">OFFSET(E345,-1,1)</f>
        <v>3</v>
      </c>
      <c r="G345" s="1459"/>
      <c r="H345" s="488" t="s">
        <v>333</v>
      </c>
      <c r="I345" s="1459"/>
      <c r="J345" s="1459"/>
      <c r="K345" s="1459"/>
      <c r="L345" s="1459"/>
      <c r="M345" s="1459"/>
      <c r="N345" s="1459"/>
      <c r="O345" s="1459"/>
      <c r="P345" s="1459"/>
      <c r="Q345" s="1459"/>
      <c r="R345" s="1459"/>
      <c r="S345" s="1459"/>
      <c r="T345" s="465" cm="1" t="str">
        <f t="array" ref="T345:T345">T344</f>
        <v>true</v>
      </c>
      <c r="U345" s="1459"/>
      <c r="V345" s="1459"/>
      <c r="W345" s="1459"/>
      <c r="X345" s="1596"/>
      <c r="Y345" s="1459"/>
      <c r="Z345" s="1597"/>
      <c r="AA345" s="1459"/>
      <c r="AB345" s="713" t="s">
        <v>285</v>
      </c>
      <c r="AC345" s="545" t="s">
        <v>2733</v>
      </c>
      <c r="AD345" s="546" t="s">
        <v>1514</v>
      </c>
      <c r="AE345" s="557">
        <f>AE346+AE358+AE359+AE369+AE370+AE371+AE374+AE375+AE376+AE377+AE378+AE379</f>
        <v>0</v>
      </c>
      <c r="AF345" s="1442"/>
      <c r="AG345" s="1442"/>
      <c r="AH345" s="1001" t="s">
        <v>3081</v>
      </c>
      <c r="AI345" s="1811"/>
      <c r="AJ345" s="1811"/>
      <c r="AK345" s="1444"/>
      <c r="AL345" s="1444"/>
      <c r="AM345" s="1834"/>
      <c r="AN345" s="1834"/>
      <c r="AO345" s="1834"/>
      <c r="AP345" s="1834"/>
    </row>
    <row s="1806" customFormat="1" customHeight="1" ht="26.25">
      <c r="A346" s="667"/>
      <c r="B346" s="488"/>
      <c r="C346" s="488"/>
      <c r="D346" s="488"/>
      <c r="E346" s="649">
        <v>27</v>
      </c>
      <c r="F346" s="523" cm="1" t="str">
        <f t="array" ref="F346:F346">OFFSET(E346,-1,1)</f>
        <v>3</v>
      </c>
      <c r="G346" s="488"/>
      <c r="H346" s="488"/>
      <c r="I346" s="488"/>
      <c r="J346" s="488"/>
      <c r="K346" s="488"/>
      <c r="L346" s="488"/>
      <c r="M346" s="488"/>
      <c r="N346" s="488"/>
      <c r="O346" s="488"/>
      <c r="P346" s="488"/>
      <c r="Q346" s="488"/>
      <c r="R346" s="488"/>
      <c r="S346" s="488"/>
      <c r="T346" s="465" cm="1" t="str">
        <f t="array" ref="T346:T346">T345</f>
        <v>true</v>
      </c>
      <c r="U346" s="488"/>
      <c r="V346" s="488"/>
      <c r="W346" s="488"/>
      <c r="X346" s="1596"/>
      <c r="Y346" s="488"/>
      <c r="Z346" s="1597"/>
      <c r="AA346" s="488"/>
      <c r="AB346" s="1270" t="s">
        <v>1250</v>
      </c>
      <c r="AC346" s="1282" t="s">
        <v>2735</v>
      </c>
      <c r="AD346" s="1269" t="s">
        <v>1514</v>
      </c>
      <c r="AE346" s="557">
        <f>SUM(AE347:AE357)</f>
        <v>0</v>
      </c>
      <c r="AF346" s="1108"/>
      <c r="AG346" s="1108"/>
      <c r="AH346" s="1064" t="s">
        <v>1966</v>
      </c>
      <c r="AI346" s="1058"/>
      <c r="AJ346" s="1058"/>
      <c r="AK346" s="965"/>
      <c r="AL346" s="965"/>
      <c r="AM346" s="1806"/>
      <c r="AN346" s="1806"/>
      <c r="AO346" s="1806"/>
      <c r="AP346" s="1806"/>
    </row>
    <row s="1806" customFormat="1" customHeight="1" ht="14.25">
      <c r="A347" s="667"/>
      <c r="B347" s="488"/>
      <c r="C347" s="488"/>
      <c r="D347" s="488"/>
      <c r="E347" s="649">
        <v>15</v>
      </c>
      <c r="F347" s="523" cm="1" t="str">
        <f t="array" ref="F347:F347">OFFSET(E347,-1,1)</f>
        <v>3</v>
      </c>
      <c r="G347" s="488"/>
      <c r="H347" s="488"/>
      <c r="I347" s="488"/>
      <c r="J347" s="488"/>
      <c r="K347" s="488"/>
      <c r="L347" s="488"/>
      <c r="M347" s="488"/>
      <c r="N347" s="488"/>
      <c r="O347" s="488"/>
      <c r="P347" s="488"/>
      <c r="Q347" s="488"/>
      <c r="R347" s="488"/>
      <c r="S347" s="488"/>
      <c r="T347" s="465" cm="1" t="str">
        <f t="array" ref="T347:T347">T346</f>
        <v>true</v>
      </c>
      <c r="U347" s="488"/>
      <c r="V347" s="488"/>
      <c r="W347" s="488"/>
      <c r="X347" s="1596"/>
      <c r="Y347" s="488"/>
      <c r="Z347" s="1597"/>
      <c r="AA347" s="488"/>
      <c r="AB347" s="1270" t="s">
        <v>1201</v>
      </c>
      <c r="AC347" s="1273" t="s">
        <v>2737</v>
      </c>
      <c r="AD347" s="1272" t="s">
        <v>1514</v>
      </c>
      <c r="AE347" s="558"/>
      <c r="AF347" s="1108"/>
      <c r="AG347" s="1108"/>
      <c r="AH347" s="1064" t="s">
        <v>3082</v>
      </c>
      <c r="AI347" s="1058"/>
      <c r="AJ347" s="1058"/>
      <c r="AK347" s="965"/>
      <c r="AL347" s="965"/>
      <c r="AM347" s="1806"/>
      <c r="AN347" s="1806"/>
      <c r="AO347" s="1806"/>
      <c r="AP347" s="1806"/>
    </row>
    <row s="1806" customFormat="1" customHeight="1" ht="14.25">
      <c r="A348" s="667"/>
      <c r="B348" s="488"/>
      <c r="C348" s="488"/>
      <c r="D348" s="488"/>
      <c r="E348" s="649">
        <v>15</v>
      </c>
      <c r="F348" s="523" cm="1" t="str">
        <f t="array" ref="F348:F348">OFFSET(E348,-1,1)</f>
        <v>3</v>
      </c>
      <c r="G348" s="488"/>
      <c r="H348" s="488"/>
      <c r="I348" s="488"/>
      <c r="J348" s="488"/>
      <c r="K348" s="488"/>
      <c r="L348" s="488"/>
      <c r="M348" s="488"/>
      <c r="N348" s="488"/>
      <c r="O348" s="488"/>
      <c r="P348" s="488"/>
      <c r="Q348" s="488"/>
      <c r="R348" s="488"/>
      <c r="S348" s="488"/>
      <c r="T348" s="465" cm="1" t="str">
        <f t="array" ref="T348:T348">T347</f>
        <v>true</v>
      </c>
      <c r="U348" s="488"/>
      <c r="V348" s="488"/>
      <c r="W348" s="488"/>
      <c r="X348" s="1596"/>
      <c r="Y348" s="488"/>
      <c r="Z348" s="1597"/>
      <c r="AA348" s="488"/>
      <c r="AB348" s="1270" t="s">
        <v>2738</v>
      </c>
      <c r="AC348" s="1273" t="s">
        <v>2739</v>
      </c>
      <c r="AD348" s="1272" t="s">
        <v>1514</v>
      </c>
      <c r="AE348" s="558"/>
      <c r="AF348" s="1108"/>
      <c r="AG348" s="1108"/>
      <c r="AH348" s="1064" t="s">
        <v>3083</v>
      </c>
      <c r="AI348" s="1058"/>
      <c r="AJ348" s="1058"/>
      <c r="AK348" s="965"/>
      <c r="AL348" s="965"/>
      <c r="AM348" s="1806"/>
      <c r="AN348" s="1806"/>
      <c r="AO348" s="1806"/>
      <c r="AP348" s="1806"/>
    </row>
    <row s="1806" customFormat="1" customHeight="1" ht="14.25">
      <c r="A349" s="667"/>
      <c r="B349" s="488"/>
      <c r="C349" s="488"/>
      <c r="D349" s="488"/>
      <c r="E349" s="649">
        <v>15</v>
      </c>
      <c r="F349" s="523" cm="1" t="str">
        <f t="array" ref="F349:F349">OFFSET(E349,-1,1)</f>
        <v>3</v>
      </c>
      <c r="G349" s="488"/>
      <c r="H349" s="488"/>
      <c r="I349" s="488"/>
      <c r="J349" s="488"/>
      <c r="K349" s="488"/>
      <c r="L349" s="488"/>
      <c r="M349" s="488"/>
      <c r="N349" s="488"/>
      <c r="O349" s="488"/>
      <c r="P349" s="488"/>
      <c r="Q349" s="488"/>
      <c r="R349" s="488"/>
      <c r="S349" s="488"/>
      <c r="T349" s="465" cm="1" t="str">
        <f t="array" ref="T349:T349">T348</f>
        <v>true</v>
      </c>
      <c r="U349" s="488"/>
      <c r="V349" s="488"/>
      <c r="W349" s="488"/>
      <c r="X349" s="1596"/>
      <c r="Y349" s="488"/>
      <c r="Z349" s="1597"/>
      <c r="AA349" s="488"/>
      <c r="AB349" s="1270" t="s">
        <v>2740</v>
      </c>
      <c r="AC349" s="1273" t="s">
        <v>2741</v>
      </c>
      <c r="AD349" s="1272" t="s">
        <v>1514</v>
      </c>
      <c r="AE349" s="558"/>
      <c r="AF349" s="1108"/>
      <c r="AG349" s="1108"/>
      <c r="AH349" s="1064" t="s">
        <v>3084</v>
      </c>
      <c r="AI349" s="1058"/>
      <c r="AJ349" s="1058"/>
      <c r="AK349" s="965"/>
      <c r="AL349" s="965"/>
      <c r="AM349" s="1806"/>
      <c r="AN349" s="1806"/>
      <c r="AO349" s="1806"/>
      <c r="AP349" s="1806"/>
    </row>
    <row s="1806" customFormat="1" customHeight="1" ht="14.25">
      <c r="A350" s="667"/>
      <c r="B350" s="488"/>
      <c r="C350" s="488"/>
      <c r="D350" s="488"/>
      <c r="E350" s="649">
        <v>15</v>
      </c>
      <c r="F350" s="523" cm="1" t="str">
        <f t="array" ref="F350:F350">OFFSET(E350,-1,1)</f>
        <v>3</v>
      </c>
      <c r="G350" s="488"/>
      <c r="H350" s="488"/>
      <c r="I350" s="488"/>
      <c r="J350" s="488"/>
      <c r="K350" s="488"/>
      <c r="L350" s="488"/>
      <c r="M350" s="488"/>
      <c r="N350" s="488"/>
      <c r="O350" s="488"/>
      <c r="P350" s="488"/>
      <c r="Q350" s="488"/>
      <c r="R350" s="488"/>
      <c r="S350" s="488"/>
      <c r="T350" s="465" cm="1" t="str">
        <f t="array" ref="T350:T350">T349</f>
        <v>true</v>
      </c>
      <c r="U350" s="488"/>
      <c r="V350" s="488"/>
      <c r="W350" s="488"/>
      <c r="X350" s="1596"/>
      <c r="Y350" s="488"/>
      <c r="Z350" s="1597"/>
      <c r="AA350" s="488"/>
      <c r="AB350" s="1270" t="s">
        <v>2743</v>
      </c>
      <c r="AC350" s="1273" t="s">
        <v>2744</v>
      </c>
      <c r="AD350" s="1272" t="s">
        <v>1514</v>
      </c>
      <c r="AE350" s="558"/>
      <c r="AF350" s="1108"/>
      <c r="AG350" s="1108"/>
      <c r="AH350" s="1064" t="s">
        <v>3085</v>
      </c>
      <c r="AI350" s="1058"/>
      <c r="AJ350" s="1058"/>
      <c r="AK350" s="965"/>
      <c r="AL350" s="965"/>
      <c r="AM350" s="1806"/>
      <c r="AN350" s="1806"/>
      <c r="AO350" s="1806"/>
      <c r="AP350" s="1806"/>
    </row>
    <row s="1806" customFormat="1" customHeight="1" ht="14.25">
      <c r="A351" s="667"/>
      <c r="B351" s="488"/>
      <c r="C351" s="488"/>
      <c r="D351" s="488"/>
      <c r="E351" s="649">
        <v>15</v>
      </c>
      <c r="F351" s="523" cm="1" t="str">
        <f t="array" ref="F351:F351">OFFSET(E351,-1,1)</f>
        <v>3</v>
      </c>
      <c r="G351" s="488"/>
      <c r="H351" s="488"/>
      <c r="I351" s="488"/>
      <c r="J351" s="488"/>
      <c r="K351" s="488"/>
      <c r="L351" s="488"/>
      <c r="M351" s="488"/>
      <c r="N351" s="488"/>
      <c r="O351" s="488"/>
      <c r="P351" s="488"/>
      <c r="Q351" s="488"/>
      <c r="R351" s="488"/>
      <c r="S351" s="488"/>
      <c r="T351" s="465" cm="1" t="str">
        <f t="array" ref="T351:T351">T350</f>
        <v>true</v>
      </c>
      <c r="U351" s="488"/>
      <c r="V351" s="488"/>
      <c r="W351" s="488"/>
      <c r="X351" s="1596"/>
      <c r="Y351" s="488"/>
      <c r="Z351" s="1597"/>
      <c r="AA351" s="488"/>
      <c r="AB351" s="1270" t="s">
        <v>2746</v>
      </c>
      <c r="AC351" s="1273" t="s">
        <v>2747</v>
      </c>
      <c r="AD351" s="1272" t="s">
        <v>1514</v>
      </c>
      <c r="AE351" s="558"/>
      <c r="AF351" s="1108"/>
      <c r="AG351" s="1108"/>
      <c r="AH351" s="1064" t="s">
        <v>3086</v>
      </c>
      <c r="AI351" s="1058"/>
      <c r="AJ351" s="1058"/>
      <c r="AK351" s="965"/>
      <c r="AL351" s="965"/>
      <c r="AM351" s="1806"/>
      <c r="AN351" s="1806"/>
      <c r="AO351" s="1806"/>
      <c r="AP351" s="1806"/>
    </row>
    <row s="1806" customFormat="1" customHeight="1" ht="26.25">
      <c r="A352" s="667"/>
      <c r="B352" s="488"/>
      <c r="C352" s="488"/>
      <c r="D352" s="488"/>
      <c r="E352" s="649">
        <v>27</v>
      </c>
      <c r="F352" s="523" cm="1" t="str">
        <f t="array" ref="F352:F352">OFFSET(E352,-1,1)</f>
        <v>3</v>
      </c>
      <c r="G352" s="488"/>
      <c r="H352" s="488"/>
      <c r="I352" s="488"/>
      <c r="J352" s="488"/>
      <c r="K352" s="488"/>
      <c r="L352" s="488"/>
      <c r="M352" s="488"/>
      <c r="N352" s="488"/>
      <c r="O352" s="488"/>
      <c r="P352" s="488"/>
      <c r="Q352" s="488"/>
      <c r="R352" s="488"/>
      <c r="S352" s="488"/>
      <c r="T352" s="465" cm="1" t="str">
        <f t="array" ref="T352:T352">T351</f>
        <v>true</v>
      </c>
      <c r="U352" s="488"/>
      <c r="V352" s="488"/>
      <c r="W352" s="488"/>
      <c r="X352" s="1596"/>
      <c r="Y352" s="488"/>
      <c r="Z352" s="1597"/>
      <c r="AA352" s="488"/>
      <c r="AB352" s="1270" t="s">
        <v>2749</v>
      </c>
      <c r="AC352" s="1273" t="s">
        <v>2750</v>
      </c>
      <c r="AD352" s="1272" t="s">
        <v>1514</v>
      </c>
      <c r="AE352" s="558"/>
      <c r="AF352" s="1108"/>
      <c r="AG352" s="1108"/>
      <c r="AH352" s="1064" t="s">
        <v>3087</v>
      </c>
      <c r="AI352" s="1058"/>
      <c r="AJ352" s="1058"/>
      <c r="AK352" s="965"/>
      <c r="AL352" s="965"/>
      <c r="AM352" s="1806"/>
      <c r="AN352" s="1806"/>
      <c r="AO352" s="1806"/>
      <c r="AP352" s="1806"/>
    </row>
    <row s="1806" customFormat="1" customHeight="1" ht="14.25">
      <c r="A353" s="667"/>
      <c r="B353" s="488"/>
      <c r="C353" s="488"/>
      <c r="D353" s="488"/>
      <c r="E353" s="649">
        <v>15</v>
      </c>
      <c r="F353" s="523" cm="1" t="str">
        <f t="array" ref="F353:F353">OFFSET(E353,-1,1)</f>
        <v>3</v>
      </c>
      <c r="G353" s="488"/>
      <c r="H353" s="488"/>
      <c r="I353" s="488"/>
      <c r="J353" s="488"/>
      <c r="K353" s="488"/>
      <c r="L353" s="488"/>
      <c r="M353" s="488"/>
      <c r="N353" s="488"/>
      <c r="O353" s="488"/>
      <c r="P353" s="488"/>
      <c r="Q353" s="488"/>
      <c r="R353" s="488"/>
      <c r="S353" s="488"/>
      <c r="T353" s="465" cm="1" t="str">
        <f t="array" ref="T353:T353">T352</f>
        <v>true</v>
      </c>
      <c r="U353" s="488"/>
      <c r="V353" s="488"/>
      <c r="W353" s="488"/>
      <c r="X353" s="1596"/>
      <c r="Y353" s="488"/>
      <c r="Z353" s="1597"/>
      <c r="AA353" s="488"/>
      <c r="AB353" s="1270" t="s">
        <v>2753</v>
      </c>
      <c r="AC353" s="1273" t="s">
        <v>2754</v>
      </c>
      <c r="AD353" s="1272" t="s">
        <v>1514</v>
      </c>
      <c r="AE353" s="558"/>
      <c r="AF353" s="1108"/>
      <c r="AG353" s="1108"/>
      <c r="AH353" s="1064" t="s">
        <v>3088</v>
      </c>
      <c r="AI353" s="1058"/>
      <c r="AJ353" s="1058"/>
      <c r="AK353" s="965"/>
      <c r="AL353" s="965"/>
      <c r="AM353" s="1806"/>
      <c r="AN353" s="1806"/>
      <c r="AO353" s="1806"/>
      <c r="AP353" s="1806"/>
    </row>
    <row s="1806" customFormat="1" customHeight="1" ht="14.25">
      <c r="A354" s="667"/>
      <c r="B354" s="488"/>
      <c r="C354" s="488"/>
      <c r="D354" s="488"/>
      <c r="E354" s="649">
        <v>15</v>
      </c>
      <c r="F354" s="523" cm="1" t="str">
        <f t="array" ref="F354:F354">OFFSET(E354,-1,1)</f>
        <v>3</v>
      </c>
      <c r="G354" s="488"/>
      <c r="H354" s="488"/>
      <c r="I354" s="488"/>
      <c r="J354" s="488"/>
      <c r="K354" s="488"/>
      <c r="L354" s="488"/>
      <c r="M354" s="488"/>
      <c r="N354" s="488"/>
      <c r="O354" s="488"/>
      <c r="P354" s="488"/>
      <c r="Q354" s="488"/>
      <c r="R354" s="488"/>
      <c r="S354" s="488"/>
      <c r="T354" s="465" cm="1" t="str">
        <f t="array" ref="T354:T354">T353</f>
        <v>true</v>
      </c>
      <c r="U354" s="488"/>
      <c r="V354" s="488"/>
      <c r="W354" s="488"/>
      <c r="X354" s="1596"/>
      <c r="Y354" s="488"/>
      <c r="Z354" s="1597"/>
      <c r="AA354" s="488"/>
      <c r="AB354" s="1270" t="s">
        <v>2757</v>
      </c>
      <c r="AC354" s="1273" t="s">
        <v>2758</v>
      </c>
      <c r="AD354" s="1272" t="s">
        <v>1514</v>
      </c>
      <c r="AE354" s="558"/>
      <c r="AF354" s="1108"/>
      <c r="AG354" s="1108"/>
      <c r="AH354" s="1064" t="s">
        <v>3089</v>
      </c>
      <c r="AI354" s="1058"/>
      <c r="AJ354" s="1058"/>
      <c r="AK354" s="965"/>
      <c r="AL354" s="965"/>
      <c r="AM354" s="1806"/>
      <c r="AN354" s="1806"/>
      <c r="AO354" s="1806"/>
      <c r="AP354" s="1806"/>
    </row>
    <row s="1806" customFormat="1" customHeight="1" ht="14.25">
      <c r="A355" s="667"/>
      <c r="B355" s="488"/>
      <c r="C355" s="488"/>
      <c r="D355" s="488"/>
      <c r="E355" s="649">
        <v>15</v>
      </c>
      <c r="F355" s="523" cm="1" t="str">
        <f t="array" ref="F355:F355">OFFSET(E355,-1,1)</f>
        <v>3</v>
      </c>
      <c r="G355" s="488"/>
      <c r="H355" s="488"/>
      <c r="I355" s="488"/>
      <c r="J355" s="488"/>
      <c r="K355" s="488"/>
      <c r="L355" s="488"/>
      <c r="M355" s="488"/>
      <c r="N355" s="488"/>
      <c r="O355" s="488"/>
      <c r="P355" s="488"/>
      <c r="Q355" s="488"/>
      <c r="R355" s="488"/>
      <c r="S355" s="488"/>
      <c r="T355" s="465" cm="1" t="str">
        <f t="array" ref="T355:T355">T354</f>
        <v>true</v>
      </c>
      <c r="U355" s="488"/>
      <c r="V355" s="488"/>
      <c r="W355" s="488"/>
      <c r="X355" s="1596"/>
      <c r="Y355" s="488"/>
      <c r="Z355" s="1597"/>
      <c r="AA355" s="488"/>
      <c r="AB355" s="1270" t="s">
        <v>2760</v>
      </c>
      <c r="AC355" s="1273" t="s">
        <v>2761</v>
      </c>
      <c r="AD355" s="1272" t="s">
        <v>1514</v>
      </c>
      <c r="AE355" s="558"/>
      <c r="AF355" s="1108"/>
      <c r="AG355" s="1108"/>
      <c r="AH355" s="1064" t="s">
        <v>3090</v>
      </c>
      <c r="AI355" s="1058"/>
      <c r="AJ355" s="1058"/>
      <c r="AK355" s="965"/>
      <c r="AL355" s="965"/>
      <c r="AM355" s="1806"/>
      <c r="AN355" s="1806"/>
      <c r="AO355" s="1806"/>
      <c r="AP355" s="1806"/>
    </row>
    <row s="1806" customFormat="1" customHeight="1" ht="14.25">
      <c r="A356" s="667"/>
      <c r="B356" s="488"/>
      <c r="C356" s="488"/>
      <c r="D356" s="488"/>
      <c r="E356" s="649">
        <v>15</v>
      </c>
      <c r="F356" s="523" cm="1" t="str">
        <f t="array" ref="F356:F356">OFFSET(E356,-1,1)</f>
        <v>3</v>
      </c>
      <c r="G356" s="488"/>
      <c r="H356" s="488"/>
      <c r="I356" s="488"/>
      <c r="J356" s="488"/>
      <c r="K356" s="488"/>
      <c r="L356" s="488"/>
      <c r="M356" s="488"/>
      <c r="N356" s="488"/>
      <c r="O356" s="488"/>
      <c r="P356" s="488"/>
      <c r="Q356" s="488"/>
      <c r="R356" s="488"/>
      <c r="S356" s="488"/>
      <c r="T356" s="465" cm="1" t="str">
        <f t="array" ref="T356:T356">T355</f>
        <v>true</v>
      </c>
      <c r="U356" s="488"/>
      <c r="V356" s="488"/>
      <c r="W356" s="488"/>
      <c r="X356" s="1596"/>
      <c r="Y356" s="488"/>
      <c r="Z356" s="1597"/>
      <c r="AA356" s="488"/>
      <c r="AB356" s="1270" t="s">
        <v>2763</v>
      </c>
      <c r="AC356" s="1273" t="s">
        <v>2764</v>
      </c>
      <c r="AD356" s="1272" t="s">
        <v>1514</v>
      </c>
      <c r="AE356" s="558"/>
      <c r="AF356" s="1108"/>
      <c r="AG356" s="1108"/>
      <c r="AH356" s="1064" t="s">
        <v>3091</v>
      </c>
      <c r="AI356" s="1058"/>
      <c r="AJ356" s="1058"/>
      <c r="AK356" s="965"/>
      <c r="AL356" s="965"/>
      <c r="AM356" s="1806"/>
      <c r="AN356" s="1806"/>
      <c r="AO356" s="1806"/>
      <c r="AP356" s="1806"/>
    </row>
    <row s="1806" customFormat="1" customHeight="1" ht="14.25">
      <c r="A357" s="667"/>
      <c r="B357" s="488"/>
      <c r="C357" s="488"/>
      <c r="D357" s="488"/>
      <c r="E357" s="649">
        <v>15</v>
      </c>
      <c r="F357" s="523" cm="1" t="str">
        <f t="array" ref="F357:F357">OFFSET(E357,-1,1)</f>
        <v>3</v>
      </c>
      <c r="G357" s="488"/>
      <c r="H357" s="488"/>
      <c r="I357" s="488"/>
      <c r="J357" s="488"/>
      <c r="K357" s="488"/>
      <c r="L357" s="488"/>
      <c r="M357" s="488"/>
      <c r="N357" s="488"/>
      <c r="O357" s="488"/>
      <c r="P357" s="488"/>
      <c r="Q357" s="488"/>
      <c r="R357" s="488"/>
      <c r="S357" s="488"/>
      <c r="T357" s="465" cm="1" t="str">
        <f t="array" ref="T357:T357">T356</f>
        <v>true</v>
      </c>
      <c r="U357" s="488"/>
      <c r="V357" s="488"/>
      <c r="W357" s="488"/>
      <c r="X357" s="1596"/>
      <c r="Y357" s="488"/>
      <c r="Z357" s="1597"/>
      <c r="AA357" s="488"/>
      <c r="AB357" s="1270" t="s">
        <v>2765</v>
      </c>
      <c r="AC357" s="1273" t="s">
        <v>2766</v>
      </c>
      <c r="AD357" s="1272" t="s">
        <v>1514</v>
      </c>
      <c r="AE357" s="558"/>
      <c r="AF357" s="1108"/>
      <c r="AG357" s="1108"/>
      <c r="AH357" s="1064" t="s">
        <v>3092</v>
      </c>
      <c r="AI357" s="1058"/>
      <c r="AJ357" s="1058"/>
      <c r="AK357" s="965"/>
      <c r="AL357" s="965"/>
      <c r="AM357" s="1806"/>
      <c r="AN357" s="1806"/>
      <c r="AO357" s="1806"/>
      <c r="AP357" s="1806"/>
    </row>
    <row s="1806" customFormat="1" customHeight="1" ht="14.25">
      <c r="A358" s="667"/>
      <c r="B358" s="488"/>
      <c r="C358" s="488"/>
      <c r="D358" s="488"/>
      <c r="E358" s="649">
        <v>15</v>
      </c>
      <c r="F358" s="523" cm="1" t="str">
        <f t="array" ref="F358:F358">OFFSET(E358,-1,1)</f>
        <v>3</v>
      </c>
      <c r="G358" s="488"/>
      <c r="H358" s="488"/>
      <c r="I358" s="488"/>
      <c r="J358" s="488"/>
      <c r="K358" s="488"/>
      <c r="L358" s="488"/>
      <c r="M358" s="488"/>
      <c r="N358" s="488"/>
      <c r="O358" s="488"/>
      <c r="P358" s="488"/>
      <c r="Q358" s="488"/>
      <c r="R358" s="488"/>
      <c r="S358" s="488"/>
      <c r="T358" s="465" cm="1" t="str">
        <f t="array" ref="T358:T358">T357</f>
        <v>true</v>
      </c>
      <c r="U358" s="488"/>
      <c r="V358" s="488"/>
      <c r="W358" s="488"/>
      <c r="X358" s="1596"/>
      <c r="Y358" s="488"/>
      <c r="Z358" s="1597"/>
      <c r="AA358" s="488"/>
      <c r="AB358" s="1270" t="s">
        <v>1254</v>
      </c>
      <c r="AC358" s="1271" t="s">
        <v>2767</v>
      </c>
      <c r="AD358" s="1272" t="s">
        <v>1514</v>
      </c>
      <c r="AE358" s="558"/>
      <c r="AF358" s="1108"/>
      <c r="AG358" s="1108"/>
      <c r="AH358" s="1064" t="s">
        <v>3093</v>
      </c>
      <c r="AI358" s="1058"/>
      <c r="AJ358" s="1058"/>
      <c r="AK358" s="965"/>
      <c r="AL358" s="965"/>
      <c r="AM358" s="1806"/>
      <c r="AN358" s="1806"/>
      <c r="AO358" s="1806"/>
      <c r="AP358" s="1806"/>
    </row>
    <row s="1834" customFormat="1" customHeight="1" ht="14.25">
      <c r="A359" s="667"/>
      <c r="B359" s="1459"/>
      <c r="C359" s="1459"/>
      <c r="D359" s="1459"/>
      <c r="E359" s="649">
        <v>15</v>
      </c>
      <c r="F359" s="50" cm="1" t="str">
        <f t="array" ref="F359:F359">OFFSET(E359,-1,1)</f>
        <v>3</v>
      </c>
      <c r="G359" s="1459"/>
      <c r="H359" s="488" t="s">
        <v>1196</v>
      </c>
      <c r="I359" s="1459"/>
      <c r="J359" s="1459"/>
      <c r="K359" s="1459"/>
      <c r="L359" s="1459"/>
      <c r="M359" s="1459"/>
      <c r="N359" s="1459"/>
      <c r="O359" s="1459"/>
      <c r="P359" s="1459"/>
      <c r="Q359" s="1459"/>
      <c r="R359" s="1459"/>
      <c r="S359" s="1459"/>
      <c r="T359" s="465" cm="1" t="str">
        <f t="array" ref="T359:T359">T345</f>
        <v>true</v>
      </c>
      <c r="U359" s="1459"/>
      <c r="V359" s="1459"/>
      <c r="W359" s="1459"/>
      <c r="X359" s="1596"/>
      <c r="Y359" s="1459"/>
      <c r="Z359" s="1597"/>
      <c r="AA359" s="1459"/>
      <c r="AB359" s="714" t="s">
        <v>1258</v>
      </c>
      <c r="AC359" s="547" t="s">
        <v>3094</v>
      </c>
      <c r="AD359" s="548" t="s">
        <v>1514</v>
      </c>
      <c r="AE359" s="557">
        <f>SUM(AE360:AE368)</f>
        <v>0</v>
      </c>
      <c r="AF359" s="1442"/>
      <c r="AG359" s="1442"/>
      <c r="AH359" s="1070" t="s">
        <v>1999</v>
      </c>
      <c r="AI359" s="1811"/>
      <c r="AJ359" s="1811"/>
      <c r="AK359" s="1444"/>
      <c r="AL359" s="1444"/>
      <c r="AM359" s="1834"/>
      <c r="AN359" s="1834"/>
      <c r="AO359" s="1834"/>
      <c r="AP359" s="1834"/>
    </row>
    <row s="1834" customFormat="1" customHeight="1" ht="14.25">
      <c r="A360" s="667"/>
      <c r="B360" s="1459"/>
      <c r="C360" s="1459"/>
      <c r="D360" s="1459"/>
      <c r="E360" s="649">
        <v>15</v>
      </c>
      <c r="F360" s="50" cm="1" t="str">
        <f t="array" ref="F360:F360">OFFSET(E360,-1,1)</f>
        <v>3</v>
      </c>
      <c r="G360" s="1459"/>
      <c r="H360" s="488" t="s">
        <v>2507</v>
      </c>
      <c r="I360" s="1459"/>
      <c r="J360" s="1459"/>
      <c r="K360" s="1459"/>
      <c r="L360" s="1459"/>
      <c r="M360" s="1459"/>
      <c r="N360" s="1459"/>
      <c r="O360" s="1459"/>
      <c r="P360" s="1459"/>
      <c r="Q360" s="1459"/>
      <c r="R360" s="1459"/>
      <c r="S360" s="1459"/>
      <c r="T360" s="465" cm="1" t="str">
        <f t="array" ref="T360:T360">T359</f>
        <v>true</v>
      </c>
      <c r="U360" s="1459"/>
      <c r="V360" s="1459"/>
      <c r="W360" s="1459"/>
      <c r="X360" s="1596"/>
      <c r="Y360" s="1459"/>
      <c r="Z360" s="1597"/>
      <c r="AA360" s="1459"/>
      <c r="AB360" s="714" t="s">
        <v>1212</v>
      </c>
      <c r="AC360" s="549" t="s">
        <v>2014</v>
      </c>
      <c r="AD360" s="548" t="s">
        <v>1514</v>
      </c>
      <c r="AE360" s="1332"/>
      <c r="AF360" s="1442"/>
      <c r="AG360" s="1442"/>
      <c r="AH360" s="1064" t="s">
        <v>2770</v>
      </c>
      <c r="AI360" s="1811"/>
      <c r="AJ360" s="1811"/>
      <c r="AK360" s="1444"/>
      <c r="AL360" s="1444"/>
      <c r="AM360" s="1834"/>
      <c r="AN360" s="1834"/>
      <c r="AO360" s="1834"/>
      <c r="AP360" s="1834"/>
    </row>
    <row s="1834" customFormat="1" customHeight="1" ht="14.25">
      <c r="A361" s="667"/>
      <c r="B361" s="1459"/>
      <c r="C361" s="1459"/>
      <c r="D361" s="1459"/>
      <c r="E361" s="649">
        <v>15</v>
      </c>
      <c r="F361" s="50" cm="1" t="str">
        <f t="array" ref="F361:F361">OFFSET(E361,-1,1)</f>
        <v>3</v>
      </c>
      <c r="G361" s="1459"/>
      <c r="H361" s="488" t="s">
        <v>2510</v>
      </c>
      <c r="I361" s="1459"/>
      <c r="J361" s="1459"/>
      <c r="K361" s="1459"/>
      <c r="L361" s="1459"/>
      <c r="M361" s="1459"/>
      <c r="N361" s="1459"/>
      <c r="O361" s="1459"/>
      <c r="P361" s="1459"/>
      <c r="Q361" s="1459"/>
      <c r="R361" s="1459"/>
      <c r="S361" s="1459"/>
      <c r="T361" s="465" cm="1" t="str">
        <f t="array" ref="T361:T361">T360</f>
        <v>true</v>
      </c>
      <c r="U361" s="1459"/>
      <c r="V361" s="1459"/>
      <c r="W361" s="1459"/>
      <c r="X361" s="1596"/>
      <c r="Y361" s="1459"/>
      <c r="Z361" s="1597"/>
      <c r="AA361" s="1459"/>
      <c r="AB361" s="714" t="s">
        <v>2225</v>
      </c>
      <c r="AC361" s="549" t="s">
        <v>3095</v>
      </c>
      <c r="AD361" s="548" t="s">
        <v>1514</v>
      </c>
      <c r="AE361" s="1332"/>
      <c r="AF361" s="1442"/>
      <c r="AG361" s="1442"/>
      <c r="AH361" s="1064" t="s">
        <v>2773</v>
      </c>
      <c r="AI361" s="1811"/>
      <c r="AJ361" s="1811"/>
      <c r="AK361" s="1444"/>
      <c r="AL361" s="1444"/>
      <c r="AM361" s="1834"/>
      <c r="AN361" s="1834"/>
      <c r="AO361" s="1834"/>
      <c r="AP361" s="1834"/>
    </row>
    <row s="1834" customFormat="1" customHeight="1" ht="14.25">
      <c r="A362" s="667"/>
      <c r="B362" s="1459"/>
      <c r="C362" s="1459"/>
      <c r="D362" s="1459"/>
      <c r="E362" s="649">
        <v>15</v>
      </c>
      <c r="F362" s="50" cm="1" t="str">
        <f t="array" ref="F362:F362">OFFSET(E362,-1,1)</f>
        <v>3</v>
      </c>
      <c r="G362" s="1459"/>
      <c r="H362" s="488" t="s">
        <v>3096</v>
      </c>
      <c r="I362" s="1459"/>
      <c r="J362" s="1459"/>
      <c r="K362" s="1459"/>
      <c r="L362" s="1459"/>
      <c r="M362" s="1459"/>
      <c r="N362" s="1459"/>
      <c r="O362" s="1459"/>
      <c r="P362" s="1459"/>
      <c r="Q362" s="1459"/>
      <c r="R362" s="1459"/>
      <c r="S362" s="1459"/>
      <c r="T362" s="465" cm="1" t="str">
        <f t="array" ref="T362:T362">T361</f>
        <v>true</v>
      </c>
      <c r="U362" s="1459"/>
      <c r="V362" s="1459"/>
      <c r="W362" s="1459"/>
      <c r="X362" s="1596"/>
      <c r="Y362" s="1459"/>
      <c r="Z362" s="1597"/>
      <c r="AA362" s="1459"/>
      <c r="AB362" s="714" t="s">
        <v>2230</v>
      </c>
      <c r="AC362" s="549" t="s">
        <v>3097</v>
      </c>
      <c r="AD362" s="548" t="s">
        <v>1514</v>
      </c>
      <c r="AE362" s="1332"/>
      <c r="AF362" s="1442"/>
      <c r="AG362" s="1442"/>
      <c r="AH362" s="1064" t="s">
        <v>2776</v>
      </c>
      <c r="AI362" s="1811"/>
      <c r="AJ362" s="1811"/>
      <c r="AK362" s="1444"/>
      <c r="AL362" s="1444"/>
      <c r="AM362" s="1834"/>
      <c r="AN362" s="1834"/>
      <c r="AO362" s="1834"/>
      <c r="AP362" s="1834"/>
    </row>
    <row s="1834" customFormat="1" customHeight="1" ht="14.25">
      <c r="A363" s="667"/>
      <c r="B363" s="1459"/>
      <c r="C363" s="1459"/>
      <c r="D363" s="1459"/>
      <c r="E363" s="649">
        <v>15</v>
      </c>
      <c r="F363" s="50" cm="1" t="str">
        <f t="array" ref="F363:F363">OFFSET(E363,-1,1)</f>
        <v>3</v>
      </c>
      <c r="G363" s="1459"/>
      <c r="H363" s="488" t="s">
        <v>3098</v>
      </c>
      <c r="I363" s="1459"/>
      <c r="J363" s="1459"/>
      <c r="K363" s="1459"/>
      <c r="L363" s="1459"/>
      <c r="M363" s="1459"/>
      <c r="N363" s="1459"/>
      <c r="O363" s="1459"/>
      <c r="P363" s="1459"/>
      <c r="Q363" s="1459"/>
      <c r="R363" s="1459"/>
      <c r="S363" s="1459"/>
      <c r="T363" s="465" cm="1" t="str">
        <f t="array" ref="T363:T363">T362</f>
        <v>true</v>
      </c>
      <c r="U363" s="1459"/>
      <c r="V363" s="1459"/>
      <c r="W363" s="1459"/>
      <c r="X363" s="1596"/>
      <c r="Y363" s="1459"/>
      <c r="Z363" s="1597"/>
      <c r="AA363" s="1459"/>
      <c r="AB363" s="714" t="s">
        <v>2778</v>
      </c>
      <c r="AC363" s="549" t="s">
        <v>2007</v>
      </c>
      <c r="AD363" s="548" t="s">
        <v>1514</v>
      </c>
      <c r="AE363" s="1332"/>
      <c r="AF363" s="1442"/>
      <c r="AG363" s="1442"/>
      <c r="AH363" s="1064" t="s">
        <v>2780</v>
      </c>
      <c r="AI363" s="1811"/>
      <c r="AJ363" s="1811"/>
      <c r="AK363" s="1444"/>
      <c r="AL363" s="1444"/>
      <c r="AM363" s="1834"/>
      <c r="AN363" s="1834"/>
      <c r="AO363" s="1834"/>
      <c r="AP363" s="1834"/>
    </row>
    <row s="1834" customFormat="1" customHeight="1" ht="14.25">
      <c r="A364" s="667"/>
      <c r="B364" s="1459"/>
      <c r="C364" s="1459"/>
      <c r="D364" s="1459"/>
      <c r="E364" s="649">
        <v>15</v>
      </c>
      <c r="F364" s="50" cm="1" t="str">
        <f t="array" ref="F364:F364">OFFSET(E364,-1,1)</f>
        <v>3</v>
      </c>
      <c r="G364" s="1459"/>
      <c r="H364" s="488" t="s">
        <v>3099</v>
      </c>
      <c r="I364" s="1459"/>
      <c r="J364" s="1459"/>
      <c r="K364" s="1459"/>
      <c r="L364" s="1459"/>
      <c r="M364" s="1459"/>
      <c r="N364" s="1459"/>
      <c r="O364" s="1459"/>
      <c r="P364" s="1459"/>
      <c r="Q364" s="1459"/>
      <c r="R364" s="1459"/>
      <c r="S364" s="1459"/>
      <c r="T364" s="465" cm="1" t="str">
        <f t="array" ref="T364:T364">T363</f>
        <v>true</v>
      </c>
      <c r="U364" s="1459"/>
      <c r="V364" s="1459"/>
      <c r="W364" s="1459"/>
      <c r="X364" s="1596"/>
      <c r="Y364" s="1459"/>
      <c r="Z364" s="1597"/>
      <c r="AA364" s="1459"/>
      <c r="AB364" s="714" t="s">
        <v>2782</v>
      </c>
      <c r="AC364" s="549" t="s">
        <v>2009</v>
      </c>
      <c r="AD364" s="548" t="s">
        <v>1514</v>
      </c>
      <c r="AE364" s="1332"/>
      <c r="AF364" s="1442"/>
      <c r="AG364" s="1442"/>
      <c r="AH364" s="1064" t="s">
        <v>2784</v>
      </c>
      <c r="AI364" s="1811"/>
      <c r="AJ364" s="1811"/>
      <c r="AK364" s="1444"/>
      <c r="AL364" s="1444"/>
      <c r="AM364" s="1834"/>
      <c r="AN364" s="1834"/>
      <c r="AO364" s="1834"/>
      <c r="AP364" s="1834"/>
    </row>
    <row s="1834" customFormat="1" customHeight="1" ht="14.25">
      <c r="A365" s="667"/>
      <c r="B365" s="1459"/>
      <c r="C365" s="1459"/>
      <c r="D365" s="1459"/>
      <c r="E365" s="649">
        <v>15</v>
      </c>
      <c r="F365" s="50" cm="1" t="str">
        <f t="array" ref="F365:F365">OFFSET(E365,-1,1)</f>
        <v>3</v>
      </c>
      <c r="G365" s="1459"/>
      <c r="H365" s="488" t="s">
        <v>3100</v>
      </c>
      <c r="I365" s="1459"/>
      <c r="J365" s="1459"/>
      <c r="K365" s="1459"/>
      <c r="L365" s="1459"/>
      <c r="M365" s="1459"/>
      <c r="N365" s="1459"/>
      <c r="O365" s="1459"/>
      <c r="P365" s="1459"/>
      <c r="Q365" s="1459"/>
      <c r="R365" s="1459"/>
      <c r="S365" s="1459"/>
      <c r="T365" s="465" cm="1" t="str">
        <f t="array" ref="T365:T365">T364</f>
        <v>true</v>
      </c>
      <c r="U365" s="1459"/>
      <c r="V365" s="1459"/>
      <c r="W365" s="1459"/>
      <c r="X365" s="1596"/>
      <c r="Y365" s="1459"/>
      <c r="Z365" s="1597"/>
      <c r="AA365" s="1459"/>
      <c r="AB365" s="714" t="s">
        <v>2786</v>
      </c>
      <c r="AC365" s="549" t="s">
        <v>2000</v>
      </c>
      <c r="AD365" s="548" t="s">
        <v>1514</v>
      </c>
      <c r="AE365" s="1332"/>
      <c r="AF365" s="1442"/>
      <c r="AG365" s="1442"/>
      <c r="AH365" s="1064" t="s">
        <v>2788</v>
      </c>
      <c r="AI365" s="1811"/>
      <c r="AJ365" s="1811"/>
      <c r="AK365" s="1444"/>
      <c r="AL365" s="1444"/>
      <c r="AM365" s="1834"/>
      <c r="AN365" s="1834"/>
      <c r="AO365" s="1834"/>
      <c r="AP365" s="1834"/>
    </row>
    <row s="1806" customFormat="1" customHeight="1" ht="14.25">
      <c r="A366" s="667"/>
      <c r="B366" s="488"/>
      <c r="C366" s="488"/>
      <c r="D366" s="488"/>
      <c r="E366" s="649">
        <v>15</v>
      </c>
      <c r="F366" s="523" cm="1" t="str">
        <f t="array" ref="F366:F366">OFFSET(E366,-1,1)</f>
        <v>3</v>
      </c>
      <c r="G366" s="488"/>
      <c r="H366" s="488"/>
      <c r="I366" s="488"/>
      <c r="J366" s="488"/>
      <c r="K366" s="488"/>
      <c r="L366" s="488"/>
      <c r="M366" s="488"/>
      <c r="N366" s="488"/>
      <c r="O366" s="488"/>
      <c r="P366" s="488"/>
      <c r="Q366" s="488"/>
      <c r="R366" s="488"/>
      <c r="S366" s="488"/>
      <c r="T366" s="465" cm="1" t="str">
        <f t="array" ref="T366:T366">T365</f>
        <v>true</v>
      </c>
      <c r="U366" s="488"/>
      <c r="V366" s="488"/>
      <c r="W366" s="488"/>
      <c r="X366" s="1596"/>
      <c r="Y366" s="488"/>
      <c r="Z366" s="1597"/>
      <c r="AA366" s="488"/>
      <c r="AB366" s="1270" t="s">
        <v>2790</v>
      </c>
      <c r="AC366" s="1273" t="s">
        <v>3101</v>
      </c>
      <c r="AD366" s="1272" t="s">
        <v>1514</v>
      </c>
      <c r="AE366" s="558"/>
      <c r="AF366" s="1108"/>
      <c r="AG366" s="1108"/>
      <c r="AH366" s="1064" t="s">
        <v>2017</v>
      </c>
      <c r="AI366" s="1058"/>
      <c r="AJ366" s="1058"/>
      <c r="AK366" s="965"/>
      <c r="AL366" s="965"/>
      <c r="AM366" s="1806"/>
      <c r="AN366" s="1806"/>
      <c r="AO366" s="1806"/>
      <c r="AP366" s="1806"/>
    </row>
    <row s="1806" customFormat="1" customHeight="1" ht="14.25">
      <c r="A367" s="667"/>
      <c r="B367" s="488"/>
      <c r="C367" s="488"/>
      <c r="D367" s="488"/>
      <c r="E367" s="649">
        <v>15</v>
      </c>
      <c r="F367" s="523" cm="1" t="str">
        <f t="array" ref="F367:F367">OFFSET(E367,-1,1)</f>
        <v>3</v>
      </c>
      <c r="G367" s="488"/>
      <c r="H367" s="488"/>
      <c r="I367" s="488"/>
      <c r="J367" s="488"/>
      <c r="K367" s="488"/>
      <c r="L367" s="488"/>
      <c r="M367" s="488"/>
      <c r="N367" s="488"/>
      <c r="O367" s="488"/>
      <c r="P367" s="488"/>
      <c r="Q367" s="488"/>
      <c r="R367" s="488"/>
      <c r="S367" s="488"/>
      <c r="T367" s="465" cm="1" t="str">
        <f t="array" ref="T367:T367">T366</f>
        <v>true</v>
      </c>
      <c r="U367" s="488"/>
      <c r="V367" s="488"/>
      <c r="W367" s="488"/>
      <c r="X367" s="1596"/>
      <c r="Y367" s="488"/>
      <c r="Z367" s="1597"/>
      <c r="AA367" s="488"/>
      <c r="AB367" s="1270" t="s">
        <v>2794</v>
      </c>
      <c r="AC367" s="1273" t="s">
        <v>2018</v>
      </c>
      <c r="AD367" s="1272" t="s">
        <v>1514</v>
      </c>
      <c r="AE367" s="558"/>
      <c r="AF367" s="1108"/>
      <c r="AG367" s="1108"/>
      <c r="AH367" s="1064" t="s">
        <v>3102</v>
      </c>
      <c r="AI367" s="1058"/>
      <c r="AJ367" s="1058"/>
      <c r="AK367" s="965"/>
      <c r="AL367" s="965"/>
      <c r="AM367" s="1806"/>
      <c r="AN367" s="1806"/>
      <c r="AO367" s="1806"/>
      <c r="AP367" s="1806"/>
    </row>
    <row s="1834" customFormat="1" customHeight="1" ht="14.25">
      <c r="A368" s="667"/>
      <c r="B368" s="1459"/>
      <c r="C368" s="1459"/>
      <c r="D368" s="1459"/>
      <c r="E368" s="649">
        <v>15</v>
      </c>
      <c r="F368" s="50" cm="1" t="str">
        <f t="array" ref="F368:F368">OFFSET(E368,-1,1)</f>
        <v>3</v>
      </c>
      <c r="G368" s="1459"/>
      <c r="H368" s="488" t="s">
        <v>3103</v>
      </c>
      <c r="I368" s="1459"/>
      <c r="J368" s="1459"/>
      <c r="K368" s="1459"/>
      <c r="L368" s="1459"/>
      <c r="M368" s="1459"/>
      <c r="N368" s="1459"/>
      <c r="O368" s="1459"/>
      <c r="P368" s="1459"/>
      <c r="Q368" s="1459"/>
      <c r="R368" s="1459"/>
      <c r="S368" s="1459"/>
      <c r="T368" s="465" cm="1" t="str">
        <f t="array" ref="T368:T368">T365</f>
        <v>true</v>
      </c>
      <c r="U368" s="1459"/>
      <c r="V368" s="1459"/>
      <c r="W368" s="1459"/>
      <c r="X368" s="1596"/>
      <c r="Y368" s="1459"/>
      <c r="Z368" s="1597"/>
      <c r="AA368" s="1459"/>
      <c r="AB368" s="714" t="s">
        <v>2796</v>
      </c>
      <c r="AC368" s="549" t="s">
        <v>2020</v>
      </c>
      <c r="AD368" s="548" t="s">
        <v>1514</v>
      </c>
      <c r="AE368" s="1332"/>
      <c r="AF368" s="1442"/>
      <c r="AG368" s="1442"/>
      <c r="AH368" s="1064" t="s">
        <v>2802</v>
      </c>
      <c r="AI368" s="1811"/>
      <c r="AJ368" s="1811"/>
      <c r="AK368" s="1444"/>
      <c r="AL368" s="1444"/>
      <c r="AM368" s="1834"/>
      <c r="AN368" s="1834"/>
      <c r="AO368" s="1834"/>
      <c r="AP368" s="1834"/>
    </row>
    <row s="1834" customFormat="1" customHeight="1" ht="14.25">
      <c r="A369" s="667"/>
      <c r="B369" s="1459"/>
      <c r="C369" s="1459"/>
      <c r="D369" s="1459"/>
      <c r="E369" s="649">
        <v>15</v>
      </c>
      <c r="F369" s="50" cm="1" t="str">
        <f t="array" ref="F369:F369">OFFSET(E369,-1,1)</f>
        <v>3</v>
      </c>
      <c r="G369" s="1459"/>
      <c r="H369" s="488" t="s">
        <v>1648</v>
      </c>
      <c r="I369" s="1459"/>
      <c r="J369" s="1459"/>
      <c r="K369" s="1459"/>
      <c r="L369" s="1459"/>
      <c r="M369" s="1459"/>
      <c r="N369" s="1459"/>
      <c r="O369" s="1459"/>
      <c r="P369" s="1459"/>
      <c r="Q369" s="1459"/>
      <c r="R369" s="1459"/>
      <c r="S369" s="1459"/>
      <c r="T369" s="465" cm="1" t="str">
        <f t="array" ref="T369:T369">T368</f>
        <v>true</v>
      </c>
      <c r="U369" s="1459"/>
      <c r="V369" s="1459"/>
      <c r="W369" s="1459"/>
      <c r="X369" s="1596"/>
      <c r="Y369" s="1459"/>
      <c r="Z369" s="1597"/>
      <c r="AA369" s="1459"/>
      <c r="AB369" s="714" t="s">
        <v>1651</v>
      </c>
      <c r="AC369" s="549" t="s">
        <v>1750</v>
      </c>
      <c r="AD369" s="548" t="s">
        <v>1514</v>
      </c>
      <c r="AE369" s="1332"/>
      <c r="AF369" s="1442"/>
      <c r="AG369" s="1442"/>
      <c r="AH369" s="1064" t="s">
        <v>1946</v>
      </c>
      <c r="AI369" s="1811"/>
      <c r="AJ369" s="1811"/>
      <c r="AK369" s="1444"/>
      <c r="AL369" s="1444"/>
      <c r="AM369" s="1834"/>
      <c r="AN369" s="1834"/>
      <c r="AO369" s="1834"/>
      <c r="AP369" s="1834"/>
    </row>
    <row s="1834" customFormat="1" customHeight="1" ht="14.25">
      <c r="A370" s="667"/>
      <c r="B370" s="1459"/>
      <c r="C370" s="1459"/>
      <c r="D370" s="1459"/>
      <c r="E370" s="649">
        <v>15</v>
      </c>
      <c r="F370" s="50" cm="1" t="str">
        <f t="array" ref="F370:F370">OFFSET(E370,-1,1)</f>
        <v>3</v>
      </c>
      <c r="G370" s="1459"/>
      <c r="H370" s="488" t="s">
        <v>2805</v>
      </c>
      <c r="I370" s="1459"/>
      <c r="J370" s="1459"/>
      <c r="K370" s="1459"/>
      <c r="L370" s="1459"/>
      <c r="M370" s="1459"/>
      <c r="N370" s="1459"/>
      <c r="O370" s="1459"/>
      <c r="P370" s="1459"/>
      <c r="Q370" s="1459"/>
      <c r="R370" s="1459"/>
      <c r="S370" s="1459"/>
      <c r="T370" s="465" cm="1" t="str">
        <f t="array" ref="T370:T370">T369</f>
        <v>true</v>
      </c>
      <c r="U370" s="1459"/>
      <c r="V370" s="1459"/>
      <c r="W370" s="1459"/>
      <c r="X370" s="1596"/>
      <c r="Y370" s="1459"/>
      <c r="Z370" s="1597"/>
      <c r="AA370" s="1459"/>
      <c r="AB370" s="714" t="s">
        <v>1654</v>
      </c>
      <c r="AC370" s="547" t="s">
        <v>2197</v>
      </c>
      <c r="AD370" s="548" t="s">
        <v>1514</v>
      </c>
      <c r="AE370" s="1332"/>
      <c r="AF370" s="1442"/>
      <c r="AG370" s="1442"/>
      <c r="AH370" s="1071" t="s">
        <v>2551</v>
      </c>
      <c r="AI370" s="1811"/>
      <c r="AJ370" s="1811"/>
      <c r="AK370" s="1444"/>
      <c r="AL370" s="1444"/>
      <c r="AM370" s="1834"/>
      <c r="AN370" s="1834"/>
      <c r="AO370" s="1834"/>
      <c r="AP370" s="1834"/>
    </row>
    <row s="1834" customFormat="1" customHeight="1" ht="14.25">
      <c r="A371" s="667"/>
      <c r="B371" s="1459"/>
      <c r="C371" s="1459"/>
      <c r="D371" s="1459"/>
      <c r="E371" s="649">
        <v>15</v>
      </c>
      <c r="F371" s="50" cm="1" t="str">
        <f t="array" ref="F371:F371">OFFSET(E371,-1,1)</f>
        <v>3</v>
      </c>
      <c r="G371" s="1459"/>
      <c r="H371" s="488" t="s">
        <v>2813</v>
      </c>
      <c r="I371" s="1459"/>
      <c r="J371" s="1459"/>
      <c r="K371" s="1459"/>
      <c r="L371" s="1459"/>
      <c r="M371" s="1459"/>
      <c r="N371" s="1459"/>
      <c r="O371" s="1459"/>
      <c r="P371" s="1459"/>
      <c r="Q371" s="1459"/>
      <c r="R371" s="1459"/>
      <c r="S371" s="1459"/>
      <c r="T371" s="465" cm="1" t="str">
        <f t="array" ref="T371:T371">T370</f>
        <v>true</v>
      </c>
      <c r="U371" s="1459"/>
      <c r="V371" s="1459"/>
      <c r="W371" s="1459"/>
      <c r="X371" s="1596"/>
      <c r="Y371" s="1459"/>
      <c r="Z371" s="1597"/>
      <c r="AA371" s="1459"/>
      <c r="AB371" s="714" t="s">
        <v>2245</v>
      </c>
      <c r="AC371" s="547" t="s">
        <v>2207</v>
      </c>
      <c r="AD371" s="548" t="s">
        <v>1514</v>
      </c>
      <c r="AE371" s="557">
        <f>AE372+AE373</f>
        <v>0</v>
      </c>
      <c r="AF371" s="1442"/>
      <c r="AG371" s="1442"/>
      <c r="AH371" s="1064" t="s">
        <v>2818</v>
      </c>
      <c r="AI371" s="1811"/>
      <c r="AJ371" s="1811"/>
      <c r="AK371" s="1444"/>
      <c r="AL371" s="1444"/>
      <c r="AM371" s="1834"/>
      <c r="AN371" s="1834"/>
      <c r="AO371" s="1834"/>
      <c r="AP371" s="1834"/>
    </row>
    <row s="1834" customFormat="1" customHeight="1" ht="14.25">
      <c r="A372" s="667"/>
      <c r="B372" s="1459"/>
      <c r="C372" s="1459"/>
      <c r="D372" s="1459"/>
      <c r="E372" s="649">
        <v>15</v>
      </c>
      <c r="F372" s="50" cm="1" t="str">
        <f t="array" ref="F372:F372">OFFSET(E372,-1,1)</f>
        <v>3</v>
      </c>
      <c r="G372" s="1459"/>
      <c r="H372" s="488" t="s">
        <v>3104</v>
      </c>
      <c r="I372" s="1459"/>
      <c r="J372" s="1459"/>
      <c r="K372" s="1459"/>
      <c r="L372" s="1459"/>
      <c r="M372" s="1459"/>
      <c r="N372" s="1459"/>
      <c r="O372" s="1459"/>
      <c r="P372" s="1459"/>
      <c r="Q372" s="1459"/>
      <c r="R372" s="1459"/>
      <c r="S372" s="1459"/>
      <c r="T372" s="465" cm="1" t="str">
        <f t="array" ref="T372:T372">T371</f>
        <v>true</v>
      </c>
      <c r="U372" s="1459"/>
      <c r="V372" s="1459"/>
      <c r="W372" s="1459"/>
      <c r="X372" s="1596"/>
      <c r="Y372" s="1459"/>
      <c r="Z372" s="1597"/>
      <c r="AA372" s="1459"/>
      <c r="AB372" s="714" t="s">
        <v>2809</v>
      </c>
      <c r="AC372" s="549" t="s">
        <v>3105</v>
      </c>
      <c r="AD372" s="548" t="s">
        <v>1514</v>
      </c>
      <c r="AE372" s="1332"/>
      <c r="AF372" s="1442"/>
      <c r="AG372" s="1442"/>
      <c r="AH372" s="1064" t="s">
        <v>1991</v>
      </c>
      <c r="AI372" s="1811"/>
      <c r="AJ372" s="1811"/>
      <c r="AK372" s="1444"/>
      <c r="AL372" s="1444"/>
      <c r="AM372" s="1834"/>
      <c r="AN372" s="1834"/>
      <c r="AO372" s="1834"/>
      <c r="AP372" s="1834"/>
    </row>
    <row s="1834" customFormat="1" customHeight="1" ht="21.75">
      <c r="A373" s="667"/>
      <c r="B373" s="1459"/>
      <c r="C373" s="1459"/>
      <c r="D373" s="1459"/>
      <c r="E373" s="649">
        <v>22.5</v>
      </c>
      <c r="F373" s="50" cm="1" t="str">
        <f t="array" ref="F373:F373">OFFSET(E373,-1,1)</f>
        <v>3</v>
      </c>
      <c r="G373" s="1459"/>
      <c r="H373" s="488" t="s">
        <v>3106</v>
      </c>
      <c r="I373" s="1459"/>
      <c r="J373" s="1459"/>
      <c r="K373" s="1459"/>
      <c r="L373" s="1459"/>
      <c r="M373" s="1459"/>
      <c r="N373" s="1459"/>
      <c r="O373" s="1459"/>
      <c r="P373" s="1459"/>
      <c r="Q373" s="1459"/>
      <c r="R373" s="1459"/>
      <c r="S373" s="1459"/>
      <c r="T373" s="465" cm="1" t="str">
        <f t="array" ref="T373:T373">T372</f>
        <v>true</v>
      </c>
      <c r="U373" s="1459"/>
      <c r="V373" s="1459"/>
      <c r="W373" s="1459"/>
      <c r="X373" s="1596"/>
      <c r="Y373" s="1459"/>
      <c r="Z373" s="1597"/>
      <c r="AA373" s="1459"/>
      <c r="AB373" s="714" t="s">
        <v>3107</v>
      </c>
      <c r="AC373" s="549" t="s">
        <v>3108</v>
      </c>
      <c r="AD373" s="548" t="s">
        <v>1514</v>
      </c>
      <c r="AE373" s="1332"/>
      <c r="AF373" s="1442"/>
      <c r="AG373" s="1442"/>
      <c r="AH373" s="1064" t="s">
        <v>2825</v>
      </c>
      <c r="AI373" s="1811"/>
      <c r="AJ373" s="1811"/>
      <c r="AK373" s="1444"/>
      <c r="AL373" s="1444"/>
      <c r="AM373" s="1834"/>
      <c r="AN373" s="1834"/>
      <c r="AO373" s="1834"/>
      <c r="AP373" s="1834"/>
    </row>
    <row s="1834" customFormat="1" customHeight="1" ht="76.5">
      <c r="A374" s="667"/>
      <c r="B374" s="1459"/>
      <c r="C374" s="1459"/>
      <c r="D374" s="1459"/>
      <c r="E374" s="649">
        <v>78.75</v>
      </c>
      <c r="F374" s="50" cm="1" t="str">
        <f t="array" ref="F374:F374">OFFSET(E374,-1,1)</f>
        <v>3</v>
      </c>
      <c r="G374" s="1459"/>
      <c r="H374" s="488" t="s">
        <v>2817</v>
      </c>
      <c r="I374" s="1459"/>
      <c r="J374" s="1459"/>
      <c r="K374" s="1459"/>
      <c r="L374" s="1459"/>
      <c r="M374" s="1459"/>
      <c r="N374" s="1459"/>
      <c r="O374" s="1459"/>
      <c r="P374" s="1459"/>
      <c r="Q374" s="1459"/>
      <c r="R374" s="1459"/>
      <c r="S374" s="1459"/>
      <c r="T374" s="465" cm="1" t="str">
        <f t="array" ref="T374:T374">T373</f>
        <v>true</v>
      </c>
      <c r="U374" s="1459"/>
      <c r="V374" s="1459"/>
      <c r="W374" s="1459"/>
      <c r="X374" s="1596"/>
      <c r="Y374" s="1459"/>
      <c r="Z374" s="1597"/>
      <c r="AA374" s="1459"/>
      <c r="AB374" s="714" t="s">
        <v>2250</v>
      </c>
      <c r="AC374" s="1283" t="s">
        <v>2181</v>
      </c>
      <c r="AD374" s="548" t="s">
        <v>1514</v>
      </c>
      <c r="AE374" s="1332"/>
      <c r="AF374" s="1442"/>
      <c r="AG374" s="1442"/>
      <c r="AH374" s="1064" t="s">
        <v>2803</v>
      </c>
      <c r="AI374" s="1811"/>
      <c r="AJ374" s="1811"/>
      <c r="AK374" s="1444"/>
      <c r="AL374" s="1444"/>
      <c r="AM374" s="1834"/>
      <c r="AN374" s="1834"/>
      <c r="AO374" s="1834"/>
      <c r="AP374" s="1834"/>
    </row>
    <row s="1806" customFormat="1" customHeight="1" ht="14.25">
      <c r="A375" s="667"/>
      <c r="B375" s="488"/>
      <c r="C375" s="488"/>
      <c r="D375" s="488"/>
      <c r="E375" s="649">
        <v>15</v>
      </c>
      <c r="F375" s="523" cm="1" t="str">
        <f t="array" ref="F375:F375">OFFSET(E375,-1,1)</f>
        <v>3</v>
      </c>
      <c r="G375" s="488"/>
      <c r="H375" s="488"/>
      <c r="I375" s="488"/>
      <c r="J375" s="488"/>
      <c r="K375" s="488"/>
      <c r="L375" s="488"/>
      <c r="M375" s="488"/>
      <c r="N375" s="488"/>
      <c r="O375" s="488"/>
      <c r="P375" s="488"/>
      <c r="Q375" s="488"/>
      <c r="R375" s="488"/>
      <c r="S375" s="488"/>
      <c r="T375" s="465" cm="1" t="str">
        <f t="array" ref="T375:T375">T374</f>
        <v>true</v>
      </c>
      <c r="U375" s="488"/>
      <c r="V375" s="488"/>
      <c r="W375" s="488"/>
      <c r="X375" s="1596"/>
      <c r="Y375" s="488"/>
      <c r="Z375" s="1597"/>
      <c r="AA375" s="488"/>
      <c r="AB375" s="1270" t="s">
        <v>2814</v>
      </c>
      <c r="AC375" s="1283" t="s">
        <v>1730</v>
      </c>
      <c r="AD375" s="1272" t="s">
        <v>1514</v>
      </c>
      <c r="AE375" s="558"/>
      <c r="AF375" s="1108"/>
      <c r="AG375" s="1108"/>
      <c r="AH375" s="1064" t="s">
        <v>1732</v>
      </c>
      <c r="AI375" s="1058"/>
      <c r="AJ375" s="1058"/>
      <c r="AK375" s="965"/>
      <c r="AL375" s="965"/>
      <c r="AM375" s="1806"/>
      <c r="AN375" s="1806"/>
      <c r="AO375" s="1806"/>
      <c r="AP375" s="1806"/>
    </row>
    <row s="1806" customFormat="1" customHeight="1" ht="14.25">
      <c r="A376" s="667"/>
      <c r="B376" s="488"/>
      <c r="C376" s="488"/>
      <c r="D376" s="488"/>
      <c r="E376" s="649">
        <v>15</v>
      </c>
      <c r="F376" s="523" cm="1" t="str">
        <f t="array" ref="F376:F376">OFFSET(E376,-1,1)</f>
        <v>3</v>
      </c>
      <c r="G376" s="488"/>
      <c r="H376" s="488"/>
      <c r="I376" s="488"/>
      <c r="J376" s="488"/>
      <c r="K376" s="488"/>
      <c r="L376" s="488"/>
      <c r="M376" s="488"/>
      <c r="N376" s="488"/>
      <c r="O376" s="488"/>
      <c r="P376" s="488"/>
      <c r="Q376" s="488"/>
      <c r="R376" s="488"/>
      <c r="S376" s="488"/>
      <c r="T376" s="465" cm="1" t="str">
        <f t="array" ref="T376:T376">T375</f>
        <v>true</v>
      </c>
      <c r="U376" s="488"/>
      <c r="V376" s="488"/>
      <c r="W376" s="488"/>
      <c r="X376" s="1596"/>
      <c r="Y376" s="488"/>
      <c r="Z376" s="1597"/>
      <c r="AA376" s="488"/>
      <c r="AB376" s="1270" t="s">
        <v>2269</v>
      </c>
      <c r="AC376" s="1283" t="s">
        <v>2192</v>
      </c>
      <c r="AD376" s="1272" t="s">
        <v>1514</v>
      </c>
      <c r="AE376" s="558"/>
      <c r="AF376" s="1108"/>
      <c r="AG376" s="1108"/>
      <c r="AH376" s="1064" t="s">
        <v>3109</v>
      </c>
      <c r="AI376" s="1058"/>
      <c r="AJ376" s="1058"/>
      <c r="AK376" s="965"/>
      <c r="AL376" s="965"/>
      <c r="AM376" s="1806"/>
      <c r="AN376" s="1806"/>
      <c r="AO376" s="1806"/>
      <c r="AP376" s="1806"/>
    </row>
    <row s="1834" customFormat="1" customHeight="1" ht="14.25">
      <c r="A377" s="667"/>
      <c r="B377" s="1459"/>
      <c r="C377" s="1459"/>
      <c r="D377" s="1459"/>
      <c r="E377" s="649">
        <v>15</v>
      </c>
      <c r="F377" s="50" cm="1" t="str">
        <f t="array" ref="F377:F377">OFFSET(E377,-1,1)</f>
        <v>3</v>
      </c>
      <c r="G377" s="1459"/>
      <c r="H377" s="488" t="s">
        <v>3110</v>
      </c>
      <c r="I377" s="1459"/>
      <c r="J377" s="1459"/>
      <c r="K377" s="1459"/>
      <c r="L377" s="1459"/>
      <c r="M377" s="1459"/>
      <c r="N377" s="1459"/>
      <c r="O377" s="1459"/>
      <c r="P377" s="1459"/>
      <c r="Q377" s="1459"/>
      <c r="R377" s="1459"/>
      <c r="S377" s="1459"/>
      <c r="T377" s="465" cm="1" t="str">
        <f t="array" ref="T377:T377">T374</f>
        <v>true</v>
      </c>
      <c r="U377" s="1459"/>
      <c r="V377" s="1459"/>
      <c r="W377" s="1459"/>
      <c r="X377" s="1596"/>
      <c r="Y377" s="1459"/>
      <c r="Z377" s="1597"/>
      <c r="AA377" s="1459"/>
      <c r="AB377" s="714" t="s">
        <v>2273</v>
      </c>
      <c r="AC377" s="547" t="s">
        <v>3111</v>
      </c>
      <c r="AD377" s="548" t="s">
        <v>1514</v>
      </c>
      <c r="AE377" s="1332"/>
      <c r="AF377" s="1442"/>
      <c r="AG377" s="1442"/>
      <c r="AH377" s="1001" t="s">
        <v>3112</v>
      </c>
      <c r="AI377" s="1811"/>
      <c r="AJ377" s="1811"/>
      <c r="AK377" s="1444"/>
      <c r="AL377" s="1444"/>
      <c r="AM377" s="1834"/>
      <c r="AN377" s="1834"/>
      <c r="AO377" s="1834"/>
      <c r="AP377" s="1834"/>
    </row>
    <row s="1806" customFormat="1" customHeight="1" ht="31.5">
      <c r="A378" s="667"/>
      <c r="B378" s="488"/>
      <c r="C378" s="488"/>
      <c r="D378" s="488"/>
      <c r="E378" s="649">
        <v>33</v>
      </c>
      <c r="F378" s="523" cm="1" t="str">
        <f t="array" ref="F378:F378">OFFSET(E378,-1,1)</f>
        <v>3</v>
      </c>
      <c r="G378" s="488"/>
      <c r="H378" s="488"/>
      <c r="I378" s="488"/>
      <c r="J378" s="488"/>
      <c r="K378" s="488"/>
      <c r="L378" s="488"/>
      <c r="M378" s="488"/>
      <c r="N378" s="488"/>
      <c r="O378" s="488"/>
      <c r="P378" s="488"/>
      <c r="Q378" s="488"/>
      <c r="R378" s="488"/>
      <c r="S378" s="488"/>
      <c r="T378" s="465" cm="1" t="str">
        <f t="array" ref="T378:T378">T377</f>
        <v>true</v>
      </c>
      <c r="U378" s="488"/>
      <c r="V378" s="488"/>
      <c r="W378" s="488"/>
      <c r="X378" s="1596"/>
      <c r="Y378" s="488"/>
      <c r="Z378" s="1597"/>
      <c r="AA378" s="488"/>
      <c r="AB378" s="1270" t="s">
        <v>2276</v>
      </c>
      <c r="AC378" s="1271" t="s">
        <v>2827</v>
      </c>
      <c r="AD378" s="1272" t="s">
        <v>1514</v>
      </c>
      <c r="AE378" s="558"/>
      <c r="AF378" s="1108"/>
      <c r="AG378" s="1108"/>
      <c r="AH378" s="1058" t="s">
        <v>3113</v>
      </c>
      <c r="AI378" s="1058"/>
      <c r="AJ378" s="1058"/>
      <c r="AK378" s="965"/>
      <c r="AL378" s="965"/>
      <c r="AM378" s="1806"/>
      <c r="AN378" s="1806"/>
      <c r="AO378" s="1806"/>
      <c r="AP378" s="1806"/>
    </row>
    <row s="1834" customFormat="1" customHeight="1" ht="14.25">
      <c r="A379" s="667"/>
      <c r="B379" s="1459"/>
      <c r="C379" s="1459"/>
      <c r="D379" s="1459"/>
      <c r="E379" s="649">
        <v>15</v>
      </c>
      <c r="F379" s="50" cm="1" t="str">
        <f t="array" ref="F379:F379">OFFSET(E379,-1,1)</f>
        <v>3</v>
      </c>
      <c r="G379" s="1459"/>
      <c r="H379" s="488" t="s">
        <v>3114</v>
      </c>
      <c r="I379" s="1459"/>
      <c r="J379" s="1459"/>
      <c r="K379" s="1459"/>
      <c r="L379" s="1459"/>
      <c r="M379" s="1459"/>
      <c r="N379" s="1459"/>
      <c r="O379" s="1459"/>
      <c r="P379" s="1459"/>
      <c r="Q379" s="1459"/>
      <c r="R379" s="1459"/>
      <c r="S379" s="1459"/>
      <c r="T379" s="465" cm="1" t="str">
        <f t="array" ref="T379:T379">T377</f>
        <v>true</v>
      </c>
      <c r="U379" s="1459"/>
      <c r="V379" s="1459"/>
      <c r="W379" s="1459"/>
      <c r="X379" s="1596"/>
      <c r="Y379" s="1459"/>
      <c r="Z379" s="1597"/>
      <c r="AA379" s="1459"/>
      <c r="AB379" s="714" t="s">
        <v>3115</v>
      </c>
      <c r="AC379" s="547" t="s">
        <v>3116</v>
      </c>
      <c r="AD379" s="548" t="s">
        <v>1514</v>
      </c>
      <c r="AE379" s="557">
        <f>SUM(AE380:AE381)</f>
        <v>0</v>
      </c>
      <c r="AF379" s="1442"/>
      <c r="AG379" s="1442"/>
      <c r="AH379" s="1001" t="s">
        <v>3117</v>
      </c>
      <c r="AI379" s="1811"/>
      <c r="AJ379" s="1811"/>
      <c r="AK379" s="1444"/>
      <c r="AL379" s="1444"/>
      <c r="AM379" s="1834"/>
      <c r="AN379" s="1834"/>
      <c r="AO379" s="1834"/>
      <c r="AP379" s="1834"/>
    </row>
    <row s="1834" customFormat="1" customHeight="1" ht="14.25" hidden="1">
      <c r="A380" s="667"/>
      <c r="B380" s="1459"/>
      <c r="C380" s="1459"/>
      <c r="D380" s="1459"/>
      <c r="E380" s="649">
        <v>15</v>
      </c>
      <c r="F380" s="50" cm="1" t="str">
        <f t="array" ref="F380:F380">OFFSET(E380,-1,1)</f>
        <v>3</v>
      </c>
      <c r="G380" s="1459"/>
      <c r="H380" s="488" t="s">
        <v>3114</v>
      </c>
      <c r="I380" s="563" cm="1" t="str">
        <f t="array" ref="I380:I380">AC380</f>
        <v>0</v>
      </c>
      <c r="J380" s="1459"/>
      <c r="K380" s="1459"/>
      <c r="L380" s="1459"/>
      <c r="M380" s="1459"/>
      <c r="N380" s="1459"/>
      <c r="O380" s="1459"/>
      <c r="P380" s="1459"/>
      <c r="Q380" s="1459"/>
      <c r="R380" s="1459"/>
      <c r="S380" s="1459"/>
      <c r="T380" s="465">
        <f>AND(F380&gt;0,Y380&gt;0)</f>
        <v>0</v>
      </c>
      <c r="U380" s="1459"/>
      <c r="V380" s="1459"/>
      <c r="W380" s="555" t="s">
        <v>174</v>
      </c>
      <c r="X380" s="1596"/>
      <c r="Y380" s="488">
        <v>0</v>
      </c>
      <c r="Z380" s="1597"/>
      <c r="AA380" s="662" t="s">
        <v>175</v>
      </c>
      <c r="AB380" s="714" t="str">
        <f>"2.12."&amp;Y380</f>
        <v>2.12.0</v>
      </c>
      <c r="AC380" s="8363"/>
      <c r="AD380" s="548" t="s">
        <v>1514</v>
      </c>
      <c r="AE380" s="8364"/>
      <c r="AF380" s="1442"/>
      <c r="AG380" s="1442"/>
      <c r="AH380" s="1001" t="s">
        <v>3117</v>
      </c>
      <c r="AI380" s="1001" t="s">
        <v>3118</v>
      </c>
      <c r="AJ380" s="1006" cm="1" t="str">
        <f t="array" ref="AJ380:AJ380">AC380</f>
        <v>0</v>
      </c>
      <c r="AK380" s="1444"/>
      <c r="AL380" s="656" t="b">
        <v>1</v>
      </c>
      <c r="AM380" s="1834"/>
      <c r="AN380" s="1834"/>
      <c r="AO380" s="1834"/>
      <c r="AP380" s="1834"/>
    </row>
    <row s="1834" customFormat="1" customHeight="1" ht="14.25">
      <c r="A381" s="667"/>
      <c r="B381" s="1459"/>
      <c r="C381" s="1459"/>
      <c r="D381" s="1459"/>
      <c r="E381" s="649">
        <v>15</v>
      </c>
      <c r="F381" s="50" cm="1" t="str">
        <f t="array" ref="F381:F381">OFFSET(E381,-1,1)</f>
        <v>3</v>
      </c>
      <c r="G381" s="1459"/>
      <c r="H381" s="1459"/>
      <c r="I381" s="158" t="str">
        <f>"!== 'не определено' &amp;&amp; row.l2_13 !== null"</f>
        <v>!== 'не определено' &amp;&amp; row.l2_13 !== null</v>
      </c>
      <c r="J381" s="1459"/>
      <c r="K381" s="1459"/>
      <c r="L381" s="1459"/>
      <c r="M381" s="1459"/>
      <c r="N381" s="1459"/>
      <c r="O381" s="1459"/>
      <c r="P381" s="1459"/>
      <c r="Q381" s="1459"/>
      <c r="R381" s="1459"/>
      <c r="S381" s="1459"/>
      <c r="T381" s="465">
        <f>F381&gt;0</f>
        <v>1</v>
      </c>
      <c r="U381" s="1459"/>
      <c r="V381" s="1459"/>
      <c r="W381" s="829" t="s">
        <v>1613</v>
      </c>
      <c r="X381" s="1596"/>
      <c r="Y381" s="1459"/>
      <c r="Z381" s="1597"/>
      <c r="AA381" s="1459"/>
      <c r="AB381" s="1279"/>
      <c r="AC381" s="1334" t="s">
        <v>178</v>
      </c>
      <c r="AD381" s="1281"/>
      <c r="AE381" s="1333"/>
      <c r="AF381" s="1442"/>
      <c r="AG381" s="1442"/>
      <c r="AH381" s="1811"/>
      <c r="AI381" s="1811"/>
      <c r="AJ381" s="1811"/>
      <c r="AK381" s="656" t="s">
        <v>3118</v>
      </c>
      <c r="AL381" s="1444"/>
      <c r="AM381" s="1834"/>
      <c r="AN381" s="1834"/>
      <c r="AO381" s="1834"/>
      <c r="AP381" s="1834"/>
    </row>
    <row s="1834" customFormat="1" customHeight="1" ht="14.25">
      <c r="A382" s="667"/>
      <c r="B382" s="1459"/>
      <c r="C382" s="1459"/>
      <c r="D382" s="1459"/>
      <c r="E382" s="649">
        <v>15</v>
      </c>
      <c r="F382" s="50" cm="1" t="str">
        <f t="array" ref="F382:F382">OFFSET(E382,-1,1)</f>
        <v>3</v>
      </c>
      <c r="G382" s="488" t="s">
        <v>50</v>
      </c>
      <c r="H382" s="488" t="s">
        <v>334</v>
      </c>
      <c r="I382" s="1459"/>
      <c r="J382" s="1459"/>
      <c r="K382" s="1459"/>
      <c r="L382" s="1459"/>
      <c r="M382" s="1459"/>
      <c r="N382" s="1459"/>
      <c r="O382" s="1459"/>
      <c r="P382" s="1459"/>
      <c r="Q382" s="1459"/>
      <c r="R382" s="1459"/>
      <c r="S382" s="1459"/>
      <c r="T382" s="465" cm="1" t="str">
        <f t="array" ref="T382:T382">T381</f>
        <v>true</v>
      </c>
      <c r="U382" s="1459"/>
      <c r="V382" s="1459"/>
      <c r="W382" s="1459"/>
      <c r="X382" s="1596"/>
      <c r="Y382" s="1459"/>
      <c r="Z382" s="1597"/>
      <c r="AA382" s="1459"/>
      <c r="AB382" s="713" t="s">
        <v>289</v>
      </c>
      <c r="AC382" s="545" t="s">
        <v>2830</v>
      </c>
      <c r="AD382" s="546" t="s">
        <v>1514</v>
      </c>
      <c r="AE382" s="1335"/>
      <c r="AF382" s="1442"/>
      <c r="AG382" s="1442"/>
      <c r="AH382" s="1001" t="s">
        <v>2446</v>
      </c>
      <c r="AI382" s="1811"/>
      <c r="AJ382" s="1811"/>
      <c r="AK382" s="1444"/>
      <c r="AL382" s="1444"/>
      <c r="AM382" s="1834"/>
      <c r="AN382" s="1834"/>
      <c r="AO382" s="1834"/>
      <c r="AP382" s="1834"/>
    </row>
    <row s="1834" customFormat="1" customHeight="1" ht="14.25">
      <c r="A383" s="667"/>
      <c r="B383" s="1459"/>
      <c r="C383" s="1459"/>
      <c r="D383" s="1459"/>
      <c r="E383" s="649">
        <v>15</v>
      </c>
      <c r="F383" s="836" cm="1" t="str">
        <f t="array" ref="F383:F383">X383</f>
        <v>4</v>
      </c>
      <c r="G383" s="488" t="s">
        <v>1507</v>
      </c>
      <c r="H383" s="1459"/>
      <c r="I383" s="1459"/>
      <c r="J383" s="1459"/>
      <c r="K383" s="1459"/>
      <c r="L383" s="1459"/>
      <c r="M383" s="1459"/>
      <c r="N383" s="1459"/>
      <c r="O383" s="1459"/>
      <c r="P383" s="1459"/>
      <c r="Q383" s="1459"/>
      <c r="R383" s="1459"/>
      <c r="S383" s="1459"/>
      <c r="T383" s="465">
        <f>X383&gt;0</f>
        <v>1</v>
      </c>
      <c r="U383" s="1459"/>
      <c r="V383" s="488" cm="1" t="str">
        <f t="array" ref="V383:V383">'ДПР (концессии)'!$AB$393</f>
        <v>Тариф 4 (Водоотведение) - тариф на водоотведение (Доп. признак не требуется)</v>
      </c>
      <c r="W383" s="1459"/>
      <c r="X383" s="1596" t="s">
        <v>295</v>
      </c>
      <c r="Y383" s="1459"/>
      <c r="Z383" s="1597"/>
      <c r="AA383" s="1459"/>
      <c r="AB383" s="222" cm="1" t="str">
        <f t="array" ref="AB383:AB383">'ДПР (концессии)'!$AB$393</f>
        <v>Тариф 4 (Водоотведение) - тариф на водоотведение (Доп. признак не требуется)</v>
      </c>
      <c r="AC383" s="180"/>
      <c r="AD383" s="174"/>
      <c r="AE383" s="1266">
        <f>AE384+AE434+AE471</f>
        <v>0</v>
      </c>
      <c r="AF383" s="1442"/>
      <c r="AG383" s="1442"/>
      <c r="AH383" s="1811"/>
      <c r="AI383" s="1811"/>
      <c r="AJ383" s="1811"/>
      <c r="AK383" s="1444"/>
      <c r="AL383" s="1444"/>
      <c r="AM383" s="1834"/>
      <c r="AN383" s="1834"/>
      <c r="AO383" s="1834"/>
      <c r="AP383" s="1834"/>
    </row>
    <row s="1834" customFormat="1" customHeight="1" ht="14.25">
      <c r="A384" s="667"/>
      <c r="B384" s="1459"/>
      <c r="C384" s="1459"/>
      <c r="D384" s="1459"/>
      <c r="E384" s="649">
        <v>15</v>
      </c>
      <c r="F384" s="50" cm="1" t="str">
        <f t="array" ref="F384:F384">OFFSET(E384,-1,1)</f>
        <v>4</v>
      </c>
      <c r="G384" s="1459"/>
      <c r="H384" s="488" t="s">
        <v>332</v>
      </c>
      <c r="I384" s="1459"/>
      <c r="J384" s="1459"/>
      <c r="K384" s="1459"/>
      <c r="L384" s="1459"/>
      <c r="M384" s="1459"/>
      <c r="N384" s="1459"/>
      <c r="O384" s="1459"/>
      <c r="P384" s="1459"/>
      <c r="Q384" s="1459"/>
      <c r="R384" s="1459"/>
      <c r="S384" s="1459"/>
      <c r="T384" s="465" cm="1" t="str">
        <f t="array" ref="T384:T384">T383</f>
        <v>true</v>
      </c>
      <c r="U384" s="1459"/>
      <c r="V384" s="1459"/>
      <c r="W384" s="1459"/>
      <c r="X384" s="1596"/>
      <c r="Y384" s="1459"/>
      <c r="Z384" s="1597"/>
      <c r="AA384" s="1459"/>
      <c r="AB384" s="1267" t="s">
        <v>276</v>
      </c>
      <c r="AC384" s="1268" t="s">
        <v>2636</v>
      </c>
      <c r="AD384" s="1269" t="s">
        <v>1514</v>
      </c>
      <c r="AE384" s="1331">
        <f>AE385+AE403+AE411+AE431</f>
        <v>0</v>
      </c>
      <c r="AF384" s="1442"/>
      <c r="AG384" s="1442"/>
      <c r="AH384" s="1001" t="s">
        <v>1239</v>
      </c>
      <c r="AI384" s="1811"/>
      <c r="AJ384" s="1811"/>
      <c r="AK384" s="1444"/>
      <c r="AL384" s="1444"/>
      <c r="AM384" s="1834"/>
      <c r="AN384" s="1834"/>
      <c r="AO384" s="1834"/>
      <c r="AP384" s="1834"/>
    </row>
    <row s="1834" customFormat="1" customHeight="1" ht="14.25">
      <c r="A385" s="667"/>
      <c r="B385" s="1459"/>
      <c r="C385" s="1459"/>
      <c r="D385" s="1459"/>
      <c r="E385" s="649">
        <v>15</v>
      </c>
      <c r="F385" s="50" cm="1" t="str">
        <f t="array" ref="F385:F385">OFFSET(E385,-1,1)</f>
        <v>4</v>
      </c>
      <c r="G385" s="1459"/>
      <c r="H385" s="488" t="s">
        <v>1175</v>
      </c>
      <c r="I385" s="1459"/>
      <c r="J385" s="1459"/>
      <c r="K385" s="1459"/>
      <c r="L385" s="1459"/>
      <c r="M385" s="1459"/>
      <c r="N385" s="1459"/>
      <c r="O385" s="1459"/>
      <c r="P385" s="1459"/>
      <c r="Q385" s="1459"/>
      <c r="R385" s="1459"/>
      <c r="S385" s="1459"/>
      <c r="T385" s="465" cm="1" t="str">
        <f t="array" ref="T385:T385">T384</f>
        <v>true</v>
      </c>
      <c r="U385" s="1459"/>
      <c r="V385" s="1459"/>
      <c r="W385" s="1459"/>
      <c r="X385" s="1596"/>
      <c r="Y385" s="1459"/>
      <c r="Z385" s="1597"/>
      <c r="AA385" s="1459"/>
      <c r="AB385" s="1270" t="s">
        <v>1628</v>
      </c>
      <c r="AC385" s="1271" t="s">
        <v>2434</v>
      </c>
      <c r="AD385" s="1272" t="s">
        <v>1514</v>
      </c>
      <c r="AE385" s="557">
        <f>AE386+AE387+AE388+AE393+AE394+AE395</f>
        <v>0</v>
      </c>
      <c r="AF385" s="1442"/>
      <c r="AG385" s="1442"/>
      <c r="AH385" s="1001" t="s">
        <v>1868</v>
      </c>
      <c r="AI385" s="1811"/>
      <c r="AJ385" s="1811"/>
      <c r="AK385" s="1444"/>
      <c r="AL385" s="1444"/>
      <c r="AM385" s="1834"/>
      <c r="AN385" s="1834"/>
      <c r="AO385" s="1834"/>
      <c r="AP385" s="1834"/>
    </row>
    <row s="1834" customFormat="1" customHeight="1" ht="14.25">
      <c r="A386" s="667"/>
      <c r="B386" s="1459"/>
      <c r="C386" s="1459"/>
      <c r="D386" s="1459"/>
      <c r="E386" s="649">
        <v>15</v>
      </c>
      <c r="F386" s="50" cm="1" t="str">
        <f t="array" ref="F386:F386">OFFSET(E386,-1,1)</f>
        <v>4</v>
      </c>
      <c r="G386" s="1459"/>
      <c r="H386" s="488" t="s">
        <v>1735</v>
      </c>
      <c r="I386" s="1459"/>
      <c r="J386" s="1459"/>
      <c r="K386" s="1459"/>
      <c r="L386" s="1459"/>
      <c r="M386" s="1459"/>
      <c r="N386" s="1459"/>
      <c r="O386" s="1459"/>
      <c r="P386" s="1459"/>
      <c r="Q386" s="1459"/>
      <c r="R386" s="1459"/>
      <c r="S386" s="1459"/>
      <c r="T386" s="465" cm="1" t="str">
        <f t="array" ref="T386:T386">T385</f>
        <v>true</v>
      </c>
      <c r="U386" s="1459"/>
      <c r="V386" s="1459"/>
      <c r="W386" s="1459"/>
      <c r="X386" s="1596"/>
      <c r="Y386" s="1459"/>
      <c r="Z386" s="1597"/>
      <c r="AA386" s="1459"/>
      <c r="AB386" s="714" t="s">
        <v>1736</v>
      </c>
      <c r="AC386" s="1273" t="s">
        <v>2985</v>
      </c>
      <c r="AD386" s="548" t="s">
        <v>1514</v>
      </c>
      <c r="AE386" s="1332"/>
      <c r="AF386" s="1442"/>
      <c r="AG386" s="1442"/>
      <c r="AH386" s="1001" t="s">
        <v>1983</v>
      </c>
      <c r="AI386" s="1811"/>
      <c r="AJ386" s="1811"/>
      <c r="AK386" s="1444"/>
      <c r="AL386" s="1444"/>
      <c r="AM386" s="1834"/>
      <c r="AN386" s="1834"/>
      <c r="AO386" s="1834"/>
      <c r="AP386" s="1834"/>
    </row>
    <row s="1834" customFormat="1" customHeight="1" ht="21.75">
      <c r="A387" s="667"/>
      <c r="B387" s="1459"/>
      <c r="C387" s="1459"/>
      <c r="D387" s="1459"/>
      <c r="E387" s="649">
        <v>22.5</v>
      </c>
      <c r="F387" s="50" cm="1" t="str">
        <f t="array" ref="F387:F387">OFFSET(E387,-1,1)</f>
        <v>4</v>
      </c>
      <c r="G387" s="1459"/>
      <c r="H387" s="488" t="s">
        <v>1739</v>
      </c>
      <c r="I387" s="1459"/>
      <c r="J387" s="1459"/>
      <c r="K387" s="1459"/>
      <c r="L387" s="1459"/>
      <c r="M387" s="1459"/>
      <c r="N387" s="1459"/>
      <c r="O387" s="1459"/>
      <c r="P387" s="1459"/>
      <c r="Q387" s="1459"/>
      <c r="R387" s="1459"/>
      <c r="S387" s="1459"/>
      <c r="T387" s="465" cm="1" t="str">
        <f t="array" ref="T387:T387">T386</f>
        <v>true</v>
      </c>
      <c r="U387" s="1459"/>
      <c r="V387" s="1459"/>
      <c r="W387" s="1459"/>
      <c r="X387" s="1596"/>
      <c r="Y387" s="1459"/>
      <c r="Z387" s="1597"/>
      <c r="AA387" s="1459"/>
      <c r="AB387" s="714" t="s">
        <v>1740</v>
      </c>
      <c r="AC387" s="549" t="s">
        <v>2644</v>
      </c>
      <c r="AD387" s="548" t="s">
        <v>1514</v>
      </c>
      <c r="AE387" s="1332"/>
      <c r="AF387" s="1442"/>
      <c r="AG387" s="1442"/>
      <c r="AH387" s="1001" t="s">
        <v>2467</v>
      </c>
      <c r="AI387" s="1811"/>
      <c r="AJ387" s="1811"/>
      <c r="AK387" s="1444"/>
      <c r="AL387" s="1444"/>
      <c r="AM387" s="1834"/>
      <c r="AN387" s="1834"/>
      <c r="AO387" s="1834"/>
      <c r="AP387" s="1834"/>
    </row>
    <row s="1834" customFormat="1" customHeight="1" ht="32.25">
      <c r="A388" s="667"/>
      <c r="B388" s="1459"/>
      <c r="C388" s="1459"/>
      <c r="D388" s="1459"/>
      <c r="E388" s="649">
        <v>33.75</v>
      </c>
      <c r="F388" s="50" cm="1" t="str">
        <f t="array" ref="F388:F388">OFFSET(E388,-1,1)</f>
        <v>4</v>
      </c>
      <c r="G388" s="1459"/>
      <c r="H388" s="488" t="s">
        <v>2043</v>
      </c>
      <c r="I388" s="1459"/>
      <c r="J388" s="1459"/>
      <c r="K388" s="1459"/>
      <c r="L388" s="1459"/>
      <c r="M388" s="1459"/>
      <c r="N388" s="1459"/>
      <c r="O388" s="1459"/>
      <c r="P388" s="1459"/>
      <c r="Q388" s="1459"/>
      <c r="R388" s="1459"/>
      <c r="S388" s="1459"/>
      <c r="T388" s="465" cm="1" t="str">
        <f t="array" ref="T388:T388">T387</f>
        <v>true</v>
      </c>
      <c r="U388" s="1459"/>
      <c r="V388" s="1459"/>
      <c r="W388" s="1459"/>
      <c r="X388" s="1596"/>
      <c r="Y388" s="1459"/>
      <c r="Z388" s="1597"/>
      <c r="AA388" s="1459"/>
      <c r="AB388" s="714" t="s">
        <v>2044</v>
      </c>
      <c r="AC388" s="549" t="s">
        <v>2986</v>
      </c>
      <c r="AD388" s="548" t="s">
        <v>1514</v>
      </c>
      <c r="AE388" s="557">
        <f>AE389+AE392</f>
        <v>0</v>
      </c>
      <c r="AF388" s="1442"/>
      <c r="AG388" s="1442"/>
      <c r="AH388" s="1001" t="s">
        <v>2469</v>
      </c>
      <c r="AI388" s="1811"/>
      <c r="AJ388" s="1811"/>
      <c r="AK388" s="1444"/>
      <c r="AL388" s="1444"/>
      <c r="AM388" s="1834"/>
      <c r="AN388" s="1834"/>
      <c r="AO388" s="1834"/>
      <c r="AP388" s="1834"/>
    </row>
    <row s="1834" customFormat="1" customHeight="1" ht="21.75">
      <c r="A389" s="667"/>
      <c r="B389" s="1459"/>
      <c r="C389" s="1459"/>
      <c r="D389" s="1459"/>
      <c r="E389" s="649">
        <v>22.5</v>
      </c>
      <c r="F389" s="50" cm="1" t="str">
        <f t="array" ref="F389:F389">OFFSET(E389,-1,1)</f>
        <v>4</v>
      </c>
      <c r="G389" s="1459"/>
      <c r="H389" s="488" t="s">
        <v>2987</v>
      </c>
      <c r="I389" s="1459"/>
      <c r="J389" s="1459"/>
      <c r="K389" s="1459"/>
      <c r="L389" s="1459"/>
      <c r="M389" s="1459"/>
      <c r="N389" s="1459"/>
      <c r="O389" s="1459"/>
      <c r="P389" s="1459"/>
      <c r="Q389" s="1459"/>
      <c r="R389" s="1459"/>
      <c r="S389" s="1459"/>
      <c r="T389" s="465" cm="1" t="str">
        <f t="array" ref="T389:T389">T388</f>
        <v>true</v>
      </c>
      <c r="U389" s="1459"/>
      <c r="V389" s="1459"/>
      <c r="W389" s="1459"/>
      <c r="X389" s="1596"/>
      <c r="Y389" s="1459"/>
      <c r="Z389" s="1597"/>
      <c r="AA389" s="1459"/>
      <c r="AB389" s="714" t="s">
        <v>2988</v>
      </c>
      <c r="AC389" s="1274" t="s">
        <v>2989</v>
      </c>
      <c r="AD389" s="548" t="s">
        <v>1514</v>
      </c>
      <c r="AE389" s="1332"/>
      <c r="AF389" s="1442"/>
      <c r="AG389" s="1442"/>
      <c r="AH389" s="1001" t="s">
        <v>2471</v>
      </c>
      <c r="AI389" s="1811"/>
      <c r="AJ389" s="1811"/>
      <c r="AK389" s="1444"/>
      <c r="AL389" s="1444"/>
      <c r="AM389" s="1834"/>
      <c r="AN389" s="1834"/>
      <c r="AO389" s="1834"/>
      <c r="AP389" s="1834"/>
    </row>
    <row s="1834" customFormat="1" customHeight="1" ht="21.75">
      <c r="A390" s="667"/>
      <c r="B390" s="1459"/>
      <c r="C390" s="1459"/>
      <c r="D390" s="1459"/>
      <c r="E390" s="649">
        <v>22.5</v>
      </c>
      <c r="F390" s="50" cm="1" t="str">
        <f t="array" ref="F390:F390">OFFSET(E390,-1,1)</f>
        <v>4</v>
      </c>
      <c r="G390" s="1459"/>
      <c r="H390" s="488" t="s">
        <v>2990</v>
      </c>
      <c r="I390" s="1459"/>
      <c r="J390" s="1459"/>
      <c r="K390" s="1459"/>
      <c r="L390" s="1459"/>
      <c r="M390" s="1459"/>
      <c r="N390" s="1459"/>
      <c r="O390" s="1459"/>
      <c r="P390" s="1459"/>
      <c r="Q390" s="1459"/>
      <c r="R390" s="1459"/>
      <c r="S390" s="1459"/>
      <c r="T390" s="465" cm="1" t="str">
        <f t="array" ref="T390:T390">T389</f>
        <v>true</v>
      </c>
      <c r="U390" s="1459"/>
      <c r="V390" s="1459"/>
      <c r="W390" s="1459"/>
      <c r="X390" s="1596"/>
      <c r="Y390" s="1459"/>
      <c r="Z390" s="1597"/>
      <c r="AA390" s="1459"/>
      <c r="AB390" s="714" t="s">
        <v>2991</v>
      </c>
      <c r="AC390" s="1275" t="s">
        <v>2992</v>
      </c>
      <c r="AD390" s="548" t="s">
        <v>2993</v>
      </c>
      <c r="AE390" s="1332"/>
      <c r="AF390" s="1442"/>
      <c r="AG390" s="1442"/>
      <c r="AH390" s="1001" t="s">
        <v>2994</v>
      </c>
      <c r="AI390" s="1811"/>
      <c r="AJ390" s="1811"/>
      <c r="AK390" s="1444"/>
      <c r="AL390" s="1444"/>
      <c r="AM390" s="1834"/>
      <c r="AN390" s="1834"/>
      <c r="AO390" s="1834"/>
      <c r="AP390" s="1834"/>
    </row>
    <row s="1834" customFormat="1" customHeight="1" ht="21.75">
      <c r="A391" s="667"/>
      <c r="B391" s="1459"/>
      <c r="C391" s="1459"/>
      <c r="D391" s="1459"/>
      <c r="E391" s="649">
        <v>22.5</v>
      </c>
      <c r="F391" s="50" cm="1" t="str">
        <f t="array" ref="F391:F391">OFFSET(E391,-1,1)</f>
        <v>4</v>
      </c>
      <c r="G391" s="1459"/>
      <c r="H391" s="488" t="s">
        <v>2995</v>
      </c>
      <c r="I391" s="1459"/>
      <c r="J391" s="1459"/>
      <c r="K391" s="1459"/>
      <c r="L391" s="1459"/>
      <c r="M391" s="1459"/>
      <c r="N391" s="1459"/>
      <c r="O391" s="1459"/>
      <c r="P391" s="1459"/>
      <c r="Q391" s="1459"/>
      <c r="R391" s="1459"/>
      <c r="S391" s="1459"/>
      <c r="T391" s="465" cm="1" t="str">
        <f t="array" ref="T391:T391">T390</f>
        <v>true</v>
      </c>
      <c r="U391" s="1459"/>
      <c r="V391" s="1459"/>
      <c r="W391" s="1459"/>
      <c r="X391" s="1596"/>
      <c r="Y391" s="1459"/>
      <c r="Z391" s="1597"/>
      <c r="AA391" s="1459"/>
      <c r="AB391" s="714" t="s">
        <v>2996</v>
      </c>
      <c r="AC391" s="551" t="s">
        <v>2997</v>
      </c>
      <c r="AD391" s="548" t="s">
        <v>2998</v>
      </c>
      <c r="AE391" s="1332"/>
      <c r="AF391" s="1442"/>
      <c r="AG391" s="1442"/>
      <c r="AH391" s="1001" t="s">
        <v>2999</v>
      </c>
      <c r="AI391" s="1811"/>
      <c r="AJ391" s="1811"/>
      <c r="AK391" s="1444"/>
      <c r="AL391" s="1444"/>
      <c r="AM391" s="1834"/>
      <c r="AN391" s="1834"/>
      <c r="AO391" s="1834"/>
      <c r="AP391" s="1834"/>
    </row>
    <row s="1834" customFormat="1" customHeight="1" ht="21.75">
      <c r="A392" s="667"/>
      <c r="B392" s="1459"/>
      <c r="C392" s="1459"/>
      <c r="D392" s="1459"/>
      <c r="E392" s="649">
        <v>22.5</v>
      </c>
      <c r="F392" s="50" cm="1" t="str">
        <f t="array" ref="F392:F392">OFFSET(E392,-1,1)</f>
        <v>4</v>
      </c>
      <c r="G392" s="1459"/>
      <c r="H392" s="488" t="s">
        <v>3000</v>
      </c>
      <c r="I392" s="1459"/>
      <c r="J392" s="1459"/>
      <c r="K392" s="1459"/>
      <c r="L392" s="1459"/>
      <c r="M392" s="1459"/>
      <c r="N392" s="1459"/>
      <c r="O392" s="1459"/>
      <c r="P392" s="1459"/>
      <c r="Q392" s="1459"/>
      <c r="R392" s="1459"/>
      <c r="S392" s="1459"/>
      <c r="T392" s="465" cm="1" t="str">
        <f t="array" ref="T392:T392">T391</f>
        <v>true</v>
      </c>
      <c r="U392" s="1459"/>
      <c r="V392" s="1459"/>
      <c r="W392" s="1459"/>
      <c r="X392" s="1596"/>
      <c r="Y392" s="1459"/>
      <c r="Z392" s="1597"/>
      <c r="AA392" s="1459"/>
      <c r="AB392" s="714" t="s">
        <v>3001</v>
      </c>
      <c r="AC392" s="550" t="s">
        <v>3002</v>
      </c>
      <c r="AD392" s="548" t="s">
        <v>1514</v>
      </c>
      <c r="AE392" s="1332"/>
      <c r="AF392" s="1442"/>
      <c r="AG392" s="1442"/>
      <c r="AH392" s="1001" t="s">
        <v>2473</v>
      </c>
      <c r="AI392" s="1811"/>
      <c r="AJ392" s="1811"/>
      <c r="AK392" s="1444"/>
      <c r="AL392" s="1444"/>
      <c r="AM392" s="1834"/>
      <c r="AN392" s="1834"/>
      <c r="AO392" s="1834"/>
      <c r="AP392" s="1834"/>
    </row>
    <row s="1834" customFormat="1" customHeight="1" ht="14.25">
      <c r="A393" s="667"/>
      <c r="B393" s="1459"/>
      <c r="C393" s="1459"/>
      <c r="D393" s="1459"/>
      <c r="E393" s="649">
        <v>15</v>
      </c>
      <c r="F393" s="50" cm="1" t="str">
        <f t="array" ref="F393:F393">OFFSET(E393,-1,1)</f>
        <v>4</v>
      </c>
      <c r="G393" s="1459"/>
      <c r="H393" s="488" t="s">
        <v>2047</v>
      </c>
      <c r="I393" s="1459"/>
      <c r="J393" s="1459"/>
      <c r="K393" s="1459"/>
      <c r="L393" s="1459"/>
      <c r="M393" s="1459"/>
      <c r="N393" s="1459"/>
      <c r="O393" s="1459"/>
      <c r="P393" s="1459"/>
      <c r="Q393" s="1459"/>
      <c r="R393" s="1459"/>
      <c r="S393" s="1459"/>
      <c r="T393" s="465" cm="1" t="str">
        <f t="array" ref="T393:T393">T392</f>
        <v>true</v>
      </c>
      <c r="U393" s="1459"/>
      <c r="V393" s="1459"/>
      <c r="W393" s="1459"/>
      <c r="X393" s="1596"/>
      <c r="Y393" s="1459"/>
      <c r="Z393" s="1597"/>
      <c r="AA393" s="1459"/>
      <c r="AB393" s="714" t="s">
        <v>2048</v>
      </c>
      <c r="AC393" s="549" t="s">
        <v>3003</v>
      </c>
      <c r="AD393" s="548" t="s">
        <v>1514</v>
      </c>
      <c r="AE393" s="1332"/>
      <c r="AF393" s="1442"/>
      <c r="AG393" s="1442"/>
      <c r="AH393" s="1001" t="s">
        <v>2825</v>
      </c>
      <c r="AI393" s="1811"/>
      <c r="AJ393" s="1811"/>
      <c r="AK393" s="1444"/>
      <c r="AL393" s="1444"/>
      <c r="AM393" s="1834"/>
      <c r="AN393" s="1834"/>
      <c r="AO393" s="1834"/>
      <c r="AP393" s="1834"/>
    </row>
    <row s="1834" customFormat="1" customHeight="1" ht="14.25">
      <c r="A394" s="667"/>
      <c r="B394" s="1459"/>
      <c r="C394" s="1459"/>
      <c r="D394" s="1459"/>
      <c r="E394" s="649">
        <v>15</v>
      </c>
      <c r="F394" s="50" cm="1" t="str">
        <f t="array" ref="F394:F394">OFFSET(E394,-1,1)</f>
        <v>4</v>
      </c>
      <c r="G394" s="1459"/>
      <c r="H394" s="488" t="s">
        <v>3004</v>
      </c>
      <c r="I394" s="1459"/>
      <c r="J394" s="1459"/>
      <c r="K394" s="1459"/>
      <c r="L394" s="1459"/>
      <c r="M394" s="1459"/>
      <c r="N394" s="1459"/>
      <c r="O394" s="1459"/>
      <c r="P394" s="1459"/>
      <c r="Q394" s="1459"/>
      <c r="R394" s="1459"/>
      <c r="S394" s="1459"/>
      <c r="T394" s="465" cm="1" t="str">
        <f t="array" ref="T394:T394">T393</f>
        <v>true</v>
      </c>
      <c r="U394" s="1459"/>
      <c r="V394" s="1459"/>
      <c r="W394" s="1459"/>
      <c r="X394" s="1596"/>
      <c r="Y394" s="1459"/>
      <c r="Z394" s="1597"/>
      <c r="AA394" s="1459"/>
      <c r="AB394" s="714" t="s">
        <v>2051</v>
      </c>
      <c r="AC394" s="549" t="s">
        <v>2650</v>
      </c>
      <c r="AD394" s="548" t="s">
        <v>1514</v>
      </c>
      <c r="AE394" s="1332"/>
      <c r="AF394" s="1442"/>
      <c r="AG394" s="1442"/>
      <c r="AH394" s="1001" t="s">
        <v>2478</v>
      </c>
      <c r="AI394" s="1811"/>
      <c r="AJ394" s="1811"/>
      <c r="AK394" s="1444"/>
      <c r="AL394" s="1444"/>
      <c r="AM394" s="1834"/>
      <c r="AN394" s="1834"/>
      <c r="AO394" s="1834"/>
      <c r="AP394" s="1834"/>
    </row>
    <row s="1834" customFormat="1" customHeight="1" ht="14.25">
      <c r="A395" s="667"/>
      <c r="B395" s="1459"/>
      <c r="C395" s="1459"/>
      <c r="D395" s="1459"/>
      <c r="E395" s="649">
        <v>15</v>
      </c>
      <c r="F395" s="50" cm="1" t="str">
        <f t="array" ref="F395:F395">OFFSET(E395,-1,1)</f>
        <v>4</v>
      </c>
      <c r="G395" s="1459"/>
      <c r="H395" s="488" t="s">
        <v>3005</v>
      </c>
      <c r="I395" s="1459"/>
      <c r="J395" s="1459"/>
      <c r="K395" s="1459"/>
      <c r="L395" s="1459"/>
      <c r="M395" s="1459"/>
      <c r="N395" s="1459"/>
      <c r="O395" s="1459"/>
      <c r="P395" s="1459"/>
      <c r="Q395" s="1459"/>
      <c r="R395" s="1459"/>
      <c r="S395" s="1459"/>
      <c r="T395" s="465" cm="1" t="str">
        <f t="array" ref="T395:T395">T394</f>
        <v>true</v>
      </c>
      <c r="U395" s="1459"/>
      <c r="V395" s="1459"/>
      <c r="W395" s="1459"/>
      <c r="X395" s="1596"/>
      <c r="Y395" s="1459"/>
      <c r="Z395" s="1597"/>
      <c r="AA395" s="1459"/>
      <c r="AB395" s="714" t="s">
        <v>3006</v>
      </c>
      <c r="AC395" s="549" t="s">
        <v>3007</v>
      </c>
      <c r="AD395" s="548" t="s">
        <v>1514</v>
      </c>
      <c r="AE395" s="557">
        <f>SUM(AE396:AE402)</f>
        <v>0</v>
      </c>
      <c r="AF395" s="1442"/>
      <c r="AG395" s="1442"/>
      <c r="AH395" s="1001" t="s">
        <v>2482</v>
      </c>
      <c r="AI395" s="1811"/>
      <c r="AJ395" s="1811"/>
      <c r="AK395" s="1444"/>
      <c r="AL395" s="1444"/>
      <c r="AM395" s="1834"/>
      <c r="AN395" s="1834"/>
      <c r="AO395" s="1834"/>
      <c r="AP395" s="1834"/>
    </row>
    <row s="1834" customFormat="1" customHeight="1" ht="14.25">
      <c r="A396" s="667"/>
      <c r="B396" s="1459"/>
      <c r="C396" s="1459"/>
      <c r="D396" s="1459"/>
      <c r="E396" s="649">
        <v>15</v>
      </c>
      <c r="F396" s="50" cm="1" t="str">
        <f t="array" ref="F396:F396">OFFSET(E396,-1,1)</f>
        <v>4</v>
      </c>
      <c r="G396" s="1459"/>
      <c r="H396" s="488" t="s">
        <v>3008</v>
      </c>
      <c r="I396" s="1459"/>
      <c r="J396" s="1459"/>
      <c r="K396" s="1459"/>
      <c r="L396" s="1459"/>
      <c r="M396" s="1459"/>
      <c r="N396" s="1459"/>
      <c r="O396" s="1459"/>
      <c r="P396" s="1459"/>
      <c r="Q396" s="1459"/>
      <c r="R396" s="1459"/>
      <c r="S396" s="1459"/>
      <c r="T396" s="465" cm="1" t="str">
        <f t="array" ref="T396:T396">T395</f>
        <v>true</v>
      </c>
      <c r="U396" s="1459"/>
      <c r="V396" s="1459"/>
      <c r="W396" s="1459"/>
      <c r="X396" s="1596"/>
      <c r="Y396" s="1459"/>
      <c r="Z396" s="1597"/>
      <c r="AA396" s="1459"/>
      <c r="AB396" s="714" t="s">
        <v>3009</v>
      </c>
      <c r="AC396" s="550" t="s">
        <v>2489</v>
      </c>
      <c r="AD396" s="548" t="s">
        <v>1514</v>
      </c>
      <c r="AE396" s="1332"/>
      <c r="AF396" s="1442"/>
      <c r="AG396" s="1442"/>
      <c r="AH396" s="1001" t="s">
        <v>3010</v>
      </c>
      <c r="AI396" s="1811"/>
      <c r="AJ396" s="1811"/>
      <c r="AK396" s="1444"/>
      <c r="AL396" s="1444"/>
      <c r="AM396" s="1834"/>
      <c r="AN396" s="1834"/>
      <c r="AO396" s="1834"/>
      <c r="AP396" s="1834"/>
    </row>
    <row s="1834" customFormat="1" customHeight="1" ht="21.75">
      <c r="A397" s="667"/>
      <c r="B397" s="1459"/>
      <c r="C397" s="1459"/>
      <c r="D397" s="1459"/>
      <c r="E397" s="649">
        <v>22.5</v>
      </c>
      <c r="F397" s="50" cm="1" t="str">
        <f t="array" ref="F397:F397">OFFSET(E397,-1,1)</f>
        <v>4</v>
      </c>
      <c r="G397" s="1459"/>
      <c r="H397" s="488" t="s">
        <v>3011</v>
      </c>
      <c r="I397" s="1459"/>
      <c r="J397" s="1459"/>
      <c r="K397" s="1459"/>
      <c r="L397" s="1459"/>
      <c r="M397" s="1459"/>
      <c r="N397" s="1459"/>
      <c r="O397" s="1459"/>
      <c r="P397" s="1459"/>
      <c r="Q397" s="1459"/>
      <c r="R397" s="1459"/>
      <c r="S397" s="1459"/>
      <c r="T397" s="465" cm="1" t="str">
        <f t="array" ref="T397:T397">T396</f>
        <v>true</v>
      </c>
      <c r="U397" s="1459"/>
      <c r="V397" s="1459"/>
      <c r="W397" s="1459"/>
      <c r="X397" s="1596"/>
      <c r="Y397" s="1459"/>
      <c r="Z397" s="1597"/>
      <c r="AA397" s="1459"/>
      <c r="AB397" s="714" t="s">
        <v>3012</v>
      </c>
      <c r="AC397" s="550" t="s">
        <v>2658</v>
      </c>
      <c r="AD397" s="548" t="s">
        <v>1514</v>
      </c>
      <c r="AE397" s="1332"/>
      <c r="AF397" s="1442"/>
      <c r="AG397" s="1442"/>
      <c r="AH397" s="1064" t="s">
        <v>2659</v>
      </c>
      <c r="AI397" s="1811"/>
      <c r="AJ397" s="1811"/>
      <c r="AK397" s="1444"/>
      <c r="AL397" s="1444"/>
      <c r="AM397" s="1834"/>
      <c r="AN397" s="1834"/>
      <c r="AO397" s="1834"/>
      <c r="AP397" s="1834"/>
    </row>
    <row s="1834" customFormat="1" customHeight="1" ht="21.75">
      <c r="A398" s="667"/>
      <c r="B398" s="1459"/>
      <c r="C398" s="1459"/>
      <c r="D398" s="1459"/>
      <c r="E398" s="649">
        <v>22.5</v>
      </c>
      <c r="F398" s="50" cm="1" t="str">
        <f t="array" ref="F398:F398">OFFSET(E398,-1,1)</f>
        <v>4</v>
      </c>
      <c r="G398" s="1459"/>
      <c r="H398" s="488" t="s">
        <v>3013</v>
      </c>
      <c r="I398" s="1459"/>
      <c r="J398" s="1459"/>
      <c r="K398" s="1459"/>
      <c r="L398" s="1459"/>
      <c r="M398" s="1459"/>
      <c r="N398" s="1459"/>
      <c r="O398" s="1459"/>
      <c r="P398" s="1459"/>
      <c r="Q398" s="1459"/>
      <c r="R398" s="1459"/>
      <c r="S398" s="1459"/>
      <c r="T398" s="465" cm="1" t="str">
        <f t="array" ref="T398:T398">T397</f>
        <v>true</v>
      </c>
      <c r="U398" s="1459"/>
      <c r="V398" s="1459"/>
      <c r="W398" s="1459"/>
      <c r="X398" s="1596"/>
      <c r="Y398" s="1459"/>
      <c r="Z398" s="1597"/>
      <c r="AA398" s="1459"/>
      <c r="AB398" s="714" t="s">
        <v>3014</v>
      </c>
      <c r="AC398" s="550" t="s">
        <v>2662</v>
      </c>
      <c r="AD398" s="548" t="s">
        <v>1514</v>
      </c>
      <c r="AE398" s="1332"/>
      <c r="AF398" s="1442"/>
      <c r="AG398" s="1442"/>
      <c r="AH398" s="1064" t="s">
        <v>2663</v>
      </c>
      <c r="AI398" s="1811"/>
      <c r="AJ398" s="1811"/>
      <c r="AK398" s="1444"/>
      <c r="AL398" s="1444"/>
      <c r="AM398" s="1834"/>
      <c r="AN398" s="1834"/>
      <c r="AO398" s="1834"/>
      <c r="AP398" s="1834"/>
    </row>
    <row s="1834" customFormat="1" customHeight="1" ht="21.75">
      <c r="A399" s="667"/>
      <c r="B399" s="1459"/>
      <c r="C399" s="1459"/>
      <c r="D399" s="1459"/>
      <c r="E399" s="649">
        <v>22.5</v>
      </c>
      <c r="F399" s="50" cm="1" t="str">
        <f t="array" ref="F399:F399">OFFSET(E399,-1,1)</f>
        <v>4</v>
      </c>
      <c r="G399" s="1459"/>
      <c r="H399" s="488" t="s">
        <v>3015</v>
      </c>
      <c r="I399" s="1459"/>
      <c r="J399" s="1459"/>
      <c r="K399" s="1459"/>
      <c r="L399" s="1459"/>
      <c r="M399" s="1459"/>
      <c r="N399" s="1459"/>
      <c r="O399" s="1459"/>
      <c r="P399" s="1459"/>
      <c r="Q399" s="1459"/>
      <c r="R399" s="1459"/>
      <c r="S399" s="1459"/>
      <c r="T399" s="465" cm="1" t="str">
        <f t="array" ref="T399:T399">T398</f>
        <v>true</v>
      </c>
      <c r="U399" s="1459"/>
      <c r="V399" s="1459"/>
      <c r="W399" s="1459"/>
      <c r="X399" s="1596"/>
      <c r="Y399" s="1459"/>
      <c r="Z399" s="1597"/>
      <c r="AA399" s="1459"/>
      <c r="AB399" s="714" t="s">
        <v>3016</v>
      </c>
      <c r="AC399" s="550" t="s">
        <v>3017</v>
      </c>
      <c r="AD399" s="548" t="s">
        <v>1514</v>
      </c>
      <c r="AE399" s="1332"/>
      <c r="AF399" s="1442"/>
      <c r="AG399" s="1442"/>
      <c r="AH399" s="1064" t="s">
        <v>2667</v>
      </c>
      <c r="AI399" s="1811"/>
      <c r="AJ399" s="1811"/>
      <c r="AK399" s="1444"/>
      <c r="AL399" s="1444"/>
      <c r="AM399" s="1834"/>
      <c r="AN399" s="1834"/>
      <c r="AO399" s="1834"/>
      <c r="AP399" s="1834"/>
    </row>
    <row s="1834" customFormat="1" customHeight="1" ht="54.75">
      <c r="A400" s="667"/>
      <c r="B400" s="1459"/>
      <c r="C400" s="1459"/>
      <c r="D400" s="1459"/>
      <c r="E400" s="649">
        <v>56.25</v>
      </c>
      <c r="F400" s="50" cm="1" t="str">
        <f t="array" ref="F400:F400">OFFSET(E400,-1,1)</f>
        <v>4</v>
      </c>
      <c r="G400" s="1459"/>
      <c r="H400" s="488" t="s">
        <v>3018</v>
      </c>
      <c r="I400" s="1459"/>
      <c r="J400" s="1459"/>
      <c r="K400" s="1459"/>
      <c r="L400" s="1459"/>
      <c r="M400" s="1459"/>
      <c r="N400" s="1459"/>
      <c r="O400" s="1459"/>
      <c r="P400" s="1459"/>
      <c r="Q400" s="1459"/>
      <c r="R400" s="1459"/>
      <c r="S400" s="1459"/>
      <c r="T400" s="465" cm="1" t="str">
        <f t="array" ref="T400:T400">T399</f>
        <v>true</v>
      </c>
      <c r="U400" s="1459"/>
      <c r="V400" s="1459"/>
      <c r="W400" s="1459"/>
      <c r="X400" s="1596"/>
      <c r="Y400" s="1459"/>
      <c r="Z400" s="1597"/>
      <c r="AA400" s="1459"/>
      <c r="AB400" s="714" t="s">
        <v>3019</v>
      </c>
      <c r="AC400" s="550" t="s">
        <v>2670</v>
      </c>
      <c r="AD400" s="548" t="s">
        <v>1514</v>
      </c>
      <c r="AE400" s="1332"/>
      <c r="AF400" s="1442"/>
      <c r="AG400" s="1442"/>
      <c r="AH400" s="1064" t="s">
        <v>2494</v>
      </c>
      <c r="AI400" s="1811"/>
      <c r="AJ400" s="1811"/>
      <c r="AK400" s="1444"/>
      <c r="AL400" s="1444"/>
      <c r="AM400" s="1834"/>
      <c r="AN400" s="1834"/>
      <c r="AO400" s="1834"/>
      <c r="AP400" s="1834"/>
    </row>
    <row s="1834" customFormat="1" customHeight="1" ht="14.25">
      <c r="A401" s="667"/>
      <c r="B401" s="1459"/>
      <c r="C401" s="1459"/>
      <c r="D401" s="1459"/>
      <c r="E401" s="649">
        <v>15</v>
      </c>
      <c r="F401" s="50" cm="1" t="str">
        <f t="array" ref="F401:F401">OFFSET(E401,-1,1)</f>
        <v>4</v>
      </c>
      <c r="G401" s="1459"/>
      <c r="H401" s="488" t="s">
        <v>3020</v>
      </c>
      <c r="I401" s="1459"/>
      <c r="J401" s="1459"/>
      <c r="K401" s="1459"/>
      <c r="L401" s="1459"/>
      <c r="M401" s="1459"/>
      <c r="N401" s="1459"/>
      <c r="O401" s="1459"/>
      <c r="P401" s="1459"/>
      <c r="Q401" s="1459"/>
      <c r="R401" s="1459"/>
      <c r="S401" s="1459"/>
      <c r="T401" s="465" cm="1" t="str">
        <f t="array" ref="T401:T401">T400</f>
        <v>true</v>
      </c>
      <c r="U401" s="1459"/>
      <c r="V401" s="1459"/>
      <c r="W401" s="1459"/>
      <c r="X401" s="1596"/>
      <c r="Y401" s="1459"/>
      <c r="Z401" s="1597"/>
      <c r="AA401" s="1459"/>
      <c r="AB401" s="714" t="s">
        <v>3021</v>
      </c>
      <c r="AC401" s="550" t="s">
        <v>2497</v>
      </c>
      <c r="AD401" s="548" t="s">
        <v>1514</v>
      </c>
      <c r="AE401" s="1332"/>
      <c r="AF401" s="1442"/>
      <c r="AG401" s="1442"/>
      <c r="AH401" s="1064" t="s">
        <v>2498</v>
      </c>
      <c r="AI401" s="1811"/>
      <c r="AJ401" s="1811"/>
      <c r="AK401" s="1444"/>
      <c r="AL401" s="1444"/>
      <c r="AM401" s="1834"/>
      <c r="AN401" s="1834"/>
      <c r="AO401" s="1834"/>
      <c r="AP401" s="1834"/>
    </row>
    <row s="1834" customFormat="1" customHeight="1" ht="14.25">
      <c r="A402" s="667"/>
      <c r="B402" s="1459"/>
      <c r="C402" s="1459"/>
      <c r="D402" s="1459"/>
      <c r="E402" s="649">
        <v>15</v>
      </c>
      <c r="F402" s="50" cm="1" t="str">
        <f t="array" ref="F402:F402">OFFSET(E402,-1,1)</f>
        <v>4</v>
      </c>
      <c r="G402" s="1459"/>
      <c r="H402" s="488" t="s">
        <v>3022</v>
      </c>
      <c r="I402" s="1459"/>
      <c r="J402" s="1459"/>
      <c r="K402" s="1459"/>
      <c r="L402" s="1459"/>
      <c r="M402" s="1459"/>
      <c r="N402" s="1459"/>
      <c r="O402" s="1459"/>
      <c r="P402" s="1459"/>
      <c r="Q402" s="1459"/>
      <c r="R402" s="1459"/>
      <c r="S402" s="1459"/>
      <c r="T402" s="465" cm="1" t="str">
        <f t="array" ref="T402:T402">T401</f>
        <v>true</v>
      </c>
      <c r="U402" s="1459"/>
      <c r="V402" s="1459"/>
      <c r="W402" s="1459"/>
      <c r="X402" s="1596"/>
      <c r="Y402" s="1459"/>
      <c r="Z402" s="1597"/>
      <c r="AA402" s="1459"/>
      <c r="AB402" s="714" t="s">
        <v>3023</v>
      </c>
      <c r="AC402" s="550" t="s">
        <v>1965</v>
      </c>
      <c r="AD402" s="548" t="s">
        <v>1514</v>
      </c>
      <c r="AE402" s="1332"/>
      <c r="AF402" s="1442"/>
      <c r="AG402" s="1442"/>
      <c r="AH402" s="1064" t="s">
        <v>2482</v>
      </c>
      <c r="AI402" s="1811"/>
      <c r="AJ402" s="1811"/>
      <c r="AK402" s="1444"/>
      <c r="AL402" s="1444"/>
      <c r="AM402" s="1834"/>
      <c r="AN402" s="1834"/>
      <c r="AO402" s="1834"/>
      <c r="AP402" s="1834"/>
    </row>
    <row s="1834" customFormat="1" customHeight="1" ht="14.25">
      <c r="A403" s="667"/>
      <c r="B403" s="1459"/>
      <c r="C403" s="1459"/>
      <c r="D403" s="1459"/>
      <c r="E403" s="649">
        <v>15</v>
      </c>
      <c r="F403" s="50" cm="1" t="str">
        <f t="array" ref="F403:F403">OFFSET(E403,-1,1)</f>
        <v>4</v>
      </c>
      <c r="G403" s="1459"/>
      <c r="H403" s="488" t="s">
        <v>1179</v>
      </c>
      <c r="I403" s="1459"/>
      <c r="J403" s="1459"/>
      <c r="K403" s="1459"/>
      <c r="L403" s="1459"/>
      <c r="M403" s="1459"/>
      <c r="N403" s="1459"/>
      <c r="O403" s="1459"/>
      <c r="P403" s="1459"/>
      <c r="Q403" s="1459"/>
      <c r="R403" s="1459"/>
      <c r="S403" s="1459"/>
      <c r="T403" s="465" cm="1" t="str">
        <f t="array" ref="T403:T403">T402</f>
        <v>true</v>
      </c>
      <c r="U403" s="1459"/>
      <c r="V403" s="1459"/>
      <c r="W403" s="1459"/>
      <c r="X403" s="1596"/>
      <c r="Y403" s="1459"/>
      <c r="Z403" s="1597"/>
      <c r="AA403" s="1459"/>
      <c r="AB403" s="714" t="s">
        <v>1631</v>
      </c>
      <c r="AC403" s="547" t="s">
        <v>3024</v>
      </c>
      <c r="AD403" s="548" t="s">
        <v>1514</v>
      </c>
      <c r="AE403" s="557">
        <f>AE404+AE405+AE406</f>
        <v>0</v>
      </c>
      <c r="AF403" s="1442"/>
      <c r="AG403" s="1442"/>
      <c r="AH403" s="1063" t="s">
        <v>2502</v>
      </c>
      <c r="AI403" s="1811"/>
      <c r="AJ403" s="1811"/>
      <c r="AK403" s="1444"/>
      <c r="AL403" s="1444"/>
      <c r="AM403" s="1834"/>
      <c r="AN403" s="1834"/>
      <c r="AO403" s="1834"/>
      <c r="AP403" s="1834"/>
    </row>
    <row s="1834" customFormat="1" customHeight="1" ht="14.25">
      <c r="A404" s="667"/>
      <c r="B404" s="1459"/>
      <c r="C404" s="1459"/>
      <c r="D404" s="1459"/>
      <c r="E404" s="649">
        <v>15</v>
      </c>
      <c r="F404" s="50" cm="1" t="str">
        <f t="array" ref="F404:F404">OFFSET(E404,-1,1)</f>
        <v>4</v>
      </c>
      <c r="G404" s="1459"/>
      <c r="H404" s="488" t="s">
        <v>2068</v>
      </c>
      <c r="I404" s="1459"/>
      <c r="J404" s="1459"/>
      <c r="K404" s="1459"/>
      <c r="L404" s="1459"/>
      <c r="M404" s="1459"/>
      <c r="N404" s="1459"/>
      <c r="O404" s="1459"/>
      <c r="P404" s="1459"/>
      <c r="Q404" s="1459"/>
      <c r="R404" s="1459"/>
      <c r="S404" s="1459"/>
      <c r="T404" s="465" cm="1" t="str">
        <f t="array" ref="T404:T404">T403</f>
        <v>true</v>
      </c>
      <c r="U404" s="1459"/>
      <c r="V404" s="1459"/>
      <c r="W404" s="1459"/>
      <c r="X404" s="1596"/>
      <c r="Y404" s="1459"/>
      <c r="Z404" s="1597"/>
      <c r="AA404" s="1459"/>
      <c r="AB404" s="714" t="s">
        <v>2069</v>
      </c>
      <c r="AC404" s="549" t="s">
        <v>3025</v>
      </c>
      <c r="AD404" s="548" t="s">
        <v>1514</v>
      </c>
      <c r="AE404" s="1332"/>
      <c r="AF404" s="1442"/>
      <c r="AG404" s="1442"/>
      <c r="AH404" s="1062" t="s">
        <v>2504</v>
      </c>
      <c r="AI404" s="1811"/>
      <c r="AJ404" s="1811"/>
      <c r="AK404" s="1444"/>
      <c r="AL404" s="1444"/>
      <c r="AM404" s="1834"/>
      <c r="AN404" s="1834"/>
      <c r="AO404" s="1834"/>
      <c r="AP404" s="1834"/>
    </row>
    <row s="1834" customFormat="1" customHeight="1" ht="14.25">
      <c r="A405" s="667"/>
      <c r="B405" s="1459"/>
      <c r="C405" s="1459"/>
      <c r="D405" s="1459"/>
      <c r="E405" s="649">
        <v>15</v>
      </c>
      <c r="F405" s="50" cm="1" t="str">
        <f t="array" ref="F405:F405">OFFSET(E405,-1,1)</f>
        <v>4</v>
      </c>
      <c r="G405" s="1459"/>
      <c r="H405" s="488" t="s">
        <v>2071</v>
      </c>
      <c r="I405" s="1459"/>
      <c r="J405" s="1459"/>
      <c r="K405" s="1459"/>
      <c r="L405" s="1459"/>
      <c r="M405" s="1459"/>
      <c r="N405" s="1459"/>
      <c r="O405" s="1459"/>
      <c r="P405" s="1459"/>
      <c r="Q405" s="1459"/>
      <c r="R405" s="1459"/>
      <c r="S405" s="1459"/>
      <c r="T405" s="465" cm="1" t="str">
        <f t="array" ref="T405:T405">T404</f>
        <v>true</v>
      </c>
      <c r="U405" s="1459"/>
      <c r="V405" s="1459"/>
      <c r="W405" s="1459"/>
      <c r="X405" s="1596"/>
      <c r="Y405" s="1459"/>
      <c r="Z405" s="1597"/>
      <c r="AA405" s="1459"/>
      <c r="AB405" s="714" t="s">
        <v>2072</v>
      </c>
      <c r="AC405" s="549" t="s">
        <v>3026</v>
      </c>
      <c r="AD405" s="548" t="s">
        <v>1514</v>
      </c>
      <c r="AE405" s="1332"/>
      <c r="AF405" s="1442"/>
      <c r="AG405" s="1442"/>
      <c r="AH405" s="1064" t="s">
        <v>2678</v>
      </c>
      <c r="AI405" s="1811"/>
      <c r="AJ405" s="1811"/>
      <c r="AK405" s="1444"/>
      <c r="AL405" s="1444"/>
      <c r="AM405" s="1834"/>
      <c r="AN405" s="1834"/>
      <c r="AO405" s="1834"/>
      <c r="AP405" s="1834"/>
    </row>
    <row s="1834" customFormat="1" customHeight="1" ht="21.75">
      <c r="A406" s="667"/>
      <c r="B406" s="1459"/>
      <c r="C406" s="1459"/>
      <c r="D406" s="1459"/>
      <c r="E406" s="649">
        <v>22.5</v>
      </c>
      <c r="F406" s="50" cm="1" t="str">
        <f t="array" ref="F406:F406">OFFSET(E406,-1,1)</f>
        <v>4</v>
      </c>
      <c r="G406" s="1459"/>
      <c r="H406" s="488" t="s">
        <v>2075</v>
      </c>
      <c r="I406" s="1459"/>
      <c r="J406" s="1459"/>
      <c r="K406" s="1459"/>
      <c r="L406" s="1459"/>
      <c r="M406" s="1459"/>
      <c r="N406" s="1459"/>
      <c r="O406" s="1459"/>
      <c r="P406" s="1459"/>
      <c r="Q406" s="1459"/>
      <c r="R406" s="1459"/>
      <c r="S406" s="1459"/>
      <c r="T406" s="465" cm="1" t="str">
        <f t="array" ref="T406:T406">T405</f>
        <v>true</v>
      </c>
      <c r="U406" s="1459"/>
      <c r="V406" s="1459"/>
      <c r="W406" s="1459"/>
      <c r="X406" s="1596"/>
      <c r="Y406" s="1459"/>
      <c r="Z406" s="1597"/>
      <c r="AA406" s="1459"/>
      <c r="AB406" s="714" t="s">
        <v>2076</v>
      </c>
      <c r="AC406" s="549" t="s">
        <v>3027</v>
      </c>
      <c r="AD406" s="548" t="s">
        <v>1514</v>
      </c>
      <c r="AE406" s="557">
        <f>AE407+AE410</f>
        <v>0</v>
      </c>
      <c r="AF406" s="1442"/>
      <c r="AG406" s="1442"/>
      <c r="AH406" s="1062" t="s">
        <v>2506</v>
      </c>
      <c r="AI406" s="1811"/>
      <c r="AJ406" s="1811"/>
      <c r="AK406" s="1444"/>
      <c r="AL406" s="1444"/>
      <c r="AM406" s="1834"/>
      <c r="AN406" s="1834"/>
      <c r="AO406" s="1834"/>
      <c r="AP406" s="1834"/>
    </row>
    <row s="1834" customFormat="1" customHeight="1" ht="14.25">
      <c r="A407" s="667"/>
      <c r="B407" s="1459"/>
      <c r="C407" s="1459"/>
      <c r="D407" s="1459"/>
      <c r="E407" s="649">
        <v>15</v>
      </c>
      <c r="F407" s="50" cm="1" t="str">
        <f t="array" ref="F407:F407">OFFSET(E407,-1,1)</f>
        <v>4</v>
      </c>
      <c r="G407" s="1459"/>
      <c r="H407" s="488" t="s">
        <v>2220</v>
      </c>
      <c r="I407" s="1459"/>
      <c r="J407" s="1459"/>
      <c r="K407" s="1459"/>
      <c r="L407" s="1459"/>
      <c r="M407" s="1459"/>
      <c r="N407" s="1459"/>
      <c r="O407" s="1459"/>
      <c r="P407" s="1459"/>
      <c r="Q407" s="1459"/>
      <c r="R407" s="1459"/>
      <c r="S407" s="1459"/>
      <c r="T407" s="465" cm="1" t="str">
        <f t="array" ref="T407:T407">T406</f>
        <v>true</v>
      </c>
      <c r="U407" s="1459"/>
      <c r="V407" s="1459"/>
      <c r="W407" s="1459"/>
      <c r="X407" s="1596"/>
      <c r="Y407" s="1459"/>
      <c r="Z407" s="1597"/>
      <c r="AA407" s="1459"/>
      <c r="AB407" s="714" t="s">
        <v>2647</v>
      </c>
      <c r="AC407" s="550" t="s">
        <v>2508</v>
      </c>
      <c r="AD407" s="548" t="s">
        <v>1514</v>
      </c>
      <c r="AE407" s="1332"/>
      <c r="AF407" s="1442"/>
      <c r="AG407" s="1442"/>
      <c r="AH407" s="1062" t="s">
        <v>2509</v>
      </c>
      <c r="AI407" s="1811"/>
      <c r="AJ407" s="1811"/>
      <c r="AK407" s="1444"/>
      <c r="AL407" s="1444"/>
      <c r="AM407" s="1834"/>
      <c r="AN407" s="1834"/>
      <c r="AO407" s="1834"/>
      <c r="AP407" s="1834"/>
    </row>
    <row s="1834" customFormat="1" customHeight="1" ht="14.25">
      <c r="A408" s="667"/>
      <c r="B408" s="1459"/>
      <c r="C408" s="1459"/>
      <c r="D408" s="1459"/>
      <c r="E408" s="649">
        <v>15</v>
      </c>
      <c r="F408" s="50" cm="1" t="str">
        <f t="array" ref="F408:F408">OFFSET(E408,-1,1)</f>
        <v>4</v>
      </c>
      <c r="G408" s="1459"/>
      <c r="H408" s="488" t="s">
        <v>3028</v>
      </c>
      <c r="I408" s="1459"/>
      <c r="J408" s="1459"/>
      <c r="K408" s="1459"/>
      <c r="L408" s="1459"/>
      <c r="M408" s="1459"/>
      <c r="N408" s="1459"/>
      <c r="O408" s="1459"/>
      <c r="P408" s="1459"/>
      <c r="Q408" s="1459"/>
      <c r="R408" s="1459"/>
      <c r="S408" s="1459"/>
      <c r="T408" s="465" cm="1" t="str">
        <f t="array" ref="T408:T408">T407</f>
        <v>true</v>
      </c>
      <c r="U408" s="1459"/>
      <c r="V408" s="1459"/>
      <c r="W408" s="1459"/>
      <c r="X408" s="1596"/>
      <c r="Y408" s="1459"/>
      <c r="Z408" s="1597"/>
      <c r="AA408" s="1459"/>
      <c r="AB408" s="714" t="s">
        <v>3029</v>
      </c>
      <c r="AC408" s="551" t="s">
        <v>3030</v>
      </c>
      <c r="AD408" s="548" t="s">
        <v>2993</v>
      </c>
      <c r="AE408" s="1332"/>
      <c r="AF408" s="1442"/>
      <c r="AG408" s="1442"/>
      <c r="AH408" s="1001" t="s">
        <v>3031</v>
      </c>
      <c r="AI408" s="1811"/>
      <c r="AJ408" s="1811"/>
      <c r="AK408" s="1444"/>
      <c r="AL408" s="1444"/>
      <c r="AM408" s="1834"/>
      <c r="AN408" s="1834"/>
      <c r="AO408" s="1834"/>
      <c r="AP408" s="1834"/>
    </row>
    <row s="1834" customFormat="1" customHeight="1" ht="14.25">
      <c r="A409" s="667"/>
      <c r="B409" s="1459"/>
      <c r="C409" s="1459"/>
      <c r="D409" s="1459"/>
      <c r="E409" s="649">
        <v>15</v>
      </c>
      <c r="F409" s="50" cm="1" t="str">
        <f t="array" ref="F409:F409">OFFSET(E409,-1,1)</f>
        <v>4</v>
      </c>
      <c r="G409" s="1459"/>
      <c r="H409" s="488" t="s">
        <v>3032</v>
      </c>
      <c r="I409" s="1459"/>
      <c r="J409" s="1459"/>
      <c r="K409" s="1459"/>
      <c r="L409" s="1459"/>
      <c r="M409" s="1459"/>
      <c r="N409" s="1459"/>
      <c r="O409" s="1459"/>
      <c r="P409" s="1459"/>
      <c r="Q409" s="1459"/>
      <c r="R409" s="1459"/>
      <c r="S409" s="1459"/>
      <c r="T409" s="465" cm="1" t="str">
        <f t="array" ref="T409:T409">T408</f>
        <v>true</v>
      </c>
      <c r="U409" s="1459"/>
      <c r="V409" s="1459"/>
      <c r="W409" s="1459"/>
      <c r="X409" s="1596"/>
      <c r="Y409" s="1459"/>
      <c r="Z409" s="1597"/>
      <c r="AA409" s="1459"/>
      <c r="AB409" s="714" t="s">
        <v>3033</v>
      </c>
      <c r="AC409" s="551" t="s">
        <v>3034</v>
      </c>
      <c r="AD409" s="548" t="s">
        <v>2998</v>
      </c>
      <c r="AE409" s="1332"/>
      <c r="AF409" s="1442"/>
      <c r="AG409" s="1442"/>
      <c r="AH409" s="1001" t="s">
        <v>3035</v>
      </c>
      <c r="AI409" s="1811"/>
      <c r="AJ409" s="1811"/>
      <c r="AK409" s="1444"/>
      <c r="AL409" s="1444"/>
      <c r="AM409" s="1834"/>
      <c r="AN409" s="1834"/>
      <c r="AO409" s="1834"/>
      <c r="AP409" s="1834"/>
    </row>
    <row s="1834" customFormat="1" customHeight="1" ht="21.75">
      <c r="A410" s="667"/>
      <c r="B410" s="1459"/>
      <c r="C410" s="1459"/>
      <c r="D410" s="1459"/>
      <c r="E410" s="649">
        <v>22.5</v>
      </c>
      <c r="F410" s="50" cm="1" t="str">
        <f t="array" ref="F410:F410">OFFSET(E410,-1,1)</f>
        <v>4</v>
      </c>
      <c r="G410" s="1459"/>
      <c r="H410" s="488" t="s">
        <v>2224</v>
      </c>
      <c r="I410" s="1459"/>
      <c r="J410" s="1459"/>
      <c r="K410" s="1459"/>
      <c r="L410" s="1459"/>
      <c r="M410" s="1459"/>
      <c r="N410" s="1459"/>
      <c r="O410" s="1459"/>
      <c r="P410" s="1459"/>
      <c r="Q410" s="1459"/>
      <c r="R410" s="1459"/>
      <c r="S410" s="1459"/>
      <c r="T410" s="465" cm="1" t="str">
        <f t="array" ref="T410:T410">T409</f>
        <v>true</v>
      </c>
      <c r="U410" s="1459"/>
      <c r="V410" s="1459"/>
      <c r="W410" s="1459"/>
      <c r="X410" s="1596"/>
      <c r="Y410" s="1459"/>
      <c r="Z410" s="1597"/>
      <c r="AA410" s="1459"/>
      <c r="AB410" s="714" t="s">
        <v>2648</v>
      </c>
      <c r="AC410" s="550" t="s">
        <v>2684</v>
      </c>
      <c r="AD410" s="548" t="s">
        <v>1514</v>
      </c>
      <c r="AE410" s="1332"/>
      <c r="AF410" s="1442"/>
      <c r="AG410" s="1442"/>
      <c r="AH410" s="1062" t="s">
        <v>2512</v>
      </c>
      <c r="AI410" s="1811"/>
      <c r="AJ410" s="1811"/>
      <c r="AK410" s="1444"/>
      <c r="AL410" s="1444"/>
      <c r="AM410" s="1834"/>
      <c r="AN410" s="1834"/>
      <c r="AO410" s="1834"/>
      <c r="AP410" s="1834"/>
    </row>
    <row s="1834" customFormat="1" customHeight="1" ht="14.25">
      <c r="A411" s="667"/>
      <c r="B411" s="1459"/>
      <c r="C411" s="1459"/>
      <c r="D411" s="1459"/>
      <c r="E411" s="649">
        <v>15</v>
      </c>
      <c r="F411" s="50" cm="1" t="str">
        <f t="array" ref="F411:F411">OFFSET(E411,-1,1)</f>
        <v>4</v>
      </c>
      <c r="G411" s="1459"/>
      <c r="H411" s="488" t="s">
        <v>1182</v>
      </c>
      <c r="I411" s="1459"/>
      <c r="J411" s="1459"/>
      <c r="K411" s="1459"/>
      <c r="L411" s="1459"/>
      <c r="M411" s="1459"/>
      <c r="N411" s="1459"/>
      <c r="O411" s="1459"/>
      <c r="P411" s="1459"/>
      <c r="Q411" s="1459"/>
      <c r="R411" s="1459"/>
      <c r="S411" s="1459"/>
      <c r="T411" s="465" cm="1" t="str">
        <f t="array" ref="T411:T411">T410</f>
        <v>true</v>
      </c>
      <c r="U411" s="1459"/>
      <c r="V411" s="1459"/>
      <c r="W411" s="1459"/>
      <c r="X411" s="1596"/>
      <c r="Y411" s="1459"/>
      <c r="Z411" s="1597"/>
      <c r="AA411" s="1459"/>
      <c r="AB411" s="714" t="s">
        <v>1634</v>
      </c>
      <c r="AC411" s="547" t="s">
        <v>2685</v>
      </c>
      <c r="AD411" s="548" t="s">
        <v>1514</v>
      </c>
      <c r="AE411" s="557">
        <f>AE412+AE418+AE423+AE424+AE425+AE426+AE427</f>
        <v>0</v>
      </c>
      <c r="AF411" s="1442"/>
      <c r="AG411" s="1442"/>
      <c r="AH411" s="1063" t="s">
        <v>2514</v>
      </c>
      <c r="AI411" s="1811"/>
      <c r="AJ411" s="1811"/>
      <c r="AK411" s="1444"/>
      <c r="AL411" s="1444"/>
      <c r="AM411" s="1834"/>
      <c r="AN411" s="1834"/>
      <c r="AO411" s="1834"/>
      <c r="AP411" s="1834"/>
    </row>
    <row s="1834" customFormat="1" customHeight="1" ht="21.75">
      <c r="A412" s="667"/>
      <c r="B412" s="1459"/>
      <c r="C412" s="1459"/>
      <c r="D412" s="1459"/>
      <c r="E412" s="649">
        <v>22.5</v>
      </c>
      <c r="F412" s="50" cm="1" t="str">
        <f t="array" ref="F412:F412">OFFSET(E412,-1,1)</f>
        <v>4</v>
      </c>
      <c r="G412" s="1459"/>
      <c r="H412" s="488" t="s">
        <v>2081</v>
      </c>
      <c r="I412" s="1459"/>
      <c r="J412" s="1459"/>
      <c r="K412" s="1459"/>
      <c r="L412" s="1459"/>
      <c r="M412" s="1459"/>
      <c r="N412" s="1459"/>
      <c r="O412" s="1459"/>
      <c r="P412" s="1459"/>
      <c r="Q412" s="1459"/>
      <c r="R412" s="1459"/>
      <c r="S412" s="1459"/>
      <c r="T412" s="465" cm="1" t="str">
        <f t="array" ref="T412:T412">T411</f>
        <v>true</v>
      </c>
      <c r="U412" s="1459"/>
      <c r="V412" s="1459"/>
      <c r="W412" s="1459"/>
      <c r="X412" s="1596"/>
      <c r="Y412" s="1459"/>
      <c r="Z412" s="1597"/>
      <c r="AA412" s="1459"/>
      <c r="AB412" s="714" t="s">
        <v>2082</v>
      </c>
      <c r="AC412" s="549" t="s">
        <v>2515</v>
      </c>
      <c r="AD412" s="548" t="s">
        <v>1514</v>
      </c>
      <c r="AE412" s="557">
        <f>SUM(AE413:AE417)</f>
        <v>0</v>
      </c>
      <c r="AF412" s="1442"/>
      <c r="AG412" s="1442"/>
      <c r="AH412" s="1062" t="s">
        <v>1918</v>
      </c>
      <c r="AI412" s="1811"/>
      <c r="AJ412" s="1811"/>
      <c r="AK412" s="1444"/>
      <c r="AL412" s="1444"/>
      <c r="AM412" s="1834"/>
      <c r="AN412" s="1834"/>
      <c r="AO412" s="1834"/>
      <c r="AP412" s="1834"/>
    </row>
    <row s="1834" customFormat="1" customHeight="1" ht="14.25">
      <c r="A413" s="667"/>
      <c r="B413" s="1459"/>
      <c r="C413" s="1459"/>
      <c r="D413" s="1459"/>
      <c r="E413" s="649">
        <v>15</v>
      </c>
      <c r="F413" s="50" cm="1" t="str">
        <f t="array" ref="F413:F413">OFFSET(E413,-1,1)</f>
        <v>4</v>
      </c>
      <c r="G413" s="1459"/>
      <c r="H413" s="488" t="s">
        <v>3036</v>
      </c>
      <c r="I413" s="1459"/>
      <c r="J413" s="1459"/>
      <c r="K413" s="1459"/>
      <c r="L413" s="1459"/>
      <c r="M413" s="1459"/>
      <c r="N413" s="1459"/>
      <c r="O413" s="1459"/>
      <c r="P413" s="1459"/>
      <c r="Q413" s="1459"/>
      <c r="R413" s="1459"/>
      <c r="S413" s="1459"/>
      <c r="T413" s="465" cm="1" t="str">
        <f t="array" ref="T413:T413">T412</f>
        <v>true</v>
      </c>
      <c r="U413" s="1459"/>
      <c r="V413" s="1459"/>
      <c r="W413" s="1459"/>
      <c r="X413" s="1596"/>
      <c r="Y413" s="1459"/>
      <c r="Z413" s="1597"/>
      <c r="AA413" s="1459"/>
      <c r="AB413" s="714" t="s">
        <v>3037</v>
      </c>
      <c r="AC413" s="550" t="s">
        <v>1920</v>
      </c>
      <c r="AD413" s="548" t="s">
        <v>1514</v>
      </c>
      <c r="AE413" s="1332"/>
      <c r="AF413" s="1442"/>
      <c r="AG413" s="1442"/>
      <c r="AH413" s="1064" t="s">
        <v>1921</v>
      </c>
      <c r="AI413" s="1811"/>
      <c r="AJ413" s="1811"/>
      <c r="AK413" s="1444"/>
      <c r="AL413" s="1444"/>
      <c r="AM413" s="1834"/>
      <c r="AN413" s="1834"/>
      <c r="AO413" s="1834"/>
      <c r="AP413" s="1834"/>
    </row>
    <row s="1834" customFormat="1" customHeight="1" ht="14.25">
      <c r="A414" s="667"/>
      <c r="B414" s="1459"/>
      <c r="C414" s="1459"/>
      <c r="D414" s="1459"/>
      <c r="E414" s="649">
        <v>15</v>
      </c>
      <c r="F414" s="50" cm="1" t="str">
        <f t="array" ref="F414:F414">OFFSET(E414,-1,1)</f>
        <v>4</v>
      </c>
      <c r="G414" s="1459"/>
      <c r="H414" s="488" t="s">
        <v>3038</v>
      </c>
      <c r="I414" s="1459"/>
      <c r="J414" s="1459"/>
      <c r="K414" s="1459"/>
      <c r="L414" s="1459"/>
      <c r="M414" s="1459"/>
      <c r="N414" s="1459"/>
      <c r="O414" s="1459"/>
      <c r="P414" s="1459"/>
      <c r="Q414" s="1459"/>
      <c r="R414" s="1459"/>
      <c r="S414" s="1459"/>
      <c r="T414" s="465" cm="1" t="str">
        <f t="array" ref="T414:T414">T413</f>
        <v>true</v>
      </c>
      <c r="U414" s="1459"/>
      <c r="V414" s="1459"/>
      <c r="W414" s="1459"/>
      <c r="X414" s="1596"/>
      <c r="Y414" s="1459"/>
      <c r="Z414" s="1597"/>
      <c r="AA414" s="1459"/>
      <c r="AB414" s="714" t="s">
        <v>3039</v>
      </c>
      <c r="AC414" s="550" t="s">
        <v>1923</v>
      </c>
      <c r="AD414" s="548" t="s">
        <v>1514</v>
      </c>
      <c r="AE414" s="1332"/>
      <c r="AF414" s="1442"/>
      <c r="AG414" s="1442"/>
      <c r="AH414" s="1064" t="s">
        <v>1924</v>
      </c>
      <c r="AI414" s="1811"/>
      <c r="AJ414" s="1811"/>
      <c r="AK414" s="1444"/>
      <c r="AL414" s="1444"/>
      <c r="AM414" s="1834"/>
      <c r="AN414" s="1834"/>
      <c r="AO414" s="1834"/>
      <c r="AP414" s="1834"/>
    </row>
    <row s="1834" customFormat="1" customHeight="1" ht="14.25">
      <c r="A415" s="667"/>
      <c r="B415" s="1459"/>
      <c r="C415" s="1459"/>
      <c r="D415" s="1459"/>
      <c r="E415" s="649">
        <v>15</v>
      </c>
      <c r="F415" s="50" cm="1" t="str">
        <f t="array" ref="F415:F415">OFFSET(E415,-1,1)</f>
        <v>4</v>
      </c>
      <c r="G415" s="1459"/>
      <c r="H415" s="488" t="s">
        <v>3040</v>
      </c>
      <c r="I415" s="1459"/>
      <c r="J415" s="1459"/>
      <c r="K415" s="1459"/>
      <c r="L415" s="1459"/>
      <c r="M415" s="1459"/>
      <c r="N415" s="1459"/>
      <c r="O415" s="1459"/>
      <c r="P415" s="1459"/>
      <c r="Q415" s="1459"/>
      <c r="R415" s="1459"/>
      <c r="S415" s="1459"/>
      <c r="T415" s="465" cm="1" t="str">
        <f t="array" ref="T415:T415">T414</f>
        <v>true</v>
      </c>
      <c r="U415" s="1459"/>
      <c r="V415" s="1459"/>
      <c r="W415" s="1459"/>
      <c r="X415" s="1596"/>
      <c r="Y415" s="1459"/>
      <c r="Z415" s="1597"/>
      <c r="AA415" s="1459"/>
      <c r="AB415" s="714" t="s">
        <v>3041</v>
      </c>
      <c r="AC415" s="550" t="s">
        <v>1926</v>
      </c>
      <c r="AD415" s="548" t="s">
        <v>1514</v>
      </c>
      <c r="AE415" s="1332"/>
      <c r="AF415" s="1442"/>
      <c r="AG415" s="1442"/>
      <c r="AH415" s="1064" t="s">
        <v>1927</v>
      </c>
      <c r="AI415" s="1811"/>
      <c r="AJ415" s="1811"/>
      <c r="AK415" s="1444"/>
      <c r="AL415" s="1444"/>
      <c r="AM415" s="1834"/>
      <c r="AN415" s="1834"/>
      <c r="AO415" s="1834"/>
      <c r="AP415" s="1834"/>
    </row>
    <row s="1834" customFormat="1" customHeight="1" ht="14.25">
      <c r="A416" s="667"/>
      <c r="B416" s="1459"/>
      <c r="C416" s="1459"/>
      <c r="D416" s="1459"/>
      <c r="E416" s="649">
        <v>15</v>
      </c>
      <c r="F416" s="50" cm="1" t="str">
        <f t="array" ref="F416:F416">OFFSET(E416,-1,1)</f>
        <v>4</v>
      </c>
      <c r="G416" s="1459"/>
      <c r="H416" s="488" t="s">
        <v>3042</v>
      </c>
      <c r="I416" s="1459"/>
      <c r="J416" s="1459"/>
      <c r="K416" s="1459"/>
      <c r="L416" s="1459"/>
      <c r="M416" s="1459"/>
      <c r="N416" s="1459"/>
      <c r="O416" s="1459"/>
      <c r="P416" s="1459"/>
      <c r="Q416" s="1459"/>
      <c r="R416" s="1459"/>
      <c r="S416" s="1459"/>
      <c r="T416" s="465" cm="1" t="str">
        <f t="array" ref="T416:T416">T415</f>
        <v>true</v>
      </c>
      <c r="U416" s="1459"/>
      <c r="V416" s="1459"/>
      <c r="W416" s="1459"/>
      <c r="X416" s="1596"/>
      <c r="Y416" s="1459"/>
      <c r="Z416" s="1597"/>
      <c r="AA416" s="1459"/>
      <c r="AB416" s="714" t="s">
        <v>3043</v>
      </c>
      <c r="AC416" s="550" t="s">
        <v>1929</v>
      </c>
      <c r="AD416" s="548" t="s">
        <v>1514</v>
      </c>
      <c r="AE416" s="1332"/>
      <c r="AF416" s="1442"/>
      <c r="AG416" s="1442"/>
      <c r="AH416" s="1064" t="s">
        <v>1930</v>
      </c>
      <c r="AI416" s="1811"/>
      <c r="AJ416" s="1811"/>
      <c r="AK416" s="1444"/>
      <c r="AL416" s="1444"/>
      <c r="AM416" s="1834"/>
      <c r="AN416" s="1834"/>
      <c r="AO416" s="1834"/>
      <c r="AP416" s="1834"/>
    </row>
    <row s="1834" customFormat="1" customHeight="1" ht="14.25">
      <c r="A417" s="667"/>
      <c r="B417" s="1459"/>
      <c r="C417" s="1459"/>
      <c r="D417" s="1459"/>
      <c r="E417" s="649">
        <v>15</v>
      </c>
      <c r="F417" s="50" cm="1" t="str">
        <f t="array" ref="F417:F417">OFFSET(E417,-1,1)</f>
        <v>4</v>
      </c>
      <c r="G417" s="1459"/>
      <c r="H417" s="488" t="s">
        <v>3044</v>
      </c>
      <c r="I417" s="1459"/>
      <c r="J417" s="1459"/>
      <c r="K417" s="1459"/>
      <c r="L417" s="1459"/>
      <c r="M417" s="1459"/>
      <c r="N417" s="1459"/>
      <c r="O417" s="1459"/>
      <c r="P417" s="1459"/>
      <c r="Q417" s="1459"/>
      <c r="R417" s="1459"/>
      <c r="S417" s="1459"/>
      <c r="T417" s="465" cm="1" t="str">
        <f t="array" ref="T417:T417">T416</f>
        <v>true</v>
      </c>
      <c r="U417" s="1459"/>
      <c r="V417" s="1459"/>
      <c r="W417" s="1459"/>
      <c r="X417" s="1596"/>
      <c r="Y417" s="1459"/>
      <c r="Z417" s="1597"/>
      <c r="AA417" s="1459"/>
      <c r="AB417" s="714" t="s">
        <v>3045</v>
      </c>
      <c r="AC417" s="550" t="s">
        <v>1937</v>
      </c>
      <c r="AD417" s="548" t="s">
        <v>1514</v>
      </c>
      <c r="AE417" s="1332"/>
      <c r="AF417" s="1442"/>
      <c r="AG417" s="1442"/>
      <c r="AH417" s="1064" t="s">
        <v>1938</v>
      </c>
      <c r="AI417" s="1811"/>
      <c r="AJ417" s="1811"/>
      <c r="AK417" s="1444"/>
      <c r="AL417" s="1444"/>
      <c r="AM417" s="1834"/>
      <c r="AN417" s="1834"/>
      <c r="AO417" s="1834"/>
      <c r="AP417" s="1834"/>
    </row>
    <row s="1834" customFormat="1" customHeight="1" ht="32.25">
      <c r="A418" s="667"/>
      <c r="B418" s="1459"/>
      <c r="C418" s="1459"/>
      <c r="D418" s="1459"/>
      <c r="E418" s="649">
        <v>33.75</v>
      </c>
      <c r="F418" s="50" cm="1" t="str">
        <f t="array" ref="F418:F418">OFFSET(E418,-1,1)</f>
        <v>4</v>
      </c>
      <c r="G418" s="1459"/>
      <c r="H418" s="488" t="s">
        <v>2085</v>
      </c>
      <c r="I418" s="1459"/>
      <c r="J418" s="1459"/>
      <c r="K418" s="1459"/>
      <c r="L418" s="1459"/>
      <c r="M418" s="1459"/>
      <c r="N418" s="1459"/>
      <c r="O418" s="1459"/>
      <c r="P418" s="1459"/>
      <c r="Q418" s="1459"/>
      <c r="R418" s="1459"/>
      <c r="S418" s="1459"/>
      <c r="T418" s="465" cm="1" t="str">
        <f t="array" ref="T418:T418">T417</f>
        <v>true</v>
      </c>
      <c r="U418" s="1459"/>
      <c r="V418" s="1459"/>
      <c r="W418" s="1459"/>
      <c r="X418" s="1596"/>
      <c r="Y418" s="1459"/>
      <c r="Z418" s="1597"/>
      <c r="AA418" s="1459"/>
      <c r="AB418" s="714" t="s">
        <v>2086</v>
      </c>
      <c r="AC418" s="549" t="s">
        <v>3046</v>
      </c>
      <c r="AD418" s="548" t="s">
        <v>1514</v>
      </c>
      <c r="AE418" s="557">
        <f>AE419+AE422</f>
        <v>0</v>
      </c>
      <c r="AF418" s="1442"/>
      <c r="AG418" s="1442"/>
      <c r="AH418" s="1062" t="s">
        <v>2517</v>
      </c>
      <c r="AI418" s="1811"/>
      <c r="AJ418" s="1811"/>
      <c r="AK418" s="1444"/>
      <c r="AL418" s="1444"/>
      <c r="AM418" s="1834"/>
      <c r="AN418" s="1834"/>
      <c r="AO418" s="1834"/>
      <c r="AP418" s="1834"/>
    </row>
    <row s="1834" customFormat="1" customHeight="1" ht="21.75">
      <c r="A419" s="667"/>
      <c r="B419" s="1459"/>
      <c r="C419" s="1459"/>
      <c r="D419" s="1459"/>
      <c r="E419" s="649">
        <v>22.5</v>
      </c>
      <c r="F419" s="50" cm="1" t="str">
        <f t="array" ref="F419:F419">OFFSET(E419,-1,1)</f>
        <v>4</v>
      </c>
      <c r="G419" s="1459"/>
      <c r="H419" s="488" t="s">
        <v>3047</v>
      </c>
      <c r="I419" s="1459"/>
      <c r="J419" s="1459"/>
      <c r="K419" s="1459"/>
      <c r="L419" s="1459"/>
      <c r="M419" s="1459"/>
      <c r="N419" s="1459"/>
      <c r="O419" s="1459"/>
      <c r="P419" s="1459"/>
      <c r="Q419" s="1459"/>
      <c r="R419" s="1459"/>
      <c r="S419" s="1459"/>
      <c r="T419" s="465" cm="1" t="str">
        <f t="array" ref="T419:T419">T418</f>
        <v>true</v>
      </c>
      <c r="U419" s="1459"/>
      <c r="V419" s="1459"/>
      <c r="W419" s="1459"/>
      <c r="X419" s="1596"/>
      <c r="Y419" s="1459"/>
      <c r="Z419" s="1597"/>
      <c r="AA419" s="1459"/>
      <c r="AB419" s="714" t="s">
        <v>3048</v>
      </c>
      <c r="AC419" s="550" t="s">
        <v>2518</v>
      </c>
      <c r="AD419" s="548" t="s">
        <v>1514</v>
      </c>
      <c r="AE419" s="1332"/>
      <c r="AF419" s="1442"/>
      <c r="AG419" s="1442"/>
      <c r="AH419" s="1062" t="s">
        <v>1915</v>
      </c>
      <c r="AI419" s="1811"/>
      <c r="AJ419" s="1811"/>
      <c r="AK419" s="1444"/>
      <c r="AL419" s="1444"/>
      <c r="AM419" s="1834"/>
      <c r="AN419" s="1834"/>
      <c r="AO419" s="1834"/>
      <c r="AP419" s="1834"/>
    </row>
    <row s="1834" customFormat="1" customHeight="1" ht="14.25">
      <c r="A420" s="667"/>
      <c r="B420" s="1459"/>
      <c r="C420" s="1459"/>
      <c r="D420" s="1459"/>
      <c r="E420" s="649">
        <v>15</v>
      </c>
      <c r="F420" s="50" cm="1" t="str">
        <f t="array" ref="F420:F420">OFFSET(E420,-1,1)</f>
        <v>4</v>
      </c>
      <c r="G420" s="1459"/>
      <c r="H420" s="488" t="s">
        <v>3049</v>
      </c>
      <c r="I420" s="1459"/>
      <c r="J420" s="1459"/>
      <c r="K420" s="1459"/>
      <c r="L420" s="1459"/>
      <c r="M420" s="1459"/>
      <c r="N420" s="1459"/>
      <c r="O420" s="1459"/>
      <c r="P420" s="1459"/>
      <c r="Q420" s="1459"/>
      <c r="R420" s="1459"/>
      <c r="S420" s="1459"/>
      <c r="T420" s="465" cm="1" t="str">
        <f t="array" ref="T420:T420">T419</f>
        <v>true</v>
      </c>
      <c r="U420" s="1459"/>
      <c r="V420" s="1459"/>
      <c r="W420" s="1459"/>
      <c r="X420" s="1596"/>
      <c r="Y420" s="1459"/>
      <c r="Z420" s="1597"/>
      <c r="AA420" s="1459"/>
      <c r="AB420" s="714" t="s">
        <v>3050</v>
      </c>
      <c r="AC420" s="551" t="s">
        <v>3051</v>
      </c>
      <c r="AD420" s="548" t="s">
        <v>2993</v>
      </c>
      <c r="AE420" s="1332"/>
      <c r="AF420" s="1442"/>
      <c r="AG420" s="1442"/>
      <c r="AH420" s="1001" t="s">
        <v>3052</v>
      </c>
      <c r="AI420" s="1811"/>
      <c r="AJ420" s="1811"/>
      <c r="AK420" s="1444"/>
      <c r="AL420" s="1444"/>
      <c r="AM420" s="1834"/>
      <c r="AN420" s="1834"/>
      <c r="AO420" s="1834"/>
      <c r="AP420" s="1834"/>
    </row>
    <row s="1834" customFormat="1" customHeight="1" ht="21.75">
      <c r="A421" s="667"/>
      <c r="B421" s="1459"/>
      <c r="C421" s="1459"/>
      <c r="D421" s="1459"/>
      <c r="E421" s="649">
        <v>22.5</v>
      </c>
      <c r="F421" s="50" cm="1" t="str">
        <f t="array" ref="F421:F421">OFFSET(E421,-1,1)</f>
        <v>4</v>
      </c>
      <c r="G421" s="1459"/>
      <c r="H421" s="488" t="s">
        <v>3053</v>
      </c>
      <c r="I421" s="1459"/>
      <c r="J421" s="1459"/>
      <c r="K421" s="1459"/>
      <c r="L421" s="1459"/>
      <c r="M421" s="1459"/>
      <c r="N421" s="1459"/>
      <c r="O421" s="1459"/>
      <c r="P421" s="1459"/>
      <c r="Q421" s="1459"/>
      <c r="R421" s="1459"/>
      <c r="S421" s="1459"/>
      <c r="T421" s="465" cm="1" t="str">
        <f t="array" ref="T421:T421">T420</f>
        <v>true</v>
      </c>
      <c r="U421" s="1459"/>
      <c r="V421" s="1459"/>
      <c r="W421" s="1459"/>
      <c r="X421" s="1596"/>
      <c r="Y421" s="1459"/>
      <c r="Z421" s="1597"/>
      <c r="AA421" s="1459"/>
      <c r="AB421" s="714" t="s">
        <v>3054</v>
      </c>
      <c r="AC421" s="551" t="s">
        <v>3055</v>
      </c>
      <c r="AD421" s="548" t="s">
        <v>2998</v>
      </c>
      <c r="AE421" s="1332"/>
      <c r="AF421" s="1442"/>
      <c r="AG421" s="1442"/>
      <c r="AH421" s="1001" t="s">
        <v>3056</v>
      </c>
      <c r="AI421" s="1811"/>
      <c r="AJ421" s="1811"/>
      <c r="AK421" s="1444"/>
      <c r="AL421" s="1444"/>
      <c r="AM421" s="1834"/>
      <c r="AN421" s="1834"/>
      <c r="AO421" s="1834"/>
      <c r="AP421" s="1834"/>
    </row>
    <row s="1834" customFormat="1" customHeight="1" ht="21.75">
      <c r="A422" s="667"/>
      <c r="B422" s="1459"/>
      <c r="C422" s="1459"/>
      <c r="D422" s="1459"/>
      <c r="E422" s="649">
        <v>22.5</v>
      </c>
      <c r="F422" s="50" cm="1" t="str">
        <f t="array" ref="F422:F422">OFFSET(E422,-1,1)</f>
        <v>4</v>
      </c>
      <c r="G422" s="1459"/>
      <c r="H422" s="488" t="s">
        <v>3057</v>
      </c>
      <c r="I422" s="1459"/>
      <c r="J422" s="1459"/>
      <c r="K422" s="1459"/>
      <c r="L422" s="1459"/>
      <c r="M422" s="1459"/>
      <c r="N422" s="1459"/>
      <c r="O422" s="1459"/>
      <c r="P422" s="1459"/>
      <c r="Q422" s="1459"/>
      <c r="R422" s="1459"/>
      <c r="S422" s="1459"/>
      <c r="T422" s="465" cm="1" t="str">
        <f t="array" ref="T422:T422">T421</f>
        <v>true</v>
      </c>
      <c r="U422" s="1459"/>
      <c r="V422" s="1459"/>
      <c r="W422" s="1459"/>
      <c r="X422" s="1596"/>
      <c r="Y422" s="1459"/>
      <c r="Z422" s="1597"/>
      <c r="AA422" s="1459"/>
      <c r="AB422" s="714" t="s">
        <v>3058</v>
      </c>
      <c r="AC422" s="550" t="s">
        <v>2708</v>
      </c>
      <c r="AD422" s="548" t="s">
        <v>1514</v>
      </c>
      <c r="AE422" s="1332"/>
      <c r="AF422" s="1442"/>
      <c r="AG422" s="1442"/>
      <c r="AH422" s="1062" t="s">
        <v>2520</v>
      </c>
      <c r="AI422" s="1811"/>
      <c r="AJ422" s="1811"/>
      <c r="AK422" s="1444"/>
      <c r="AL422" s="1444"/>
      <c r="AM422" s="1834"/>
      <c r="AN422" s="1834"/>
      <c r="AO422" s="1834"/>
      <c r="AP422" s="1834"/>
    </row>
    <row s="1834" customFormat="1" customHeight="1" ht="21.75">
      <c r="A423" s="667"/>
      <c r="B423" s="1459"/>
      <c r="C423" s="1459"/>
      <c r="D423" s="1459"/>
      <c r="E423" s="649">
        <v>22.5</v>
      </c>
      <c r="F423" s="50" cm="1" t="str">
        <f t="array" ref="F423:F423">OFFSET(E423,-1,1)</f>
        <v>4</v>
      </c>
      <c r="G423" s="1459"/>
      <c r="H423" s="488" t="s">
        <v>2089</v>
      </c>
      <c r="I423" s="1459"/>
      <c r="J423" s="1459"/>
      <c r="K423" s="1459"/>
      <c r="L423" s="1459"/>
      <c r="M423" s="1459"/>
      <c r="N423" s="1459"/>
      <c r="O423" s="1459"/>
      <c r="P423" s="1459"/>
      <c r="Q423" s="1459"/>
      <c r="R423" s="1459"/>
      <c r="S423" s="1459"/>
      <c r="T423" s="465" cm="1" t="str">
        <f t="array" ref="T423:T423">T422</f>
        <v>true</v>
      </c>
      <c r="U423" s="1459"/>
      <c r="V423" s="1459"/>
      <c r="W423" s="1459"/>
      <c r="X423" s="1596"/>
      <c r="Y423" s="1459"/>
      <c r="Z423" s="1597"/>
      <c r="AA423" s="1459"/>
      <c r="AB423" s="714" t="s">
        <v>2090</v>
      </c>
      <c r="AC423" s="549" t="s">
        <v>3059</v>
      </c>
      <c r="AD423" s="548" t="s">
        <v>1514</v>
      </c>
      <c r="AE423" s="1332"/>
      <c r="AF423" s="1442"/>
      <c r="AG423" s="1442"/>
      <c r="AH423" s="1062" t="s">
        <v>1946</v>
      </c>
      <c r="AI423" s="1811"/>
      <c r="AJ423" s="1811"/>
      <c r="AK423" s="1444"/>
      <c r="AL423" s="1444"/>
      <c r="AM423" s="1834"/>
      <c r="AN423" s="1834"/>
      <c r="AO423" s="1834"/>
      <c r="AP423" s="1834"/>
    </row>
    <row s="1834" customFormat="1" customHeight="1" ht="14.25">
      <c r="A424" s="667"/>
      <c r="B424" s="1459"/>
      <c r="C424" s="1459"/>
      <c r="D424" s="1459"/>
      <c r="E424" s="649">
        <v>15</v>
      </c>
      <c r="F424" s="50" cm="1" t="str">
        <f t="array" ref="F424:F424">OFFSET(E424,-1,1)</f>
        <v>4</v>
      </c>
      <c r="G424" s="1459"/>
      <c r="H424" s="488" t="s">
        <v>3060</v>
      </c>
      <c r="I424" s="1459"/>
      <c r="J424" s="1459"/>
      <c r="K424" s="1459"/>
      <c r="L424" s="1459"/>
      <c r="M424" s="1459"/>
      <c r="N424" s="1459"/>
      <c r="O424" s="1459"/>
      <c r="P424" s="1459"/>
      <c r="Q424" s="1459"/>
      <c r="R424" s="1459"/>
      <c r="S424" s="1459"/>
      <c r="T424" s="465" cm="1" t="str">
        <f t="array" ref="T424:T424">T423</f>
        <v>true</v>
      </c>
      <c r="U424" s="1459"/>
      <c r="V424" s="1459"/>
      <c r="W424" s="1459"/>
      <c r="X424" s="1596"/>
      <c r="Y424" s="1459"/>
      <c r="Z424" s="1597"/>
      <c r="AA424" s="1459"/>
      <c r="AB424" s="714" t="s">
        <v>3061</v>
      </c>
      <c r="AC424" s="549" t="s">
        <v>1948</v>
      </c>
      <c r="AD424" s="548" t="s">
        <v>1514</v>
      </c>
      <c r="AE424" s="1332"/>
      <c r="AF424" s="1442"/>
      <c r="AG424" s="1442"/>
      <c r="AH424" s="1062" t="s">
        <v>1949</v>
      </c>
      <c r="AI424" s="1811"/>
      <c r="AJ424" s="1811"/>
      <c r="AK424" s="1444"/>
      <c r="AL424" s="1444"/>
      <c r="AM424" s="1834"/>
      <c r="AN424" s="1834"/>
      <c r="AO424" s="1834"/>
      <c r="AP424" s="1834"/>
    </row>
    <row s="1834" customFormat="1" customHeight="1" ht="14.25">
      <c r="A425" s="667"/>
      <c r="B425" s="1459"/>
      <c r="C425" s="1459"/>
      <c r="D425" s="1459"/>
      <c r="E425" s="649">
        <v>15</v>
      </c>
      <c r="F425" s="50" cm="1" t="str">
        <f t="array" ref="F425:F425">OFFSET(E425,-1,1)</f>
        <v>4</v>
      </c>
      <c r="G425" s="1459"/>
      <c r="H425" s="488" t="s">
        <v>3062</v>
      </c>
      <c r="I425" s="1459"/>
      <c r="J425" s="1459"/>
      <c r="K425" s="1459"/>
      <c r="L425" s="1459"/>
      <c r="M425" s="1459"/>
      <c r="N425" s="1459"/>
      <c r="O425" s="1459"/>
      <c r="P425" s="1459"/>
      <c r="Q425" s="1459"/>
      <c r="R425" s="1459"/>
      <c r="S425" s="1459"/>
      <c r="T425" s="465" cm="1" t="str">
        <f t="array" ref="T425:T425">T424</f>
        <v>true</v>
      </c>
      <c r="U425" s="1459"/>
      <c r="V425" s="1459"/>
      <c r="W425" s="1459"/>
      <c r="X425" s="1596"/>
      <c r="Y425" s="1459"/>
      <c r="Z425" s="1597"/>
      <c r="AA425" s="1459"/>
      <c r="AB425" s="714" t="s">
        <v>3063</v>
      </c>
      <c r="AC425" s="549" t="s">
        <v>1951</v>
      </c>
      <c r="AD425" s="548" t="s">
        <v>1514</v>
      </c>
      <c r="AE425" s="1332"/>
      <c r="AF425" s="1442"/>
      <c r="AG425" s="1442"/>
      <c r="AH425" s="1062" t="s">
        <v>1952</v>
      </c>
      <c r="AI425" s="1811"/>
      <c r="AJ425" s="1811"/>
      <c r="AK425" s="1444"/>
      <c r="AL425" s="1444"/>
      <c r="AM425" s="1834"/>
      <c r="AN425" s="1834"/>
      <c r="AO425" s="1834"/>
      <c r="AP425" s="1834"/>
    </row>
    <row s="1834" customFormat="1" customHeight="1" ht="21.75">
      <c r="A426" s="667"/>
      <c r="B426" s="1459"/>
      <c r="C426" s="1459"/>
      <c r="D426" s="1459"/>
      <c r="E426" s="649">
        <v>22.5</v>
      </c>
      <c r="F426" s="50" cm="1" t="str">
        <f t="array" ref="F426:F426">OFFSET(E426,-1,1)</f>
        <v>4</v>
      </c>
      <c r="G426" s="1459"/>
      <c r="H426" s="488" t="s">
        <v>3064</v>
      </c>
      <c r="I426" s="1459"/>
      <c r="J426" s="1459"/>
      <c r="K426" s="1459"/>
      <c r="L426" s="1459"/>
      <c r="M426" s="1459"/>
      <c r="N426" s="1459"/>
      <c r="O426" s="1459"/>
      <c r="P426" s="1459"/>
      <c r="Q426" s="1459"/>
      <c r="R426" s="1459"/>
      <c r="S426" s="1459"/>
      <c r="T426" s="465" cm="1" t="str">
        <f t="array" ref="T426:T426">T425</f>
        <v>true</v>
      </c>
      <c r="U426" s="1459"/>
      <c r="V426" s="1459"/>
      <c r="W426" s="1459"/>
      <c r="X426" s="1596"/>
      <c r="Y426" s="1459"/>
      <c r="Z426" s="1597"/>
      <c r="AA426" s="1459"/>
      <c r="AB426" s="714" t="s">
        <v>3065</v>
      </c>
      <c r="AC426" s="549" t="s">
        <v>3066</v>
      </c>
      <c r="AD426" s="548" t="s">
        <v>1514</v>
      </c>
      <c r="AE426" s="1332"/>
      <c r="AF426" s="1442"/>
      <c r="AG426" s="1442"/>
      <c r="AH426" s="1062" t="s">
        <v>2522</v>
      </c>
      <c r="AI426" s="1811"/>
      <c r="AJ426" s="1811"/>
      <c r="AK426" s="1444"/>
      <c r="AL426" s="1444"/>
      <c r="AM426" s="1834"/>
      <c r="AN426" s="1834"/>
      <c r="AO426" s="1834"/>
      <c r="AP426" s="1834"/>
    </row>
    <row s="1834" customFormat="1" customHeight="1" ht="14.25">
      <c r="A427" s="667"/>
      <c r="B427" s="1459"/>
      <c r="C427" s="1459"/>
      <c r="D427" s="1459"/>
      <c r="E427" s="649">
        <v>15</v>
      </c>
      <c r="F427" s="50" cm="1" t="str">
        <f t="array" ref="F427:F427">OFFSET(E427,-1,1)</f>
        <v>4</v>
      </c>
      <c r="G427" s="1459"/>
      <c r="H427" s="488" t="s">
        <v>3067</v>
      </c>
      <c r="I427" s="1459"/>
      <c r="J427" s="1459"/>
      <c r="K427" s="1459"/>
      <c r="L427" s="1459"/>
      <c r="M427" s="1459"/>
      <c r="N427" s="1459"/>
      <c r="O427" s="1459"/>
      <c r="P427" s="1459"/>
      <c r="Q427" s="1459"/>
      <c r="R427" s="1459"/>
      <c r="S427" s="1459"/>
      <c r="T427" s="465" cm="1" t="str">
        <f t="array" ref="T427:T427">T426</f>
        <v>true</v>
      </c>
      <c r="U427" s="1459"/>
      <c r="V427" s="1459"/>
      <c r="W427" s="1459"/>
      <c r="X427" s="1596"/>
      <c r="Y427" s="1459"/>
      <c r="Z427" s="1597"/>
      <c r="AA427" s="1459"/>
      <c r="AB427" s="714" t="s">
        <v>3068</v>
      </c>
      <c r="AC427" s="549" t="s">
        <v>3069</v>
      </c>
      <c r="AD427" s="548" t="s">
        <v>1514</v>
      </c>
      <c r="AE427" s="557">
        <f>AE428+AE429+AE430</f>
        <v>0</v>
      </c>
      <c r="AF427" s="1442"/>
      <c r="AG427" s="1442"/>
      <c r="AH427" s="1062" t="s">
        <v>2524</v>
      </c>
      <c r="AI427" s="1811"/>
      <c r="AJ427" s="1811"/>
      <c r="AK427" s="1444"/>
      <c r="AL427" s="1444"/>
      <c r="AM427" s="1834"/>
      <c r="AN427" s="1834"/>
      <c r="AO427" s="1834"/>
      <c r="AP427" s="1834"/>
    </row>
    <row s="1834" customFormat="1" customHeight="1" ht="14.25">
      <c r="A428" s="667"/>
      <c r="B428" s="1459"/>
      <c r="C428" s="1459"/>
      <c r="D428" s="1459"/>
      <c r="E428" s="649">
        <v>15</v>
      </c>
      <c r="F428" s="50" cm="1" t="str">
        <f t="array" ref="F428:F428">OFFSET(E428,-1,1)</f>
        <v>4</v>
      </c>
      <c r="G428" s="1459"/>
      <c r="H428" s="488" t="s">
        <v>3070</v>
      </c>
      <c r="I428" s="1459"/>
      <c r="J428" s="1459"/>
      <c r="K428" s="1459"/>
      <c r="L428" s="1459"/>
      <c r="M428" s="1459"/>
      <c r="N428" s="1459"/>
      <c r="O428" s="1459"/>
      <c r="P428" s="1459"/>
      <c r="Q428" s="1459"/>
      <c r="R428" s="1459"/>
      <c r="S428" s="1459"/>
      <c r="T428" s="465" cm="1" t="str">
        <f t="array" ref="T428:T428">T427</f>
        <v>true</v>
      </c>
      <c r="U428" s="1459"/>
      <c r="V428" s="1459"/>
      <c r="W428" s="1459"/>
      <c r="X428" s="1596"/>
      <c r="Y428" s="1459"/>
      <c r="Z428" s="1597"/>
      <c r="AA428" s="1459"/>
      <c r="AB428" s="714" t="s">
        <v>3071</v>
      </c>
      <c r="AC428" s="550" t="s">
        <v>3072</v>
      </c>
      <c r="AD428" s="548" t="s">
        <v>1514</v>
      </c>
      <c r="AE428" s="1332"/>
      <c r="AF428" s="1442"/>
      <c r="AG428" s="1442"/>
      <c r="AH428" s="1062" t="s">
        <v>2528</v>
      </c>
      <c r="AI428" s="1811"/>
      <c r="AJ428" s="1811"/>
      <c r="AK428" s="1444"/>
      <c r="AL428" s="1444"/>
      <c r="AM428" s="1834"/>
      <c r="AN428" s="1834"/>
      <c r="AO428" s="1834"/>
      <c r="AP428" s="1834"/>
    </row>
    <row s="1834" customFormat="1" customHeight="1" ht="14.25">
      <c r="A429" s="667"/>
      <c r="B429" s="1459"/>
      <c r="C429" s="1459"/>
      <c r="D429" s="1459"/>
      <c r="E429" s="649">
        <v>15</v>
      </c>
      <c r="F429" s="50" cm="1" t="str">
        <f t="array" ref="F429:F429">OFFSET(E429,-1,1)</f>
        <v>4</v>
      </c>
      <c r="G429" s="1459"/>
      <c r="H429" s="488" t="s">
        <v>3073</v>
      </c>
      <c r="I429" s="1459"/>
      <c r="J429" s="1459"/>
      <c r="K429" s="1459"/>
      <c r="L429" s="1459"/>
      <c r="M429" s="1459"/>
      <c r="N429" s="1459"/>
      <c r="O429" s="1459"/>
      <c r="P429" s="1459"/>
      <c r="Q429" s="1459"/>
      <c r="R429" s="1459"/>
      <c r="S429" s="1459"/>
      <c r="T429" s="465" cm="1" t="str">
        <f t="array" ref="T429:T429">T428</f>
        <v>true</v>
      </c>
      <c r="U429" s="1459"/>
      <c r="V429" s="1459"/>
      <c r="W429" s="1459"/>
      <c r="X429" s="1596"/>
      <c r="Y429" s="1459"/>
      <c r="Z429" s="1597"/>
      <c r="AA429" s="1459"/>
      <c r="AB429" s="715" t="s">
        <v>3074</v>
      </c>
      <c r="AC429" s="552" t="s">
        <v>3075</v>
      </c>
      <c r="AD429" s="553" t="s">
        <v>1514</v>
      </c>
      <c r="AE429" s="1332"/>
      <c r="AF429" s="1442"/>
      <c r="AG429" s="1442"/>
      <c r="AH429" s="1062" t="s">
        <v>2531</v>
      </c>
      <c r="AI429" s="1811"/>
      <c r="AJ429" s="1811"/>
      <c r="AK429" s="1444"/>
      <c r="AL429" s="1444"/>
      <c r="AM429" s="1834"/>
      <c r="AN429" s="1834"/>
      <c r="AO429" s="1834"/>
      <c r="AP429" s="1834"/>
    </row>
    <row s="1834" customFormat="1" customHeight="1" ht="14.25">
      <c r="A430" s="667"/>
      <c r="B430" s="1459"/>
      <c r="C430" s="1459"/>
      <c r="D430" s="1459"/>
      <c r="E430" s="649">
        <v>15</v>
      </c>
      <c r="F430" s="50" cm="1" t="str">
        <f t="array" ref="F430:F430">OFFSET(E430,-1,1)</f>
        <v>4</v>
      </c>
      <c r="G430" s="1459"/>
      <c r="H430" s="488" t="s">
        <v>3076</v>
      </c>
      <c r="I430" s="1459"/>
      <c r="J430" s="1459"/>
      <c r="K430" s="1459"/>
      <c r="L430" s="1459"/>
      <c r="M430" s="1459"/>
      <c r="N430" s="1459"/>
      <c r="O430" s="1459"/>
      <c r="P430" s="1459"/>
      <c r="Q430" s="1459"/>
      <c r="R430" s="1459"/>
      <c r="S430" s="1459"/>
      <c r="T430" s="465" cm="1" t="str">
        <f t="array" ref="T430:T430">T429</f>
        <v>true</v>
      </c>
      <c r="U430" s="1459"/>
      <c r="V430" s="1459"/>
      <c r="W430" s="1459"/>
      <c r="X430" s="1596"/>
      <c r="Y430" s="1459"/>
      <c r="Z430" s="1597"/>
      <c r="AA430" s="1459"/>
      <c r="AB430" s="715" t="s">
        <v>3077</v>
      </c>
      <c r="AC430" s="552" t="s">
        <v>1965</v>
      </c>
      <c r="AD430" s="553" t="s">
        <v>1514</v>
      </c>
      <c r="AE430" s="1332"/>
      <c r="AF430" s="1442"/>
      <c r="AG430" s="1442"/>
      <c r="AH430" s="1062" t="s">
        <v>2534</v>
      </c>
      <c r="AI430" s="1811"/>
      <c r="AJ430" s="1811"/>
      <c r="AK430" s="1444"/>
      <c r="AL430" s="1444"/>
      <c r="AM430" s="1834"/>
      <c r="AN430" s="1834"/>
      <c r="AO430" s="1834"/>
      <c r="AP430" s="1834"/>
    </row>
    <row s="1834" customFormat="1" customHeight="1" ht="14.25">
      <c r="A431" s="667"/>
      <c r="B431" s="1459"/>
      <c r="C431" s="1459"/>
      <c r="D431" s="1459"/>
      <c r="E431" s="649">
        <v>15</v>
      </c>
      <c r="F431" s="50" cm="1" t="str">
        <f t="array" ref="F431:F431">OFFSET(E431,-1,1)</f>
        <v>4</v>
      </c>
      <c r="G431" s="1459"/>
      <c r="H431" s="488" t="s">
        <v>1186</v>
      </c>
      <c r="I431" s="1459"/>
      <c r="J431" s="1459"/>
      <c r="K431" s="1459"/>
      <c r="L431" s="1459"/>
      <c r="M431" s="1459"/>
      <c r="N431" s="1459"/>
      <c r="O431" s="1459"/>
      <c r="P431" s="1459"/>
      <c r="Q431" s="1459"/>
      <c r="R431" s="1459"/>
      <c r="S431" s="1459"/>
      <c r="T431" s="465" cm="1" t="str">
        <f t="array" ref="T431:T431">T430</f>
        <v>true</v>
      </c>
      <c r="U431" s="1459"/>
      <c r="V431" s="1459"/>
      <c r="W431" s="1459"/>
      <c r="X431" s="1596"/>
      <c r="Y431" s="1459"/>
      <c r="Z431" s="1597"/>
      <c r="AA431" s="1459"/>
      <c r="AB431" s="715" t="s">
        <v>1637</v>
      </c>
      <c r="AC431" s="554" t="s">
        <v>3078</v>
      </c>
      <c r="AD431" s="553" t="s">
        <v>1514</v>
      </c>
      <c r="AE431" s="557">
        <f>SUM(AE432:AE433)</f>
        <v>0</v>
      </c>
      <c r="AF431" s="1442"/>
      <c r="AG431" s="1442"/>
      <c r="AH431" s="1064" t="s">
        <v>3079</v>
      </c>
      <c r="AI431" s="1811"/>
      <c r="AJ431" s="1811"/>
      <c r="AK431" s="1444"/>
      <c r="AL431" s="1444"/>
      <c r="AM431" s="1834"/>
      <c r="AN431" s="1834"/>
      <c r="AO431" s="1834"/>
      <c r="AP431" s="1834"/>
    </row>
    <row s="1834" customFormat="1" customHeight="1" ht="14.25" hidden="1">
      <c r="A432" s="667"/>
      <c r="B432" s="1459"/>
      <c r="C432" s="1459"/>
      <c r="D432" s="1459"/>
      <c r="E432" s="649">
        <v>15</v>
      </c>
      <c r="F432" s="50" cm="1" t="str">
        <f t="array" ref="F432:F432">OFFSET(E432,-1,1)</f>
        <v>4</v>
      </c>
      <c r="G432" s="1459"/>
      <c r="H432" s="488" t="s">
        <v>1186</v>
      </c>
      <c r="I432" s="563" cm="1" t="str">
        <f t="array" ref="I432:I432">AC432</f>
        <v>0</v>
      </c>
      <c r="J432" s="1459"/>
      <c r="K432" s="1459"/>
      <c r="L432" s="1459"/>
      <c r="M432" s="1459"/>
      <c r="N432" s="1459"/>
      <c r="O432" s="1459"/>
      <c r="P432" s="1459"/>
      <c r="Q432" s="1459"/>
      <c r="R432" s="1459"/>
      <c r="S432" s="1459"/>
      <c r="T432" s="465">
        <f>AND(F432&gt;0,Y432&gt;0)</f>
        <v>0</v>
      </c>
      <c r="U432" s="1459"/>
      <c r="V432" s="1459"/>
      <c r="W432" s="555" t="s">
        <v>174</v>
      </c>
      <c r="X432" s="1596"/>
      <c r="Y432" s="488">
        <v>0</v>
      </c>
      <c r="Z432" s="1597"/>
      <c r="AA432" s="1276" t="s">
        <v>175</v>
      </c>
      <c r="AB432" s="714" t="str">
        <f>"1.4."&amp;Y432</f>
        <v>1.4.0</v>
      </c>
      <c r="AC432" s="8363"/>
      <c r="AD432" s="548" t="s">
        <v>1514</v>
      </c>
      <c r="AE432" s="8364"/>
      <c r="AF432" s="1442"/>
      <c r="AG432" s="1442"/>
      <c r="AH432" s="1064" t="s">
        <v>3079</v>
      </c>
      <c r="AI432" s="1001" t="s">
        <v>3080</v>
      </c>
      <c r="AJ432" s="1001" cm="1" t="str">
        <f t="array" ref="AJ432:AJ432">AC432</f>
        <v>0</v>
      </c>
      <c r="AK432" s="1444"/>
      <c r="AL432" s="656" t="b">
        <v>1</v>
      </c>
      <c r="AM432" s="1834"/>
      <c r="AN432" s="1834"/>
      <c r="AO432" s="1834"/>
      <c r="AP432" s="1834"/>
    </row>
    <row s="1834" customFormat="1" customHeight="1" ht="14.25">
      <c r="A433" s="667"/>
      <c r="B433" s="1459"/>
      <c r="C433" s="1459"/>
      <c r="D433" s="1459"/>
      <c r="E433" s="649">
        <v>15</v>
      </c>
      <c r="F433" s="50" cm="1" t="str">
        <f t="array" ref="F433:F433">OFFSET(E433,-1,1)</f>
        <v>4</v>
      </c>
      <c r="G433" s="1459"/>
      <c r="H433" s="1459"/>
      <c r="I433" s="1278" t="str">
        <f>"!== 'не определено' &amp;&amp; row.l1_4 !== null"</f>
        <v>!== 'не определено' &amp;&amp; row.l1_4 !== null</v>
      </c>
      <c r="J433" s="1459"/>
      <c r="K433" s="1459"/>
      <c r="L433" s="1459"/>
      <c r="M433" s="1459"/>
      <c r="N433" s="1459"/>
      <c r="O433" s="1459"/>
      <c r="P433" s="1459"/>
      <c r="Q433" s="1459"/>
      <c r="R433" s="1459"/>
      <c r="S433" s="1459"/>
      <c r="T433" s="465">
        <f>F433&gt;0</f>
        <v>1</v>
      </c>
      <c r="U433" s="1459"/>
      <c r="V433" s="1459"/>
      <c r="W433" s="1366" t="s">
        <v>399</v>
      </c>
      <c r="X433" s="1596"/>
      <c r="Y433" s="1459"/>
      <c r="Z433" s="1597"/>
      <c r="AA433" s="1459"/>
      <c r="AB433" s="1279"/>
      <c r="AC433" s="1280" t="s">
        <v>178</v>
      </c>
      <c r="AD433" s="1281"/>
      <c r="AE433" s="1333"/>
      <c r="AF433" s="1442"/>
      <c r="AG433" s="1442"/>
      <c r="AH433" s="1811"/>
      <c r="AI433" s="1811"/>
      <c r="AJ433" s="1811"/>
      <c r="AK433" s="656" t="s">
        <v>3080</v>
      </c>
      <c r="AL433" s="1444"/>
      <c r="AM433" s="1834"/>
      <c r="AN433" s="1834"/>
      <c r="AO433" s="1834"/>
      <c r="AP433" s="1834"/>
    </row>
    <row s="1834" customFormat="1" customHeight="1" ht="14.25">
      <c r="A434" s="667"/>
      <c r="B434" s="1459"/>
      <c r="C434" s="1459"/>
      <c r="D434" s="1459"/>
      <c r="E434" s="649">
        <v>15</v>
      </c>
      <c r="F434" s="50" cm="1" t="str">
        <f t="array" ref="F434:F434">OFFSET(E434,-1,1)</f>
        <v>4</v>
      </c>
      <c r="G434" s="1459"/>
      <c r="H434" s="488" t="s">
        <v>333</v>
      </c>
      <c r="I434" s="1459"/>
      <c r="J434" s="1459"/>
      <c r="K434" s="1459"/>
      <c r="L434" s="1459"/>
      <c r="M434" s="1459"/>
      <c r="N434" s="1459"/>
      <c r="O434" s="1459"/>
      <c r="P434" s="1459"/>
      <c r="Q434" s="1459"/>
      <c r="R434" s="1459"/>
      <c r="S434" s="1459"/>
      <c r="T434" s="465" cm="1" t="str">
        <f t="array" ref="T434:T434">T433</f>
        <v>true</v>
      </c>
      <c r="U434" s="1459"/>
      <c r="V434" s="1459"/>
      <c r="W434" s="1459"/>
      <c r="X434" s="1596"/>
      <c r="Y434" s="1459"/>
      <c r="Z434" s="1597"/>
      <c r="AA434" s="1459"/>
      <c r="AB434" s="713" t="s">
        <v>285</v>
      </c>
      <c r="AC434" s="545" t="s">
        <v>2733</v>
      </c>
      <c r="AD434" s="546" t="s">
        <v>1514</v>
      </c>
      <c r="AE434" s="557">
        <f>AE435+AE447+AE448+AE458+AE459+AE460+AE463+AE464+AE465+AE466+AE467+AE468</f>
        <v>0</v>
      </c>
      <c r="AF434" s="1442"/>
      <c r="AG434" s="1442"/>
      <c r="AH434" s="1001" t="s">
        <v>3081</v>
      </c>
      <c r="AI434" s="1811"/>
      <c r="AJ434" s="1811"/>
      <c r="AK434" s="1444"/>
      <c r="AL434" s="1444"/>
      <c r="AM434" s="1834"/>
      <c r="AN434" s="1834"/>
      <c r="AO434" s="1834"/>
      <c r="AP434" s="1834"/>
    </row>
    <row s="1806" customFormat="1" customHeight="1" ht="26.25">
      <c r="A435" s="667"/>
      <c r="B435" s="488"/>
      <c r="C435" s="488"/>
      <c r="D435" s="488"/>
      <c r="E435" s="649">
        <v>27</v>
      </c>
      <c r="F435" s="523" cm="1" t="str">
        <f t="array" ref="F435:F435">OFFSET(E435,-1,1)</f>
        <v>4</v>
      </c>
      <c r="G435" s="488"/>
      <c r="H435" s="488"/>
      <c r="I435" s="488"/>
      <c r="J435" s="488"/>
      <c r="K435" s="488"/>
      <c r="L435" s="488"/>
      <c r="M435" s="488"/>
      <c r="N435" s="488"/>
      <c r="O435" s="488"/>
      <c r="P435" s="488"/>
      <c r="Q435" s="488"/>
      <c r="R435" s="488"/>
      <c r="S435" s="488"/>
      <c r="T435" s="465" cm="1" t="str">
        <f t="array" ref="T435:T435">T434</f>
        <v>true</v>
      </c>
      <c r="U435" s="488"/>
      <c r="V435" s="488"/>
      <c r="W435" s="488"/>
      <c r="X435" s="1596"/>
      <c r="Y435" s="488"/>
      <c r="Z435" s="1597"/>
      <c r="AA435" s="488"/>
      <c r="AB435" s="1270" t="s">
        <v>1250</v>
      </c>
      <c r="AC435" s="1282" t="s">
        <v>2735</v>
      </c>
      <c r="AD435" s="1269" t="s">
        <v>1514</v>
      </c>
      <c r="AE435" s="557">
        <f>SUM(AE436:AE446)</f>
        <v>0</v>
      </c>
      <c r="AF435" s="1108"/>
      <c r="AG435" s="1108"/>
      <c r="AH435" s="1064" t="s">
        <v>1966</v>
      </c>
      <c r="AI435" s="1058"/>
      <c r="AJ435" s="1058"/>
      <c r="AK435" s="965"/>
      <c r="AL435" s="965"/>
      <c r="AM435" s="1806"/>
      <c r="AN435" s="1806"/>
      <c r="AO435" s="1806"/>
      <c r="AP435" s="1806"/>
    </row>
    <row s="1806" customFormat="1" customHeight="1" ht="14.25">
      <c r="A436" s="667"/>
      <c r="B436" s="488"/>
      <c r="C436" s="488"/>
      <c r="D436" s="488"/>
      <c r="E436" s="649">
        <v>15</v>
      </c>
      <c r="F436" s="523" cm="1" t="str">
        <f t="array" ref="F436:F436">OFFSET(E436,-1,1)</f>
        <v>4</v>
      </c>
      <c r="G436" s="488"/>
      <c r="H436" s="488"/>
      <c r="I436" s="488"/>
      <c r="J436" s="488"/>
      <c r="K436" s="488"/>
      <c r="L436" s="488"/>
      <c r="M436" s="488"/>
      <c r="N436" s="488"/>
      <c r="O436" s="488"/>
      <c r="P436" s="488"/>
      <c r="Q436" s="488"/>
      <c r="R436" s="488"/>
      <c r="S436" s="488"/>
      <c r="T436" s="465" cm="1" t="str">
        <f t="array" ref="T436:T436">T435</f>
        <v>true</v>
      </c>
      <c r="U436" s="488"/>
      <c r="V436" s="488"/>
      <c r="W436" s="488"/>
      <c r="X436" s="1596"/>
      <c r="Y436" s="488"/>
      <c r="Z436" s="1597"/>
      <c r="AA436" s="488"/>
      <c r="AB436" s="1270" t="s">
        <v>1201</v>
      </c>
      <c r="AC436" s="1273" t="s">
        <v>2737</v>
      </c>
      <c r="AD436" s="1272" t="s">
        <v>1514</v>
      </c>
      <c r="AE436" s="558"/>
      <c r="AF436" s="1108"/>
      <c r="AG436" s="1108"/>
      <c r="AH436" s="1064" t="s">
        <v>3082</v>
      </c>
      <c r="AI436" s="1058"/>
      <c r="AJ436" s="1058"/>
      <c r="AK436" s="965"/>
      <c r="AL436" s="965"/>
      <c r="AM436" s="1806"/>
      <c r="AN436" s="1806"/>
      <c r="AO436" s="1806"/>
      <c r="AP436" s="1806"/>
    </row>
    <row s="1806" customFormat="1" customHeight="1" ht="14.25">
      <c r="A437" s="667"/>
      <c r="B437" s="488"/>
      <c r="C437" s="488"/>
      <c r="D437" s="488"/>
      <c r="E437" s="649">
        <v>15</v>
      </c>
      <c r="F437" s="523" cm="1" t="str">
        <f t="array" ref="F437:F437">OFFSET(E437,-1,1)</f>
        <v>4</v>
      </c>
      <c r="G437" s="488"/>
      <c r="H437" s="488"/>
      <c r="I437" s="488"/>
      <c r="J437" s="488"/>
      <c r="K437" s="488"/>
      <c r="L437" s="488"/>
      <c r="M437" s="488"/>
      <c r="N437" s="488"/>
      <c r="O437" s="488"/>
      <c r="P437" s="488"/>
      <c r="Q437" s="488"/>
      <c r="R437" s="488"/>
      <c r="S437" s="488"/>
      <c r="T437" s="465" cm="1" t="str">
        <f t="array" ref="T437:T437">T436</f>
        <v>true</v>
      </c>
      <c r="U437" s="488"/>
      <c r="V437" s="488"/>
      <c r="W437" s="488"/>
      <c r="X437" s="1596"/>
      <c r="Y437" s="488"/>
      <c r="Z437" s="1597"/>
      <c r="AA437" s="488"/>
      <c r="AB437" s="1270" t="s">
        <v>2738</v>
      </c>
      <c r="AC437" s="1273" t="s">
        <v>2739</v>
      </c>
      <c r="AD437" s="1272" t="s">
        <v>1514</v>
      </c>
      <c r="AE437" s="558"/>
      <c r="AF437" s="1108"/>
      <c r="AG437" s="1108"/>
      <c r="AH437" s="1064" t="s">
        <v>3083</v>
      </c>
      <c r="AI437" s="1058"/>
      <c r="AJ437" s="1058"/>
      <c r="AK437" s="965"/>
      <c r="AL437" s="965"/>
      <c r="AM437" s="1806"/>
      <c r="AN437" s="1806"/>
      <c r="AO437" s="1806"/>
      <c r="AP437" s="1806"/>
    </row>
    <row s="1806" customFormat="1" customHeight="1" ht="14.25">
      <c r="A438" s="667"/>
      <c r="B438" s="488"/>
      <c r="C438" s="488"/>
      <c r="D438" s="488"/>
      <c r="E438" s="649">
        <v>15</v>
      </c>
      <c r="F438" s="523" cm="1" t="str">
        <f t="array" ref="F438:F438">OFFSET(E438,-1,1)</f>
        <v>4</v>
      </c>
      <c r="G438" s="488"/>
      <c r="H438" s="488"/>
      <c r="I438" s="488"/>
      <c r="J438" s="488"/>
      <c r="K438" s="488"/>
      <c r="L438" s="488"/>
      <c r="M438" s="488"/>
      <c r="N438" s="488"/>
      <c r="O438" s="488"/>
      <c r="P438" s="488"/>
      <c r="Q438" s="488"/>
      <c r="R438" s="488"/>
      <c r="S438" s="488"/>
      <c r="T438" s="465" cm="1" t="str">
        <f t="array" ref="T438:T438">T437</f>
        <v>true</v>
      </c>
      <c r="U438" s="488"/>
      <c r="V438" s="488"/>
      <c r="W438" s="488"/>
      <c r="X438" s="1596"/>
      <c r="Y438" s="488"/>
      <c r="Z438" s="1597"/>
      <c r="AA438" s="488"/>
      <c r="AB438" s="1270" t="s">
        <v>2740</v>
      </c>
      <c r="AC438" s="1273" t="s">
        <v>2741</v>
      </c>
      <c r="AD438" s="1272" t="s">
        <v>1514</v>
      </c>
      <c r="AE438" s="558"/>
      <c r="AF438" s="1108"/>
      <c r="AG438" s="1108"/>
      <c r="AH438" s="1064" t="s">
        <v>3084</v>
      </c>
      <c r="AI438" s="1058"/>
      <c r="AJ438" s="1058"/>
      <c r="AK438" s="965"/>
      <c r="AL438" s="965"/>
      <c r="AM438" s="1806"/>
      <c r="AN438" s="1806"/>
      <c r="AO438" s="1806"/>
      <c r="AP438" s="1806"/>
    </row>
    <row s="1806" customFormat="1" customHeight="1" ht="14.25">
      <c r="A439" s="667"/>
      <c r="B439" s="488"/>
      <c r="C439" s="488"/>
      <c r="D439" s="488"/>
      <c r="E439" s="649">
        <v>15</v>
      </c>
      <c r="F439" s="523" cm="1" t="str">
        <f t="array" ref="F439:F439">OFFSET(E439,-1,1)</f>
        <v>4</v>
      </c>
      <c r="G439" s="488"/>
      <c r="H439" s="488"/>
      <c r="I439" s="488"/>
      <c r="J439" s="488"/>
      <c r="K439" s="488"/>
      <c r="L439" s="488"/>
      <c r="M439" s="488"/>
      <c r="N439" s="488"/>
      <c r="O439" s="488"/>
      <c r="P439" s="488"/>
      <c r="Q439" s="488"/>
      <c r="R439" s="488"/>
      <c r="S439" s="488"/>
      <c r="T439" s="465" cm="1" t="str">
        <f t="array" ref="T439:T439">T438</f>
        <v>true</v>
      </c>
      <c r="U439" s="488"/>
      <c r="V439" s="488"/>
      <c r="W439" s="488"/>
      <c r="X439" s="1596"/>
      <c r="Y439" s="488"/>
      <c r="Z439" s="1597"/>
      <c r="AA439" s="488"/>
      <c r="AB439" s="1270" t="s">
        <v>2743</v>
      </c>
      <c r="AC439" s="1273" t="s">
        <v>2744</v>
      </c>
      <c r="AD439" s="1272" t="s">
        <v>1514</v>
      </c>
      <c r="AE439" s="558"/>
      <c r="AF439" s="1108"/>
      <c r="AG439" s="1108"/>
      <c r="AH439" s="1064" t="s">
        <v>3085</v>
      </c>
      <c r="AI439" s="1058"/>
      <c r="AJ439" s="1058"/>
      <c r="AK439" s="965"/>
      <c r="AL439" s="965"/>
      <c r="AM439" s="1806"/>
      <c r="AN439" s="1806"/>
      <c r="AO439" s="1806"/>
      <c r="AP439" s="1806"/>
    </row>
    <row s="1806" customFormat="1" customHeight="1" ht="14.25">
      <c r="A440" s="667"/>
      <c r="B440" s="488"/>
      <c r="C440" s="488"/>
      <c r="D440" s="488"/>
      <c r="E440" s="649">
        <v>15</v>
      </c>
      <c r="F440" s="523" cm="1" t="str">
        <f t="array" ref="F440:F440">OFFSET(E440,-1,1)</f>
        <v>4</v>
      </c>
      <c r="G440" s="488"/>
      <c r="H440" s="488"/>
      <c r="I440" s="488"/>
      <c r="J440" s="488"/>
      <c r="K440" s="488"/>
      <c r="L440" s="488"/>
      <c r="M440" s="488"/>
      <c r="N440" s="488"/>
      <c r="O440" s="488"/>
      <c r="P440" s="488"/>
      <c r="Q440" s="488"/>
      <c r="R440" s="488"/>
      <c r="S440" s="488"/>
      <c r="T440" s="465" cm="1" t="str">
        <f t="array" ref="T440:T440">T439</f>
        <v>true</v>
      </c>
      <c r="U440" s="488"/>
      <c r="V440" s="488"/>
      <c r="W440" s="488"/>
      <c r="X440" s="1596"/>
      <c r="Y440" s="488"/>
      <c r="Z440" s="1597"/>
      <c r="AA440" s="488"/>
      <c r="AB440" s="1270" t="s">
        <v>2746</v>
      </c>
      <c r="AC440" s="1273" t="s">
        <v>2747</v>
      </c>
      <c r="AD440" s="1272" t="s">
        <v>1514</v>
      </c>
      <c r="AE440" s="558"/>
      <c r="AF440" s="1108"/>
      <c r="AG440" s="1108"/>
      <c r="AH440" s="1064" t="s">
        <v>3086</v>
      </c>
      <c r="AI440" s="1058"/>
      <c r="AJ440" s="1058"/>
      <c r="AK440" s="965"/>
      <c r="AL440" s="965"/>
      <c r="AM440" s="1806"/>
      <c r="AN440" s="1806"/>
      <c r="AO440" s="1806"/>
      <c r="AP440" s="1806"/>
    </row>
    <row s="1806" customFormat="1" customHeight="1" ht="26.25">
      <c r="A441" s="667"/>
      <c r="B441" s="488"/>
      <c r="C441" s="488"/>
      <c r="D441" s="488"/>
      <c r="E441" s="649">
        <v>27</v>
      </c>
      <c r="F441" s="523" cm="1" t="str">
        <f t="array" ref="F441:F441">OFFSET(E441,-1,1)</f>
        <v>4</v>
      </c>
      <c r="G441" s="488"/>
      <c r="H441" s="488"/>
      <c r="I441" s="488"/>
      <c r="J441" s="488"/>
      <c r="K441" s="488"/>
      <c r="L441" s="488"/>
      <c r="M441" s="488"/>
      <c r="N441" s="488"/>
      <c r="O441" s="488"/>
      <c r="P441" s="488"/>
      <c r="Q441" s="488"/>
      <c r="R441" s="488"/>
      <c r="S441" s="488"/>
      <c r="T441" s="465" cm="1" t="str">
        <f t="array" ref="T441:T441">T440</f>
        <v>true</v>
      </c>
      <c r="U441" s="488"/>
      <c r="V441" s="488"/>
      <c r="W441" s="488"/>
      <c r="X441" s="1596"/>
      <c r="Y441" s="488"/>
      <c r="Z441" s="1597"/>
      <c r="AA441" s="488"/>
      <c r="AB441" s="1270" t="s">
        <v>2749</v>
      </c>
      <c r="AC441" s="1273" t="s">
        <v>2750</v>
      </c>
      <c r="AD441" s="1272" t="s">
        <v>1514</v>
      </c>
      <c r="AE441" s="558"/>
      <c r="AF441" s="1108"/>
      <c r="AG441" s="1108"/>
      <c r="AH441" s="1064" t="s">
        <v>3087</v>
      </c>
      <c r="AI441" s="1058"/>
      <c r="AJ441" s="1058"/>
      <c r="AK441" s="965"/>
      <c r="AL441" s="965"/>
      <c r="AM441" s="1806"/>
      <c r="AN441" s="1806"/>
      <c r="AO441" s="1806"/>
      <c r="AP441" s="1806"/>
    </row>
    <row s="1806" customFormat="1" customHeight="1" ht="14.25">
      <c r="A442" s="667"/>
      <c r="B442" s="488"/>
      <c r="C442" s="488"/>
      <c r="D442" s="488"/>
      <c r="E442" s="649">
        <v>15</v>
      </c>
      <c r="F442" s="523" cm="1" t="str">
        <f t="array" ref="F442:F442">OFFSET(E442,-1,1)</f>
        <v>4</v>
      </c>
      <c r="G442" s="488"/>
      <c r="H442" s="488"/>
      <c r="I442" s="488"/>
      <c r="J442" s="488"/>
      <c r="K442" s="488"/>
      <c r="L442" s="488"/>
      <c r="M442" s="488"/>
      <c r="N442" s="488"/>
      <c r="O442" s="488"/>
      <c r="P442" s="488"/>
      <c r="Q442" s="488"/>
      <c r="R442" s="488"/>
      <c r="S442" s="488"/>
      <c r="T442" s="465" cm="1" t="str">
        <f t="array" ref="T442:T442">T441</f>
        <v>true</v>
      </c>
      <c r="U442" s="488"/>
      <c r="V442" s="488"/>
      <c r="W442" s="488"/>
      <c r="X442" s="1596"/>
      <c r="Y442" s="488"/>
      <c r="Z442" s="1597"/>
      <c r="AA442" s="488"/>
      <c r="AB442" s="1270" t="s">
        <v>2753</v>
      </c>
      <c r="AC442" s="1273" t="s">
        <v>2754</v>
      </c>
      <c r="AD442" s="1272" t="s">
        <v>1514</v>
      </c>
      <c r="AE442" s="558"/>
      <c r="AF442" s="1108"/>
      <c r="AG442" s="1108"/>
      <c r="AH442" s="1064" t="s">
        <v>3088</v>
      </c>
      <c r="AI442" s="1058"/>
      <c r="AJ442" s="1058"/>
      <c r="AK442" s="965"/>
      <c r="AL442" s="965"/>
      <c r="AM442" s="1806"/>
      <c r="AN442" s="1806"/>
      <c r="AO442" s="1806"/>
      <c r="AP442" s="1806"/>
    </row>
    <row s="1806" customFormat="1" customHeight="1" ht="14.25">
      <c r="A443" s="667"/>
      <c r="B443" s="488"/>
      <c r="C443" s="488"/>
      <c r="D443" s="488"/>
      <c r="E443" s="649">
        <v>15</v>
      </c>
      <c r="F443" s="523" cm="1" t="str">
        <f t="array" ref="F443:F443">OFFSET(E443,-1,1)</f>
        <v>4</v>
      </c>
      <c r="G443" s="488"/>
      <c r="H443" s="488"/>
      <c r="I443" s="488"/>
      <c r="J443" s="488"/>
      <c r="K443" s="488"/>
      <c r="L443" s="488"/>
      <c r="M443" s="488"/>
      <c r="N443" s="488"/>
      <c r="O443" s="488"/>
      <c r="P443" s="488"/>
      <c r="Q443" s="488"/>
      <c r="R443" s="488"/>
      <c r="S443" s="488"/>
      <c r="T443" s="465" cm="1" t="str">
        <f t="array" ref="T443:T443">T442</f>
        <v>true</v>
      </c>
      <c r="U443" s="488"/>
      <c r="V443" s="488"/>
      <c r="W443" s="488"/>
      <c r="X443" s="1596"/>
      <c r="Y443" s="488"/>
      <c r="Z443" s="1597"/>
      <c r="AA443" s="488"/>
      <c r="AB443" s="1270" t="s">
        <v>2757</v>
      </c>
      <c r="AC443" s="1273" t="s">
        <v>2758</v>
      </c>
      <c r="AD443" s="1272" t="s">
        <v>1514</v>
      </c>
      <c r="AE443" s="558"/>
      <c r="AF443" s="1108"/>
      <c r="AG443" s="1108"/>
      <c r="AH443" s="1064" t="s">
        <v>3089</v>
      </c>
      <c r="AI443" s="1058"/>
      <c r="AJ443" s="1058"/>
      <c r="AK443" s="965"/>
      <c r="AL443" s="965"/>
      <c r="AM443" s="1806"/>
      <c r="AN443" s="1806"/>
      <c r="AO443" s="1806"/>
      <c r="AP443" s="1806"/>
    </row>
    <row s="1806" customFormat="1" customHeight="1" ht="14.25">
      <c r="A444" s="667"/>
      <c r="B444" s="488"/>
      <c r="C444" s="488"/>
      <c r="D444" s="488"/>
      <c r="E444" s="649">
        <v>15</v>
      </c>
      <c r="F444" s="523" cm="1" t="str">
        <f t="array" ref="F444:F444">OFFSET(E444,-1,1)</f>
        <v>4</v>
      </c>
      <c r="G444" s="488"/>
      <c r="H444" s="488"/>
      <c r="I444" s="488"/>
      <c r="J444" s="488"/>
      <c r="K444" s="488"/>
      <c r="L444" s="488"/>
      <c r="M444" s="488"/>
      <c r="N444" s="488"/>
      <c r="O444" s="488"/>
      <c r="P444" s="488"/>
      <c r="Q444" s="488"/>
      <c r="R444" s="488"/>
      <c r="S444" s="488"/>
      <c r="T444" s="465" cm="1" t="str">
        <f t="array" ref="T444:T444">T443</f>
        <v>true</v>
      </c>
      <c r="U444" s="488"/>
      <c r="V444" s="488"/>
      <c r="W444" s="488"/>
      <c r="X444" s="1596"/>
      <c r="Y444" s="488"/>
      <c r="Z444" s="1597"/>
      <c r="AA444" s="488"/>
      <c r="AB444" s="1270" t="s">
        <v>2760</v>
      </c>
      <c r="AC444" s="1273" t="s">
        <v>2761</v>
      </c>
      <c r="AD444" s="1272" t="s">
        <v>1514</v>
      </c>
      <c r="AE444" s="558"/>
      <c r="AF444" s="1108"/>
      <c r="AG444" s="1108"/>
      <c r="AH444" s="1064" t="s">
        <v>3090</v>
      </c>
      <c r="AI444" s="1058"/>
      <c r="AJ444" s="1058"/>
      <c r="AK444" s="965"/>
      <c r="AL444" s="965"/>
      <c r="AM444" s="1806"/>
      <c r="AN444" s="1806"/>
      <c r="AO444" s="1806"/>
      <c r="AP444" s="1806"/>
    </row>
    <row s="1806" customFormat="1" customHeight="1" ht="14.25">
      <c r="A445" s="667"/>
      <c r="B445" s="488"/>
      <c r="C445" s="488"/>
      <c r="D445" s="488"/>
      <c r="E445" s="649">
        <v>15</v>
      </c>
      <c r="F445" s="523" cm="1" t="str">
        <f t="array" ref="F445:F445">OFFSET(E445,-1,1)</f>
        <v>4</v>
      </c>
      <c r="G445" s="488"/>
      <c r="H445" s="488"/>
      <c r="I445" s="488"/>
      <c r="J445" s="488"/>
      <c r="K445" s="488"/>
      <c r="L445" s="488"/>
      <c r="M445" s="488"/>
      <c r="N445" s="488"/>
      <c r="O445" s="488"/>
      <c r="P445" s="488"/>
      <c r="Q445" s="488"/>
      <c r="R445" s="488"/>
      <c r="S445" s="488"/>
      <c r="T445" s="465" cm="1" t="str">
        <f t="array" ref="T445:T445">T444</f>
        <v>true</v>
      </c>
      <c r="U445" s="488"/>
      <c r="V445" s="488"/>
      <c r="W445" s="488"/>
      <c r="X445" s="1596"/>
      <c r="Y445" s="488"/>
      <c r="Z445" s="1597"/>
      <c r="AA445" s="488"/>
      <c r="AB445" s="1270" t="s">
        <v>2763</v>
      </c>
      <c r="AC445" s="1273" t="s">
        <v>2764</v>
      </c>
      <c r="AD445" s="1272" t="s">
        <v>1514</v>
      </c>
      <c r="AE445" s="558"/>
      <c r="AF445" s="1108"/>
      <c r="AG445" s="1108"/>
      <c r="AH445" s="1064" t="s">
        <v>3091</v>
      </c>
      <c r="AI445" s="1058"/>
      <c r="AJ445" s="1058"/>
      <c r="AK445" s="965"/>
      <c r="AL445" s="965"/>
      <c r="AM445" s="1806"/>
      <c r="AN445" s="1806"/>
      <c r="AO445" s="1806"/>
      <c r="AP445" s="1806"/>
    </row>
    <row s="1806" customFormat="1" customHeight="1" ht="14.25">
      <c r="A446" s="667"/>
      <c r="B446" s="488"/>
      <c r="C446" s="488"/>
      <c r="D446" s="488"/>
      <c r="E446" s="649">
        <v>15</v>
      </c>
      <c r="F446" s="523" cm="1" t="str">
        <f t="array" ref="F446:F446">OFFSET(E446,-1,1)</f>
        <v>4</v>
      </c>
      <c r="G446" s="488"/>
      <c r="H446" s="488"/>
      <c r="I446" s="488"/>
      <c r="J446" s="488"/>
      <c r="K446" s="488"/>
      <c r="L446" s="488"/>
      <c r="M446" s="488"/>
      <c r="N446" s="488"/>
      <c r="O446" s="488"/>
      <c r="P446" s="488"/>
      <c r="Q446" s="488"/>
      <c r="R446" s="488"/>
      <c r="S446" s="488"/>
      <c r="T446" s="465" cm="1" t="str">
        <f t="array" ref="T446:T446">T445</f>
        <v>true</v>
      </c>
      <c r="U446" s="488"/>
      <c r="V446" s="488"/>
      <c r="W446" s="488"/>
      <c r="X446" s="1596"/>
      <c r="Y446" s="488"/>
      <c r="Z446" s="1597"/>
      <c r="AA446" s="488"/>
      <c r="AB446" s="1270" t="s">
        <v>2765</v>
      </c>
      <c r="AC446" s="1273" t="s">
        <v>2766</v>
      </c>
      <c r="AD446" s="1272" t="s">
        <v>1514</v>
      </c>
      <c r="AE446" s="558"/>
      <c r="AF446" s="1108"/>
      <c r="AG446" s="1108"/>
      <c r="AH446" s="1064" t="s">
        <v>3092</v>
      </c>
      <c r="AI446" s="1058"/>
      <c r="AJ446" s="1058"/>
      <c r="AK446" s="965"/>
      <c r="AL446" s="965"/>
      <c r="AM446" s="1806"/>
      <c r="AN446" s="1806"/>
      <c r="AO446" s="1806"/>
      <c r="AP446" s="1806"/>
    </row>
    <row s="1806" customFormat="1" customHeight="1" ht="14.25">
      <c r="A447" s="667"/>
      <c r="B447" s="488"/>
      <c r="C447" s="488"/>
      <c r="D447" s="488"/>
      <c r="E447" s="649">
        <v>15</v>
      </c>
      <c r="F447" s="523" cm="1" t="str">
        <f t="array" ref="F447:F447">OFFSET(E447,-1,1)</f>
        <v>4</v>
      </c>
      <c r="G447" s="488"/>
      <c r="H447" s="488"/>
      <c r="I447" s="488"/>
      <c r="J447" s="488"/>
      <c r="K447" s="488"/>
      <c r="L447" s="488"/>
      <c r="M447" s="488"/>
      <c r="N447" s="488"/>
      <c r="O447" s="488"/>
      <c r="P447" s="488"/>
      <c r="Q447" s="488"/>
      <c r="R447" s="488"/>
      <c r="S447" s="488"/>
      <c r="T447" s="465" cm="1" t="str">
        <f t="array" ref="T447:T447">T446</f>
        <v>true</v>
      </c>
      <c r="U447" s="488"/>
      <c r="V447" s="488"/>
      <c r="W447" s="488"/>
      <c r="X447" s="1596"/>
      <c r="Y447" s="488"/>
      <c r="Z447" s="1597"/>
      <c r="AA447" s="488"/>
      <c r="AB447" s="1270" t="s">
        <v>1254</v>
      </c>
      <c r="AC447" s="1271" t="s">
        <v>2767</v>
      </c>
      <c r="AD447" s="1272" t="s">
        <v>1514</v>
      </c>
      <c r="AE447" s="558"/>
      <c r="AF447" s="1108"/>
      <c r="AG447" s="1108"/>
      <c r="AH447" s="1064" t="s">
        <v>3093</v>
      </c>
      <c r="AI447" s="1058"/>
      <c r="AJ447" s="1058"/>
      <c r="AK447" s="965"/>
      <c r="AL447" s="965"/>
      <c r="AM447" s="1806"/>
      <c r="AN447" s="1806"/>
      <c r="AO447" s="1806"/>
      <c r="AP447" s="1806"/>
    </row>
    <row s="1834" customFormat="1" customHeight="1" ht="14.25">
      <c r="A448" s="667"/>
      <c r="B448" s="1459"/>
      <c r="C448" s="1459"/>
      <c r="D448" s="1459"/>
      <c r="E448" s="649">
        <v>15</v>
      </c>
      <c r="F448" s="50" cm="1" t="str">
        <f t="array" ref="F448:F448">OFFSET(E448,-1,1)</f>
        <v>4</v>
      </c>
      <c r="G448" s="1459"/>
      <c r="H448" s="488" t="s">
        <v>1196</v>
      </c>
      <c r="I448" s="1459"/>
      <c r="J448" s="1459"/>
      <c r="K448" s="1459"/>
      <c r="L448" s="1459"/>
      <c r="M448" s="1459"/>
      <c r="N448" s="1459"/>
      <c r="O448" s="1459"/>
      <c r="P448" s="1459"/>
      <c r="Q448" s="1459"/>
      <c r="R448" s="1459"/>
      <c r="S448" s="1459"/>
      <c r="T448" s="465" cm="1" t="str">
        <f t="array" ref="T448:T448">T434</f>
        <v>true</v>
      </c>
      <c r="U448" s="1459"/>
      <c r="V448" s="1459"/>
      <c r="W448" s="1459"/>
      <c r="X448" s="1596"/>
      <c r="Y448" s="1459"/>
      <c r="Z448" s="1597"/>
      <c r="AA448" s="1459"/>
      <c r="AB448" s="714" t="s">
        <v>1258</v>
      </c>
      <c r="AC448" s="547" t="s">
        <v>3094</v>
      </c>
      <c r="AD448" s="548" t="s">
        <v>1514</v>
      </c>
      <c r="AE448" s="557">
        <f>SUM(AE449:AE457)</f>
        <v>0</v>
      </c>
      <c r="AF448" s="1442"/>
      <c r="AG448" s="1442"/>
      <c r="AH448" s="1070" t="s">
        <v>1999</v>
      </c>
      <c r="AI448" s="1811"/>
      <c r="AJ448" s="1811"/>
      <c r="AK448" s="1444"/>
      <c r="AL448" s="1444"/>
      <c r="AM448" s="1834"/>
      <c r="AN448" s="1834"/>
      <c r="AO448" s="1834"/>
      <c r="AP448" s="1834"/>
    </row>
    <row s="1834" customFormat="1" customHeight="1" ht="14.25">
      <c r="A449" s="667"/>
      <c r="B449" s="1459"/>
      <c r="C449" s="1459"/>
      <c r="D449" s="1459"/>
      <c r="E449" s="649">
        <v>15</v>
      </c>
      <c r="F449" s="50" cm="1" t="str">
        <f t="array" ref="F449:F449">OFFSET(E449,-1,1)</f>
        <v>4</v>
      </c>
      <c r="G449" s="1459"/>
      <c r="H449" s="488" t="s">
        <v>2507</v>
      </c>
      <c r="I449" s="1459"/>
      <c r="J449" s="1459"/>
      <c r="K449" s="1459"/>
      <c r="L449" s="1459"/>
      <c r="M449" s="1459"/>
      <c r="N449" s="1459"/>
      <c r="O449" s="1459"/>
      <c r="P449" s="1459"/>
      <c r="Q449" s="1459"/>
      <c r="R449" s="1459"/>
      <c r="S449" s="1459"/>
      <c r="T449" s="465" cm="1" t="str">
        <f t="array" ref="T449:T449">T448</f>
        <v>true</v>
      </c>
      <c r="U449" s="1459"/>
      <c r="V449" s="1459"/>
      <c r="W449" s="1459"/>
      <c r="X449" s="1596"/>
      <c r="Y449" s="1459"/>
      <c r="Z449" s="1597"/>
      <c r="AA449" s="1459"/>
      <c r="AB449" s="714" t="s">
        <v>1212</v>
      </c>
      <c r="AC449" s="549" t="s">
        <v>2014</v>
      </c>
      <c r="AD449" s="548" t="s">
        <v>1514</v>
      </c>
      <c r="AE449" s="1332"/>
      <c r="AF449" s="1442"/>
      <c r="AG449" s="1442"/>
      <c r="AH449" s="1064" t="s">
        <v>2770</v>
      </c>
      <c r="AI449" s="1811"/>
      <c r="AJ449" s="1811"/>
      <c r="AK449" s="1444"/>
      <c r="AL449" s="1444"/>
      <c r="AM449" s="1834"/>
      <c r="AN449" s="1834"/>
      <c r="AO449" s="1834"/>
      <c r="AP449" s="1834"/>
    </row>
    <row s="1834" customFormat="1" customHeight="1" ht="14.25">
      <c r="A450" s="667"/>
      <c r="B450" s="1459"/>
      <c r="C450" s="1459"/>
      <c r="D450" s="1459"/>
      <c r="E450" s="649">
        <v>15</v>
      </c>
      <c r="F450" s="50" cm="1" t="str">
        <f t="array" ref="F450:F450">OFFSET(E450,-1,1)</f>
        <v>4</v>
      </c>
      <c r="G450" s="1459"/>
      <c r="H450" s="488" t="s">
        <v>2510</v>
      </c>
      <c r="I450" s="1459"/>
      <c r="J450" s="1459"/>
      <c r="K450" s="1459"/>
      <c r="L450" s="1459"/>
      <c r="M450" s="1459"/>
      <c r="N450" s="1459"/>
      <c r="O450" s="1459"/>
      <c r="P450" s="1459"/>
      <c r="Q450" s="1459"/>
      <c r="R450" s="1459"/>
      <c r="S450" s="1459"/>
      <c r="T450" s="465" cm="1" t="str">
        <f t="array" ref="T450:T450">T449</f>
        <v>true</v>
      </c>
      <c r="U450" s="1459"/>
      <c r="V450" s="1459"/>
      <c r="W450" s="1459"/>
      <c r="X450" s="1596"/>
      <c r="Y450" s="1459"/>
      <c r="Z450" s="1597"/>
      <c r="AA450" s="1459"/>
      <c r="AB450" s="714" t="s">
        <v>2225</v>
      </c>
      <c r="AC450" s="549" t="s">
        <v>3095</v>
      </c>
      <c r="AD450" s="548" t="s">
        <v>1514</v>
      </c>
      <c r="AE450" s="1332"/>
      <c r="AF450" s="1442"/>
      <c r="AG450" s="1442"/>
      <c r="AH450" s="1064" t="s">
        <v>2773</v>
      </c>
      <c r="AI450" s="1811"/>
      <c r="AJ450" s="1811"/>
      <c r="AK450" s="1444"/>
      <c r="AL450" s="1444"/>
      <c r="AM450" s="1834"/>
      <c r="AN450" s="1834"/>
      <c r="AO450" s="1834"/>
      <c r="AP450" s="1834"/>
    </row>
    <row s="1834" customFormat="1" customHeight="1" ht="14.25">
      <c r="A451" s="667"/>
      <c r="B451" s="1459"/>
      <c r="C451" s="1459"/>
      <c r="D451" s="1459"/>
      <c r="E451" s="649">
        <v>15</v>
      </c>
      <c r="F451" s="50" cm="1" t="str">
        <f t="array" ref="F451:F451">OFFSET(E451,-1,1)</f>
        <v>4</v>
      </c>
      <c r="G451" s="1459"/>
      <c r="H451" s="488" t="s">
        <v>3096</v>
      </c>
      <c r="I451" s="1459"/>
      <c r="J451" s="1459"/>
      <c r="K451" s="1459"/>
      <c r="L451" s="1459"/>
      <c r="M451" s="1459"/>
      <c r="N451" s="1459"/>
      <c r="O451" s="1459"/>
      <c r="P451" s="1459"/>
      <c r="Q451" s="1459"/>
      <c r="R451" s="1459"/>
      <c r="S451" s="1459"/>
      <c r="T451" s="465" cm="1" t="str">
        <f t="array" ref="T451:T451">T450</f>
        <v>true</v>
      </c>
      <c r="U451" s="1459"/>
      <c r="V451" s="1459"/>
      <c r="W451" s="1459"/>
      <c r="X451" s="1596"/>
      <c r="Y451" s="1459"/>
      <c r="Z451" s="1597"/>
      <c r="AA451" s="1459"/>
      <c r="AB451" s="714" t="s">
        <v>2230</v>
      </c>
      <c r="AC451" s="549" t="s">
        <v>3097</v>
      </c>
      <c r="AD451" s="548" t="s">
        <v>1514</v>
      </c>
      <c r="AE451" s="1332"/>
      <c r="AF451" s="1442"/>
      <c r="AG451" s="1442"/>
      <c r="AH451" s="1064" t="s">
        <v>2776</v>
      </c>
      <c r="AI451" s="1811"/>
      <c r="AJ451" s="1811"/>
      <c r="AK451" s="1444"/>
      <c r="AL451" s="1444"/>
      <c r="AM451" s="1834"/>
      <c r="AN451" s="1834"/>
      <c r="AO451" s="1834"/>
      <c r="AP451" s="1834"/>
    </row>
    <row s="1834" customFormat="1" customHeight="1" ht="14.25">
      <c r="A452" s="667"/>
      <c r="B452" s="1459"/>
      <c r="C452" s="1459"/>
      <c r="D452" s="1459"/>
      <c r="E452" s="649">
        <v>15</v>
      </c>
      <c r="F452" s="50" cm="1" t="str">
        <f t="array" ref="F452:F452">OFFSET(E452,-1,1)</f>
        <v>4</v>
      </c>
      <c r="G452" s="1459"/>
      <c r="H452" s="488" t="s">
        <v>3098</v>
      </c>
      <c r="I452" s="1459"/>
      <c r="J452" s="1459"/>
      <c r="K452" s="1459"/>
      <c r="L452" s="1459"/>
      <c r="M452" s="1459"/>
      <c r="N452" s="1459"/>
      <c r="O452" s="1459"/>
      <c r="P452" s="1459"/>
      <c r="Q452" s="1459"/>
      <c r="R452" s="1459"/>
      <c r="S452" s="1459"/>
      <c r="T452" s="465" cm="1" t="str">
        <f t="array" ref="T452:T452">T451</f>
        <v>true</v>
      </c>
      <c r="U452" s="1459"/>
      <c r="V452" s="1459"/>
      <c r="W452" s="1459"/>
      <c r="X452" s="1596"/>
      <c r="Y452" s="1459"/>
      <c r="Z452" s="1597"/>
      <c r="AA452" s="1459"/>
      <c r="AB452" s="714" t="s">
        <v>2778</v>
      </c>
      <c r="AC452" s="549" t="s">
        <v>2007</v>
      </c>
      <c r="AD452" s="548" t="s">
        <v>1514</v>
      </c>
      <c r="AE452" s="1332"/>
      <c r="AF452" s="1442"/>
      <c r="AG452" s="1442"/>
      <c r="AH452" s="1064" t="s">
        <v>2780</v>
      </c>
      <c r="AI452" s="1811"/>
      <c r="AJ452" s="1811"/>
      <c r="AK452" s="1444"/>
      <c r="AL452" s="1444"/>
      <c r="AM452" s="1834"/>
      <c r="AN452" s="1834"/>
      <c r="AO452" s="1834"/>
      <c r="AP452" s="1834"/>
    </row>
    <row s="1834" customFormat="1" customHeight="1" ht="14.25">
      <c r="A453" s="667"/>
      <c r="B453" s="1459"/>
      <c r="C453" s="1459"/>
      <c r="D453" s="1459"/>
      <c r="E453" s="649">
        <v>15</v>
      </c>
      <c r="F453" s="50" cm="1" t="str">
        <f t="array" ref="F453:F453">OFFSET(E453,-1,1)</f>
        <v>4</v>
      </c>
      <c r="G453" s="1459"/>
      <c r="H453" s="488" t="s">
        <v>3099</v>
      </c>
      <c r="I453" s="1459"/>
      <c r="J453" s="1459"/>
      <c r="K453" s="1459"/>
      <c r="L453" s="1459"/>
      <c r="M453" s="1459"/>
      <c r="N453" s="1459"/>
      <c r="O453" s="1459"/>
      <c r="P453" s="1459"/>
      <c r="Q453" s="1459"/>
      <c r="R453" s="1459"/>
      <c r="S453" s="1459"/>
      <c r="T453" s="465" cm="1" t="str">
        <f t="array" ref="T453:T453">T452</f>
        <v>true</v>
      </c>
      <c r="U453" s="1459"/>
      <c r="V453" s="1459"/>
      <c r="W453" s="1459"/>
      <c r="X453" s="1596"/>
      <c r="Y453" s="1459"/>
      <c r="Z453" s="1597"/>
      <c r="AA453" s="1459"/>
      <c r="AB453" s="714" t="s">
        <v>2782</v>
      </c>
      <c r="AC453" s="549" t="s">
        <v>2009</v>
      </c>
      <c r="AD453" s="548" t="s">
        <v>1514</v>
      </c>
      <c r="AE453" s="1332"/>
      <c r="AF453" s="1442"/>
      <c r="AG453" s="1442"/>
      <c r="AH453" s="1064" t="s">
        <v>2784</v>
      </c>
      <c r="AI453" s="1811"/>
      <c r="AJ453" s="1811"/>
      <c r="AK453" s="1444"/>
      <c r="AL453" s="1444"/>
      <c r="AM453" s="1834"/>
      <c r="AN453" s="1834"/>
      <c r="AO453" s="1834"/>
      <c r="AP453" s="1834"/>
    </row>
    <row s="1834" customFormat="1" customHeight="1" ht="14.25">
      <c r="A454" s="667"/>
      <c r="B454" s="1459"/>
      <c r="C454" s="1459"/>
      <c r="D454" s="1459"/>
      <c r="E454" s="649">
        <v>15</v>
      </c>
      <c r="F454" s="50" cm="1" t="str">
        <f t="array" ref="F454:F454">OFFSET(E454,-1,1)</f>
        <v>4</v>
      </c>
      <c r="G454" s="1459"/>
      <c r="H454" s="488" t="s">
        <v>3100</v>
      </c>
      <c r="I454" s="1459"/>
      <c r="J454" s="1459"/>
      <c r="K454" s="1459"/>
      <c r="L454" s="1459"/>
      <c r="M454" s="1459"/>
      <c r="N454" s="1459"/>
      <c r="O454" s="1459"/>
      <c r="P454" s="1459"/>
      <c r="Q454" s="1459"/>
      <c r="R454" s="1459"/>
      <c r="S454" s="1459"/>
      <c r="T454" s="465" cm="1" t="str">
        <f t="array" ref="T454:T454">T453</f>
        <v>true</v>
      </c>
      <c r="U454" s="1459"/>
      <c r="V454" s="1459"/>
      <c r="W454" s="1459"/>
      <c r="X454" s="1596"/>
      <c r="Y454" s="1459"/>
      <c r="Z454" s="1597"/>
      <c r="AA454" s="1459"/>
      <c r="AB454" s="714" t="s">
        <v>2786</v>
      </c>
      <c r="AC454" s="549" t="s">
        <v>2000</v>
      </c>
      <c r="AD454" s="548" t="s">
        <v>1514</v>
      </c>
      <c r="AE454" s="1332"/>
      <c r="AF454" s="1442"/>
      <c r="AG454" s="1442"/>
      <c r="AH454" s="1064" t="s">
        <v>2788</v>
      </c>
      <c r="AI454" s="1811"/>
      <c r="AJ454" s="1811"/>
      <c r="AK454" s="1444"/>
      <c r="AL454" s="1444"/>
      <c r="AM454" s="1834"/>
      <c r="AN454" s="1834"/>
      <c r="AO454" s="1834"/>
      <c r="AP454" s="1834"/>
    </row>
    <row s="1806" customFormat="1" customHeight="1" ht="14.25">
      <c r="A455" s="667"/>
      <c r="B455" s="488"/>
      <c r="C455" s="488"/>
      <c r="D455" s="488"/>
      <c r="E455" s="649">
        <v>15</v>
      </c>
      <c r="F455" s="523" cm="1" t="str">
        <f t="array" ref="F455:F455">OFFSET(E455,-1,1)</f>
        <v>4</v>
      </c>
      <c r="G455" s="488"/>
      <c r="H455" s="488"/>
      <c r="I455" s="488"/>
      <c r="J455" s="488"/>
      <c r="K455" s="488"/>
      <c r="L455" s="488"/>
      <c r="M455" s="488"/>
      <c r="N455" s="488"/>
      <c r="O455" s="488"/>
      <c r="P455" s="488"/>
      <c r="Q455" s="488"/>
      <c r="R455" s="488"/>
      <c r="S455" s="488"/>
      <c r="T455" s="465" cm="1" t="str">
        <f t="array" ref="T455:T455">T454</f>
        <v>true</v>
      </c>
      <c r="U455" s="488"/>
      <c r="V455" s="488"/>
      <c r="W455" s="488"/>
      <c r="X455" s="1596"/>
      <c r="Y455" s="488"/>
      <c r="Z455" s="1597"/>
      <c r="AA455" s="488"/>
      <c r="AB455" s="1270" t="s">
        <v>2790</v>
      </c>
      <c r="AC455" s="1273" t="s">
        <v>3101</v>
      </c>
      <c r="AD455" s="1272" t="s">
        <v>1514</v>
      </c>
      <c r="AE455" s="558"/>
      <c r="AF455" s="1108"/>
      <c r="AG455" s="1108"/>
      <c r="AH455" s="1064" t="s">
        <v>2017</v>
      </c>
      <c r="AI455" s="1058"/>
      <c r="AJ455" s="1058"/>
      <c r="AK455" s="965"/>
      <c r="AL455" s="965"/>
      <c r="AM455" s="1806"/>
      <c r="AN455" s="1806"/>
      <c r="AO455" s="1806"/>
      <c r="AP455" s="1806"/>
    </row>
    <row s="1806" customFormat="1" customHeight="1" ht="14.25">
      <c r="A456" s="667"/>
      <c r="B456" s="488"/>
      <c r="C456" s="488"/>
      <c r="D456" s="488"/>
      <c r="E456" s="649">
        <v>15</v>
      </c>
      <c r="F456" s="523" cm="1" t="str">
        <f t="array" ref="F456:F456">OFFSET(E456,-1,1)</f>
        <v>4</v>
      </c>
      <c r="G456" s="488"/>
      <c r="H456" s="488"/>
      <c r="I456" s="488"/>
      <c r="J456" s="488"/>
      <c r="K456" s="488"/>
      <c r="L456" s="488"/>
      <c r="M456" s="488"/>
      <c r="N456" s="488"/>
      <c r="O456" s="488"/>
      <c r="P456" s="488"/>
      <c r="Q456" s="488"/>
      <c r="R456" s="488"/>
      <c r="S456" s="488"/>
      <c r="T456" s="465" cm="1" t="str">
        <f t="array" ref="T456:T456">T455</f>
        <v>true</v>
      </c>
      <c r="U456" s="488"/>
      <c r="V456" s="488"/>
      <c r="W456" s="488"/>
      <c r="X456" s="1596"/>
      <c r="Y456" s="488"/>
      <c r="Z456" s="1597"/>
      <c r="AA456" s="488"/>
      <c r="AB456" s="1270" t="s">
        <v>2794</v>
      </c>
      <c r="AC456" s="1273" t="s">
        <v>2018</v>
      </c>
      <c r="AD456" s="1272" t="s">
        <v>1514</v>
      </c>
      <c r="AE456" s="558"/>
      <c r="AF456" s="1108"/>
      <c r="AG456" s="1108"/>
      <c r="AH456" s="1064" t="s">
        <v>3102</v>
      </c>
      <c r="AI456" s="1058"/>
      <c r="AJ456" s="1058"/>
      <c r="AK456" s="965"/>
      <c r="AL456" s="965"/>
      <c r="AM456" s="1806"/>
      <c r="AN456" s="1806"/>
      <c r="AO456" s="1806"/>
      <c r="AP456" s="1806"/>
    </row>
    <row s="1834" customFormat="1" customHeight="1" ht="14.25">
      <c r="A457" s="667"/>
      <c r="B457" s="1459"/>
      <c r="C457" s="1459"/>
      <c r="D457" s="1459"/>
      <c r="E457" s="649">
        <v>15</v>
      </c>
      <c r="F457" s="50" cm="1" t="str">
        <f t="array" ref="F457:F457">OFFSET(E457,-1,1)</f>
        <v>4</v>
      </c>
      <c r="G457" s="1459"/>
      <c r="H457" s="488" t="s">
        <v>3103</v>
      </c>
      <c r="I457" s="1459"/>
      <c r="J457" s="1459"/>
      <c r="K457" s="1459"/>
      <c r="L457" s="1459"/>
      <c r="M457" s="1459"/>
      <c r="N457" s="1459"/>
      <c r="O457" s="1459"/>
      <c r="P457" s="1459"/>
      <c r="Q457" s="1459"/>
      <c r="R457" s="1459"/>
      <c r="S457" s="1459"/>
      <c r="T457" s="465" cm="1" t="str">
        <f t="array" ref="T457:T457">T454</f>
        <v>true</v>
      </c>
      <c r="U457" s="1459"/>
      <c r="V457" s="1459"/>
      <c r="W457" s="1459"/>
      <c r="X457" s="1596"/>
      <c r="Y457" s="1459"/>
      <c r="Z457" s="1597"/>
      <c r="AA457" s="1459"/>
      <c r="AB457" s="714" t="s">
        <v>2796</v>
      </c>
      <c r="AC457" s="549" t="s">
        <v>2020</v>
      </c>
      <c r="AD457" s="548" t="s">
        <v>1514</v>
      </c>
      <c r="AE457" s="1332"/>
      <c r="AF457" s="1442"/>
      <c r="AG457" s="1442"/>
      <c r="AH457" s="1064" t="s">
        <v>2802</v>
      </c>
      <c r="AI457" s="1811"/>
      <c r="AJ457" s="1811"/>
      <c r="AK457" s="1444"/>
      <c r="AL457" s="1444"/>
      <c r="AM457" s="1834"/>
      <c r="AN457" s="1834"/>
      <c r="AO457" s="1834"/>
      <c r="AP457" s="1834"/>
    </row>
    <row s="1834" customFormat="1" customHeight="1" ht="14.25">
      <c r="A458" s="667"/>
      <c r="B458" s="1459"/>
      <c r="C458" s="1459"/>
      <c r="D458" s="1459"/>
      <c r="E458" s="649">
        <v>15</v>
      </c>
      <c r="F458" s="50" cm="1" t="str">
        <f t="array" ref="F458:F458">OFFSET(E458,-1,1)</f>
        <v>4</v>
      </c>
      <c r="G458" s="1459"/>
      <c r="H458" s="488" t="s">
        <v>1648</v>
      </c>
      <c r="I458" s="1459"/>
      <c r="J458" s="1459"/>
      <c r="K458" s="1459"/>
      <c r="L458" s="1459"/>
      <c r="M458" s="1459"/>
      <c r="N458" s="1459"/>
      <c r="O458" s="1459"/>
      <c r="P458" s="1459"/>
      <c r="Q458" s="1459"/>
      <c r="R458" s="1459"/>
      <c r="S458" s="1459"/>
      <c r="T458" s="465" cm="1" t="str">
        <f t="array" ref="T458:T458">T457</f>
        <v>true</v>
      </c>
      <c r="U458" s="1459"/>
      <c r="V458" s="1459"/>
      <c r="W458" s="1459"/>
      <c r="X458" s="1596"/>
      <c r="Y458" s="1459"/>
      <c r="Z458" s="1597"/>
      <c r="AA458" s="1459"/>
      <c r="AB458" s="714" t="s">
        <v>1651</v>
      </c>
      <c r="AC458" s="549" t="s">
        <v>1750</v>
      </c>
      <c r="AD458" s="548" t="s">
        <v>1514</v>
      </c>
      <c r="AE458" s="1332"/>
      <c r="AF458" s="1442"/>
      <c r="AG458" s="1442"/>
      <c r="AH458" s="1064" t="s">
        <v>1946</v>
      </c>
      <c r="AI458" s="1811"/>
      <c r="AJ458" s="1811"/>
      <c r="AK458" s="1444"/>
      <c r="AL458" s="1444"/>
      <c r="AM458" s="1834"/>
      <c r="AN458" s="1834"/>
      <c r="AO458" s="1834"/>
      <c r="AP458" s="1834"/>
    </row>
    <row s="1834" customFormat="1" customHeight="1" ht="14.25">
      <c r="A459" s="667"/>
      <c r="B459" s="1459"/>
      <c r="C459" s="1459"/>
      <c r="D459" s="1459"/>
      <c r="E459" s="649">
        <v>15</v>
      </c>
      <c r="F459" s="50" cm="1" t="str">
        <f t="array" ref="F459:F459">OFFSET(E459,-1,1)</f>
        <v>4</v>
      </c>
      <c r="G459" s="1459"/>
      <c r="H459" s="488" t="s">
        <v>2805</v>
      </c>
      <c r="I459" s="1459"/>
      <c r="J459" s="1459"/>
      <c r="K459" s="1459"/>
      <c r="L459" s="1459"/>
      <c r="M459" s="1459"/>
      <c r="N459" s="1459"/>
      <c r="O459" s="1459"/>
      <c r="P459" s="1459"/>
      <c r="Q459" s="1459"/>
      <c r="R459" s="1459"/>
      <c r="S459" s="1459"/>
      <c r="T459" s="465" cm="1" t="str">
        <f t="array" ref="T459:T459">T458</f>
        <v>true</v>
      </c>
      <c r="U459" s="1459"/>
      <c r="V459" s="1459"/>
      <c r="W459" s="1459"/>
      <c r="X459" s="1596"/>
      <c r="Y459" s="1459"/>
      <c r="Z459" s="1597"/>
      <c r="AA459" s="1459"/>
      <c r="AB459" s="714" t="s">
        <v>1654</v>
      </c>
      <c r="AC459" s="547" t="s">
        <v>2197</v>
      </c>
      <c r="AD459" s="548" t="s">
        <v>1514</v>
      </c>
      <c r="AE459" s="1332"/>
      <c r="AF459" s="1442"/>
      <c r="AG459" s="1442"/>
      <c r="AH459" s="1071" t="s">
        <v>2551</v>
      </c>
      <c r="AI459" s="1811"/>
      <c r="AJ459" s="1811"/>
      <c r="AK459" s="1444"/>
      <c r="AL459" s="1444"/>
      <c r="AM459" s="1834"/>
      <c r="AN459" s="1834"/>
      <c r="AO459" s="1834"/>
      <c r="AP459" s="1834"/>
    </row>
    <row s="1834" customFormat="1" customHeight="1" ht="14.25">
      <c r="A460" s="667"/>
      <c r="B460" s="1459"/>
      <c r="C460" s="1459"/>
      <c r="D460" s="1459"/>
      <c r="E460" s="649">
        <v>15</v>
      </c>
      <c r="F460" s="50" cm="1" t="str">
        <f t="array" ref="F460:F460">OFFSET(E460,-1,1)</f>
        <v>4</v>
      </c>
      <c r="G460" s="1459"/>
      <c r="H460" s="488" t="s">
        <v>2813</v>
      </c>
      <c r="I460" s="1459"/>
      <c r="J460" s="1459"/>
      <c r="K460" s="1459"/>
      <c r="L460" s="1459"/>
      <c r="M460" s="1459"/>
      <c r="N460" s="1459"/>
      <c r="O460" s="1459"/>
      <c r="P460" s="1459"/>
      <c r="Q460" s="1459"/>
      <c r="R460" s="1459"/>
      <c r="S460" s="1459"/>
      <c r="T460" s="465" cm="1" t="str">
        <f t="array" ref="T460:T460">T459</f>
        <v>true</v>
      </c>
      <c r="U460" s="1459"/>
      <c r="V460" s="1459"/>
      <c r="W460" s="1459"/>
      <c r="X460" s="1596"/>
      <c r="Y460" s="1459"/>
      <c r="Z460" s="1597"/>
      <c r="AA460" s="1459"/>
      <c r="AB460" s="714" t="s">
        <v>2245</v>
      </c>
      <c r="AC460" s="547" t="s">
        <v>2207</v>
      </c>
      <c r="AD460" s="548" t="s">
        <v>1514</v>
      </c>
      <c r="AE460" s="557">
        <f>AE461+AE462</f>
        <v>0</v>
      </c>
      <c r="AF460" s="1442"/>
      <c r="AG460" s="1442"/>
      <c r="AH460" s="1064" t="s">
        <v>2818</v>
      </c>
      <c r="AI460" s="1811"/>
      <c r="AJ460" s="1811"/>
      <c r="AK460" s="1444"/>
      <c r="AL460" s="1444"/>
      <c r="AM460" s="1834"/>
      <c r="AN460" s="1834"/>
      <c r="AO460" s="1834"/>
      <c r="AP460" s="1834"/>
    </row>
    <row s="1834" customFormat="1" customHeight="1" ht="14.25">
      <c r="A461" s="667"/>
      <c r="B461" s="1459"/>
      <c r="C461" s="1459"/>
      <c r="D461" s="1459"/>
      <c r="E461" s="649">
        <v>15</v>
      </c>
      <c r="F461" s="50" cm="1" t="str">
        <f t="array" ref="F461:F461">OFFSET(E461,-1,1)</f>
        <v>4</v>
      </c>
      <c r="G461" s="1459"/>
      <c r="H461" s="488" t="s">
        <v>3104</v>
      </c>
      <c r="I461" s="1459"/>
      <c r="J461" s="1459"/>
      <c r="K461" s="1459"/>
      <c r="L461" s="1459"/>
      <c r="M461" s="1459"/>
      <c r="N461" s="1459"/>
      <c r="O461" s="1459"/>
      <c r="P461" s="1459"/>
      <c r="Q461" s="1459"/>
      <c r="R461" s="1459"/>
      <c r="S461" s="1459"/>
      <c r="T461" s="465" cm="1" t="str">
        <f t="array" ref="T461:T461">T460</f>
        <v>true</v>
      </c>
      <c r="U461" s="1459"/>
      <c r="V461" s="1459"/>
      <c r="W461" s="1459"/>
      <c r="X461" s="1596"/>
      <c r="Y461" s="1459"/>
      <c r="Z461" s="1597"/>
      <c r="AA461" s="1459"/>
      <c r="AB461" s="714" t="s">
        <v>2809</v>
      </c>
      <c r="AC461" s="549" t="s">
        <v>3105</v>
      </c>
      <c r="AD461" s="548" t="s">
        <v>1514</v>
      </c>
      <c r="AE461" s="1332"/>
      <c r="AF461" s="1442"/>
      <c r="AG461" s="1442"/>
      <c r="AH461" s="1064" t="s">
        <v>1991</v>
      </c>
      <c r="AI461" s="1811"/>
      <c r="AJ461" s="1811"/>
      <c r="AK461" s="1444"/>
      <c r="AL461" s="1444"/>
      <c r="AM461" s="1834"/>
      <c r="AN461" s="1834"/>
      <c r="AO461" s="1834"/>
      <c r="AP461" s="1834"/>
    </row>
    <row s="1834" customFormat="1" customHeight="1" ht="21.75">
      <c r="A462" s="667"/>
      <c r="B462" s="1459"/>
      <c r="C462" s="1459"/>
      <c r="D462" s="1459"/>
      <c r="E462" s="649">
        <v>22.5</v>
      </c>
      <c r="F462" s="50" cm="1" t="str">
        <f t="array" ref="F462:F462">OFFSET(E462,-1,1)</f>
        <v>4</v>
      </c>
      <c r="G462" s="1459"/>
      <c r="H462" s="488" t="s">
        <v>3106</v>
      </c>
      <c r="I462" s="1459"/>
      <c r="J462" s="1459"/>
      <c r="K462" s="1459"/>
      <c r="L462" s="1459"/>
      <c r="M462" s="1459"/>
      <c r="N462" s="1459"/>
      <c r="O462" s="1459"/>
      <c r="P462" s="1459"/>
      <c r="Q462" s="1459"/>
      <c r="R462" s="1459"/>
      <c r="S462" s="1459"/>
      <c r="T462" s="465" cm="1" t="str">
        <f t="array" ref="T462:T462">T461</f>
        <v>true</v>
      </c>
      <c r="U462" s="1459"/>
      <c r="V462" s="1459"/>
      <c r="W462" s="1459"/>
      <c r="X462" s="1596"/>
      <c r="Y462" s="1459"/>
      <c r="Z462" s="1597"/>
      <c r="AA462" s="1459"/>
      <c r="AB462" s="714" t="s">
        <v>3107</v>
      </c>
      <c r="AC462" s="549" t="s">
        <v>3108</v>
      </c>
      <c r="AD462" s="548" t="s">
        <v>1514</v>
      </c>
      <c r="AE462" s="1332"/>
      <c r="AF462" s="1442"/>
      <c r="AG462" s="1442"/>
      <c r="AH462" s="1064" t="s">
        <v>2825</v>
      </c>
      <c r="AI462" s="1811"/>
      <c r="AJ462" s="1811"/>
      <c r="AK462" s="1444"/>
      <c r="AL462" s="1444"/>
      <c r="AM462" s="1834"/>
      <c r="AN462" s="1834"/>
      <c r="AO462" s="1834"/>
      <c r="AP462" s="1834"/>
    </row>
    <row s="1834" customFormat="1" customHeight="1" ht="76.5">
      <c r="A463" s="667"/>
      <c r="B463" s="1459"/>
      <c r="C463" s="1459"/>
      <c r="D463" s="1459"/>
      <c r="E463" s="649">
        <v>78.75</v>
      </c>
      <c r="F463" s="50" cm="1" t="str">
        <f t="array" ref="F463:F463">OFFSET(E463,-1,1)</f>
        <v>4</v>
      </c>
      <c r="G463" s="1459"/>
      <c r="H463" s="488" t="s">
        <v>2817</v>
      </c>
      <c r="I463" s="1459"/>
      <c r="J463" s="1459"/>
      <c r="K463" s="1459"/>
      <c r="L463" s="1459"/>
      <c r="M463" s="1459"/>
      <c r="N463" s="1459"/>
      <c r="O463" s="1459"/>
      <c r="P463" s="1459"/>
      <c r="Q463" s="1459"/>
      <c r="R463" s="1459"/>
      <c r="S463" s="1459"/>
      <c r="T463" s="465" cm="1" t="str">
        <f t="array" ref="T463:T463">T462</f>
        <v>true</v>
      </c>
      <c r="U463" s="1459"/>
      <c r="V463" s="1459"/>
      <c r="W463" s="1459"/>
      <c r="X463" s="1596"/>
      <c r="Y463" s="1459"/>
      <c r="Z463" s="1597"/>
      <c r="AA463" s="1459"/>
      <c r="AB463" s="714" t="s">
        <v>2250</v>
      </c>
      <c r="AC463" s="1283" t="s">
        <v>2181</v>
      </c>
      <c r="AD463" s="548" t="s">
        <v>1514</v>
      </c>
      <c r="AE463" s="1332"/>
      <c r="AF463" s="1442"/>
      <c r="AG463" s="1442"/>
      <c r="AH463" s="1064" t="s">
        <v>2803</v>
      </c>
      <c r="AI463" s="1811"/>
      <c r="AJ463" s="1811"/>
      <c r="AK463" s="1444"/>
      <c r="AL463" s="1444"/>
      <c r="AM463" s="1834"/>
      <c r="AN463" s="1834"/>
      <c r="AO463" s="1834"/>
      <c r="AP463" s="1834"/>
    </row>
    <row s="1806" customFormat="1" customHeight="1" ht="14.25">
      <c r="A464" s="667"/>
      <c r="B464" s="488"/>
      <c r="C464" s="488"/>
      <c r="D464" s="488"/>
      <c r="E464" s="649">
        <v>15</v>
      </c>
      <c r="F464" s="523" cm="1" t="str">
        <f t="array" ref="F464:F464">OFFSET(E464,-1,1)</f>
        <v>4</v>
      </c>
      <c r="G464" s="488"/>
      <c r="H464" s="488"/>
      <c r="I464" s="488"/>
      <c r="J464" s="488"/>
      <c r="K464" s="488"/>
      <c r="L464" s="488"/>
      <c r="M464" s="488"/>
      <c r="N464" s="488"/>
      <c r="O464" s="488"/>
      <c r="P464" s="488"/>
      <c r="Q464" s="488"/>
      <c r="R464" s="488"/>
      <c r="S464" s="488"/>
      <c r="T464" s="465" cm="1" t="str">
        <f t="array" ref="T464:T464">T463</f>
        <v>true</v>
      </c>
      <c r="U464" s="488"/>
      <c r="V464" s="488"/>
      <c r="W464" s="488"/>
      <c r="X464" s="1596"/>
      <c r="Y464" s="488"/>
      <c r="Z464" s="1597"/>
      <c r="AA464" s="488"/>
      <c r="AB464" s="1270" t="s">
        <v>2814</v>
      </c>
      <c r="AC464" s="1283" t="s">
        <v>1730</v>
      </c>
      <c r="AD464" s="1272" t="s">
        <v>1514</v>
      </c>
      <c r="AE464" s="558"/>
      <c r="AF464" s="1108"/>
      <c r="AG464" s="1108"/>
      <c r="AH464" s="1064" t="s">
        <v>1732</v>
      </c>
      <c r="AI464" s="1058"/>
      <c r="AJ464" s="1058"/>
      <c r="AK464" s="965"/>
      <c r="AL464" s="965"/>
      <c r="AM464" s="1806"/>
      <c r="AN464" s="1806"/>
      <c r="AO464" s="1806"/>
      <c r="AP464" s="1806"/>
    </row>
    <row s="1806" customFormat="1" customHeight="1" ht="14.25">
      <c r="A465" s="667"/>
      <c r="B465" s="488"/>
      <c r="C465" s="488"/>
      <c r="D465" s="488"/>
      <c r="E465" s="649">
        <v>15</v>
      </c>
      <c r="F465" s="523" cm="1" t="str">
        <f t="array" ref="F465:F465">OFFSET(E465,-1,1)</f>
        <v>4</v>
      </c>
      <c r="G465" s="488"/>
      <c r="H465" s="488"/>
      <c r="I465" s="488"/>
      <c r="J465" s="488"/>
      <c r="K465" s="488"/>
      <c r="L465" s="488"/>
      <c r="M465" s="488"/>
      <c r="N465" s="488"/>
      <c r="O465" s="488"/>
      <c r="P465" s="488"/>
      <c r="Q465" s="488"/>
      <c r="R465" s="488"/>
      <c r="S465" s="488"/>
      <c r="T465" s="465" cm="1" t="str">
        <f t="array" ref="T465:T465">T464</f>
        <v>true</v>
      </c>
      <c r="U465" s="488"/>
      <c r="V465" s="488"/>
      <c r="W465" s="488"/>
      <c r="X465" s="1596"/>
      <c r="Y465" s="488"/>
      <c r="Z465" s="1597"/>
      <c r="AA465" s="488"/>
      <c r="AB465" s="1270" t="s">
        <v>2269</v>
      </c>
      <c r="AC465" s="1283" t="s">
        <v>2192</v>
      </c>
      <c r="AD465" s="1272" t="s">
        <v>1514</v>
      </c>
      <c r="AE465" s="558"/>
      <c r="AF465" s="1108"/>
      <c r="AG465" s="1108"/>
      <c r="AH465" s="1064" t="s">
        <v>3109</v>
      </c>
      <c r="AI465" s="1058"/>
      <c r="AJ465" s="1058"/>
      <c r="AK465" s="965"/>
      <c r="AL465" s="965"/>
      <c r="AM465" s="1806"/>
      <c r="AN465" s="1806"/>
      <c r="AO465" s="1806"/>
      <c r="AP465" s="1806"/>
    </row>
    <row s="1834" customFormat="1" customHeight="1" ht="14.25">
      <c r="A466" s="667"/>
      <c r="B466" s="1459"/>
      <c r="C466" s="1459"/>
      <c r="D466" s="1459"/>
      <c r="E466" s="649">
        <v>15</v>
      </c>
      <c r="F466" s="50" cm="1" t="str">
        <f t="array" ref="F466:F466">OFFSET(E466,-1,1)</f>
        <v>4</v>
      </c>
      <c r="G466" s="1459"/>
      <c r="H466" s="488" t="s">
        <v>3110</v>
      </c>
      <c r="I466" s="1459"/>
      <c r="J466" s="1459"/>
      <c r="K466" s="1459"/>
      <c r="L466" s="1459"/>
      <c r="M466" s="1459"/>
      <c r="N466" s="1459"/>
      <c r="O466" s="1459"/>
      <c r="P466" s="1459"/>
      <c r="Q466" s="1459"/>
      <c r="R466" s="1459"/>
      <c r="S466" s="1459"/>
      <c r="T466" s="465" cm="1" t="str">
        <f t="array" ref="T466:T466">T463</f>
        <v>true</v>
      </c>
      <c r="U466" s="1459"/>
      <c r="V466" s="1459"/>
      <c r="W466" s="1459"/>
      <c r="X466" s="1596"/>
      <c r="Y466" s="1459"/>
      <c r="Z466" s="1597"/>
      <c r="AA466" s="1459"/>
      <c r="AB466" s="714" t="s">
        <v>2273</v>
      </c>
      <c r="AC466" s="547" t="s">
        <v>3111</v>
      </c>
      <c r="AD466" s="548" t="s">
        <v>1514</v>
      </c>
      <c r="AE466" s="1332"/>
      <c r="AF466" s="1442"/>
      <c r="AG466" s="1442"/>
      <c r="AH466" s="1001" t="s">
        <v>3112</v>
      </c>
      <c r="AI466" s="1811"/>
      <c r="AJ466" s="1811"/>
      <c r="AK466" s="1444"/>
      <c r="AL466" s="1444"/>
      <c r="AM466" s="1834"/>
      <c r="AN466" s="1834"/>
      <c r="AO466" s="1834"/>
      <c r="AP466" s="1834"/>
    </row>
    <row s="1806" customFormat="1" customHeight="1" ht="31.5">
      <c r="A467" s="667"/>
      <c r="B467" s="488"/>
      <c r="C467" s="488"/>
      <c r="D467" s="488"/>
      <c r="E467" s="649">
        <v>33</v>
      </c>
      <c r="F467" s="523" cm="1" t="str">
        <f t="array" ref="F467:F467">OFFSET(E467,-1,1)</f>
        <v>4</v>
      </c>
      <c r="G467" s="488"/>
      <c r="H467" s="488"/>
      <c r="I467" s="488"/>
      <c r="J467" s="488"/>
      <c r="K467" s="488"/>
      <c r="L467" s="488"/>
      <c r="M467" s="488"/>
      <c r="N467" s="488"/>
      <c r="O467" s="488"/>
      <c r="P467" s="488"/>
      <c r="Q467" s="488"/>
      <c r="R467" s="488"/>
      <c r="S467" s="488"/>
      <c r="T467" s="465" cm="1" t="str">
        <f t="array" ref="T467:T467">T466</f>
        <v>true</v>
      </c>
      <c r="U467" s="488"/>
      <c r="V467" s="488"/>
      <c r="W467" s="488"/>
      <c r="X467" s="1596"/>
      <c r="Y467" s="488"/>
      <c r="Z467" s="1597"/>
      <c r="AA467" s="488"/>
      <c r="AB467" s="1270" t="s">
        <v>2276</v>
      </c>
      <c r="AC467" s="1271" t="s">
        <v>2827</v>
      </c>
      <c r="AD467" s="1272" t="s">
        <v>1514</v>
      </c>
      <c r="AE467" s="558"/>
      <c r="AF467" s="1108"/>
      <c r="AG467" s="1108"/>
      <c r="AH467" s="1058" t="s">
        <v>3113</v>
      </c>
      <c r="AI467" s="1058"/>
      <c r="AJ467" s="1058"/>
      <c r="AK467" s="965"/>
      <c r="AL467" s="965"/>
      <c r="AM467" s="1806"/>
      <c r="AN467" s="1806"/>
      <c r="AO467" s="1806"/>
      <c r="AP467" s="1806"/>
    </row>
    <row s="1834" customFormat="1" customHeight="1" ht="14.25">
      <c r="A468" s="667"/>
      <c r="B468" s="1459"/>
      <c r="C468" s="1459"/>
      <c r="D468" s="1459"/>
      <c r="E468" s="649">
        <v>15</v>
      </c>
      <c r="F468" s="50" cm="1" t="str">
        <f t="array" ref="F468:F468">OFFSET(E468,-1,1)</f>
        <v>4</v>
      </c>
      <c r="G468" s="1459"/>
      <c r="H468" s="488" t="s">
        <v>3114</v>
      </c>
      <c r="I468" s="1459"/>
      <c r="J468" s="1459"/>
      <c r="K468" s="1459"/>
      <c r="L468" s="1459"/>
      <c r="M468" s="1459"/>
      <c r="N468" s="1459"/>
      <c r="O468" s="1459"/>
      <c r="P468" s="1459"/>
      <c r="Q468" s="1459"/>
      <c r="R468" s="1459"/>
      <c r="S468" s="1459"/>
      <c r="T468" s="465" cm="1" t="str">
        <f t="array" ref="T468:T468">T466</f>
        <v>true</v>
      </c>
      <c r="U468" s="1459"/>
      <c r="V468" s="1459"/>
      <c r="W468" s="1459"/>
      <c r="X468" s="1596"/>
      <c r="Y468" s="1459"/>
      <c r="Z468" s="1597"/>
      <c r="AA468" s="1459"/>
      <c r="AB468" s="714" t="s">
        <v>3115</v>
      </c>
      <c r="AC468" s="547" t="s">
        <v>3116</v>
      </c>
      <c r="AD468" s="548" t="s">
        <v>1514</v>
      </c>
      <c r="AE468" s="557">
        <f>SUM(AE469:AE470)</f>
        <v>0</v>
      </c>
      <c r="AF468" s="1442"/>
      <c r="AG468" s="1442"/>
      <c r="AH468" s="1001" t="s">
        <v>3117</v>
      </c>
      <c r="AI468" s="1811"/>
      <c r="AJ468" s="1811"/>
      <c r="AK468" s="1444"/>
      <c r="AL468" s="1444"/>
      <c r="AM468" s="1834"/>
      <c r="AN468" s="1834"/>
      <c r="AO468" s="1834"/>
      <c r="AP468" s="1834"/>
    </row>
    <row s="1834" customFormat="1" customHeight="1" ht="14.25" hidden="1">
      <c r="A469" s="667"/>
      <c r="B469" s="1459"/>
      <c r="C469" s="1459"/>
      <c r="D469" s="1459"/>
      <c r="E469" s="649">
        <v>15</v>
      </c>
      <c r="F469" s="50" cm="1" t="str">
        <f t="array" ref="F469:F469">OFFSET(E469,-1,1)</f>
        <v>4</v>
      </c>
      <c r="G469" s="1459"/>
      <c r="H469" s="488" t="s">
        <v>3114</v>
      </c>
      <c r="I469" s="563" cm="1" t="str">
        <f t="array" ref="I469:I469">AC469</f>
        <v>0</v>
      </c>
      <c r="J469" s="1459"/>
      <c r="K469" s="1459"/>
      <c r="L469" s="1459"/>
      <c r="M469" s="1459"/>
      <c r="N469" s="1459"/>
      <c r="O469" s="1459"/>
      <c r="P469" s="1459"/>
      <c r="Q469" s="1459"/>
      <c r="R469" s="1459"/>
      <c r="S469" s="1459"/>
      <c r="T469" s="465">
        <f>AND(F469&gt;0,Y469&gt;0)</f>
        <v>0</v>
      </c>
      <c r="U469" s="1459"/>
      <c r="V469" s="1459"/>
      <c r="W469" s="555" t="s">
        <v>174</v>
      </c>
      <c r="X469" s="1596"/>
      <c r="Y469" s="488">
        <v>0</v>
      </c>
      <c r="Z469" s="1597"/>
      <c r="AA469" s="662" t="s">
        <v>175</v>
      </c>
      <c r="AB469" s="714" t="str">
        <f>"2.12."&amp;Y469</f>
        <v>2.12.0</v>
      </c>
      <c r="AC469" s="8363"/>
      <c r="AD469" s="548" t="s">
        <v>1514</v>
      </c>
      <c r="AE469" s="8364"/>
      <c r="AF469" s="1442"/>
      <c r="AG469" s="1442"/>
      <c r="AH469" s="1001" t="s">
        <v>3117</v>
      </c>
      <c r="AI469" s="1001" t="s">
        <v>3118</v>
      </c>
      <c r="AJ469" s="1006" cm="1" t="str">
        <f t="array" ref="AJ469:AJ469">AC469</f>
        <v>0</v>
      </c>
      <c r="AK469" s="1444"/>
      <c r="AL469" s="656" t="b">
        <v>1</v>
      </c>
      <c r="AM469" s="1834"/>
      <c r="AN469" s="1834"/>
      <c r="AO469" s="1834"/>
      <c r="AP469" s="1834"/>
    </row>
    <row s="1834" customFormat="1" customHeight="1" ht="14.25">
      <c r="A470" s="667"/>
      <c r="B470" s="1459"/>
      <c r="C470" s="1459"/>
      <c r="D470" s="1459"/>
      <c r="E470" s="649">
        <v>15</v>
      </c>
      <c r="F470" s="50" cm="1" t="str">
        <f t="array" ref="F470:F470">OFFSET(E470,-1,1)</f>
        <v>4</v>
      </c>
      <c r="G470" s="1459"/>
      <c r="H470" s="1459"/>
      <c r="I470" s="158" t="str">
        <f>"!== 'не определено' &amp;&amp; row.l2_13 !== null"</f>
        <v>!== 'не определено' &amp;&amp; row.l2_13 !== null</v>
      </c>
      <c r="J470" s="1459"/>
      <c r="K470" s="1459"/>
      <c r="L470" s="1459"/>
      <c r="M470" s="1459"/>
      <c r="N470" s="1459"/>
      <c r="O470" s="1459"/>
      <c r="P470" s="1459"/>
      <c r="Q470" s="1459"/>
      <c r="R470" s="1459"/>
      <c r="S470" s="1459"/>
      <c r="T470" s="465">
        <f>F470&gt;0</f>
        <v>1</v>
      </c>
      <c r="U470" s="1459"/>
      <c r="V470" s="1459"/>
      <c r="W470" s="829" t="s">
        <v>1613</v>
      </c>
      <c r="X470" s="1596"/>
      <c r="Y470" s="1459"/>
      <c r="Z470" s="1597"/>
      <c r="AA470" s="1459"/>
      <c r="AB470" s="1279"/>
      <c r="AC470" s="1334" t="s">
        <v>178</v>
      </c>
      <c r="AD470" s="1281"/>
      <c r="AE470" s="1333"/>
      <c r="AF470" s="1442"/>
      <c r="AG470" s="1442"/>
      <c r="AH470" s="1811"/>
      <c r="AI470" s="1811"/>
      <c r="AJ470" s="1811"/>
      <c r="AK470" s="656" t="s">
        <v>3118</v>
      </c>
      <c r="AL470" s="1444"/>
      <c r="AM470" s="1834"/>
      <c r="AN470" s="1834"/>
      <c r="AO470" s="1834"/>
      <c r="AP470" s="1834"/>
    </row>
    <row s="1834" customFormat="1" customHeight="1" ht="14.25">
      <c r="A471" s="667"/>
      <c r="B471" s="1459"/>
      <c r="C471" s="1459"/>
      <c r="D471" s="1459"/>
      <c r="E471" s="649">
        <v>15</v>
      </c>
      <c r="F471" s="50" cm="1" t="str">
        <f t="array" ref="F471:F471">OFFSET(E471,-1,1)</f>
        <v>4</v>
      </c>
      <c r="G471" s="488" t="s">
        <v>50</v>
      </c>
      <c r="H471" s="488" t="s">
        <v>334</v>
      </c>
      <c r="I471" s="1459"/>
      <c r="J471" s="1459"/>
      <c r="K471" s="1459"/>
      <c r="L471" s="1459"/>
      <c r="M471" s="1459"/>
      <c r="N471" s="1459"/>
      <c r="O471" s="1459"/>
      <c r="P471" s="1459"/>
      <c r="Q471" s="1459"/>
      <c r="R471" s="1459"/>
      <c r="S471" s="1459"/>
      <c r="T471" s="465" cm="1" t="str">
        <f t="array" ref="T471:T471">T470</f>
        <v>true</v>
      </c>
      <c r="U471" s="1459"/>
      <c r="V471" s="1459"/>
      <c r="W471" s="1459"/>
      <c r="X471" s="1596"/>
      <c r="Y471" s="1459"/>
      <c r="Z471" s="1597"/>
      <c r="AA471" s="1459"/>
      <c r="AB471" s="713" t="s">
        <v>289</v>
      </c>
      <c r="AC471" s="545" t="s">
        <v>2830</v>
      </c>
      <c r="AD471" s="546" t="s">
        <v>1514</v>
      </c>
      <c r="AE471" s="1335"/>
      <c r="AF471" s="1442"/>
      <c r="AG471" s="1442"/>
      <c r="AH471" s="1001" t="s">
        <v>2446</v>
      </c>
      <c r="AI471" s="1811"/>
      <c r="AJ471" s="1811"/>
      <c r="AK471" s="1444"/>
      <c r="AL471" s="1444"/>
      <c r="AM471" s="1834"/>
      <c r="AN471" s="1834"/>
      <c r="AO471" s="1834"/>
      <c r="AP471" s="1834"/>
    </row>
    <row customHeight="1" ht="10.96875">
      <c r="E472" s="649">
        <v>11.25</v>
      </c>
      <c r="U472" s="488" t="s">
        <v>178</v>
      </c>
      <c r="V472" s="1284" t="s">
        <v>3119</v>
      </c>
      <c r="AB472" s="1285"/>
      <c r="AC472" s="1286"/>
      <c r="AD472" s="1287"/>
      <c r="AE472" s="1336"/>
      <c r="AF472" s="482"/>
    </row>
    <row s="1304" customFormat="1" customHeight="1" ht="14.625">
      <c r="A473" s="1337"/>
      <c r="E473" s="1338">
        <v>15</v>
      </c>
      <c r="F473" s="1339"/>
      <c r="G473" s="1339"/>
      <c r="AB473" s="1577" t="s">
        <v>407</v>
      </c>
      <c r="AC473" s="1577"/>
      <c r="AD473" s="1577"/>
      <c r="AE473" s="1598"/>
      <c r="AF473" s="1288"/>
      <c r="AG473" s="1288"/>
      <c r="AH473" s="1289"/>
      <c r="AI473" s="1289"/>
      <c r="AJ473" s="1289"/>
      <c r="AK473" s="1290"/>
      <c r="AL473" s="1290"/>
      <c r="AM473" s="85"/>
      <c r="AN473" s="85"/>
      <c r="AO473" s="85"/>
      <c r="AP473" s="85"/>
    </row>
    <row s="1304" customFormat="1" customHeight="1" ht="14.625">
      <c r="A474" s="1337"/>
      <c r="E474" s="837">
        <v>15</v>
      </c>
      <c r="F474" s="1339"/>
      <c r="G474" s="1339"/>
      <c r="AB474" s="1599"/>
      <c r="AC474" s="1599"/>
      <c r="AD474" s="1599"/>
      <c r="AE474" s="1600"/>
      <c r="AF474" s="1288"/>
      <c r="AG474" s="1288"/>
      <c r="AH474" s="1289"/>
      <c r="AI474" s="1289"/>
      <c r="AJ474" s="1289"/>
      <c r="AK474" s="1290"/>
      <c r="AL474" s="1290"/>
      <c r="AM474" s="85"/>
      <c r="AN474" s="85"/>
      <c r="AO474" s="85"/>
      <c r="AP474" s="85"/>
    </row>
    <row s="1304" customFormat="1" customHeight="1" ht="14.625" hidden="1">
      <c r="A475" s="1337"/>
      <c r="B475" s="1304"/>
      <c r="C475" s="1304"/>
      <c r="D475" s="1304"/>
      <c r="E475" s="711">
        <v>15</v>
      </c>
      <c r="F475" s="1304"/>
      <c r="G475" s="1304"/>
      <c r="H475" s="1304"/>
      <c r="I475" s="1304"/>
      <c r="J475" s="1304"/>
      <c r="K475" s="1304"/>
      <c r="L475" s="1304"/>
      <c r="M475" s="1304"/>
      <c r="N475" s="1304"/>
      <c r="O475" s="1304"/>
      <c r="P475" s="1304"/>
      <c r="Q475" s="1304"/>
      <c r="R475" s="1304"/>
      <c r="S475" s="1304"/>
      <c r="T475" s="465">
        <f>ROW(W475)&gt;ROW(W$475)</f>
        <v>0</v>
      </c>
      <c r="U475" s="1304"/>
      <c r="V475" s="1304"/>
      <c r="W475" s="555" t="s">
        <v>174</v>
      </c>
      <c r="X475" s="1304"/>
      <c r="Y475" s="1304"/>
      <c r="Z475" s="1304"/>
      <c r="AA475" s="1291" t="s">
        <v>175</v>
      </c>
      <c r="AB475" s="3522"/>
      <c r="AC475" s="3238"/>
      <c r="AD475" s="3238"/>
      <c r="AE475" s="3523"/>
      <c r="AF475" s="1288"/>
      <c r="AG475" s="1288"/>
      <c r="AH475" s="1289"/>
      <c r="AI475" s="1289"/>
      <c r="AJ475" s="1289"/>
      <c r="AK475" s="1290"/>
      <c r="AL475" s="1290"/>
      <c r="AM475" s="85"/>
      <c r="AN475" s="85"/>
      <c r="AO475" s="85"/>
      <c r="AP475" s="85"/>
    </row>
    <row s="1304" customFormat="1" customHeight="1" ht="14.625">
      <c r="A476" s="1337"/>
      <c r="E476" s="711">
        <v>15</v>
      </c>
      <c r="W476" s="829" t="s">
        <v>408</v>
      </c>
      <c r="AB476" s="1340"/>
      <c r="AC476" s="1341" t="s">
        <v>409</v>
      </c>
      <c r="AD476" s="1342"/>
      <c r="AE476" s="1343"/>
      <c r="AF476" s="1288"/>
      <c r="AG476" s="1288"/>
      <c r="AH476" s="1289"/>
      <c r="AI476" s="1289"/>
      <c r="AJ476" s="1289"/>
      <c r="AK476" s="1290"/>
      <c r="AL476" s="1290"/>
      <c r="AM476" s="85"/>
      <c r="AN476" s="85"/>
      <c r="AO476" s="85"/>
      <c r="AP476" s="85"/>
    </row>
    <row customHeight="1" ht="10.96875">
      <c r="E477" s="649">
        <v>11.25</v>
      </c>
      <c r="AC477" s="538"/>
      <c r="AF477" s="416"/>
    </row>
    <row customHeight="1" ht="11.25" hidden="1">
      <c r="A478" s="416"/>
      <c r="B478" s="416"/>
      <c r="C478" s="416"/>
      <c r="D478" s="416"/>
      <c r="E478" s="656"/>
      <c r="F478" s="416"/>
      <c r="G478" s="416"/>
      <c r="H478" s="416"/>
      <c r="I478" s="416"/>
      <c r="J478" s="416"/>
      <c r="K478" s="416"/>
      <c r="L478" s="416"/>
      <c r="M478" s="416"/>
      <c r="N478" s="416"/>
      <c r="O478" s="416"/>
      <c r="P478" s="416"/>
      <c r="Q478" s="416"/>
      <c r="R478" s="416"/>
      <c r="S478" s="416"/>
      <c r="T478" s="416"/>
      <c r="U478" s="416"/>
      <c r="V478" s="416"/>
      <c r="W478" s="416"/>
      <c r="X478" s="416"/>
      <c r="Y478" s="416"/>
      <c r="Z478" s="416"/>
      <c r="AA478" s="416"/>
      <c r="AB478" s="416"/>
      <c r="AF478" s="416"/>
      <c r="AG478" s="416"/>
      <c r="AH478" s="1001"/>
      <c r="AI478" s="1001"/>
      <c r="AJ478" s="1001"/>
      <c r="AK478" s="656"/>
      <c r="AL478" s="656"/>
    </row>
    <row customHeight="1" ht="11.25" hidden="1">
      <c r="A479" s="416"/>
      <c r="B479" s="416"/>
      <c r="C479" s="416"/>
      <c r="D479" s="416"/>
      <c r="E479" s="656"/>
      <c r="F479" s="416"/>
      <c r="G479" s="416"/>
      <c r="H479" s="416"/>
      <c r="I479" s="416"/>
      <c r="J479" s="416"/>
      <c r="K479" s="416"/>
      <c r="L479" s="416"/>
      <c r="M479" s="416"/>
      <c r="N479" s="416"/>
      <c r="O479" s="416"/>
      <c r="P479" s="416"/>
      <c r="Q479" s="416"/>
      <c r="R479" s="416"/>
      <c r="S479" s="416"/>
      <c r="T479" s="416"/>
      <c r="U479" s="416"/>
      <c r="V479" s="416"/>
      <c r="W479" s="416"/>
      <c r="X479" s="416"/>
      <c r="Y479" s="416"/>
      <c r="Z479" s="416"/>
      <c r="AA479" s="416"/>
      <c r="AB479" s="416"/>
      <c r="AF479" s="416"/>
      <c r="AG479" s="416"/>
      <c r="AH479" s="1001"/>
      <c r="AI479" s="1001"/>
      <c r="AJ479" s="1001"/>
      <c r="AK479" s="656"/>
      <c r="AL479" s="656"/>
    </row>
    <row customHeight="1" ht="11.25" hidden="1">
      <c r="A480" s="416"/>
      <c r="B480" s="416"/>
      <c r="C480" s="416"/>
      <c r="D480" s="416"/>
      <c r="E480" s="656"/>
      <c r="F480" s="416"/>
      <c r="G480" s="416"/>
      <c r="H480" s="416"/>
      <c r="I480" s="416"/>
      <c r="J480" s="416"/>
      <c r="K480" s="416"/>
      <c r="L480" s="416"/>
      <c r="M480" s="416"/>
      <c r="N480" s="416"/>
      <c r="O480" s="416"/>
      <c r="P480" s="416"/>
      <c r="Q480" s="416"/>
      <c r="R480" s="416"/>
      <c r="S480" s="416"/>
      <c r="T480" s="416"/>
      <c r="U480" s="416"/>
      <c r="V480" s="416"/>
      <c r="W480" s="416"/>
      <c r="X480" s="416"/>
      <c r="Y480" s="416"/>
      <c r="Z480" s="416"/>
      <c r="AA480" s="416"/>
      <c r="AB480" s="416"/>
      <c r="AF480" s="416"/>
      <c r="AG480" s="416"/>
      <c r="AH480" s="1001"/>
      <c r="AI480" s="1001"/>
      <c r="AJ480" s="1001"/>
      <c r="AK480" s="656"/>
      <c r="AL480" s="656"/>
    </row>
    <row customHeight="1" ht="11.25" hidden="1">
      <c r="A481" s="416"/>
      <c r="B481" s="416"/>
      <c r="C481" s="416"/>
      <c r="D481" s="416"/>
      <c r="E481" s="656"/>
      <c r="F481" s="416"/>
      <c r="G481" s="416"/>
      <c r="H481" s="416"/>
      <c r="I481" s="416"/>
      <c r="J481" s="416"/>
      <c r="K481" s="416"/>
      <c r="L481" s="416"/>
      <c r="M481" s="416"/>
      <c r="N481" s="416"/>
      <c r="O481" s="416"/>
      <c r="P481" s="416"/>
      <c r="Q481" s="416"/>
      <c r="R481" s="416"/>
      <c r="S481" s="416"/>
      <c r="T481" s="416"/>
      <c r="U481" s="416"/>
      <c r="V481" s="416"/>
      <c r="W481" s="416"/>
      <c r="X481" s="416"/>
      <c r="Y481" s="416"/>
      <c r="Z481" s="416"/>
      <c r="AA481" s="416"/>
      <c r="AB481" s="416"/>
      <c r="AF481" s="416"/>
      <c r="AG481" s="416"/>
      <c r="AH481" s="1001"/>
      <c r="AI481" s="1001"/>
      <c r="AJ481" s="1001"/>
      <c r="AK481" s="656"/>
      <c r="AL481" s="656"/>
    </row>
    <row customHeight="1" ht="11.25" hidden="1">
      <c r="A482" s="416"/>
      <c r="B482" s="416"/>
      <c r="C482" s="416"/>
      <c r="D482" s="416"/>
      <c r="E482" s="656"/>
      <c r="F482" s="416"/>
      <c r="G482" s="416"/>
      <c r="H482" s="416"/>
      <c r="I482" s="416"/>
      <c r="J482" s="416"/>
      <c r="K482" s="416"/>
      <c r="L482" s="416"/>
      <c r="M482" s="416"/>
      <c r="N482" s="416"/>
      <c r="O482" s="416"/>
      <c r="P482" s="416"/>
      <c r="Q482" s="416"/>
      <c r="R482" s="416"/>
      <c r="S482" s="416"/>
      <c r="T482" s="416"/>
      <c r="U482" s="416"/>
      <c r="V482" s="416"/>
      <c r="W482" s="416"/>
      <c r="X482" s="416"/>
      <c r="Y482" s="416"/>
      <c r="Z482" s="416"/>
      <c r="AA482" s="416"/>
      <c r="AB482" s="416"/>
      <c r="AF482" s="416"/>
      <c r="AG482" s="416"/>
      <c r="AH482" s="1001"/>
      <c r="AI482" s="1001"/>
      <c r="AJ482" s="1001"/>
      <c r="AK482" s="656"/>
      <c r="AL482" s="656"/>
    </row>
    <row customHeight="1" ht="11.25" hidden="1">
      <c r="A483" s="416"/>
      <c r="B483" s="416"/>
      <c r="C483" s="416"/>
      <c r="D483" s="416"/>
      <c r="E483" s="656"/>
      <c r="F483" s="416"/>
      <c r="G483" s="416"/>
      <c r="H483" s="416"/>
      <c r="I483" s="416"/>
      <c r="J483" s="416"/>
      <c r="K483" s="416"/>
      <c r="L483" s="416"/>
      <c r="M483" s="416"/>
      <c r="N483" s="416"/>
      <c r="O483" s="416"/>
      <c r="P483" s="416"/>
      <c r="Q483" s="416"/>
      <c r="R483" s="416"/>
      <c r="S483" s="416"/>
      <c r="T483" s="416"/>
      <c r="U483" s="416"/>
      <c r="V483" s="416"/>
      <c r="W483" s="416"/>
      <c r="X483" s="416"/>
      <c r="Y483" s="416"/>
      <c r="Z483" s="416"/>
      <c r="AA483" s="416"/>
      <c r="AB483" s="416"/>
      <c r="AF483" s="416"/>
      <c r="AG483" s="416"/>
      <c r="AH483" s="1001"/>
      <c r="AI483" s="1001"/>
      <c r="AJ483" s="1001"/>
      <c r="AK483" s="656"/>
      <c r="AL483" s="656"/>
    </row>
    <row customHeight="1" ht="11.25" hidden="1">
      <c r="A484" s="416"/>
      <c r="B484" s="416"/>
      <c r="C484" s="416"/>
      <c r="D484" s="416"/>
      <c r="E484" s="656"/>
      <c r="F484" s="416"/>
      <c r="G484" s="416"/>
      <c r="H484" s="416"/>
      <c r="I484" s="416"/>
      <c r="J484" s="416"/>
      <c r="K484" s="416"/>
      <c r="L484" s="416"/>
      <c r="M484" s="416"/>
      <c r="N484" s="416"/>
      <c r="O484" s="416"/>
      <c r="P484" s="416"/>
      <c r="Q484" s="416"/>
      <c r="R484" s="416"/>
      <c r="S484" s="416"/>
      <c r="T484" s="416"/>
      <c r="U484" s="416"/>
      <c r="V484" s="416"/>
      <c r="W484" s="416"/>
      <c r="X484" s="416"/>
      <c r="Y484" s="416"/>
      <c r="Z484" s="416"/>
      <c r="AA484" s="416"/>
      <c r="AB484" s="416"/>
      <c r="AF484" s="416"/>
      <c r="AG484" s="416"/>
      <c r="AH484" s="1001"/>
      <c r="AI484" s="1001"/>
      <c r="AJ484" s="1001"/>
      <c r="AK484" s="656"/>
      <c r="AL484" s="656"/>
    </row>
    <row customHeight="1" ht="11.25" hidden="1">
      <c r="A485" s="416"/>
      <c r="B485" s="416"/>
      <c r="C485" s="416"/>
      <c r="D485" s="416"/>
      <c r="E485" s="656"/>
      <c r="F485" s="416"/>
      <c r="G485" s="416"/>
      <c r="H485" s="416"/>
      <c r="I485" s="416"/>
      <c r="J485" s="416"/>
      <c r="K485" s="416"/>
      <c r="L485" s="416"/>
      <c r="M485" s="416"/>
      <c r="N485" s="416"/>
      <c r="O485" s="416"/>
      <c r="P485" s="416"/>
      <c r="Q485" s="416"/>
      <c r="R485" s="416"/>
      <c r="S485" s="416"/>
      <c r="T485" s="416"/>
      <c r="U485" s="416"/>
      <c r="V485" s="416"/>
      <c r="W485" s="416"/>
      <c r="X485" s="416"/>
      <c r="Y485" s="416"/>
      <c r="Z485" s="416"/>
      <c r="AA485" s="416"/>
      <c r="AB485" s="416"/>
      <c r="AF485" s="416"/>
      <c r="AG485" s="416"/>
      <c r="AH485" s="1001"/>
      <c r="AI485" s="1001"/>
      <c r="AJ485" s="1001"/>
      <c r="AK485" s="656"/>
      <c r="AL485" s="656"/>
    </row>
    <row customHeight="1" ht="11.25" hidden="1">
      <c r="A486" s="416"/>
      <c r="B486" s="416"/>
      <c r="C486" s="416"/>
      <c r="D486" s="416"/>
      <c r="E486" s="656"/>
      <c r="F486" s="416"/>
      <c r="G486" s="416"/>
      <c r="H486" s="416"/>
      <c r="I486" s="416"/>
      <c r="J486" s="416"/>
      <c r="K486" s="416"/>
      <c r="L486" s="416"/>
      <c r="M486" s="416"/>
      <c r="N486" s="416"/>
      <c r="O486" s="416"/>
      <c r="P486" s="416"/>
      <c r="Q486" s="416"/>
      <c r="R486" s="416"/>
      <c r="S486" s="416"/>
      <c r="T486" s="416"/>
      <c r="U486" s="416"/>
      <c r="V486" s="416"/>
      <c r="W486" s="416"/>
      <c r="X486" s="416"/>
      <c r="Y486" s="416"/>
      <c r="Z486" s="416"/>
      <c r="AA486" s="416"/>
      <c r="AB486" s="416"/>
      <c r="AF486" s="416"/>
      <c r="AG486" s="416"/>
      <c r="AH486" s="1001"/>
      <c r="AI486" s="1001"/>
      <c r="AJ486" s="1001"/>
      <c r="AK486" s="656"/>
      <c r="AL486" s="656"/>
    </row>
    <row customHeight="1" ht="11.25" hidden="1">
      <c r="A487" s="416"/>
      <c r="B487" s="416"/>
      <c r="C487" s="416"/>
      <c r="D487" s="416"/>
      <c r="E487" s="656"/>
      <c r="F487" s="416"/>
      <c r="G487" s="416"/>
      <c r="H487" s="416"/>
      <c r="I487" s="416"/>
      <c r="J487" s="416"/>
      <c r="K487" s="416"/>
      <c r="L487" s="416"/>
      <c r="M487" s="416"/>
      <c r="N487" s="416"/>
      <c r="O487" s="416"/>
      <c r="P487" s="416"/>
      <c r="Q487" s="416"/>
      <c r="R487" s="416"/>
      <c r="S487" s="416"/>
      <c r="T487" s="416"/>
      <c r="U487" s="416"/>
      <c r="V487" s="416"/>
      <c r="W487" s="416"/>
      <c r="X487" s="416"/>
      <c r="Y487" s="416"/>
      <c r="Z487" s="416"/>
      <c r="AA487" s="416"/>
      <c r="AB487" s="416"/>
      <c r="AF487" s="416"/>
      <c r="AG487" s="416"/>
      <c r="AH487" s="1001"/>
      <c r="AI487" s="1001"/>
      <c r="AJ487" s="1001"/>
      <c r="AK487" s="656"/>
      <c r="AL487" s="656"/>
    </row>
    <row customHeight="1" ht="11.25" hidden="1">
      <c r="A488" s="416"/>
      <c r="B488" s="416"/>
      <c r="C488" s="416"/>
      <c r="D488" s="416"/>
      <c r="E488" s="656"/>
      <c r="F488" s="416"/>
      <c r="G488" s="416"/>
      <c r="H488" s="416"/>
      <c r="I488" s="416"/>
      <c r="J488" s="416"/>
      <c r="K488" s="416"/>
      <c r="L488" s="416"/>
      <c r="M488" s="416"/>
      <c r="N488" s="416"/>
      <c r="O488" s="416"/>
      <c r="P488" s="416"/>
      <c r="Q488" s="416"/>
      <c r="R488" s="416"/>
      <c r="S488" s="416"/>
      <c r="T488" s="416"/>
      <c r="U488" s="416"/>
      <c r="V488" s="416"/>
      <c r="W488" s="416"/>
      <c r="X488" s="416"/>
      <c r="Y488" s="416"/>
      <c r="Z488" s="416"/>
      <c r="AA488" s="416"/>
      <c r="AB488" s="416"/>
      <c r="AF488" s="416"/>
      <c r="AG488" s="416"/>
      <c r="AH488" s="1001"/>
      <c r="AI488" s="1001"/>
      <c r="AJ488" s="1001"/>
      <c r="AK488" s="656"/>
      <c r="AL488" s="656"/>
    </row>
    <row customHeight="1" ht="11.25" hidden="1">
      <c r="A489" s="416"/>
      <c r="B489" s="416"/>
      <c r="C489" s="416"/>
      <c r="D489" s="416"/>
      <c r="E489" s="656"/>
      <c r="F489" s="416"/>
      <c r="G489" s="416"/>
      <c r="H489" s="416"/>
      <c r="I489" s="416"/>
      <c r="J489" s="416"/>
      <c r="K489" s="416"/>
      <c r="L489" s="416"/>
      <c r="M489" s="416"/>
      <c r="N489" s="416"/>
      <c r="O489" s="416"/>
      <c r="P489" s="416"/>
      <c r="Q489" s="416"/>
      <c r="R489" s="416"/>
      <c r="S489" s="416"/>
      <c r="T489" s="416"/>
      <c r="U489" s="416"/>
      <c r="V489" s="416"/>
      <c r="W489" s="416"/>
      <c r="X489" s="416"/>
      <c r="Y489" s="416"/>
      <c r="Z489" s="416"/>
      <c r="AA489" s="416"/>
      <c r="AB489" s="416"/>
      <c r="AF489" s="416"/>
      <c r="AG489" s="416"/>
      <c r="AH489" s="1001"/>
      <c r="AI489" s="1001"/>
      <c r="AJ489" s="1001"/>
      <c r="AK489" s="656"/>
      <c r="AL489" s="656"/>
    </row>
    <row customHeight="1" ht="11.25" hidden="1">
      <c r="A490" s="416"/>
      <c r="B490" s="416"/>
      <c r="C490" s="416"/>
      <c r="D490" s="416"/>
      <c r="E490" s="656"/>
      <c r="F490" s="416"/>
      <c r="G490" s="416"/>
      <c r="H490" s="416"/>
      <c r="I490" s="416"/>
      <c r="J490" s="416"/>
      <c r="K490" s="416"/>
      <c r="L490" s="416"/>
      <c r="M490" s="416"/>
      <c r="N490" s="416"/>
      <c r="O490" s="416"/>
      <c r="P490" s="416"/>
      <c r="Q490" s="416"/>
      <c r="R490" s="416"/>
      <c r="S490" s="416"/>
      <c r="T490" s="416"/>
      <c r="U490" s="416"/>
      <c r="V490" s="416"/>
      <c r="W490" s="416"/>
      <c r="X490" s="416"/>
      <c r="Y490" s="416"/>
      <c r="Z490" s="416"/>
      <c r="AA490" s="416"/>
      <c r="AB490" s="416"/>
      <c r="AF490" s="416"/>
      <c r="AG490" s="416"/>
      <c r="AH490" s="1001"/>
      <c r="AI490" s="1001"/>
      <c r="AJ490" s="1001"/>
      <c r="AK490" s="656"/>
      <c r="AL490" s="656"/>
    </row>
    <row customHeight="1" ht="11.25" hidden="1">
      <c r="A491" s="416"/>
      <c r="B491" s="416"/>
      <c r="C491" s="416"/>
      <c r="D491" s="416"/>
      <c r="E491" s="656"/>
      <c r="F491" s="416"/>
      <c r="G491" s="416"/>
      <c r="H491" s="416"/>
      <c r="I491" s="416"/>
      <c r="J491" s="416"/>
      <c r="K491" s="416"/>
      <c r="L491" s="416"/>
      <c r="M491" s="416"/>
      <c r="N491" s="416"/>
      <c r="O491" s="416"/>
      <c r="P491" s="416"/>
      <c r="Q491" s="416"/>
      <c r="R491" s="416"/>
      <c r="S491" s="416"/>
      <c r="T491" s="416"/>
      <c r="U491" s="416"/>
      <c r="V491" s="416"/>
      <c r="W491" s="416"/>
      <c r="X491" s="416"/>
      <c r="Y491" s="416"/>
      <c r="Z491" s="416"/>
      <c r="AA491" s="416"/>
      <c r="AB491" s="416"/>
      <c r="AF491" s="416"/>
      <c r="AG491" s="416"/>
      <c r="AH491" s="1001"/>
      <c r="AI491" s="1001"/>
      <c r="AJ491" s="1001"/>
      <c r="AK491" s="656"/>
      <c r="AL491" s="656"/>
    </row>
    <row customHeight="1" ht="11.25" hidden="1">
      <c r="A492" s="416"/>
      <c r="B492" s="416"/>
      <c r="C492" s="416"/>
      <c r="D492" s="416"/>
      <c r="E492" s="656"/>
      <c r="F492" s="416"/>
      <c r="G492" s="416"/>
      <c r="H492" s="416"/>
      <c r="I492" s="416"/>
      <c r="J492" s="416"/>
      <c r="K492" s="416"/>
      <c r="L492" s="416"/>
      <c r="M492" s="416"/>
      <c r="N492" s="416"/>
      <c r="O492" s="416"/>
      <c r="P492" s="416"/>
      <c r="Q492" s="416"/>
      <c r="R492" s="416"/>
      <c r="S492" s="416"/>
      <c r="T492" s="416"/>
      <c r="U492" s="416"/>
      <c r="V492" s="416"/>
      <c r="W492" s="416"/>
      <c r="X492" s="416"/>
      <c r="Y492" s="416"/>
      <c r="Z492" s="416"/>
      <c r="AA492" s="416"/>
      <c r="AB492" s="416"/>
      <c r="AF492" s="416"/>
      <c r="AG492" s="416"/>
      <c r="AH492" s="1001"/>
      <c r="AI492" s="1001"/>
      <c r="AJ492" s="1001"/>
      <c r="AK492" s="656"/>
      <c r="AL492" s="656"/>
    </row>
    <row customHeight="1" ht="11.25" hidden="1">
      <c r="A493" s="416"/>
      <c r="B493" s="416"/>
      <c r="C493" s="416"/>
      <c r="D493" s="416"/>
      <c r="E493" s="656"/>
      <c r="F493" s="416"/>
      <c r="G493" s="416"/>
      <c r="H493" s="416"/>
      <c r="I493" s="416"/>
      <c r="J493" s="416"/>
      <c r="K493" s="416"/>
      <c r="L493" s="416"/>
      <c r="M493" s="416"/>
      <c r="N493" s="416"/>
      <c r="O493" s="416"/>
      <c r="P493" s="416"/>
      <c r="Q493" s="416"/>
      <c r="R493" s="416"/>
      <c r="S493" s="416"/>
      <c r="T493" s="416"/>
      <c r="U493" s="416"/>
      <c r="V493" s="416"/>
      <c r="W493" s="416"/>
      <c r="X493" s="416"/>
      <c r="Y493" s="416"/>
      <c r="Z493" s="416"/>
      <c r="AA493" s="416"/>
      <c r="AB493" s="416"/>
      <c r="AF493" s="416"/>
      <c r="AG493" s="416"/>
      <c r="AH493" s="1001"/>
      <c r="AI493" s="1001"/>
      <c r="AJ493" s="1001"/>
      <c r="AK493" s="656"/>
      <c r="AL493" s="656"/>
    </row>
    <row customHeight="1" ht="11.25" hidden="1">
      <c r="A494" s="416"/>
      <c r="B494" s="416"/>
      <c r="C494" s="416"/>
      <c r="D494" s="416"/>
      <c r="E494" s="656"/>
      <c r="F494" s="416"/>
      <c r="G494" s="416"/>
      <c r="H494" s="416"/>
      <c r="I494" s="416"/>
      <c r="J494" s="416"/>
      <c r="K494" s="416"/>
      <c r="L494" s="416"/>
      <c r="M494" s="416"/>
      <c r="N494" s="416"/>
      <c r="O494" s="416"/>
      <c r="P494" s="416"/>
      <c r="Q494" s="416"/>
      <c r="R494" s="416"/>
      <c r="S494" s="416"/>
      <c r="T494" s="416"/>
      <c r="U494" s="416"/>
      <c r="V494" s="416"/>
      <c r="W494" s="416"/>
      <c r="X494" s="416"/>
      <c r="Y494" s="416"/>
      <c r="Z494" s="416"/>
      <c r="AA494" s="416"/>
      <c r="AB494" s="416"/>
      <c r="AF494" s="416"/>
      <c r="AG494" s="416"/>
      <c r="AH494" s="1001"/>
      <c r="AI494" s="1001"/>
      <c r="AJ494" s="1001"/>
      <c r="AK494" s="656"/>
      <c r="AL494" s="656"/>
    </row>
    <row customHeight="1" ht="11.25" hidden="1">
      <c r="A495" s="416"/>
      <c r="B495" s="416"/>
      <c r="C495" s="416"/>
      <c r="D495" s="416"/>
      <c r="E495" s="656"/>
      <c r="F495" s="416"/>
      <c r="G495" s="416"/>
      <c r="H495" s="416"/>
      <c r="I495" s="416"/>
      <c r="J495" s="416"/>
      <c r="K495" s="416"/>
      <c r="L495" s="416"/>
      <c r="M495" s="416"/>
      <c r="N495" s="416"/>
      <c r="O495" s="416"/>
      <c r="P495" s="416"/>
      <c r="Q495" s="416"/>
      <c r="R495" s="416"/>
      <c r="S495" s="416"/>
      <c r="T495" s="416"/>
      <c r="U495" s="416"/>
      <c r="V495" s="416"/>
      <c r="W495" s="416"/>
      <c r="X495" s="416"/>
      <c r="Y495" s="416"/>
      <c r="Z495" s="416"/>
      <c r="AA495" s="416"/>
      <c r="AB495" s="416"/>
      <c r="AF495" s="416"/>
      <c r="AG495" s="416"/>
      <c r="AH495" s="1001"/>
      <c r="AI495" s="1001"/>
      <c r="AJ495" s="1001"/>
      <c r="AK495" s="656"/>
      <c r="AL495" s="656"/>
    </row>
    <row customHeight="1" ht="11.25" hidden="1">
      <c r="A496" s="416"/>
      <c r="B496" s="416"/>
      <c r="C496" s="416"/>
      <c r="D496" s="416"/>
      <c r="E496" s="656"/>
      <c r="F496" s="416"/>
      <c r="G496" s="416"/>
      <c r="H496" s="416"/>
      <c r="I496" s="416"/>
      <c r="J496" s="416"/>
      <c r="K496" s="416"/>
      <c r="L496" s="416"/>
      <c r="M496" s="416"/>
      <c r="N496" s="416"/>
      <c r="O496" s="416"/>
      <c r="P496" s="416"/>
      <c r="Q496" s="416"/>
      <c r="R496" s="416"/>
      <c r="S496" s="416"/>
      <c r="T496" s="416"/>
      <c r="U496" s="416"/>
      <c r="V496" s="416"/>
      <c r="W496" s="416"/>
      <c r="X496" s="416"/>
      <c r="Y496" s="416"/>
      <c r="Z496" s="416"/>
      <c r="AA496" s="416"/>
      <c r="AB496" s="416"/>
      <c r="AF496" s="416"/>
      <c r="AG496" s="416"/>
      <c r="AH496" s="1001"/>
      <c r="AI496" s="1001"/>
      <c r="AJ496" s="1001"/>
      <c r="AK496" s="656"/>
      <c r="AL496" s="656"/>
    </row>
  </sheetData>
  <sheetProtection formatColumns="0" formatRows="0" insertRows="0" deleteColumns="0" deleteRows="0" sort="0" autoFilter="0" insertColumns="1"/>
  <mergeCells count="18">
    <mergeCell ref="AB22:AE22"/>
    <mergeCell ref="AB474:AE474"/>
    <mergeCell ref="AB475:AE475"/>
    <mergeCell ref="X27:X115"/>
    <mergeCell ref="Z27:Z115"/>
    <mergeCell ref="AB23:AE23"/>
    <mergeCell ref="AB24:AB25"/>
    <mergeCell ref="AC24:AC25"/>
    <mergeCell ref="AD24:AD25"/>
    <mergeCell ref="AB473:AE473"/>
    <mergeCell ref="X116:X204"/>
    <mergeCell ref="Z116:Z204"/>
    <mergeCell ref="X205:X293"/>
    <mergeCell ref="Z205:Z293"/>
    <mergeCell ref="X294:X382"/>
    <mergeCell ref="Z294:Z382"/>
    <mergeCell ref="X383:X471"/>
    <mergeCell ref="Z383:Z471"/>
  </mergeCell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40C5C2-63C8-DDAE-6278-E47A672978FA}" mc:Ignorable="x14ac xr xr2 xr3">
  <sheetPr>
    <tabColor rgb="FF92D050"/>
    <outlinePr summaryRight="0" summaryBelow="0"/>
    <pageSetUpPr fitToPage="1"/>
  </sheetPr>
  <dimension ref="A1:AI129"/>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8.7109375" customHeight="1" defaultRowHeight="11.25"/>
  <cols>
    <col min="1" max="4" style="1459" width="2.7109375" hidden="1" customWidth="1"/>
    <col min="5" max="5" style="1419" width="4.57421875" hidden="1" customWidth="1"/>
    <col min="6" max="6" style="1459" width="2.7109375" hidden="1" customWidth="1"/>
    <col min="7" max="7" style="1459" width="13.28125" hidden="1" customWidth="1"/>
    <col min="8" max="19" style="1459" width="2.7109375" hidden="1" customWidth="1"/>
    <col min="20" max="20" style="1459" width="8.57421875" hidden="1" customWidth="1"/>
    <col min="21" max="26" style="1459" width="2.7109375" hidden="1" customWidth="1"/>
    <col min="27" max="27" style="1459" width="3.00390625" customWidth="1"/>
    <col min="28" max="28" style="1459" width="11.00390625" customWidth="1"/>
    <col min="29" max="29" style="1459" width="57.00390625" customWidth="1"/>
    <col min="30" max="30" style="1597" width="14.57421875" customWidth="1"/>
    <col min="31" max="32" style="1597" width="12.57421875" customWidth="1"/>
    <col min="33" max="33" style="1459" width="3.00390625" customWidth="1"/>
    <col min="34" max="34" style="1459" width="8.7109375" hidden="1"/>
    <col min="35" max="35" style="1424" width="8.7109375" hidden="1"/>
  </cols>
  <sheetData>
    <row customHeight="1" ht="11.25" hidden="1">
      <c r="E1" s="488"/>
      <c r="F1" s="488" t="s">
        <v>321</v>
      </c>
      <c r="H1" s="488" t="s">
        <v>331</v>
      </c>
      <c r="T1" s="465" t="s">
        <v>93</v>
      </c>
      <c r="U1" s="465" t="s">
        <v>98</v>
      </c>
      <c r="V1" s="465" t="s">
        <v>94</v>
      </c>
      <c r="W1" s="465" t="s">
        <v>95</v>
      </c>
      <c r="X1" s="465" t="s">
        <v>96</v>
      </c>
      <c r="Y1" s="467" t="s">
        <v>323</v>
      </c>
      <c r="Z1" s="465" t="s">
        <v>100</v>
      </c>
      <c r="AA1" s="467" t="s">
        <v>97</v>
      </c>
      <c r="AC1" s="467" t="s">
        <v>99</v>
      </c>
      <c r="AI1" s="1025" t="s">
        <v>324</v>
      </c>
    </row>
    <row customHeight="1" ht="11.25" hidden="1">
      <c r="B2" s="445" t="s">
        <v>19</v>
      </c>
      <c r="E2" s="488"/>
      <c r="AE2" s="1597" cm="1" t="str">
        <f t="array" ref="AE2:AE2">isOrgDeclare</f>
        <v>true</v>
      </c>
    </row>
    <row customHeight="1" ht="11.25" hidden="1">
      <c r="E3" s="488"/>
    </row>
    <row customHeight="1" ht="11.25" hidden="1">
      <c r="E4" s="488"/>
    </row>
    <row s="1419" customFormat="1" customHeight="1" ht="11.25" hidden="1">
      <c r="A5" s="488"/>
      <c r="B5" s="488"/>
      <c r="C5" s="488"/>
      <c r="D5" s="488"/>
      <c r="E5" s="649" t="s">
        <v>20</v>
      </c>
      <c r="AA5" s="649">
        <v>3</v>
      </c>
      <c r="AB5" s="649">
        <v>11</v>
      </c>
      <c r="AC5" s="649">
        <v>57</v>
      </c>
      <c r="AD5" s="651">
        <v>14.57</v>
      </c>
      <c r="AE5" s="651">
        <v>12.57</v>
      </c>
      <c r="AF5" s="651">
        <v>12.57</v>
      </c>
      <c r="AG5" s="649">
        <v>3</v>
      </c>
      <c r="AI5" s="1025"/>
    </row>
    <row customHeight="1" ht="11.25" hidden="1">
      <c r="A6" s="488" t="s">
        <v>360</v>
      </c>
      <c r="AE6" s="559" cm="1" t="str">
        <f t="array" ref="AE6:AE6">god</f>
        <v>2026</v>
      </c>
      <c r="AF6" s="559" cm="1" t="str">
        <f t="array" ref="AF6:AF6">god</f>
        <v>2026</v>
      </c>
    </row>
    <row customHeight="1" ht="11.25" hidden="1">
      <c r="A7" s="488" t="s">
        <v>361</v>
      </c>
      <c r="AE7" s="559" cm="1" t="str">
        <f t="array" ref="AE7:AE7">AE25</f>
        <v>Предложение организации</v>
      </c>
      <c r="AF7" s="559" cm="1" t="str">
        <f t="array" ref="AF7:AF7">AF25</f>
        <v>Принято органом регулирования</v>
      </c>
    </row>
    <row customHeight="1" ht="11.25" hidden="1">
      <c r="AE8" s="559"/>
      <c r="AF8" s="559"/>
    </row>
    <row s="1424" customFormat="1" customHeight="1" ht="11.25" hidden="1">
      <c r="A9" s="1025" t="s">
        <v>366</v>
      </c>
      <c r="AD9" s="1026"/>
      <c r="AE9" s="1077" cm="1" t="str">
        <f t="array" ref="AE9:AE9">AE25</f>
        <v>Предложение организации</v>
      </c>
      <c r="AF9" s="1077" cm="1" t="str">
        <f t="array" ref="AF9:AF9">AF25</f>
        <v>Принято органом регулирования</v>
      </c>
    </row>
    <row customHeight="1" ht="11.25" hidden="1">
      <c r="AE10" s="559"/>
      <c r="AF10" s="559"/>
    </row>
    <row customHeight="1" ht="11.25" hidden="1">
      <c r="AE11" s="559"/>
      <c r="AF11" s="559"/>
    </row>
    <row customHeight="1" ht="11.25" hidden="1">
      <c r="AE12" s="559"/>
      <c r="AF12" s="559"/>
    </row>
    <row customHeight="1" ht="11.25" hidden="1">
      <c r="AE13" s="559"/>
      <c r="AF13" s="559"/>
    </row>
    <row customHeight="1" ht="11.25" hidden="1">
      <c r="AE14" s="559"/>
      <c r="AF14" s="559"/>
    </row>
    <row customHeight="1" ht="11.25" hidden="1">
      <c r="AE15" s="559"/>
      <c r="AF15" s="559"/>
    </row>
    <row customHeight="1" ht="11.25" hidden="1">
      <c r="AE16" s="559"/>
      <c r="AF16" s="559"/>
    </row>
    <row customHeight="1" ht="11.25" hidden="1">
      <c r="AE17" s="517"/>
      <c r="AF17" s="517"/>
    </row>
    <row customHeight="1" ht="11.25" hidden="1">
      <c r="AE18" s="522">
        <f>_xlfn.SUMIFS('Перечень объектов'!AH$24:AH$87,'Перечень объектов'!$F$24:$F$87,$F29,'Перечень объектов'!$L$24:$L$87,"ЭЭ")</f>
        <v>0</v>
      </c>
    </row>
    <row customHeight="1" ht="11.25" hidden="1"/>
    <row customHeight="1" ht="11.25" hidden="1"/>
    <row customHeight="1" ht="14.625">
      <c r="E21" s="649">
        <v>15</v>
      </c>
      <c r="AA21" s="488"/>
      <c r="AC21" s="523" cm="1" t="str">
        <f t="array" ref="AC21:AC21">tpl_title</f>
        <v>Кемеровская область / 2026 / ООО "Теплоэнерго" (ИНН:4214046200, КПП:421401001) / ДПР: 2026-2030</v>
      </c>
    </row>
    <row customHeight="1" ht="32.90625">
      <c r="E22" s="649">
        <v>33.75</v>
      </c>
      <c r="AB22" s="1611" t="s">
        <v>91</v>
      </c>
      <c r="AC22" s="1612"/>
      <c r="AD22" s="1612"/>
      <c r="AE22" s="1612"/>
      <c r="AF22" s="1612"/>
    </row>
    <row customHeight="1" ht="10.96875">
      <c r="E23" s="649">
        <v>11.25</v>
      </c>
      <c r="AB23" s="1581"/>
      <c r="AC23" s="1581"/>
      <c r="AD23" s="1581"/>
      <c r="AE23" s="1581"/>
      <c r="AF23" s="1581"/>
    </row>
    <row customHeight="1" ht="14.625">
      <c r="E24" s="649">
        <v>15</v>
      </c>
      <c r="AB24" s="1577" t="s">
        <v>1496</v>
      </c>
      <c r="AC24" s="1608" t="s">
        <v>195</v>
      </c>
      <c r="AD24" s="1577" t="s">
        <v>370</v>
      </c>
      <c r="AE24" s="1661" t="str">
        <f>god&amp;" год"</f>
        <v>2026 год</v>
      </c>
      <c r="AF24" s="1662"/>
    </row>
    <row customHeight="1" ht="48.75">
      <c r="E25" s="649">
        <v>50</v>
      </c>
      <c r="AB25" s="1577"/>
      <c r="AC25" s="1608"/>
      <c r="AD25" s="1577"/>
      <c r="AE25" s="1344" t="s">
        <v>363</v>
      </c>
      <c r="AF25" s="760" t="s">
        <v>362</v>
      </c>
    </row>
    <row customHeight="1" ht="11.25" hidden="1">
      <c r="E26" s="649">
        <v>0</v>
      </c>
      <c r="AB26" s="724"/>
      <c r="AC26" s="738"/>
      <c r="AD26" s="724"/>
      <c r="AE26" s="1345"/>
      <c r="AF26" s="1345"/>
    </row>
    <row customHeight="1" ht="14.625" hidden="1">
      <c r="A27" s="1459"/>
      <c r="B27" s="1459"/>
      <c r="C27" s="1459"/>
      <c r="D27" s="1459"/>
      <c r="E27" s="649">
        <v>15</v>
      </c>
      <c r="F27" s="488" cm="1" t="str">
        <f t="array" ref="F27:F27">X27</f>
        <v>0</v>
      </c>
      <c r="G27" s="1459"/>
      <c r="H27" s="1459"/>
      <c r="I27" s="1459"/>
      <c r="J27" s="1459"/>
      <c r="K27" s="1459"/>
      <c r="L27" s="1459"/>
      <c r="M27" s="1459"/>
      <c r="N27" s="1459"/>
      <c r="O27" s="1459"/>
      <c r="P27" s="1459"/>
      <c r="Q27" s="1459"/>
      <c r="R27" s="1459"/>
      <c r="S27" s="1459"/>
      <c r="T27" s="465">
        <f>X27&gt;0</f>
        <v>0</v>
      </c>
      <c r="U27" s="1459"/>
      <c r="V27" s="488" t="s">
        <v>265</v>
      </c>
      <c r="W27" s="1459"/>
      <c r="X27" s="1596">
        <v>0</v>
      </c>
      <c r="Y27" s="1459"/>
      <c r="Z27" s="1597"/>
      <c r="AA27" s="1459"/>
      <c r="AB27" s="222" cm="1" t="str">
        <f t="array" ref="AB27:AB27">INDEX('Общие сведения'!$AG$179:$AG$250,MATCH($X27,'Общие сведения'!$Z$179:$Z$250,0))</f>
        <v>Тариф 0 () - </v>
      </c>
      <c r="AC27" s="1292"/>
      <c r="AD27" s="1293"/>
      <c r="AE27" s="1293"/>
      <c r="AF27" s="1294"/>
      <c r="AG27" s="1459"/>
      <c r="AH27" s="1459"/>
      <c r="AI27" s="1424"/>
    </row>
    <row s="525" customFormat="1" customHeight="1" ht="21.9375" hidden="1">
      <c r="A28" s="525"/>
      <c r="B28" s="525"/>
      <c r="C28" s="525"/>
      <c r="D28" s="525"/>
      <c r="E28" s="674">
        <v>22.5</v>
      </c>
      <c r="F28" s="50" cm="1" t="str">
        <f t="array" ref="F28:F28">OFFSET(E28,-1,1)</f>
        <v>0</v>
      </c>
      <c r="G28" s="525"/>
      <c r="H28" s="488" t="s">
        <v>332</v>
      </c>
      <c r="I28" s="488"/>
      <c r="J28" s="488"/>
      <c r="K28" s="488"/>
      <c r="L28" s="525"/>
      <c r="M28" s="525"/>
      <c r="N28" s="525"/>
      <c r="O28" s="525"/>
      <c r="P28" s="525"/>
      <c r="Q28" s="525"/>
      <c r="R28" s="525"/>
      <c r="S28" s="525"/>
      <c r="T28" s="465" cm="1" t="str">
        <f t="array" ref="T28:T28">T27</f>
        <v>false</v>
      </c>
      <c r="U28" s="525"/>
      <c r="V28" s="525"/>
      <c r="W28" s="525"/>
      <c r="X28" s="1596"/>
      <c r="Y28" s="525"/>
      <c r="Z28" s="1597"/>
      <c r="AA28" s="525"/>
      <c r="AB28" s="515" t="s">
        <v>276</v>
      </c>
      <c r="AC28" s="531" t="s">
        <v>3120</v>
      </c>
      <c r="AD28" s="515" t="s">
        <v>1514</v>
      </c>
      <c r="AE28" s="527">
        <f>(AE29+AE37)*AE35</f>
        <v>0</v>
      </c>
      <c r="AF28" s="527">
        <f>(AF29+AF37)*AF35</f>
        <v>0</v>
      </c>
      <c r="AG28" s="525"/>
      <c r="AH28" s="525"/>
      <c r="AI28" s="1035" t="s">
        <v>3121</v>
      </c>
    </row>
    <row customHeight="1" ht="21.9375" hidden="1">
      <c r="A29" s="1459"/>
      <c r="B29" s="1459"/>
      <c r="C29" s="1459"/>
      <c r="D29" s="1459"/>
      <c r="E29" s="649">
        <v>22.5</v>
      </c>
      <c r="F29" s="50" cm="1" t="str">
        <f t="array" ref="F29:F29">OFFSET(E29,-1,1)</f>
        <v>0</v>
      </c>
      <c r="G29" s="488" t="s">
        <v>3122</v>
      </c>
      <c r="H29" s="488" t="s">
        <v>333</v>
      </c>
      <c r="I29" s="1459"/>
      <c r="J29" s="1459"/>
      <c r="K29" s="488" t="str">
        <f>F29&amp;G29</f>
        <v>0УТР</v>
      </c>
      <c r="L29" s="1086" cm="1" t="str">
        <f t="array" ref="L29:L29">AE29</f>
        <v>0</v>
      </c>
      <c r="M29" s="1086" cm="1" t="str">
        <f t="array" ref="M29:M29">AF29</f>
        <v>0</v>
      </c>
      <c r="N29" s="1459"/>
      <c r="O29" s="1459"/>
      <c r="P29" s="1459"/>
      <c r="Q29" s="1459"/>
      <c r="R29" s="1459"/>
      <c r="S29" s="1459"/>
      <c r="T29" s="465" cm="1" t="str">
        <f t="array" ref="T29:T29">T28</f>
        <v>false</v>
      </c>
      <c r="U29" s="1459"/>
      <c r="V29" s="1459"/>
      <c r="W29" s="1459"/>
      <c r="X29" s="1596"/>
      <c r="Y29" s="1459"/>
      <c r="Z29" s="1597"/>
      <c r="AA29" s="1459"/>
      <c r="AB29" s="515" t="s">
        <v>285</v>
      </c>
      <c r="AC29" s="526" t="s">
        <v>1772</v>
      </c>
      <c r="AD29" s="515" t="s">
        <v>1764</v>
      </c>
      <c r="AE29" s="1085">
        <f>IF(AE34=0,0,(AE30-IF(_xlfn.SUMIFS('Перечень объектов'!AH$24:AH$87,'Перечень объектов'!$F$24:$F$87,$F29,'Перечень объектов'!$G$24:$G$87,"ЭЭ")&gt;0,0,AE31))/AE34)</f>
        <v>0</v>
      </c>
      <c r="AF29" s="1085">
        <f>IF(AF34=0,0,(AF30-IF(_xlfn.SUMIFS('Перечень объектов'!AI$24:AI$87,'Перечень объектов'!$F$24:$F$87,$F29,'Перечень объектов'!$G$24:$G$87,"ЭЭ")&gt;0,0,AF31))/AF34)</f>
        <v>0</v>
      </c>
      <c r="AG29" s="1459"/>
      <c r="AH29" s="1459"/>
      <c r="AI29" s="1025" t="s">
        <v>3123</v>
      </c>
    </row>
    <row customHeight="1" ht="32.90625" hidden="1">
      <c r="A30" s="1459"/>
      <c r="B30" s="1459"/>
      <c r="C30" s="1459"/>
      <c r="D30" s="1459"/>
      <c r="E30" s="649">
        <v>33.75</v>
      </c>
      <c r="F30" s="50" cm="1" t="str">
        <f t="array" ref="F30:F30">OFFSET(E30,-1,1)</f>
        <v>0</v>
      </c>
      <c r="G30" s="1459"/>
      <c r="H30" s="488" t="s">
        <v>1193</v>
      </c>
      <c r="I30" s="1459"/>
      <c r="J30" s="1459"/>
      <c r="K30" s="1459"/>
      <c r="L30" s="1459"/>
      <c r="M30" s="1459"/>
      <c r="N30" s="1459"/>
      <c r="O30" s="1459"/>
      <c r="P30" s="1459"/>
      <c r="Q30" s="1459"/>
      <c r="R30" s="1459"/>
      <c r="S30" s="1459"/>
      <c r="T30" s="465" cm="1" t="str">
        <f t="array" ref="T30:T30">T29</f>
        <v>false</v>
      </c>
      <c r="U30" s="1459"/>
      <c r="V30" s="1459"/>
      <c r="W30" s="1459"/>
      <c r="X30" s="1596"/>
      <c r="Y30" s="1459"/>
      <c r="Z30" s="1597"/>
      <c r="AA30" s="1459"/>
      <c r="AB30" s="515" t="s">
        <v>1250</v>
      </c>
      <c r="AC30" s="562" t="s">
        <v>3124</v>
      </c>
      <c r="AD30" s="515" t="s">
        <v>1514</v>
      </c>
      <c r="AE30" s="3600"/>
      <c r="AF30" s="527">
        <f>_xlfn.SUMIFS(ГО!AE$25:AE$472,ГО!$F$25:$F$472,$F30,ГО!$G$25:$G$472,"Итог")*(1+AF32/100)*(1+AF33/100)</f>
        <v>0</v>
      </c>
      <c r="AG30" s="1459"/>
      <c r="AH30" s="1459"/>
      <c r="AI30" s="1025" t="s">
        <v>3125</v>
      </c>
    </row>
    <row s="525" customFormat="1" customHeight="1" ht="14.625" hidden="1">
      <c r="A31" s="525"/>
      <c r="B31" s="525"/>
      <c r="C31" s="525"/>
      <c r="D31" s="525"/>
      <c r="E31" s="674">
        <v>15</v>
      </c>
      <c r="F31" s="50" cm="1" t="str">
        <f t="array" ref="F31:F31">OFFSET(E31,-1,1)</f>
        <v>0</v>
      </c>
      <c r="G31" s="525"/>
      <c r="H31" s="488" t="s">
        <v>2295</v>
      </c>
      <c r="I31" s="488"/>
      <c r="J31" s="488"/>
      <c r="K31" s="488"/>
      <c r="L31" s="525"/>
      <c r="M31" s="525"/>
      <c r="N31" s="525"/>
      <c r="O31" s="525"/>
      <c r="P31" s="525"/>
      <c r="Q31" s="525"/>
      <c r="R31" s="525"/>
      <c r="S31" s="525"/>
      <c r="T31" s="465" cm="1" t="str">
        <f t="array" ref="T31:T31">T30</f>
        <v>false</v>
      </c>
      <c r="U31" s="525"/>
      <c r="V31" s="525"/>
      <c r="W31" s="525"/>
      <c r="X31" s="1596"/>
      <c r="Y31" s="525"/>
      <c r="Z31" s="1597"/>
      <c r="AA31" s="525"/>
      <c r="AB31" s="515" t="s">
        <v>1201</v>
      </c>
      <c r="AC31" s="1295" t="s">
        <v>3126</v>
      </c>
      <c r="AD31" s="515" t="s">
        <v>1514</v>
      </c>
      <c r="AE31" s="3600"/>
      <c r="AF31" s="527">
        <f>_xlfn.SUMIFS(ГО!AE$25:AE$472,ГО!$F$25:$F$472,$F31,ГО!$G$25:$G$472,"ЭЭ")*(1+AF32/100)*(1+AF33/100)</f>
        <v>0</v>
      </c>
      <c r="AG31" s="525"/>
      <c r="AH31" s="525"/>
      <c r="AI31" s="1035" t="s">
        <v>2446</v>
      </c>
    </row>
    <row s="525" customFormat="1" customHeight="1" ht="14.625" hidden="1">
      <c r="A32" s="525"/>
      <c r="B32" s="525"/>
      <c r="C32" s="525"/>
      <c r="D32" s="525"/>
      <c r="E32" s="674">
        <v>15</v>
      </c>
      <c r="F32" s="50" cm="1" t="str">
        <f t="array" ref="F32:F32">OFFSET(E32,-1,1)</f>
        <v>0</v>
      </c>
      <c r="G32" s="525"/>
      <c r="H32" s="488" t="s">
        <v>1196</v>
      </c>
      <c r="I32" s="488"/>
      <c r="J32" s="488"/>
      <c r="K32" s="488"/>
      <c r="L32" s="525"/>
      <c r="M32" s="525"/>
      <c r="N32" s="525"/>
      <c r="O32" s="525"/>
      <c r="P32" s="525"/>
      <c r="Q32" s="525"/>
      <c r="R32" s="525"/>
      <c r="S32" s="525"/>
      <c r="T32" s="465" cm="1" t="str">
        <f t="array" ref="T32:T32">T31</f>
        <v>false</v>
      </c>
      <c r="U32" s="525"/>
      <c r="V32" s="525"/>
      <c r="W32" s="525"/>
      <c r="X32" s="1596"/>
      <c r="Y32" s="525"/>
      <c r="Z32" s="1597"/>
      <c r="AA32" s="525"/>
      <c r="AB32" s="515" t="s">
        <v>1254</v>
      </c>
      <c r="AC32" s="562" t="str">
        <f>"индекс потребительских цен на "&amp;god-1&amp;" год"</f>
        <v>индекс потребительских цен на 2025 год</v>
      </c>
      <c r="AD32" s="515" t="s">
        <v>1170</v>
      </c>
      <c r="AE32" s="3600"/>
      <c r="AF32" s="3600"/>
      <c r="AG32" s="525"/>
      <c r="AH32" s="525"/>
      <c r="AI32" s="1035" t="s">
        <v>3127</v>
      </c>
    </row>
    <row s="525" customFormat="1" customHeight="1" ht="14.625" hidden="1">
      <c r="A33" s="525"/>
      <c r="B33" s="525"/>
      <c r="C33" s="525"/>
      <c r="D33" s="525"/>
      <c r="E33" s="674">
        <v>15</v>
      </c>
      <c r="F33" s="50" cm="1" t="str">
        <f t="array" ref="F33:F33">OFFSET(E33,-1,1)</f>
        <v>0</v>
      </c>
      <c r="G33" s="525"/>
      <c r="H33" s="488" t="s">
        <v>1648</v>
      </c>
      <c r="I33" s="488"/>
      <c r="J33" s="488"/>
      <c r="K33" s="488"/>
      <c r="L33" s="525"/>
      <c r="M33" s="525"/>
      <c r="N33" s="525"/>
      <c r="O33" s="525"/>
      <c r="P33" s="525"/>
      <c r="Q33" s="525"/>
      <c r="R33" s="525"/>
      <c r="S33" s="525"/>
      <c r="T33" s="465" cm="1" t="str">
        <f t="array" ref="T33:T33">T32</f>
        <v>false</v>
      </c>
      <c r="U33" s="525"/>
      <c r="V33" s="525"/>
      <c r="W33" s="525"/>
      <c r="X33" s="1596"/>
      <c r="Y33" s="525"/>
      <c r="Z33" s="1597"/>
      <c r="AA33" s="525"/>
      <c r="AB33" s="515" t="s">
        <v>1258</v>
      </c>
      <c r="AC33" s="562" t="str">
        <f>"индекс потребительских цен на "&amp;god&amp;" год"</f>
        <v>индекс потребительских цен на 2026 год</v>
      </c>
      <c r="AD33" s="515" t="s">
        <v>1170</v>
      </c>
      <c r="AE33" s="3600"/>
      <c r="AF33" s="3600"/>
      <c r="AG33" s="525"/>
      <c r="AH33" s="525"/>
      <c r="AI33" s="1035" t="s">
        <v>3128</v>
      </c>
    </row>
    <row s="525" customFormat="1" customHeight="1" ht="21.9375" hidden="1">
      <c r="A34" s="525"/>
      <c r="B34" s="525"/>
      <c r="C34" s="525"/>
      <c r="D34" s="525"/>
      <c r="E34" s="674">
        <v>22.5</v>
      </c>
      <c r="F34" s="50" cm="1" t="str">
        <f t="array" ref="F34:F34">OFFSET(E34,-1,1)</f>
        <v>0</v>
      </c>
      <c r="G34" s="525"/>
      <c r="H34" s="488" t="s">
        <v>1650</v>
      </c>
      <c r="I34" s="488"/>
      <c r="J34" s="488"/>
      <c r="K34" s="488"/>
      <c r="L34" s="525"/>
      <c r="M34" s="525"/>
      <c r="N34" s="525"/>
      <c r="O34" s="525"/>
      <c r="P34" s="525"/>
      <c r="Q34" s="525"/>
      <c r="R34" s="525"/>
      <c r="S34" s="525"/>
      <c r="T34" s="465" cm="1" t="str">
        <f t="array" ref="T34:T34">T33</f>
        <v>false</v>
      </c>
      <c r="U34" s="525"/>
      <c r="V34" s="525"/>
      <c r="W34" s="525"/>
      <c r="X34" s="1596"/>
      <c r="Y34" s="525"/>
      <c r="Z34" s="1597"/>
      <c r="AA34" s="525"/>
      <c r="AB34" s="515" t="s">
        <v>1651</v>
      </c>
      <c r="AC34" s="562" t="s">
        <v>3129</v>
      </c>
      <c r="AD34" s="515" t="s">
        <v>1506</v>
      </c>
      <c r="AE34" s="3600"/>
      <c r="AF34" s="3600"/>
      <c r="AG34" s="525"/>
      <c r="AH34" s="525"/>
      <c r="AI34" s="1035" t="s">
        <v>3130</v>
      </c>
    </row>
    <row s="525" customFormat="1" customHeight="1" ht="14.625" hidden="1">
      <c r="A35" s="525"/>
      <c r="B35" s="525"/>
      <c r="C35" s="525"/>
      <c r="D35" s="525"/>
      <c r="E35" s="674">
        <v>15</v>
      </c>
      <c r="F35" s="50" cm="1" t="str">
        <f t="array" ref="F35:F35">OFFSET(E35,-1,1)</f>
        <v>0</v>
      </c>
      <c r="G35" s="525"/>
      <c r="H35" s="488" t="s">
        <v>334</v>
      </c>
      <c r="I35" s="488"/>
      <c r="J35" s="488"/>
      <c r="K35" s="488"/>
      <c r="L35" s="525"/>
      <c r="M35" s="525"/>
      <c r="N35" s="525"/>
      <c r="O35" s="525"/>
      <c r="P35" s="525"/>
      <c r="Q35" s="525"/>
      <c r="R35" s="525"/>
      <c r="S35" s="525"/>
      <c r="T35" s="465" cm="1" t="str">
        <f t="array" ref="T35:T35">T34</f>
        <v>false</v>
      </c>
      <c r="U35" s="525"/>
      <c r="V35" s="525"/>
      <c r="W35" s="525"/>
      <c r="X35" s="1596"/>
      <c r="Y35" s="525"/>
      <c r="Z35" s="1597"/>
      <c r="AA35" s="525"/>
      <c r="AB35" s="515" t="s">
        <v>289</v>
      </c>
      <c r="AC35" s="1296" t="s">
        <v>3131</v>
      </c>
      <c r="AD35" s="515" t="s">
        <v>1506</v>
      </c>
      <c r="AE35" s="530">
        <f>_xlfn.SUMIFS('Условные метры'!AL$27:AL$44,'Условные метры'!$F$27:$F$44,$F35,'Условные метры'!$G$27:$G$44,"Итог")</f>
        <v>0</v>
      </c>
      <c r="AF35" s="530">
        <f>_xlfn.SUMIFS('Условные метры'!AN$27:AN$44,'Условные метры'!$F$27:$F$44,$F35,'Условные метры'!$G$27:$G$44,"Итог")</f>
        <v>0</v>
      </c>
      <c r="AG35" s="525"/>
      <c r="AH35" s="525"/>
      <c r="AI35" s="1035" t="s">
        <v>3132</v>
      </c>
    </row>
    <row s="525" customFormat="1" customHeight="1" ht="14.625" hidden="1">
      <c r="A36" s="525"/>
      <c r="B36" s="525"/>
      <c r="C36" s="525"/>
      <c r="D36" s="525"/>
      <c r="E36" s="674">
        <v>15</v>
      </c>
      <c r="F36" s="50" cm="1" t="str">
        <f t="array" ref="F36:F36">OFFSET(E36,-1,1)</f>
        <v>0</v>
      </c>
      <c r="G36" s="525"/>
      <c r="H36" s="488" t="s">
        <v>1658</v>
      </c>
      <c r="I36" s="488"/>
      <c r="J36" s="488"/>
      <c r="K36" s="488"/>
      <c r="L36" s="525"/>
      <c r="M36" s="525"/>
      <c r="N36" s="525"/>
      <c r="O36" s="525"/>
      <c r="P36" s="525"/>
      <c r="Q36" s="525"/>
      <c r="R36" s="525"/>
      <c r="S36" s="525"/>
      <c r="T36" s="465" cm="1" t="str">
        <f t="array" ref="T36:T36">T35</f>
        <v>false</v>
      </c>
      <c r="U36" s="525"/>
      <c r="V36" s="525"/>
      <c r="W36" s="525"/>
      <c r="X36" s="1596"/>
      <c r="Y36" s="525"/>
      <c r="Z36" s="1597"/>
      <c r="AA36" s="525"/>
      <c r="AB36" s="515" t="s">
        <v>1264</v>
      </c>
      <c r="AC36" s="562" t="s">
        <v>3133</v>
      </c>
      <c r="AD36" s="515" t="s">
        <v>388</v>
      </c>
      <c r="AE36" s="530">
        <f>_xlfn.SUMIFS('Условные метры'!AK$27:AK$44,'Условные метры'!$F$27:$F$44,$F36,'Условные метры'!$G$27:$G$44,"Итог")</f>
        <v>0</v>
      </c>
      <c r="AF36" s="530">
        <f>_xlfn.SUMIFS('Условные метры'!AM$27:AM$44,'Условные метры'!$F$27:$F$44,$F36,'Условные метры'!$G$27:$G$44,"Итог")</f>
        <v>0</v>
      </c>
      <c r="AG36" s="525"/>
      <c r="AH36" s="525"/>
      <c r="AI36" s="1035" t="s">
        <v>3134</v>
      </c>
    </row>
    <row s="525" customFormat="1" customHeight="1" ht="14.625" hidden="1">
      <c r="A37" s="525"/>
      <c r="B37" s="525"/>
      <c r="C37" s="525"/>
      <c r="D37" s="525"/>
      <c r="E37" s="674">
        <v>15</v>
      </c>
      <c r="F37" s="50" cm="1" t="str">
        <f t="array" ref="F37:F37">OFFSET(E37,-1,1)</f>
        <v>0</v>
      </c>
      <c r="G37" s="525"/>
      <c r="H37" s="488" t="s">
        <v>336</v>
      </c>
      <c r="I37" s="488"/>
      <c r="J37" s="488"/>
      <c r="K37" s="488"/>
      <c r="L37" s="525"/>
      <c r="M37" s="525"/>
      <c r="N37" s="525"/>
      <c r="O37" s="525"/>
      <c r="P37" s="525"/>
      <c r="Q37" s="525"/>
      <c r="R37" s="525"/>
      <c r="S37" s="525"/>
      <c r="T37" s="465" cm="1" t="str">
        <f t="array" ref="T37:T37">T36</f>
        <v>false</v>
      </c>
      <c r="U37" s="525"/>
      <c r="V37" s="525"/>
      <c r="W37" s="525"/>
      <c r="X37" s="1596"/>
      <c r="Y37" s="525"/>
      <c r="Z37" s="1597"/>
      <c r="AA37" s="525"/>
      <c r="AB37" s="515" t="s">
        <v>295</v>
      </c>
      <c r="AC37" s="561" t="s">
        <v>3135</v>
      </c>
      <c r="AD37" s="515" t="s">
        <v>1764</v>
      </c>
      <c r="AE37" s="530">
        <f>_xlfn.SUMIFS('Амортизация (аналог)'!AE$25:AE$62,'Амортизация (аналог)'!$F$25:$F$62,$F37,'Амортизация (аналог)'!$AB$25:$AB$62,"2")</f>
        <v>0</v>
      </c>
      <c r="AF37" s="530">
        <f>_xlfn.SUMIFS('Амортизация (аналог)'!AF$25:AF$62,'Амортизация (аналог)'!$F$25:$F$62,$F37,'Амортизация (аналог)'!$AB$25:$AB$62,"2")</f>
        <v>0</v>
      </c>
      <c r="AG37" s="525"/>
      <c r="AH37" s="525"/>
      <c r="AI37" s="1035" t="s">
        <v>3136</v>
      </c>
    </row>
    <row s="525" customFormat="1" customHeight="1" ht="14.625" hidden="1">
      <c r="A38" s="525"/>
      <c r="B38" s="525"/>
      <c r="C38" s="525"/>
      <c r="D38" s="525"/>
      <c r="E38" s="674">
        <v>15</v>
      </c>
      <c r="F38" s="50" cm="1" t="str">
        <f t="array" ref="F38:F38">OFFSET(E38,-1,1)</f>
        <v>0</v>
      </c>
      <c r="G38" s="525"/>
      <c r="H38" s="488" t="s">
        <v>1249</v>
      </c>
      <c r="I38" s="488"/>
      <c r="J38" s="488"/>
      <c r="K38" s="488"/>
      <c r="L38" s="525"/>
      <c r="M38" s="525"/>
      <c r="N38" s="525"/>
      <c r="O38" s="525"/>
      <c r="P38" s="525"/>
      <c r="Q38" s="525"/>
      <c r="R38" s="525"/>
      <c r="S38" s="525"/>
      <c r="T38" s="465" cm="1" t="str">
        <f t="array" ref="T38:T38">T37</f>
        <v>false</v>
      </c>
      <c r="U38" s="525"/>
      <c r="V38" s="525"/>
      <c r="W38" s="525"/>
      <c r="X38" s="1596"/>
      <c r="Y38" s="525"/>
      <c r="Z38" s="1597"/>
      <c r="AA38" s="525"/>
      <c r="AB38" s="515" t="s">
        <v>1384</v>
      </c>
      <c r="AC38" s="1297" t="s">
        <v>3137</v>
      </c>
      <c r="AD38" s="515" t="s">
        <v>1170</v>
      </c>
      <c r="AE38" s="527">
        <f>IF(AE29=0,0,AE37/AE29*100)</f>
        <v>0</v>
      </c>
      <c r="AF38" s="527">
        <f>IF(AF29=0,0,AF37/AF29*100)</f>
        <v>0</v>
      </c>
      <c r="AG38" s="525"/>
      <c r="AH38" s="525"/>
      <c r="AI38" s="1035" t="s">
        <v>3138</v>
      </c>
    </row>
    <row s="525" customFormat="1" customHeight="1" ht="21.9375" hidden="1">
      <c r="A39" s="525"/>
      <c r="B39" s="525"/>
      <c r="C39" s="525"/>
      <c r="D39" s="525"/>
      <c r="E39" s="674">
        <v>22.5</v>
      </c>
      <c r="F39" s="50" cm="1" t="str">
        <f t="array" ref="F39:F39">OFFSET(E39,-1,1)</f>
        <v>0</v>
      </c>
      <c r="G39" s="158" t="s">
        <v>2346</v>
      </c>
      <c r="H39" s="488" t="s">
        <v>335</v>
      </c>
      <c r="I39" s="488"/>
      <c r="J39" s="488"/>
      <c r="K39" s="488"/>
      <c r="L39" s="525"/>
      <c r="M39" s="525"/>
      <c r="N39" s="525"/>
      <c r="O39" s="525"/>
      <c r="P39" s="525"/>
      <c r="Q39" s="525"/>
      <c r="R39" s="525"/>
      <c r="S39" s="525"/>
      <c r="T39" s="465" cm="1" t="str">
        <f t="array" ref="T39:T39">T38</f>
        <v>false</v>
      </c>
      <c r="U39" s="525"/>
      <c r="V39" s="525"/>
      <c r="W39" s="525"/>
      <c r="X39" s="1596"/>
      <c r="Y39" s="525"/>
      <c r="Z39" s="1597"/>
      <c r="AA39" s="525"/>
      <c r="AB39" s="515" t="s">
        <v>443</v>
      </c>
      <c r="AC39" s="1298" t="s">
        <v>3139</v>
      </c>
      <c r="AD39" s="515" t="s">
        <v>3140</v>
      </c>
      <c r="AE39" s="530">
        <f>_xlfn.SUMIFS(Баланс!$AI$25:$AI$482,Баланс!$F$25:$F$482,$F39,Баланс!$G$25:$G$482,"ПО")</f>
        <v>0</v>
      </c>
      <c r="AF39" s="530">
        <f>_xlfn.SUMIFS(Баланс!$AS$25:$AS$482,Баланс!$F$25:$F$482,$F39,Баланс!$G$25:$G$482,"ПО")</f>
        <v>0</v>
      </c>
      <c r="AG39" s="525"/>
      <c r="AH39" s="525"/>
      <c r="AI39" s="1035" t="s">
        <v>1787</v>
      </c>
    </row>
    <row s="525" customFormat="1" customHeight="1" ht="14.625" hidden="1">
      <c r="A40" s="525"/>
      <c r="B40" s="525"/>
      <c r="C40" s="525"/>
      <c r="D40" s="525"/>
      <c r="E40" s="674">
        <v>15</v>
      </c>
      <c r="F40" s="50" cm="1" t="str">
        <f t="array" ref="F40:F40">OFFSET(E40,-1,1)</f>
        <v>0</v>
      </c>
      <c r="G40" s="1299" t="s">
        <v>2373</v>
      </c>
      <c r="H40" s="488" t="s">
        <v>1263</v>
      </c>
      <c r="I40" s="488"/>
      <c r="J40" s="488"/>
      <c r="K40" s="488"/>
      <c r="L40" s="525"/>
      <c r="M40" s="525"/>
      <c r="N40" s="525"/>
      <c r="O40" s="525"/>
      <c r="P40" s="525"/>
      <c r="Q40" s="525"/>
      <c r="R40" s="525"/>
      <c r="S40" s="525"/>
      <c r="T40" s="465" cm="1" t="str">
        <f t="array" ref="T40:T40">T39</f>
        <v>false</v>
      </c>
      <c r="U40" s="525"/>
      <c r="V40" s="525"/>
      <c r="W40" s="525"/>
      <c r="X40" s="1596"/>
      <c r="Y40" s="525"/>
      <c r="Z40" s="1597"/>
      <c r="AA40" s="525"/>
      <c r="AB40" s="515" t="s">
        <v>1391</v>
      </c>
      <c r="AC40" s="1300" t="s">
        <v>3141</v>
      </c>
      <c r="AD40" s="515" t="s">
        <v>3140</v>
      </c>
      <c r="AE40" s="8437"/>
      <c r="AF40" s="8437"/>
      <c r="AG40" s="525"/>
      <c r="AH40" s="525"/>
      <c r="AI40" s="1035" t="s">
        <v>3142</v>
      </c>
    </row>
    <row s="525" customFormat="1" customHeight="1" ht="14.625" hidden="1">
      <c r="A41" s="525"/>
      <c r="B41" s="525"/>
      <c r="C41" s="525"/>
      <c r="D41" s="525"/>
      <c r="E41" s="674">
        <v>15</v>
      </c>
      <c r="F41" s="50" cm="1" t="str">
        <f t="array" ref="F41:F41">OFFSET(E41,-1,1)</f>
        <v>0</v>
      </c>
      <c r="G41" s="107" t="s">
        <v>2386</v>
      </c>
      <c r="H41" s="488" t="s">
        <v>1267</v>
      </c>
      <c r="I41" s="488"/>
      <c r="J41" s="488"/>
      <c r="K41" s="488"/>
      <c r="L41" s="525"/>
      <c r="M41" s="525"/>
      <c r="N41" s="525"/>
      <c r="O41" s="525"/>
      <c r="P41" s="525"/>
      <c r="Q41" s="525"/>
      <c r="R41" s="525"/>
      <c r="S41" s="525"/>
      <c r="T41" s="465" cm="1" t="str">
        <f t="array" ref="T41:T41">T40</f>
        <v>false</v>
      </c>
      <c r="U41" s="525"/>
      <c r="V41" s="525"/>
      <c r="W41" s="525"/>
      <c r="X41" s="1596"/>
      <c r="Y41" s="525"/>
      <c r="Z41" s="1597"/>
      <c r="AA41" s="525"/>
      <c r="AB41" s="515" t="s">
        <v>1394</v>
      </c>
      <c r="AC41" s="1131" t="s">
        <v>3143</v>
      </c>
      <c r="AD41" s="515" t="s">
        <v>3140</v>
      </c>
      <c r="AE41" s="530">
        <f>AE39-AE40</f>
        <v>0</v>
      </c>
      <c r="AF41" s="530">
        <f>AF39-AF40</f>
        <v>0</v>
      </c>
      <c r="AG41" s="525"/>
      <c r="AH41" s="525"/>
      <c r="AI41" s="1035" t="s">
        <v>3144</v>
      </c>
    </row>
    <row s="525" customFormat="1" customHeight="1" ht="14.625" hidden="1">
      <c r="A42" s="525"/>
      <c r="B42" s="525"/>
      <c r="C42" s="525"/>
      <c r="D42" s="525"/>
      <c r="E42" s="674">
        <v>15</v>
      </c>
      <c r="F42" s="50" cm="1" t="str">
        <f t="array" ref="F42:F42">OFFSET(E42,-1,1)</f>
        <v>0</v>
      </c>
      <c r="G42" s="525"/>
      <c r="H42" s="488" t="s">
        <v>1225</v>
      </c>
      <c r="I42" s="488"/>
      <c r="J42" s="488"/>
      <c r="K42" s="488"/>
      <c r="L42" s="525"/>
      <c r="M42" s="525"/>
      <c r="N42" s="525"/>
      <c r="O42" s="525"/>
      <c r="P42" s="525"/>
      <c r="Q42" s="525"/>
      <c r="R42" s="525"/>
      <c r="S42" s="525"/>
      <c r="T42" s="465" cm="1" t="str">
        <f t="array" ref="T42:T42">T41</f>
        <v>false</v>
      </c>
      <c r="U42" s="525"/>
      <c r="V42" s="525"/>
      <c r="W42" s="525"/>
      <c r="X42" s="1596"/>
      <c r="Y42" s="525"/>
      <c r="Z42" s="1597"/>
      <c r="AA42" s="525"/>
      <c r="AB42" s="515" t="s">
        <v>446</v>
      </c>
      <c r="AC42" s="560" t="s">
        <v>3145</v>
      </c>
      <c r="AD42" s="515" t="s">
        <v>2337</v>
      </c>
      <c r="AE42" s="527">
        <f>IF(AE39=0,0,AE28/AE39)</f>
        <v>0</v>
      </c>
      <c r="AF42" s="527">
        <f>IF(AF39=0,0,AF28/AF39)</f>
        <v>0</v>
      </c>
      <c r="AG42" s="525"/>
      <c r="AH42" s="525"/>
      <c r="AI42" s="1035" t="s">
        <v>1877</v>
      </c>
    </row>
    <row s="525" customFormat="1" customHeight="1" ht="14.625" hidden="1">
      <c r="A43" s="525"/>
      <c r="B43" s="525"/>
      <c r="C43" s="525"/>
      <c r="D43" s="525"/>
      <c r="E43" s="674">
        <v>15</v>
      </c>
      <c r="F43" s="50" cm="1" t="str">
        <f t="array" ref="F43:F43">OFFSET(E43,-1,1)</f>
        <v>0</v>
      </c>
      <c r="G43" s="107" t="s">
        <v>2334</v>
      </c>
      <c r="H43" s="488" t="s">
        <v>1407</v>
      </c>
      <c r="I43" s="488"/>
      <c r="J43" s="488"/>
      <c r="K43" s="488"/>
      <c r="L43" s="525"/>
      <c r="M43" s="525"/>
      <c r="N43" s="525"/>
      <c r="O43" s="525"/>
      <c r="P43" s="525"/>
      <c r="Q43" s="525"/>
      <c r="R43" s="525"/>
      <c r="S43" s="525"/>
      <c r="T43" s="465" cm="1" t="str">
        <f t="array" ref="T43:T43">T42</f>
        <v>false</v>
      </c>
      <c r="U43" s="525"/>
      <c r="V43" s="525"/>
      <c r="W43" s="525"/>
      <c r="X43" s="1596"/>
      <c r="Y43" s="525"/>
      <c r="Z43" s="1597"/>
      <c r="AA43" s="525"/>
      <c r="AB43" s="515" t="s">
        <v>3146</v>
      </c>
      <c r="AC43" s="1302" t="s">
        <v>3147</v>
      </c>
      <c r="AD43" s="515" t="s">
        <v>2337</v>
      </c>
      <c r="AE43" s="3600"/>
      <c r="AF43" s="3600"/>
      <c r="AG43" s="525"/>
      <c r="AH43" s="525"/>
      <c r="AI43" s="1035" t="s">
        <v>3148</v>
      </c>
    </row>
    <row s="525" customFormat="1" customHeight="1" ht="14.625" hidden="1">
      <c r="A44" s="525"/>
      <c r="B44" s="525"/>
      <c r="C44" s="525"/>
      <c r="D44" s="525"/>
      <c r="E44" s="674">
        <v>15</v>
      </c>
      <c r="F44" s="50" cm="1" t="str">
        <f t="array" ref="F44:F44">OFFSET(E44,-1,1)</f>
        <v>0</v>
      </c>
      <c r="G44" s="107" t="s">
        <v>2339</v>
      </c>
      <c r="H44" s="488" t="s">
        <v>1410</v>
      </c>
      <c r="I44" s="488"/>
      <c r="J44" s="488"/>
      <c r="K44" s="488"/>
      <c r="L44" s="525"/>
      <c r="M44" s="525"/>
      <c r="N44" s="525"/>
      <c r="O44" s="525"/>
      <c r="P44" s="525"/>
      <c r="Q44" s="525"/>
      <c r="R44" s="525"/>
      <c r="S44" s="525"/>
      <c r="T44" s="465" cm="1" t="str">
        <f t="array" ref="T44:T44">T43</f>
        <v>false</v>
      </c>
      <c r="U44" s="525"/>
      <c r="V44" s="525"/>
      <c r="W44" s="525"/>
      <c r="X44" s="1596"/>
      <c r="Y44" s="525"/>
      <c r="Z44" s="1597"/>
      <c r="AA44" s="525"/>
      <c r="AB44" s="515" t="s">
        <v>3149</v>
      </c>
      <c r="AC44" s="1132" t="s">
        <v>3150</v>
      </c>
      <c r="AD44" s="515" t="s">
        <v>2337</v>
      </c>
      <c r="AE44" s="3600">
        <f>IF(AE41=0,0,(AE28-AE43*AE40)/AE41)</f>
        <v>0</v>
      </c>
      <c r="AF44" s="3600">
        <f>IF(AF41=0,0,(AF28-AF43*AF40)/AF41)</f>
        <v>0</v>
      </c>
      <c r="AG44" s="525"/>
      <c r="AH44" s="525"/>
      <c r="AI44" s="1035" t="s">
        <v>3151</v>
      </c>
    </row>
    <row customHeight="1" ht="14.625" hidden="1">
      <c r="A45" s="1459"/>
      <c r="B45" s="1459"/>
      <c r="C45" s="1459"/>
      <c r="D45" s="1459"/>
      <c r="E45" s="649">
        <v>15</v>
      </c>
      <c r="F45" s="50" cm="1" t="str">
        <f t="array" ref="F45:F45">OFFSET(E45,-1,1)</f>
        <v>0</v>
      </c>
      <c r="G45" s="1459"/>
      <c r="H45" s="488" t="s">
        <v>1386</v>
      </c>
      <c r="I45" s="1459"/>
      <c r="J45" s="1459"/>
      <c r="K45" s="1459"/>
      <c r="L45" s="1459"/>
      <c r="M45" s="1459"/>
      <c r="N45" s="1459"/>
      <c r="O45" s="1459"/>
      <c r="P45" s="1459"/>
      <c r="Q45" s="1459"/>
      <c r="R45" s="1459"/>
      <c r="S45" s="1459"/>
      <c r="T45" s="465" cm="1" t="str">
        <f t="array" ref="T45:T45">T44</f>
        <v>false</v>
      </c>
      <c r="U45" s="1459"/>
      <c r="V45" s="1459"/>
      <c r="W45" s="1459"/>
      <c r="X45" s="1596"/>
      <c r="Y45" s="1459"/>
      <c r="Z45" s="1597"/>
      <c r="AA45" s="1459"/>
      <c r="AB45" s="515" t="s">
        <v>1283</v>
      </c>
      <c r="AC45" s="554" t="s">
        <v>3152</v>
      </c>
      <c r="AD45" s="515" t="s">
        <v>1170</v>
      </c>
      <c r="AE45" s="527">
        <f>IF(AE43=0,0,AE44/AE43*100)</f>
        <v>0</v>
      </c>
      <c r="AF45" s="527">
        <f>IF(AF43=0,0,AF44/AF43*100)</f>
        <v>0</v>
      </c>
      <c r="AG45" s="1459"/>
      <c r="AH45" s="1459"/>
      <c r="AI45" s="1025" t="s">
        <v>3153</v>
      </c>
    </row>
    <row s="1834" customFormat="1" customHeight="1" ht="14.25">
      <c r="A46" s="1459"/>
      <c r="B46" s="1459"/>
      <c r="C46" s="1459"/>
      <c r="D46" s="1459"/>
      <c r="E46" s="649">
        <v>15</v>
      </c>
      <c r="F46" s="488" cm="1" t="str">
        <f t="array" ref="F46:F46">X46</f>
        <v>1</v>
      </c>
      <c r="G46" s="1459"/>
      <c r="H46" s="1459"/>
      <c r="I46" s="1459"/>
      <c r="J46" s="1459"/>
      <c r="K46" s="1459"/>
      <c r="L46" s="1459"/>
      <c r="M46" s="1459"/>
      <c r="N46" s="1459"/>
      <c r="O46" s="1459"/>
      <c r="P46" s="1459"/>
      <c r="Q46" s="1459"/>
      <c r="R46" s="1459"/>
      <c r="S46" s="1459"/>
      <c r="T46" s="465">
        <f>X46&gt;0</f>
        <v>1</v>
      </c>
      <c r="U46" s="1459"/>
      <c r="V46" s="488" cm="1" t="str">
        <f t="array" ref="V46:V46">ГО!$AB$116</f>
        <v>Тариф 1 (Водоснабжение) - тариф на питьевую воду (Доп. признак не требуется)</v>
      </c>
      <c r="W46" s="1459"/>
      <c r="X46" s="1596" t="s">
        <v>276</v>
      </c>
      <c r="Y46" s="1459"/>
      <c r="Z46" s="1597"/>
      <c r="AA46" s="1459"/>
      <c r="AB46" s="222" cm="1" t="str">
        <f t="array" ref="AB46:AB46">ГО!$AB$116</f>
        <v>Тариф 1 (Водоснабжение) - тариф на питьевую воду (Доп. признак не требуется)</v>
      </c>
      <c r="AC46" s="1292"/>
      <c r="AD46" s="1293"/>
      <c r="AE46" s="1293"/>
      <c r="AF46" s="1294"/>
      <c r="AG46" s="1459"/>
      <c r="AH46" s="1459"/>
      <c r="AI46" s="1424"/>
    </row>
    <row s="525" customFormat="1" customHeight="1" ht="21.75">
      <c r="A47" s="525"/>
      <c r="B47" s="525"/>
      <c r="C47" s="525"/>
      <c r="D47" s="525"/>
      <c r="E47" s="674">
        <v>22.5</v>
      </c>
      <c r="F47" s="50" cm="1" t="str">
        <f t="array" ref="F47:F47">OFFSET(E47,-1,1)</f>
        <v>1</v>
      </c>
      <c r="G47" s="525"/>
      <c r="H47" s="488" t="s">
        <v>332</v>
      </c>
      <c r="I47" s="488"/>
      <c r="J47" s="488"/>
      <c r="K47" s="488"/>
      <c r="L47" s="525"/>
      <c r="M47" s="525"/>
      <c r="N47" s="525"/>
      <c r="O47" s="525"/>
      <c r="P47" s="525"/>
      <c r="Q47" s="525"/>
      <c r="R47" s="525"/>
      <c r="S47" s="525"/>
      <c r="T47" s="465" cm="1" t="str">
        <f t="array" ref="T47:T47">T46</f>
        <v>true</v>
      </c>
      <c r="U47" s="525"/>
      <c r="V47" s="525"/>
      <c r="W47" s="525"/>
      <c r="X47" s="1596"/>
      <c r="Y47" s="525"/>
      <c r="Z47" s="1597"/>
      <c r="AA47" s="525"/>
      <c r="AB47" s="515" t="s">
        <v>276</v>
      </c>
      <c r="AC47" s="531" t="s">
        <v>3120</v>
      </c>
      <c r="AD47" s="515" t="s">
        <v>1514</v>
      </c>
      <c r="AE47" s="527">
        <f>(AE48+AE56)*AE54</f>
        <v>0</v>
      </c>
      <c r="AF47" s="527">
        <f>(AF48+AF56)*AF54</f>
        <v>0</v>
      </c>
      <c r="AG47" s="525"/>
      <c r="AH47" s="525"/>
      <c r="AI47" s="1035" t="s">
        <v>3121</v>
      </c>
    </row>
    <row s="1834" customFormat="1" customHeight="1" ht="21.75">
      <c r="A48" s="1459"/>
      <c r="B48" s="1459"/>
      <c r="C48" s="1459"/>
      <c r="D48" s="1459"/>
      <c r="E48" s="649">
        <v>22.5</v>
      </c>
      <c r="F48" s="50" cm="1" t="str">
        <f t="array" ref="F48:F48">OFFSET(E48,-1,1)</f>
        <v>1</v>
      </c>
      <c r="G48" s="488" t="s">
        <v>3122</v>
      </c>
      <c r="H48" s="488" t="s">
        <v>333</v>
      </c>
      <c r="I48" s="1459"/>
      <c r="J48" s="1459"/>
      <c r="K48" s="488" t="str">
        <f>F48&amp;G48</f>
        <v>1УТР</v>
      </c>
      <c r="L48" s="1086" cm="1" t="str">
        <f t="array" ref="L48:L48">AE48</f>
        <v>0</v>
      </c>
      <c r="M48" s="1086" cm="1" t="str">
        <f t="array" ref="M48:M48">AF48</f>
        <v>0</v>
      </c>
      <c r="N48" s="1459"/>
      <c r="O48" s="1459"/>
      <c r="P48" s="1459"/>
      <c r="Q48" s="1459"/>
      <c r="R48" s="1459"/>
      <c r="S48" s="1459"/>
      <c r="T48" s="465" cm="1" t="str">
        <f t="array" ref="T48:T48">T47</f>
        <v>true</v>
      </c>
      <c r="U48" s="1459"/>
      <c r="V48" s="1459"/>
      <c r="W48" s="1459"/>
      <c r="X48" s="1596"/>
      <c r="Y48" s="1459"/>
      <c r="Z48" s="1597"/>
      <c r="AA48" s="1459"/>
      <c r="AB48" s="515" t="s">
        <v>285</v>
      </c>
      <c r="AC48" s="526" t="s">
        <v>1772</v>
      </c>
      <c r="AD48" s="515" t="s">
        <v>1764</v>
      </c>
      <c r="AE48" s="1085">
        <f>IF(AE53=0,0,(AE49-IF(_xlfn.SUMIFS('Перечень объектов'!AH$24:AH$87,'Перечень объектов'!$F$24:$F$87,$F48,'Перечень объектов'!$G$24:$G$87,"ЭЭ")&gt;0,0,AE50))/AE53)</f>
        <v>0</v>
      </c>
      <c r="AF48" s="1085">
        <f>IF(AF53=0,0,(AF49-IF(_xlfn.SUMIFS('Перечень объектов'!AI$24:AI$87,'Перечень объектов'!$F$24:$F$87,$F48,'Перечень объектов'!$G$24:$G$87,"ЭЭ")&gt;0,0,AF50))/AF53)</f>
        <v>0</v>
      </c>
      <c r="AG48" s="1459"/>
      <c r="AH48" s="1459"/>
      <c r="AI48" s="1025" t="s">
        <v>3123</v>
      </c>
    </row>
    <row s="1834" customFormat="1" customHeight="1" ht="32.25">
      <c r="A49" s="1459"/>
      <c r="B49" s="1459"/>
      <c r="C49" s="1459"/>
      <c r="D49" s="1459"/>
      <c r="E49" s="649">
        <v>33.75</v>
      </c>
      <c r="F49" s="50" cm="1" t="str">
        <f t="array" ref="F49:F49">OFFSET(E49,-1,1)</f>
        <v>1</v>
      </c>
      <c r="G49" s="1459"/>
      <c r="H49" s="488" t="s">
        <v>1193</v>
      </c>
      <c r="I49" s="1459"/>
      <c r="J49" s="1459"/>
      <c r="K49" s="1459"/>
      <c r="L49" s="1459"/>
      <c r="M49" s="1459"/>
      <c r="N49" s="1459"/>
      <c r="O49" s="1459"/>
      <c r="P49" s="1459"/>
      <c r="Q49" s="1459"/>
      <c r="R49" s="1459"/>
      <c r="S49" s="1459"/>
      <c r="T49" s="465" cm="1" t="str">
        <f t="array" ref="T49:T49">T48</f>
        <v>true</v>
      </c>
      <c r="U49" s="1459"/>
      <c r="V49" s="1459"/>
      <c r="W49" s="1459"/>
      <c r="X49" s="1596"/>
      <c r="Y49" s="1459"/>
      <c r="Z49" s="1597"/>
      <c r="AA49" s="1459"/>
      <c r="AB49" s="515" t="s">
        <v>1250</v>
      </c>
      <c r="AC49" s="562" t="s">
        <v>3124</v>
      </c>
      <c r="AD49" s="515" t="s">
        <v>1514</v>
      </c>
      <c r="AE49" s="534"/>
      <c r="AF49" s="527">
        <f>_xlfn.SUMIFS(ГО!AE$25:AE$472,ГО!$F$25:$F$472,$F49,ГО!$G$25:$G$472,"Итог")*(1+AF51/100)*(1+AF52/100)</f>
        <v>0</v>
      </c>
      <c r="AG49" s="1459"/>
      <c r="AH49" s="1459"/>
      <c r="AI49" s="1025" t="s">
        <v>3125</v>
      </c>
    </row>
    <row s="525" customFormat="1" customHeight="1" ht="14.25">
      <c r="A50" s="525"/>
      <c r="B50" s="525"/>
      <c r="C50" s="525"/>
      <c r="D50" s="525"/>
      <c r="E50" s="674">
        <v>15</v>
      </c>
      <c r="F50" s="50" cm="1" t="str">
        <f t="array" ref="F50:F50">OFFSET(E50,-1,1)</f>
        <v>1</v>
      </c>
      <c r="G50" s="525"/>
      <c r="H50" s="488" t="s">
        <v>2295</v>
      </c>
      <c r="I50" s="488"/>
      <c r="J50" s="488"/>
      <c r="K50" s="488"/>
      <c r="L50" s="525"/>
      <c r="M50" s="525"/>
      <c r="N50" s="525"/>
      <c r="O50" s="525"/>
      <c r="P50" s="525"/>
      <c r="Q50" s="525"/>
      <c r="R50" s="525"/>
      <c r="S50" s="525"/>
      <c r="T50" s="465" cm="1" t="str">
        <f t="array" ref="T50:T50">T49</f>
        <v>true</v>
      </c>
      <c r="U50" s="525"/>
      <c r="V50" s="525"/>
      <c r="W50" s="525"/>
      <c r="X50" s="1596"/>
      <c r="Y50" s="525"/>
      <c r="Z50" s="1597"/>
      <c r="AA50" s="525"/>
      <c r="AB50" s="515" t="s">
        <v>1201</v>
      </c>
      <c r="AC50" s="1295" t="s">
        <v>3126</v>
      </c>
      <c r="AD50" s="515" t="s">
        <v>1514</v>
      </c>
      <c r="AE50" s="534"/>
      <c r="AF50" s="527">
        <f>_xlfn.SUMIFS(ГО!AE$25:AE$472,ГО!$F$25:$F$472,$F50,ГО!$G$25:$G$472,"ЭЭ")*(1+AF51/100)*(1+AF52/100)</f>
        <v>0</v>
      </c>
      <c r="AG50" s="525"/>
      <c r="AH50" s="525"/>
      <c r="AI50" s="1035" t="s">
        <v>2446</v>
      </c>
    </row>
    <row s="525" customFormat="1" customHeight="1" ht="14.25">
      <c r="A51" s="525"/>
      <c r="B51" s="525"/>
      <c r="C51" s="525"/>
      <c r="D51" s="525"/>
      <c r="E51" s="674">
        <v>15</v>
      </c>
      <c r="F51" s="50" cm="1" t="str">
        <f t="array" ref="F51:F51">OFFSET(E51,-1,1)</f>
        <v>1</v>
      </c>
      <c r="G51" s="525"/>
      <c r="H51" s="488" t="s">
        <v>1196</v>
      </c>
      <c r="I51" s="488"/>
      <c r="J51" s="488"/>
      <c r="K51" s="488"/>
      <c r="L51" s="525"/>
      <c r="M51" s="525"/>
      <c r="N51" s="525"/>
      <c r="O51" s="525"/>
      <c r="P51" s="525"/>
      <c r="Q51" s="525"/>
      <c r="R51" s="525"/>
      <c r="S51" s="525"/>
      <c r="T51" s="465" cm="1" t="str">
        <f t="array" ref="T51:T51">T50</f>
        <v>true</v>
      </c>
      <c r="U51" s="525"/>
      <c r="V51" s="525"/>
      <c r="W51" s="525"/>
      <c r="X51" s="1596"/>
      <c r="Y51" s="525"/>
      <c r="Z51" s="1597"/>
      <c r="AA51" s="525"/>
      <c r="AB51" s="515" t="s">
        <v>1254</v>
      </c>
      <c r="AC51" s="562" t="str">
        <f>"индекс потребительских цен на "&amp;god-1&amp;" год"</f>
        <v>индекс потребительских цен на 2025 год</v>
      </c>
      <c r="AD51" s="515" t="s">
        <v>1170</v>
      </c>
      <c r="AE51" s="534"/>
      <c r="AF51" s="534"/>
      <c r="AG51" s="525"/>
      <c r="AH51" s="525"/>
      <c r="AI51" s="1035" t="s">
        <v>3127</v>
      </c>
    </row>
    <row s="525" customFormat="1" customHeight="1" ht="14.25">
      <c r="A52" s="525"/>
      <c r="B52" s="525"/>
      <c r="C52" s="525"/>
      <c r="D52" s="525"/>
      <c r="E52" s="674">
        <v>15</v>
      </c>
      <c r="F52" s="50" cm="1" t="str">
        <f t="array" ref="F52:F52">OFFSET(E52,-1,1)</f>
        <v>1</v>
      </c>
      <c r="G52" s="525"/>
      <c r="H52" s="488" t="s">
        <v>1648</v>
      </c>
      <c r="I52" s="488"/>
      <c r="J52" s="488"/>
      <c r="K52" s="488"/>
      <c r="L52" s="525"/>
      <c r="M52" s="525"/>
      <c r="N52" s="525"/>
      <c r="O52" s="525"/>
      <c r="P52" s="525"/>
      <c r="Q52" s="525"/>
      <c r="R52" s="525"/>
      <c r="S52" s="525"/>
      <c r="T52" s="465" cm="1" t="str">
        <f t="array" ref="T52:T52">T51</f>
        <v>true</v>
      </c>
      <c r="U52" s="525"/>
      <c r="V52" s="525"/>
      <c r="W52" s="525"/>
      <c r="X52" s="1596"/>
      <c r="Y52" s="525"/>
      <c r="Z52" s="1597"/>
      <c r="AA52" s="525"/>
      <c r="AB52" s="515" t="s">
        <v>1258</v>
      </c>
      <c r="AC52" s="562" t="str">
        <f>"индекс потребительских цен на "&amp;god&amp;" год"</f>
        <v>индекс потребительских цен на 2026 год</v>
      </c>
      <c r="AD52" s="515" t="s">
        <v>1170</v>
      </c>
      <c r="AE52" s="534"/>
      <c r="AF52" s="534"/>
      <c r="AG52" s="525"/>
      <c r="AH52" s="525"/>
      <c r="AI52" s="1035" t="s">
        <v>3128</v>
      </c>
    </row>
    <row s="525" customFormat="1" customHeight="1" ht="21.75">
      <c r="A53" s="525"/>
      <c r="B53" s="525"/>
      <c r="C53" s="525"/>
      <c r="D53" s="525"/>
      <c r="E53" s="674">
        <v>22.5</v>
      </c>
      <c r="F53" s="50" cm="1" t="str">
        <f t="array" ref="F53:F53">OFFSET(E53,-1,1)</f>
        <v>1</v>
      </c>
      <c r="G53" s="525"/>
      <c r="H53" s="488" t="s">
        <v>1650</v>
      </c>
      <c r="I53" s="488"/>
      <c r="J53" s="488"/>
      <c r="K53" s="488"/>
      <c r="L53" s="525"/>
      <c r="M53" s="525"/>
      <c r="N53" s="525"/>
      <c r="O53" s="525"/>
      <c r="P53" s="525"/>
      <c r="Q53" s="525"/>
      <c r="R53" s="525"/>
      <c r="S53" s="525"/>
      <c r="T53" s="465" cm="1" t="str">
        <f t="array" ref="T53:T53">T52</f>
        <v>true</v>
      </c>
      <c r="U53" s="525"/>
      <c r="V53" s="525"/>
      <c r="W53" s="525"/>
      <c r="X53" s="1596"/>
      <c r="Y53" s="525"/>
      <c r="Z53" s="1597"/>
      <c r="AA53" s="525"/>
      <c r="AB53" s="515" t="s">
        <v>1651</v>
      </c>
      <c r="AC53" s="562" t="s">
        <v>3129</v>
      </c>
      <c r="AD53" s="515" t="s">
        <v>1506</v>
      </c>
      <c r="AE53" s="534"/>
      <c r="AF53" s="534"/>
      <c r="AG53" s="525"/>
      <c r="AH53" s="525"/>
      <c r="AI53" s="1035" t="s">
        <v>3130</v>
      </c>
    </row>
    <row s="525" customFormat="1" customHeight="1" ht="14.25">
      <c r="A54" s="525"/>
      <c r="B54" s="525"/>
      <c r="C54" s="525"/>
      <c r="D54" s="525"/>
      <c r="E54" s="674">
        <v>15</v>
      </c>
      <c r="F54" s="50" cm="1" t="str">
        <f t="array" ref="F54:F54">OFFSET(E54,-1,1)</f>
        <v>1</v>
      </c>
      <c r="G54" s="525"/>
      <c r="H54" s="488" t="s">
        <v>334</v>
      </c>
      <c r="I54" s="488"/>
      <c r="J54" s="488"/>
      <c r="K54" s="488"/>
      <c r="L54" s="525"/>
      <c r="M54" s="525"/>
      <c r="N54" s="525"/>
      <c r="O54" s="525"/>
      <c r="P54" s="525"/>
      <c r="Q54" s="525"/>
      <c r="R54" s="525"/>
      <c r="S54" s="525"/>
      <c r="T54" s="465" cm="1" t="str">
        <f t="array" ref="T54:T54">T53</f>
        <v>true</v>
      </c>
      <c r="U54" s="525"/>
      <c r="V54" s="525"/>
      <c r="W54" s="525"/>
      <c r="X54" s="1596"/>
      <c r="Y54" s="525"/>
      <c r="Z54" s="1597"/>
      <c r="AA54" s="525"/>
      <c r="AB54" s="515" t="s">
        <v>289</v>
      </c>
      <c r="AC54" s="1296" t="s">
        <v>3131</v>
      </c>
      <c r="AD54" s="515" t="s">
        <v>1506</v>
      </c>
      <c r="AE54" s="530">
        <f>_xlfn.SUMIFS('Условные метры'!AL$27:AL$44,'Условные метры'!$F$27:$F$44,$F54,'Условные метры'!$G$27:$G$44,"Итог")</f>
        <v>0</v>
      </c>
      <c r="AF54" s="530">
        <f>_xlfn.SUMIFS('Условные метры'!AN$27:AN$44,'Условные метры'!$F$27:$F$44,$F54,'Условные метры'!$G$27:$G$44,"Итог")</f>
        <v>0</v>
      </c>
      <c r="AG54" s="525"/>
      <c r="AH54" s="525"/>
      <c r="AI54" s="1035" t="s">
        <v>3132</v>
      </c>
    </row>
    <row s="525" customFormat="1" customHeight="1" ht="14.25">
      <c r="A55" s="525"/>
      <c r="B55" s="525"/>
      <c r="C55" s="525"/>
      <c r="D55" s="525"/>
      <c r="E55" s="674">
        <v>15</v>
      </c>
      <c r="F55" s="50" cm="1" t="str">
        <f t="array" ref="F55:F55">OFFSET(E55,-1,1)</f>
        <v>1</v>
      </c>
      <c r="G55" s="525"/>
      <c r="H55" s="488" t="s">
        <v>1658</v>
      </c>
      <c r="I55" s="488"/>
      <c r="J55" s="488"/>
      <c r="K55" s="488"/>
      <c r="L55" s="525"/>
      <c r="M55" s="525"/>
      <c r="N55" s="525"/>
      <c r="O55" s="525"/>
      <c r="P55" s="525"/>
      <c r="Q55" s="525"/>
      <c r="R55" s="525"/>
      <c r="S55" s="525"/>
      <c r="T55" s="465" cm="1" t="str">
        <f t="array" ref="T55:T55">T54</f>
        <v>true</v>
      </c>
      <c r="U55" s="525"/>
      <c r="V55" s="525"/>
      <c r="W55" s="525"/>
      <c r="X55" s="1596"/>
      <c r="Y55" s="525"/>
      <c r="Z55" s="1597"/>
      <c r="AA55" s="525"/>
      <c r="AB55" s="515" t="s">
        <v>1264</v>
      </c>
      <c r="AC55" s="562" t="s">
        <v>3133</v>
      </c>
      <c r="AD55" s="515" t="s">
        <v>388</v>
      </c>
      <c r="AE55" s="530">
        <f>_xlfn.SUMIFS('Условные метры'!AK$27:AK$44,'Условные метры'!$F$27:$F$44,$F55,'Условные метры'!$G$27:$G$44,"Итог")</f>
        <v>0</v>
      </c>
      <c r="AF55" s="530">
        <f>_xlfn.SUMIFS('Условные метры'!AM$27:AM$44,'Условные метры'!$F$27:$F$44,$F55,'Условные метры'!$G$27:$G$44,"Итог")</f>
        <v>0</v>
      </c>
      <c r="AG55" s="525"/>
      <c r="AH55" s="525"/>
      <c r="AI55" s="1035" t="s">
        <v>3134</v>
      </c>
    </row>
    <row s="525" customFormat="1" customHeight="1" ht="14.25">
      <c r="A56" s="525"/>
      <c r="B56" s="525"/>
      <c r="C56" s="525"/>
      <c r="D56" s="525"/>
      <c r="E56" s="674">
        <v>15</v>
      </c>
      <c r="F56" s="50" cm="1" t="str">
        <f t="array" ref="F56:F56">OFFSET(E56,-1,1)</f>
        <v>1</v>
      </c>
      <c r="G56" s="525"/>
      <c r="H56" s="488" t="s">
        <v>336</v>
      </c>
      <c r="I56" s="488"/>
      <c r="J56" s="488"/>
      <c r="K56" s="488"/>
      <c r="L56" s="525"/>
      <c r="M56" s="525"/>
      <c r="N56" s="525"/>
      <c r="O56" s="525"/>
      <c r="P56" s="525"/>
      <c r="Q56" s="525"/>
      <c r="R56" s="525"/>
      <c r="S56" s="525"/>
      <c r="T56" s="465" cm="1" t="str">
        <f t="array" ref="T56:T56">T55</f>
        <v>true</v>
      </c>
      <c r="U56" s="525"/>
      <c r="V56" s="525"/>
      <c r="W56" s="525"/>
      <c r="X56" s="1596"/>
      <c r="Y56" s="525"/>
      <c r="Z56" s="1597"/>
      <c r="AA56" s="525"/>
      <c r="AB56" s="515" t="s">
        <v>295</v>
      </c>
      <c r="AC56" s="561" t="s">
        <v>3135</v>
      </c>
      <c r="AD56" s="515" t="s">
        <v>1764</v>
      </c>
      <c r="AE56" s="530">
        <f>_xlfn.SUMIFS('Амортизация (аналог)'!AE$25:AE$62,'Амортизация (аналог)'!$F$25:$F$62,$F56,'Амортизация (аналог)'!$AB$25:$AB$62,"2")</f>
        <v>0</v>
      </c>
      <c r="AF56" s="530">
        <f>_xlfn.SUMIFS('Амортизация (аналог)'!AF$25:AF$62,'Амортизация (аналог)'!$F$25:$F$62,$F56,'Амортизация (аналог)'!$AB$25:$AB$62,"2")</f>
        <v>0</v>
      </c>
      <c r="AG56" s="525"/>
      <c r="AH56" s="525"/>
      <c r="AI56" s="1035" t="s">
        <v>3136</v>
      </c>
    </row>
    <row s="525" customFormat="1" customHeight="1" ht="14.25">
      <c r="A57" s="525"/>
      <c r="B57" s="525"/>
      <c r="C57" s="525"/>
      <c r="D57" s="525"/>
      <c r="E57" s="674">
        <v>15</v>
      </c>
      <c r="F57" s="50" cm="1" t="str">
        <f t="array" ref="F57:F57">OFFSET(E57,-1,1)</f>
        <v>1</v>
      </c>
      <c r="G57" s="525"/>
      <c r="H57" s="488" t="s">
        <v>1249</v>
      </c>
      <c r="I57" s="488"/>
      <c r="J57" s="488"/>
      <c r="K57" s="488"/>
      <c r="L57" s="525"/>
      <c r="M57" s="525"/>
      <c r="N57" s="525"/>
      <c r="O57" s="525"/>
      <c r="P57" s="525"/>
      <c r="Q57" s="525"/>
      <c r="R57" s="525"/>
      <c r="S57" s="525"/>
      <c r="T57" s="465" cm="1" t="str">
        <f t="array" ref="T57:T57">T56</f>
        <v>true</v>
      </c>
      <c r="U57" s="525"/>
      <c r="V57" s="525"/>
      <c r="W57" s="525"/>
      <c r="X57" s="1596"/>
      <c r="Y57" s="525"/>
      <c r="Z57" s="1597"/>
      <c r="AA57" s="525"/>
      <c r="AB57" s="515" t="s">
        <v>1384</v>
      </c>
      <c r="AC57" s="1297" t="s">
        <v>3137</v>
      </c>
      <c r="AD57" s="515" t="s">
        <v>1170</v>
      </c>
      <c r="AE57" s="527">
        <f>IF(AE48=0,0,AE56/AE48*100)</f>
        <v>0</v>
      </c>
      <c r="AF57" s="527">
        <f>IF(AF48=0,0,AF56/AF48*100)</f>
        <v>0</v>
      </c>
      <c r="AG57" s="525"/>
      <c r="AH57" s="525"/>
      <c r="AI57" s="1035" t="s">
        <v>3138</v>
      </c>
    </row>
    <row s="525" customFormat="1" customHeight="1" ht="21.75">
      <c r="A58" s="525"/>
      <c r="B58" s="525"/>
      <c r="C58" s="525"/>
      <c r="D58" s="525"/>
      <c r="E58" s="674">
        <v>22.5</v>
      </c>
      <c r="F58" s="50" cm="1" t="str">
        <f t="array" ref="F58:F58">OFFSET(E58,-1,1)</f>
        <v>1</v>
      </c>
      <c r="G58" s="158" t="s">
        <v>2346</v>
      </c>
      <c r="H58" s="488" t="s">
        <v>335</v>
      </c>
      <c r="I58" s="488"/>
      <c r="J58" s="488"/>
      <c r="K58" s="488"/>
      <c r="L58" s="525"/>
      <c r="M58" s="525"/>
      <c r="N58" s="525"/>
      <c r="O58" s="525"/>
      <c r="P58" s="525"/>
      <c r="Q58" s="525"/>
      <c r="R58" s="525"/>
      <c r="S58" s="525"/>
      <c r="T58" s="465" cm="1" t="str">
        <f t="array" ref="T58:T58">T57</f>
        <v>true</v>
      </c>
      <c r="U58" s="525"/>
      <c r="V58" s="525"/>
      <c r="W58" s="525"/>
      <c r="X58" s="1596"/>
      <c r="Y58" s="525"/>
      <c r="Z58" s="1597"/>
      <c r="AA58" s="525"/>
      <c r="AB58" s="515" t="s">
        <v>443</v>
      </c>
      <c r="AC58" s="1298" t="s">
        <v>3139</v>
      </c>
      <c r="AD58" s="515" t="s">
        <v>3140</v>
      </c>
      <c r="AE58" s="530">
        <f>_xlfn.SUMIFS(Баланс!$AI$25:$AI$482,Баланс!$F$25:$F$482,$F58,Баланс!$G$25:$G$482,"ПО")</f>
        <v>2356.20182</v>
      </c>
      <c r="AF58" s="530">
        <f>_xlfn.SUMIFS(Баланс!$AS$25:$AS$482,Баланс!$F$25:$F$482,$F58,Баланс!$G$25:$G$482,"ПО")</f>
        <v>2356.20182</v>
      </c>
      <c r="AG58" s="525"/>
      <c r="AH58" s="525"/>
      <c r="AI58" s="1035" t="s">
        <v>1787</v>
      </c>
    </row>
    <row s="525" customFormat="1" customHeight="1" ht="14.25">
      <c r="A59" s="525"/>
      <c r="B59" s="525"/>
      <c r="C59" s="525"/>
      <c r="D59" s="525"/>
      <c r="E59" s="674">
        <v>15</v>
      </c>
      <c r="F59" s="50" cm="1" t="str">
        <f t="array" ref="F59:F59">OFFSET(E59,-1,1)</f>
        <v>1</v>
      </c>
      <c r="G59" s="1299" t="s">
        <v>2373</v>
      </c>
      <c r="H59" s="488" t="s">
        <v>1263</v>
      </c>
      <c r="I59" s="488"/>
      <c r="J59" s="488"/>
      <c r="K59" s="488"/>
      <c r="L59" s="525"/>
      <c r="M59" s="525"/>
      <c r="N59" s="525"/>
      <c r="O59" s="525"/>
      <c r="P59" s="525"/>
      <c r="Q59" s="525"/>
      <c r="R59" s="525"/>
      <c r="S59" s="525"/>
      <c r="T59" s="465" cm="1" t="str">
        <f t="array" ref="T59:T59">T58</f>
        <v>true</v>
      </c>
      <c r="U59" s="525"/>
      <c r="V59" s="525"/>
      <c r="W59" s="525"/>
      <c r="X59" s="1596"/>
      <c r="Y59" s="525"/>
      <c r="Z59" s="1597"/>
      <c r="AA59" s="525"/>
      <c r="AB59" s="515" t="s">
        <v>1391</v>
      </c>
      <c r="AC59" s="1300" t="s">
        <v>3141</v>
      </c>
      <c r="AD59" s="515" t="s">
        <v>3140</v>
      </c>
      <c r="AE59" s="1301"/>
      <c r="AF59" s="1301"/>
      <c r="AG59" s="525"/>
      <c r="AH59" s="525"/>
      <c r="AI59" s="1035" t="s">
        <v>3142</v>
      </c>
    </row>
    <row s="525" customFormat="1" customHeight="1" ht="14.25">
      <c r="A60" s="525"/>
      <c r="B60" s="525"/>
      <c r="C60" s="525"/>
      <c r="D60" s="525"/>
      <c r="E60" s="674">
        <v>15</v>
      </c>
      <c r="F60" s="50" cm="1" t="str">
        <f t="array" ref="F60:F60">OFFSET(E60,-1,1)</f>
        <v>1</v>
      </c>
      <c r="G60" s="107" t="s">
        <v>2386</v>
      </c>
      <c r="H60" s="488" t="s">
        <v>1267</v>
      </c>
      <c r="I60" s="488"/>
      <c r="J60" s="488"/>
      <c r="K60" s="488"/>
      <c r="L60" s="525"/>
      <c r="M60" s="525"/>
      <c r="N60" s="525"/>
      <c r="O60" s="525"/>
      <c r="P60" s="525"/>
      <c r="Q60" s="525"/>
      <c r="R60" s="525"/>
      <c r="S60" s="525"/>
      <c r="T60" s="465" cm="1" t="str">
        <f t="array" ref="T60:T60">T59</f>
        <v>true</v>
      </c>
      <c r="U60" s="525"/>
      <c r="V60" s="525"/>
      <c r="W60" s="525"/>
      <c r="X60" s="1596"/>
      <c r="Y60" s="525"/>
      <c r="Z60" s="1597"/>
      <c r="AA60" s="525"/>
      <c r="AB60" s="515" t="s">
        <v>1394</v>
      </c>
      <c r="AC60" s="1131" t="s">
        <v>3143</v>
      </c>
      <c r="AD60" s="515" t="s">
        <v>3140</v>
      </c>
      <c r="AE60" s="530">
        <f>AE58-AE59</f>
        <v>2356.20182</v>
      </c>
      <c r="AF60" s="530">
        <f>AF58-AF59</f>
        <v>2356.20182</v>
      </c>
      <c r="AG60" s="525"/>
      <c r="AH60" s="525"/>
      <c r="AI60" s="1035" t="s">
        <v>3144</v>
      </c>
    </row>
    <row s="525" customFormat="1" customHeight="1" ht="14.25">
      <c r="A61" s="525"/>
      <c r="B61" s="525"/>
      <c r="C61" s="525"/>
      <c r="D61" s="525"/>
      <c r="E61" s="674">
        <v>15</v>
      </c>
      <c r="F61" s="50" cm="1" t="str">
        <f t="array" ref="F61:F61">OFFSET(E61,-1,1)</f>
        <v>1</v>
      </c>
      <c r="G61" s="525"/>
      <c r="H61" s="488" t="s">
        <v>1225</v>
      </c>
      <c r="I61" s="488"/>
      <c r="J61" s="488"/>
      <c r="K61" s="488"/>
      <c r="L61" s="525"/>
      <c r="M61" s="525"/>
      <c r="N61" s="525"/>
      <c r="O61" s="525"/>
      <c r="P61" s="525"/>
      <c r="Q61" s="525"/>
      <c r="R61" s="525"/>
      <c r="S61" s="525"/>
      <c r="T61" s="465" cm="1" t="str">
        <f t="array" ref="T61:T61">T60</f>
        <v>true</v>
      </c>
      <c r="U61" s="525"/>
      <c r="V61" s="525"/>
      <c r="W61" s="525"/>
      <c r="X61" s="1596"/>
      <c r="Y61" s="525"/>
      <c r="Z61" s="1597"/>
      <c r="AA61" s="525"/>
      <c r="AB61" s="515" t="s">
        <v>446</v>
      </c>
      <c r="AC61" s="560" t="s">
        <v>3145</v>
      </c>
      <c r="AD61" s="515" t="s">
        <v>2337</v>
      </c>
      <c r="AE61" s="527">
        <f>IF(AE58=0,0,AE47/AE58)</f>
        <v>0</v>
      </c>
      <c r="AF61" s="527">
        <f>IF(AF58=0,0,AF47/AF58)</f>
        <v>0</v>
      </c>
      <c r="AG61" s="525"/>
      <c r="AH61" s="525"/>
      <c r="AI61" s="1035" t="s">
        <v>1877</v>
      </c>
    </row>
    <row s="525" customFormat="1" customHeight="1" ht="14.25">
      <c r="A62" s="525"/>
      <c r="B62" s="525"/>
      <c r="C62" s="525"/>
      <c r="D62" s="525"/>
      <c r="E62" s="674">
        <v>15</v>
      </c>
      <c r="F62" s="50" cm="1" t="str">
        <f t="array" ref="F62:F62">OFFSET(E62,-1,1)</f>
        <v>1</v>
      </c>
      <c r="G62" s="107" t="s">
        <v>2334</v>
      </c>
      <c r="H62" s="488" t="s">
        <v>1407</v>
      </c>
      <c r="I62" s="488"/>
      <c r="J62" s="488"/>
      <c r="K62" s="488"/>
      <c r="L62" s="525"/>
      <c r="M62" s="525"/>
      <c r="N62" s="525"/>
      <c r="O62" s="525"/>
      <c r="P62" s="525"/>
      <c r="Q62" s="525"/>
      <c r="R62" s="525"/>
      <c r="S62" s="525"/>
      <c r="T62" s="465" cm="1" t="str">
        <f t="array" ref="T62:T62">T61</f>
        <v>true</v>
      </c>
      <c r="U62" s="525"/>
      <c r="V62" s="525"/>
      <c r="W62" s="525"/>
      <c r="X62" s="1596"/>
      <c r="Y62" s="525"/>
      <c r="Z62" s="1597"/>
      <c r="AA62" s="525"/>
      <c r="AB62" s="515" t="s">
        <v>3146</v>
      </c>
      <c r="AC62" s="1302" t="s">
        <v>3147</v>
      </c>
      <c r="AD62" s="515" t="s">
        <v>2337</v>
      </c>
      <c r="AE62" s="534"/>
      <c r="AF62" s="534"/>
      <c r="AG62" s="525"/>
      <c r="AH62" s="525"/>
      <c r="AI62" s="1035" t="s">
        <v>3148</v>
      </c>
    </row>
    <row s="525" customFormat="1" customHeight="1" ht="14.25">
      <c r="A63" s="525"/>
      <c r="B63" s="525"/>
      <c r="C63" s="525"/>
      <c r="D63" s="525"/>
      <c r="E63" s="674">
        <v>15</v>
      </c>
      <c r="F63" s="50" cm="1" t="str">
        <f t="array" ref="F63:F63">OFFSET(E63,-1,1)</f>
        <v>1</v>
      </c>
      <c r="G63" s="107" t="s">
        <v>2339</v>
      </c>
      <c r="H63" s="488" t="s">
        <v>1410</v>
      </c>
      <c r="I63" s="488"/>
      <c r="J63" s="488"/>
      <c r="K63" s="488"/>
      <c r="L63" s="525"/>
      <c r="M63" s="525"/>
      <c r="N63" s="525"/>
      <c r="O63" s="525"/>
      <c r="P63" s="525"/>
      <c r="Q63" s="525"/>
      <c r="R63" s="525"/>
      <c r="S63" s="525"/>
      <c r="T63" s="465" cm="1" t="str">
        <f t="array" ref="T63:T63">T62</f>
        <v>true</v>
      </c>
      <c r="U63" s="525"/>
      <c r="V63" s="525"/>
      <c r="W63" s="525"/>
      <c r="X63" s="1596"/>
      <c r="Y63" s="525"/>
      <c r="Z63" s="1597"/>
      <c r="AA63" s="525"/>
      <c r="AB63" s="515" t="s">
        <v>3149</v>
      </c>
      <c r="AC63" s="1132" t="s">
        <v>3150</v>
      </c>
      <c r="AD63" s="515" t="s">
        <v>2337</v>
      </c>
      <c r="AE63" s="534">
        <f>IF(AE60=0,0,(AE47-AE62*AE59)/AE60)</f>
        <v>0</v>
      </c>
      <c r="AF63" s="534">
        <f>IF(AF60=0,0,(AF47-AF62*AF59)/AF60)</f>
        <v>0</v>
      </c>
      <c r="AG63" s="525"/>
      <c r="AH63" s="525"/>
      <c r="AI63" s="1035" t="s">
        <v>3151</v>
      </c>
    </row>
    <row s="1834" customFormat="1" customHeight="1" ht="14.25">
      <c r="A64" s="1459"/>
      <c r="B64" s="1459"/>
      <c r="C64" s="1459"/>
      <c r="D64" s="1459"/>
      <c r="E64" s="649">
        <v>15</v>
      </c>
      <c r="F64" s="50" cm="1" t="str">
        <f t="array" ref="F64:F64">OFFSET(E64,-1,1)</f>
        <v>1</v>
      </c>
      <c r="G64" s="1459"/>
      <c r="H64" s="488" t="s">
        <v>1386</v>
      </c>
      <c r="I64" s="1459"/>
      <c r="J64" s="1459"/>
      <c r="K64" s="1459"/>
      <c r="L64" s="1459"/>
      <c r="M64" s="1459"/>
      <c r="N64" s="1459"/>
      <c r="O64" s="1459"/>
      <c r="P64" s="1459"/>
      <c r="Q64" s="1459"/>
      <c r="R64" s="1459"/>
      <c r="S64" s="1459"/>
      <c r="T64" s="465" cm="1" t="str">
        <f t="array" ref="T64:T64">T63</f>
        <v>true</v>
      </c>
      <c r="U64" s="1459"/>
      <c r="V64" s="1459"/>
      <c r="W64" s="1459"/>
      <c r="X64" s="1596"/>
      <c r="Y64" s="1459"/>
      <c r="Z64" s="1597"/>
      <c r="AA64" s="1459"/>
      <c r="AB64" s="515" t="s">
        <v>1283</v>
      </c>
      <c r="AC64" s="554" t="s">
        <v>3152</v>
      </c>
      <c r="AD64" s="515" t="s">
        <v>1170</v>
      </c>
      <c r="AE64" s="527">
        <f>IF(AE62=0,0,AE63/AE62*100)</f>
        <v>0</v>
      </c>
      <c r="AF64" s="527">
        <f>IF(AF62=0,0,AF63/AF62*100)</f>
        <v>0</v>
      </c>
      <c r="AG64" s="1459"/>
      <c r="AH64" s="1459"/>
      <c r="AI64" s="1025" t="s">
        <v>3153</v>
      </c>
    </row>
    <row s="1834" customFormat="1" customHeight="1" ht="14.25">
      <c r="A65" s="1459"/>
      <c r="B65" s="1459"/>
      <c r="C65" s="1459"/>
      <c r="D65" s="1459"/>
      <c r="E65" s="649">
        <v>15</v>
      </c>
      <c r="F65" s="488" cm="1" t="str">
        <f t="array" ref="F65:F65">X65</f>
        <v>2</v>
      </c>
      <c r="G65" s="1459"/>
      <c r="H65" s="1459"/>
      <c r="I65" s="1459"/>
      <c r="J65" s="1459"/>
      <c r="K65" s="1459"/>
      <c r="L65" s="1459"/>
      <c r="M65" s="1459"/>
      <c r="N65" s="1459"/>
      <c r="O65" s="1459"/>
      <c r="P65" s="1459"/>
      <c r="Q65" s="1459"/>
      <c r="R65" s="1459"/>
      <c r="S65" s="1459"/>
      <c r="T65" s="465">
        <f>X65&gt;0</f>
        <v>1</v>
      </c>
      <c r="U65" s="1459"/>
      <c r="V65" s="488" cm="1" t="str">
        <f t="array" ref="V65:V65">ГО!$AB$205</f>
        <v>Тариф 2 (Водоснабжение) - тариф на питьевую воду (Доп. признак не требуется)</v>
      </c>
      <c r="W65" s="1459"/>
      <c r="X65" s="1596" t="s">
        <v>285</v>
      </c>
      <c r="Y65" s="1459"/>
      <c r="Z65" s="1597"/>
      <c r="AA65" s="1459"/>
      <c r="AB65" s="222" cm="1" t="str">
        <f t="array" ref="AB65:AB65">ГО!$AB$205</f>
        <v>Тариф 2 (Водоснабжение) - тариф на питьевую воду (Доп. признак не требуется)</v>
      </c>
      <c r="AC65" s="1292"/>
      <c r="AD65" s="1293"/>
      <c r="AE65" s="1293"/>
      <c r="AF65" s="1294"/>
      <c r="AG65" s="1459"/>
      <c r="AH65" s="1459"/>
      <c r="AI65" s="1424"/>
    </row>
    <row s="525" customFormat="1" customHeight="1" ht="21.75">
      <c r="A66" s="525"/>
      <c r="B66" s="525"/>
      <c r="C66" s="525"/>
      <c r="D66" s="525"/>
      <c r="E66" s="674">
        <v>22.5</v>
      </c>
      <c r="F66" s="50" cm="1" t="str">
        <f t="array" ref="F66:F66">OFFSET(E66,-1,1)</f>
        <v>2</v>
      </c>
      <c r="G66" s="525"/>
      <c r="H66" s="488" t="s">
        <v>332</v>
      </c>
      <c r="I66" s="488"/>
      <c r="J66" s="488"/>
      <c r="K66" s="488"/>
      <c r="L66" s="525"/>
      <c r="M66" s="525"/>
      <c r="N66" s="525"/>
      <c r="O66" s="525"/>
      <c r="P66" s="525"/>
      <c r="Q66" s="525"/>
      <c r="R66" s="525"/>
      <c r="S66" s="525"/>
      <c r="T66" s="465" cm="1" t="str">
        <f t="array" ref="T66:T66">T65</f>
        <v>true</v>
      </c>
      <c r="U66" s="525"/>
      <c r="V66" s="525"/>
      <c r="W66" s="525"/>
      <c r="X66" s="1596"/>
      <c r="Y66" s="525"/>
      <c r="Z66" s="1597"/>
      <c r="AA66" s="525"/>
      <c r="AB66" s="515" t="s">
        <v>276</v>
      </c>
      <c r="AC66" s="531" t="s">
        <v>3120</v>
      </c>
      <c r="AD66" s="515" t="s">
        <v>1514</v>
      </c>
      <c r="AE66" s="527">
        <f>(AE67+AE75)*AE73</f>
        <v>0</v>
      </c>
      <c r="AF66" s="527">
        <f>(AF67+AF75)*AF73</f>
        <v>0</v>
      </c>
      <c r="AG66" s="525"/>
      <c r="AH66" s="525"/>
      <c r="AI66" s="1035" t="s">
        <v>3121</v>
      </c>
    </row>
    <row s="1834" customFormat="1" customHeight="1" ht="21.75">
      <c r="A67" s="1459"/>
      <c r="B67" s="1459"/>
      <c r="C67" s="1459"/>
      <c r="D67" s="1459"/>
      <c r="E67" s="649">
        <v>22.5</v>
      </c>
      <c r="F67" s="50" cm="1" t="str">
        <f t="array" ref="F67:F67">OFFSET(E67,-1,1)</f>
        <v>2</v>
      </c>
      <c r="G67" s="488" t="s">
        <v>3122</v>
      </c>
      <c r="H67" s="488" t="s">
        <v>333</v>
      </c>
      <c r="I67" s="1459"/>
      <c r="J67" s="1459"/>
      <c r="K67" s="488" t="str">
        <f>F67&amp;G67</f>
        <v>2УТР</v>
      </c>
      <c r="L67" s="1086" cm="1" t="str">
        <f t="array" ref="L67:L67">AE67</f>
        <v>0</v>
      </c>
      <c r="M67" s="1086" cm="1" t="str">
        <f t="array" ref="M67:M67">AF67</f>
        <v>0</v>
      </c>
      <c r="N67" s="1459"/>
      <c r="O67" s="1459"/>
      <c r="P67" s="1459"/>
      <c r="Q67" s="1459"/>
      <c r="R67" s="1459"/>
      <c r="S67" s="1459"/>
      <c r="T67" s="465" cm="1" t="str">
        <f t="array" ref="T67:T67">T66</f>
        <v>true</v>
      </c>
      <c r="U67" s="1459"/>
      <c r="V67" s="1459"/>
      <c r="W67" s="1459"/>
      <c r="X67" s="1596"/>
      <c r="Y67" s="1459"/>
      <c r="Z67" s="1597"/>
      <c r="AA67" s="1459"/>
      <c r="AB67" s="515" t="s">
        <v>285</v>
      </c>
      <c r="AC67" s="526" t="s">
        <v>1772</v>
      </c>
      <c r="AD67" s="515" t="s">
        <v>1764</v>
      </c>
      <c r="AE67" s="1085">
        <f>IF(AE72=0,0,(AE68-IF(_xlfn.SUMIFS('Перечень объектов'!AH$24:AH$87,'Перечень объектов'!$F$24:$F$87,$F67,'Перечень объектов'!$G$24:$G$87,"ЭЭ")&gt;0,0,AE69))/AE72)</f>
        <v>0</v>
      </c>
      <c r="AF67" s="1085">
        <f>IF(AF72=0,0,(AF68-IF(_xlfn.SUMIFS('Перечень объектов'!AI$24:AI$87,'Перечень объектов'!$F$24:$F$87,$F67,'Перечень объектов'!$G$24:$G$87,"ЭЭ")&gt;0,0,AF69))/AF72)</f>
        <v>0</v>
      </c>
      <c r="AG67" s="1459"/>
      <c r="AH67" s="1459"/>
      <c r="AI67" s="1025" t="s">
        <v>3123</v>
      </c>
    </row>
    <row s="1834" customFormat="1" customHeight="1" ht="32.25">
      <c r="A68" s="1459"/>
      <c r="B68" s="1459"/>
      <c r="C68" s="1459"/>
      <c r="D68" s="1459"/>
      <c r="E68" s="649">
        <v>33.75</v>
      </c>
      <c r="F68" s="50" cm="1" t="str">
        <f t="array" ref="F68:F68">OFFSET(E68,-1,1)</f>
        <v>2</v>
      </c>
      <c r="G68" s="1459"/>
      <c r="H68" s="488" t="s">
        <v>1193</v>
      </c>
      <c r="I68" s="1459"/>
      <c r="J68" s="1459"/>
      <c r="K68" s="1459"/>
      <c r="L68" s="1459"/>
      <c r="M68" s="1459"/>
      <c r="N68" s="1459"/>
      <c r="O68" s="1459"/>
      <c r="P68" s="1459"/>
      <c r="Q68" s="1459"/>
      <c r="R68" s="1459"/>
      <c r="S68" s="1459"/>
      <c r="T68" s="465" cm="1" t="str">
        <f t="array" ref="T68:T68">T67</f>
        <v>true</v>
      </c>
      <c r="U68" s="1459"/>
      <c r="V68" s="1459"/>
      <c r="W68" s="1459"/>
      <c r="X68" s="1596"/>
      <c r="Y68" s="1459"/>
      <c r="Z68" s="1597"/>
      <c r="AA68" s="1459"/>
      <c r="AB68" s="515" t="s">
        <v>1250</v>
      </c>
      <c r="AC68" s="562" t="s">
        <v>3124</v>
      </c>
      <c r="AD68" s="515" t="s">
        <v>1514</v>
      </c>
      <c r="AE68" s="534"/>
      <c r="AF68" s="527">
        <f>_xlfn.SUMIFS(ГО!AE$25:AE$472,ГО!$F$25:$F$472,$F68,ГО!$G$25:$G$472,"Итог")*(1+AF70/100)*(1+AF71/100)</f>
        <v>0</v>
      </c>
      <c r="AG68" s="1459"/>
      <c r="AH68" s="1459"/>
      <c r="AI68" s="1025" t="s">
        <v>3125</v>
      </c>
    </row>
    <row s="525" customFormat="1" customHeight="1" ht="14.25">
      <c r="A69" s="525"/>
      <c r="B69" s="525"/>
      <c r="C69" s="525"/>
      <c r="D69" s="525"/>
      <c r="E69" s="674">
        <v>15</v>
      </c>
      <c r="F69" s="50" cm="1" t="str">
        <f t="array" ref="F69:F69">OFFSET(E69,-1,1)</f>
        <v>2</v>
      </c>
      <c r="G69" s="525"/>
      <c r="H69" s="488" t="s">
        <v>2295</v>
      </c>
      <c r="I69" s="488"/>
      <c r="J69" s="488"/>
      <c r="K69" s="488"/>
      <c r="L69" s="525"/>
      <c r="M69" s="525"/>
      <c r="N69" s="525"/>
      <c r="O69" s="525"/>
      <c r="P69" s="525"/>
      <c r="Q69" s="525"/>
      <c r="R69" s="525"/>
      <c r="S69" s="525"/>
      <c r="T69" s="465" cm="1" t="str">
        <f t="array" ref="T69:T69">T68</f>
        <v>true</v>
      </c>
      <c r="U69" s="525"/>
      <c r="V69" s="525"/>
      <c r="W69" s="525"/>
      <c r="X69" s="1596"/>
      <c r="Y69" s="525"/>
      <c r="Z69" s="1597"/>
      <c r="AA69" s="525"/>
      <c r="AB69" s="515" t="s">
        <v>1201</v>
      </c>
      <c r="AC69" s="1295" t="s">
        <v>3126</v>
      </c>
      <c r="AD69" s="515" t="s">
        <v>1514</v>
      </c>
      <c r="AE69" s="534"/>
      <c r="AF69" s="527">
        <f>_xlfn.SUMIFS(ГО!AE$25:AE$472,ГО!$F$25:$F$472,$F69,ГО!$G$25:$G$472,"ЭЭ")*(1+AF70/100)*(1+AF71/100)</f>
        <v>0</v>
      </c>
      <c r="AG69" s="525"/>
      <c r="AH69" s="525"/>
      <c r="AI69" s="1035" t="s">
        <v>2446</v>
      </c>
    </row>
    <row s="525" customFormat="1" customHeight="1" ht="14.25">
      <c r="A70" s="525"/>
      <c r="B70" s="525"/>
      <c r="C70" s="525"/>
      <c r="D70" s="525"/>
      <c r="E70" s="674">
        <v>15</v>
      </c>
      <c r="F70" s="50" cm="1" t="str">
        <f t="array" ref="F70:F70">OFFSET(E70,-1,1)</f>
        <v>2</v>
      </c>
      <c r="G70" s="525"/>
      <c r="H70" s="488" t="s">
        <v>1196</v>
      </c>
      <c r="I70" s="488"/>
      <c r="J70" s="488"/>
      <c r="K70" s="488"/>
      <c r="L70" s="525"/>
      <c r="M70" s="525"/>
      <c r="N70" s="525"/>
      <c r="O70" s="525"/>
      <c r="P70" s="525"/>
      <c r="Q70" s="525"/>
      <c r="R70" s="525"/>
      <c r="S70" s="525"/>
      <c r="T70" s="465" cm="1" t="str">
        <f t="array" ref="T70:T70">T69</f>
        <v>true</v>
      </c>
      <c r="U70" s="525"/>
      <c r="V70" s="525"/>
      <c r="W70" s="525"/>
      <c r="X70" s="1596"/>
      <c r="Y70" s="525"/>
      <c r="Z70" s="1597"/>
      <c r="AA70" s="525"/>
      <c r="AB70" s="515" t="s">
        <v>1254</v>
      </c>
      <c r="AC70" s="562" t="str">
        <f>"индекс потребительских цен на "&amp;god-1&amp;" год"</f>
        <v>индекс потребительских цен на 2025 год</v>
      </c>
      <c r="AD70" s="515" t="s">
        <v>1170</v>
      </c>
      <c r="AE70" s="534"/>
      <c r="AF70" s="534"/>
      <c r="AG70" s="525"/>
      <c r="AH70" s="525"/>
      <c r="AI70" s="1035" t="s">
        <v>3127</v>
      </c>
    </row>
    <row s="525" customFormat="1" customHeight="1" ht="14.25">
      <c r="A71" s="525"/>
      <c r="B71" s="525"/>
      <c r="C71" s="525"/>
      <c r="D71" s="525"/>
      <c r="E71" s="674">
        <v>15</v>
      </c>
      <c r="F71" s="50" cm="1" t="str">
        <f t="array" ref="F71:F71">OFFSET(E71,-1,1)</f>
        <v>2</v>
      </c>
      <c r="G71" s="525"/>
      <c r="H71" s="488" t="s">
        <v>1648</v>
      </c>
      <c r="I71" s="488"/>
      <c r="J71" s="488"/>
      <c r="K71" s="488"/>
      <c r="L71" s="525"/>
      <c r="M71" s="525"/>
      <c r="N71" s="525"/>
      <c r="O71" s="525"/>
      <c r="P71" s="525"/>
      <c r="Q71" s="525"/>
      <c r="R71" s="525"/>
      <c r="S71" s="525"/>
      <c r="T71" s="465" cm="1" t="str">
        <f t="array" ref="T71:T71">T70</f>
        <v>true</v>
      </c>
      <c r="U71" s="525"/>
      <c r="V71" s="525"/>
      <c r="W71" s="525"/>
      <c r="X71" s="1596"/>
      <c r="Y71" s="525"/>
      <c r="Z71" s="1597"/>
      <c r="AA71" s="525"/>
      <c r="AB71" s="515" t="s">
        <v>1258</v>
      </c>
      <c r="AC71" s="562" t="str">
        <f>"индекс потребительских цен на "&amp;god&amp;" год"</f>
        <v>индекс потребительских цен на 2026 год</v>
      </c>
      <c r="AD71" s="515" t="s">
        <v>1170</v>
      </c>
      <c r="AE71" s="534"/>
      <c r="AF71" s="534"/>
      <c r="AG71" s="525"/>
      <c r="AH71" s="525"/>
      <c r="AI71" s="1035" t="s">
        <v>3128</v>
      </c>
    </row>
    <row s="525" customFormat="1" customHeight="1" ht="21.75">
      <c r="A72" s="525"/>
      <c r="B72" s="525"/>
      <c r="C72" s="525"/>
      <c r="D72" s="525"/>
      <c r="E72" s="674">
        <v>22.5</v>
      </c>
      <c r="F72" s="50" cm="1" t="str">
        <f t="array" ref="F72:F72">OFFSET(E72,-1,1)</f>
        <v>2</v>
      </c>
      <c r="G72" s="525"/>
      <c r="H72" s="488" t="s">
        <v>1650</v>
      </c>
      <c r="I72" s="488"/>
      <c r="J72" s="488"/>
      <c r="K72" s="488"/>
      <c r="L72" s="525"/>
      <c r="M72" s="525"/>
      <c r="N72" s="525"/>
      <c r="O72" s="525"/>
      <c r="P72" s="525"/>
      <c r="Q72" s="525"/>
      <c r="R72" s="525"/>
      <c r="S72" s="525"/>
      <c r="T72" s="465" cm="1" t="str">
        <f t="array" ref="T72:T72">T71</f>
        <v>true</v>
      </c>
      <c r="U72" s="525"/>
      <c r="V72" s="525"/>
      <c r="W72" s="525"/>
      <c r="X72" s="1596"/>
      <c r="Y72" s="525"/>
      <c r="Z72" s="1597"/>
      <c r="AA72" s="525"/>
      <c r="AB72" s="515" t="s">
        <v>1651</v>
      </c>
      <c r="AC72" s="562" t="s">
        <v>3129</v>
      </c>
      <c r="AD72" s="515" t="s">
        <v>1506</v>
      </c>
      <c r="AE72" s="534"/>
      <c r="AF72" s="534"/>
      <c r="AG72" s="525"/>
      <c r="AH72" s="525"/>
      <c r="AI72" s="1035" t="s">
        <v>3130</v>
      </c>
    </row>
    <row s="525" customFormat="1" customHeight="1" ht="14.25">
      <c r="A73" s="525"/>
      <c r="B73" s="525"/>
      <c r="C73" s="525"/>
      <c r="D73" s="525"/>
      <c r="E73" s="674">
        <v>15</v>
      </c>
      <c r="F73" s="50" cm="1" t="str">
        <f t="array" ref="F73:F73">OFFSET(E73,-1,1)</f>
        <v>2</v>
      </c>
      <c r="G73" s="525"/>
      <c r="H73" s="488" t="s">
        <v>334</v>
      </c>
      <c r="I73" s="488"/>
      <c r="J73" s="488"/>
      <c r="K73" s="488"/>
      <c r="L73" s="525"/>
      <c r="M73" s="525"/>
      <c r="N73" s="525"/>
      <c r="O73" s="525"/>
      <c r="P73" s="525"/>
      <c r="Q73" s="525"/>
      <c r="R73" s="525"/>
      <c r="S73" s="525"/>
      <c r="T73" s="465" cm="1" t="str">
        <f t="array" ref="T73:T73">T72</f>
        <v>true</v>
      </c>
      <c r="U73" s="525"/>
      <c r="V73" s="525"/>
      <c r="W73" s="525"/>
      <c r="X73" s="1596"/>
      <c r="Y73" s="525"/>
      <c r="Z73" s="1597"/>
      <c r="AA73" s="525"/>
      <c r="AB73" s="515" t="s">
        <v>289</v>
      </c>
      <c r="AC73" s="1296" t="s">
        <v>3131</v>
      </c>
      <c r="AD73" s="515" t="s">
        <v>1506</v>
      </c>
      <c r="AE73" s="530">
        <f>_xlfn.SUMIFS('Условные метры'!AL$27:AL$44,'Условные метры'!$F$27:$F$44,$F73,'Условные метры'!$G$27:$G$44,"Итог")</f>
        <v>0</v>
      </c>
      <c r="AF73" s="530">
        <f>_xlfn.SUMIFS('Условные метры'!AN$27:AN$44,'Условные метры'!$F$27:$F$44,$F73,'Условные метры'!$G$27:$G$44,"Итог")</f>
        <v>0</v>
      </c>
      <c r="AG73" s="525"/>
      <c r="AH73" s="525"/>
      <c r="AI73" s="1035" t="s">
        <v>3132</v>
      </c>
    </row>
    <row s="525" customFormat="1" customHeight="1" ht="14.25">
      <c r="A74" s="525"/>
      <c r="B74" s="525"/>
      <c r="C74" s="525"/>
      <c r="D74" s="525"/>
      <c r="E74" s="674">
        <v>15</v>
      </c>
      <c r="F74" s="50" cm="1" t="str">
        <f t="array" ref="F74:F74">OFFSET(E74,-1,1)</f>
        <v>2</v>
      </c>
      <c r="G74" s="525"/>
      <c r="H74" s="488" t="s">
        <v>1658</v>
      </c>
      <c r="I74" s="488"/>
      <c r="J74" s="488"/>
      <c r="K74" s="488"/>
      <c r="L74" s="525"/>
      <c r="M74" s="525"/>
      <c r="N74" s="525"/>
      <c r="O74" s="525"/>
      <c r="P74" s="525"/>
      <c r="Q74" s="525"/>
      <c r="R74" s="525"/>
      <c r="S74" s="525"/>
      <c r="T74" s="465" cm="1" t="str">
        <f t="array" ref="T74:T74">T73</f>
        <v>true</v>
      </c>
      <c r="U74" s="525"/>
      <c r="V74" s="525"/>
      <c r="W74" s="525"/>
      <c r="X74" s="1596"/>
      <c r="Y74" s="525"/>
      <c r="Z74" s="1597"/>
      <c r="AA74" s="525"/>
      <c r="AB74" s="515" t="s">
        <v>1264</v>
      </c>
      <c r="AC74" s="562" t="s">
        <v>3133</v>
      </c>
      <c r="AD74" s="515" t="s">
        <v>388</v>
      </c>
      <c r="AE74" s="530">
        <f>_xlfn.SUMIFS('Условные метры'!AK$27:AK$44,'Условные метры'!$F$27:$F$44,$F74,'Условные метры'!$G$27:$G$44,"Итог")</f>
        <v>0</v>
      </c>
      <c r="AF74" s="530">
        <f>_xlfn.SUMIFS('Условные метры'!AM$27:AM$44,'Условные метры'!$F$27:$F$44,$F74,'Условные метры'!$G$27:$G$44,"Итог")</f>
        <v>0</v>
      </c>
      <c r="AG74" s="525"/>
      <c r="AH74" s="525"/>
      <c r="AI74" s="1035" t="s">
        <v>3134</v>
      </c>
    </row>
    <row s="525" customFormat="1" customHeight="1" ht="14.25">
      <c r="A75" s="525"/>
      <c r="B75" s="525"/>
      <c r="C75" s="525"/>
      <c r="D75" s="525"/>
      <c r="E75" s="674">
        <v>15</v>
      </c>
      <c r="F75" s="50" cm="1" t="str">
        <f t="array" ref="F75:F75">OFFSET(E75,-1,1)</f>
        <v>2</v>
      </c>
      <c r="G75" s="525"/>
      <c r="H75" s="488" t="s">
        <v>336</v>
      </c>
      <c r="I75" s="488"/>
      <c r="J75" s="488"/>
      <c r="K75" s="488"/>
      <c r="L75" s="525"/>
      <c r="M75" s="525"/>
      <c r="N75" s="525"/>
      <c r="O75" s="525"/>
      <c r="P75" s="525"/>
      <c r="Q75" s="525"/>
      <c r="R75" s="525"/>
      <c r="S75" s="525"/>
      <c r="T75" s="465" cm="1" t="str">
        <f t="array" ref="T75:T75">T74</f>
        <v>true</v>
      </c>
      <c r="U75" s="525"/>
      <c r="V75" s="525"/>
      <c r="W75" s="525"/>
      <c r="X75" s="1596"/>
      <c r="Y75" s="525"/>
      <c r="Z75" s="1597"/>
      <c r="AA75" s="525"/>
      <c r="AB75" s="515" t="s">
        <v>295</v>
      </c>
      <c r="AC75" s="561" t="s">
        <v>3135</v>
      </c>
      <c r="AD75" s="515" t="s">
        <v>1764</v>
      </c>
      <c r="AE75" s="530">
        <f>_xlfn.SUMIFS('Амортизация (аналог)'!AE$25:AE$62,'Амортизация (аналог)'!$F$25:$F$62,$F75,'Амортизация (аналог)'!$AB$25:$AB$62,"2")</f>
        <v>0</v>
      </c>
      <c r="AF75" s="530">
        <f>_xlfn.SUMIFS('Амортизация (аналог)'!AF$25:AF$62,'Амортизация (аналог)'!$F$25:$F$62,$F75,'Амортизация (аналог)'!$AB$25:$AB$62,"2")</f>
        <v>0</v>
      </c>
      <c r="AG75" s="525"/>
      <c r="AH75" s="525"/>
      <c r="AI75" s="1035" t="s">
        <v>3136</v>
      </c>
    </row>
    <row s="525" customFormat="1" customHeight="1" ht="14.25">
      <c r="A76" s="525"/>
      <c r="B76" s="525"/>
      <c r="C76" s="525"/>
      <c r="D76" s="525"/>
      <c r="E76" s="674">
        <v>15</v>
      </c>
      <c r="F76" s="50" cm="1" t="str">
        <f t="array" ref="F76:F76">OFFSET(E76,-1,1)</f>
        <v>2</v>
      </c>
      <c r="G76" s="525"/>
      <c r="H76" s="488" t="s">
        <v>1249</v>
      </c>
      <c r="I76" s="488"/>
      <c r="J76" s="488"/>
      <c r="K76" s="488"/>
      <c r="L76" s="525"/>
      <c r="M76" s="525"/>
      <c r="N76" s="525"/>
      <c r="O76" s="525"/>
      <c r="P76" s="525"/>
      <c r="Q76" s="525"/>
      <c r="R76" s="525"/>
      <c r="S76" s="525"/>
      <c r="T76" s="465" cm="1" t="str">
        <f t="array" ref="T76:T76">T75</f>
        <v>true</v>
      </c>
      <c r="U76" s="525"/>
      <c r="V76" s="525"/>
      <c r="W76" s="525"/>
      <c r="X76" s="1596"/>
      <c r="Y76" s="525"/>
      <c r="Z76" s="1597"/>
      <c r="AA76" s="525"/>
      <c r="AB76" s="515" t="s">
        <v>1384</v>
      </c>
      <c r="AC76" s="1297" t="s">
        <v>3137</v>
      </c>
      <c r="AD76" s="515" t="s">
        <v>1170</v>
      </c>
      <c r="AE76" s="527">
        <f>IF(AE67=0,0,AE75/AE67*100)</f>
        <v>0</v>
      </c>
      <c r="AF76" s="527">
        <f>IF(AF67=0,0,AF75/AF67*100)</f>
        <v>0</v>
      </c>
      <c r="AG76" s="525"/>
      <c r="AH76" s="525"/>
      <c r="AI76" s="1035" t="s">
        <v>3138</v>
      </c>
    </row>
    <row s="525" customFormat="1" customHeight="1" ht="21.75">
      <c r="A77" s="525"/>
      <c r="B77" s="525"/>
      <c r="C77" s="525"/>
      <c r="D77" s="525"/>
      <c r="E77" s="674">
        <v>22.5</v>
      </c>
      <c r="F77" s="50" cm="1" t="str">
        <f t="array" ref="F77:F77">OFFSET(E77,-1,1)</f>
        <v>2</v>
      </c>
      <c r="G77" s="158" t="s">
        <v>2346</v>
      </c>
      <c r="H77" s="488" t="s">
        <v>335</v>
      </c>
      <c r="I77" s="488"/>
      <c r="J77" s="488"/>
      <c r="K77" s="488"/>
      <c r="L77" s="525"/>
      <c r="M77" s="525"/>
      <c r="N77" s="525"/>
      <c r="O77" s="525"/>
      <c r="P77" s="525"/>
      <c r="Q77" s="525"/>
      <c r="R77" s="525"/>
      <c r="S77" s="525"/>
      <c r="T77" s="465" cm="1" t="str">
        <f t="array" ref="T77:T77">T76</f>
        <v>true</v>
      </c>
      <c r="U77" s="525"/>
      <c r="V77" s="525"/>
      <c r="W77" s="525"/>
      <c r="X77" s="1596"/>
      <c r="Y77" s="525"/>
      <c r="Z77" s="1597"/>
      <c r="AA77" s="525"/>
      <c r="AB77" s="515" t="s">
        <v>443</v>
      </c>
      <c r="AC77" s="1298" t="s">
        <v>3139</v>
      </c>
      <c r="AD77" s="515" t="s">
        <v>3140</v>
      </c>
      <c r="AE77" s="530">
        <f>_xlfn.SUMIFS(Баланс!$AI$25:$AI$482,Баланс!$F$25:$F$482,$F77,Баланс!$G$25:$G$482,"ПО")</f>
        <v>1091.22881</v>
      </c>
      <c r="AF77" s="530">
        <f>_xlfn.SUMIFS(Баланс!$AS$25:$AS$482,Баланс!$F$25:$F$482,$F77,Баланс!$G$25:$G$482,"ПО")</f>
        <v>1091.22881</v>
      </c>
      <c r="AG77" s="525"/>
      <c r="AH77" s="525"/>
      <c r="AI77" s="1035" t="s">
        <v>1787</v>
      </c>
    </row>
    <row s="525" customFormat="1" customHeight="1" ht="14.25">
      <c r="A78" s="525"/>
      <c r="B78" s="525"/>
      <c r="C78" s="525"/>
      <c r="D78" s="525"/>
      <c r="E78" s="674">
        <v>15</v>
      </c>
      <c r="F78" s="50" cm="1" t="str">
        <f t="array" ref="F78:F78">OFFSET(E78,-1,1)</f>
        <v>2</v>
      </c>
      <c r="G78" s="1299" t="s">
        <v>2373</v>
      </c>
      <c r="H78" s="488" t="s">
        <v>1263</v>
      </c>
      <c r="I78" s="488"/>
      <c r="J78" s="488"/>
      <c r="K78" s="488"/>
      <c r="L78" s="525"/>
      <c r="M78" s="525"/>
      <c r="N78" s="525"/>
      <c r="O78" s="525"/>
      <c r="P78" s="525"/>
      <c r="Q78" s="525"/>
      <c r="R78" s="525"/>
      <c r="S78" s="525"/>
      <c r="T78" s="465" cm="1" t="str">
        <f t="array" ref="T78:T78">T77</f>
        <v>true</v>
      </c>
      <c r="U78" s="525"/>
      <c r="V78" s="525"/>
      <c r="W78" s="525"/>
      <c r="X78" s="1596"/>
      <c r="Y78" s="525"/>
      <c r="Z78" s="1597"/>
      <c r="AA78" s="525"/>
      <c r="AB78" s="515" t="s">
        <v>1391</v>
      </c>
      <c r="AC78" s="1300" t="s">
        <v>3141</v>
      </c>
      <c r="AD78" s="515" t="s">
        <v>3140</v>
      </c>
      <c r="AE78" s="1301"/>
      <c r="AF78" s="1301"/>
      <c r="AG78" s="525"/>
      <c r="AH78" s="525"/>
      <c r="AI78" s="1035" t="s">
        <v>3142</v>
      </c>
    </row>
    <row s="525" customFormat="1" customHeight="1" ht="14.25">
      <c r="A79" s="525"/>
      <c r="B79" s="525"/>
      <c r="C79" s="525"/>
      <c r="D79" s="525"/>
      <c r="E79" s="674">
        <v>15</v>
      </c>
      <c r="F79" s="50" cm="1" t="str">
        <f t="array" ref="F79:F79">OFFSET(E79,-1,1)</f>
        <v>2</v>
      </c>
      <c r="G79" s="107" t="s">
        <v>2386</v>
      </c>
      <c r="H79" s="488" t="s">
        <v>1267</v>
      </c>
      <c r="I79" s="488"/>
      <c r="J79" s="488"/>
      <c r="K79" s="488"/>
      <c r="L79" s="525"/>
      <c r="M79" s="525"/>
      <c r="N79" s="525"/>
      <c r="O79" s="525"/>
      <c r="P79" s="525"/>
      <c r="Q79" s="525"/>
      <c r="R79" s="525"/>
      <c r="S79" s="525"/>
      <c r="T79" s="465" cm="1" t="str">
        <f t="array" ref="T79:T79">T78</f>
        <v>true</v>
      </c>
      <c r="U79" s="525"/>
      <c r="V79" s="525"/>
      <c r="W79" s="525"/>
      <c r="X79" s="1596"/>
      <c r="Y79" s="525"/>
      <c r="Z79" s="1597"/>
      <c r="AA79" s="525"/>
      <c r="AB79" s="515" t="s">
        <v>1394</v>
      </c>
      <c r="AC79" s="1131" t="s">
        <v>3143</v>
      </c>
      <c r="AD79" s="515" t="s">
        <v>3140</v>
      </c>
      <c r="AE79" s="530">
        <f>AE77-AE78</f>
        <v>1091.22881</v>
      </c>
      <c r="AF79" s="530">
        <f>AF77-AF78</f>
        <v>1091.22881</v>
      </c>
      <c r="AG79" s="525"/>
      <c r="AH79" s="525"/>
      <c r="AI79" s="1035" t="s">
        <v>3144</v>
      </c>
    </row>
    <row s="525" customFormat="1" customHeight="1" ht="14.25">
      <c r="A80" s="525"/>
      <c r="B80" s="525"/>
      <c r="C80" s="525"/>
      <c r="D80" s="525"/>
      <c r="E80" s="674">
        <v>15</v>
      </c>
      <c r="F80" s="50" cm="1" t="str">
        <f t="array" ref="F80:F80">OFFSET(E80,-1,1)</f>
        <v>2</v>
      </c>
      <c r="G80" s="525"/>
      <c r="H80" s="488" t="s">
        <v>1225</v>
      </c>
      <c r="I80" s="488"/>
      <c r="J80" s="488"/>
      <c r="K80" s="488"/>
      <c r="L80" s="525"/>
      <c r="M80" s="525"/>
      <c r="N80" s="525"/>
      <c r="O80" s="525"/>
      <c r="P80" s="525"/>
      <c r="Q80" s="525"/>
      <c r="R80" s="525"/>
      <c r="S80" s="525"/>
      <c r="T80" s="465" cm="1" t="str">
        <f t="array" ref="T80:T80">T79</f>
        <v>true</v>
      </c>
      <c r="U80" s="525"/>
      <c r="V80" s="525"/>
      <c r="W80" s="525"/>
      <c r="X80" s="1596"/>
      <c r="Y80" s="525"/>
      <c r="Z80" s="1597"/>
      <c r="AA80" s="525"/>
      <c r="AB80" s="515" t="s">
        <v>446</v>
      </c>
      <c r="AC80" s="560" t="s">
        <v>3145</v>
      </c>
      <c r="AD80" s="515" t="s">
        <v>2337</v>
      </c>
      <c r="AE80" s="527">
        <f>IF(AE77=0,0,AE66/AE77)</f>
        <v>0</v>
      </c>
      <c r="AF80" s="527">
        <f>IF(AF77=0,0,AF66/AF77)</f>
        <v>0</v>
      </c>
      <c r="AG80" s="525"/>
      <c r="AH80" s="525"/>
      <c r="AI80" s="1035" t="s">
        <v>1877</v>
      </c>
    </row>
    <row s="525" customFormat="1" customHeight="1" ht="14.25">
      <c r="A81" s="525"/>
      <c r="B81" s="525"/>
      <c r="C81" s="525"/>
      <c r="D81" s="525"/>
      <c r="E81" s="674">
        <v>15</v>
      </c>
      <c r="F81" s="50" cm="1" t="str">
        <f t="array" ref="F81:F81">OFFSET(E81,-1,1)</f>
        <v>2</v>
      </c>
      <c r="G81" s="107" t="s">
        <v>2334</v>
      </c>
      <c r="H81" s="488" t="s">
        <v>1407</v>
      </c>
      <c r="I81" s="488"/>
      <c r="J81" s="488"/>
      <c r="K81" s="488"/>
      <c r="L81" s="525"/>
      <c r="M81" s="525"/>
      <c r="N81" s="525"/>
      <c r="O81" s="525"/>
      <c r="P81" s="525"/>
      <c r="Q81" s="525"/>
      <c r="R81" s="525"/>
      <c r="S81" s="525"/>
      <c r="T81" s="465" cm="1" t="str">
        <f t="array" ref="T81:T81">T80</f>
        <v>true</v>
      </c>
      <c r="U81" s="525"/>
      <c r="V81" s="525"/>
      <c r="W81" s="525"/>
      <c r="X81" s="1596"/>
      <c r="Y81" s="525"/>
      <c r="Z81" s="1597"/>
      <c r="AA81" s="525"/>
      <c r="AB81" s="515" t="s">
        <v>3146</v>
      </c>
      <c r="AC81" s="1302" t="s">
        <v>3147</v>
      </c>
      <c r="AD81" s="515" t="s">
        <v>2337</v>
      </c>
      <c r="AE81" s="534"/>
      <c r="AF81" s="534"/>
      <c r="AG81" s="525"/>
      <c r="AH81" s="525"/>
      <c r="AI81" s="1035" t="s">
        <v>3148</v>
      </c>
    </row>
    <row s="525" customFormat="1" customHeight="1" ht="14.25">
      <c r="A82" s="525"/>
      <c r="B82" s="525"/>
      <c r="C82" s="525"/>
      <c r="D82" s="525"/>
      <c r="E82" s="674">
        <v>15</v>
      </c>
      <c r="F82" s="50" cm="1" t="str">
        <f t="array" ref="F82:F82">OFFSET(E82,-1,1)</f>
        <v>2</v>
      </c>
      <c r="G82" s="107" t="s">
        <v>2339</v>
      </c>
      <c r="H82" s="488" t="s">
        <v>1410</v>
      </c>
      <c r="I82" s="488"/>
      <c r="J82" s="488"/>
      <c r="K82" s="488"/>
      <c r="L82" s="525"/>
      <c r="M82" s="525"/>
      <c r="N82" s="525"/>
      <c r="O82" s="525"/>
      <c r="P82" s="525"/>
      <c r="Q82" s="525"/>
      <c r="R82" s="525"/>
      <c r="S82" s="525"/>
      <c r="T82" s="465" cm="1" t="str">
        <f t="array" ref="T82:T82">T81</f>
        <v>true</v>
      </c>
      <c r="U82" s="525"/>
      <c r="V82" s="525"/>
      <c r="W82" s="525"/>
      <c r="X82" s="1596"/>
      <c r="Y82" s="525"/>
      <c r="Z82" s="1597"/>
      <c r="AA82" s="525"/>
      <c r="AB82" s="515" t="s">
        <v>3149</v>
      </c>
      <c r="AC82" s="1132" t="s">
        <v>3150</v>
      </c>
      <c r="AD82" s="515" t="s">
        <v>2337</v>
      </c>
      <c r="AE82" s="534">
        <f>IF(AE79=0,0,(AE66-AE81*AE78)/AE79)</f>
        <v>0</v>
      </c>
      <c r="AF82" s="534">
        <f>IF(AF79=0,0,(AF66-AF81*AF78)/AF79)</f>
        <v>0</v>
      </c>
      <c r="AG82" s="525"/>
      <c r="AH82" s="525"/>
      <c r="AI82" s="1035" t="s">
        <v>3151</v>
      </c>
    </row>
    <row s="1834" customFormat="1" customHeight="1" ht="14.25">
      <c r="A83" s="1459"/>
      <c r="B83" s="1459"/>
      <c r="C83" s="1459"/>
      <c r="D83" s="1459"/>
      <c r="E83" s="649">
        <v>15</v>
      </c>
      <c r="F83" s="50" cm="1" t="str">
        <f t="array" ref="F83:F83">OFFSET(E83,-1,1)</f>
        <v>2</v>
      </c>
      <c r="G83" s="1459"/>
      <c r="H83" s="488" t="s">
        <v>1386</v>
      </c>
      <c r="I83" s="1459"/>
      <c r="J83" s="1459"/>
      <c r="K83" s="1459"/>
      <c r="L83" s="1459"/>
      <c r="M83" s="1459"/>
      <c r="N83" s="1459"/>
      <c r="O83" s="1459"/>
      <c r="P83" s="1459"/>
      <c r="Q83" s="1459"/>
      <c r="R83" s="1459"/>
      <c r="S83" s="1459"/>
      <c r="T83" s="465" cm="1" t="str">
        <f t="array" ref="T83:T83">T82</f>
        <v>true</v>
      </c>
      <c r="U83" s="1459"/>
      <c r="V83" s="1459"/>
      <c r="W83" s="1459"/>
      <c r="X83" s="1596"/>
      <c r="Y83" s="1459"/>
      <c r="Z83" s="1597"/>
      <c r="AA83" s="1459"/>
      <c r="AB83" s="515" t="s">
        <v>1283</v>
      </c>
      <c r="AC83" s="554" t="s">
        <v>3152</v>
      </c>
      <c r="AD83" s="515" t="s">
        <v>1170</v>
      </c>
      <c r="AE83" s="527">
        <f>IF(AE81=0,0,AE82/AE81*100)</f>
        <v>0</v>
      </c>
      <c r="AF83" s="527">
        <f>IF(AF81=0,0,AF82/AF81*100)</f>
        <v>0</v>
      </c>
      <c r="AG83" s="1459"/>
      <c r="AH83" s="1459"/>
      <c r="AI83" s="1025" t="s">
        <v>3153</v>
      </c>
    </row>
    <row s="1834" customFormat="1" customHeight="1" ht="14.25">
      <c r="A84" s="1459"/>
      <c r="B84" s="1459"/>
      <c r="C84" s="1459"/>
      <c r="D84" s="1459"/>
      <c r="E84" s="649">
        <v>15</v>
      </c>
      <c r="F84" s="488" cm="1" t="str">
        <f t="array" ref="F84:F84">X84</f>
        <v>3</v>
      </c>
      <c r="G84" s="1459"/>
      <c r="H84" s="1459"/>
      <c r="I84" s="1459"/>
      <c r="J84" s="1459"/>
      <c r="K84" s="1459"/>
      <c r="L84" s="1459"/>
      <c r="M84" s="1459"/>
      <c r="N84" s="1459"/>
      <c r="O84" s="1459"/>
      <c r="P84" s="1459"/>
      <c r="Q84" s="1459"/>
      <c r="R84" s="1459"/>
      <c r="S84" s="1459"/>
      <c r="T84" s="465">
        <f>X84&gt;0</f>
        <v>1</v>
      </c>
      <c r="U84" s="1459"/>
      <c r="V84" s="488" cm="1" t="str">
        <f t="array" ref="V84:V84">ГО!$AB$294</f>
        <v>Тариф 3 (Водоотведение) - тариф на водоотведение (Доп. признак не требуется)</v>
      </c>
      <c r="W84" s="1459"/>
      <c r="X84" s="1596" t="s">
        <v>289</v>
      </c>
      <c r="Y84" s="1459"/>
      <c r="Z84" s="1597"/>
      <c r="AA84" s="1459"/>
      <c r="AB84" s="222" cm="1" t="str">
        <f t="array" ref="AB84:AB84">ГО!$AB$294</f>
        <v>Тариф 3 (Водоотведение) - тариф на водоотведение (Доп. признак не требуется)</v>
      </c>
      <c r="AC84" s="1292"/>
      <c r="AD84" s="1293"/>
      <c r="AE84" s="1293"/>
      <c r="AF84" s="1294"/>
      <c r="AG84" s="1459"/>
      <c r="AH84" s="1459"/>
      <c r="AI84" s="1424"/>
    </row>
    <row s="525" customFormat="1" customHeight="1" ht="21.75">
      <c r="A85" s="525"/>
      <c r="B85" s="525"/>
      <c r="C85" s="525"/>
      <c r="D85" s="525"/>
      <c r="E85" s="674">
        <v>22.5</v>
      </c>
      <c r="F85" s="50" cm="1" t="str">
        <f t="array" ref="F85:F85">OFFSET(E85,-1,1)</f>
        <v>3</v>
      </c>
      <c r="G85" s="525"/>
      <c r="H85" s="488" t="s">
        <v>332</v>
      </c>
      <c r="I85" s="488"/>
      <c r="J85" s="488"/>
      <c r="K85" s="488"/>
      <c r="L85" s="525"/>
      <c r="M85" s="525"/>
      <c r="N85" s="525"/>
      <c r="O85" s="525"/>
      <c r="P85" s="525"/>
      <c r="Q85" s="525"/>
      <c r="R85" s="525"/>
      <c r="S85" s="525"/>
      <c r="T85" s="465" cm="1" t="str">
        <f t="array" ref="T85:T85">T84</f>
        <v>true</v>
      </c>
      <c r="U85" s="525"/>
      <c r="V85" s="525"/>
      <c r="W85" s="525"/>
      <c r="X85" s="1596"/>
      <c r="Y85" s="525"/>
      <c r="Z85" s="1597"/>
      <c r="AA85" s="525"/>
      <c r="AB85" s="515" t="s">
        <v>276</v>
      </c>
      <c r="AC85" s="531" t="s">
        <v>3120</v>
      </c>
      <c r="AD85" s="515" t="s">
        <v>1514</v>
      </c>
      <c r="AE85" s="527">
        <f>(AE86+AE94)*AE92</f>
        <v>0</v>
      </c>
      <c r="AF85" s="527">
        <f>(AF86+AF94)*AF92</f>
        <v>0</v>
      </c>
      <c r="AG85" s="525"/>
      <c r="AH85" s="525"/>
      <c r="AI85" s="1035" t="s">
        <v>3121</v>
      </c>
    </row>
    <row s="1834" customFormat="1" customHeight="1" ht="21.75">
      <c r="A86" s="1459"/>
      <c r="B86" s="1459"/>
      <c r="C86" s="1459"/>
      <c r="D86" s="1459"/>
      <c r="E86" s="649">
        <v>22.5</v>
      </c>
      <c r="F86" s="50" cm="1" t="str">
        <f t="array" ref="F86:F86">OFFSET(E86,-1,1)</f>
        <v>3</v>
      </c>
      <c r="G86" s="488" t="s">
        <v>3122</v>
      </c>
      <c r="H86" s="488" t="s">
        <v>333</v>
      </c>
      <c r="I86" s="1459"/>
      <c r="J86" s="1459"/>
      <c r="K86" s="488" t="str">
        <f>F86&amp;G86</f>
        <v>3УТР</v>
      </c>
      <c r="L86" s="1086" cm="1" t="str">
        <f t="array" ref="L86:L86">AE86</f>
        <v>0</v>
      </c>
      <c r="M86" s="1086" cm="1" t="str">
        <f t="array" ref="M86:M86">AF86</f>
        <v>0</v>
      </c>
      <c r="N86" s="1459"/>
      <c r="O86" s="1459"/>
      <c r="P86" s="1459"/>
      <c r="Q86" s="1459"/>
      <c r="R86" s="1459"/>
      <c r="S86" s="1459"/>
      <c r="T86" s="465" cm="1" t="str">
        <f t="array" ref="T86:T86">T85</f>
        <v>true</v>
      </c>
      <c r="U86" s="1459"/>
      <c r="V86" s="1459"/>
      <c r="W86" s="1459"/>
      <c r="X86" s="1596"/>
      <c r="Y86" s="1459"/>
      <c r="Z86" s="1597"/>
      <c r="AA86" s="1459"/>
      <c r="AB86" s="515" t="s">
        <v>285</v>
      </c>
      <c r="AC86" s="526" t="s">
        <v>1772</v>
      </c>
      <c r="AD86" s="515" t="s">
        <v>1764</v>
      </c>
      <c r="AE86" s="1085">
        <f>IF(AE91=0,0,(AE87-IF(_xlfn.SUMIFS('Перечень объектов'!AH$24:AH$87,'Перечень объектов'!$F$24:$F$87,$F86,'Перечень объектов'!$G$24:$G$87,"ЭЭ")&gt;0,0,AE88))/AE91)</f>
        <v>0</v>
      </c>
      <c r="AF86" s="1085">
        <f>IF(AF91=0,0,(AF87-IF(_xlfn.SUMIFS('Перечень объектов'!AI$24:AI$87,'Перечень объектов'!$F$24:$F$87,$F86,'Перечень объектов'!$G$24:$G$87,"ЭЭ")&gt;0,0,AF88))/AF91)</f>
        <v>0</v>
      </c>
      <c r="AG86" s="1459"/>
      <c r="AH86" s="1459"/>
      <c r="AI86" s="1025" t="s">
        <v>3123</v>
      </c>
    </row>
    <row s="1834" customFormat="1" customHeight="1" ht="32.25">
      <c r="A87" s="1459"/>
      <c r="B87" s="1459"/>
      <c r="C87" s="1459"/>
      <c r="D87" s="1459"/>
      <c r="E87" s="649">
        <v>33.75</v>
      </c>
      <c r="F87" s="50" cm="1" t="str">
        <f t="array" ref="F87:F87">OFFSET(E87,-1,1)</f>
        <v>3</v>
      </c>
      <c r="G87" s="1459"/>
      <c r="H87" s="488" t="s">
        <v>1193</v>
      </c>
      <c r="I87" s="1459"/>
      <c r="J87" s="1459"/>
      <c r="K87" s="1459"/>
      <c r="L87" s="1459"/>
      <c r="M87" s="1459"/>
      <c r="N87" s="1459"/>
      <c r="O87" s="1459"/>
      <c r="P87" s="1459"/>
      <c r="Q87" s="1459"/>
      <c r="R87" s="1459"/>
      <c r="S87" s="1459"/>
      <c r="T87" s="465" cm="1" t="str">
        <f t="array" ref="T87:T87">T86</f>
        <v>true</v>
      </c>
      <c r="U87" s="1459"/>
      <c r="V87" s="1459"/>
      <c r="W87" s="1459"/>
      <c r="X87" s="1596"/>
      <c r="Y87" s="1459"/>
      <c r="Z87" s="1597"/>
      <c r="AA87" s="1459"/>
      <c r="AB87" s="515" t="s">
        <v>1250</v>
      </c>
      <c r="AC87" s="562" t="s">
        <v>3124</v>
      </c>
      <c r="AD87" s="515" t="s">
        <v>1514</v>
      </c>
      <c r="AE87" s="534"/>
      <c r="AF87" s="527">
        <f>_xlfn.SUMIFS(ГО!AE$25:AE$472,ГО!$F$25:$F$472,$F87,ГО!$G$25:$G$472,"Итог")*(1+AF89/100)*(1+AF90/100)</f>
        <v>0</v>
      </c>
      <c r="AG87" s="1459"/>
      <c r="AH87" s="1459"/>
      <c r="AI87" s="1025" t="s">
        <v>3125</v>
      </c>
    </row>
    <row s="525" customFormat="1" customHeight="1" ht="14.25">
      <c r="A88" s="525"/>
      <c r="B88" s="525"/>
      <c r="C88" s="525"/>
      <c r="D88" s="525"/>
      <c r="E88" s="674">
        <v>15</v>
      </c>
      <c r="F88" s="50" cm="1" t="str">
        <f t="array" ref="F88:F88">OFFSET(E88,-1,1)</f>
        <v>3</v>
      </c>
      <c r="G88" s="525"/>
      <c r="H88" s="488" t="s">
        <v>2295</v>
      </c>
      <c r="I88" s="488"/>
      <c r="J88" s="488"/>
      <c r="K88" s="488"/>
      <c r="L88" s="525"/>
      <c r="M88" s="525"/>
      <c r="N88" s="525"/>
      <c r="O88" s="525"/>
      <c r="P88" s="525"/>
      <c r="Q88" s="525"/>
      <c r="R88" s="525"/>
      <c r="S88" s="525"/>
      <c r="T88" s="465" cm="1" t="str">
        <f t="array" ref="T88:T88">T87</f>
        <v>true</v>
      </c>
      <c r="U88" s="525"/>
      <c r="V88" s="525"/>
      <c r="W88" s="525"/>
      <c r="X88" s="1596"/>
      <c r="Y88" s="525"/>
      <c r="Z88" s="1597"/>
      <c r="AA88" s="525"/>
      <c r="AB88" s="515" t="s">
        <v>1201</v>
      </c>
      <c r="AC88" s="1295" t="s">
        <v>3126</v>
      </c>
      <c r="AD88" s="515" t="s">
        <v>1514</v>
      </c>
      <c r="AE88" s="534"/>
      <c r="AF88" s="527">
        <f>_xlfn.SUMIFS(ГО!AE$25:AE$472,ГО!$F$25:$F$472,$F88,ГО!$G$25:$G$472,"ЭЭ")*(1+AF89/100)*(1+AF90/100)</f>
        <v>0</v>
      </c>
      <c r="AG88" s="525"/>
      <c r="AH88" s="525"/>
      <c r="AI88" s="1035" t="s">
        <v>2446</v>
      </c>
    </row>
    <row s="525" customFormat="1" customHeight="1" ht="14.25">
      <c r="A89" s="525"/>
      <c r="B89" s="525"/>
      <c r="C89" s="525"/>
      <c r="D89" s="525"/>
      <c r="E89" s="674">
        <v>15</v>
      </c>
      <c r="F89" s="50" cm="1" t="str">
        <f t="array" ref="F89:F89">OFFSET(E89,-1,1)</f>
        <v>3</v>
      </c>
      <c r="G89" s="525"/>
      <c r="H89" s="488" t="s">
        <v>1196</v>
      </c>
      <c r="I89" s="488"/>
      <c r="J89" s="488"/>
      <c r="K89" s="488"/>
      <c r="L89" s="525"/>
      <c r="M89" s="525"/>
      <c r="N89" s="525"/>
      <c r="O89" s="525"/>
      <c r="P89" s="525"/>
      <c r="Q89" s="525"/>
      <c r="R89" s="525"/>
      <c r="S89" s="525"/>
      <c r="T89" s="465" cm="1" t="str">
        <f t="array" ref="T89:T89">T88</f>
        <v>true</v>
      </c>
      <c r="U89" s="525"/>
      <c r="V89" s="525"/>
      <c r="W89" s="525"/>
      <c r="X89" s="1596"/>
      <c r="Y89" s="525"/>
      <c r="Z89" s="1597"/>
      <c r="AA89" s="525"/>
      <c r="AB89" s="515" t="s">
        <v>1254</v>
      </c>
      <c r="AC89" s="562" t="str">
        <f>"индекс потребительских цен на "&amp;god-1&amp;" год"</f>
        <v>индекс потребительских цен на 2025 год</v>
      </c>
      <c r="AD89" s="515" t="s">
        <v>1170</v>
      </c>
      <c r="AE89" s="534"/>
      <c r="AF89" s="534"/>
      <c r="AG89" s="525"/>
      <c r="AH89" s="525"/>
      <c r="AI89" s="1035" t="s">
        <v>3127</v>
      </c>
    </row>
    <row s="525" customFormat="1" customHeight="1" ht="14.25">
      <c r="A90" s="525"/>
      <c r="B90" s="525"/>
      <c r="C90" s="525"/>
      <c r="D90" s="525"/>
      <c r="E90" s="674">
        <v>15</v>
      </c>
      <c r="F90" s="50" cm="1" t="str">
        <f t="array" ref="F90:F90">OFFSET(E90,-1,1)</f>
        <v>3</v>
      </c>
      <c r="G90" s="525"/>
      <c r="H90" s="488" t="s">
        <v>1648</v>
      </c>
      <c r="I90" s="488"/>
      <c r="J90" s="488"/>
      <c r="K90" s="488"/>
      <c r="L90" s="525"/>
      <c r="M90" s="525"/>
      <c r="N90" s="525"/>
      <c r="O90" s="525"/>
      <c r="P90" s="525"/>
      <c r="Q90" s="525"/>
      <c r="R90" s="525"/>
      <c r="S90" s="525"/>
      <c r="T90" s="465" cm="1" t="str">
        <f t="array" ref="T90:T90">T89</f>
        <v>true</v>
      </c>
      <c r="U90" s="525"/>
      <c r="V90" s="525"/>
      <c r="W90" s="525"/>
      <c r="X90" s="1596"/>
      <c r="Y90" s="525"/>
      <c r="Z90" s="1597"/>
      <c r="AA90" s="525"/>
      <c r="AB90" s="515" t="s">
        <v>1258</v>
      </c>
      <c r="AC90" s="562" t="str">
        <f>"индекс потребительских цен на "&amp;god&amp;" год"</f>
        <v>индекс потребительских цен на 2026 год</v>
      </c>
      <c r="AD90" s="515" t="s">
        <v>1170</v>
      </c>
      <c r="AE90" s="534"/>
      <c r="AF90" s="534"/>
      <c r="AG90" s="525"/>
      <c r="AH90" s="525"/>
      <c r="AI90" s="1035" t="s">
        <v>3128</v>
      </c>
    </row>
    <row s="525" customFormat="1" customHeight="1" ht="21.75">
      <c r="A91" s="525"/>
      <c r="B91" s="525"/>
      <c r="C91" s="525"/>
      <c r="D91" s="525"/>
      <c r="E91" s="674">
        <v>22.5</v>
      </c>
      <c r="F91" s="50" cm="1" t="str">
        <f t="array" ref="F91:F91">OFFSET(E91,-1,1)</f>
        <v>3</v>
      </c>
      <c r="G91" s="525"/>
      <c r="H91" s="488" t="s">
        <v>1650</v>
      </c>
      <c r="I91" s="488"/>
      <c r="J91" s="488"/>
      <c r="K91" s="488"/>
      <c r="L91" s="525"/>
      <c r="M91" s="525"/>
      <c r="N91" s="525"/>
      <c r="O91" s="525"/>
      <c r="P91" s="525"/>
      <c r="Q91" s="525"/>
      <c r="R91" s="525"/>
      <c r="S91" s="525"/>
      <c r="T91" s="465" cm="1" t="str">
        <f t="array" ref="T91:T91">T90</f>
        <v>true</v>
      </c>
      <c r="U91" s="525"/>
      <c r="V91" s="525"/>
      <c r="W91" s="525"/>
      <c r="X91" s="1596"/>
      <c r="Y91" s="525"/>
      <c r="Z91" s="1597"/>
      <c r="AA91" s="525"/>
      <c r="AB91" s="515" t="s">
        <v>1651</v>
      </c>
      <c r="AC91" s="562" t="s">
        <v>3129</v>
      </c>
      <c r="AD91" s="515" t="s">
        <v>1506</v>
      </c>
      <c r="AE91" s="534"/>
      <c r="AF91" s="534"/>
      <c r="AG91" s="525"/>
      <c r="AH91" s="525"/>
      <c r="AI91" s="1035" t="s">
        <v>3130</v>
      </c>
    </row>
    <row s="525" customFormat="1" customHeight="1" ht="14.25">
      <c r="A92" s="525"/>
      <c r="B92" s="525"/>
      <c r="C92" s="525"/>
      <c r="D92" s="525"/>
      <c r="E92" s="674">
        <v>15</v>
      </c>
      <c r="F92" s="50" cm="1" t="str">
        <f t="array" ref="F92:F92">OFFSET(E92,-1,1)</f>
        <v>3</v>
      </c>
      <c r="G92" s="525"/>
      <c r="H92" s="488" t="s">
        <v>334</v>
      </c>
      <c r="I92" s="488"/>
      <c r="J92" s="488"/>
      <c r="K92" s="488"/>
      <c r="L92" s="525"/>
      <c r="M92" s="525"/>
      <c r="N92" s="525"/>
      <c r="O92" s="525"/>
      <c r="P92" s="525"/>
      <c r="Q92" s="525"/>
      <c r="R92" s="525"/>
      <c r="S92" s="525"/>
      <c r="T92" s="465" cm="1" t="str">
        <f t="array" ref="T92:T92">T91</f>
        <v>true</v>
      </c>
      <c r="U92" s="525"/>
      <c r="V92" s="525"/>
      <c r="W92" s="525"/>
      <c r="X92" s="1596"/>
      <c r="Y92" s="525"/>
      <c r="Z92" s="1597"/>
      <c r="AA92" s="525"/>
      <c r="AB92" s="515" t="s">
        <v>289</v>
      </c>
      <c r="AC92" s="1296" t="s">
        <v>3131</v>
      </c>
      <c r="AD92" s="515" t="s">
        <v>1506</v>
      </c>
      <c r="AE92" s="530">
        <f>_xlfn.SUMIFS('Условные метры'!AL$27:AL$44,'Условные метры'!$F$27:$F$44,$F92,'Условные метры'!$G$27:$G$44,"Итог")</f>
        <v>0</v>
      </c>
      <c r="AF92" s="530">
        <f>_xlfn.SUMIFS('Условные метры'!AN$27:AN$44,'Условные метры'!$F$27:$F$44,$F92,'Условные метры'!$G$27:$G$44,"Итог")</f>
        <v>0</v>
      </c>
      <c r="AG92" s="525"/>
      <c r="AH92" s="525"/>
      <c r="AI92" s="1035" t="s">
        <v>3132</v>
      </c>
    </row>
    <row s="525" customFormat="1" customHeight="1" ht="14.25">
      <c r="A93" s="525"/>
      <c r="B93" s="525"/>
      <c r="C93" s="525"/>
      <c r="D93" s="525"/>
      <c r="E93" s="674">
        <v>15</v>
      </c>
      <c r="F93" s="50" cm="1" t="str">
        <f t="array" ref="F93:F93">OFFSET(E93,-1,1)</f>
        <v>3</v>
      </c>
      <c r="G93" s="525"/>
      <c r="H93" s="488" t="s">
        <v>1658</v>
      </c>
      <c r="I93" s="488"/>
      <c r="J93" s="488"/>
      <c r="K93" s="488"/>
      <c r="L93" s="525"/>
      <c r="M93" s="525"/>
      <c r="N93" s="525"/>
      <c r="O93" s="525"/>
      <c r="P93" s="525"/>
      <c r="Q93" s="525"/>
      <c r="R93" s="525"/>
      <c r="S93" s="525"/>
      <c r="T93" s="465" cm="1" t="str">
        <f t="array" ref="T93:T93">T92</f>
        <v>true</v>
      </c>
      <c r="U93" s="525"/>
      <c r="V93" s="525"/>
      <c r="W93" s="525"/>
      <c r="X93" s="1596"/>
      <c r="Y93" s="525"/>
      <c r="Z93" s="1597"/>
      <c r="AA93" s="525"/>
      <c r="AB93" s="515" t="s">
        <v>1264</v>
      </c>
      <c r="AC93" s="562" t="s">
        <v>3133</v>
      </c>
      <c r="AD93" s="515" t="s">
        <v>388</v>
      </c>
      <c r="AE93" s="530">
        <f>_xlfn.SUMIFS('Условные метры'!AK$27:AK$44,'Условные метры'!$F$27:$F$44,$F93,'Условные метры'!$G$27:$G$44,"Итог")</f>
        <v>0</v>
      </c>
      <c r="AF93" s="530">
        <f>_xlfn.SUMIFS('Условные метры'!AM$27:AM$44,'Условные метры'!$F$27:$F$44,$F93,'Условные метры'!$G$27:$G$44,"Итог")</f>
        <v>0</v>
      </c>
      <c r="AG93" s="525"/>
      <c r="AH93" s="525"/>
      <c r="AI93" s="1035" t="s">
        <v>3134</v>
      </c>
    </row>
    <row s="525" customFormat="1" customHeight="1" ht="14.25">
      <c r="A94" s="525"/>
      <c r="B94" s="525"/>
      <c r="C94" s="525"/>
      <c r="D94" s="525"/>
      <c r="E94" s="674">
        <v>15</v>
      </c>
      <c r="F94" s="50" cm="1" t="str">
        <f t="array" ref="F94:F94">OFFSET(E94,-1,1)</f>
        <v>3</v>
      </c>
      <c r="G94" s="525"/>
      <c r="H94" s="488" t="s">
        <v>336</v>
      </c>
      <c r="I94" s="488"/>
      <c r="J94" s="488"/>
      <c r="K94" s="488"/>
      <c r="L94" s="525"/>
      <c r="M94" s="525"/>
      <c r="N94" s="525"/>
      <c r="O94" s="525"/>
      <c r="P94" s="525"/>
      <c r="Q94" s="525"/>
      <c r="R94" s="525"/>
      <c r="S94" s="525"/>
      <c r="T94" s="465" cm="1" t="str">
        <f t="array" ref="T94:T94">T93</f>
        <v>true</v>
      </c>
      <c r="U94" s="525"/>
      <c r="V94" s="525"/>
      <c r="W94" s="525"/>
      <c r="X94" s="1596"/>
      <c r="Y94" s="525"/>
      <c r="Z94" s="1597"/>
      <c r="AA94" s="525"/>
      <c r="AB94" s="515" t="s">
        <v>295</v>
      </c>
      <c r="AC94" s="561" t="s">
        <v>3135</v>
      </c>
      <c r="AD94" s="515" t="s">
        <v>1764</v>
      </c>
      <c r="AE94" s="530">
        <f>_xlfn.SUMIFS('Амортизация (аналог)'!AE$25:AE$62,'Амортизация (аналог)'!$F$25:$F$62,$F94,'Амортизация (аналог)'!$AB$25:$AB$62,"2")</f>
        <v>0</v>
      </c>
      <c r="AF94" s="530">
        <f>_xlfn.SUMIFS('Амортизация (аналог)'!AF$25:AF$62,'Амортизация (аналог)'!$F$25:$F$62,$F94,'Амортизация (аналог)'!$AB$25:$AB$62,"2")</f>
        <v>0</v>
      </c>
      <c r="AG94" s="525"/>
      <c r="AH94" s="525"/>
      <c r="AI94" s="1035" t="s">
        <v>3136</v>
      </c>
    </row>
    <row s="525" customFormat="1" customHeight="1" ht="14.25">
      <c r="A95" s="525"/>
      <c r="B95" s="525"/>
      <c r="C95" s="525"/>
      <c r="D95" s="525"/>
      <c r="E95" s="674">
        <v>15</v>
      </c>
      <c r="F95" s="50" cm="1" t="str">
        <f t="array" ref="F95:F95">OFFSET(E95,-1,1)</f>
        <v>3</v>
      </c>
      <c r="G95" s="525"/>
      <c r="H95" s="488" t="s">
        <v>1249</v>
      </c>
      <c r="I95" s="488"/>
      <c r="J95" s="488"/>
      <c r="K95" s="488"/>
      <c r="L95" s="525"/>
      <c r="M95" s="525"/>
      <c r="N95" s="525"/>
      <c r="O95" s="525"/>
      <c r="P95" s="525"/>
      <c r="Q95" s="525"/>
      <c r="R95" s="525"/>
      <c r="S95" s="525"/>
      <c r="T95" s="465" cm="1" t="str">
        <f t="array" ref="T95:T95">T94</f>
        <v>true</v>
      </c>
      <c r="U95" s="525"/>
      <c r="V95" s="525"/>
      <c r="W95" s="525"/>
      <c r="X95" s="1596"/>
      <c r="Y95" s="525"/>
      <c r="Z95" s="1597"/>
      <c r="AA95" s="525"/>
      <c r="AB95" s="515" t="s">
        <v>1384</v>
      </c>
      <c r="AC95" s="1297" t="s">
        <v>3137</v>
      </c>
      <c r="AD95" s="515" t="s">
        <v>1170</v>
      </c>
      <c r="AE95" s="527">
        <f>IF(AE86=0,0,AE94/AE86*100)</f>
        <v>0</v>
      </c>
      <c r="AF95" s="527">
        <f>IF(AF86=0,0,AF94/AF86*100)</f>
        <v>0</v>
      </c>
      <c r="AG95" s="525"/>
      <c r="AH95" s="525"/>
      <c r="AI95" s="1035" t="s">
        <v>3138</v>
      </c>
    </row>
    <row s="525" customFormat="1" customHeight="1" ht="21.75">
      <c r="A96" s="525"/>
      <c r="B96" s="525"/>
      <c r="C96" s="525"/>
      <c r="D96" s="525"/>
      <c r="E96" s="674">
        <v>22.5</v>
      </c>
      <c r="F96" s="50" cm="1" t="str">
        <f t="array" ref="F96:F96">OFFSET(E96,-1,1)</f>
        <v>3</v>
      </c>
      <c r="G96" s="158" t="s">
        <v>2346</v>
      </c>
      <c r="H96" s="488" t="s">
        <v>335</v>
      </c>
      <c r="I96" s="488"/>
      <c r="J96" s="488"/>
      <c r="K96" s="488"/>
      <c r="L96" s="525"/>
      <c r="M96" s="525"/>
      <c r="N96" s="525"/>
      <c r="O96" s="525"/>
      <c r="P96" s="525"/>
      <c r="Q96" s="525"/>
      <c r="R96" s="525"/>
      <c r="S96" s="525"/>
      <c r="T96" s="465" cm="1" t="str">
        <f t="array" ref="T96:T96">T95</f>
        <v>true</v>
      </c>
      <c r="U96" s="525"/>
      <c r="V96" s="525"/>
      <c r="W96" s="525"/>
      <c r="X96" s="1596"/>
      <c r="Y96" s="525"/>
      <c r="Z96" s="1597"/>
      <c r="AA96" s="525"/>
      <c r="AB96" s="515" t="s">
        <v>443</v>
      </c>
      <c r="AC96" s="1298" t="s">
        <v>3139</v>
      </c>
      <c r="AD96" s="515" t="s">
        <v>3140</v>
      </c>
      <c r="AE96" s="530">
        <f>_xlfn.SUMIFS(Баланс!$AI$25:$AI$482,Баланс!$F$25:$F$482,$F96,Баланс!$G$25:$G$482,"ПО")</f>
        <v>1778.84536</v>
      </c>
      <c r="AF96" s="530">
        <f>_xlfn.SUMIFS(Баланс!$AS$25:$AS$482,Баланс!$F$25:$F$482,$F96,Баланс!$G$25:$G$482,"ПО")</f>
        <v>1778.84536</v>
      </c>
      <c r="AG96" s="525"/>
      <c r="AH96" s="525"/>
      <c r="AI96" s="1035" t="s">
        <v>1787</v>
      </c>
    </row>
    <row s="525" customFormat="1" customHeight="1" ht="14.25">
      <c r="A97" s="525"/>
      <c r="B97" s="525"/>
      <c r="C97" s="525"/>
      <c r="D97" s="525"/>
      <c r="E97" s="674">
        <v>15</v>
      </c>
      <c r="F97" s="50" cm="1" t="str">
        <f t="array" ref="F97:F97">OFFSET(E97,-1,1)</f>
        <v>3</v>
      </c>
      <c r="G97" s="1299" t="s">
        <v>2373</v>
      </c>
      <c r="H97" s="488" t="s">
        <v>1263</v>
      </c>
      <c r="I97" s="488"/>
      <c r="J97" s="488"/>
      <c r="K97" s="488"/>
      <c r="L97" s="525"/>
      <c r="M97" s="525"/>
      <c r="N97" s="525"/>
      <c r="O97" s="525"/>
      <c r="P97" s="525"/>
      <c r="Q97" s="525"/>
      <c r="R97" s="525"/>
      <c r="S97" s="525"/>
      <c r="T97" s="465" cm="1" t="str">
        <f t="array" ref="T97:T97">T96</f>
        <v>true</v>
      </c>
      <c r="U97" s="525"/>
      <c r="V97" s="525"/>
      <c r="W97" s="525"/>
      <c r="X97" s="1596"/>
      <c r="Y97" s="525"/>
      <c r="Z97" s="1597"/>
      <c r="AA97" s="525"/>
      <c r="AB97" s="515" t="s">
        <v>1391</v>
      </c>
      <c r="AC97" s="1300" t="s">
        <v>3141</v>
      </c>
      <c r="AD97" s="515" t="s">
        <v>3140</v>
      </c>
      <c r="AE97" s="1301"/>
      <c r="AF97" s="1301"/>
      <c r="AG97" s="525"/>
      <c r="AH97" s="525"/>
      <c r="AI97" s="1035" t="s">
        <v>3142</v>
      </c>
    </row>
    <row s="525" customFormat="1" customHeight="1" ht="14.25">
      <c r="A98" s="525"/>
      <c r="B98" s="525"/>
      <c r="C98" s="525"/>
      <c r="D98" s="525"/>
      <c r="E98" s="674">
        <v>15</v>
      </c>
      <c r="F98" s="50" cm="1" t="str">
        <f t="array" ref="F98:F98">OFFSET(E98,-1,1)</f>
        <v>3</v>
      </c>
      <c r="G98" s="107" t="s">
        <v>2386</v>
      </c>
      <c r="H98" s="488" t="s">
        <v>1267</v>
      </c>
      <c r="I98" s="488"/>
      <c r="J98" s="488"/>
      <c r="K98" s="488"/>
      <c r="L98" s="525"/>
      <c r="M98" s="525"/>
      <c r="N98" s="525"/>
      <c r="O98" s="525"/>
      <c r="P98" s="525"/>
      <c r="Q98" s="525"/>
      <c r="R98" s="525"/>
      <c r="S98" s="525"/>
      <c r="T98" s="465" cm="1" t="str">
        <f t="array" ref="T98:T98">T97</f>
        <v>true</v>
      </c>
      <c r="U98" s="525"/>
      <c r="V98" s="525"/>
      <c r="W98" s="525"/>
      <c r="X98" s="1596"/>
      <c r="Y98" s="525"/>
      <c r="Z98" s="1597"/>
      <c r="AA98" s="525"/>
      <c r="AB98" s="515" t="s">
        <v>1394</v>
      </c>
      <c r="AC98" s="1131" t="s">
        <v>3143</v>
      </c>
      <c r="AD98" s="515" t="s">
        <v>3140</v>
      </c>
      <c r="AE98" s="530">
        <f>AE96-AE97</f>
        <v>1778.84536</v>
      </c>
      <c r="AF98" s="530">
        <f>AF96-AF97</f>
        <v>1778.84536</v>
      </c>
      <c r="AG98" s="525"/>
      <c r="AH98" s="525"/>
      <c r="AI98" s="1035" t="s">
        <v>3144</v>
      </c>
    </row>
    <row s="525" customFormat="1" customHeight="1" ht="14.25">
      <c r="A99" s="525"/>
      <c r="B99" s="525"/>
      <c r="C99" s="525"/>
      <c r="D99" s="525"/>
      <c r="E99" s="674">
        <v>15</v>
      </c>
      <c r="F99" s="50" cm="1" t="str">
        <f t="array" ref="F99:F99">OFFSET(E99,-1,1)</f>
        <v>3</v>
      </c>
      <c r="G99" s="525"/>
      <c r="H99" s="488" t="s">
        <v>1225</v>
      </c>
      <c r="I99" s="488"/>
      <c r="J99" s="488"/>
      <c r="K99" s="488"/>
      <c r="L99" s="525"/>
      <c r="M99" s="525"/>
      <c r="N99" s="525"/>
      <c r="O99" s="525"/>
      <c r="P99" s="525"/>
      <c r="Q99" s="525"/>
      <c r="R99" s="525"/>
      <c r="S99" s="525"/>
      <c r="T99" s="465" cm="1" t="str">
        <f t="array" ref="T99:T99">T98</f>
        <v>true</v>
      </c>
      <c r="U99" s="525"/>
      <c r="V99" s="525"/>
      <c r="W99" s="525"/>
      <c r="X99" s="1596"/>
      <c r="Y99" s="525"/>
      <c r="Z99" s="1597"/>
      <c r="AA99" s="525"/>
      <c r="AB99" s="515" t="s">
        <v>446</v>
      </c>
      <c r="AC99" s="560" t="s">
        <v>3145</v>
      </c>
      <c r="AD99" s="515" t="s">
        <v>2337</v>
      </c>
      <c r="AE99" s="527">
        <f>IF(AE96=0,0,AE85/AE96)</f>
        <v>0</v>
      </c>
      <c r="AF99" s="527">
        <f>IF(AF96=0,0,AF85/AF96)</f>
        <v>0</v>
      </c>
      <c r="AG99" s="525"/>
      <c r="AH99" s="525"/>
      <c r="AI99" s="1035" t="s">
        <v>1877</v>
      </c>
    </row>
    <row s="525" customFormat="1" customHeight="1" ht="14.25">
      <c r="A100" s="525"/>
      <c r="B100" s="525"/>
      <c r="C100" s="525"/>
      <c r="D100" s="525"/>
      <c r="E100" s="674">
        <v>15</v>
      </c>
      <c r="F100" s="50" cm="1" t="str">
        <f t="array" ref="F100:F100">OFFSET(E100,-1,1)</f>
        <v>3</v>
      </c>
      <c r="G100" s="107" t="s">
        <v>2334</v>
      </c>
      <c r="H100" s="488" t="s">
        <v>1407</v>
      </c>
      <c r="I100" s="488"/>
      <c r="J100" s="488"/>
      <c r="K100" s="488"/>
      <c r="L100" s="525"/>
      <c r="M100" s="525"/>
      <c r="N100" s="525"/>
      <c r="O100" s="525"/>
      <c r="P100" s="525"/>
      <c r="Q100" s="525"/>
      <c r="R100" s="525"/>
      <c r="S100" s="525"/>
      <c r="T100" s="465" cm="1" t="str">
        <f t="array" ref="T100:T100">T99</f>
        <v>true</v>
      </c>
      <c r="U100" s="525"/>
      <c r="V100" s="525"/>
      <c r="W100" s="525"/>
      <c r="X100" s="1596"/>
      <c r="Y100" s="525"/>
      <c r="Z100" s="1597"/>
      <c r="AA100" s="525"/>
      <c r="AB100" s="515" t="s">
        <v>3146</v>
      </c>
      <c r="AC100" s="1302" t="s">
        <v>3147</v>
      </c>
      <c r="AD100" s="515" t="s">
        <v>2337</v>
      </c>
      <c r="AE100" s="534"/>
      <c r="AF100" s="534"/>
      <c r="AG100" s="525"/>
      <c r="AH100" s="525"/>
      <c r="AI100" s="1035" t="s">
        <v>3148</v>
      </c>
    </row>
    <row s="525" customFormat="1" customHeight="1" ht="14.25">
      <c r="A101" s="525"/>
      <c r="B101" s="525"/>
      <c r="C101" s="525"/>
      <c r="D101" s="525"/>
      <c r="E101" s="674">
        <v>15</v>
      </c>
      <c r="F101" s="50" cm="1" t="str">
        <f t="array" ref="F101:F101">OFFSET(E101,-1,1)</f>
        <v>3</v>
      </c>
      <c r="G101" s="107" t="s">
        <v>2339</v>
      </c>
      <c r="H101" s="488" t="s">
        <v>1410</v>
      </c>
      <c r="I101" s="488"/>
      <c r="J101" s="488"/>
      <c r="K101" s="488"/>
      <c r="L101" s="525"/>
      <c r="M101" s="525"/>
      <c r="N101" s="525"/>
      <c r="O101" s="525"/>
      <c r="P101" s="525"/>
      <c r="Q101" s="525"/>
      <c r="R101" s="525"/>
      <c r="S101" s="525"/>
      <c r="T101" s="465" cm="1" t="str">
        <f t="array" ref="T101:T101">T100</f>
        <v>true</v>
      </c>
      <c r="U101" s="525"/>
      <c r="V101" s="525"/>
      <c r="W101" s="525"/>
      <c r="X101" s="1596"/>
      <c r="Y101" s="525"/>
      <c r="Z101" s="1597"/>
      <c r="AA101" s="525"/>
      <c r="AB101" s="515" t="s">
        <v>3149</v>
      </c>
      <c r="AC101" s="1132" t="s">
        <v>3150</v>
      </c>
      <c r="AD101" s="515" t="s">
        <v>2337</v>
      </c>
      <c r="AE101" s="534">
        <f>IF(AE98=0,0,(AE85-AE100*AE97)/AE98)</f>
        <v>0</v>
      </c>
      <c r="AF101" s="534">
        <f>IF(AF98=0,0,(AF85-AF100*AF97)/AF98)</f>
        <v>0</v>
      </c>
      <c r="AG101" s="525"/>
      <c r="AH101" s="525"/>
      <c r="AI101" s="1035" t="s">
        <v>3151</v>
      </c>
    </row>
    <row s="1834" customFormat="1" customHeight="1" ht="14.25">
      <c r="A102" s="1459"/>
      <c r="B102" s="1459"/>
      <c r="C102" s="1459"/>
      <c r="D102" s="1459"/>
      <c r="E102" s="649">
        <v>15</v>
      </c>
      <c r="F102" s="50" cm="1" t="str">
        <f t="array" ref="F102:F102">OFFSET(E102,-1,1)</f>
        <v>3</v>
      </c>
      <c r="G102" s="1459"/>
      <c r="H102" s="488" t="s">
        <v>1386</v>
      </c>
      <c r="I102" s="1459"/>
      <c r="J102" s="1459"/>
      <c r="K102" s="1459"/>
      <c r="L102" s="1459"/>
      <c r="M102" s="1459"/>
      <c r="N102" s="1459"/>
      <c r="O102" s="1459"/>
      <c r="P102" s="1459"/>
      <c r="Q102" s="1459"/>
      <c r="R102" s="1459"/>
      <c r="S102" s="1459"/>
      <c r="T102" s="465" cm="1" t="str">
        <f t="array" ref="T102:T102">T101</f>
        <v>true</v>
      </c>
      <c r="U102" s="1459"/>
      <c r="V102" s="1459"/>
      <c r="W102" s="1459"/>
      <c r="X102" s="1596"/>
      <c r="Y102" s="1459"/>
      <c r="Z102" s="1597"/>
      <c r="AA102" s="1459"/>
      <c r="AB102" s="515" t="s">
        <v>1283</v>
      </c>
      <c r="AC102" s="554" t="s">
        <v>3152</v>
      </c>
      <c r="AD102" s="515" t="s">
        <v>1170</v>
      </c>
      <c r="AE102" s="527">
        <f>IF(AE100=0,0,AE101/AE100*100)</f>
        <v>0</v>
      </c>
      <c r="AF102" s="527">
        <f>IF(AF100=0,0,AF101/AF100*100)</f>
        <v>0</v>
      </c>
      <c r="AG102" s="1459"/>
      <c r="AH102" s="1459"/>
      <c r="AI102" s="1025" t="s">
        <v>3153</v>
      </c>
    </row>
    <row s="1834" customFormat="1" customHeight="1" ht="14.25">
      <c r="A103" s="1459"/>
      <c r="B103" s="1459"/>
      <c r="C103" s="1459"/>
      <c r="D103" s="1459"/>
      <c r="E103" s="649">
        <v>15</v>
      </c>
      <c r="F103" s="488" cm="1" t="str">
        <f t="array" ref="F103:F103">X103</f>
        <v>4</v>
      </c>
      <c r="G103" s="1459"/>
      <c r="H103" s="1459"/>
      <c r="I103" s="1459"/>
      <c r="J103" s="1459"/>
      <c r="K103" s="1459"/>
      <c r="L103" s="1459"/>
      <c r="M103" s="1459"/>
      <c r="N103" s="1459"/>
      <c r="O103" s="1459"/>
      <c r="P103" s="1459"/>
      <c r="Q103" s="1459"/>
      <c r="R103" s="1459"/>
      <c r="S103" s="1459"/>
      <c r="T103" s="465">
        <f>X103&gt;0</f>
        <v>1</v>
      </c>
      <c r="U103" s="1459"/>
      <c r="V103" s="488" cm="1" t="str">
        <f t="array" ref="V103:V103">ГО!$AB$383</f>
        <v>Тариф 4 (Водоотведение) - тариф на водоотведение (Доп. признак не требуется)</v>
      </c>
      <c r="W103" s="1459"/>
      <c r="X103" s="1596" t="s">
        <v>295</v>
      </c>
      <c r="Y103" s="1459"/>
      <c r="Z103" s="1597"/>
      <c r="AA103" s="1459"/>
      <c r="AB103" s="222" cm="1" t="str">
        <f t="array" ref="AB103:AB103">ГО!$AB$383</f>
        <v>Тариф 4 (Водоотведение) - тариф на водоотведение (Доп. признак не требуется)</v>
      </c>
      <c r="AC103" s="1292"/>
      <c r="AD103" s="1293"/>
      <c r="AE103" s="1293"/>
      <c r="AF103" s="1294"/>
      <c r="AG103" s="1459"/>
      <c r="AH103" s="1459"/>
      <c r="AI103" s="1424"/>
    </row>
    <row s="525" customFormat="1" customHeight="1" ht="21.75">
      <c r="A104" s="525"/>
      <c r="B104" s="525"/>
      <c r="C104" s="525"/>
      <c r="D104" s="525"/>
      <c r="E104" s="674">
        <v>22.5</v>
      </c>
      <c r="F104" s="50" cm="1" t="str">
        <f t="array" ref="F104:F104">OFFSET(E104,-1,1)</f>
        <v>4</v>
      </c>
      <c r="G104" s="525"/>
      <c r="H104" s="488" t="s">
        <v>332</v>
      </c>
      <c r="I104" s="488"/>
      <c r="J104" s="488"/>
      <c r="K104" s="488"/>
      <c r="L104" s="525"/>
      <c r="M104" s="525"/>
      <c r="N104" s="525"/>
      <c r="O104" s="525"/>
      <c r="P104" s="525"/>
      <c r="Q104" s="525"/>
      <c r="R104" s="525"/>
      <c r="S104" s="525"/>
      <c r="T104" s="465" cm="1" t="str">
        <f t="array" ref="T104:T104">T103</f>
        <v>true</v>
      </c>
      <c r="U104" s="525"/>
      <c r="V104" s="525"/>
      <c r="W104" s="525"/>
      <c r="X104" s="1596"/>
      <c r="Y104" s="525"/>
      <c r="Z104" s="1597"/>
      <c r="AA104" s="525"/>
      <c r="AB104" s="515" t="s">
        <v>276</v>
      </c>
      <c r="AC104" s="531" t="s">
        <v>3120</v>
      </c>
      <c r="AD104" s="515" t="s">
        <v>1514</v>
      </c>
      <c r="AE104" s="527">
        <f>(AE105+AE113)*AE111</f>
        <v>0</v>
      </c>
      <c r="AF104" s="527">
        <f>(AF105+AF113)*AF111</f>
        <v>0</v>
      </c>
      <c r="AG104" s="525"/>
      <c r="AH104" s="525"/>
      <c r="AI104" s="1035" t="s">
        <v>3121</v>
      </c>
    </row>
    <row s="1834" customFormat="1" customHeight="1" ht="21.75">
      <c r="A105" s="1459"/>
      <c r="B105" s="1459"/>
      <c r="C105" s="1459"/>
      <c r="D105" s="1459"/>
      <c r="E105" s="649">
        <v>22.5</v>
      </c>
      <c r="F105" s="50" cm="1" t="str">
        <f t="array" ref="F105:F105">OFFSET(E105,-1,1)</f>
        <v>4</v>
      </c>
      <c r="G105" s="488" t="s">
        <v>3122</v>
      </c>
      <c r="H105" s="488" t="s">
        <v>333</v>
      </c>
      <c r="I105" s="1459"/>
      <c r="J105" s="1459"/>
      <c r="K105" s="488" t="str">
        <f>F105&amp;G105</f>
        <v>4УТР</v>
      </c>
      <c r="L105" s="1086" cm="1" t="str">
        <f t="array" ref="L105:L105">AE105</f>
        <v>0</v>
      </c>
      <c r="M105" s="1086" cm="1" t="str">
        <f t="array" ref="M105:M105">AF105</f>
        <v>0</v>
      </c>
      <c r="N105" s="1459"/>
      <c r="O105" s="1459"/>
      <c r="P105" s="1459"/>
      <c r="Q105" s="1459"/>
      <c r="R105" s="1459"/>
      <c r="S105" s="1459"/>
      <c r="T105" s="465" cm="1" t="str">
        <f t="array" ref="T105:T105">T104</f>
        <v>true</v>
      </c>
      <c r="U105" s="1459"/>
      <c r="V105" s="1459"/>
      <c r="W105" s="1459"/>
      <c r="X105" s="1596"/>
      <c r="Y105" s="1459"/>
      <c r="Z105" s="1597"/>
      <c r="AA105" s="1459"/>
      <c r="AB105" s="515" t="s">
        <v>285</v>
      </c>
      <c r="AC105" s="526" t="s">
        <v>1772</v>
      </c>
      <c r="AD105" s="515" t="s">
        <v>1764</v>
      </c>
      <c r="AE105" s="1085">
        <f>IF(AE110=0,0,(AE106-IF(_xlfn.SUMIFS('Перечень объектов'!AH$24:AH$87,'Перечень объектов'!$F$24:$F$87,$F105,'Перечень объектов'!$G$24:$G$87,"ЭЭ")&gt;0,0,AE107))/AE110)</f>
        <v>0</v>
      </c>
      <c r="AF105" s="1085">
        <f>IF(AF110=0,0,(AF106-IF(_xlfn.SUMIFS('Перечень объектов'!AI$24:AI$87,'Перечень объектов'!$F$24:$F$87,$F105,'Перечень объектов'!$G$24:$G$87,"ЭЭ")&gt;0,0,AF107))/AF110)</f>
        <v>0</v>
      </c>
      <c r="AG105" s="1459"/>
      <c r="AH105" s="1459"/>
      <c r="AI105" s="1025" t="s">
        <v>3123</v>
      </c>
    </row>
    <row s="1834" customFormat="1" customHeight="1" ht="32.25">
      <c r="A106" s="1459"/>
      <c r="B106" s="1459"/>
      <c r="C106" s="1459"/>
      <c r="D106" s="1459"/>
      <c r="E106" s="649">
        <v>33.75</v>
      </c>
      <c r="F106" s="50" cm="1" t="str">
        <f t="array" ref="F106:F106">OFFSET(E106,-1,1)</f>
        <v>4</v>
      </c>
      <c r="G106" s="1459"/>
      <c r="H106" s="488" t="s">
        <v>1193</v>
      </c>
      <c r="I106" s="1459"/>
      <c r="J106" s="1459"/>
      <c r="K106" s="1459"/>
      <c r="L106" s="1459"/>
      <c r="M106" s="1459"/>
      <c r="N106" s="1459"/>
      <c r="O106" s="1459"/>
      <c r="P106" s="1459"/>
      <c r="Q106" s="1459"/>
      <c r="R106" s="1459"/>
      <c r="S106" s="1459"/>
      <c r="T106" s="465" cm="1" t="str">
        <f t="array" ref="T106:T106">T105</f>
        <v>true</v>
      </c>
      <c r="U106" s="1459"/>
      <c r="V106" s="1459"/>
      <c r="W106" s="1459"/>
      <c r="X106" s="1596"/>
      <c r="Y106" s="1459"/>
      <c r="Z106" s="1597"/>
      <c r="AA106" s="1459"/>
      <c r="AB106" s="515" t="s">
        <v>1250</v>
      </c>
      <c r="AC106" s="562" t="s">
        <v>3124</v>
      </c>
      <c r="AD106" s="515" t="s">
        <v>1514</v>
      </c>
      <c r="AE106" s="534"/>
      <c r="AF106" s="527">
        <f>_xlfn.SUMIFS(ГО!AE$25:AE$472,ГО!$F$25:$F$472,$F106,ГО!$G$25:$G$472,"Итог")*(1+AF108/100)*(1+AF109/100)</f>
        <v>0</v>
      </c>
      <c r="AG106" s="1459"/>
      <c r="AH106" s="1459"/>
      <c r="AI106" s="1025" t="s">
        <v>3125</v>
      </c>
    </row>
    <row s="525" customFormat="1" customHeight="1" ht="14.25">
      <c r="A107" s="525"/>
      <c r="B107" s="525"/>
      <c r="C107" s="525"/>
      <c r="D107" s="525"/>
      <c r="E107" s="674">
        <v>15</v>
      </c>
      <c r="F107" s="50" cm="1" t="str">
        <f t="array" ref="F107:F107">OFFSET(E107,-1,1)</f>
        <v>4</v>
      </c>
      <c r="G107" s="525"/>
      <c r="H107" s="488" t="s">
        <v>2295</v>
      </c>
      <c r="I107" s="488"/>
      <c r="J107" s="488"/>
      <c r="K107" s="488"/>
      <c r="L107" s="525"/>
      <c r="M107" s="525"/>
      <c r="N107" s="525"/>
      <c r="O107" s="525"/>
      <c r="P107" s="525"/>
      <c r="Q107" s="525"/>
      <c r="R107" s="525"/>
      <c r="S107" s="525"/>
      <c r="T107" s="465" cm="1" t="str">
        <f t="array" ref="T107:T107">T106</f>
        <v>true</v>
      </c>
      <c r="U107" s="525"/>
      <c r="V107" s="525"/>
      <c r="W107" s="525"/>
      <c r="X107" s="1596"/>
      <c r="Y107" s="525"/>
      <c r="Z107" s="1597"/>
      <c r="AA107" s="525"/>
      <c r="AB107" s="515" t="s">
        <v>1201</v>
      </c>
      <c r="AC107" s="1295" t="s">
        <v>3126</v>
      </c>
      <c r="AD107" s="515" t="s">
        <v>1514</v>
      </c>
      <c r="AE107" s="534"/>
      <c r="AF107" s="527">
        <f>_xlfn.SUMIFS(ГО!AE$25:AE$472,ГО!$F$25:$F$472,$F107,ГО!$G$25:$G$472,"ЭЭ")*(1+AF108/100)*(1+AF109/100)</f>
        <v>0</v>
      </c>
      <c r="AG107" s="525"/>
      <c r="AH107" s="525"/>
      <c r="AI107" s="1035" t="s">
        <v>2446</v>
      </c>
    </row>
    <row s="525" customFormat="1" customHeight="1" ht="14.25">
      <c r="A108" s="525"/>
      <c r="B108" s="525"/>
      <c r="C108" s="525"/>
      <c r="D108" s="525"/>
      <c r="E108" s="674">
        <v>15</v>
      </c>
      <c r="F108" s="50" cm="1" t="str">
        <f t="array" ref="F108:F108">OFFSET(E108,-1,1)</f>
        <v>4</v>
      </c>
      <c r="G108" s="525"/>
      <c r="H108" s="488" t="s">
        <v>1196</v>
      </c>
      <c r="I108" s="488"/>
      <c r="J108" s="488"/>
      <c r="K108" s="488"/>
      <c r="L108" s="525"/>
      <c r="M108" s="525"/>
      <c r="N108" s="525"/>
      <c r="O108" s="525"/>
      <c r="P108" s="525"/>
      <c r="Q108" s="525"/>
      <c r="R108" s="525"/>
      <c r="S108" s="525"/>
      <c r="T108" s="465" cm="1" t="str">
        <f t="array" ref="T108:T108">T107</f>
        <v>true</v>
      </c>
      <c r="U108" s="525"/>
      <c r="V108" s="525"/>
      <c r="W108" s="525"/>
      <c r="X108" s="1596"/>
      <c r="Y108" s="525"/>
      <c r="Z108" s="1597"/>
      <c r="AA108" s="525"/>
      <c r="AB108" s="515" t="s">
        <v>1254</v>
      </c>
      <c r="AC108" s="562" t="str">
        <f>"индекс потребительских цен на "&amp;god-1&amp;" год"</f>
        <v>индекс потребительских цен на 2025 год</v>
      </c>
      <c r="AD108" s="515" t="s">
        <v>1170</v>
      </c>
      <c r="AE108" s="534"/>
      <c r="AF108" s="534"/>
      <c r="AG108" s="525"/>
      <c r="AH108" s="525"/>
      <c r="AI108" s="1035" t="s">
        <v>3127</v>
      </c>
    </row>
    <row s="525" customFormat="1" customHeight="1" ht="14.25">
      <c r="A109" s="525"/>
      <c r="B109" s="525"/>
      <c r="C109" s="525"/>
      <c r="D109" s="525"/>
      <c r="E109" s="674">
        <v>15</v>
      </c>
      <c r="F109" s="50" cm="1" t="str">
        <f t="array" ref="F109:F109">OFFSET(E109,-1,1)</f>
        <v>4</v>
      </c>
      <c r="G109" s="525"/>
      <c r="H109" s="488" t="s">
        <v>1648</v>
      </c>
      <c r="I109" s="488"/>
      <c r="J109" s="488"/>
      <c r="K109" s="488"/>
      <c r="L109" s="525"/>
      <c r="M109" s="525"/>
      <c r="N109" s="525"/>
      <c r="O109" s="525"/>
      <c r="P109" s="525"/>
      <c r="Q109" s="525"/>
      <c r="R109" s="525"/>
      <c r="S109" s="525"/>
      <c r="T109" s="465" cm="1" t="str">
        <f t="array" ref="T109:T109">T108</f>
        <v>true</v>
      </c>
      <c r="U109" s="525"/>
      <c r="V109" s="525"/>
      <c r="W109" s="525"/>
      <c r="X109" s="1596"/>
      <c r="Y109" s="525"/>
      <c r="Z109" s="1597"/>
      <c r="AA109" s="525"/>
      <c r="AB109" s="515" t="s">
        <v>1258</v>
      </c>
      <c r="AC109" s="562" t="str">
        <f>"индекс потребительских цен на "&amp;god&amp;" год"</f>
        <v>индекс потребительских цен на 2026 год</v>
      </c>
      <c r="AD109" s="515" t="s">
        <v>1170</v>
      </c>
      <c r="AE109" s="534"/>
      <c r="AF109" s="534"/>
      <c r="AG109" s="525"/>
      <c r="AH109" s="525"/>
      <c r="AI109" s="1035" t="s">
        <v>3128</v>
      </c>
    </row>
    <row s="525" customFormat="1" customHeight="1" ht="21.75">
      <c r="A110" s="525"/>
      <c r="B110" s="525"/>
      <c r="C110" s="525"/>
      <c r="D110" s="525"/>
      <c r="E110" s="674">
        <v>22.5</v>
      </c>
      <c r="F110" s="50" cm="1" t="str">
        <f t="array" ref="F110:F110">OFFSET(E110,-1,1)</f>
        <v>4</v>
      </c>
      <c r="G110" s="525"/>
      <c r="H110" s="488" t="s">
        <v>1650</v>
      </c>
      <c r="I110" s="488"/>
      <c r="J110" s="488"/>
      <c r="K110" s="488"/>
      <c r="L110" s="525"/>
      <c r="M110" s="525"/>
      <c r="N110" s="525"/>
      <c r="O110" s="525"/>
      <c r="P110" s="525"/>
      <c r="Q110" s="525"/>
      <c r="R110" s="525"/>
      <c r="S110" s="525"/>
      <c r="T110" s="465" cm="1" t="str">
        <f t="array" ref="T110:T110">T109</f>
        <v>true</v>
      </c>
      <c r="U110" s="525"/>
      <c r="V110" s="525"/>
      <c r="W110" s="525"/>
      <c r="X110" s="1596"/>
      <c r="Y110" s="525"/>
      <c r="Z110" s="1597"/>
      <c r="AA110" s="525"/>
      <c r="AB110" s="515" t="s">
        <v>1651</v>
      </c>
      <c r="AC110" s="562" t="s">
        <v>3129</v>
      </c>
      <c r="AD110" s="515" t="s">
        <v>1506</v>
      </c>
      <c r="AE110" s="534"/>
      <c r="AF110" s="534"/>
      <c r="AG110" s="525"/>
      <c r="AH110" s="525"/>
      <c r="AI110" s="1035" t="s">
        <v>3130</v>
      </c>
    </row>
    <row s="525" customFormat="1" customHeight="1" ht="14.25">
      <c r="A111" s="525"/>
      <c r="B111" s="525"/>
      <c r="C111" s="525"/>
      <c r="D111" s="525"/>
      <c r="E111" s="674">
        <v>15</v>
      </c>
      <c r="F111" s="50" cm="1" t="str">
        <f t="array" ref="F111:F111">OFFSET(E111,-1,1)</f>
        <v>4</v>
      </c>
      <c r="G111" s="525"/>
      <c r="H111" s="488" t="s">
        <v>334</v>
      </c>
      <c r="I111" s="488"/>
      <c r="J111" s="488"/>
      <c r="K111" s="488"/>
      <c r="L111" s="525"/>
      <c r="M111" s="525"/>
      <c r="N111" s="525"/>
      <c r="O111" s="525"/>
      <c r="P111" s="525"/>
      <c r="Q111" s="525"/>
      <c r="R111" s="525"/>
      <c r="S111" s="525"/>
      <c r="T111" s="465" cm="1" t="str">
        <f t="array" ref="T111:T111">T110</f>
        <v>true</v>
      </c>
      <c r="U111" s="525"/>
      <c r="V111" s="525"/>
      <c r="W111" s="525"/>
      <c r="X111" s="1596"/>
      <c r="Y111" s="525"/>
      <c r="Z111" s="1597"/>
      <c r="AA111" s="525"/>
      <c r="AB111" s="515" t="s">
        <v>289</v>
      </c>
      <c r="AC111" s="1296" t="s">
        <v>3131</v>
      </c>
      <c r="AD111" s="515" t="s">
        <v>1506</v>
      </c>
      <c r="AE111" s="530">
        <f>_xlfn.SUMIFS('Условные метры'!AL$27:AL$44,'Условные метры'!$F$27:$F$44,$F111,'Условные метры'!$G$27:$G$44,"Итог")</f>
        <v>0</v>
      </c>
      <c r="AF111" s="530">
        <f>_xlfn.SUMIFS('Условные метры'!AN$27:AN$44,'Условные метры'!$F$27:$F$44,$F111,'Условные метры'!$G$27:$G$44,"Итог")</f>
        <v>0</v>
      </c>
      <c r="AG111" s="525"/>
      <c r="AH111" s="525"/>
      <c r="AI111" s="1035" t="s">
        <v>3132</v>
      </c>
    </row>
    <row s="525" customFormat="1" customHeight="1" ht="14.25">
      <c r="A112" s="525"/>
      <c r="B112" s="525"/>
      <c r="C112" s="525"/>
      <c r="D112" s="525"/>
      <c r="E112" s="674">
        <v>15</v>
      </c>
      <c r="F112" s="50" cm="1" t="str">
        <f t="array" ref="F112:F112">OFFSET(E112,-1,1)</f>
        <v>4</v>
      </c>
      <c r="G112" s="525"/>
      <c r="H112" s="488" t="s">
        <v>1658</v>
      </c>
      <c r="I112" s="488"/>
      <c r="J112" s="488"/>
      <c r="K112" s="488"/>
      <c r="L112" s="525"/>
      <c r="M112" s="525"/>
      <c r="N112" s="525"/>
      <c r="O112" s="525"/>
      <c r="P112" s="525"/>
      <c r="Q112" s="525"/>
      <c r="R112" s="525"/>
      <c r="S112" s="525"/>
      <c r="T112" s="465" cm="1" t="str">
        <f t="array" ref="T112:T112">T111</f>
        <v>true</v>
      </c>
      <c r="U112" s="525"/>
      <c r="V112" s="525"/>
      <c r="W112" s="525"/>
      <c r="X112" s="1596"/>
      <c r="Y112" s="525"/>
      <c r="Z112" s="1597"/>
      <c r="AA112" s="525"/>
      <c r="AB112" s="515" t="s">
        <v>1264</v>
      </c>
      <c r="AC112" s="562" t="s">
        <v>3133</v>
      </c>
      <c r="AD112" s="515" t="s">
        <v>388</v>
      </c>
      <c r="AE112" s="530">
        <f>_xlfn.SUMIFS('Условные метры'!AK$27:AK$44,'Условные метры'!$F$27:$F$44,$F112,'Условные метры'!$G$27:$G$44,"Итог")</f>
        <v>0</v>
      </c>
      <c r="AF112" s="530">
        <f>_xlfn.SUMIFS('Условные метры'!AM$27:AM$44,'Условные метры'!$F$27:$F$44,$F112,'Условные метры'!$G$27:$G$44,"Итог")</f>
        <v>0</v>
      </c>
      <c r="AG112" s="525"/>
      <c r="AH112" s="525"/>
      <c r="AI112" s="1035" t="s">
        <v>3134</v>
      </c>
    </row>
    <row s="525" customFormat="1" customHeight="1" ht="14.25">
      <c r="A113" s="525"/>
      <c r="B113" s="525"/>
      <c r="C113" s="525"/>
      <c r="D113" s="525"/>
      <c r="E113" s="674">
        <v>15</v>
      </c>
      <c r="F113" s="50" cm="1" t="str">
        <f t="array" ref="F113:F113">OFFSET(E113,-1,1)</f>
        <v>4</v>
      </c>
      <c r="G113" s="525"/>
      <c r="H113" s="488" t="s">
        <v>336</v>
      </c>
      <c r="I113" s="488"/>
      <c r="J113" s="488"/>
      <c r="K113" s="488"/>
      <c r="L113" s="525"/>
      <c r="M113" s="525"/>
      <c r="N113" s="525"/>
      <c r="O113" s="525"/>
      <c r="P113" s="525"/>
      <c r="Q113" s="525"/>
      <c r="R113" s="525"/>
      <c r="S113" s="525"/>
      <c r="T113" s="465" cm="1" t="str">
        <f t="array" ref="T113:T113">T112</f>
        <v>true</v>
      </c>
      <c r="U113" s="525"/>
      <c r="V113" s="525"/>
      <c r="W113" s="525"/>
      <c r="X113" s="1596"/>
      <c r="Y113" s="525"/>
      <c r="Z113" s="1597"/>
      <c r="AA113" s="525"/>
      <c r="AB113" s="515" t="s">
        <v>295</v>
      </c>
      <c r="AC113" s="561" t="s">
        <v>3135</v>
      </c>
      <c r="AD113" s="515" t="s">
        <v>1764</v>
      </c>
      <c r="AE113" s="530">
        <f>_xlfn.SUMIFS('Амортизация (аналог)'!AE$25:AE$62,'Амортизация (аналог)'!$F$25:$F$62,$F113,'Амортизация (аналог)'!$AB$25:$AB$62,"2")</f>
        <v>0</v>
      </c>
      <c r="AF113" s="530">
        <f>_xlfn.SUMIFS('Амортизация (аналог)'!AF$25:AF$62,'Амортизация (аналог)'!$F$25:$F$62,$F113,'Амортизация (аналог)'!$AB$25:$AB$62,"2")</f>
        <v>0</v>
      </c>
      <c r="AG113" s="525"/>
      <c r="AH113" s="525"/>
      <c r="AI113" s="1035" t="s">
        <v>3136</v>
      </c>
    </row>
    <row s="525" customFormat="1" customHeight="1" ht="14.25">
      <c r="A114" s="525"/>
      <c r="B114" s="525"/>
      <c r="C114" s="525"/>
      <c r="D114" s="525"/>
      <c r="E114" s="674">
        <v>15</v>
      </c>
      <c r="F114" s="50" cm="1" t="str">
        <f t="array" ref="F114:F114">OFFSET(E114,-1,1)</f>
        <v>4</v>
      </c>
      <c r="G114" s="525"/>
      <c r="H114" s="488" t="s">
        <v>1249</v>
      </c>
      <c r="I114" s="488"/>
      <c r="J114" s="488"/>
      <c r="K114" s="488"/>
      <c r="L114" s="525"/>
      <c r="M114" s="525"/>
      <c r="N114" s="525"/>
      <c r="O114" s="525"/>
      <c r="P114" s="525"/>
      <c r="Q114" s="525"/>
      <c r="R114" s="525"/>
      <c r="S114" s="525"/>
      <c r="T114" s="465" cm="1" t="str">
        <f t="array" ref="T114:T114">T113</f>
        <v>true</v>
      </c>
      <c r="U114" s="525"/>
      <c r="V114" s="525"/>
      <c r="W114" s="525"/>
      <c r="X114" s="1596"/>
      <c r="Y114" s="525"/>
      <c r="Z114" s="1597"/>
      <c r="AA114" s="525"/>
      <c r="AB114" s="515" t="s">
        <v>1384</v>
      </c>
      <c r="AC114" s="1297" t="s">
        <v>3137</v>
      </c>
      <c r="AD114" s="515" t="s">
        <v>1170</v>
      </c>
      <c r="AE114" s="527">
        <f>IF(AE105=0,0,AE113/AE105*100)</f>
        <v>0</v>
      </c>
      <c r="AF114" s="527">
        <f>IF(AF105=0,0,AF113/AF105*100)</f>
        <v>0</v>
      </c>
      <c r="AG114" s="525"/>
      <c r="AH114" s="525"/>
      <c r="AI114" s="1035" t="s">
        <v>3138</v>
      </c>
    </row>
    <row s="525" customFormat="1" customHeight="1" ht="21.75">
      <c r="A115" s="525"/>
      <c r="B115" s="525"/>
      <c r="C115" s="525"/>
      <c r="D115" s="525"/>
      <c r="E115" s="674">
        <v>22.5</v>
      </c>
      <c r="F115" s="50" cm="1" t="str">
        <f t="array" ref="F115:F115">OFFSET(E115,-1,1)</f>
        <v>4</v>
      </c>
      <c r="G115" s="158" t="s">
        <v>2346</v>
      </c>
      <c r="H115" s="488" t="s">
        <v>335</v>
      </c>
      <c r="I115" s="488"/>
      <c r="J115" s="488"/>
      <c r="K115" s="488"/>
      <c r="L115" s="525"/>
      <c r="M115" s="525"/>
      <c r="N115" s="525"/>
      <c r="O115" s="525"/>
      <c r="P115" s="525"/>
      <c r="Q115" s="525"/>
      <c r="R115" s="525"/>
      <c r="S115" s="525"/>
      <c r="T115" s="465" cm="1" t="str">
        <f t="array" ref="T115:T115">T114</f>
        <v>true</v>
      </c>
      <c r="U115" s="525"/>
      <c r="V115" s="525"/>
      <c r="W115" s="525"/>
      <c r="X115" s="1596"/>
      <c r="Y115" s="525"/>
      <c r="Z115" s="1597"/>
      <c r="AA115" s="525"/>
      <c r="AB115" s="515" t="s">
        <v>443</v>
      </c>
      <c r="AC115" s="1298" t="s">
        <v>3139</v>
      </c>
      <c r="AD115" s="515" t="s">
        <v>3140</v>
      </c>
      <c r="AE115" s="530">
        <f>_xlfn.SUMIFS(Баланс!$AI$25:$AI$482,Баланс!$F$25:$F$482,$F115,Баланс!$G$25:$G$482,"ПО")</f>
        <v>1025.10255</v>
      </c>
      <c r="AF115" s="530">
        <f>_xlfn.SUMIFS(Баланс!$AS$25:$AS$482,Баланс!$F$25:$F$482,$F115,Баланс!$G$25:$G$482,"ПО")</f>
        <v>1025.10255</v>
      </c>
      <c r="AG115" s="525"/>
      <c r="AH115" s="525"/>
      <c r="AI115" s="1035" t="s">
        <v>1787</v>
      </c>
    </row>
    <row s="525" customFormat="1" customHeight="1" ht="14.25">
      <c r="A116" s="525"/>
      <c r="B116" s="525"/>
      <c r="C116" s="525"/>
      <c r="D116" s="525"/>
      <c r="E116" s="674">
        <v>15</v>
      </c>
      <c r="F116" s="50" cm="1" t="str">
        <f t="array" ref="F116:F116">OFFSET(E116,-1,1)</f>
        <v>4</v>
      </c>
      <c r="G116" s="1299" t="s">
        <v>2373</v>
      </c>
      <c r="H116" s="488" t="s">
        <v>1263</v>
      </c>
      <c r="I116" s="488"/>
      <c r="J116" s="488"/>
      <c r="K116" s="488"/>
      <c r="L116" s="525"/>
      <c r="M116" s="525"/>
      <c r="N116" s="525"/>
      <c r="O116" s="525"/>
      <c r="P116" s="525"/>
      <c r="Q116" s="525"/>
      <c r="R116" s="525"/>
      <c r="S116" s="525"/>
      <c r="T116" s="465" cm="1" t="str">
        <f t="array" ref="T116:T116">T115</f>
        <v>true</v>
      </c>
      <c r="U116" s="525"/>
      <c r="V116" s="525"/>
      <c r="W116" s="525"/>
      <c r="X116" s="1596"/>
      <c r="Y116" s="525"/>
      <c r="Z116" s="1597"/>
      <c r="AA116" s="525"/>
      <c r="AB116" s="515" t="s">
        <v>1391</v>
      </c>
      <c r="AC116" s="1300" t="s">
        <v>3141</v>
      </c>
      <c r="AD116" s="515" t="s">
        <v>3140</v>
      </c>
      <c r="AE116" s="1301"/>
      <c r="AF116" s="1301"/>
      <c r="AG116" s="525"/>
      <c r="AH116" s="525"/>
      <c r="AI116" s="1035" t="s">
        <v>3142</v>
      </c>
    </row>
    <row s="525" customFormat="1" customHeight="1" ht="14.25">
      <c r="A117" s="525"/>
      <c r="B117" s="525"/>
      <c r="C117" s="525"/>
      <c r="D117" s="525"/>
      <c r="E117" s="674">
        <v>15</v>
      </c>
      <c r="F117" s="50" cm="1" t="str">
        <f t="array" ref="F117:F117">OFFSET(E117,-1,1)</f>
        <v>4</v>
      </c>
      <c r="G117" s="107" t="s">
        <v>2386</v>
      </c>
      <c r="H117" s="488" t="s">
        <v>1267</v>
      </c>
      <c r="I117" s="488"/>
      <c r="J117" s="488"/>
      <c r="K117" s="488"/>
      <c r="L117" s="525"/>
      <c r="M117" s="525"/>
      <c r="N117" s="525"/>
      <c r="O117" s="525"/>
      <c r="P117" s="525"/>
      <c r="Q117" s="525"/>
      <c r="R117" s="525"/>
      <c r="S117" s="525"/>
      <c r="T117" s="465" cm="1" t="str">
        <f t="array" ref="T117:T117">T116</f>
        <v>true</v>
      </c>
      <c r="U117" s="525"/>
      <c r="V117" s="525"/>
      <c r="W117" s="525"/>
      <c r="X117" s="1596"/>
      <c r="Y117" s="525"/>
      <c r="Z117" s="1597"/>
      <c r="AA117" s="525"/>
      <c r="AB117" s="515" t="s">
        <v>1394</v>
      </c>
      <c r="AC117" s="1131" t="s">
        <v>3143</v>
      </c>
      <c r="AD117" s="515" t="s">
        <v>3140</v>
      </c>
      <c r="AE117" s="530">
        <f>AE115-AE116</f>
        <v>1025.10255</v>
      </c>
      <c r="AF117" s="530">
        <f>AF115-AF116</f>
        <v>1025.10255</v>
      </c>
      <c r="AG117" s="525"/>
      <c r="AH117" s="525"/>
      <c r="AI117" s="1035" t="s">
        <v>3144</v>
      </c>
    </row>
    <row s="525" customFormat="1" customHeight="1" ht="14.25">
      <c r="A118" s="525"/>
      <c r="B118" s="525"/>
      <c r="C118" s="525"/>
      <c r="D118" s="525"/>
      <c r="E118" s="674">
        <v>15</v>
      </c>
      <c r="F118" s="50" cm="1" t="str">
        <f t="array" ref="F118:F118">OFFSET(E118,-1,1)</f>
        <v>4</v>
      </c>
      <c r="G118" s="525"/>
      <c r="H118" s="488" t="s">
        <v>1225</v>
      </c>
      <c r="I118" s="488"/>
      <c r="J118" s="488"/>
      <c r="K118" s="488"/>
      <c r="L118" s="525"/>
      <c r="M118" s="525"/>
      <c r="N118" s="525"/>
      <c r="O118" s="525"/>
      <c r="P118" s="525"/>
      <c r="Q118" s="525"/>
      <c r="R118" s="525"/>
      <c r="S118" s="525"/>
      <c r="T118" s="465" cm="1" t="str">
        <f t="array" ref="T118:T118">T117</f>
        <v>true</v>
      </c>
      <c r="U118" s="525"/>
      <c r="V118" s="525"/>
      <c r="W118" s="525"/>
      <c r="X118" s="1596"/>
      <c r="Y118" s="525"/>
      <c r="Z118" s="1597"/>
      <c r="AA118" s="525"/>
      <c r="AB118" s="515" t="s">
        <v>446</v>
      </c>
      <c r="AC118" s="560" t="s">
        <v>3145</v>
      </c>
      <c r="AD118" s="515" t="s">
        <v>2337</v>
      </c>
      <c r="AE118" s="527">
        <f>IF(AE115=0,0,AE104/AE115)</f>
        <v>0</v>
      </c>
      <c r="AF118" s="527">
        <f>IF(AF115=0,0,AF104/AF115)</f>
        <v>0</v>
      </c>
      <c r="AG118" s="525"/>
      <c r="AH118" s="525"/>
      <c r="AI118" s="1035" t="s">
        <v>1877</v>
      </c>
    </row>
    <row s="525" customFormat="1" customHeight="1" ht="14.25">
      <c r="A119" s="525"/>
      <c r="B119" s="525"/>
      <c r="C119" s="525"/>
      <c r="D119" s="525"/>
      <c r="E119" s="674">
        <v>15</v>
      </c>
      <c r="F119" s="50" cm="1" t="str">
        <f t="array" ref="F119:F119">OFFSET(E119,-1,1)</f>
        <v>4</v>
      </c>
      <c r="G119" s="107" t="s">
        <v>2334</v>
      </c>
      <c r="H119" s="488" t="s">
        <v>1407</v>
      </c>
      <c r="I119" s="488"/>
      <c r="J119" s="488"/>
      <c r="K119" s="488"/>
      <c r="L119" s="525"/>
      <c r="M119" s="525"/>
      <c r="N119" s="525"/>
      <c r="O119" s="525"/>
      <c r="P119" s="525"/>
      <c r="Q119" s="525"/>
      <c r="R119" s="525"/>
      <c r="S119" s="525"/>
      <c r="T119" s="465" cm="1" t="str">
        <f t="array" ref="T119:T119">T118</f>
        <v>true</v>
      </c>
      <c r="U119" s="525"/>
      <c r="V119" s="525"/>
      <c r="W119" s="525"/>
      <c r="X119" s="1596"/>
      <c r="Y119" s="525"/>
      <c r="Z119" s="1597"/>
      <c r="AA119" s="525"/>
      <c r="AB119" s="515" t="s">
        <v>3146</v>
      </c>
      <c r="AC119" s="1302" t="s">
        <v>3147</v>
      </c>
      <c r="AD119" s="515" t="s">
        <v>2337</v>
      </c>
      <c r="AE119" s="534"/>
      <c r="AF119" s="534"/>
      <c r="AG119" s="525"/>
      <c r="AH119" s="525"/>
      <c r="AI119" s="1035" t="s">
        <v>3148</v>
      </c>
    </row>
    <row s="525" customFormat="1" customHeight="1" ht="14.25">
      <c r="A120" s="525"/>
      <c r="B120" s="525"/>
      <c r="C120" s="525"/>
      <c r="D120" s="525"/>
      <c r="E120" s="674">
        <v>15</v>
      </c>
      <c r="F120" s="50" cm="1" t="str">
        <f t="array" ref="F120:F120">OFFSET(E120,-1,1)</f>
        <v>4</v>
      </c>
      <c r="G120" s="107" t="s">
        <v>2339</v>
      </c>
      <c r="H120" s="488" t="s">
        <v>1410</v>
      </c>
      <c r="I120" s="488"/>
      <c r="J120" s="488"/>
      <c r="K120" s="488"/>
      <c r="L120" s="525"/>
      <c r="M120" s="525"/>
      <c r="N120" s="525"/>
      <c r="O120" s="525"/>
      <c r="P120" s="525"/>
      <c r="Q120" s="525"/>
      <c r="R120" s="525"/>
      <c r="S120" s="525"/>
      <c r="T120" s="465" cm="1" t="str">
        <f t="array" ref="T120:T120">T119</f>
        <v>true</v>
      </c>
      <c r="U120" s="525"/>
      <c r="V120" s="525"/>
      <c r="W120" s="525"/>
      <c r="X120" s="1596"/>
      <c r="Y120" s="525"/>
      <c r="Z120" s="1597"/>
      <c r="AA120" s="525"/>
      <c r="AB120" s="515" t="s">
        <v>3149</v>
      </c>
      <c r="AC120" s="1132" t="s">
        <v>3150</v>
      </c>
      <c r="AD120" s="515" t="s">
        <v>2337</v>
      </c>
      <c r="AE120" s="534">
        <f>IF(AE117=0,0,(AE104-AE119*AE116)/AE117)</f>
        <v>0</v>
      </c>
      <c r="AF120" s="534">
        <f>IF(AF117=0,0,(AF104-AF119*AF116)/AF117)</f>
        <v>0</v>
      </c>
      <c r="AG120" s="525"/>
      <c r="AH120" s="525"/>
      <c r="AI120" s="1035" t="s">
        <v>3151</v>
      </c>
    </row>
    <row s="1834" customFormat="1" customHeight="1" ht="14.25">
      <c r="A121" s="1459"/>
      <c r="B121" s="1459"/>
      <c r="C121" s="1459"/>
      <c r="D121" s="1459"/>
      <c r="E121" s="649">
        <v>15</v>
      </c>
      <c r="F121" s="50" cm="1" t="str">
        <f t="array" ref="F121:F121">OFFSET(E121,-1,1)</f>
        <v>4</v>
      </c>
      <c r="G121" s="1459"/>
      <c r="H121" s="488" t="s">
        <v>1386</v>
      </c>
      <c r="I121" s="1459"/>
      <c r="J121" s="1459"/>
      <c r="K121" s="1459"/>
      <c r="L121" s="1459"/>
      <c r="M121" s="1459"/>
      <c r="N121" s="1459"/>
      <c r="O121" s="1459"/>
      <c r="P121" s="1459"/>
      <c r="Q121" s="1459"/>
      <c r="R121" s="1459"/>
      <c r="S121" s="1459"/>
      <c r="T121" s="465" cm="1" t="str">
        <f t="array" ref="T121:T121">T120</f>
        <v>true</v>
      </c>
      <c r="U121" s="1459"/>
      <c r="V121" s="1459"/>
      <c r="W121" s="1459"/>
      <c r="X121" s="1596"/>
      <c r="Y121" s="1459"/>
      <c r="Z121" s="1597"/>
      <c r="AA121" s="1459"/>
      <c r="AB121" s="515" t="s">
        <v>1283</v>
      </c>
      <c r="AC121" s="554" t="s">
        <v>3152</v>
      </c>
      <c r="AD121" s="515" t="s">
        <v>1170</v>
      </c>
      <c r="AE121" s="527">
        <f>IF(AE119=0,0,AE120/AE119*100)</f>
        <v>0</v>
      </c>
      <c r="AF121" s="527">
        <f>IF(AF119=0,0,AF120/AF119*100)</f>
        <v>0</v>
      </c>
      <c r="AG121" s="1459"/>
      <c r="AH121" s="1459"/>
      <c r="AI121" s="1025" t="s">
        <v>3153</v>
      </c>
    </row>
    <row customHeight="1" ht="10.96875">
      <c r="E122" s="649">
        <v>11.25</v>
      </c>
      <c r="U122" s="488" t="s">
        <v>178</v>
      </c>
      <c r="V122" s="717" t="s">
        <v>3154</v>
      </c>
      <c r="AB122" s="535"/>
      <c r="AC122" s="536"/>
      <c r="AD122" s="535"/>
      <c r="AE122" s="537"/>
    </row>
    <row customHeight="1" ht="44.606249999999996">
      <c r="E123" s="649">
        <v>45.75</v>
      </c>
      <c r="AB123" s="1660" t="s">
        <v>3155</v>
      </c>
      <c r="AC123" s="1660"/>
      <c r="AD123" s="1660"/>
      <c r="AE123" s="1660"/>
      <c r="AF123" s="1660"/>
    </row>
    <row customHeight="1" ht="10.96875">
      <c r="E124" s="649">
        <v>11.25</v>
      </c>
      <c r="AB124" s="535"/>
      <c r="AC124" s="536"/>
      <c r="AD124" s="535"/>
      <c r="AE124" s="537"/>
    </row>
    <row s="1304" customFormat="1" customHeight="1" ht="14.625">
      <c r="E125" s="716">
        <v>15</v>
      </c>
      <c r="AB125" s="1577" t="s">
        <v>407</v>
      </c>
      <c r="AC125" s="1577"/>
      <c r="AD125" s="1577"/>
      <c r="AE125" s="1598"/>
      <c r="AF125" s="1598"/>
      <c r="AI125" s="1077"/>
    </row>
    <row s="1304" customFormat="1" customHeight="1" ht="14.625">
      <c r="E126" s="716">
        <v>15</v>
      </c>
      <c r="AA126" s="1346"/>
      <c r="AB126" s="1599"/>
      <c r="AC126" s="1599"/>
      <c r="AD126" s="1599"/>
      <c r="AE126" s="1600"/>
      <c r="AF126" s="1600"/>
      <c r="AI126" s="1077"/>
    </row>
    <row s="1304" customFormat="1" customHeight="1" ht="14.625" hidden="1">
      <c r="A127" s="1304"/>
      <c r="B127" s="1304"/>
      <c r="C127" s="1304"/>
      <c r="D127" s="1304"/>
      <c r="E127" s="716">
        <v>15</v>
      </c>
      <c r="F127" s="1304"/>
      <c r="G127" s="1304"/>
      <c r="H127" s="1304"/>
      <c r="I127" s="1304"/>
      <c r="J127" s="1304"/>
      <c r="K127" s="1304"/>
      <c r="L127" s="1304"/>
      <c r="M127" s="1304"/>
      <c r="N127" s="1304"/>
      <c r="O127" s="1304"/>
      <c r="P127" s="1304"/>
      <c r="Q127" s="1304"/>
      <c r="R127" s="1304"/>
      <c r="S127" s="1304"/>
      <c r="T127" s="465">
        <f>ROW(W127)&gt;ROW(W$127)</f>
        <v>0</v>
      </c>
      <c r="U127" s="1304"/>
      <c r="V127" s="1304"/>
      <c r="W127" s="555" t="s">
        <v>174</v>
      </c>
      <c r="X127" s="555"/>
      <c r="Y127" s="555"/>
      <c r="Z127" s="555"/>
      <c r="AA127" s="1303" t="s">
        <v>175</v>
      </c>
      <c r="AB127" s="3522"/>
      <c r="AC127" s="3238"/>
      <c r="AD127" s="3238"/>
      <c r="AE127" s="3238"/>
      <c r="AF127" s="3523"/>
      <c r="AG127" s="1304"/>
      <c r="AH127" s="1304"/>
      <c r="AI127" s="1077"/>
    </row>
    <row s="1304" customFormat="1" customHeight="1" ht="14.625">
      <c r="E128" s="716">
        <v>15</v>
      </c>
      <c r="W128" s="829" t="s">
        <v>408</v>
      </c>
      <c r="X128" s="555"/>
      <c r="Y128" s="555"/>
      <c r="Z128" s="555"/>
      <c r="AA128" s="555"/>
      <c r="AB128" s="1347"/>
      <c r="AC128" s="1348" t="s">
        <v>409</v>
      </c>
      <c r="AD128" s="1349"/>
      <c r="AE128" s="1350"/>
      <c r="AF128" s="1351"/>
      <c r="AI128" s="1077"/>
    </row>
    <row customHeight="1" ht="10.96875">
      <c r="E129" s="649">
        <v>11.25</v>
      </c>
      <c r="AC129" s="538"/>
      <c r="AG129" s="488"/>
    </row>
  </sheetData>
  <sheetProtection formatColumns="0" formatRows="0" insertRows="0" deleteColumns="0" deleteRows="0" sort="0" autoFilter="0" insertColumns="1"/>
  <mergeCells count="20">
    <mergeCell ref="AB22:AF22"/>
    <mergeCell ref="AB23:AF23"/>
    <mergeCell ref="AB24:AB25"/>
    <mergeCell ref="AC24:AC25"/>
    <mergeCell ref="AD24:AD25"/>
    <mergeCell ref="AE24:AF24"/>
    <mergeCell ref="X27:X45"/>
    <mergeCell ref="Z27:Z45"/>
    <mergeCell ref="AB127:AF127"/>
    <mergeCell ref="AB125:AF125"/>
    <mergeCell ref="AB126:AF126"/>
    <mergeCell ref="AB123:AF123"/>
    <mergeCell ref="X46:X64"/>
    <mergeCell ref="Z46:Z64"/>
    <mergeCell ref="X65:X83"/>
    <mergeCell ref="Z65:Z83"/>
    <mergeCell ref="X84:X102"/>
    <mergeCell ref="Z84:Z102"/>
    <mergeCell ref="X103:X121"/>
    <mergeCell ref="Z103:Z121"/>
  </mergeCells>
  <dataValidations count="3">
    <dataValidation type="decimal" allowBlank="1" showErrorMessage="1" errorTitle="Ошибка" error="Допускается ввод только неотрицательных чисел!" sqref="AE34:AF34 AE38:AF38 AE30:AF31 AE49 AF49 AE50 AF50 AE53 AF53 AE57 AF57 AE68 AF68 AE69 AF69 AE72 AF72 AE76 AF76 AE87 AF87 AE88 AF88 AE91 AF91 AE95 AF95 AE106 AF106 AE107 AF107 AE110 AF110 AE114 AF114">
      <formula1>0</formula1>
      <formula2>9.99999999999999E+23</formula2>
    </dataValidation>
    <dataValidation type="decimal" allowBlank="1" showErrorMessage="1" errorTitle="Ошибка" error="Допускается ввод только действительных чисел!" sqref="AE43:AF44 AE62 AF62 AE63 AF63 AE81 AF81 AE82 AF82 AE100 AF100 AE101 AF101 AE119 AF119 AE120 AF120">
      <formula1>-9.99999999999999E+23</formula1>
      <formula2>9.99999999999999E+23</formula2>
    </dataValidation>
    <dataValidation type="decimal" allowBlank="1" showErrorMessage="1" errorTitle="Ошибка" error="Введите число от 0 до 100!" sqref="AE32:AF33 AE51 AF51 AE52 AF52 AE70 AF70 AE71 AF71 AE89 AF89 AE90 AF90 AE108 AF108 AE109 AF109">
      <formula1>0</formula1>
      <formula2>100</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85A3D8-3988-4C39-EE68-044A387B0BC8}" mc:Ignorable="x14ac xr xr2 xr3">
  <sheetPr>
    <tabColor rgb="FFD3DBDB"/>
    <pageSetUpPr fitToPage="1"/>
  </sheetPr>
  <dimension ref="A1:AC34"/>
  <sheetViews>
    <sheetView topLeftCell="AA21" showGridLines="0" workbookViewId="0">
      <selection activeCell="AA21" sqref="AA21"/>
    </sheetView>
  </sheetViews>
  <sheetFormatPr defaultColWidth="9.140625" customHeight="1" defaultRowHeight="11.25"/>
  <cols>
    <col min="1" max="1" style="1459" width="3.57421875" hidden="1" customWidth="1"/>
    <col min="2" max="2" style="1416" width="8.57421875" hidden="1" customWidth="1"/>
    <col min="3" max="4" style="1459" width="3.57421875" hidden="1" customWidth="1"/>
    <col min="5" max="5" style="1419" width="3.57421875" hidden="1" customWidth="1"/>
    <col min="6" max="21" style="1459" width="3.57421875" hidden="1" customWidth="1"/>
    <col min="22" max="22" style="1459" width="4.57421875" hidden="1" customWidth="1"/>
    <col min="23" max="23" style="1459" width="8.421875" hidden="1" customWidth="1"/>
    <col min="24" max="26" style="1459" width="3.57421875" hidden="1" customWidth="1"/>
    <col min="27" max="27" style="1459" width="3.00390625" customWidth="1"/>
    <col min="28" max="28" style="1459" width="94.140625" customWidth="1"/>
    <col min="29" max="29" style="1459" width="9.140625"/>
  </cols>
  <sheetData>
    <row customHeight="1" ht="11.25" hidden="1">
      <c r="E1" s="104"/>
      <c r="W1" s="465" t="s">
        <v>93</v>
      </c>
      <c r="X1" s="465"/>
      <c r="Y1" s="465" t="s">
        <v>94</v>
      </c>
      <c r="Z1" s="465" t="s">
        <v>96</v>
      </c>
      <c r="AA1" s="465" t="s">
        <v>100</v>
      </c>
      <c r="AB1" s="465" t="s">
        <v>98</v>
      </c>
    </row>
    <row s="1416" customFormat="1" customHeight="1" ht="11.25" hidden="1">
      <c r="B2" s="446" t="s">
        <v>19</v>
      </c>
    </row>
    <row customHeight="1" ht="11.25" hidden="1">
      <c r="E3" s="104"/>
    </row>
    <row customHeight="1" ht="11.25" hidden="1">
      <c r="E4" s="104"/>
    </row>
    <row s="1419" customFormat="1" customHeight="1" ht="11.25" hidden="1">
      <c r="A5" s="104"/>
      <c r="B5" s="428"/>
      <c r="C5" s="104"/>
      <c r="D5" s="104"/>
      <c r="E5" s="703" t="s">
        <v>20</v>
      </c>
      <c r="AA5" s="628">
        <v>3</v>
      </c>
      <c r="AB5" s="628">
        <v>94.14</v>
      </c>
    </row>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4.625">
      <c r="E21" s="628">
        <v>15</v>
      </c>
      <c r="AA21" s="425"/>
      <c r="AB21" s="105"/>
    </row>
    <row customHeight="1" ht="19.0125">
      <c r="E22" s="628">
        <v>19.5</v>
      </c>
      <c r="AA22" s="105"/>
      <c r="AB22" s="103" t="s">
        <v>371</v>
      </c>
    </row>
    <row customHeight="1" ht="10.96875">
      <c r="E23" s="628">
        <v>11.25</v>
      </c>
      <c r="AA23" s="105"/>
      <c r="AB23" s="105"/>
    </row>
    <row customHeight="1" ht="19.5">
      <c r="E24" s="628">
        <v>20</v>
      </c>
      <c r="AA24" s="105"/>
      <c r="AB24" s="106"/>
    </row>
    <row customHeight="1" ht="19.5">
      <c r="E25" s="628">
        <v>20</v>
      </c>
      <c r="AA25" s="105"/>
      <c r="AB25" s="106"/>
    </row>
    <row customHeight="1" ht="19.5">
      <c r="E26" s="628">
        <v>20</v>
      </c>
      <c r="AA26" s="105"/>
      <c r="AB26" s="106"/>
    </row>
    <row customHeight="1" ht="19.5">
      <c r="E27" s="628">
        <v>20</v>
      </c>
      <c r="AA27" s="105"/>
      <c r="AB27" s="106"/>
    </row>
    <row customHeight="1" ht="19.5">
      <c r="E28" s="628">
        <v>20</v>
      </c>
      <c r="AA28" s="105"/>
      <c r="AB28" s="106"/>
    </row>
    <row customHeight="1" ht="19.5">
      <c r="E29" s="628">
        <v>20</v>
      </c>
      <c r="AA29" s="105"/>
      <c r="AB29" s="106"/>
    </row>
    <row customHeight="1" ht="19.5">
      <c r="E30" s="628">
        <v>20</v>
      </c>
      <c r="AA30" s="105"/>
      <c r="AB30" s="106"/>
    </row>
    <row customHeight="1" ht="19.5">
      <c r="E31" s="628">
        <v>20</v>
      </c>
      <c r="AA31" s="105"/>
      <c r="AB31" s="106"/>
    </row>
    <row customHeight="1" ht="19.5" hidden="1">
      <c r="A32" s="1459"/>
      <c r="B32" s="1416"/>
      <c r="C32" s="1459"/>
      <c r="D32" s="1459"/>
      <c r="E32" s="628">
        <v>20</v>
      </c>
      <c r="F32" s="1459"/>
      <c r="G32" s="1459"/>
      <c r="H32" s="1459"/>
      <c r="I32" s="1459"/>
      <c r="J32" s="1459"/>
      <c r="K32" s="1459"/>
      <c r="L32" s="1459"/>
      <c r="M32" s="1459"/>
      <c r="N32" s="1459"/>
      <c r="O32" s="1459"/>
      <c r="P32" s="1459"/>
      <c r="Q32" s="1459"/>
      <c r="R32" s="1459"/>
      <c r="S32" s="1459"/>
      <c r="T32" s="1459"/>
      <c r="U32" s="1459"/>
      <c r="V32" s="1459"/>
      <c r="W32" s="555">
        <f>ROW(Z32)&gt;ROW(Z$32)</f>
        <v>0</v>
      </c>
      <c r="X32" s="1459"/>
      <c r="Y32" s="104" t="s">
        <v>265</v>
      </c>
      <c r="Z32" s="1459"/>
      <c r="AA32" s="662" t="s">
        <v>175</v>
      </c>
      <c r="AB32" s="8446"/>
      <c r="AC32" s="1459"/>
    </row>
    <row customHeight="1" ht="19.5">
      <c r="E33" s="628">
        <v>20</v>
      </c>
      <c r="Y33" s="829" t="s">
        <v>408</v>
      </c>
      <c r="AA33" s="105"/>
      <c r="AB33" s="744" t="s">
        <v>409</v>
      </c>
    </row>
    <row customHeight="1" ht="11.25">
      <c r="AA34" s="105"/>
      <c r="AB34" s="105"/>
      <c r="AC34" s="426"/>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DF0148-9A7D-6F58-46B8-.F0E097CC5E3}" mc:Ignorable="x14ac xr xr2 xr3">
  <sheetPr>
    <tabColor rgb="FFFFCC99"/>
  </sheetPr>
  <dimension ref="A1:C230"/>
  <sheetViews>
    <sheetView topLeftCell="A1" showGridLines="0" workbookViewId="0">
      <selection activeCell="A1" sqref="A1"/>
    </sheetView>
  </sheetViews>
  <sheetFormatPr customHeight="1" defaultRowHeight="11.25"/>
  <cols>
    <col min="1" max="2" style="1806" width="36.57421875" customWidth="1"/>
    <col min="3" max="3" style="1806" width="12.57421875" customWidth="1"/>
  </cols>
  <sheetData>
    <row customHeight="1" ht="11.25">
      <c r="A1" s="1806" t="s">
        <v>3156</v>
      </c>
      <c r="B1" s="1806" t="s">
        <v>3157</v>
      </c>
      <c r="C1" s="1806" t="s">
        <v>3158</v>
      </c>
    </row>
    <row customHeight="1" ht="11.25">
      <c r="A2" s="1806" t="s">
        <v>3159</v>
      </c>
      <c r="B2" s="1806" t="s">
        <v>3159</v>
      </c>
      <c r="C2" s="1806" t="s">
        <v>3160</v>
      </c>
    </row>
    <row customHeight="1" ht="11.25">
      <c r="A3" s="1806" t="s">
        <v>3161</v>
      </c>
      <c r="B3" s="1806" t="s">
        <v>3161</v>
      </c>
      <c r="C3" s="1806" t="s">
        <v>3162</v>
      </c>
    </row>
    <row customHeight="1" ht="11.25">
      <c r="A4" s="1806" t="s">
        <v>3163</v>
      </c>
      <c r="B4" s="1806" t="s">
        <v>3163</v>
      </c>
      <c r="C4" s="1806" t="s">
        <v>3164</v>
      </c>
    </row>
    <row customHeight="1" ht="11.25">
      <c r="A5" s="1806" t="s">
        <v>3165</v>
      </c>
      <c r="B5" s="1806" t="s">
        <v>3165</v>
      </c>
      <c r="C5" s="1806" t="s">
        <v>3166</v>
      </c>
    </row>
    <row customHeight="1" ht="11.25">
      <c r="A6" s="1806" t="s">
        <v>3167</v>
      </c>
      <c r="B6" s="1806" t="s">
        <v>3167</v>
      </c>
      <c r="C6" s="1806" t="s">
        <v>3168</v>
      </c>
    </row>
    <row customHeight="1" ht="11.25">
      <c r="A7" s="1806" t="s">
        <v>3169</v>
      </c>
      <c r="B7" s="1806" t="s">
        <v>3169</v>
      </c>
      <c r="C7" s="1806" t="s">
        <v>3170</v>
      </c>
    </row>
    <row customHeight="1" ht="11.25">
      <c r="A8" s="1806" t="s">
        <v>3169</v>
      </c>
      <c r="B8" s="1806" t="s">
        <v>3169</v>
      </c>
      <c r="C8" s="1806" t="s">
        <v>3171</v>
      </c>
    </row>
    <row customHeight="1" ht="11.25">
      <c r="A9" s="1806" t="s">
        <v>3172</v>
      </c>
      <c r="B9" s="1806" t="s">
        <v>3172</v>
      </c>
      <c r="C9" s="1806" t="s">
        <v>3173</v>
      </c>
    </row>
    <row customHeight="1" ht="11.25">
      <c r="A10" s="1806" t="s">
        <v>3174</v>
      </c>
      <c r="B10" s="1806" t="s">
        <v>3174</v>
      </c>
      <c r="C10" s="1806" t="s">
        <v>3175</v>
      </c>
    </row>
    <row customHeight="1" ht="11.25">
      <c r="A11" s="1806" t="s">
        <v>3176</v>
      </c>
      <c r="B11" s="1806" t="s">
        <v>3176</v>
      </c>
      <c r="C11" s="1806" t="s">
        <v>3177</v>
      </c>
    </row>
    <row customHeight="1" ht="11.25">
      <c r="A12" s="1806" t="s">
        <v>3178</v>
      </c>
      <c r="B12" s="1806" t="s">
        <v>3178</v>
      </c>
      <c r="C12" s="1806" t="s">
        <v>3179</v>
      </c>
    </row>
    <row customHeight="1" ht="11.25">
      <c r="A13" s="1806" t="s">
        <v>3180</v>
      </c>
      <c r="B13" s="1806" t="s">
        <v>3180</v>
      </c>
      <c r="C13" s="1806" t="s">
        <v>3181</v>
      </c>
    </row>
    <row customHeight="1" ht="11.25">
      <c r="A14" s="1806" t="s">
        <v>3182</v>
      </c>
      <c r="B14" s="1806" t="s">
        <v>3182</v>
      </c>
      <c r="C14" s="1806" t="s">
        <v>3183</v>
      </c>
    </row>
    <row customHeight="1" ht="11.25">
      <c r="A15" s="1806" t="s">
        <v>3184</v>
      </c>
      <c r="B15" s="1806" t="s">
        <v>3184</v>
      </c>
      <c r="C15" s="1806" t="s">
        <v>3185</v>
      </c>
    </row>
    <row customHeight="1" ht="11.25">
      <c r="A16" s="1806" t="s">
        <v>3186</v>
      </c>
      <c r="B16" s="1806" t="s">
        <v>3186</v>
      </c>
      <c r="C16" s="1806" t="s">
        <v>3187</v>
      </c>
    </row>
    <row customHeight="1" ht="11.25">
      <c r="A17" s="1806" t="s">
        <v>3188</v>
      </c>
      <c r="B17" s="1806" t="s">
        <v>3188</v>
      </c>
      <c r="C17" s="1806" t="s">
        <v>3189</v>
      </c>
    </row>
    <row customHeight="1" ht="11.25">
      <c r="A18" s="1806" t="s">
        <v>3190</v>
      </c>
      <c r="B18" s="1806" t="s">
        <v>3190</v>
      </c>
      <c r="C18" s="1806" t="s">
        <v>3191</v>
      </c>
    </row>
    <row customHeight="1" ht="11.25">
      <c r="A19" s="1806" t="s">
        <v>3192</v>
      </c>
      <c r="B19" s="1806" t="s">
        <v>3192</v>
      </c>
      <c r="C19" s="1806" t="s">
        <v>3193</v>
      </c>
    </row>
    <row customHeight="1" ht="11.25">
      <c r="A20" s="1806" t="s">
        <v>3194</v>
      </c>
      <c r="B20" s="1806" t="s">
        <v>3194</v>
      </c>
      <c r="C20" s="1806" t="s">
        <v>3195</v>
      </c>
    </row>
    <row customHeight="1" ht="11.25">
      <c r="A21" s="1806" t="s">
        <v>3196</v>
      </c>
      <c r="B21" s="1806" t="s">
        <v>3196</v>
      </c>
      <c r="C21" s="1806" t="s">
        <v>3197</v>
      </c>
    </row>
    <row customHeight="1" ht="11.25">
      <c r="A22" s="1806" t="s">
        <v>3198</v>
      </c>
      <c r="B22" s="1806" t="s">
        <v>3199</v>
      </c>
      <c r="C22" s="1806" t="s">
        <v>3200</v>
      </c>
    </row>
    <row customHeight="1" ht="11.25">
      <c r="A23" s="1806" t="s">
        <v>3198</v>
      </c>
      <c r="B23" s="1806" t="s">
        <v>3201</v>
      </c>
      <c r="C23" s="1806" t="s">
        <v>3202</v>
      </c>
    </row>
    <row customHeight="1" ht="11.25">
      <c r="A24" s="1806" t="s">
        <v>3198</v>
      </c>
      <c r="B24" s="1806" t="s">
        <v>3203</v>
      </c>
      <c r="C24" s="1806" t="s">
        <v>3204</v>
      </c>
    </row>
    <row customHeight="1" ht="11.25">
      <c r="A25" s="1806" t="s">
        <v>3198</v>
      </c>
      <c r="B25" s="1806" t="s">
        <v>3205</v>
      </c>
      <c r="C25" s="1806" t="s">
        <v>3206</v>
      </c>
    </row>
    <row customHeight="1" ht="11.25">
      <c r="A26" s="1806" t="s">
        <v>3198</v>
      </c>
      <c r="B26" s="1806" t="s">
        <v>3207</v>
      </c>
      <c r="C26" s="1806" t="s">
        <v>3208</v>
      </c>
    </row>
    <row customHeight="1" ht="11.25">
      <c r="A27" s="1806" t="s">
        <v>3198</v>
      </c>
      <c r="B27" s="1806" t="s">
        <v>3209</v>
      </c>
      <c r="C27" s="1806" t="s">
        <v>3210</v>
      </c>
    </row>
    <row customHeight="1" ht="11.25">
      <c r="A28" s="1806" t="s">
        <v>3198</v>
      </c>
      <c r="B28" s="1806" t="s">
        <v>3211</v>
      </c>
      <c r="C28" s="1806" t="s">
        <v>3212</v>
      </c>
    </row>
    <row customHeight="1" ht="11.25">
      <c r="A29" s="1806" t="s">
        <v>3198</v>
      </c>
      <c r="B29" s="1806" t="s">
        <v>3213</v>
      </c>
      <c r="C29" s="1806" t="s">
        <v>3214</v>
      </c>
    </row>
    <row customHeight="1" ht="11.25">
      <c r="A30" s="1806" t="s">
        <v>3215</v>
      </c>
      <c r="B30" s="1806" t="s">
        <v>3216</v>
      </c>
      <c r="C30" s="1806" t="s">
        <v>3217</v>
      </c>
    </row>
    <row customHeight="1" ht="11.25">
      <c r="A31" s="1806" t="s">
        <v>3215</v>
      </c>
      <c r="B31" s="1806" t="s">
        <v>3218</v>
      </c>
      <c r="C31" s="1806" t="s">
        <v>3219</v>
      </c>
    </row>
    <row customHeight="1" ht="11.25">
      <c r="A32" s="1806" t="s">
        <v>3215</v>
      </c>
      <c r="B32" s="1806" t="s">
        <v>3220</v>
      </c>
      <c r="C32" s="1806" t="s">
        <v>3221</v>
      </c>
    </row>
    <row customHeight="1" ht="11.25">
      <c r="A33" s="1806" t="s">
        <v>3215</v>
      </c>
      <c r="B33" s="1806" t="s">
        <v>3222</v>
      </c>
      <c r="C33" s="1806" t="s">
        <v>3223</v>
      </c>
    </row>
    <row customHeight="1" ht="11.25">
      <c r="A34" s="1806" t="s">
        <v>3215</v>
      </c>
      <c r="B34" s="1806" t="s">
        <v>3224</v>
      </c>
      <c r="C34" s="1806" t="s">
        <v>3225</v>
      </c>
    </row>
    <row customHeight="1" ht="11.25">
      <c r="A35" s="1806" t="s">
        <v>3215</v>
      </c>
      <c r="B35" s="1806" t="s">
        <v>3226</v>
      </c>
      <c r="C35" s="1806" t="s">
        <v>3227</v>
      </c>
    </row>
    <row customHeight="1" ht="11.25">
      <c r="A36" s="1806" t="s">
        <v>3215</v>
      </c>
      <c r="B36" s="1806" t="s">
        <v>3228</v>
      </c>
      <c r="C36" s="1806" t="s">
        <v>3229</v>
      </c>
    </row>
    <row customHeight="1" ht="11.25">
      <c r="A37" s="1806" t="s">
        <v>3215</v>
      </c>
      <c r="B37" s="1806" t="s">
        <v>3230</v>
      </c>
      <c r="C37" s="1806" t="s">
        <v>3231</v>
      </c>
    </row>
    <row customHeight="1" ht="11.25">
      <c r="A38" s="1806" t="s">
        <v>3215</v>
      </c>
      <c r="B38" s="1806" t="s">
        <v>3232</v>
      </c>
      <c r="C38" s="1806" t="s">
        <v>3233</v>
      </c>
    </row>
    <row customHeight="1" ht="11.25">
      <c r="A39" s="1806" t="s">
        <v>3234</v>
      </c>
      <c r="B39" s="1806" t="s">
        <v>3235</v>
      </c>
      <c r="C39" s="1806" t="s">
        <v>3236</v>
      </c>
    </row>
    <row customHeight="1" ht="11.25">
      <c r="A40" s="1806" t="s">
        <v>3234</v>
      </c>
      <c r="B40" s="1806" t="s">
        <v>3237</v>
      </c>
      <c r="C40" s="1806" t="s">
        <v>3238</v>
      </c>
    </row>
    <row customHeight="1" ht="11.25">
      <c r="A41" s="1806" t="s">
        <v>3234</v>
      </c>
      <c r="B41" s="1806" t="s">
        <v>3239</v>
      </c>
      <c r="C41" s="1806" t="s">
        <v>3240</v>
      </c>
    </row>
    <row customHeight="1" ht="11.25">
      <c r="A42" s="1806" t="s">
        <v>3234</v>
      </c>
      <c r="B42" s="1806" t="s">
        <v>3241</v>
      </c>
      <c r="C42" s="1806" t="s">
        <v>3242</v>
      </c>
    </row>
    <row customHeight="1" ht="11.25">
      <c r="A43" s="1806" t="s">
        <v>3234</v>
      </c>
      <c r="B43" s="1806" t="s">
        <v>3243</v>
      </c>
      <c r="C43" s="1806" t="s">
        <v>3244</v>
      </c>
    </row>
    <row customHeight="1" ht="11.25">
      <c r="A44" s="1806" t="s">
        <v>3234</v>
      </c>
      <c r="B44" s="1806" t="s">
        <v>3245</v>
      </c>
      <c r="C44" s="1806" t="s">
        <v>3246</v>
      </c>
    </row>
    <row customHeight="1" ht="11.25">
      <c r="A45" s="1806" t="s">
        <v>3234</v>
      </c>
      <c r="B45" s="1806" t="s">
        <v>3247</v>
      </c>
      <c r="C45" s="1806" t="s">
        <v>3248</v>
      </c>
    </row>
    <row customHeight="1" ht="11.25">
      <c r="A46" s="1806" t="s">
        <v>3249</v>
      </c>
      <c r="B46" s="1806" t="s">
        <v>3250</v>
      </c>
      <c r="C46" s="1806" t="s">
        <v>3251</v>
      </c>
    </row>
    <row customHeight="1" ht="11.25">
      <c r="A47" s="1806" t="s">
        <v>3249</v>
      </c>
      <c r="B47" s="1806" t="s">
        <v>3252</v>
      </c>
      <c r="C47" s="1806" t="s">
        <v>3253</v>
      </c>
    </row>
    <row customHeight="1" ht="11.25">
      <c r="A48" s="1806" t="s">
        <v>3249</v>
      </c>
      <c r="B48" s="1806" t="s">
        <v>3254</v>
      </c>
      <c r="C48" s="1806" t="s">
        <v>3255</v>
      </c>
    </row>
    <row customHeight="1" ht="11.25">
      <c r="A49" s="1806" t="s">
        <v>3249</v>
      </c>
      <c r="B49" s="1806" t="s">
        <v>3256</v>
      </c>
      <c r="C49" s="1806" t="s">
        <v>3257</v>
      </c>
    </row>
    <row customHeight="1" ht="11.25">
      <c r="A50" s="1806" t="s">
        <v>3249</v>
      </c>
      <c r="B50" s="1806" t="s">
        <v>3258</v>
      </c>
      <c r="C50" s="1806" t="s">
        <v>3259</v>
      </c>
    </row>
    <row customHeight="1" ht="11.25">
      <c r="A51" s="1806" t="s">
        <v>3249</v>
      </c>
      <c r="B51" s="1806" t="s">
        <v>3260</v>
      </c>
      <c r="C51" s="1806" t="s">
        <v>3261</v>
      </c>
    </row>
    <row customHeight="1" ht="11.25">
      <c r="A52" s="1806" t="s">
        <v>3249</v>
      </c>
      <c r="B52" s="1806" t="s">
        <v>3262</v>
      </c>
      <c r="C52" s="1806" t="s">
        <v>3263</v>
      </c>
    </row>
    <row customHeight="1" ht="11.25">
      <c r="A53" s="1806" t="s">
        <v>3249</v>
      </c>
      <c r="B53" s="1806" t="s">
        <v>3264</v>
      </c>
      <c r="C53" s="1806" t="s">
        <v>3265</v>
      </c>
    </row>
    <row customHeight="1" ht="11.25">
      <c r="A54" s="1806" t="s">
        <v>3249</v>
      </c>
      <c r="B54" s="1806" t="s">
        <v>3266</v>
      </c>
      <c r="C54" s="1806" t="s">
        <v>3267</v>
      </c>
    </row>
    <row customHeight="1" ht="11.25">
      <c r="A55" s="1806" t="s">
        <v>3268</v>
      </c>
      <c r="B55" s="1806" t="s">
        <v>3268</v>
      </c>
      <c r="C55" s="1806" t="s">
        <v>3269</v>
      </c>
    </row>
    <row customHeight="1" ht="11.25">
      <c r="A56" s="1806" t="s">
        <v>3268</v>
      </c>
      <c r="B56" s="1806" t="s">
        <v>3270</v>
      </c>
      <c r="C56" s="1806" t="s">
        <v>3271</v>
      </c>
    </row>
    <row customHeight="1" ht="11.25">
      <c r="A57" s="1806" t="s">
        <v>3268</v>
      </c>
      <c r="B57" s="1806" t="s">
        <v>3272</v>
      </c>
      <c r="C57" s="1806" t="s">
        <v>3273</v>
      </c>
    </row>
    <row customHeight="1" ht="11.25">
      <c r="A58" s="1806" t="s">
        <v>3268</v>
      </c>
      <c r="B58" s="1806" t="s">
        <v>3274</v>
      </c>
      <c r="C58" s="1806" t="s">
        <v>3275</v>
      </c>
    </row>
    <row customHeight="1" ht="11.25">
      <c r="A59" s="1806" t="s">
        <v>3268</v>
      </c>
      <c r="B59" s="1806" t="s">
        <v>3276</v>
      </c>
      <c r="C59" s="1806" t="s">
        <v>3277</v>
      </c>
    </row>
    <row customHeight="1" ht="11.25">
      <c r="A60" s="1806" t="s">
        <v>3268</v>
      </c>
      <c r="B60" s="1806" t="s">
        <v>3278</v>
      </c>
      <c r="C60" s="1806" t="s">
        <v>3279</v>
      </c>
    </row>
    <row customHeight="1" ht="11.25">
      <c r="A61" s="1806" t="s">
        <v>3268</v>
      </c>
      <c r="B61" s="1806" t="s">
        <v>3280</v>
      </c>
      <c r="C61" s="1806" t="s">
        <v>3281</v>
      </c>
    </row>
    <row customHeight="1" ht="11.25">
      <c r="A62" s="1806" t="s">
        <v>3268</v>
      </c>
      <c r="B62" s="1806" t="s">
        <v>3282</v>
      </c>
      <c r="C62" s="1806" t="s">
        <v>3283</v>
      </c>
    </row>
    <row customHeight="1" ht="11.25">
      <c r="A63" s="1806" t="s">
        <v>3268</v>
      </c>
      <c r="B63" s="1806" t="s">
        <v>3284</v>
      </c>
      <c r="C63" s="1806" t="s">
        <v>3285</v>
      </c>
    </row>
    <row customHeight="1" ht="11.25">
      <c r="A64" s="1806" t="s">
        <v>3268</v>
      </c>
      <c r="B64" s="1806" t="s">
        <v>3286</v>
      </c>
      <c r="C64" s="1806" t="s">
        <v>3287</v>
      </c>
    </row>
    <row customHeight="1" ht="11.25">
      <c r="A65" s="1806" t="s">
        <v>3268</v>
      </c>
      <c r="B65" s="1806" t="s">
        <v>3288</v>
      </c>
      <c r="C65" s="1806" t="s">
        <v>3289</v>
      </c>
    </row>
    <row customHeight="1" ht="11.25">
      <c r="A66" s="1806" t="s">
        <v>3268</v>
      </c>
      <c r="B66" s="1806" t="s">
        <v>3290</v>
      </c>
      <c r="C66" s="1806" t="s">
        <v>3291</v>
      </c>
    </row>
    <row customHeight="1" ht="11.25">
      <c r="A67" s="1806" t="s">
        <v>3292</v>
      </c>
      <c r="B67" s="1806" t="s">
        <v>3292</v>
      </c>
      <c r="C67" s="1806" t="s">
        <v>3293</v>
      </c>
    </row>
    <row customHeight="1" ht="11.25">
      <c r="A68" s="1806" t="s">
        <v>3292</v>
      </c>
      <c r="B68" s="1806" t="s">
        <v>3294</v>
      </c>
      <c r="C68" s="1806" t="s">
        <v>3295</v>
      </c>
    </row>
    <row customHeight="1" ht="11.25">
      <c r="A69" s="1806" t="s">
        <v>3292</v>
      </c>
      <c r="B69" s="1806" t="s">
        <v>3296</v>
      </c>
      <c r="C69" s="1806" t="s">
        <v>3297</v>
      </c>
    </row>
    <row customHeight="1" ht="11.25">
      <c r="A70" s="1806" t="s">
        <v>3292</v>
      </c>
      <c r="B70" s="1806" t="s">
        <v>3298</v>
      </c>
      <c r="C70" s="1806" t="s">
        <v>3299</v>
      </c>
    </row>
    <row customHeight="1" ht="11.25">
      <c r="A71" s="1806" t="s">
        <v>3292</v>
      </c>
      <c r="B71" s="1806" t="s">
        <v>3300</v>
      </c>
      <c r="C71" s="1806" t="s">
        <v>3301</v>
      </c>
    </row>
    <row customHeight="1" ht="11.25">
      <c r="A72" s="1806" t="s">
        <v>3292</v>
      </c>
      <c r="B72" s="1806" t="s">
        <v>3302</v>
      </c>
      <c r="C72" s="1806" t="s">
        <v>3303</v>
      </c>
    </row>
    <row customHeight="1" ht="11.25">
      <c r="A73" s="1806" t="s">
        <v>3292</v>
      </c>
      <c r="B73" s="1806" t="s">
        <v>3304</v>
      </c>
      <c r="C73" s="1806" t="s">
        <v>3305</v>
      </c>
    </row>
    <row customHeight="1" ht="11.25">
      <c r="A74" s="1806" t="s">
        <v>3292</v>
      </c>
      <c r="B74" s="1806" t="s">
        <v>3306</v>
      </c>
      <c r="C74" s="1806" t="s">
        <v>3307</v>
      </c>
    </row>
    <row customHeight="1" ht="11.25">
      <c r="A75" s="1806" t="s">
        <v>3292</v>
      </c>
      <c r="B75" s="1806" t="s">
        <v>3308</v>
      </c>
      <c r="C75" s="1806" t="s">
        <v>3309</v>
      </c>
    </row>
    <row customHeight="1" ht="11.25">
      <c r="A76" s="1806" t="s">
        <v>3310</v>
      </c>
      <c r="B76" s="1806" t="s">
        <v>3311</v>
      </c>
      <c r="C76" s="1806" t="s">
        <v>3312</v>
      </c>
    </row>
    <row customHeight="1" ht="11.25">
      <c r="A77" s="1806" t="s">
        <v>3310</v>
      </c>
      <c r="B77" s="1806" t="s">
        <v>3313</v>
      </c>
      <c r="C77" s="1806" t="s">
        <v>3314</v>
      </c>
    </row>
    <row customHeight="1" ht="11.25">
      <c r="A78" s="1806" t="s">
        <v>3310</v>
      </c>
      <c r="B78" s="1806" t="s">
        <v>3315</v>
      </c>
      <c r="C78" s="1806" t="s">
        <v>3316</v>
      </c>
    </row>
    <row customHeight="1" ht="11.25">
      <c r="A79" s="1806" t="s">
        <v>3310</v>
      </c>
      <c r="B79" s="1806" t="s">
        <v>3317</v>
      </c>
      <c r="C79" s="1806" t="s">
        <v>3318</v>
      </c>
    </row>
    <row customHeight="1" ht="11.25">
      <c r="A80" s="1806" t="s">
        <v>3310</v>
      </c>
      <c r="B80" s="1806" t="s">
        <v>3319</v>
      </c>
      <c r="C80" s="1806" t="s">
        <v>3320</v>
      </c>
    </row>
    <row customHeight="1" ht="11.25">
      <c r="A81" s="1806" t="s">
        <v>3310</v>
      </c>
      <c r="B81" s="1806" t="s">
        <v>3321</v>
      </c>
      <c r="C81" s="1806" t="s">
        <v>3322</v>
      </c>
    </row>
    <row customHeight="1" ht="11.25">
      <c r="A82" s="1806" t="s">
        <v>3310</v>
      </c>
      <c r="B82" s="1806" t="s">
        <v>3323</v>
      </c>
      <c r="C82" s="1806" t="s">
        <v>3324</v>
      </c>
    </row>
    <row customHeight="1" ht="11.25">
      <c r="A83" s="1806" t="s">
        <v>3310</v>
      </c>
      <c r="B83" s="1806" t="s">
        <v>3325</v>
      </c>
      <c r="C83" s="1806" t="s">
        <v>3326</v>
      </c>
    </row>
    <row customHeight="1" ht="11.25">
      <c r="A84" s="1806" t="s">
        <v>3310</v>
      </c>
      <c r="B84" s="1806" t="s">
        <v>3327</v>
      </c>
      <c r="C84" s="1806" t="s">
        <v>3328</v>
      </c>
    </row>
    <row customHeight="1" ht="11.25">
      <c r="A85" s="1806" t="s">
        <v>3310</v>
      </c>
      <c r="B85" s="1806" t="s">
        <v>3329</v>
      </c>
      <c r="C85" s="1806" t="s">
        <v>3330</v>
      </c>
    </row>
    <row customHeight="1" ht="11.25">
      <c r="A86" s="1806" t="s">
        <v>3310</v>
      </c>
      <c r="B86" s="1806" t="s">
        <v>3331</v>
      </c>
      <c r="C86" s="1806" t="s">
        <v>3332</v>
      </c>
    </row>
    <row customHeight="1" ht="11.25">
      <c r="A87" s="1806" t="s">
        <v>3310</v>
      </c>
      <c r="B87" s="1806" t="s">
        <v>3333</v>
      </c>
      <c r="C87" s="1806" t="s">
        <v>3334</v>
      </c>
    </row>
    <row customHeight="1" ht="11.25">
      <c r="A88" s="1806" t="s">
        <v>3310</v>
      </c>
      <c r="B88" s="1806" t="s">
        <v>3335</v>
      </c>
      <c r="C88" s="1806" t="s">
        <v>3336</v>
      </c>
    </row>
    <row customHeight="1" ht="11.25">
      <c r="A89" s="1806" t="s">
        <v>3337</v>
      </c>
      <c r="B89" s="1806" t="s">
        <v>3337</v>
      </c>
      <c r="C89" s="1806" t="s">
        <v>3338</v>
      </c>
    </row>
    <row customHeight="1" ht="11.25">
      <c r="A90" s="1806" t="s">
        <v>3337</v>
      </c>
      <c r="B90" s="1806" t="s">
        <v>3339</v>
      </c>
      <c r="C90" s="1806" t="s">
        <v>3340</v>
      </c>
    </row>
    <row customHeight="1" ht="11.25">
      <c r="A91" s="1806" t="s">
        <v>3337</v>
      </c>
      <c r="B91" s="1806" t="s">
        <v>3341</v>
      </c>
      <c r="C91" s="1806" t="s">
        <v>3342</v>
      </c>
    </row>
    <row customHeight="1" ht="11.25">
      <c r="A92" s="1806" t="s">
        <v>3337</v>
      </c>
      <c r="B92" s="1806" t="s">
        <v>3343</v>
      </c>
      <c r="C92" s="1806" t="s">
        <v>3344</v>
      </c>
    </row>
    <row customHeight="1" ht="11.25">
      <c r="A93" s="1806" t="s">
        <v>3337</v>
      </c>
      <c r="B93" s="1806" t="s">
        <v>3345</v>
      </c>
      <c r="C93" s="1806" t="s">
        <v>3346</v>
      </c>
    </row>
    <row customHeight="1" ht="11.25">
      <c r="A94" s="1806" t="s">
        <v>3337</v>
      </c>
      <c r="B94" s="1806" t="s">
        <v>3347</v>
      </c>
      <c r="C94" s="1806" t="s">
        <v>3348</v>
      </c>
    </row>
    <row customHeight="1" ht="11.25">
      <c r="A95" s="1806" t="s">
        <v>3337</v>
      </c>
      <c r="B95" s="1806" t="s">
        <v>3349</v>
      </c>
      <c r="C95" s="1806" t="s">
        <v>3350</v>
      </c>
    </row>
    <row customHeight="1" ht="11.25">
      <c r="A96" s="1806" t="s">
        <v>3337</v>
      </c>
      <c r="B96" s="1806" t="s">
        <v>3347</v>
      </c>
      <c r="C96" s="1806" t="s">
        <v>3351</v>
      </c>
    </row>
    <row customHeight="1" ht="11.25">
      <c r="A97" s="1806" t="s">
        <v>3337</v>
      </c>
      <c r="B97" s="1806" t="s">
        <v>3352</v>
      </c>
      <c r="C97" s="1806" t="s">
        <v>3353</v>
      </c>
    </row>
    <row customHeight="1" ht="11.25">
      <c r="A98" s="1806" t="s">
        <v>3337</v>
      </c>
      <c r="B98" s="1806" t="s">
        <v>3354</v>
      </c>
      <c r="C98" s="1806" t="s">
        <v>3355</v>
      </c>
    </row>
    <row customHeight="1" ht="11.25">
      <c r="A99" s="1806" t="s">
        <v>3337</v>
      </c>
      <c r="B99" s="1806" t="s">
        <v>3356</v>
      </c>
      <c r="C99" s="1806" t="s">
        <v>3357</v>
      </c>
    </row>
    <row customHeight="1" ht="11.25">
      <c r="A100" s="1806" t="s">
        <v>3337</v>
      </c>
      <c r="B100" s="1806" t="s">
        <v>3358</v>
      </c>
      <c r="C100" s="1806" t="s">
        <v>3359</v>
      </c>
    </row>
    <row customHeight="1" ht="11.25">
      <c r="A101" s="1806" t="s">
        <v>3337</v>
      </c>
      <c r="B101" s="1806" t="s">
        <v>3360</v>
      </c>
      <c r="C101" s="1806" t="s">
        <v>3361</v>
      </c>
    </row>
    <row customHeight="1" ht="11.25">
      <c r="A102" s="1806" t="s">
        <v>3337</v>
      </c>
      <c r="B102" s="1806" t="s">
        <v>3362</v>
      </c>
      <c r="C102" s="1806" t="s">
        <v>3363</v>
      </c>
    </row>
    <row customHeight="1" ht="11.25">
      <c r="A103" s="1806" t="s">
        <v>3337</v>
      </c>
      <c r="B103" s="1806" t="s">
        <v>3364</v>
      </c>
      <c r="C103" s="1806" t="s">
        <v>3365</v>
      </c>
    </row>
    <row customHeight="1" ht="11.25">
      <c r="A104" s="1806" t="s">
        <v>3337</v>
      </c>
      <c r="B104" s="1806" t="s">
        <v>3366</v>
      </c>
      <c r="C104" s="1806" t="s">
        <v>3367</v>
      </c>
    </row>
    <row customHeight="1" ht="11.25">
      <c r="A105" s="1806" t="s">
        <v>3337</v>
      </c>
      <c r="B105" s="1806" t="s">
        <v>3368</v>
      </c>
      <c r="C105" s="1806" t="s">
        <v>3369</v>
      </c>
    </row>
    <row customHeight="1" ht="11.25">
      <c r="A106" s="1806" t="s">
        <v>3337</v>
      </c>
      <c r="B106" s="1806" t="s">
        <v>3368</v>
      </c>
      <c r="C106" s="1806" t="s">
        <v>3370</v>
      </c>
    </row>
    <row customHeight="1" ht="11.25">
      <c r="A107" s="1806" t="s">
        <v>3337</v>
      </c>
      <c r="B107" s="1806" t="s">
        <v>3339</v>
      </c>
      <c r="C107" s="1806" t="s">
        <v>3371</v>
      </c>
    </row>
    <row customHeight="1" ht="11.25">
      <c r="A108" s="1806" t="s">
        <v>3372</v>
      </c>
      <c r="B108" s="1806" t="s">
        <v>3373</v>
      </c>
      <c r="C108" s="1806" t="s">
        <v>3374</v>
      </c>
    </row>
    <row customHeight="1" ht="11.25">
      <c r="A109" s="1806" t="s">
        <v>3372</v>
      </c>
      <c r="B109" s="1806" t="s">
        <v>3375</v>
      </c>
      <c r="C109" s="1806" t="s">
        <v>3376</v>
      </c>
    </row>
    <row customHeight="1" ht="11.25">
      <c r="A110" s="1806" t="s">
        <v>3372</v>
      </c>
      <c r="B110" s="1806" t="s">
        <v>3377</v>
      </c>
      <c r="C110" s="1806" t="s">
        <v>3378</v>
      </c>
    </row>
    <row customHeight="1" ht="11.25">
      <c r="A111" s="1806" t="s">
        <v>3372</v>
      </c>
      <c r="B111" s="1806" t="s">
        <v>3379</v>
      </c>
      <c r="C111" s="1806" t="s">
        <v>3380</v>
      </c>
    </row>
    <row customHeight="1" ht="11.25">
      <c r="A112" s="1806" t="s">
        <v>3372</v>
      </c>
      <c r="B112" s="1806" t="s">
        <v>3381</v>
      </c>
      <c r="C112" s="1806" t="s">
        <v>3382</v>
      </c>
    </row>
    <row customHeight="1" ht="11.25">
      <c r="A113" s="1806" t="s">
        <v>3372</v>
      </c>
      <c r="B113" s="1806" t="s">
        <v>3383</v>
      </c>
      <c r="C113" s="1806" t="s">
        <v>3384</v>
      </c>
    </row>
    <row customHeight="1" ht="11.25">
      <c r="A114" s="1806" t="s">
        <v>3372</v>
      </c>
      <c r="B114" s="1806" t="s">
        <v>3385</v>
      </c>
      <c r="C114" s="1806" t="s">
        <v>3386</v>
      </c>
    </row>
    <row customHeight="1" ht="11.25">
      <c r="A115" s="1806" t="s">
        <v>3372</v>
      </c>
      <c r="B115" s="1806" t="s">
        <v>3387</v>
      </c>
      <c r="C115" s="1806" t="s">
        <v>3388</v>
      </c>
    </row>
    <row customHeight="1" ht="11.25">
      <c r="A116" s="1806" t="s">
        <v>3372</v>
      </c>
      <c r="B116" s="1806" t="s">
        <v>3389</v>
      </c>
      <c r="C116" s="1806" t="s">
        <v>3390</v>
      </c>
    </row>
    <row customHeight="1" ht="11.25">
      <c r="A117" s="1806" t="s">
        <v>3372</v>
      </c>
      <c r="B117" s="1806" t="s">
        <v>3391</v>
      </c>
      <c r="C117" s="1806" t="s">
        <v>3392</v>
      </c>
    </row>
    <row customHeight="1" ht="11.25">
      <c r="A118" s="1806" t="s">
        <v>3393</v>
      </c>
      <c r="B118" s="1806" t="s">
        <v>3393</v>
      </c>
      <c r="C118" s="1806" t="s">
        <v>3394</v>
      </c>
    </row>
    <row customHeight="1" ht="11.25">
      <c r="A119" s="1806" t="s">
        <v>3393</v>
      </c>
      <c r="B119" s="1806" t="s">
        <v>3395</v>
      </c>
      <c r="C119" s="1806" t="s">
        <v>3396</v>
      </c>
    </row>
    <row customHeight="1" ht="11.25">
      <c r="A120" s="1806" t="s">
        <v>3393</v>
      </c>
      <c r="B120" s="1806" t="s">
        <v>3397</v>
      </c>
      <c r="C120" s="1806" t="s">
        <v>3398</v>
      </c>
    </row>
    <row customHeight="1" ht="11.25">
      <c r="A121" s="1806" t="s">
        <v>3393</v>
      </c>
      <c r="B121" s="1806" t="s">
        <v>3399</v>
      </c>
      <c r="C121" s="1806" t="s">
        <v>3400</v>
      </c>
    </row>
    <row customHeight="1" ht="11.25">
      <c r="A122" s="1806" t="s">
        <v>3393</v>
      </c>
      <c r="B122" s="1806" t="s">
        <v>3401</v>
      </c>
      <c r="C122" s="1806" t="s">
        <v>3402</v>
      </c>
    </row>
    <row customHeight="1" ht="11.25">
      <c r="A123" s="1806" t="s">
        <v>3393</v>
      </c>
      <c r="B123" s="1806" t="s">
        <v>3403</v>
      </c>
      <c r="C123" s="1806" t="s">
        <v>3404</v>
      </c>
    </row>
    <row customHeight="1" ht="11.25">
      <c r="A124" s="1806" t="s">
        <v>3393</v>
      </c>
      <c r="B124" s="1806" t="s">
        <v>3405</v>
      </c>
      <c r="C124" s="1806" t="s">
        <v>3406</v>
      </c>
    </row>
    <row customHeight="1" ht="11.25">
      <c r="A125" s="1806" t="s">
        <v>3393</v>
      </c>
      <c r="B125" s="1806" t="s">
        <v>3407</v>
      </c>
      <c r="C125" s="1806" t="s">
        <v>3408</v>
      </c>
    </row>
    <row customHeight="1" ht="11.25">
      <c r="A126" s="1806" t="s">
        <v>3393</v>
      </c>
      <c r="B126" s="1806" t="s">
        <v>3409</v>
      </c>
      <c r="C126" s="1806" t="s">
        <v>3410</v>
      </c>
    </row>
    <row customHeight="1" ht="11.25">
      <c r="A127" s="1806" t="s">
        <v>3393</v>
      </c>
      <c r="B127" s="1806" t="s">
        <v>3411</v>
      </c>
      <c r="C127" s="1806" t="s">
        <v>3412</v>
      </c>
    </row>
    <row customHeight="1" ht="11.25">
      <c r="A128" s="1806" t="s">
        <v>3393</v>
      </c>
      <c r="B128" s="1806" t="s">
        <v>3413</v>
      </c>
      <c r="C128" s="1806" t="s">
        <v>3414</v>
      </c>
    </row>
    <row customHeight="1" ht="11.25">
      <c r="A129" s="1806" t="s">
        <v>3393</v>
      </c>
      <c r="B129" s="1806" t="s">
        <v>3415</v>
      </c>
      <c r="C129" s="1806" t="s">
        <v>3416</v>
      </c>
    </row>
    <row customHeight="1" ht="11.25">
      <c r="A130" s="1806" t="s">
        <v>3417</v>
      </c>
      <c r="B130" s="1806" t="s">
        <v>3418</v>
      </c>
      <c r="C130" s="1806" t="s">
        <v>3419</v>
      </c>
    </row>
    <row customHeight="1" ht="11.25">
      <c r="A131" s="1806" t="s">
        <v>3417</v>
      </c>
      <c r="B131" s="1806" t="s">
        <v>3420</v>
      </c>
      <c r="C131" s="1806" t="s">
        <v>3421</v>
      </c>
    </row>
    <row customHeight="1" ht="11.25">
      <c r="A132" s="1806" t="s">
        <v>3417</v>
      </c>
      <c r="B132" s="1806" t="s">
        <v>3422</v>
      </c>
      <c r="C132" s="1806" t="s">
        <v>3423</v>
      </c>
    </row>
    <row customHeight="1" ht="11.25">
      <c r="A133" s="1806" t="s">
        <v>3417</v>
      </c>
      <c r="B133" s="1806" t="s">
        <v>3424</v>
      </c>
      <c r="C133" s="1806" t="s">
        <v>3425</v>
      </c>
    </row>
    <row customHeight="1" ht="11.25">
      <c r="A134" s="1806" t="s">
        <v>3417</v>
      </c>
      <c r="B134" s="1806" t="s">
        <v>3426</v>
      </c>
      <c r="C134" s="1806" t="s">
        <v>3427</v>
      </c>
    </row>
    <row customHeight="1" ht="11.25">
      <c r="A135" s="1806" t="s">
        <v>3417</v>
      </c>
      <c r="B135" s="1806" t="s">
        <v>3428</v>
      </c>
      <c r="C135" s="1806" t="s">
        <v>3429</v>
      </c>
    </row>
    <row customHeight="1" ht="11.25">
      <c r="A136" s="1806" t="s">
        <v>3417</v>
      </c>
      <c r="B136" s="1806" t="s">
        <v>3430</v>
      </c>
      <c r="C136" s="1806" t="s">
        <v>3431</v>
      </c>
    </row>
    <row customHeight="1" ht="11.25">
      <c r="A137" s="1806" t="s">
        <v>3417</v>
      </c>
      <c r="B137" s="1806" t="s">
        <v>3432</v>
      </c>
      <c r="C137" s="1806" t="s">
        <v>3433</v>
      </c>
    </row>
    <row customHeight="1" ht="11.25">
      <c r="A138" s="1806" t="s">
        <v>3417</v>
      </c>
      <c r="B138" s="1806" t="s">
        <v>3434</v>
      </c>
      <c r="C138" s="1806" t="s">
        <v>3435</v>
      </c>
    </row>
    <row customHeight="1" ht="11.25">
      <c r="A139" s="1806" t="s">
        <v>3417</v>
      </c>
      <c r="B139" s="1806" t="s">
        <v>3436</v>
      </c>
      <c r="C139" s="1806" t="s">
        <v>3437</v>
      </c>
    </row>
    <row customHeight="1" ht="11.25">
      <c r="A140" s="1806" t="s">
        <v>3438</v>
      </c>
      <c r="B140" s="1806" t="s">
        <v>3438</v>
      </c>
      <c r="C140" s="1806" t="s">
        <v>3439</v>
      </c>
    </row>
    <row customHeight="1" ht="11.25">
      <c r="A141" s="1806" t="s">
        <v>3438</v>
      </c>
      <c r="B141" s="1806" t="s">
        <v>3440</v>
      </c>
      <c r="C141" s="1806" t="s">
        <v>3441</v>
      </c>
    </row>
    <row customHeight="1" ht="11.25">
      <c r="A142" s="1806" t="s">
        <v>3438</v>
      </c>
      <c r="B142" s="1806" t="s">
        <v>3442</v>
      </c>
      <c r="C142" s="1806" t="s">
        <v>3443</v>
      </c>
    </row>
    <row customHeight="1" ht="11.25">
      <c r="A143" s="1806" t="s">
        <v>3438</v>
      </c>
      <c r="B143" s="1806" t="s">
        <v>3444</v>
      </c>
      <c r="C143" s="1806" t="s">
        <v>3445</v>
      </c>
    </row>
    <row customHeight="1" ht="11.25">
      <c r="A144" s="1806" t="s">
        <v>3438</v>
      </c>
      <c r="B144" s="1806" t="s">
        <v>3446</v>
      </c>
      <c r="C144" s="1806" t="s">
        <v>3447</v>
      </c>
    </row>
    <row customHeight="1" ht="11.25">
      <c r="A145" s="1806" t="s">
        <v>3438</v>
      </c>
      <c r="B145" s="1806" t="s">
        <v>3448</v>
      </c>
      <c r="C145" s="1806" t="s">
        <v>3449</v>
      </c>
    </row>
    <row customHeight="1" ht="11.25">
      <c r="A146" s="1806" t="s">
        <v>3438</v>
      </c>
      <c r="B146" s="1806" t="s">
        <v>3450</v>
      </c>
      <c r="C146" s="1806" t="s">
        <v>3451</v>
      </c>
    </row>
    <row customHeight="1" ht="11.25">
      <c r="A147" s="1806" t="s">
        <v>3438</v>
      </c>
      <c r="B147" s="1806" t="s">
        <v>3452</v>
      </c>
      <c r="C147" s="1806" t="s">
        <v>3453</v>
      </c>
    </row>
    <row customHeight="1" ht="11.25">
      <c r="A148" s="1806" t="s">
        <v>3438</v>
      </c>
      <c r="B148" s="1806" t="s">
        <v>3454</v>
      </c>
      <c r="C148" s="1806" t="s">
        <v>3455</v>
      </c>
    </row>
    <row customHeight="1" ht="11.25">
      <c r="A149" s="1806" t="s">
        <v>3438</v>
      </c>
      <c r="B149" s="1806" t="s">
        <v>3456</v>
      </c>
      <c r="C149" s="1806" t="s">
        <v>3457</v>
      </c>
    </row>
    <row customHeight="1" ht="11.25">
      <c r="A150" s="1806" t="s">
        <v>3438</v>
      </c>
      <c r="B150" s="1806" t="s">
        <v>3458</v>
      </c>
      <c r="C150" s="1806" t="s">
        <v>3459</v>
      </c>
    </row>
    <row customHeight="1" ht="11.25">
      <c r="A151" s="1806" t="s">
        <v>3438</v>
      </c>
      <c r="B151" s="1806" t="s">
        <v>3460</v>
      </c>
      <c r="C151" s="1806" t="s">
        <v>3461</v>
      </c>
    </row>
    <row customHeight="1" ht="11.25">
      <c r="A152" s="1806" t="s">
        <v>3438</v>
      </c>
      <c r="B152" s="1806" t="s">
        <v>3462</v>
      </c>
      <c r="C152" s="1806" t="s">
        <v>3463</v>
      </c>
    </row>
    <row customHeight="1" ht="11.25">
      <c r="A153" s="1806" t="s">
        <v>3438</v>
      </c>
      <c r="B153" s="1806" t="s">
        <v>3464</v>
      </c>
      <c r="C153" s="1806" t="s">
        <v>3465</v>
      </c>
    </row>
    <row customHeight="1" ht="11.25">
      <c r="A154" s="1806" t="s">
        <v>3466</v>
      </c>
      <c r="B154" s="1806" t="s">
        <v>3467</v>
      </c>
      <c r="C154" s="1806" t="s">
        <v>3468</v>
      </c>
    </row>
    <row customHeight="1" ht="11.25">
      <c r="A155" s="1806" t="s">
        <v>3466</v>
      </c>
      <c r="B155" s="1806" t="s">
        <v>3469</v>
      </c>
      <c r="C155" s="1806" t="s">
        <v>3470</v>
      </c>
    </row>
    <row customHeight="1" ht="11.25">
      <c r="A156" s="1806" t="s">
        <v>3466</v>
      </c>
      <c r="B156" s="1806" t="s">
        <v>3471</v>
      </c>
      <c r="C156" s="1806" t="s">
        <v>3472</v>
      </c>
    </row>
    <row customHeight="1" ht="11.25">
      <c r="A157" s="1806" t="s">
        <v>3466</v>
      </c>
      <c r="B157" s="1806" t="s">
        <v>3473</v>
      </c>
      <c r="C157" s="1806" t="s">
        <v>3474</v>
      </c>
    </row>
    <row customHeight="1" ht="11.25">
      <c r="A158" s="1806" t="s">
        <v>3466</v>
      </c>
      <c r="B158" s="1806" t="s">
        <v>3475</v>
      </c>
      <c r="C158" s="1806" t="s">
        <v>3476</v>
      </c>
    </row>
    <row customHeight="1" ht="11.25">
      <c r="A159" s="1806" t="s">
        <v>3466</v>
      </c>
      <c r="B159" s="1806" t="s">
        <v>3477</v>
      </c>
      <c r="C159" s="1806" t="s">
        <v>3478</v>
      </c>
    </row>
    <row customHeight="1" ht="11.25">
      <c r="A160" s="1806" t="s">
        <v>3466</v>
      </c>
      <c r="B160" s="1806" t="s">
        <v>3479</v>
      </c>
      <c r="C160" s="1806" t="s">
        <v>3480</v>
      </c>
    </row>
    <row customHeight="1" ht="11.25">
      <c r="A161" s="1806" t="s">
        <v>3466</v>
      </c>
      <c r="B161" s="1806" t="s">
        <v>3481</v>
      </c>
      <c r="C161" s="1806" t="s">
        <v>3482</v>
      </c>
    </row>
    <row customHeight="1" ht="11.25">
      <c r="A162" s="1806" t="s">
        <v>3466</v>
      </c>
      <c r="B162" s="1806" t="s">
        <v>3483</v>
      </c>
      <c r="C162" s="1806" t="s">
        <v>3484</v>
      </c>
    </row>
    <row customHeight="1" ht="11.25">
      <c r="A163" s="1806" t="s">
        <v>3466</v>
      </c>
      <c r="B163" s="1806" t="s">
        <v>3485</v>
      </c>
      <c r="C163" s="1806" t="s">
        <v>3486</v>
      </c>
    </row>
    <row customHeight="1" ht="11.25">
      <c r="A164" s="1806" t="s">
        <v>3466</v>
      </c>
      <c r="B164" s="1806" t="s">
        <v>3487</v>
      </c>
      <c r="C164" s="1806" t="s">
        <v>3488</v>
      </c>
    </row>
    <row customHeight="1" ht="11.25">
      <c r="A165" s="1806" t="s">
        <v>3466</v>
      </c>
      <c r="B165" s="1806" t="s">
        <v>3489</v>
      </c>
      <c r="C165" s="1806" t="s">
        <v>3490</v>
      </c>
    </row>
    <row customHeight="1" ht="11.25">
      <c r="A166" s="1806" t="s">
        <v>3491</v>
      </c>
      <c r="B166" s="1806" t="s">
        <v>3492</v>
      </c>
      <c r="C166" s="1806" t="s">
        <v>3493</v>
      </c>
    </row>
    <row customHeight="1" ht="11.25">
      <c r="A167" s="1806" t="s">
        <v>3491</v>
      </c>
      <c r="B167" s="1806" t="s">
        <v>3494</v>
      </c>
      <c r="C167" s="1806" t="s">
        <v>3495</v>
      </c>
    </row>
    <row customHeight="1" ht="11.25">
      <c r="A168" s="1806" t="s">
        <v>3491</v>
      </c>
      <c r="B168" s="1806" t="s">
        <v>3496</v>
      </c>
      <c r="C168" s="1806" t="s">
        <v>3497</v>
      </c>
    </row>
    <row customHeight="1" ht="11.25">
      <c r="A169" s="1806" t="s">
        <v>3491</v>
      </c>
      <c r="B169" s="1806" t="s">
        <v>3498</v>
      </c>
      <c r="C169" s="1806" t="s">
        <v>3499</v>
      </c>
    </row>
    <row customHeight="1" ht="11.25">
      <c r="A170" s="1806" t="s">
        <v>3491</v>
      </c>
      <c r="B170" s="1806" t="s">
        <v>3500</v>
      </c>
      <c r="C170" s="1806" t="s">
        <v>3501</v>
      </c>
    </row>
    <row customHeight="1" ht="11.25">
      <c r="A171" s="1806" t="s">
        <v>3491</v>
      </c>
      <c r="B171" s="1806" t="s">
        <v>3502</v>
      </c>
      <c r="C171" s="1806" t="s">
        <v>3503</v>
      </c>
    </row>
    <row customHeight="1" ht="11.25">
      <c r="A172" s="1806" t="s">
        <v>3491</v>
      </c>
      <c r="B172" s="1806" t="s">
        <v>3504</v>
      </c>
      <c r="C172" s="1806" t="s">
        <v>3505</v>
      </c>
    </row>
    <row customHeight="1" ht="11.25">
      <c r="A173" s="1806" t="s">
        <v>3491</v>
      </c>
      <c r="B173" s="1806" t="s">
        <v>3506</v>
      </c>
      <c r="C173" s="1806" t="s">
        <v>3507</v>
      </c>
    </row>
    <row customHeight="1" ht="11.25">
      <c r="A174" s="1806" t="s">
        <v>3491</v>
      </c>
      <c r="B174" s="1806" t="s">
        <v>3508</v>
      </c>
      <c r="C174" s="1806" t="s">
        <v>3509</v>
      </c>
    </row>
    <row customHeight="1" ht="11.25">
      <c r="A175" s="1806" t="s">
        <v>3491</v>
      </c>
      <c r="B175" s="1806" t="s">
        <v>3510</v>
      </c>
      <c r="C175" s="1806" t="s">
        <v>3511</v>
      </c>
    </row>
    <row customHeight="1" ht="11.25">
      <c r="A176" s="1806" t="s">
        <v>3491</v>
      </c>
      <c r="B176" s="1806" t="s">
        <v>3512</v>
      </c>
      <c r="C176" s="1806" t="s">
        <v>3513</v>
      </c>
    </row>
    <row customHeight="1" ht="11.25">
      <c r="A177" s="1806" t="s">
        <v>3491</v>
      </c>
      <c r="B177" s="1806" t="s">
        <v>3514</v>
      </c>
      <c r="C177" s="1806" t="s">
        <v>3515</v>
      </c>
    </row>
    <row customHeight="1" ht="11.25">
      <c r="A178" s="1806" t="s">
        <v>3516</v>
      </c>
      <c r="B178" s="1806" t="s">
        <v>3517</v>
      </c>
      <c r="C178" s="1806" t="s">
        <v>3518</v>
      </c>
    </row>
    <row customHeight="1" ht="11.25">
      <c r="A179" s="1806" t="s">
        <v>3516</v>
      </c>
      <c r="B179" s="1806" t="s">
        <v>3519</v>
      </c>
      <c r="C179" s="1806" t="s">
        <v>3520</v>
      </c>
    </row>
    <row customHeight="1" ht="11.25">
      <c r="A180" s="1806" t="s">
        <v>3516</v>
      </c>
      <c r="B180" s="1806" t="s">
        <v>3521</v>
      </c>
      <c r="C180" s="1806" t="s">
        <v>3522</v>
      </c>
    </row>
    <row customHeight="1" ht="11.25">
      <c r="A181" s="1806" t="s">
        <v>3516</v>
      </c>
      <c r="B181" s="1806" t="s">
        <v>3523</v>
      </c>
      <c r="C181" s="1806" t="s">
        <v>3524</v>
      </c>
    </row>
    <row customHeight="1" ht="11.25">
      <c r="A182" s="1806" t="s">
        <v>3516</v>
      </c>
      <c r="B182" s="1806" t="s">
        <v>3525</v>
      </c>
      <c r="C182" s="1806" t="s">
        <v>3526</v>
      </c>
    </row>
    <row customHeight="1" ht="11.25">
      <c r="A183" s="1806" t="s">
        <v>3516</v>
      </c>
      <c r="B183" s="1806" t="s">
        <v>3527</v>
      </c>
      <c r="C183" s="1806" t="s">
        <v>3528</v>
      </c>
    </row>
    <row customHeight="1" ht="11.25">
      <c r="A184" s="1806" t="s">
        <v>3516</v>
      </c>
      <c r="B184" s="1806" t="s">
        <v>3529</v>
      </c>
      <c r="C184" s="1806" t="s">
        <v>3530</v>
      </c>
    </row>
    <row customHeight="1" ht="11.25">
      <c r="A185" s="1806" t="s">
        <v>3531</v>
      </c>
      <c r="B185" s="1806" t="s">
        <v>3532</v>
      </c>
      <c r="C185" s="1806" t="s">
        <v>3533</v>
      </c>
    </row>
    <row customHeight="1" ht="11.25">
      <c r="A186" s="1806" t="s">
        <v>3531</v>
      </c>
      <c r="B186" s="1806" t="s">
        <v>3534</v>
      </c>
      <c r="C186" s="1806" t="s">
        <v>3535</v>
      </c>
    </row>
    <row customHeight="1" ht="11.25">
      <c r="A187" s="1806" t="s">
        <v>3531</v>
      </c>
      <c r="B187" s="1806" t="s">
        <v>3536</v>
      </c>
      <c r="C187" s="1806" t="s">
        <v>3537</v>
      </c>
    </row>
    <row customHeight="1" ht="11.25">
      <c r="A188" s="1806" t="s">
        <v>3531</v>
      </c>
      <c r="B188" s="1806" t="s">
        <v>3538</v>
      </c>
      <c r="C188" s="1806" t="s">
        <v>3539</v>
      </c>
    </row>
    <row customHeight="1" ht="11.25">
      <c r="A189" s="1806" t="s">
        <v>3531</v>
      </c>
      <c r="B189" s="1806" t="s">
        <v>3540</v>
      </c>
      <c r="C189" s="1806" t="s">
        <v>3541</v>
      </c>
    </row>
    <row customHeight="1" ht="11.25">
      <c r="A190" s="1806" t="s">
        <v>3531</v>
      </c>
      <c r="B190" s="1806" t="s">
        <v>3542</v>
      </c>
      <c r="C190" s="1806" t="s">
        <v>3543</v>
      </c>
    </row>
    <row customHeight="1" ht="11.25">
      <c r="A191" s="1806" t="s">
        <v>3531</v>
      </c>
      <c r="B191" s="1806" t="s">
        <v>3544</v>
      </c>
      <c r="C191" s="1806" t="s">
        <v>3545</v>
      </c>
    </row>
    <row customHeight="1" ht="11.25">
      <c r="A192" s="1806" t="s">
        <v>3531</v>
      </c>
      <c r="B192" s="1806" t="s">
        <v>3546</v>
      </c>
      <c r="C192" s="1806" t="s">
        <v>3547</v>
      </c>
    </row>
    <row customHeight="1" ht="11.25">
      <c r="A193" s="1806" t="s">
        <v>3531</v>
      </c>
      <c r="B193" s="1806" t="s">
        <v>3548</v>
      </c>
      <c r="C193" s="1806" t="s">
        <v>3549</v>
      </c>
    </row>
    <row customHeight="1" ht="11.25">
      <c r="A194" s="1806" t="s">
        <v>3550</v>
      </c>
      <c r="B194" s="1806" t="s">
        <v>3551</v>
      </c>
      <c r="C194" s="1806" t="s">
        <v>3552</v>
      </c>
    </row>
    <row customHeight="1" ht="11.25">
      <c r="A195" s="1806" t="s">
        <v>3550</v>
      </c>
      <c r="B195" s="1806" t="s">
        <v>3553</v>
      </c>
      <c r="C195" s="1806" t="s">
        <v>3554</v>
      </c>
    </row>
    <row customHeight="1" ht="11.25">
      <c r="A196" s="1806" t="s">
        <v>3550</v>
      </c>
      <c r="B196" s="1806" t="s">
        <v>3555</v>
      </c>
      <c r="C196" s="1806" t="s">
        <v>3556</v>
      </c>
    </row>
    <row customHeight="1" ht="11.25">
      <c r="A197" s="1806" t="s">
        <v>3550</v>
      </c>
      <c r="B197" s="1806" t="s">
        <v>3557</v>
      </c>
      <c r="C197" s="1806" t="s">
        <v>3558</v>
      </c>
    </row>
    <row customHeight="1" ht="11.25">
      <c r="A198" s="1806" t="s">
        <v>3550</v>
      </c>
      <c r="B198" s="1806" t="s">
        <v>3559</v>
      </c>
      <c r="C198" s="1806" t="s">
        <v>3560</v>
      </c>
    </row>
    <row customHeight="1" ht="11.25">
      <c r="A199" s="1806" t="s">
        <v>3550</v>
      </c>
      <c r="B199" s="1806" t="s">
        <v>3561</v>
      </c>
      <c r="C199" s="1806" t="s">
        <v>3562</v>
      </c>
    </row>
    <row customHeight="1" ht="11.25">
      <c r="A200" s="1806" t="s">
        <v>3550</v>
      </c>
      <c r="B200" s="1806" t="s">
        <v>3563</v>
      </c>
      <c r="C200" s="1806" t="s">
        <v>3564</v>
      </c>
    </row>
    <row customHeight="1" ht="11.25">
      <c r="A201" s="1806" t="s">
        <v>3550</v>
      </c>
      <c r="B201" s="1806" t="s">
        <v>3565</v>
      </c>
      <c r="C201" s="1806" t="s">
        <v>3566</v>
      </c>
    </row>
    <row customHeight="1" ht="11.25">
      <c r="A202" s="1806" t="s">
        <v>3550</v>
      </c>
      <c r="B202" s="1806" t="s">
        <v>3567</v>
      </c>
      <c r="C202" s="1806" t="s">
        <v>3568</v>
      </c>
    </row>
    <row customHeight="1" ht="11.25">
      <c r="A203" s="1806" t="s">
        <v>3550</v>
      </c>
      <c r="B203" s="1806" t="s">
        <v>3569</v>
      </c>
      <c r="C203" s="1806" t="s">
        <v>3570</v>
      </c>
    </row>
    <row customHeight="1" ht="11.25">
      <c r="A204" s="1806" t="s">
        <v>3571</v>
      </c>
      <c r="B204" s="1806" t="s">
        <v>3572</v>
      </c>
      <c r="C204" s="1806" t="s">
        <v>3573</v>
      </c>
    </row>
    <row customHeight="1" ht="11.25">
      <c r="A205" s="1806" t="s">
        <v>3571</v>
      </c>
      <c r="B205" s="1806" t="s">
        <v>3574</v>
      </c>
      <c r="C205" s="1806" t="s">
        <v>3575</v>
      </c>
    </row>
    <row customHeight="1" ht="11.25">
      <c r="A206" s="1806" t="s">
        <v>3571</v>
      </c>
      <c r="B206" s="1806" t="s">
        <v>3576</v>
      </c>
      <c r="C206" s="1806" t="s">
        <v>3577</v>
      </c>
    </row>
    <row customHeight="1" ht="11.25">
      <c r="A207" s="1806" t="s">
        <v>3571</v>
      </c>
      <c r="B207" s="1806" t="s">
        <v>3578</v>
      </c>
      <c r="C207" s="1806" t="s">
        <v>3579</v>
      </c>
    </row>
    <row customHeight="1" ht="11.25">
      <c r="A208" s="1806" t="s">
        <v>3571</v>
      </c>
      <c r="B208" s="1806" t="s">
        <v>3580</v>
      </c>
      <c r="C208" s="1806" t="s">
        <v>3581</v>
      </c>
    </row>
    <row customHeight="1" ht="11.25">
      <c r="A209" s="1806" t="s">
        <v>3571</v>
      </c>
      <c r="B209" s="1806" t="s">
        <v>3582</v>
      </c>
      <c r="C209" s="1806" t="s">
        <v>3583</v>
      </c>
    </row>
    <row customHeight="1" ht="11.25">
      <c r="A210" s="1806" t="s">
        <v>3571</v>
      </c>
      <c r="B210" s="1806" t="s">
        <v>3584</v>
      </c>
      <c r="C210" s="1806" t="s">
        <v>3585</v>
      </c>
    </row>
    <row customHeight="1" ht="11.25">
      <c r="A211" s="1806" t="s">
        <v>3571</v>
      </c>
      <c r="B211" s="1806" t="s">
        <v>3586</v>
      </c>
      <c r="C211" s="1806" t="s">
        <v>3587</v>
      </c>
    </row>
    <row customHeight="1" ht="11.25">
      <c r="A212" s="1806" t="s">
        <v>3571</v>
      </c>
      <c r="B212" s="1806" t="s">
        <v>3588</v>
      </c>
      <c r="C212" s="1806" t="s">
        <v>3589</v>
      </c>
    </row>
    <row customHeight="1" ht="11.25">
      <c r="A213" s="1806" t="s">
        <v>3571</v>
      </c>
      <c r="B213" s="1806" t="s">
        <v>3590</v>
      </c>
      <c r="C213" s="1806" t="s">
        <v>3591</v>
      </c>
    </row>
    <row customHeight="1" ht="11.25">
      <c r="A214" s="1806" t="s">
        <v>3571</v>
      </c>
      <c r="B214" s="1806" t="s">
        <v>3592</v>
      </c>
      <c r="C214" s="1806" t="s">
        <v>3593</v>
      </c>
    </row>
    <row customHeight="1" ht="11.25">
      <c r="A215" s="1806" t="s">
        <v>3594</v>
      </c>
      <c r="B215" s="1806" t="s">
        <v>3594</v>
      </c>
      <c r="C215" s="1806" t="s">
        <v>3595</v>
      </c>
    </row>
    <row customHeight="1" ht="11.25">
      <c r="A216" s="1806" t="s">
        <v>3596</v>
      </c>
      <c r="B216" s="1806" t="s">
        <v>3596</v>
      </c>
      <c r="C216" s="1806" t="s">
        <v>3597</v>
      </c>
    </row>
    <row customHeight="1" ht="11.25">
      <c r="A217" s="1806" t="s">
        <v>3598</v>
      </c>
      <c r="B217" s="1806" t="s">
        <v>3598</v>
      </c>
      <c r="C217" s="1806" t="s">
        <v>3599</v>
      </c>
    </row>
    <row customHeight="1" ht="11.25">
      <c r="A218" s="1806" t="s">
        <v>3600</v>
      </c>
      <c r="B218" s="1806" t="s">
        <v>3600</v>
      </c>
      <c r="C218" s="1806" t="s">
        <v>3601</v>
      </c>
    </row>
    <row customHeight="1" ht="11.25">
      <c r="A219" s="1806" t="s">
        <v>354</v>
      </c>
      <c r="B219" s="1806" t="s">
        <v>354</v>
      </c>
      <c r="C219" s="1806" t="s">
        <v>355</v>
      </c>
    </row>
    <row customHeight="1" ht="11.25">
      <c r="A220" s="1806" t="s">
        <v>3602</v>
      </c>
      <c r="B220" s="1806" t="s">
        <v>3602</v>
      </c>
      <c r="C220" s="1806" t="s">
        <v>3603</v>
      </c>
    </row>
    <row customHeight="1" ht="11.25">
      <c r="A221" s="1806" t="s">
        <v>3604</v>
      </c>
      <c r="B221" s="1806" t="s">
        <v>3604</v>
      </c>
      <c r="C221" s="1806" t="s">
        <v>3605</v>
      </c>
    </row>
    <row customHeight="1" ht="11.25">
      <c r="A222" s="1806" t="s">
        <v>3606</v>
      </c>
      <c r="B222" s="1806" t="s">
        <v>3606</v>
      </c>
      <c r="C222" s="1806" t="s">
        <v>3607</v>
      </c>
    </row>
    <row customHeight="1" ht="11.25">
      <c r="A223" s="1806" t="s">
        <v>3608</v>
      </c>
      <c r="B223" s="1806" t="s">
        <v>3608</v>
      </c>
      <c r="C223" s="1806" t="s">
        <v>3609</v>
      </c>
    </row>
    <row customHeight="1" ht="11.25">
      <c r="A224" s="1806" t="s">
        <v>3610</v>
      </c>
      <c r="B224" s="1806" t="s">
        <v>3610</v>
      </c>
      <c r="C224" s="1806" t="s">
        <v>3611</v>
      </c>
    </row>
    <row customHeight="1" ht="11.25">
      <c r="A225" s="1806" t="s">
        <v>3612</v>
      </c>
      <c r="B225" s="1806" t="s">
        <v>3612</v>
      </c>
      <c r="C225" s="1806" t="s">
        <v>3613</v>
      </c>
    </row>
    <row customHeight="1" ht="11.25">
      <c r="A226" s="1806" t="s">
        <v>352</v>
      </c>
      <c r="B226" s="1806" t="s">
        <v>352</v>
      </c>
      <c r="C226" s="1806" t="s">
        <v>353</v>
      </c>
    </row>
    <row customHeight="1" ht="11.25">
      <c r="A227" s="1806" t="s">
        <v>3614</v>
      </c>
      <c r="B227" s="1806" t="s">
        <v>3614</v>
      </c>
      <c r="C227" s="1806" t="s">
        <v>3615</v>
      </c>
    </row>
    <row customHeight="1" ht="11.25">
      <c r="A228" s="1806" t="s">
        <v>3616</v>
      </c>
      <c r="B228" s="1806" t="s">
        <v>3616</v>
      </c>
      <c r="C228" s="1806" t="s">
        <v>3617</v>
      </c>
    </row>
    <row customHeight="1" ht="11.25">
      <c r="A229" s="1806" t="s">
        <v>3618</v>
      </c>
      <c r="B229" s="1806" t="s">
        <v>3618</v>
      </c>
      <c r="C229" s="1806" t="s">
        <v>3619</v>
      </c>
    </row>
    <row customHeight="1" ht="11.25">
      <c r="A230" s="1806" t="s">
        <v>3620</v>
      </c>
      <c r="B230" s="1806" t="s">
        <v>3620</v>
      </c>
      <c r="C230" s="1806" t="s">
        <v>3621</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EACD38-3CE8-20B8-3A5A-29EEF49F8608}" mc:Ignorable="x14ac xr xr2 xr3">
  <sheetPr>
    <tabColor rgb="FFFFCC99"/>
  </sheetPr>
  <dimension ref="A1:S453"/>
  <sheetViews>
    <sheetView topLeftCell="A1" showGridLines="0" workbookViewId="0">
      <selection activeCell="A1" sqref="A1"/>
    </sheetView>
  </sheetViews>
  <sheetFormatPr defaultColWidth="9.140625" customHeight="1" defaultRowHeight="11.25"/>
  <sheetData>
    <row customHeight="1" ht="11.25">
      <c r="A1" s="0" t="s">
        <v>3622</v>
      </c>
      <c r="B1" s="0" t="s">
        <v>3623</v>
      </c>
      <c r="C1" s="0" t="s">
        <v>3624</v>
      </c>
      <c r="D1" s="0" t="s">
        <v>3625</v>
      </c>
      <c r="E1" s="0" t="s">
        <v>3626</v>
      </c>
      <c r="F1" s="0" t="s">
        <v>3627</v>
      </c>
      <c r="G1" s="0" t="s">
        <v>3628</v>
      </c>
      <c r="H1" s="0" t="s">
        <v>3629</v>
      </c>
      <c r="I1" s="0" t="s">
        <v>3630</v>
      </c>
      <c r="J1" s="0" t="s">
        <v>3631</v>
      </c>
      <c r="K1" s="0" t="s">
        <v>3632</v>
      </c>
      <c r="L1" s="0" t="s">
        <v>3633</v>
      </c>
      <c r="M1" s="0" t="s">
        <v>3634</v>
      </c>
      <c r="N1" s="0" t="s">
        <v>3635</v>
      </c>
      <c r="O1" s="0" t="s">
        <v>3636</v>
      </c>
      <c r="P1" s="0" t="s">
        <v>3637</v>
      </c>
      <c r="Q1" s="0" t="s">
        <v>3638</v>
      </c>
      <c r="R1" s="0" t="s">
        <v>3639</v>
      </c>
      <c r="S1" s="0" t="s">
        <v>3640</v>
      </c>
    </row>
    <row customHeight="1" ht="11.25">
      <c r="A2" s="0">
        <v>2655</v>
      </c>
      <c r="B2" s="0" t="s">
        <v>102</v>
      </c>
      <c r="C2" s="0">
        <v>28976938</v>
      </c>
      <c r="D2" s="0" t="s">
        <v>3641</v>
      </c>
      <c r="E2" s="0" t="s">
        <v>3642</v>
      </c>
      <c r="F2" s="0" t="s">
        <v>3643</v>
      </c>
      <c r="G2" s="0" t="s">
        <v>3644</v>
      </c>
      <c r="H2" s="0" t="s">
        <v>3645</v>
      </c>
      <c r="I2" s="0" t="s">
        <v>3646</v>
      </c>
      <c r="J2" s="0" t="s">
        <v>3647</v>
      </c>
      <c r="K2" s="0" t="s">
        <v>3648</v>
      </c>
      <c r="L2" s="0" t="s">
        <v>3649</v>
      </c>
      <c r="M2" s="0" t="s">
        <v>3650</v>
      </c>
      <c r="N2" s="0" t="s">
        <v>3651</v>
      </c>
      <c r="O2" s="0" t="s">
        <v>3652</v>
      </c>
      <c r="P2" s="0" t="s">
        <v>3653</v>
      </c>
      <c r="Q2" s="0" t="s">
        <v>3654</v>
      </c>
      <c r="R2" s="0" t="b">
        <v>0</v>
      </c>
      <c r="S2" s="0" t="s">
        <v>3655</v>
      </c>
    </row>
    <row customHeight="1" ht="11.25">
      <c r="A3" s="0">
        <v>2655</v>
      </c>
      <c r="B3" s="0" t="s">
        <v>102</v>
      </c>
      <c r="C3" s="0">
        <v>27804990</v>
      </c>
      <c r="D3" s="0" t="s">
        <v>3656</v>
      </c>
      <c r="E3" s="0" t="s">
        <v>3657</v>
      </c>
      <c r="F3" s="0" t="s">
        <v>3658</v>
      </c>
      <c r="G3" s="0" t="s">
        <v>3659</v>
      </c>
      <c r="H3" s="0" t="s">
        <v>3660</v>
      </c>
      <c r="I3" s="0" t="s">
        <v>3661</v>
      </c>
      <c r="J3" s="0" t="s">
        <v>3647</v>
      </c>
      <c r="K3" s="0" t="s">
        <v>3662</v>
      </c>
      <c r="L3" s="0" t="s">
        <v>3663</v>
      </c>
      <c r="M3" s="0" t="s">
        <v>3664</v>
      </c>
      <c r="N3" s="0" t="s">
        <v>3665</v>
      </c>
      <c r="O3" s="0" t="s">
        <v>3666</v>
      </c>
      <c r="P3" s="0" t="s">
        <v>3667</v>
      </c>
      <c r="Q3" s="0" t="s">
        <v>3668</v>
      </c>
      <c r="R3" s="0" t="b">
        <v>0</v>
      </c>
      <c r="S3" s="0" t="s">
        <v>3655</v>
      </c>
    </row>
    <row customHeight="1" ht="11.25">
      <c r="A4" s="0">
        <v>2655</v>
      </c>
      <c r="B4" s="0" t="s">
        <v>102</v>
      </c>
      <c r="C4" s="0">
        <v>27804826</v>
      </c>
      <c r="D4" s="0" t="s">
        <v>3669</v>
      </c>
      <c r="E4" s="0" t="s">
        <v>3670</v>
      </c>
      <c r="F4" s="0" t="s">
        <v>3671</v>
      </c>
      <c r="G4" s="0" t="s">
        <v>3672</v>
      </c>
      <c r="H4" s="0" t="s">
        <v>3673</v>
      </c>
      <c r="I4" s="0" t="s">
        <v>3674</v>
      </c>
      <c r="J4" s="0" t="s">
        <v>3647</v>
      </c>
      <c r="K4" s="0" t="s">
        <v>3675</v>
      </c>
      <c r="L4" s="0" t="s">
        <v>3663</v>
      </c>
      <c r="M4" s="0" t="s">
        <v>227</v>
      </c>
      <c r="N4" s="0" t="s">
        <v>3676</v>
      </c>
      <c r="O4" s="0" t="s">
        <v>3677</v>
      </c>
      <c r="P4" s="0" t="s">
        <v>3667</v>
      </c>
      <c r="Q4" s="0" t="s">
        <v>3678</v>
      </c>
      <c r="R4" s="0" t="b">
        <v>0</v>
      </c>
      <c r="S4" s="0" t="s">
        <v>3655</v>
      </c>
    </row>
    <row customHeight="1" ht="11.25">
      <c r="A5" s="0">
        <v>2655</v>
      </c>
      <c r="B5" s="0" t="s">
        <v>102</v>
      </c>
      <c r="C5" s="0">
        <v>26356963</v>
      </c>
      <c r="D5" s="0" t="s">
        <v>3679</v>
      </c>
      <c r="E5" s="0" t="s">
        <v>3680</v>
      </c>
      <c r="F5" s="0" t="s">
        <v>3681</v>
      </c>
      <c r="G5" s="0" t="s">
        <v>3682</v>
      </c>
      <c r="H5" s="0" t="s">
        <v>3683</v>
      </c>
      <c r="I5" s="0" t="s">
        <v>227</v>
      </c>
      <c r="J5" s="0" t="s">
        <v>3647</v>
      </c>
      <c r="K5" s="0" t="s">
        <v>3684</v>
      </c>
      <c r="L5" s="0" t="s">
        <v>3684</v>
      </c>
      <c r="M5" s="0" t="s">
        <v>3685</v>
      </c>
      <c r="N5" s="0" t="s">
        <v>3686</v>
      </c>
      <c r="O5" s="0" t="s">
        <v>3687</v>
      </c>
      <c r="P5" s="0" t="s">
        <v>3688</v>
      </c>
      <c r="Q5" s="0" t="s">
        <v>227</v>
      </c>
      <c r="R5" s="0" t="b">
        <v>0</v>
      </c>
      <c r="S5" s="0" t="s">
        <v>3655</v>
      </c>
    </row>
    <row customHeight="1" ht="11.25">
      <c r="A6" s="0">
        <v>2655</v>
      </c>
      <c r="B6" s="0" t="s">
        <v>102</v>
      </c>
      <c r="C6" s="0">
        <v>26322889</v>
      </c>
      <c r="D6" s="0" t="s">
        <v>3689</v>
      </c>
      <c r="E6" s="0" t="s">
        <v>3690</v>
      </c>
      <c r="F6" s="0" t="s">
        <v>3691</v>
      </c>
      <c r="G6" s="0" t="s">
        <v>3692</v>
      </c>
      <c r="H6" s="0" t="s">
        <v>3693</v>
      </c>
      <c r="I6" s="0" t="s">
        <v>3694</v>
      </c>
      <c r="J6" s="0" t="s">
        <v>3647</v>
      </c>
      <c r="K6" s="0" t="s">
        <v>3695</v>
      </c>
      <c r="L6" s="0" t="s">
        <v>3696</v>
      </c>
      <c r="M6" s="0" t="s">
        <v>3697</v>
      </c>
      <c r="N6" s="0" t="s">
        <v>3698</v>
      </c>
      <c r="O6" s="0" t="s">
        <v>3699</v>
      </c>
      <c r="P6" s="0" t="s">
        <v>3700</v>
      </c>
      <c r="Q6" s="0" t="s">
        <v>3701</v>
      </c>
      <c r="R6" s="0" t="b">
        <v>0</v>
      </c>
      <c r="S6" s="0" t="s">
        <v>3655</v>
      </c>
    </row>
    <row customHeight="1" ht="11.25">
      <c r="A7" s="0">
        <v>2655</v>
      </c>
      <c r="B7" s="0" t="s">
        <v>102</v>
      </c>
      <c r="C7" s="0">
        <v>26427149</v>
      </c>
      <c r="D7" s="0" t="s">
        <v>3702</v>
      </c>
      <c r="E7" s="0" t="s">
        <v>3703</v>
      </c>
      <c r="F7" s="0" t="s">
        <v>3643</v>
      </c>
      <c r="G7" s="0" t="s">
        <v>3704</v>
      </c>
      <c r="H7" s="0" t="s">
        <v>3645</v>
      </c>
      <c r="I7" s="0" t="s">
        <v>3646</v>
      </c>
      <c r="J7" s="0" t="s">
        <v>3647</v>
      </c>
      <c r="K7" s="0" t="s">
        <v>3705</v>
      </c>
      <c r="L7" s="0" t="s">
        <v>3706</v>
      </c>
      <c r="M7" s="0" t="s">
        <v>3707</v>
      </c>
      <c r="N7" s="0" t="s">
        <v>3708</v>
      </c>
      <c r="O7" s="0" t="s">
        <v>3709</v>
      </c>
      <c r="P7" s="0" t="s">
        <v>3710</v>
      </c>
      <c r="Q7" s="0" t="s">
        <v>3711</v>
      </c>
      <c r="R7" s="0" t="b">
        <v>0</v>
      </c>
      <c r="S7" s="0" t="s">
        <v>3655</v>
      </c>
    </row>
    <row customHeight="1" ht="11.25">
      <c r="A8" s="0">
        <v>2655</v>
      </c>
      <c r="B8" s="0" t="s">
        <v>102</v>
      </c>
      <c r="C8" s="0">
        <v>27295125</v>
      </c>
      <c r="D8" s="0" t="s">
        <v>3712</v>
      </c>
      <c r="E8" s="0" t="s">
        <v>3713</v>
      </c>
      <c r="F8" s="0" t="s">
        <v>3714</v>
      </c>
      <c r="G8" s="0" t="s">
        <v>3715</v>
      </c>
      <c r="H8" s="0" t="s">
        <v>3716</v>
      </c>
      <c r="I8" s="0" t="s">
        <v>3717</v>
      </c>
      <c r="J8" s="0" t="s">
        <v>3718</v>
      </c>
      <c r="K8" s="0" t="s">
        <v>3719</v>
      </c>
      <c r="L8" s="0" t="s">
        <v>3719</v>
      </c>
      <c r="M8" s="0" t="s">
        <v>3720</v>
      </c>
      <c r="N8" s="0" t="s">
        <v>3721</v>
      </c>
      <c r="O8" s="0" t="s">
        <v>3722</v>
      </c>
      <c r="P8" s="0" t="s">
        <v>3723</v>
      </c>
      <c r="Q8" s="0" t="s">
        <v>227</v>
      </c>
      <c r="R8" s="0" t="b">
        <v>0</v>
      </c>
      <c r="S8" s="0" t="s">
        <v>3655</v>
      </c>
    </row>
    <row customHeight="1" ht="11.25">
      <c r="A9" s="0">
        <v>2655</v>
      </c>
      <c r="B9" s="0" t="s">
        <v>102</v>
      </c>
      <c r="C9" s="0">
        <v>26824672</v>
      </c>
      <c r="D9" s="0" t="s">
        <v>3724</v>
      </c>
      <c r="E9" s="0" t="s">
        <v>3725</v>
      </c>
      <c r="F9" s="0" t="s">
        <v>3726</v>
      </c>
      <c r="G9" s="0" t="s">
        <v>3727</v>
      </c>
      <c r="H9" s="0" t="s">
        <v>3728</v>
      </c>
      <c r="I9" s="0" t="s">
        <v>227</v>
      </c>
      <c r="J9" s="0" t="s">
        <v>3718</v>
      </c>
      <c r="K9" s="0" t="s">
        <v>3729</v>
      </c>
      <c r="L9" s="0" t="s">
        <v>3730</v>
      </c>
      <c r="M9" s="0" t="s">
        <v>3731</v>
      </c>
      <c r="N9" s="0" t="s">
        <v>3732</v>
      </c>
      <c r="O9" s="0" t="s">
        <v>227</v>
      </c>
      <c r="P9" s="0" t="s">
        <v>3733</v>
      </c>
      <c r="Q9" s="0" t="s">
        <v>227</v>
      </c>
      <c r="R9" s="0" t="b">
        <v>0</v>
      </c>
      <c r="S9" s="0" t="s">
        <v>3655</v>
      </c>
    </row>
    <row customHeight="1" ht="11.25">
      <c r="A10" s="0">
        <v>2655</v>
      </c>
      <c r="B10" s="0" t="s">
        <v>102</v>
      </c>
      <c r="C10" s="0">
        <v>31826293</v>
      </c>
      <c r="D10" s="0" t="s">
        <v>3734</v>
      </c>
      <c r="E10" s="0" t="s">
        <v>3735</v>
      </c>
      <c r="F10" s="0" t="s">
        <v>3736</v>
      </c>
      <c r="G10" s="0" t="s">
        <v>3737</v>
      </c>
      <c r="H10" s="0" t="s">
        <v>3738</v>
      </c>
      <c r="I10" s="0" t="s">
        <v>3739</v>
      </c>
      <c r="K10" s="0" t="s">
        <v>3740</v>
      </c>
      <c r="L10" s="0" t="s">
        <v>3741</v>
      </c>
      <c r="M10" s="0" t="s">
        <v>227</v>
      </c>
      <c r="N10" s="0" t="s">
        <v>3742</v>
      </c>
      <c r="O10" s="0" t="s">
        <v>3743</v>
      </c>
      <c r="P10" s="0" t="s">
        <v>3744</v>
      </c>
      <c r="Q10" s="0" t="s">
        <v>227</v>
      </c>
      <c r="R10" s="0" t="b">
        <v>0</v>
      </c>
      <c r="S10" s="0" t="s">
        <v>3655</v>
      </c>
    </row>
    <row customHeight="1" ht="11.25">
      <c r="A11" s="0">
        <v>2655</v>
      </c>
      <c r="B11" s="0" t="s">
        <v>102</v>
      </c>
      <c r="C11" s="0">
        <v>26322867</v>
      </c>
      <c r="D11" s="0" t="s">
        <v>3745</v>
      </c>
      <c r="E11" s="0" t="s">
        <v>3746</v>
      </c>
      <c r="F11" s="0" t="s">
        <v>3747</v>
      </c>
      <c r="G11" s="0" t="s">
        <v>3692</v>
      </c>
      <c r="H11" s="0" t="s">
        <v>3748</v>
      </c>
      <c r="I11" s="0" t="s">
        <v>3749</v>
      </c>
      <c r="J11" s="0" t="s">
        <v>3647</v>
      </c>
      <c r="K11" s="0" t="s">
        <v>3750</v>
      </c>
      <c r="L11" s="0" t="s">
        <v>3750</v>
      </c>
      <c r="M11" s="0" t="s">
        <v>3751</v>
      </c>
      <c r="N11" s="0" t="s">
        <v>3752</v>
      </c>
      <c r="O11" s="0" t="s">
        <v>3753</v>
      </c>
      <c r="P11" s="0" t="s">
        <v>3723</v>
      </c>
      <c r="Q11" s="0" t="s">
        <v>3754</v>
      </c>
      <c r="R11" s="0" t="b">
        <v>0</v>
      </c>
      <c r="S11" s="0" t="s">
        <v>3655</v>
      </c>
    </row>
    <row customHeight="1" ht="11.25">
      <c r="A12" s="0">
        <v>2655</v>
      </c>
      <c r="B12" s="0" t="s">
        <v>102</v>
      </c>
      <c r="C12" s="0">
        <v>26824651</v>
      </c>
      <c r="D12" s="0" t="s">
        <v>3755</v>
      </c>
      <c r="E12" s="0" t="s">
        <v>3756</v>
      </c>
      <c r="F12" s="0" t="s">
        <v>3726</v>
      </c>
      <c r="G12" s="0" t="s">
        <v>3757</v>
      </c>
      <c r="H12" s="0" t="s">
        <v>3728</v>
      </c>
      <c r="I12" s="0" t="s">
        <v>227</v>
      </c>
      <c r="J12" s="0" t="s">
        <v>3647</v>
      </c>
      <c r="K12" s="0" t="s">
        <v>3758</v>
      </c>
      <c r="L12" s="0" t="s">
        <v>3759</v>
      </c>
      <c r="M12" s="0" t="s">
        <v>3760</v>
      </c>
      <c r="N12" s="0" t="s">
        <v>3761</v>
      </c>
      <c r="O12" s="0" t="s">
        <v>3762</v>
      </c>
      <c r="P12" s="0" t="s">
        <v>3763</v>
      </c>
      <c r="Q12" s="0" t="s">
        <v>227</v>
      </c>
      <c r="R12" s="0" t="b">
        <v>0</v>
      </c>
      <c r="S12" s="0" t="s">
        <v>3655</v>
      </c>
    </row>
    <row customHeight="1" ht="11.25">
      <c r="A13" s="0">
        <v>2655</v>
      </c>
      <c r="B13" s="0" t="s">
        <v>102</v>
      </c>
      <c r="C13" s="0">
        <v>26824396</v>
      </c>
      <c r="D13" s="0" t="s">
        <v>3764</v>
      </c>
      <c r="E13" s="0" t="s">
        <v>3765</v>
      </c>
      <c r="F13" s="0" t="s">
        <v>3726</v>
      </c>
      <c r="G13" s="0" t="s">
        <v>3766</v>
      </c>
      <c r="H13" s="0" t="s">
        <v>3728</v>
      </c>
      <c r="I13" s="0" t="s">
        <v>227</v>
      </c>
      <c r="J13" s="0" t="s">
        <v>3718</v>
      </c>
      <c r="K13" s="0" t="s">
        <v>3767</v>
      </c>
      <c r="L13" s="0" t="s">
        <v>3767</v>
      </c>
      <c r="M13" s="0" t="s">
        <v>3768</v>
      </c>
      <c r="N13" s="0" t="s">
        <v>227</v>
      </c>
      <c r="O13" s="0" t="s">
        <v>3769</v>
      </c>
      <c r="P13" s="0" t="s">
        <v>3763</v>
      </c>
      <c r="Q13" s="0" t="s">
        <v>227</v>
      </c>
      <c r="R13" s="0" t="b">
        <v>0</v>
      </c>
      <c r="S13" s="0" t="s">
        <v>3655</v>
      </c>
    </row>
    <row customHeight="1" ht="11.25">
      <c r="A14" s="0">
        <v>2655</v>
      </c>
      <c r="B14" s="0" t="s">
        <v>102</v>
      </c>
      <c r="C14" s="0">
        <v>31232672</v>
      </c>
      <c r="D14" s="0" t="s">
        <v>3770</v>
      </c>
      <c r="E14" s="0" t="s">
        <v>3771</v>
      </c>
      <c r="F14" s="0" t="s">
        <v>3772</v>
      </c>
      <c r="G14" s="0" t="s">
        <v>3773</v>
      </c>
      <c r="H14" s="0" t="s">
        <v>3774</v>
      </c>
      <c r="I14" s="0" t="s">
        <v>3775</v>
      </c>
      <c r="J14" s="0" t="s">
        <v>3776</v>
      </c>
      <c r="K14" s="0" t="s">
        <v>3777</v>
      </c>
      <c r="L14" s="0" t="s">
        <v>3777</v>
      </c>
      <c r="M14" s="0" t="s">
        <v>3778</v>
      </c>
      <c r="N14" s="0" t="s">
        <v>3779</v>
      </c>
      <c r="O14" s="0" t="s">
        <v>3780</v>
      </c>
      <c r="P14" s="0" t="s">
        <v>145</v>
      </c>
      <c r="Q14" s="0" t="s">
        <v>227</v>
      </c>
      <c r="R14" s="0" t="b">
        <v>0</v>
      </c>
      <c r="S14" s="0" t="s">
        <v>3655</v>
      </c>
    </row>
    <row customHeight="1" ht="11.25">
      <c r="A15" s="0">
        <v>2655</v>
      </c>
      <c r="B15" s="0" t="s">
        <v>102</v>
      </c>
      <c r="C15" s="0">
        <v>31387447</v>
      </c>
      <c r="D15" s="0" t="s">
        <v>3781</v>
      </c>
      <c r="E15" s="0" t="s">
        <v>3782</v>
      </c>
      <c r="F15" s="0" t="s">
        <v>3783</v>
      </c>
      <c r="G15" s="0" t="s">
        <v>3784</v>
      </c>
      <c r="H15" s="0" t="s">
        <v>3785</v>
      </c>
      <c r="I15" s="0" t="s">
        <v>3786</v>
      </c>
      <c r="J15" s="0" t="s">
        <v>3787</v>
      </c>
      <c r="K15" s="0" t="s">
        <v>3788</v>
      </c>
      <c r="L15" s="0" t="s">
        <v>3788</v>
      </c>
      <c r="M15" s="0" t="s">
        <v>3789</v>
      </c>
      <c r="N15" s="0" t="s">
        <v>3790</v>
      </c>
      <c r="O15" s="0" t="s">
        <v>3791</v>
      </c>
      <c r="P15" s="0" t="s">
        <v>145</v>
      </c>
      <c r="Q15" s="0" t="s">
        <v>227</v>
      </c>
      <c r="R15" s="0" t="b">
        <v>0</v>
      </c>
      <c r="S15" s="0" t="s">
        <v>3655</v>
      </c>
    </row>
    <row customHeight="1" ht="11.25">
      <c r="A16" s="0">
        <v>2655</v>
      </c>
      <c r="B16" s="0" t="s">
        <v>102</v>
      </c>
      <c r="C16" s="0">
        <v>31905805</v>
      </c>
      <c r="D16" s="0" t="s">
        <v>3792</v>
      </c>
      <c r="E16" s="0" t="s">
        <v>3793</v>
      </c>
      <c r="F16" s="0" t="s">
        <v>3794</v>
      </c>
      <c r="G16" s="0" t="s">
        <v>123</v>
      </c>
      <c r="H16" s="0" t="s">
        <v>3795</v>
      </c>
      <c r="I16" s="0" t="s">
        <v>3796</v>
      </c>
      <c r="K16" s="0" t="s">
        <v>3797</v>
      </c>
      <c r="L16" s="0" t="s">
        <v>3797</v>
      </c>
      <c r="M16" s="0" t="s">
        <v>3798</v>
      </c>
      <c r="N16" s="0" t="s">
        <v>3799</v>
      </c>
      <c r="O16" s="0" t="s">
        <v>3800</v>
      </c>
      <c r="P16" s="0" t="s">
        <v>3801</v>
      </c>
      <c r="Q16" s="0" t="s">
        <v>227</v>
      </c>
      <c r="R16" s="0" t="b">
        <v>0</v>
      </c>
      <c r="S16" s="0" t="s">
        <v>3655</v>
      </c>
    </row>
    <row customHeight="1" ht="11.25">
      <c r="A17" s="0">
        <v>2655</v>
      </c>
      <c r="B17" s="0" t="s">
        <v>102</v>
      </c>
      <c r="C17" s="0">
        <v>30808700</v>
      </c>
      <c r="D17" s="0" t="s">
        <v>3802</v>
      </c>
      <c r="E17" s="0" t="s">
        <v>3803</v>
      </c>
      <c r="F17" s="0" t="s">
        <v>3804</v>
      </c>
      <c r="G17" s="0" t="s">
        <v>3727</v>
      </c>
      <c r="H17" s="0" t="s">
        <v>3805</v>
      </c>
      <c r="I17" s="0" t="s">
        <v>3806</v>
      </c>
      <c r="J17" s="0" t="s">
        <v>3787</v>
      </c>
      <c r="K17" s="0" t="s">
        <v>3807</v>
      </c>
      <c r="L17" s="0" t="s">
        <v>3808</v>
      </c>
      <c r="M17" s="0" t="s">
        <v>3809</v>
      </c>
      <c r="N17" s="0" t="s">
        <v>3810</v>
      </c>
      <c r="O17" s="0" t="s">
        <v>3811</v>
      </c>
      <c r="P17" s="0" t="s">
        <v>3744</v>
      </c>
      <c r="Q17" s="0" t="s">
        <v>227</v>
      </c>
      <c r="R17" s="0" t="b">
        <v>1</v>
      </c>
      <c r="S17" s="0" t="s">
        <v>3655</v>
      </c>
    </row>
    <row customHeight="1" ht="11.25">
      <c r="A18" s="0">
        <v>2655</v>
      </c>
      <c r="B18" s="0" t="s">
        <v>102</v>
      </c>
      <c r="C18" s="0">
        <v>31319221</v>
      </c>
      <c r="D18" s="0" t="s">
        <v>3812</v>
      </c>
      <c r="E18" s="0" t="s">
        <v>3813</v>
      </c>
      <c r="F18" s="0" t="s">
        <v>3814</v>
      </c>
      <c r="G18" s="0" t="s">
        <v>3784</v>
      </c>
      <c r="H18" s="0" t="s">
        <v>3815</v>
      </c>
      <c r="I18" s="0" t="s">
        <v>3816</v>
      </c>
      <c r="J18" s="0" t="s">
        <v>3776</v>
      </c>
      <c r="K18" s="0" t="s">
        <v>3817</v>
      </c>
      <c r="L18" s="0" t="s">
        <v>3818</v>
      </c>
      <c r="M18" s="0" t="s">
        <v>3819</v>
      </c>
      <c r="N18" s="0" t="s">
        <v>3820</v>
      </c>
      <c r="O18" s="0" t="s">
        <v>3821</v>
      </c>
      <c r="P18" s="0" t="s">
        <v>145</v>
      </c>
      <c r="Q18" s="0" t="s">
        <v>227</v>
      </c>
      <c r="R18" s="0" t="b">
        <v>0</v>
      </c>
      <c r="S18" s="0" t="s">
        <v>3655</v>
      </c>
    </row>
    <row customHeight="1" ht="11.25">
      <c r="A19" s="0">
        <v>2655</v>
      </c>
      <c r="B19" s="0" t="s">
        <v>102</v>
      </c>
      <c r="C19" s="0">
        <v>31419990</v>
      </c>
      <c r="D19" s="0" t="s">
        <v>3822</v>
      </c>
      <c r="E19" s="0" t="s">
        <v>3823</v>
      </c>
      <c r="F19" s="0" t="s">
        <v>3824</v>
      </c>
      <c r="G19" s="0" t="s">
        <v>123</v>
      </c>
      <c r="H19" s="0" t="s">
        <v>3825</v>
      </c>
      <c r="I19" s="0" t="s">
        <v>3826</v>
      </c>
      <c r="J19" s="0" t="s">
        <v>3776</v>
      </c>
      <c r="K19" s="0" t="s">
        <v>3827</v>
      </c>
      <c r="L19" s="0" t="s">
        <v>3827</v>
      </c>
      <c r="M19" s="0" t="s">
        <v>3828</v>
      </c>
      <c r="N19" s="0" t="s">
        <v>3829</v>
      </c>
      <c r="O19" s="0" t="s">
        <v>3830</v>
      </c>
      <c r="P19" s="0" t="s">
        <v>145</v>
      </c>
      <c r="Q19" s="0" t="s">
        <v>3831</v>
      </c>
      <c r="R19" s="0" t="b">
        <v>0</v>
      </c>
      <c r="S19" s="0" t="s">
        <v>3655</v>
      </c>
    </row>
    <row customHeight="1" ht="11.25">
      <c r="A20" s="0">
        <v>2655</v>
      </c>
      <c r="B20" s="0" t="s">
        <v>102</v>
      </c>
      <c r="C20" s="0">
        <v>31343443</v>
      </c>
      <c r="D20" s="0" t="s">
        <v>3832</v>
      </c>
      <c r="E20" s="0" t="s">
        <v>3833</v>
      </c>
      <c r="F20" s="0" t="s">
        <v>3834</v>
      </c>
      <c r="G20" s="0" t="s">
        <v>3727</v>
      </c>
      <c r="H20" s="0" t="s">
        <v>3835</v>
      </c>
      <c r="I20" s="0" t="s">
        <v>3836</v>
      </c>
      <c r="J20" s="0" t="s">
        <v>3776</v>
      </c>
      <c r="K20" s="0" t="s">
        <v>3837</v>
      </c>
      <c r="L20" s="0" t="s">
        <v>3837</v>
      </c>
      <c r="N20" s="0" t="s">
        <v>3838</v>
      </c>
      <c r="O20" s="0" t="s">
        <v>3839</v>
      </c>
      <c r="P20" s="0" t="s">
        <v>3744</v>
      </c>
      <c r="R20" s="0" t="b">
        <v>0</v>
      </c>
      <c r="S20" s="0" t="s">
        <v>3655</v>
      </c>
    </row>
    <row customHeight="1" ht="11.25">
      <c r="A21" s="0">
        <v>2655</v>
      </c>
      <c r="B21" s="0" t="s">
        <v>102</v>
      </c>
      <c r="C21" s="0">
        <v>31367841</v>
      </c>
      <c r="D21" s="0" t="s">
        <v>3840</v>
      </c>
      <c r="E21" s="0" t="s">
        <v>3841</v>
      </c>
      <c r="F21" s="0" t="s">
        <v>3842</v>
      </c>
      <c r="G21" s="0" t="s">
        <v>3843</v>
      </c>
      <c r="H21" s="0" t="s">
        <v>3844</v>
      </c>
      <c r="I21" s="0" t="s">
        <v>3845</v>
      </c>
      <c r="J21" s="0" t="s">
        <v>3787</v>
      </c>
      <c r="K21" s="0" t="s">
        <v>3846</v>
      </c>
      <c r="L21" s="0" t="s">
        <v>3846</v>
      </c>
      <c r="M21" s="0" t="s">
        <v>227</v>
      </c>
      <c r="N21" s="0" t="s">
        <v>139</v>
      </c>
      <c r="O21" s="0" t="s">
        <v>3847</v>
      </c>
      <c r="P21" s="0" t="s">
        <v>145</v>
      </c>
      <c r="Q21" s="0" t="s">
        <v>227</v>
      </c>
      <c r="R21" s="0" t="b">
        <v>0</v>
      </c>
      <c r="S21" s="0" t="s">
        <v>3655</v>
      </c>
    </row>
    <row customHeight="1" ht="11.25">
      <c r="A22" s="0">
        <v>2655</v>
      </c>
      <c r="B22" s="0" t="s">
        <v>102</v>
      </c>
      <c r="C22" s="0">
        <v>31087651</v>
      </c>
      <c r="D22" s="0" t="s">
        <v>3848</v>
      </c>
      <c r="E22" s="0" t="s">
        <v>3849</v>
      </c>
      <c r="F22" s="0" t="s">
        <v>3850</v>
      </c>
      <c r="G22" s="0" t="s">
        <v>3851</v>
      </c>
      <c r="H22" s="0" t="s">
        <v>3852</v>
      </c>
      <c r="I22" s="0" t="s">
        <v>3853</v>
      </c>
      <c r="J22" s="0" t="s">
        <v>3776</v>
      </c>
      <c r="K22" s="0" t="s">
        <v>3854</v>
      </c>
      <c r="L22" s="0" t="s">
        <v>3854</v>
      </c>
      <c r="M22" s="0" t="s">
        <v>3855</v>
      </c>
      <c r="N22" s="0" t="s">
        <v>3856</v>
      </c>
      <c r="O22" s="0" t="s">
        <v>3857</v>
      </c>
      <c r="R22" s="0" t="b">
        <v>0</v>
      </c>
      <c r="S22" s="0" t="s">
        <v>3655</v>
      </c>
    </row>
    <row customHeight="1" ht="11.25">
      <c r="A23" s="0">
        <v>2655</v>
      </c>
      <c r="B23" s="0" t="s">
        <v>102</v>
      </c>
      <c r="C23" s="0">
        <v>31367862</v>
      </c>
      <c r="D23" s="0" t="s">
        <v>3858</v>
      </c>
      <c r="E23" s="0" t="s">
        <v>3859</v>
      </c>
      <c r="F23" s="0" t="s">
        <v>3860</v>
      </c>
      <c r="G23" s="0" t="s">
        <v>3843</v>
      </c>
      <c r="H23" s="0" t="s">
        <v>3861</v>
      </c>
      <c r="I23" s="0" t="s">
        <v>3862</v>
      </c>
      <c r="J23" s="0" t="s">
        <v>3776</v>
      </c>
      <c r="K23" s="0" t="s">
        <v>3863</v>
      </c>
      <c r="L23" s="0" t="s">
        <v>3863</v>
      </c>
      <c r="M23" s="0" t="s">
        <v>227</v>
      </c>
      <c r="N23" s="0" t="s">
        <v>3864</v>
      </c>
      <c r="O23" s="0" t="s">
        <v>3865</v>
      </c>
      <c r="P23" s="0" t="s">
        <v>145</v>
      </c>
      <c r="Q23" s="0" t="s">
        <v>227</v>
      </c>
      <c r="R23" s="0" t="b">
        <v>0</v>
      </c>
      <c r="S23" s="0" t="s">
        <v>3655</v>
      </c>
    </row>
    <row customHeight="1" ht="11.25">
      <c r="A24" s="0">
        <v>2655</v>
      </c>
      <c r="B24" s="0" t="s">
        <v>102</v>
      </c>
      <c r="C24" s="0">
        <v>26486390</v>
      </c>
      <c r="D24" s="0" t="s">
        <v>3866</v>
      </c>
      <c r="E24" s="0" t="s">
        <v>3867</v>
      </c>
      <c r="F24" s="0" t="s">
        <v>3868</v>
      </c>
      <c r="G24" s="0" t="s">
        <v>3869</v>
      </c>
      <c r="H24" s="0" t="s">
        <v>3870</v>
      </c>
      <c r="I24" s="0" t="s">
        <v>3871</v>
      </c>
      <c r="J24" s="0" t="s">
        <v>3787</v>
      </c>
      <c r="K24" s="0" t="s">
        <v>3872</v>
      </c>
      <c r="L24" s="0" t="s">
        <v>3872</v>
      </c>
      <c r="M24" s="0" t="s">
        <v>3873</v>
      </c>
      <c r="N24" s="0" t="s">
        <v>3874</v>
      </c>
      <c r="O24" s="0" t="s">
        <v>3875</v>
      </c>
      <c r="P24" s="0" t="s">
        <v>3876</v>
      </c>
      <c r="Q24" s="0" t="s">
        <v>227</v>
      </c>
      <c r="R24" s="0" t="b">
        <v>0</v>
      </c>
      <c r="S24" s="0" t="s">
        <v>3655</v>
      </c>
    </row>
    <row customHeight="1" ht="11.25">
      <c r="A25" s="0">
        <v>2655</v>
      </c>
      <c r="B25" s="0" t="s">
        <v>102</v>
      </c>
      <c r="C25" s="0">
        <v>27977465</v>
      </c>
      <c r="D25" s="0" t="s">
        <v>3877</v>
      </c>
      <c r="E25" s="0" t="s">
        <v>3878</v>
      </c>
      <c r="F25" s="0" t="s">
        <v>3879</v>
      </c>
      <c r="G25" s="0" t="s">
        <v>3880</v>
      </c>
      <c r="H25" s="0" t="s">
        <v>3881</v>
      </c>
      <c r="I25" s="0" t="s">
        <v>227</v>
      </c>
      <c r="K25" s="0" t="s">
        <v>3882</v>
      </c>
      <c r="L25" s="0" t="s">
        <v>3882</v>
      </c>
      <c r="M25" s="0" t="s">
        <v>3883</v>
      </c>
      <c r="N25" s="0" t="s">
        <v>3884</v>
      </c>
      <c r="O25" s="0" t="s">
        <v>3885</v>
      </c>
      <c r="P25" s="0" t="s">
        <v>3744</v>
      </c>
      <c r="Q25" s="0" t="s">
        <v>227</v>
      </c>
      <c r="R25" s="0" t="b">
        <v>0</v>
      </c>
      <c r="S25" s="0" t="s">
        <v>3655</v>
      </c>
    </row>
    <row customHeight="1" ht="11.25">
      <c r="A26" s="0">
        <v>2655</v>
      </c>
      <c r="B26" s="0" t="s">
        <v>102</v>
      </c>
      <c r="C26" s="0">
        <v>31003143</v>
      </c>
      <c r="D26" s="0" t="s">
        <v>3886</v>
      </c>
      <c r="E26" s="0" t="s">
        <v>3887</v>
      </c>
      <c r="F26" s="0" t="s">
        <v>3888</v>
      </c>
      <c r="G26" s="0" t="s">
        <v>3880</v>
      </c>
      <c r="H26" s="0" t="s">
        <v>3889</v>
      </c>
      <c r="I26" s="0" t="s">
        <v>3890</v>
      </c>
      <c r="J26" s="0" t="s">
        <v>3787</v>
      </c>
      <c r="K26" s="0" t="s">
        <v>3891</v>
      </c>
      <c r="L26" s="0" t="s">
        <v>3892</v>
      </c>
      <c r="M26" s="0" t="s">
        <v>3893</v>
      </c>
      <c r="N26" s="0" t="s">
        <v>3894</v>
      </c>
      <c r="O26" s="0" t="s">
        <v>3895</v>
      </c>
      <c r="P26" s="0" t="s">
        <v>145</v>
      </c>
      <c r="Q26" s="0" t="s">
        <v>227</v>
      </c>
      <c r="R26" s="0" t="b">
        <v>1</v>
      </c>
      <c r="S26" s="0" t="s">
        <v>3655</v>
      </c>
    </row>
    <row customHeight="1" ht="11.25">
      <c r="A27" s="0">
        <v>2655</v>
      </c>
      <c r="B27" s="0" t="s">
        <v>102</v>
      </c>
      <c r="C27" s="0">
        <v>31308226</v>
      </c>
      <c r="D27" s="0" t="s">
        <v>3896</v>
      </c>
      <c r="E27" s="0" t="s">
        <v>3897</v>
      </c>
      <c r="F27" s="0" t="s">
        <v>3898</v>
      </c>
      <c r="G27" s="0" t="s">
        <v>3899</v>
      </c>
      <c r="H27" s="0" t="s">
        <v>3900</v>
      </c>
      <c r="I27" s="0" t="s">
        <v>3901</v>
      </c>
      <c r="J27" s="0" t="s">
        <v>3787</v>
      </c>
      <c r="K27" s="0" t="s">
        <v>3902</v>
      </c>
      <c r="L27" s="0" t="s">
        <v>3902</v>
      </c>
      <c r="M27" s="0" t="s">
        <v>3903</v>
      </c>
      <c r="N27" s="0" t="s">
        <v>3904</v>
      </c>
      <c r="O27" s="0" t="s">
        <v>3905</v>
      </c>
      <c r="P27" s="0" t="s">
        <v>3744</v>
      </c>
      <c r="Q27" s="0" t="s">
        <v>227</v>
      </c>
      <c r="R27" s="0" t="b">
        <v>1</v>
      </c>
      <c r="S27" s="0" t="s">
        <v>3655</v>
      </c>
    </row>
    <row customHeight="1" ht="11.25">
      <c r="A28" s="0">
        <v>2655</v>
      </c>
      <c r="B28" s="0" t="s">
        <v>102</v>
      </c>
      <c r="C28" s="0">
        <v>31284269</v>
      </c>
      <c r="D28" s="0" t="s">
        <v>3906</v>
      </c>
      <c r="E28" s="0" t="s">
        <v>3907</v>
      </c>
      <c r="F28" s="0" t="s">
        <v>3908</v>
      </c>
      <c r="G28" s="0" t="s">
        <v>3851</v>
      </c>
      <c r="H28" s="0" t="s">
        <v>3909</v>
      </c>
      <c r="I28" s="0" t="s">
        <v>3910</v>
      </c>
      <c r="J28" s="0" t="s">
        <v>3787</v>
      </c>
      <c r="K28" s="0" t="s">
        <v>3911</v>
      </c>
      <c r="L28" s="0" t="s">
        <v>3912</v>
      </c>
      <c r="M28" s="0" t="s">
        <v>3913</v>
      </c>
      <c r="N28" s="0" t="s">
        <v>3914</v>
      </c>
      <c r="O28" s="0" t="s">
        <v>3915</v>
      </c>
      <c r="P28" s="0" t="s">
        <v>145</v>
      </c>
      <c r="Q28" s="0" t="s">
        <v>227</v>
      </c>
      <c r="R28" s="0" t="b">
        <v>0</v>
      </c>
      <c r="S28" s="0" t="s">
        <v>3655</v>
      </c>
    </row>
    <row customHeight="1" ht="11.25">
      <c r="A29" s="0">
        <v>2655</v>
      </c>
      <c r="B29" s="0" t="s">
        <v>102</v>
      </c>
      <c r="C29" s="0">
        <v>31241680</v>
      </c>
      <c r="D29" s="0" t="s">
        <v>3916</v>
      </c>
      <c r="E29" s="0" t="s">
        <v>3917</v>
      </c>
      <c r="F29" s="0" t="s">
        <v>3918</v>
      </c>
      <c r="G29" s="0" t="s">
        <v>123</v>
      </c>
      <c r="H29" s="0" t="s">
        <v>3919</v>
      </c>
      <c r="I29" s="0" t="s">
        <v>3920</v>
      </c>
      <c r="J29" s="0" t="s">
        <v>3787</v>
      </c>
      <c r="K29" s="0" t="s">
        <v>3921</v>
      </c>
      <c r="L29" s="0" t="s">
        <v>3921</v>
      </c>
      <c r="M29" s="0" t="s">
        <v>3922</v>
      </c>
      <c r="N29" s="0" t="s">
        <v>3923</v>
      </c>
      <c r="O29" s="0" t="s">
        <v>3924</v>
      </c>
      <c r="P29" s="0" t="s">
        <v>3744</v>
      </c>
      <c r="Q29" s="0" t="s">
        <v>3925</v>
      </c>
      <c r="R29" s="0" t="b">
        <v>0</v>
      </c>
      <c r="S29" s="0" t="s">
        <v>3655</v>
      </c>
    </row>
    <row customHeight="1" ht="11.25">
      <c r="A30" s="0">
        <v>2655</v>
      </c>
      <c r="B30" s="0" t="s">
        <v>102</v>
      </c>
      <c r="C30" s="0">
        <v>31579664</v>
      </c>
      <c r="D30" s="0" t="s">
        <v>3926</v>
      </c>
      <c r="E30" s="0" t="s">
        <v>3927</v>
      </c>
      <c r="F30" s="0" t="s">
        <v>3928</v>
      </c>
      <c r="G30" s="0" t="s">
        <v>3727</v>
      </c>
      <c r="H30" s="0" t="s">
        <v>3929</v>
      </c>
      <c r="I30" s="0" t="s">
        <v>3930</v>
      </c>
      <c r="K30" s="0" t="s">
        <v>3931</v>
      </c>
      <c r="L30" s="0" t="s">
        <v>3932</v>
      </c>
      <c r="M30" s="0" t="s">
        <v>3933</v>
      </c>
      <c r="N30" s="0" t="s">
        <v>227</v>
      </c>
      <c r="O30" s="0" t="s">
        <v>3934</v>
      </c>
      <c r="P30" s="0" t="s">
        <v>145</v>
      </c>
      <c r="Q30" s="0" t="s">
        <v>3935</v>
      </c>
      <c r="R30" s="0" t="b">
        <v>1</v>
      </c>
      <c r="S30" s="0" t="s">
        <v>3655</v>
      </c>
    </row>
    <row customHeight="1" ht="11.25">
      <c r="A31" s="0">
        <v>2655</v>
      </c>
      <c r="B31" s="0" t="s">
        <v>102</v>
      </c>
      <c r="C31" s="0">
        <v>26322895</v>
      </c>
      <c r="D31" s="0" t="s">
        <v>3936</v>
      </c>
      <c r="E31" s="0" t="s">
        <v>3937</v>
      </c>
      <c r="F31" s="0" t="s">
        <v>3938</v>
      </c>
      <c r="G31" s="0" t="s">
        <v>3659</v>
      </c>
      <c r="H31" s="0" t="s">
        <v>3939</v>
      </c>
      <c r="I31" s="0" t="s">
        <v>3940</v>
      </c>
      <c r="J31" s="0" t="s">
        <v>3718</v>
      </c>
      <c r="K31" s="0" t="s">
        <v>3941</v>
      </c>
      <c r="L31" s="0" t="s">
        <v>3941</v>
      </c>
      <c r="M31" s="0" t="s">
        <v>3942</v>
      </c>
      <c r="N31" s="0" t="s">
        <v>3943</v>
      </c>
      <c r="O31" s="0" t="s">
        <v>3944</v>
      </c>
      <c r="P31" s="0" t="s">
        <v>3723</v>
      </c>
      <c r="Q31" s="0" t="s">
        <v>3945</v>
      </c>
      <c r="R31" s="0" t="b">
        <v>0</v>
      </c>
      <c r="S31" s="0" t="s">
        <v>3655</v>
      </c>
    </row>
    <row customHeight="1" ht="11.25">
      <c r="A32" s="0">
        <v>2655</v>
      </c>
      <c r="B32" s="0" t="s">
        <v>102</v>
      </c>
      <c r="C32" s="0">
        <v>28119331</v>
      </c>
      <c r="D32" s="0" t="s">
        <v>3946</v>
      </c>
      <c r="E32" s="0" t="s">
        <v>3947</v>
      </c>
      <c r="F32" s="0" t="s">
        <v>3948</v>
      </c>
      <c r="G32" s="0" t="s">
        <v>3659</v>
      </c>
      <c r="H32" s="0" t="s">
        <v>3949</v>
      </c>
      <c r="I32" s="0" t="s">
        <v>227</v>
      </c>
      <c r="J32" s="0" t="s">
        <v>128</v>
      </c>
      <c r="K32" s="0" t="s">
        <v>3950</v>
      </c>
      <c r="L32" s="0" t="s">
        <v>3950</v>
      </c>
      <c r="M32" s="0" t="s">
        <v>3951</v>
      </c>
      <c r="N32" s="0" t="s">
        <v>227</v>
      </c>
      <c r="O32" s="0" t="s">
        <v>3952</v>
      </c>
      <c r="P32" s="0" t="s">
        <v>3744</v>
      </c>
      <c r="Q32" s="0" t="s">
        <v>227</v>
      </c>
      <c r="R32" s="0" t="b">
        <v>1</v>
      </c>
      <c r="S32" s="0" t="s">
        <v>3655</v>
      </c>
    </row>
    <row customHeight="1" ht="11.25">
      <c r="A33" s="0">
        <v>2655</v>
      </c>
      <c r="B33" s="0" t="s">
        <v>102</v>
      </c>
      <c r="C33" s="0">
        <v>31775146</v>
      </c>
      <c r="D33" s="0" t="s">
        <v>3953</v>
      </c>
      <c r="E33" s="0" t="s">
        <v>3954</v>
      </c>
      <c r="F33" s="0" t="s">
        <v>3955</v>
      </c>
      <c r="G33" s="0" t="s">
        <v>3956</v>
      </c>
      <c r="H33" s="0" t="s">
        <v>3957</v>
      </c>
      <c r="I33" s="0" t="s">
        <v>3958</v>
      </c>
      <c r="K33" s="0" t="s">
        <v>3959</v>
      </c>
      <c r="L33" s="0" t="s">
        <v>3959</v>
      </c>
      <c r="M33" s="0" t="s">
        <v>3960</v>
      </c>
      <c r="N33" s="0" t="s">
        <v>3961</v>
      </c>
      <c r="O33" s="0" t="s">
        <v>3962</v>
      </c>
      <c r="P33" s="0" t="s">
        <v>3744</v>
      </c>
      <c r="Q33" s="0" t="s">
        <v>227</v>
      </c>
      <c r="R33" s="0" t="b">
        <v>1</v>
      </c>
      <c r="S33" s="0" t="s">
        <v>3655</v>
      </c>
    </row>
    <row customHeight="1" ht="11.25">
      <c r="A34" s="0">
        <v>2655</v>
      </c>
      <c r="B34" s="0" t="s">
        <v>102</v>
      </c>
      <c r="C34" s="0">
        <v>28869965</v>
      </c>
      <c r="D34" s="0" t="s">
        <v>3963</v>
      </c>
      <c r="E34" s="0" t="s">
        <v>3964</v>
      </c>
      <c r="F34" s="0" t="s">
        <v>3965</v>
      </c>
      <c r="G34" s="0" t="s">
        <v>3773</v>
      </c>
      <c r="H34" s="0" t="s">
        <v>3966</v>
      </c>
      <c r="I34" s="0" t="s">
        <v>227</v>
      </c>
      <c r="J34" s="0" t="s">
        <v>128</v>
      </c>
      <c r="K34" s="0" t="s">
        <v>3967</v>
      </c>
      <c r="L34" s="0" t="s">
        <v>3967</v>
      </c>
      <c r="M34" s="0" t="s">
        <v>3968</v>
      </c>
      <c r="N34" s="0" t="s">
        <v>3969</v>
      </c>
      <c r="O34" s="0" t="s">
        <v>3970</v>
      </c>
      <c r="P34" s="0" t="s">
        <v>3723</v>
      </c>
      <c r="Q34" s="0" t="s">
        <v>3971</v>
      </c>
      <c r="R34" s="0" t="b">
        <v>0</v>
      </c>
      <c r="S34" s="0" t="s">
        <v>3655</v>
      </c>
    </row>
    <row customHeight="1" ht="11.25">
      <c r="A35" s="0">
        <v>2655</v>
      </c>
      <c r="B35" s="0" t="s">
        <v>102</v>
      </c>
      <c r="C35" s="0">
        <v>31356597</v>
      </c>
      <c r="D35" s="0" t="s">
        <v>3972</v>
      </c>
      <c r="E35" s="0" t="s">
        <v>3973</v>
      </c>
      <c r="F35" s="0" t="s">
        <v>3974</v>
      </c>
      <c r="G35" s="0" t="s">
        <v>3851</v>
      </c>
      <c r="H35" s="0" t="s">
        <v>3975</v>
      </c>
      <c r="I35" s="0" t="s">
        <v>3976</v>
      </c>
      <c r="J35" s="0" t="s">
        <v>128</v>
      </c>
      <c r="K35" s="0" t="s">
        <v>3977</v>
      </c>
      <c r="L35" s="0" t="s">
        <v>3977</v>
      </c>
      <c r="M35" s="0" t="s">
        <v>3978</v>
      </c>
      <c r="N35" s="0" t="s">
        <v>3979</v>
      </c>
      <c r="O35" s="0" t="s">
        <v>3980</v>
      </c>
      <c r="P35" s="0" t="s">
        <v>3723</v>
      </c>
      <c r="Q35" s="0" t="s">
        <v>227</v>
      </c>
      <c r="R35" s="0" t="b">
        <v>0</v>
      </c>
      <c r="S35" s="0" t="s">
        <v>3655</v>
      </c>
    </row>
    <row customHeight="1" ht="11.25">
      <c r="A36" s="0">
        <v>2655</v>
      </c>
      <c r="B36" s="0" t="s">
        <v>102</v>
      </c>
      <c r="C36" s="0">
        <v>28136671</v>
      </c>
      <c r="D36" s="0" t="s">
        <v>3981</v>
      </c>
      <c r="E36" s="0" t="s">
        <v>3982</v>
      </c>
      <c r="F36" s="0" t="s">
        <v>3983</v>
      </c>
      <c r="G36" s="0" t="s">
        <v>3984</v>
      </c>
      <c r="H36" s="0" t="s">
        <v>3985</v>
      </c>
      <c r="I36" s="0" t="s">
        <v>3986</v>
      </c>
      <c r="J36" s="0" t="s">
        <v>128</v>
      </c>
      <c r="K36" s="0" t="s">
        <v>3987</v>
      </c>
      <c r="L36" s="0" t="s">
        <v>3988</v>
      </c>
      <c r="M36" s="0" t="s">
        <v>3989</v>
      </c>
      <c r="N36" s="0" t="s">
        <v>3990</v>
      </c>
      <c r="O36" s="0" t="s">
        <v>3991</v>
      </c>
      <c r="P36" s="0" t="s">
        <v>3667</v>
      </c>
      <c r="Q36" s="0" t="s">
        <v>227</v>
      </c>
      <c r="R36" s="0" t="b">
        <v>1</v>
      </c>
      <c r="S36" s="0" t="s">
        <v>3655</v>
      </c>
    </row>
    <row customHeight="1" ht="11.25">
      <c r="A37" s="0">
        <v>2655</v>
      </c>
      <c r="B37" s="0" t="s">
        <v>102</v>
      </c>
      <c r="C37" s="0">
        <v>30854705</v>
      </c>
      <c r="D37" s="0" t="s">
        <v>3992</v>
      </c>
      <c r="E37" s="0" t="s">
        <v>3993</v>
      </c>
      <c r="F37" s="0" t="s">
        <v>3994</v>
      </c>
      <c r="G37" s="0" t="s">
        <v>3682</v>
      </c>
      <c r="H37" s="0" t="s">
        <v>3995</v>
      </c>
      <c r="I37" s="0" t="s">
        <v>3996</v>
      </c>
      <c r="J37" s="0" t="s">
        <v>128</v>
      </c>
      <c r="K37" s="0" t="s">
        <v>3997</v>
      </c>
      <c r="L37" s="0" t="s">
        <v>3997</v>
      </c>
      <c r="M37" s="0" t="s">
        <v>3998</v>
      </c>
      <c r="N37" s="0" t="s">
        <v>3999</v>
      </c>
      <c r="O37" s="0" t="s">
        <v>4000</v>
      </c>
      <c r="P37" s="0" t="s">
        <v>3723</v>
      </c>
      <c r="Q37" s="0" t="s">
        <v>152</v>
      </c>
      <c r="R37" s="0" t="b">
        <v>0</v>
      </c>
      <c r="S37" s="0" t="s">
        <v>3655</v>
      </c>
    </row>
    <row customHeight="1" ht="11.25">
      <c r="A38" s="0">
        <v>2655</v>
      </c>
      <c r="B38" s="0" t="s">
        <v>102</v>
      </c>
      <c r="C38" s="0">
        <v>31656254</v>
      </c>
      <c r="D38" s="0" t="s">
        <v>4001</v>
      </c>
      <c r="E38" s="0" t="s">
        <v>4002</v>
      </c>
      <c r="F38" s="0" t="s">
        <v>4003</v>
      </c>
      <c r="G38" s="0" t="s">
        <v>4004</v>
      </c>
      <c r="H38" s="0" t="s">
        <v>4005</v>
      </c>
      <c r="I38" s="0" t="s">
        <v>4006</v>
      </c>
      <c r="K38" s="0" t="s">
        <v>4007</v>
      </c>
      <c r="L38" s="0" t="s">
        <v>4008</v>
      </c>
      <c r="M38" s="0" t="s">
        <v>4009</v>
      </c>
      <c r="N38" s="0" t="s">
        <v>4010</v>
      </c>
      <c r="O38" s="0" t="s">
        <v>4011</v>
      </c>
      <c r="P38" s="0" t="s">
        <v>145</v>
      </c>
      <c r="Q38" s="0" t="s">
        <v>4012</v>
      </c>
      <c r="R38" s="0" t="b">
        <v>0</v>
      </c>
      <c r="S38" s="0" t="s">
        <v>3655</v>
      </c>
    </row>
    <row customHeight="1" ht="11.25">
      <c r="A39" s="0">
        <v>2655</v>
      </c>
      <c r="B39" s="0" t="s">
        <v>102</v>
      </c>
      <c r="C39" s="0">
        <v>31424033</v>
      </c>
      <c r="D39" s="0" t="s">
        <v>4013</v>
      </c>
      <c r="E39" s="0" t="s">
        <v>4014</v>
      </c>
      <c r="F39" s="0" t="s">
        <v>4015</v>
      </c>
      <c r="G39" s="0" t="s">
        <v>4016</v>
      </c>
      <c r="H39" s="0" t="s">
        <v>4017</v>
      </c>
      <c r="I39" s="0" t="s">
        <v>227</v>
      </c>
      <c r="J39" s="0" t="s">
        <v>128</v>
      </c>
      <c r="K39" s="0" t="s">
        <v>227</v>
      </c>
      <c r="L39" s="0" t="s">
        <v>227</v>
      </c>
      <c r="M39" s="0" t="s">
        <v>227</v>
      </c>
      <c r="N39" s="0" t="s">
        <v>227</v>
      </c>
      <c r="O39" s="0" t="s">
        <v>227</v>
      </c>
      <c r="P39" s="0" t="s">
        <v>227</v>
      </c>
      <c r="Q39" s="0" t="s">
        <v>227</v>
      </c>
      <c r="R39" s="0" t="b">
        <v>0</v>
      </c>
      <c r="S39" s="0" t="s">
        <v>3655</v>
      </c>
    </row>
    <row customHeight="1" ht="11.25">
      <c r="A40" s="0">
        <v>2655</v>
      </c>
      <c r="B40" s="0" t="s">
        <v>102</v>
      </c>
      <c r="C40" s="0">
        <v>26428026</v>
      </c>
      <c r="D40" s="0" t="s">
        <v>4018</v>
      </c>
      <c r="E40" s="0" t="s">
        <v>4019</v>
      </c>
      <c r="F40" s="0" t="s">
        <v>4020</v>
      </c>
      <c r="G40" s="0" t="s">
        <v>4021</v>
      </c>
      <c r="H40" s="0" t="s">
        <v>4022</v>
      </c>
      <c r="I40" s="0" t="s">
        <v>227</v>
      </c>
      <c r="K40" s="0" t="s">
        <v>4023</v>
      </c>
      <c r="L40" s="0" t="s">
        <v>4023</v>
      </c>
      <c r="M40" s="0" t="s">
        <v>4024</v>
      </c>
      <c r="N40" s="0" t="s">
        <v>4025</v>
      </c>
      <c r="O40" s="0" t="s">
        <v>4026</v>
      </c>
      <c r="P40" s="0" t="s">
        <v>145</v>
      </c>
      <c r="Q40" s="0" t="s">
        <v>227</v>
      </c>
      <c r="R40" s="0" t="b">
        <v>1</v>
      </c>
      <c r="S40" s="0" t="s">
        <v>3655</v>
      </c>
    </row>
    <row customHeight="1" ht="11.25">
      <c r="A41" s="0">
        <v>2655</v>
      </c>
      <c r="B41" s="0" t="s">
        <v>102</v>
      </c>
      <c r="C41" s="0">
        <v>28151808</v>
      </c>
      <c r="D41" s="0" t="s">
        <v>4027</v>
      </c>
      <c r="E41" s="0" t="s">
        <v>4028</v>
      </c>
      <c r="F41" s="0" t="s">
        <v>4029</v>
      </c>
      <c r="G41" s="0" t="s">
        <v>3727</v>
      </c>
      <c r="H41" s="0" t="s">
        <v>4030</v>
      </c>
      <c r="I41" s="0" t="s">
        <v>4031</v>
      </c>
      <c r="J41" s="0" t="s">
        <v>128</v>
      </c>
      <c r="K41" s="0" t="s">
        <v>4032</v>
      </c>
      <c r="L41" s="0" t="s">
        <v>4033</v>
      </c>
      <c r="M41" s="0" t="s">
        <v>4034</v>
      </c>
      <c r="N41" s="0" t="s">
        <v>4035</v>
      </c>
      <c r="O41" s="0" t="s">
        <v>4036</v>
      </c>
      <c r="P41" s="0" t="s">
        <v>3723</v>
      </c>
      <c r="Q41" s="0" t="s">
        <v>227</v>
      </c>
      <c r="R41" s="0" t="b">
        <v>1</v>
      </c>
      <c r="S41" s="0" t="s">
        <v>3655</v>
      </c>
    </row>
    <row customHeight="1" ht="11.25">
      <c r="A42" s="0">
        <v>2655</v>
      </c>
      <c r="B42" s="0" t="s">
        <v>102</v>
      </c>
      <c r="C42" s="0">
        <v>31739633</v>
      </c>
      <c r="D42" s="0" t="s">
        <v>4037</v>
      </c>
      <c r="E42" s="0" t="s">
        <v>4038</v>
      </c>
      <c r="F42" s="0" t="s">
        <v>4039</v>
      </c>
      <c r="G42" s="0" t="s">
        <v>4040</v>
      </c>
      <c r="H42" s="0" t="s">
        <v>4041</v>
      </c>
      <c r="I42" s="0" t="s">
        <v>4042</v>
      </c>
      <c r="K42" s="0" t="s">
        <v>4043</v>
      </c>
      <c r="L42" s="0" t="s">
        <v>4043</v>
      </c>
      <c r="M42" s="0" t="s">
        <v>4044</v>
      </c>
      <c r="N42" s="0" t="s">
        <v>4045</v>
      </c>
      <c r="O42" s="0" t="s">
        <v>4046</v>
      </c>
      <c r="P42" s="0" t="s">
        <v>3744</v>
      </c>
      <c r="Q42" s="0" t="s">
        <v>227</v>
      </c>
      <c r="R42" s="0" t="b">
        <v>0</v>
      </c>
      <c r="S42" s="0" t="s">
        <v>3655</v>
      </c>
    </row>
    <row customHeight="1" ht="11.25">
      <c r="A43" s="0">
        <v>2655</v>
      </c>
      <c r="B43" s="0" t="s">
        <v>102</v>
      </c>
      <c r="C43" s="0">
        <v>31541617</v>
      </c>
      <c r="D43" s="0" t="s">
        <v>4047</v>
      </c>
      <c r="E43" s="0" t="s">
        <v>4048</v>
      </c>
      <c r="F43" s="0" t="s">
        <v>4049</v>
      </c>
      <c r="G43" s="0" t="s">
        <v>4050</v>
      </c>
      <c r="H43" s="0" t="s">
        <v>4051</v>
      </c>
      <c r="I43" s="0" t="s">
        <v>4052</v>
      </c>
      <c r="K43" s="0" t="s">
        <v>4053</v>
      </c>
      <c r="L43" s="0" t="s">
        <v>4053</v>
      </c>
      <c r="M43" s="0" t="s">
        <v>4054</v>
      </c>
      <c r="N43" s="0" t="s">
        <v>4055</v>
      </c>
      <c r="O43" s="0" t="s">
        <v>4056</v>
      </c>
      <c r="P43" s="0" t="s">
        <v>3744</v>
      </c>
      <c r="Q43" s="0" t="s">
        <v>227</v>
      </c>
      <c r="R43" s="0" t="b">
        <v>1</v>
      </c>
      <c r="S43" s="0" t="s">
        <v>3655</v>
      </c>
    </row>
    <row customHeight="1" ht="11.25">
      <c r="A44" s="0">
        <v>2655</v>
      </c>
      <c r="B44" s="0" t="s">
        <v>102</v>
      </c>
      <c r="C44" s="0">
        <v>26356987</v>
      </c>
      <c r="D44" s="0" t="s">
        <v>4057</v>
      </c>
      <c r="E44" s="0" t="s">
        <v>4058</v>
      </c>
      <c r="F44" s="0" t="s">
        <v>4059</v>
      </c>
      <c r="G44" s="0" t="s">
        <v>4060</v>
      </c>
      <c r="H44" s="0" t="s">
        <v>4061</v>
      </c>
      <c r="I44" s="0" t="s">
        <v>4062</v>
      </c>
      <c r="J44" s="0" t="s">
        <v>128</v>
      </c>
      <c r="K44" s="0" t="s">
        <v>4063</v>
      </c>
      <c r="L44" s="0" t="s">
        <v>4063</v>
      </c>
      <c r="M44" s="0" t="s">
        <v>4064</v>
      </c>
      <c r="N44" s="0" t="s">
        <v>4065</v>
      </c>
      <c r="O44" s="0" t="s">
        <v>4066</v>
      </c>
      <c r="P44" s="0" t="s">
        <v>3744</v>
      </c>
      <c r="Q44" s="0" t="s">
        <v>4067</v>
      </c>
      <c r="R44" s="0" t="b">
        <v>0</v>
      </c>
      <c r="S44" s="0" t="s">
        <v>3655</v>
      </c>
    </row>
    <row customHeight="1" ht="11.25">
      <c r="A45" s="0">
        <v>2655</v>
      </c>
      <c r="B45" s="0" t="s">
        <v>102</v>
      </c>
      <c r="C45" s="0">
        <v>26356891</v>
      </c>
      <c r="D45" s="0" t="s">
        <v>4068</v>
      </c>
      <c r="E45" s="0" t="s">
        <v>4069</v>
      </c>
      <c r="F45" s="0" t="s">
        <v>4070</v>
      </c>
      <c r="G45" s="0" t="s">
        <v>3880</v>
      </c>
      <c r="H45" s="0" t="s">
        <v>4071</v>
      </c>
      <c r="I45" s="0" t="s">
        <v>4072</v>
      </c>
      <c r="J45" s="0" t="s">
        <v>128</v>
      </c>
      <c r="K45" s="0" t="s">
        <v>4073</v>
      </c>
      <c r="L45" s="0" t="s">
        <v>4073</v>
      </c>
      <c r="M45" s="0" t="s">
        <v>4074</v>
      </c>
      <c r="N45" s="0" t="s">
        <v>4075</v>
      </c>
      <c r="O45" s="0" t="s">
        <v>4076</v>
      </c>
      <c r="P45" s="0" t="s">
        <v>145</v>
      </c>
      <c r="Q45" s="0" t="s">
        <v>227</v>
      </c>
      <c r="R45" s="0" t="b">
        <v>0</v>
      </c>
      <c r="S45" s="0" t="s">
        <v>3655</v>
      </c>
    </row>
    <row customHeight="1" ht="11.25">
      <c r="A46" s="0">
        <v>2655</v>
      </c>
      <c r="B46" s="0" t="s">
        <v>102</v>
      </c>
      <c r="C46" s="0">
        <v>31241637</v>
      </c>
      <c r="D46" s="0" t="s">
        <v>4077</v>
      </c>
      <c r="E46" s="0" t="s">
        <v>4078</v>
      </c>
      <c r="F46" s="0" t="s">
        <v>4079</v>
      </c>
      <c r="G46" s="0" t="s">
        <v>3899</v>
      </c>
      <c r="H46" s="0" t="s">
        <v>4080</v>
      </c>
      <c r="I46" s="0" t="s">
        <v>4081</v>
      </c>
      <c r="J46" s="0" t="s">
        <v>128</v>
      </c>
      <c r="K46" s="0" t="s">
        <v>4082</v>
      </c>
      <c r="L46" s="0" t="s">
        <v>4082</v>
      </c>
      <c r="M46" s="0" t="s">
        <v>4083</v>
      </c>
      <c r="N46" s="0" t="s">
        <v>227</v>
      </c>
      <c r="O46" s="0" t="s">
        <v>4084</v>
      </c>
      <c r="P46" s="0" t="s">
        <v>3744</v>
      </c>
      <c r="Q46" s="0" t="s">
        <v>227</v>
      </c>
      <c r="R46" s="0" t="b">
        <v>0</v>
      </c>
      <c r="S46" s="0" t="s">
        <v>3655</v>
      </c>
    </row>
    <row customHeight="1" ht="11.25">
      <c r="A47" s="0">
        <v>2655</v>
      </c>
      <c r="B47" s="0" t="s">
        <v>102</v>
      </c>
      <c r="C47" s="0">
        <v>26356937</v>
      </c>
      <c r="D47" s="0" t="s">
        <v>4085</v>
      </c>
      <c r="E47" s="0" t="s">
        <v>4086</v>
      </c>
      <c r="F47" s="0" t="s">
        <v>4087</v>
      </c>
      <c r="G47" s="0" t="s">
        <v>3956</v>
      </c>
      <c r="H47" s="0" t="s">
        <v>4088</v>
      </c>
      <c r="I47" s="0" t="s">
        <v>4089</v>
      </c>
      <c r="J47" s="0" t="s">
        <v>128</v>
      </c>
      <c r="K47" s="0" t="s">
        <v>4090</v>
      </c>
      <c r="L47" s="0" t="s">
        <v>4090</v>
      </c>
      <c r="M47" s="0" t="s">
        <v>4091</v>
      </c>
      <c r="N47" s="0" t="s">
        <v>4092</v>
      </c>
      <c r="O47" s="0" t="s">
        <v>4093</v>
      </c>
      <c r="P47" s="0" t="s">
        <v>3744</v>
      </c>
      <c r="Q47" s="0" t="s">
        <v>4094</v>
      </c>
      <c r="R47" s="0" t="b">
        <v>0</v>
      </c>
      <c r="S47" s="0" t="s">
        <v>3655</v>
      </c>
    </row>
    <row customHeight="1" ht="11.25">
      <c r="A48" s="0">
        <v>2655</v>
      </c>
      <c r="B48" s="0" t="s">
        <v>102</v>
      </c>
      <c r="C48" s="0">
        <v>33000834</v>
      </c>
      <c r="D48" s="0" t="s">
        <v>112</v>
      </c>
      <c r="E48" s="0" t="s">
        <v>115</v>
      </c>
      <c r="F48" s="0" t="s">
        <v>121</v>
      </c>
      <c r="G48" s="0" t="s">
        <v>123</v>
      </c>
      <c r="H48" s="0" t="s">
        <v>119</v>
      </c>
      <c r="I48" s="0" t="s">
        <v>125</v>
      </c>
      <c r="K48" s="0" t="s">
        <v>131</v>
      </c>
      <c r="L48" s="0" t="s">
        <v>131</v>
      </c>
      <c r="M48" s="0" t="s">
        <v>136</v>
      </c>
      <c r="N48" s="0" t="s">
        <v>139</v>
      </c>
      <c r="O48" s="0" t="s">
        <v>142</v>
      </c>
      <c r="P48" s="0" t="s">
        <v>145</v>
      </c>
      <c r="Q48" s="0" t="s">
        <v>148</v>
      </c>
      <c r="R48" s="0" t="b">
        <v>0</v>
      </c>
      <c r="S48" s="0" t="s">
        <v>3655</v>
      </c>
    </row>
    <row customHeight="1" ht="11.25">
      <c r="A49" s="0">
        <v>2655</v>
      </c>
      <c r="B49" s="0" t="s">
        <v>102</v>
      </c>
      <c r="C49" s="0">
        <v>31770754</v>
      </c>
      <c r="D49" s="0" t="s">
        <v>4095</v>
      </c>
      <c r="E49" s="0" t="s">
        <v>4096</v>
      </c>
      <c r="F49" s="0" t="s">
        <v>4097</v>
      </c>
      <c r="G49" s="0" t="s">
        <v>4040</v>
      </c>
      <c r="H49" s="0" t="s">
        <v>4098</v>
      </c>
      <c r="I49" s="0" t="s">
        <v>4099</v>
      </c>
      <c r="K49" s="0" t="s">
        <v>4100</v>
      </c>
      <c r="L49" s="0" t="s">
        <v>4101</v>
      </c>
      <c r="M49" s="0" t="s">
        <v>4102</v>
      </c>
      <c r="N49" s="0" t="s">
        <v>4103</v>
      </c>
      <c r="O49" s="0" t="s">
        <v>4104</v>
      </c>
      <c r="P49" s="0" t="s">
        <v>145</v>
      </c>
      <c r="Q49" s="0" t="s">
        <v>227</v>
      </c>
      <c r="R49" s="0" t="b">
        <v>1</v>
      </c>
      <c r="S49" s="0" t="s">
        <v>3655</v>
      </c>
    </row>
    <row customHeight="1" ht="11.25">
      <c r="A50" s="0">
        <v>2655</v>
      </c>
      <c r="B50" s="0" t="s">
        <v>102</v>
      </c>
      <c r="C50" s="0">
        <v>31528492</v>
      </c>
      <c r="D50" s="0" t="s">
        <v>4105</v>
      </c>
      <c r="E50" s="0" t="s">
        <v>4106</v>
      </c>
      <c r="F50" s="0" t="s">
        <v>4107</v>
      </c>
      <c r="G50" s="0" t="s">
        <v>3899</v>
      </c>
      <c r="H50" s="0" t="s">
        <v>4108</v>
      </c>
      <c r="I50" s="0" t="s">
        <v>4109</v>
      </c>
      <c r="K50" s="0" t="s">
        <v>4110</v>
      </c>
      <c r="L50" s="0" t="s">
        <v>4110</v>
      </c>
      <c r="M50" s="0" t="s">
        <v>4111</v>
      </c>
      <c r="N50" s="0" t="s">
        <v>4112</v>
      </c>
      <c r="O50" s="0" t="s">
        <v>4113</v>
      </c>
      <c r="P50" s="0" t="s">
        <v>3667</v>
      </c>
      <c r="Q50" s="0" t="s">
        <v>227</v>
      </c>
      <c r="R50" s="0" t="b">
        <v>0</v>
      </c>
      <c r="S50" s="0" t="s">
        <v>3655</v>
      </c>
    </row>
    <row customHeight="1" ht="11.25">
      <c r="A51" s="0">
        <v>2655</v>
      </c>
      <c r="B51" s="0" t="s">
        <v>102</v>
      </c>
      <c r="C51" s="0">
        <v>28270293</v>
      </c>
      <c r="D51" s="0" t="s">
        <v>4114</v>
      </c>
      <c r="E51" s="0" t="s">
        <v>4115</v>
      </c>
      <c r="F51" s="0" t="s">
        <v>4116</v>
      </c>
      <c r="G51" s="0" t="s">
        <v>3880</v>
      </c>
      <c r="H51" s="0" t="s">
        <v>4117</v>
      </c>
      <c r="I51" s="0" t="s">
        <v>4118</v>
      </c>
      <c r="J51" s="0" t="s">
        <v>128</v>
      </c>
      <c r="K51" s="0" t="s">
        <v>4119</v>
      </c>
      <c r="L51" s="0" t="s">
        <v>4119</v>
      </c>
      <c r="M51" s="0" t="s">
        <v>4120</v>
      </c>
      <c r="N51" s="0" t="s">
        <v>4121</v>
      </c>
      <c r="O51" s="0" t="s">
        <v>4122</v>
      </c>
      <c r="P51" s="0" t="s">
        <v>3723</v>
      </c>
      <c r="Q51" s="0" t="s">
        <v>227</v>
      </c>
      <c r="R51" s="0" t="b">
        <v>0</v>
      </c>
      <c r="S51" s="0" t="s">
        <v>3655</v>
      </c>
    </row>
    <row customHeight="1" ht="11.25">
      <c r="A52" s="0">
        <v>2655</v>
      </c>
      <c r="B52" s="0" t="s">
        <v>102</v>
      </c>
      <c r="C52" s="0">
        <v>28873362</v>
      </c>
      <c r="D52" s="0" t="s">
        <v>4123</v>
      </c>
      <c r="E52" s="0" t="s">
        <v>4124</v>
      </c>
      <c r="F52" s="0" t="s">
        <v>4125</v>
      </c>
      <c r="G52" s="0" t="s">
        <v>3659</v>
      </c>
      <c r="H52" s="0" t="s">
        <v>4126</v>
      </c>
      <c r="I52" s="0" t="s">
        <v>4127</v>
      </c>
      <c r="J52" s="0" t="s">
        <v>128</v>
      </c>
      <c r="K52" s="0" t="s">
        <v>4128</v>
      </c>
      <c r="L52" s="0" t="s">
        <v>4128</v>
      </c>
      <c r="M52" s="0" t="s">
        <v>4129</v>
      </c>
      <c r="N52" s="0" t="s">
        <v>4130</v>
      </c>
      <c r="O52" s="0" t="s">
        <v>4131</v>
      </c>
      <c r="P52" s="0" t="s">
        <v>145</v>
      </c>
      <c r="Q52" s="0" t="s">
        <v>4132</v>
      </c>
      <c r="R52" s="0" t="b">
        <v>0</v>
      </c>
      <c r="S52" s="0" t="s">
        <v>3655</v>
      </c>
    </row>
    <row customHeight="1" ht="11.25">
      <c r="A53" s="0">
        <v>2655</v>
      </c>
      <c r="B53" s="0" t="s">
        <v>102</v>
      </c>
      <c r="C53" s="0">
        <v>28976681</v>
      </c>
      <c r="D53" s="0" t="s">
        <v>4133</v>
      </c>
      <c r="E53" s="0" t="s">
        <v>4134</v>
      </c>
      <c r="F53" s="0" t="s">
        <v>4135</v>
      </c>
      <c r="G53" s="0" t="s">
        <v>3880</v>
      </c>
      <c r="H53" s="0" t="s">
        <v>4136</v>
      </c>
      <c r="I53" s="0" t="s">
        <v>4137</v>
      </c>
      <c r="J53" s="0" t="s">
        <v>128</v>
      </c>
      <c r="K53" s="0" t="s">
        <v>4138</v>
      </c>
      <c r="L53" s="0" t="s">
        <v>4138</v>
      </c>
      <c r="M53" s="0" t="s">
        <v>4139</v>
      </c>
      <c r="N53" s="0" t="s">
        <v>227</v>
      </c>
      <c r="O53" s="0" t="s">
        <v>4140</v>
      </c>
      <c r="P53" s="0" t="s">
        <v>145</v>
      </c>
      <c r="Q53" s="0" t="s">
        <v>227</v>
      </c>
      <c r="R53" s="0" t="b">
        <v>1</v>
      </c>
      <c r="S53" s="0" t="s">
        <v>3655</v>
      </c>
    </row>
    <row customHeight="1" ht="11.25">
      <c r="A54" s="0">
        <v>2655</v>
      </c>
      <c r="B54" s="0" t="s">
        <v>102</v>
      </c>
      <c r="C54" s="0">
        <v>30992391</v>
      </c>
      <c r="D54" s="0" t="s">
        <v>4141</v>
      </c>
      <c r="E54" s="0" t="s">
        <v>4142</v>
      </c>
      <c r="F54" s="0" t="s">
        <v>4143</v>
      </c>
      <c r="G54" s="0" t="s">
        <v>3773</v>
      </c>
      <c r="H54" s="0" t="s">
        <v>4144</v>
      </c>
      <c r="I54" s="0" t="s">
        <v>4145</v>
      </c>
      <c r="J54" s="0" t="s">
        <v>128</v>
      </c>
      <c r="K54" s="0" t="s">
        <v>4146</v>
      </c>
      <c r="L54" s="0" t="s">
        <v>4147</v>
      </c>
      <c r="M54" s="0" t="s">
        <v>4148</v>
      </c>
      <c r="N54" s="0" t="s">
        <v>4149</v>
      </c>
      <c r="O54" s="0" t="s">
        <v>4150</v>
      </c>
      <c r="P54" s="0" t="s">
        <v>145</v>
      </c>
      <c r="Q54" s="0" t="s">
        <v>4151</v>
      </c>
      <c r="R54" s="0" t="b">
        <v>0</v>
      </c>
      <c r="S54" s="0" t="s">
        <v>3655</v>
      </c>
    </row>
    <row customHeight="1" ht="11.25">
      <c r="A55" s="0">
        <v>2655</v>
      </c>
      <c r="B55" s="0" t="s">
        <v>102</v>
      </c>
      <c r="C55" s="0">
        <v>26853991</v>
      </c>
      <c r="D55" s="0" t="s">
        <v>4152</v>
      </c>
      <c r="E55" s="0" t="s">
        <v>4153</v>
      </c>
      <c r="F55" s="0" t="s">
        <v>4154</v>
      </c>
      <c r="G55" s="0" t="s">
        <v>4155</v>
      </c>
      <c r="H55" s="0" t="s">
        <v>4156</v>
      </c>
      <c r="I55" s="0" t="s">
        <v>4157</v>
      </c>
      <c r="J55" s="0" t="s">
        <v>3647</v>
      </c>
      <c r="K55" s="0" t="s">
        <v>227</v>
      </c>
      <c r="L55" s="0" t="s">
        <v>4158</v>
      </c>
      <c r="M55" s="0" t="s">
        <v>4159</v>
      </c>
      <c r="N55" s="0" t="s">
        <v>4160</v>
      </c>
      <c r="O55" s="0" t="s">
        <v>4161</v>
      </c>
      <c r="P55" s="0" t="s">
        <v>3700</v>
      </c>
      <c r="Q55" s="0" t="s">
        <v>227</v>
      </c>
      <c r="R55" s="0" t="b">
        <v>0</v>
      </c>
      <c r="S55" s="0" t="s">
        <v>3655</v>
      </c>
    </row>
    <row customHeight="1" ht="11.25">
      <c r="A56" s="0">
        <v>2655</v>
      </c>
      <c r="B56" s="0" t="s">
        <v>102</v>
      </c>
      <c r="C56" s="0">
        <v>31908312</v>
      </c>
      <c r="D56" s="0" t="s">
        <v>4152</v>
      </c>
      <c r="E56" s="0" t="s">
        <v>4162</v>
      </c>
      <c r="F56" s="0" t="s">
        <v>4154</v>
      </c>
      <c r="G56" s="0" t="s">
        <v>4155</v>
      </c>
      <c r="H56" s="0" t="s">
        <v>4156</v>
      </c>
      <c r="I56" s="0" t="s">
        <v>4157</v>
      </c>
      <c r="K56" s="0" t="s">
        <v>4163</v>
      </c>
      <c r="L56" s="0" t="s">
        <v>4163</v>
      </c>
      <c r="M56" s="0" t="s">
        <v>4164</v>
      </c>
      <c r="N56" s="0" t="s">
        <v>4165</v>
      </c>
      <c r="O56" s="0" t="s">
        <v>4166</v>
      </c>
      <c r="P56" s="0" t="s">
        <v>227</v>
      </c>
      <c r="Q56" s="0" t="s">
        <v>4167</v>
      </c>
      <c r="R56" s="0" t="b">
        <v>0</v>
      </c>
      <c r="S56" s="0" t="s">
        <v>3655</v>
      </c>
    </row>
    <row customHeight="1" ht="11.25">
      <c r="A57" s="0">
        <v>2655</v>
      </c>
      <c r="B57" s="0" t="s">
        <v>102</v>
      </c>
      <c r="C57" s="0">
        <v>30808511</v>
      </c>
      <c r="D57" s="0" t="s">
        <v>4168</v>
      </c>
      <c r="E57" s="0" t="s">
        <v>4168</v>
      </c>
      <c r="F57" s="0" t="s">
        <v>4169</v>
      </c>
      <c r="G57" s="0" t="s">
        <v>4170</v>
      </c>
      <c r="H57" s="0" t="s">
        <v>4171</v>
      </c>
      <c r="I57" s="0" t="s">
        <v>4172</v>
      </c>
      <c r="J57" s="0" t="s">
        <v>4173</v>
      </c>
      <c r="K57" s="0" t="s">
        <v>4174</v>
      </c>
      <c r="L57" s="0" t="s">
        <v>4175</v>
      </c>
      <c r="M57" s="0" t="s">
        <v>4176</v>
      </c>
      <c r="N57" s="0" t="s">
        <v>227</v>
      </c>
      <c r="O57" s="0" t="s">
        <v>4177</v>
      </c>
      <c r="P57" s="0" t="s">
        <v>145</v>
      </c>
      <c r="Q57" s="0" t="s">
        <v>4178</v>
      </c>
      <c r="R57" s="0" t="b">
        <v>0</v>
      </c>
      <c r="S57" s="0" t="s">
        <v>3655</v>
      </c>
    </row>
    <row customHeight="1" ht="11.25">
      <c r="A58" s="0">
        <v>2655</v>
      </c>
      <c r="B58" s="0" t="s">
        <v>102</v>
      </c>
      <c r="C58" s="0">
        <v>26520873</v>
      </c>
      <c r="D58" s="0" t="s">
        <v>4179</v>
      </c>
      <c r="E58" s="0" t="s">
        <v>4180</v>
      </c>
      <c r="F58" s="0" t="s">
        <v>4169</v>
      </c>
      <c r="G58" s="0" t="s">
        <v>4181</v>
      </c>
      <c r="H58" s="0" t="s">
        <v>4171</v>
      </c>
      <c r="I58" s="0" t="s">
        <v>4182</v>
      </c>
      <c r="J58" s="0" t="s">
        <v>4173</v>
      </c>
      <c r="K58" s="0" t="s">
        <v>4183</v>
      </c>
      <c r="L58" s="0" t="s">
        <v>4184</v>
      </c>
      <c r="M58" s="0" t="s">
        <v>4185</v>
      </c>
      <c r="N58" s="0" t="s">
        <v>4186</v>
      </c>
      <c r="O58" s="0" t="s">
        <v>4187</v>
      </c>
      <c r="P58" s="0" t="s">
        <v>145</v>
      </c>
      <c r="Q58" s="0" t="s">
        <v>4188</v>
      </c>
      <c r="R58" s="0" t="b">
        <v>0</v>
      </c>
      <c r="S58" s="0" t="s">
        <v>3655</v>
      </c>
    </row>
    <row customHeight="1" ht="11.25">
      <c r="A59" s="0">
        <v>2655</v>
      </c>
      <c r="B59" s="0" t="s">
        <v>102</v>
      </c>
      <c r="C59" s="0">
        <v>30984255</v>
      </c>
      <c r="D59" s="0" t="s">
        <v>4189</v>
      </c>
      <c r="E59" s="0" t="s">
        <v>4190</v>
      </c>
      <c r="F59" s="0" t="s">
        <v>4191</v>
      </c>
      <c r="G59" s="0" t="s">
        <v>3727</v>
      </c>
      <c r="H59" s="0" t="s">
        <v>4192</v>
      </c>
      <c r="I59" s="0" t="s">
        <v>4193</v>
      </c>
      <c r="J59" s="0" t="s">
        <v>4194</v>
      </c>
      <c r="K59" s="0" t="s">
        <v>4195</v>
      </c>
      <c r="L59" s="0" t="s">
        <v>4195</v>
      </c>
      <c r="M59" s="0" t="s">
        <v>4196</v>
      </c>
      <c r="N59" s="0" t="s">
        <v>4197</v>
      </c>
      <c r="O59" s="0" t="s">
        <v>4198</v>
      </c>
      <c r="P59" s="0" t="s">
        <v>4199</v>
      </c>
      <c r="Q59" s="0" t="s">
        <v>227</v>
      </c>
      <c r="R59" s="0" t="b">
        <v>0</v>
      </c>
      <c r="S59" s="0" t="s">
        <v>3655</v>
      </c>
    </row>
    <row customHeight="1" ht="11.25">
      <c r="A60" s="0">
        <v>2655</v>
      </c>
      <c r="B60" s="0" t="s">
        <v>102</v>
      </c>
      <c r="C60" s="0">
        <v>28976938</v>
      </c>
      <c r="D60" s="0" t="s">
        <v>3641</v>
      </c>
      <c r="E60" s="0" t="s">
        <v>3642</v>
      </c>
      <c r="F60" s="0" t="s">
        <v>3643</v>
      </c>
      <c r="G60" s="0" t="s">
        <v>3644</v>
      </c>
      <c r="H60" s="0" t="s">
        <v>3645</v>
      </c>
      <c r="I60" s="0" t="s">
        <v>3646</v>
      </c>
      <c r="J60" s="0" t="s">
        <v>3647</v>
      </c>
      <c r="K60" s="0" t="s">
        <v>3648</v>
      </c>
      <c r="L60" s="0" t="s">
        <v>3649</v>
      </c>
      <c r="M60" s="0" t="s">
        <v>3650</v>
      </c>
      <c r="N60" s="0" t="s">
        <v>3651</v>
      </c>
      <c r="O60" s="0" t="s">
        <v>3652</v>
      </c>
      <c r="P60" s="0" t="s">
        <v>3653</v>
      </c>
      <c r="Q60" s="0" t="s">
        <v>3654</v>
      </c>
      <c r="R60" s="0" t="b">
        <v>0</v>
      </c>
      <c r="S60" s="0" t="s">
        <v>4200</v>
      </c>
    </row>
    <row customHeight="1" ht="11.25">
      <c r="A61" s="0">
        <v>2655</v>
      </c>
      <c r="B61" s="0" t="s">
        <v>102</v>
      </c>
      <c r="C61" s="0">
        <v>26356915</v>
      </c>
      <c r="D61" s="0" t="s">
        <v>4201</v>
      </c>
      <c r="E61" s="0" t="s">
        <v>4202</v>
      </c>
      <c r="F61" s="0" t="s">
        <v>4203</v>
      </c>
      <c r="G61" s="0" t="s">
        <v>3869</v>
      </c>
      <c r="H61" s="0" t="s">
        <v>4204</v>
      </c>
      <c r="I61" s="0" t="s">
        <v>4205</v>
      </c>
      <c r="J61" s="0" t="s">
        <v>3647</v>
      </c>
      <c r="K61" s="0" t="s">
        <v>4206</v>
      </c>
      <c r="L61" s="0" t="s">
        <v>4206</v>
      </c>
      <c r="M61" s="0" t="s">
        <v>4207</v>
      </c>
      <c r="N61" s="0" t="s">
        <v>4208</v>
      </c>
      <c r="O61" s="0" t="s">
        <v>4209</v>
      </c>
      <c r="P61" s="0" t="s">
        <v>3723</v>
      </c>
      <c r="Q61" s="0" t="s">
        <v>152</v>
      </c>
      <c r="R61" s="0" t="b">
        <v>0</v>
      </c>
      <c r="S61" s="0" t="s">
        <v>4200</v>
      </c>
    </row>
    <row customHeight="1" ht="11.25">
      <c r="A62" s="0">
        <v>2655</v>
      </c>
      <c r="B62" s="0" t="s">
        <v>102</v>
      </c>
      <c r="C62" s="0">
        <v>27857950</v>
      </c>
      <c r="D62" s="0" t="s">
        <v>4210</v>
      </c>
      <c r="E62" s="0" t="s">
        <v>4211</v>
      </c>
      <c r="F62" s="0" t="s">
        <v>4212</v>
      </c>
      <c r="G62" s="0" t="s">
        <v>4060</v>
      </c>
      <c r="H62" s="0" t="s">
        <v>4213</v>
      </c>
      <c r="I62" s="0" t="s">
        <v>4214</v>
      </c>
      <c r="J62" s="0" t="s">
        <v>3647</v>
      </c>
      <c r="K62" s="0" t="s">
        <v>4215</v>
      </c>
      <c r="L62" s="0" t="s">
        <v>4215</v>
      </c>
      <c r="M62" s="0" t="s">
        <v>4216</v>
      </c>
      <c r="N62" s="0" t="s">
        <v>4217</v>
      </c>
      <c r="O62" s="0" t="s">
        <v>4218</v>
      </c>
      <c r="P62" s="0" t="s">
        <v>3744</v>
      </c>
      <c r="Q62" s="0" t="s">
        <v>227</v>
      </c>
      <c r="R62" s="0" t="b">
        <v>1</v>
      </c>
      <c r="S62" s="0" t="s">
        <v>4200</v>
      </c>
    </row>
    <row customHeight="1" ht="11.25">
      <c r="A63" s="0">
        <v>2655</v>
      </c>
      <c r="B63" s="0" t="s">
        <v>102</v>
      </c>
      <c r="C63" s="0">
        <v>26356963</v>
      </c>
      <c r="D63" s="0" t="s">
        <v>3679</v>
      </c>
      <c r="E63" s="0" t="s">
        <v>3680</v>
      </c>
      <c r="F63" s="0" t="s">
        <v>3681</v>
      </c>
      <c r="G63" s="0" t="s">
        <v>3682</v>
      </c>
      <c r="H63" s="0" t="s">
        <v>3683</v>
      </c>
      <c r="I63" s="0" t="s">
        <v>227</v>
      </c>
      <c r="J63" s="0" t="s">
        <v>3647</v>
      </c>
      <c r="K63" s="0" t="s">
        <v>3684</v>
      </c>
      <c r="L63" s="0" t="s">
        <v>3684</v>
      </c>
      <c r="M63" s="0" t="s">
        <v>3685</v>
      </c>
      <c r="N63" s="0" t="s">
        <v>3686</v>
      </c>
      <c r="O63" s="0" t="s">
        <v>3687</v>
      </c>
      <c r="P63" s="0" t="s">
        <v>3688</v>
      </c>
      <c r="Q63" s="0" t="s">
        <v>227</v>
      </c>
      <c r="R63" s="0" t="b">
        <v>0</v>
      </c>
      <c r="S63" s="0" t="s">
        <v>4200</v>
      </c>
    </row>
    <row customHeight="1" ht="11.25">
      <c r="A64" s="0">
        <v>2655</v>
      </c>
      <c r="B64" s="0" t="s">
        <v>102</v>
      </c>
      <c r="C64" s="0">
        <v>31833446</v>
      </c>
      <c r="D64" s="0" t="s">
        <v>4219</v>
      </c>
      <c r="E64" s="0" t="s">
        <v>4220</v>
      </c>
      <c r="F64" s="0" t="s">
        <v>4221</v>
      </c>
      <c r="G64" s="0" t="s">
        <v>3659</v>
      </c>
      <c r="H64" s="0" t="s">
        <v>4222</v>
      </c>
      <c r="I64" s="0" t="s">
        <v>227</v>
      </c>
      <c r="K64" s="0" t="s">
        <v>227</v>
      </c>
      <c r="L64" s="0" t="s">
        <v>4223</v>
      </c>
      <c r="M64" s="0" t="s">
        <v>227</v>
      </c>
      <c r="N64" s="0" t="s">
        <v>227</v>
      </c>
      <c r="O64" s="0" t="s">
        <v>4224</v>
      </c>
      <c r="P64" s="0" t="s">
        <v>3667</v>
      </c>
      <c r="Q64" s="0" t="s">
        <v>227</v>
      </c>
      <c r="R64" s="0" t="b">
        <v>0</v>
      </c>
      <c r="S64" s="0" t="s">
        <v>4200</v>
      </c>
    </row>
    <row customHeight="1" ht="11.25">
      <c r="A65" s="0">
        <v>2655</v>
      </c>
      <c r="B65" s="0" t="s">
        <v>102</v>
      </c>
      <c r="C65" s="0">
        <v>27820148</v>
      </c>
      <c r="D65" s="0" t="s">
        <v>4225</v>
      </c>
      <c r="E65" s="0" t="s">
        <v>4226</v>
      </c>
      <c r="F65" s="0" t="s">
        <v>4227</v>
      </c>
      <c r="G65" s="0" t="s">
        <v>3956</v>
      </c>
      <c r="H65" s="0" t="s">
        <v>4228</v>
      </c>
      <c r="I65" s="0" t="s">
        <v>4229</v>
      </c>
      <c r="J65" s="0" t="s">
        <v>3647</v>
      </c>
      <c r="K65" s="0" t="s">
        <v>4230</v>
      </c>
      <c r="L65" s="0" t="s">
        <v>4230</v>
      </c>
      <c r="M65" s="0" t="s">
        <v>4231</v>
      </c>
      <c r="N65" s="0" t="s">
        <v>4232</v>
      </c>
      <c r="O65" s="0" t="s">
        <v>4233</v>
      </c>
      <c r="P65" s="0" t="s">
        <v>4234</v>
      </c>
      <c r="Q65" s="0" t="s">
        <v>4235</v>
      </c>
      <c r="R65" s="0" t="b">
        <v>0</v>
      </c>
      <c r="S65" s="0" t="s">
        <v>4200</v>
      </c>
    </row>
    <row customHeight="1" ht="11.25">
      <c r="A66" s="0">
        <v>2655</v>
      </c>
      <c r="B66" s="0" t="s">
        <v>102</v>
      </c>
      <c r="C66" s="0">
        <v>26322867</v>
      </c>
      <c r="D66" s="0" t="s">
        <v>3745</v>
      </c>
      <c r="E66" s="0" t="s">
        <v>3746</v>
      </c>
      <c r="F66" s="0" t="s">
        <v>3747</v>
      </c>
      <c r="G66" s="0" t="s">
        <v>3692</v>
      </c>
      <c r="H66" s="0" t="s">
        <v>3748</v>
      </c>
      <c r="I66" s="0" t="s">
        <v>3749</v>
      </c>
      <c r="J66" s="0" t="s">
        <v>3647</v>
      </c>
      <c r="K66" s="0" t="s">
        <v>3750</v>
      </c>
      <c r="L66" s="0" t="s">
        <v>3750</v>
      </c>
      <c r="M66" s="0" t="s">
        <v>3751</v>
      </c>
      <c r="N66" s="0" t="s">
        <v>3752</v>
      </c>
      <c r="O66" s="0" t="s">
        <v>3753</v>
      </c>
      <c r="P66" s="0" t="s">
        <v>3723</v>
      </c>
      <c r="Q66" s="0" t="s">
        <v>3754</v>
      </c>
      <c r="R66" s="0" t="b">
        <v>0</v>
      </c>
      <c r="S66" s="0" t="s">
        <v>4200</v>
      </c>
    </row>
    <row customHeight="1" ht="11.25">
      <c r="A67" s="0">
        <v>2655</v>
      </c>
      <c r="B67" s="0" t="s">
        <v>102</v>
      </c>
      <c r="C67" s="0">
        <v>26824396</v>
      </c>
      <c r="D67" s="0" t="s">
        <v>3764</v>
      </c>
      <c r="E67" s="0" t="s">
        <v>3765</v>
      </c>
      <c r="F67" s="0" t="s">
        <v>3726</v>
      </c>
      <c r="G67" s="0" t="s">
        <v>3766</v>
      </c>
      <c r="H67" s="0" t="s">
        <v>3728</v>
      </c>
      <c r="I67" s="0" t="s">
        <v>227</v>
      </c>
      <c r="J67" s="0" t="s">
        <v>3718</v>
      </c>
      <c r="K67" s="0" t="s">
        <v>3767</v>
      </c>
      <c r="L67" s="0" t="s">
        <v>3767</v>
      </c>
      <c r="M67" s="0" t="s">
        <v>3768</v>
      </c>
      <c r="N67" s="0" t="s">
        <v>227</v>
      </c>
      <c r="O67" s="0" t="s">
        <v>3769</v>
      </c>
      <c r="P67" s="0" t="s">
        <v>3763</v>
      </c>
      <c r="Q67" s="0" t="s">
        <v>227</v>
      </c>
      <c r="R67" s="0" t="b">
        <v>0</v>
      </c>
      <c r="S67" s="0" t="s">
        <v>4200</v>
      </c>
    </row>
    <row customHeight="1" ht="11.25">
      <c r="A68" s="0">
        <v>2655</v>
      </c>
      <c r="B68" s="0" t="s">
        <v>102</v>
      </c>
      <c r="C68" s="0">
        <v>30365193</v>
      </c>
      <c r="D68" s="0" t="s">
        <v>4236</v>
      </c>
      <c r="E68" s="0" t="s">
        <v>4237</v>
      </c>
      <c r="F68" s="0" t="s">
        <v>4238</v>
      </c>
      <c r="G68" s="0" t="s">
        <v>3659</v>
      </c>
      <c r="H68" s="0" t="s">
        <v>4239</v>
      </c>
      <c r="I68" s="0" t="s">
        <v>227</v>
      </c>
      <c r="J68" s="0" t="s">
        <v>4240</v>
      </c>
      <c r="K68" s="0" t="s">
        <v>4241</v>
      </c>
      <c r="L68" s="0" t="s">
        <v>4241</v>
      </c>
      <c r="M68" s="0" t="s">
        <v>227</v>
      </c>
      <c r="N68" s="0" t="s">
        <v>227</v>
      </c>
      <c r="O68" s="0" t="s">
        <v>4242</v>
      </c>
      <c r="P68" s="0" t="s">
        <v>4243</v>
      </c>
      <c r="Q68" s="0" t="s">
        <v>227</v>
      </c>
      <c r="R68" s="0" t="b">
        <v>0</v>
      </c>
      <c r="S68" s="0" t="s">
        <v>4200</v>
      </c>
    </row>
    <row customHeight="1" ht="11.25">
      <c r="A69" s="0">
        <v>2655</v>
      </c>
      <c r="B69" s="0" t="s">
        <v>102</v>
      </c>
      <c r="C69" s="0">
        <v>31232672</v>
      </c>
      <c r="D69" s="0" t="s">
        <v>3770</v>
      </c>
      <c r="E69" s="0" t="s">
        <v>3771</v>
      </c>
      <c r="F69" s="0" t="s">
        <v>3772</v>
      </c>
      <c r="G69" s="0" t="s">
        <v>3773</v>
      </c>
      <c r="H69" s="0" t="s">
        <v>3774</v>
      </c>
      <c r="I69" s="0" t="s">
        <v>3775</v>
      </c>
      <c r="J69" s="0" t="s">
        <v>3776</v>
      </c>
      <c r="K69" s="0" t="s">
        <v>3777</v>
      </c>
      <c r="L69" s="0" t="s">
        <v>3777</v>
      </c>
      <c r="M69" s="0" t="s">
        <v>3778</v>
      </c>
      <c r="N69" s="0" t="s">
        <v>3779</v>
      </c>
      <c r="O69" s="0" t="s">
        <v>3780</v>
      </c>
      <c r="P69" s="0" t="s">
        <v>145</v>
      </c>
      <c r="Q69" s="0" t="s">
        <v>227</v>
      </c>
      <c r="R69" s="0" t="b">
        <v>0</v>
      </c>
      <c r="S69" s="0" t="s">
        <v>4200</v>
      </c>
    </row>
    <row customHeight="1" ht="11.25">
      <c r="A70" s="0">
        <v>2655</v>
      </c>
      <c r="B70" s="0" t="s">
        <v>102</v>
      </c>
      <c r="C70" s="0">
        <v>27978231</v>
      </c>
      <c r="D70" s="0" t="s">
        <v>4244</v>
      </c>
      <c r="E70" s="0" t="s">
        <v>4245</v>
      </c>
      <c r="F70" s="0" t="s">
        <v>4246</v>
      </c>
      <c r="G70" s="0" t="s">
        <v>3851</v>
      </c>
      <c r="H70" s="0" t="s">
        <v>4247</v>
      </c>
      <c r="I70" s="0" t="s">
        <v>4248</v>
      </c>
      <c r="J70" s="0" t="s">
        <v>3776</v>
      </c>
      <c r="K70" s="0" t="s">
        <v>4249</v>
      </c>
      <c r="L70" s="0" t="s">
        <v>4250</v>
      </c>
      <c r="M70" s="0" t="s">
        <v>4251</v>
      </c>
      <c r="N70" s="0" t="s">
        <v>227</v>
      </c>
      <c r="O70" s="0" t="s">
        <v>4252</v>
      </c>
      <c r="P70" s="0" t="s">
        <v>145</v>
      </c>
      <c r="Q70" s="0" t="s">
        <v>227</v>
      </c>
      <c r="R70" s="0" t="b">
        <v>0</v>
      </c>
      <c r="S70" s="0" t="s">
        <v>4200</v>
      </c>
    </row>
    <row customHeight="1" ht="11.25">
      <c r="A71" s="0">
        <v>2655</v>
      </c>
      <c r="B71" s="0" t="s">
        <v>102</v>
      </c>
      <c r="C71" s="0">
        <v>30808700</v>
      </c>
      <c r="D71" s="0" t="s">
        <v>3802</v>
      </c>
      <c r="E71" s="0" t="s">
        <v>3803</v>
      </c>
      <c r="F71" s="0" t="s">
        <v>3804</v>
      </c>
      <c r="G71" s="0" t="s">
        <v>3727</v>
      </c>
      <c r="H71" s="0" t="s">
        <v>3805</v>
      </c>
      <c r="I71" s="0" t="s">
        <v>3806</v>
      </c>
      <c r="J71" s="0" t="s">
        <v>3787</v>
      </c>
      <c r="K71" s="0" t="s">
        <v>3807</v>
      </c>
      <c r="L71" s="0" t="s">
        <v>3808</v>
      </c>
      <c r="M71" s="0" t="s">
        <v>3809</v>
      </c>
      <c r="N71" s="0" t="s">
        <v>3810</v>
      </c>
      <c r="O71" s="0" t="s">
        <v>3811</v>
      </c>
      <c r="P71" s="0" t="s">
        <v>3744</v>
      </c>
      <c r="Q71" s="0" t="s">
        <v>227</v>
      </c>
      <c r="R71" s="0" t="b">
        <v>1</v>
      </c>
      <c r="S71" s="0" t="s">
        <v>4200</v>
      </c>
    </row>
    <row customHeight="1" ht="11.25">
      <c r="A72" s="0">
        <v>2655</v>
      </c>
      <c r="B72" s="0" t="s">
        <v>102</v>
      </c>
      <c r="C72" s="0">
        <v>31319221</v>
      </c>
      <c r="D72" s="0" t="s">
        <v>3812</v>
      </c>
      <c r="E72" s="0" t="s">
        <v>3813</v>
      </c>
      <c r="F72" s="0" t="s">
        <v>3814</v>
      </c>
      <c r="G72" s="0" t="s">
        <v>3784</v>
      </c>
      <c r="H72" s="0" t="s">
        <v>3815</v>
      </c>
      <c r="I72" s="0" t="s">
        <v>3816</v>
      </c>
      <c r="J72" s="0" t="s">
        <v>3776</v>
      </c>
      <c r="K72" s="0" t="s">
        <v>3817</v>
      </c>
      <c r="L72" s="0" t="s">
        <v>3818</v>
      </c>
      <c r="M72" s="0" t="s">
        <v>3819</v>
      </c>
      <c r="N72" s="0" t="s">
        <v>3820</v>
      </c>
      <c r="O72" s="0" t="s">
        <v>3821</v>
      </c>
      <c r="P72" s="0" t="s">
        <v>145</v>
      </c>
      <c r="Q72" s="0" t="s">
        <v>227</v>
      </c>
      <c r="R72" s="0" t="b">
        <v>0</v>
      </c>
      <c r="S72" s="0" t="s">
        <v>4200</v>
      </c>
    </row>
    <row customHeight="1" ht="11.25">
      <c r="A73" s="0">
        <v>2655</v>
      </c>
      <c r="B73" s="0" t="s">
        <v>102</v>
      </c>
      <c r="C73" s="0">
        <v>31419990</v>
      </c>
      <c r="D73" s="0" t="s">
        <v>3822</v>
      </c>
      <c r="E73" s="0" t="s">
        <v>3823</v>
      </c>
      <c r="F73" s="0" t="s">
        <v>3824</v>
      </c>
      <c r="G73" s="0" t="s">
        <v>123</v>
      </c>
      <c r="H73" s="0" t="s">
        <v>3825</v>
      </c>
      <c r="I73" s="0" t="s">
        <v>3826</v>
      </c>
      <c r="J73" s="0" t="s">
        <v>3776</v>
      </c>
      <c r="K73" s="0" t="s">
        <v>3827</v>
      </c>
      <c r="L73" s="0" t="s">
        <v>3827</v>
      </c>
      <c r="M73" s="0" t="s">
        <v>3828</v>
      </c>
      <c r="N73" s="0" t="s">
        <v>3829</v>
      </c>
      <c r="O73" s="0" t="s">
        <v>3830</v>
      </c>
      <c r="P73" s="0" t="s">
        <v>145</v>
      </c>
      <c r="Q73" s="0" t="s">
        <v>3831</v>
      </c>
      <c r="R73" s="0" t="b">
        <v>0</v>
      </c>
      <c r="S73" s="0" t="s">
        <v>4200</v>
      </c>
    </row>
    <row customHeight="1" ht="11.25">
      <c r="A74" s="0">
        <v>2655</v>
      </c>
      <c r="B74" s="0" t="s">
        <v>102</v>
      </c>
      <c r="C74" s="0">
        <v>31343443</v>
      </c>
      <c r="D74" s="0" t="s">
        <v>3832</v>
      </c>
      <c r="E74" s="0" t="s">
        <v>3833</v>
      </c>
      <c r="F74" s="0" t="s">
        <v>3834</v>
      </c>
      <c r="G74" s="0" t="s">
        <v>3727</v>
      </c>
      <c r="H74" s="0" t="s">
        <v>3835</v>
      </c>
      <c r="I74" s="0" t="s">
        <v>3836</v>
      </c>
      <c r="J74" s="0" t="s">
        <v>3776</v>
      </c>
      <c r="K74" s="0" t="s">
        <v>3837</v>
      </c>
      <c r="L74" s="0" t="s">
        <v>3837</v>
      </c>
      <c r="N74" s="0" t="s">
        <v>3838</v>
      </c>
      <c r="O74" s="0" t="s">
        <v>3839</v>
      </c>
      <c r="P74" s="0" t="s">
        <v>3744</v>
      </c>
      <c r="R74" s="0" t="b">
        <v>0</v>
      </c>
      <c r="S74" s="0" t="s">
        <v>4200</v>
      </c>
    </row>
    <row customHeight="1" ht="11.25">
      <c r="A75" s="0">
        <v>2655</v>
      </c>
      <c r="B75" s="0" t="s">
        <v>102</v>
      </c>
      <c r="C75" s="0">
        <v>31367841</v>
      </c>
      <c r="D75" s="0" t="s">
        <v>3840</v>
      </c>
      <c r="E75" s="0" t="s">
        <v>3841</v>
      </c>
      <c r="F75" s="0" t="s">
        <v>3842</v>
      </c>
      <c r="G75" s="0" t="s">
        <v>3843</v>
      </c>
      <c r="H75" s="0" t="s">
        <v>3844</v>
      </c>
      <c r="I75" s="0" t="s">
        <v>3845</v>
      </c>
      <c r="J75" s="0" t="s">
        <v>3787</v>
      </c>
      <c r="K75" s="0" t="s">
        <v>3846</v>
      </c>
      <c r="L75" s="0" t="s">
        <v>3846</v>
      </c>
      <c r="M75" s="0" t="s">
        <v>227</v>
      </c>
      <c r="N75" s="0" t="s">
        <v>139</v>
      </c>
      <c r="O75" s="0" t="s">
        <v>3847</v>
      </c>
      <c r="P75" s="0" t="s">
        <v>145</v>
      </c>
      <c r="Q75" s="0" t="s">
        <v>227</v>
      </c>
      <c r="R75" s="0" t="b">
        <v>0</v>
      </c>
      <c r="S75" s="0" t="s">
        <v>4200</v>
      </c>
    </row>
    <row customHeight="1" ht="11.25">
      <c r="A76" s="0">
        <v>2655</v>
      </c>
      <c r="B76" s="0" t="s">
        <v>102</v>
      </c>
      <c r="C76" s="0">
        <v>31087651</v>
      </c>
      <c r="D76" s="0" t="s">
        <v>3848</v>
      </c>
      <c r="E76" s="0" t="s">
        <v>3849</v>
      </c>
      <c r="F76" s="0" t="s">
        <v>3850</v>
      </c>
      <c r="G76" s="0" t="s">
        <v>3851</v>
      </c>
      <c r="H76" s="0" t="s">
        <v>3852</v>
      </c>
      <c r="I76" s="0" t="s">
        <v>3853</v>
      </c>
      <c r="J76" s="0" t="s">
        <v>3776</v>
      </c>
      <c r="K76" s="0" t="s">
        <v>3854</v>
      </c>
      <c r="L76" s="0" t="s">
        <v>3854</v>
      </c>
      <c r="M76" s="0" t="s">
        <v>3855</v>
      </c>
      <c r="N76" s="0" t="s">
        <v>3856</v>
      </c>
      <c r="O76" s="0" t="s">
        <v>3857</v>
      </c>
      <c r="R76" s="0" t="b">
        <v>0</v>
      </c>
      <c r="S76" s="0" t="s">
        <v>4200</v>
      </c>
    </row>
    <row customHeight="1" ht="11.25">
      <c r="A77" s="0">
        <v>2655</v>
      </c>
      <c r="B77" s="0" t="s">
        <v>102</v>
      </c>
      <c r="C77" s="0">
        <v>31367862</v>
      </c>
      <c r="D77" s="0" t="s">
        <v>3858</v>
      </c>
      <c r="E77" s="0" t="s">
        <v>3859</v>
      </c>
      <c r="F77" s="0" t="s">
        <v>3860</v>
      </c>
      <c r="G77" s="0" t="s">
        <v>3843</v>
      </c>
      <c r="H77" s="0" t="s">
        <v>3861</v>
      </c>
      <c r="I77" s="0" t="s">
        <v>3862</v>
      </c>
      <c r="J77" s="0" t="s">
        <v>3776</v>
      </c>
      <c r="K77" s="0" t="s">
        <v>3863</v>
      </c>
      <c r="L77" s="0" t="s">
        <v>3863</v>
      </c>
      <c r="M77" s="0" t="s">
        <v>227</v>
      </c>
      <c r="N77" s="0" t="s">
        <v>3864</v>
      </c>
      <c r="O77" s="0" t="s">
        <v>3865</v>
      </c>
      <c r="P77" s="0" t="s">
        <v>145</v>
      </c>
      <c r="Q77" s="0" t="s">
        <v>227</v>
      </c>
      <c r="R77" s="0" t="b">
        <v>0</v>
      </c>
      <c r="S77" s="0" t="s">
        <v>4200</v>
      </c>
    </row>
    <row customHeight="1" ht="11.25">
      <c r="A78" s="0">
        <v>2655</v>
      </c>
      <c r="B78" s="0" t="s">
        <v>102</v>
      </c>
      <c r="C78" s="0">
        <v>31329806</v>
      </c>
      <c r="D78" s="0" t="s">
        <v>4253</v>
      </c>
      <c r="E78" s="0" t="s">
        <v>4254</v>
      </c>
      <c r="F78" s="0" t="s">
        <v>4255</v>
      </c>
      <c r="G78" s="0" t="s">
        <v>3682</v>
      </c>
      <c r="H78" s="0" t="s">
        <v>4256</v>
      </c>
      <c r="I78" s="0" t="s">
        <v>4257</v>
      </c>
      <c r="J78" s="0" t="s">
        <v>3787</v>
      </c>
      <c r="K78" s="0" t="s">
        <v>4258</v>
      </c>
      <c r="L78" s="0" t="s">
        <v>4258</v>
      </c>
      <c r="M78" s="0" t="s">
        <v>4259</v>
      </c>
      <c r="N78" s="0" t="s">
        <v>4260</v>
      </c>
      <c r="O78" s="0" t="s">
        <v>4261</v>
      </c>
      <c r="P78" s="0" t="s">
        <v>145</v>
      </c>
      <c r="Q78" s="0" t="s">
        <v>227</v>
      </c>
      <c r="R78" s="0" t="b">
        <v>0</v>
      </c>
      <c r="S78" s="0" t="s">
        <v>4200</v>
      </c>
    </row>
    <row customHeight="1" ht="11.25">
      <c r="A79" s="0">
        <v>2655</v>
      </c>
      <c r="B79" s="0" t="s">
        <v>102</v>
      </c>
      <c r="C79" s="0">
        <v>31003143</v>
      </c>
      <c r="D79" s="0" t="s">
        <v>3886</v>
      </c>
      <c r="E79" s="0" t="s">
        <v>3887</v>
      </c>
      <c r="F79" s="0" t="s">
        <v>3888</v>
      </c>
      <c r="G79" s="0" t="s">
        <v>3880</v>
      </c>
      <c r="H79" s="0" t="s">
        <v>3889</v>
      </c>
      <c r="I79" s="0" t="s">
        <v>3890</v>
      </c>
      <c r="J79" s="0" t="s">
        <v>3787</v>
      </c>
      <c r="K79" s="0" t="s">
        <v>3891</v>
      </c>
      <c r="L79" s="0" t="s">
        <v>3892</v>
      </c>
      <c r="M79" s="0" t="s">
        <v>3893</v>
      </c>
      <c r="N79" s="0" t="s">
        <v>3894</v>
      </c>
      <c r="O79" s="0" t="s">
        <v>3895</v>
      </c>
      <c r="P79" s="0" t="s">
        <v>145</v>
      </c>
      <c r="Q79" s="0" t="s">
        <v>227</v>
      </c>
      <c r="R79" s="0" t="b">
        <v>1</v>
      </c>
      <c r="S79" s="0" t="s">
        <v>4200</v>
      </c>
    </row>
    <row customHeight="1" ht="11.25">
      <c r="A80" s="0">
        <v>2655</v>
      </c>
      <c r="B80" s="0" t="s">
        <v>102</v>
      </c>
      <c r="C80" s="0">
        <v>31308226</v>
      </c>
      <c r="D80" s="0" t="s">
        <v>3896</v>
      </c>
      <c r="E80" s="0" t="s">
        <v>3897</v>
      </c>
      <c r="F80" s="0" t="s">
        <v>3898</v>
      </c>
      <c r="G80" s="0" t="s">
        <v>3899</v>
      </c>
      <c r="H80" s="0" t="s">
        <v>3900</v>
      </c>
      <c r="I80" s="0" t="s">
        <v>3901</v>
      </c>
      <c r="J80" s="0" t="s">
        <v>3787</v>
      </c>
      <c r="K80" s="0" t="s">
        <v>3902</v>
      </c>
      <c r="L80" s="0" t="s">
        <v>3902</v>
      </c>
      <c r="M80" s="0" t="s">
        <v>3903</v>
      </c>
      <c r="N80" s="0" t="s">
        <v>3904</v>
      </c>
      <c r="O80" s="0" t="s">
        <v>3905</v>
      </c>
      <c r="P80" s="0" t="s">
        <v>3744</v>
      </c>
      <c r="Q80" s="0" t="s">
        <v>227</v>
      </c>
      <c r="R80" s="0" t="b">
        <v>1</v>
      </c>
      <c r="S80" s="0" t="s">
        <v>4200</v>
      </c>
    </row>
    <row customHeight="1" ht="11.25">
      <c r="A81" s="0">
        <v>2655</v>
      </c>
      <c r="B81" s="0" t="s">
        <v>102</v>
      </c>
      <c r="C81" s="0">
        <v>31284269</v>
      </c>
      <c r="D81" s="0" t="s">
        <v>3906</v>
      </c>
      <c r="E81" s="0" t="s">
        <v>3907</v>
      </c>
      <c r="F81" s="0" t="s">
        <v>3908</v>
      </c>
      <c r="G81" s="0" t="s">
        <v>3851</v>
      </c>
      <c r="H81" s="0" t="s">
        <v>3909</v>
      </c>
      <c r="I81" s="0" t="s">
        <v>3910</v>
      </c>
      <c r="J81" s="0" t="s">
        <v>3787</v>
      </c>
      <c r="K81" s="0" t="s">
        <v>3911</v>
      </c>
      <c r="L81" s="0" t="s">
        <v>3912</v>
      </c>
      <c r="M81" s="0" t="s">
        <v>3913</v>
      </c>
      <c r="N81" s="0" t="s">
        <v>3914</v>
      </c>
      <c r="O81" s="0" t="s">
        <v>3915</v>
      </c>
      <c r="P81" s="0" t="s">
        <v>145</v>
      </c>
      <c r="Q81" s="0" t="s">
        <v>227</v>
      </c>
      <c r="R81" s="0" t="b">
        <v>0</v>
      </c>
      <c r="S81" s="0" t="s">
        <v>4200</v>
      </c>
    </row>
    <row customHeight="1" ht="11.25">
      <c r="A82" s="0">
        <v>2655</v>
      </c>
      <c r="B82" s="0" t="s">
        <v>102</v>
      </c>
      <c r="C82" s="0">
        <v>31241680</v>
      </c>
      <c r="D82" s="0" t="s">
        <v>3916</v>
      </c>
      <c r="E82" s="0" t="s">
        <v>3917</v>
      </c>
      <c r="F82" s="0" t="s">
        <v>3918</v>
      </c>
      <c r="G82" s="0" t="s">
        <v>123</v>
      </c>
      <c r="H82" s="0" t="s">
        <v>3919</v>
      </c>
      <c r="I82" s="0" t="s">
        <v>3920</v>
      </c>
      <c r="J82" s="0" t="s">
        <v>3787</v>
      </c>
      <c r="K82" s="0" t="s">
        <v>3921</v>
      </c>
      <c r="L82" s="0" t="s">
        <v>3921</v>
      </c>
      <c r="M82" s="0" t="s">
        <v>3922</v>
      </c>
      <c r="N82" s="0" t="s">
        <v>3923</v>
      </c>
      <c r="O82" s="0" t="s">
        <v>3924</v>
      </c>
      <c r="P82" s="0" t="s">
        <v>3744</v>
      </c>
      <c r="Q82" s="0" t="s">
        <v>3925</v>
      </c>
      <c r="R82" s="0" t="b">
        <v>0</v>
      </c>
      <c r="S82" s="0" t="s">
        <v>4200</v>
      </c>
    </row>
    <row customHeight="1" ht="11.25">
      <c r="A83" s="0">
        <v>2655</v>
      </c>
      <c r="B83" s="0" t="s">
        <v>102</v>
      </c>
      <c r="C83" s="0">
        <v>31579664</v>
      </c>
      <c r="D83" s="0" t="s">
        <v>3926</v>
      </c>
      <c r="E83" s="0" t="s">
        <v>3927</v>
      </c>
      <c r="F83" s="0" t="s">
        <v>3928</v>
      </c>
      <c r="G83" s="0" t="s">
        <v>3727</v>
      </c>
      <c r="H83" s="0" t="s">
        <v>3929</v>
      </c>
      <c r="I83" s="0" t="s">
        <v>3930</v>
      </c>
      <c r="K83" s="0" t="s">
        <v>3931</v>
      </c>
      <c r="L83" s="0" t="s">
        <v>3932</v>
      </c>
      <c r="M83" s="0" t="s">
        <v>3933</v>
      </c>
      <c r="N83" s="0" t="s">
        <v>227</v>
      </c>
      <c r="O83" s="0" t="s">
        <v>3934</v>
      </c>
      <c r="P83" s="0" t="s">
        <v>145</v>
      </c>
      <c r="Q83" s="0" t="s">
        <v>3935</v>
      </c>
      <c r="R83" s="0" t="b">
        <v>1</v>
      </c>
      <c r="S83" s="0" t="s">
        <v>4200</v>
      </c>
    </row>
    <row customHeight="1" ht="11.25">
      <c r="A84" s="0">
        <v>2655</v>
      </c>
      <c r="B84" s="0" t="s">
        <v>102</v>
      </c>
      <c r="C84" s="0">
        <v>26322895</v>
      </c>
      <c r="D84" s="0" t="s">
        <v>3936</v>
      </c>
      <c r="E84" s="0" t="s">
        <v>3937</v>
      </c>
      <c r="F84" s="0" t="s">
        <v>3938</v>
      </c>
      <c r="G84" s="0" t="s">
        <v>3659</v>
      </c>
      <c r="H84" s="0" t="s">
        <v>3939</v>
      </c>
      <c r="I84" s="0" t="s">
        <v>3940</v>
      </c>
      <c r="J84" s="0" t="s">
        <v>3718</v>
      </c>
      <c r="K84" s="0" t="s">
        <v>3941</v>
      </c>
      <c r="L84" s="0" t="s">
        <v>3941</v>
      </c>
      <c r="M84" s="0" t="s">
        <v>3942</v>
      </c>
      <c r="N84" s="0" t="s">
        <v>3943</v>
      </c>
      <c r="O84" s="0" t="s">
        <v>3944</v>
      </c>
      <c r="P84" s="0" t="s">
        <v>3723</v>
      </c>
      <c r="Q84" s="0" t="s">
        <v>3945</v>
      </c>
      <c r="R84" s="0" t="b">
        <v>0</v>
      </c>
      <c r="S84" s="0" t="s">
        <v>4200</v>
      </c>
    </row>
    <row customHeight="1" ht="11.25">
      <c r="A85" s="0">
        <v>2655</v>
      </c>
      <c r="B85" s="0" t="s">
        <v>102</v>
      </c>
      <c r="C85" s="0">
        <v>27784286</v>
      </c>
      <c r="D85" s="0" t="s">
        <v>4262</v>
      </c>
      <c r="E85" s="0" t="s">
        <v>4263</v>
      </c>
      <c r="F85" s="0" t="s">
        <v>4264</v>
      </c>
      <c r="G85" s="0" t="s">
        <v>3899</v>
      </c>
      <c r="H85" s="0" t="s">
        <v>4265</v>
      </c>
      <c r="I85" s="0" t="s">
        <v>4266</v>
      </c>
      <c r="K85" s="0" t="s">
        <v>4267</v>
      </c>
      <c r="L85" s="0" t="s">
        <v>4267</v>
      </c>
      <c r="M85" s="0" t="s">
        <v>4268</v>
      </c>
      <c r="N85" s="0" t="s">
        <v>4269</v>
      </c>
      <c r="O85" s="0" t="s">
        <v>4270</v>
      </c>
      <c r="P85" s="0" t="s">
        <v>3723</v>
      </c>
      <c r="Q85" s="0" t="s">
        <v>4271</v>
      </c>
      <c r="R85" s="0" t="b">
        <v>0</v>
      </c>
      <c r="S85" s="0" t="s">
        <v>4200</v>
      </c>
    </row>
    <row customHeight="1" ht="11.25">
      <c r="A86" s="0">
        <v>2655</v>
      </c>
      <c r="B86" s="0" t="s">
        <v>102</v>
      </c>
      <c r="C86" s="0">
        <v>26428076</v>
      </c>
      <c r="D86" s="0" t="s">
        <v>4272</v>
      </c>
      <c r="E86" s="0" t="s">
        <v>4273</v>
      </c>
      <c r="F86" s="0" t="s">
        <v>4274</v>
      </c>
      <c r="G86" s="0" t="s">
        <v>3880</v>
      </c>
      <c r="H86" s="0" t="s">
        <v>4275</v>
      </c>
      <c r="I86" s="0" t="s">
        <v>227</v>
      </c>
      <c r="K86" s="0" t="s">
        <v>4276</v>
      </c>
      <c r="L86" s="0" t="s">
        <v>4276</v>
      </c>
      <c r="M86" s="0" t="s">
        <v>4277</v>
      </c>
      <c r="N86" s="0" t="s">
        <v>4278</v>
      </c>
      <c r="O86" s="0" t="s">
        <v>227</v>
      </c>
      <c r="P86" s="0" t="s">
        <v>227</v>
      </c>
      <c r="Q86" s="0" t="s">
        <v>227</v>
      </c>
      <c r="R86" s="0" t="b">
        <v>0</v>
      </c>
      <c r="S86" s="0" t="s">
        <v>4200</v>
      </c>
    </row>
    <row customHeight="1" ht="11.25">
      <c r="A87" s="0">
        <v>2655</v>
      </c>
      <c r="B87" s="0" t="s">
        <v>102</v>
      </c>
      <c r="C87" s="0">
        <v>28954370</v>
      </c>
      <c r="D87" s="0" t="s">
        <v>4279</v>
      </c>
      <c r="E87" s="0" t="s">
        <v>4280</v>
      </c>
      <c r="F87" s="0" t="s">
        <v>4281</v>
      </c>
      <c r="G87" s="0" t="s">
        <v>3880</v>
      </c>
      <c r="H87" s="0" t="s">
        <v>4282</v>
      </c>
      <c r="I87" s="0" t="s">
        <v>4283</v>
      </c>
      <c r="J87" s="0" t="s">
        <v>128</v>
      </c>
      <c r="K87" s="0" t="s">
        <v>4284</v>
      </c>
      <c r="L87" s="0" t="s">
        <v>4284</v>
      </c>
      <c r="M87" s="0" t="s">
        <v>4285</v>
      </c>
      <c r="N87" s="0" t="s">
        <v>4286</v>
      </c>
      <c r="O87" s="0" t="s">
        <v>4287</v>
      </c>
      <c r="P87" s="0" t="s">
        <v>145</v>
      </c>
      <c r="Q87" s="0" t="s">
        <v>227</v>
      </c>
      <c r="R87" s="0" t="b">
        <v>1</v>
      </c>
      <c r="S87" s="0" t="s">
        <v>4200</v>
      </c>
    </row>
    <row customHeight="1" ht="11.25">
      <c r="A88" s="0">
        <v>2655</v>
      </c>
      <c r="B88" s="0" t="s">
        <v>102</v>
      </c>
      <c r="C88" s="0">
        <v>31774016</v>
      </c>
      <c r="D88" s="0" t="s">
        <v>4288</v>
      </c>
      <c r="E88" s="0" t="s">
        <v>4289</v>
      </c>
      <c r="F88" s="0" t="s">
        <v>4290</v>
      </c>
      <c r="G88" s="0" t="s">
        <v>3899</v>
      </c>
      <c r="H88" s="0" t="s">
        <v>4291</v>
      </c>
      <c r="I88" s="0" t="s">
        <v>4292</v>
      </c>
      <c r="K88" s="0" t="s">
        <v>4293</v>
      </c>
      <c r="L88" s="0" t="s">
        <v>4294</v>
      </c>
      <c r="M88" s="0" t="s">
        <v>4295</v>
      </c>
      <c r="N88" s="0" t="s">
        <v>4296</v>
      </c>
      <c r="O88" s="0" t="s">
        <v>4297</v>
      </c>
      <c r="P88" s="0" t="s">
        <v>3667</v>
      </c>
      <c r="Q88" s="0" t="s">
        <v>227</v>
      </c>
      <c r="R88" s="0" t="b">
        <v>1</v>
      </c>
      <c r="S88" s="0" t="s">
        <v>4200</v>
      </c>
    </row>
    <row customHeight="1" ht="11.25">
      <c r="A89" s="0">
        <v>2655</v>
      </c>
      <c r="B89" s="0" t="s">
        <v>102</v>
      </c>
      <c r="C89" s="0">
        <v>28869965</v>
      </c>
      <c r="D89" s="0" t="s">
        <v>3963</v>
      </c>
      <c r="E89" s="0" t="s">
        <v>3964</v>
      </c>
      <c r="F89" s="0" t="s">
        <v>3965</v>
      </c>
      <c r="G89" s="0" t="s">
        <v>3773</v>
      </c>
      <c r="H89" s="0" t="s">
        <v>3966</v>
      </c>
      <c r="I89" s="0" t="s">
        <v>227</v>
      </c>
      <c r="J89" s="0" t="s">
        <v>128</v>
      </c>
      <c r="K89" s="0" t="s">
        <v>3967</v>
      </c>
      <c r="L89" s="0" t="s">
        <v>3967</v>
      </c>
      <c r="M89" s="0" t="s">
        <v>3968</v>
      </c>
      <c r="N89" s="0" t="s">
        <v>3969</v>
      </c>
      <c r="O89" s="0" t="s">
        <v>3970</v>
      </c>
      <c r="P89" s="0" t="s">
        <v>3723</v>
      </c>
      <c r="Q89" s="0" t="s">
        <v>3971</v>
      </c>
      <c r="R89" s="0" t="b">
        <v>0</v>
      </c>
      <c r="S89" s="0" t="s">
        <v>4200</v>
      </c>
    </row>
    <row customHeight="1" ht="11.25">
      <c r="A90" s="0">
        <v>2655</v>
      </c>
      <c r="B90" s="0" t="s">
        <v>102</v>
      </c>
      <c r="C90" s="0">
        <v>28113313</v>
      </c>
      <c r="D90" s="0" t="s">
        <v>4298</v>
      </c>
      <c r="E90" s="0" t="s">
        <v>4299</v>
      </c>
      <c r="F90" s="0" t="s">
        <v>4300</v>
      </c>
      <c r="G90" s="0" t="s">
        <v>3984</v>
      </c>
      <c r="H90" s="0" t="s">
        <v>4301</v>
      </c>
      <c r="I90" s="0" t="s">
        <v>227</v>
      </c>
      <c r="J90" s="0" t="s">
        <v>128</v>
      </c>
      <c r="K90" s="0" t="s">
        <v>4302</v>
      </c>
      <c r="L90" s="0" t="s">
        <v>4303</v>
      </c>
      <c r="M90" s="0" t="s">
        <v>227</v>
      </c>
      <c r="N90" s="0" t="s">
        <v>227</v>
      </c>
      <c r="O90" s="0" t="s">
        <v>3991</v>
      </c>
      <c r="P90" s="0" t="s">
        <v>3667</v>
      </c>
      <c r="Q90" s="0" t="s">
        <v>227</v>
      </c>
      <c r="R90" s="0" t="b">
        <v>1</v>
      </c>
      <c r="S90" s="0" t="s">
        <v>4200</v>
      </c>
    </row>
    <row customHeight="1" ht="11.25">
      <c r="A91" s="0">
        <v>2655</v>
      </c>
      <c r="B91" s="0" t="s">
        <v>102</v>
      </c>
      <c r="C91" s="0">
        <v>26428030</v>
      </c>
      <c r="D91" s="0" t="s">
        <v>4304</v>
      </c>
      <c r="E91" s="0" t="s">
        <v>4305</v>
      </c>
      <c r="F91" s="0" t="s">
        <v>4306</v>
      </c>
      <c r="G91" s="0" t="s">
        <v>3880</v>
      </c>
      <c r="H91" s="0" t="s">
        <v>4307</v>
      </c>
      <c r="I91" s="0" t="s">
        <v>227</v>
      </c>
      <c r="K91" s="0" t="s">
        <v>4308</v>
      </c>
      <c r="L91" s="0" t="s">
        <v>4308</v>
      </c>
      <c r="M91" s="0" t="s">
        <v>4309</v>
      </c>
      <c r="N91" s="0" t="s">
        <v>4310</v>
      </c>
      <c r="O91" s="0" t="s">
        <v>227</v>
      </c>
      <c r="P91" s="0" t="s">
        <v>227</v>
      </c>
      <c r="Q91" s="0" t="s">
        <v>227</v>
      </c>
      <c r="R91" s="0" t="b">
        <v>0</v>
      </c>
      <c r="S91" s="0" t="s">
        <v>4200</v>
      </c>
    </row>
    <row customHeight="1" ht="11.25">
      <c r="A92" s="0">
        <v>2655</v>
      </c>
      <c r="B92" s="0" t="s">
        <v>102</v>
      </c>
      <c r="C92" s="0">
        <v>31356597</v>
      </c>
      <c r="D92" s="0" t="s">
        <v>3972</v>
      </c>
      <c r="E92" s="0" t="s">
        <v>3973</v>
      </c>
      <c r="F92" s="0" t="s">
        <v>3974</v>
      </c>
      <c r="G92" s="0" t="s">
        <v>3851</v>
      </c>
      <c r="H92" s="0" t="s">
        <v>3975</v>
      </c>
      <c r="I92" s="0" t="s">
        <v>3976</v>
      </c>
      <c r="J92" s="0" t="s">
        <v>128</v>
      </c>
      <c r="K92" s="0" t="s">
        <v>3977</v>
      </c>
      <c r="L92" s="0" t="s">
        <v>3977</v>
      </c>
      <c r="M92" s="0" t="s">
        <v>3978</v>
      </c>
      <c r="N92" s="0" t="s">
        <v>3979</v>
      </c>
      <c r="O92" s="0" t="s">
        <v>3980</v>
      </c>
      <c r="P92" s="0" t="s">
        <v>3723</v>
      </c>
      <c r="Q92" s="0" t="s">
        <v>227</v>
      </c>
      <c r="R92" s="0" t="b">
        <v>0</v>
      </c>
      <c r="S92" s="0" t="s">
        <v>4200</v>
      </c>
    </row>
    <row customHeight="1" ht="11.25">
      <c r="A93" s="0">
        <v>2655</v>
      </c>
      <c r="B93" s="0" t="s">
        <v>102</v>
      </c>
      <c r="C93" s="0">
        <v>28136671</v>
      </c>
      <c r="D93" s="0" t="s">
        <v>3981</v>
      </c>
      <c r="E93" s="0" t="s">
        <v>3982</v>
      </c>
      <c r="F93" s="0" t="s">
        <v>3983</v>
      </c>
      <c r="G93" s="0" t="s">
        <v>3984</v>
      </c>
      <c r="H93" s="0" t="s">
        <v>3985</v>
      </c>
      <c r="I93" s="0" t="s">
        <v>3986</v>
      </c>
      <c r="J93" s="0" t="s">
        <v>128</v>
      </c>
      <c r="K93" s="0" t="s">
        <v>3987</v>
      </c>
      <c r="L93" s="0" t="s">
        <v>3988</v>
      </c>
      <c r="M93" s="0" t="s">
        <v>3989</v>
      </c>
      <c r="N93" s="0" t="s">
        <v>3990</v>
      </c>
      <c r="O93" s="0" t="s">
        <v>3991</v>
      </c>
      <c r="P93" s="0" t="s">
        <v>3667</v>
      </c>
      <c r="Q93" s="0" t="s">
        <v>227</v>
      </c>
      <c r="R93" s="0" t="b">
        <v>1</v>
      </c>
      <c r="S93" s="0" t="s">
        <v>4200</v>
      </c>
    </row>
    <row customHeight="1" ht="11.25">
      <c r="A94" s="0">
        <v>2655</v>
      </c>
      <c r="B94" s="0" t="s">
        <v>102</v>
      </c>
      <c r="C94" s="0">
        <v>27838991</v>
      </c>
      <c r="D94" s="0" t="s">
        <v>4311</v>
      </c>
      <c r="E94" s="0" t="s">
        <v>4312</v>
      </c>
      <c r="F94" s="0" t="s">
        <v>4313</v>
      </c>
      <c r="G94" s="0" t="s">
        <v>3682</v>
      </c>
      <c r="H94" s="0" t="s">
        <v>4314</v>
      </c>
      <c r="I94" s="0" t="s">
        <v>4315</v>
      </c>
      <c r="J94" s="0" t="s">
        <v>128</v>
      </c>
      <c r="K94" s="0" t="s">
        <v>4316</v>
      </c>
      <c r="L94" s="0" t="s">
        <v>4317</v>
      </c>
      <c r="M94" s="0" t="s">
        <v>4318</v>
      </c>
      <c r="N94" s="0" t="s">
        <v>4319</v>
      </c>
      <c r="O94" s="0" t="s">
        <v>4320</v>
      </c>
      <c r="P94" s="0" t="s">
        <v>3723</v>
      </c>
      <c r="Q94" s="0" t="s">
        <v>227</v>
      </c>
      <c r="R94" s="0" t="b">
        <v>0</v>
      </c>
      <c r="S94" s="0" t="s">
        <v>4200</v>
      </c>
    </row>
    <row customHeight="1" ht="11.25">
      <c r="A95" s="0">
        <v>2655</v>
      </c>
      <c r="B95" s="0" t="s">
        <v>102</v>
      </c>
      <c r="C95" s="0">
        <v>26428026</v>
      </c>
      <c r="D95" s="0" t="s">
        <v>4018</v>
      </c>
      <c r="E95" s="0" t="s">
        <v>4019</v>
      </c>
      <c r="F95" s="0" t="s">
        <v>4020</v>
      </c>
      <c r="G95" s="0" t="s">
        <v>4021</v>
      </c>
      <c r="H95" s="0" t="s">
        <v>4022</v>
      </c>
      <c r="I95" s="0" t="s">
        <v>227</v>
      </c>
      <c r="K95" s="0" t="s">
        <v>4023</v>
      </c>
      <c r="L95" s="0" t="s">
        <v>4023</v>
      </c>
      <c r="M95" s="0" t="s">
        <v>4024</v>
      </c>
      <c r="N95" s="0" t="s">
        <v>4025</v>
      </c>
      <c r="O95" s="0" t="s">
        <v>4026</v>
      </c>
      <c r="P95" s="0" t="s">
        <v>145</v>
      </c>
      <c r="Q95" s="0" t="s">
        <v>227</v>
      </c>
      <c r="R95" s="0" t="b">
        <v>1</v>
      </c>
      <c r="S95" s="0" t="s">
        <v>4200</v>
      </c>
    </row>
    <row customHeight="1" ht="11.25">
      <c r="A96" s="0">
        <v>2655</v>
      </c>
      <c r="B96" s="0" t="s">
        <v>102</v>
      </c>
      <c r="C96" s="0">
        <v>31739633</v>
      </c>
      <c r="D96" s="0" t="s">
        <v>4037</v>
      </c>
      <c r="E96" s="0" t="s">
        <v>4038</v>
      </c>
      <c r="F96" s="0" t="s">
        <v>4039</v>
      </c>
      <c r="G96" s="0" t="s">
        <v>4040</v>
      </c>
      <c r="H96" s="0" t="s">
        <v>4041</v>
      </c>
      <c r="I96" s="0" t="s">
        <v>4042</v>
      </c>
      <c r="K96" s="0" t="s">
        <v>4043</v>
      </c>
      <c r="L96" s="0" t="s">
        <v>4043</v>
      </c>
      <c r="M96" s="0" t="s">
        <v>4044</v>
      </c>
      <c r="N96" s="0" t="s">
        <v>4045</v>
      </c>
      <c r="O96" s="0" t="s">
        <v>4046</v>
      </c>
      <c r="P96" s="0" t="s">
        <v>3744</v>
      </c>
      <c r="Q96" s="0" t="s">
        <v>227</v>
      </c>
      <c r="R96" s="0" t="b">
        <v>0</v>
      </c>
      <c r="S96" s="0" t="s">
        <v>4200</v>
      </c>
    </row>
    <row customHeight="1" ht="11.25">
      <c r="A97" s="0">
        <v>2655</v>
      </c>
      <c r="B97" s="0" t="s">
        <v>102</v>
      </c>
      <c r="C97" s="0">
        <v>31541617</v>
      </c>
      <c r="D97" s="0" t="s">
        <v>4047</v>
      </c>
      <c r="E97" s="0" t="s">
        <v>4048</v>
      </c>
      <c r="F97" s="0" t="s">
        <v>4049</v>
      </c>
      <c r="G97" s="0" t="s">
        <v>4050</v>
      </c>
      <c r="H97" s="0" t="s">
        <v>4051</v>
      </c>
      <c r="I97" s="0" t="s">
        <v>4052</v>
      </c>
      <c r="K97" s="0" t="s">
        <v>4053</v>
      </c>
      <c r="L97" s="0" t="s">
        <v>4053</v>
      </c>
      <c r="M97" s="0" t="s">
        <v>4054</v>
      </c>
      <c r="N97" s="0" t="s">
        <v>4055</v>
      </c>
      <c r="O97" s="0" t="s">
        <v>4056</v>
      </c>
      <c r="P97" s="0" t="s">
        <v>3744</v>
      </c>
      <c r="Q97" s="0" t="s">
        <v>227</v>
      </c>
      <c r="R97" s="0" t="b">
        <v>1</v>
      </c>
      <c r="S97" s="0" t="s">
        <v>4200</v>
      </c>
    </row>
    <row customHeight="1" ht="11.25">
      <c r="A98" s="0">
        <v>2655</v>
      </c>
      <c r="B98" s="0" t="s">
        <v>102</v>
      </c>
      <c r="C98" s="0">
        <v>31834877</v>
      </c>
      <c r="D98" s="0" t="s">
        <v>4321</v>
      </c>
      <c r="E98" s="0" t="s">
        <v>4321</v>
      </c>
      <c r="F98" s="0" t="s">
        <v>4322</v>
      </c>
      <c r="G98" s="0" t="s">
        <v>3672</v>
      </c>
      <c r="H98" s="0" t="s">
        <v>4323</v>
      </c>
      <c r="I98" s="0" t="s">
        <v>4324</v>
      </c>
      <c r="K98" s="0" t="s">
        <v>4325</v>
      </c>
      <c r="L98" s="0" t="s">
        <v>4326</v>
      </c>
      <c r="M98" s="0" t="s">
        <v>227</v>
      </c>
      <c r="N98" s="0" t="s">
        <v>4327</v>
      </c>
      <c r="O98" s="0" t="s">
        <v>4328</v>
      </c>
      <c r="P98" s="0" t="s">
        <v>3667</v>
      </c>
      <c r="Q98" s="0" t="s">
        <v>4329</v>
      </c>
      <c r="R98" s="0" t="b">
        <v>0</v>
      </c>
      <c r="S98" s="0" t="s">
        <v>4200</v>
      </c>
    </row>
    <row customHeight="1" ht="11.25">
      <c r="A99" s="0">
        <v>2655</v>
      </c>
      <c r="B99" s="0" t="s">
        <v>102</v>
      </c>
      <c r="C99" s="0">
        <v>26356891</v>
      </c>
      <c r="D99" s="0" t="s">
        <v>4068</v>
      </c>
      <c r="E99" s="0" t="s">
        <v>4069</v>
      </c>
      <c r="F99" s="0" t="s">
        <v>4070</v>
      </c>
      <c r="G99" s="0" t="s">
        <v>3880</v>
      </c>
      <c r="H99" s="0" t="s">
        <v>4071</v>
      </c>
      <c r="I99" s="0" t="s">
        <v>4072</v>
      </c>
      <c r="J99" s="0" t="s">
        <v>128</v>
      </c>
      <c r="K99" s="0" t="s">
        <v>4073</v>
      </c>
      <c r="L99" s="0" t="s">
        <v>4073</v>
      </c>
      <c r="M99" s="0" t="s">
        <v>4074</v>
      </c>
      <c r="N99" s="0" t="s">
        <v>4075</v>
      </c>
      <c r="O99" s="0" t="s">
        <v>4076</v>
      </c>
      <c r="P99" s="0" t="s">
        <v>145</v>
      </c>
      <c r="Q99" s="0" t="s">
        <v>227</v>
      </c>
      <c r="R99" s="0" t="b">
        <v>0</v>
      </c>
      <c r="S99" s="0" t="s">
        <v>4200</v>
      </c>
    </row>
    <row customHeight="1" ht="11.25">
      <c r="A100" s="0">
        <v>2655</v>
      </c>
      <c r="B100" s="0" t="s">
        <v>102</v>
      </c>
      <c r="C100" s="0">
        <v>31241637</v>
      </c>
      <c r="D100" s="0" t="s">
        <v>4077</v>
      </c>
      <c r="E100" s="0" t="s">
        <v>4078</v>
      </c>
      <c r="F100" s="0" t="s">
        <v>4079</v>
      </c>
      <c r="G100" s="0" t="s">
        <v>3899</v>
      </c>
      <c r="H100" s="0" t="s">
        <v>4080</v>
      </c>
      <c r="I100" s="0" t="s">
        <v>4081</v>
      </c>
      <c r="J100" s="0" t="s">
        <v>128</v>
      </c>
      <c r="K100" s="0" t="s">
        <v>4082</v>
      </c>
      <c r="L100" s="0" t="s">
        <v>4082</v>
      </c>
      <c r="M100" s="0" t="s">
        <v>4083</v>
      </c>
      <c r="N100" s="0" t="s">
        <v>227</v>
      </c>
      <c r="O100" s="0" t="s">
        <v>4084</v>
      </c>
      <c r="P100" s="0" t="s">
        <v>3744</v>
      </c>
      <c r="Q100" s="0" t="s">
        <v>227</v>
      </c>
      <c r="R100" s="0" t="b">
        <v>0</v>
      </c>
      <c r="S100" s="0" t="s">
        <v>4200</v>
      </c>
    </row>
    <row customHeight="1" ht="11.25">
      <c r="A101" s="0">
        <v>2655</v>
      </c>
      <c r="B101" s="0" t="s">
        <v>102</v>
      </c>
      <c r="C101" s="0">
        <v>28819708</v>
      </c>
      <c r="D101" s="0" t="s">
        <v>4330</v>
      </c>
      <c r="E101" s="0" t="s">
        <v>4331</v>
      </c>
      <c r="F101" s="0" t="s">
        <v>4332</v>
      </c>
      <c r="G101" s="0" t="s">
        <v>3784</v>
      </c>
      <c r="H101" s="0" t="s">
        <v>4333</v>
      </c>
      <c r="I101" s="0" t="s">
        <v>4334</v>
      </c>
      <c r="J101" s="0" t="s">
        <v>128</v>
      </c>
      <c r="K101" s="0" t="s">
        <v>4335</v>
      </c>
      <c r="L101" s="0" t="s">
        <v>4335</v>
      </c>
      <c r="M101" s="0" t="s">
        <v>227</v>
      </c>
      <c r="N101" s="0" t="s">
        <v>4336</v>
      </c>
      <c r="O101" s="0" t="s">
        <v>4337</v>
      </c>
      <c r="P101" s="0" t="s">
        <v>145</v>
      </c>
      <c r="Q101" s="0" t="s">
        <v>227</v>
      </c>
      <c r="R101" s="0" t="b">
        <v>0</v>
      </c>
      <c r="S101" s="0" t="s">
        <v>4200</v>
      </c>
    </row>
    <row customHeight="1" ht="11.25">
      <c r="A102" s="0">
        <v>2655</v>
      </c>
      <c r="B102" s="0" t="s">
        <v>102</v>
      </c>
      <c r="C102" s="0">
        <v>26356937</v>
      </c>
      <c r="D102" s="0" t="s">
        <v>4085</v>
      </c>
      <c r="E102" s="0" t="s">
        <v>4086</v>
      </c>
      <c r="F102" s="0" t="s">
        <v>4087</v>
      </c>
      <c r="G102" s="0" t="s">
        <v>3956</v>
      </c>
      <c r="H102" s="0" t="s">
        <v>4088</v>
      </c>
      <c r="I102" s="0" t="s">
        <v>4089</v>
      </c>
      <c r="J102" s="0" t="s">
        <v>128</v>
      </c>
      <c r="K102" s="0" t="s">
        <v>4090</v>
      </c>
      <c r="L102" s="0" t="s">
        <v>4090</v>
      </c>
      <c r="M102" s="0" t="s">
        <v>4091</v>
      </c>
      <c r="N102" s="0" t="s">
        <v>4092</v>
      </c>
      <c r="O102" s="0" t="s">
        <v>4093</v>
      </c>
      <c r="P102" s="0" t="s">
        <v>3744</v>
      </c>
      <c r="Q102" s="0" t="s">
        <v>4094</v>
      </c>
      <c r="R102" s="0" t="b">
        <v>0</v>
      </c>
      <c r="S102" s="0" t="s">
        <v>4200</v>
      </c>
    </row>
    <row customHeight="1" ht="11.25">
      <c r="A103" s="0">
        <v>2655</v>
      </c>
      <c r="B103" s="0" t="s">
        <v>102</v>
      </c>
      <c r="C103" s="0">
        <v>33000834</v>
      </c>
      <c r="D103" s="0" t="s">
        <v>112</v>
      </c>
      <c r="E103" s="0" t="s">
        <v>115</v>
      </c>
      <c r="F103" s="0" t="s">
        <v>121</v>
      </c>
      <c r="G103" s="0" t="s">
        <v>123</v>
      </c>
      <c r="H103" s="0" t="s">
        <v>119</v>
      </c>
      <c r="I103" s="0" t="s">
        <v>125</v>
      </c>
      <c r="K103" s="0" t="s">
        <v>131</v>
      </c>
      <c r="L103" s="0" t="s">
        <v>131</v>
      </c>
      <c r="M103" s="0" t="s">
        <v>136</v>
      </c>
      <c r="N103" s="0" t="s">
        <v>139</v>
      </c>
      <c r="O103" s="0" t="s">
        <v>142</v>
      </c>
      <c r="P103" s="0" t="s">
        <v>145</v>
      </c>
      <c r="Q103" s="0" t="s">
        <v>148</v>
      </c>
      <c r="R103" s="0" t="b">
        <v>0</v>
      </c>
      <c r="S103" s="0" t="s">
        <v>4200</v>
      </c>
    </row>
    <row customHeight="1" ht="11.25">
      <c r="A104" s="0">
        <v>2655</v>
      </c>
      <c r="B104" s="0" t="s">
        <v>102</v>
      </c>
      <c r="C104" s="0">
        <v>31770754</v>
      </c>
      <c r="D104" s="0" t="s">
        <v>4095</v>
      </c>
      <c r="E104" s="0" t="s">
        <v>4096</v>
      </c>
      <c r="F104" s="0" t="s">
        <v>4097</v>
      </c>
      <c r="G104" s="0" t="s">
        <v>4040</v>
      </c>
      <c r="H104" s="0" t="s">
        <v>4098</v>
      </c>
      <c r="I104" s="0" t="s">
        <v>4099</v>
      </c>
      <c r="K104" s="0" t="s">
        <v>4100</v>
      </c>
      <c r="L104" s="0" t="s">
        <v>4101</v>
      </c>
      <c r="M104" s="0" t="s">
        <v>4102</v>
      </c>
      <c r="N104" s="0" t="s">
        <v>4103</v>
      </c>
      <c r="O104" s="0" t="s">
        <v>4104</v>
      </c>
      <c r="P104" s="0" t="s">
        <v>145</v>
      </c>
      <c r="Q104" s="0" t="s">
        <v>227</v>
      </c>
      <c r="R104" s="0" t="b">
        <v>1</v>
      </c>
      <c r="S104" s="0" t="s">
        <v>4200</v>
      </c>
    </row>
    <row customHeight="1" ht="11.25">
      <c r="A105" s="0">
        <v>2655</v>
      </c>
      <c r="B105" s="0" t="s">
        <v>102</v>
      </c>
      <c r="C105" s="0">
        <v>31528492</v>
      </c>
      <c r="D105" s="0" t="s">
        <v>4105</v>
      </c>
      <c r="E105" s="0" t="s">
        <v>4106</v>
      </c>
      <c r="F105" s="0" t="s">
        <v>4107</v>
      </c>
      <c r="G105" s="0" t="s">
        <v>3899</v>
      </c>
      <c r="H105" s="0" t="s">
        <v>4108</v>
      </c>
      <c r="I105" s="0" t="s">
        <v>4109</v>
      </c>
      <c r="K105" s="0" t="s">
        <v>4110</v>
      </c>
      <c r="L105" s="0" t="s">
        <v>4110</v>
      </c>
      <c r="M105" s="0" t="s">
        <v>4111</v>
      </c>
      <c r="N105" s="0" t="s">
        <v>4112</v>
      </c>
      <c r="O105" s="0" t="s">
        <v>4113</v>
      </c>
      <c r="P105" s="0" t="s">
        <v>3667</v>
      </c>
      <c r="Q105" s="0" t="s">
        <v>227</v>
      </c>
      <c r="R105" s="0" t="b">
        <v>0</v>
      </c>
      <c r="S105" s="0" t="s">
        <v>4200</v>
      </c>
    </row>
    <row customHeight="1" ht="11.25">
      <c r="A106" s="0">
        <v>2655</v>
      </c>
      <c r="B106" s="0" t="s">
        <v>102</v>
      </c>
      <c r="C106" s="0">
        <v>28270293</v>
      </c>
      <c r="D106" s="0" t="s">
        <v>4114</v>
      </c>
      <c r="E106" s="0" t="s">
        <v>4115</v>
      </c>
      <c r="F106" s="0" t="s">
        <v>4116</v>
      </c>
      <c r="G106" s="0" t="s">
        <v>3880</v>
      </c>
      <c r="H106" s="0" t="s">
        <v>4117</v>
      </c>
      <c r="I106" s="0" t="s">
        <v>4118</v>
      </c>
      <c r="J106" s="0" t="s">
        <v>128</v>
      </c>
      <c r="K106" s="0" t="s">
        <v>4119</v>
      </c>
      <c r="L106" s="0" t="s">
        <v>4119</v>
      </c>
      <c r="M106" s="0" t="s">
        <v>4120</v>
      </c>
      <c r="N106" s="0" t="s">
        <v>4121</v>
      </c>
      <c r="O106" s="0" t="s">
        <v>4122</v>
      </c>
      <c r="P106" s="0" t="s">
        <v>3723</v>
      </c>
      <c r="Q106" s="0" t="s">
        <v>227</v>
      </c>
      <c r="R106" s="0" t="b">
        <v>0</v>
      </c>
      <c r="S106" s="0" t="s">
        <v>4200</v>
      </c>
    </row>
    <row customHeight="1" ht="11.25">
      <c r="A107" s="0">
        <v>2655</v>
      </c>
      <c r="B107" s="0" t="s">
        <v>102</v>
      </c>
      <c r="C107" s="0">
        <v>28873362</v>
      </c>
      <c r="D107" s="0" t="s">
        <v>4123</v>
      </c>
      <c r="E107" s="0" t="s">
        <v>4124</v>
      </c>
      <c r="F107" s="0" t="s">
        <v>4125</v>
      </c>
      <c r="G107" s="0" t="s">
        <v>3659</v>
      </c>
      <c r="H107" s="0" t="s">
        <v>4126</v>
      </c>
      <c r="I107" s="0" t="s">
        <v>4127</v>
      </c>
      <c r="J107" s="0" t="s">
        <v>128</v>
      </c>
      <c r="K107" s="0" t="s">
        <v>4128</v>
      </c>
      <c r="L107" s="0" t="s">
        <v>4128</v>
      </c>
      <c r="M107" s="0" t="s">
        <v>4129</v>
      </c>
      <c r="N107" s="0" t="s">
        <v>4130</v>
      </c>
      <c r="O107" s="0" t="s">
        <v>4131</v>
      </c>
      <c r="P107" s="0" t="s">
        <v>145</v>
      </c>
      <c r="Q107" s="0" t="s">
        <v>4132</v>
      </c>
      <c r="R107" s="0" t="b">
        <v>0</v>
      </c>
      <c r="S107" s="0" t="s">
        <v>4200</v>
      </c>
    </row>
    <row customHeight="1" ht="11.25">
      <c r="A108" s="0">
        <v>2655</v>
      </c>
      <c r="B108" s="0" t="s">
        <v>102</v>
      </c>
      <c r="C108" s="0">
        <v>28976681</v>
      </c>
      <c r="D108" s="0" t="s">
        <v>4133</v>
      </c>
      <c r="E108" s="0" t="s">
        <v>4134</v>
      </c>
      <c r="F108" s="0" t="s">
        <v>4135</v>
      </c>
      <c r="G108" s="0" t="s">
        <v>3880</v>
      </c>
      <c r="H108" s="0" t="s">
        <v>4136</v>
      </c>
      <c r="I108" s="0" t="s">
        <v>4137</v>
      </c>
      <c r="J108" s="0" t="s">
        <v>128</v>
      </c>
      <c r="K108" s="0" t="s">
        <v>4138</v>
      </c>
      <c r="L108" s="0" t="s">
        <v>4138</v>
      </c>
      <c r="M108" s="0" t="s">
        <v>4139</v>
      </c>
      <c r="N108" s="0" t="s">
        <v>227</v>
      </c>
      <c r="O108" s="0" t="s">
        <v>4140</v>
      </c>
      <c r="P108" s="0" t="s">
        <v>145</v>
      </c>
      <c r="Q108" s="0" t="s">
        <v>227</v>
      </c>
      <c r="R108" s="0" t="b">
        <v>1</v>
      </c>
      <c r="S108" s="0" t="s">
        <v>4200</v>
      </c>
    </row>
    <row customHeight="1" ht="11.25">
      <c r="A109" s="0">
        <v>2655</v>
      </c>
      <c r="B109" s="0" t="s">
        <v>102</v>
      </c>
      <c r="C109" s="0">
        <v>31908312</v>
      </c>
      <c r="D109" s="0" t="s">
        <v>4152</v>
      </c>
      <c r="E109" s="0" t="s">
        <v>4162</v>
      </c>
      <c r="F109" s="0" t="s">
        <v>4154</v>
      </c>
      <c r="G109" s="0" t="s">
        <v>4155</v>
      </c>
      <c r="H109" s="0" t="s">
        <v>4156</v>
      </c>
      <c r="I109" s="0" t="s">
        <v>4157</v>
      </c>
      <c r="K109" s="0" t="s">
        <v>4163</v>
      </c>
      <c r="L109" s="0" t="s">
        <v>4163</v>
      </c>
      <c r="M109" s="0" t="s">
        <v>4164</v>
      </c>
      <c r="N109" s="0" t="s">
        <v>4165</v>
      </c>
      <c r="O109" s="0" t="s">
        <v>4166</v>
      </c>
      <c r="P109" s="0" t="s">
        <v>227</v>
      </c>
      <c r="Q109" s="0" t="s">
        <v>4167</v>
      </c>
      <c r="R109" s="0" t="b">
        <v>0</v>
      </c>
      <c r="S109" s="0" t="s">
        <v>4200</v>
      </c>
    </row>
    <row customHeight="1" ht="11.25">
      <c r="A110" s="0">
        <v>2655</v>
      </c>
      <c r="B110" s="0" t="s">
        <v>102</v>
      </c>
      <c r="C110" s="0">
        <v>26853991</v>
      </c>
      <c r="D110" s="0" t="s">
        <v>4152</v>
      </c>
      <c r="E110" s="0" t="s">
        <v>4153</v>
      </c>
      <c r="F110" s="0" t="s">
        <v>4154</v>
      </c>
      <c r="G110" s="0" t="s">
        <v>4155</v>
      </c>
      <c r="H110" s="0" t="s">
        <v>4156</v>
      </c>
      <c r="I110" s="0" t="s">
        <v>4157</v>
      </c>
      <c r="J110" s="0" t="s">
        <v>3647</v>
      </c>
      <c r="K110" s="0" t="s">
        <v>227</v>
      </c>
      <c r="L110" s="0" t="s">
        <v>4158</v>
      </c>
      <c r="M110" s="0" t="s">
        <v>4159</v>
      </c>
      <c r="N110" s="0" t="s">
        <v>4160</v>
      </c>
      <c r="O110" s="0" t="s">
        <v>4161</v>
      </c>
      <c r="P110" s="0" t="s">
        <v>3700</v>
      </c>
      <c r="Q110" s="0" t="s">
        <v>227</v>
      </c>
      <c r="R110" s="0" t="b">
        <v>0</v>
      </c>
      <c r="S110" s="0" t="s">
        <v>4200</v>
      </c>
    </row>
    <row customHeight="1" ht="11.25">
      <c r="A111" s="0">
        <v>2655</v>
      </c>
      <c r="B111" s="0" t="s">
        <v>102</v>
      </c>
      <c r="C111" s="0">
        <v>30808511</v>
      </c>
      <c r="D111" s="0" t="s">
        <v>4168</v>
      </c>
      <c r="E111" s="0" t="s">
        <v>4168</v>
      </c>
      <c r="F111" s="0" t="s">
        <v>4169</v>
      </c>
      <c r="G111" s="0" t="s">
        <v>4170</v>
      </c>
      <c r="H111" s="0" t="s">
        <v>4171</v>
      </c>
      <c r="I111" s="0" t="s">
        <v>4172</v>
      </c>
      <c r="J111" s="0" t="s">
        <v>4173</v>
      </c>
      <c r="K111" s="0" t="s">
        <v>4174</v>
      </c>
      <c r="L111" s="0" t="s">
        <v>4175</v>
      </c>
      <c r="M111" s="0" t="s">
        <v>4176</v>
      </c>
      <c r="N111" s="0" t="s">
        <v>227</v>
      </c>
      <c r="O111" s="0" t="s">
        <v>4177</v>
      </c>
      <c r="P111" s="0" t="s">
        <v>145</v>
      </c>
      <c r="Q111" s="0" t="s">
        <v>4178</v>
      </c>
      <c r="R111" s="0" t="b">
        <v>0</v>
      </c>
      <c r="S111" s="0" t="s">
        <v>4200</v>
      </c>
    </row>
    <row customHeight="1" ht="11.25">
      <c r="A112" s="0">
        <v>2655</v>
      </c>
      <c r="B112" s="0" t="s">
        <v>102</v>
      </c>
      <c r="C112" s="0">
        <v>26520873</v>
      </c>
      <c r="D112" s="0" t="s">
        <v>4179</v>
      </c>
      <c r="E112" s="0" t="s">
        <v>4180</v>
      </c>
      <c r="F112" s="0" t="s">
        <v>4169</v>
      </c>
      <c r="G112" s="0" t="s">
        <v>4181</v>
      </c>
      <c r="H112" s="0" t="s">
        <v>4171</v>
      </c>
      <c r="I112" s="0" t="s">
        <v>4182</v>
      </c>
      <c r="J112" s="0" t="s">
        <v>4173</v>
      </c>
      <c r="K112" s="0" t="s">
        <v>4183</v>
      </c>
      <c r="L112" s="0" t="s">
        <v>4184</v>
      </c>
      <c r="M112" s="0" t="s">
        <v>4185</v>
      </c>
      <c r="N112" s="0" t="s">
        <v>4186</v>
      </c>
      <c r="O112" s="0" t="s">
        <v>4187</v>
      </c>
      <c r="P112" s="0" t="s">
        <v>145</v>
      </c>
      <c r="Q112" s="0" t="s">
        <v>4188</v>
      </c>
      <c r="R112" s="0" t="b">
        <v>0</v>
      </c>
      <c r="S112" s="0" t="s">
        <v>4200</v>
      </c>
    </row>
    <row customHeight="1" ht="11.25">
      <c r="A113" s="0">
        <v>2655</v>
      </c>
      <c r="B113" s="0" t="s">
        <v>102</v>
      </c>
      <c r="C113" s="0">
        <v>28976938</v>
      </c>
      <c r="D113" s="0" t="s">
        <v>3641</v>
      </c>
      <c r="E113" s="0" t="s">
        <v>3642</v>
      </c>
      <c r="F113" s="0" t="s">
        <v>3643</v>
      </c>
      <c r="G113" s="0" t="s">
        <v>3644</v>
      </c>
      <c r="H113" s="0" t="s">
        <v>3645</v>
      </c>
      <c r="I113" s="0" t="s">
        <v>3646</v>
      </c>
      <c r="J113" s="0" t="s">
        <v>3647</v>
      </c>
      <c r="K113" s="0" t="s">
        <v>3648</v>
      </c>
      <c r="L113" s="0" t="s">
        <v>3649</v>
      </c>
      <c r="M113" s="0" t="s">
        <v>3650</v>
      </c>
      <c r="N113" s="0" t="s">
        <v>3651</v>
      </c>
      <c r="O113" s="0" t="s">
        <v>3652</v>
      </c>
      <c r="P113" s="0" t="s">
        <v>3653</v>
      </c>
      <c r="Q113" s="0" t="s">
        <v>3654</v>
      </c>
      <c r="R113" s="0" t="b">
        <v>0</v>
      </c>
      <c r="S113" s="0" t="s">
        <v>4338</v>
      </c>
    </row>
    <row customHeight="1" ht="11.25">
      <c r="A114" s="0">
        <v>2655</v>
      </c>
      <c r="B114" s="0" t="s">
        <v>102</v>
      </c>
      <c r="C114" s="0">
        <v>26356915</v>
      </c>
      <c r="D114" s="0" t="s">
        <v>4201</v>
      </c>
      <c r="E114" s="0" t="s">
        <v>4202</v>
      </c>
      <c r="F114" s="0" t="s">
        <v>4203</v>
      </c>
      <c r="G114" s="0" t="s">
        <v>3869</v>
      </c>
      <c r="H114" s="0" t="s">
        <v>4204</v>
      </c>
      <c r="I114" s="0" t="s">
        <v>4205</v>
      </c>
      <c r="J114" s="0" t="s">
        <v>3647</v>
      </c>
      <c r="K114" s="0" t="s">
        <v>4206</v>
      </c>
      <c r="L114" s="0" t="s">
        <v>4206</v>
      </c>
      <c r="M114" s="0" t="s">
        <v>4207</v>
      </c>
      <c r="N114" s="0" t="s">
        <v>4208</v>
      </c>
      <c r="O114" s="0" t="s">
        <v>4209</v>
      </c>
      <c r="P114" s="0" t="s">
        <v>3723</v>
      </c>
      <c r="Q114" s="0" t="s">
        <v>152</v>
      </c>
      <c r="R114" s="0" t="b">
        <v>0</v>
      </c>
      <c r="S114" s="0" t="s">
        <v>4338</v>
      </c>
    </row>
    <row customHeight="1" ht="11.25">
      <c r="A115" s="0">
        <v>2655</v>
      </c>
      <c r="B115" s="0" t="s">
        <v>102</v>
      </c>
      <c r="C115" s="0">
        <v>26357007</v>
      </c>
      <c r="D115" s="0" t="s">
        <v>4339</v>
      </c>
      <c r="E115" s="0" t="s">
        <v>4340</v>
      </c>
      <c r="F115" s="0" t="s">
        <v>4341</v>
      </c>
      <c r="G115" s="0" t="s">
        <v>3899</v>
      </c>
      <c r="H115" s="0" t="s">
        <v>4342</v>
      </c>
      <c r="I115" s="0" t="s">
        <v>4343</v>
      </c>
      <c r="J115" s="0" t="s">
        <v>3647</v>
      </c>
      <c r="K115" s="0" t="s">
        <v>4344</v>
      </c>
      <c r="L115" s="0" t="s">
        <v>4344</v>
      </c>
      <c r="M115" s="0" t="s">
        <v>4345</v>
      </c>
      <c r="N115" s="0" t="s">
        <v>4346</v>
      </c>
      <c r="O115" s="0" t="s">
        <v>4347</v>
      </c>
      <c r="P115" s="0" t="s">
        <v>3723</v>
      </c>
      <c r="Q115" s="0" t="s">
        <v>4348</v>
      </c>
      <c r="R115" s="0" t="b">
        <v>0</v>
      </c>
      <c r="S115" s="0" t="s">
        <v>4338</v>
      </c>
    </row>
    <row customHeight="1" ht="11.25">
      <c r="A116" s="0">
        <v>2655</v>
      </c>
      <c r="B116" s="0" t="s">
        <v>102</v>
      </c>
      <c r="C116" s="0">
        <v>27804990</v>
      </c>
      <c r="D116" s="0" t="s">
        <v>3656</v>
      </c>
      <c r="E116" s="0" t="s">
        <v>3657</v>
      </c>
      <c r="F116" s="0" t="s">
        <v>3658</v>
      </c>
      <c r="G116" s="0" t="s">
        <v>3659</v>
      </c>
      <c r="H116" s="0" t="s">
        <v>3660</v>
      </c>
      <c r="I116" s="0" t="s">
        <v>3661</v>
      </c>
      <c r="J116" s="0" t="s">
        <v>3647</v>
      </c>
      <c r="K116" s="0" t="s">
        <v>3662</v>
      </c>
      <c r="L116" s="0" t="s">
        <v>3663</v>
      </c>
      <c r="M116" s="0" t="s">
        <v>3664</v>
      </c>
      <c r="N116" s="0" t="s">
        <v>3665</v>
      </c>
      <c r="O116" s="0" t="s">
        <v>3666</v>
      </c>
      <c r="P116" s="0" t="s">
        <v>3667</v>
      </c>
      <c r="Q116" s="0" t="s">
        <v>3668</v>
      </c>
      <c r="R116" s="0" t="b">
        <v>0</v>
      </c>
      <c r="S116" s="0" t="s">
        <v>4338</v>
      </c>
    </row>
    <row customHeight="1" ht="11.25">
      <c r="A117" s="0">
        <v>2655</v>
      </c>
      <c r="B117" s="0" t="s">
        <v>102</v>
      </c>
      <c r="C117" s="0">
        <v>28048296</v>
      </c>
      <c r="D117" s="0" t="s">
        <v>4349</v>
      </c>
      <c r="E117" s="0" t="s">
        <v>4350</v>
      </c>
      <c r="F117" s="0" t="s">
        <v>4351</v>
      </c>
      <c r="G117" s="0" t="s">
        <v>3659</v>
      </c>
      <c r="H117" s="0" t="s">
        <v>4352</v>
      </c>
      <c r="I117" s="0" t="s">
        <v>4353</v>
      </c>
      <c r="J117" s="0" t="s">
        <v>3647</v>
      </c>
      <c r="K117" s="0" t="s">
        <v>4354</v>
      </c>
      <c r="L117" s="0" t="s">
        <v>3663</v>
      </c>
      <c r="M117" s="0" t="s">
        <v>4355</v>
      </c>
      <c r="N117" s="0" t="s">
        <v>4356</v>
      </c>
      <c r="O117" s="0" t="s">
        <v>4357</v>
      </c>
      <c r="P117" s="0" t="s">
        <v>3667</v>
      </c>
      <c r="Q117" s="0" t="s">
        <v>3668</v>
      </c>
      <c r="R117" s="0" t="b">
        <v>0</v>
      </c>
      <c r="S117" s="0" t="s">
        <v>4338</v>
      </c>
    </row>
    <row customHeight="1" ht="11.25">
      <c r="A118" s="0">
        <v>2655</v>
      </c>
      <c r="B118" s="0" t="s">
        <v>102</v>
      </c>
      <c r="C118" s="0">
        <v>27804826</v>
      </c>
      <c r="D118" s="0" t="s">
        <v>3669</v>
      </c>
      <c r="E118" s="0" t="s">
        <v>3670</v>
      </c>
      <c r="F118" s="0" t="s">
        <v>3671</v>
      </c>
      <c r="G118" s="0" t="s">
        <v>3672</v>
      </c>
      <c r="H118" s="0" t="s">
        <v>3673</v>
      </c>
      <c r="I118" s="0" t="s">
        <v>3674</v>
      </c>
      <c r="J118" s="0" t="s">
        <v>3647</v>
      </c>
      <c r="K118" s="0" t="s">
        <v>3675</v>
      </c>
      <c r="L118" s="0" t="s">
        <v>3663</v>
      </c>
      <c r="M118" s="0" t="s">
        <v>227</v>
      </c>
      <c r="N118" s="0" t="s">
        <v>3676</v>
      </c>
      <c r="O118" s="0" t="s">
        <v>3677</v>
      </c>
      <c r="P118" s="0" t="s">
        <v>3667</v>
      </c>
      <c r="Q118" s="0" t="s">
        <v>3678</v>
      </c>
      <c r="R118" s="0" t="b">
        <v>0</v>
      </c>
      <c r="S118" s="0" t="s">
        <v>4338</v>
      </c>
    </row>
    <row customHeight="1" ht="11.25">
      <c r="A119" s="0">
        <v>2655</v>
      </c>
      <c r="B119" s="0" t="s">
        <v>102</v>
      </c>
      <c r="C119" s="0">
        <v>27804896</v>
      </c>
      <c r="D119" s="0" t="s">
        <v>4358</v>
      </c>
      <c r="E119" s="0" t="s">
        <v>4359</v>
      </c>
      <c r="F119" s="0" t="s">
        <v>4360</v>
      </c>
      <c r="G119" s="0" t="s">
        <v>3659</v>
      </c>
      <c r="H119" s="0" t="s">
        <v>4361</v>
      </c>
      <c r="I119" s="0" t="s">
        <v>4362</v>
      </c>
      <c r="J119" s="0" t="s">
        <v>3647</v>
      </c>
      <c r="K119" s="0" t="s">
        <v>4363</v>
      </c>
      <c r="L119" s="0" t="s">
        <v>3663</v>
      </c>
      <c r="M119" s="0" t="s">
        <v>4364</v>
      </c>
      <c r="N119" s="0" t="s">
        <v>4365</v>
      </c>
      <c r="O119" s="0" t="s">
        <v>4366</v>
      </c>
      <c r="P119" s="0" t="s">
        <v>3667</v>
      </c>
      <c r="Q119" s="0" t="s">
        <v>3668</v>
      </c>
      <c r="R119" s="0" t="b">
        <v>0</v>
      </c>
      <c r="S119" s="0" t="s">
        <v>4338</v>
      </c>
    </row>
    <row customHeight="1" ht="11.25">
      <c r="A120" s="0">
        <v>2655</v>
      </c>
      <c r="B120" s="0" t="s">
        <v>102</v>
      </c>
      <c r="C120" s="0">
        <v>27820148</v>
      </c>
      <c r="D120" s="0" t="s">
        <v>4225</v>
      </c>
      <c r="E120" s="0" t="s">
        <v>4226</v>
      </c>
      <c r="F120" s="0" t="s">
        <v>4227</v>
      </c>
      <c r="G120" s="0" t="s">
        <v>3956</v>
      </c>
      <c r="H120" s="0" t="s">
        <v>4228</v>
      </c>
      <c r="I120" s="0" t="s">
        <v>4229</v>
      </c>
      <c r="J120" s="0" t="s">
        <v>3647</v>
      </c>
      <c r="K120" s="0" t="s">
        <v>4230</v>
      </c>
      <c r="L120" s="0" t="s">
        <v>4230</v>
      </c>
      <c r="M120" s="0" t="s">
        <v>4231</v>
      </c>
      <c r="N120" s="0" t="s">
        <v>4232</v>
      </c>
      <c r="O120" s="0" t="s">
        <v>4233</v>
      </c>
      <c r="P120" s="0" t="s">
        <v>4234</v>
      </c>
      <c r="Q120" s="0" t="s">
        <v>4235</v>
      </c>
      <c r="R120" s="0" t="b">
        <v>0</v>
      </c>
      <c r="S120" s="0" t="s">
        <v>4338</v>
      </c>
    </row>
    <row customHeight="1" ht="11.25">
      <c r="A121" s="0">
        <v>2655</v>
      </c>
      <c r="B121" s="0" t="s">
        <v>102</v>
      </c>
      <c r="C121" s="0">
        <v>26356905</v>
      </c>
      <c r="D121" s="0" t="s">
        <v>4367</v>
      </c>
      <c r="E121" s="0" t="s">
        <v>4368</v>
      </c>
      <c r="F121" s="0" t="s">
        <v>4369</v>
      </c>
      <c r="G121" s="0" t="s">
        <v>3659</v>
      </c>
      <c r="H121" s="0" t="s">
        <v>4370</v>
      </c>
      <c r="I121" s="0" t="s">
        <v>4371</v>
      </c>
      <c r="J121" s="0" t="s">
        <v>3647</v>
      </c>
      <c r="K121" s="0" t="s">
        <v>4372</v>
      </c>
      <c r="L121" s="0" t="s">
        <v>4372</v>
      </c>
      <c r="M121" s="0" t="s">
        <v>4373</v>
      </c>
      <c r="N121" s="0" t="s">
        <v>4374</v>
      </c>
      <c r="O121" s="0" t="s">
        <v>4375</v>
      </c>
      <c r="P121" s="0" t="s">
        <v>4376</v>
      </c>
      <c r="Q121" s="0" t="s">
        <v>4377</v>
      </c>
      <c r="R121" s="0" t="b">
        <v>0</v>
      </c>
      <c r="S121" s="0" t="s">
        <v>4338</v>
      </c>
    </row>
    <row customHeight="1" ht="11.25">
      <c r="A122" s="0">
        <v>2655</v>
      </c>
      <c r="B122" s="0" t="s">
        <v>102</v>
      </c>
      <c r="C122" s="0">
        <v>26652554</v>
      </c>
      <c r="D122" s="0" t="s">
        <v>4378</v>
      </c>
      <c r="E122" s="0" t="s">
        <v>4379</v>
      </c>
      <c r="F122" s="0" t="s">
        <v>4380</v>
      </c>
      <c r="G122" s="0" t="s">
        <v>4040</v>
      </c>
      <c r="H122" s="0" t="s">
        <v>4381</v>
      </c>
      <c r="I122" s="0" t="s">
        <v>227</v>
      </c>
      <c r="J122" s="0" t="s">
        <v>3647</v>
      </c>
      <c r="K122" s="0" t="s">
        <v>4382</v>
      </c>
      <c r="L122" s="0" t="s">
        <v>4382</v>
      </c>
      <c r="M122" s="0" t="s">
        <v>4383</v>
      </c>
      <c r="N122" s="0" t="s">
        <v>4384</v>
      </c>
      <c r="O122" s="0" t="s">
        <v>4385</v>
      </c>
      <c r="P122" s="0" t="s">
        <v>3723</v>
      </c>
      <c r="Q122" s="0" t="s">
        <v>4386</v>
      </c>
      <c r="R122" s="0" t="b">
        <v>0</v>
      </c>
      <c r="S122" s="0" t="s">
        <v>4338</v>
      </c>
    </row>
    <row customHeight="1" ht="11.25">
      <c r="A123" s="0">
        <v>2655</v>
      </c>
      <c r="B123" s="0" t="s">
        <v>102</v>
      </c>
      <c r="C123" s="0">
        <v>31915209</v>
      </c>
      <c r="D123" s="0" t="s">
        <v>4387</v>
      </c>
      <c r="E123" s="0" t="s">
        <v>4388</v>
      </c>
      <c r="F123" s="0" t="s">
        <v>4389</v>
      </c>
      <c r="G123" s="0" t="s">
        <v>3659</v>
      </c>
      <c r="H123" s="0" t="s">
        <v>4390</v>
      </c>
      <c r="I123" s="0" t="s">
        <v>4391</v>
      </c>
      <c r="K123" s="0" t="s">
        <v>4392</v>
      </c>
      <c r="L123" s="0" t="s">
        <v>4392</v>
      </c>
      <c r="M123" s="0" t="s">
        <v>4393</v>
      </c>
      <c r="N123" s="0" t="s">
        <v>4394</v>
      </c>
      <c r="O123" s="0" t="s">
        <v>4395</v>
      </c>
      <c r="P123" s="0" t="s">
        <v>4396</v>
      </c>
      <c r="Q123" s="0" t="s">
        <v>4397</v>
      </c>
      <c r="R123" s="0" t="b">
        <v>0</v>
      </c>
      <c r="S123" s="0" t="s">
        <v>4338</v>
      </c>
    </row>
    <row customHeight="1" ht="11.25">
      <c r="A124" s="0">
        <v>2655</v>
      </c>
      <c r="B124" s="0" t="s">
        <v>102</v>
      </c>
      <c r="C124" s="0">
        <v>26356926</v>
      </c>
      <c r="D124" s="0" t="s">
        <v>4398</v>
      </c>
      <c r="E124" s="0" t="s">
        <v>4399</v>
      </c>
      <c r="F124" s="0" t="s">
        <v>4400</v>
      </c>
      <c r="G124" s="0" t="s">
        <v>3956</v>
      </c>
      <c r="H124" s="0" t="s">
        <v>4401</v>
      </c>
      <c r="I124" s="0" t="s">
        <v>4402</v>
      </c>
      <c r="J124" s="0" t="s">
        <v>4403</v>
      </c>
      <c r="K124" s="0" t="s">
        <v>4404</v>
      </c>
      <c r="L124" s="0" t="s">
        <v>4404</v>
      </c>
      <c r="M124" s="0" t="s">
        <v>4405</v>
      </c>
      <c r="N124" s="0" t="s">
        <v>4406</v>
      </c>
      <c r="O124" s="0" t="s">
        <v>4407</v>
      </c>
      <c r="P124" s="0" t="s">
        <v>4408</v>
      </c>
      <c r="Q124" s="0" t="s">
        <v>4409</v>
      </c>
      <c r="R124" s="0" t="b">
        <v>0</v>
      </c>
      <c r="S124" s="0" t="s">
        <v>4338</v>
      </c>
    </row>
    <row customHeight="1" ht="11.25">
      <c r="A125" s="0">
        <v>2655</v>
      </c>
      <c r="B125" s="0" t="s">
        <v>102</v>
      </c>
      <c r="C125" s="0">
        <v>31720063</v>
      </c>
      <c r="D125" s="0" t="s">
        <v>4410</v>
      </c>
      <c r="E125" s="0" t="s">
        <v>4411</v>
      </c>
      <c r="F125" s="0" t="s">
        <v>4412</v>
      </c>
      <c r="G125" s="0" t="s">
        <v>3843</v>
      </c>
      <c r="H125" s="0" t="s">
        <v>4413</v>
      </c>
      <c r="I125" s="0" t="s">
        <v>4414</v>
      </c>
      <c r="K125" s="0" t="s">
        <v>4415</v>
      </c>
      <c r="L125" s="0" t="s">
        <v>4415</v>
      </c>
      <c r="M125" s="0" t="s">
        <v>227</v>
      </c>
      <c r="N125" s="0" t="s">
        <v>4416</v>
      </c>
      <c r="O125" s="0" t="s">
        <v>4417</v>
      </c>
      <c r="P125" s="0" t="s">
        <v>3744</v>
      </c>
      <c r="Q125" s="0" t="s">
        <v>4418</v>
      </c>
      <c r="R125" s="0" t="b">
        <v>0</v>
      </c>
      <c r="S125" s="0" t="s">
        <v>4338</v>
      </c>
    </row>
    <row customHeight="1" ht="11.25">
      <c r="A126" s="0">
        <v>2655</v>
      </c>
      <c r="B126" s="0" t="s">
        <v>102</v>
      </c>
      <c r="C126" s="0">
        <v>31826293</v>
      </c>
      <c r="D126" s="0" t="s">
        <v>3734</v>
      </c>
      <c r="E126" s="0" t="s">
        <v>3735</v>
      </c>
      <c r="F126" s="0" t="s">
        <v>3736</v>
      </c>
      <c r="G126" s="0" t="s">
        <v>3737</v>
      </c>
      <c r="H126" s="0" t="s">
        <v>3738</v>
      </c>
      <c r="I126" s="0" t="s">
        <v>3739</v>
      </c>
      <c r="K126" s="0" t="s">
        <v>3740</v>
      </c>
      <c r="L126" s="0" t="s">
        <v>3741</v>
      </c>
      <c r="M126" s="0" t="s">
        <v>227</v>
      </c>
      <c r="N126" s="0" t="s">
        <v>3742</v>
      </c>
      <c r="O126" s="0" t="s">
        <v>3743</v>
      </c>
      <c r="P126" s="0" t="s">
        <v>3744</v>
      </c>
      <c r="Q126" s="0" t="s">
        <v>227</v>
      </c>
      <c r="R126" s="0" t="b">
        <v>0</v>
      </c>
      <c r="S126" s="0" t="s">
        <v>4338</v>
      </c>
    </row>
    <row customHeight="1" ht="11.25">
      <c r="A127" s="0">
        <v>2655</v>
      </c>
      <c r="B127" s="0" t="s">
        <v>102</v>
      </c>
      <c r="C127" s="0">
        <v>28262434</v>
      </c>
      <c r="D127" s="0" t="s">
        <v>4419</v>
      </c>
      <c r="E127" s="0" t="s">
        <v>4420</v>
      </c>
      <c r="F127" s="0" t="s">
        <v>4421</v>
      </c>
      <c r="G127" s="0" t="s">
        <v>4422</v>
      </c>
      <c r="H127" s="0" t="s">
        <v>4423</v>
      </c>
      <c r="I127" s="0" t="s">
        <v>4424</v>
      </c>
      <c r="J127" s="0" t="s">
        <v>3647</v>
      </c>
      <c r="K127" s="0" t="s">
        <v>4425</v>
      </c>
      <c r="L127" s="0" t="s">
        <v>4425</v>
      </c>
      <c r="M127" s="0" t="s">
        <v>4426</v>
      </c>
      <c r="N127" s="0" t="s">
        <v>4427</v>
      </c>
      <c r="O127" s="0" t="s">
        <v>4428</v>
      </c>
      <c r="P127" s="0" t="s">
        <v>3723</v>
      </c>
      <c r="Q127" s="0" t="s">
        <v>227</v>
      </c>
      <c r="R127" s="0" t="b">
        <v>0</v>
      </c>
      <c r="S127" s="0" t="s">
        <v>4338</v>
      </c>
    </row>
    <row customHeight="1" ht="11.25">
      <c r="A128" s="0">
        <v>2655</v>
      </c>
      <c r="B128" s="0" t="s">
        <v>102</v>
      </c>
      <c r="C128" s="0">
        <v>31382238</v>
      </c>
      <c r="D128" s="0" t="s">
        <v>4429</v>
      </c>
      <c r="E128" s="0" t="s">
        <v>4430</v>
      </c>
      <c r="F128" s="0" t="s">
        <v>4431</v>
      </c>
      <c r="G128" s="0" t="s">
        <v>4432</v>
      </c>
      <c r="H128" s="0" t="s">
        <v>4433</v>
      </c>
      <c r="I128" s="0" t="s">
        <v>4434</v>
      </c>
      <c r="J128" s="0" t="s">
        <v>4435</v>
      </c>
      <c r="K128" s="0" t="s">
        <v>4436</v>
      </c>
      <c r="L128" s="0" t="s">
        <v>4436</v>
      </c>
      <c r="M128" s="0" t="s">
        <v>227</v>
      </c>
      <c r="N128" s="0" t="s">
        <v>227</v>
      </c>
      <c r="O128" s="0" t="s">
        <v>4437</v>
      </c>
      <c r="P128" s="0" t="s">
        <v>4438</v>
      </c>
      <c r="Q128" s="0" t="s">
        <v>227</v>
      </c>
      <c r="R128" s="0" t="b">
        <v>1</v>
      </c>
      <c r="S128" s="0" t="s">
        <v>4338</v>
      </c>
    </row>
    <row customHeight="1" ht="11.25">
      <c r="A129" s="0">
        <v>2655</v>
      </c>
      <c r="B129" s="0" t="s">
        <v>102</v>
      </c>
      <c r="C129" s="0">
        <v>31763194</v>
      </c>
      <c r="D129" s="0" t="s">
        <v>4439</v>
      </c>
      <c r="E129" s="0" t="s">
        <v>4440</v>
      </c>
      <c r="F129" s="0" t="s">
        <v>4441</v>
      </c>
      <c r="G129" s="0" t="s">
        <v>4432</v>
      </c>
      <c r="H129" s="0" t="s">
        <v>4442</v>
      </c>
      <c r="I129" s="0" t="s">
        <v>4443</v>
      </c>
      <c r="K129" s="0" t="s">
        <v>4444</v>
      </c>
      <c r="L129" s="0" t="s">
        <v>4445</v>
      </c>
      <c r="M129" s="0" t="s">
        <v>227</v>
      </c>
      <c r="N129" s="0" t="s">
        <v>4446</v>
      </c>
      <c r="O129" s="0" t="s">
        <v>4447</v>
      </c>
      <c r="P129" s="0" t="s">
        <v>4448</v>
      </c>
      <c r="Q129" s="0" t="s">
        <v>4449</v>
      </c>
      <c r="R129" s="0" t="b">
        <v>1</v>
      </c>
      <c r="S129" s="0" t="s">
        <v>4338</v>
      </c>
    </row>
    <row customHeight="1" ht="11.25">
      <c r="A130" s="0">
        <v>2655</v>
      </c>
      <c r="B130" s="0" t="s">
        <v>102</v>
      </c>
      <c r="C130" s="0">
        <v>26322867</v>
      </c>
      <c r="D130" s="0" t="s">
        <v>3745</v>
      </c>
      <c r="E130" s="0" t="s">
        <v>3746</v>
      </c>
      <c r="F130" s="0" t="s">
        <v>3747</v>
      </c>
      <c r="G130" s="0" t="s">
        <v>3692</v>
      </c>
      <c r="H130" s="0" t="s">
        <v>3748</v>
      </c>
      <c r="I130" s="0" t="s">
        <v>3749</v>
      </c>
      <c r="J130" s="0" t="s">
        <v>3647</v>
      </c>
      <c r="K130" s="0" t="s">
        <v>3750</v>
      </c>
      <c r="L130" s="0" t="s">
        <v>3750</v>
      </c>
      <c r="M130" s="0" t="s">
        <v>3751</v>
      </c>
      <c r="N130" s="0" t="s">
        <v>3752</v>
      </c>
      <c r="O130" s="0" t="s">
        <v>3753</v>
      </c>
      <c r="P130" s="0" t="s">
        <v>3723</v>
      </c>
      <c r="Q130" s="0" t="s">
        <v>3754</v>
      </c>
      <c r="R130" s="0" t="b">
        <v>0</v>
      </c>
      <c r="S130" s="0" t="s">
        <v>4338</v>
      </c>
    </row>
    <row customHeight="1" ht="11.25">
      <c r="A131" s="0">
        <v>2655</v>
      </c>
      <c r="B131" s="0" t="s">
        <v>102</v>
      </c>
      <c r="C131" s="0">
        <v>26824396</v>
      </c>
      <c r="D131" s="0" t="s">
        <v>3764</v>
      </c>
      <c r="E131" s="0" t="s">
        <v>3765</v>
      </c>
      <c r="F131" s="0" t="s">
        <v>3726</v>
      </c>
      <c r="G131" s="0" t="s">
        <v>3766</v>
      </c>
      <c r="H131" s="0" t="s">
        <v>3728</v>
      </c>
      <c r="I131" s="0" t="s">
        <v>227</v>
      </c>
      <c r="J131" s="0" t="s">
        <v>3718</v>
      </c>
      <c r="K131" s="0" t="s">
        <v>3767</v>
      </c>
      <c r="L131" s="0" t="s">
        <v>3767</v>
      </c>
      <c r="M131" s="0" t="s">
        <v>3768</v>
      </c>
      <c r="N131" s="0" t="s">
        <v>227</v>
      </c>
      <c r="O131" s="0" t="s">
        <v>3769</v>
      </c>
      <c r="P131" s="0" t="s">
        <v>3763</v>
      </c>
      <c r="Q131" s="0" t="s">
        <v>227</v>
      </c>
      <c r="R131" s="0" t="b">
        <v>0</v>
      </c>
      <c r="S131" s="0" t="s">
        <v>4338</v>
      </c>
    </row>
    <row customHeight="1" ht="11.25">
      <c r="A132" s="0">
        <v>2655</v>
      </c>
      <c r="B132" s="0" t="s">
        <v>102</v>
      </c>
      <c r="C132" s="0">
        <v>30808700</v>
      </c>
      <c r="D132" s="0" t="s">
        <v>3802</v>
      </c>
      <c r="E132" s="0" t="s">
        <v>3803</v>
      </c>
      <c r="F132" s="0" t="s">
        <v>3804</v>
      </c>
      <c r="G132" s="0" t="s">
        <v>3727</v>
      </c>
      <c r="H132" s="0" t="s">
        <v>3805</v>
      </c>
      <c r="I132" s="0" t="s">
        <v>3806</v>
      </c>
      <c r="J132" s="0" t="s">
        <v>3787</v>
      </c>
      <c r="K132" s="0" t="s">
        <v>3807</v>
      </c>
      <c r="L132" s="0" t="s">
        <v>3808</v>
      </c>
      <c r="M132" s="0" t="s">
        <v>3809</v>
      </c>
      <c r="N132" s="0" t="s">
        <v>3810</v>
      </c>
      <c r="O132" s="0" t="s">
        <v>3811</v>
      </c>
      <c r="P132" s="0" t="s">
        <v>3744</v>
      </c>
      <c r="Q132" s="0" t="s">
        <v>227</v>
      </c>
      <c r="R132" s="0" t="b">
        <v>1</v>
      </c>
      <c r="S132" s="0" t="s">
        <v>4338</v>
      </c>
    </row>
    <row customHeight="1" ht="11.25">
      <c r="A133" s="0">
        <v>2655</v>
      </c>
      <c r="B133" s="0" t="s">
        <v>102</v>
      </c>
      <c r="C133" s="0">
        <v>31319221</v>
      </c>
      <c r="D133" s="0" t="s">
        <v>3812</v>
      </c>
      <c r="E133" s="0" t="s">
        <v>3813</v>
      </c>
      <c r="F133" s="0" t="s">
        <v>3814</v>
      </c>
      <c r="G133" s="0" t="s">
        <v>3784</v>
      </c>
      <c r="H133" s="0" t="s">
        <v>3815</v>
      </c>
      <c r="I133" s="0" t="s">
        <v>3816</v>
      </c>
      <c r="J133" s="0" t="s">
        <v>3776</v>
      </c>
      <c r="K133" s="0" t="s">
        <v>3817</v>
      </c>
      <c r="L133" s="0" t="s">
        <v>3818</v>
      </c>
      <c r="M133" s="0" t="s">
        <v>3819</v>
      </c>
      <c r="N133" s="0" t="s">
        <v>3820</v>
      </c>
      <c r="O133" s="0" t="s">
        <v>3821</v>
      </c>
      <c r="P133" s="0" t="s">
        <v>145</v>
      </c>
      <c r="Q133" s="0" t="s">
        <v>227</v>
      </c>
      <c r="R133" s="0" t="b">
        <v>0</v>
      </c>
      <c r="S133" s="0" t="s">
        <v>4338</v>
      </c>
    </row>
    <row customHeight="1" ht="11.25">
      <c r="A134" s="0">
        <v>2655</v>
      </c>
      <c r="B134" s="0" t="s">
        <v>102</v>
      </c>
      <c r="C134" s="0">
        <v>31343443</v>
      </c>
      <c r="D134" s="0" t="s">
        <v>3832</v>
      </c>
      <c r="E134" s="0" t="s">
        <v>3833</v>
      </c>
      <c r="F134" s="0" t="s">
        <v>3834</v>
      </c>
      <c r="G134" s="0" t="s">
        <v>3727</v>
      </c>
      <c r="H134" s="0" t="s">
        <v>3835</v>
      </c>
      <c r="I134" s="0" t="s">
        <v>3836</v>
      </c>
      <c r="J134" s="0" t="s">
        <v>3776</v>
      </c>
      <c r="K134" s="0" t="s">
        <v>3837</v>
      </c>
      <c r="L134" s="0" t="s">
        <v>3837</v>
      </c>
      <c r="N134" s="0" t="s">
        <v>3838</v>
      </c>
      <c r="O134" s="0" t="s">
        <v>3839</v>
      </c>
      <c r="P134" s="0" t="s">
        <v>3744</v>
      </c>
      <c r="R134" s="0" t="b">
        <v>0</v>
      </c>
      <c r="S134" s="0" t="s">
        <v>4338</v>
      </c>
    </row>
    <row customHeight="1" ht="11.25">
      <c r="A135" s="0">
        <v>2655</v>
      </c>
      <c r="B135" s="0" t="s">
        <v>102</v>
      </c>
      <c r="C135" s="0">
        <v>31367841</v>
      </c>
      <c r="D135" s="0" t="s">
        <v>3840</v>
      </c>
      <c r="E135" s="0" t="s">
        <v>3841</v>
      </c>
      <c r="F135" s="0" t="s">
        <v>3842</v>
      </c>
      <c r="G135" s="0" t="s">
        <v>3843</v>
      </c>
      <c r="H135" s="0" t="s">
        <v>3844</v>
      </c>
      <c r="I135" s="0" t="s">
        <v>3845</v>
      </c>
      <c r="J135" s="0" t="s">
        <v>3787</v>
      </c>
      <c r="K135" s="0" t="s">
        <v>3846</v>
      </c>
      <c r="L135" s="0" t="s">
        <v>3846</v>
      </c>
      <c r="M135" s="0" t="s">
        <v>227</v>
      </c>
      <c r="N135" s="0" t="s">
        <v>139</v>
      </c>
      <c r="O135" s="0" t="s">
        <v>3847</v>
      </c>
      <c r="P135" s="0" t="s">
        <v>145</v>
      </c>
      <c r="Q135" s="0" t="s">
        <v>227</v>
      </c>
      <c r="R135" s="0" t="b">
        <v>0</v>
      </c>
      <c r="S135" s="0" t="s">
        <v>4338</v>
      </c>
    </row>
    <row customHeight="1" ht="11.25">
      <c r="A136" s="0">
        <v>2655</v>
      </c>
      <c r="B136" s="0" t="s">
        <v>102</v>
      </c>
      <c r="C136" s="0">
        <v>31087651</v>
      </c>
      <c r="D136" s="0" t="s">
        <v>3848</v>
      </c>
      <c r="E136" s="0" t="s">
        <v>3849</v>
      </c>
      <c r="F136" s="0" t="s">
        <v>3850</v>
      </c>
      <c r="G136" s="0" t="s">
        <v>3851</v>
      </c>
      <c r="H136" s="0" t="s">
        <v>3852</v>
      </c>
      <c r="I136" s="0" t="s">
        <v>3853</v>
      </c>
      <c r="J136" s="0" t="s">
        <v>3776</v>
      </c>
      <c r="K136" s="0" t="s">
        <v>3854</v>
      </c>
      <c r="L136" s="0" t="s">
        <v>3854</v>
      </c>
      <c r="M136" s="0" t="s">
        <v>3855</v>
      </c>
      <c r="N136" s="0" t="s">
        <v>3856</v>
      </c>
      <c r="O136" s="0" t="s">
        <v>3857</v>
      </c>
      <c r="R136" s="0" t="b">
        <v>0</v>
      </c>
      <c r="S136" s="0" t="s">
        <v>4338</v>
      </c>
    </row>
    <row customHeight="1" ht="11.25">
      <c r="A137" s="0">
        <v>2655</v>
      </c>
      <c r="B137" s="0" t="s">
        <v>102</v>
      </c>
      <c r="C137" s="0">
        <v>31367862</v>
      </c>
      <c r="D137" s="0" t="s">
        <v>3858</v>
      </c>
      <c r="E137" s="0" t="s">
        <v>3859</v>
      </c>
      <c r="F137" s="0" t="s">
        <v>3860</v>
      </c>
      <c r="G137" s="0" t="s">
        <v>3843</v>
      </c>
      <c r="H137" s="0" t="s">
        <v>3861</v>
      </c>
      <c r="I137" s="0" t="s">
        <v>3862</v>
      </c>
      <c r="J137" s="0" t="s">
        <v>3776</v>
      </c>
      <c r="K137" s="0" t="s">
        <v>3863</v>
      </c>
      <c r="L137" s="0" t="s">
        <v>3863</v>
      </c>
      <c r="M137" s="0" t="s">
        <v>227</v>
      </c>
      <c r="N137" s="0" t="s">
        <v>3864</v>
      </c>
      <c r="O137" s="0" t="s">
        <v>3865</v>
      </c>
      <c r="P137" s="0" t="s">
        <v>145</v>
      </c>
      <c r="Q137" s="0" t="s">
        <v>227</v>
      </c>
      <c r="R137" s="0" t="b">
        <v>0</v>
      </c>
      <c r="S137" s="0" t="s">
        <v>4338</v>
      </c>
    </row>
    <row customHeight="1" ht="11.25">
      <c r="A138" s="0">
        <v>2655</v>
      </c>
      <c r="B138" s="0" t="s">
        <v>102</v>
      </c>
      <c r="C138" s="0">
        <v>31085797</v>
      </c>
      <c r="D138" s="0" t="s">
        <v>4450</v>
      </c>
      <c r="E138" s="0" t="s">
        <v>4451</v>
      </c>
      <c r="F138" s="0" t="s">
        <v>4452</v>
      </c>
      <c r="G138" s="0" t="s">
        <v>3672</v>
      </c>
      <c r="H138" s="0" t="s">
        <v>4453</v>
      </c>
      <c r="I138" s="0" t="s">
        <v>4454</v>
      </c>
      <c r="J138" s="0" t="s">
        <v>3787</v>
      </c>
      <c r="K138" s="0" t="s">
        <v>4455</v>
      </c>
      <c r="L138" s="0" t="s">
        <v>4456</v>
      </c>
      <c r="M138" s="0" t="s">
        <v>4457</v>
      </c>
      <c r="N138" s="0" t="s">
        <v>4458</v>
      </c>
      <c r="O138" s="0" t="s">
        <v>4459</v>
      </c>
      <c r="P138" s="0" t="s">
        <v>145</v>
      </c>
      <c r="Q138" s="0" t="s">
        <v>227</v>
      </c>
      <c r="R138" s="0" t="b">
        <v>1</v>
      </c>
      <c r="S138" s="0" t="s">
        <v>4338</v>
      </c>
    </row>
    <row customHeight="1" ht="11.25">
      <c r="A139" s="0">
        <v>2655</v>
      </c>
      <c r="B139" s="0" t="s">
        <v>102</v>
      </c>
      <c r="C139" s="0">
        <v>26486390</v>
      </c>
      <c r="D139" s="0" t="s">
        <v>3866</v>
      </c>
      <c r="E139" s="0" t="s">
        <v>3867</v>
      </c>
      <c r="F139" s="0" t="s">
        <v>3868</v>
      </c>
      <c r="G139" s="0" t="s">
        <v>3869</v>
      </c>
      <c r="H139" s="0" t="s">
        <v>3870</v>
      </c>
      <c r="I139" s="0" t="s">
        <v>3871</v>
      </c>
      <c r="J139" s="0" t="s">
        <v>3787</v>
      </c>
      <c r="K139" s="0" t="s">
        <v>3872</v>
      </c>
      <c r="L139" s="0" t="s">
        <v>3872</v>
      </c>
      <c r="M139" s="0" t="s">
        <v>3873</v>
      </c>
      <c r="N139" s="0" t="s">
        <v>3874</v>
      </c>
      <c r="O139" s="0" t="s">
        <v>3875</v>
      </c>
      <c r="P139" s="0" t="s">
        <v>3876</v>
      </c>
      <c r="Q139" s="0" t="s">
        <v>227</v>
      </c>
      <c r="R139" s="0" t="b">
        <v>0</v>
      </c>
      <c r="S139" s="0" t="s">
        <v>4338</v>
      </c>
    </row>
    <row customHeight="1" ht="11.25">
      <c r="A140" s="0">
        <v>2655</v>
      </c>
      <c r="B140" s="0" t="s">
        <v>102</v>
      </c>
      <c r="C140" s="0">
        <v>31187282</v>
      </c>
      <c r="D140" s="0" t="s">
        <v>4460</v>
      </c>
      <c r="E140" s="0" t="s">
        <v>4461</v>
      </c>
      <c r="F140" s="0" t="s">
        <v>4462</v>
      </c>
      <c r="G140" s="0" t="s">
        <v>3682</v>
      </c>
      <c r="H140" s="0" t="s">
        <v>4463</v>
      </c>
      <c r="I140" s="0" t="s">
        <v>4464</v>
      </c>
      <c r="J140" s="0" t="s">
        <v>3787</v>
      </c>
      <c r="K140" s="0" t="s">
        <v>4465</v>
      </c>
      <c r="L140" s="0" t="s">
        <v>4465</v>
      </c>
      <c r="M140" s="0" t="s">
        <v>227</v>
      </c>
      <c r="N140" s="0" t="s">
        <v>4466</v>
      </c>
      <c r="O140" s="0" t="s">
        <v>4467</v>
      </c>
      <c r="P140" s="0" t="s">
        <v>145</v>
      </c>
      <c r="Q140" s="0" t="s">
        <v>227</v>
      </c>
      <c r="R140" s="0" t="b">
        <v>0</v>
      </c>
      <c r="S140" s="0" t="s">
        <v>4338</v>
      </c>
    </row>
    <row customHeight="1" ht="11.25">
      <c r="A141" s="0">
        <v>2655</v>
      </c>
      <c r="B141" s="0" t="s">
        <v>102</v>
      </c>
      <c r="C141" s="0">
        <v>31308226</v>
      </c>
      <c r="D141" s="0" t="s">
        <v>3896</v>
      </c>
      <c r="E141" s="0" t="s">
        <v>3897</v>
      </c>
      <c r="F141" s="0" t="s">
        <v>3898</v>
      </c>
      <c r="G141" s="0" t="s">
        <v>3899</v>
      </c>
      <c r="H141" s="0" t="s">
        <v>3900</v>
      </c>
      <c r="I141" s="0" t="s">
        <v>3901</v>
      </c>
      <c r="J141" s="0" t="s">
        <v>3787</v>
      </c>
      <c r="K141" s="0" t="s">
        <v>3902</v>
      </c>
      <c r="L141" s="0" t="s">
        <v>3902</v>
      </c>
      <c r="M141" s="0" t="s">
        <v>3903</v>
      </c>
      <c r="N141" s="0" t="s">
        <v>3904</v>
      </c>
      <c r="O141" s="0" t="s">
        <v>3905</v>
      </c>
      <c r="P141" s="0" t="s">
        <v>3744</v>
      </c>
      <c r="Q141" s="0" t="s">
        <v>227</v>
      </c>
      <c r="R141" s="0" t="b">
        <v>1</v>
      </c>
      <c r="S141" s="0" t="s">
        <v>4338</v>
      </c>
    </row>
    <row customHeight="1" ht="11.25">
      <c r="A142" s="0">
        <v>2655</v>
      </c>
      <c r="B142" s="0" t="s">
        <v>102</v>
      </c>
      <c r="C142" s="0">
        <v>31284269</v>
      </c>
      <c r="D142" s="0" t="s">
        <v>3906</v>
      </c>
      <c r="E142" s="0" t="s">
        <v>3907</v>
      </c>
      <c r="F142" s="0" t="s">
        <v>3908</v>
      </c>
      <c r="G142" s="0" t="s">
        <v>3851</v>
      </c>
      <c r="H142" s="0" t="s">
        <v>3909</v>
      </c>
      <c r="I142" s="0" t="s">
        <v>3910</v>
      </c>
      <c r="J142" s="0" t="s">
        <v>3787</v>
      </c>
      <c r="K142" s="0" t="s">
        <v>3911</v>
      </c>
      <c r="L142" s="0" t="s">
        <v>3912</v>
      </c>
      <c r="M142" s="0" t="s">
        <v>3913</v>
      </c>
      <c r="N142" s="0" t="s">
        <v>3914</v>
      </c>
      <c r="O142" s="0" t="s">
        <v>3915</v>
      </c>
      <c r="P142" s="0" t="s">
        <v>145</v>
      </c>
      <c r="Q142" s="0" t="s">
        <v>227</v>
      </c>
      <c r="R142" s="0" t="b">
        <v>0</v>
      </c>
      <c r="S142" s="0" t="s">
        <v>4338</v>
      </c>
    </row>
    <row customHeight="1" ht="11.25">
      <c r="A143" s="0">
        <v>2655</v>
      </c>
      <c r="B143" s="0" t="s">
        <v>102</v>
      </c>
      <c r="C143" s="0">
        <v>31159389</v>
      </c>
      <c r="D143" s="0" t="s">
        <v>4468</v>
      </c>
      <c r="E143" s="0" t="s">
        <v>4469</v>
      </c>
      <c r="F143" s="0" t="s">
        <v>4470</v>
      </c>
      <c r="G143" s="0" t="s">
        <v>123</v>
      </c>
      <c r="H143" s="0" t="s">
        <v>4471</v>
      </c>
      <c r="I143" s="0" t="s">
        <v>4472</v>
      </c>
      <c r="J143" s="0" t="s">
        <v>3787</v>
      </c>
      <c r="K143" s="0" t="s">
        <v>4473</v>
      </c>
      <c r="L143" s="0" t="s">
        <v>4474</v>
      </c>
      <c r="M143" s="0" t="s">
        <v>4475</v>
      </c>
      <c r="N143" s="0" t="s">
        <v>4476</v>
      </c>
      <c r="O143" s="0" t="s">
        <v>4477</v>
      </c>
      <c r="P143" s="0" t="s">
        <v>145</v>
      </c>
      <c r="Q143" s="0" t="s">
        <v>227</v>
      </c>
      <c r="R143" s="0" t="b">
        <v>0</v>
      </c>
      <c r="S143" s="0" t="s">
        <v>4338</v>
      </c>
    </row>
    <row customHeight="1" ht="11.25">
      <c r="A144" s="0">
        <v>2655</v>
      </c>
      <c r="B144" s="0" t="s">
        <v>102</v>
      </c>
      <c r="C144" s="0">
        <v>26322895</v>
      </c>
      <c r="D144" s="0" t="s">
        <v>3936</v>
      </c>
      <c r="E144" s="0" t="s">
        <v>3937</v>
      </c>
      <c r="F144" s="0" t="s">
        <v>3938</v>
      </c>
      <c r="G144" s="0" t="s">
        <v>3659</v>
      </c>
      <c r="H144" s="0" t="s">
        <v>3939</v>
      </c>
      <c r="I144" s="0" t="s">
        <v>3940</v>
      </c>
      <c r="J144" s="0" t="s">
        <v>3718</v>
      </c>
      <c r="K144" s="0" t="s">
        <v>3941</v>
      </c>
      <c r="L144" s="0" t="s">
        <v>3941</v>
      </c>
      <c r="M144" s="0" t="s">
        <v>3942</v>
      </c>
      <c r="N144" s="0" t="s">
        <v>3943</v>
      </c>
      <c r="O144" s="0" t="s">
        <v>3944</v>
      </c>
      <c r="P144" s="0" t="s">
        <v>3723</v>
      </c>
      <c r="Q144" s="0" t="s">
        <v>3945</v>
      </c>
      <c r="R144" s="0" t="b">
        <v>0</v>
      </c>
      <c r="S144" s="0" t="s">
        <v>4338</v>
      </c>
    </row>
    <row customHeight="1" ht="11.25">
      <c r="A145" s="0">
        <v>2655</v>
      </c>
      <c r="B145" s="0" t="s">
        <v>102</v>
      </c>
      <c r="C145" s="0">
        <v>26356930</v>
      </c>
      <c r="D145" s="0" t="s">
        <v>4478</v>
      </c>
      <c r="E145" s="0" t="s">
        <v>4479</v>
      </c>
      <c r="F145" s="0" t="s">
        <v>4480</v>
      </c>
      <c r="G145" s="0" t="s">
        <v>3956</v>
      </c>
      <c r="H145" s="0" t="s">
        <v>4481</v>
      </c>
      <c r="I145" s="0" t="s">
        <v>4482</v>
      </c>
      <c r="J145" s="0" t="s">
        <v>128</v>
      </c>
      <c r="K145" s="0" t="s">
        <v>4483</v>
      </c>
      <c r="L145" s="0" t="s">
        <v>4483</v>
      </c>
      <c r="M145" s="0" t="s">
        <v>4484</v>
      </c>
      <c r="N145" s="0" t="s">
        <v>227</v>
      </c>
      <c r="O145" s="0" t="s">
        <v>4485</v>
      </c>
      <c r="P145" s="0" t="s">
        <v>145</v>
      </c>
      <c r="Q145" s="0" t="s">
        <v>227</v>
      </c>
      <c r="R145" s="0" t="b">
        <v>1</v>
      </c>
      <c r="S145" s="0" t="s">
        <v>4338</v>
      </c>
    </row>
    <row customHeight="1" ht="11.25">
      <c r="A146" s="0">
        <v>2655</v>
      </c>
      <c r="B146" s="0" t="s">
        <v>102</v>
      </c>
      <c r="C146" s="0">
        <v>30843704</v>
      </c>
      <c r="D146" s="0" t="s">
        <v>4486</v>
      </c>
      <c r="E146" s="0" t="s">
        <v>4487</v>
      </c>
      <c r="F146" s="0" t="s">
        <v>4488</v>
      </c>
      <c r="G146" s="0" t="s">
        <v>3659</v>
      </c>
      <c r="H146" s="0" t="s">
        <v>4489</v>
      </c>
      <c r="I146" s="0" t="s">
        <v>4490</v>
      </c>
      <c r="J146" s="0" t="s">
        <v>128</v>
      </c>
      <c r="K146" s="0" t="s">
        <v>4491</v>
      </c>
      <c r="L146" s="0" t="s">
        <v>4492</v>
      </c>
      <c r="M146" s="0" t="s">
        <v>227</v>
      </c>
      <c r="N146" s="0" t="s">
        <v>4493</v>
      </c>
      <c r="O146" s="0" t="s">
        <v>4494</v>
      </c>
      <c r="P146" s="0" t="s">
        <v>3723</v>
      </c>
      <c r="Q146" s="0" t="s">
        <v>227</v>
      </c>
      <c r="R146" s="0" t="b">
        <v>0</v>
      </c>
      <c r="S146" s="0" t="s">
        <v>4338</v>
      </c>
    </row>
    <row customHeight="1" ht="11.25">
      <c r="A147" s="0">
        <v>2655</v>
      </c>
      <c r="B147" s="0" t="s">
        <v>102</v>
      </c>
      <c r="C147" s="0">
        <v>26798812</v>
      </c>
      <c r="D147" s="0" t="s">
        <v>4495</v>
      </c>
      <c r="E147" s="0" t="s">
        <v>4496</v>
      </c>
      <c r="F147" s="0" t="s">
        <v>4497</v>
      </c>
      <c r="G147" s="0" t="s">
        <v>3672</v>
      </c>
      <c r="H147" s="0" t="s">
        <v>4498</v>
      </c>
      <c r="I147" s="0" t="s">
        <v>4499</v>
      </c>
      <c r="J147" s="0" t="s">
        <v>128</v>
      </c>
      <c r="K147" s="0" t="s">
        <v>4500</v>
      </c>
      <c r="L147" s="0" t="s">
        <v>4500</v>
      </c>
      <c r="M147" s="0" t="s">
        <v>4501</v>
      </c>
      <c r="N147" s="0" t="s">
        <v>4502</v>
      </c>
      <c r="O147" s="0" t="s">
        <v>4503</v>
      </c>
      <c r="P147" s="0" t="s">
        <v>3723</v>
      </c>
      <c r="Q147" s="0" t="s">
        <v>4504</v>
      </c>
      <c r="R147" s="0" t="b">
        <v>0</v>
      </c>
      <c r="S147" s="0" t="s">
        <v>4338</v>
      </c>
    </row>
    <row customHeight="1" ht="11.25">
      <c r="A148" s="0">
        <v>2655</v>
      </c>
      <c r="B148" s="0" t="s">
        <v>102</v>
      </c>
      <c r="C148" s="0">
        <v>31775146</v>
      </c>
      <c r="D148" s="0" t="s">
        <v>3953</v>
      </c>
      <c r="E148" s="0" t="s">
        <v>3954</v>
      </c>
      <c r="F148" s="0" t="s">
        <v>3955</v>
      </c>
      <c r="G148" s="0" t="s">
        <v>3956</v>
      </c>
      <c r="H148" s="0" t="s">
        <v>3957</v>
      </c>
      <c r="I148" s="0" t="s">
        <v>3958</v>
      </c>
      <c r="K148" s="0" t="s">
        <v>3959</v>
      </c>
      <c r="L148" s="0" t="s">
        <v>3959</v>
      </c>
      <c r="M148" s="0" t="s">
        <v>3960</v>
      </c>
      <c r="N148" s="0" t="s">
        <v>3961</v>
      </c>
      <c r="O148" s="0" t="s">
        <v>3962</v>
      </c>
      <c r="P148" s="0" t="s">
        <v>3744</v>
      </c>
      <c r="Q148" s="0" t="s">
        <v>227</v>
      </c>
      <c r="R148" s="0" t="b">
        <v>1</v>
      </c>
      <c r="S148" s="0" t="s">
        <v>4338</v>
      </c>
    </row>
    <row customHeight="1" ht="11.25">
      <c r="A149" s="0">
        <v>2655</v>
      </c>
      <c r="B149" s="0" t="s">
        <v>102</v>
      </c>
      <c r="C149" s="0">
        <v>28873685</v>
      </c>
      <c r="D149" s="0" t="s">
        <v>4505</v>
      </c>
      <c r="E149" s="0" t="s">
        <v>4506</v>
      </c>
      <c r="F149" s="0" t="s">
        <v>4507</v>
      </c>
      <c r="G149" s="0" t="s">
        <v>3956</v>
      </c>
      <c r="H149" s="0" t="s">
        <v>4508</v>
      </c>
      <c r="I149" s="0" t="s">
        <v>4509</v>
      </c>
      <c r="J149" s="0" t="s">
        <v>128</v>
      </c>
      <c r="K149" s="0" t="s">
        <v>4510</v>
      </c>
      <c r="L149" s="0" t="s">
        <v>4510</v>
      </c>
      <c r="M149" s="0" t="s">
        <v>4511</v>
      </c>
      <c r="N149" s="0" t="s">
        <v>3961</v>
      </c>
      <c r="O149" s="0" t="s">
        <v>3962</v>
      </c>
      <c r="P149" s="0" t="s">
        <v>3723</v>
      </c>
      <c r="Q149" s="0" t="s">
        <v>4512</v>
      </c>
      <c r="R149" s="0" t="b">
        <v>1</v>
      </c>
      <c r="S149" s="0" t="s">
        <v>4338</v>
      </c>
    </row>
    <row customHeight="1" ht="11.25">
      <c r="A150" s="0">
        <v>2655</v>
      </c>
      <c r="B150" s="0" t="s">
        <v>102</v>
      </c>
      <c r="C150" s="0">
        <v>28869965</v>
      </c>
      <c r="D150" s="0" t="s">
        <v>3963</v>
      </c>
      <c r="E150" s="0" t="s">
        <v>3964</v>
      </c>
      <c r="F150" s="0" t="s">
        <v>3965</v>
      </c>
      <c r="G150" s="0" t="s">
        <v>3773</v>
      </c>
      <c r="H150" s="0" t="s">
        <v>3966</v>
      </c>
      <c r="I150" s="0" t="s">
        <v>227</v>
      </c>
      <c r="J150" s="0" t="s">
        <v>128</v>
      </c>
      <c r="K150" s="0" t="s">
        <v>3967</v>
      </c>
      <c r="L150" s="0" t="s">
        <v>3967</v>
      </c>
      <c r="M150" s="0" t="s">
        <v>3968</v>
      </c>
      <c r="N150" s="0" t="s">
        <v>3969</v>
      </c>
      <c r="O150" s="0" t="s">
        <v>3970</v>
      </c>
      <c r="P150" s="0" t="s">
        <v>3723</v>
      </c>
      <c r="Q150" s="0" t="s">
        <v>3971</v>
      </c>
      <c r="R150" s="0" t="b">
        <v>0</v>
      </c>
      <c r="S150" s="0" t="s">
        <v>4338</v>
      </c>
    </row>
    <row customHeight="1" ht="11.25">
      <c r="A151" s="0">
        <v>2655</v>
      </c>
      <c r="B151" s="0" t="s">
        <v>102</v>
      </c>
      <c r="C151" s="0">
        <v>31245446</v>
      </c>
      <c r="D151" s="0" t="s">
        <v>4513</v>
      </c>
      <c r="E151" s="0" t="s">
        <v>4514</v>
      </c>
      <c r="F151" s="0" t="s">
        <v>4515</v>
      </c>
      <c r="G151" s="0" t="s">
        <v>4516</v>
      </c>
      <c r="H151" s="0" t="s">
        <v>4517</v>
      </c>
      <c r="I151" s="0" t="s">
        <v>4518</v>
      </c>
      <c r="J151" s="0" t="s">
        <v>128</v>
      </c>
      <c r="K151" s="0" t="s">
        <v>4519</v>
      </c>
      <c r="L151" s="0" t="s">
        <v>4520</v>
      </c>
      <c r="M151" s="0" t="s">
        <v>4521</v>
      </c>
      <c r="N151" s="0" t="s">
        <v>4522</v>
      </c>
      <c r="O151" s="0" t="s">
        <v>4523</v>
      </c>
      <c r="P151" s="0" t="s">
        <v>145</v>
      </c>
      <c r="Q151" s="0" t="s">
        <v>227</v>
      </c>
      <c r="R151" s="0" t="b">
        <v>0</v>
      </c>
      <c r="S151" s="0" t="s">
        <v>4338</v>
      </c>
    </row>
    <row customHeight="1" ht="11.25">
      <c r="A152" s="0">
        <v>2655</v>
      </c>
      <c r="B152" s="0" t="s">
        <v>102</v>
      </c>
      <c r="C152" s="0">
        <v>26476793</v>
      </c>
      <c r="D152" s="0" t="s">
        <v>4524</v>
      </c>
      <c r="E152" s="0" t="s">
        <v>4525</v>
      </c>
      <c r="F152" s="0" t="s">
        <v>4526</v>
      </c>
      <c r="G152" s="0" t="s">
        <v>4422</v>
      </c>
      <c r="H152" s="0" t="s">
        <v>4527</v>
      </c>
      <c r="I152" s="0" t="s">
        <v>4528</v>
      </c>
      <c r="J152" s="0" t="s">
        <v>128</v>
      </c>
      <c r="K152" s="0" t="s">
        <v>4529</v>
      </c>
      <c r="L152" s="0" t="s">
        <v>4529</v>
      </c>
      <c r="M152" s="0" t="s">
        <v>4530</v>
      </c>
      <c r="N152" s="0" t="s">
        <v>4531</v>
      </c>
      <c r="O152" s="0" t="s">
        <v>4532</v>
      </c>
      <c r="P152" s="0" t="s">
        <v>145</v>
      </c>
      <c r="Q152" s="0" t="s">
        <v>152</v>
      </c>
      <c r="R152" s="0" t="b">
        <v>1</v>
      </c>
      <c r="S152" s="0" t="s">
        <v>4338</v>
      </c>
    </row>
    <row customHeight="1" ht="11.25">
      <c r="A153" s="0">
        <v>2655</v>
      </c>
      <c r="B153" s="0" t="s">
        <v>102</v>
      </c>
      <c r="C153" s="0">
        <v>28509720</v>
      </c>
      <c r="D153" s="0" t="s">
        <v>4533</v>
      </c>
      <c r="E153" s="0" t="s">
        <v>4534</v>
      </c>
      <c r="F153" s="0" t="s">
        <v>4535</v>
      </c>
      <c r="G153" s="0" t="s">
        <v>4536</v>
      </c>
      <c r="H153" s="0" t="s">
        <v>4537</v>
      </c>
      <c r="I153" s="0" t="s">
        <v>4538</v>
      </c>
      <c r="J153" s="0" t="s">
        <v>128</v>
      </c>
      <c r="K153" s="0" t="s">
        <v>4539</v>
      </c>
      <c r="L153" s="0" t="s">
        <v>4540</v>
      </c>
      <c r="M153" s="0" t="s">
        <v>4541</v>
      </c>
      <c r="N153" s="0" t="s">
        <v>227</v>
      </c>
      <c r="O153" s="0" t="s">
        <v>4542</v>
      </c>
      <c r="P153" s="0" t="s">
        <v>3723</v>
      </c>
      <c r="Q153" s="0" t="s">
        <v>227</v>
      </c>
      <c r="R153" s="0" t="b">
        <v>0</v>
      </c>
      <c r="S153" s="0" t="s">
        <v>4338</v>
      </c>
    </row>
    <row customHeight="1" ht="11.25">
      <c r="A154" s="0">
        <v>2655</v>
      </c>
      <c r="B154" s="0" t="s">
        <v>102</v>
      </c>
      <c r="C154" s="0">
        <v>31527562</v>
      </c>
      <c r="D154" s="0" t="s">
        <v>4543</v>
      </c>
      <c r="E154" s="0" t="s">
        <v>4544</v>
      </c>
      <c r="F154" s="0" t="s">
        <v>4545</v>
      </c>
      <c r="G154" s="0" t="s">
        <v>4546</v>
      </c>
      <c r="H154" s="0" t="s">
        <v>4547</v>
      </c>
      <c r="I154" s="0" t="s">
        <v>4548</v>
      </c>
      <c r="K154" s="0" t="s">
        <v>4549</v>
      </c>
      <c r="L154" s="0" t="s">
        <v>4550</v>
      </c>
      <c r="M154" s="0" t="s">
        <v>227</v>
      </c>
      <c r="N154" s="0" t="s">
        <v>227</v>
      </c>
      <c r="O154" s="0" t="s">
        <v>4551</v>
      </c>
      <c r="P154" s="0" t="s">
        <v>227</v>
      </c>
      <c r="Q154" s="0" t="s">
        <v>227</v>
      </c>
      <c r="R154" s="0" t="b">
        <v>0</v>
      </c>
      <c r="S154" s="0" t="s">
        <v>4338</v>
      </c>
    </row>
    <row customHeight="1" ht="11.25">
      <c r="A155" s="0">
        <v>2655</v>
      </c>
      <c r="B155" s="0" t="s">
        <v>102</v>
      </c>
      <c r="C155" s="0">
        <v>31874557</v>
      </c>
      <c r="D155" s="0" t="s">
        <v>4552</v>
      </c>
      <c r="E155" s="0" t="s">
        <v>4553</v>
      </c>
      <c r="F155" s="0" t="s">
        <v>4554</v>
      </c>
      <c r="G155" s="0" t="s">
        <v>3899</v>
      </c>
      <c r="H155" s="0" t="s">
        <v>4555</v>
      </c>
      <c r="I155" s="0" t="s">
        <v>4556</v>
      </c>
      <c r="K155" s="0" t="s">
        <v>4557</v>
      </c>
      <c r="L155" s="0" t="s">
        <v>4557</v>
      </c>
      <c r="M155" s="0" t="s">
        <v>4558</v>
      </c>
      <c r="N155" s="0" t="s">
        <v>4559</v>
      </c>
      <c r="O155" s="0" t="s">
        <v>4560</v>
      </c>
      <c r="P155" s="0" t="s">
        <v>3723</v>
      </c>
      <c r="Q155" s="0" t="s">
        <v>227</v>
      </c>
      <c r="R155" s="0" t="b">
        <v>1</v>
      </c>
      <c r="S155" s="0" t="s">
        <v>4338</v>
      </c>
    </row>
    <row customHeight="1" ht="11.25">
      <c r="A156" s="0">
        <v>2655</v>
      </c>
      <c r="B156" s="0" t="s">
        <v>102</v>
      </c>
      <c r="C156" s="0">
        <v>31656254</v>
      </c>
      <c r="D156" s="0" t="s">
        <v>4001</v>
      </c>
      <c r="E156" s="0" t="s">
        <v>4002</v>
      </c>
      <c r="F156" s="0" t="s">
        <v>4003</v>
      </c>
      <c r="G156" s="0" t="s">
        <v>4004</v>
      </c>
      <c r="H156" s="0" t="s">
        <v>4005</v>
      </c>
      <c r="I156" s="0" t="s">
        <v>4006</v>
      </c>
      <c r="K156" s="0" t="s">
        <v>4007</v>
      </c>
      <c r="L156" s="0" t="s">
        <v>4008</v>
      </c>
      <c r="M156" s="0" t="s">
        <v>4009</v>
      </c>
      <c r="N156" s="0" t="s">
        <v>4010</v>
      </c>
      <c r="O156" s="0" t="s">
        <v>4011</v>
      </c>
      <c r="P156" s="0" t="s">
        <v>145</v>
      </c>
      <c r="Q156" s="0" t="s">
        <v>4012</v>
      </c>
      <c r="R156" s="0" t="b">
        <v>0</v>
      </c>
      <c r="S156" s="0" t="s">
        <v>4338</v>
      </c>
    </row>
    <row customHeight="1" ht="11.25">
      <c r="A157" s="0">
        <v>2655</v>
      </c>
      <c r="B157" s="0" t="s">
        <v>102</v>
      </c>
      <c r="C157" s="0">
        <v>26356927</v>
      </c>
      <c r="D157" s="0" t="s">
        <v>4561</v>
      </c>
      <c r="E157" s="0" t="s">
        <v>4562</v>
      </c>
      <c r="F157" s="0" t="s">
        <v>4563</v>
      </c>
      <c r="G157" s="0" t="s">
        <v>3956</v>
      </c>
      <c r="H157" s="0" t="s">
        <v>4564</v>
      </c>
      <c r="I157" s="0" t="s">
        <v>4565</v>
      </c>
      <c r="J157" s="0" t="s">
        <v>128</v>
      </c>
      <c r="K157" s="0" t="s">
        <v>4566</v>
      </c>
      <c r="L157" s="0" t="s">
        <v>4566</v>
      </c>
      <c r="M157" s="0" t="s">
        <v>4567</v>
      </c>
      <c r="N157" s="0" t="s">
        <v>4568</v>
      </c>
      <c r="O157" s="0" t="s">
        <v>4569</v>
      </c>
      <c r="P157" s="0" t="s">
        <v>3744</v>
      </c>
      <c r="Q157" s="0" t="s">
        <v>227</v>
      </c>
      <c r="R157" s="0" t="b">
        <v>1</v>
      </c>
      <c r="S157" s="0" t="s">
        <v>4338</v>
      </c>
    </row>
    <row customHeight="1" ht="11.25">
      <c r="A158" s="0">
        <v>2655</v>
      </c>
      <c r="B158" s="0" t="s">
        <v>102</v>
      </c>
      <c r="C158" s="0">
        <v>28878273</v>
      </c>
      <c r="D158" s="0" t="s">
        <v>4570</v>
      </c>
      <c r="E158" s="0" t="s">
        <v>4571</v>
      </c>
      <c r="F158" s="0" t="s">
        <v>4572</v>
      </c>
      <c r="G158" s="0" t="s">
        <v>3659</v>
      </c>
      <c r="H158" s="0" t="s">
        <v>4573</v>
      </c>
      <c r="I158" s="0" t="s">
        <v>227</v>
      </c>
      <c r="J158" s="0" t="s">
        <v>128</v>
      </c>
      <c r="K158" s="0" t="s">
        <v>4574</v>
      </c>
      <c r="L158" s="0" t="s">
        <v>4575</v>
      </c>
      <c r="M158" s="0" t="s">
        <v>4576</v>
      </c>
      <c r="N158" s="0" t="s">
        <v>4577</v>
      </c>
      <c r="O158" s="0" t="s">
        <v>4578</v>
      </c>
      <c r="P158" s="0" t="s">
        <v>3723</v>
      </c>
      <c r="Q158" s="0" t="s">
        <v>4579</v>
      </c>
      <c r="R158" s="0" t="b">
        <v>0</v>
      </c>
      <c r="S158" s="0" t="s">
        <v>4338</v>
      </c>
    </row>
    <row customHeight="1" ht="11.25">
      <c r="A159" s="0">
        <v>2655</v>
      </c>
      <c r="B159" s="0" t="s">
        <v>102</v>
      </c>
      <c r="C159" s="0">
        <v>26562805</v>
      </c>
      <c r="D159" s="0" t="s">
        <v>4580</v>
      </c>
      <c r="E159" s="0" t="s">
        <v>4581</v>
      </c>
      <c r="F159" s="0" t="s">
        <v>4582</v>
      </c>
      <c r="G159" s="0" t="s">
        <v>3869</v>
      </c>
      <c r="H159" s="0" t="s">
        <v>4583</v>
      </c>
      <c r="I159" s="0" t="s">
        <v>4584</v>
      </c>
      <c r="J159" s="0" t="s">
        <v>128</v>
      </c>
      <c r="K159" s="0" t="s">
        <v>4585</v>
      </c>
      <c r="L159" s="0" t="s">
        <v>4585</v>
      </c>
      <c r="M159" s="0" t="s">
        <v>4586</v>
      </c>
      <c r="N159" s="0" t="s">
        <v>4587</v>
      </c>
      <c r="O159" s="0" t="s">
        <v>4588</v>
      </c>
      <c r="P159" s="0" t="s">
        <v>145</v>
      </c>
      <c r="Q159" s="0" t="s">
        <v>4589</v>
      </c>
      <c r="R159" s="0" t="b">
        <v>0</v>
      </c>
      <c r="S159" s="0" t="s">
        <v>4338</v>
      </c>
    </row>
    <row customHeight="1" ht="11.25">
      <c r="A160" s="0">
        <v>2655</v>
      </c>
      <c r="B160" s="0" t="s">
        <v>102</v>
      </c>
      <c r="C160" s="0">
        <v>31684090</v>
      </c>
      <c r="D160" s="0" t="s">
        <v>4590</v>
      </c>
      <c r="E160" s="0" t="s">
        <v>4591</v>
      </c>
      <c r="F160" s="0" t="s">
        <v>4592</v>
      </c>
      <c r="G160" s="0" t="s">
        <v>3659</v>
      </c>
      <c r="H160" s="0" t="s">
        <v>4593</v>
      </c>
      <c r="I160" s="0" t="s">
        <v>4594</v>
      </c>
      <c r="K160" s="0" t="s">
        <v>4595</v>
      </c>
      <c r="L160" s="0" t="s">
        <v>4596</v>
      </c>
      <c r="M160" s="0" t="s">
        <v>227</v>
      </c>
      <c r="N160" s="0" t="s">
        <v>227</v>
      </c>
      <c r="O160" s="0" t="s">
        <v>4597</v>
      </c>
      <c r="P160" s="0" t="s">
        <v>3667</v>
      </c>
      <c r="Q160" s="0" t="s">
        <v>4598</v>
      </c>
      <c r="R160" s="0" t="b">
        <v>0</v>
      </c>
      <c r="S160" s="0" t="s">
        <v>4338</v>
      </c>
    </row>
    <row customHeight="1" ht="11.25">
      <c r="A161" s="0">
        <v>2655</v>
      </c>
      <c r="B161" s="0" t="s">
        <v>102</v>
      </c>
      <c r="C161" s="0">
        <v>27997588</v>
      </c>
      <c r="D161" s="0" t="s">
        <v>4599</v>
      </c>
      <c r="E161" s="0" t="s">
        <v>4600</v>
      </c>
      <c r="F161" s="0" t="s">
        <v>4601</v>
      </c>
      <c r="G161" s="0" t="s">
        <v>3773</v>
      </c>
      <c r="H161" s="0" t="s">
        <v>4602</v>
      </c>
      <c r="I161" s="0" t="s">
        <v>4603</v>
      </c>
      <c r="J161" s="0" t="s">
        <v>128</v>
      </c>
      <c r="K161" s="0" t="s">
        <v>4604</v>
      </c>
      <c r="L161" s="0" t="s">
        <v>4604</v>
      </c>
      <c r="M161" s="0" t="s">
        <v>4605</v>
      </c>
      <c r="N161" s="0" t="s">
        <v>4606</v>
      </c>
      <c r="O161" s="0" t="s">
        <v>4607</v>
      </c>
      <c r="P161" s="0" t="s">
        <v>4608</v>
      </c>
      <c r="Q161" s="0" t="s">
        <v>227</v>
      </c>
      <c r="R161" s="0" t="b">
        <v>0</v>
      </c>
      <c r="S161" s="0" t="s">
        <v>4338</v>
      </c>
    </row>
    <row customHeight="1" ht="11.25">
      <c r="A162" s="0">
        <v>2655</v>
      </c>
      <c r="B162" s="0" t="s">
        <v>102</v>
      </c>
      <c r="C162" s="0">
        <v>28882034</v>
      </c>
      <c r="D162" s="0" t="s">
        <v>4609</v>
      </c>
      <c r="E162" s="0" t="s">
        <v>4610</v>
      </c>
      <c r="F162" s="0" t="s">
        <v>4611</v>
      </c>
      <c r="G162" s="0" t="s">
        <v>3659</v>
      </c>
      <c r="H162" s="0" t="s">
        <v>4612</v>
      </c>
      <c r="I162" s="0" t="s">
        <v>227</v>
      </c>
      <c r="J162" s="0" t="s">
        <v>128</v>
      </c>
      <c r="K162" s="0" t="s">
        <v>4613</v>
      </c>
      <c r="L162" s="0" t="s">
        <v>4613</v>
      </c>
      <c r="M162" s="0" t="s">
        <v>227</v>
      </c>
      <c r="N162" s="0" t="s">
        <v>227</v>
      </c>
      <c r="O162" s="0" t="s">
        <v>4614</v>
      </c>
      <c r="P162" s="0" t="s">
        <v>145</v>
      </c>
      <c r="Q162" s="0" t="s">
        <v>227</v>
      </c>
      <c r="R162" s="0" t="b">
        <v>0</v>
      </c>
      <c r="S162" s="0" t="s">
        <v>4338</v>
      </c>
    </row>
    <row customHeight="1" ht="11.25">
      <c r="A163" s="0">
        <v>2655</v>
      </c>
      <c r="B163" s="0" t="s">
        <v>102</v>
      </c>
      <c r="C163" s="0">
        <v>26648537</v>
      </c>
      <c r="D163" s="0" t="s">
        <v>4615</v>
      </c>
      <c r="E163" s="0" t="s">
        <v>4616</v>
      </c>
      <c r="F163" s="0" t="s">
        <v>4617</v>
      </c>
      <c r="G163" s="0" t="s">
        <v>3659</v>
      </c>
      <c r="H163" s="0" t="s">
        <v>4618</v>
      </c>
      <c r="I163" s="0" t="s">
        <v>4619</v>
      </c>
      <c r="J163" s="0" t="s">
        <v>128</v>
      </c>
      <c r="K163" s="0" t="s">
        <v>4620</v>
      </c>
      <c r="L163" s="0" t="s">
        <v>4620</v>
      </c>
      <c r="M163" s="0" t="s">
        <v>4621</v>
      </c>
      <c r="N163" s="0" t="s">
        <v>4622</v>
      </c>
      <c r="O163" s="0" t="s">
        <v>4623</v>
      </c>
      <c r="P163" s="0" t="s">
        <v>145</v>
      </c>
      <c r="Q163" s="0" t="s">
        <v>4624</v>
      </c>
      <c r="R163" s="0" t="b">
        <v>0</v>
      </c>
      <c r="S163" s="0" t="s">
        <v>4338</v>
      </c>
    </row>
    <row customHeight="1" ht="11.25">
      <c r="A164" s="0">
        <v>2655</v>
      </c>
      <c r="B164" s="0" t="s">
        <v>102</v>
      </c>
      <c r="C164" s="0">
        <v>31519209</v>
      </c>
      <c r="D164" s="0" t="s">
        <v>4625</v>
      </c>
      <c r="E164" s="0" t="s">
        <v>4626</v>
      </c>
      <c r="F164" s="0" t="s">
        <v>4627</v>
      </c>
      <c r="G164" s="0" t="s">
        <v>3956</v>
      </c>
      <c r="H164" s="0" t="s">
        <v>4628</v>
      </c>
      <c r="I164" s="0" t="s">
        <v>4629</v>
      </c>
      <c r="J164" s="0" t="s">
        <v>128</v>
      </c>
      <c r="K164" s="0" t="s">
        <v>4630</v>
      </c>
      <c r="L164" s="0" t="s">
        <v>4631</v>
      </c>
      <c r="M164" s="0" t="s">
        <v>4632</v>
      </c>
      <c r="N164" s="0" t="s">
        <v>4633</v>
      </c>
      <c r="O164" s="0" t="s">
        <v>4634</v>
      </c>
      <c r="P164" s="0" t="s">
        <v>3667</v>
      </c>
      <c r="Q164" s="0" t="s">
        <v>227</v>
      </c>
      <c r="R164" s="0" t="b">
        <v>0</v>
      </c>
      <c r="S164" s="0" t="s">
        <v>4338</v>
      </c>
    </row>
    <row customHeight="1" ht="11.25">
      <c r="A165" s="0">
        <v>2655</v>
      </c>
      <c r="B165" s="0" t="s">
        <v>102</v>
      </c>
      <c r="C165" s="0">
        <v>31574053</v>
      </c>
      <c r="D165" s="0" t="s">
        <v>4635</v>
      </c>
      <c r="E165" s="0" t="s">
        <v>4636</v>
      </c>
      <c r="F165" s="0" t="s">
        <v>4637</v>
      </c>
      <c r="G165" s="0" t="s">
        <v>3899</v>
      </c>
      <c r="H165" s="0" t="s">
        <v>4638</v>
      </c>
      <c r="I165" s="0" t="s">
        <v>4639</v>
      </c>
      <c r="K165" s="0" t="s">
        <v>4640</v>
      </c>
      <c r="L165" s="0" t="s">
        <v>4640</v>
      </c>
      <c r="M165" s="0" t="s">
        <v>4641</v>
      </c>
      <c r="N165" s="0" t="s">
        <v>4642</v>
      </c>
      <c r="O165" s="0" t="s">
        <v>4643</v>
      </c>
      <c r="P165" s="0" t="s">
        <v>145</v>
      </c>
      <c r="Q165" s="0" t="s">
        <v>227</v>
      </c>
      <c r="R165" s="0" t="b">
        <v>0</v>
      </c>
      <c r="S165" s="0" t="s">
        <v>4338</v>
      </c>
    </row>
    <row customHeight="1" ht="11.25">
      <c r="A166" s="0">
        <v>2655</v>
      </c>
      <c r="B166" s="0" t="s">
        <v>102</v>
      </c>
      <c r="C166" s="0">
        <v>28141951</v>
      </c>
      <c r="D166" s="0" t="s">
        <v>4644</v>
      </c>
      <c r="E166" s="0" t="s">
        <v>4645</v>
      </c>
      <c r="F166" s="0" t="s">
        <v>4646</v>
      </c>
      <c r="G166" s="0" t="s">
        <v>3682</v>
      </c>
      <c r="H166" s="0" t="s">
        <v>4647</v>
      </c>
      <c r="I166" s="0" t="s">
        <v>4648</v>
      </c>
      <c r="J166" s="0" t="s">
        <v>128</v>
      </c>
      <c r="K166" s="0" t="s">
        <v>4649</v>
      </c>
      <c r="L166" s="0" t="s">
        <v>4649</v>
      </c>
      <c r="M166" s="0" t="s">
        <v>4650</v>
      </c>
      <c r="N166" s="0" t="s">
        <v>4651</v>
      </c>
      <c r="O166" s="0" t="s">
        <v>4652</v>
      </c>
      <c r="P166" s="0" t="s">
        <v>3723</v>
      </c>
      <c r="Q166" s="0" t="s">
        <v>4653</v>
      </c>
      <c r="R166" s="0" t="b">
        <v>0</v>
      </c>
      <c r="S166" s="0" t="s">
        <v>4338</v>
      </c>
    </row>
    <row customHeight="1" ht="11.25">
      <c r="A167" s="0">
        <v>2655</v>
      </c>
      <c r="B167" s="0" t="s">
        <v>102</v>
      </c>
      <c r="C167" s="0">
        <v>26852793</v>
      </c>
      <c r="D167" s="0" t="s">
        <v>4654</v>
      </c>
      <c r="E167" s="0" t="s">
        <v>4655</v>
      </c>
      <c r="F167" s="0" t="s">
        <v>4656</v>
      </c>
      <c r="G167" s="0" t="s">
        <v>3899</v>
      </c>
      <c r="H167" s="0" t="s">
        <v>4657</v>
      </c>
      <c r="I167" s="0" t="s">
        <v>4658</v>
      </c>
      <c r="J167" s="0" t="s">
        <v>128</v>
      </c>
      <c r="K167" s="0" t="s">
        <v>4344</v>
      </c>
      <c r="L167" s="0" t="s">
        <v>4344</v>
      </c>
      <c r="M167" s="0" t="s">
        <v>4659</v>
      </c>
      <c r="N167" s="0" t="s">
        <v>4660</v>
      </c>
      <c r="O167" s="0" t="s">
        <v>4661</v>
      </c>
      <c r="P167" s="0" t="s">
        <v>3723</v>
      </c>
      <c r="Q167" s="0" t="s">
        <v>152</v>
      </c>
      <c r="R167" s="0" t="b">
        <v>0</v>
      </c>
      <c r="S167" s="0" t="s">
        <v>4338</v>
      </c>
    </row>
    <row customHeight="1" ht="11.25">
      <c r="A168" s="0">
        <v>2655</v>
      </c>
      <c r="B168" s="0" t="s">
        <v>102</v>
      </c>
      <c r="C168" s="0">
        <v>28141966</v>
      </c>
      <c r="D168" s="0" t="s">
        <v>4662</v>
      </c>
      <c r="E168" s="0" t="s">
        <v>4663</v>
      </c>
      <c r="F168" s="0" t="s">
        <v>4664</v>
      </c>
      <c r="G168" s="0" t="s">
        <v>3773</v>
      </c>
      <c r="H168" s="0" t="s">
        <v>4665</v>
      </c>
      <c r="I168" s="0" t="s">
        <v>4666</v>
      </c>
      <c r="J168" s="0" t="s">
        <v>128</v>
      </c>
      <c r="K168" s="0" t="s">
        <v>4667</v>
      </c>
      <c r="L168" s="0" t="s">
        <v>4668</v>
      </c>
      <c r="M168" s="0" t="s">
        <v>4669</v>
      </c>
      <c r="N168" s="0" t="s">
        <v>4670</v>
      </c>
      <c r="O168" s="0" t="s">
        <v>4671</v>
      </c>
      <c r="P168" s="0" t="s">
        <v>3723</v>
      </c>
      <c r="Q168" s="0" t="s">
        <v>4672</v>
      </c>
      <c r="R168" s="0" t="b">
        <v>0</v>
      </c>
      <c r="S168" s="0" t="s">
        <v>4338</v>
      </c>
    </row>
    <row customHeight="1" ht="11.25">
      <c r="A169" s="0">
        <v>2655</v>
      </c>
      <c r="B169" s="0" t="s">
        <v>102</v>
      </c>
      <c r="C169" s="0">
        <v>31424033</v>
      </c>
      <c r="D169" s="0" t="s">
        <v>4013</v>
      </c>
      <c r="E169" s="0" t="s">
        <v>4014</v>
      </c>
      <c r="F169" s="0" t="s">
        <v>4015</v>
      </c>
      <c r="G169" s="0" t="s">
        <v>4016</v>
      </c>
      <c r="H169" s="0" t="s">
        <v>4017</v>
      </c>
      <c r="I169" s="0" t="s">
        <v>227</v>
      </c>
      <c r="J169" s="0" t="s">
        <v>128</v>
      </c>
      <c r="K169" s="0" t="s">
        <v>227</v>
      </c>
      <c r="L169" s="0" t="s">
        <v>227</v>
      </c>
      <c r="M169" s="0" t="s">
        <v>227</v>
      </c>
      <c r="N169" s="0" t="s">
        <v>227</v>
      </c>
      <c r="O169" s="0" t="s">
        <v>227</v>
      </c>
      <c r="P169" s="0" t="s">
        <v>227</v>
      </c>
      <c r="Q169" s="0" t="s">
        <v>227</v>
      </c>
      <c r="R169" s="0" t="b">
        <v>0</v>
      </c>
      <c r="S169" s="0" t="s">
        <v>4338</v>
      </c>
    </row>
    <row customHeight="1" ht="11.25">
      <c r="A170" s="0">
        <v>2655</v>
      </c>
      <c r="B170" s="0" t="s">
        <v>102</v>
      </c>
      <c r="C170" s="0">
        <v>27838991</v>
      </c>
      <c r="D170" s="0" t="s">
        <v>4311</v>
      </c>
      <c r="E170" s="0" t="s">
        <v>4312</v>
      </c>
      <c r="F170" s="0" t="s">
        <v>4313</v>
      </c>
      <c r="G170" s="0" t="s">
        <v>3682</v>
      </c>
      <c r="H170" s="0" t="s">
        <v>4314</v>
      </c>
      <c r="I170" s="0" t="s">
        <v>4315</v>
      </c>
      <c r="J170" s="0" t="s">
        <v>128</v>
      </c>
      <c r="K170" s="0" t="s">
        <v>4316</v>
      </c>
      <c r="L170" s="0" t="s">
        <v>4317</v>
      </c>
      <c r="M170" s="0" t="s">
        <v>4318</v>
      </c>
      <c r="N170" s="0" t="s">
        <v>4319</v>
      </c>
      <c r="O170" s="0" t="s">
        <v>4320</v>
      </c>
      <c r="P170" s="0" t="s">
        <v>3723</v>
      </c>
      <c r="Q170" s="0" t="s">
        <v>227</v>
      </c>
      <c r="R170" s="0" t="b">
        <v>0</v>
      </c>
      <c r="S170" s="0" t="s">
        <v>4338</v>
      </c>
    </row>
    <row customHeight="1" ht="11.25">
      <c r="A171" s="0">
        <v>2655</v>
      </c>
      <c r="B171" s="0" t="s">
        <v>102</v>
      </c>
      <c r="C171" s="0">
        <v>26356931</v>
      </c>
      <c r="D171" s="0" t="s">
        <v>4673</v>
      </c>
      <c r="E171" s="0" t="s">
        <v>4674</v>
      </c>
      <c r="F171" s="0" t="s">
        <v>4675</v>
      </c>
      <c r="G171" s="0" t="s">
        <v>3956</v>
      </c>
      <c r="H171" s="0" t="s">
        <v>4676</v>
      </c>
      <c r="I171" s="0" t="s">
        <v>4677</v>
      </c>
      <c r="J171" s="0" t="s">
        <v>128</v>
      </c>
      <c r="K171" s="0" t="s">
        <v>4678</v>
      </c>
      <c r="L171" s="0" t="s">
        <v>4678</v>
      </c>
      <c r="M171" s="0" t="s">
        <v>4679</v>
      </c>
      <c r="N171" s="0" t="s">
        <v>4680</v>
      </c>
      <c r="O171" s="0" t="s">
        <v>4681</v>
      </c>
      <c r="P171" s="0" t="s">
        <v>145</v>
      </c>
      <c r="Q171" s="0" t="s">
        <v>152</v>
      </c>
      <c r="R171" s="0" t="b">
        <v>1</v>
      </c>
      <c r="S171" s="0" t="s">
        <v>4338</v>
      </c>
    </row>
    <row customHeight="1" ht="11.25">
      <c r="A172" s="0">
        <v>2655</v>
      </c>
      <c r="B172" s="0" t="s">
        <v>102</v>
      </c>
      <c r="C172" s="0">
        <v>28151808</v>
      </c>
      <c r="D172" s="0" t="s">
        <v>4027</v>
      </c>
      <c r="E172" s="0" t="s">
        <v>4028</v>
      </c>
      <c r="F172" s="0" t="s">
        <v>4029</v>
      </c>
      <c r="G172" s="0" t="s">
        <v>3727</v>
      </c>
      <c r="H172" s="0" t="s">
        <v>4030</v>
      </c>
      <c r="I172" s="0" t="s">
        <v>4031</v>
      </c>
      <c r="J172" s="0" t="s">
        <v>128</v>
      </c>
      <c r="K172" s="0" t="s">
        <v>4032</v>
      </c>
      <c r="L172" s="0" t="s">
        <v>4033</v>
      </c>
      <c r="M172" s="0" t="s">
        <v>4034</v>
      </c>
      <c r="N172" s="0" t="s">
        <v>4035</v>
      </c>
      <c r="O172" s="0" t="s">
        <v>4036</v>
      </c>
      <c r="P172" s="0" t="s">
        <v>3723</v>
      </c>
      <c r="Q172" s="0" t="s">
        <v>227</v>
      </c>
      <c r="R172" s="0" t="b">
        <v>1</v>
      </c>
      <c r="S172" s="0" t="s">
        <v>4338</v>
      </c>
    </row>
    <row customHeight="1" ht="11.25">
      <c r="A173" s="0">
        <v>2655</v>
      </c>
      <c r="B173" s="0" t="s">
        <v>102</v>
      </c>
      <c r="C173" s="0">
        <v>31739633</v>
      </c>
      <c r="D173" s="0" t="s">
        <v>4037</v>
      </c>
      <c r="E173" s="0" t="s">
        <v>4038</v>
      </c>
      <c r="F173" s="0" t="s">
        <v>4039</v>
      </c>
      <c r="G173" s="0" t="s">
        <v>4040</v>
      </c>
      <c r="H173" s="0" t="s">
        <v>4041</v>
      </c>
      <c r="I173" s="0" t="s">
        <v>4042</v>
      </c>
      <c r="K173" s="0" t="s">
        <v>4043</v>
      </c>
      <c r="L173" s="0" t="s">
        <v>4043</v>
      </c>
      <c r="M173" s="0" t="s">
        <v>4044</v>
      </c>
      <c r="N173" s="0" t="s">
        <v>4045</v>
      </c>
      <c r="O173" s="0" t="s">
        <v>4046</v>
      </c>
      <c r="P173" s="0" t="s">
        <v>3744</v>
      </c>
      <c r="Q173" s="0" t="s">
        <v>227</v>
      </c>
      <c r="R173" s="0" t="b">
        <v>0</v>
      </c>
      <c r="S173" s="0" t="s">
        <v>4338</v>
      </c>
    </row>
    <row customHeight="1" ht="11.25">
      <c r="A174" s="0">
        <v>2655</v>
      </c>
      <c r="B174" s="0" t="s">
        <v>102</v>
      </c>
      <c r="C174" s="0">
        <v>30433806</v>
      </c>
      <c r="D174" s="0" t="s">
        <v>4682</v>
      </c>
      <c r="E174" s="0" t="s">
        <v>4683</v>
      </c>
      <c r="F174" s="0" t="s">
        <v>4684</v>
      </c>
      <c r="G174" s="0" t="s">
        <v>3869</v>
      </c>
      <c r="H174" s="0" t="s">
        <v>4685</v>
      </c>
      <c r="I174" s="0" t="s">
        <v>4686</v>
      </c>
      <c r="J174" s="0" t="s">
        <v>128</v>
      </c>
      <c r="K174" s="0" t="s">
        <v>4687</v>
      </c>
      <c r="L174" s="0" t="s">
        <v>4687</v>
      </c>
      <c r="M174" s="0" t="s">
        <v>4688</v>
      </c>
      <c r="N174" s="0" t="s">
        <v>4689</v>
      </c>
      <c r="O174" s="0" t="s">
        <v>4690</v>
      </c>
      <c r="P174" s="0" t="s">
        <v>145</v>
      </c>
      <c r="Q174" s="0" t="s">
        <v>152</v>
      </c>
      <c r="R174" s="0" t="b">
        <v>0</v>
      </c>
      <c r="S174" s="0" t="s">
        <v>4338</v>
      </c>
    </row>
    <row customHeight="1" ht="11.25">
      <c r="A175" s="0">
        <v>2655</v>
      </c>
      <c r="B175" s="0" t="s">
        <v>102</v>
      </c>
      <c r="C175" s="0">
        <v>31743966</v>
      </c>
      <c r="D175" s="0" t="s">
        <v>4691</v>
      </c>
      <c r="E175" s="0" t="s">
        <v>4692</v>
      </c>
      <c r="F175" s="0" t="s">
        <v>4693</v>
      </c>
      <c r="G175" s="0" t="s">
        <v>3659</v>
      </c>
      <c r="H175" s="0" t="s">
        <v>4694</v>
      </c>
      <c r="I175" s="0" t="s">
        <v>4695</v>
      </c>
      <c r="K175" s="0" t="s">
        <v>4696</v>
      </c>
      <c r="L175" s="0" t="s">
        <v>4696</v>
      </c>
      <c r="M175" s="0" t="s">
        <v>4697</v>
      </c>
      <c r="N175" s="0" t="s">
        <v>4698</v>
      </c>
      <c r="O175" s="0" t="s">
        <v>4699</v>
      </c>
      <c r="P175" s="0" t="s">
        <v>3723</v>
      </c>
      <c r="Q175" s="0" t="s">
        <v>4700</v>
      </c>
      <c r="R175" s="0" t="b">
        <v>1</v>
      </c>
      <c r="S175" s="0" t="s">
        <v>4338</v>
      </c>
    </row>
    <row customHeight="1" ht="11.25">
      <c r="A176" s="0">
        <v>2655</v>
      </c>
      <c r="B176" s="0" t="s">
        <v>102</v>
      </c>
      <c r="C176" s="0">
        <v>30874454</v>
      </c>
      <c r="D176" s="0" t="s">
        <v>4701</v>
      </c>
      <c r="E176" s="0" t="s">
        <v>4702</v>
      </c>
      <c r="F176" s="0" t="s">
        <v>4703</v>
      </c>
      <c r="G176" s="0" t="s">
        <v>4016</v>
      </c>
      <c r="H176" s="0" t="s">
        <v>4704</v>
      </c>
      <c r="I176" s="0" t="s">
        <v>4705</v>
      </c>
      <c r="J176" s="0" t="s">
        <v>128</v>
      </c>
      <c r="K176" s="0" t="s">
        <v>4706</v>
      </c>
      <c r="L176" s="0" t="s">
        <v>4707</v>
      </c>
      <c r="M176" s="0" t="s">
        <v>4708</v>
      </c>
      <c r="N176" s="0" t="s">
        <v>4670</v>
      </c>
      <c r="O176" s="0" t="s">
        <v>4709</v>
      </c>
      <c r="P176" s="0" t="s">
        <v>3744</v>
      </c>
      <c r="Q176" s="0" t="s">
        <v>4710</v>
      </c>
      <c r="R176" s="0" t="b">
        <v>0</v>
      </c>
      <c r="S176" s="0" t="s">
        <v>4338</v>
      </c>
    </row>
    <row customHeight="1" ht="11.25">
      <c r="A177" s="0">
        <v>2655</v>
      </c>
      <c r="B177" s="0" t="s">
        <v>102</v>
      </c>
      <c r="C177" s="0">
        <v>26356987</v>
      </c>
      <c r="D177" s="0" t="s">
        <v>4057</v>
      </c>
      <c r="E177" s="0" t="s">
        <v>4058</v>
      </c>
      <c r="F177" s="0" t="s">
        <v>4059</v>
      </c>
      <c r="G177" s="0" t="s">
        <v>4060</v>
      </c>
      <c r="H177" s="0" t="s">
        <v>4061</v>
      </c>
      <c r="I177" s="0" t="s">
        <v>4062</v>
      </c>
      <c r="J177" s="0" t="s">
        <v>128</v>
      </c>
      <c r="K177" s="0" t="s">
        <v>4063</v>
      </c>
      <c r="L177" s="0" t="s">
        <v>4063</v>
      </c>
      <c r="M177" s="0" t="s">
        <v>4064</v>
      </c>
      <c r="N177" s="0" t="s">
        <v>4065</v>
      </c>
      <c r="O177" s="0" t="s">
        <v>4066</v>
      </c>
      <c r="P177" s="0" t="s">
        <v>3744</v>
      </c>
      <c r="Q177" s="0" t="s">
        <v>4067</v>
      </c>
      <c r="R177" s="0" t="b">
        <v>0</v>
      </c>
      <c r="S177" s="0" t="s">
        <v>4338</v>
      </c>
    </row>
    <row customHeight="1" ht="11.25">
      <c r="A178" s="0">
        <v>2655</v>
      </c>
      <c r="B178" s="0" t="s">
        <v>102</v>
      </c>
      <c r="C178" s="0">
        <v>30856223</v>
      </c>
      <c r="D178" s="0" t="s">
        <v>4711</v>
      </c>
      <c r="E178" s="0" t="s">
        <v>4712</v>
      </c>
      <c r="F178" s="0" t="s">
        <v>4713</v>
      </c>
      <c r="G178" s="0" t="s">
        <v>3682</v>
      </c>
      <c r="H178" s="0" t="s">
        <v>4714</v>
      </c>
      <c r="I178" s="0" t="s">
        <v>4715</v>
      </c>
      <c r="J178" s="0" t="s">
        <v>128</v>
      </c>
      <c r="K178" s="0" t="s">
        <v>4716</v>
      </c>
      <c r="L178" s="0" t="s">
        <v>4716</v>
      </c>
      <c r="M178" s="0" t="s">
        <v>4717</v>
      </c>
      <c r="N178" s="0" t="s">
        <v>4718</v>
      </c>
      <c r="O178" s="0" t="s">
        <v>4719</v>
      </c>
      <c r="P178" s="0" t="s">
        <v>3723</v>
      </c>
      <c r="Q178" s="0" t="s">
        <v>4720</v>
      </c>
      <c r="R178" s="0" t="b">
        <v>0</v>
      </c>
      <c r="S178" s="0" t="s">
        <v>4338</v>
      </c>
    </row>
    <row customHeight="1" ht="11.25">
      <c r="A179" s="0">
        <v>2655</v>
      </c>
      <c r="B179" s="0" t="s">
        <v>102</v>
      </c>
      <c r="C179" s="0">
        <v>31373026</v>
      </c>
      <c r="D179" s="0" t="s">
        <v>4711</v>
      </c>
      <c r="E179" s="0" t="s">
        <v>4712</v>
      </c>
      <c r="F179" s="0" t="s">
        <v>4721</v>
      </c>
      <c r="G179" s="0" t="s">
        <v>4040</v>
      </c>
      <c r="H179" s="0" t="s">
        <v>4722</v>
      </c>
      <c r="I179" s="0" t="s">
        <v>4723</v>
      </c>
      <c r="J179" s="0" t="s">
        <v>128</v>
      </c>
      <c r="K179" s="0" t="s">
        <v>4724</v>
      </c>
      <c r="L179" s="0" t="s">
        <v>4725</v>
      </c>
      <c r="M179" s="0" t="s">
        <v>4726</v>
      </c>
      <c r="N179" s="0" t="s">
        <v>4727</v>
      </c>
      <c r="O179" s="0" t="s">
        <v>4728</v>
      </c>
      <c r="P179" s="0" t="s">
        <v>4729</v>
      </c>
      <c r="Q179" s="0" t="s">
        <v>4730</v>
      </c>
      <c r="R179" s="0" t="b">
        <v>1</v>
      </c>
      <c r="S179" s="0" t="s">
        <v>4338</v>
      </c>
    </row>
    <row customHeight="1" ht="11.25">
      <c r="A180" s="0">
        <v>2655</v>
      </c>
      <c r="B180" s="0" t="s">
        <v>102</v>
      </c>
      <c r="C180" s="0">
        <v>31579609</v>
      </c>
      <c r="D180" s="0" t="s">
        <v>4731</v>
      </c>
      <c r="E180" s="0" t="s">
        <v>4732</v>
      </c>
      <c r="F180" s="0" t="s">
        <v>4733</v>
      </c>
      <c r="G180" s="0" t="s">
        <v>3727</v>
      </c>
      <c r="H180" s="0" t="s">
        <v>4734</v>
      </c>
      <c r="I180" s="0" t="s">
        <v>4735</v>
      </c>
      <c r="K180" s="0" t="s">
        <v>4736</v>
      </c>
      <c r="L180" s="0" t="s">
        <v>4736</v>
      </c>
      <c r="M180" s="0" t="s">
        <v>4737</v>
      </c>
      <c r="N180" s="0" t="s">
        <v>4738</v>
      </c>
      <c r="O180" s="0" t="s">
        <v>4739</v>
      </c>
      <c r="P180" s="0" t="s">
        <v>3723</v>
      </c>
      <c r="Q180" s="0" t="s">
        <v>227</v>
      </c>
      <c r="R180" s="0" t="b">
        <v>1</v>
      </c>
      <c r="S180" s="0" t="s">
        <v>4338</v>
      </c>
    </row>
    <row customHeight="1" ht="11.25">
      <c r="A181" s="0">
        <v>2655</v>
      </c>
      <c r="B181" s="0" t="s">
        <v>102</v>
      </c>
      <c r="C181" s="0">
        <v>26356891</v>
      </c>
      <c r="D181" s="0" t="s">
        <v>4068</v>
      </c>
      <c r="E181" s="0" t="s">
        <v>4069</v>
      </c>
      <c r="F181" s="0" t="s">
        <v>4070</v>
      </c>
      <c r="G181" s="0" t="s">
        <v>3880</v>
      </c>
      <c r="H181" s="0" t="s">
        <v>4071</v>
      </c>
      <c r="I181" s="0" t="s">
        <v>4072</v>
      </c>
      <c r="J181" s="0" t="s">
        <v>128</v>
      </c>
      <c r="K181" s="0" t="s">
        <v>4073</v>
      </c>
      <c r="L181" s="0" t="s">
        <v>4073</v>
      </c>
      <c r="M181" s="0" t="s">
        <v>4074</v>
      </c>
      <c r="N181" s="0" t="s">
        <v>4075</v>
      </c>
      <c r="O181" s="0" t="s">
        <v>4076</v>
      </c>
      <c r="P181" s="0" t="s">
        <v>145</v>
      </c>
      <c r="Q181" s="0" t="s">
        <v>227</v>
      </c>
      <c r="R181" s="0" t="b">
        <v>0</v>
      </c>
      <c r="S181" s="0" t="s">
        <v>4338</v>
      </c>
    </row>
    <row customHeight="1" ht="11.25">
      <c r="A182" s="0">
        <v>2655</v>
      </c>
      <c r="B182" s="0" t="s">
        <v>102</v>
      </c>
      <c r="C182" s="0">
        <v>27566835</v>
      </c>
      <c r="D182" s="0" t="s">
        <v>4740</v>
      </c>
      <c r="E182" s="0" t="s">
        <v>4741</v>
      </c>
      <c r="F182" s="0" t="s">
        <v>4742</v>
      </c>
      <c r="G182" s="0" t="s">
        <v>3880</v>
      </c>
      <c r="H182" s="0" t="s">
        <v>4743</v>
      </c>
      <c r="I182" s="0" t="s">
        <v>4744</v>
      </c>
      <c r="J182" s="0" t="s">
        <v>128</v>
      </c>
      <c r="K182" s="0" t="s">
        <v>4745</v>
      </c>
      <c r="L182" s="0" t="s">
        <v>4745</v>
      </c>
      <c r="M182" s="0" t="s">
        <v>4746</v>
      </c>
      <c r="N182" s="0" t="s">
        <v>3894</v>
      </c>
      <c r="O182" s="0" t="s">
        <v>4747</v>
      </c>
      <c r="P182" s="0" t="s">
        <v>145</v>
      </c>
      <c r="Q182" s="0" t="s">
        <v>152</v>
      </c>
      <c r="R182" s="0" t="b">
        <v>0</v>
      </c>
      <c r="S182" s="0" t="s">
        <v>4338</v>
      </c>
    </row>
    <row customHeight="1" ht="11.25">
      <c r="A183" s="0">
        <v>2655</v>
      </c>
      <c r="B183" s="0" t="s">
        <v>102</v>
      </c>
      <c r="C183" s="0">
        <v>31229342</v>
      </c>
      <c r="D183" s="0" t="s">
        <v>4748</v>
      </c>
      <c r="E183" s="0" t="s">
        <v>4749</v>
      </c>
      <c r="F183" s="0" t="s">
        <v>4750</v>
      </c>
      <c r="G183" s="0" t="s">
        <v>3899</v>
      </c>
      <c r="H183" s="0" t="s">
        <v>4751</v>
      </c>
      <c r="I183" s="0" t="s">
        <v>4752</v>
      </c>
      <c r="J183" s="0" t="s">
        <v>128</v>
      </c>
      <c r="K183" s="0" t="s">
        <v>4753</v>
      </c>
      <c r="L183" s="0" t="s">
        <v>4753</v>
      </c>
      <c r="M183" s="0" t="s">
        <v>4754</v>
      </c>
      <c r="N183" s="0" t="s">
        <v>4755</v>
      </c>
      <c r="O183" s="0" t="s">
        <v>4756</v>
      </c>
      <c r="P183" s="0" t="s">
        <v>3723</v>
      </c>
      <c r="Q183" s="0" t="s">
        <v>227</v>
      </c>
      <c r="R183" s="0" t="b">
        <v>0</v>
      </c>
      <c r="S183" s="0" t="s">
        <v>4338</v>
      </c>
    </row>
    <row customHeight="1" ht="11.25">
      <c r="A184" s="0">
        <v>2655</v>
      </c>
      <c r="B184" s="0" t="s">
        <v>102</v>
      </c>
      <c r="C184" s="0">
        <v>31690080</v>
      </c>
      <c r="D184" s="0" t="s">
        <v>4757</v>
      </c>
      <c r="E184" s="0" t="s">
        <v>4758</v>
      </c>
      <c r="F184" s="0" t="s">
        <v>4759</v>
      </c>
      <c r="G184" s="0" t="s">
        <v>3899</v>
      </c>
      <c r="H184" s="0" t="s">
        <v>4760</v>
      </c>
      <c r="I184" s="0" t="s">
        <v>4761</v>
      </c>
      <c r="K184" s="0" t="s">
        <v>4762</v>
      </c>
      <c r="L184" s="0" t="s">
        <v>4762</v>
      </c>
      <c r="M184" s="0" t="s">
        <v>4763</v>
      </c>
      <c r="N184" s="0" t="s">
        <v>4764</v>
      </c>
      <c r="O184" s="0" t="s">
        <v>4765</v>
      </c>
      <c r="P184" s="0" t="s">
        <v>145</v>
      </c>
      <c r="Q184" s="0" t="s">
        <v>227</v>
      </c>
      <c r="R184" s="0" t="b">
        <v>1</v>
      </c>
      <c r="S184" s="0" t="s">
        <v>4338</v>
      </c>
    </row>
    <row customHeight="1" ht="11.25">
      <c r="A185" s="0">
        <v>2655</v>
      </c>
      <c r="B185" s="0" t="s">
        <v>102</v>
      </c>
      <c r="C185" s="0">
        <v>31539720</v>
      </c>
      <c r="D185" s="0" t="s">
        <v>4757</v>
      </c>
      <c r="E185" s="0" t="s">
        <v>4766</v>
      </c>
      <c r="F185" s="0" t="s">
        <v>4767</v>
      </c>
      <c r="G185" s="0" t="s">
        <v>3899</v>
      </c>
      <c r="H185" s="0" t="s">
        <v>4768</v>
      </c>
      <c r="I185" s="0" t="s">
        <v>4769</v>
      </c>
      <c r="K185" s="0" t="s">
        <v>4770</v>
      </c>
      <c r="L185" s="0" t="s">
        <v>4770</v>
      </c>
      <c r="M185" s="0" t="s">
        <v>4771</v>
      </c>
      <c r="N185" s="0" t="s">
        <v>227</v>
      </c>
      <c r="O185" s="0" t="s">
        <v>4772</v>
      </c>
      <c r="P185" s="0" t="s">
        <v>3723</v>
      </c>
      <c r="Q185" s="0" t="s">
        <v>4773</v>
      </c>
      <c r="R185" s="0" t="b">
        <v>0</v>
      </c>
      <c r="S185" s="0" t="s">
        <v>4338</v>
      </c>
    </row>
    <row customHeight="1" ht="11.25">
      <c r="A186" s="0">
        <v>2655</v>
      </c>
      <c r="B186" s="0" t="s">
        <v>102</v>
      </c>
      <c r="C186" s="0">
        <v>30872315</v>
      </c>
      <c r="D186" s="0" t="s">
        <v>4774</v>
      </c>
      <c r="E186" s="0" t="s">
        <v>4775</v>
      </c>
      <c r="F186" s="0" t="s">
        <v>4776</v>
      </c>
      <c r="G186" s="0" t="s">
        <v>3659</v>
      </c>
      <c r="H186" s="0" t="s">
        <v>4777</v>
      </c>
      <c r="I186" s="0" t="s">
        <v>4778</v>
      </c>
      <c r="J186" s="0" t="s">
        <v>128</v>
      </c>
      <c r="K186" s="0" t="s">
        <v>4779</v>
      </c>
      <c r="L186" s="0" t="s">
        <v>4779</v>
      </c>
      <c r="M186" s="0" t="s">
        <v>4780</v>
      </c>
      <c r="N186" s="0" t="s">
        <v>4781</v>
      </c>
      <c r="O186" s="0" t="s">
        <v>4782</v>
      </c>
      <c r="P186" s="0" t="s">
        <v>145</v>
      </c>
      <c r="Q186" s="0" t="s">
        <v>227</v>
      </c>
      <c r="R186" s="0" t="b">
        <v>0</v>
      </c>
      <c r="S186" s="0" t="s">
        <v>4338</v>
      </c>
    </row>
    <row customHeight="1" ht="11.25">
      <c r="A187" s="0">
        <v>2655</v>
      </c>
      <c r="B187" s="0" t="s">
        <v>102</v>
      </c>
      <c r="C187" s="0">
        <v>30856253</v>
      </c>
      <c r="D187" s="0" t="s">
        <v>4783</v>
      </c>
      <c r="E187" s="0" t="s">
        <v>4784</v>
      </c>
      <c r="F187" s="0" t="s">
        <v>4785</v>
      </c>
      <c r="G187" s="0" t="s">
        <v>3727</v>
      </c>
      <c r="H187" s="0" t="s">
        <v>4786</v>
      </c>
      <c r="I187" s="0" t="s">
        <v>4787</v>
      </c>
      <c r="J187" s="0" t="s">
        <v>128</v>
      </c>
      <c r="K187" s="0" t="s">
        <v>4788</v>
      </c>
      <c r="L187" s="0" t="s">
        <v>4788</v>
      </c>
      <c r="M187" s="0" t="s">
        <v>4789</v>
      </c>
      <c r="N187" s="0" t="s">
        <v>4790</v>
      </c>
      <c r="O187" s="0" t="s">
        <v>4791</v>
      </c>
      <c r="P187" s="0" t="s">
        <v>145</v>
      </c>
      <c r="Q187" s="0" t="s">
        <v>227</v>
      </c>
      <c r="R187" s="0" t="b">
        <v>0</v>
      </c>
      <c r="S187" s="0" t="s">
        <v>4338</v>
      </c>
    </row>
    <row customHeight="1" ht="11.25">
      <c r="A188" s="0">
        <v>2655</v>
      </c>
      <c r="B188" s="0" t="s">
        <v>102</v>
      </c>
      <c r="C188" s="0">
        <v>33000042</v>
      </c>
      <c r="D188" s="0" t="s">
        <v>4792</v>
      </c>
      <c r="E188" s="0" t="s">
        <v>4793</v>
      </c>
      <c r="F188" s="0" t="s">
        <v>4794</v>
      </c>
      <c r="G188" s="0" t="s">
        <v>3984</v>
      </c>
      <c r="H188" s="0" t="s">
        <v>4795</v>
      </c>
      <c r="I188" s="0" t="s">
        <v>4796</v>
      </c>
      <c r="K188" s="0" t="s">
        <v>4797</v>
      </c>
      <c r="L188" s="0" t="s">
        <v>4798</v>
      </c>
      <c r="M188" s="0" t="s">
        <v>4799</v>
      </c>
      <c r="N188" s="0" t="s">
        <v>4800</v>
      </c>
      <c r="O188" s="0" t="s">
        <v>3991</v>
      </c>
      <c r="P188" s="0" t="s">
        <v>3801</v>
      </c>
      <c r="Q188" s="0" t="s">
        <v>227</v>
      </c>
      <c r="R188" s="0" t="b">
        <v>0</v>
      </c>
      <c r="S188" s="0" t="s">
        <v>4338</v>
      </c>
    </row>
    <row customHeight="1" ht="11.25">
      <c r="A189" s="0">
        <v>2655</v>
      </c>
      <c r="B189" s="0" t="s">
        <v>102</v>
      </c>
      <c r="C189" s="0">
        <v>26517842</v>
      </c>
      <c r="D189" s="0" t="s">
        <v>4801</v>
      </c>
      <c r="E189" s="0" t="s">
        <v>4802</v>
      </c>
      <c r="F189" s="0" t="s">
        <v>4803</v>
      </c>
      <c r="G189" s="0" t="s">
        <v>3880</v>
      </c>
      <c r="H189" s="0" t="s">
        <v>4804</v>
      </c>
      <c r="I189" s="0" t="s">
        <v>4805</v>
      </c>
      <c r="J189" s="0" t="s">
        <v>128</v>
      </c>
      <c r="K189" s="0" t="s">
        <v>4806</v>
      </c>
      <c r="L189" s="0" t="s">
        <v>3663</v>
      </c>
      <c r="M189" s="0" t="s">
        <v>4807</v>
      </c>
      <c r="N189" s="0" t="s">
        <v>4808</v>
      </c>
      <c r="O189" s="0" t="s">
        <v>4809</v>
      </c>
      <c r="P189" s="0" t="s">
        <v>3723</v>
      </c>
      <c r="Q189" s="0" t="s">
        <v>227</v>
      </c>
      <c r="R189" s="0" t="b">
        <v>0</v>
      </c>
      <c r="S189" s="0" t="s">
        <v>4338</v>
      </c>
    </row>
    <row customHeight="1" ht="11.25">
      <c r="A190" s="0">
        <v>2655</v>
      </c>
      <c r="B190" s="0" t="s">
        <v>102</v>
      </c>
      <c r="C190" s="0">
        <v>26356937</v>
      </c>
      <c r="D190" s="0" t="s">
        <v>4085</v>
      </c>
      <c r="E190" s="0" t="s">
        <v>4086</v>
      </c>
      <c r="F190" s="0" t="s">
        <v>4087</v>
      </c>
      <c r="G190" s="0" t="s">
        <v>3956</v>
      </c>
      <c r="H190" s="0" t="s">
        <v>4088</v>
      </c>
      <c r="I190" s="0" t="s">
        <v>4089</v>
      </c>
      <c r="J190" s="0" t="s">
        <v>128</v>
      </c>
      <c r="K190" s="0" t="s">
        <v>4090</v>
      </c>
      <c r="L190" s="0" t="s">
        <v>4090</v>
      </c>
      <c r="M190" s="0" t="s">
        <v>4091</v>
      </c>
      <c r="N190" s="0" t="s">
        <v>4092</v>
      </c>
      <c r="O190" s="0" t="s">
        <v>4093</v>
      </c>
      <c r="P190" s="0" t="s">
        <v>3744</v>
      </c>
      <c r="Q190" s="0" t="s">
        <v>4094</v>
      </c>
      <c r="R190" s="0" t="b">
        <v>0</v>
      </c>
      <c r="S190" s="0" t="s">
        <v>4338</v>
      </c>
    </row>
    <row customHeight="1" ht="11.25">
      <c r="A191" s="0">
        <v>2655</v>
      </c>
      <c r="B191" s="0" t="s">
        <v>102</v>
      </c>
      <c r="C191" s="0">
        <v>31473621</v>
      </c>
      <c r="D191" s="0" t="s">
        <v>4810</v>
      </c>
      <c r="E191" s="0" t="s">
        <v>4811</v>
      </c>
      <c r="F191" s="0" t="s">
        <v>4812</v>
      </c>
      <c r="G191" s="0" t="s">
        <v>123</v>
      </c>
      <c r="H191" s="0" t="s">
        <v>4813</v>
      </c>
      <c r="I191" s="0" t="s">
        <v>4814</v>
      </c>
      <c r="J191" s="0" t="s">
        <v>128</v>
      </c>
      <c r="K191" s="0" t="s">
        <v>4815</v>
      </c>
      <c r="L191" s="0" t="s">
        <v>4815</v>
      </c>
      <c r="M191" s="0" t="s">
        <v>4816</v>
      </c>
      <c r="N191" s="0" t="s">
        <v>4817</v>
      </c>
      <c r="O191" s="0" t="s">
        <v>4818</v>
      </c>
      <c r="P191" s="0" t="s">
        <v>3723</v>
      </c>
      <c r="Q191" s="0" t="s">
        <v>4819</v>
      </c>
      <c r="R191" s="0" t="b">
        <v>0</v>
      </c>
      <c r="S191" s="0" t="s">
        <v>4338</v>
      </c>
    </row>
    <row customHeight="1" ht="11.25">
      <c r="A192" s="0">
        <v>2655</v>
      </c>
      <c r="B192" s="0" t="s">
        <v>102</v>
      </c>
      <c r="C192" s="0">
        <v>31004851</v>
      </c>
      <c r="D192" s="0" t="s">
        <v>4820</v>
      </c>
      <c r="E192" s="0" t="s">
        <v>4821</v>
      </c>
      <c r="F192" s="0" t="s">
        <v>4822</v>
      </c>
      <c r="G192" s="0" t="s">
        <v>3682</v>
      </c>
      <c r="H192" s="0" t="s">
        <v>4823</v>
      </c>
      <c r="I192" s="0" t="s">
        <v>4824</v>
      </c>
      <c r="J192" s="0" t="s">
        <v>128</v>
      </c>
      <c r="K192" s="0" t="s">
        <v>4825</v>
      </c>
      <c r="L192" s="0" t="s">
        <v>4826</v>
      </c>
      <c r="M192" s="0" t="s">
        <v>4827</v>
      </c>
      <c r="N192" s="0" t="s">
        <v>4828</v>
      </c>
      <c r="O192" s="0" t="s">
        <v>4829</v>
      </c>
      <c r="P192" s="0" t="s">
        <v>3723</v>
      </c>
      <c r="Q192" s="0" t="s">
        <v>4830</v>
      </c>
      <c r="R192" s="0" t="b">
        <v>0</v>
      </c>
      <c r="S192" s="0" t="s">
        <v>4338</v>
      </c>
    </row>
    <row customHeight="1" ht="11.25">
      <c r="A193" s="0">
        <v>2655</v>
      </c>
      <c r="B193" s="0" t="s">
        <v>102</v>
      </c>
      <c r="C193" s="0">
        <v>26356976</v>
      </c>
      <c r="D193" s="0" t="s">
        <v>4831</v>
      </c>
      <c r="E193" s="0" t="s">
        <v>4832</v>
      </c>
      <c r="F193" s="0" t="s">
        <v>4833</v>
      </c>
      <c r="G193" s="0" t="s">
        <v>4050</v>
      </c>
      <c r="H193" s="0" t="s">
        <v>4834</v>
      </c>
      <c r="I193" s="0" t="s">
        <v>4835</v>
      </c>
      <c r="J193" s="0" t="s">
        <v>128</v>
      </c>
      <c r="K193" s="0" t="s">
        <v>4836</v>
      </c>
      <c r="L193" s="0" t="s">
        <v>4836</v>
      </c>
      <c r="M193" s="0" t="s">
        <v>4837</v>
      </c>
      <c r="N193" s="0" t="s">
        <v>4838</v>
      </c>
      <c r="O193" s="0" t="s">
        <v>4839</v>
      </c>
      <c r="P193" s="0" t="s">
        <v>3700</v>
      </c>
      <c r="Q193" s="0" t="s">
        <v>4840</v>
      </c>
      <c r="R193" s="0" t="b">
        <v>0</v>
      </c>
      <c r="S193" s="0" t="s">
        <v>4338</v>
      </c>
    </row>
    <row customHeight="1" ht="11.25">
      <c r="A194" s="0">
        <v>2655</v>
      </c>
      <c r="B194" s="0" t="s">
        <v>102</v>
      </c>
      <c r="C194" s="0">
        <v>28274482</v>
      </c>
      <c r="D194" s="0" t="s">
        <v>4841</v>
      </c>
      <c r="E194" s="0" t="s">
        <v>4842</v>
      </c>
      <c r="F194" s="0" t="s">
        <v>4843</v>
      </c>
      <c r="G194" s="0" t="s">
        <v>3727</v>
      </c>
      <c r="H194" s="0" t="s">
        <v>4844</v>
      </c>
      <c r="I194" s="0" t="s">
        <v>4845</v>
      </c>
      <c r="J194" s="0" t="s">
        <v>128</v>
      </c>
      <c r="K194" s="0" t="s">
        <v>4846</v>
      </c>
      <c r="L194" s="0" t="s">
        <v>4847</v>
      </c>
      <c r="M194" s="0" t="s">
        <v>4848</v>
      </c>
      <c r="N194" s="0" t="s">
        <v>4849</v>
      </c>
      <c r="O194" s="0" t="s">
        <v>4036</v>
      </c>
      <c r="P194" s="0" t="s">
        <v>145</v>
      </c>
      <c r="Q194" s="0" t="s">
        <v>227</v>
      </c>
      <c r="R194" s="0" t="b">
        <v>0</v>
      </c>
      <c r="S194" s="0" t="s">
        <v>4338</v>
      </c>
    </row>
    <row customHeight="1" ht="11.25">
      <c r="A195" s="0">
        <v>2655</v>
      </c>
      <c r="B195" s="0" t="s">
        <v>102</v>
      </c>
      <c r="C195" s="0">
        <v>31224454</v>
      </c>
      <c r="D195" s="0" t="s">
        <v>4850</v>
      </c>
      <c r="E195" s="0" t="s">
        <v>4851</v>
      </c>
      <c r="F195" s="0" t="s">
        <v>4852</v>
      </c>
      <c r="G195" s="0" t="s">
        <v>3682</v>
      </c>
      <c r="H195" s="0" t="s">
        <v>4853</v>
      </c>
      <c r="I195" s="0" t="s">
        <v>4854</v>
      </c>
      <c r="J195" s="0" t="s">
        <v>128</v>
      </c>
      <c r="K195" s="0" t="s">
        <v>4855</v>
      </c>
      <c r="L195" s="0" t="s">
        <v>4855</v>
      </c>
      <c r="M195" s="0" t="s">
        <v>4856</v>
      </c>
      <c r="N195" s="0" t="s">
        <v>4857</v>
      </c>
      <c r="O195" s="0" t="s">
        <v>4858</v>
      </c>
      <c r="P195" s="0" t="s">
        <v>3723</v>
      </c>
      <c r="Q195" s="0" t="s">
        <v>227</v>
      </c>
      <c r="R195" s="0" t="b">
        <v>0</v>
      </c>
      <c r="S195" s="0" t="s">
        <v>4338</v>
      </c>
    </row>
    <row customHeight="1" ht="11.25">
      <c r="A196" s="0">
        <v>2655</v>
      </c>
      <c r="B196" s="0" t="s">
        <v>102</v>
      </c>
      <c r="C196" s="0">
        <v>27997410</v>
      </c>
      <c r="D196" s="0" t="s">
        <v>4859</v>
      </c>
      <c r="E196" s="0" t="s">
        <v>4860</v>
      </c>
      <c r="F196" s="0" t="s">
        <v>4861</v>
      </c>
      <c r="G196" s="0" t="s">
        <v>3851</v>
      </c>
      <c r="H196" s="0" t="s">
        <v>4862</v>
      </c>
      <c r="I196" s="0" t="s">
        <v>4863</v>
      </c>
      <c r="J196" s="0" t="s">
        <v>128</v>
      </c>
      <c r="K196" s="0" t="s">
        <v>4864</v>
      </c>
      <c r="L196" s="0" t="s">
        <v>4864</v>
      </c>
      <c r="M196" s="0" t="s">
        <v>4865</v>
      </c>
      <c r="N196" s="0" t="s">
        <v>4866</v>
      </c>
      <c r="O196" s="0" t="s">
        <v>4867</v>
      </c>
      <c r="P196" s="0" t="s">
        <v>145</v>
      </c>
      <c r="Q196" s="0" t="s">
        <v>4868</v>
      </c>
      <c r="R196" s="0" t="b">
        <v>1</v>
      </c>
      <c r="S196" s="0" t="s">
        <v>4338</v>
      </c>
    </row>
    <row customHeight="1" ht="11.25">
      <c r="A197" s="0">
        <v>2655</v>
      </c>
      <c r="B197" s="0" t="s">
        <v>102</v>
      </c>
      <c r="C197" s="0">
        <v>26852692</v>
      </c>
      <c r="D197" s="0" t="s">
        <v>4869</v>
      </c>
      <c r="E197" s="0" t="s">
        <v>4870</v>
      </c>
      <c r="F197" s="0" t="s">
        <v>4871</v>
      </c>
      <c r="G197" s="0" t="s">
        <v>4050</v>
      </c>
      <c r="H197" s="0" t="s">
        <v>4872</v>
      </c>
      <c r="I197" s="0" t="s">
        <v>4873</v>
      </c>
      <c r="K197" s="0" t="s">
        <v>4874</v>
      </c>
      <c r="L197" s="0" t="s">
        <v>4874</v>
      </c>
      <c r="M197" s="0" t="s">
        <v>4865</v>
      </c>
      <c r="N197" s="0" t="s">
        <v>4866</v>
      </c>
      <c r="O197" s="0" t="s">
        <v>4875</v>
      </c>
      <c r="P197" s="0" t="s">
        <v>145</v>
      </c>
      <c r="Q197" s="0" t="s">
        <v>227</v>
      </c>
      <c r="R197" s="0" t="b">
        <v>1</v>
      </c>
      <c r="S197" s="0" t="s">
        <v>4338</v>
      </c>
    </row>
    <row customHeight="1" ht="11.25">
      <c r="A198" s="0">
        <v>2655</v>
      </c>
      <c r="B198" s="0" t="s">
        <v>102</v>
      </c>
      <c r="C198" s="0">
        <v>31534676</v>
      </c>
      <c r="D198" s="0" t="s">
        <v>4876</v>
      </c>
      <c r="E198" s="0" t="s">
        <v>4877</v>
      </c>
      <c r="F198" s="0" t="s">
        <v>4878</v>
      </c>
      <c r="G198" s="0" t="s">
        <v>123</v>
      </c>
      <c r="H198" s="0" t="s">
        <v>4879</v>
      </c>
      <c r="I198" s="0" t="s">
        <v>4880</v>
      </c>
      <c r="K198" s="0" t="s">
        <v>4881</v>
      </c>
      <c r="L198" s="0" t="s">
        <v>4882</v>
      </c>
      <c r="M198" s="0" t="s">
        <v>4883</v>
      </c>
      <c r="N198" s="0" t="s">
        <v>4884</v>
      </c>
      <c r="O198" s="0" t="s">
        <v>4885</v>
      </c>
      <c r="P198" s="0" t="s">
        <v>145</v>
      </c>
      <c r="Q198" s="0" t="s">
        <v>227</v>
      </c>
      <c r="R198" s="0" t="b">
        <v>0</v>
      </c>
      <c r="S198" s="0" t="s">
        <v>4338</v>
      </c>
    </row>
    <row customHeight="1" ht="11.25">
      <c r="A199" s="0">
        <v>2655</v>
      </c>
      <c r="B199" s="0" t="s">
        <v>102</v>
      </c>
      <c r="C199" s="0">
        <v>26356899</v>
      </c>
      <c r="D199" s="0" t="s">
        <v>4886</v>
      </c>
      <c r="E199" s="0" t="s">
        <v>4887</v>
      </c>
      <c r="F199" s="0" t="s">
        <v>4888</v>
      </c>
      <c r="G199" s="0" t="s">
        <v>4889</v>
      </c>
      <c r="H199" s="0" t="s">
        <v>4890</v>
      </c>
      <c r="I199" s="0" t="s">
        <v>227</v>
      </c>
      <c r="J199" s="0" t="s">
        <v>128</v>
      </c>
      <c r="K199" s="0" t="s">
        <v>4138</v>
      </c>
      <c r="L199" s="0" t="s">
        <v>4138</v>
      </c>
      <c r="M199" s="0" t="s">
        <v>4891</v>
      </c>
      <c r="N199" s="0" t="s">
        <v>227</v>
      </c>
      <c r="O199" s="0" t="s">
        <v>4140</v>
      </c>
      <c r="P199" s="0" t="s">
        <v>145</v>
      </c>
      <c r="Q199" s="0" t="s">
        <v>227</v>
      </c>
      <c r="R199" s="0" t="b">
        <v>0</v>
      </c>
      <c r="S199" s="0" t="s">
        <v>4338</v>
      </c>
    </row>
    <row customHeight="1" ht="11.25">
      <c r="A200" s="0">
        <v>2655</v>
      </c>
      <c r="B200" s="0" t="s">
        <v>102</v>
      </c>
      <c r="C200" s="0">
        <v>31224507</v>
      </c>
      <c r="D200" s="0" t="s">
        <v>4892</v>
      </c>
      <c r="E200" s="0" t="s">
        <v>4893</v>
      </c>
      <c r="F200" s="0" t="s">
        <v>4894</v>
      </c>
      <c r="G200" s="0" t="s">
        <v>4895</v>
      </c>
      <c r="H200" s="0" t="s">
        <v>4896</v>
      </c>
      <c r="I200" s="0" t="s">
        <v>4897</v>
      </c>
      <c r="J200" s="0" t="s">
        <v>128</v>
      </c>
      <c r="K200" s="0" t="s">
        <v>4898</v>
      </c>
      <c r="L200" s="0" t="s">
        <v>4898</v>
      </c>
      <c r="M200" s="0" t="s">
        <v>4899</v>
      </c>
      <c r="N200" s="0" t="s">
        <v>4900</v>
      </c>
      <c r="O200" s="0" t="s">
        <v>4858</v>
      </c>
      <c r="P200" s="0" t="s">
        <v>3723</v>
      </c>
      <c r="Q200" s="0" t="s">
        <v>227</v>
      </c>
      <c r="R200" s="0" t="b">
        <v>0</v>
      </c>
      <c r="S200" s="0" t="s">
        <v>4338</v>
      </c>
    </row>
    <row customHeight="1" ht="11.25">
      <c r="A201" s="0">
        <v>2655</v>
      </c>
      <c r="B201" s="0" t="s">
        <v>102</v>
      </c>
      <c r="C201" s="0">
        <v>27968109</v>
      </c>
      <c r="D201" s="0" t="s">
        <v>4901</v>
      </c>
      <c r="E201" s="0" t="s">
        <v>4902</v>
      </c>
      <c r="F201" s="0" t="s">
        <v>4903</v>
      </c>
      <c r="G201" s="0" t="s">
        <v>3659</v>
      </c>
      <c r="H201" s="0" t="s">
        <v>4904</v>
      </c>
      <c r="I201" s="0" t="s">
        <v>4905</v>
      </c>
      <c r="J201" s="0" t="s">
        <v>128</v>
      </c>
      <c r="K201" s="0" t="s">
        <v>4906</v>
      </c>
      <c r="L201" s="0" t="s">
        <v>4906</v>
      </c>
      <c r="M201" s="0" t="s">
        <v>4907</v>
      </c>
      <c r="N201" s="0" t="s">
        <v>4908</v>
      </c>
      <c r="O201" s="0" t="s">
        <v>4909</v>
      </c>
      <c r="P201" s="0" t="s">
        <v>3723</v>
      </c>
      <c r="Q201" s="0" t="s">
        <v>4910</v>
      </c>
      <c r="R201" s="0" t="b">
        <v>0</v>
      </c>
      <c r="S201" s="0" t="s">
        <v>4338</v>
      </c>
    </row>
    <row customHeight="1" ht="11.25">
      <c r="A202" s="0">
        <v>2655</v>
      </c>
      <c r="B202" s="0" t="s">
        <v>102</v>
      </c>
      <c r="C202" s="0">
        <v>26356932</v>
      </c>
      <c r="D202" s="0" t="s">
        <v>4911</v>
      </c>
      <c r="E202" s="0" t="s">
        <v>4912</v>
      </c>
      <c r="F202" s="0" t="s">
        <v>4913</v>
      </c>
      <c r="G202" s="0" t="s">
        <v>3956</v>
      </c>
      <c r="H202" s="0" t="s">
        <v>4914</v>
      </c>
      <c r="I202" s="0" t="s">
        <v>4915</v>
      </c>
      <c r="J202" s="0" t="s">
        <v>128</v>
      </c>
      <c r="K202" s="0" t="s">
        <v>4916</v>
      </c>
      <c r="L202" s="0" t="s">
        <v>4916</v>
      </c>
      <c r="M202" s="0" t="s">
        <v>4917</v>
      </c>
      <c r="N202" s="0" t="s">
        <v>4918</v>
      </c>
      <c r="O202" s="0" t="s">
        <v>4919</v>
      </c>
      <c r="P202" s="0" t="s">
        <v>145</v>
      </c>
      <c r="Q202" s="0" t="s">
        <v>227</v>
      </c>
      <c r="R202" s="0" t="b">
        <v>1</v>
      </c>
      <c r="S202" s="0" t="s">
        <v>4338</v>
      </c>
    </row>
    <row customHeight="1" ht="11.25">
      <c r="A203" s="0">
        <v>2655</v>
      </c>
      <c r="B203" s="0" t="s">
        <v>102</v>
      </c>
      <c r="C203" s="0">
        <v>28270293</v>
      </c>
      <c r="D203" s="0" t="s">
        <v>4114</v>
      </c>
      <c r="E203" s="0" t="s">
        <v>4115</v>
      </c>
      <c r="F203" s="0" t="s">
        <v>4116</v>
      </c>
      <c r="G203" s="0" t="s">
        <v>3880</v>
      </c>
      <c r="H203" s="0" t="s">
        <v>4117</v>
      </c>
      <c r="I203" s="0" t="s">
        <v>4118</v>
      </c>
      <c r="J203" s="0" t="s">
        <v>128</v>
      </c>
      <c r="K203" s="0" t="s">
        <v>4119</v>
      </c>
      <c r="L203" s="0" t="s">
        <v>4119</v>
      </c>
      <c r="M203" s="0" t="s">
        <v>4120</v>
      </c>
      <c r="N203" s="0" t="s">
        <v>4121</v>
      </c>
      <c r="O203" s="0" t="s">
        <v>4122</v>
      </c>
      <c r="P203" s="0" t="s">
        <v>3723</v>
      </c>
      <c r="Q203" s="0" t="s">
        <v>227</v>
      </c>
      <c r="R203" s="0" t="b">
        <v>0</v>
      </c>
      <c r="S203" s="0" t="s">
        <v>4338</v>
      </c>
    </row>
    <row customHeight="1" ht="11.25">
      <c r="A204" s="0">
        <v>2655</v>
      </c>
      <c r="B204" s="0" t="s">
        <v>102</v>
      </c>
      <c r="C204" s="0">
        <v>28873362</v>
      </c>
      <c r="D204" s="0" t="s">
        <v>4123</v>
      </c>
      <c r="E204" s="0" t="s">
        <v>4124</v>
      </c>
      <c r="F204" s="0" t="s">
        <v>4125</v>
      </c>
      <c r="G204" s="0" t="s">
        <v>3659</v>
      </c>
      <c r="H204" s="0" t="s">
        <v>4126</v>
      </c>
      <c r="I204" s="0" t="s">
        <v>4127</v>
      </c>
      <c r="J204" s="0" t="s">
        <v>128</v>
      </c>
      <c r="K204" s="0" t="s">
        <v>4128</v>
      </c>
      <c r="L204" s="0" t="s">
        <v>4128</v>
      </c>
      <c r="M204" s="0" t="s">
        <v>4129</v>
      </c>
      <c r="N204" s="0" t="s">
        <v>4130</v>
      </c>
      <c r="O204" s="0" t="s">
        <v>4131</v>
      </c>
      <c r="P204" s="0" t="s">
        <v>145</v>
      </c>
      <c r="Q204" s="0" t="s">
        <v>4132</v>
      </c>
      <c r="R204" s="0" t="b">
        <v>0</v>
      </c>
      <c r="S204" s="0" t="s">
        <v>4338</v>
      </c>
    </row>
    <row customHeight="1" ht="11.25">
      <c r="A205" s="0">
        <v>2655</v>
      </c>
      <c r="B205" s="0" t="s">
        <v>102</v>
      </c>
      <c r="C205" s="0">
        <v>31774768</v>
      </c>
      <c r="D205" s="0" t="s">
        <v>4920</v>
      </c>
      <c r="E205" s="0" t="s">
        <v>4921</v>
      </c>
      <c r="F205" s="0" t="s">
        <v>4922</v>
      </c>
      <c r="G205" s="0" t="s">
        <v>3899</v>
      </c>
      <c r="H205" s="0" t="s">
        <v>4923</v>
      </c>
      <c r="I205" s="0" t="s">
        <v>4924</v>
      </c>
      <c r="K205" s="0" t="s">
        <v>4925</v>
      </c>
      <c r="L205" s="0" t="s">
        <v>4925</v>
      </c>
      <c r="M205" s="0" t="s">
        <v>227</v>
      </c>
      <c r="N205" s="0" t="s">
        <v>4926</v>
      </c>
      <c r="O205" s="0" t="s">
        <v>4927</v>
      </c>
      <c r="P205" s="0" t="s">
        <v>3667</v>
      </c>
      <c r="Q205" s="0" t="s">
        <v>227</v>
      </c>
      <c r="R205" s="0" t="b">
        <v>1</v>
      </c>
      <c r="S205" s="0" t="s">
        <v>4338</v>
      </c>
    </row>
    <row customHeight="1" ht="11.25">
      <c r="A206" s="0">
        <v>2655</v>
      </c>
      <c r="B206" s="0" t="s">
        <v>102</v>
      </c>
      <c r="C206" s="0">
        <v>30992391</v>
      </c>
      <c r="D206" s="0" t="s">
        <v>4141</v>
      </c>
      <c r="E206" s="0" t="s">
        <v>4142</v>
      </c>
      <c r="F206" s="0" t="s">
        <v>4143</v>
      </c>
      <c r="G206" s="0" t="s">
        <v>3773</v>
      </c>
      <c r="H206" s="0" t="s">
        <v>4144</v>
      </c>
      <c r="I206" s="0" t="s">
        <v>4145</v>
      </c>
      <c r="J206" s="0" t="s">
        <v>128</v>
      </c>
      <c r="K206" s="0" t="s">
        <v>4146</v>
      </c>
      <c r="L206" s="0" t="s">
        <v>4147</v>
      </c>
      <c r="M206" s="0" t="s">
        <v>4148</v>
      </c>
      <c r="N206" s="0" t="s">
        <v>4149</v>
      </c>
      <c r="O206" s="0" t="s">
        <v>4150</v>
      </c>
      <c r="P206" s="0" t="s">
        <v>145</v>
      </c>
      <c r="Q206" s="0" t="s">
        <v>4151</v>
      </c>
      <c r="R206" s="0" t="b">
        <v>0</v>
      </c>
      <c r="S206" s="0" t="s">
        <v>4338</v>
      </c>
    </row>
    <row customHeight="1" ht="11.25">
      <c r="A207" s="0">
        <v>2655</v>
      </c>
      <c r="B207" s="0" t="s">
        <v>102</v>
      </c>
      <c r="C207" s="0">
        <v>31491836</v>
      </c>
      <c r="D207" s="0" t="s">
        <v>4928</v>
      </c>
      <c r="E207" s="0" t="s">
        <v>4929</v>
      </c>
      <c r="F207" s="0" t="s">
        <v>4930</v>
      </c>
      <c r="G207" s="0" t="s">
        <v>3659</v>
      </c>
      <c r="H207" s="0" t="s">
        <v>4931</v>
      </c>
      <c r="I207" s="0" t="s">
        <v>4932</v>
      </c>
      <c r="J207" s="0" t="s">
        <v>128</v>
      </c>
      <c r="K207" s="0" t="s">
        <v>4933</v>
      </c>
      <c r="L207" s="0" t="s">
        <v>4934</v>
      </c>
      <c r="M207" s="0" t="s">
        <v>4935</v>
      </c>
      <c r="N207" s="0" t="s">
        <v>4936</v>
      </c>
      <c r="O207" s="0" t="s">
        <v>4937</v>
      </c>
      <c r="P207" s="0" t="s">
        <v>3744</v>
      </c>
      <c r="Q207" s="0" t="s">
        <v>227</v>
      </c>
      <c r="R207" s="0" t="b">
        <v>1</v>
      </c>
      <c r="S207" s="0" t="s">
        <v>4338</v>
      </c>
    </row>
    <row customHeight="1" ht="11.25">
      <c r="A208" s="0">
        <v>2655</v>
      </c>
      <c r="B208" s="0" t="s">
        <v>102</v>
      </c>
      <c r="C208" s="0">
        <v>26356974</v>
      </c>
      <c r="D208" s="0" t="s">
        <v>4938</v>
      </c>
      <c r="E208" s="0" t="s">
        <v>4939</v>
      </c>
      <c r="F208" s="0" t="s">
        <v>4940</v>
      </c>
      <c r="G208" s="0" t="s">
        <v>4941</v>
      </c>
      <c r="H208" s="0" t="s">
        <v>4942</v>
      </c>
      <c r="I208" s="0" t="s">
        <v>4943</v>
      </c>
      <c r="J208" s="0" t="s">
        <v>128</v>
      </c>
      <c r="K208" s="0" t="s">
        <v>4944</v>
      </c>
      <c r="L208" s="0" t="s">
        <v>4944</v>
      </c>
      <c r="M208" s="0" t="s">
        <v>4945</v>
      </c>
      <c r="N208" s="0" t="s">
        <v>4946</v>
      </c>
      <c r="O208" s="0" t="s">
        <v>4947</v>
      </c>
      <c r="P208" s="0" t="s">
        <v>145</v>
      </c>
      <c r="Q208" s="0" t="s">
        <v>4948</v>
      </c>
      <c r="R208" s="0" t="b">
        <v>0</v>
      </c>
      <c r="S208" s="0" t="s">
        <v>4338</v>
      </c>
    </row>
    <row customHeight="1" ht="11.25">
      <c r="A209" s="0">
        <v>2655</v>
      </c>
      <c r="B209" s="0" t="s">
        <v>102</v>
      </c>
      <c r="C209" s="0">
        <v>31365968</v>
      </c>
      <c r="D209" s="0" t="s">
        <v>4949</v>
      </c>
      <c r="E209" s="0" t="s">
        <v>4950</v>
      </c>
      <c r="F209" s="0" t="s">
        <v>4951</v>
      </c>
      <c r="G209" s="0" t="s">
        <v>3851</v>
      </c>
      <c r="H209" s="0" t="s">
        <v>4952</v>
      </c>
      <c r="I209" s="0" t="s">
        <v>4953</v>
      </c>
      <c r="J209" s="0" t="s">
        <v>128</v>
      </c>
      <c r="K209" s="0" t="s">
        <v>4954</v>
      </c>
      <c r="L209" s="0" t="s">
        <v>4954</v>
      </c>
      <c r="M209" s="0" t="s">
        <v>4955</v>
      </c>
      <c r="N209" s="0" t="s">
        <v>4956</v>
      </c>
      <c r="O209" s="0" t="s">
        <v>4957</v>
      </c>
      <c r="P209" s="0" t="s">
        <v>3723</v>
      </c>
      <c r="Q209" s="0" t="s">
        <v>227</v>
      </c>
      <c r="R209" s="0" t="b">
        <v>0</v>
      </c>
      <c r="S209" s="0" t="s">
        <v>4338</v>
      </c>
    </row>
    <row customHeight="1" ht="11.25">
      <c r="A210" s="0">
        <v>2655</v>
      </c>
      <c r="B210" s="0" t="s">
        <v>102</v>
      </c>
      <c r="C210" s="0">
        <v>31038861</v>
      </c>
      <c r="D210" s="0" t="s">
        <v>4958</v>
      </c>
      <c r="E210" s="0" t="s">
        <v>4959</v>
      </c>
      <c r="F210" s="0" t="s">
        <v>4960</v>
      </c>
      <c r="G210" s="0" t="s">
        <v>3682</v>
      </c>
      <c r="H210" s="0" t="s">
        <v>4961</v>
      </c>
      <c r="I210" s="0" t="s">
        <v>4962</v>
      </c>
      <c r="J210" s="0" t="s">
        <v>128</v>
      </c>
      <c r="K210" s="0" t="s">
        <v>4963</v>
      </c>
      <c r="L210" s="0" t="s">
        <v>4964</v>
      </c>
      <c r="M210" s="0" t="s">
        <v>4965</v>
      </c>
      <c r="N210" s="0" t="s">
        <v>4966</v>
      </c>
      <c r="O210" s="0" t="s">
        <v>4967</v>
      </c>
      <c r="P210" s="0" t="s">
        <v>145</v>
      </c>
      <c r="Q210" s="0" t="s">
        <v>227</v>
      </c>
      <c r="R210" s="0" t="b">
        <v>0</v>
      </c>
      <c r="S210" s="0" t="s">
        <v>4338</v>
      </c>
    </row>
    <row customHeight="1" ht="11.25">
      <c r="A211" s="0">
        <v>2655</v>
      </c>
      <c r="B211" s="0" t="s">
        <v>102</v>
      </c>
      <c r="C211" s="0">
        <v>31908312</v>
      </c>
      <c r="D211" s="0" t="s">
        <v>4152</v>
      </c>
      <c r="E211" s="0" t="s">
        <v>4162</v>
      </c>
      <c r="F211" s="0" t="s">
        <v>4154</v>
      </c>
      <c r="G211" s="0" t="s">
        <v>4155</v>
      </c>
      <c r="H211" s="0" t="s">
        <v>4156</v>
      </c>
      <c r="I211" s="0" t="s">
        <v>4157</v>
      </c>
      <c r="K211" s="0" t="s">
        <v>4163</v>
      </c>
      <c r="L211" s="0" t="s">
        <v>4163</v>
      </c>
      <c r="M211" s="0" t="s">
        <v>4164</v>
      </c>
      <c r="N211" s="0" t="s">
        <v>4165</v>
      </c>
      <c r="O211" s="0" t="s">
        <v>4166</v>
      </c>
      <c r="P211" s="0" t="s">
        <v>227</v>
      </c>
      <c r="Q211" s="0" t="s">
        <v>4167</v>
      </c>
      <c r="R211" s="0" t="b">
        <v>0</v>
      </c>
      <c r="S211" s="0" t="s">
        <v>4338</v>
      </c>
    </row>
    <row customHeight="1" ht="11.25">
      <c r="A212" s="0">
        <v>2655</v>
      </c>
      <c r="B212" s="0" t="s">
        <v>102</v>
      </c>
      <c r="C212" s="0">
        <v>26853991</v>
      </c>
      <c r="D212" s="0" t="s">
        <v>4152</v>
      </c>
      <c r="E212" s="0" t="s">
        <v>4153</v>
      </c>
      <c r="F212" s="0" t="s">
        <v>4154</v>
      </c>
      <c r="G212" s="0" t="s">
        <v>4155</v>
      </c>
      <c r="H212" s="0" t="s">
        <v>4156</v>
      </c>
      <c r="I212" s="0" t="s">
        <v>4157</v>
      </c>
      <c r="J212" s="0" t="s">
        <v>3647</v>
      </c>
      <c r="K212" s="0" t="s">
        <v>227</v>
      </c>
      <c r="L212" s="0" t="s">
        <v>4158</v>
      </c>
      <c r="M212" s="0" t="s">
        <v>4159</v>
      </c>
      <c r="N212" s="0" t="s">
        <v>4160</v>
      </c>
      <c r="O212" s="0" t="s">
        <v>4161</v>
      </c>
      <c r="P212" s="0" t="s">
        <v>3700</v>
      </c>
      <c r="Q212" s="0" t="s">
        <v>227</v>
      </c>
      <c r="R212" s="0" t="b">
        <v>0</v>
      </c>
      <c r="S212" s="0" t="s">
        <v>4338</v>
      </c>
    </row>
    <row customHeight="1" ht="11.25">
      <c r="A213" s="0">
        <v>2655</v>
      </c>
      <c r="B213" s="0" t="s">
        <v>102</v>
      </c>
      <c r="C213" s="0">
        <v>26519663</v>
      </c>
      <c r="D213" s="0" t="s">
        <v>4968</v>
      </c>
      <c r="E213" s="0" t="s">
        <v>4969</v>
      </c>
      <c r="F213" s="0" t="s">
        <v>4970</v>
      </c>
      <c r="G213" s="0" t="s">
        <v>3843</v>
      </c>
      <c r="H213" s="0" t="s">
        <v>4971</v>
      </c>
      <c r="I213" s="0" t="s">
        <v>4972</v>
      </c>
      <c r="J213" s="0" t="s">
        <v>3718</v>
      </c>
      <c r="K213" s="0" t="s">
        <v>4973</v>
      </c>
      <c r="L213" s="0" t="s">
        <v>4973</v>
      </c>
      <c r="M213" s="0" t="s">
        <v>4974</v>
      </c>
      <c r="N213" s="0" t="s">
        <v>4975</v>
      </c>
      <c r="O213" s="0" t="s">
        <v>4976</v>
      </c>
      <c r="P213" s="0" t="s">
        <v>3700</v>
      </c>
      <c r="Q213" s="0" t="s">
        <v>4977</v>
      </c>
      <c r="R213" s="0" t="b">
        <v>0</v>
      </c>
      <c r="S213" s="0" t="s">
        <v>4338</v>
      </c>
    </row>
    <row customHeight="1" ht="11.25">
      <c r="A214" s="0">
        <v>2655</v>
      </c>
      <c r="B214" s="0" t="s">
        <v>102</v>
      </c>
      <c r="C214" s="0">
        <v>30808511</v>
      </c>
      <c r="D214" s="0" t="s">
        <v>4168</v>
      </c>
      <c r="E214" s="0" t="s">
        <v>4168</v>
      </c>
      <c r="F214" s="0" t="s">
        <v>4169</v>
      </c>
      <c r="G214" s="0" t="s">
        <v>4170</v>
      </c>
      <c r="H214" s="0" t="s">
        <v>4171</v>
      </c>
      <c r="I214" s="0" t="s">
        <v>4172</v>
      </c>
      <c r="J214" s="0" t="s">
        <v>4173</v>
      </c>
      <c r="K214" s="0" t="s">
        <v>4174</v>
      </c>
      <c r="L214" s="0" t="s">
        <v>4175</v>
      </c>
      <c r="M214" s="0" t="s">
        <v>4176</v>
      </c>
      <c r="N214" s="0" t="s">
        <v>227</v>
      </c>
      <c r="O214" s="0" t="s">
        <v>4177</v>
      </c>
      <c r="P214" s="0" t="s">
        <v>145</v>
      </c>
      <c r="Q214" s="0" t="s">
        <v>4178</v>
      </c>
      <c r="R214" s="0" t="b">
        <v>0</v>
      </c>
      <c r="S214" s="0" t="s">
        <v>4338</v>
      </c>
    </row>
    <row customHeight="1" ht="11.25">
      <c r="A215" s="0">
        <v>2655</v>
      </c>
      <c r="B215" s="0" t="s">
        <v>102</v>
      </c>
      <c r="C215" s="0">
        <v>28977129</v>
      </c>
      <c r="D215" s="0" t="s">
        <v>4978</v>
      </c>
      <c r="E215" s="0" t="s">
        <v>4979</v>
      </c>
      <c r="F215" s="0" t="s">
        <v>4169</v>
      </c>
      <c r="G215" s="0" t="s">
        <v>4980</v>
      </c>
      <c r="H215" s="0" t="s">
        <v>4171</v>
      </c>
      <c r="I215" s="0" t="s">
        <v>4182</v>
      </c>
      <c r="J215" s="0" t="s">
        <v>4173</v>
      </c>
      <c r="K215" s="0" t="s">
        <v>4981</v>
      </c>
      <c r="L215" s="0" t="s">
        <v>4982</v>
      </c>
      <c r="M215" s="0" t="s">
        <v>4983</v>
      </c>
      <c r="N215" s="0" t="s">
        <v>227</v>
      </c>
      <c r="O215" s="0" t="s">
        <v>4984</v>
      </c>
      <c r="P215" s="0" t="s">
        <v>145</v>
      </c>
      <c r="Q215" s="0" t="s">
        <v>227</v>
      </c>
      <c r="R215" s="0" t="b">
        <v>0</v>
      </c>
      <c r="S215" s="0" t="s">
        <v>4338</v>
      </c>
    </row>
    <row customHeight="1" ht="11.25">
      <c r="A216" s="0">
        <v>2655</v>
      </c>
      <c r="B216" s="0" t="s">
        <v>102</v>
      </c>
      <c r="C216" s="0">
        <v>30829962</v>
      </c>
      <c r="D216" s="0" t="s">
        <v>4985</v>
      </c>
      <c r="E216" s="0" t="s">
        <v>4986</v>
      </c>
      <c r="F216" s="0" t="s">
        <v>4169</v>
      </c>
      <c r="G216" s="0" t="s">
        <v>3659</v>
      </c>
      <c r="H216" s="0" t="s">
        <v>4171</v>
      </c>
      <c r="I216" s="0" t="s">
        <v>4987</v>
      </c>
      <c r="J216" s="0" t="s">
        <v>4173</v>
      </c>
      <c r="K216" s="0" t="s">
        <v>4988</v>
      </c>
      <c r="L216" s="0" t="s">
        <v>4988</v>
      </c>
      <c r="M216" s="0" t="s">
        <v>4989</v>
      </c>
      <c r="N216" s="0" t="s">
        <v>4990</v>
      </c>
      <c r="O216" s="0" t="s">
        <v>4991</v>
      </c>
      <c r="P216" s="0" t="s">
        <v>3744</v>
      </c>
      <c r="Q216" s="0" t="s">
        <v>227</v>
      </c>
      <c r="R216" s="0" t="b">
        <v>0</v>
      </c>
      <c r="S216" s="0" t="s">
        <v>4338</v>
      </c>
    </row>
    <row customHeight="1" ht="11.25">
      <c r="A217" s="0">
        <v>2655</v>
      </c>
      <c r="B217" s="0" t="s">
        <v>102</v>
      </c>
      <c r="C217" s="0">
        <v>26520873</v>
      </c>
      <c r="D217" s="0" t="s">
        <v>4179</v>
      </c>
      <c r="E217" s="0" t="s">
        <v>4180</v>
      </c>
      <c r="F217" s="0" t="s">
        <v>4169</v>
      </c>
      <c r="G217" s="0" t="s">
        <v>4181</v>
      </c>
      <c r="H217" s="0" t="s">
        <v>4171</v>
      </c>
      <c r="I217" s="0" t="s">
        <v>4182</v>
      </c>
      <c r="J217" s="0" t="s">
        <v>4173</v>
      </c>
      <c r="K217" s="0" t="s">
        <v>4183</v>
      </c>
      <c r="L217" s="0" t="s">
        <v>4184</v>
      </c>
      <c r="M217" s="0" t="s">
        <v>4185</v>
      </c>
      <c r="N217" s="0" t="s">
        <v>4186</v>
      </c>
      <c r="O217" s="0" t="s">
        <v>4187</v>
      </c>
      <c r="P217" s="0" t="s">
        <v>145</v>
      </c>
      <c r="Q217" s="0" t="s">
        <v>4188</v>
      </c>
      <c r="R217" s="0" t="b">
        <v>0</v>
      </c>
      <c r="S217" s="0" t="s">
        <v>4338</v>
      </c>
    </row>
    <row customHeight="1" ht="11.25">
      <c r="A218" s="0">
        <v>2655</v>
      </c>
      <c r="B218" s="0" t="s">
        <v>102</v>
      </c>
      <c r="C218" s="0">
        <v>30914574</v>
      </c>
      <c r="D218" s="0" t="s">
        <v>4992</v>
      </c>
      <c r="E218" s="0" t="s">
        <v>4993</v>
      </c>
      <c r="F218" s="0" t="s">
        <v>4994</v>
      </c>
      <c r="G218" s="0" t="s">
        <v>4995</v>
      </c>
      <c r="H218" s="0" t="s">
        <v>4996</v>
      </c>
      <c r="I218" s="0" t="s">
        <v>4997</v>
      </c>
      <c r="J218" s="0" t="s">
        <v>4998</v>
      </c>
      <c r="K218" s="0" t="s">
        <v>4999</v>
      </c>
      <c r="L218" s="0" t="s">
        <v>5000</v>
      </c>
      <c r="M218" s="0" t="s">
        <v>5001</v>
      </c>
      <c r="N218" s="0" t="s">
        <v>5002</v>
      </c>
      <c r="O218" s="0" t="s">
        <v>5003</v>
      </c>
      <c r="P218" s="0" t="s">
        <v>5004</v>
      </c>
      <c r="Q218" s="0" t="s">
        <v>227</v>
      </c>
      <c r="R218" s="0" t="b">
        <v>0</v>
      </c>
      <c r="S218" s="0" t="s">
        <v>4338</v>
      </c>
    </row>
    <row customHeight="1" ht="11.25">
      <c r="A219" s="0">
        <v>2655</v>
      </c>
      <c r="B219" s="0" t="s">
        <v>102</v>
      </c>
      <c r="C219" s="0">
        <v>28976938</v>
      </c>
      <c r="D219" s="0" t="s">
        <v>3641</v>
      </c>
      <c r="E219" s="0" t="s">
        <v>3642</v>
      </c>
      <c r="F219" s="0" t="s">
        <v>3643</v>
      </c>
      <c r="G219" s="0" t="s">
        <v>3644</v>
      </c>
      <c r="H219" s="0" t="s">
        <v>3645</v>
      </c>
      <c r="I219" s="0" t="s">
        <v>3646</v>
      </c>
      <c r="J219" s="0" t="s">
        <v>3647</v>
      </c>
      <c r="K219" s="0" t="s">
        <v>3648</v>
      </c>
      <c r="L219" s="0" t="s">
        <v>3649</v>
      </c>
      <c r="M219" s="0" t="s">
        <v>3650</v>
      </c>
      <c r="N219" s="0" t="s">
        <v>3651</v>
      </c>
      <c r="O219" s="0" t="s">
        <v>3652</v>
      </c>
      <c r="P219" s="0" t="s">
        <v>3653</v>
      </c>
      <c r="Q219" s="0" t="s">
        <v>3654</v>
      </c>
      <c r="R219" s="0" t="b">
        <v>0</v>
      </c>
      <c r="S219" s="0" t="s">
        <v>5005</v>
      </c>
    </row>
    <row customHeight="1" ht="11.25">
      <c r="A220" s="0">
        <v>2655</v>
      </c>
      <c r="B220" s="0" t="s">
        <v>102</v>
      </c>
      <c r="C220" s="0">
        <v>26356915</v>
      </c>
      <c r="D220" s="0" t="s">
        <v>4201</v>
      </c>
      <c r="E220" s="0" t="s">
        <v>4202</v>
      </c>
      <c r="F220" s="0" t="s">
        <v>4203</v>
      </c>
      <c r="G220" s="0" t="s">
        <v>3869</v>
      </c>
      <c r="H220" s="0" t="s">
        <v>4204</v>
      </c>
      <c r="I220" s="0" t="s">
        <v>4205</v>
      </c>
      <c r="J220" s="0" t="s">
        <v>3647</v>
      </c>
      <c r="K220" s="0" t="s">
        <v>4206</v>
      </c>
      <c r="L220" s="0" t="s">
        <v>4206</v>
      </c>
      <c r="M220" s="0" t="s">
        <v>4207</v>
      </c>
      <c r="N220" s="0" t="s">
        <v>4208</v>
      </c>
      <c r="O220" s="0" t="s">
        <v>4209</v>
      </c>
      <c r="P220" s="0" t="s">
        <v>3723</v>
      </c>
      <c r="Q220" s="0" t="s">
        <v>152</v>
      </c>
      <c r="R220" s="0" t="b">
        <v>0</v>
      </c>
      <c r="S220" s="0" t="s">
        <v>5005</v>
      </c>
    </row>
    <row customHeight="1" ht="11.25">
      <c r="A221" s="0">
        <v>2655</v>
      </c>
      <c r="B221" s="0" t="s">
        <v>102</v>
      </c>
      <c r="C221" s="0">
        <v>26357007</v>
      </c>
      <c r="D221" s="0" t="s">
        <v>4339</v>
      </c>
      <c r="E221" s="0" t="s">
        <v>4340</v>
      </c>
      <c r="F221" s="0" t="s">
        <v>4341</v>
      </c>
      <c r="G221" s="0" t="s">
        <v>3899</v>
      </c>
      <c r="H221" s="0" t="s">
        <v>4342</v>
      </c>
      <c r="I221" s="0" t="s">
        <v>4343</v>
      </c>
      <c r="J221" s="0" t="s">
        <v>3647</v>
      </c>
      <c r="K221" s="0" t="s">
        <v>4344</v>
      </c>
      <c r="L221" s="0" t="s">
        <v>4344</v>
      </c>
      <c r="M221" s="0" t="s">
        <v>4345</v>
      </c>
      <c r="N221" s="0" t="s">
        <v>4346</v>
      </c>
      <c r="O221" s="0" t="s">
        <v>4347</v>
      </c>
      <c r="P221" s="0" t="s">
        <v>3723</v>
      </c>
      <c r="Q221" s="0" t="s">
        <v>4348</v>
      </c>
      <c r="R221" s="0" t="b">
        <v>0</v>
      </c>
      <c r="S221" s="0" t="s">
        <v>5005</v>
      </c>
    </row>
    <row customHeight="1" ht="11.25">
      <c r="A222" s="0">
        <v>2655</v>
      </c>
      <c r="B222" s="0" t="s">
        <v>102</v>
      </c>
      <c r="C222" s="0">
        <v>27804990</v>
      </c>
      <c r="D222" s="0" t="s">
        <v>3656</v>
      </c>
      <c r="E222" s="0" t="s">
        <v>3657</v>
      </c>
      <c r="F222" s="0" t="s">
        <v>3658</v>
      </c>
      <c r="G222" s="0" t="s">
        <v>3659</v>
      </c>
      <c r="H222" s="0" t="s">
        <v>3660</v>
      </c>
      <c r="I222" s="0" t="s">
        <v>3661</v>
      </c>
      <c r="J222" s="0" t="s">
        <v>3647</v>
      </c>
      <c r="K222" s="0" t="s">
        <v>3662</v>
      </c>
      <c r="L222" s="0" t="s">
        <v>3663</v>
      </c>
      <c r="M222" s="0" t="s">
        <v>3664</v>
      </c>
      <c r="N222" s="0" t="s">
        <v>3665</v>
      </c>
      <c r="O222" s="0" t="s">
        <v>3666</v>
      </c>
      <c r="P222" s="0" t="s">
        <v>3667</v>
      </c>
      <c r="Q222" s="0" t="s">
        <v>3668</v>
      </c>
      <c r="R222" s="0" t="b">
        <v>0</v>
      </c>
      <c r="S222" s="0" t="s">
        <v>5005</v>
      </c>
    </row>
    <row customHeight="1" ht="11.25">
      <c r="A223" s="0">
        <v>2655</v>
      </c>
      <c r="B223" s="0" t="s">
        <v>102</v>
      </c>
      <c r="C223" s="0">
        <v>28048296</v>
      </c>
      <c r="D223" s="0" t="s">
        <v>4349</v>
      </c>
      <c r="E223" s="0" t="s">
        <v>4350</v>
      </c>
      <c r="F223" s="0" t="s">
        <v>4351</v>
      </c>
      <c r="G223" s="0" t="s">
        <v>3659</v>
      </c>
      <c r="H223" s="0" t="s">
        <v>4352</v>
      </c>
      <c r="I223" s="0" t="s">
        <v>4353</v>
      </c>
      <c r="J223" s="0" t="s">
        <v>3647</v>
      </c>
      <c r="K223" s="0" t="s">
        <v>4354</v>
      </c>
      <c r="L223" s="0" t="s">
        <v>3663</v>
      </c>
      <c r="M223" s="0" t="s">
        <v>4355</v>
      </c>
      <c r="N223" s="0" t="s">
        <v>4356</v>
      </c>
      <c r="O223" s="0" t="s">
        <v>4357</v>
      </c>
      <c r="P223" s="0" t="s">
        <v>3667</v>
      </c>
      <c r="Q223" s="0" t="s">
        <v>3668</v>
      </c>
      <c r="R223" s="0" t="b">
        <v>0</v>
      </c>
      <c r="S223" s="0" t="s">
        <v>5005</v>
      </c>
    </row>
    <row customHeight="1" ht="11.25">
      <c r="A224" s="0">
        <v>2655</v>
      </c>
      <c r="B224" s="0" t="s">
        <v>102</v>
      </c>
      <c r="C224" s="0">
        <v>27804826</v>
      </c>
      <c r="D224" s="0" t="s">
        <v>3669</v>
      </c>
      <c r="E224" s="0" t="s">
        <v>3670</v>
      </c>
      <c r="F224" s="0" t="s">
        <v>3671</v>
      </c>
      <c r="G224" s="0" t="s">
        <v>3672</v>
      </c>
      <c r="H224" s="0" t="s">
        <v>3673</v>
      </c>
      <c r="I224" s="0" t="s">
        <v>3674</v>
      </c>
      <c r="J224" s="0" t="s">
        <v>3647</v>
      </c>
      <c r="K224" s="0" t="s">
        <v>3675</v>
      </c>
      <c r="L224" s="0" t="s">
        <v>3663</v>
      </c>
      <c r="M224" s="0" t="s">
        <v>227</v>
      </c>
      <c r="N224" s="0" t="s">
        <v>3676</v>
      </c>
      <c r="O224" s="0" t="s">
        <v>3677</v>
      </c>
      <c r="P224" s="0" t="s">
        <v>3667</v>
      </c>
      <c r="Q224" s="0" t="s">
        <v>3678</v>
      </c>
      <c r="R224" s="0" t="b">
        <v>0</v>
      </c>
      <c r="S224" s="0" t="s">
        <v>5005</v>
      </c>
    </row>
    <row customHeight="1" ht="11.25">
      <c r="A225" s="0">
        <v>2655</v>
      </c>
      <c r="B225" s="0" t="s">
        <v>102</v>
      </c>
      <c r="C225" s="0">
        <v>27804896</v>
      </c>
      <c r="D225" s="0" t="s">
        <v>4358</v>
      </c>
      <c r="E225" s="0" t="s">
        <v>4359</v>
      </c>
      <c r="F225" s="0" t="s">
        <v>4360</v>
      </c>
      <c r="G225" s="0" t="s">
        <v>3659</v>
      </c>
      <c r="H225" s="0" t="s">
        <v>4361</v>
      </c>
      <c r="I225" s="0" t="s">
        <v>4362</v>
      </c>
      <c r="J225" s="0" t="s">
        <v>3647</v>
      </c>
      <c r="K225" s="0" t="s">
        <v>4363</v>
      </c>
      <c r="L225" s="0" t="s">
        <v>3663</v>
      </c>
      <c r="M225" s="0" t="s">
        <v>4364</v>
      </c>
      <c r="N225" s="0" t="s">
        <v>4365</v>
      </c>
      <c r="O225" s="0" t="s">
        <v>4366</v>
      </c>
      <c r="P225" s="0" t="s">
        <v>3667</v>
      </c>
      <c r="Q225" s="0" t="s">
        <v>3668</v>
      </c>
      <c r="R225" s="0" t="b">
        <v>0</v>
      </c>
      <c r="S225" s="0" t="s">
        <v>5005</v>
      </c>
    </row>
    <row customHeight="1" ht="11.25">
      <c r="A226" s="0">
        <v>2655</v>
      </c>
      <c r="B226" s="0" t="s">
        <v>102</v>
      </c>
      <c r="C226" s="0">
        <v>27820148</v>
      </c>
      <c r="D226" s="0" t="s">
        <v>4225</v>
      </c>
      <c r="E226" s="0" t="s">
        <v>4226</v>
      </c>
      <c r="F226" s="0" t="s">
        <v>4227</v>
      </c>
      <c r="G226" s="0" t="s">
        <v>3956</v>
      </c>
      <c r="H226" s="0" t="s">
        <v>4228</v>
      </c>
      <c r="I226" s="0" t="s">
        <v>4229</v>
      </c>
      <c r="J226" s="0" t="s">
        <v>3647</v>
      </c>
      <c r="K226" s="0" t="s">
        <v>4230</v>
      </c>
      <c r="L226" s="0" t="s">
        <v>4230</v>
      </c>
      <c r="M226" s="0" t="s">
        <v>4231</v>
      </c>
      <c r="N226" s="0" t="s">
        <v>4232</v>
      </c>
      <c r="O226" s="0" t="s">
        <v>4233</v>
      </c>
      <c r="P226" s="0" t="s">
        <v>4234</v>
      </c>
      <c r="Q226" s="0" t="s">
        <v>4235</v>
      </c>
      <c r="R226" s="0" t="b">
        <v>0</v>
      </c>
      <c r="S226" s="0" t="s">
        <v>5005</v>
      </c>
    </row>
    <row customHeight="1" ht="11.25">
      <c r="A227" s="0">
        <v>2655</v>
      </c>
      <c r="B227" s="0" t="s">
        <v>102</v>
      </c>
      <c r="C227" s="0">
        <v>26356905</v>
      </c>
      <c r="D227" s="0" t="s">
        <v>4367</v>
      </c>
      <c r="E227" s="0" t="s">
        <v>4368</v>
      </c>
      <c r="F227" s="0" t="s">
        <v>4369</v>
      </c>
      <c r="G227" s="0" t="s">
        <v>3659</v>
      </c>
      <c r="H227" s="0" t="s">
        <v>4370</v>
      </c>
      <c r="I227" s="0" t="s">
        <v>4371</v>
      </c>
      <c r="J227" s="0" t="s">
        <v>3647</v>
      </c>
      <c r="K227" s="0" t="s">
        <v>4372</v>
      </c>
      <c r="L227" s="0" t="s">
        <v>4372</v>
      </c>
      <c r="M227" s="0" t="s">
        <v>4373</v>
      </c>
      <c r="N227" s="0" t="s">
        <v>4374</v>
      </c>
      <c r="O227" s="0" t="s">
        <v>4375</v>
      </c>
      <c r="P227" s="0" t="s">
        <v>4376</v>
      </c>
      <c r="Q227" s="0" t="s">
        <v>4377</v>
      </c>
      <c r="R227" s="0" t="b">
        <v>0</v>
      </c>
      <c r="S227" s="0" t="s">
        <v>5005</v>
      </c>
    </row>
    <row customHeight="1" ht="11.25">
      <c r="A228" s="0">
        <v>2655</v>
      </c>
      <c r="B228" s="0" t="s">
        <v>102</v>
      </c>
      <c r="C228" s="0">
        <v>26652554</v>
      </c>
      <c r="D228" s="0" t="s">
        <v>4378</v>
      </c>
      <c r="E228" s="0" t="s">
        <v>4379</v>
      </c>
      <c r="F228" s="0" t="s">
        <v>4380</v>
      </c>
      <c r="G228" s="0" t="s">
        <v>4040</v>
      </c>
      <c r="H228" s="0" t="s">
        <v>4381</v>
      </c>
      <c r="I228" s="0" t="s">
        <v>227</v>
      </c>
      <c r="J228" s="0" t="s">
        <v>3647</v>
      </c>
      <c r="K228" s="0" t="s">
        <v>4382</v>
      </c>
      <c r="L228" s="0" t="s">
        <v>4382</v>
      </c>
      <c r="M228" s="0" t="s">
        <v>4383</v>
      </c>
      <c r="N228" s="0" t="s">
        <v>4384</v>
      </c>
      <c r="O228" s="0" t="s">
        <v>4385</v>
      </c>
      <c r="P228" s="0" t="s">
        <v>3723</v>
      </c>
      <c r="Q228" s="0" t="s">
        <v>4386</v>
      </c>
      <c r="R228" s="0" t="b">
        <v>0</v>
      </c>
      <c r="S228" s="0" t="s">
        <v>5005</v>
      </c>
    </row>
    <row customHeight="1" ht="11.25">
      <c r="A229" s="0">
        <v>2655</v>
      </c>
      <c r="B229" s="0" t="s">
        <v>102</v>
      </c>
      <c r="C229" s="0">
        <v>31915209</v>
      </c>
      <c r="D229" s="0" t="s">
        <v>4387</v>
      </c>
      <c r="E229" s="0" t="s">
        <v>4388</v>
      </c>
      <c r="F229" s="0" t="s">
        <v>4389</v>
      </c>
      <c r="G229" s="0" t="s">
        <v>3659</v>
      </c>
      <c r="H229" s="0" t="s">
        <v>4390</v>
      </c>
      <c r="I229" s="0" t="s">
        <v>4391</v>
      </c>
      <c r="K229" s="0" t="s">
        <v>4392</v>
      </c>
      <c r="L229" s="0" t="s">
        <v>4392</v>
      </c>
      <c r="M229" s="0" t="s">
        <v>4393</v>
      </c>
      <c r="N229" s="0" t="s">
        <v>4394</v>
      </c>
      <c r="O229" s="0" t="s">
        <v>4395</v>
      </c>
      <c r="P229" s="0" t="s">
        <v>4396</v>
      </c>
      <c r="Q229" s="0" t="s">
        <v>4397</v>
      </c>
      <c r="R229" s="0" t="b">
        <v>0</v>
      </c>
      <c r="S229" s="0" t="s">
        <v>5005</v>
      </c>
    </row>
    <row customHeight="1" ht="11.25">
      <c r="A230" s="0">
        <v>2655</v>
      </c>
      <c r="B230" s="0" t="s">
        <v>102</v>
      </c>
      <c r="C230" s="0">
        <v>26356926</v>
      </c>
      <c r="D230" s="0" t="s">
        <v>4398</v>
      </c>
      <c r="E230" s="0" t="s">
        <v>4399</v>
      </c>
      <c r="F230" s="0" t="s">
        <v>4400</v>
      </c>
      <c r="G230" s="0" t="s">
        <v>3956</v>
      </c>
      <c r="H230" s="0" t="s">
        <v>4401</v>
      </c>
      <c r="I230" s="0" t="s">
        <v>4402</v>
      </c>
      <c r="J230" s="0" t="s">
        <v>4403</v>
      </c>
      <c r="K230" s="0" t="s">
        <v>4404</v>
      </c>
      <c r="L230" s="0" t="s">
        <v>4404</v>
      </c>
      <c r="M230" s="0" t="s">
        <v>4405</v>
      </c>
      <c r="N230" s="0" t="s">
        <v>4406</v>
      </c>
      <c r="O230" s="0" t="s">
        <v>4407</v>
      </c>
      <c r="P230" s="0" t="s">
        <v>4408</v>
      </c>
      <c r="Q230" s="0" t="s">
        <v>4409</v>
      </c>
      <c r="R230" s="0" t="b">
        <v>0</v>
      </c>
      <c r="S230" s="0" t="s">
        <v>5005</v>
      </c>
    </row>
    <row customHeight="1" ht="11.25">
      <c r="A231" s="0">
        <v>2655</v>
      </c>
      <c r="B231" s="0" t="s">
        <v>102</v>
      </c>
      <c r="C231" s="0">
        <v>31720063</v>
      </c>
      <c r="D231" s="0" t="s">
        <v>4410</v>
      </c>
      <c r="E231" s="0" t="s">
        <v>4411</v>
      </c>
      <c r="F231" s="0" t="s">
        <v>4412</v>
      </c>
      <c r="G231" s="0" t="s">
        <v>3843</v>
      </c>
      <c r="H231" s="0" t="s">
        <v>4413</v>
      </c>
      <c r="I231" s="0" t="s">
        <v>4414</v>
      </c>
      <c r="K231" s="0" t="s">
        <v>4415</v>
      </c>
      <c r="L231" s="0" t="s">
        <v>4415</v>
      </c>
      <c r="M231" s="0" t="s">
        <v>227</v>
      </c>
      <c r="N231" s="0" t="s">
        <v>4416</v>
      </c>
      <c r="O231" s="0" t="s">
        <v>4417</v>
      </c>
      <c r="P231" s="0" t="s">
        <v>3744</v>
      </c>
      <c r="Q231" s="0" t="s">
        <v>4418</v>
      </c>
      <c r="R231" s="0" t="b">
        <v>0</v>
      </c>
      <c r="S231" s="0" t="s">
        <v>5005</v>
      </c>
    </row>
    <row customHeight="1" ht="11.25">
      <c r="A232" s="0">
        <v>2655</v>
      </c>
      <c r="B232" s="0" t="s">
        <v>102</v>
      </c>
      <c r="C232" s="0">
        <v>31826293</v>
      </c>
      <c r="D232" s="0" t="s">
        <v>3734</v>
      </c>
      <c r="E232" s="0" t="s">
        <v>3735</v>
      </c>
      <c r="F232" s="0" t="s">
        <v>3736</v>
      </c>
      <c r="G232" s="0" t="s">
        <v>3737</v>
      </c>
      <c r="H232" s="0" t="s">
        <v>3738</v>
      </c>
      <c r="I232" s="0" t="s">
        <v>3739</v>
      </c>
      <c r="K232" s="0" t="s">
        <v>3740</v>
      </c>
      <c r="L232" s="0" t="s">
        <v>3741</v>
      </c>
      <c r="M232" s="0" t="s">
        <v>227</v>
      </c>
      <c r="N232" s="0" t="s">
        <v>3742</v>
      </c>
      <c r="O232" s="0" t="s">
        <v>3743</v>
      </c>
      <c r="P232" s="0" t="s">
        <v>3744</v>
      </c>
      <c r="Q232" s="0" t="s">
        <v>227</v>
      </c>
      <c r="R232" s="0" t="b">
        <v>0</v>
      </c>
      <c r="S232" s="0" t="s">
        <v>5005</v>
      </c>
    </row>
    <row customHeight="1" ht="11.25">
      <c r="A233" s="0">
        <v>2655</v>
      </c>
      <c r="B233" s="0" t="s">
        <v>102</v>
      </c>
      <c r="C233" s="0">
        <v>28262434</v>
      </c>
      <c r="D233" s="0" t="s">
        <v>4419</v>
      </c>
      <c r="E233" s="0" t="s">
        <v>4420</v>
      </c>
      <c r="F233" s="0" t="s">
        <v>4421</v>
      </c>
      <c r="G233" s="0" t="s">
        <v>4422</v>
      </c>
      <c r="H233" s="0" t="s">
        <v>4423</v>
      </c>
      <c r="I233" s="0" t="s">
        <v>4424</v>
      </c>
      <c r="J233" s="0" t="s">
        <v>3647</v>
      </c>
      <c r="K233" s="0" t="s">
        <v>4425</v>
      </c>
      <c r="L233" s="0" t="s">
        <v>4425</v>
      </c>
      <c r="M233" s="0" t="s">
        <v>4426</v>
      </c>
      <c r="N233" s="0" t="s">
        <v>4427</v>
      </c>
      <c r="O233" s="0" t="s">
        <v>4428</v>
      </c>
      <c r="P233" s="0" t="s">
        <v>3723</v>
      </c>
      <c r="Q233" s="0" t="s">
        <v>227</v>
      </c>
      <c r="R233" s="0" t="b">
        <v>0</v>
      </c>
      <c r="S233" s="0" t="s">
        <v>5005</v>
      </c>
    </row>
    <row customHeight="1" ht="11.25">
      <c r="A234" s="0">
        <v>2655</v>
      </c>
      <c r="B234" s="0" t="s">
        <v>102</v>
      </c>
      <c r="C234" s="0">
        <v>31382238</v>
      </c>
      <c r="D234" s="0" t="s">
        <v>4429</v>
      </c>
      <c r="E234" s="0" t="s">
        <v>4430</v>
      </c>
      <c r="F234" s="0" t="s">
        <v>4431</v>
      </c>
      <c r="G234" s="0" t="s">
        <v>4432</v>
      </c>
      <c r="H234" s="0" t="s">
        <v>4433</v>
      </c>
      <c r="I234" s="0" t="s">
        <v>4434</v>
      </c>
      <c r="J234" s="0" t="s">
        <v>4435</v>
      </c>
      <c r="K234" s="0" t="s">
        <v>4436</v>
      </c>
      <c r="L234" s="0" t="s">
        <v>4436</v>
      </c>
      <c r="M234" s="0" t="s">
        <v>227</v>
      </c>
      <c r="N234" s="0" t="s">
        <v>227</v>
      </c>
      <c r="O234" s="0" t="s">
        <v>4437</v>
      </c>
      <c r="P234" s="0" t="s">
        <v>4438</v>
      </c>
      <c r="Q234" s="0" t="s">
        <v>227</v>
      </c>
      <c r="R234" s="0" t="b">
        <v>1</v>
      </c>
      <c r="S234" s="0" t="s">
        <v>5005</v>
      </c>
    </row>
    <row customHeight="1" ht="11.25">
      <c r="A235" s="0">
        <v>2655</v>
      </c>
      <c r="B235" s="0" t="s">
        <v>102</v>
      </c>
      <c r="C235" s="0">
        <v>31763194</v>
      </c>
      <c r="D235" s="0" t="s">
        <v>4439</v>
      </c>
      <c r="E235" s="0" t="s">
        <v>4440</v>
      </c>
      <c r="F235" s="0" t="s">
        <v>4441</v>
      </c>
      <c r="G235" s="0" t="s">
        <v>4432</v>
      </c>
      <c r="H235" s="0" t="s">
        <v>4442</v>
      </c>
      <c r="I235" s="0" t="s">
        <v>4443</v>
      </c>
      <c r="K235" s="0" t="s">
        <v>4444</v>
      </c>
      <c r="L235" s="0" t="s">
        <v>4445</v>
      </c>
      <c r="M235" s="0" t="s">
        <v>227</v>
      </c>
      <c r="N235" s="0" t="s">
        <v>4446</v>
      </c>
      <c r="O235" s="0" t="s">
        <v>4447</v>
      </c>
      <c r="P235" s="0" t="s">
        <v>4448</v>
      </c>
      <c r="Q235" s="0" t="s">
        <v>4449</v>
      </c>
      <c r="R235" s="0" t="b">
        <v>1</v>
      </c>
      <c r="S235" s="0" t="s">
        <v>5005</v>
      </c>
    </row>
    <row customHeight="1" ht="11.25">
      <c r="A236" s="0">
        <v>2655</v>
      </c>
      <c r="B236" s="0" t="s">
        <v>102</v>
      </c>
      <c r="C236" s="0">
        <v>26322867</v>
      </c>
      <c r="D236" s="0" t="s">
        <v>3745</v>
      </c>
      <c r="E236" s="0" t="s">
        <v>3746</v>
      </c>
      <c r="F236" s="0" t="s">
        <v>3747</v>
      </c>
      <c r="G236" s="0" t="s">
        <v>3692</v>
      </c>
      <c r="H236" s="0" t="s">
        <v>3748</v>
      </c>
      <c r="I236" s="0" t="s">
        <v>3749</v>
      </c>
      <c r="J236" s="0" t="s">
        <v>3647</v>
      </c>
      <c r="K236" s="0" t="s">
        <v>3750</v>
      </c>
      <c r="L236" s="0" t="s">
        <v>3750</v>
      </c>
      <c r="M236" s="0" t="s">
        <v>3751</v>
      </c>
      <c r="N236" s="0" t="s">
        <v>3752</v>
      </c>
      <c r="O236" s="0" t="s">
        <v>3753</v>
      </c>
      <c r="P236" s="0" t="s">
        <v>3723</v>
      </c>
      <c r="Q236" s="0" t="s">
        <v>3754</v>
      </c>
      <c r="R236" s="0" t="b">
        <v>0</v>
      </c>
      <c r="S236" s="0" t="s">
        <v>5005</v>
      </c>
    </row>
    <row customHeight="1" ht="11.25">
      <c r="A237" s="0">
        <v>2655</v>
      </c>
      <c r="B237" s="0" t="s">
        <v>102</v>
      </c>
      <c r="C237" s="0">
        <v>26824396</v>
      </c>
      <c r="D237" s="0" t="s">
        <v>3764</v>
      </c>
      <c r="E237" s="0" t="s">
        <v>3765</v>
      </c>
      <c r="F237" s="0" t="s">
        <v>3726</v>
      </c>
      <c r="G237" s="0" t="s">
        <v>3766</v>
      </c>
      <c r="H237" s="0" t="s">
        <v>3728</v>
      </c>
      <c r="I237" s="0" t="s">
        <v>227</v>
      </c>
      <c r="J237" s="0" t="s">
        <v>3718</v>
      </c>
      <c r="K237" s="0" t="s">
        <v>3767</v>
      </c>
      <c r="L237" s="0" t="s">
        <v>3767</v>
      </c>
      <c r="M237" s="0" t="s">
        <v>3768</v>
      </c>
      <c r="N237" s="0" t="s">
        <v>227</v>
      </c>
      <c r="O237" s="0" t="s">
        <v>3769</v>
      </c>
      <c r="P237" s="0" t="s">
        <v>3763</v>
      </c>
      <c r="Q237" s="0" t="s">
        <v>227</v>
      </c>
      <c r="R237" s="0" t="b">
        <v>0</v>
      </c>
      <c r="S237" s="0" t="s">
        <v>5005</v>
      </c>
    </row>
    <row customHeight="1" ht="11.25">
      <c r="A238" s="0">
        <v>2655</v>
      </c>
      <c r="B238" s="0" t="s">
        <v>102</v>
      </c>
      <c r="C238" s="0">
        <v>30808700</v>
      </c>
      <c r="D238" s="0" t="s">
        <v>3802</v>
      </c>
      <c r="E238" s="0" t="s">
        <v>3803</v>
      </c>
      <c r="F238" s="0" t="s">
        <v>3804</v>
      </c>
      <c r="G238" s="0" t="s">
        <v>3727</v>
      </c>
      <c r="H238" s="0" t="s">
        <v>3805</v>
      </c>
      <c r="I238" s="0" t="s">
        <v>3806</v>
      </c>
      <c r="J238" s="0" t="s">
        <v>3787</v>
      </c>
      <c r="K238" s="0" t="s">
        <v>3807</v>
      </c>
      <c r="L238" s="0" t="s">
        <v>3808</v>
      </c>
      <c r="M238" s="0" t="s">
        <v>3809</v>
      </c>
      <c r="N238" s="0" t="s">
        <v>3810</v>
      </c>
      <c r="O238" s="0" t="s">
        <v>3811</v>
      </c>
      <c r="P238" s="0" t="s">
        <v>3744</v>
      </c>
      <c r="Q238" s="0" t="s">
        <v>227</v>
      </c>
      <c r="R238" s="0" t="b">
        <v>1</v>
      </c>
      <c r="S238" s="0" t="s">
        <v>5005</v>
      </c>
    </row>
    <row customHeight="1" ht="11.25">
      <c r="A239" s="0">
        <v>2655</v>
      </c>
      <c r="B239" s="0" t="s">
        <v>102</v>
      </c>
      <c r="C239" s="0">
        <v>31319221</v>
      </c>
      <c r="D239" s="0" t="s">
        <v>3812</v>
      </c>
      <c r="E239" s="0" t="s">
        <v>3813</v>
      </c>
      <c r="F239" s="0" t="s">
        <v>3814</v>
      </c>
      <c r="G239" s="0" t="s">
        <v>3784</v>
      </c>
      <c r="H239" s="0" t="s">
        <v>3815</v>
      </c>
      <c r="I239" s="0" t="s">
        <v>3816</v>
      </c>
      <c r="J239" s="0" t="s">
        <v>3776</v>
      </c>
      <c r="K239" s="0" t="s">
        <v>3817</v>
      </c>
      <c r="L239" s="0" t="s">
        <v>3818</v>
      </c>
      <c r="M239" s="0" t="s">
        <v>3819</v>
      </c>
      <c r="N239" s="0" t="s">
        <v>3820</v>
      </c>
      <c r="O239" s="0" t="s">
        <v>3821</v>
      </c>
      <c r="P239" s="0" t="s">
        <v>145</v>
      </c>
      <c r="Q239" s="0" t="s">
        <v>227</v>
      </c>
      <c r="R239" s="0" t="b">
        <v>0</v>
      </c>
      <c r="S239" s="0" t="s">
        <v>5005</v>
      </c>
    </row>
    <row customHeight="1" ht="11.25">
      <c r="A240" s="0">
        <v>2655</v>
      </c>
      <c r="B240" s="0" t="s">
        <v>102</v>
      </c>
      <c r="C240" s="0">
        <v>31343443</v>
      </c>
      <c r="D240" s="0" t="s">
        <v>3832</v>
      </c>
      <c r="E240" s="0" t="s">
        <v>3833</v>
      </c>
      <c r="F240" s="0" t="s">
        <v>3834</v>
      </c>
      <c r="G240" s="0" t="s">
        <v>3727</v>
      </c>
      <c r="H240" s="0" t="s">
        <v>3835</v>
      </c>
      <c r="I240" s="0" t="s">
        <v>3836</v>
      </c>
      <c r="J240" s="0" t="s">
        <v>3776</v>
      </c>
      <c r="K240" s="0" t="s">
        <v>3837</v>
      </c>
      <c r="L240" s="0" t="s">
        <v>3837</v>
      </c>
      <c r="N240" s="0" t="s">
        <v>3838</v>
      </c>
      <c r="O240" s="0" t="s">
        <v>3839</v>
      </c>
      <c r="P240" s="0" t="s">
        <v>3744</v>
      </c>
      <c r="R240" s="0" t="b">
        <v>0</v>
      </c>
      <c r="S240" s="0" t="s">
        <v>5005</v>
      </c>
    </row>
    <row customHeight="1" ht="11.25">
      <c r="A241" s="0">
        <v>2655</v>
      </c>
      <c r="B241" s="0" t="s">
        <v>102</v>
      </c>
      <c r="C241" s="0">
        <v>31367841</v>
      </c>
      <c r="D241" s="0" t="s">
        <v>3840</v>
      </c>
      <c r="E241" s="0" t="s">
        <v>3841</v>
      </c>
      <c r="F241" s="0" t="s">
        <v>3842</v>
      </c>
      <c r="G241" s="0" t="s">
        <v>3843</v>
      </c>
      <c r="H241" s="0" t="s">
        <v>3844</v>
      </c>
      <c r="I241" s="0" t="s">
        <v>3845</v>
      </c>
      <c r="J241" s="0" t="s">
        <v>3787</v>
      </c>
      <c r="K241" s="0" t="s">
        <v>3846</v>
      </c>
      <c r="L241" s="0" t="s">
        <v>3846</v>
      </c>
      <c r="M241" s="0" t="s">
        <v>227</v>
      </c>
      <c r="N241" s="0" t="s">
        <v>139</v>
      </c>
      <c r="O241" s="0" t="s">
        <v>3847</v>
      </c>
      <c r="P241" s="0" t="s">
        <v>145</v>
      </c>
      <c r="Q241" s="0" t="s">
        <v>227</v>
      </c>
      <c r="R241" s="0" t="b">
        <v>0</v>
      </c>
      <c r="S241" s="0" t="s">
        <v>5005</v>
      </c>
    </row>
    <row customHeight="1" ht="11.25">
      <c r="A242" s="0">
        <v>2655</v>
      </c>
      <c r="B242" s="0" t="s">
        <v>102</v>
      </c>
      <c r="C242" s="0">
        <v>31087651</v>
      </c>
      <c r="D242" s="0" t="s">
        <v>3848</v>
      </c>
      <c r="E242" s="0" t="s">
        <v>3849</v>
      </c>
      <c r="F242" s="0" t="s">
        <v>3850</v>
      </c>
      <c r="G242" s="0" t="s">
        <v>3851</v>
      </c>
      <c r="H242" s="0" t="s">
        <v>3852</v>
      </c>
      <c r="I242" s="0" t="s">
        <v>3853</v>
      </c>
      <c r="J242" s="0" t="s">
        <v>3776</v>
      </c>
      <c r="K242" s="0" t="s">
        <v>3854</v>
      </c>
      <c r="L242" s="0" t="s">
        <v>3854</v>
      </c>
      <c r="M242" s="0" t="s">
        <v>3855</v>
      </c>
      <c r="N242" s="0" t="s">
        <v>3856</v>
      </c>
      <c r="O242" s="0" t="s">
        <v>3857</v>
      </c>
      <c r="R242" s="0" t="b">
        <v>0</v>
      </c>
      <c r="S242" s="0" t="s">
        <v>5005</v>
      </c>
    </row>
    <row customHeight="1" ht="11.25">
      <c r="A243" s="0">
        <v>2655</v>
      </c>
      <c r="B243" s="0" t="s">
        <v>102</v>
      </c>
      <c r="C243" s="0">
        <v>31367862</v>
      </c>
      <c r="D243" s="0" t="s">
        <v>3858</v>
      </c>
      <c r="E243" s="0" t="s">
        <v>3859</v>
      </c>
      <c r="F243" s="0" t="s">
        <v>3860</v>
      </c>
      <c r="G243" s="0" t="s">
        <v>3843</v>
      </c>
      <c r="H243" s="0" t="s">
        <v>3861</v>
      </c>
      <c r="I243" s="0" t="s">
        <v>3862</v>
      </c>
      <c r="J243" s="0" t="s">
        <v>3776</v>
      </c>
      <c r="K243" s="0" t="s">
        <v>3863</v>
      </c>
      <c r="L243" s="0" t="s">
        <v>3863</v>
      </c>
      <c r="M243" s="0" t="s">
        <v>227</v>
      </c>
      <c r="N243" s="0" t="s">
        <v>3864</v>
      </c>
      <c r="O243" s="0" t="s">
        <v>3865</v>
      </c>
      <c r="P243" s="0" t="s">
        <v>145</v>
      </c>
      <c r="Q243" s="0" t="s">
        <v>227</v>
      </c>
      <c r="R243" s="0" t="b">
        <v>0</v>
      </c>
      <c r="S243" s="0" t="s">
        <v>5005</v>
      </c>
    </row>
    <row customHeight="1" ht="11.25">
      <c r="A244" s="0">
        <v>2655</v>
      </c>
      <c r="B244" s="0" t="s">
        <v>102</v>
      </c>
      <c r="C244" s="0">
        <v>31085797</v>
      </c>
      <c r="D244" s="0" t="s">
        <v>4450</v>
      </c>
      <c r="E244" s="0" t="s">
        <v>4451</v>
      </c>
      <c r="F244" s="0" t="s">
        <v>4452</v>
      </c>
      <c r="G244" s="0" t="s">
        <v>3672</v>
      </c>
      <c r="H244" s="0" t="s">
        <v>4453</v>
      </c>
      <c r="I244" s="0" t="s">
        <v>4454</v>
      </c>
      <c r="J244" s="0" t="s">
        <v>3787</v>
      </c>
      <c r="K244" s="0" t="s">
        <v>4455</v>
      </c>
      <c r="L244" s="0" t="s">
        <v>4456</v>
      </c>
      <c r="M244" s="0" t="s">
        <v>4457</v>
      </c>
      <c r="N244" s="0" t="s">
        <v>4458</v>
      </c>
      <c r="O244" s="0" t="s">
        <v>4459</v>
      </c>
      <c r="P244" s="0" t="s">
        <v>145</v>
      </c>
      <c r="Q244" s="0" t="s">
        <v>227</v>
      </c>
      <c r="R244" s="0" t="b">
        <v>1</v>
      </c>
      <c r="S244" s="0" t="s">
        <v>5005</v>
      </c>
    </row>
    <row customHeight="1" ht="11.25">
      <c r="A245" s="0">
        <v>2655</v>
      </c>
      <c r="B245" s="0" t="s">
        <v>102</v>
      </c>
      <c r="C245" s="0">
        <v>26486390</v>
      </c>
      <c r="D245" s="0" t="s">
        <v>3866</v>
      </c>
      <c r="E245" s="0" t="s">
        <v>3867</v>
      </c>
      <c r="F245" s="0" t="s">
        <v>3868</v>
      </c>
      <c r="G245" s="0" t="s">
        <v>3869</v>
      </c>
      <c r="H245" s="0" t="s">
        <v>3870</v>
      </c>
      <c r="I245" s="0" t="s">
        <v>3871</v>
      </c>
      <c r="J245" s="0" t="s">
        <v>3787</v>
      </c>
      <c r="K245" s="0" t="s">
        <v>3872</v>
      </c>
      <c r="L245" s="0" t="s">
        <v>3872</v>
      </c>
      <c r="M245" s="0" t="s">
        <v>3873</v>
      </c>
      <c r="N245" s="0" t="s">
        <v>3874</v>
      </c>
      <c r="O245" s="0" t="s">
        <v>3875</v>
      </c>
      <c r="P245" s="0" t="s">
        <v>3876</v>
      </c>
      <c r="Q245" s="0" t="s">
        <v>227</v>
      </c>
      <c r="R245" s="0" t="b">
        <v>0</v>
      </c>
      <c r="S245" s="0" t="s">
        <v>5005</v>
      </c>
    </row>
    <row customHeight="1" ht="11.25">
      <c r="A246" s="0">
        <v>2655</v>
      </c>
      <c r="B246" s="0" t="s">
        <v>102</v>
      </c>
      <c r="C246" s="0">
        <v>31187282</v>
      </c>
      <c r="D246" s="0" t="s">
        <v>4460</v>
      </c>
      <c r="E246" s="0" t="s">
        <v>4461</v>
      </c>
      <c r="F246" s="0" t="s">
        <v>4462</v>
      </c>
      <c r="G246" s="0" t="s">
        <v>3682</v>
      </c>
      <c r="H246" s="0" t="s">
        <v>4463</v>
      </c>
      <c r="I246" s="0" t="s">
        <v>4464</v>
      </c>
      <c r="J246" s="0" t="s">
        <v>3787</v>
      </c>
      <c r="K246" s="0" t="s">
        <v>4465</v>
      </c>
      <c r="L246" s="0" t="s">
        <v>4465</v>
      </c>
      <c r="M246" s="0" t="s">
        <v>227</v>
      </c>
      <c r="N246" s="0" t="s">
        <v>4466</v>
      </c>
      <c r="O246" s="0" t="s">
        <v>4467</v>
      </c>
      <c r="P246" s="0" t="s">
        <v>145</v>
      </c>
      <c r="Q246" s="0" t="s">
        <v>227</v>
      </c>
      <c r="R246" s="0" t="b">
        <v>0</v>
      </c>
      <c r="S246" s="0" t="s">
        <v>5005</v>
      </c>
    </row>
    <row customHeight="1" ht="11.25">
      <c r="A247" s="0">
        <v>2655</v>
      </c>
      <c r="B247" s="0" t="s">
        <v>102</v>
      </c>
      <c r="C247" s="0">
        <v>31308226</v>
      </c>
      <c r="D247" s="0" t="s">
        <v>3896</v>
      </c>
      <c r="E247" s="0" t="s">
        <v>3897</v>
      </c>
      <c r="F247" s="0" t="s">
        <v>3898</v>
      </c>
      <c r="G247" s="0" t="s">
        <v>3899</v>
      </c>
      <c r="H247" s="0" t="s">
        <v>3900</v>
      </c>
      <c r="I247" s="0" t="s">
        <v>3901</v>
      </c>
      <c r="J247" s="0" t="s">
        <v>3787</v>
      </c>
      <c r="K247" s="0" t="s">
        <v>3902</v>
      </c>
      <c r="L247" s="0" t="s">
        <v>3902</v>
      </c>
      <c r="M247" s="0" t="s">
        <v>3903</v>
      </c>
      <c r="N247" s="0" t="s">
        <v>3904</v>
      </c>
      <c r="O247" s="0" t="s">
        <v>3905</v>
      </c>
      <c r="P247" s="0" t="s">
        <v>3744</v>
      </c>
      <c r="Q247" s="0" t="s">
        <v>227</v>
      </c>
      <c r="R247" s="0" t="b">
        <v>1</v>
      </c>
      <c r="S247" s="0" t="s">
        <v>5005</v>
      </c>
    </row>
    <row customHeight="1" ht="11.25">
      <c r="A248" s="0">
        <v>2655</v>
      </c>
      <c r="B248" s="0" t="s">
        <v>102</v>
      </c>
      <c r="C248" s="0">
        <v>31284269</v>
      </c>
      <c r="D248" s="0" t="s">
        <v>3906</v>
      </c>
      <c r="E248" s="0" t="s">
        <v>3907</v>
      </c>
      <c r="F248" s="0" t="s">
        <v>3908</v>
      </c>
      <c r="G248" s="0" t="s">
        <v>3851</v>
      </c>
      <c r="H248" s="0" t="s">
        <v>3909</v>
      </c>
      <c r="I248" s="0" t="s">
        <v>3910</v>
      </c>
      <c r="J248" s="0" t="s">
        <v>3787</v>
      </c>
      <c r="K248" s="0" t="s">
        <v>3911</v>
      </c>
      <c r="L248" s="0" t="s">
        <v>3912</v>
      </c>
      <c r="M248" s="0" t="s">
        <v>3913</v>
      </c>
      <c r="N248" s="0" t="s">
        <v>3914</v>
      </c>
      <c r="O248" s="0" t="s">
        <v>3915</v>
      </c>
      <c r="P248" s="0" t="s">
        <v>145</v>
      </c>
      <c r="Q248" s="0" t="s">
        <v>227</v>
      </c>
      <c r="R248" s="0" t="b">
        <v>0</v>
      </c>
      <c r="S248" s="0" t="s">
        <v>5005</v>
      </c>
    </row>
    <row customHeight="1" ht="11.25">
      <c r="A249" s="0">
        <v>2655</v>
      </c>
      <c r="B249" s="0" t="s">
        <v>102</v>
      </c>
      <c r="C249" s="0">
        <v>31159389</v>
      </c>
      <c r="D249" s="0" t="s">
        <v>4468</v>
      </c>
      <c r="E249" s="0" t="s">
        <v>4469</v>
      </c>
      <c r="F249" s="0" t="s">
        <v>4470</v>
      </c>
      <c r="G249" s="0" t="s">
        <v>123</v>
      </c>
      <c r="H249" s="0" t="s">
        <v>4471</v>
      </c>
      <c r="I249" s="0" t="s">
        <v>4472</v>
      </c>
      <c r="J249" s="0" t="s">
        <v>3787</v>
      </c>
      <c r="K249" s="0" t="s">
        <v>4473</v>
      </c>
      <c r="L249" s="0" t="s">
        <v>4474</v>
      </c>
      <c r="M249" s="0" t="s">
        <v>4475</v>
      </c>
      <c r="N249" s="0" t="s">
        <v>4476</v>
      </c>
      <c r="O249" s="0" t="s">
        <v>4477</v>
      </c>
      <c r="P249" s="0" t="s">
        <v>145</v>
      </c>
      <c r="Q249" s="0" t="s">
        <v>227</v>
      </c>
      <c r="R249" s="0" t="b">
        <v>0</v>
      </c>
      <c r="S249" s="0" t="s">
        <v>5005</v>
      </c>
    </row>
    <row customHeight="1" ht="11.25">
      <c r="A250" s="0">
        <v>2655</v>
      </c>
      <c r="B250" s="0" t="s">
        <v>102</v>
      </c>
      <c r="C250" s="0">
        <v>26322895</v>
      </c>
      <c r="D250" s="0" t="s">
        <v>3936</v>
      </c>
      <c r="E250" s="0" t="s">
        <v>3937</v>
      </c>
      <c r="F250" s="0" t="s">
        <v>3938</v>
      </c>
      <c r="G250" s="0" t="s">
        <v>3659</v>
      </c>
      <c r="H250" s="0" t="s">
        <v>3939</v>
      </c>
      <c r="I250" s="0" t="s">
        <v>3940</v>
      </c>
      <c r="J250" s="0" t="s">
        <v>3718</v>
      </c>
      <c r="K250" s="0" t="s">
        <v>3941</v>
      </c>
      <c r="L250" s="0" t="s">
        <v>3941</v>
      </c>
      <c r="M250" s="0" t="s">
        <v>3942</v>
      </c>
      <c r="N250" s="0" t="s">
        <v>3943</v>
      </c>
      <c r="O250" s="0" t="s">
        <v>3944</v>
      </c>
      <c r="P250" s="0" t="s">
        <v>3723</v>
      </c>
      <c r="Q250" s="0" t="s">
        <v>3945</v>
      </c>
      <c r="R250" s="0" t="b">
        <v>0</v>
      </c>
      <c r="S250" s="0" t="s">
        <v>5005</v>
      </c>
    </row>
    <row customHeight="1" ht="11.25">
      <c r="A251" s="0">
        <v>2655</v>
      </c>
      <c r="B251" s="0" t="s">
        <v>102</v>
      </c>
      <c r="C251" s="0">
        <v>26356930</v>
      </c>
      <c r="D251" s="0" t="s">
        <v>4478</v>
      </c>
      <c r="E251" s="0" t="s">
        <v>4479</v>
      </c>
      <c r="F251" s="0" t="s">
        <v>4480</v>
      </c>
      <c r="G251" s="0" t="s">
        <v>3956</v>
      </c>
      <c r="H251" s="0" t="s">
        <v>4481</v>
      </c>
      <c r="I251" s="0" t="s">
        <v>4482</v>
      </c>
      <c r="J251" s="0" t="s">
        <v>128</v>
      </c>
      <c r="K251" s="0" t="s">
        <v>4483</v>
      </c>
      <c r="L251" s="0" t="s">
        <v>4483</v>
      </c>
      <c r="M251" s="0" t="s">
        <v>4484</v>
      </c>
      <c r="N251" s="0" t="s">
        <v>227</v>
      </c>
      <c r="O251" s="0" t="s">
        <v>4485</v>
      </c>
      <c r="P251" s="0" t="s">
        <v>145</v>
      </c>
      <c r="Q251" s="0" t="s">
        <v>227</v>
      </c>
      <c r="R251" s="0" t="b">
        <v>1</v>
      </c>
      <c r="S251" s="0" t="s">
        <v>5005</v>
      </c>
    </row>
    <row customHeight="1" ht="11.25">
      <c r="A252" s="0">
        <v>2655</v>
      </c>
      <c r="B252" s="0" t="s">
        <v>102</v>
      </c>
      <c r="C252" s="0">
        <v>30843704</v>
      </c>
      <c r="D252" s="0" t="s">
        <v>4486</v>
      </c>
      <c r="E252" s="0" t="s">
        <v>4487</v>
      </c>
      <c r="F252" s="0" t="s">
        <v>4488</v>
      </c>
      <c r="G252" s="0" t="s">
        <v>3659</v>
      </c>
      <c r="H252" s="0" t="s">
        <v>4489</v>
      </c>
      <c r="I252" s="0" t="s">
        <v>4490</v>
      </c>
      <c r="J252" s="0" t="s">
        <v>128</v>
      </c>
      <c r="K252" s="0" t="s">
        <v>4491</v>
      </c>
      <c r="L252" s="0" t="s">
        <v>4492</v>
      </c>
      <c r="M252" s="0" t="s">
        <v>227</v>
      </c>
      <c r="N252" s="0" t="s">
        <v>4493</v>
      </c>
      <c r="O252" s="0" t="s">
        <v>4494</v>
      </c>
      <c r="P252" s="0" t="s">
        <v>3723</v>
      </c>
      <c r="Q252" s="0" t="s">
        <v>227</v>
      </c>
      <c r="R252" s="0" t="b">
        <v>0</v>
      </c>
      <c r="S252" s="0" t="s">
        <v>5005</v>
      </c>
    </row>
    <row customHeight="1" ht="11.25">
      <c r="A253" s="0">
        <v>2655</v>
      </c>
      <c r="B253" s="0" t="s">
        <v>102</v>
      </c>
      <c r="C253" s="0">
        <v>26798812</v>
      </c>
      <c r="D253" s="0" t="s">
        <v>4495</v>
      </c>
      <c r="E253" s="0" t="s">
        <v>4496</v>
      </c>
      <c r="F253" s="0" t="s">
        <v>4497</v>
      </c>
      <c r="G253" s="0" t="s">
        <v>3672</v>
      </c>
      <c r="H253" s="0" t="s">
        <v>4498</v>
      </c>
      <c r="I253" s="0" t="s">
        <v>4499</v>
      </c>
      <c r="J253" s="0" t="s">
        <v>128</v>
      </c>
      <c r="K253" s="0" t="s">
        <v>4500</v>
      </c>
      <c r="L253" s="0" t="s">
        <v>4500</v>
      </c>
      <c r="M253" s="0" t="s">
        <v>4501</v>
      </c>
      <c r="N253" s="0" t="s">
        <v>4502</v>
      </c>
      <c r="O253" s="0" t="s">
        <v>4503</v>
      </c>
      <c r="P253" s="0" t="s">
        <v>3723</v>
      </c>
      <c r="Q253" s="0" t="s">
        <v>4504</v>
      </c>
      <c r="R253" s="0" t="b">
        <v>0</v>
      </c>
      <c r="S253" s="0" t="s">
        <v>5005</v>
      </c>
    </row>
    <row customHeight="1" ht="11.25">
      <c r="A254" s="0">
        <v>2655</v>
      </c>
      <c r="B254" s="0" t="s">
        <v>102</v>
      </c>
      <c r="C254" s="0">
        <v>31775146</v>
      </c>
      <c r="D254" s="0" t="s">
        <v>3953</v>
      </c>
      <c r="E254" s="0" t="s">
        <v>3954</v>
      </c>
      <c r="F254" s="0" t="s">
        <v>3955</v>
      </c>
      <c r="G254" s="0" t="s">
        <v>3956</v>
      </c>
      <c r="H254" s="0" t="s">
        <v>3957</v>
      </c>
      <c r="I254" s="0" t="s">
        <v>3958</v>
      </c>
      <c r="K254" s="0" t="s">
        <v>3959</v>
      </c>
      <c r="L254" s="0" t="s">
        <v>3959</v>
      </c>
      <c r="M254" s="0" t="s">
        <v>3960</v>
      </c>
      <c r="N254" s="0" t="s">
        <v>3961</v>
      </c>
      <c r="O254" s="0" t="s">
        <v>3962</v>
      </c>
      <c r="P254" s="0" t="s">
        <v>3744</v>
      </c>
      <c r="Q254" s="0" t="s">
        <v>227</v>
      </c>
      <c r="R254" s="0" t="b">
        <v>1</v>
      </c>
      <c r="S254" s="0" t="s">
        <v>5005</v>
      </c>
    </row>
    <row customHeight="1" ht="11.25">
      <c r="A255" s="0">
        <v>2655</v>
      </c>
      <c r="B255" s="0" t="s">
        <v>102</v>
      </c>
      <c r="C255" s="0">
        <v>28873685</v>
      </c>
      <c r="D255" s="0" t="s">
        <v>4505</v>
      </c>
      <c r="E255" s="0" t="s">
        <v>4506</v>
      </c>
      <c r="F255" s="0" t="s">
        <v>4507</v>
      </c>
      <c r="G255" s="0" t="s">
        <v>3956</v>
      </c>
      <c r="H255" s="0" t="s">
        <v>4508</v>
      </c>
      <c r="I255" s="0" t="s">
        <v>4509</v>
      </c>
      <c r="J255" s="0" t="s">
        <v>128</v>
      </c>
      <c r="K255" s="0" t="s">
        <v>4510</v>
      </c>
      <c r="L255" s="0" t="s">
        <v>4510</v>
      </c>
      <c r="M255" s="0" t="s">
        <v>4511</v>
      </c>
      <c r="N255" s="0" t="s">
        <v>3961</v>
      </c>
      <c r="O255" s="0" t="s">
        <v>3962</v>
      </c>
      <c r="P255" s="0" t="s">
        <v>3723</v>
      </c>
      <c r="Q255" s="0" t="s">
        <v>4512</v>
      </c>
      <c r="R255" s="0" t="b">
        <v>1</v>
      </c>
      <c r="S255" s="0" t="s">
        <v>5005</v>
      </c>
    </row>
    <row customHeight="1" ht="11.25">
      <c r="A256" s="0">
        <v>2655</v>
      </c>
      <c r="B256" s="0" t="s">
        <v>102</v>
      </c>
      <c r="C256" s="0">
        <v>28869965</v>
      </c>
      <c r="D256" s="0" t="s">
        <v>3963</v>
      </c>
      <c r="E256" s="0" t="s">
        <v>3964</v>
      </c>
      <c r="F256" s="0" t="s">
        <v>3965</v>
      </c>
      <c r="G256" s="0" t="s">
        <v>3773</v>
      </c>
      <c r="H256" s="0" t="s">
        <v>3966</v>
      </c>
      <c r="I256" s="0" t="s">
        <v>227</v>
      </c>
      <c r="J256" s="0" t="s">
        <v>128</v>
      </c>
      <c r="K256" s="0" t="s">
        <v>3967</v>
      </c>
      <c r="L256" s="0" t="s">
        <v>3967</v>
      </c>
      <c r="M256" s="0" t="s">
        <v>3968</v>
      </c>
      <c r="N256" s="0" t="s">
        <v>3969</v>
      </c>
      <c r="O256" s="0" t="s">
        <v>3970</v>
      </c>
      <c r="P256" s="0" t="s">
        <v>3723</v>
      </c>
      <c r="Q256" s="0" t="s">
        <v>3971</v>
      </c>
      <c r="R256" s="0" t="b">
        <v>0</v>
      </c>
      <c r="S256" s="0" t="s">
        <v>5005</v>
      </c>
    </row>
    <row customHeight="1" ht="11.25">
      <c r="A257" s="0">
        <v>2655</v>
      </c>
      <c r="B257" s="0" t="s">
        <v>102</v>
      </c>
      <c r="C257" s="0">
        <v>31245446</v>
      </c>
      <c r="D257" s="0" t="s">
        <v>4513</v>
      </c>
      <c r="E257" s="0" t="s">
        <v>4514</v>
      </c>
      <c r="F257" s="0" t="s">
        <v>4515</v>
      </c>
      <c r="G257" s="0" t="s">
        <v>4516</v>
      </c>
      <c r="H257" s="0" t="s">
        <v>4517</v>
      </c>
      <c r="I257" s="0" t="s">
        <v>4518</v>
      </c>
      <c r="J257" s="0" t="s">
        <v>128</v>
      </c>
      <c r="K257" s="0" t="s">
        <v>4519</v>
      </c>
      <c r="L257" s="0" t="s">
        <v>4520</v>
      </c>
      <c r="M257" s="0" t="s">
        <v>4521</v>
      </c>
      <c r="N257" s="0" t="s">
        <v>4522</v>
      </c>
      <c r="O257" s="0" t="s">
        <v>4523</v>
      </c>
      <c r="P257" s="0" t="s">
        <v>145</v>
      </c>
      <c r="Q257" s="0" t="s">
        <v>227</v>
      </c>
      <c r="R257" s="0" t="b">
        <v>0</v>
      </c>
      <c r="S257" s="0" t="s">
        <v>5005</v>
      </c>
    </row>
    <row customHeight="1" ht="11.25">
      <c r="A258" s="0">
        <v>2655</v>
      </c>
      <c r="B258" s="0" t="s">
        <v>102</v>
      </c>
      <c r="C258" s="0">
        <v>26476793</v>
      </c>
      <c r="D258" s="0" t="s">
        <v>4524</v>
      </c>
      <c r="E258" s="0" t="s">
        <v>4525</v>
      </c>
      <c r="F258" s="0" t="s">
        <v>4526</v>
      </c>
      <c r="G258" s="0" t="s">
        <v>4422</v>
      </c>
      <c r="H258" s="0" t="s">
        <v>4527</v>
      </c>
      <c r="I258" s="0" t="s">
        <v>4528</v>
      </c>
      <c r="J258" s="0" t="s">
        <v>128</v>
      </c>
      <c r="K258" s="0" t="s">
        <v>4529</v>
      </c>
      <c r="L258" s="0" t="s">
        <v>4529</v>
      </c>
      <c r="M258" s="0" t="s">
        <v>4530</v>
      </c>
      <c r="N258" s="0" t="s">
        <v>4531</v>
      </c>
      <c r="O258" s="0" t="s">
        <v>4532</v>
      </c>
      <c r="P258" s="0" t="s">
        <v>145</v>
      </c>
      <c r="Q258" s="0" t="s">
        <v>152</v>
      </c>
      <c r="R258" s="0" t="b">
        <v>1</v>
      </c>
      <c r="S258" s="0" t="s">
        <v>5005</v>
      </c>
    </row>
    <row customHeight="1" ht="11.25">
      <c r="A259" s="0">
        <v>2655</v>
      </c>
      <c r="B259" s="0" t="s">
        <v>102</v>
      </c>
      <c r="C259" s="0">
        <v>28509720</v>
      </c>
      <c r="D259" s="0" t="s">
        <v>4533</v>
      </c>
      <c r="E259" s="0" t="s">
        <v>4534</v>
      </c>
      <c r="F259" s="0" t="s">
        <v>4535</v>
      </c>
      <c r="G259" s="0" t="s">
        <v>4536</v>
      </c>
      <c r="H259" s="0" t="s">
        <v>4537</v>
      </c>
      <c r="I259" s="0" t="s">
        <v>4538</v>
      </c>
      <c r="J259" s="0" t="s">
        <v>128</v>
      </c>
      <c r="K259" s="0" t="s">
        <v>4539</v>
      </c>
      <c r="L259" s="0" t="s">
        <v>4540</v>
      </c>
      <c r="M259" s="0" t="s">
        <v>4541</v>
      </c>
      <c r="N259" s="0" t="s">
        <v>227</v>
      </c>
      <c r="O259" s="0" t="s">
        <v>4542</v>
      </c>
      <c r="P259" s="0" t="s">
        <v>3723</v>
      </c>
      <c r="Q259" s="0" t="s">
        <v>227</v>
      </c>
      <c r="R259" s="0" t="b">
        <v>0</v>
      </c>
      <c r="S259" s="0" t="s">
        <v>5005</v>
      </c>
    </row>
    <row customHeight="1" ht="11.25">
      <c r="A260" s="0">
        <v>2655</v>
      </c>
      <c r="B260" s="0" t="s">
        <v>102</v>
      </c>
      <c r="C260" s="0">
        <v>31527562</v>
      </c>
      <c r="D260" s="0" t="s">
        <v>4543</v>
      </c>
      <c r="E260" s="0" t="s">
        <v>4544</v>
      </c>
      <c r="F260" s="0" t="s">
        <v>4545</v>
      </c>
      <c r="G260" s="0" t="s">
        <v>4546</v>
      </c>
      <c r="H260" s="0" t="s">
        <v>4547</v>
      </c>
      <c r="I260" s="0" t="s">
        <v>4548</v>
      </c>
      <c r="K260" s="0" t="s">
        <v>4549</v>
      </c>
      <c r="L260" s="0" t="s">
        <v>4550</v>
      </c>
      <c r="M260" s="0" t="s">
        <v>227</v>
      </c>
      <c r="N260" s="0" t="s">
        <v>227</v>
      </c>
      <c r="O260" s="0" t="s">
        <v>4551</v>
      </c>
      <c r="P260" s="0" t="s">
        <v>227</v>
      </c>
      <c r="Q260" s="0" t="s">
        <v>227</v>
      </c>
      <c r="R260" s="0" t="b">
        <v>0</v>
      </c>
      <c r="S260" s="0" t="s">
        <v>5005</v>
      </c>
    </row>
    <row customHeight="1" ht="11.25">
      <c r="A261" s="0">
        <v>2655</v>
      </c>
      <c r="B261" s="0" t="s">
        <v>102</v>
      </c>
      <c r="C261" s="0">
        <v>31874557</v>
      </c>
      <c r="D261" s="0" t="s">
        <v>4552</v>
      </c>
      <c r="E261" s="0" t="s">
        <v>4553</v>
      </c>
      <c r="F261" s="0" t="s">
        <v>4554</v>
      </c>
      <c r="G261" s="0" t="s">
        <v>3899</v>
      </c>
      <c r="H261" s="0" t="s">
        <v>4555</v>
      </c>
      <c r="I261" s="0" t="s">
        <v>4556</v>
      </c>
      <c r="K261" s="0" t="s">
        <v>4557</v>
      </c>
      <c r="L261" s="0" t="s">
        <v>4557</v>
      </c>
      <c r="M261" s="0" t="s">
        <v>4558</v>
      </c>
      <c r="N261" s="0" t="s">
        <v>4559</v>
      </c>
      <c r="O261" s="0" t="s">
        <v>4560</v>
      </c>
      <c r="P261" s="0" t="s">
        <v>3723</v>
      </c>
      <c r="Q261" s="0" t="s">
        <v>227</v>
      </c>
      <c r="R261" s="0" t="b">
        <v>1</v>
      </c>
      <c r="S261" s="0" t="s">
        <v>5005</v>
      </c>
    </row>
    <row customHeight="1" ht="11.25">
      <c r="A262" s="0">
        <v>2655</v>
      </c>
      <c r="B262" s="0" t="s">
        <v>102</v>
      </c>
      <c r="C262" s="0">
        <v>31656254</v>
      </c>
      <c r="D262" s="0" t="s">
        <v>4001</v>
      </c>
      <c r="E262" s="0" t="s">
        <v>4002</v>
      </c>
      <c r="F262" s="0" t="s">
        <v>4003</v>
      </c>
      <c r="G262" s="0" t="s">
        <v>4004</v>
      </c>
      <c r="H262" s="0" t="s">
        <v>4005</v>
      </c>
      <c r="I262" s="0" t="s">
        <v>4006</v>
      </c>
      <c r="K262" s="0" t="s">
        <v>4007</v>
      </c>
      <c r="L262" s="0" t="s">
        <v>4008</v>
      </c>
      <c r="M262" s="0" t="s">
        <v>4009</v>
      </c>
      <c r="N262" s="0" t="s">
        <v>4010</v>
      </c>
      <c r="O262" s="0" t="s">
        <v>4011</v>
      </c>
      <c r="P262" s="0" t="s">
        <v>145</v>
      </c>
      <c r="Q262" s="0" t="s">
        <v>4012</v>
      </c>
      <c r="R262" s="0" t="b">
        <v>0</v>
      </c>
      <c r="S262" s="0" t="s">
        <v>5005</v>
      </c>
    </row>
    <row customHeight="1" ht="11.25">
      <c r="A263" s="0">
        <v>2655</v>
      </c>
      <c r="B263" s="0" t="s">
        <v>102</v>
      </c>
      <c r="C263" s="0">
        <v>26356927</v>
      </c>
      <c r="D263" s="0" t="s">
        <v>4561</v>
      </c>
      <c r="E263" s="0" t="s">
        <v>4562</v>
      </c>
      <c r="F263" s="0" t="s">
        <v>4563</v>
      </c>
      <c r="G263" s="0" t="s">
        <v>3956</v>
      </c>
      <c r="H263" s="0" t="s">
        <v>4564</v>
      </c>
      <c r="I263" s="0" t="s">
        <v>4565</v>
      </c>
      <c r="J263" s="0" t="s">
        <v>128</v>
      </c>
      <c r="K263" s="0" t="s">
        <v>4566</v>
      </c>
      <c r="L263" s="0" t="s">
        <v>4566</v>
      </c>
      <c r="M263" s="0" t="s">
        <v>4567</v>
      </c>
      <c r="N263" s="0" t="s">
        <v>4568</v>
      </c>
      <c r="O263" s="0" t="s">
        <v>4569</v>
      </c>
      <c r="P263" s="0" t="s">
        <v>3744</v>
      </c>
      <c r="Q263" s="0" t="s">
        <v>227</v>
      </c>
      <c r="R263" s="0" t="b">
        <v>1</v>
      </c>
      <c r="S263" s="0" t="s">
        <v>5005</v>
      </c>
    </row>
    <row customHeight="1" ht="11.25">
      <c r="A264" s="0">
        <v>2655</v>
      </c>
      <c r="B264" s="0" t="s">
        <v>102</v>
      </c>
      <c r="C264" s="0">
        <v>28878273</v>
      </c>
      <c r="D264" s="0" t="s">
        <v>4570</v>
      </c>
      <c r="E264" s="0" t="s">
        <v>4571</v>
      </c>
      <c r="F264" s="0" t="s">
        <v>4572</v>
      </c>
      <c r="G264" s="0" t="s">
        <v>3659</v>
      </c>
      <c r="H264" s="0" t="s">
        <v>4573</v>
      </c>
      <c r="I264" s="0" t="s">
        <v>227</v>
      </c>
      <c r="J264" s="0" t="s">
        <v>128</v>
      </c>
      <c r="K264" s="0" t="s">
        <v>4574</v>
      </c>
      <c r="L264" s="0" t="s">
        <v>4575</v>
      </c>
      <c r="M264" s="0" t="s">
        <v>4576</v>
      </c>
      <c r="N264" s="0" t="s">
        <v>4577</v>
      </c>
      <c r="O264" s="0" t="s">
        <v>4578</v>
      </c>
      <c r="P264" s="0" t="s">
        <v>3723</v>
      </c>
      <c r="Q264" s="0" t="s">
        <v>4579</v>
      </c>
      <c r="R264" s="0" t="b">
        <v>0</v>
      </c>
      <c r="S264" s="0" t="s">
        <v>5005</v>
      </c>
    </row>
    <row customHeight="1" ht="11.25">
      <c r="A265" s="0">
        <v>2655</v>
      </c>
      <c r="B265" s="0" t="s">
        <v>102</v>
      </c>
      <c r="C265" s="0">
        <v>26562805</v>
      </c>
      <c r="D265" s="0" t="s">
        <v>4580</v>
      </c>
      <c r="E265" s="0" t="s">
        <v>4581</v>
      </c>
      <c r="F265" s="0" t="s">
        <v>4582</v>
      </c>
      <c r="G265" s="0" t="s">
        <v>3869</v>
      </c>
      <c r="H265" s="0" t="s">
        <v>4583</v>
      </c>
      <c r="I265" s="0" t="s">
        <v>4584</v>
      </c>
      <c r="J265" s="0" t="s">
        <v>128</v>
      </c>
      <c r="K265" s="0" t="s">
        <v>4585</v>
      </c>
      <c r="L265" s="0" t="s">
        <v>4585</v>
      </c>
      <c r="M265" s="0" t="s">
        <v>4586</v>
      </c>
      <c r="N265" s="0" t="s">
        <v>4587</v>
      </c>
      <c r="O265" s="0" t="s">
        <v>4588</v>
      </c>
      <c r="P265" s="0" t="s">
        <v>145</v>
      </c>
      <c r="Q265" s="0" t="s">
        <v>4589</v>
      </c>
      <c r="R265" s="0" t="b">
        <v>0</v>
      </c>
      <c r="S265" s="0" t="s">
        <v>5005</v>
      </c>
    </row>
    <row customHeight="1" ht="11.25">
      <c r="A266" s="0">
        <v>2655</v>
      </c>
      <c r="B266" s="0" t="s">
        <v>102</v>
      </c>
      <c r="C266" s="0">
        <v>31684090</v>
      </c>
      <c r="D266" s="0" t="s">
        <v>4590</v>
      </c>
      <c r="E266" s="0" t="s">
        <v>4591</v>
      </c>
      <c r="F266" s="0" t="s">
        <v>4592</v>
      </c>
      <c r="G266" s="0" t="s">
        <v>3659</v>
      </c>
      <c r="H266" s="0" t="s">
        <v>4593</v>
      </c>
      <c r="I266" s="0" t="s">
        <v>4594</v>
      </c>
      <c r="K266" s="0" t="s">
        <v>4595</v>
      </c>
      <c r="L266" s="0" t="s">
        <v>4596</v>
      </c>
      <c r="M266" s="0" t="s">
        <v>227</v>
      </c>
      <c r="N266" s="0" t="s">
        <v>227</v>
      </c>
      <c r="O266" s="0" t="s">
        <v>4597</v>
      </c>
      <c r="P266" s="0" t="s">
        <v>3667</v>
      </c>
      <c r="Q266" s="0" t="s">
        <v>4598</v>
      </c>
      <c r="R266" s="0" t="b">
        <v>0</v>
      </c>
      <c r="S266" s="0" t="s">
        <v>5005</v>
      </c>
    </row>
    <row customHeight="1" ht="11.25">
      <c r="A267" s="0">
        <v>2655</v>
      </c>
      <c r="B267" s="0" t="s">
        <v>102</v>
      </c>
      <c r="C267" s="0">
        <v>27997588</v>
      </c>
      <c r="D267" s="0" t="s">
        <v>4599</v>
      </c>
      <c r="E267" s="0" t="s">
        <v>4600</v>
      </c>
      <c r="F267" s="0" t="s">
        <v>4601</v>
      </c>
      <c r="G267" s="0" t="s">
        <v>3773</v>
      </c>
      <c r="H267" s="0" t="s">
        <v>4602</v>
      </c>
      <c r="I267" s="0" t="s">
        <v>4603</v>
      </c>
      <c r="J267" s="0" t="s">
        <v>128</v>
      </c>
      <c r="K267" s="0" t="s">
        <v>4604</v>
      </c>
      <c r="L267" s="0" t="s">
        <v>4604</v>
      </c>
      <c r="M267" s="0" t="s">
        <v>4605</v>
      </c>
      <c r="N267" s="0" t="s">
        <v>4606</v>
      </c>
      <c r="O267" s="0" t="s">
        <v>4607</v>
      </c>
      <c r="P267" s="0" t="s">
        <v>4608</v>
      </c>
      <c r="Q267" s="0" t="s">
        <v>227</v>
      </c>
      <c r="R267" s="0" t="b">
        <v>0</v>
      </c>
      <c r="S267" s="0" t="s">
        <v>5005</v>
      </c>
    </row>
    <row customHeight="1" ht="11.25">
      <c r="A268" s="0">
        <v>2655</v>
      </c>
      <c r="B268" s="0" t="s">
        <v>102</v>
      </c>
      <c r="C268" s="0">
        <v>28882034</v>
      </c>
      <c r="D268" s="0" t="s">
        <v>4609</v>
      </c>
      <c r="E268" s="0" t="s">
        <v>4610</v>
      </c>
      <c r="F268" s="0" t="s">
        <v>4611</v>
      </c>
      <c r="G268" s="0" t="s">
        <v>3659</v>
      </c>
      <c r="H268" s="0" t="s">
        <v>4612</v>
      </c>
      <c r="I268" s="0" t="s">
        <v>227</v>
      </c>
      <c r="J268" s="0" t="s">
        <v>128</v>
      </c>
      <c r="K268" s="0" t="s">
        <v>4613</v>
      </c>
      <c r="L268" s="0" t="s">
        <v>4613</v>
      </c>
      <c r="M268" s="0" t="s">
        <v>227</v>
      </c>
      <c r="N268" s="0" t="s">
        <v>227</v>
      </c>
      <c r="O268" s="0" t="s">
        <v>4614</v>
      </c>
      <c r="P268" s="0" t="s">
        <v>145</v>
      </c>
      <c r="Q268" s="0" t="s">
        <v>227</v>
      </c>
      <c r="R268" s="0" t="b">
        <v>0</v>
      </c>
      <c r="S268" s="0" t="s">
        <v>5005</v>
      </c>
    </row>
    <row customHeight="1" ht="11.25">
      <c r="A269" s="0">
        <v>2655</v>
      </c>
      <c r="B269" s="0" t="s">
        <v>102</v>
      </c>
      <c r="C269" s="0">
        <v>26648537</v>
      </c>
      <c r="D269" s="0" t="s">
        <v>4615</v>
      </c>
      <c r="E269" s="0" t="s">
        <v>4616</v>
      </c>
      <c r="F269" s="0" t="s">
        <v>4617</v>
      </c>
      <c r="G269" s="0" t="s">
        <v>3659</v>
      </c>
      <c r="H269" s="0" t="s">
        <v>4618</v>
      </c>
      <c r="I269" s="0" t="s">
        <v>4619</v>
      </c>
      <c r="J269" s="0" t="s">
        <v>128</v>
      </c>
      <c r="K269" s="0" t="s">
        <v>4620</v>
      </c>
      <c r="L269" s="0" t="s">
        <v>4620</v>
      </c>
      <c r="M269" s="0" t="s">
        <v>4621</v>
      </c>
      <c r="N269" s="0" t="s">
        <v>4622</v>
      </c>
      <c r="O269" s="0" t="s">
        <v>4623</v>
      </c>
      <c r="P269" s="0" t="s">
        <v>145</v>
      </c>
      <c r="Q269" s="0" t="s">
        <v>4624</v>
      </c>
      <c r="R269" s="0" t="b">
        <v>0</v>
      </c>
      <c r="S269" s="0" t="s">
        <v>5005</v>
      </c>
    </row>
    <row customHeight="1" ht="11.25">
      <c r="A270" s="0">
        <v>2655</v>
      </c>
      <c r="B270" s="0" t="s">
        <v>102</v>
      </c>
      <c r="C270" s="0">
        <v>31519209</v>
      </c>
      <c r="D270" s="0" t="s">
        <v>4625</v>
      </c>
      <c r="E270" s="0" t="s">
        <v>4626</v>
      </c>
      <c r="F270" s="0" t="s">
        <v>4627</v>
      </c>
      <c r="G270" s="0" t="s">
        <v>3956</v>
      </c>
      <c r="H270" s="0" t="s">
        <v>4628</v>
      </c>
      <c r="I270" s="0" t="s">
        <v>4629</v>
      </c>
      <c r="J270" s="0" t="s">
        <v>128</v>
      </c>
      <c r="K270" s="0" t="s">
        <v>4630</v>
      </c>
      <c r="L270" s="0" t="s">
        <v>4631</v>
      </c>
      <c r="M270" s="0" t="s">
        <v>4632</v>
      </c>
      <c r="N270" s="0" t="s">
        <v>4633</v>
      </c>
      <c r="O270" s="0" t="s">
        <v>4634</v>
      </c>
      <c r="P270" s="0" t="s">
        <v>3667</v>
      </c>
      <c r="Q270" s="0" t="s">
        <v>227</v>
      </c>
      <c r="R270" s="0" t="b">
        <v>0</v>
      </c>
      <c r="S270" s="0" t="s">
        <v>5005</v>
      </c>
    </row>
    <row customHeight="1" ht="11.25">
      <c r="A271" s="0">
        <v>2655</v>
      </c>
      <c r="B271" s="0" t="s">
        <v>102</v>
      </c>
      <c r="C271" s="0">
        <v>31574053</v>
      </c>
      <c r="D271" s="0" t="s">
        <v>4635</v>
      </c>
      <c r="E271" s="0" t="s">
        <v>4636</v>
      </c>
      <c r="F271" s="0" t="s">
        <v>4637</v>
      </c>
      <c r="G271" s="0" t="s">
        <v>3899</v>
      </c>
      <c r="H271" s="0" t="s">
        <v>4638</v>
      </c>
      <c r="I271" s="0" t="s">
        <v>4639</v>
      </c>
      <c r="K271" s="0" t="s">
        <v>4640</v>
      </c>
      <c r="L271" s="0" t="s">
        <v>4640</v>
      </c>
      <c r="M271" s="0" t="s">
        <v>4641</v>
      </c>
      <c r="N271" s="0" t="s">
        <v>4642</v>
      </c>
      <c r="O271" s="0" t="s">
        <v>4643</v>
      </c>
      <c r="P271" s="0" t="s">
        <v>145</v>
      </c>
      <c r="Q271" s="0" t="s">
        <v>227</v>
      </c>
      <c r="R271" s="0" t="b">
        <v>0</v>
      </c>
      <c r="S271" s="0" t="s">
        <v>5005</v>
      </c>
    </row>
    <row customHeight="1" ht="11.25">
      <c r="A272" s="0">
        <v>2655</v>
      </c>
      <c r="B272" s="0" t="s">
        <v>102</v>
      </c>
      <c r="C272" s="0">
        <v>28141951</v>
      </c>
      <c r="D272" s="0" t="s">
        <v>4644</v>
      </c>
      <c r="E272" s="0" t="s">
        <v>4645</v>
      </c>
      <c r="F272" s="0" t="s">
        <v>4646</v>
      </c>
      <c r="G272" s="0" t="s">
        <v>3682</v>
      </c>
      <c r="H272" s="0" t="s">
        <v>4647</v>
      </c>
      <c r="I272" s="0" t="s">
        <v>4648</v>
      </c>
      <c r="J272" s="0" t="s">
        <v>128</v>
      </c>
      <c r="K272" s="0" t="s">
        <v>4649</v>
      </c>
      <c r="L272" s="0" t="s">
        <v>4649</v>
      </c>
      <c r="M272" s="0" t="s">
        <v>4650</v>
      </c>
      <c r="N272" s="0" t="s">
        <v>4651</v>
      </c>
      <c r="O272" s="0" t="s">
        <v>4652</v>
      </c>
      <c r="P272" s="0" t="s">
        <v>3723</v>
      </c>
      <c r="Q272" s="0" t="s">
        <v>4653</v>
      </c>
      <c r="R272" s="0" t="b">
        <v>0</v>
      </c>
      <c r="S272" s="0" t="s">
        <v>5005</v>
      </c>
    </row>
    <row customHeight="1" ht="11.25">
      <c r="A273" s="0">
        <v>2655</v>
      </c>
      <c r="B273" s="0" t="s">
        <v>102</v>
      </c>
      <c r="C273" s="0">
        <v>26852793</v>
      </c>
      <c r="D273" s="0" t="s">
        <v>4654</v>
      </c>
      <c r="E273" s="0" t="s">
        <v>4655</v>
      </c>
      <c r="F273" s="0" t="s">
        <v>4656</v>
      </c>
      <c r="G273" s="0" t="s">
        <v>3899</v>
      </c>
      <c r="H273" s="0" t="s">
        <v>4657</v>
      </c>
      <c r="I273" s="0" t="s">
        <v>4658</v>
      </c>
      <c r="J273" s="0" t="s">
        <v>128</v>
      </c>
      <c r="K273" s="0" t="s">
        <v>4344</v>
      </c>
      <c r="L273" s="0" t="s">
        <v>4344</v>
      </c>
      <c r="M273" s="0" t="s">
        <v>4659</v>
      </c>
      <c r="N273" s="0" t="s">
        <v>4660</v>
      </c>
      <c r="O273" s="0" t="s">
        <v>4661</v>
      </c>
      <c r="P273" s="0" t="s">
        <v>3723</v>
      </c>
      <c r="Q273" s="0" t="s">
        <v>152</v>
      </c>
      <c r="R273" s="0" t="b">
        <v>0</v>
      </c>
      <c r="S273" s="0" t="s">
        <v>5005</v>
      </c>
    </row>
    <row customHeight="1" ht="11.25">
      <c r="A274" s="0">
        <v>2655</v>
      </c>
      <c r="B274" s="0" t="s">
        <v>102</v>
      </c>
      <c r="C274" s="0">
        <v>28141966</v>
      </c>
      <c r="D274" s="0" t="s">
        <v>4662</v>
      </c>
      <c r="E274" s="0" t="s">
        <v>4663</v>
      </c>
      <c r="F274" s="0" t="s">
        <v>4664</v>
      </c>
      <c r="G274" s="0" t="s">
        <v>3773</v>
      </c>
      <c r="H274" s="0" t="s">
        <v>4665</v>
      </c>
      <c r="I274" s="0" t="s">
        <v>4666</v>
      </c>
      <c r="J274" s="0" t="s">
        <v>128</v>
      </c>
      <c r="K274" s="0" t="s">
        <v>4667</v>
      </c>
      <c r="L274" s="0" t="s">
        <v>4668</v>
      </c>
      <c r="M274" s="0" t="s">
        <v>4669</v>
      </c>
      <c r="N274" s="0" t="s">
        <v>4670</v>
      </c>
      <c r="O274" s="0" t="s">
        <v>4671</v>
      </c>
      <c r="P274" s="0" t="s">
        <v>3723</v>
      </c>
      <c r="Q274" s="0" t="s">
        <v>4672</v>
      </c>
      <c r="R274" s="0" t="b">
        <v>0</v>
      </c>
      <c r="S274" s="0" t="s">
        <v>5005</v>
      </c>
    </row>
    <row customHeight="1" ht="11.25">
      <c r="A275" s="0">
        <v>2655</v>
      </c>
      <c r="B275" s="0" t="s">
        <v>102</v>
      </c>
      <c r="C275" s="0">
        <v>31424033</v>
      </c>
      <c r="D275" s="0" t="s">
        <v>4013</v>
      </c>
      <c r="E275" s="0" t="s">
        <v>4014</v>
      </c>
      <c r="F275" s="0" t="s">
        <v>4015</v>
      </c>
      <c r="G275" s="0" t="s">
        <v>4016</v>
      </c>
      <c r="H275" s="0" t="s">
        <v>4017</v>
      </c>
      <c r="I275" s="0" t="s">
        <v>227</v>
      </c>
      <c r="J275" s="0" t="s">
        <v>128</v>
      </c>
      <c r="K275" s="0" t="s">
        <v>227</v>
      </c>
      <c r="L275" s="0" t="s">
        <v>227</v>
      </c>
      <c r="M275" s="0" t="s">
        <v>227</v>
      </c>
      <c r="N275" s="0" t="s">
        <v>227</v>
      </c>
      <c r="O275" s="0" t="s">
        <v>227</v>
      </c>
      <c r="P275" s="0" t="s">
        <v>227</v>
      </c>
      <c r="Q275" s="0" t="s">
        <v>227</v>
      </c>
      <c r="R275" s="0" t="b">
        <v>0</v>
      </c>
      <c r="S275" s="0" t="s">
        <v>5005</v>
      </c>
    </row>
    <row customHeight="1" ht="11.25">
      <c r="A276" s="0">
        <v>2655</v>
      </c>
      <c r="B276" s="0" t="s">
        <v>102</v>
      </c>
      <c r="C276" s="0">
        <v>27838991</v>
      </c>
      <c r="D276" s="0" t="s">
        <v>4311</v>
      </c>
      <c r="E276" s="0" t="s">
        <v>4312</v>
      </c>
      <c r="F276" s="0" t="s">
        <v>4313</v>
      </c>
      <c r="G276" s="0" t="s">
        <v>3682</v>
      </c>
      <c r="H276" s="0" t="s">
        <v>4314</v>
      </c>
      <c r="I276" s="0" t="s">
        <v>4315</v>
      </c>
      <c r="J276" s="0" t="s">
        <v>128</v>
      </c>
      <c r="K276" s="0" t="s">
        <v>4316</v>
      </c>
      <c r="L276" s="0" t="s">
        <v>4317</v>
      </c>
      <c r="M276" s="0" t="s">
        <v>4318</v>
      </c>
      <c r="N276" s="0" t="s">
        <v>4319</v>
      </c>
      <c r="O276" s="0" t="s">
        <v>4320</v>
      </c>
      <c r="P276" s="0" t="s">
        <v>3723</v>
      </c>
      <c r="Q276" s="0" t="s">
        <v>227</v>
      </c>
      <c r="R276" s="0" t="b">
        <v>0</v>
      </c>
      <c r="S276" s="0" t="s">
        <v>5005</v>
      </c>
    </row>
    <row customHeight="1" ht="11.25">
      <c r="A277" s="0">
        <v>2655</v>
      </c>
      <c r="B277" s="0" t="s">
        <v>102</v>
      </c>
      <c r="C277" s="0">
        <v>26356931</v>
      </c>
      <c r="D277" s="0" t="s">
        <v>4673</v>
      </c>
      <c r="E277" s="0" t="s">
        <v>4674</v>
      </c>
      <c r="F277" s="0" t="s">
        <v>4675</v>
      </c>
      <c r="G277" s="0" t="s">
        <v>3956</v>
      </c>
      <c r="H277" s="0" t="s">
        <v>4676</v>
      </c>
      <c r="I277" s="0" t="s">
        <v>4677</v>
      </c>
      <c r="J277" s="0" t="s">
        <v>128</v>
      </c>
      <c r="K277" s="0" t="s">
        <v>4678</v>
      </c>
      <c r="L277" s="0" t="s">
        <v>4678</v>
      </c>
      <c r="M277" s="0" t="s">
        <v>4679</v>
      </c>
      <c r="N277" s="0" t="s">
        <v>4680</v>
      </c>
      <c r="O277" s="0" t="s">
        <v>4681</v>
      </c>
      <c r="P277" s="0" t="s">
        <v>145</v>
      </c>
      <c r="Q277" s="0" t="s">
        <v>152</v>
      </c>
      <c r="R277" s="0" t="b">
        <v>1</v>
      </c>
      <c r="S277" s="0" t="s">
        <v>5005</v>
      </c>
    </row>
    <row customHeight="1" ht="11.25">
      <c r="A278" s="0">
        <v>2655</v>
      </c>
      <c r="B278" s="0" t="s">
        <v>102</v>
      </c>
      <c r="C278" s="0">
        <v>28151808</v>
      </c>
      <c r="D278" s="0" t="s">
        <v>4027</v>
      </c>
      <c r="E278" s="0" t="s">
        <v>4028</v>
      </c>
      <c r="F278" s="0" t="s">
        <v>4029</v>
      </c>
      <c r="G278" s="0" t="s">
        <v>3727</v>
      </c>
      <c r="H278" s="0" t="s">
        <v>4030</v>
      </c>
      <c r="I278" s="0" t="s">
        <v>4031</v>
      </c>
      <c r="J278" s="0" t="s">
        <v>128</v>
      </c>
      <c r="K278" s="0" t="s">
        <v>4032</v>
      </c>
      <c r="L278" s="0" t="s">
        <v>4033</v>
      </c>
      <c r="M278" s="0" t="s">
        <v>4034</v>
      </c>
      <c r="N278" s="0" t="s">
        <v>4035</v>
      </c>
      <c r="O278" s="0" t="s">
        <v>4036</v>
      </c>
      <c r="P278" s="0" t="s">
        <v>3723</v>
      </c>
      <c r="Q278" s="0" t="s">
        <v>227</v>
      </c>
      <c r="R278" s="0" t="b">
        <v>1</v>
      </c>
      <c r="S278" s="0" t="s">
        <v>5005</v>
      </c>
    </row>
    <row customHeight="1" ht="11.25">
      <c r="A279" s="0">
        <v>2655</v>
      </c>
      <c r="B279" s="0" t="s">
        <v>102</v>
      </c>
      <c r="C279" s="0">
        <v>31739633</v>
      </c>
      <c r="D279" s="0" t="s">
        <v>4037</v>
      </c>
      <c r="E279" s="0" t="s">
        <v>4038</v>
      </c>
      <c r="F279" s="0" t="s">
        <v>4039</v>
      </c>
      <c r="G279" s="0" t="s">
        <v>4040</v>
      </c>
      <c r="H279" s="0" t="s">
        <v>4041</v>
      </c>
      <c r="I279" s="0" t="s">
        <v>4042</v>
      </c>
      <c r="K279" s="0" t="s">
        <v>4043</v>
      </c>
      <c r="L279" s="0" t="s">
        <v>4043</v>
      </c>
      <c r="M279" s="0" t="s">
        <v>4044</v>
      </c>
      <c r="N279" s="0" t="s">
        <v>4045</v>
      </c>
      <c r="O279" s="0" t="s">
        <v>4046</v>
      </c>
      <c r="P279" s="0" t="s">
        <v>3744</v>
      </c>
      <c r="Q279" s="0" t="s">
        <v>227</v>
      </c>
      <c r="R279" s="0" t="b">
        <v>0</v>
      </c>
      <c r="S279" s="0" t="s">
        <v>5005</v>
      </c>
    </row>
    <row customHeight="1" ht="11.25">
      <c r="A280" s="0">
        <v>2655</v>
      </c>
      <c r="B280" s="0" t="s">
        <v>102</v>
      </c>
      <c r="C280" s="0">
        <v>30433806</v>
      </c>
      <c r="D280" s="0" t="s">
        <v>4682</v>
      </c>
      <c r="E280" s="0" t="s">
        <v>4683</v>
      </c>
      <c r="F280" s="0" t="s">
        <v>4684</v>
      </c>
      <c r="G280" s="0" t="s">
        <v>3869</v>
      </c>
      <c r="H280" s="0" t="s">
        <v>4685</v>
      </c>
      <c r="I280" s="0" t="s">
        <v>4686</v>
      </c>
      <c r="J280" s="0" t="s">
        <v>128</v>
      </c>
      <c r="K280" s="0" t="s">
        <v>4687</v>
      </c>
      <c r="L280" s="0" t="s">
        <v>4687</v>
      </c>
      <c r="M280" s="0" t="s">
        <v>4688</v>
      </c>
      <c r="N280" s="0" t="s">
        <v>4689</v>
      </c>
      <c r="O280" s="0" t="s">
        <v>4690</v>
      </c>
      <c r="P280" s="0" t="s">
        <v>145</v>
      </c>
      <c r="Q280" s="0" t="s">
        <v>152</v>
      </c>
      <c r="R280" s="0" t="b">
        <v>0</v>
      </c>
      <c r="S280" s="0" t="s">
        <v>5005</v>
      </c>
    </row>
    <row customHeight="1" ht="11.25">
      <c r="A281" s="0">
        <v>2655</v>
      </c>
      <c r="B281" s="0" t="s">
        <v>102</v>
      </c>
      <c r="C281" s="0">
        <v>31743966</v>
      </c>
      <c r="D281" s="0" t="s">
        <v>4691</v>
      </c>
      <c r="E281" s="0" t="s">
        <v>4692</v>
      </c>
      <c r="F281" s="0" t="s">
        <v>4693</v>
      </c>
      <c r="G281" s="0" t="s">
        <v>3659</v>
      </c>
      <c r="H281" s="0" t="s">
        <v>4694</v>
      </c>
      <c r="I281" s="0" t="s">
        <v>4695</v>
      </c>
      <c r="K281" s="0" t="s">
        <v>4696</v>
      </c>
      <c r="L281" s="0" t="s">
        <v>4696</v>
      </c>
      <c r="M281" s="0" t="s">
        <v>4697</v>
      </c>
      <c r="N281" s="0" t="s">
        <v>4698</v>
      </c>
      <c r="O281" s="0" t="s">
        <v>4699</v>
      </c>
      <c r="P281" s="0" t="s">
        <v>3723</v>
      </c>
      <c r="Q281" s="0" t="s">
        <v>4700</v>
      </c>
      <c r="R281" s="0" t="b">
        <v>1</v>
      </c>
      <c r="S281" s="0" t="s">
        <v>5005</v>
      </c>
    </row>
    <row customHeight="1" ht="11.25">
      <c r="A282" s="0">
        <v>2655</v>
      </c>
      <c r="B282" s="0" t="s">
        <v>102</v>
      </c>
      <c r="C282" s="0">
        <v>30874454</v>
      </c>
      <c r="D282" s="0" t="s">
        <v>4701</v>
      </c>
      <c r="E282" s="0" t="s">
        <v>4702</v>
      </c>
      <c r="F282" s="0" t="s">
        <v>4703</v>
      </c>
      <c r="G282" s="0" t="s">
        <v>4016</v>
      </c>
      <c r="H282" s="0" t="s">
        <v>4704</v>
      </c>
      <c r="I282" s="0" t="s">
        <v>4705</v>
      </c>
      <c r="J282" s="0" t="s">
        <v>128</v>
      </c>
      <c r="K282" s="0" t="s">
        <v>4706</v>
      </c>
      <c r="L282" s="0" t="s">
        <v>4707</v>
      </c>
      <c r="M282" s="0" t="s">
        <v>4708</v>
      </c>
      <c r="N282" s="0" t="s">
        <v>4670</v>
      </c>
      <c r="O282" s="0" t="s">
        <v>4709</v>
      </c>
      <c r="P282" s="0" t="s">
        <v>3744</v>
      </c>
      <c r="Q282" s="0" t="s">
        <v>4710</v>
      </c>
      <c r="R282" s="0" t="b">
        <v>0</v>
      </c>
      <c r="S282" s="0" t="s">
        <v>5005</v>
      </c>
    </row>
    <row customHeight="1" ht="11.25">
      <c r="A283" s="0">
        <v>2655</v>
      </c>
      <c r="B283" s="0" t="s">
        <v>102</v>
      </c>
      <c r="C283" s="0">
        <v>26356987</v>
      </c>
      <c r="D283" s="0" t="s">
        <v>4057</v>
      </c>
      <c r="E283" s="0" t="s">
        <v>4058</v>
      </c>
      <c r="F283" s="0" t="s">
        <v>4059</v>
      </c>
      <c r="G283" s="0" t="s">
        <v>4060</v>
      </c>
      <c r="H283" s="0" t="s">
        <v>4061</v>
      </c>
      <c r="I283" s="0" t="s">
        <v>4062</v>
      </c>
      <c r="J283" s="0" t="s">
        <v>128</v>
      </c>
      <c r="K283" s="0" t="s">
        <v>4063</v>
      </c>
      <c r="L283" s="0" t="s">
        <v>4063</v>
      </c>
      <c r="M283" s="0" t="s">
        <v>4064</v>
      </c>
      <c r="N283" s="0" t="s">
        <v>4065</v>
      </c>
      <c r="O283" s="0" t="s">
        <v>4066</v>
      </c>
      <c r="P283" s="0" t="s">
        <v>3744</v>
      </c>
      <c r="Q283" s="0" t="s">
        <v>4067</v>
      </c>
      <c r="R283" s="0" t="b">
        <v>0</v>
      </c>
      <c r="S283" s="0" t="s">
        <v>5005</v>
      </c>
    </row>
    <row customHeight="1" ht="11.25">
      <c r="A284" s="0">
        <v>2655</v>
      </c>
      <c r="B284" s="0" t="s">
        <v>102</v>
      </c>
      <c r="C284" s="0">
        <v>30856223</v>
      </c>
      <c r="D284" s="0" t="s">
        <v>4711</v>
      </c>
      <c r="E284" s="0" t="s">
        <v>4712</v>
      </c>
      <c r="F284" s="0" t="s">
        <v>4713</v>
      </c>
      <c r="G284" s="0" t="s">
        <v>3682</v>
      </c>
      <c r="H284" s="0" t="s">
        <v>4714</v>
      </c>
      <c r="I284" s="0" t="s">
        <v>4715</v>
      </c>
      <c r="J284" s="0" t="s">
        <v>128</v>
      </c>
      <c r="K284" s="0" t="s">
        <v>4716</v>
      </c>
      <c r="L284" s="0" t="s">
        <v>4716</v>
      </c>
      <c r="M284" s="0" t="s">
        <v>4717</v>
      </c>
      <c r="N284" s="0" t="s">
        <v>4718</v>
      </c>
      <c r="O284" s="0" t="s">
        <v>4719</v>
      </c>
      <c r="P284" s="0" t="s">
        <v>3723</v>
      </c>
      <c r="Q284" s="0" t="s">
        <v>4720</v>
      </c>
      <c r="R284" s="0" t="b">
        <v>0</v>
      </c>
      <c r="S284" s="0" t="s">
        <v>5005</v>
      </c>
    </row>
    <row customHeight="1" ht="11.25">
      <c r="A285" s="0">
        <v>2655</v>
      </c>
      <c r="B285" s="0" t="s">
        <v>102</v>
      </c>
      <c r="C285" s="0">
        <v>31373026</v>
      </c>
      <c r="D285" s="0" t="s">
        <v>4711</v>
      </c>
      <c r="E285" s="0" t="s">
        <v>4712</v>
      </c>
      <c r="F285" s="0" t="s">
        <v>4721</v>
      </c>
      <c r="G285" s="0" t="s">
        <v>4040</v>
      </c>
      <c r="H285" s="0" t="s">
        <v>4722</v>
      </c>
      <c r="I285" s="0" t="s">
        <v>4723</v>
      </c>
      <c r="J285" s="0" t="s">
        <v>128</v>
      </c>
      <c r="K285" s="0" t="s">
        <v>4724</v>
      </c>
      <c r="L285" s="0" t="s">
        <v>4725</v>
      </c>
      <c r="M285" s="0" t="s">
        <v>4726</v>
      </c>
      <c r="N285" s="0" t="s">
        <v>4727</v>
      </c>
      <c r="O285" s="0" t="s">
        <v>4728</v>
      </c>
      <c r="P285" s="0" t="s">
        <v>4729</v>
      </c>
      <c r="Q285" s="0" t="s">
        <v>4730</v>
      </c>
      <c r="R285" s="0" t="b">
        <v>1</v>
      </c>
      <c r="S285" s="0" t="s">
        <v>5005</v>
      </c>
    </row>
    <row customHeight="1" ht="11.25">
      <c r="A286" s="0">
        <v>2655</v>
      </c>
      <c r="B286" s="0" t="s">
        <v>102</v>
      </c>
      <c r="C286" s="0">
        <v>31579609</v>
      </c>
      <c r="D286" s="0" t="s">
        <v>4731</v>
      </c>
      <c r="E286" s="0" t="s">
        <v>4732</v>
      </c>
      <c r="F286" s="0" t="s">
        <v>4733</v>
      </c>
      <c r="G286" s="0" t="s">
        <v>3727</v>
      </c>
      <c r="H286" s="0" t="s">
        <v>4734</v>
      </c>
      <c r="I286" s="0" t="s">
        <v>4735</v>
      </c>
      <c r="K286" s="0" t="s">
        <v>4736</v>
      </c>
      <c r="L286" s="0" t="s">
        <v>4736</v>
      </c>
      <c r="M286" s="0" t="s">
        <v>4737</v>
      </c>
      <c r="N286" s="0" t="s">
        <v>4738</v>
      </c>
      <c r="O286" s="0" t="s">
        <v>4739</v>
      </c>
      <c r="P286" s="0" t="s">
        <v>3723</v>
      </c>
      <c r="Q286" s="0" t="s">
        <v>227</v>
      </c>
      <c r="R286" s="0" t="b">
        <v>1</v>
      </c>
      <c r="S286" s="0" t="s">
        <v>5005</v>
      </c>
    </row>
    <row customHeight="1" ht="11.25">
      <c r="A287" s="0">
        <v>2655</v>
      </c>
      <c r="B287" s="0" t="s">
        <v>102</v>
      </c>
      <c r="C287" s="0">
        <v>26356891</v>
      </c>
      <c r="D287" s="0" t="s">
        <v>4068</v>
      </c>
      <c r="E287" s="0" t="s">
        <v>4069</v>
      </c>
      <c r="F287" s="0" t="s">
        <v>4070</v>
      </c>
      <c r="G287" s="0" t="s">
        <v>3880</v>
      </c>
      <c r="H287" s="0" t="s">
        <v>4071</v>
      </c>
      <c r="I287" s="0" t="s">
        <v>4072</v>
      </c>
      <c r="J287" s="0" t="s">
        <v>128</v>
      </c>
      <c r="K287" s="0" t="s">
        <v>4073</v>
      </c>
      <c r="L287" s="0" t="s">
        <v>4073</v>
      </c>
      <c r="M287" s="0" t="s">
        <v>4074</v>
      </c>
      <c r="N287" s="0" t="s">
        <v>4075</v>
      </c>
      <c r="O287" s="0" t="s">
        <v>4076</v>
      </c>
      <c r="P287" s="0" t="s">
        <v>145</v>
      </c>
      <c r="Q287" s="0" t="s">
        <v>227</v>
      </c>
      <c r="R287" s="0" t="b">
        <v>0</v>
      </c>
      <c r="S287" s="0" t="s">
        <v>5005</v>
      </c>
    </row>
    <row customHeight="1" ht="11.25">
      <c r="A288" s="0">
        <v>2655</v>
      </c>
      <c r="B288" s="0" t="s">
        <v>102</v>
      </c>
      <c r="C288" s="0">
        <v>27566835</v>
      </c>
      <c r="D288" s="0" t="s">
        <v>4740</v>
      </c>
      <c r="E288" s="0" t="s">
        <v>4741</v>
      </c>
      <c r="F288" s="0" t="s">
        <v>4742</v>
      </c>
      <c r="G288" s="0" t="s">
        <v>3880</v>
      </c>
      <c r="H288" s="0" t="s">
        <v>4743</v>
      </c>
      <c r="I288" s="0" t="s">
        <v>4744</v>
      </c>
      <c r="J288" s="0" t="s">
        <v>128</v>
      </c>
      <c r="K288" s="0" t="s">
        <v>4745</v>
      </c>
      <c r="L288" s="0" t="s">
        <v>4745</v>
      </c>
      <c r="M288" s="0" t="s">
        <v>4746</v>
      </c>
      <c r="N288" s="0" t="s">
        <v>3894</v>
      </c>
      <c r="O288" s="0" t="s">
        <v>4747</v>
      </c>
      <c r="P288" s="0" t="s">
        <v>145</v>
      </c>
      <c r="Q288" s="0" t="s">
        <v>152</v>
      </c>
      <c r="R288" s="0" t="b">
        <v>0</v>
      </c>
      <c r="S288" s="0" t="s">
        <v>5005</v>
      </c>
    </row>
    <row customHeight="1" ht="11.25">
      <c r="A289" s="0">
        <v>2655</v>
      </c>
      <c r="B289" s="0" t="s">
        <v>102</v>
      </c>
      <c r="C289" s="0">
        <v>31229342</v>
      </c>
      <c r="D289" s="0" t="s">
        <v>4748</v>
      </c>
      <c r="E289" s="0" t="s">
        <v>4749</v>
      </c>
      <c r="F289" s="0" t="s">
        <v>4750</v>
      </c>
      <c r="G289" s="0" t="s">
        <v>3899</v>
      </c>
      <c r="H289" s="0" t="s">
        <v>4751</v>
      </c>
      <c r="I289" s="0" t="s">
        <v>4752</v>
      </c>
      <c r="J289" s="0" t="s">
        <v>128</v>
      </c>
      <c r="K289" s="0" t="s">
        <v>4753</v>
      </c>
      <c r="L289" s="0" t="s">
        <v>4753</v>
      </c>
      <c r="M289" s="0" t="s">
        <v>4754</v>
      </c>
      <c r="N289" s="0" t="s">
        <v>4755</v>
      </c>
      <c r="O289" s="0" t="s">
        <v>4756</v>
      </c>
      <c r="P289" s="0" t="s">
        <v>3723</v>
      </c>
      <c r="Q289" s="0" t="s">
        <v>227</v>
      </c>
      <c r="R289" s="0" t="b">
        <v>0</v>
      </c>
      <c r="S289" s="0" t="s">
        <v>5005</v>
      </c>
    </row>
    <row customHeight="1" ht="11.25">
      <c r="A290" s="0">
        <v>2655</v>
      </c>
      <c r="B290" s="0" t="s">
        <v>102</v>
      </c>
      <c r="C290" s="0">
        <v>31690080</v>
      </c>
      <c r="D290" s="0" t="s">
        <v>4757</v>
      </c>
      <c r="E290" s="0" t="s">
        <v>4758</v>
      </c>
      <c r="F290" s="0" t="s">
        <v>4759</v>
      </c>
      <c r="G290" s="0" t="s">
        <v>3899</v>
      </c>
      <c r="H290" s="0" t="s">
        <v>4760</v>
      </c>
      <c r="I290" s="0" t="s">
        <v>4761</v>
      </c>
      <c r="K290" s="0" t="s">
        <v>4762</v>
      </c>
      <c r="L290" s="0" t="s">
        <v>4762</v>
      </c>
      <c r="M290" s="0" t="s">
        <v>4763</v>
      </c>
      <c r="N290" s="0" t="s">
        <v>4764</v>
      </c>
      <c r="O290" s="0" t="s">
        <v>4765</v>
      </c>
      <c r="P290" s="0" t="s">
        <v>145</v>
      </c>
      <c r="Q290" s="0" t="s">
        <v>227</v>
      </c>
      <c r="R290" s="0" t="b">
        <v>1</v>
      </c>
      <c r="S290" s="0" t="s">
        <v>5005</v>
      </c>
    </row>
    <row customHeight="1" ht="11.25">
      <c r="A291" s="0">
        <v>2655</v>
      </c>
      <c r="B291" s="0" t="s">
        <v>102</v>
      </c>
      <c r="C291" s="0">
        <v>31539720</v>
      </c>
      <c r="D291" s="0" t="s">
        <v>4757</v>
      </c>
      <c r="E291" s="0" t="s">
        <v>4766</v>
      </c>
      <c r="F291" s="0" t="s">
        <v>4767</v>
      </c>
      <c r="G291" s="0" t="s">
        <v>3899</v>
      </c>
      <c r="H291" s="0" t="s">
        <v>4768</v>
      </c>
      <c r="I291" s="0" t="s">
        <v>4769</v>
      </c>
      <c r="K291" s="0" t="s">
        <v>4770</v>
      </c>
      <c r="L291" s="0" t="s">
        <v>4770</v>
      </c>
      <c r="M291" s="0" t="s">
        <v>4771</v>
      </c>
      <c r="N291" s="0" t="s">
        <v>227</v>
      </c>
      <c r="O291" s="0" t="s">
        <v>4772</v>
      </c>
      <c r="P291" s="0" t="s">
        <v>3723</v>
      </c>
      <c r="Q291" s="0" t="s">
        <v>4773</v>
      </c>
      <c r="R291" s="0" t="b">
        <v>0</v>
      </c>
      <c r="S291" s="0" t="s">
        <v>5005</v>
      </c>
    </row>
    <row customHeight="1" ht="11.25">
      <c r="A292" s="0">
        <v>2655</v>
      </c>
      <c r="B292" s="0" t="s">
        <v>102</v>
      </c>
      <c r="C292" s="0">
        <v>30872315</v>
      </c>
      <c r="D292" s="0" t="s">
        <v>4774</v>
      </c>
      <c r="E292" s="0" t="s">
        <v>4775</v>
      </c>
      <c r="F292" s="0" t="s">
        <v>4776</v>
      </c>
      <c r="G292" s="0" t="s">
        <v>3659</v>
      </c>
      <c r="H292" s="0" t="s">
        <v>4777</v>
      </c>
      <c r="I292" s="0" t="s">
        <v>4778</v>
      </c>
      <c r="J292" s="0" t="s">
        <v>128</v>
      </c>
      <c r="K292" s="0" t="s">
        <v>4779</v>
      </c>
      <c r="L292" s="0" t="s">
        <v>4779</v>
      </c>
      <c r="M292" s="0" t="s">
        <v>4780</v>
      </c>
      <c r="N292" s="0" t="s">
        <v>4781</v>
      </c>
      <c r="O292" s="0" t="s">
        <v>4782</v>
      </c>
      <c r="P292" s="0" t="s">
        <v>145</v>
      </c>
      <c r="Q292" s="0" t="s">
        <v>227</v>
      </c>
      <c r="R292" s="0" t="b">
        <v>0</v>
      </c>
      <c r="S292" s="0" t="s">
        <v>5005</v>
      </c>
    </row>
    <row customHeight="1" ht="11.25">
      <c r="A293" s="0">
        <v>2655</v>
      </c>
      <c r="B293" s="0" t="s">
        <v>102</v>
      </c>
      <c r="C293" s="0">
        <v>30856253</v>
      </c>
      <c r="D293" s="0" t="s">
        <v>4783</v>
      </c>
      <c r="E293" s="0" t="s">
        <v>4784</v>
      </c>
      <c r="F293" s="0" t="s">
        <v>4785</v>
      </c>
      <c r="G293" s="0" t="s">
        <v>3727</v>
      </c>
      <c r="H293" s="0" t="s">
        <v>4786</v>
      </c>
      <c r="I293" s="0" t="s">
        <v>4787</v>
      </c>
      <c r="J293" s="0" t="s">
        <v>128</v>
      </c>
      <c r="K293" s="0" t="s">
        <v>4788</v>
      </c>
      <c r="L293" s="0" t="s">
        <v>4788</v>
      </c>
      <c r="M293" s="0" t="s">
        <v>4789</v>
      </c>
      <c r="N293" s="0" t="s">
        <v>4790</v>
      </c>
      <c r="O293" s="0" t="s">
        <v>4791</v>
      </c>
      <c r="P293" s="0" t="s">
        <v>145</v>
      </c>
      <c r="Q293" s="0" t="s">
        <v>227</v>
      </c>
      <c r="R293" s="0" t="b">
        <v>0</v>
      </c>
      <c r="S293" s="0" t="s">
        <v>5005</v>
      </c>
    </row>
    <row customHeight="1" ht="11.25">
      <c r="A294" s="0">
        <v>2655</v>
      </c>
      <c r="B294" s="0" t="s">
        <v>102</v>
      </c>
      <c r="C294" s="0">
        <v>33000042</v>
      </c>
      <c r="D294" s="0" t="s">
        <v>4792</v>
      </c>
      <c r="E294" s="0" t="s">
        <v>4793</v>
      </c>
      <c r="F294" s="0" t="s">
        <v>4794</v>
      </c>
      <c r="G294" s="0" t="s">
        <v>3984</v>
      </c>
      <c r="H294" s="0" t="s">
        <v>4795</v>
      </c>
      <c r="I294" s="0" t="s">
        <v>4796</v>
      </c>
      <c r="K294" s="0" t="s">
        <v>4797</v>
      </c>
      <c r="L294" s="0" t="s">
        <v>4798</v>
      </c>
      <c r="M294" s="0" t="s">
        <v>4799</v>
      </c>
      <c r="N294" s="0" t="s">
        <v>4800</v>
      </c>
      <c r="O294" s="0" t="s">
        <v>3991</v>
      </c>
      <c r="P294" s="0" t="s">
        <v>3801</v>
      </c>
      <c r="Q294" s="0" t="s">
        <v>227</v>
      </c>
      <c r="R294" s="0" t="b">
        <v>0</v>
      </c>
      <c r="S294" s="0" t="s">
        <v>5005</v>
      </c>
    </row>
    <row customHeight="1" ht="11.25">
      <c r="A295" s="0">
        <v>2655</v>
      </c>
      <c r="B295" s="0" t="s">
        <v>102</v>
      </c>
      <c r="C295" s="0">
        <v>26517842</v>
      </c>
      <c r="D295" s="0" t="s">
        <v>4801</v>
      </c>
      <c r="E295" s="0" t="s">
        <v>4802</v>
      </c>
      <c r="F295" s="0" t="s">
        <v>4803</v>
      </c>
      <c r="G295" s="0" t="s">
        <v>3880</v>
      </c>
      <c r="H295" s="0" t="s">
        <v>4804</v>
      </c>
      <c r="I295" s="0" t="s">
        <v>4805</v>
      </c>
      <c r="J295" s="0" t="s">
        <v>128</v>
      </c>
      <c r="K295" s="0" t="s">
        <v>4806</v>
      </c>
      <c r="L295" s="0" t="s">
        <v>3663</v>
      </c>
      <c r="M295" s="0" t="s">
        <v>4807</v>
      </c>
      <c r="N295" s="0" t="s">
        <v>4808</v>
      </c>
      <c r="O295" s="0" t="s">
        <v>4809</v>
      </c>
      <c r="P295" s="0" t="s">
        <v>3723</v>
      </c>
      <c r="Q295" s="0" t="s">
        <v>227</v>
      </c>
      <c r="R295" s="0" t="b">
        <v>0</v>
      </c>
      <c r="S295" s="0" t="s">
        <v>5005</v>
      </c>
    </row>
    <row customHeight="1" ht="11.25">
      <c r="A296" s="0">
        <v>2655</v>
      </c>
      <c r="B296" s="0" t="s">
        <v>102</v>
      </c>
      <c r="C296" s="0">
        <v>26356937</v>
      </c>
      <c r="D296" s="0" t="s">
        <v>4085</v>
      </c>
      <c r="E296" s="0" t="s">
        <v>4086</v>
      </c>
      <c r="F296" s="0" t="s">
        <v>4087</v>
      </c>
      <c r="G296" s="0" t="s">
        <v>3956</v>
      </c>
      <c r="H296" s="0" t="s">
        <v>4088</v>
      </c>
      <c r="I296" s="0" t="s">
        <v>4089</v>
      </c>
      <c r="J296" s="0" t="s">
        <v>128</v>
      </c>
      <c r="K296" s="0" t="s">
        <v>4090</v>
      </c>
      <c r="L296" s="0" t="s">
        <v>4090</v>
      </c>
      <c r="M296" s="0" t="s">
        <v>4091</v>
      </c>
      <c r="N296" s="0" t="s">
        <v>4092</v>
      </c>
      <c r="O296" s="0" t="s">
        <v>4093</v>
      </c>
      <c r="P296" s="0" t="s">
        <v>3744</v>
      </c>
      <c r="Q296" s="0" t="s">
        <v>4094</v>
      </c>
      <c r="R296" s="0" t="b">
        <v>0</v>
      </c>
      <c r="S296" s="0" t="s">
        <v>5005</v>
      </c>
    </row>
    <row customHeight="1" ht="11.25">
      <c r="A297" s="0">
        <v>2655</v>
      </c>
      <c r="B297" s="0" t="s">
        <v>102</v>
      </c>
      <c r="C297" s="0">
        <v>31473621</v>
      </c>
      <c r="D297" s="0" t="s">
        <v>4810</v>
      </c>
      <c r="E297" s="0" t="s">
        <v>4811</v>
      </c>
      <c r="F297" s="0" t="s">
        <v>4812</v>
      </c>
      <c r="G297" s="0" t="s">
        <v>123</v>
      </c>
      <c r="H297" s="0" t="s">
        <v>4813</v>
      </c>
      <c r="I297" s="0" t="s">
        <v>4814</v>
      </c>
      <c r="J297" s="0" t="s">
        <v>128</v>
      </c>
      <c r="K297" s="0" t="s">
        <v>4815</v>
      </c>
      <c r="L297" s="0" t="s">
        <v>4815</v>
      </c>
      <c r="M297" s="0" t="s">
        <v>4816</v>
      </c>
      <c r="N297" s="0" t="s">
        <v>4817</v>
      </c>
      <c r="O297" s="0" t="s">
        <v>4818</v>
      </c>
      <c r="P297" s="0" t="s">
        <v>3723</v>
      </c>
      <c r="Q297" s="0" t="s">
        <v>4819</v>
      </c>
      <c r="R297" s="0" t="b">
        <v>0</v>
      </c>
      <c r="S297" s="0" t="s">
        <v>5005</v>
      </c>
    </row>
    <row customHeight="1" ht="11.25">
      <c r="A298" s="0">
        <v>2655</v>
      </c>
      <c r="B298" s="0" t="s">
        <v>102</v>
      </c>
      <c r="C298" s="0">
        <v>31004851</v>
      </c>
      <c r="D298" s="0" t="s">
        <v>4820</v>
      </c>
      <c r="E298" s="0" t="s">
        <v>4821</v>
      </c>
      <c r="F298" s="0" t="s">
        <v>4822</v>
      </c>
      <c r="G298" s="0" t="s">
        <v>3682</v>
      </c>
      <c r="H298" s="0" t="s">
        <v>4823</v>
      </c>
      <c r="I298" s="0" t="s">
        <v>4824</v>
      </c>
      <c r="J298" s="0" t="s">
        <v>128</v>
      </c>
      <c r="K298" s="0" t="s">
        <v>4825</v>
      </c>
      <c r="L298" s="0" t="s">
        <v>4826</v>
      </c>
      <c r="M298" s="0" t="s">
        <v>4827</v>
      </c>
      <c r="N298" s="0" t="s">
        <v>4828</v>
      </c>
      <c r="O298" s="0" t="s">
        <v>4829</v>
      </c>
      <c r="P298" s="0" t="s">
        <v>3723</v>
      </c>
      <c r="Q298" s="0" t="s">
        <v>4830</v>
      </c>
      <c r="R298" s="0" t="b">
        <v>0</v>
      </c>
      <c r="S298" s="0" t="s">
        <v>5005</v>
      </c>
    </row>
    <row customHeight="1" ht="11.25">
      <c r="A299" s="0">
        <v>2655</v>
      </c>
      <c r="B299" s="0" t="s">
        <v>102</v>
      </c>
      <c r="C299" s="0">
        <v>26356976</v>
      </c>
      <c r="D299" s="0" t="s">
        <v>4831</v>
      </c>
      <c r="E299" s="0" t="s">
        <v>4832</v>
      </c>
      <c r="F299" s="0" t="s">
        <v>4833</v>
      </c>
      <c r="G299" s="0" t="s">
        <v>4050</v>
      </c>
      <c r="H299" s="0" t="s">
        <v>4834</v>
      </c>
      <c r="I299" s="0" t="s">
        <v>4835</v>
      </c>
      <c r="J299" s="0" t="s">
        <v>128</v>
      </c>
      <c r="K299" s="0" t="s">
        <v>4836</v>
      </c>
      <c r="L299" s="0" t="s">
        <v>4836</v>
      </c>
      <c r="M299" s="0" t="s">
        <v>4837</v>
      </c>
      <c r="N299" s="0" t="s">
        <v>4838</v>
      </c>
      <c r="O299" s="0" t="s">
        <v>4839</v>
      </c>
      <c r="P299" s="0" t="s">
        <v>3700</v>
      </c>
      <c r="Q299" s="0" t="s">
        <v>4840</v>
      </c>
      <c r="R299" s="0" t="b">
        <v>0</v>
      </c>
      <c r="S299" s="0" t="s">
        <v>5005</v>
      </c>
    </row>
    <row customHeight="1" ht="11.25">
      <c r="A300" s="0">
        <v>2655</v>
      </c>
      <c r="B300" s="0" t="s">
        <v>102</v>
      </c>
      <c r="C300" s="0">
        <v>28274482</v>
      </c>
      <c r="D300" s="0" t="s">
        <v>4841</v>
      </c>
      <c r="E300" s="0" t="s">
        <v>4842</v>
      </c>
      <c r="F300" s="0" t="s">
        <v>4843</v>
      </c>
      <c r="G300" s="0" t="s">
        <v>3727</v>
      </c>
      <c r="H300" s="0" t="s">
        <v>4844</v>
      </c>
      <c r="I300" s="0" t="s">
        <v>4845</v>
      </c>
      <c r="J300" s="0" t="s">
        <v>128</v>
      </c>
      <c r="K300" s="0" t="s">
        <v>4846</v>
      </c>
      <c r="L300" s="0" t="s">
        <v>4847</v>
      </c>
      <c r="M300" s="0" t="s">
        <v>4848</v>
      </c>
      <c r="N300" s="0" t="s">
        <v>4849</v>
      </c>
      <c r="O300" s="0" t="s">
        <v>4036</v>
      </c>
      <c r="P300" s="0" t="s">
        <v>145</v>
      </c>
      <c r="Q300" s="0" t="s">
        <v>227</v>
      </c>
      <c r="R300" s="0" t="b">
        <v>0</v>
      </c>
      <c r="S300" s="0" t="s">
        <v>5005</v>
      </c>
    </row>
    <row customHeight="1" ht="11.25">
      <c r="A301" s="0">
        <v>2655</v>
      </c>
      <c r="B301" s="0" t="s">
        <v>102</v>
      </c>
      <c r="C301" s="0">
        <v>31224454</v>
      </c>
      <c r="D301" s="0" t="s">
        <v>4850</v>
      </c>
      <c r="E301" s="0" t="s">
        <v>4851</v>
      </c>
      <c r="F301" s="0" t="s">
        <v>4852</v>
      </c>
      <c r="G301" s="0" t="s">
        <v>3682</v>
      </c>
      <c r="H301" s="0" t="s">
        <v>4853</v>
      </c>
      <c r="I301" s="0" t="s">
        <v>4854</v>
      </c>
      <c r="J301" s="0" t="s">
        <v>128</v>
      </c>
      <c r="K301" s="0" t="s">
        <v>4855</v>
      </c>
      <c r="L301" s="0" t="s">
        <v>4855</v>
      </c>
      <c r="M301" s="0" t="s">
        <v>4856</v>
      </c>
      <c r="N301" s="0" t="s">
        <v>4857</v>
      </c>
      <c r="O301" s="0" t="s">
        <v>4858</v>
      </c>
      <c r="P301" s="0" t="s">
        <v>3723</v>
      </c>
      <c r="Q301" s="0" t="s">
        <v>227</v>
      </c>
      <c r="R301" s="0" t="b">
        <v>0</v>
      </c>
      <c r="S301" s="0" t="s">
        <v>5005</v>
      </c>
    </row>
    <row customHeight="1" ht="11.25">
      <c r="A302" s="0">
        <v>2655</v>
      </c>
      <c r="B302" s="0" t="s">
        <v>102</v>
      </c>
      <c r="C302" s="0">
        <v>27997410</v>
      </c>
      <c r="D302" s="0" t="s">
        <v>4859</v>
      </c>
      <c r="E302" s="0" t="s">
        <v>4860</v>
      </c>
      <c r="F302" s="0" t="s">
        <v>4861</v>
      </c>
      <c r="G302" s="0" t="s">
        <v>3851</v>
      </c>
      <c r="H302" s="0" t="s">
        <v>4862</v>
      </c>
      <c r="I302" s="0" t="s">
        <v>4863</v>
      </c>
      <c r="J302" s="0" t="s">
        <v>128</v>
      </c>
      <c r="K302" s="0" t="s">
        <v>4864</v>
      </c>
      <c r="L302" s="0" t="s">
        <v>4864</v>
      </c>
      <c r="M302" s="0" t="s">
        <v>4865</v>
      </c>
      <c r="N302" s="0" t="s">
        <v>4866</v>
      </c>
      <c r="O302" s="0" t="s">
        <v>4867</v>
      </c>
      <c r="P302" s="0" t="s">
        <v>145</v>
      </c>
      <c r="Q302" s="0" t="s">
        <v>4868</v>
      </c>
      <c r="R302" s="0" t="b">
        <v>1</v>
      </c>
      <c r="S302" s="0" t="s">
        <v>5005</v>
      </c>
    </row>
    <row customHeight="1" ht="11.25">
      <c r="A303" s="0">
        <v>2655</v>
      </c>
      <c r="B303" s="0" t="s">
        <v>102</v>
      </c>
      <c r="C303" s="0">
        <v>26852692</v>
      </c>
      <c r="D303" s="0" t="s">
        <v>4869</v>
      </c>
      <c r="E303" s="0" t="s">
        <v>4870</v>
      </c>
      <c r="F303" s="0" t="s">
        <v>4871</v>
      </c>
      <c r="G303" s="0" t="s">
        <v>4050</v>
      </c>
      <c r="H303" s="0" t="s">
        <v>4872</v>
      </c>
      <c r="I303" s="0" t="s">
        <v>4873</v>
      </c>
      <c r="K303" s="0" t="s">
        <v>4874</v>
      </c>
      <c r="L303" s="0" t="s">
        <v>4874</v>
      </c>
      <c r="M303" s="0" t="s">
        <v>4865</v>
      </c>
      <c r="N303" s="0" t="s">
        <v>4866</v>
      </c>
      <c r="O303" s="0" t="s">
        <v>4875</v>
      </c>
      <c r="P303" s="0" t="s">
        <v>145</v>
      </c>
      <c r="Q303" s="0" t="s">
        <v>227</v>
      </c>
      <c r="R303" s="0" t="b">
        <v>1</v>
      </c>
      <c r="S303" s="0" t="s">
        <v>5005</v>
      </c>
    </row>
    <row customHeight="1" ht="11.25">
      <c r="A304" s="0">
        <v>2655</v>
      </c>
      <c r="B304" s="0" t="s">
        <v>102</v>
      </c>
      <c r="C304" s="0">
        <v>31534676</v>
      </c>
      <c r="D304" s="0" t="s">
        <v>4876</v>
      </c>
      <c r="E304" s="0" t="s">
        <v>4877</v>
      </c>
      <c r="F304" s="0" t="s">
        <v>4878</v>
      </c>
      <c r="G304" s="0" t="s">
        <v>123</v>
      </c>
      <c r="H304" s="0" t="s">
        <v>4879</v>
      </c>
      <c r="I304" s="0" t="s">
        <v>4880</v>
      </c>
      <c r="K304" s="0" t="s">
        <v>4881</v>
      </c>
      <c r="L304" s="0" t="s">
        <v>4882</v>
      </c>
      <c r="M304" s="0" t="s">
        <v>4883</v>
      </c>
      <c r="N304" s="0" t="s">
        <v>4884</v>
      </c>
      <c r="O304" s="0" t="s">
        <v>4885</v>
      </c>
      <c r="P304" s="0" t="s">
        <v>145</v>
      </c>
      <c r="Q304" s="0" t="s">
        <v>227</v>
      </c>
      <c r="R304" s="0" t="b">
        <v>0</v>
      </c>
      <c r="S304" s="0" t="s">
        <v>5005</v>
      </c>
    </row>
    <row customHeight="1" ht="11.25">
      <c r="A305" s="0">
        <v>2655</v>
      </c>
      <c r="B305" s="0" t="s">
        <v>102</v>
      </c>
      <c r="C305" s="0">
        <v>26356899</v>
      </c>
      <c r="D305" s="0" t="s">
        <v>4886</v>
      </c>
      <c r="E305" s="0" t="s">
        <v>4887</v>
      </c>
      <c r="F305" s="0" t="s">
        <v>4888</v>
      </c>
      <c r="G305" s="0" t="s">
        <v>4889</v>
      </c>
      <c r="H305" s="0" t="s">
        <v>4890</v>
      </c>
      <c r="I305" s="0" t="s">
        <v>227</v>
      </c>
      <c r="J305" s="0" t="s">
        <v>128</v>
      </c>
      <c r="K305" s="0" t="s">
        <v>4138</v>
      </c>
      <c r="L305" s="0" t="s">
        <v>4138</v>
      </c>
      <c r="M305" s="0" t="s">
        <v>4891</v>
      </c>
      <c r="N305" s="0" t="s">
        <v>227</v>
      </c>
      <c r="O305" s="0" t="s">
        <v>4140</v>
      </c>
      <c r="P305" s="0" t="s">
        <v>145</v>
      </c>
      <c r="Q305" s="0" t="s">
        <v>227</v>
      </c>
      <c r="R305" s="0" t="b">
        <v>0</v>
      </c>
      <c r="S305" s="0" t="s">
        <v>5005</v>
      </c>
    </row>
    <row customHeight="1" ht="11.25">
      <c r="A306" s="0">
        <v>2655</v>
      </c>
      <c r="B306" s="0" t="s">
        <v>102</v>
      </c>
      <c r="C306" s="0">
        <v>31224507</v>
      </c>
      <c r="D306" s="0" t="s">
        <v>4892</v>
      </c>
      <c r="E306" s="0" t="s">
        <v>4893</v>
      </c>
      <c r="F306" s="0" t="s">
        <v>4894</v>
      </c>
      <c r="G306" s="0" t="s">
        <v>4895</v>
      </c>
      <c r="H306" s="0" t="s">
        <v>4896</v>
      </c>
      <c r="I306" s="0" t="s">
        <v>4897</v>
      </c>
      <c r="J306" s="0" t="s">
        <v>128</v>
      </c>
      <c r="K306" s="0" t="s">
        <v>4898</v>
      </c>
      <c r="L306" s="0" t="s">
        <v>4898</v>
      </c>
      <c r="M306" s="0" t="s">
        <v>4899</v>
      </c>
      <c r="N306" s="0" t="s">
        <v>4900</v>
      </c>
      <c r="O306" s="0" t="s">
        <v>4858</v>
      </c>
      <c r="P306" s="0" t="s">
        <v>3723</v>
      </c>
      <c r="Q306" s="0" t="s">
        <v>227</v>
      </c>
      <c r="R306" s="0" t="b">
        <v>0</v>
      </c>
      <c r="S306" s="0" t="s">
        <v>5005</v>
      </c>
    </row>
    <row customHeight="1" ht="11.25">
      <c r="A307" s="0">
        <v>2655</v>
      </c>
      <c r="B307" s="0" t="s">
        <v>102</v>
      </c>
      <c r="C307" s="0">
        <v>27968109</v>
      </c>
      <c r="D307" s="0" t="s">
        <v>4901</v>
      </c>
      <c r="E307" s="0" t="s">
        <v>4902</v>
      </c>
      <c r="F307" s="0" t="s">
        <v>4903</v>
      </c>
      <c r="G307" s="0" t="s">
        <v>3659</v>
      </c>
      <c r="H307" s="0" t="s">
        <v>4904</v>
      </c>
      <c r="I307" s="0" t="s">
        <v>4905</v>
      </c>
      <c r="J307" s="0" t="s">
        <v>128</v>
      </c>
      <c r="K307" s="0" t="s">
        <v>4906</v>
      </c>
      <c r="L307" s="0" t="s">
        <v>4906</v>
      </c>
      <c r="M307" s="0" t="s">
        <v>4907</v>
      </c>
      <c r="N307" s="0" t="s">
        <v>4908</v>
      </c>
      <c r="O307" s="0" t="s">
        <v>4909</v>
      </c>
      <c r="P307" s="0" t="s">
        <v>3723</v>
      </c>
      <c r="Q307" s="0" t="s">
        <v>4910</v>
      </c>
      <c r="R307" s="0" t="b">
        <v>0</v>
      </c>
      <c r="S307" s="0" t="s">
        <v>5005</v>
      </c>
    </row>
    <row customHeight="1" ht="11.25">
      <c r="A308" s="0">
        <v>2655</v>
      </c>
      <c r="B308" s="0" t="s">
        <v>102</v>
      </c>
      <c r="C308" s="0">
        <v>26356932</v>
      </c>
      <c r="D308" s="0" t="s">
        <v>4911</v>
      </c>
      <c r="E308" s="0" t="s">
        <v>4912</v>
      </c>
      <c r="F308" s="0" t="s">
        <v>4913</v>
      </c>
      <c r="G308" s="0" t="s">
        <v>3956</v>
      </c>
      <c r="H308" s="0" t="s">
        <v>4914</v>
      </c>
      <c r="I308" s="0" t="s">
        <v>4915</v>
      </c>
      <c r="J308" s="0" t="s">
        <v>128</v>
      </c>
      <c r="K308" s="0" t="s">
        <v>4916</v>
      </c>
      <c r="L308" s="0" t="s">
        <v>4916</v>
      </c>
      <c r="M308" s="0" t="s">
        <v>4917</v>
      </c>
      <c r="N308" s="0" t="s">
        <v>4918</v>
      </c>
      <c r="O308" s="0" t="s">
        <v>4919</v>
      </c>
      <c r="P308" s="0" t="s">
        <v>145</v>
      </c>
      <c r="Q308" s="0" t="s">
        <v>227</v>
      </c>
      <c r="R308" s="0" t="b">
        <v>1</v>
      </c>
      <c r="S308" s="0" t="s">
        <v>5005</v>
      </c>
    </row>
    <row customHeight="1" ht="11.25">
      <c r="A309" s="0">
        <v>2655</v>
      </c>
      <c r="B309" s="0" t="s">
        <v>102</v>
      </c>
      <c r="C309" s="0">
        <v>28270293</v>
      </c>
      <c r="D309" s="0" t="s">
        <v>4114</v>
      </c>
      <c r="E309" s="0" t="s">
        <v>4115</v>
      </c>
      <c r="F309" s="0" t="s">
        <v>4116</v>
      </c>
      <c r="G309" s="0" t="s">
        <v>3880</v>
      </c>
      <c r="H309" s="0" t="s">
        <v>4117</v>
      </c>
      <c r="I309" s="0" t="s">
        <v>4118</v>
      </c>
      <c r="J309" s="0" t="s">
        <v>128</v>
      </c>
      <c r="K309" s="0" t="s">
        <v>4119</v>
      </c>
      <c r="L309" s="0" t="s">
        <v>4119</v>
      </c>
      <c r="M309" s="0" t="s">
        <v>4120</v>
      </c>
      <c r="N309" s="0" t="s">
        <v>4121</v>
      </c>
      <c r="O309" s="0" t="s">
        <v>4122</v>
      </c>
      <c r="P309" s="0" t="s">
        <v>3723</v>
      </c>
      <c r="Q309" s="0" t="s">
        <v>227</v>
      </c>
      <c r="R309" s="0" t="b">
        <v>0</v>
      </c>
      <c r="S309" s="0" t="s">
        <v>5005</v>
      </c>
    </row>
    <row customHeight="1" ht="11.25">
      <c r="A310" s="0">
        <v>2655</v>
      </c>
      <c r="B310" s="0" t="s">
        <v>102</v>
      </c>
      <c r="C310" s="0">
        <v>28873362</v>
      </c>
      <c r="D310" s="0" t="s">
        <v>4123</v>
      </c>
      <c r="E310" s="0" t="s">
        <v>4124</v>
      </c>
      <c r="F310" s="0" t="s">
        <v>4125</v>
      </c>
      <c r="G310" s="0" t="s">
        <v>3659</v>
      </c>
      <c r="H310" s="0" t="s">
        <v>4126</v>
      </c>
      <c r="I310" s="0" t="s">
        <v>4127</v>
      </c>
      <c r="J310" s="0" t="s">
        <v>128</v>
      </c>
      <c r="K310" s="0" t="s">
        <v>4128</v>
      </c>
      <c r="L310" s="0" t="s">
        <v>4128</v>
      </c>
      <c r="M310" s="0" t="s">
        <v>4129</v>
      </c>
      <c r="N310" s="0" t="s">
        <v>4130</v>
      </c>
      <c r="O310" s="0" t="s">
        <v>4131</v>
      </c>
      <c r="P310" s="0" t="s">
        <v>145</v>
      </c>
      <c r="Q310" s="0" t="s">
        <v>4132</v>
      </c>
      <c r="R310" s="0" t="b">
        <v>0</v>
      </c>
      <c r="S310" s="0" t="s">
        <v>5005</v>
      </c>
    </row>
    <row customHeight="1" ht="11.25">
      <c r="A311" s="0">
        <v>2655</v>
      </c>
      <c r="B311" s="0" t="s">
        <v>102</v>
      </c>
      <c r="C311" s="0">
        <v>31774768</v>
      </c>
      <c r="D311" s="0" t="s">
        <v>4920</v>
      </c>
      <c r="E311" s="0" t="s">
        <v>4921</v>
      </c>
      <c r="F311" s="0" t="s">
        <v>4922</v>
      </c>
      <c r="G311" s="0" t="s">
        <v>3899</v>
      </c>
      <c r="H311" s="0" t="s">
        <v>4923</v>
      </c>
      <c r="I311" s="0" t="s">
        <v>4924</v>
      </c>
      <c r="K311" s="0" t="s">
        <v>4925</v>
      </c>
      <c r="L311" s="0" t="s">
        <v>4925</v>
      </c>
      <c r="M311" s="0" t="s">
        <v>227</v>
      </c>
      <c r="N311" s="0" t="s">
        <v>4926</v>
      </c>
      <c r="O311" s="0" t="s">
        <v>4927</v>
      </c>
      <c r="P311" s="0" t="s">
        <v>3667</v>
      </c>
      <c r="Q311" s="0" t="s">
        <v>227</v>
      </c>
      <c r="R311" s="0" t="b">
        <v>1</v>
      </c>
      <c r="S311" s="0" t="s">
        <v>5005</v>
      </c>
    </row>
    <row customHeight="1" ht="11.25">
      <c r="A312" s="0">
        <v>2655</v>
      </c>
      <c r="B312" s="0" t="s">
        <v>102</v>
      </c>
      <c r="C312" s="0">
        <v>30992391</v>
      </c>
      <c r="D312" s="0" t="s">
        <v>4141</v>
      </c>
      <c r="E312" s="0" t="s">
        <v>4142</v>
      </c>
      <c r="F312" s="0" t="s">
        <v>4143</v>
      </c>
      <c r="G312" s="0" t="s">
        <v>3773</v>
      </c>
      <c r="H312" s="0" t="s">
        <v>4144</v>
      </c>
      <c r="I312" s="0" t="s">
        <v>4145</v>
      </c>
      <c r="J312" s="0" t="s">
        <v>128</v>
      </c>
      <c r="K312" s="0" t="s">
        <v>4146</v>
      </c>
      <c r="L312" s="0" t="s">
        <v>4147</v>
      </c>
      <c r="M312" s="0" t="s">
        <v>4148</v>
      </c>
      <c r="N312" s="0" t="s">
        <v>4149</v>
      </c>
      <c r="O312" s="0" t="s">
        <v>4150</v>
      </c>
      <c r="P312" s="0" t="s">
        <v>145</v>
      </c>
      <c r="Q312" s="0" t="s">
        <v>4151</v>
      </c>
      <c r="R312" s="0" t="b">
        <v>0</v>
      </c>
      <c r="S312" s="0" t="s">
        <v>5005</v>
      </c>
    </row>
    <row customHeight="1" ht="11.25">
      <c r="A313" s="0">
        <v>2655</v>
      </c>
      <c r="B313" s="0" t="s">
        <v>102</v>
      </c>
      <c r="C313" s="0">
        <v>31491836</v>
      </c>
      <c r="D313" s="0" t="s">
        <v>4928</v>
      </c>
      <c r="E313" s="0" t="s">
        <v>4929</v>
      </c>
      <c r="F313" s="0" t="s">
        <v>4930</v>
      </c>
      <c r="G313" s="0" t="s">
        <v>3659</v>
      </c>
      <c r="H313" s="0" t="s">
        <v>4931</v>
      </c>
      <c r="I313" s="0" t="s">
        <v>4932</v>
      </c>
      <c r="J313" s="0" t="s">
        <v>128</v>
      </c>
      <c r="K313" s="0" t="s">
        <v>4933</v>
      </c>
      <c r="L313" s="0" t="s">
        <v>4934</v>
      </c>
      <c r="M313" s="0" t="s">
        <v>4935</v>
      </c>
      <c r="N313" s="0" t="s">
        <v>4936</v>
      </c>
      <c r="O313" s="0" t="s">
        <v>4937</v>
      </c>
      <c r="P313" s="0" t="s">
        <v>3744</v>
      </c>
      <c r="Q313" s="0" t="s">
        <v>227</v>
      </c>
      <c r="R313" s="0" t="b">
        <v>1</v>
      </c>
      <c r="S313" s="0" t="s">
        <v>5005</v>
      </c>
    </row>
    <row customHeight="1" ht="11.25">
      <c r="A314" s="0">
        <v>2655</v>
      </c>
      <c r="B314" s="0" t="s">
        <v>102</v>
      </c>
      <c r="C314" s="0">
        <v>26356974</v>
      </c>
      <c r="D314" s="0" t="s">
        <v>4938</v>
      </c>
      <c r="E314" s="0" t="s">
        <v>4939</v>
      </c>
      <c r="F314" s="0" t="s">
        <v>4940</v>
      </c>
      <c r="G314" s="0" t="s">
        <v>4941</v>
      </c>
      <c r="H314" s="0" t="s">
        <v>4942</v>
      </c>
      <c r="I314" s="0" t="s">
        <v>4943</v>
      </c>
      <c r="J314" s="0" t="s">
        <v>128</v>
      </c>
      <c r="K314" s="0" t="s">
        <v>4944</v>
      </c>
      <c r="L314" s="0" t="s">
        <v>4944</v>
      </c>
      <c r="M314" s="0" t="s">
        <v>4945</v>
      </c>
      <c r="N314" s="0" t="s">
        <v>4946</v>
      </c>
      <c r="O314" s="0" t="s">
        <v>4947</v>
      </c>
      <c r="P314" s="0" t="s">
        <v>145</v>
      </c>
      <c r="Q314" s="0" t="s">
        <v>4948</v>
      </c>
      <c r="R314" s="0" t="b">
        <v>0</v>
      </c>
      <c r="S314" s="0" t="s">
        <v>5005</v>
      </c>
    </row>
    <row customHeight="1" ht="11.25">
      <c r="A315" s="0">
        <v>2655</v>
      </c>
      <c r="B315" s="0" t="s">
        <v>102</v>
      </c>
      <c r="C315" s="0">
        <v>31365968</v>
      </c>
      <c r="D315" s="0" t="s">
        <v>4949</v>
      </c>
      <c r="E315" s="0" t="s">
        <v>4950</v>
      </c>
      <c r="F315" s="0" t="s">
        <v>4951</v>
      </c>
      <c r="G315" s="0" t="s">
        <v>3851</v>
      </c>
      <c r="H315" s="0" t="s">
        <v>4952</v>
      </c>
      <c r="I315" s="0" t="s">
        <v>4953</v>
      </c>
      <c r="J315" s="0" t="s">
        <v>128</v>
      </c>
      <c r="K315" s="0" t="s">
        <v>4954</v>
      </c>
      <c r="L315" s="0" t="s">
        <v>4954</v>
      </c>
      <c r="M315" s="0" t="s">
        <v>4955</v>
      </c>
      <c r="N315" s="0" t="s">
        <v>4956</v>
      </c>
      <c r="O315" s="0" t="s">
        <v>4957</v>
      </c>
      <c r="P315" s="0" t="s">
        <v>3723</v>
      </c>
      <c r="Q315" s="0" t="s">
        <v>227</v>
      </c>
      <c r="R315" s="0" t="b">
        <v>0</v>
      </c>
      <c r="S315" s="0" t="s">
        <v>5005</v>
      </c>
    </row>
    <row customHeight="1" ht="11.25">
      <c r="A316" s="0">
        <v>2655</v>
      </c>
      <c r="B316" s="0" t="s">
        <v>102</v>
      </c>
      <c r="C316" s="0">
        <v>31038861</v>
      </c>
      <c r="D316" s="0" t="s">
        <v>4958</v>
      </c>
      <c r="E316" s="0" t="s">
        <v>4959</v>
      </c>
      <c r="F316" s="0" t="s">
        <v>4960</v>
      </c>
      <c r="G316" s="0" t="s">
        <v>3682</v>
      </c>
      <c r="H316" s="0" t="s">
        <v>4961</v>
      </c>
      <c r="I316" s="0" t="s">
        <v>4962</v>
      </c>
      <c r="J316" s="0" t="s">
        <v>128</v>
      </c>
      <c r="K316" s="0" t="s">
        <v>4963</v>
      </c>
      <c r="L316" s="0" t="s">
        <v>4964</v>
      </c>
      <c r="M316" s="0" t="s">
        <v>4965</v>
      </c>
      <c r="N316" s="0" t="s">
        <v>4966</v>
      </c>
      <c r="O316" s="0" t="s">
        <v>4967</v>
      </c>
      <c r="P316" s="0" t="s">
        <v>145</v>
      </c>
      <c r="Q316" s="0" t="s">
        <v>227</v>
      </c>
      <c r="R316" s="0" t="b">
        <v>0</v>
      </c>
      <c r="S316" s="0" t="s">
        <v>5005</v>
      </c>
    </row>
    <row customHeight="1" ht="11.25">
      <c r="A317" s="0">
        <v>2655</v>
      </c>
      <c r="B317" s="0" t="s">
        <v>102</v>
      </c>
      <c r="C317" s="0">
        <v>31908312</v>
      </c>
      <c r="D317" s="0" t="s">
        <v>4152</v>
      </c>
      <c r="E317" s="0" t="s">
        <v>4162</v>
      </c>
      <c r="F317" s="0" t="s">
        <v>4154</v>
      </c>
      <c r="G317" s="0" t="s">
        <v>4155</v>
      </c>
      <c r="H317" s="0" t="s">
        <v>4156</v>
      </c>
      <c r="I317" s="0" t="s">
        <v>4157</v>
      </c>
      <c r="K317" s="0" t="s">
        <v>4163</v>
      </c>
      <c r="L317" s="0" t="s">
        <v>4163</v>
      </c>
      <c r="M317" s="0" t="s">
        <v>4164</v>
      </c>
      <c r="N317" s="0" t="s">
        <v>4165</v>
      </c>
      <c r="O317" s="0" t="s">
        <v>4166</v>
      </c>
      <c r="P317" s="0" t="s">
        <v>227</v>
      </c>
      <c r="Q317" s="0" t="s">
        <v>4167</v>
      </c>
      <c r="R317" s="0" t="b">
        <v>0</v>
      </c>
      <c r="S317" s="0" t="s">
        <v>5005</v>
      </c>
    </row>
    <row customHeight="1" ht="11.25">
      <c r="A318" s="0">
        <v>2655</v>
      </c>
      <c r="B318" s="0" t="s">
        <v>102</v>
      </c>
      <c r="C318" s="0">
        <v>26853991</v>
      </c>
      <c r="D318" s="0" t="s">
        <v>4152</v>
      </c>
      <c r="E318" s="0" t="s">
        <v>4153</v>
      </c>
      <c r="F318" s="0" t="s">
        <v>4154</v>
      </c>
      <c r="G318" s="0" t="s">
        <v>4155</v>
      </c>
      <c r="H318" s="0" t="s">
        <v>4156</v>
      </c>
      <c r="I318" s="0" t="s">
        <v>4157</v>
      </c>
      <c r="J318" s="0" t="s">
        <v>3647</v>
      </c>
      <c r="K318" s="0" t="s">
        <v>227</v>
      </c>
      <c r="L318" s="0" t="s">
        <v>4158</v>
      </c>
      <c r="M318" s="0" t="s">
        <v>4159</v>
      </c>
      <c r="N318" s="0" t="s">
        <v>4160</v>
      </c>
      <c r="O318" s="0" t="s">
        <v>4161</v>
      </c>
      <c r="P318" s="0" t="s">
        <v>3700</v>
      </c>
      <c r="Q318" s="0" t="s">
        <v>227</v>
      </c>
      <c r="R318" s="0" t="b">
        <v>0</v>
      </c>
      <c r="S318" s="0" t="s">
        <v>5005</v>
      </c>
    </row>
    <row customHeight="1" ht="11.25">
      <c r="A319" s="0">
        <v>2655</v>
      </c>
      <c r="B319" s="0" t="s">
        <v>102</v>
      </c>
      <c r="C319" s="0">
        <v>26519663</v>
      </c>
      <c r="D319" s="0" t="s">
        <v>4968</v>
      </c>
      <c r="E319" s="0" t="s">
        <v>4969</v>
      </c>
      <c r="F319" s="0" t="s">
        <v>4970</v>
      </c>
      <c r="G319" s="0" t="s">
        <v>3843</v>
      </c>
      <c r="H319" s="0" t="s">
        <v>4971</v>
      </c>
      <c r="I319" s="0" t="s">
        <v>4972</v>
      </c>
      <c r="J319" s="0" t="s">
        <v>3718</v>
      </c>
      <c r="K319" s="0" t="s">
        <v>4973</v>
      </c>
      <c r="L319" s="0" t="s">
        <v>4973</v>
      </c>
      <c r="M319" s="0" t="s">
        <v>4974</v>
      </c>
      <c r="N319" s="0" t="s">
        <v>4975</v>
      </c>
      <c r="O319" s="0" t="s">
        <v>4976</v>
      </c>
      <c r="P319" s="0" t="s">
        <v>3700</v>
      </c>
      <c r="Q319" s="0" t="s">
        <v>4977</v>
      </c>
      <c r="R319" s="0" t="b">
        <v>0</v>
      </c>
      <c r="S319" s="0" t="s">
        <v>5005</v>
      </c>
    </row>
    <row customHeight="1" ht="11.25">
      <c r="A320" s="0">
        <v>2655</v>
      </c>
      <c r="B320" s="0" t="s">
        <v>102</v>
      </c>
      <c r="C320" s="0">
        <v>30808511</v>
      </c>
      <c r="D320" s="0" t="s">
        <v>4168</v>
      </c>
      <c r="E320" s="0" t="s">
        <v>4168</v>
      </c>
      <c r="F320" s="0" t="s">
        <v>4169</v>
      </c>
      <c r="G320" s="0" t="s">
        <v>4170</v>
      </c>
      <c r="H320" s="0" t="s">
        <v>4171</v>
      </c>
      <c r="I320" s="0" t="s">
        <v>4172</v>
      </c>
      <c r="J320" s="0" t="s">
        <v>4173</v>
      </c>
      <c r="K320" s="0" t="s">
        <v>4174</v>
      </c>
      <c r="L320" s="0" t="s">
        <v>4175</v>
      </c>
      <c r="M320" s="0" t="s">
        <v>4176</v>
      </c>
      <c r="N320" s="0" t="s">
        <v>227</v>
      </c>
      <c r="O320" s="0" t="s">
        <v>4177</v>
      </c>
      <c r="P320" s="0" t="s">
        <v>145</v>
      </c>
      <c r="Q320" s="0" t="s">
        <v>4178</v>
      </c>
      <c r="R320" s="0" t="b">
        <v>0</v>
      </c>
      <c r="S320" s="0" t="s">
        <v>5005</v>
      </c>
    </row>
    <row customHeight="1" ht="11.25">
      <c r="A321" s="0">
        <v>2655</v>
      </c>
      <c r="B321" s="0" t="s">
        <v>102</v>
      </c>
      <c r="C321" s="0">
        <v>28977129</v>
      </c>
      <c r="D321" s="0" t="s">
        <v>4978</v>
      </c>
      <c r="E321" s="0" t="s">
        <v>4979</v>
      </c>
      <c r="F321" s="0" t="s">
        <v>4169</v>
      </c>
      <c r="G321" s="0" t="s">
        <v>4980</v>
      </c>
      <c r="H321" s="0" t="s">
        <v>4171</v>
      </c>
      <c r="I321" s="0" t="s">
        <v>4182</v>
      </c>
      <c r="J321" s="0" t="s">
        <v>4173</v>
      </c>
      <c r="K321" s="0" t="s">
        <v>4981</v>
      </c>
      <c r="L321" s="0" t="s">
        <v>4982</v>
      </c>
      <c r="M321" s="0" t="s">
        <v>4983</v>
      </c>
      <c r="N321" s="0" t="s">
        <v>227</v>
      </c>
      <c r="O321" s="0" t="s">
        <v>4984</v>
      </c>
      <c r="P321" s="0" t="s">
        <v>145</v>
      </c>
      <c r="Q321" s="0" t="s">
        <v>227</v>
      </c>
      <c r="R321" s="0" t="b">
        <v>0</v>
      </c>
      <c r="S321" s="0" t="s">
        <v>5005</v>
      </c>
    </row>
    <row customHeight="1" ht="11.25">
      <c r="A322" s="0">
        <v>2655</v>
      </c>
      <c r="B322" s="0" t="s">
        <v>102</v>
      </c>
      <c r="C322" s="0">
        <v>30829962</v>
      </c>
      <c r="D322" s="0" t="s">
        <v>4985</v>
      </c>
      <c r="E322" s="0" t="s">
        <v>4986</v>
      </c>
      <c r="F322" s="0" t="s">
        <v>4169</v>
      </c>
      <c r="G322" s="0" t="s">
        <v>3659</v>
      </c>
      <c r="H322" s="0" t="s">
        <v>4171</v>
      </c>
      <c r="I322" s="0" t="s">
        <v>4987</v>
      </c>
      <c r="J322" s="0" t="s">
        <v>4173</v>
      </c>
      <c r="K322" s="0" t="s">
        <v>4988</v>
      </c>
      <c r="L322" s="0" t="s">
        <v>4988</v>
      </c>
      <c r="M322" s="0" t="s">
        <v>4989</v>
      </c>
      <c r="N322" s="0" t="s">
        <v>4990</v>
      </c>
      <c r="O322" s="0" t="s">
        <v>4991</v>
      </c>
      <c r="P322" s="0" t="s">
        <v>3744</v>
      </c>
      <c r="Q322" s="0" t="s">
        <v>227</v>
      </c>
      <c r="R322" s="0" t="b">
        <v>0</v>
      </c>
      <c r="S322" s="0" t="s">
        <v>5005</v>
      </c>
    </row>
    <row customHeight="1" ht="11.25">
      <c r="A323" s="0">
        <v>2655</v>
      </c>
      <c r="B323" s="0" t="s">
        <v>102</v>
      </c>
      <c r="C323" s="0">
        <v>26520873</v>
      </c>
      <c r="D323" s="0" t="s">
        <v>4179</v>
      </c>
      <c r="E323" s="0" t="s">
        <v>4180</v>
      </c>
      <c r="F323" s="0" t="s">
        <v>4169</v>
      </c>
      <c r="G323" s="0" t="s">
        <v>4181</v>
      </c>
      <c r="H323" s="0" t="s">
        <v>4171</v>
      </c>
      <c r="I323" s="0" t="s">
        <v>4182</v>
      </c>
      <c r="J323" s="0" t="s">
        <v>4173</v>
      </c>
      <c r="K323" s="0" t="s">
        <v>4183</v>
      </c>
      <c r="L323" s="0" t="s">
        <v>4184</v>
      </c>
      <c r="M323" s="0" t="s">
        <v>4185</v>
      </c>
      <c r="N323" s="0" t="s">
        <v>4186</v>
      </c>
      <c r="O323" s="0" t="s">
        <v>4187</v>
      </c>
      <c r="P323" s="0" t="s">
        <v>145</v>
      </c>
      <c r="Q323" s="0" t="s">
        <v>4188</v>
      </c>
      <c r="R323" s="0" t="b">
        <v>0</v>
      </c>
      <c r="S323" s="0" t="s">
        <v>5005</v>
      </c>
    </row>
    <row customHeight="1" ht="11.25">
      <c r="A324" s="0">
        <v>2655</v>
      </c>
      <c r="B324" s="0" t="s">
        <v>102</v>
      </c>
      <c r="C324" s="0">
        <v>30914574</v>
      </c>
      <c r="D324" s="0" t="s">
        <v>4992</v>
      </c>
      <c r="E324" s="0" t="s">
        <v>4993</v>
      </c>
      <c r="F324" s="0" t="s">
        <v>4994</v>
      </c>
      <c r="G324" s="0" t="s">
        <v>4995</v>
      </c>
      <c r="H324" s="0" t="s">
        <v>4996</v>
      </c>
      <c r="I324" s="0" t="s">
        <v>4997</v>
      </c>
      <c r="J324" s="0" t="s">
        <v>4998</v>
      </c>
      <c r="K324" s="0" t="s">
        <v>4999</v>
      </c>
      <c r="L324" s="0" t="s">
        <v>5000</v>
      </c>
      <c r="M324" s="0" t="s">
        <v>5001</v>
      </c>
      <c r="N324" s="0" t="s">
        <v>5002</v>
      </c>
      <c r="O324" s="0" t="s">
        <v>5003</v>
      </c>
      <c r="P324" s="0" t="s">
        <v>5004</v>
      </c>
      <c r="Q324" s="0" t="s">
        <v>227</v>
      </c>
      <c r="R324" s="0" t="b">
        <v>0</v>
      </c>
      <c r="S324" s="0" t="s">
        <v>5005</v>
      </c>
    </row>
    <row customHeight="1" ht="11.25">
      <c r="A325" s="0">
        <v>2655</v>
      </c>
      <c r="B325" s="0" t="s">
        <v>102</v>
      </c>
      <c r="C325" s="0">
        <v>26356915</v>
      </c>
      <c r="D325" s="0" t="s">
        <v>4201</v>
      </c>
      <c r="E325" s="0" t="s">
        <v>4202</v>
      </c>
      <c r="F325" s="0" t="s">
        <v>4203</v>
      </c>
      <c r="G325" s="0" t="s">
        <v>3869</v>
      </c>
      <c r="H325" s="0" t="s">
        <v>4204</v>
      </c>
      <c r="I325" s="0" t="s">
        <v>4205</v>
      </c>
      <c r="J325" s="0" t="s">
        <v>3647</v>
      </c>
      <c r="K325" s="0" t="s">
        <v>4206</v>
      </c>
      <c r="L325" s="0" t="s">
        <v>4206</v>
      </c>
      <c r="M325" s="0" t="s">
        <v>4207</v>
      </c>
      <c r="N325" s="0" t="s">
        <v>4208</v>
      </c>
      <c r="O325" s="0" t="s">
        <v>4209</v>
      </c>
      <c r="P325" s="0" t="s">
        <v>3723</v>
      </c>
      <c r="Q325" s="0" t="s">
        <v>152</v>
      </c>
      <c r="R325" s="0" t="b">
        <v>0</v>
      </c>
      <c r="S325" s="0" t="s">
        <v>5006</v>
      </c>
    </row>
    <row customHeight="1" ht="11.25">
      <c r="A326" s="0">
        <v>2655</v>
      </c>
      <c r="B326" s="0" t="s">
        <v>102</v>
      </c>
      <c r="C326" s="0">
        <v>26357007</v>
      </c>
      <c r="D326" s="0" t="s">
        <v>4339</v>
      </c>
      <c r="E326" s="0" t="s">
        <v>4340</v>
      </c>
      <c r="F326" s="0" t="s">
        <v>4341</v>
      </c>
      <c r="G326" s="0" t="s">
        <v>3899</v>
      </c>
      <c r="H326" s="0" t="s">
        <v>4342</v>
      </c>
      <c r="I326" s="0" t="s">
        <v>4343</v>
      </c>
      <c r="J326" s="0" t="s">
        <v>3647</v>
      </c>
      <c r="K326" s="0" t="s">
        <v>4344</v>
      </c>
      <c r="L326" s="0" t="s">
        <v>4344</v>
      </c>
      <c r="M326" s="0" t="s">
        <v>4345</v>
      </c>
      <c r="N326" s="0" t="s">
        <v>4346</v>
      </c>
      <c r="O326" s="0" t="s">
        <v>4347</v>
      </c>
      <c r="P326" s="0" t="s">
        <v>3723</v>
      </c>
      <c r="Q326" s="0" t="s">
        <v>4348</v>
      </c>
      <c r="R326" s="0" t="b">
        <v>0</v>
      </c>
      <c r="S326" s="0" t="s">
        <v>5006</v>
      </c>
    </row>
    <row customHeight="1" ht="11.25">
      <c r="A327" s="0">
        <v>2655</v>
      </c>
      <c r="B327" s="0" t="s">
        <v>102</v>
      </c>
      <c r="C327" s="0">
        <v>27804990</v>
      </c>
      <c r="D327" s="0" t="s">
        <v>3656</v>
      </c>
      <c r="E327" s="0" t="s">
        <v>3657</v>
      </c>
      <c r="F327" s="0" t="s">
        <v>3658</v>
      </c>
      <c r="G327" s="0" t="s">
        <v>3659</v>
      </c>
      <c r="H327" s="0" t="s">
        <v>3660</v>
      </c>
      <c r="I327" s="0" t="s">
        <v>3661</v>
      </c>
      <c r="J327" s="0" t="s">
        <v>3647</v>
      </c>
      <c r="K327" s="0" t="s">
        <v>3662</v>
      </c>
      <c r="L327" s="0" t="s">
        <v>3663</v>
      </c>
      <c r="M327" s="0" t="s">
        <v>3664</v>
      </c>
      <c r="N327" s="0" t="s">
        <v>3665</v>
      </c>
      <c r="O327" s="0" t="s">
        <v>3666</v>
      </c>
      <c r="P327" s="0" t="s">
        <v>3667</v>
      </c>
      <c r="Q327" s="0" t="s">
        <v>3668</v>
      </c>
      <c r="R327" s="0" t="b">
        <v>0</v>
      </c>
      <c r="S327" s="0" t="s">
        <v>5006</v>
      </c>
    </row>
    <row customHeight="1" ht="11.25">
      <c r="A328" s="0">
        <v>2655</v>
      </c>
      <c r="B328" s="0" t="s">
        <v>102</v>
      </c>
      <c r="C328" s="0">
        <v>28048296</v>
      </c>
      <c r="D328" s="0" t="s">
        <v>4349</v>
      </c>
      <c r="E328" s="0" t="s">
        <v>4350</v>
      </c>
      <c r="F328" s="0" t="s">
        <v>4351</v>
      </c>
      <c r="G328" s="0" t="s">
        <v>3659</v>
      </c>
      <c r="H328" s="0" t="s">
        <v>4352</v>
      </c>
      <c r="I328" s="0" t="s">
        <v>4353</v>
      </c>
      <c r="J328" s="0" t="s">
        <v>3647</v>
      </c>
      <c r="K328" s="0" t="s">
        <v>4354</v>
      </c>
      <c r="L328" s="0" t="s">
        <v>3663</v>
      </c>
      <c r="M328" s="0" t="s">
        <v>4355</v>
      </c>
      <c r="N328" s="0" t="s">
        <v>4356</v>
      </c>
      <c r="O328" s="0" t="s">
        <v>4357</v>
      </c>
      <c r="P328" s="0" t="s">
        <v>3667</v>
      </c>
      <c r="Q328" s="0" t="s">
        <v>3668</v>
      </c>
      <c r="R328" s="0" t="b">
        <v>0</v>
      </c>
      <c r="S328" s="0" t="s">
        <v>5006</v>
      </c>
    </row>
    <row customHeight="1" ht="11.25">
      <c r="A329" s="0">
        <v>2655</v>
      </c>
      <c r="B329" s="0" t="s">
        <v>102</v>
      </c>
      <c r="C329" s="0">
        <v>27804896</v>
      </c>
      <c r="D329" s="0" t="s">
        <v>4358</v>
      </c>
      <c r="E329" s="0" t="s">
        <v>4359</v>
      </c>
      <c r="F329" s="0" t="s">
        <v>4360</v>
      </c>
      <c r="G329" s="0" t="s">
        <v>3659</v>
      </c>
      <c r="H329" s="0" t="s">
        <v>4361</v>
      </c>
      <c r="I329" s="0" t="s">
        <v>4362</v>
      </c>
      <c r="J329" s="0" t="s">
        <v>3647</v>
      </c>
      <c r="K329" s="0" t="s">
        <v>4363</v>
      </c>
      <c r="L329" s="0" t="s">
        <v>3663</v>
      </c>
      <c r="M329" s="0" t="s">
        <v>4364</v>
      </c>
      <c r="N329" s="0" t="s">
        <v>4365</v>
      </c>
      <c r="O329" s="0" t="s">
        <v>4366</v>
      </c>
      <c r="P329" s="0" t="s">
        <v>3667</v>
      </c>
      <c r="Q329" s="0" t="s">
        <v>3668</v>
      </c>
      <c r="R329" s="0" t="b">
        <v>0</v>
      </c>
      <c r="S329" s="0" t="s">
        <v>5006</v>
      </c>
    </row>
    <row customHeight="1" ht="11.25">
      <c r="A330" s="0">
        <v>2655</v>
      </c>
      <c r="B330" s="0" t="s">
        <v>102</v>
      </c>
      <c r="C330" s="0">
        <v>27820148</v>
      </c>
      <c r="D330" s="0" t="s">
        <v>4225</v>
      </c>
      <c r="E330" s="0" t="s">
        <v>4226</v>
      </c>
      <c r="F330" s="0" t="s">
        <v>4227</v>
      </c>
      <c r="G330" s="0" t="s">
        <v>3956</v>
      </c>
      <c r="H330" s="0" t="s">
        <v>4228</v>
      </c>
      <c r="I330" s="0" t="s">
        <v>4229</v>
      </c>
      <c r="J330" s="0" t="s">
        <v>3647</v>
      </c>
      <c r="K330" s="0" t="s">
        <v>4230</v>
      </c>
      <c r="L330" s="0" t="s">
        <v>4230</v>
      </c>
      <c r="M330" s="0" t="s">
        <v>4231</v>
      </c>
      <c r="N330" s="0" t="s">
        <v>4232</v>
      </c>
      <c r="O330" s="0" t="s">
        <v>4233</v>
      </c>
      <c r="P330" s="0" t="s">
        <v>4234</v>
      </c>
      <c r="Q330" s="0" t="s">
        <v>4235</v>
      </c>
      <c r="R330" s="0" t="b">
        <v>0</v>
      </c>
      <c r="S330" s="0" t="s">
        <v>5006</v>
      </c>
    </row>
    <row customHeight="1" ht="11.25">
      <c r="A331" s="0">
        <v>2655</v>
      </c>
      <c r="B331" s="0" t="s">
        <v>102</v>
      </c>
      <c r="C331" s="0">
        <v>26356905</v>
      </c>
      <c r="D331" s="0" t="s">
        <v>4367</v>
      </c>
      <c r="E331" s="0" t="s">
        <v>4368</v>
      </c>
      <c r="F331" s="0" t="s">
        <v>4369</v>
      </c>
      <c r="G331" s="0" t="s">
        <v>3659</v>
      </c>
      <c r="H331" s="0" t="s">
        <v>4370</v>
      </c>
      <c r="I331" s="0" t="s">
        <v>4371</v>
      </c>
      <c r="J331" s="0" t="s">
        <v>3647</v>
      </c>
      <c r="K331" s="0" t="s">
        <v>4372</v>
      </c>
      <c r="L331" s="0" t="s">
        <v>4372</v>
      </c>
      <c r="M331" s="0" t="s">
        <v>4373</v>
      </c>
      <c r="N331" s="0" t="s">
        <v>4374</v>
      </c>
      <c r="O331" s="0" t="s">
        <v>4375</v>
      </c>
      <c r="P331" s="0" t="s">
        <v>4376</v>
      </c>
      <c r="Q331" s="0" t="s">
        <v>4377</v>
      </c>
      <c r="R331" s="0" t="b">
        <v>0</v>
      </c>
      <c r="S331" s="0" t="s">
        <v>5006</v>
      </c>
    </row>
    <row customHeight="1" ht="11.25">
      <c r="A332" s="0">
        <v>2655</v>
      </c>
      <c r="B332" s="0" t="s">
        <v>102</v>
      </c>
      <c r="C332" s="0">
        <v>26356926</v>
      </c>
      <c r="D332" s="0" t="s">
        <v>4398</v>
      </c>
      <c r="E332" s="0" t="s">
        <v>4399</v>
      </c>
      <c r="F332" s="0" t="s">
        <v>4400</v>
      </c>
      <c r="G332" s="0" t="s">
        <v>3956</v>
      </c>
      <c r="H332" s="0" t="s">
        <v>4401</v>
      </c>
      <c r="I332" s="0" t="s">
        <v>4402</v>
      </c>
      <c r="J332" s="0" t="s">
        <v>4403</v>
      </c>
      <c r="K332" s="0" t="s">
        <v>4404</v>
      </c>
      <c r="L332" s="0" t="s">
        <v>4404</v>
      </c>
      <c r="M332" s="0" t="s">
        <v>4405</v>
      </c>
      <c r="N332" s="0" t="s">
        <v>4406</v>
      </c>
      <c r="O332" s="0" t="s">
        <v>4407</v>
      </c>
      <c r="P332" s="0" t="s">
        <v>4408</v>
      </c>
      <c r="Q332" s="0" t="s">
        <v>4409</v>
      </c>
      <c r="R332" s="0" t="b">
        <v>0</v>
      </c>
      <c r="S332" s="0" t="s">
        <v>5006</v>
      </c>
    </row>
    <row customHeight="1" ht="11.25">
      <c r="A333" s="0">
        <v>2655</v>
      </c>
      <c r="B333" s="0" t="s">
        <v>102</v>
      </c>
      <c r="C333" s="0">
        <v>26824396</v>
      </c>
      <c r="D333" s="0" t="s">
        <v>3764</v>
      </c>
      <c r="E333" s="0" t="s">
        <v>3765</v>
      </c>
      <c r="F333" s="0" t="s">
        <v>3726</v>
      </c>
      <c r="G333" s="0" t="s">
        <v>3766</v>
      </c>
      <c r="H333" s="0" t="s">
        <v>3728</v>
      </c>
      <c r="I333" s="0" t="s">
        <v>227</v>
      </c>
      <c r="J333" s="0" t="s">
        <v>3718</v>
      </c>
      <c r="K333" s="0" t="s">
        <v>3767</v>
      </c>
      <c r="L333" s="0" t="s">
        <v>3767</v>
      </c>
      <c r="M333" s="0" t="s">
        <v>3768</v>
      </c>
      <c r="N333" s="0" t="s">
        <v>227</v>
      </c>
      <c r="O333" s="0" t="s">
        <v>3769</v>
      </c>
      <c r="P333" s="0" t="s">
        <v>3763</v>
      </c>
      <c r="Q333" s="0" t="s">
        <v>227</v>
      </c>
      <c r="R333" s="0" t="b">
        <v>0</v>
      </c>
      <c r="S333" s="0" t="s">
        <v>5006</v>
      </c>
    </row>
    <row customHeight="1" ht="11.25">
      <c r="A334" s="0">
        <v>2655</v>
      </c>
      <c r="B334" s="0" t="s">
        <v>102</v>
      </c>
      <c r="C334" s="0">
        <v>30808700</v>
      </c>
      <c r="D334" s="0" t="s">
        <v>3802</v>
      </c>
      <c r="E334" s="0" t="s">
        <v>3803</v>
      </c>
      <c r="F334" s="0" t="s">
        <v>3804</v>
      </c>
      <c r="G334" s="0" t="s">
        <v>3727</v>
      </c>
      <c r="H334" s="0" t="s">
        <v>3805</v>
      </c>
      <c r="I334" s="0" t="s">
        <v>3806</v>
      </c>
      <c r="J334" s="0" t="s">
        <v>3787</v>
      </c>
      <c r="K334" s="0" t="s">
        <v>3807</v>
      </c>
      <c r="L334" s="0" t="s">
        <v>3808</v>
      </c>
      <c r="M334" s="0" t="s">
        <v>3809</v>
      </c>
      <c r="N334" s="0" t="s">
        <v>3810</v>
      </c>
      <c r="O334" s="0" t="s">
        <v>3811</v>
      </c>
      <c r="P334" s="0" t="s">
        <v>3744</v>
      </c>
      <c r="Q334" s="0" t="s">
        <v>227</v>
      </c>
      <c r="R334" s="0" t="b">
        <v>1</v>
      </c>
      <c r="S334" s="0" t="s">
        <v>5006</v>
      </c>
    </row>
    <row customHeight="1" ht="11.25">
      <c r="A335" s="0">
        <v>2655</v>
      </c>
      <c r="B335" s="0" t="s">
        <v>102</v>
      </c>
      <c r="C335" s="0">
        <v>31319221</v>
      </c>
      <c r="D335" s="0" t="s">
        <v>3812</v>
      </c>
      <c r="E335" s="0" t="s">
        <v>3813</v>
      </c>
      <c r="F335" s="0" t="s">
        <v>3814</v>
      </c>
      <c r="G335" s="0" t="s">
        <v>3784</v>
      </c>
      <c r="H335" s="0" t="s">
        <v>3815</v>
      </c>
      <c r="I335" s="0" t="s">
        <v>3816</v>
      </c>
      <c r="J335" s="0" t="s">
        <v>3776</v>
      </c>
      <c r="K335" s="0" t="s">
        <v>3817</v>
      </c>
      <c r="L335" s="0" t="s">
        <v>3818</v>
      </c>
      <c r="M335" s="0" t="s">
        <v>3819</v>
      </c>
      <c r="N335" s="0" t="s">
        <v>3820</v>
      </c>
      <c r="O335" s="0" t="s">
        <v>3821</v>
      </c>
      <c r="P335" s="0" t="s">
        <v>145</v>
      </c>
      <c r="Q335" s="0" t="s">
        <v>227</v>
      </c>
      <c r="R335" s="0" t="b">
        <v>0</v>
      </c>
      <c r="S335" s="0" t="s">
        <v>5006</v>
      </c>
    </row>
    <row customHeight="1" ht="11.25">
      <c r="A336" s="0">
        <v>2655</v>
      </c>
      <c r="B336" s="0" t="s">
        <v>102</v>
      </c>
      <c r="C336" s="0">
        <v>31343443</v>
      </c>
      <c r="D336" s="0" t="s">
        <v>3832</v>
      </c>
      <c r="E336" s="0" t="s">
        <v>3833</v>
      </c>
      <c r="F336" s="0" t="s">
        <v>3834</v>
      </c>
      <c r="G336" s="0" t="s">
        <v>3727</v>
      </c>
      <c r="H336" s="0" t="s">
        <v>3835</v>
      </c>
      <c r="I336" s="0" t="s">
        <v>3836</v>
      </c>
      <c r="J336" s="0" t="s">
        <v>3776</v>
      </c>
      <c r="K336" s="0" t="s">
        <v>3837</v>
      </c>
      <c r="L336" s="0" t="s">
        <v>3837</v>
      </c>
      <c r="N336" s="0" t="s">
        <v>3838</v>
      </c>
      <c r="O336" s="0" t="s">
        <v>3839</v>
      </c>
      <c r="P336" s="0" t="s">
        <v>3744</v>
      </c>
      <c r="R336" s="0" t="b">
        <v>0</v>
      </c>
      <c r="S336" s="0" t="s">
        <v>5006</v>
      </c>
    </row>
    <row customHeight="1" ht="11.25">
      <c r="A337" s="0">
        <v>2655</v>
      </c>
      <c r="B337" s="0" t="s">
        <v>102</v>
      </c>
      <c r="C337" s="0">
        <v>31367841</v>
      </c>
      <c r="D337" s="0" t="s">
        <v>3840</v>
      </c>
      <c r="E337" s="0" t="s">
        <v>3841</v>
      </c>
      <c r="F337" s="0" t="s">
        <v>3842</v>
      </c>
      <c r="G337" s="0" t="s">
        <v>3843</v>
      </c>
      <c r="H337" s="0" t="s">
        <v>3844</v>
      </c>
      <c r="I337" s="0" t="s">
        <v>3845</v>
      </c>
      <c r="J337" s="0" t="s">
        <v>3787</v>
      </c>
      <c r="K337" s="0" t="s">
        <v>3846</v>
      </c>
      <c r="L337" s="0" t="s">
        <v>3846</v>
      </c>
      <c r="M337" s="0" t="s">
        <v>227</v>
      </c>
      <c r="N337" s="0" t="s">
        <v>139</v>
      </c>
      <c r="O337" s="0" t="s">
        <v>3847</v>
      </c>
      <c r="P337" s="0" t="s">
        <v>145</v>
      </c>
      <c r="Q337" s="0" t="s">
        <v>227</v>
      </c>
      <c r="R337" s="0" t="b">
        <v>0</v>
      </c>
      <c r="S337" s="0" t="s">
        <v>5006</v>
      </c>
    </row>
    <row customHeight="1" ht="11.25">
      <c r="A338" s="0">
        <v>2655</v>
      </c>
      <c r="B338" s="0" t="s">
        <v>102</v>
      </c>
      <c r="C338" s="0">
        <v>31087651</v>
      </c>
      <c r="D338" s="0" t="s">
        <v>3848</v>
      </c>
      <c r="E338" s="0" t="s">
        <v>3849</v>
      </c>
      <c r="F338" s="0" t="s">
        <v>3850</v>
      </c>
      <c r="G338" s="0" t="s">
        <v>3851</v>
      </c>
      <c r="H338" s="0" t="s">
        <v>3852</v>
      </c>
      <c r="I338" s="0" t="s">
        <v>3853</v>
      </c>
      <c r="J338" s="0" t="s">
        <v>3776</v>
      </c>
      <c r="K338" s="0" t="s">
        <v>3854</v>
      </c>
      <c r="L338" s="0" t="s">
        <v>3854</v>
      </c>
      <c r="M338" s="0" t="s">
        <v>3855</v>
      </c>
      <c r="N338" s="0" t="s">
        <v>3856</v>
      </c>
      <c r="O338" s="0" t="s">
        <v>3857</v>
      </c>
      <c r="R338" s="0" t="b">
        <v>0</v>
      </c>
      <c r="S338" s="0" t="s">
        <v>5006</v>
      </c>
    </row>
    <row customHeight="1" ht="11.25">
      <c r="A339" s="0">
        <v>2655</v>
      </c>
      <c r="B339" s="0" t="s">
        <v>102</v>
      </c>
      <c r="C339" s="0">
        <v>31367862</v>
      </c>
      <c r="D339" s="0" t="s">
        <v>3858</v>
      </c>
      <c r="E339" s="0" t="s">
        <v>3859</v>
      </c>
      <c r="F339" s="0" t="s">
        <v>3860</v>
      </c>
      <c r="G339" s="0" t="s">
        <v>3843</v>
      </c>
      <c r="H339" s="0" t="s">
        <v>3861</v>
      </c>
      <c r="I339" s="0" t="s">
        <v>3862</v>
      </c>
      <c r="J339" s="0" t="s">
        <v>3776</v>
      </c>
      <c r="K339" s="0" t="s">
        <v>3863</v>
      </c>
      <c r="L339" s="0" t="s">
        <v>3863</v>
      </c>
      <c r="M339" s="0" t="s">
        <v>227</v>
      </c>
      <c r="N339" s="0" t="s">
        <v>3864</v>
      </c>
      <c r="O339" s="0" t="s">
        <v>3865</v>
      </c>
      <c r="P339" s="0" t="s">
        <v>145</v>
      </c>
      <c r="Q339" s="0" t="s">
        <v>227</v>
      </c>
      <c r="R339" s="0" t="b">
        <v>0</v>
      </c>
      <c r="S339" s="0" t="s">
        <v>5006</v>
      </c>
    </row>
    <row customHeight="1" ht="11.25">
      <c r="A340" s="0">
        <v>2655</v>
      </c>
      <c r="B340" s="0" t="s">
        <v>102</v>
      </c>
      <c r="C340" s="0">
        <v>26486390</v>
      </c>
      <c r="D340" s="0" t="s">
        <v>3866</v>
      </c>
      <c r="E340" s="0" t="s">
        <v>3867</v>
      </c>
      <c r="F340" s="0" t="s">
        <v>3868</v>
      </c>
      <c r="G340" s="0" t="s">
        <v>3869</v>
      </c>
      <c r="H340" s="0" t="s">
        <v>3870</v>
      </c>
      <c r="I340" s="0" t="s">
        <v>3871</v>
      </c>
      <c r="J340" s="0" t="s">
        <v>3787</v>
      </c>
      <c r="K340" s="0" t="s">
        <v>3872</v>
      </c>
      <c r="L340" s="0" t="s">
        <v>3872</v>
      </c>
      <c r="M340" s="0" t="s">
        <v>3873</v>
      </c>
      <c r="N340" s="0" t="s">
        <v>3874</v>
      </c>
      <c r="O340" s="0" t="s">
        <v>3875</v>
      </c>
      <c r="P340" s="0" t="s">
        <v>3876</v>
      </c>
      <c r="Q340" s="0" t="s">
        <v>227</v>
      </c>
      <c r="R340" s="0" t="b">
        <v>0</v>
      </c>
      <c r="S340" s="0" t="s">
        <v>5006</v>
      </c>
    </row>
    <row customHeight="1" ht="11.25">
      <c r="A341" s="0">
        <v>2655</v>
      </c>
      <c r="B341" s="0" t="s">
        <v>102</v>
      </c>
      <c r="C341" s="0">
        <v>31187282</v>
      </c>
      <c r="D341" s="0" t="s">
        <v>4460</v>
      </c>
      <c r="E341" s="0" t="s">
        <v>4461</v>
      </c>
      <c r="F341" s="0" t="s">
        <v>4462</v>
      </c>
      <c r="G341" s="0" t="s">
        <v>3682</v>
      </c>
      <c r="H341" s="0" t="s">
        <v>4463</v>
      </c>
      <c r="I341" s="0" t="s">
        <v>4464</v>
      </c>
      <c r="J341" s="0" t="s">
        <v>3787</v>
      </c>
      <c r="K341" s="0" t="s">
        <v>4465</v>
      </c>
      <c r="L341" s="0" t="s">
        <v>4465</v>
      </c>
      <c r="M341" s="0" t="s">
        <v>227</v>
      </c>
      <c r="N341" s="0" t="s">
        <v>4466</v>
      </c>
      <c r="O341" s="0" t="s">
        <v>4467</v>
      </c>
      <c r="P341" s="0" t="s">
        <v>145</v>
      </c>
      <c r="Q341" s="0" t="s">
        <v>227</v>
      </c>
      <c r="R341" s="0" t="b">
        <v>0</v>
      </c>
      <c r="S341" s="0" t="s">
        <v>5006</v>
      </c>
    </row>
    <row customHeight="1" ht="11.25">
      <c r="A342" s="0">
        <v>2655</v>
      </c>
      <c r="B342" s="0" t="s">
        <v>102</v>
      </c>
      <c r="C342" s="0">
        <v>31308226</v>
      </c>
      <c r="D342" s="0" t="s">
        <v>3896</v>
      </c>
      <c r="E342" s="0" t="s">
        <v>3897</v>
      </c>
      <c r="F342" s="0" t="s">
        <v>3898</v>
      </c>
      <c r="G342" s="0" t="s">
        <v>3899</v>
      </c>
      <c r="H342" s="0" t="s">
        <v>3900</v>
      </c>
      <c r="I342" s="0" t="s">
        <v>3901</v>
      </c>
      <c r="J342" s="0" t="s">
        <v>3787</v>
      </c>
      <c r="K342" s="0" t="s">
        <v>3902</v>
      </c>
      <c r="L342" s="0" t="s">
        <v>3902</v>
      </c>
      <c r="M342" s="0" t="s">
        <v>3903</v>
      </c>
      <c r="N342" s="0" t="s">
        <v>3904</v>
      </c>
      <c r="O342" s="0" t="s">
        <v>3905</v>
      </c>
      <c r="P342" s="0" t="s">
        <v>3744</v>
      </c>
      <c r="Q342" s="0" t="s">
        <v>227</v>
      </c>
      <c r="R342" s="0" t="b">
        <v>1</v>
      </c>
      <c r="S342" s="0" t="s">
        <v>5006</v>
      </c>
    </row>
    <row customHeight="1" ht="11.25">
      <c r="A343" s="0">
        <v>2655</v>
      </c>
      <c r="B343" s="0" t="s">
        <v>102</v>
      </c>
      <c r="C343" s="0">
        <v>31284269</v>
      </c>
      <c r="D343" s="0" t="s">
        <v>3906</v>
      </c>
      <c r="E343" s="0" t="s">
        <v>3907</v>
      </c>
      <c r="F343" s="0" t="s">
        <v>3908</v>
      </c>
      <c r="G343" s="0" t="s">
        <v>3851</v>
      </c>
      <c r="H343" s="0" t="s">
        <v>3909</v>
      </c>
      <c r="I343" s="0" t="s">
        <v>3910</v>
      </c>
      <c r="J343" s="0" t="s">
        <v>3787</v>
      </c>
      <c r="K343" s="0" t="s">
        <v>3911</v>
      </c>
      <c r="L343" s="0" t="s">
        <v>3912</v>
      </c>
      <c r="M343" s="0" t="s">
        <v>3913</v>
      </c>
      <c r="N343" s="0" t="s">
        <v>3914</v>
      </c>
      <c r="O343" s="0" t="s">
        <v>3915</v>
      </c>
      <c r="P343" s="0" t="s">
        <v>145</v>
      </c>
      <c r="Q343" s="0" t="s">
        <v>227</v>
      </c>
      <c r="R343" s="0" t="b">
        <v>0</v>
      </c>
      <c r="S343" s="0" t="s">
        <v>5006</v>
      </c>
    </row>
    <row customHeight="1" ht="11.25">
      <c r="A344" s="0">
        <v>2655</v>
      </c>
      <c r="B344" s="0" t="s">
        <v>102</v>
      </c>
      <c r="C344" s="0">
        <v>26322895</v>
      </c>
      <c r="D344" s="0" t="s">
        <v>3936</v>
      </c>
      <c r="E344" s="0" t="s">
        <v>3937</v>
      </c>
      <c r="F344" s="0" t="s">
        <v>3938</v>
      </c>
      <c r="G344" s="0" t="s">
        <v>3659</v>
      </c>
      <c r="H344" s="0" t="s">
        <v>3939</v>
      </c>
      <c r="I344" s="0" t="s">
        <v>3940</v>
      </c>
      <c r="J344" s="0" t="s">
        <v>3718</v>
      </c>
      <c r="K344" s="0" t="s">
        <v>3941</v>
      </c>
      <c r="L344" s="0" t="s">
        <v>3941</v>
      </c>
      <c r="M344" s="0" t="s">
        <v>3942</v>
      </c>
      <c r="N344" s="0" t="s">
        <v>3943</v>
      </c>
      <c r="O344" s="0" t="s">
        <v>3944</v>
      </c>
      <c r="P344" s="0" t="s">
        <v>3723</v>
      </c>
      <c r="Q344" s="0" t="s">
        <v>3945</v>
      </c>
      <c r="R344" s="0" t="b">
        <v>0</v>
      </c>
      <c r="S344" s="0" t="s">
        <v>5006</v>
      </c>
    </row>
    <row customHeight="1" ht="11.25">
      <c r="A345" s="0">
        <v>2655</v>
      </c>
      <c r="B345" s="0" t="s">
        <v>102</v>
      </c>
      <c r="C345" s="0">
        <v>30843704</v>
      </c>
      <c r="D345" s="0" t="s">
        <v>4486</v>
      </c>
      <c r="E345" s="0" t="s">
        <v>4487</v>
      </c>
      <c r="F345" s="0" t="s">
        <v>4488</v>
      </c>
      <c r="G345" s="0" t="s">
        <v>3659</v>
      </c>
      <c r="H345" s="0" t="s">
        <v>4489</v>
      </c>
      <c r="I345" s="0" t="s">
        <v>4490</v>
      </c>
      <c r="J345" s="0" t="s">
        <v>128</v>
      </c>
      <c r="K345" s="0" t="s">
        <v>4491</v>
      </c>
      <c r="L345" s="0" t="s">
        <v>4492</v>
      </c>
      <c r="M345" s="0" t="s">
        <v>227</v>
      </c>
      <c r="N345" s="0" t="s">
        <v>4493</v>
      </c>
      <c r="O345" s="0" t="s">
        <v>4494</v>
      </c>
      <c r="P345" s="0" t="s">
        <v>3723</v>
      </c>
      <c r="Q345" s="0" t="s">
        <v>227</v>
      </c>
      <c r="R345" s="0" t="b">
        <v>0</v>
      </c>
      <c r="S345" s="0" t="s">
        <v>5006</v>
      </c>
    </row>
    <row customHeight="1" ht="11.25">
      <c r="A346" s="0">
        <v>2655</v>
      </c>
      <c r="B346" s="0" t="s">
        <v>102</v>
      </c>
      <c r="C346" s="0">
        <v>31245446</v>
      </c>
      <c r="D346" s="0" t="s">
        <v>4513</v>
      </c>
      <c r="E346" s="0" t="s">
        <v>4514</v>
      </c>
      <c r="F346" s="0" t="s">
        <v>4515</v>
      </c>
      <c r="G346" s="0" t="s">
        <v>4516</v>
      </c>
      <c r="H346" s="0" t="s">
        <v>4517</v>
      </c>
      <c r="I346" s="0" t="s">
        <v>4518</v>
      </c>
      <c r="J346" s="0" t="s">
        <v>128</v>
      </c>
      <c r="K346" s="0" t="s">
        <v>4519</v>
      </c>
      <c r="L346" s="0" t="s">
        <v>4520</v>
      </c>
      <c r="M346" s="0" t="s">
        <v>4521</v>
      </c>
      <c r="N346" s="0" t="s">
        <v>4522</v>
      </c>
      <c r="O346" s="0" t="s">
        <v>4523</v>
      </c>
      <c r="P346" s="0" t="s">
        <v>145</v>
      </c>
      <c r="Q346" s="0" t="s">
        <v>227</v>
      </c>
      <c r="R346" s="0" t="b">
        <v>0</v>
      </c>
      <c r="S346" s="0" t="s">
        <v>5006</v>
      </c>
    </row>
    <row customHeight="1" ht="11.25">
      <c r="A347" s="0">
        <v>2655</v>
      </c>
      <c r="B347" s="0" t="s">
        <v>102</v>
      </c>
      <c r="C347" s="0">
        <v>31656254</v>
      </c>
      <c r="D347" s="0" t="s">
        <v>4001</v>
      </c>
      <c r="E347" s="0" t="s">
        <v>4002</v>
      </c>
      <c r="F347" s="0" t="s">
        <v>4003</v>
      </c>
      <c r="G347" s="0" t="s">
        <v>4004</v>
      </c>
      <c r="H347" s="0" t="s">
        <v>4005</v>
      </c>
      <c r="I347" s="0" t="s">
        <v>4006</v>
      </c>
      <c r="K347" s="0" t="s">
        <v>4007</v>
      </c>
      <c r="L347" s="0" t="s">
        <v>4008</v>
      </c>
      <c r="M347" s="0" t="s">
        <v>4009</v>
      </c>
      <c r="N347" s="0" t="s">
        <v>4010</v>
      </c>
      <c r="O347" s="0" t="s">
        <v>4011</v>
      </c>
      <c r="P347" s="0" t="s">
        <v>145</v>
      </c>
      <c r="Q347" s="0" t="s">
        <v>4012</v>
      </c>
      <c r="R347" s="0" t="b">
        <v>0</v>
      </c>
      <c r="S347" s="0" t="s">
        <v>5006</v>
      </c>
    </row>
    <row customHeight="1" ht="11.25">
      <c r="A348" s="0">
        <v>2655</v>
      </c>
      <c r="B348" s="0" t="s">
        <v>102</v>
      </c>
      <c r="C348" s="0">
        <v>26562805</v>
      </c>
      <c r="D348" s="0" t="s">
        <v>4580</v>
      </c>
      <c r="E348" s="0" t="s">
        <v>4581</v>
      </c>
      <c r="F348" s="0" t="s">
        <v>4582</v>
      </c>
      <c r="G348" s="0" t="s">
        <v>3869</v>
      </c>
      <c r="H348" s="0" t="s">
        <v>4583</v>
      </c>
      <c r="I348" s="0" t="s">
        <v>4584</v>
      </c>
      <c r="J348" s="0" t="s">
        <v>128</v>
      </c>
      <c r="K348" s="0" t="s">
        <v>4585</v>
      </c>
      <c r="L348" s="0" t="s">
        <v>4585</v>
      </c>
      <c r="M348" s="0" t="s">
        <v>4586</v>
      </c>
      <c r="N348" s="0" t="s">
        <v>4587</v>
      </c>
      <c r="O348" s="0" t="s">
        <v>4588</v>
      </c>
      <c r="P348" s="0" t="s">
        <v>145</v>
      </c>
      <c r="Q348" s="0" t="s">
        <v>4589</v>
      </c>
      <c r="R348" s="0" t="b">
        <v>0</v>
      </c>
      <c r="S348" s="0" t="s">
        <v>5006</v>
      </c>
    </row>
    <row customHeight="1" ht="11.25">
      <c r="A349" s="0">
        <v>2655</v>
      </c>
      <c r="B349" s="0" t="s">
        <v>102</v>
      </c>
      <c r="C349" s="0">
        <v>27997588</v>
      </c>
      <c r="D349" s="0" t="s">
        <v>4599</v>
      </c>
      <c r="E349" s="0" t="s">
        <v>4600</v>
      </c>
      <c r="F349" s="0" t="s">
        <v>4601</v>
      </c>
      <c r="G349" s="0" t="s">
        <v>3773</v>
      </c>
      <c r="H349" s="0" t="s">
        <v>4602</v>
      </c>
      <c r="I349" s="0" t="s">
        <v>4603</v>
      </c>
      <c r="J349" s="0" t="s">
        <v>128</v>
      </c>
      <c r="K349" s="0" t="s">
        <v>4604</v>
      </c>
      <c r="L349" s="0" t="s">
        <v>4604</v>
      </c>
      <c r="M349" s="0" t="s">
        <v>4605</v>
      </c>
      <c r="N349" s="0" t="s">
        <v>4606</v>
      </c>
      <c r="O349" s="0" t="s">
        <v>4607</v>
      </c>
      <c r="P349" s="0" t="s">
        <v>4608</v>
      </c>
      <c r="Q349" s="0" t="s">
        <v>227</v>
      </c>
      <c r="R349" s="0" t="b">
        <v>0</v>
      </c>
      <c r="S349" s="0" t="s">
        <v>5006</v>
      </c>
    </row>
    <row customHeight="1" ht="11.25">
      <c r="A350" s="0">
        <v>2655</v>
      </c>
      <c r="B350" s="0" t="s">
        <v>102</v>
      </c>
      <c r="C350" s="0">
        <v>28882034</v>
      </c>
      <c r="D350" s="0" t="s">
        <v>4609</v>
      </c>
      <c r="E350" s="0" t="s">
        <v>4610</v>
      </c>
      <c r="F350" s="0" t="s">
        <v>4611</v>
      </c>
      <c r="G350" s="0" t="s">
        <v>3659</v>
      </c>
      <c r="H350" s="0" t="s">
        <v>4612</v>
      </c>
      <c r="I350" s="0" t="s">
        <v>227</v>
      </c>
      <c r="J350" s="0" t="s">
        <v>128</v>
      </c>
      <c r="K350" s="0" t="s">
        <v>4613</v>
      </c>
      <c r="L350" s="0" t="s">
        <v>4613</v>
      </c>
      <c r="M350" s="0" t="s">
        <v>227</v>
      </c>
      <c r="N350" s="0" t="s">
        <v>227</v>
      </c>
      <c r="O350" s="0" t="s">
        <v>4614</v>
      </c>
      <c r="P350" s="0" t="s">
        <v>145</v>
      </c>
      <c r="Q350" s="0" t="s">
        <v>227</v>
      </c>
      <c r="R350" s="0" t="b">
        <v>0</v>
      </c>
      <c r="S350" s="0" t="s">
        <v>5006</v>
      </c>
    </row>
    <row customHeight="1" ht="11.25">
      <c r="A351" s="0">
        <v>2655</v>
      </c>
      <c r="B351" s="0" t="s">
        <v>102</v>
      </c>
      <c r="C351" s="0">
        <v>31519209</v>
      </c>
      <c r="D351" s="0" t="s">
        <v>4625</v>
      </c>
      <c r="E351" s="0" t="s">
        <v>4626</v>
      </c>
      <c r="F351" s="0" t="s">
        <v>4627</v>
      </c>
      <c r="G351" s="0" t="s">
        <v>3956</v>
      </c>
      <c r="H351" s="0" t="s">
        <v>4628</v>
      </c>
      <c r="I351" s="0" t="s">
        <v>4629</v>
      </c>
      <c r="J351" s="0" t="s">
        <v>128</v>
      </c>
      <c r="K351" s="0" t="s">
        <v>4630</v>
      </c>
      <c r="L351" s="0" t="s">
        <v>4631</v>
      </c>
      <c r="M351" s="0" t="s">
        <v>4632</v>
      </c>
      <c r="N351" s="0" t="s">
        <v>4633</v>
      </c>
      <c r="O351" s="0" t="s">
        <v>4634</v>
      </c>
      <c r="P351" s="0" t="s">
        <v>3667</v>
      </c>
      <c r="Q351" s="0" t="s">
        <v>227</v>
      </c>
      <c r="R351" s="0" t="b">
        <v>0</v>
      </c>
      <c r="S351" s="0" t="s">
        <v>5006</v>
      </c>
    </row>
    <row customHeight="1" ht="11.25">
      <c r="A352" s="0">
        <v>2655</v>
      </c>
      <c r="B352" s="0" t="s">
        <v>102</v>
      </c>
      <c r="C352" s="0">
        <v>31574053</v>
      </c>
      <c r="D352" s="0" t="s">
        <v>4635</v>
      </c>
      <c r="E352" s="0" t="s">
        <v>4636</v>
      </c>
      <c r="F352" s="0" t="s">
        <v>4637</v>
      </c>
      <c r="G352" s="0" t="s">
        <v>3899</v>
      </c>
      <c r="H352" s="0" t="s">
        <v>4638</v>
      </c>
      <c r="I352" s="0" t="s">
        <v>4639</v>
      </c>
      <c r="K352" s="0" t="s">
        <v>4640</v>
      </c>
      <c r="L352" s="0" t="s">
        <v>4640</v>
      </c>
      <c r="M352" s="0" t="s">
        <v>4641</v>
      </c>
      <c r="N352" s="0" t="s">
        <v>4642</v>
      </c>
      <c r="O352" s="0" t="s">
        <v>4643</v>
      </c>
      <c r="P352" s="0" t="s">
        <v>145</v>
      </c>
      <c r="Q352" s="0" t="s">
        <v>227</v>
      </c>
      <c r="R352" s="0" t="b">
        <v>0</v>
      </c>
      <c r="S352" s="0" t="s">
        <v>5006</v>
      </c>
    </row>
    <row customHeight="1" ht="11.25">
      <c r="A353" s="0">
        <v>2655</v>
      </c>
      <c r="B353" s="0" t="s">
        <v>102</v>
      </c>
      <c r="C353" s="0">
        <v>28151808</v>
      </c>
      <c r="D353" s="0" t="s">
        <v>4027</v>
      </c>
      <c r="E353" s="0" t="s">
        <v>4028</v>
      </c>
      <c r="F353" s="0" t="s">
        <v>4029</v>
      </c>
      <c r="G353" s="0" t="s">
        <v>3727</v>
      </c>
      <c r="H353" s="0" t="s">
        <v>4030</v>
      </c>
      <c r="I353" s="0" t="s">
        <v>4031</v>
      </c>
      <c r="J353" s="0" t="s">
        <v>128</v>
      </c>
      <c r="K353" s="0" t="s">
        <v>4032</v>
      </c>
      <c r="L353" s="0" t="s">
        <v>4033</v>
      </c>
      <c r="M353" s="0" t="s">
        <v>4034</v>
      </c>
      <c r="N353" s="0" t="s">
        <v>4035</v>
      </c>
      <c r="O353" s="0" t="s">
        <v>4036</v>
      </c>
      <c r="P353" s="0" t="s">
        <v>3723</v>
      </c>
      <c r="Q353" s="0" t="s">
        <v>227</v>
      </c>
      <c r="R353" s="0" t="b">
        <v>1</v>
      </c>
      <c r="S353" s="0" t="s">
        <v>5006</v>
      </c>
    </row>
    <row customHeight="1" ht="11.25">
      <c r="A354" s="0">
        <v>2655</v>
      </c>
      <c r="B354" s="0" t="s">
        <v>102</v>
      </c>
      <c r="C354" s="0">
        <v>30433806</v>
      </c>
      <c r="D354" s="0" t="s">
        <v>4682</v>
      </c>
      <c r="E354" s="0" t="s">
        <v>4683</v>
      </c>
      <c r="F354" s="0" t="s">
        <v>4684</v>
      </c>
      <c r="G354" s="0" t="s">
        <v>3869</v>
      </c>
      <c r="H354" s="0" t="s">
        <v>4685</v>
      </c>
      <c r="I354" s="0" t="s">
        <v>4686</v>
      </c>
      <c r="J354" s="0" t="s">
        <v>128</v>
      </c>
      <c r="K354" s="0" t="s">
        <v>4687</v>
      </c>
      <c r="L354" s="0" t="s">
        <v>4687</v>
      </c>
      <c r="M354" s="0" t="s">
        <v>4688</v>
      </c>
      <c r="N354" s="0" t="s">
        <v>4689</v>
      </c>
      <c r="O354" s="0" t="s">
        <v>4690</v>
      </c>
      <c r="P354" s="0" t="s">
        <v>145</v>
      </c>
      <c r="Q354" s="0" t="s">
        <v>152</v>
      </c>
      <c r="R354" s="0" t="b">
        <v>0</v>
      </c>
      <c r="S354" s="0" t="s">
        <v>5006</v>
      </c>
    </row>
    <row customHeight="1" ht="11.25">
      <c r="A355" s="0">
        <v>2655</v>
      </c>
      <c r="B355" s="0" t="s">
        <v>102</v>
      </c>
      <c r="C355" s="0">
        <v>26356987</v>
      </c>
      <c r="D355" s="0" t="s">
        <v>4057</v>
      </c>
      <c r="E355" s="0" t="s">
        <v>4058</v>
      </c>
      <c r="F355" s="0" t="s">
        <v>4059</v>
      </c>
      <c r="G355" s="0" t="s">
        <v>4060</v>
      </c>
      <c r="H355" s="0" t="s">
        <v>4061</v>
      </c>
      <c r="I355" s="0" t="s">
        <v>4062</v>
      </c>
      <c r="J355" s="0" t="s">
        <v>128</v>
      </c>
      <c r="K355" s="0" t="s">
        <v>4063</v>
      </c>
      <c r="L355" s="0" t="s">
        <v>4063</v>
      </c>
      <c r="M355" s="0" t="s">
        <v>4064</v>
      </c>
      <c r="N355" s="0" t="s">
        <v>4065</v>
      </c>
      <c r="O355" s="0" t="s">
        <v>4066</v>
      </c>
      <c r="P355" s="0" t="s">
        <v>3744</v>
      </c>
      <c r="Q355" s="0" t="s">
        <v>4067</v>
      </c>
      <c r="R355" s="0" t="b">
        <v>0</v>
      </c>
      <c r="S355" s="0" t="s">
        <v>5006</v>
      </c>
    </row>
    <row customHeight="1" ht="11.25">
      <c r="A356" s="0">
        <v>2655</v>
      </c>
      <c r="B356" s="0" t="s">
        <v>102</v>
      </c>
      <c r="C356" s="0">
        <v>30856223</v>
      </c>
      <c r="D356" s="0" t="s">
        <v>4711</v>
      </c>
      <c r="E356" s="0" t="s">
        <v>4712</v>
      </c>
      <c r="F356" s="0" t="s">
        <v>4713</v>
      </c>
      <c r="G356" s="0" t="s">
        <v>3682</v>
      </c>
      <c r="H356" s="0" t="s">
        <v>4714</v>
      </c>
      <c r="I356" s="0" t="s">
        <v>4715</v>
      </c>
      <c r="J356" s="0" t="s">
        <v>128</v>
      </c>
      <c r="K356" s="0" t="s">
        <v>4716</v>
      </c>
      <c r="L356" s="0" t="s">
        <v>4716</v>
      </c>
      <c r="M356" s="0" t="s">
        <v>4717</v>
      </c>
      <c r="N356" s="0" t="s">
        <v>4718</v>
      </c>
      <c r="O356" s="0" t="s">
        <v>4719</v>
      </c>
      <c r="P356" s="0" t="s">
        <v>3723</v>
      </c>
      <c r="Q356" s="0" t="s">
        <v>4720</v>
      </c>
      <c r="R356" s="0" t="b">
        <v>0</v>
      </c>
      <c r="S356" s="0" t="s">
        <v>5006</v>
      </c>
    </row>
    <row customHeight="1" ht="11.25">
      <c r="A357" s="0">
        <v>2655</v>
      </c>
      <c r="B357" s="0" t="s">
        <v>102</v>
      </c>
      <c r="C357" s="0">
        <v>26356891</v>
      </c>
      <c r="D357" s="0" t="s">
        <v>4068</v>
      </c>
      <c r="E357" s="0" t="s">
        <v>4069</v>
      </c>
      <c r="F357" s="0" t="s">
        <v>4070</v>
      </c>
      <c r="G357" s="0" t="s">
        <v>3880</v>
      </c>
      <c r="H357" s="0" t="s">
        <v>4071</v>
      </c>
      <c r="I357" s="0" t="s">
        <v>4072</v>
      </c>
      <c r="J357" s="0" t="s">
        <v>128</v>
      </c>
      <c r="K357" s="0" t="s">
        <v>4073</v>
      </c>
      <c r="L357" s="0" t="s">
        <v>4073</v>
      </c>
      <c r="M357" s="0" t="s">
        <v>4074</v>
      </c>
      <c r="N357" s="0" t="s">
        <v>4075</v>
      </c>
      <c r="O357" s="0" t="s">
        <v>4076</v>
      </c>
      <c r="P357" s="0" t="s">
        <v>145</v>
      </c>
      <c r="Q357" s="0" t="s">
        <v>227</v>
      </c>
      <c r="R357" s="0" t="b">
        <v>0</v>
      </c>
      <c r="S357" s="0" t="s">
        <v>5006</v>
      </c>
    </row>
    <row customHeight="1" ht="11.25">
      <c r="A358" s="0">
        <v>2655</v>
      </c>
      <c r="B358" s="0" t="s">
        <v>102</v>
      </c>
      <c r="C358" s="0">
        <v>27566835</v>
      </c>
      <c r="D358" s="0" t="s">
        <v>4740</v>
      </c>
      <c r="E358" s="0" t="s">
        <v>4741</v>
      </c>
      <c r="F358" s="0" t="s">
        <v>4742</v>
      </c>
      <c r="G358" s="0" t="s">
        <v>3880</v>
      </c>
      <c r="H358" s="0" t="s">
        <v>4743</v>
      </c>
      <c r="I358" s="0" t="s">
        <v>4744</v>
      </c>
      <c r="J358" s="0" t="s">
        <v>128</v>
      </c>
      <c r="K358" s="0" t="s">
        <v>4745</v>
      </c>
      <c r="L358" s="0" t="s">
        <v>4745</v>
      </c>
      <c r="M358" s="0" t="s">
        <v>4746</v>
      </c>
      <c r="N358" s="0" t="s">
        <v>3894</v>
      </c>
      <c r="O358" s="0" t="s">
        <v>4747</v>
      </c>
      <c r="P358" s="0" t="s">
        <v>145</v>
      </c>
      <c r="Q358" s="0" t="s">
        <v>152</v>
      </c>
      <c r="R358" s="0" t="b">
        <v>0</v>
      </c>
      <c r="S358" s="0" t="s">
        <v>5006</v>
      </c>
    </row>
    <row customHeight="1" ht="11.25">
      <c r="A359" s="0">
        <v>2655</v>
      </c>
      <c r="B359" s="0" t="s">
        <v>102</v>
      </c>
      <c r="C359" s="0">
        <v>31229342</v>
      </c>
      <c r="D359" s="0" t="s">
        <v>4748</v>
      </c>
      <c r="E359" s="0" t="s">
        <v>4749</v>
      </c>
      <c r="F359" s="0" t="s">
        <v>4750</v>
      </c>
      <c r="G359" s="0" t="s">
        <v>3899</v>
      </c>
      <c r="H359" s="0" t="s">
        <v>4751</v>
      </c>
      <c r="I359" s="0" t="s">
        <v>4752</v>
      </c>
      <c r="J359" s="0" t="s">
        <v>128</v>
      </c>
      <c r="K359" s="0" t="s">
        <v>4753</v>
      </c>
      <c r="L359" s="0" t="s">
        <v>4753</v>
      </c>
      <c r="M359" s="0" t="s">
        <v>4754</v>
      </c>
      <c r="N359" s="0" t="s">
        <v>4755</v>
      </c>
      <c r="O359" s="0" t="s">
        <v>4756</v>
      </c>
      <c r="P359" s="0" t="s">
        <v>3723</v>
      </c>
      <c r="Q359" s="0" t="s">
        <v>227</v>
      </c>
      <c r="R359" s="0" t="b">
        <v>0</v>
      </c>
      <c r="S359" s="0" t="s">
        <v>5006</v>
      </c>
    </row>
    <row customHeight="1" ht="11.25">
      <c r="A360" s="0">
        <v>2655</v>
      </c>
      <c r="B360" s="0" t="s">
        <v>102</v>
      </c>
      <c r="C360" s="0">
        <v>30856253</v>
      </c>
      <c r="D360" s="0" t="s">
        <v>4783</v>
      </c>
      <c r="E360" s="0" t="s">
        <v>4784</v>
      </c>
      <c r="F360" s="0" t="s">
        <v>4785</v>
      </c>
      <c r="G360" s="0" t="s">
        <v>3727</v>
      </c>
      <c r="H360" s="0" t="s">
        <v>4786</v>
      </c>
      <c r="I360" s="0" t="s">
        <v>4787</v>
      </c>
      <c r="J360" s="0" t="s">
        <v>128</v>
      </c>
      <c r="K360" s="0" t="s">
        <v>4788</v>
      </c>
      <c r="L360" s="0" t="s">
        <v>4788</v>
      </c>
      <c r="M360" s="0" t="s">
        <v>4789</v>
      </c>
      <c r="N360" s="0" t="s">
        <v>4790</v>
      </c>
      <c r="O360" s="0" t="s">
        <v>4791</v>
      </c>
      <c r="P360" s="0" t="s">
        <v>145</v>
      </c>
      <c r="Q360" s="0" t="s">
        <v>227</v>
      </c>
      <c r="R360" s="0" t="b">
        <v>0</v>
      </c>
      <c r="S360" s="0" t="s">
        <v>5006</v>
      </c>
    </row>
    <row customHeight="1" ht="11.25">
      <c r="A361" s="0">
        <v>2655</v>
      </c>
      <c r="B361" s="0" t="s">
        <v>102</v>
      </c>
      <c r="C361" s="0">
        <v>33000042</v>
      </c>
      <c r="D361" s="0" t="s">
        <v>4792</v>
      </c>
      <c r="E361" s="0" t="s">
        <v>4793</v>
      </c>
      <c r="F361" s="0" t="s">
        <v>4794</v>
      </c>
      <c r="G361" s="0" t="s">
        <v>3984</v>
      </c>
      <c r="H361" s="0" t="s">
        <v>4795</v>
      </c>
      <c r="I361" s="0" t="s">
        <v>4796</v>
      </c>
      <c r="K361" s="0" t="s">
        <v>4797</v>
      </c>
      <c r="L361" s="0" t="s">
        <v>4798</v>
      </c>
      <c r="M361" s="0" t="s">
        <v>4799</v>
      </c>
      <c r="N361" s="0" t="s">
        <v>4800</v>
      </c>
      <c r="O361" s="0" t="s">
        <v>3991</v>
      </c>
      <c r="P361" s="0" t="s">
        <v>3801</v>
      </c>
      <c r="Q361" s="0" t="s">
        <v>227</v>
      </c>
      <c r="R361" s="0" t="b">
        <v>0</v>
      </c>
      <c r="S361" s="0" t="s">
        <v>5006</v>
      </c>
    </row>
    <row customHeight="1" ht="11.25">
      <c r="A362" s="0">
        <v>2655</v>
      </c>
      <c r="B362" s="0" t="s">
        <v>102</v>
      </c>
      <c r="C362" s="0">
        <v>26517842</v>
      </c>
      <c r="D362" s="0" t="s">
        <v>4801</v>
      </c>
      <c r="E362" s="0" t="s">
        <v>4802</v>
      </c>
      <c r="F362" s="0" t="s">
        <v>4803</v>
      </c>
      <c r="G362" s="0" t="s">
        <v>3880</v>
      </c>
      <c r="H362" s="0" t="s">
        <v>4804</v>
      </c>
      <c r="I362" s="0" t="s">
        <v>4805</v>
      </c>
      <c r="J362" s="0" t="s">
        <v>128</v>
      </c>
      <c r="K362" s="0" t="s">
        <v>4806</v>
      </c>
      <c r="L362" s="0" t="s">
        <v>3663</v>
      </c>
      <c r="M362" s="0" t="s">
        <v>4807</v>
      </c>
      <c r="N362" s="0" t="s">
        <v>4808</v>
      </c>
      <c r="O362" s="0" t="s">
        <v>4809</v>
      </c>
      <c r="P362" s="0" t="s">
        <v>3723</v>
      </c>
      <c r="Q362" s="0" t="s">
        <v>227</v>
      </c>
      <c r="R362" s="0" t="b">
        <v>0</v>
      </c>
      <c r="S362" s="0" t="s">
        <v>5006</v>
      </c>
    </row>
    <row customHeight="1" ht="11.25">
      <c r="A363" s="0">
        <v>2655</v>
      </c>
      <c r="B363" s="0" t="s">
        <v>102</v>
      </c>
      <c r="C363" s="0">
        <v>26356937</v>
      </c>
      <c r="D363" s="0" t="s">
        <v>4085</v>
      </c>
      <c r="E363" s="0" t="s">
        <v>4086</v>
      </c>
      <c r="F363" s="0" t="s">
        <v>4087</v>
      </c>
      <c r="G363" s="0" t="s">
        <v>3956</v>
      </c>
      <c r="H363" s="0" t="s">
        <v>4088</v>
      </c>
      <c r="I363" s="0" t="s">
        <v>4089</v>
      </c>
      <c r="J363" s="0" t="s">
        <v>128</v>
      </c>
      <c r="K363" s="0" t="s">
        <v>4090</v>
      </c>
      <c r="L363" s="0" t="s">
        <v>4090</v>
      </c>
      <c r="M363" s="0" t="s">
        <v>4091</v>
      </c>
      <c r="N363" s="0" t="s">
        <v>4092</v>
      </c>
      <c r="O363" s="0" t="s">
        <v>4093</v>
      </c>
      <c r="P363" s="0" t="s">
        <v>3744</v>
      </c>
      <c r="Q363" s="0" t="s">
        <v>4094</v>
      </c>
      <c r="R363" s="0" t="b">
        <v>0</v>
      </c>
      <c r="S363" s="0" t="s">
        <v>5006</v>
      </c>
    </row>
    <row customHeight="1" ht="11.25">
      <c r="A364" s="0">
        <v>2655</v>
      </c>
      <c r="B364" s="0" t="s">
        <v>102</v>
      </c>
      <c r="C364" s="0">
        <v>31473621</v>
      </c>
      <c r="D364" s="0" t="s">
        <v>4810</v>
      </c>
      <c r="E364" s="0" t="s">
        <v>4811</v>
      </c>
      <c r="F364" s="0" t="s">
        <v>4812</v>
      </c>
      <c r="G364" s="0" t="s">
        <v>123</v>
      </c>
      <c r="H364" s="0" t="s">
        <v>4813</v>
      </c>
      <c r="I364" s="0" t="s">
        <v>4814</v>
      </c>
      <c r="J364" s="0" t="s">
        <v>128</v>
      </c>
      <c r="K364" s="0" t="s">
        <v>4815</v>
      </c>
      <c r="L364" s="0" t="s">
        <v>4815</v>
      </c>
      <c r="M364" s="0" t="s">
        <v>4816</v>
      </c>
      <c r="N364" s="0" t="s">
        <v>4817</v>
      </c>
      <c r="O364" s="0" t="s">
        <v>4818</v>
      </c>
      <c r="P364" s="0" t="s">
        <v>3723</v>
      </c>
      <c r="Q364" s="0" t="s">
        <v>4819</v>
      </c>
      <c r="R364" s="0" t="b">
        <v>0</v>
      </c>
      <c r="S364" s="0" t="s">
        <v>5006</v>
      </c>
    </row>
    <row customHeight="1" ht="11.25">
      <c r="A365" s="0">
        <v>2655</v>
      </c>
      <c r="B365" s="0" t="s">
        <v>102</v>
      </c>
      <c r="C365" s="0">
        <v>31004851</v>
      </c>
      <c r="D365" s="0" t="s">
        <v>4820</v>
      </c>
      <c r="E365" s="0" t="s">
        <v>4821</v>
      </c>
      <c r="F365" s="0" t="s">
        <v>4822</v>
      </c>
      <c r="G365" s="0" t="s">
        <v>3682</v>
      </c>
      <c r="H365" s="0" t="s">
        <v>4823</v>
      </c>
      <c r="I365" s="0" t="s">
        <v>4824</v>
      </c>
      <c r="J365" s="0" t="s">
        <v>128</v>
      </c>
      <c r="K365" s="0" t="s">
        <v>4825</v>
      </c>
      <c r="L365" s="0" t="s">
        <v>4826</v>
      </c>
      <c r="M365" s="0" t="s">
        <v>4827</v>
      </c>
      <c r="N365" s="0" t="s">
        <v>4828</v>
      </c>
      <c r="O365" s="0" t="s">
        <v>4829</v>
      </c>
      <c r="P365" s="0" t="s">
        <v>3723</v>
      </c>
      <c r="Q365" s="0" t="s">
        <v>4830</v>
      </c>
      <c r="R365" s="0" t="b">
        <v>0</v>
      </c>
      <c r="S365" s="0" t="s">
        <v>5006</v>
      </c>
    </row>
    <row customHeight="1" ht="11.25">
      <c r="A366" s="0">
        <v>2655</v>
      </c>
      <c r="B366" s="0" t="s">
        <v>102</v>
      </c>
      <c r="C366" s="0">
        <v>28274482</v>
      </c>
      <c r="D366" s="0" t="s">
        <v>4841</v>
      </c>
      <c r="E366" s="0" t="s">
        <v>4842</v>
      </c>
      <c r="F366" s="0" t="s">
        <v>4843</v>
      </c>
      <c r="G366" s="0" t="s">
        <v>3727</v>
      </c>
      <c r="H366" s="0" t="s">
        <v>4844</v>
      </c>
      <c r="I366" s="0" t="s">
        <v>4845</v>
      </c>
      <c r="J366" s="0" t="s">
        <v>128</v>
      </c>
      <c r="K366" s="0" t="s">
        <v>4846</v>
      </c>
      <c r="L366" s="0" t="s">
        <v>4847</v>
      </c>
      <c r="M366" s="0" t="s">
        <v>4848</v>
      </c>
      <c r="N366" s="0" t="s">
        <v>4849</v>
      </c>
      <c r="O366" s="0" t="s">
        <v>4036</v>
      </c>
      <c r="P366" s="0" t="s">
        <v>145</v>
      </c>
      <c r="Q366" s="0" t="s">
        <v>227</v>
      </c>
      <c r="R366" s="0" t="b">
        <v>0</v>
      </c>
      <c r="S366" s="0" t="s">
        <v>5006</v>
      </c>
    </row>
    <row customHeight="1" ht="11.25">
      <c r="A367" s="0">
        <v>2655</v>
      </c>
      <c r="B367" s="0" t="s">
        <v>102</v>
      </c>
      <c r="C367" s="0">
        <v>31224454</v>
      </c>
      <c r="D367" s="0" t="s">
        <v>4850</v>
      </c>
      <c r="E367" s="0" t="s">
        <v>4851</v>
      </c>
      <c r="F367" s="0" t="s">
        <v>4852</v>
      </c>
      <c r="G367" s="0" t="s">
        <v>3682</v>
      </c>
      <c r="H367" s="0" t="s">
        <v>4853</v>
      </c>
      <c r="I367" s="0" t="s">
        <v>4854</v>
      </c>
      <c r="J367" s="0" t="s">
        <v>128</v>
      </c>
      <c r="K367" s="0" t="s">
        <v>4855</v>
      </c>
      <c r="L367" s="0" t="s">
        <v>4855</v>
      </c>
      <c r="M367" s="0" t="s">
        <v>4856</v>
      </c>
      <c r="N367" s="0" t="s">
        <v>4857</v>
      </c>
      <c r="O367" s="0" t="s">
        <v>4858</v>
      </c>
      <c r="P367" s="0" t="s">
        <v>3723</v>
      </c>
      <c r="Q367" s="0" t="s">
        <v>227</v>
      </c>
      <c r="R367" s="0" t="b">
        <v>0</v>
      </c>
      <c r="S367" s="0" t="s">
        <v>5006</v>
      </c>
    </row>
    <row customHeight="1" ht="11.25">
      <c r="A368" s="0">
        <v>2655</v>
      </c>
      <c r="B368" s="0" t="s">
        <v>102</v>
      </c>
      <c r="C368" s="0">
        <v>26852692</v>
      </c>
      <c r="D368" s="0" t="s">
        <v>4869</v>
      </c>
      <c r="E368" s="0" t="s">
        <v>4870</v>
      </c>
      <c r="F368" s="0" t="s">
        <v>4871</v>
      </c>
      <c r="G368" s="0" t="s">
        <v>4050</v>
      </c>
      <c r="H368" s="0" t="s">
        <v>4872</v>
      </c>
      <c r="I368" s="0" t="s">
        <v>4873</v>
      </c>
      <c r="K368" s="0" t="s">
        <v>4874</v>
      </c>
      <c r="L368" s="0" t="s">
        <v>4874</v>
      </c>
      <c r="M368" s="0" t="s">
        <v>4865</v>
      </c>
      <c r="N368" s="0" t="s">
        <v>4866</v>
      </c>
      <c r="O368" s="0" t="s">
        <v>4875</v>
      </c>
      <c r="P368" s="0" t="s">
        <v>145</v>
      </c>
      <c r="Q368" s="0" t="s">
        <v>227</v>
      </c>
      <c r="R368" s="0" t="b">
        <v>1</v>
      </c>
      <c r="S368" s="0" t="s">
        <v>5006</v>
      </c>
    </row>
    <row customHeight="1" ht="11.25">
      <c r="A369" s="0">
        <v>2655</v>
      </c>
      <c r="B369" s="0" t="s">
        <v>102</v>
      </c>
      <c r="C369" s="0">
        <v>26356899</v>
      </c>
      <c r="D369" s="0" t="s">
        <v>4886</v>
      </c>
      <c r="E369" s="0" t="s">
        <v>4887</v>
      </c>
      <c r="F369" s="0" t="s">
        <v>4888</v>
      </c>
      <c r="G369" s="0" t="s">
        <v>4889</v>
      </c>
      <c r="H369" s="0" t="s">
        <v>4890</v>
      </c>
      <c r="I369" s="0" t="s">
        <v>227</v>
      </c>
      <c r="J369" s="0" t="s">
        <v>128</v>
      </c>
      <c r="K369" s="0" t="s">
        <v>4138</v>
      </c>
      <c r="L369" s="0" t="s">
        <v>4138</v>
      </c>
      <c r="M369" s="0" t="s">
        <v>4891</v>
      </c>
      <c r="N369" s="0" t="s">
        <v>227</v>
      </c>
      <c r="O369" s="0" t="s">
        <v>4140</v>
      </c>
      <c r="P369" s="0" t="s">
        <v>145</v>
      </c>
      <c r="Q369" s="0" t="s">
        <v>227</v>
      </c>
      <c r="R369" s="0" t="b">
        <v>0</v>
      </c>
      <c r="S369" s="0" t="s">
        <v>5006</v>
      </c>
    </row>
    <row customHeight="1" ht="11.25">
      <c r="A370" s="0">
        <v>2655</v>
      </c>
      <c r="B370" s="0" t="s">
        <v>102</v>
      </c>
      <c r="C370" s="0">
        <v>31224507</v>
      </c>
      <c r="D370" s="0" t="s">
        <v>4892</v>
      </c>
      <c r="E370" s="0" t="s">
        <v>4893</v>
      </c>
      <c r="F370" s="0" t="s">
        <v>4894</v>
      </c>
      <c r="G370" s="0" t="s">
        <v>4895</v>
      </c>
      <c r="H370" s="0" t="s">
        <v>4896</v>
      </c>
      <c r="I370" s="0" t="s">
        <v>4897</v>
      </c>
      <c r="J370" s="0" t="s">
        <v>128</v>
      </c>
      <c r="K370" s="0" t="s">
        <v>4898</v>
      </c>
      <c r="L370" s="0" t="s">
        <v>4898</v>
      </c>
      <c r="M370" s="0" t="s">
        <v>4899</v>
      </c>
      <c r="N370" s="0" t="s">
        <v>4900</v>
      </c>
      <c r="O370" s="0" t="s">
        <v>4858</v>
      </c>
      <c r="P370" s="0" t="s">
        <v>3723</v>
      </c>
      <c r="Q370" s="0" t="s">
        <v>227</v>
      </c>
      <c r="R370" s="0" t="b">
        <v>0</v>
      </c>
      <c r="S370" s="0" t="s">
        <v>5006</v>
      </c>
    </row>
    <row customHeight="1" ht="11.25">
      <c r="A371" s="0">
        <v>2655</v>
      </c>
      <c r="B371" s="0" t="s">
        <v>102</v>
      </c>
      <c r="C371" s="0">
        <v>28270293</v>
      </c>
      <c r="D371" s="0" t="s">
        <v>4114</v>
      </c>
      <c r="E371" s="0" t="s">
        <v>4115</v>
      </c>
      <c r="F371" s="0" t="s">
        <v>4116</v>
      </c>
      <c r="G371" s="0" t="s">
        <v>3880</v>
      </c>
      <c r="H371" s="0" t="s">
        <v>4117</v>
      </c>
      <c r="I371" s="0" t="s">
        <v>4118</v>
      </c>
      <c r="J371" s="0" t="s">
        <v>128</v>
      </c>
      <c r="K371" s="0" t="s">
        <v>4119</v>
      </c>
      <c r="L371" s="0" t="s">
        <v>4119</v>
      </c>
      <c r="M371" s="0" t="s">
        <v>4120</v>
      </c>
      <c r="N371" s="0" t="s">
        <v>4121</v>
      </c>
      <c r="O371" s="0" t="s">
        <v>4122</v>
      </c>
      <c r="P371" s="0" t="s">
        <v>3723</v>
      </c>
      <c r="Q371" s="0" t="s">
        <v>227</v>
      </c>
      <c r="R371" s="0" t="b">
        <v>0</v>
      </c>
      <c r="S371" s="0" t="s">
        <v>5006</v>
      </c>
    </row>
    <row customHeight="1" ht="11.25">
      <c r="A372" s="0">
        <v>2655</v>
      </c>
      <c r="B372" s="0" t="s">
        <v>102</v>
      </c>
      <c r="C372" s="0">
        <v>28873362</v>
      </c>
      <c r="D372" s="0" t="s">
        <v>4123</v>
      </c>
      <c r="E372" s="0" t="s">
        <v>4124</v>
      </c>
      <c r="F372" s="0" t="s">
        <v>4125</v>
      </c>
      <c r="G372" s="0" t="s">
        <v>3659</v>
      </c>
      <c r="H372" s="0" t="s">
        <v>4126</v>
      </c>
      <c r="I372" s="0" t="s">
        <v>4127</v>
      </c>
      <c r="J372" s="0" t="s">
        <v>128</v>
      </c>
      <c r="K372" s="0" t="s">
        <v>4128</v>
      </c>
      <c r="L372" s="0" t="s">
        <v>4128</v>
      </c>
      <c r="M372" s="0" t="s">
        <v>4129</v>
      </c>
      <c r="N372" s="0" t="s">
        <v>4130</v>
      </c>
      <c r="O372" s="0" t="s">
        <v>4131</v>
      </c>
      <c r="P372" s="0" t="s">
        <v>145</v>
      </c>
      <c r="Q372" s="0" t="s">
        <v>4132</v>
      </c>
      <c r="R372" s="0" t="b">
        <v>0</v>
      </c>
      <c r="S372" s="0" t="s">
        <v>5006</v>
      </c>
    </row>
    <row customHeight="1" ht="11.25">
      <c r="A373" s="0">
        <v>2655</v>
      </c>
      <c r="B373" s="0" t="s">
        <v>102</v>
      </c>
      <c r="C373" s="0">
        <v>30992391</v>
      </c>
      <c r="D373" s="0" t="s">
        <v>4141</v>
      </c>
      <c r="E373" s="0" t="s">
        <v>4142</v>
      </c>
      <c r="F373" s="0" t="s">
        <v>4143</v>
      </c>
      <c r="G373" s="0" t="s">
        <v>3773</v>
      </c>
      <c r="H373" s="0" t="s">
        <v>4144</v>
      </c>
      <c r="I373" s="0" t="s">
        <v>4145</v>
      </c>
      <c r="J373" s="0" t="s">
        <v>128</v>
      </c>
      <c r="K373" s="0" t="s">
        <v>4146</v>
      </c>
      <c r="L373" s="0" t="s">
        <v>4147</v>
      </c>
      <c r="M373" s="0" t="s">
        <v>4148</v>
      </c>
      <c r="N373" s="0" t="s">
        <v>4149</v>
      </c>
      <c r="O373" s="0" t="s">
        <v>4150</v>
      </c>
      <c r="P373" s="0" t="s">
        <v>145</v>
      </c>
      <c r="Q373" s="0" t="s">
        <v>4151</v>
      </c>
      <c r="R373" s="0" t="b">
        <v>0</v>
      </c>
      <c r="S373" s="0" t="s">
        <v>5006</v>
      </c>
    </row>
    <row customHeight="1" ht="11.25">
      <c r="A374" s="0">
        <v>2655</v>
      </c>
      <c r="B374" s="0" t="s">
        <v>102</v>
      </c>
      <c r="C374" s="0">
        <v>31491836</v>
      </c>
      <c r="D374" s="0" t="s">
        <v>4928</v>
      </c>
      <c r="E374" s="0" t="s">
        <v>4929</v>
      </c>
      <c r="F374" s="0" t="s">
        <v>4930</v>
      </c>
      <c r="G374" s="0" t="s">
        <v>3659</v>
      </c>
      <c r="H374" s="0" t="s">
        <v>4931</v>
      </c>
      <c r="I374" s="0" t="s">
        <v>4932</v>
      </c>
      <c r="J374" s="0" t="s">
        <v>128</v>
      </c>
      <c r="K374" s="0" t="s">
        <v>4933</v>
      </c>
      <c r="L374" s="0" t="s">
        <v>4934</v>
      </c>
      <c r="M374" s="0" t="s">
        <v>4935</v>
      </c>
      <c r="N374" s="0" t="s">
        <v>4936</v>
      </c>
      <c r="O374" s="0" t="s">
        <v>4937</v>
      </c>
      <c r="P374" s="0" t="s">
        <v>3744</v>
      </c>
      <c r="Q374" s="0" t="s">
        <v>227</v>
      </c>
      <c r="R374" s="0" t="b">
        <v>1</v>
      </c>
      <c r="S374" s="0" t="s">
        <v>5006</v>
      </c>
    </row>
    <row customHeight="1" ht="11.25">
      <c r="A375" s="0">
        <v>2655</v>
      </c>
      <c r="B375" s="0" t="s">
        <v>102</v>
      </c>
      <c r="C375" s="0">
        <v>26356974</v>
      </c>
      <c r="D375" s="0" t="s">
        <v>4938</v>
      </c>
      <c r="E375" s="0" t="s">
        <v>4939</v>
      </c>
      <c r="F375" s="0" t="s">
        <v>4940</v>
      </c>
      <c r="G375" s="0" t="s">
        <v>4941</v>
      </c>
      <c r="H375" s="0" t="s">
        <v>4942</v>
      </c>
      <c r="I375" s="0" t="s">
        <v>4943</v>
      </c>
      <c r="J375" s="0" t="s">
        <v>128</v>
      </c>
      <c r="K375" s="0" t="s">
        <v>4944</v>
      </c>
      <c r="L375" s="0" t="s">
        <v>4944</v>
      </c>
      <c r="M375" s="0" t="s">
        <v>4945</v>
      </c>
      <c r="N375" s="0" t="s">
        <v>4946</v>
      </c>
      <c r="O375" s="0" t="s">
        <v>4947</v>
      </c>
      <c r="P375" s="0" t="s">
        <v>145</v>
      </c>
      <c r="Q375" s="0" t="s">
        <v>4948</v>
      </c>
      <c r="R375" s="0" t="b">
        <v>0</v>
      </c>
      <c r="S375" s="0" t="s">
        <v>5006</v>
      </c>
    </row>
    <row customHeight="1" ht="11.25">
      <c r="A376" s="0">
        <v>2655</v>
      </c>
      <c r="B376" s="0" t="s">
        <v>102</v>
      </c>
      <c r="C376" s="0">
        <v>31038861</v>
      </c>
      <c r="D376" s="0" t="s">
        <v>4958</v>
      </c>
      <c r="E376" s="0" t="s">
        <v>4959</v>
      </c>
      <c r="F376" s="0" t="s">
        <v>4960</v>
      </c>
      <c r="G376" s="0" t="s">
        <v>3682</v>
      </c>
      <c r="H376" s="0" t="s">
        <v>4961</v>
      </c>
      <c r="I376" s="0" t="s">
        <v>4962</v>
      </c>
      <c r="J376" s="0" t="s">
        <v>128</v>
      </c>
      <c r="K376" s="0" t="s">
        <v>4963</v>
      </c>
      <c r="L376" s="0" t="s">
        <v>4964</v>
      </c>
      <c r="M376" s="0" t="s">
        <v>4965</v>
      </c>
      <c r="N376" s="0" t="s">
        <v>4966</v>
      </c>
      <c r="O376" s="0" t="s">
        <v>4967</v>
      </c>
      <c r="P376" s="0" t="s">
        <v>145</v>
      </c>
      <c r="Q376" s="0" t="s">
        <v>227</v>
      </c>
      <c r="R376" s="0" t="b">
        <v>0</v>
      </c>
      <c r="S376" s="0" t="s">
        <v>5006</v>
      </c>
    </row>
    <row customHeight="1" ht="11.25">
      <c r="A377" s="0">
        <v>2655</v>
      </c>
      <c r="B377" s="0" t="s">
        <v>102</v>
      </c>
      <c r="C377" s="0">
        <v>28977129</v>
      </c>
      <c r="D377" s="0" t="s">
        <v>4978</v>
      </c>
      <c r="E377" s="0" t="s">
        <v>4979</v>
      </c>
      <c r="F377" s="0" t="s">
        <v>4169</v>
      </c>
      <c r="G377" s="0" t="s">
        <v>4980</v>
      </c>
      <c r="H377" s="0" t="s">
        <v>4171</v>
      </c>
      <c r="I377" s="0" t="s">
        <v>4182</v>
      </c>
      <c r="J377" s="0" t="s">
        <v>4173</v>
      </c>
      <c r="K377" s="0" t="s">
        <v>4981</v>
      </c>
      <c r="L377" s="0" t="s">
        <v>4982</v>
      </c>
      <c r="M377" s="0" t="s">
        <v>4983</v>
      </c>
      <c r="N377" s="0" t="s">
        <v>227</v>
      </c>
      <c r="O377" s="0" t="s">
        <v>4984</v>
      </c>
      <c r="P377" s="0" t="s">
        <v>145</v>
      </c>
      <c r="Q377" s="0" t="s">
        <v>227</v>
      </c>
      <c r="R377" s="0" t="b">
        <v>0</v>
      </c>
      <c r="S377" s="0" t="s">
        <v>5006</v>
      </c>
    </row>
    <row customHeight="1" ht="11.25">
      <c r="A378" s="0">
        <v>2655</v>
      </c>
      <c r="B378" s="0" t="s">
        <v>102</v>
      </c>
      <c r="C378" s="0">
        <v>30914574</v>
      </c>
      <c r="D378" s="0" t="s">
        <v>4992</v>
      </c>
      <c r="E378" s="0" t="s">
        <v>4993</v>
      </c>
      <c r="F378" s="0" t="s">
        <v>4994</v>
      </c>
      <c r="G378" s="0" t="s">
        <v>4995</v>
      </c>
      <c r="H378" s="0" t="s">
        <v>4996</v>
      </c>
      <c r="I378" s="0" t="s">
        <v>4997</v>
      </c>
      <c r="J378" s="0" t="s">
        <v>4998</v>
      </c>
      <c r="K378" s="0" t="s">
        <v>4999</v>
      </c>
      <c r="L378" s="0" t="s">
        <v>5000</v>
      </c>
      <c r="M378" s="0" t="s">
        <v>5001</v>
      </c>
      <c r="N378" s="0" t="s">
        <v>5002</v>
      </c>
      <c r="O378" s="0" t="s">
        <v>5003</v>
      </c>
      <c r="P378" s="0" t="s">
        <v>5004</v>
      </c>
      <c r="Q378" s="0" t="s">
        <v>227</v>
      </c>
      <c r="R378" s="0" t="b">
        <v>0</v>
      </c>
      <c r="S378" s="0" t="s">
        <v>5006</v>
      </c>
    </row>
    <row customHeight="1" ht="11.25">
      <c r="A379" s="0">
        <v>2655</v>
      </c>
      <c r="B379" s="0" t="s">
        <v>102</v>
      </c>
      <c r="C379" s="0">
        <v>26516002</v>
      </c>
      <c r="D379" s="0" t="s">
        <v>5007</v>
      </c>
      <c r="E379" s="0" t="s">
        <v>5007</v>
      </c>
      <c r="F379" s="0" t="s">
        <v>5008</v>
      </c>
      <c r="G379" s="0" t="s">
        <v>5009</v>
      </c>
      <c r="H379" s="0" t="s">
        <v>5010</v>
      </c>
      <c r="I379" s="0" t="s">
        <v>5011</v>
      </c>
      <c r="J379" s="0" t="s">
        <v>3647</v>
      </c>
      <c r="K379" s="0" t="s">
        <v>227</v>
      </c>
      <c r="L379" s="0" t="s">
        <v>227</v>
      </c>
      <c r="M379" s="0" t="s">
        <v>5012</v>
      </c>
      <c r="N379" s="0" t="s">
        <v>227</v>
      </c>
      <c r="O379" s="0" t="s">
        <v>5013</v>
      </c>
      <c r="P379" s="0" t="s">
        <v>227</v>
      </c>
      <c r="Q379" s="0" t="s">
        <v>227</v>
      </c>
      <c r="R379" s="0" t="b">
        <v>0</v>
      </c>
      <c r="S379" s="0" t="s">
        <v>5014</v>
      </c>
    </row>
    <row customHeight="1" ht="11.25">
      <c r="A380" s="0">
        <v>2655</v>
      </c>
      <c r="B380" s="0" t="s">
        <v>102</v>
      </c>
      <c r="C380" s="0">
        <v>26318885</v>
      </c>
      <c r="D380" s="0" t="s">
        <v>5015</v>
      </c>
      <c r="E380" s="0" t="s">
        <v>5016</v>
      </c>
      <c r="F380" s="0" t="s">
        <v>5017</v>
      </c>
      <c r="G380" s="0" t="s">
        <v>5018</v>
      </c>
      <c r="H380" s="0" t="s">
        <v>5019</v>
      </c>
      <c r="I380" s="0" t="s">
        <v>5020</v>
      </c>
      <c r="J380" s="0" t="s">
        <v>3647</v>
      </c>
      <c r="K380" s="0" t="s">
        <v>5021</v>
      </c>
      <c r="L380" s="0" t="s">
        <v>5021</v>
      </c>
      <c r="M380" s="0" t="s">
        <v>5022</v>
      </c>
      <c r="N380" s="0" t="s">
        <v>227</v>
      </c>
      <c r="O380" s="0" t="s">
        <v>5023</v>
      </c>
      <c r="P380" s="0" t="s">
        <v>3723</v>
      </c>
      <c r="Q380" s="0" t="s">
        <v>227</v>
      </c>
      <c r="R380" s="0" t="b">
        <v>0</v>
      </c>
      <c r="S380" s="0" t="s">
        <v>5014</v>
      </c>
    </row>
    <row customHeight="1" ht="11.25">
      <c r="A381" s="0">
        <v>2655</v>
      </c>
      <c r="B381" s="0" t="s">
        <v>102</v>
      </c>
      <c r="C381" s="0">
        <v>26357007</v>
      </c>
      <c r="D381" s="0" t="s">
        <v>4339</v>
      </c>
      <c r="E381" s="0" t="s">
        <v>4340</v>
      </c>
      <c r="F381" s="0" t="s">
        <v>4341</v>
      </c>
      <c r="G381" s="0" t="s">
        <v>3899</v>
      </c>
      <c r="H381" s="0" t="s">
        <v>4342</v>
      </c>
      <c r="I381" s="0" t="s">
        <v>4343</v>
      </c>
      <c r="J381" s="0" t="s">
        <v>3647</v>
      </c>
      <c r="K381" s="0" t="s">
        <v>4344</v>
      </c>
      <c r="L381" s="0" t="s">
        <v>4344</v>
      </c>
      <c r="M381" s="0" t="s">
        <v>4345</v>
      </c>
      <c r="N381" s="0" t="s">
        <v>4346</v>
      </c>
      <c r="O381" s="0" t="s">
        <v>4347</v>
      </c>
      <c r="P381" s="0" t="s">
        <v>3723</v>
      </c>
      <c r="Q381" s="0" t="s">
        <v>4348</v>
      </c>
      <c r="R381" s="0" t="b">
        <v>0</v>
      </c>
      <c r="S381" s="0" t="s">
        <v>5014</v>
      </c>
    </row>
    <row customHeight="1" ht="11.25">
      <c r="A382" s="0">
        <v>2655</v>
      </c>
      <c r="B382" s="0" t="s">
        <v>102</v>
      </c>
      <c r="C382" s="0">
        <v>27804990</v>
      </c>
      <c r="D382" s="0" t="s">
        <v>3656</v>
      </c>
      <c r="E382" s="0" t="s">
        <v>3657</v>
      </c>
      <c r="F382" s="0" t="s">
        <v>3658</v>
      </c>
      <c r="G382" s="0" t="s">
        <v>3659</v>
      </c>
      <c r="H382" s="0" t="s">
        <v>3660</v>
      </c>
      <c r="I382" s="0" t="s">
        <v>3661</v>
      </c>
      <c r="J382" s="0" t="s">
        <v>3647</v>
      </c>
      <c r="K382" s="0" t="s">
        <v>3662</v>
      </c>
      <c r="L382" s="0" t="s">
        <v>3663</v>
      </c>
      <c r="M382" s="0" t="s">
        <v>3664</v>
      </c>
      <c r="N382" s="0" t="s">
        <v>3665</v>
      </c>
      <c r="O382" s="0" t="s">
        <v>3666</v>
      </c>
      <c r="P382" s="0" t="s">
        <v>3667</v>
      </c>
      <c r="Q382" s="0" t="s">
        <v>3668</v>
      </c>
      <c r="R382" s="0" t="b">
        <v>0</v>
      </c>
      <c r="S382" s="0" t="s">
        <v>5014</v>
      </c>
    </row>
    <row customHeight="1" ht="11.25">
      <c r="A383" s="0">
        <v>2655</v>
      </c>
      <c r="B383" s="0" t="s">
        <v>102</v>
      </c>
      <c r="C383" s="0">
        <v>26322870</v>
      </c>
      <c r="D383" s="0" t="s">
        <v>5024</v>
      </c>
      <c r="E383" s="0" t="s">
        <v>5025</v>
      </c>
      <c r="F383" s="0" t="s">
        <v>5026</v>
      </c>
      <c r="G383" s="0" t="s">
        <v>3880</v>
      </c>
      <c r="H383" s="0" t="s">
        <v>5027</v>
      </c>
      <c r="I383" s="0" t="s">
        <v>5028</v>
      </c>
      <c r="J383" s="0" t="s">
        <v>3647</v>
      </c>
      <c r="K383" s="0" t="s">
        <v>5029</v>
      </c>
      <c r="L383" s="0" t="s">
        <v>5029</v>
      </c>
      <c r="M383" s="0" t="s">
        <v>5030</v>
      </c>
      <c r="N383" s="0" t="s">
        <v>5031</v>
      </c>
      <c r="O383" s="0" t="s">
        <v>5032</v>
      </c>
      <c r="P383" s="0" t="s">
        <v>3723</v>
      </c>
      <c r="Q383" s="0" t="s">
        <v>5033</v>
      </c>
      <c r="R383" s="0" t="b">
        <v>0</v>
      </c>
      <c r="S383" s="0" t="s">
        <v>5014</v>
      </c>
    </row>
    <row customHeight="1" ht="11.25">
      <c r="A384" s="0">
        <v>2655</v>
      </c>
      <c r="B384" s="0" t="s">
        <v>102</v>
      </c>
      <c r="C384" s="0">
        <v>28048296</v>
      </c>
      <c r="D384" s="0" t="s">
        <v>4349</v>
      </c>
      <c r="E384" s="0" t="s">
        <v>4350</v>
      </c>
      <c r="F384" s="0" t="s">
        <v>4351</v>
      </c>
      <c r="G384" s="0" t="s">
        <v>3659</v>
      </c>
      <c r="H384" s="0" t="s">
        <v>4352</v>
      </c>
      <c r="I384" s="0" t="s">
        <v>4353</v>
      </c>
      <c r="J384" s="0" t="s">
        <v>3647</v>
      </c>
      <c r="K384" s="0" t="s">
        <v>4354</v>
      </c>
      <c r="L384" s="0" t="s">
        <v>3663</v>
      </c>
      <c r="M384" s="0" t="s">
        <v>4355</v>
      </c>
      <c r="N384" s="0" t="s">
        <v>4356</v>
      </c>
      <c r="O384" s="0" t="s">
        <v>4357</v>
      </c>
      <c r="P384" s="0" t="s">
        <v>3667</v>
      </c>
      <c r="Q384" s="0" t="s">
        <v>3668</v>
      </c>
      <c r="R384" s="0" t="b">
        <v>0</v>
      </c>
      <c r="S384" s="0" t="s">
        <v>5014</v>
      </c>
    </row>
    <row customHeight="1" ht="11.25">
      <c r="A385" s="0">
        <v>2655</v>
      </c>
      <c r="B385" s="0" t="s">
        <v>102</v>
      </c>
      <c r="C385" s="0">
        <v>27804826</v>
      </c>
      <c r="D385" s="0" t="s">
        <v>3669</v>
      </c>
      <c r="E385" s="0" t="s">
        <v>3670</v>
      </c>
      <c r="F385" s="0" t="s">
        <v>3671</v>
      </c>
      <c r="G385" s="0" t="s">
        <v>3672</v>
      </c>
      <c r="H385" s="0" t="s">
        <v>3673</v>
      </c>
      <c r="I385" s="0" t="s">
        <v>3674</v>
      </c>
      <c r="J385" s="0" t="s">
        <v>3647</v>
      </c>
      <c r="K385" s="0" t="s">
        <v>3675</v>
      </c>
      <c r="L385" s="0" t="s">
        <v>3663</v>
      </c>
      <c r="M385" s="0" t="s">
        <v>227</v>
      </c>
      <c r="N385" s="0" t="s">
        <v>3676</v>
      </c>
      <c r="O385" s="0" t="s">
        <v>3677</v>
      </c>
      <c r="P385" s="0" t="s">
        <v>3667</v>
      </c>
      <c r="Q385" s="0" t="s">
        <v>3678</v>
      </c>
      <c r="R385" s="0" t="b">
        <v>0</v>
      </c>
      <c r="S385" s="0" t="s">
        <v>5014</v>
      </c>
    </row>
    <row customHeight="1" ht="11.25">
      <c r="A386" s="0">
        <v>2655</v>
      </c>
      <c r="B386" s="0" t="s">
        <v>102</v>
      </c>
      <c r="C386" s="0">
        <v>26805240</v>
      </c>
      <c r="D386" s="0" t="s">
        <v>5034</v>
      </c>
      <c r="E386" s="0" t="s">
        <v>5035</v>
      </c>
      <c r="F386" s="0" t="s">
        <v>5036</v>
      </c>
      <c r="G386" s="0" t="s">
        <v>5037</v>
      </c>
      <c r="H386" s="0" t="s">
        <v>5038</v>
      </c>
      <c r="I386" s="0" t="s">
        <v>5039</v>
      </c>
      <c r="J386" s="0" t="s">
        <v>3647</v>
      </c>
      <c r="K386" s="0" t="s">
        <v>5040</v>
      </c>
      <c r="L386" s="0" t="s">
        <v>5040</v>
      </c>
      <c r="M386" s="0" t="s">
        <v>227</v>
      </c>
      <c r="N386" s="0" t="s">
        <v>227</v>
      </c>
      <c r="O386" s="0" t="s">
        <v>5041</v>
      </c>
      <c r="P386" s="0" t="s">
        <v>3723</v>
      </c>
      <c r="Q386" s="0" t="s">
        <v>227</v>
      </c>
      <c r="R386" s="0" t="b">
        <v>0</v>
      </c>
      <c r="S386" s="0" t="s">
        <v>5014</v>
      </c>
    </row>
    <row customHeight="1" ht="11.25">
      <c r="A387" s="0">
        <v>2655</v>
      </c>
      <c r="B387" s="0" t="s">
        <v>102</v>
      </c>
      <c r="C387" s="0">
        <v>26318876</v>
      </c>
      <c r="D387" s="0" t="s">
        <v>5042</v>
      </c>
      <c r="E387" s="0" t="s">
        <v>5042</v>
      </c>
      <c r="F387" s="0" t="s">
        <v>5043</v>
      </c>
      <c r="G387" s="0" t="s">
        <v>5044</v>
      </c>
      <c r="H387" s="0" t="s">
        <v>5045</v>
      </c>
      <c r="I387" s="0" t="s">
        <v>227</v>
      </c>
      <c r="J387" s="0" t="s">
        <v>3647</v>
      </c>
      <c r="K387" s="0" t="s">
        <v>5046</v>
      </c>
      <c r="L387" s="0" t="s">
        <v>5046</v>
      </c>
      <c r="M387" s="0" t="s">
        <v>5047</v>
      </c>
      <c r="N387" s="0" t="s">
        <v>5048</v>
      </c>
      <c r="O387" s="0" t="s">
        <v>5049</v>
      </c>
      <c r="P387" s="0" t="s">
        <v>5050</v>
      </c>
      <c r="Q387" s="0" t="s">
        <v>227</v>
      </c>
      <c r="R387" s="0" t="b">
        <v>0</v>
      </c>
      <c r="S387" s="0" t="s">
        <v>5014</v>
      </c>
    </row>
    <row customHeight="1" ht="11.25">
      <c r="A388" s="0">
        <v>2655</v>
      </c>
      <c r="B388" s="0" t="s">
        <v>102</v>
      </c>
      <c r="C388" s="0">
        <v>27804896</v>
      </c>
      <c r="D388" s="0" t="s">
        <v>4358</v>
      </c>
      <c r="E388" s="0" t="s">
        <v>4359</v>
      </c>
      <c r="F388" s="0" t="s">
        <v>4360</v>
      </c>
      <c r="G388" s="0" t="s">
        <v>3659</v>
      </c>
      <c r="H388" s="0" t="s">
        <v>4361</v>
      </c>
      <c r="I388" s="0" t="s">
        <v>4362</v>
      </c>
      <c r="J388" s="0" t="s">
        <v>3647</v>
      </c>
      <c r="K388" s="0" t="s">
        <v>4363</v>
      </c>
      <c r="L388" s="0" t="s">
        <v>3663</v>
      </c>
      <c r="M388" s="0" t="s">
        <v>4364</v>
      </c>
      <c r="N388" s="0" t="s">
        <v>4365</v>
      </c>
      <c r="O388" s="0" t="s">
        <v>4366</v>
      </c>
      <c r="P388" s="0" t="s">
        <v>3667</v>
      </c>
      <c r="Q388" s="0" t="s">
        <v>3668</v>
      </c>
      <c r="R388" s="0" t="b">
        <v>0</v>
      </c>
      <c r="S388" s="0" t="s">
        <v>5014</v>
      </c>
    </row>
    <row customHeight="1" ht="11.25">
      <c r="A389" s="0">
        <v>2655</v>
      </c>
      <c r="B389" s="0" t="s">
        <v>102</v>
      </c>
      <c r="C389" s="0">
        <v>26319041</v>
      </c>
      <c r="D389" s="0" t="s">
        <v>5051</v>
      </c>
      <c r="E389" s="0" t="s">
        <v>5051</v>
      </c>
      <c r="F389" s="0" t="s">
        <v>5052</v>
      </c>
      <c r="G389" s="0" t="s">
        <v>5044</v>
      </c>
      <c r="H389" s="0" t="s">
        <v>5053</v>
      </c>
      <c r="I389" s="0" t="s">
        <v>227</v>
      </c>
      <c r="J389" s="0" t="s">
        <v>3718</v>
      </c>
      <c r="K389" s="0" t="s">
        <v>5054</v>
      </c>
      <c r="L389" s="0" t="s">
        <v>5054</v>
      </c>
      <c r="M389" s="0" t="s">
        <v>5055</v>
      </c>
      <c r="N389" s="0" t="s">
        <v>5056</v>
      </c>
      <c r="O389" s="0" t="s">
        <v>5057</v>
      </c>
      <c r="P389" s="0" t="s">
        <v>227</v>
      </c>
      <c r="Q389" s="0" t="s">
        <v>227</v>
      </c>
      <c r="R389" s="0" t="b">
        <v>0</v>
      </c>
      <c r="S389" s="0" t="s">
        <v>5014</v>
      </c>
    </row>
    <row customHeight="1" ht="11.25">
      <c r="A390" s="0">
        <v>2655</v>
      </c>
      <c r="B390" s="0" t="s">
        <v>102</v>
      </c>
      <c r="C390" s="0">
        <v>28029222</v>
      </c>
      <c r="D390" s="0" t="s">
        <v>5058</v>
      </c>
      <c r="E390" s="0" t="s">
        <v>5059</v>
      </c>
      <c r="F390" s="0" t="s">
        <v>5060</v>
      </c>
      <c r="G390" s="0" t="s">
        <v>3659</v>
      </c>
      <c r="H390" s="0" t="s">
        <v>5061</v>
      </c>
      <c r="I390" s="0" t="s">
        <v>5062</v>
      </c>
      <c r="J390" s="0" t="s">
        <v>3647</v>
      </c>
      <c r="K390" s="0" t="s">
        <v>5063</v>
      </c>
      <c r="L390" s="0" t="s">
        <v>5063</v>
      </c>
      <c r="M390" s="0" t="s">
        <v>5064</v>
      </c>
      <c r="N390" s="0" t="s">
        <v>5065</v>
      </c>
      <c r="O390" s="0" t="s">
        <v>5066</v>
      </c>
      <c r="P390" s="0" t="s">
        <v>3723</v>
      </c>
      <c r="Q390" s="0" t="s">
        <v>5067</v>
      </c>
      <c r="R390" s="0" t="b">
        <v>0</v>
      </c>
      <c r="S390" s="0" t="s">
        <v>5014</v>
      </c>
    </row>
    <row customHeight="1" ht="11.25">
      <c r="A391" s="0">
        <v>2655</v>
      </c>
      <c r="B391" s="0" t="s">
        <v>102</v>
      </c>
      <c r="C391" s="0">
        <v>26448586</v>
      </c>
      <c r="D391" s="0" t="s">
        <v>5068</v>
      </c>
      <c r="E391" s="0" t="s">
        <v>5068</v>
      </c>
      <c r="F391" s="0" t="s">
        <v>5069</v>
      </c>
      <c r="G391" s="0" t="s">
        <v>5070</v>
      </c>
      <c r="H391" s="0" t="s">
        <v>5071</v>
      </c>
      <c r="L391" s="0" t="s">
        <v>5072</v>
      </c>
      <c r="M391" s="0" t="s">
        <v>5073</v>
      </c>
      <c r="N391" s="0" t="s">
        <v>5074</v>
      </c>
      <c r="O391" s="0" t="s">
        <v>5075</v>
      </c>
      <c r="P391" s="0" t="s">
        <v>3723</v>
      </c>
      <c r="R391" s="0" t="b">
        <v>0</v>
      </c>
      <c r="S391" s="0" t="s">
        <v>5014</v>
      </c>
    </row>
    <row customHeight="1" ht="11.25">
      <c r="A392" s="0">
        <v>2655</v>
      </c>
      <c r="B392" s="0" t="s">
        <v>102</v>
      </c>
      <c r="C392" s="0">
        <v>26519096</v>
      </c>
      <c r="D392" s="0" t="s">
        <v>5076</v>
      </c>
      <c r="E392" s="0" t="s">
        <v>5077</v>
      </c>
      <c r="F392" s="0" t="s">
        <v>5078</v>
      </c>
      <c r="G392" s="0" t="s">
        <v>3659</v>
      </c>
      <c r="H392" s="0" t="s">
        <v>5079</v>
      </c>
      <c r="I392" s="0" t="s">
        <v>5080</v>
      </c>
      <c r="J392" s="0" t="s">
        <v>3647</v>
      </c>
      <c r="K392" s="0" t="s">
        <v>5081</v>
      </c>
      <c r="L392" s="0" t="s">
        <v>5081</v>
      </c>
      <c r="M392" s="0" t="s">
        <v>5082</v>
      </c>
      <c r="N392" s="0" t="s">
        <v>5083</v>
      </c>
      <c r="O392" s="0" t="s">
        <v>5084</v>
      </c>
      <c r="P392" s="0" t="s">
        <v>3723</v>
      </c>
      <c r="Q392" s="0" t="s">
        <v>227</v>
      </c>
      <c r="R392" s="0" t="b">
        <v>0</v>
      </c>
      <c r="S392" s="0" t="s">
        <v>5014</v>
      </c>
    </row>
    <row customHeight="1" ht="11.25">
      <c r="A393" s="0">
        <v>2655</v>
      </c>
      <c r="B393" s="0" t="s">
        <v>102</v>
      </c>
      <c r="C393" s="0">
        <v>27820148</v>
      </c>
      <c r="D393" s="0" t="s">
        <v>4225</v>
      </c>
      <c r="E393" s="0" t="s">
        <v>4226</v>
      </c>
      <c r="F393" s="0" t="s">
        <v>4227</v>
      </c>
      <c r="G393" s="0" t="s">
        <v>3956</v>
      </c>
      <c r="H393" s="0" t="s">
        <v>4228</v>
      </c>
      <c r="I393" s="0" t="s">
        <v>4229</v>
      </c>
      <c r="J393" s="0" t="s">
        <v>3647</v>
      </c>
      <c r="K393" s="0" t="s">
        <v>4230</v>
      </c>
      <c r="L393" s="0" t="s">
        <v>4230</v>
      </c>
      <c r="M393" s="0" t="s">
        <v>4231</v>
      </c>
      <c r="N393" s="0" t="s">
        <v>4232</v>
      </c>
      <c r="O393" s="0" t="s">
        <v>4233</v>
      </c>
      <c r="P393" s="0" t="s">
        <v>4234</v>
      </c>
      <c r="Q393" s="0" t="s">
        <v>4235</v>
      </c>
      <c r="R393" s="0" t="b">
        <v>0</v>
      </c>
      <c r="S393" s="0" t="s">
        <v>5014</v>
      </c>
    </row>
    <row customHeight="1" ht="11.25">
      <c r="A394" s="0">
        <v>2655</v>
      </c>
      <c r="B394" s="0" t="s">
        <v>102</v>
      </c>
      <c r="C394" s="0">
        <v>26322893</v>
      </c>
      <c r="D394" s="0" t="s">
        <v>5085</v>
      </c>
      <c r="E394" s="0" t="s">
        <v>5086</v>
      </c>
      <c r="F394" s="0" t="s">
        <v>5087</v>
      </c>
      <c r="G394" s="0" t="s">
        <v>3659</v>
      </c>
      <c r="H394" s="0" t="s">
        <v>5088</v>
      </c>
      <c r="I394" s="0" t="s">
        <v>227</v>
      </c>
      <c r="J394" s="0" t="s">
        <v>3647</v>
      </c>
      <c r="K394" s="0" t="s">
        <v>5089</v>
      </c>
      <c r="L394" s="0" t="s">
        <v>5089</v>
      </c>
      <c r="M394" s="0" t="s">
        <v>5090</v>
      </c>
      <c r="N394" s="0" t="s">
        <v>5091</v>
      </c>
      <c r="O394" s="0" t="s">
        <v>5092</v>
      </c>
      <c r="P394" s="0" t="s">
        <v>145</v>
      </c>
      <c r="Q394" s="0" t="s">
        <v>5093</v>
      </c>
      <c r="R394" s="0" t="b">
        <v>0</v>
      </c>
      <c r="S394" s="0" t="s">
        <v>5014</v>
      </c>
    </row>
    <row customHeight="1" ht="11.25">
      <c r="A395" s="0">
        <v>2655</v>
      </c>
      <c r="B395" s="0" t="s">
        <v>102</v>
      </c>
      <c r="C395" s="0">
        <v>27200904</v>
      </c>
      <c r="D395" s="0" t="s">
        <v>5094</v>
      </c>
      <c r="E395" s="0" t="s">
        <v>5095</v>
      </c>
      <c r="F395" s="0" t="s">
        <v>5096</v>
      </c>
      <c r="G395" s="0" t="s">
        <v>5097</v>
      </c>
      <c r="H395" s="0" t="s">
        <v>5098</v>
      </c>
      <c r="I395" s="0" t="s">
        <v>5099</v>
      </c>
      <c r="J395" s="0" t="s">
        <v>3647</v>
      </c>
      <c r="K395" s="0" t="s">
        <v>5100</v>
      </c>
      <c r="L395" s="0" t="s">
        <v>5101</v>
      </c>
      <c r="M395" s="0" t="s">
        <v>5102</v>
      </c>
      <c r="N395" s="0" t="s">
        <v>5103</v>
      </c>
      <c r="O395" s="0" t="s">
        <v>5104</v>
      </c>
      <c r="P395" s="0" t="s">
        <v>5105</v>
      </c>
      <c r="Q395" s="0" t="s">
        <v>5106</v>
      </c>
      <c r="R395" s="0" t="b">
        <v>0</v>
      </c>
      <c r="S395" s="0" t="s">
        <v>5014</v>
      </c>
    </row>
    <row customHeight="1" ht="11.25">
      <c r="A396" s="0">
        <v>2655</v>
      </c>
      <c r="B396" s="0" t="s">
        <v>102</v>
      </c>
      <c r="C396" s="0">
        <v>26767932</v>
      </c>
      <c r="D396" s="0" t="s">
        <v>5107</v>
      </c>
      <c r="E396" s="0" t="s">
        <v>227</v>
      </c>
      <c r="F396" s="0" t="s">
        <v>3726</v>
      </c>
      <c r="G396" s="0" t="s">
        <v>5108</v>
      </c>
      <c r="H396" s="0" t="s">
        <v>3728</v>
      </c>
      <c r="I396" s="0" t="s">
        <v>227</v>
      </c>
      <c r="J396" s="0" t="s">
        <v>3647</v>
      </c>
      <c r="K396" s="0" t="s">
        <v>5109</v>
      </c>
      <c r="L396" s="0" t="s">
        <v>5109</v>
      </c>
      <c r="M396" s="0" t="s">
        <v>227</v>
      </c>
      <c r="N396" s="0" t="s">
        <v>227</v>
      </c>
      <c r="O396" s="0" t="s">
        <v>5110</v>
      </c>
      <c r="P396" s="0" t="s">
        <v>227</v>
      </c>
      <c r="Q396" s="0" t="s">
        <v>227</v>
      </c>
      <c r="R396" s="0" t="b">
        <v>0</v>
      </c>
      <c r="S396" s="0" t="s">
        <v>5014</v>
      </c>
    </row>
    <row customHeight="1" ht="11.25">
      <c r="A397" s="0">
        <v>2655</v>
      </c>
      <c r="B397" s="0" t="s">
        <v>102</v>
      </c>
      <c r="C397" s="0">
        <v>26322867</v>
      </c>
      <c r="D397" s="0" t="s">
        <v>3745</v>
      </c>
      <c r="E397" s="0" t="s">
        <v>3746</v>
      </c>
      <c r="F397" s="0" t="s">
        <v>3747</v>
      </c>
      <c r="G397" s="0" t="s">
        <v>3692</v>
      </c>
      <c r="H397" s="0" t="s">
        <v>3748</v>
      </c>
      <c r="I397" s="0" t="s">
        <v>3749</v>
      </c>
      <c r="J397" s="0" t="s">
        <v>3647</v>
      </c>
      <c r="K397" s="0" t="s">
        <v>3750</v>
      </c>
      <c r="L397" s="0" t="s">
        <v>3750</v>
      </c>
      <c r="M397" s="0" t="s">
        <v>3751</v>
      </c>
      <c r="N397" s="0" t="s">
        <v>3752</v>
      </c>
      <c r="O397" s="0" t="s">
        <v>3753</v>
      </c>
      <c r="P397" s="0" t="s">
        <v>3723</v>
      </c>
      <c r="Q397" s="0" t="s">
        <v>3754</v>
      </c>
      <c r="R397" s="0" t="b">
        <v>0</v>
      </c>
      <c r="S397" s="0" t="s">
        <v>5014</v>
      </c>
    </row>
    <row customHeight="1" ht="11.25">
      <c r="A398" s="0">
        <v>2655</v>
      </c>
      <c r="B398" s="0" t="s">
        <v>102</v>
      </c>
      <c r="C398" s="0">
        <v>27581524</v>
      </c>
      <c r="D398" s="0" t="s">
        <v>5111</v>
      </c>
      <c r="E398" s="0" t="s">
        <v>227</v>
      </c>
      <c r="F398" s="0" t="s">
        <v>5112</v>
      </c>
      <c r="G398" s="0" t="s">
        <v>5113</v>
      </c>
      <c r="H398" s="0" t="s">
        <v>5114</v>
      </c>
      <c r="I398" s="0" t="s">
        <v>5115</v>
      </c>
      <c r="K398" s="0" t="s">
        <v>5116</v>
      </c>
      <c r="L398" s="0" t="s">
        <v>5116</v>
      </c>
      <c r="M398" s="0" t="s">
        <v>5117</v>
      </c>
      <c r="N398" s="0" t="s">
        <v>227</v>
      </c>
      <c r="O398" s="0" t="s">
        <v>5118</v>
      </c>
      <c r="P398" s="0" t="s">
        <v>5119</v>
      </c>
      <c r="Q398" s="0" t="s">
        <v>227</v>
      </c>
      <c r="R398" s="0" t="b">
        <v>0</v>
      </c>
      <c r="S398" s="0" t="s">
        <v>5014</v>
      </c>
    </row>
    <row customHeight="1" ht="11.25">
      <c r="A399" s="0">
        <v>2655</v>
      </c>
      <c r="B399" s="0" t="s">
        <v>102</v>
      </c>
      <c r="C399" s="0">
        <v>26322851</v>
      </c>
      <c r="D399" s="0" t="s">
        <v>5120</v>
      </c>
      <c r="E399" s="0" t="s">
        <v>5121</v>
      </c>
      <c r="F399" s="0" t="s">
        <v>3726</v>
      </c>
      <c r="G399" s="0" t="s">
        <v>5122</v>
      </c>
      <c r="H399" s="0" t="s">
        <v>3728</v>
      </c>
      <c r="I399" s="0" t="s">
        <v>5123</v>
      </c>
      <c r="K399" s="0" t="s">
        <v>5124</v>
      </c>
      <c r="L399" s="0" t="s">
        <v>5125</v>
      </c>
      <c r="M399" s="0" t="s">
        <v>5126</v>
      </c>
      <c r="N399" s="0" t="s">
        <v>5127</v>
      </c>
      <c r="O399" s="0" t="s">
        <v>5128</v>
      </c>
      <c r="P399" s="0" t="s">
        <v>5129</v>
      </c>
      <c r="Q399" s="0" t="s">
        <v>5130</v>
      </c>
      <c r="R399" s="0" t="b">
        <v>0</v>
      </c>
      <c r="S399" s="0" t="s">
        <v>5014</v>
      </c>
    </row>
    <row customHeight="1" ht="11.25">
      <c r="A400" s="0">
        <v>2655</v>
      </c>
      <c r="B400" s="0" t="s">
        <v>102</v>
      </c>
      <c r="C400" s="0">
        <v>30406046</v>
      </c>
      <c r="D400" s="0" t="s">
        <v>5131</v>
      </c>
      <c r="E400" s="0" t="s">
        <v>5132</v>
      </c>
      <c r="F400" s="0" t="s">
        <v>5052</v>
      </c>
      <c r="G400" s="0" t="s">
        <v>3704</v>
      </c>
      <c r="H400" s="0" t="s">
        <v>5053</v>
      </c>
      <c r="I400" s="0" t="s">
        <v>227</v>
      </c>
      <c r="J400" s="0" t="s">
        <v>3647</v>
      </c>
      <c r="K400" s="0" t="s">
        <v>227</v>
      </c>
      <c r="L400" s="0" t="s">
        <v>227</v>
      </c>
      <c r="M400" s="0" t="s">
        <v>5133</v>
      </c>
      <c r="N400" s="0" t="s">
        <v>5134</v>
      </c>
      <c r="O400" s="0" t="s">
        <v>5135</v>
      </c>
      <c r="P400" s="0" t="s">
        <v>5136</v>
      </c>
      <c r="Q400" s="0" t="s">
        <v>5137</v>
      </c>
      <c r="R400" s="0" t="b">
        <v>0</v>
      </c>
      <c r="S400" s="0" t="s">
        <v>5014</v>
      </c>
    </row>
    <row customHeight="1" ht="11.25">
      <c r="A401" s="0">
        <v>2655</v>
      </c>
      <c r="B401" s="0" t="s">
        <v>102</v>
      </c>
      <c r="C401" s="0">
        <v>26322895</v>
      </c>
      <c r="D401" s="0" t="s">
        <v>3936</v>
      </c>
      <c r="E401" s="0" t="s">
        <v>3937</v>
      </c>
      <c r="F401" s="0" t="s">
        <v>3938</v>
      </c>
      <c r="G401" s="0" t="s">
        <v>3659</v>
      </c>
      <c r="H401" s="0" t="s">
        <v>3939</v>
      </c>
      <c r="I401" s="0" t="s">
        <v>3940</v>
      </c>
      <c r="J401" s="0" t="s">
        <v>3718</v>
      </c>
      <c r="K401" s="0" t="s">
        <v>3941</v>
      </c>
      <c r="L401" s="0" t="s">
        <v>3941</v>
      </c>
      <c r="M401" s="0" t="s">
        <v>3942</v>
      </c>
      <c r="N401" s="0" t="s">
        <v>3943</v>
      </c>
      <c r="O401" s="0" t="s">
        <v>3944</v>
      </c>
      <c r="P401" s="0" t="s">
        <v>3723</v>
      </c>
      <c r="Q401" s="0" t="s">
        <v>3945</v>
      </c>
      <c r="R401" s="0" t="b">
        <v>0</v>
      </c>
      <c r="S401" s="0" t="s">
        <v>5014</v>
      </c>
    </row>
    <row customHeight="1" ht="11.25">
      <c r="A402" s="0">
        <v>2655</v>
      </c>
      <c r="B402" s="0" t="s">
        <v>102</v>
      </c>
      <c r="C402" s="0">
        <v>27094684</v>
      </c>
      <c r="D402" s="0" t="s">
        <v>5138</v>
      </c>
      <c r="E402" s="0" t="s">
        <v>5139</v>
      </c>
      <c r="F402" s="0" t="s">
        <v>5140</v>
      </c>
      <c r="G402" s="0" t="s">
        <v>5141</v>
      </c>
      <c r="H402" s="0" t="s">
        <v>5142</v>
      </c>
      <c r="I402" s="0" t="s">
        <v>5143</v>
      </c>
      <c r="J402" s="0" t="s">
        <v>3718</v>
      </c>
      <c r="K402" s="0" t="s">
        <v>5144</v>
      </c>
      <c r="L402" s="0" t="s">
        <v>5144</v>
      </c>
      <c r="M402" s="0" t="s">
        <v>5145</v>
      </c>
      <c r="N402" s="0" t="s">
        <v>227</v>
      </c>
      <c r="O402" s="0" t="s">
        <v>5146</v>
      </c>
      <c r="P402" s="0" t="s">
        <v>3723</v>
      </c>
      <c r="Q402" s="0" t="s">
        <v>227</v>
      </c>
      <c r="R402" s="0" t="b">
        <v>0</v>
      </c>
      <c r="S402" s="0" t="s">
        <v>5014</v>
      </c>
    </row>
    <row customHeight="1" ht="11.25">
      <c r="A403" s="0">
        <v>2655</v>
      </c>
      <c r="B403" s="0" t="s">
        <v>102</v>
      </c>
      <c r="C403" s="0">
        <v>26792017</v>
      </c>
      <c r="D403" s="0" t="s">
        <v>5147</v>
      </c>
      <c r="E403" s="0" t="s">
        <v>227</v>
      </c>
      <c r="F403" s="0" t="s">
        <v>5148</v>
      </c>
      <c r="G403" s="0" t="s">
        <v>5149</v>
      </c>
      <c r="H403" s="0" t="s">
        <v>5150</v>
      </c>
      <c r="I403" s="0" t="s">
        <v>227</v>
      </c>
      <c r="J403" s="0" t="s">
        <v>128</v>
      </c>
      <c r="K403" s="0" t="s">
        <v>227</v>
      </c>
      <c r="L403" s="0" t="s">
        <v>227</v>
      </c>
      <c r="M403" s="0" t="s">
        <v>227</v>
      </c>
      <c r="N403" s="0" t="s">
        <v>227</v>
      </c>
      <c r="O403" s="0" t="s">
        <v>227</v>
      </c>
      <c r="P403" s="0" t="s">
        <v>227</v>
      </c>
      <c r="Q403" s="0" t="s">
        <v>227</v>
      </c>
      <c r="R403" s="0" t="b">
        <v>0</v>
      </c>
      <c r="S403" s="0" t="s">
        <v>5014</v>
      </c>
    </row>
    <row customHeight="1" ht="11.25">
      <c r="A404" s="0">
        <v>2655</v>
      </c>
      <c r="B404" s="0" t="s">
        <v>102</v>
      </c>
      <c r="C404" s="0">
        <v>31289532</v>
      </c>
      <c r="D404" s="0" t="s">
        <v>5151</v>
      </c>
      <c r="E404" s="0" t="s">
        <v>5151</v>
      </c>
      <c r="F404" s="0" t="s">
        <v>5152</v>
      </c>
      <c r="G404" s="0" t="s">
        <v>5153</v>
      </c>
      <c r="H404" s="0" t="s">
        <v>5154</v>
      </c>
      <c r="I404" s="0" t="s">
        <v>227</v>
      </c>
      <c r="J404" s="0" t="s">
        <v>128</v>
      </c>
      <c r="K404" s="0" t="s">
        <v>5155</v>
      </c>
      <c r="L404" s="0" t="s">
        <v>5156</v>
      </c>
      <c r="M404" s="0" t="s">
        <v>5157</v>
      </c>
      <c r="N404" s="0" t="s">
        <v>5158</v>
      </c>
      <c r="O404" s="0" t="s">
        <v>5159</v>
      </c>
      <c r="P404" s="0" t="s">
        <v>3723</v>
      </c>
      <c r="Q404" s="0" t="s">
        <v>5160</v>
      </c>
      <c r="R404" s="0" t="b">
        <v>0</v>
      </c>
      <c r="S404" s="0" t="s">
        <v>5014</v>
      </c>
    </row>
    <row customHeight="1" ht="11.25">
      <c r="A405" s="0">
        <v>2655</v>
      </c>
      <c r="B405" s="0" t="s">
        <v>102</v>
      </c>
      <c r="C405" s="0">
        <v>26527116</v>
      </c>
      <c r="D405" s="0" t="s">
        <v>5161</v>
      </c>
      <c r="E405" s="0" t="s">
        <v>5161</v>
      </c>
      <c r="F405" s="0" t="s">
        <v>5162</v>
      </c>
      <c r="G405" s="0" t="s">
        <v>5163</v>
      </c>
      <c r="H405" s="0" t="s">
        <v>5164</v>
      </c>
      <c r="I405" s="0" t="s">
        <v>227</v>
      </c>
      <c r="K405" s="0" t="s">
        <v>227</v>
      </c>
      <c r="L405" s="0" t="s">
        <v>5165</v>
      </c>
      <c r="M405" s="0" t="s">
        <v>5166</v>
      </c>
      <c r="N405" s="0" t="s">
        <v>227</v>
      </c>
      <c r="O405" s="0" t="s">
        <v>5167</v>
      </c>
      <c r="P405" s="0" t="s">
        <v>227</v>
      </c>
      <c r="Q405" s="0" t="s">
        <v>227</v>
      </c>
      <c r="R405" s="0" t="b">
        <v>0</v>
      </c>
      <c r="S405" s="0" t="s">
        <v>5014</v>
      </c>
    </row>
    <row customHeight="1" ht="11.25">
      <c r="A406" s="0">
        <v>2655</v>
      </c>
      <c r="B406" s="0" t="s">
        <v>102</v>
      </c>
      <c r="C406" s="0">
        <v>26650186</v>
      </c>
      <c r="D406" s="0" t="s">
        <v>5168</v>
      </c>
      <c r="E406" s="0" t="s">
        <v>5169</v>
      </c>
      <c r="F406" s="0" t="s">
        <v>5170</v>
      </c>
      <c r="G406" s="0" t="s">
        <v>5171</v>
      </c>
      <c r="H406" s="0" t="s">
        <v>5172</v>
      </c>
      <c r="I406" s="0" t="s">
        <v>5173</v>
      </c>
      <c r="J406" s="0" t="s">
        <v>128</v>
      </c>
      <c r="K406" s="0" t="s">
        <v>5174</v>
      </c>
      <c r="L406" s="0" t="s">
        <v>5175</v>
      </c>
      <c r="M406" s="0" t="s">
        <v>5176</v>
      </c>
      <c r="N406" s="0" t="s">
        <v>227</v>
      </c>
      <c r="O406" s="0" t="s">
        <v>4671</v>
      </c>
      <c r="P406" s="0" t="s">
        <v>5177</v>
      </c>
      <c r="Q406" s="0" t="s">
        <v>5178</v>
      </c>
      <c r="R406" s="0" t="b">
        <v>0</v>
      </c>
      <c r="S406" s="0" t="s">
        <v>5014</v>
      </c>
    </row>
    <row customHeight="1" ht="11.25">
      <c r="A407" s="0">
        <v>2655</v>
      </c>
      <c r="B407" s="0" t="s">
        <v>102</v>
      </c>
      <c r="C407" s="0">
        <v>26322864</v>
      </c>
      <c r="D407" s="0" t="s">
        <v>5179</v>
      </c>
      <c r="E407" s="0" t="s">
        <v>5180</v>
      </c>
      <c r="F407" s="0" t="s">
        <v>5181</v>
      </c>
      <c r="G407" s="0" t="s">
        <v>3773</v>
      </c>
      <c r="H407" s="0" t="s">
        <v>5182</v>
      </c>
      <c r="I407" s="0" t="s">
        <v>5183</v>
      </c>
      <c r="J407" s="0" t="s">
        <v>128</v>
      </c>
      <c r="K407" s="0" t="s">
        <v>5184</v>
      </c>
      <c r="L407" s="0" t="s">
        <v>5184</v>
      </c>
      <c r="M407" s="0" t="s">
        <v>5185</v>
      </c>
      <c r="N407" s="0" t="s">
        <v>5186</v>
      </c>
      <c r="O407" s="0" t="s">
        <v>5187</v>
      </c>
      <c r="P407" s="0" t="s">
        <v>5188</v>
      </c>
      <c r="Q407" s="0" t="s">
        <v>5189</v>
      </c>
      <c r="R407" s="0" t="b">
        <v>0</v>
      </c>
      <c r="S407" s="0" t="s">
        <v>5014</v>
      </c>
    </row>
    <row customHeight="1" ht="11.25">
      <c r="A408" s="0">
        <v>2655</v>
      </c>
      <c r="B408" s="0" t="s">
        <v>102</v>
      </c>
      <c r="C408" s="0">
        <v>27855290</v>
      </c>
      <c r="D408" s="0" t="s">
        <v>5190</v>
      </c>
      <c r="E408" s="0" t="s">
        <v>5191</v>
      </c>
      <c r="F408" s="0" t="s">
        <v>5192</v>
      </c>
      <c r="G408" s="0" t="s">
        <v>5193</v>
      </c>
      <c r="H408" s="0" t="s">
        <v>5194</v>
      </c>
      <c r="I408" s="0" t="s">
        <v>5195</v>
      </c>
      <c r="K408" s="0" t="s">
        <v>5196</v>
      </c>
      <c r="L408" s="0" t="s">
        <v>5196</v>
      </c>
      <c r="M408" s="0" t="s">
        <v>5197</v>
      </c>
      <c r="N408" s="0" t="s">
        <v>5198</v>
      </c>
      <c r="O408" s="0" t="s">
        <v>5199</v>
      </c>
      <c r="P408" s="0" t="s">
        <v>145</v>
      </c>
      <c r="Q408" s="0" t="s">
        <v>227</v>
      </c>
      <c r="R408" s="0" t="b">
        <v>0</v>
      </c>
      <c r="S408" s="0" t="s">
        <v>5014</v>
      </c>
    </row>
    <row customHeight="1" ht="11.25">
      <c r="A409" s="0">
        <v>2655</v>
      </c>
      <c r="B409" s="0" t="s">
        <v>102</v>
      </c>
      <c r="C409" s="0">
        <v>26529124</v>
      </c>
      <c r="D409" s="0" t="s">
        <v>5200</v>
      </c>
      <c r="E409" s="0" t="s">
        <v>5200</v>
      </c>
      <c r="F409" s="0" t="s">
        <v>5201</v>
      </c>
      <c r="G409" s="0" t="s">
        <v>5202</v>
      </c>
      <c r="H409" s="0" t="s">
        <v>5203</v>
      </c>
      <c r="I409" s="0" t="s">
        <v>227</v>
      </c>
      <c r="J409" s="0" t="s">
        <v>128</v>
      </c>
      <c r="K409" s="0" t="s">
        <v>5204</v>
      </c>
      <c r="L409" s="0" t="s">
        <v>5204</v>
      </c>
      <c r="M409" s="0" t="s">
        <v>5205</v>
      </c>
      <c r="N409" s="0" t="s">
        <v>5206</v>
      </c>
      <c r="O409" s="0" t="s">
        <v>5207</v>
      </c>
      <c r="P409" s="0" t="s">
        <v>3667</v>
      </c>
      <c r="Q409" s="0" t="s">
        <v>227</v>
      </c>
      <c r="R409" s="0" t="b">
        <v>0</v>
      </c>
      <c r="S409" s="0" t="s">
        <v>5014</v>
      </c>
    </row>
    <row customHeight="1" ht="11.25">
      <c r="A410" s="0">
        <v>2655</v>
      </c>
      <c r="B410" s="0" t="s">
        <v>102</v>
      </c>
      <c r="C410" s="0">
        <v>31527562</v>
      </c>
      <c r="D410" s="0" t="s">
        <v>4543</v>
      </c>
      <c r="E410" s="0" t="s">
        <v>4544</v>
      </c>
      <c r="F410" s="0" t="s">
        <v>4545</v>
      </c>
      <c r="G410" s="0" t="s">
        <v>4546</v>
      </c>
      <c r="H410" s="0" t="s">
        <v>4547</v>
      </c>
      <c r="I410" s="0" t="s">
        <v>4548</v>
      </c>
      <c r="K410" s="0" t="s">
        <v>4549</v>
      </c>
      <c r="L410" s="0" t="s">
        <v>4550</v>
      </c>
      <c r="M410" s="0" t="s">
        <v>227</v>
      </c>
      <c r="N410" s="0" t="s">
        <v>227</v>
      </c>
      <c r="O410" s="0" t="s">
        <v>4551</v>
      </c>
      <c r="P410" s="0" t="s">
        <v>227</v>
      </c>
      <c r="Q410" s="0" t="s">
        <v>227</v>
      </c>
      <c r="R410" s="0" t="b">
        <v>0</v>
      </c>
      <c r="S410" s="0" t="s">
        <v>5014</v>
      </c>
    </row>
    <row customHeight="1" ht="11.25">
      <c r="A411" s="0">
        <v>2655</v>
      </c>
      <c r="B411" s="0" t="s">
        <v>102</v>
      </c>
      <c r="C411" s="0">
        <v>26322900</v>
      </c>
      <c r="D411" s="0" t="s">
        <v>5208</v>
      </c>
      <c r="E411" s="0" t="s">
        <v>5209</v>
      </c>
      <c r="F411" s="0" t="s">
        <v>5210</v>
      </c>
      <c r="G411" s="0" t="s">
        <v>3659</v>
      </c>
      <c r="H411" s="0" t="s">
        <v>5211</v>
      </c>
      <c r="I411" s="0" t="s">
        <v>5212</v>
      </c>
      <c r="J411" s="0" t="s">
        <v>128</v>
      </c>
      <c r="K411" s="0" t="s">
        <v>5213</v>
      </c>
      <c r="L411" s="0" t="s">
        <v>5213</v>
      </c>
      <c r="M411" s="0" t="s">
        <v>5214</v>
      </c>
      <c r="N411" s="0" t="s">
        <v>5215</v>
      </c>
      <c r="O411" s="0" t="s">
        <v>5216</v>
      </c>
      <c r="P411" s="0" t="s">
        <v>3723</v>
      </c>
      <c r="Q411" s="0" t="s">
        <v>5217</v>
      </c>
      <c r="R411" s="0" t="b">
        <v>0</v>
      </c>
      <c r="S411" s="0" t="s">
        <v>5014</v>
      </c>
    </row>
    <row customHeight="1" ht="11.25">
      <c r="A412" s="0">
        <v>2655</v>
      </c>
      <c r="B412" s="0" t="s">
        <v>102</v>
      </c>
      <c r="C412" s="0">
        <v>31506347</v>
      </c>
      <c r="D412" s="0" t="s">
        <v>5218</v>
      </c>
      <c r="E412" s="0" t="s">
        <v>5219</v>
      </c>
      <c r="F412" s="0" t="s">
        <v>5220</v>
      </c>
      <c r="G412" s="0" t="s">
        <v>3659</v>
      </c>
      <c r="H412" s="0" t="s">
        <v>5221</v>
      </c>
      <c r="I412" s="0" t="s">
        <v>5222</v>
      </c>
      <c r="J412" s="0" t="s">
        <v>128</v>
      </c>
      <c r="K412" s="0" t="s">
        <v>5223</v>
      </c>
      <c r="L412" s="0" t="s">
        <v>5223</v>
      </c>
      <c r="M412" s="0" t="s">
        <v>227</v>
      </c>
      <c r="N412" s="0" t="s">
        <v>5224</v>
      </c>
      <c r="O412" s="0" t="s">
        <v>5225</v>
      </c>
      <c r="P412" s="0" t="s">
        <v>3723</v>
      </c>
      <c r="Q412" s="0" t="s">
        <v>5226</v>
      </c>
      <c r="R412" s="0" t="b">
        <v>0</v>
      </c>
      <c r="S412" s="0" t="s">
        <v>5014</v>
      </c>
    </row>
    <row customHeight="1" ht="11.25">
      <c r="A413" s="0">
        <v>2655</v>
      </c>
      <c r="B413" s="0" t="s">
        <v>102</v>
      </c>
      <c r="C413" s="0">
        <v>28147378</v>
      </c>
      <c r="D413" s="0" t="s">
        <v>5227</v>
      </c>
      <c r="E413" s="0" t="s">
        <v>5228</v>
      </c>
      <c r="F413" s="0" t="s">
        <v>5229</v>
      </c>
      <c r="G413" s="0" t="s">
        <v>5230</v>
      </c>
      <c r="H413" s="0" t="s">
        <v>5231</v>
      </c>
      <c r="I413" s="0" t="s">
        <v>227</v>
      </c>
      <c r="J413" s="0" t="s">
        <v>128</v>
      </c>
      <c r="K413" s="0" t="s">
        <v>5232</v>
      </c>
      <c r="L413" s="0" t="s">
        <v>5232</v>
      </c>
      <c r="M413" s="0" t="s">
        <v>5233</v>
      </c>
      <c r="N413" s="0" t="s">
        <v>5234</v>
      </c>
      <c r="O413" s="0" t="s">
        <v>5235</v>
      </c>
      <c r="P413" s="0" t="s">
        <v>3723</v>
      </c>
      <c r="Q413" s="0" t="s">
        <v>5236</v>
      </c>
      <c r="R413" s="0" t="b">
        <v>0</v>
      </c>
      <c r="S413" s="0" t="s">
        <v>5014</v>
      </c>
    </row>
    <row customHeight="1" ht="11.25">
      <c r="A414" s="0">
        <v>2655</v>
      </c>
      <c r="B414" s="0" t="s">
        <v>102</v>
      </c>
      <c r="C414" s="0">
        <v>26842490</v>
      </c>
      <c r="D414" s="0" t="s">
        <v>5237</v>
      </c>
      <c r="E414" s="0" t="s">
        <v>5238</v>
      </c>
      <c r="F414" s="0" t="s">
        <v>5239</v>
      </c>
      <c r="G414" s="0" t="s">
        <v>5153</v>
      </c>
      <c r="H414" s="0" t="s">
        <v>5240</v>
      </c>
      <c r="I414" s="0" t="s">
        <v>227</v>
      </c>
      <c r="J414" s="0" t="s">
        <v>128</v>
      </c>
      <c r="K414" s="0" t="s">
        <v>5241</v>
      </c>
      <c r="L414" s="0" t="s">
        <v>5242</v>
      </c>
      <c r="M414" s="0" t="s">
        <v>5243</v>
      </c>
      <c r="N414" s="0" t="s">
        <v>5244</v>
      </c>
      <c r="O414" s="0" t="s">
        <v>5245</v>
      </c>
      <c r="P414" s="0" t="s">
        <v>3723</v>
      </c>
      <c r="Q414" s="0" t="s">
        <v>227</v>
      </c>
      <c r="R414" s="0" t="b">
        <v>0</v>
      </c>
      <c r="S414" s="0" t="s">
        <v>5014</v>
      </c>
    </row>
    <row customHeight="1" ht="11.25">
      <c r="A415" s="0">
        <v>2655</v>
      </c>
      <c r="B415" s="0" t="s">
        <v>102</v>
      </c>
      <c r="C415" s="0">
        <v>26515847</v>
      </c>
      <c r="D415" s="0" t="s">
        <v>5246</v>
      </c>
      <c r="E415" s="0" t="s">
        <v>227</v>
      </c>
      <c r="F415" s="0" t="s">
        <v>5112</v>
      </c>
      <c r="G415" s="0" t="s">
        <v>5247</v>
      </c>
      <c r="H415" s="0" t="s">
        <v>5114</v>
      </c>
      <c r="I415" s="0" t="s">
        <v>5248</v>
      </c>
      <c r="J415" s="0" t="s">
        <v>128</v>
      </c>
      <c r="K415" s="0" t="s">
        <v>227</v>
      </c>
      <c r="L415" s="0" t="s">
        <v>227</v>
      </c>
      <c r="M415" s="0" t="s">
        <v>5249</v>
      </c>
      <c r="N415" s="0" t="s">
        <v>227</v>
      </c>
      <c r="O415" s="0" t="s">
        <v>5250</v>
      </c>
      <c r="P415" s="0" t="s">
        <v>227</v>
      </c>
      <c r="Q415" s="0" t="s">
        <v>227</v>
      </c>
      <c r="R415" s="0" t="b">
        <v>0</v>
      </c>
      <c r="S415" s="0" t="s">
        <v>5014</v>
      </c>
    </row>
    <row customHeight="1" ht="11.25">
      <c r="A416" s="0">
        <v>2655</v>
      </c>
      <c r="B416" s="0" t="s">
        <v>102</v>
      </c>
      <c r="C416" s="0">
        <v>31340189</v>
      </c>
      <c r="D416" s="0" t="s">
        <v>5251</v>
      </c>
      <c r="E416" s="0" t="s">
        <v>5251</v>
      </c>
      <c r="F416" s="0" t="s">
        <v>5252</v>
      </c>
      <c r="G416" s="0" t="s">
        <v>5253</v>
      </c>
      <c r="H416" s="0" t="s">
        <v>5254</v>
      </c>
      <c r="I416" s="0" t="s">
        <v>5255</v>
      </c>
      <c r="J416" s="0" t="s">
        <v>128</v>
      </c>
      <c r="K416" s="0" t="s">
        <v>5256</v>
      </c>
      <c r="L416" s="0" t="s">
        <v>5257</v>
      </c>
      <c r="M416" s="0" t="s">
        <v>5258</v>
      </c>
      <c r="N416" s="0" t="s">
        <v>5259</v>
      </c>
      <c r="O416" s="0" t="s">
        <v>5260</v>
      </c>
      <c r="P416" s="0" t="s">
        <v>3723</v>
      </c>
      <c r="Q416" s="0" t="s">
        <v>5259</v>
      </c>
      <c r="R416" s="0" t="b">
        <v>0</v>
      </c>
      <c r="S416" s="0" t="s">
        <v>5014</v>
      </c>
    </row>
    <row customHeight="1" ht="11.25">
      <c r="A417" s="0">
        <v>2655</v>
      </c>
      <c r="B417" s="0" t="s">
        <v>102</v>
      </c>
      <c r="C417" s="0">
        <v>31214277</v>
      </c>
      <c r="D417" s="0" t="s">
        <v>5261</v>
      </c>
      <c r="E417" s="0" t="s">
        <v>5262</v>
      </c>
      <c r="F417" s="0" t="s">
        <v>5263</v>
      </c>
      <c r="G417" s="0" t="s">
        <v>5264</v>
      </c>
      <c r="H417" s="0" t="s">
        <v>5265</v>
      </c>
      <c r="I417" s="0" t="s">
        <v>227</v>
      </c>
      <c r="K417" s="0" t="s">
        <v>227</v>
      </c>
      <c r="L417" s="0" t="s">
        <v>5266</v>
      </c>
      <c r="M417" s="0" t="s">
        <v>5267</v>
      </c>
      <c r="N417" s="0" t="s">
        <v>227</v>
      </c>
      <c r="O417" s="0" t="s">
        <v>5268</v>
      </c>
      <c r="P417" s="0" t="s">
        <v>3667</v>
      </c>
      <c r="Q417" s="0" t="s">
        <v>5269</v>
      </c>
      <c r="R417" s="0" t="b">
        <v>0</v>
      </c>
      <c r="S417" s="0" t="s">
        <v>5014</v>
      </c>
    </row>
    <row customHeight="1" ht="11.25">
      <c r="A418" s="0">
        <v>2655</v>
      </c>
      <c r="B418" s="0" t="s">
        <v>102</v>
      </c>
      <c r="C418" s="0">
        <v>31890159</v>
      </c>
      <c r="D418" s="0" t="s">
        <v>5270</v>
      </c>
      <c r="E418" s="0" t="s">
        <v>5271</v>
      </c>
      <c r="F418" s="0" t="s">
        <v>5272</v>
      </c>
      <c r="G418" s="0" t="s">
        <v>5273</v>
      </c>
      <c r="H418" s="0" t="s">
        <v>5274</v>
      </c>
      <c r="I418" s="0" t="s">
        <v>227</v>
      </c>
      <c r="K418" s="0" t="s">
        <v>5275</v>
      </c>
      <c r="L418" s="0" t="s">
        <v>5275</v>
      </c>
      <c r="M418" s="0" t="s">
        <v>227</v>
      </c>
      <c r="N418" s="0" t="s">
        <v>227</v>
      </c>
      <c r="O418" s="0" t="s">
        <v>227</v>
      </c>
      <c r="P418" s="0" t="s">
        <v>227</v>
      </c>
      <c r="Q418" s="0" t="s">
        <v>227</v>
      </c>
      <c r="R418" s="0" t="b">
        <v>0</v>
      </c>
      <c r="S418" s="0" t="s">
        <v>5014</v>
      </c>
    </row>
    <row customHeight="1" ht="11.25">
      <c r="A419" s="0">
        <v>2655</v>
      </c>
      <c r="B419" s="0" t="s">
        <v>102</v>
      </c>
      <c r="C419" s="0">
        <v>26651348</v>
      </c>
      <c r="D419" s="0" t="s">
        <v>5276</v>
      </c>
      <c r="E419" s="0" t="s">
        <v>5277</v>
      </c>
      <c r="F419" s="0" t="s">
        <v>5278</v>
      </c>
      <c r="G419" s="0" t="s">
        <v>3672</v>
      </c>
      <c r="H419" s="0" t="s">
        <v>5279</v>
      </c>
      <c r="I419" s="0" t="s">
        <v>5280</v>
      </c>
      <c r="J419" s="0" t="s">
        <v>128</v>
      </c>
      <c r="K419" s="0" t="s">
        <v>5281</v>
      </c>
      <c r="L419" s="0" t="s">
        <v>5281</v>
      </c>
      <c r="M419" s="0" t="s">
        <v>5282</v>
      </c>
      <c r="N419" s="0" t="s">
        <v>5283</v>
      </c>
      <c r="O419" s="0" t="s">
        <v>5284</v>
      </c>
      <c r="P419" s="0" t="s">
        <v>3723</v>
      </c>
      <c r="Q419" s="0" t="s">
        <v>5285</v>
      </c>
      <c r="R419" s="0" t="b">
        <v>0</v>
      </c>
      <c r="S419" s="0" t="s">
        <v>5014</v>
      </c>
    </row>
    <row customHeight="1" ht="11.25">
      <c r="A420" s="0">
        <v>2655</v>
      </c>
      <c r="B420" s="0" t="s">
        <v>102</v>
      </c>
      <c r="C420" s="0">
        <v>26518195</v>
      </c>
      <c r="D420" s="0" t="s">
        <v>5286</v>
      </c>
      <c r="E420" s="0" t="s">
        <v>5287</v>
      </c>
      <c r="F420" s="0" t="s">
        <v>5288</v>
      </c>
      <c r="G420" s="0" t="s">
        <v>3682</v>
      </c>
      <c r="H420" s="0" t="s">
        <v>5289</v>
      </c>
      <c r="I420" s="0" t="s">
        <v>5290</v>
      </c>
      <c r="J420" s="0" t="s">
        <v>128</v>
      </c>
      <c r="K420" s="0" t="s">
        <v>5291</v>
      </c>
      <c r="L420" s="0" t="s">
        <v>5292</v>
      </c>
      <c r="M420" s="0" t="s">
        <v>5293</v>
      </c>
      <c r="N420" s="0" t="s">
        <v>5294</v>
      </c>
      <c r="O420" s="0" t="s">
        <v>5295</v>
      </c>
      <c r="P420" s="0" t="s">
        <v>3723</v>
      </c>
      <c r="Q420" s="0" t="s">
        <v>5296</v>
      </c>
      <c r="R420" s="0" t="b">
        <v>0</v>
      </c>
      <c r="S420" s="0" t="s">
        <v>5014</v>
      </c>
    </row>
    <row customHeight="1" ht="11.25">
      <c r="A421" s="0">
        <v>2655</v>
      </c>
      <c r="B421" s="0" t="s">
        <v>102</v>
      </c>
      <c r="C421" s="0">
        <v>31596823</v>
      </c>
      <c r="D421" s="0" t="s">
        <v>5297</v>
      </c>
      <c r="E421" s="0" t="s">
        <v>5298</v>
      </c>
      <c r="F421" s="0" t="s">
        <v>5299</v>
      </c>
      <c r="G421" s="0" t="s">
        <v>5300</v>
      </c>
      <c r="H421" s="0" t="s">
        <v>5301</v>
      </c>
      <c r="I421" s="0" t="s">
        <v>227</v>
      </c>
      <c r="K421" s="0" t="s">
        <v>5302</v>
      </c>
      <c r="L421" s="0" t="s">
        <v>5303</v>
      </c>
      <c r="M421" s="0" t="s">
        <v>5304</v>
      </c>
      <c r="N421" s="0" t="s">
        <v>227</v>
      </c>
      <c r="O421" s="0" t="s">
        <v>5305</v>
      </c>
      <c r="P421" s="0" t="s">
        <v>4729</v>
      </c>
      <c r="Q421" s="0" t="s">
        <v>227</v>
      </c>
      <c r="R421" s="0" t="b">
        <v>0</v>
      </c>
      <c r="S421" s="0" t="s">
        <v>5014</v>
      </c>
    </row>
    <row customHeight="1" ht="11.25">
      <c r="A422" s="0">
        <v>2655</v>
      </c>
      <c r="B422" s="0" t="s">
        <v>102</v>
      </c>
      <c r="C422" s="0">
        <v>30874078</v>
      </c>
      <c r="D422" s="0" t="s">
        <v>5306</v>
      </c>
      <c r="E422" s="0" t="s">
        <v>5307</v>
      </c>
      <c r="F422" s="0" t="s">
        <v>5308</v>
      </c>
      <c r="G422" s="0" t="s">
        <v>3659</v>
      </c>
      <c r="H422" s="0" t="s">
        <v>5309</v>
      </c>
      <c r="I422" s="0" t="s">
        <v>5310</v>
      </c>
      <c r="J422" s="0" t="s">
        <v>128</v>
      </c>
      <c r="K422" s="0" t="s">
        <v>5311</v>
      </c>
      <c r="L422" s="0" t="s">
        <v>5311</v>
      </c>
      <c r="M422" s="0" t="s">
        <v>227</v>
      </c>
      <c r="N422" s="0" t="s">
        <v>5312</v>
      </c>
      <c r="O422" s="0" t="s">
        <v>5313</v>
      </c>
      <c r="P422" s="0" t="s">
        <v>3667</v>
      </c>
      <c r="Q422" s="0" t="s">
        <v>5314</v>
      </c>
      <c r="R422" s="0" t="b">
        <v>0</v>
      </c>
      <c r="S422" s="0" t="s">
        <v>5014</v>
      </c>
    </row>
    <row customHeight="1" ht="11.25">
      <c r="A423" s="0">
        <v>2655</v>
      </c>
      <c r="B423" s="0" t="s">
        <v>102</v>
      </c>
      <c r="C423" s="0">
        <v>26416221</v>
      </c>
      <c r="D423" s="0" t="s">
        <v>5315</v>
      </c>
      <c r="E423" s="0" t="s">
        <v>5316</v>
      </c>
      <c r="F423" s="0" t="s">
        <v>5317</v>
      </c>
      <c r="G423" s="0" t="s">
        <v>5044</v>
      </c>
      <c r="H423" s="0" t="s">
        <v>5318</v>
      </c>
      <c r="I423" s="0" t="s">
        <v>5319</v>
      </c>
      <c r="J423" s="0" t="s">
        <v>128</v>
      </c>
      <c r="K423" s="0" t="s">
        <v>5320</v>
      </c>
      <c r="L423" s="0" t="s">
        <v>5320</v>
      </c>
      <c r="M423" s="0" t="s">
        <v>5321</v>
      </c>
      <c r="N423" s="0" t="s">
        <v>5322</v>
      </c>
      <c r="O423" s="0" t="s">
        <v>5323</v>
      </c>
      <c r="P423" s="0" t="s">
        <v>3723</v>
      </c>
      <c r="Q423" s="0" t="s">
        <v>5324</v>
      </c>
      <c r="R423" s="0" t="b">
        <v>0</v>
      </c>
      <c r="S423" s="0" t="s">
        <v>5014</v>
      </c>
    </row>
    <row customHeight="1" ht="11.25">
      <c r="A424" s="0">
        <v>2655</v>
      </c>
      <c r="B424" s="0" t="s">
        <v>102</v>
      </c>
      <c r="C424" s="0">
        <v>26318820</v>
      </c>
      <c r="D424" s="0" t="s">
        <v>5325</v>
      </c>
      <c r="E424" s="0" t="s">
        <v>5326</v>
      </c>
      <c r="F424" s="0" t="s">
        <v>5327</v>
      </c>
      <c r="G424" s="0" t="s">
        <v>5163</v>
      </c>
      <c r="H424" s="0" t="s">
        <v>5328</v>
      </c>
      <c r="I424" s="0" t="s">
        <v>5329</v>
      </c>
      <c r="K424" s="0" t="s">
        <v>5330</v>
      </c>
      <c r="L424" s="0" t="s">
        <v>5330</v>
      </c>
      <c r="M424" s="0" t="s">
        <v>5331</v>
      </c>
      <c r="N424" s="0" t="s">
        <v>5332</v>
      </c>
      <c r="O424" s="0" t="s">
        <v>5333</v>
      </c>
      <c r="P424" s="0" t="s">
        <v>3667</v>
      </c>
      <c r="Q424" s="0" t="s">
        <v>227</v>
      </c>
      <c r="R424" s="0" t="b">
        <v>0</v>
      </c>
      <c r="S424" s="0" t="s">
        <v>5014</v>
      </c>
    </row>
    <row customHeight="1" ht="11.25">
      <c r="A425" s="0">
        <v>2655</v>
      </c>
      <c r="B425" s="0" t="s">
        <v>102</v>
      </c>
      <c r="C425" s="0">
        <v>31316078</v>
      </c>
      <c r="D425" s="0" t="s">
        <v>5334</v>
      </c>
      <c r="E425" s="0" t="s">
        <v>5335</v>
      </c>
      <c r="F425" s="0" t="s">
        <v>5336</v>
      </c>
      <c r="G425" s="0" t="s">
        <v>3659</v>
      </c>
      <c r="H425" s="0" t="s">
        <v>5337</v>
      </c>
      <c r="I425" s="0" t="s">
        <v>5338</v>
      </c>
      <c r="K425" s="0" t="s">
        <v>5339</v>
      </c>
      <c r="L425" s="0" t="s">
        <v>5339</v>
      </c>
      <c r="M425" s="0" t="s">
        <v>5340</v>
      </c>
      <c r="N425" s="0" t="s">
        <v>5341</v>
      </c>
      <c r="O425" s="0" t="s">
        <v>5342</v>
      </c>
      <c r="P425" s="0" t="s">
        <v>145</v>
      </c>
      <c r="Q425" s="0" t="s">
        <v>5343</v>
      </c>
      <c r="R425" s="0" t="b">
        <v>0</v>
      </c>
      <c r="S425" s="0" t="s">
        <v>5014</v>
      </c>
    </row>
    <row customHeight="1" ht="11.25">
      <c r="A426" s="0">
        <v>2655</v>
      </c>
      <c r="B426" s="0" t="s">
        <v>102</v>
      </c>
      <c r="C426" s="0">
        <v>26502786</v>
      </c>
      <c r="D426" s="0" t="s">
        <v>5344</v>
      </c>
      <c r="E426" s="0" t="s">
        <v>5345</v>
      </c>
      <c r="F426" s="0" t="s">
        <v>5346</v>
      </c>
      <c r="G426" s="0" t="s">
        <v>5300</v>
      </c>
      <c r="H426" s="0" t="s">
        <v>5347</v>
      </c>
      <c r="I426" s="0" t="s">
        <v>227</v>
      </c>
      <c r="J426" s="0" t="s">
        <v>128</v>
      </c>
      <c r="K426" s="0" t="s">
        <v>5348</v>
      </c>
      <c r="L426" s="0" t="s">
        <v>5348</v>
      </c>
      <c r="M426" s="0" t="s">
        <v>5349</v>
      </c>
      <c r="N426" s="0" t="s">
        <v>5350</v>
      </c>
      <c r="O426" s="0" t="s">
        <v>5351</v>
      </c>
      <c r="P426" s="0" t="s">
        <v>3723</v>
      </c>
      <c r="Q426" s="0" t="s">
        <v>5352</v>
      </c>
      <c r="R426" s="0" t="b">
        <v>0</v>
      </c>
      <c r="S426" s="0" t="s">
        <v>5014</v>
      </c>
    </row>
    <row customHeight="1" ht="11.25">
      <c r="A427" s="0">
        <v>2655</v>
      </c>
      <c r="B427" s="0" t="s">
        <v>102</v>
      </c>
      <c r="C427" s="0">
        <v>26318850</v>
      </c>
      <c r="D427" s="0" t="s">
        <v>5353</v>
      </c>
      <c r="E427" s="0" t="s">
        <v>5354</v>
      </c>
      <c r="F427" s="0" t="s">
        <v>5355</v>
      </c>
      <c r="G427" s="0" t="s">
        <v>5356</v>
      </c>
      <c r="H427" s="0" t="s">
        <v>5357</v>
      </c>
      <c r="I427" s="0" t="s">
        <v>5358</v>
      </c>
      <c r="J427" s="0" t="s">
        <v>128</v>
      </c>
      <c r="K427" s="0" t="s">
        <v>5359</v>
      </c>
      <c r="L427" s="0" t="s">
        <v>5359</v>
      </c>
      <c r="M427" s="0" t="s">
        <v>5360</v>
      </c>
      <c r="N427" s="0" t="s">
        <v>5361</v>
      </c>
      <c r="O427" s="0" t="s">
        <v>5362</v>
      </c>
      <c r="P427" s="0" t="s">
        <v>3744</v>
      </c>
      <c r="Q427" s="0" t="s">
        <v>5363</v>
      </c>
      <c r="R427" s="0" t="b">
        <v>0</v>
      </c>
      <c r="S427" s="0" t="s">
        <v>5014</v>
      </c>
    </row>
    <row customHeight="1" ht="11.25">
      <c r="A428" s="0">
        <v>2655</v>
      </c>
      <c r="B428" s="0" t="s">
        <v>102</v>
      </c>
      <c r="C428" s="0">
        <v>31456132</v>
      </c>
      <c r="D428" s="0" t="s">
        <v>5364</v>
      </c>
      <c r="E428" s="0" t="s">
        <v>5365</v>
      </c>
      <c r="F428" s="0" t="s">
        <v>5366</v>
      </c>
      <c r="G428" s="0" t="s">
        <v>3682</v>
      </c>
      <c r="H428" s="0" t="s">
        <v>5367</v>
      </c>
      <c r="I428" s="0" t="s">
        <v>227</v>
      </c>
      <c r="K428" s="0" t="s">
        <v>5368</v>
      </c>
      <c r="L428" s="0" t="s">
        <v>5368</v>
      </c>
      <c r="M428" s="0" t="s">
        <v>227</v>
      </c>
      <c r="N428" s="0" t="s">
        <v>227</v>
      </c>
      <c r="O428" s="0" t="s">
        <v>5369</v>
      </c>
      <c r="P428" s="0" t="s">
        <v>3723</v>
      </c>
      <c r="Q428" s="0" t="s">
        <v>5370</v>
      </c>
      <c r="R428" s="0" t="b">
        <v>0</v>
      </c>
      <c r="S428" s="0" t="s">
        <v>5014</v>
      </c>
    </row>
    <row customHeight="1" ht="11.25">
      <c r="A429" s="0">
        <v>2655</v>
      </c>
      <c r="B429" s="0" t="s">
        <v>102</v>
      </c>
      <c r="C429" s="0">
        <v>30390663</v>
      </c>
      <c r="D429" s="0" t="s">
        <v>5371</v>
      </c>
      <c r="E429" s="0" t="s">
        <v>5372</v>
      </c>
      <c r="F429" s="0" t="s">
        <v>5373</v>
      </c>
      <c r="G429" s="0" t="s">
        <v>3682</v>
      </c>
      <c r="H429" s="0" t="s">
        <v>5374</v>
      </c>
      <c r="I429" s="0" t="s">
        <v>5375</v>
      </c>
      <c r="J429" s="0" t="s">
        <v>128</v>
      </c>
      <c r="K429" s="0" t="s">
        <v>5376</v>
      </c>
      <c r="L429" s="0" t="s">
        <v>5377</v>
      </c>
      <c r="M429" s="0" t="s">
        <v>227</v>
      </c>
      <c r="N429" s="0" t="s">
        <v>5378</v>
      </c>
      <c r="O429" s="0" t="s">
        <v>5379</v>
      </c>
      <c r="P429" s="0" t="s">
        <v>3723</v>
      </c>
      <c r="Q429" s="0" t="s">
        <v>5380</v>
      </c>
      <c r="R429" s="0" t="b">
        <v>0</v>
      </c>
      <c r="S429" s="0" t="s">
        <v>5014</v>
      </c>
    </row>
    <row customHeight="1" ht="11.25">
      <c r="A430" s="0">
        <v>2655</v>
      </c>
      <c r="B430" s="0" t="s">
        <v>102</v>
      </c>
      <c r="C430" s="0">
        <v>26497668</v>
      </c>
      <c r="D430" s="0" t="s">
        <v>5381</v>
      </c>
      <c r="E430" s="0" t="s">
        <v>5382</v>
      </c>
      <c r="F430" s="0" t="s">
        <v>5383</v>
      </c>
      <c r="G430" s="0" t="s">
        <v>5384</v>
      </c>
      <c r="H430" s="0" t="s">
        <v>5385</v>
      </c>
      <c r="I430" s="0" t="s">
        <v>5386</v>
      </c>
      <c r="K430" s="0" t="s">
        <v>5387</v>
      </c>
      <c r="L430" s="0" t="s">
        <v>5387</v>
      </c>
      <c r="M430" s="0" t="s">
        <v>5388</v>
      </c>
      <c r="N430" s="0" t="s">
        <v>5389</v>
      </c>
      <c r="O430" s="0" t="s">
        <v>5390</v>
      </c>
      <c r="P430" s="0" t="s">
        <v>3667</v>
      </c>
      <c r="Q430" s="0" t="s">
        <v>5391</v>
      </c>
      <c r="R430" s="0" t="b">
        <v>0</v>
      </c>
      <c r="S430" s="0" t="s">
        <v>5014</v>
      </c>
    </row>
    <row customHeight="1" ht="11.25">
      <c r="A431" s="0">
        <v>2655</v>
      </c>
      <c r="B431" s="0" t="s">
        <v>102</v>
      </c>
      <c r="C431" s="0">
        <v>30951461</v>
      </c>
      <c r="D431" s="0" t="s">
        <v>5392</v>
      </c>
      <c r="E431" s="0" t="s">
        <v>5393</v>
      </c>
      <c r="F431" s="0" t="s">
        <v>5394</v>
      </c>
      <c r="G431" s="0" t="s">
        <v>3659</v>
      </c>
      <c r="H431" s="0" t="s">
        <v>5395</v>
      </c>
      <c r="I431" s="0" t="s">
        <v>5396</v>
      </c>
      <c r="J431" s="0" t="s">
        <v>128</v>
      </c>
      <c r="K431" s="0" t="s">
        <v>5397</v>
      </c>
      <c r="L431" s="0" t="s">
        <v>5397</v>
      </c>
      <c r="M431" s="0" t="s">
        <v>5398</v>
      </c>
      <c r="N431" s="0" t="s">
        <v>5399</v>
      </c>
      <c r="O431" s="0" t="s">
        <v>5400</v>
      </c>
      <c r="P431" s="0" t="s">
        <v>145</v>
      </c>
      <c r="Q431" s="0" t="s">
        <v>5401</v>
      </c>
      <c r="R431" s="0" t="b">
        <v>0</v>
      </c>
      <c r="S431" s="0" t="s">
        <v>5014</v>
      </c>
    </row>
    <row customHeight="1" ht="11.25">
      <c r="A432" s="0">
        <v>2655</v>
      </c>
      <c r="B432" s="0" t="s">
        <v>102</v>
      </c>
      <c r="C432" s="0">
        <v>28878380</v>
      </c>
      <c r="D432" s="0" t="s">
        <v>5402</v>
      </c>
      <c r="E432" s="0" t="s">
        <v>5403</v>
      </c>
      <c r="F432" s="0" t="s">
        <v>5404</v>
      </c>
      <c r="G432" s="0" t="s">
        <v>3659</v>
      </c>
      <c r="H432" s="0" t="s">
        <v>5405</v>
      </c>
      <c r="I432" s="0" t="s">
        <v>5406</v>
      </c>
      <c r="J432" s="0" t="s">
        <v>128</v>
      </c>
      <c r="K432" s="0" t="s">
        <v>5407</v>
      </c>
      <c r="L432" s="0" t="s">
        <v>5407</v>
      </c>
      <c r="M432" s="0" t="s">
        <v>5408</v>
      </c>
      <c r="N432" s="0" t="s">
        <v>5409</v>
      </c>
      <c r="O432" s="0" t="s">
        <v>5410</v>
      </c>
      <c r="P432" s="0" t="s">
        <v>3723</v>
      </c>
      <c r="Q432" s="0" t="s">
        <v>5411</v>
      </c>
      <c r="R432" s="0" t="b">
        <v>0</v>
      </c>
      <c r="S432" s="0" t="s">
        <v>5014</v>
      </c>
    </row>
    <row customHeight="1" ht="11.25">
      <c r="A433" s="0">
        <v>2655</v>
      </c>
      <c r="B433" s="0" t="s">
        <v>102</v>
      </c>
      <c r="C433" s="0">
        <v>27968109</v>
      </c>
      <c r="D433" s="0" t="s">
        <v>4901</v>
      </c>
      <c r="E433" s="0" t="s">
        <v>4902</v>
      </c>
      <c r="F433" s="0" t="s">
        <v>4903</v>
      </c>
      <c r="G433" s="0" t="s">
        <v>3659</v>
      </c>
      <c r="H433" s="0" t="s">
        <v>4904</v>
      </c>
      <c r="I433" s="0" t="s">
        <v>4905</v>
      </c>
      <c r="J433" s="0" t="s">
        <v>128</v>
      </c>
      <c r="K433" s="0" t="s">
        <v>4906</v>
      </c>
      <c r="L433" s="0" t="s">
        <v>4906</v>
      </c>
      <c r="M433" s="0" t="s">
        <v>4907</v>
      </c>
      <c r="N433" s="0" t="s">
        <v>4908</v>
      </c>
      <c r="O433" s="0" t="s">
        <v>4909</v>
      </c>
      <c r="P433" s="0" t="s">
        <v>3723</v>
      </c>
      <c r="Q433" s="0" t="s">
        <v>4910</v>
      </c>
      <c r="R433" s="0" t="b">
        <v>0</v>
      </c>
      <c r="S433" s="0" t="s">
        <v>5014</v>
      </c>
    </row>
    <row customHeight="1" ht="11.25">
      <c r="A434" s="0">
        <v>2655</v>
      </c>
      <c r="B434" s="0" t="s">
        <v>102</v>
      </c>
      <c r="C434" s="0">
        <v>31304544</v>
      </c>
      <c r="D434" s="0" t="s">
        <v>5412</v>
      </c>
      <c r="E434" s="0" t="s">
        <v>5413</v>
      </c>
      <c r="F434" s="0" t="s">
        <v>5414</v>
      </c>
      <c r="G434" s="0" t="s">
        <v>5415</v>
      </c>
      <c r="H434" s="0" t="s">
        <v>5416</v>
      </c>
      <c r="I434" s="0" t="s">
        <v>227</v>
      </c>
      <c r="J434" s="0" t="s">
        <v>128</v>
      </c>
      <c r="K434" s="0" t="s">
        <v>5417</v>
      </c>
      <c r="L434" s="0" t="s">
        <v>5417</v>
      </c>
      <c r="M434" s="0" t="s">
        <v>227</v>
      </c>
      <c r="N434" s="0" t="s">
        <v>227</v>
      </c>
      <c r="O434" s="0" t="s">
        <v>5418</v>
      </c>
      <c r="P434" s="0" t="s">
        <v>3723</v>
      </c>
      <c r="Q434" s="0" t="s">
        <v>227</v>
      </c>
      <c r="R434" s="0" t="b">
        <v>0</v>
      </c>
      <c r="S434" s="0" t="s">
        <v>5014</v>
      </c>
    </row>
    <row customHeight="1" ht="11.25">
      <c r="A435" s="0">
        <v>2655</v>
      </c>
      <c r="B435" s="0" t="s">
        <v>102</v>
      </c>
      <c r="C435" s="0">
        <v>28272126</v>
      </c>
      <c r="D435" s="0" t="s">
        <v>5419</v>
      </c>
      <c r="E435" s="0" t="s">
        <v>5420</v>
      </c>
      <c r="F435" s="0" t="s">
        <v>5421</v>
      </c>
      <c r="G435" s="0" t="s">
        <v>3682</v>
      </c>
      <c r="H435" s="0" t="s">
        <v>5422</v>
      </c>
      <c r="I435" s="0" t="s">
        <v>5423</v>
      </c>
      <c r="J435" s="0" t="s">
        <v>128</v>
      </c>
      <c r="K435" s="0" t="s">
        <v>5291</v>
      </c>
      <c r="L435" s="0" t="s">
        <v>5291</v>
      </c>
      <c r="M435" s="0" t="s">
        <v>5424</v>
      </c>
      <c r="N435" s="0" t="s">
        <v>5425</v>
      </c>
      <c r="O435" s="0" t="s">
        <v>5426</v>
      </c>
      <c r="P435" s="0" t="s">
        <v>3723</v>
      </c>
      <c r="Q435" s="0" t="s">
        <v>5427</v>
      </c>
      <c r="R435" s="0" t="b">
        <v>0</v>
      </c>
      <c r="S435" s="0" t="s">
        <v>5014</v>
      </c>
    </row>
    <row customHeight="1" ht="11.25">
      <c r="A436" s="0">
        <v>2655</v>
      </c>
      <c r="B436" s="0" t="s">
        <v>102</v>
      </c>
      <c r="C436" s="0">
        <v>28493606</v>
      </c>
      <c r="D436" s="0" t="s">
        <v>5428</v>
      </c>
      <c r="E436" s="0" t="s">
        <v>5429</v>
      </c>
      <c r="F436" s="0" t="s">
        <v>5430</v>
      </c>
      <c r="G436" s="0" t="s">
        <v>5431</v>
      </c>
      <c r="H436" s="0" t="s">
        <v>5432</v>
      </c>
      <c r="I436" s="0" t="s">
        <v>227</v>
      </c>
      <c r="J436" s="0" t="s">
        <v>128</v>
      </c>
      <c r="K436" s="0" t="s">
        <v>227</v>
      </c>
      <c r="L436" s="0" t="s">
        <v>5433</v>
      </c>
      <c r="M436" s="0" t="s">
        <v>227</v>
      </c>
      <c r="N436" s="0" t="s">
        <v>5434</v>
      </c>
      <c r="O436" s="0" t="s">
        <v>5435</v>
      </c>
      <c r="P436" s="0" t="s">
        <v>3723</v>
      </c>
      <c r="Q436" s="0" t="s">
        <v>227</v>
      </c>
      <c r="R436" s="0" t="b">
        <v>0</v>
      </c>
      <c r="S436" s="0" t="s">
        <v>5014</v>
      </c>
    </row>
    <row customHeight="1" ht="11.25">
      <c r="A437" s="0">
        <v>2655</v>
      </c>
      <c r="B437" s="0" t="s">
        <v>102</v>
      </c>
      <c r="C437" s="0">
        <v>30433612</v>
      </c>
      <c r="D437" s="0" t="s">
        <v>5436</v>
      </c>
      <c r="E437" s="0" t="s">
        <v>5437</v>
      </c>
      <c r="F437" s="0" t="s">
        <v>5438</v>
      </c>
      <c r="G437" s="0" t="s">
        <v>5431</v>
      </c>
      <c r="H437" s="0" t="s">
        <v>5439</v>
      </c>
      <c r="I437" s="0" t="s">
        <v>5440</v>
      </c>
      <c r="J437" s="0" t="s">
        <v>128</v>
      </c>
      <c r="K437" s="0" t="s">
        <v>5441</v>
      </c>
      <c r="L437" s="0" t="s">
        <v>5441</v>
      </c>
      <c r="M437" s="0" t="s">
        <v>5442</v>
      </c>
      <c r="N437" s="0" t="s">
        <v>5443</v>
      </c>
      <c r="O437" s="0" t="s">
        <v>5444</v>
      </c>
      <c r="P437" s="0" t="s">
        <v>3723</v>
      </c>
      <c r="Q437" s="0" t="s">
        <v>5445</v>
      </c>
      <c r="R437" s="0" t="b">
        <v>0</v>
      </c>
      <c r="S437" s="0" t="s">
        <v>5014</v>
      </c>
    </row>
    <row customHeight="1" ht="11.25">
      <c r="A438" s="0">
        <v>2655</v>
      </c>
      <c r="B438" s="0" t="s">
        <v>102</v>
      </c>
      <c r="C438" s="0">
        <v>28502565</v>
      </c>
      <c r="D438" s="0" t="s">
        <v>5446</v>
      </c>
      <c r="E438" s="0" t="s">
        <v>5447</v>
      </c>
      <c r="F438" s="0" t="s">
        <v>5448</v>
      </c>
      <c r="G438" s="0" t="s">
        <v>3659</v>
      </c>
      <c r="H438" s="0" t="s">
        <v>5449</v>
      </c>
      <c r="I438" s="0" t="s">
        <v>227</v>
      </c>
      <c r="J438" s="0" t="s">
        <v>128</v>
      </c>
      <c r="K438" s="0" t="s">
        <v>5450</v>
      </c>
      <c r="L438" s="0" t="s">
        <v>5450</v>
      </c>
      <c r="M438" s="0" t="s">
        <v>227</v>
      </c>
      <c r="N438" s="0" t="s">
        <v>5451</v>
      </c>
      <c r="O438" s="0" t="s">
        <v>5452</v>
      </c>
      <c r="P438" s="0" t="s">
        <v>3723</v>
      </c>
      <c r="Q438" s="0" t="s">
        <v>5453</v>
      </c>
      <c r="R438" s="0" t="b">
        <v>0</v>
      </c>
      <c r="S438" s="0" t="s">
        <v>5014</v>
      </c>
    </row>
    <row customHeight="1" ht="11.25">
      <c r="A439" s="0">
        <v>2655</v>
      </c>
      <c r="B439" s="0" t="s">
        <v>102</v>
      </c>
      <c r="C439" s="0">
        <v>31327477</v>
      </c>
      <c r="D439" s="0" t="s">
        <v>5454</v>
      </c>
      <c r="E439" s="0" t="s">
        <v>5455</v>
      </c>
      <c r="F439" s="0" t="s">
        <v>5456</v>
      </c>
      <c r="G439" s="0" t="s">
        <v>5457</v>
      </c>
      <c r="H439" s="0" t="s">
        <v>5458</v>
      </c>
      <c r="I439" s="0" t="s">
        <v>5459</v>
      </c>
      <c r="J439" s="0" t="s">
        <v>128</v>
      </c>
      <c r="K439" s="0" t="s">
        <v>227</v>
      </c>
      <c r="L439" s="0" t="s">
        <v>5460</v>
      </c>
      <c r="M439" s="0" t="s">
        <v>227</v>
      </c>
      <c r="N439" s="0" t="s">
        <v>227</v>
      </c>
      <c r="O439" s="0" t="s">
        <v>5461</v>
      </c>
      <c r="P439" s="0" t="s">
        <v>3667</v>
      </c>
      <c r="Q439" s="0" t="s">
        <v>227</v>
      </c>
      <c r="R439" s="0" t="b">
        <v>0</v>
      </c>
      <c r="S439" s="0" t="s">
        <v>5014</v>
      </c>
    </row>
    <row customHeight="1" ht="11.25">
      <c r="A440" s="0">
        <v>2655</v>
      </c>
      <c r="B440" s="0" t="s">
        <v>102</v>
      </c>
      <c r="C440" s="0">
        <v>28469139</v>
      </c>
      <c r="D440" s="0" t="s">
        <v>5462</v>
      </c>
      <c r="E440" s="0" t="s">
        <v>5463</v>
      </c>
      <c r="F440" s="0" t="s">
        <v>5464</v>
      </c>
      <c r="G440" s="0" t="s">
        <v>3659</v>
      </c>
      <c r="H440" s="0" t="s">
        <v>5465</v>
      </c>
      <c r="I440" s="0" t="s">
        <v>5466</v>
      </c>
      <c r="K440" s="0" t="s">
        <v>5467</v>
      </c>
      <c r="L440" s="0" t="s">
        <v>5467</v>
      </c>
      <c r="M440" s="0" t="s">
        <v>5468</v>
      </c>
      <c r="N440" s="0" t="s">
        <v>227</v>
      </c>
      <c r="O440" s="0" t="s">
        <v>5469</v>
      </c>
      <c r="P440" s="0" t="s">
        <v>145</v>
      </c>
      <c r="Q440" s="0" t="s">
        <v>227</v>
      </c>
      <c r="R440" s="0" t="b">
        <v>0</v>
      </c>
      <c r="S440" s="0" t="s">
        <v>5014</v>
      </c>
    </row>
    <row customHeight="1" ht="11.25">
      <c r="A441" s="0">
        <v>2655</v>
      </c>
      <c r="B441" s="0" t="s">
        <v>102</v>
      </c>
      <c r="C441" s="0">
        <v>30992391</v>
      </c>
      <c r="D441" s="0" t="s">
        <v>4141</v>
      </c>
      <c r="E441" s="0" t="s">
        <v>4142</v>
      </c>
      <c r="F441" s="0" t="s">
        <v>4143</v>
      </c>
      <c r="G441" s="0" t="s">
        <v>3773</v>
      </c>
      <c r="H441" s="0" t="s">
        <v>4144</v>
      </c>
      <c r="I441" s="0" t="s">
        <v>4145</v>
      </c>
      <c r="J441" s="0" t="s">
        <v>128</v>
      </c>
      <c r="K441" s="0" t="s">
        <v>4146</v>
      </c>
      <c r="L441" s="0" t="s">
        <v>4147</v>
      </c>
      <c r="M441" s="0" t="s">
        <v>4148</v>
      </c>
      <c r="N441" s="0" t="s">
        <v>4149</v>
      </c>
      <c r="O441" s="0" t="s">
        <v>4150</v>
      </c>
      <c r="P441" s="0" t="s">
        <v>145</v>
      </c>
      <c r="Q441" s="0" t="s">
        <v>4151</v>
      </c>
      <c r="R441" s="0" t="b">
        <v>0</v>
      </c>
      <c r="S441" s="0" t="s">
        <v>5014</v>
      </c>
    </row>
    <row customHeight="1" ht="11.25">
      <c r="A442" s="0">
        <v>2655</v>
      </c>
      <c r="B442" s="0" t="s">
        <v>102</v>
      </c>
      <c r="C442" s="0">
        <v>27614748</v>
      </c>
      <c r="D442" s="0" t="s">
        <v>5470</v>
      </c>
      <c r="E442" s="0" t="s">
        <v>5471</v>
      </c>
      <c r="F442" s="0" t="s">
        <v>5472</v>
      </c>
      <c r="G442" s="0" t="s">
        <v>3659</v>
      </c>
      <c r="H442" s="0" t="s">
        <v>5473</v>
      </c>
      <c r="I442" s="0" t="s">
        <v>5474</v>
      </c>
      <c r="K442" s="0" t="s">
        <v>5475</v>
      </c>
      <c r="L442" s="0" t="s">
        <v>5475</v>
      </c>
      <c r="M442" s="0" t="s">
        <v>5476</v>
      </c>
      <c r="N442" s="0" t="s">
        <v>5477</v>
      </c>
      <c r="O442" s="0" t="s">
        <v>4909</v>
      </c>
      <c r="P442" s="0" t="s">
        <v>3723</v>
      </c>
      <c r="Q442" s="0" t="s">
        <v>227</v>
      </c>
      <c r="R442" s="0" t="b">
        <v>0</v>
      </c>
      <c r="S442" s="0" t="s">
        <v>5014</v>
      </c>
    </row>
    <row customHeight="1" ht="11.25">
      <c r="A443" s="0">
        <v>2655</v>
      </c>
      <c r="B443" s="0" t="s">
        <v>102</v>
      </c>
      <c r="C443" s="0">
        <v>31618899</v>
      </c>
      <c r="D443" s="0" t="s">
        <v>5478</v>
      </c>
      <c r="E443" s="0" t="s">
        <v>5478</v>
      </c>
      <c r="F443" s="0" t="s">
        <v>5479</v>
      </c>
      <c r="G443" s="0" t="s">
        <v>5480</v>
      </c>
      <c r="H443" s="0" t="s">
        <v>5481</v>
      </c>
      <c r="I443" s="0" t="s">
        <v>227</v>
      </c>
      <c r="K443" s="0" t="s">
        <v>5482</v>
      </c>
      <c r="L443" s="0" t="s">
        <v>5483</v>
      </c>
      <c r="M443" s="0" t="s">
        <v>5484</v>
      </c>
      <c r="N443" s="0" t="s">
        <v>227</v>
      </c>
      <c r="O443" s="0" t="s">
        <v>227</v>
      </c>
      <c r="P443" s="0" t="s">
        <v>227</v>
      </c>
      <c r="Q443" s="0" t="s">
        <v>5485</v>
      </c>
      <c r="R443" s="0" t="b">
        <v>0</v>
      </c>
      <c r="S443" s="0" t="s">
        <v>5014</v>
      </c>
    </row>
    <row customHeight="1" ht="11.25">
      <c r="A444" s="0">
        <v>2655</v>
      </c>
      <c r="B444" s="0" t="s">
        <v>102</v>
      </c>
      <c r="C444" s="0">
        <v>26356982</v>
      </c>
      <c r="D444" s="0" t="s">
        <v>5486</v>
      </c>
      <c r="E444" s="0" t="s">
        <v>5487</v>
      </c>
      <c r="F444" s="0" t="s">
        <v>5488</v>
      </c>
      <c r="G444" s="0" t="s">
        <v>3851</v>
      </c>
      <c r="H444" s="0" t="s">
        <v>5489</v>
      </c>
      <c r="I444" s="0" t="s">
        <v>5490</v>
      </c>
      <c r="J444" s="0" t="s">
        <v>128</v>
      </c>
      <c r="K444" s="0" t="s">
        <v>5491</v>
      </c>
      <c r="L444" s="0" t="s">
        <v>5491</v>
      </c>
      <c r="M444" s="0" t="s">
        <v>5492</v>
      </c>
      <c r="N444" s="0" t="s">
        <v>5493</v>
      </c>
      <c r="O444" s="0" t="s">
        <v>5494</v>
      </c>
      <c r="P444" s="0" t="s">
        <v>3700</v>
      </c>
      <c r="Q444" s="0" t="s">
        <v>5495</v>
      </c>
      <c r="R444" s="0" t="b">
        <v>0</v>
      </c>
      <c r="S444" s="0" t="s">
        <v>5014</v>
      </c>
    </row>
    <row customHeight="1" ht="11.25">
      <c r="A445" s="0">
        <v>2655</v>
      </c>
      <c r="B445" s="0" t="s">
        <v>102</v>
      </c>
      <c r="C445" s="0">
        <v>31908312</v>
      </c>
      <c r="D445" s="0" t="s">
        <v>4152</v>
      </c>
      <c r="E445" s="0" t="s">
        <v>4162</v>
      </c>
      <c r="F445" s="0" t="s">
        <v>4154</v>
      </c>
      <c r="G445" s="0" t="s">
        <v>4155</v>
      </c>
      <c r="H445" s="0" t="s">
        <v>4156</v>
      </c>
      <c r="I445" s="0" t="s">
        <v>4157</v>
      </c>
      <c r="K445" s="0" t="s">
        <v>4163</v>
      </c>
      <c r="L445" s="0" t="s">
        <v>4163</v>
      </c>
      <c r="M445" s="0" t="s">
        <v>4164</v>
      </c>
      <c r="N445" s="0" t="s">
        <v>4165</v>
      </c>
      <c r="O445" s="0" t="s">
        <v>4166</v>
      </c>
      <c r="P445" s="0" t="s">
        <v>227</v>
      </c>
      <c r="Q445" s="0" t="s">
        <v>4167</v>
      </c>
      <c r="R445" s="0" t="b">
        <v>0</v>
      </c>
      <c r="S445" s="0" t="s">
        <v>5014</v>
      </c>
    </row>
    <row customHeight="1" ht="11.25">
      <c r="A446" s="0">
        <v>2655</v>
      </c>
      <c r="B446" s="0" t="s">
        <v>102</v>
      </c>
      <c r="C446" s="0">
        <v>26835292</v>
      </c>
      <c r="D446" s="0" t="s">
        <v>5496</v>
      </c>
      <c r="E446" s="0" t="s">
        <v>5497</v>
      </c>
      <c r="F446" s="0" t="s">
        <v>5498</v>
      </c>
      <c r="G446" s="0" t="s">
        <v>3692</v>
      </c>
      <c r="H446" s="0" t="s">
        <v>5499</v>
      </c>
      <c r="I446" s="0" t="s">
        <v>5500</v>
      </c>
      <c r="J446" s="0" t="s">
        <v>3718</v>
      </c>
      <c r="K446" s="0" t="s">
        <v>5501</v>
      </c>
      <c r="L446" s="0" t="s">
        <v>5501</v>
      </c>
      <c r="M446" s="0" t="s">
        <v>5502</v>
      </c>
      <c r="N446" s="0" t="s">
        <v>5503</v>
      </c>
      <c r="O446" s="0" t="s">
        <v>5504</v>
      </c>
      <c r="P446" s="0" t="s">
        <v>3700</v>
      </c>
      <c r="Q446" s="0" t="s">
        <v>5505</v>
      </c>
      <c r="R446" s="0" t="b">
        <v>0</v>
      </c>
      <c r="S446" s="0" t="s">
        <v>5014</v>
      </c>
    </row>
    <row customHeight="1" ht="11.25">
      <c r="A447" s="0">
        <v>2655</v>
      </c>
      <c r="B447" s="0" t="s">
        <v>102</v>
      </c>
      <c r="C447" s="0">
        <v>26319037</v>
      </c>
      <c r="D447" s="0" t="s">
        <v>5506</v>
      </c>
      <c r="E447" s="0" t="s">
        <v>5507</v>
      </c>
      <c r="F447" s="0" t="s">
        <v>5508</v>
      </c>
      <c r="G447" s="0" t="s">
        <v>3659</v>
      </c>
      <c r="H447" s="0" t="s">
        <v>5509</v>
      </c>
      <c r="I447" s="0" t="s">
        <v>5510</v>
      </c>
      <c r="J447" s="0" t="s">
        <v>3718</v>
      </c>
      <c r="K447" s="0" t="s">
        <v>5511</v>
      </c>
      <c r="L447" s="0" t="s">
        <v>5511</v>
      </c>
      <c r="M447" s="0" t="s">
        <v>5512</v>
      </c>
      <c r="N447" s="0" t="s">
        <v>5513</v>
      </c>
      <c r="O447" s="0" t="s">
        <v>5514</v>
      </c>
      <c r="P447" s="0" t="s">
        <v>3723</v>
      </c>
      <c r="Q447" s="0" t="s">
        <v>5515</v>
      </c>
      <c r="R447" s="0" t="b">
        <v>0</v>
      </c>
      <c r="S447" s="0" t="s">
        <v>5014</v>
      </c>
    </row>
    <row customHeight="1" ht="11.25">
      <c r="A448" s="0">
        <v>2655</v>
      </c>
      <c r="B448" s="0" t="s">
        <v>102</v>
      </c>
      <c r="C448" s="0">
        <v>27954259</v>
      </c>
      <c r="D448" s="0" t="s">
        <v>5516</v>
      </c>
      <c r="E448" s="0" t="s">
        <v>5517</v>
      </c>
      <c r="F448" s="0" t="s">
        <v>5518</v>
      </c>
      <c r="G448" s="0" t="s">
        <v>5519</v>
      </c>
      <c r="H448" s="0" t="s">
        <v>5520</v>
      </c>
      <c r="I448" s="0" t="s">
        <v>227</v>
      </c>
      <c r="J448" s="0" t="s">
        <v>3718</v>
      </c>
      <c r="K448" s="0" t="s">
        <v>5521</v>
      </c>
      <c r="L448" s="0" t="s">
        <v>5521</v>
      </c>
      <c r="M448" s="0" t="s">
        <v>227</v>
      </c>
      <c r="N448" s="0" t="s">
        <v>227</v>
      </c>
      <c r="O448" s="0" t="s">
        <v>5522</v>
      </c>
      <c r="P448" s="0" t="s">
        <v>3667</v>
      </c>
      <c r="Q448" s="0" t="s">
        <v>227</v>
      </c>
      <c r="R448" s="0" t="b">
        <v>0</v>
      </c>
      <c r="S448" s="0" t="s">
        <v>5014</v>
      </c>
    </row>
    <row customHeight="1" ht="11.25">
      <c r="A449" s="0">
        <v>2655</v>
      </c>
      <c r="B449" s="0" t="s">
        <v>102</v>
      </c>
      <c r="C449" s="0">
        <v>26519663</v>
      </c>
      <c r="D449" s="0" t="s">
        <v>4968</v>
      </c>
      <c r="E449" s="0" t="s">
        <v>4969</v>
      </c>
      <c r="F449" s="0" t="s">
        <v>4970</v>
      </c>
      <c r="G449" s="0" t="s">
        <v>3843</v>
      </c>
      <c r="H449" s="0" t="s">
        <v>4971</v>
      </c>
      <c r="I449" s="0" t="s">
        <v>4972</v>
      </c>
      <c r="J449" s="0" t="s">
        <v>3718</v>
      </c>
      <c r="K449" s="0" t="s">
        <v>4973</v>
      </c>
      <c r="L449" s="0" t="s">
        <v>4973</v>
      </c>
      <c r="M449" s="0" t="s">
        <v>4974</v>
      </c>
      <c r="N449" s="0" t="s">
        <v>4975</v>
      </c>
      <c r="O449" s="0" t="s">
        <v>4976</v>
      </c>
      <c r="P449" s="0" t="s">
        <v>3700</v>
      </c>
      <c r="Q449" s="0" t="s">
        <v>4977</v>
      </c>
      <c r="R449" s="0" t="b">
        <v>0</v>
      </c>
      <c r="S449" s="0" t="s">
        <v>5014</v>
      </c>
    </row>
    <row customHeight="1" ht="11.25">
      <c r="A450" s="0">
        <v>2655</v>
      </c>
      <c r="B450" s="0" t="s">
        <v>102</v>
      </c>
      <c r="C450" s="0">
        <v>30906887</v>
      </c>
      <c r="D450" s="0" t="s">
        <v>5523</v>
      </c>
      <c r="E450" s="0" t="s">
        <v>5523</v>
      </c>
      <c r="F450" s="0" t="s">
        <v>5524</v>
      </c>
      <c r="G450" s="0" t="s">
        <v>4995</v>
      </c>
      <c r="H450" s="0" t="s">
        <v>5525</v>
      </c>
      <c r="I450" s="0" t="s">
        <v>227</v>
      </c>
      <c r="J450" s="0" t="s">
        <v>128</v>
      </c>
      <c r="K450" s="0" t="s">
        <v>227</v>
      </c>
      <c r="L450" s="0" t="s">
        <v>5526</v>
      </c>
      <c r="M450" s="0" t="s">
        <v>227</v>
      </c>
      <c r="N450" s="0" t="s">
        <v>227</v>
      </c>
      <c r="O450" s="0" t="s">
        <v>5527</v>
      </c>
      <c r="P450" s="0" t="s">
        <v>5528</v>
      </c>
      <c r="Q450" s="0" t="s">
        <v>227</v>
      </c>
      <c r="R450" s="0" t="b">
        <v>0</v>
      </c>
      <c r="S450" s="0" t="s">
        <v>5014</v>
      </c>
    </row>
    <row customHeight="1" ht="11.25">
      <c r="A451" s="0">
        <v>2655</v>
      </c>
      <c r="B451" s="0" t="s">
        <v>102</v>
      </c>
      <c r="C451" s="0">
        <v>27196237</v>
      </c>
      <c r="D451" s="0" t="s">
        <v>5529</v>
      </c>
      <c r="E451" s="0" t="s">
        <v>5530</v>
      </c>
      <c r="F451" s="0" t="s">
        <v>5531</v>
      </c>
      <c r="G451" s="0" t="s">
        <v>5532</v>
      </c>
      <c r="H451" s="0" t="s">
        <v>5533</v>
      </c>
      <c r="I451" s="0" t="s">
        <v>5534</v>
      </c>
      <c r="J451" s="0" t="s">
        <v>3647</v>
      </c>
      <c r="K451" s="0" t="s">
        <v>5535</v>
      </c>
      <c r="L451" s="0" t="s">
        <v>5535</v>
      </c>
      <c r="M451" s="0" t="s">
        <v>5536</v>
      </c>
      <c r="N451" s="0" t="s">
        <v>5537</v>
      </c>
      <c r="O451" s="0" t="s">
        <v>227</v>
      </c>
      <c r="P451" s="0" t="s">
        <v>5105</v>
      </c>
      <c r="Q451" s="0" t="s">
        <v>152</v>
      </c>
      <c r="R451" s="0" t="b">
        <v>0</v>
      </c>
      <c r="S451" s="0" t="s">
        <v>5014</v>
      </c>
    </row>
    <row customHeight="1" ht="11.25">
      <c r="A452" s="0">
        <v>2655</v>
      </c>
      <c r="B452" s="0" t="s">
        <v>102</v>
      </c>
      <c r="C452" s="0">
        <v>26322882</v>
      </c>
      <c r="D452" s="0" t="s">
        <v>5538</v>
      </c>
      <c r="E452" s="0" t="s">
        <v>5539</v>
      </c>
      <c r="F452" s="0" t="s">
        <v>5540</v>
      </c>
      <c r="G452" s="0" t="s">
        <v>5541</v>
      </c>
      <c r="H452" s="0" t="s">
        <v>5542</v>
      </c>
      <c r="I452" s="0" t="s">
        <v>5543</v>
      </c>
      <c r="J452" s="0" t="s">
        <v>4173</v>
      </c>
      <c r="K452" s="0" t="s">
        <v>5544</v>
      </c>
      <c r="L452" s="0" t="s">
        <v>5545</v>
      </c>
      <c r="M452" s="0" t="s">
        <v>5546</v>
      </c>
      <c r="N452" s="0" t="s">
        <v>5547</v>
      </c>
      <c r="O452" s="0" t="s">
        <v>5548</v>
      </c>
      <c r="P452" s="0" t="s">
        <v>5549</v>
      </c>
      <c r="Q452" s="0" t="s">
        <v>5550</v>
      </c>
      <c r="R452" s="0" t="b">
        <v>0</v>
      </c>
      <c r="S452" s="0" t="s">
        <v>5014</v>
      </c>
    </row>
    <row customHeight="1" ht="11.25">
      <c r="A453" s="0">
        <v>2655</v>
      </c>
      <c r="B453" s="0" t="s">
        <v>102</v>
      </c>
      <c r="C453" s="0">
        <v>27269797</v>
      </c>
      <c r="D453" s="0" t="s">
        <v>5551</v>
      </c>
      <c r="E453" s="0" t="s">
        <v>227</v>
      </c>
      <c r="F453" s="0" t="s">
        <v>5531</v>
      </c>
      <c r="G453" s="0" t="s">
        <v>5552</v>
      </c>
      <c r="H453" s="0" t="s">
        <v>5533</v>
      </c>
      <c r="I453" s="0" t="s">
        <v>5553</v>
      </c>
      <c r="J453" s="0" t="s">
        <v>3718</v>
      </c>
      <c r="K453" s="0" t="s">
        <v>5554</v>
      </c>
      <c r="L453" s="0" t="s">
        <v>5555</v>
      </c>
      <c r="M453" s="0" t="s">
        <v>5556</v>
      </c>
      <c r="N453" s="0" t="s">
        <v>5557</v>
      </c>
      <c r="O453" s="0" t="s">
        <v>5558</v>
      </c>
      <c r="P453" s="0" t="s">
        <v>227</v>
      </c>
      <c r="Q453" s="0" t="s">
        <v>5559</v>
      </c>
      <c r="R453" s="0" t="b">
        <v>0</v>
      </c>
      <c r="S453" s="0" t="s">
        <v>5014</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7613D2-4166-7758-1272-9BB708E52658}" mc:Ignorable="x14ac xr xr2 xr3">
  <sheetPr>
    <tabColor rgb="FFFFCC99"/>
  </sheetPr>
  <dimension ref="A1:DE301"/>
  <sheetViews>
    <sheetView topLeftCell="A1" showGridLines="0" workbookViewId="0">
      <selection activeCell="A1" sqref="A1"/>
    </sheetView>
  </sheetViews>
  <sheetFormatPr customHeight="1" defaultRowHeight="11.25"/>
  <cols>
    <col min="1" max="1" style="1806" width="23.140625" customWidth="1"/>
  </cols>
  <sheetData>
    <row customHeight="1" ht="11.25">
      <c r="A1" s="1806" t="s">
        <v>5560</v>
      </c>
      <c r="B1" s="0" t="s">
        <v>5561</v>
      </c>
      <c r="C1" s="0" t="s">
        <v>5562</v>
      </c>
      <c r="D1" s="0" t="s">
        <v>5563</v>
      </c>
      <c r="E1" s="0" t="s">
        <v>5564</v>
      </c>
      <c r="F1" s="0" t="s">
        <v>5565</v>
      </c>
      <c r="G1" s="0" t="s">
        <v>5566</v>
      </c>
      <c r="H1" s="0" t="s">
        <v>5567</v>
      </c>
      <c r="I1" s="0" t="s">
        <v>5568</v>
      </c>
      <c r="J1" s="0" t="s">
        <v>5569</v>
      </c>
      <c r="K1" s="0" t="s">
        <v>5570</v>
      </c>
      <c r="L1" s="0" t="s">
        <v>5571</v>
      </c>
      <c r="M1" s="0" t="s">
        <v>5572</v>
      </c>
      <c r="N1" s="0" t="s">
        <v>5573</v>
      </c>
      <c r="O1" s="0" t="s">
        <v>5574</v>
      </c>
      <c r="P1" s="0" t="s">
        <v>5575</v>
      </c>
      <c r="Q1" s="0" t="s">
        <v>5576</v>
      </c>
      <c r="R1" s="0" t="s">
        <v>5577</v>
      </c>
      <c r="S1" s="0" t="s">
        <v>5578</v>
      </c>
      <c r="T1" s="0" t="s">
        <v>5579</v>
      </c>
      <c r="U1" s="0" t="s">
        <v>5580</v>
      </c>
      <c r="V1" s="0" t="s">
        <v>5581</v>
      </c>
      <c r="W1" s="0" t="s">
        <v>5582</v>
      </c>
      <c r="X1" s="0" t="s">
        <v>357</v>
      </c>
      <c r="Y1" s="0" t="s">
        <v>5583</v>
      </c>
      <c r="Z1" s="0" t="s">
        <v>5584</v>
      </c>
      <c r="AA1" s="0" t="s">
        <v>5585</v>
      </c>
      <c r="AB1" s="0" t="s">
        <v>5586</v>
      </c>
      <c r="AC1" s="0" t="s">
        <v>5587</v>
      </c>
      <c r="AD1" s="0" t="s">
        <v>5588</v>
      </c>
      <c r="AE1" s="0" t="s">
        <v>5589</v>
      </c>
      <c r="AF1" s="0" t="s">
        <v>5590</v>
      </c>
      <c r="AG1" s="0" t="s">
        <v>5591</v>
      </c>
      <c r="AH1" s="0" t="s">
        <v>5592</v>
      </c>
      <c r="AI1" s="0" t="s">
        <v>5593</v>
      </c>
      <c r="AJ1" s="0" t="s">
        <v>5594</v>
      </c>
      <c r="AK1" s="0" t="s">
        <v>5595</v>
      </c>
      <c r="AL1" s="0" t="s">
        <v>5596</v>
      </c>
      <c r="AM1" s="0" t="s">
        <v>5597</v>
      </c>
      <c r="AN1" s="0" t="s">
        <v>5598</v>
      </c>
      <c r="AO1" s="0" t="s">
        <v>5599</v>
      </c>
      <c r="AP1" s="0" t="s">
        <v>5600</v>
      </c>
      <c r="AQ1" s="0" t="s">
        <v>5601</v>
      </c>
      <c r="AR1" s="0" t="s">
        <v>5602</v>
      </c>
      <c r="AS1" s="0" t="s">
        <v>5603</v>
      </c>
      <c r="AT1" s="0" t="s">
        <v>5604</v>
      </c>
      <c r="AU1" s="0" t="s">
        <v>5605</v>
      </c>
      <c r="AV1" s="0" t="s">
        <v>5606</v>
      </c>
      <c r="AW1" s="0" t="s">
        <v>5607</v>
      </c>
      <c r="AX1" s="0" t="s">
        <v>5608</v>
      </c>
      <c r="AY1" s="0" t="s">
        <v>5609</v>
      </c>
      <c r="AZ1" s="0" t="s">
        <v>5610</v>
      </c>
      <c r="BA1" s="0" t="s">
        <v>5611</v>
      </c>
      <c r="BB1" s="0" t="s">
        <v>5612</v>
      </c>
      <c r="BC1" s="0" t="s">
        <v>5613</v>
      </c>
      <c r="BD1" s="0" t="s">
        <v>5614</v>
      </c>
      <c r="BE1" s="0" t="s">
        <v>5615</v>
      </c>
      <c r="BF1" s="0" t="s">
        <v>5616</v>
      </c>
      <c r="BG1" s="0" t="s">
        <v>5617</v>
      </c>
      <c r="BH1" s="0" t="s">
        <v>5618</v>
      </c>
      <c r="BI1" s="0" t="s">
        <v>5619</v>
      </c>
      <c r="BJ1" s="0" t="s">
        <v>5620</v>
      </c>
      <c r="BK1" s="0" t="s">
        <v>5621</v>
      </c>
      <c r="BL1" s="0" t="s">
        <v>5622</v>
      </c>
      <c r="BM1" s="0" t="s">
        <v>5623</v>
      </c>
      <c r="BN1" s="0" t="s">
        <v>5624</v>
      </c>
      <c r="BO1" s="0" t="s">
        <v>5625</v>
      </c>
      <c r="BP1" s="0" t="s">
        <v>5626</v>
      </c>
      <c r="BQ1" s="0" t="s">
        <v>5627</v>
      </c>
      <c r="BR1" s="0" t="s">
        <v>5628</v>
      </c>
      <c r="BS1" s="0" t="s">
        <v>5629</v>
      </c>
      <c r="BT1" s="0" t="s">
        <v>5630</v>
      </c>
      <c r="BU1" s="0" t="s">
        <v>5631</v>
      </c>
      <c r="BV1" s="0" t="s">
        <v>5632</v>
      </c>
      <c r="BW1" s="0" t="s">
        <v>5633</v>
      </c>
      <c r="BX1" s="0" t="s">
        <v>5634</v>
      </c>
      <c r="BY1" s="0" t="s">
        <v>5635</v>
      </c>
      <c r="BZ1" s="0" t="s">
        <v>5636</v>
      </c>
      <c r="CA1" s="0" t="s">
        <v>5637</v>
      </c>
      <c r="CB1" s="0" t="s">
        <v>5638</v>
      </c>
      <c r="CC1" s="0" t="s">
        <v>5639</v>
      </c>
      <c r="CD1" s="0" t="s">
        <v>5640</v>
      </c>
      <c r="CE1" s="0" t="s">
        <v>5641</v>
      </c>
      <c r="CF1" s="0" t="s">
        <v>5642</v>
      </c>
      <c r="CG1" s="0" t="s">
        <v>5643</v>
      </c>
      <c r="CH1" s="0" t="s">
        <v>5644</v>
      </c>
      <c r="CI1" s="0" t="s">
        <v>5645</v>
      </c>
      <c r="CJ1" s="0" t="s">
        <v>5646</v>
      </c>
      <c r="CK1" s="0" t="s">
        <v>5647</v>
      </c>
      <c r="CL1" s="0" t="s">
        <v>5648</v>
      </c>
      <c r="CM1" s="0" t="s">
        <v>5649</v>
      </c>
      <c r="CN1" s="0" t="s">
        <v>5650</v>
      </c>
      <c r="CO1" s="0" t="s">
        <v>5651</v>
      </c>
      <c r="CP1" s="0" t="s">
        <v>5652</v>
      </c>
      <c r="CQ1" s="0" t="s">
        <v>5653</v>
      </c>
      <c r="CR1" s="0" t="s">
        <v>5654</v>
      </c>
      <c r="CS1" s="0" t="s">
        <v>5655</v>
      </c>
      <c r="CT1" s="0" t="s">
        <v>5656</v>
      </c>
      <c r="CU1" s="0" t="s">
        <v>5657</v>
      </c>
      <c r="CV1" s="0" t="s">
        <v>5658</v>
      </c>
      <c r="CW1" s="0" t="s">
        <v>5659</v>
      </c>
      <c r="CX1" s="0" t="s">
        <v>5660</v>
      </c>
      <c r="CY1" s="0" t="s">
        <v>5661</v>
      </c>
      <c r="CZ1" s="0" t="s">
        <v>5662</v>
      </c>
      <c r="DA1" s="0" t="s">
        <v>5663</v>
      </c>
      <c r="DB1" s="0" t="s">
        <v>5664</v>
      </c>
      <c r="DC1" s="0" t="s">
        <v>5665</v>
      </c>
      <c r="DD1" s="0" t="s">
        <v>2329</v>
      </c>
      <c r="DE1" s="0" t="s">
        <v>5666</v>
      </c>
    </row>
    <row customHeight="1" ht="11.25">
      <c r="A2" s="1806" t="s">
        <v>227</v>
      </c>
      <c r="B2" s="0" t="s">
        <v>227</v>
      </c>
      <c r="C2" s="0" t="s">
        <v>227</v>
      </c>
      <c r="D2" s="0" t="s">
        <v>227</v>
      </c>
      <c r="E2" s="0" t="s">
        <v>227</v>
      </c>
      <c r="F2" s="0" t="s">
        <v>227</v>
      </c>
      <c r="G2" s="0" t="s">
        <v>227</v>
      </c>
      <c r="H2" s="0" t="s">
        <v>227</v>
      </c>
      <c r="I2" s="0" t="s">
        <v>5667</v>
      </c>
      <c r="J2" s="0" t="s">
        <v>227</v>
      </c>
      <c r="K2" s="0" t="s">
        <v>227</v>
      </c>
      <c r="L2" s="0" t="s">
        <v>227</v>
      </c>
      <c r="M2" s="0" t="s">
        <v>227</v>
      </c>
      <c r="N2" s="0" t="s">
        <v>227</v>
      </c>
      <c r="O2" s="0" t="s">
        <v>227</v>
      </c>
      <c r="P2" s="0" t="s">
        <v>227</v>
      </c>
      <c r="Q2" s="0" t="s">
        <v>227</v>
      </c>
      <c r="R2" s="0" t="s">
        <v>441</v>
      </c>
      <c r="S2" s="0" t="s">
        <v>227</v>
      </c>
      <c r="T2" s="0" t="s">
        <v>227</v>
      </c>
      <c r="U2" s="0" t="s">
        <v>102</v>
      </c>
      <c r="V2" s="0" t="s">
        <v>227</v>
      </c>
      <c r="W2" s="0" t="s">
        <v>227</v>
      </c>
      <c r="X2" s="0" t="s">
        <v>5668</v>
      </c>
      <c r="Y2" s="0" t="s">
        <v>227</v>
      </c>
      <c r="Z2" s="0" t="s">
        <v>161</v>
      </c>
      <c r="AA2" s="0" t="s">
        <v>152</v>
      </c>
      <c r="AB2" s="0" t="s">
        <v>152</v>
      </c>
      <c r="AC2" s="0" t="s">
        <v>352</v>
      </c>
      <c r="AD2" s="0" t="s">
        <v>352</v>
      </c>
      <c r="AE2" s="0" t="s">
        <v>353</v>
      </c>
      <c r="AF2" s="0" t="s">
        <v>5669</v>
      </c>
      <c r="AG2" s="0" t="s">
        <v>5670</v>
      </c>
      <c r="AH2" s="0" t="s">
        <v>5671</v>
      </c>
      <c r="AI2" s="0" t="s">
        <v>5672</v>
      </c>
      <c r="AJ2" s="0" t="s">
        <v>5673</v>
      </c>
      <c r="AK2" s="0" t="s">
        <v>5674</v>
      </c>
      <c r="AL2" s="0" t="s">
        <v>5675</v>
      </c>
      <c r="AM2" s="0" t="s">
        <v>5676</v>
      </c>
      <c r="AN2" s="0" t="s">
        <v>5677</v>
      </c>
      <c r="AO2" s="0" t="s">
        <v>5678</v>
      </c>
      <c r="AP2" s="0" t="s">
        <v>227</v>
      </c>
      <c r="AQ2" s="0" t="s">
        <v>227</v>
      </c>
      <c r="AR2" s="0" t="s">
        <v>227</v>
      </c>
      <c r="AS2" s="0" t="s">
        <v>227</v>
      </c>
      <c r="AT2" s="0" t="s">
        <v>227</v>
      </c>
      <c r="AU2" s="0" t="s">
        <v>227</v>
      </c>
      <c r="AV2" s="0" t="s">
        <v>227</v>
      </c>
      <c r="AW2" s="0" t="s">
        <v>227</v>
      </c>
      <c r="AX2" s="0" t="s">
        <v>227</v>
      </c>
      <c r="AY2" s="0" t="s">
        <v>227</v>
      </c>
      <c r="AZ2" s="0" t="s">
        <v>227</v>
      </c>
      <c r="BA2" s="0" t="s">
        <v>227</v>
      </c>
      <c r="BB2" s="0" t="s">
        <v>227</v>
      </c>
      <c r="BC2" s="0" t="s">
        <v>227</v>
      </c>
      <c r="BD2" s="0" t="s">
        <v>227</v>
      </c>
      <c r="BE2" s="0" t="s">
        <v>227</v>
      </c>
      <c r="BF2" s="0" t="s">
        <v>227</v>
      </c>
      <c r="BG2" s="0" t="s">
        <v>227</v>
      </c>
      <c r="BH2" s="0" t="s">
        <v>227</v>
      </c>
      <c r="BI2" s="0" t="s">
        <v>227</v>
      </c>
      <c r="BJ2" s="0" t="s">
        <v>227</v>
      </c>
      <c r="BK2" s="0" t="s">
        <v>227</v>
      </c>
      <c r="BL2" s="0" t="s">
        <v>227</v>
      </c>
      <c r="BM2" s="0" t="s">
        <v>227</v>
      </c>
      <c r="BN2" s="0" t="s">
        <v>227</v>
      </c>
      <c r="BO2" s="0" t="s">
        <v>227</v>
      </c>
      <c r="BP2" s="0" t="s">
        <v>227</v>
      </c>
      <c r="BQ2" s="0" t="s">
        <v>227</v>
      </c>
      <c r="BR2" s="0" t="s">
        <v>227</v>
      </c>
      <c r="BS2" s="0" t="s">
        <v>227</v>
      </c>
      <c r="BT2" s="0" t="s">
        <v>227</v>
      </c>
      <c r="BU2" s="0" t="s">
        <v>227</v>
      </c>
      <c r="BV2" s="0" t="s">
        <v>227</v>
      </c>
      <c r="BW2" s="0" t="s">
        <v>227</v>
      </c>
      <c r="BX2" s="0" t="s">
        <v>227</v>
      </c>
      <c r="BY2" s="0" t="s">
        <v>227</v>
      </c>
      <c r="BZ2" s="0" t="s">
        <v>227</v>
      </c>
      <c r="CA2" s="0" t="s">
        <v>227</v>
      </c>
      <c r="CB2" s="0" t="s">
        <v>227</v>
      </c>
      <c r="CC2" s="0" t="s">
        <v>227</v>
      </c>
      <c r="CD2" s="0" t="s">
        <v>227</v>
      </c>
      <c r="CE2" s="0" t="s">
        <v>227</v>
      </c>
      <c r="CF2" s="0" t="s">
        <v>227</v>
      </c>
      <c r="CG2" s="0" t="s">
        <v>227</v>
      </c>
      <c r="CH2" s="0" t="s">
        <v>227</v>
      </c>
      <c r="CI2" s="0" t="s">
        <v>227</v>
      </c>
      <c r="CJ2" s="0" t="s">
        <v>227</v>
      </c>
      <c r="CK2" s="0" t="s">
        <v>227</v>
      </c>
      <c r="CL2" s="0" t="s">
        <v>227</v>
      </c>
      <c r="CM2" s="0" t="s">
        <v>227</v>
      </c>
      <c r="CN2" s="0" t="s">
        <v>227</v>
      </c>
      <c r="CO2" s="0" t="s">
        <v>227</v>
      </c>
      <c r="CP2" s="0" t="s">
        <v>227</v>
      </c>
      <c r="CQ2" s="0" t="s">
        <v>227</v>
      </c>
      <c r="CR2" s="0" t="s">
        <v>227</v>
      </c>
      <c r="CS2" s="0" t="s">
        <v>227</v>
      </c>
      <c r="CT2" s="0" t="s">
        <v>5679</v>
      </c>
      <c r="CU2" s="0" t="s">
        <v>5680</v>
      </c>
      <c r="CV2" s="0" t="s">
        <v>430</v>
      </c>
      <c r="CW2" s="0" t="s">
        <v>5681</v>
      </c>
      <c r="CX2" s="0" t="s">
        <v>431</v>
      </c>
      <c r="CY2" s="0" t="s">
        <v>430</v>
      </c>
      <c r="CZ2" s="0" t="s">
        <v>432</v>
      </c>
      <c r="DA2" s="0" t="s">
        <v>433</v>
      </c>
      <c r="DB2" s="0" t="s">
        <v>5682</v>
      </c>
      <c r="DC2" s="0" t="s">
        <v>373</v>
      </c>
      <c r="DD2" s="0" t="s">
        <v>277</v>
      </c>
      <c r="DE2" s="0" t="s">
        <v>442</v>
      </c>
    </row>
    <row customHeight="1" ht="11.25">
      <c r="A3" s="1806" t="s">
        <v>227</v>
      </c>
      <c r="B3" s="0" t="s">
        <v>227</v>
      </c>
      <c r="C3" s="0" t="s">
        <v>227</v>
      </c>
      <c r="D3" s="0" t="s">
        <v>227</v>
      </c>
      <c r="E3" s="0" t="s">
        <v>227</v>
      </c>
      <c r="F3" s="0" t="s">
        <v>227</v>
      </c>
      <c r="G3" s="0" t="s">
        <v>227</v>
      </c>
      <c r="H3" s="0" t="s">
        <v>227</v>
      </c>
      <c r="I3" s="0" t="s">
        <v>5667</v>
      </c>
      <c r="J3" s="0" t="s">
        <v>227</v>
      </c>
      <c r="K3" s="0" t="s">
        <v>227</v>
      </c>
      <c r="L3" s="0" t="s">
        <v>227</v>
      </c>
      <c r="M3" s="0" t="s">
        <v>227</v>
      </c>
      <c r="N3" s="0" t="s">
        <v>227</v>
      </c>
      <c r="O3" s="0" t="s">
        <v>227</v>
      </c>
      <c r="P3" s="0" t="s">
        <v>227</v>
      </c>
      <c r="Q3" s="0" t="s">
        <v>227</v>
      </c>
      <c r="R3" s="0" t="s">
        <v>666</v>
      </c>
      <c r="S3" s="0" t="s">
        <v>227</v>
      </c>
      <c r="T3" s="0" t="s">
        <v>227</v>
      </c>
      <c r="U3" s="0" t="s">
        <v>102</v>
      </c>
      <c r="V3" s="0" t="s">
        <v>227</v>
      </c>
      <c r="W3" s="0" t="s">
        <v>227</v>
      </c>
      <c r="X3" s="0" t="s">
        <v>5683</v>
      </c>
      <c r="Y3" s="0" t="s">
        <v>227</v>
      </c>
      <c r="Z3" s="0" t="s">
        <v>152</v>
      </c>
      <c r="AA3" s="0" t="s">
        <v>152</v>
      </c>
      <c r="AB3" s="0" t="s">
        <v>161</v>
      </c>
      <c r="AC3" s="0" t="s">
        <v>354</v>
      </c>
      <c r="AD3" s="0" t="s">
        <v>354</v>
      </c>
      <c r="AE3" s="0" t="s">
        <v>355</v>
      </c>
      <c r="AF3" s="0" t="s">
        <v>5684</v>
      </c>
      <c r="AG3" s="0" t="s">
        <v>5685</v>
      </c>
      <c r="AH3" s="0" t="s">
        <v>5686</v>
      </c>
      <c r="AI3" s="0" t="s">
        <v>5687</v>
      </c>
      <c r="AJ3" s="0" t="s">
        <v>227</v>
      </c>
      <c r="AK3" s="0" t="s">
        <v>227</v>
      </c>
      <c r="AL3" s="0" t="s">
        <v>227</v>
      </c>
      <c r="AM3" s="0" t="s">
        <v>227</v>
      </c>
      <c r="AN3" s="0" t="s">
        <v>227</v>
      </c>
      <c r="AO3" s="0" t="s">
        <v>227</v>
      </c>
      <c r="AP3" s="0" t="s">
        <v>227</v>
      </c>
      <c r="AQ3" s="0" t="s">
        <v>227</v>
      </c>
      <c r="AR3" s="0" t="s">
        <v>227</v>
      </c>
      <c r="AS3" s="0" t="s">
        <v>227</v>
      </c>
      <c r="AT3" s="0" t="s">
        <v>227</v>
      </c>
      <c r="AU3" s="0" t="s">
        <v>227</v>
      </c>
      <c r="AV3" s="0" t="s">
        <v>227</v>
      </c>
      <c r="AW3" s="0" t="s">
        <v>227</v>
      </c>
      <c r="AX3" s="0" t="s">
        <v>227</v>
      </c>
      <c r="AY3" s="0" t="s">
        <v>227</v>
      </c>
      <c r="AZ3" s="0" t="s">
        <v>227</v>
      </c>
      <c r="BA3" s="0" t="s">
        <v>227</v>
      </c>
      <c r="BB3" s="0" t="s">
        <v>227</v>
      </c>
      <c r="BC3" s="0" t="s">
        <v>227</v>
      </c>
      <c r="BD3" s="0" t="s">
        <v>227</v>
      </c>
      <c r="BE3" s="0" t="s">
        <v>5688</v>
      </c>
      <c r="BF3" s="0" t="s">
        <v>5689</v>
      </c>
      <c r="BG3" s="0" t="s">
        <v>112</v>
      </c>
      <c r="BH3" s="0" t="s">
        <v>5690</v>
      </c>
      <c r="BI3" s="0" t="s">
        <v>5691</v>
      </c>
      <c r="BJ3" s="0" t="s">
        <v>227</v>
      </c>
      <c r="BK3" s="0" t="s">
        <v>5692</v>
      </c>
      <c r="BL3" s="0" t="s">
        <v>354</v>
      </c>
      <c r="BM3" s="0" t="s">
        <v>354</v>
      </c>
      <c r="BN3" s="0" t="s">
        <v>5693</v>
      </c>
      <c r="BO3" s="0" t="s">
        <v>5684</v>
      </c>
      <c r="BP3" s="0" t="s">
        <v>5694</v>
      </c>
      <c r="BQ3" s="0" t="s">
        <v>5692</v>
      </c>
      <c r="BR3" s="0" t="s">
        <v>5692</v>
      </c>
      <c r="BS3" s="0" t="s">
        <v>227</v>
      </c>
      <c r="BT3" s="0" t="s">
        <v>5695</v>
      </c>
      <c r="BU3" s="0" t="s">
        <v>5696</v>
      </c>
      <c r="BV3" s="0" t="s">
        <v>5696</v>
      </c>
      <c r="BW3" s="0" t="s">
        <v>5697</v>
      </c>
      <c r="BX3" s="0" t="s">
        <v>5697</v>
      </c>
      <c r="BY3" s="0" t="s">
        <v>5697</v>
      </c>
      <c r="BZ3" s="0" t="s">
        <v>5697</v>
      </c>
      <c r="CA3" s="0" t="s">
        <v>5697</v>
      </c>
      <c r="CB3" s="0" t="s">
        <v>227</v>
      </c>
      <c r="CC3" s="0" t="s">
        <v>227</v>
      </c>
      <c r="CD3" s="0" t="s">
        <v>227</v>
      </c>
      <c r="CE3" s="0" t="s">
        <v>227</v>
      </c>
      <c r="CF3" s="0" t="s">
        <v>227</v>
      </c>
      <c r="CG3" s="0" t="s">
        <v>5697</v>
      </c>
      <c r="CH3" s="0" t="s">
        <v>227</v>
      </c>
      <c r="CI3" s="0" t="s">
        <v>227</v>
      </c>
      <c r="CJ3" s="0" t="s">
        <v>227</v>
      </c>
      <c r="CK3" s="0" t="s">
        <v>227</v>
      </c>
      <c r="CL3" s="0" t="s">
        <v>227</v>
      </c>
      <c r="CM3" s="0" t="s">
        <v>5696</v>
      </c>
      <c r="CN3" s="0" t="s">
        <v>5696</v>
      </c>
      <c r="CO3" s="0" t="s">
        <v>227</v>
      </c>
      <c r="CP3" s="0" t="s">
        <v>227</v>
      </c>
      <c r="CQ3" s="0" t="s">
        <v>227</v>
      </c>
      <c r="CR3" s="0" t="s">
        <v>227</v>
      </c>
      <c r="CS3" s="0" t="s">
        <v>5698</v>
      </c>
      <c r="CT3" s="0" t="s">
        <v>5679</v>
      </c>
      <c r="CU3" s="0" t="s">
        <v>5680</v>
      </c>
      <c r="CV3" s="0" t="s">
        <v>430</v>
      </c>
      <c r="CW3" s="0" t="s">
        <v>5699</v>
      </c>
      <c r="CX3" s="0" t="s">
        <v>431</v>
      </c>
      <c r="CY3" s="0" t="s">
        <v>430</v>
      </c>
      <c r="CZ3" s="0" t="s">
        <v>432</v>
      </c>
      <c r="DA3" s="0" t="s">
        <v>433</v>
      </c>
      <c r="DB3" s="0" t="s">
        <v>5700</v>
      </c>
      <c r="DC3" s="0" t="s">
        <v>373</v>
      </c>
      <c r="DD3" s="0" t="s">
        <v>277</v>
      </c>
      <c r="DE3" s="0" t="s">
        <v>667</v>
      </c>
    </row>
    <row customHeight="1" ht="11.25">
      <c r="A4" s="1806" t="s">
        <v>227</v>
      </c>
      <c r="B4" s="0" t="s">
        <v>227</v>
      </c>
      <c r="C4" s="0" t="s">
        <v>227</v>
      </c>
      <c r="D4" s="0" t="s">
        <v>227</v>
      </c>
      <c r="E4" s="0" t="s">
        <v>227</v>
      </c>
      <c r="F4" s="0" t="s">
        <v>227</v>
      </c>
      <c r="G4" s="0" t="s">
        <v>227</v>
      </c>
      <c r="H4" s="0" t="s">
        <v>227</v>
      </c>
      <c r="I4" s="0" t="s">
        <v>5667</v>
      </c>
      <c r="J4" s="0" t="s">
        <v>227</v>
      </c>
      <c r="K4" s="0" t="s">
        <v>227</v>
      </c>
      <c r="L4" s="0" t="s">
        <v>227</v>
      </c>
      <c r="M4" s="0" t="s">
        <v>227</v>
      </c>
      <c r="N4" s="0" t="s">
        <v>227</v>
      </c>
      <c r="O4" s="0" t="s">
        <v>227</v>
      </c>
      <c r="P4" s="0" t="s">
        <v>227</v>
      </c>
      <c r="Q4" s="0" t="s">
        <v>227</v>
      </c>
      <c r="R4" s="0" t="s">
        <v>791</v>
      </c>
      <c r="S4" s="0" t="s">
        <v>227</v>
      </c>
      <c r="T4" s="0" t="s">
        <v>227</v>
      </c>
      <c r="U4" s="0" t="s">
        <v>102</v>
      </c>
      <c r="V4" s="0" t="s">
        <v>227</v>
      </c>
      <c r="W4" s="0" t="s">
        <v>227</v>
      </c>
      <c r="X4" s="0" t="s">
        <v>5683</v>
      </c>
      <c r="Y4" s="0" t="s">
        <v>227</v>
      </c>
      <c r="Z4" s="0" t="s">
        <v>152</v>
      </c>
      <c r="AA4" s="0" t="s">
        <v>152</v>
      </c>
      <c r="AB4" s="0" t="s">
        <v>161</v>
      </c>
      <c r="AC4" s="0" t="s">
        <v>354</v>
      </c>
      <c r="AD4" s="0" t="s">
        <v>354</v>
      </c>
      <c r="AE4" s="0" t="s">
        <v>355</v>
      </c>
      <c r="AF4" s="0" t="s">
        <v>5701</v>
      </c>
      <c r="AG4" s="0" t="s">
        <v>5702</v>
      </c>
      <c r="AH4" s="0" t="s">
        <v>5703</v>
      </c>
      <c r="AI4" s="0" t="s">
        <v>526</v>
      </c>
      <c r="AJ4" s="0" t="s">
        <v>227</v>
      </c>
      <c r="AK4" s="0" t="s">
        <v>227</v>
      </c>
      <c r="AL4" s="0" t="s">
        <v>227</v>
      </c>
      <c r="AM4" s="0" t="s">
        <v>227</v>
      </c>
      <c r="AN4" s="0" t="s">
        <v>227</v>
      </c>
      <c r="AO4" s="0" t="s">
        <v>227</v>
      </c>
      <c r="AP4" s="0" t="s">
        <v>227</v>
      </c>
      <c r="AQ4" s="0" t="s">
        <v>227</v>
      </c>
      <c r="AR4" s="0" t="s">
        <v>227</v>
      </c>
      <c r="AS4" s="0" t="s">
        <v>227</v>
      </c>
      <c r="AT4" s="0" t="s">
        <v>227</v>
      </c>
      <c r="AU4" s="0" t="s">
        <v>227</v>
      </c>
      <c r="AV4" s="0" t="s">
        <v>227</v>
      </c>
      <c r="AW4" s="0" t="s">
        <v>227</v>
      </c>
      <c r="AX4" s="0" t="s">
        <v>227</v>
      </c>
      <c r="AY4" s="0" t="s">
        <v>227</v>
      </c>
      <c r="AZ4" s="0" t="s">
        <v>227</v>
      </c>
      <c r="BA4" s="0" t="s">
        <v>227</v>
      </c>
      <c r="BB4" s="0" t="s">
        <v>227</v>
      </c>
      <c r="BC4" s="0" t="s">
        <v>227</v>
      </c>
      <c r="BD4" s="0" t="s">
        <v>227</v>
      </c>
      <c r="BE4" s="0" t="s">
        <v>5704</v>
      </c>
      <c r="BF4" s="0" t="s">
        <v>5705</v>
      </c>
      <c r="BG4" s="0" t="s">
        <v>112</v>
      </c>
      <c r="BH4" s="0" t="s">
        <v>5690</v>
      </c>
      <c r="BI4" s="0" t="s">
        <v>5691</v>
      </c>
      <c r="BJ4" s="0" t="s">
        <v>227</v>
      </c>
      <c r="BK4" s="0" t="s">
        <v>952</v>
      </c>
      <c r="BL4" s="0" t="s">
        <v>354</v>
      </c>
      <c r="BM4" s="0" t="s">
        <v>354</v>
      </c>
      <c r="BN4" s="0" t="s">
        <v>5693</v>
      </c>
      <c r="BO4" s="0" t="s">
        <v>5701</v>
      </c>
      <c r="BP4" s="0" t="s">
        <v>5706</v>
      </c>
      <c r="BQ4" s="0" t="s">
        <v>5707</v>
      </c>
      <c r="BR4" s="0" t="s">
        <v>5708</v>
      </c>
      <c r="BS4" s="0" t="s">
        <v>227</v>
      </c>
      <c r="BT4" s="0" t="s">
        <v>5709</v>
      </c>
      <c r="BU4" s="0" t="s">
        <v>5710</v>
      </c>
      <c r="BV4" s="0" t="s">
        <v>5710</v>
      </c>
      <c r="BW4" s="0" t="s">
        <v>5697</v>
      </c>
      <c r="BX4" s="0" t="s">
        <v>5697</v>
      </c>
      <c r="BY4" s="0" t="s">
        <v>5697</v>
      </c>
      <c r="BZ4" s="0" t="s">
        <v>5697</v>
      </c>
      <c r="CA4" s="0" t="s">
        <v>5697</v>
      </c>
      <c r="CB4" s="0" t="s">
        <v>227</v>
      </c>
      <c r="CC4" s="0" t="s">
        <v>227</v>
      </c>
      <c r="CD4" s="0" t="s">
        <v>227</v>
      </c>
      <c r="CE4" s="0" t="s">
        <v>227</v>
      </c>
      <c r="CF4" s="0" t="s">
        <v>227</v>
      </c>
      <c r="CG4" s="0" t="s">
        <v>5697</v>
      </c>
      <c r="CH4" s="0" t="s">
        <v>227</v>
      </c>
      <c r="CI4" s="0" t="s">
        <v>227</v>
      </c>
      <c r="CJ4" s="0" t="s">
        <v>227</v>
      </c>
      <c r="CK4" s="0" t="s">
        <v>227</v>
      </c>
      <c r="CL4" s="0" t="s">
        <v>227</v>
      </c>
      <c r="CM4" s="0" t="s">
        <v>5710</v>
      </c>
      <c r="CN4" s="0" t="s">
        <v>5710</v>
      </c>
      <c r="CO4" s="0" t="s">
        <v>227</v>
      </c>
      <c r="CP4" s="0" t="s">
        <v>227</v>
      </c>
      <c r="CQ4" s="0" t="s">
        <v>227</v>
      </c>
      <c r="CR4" s="0" t="s">
        <v>227</v>
      </c>
      <c r="CS4" s="0" t="s">
        <v>5698</v>
      </c>
      <c r="CT4" s="0" t="s">
        <v>5679</v>
      </c>
      <c r="CU4" s="0" t="s">
        <v>5680</v>
      </c>
      <c r="CV4" s="0" t="s">
        <v>430</v>
      </c>
      <c r="CW4" s="0" t="s">
        <v>5699</v>
      </c>
      <c r="CX4" s="0" t="s">
        <v>431</v>
      </c>
      <c r="CY4" s="0" t="s">
        <v>430</v>
      </c>
      <c r="CZ4" s="0" t="s">
        <v>432</v>
      </c>
      <c r="DA4" s="0" t="s">
        <v>433</v>
      </c>
      <c r="DB4" s="0" t="s">
        <v>5700</v>
      </c>
      <c r="DC4" s="0" t="s">
        <v>373</v>
      </c>
      <c r="DD4" s="0" t="s">
        <v>277</v>
      </c>
      <c r="DE4" s="0" t="s">
        <v>792</v>
      </c>
    </row>
    <row customHeight="1" ht="11.25">
      <c r="A5" s="1806" t="s">
        <v>227</v>
      </c>
      <c r="B5" s="0" t="s">
        <v>227</v>
      </c>
      <c r="C5" s="0" t="s">
        <v>227</v>
      </c>
      <c r="D5" s="0" t="s">
        <v>227</v>
      </c>
      <c r="E5" s="0" t="s">
        <v>227</v>
      </c>
      <c r="F5" s="0" t="s">
        <v>227</v>
      </c>
      <c r="G5" s="0" t="s">
        <v>227</v>
      </c>
      <c r="H5" s="0" t="s">
        <v>227</v>
      </c>
      <c r="I5" s="0" t="s">
        <v>5667</v>
      </c>
      <c r="J5" s="0" t="s">
        <v>227</v>
      </c>
      <c r="K5" s="0" t="s">
        <v>227</v>
      </c>
      <c r="L5" s="0" t="s">
        <v>227</v>
      </c>
      <c r="M5" s="0" t="s">
        <v>227</v>
      </c>
      <c r="N5" s="0" t="s">
        <v>227</v>
      </c>
      <c r="O5" s="0" t="s">
        <v>227</v>
      </c>
      <c r="P5" s="0" t="s">
        <v>227</v>
      </c>
      <c r="Q5" s="0" t="s">
        <v>227</v>
      </c>
      <c r="R5" s="0" t="s">
        <v>494</v>
      </c>
      <c r="S5" s="0" t="s">
        <v>227</v>
      </c>
      <c r="T5" s="0" t="s">
        <v>227</v>
      </c>
      <c r="U5" s="0" t="s">
        <v>102</v>
      </c>
      <c r="V5" s="0" t="s">
        <v>227</v>
      </c>
      <c r="W5" s="0" t="s">
        <v>227</v>
      </c>
      <c r="X5" s="0" t="s">
        <v>5683</v>
      </c>
      <c r="Y5" s="0" t="s">
        <v>227</v>
      </c>
      <c r="Z5" s="0" t="s">
        <v>152</v>
      </c>
      <c r="AA5" s="0" t="s">
        <v>152</v>
      </c>
      <c r="AB5" s="0" t="s">
        <v>161</v>
      </c>
      <c r="AC5" s="0" t="s">
        <v>354</v>
      </c>
      <c r="AD5" s="0" t="s">
        <v>354</v>
      </c>
      <c r="AE5" s="0" t="s">
        <v>355</v>
      </c>
      <c r="AF5" s="0" t="s">
        <v>5684</v>
      </c>
      <c r="AG5" s="0" t="s">
        <v>5685</v>
      </c>
      <c r="AH5" s="0" t="s">
        <v>5711</v>
      </c>
      <c r="AI5" s="0" t="s">
        <v>5692</v>
      </c>
      <c r="AJ5" s="0" t="s">
        <v>227</v>
      </c>
      <c r="AK5" s="0" t="s">
        <v>227</v>
      </c>
      <c r="AL5" s="0" t="s">
        <v>227</v>
      </c>
      <c r="AM5" s="0" t="s">
        <v>227</v>
      </c>
      <c r="AN5" s="0" t="s">
        <v>227</v>
      </c>
      <c r="AO5" s="0" t="s">
        <v>227</v>
      </c>
      <c r="AP5" s="0" t="s">
        <v>227</v>
      </c>
      <c r="AQ5" s="0" t="s">
        <v>227</v>
      </c>
      <c r="AR5" s="0" t="s">
        <v>227</v>
      </c>
      <c r="AS5" s="0" t="s">
        <v>227</v>
      </c>
      <c r="AT5" s="0" t="s">
        <v>227</v>
      </c>
      <c r="AU5" s="0" t="s">
        <v>227</v>
      </c>
      <c r="AV5" s="0" t="s">
        <v>227</v>
      </c>
      <c r="AW5" s="0" t="s">
        <v>227</v>
      </c>
      <c r="AX5" s="0" t="s">
        <v>227</v>
      </c>
      <c r="AY5" s="0" t="s">
        <v>227</v>
      </c>
      <c r="AZ5" s="0" t="s">
        <v>227</v>
      </c>
      <c r="BA5" s="0" t="s">
        <v>227</v>
      </c>
      <c r="BB5" s="0" t="s">
        <v>227</v>
      </c>
      <c r="BC5" s="0" t="s">
        <v>227</v>
      </c>
      <c r="BD5" s="0" t="s">
        <v>227</v>
      </c>
      <c r="BE5" s="0" t="s">
        <v>5704</v>
      </c>
      <c r="BF5" s="0" t="s">
        <v>5677</v>
      </c>
      <c r="BG5" s="0" t="s">
        <v>112</v>
      </c>
      <c r="BH5" s="0" t="s">
        <v>5690</v>
      </c>
      <c r="BI5" s="0" t="s">
        <v>5691</v>
      </c>
      <c r="BJ5" s="0" t="s">
        <v>227</v>
      </c>
      <c r="BK5" s="0" t="s">
        <v>5692</v>
      </c>
      <c r="BL5" s="0" t="s">
        <v>354</v>
      </c>
      <c r="BM5" s="0" t="s">
        <v>354</v>
      </c>
      <c r="BN5" s="0" t="s">
        <v>5693</v>
      </c>
      <c r="BO5" s="0" t="s">
        <v>5684</v>
      </c>
      <c r="BP5" s="0" t="s">
        <v>5694</v>
      </c>
      <c r="BQ5" s="0" t="s">
        <v>5692</v>
      </c>
      <c r="BR5" s="0" t="s">
        <v>5692</v>
      </c>
      <c r="BS5" s="0" t="s">
        <v>227</v>
      </c>
      <c r="BT5" s="0" t="s">
        <v>5712</v>
      </c>
      <c r="BU5" s="0" t="s">
        <v>5713</v>
      </c>
      <c r="BV5" s="0" t="s">
        <v>5713</v>
      </c>
      <c r="BW5" s="0" t="s">
        <v>5697</v>
      </c>
      <c r="BX5" s="0" t="s">
        <v>5697</v>
      </c>
      <c r="BY5" s="0" t="s">
        <v>5697</v>
      </c>
      <c r="BZ5" s="0" t="s">
        <v>5697</v>
      </c>
      <c r="CA5" s="0" t="s">
        <v>5697</v>
      </c>
      <c r="CB5" s="0" t="s">
        <v>227</v>
      </c>
      <c r="CC5" s="0" t="s">
        <v>227</v>
      </c>
      <c r="CD5" s="0" t="s">
        <v>227</v>
      </c>
      <c r="CE5" s="0" t="s">
        <v>227</v>
      </c>
      <c r="CF5" s="0" t="s">
        <v>227</v>
      </c>
      <c r="CG5" s="0" t="s">
        <v>5697</v>
      </c>
      <c r="CH5" s="0" t="s">
        <v>227</v>
      </c>
      <c r="CI5" s="0" t="s">
        <v>227</v>
      </c>
      <c r="CJ5" s="0" t="s">
        <v>227</v>
      </c>
      <c r="CK5" s="0" t="s">
        <v>227</v>
      </c>
      <c r="CL5" s="0" t="s">
        <v>227</v>
      </c>
      <c r="CM5" s="0" t="s">
        <v>5713</v>
      </c>
      <c r="CN5" s="0" t="s">
        <v>5713</v>
      </c>
      <c r="CO5" s="0" t="s">
        <v>227</v>
      </c>
      <c r="CP5" s="0" t="s">
        <v>227</v>
      </c>
      <c r="CQ5" s="0" t="s">
        <v>227</v>
      </c>
      <c r="CR5" s="0" t="s">
        <v>227</v>
      </c>
      <c r="CS5" s="0" t="s">
        <v>5714</v>
      </c>
      <c r="CT5" s="0" t="s">
        <v>5679</v>
      </c>
      <c r="CU5" s="0" t="s">
        <v>5680</v>
      </c>
      <c r="CV5" s="0" t="s">
        <v>430</v>
      </c>
      <c r="CW5" s="0" t="s">
        <v>5699</v>
      </c>
      <c r="CX5" s="0" t="s">
        <v>431</v>
      </c>
      <c r="CY5" s="0" t="s">
        <v>430</v>
      </c>
      <c r="CZ5" s="0" t="s">
        <v>432</v>
      </c>
      <c r="DA5" s="0" t="s">
        <v>433</v>
      </c>
      <c r="DB5" s="0" t="s">
        <v>5700</v>
      </c>
      <c r="DC5" s="0" t="s">
        <v>373</v>
      </c>
      <c r="DD5" s="0" t="s">
        <v>277</v>
      </c>
      <c r="DE5" s="0" t="s">
        <v>495</v>
      </c>
    </row>
    <row customHeight="1" ht="11.25">
      <c r="A6" s="1806" t="s">
        <v>227</v>
      </c>
      <c r="B6" s="0" t="s">
        <v>227</v>
      </c>
      <c r="C6" s="0" t="s">
        <v>227</v>
      </c>
      <c r="D6" s="0" t="s">
        <v>227</v>
      </c>
      <c r="E6" s="0" t="s">
        <v>227</v>
      </c>
      <c r="F6" s="0" t="s">
        <v>227</v>
      </c>
      <c r="G6" s="0" t="s">
        <v>227</v>
      </c>
      <c r="H6" s="0" t="s">
        <v>227</v>
      </c>
      <c r="I6" s="0" t="s">
        <v>5667</v>
      </c>
      <c r="J6" s="0" t="s">
        <v>227</v>
      </c>
      <c r="K6" s="0" t="s">
        <v>227</v>
      </c>
      <c r="L6" s="0" t="s">
        <v>227</v>
      </c>
      <c r="M6" s="0" t="s">
        <v>227</v>
      </c>
      <c r="N6" s="0" t="s">
        <v>227</v>
      </c>
      <c r="O6" s="0" t="s">
        <v>227</v>
      </c>
      <c r="P6" s="0" t="s">
        <v>227</v>
      </c>
      <c r="Q6" s="0" t="s">
        <v>227</v>
      </c>
      <c r="R6" s="0" t="s">
        <v>651</v>
      </c>
      <c r="S6" s="0" t="s">
        <v>227</v>
      </c>
      <c r="T6" s="0" t="s">
        <v>227</v>
      </c>
      <c r="U6" s="0" t="s">
        <v>102</v>
      </c>
      <c r="V6" s="0" t="s">
        <v>227</v>
      </c>
      <c r="W6" s="0" t="s">
        <v>227</v>
      </c>
      <c r="X6" s="0" t="s">
        <v>5683</v>
      </c>
      <c r="Y6" s="0" t="s">
        <v>227</v>
      </c>
      <c r="Z6" s="0" t="s">
        <v>152</v>
      </c>
      <c r="AA6" s="0" t="s">
        <v>152</v>
      </c>
      <c r="AB6" s="0" t="s">
        <v>161</v>
      </c>
      <c r="AC6" s="0" t="s">
        <v>354</v>
      </c>
      <c r="AD6" s="0" t="s">
        <v>354</v>
      </c>
      <c r="AE6" s="0" t="s">
        <v>355</v>
      </c>
      <c r="AF6" s="0" t="s">
        <v>5684</v>
      </c>
      <c r="AG6" s="0" t="s">
        <v>5685</v>
      </c>
      <c r="AH6" s="0" t="s">
        <v>5715</v>
      </c>
      <c r="AI6" s="0" t="s">
        <v>5687</v>
      </c>
      <c r="AJ6" s="0" t="s">
        <v>227</v>
      </c>
      <c r="AK6" s="0" t="s">
        <v>227</v>
      </c>
      <c r="AL6" s="0" t="s">
        <v>227</v>
      </c>
      <c r="AM6" s="0" t="s">
        <v>227</v>
      </c>
      <c r="AN6" s="0" t="s">
        <v>227</v>
      </c>
      <c r="AO6" s="0" t="s">
        <v>227</v>
      </c>
      <c r="AP6" s="0" t="s">
        <v>227</v>
      </c>
      <c r="AQ6" s="0" t="s">
        <v>227</v>
      </c>
      <c r="AR6" s="0" t="s">
        <v>227</v>
      </c>
      <c r="AS6" s="0" t="s">
        <v>227</v>
      </c>
      <c r="AT6" s="0" t="s">
        <v>227</v>
      </c>
      <c r="AU6" s="0" t="s">
        <v>227</v>
      </c>
      <c r="AV6" s="0" t="s">
        <v>227</v>
      </c>
      <c r="AW6" s="0" t="s">
        <v>227</v>
      </c>
      <c r="AX6" s="0" t="s">
        <v>227</v>
      </c>
      <c r="AY6" s="0" t="s">
        <v>227</v>
      </c>
      <c r="AZ6" s="0" t="s">
        <v>227</v>
      </c>
      <c r="BA6" s="0" t="s">
        <v>227</v>
      </c>
      <c r="BB6" s="0" t="s">
        <v>227</v>
      </c>
      <c r="BC6" s="0" t="s">
        <v>227</v>
      </c>
      <c r="BD6" s="0" t="s">
        <v>227</v>
      </c>
      <c r="BE6" s="0" t="s">
        <v>5716</v>
      </c>
      <c r="BF6" s="0" t="s">
        <v>5717</v>
      </c>
      <c r="BG6" s="0" t="s">
        <v>112</v>
      </c>
      <c r="BH6" s="0" t="s">
        <v>5690</v>
      </c>
      <c r="BI6" s="0" t="s">
        <v>5691</v>
      </c>
      <c r="BJ6" s="0" t="s">
        <v>227</v>
      </c>
      <c r="BK6" s="0" t="s">
        <v>5692</v>
      </c>
      <c r="BL6" s="0" t="s">
        <v>354</v>
      </c>
      <c r="BM6" s="0" t="s">
        <v>354</v>
      </c>
      <c r="BN6" s="0" t="s">
        <v>5693</v>
      </c>
      <c r="BO6" s="0" t="s">
        <v>5684</v>
      </c>
      <c r="BP6" s="0" t="s">
        <v>5694</v>
      </c>
      <c r="BQ6" s="0" t="s">
        <v>5692</v>
      </c>
      <c r="BR6" s="0" t="s">
        <v>5692</v>
      </c>
      <c r="BS6" s="0" t="s">
        <v>227</v>
      </c>
      <c r="BT6" s="0" t="s">
        <v>5695</v>
      </c>
      <c r="BU6" s="0" t="s">
        <v>5718</v>
      </c>
      <c r="BV6" s="0" t="s">
        <v>5718</v>
      </c>
      <c r="BW6" s="0" t="s">
        <v>5697</v>
      </c>
      <c r="BX6" s="0" t="s">
        <v>5697</v>
      </c>
      <c r="BY6" s="0" t="s">
        <v>5697</v>
      </c>
      <c r="BZ6" s="0" t="s">
        <v>5697</v>
      </c>
      <c r="CA6" s="0" t="s">
        <v>5697</v>
      </c>
      <c r="CB6" s="0" t="s">
        <v>227</v>
      </c>
      <c r="CC6" s="0" t="s">
        <v>227</v>
      </c>
      <c r="CD6" s="0" t="s">
        <v>227</v>
      </c>
      <c r="CE6" s="0" t="s">
        <v>227</v>
      </c>
      <c r="CF6" s="0" t="s">
        <v>227</v>
      </c>
      <c r="CG6" s="0" t="s">
        <v>5697</v>
      </c>
      <c r="CH6" s="0" t="s">
        <v>227</v>
      </c>
      <c r="CI6" s="0" t="s">
        <v>227</v>
      </c>
      <c r="CJ6" s="0" t="s">
        <v>227</v>
      </c>
      <c r="CK6" s="0" t="s">
        <v>227</v>
      </c>
      <c r="CL6" s="0" t="s">
        <v>227</v>
      </c>
      <c r="CM6" s="0" t="s">
        <v>5718</v>
      </c>
      <c r="CN6" s="0" t="s">
        <v>5718</v>
      </c>
      <c r="CO6" s="0" t="s">
        <v>227</v>
      </c>
      <c r="CP6" s="0" t="s">
        <v>227</v>
      </c>
      <c r="CQ6" s="0" t="s">
        <v>227</v>
      </c>
      <c r="CR6" s="0" t="s">
        <v>227</v>
      </c>
      <c r="CS6" s="0" t="s">
        <v>5705</v>
      </c>
      <c r="CT6" s="0" t="s">
        <v>5679</v>
      </c>
      <c r="CU6" s="0" t="s">
        <v>5680</v>
      </c>
      <c r="CV6" s="0" t="s">
        <v>430</v>
      </c>
      <c r="CW6" s="0" t="s">
        <v>5699</v>
      </c>
      <c r="CX6" s="0" t="s">
        <v>431</v>
      </c>
      <c r="CY6" s="0" t="s">
        <v>430</v>
      </c>
      <c r="CZ6" s="0" t="s">
        <v>432</v>
      </c>
      <c r="DA6" s="0" t="s">
        <v>433</v>
      </c>
      <c r="DB6" s="0" t="s">
        <v>5700</v>
      </c>
      <c r="DC6" s="0" t="s">
        <v>373</v>
      </c>
      <c r="DD6" s="0" t="s">
        <v>277</v>
      </c>
      <c r="DE6" s="0" t="s">
        <v>652</v>
      </c>
    </row>
    <row customHeight="1" ht="11.25">
      <c r="A7" s="1806" t="s">
        <v>227</v>
      </c>
      <c r="B7" s="0" t="s">
        <v>227</v>
      </c>
      <c r="C7" s="0" t="s">
        <v>227</v>
      </c>
      <c r="D7" s="0" t="s">
        <v>227</v>
      </c>
      <c r="E7" s="0" t="s">
        <v>227</v>
      </c>
      <c r="F7" s="0" t="s">
        <v>227</v>
      </c>
      <c r="G7" s="0" t="s">
        <v>227</v>
      </c>
      <c r="H7" s="0" t="s">
        <v>227</v>
      </c>
      <c r="I7" s="0" t="s">
        <v>5667</v>
      </c>
      <c r="J7" s="0" t="s">
        <v>227</v>
      </c>
      <c r="K7" s="0" t="s">
        <v>227</v>
      </c>
      <c r="L7" s="0" t="s">
        <v>227</v>
      </c>
      <c r="M7" s="0" t="s">
        <v>227</v>
      </c>
      <c r="N7" s="0" t="s">
        <v>227</v>
      </c>
      <c r="O7" s="0" t="s">
        <v>227</v>
      </c>
      <c r="P7" s="0" t="s">
        <v>227</v>
      </c>
      <c r="Q7" s="0" t="s">
        <v>227</v>
      </c>
      <c r="R7" s="0" t="s">
        <v>933</v>
      </c>
      <c r="S7" s="0" t="s">
        <v>227</v>
      </c>
      <c r="T7" s="0" t="s">
        <v>227</v>
      </c>
      <c r="U7" s="0" t="s">
        <v>102</v>
      </c>
      <c r="V7" s="0" t="s">
        <v>227</v>
      </c>
      <c r="W7" s="0" t="s">
        <v>227</v>
      </c>
      <c r="X7" s="0" t="s">
        <v>5668</v>
      </c>
      <c r="Y7" s="0" t="s">
        <v>227</v>
      </c>
      <c r="Z7" s="0" t="s">
        <v>161</v>
      </c>
      <c r="AA7" s="0" t="s">
        <v>152</v>
      </c>
      <c r="AB7" s="0" t="s">
        <v>152</v>
      </c>
      <c r="AC7" s="0" t="s">
        <v>354</v>
      </c>
      <c r="AD7" s="0" t="s">
        <v>354</v>
      </c>
      <c r="AE7" s="0" t="s">
        <v>355</v>
      </c>
      <c r="AF7" s="0" t="s">
        <v>5701</v>
      </c>
      <c r="AG7" s="0" t="s">
        <v>5702</v>
      </c>
      <c r="AH7" s="0" t="s">
        <v>5719</v>
      </c>
      <c r="AI7" s="0" t="s">
        <v>5720</v>
      </c>
      <c r="AJ7" s="0" t="s">
        <v>5721</v>
      </c>
      <c r="AK7" s="0" t="s">
        <v>5722</v>
      </c>
      <c r="AL7" s="0" t="s">
        <v>5723</v>
      </c>
      <c r="AM7" s="0" t="s">
        <v>5676</v>
      </c>
      <c r="AN7" s="0" t="s">
        <v>5724</v>
      </c>
      <c r="AO7" s="0" t="s">
        <v>5725</v>
      </c>
      <c r="AP7" s="0" t="s">
        <v>227</v>
      </c>
      <c r="AQ7" s="0" t="s">
        <v>227</v>
      </c>
      <c r="AR7" s="0" t="s">
        <v>227</v>
      </c>
      <c r="AS7" s="0" t="s">
        <v>227</v>
      </c>
      <c r="AT7" s="0" t="s">
        <v>227</v>
      </c>
      <c r="AU7" s="0" t="s">
        <v>227</v>
      </c>
      <c r="AV7" s="0" t="s">
        <v>227</v>
      </c>
      <c r="AW7" s="0" t="s">
        <v>227</v>
      </c>
      <c r="AX7" s="0" t="s">
        <v>227</v>
      </c>
      <c r="AY7" s="0" t="s">
        <v>227</v>
      </c>
      <c r="AZ7" s="0" t="s">
        <v>227</v>
      </c>
      <c r="BA7" s="0" t="s">
        <v>227</v>
      </c>
      <c r="BB7" s="0" t="s">
        <v>227</v>
      </c>
      <c r="BC7" s="0" t="s">
        <v>227</v>
      </c>
      <c r="BD7" s="0" t="s">
        <v>227</v>
      </c>
      <c r="BE7" s="0" t="s">
        <v>227</v>
      </c>
      <c r="BF7" s="0" t="s">
        <v>227</v>
      </c>
      <c r="BG7" s="0" t="s">
        <v>227</v>
      </c>
      <c r="BH7" s="0" t="s">
        <v>227</v>
      </c>
      <c r="BI7" s="0" t="s">
        <v>227</v>
      </c>
      <c r="BJ7" s="0" t="s">
        <v>227</v>
      </c>
      <c r="BK7" s="0" t="s">
        <v>227</v>
      </c>
      <c r="BL7" s="0" t="s">
        <v>227</v>
      </c>
      <c r="BM7" s="0" t="s">
        <v>227</v>
      </c>
      <c r="BN7" s="0" t="s">
        <v>227</v>
      </c>
      <c r="BO7" s="0" t="s">
        <v>227</v>
      </c>
      <c r="BP7" s="0" t="s">
        <v>227</v>
      </c>
      <c r="BQ7" s="0" t="s">
        <v>227</v>
      </c>
      <c r="BR7" s="0" t="s">
        <v>227</v>
      </c>
      <c r="BS7" s="0" t="s">
        <v>227</v>
      </c>
      <c r="BT7" s="0" t="s">
        <v>227</v>
      </c>
      <c r="BU7" s="0" t="s">
        <v>227</v>
      </c>
      <c r="BV7" s="0" t="s">
        <v>227</v>
      </c>
      <c r="BW7" s="0" t="s">
        <v>227</v>
      </c>
      <c r="BX7" s="0" t="s">
        <v>227</v>
      </c>
      <c r="BY7" s="0" t="s">
        <v>227</v>
      </c>
      <c r="BZ7" s="0" t="s">
        <v>227</v>
      </c>
      <c r="CA7" s="0" t="s">
        <v>227</v>
      </c>
      <c r="CB7" s="0" t="s">
        <v>227</v>
      </c>
      <c r="CC7" s="0" t="s">
        <v>227</v>
      </c>
      <c r="CD7" s="0" t="s">
        <v>227</v>
      </c>
      <c r="CE7" s="0" t="s">
        <v>227</v>
      </c>
      <c r="CF7" s="0" t="s">
        <v>227</v>
      </c>
      <c r="CG7" s="0" t="s">
        <v>227</v>
      </c>
      <c r="CH7" s="0" t="s">
        <v>227</v>
      </c>
      <c r="CI7" s="0" t="s">
        <v>227</v>
      </c>
      <c r="CJ7" s="0" t="s">
        <v>227</v>
      </c>
      <c r="CK7" s="0" t="s">
        <v>227</v>
      </c>
      <c r="CL7" s="0" t="s">
        <v>227</v>
      </c>
      <c r="CM7" s="0" t="s">
        <v>227</v>
      </c>
      <c r="CN7" s="0" t="s">
        <v>227</v>
      </c>
      <c r="CO7" s="0" t="s">
        <v>227</v>
      </c>
      <c r="CP7" s="0" t="s">
        <v>227</v>
      </c>
      <c r="CQ7" s="0" t="s">
        <v>227</v>
      </c>
      <c r="CR7" s="0" t="s">
        <v>227</v>
      </c>
      <c r="CS7" s="0" t="s">
        <v>227</v>
      </c>
      <c r="CT7" s="0" t="s">
        <v>5679</v>
      </c>
      <c r="CU7" s="0" t="s">
        <v>5680</v>
      </c>
      <c r="CV7" s="0" t="s">
        <v>430</v>
      </c>
      <c r="CW7" s="0" t="s">
        <v>5699</v>
      </c>
      <c r="CX7" s="0" t="s">
        <v>431</v>
      </c>
      <c r="CY7" s="0" t="s">
        <v>430</v>
      </c>
      <c r="CZ7" s="0" t="s">
        <v>432</v>
      </c>
      <c r="DA7" s="0" t="s">
        <v>433</v>
      </c>
      <c r="DB7" s="0" t="s">
        <v>5700</v>
      </c>
      <c r="DC7" s="0" t="s">
        <v>373</v>
      </c>
      <c r="DD7" s="0" t="s">
        <v>277</v>
      </c>
      <c r="DE7" s="0" t="s">
        <v>934</v>
      </c>
    </row>
    <row customHeight="1" ht="11.25">
      <c r="A8" s="1806" t="s">
        <v>227</v>
      </c>
      <c r="B8" s="0" t="s">
        <v>227</v>
      </c>
      <c r="C8" s="0" t="s">
        <v>227</v>
      </c>
      <c r="D8" s="0" t="s">
        <v>227</v>
      </c>
      <c r="E8" s="0" t="s">
        <v>227</v>
      </c>
      <c r="F8" s="0" t="s">
        <v>227</v>
      </c>
      <c r="G8" s="0" t="s">
        <v>227</v>
      </c>
      <c r="H8" s="0" t="s">
        <v>227</v>
      </c>
      <c r="I8" s="0" t="s">
        <v>5667</v>
      </c>
      <c r="J8" s="0" t="s">
        <v>227</v>
      </c>
      <c r="K8" s="0" t="s">
        <v>227</v>
      </c>
      <c r="L8" s="0" t="s">
        <v>227</v>
      </c>
      <c r="M8" s="0" t="s">
        <v>227</v>
      </c>
      <c r="N8" s="0" t="s">
        <v>227</v>
      </c>
      <c r="O8" s="0" t="s">
        <v>227</v>
      </c>
      <c r="P8" s="0" t="s">
        <v>227</v>
      </c>
      <c r="Q8" s="0" t="s">
        <v>227</v>
      </c>
      <c r="R8" s="0" t="s">
        <v>675</v>
      </c>
      <c r="S8" s="0" t="s">
        <v>227</v>
      </c>
      <c r="T8" s="0" t="s">
        <v>227</v>
      </c>
      <c r="U8" s="0" t="s">
        <v>102</v>
      </c>
      <c r="V8" s="0" t="s">
        <v>227</v>
      </c>
      <c r="W8" s="0" t="s">
        <v>227</v>
      </c>
      <c r="X8" s="0" t="s">
        <v>5683</v>
      </c>
      <c r="Y8" s="0" t="s">
        <v>227</v>
      </c>
      <c r="Z8" s="0" t="s">
        <v>152</v>
      </c>
      <c r="AA8" s="0" t="s">
        <v>152</v>
      </c>
      <c r="AB8" s="0" t="s">
        <v>161</v>
      </c>
      <c r="AC8" s="0" t="s">
        <v>354</v>
      </c>
      <c r="AD8" s="0" t="s">
        <v>354</v>
      </c>
      <c r="AE8" s="0" t="s">
        <v>355</v>
      </c>
      <c r="AF8" s="0" t="s">
        <v>5684</v>
      </c>
      <c r="AG8" s="0" t="s">
        <v>5685</v>
      </c>
      <c r="AH8" s="0" t="s">
        <v>5726</v>
      </c>
      <c r="AI8" s="0" t="s">
        <v>5727</v>
      </c>
      <c r="AJ8" s="0" t="s">
        <v>227</v>
      </c>
      <c r="AK8" s="0" t="s">
        <v>227</v>
      </c>
      <c r="AL8" s="0" t="s">
        <v>227</v>
      </c>
      <c r="AM8" s="0" t="s">
        <v>227</v>
      </c>
      <c r="AN8" s="0" t="s">
        <v>227</v>
      </c>
      <c r="AO8" s="0" t="s">
        <v>227</v>
      </c>
      <c r="AP8" s="0" t="s">
        <v>227</v>
      </c>
      <c r="AQ8" s="0" t="s">
        <v>227</v>
      </c>
      <c r="AR8" s="0" t="s">
        <v>227</v>
      </c>
      <c r="AS8" s="0" t="s">
        <v>227</v>
      </c>
      <c r="AT8" s="0" t="s">
        <v>227</v>
      </c>
      <c r="AU8" s="0" t="s">
        <v>227</v>
      </c>
      <c r="AV8" s="0" t="s">
        <v>227</v>
      </c>
      <c r="AW8" s="0" t="s">
        <v>227</v>
      </c>
      <c r="AX8" s="0" t="s">
        <v>227</v>
      </c>
      <c r="AY8" s="0" t="s">
        <v>227</v>
      </c>
      <c r="AZ8" s="0" t="s">
        <v>227</v>
      </c>
      <c r="BA8" s="0" t="s">
        <v>227</v>
      </c>
      <c r="BB8" s="0" t="s">
        <v>227</v>
      </c>
      <c r="BC8" s="0" t="s">
        <v>227</v>
      </c>
      <c r="BD8" s="0" t="s">
        <v>227</v>
      </c>
      <c r="BE8" s="0" t="s">
        <v>5728</v>
      </c>
      <c r="BF8" s="0" t="s">
        <v>5729</v>
      </c>
      <c r="BG8" s="0" t="s">
        <v>112</v>
      </c>
      <c r="BH8" s="0" t="s">
        <v>5690</v>
      </c>
      <c r="BI8" s="0" t="s">
        <v>5691</v>
      </c>
      <c r="BJ8" s="0" t="s">
        <v>227</v>
      </c>
      <c r="BK8" s="0" t="s">
        <v>5692</v>
      </c>
      <c r="BL8" s="0" t="s">
        <v>354</v>
      </c>
      <c r="BM8" s="0" t="s">
        <v>354</v>
      </c>
      <c r="BN8" s="0" t="s">
        <v>5693</v>
      </c>
      <c r="BO8" s="0" t="s">
        <v>5684</v>
      </c>
      <c r="BP8" s="0" t="s">
        <v>5694</v>
      </c>
      <c r="BQ8" s="0" t="s">
        <v>5692</v>
      </c>
      <c r="BR8" s="0" t="s">
        <v>5692</v>
      </c>
      <c r="BS8" s="0" t="s">
        <v>227</v>
      </c>
      <c r="BT8" s="0" t="s">
        <v>5695</v>
      </c>
      <c r="BU8" s="0" t="s">
        <v>5730</v>
      </c>
      <c r="BV8" s="0" t="s">
        <v>5730</v>
      </c>
      <c r="BW8" s="0" t="s">
        <v>5697</v>
      </c>
      <c r="BX8" s="0" t="s">
        <v>5697</v>
      </c>
      <c r="BY8" s="0" t="s">
        <v>5697</v>
      </c>
      <c r="BZ8" s="0" t="s">
        <v>5697</v>
      </c>
      <c r="CA8" s="0" t="s">
        <v>5697</v>
      </c>
      <c r="CB8" s="0" t="s">
        <v>227</v>
      </c>
      <c r="CC8" s="0" t="s">
        <v>227</v>
      </c>
      <c r="CD8" s="0" t="s">
        <v>227</v>
      </c>
      <c r="CE8" s="0" t="s">
        <v>227</v>
      </c>
      <c r="CF8" s="0" t="s">
        <v>227</v>
      </c>
      <c r="CG8" s="0" t="s">
        <v>5697</v>
      </c>
      <c r="CH8" s="0" t="s">
        <v>227</v>
      </c>
      <c r="CI8" s="0" t="s">
        <v>227</v>
      </c>
      <c r="CJ8" s="0" t="s">
        <v>227</v>
      </c>
      <c r="CK8" s="0" t="s">
        <v>227</v>
      </c>
      <c r="CL8" s="0" t="s">
        <v>227</v>
      </c>
      <c r="CM8" s="0" t="s">
        <v>5730</v>
      </c>
      <c r="CN8" s="0" t="s">
        <v>5730</v>
      </c>
      <c r="CO8" s="0" t="s">
        <v>227</v>
      </c>
      <c r="CP8" s="0" t="s">
        <v>227</v>
      </c>
      <c r="CQ8" s="0" t="s">
        <v>227</v>
      </c>
      <c r="CR8" s="0" t="s">
        <v>227</v>
      </c>
      <c r="CS8" s="0" t="s">
        <v>5731</v>
      </c>
      <c r="CT8" s="0" t="s">
        <v>5679</v>
      </c>
      <c r="CU8" s="0" t="s">
        <v>5680</v>
      </c>
      <c r="CV8" s="0" t="s">
        <v>430</v>
      </c>
      <c r="CW8" s="0" t="s">
        <v>5699</v>
      </c>
      <c r="CX8" s="0" t="s">
        <v>431</v>
      </c>
      <c r="CY8" s="0" t="s">
        <v>430</v>
      </c>
      <c r="CZ8" s="0" t="s">
        <v>432</v>
      </c>
      <c r="DA8" s="0" t="s">
        <v>433</v>
      </c>
      <c r="DB8" s="0" t="s">
        <v>5700</v>
      </c>
      <c r="DC8" s="0" t="s">
        <v>373</v>
      </c>
      <c r="DD8" s="0" t="s">
        <v>277</v>
      </c>
      <c r="DE8" s="0" t="s">
        <v>676</v>
      </c>
    </row>
    <row customHeight="1" ht="11.25">
      <c r="A9" s="1806" t="s">
        <v>227</v>
      </c>
      <c r="B9" s="0" t="s">
        <v>227</v>
      </c>
      <c r="C9" s="0" t="s">
        <v>227</v>
      </c>
      <c r="D9" s="0" t="s">
        <v>227</v>
      </c>
      <c r="E9" s="0" t="s">
        <v>227</v>
      </c>
      <c r="F9" s="0" t="s">
        <v>227</v>
      </c>
      <c r="G9" s="0" t="s">
        <v>227</v>
      </c>
      <c r="H9" s="0" t="s">
        <v>227</v>
      </c>
      <c r="I9" s="0" t="s">
        <v>5667</v>
      </c>
      <c r="J9" s="0" t="s">
        <v>227</v>
      </c>
      <c r="K9" s="0" t="s">
        <v>227</v>
      </c>
      <c r="L9" s="0" t="s">
        <v>227</v>
      </c>
      <c r="M9" s="0" t="s">
        <v>227</v>
      </c>
      <c r="N9" s="0" t="s">
        <v>227</v>
      </c>
      <c r="O9" s="0" t="s">
        <v>227</v>
      </c>
      <c r="P9" s="0" t="s">
        <v>227</v>
      </c>
      <c r="Q9" s="0" t="s">
        <v>227</v>
      </c>
      <c r="R9" s="0" t="s">
        <v>773</v>
      </c>
      <c r="S9" s="0" t="s">
        <v>227</v>
      </c>
      <c r="T9" s="0" t="s">
        <v>227</v>
      </c>
      <c r="U9" s="0" t="s">
        <v>102</v>
      </c>
      <c r="V9" s="0" t="s">
        <v>227</v>
      </c>
      <c r="W9" s="0" t="s">
        <v>227</v>
      </c>
      <c r="X9" s="0" t="s">
        <v>5683</v>
      </c>
      <c r="Y9" s="0" t="s">
        <v>227</v>
      </c>
      <c r="Z9" s="0" t="s">
        <v>152</v>
      </c>
      <c r="AA9" s="0" t="s">
        <v>152</v>
      </c>
      <c r="AB9" s="0" t="s">
        <v>161</v>
      </c>
      <c r="AC9" s="0" t="s">
        <v>354</v>
      </c>
      <c r="AD9" s="0" t="s">
        <v>354</v>
      </c>
      <c r="AE9" s="0" t="s">
        <v>355</v>
      </c>
      <c r="AF9" s="0" t="s">
        <v>5701</v>
      </c>
      <c r="AG9" s="0" t="s">
        <v>5702</v>
      </c>
      <c r="AH9" s="0" t="s">
        <v>5703</v>
      </c>
      <c r="AI9" s="0" t="s">
        <v>461</v>
      </c>
      <c r="AJ9" s="0" t="s">
        <v>227</v>
      </c>
      <c r="AK9" s="0" t="s">
        <v>227</v>
      </c>
      <c r="AL9" s="0" t="s">
        <v>227</v>
      </c>
      <c r="AM9" s="0" t="s">
        <v>227</v>
      </c>
      <c r="AN9" s="0" t="s">
        <v>227</v>
      </c>
      <c r="AO9" s="0" t="s">
        <v>227</v>
      </c>
      <c r="AP9" s="0" t="s">
        <v>227</v>
      </c>
      <c r="AQ9" s="0" t="s">
        <v>227</v>
      </c>
      <c r="AR9" s="0" t="s">
        <v>227</v>
      </c>
      <c r="AS9" s="0" t="s">
        <v>227</v>
      </c>
      <c r="AT9" s="0" t="s">
        <v>227</v>
      </c>
      <c r="AU9" s="0" t="s">
        <v>227</v>
      </c>
      <c r="AV9" s="0" t="s">
        <v>227</v>
      </c>
      <c r="AW9" s="0" t="s">
        <v>227</v>
      </c>
      <c r="AX9" s="0" t="s">
        <v>227</v>
      </c>
      <c r="AY9" s="0" t="s">
        <v>227</v>
      </c>
      <c r="AZ9" s="0" t="s">
        <v>227</v>
      </c>
      <c r="BA9" s="0" t="s">
        <v>227</v>
      </c>
      <c r="BB9" s="0" t="s">
        <v>227</v>
      </c>
      <c r="BC9" s="0" t="s">
        <v>227</v>
      </c>
      <c r="BD9" s="0" t="s">
        <v>227</v>
      </c>
      <c r="BE9" s="0" t="s">
        <v>5688</v>
      </c>
      <c r="BF9" s="0" t="s">
        <v>5689</v>
      </c>
      <c r="BG9" s="0" t="s">
        <v>112</v>
      </c>
      <c r="BH9" s="0" t="s">
        <v>5690</v>
      </c>
      <c r="BI9" s="0" t="s">
        <v>5691</v>
      </c>
      <c r="BJ9" s="0" t="s">
        <v>227</v>
      </c>
      <c r="BK9" s="0" t="s">
        <v>952</v>
      </c>
      <c r="BL9" s="0" t="s">
        <v>354</v>
      </c>
      <c r="BM9" s="0" t="s">
        <v>354</v>
      </c>
      <c r="BN9" s="0" t="s">
        <v>5693</v>
      </c>
      <c r="BO9" s="0" t="s">
        <v>5701</v>
      </c>
      <c r="BP9" s="0" t="s">
        <v>5706</v>
      </c>
      <c r="BQ9" s="0" t="s">
        <v>5707</v>
      </c>
      <c r="BR9" s="0" t="s">
        <v>5708</v>
      </c>
      <c r="BS9" s="0" t="s">
        <v>227</v>
      </c>
      <c r="BT9" s="0" t="s">
        <v>5709</v>
      </c>
      <c r="BU9" s="0" t="s">
        <v>5732</v>
      </c>
      <c r="BV9" s="0" t="s">
        <v>5732</v>
      </c>
      <c r="BW9" s="0" t="s">
        <v>5697</v>
      </c>
      <c r="BX9" s="0" t="s">
        <v>5697</v>
      </c>
      <c r="BY9" s="0" t="s">
        <v>5697</v>
      </c>
      <c r="BZ9" s="0" t="s">
        <v>5697</v>
      </c>
      <c r="CA9" s="0" t="s">
        <v>5697</v>
      </c>
      <c r="CB9" s="0" t="s">
        <v>227</v>
      </c>
      <c r="CC9" s="0" t="s">
        <v>227</v>
      </c>
      <c r="CD9" s="0" t="s">
        <v>227</v>
      </c>
      <c r="CE9" s="0" t="s">
        <v>227</v>
      </c>
      <c r="CF9" s="0" t="s">
        <v>227</v>
      </c>
      <c r="CG9" s="0" t="s">
        <v>5697</v>
      </c>
      <c r="CH9" s="0" t="s">
        <v>227</v>
      </c>
      <c r="CI9" s="0" t="s">
        <v>227</v>
      </c>
      <c r="CJ9" s="0" t="s">
        <v>227</v>
      </c>
      <c r="CK9" s="0" t="s">
        <v>227</v>
      </c>
      <c r="CL9" s="0" t="s">
        <v>227</v>
      </c>
      <c r="CM9" s="0" t="s">
        <v>5732</v>
      </c>
      <c r="CN9" s="0" t="s">
        <v>5732</v>
      </c>
      <c r="CO9" s="0" t="s">
        <v>227</v>
      </c>
      <c r="CP9" s="0" t="s">
        <v>227</v>
      </c>
      <c r="CQ9" s="0" t="s">
        <v>227</v>
      </c>
      <c r="CR9" s="0" t="s">
        <v>227</v>
      </c>
      <c r="CS9" s="0" t="s">
        <v>5733</v>
      </c>
      <c r="CT9" s="0" t="s">
        <v>5679</v>
      </c>
      <c r="CU9" s="0" t="s">
        <v>5680</v>
      </c>
      <c r="CV9" s="0" t="s">
        <v>430</v>
      </c>
      <c r="CW9" s="0" t="s">
        <v>5699</v>
      </c>
      <c r="CX9" s="0" t="s">
        <v>431</v>
      </c>
      <c r="CY9" s="0" t="s">
        <v>430</v>
      </c>
      <c r="CZ9" s="0" t="s">
        <v>432</v>
      </c>
      <c r="DA9" s="0" t="s">
        <v>433</v>
      </c>
      <c r="DB9" s="0" t="s">
        <v>5700</v>
      </c>
      <c r="DC9" s="0" t="s">
        <v>373</v>
      </c>
      <c r="DD9" s="0" t="s">
        <v>277</v>
      </c>
      <c r="DE9" s="0" t="s">
        <v>774</v>
      </c>
    </row>
    <row customHeight="1" ht="11.25">
      <c r="A10" s="1806" t="s">
        <v>227</v>
      </c>
      <c r="B10" s="0" t="s">
        <v>227</v>
      </c>
      <c r="C10" s="0" t="s">
        <v>227</v>
      </c>
      <c r="D10" s="0" t="s">
        <v>227</v>
      </c>
      <c r="E10" s="0" t="s">
        <v>227</v>
      </c>
      <c r="F10" s="0" t="s">
        <v>227</v>
      </c>
      <c r="G10" s="0" t="s">
        <v>227</v>
      </c>
      <c r="H10" s="0" t="s">
        <v>227</v>
      </c>
      <c r="I10" s="0" t="s">
        <v>5667</v>
      </c>
      <c r="J10" s="0" t="s">
        <v>227</v>
      </c>
      <c r="K10" s="0" t="s">
        <v>227</v>
      </c>
      <c r="L10" s="0" t="s">
        <v>227</v>
      </c>
      <c r="M10" s="0" t="s">
        <v>227</v>
      </c>
      <c r="N10" s="0" t="s">
        <v>227</v>
      </c>
      <c r="O10" s="0" t="s">
        <v>227</v>
      </c>
      <c r="P10" s="0" t="s">
        <v>227</v>
      </c>
      <c r="Q10" s="0" t="s">
        <v>227</v>
      </c>
      <c r="R10" s="0" t="s">
        <v>459</v>
      </c>
      <c r="S10" s="0" t="s">
        <v>227</v>
      </c>
      <c r="T10" s="0" t="s">
        <v>227</v>
      </c>
      <c r="U10" s="0" t="s">
        <v>102</v>
      </c>
      <c r="V10" s="0" t="s">
        <v>227</v>
      </c>
      <c r="W10" s="0" t="s">
        <v>227</v>
      </c>
      <c r="X10" s="0" t="s">
        <v>5668</v>
      </c>
      <c r="Y10" s="0" t="s">
        <v>227</v>
      </c>
      <c r="Z10" s="0" t="s">
        <v>161</v>
      </c>
      <c r="AA10" s="0" t="s">
        <v>152</v>
      </c>
      <c r="AB10" s="0" t="s">
        <v>152</v>
      </c>
      <c r="AC10" s="0" t="s">
        <v>352</v>
      </c>
      <c r="AD10" s="0" t="s">
        <v>352</v>
      </c>
      <c r="AE10" s="0" t="s">
        <v>353</v>
      </c>
      <c r="AF10" s="0" t="s">
        <v>5734</v>
      </c>
      <c r="AG10" s="0" t="s">
        <v>5735</v>
      </c>
      <c r="AH10" s="0" t="s">
        <v>5736</v>
      </c>
      <c r="AI10" s="0" t="s">
        <v>5692</v>
      </c>
      <c r="AJ10" s="0" t="s">
        <v>5737</v>
      </c>
      <c r="AK10" s="0" t="s">
        <v>5738</v>
      </c>
      <c r="AL10" s="0" t="s">
        <v>5739</v>
      </c>
      <c r="AM10" s="0" t="s">
        <v>5676</v>
      </c>
      <c r="AN10" s="0" t="s">
        <v>5677</v>
      </c>
      <c r="AO10" s="0" t="s">
        <v>5740</v>
      </c>
      <c r="AP10" s="0" t="s">
        <v>227</v>
      </c>
      <c r="AQ10" s="0" t="s">
        <v>227</v>
      </c>
      <c r="AR10" s="0" t="s">
        <v>227</v>
      </c>
      <c r="AS10" s="0" t="s">
        <v>227</v>
      </c>
      <c r="AT10" s="0" t="s">
        <v>227</v>
      </c>
      <c r="AU10" s="0" t="s">
        <v>227</v>
      </c>
      <c r="AV10" s="0" t="s">
        <v>227</v>
      </c>
      <c r="AW10" s="0" t="s">
        <v>227</v>
      </c>
      <c r="AX10" s="0" t="s">
        <v>227</v>
      </c>
      <c r="AY10" s="0" t="s">
        <v>227</v>
      </c>
      <c r="AZ10" s="0" t="s">
        <v>227</v>
      </c>
      <c r="BA10" s="0" t="s">
        <v>227</v>
      </c>
      <c r="BB10" s="0" t="s">
        <v>227</v>
      </c>
      <c r="BC10" s="0" t="s">
        <v>227</v>
      </c>
      <c r="BD10" s="0" t="s">
        <v>227</v>
      </c>
      <c r="BE10" s="0" t="s">
        <v>227</v>
      </c>
      <c r="BF10" s="0" t="s">
        <v>227</v>
      </c>
      <c r="BG10" s="0" t="s">
        <v>227</v>
      </c>
      <c r="BH10" s="0" t="s">
        <v>227</v>
      </c>
      <c r="BI10" s="0" t="s">
        <v>227</v>
      </c>
      <c r="BJ10" s="0" t="s">
        <v>227</v>
      </c>
      <c r="BK10" s="0" t="s">
        <v>227</v>
      </c>
      <c r="BL10" s="0" t="s">
        <v>227</v>
      </c>
      <c r="BM10" s="0" t="s">
        <v>227</v>
      </c>
      <c r="BN10" s="0" t="s">
        <v>227</v>
      </c>
      <c r="BO10" s="0" t="s">
        <v>227</v>
      </c>
      <c r="BP10" s="0" t="s">
        <v>227</v>
      </c>
      <c r="BQ10" s="0" t="s">
        <v>227</v>
      </c>
      <c r="BR10" s="0" t="s">
        <v>227</v>
      </c>
      <c r="BS10" s="0" t="s">
        <v>227</v>
      </c>
      <c r="BT10" s="0" t="s">
        <v>227</v>
      </c>
      <c r="BU10" s="0" t="s">
        <v>227</v>
      </c>
      <c r="BV10" s="0" t="s">
        <v>227</v>
      </c>
      <c r="BW10" s="0" t="s">
        <v>227</v>
      </c>
      <c r="BX10" s="0" t="s">
        <v>227</v>
      </c>
      <c r="BY10" s="0" t="s">
        <v>227</v>
      </c>
      <c r="BZ10" s="0" t="s">
        <v>227</v>
      </c>
      <c r="CA10" s="0" t="s">
        <v>227</v>
      </c>
      <c r="CB10" s="0" t="s">
        <v>227</v>
      </c>
      <c r="CC10" s="0" t="s">
        <v>227</v>
      </c>
      <c r="CD10" s="0" t="s">
        <v>227</v>
      </c>
      <c r="CE10" s="0" t="s">
        <v>227</v>
      </c>
      <c r="CF10" s="0" t="s">
        <v>227</v>
      </c>
      <c r="CG10" s="0" t="s">
        <v>227</v>
      </c>
      <c r="CH10" s="0" t="s">
        <v>227</v>
      </c>
      <c r="CI10" s="0" t="s">
        <v>227</v>
      </c>
      <c r="CJ10" s="0" t="s">
        <v>227</v>
      </c>
      <c r="CK10" s="0" t="s">
        <v>227</v>
      </c>
      <c r="CL10" s="0" t="s">
        <v>227</v>
      </c>
      <c r="CM10" s="0" t="s">
        <v>227</v>
      </c>
      <c r="CN10" s="0" t="s">
        <v>227</v>
      </c>
      <c r="CO10" s="0" t="s">
        <v>227</v>
      </c>
      <c r="CP10" s="0" t="s">
        <v>227</v>
      </c>
      <c r="CQ10" s="0" t="s">
        <v>227</v>
      </c>
      <c r="CR10" s="0" t="s">
        <v>227</v>
      </c>
      <c r="CS10" s="0" t="s">
        <v>227</v>
      </c>
      <c r="CT10" s="0" t="s">
        <v>5679</v>
      </c>
      <c r="CU10" s="0" t="s">
        <v>5680</v>
      </c>
      <c r="CV10" s="0" t="s">
        <v>430</v>
      </c>
      <c r="CW10" s="0" t="s">
        <v>5681</v>
      </c>
      <c r="CX10" s="0" t="s">
        <v>431</v>
      </c>
      <c r="CY10" s="0" t="s">
        <v>430</v>
      </c>
      <c r="CZ10" s="0" t="s">
        <v>432</v>
      </c>
      <c r="DA10" s="0" t="s">
        <v>433</v>
      </c>
      <c r="DB10" s="0" t="s">
        <v>5682</v>
      </c>
      <c r="DC10" s="0" t="s">
        <v>373</v>
      </c>
      <c r="DD10" s="0" t="s">
        <v>277</v>
      </c>
      <c r="DE10" s="0" t="s">
        <v>460</v>
      </c>
    </row>
    <row customHeight="1" ht="11.25">
      <c r="A11" s="1806" t="s">
        <v>227</v>
      </c>
      <c r="B11" s="0" t="s">
        <v>227</v>
      </c>
      <c r="C11" s="0" t="s">
        <v>227</v>
      </c>
      <c r="D11" s="0" t="s">
        <v>227</v>
      </c>
      <c r="E11" s="0" t="s">
        <v>227</v>
      </c>
      <c r="F11" s="0" t="s">
        <v>227</v>
      </c>
      <c r="G11" s="0" t="s">
        <v>227</v>
      </c>
      <c r="H11" s="0" t="s">
        <v>227</v>
      </c>
      <c r="I11" s="0" t="s">
        <v>5667</v>
      </c>
      <c r="J11" s="0" t="s">
        <v>227</v>
      </c>
      <c r="K11" s="0" t="s">
        <v>227</v>
      </c>
      <c r="L11" s="0" t="s">
        <v>227</v>
      </c>
      <c r="M11" s="0" t="s">
        <v>227</v>
      </c>
      <c r="N11" s="0" t="s">
        <v>227</v>
      </c>
      <c r="O11" s="0" t="s">
        <v>227</v>
      </c>
      <c r="P11" s="0" t="s">
        <v>227</v>
      </c>
      <c r="Q11" s="0" t="s">
        <v>227</v>
      </c>
      <c r="R11" s="0" t="s">
        <v>687</v>
      </c>
      <c r="S11" s="0" t="s">
        <v>227</v>
      </c>
      <c r="T11" s="0" t="s">
        <v>227</v>
      </c>
      <c r="U11" s="0" t="s">
        <v>102</v>
      </c>
      <c r="V11" s="0" t="s">
        <v>227</v>
      </c>
      <c r="W11" s="0" t="s">
        <v>227</v>
      </c>
      <c r="X11" s="0" t="s">
        <v>5683</v>
      </c>
      <c r="Y11" s="0" t="s">
        <v>227</v>
      </c>
      <c r="Z11" s="0" t="s">
        <v>152</v>
      </c>
      <c r="AA11" s="0" t="s">
        <v>152</v>
      </c>
      <c r="AB11" s="0" t="s">
        <v>161</v>
      </c>
      <c r="AC11" s="0" t="s">
        <v>354</v>
      </c>
      <c r="AD11" s="0" t="s">
        <v>354</v>
      </c>
      <c r="AE11" s="0" t="s">
        <v>355</v>
      </c>
      <c r="AF11" s="0" t="s">
        <v>5684</v>
      </c>
      <c r="AG11" s="0" t="s">
        <v>5685</v>
      </c>
      <c r="AH11" s="0" t="s">
        <v>5741</v>
      </c>
      <c r="AI11" s="0" t="s">
        <v>5742</v>
      </c>
      <c r="AJ11" s="0" t="s">
        <v>227</v>
      </c>
      <c r="AK11" s="0" t="s">
        <v>227</v>
      </c>
      <c r="AL11" s="0" t="s">
        <v>227</v>
      </c>
      <c r="AM11" s="0" t="s">
        <v>227</v>
      </c>
      <c r="AN11" s="0" t="s">
        <v>227</v>
      </c>
      <c r="AO11" s="0" t="s">
        <v>227</v>
      </c>
      <c r="AP11" s="0" t="s">
        <v>227</v>
      </c>
      <c r="AQ11" s="0" t="s">
        <v>227</v>
      </c>
      <c r="AR11" s="0" t="s">
        <v>227</v>
      </c>
      <c r="AS11" s="0" t="s">
        <v>227</v>
      </c>
      <c r="AT11" s="0" t="s">
        <v>227</v>
      </c>
      <c r="AU11" s="0" t="s">
        <v>227</v>
      </c>
      <c r="AV11" s="0" t="s">
        <v>227</v>
      </c>
      <c r="AW11" s="0" t="s">
        <v>227</v>
      </c>
      <c r="AX11" s="0" t="s">
        <v>227</v>
      </c>
      <c r="AY11" s="0" t="s">
        <v>227</v>
      </c>
      <c r="AZ11" s="0" t="s">
        <v>227</v>
      </c>
      <c r="BA11" s="0" t="s">
        <v>227</v>
      </c>
      <c r="BB11" s="0" t="s">
        <v>227</v>
      </c>
      <c r="BC11" s="0" t="s">
        <v>227</v>
      </c>
      <c r="BD11" s="0" t="s">
        <v>227</v>
      </c>
      <c r="BE11" s="0" t="s">
        <v>5743</v>
      </c>
      <c r="BF11" s="0" t="s">
        <v>5744</v>
      </c>
      <c r="BG11" s="0" t="s">
        <v>112</v>
      </c>
      <c r="BH11" s="0" t="s">
        <v>5690</v>
      </c>
      <c r="BI11" s="0" t="s">
        <v>5691</v>
      </c>
      <c r="BJ11" s="0" t="s">
        <v>227</v>
      </c>
      <c r="BK11" s="0" t="s">
        <v>5692</v>
      </c>
      <c r="BL11" s="0" t="s">
        <v>354</v>
      </c>
      <c r="BM11" s="0" t="s">
        <v>354</v>
      </c>
      <c r="BN11" s="0" t="s">
        <v>5693</v>
      </c>
      <c r="BO11" s="0" t="s">
        <v>5684</v>
      </c>
      <c r="BP11" s="0" t="s">
        <v>5694</v>
      </c>
      <c r="BQ11" s="0" t="s">
        <v>5692</v>
      </c>
      <c r="BR11" s="0" t="s">
        <v>5692</v>
      </c>
      <c r="BS11" s="0" t="s">
        <v>227</v>
      </c>
      <c r="BT11" s="0" t="s">
        <v>5695</v>
      </c>
      <c r="BU11" s="0" t="s">
        <v>5745</v>
      </c>
      <c r="BV11" s="0" t="s">
        <v>5745</v>
      </c>
      <c r="BW11" s="0" t="s">
        <v>5697</v>
      </c>
      <c r="BX11" s="0" t="s">
        <v>5697</v>
      </c>
      <c r="BY11" s="0" t="s">
        <v>5697</v>
      </c>
      <c r="BZ11" s="0" t="s">
        <v>5697</v>
      </c>
      <c r="CA11" s="0" t="s">
        <v>5697</v>
      </c>
      <c r="CB11" s="0" t="s">
        <v>227</v>
      </c>
      <c r="CC11" s="0" t="s">
        <v>227</v>
      </c>
      <c r="CD11" s="0" t="s">
        <v>227</v>
      </c>
      <c r="CE11" s="0" t="s">
        <v>227</v>
      </c>
      <c r="CF11" s="0" t="s">
        <v>227</v>
      </c>
      <c r="CG11" s="0" t="s">
        <v>5697</v>
      </c>
      <c r="CH11" s="0" t="s">
        <v>227</v>
      </c>
      <c r="CI11" s="0" t="s">
        <v>227</v>
      </c>
      <c r="CJ11" s="0" t="s">
        <v>227</v>
      </c>
      <c r="CK11" s="0" t="s">
        <v>227</v>
      </c>
      <c r="CL11" s="0" t="s">
        <v>227</v>
      </c>
      <c r="CM11" s="0" t="s">
        <v>5745</v>
      </c>
      <c r="CN11" s="0" t="s">
        <v>5745</v>
      </c>
      <c r="CO11" s="0" t="s">
        <v>227</v>
      </c>
      <c r="CP11" s="0" t="s">
        <v>227</v>
      </c>
      <c r="CQ11" s="0" t="s">
        <v>227</v>
      </c>
      <c r="CR11" s="0" t="s">
        <v>227</v>
      </c>
      <c r="CS11" s="0" t="s">
        <v>5705</v>
      </c>
      <c r="CT11" s="0" t="s">
        <v>5679</v>
      </c>
      <c r="CU11" s="0" t="s">
        <v>5680</v>
      </c>
      <c r="CV11" s="0" t="s">
        <v>430</v>
      </c>
      <c r="CW11" s="0" t="s">
        <v>5699</v>
      </c>
      <c r="CX11" s="0" t="s">
        <v>431</v>
      </c>
      <c r="CY11" s="0" t="s">
        <v>430</v>
      </c>
      <c r="CZ11" s="0" t="s">
        <v>432</v>
      </c>
      <c r="DA11" s="0" t="s">
        <v>433</v>
      </c>
      <c r="DB11" s="0" t="s">
        <v>5700</v>
      </c>
      <c r="DC11" s="0" t="s">
        <v>373</v>
      </c>
      <c r="DD11" s="0" t="s">
        <v>277</v>
      </c>
      <c r="DE11" s="0" t="s">
        <v>688</v>
      </c>
    </row>
    <row customHeight="1" ht="11.25">
      <c r="A12" s="1806" t="s">
        <v>227</v>
      </c>
      <c r="B12" s="0" t="s">
        <v>227</v>
      </c>
      <c r="C12" s="0" t="s">
        <v>227</v>
      </c>
      <c r="D12" s="0" t="s">
        <v>227</v>
      </c>
      <c r="E12" s="0" t="s">
        <v>227</v>
      </c>
      <c r="F12" s="0" t="s">
        <v>227</v>
      </c>
      <c r="G12" s="0" t="s">
        <v>227</v>
      </c>
      <c r="H12" s="0" t="s">
        <v>227</v>
      </c>
      <c r="I12" s="0" t="s">
        <v>5667</v>
      </c>
      <c r="J12" s="0" t="s">
        <v>227</v>
      </c>
      <c r="K12" s="0" t="s">
        <v>227</v>
      </c>
      <c r="L12" s="0" t="s">
        <v>227</v>
      </c>
      <c r="M12" s="0" t="s">
        <v>227</v>
      </c>
      <c r="N12" s="0" t="s">
        <v>227</v>
      </c>
      <c r="O12" s="0" t="s">
        <v>227</v>
      </c>
      <c r="P12" s="0" t="s">
        <v>227</v>
      </c>
      <c r="Q12" s="0" t="s">
        <v>227</v>
      </c>
      <c r="R12" s="0" t="s">
        <v>672</v>
      </c>
      <c r="S12" s="0" t="s">
        <v>227</v>
      </c>
      <c r="T12" s="0" t="s">
        <v>227</v>
      </c>
      <c r="U12" s="0" t="s">
        <v>102</v>
      </c>
      <c r="V12" s="0" t="s">
        <v>227</v>
      </c>
      <c r="W12" s="0" t="s">
        <v>227</v>
      </c>
      <c r="X12" s="0" t="s">
        <v>5683</v>
      </c>
      <c r="Y12" s="0" t="s">
        <v>227</v>
      </c>
      <c r="Z12" s="0" t="s">
        <v>152</v>
      </c>
      <c r="AA12" s="0" t="s">
        <v>152</v>
      </c>
      <c r="AB12" s="0" t="s">
        <v>161</v>
      </c>
      <c r="AC12" s="0" t="s">
        <v>354</v>
      </c>
      <c r="AD12" s="0" t="s">
        <v>354</v>
      </c>
      <c r="AE12" s="0" t="s">
        <v>355</v>
      </c>
      <c r="AF12" s="0" t="s">
        <v>5684</v>
      </c>
      <c r="AG12" s="0" t="s">
        <v>5685</v>
      </c>
      <c r="AH12" s="0" t="s">
        <v>5746</v>
      </c>
      <c r="AI12" s="0" t="s">
        <v>5747</v>
      </c>
      <c r="AJ12" s="0" t="s">
        <v>227</v>
      </c>
      <c r="AK12" s="0" t="s">
        <v>227</v>
      </c>
      <c r="AL12" s="0" t="s">
        <v>227</v>
      </c>
      <c r="AM12" s="0" t="s">
        <v>227</v>
      </c>
      <c r="AN12" s="0" t="s">
        <v>227</v>
      </c>
      <c r="AO12" s="0" t="s">
        <v>227</v>
      </c>
      <c r="AP12" s="0" t="s">
        <v>227</v>
      </c>
      <c r="AQ12" s="0" t="s">
        <v>227</v>
      </c>
      <c r="AR12" s="0" t="s">
        <v>227</v>
      </c>
      <c r="AS12" s="0" t="s">
        <v>227</v>
      </c>
      <c r="AT12" s="0" t="s">
        <v>227</v>
      </c>
      <c r="AU12" s="0" t="s">
        <v>227</v>
      </c>
      <c r="AV12" s="0" t="s">
        <v>227</v>
      </c>
      <c r="AW12" s="0" t="s">
        <v>227</v>
      </c>
      <c r="AX12" s="0" t="s">
        <v>227</v>
      </c>
      <c r="AY12" s="0" t="s">
        <v>227</v>
      </c>
      <c r="AZ12" s="0" t="s">
        <v>227</v>
      </c>
      <c r="BA12" s="0" t="s">
        <v>227</v>
      </c>
      <c r="BB12" s="0" t="s">
        <v>227</v>
      </c>
      <c r="BC12" s="0" t="s">
        <v>227</v>
      </c>
      <c r="BD12" s="0" t="s">
        <v>227</v>
      </c>
      <c r="BE12" s="0" t="s">
        <v>5748</v>
      </c>
      <c r="BF12" s="0" t="s">
        <v>5749</v>
      </c>
      <c r="BG12" s="0" t="s">
        <v>112</v>
      </c>
      <c r="BH12" s="0" t="s">
        <v>5690</v>
      </c>
      <c r="BI12" s="0" t="s">
        <v>5691</v>
      </c>
      <c r="BJ12" s="0" t="s">
        <v>227</v>
      </c>
      <c r="BK12" s="0" t="s">
        <v>5692</v>
      </c>
      <c r="BL12" s="0" t="s">
        <v>354</v>
      </c>
      <c r="BM12" s="0" t="s">
        <v>354</v>
      </c>
      <c r="BN12" s="0" t="s">
        <v>5693</v>
      </c>
      <c r="BO12" s="0" t="s">
        <v>5684</v>
      </c>
      <c r="BP12" s="0" t="s">
        <v>5694</v>
      </c>
      <c r="BQ12" s="0" t="s">
        <v>5692</v>
      </c>
      <c r="BR12" s="0" t="s">
        <v>5692</v>
      </c>
      <c r="BS12" s="0" t="s">
        <v>227</v>
      </c>
      <c r="BT12" s="0" t="s">
        <v>5695</v>
      </c>
      <c r="BU12" s="0" t="s">
        <v>5750</v>
      </c>
      <c r="BV12" s="0" t="s">
        <v>5750</v>
      </c>
      <c r="BW12" s="0" t="s">
        <v>5697</v>
      </c>
      <c r="BX12" s="0" t="s">
        <v>5697</v>
      </c>
      <c r="BY12" s="0" t="s">
        <v>5697</v>
      </c>
      <c r="BZ12" s="0" t="s">
        <v>5697</v>
      </c>
      <c r="CA12" s="0" t="s">
        <v>5697</v>
      </c>
      <c r="CB12" s="0" t="s">
        <v>227</v>
      </c>
      <c r="CC12" s="0" t="s">
        <v>227</v>
      </c>
      <c r="CD12" s="0" t="s">
        <v>227</v>
      </c>
      <c r="CE12" s="0" t="s">
        <v>227</v>
      </c>
      <c r="CF12" s="0" t="s">
        <v>227</v>
      </c>
      <c r="CG12" s="0" t="s">
        <v>5697</v>
      </c>
      <c r="CH12" s="0" t="s">
        <v>227</v>
      </c>
      <c r="CI12" s="0" t="s">
        <v>227</v>
      </c>
      <c r="CJ12" s="0" t="s">
        <v>227</v>
      </c>
      <c r="CK12" s="0" t="s">
        <v>227</v>
      </c>
      <c r="CL12" s="0" t="s">
        <v>227</v>
      </c>
      <c r="CM12" s="0" t="s">
        <v>5750</v>
      </c>
      <c r="CN12" s="0" t="s">
        <v>5750</v>
      </c>
      <c r="CO12" s="0" t="s">
        <v>227</v>
      </c>
      <c r="CP12" s="0" t="s">
        <v>227</v>
      </c>
      <c r="CQ12" s="0" t="s">
        <v>227</v>
      </c>
      <c r="CR12" s="0" t="s">
        <v>227</v>
      </c>
      <c r="CS12" s="0" t="s">
        <v>5749</v>
      </c>
      <c r="CT12" s="0" t="s">
        <v>5679</v>
      </c>
      <c r="CU12" s="0" t="s">
        <v>5680</v>
      </c>
      <c r="CV12" s="0" t="s">
        <v>430</v>
      </c>
      <c r="CW12" s="0" t="s">
        <v>5699</v>
      </c>
      <c r="CX12" s="0" t="s">
        <v>431</v>
      </c>
      <c r="CY12" s="0" t="s">
        <v>430</v>
      </c>
      <c r="CZ12" s="0" t="s">
        <v>432</v>
      </c>
      <c r="DA12" s="0" t="s">
        <v>433</v>
      </c>
      <c r="DB12" s="0" t="s">
        <v>5700</v>
      </c>
      <c r="DC12" s="0" t="s">
        <v>373</v>
      </c>
      <c r="DD12" s="0" t="s">
        <v>277</v>
      </c>
      <c r="DE12" s="0" t="s">
        <v>673</v>
      </c>
    </row>
    <row customHeight="1" ht="11.25">
      <c r="A13" s="1806" t="s">
        <v>227</v>
      </c>
      <c r="B13" s="0" t="s">
        <v>227</v>
      </c>
      <c r="C13" s="0" t="s">
        <v>227</v>
      </c>
      <c r="D13" s="0" t="s">
        <v>227</v>
      </c>
      <c r="E13" s="0" t="s">
        <v>227</v>
      </c>
      <c r="F13" s="0" t="s">
        <v>227</v>
      </c>
      <c r="G13" s="0" t="s">
        <v>227</v>
      </c>
      <c r="H13" s="0" t="s">
        <v>227</v>
      </c>
      <c r="I13" s="0" t="s">
        <v>5667</v>
      </c>
      <c r="J13" s="0" t="s">
        <v>227</v>
      </c>
      <c r="K13" s="0" t="s">
        <v>227</v>
      </c>
      <c r="L13" s="0" t="s">
        <v>227</v>
      </c>
      <c r="M13" s="0" t="s">
        <v>227</v>
      </c>
      <c r="N13" s="0" t="s">
        <v>227</v>
      </c>
      <c r="O13" s="0" t="s">
        <v>227</v>
      </c>
      <c r="P13" s="0" t="s">
        <v>227</v>
      </c>
      <c r="Q13" s="0" t="s">
        <v>227</v>
      </c>
      <c r="R13" s="0" t="s">
        <v>958</v>
      </c>
      <c r="S13" s="0" t="s">
        <v>227</v>
      </c>
      <c r="T13" s="0" t="s">
        <v>227</v>
      </c>
      <c r="U13" s="0" t="s">
        <v>102</v>
      </c>
      <c r="V13" s="0" t="s">
        <v>227</v>
      </c>
      <c r="W13" s="0" t="s">
        <v>227</v>
      </c>
      <c r="X13" s="0" t="s">
        <v>5683</v>
      </c>
      <c r="Y13" s="0" t="s">
        <v>227</v>
      </c>
      <c r="Z13" s="0" t="s">
        <v>152</v>
      </c>
      <c r="AA13" s="0" t="s">
        <v>152</v>
      </c>
      <c r="AB13" s="0" t="s">
        <v>161</v>
      </c>
      <c r="AC13" s="0" t="s">
        <v>354</v>
      </c>
      <c r="AD13" s="0" t="s">
        <v>354</v>
      </c>
      <c r="AE13" s="0" t="s">
        <v>355</v>
      </c>
      <c r="AF13" s="0" t="s">
        <v>5701</v>
      </c>
      <c r="AG13" s="0" t="s">
        <v>5702</v>
      </c>
      <c r="AH13" s="0" t="s">
        <v>5751</v>
      </c>
      <c r="AI13" s="0" t="s">
        <v>5692</v>
      </c>
      <c r="AJ13" s="0" t="s">
        <v>227</v>
      </c>
      <c r="AK13" s="0" t="s">
        <v>227</v>
      </c>
      <c r="AL13" s="0" t="s">
        <v>227</v>
      </c>
      <c r="AM13" s="0" t="s">
        <v>227</v>
      </c>
      <c r="AN13" s="0" t="s">
        <v>227</v>
      </c>
      <c r="AO13" s="0" t="s">
        <v>227</v>
      </c>
      <c r="AP13" s="0" t="s">
        <v>227</v>
      </c>
      <c r="AQ13" s="0" t="s">
        <v>227</v>
      </c>
      <c r="AR13" s="0" t="s">
        <v>227</v>
      </c>
      <c r="AS13" s="0" t="s">
        <v>227</v>
      </c>
      <c r="AT13" s="0" t="s">
        <v>227</v>
      </c>
      <c r="AU13" s="0" t="s">
        <v>227</v>
      </c>
      <c r="AV13" s="0" t="s">
        <v>227</v>
      </c>
      <c r="AW13" s="0" t="s">
        <v>227</v>
      </c>
      <c r="AX13" s="0" t="s">
        <v>227</v>
      </c>
      <c r="AY13" s="0" t="s">
        <v>227</v>
      </c>
      <c r="AZ13" s="0" t="s">
        <v>227</v>
      </c>
      <c r="BA13" s="0" t="s">
        <v>227</v>
      </c>
      <c r="BB13" s="0" t="s">
        <v>227</v>
      </c>
      <c r="BC13" s="0" t="s">
        <v>227</v>
      </c>
      <c r="BD13" s="0" t="s">
        <v>227</v>
      </c>
      <c r="BE13" s="0" t="s">
        <v>5728</v>
      </c>
      <c r="BF13" s="0" t="s">
        <v>5752</v>
      </c>
      <c r="BG13" s="0" t="s">
        <v>112</v>
      </c>
      <c r="BH13" s="0" t="s">
        <v>5690</v>
      </c>
      <c r="BI13" s="0" t="s">
        <v>5691</v>
      </c>
      <c r="BJ13" s="0" t="s">
        <v>227</v>
      </c>
      <c r="BK13" s="0" t="s">
        <v>952</v>
      </c>
      <c r="BL13" s="0" t="s">
        <v>354</v>
      </c>
      <c r="BM13" s="0" t="s">
        <v>354</v>
      </c>
      <c r="BN13" s="0" t="s">
        <v>5693</v>
      </c>
      <c r="BO13" s="0" t="s">
        <v>5701</v>
      </c>
      <c r="BP13" s="0" t="s">
        <v>5706</v>
      </c>
      <c r="BQ13" s="0" t="s">
        <v>5707</v>
      </c>
      <c r="BR13" s="0" t="s">
        <v>5708</v>
      </c>
      <c r="BS13" s="0" t="s">
        <v>227</v>
      </c>
      <c r="BT13" s="0" t="s">
        <v>5695</v>
      </c>
      <c r="BU13" s="0" t="s">
        <v>5753</v>
      </c>
      <c r="BV13" s="0" t="s">
        <v>5753</v>
      </c>
      <c r="BW13" s="0" t="s">
        <v>5697</v>
      </c>
      <c r="BX13" s="0" t="s">
        <v>5697</v>
      </c>
      <c r="BY13" s="0" t="s">
        <v>5697</v>
      </c>
      <c r="BZ13" s="0" t="s">
        <v>5697</v>
      </c>
      <c r="CA13" s="0" t="s">
        <v>5697</v>
      </c>
      <c r="CB13" s="0" t="s">
        <v>227</v>
      </c>
      <c r="CC13" s="0" t="s">
        <v>227</v>
      </c>
      <c r="CD13" s="0" t="s">
        <v>227</v>
      </c>
      <c r="CE13" s="0" t="s">
        <v>227</v>
      </c>
      <c r="CF13" s="0" t="s">
        <v>227</v>
      </c>
      <c r="CG13" s="0" t="s">
        <v>5697</v>
      </c>
      <c r="CH13" s="0" t="s">
        <v>227</v>
      </c>
      <c r="CI13" s="0" t="s">
        <v>227</v>
      </c>
      <c r="CJ13" s="0" t="s">
        <v>227</v>
      </c>
      <c r="CK13" s="0" t="s">
        <v>227</v>
      </c>
      <c r="CL13" s="0" t="s">
        <v>227</v>
      </c>
      <c r="CM13" s="0" t="s">
        <v>5753</v>
      </c>
      <c r="CN13" s="0" t="s">
        <v>5753</v>
      </c>
      <c r="CO13" s="0" t="s">
        <v>227</v>
      </c>
      <c r="CP13" s="0" t="s">
        <v>227</v>
      </c>
      <c r="CQ13" s="0" t="s">
        <v>227</v>
      </c>
      <c r="CR13" s="0" t="s">
        <v>227</v>
      </c>
      <c r="CS13" s="0" t="s">
        <v>5733</v>
      </c>
      <c r="CT13" s="0" t="s">
        <v>5679</v>
      </c>
      <c r="CU13" s="0" t="s">
        <v>5680</v>
      </c>
      <c r="CV13" s="0" t="s">
        <v>430</v>
      </c>
      <c r="CW13" s="0" t="s">
        <v>5699</v>
      </c>
      <c r="CX13" s="0" t="s">
        <v>431</v>
      </c>
      <c r="CY13" s="0" t="s">
        <v>430</v>
      </c>
      <c r="CZ13" s="0" t="s">
        <v>432</v>
      </c>
      <c r="DA13" s="0" t="s">
        <v>433</v>
      </c>
      <c r="DB13" s="0" t="s">
        <v>5700</v>
      </c>
      <c r="DC13" s="0" t="s">
        <v>373</v>
      </c>
      <c r="DD13" s="0" t="s">
        <v>277</v>
      </c>
      <c r="DE13" s="0" t="s">
        <v>959</v>
      </c>
    </row>
    <row customHeight="1" ht="11.25">
      <c r="A14" s="1806" t="s">
        <v>227</v>
      </c>
      <c r="B14" s="0" t="s">
        <v>227</v>
      </c>
      <c r="C14" s="0" t="s">
        <v>227</v>
      </c>
      <c r="D14" s="0" t="s">
        <v>227</v>
      </c>
      <c r="E14" s="0" t="s">
        <v>227</v>
      </c>
      <c r="F14" s="0" t="s">
        <v>227</v>
      </c>
      <c r="G14" s="0" t="s">
        <v>227</v>
      </c>
      <c r="H14" s="0" t="s">
        <v>227</v>
      </c>
      <c r="I14" s="0" t="s">
        <v>5667</v>
      </c>
      <c r="J14" s="0" t="s">
        <v>227</v>
      </c>
      <c r="K14" s="0" t="s">
        <v>227</v>
      </c>
      <c r="L14" s="0" t="s">
        <v>227</v>
      </c>
      <c r="M14" s="0" t="s">
        <v>227</v>
      </c>
      <c r="N14" s="0" t="s">
        <v>227</v>
      </c>
      <c r="O14" s="0" t="s">
        <v>227</v>
      </c>
      <c r="P14" s="0" t="s">
        <v>227</v>
      </c>
      <c r="Q14" s="0" t="s">
        <v>227</v>
      </c>
      <c r="R14" s="0" t="s">
        <v>794</v>
      </c>
      <c r="S14" s="0" t="s">
        <v>227</v>
      </c>
      <c r="T14" s="0" t="s">
        <v>227</v>
      </c>
      <c r="U14" s="0" t="s">
        <v>102</v>
      </c>
      <c r="V14" s="0" t="s">
        <v>227</v>
      </c>
      <c r="W14" s="0" t="s">
        <v>227</v>
      </c>
      <c r="X14" s="0" t="s">
        <v>5683</v>
      </c>
      <c r="Y14" s="0" t="s">
        <v>227</v>
      </c>
      <c r="Z14" s="0" t="s">
        <v>152</v>
      </c>
      <c r="AA14" s="0" t="s">
        <v>152</v>
      </c>
      <c r="AB14" s="0" t="s">
        <v>161</v>
      </c>
      <c r="AC14" s="0" t="s">
        <v>354</v>
      </c>
      <c r="AD14" s="0" t="s">
        <v>354</v>
      </c>
      <c r="AE14" s="0" t="s">
        <v>355</v>
      </c>
      <c r="AF14" s="0" t="s">
        <v>5701</v>
      </c>
      <c r="AG14" s="0" t="s">
        <v>5702</v>
      </c>
      <c r="AH14" s="0" t="s">
        <v>5703</v>
      </c>
      <c r="AI14" s="0" t="s">
        <v>529</v>
      </c>
      <c r="AJ14" s="0" t="s">
        <v>227</v>
      </c>
      <c r="AK14" s="0" t="s">
        <v>227</v>
      </c>
      <c r="AL14" s="0" t="s">
        <v>227</v>
      </c>
      <c r="AM14" s="0" t="s">
        <v>227</v>
      </c>
      <c r="AN14" s="0" t="s">
        <v>227</v>
      </c>
      <c r="AO14" s="0" t="s">
        <v>227</v>
      </c>
      <c r="AP14" s="0" t="s">
        <v>227</v>
      </c>
      <c r="AQ14" s="0" t="s">
        <v>227</v>
      </c>
      <c r="AR14" s="0" t="s">
        <v>227</v>
      </c>
      <c r="AS14" s="0" t="s">
        <v>227</v>
      </c>
      <c r="AT14" s="0" t="s">
        <v>227</v>
      </c>
      <c r="AU14" s="0" t="s">
        <v>227</v>
      </c>
      <c r="AV14" s="0" t="s">
        <v>227</v>
      </c>
      <c r="AW14" s="0" t="s">
        <v>227</v>
      </c>
      <c r="AX14" s="0" t="s">
        <v>227</v>
      </c>
      <c r="AY14" s="0" t="s">
        <v>227</v>
      </c>
      <c r="AZ14" s="0" t="s">
        <v>227</v>
      </c>
      <c r="BA14" s="0" t="s">
        <v>227</v>
      </c>
      <c r="BB14" s="0" t="s">
        <v>227</v>
      </c>
      <c r="BC14" s="0" t="s">
        <v>227</v>
      </c>
      <c r="BD14" s="0" t="s">
        <v>227</v>
      </c>
      <c r="BE14" s="0" t="s">
        <v>5748</v>
      </c>
      <c r="BF14" s="0" t="s">
        <v>5754</v>
      </c>
      <c r="BG14" s="0" t="s">
        <v>112</v>
      </c>
      <c r="BH14" s="0" t="s">
        <v>5690</v>
      </c>
      <c r="BI14" s="0" t="s">
        <v>5691</v>
      </c>
      <c r="BJ14" s="0" t="s">
        <v>227</v>
      </c>
      <c r="BK14" s="0" t="s">
        <v>952</v>
      </c>
      <c r="BL14" s="0" t="s">
        <v>354</v>
      </c>
      <c r="BM14" s="0" t="s">
        <v>354</v>
      </c>
      <c r="BN14" s="0" t="s">
        <v>5693</v>
      </c>
      <c r="BO14" s="0" t="s">
        <v>5701</v>
      </c>
      <c r="BP14" s="0" t="s">
        <v>5706</v>
      </c>
      <c r="BQ14" s="0" t="s">
        <v>5707</v>
      </c>
      <c r="BR14" s="0" t="s">
        <v>5708</v>
      </c>
      <c r="BS14" s="0" t="s">
        <v>227</v>
      </c>
      <c r="BT14" s="0" t="s">
        <v>5709</v>
      </c>
      <c r="BU14" s="0" t="s">
        <v>5755</v>
      </c>
      <c r="BV14" s="0" t="s">
        <v>5755</v>
      </c>
      <c r="BW14" s="0" t="s">
        <v>5697</v>
      </c>
      <c r="BX14" s="0" t="s">
        <v>5697</v>
      </c>
      <c r="BY14" s="0" t="s">
        <v>5697</v>
      </c>
      <c r="BZ14" s="0" t="s">
        <v>5697</v>
      </c>
      <c r="CA14" s="0" t="s">
        <v>5697</v>
      </c>
      <c r="CB14" s="0" t="s">
        <v>227</v>
      </c>
      <c r="CC14" s="0" t="s">
        <v>227</v>
      </c>
      <c r="CD14" s="0" t="s">
        <v>227</v>
      </c>
      <c r="CE14" s="0" t="s">
        <v>227</v>
      </c>
      <c r="CF14" s="0" t="s">
        <v>227</v>
      </c>
      <c r="CG14" s="0" t="s">
        <v>5697</v>
      </c>
      <c r="CH14" s="0" t="s">
        <v>227</v>
      </c>
      <c r="CI14" s="0" t="s">
        <v>227</v>
      </c>
      <c r="CJ14" s="0" t="s">
        <v>227</v>
      </c>
      <c r="CK14" s="0" t="s">
        <v>227</v>
      </c>
      <c r="CL14" s="0" t="s">
        <v>227</v>
      </c>
      <c r="CM14" s="0" t="s">
        <v>5755</v>
      </c>
      <c r="CN14" s="0" t="s">
        <v>5755</v>
      </c>
      <c r="CO14" s="0" t="s">
        <v>227</v>
      </c>
      <c r="CP14" s="0" t="s">
        <v>227</v>
      </c>
      <c r="CQ14" s="0" t="s">
        <v>227</v>
      </c>
      <c r="CR14" s="0" t="s">
        <v>227</v>
      </c>
      <c r="CS14" s="0" t="s">
        <v>5744</v>
      </c>
      <c r="CT14" s="0" t="s">
        <v>5679</v>
      </c>
      <c r="CU14" s="0" t="s">
        <v>5680</v>
      </c>
      <c r="CV14" s="0" t="s">
        <v>430</v>
      </c>
      <c r="CW14" s="0" t="s">
        <v>5699</v>
      </c>
      <c r="CX14" s="0" t="s">
        <v>431</v>
      </c>
      <c r="CY14" s="0" t="s">
        <v>430</v>
      </c>
      <c r="CZ14" s="0" t="s">
        <v>432</v>
      </c>
      <c r="DA14" s="0" t="s">
        <v>433</v>
      </c>
      <c r="DB14" s="0" t="s">
        <v>5700</v>
      </c>
      <c r="DC14" s="0" t="s">
        <v>373</v>
      </c>
      <c r="DD14" s="0" t="s">
        <v>277</v>
      </c>
      <c r="DE14" s="0" t="s">
        <v>795</v>
      </c>
    </row>
    <row customHeight="1" ht="11.25">
      <c r="A15" s="1806" t="s">
        <v>227</v>
      </c>
      <c r="B15" s="0" t="s">
        <v>227</v>
      </c>
      <c r="C15" s="0" t="s">
        <v>227</v>
      </c>
      <c r="D15" s="0" t="s">
        <v>227</v>
      </c>
      <c r="E15" s="0" t="s">
        <v>227</v>
      </c>
      <c r="F15" s="0" t="s">
        <v>227</v>
      </c>
      <c r="G15" s="0" t="s">
        <v>227</v>
      </c>
      <c r="H15" s="0" t="s">
        <v>227</v>
      </c>
      <c r="I15" s="0" t="s">
        <v>5667</v>
      </c>
      <c r="J15" s="0" t="s">
        <v>227</v>
      </c>
      <c r="K15" s="0" t="s">
        <v>227</v>
      </c>
      <c r="L15" s="0" t="s">
        <v>227</v>
      </c>
      <c r="M15" s="0" t="s">
        <v>227</v>
      </c>
      <c r="N15" s="0" t="s">
        <v>227</v>
      </c>
      <c r="O15" s="0" t="s">
        <v>227</v>
      </c>
      <c r="P15" s="0" t="s">
        <v>227</v>
      </c>
      <c r="Q15" s="0" t="s">
        <v>227</v>
      </c>
      <c r="R15" s="0" t="s">
        <v>964</v>
      </c>
      <c r="S15" s="0" t="s">
        <v>227</v>
      </c>
      <c r="T15" s="0" t="s">
        <v>227</v>
      </c>
      <c r="U15" s="0" t="s">
        <v>102</v>
      </c>
      <c r="V15" s="0" t="s">
        <v>227</v>
      </c>
      <c r="W15" s="0" t="s">
        <v>227</v>
      </c>
      <c r="X15" s="0" t="s">
        <v>5683</v>
      </c>
      <c r="Y15" s="0" t="s">
        <v>227</v>
      </c>
      <c r="Z15" s="0" t="s">
        <v>152</v>
      </c>
      <c r="AA15" s="0" t="s">
        <v>152</v>
      </c>
      <c r="AB15" s="0" t="s">
        <v>161</v>
      </c>
      <c r="AC15" s="0" t="s">
        <v>354</v>
      </c>
      <c r="AD15" s="0" t="s">
        <v>354</v>
      </c>
      <c r="AE15" s="0" t="s">
        <v>355</v>
      </c>
      <c r="AF15" s="0" t="s">
        <v>5701</v>
      </c>
      <c r="AG15" s="0" t="s">
        <v>5702</v>
      </c>
      <c r="AH15" s="0" t="s">
        <v>5756</v>
      </c>
      <c r="AI15" s="0" t="s">
        <v>5692</v>
      </c>
      <c r="AJ15" s="0" t="s">
        <v>227</v>
      </c>
      <c r="AK15" s="0" t="s">
        <v>227</v>
      </c>
      <c r="AL15" s="0" t="s">
        <v>227</v>
      </c>
      <c r="AM15" s="0" t="s">
        <v>227</v>
      </c>
      <c r="AN15" s="0" t="s">
        <v>227</v>
      </c>
      <c r="AO15" s="0" t="s">
        <v>227</v>
      </c>
      <c r="AP15" s="0" t="s">
        <v>227</v>
      </c>
      <c r="AQ15" s="0" t="s">
        <v>227</v>
      </c>
      <c r="AR15" s="0" t="s">
        <v>227</v>
      </c>
      <c r="AS15" s="0" t="s">
        <v>227</v>
      </c>
      <c r="AT15" s="0" t="s">
        <v>227</v>
      </c>
      <c r="AU15" s="0" t="s">
        <v>227</v>
      </c>
      <c r="AV15" s="0" t="s">
        <v>227</v>
      </c>
      <c r="AW15" s="0" t="s">
        <v>227</v>
      </c>
      <c r="AX15" s="0" t="s">
        <v>227</v>
      </c>
      <c r="AY15" s="0" t="s">
        <v>227</v>
      </c>
      <c r="AZ15" s="0" t="s">
        <v>227</v>
      </c>
      <c r="BA15" s="0" t="s">
        <v>227</v>
      </c>
      <c r="BB15" s="0" t="s">
        <v>227</v>
      </c>
      <c r="BC15" s="0" t="s">
        <v>227</v>
      </c>
      <c r="BD15" s="0" t="s">
        <v>227</v>
      </c>
      <c r="BE15" s="0" t="s">
        <v>5728</v>
      </c>
      <c r="BF15" s="0" t="s">
        <v>5757</v>
      </c>
      <c r="BG15" s="0" t="s">
        <v>112</v>
      </c>
      <c r="BH15" s="0" t="s">
        <v>5690</v>
      </c>
      <c r="BI15" s="0" t="s">
        <v>5691</v>
      </c>
      <c r="BJ15" s="0" t="s">
        <v>227</v>
      </c>
      <c r="BK15" s="0" t="s">
        <v>952</v>
      </c>
      <c r="BL15" s="0" t="s">
        <v>354</v>
      </c>
      <c r="BM15" s="0" t="s">
        <v>354</v>
      </c>
      <c r="BN15" s="0" t="s">
        <v>5693</v>
      </c>
      <c r="BO15" s="0" t="s">
        <v>5701</v>
      </c>
      <c r="BP15" s="0" t="s">
        <v>5706</v>
      </c>
      <c r="BQ15" s="0" t="s">
        <v>5707</v>
      </c>
      <c r="BR15" s="0" t="s">
        <v>5708</v>
      </c>
      <c r="BS15" s="0" t="s">
        <v>227</v>
      </c>
      <c r="BT15" s="0" t="s">
        <v>5695</v>
      </c>
      <c r="BU15" s="0" t="s">
        <v>5758</v>
      </c>
      <c r="BV15" s="0" t="s">
        <v>5758</v>
      </c>
      <c r="BW15" s="0" t="s">
        <v>5697</v>
      </c>
      <c r="BX15" s="0" t="s">
        <v>5697</v>
      </c>
      <c r="BY15" s="0" t="s">
        <v>5697</v>
      </c>
      <c r="BZ15" s="0" t="s">
        <v>5697</v>
      </c>
      <c r="CA15" s="0" t="s">
        <v>5697</v>
      </c>
      <c r="CB15" s="0" t="s">
        <v>227</v>
      </c>
      <c r="CC15" s="0" t="s">
        <v>227</v>
      </c>
      <c r="CD15" s="0" t="s">
        <v>227</v>
      </c>
      <c r="CE15" s="0" t="s">
        <v>227</v>
      </c>
      <c r="CF15" s="0" t="s">
        <v>227</v>
      </c>
      <c r="CG15" s="0" t="s">
        <v>5697</v>
      </c>
      <c r="CH15" s="0" t="s">
        <v>227</v>
      </c>
      <c r="CI15" s="0" t="s">
        <v>227</v>
      </c>
      <c r="CJ15" s="0" t="s">
        <v>227</v>
      </c>
      <c r="CK15" s="0" t="s">
        <v>227</v>
      </c>
      <c r="CL15" s="0" t="s">
        <v>227</v>
      </c>
      <c r="CM15" s="0" t="s">
        <v>5758</v>
      </c>
      <c r="CN15" s="0" t="s">
        <v>5758</v>
      </c>
      <c r="CO15" s="0" t="s">
        <v>227</v>
      </c>
      <c r="CP15" s="0" t="s">
        <v>227</v>
      </c>
      <c r="CQ15" s="0" t="s">
        <v>227</v>
      </c>
      <c r="CR15" s="0" t="s">
        <v>227</v>
      </c>
      <c r="CS15" s="0" t="s">
        <v>5759</v>
      </c>
      <c r="CT15" s="0" t="s">
        <v>5679</v>
      </c>
      <c r="CU15" s="0" t="s">
        <v>5680</v>
      </c>
      <c r="CV15" s="0" t="s">
        <v>430</v>
      </c>
      <c r="CW15" s="0" t="s">
        <v>5699</v>
      </c>
      <c r="CX15" s="0" t="s">
        <v>431</v>
      </c>
      <c r="CY15" s="0" t="s">
        <v>430</v>
      </c>
      <c r="CZ15" s="0" t="s">
        <v>432</v>
      </c>
      <c r="DA15" s="0" t="s">
        <v>433</v>
      </c>
      <c r="DB15" s="0" t="s">
        <v>5700</v>
      </c>
      <c r="DC15" s="0" t="s">
        <v>373</v>
      </c>
      <c r="DD15" s="0" t="s">
        <v>277</v>
      </c>
      <c r="DE15" s="0" t="s">
        <v>965</v>
      </c>
    </row>
    <row customHeight="1" ht="11.25">
      <c r="A16" s="1806" t="s">
        <v>227</v>
      </c>
      <c r="B16" s="0" t="s">
        <v>227</v>
      </c>
      <c r="C16" s="0" t="s">
        <v>227</v>
      </c>
      <c r="D16" s="0" t="s">
        <v>227</v>
      </c>
      <c r="E16" s="0" t="s">
        <v>227</v>
      </c>
      <c r="F16" s="0" t="s">
        <v>227</v>
      </c>
      <c r="G16" s="0" t="s">
        <v>227</v>
      </c>
      <c r="H16" s="0" t="s">
        <v>227</v>
      </c>
      <c r="I16" s="0" t="s">
        <v>5667</v>
      </c>
      <c r="J16" s="0" t="s">
        <v>227</v>
      </c>
      <c r="K16" s="0" t="s">
        <v>227</v>
      </c>
      <c r="L16" s="0" t="s">
        <v>227</v>
      </c>
      <c r="M16" s="0" t="s">
        <v>227</v>
      </c>
      <c r="N16" s="0" t="s">
        <v>227</v>
      </c>
      <c r="O16" s="0" t="s">
        <v>227</v>
      </c>
      <c r="P16" s="0" t="s">
        <v>227</v>
      </c>
      <c r="Q16" s="0" t="s">
        <v>227</v>
      </c>
      <c r="R16" s="0" t="s">
        <v>867</v>
      </c>
      <c r="S16" s="0" t="s">
        <v>227</v>
      </c>
      <c r="T16" s="0" t="s">
        <v>227</v>
      </c>
      <c r="U16" s="0" t="s">
        <v>102</v>
      </c>
      <c r="V16" s="0" t="s">
        <v>227</v>
      </c>
      <c r="W16" s="0" t="s">
        <v>227</v>
      </c>
      <c r="X16" s="0" t="s">
        <v>5683</v>
      </c>
      <c r="Y16" s="0" t="s">
        <v>227</v>
      </c>
      <c r="Z16" s="0" t="s">
        <v>152</v>
      </c>
      <c r="AA16" s="0" t="s">
        <v>152</v>
      </c>
      <c r="AB16" s="0" t="s">
        <v>161</v>
      </c>
      <c r="AC16" s="0" t="s">
        <v>354</v>
      </c>
      <c r="AD16" s="0" t="s">
        <v>354</v>
      </c>
      <c r="AE16" s="0" t="s">
        <v>355</v>
      </c>
      <c r="AF16" s="0" t="s">
        <v>5701</v>
      </c>
      <c r="AG16" s="0" t="s">
        <v>5702</v>
      </c>
      <c r="AH16" s="0" t="s">
        <v>5760</v>
      </c>
      <c r="AI16" s="0" t="s">
        <v>5692</v>
      </c>
      <c r="AJ16" s="0" t="s">
        <v>227</v>
      </c>
      <c r="AK16" s="0" t="s">
        <v>227</v>
      </c>
      <c r="AL16" s="0" t="s">
        <v>227</v>
      </c>
      <c r="AM16" s="0" t="s">
        <v>227</v>
      </c>
      <c r="AN16" s="0" t="s">
        <v>227</v>
      </c>
      <c r="AO16" s="0" t="s">
        <v>227</v>
      </c>
      <c r="AP16" s="0" t="s">
        <v>227</v>
      </c>
      <c r="AQ16" s="0" t="s">
        <v>227</v>
      </c>
      <c r="AR16" s="0" t="s">
        <v>227</v>
      </c>
      <c r="AS16" s="0" t="s">
        <v>227</v>
      </c>
      <c r="AT16" s="0" t="s">
        <v>227</v>
      </c>
      <c r="AU16" s="0" t="s">
        <v>227</v>
      </c>
      <c r="AV16" s="0" t="s">
        <v>227</v>
      </c>
      <c r="AW16" s="0" t="s">
        <v>227</v>
      </c>
      <c r="AX16" s="0" t="s">
        <v>227</v>
      </c>
      <c r="AY16" s="0" t="s">
        <v>227</v>
      </c>
      <c r="AZ16" s="0" t="s">
        <v>227</v>
      </c>
      <c r="BA16" s="0" t="s">
        <v>227</v>
      </c>
      <c r="BB16" s="0" t="s">
        <v>227</v>
      </c>
      <c r="BC16" s="0" t="s">
        <v>227</v>
      </c>
      <c r="BD16" s="0" t="s">
        <v>227</v>
      </c>
      <c r="BE16" s="0" t="s">
        <v>5761</v>
      </c>
      <c r="BF16" s="0" t="s">
        <v>5762</v>
      </c>
      <c r="BG16" s="0" t="s">
        <v>112</v>
      </c>
      <c r="BH16" s="0" t="s">
        <v>5690</v>
      </c>
      <c r="BI16" s="0" t="s">
        <v>5691</v>
      </c>
      <c r="BJ16" s="0" t="s">
        <v>227</v>
      </c>
      <c r="BK16" s="0" t="s">
        <v>952</v>
      </c>
      <c r="BL16" s="0" t="s">
        <v>354</v>
      </c>
      <c r="BM16" s="0" t="s">
        <v>354</v>
      </c>
      <c r="BN16" s="0" t="s">
        <v>5693</v>
      </c>
      <c r="BO16" s="0" t="s">
        <v>5701</v>
      </c>
      <c r="BP16" s="0" t="s">
        <v>5706</v>
      </c>
      <c r="BQ16" s="0" t="s">
        <v>5707</v>
      </c>
      <c r="BR16" s="0" t="s">
        <v>5708</v>
      </c>
      <c r="BS16" s="0" t="s">
        <v>227</v>
      </c>
      <c r="BT16" s="0" t="s">
        <v>5695</v>
      </c>
      <c r="BU16" s="0" t="s">
        <v>5763</v>
      </c>
      <c r="BV16" s="0" t="s">
        <v>5763</v>
      </c>
      <c r="BW16" s="0" t="s">
        <v>5697</v>
      </c>
      <c r="BX16" s="0" t="s">
        <v>5697</v>
      </c>
      <c r="BY16" s="0" t="s">
        <v>5697</v>
      </c>
      <c r="BZ16" s="0" t="s">
        <v>5697</v>
      </c>
      <c r="CA16" s="0" t="s">
        <v>5697</v>
      </c>
      <c r="CB16" s="0" t="s">
        <v>227</v>
      </c>
      <c r="CC16" s="0" t="s">
        <v>227</v>
      </c>
      <c r="CD16" s="0" t="s">
        <v>227</v>
      </c>
      <c r="CE16" s="0" t="s">
        <v>227</v>
      </c>
      <c r="CF16" s="0" t="s">
        <v>227</v>
      </c>
      <c r="CG16" s="0" t="s">
        <v>5697</v>
      </c>
      <c r="CH16" s="0" t="s">
        <v>227</v>
      </c>
      <c r="CI16" s="0" t="s">
        <v>227</v>
      </c>
      <c r="CJ16" s="0" t="s">
        <v>227</v>
      </c>
      <c r="CK16" s="0" t="s">
        <v>227</v>
      </c>
      <c r="CL16" s="0" t="s">
        <v>227</v>
      </c>
      <c r="CM16" s="0" t="s">
        <v>5763</v>
      </c>
      <c r="CN16" s="0" t="s">
        <v>5763</v>
      </c>
      <c r="CO16" s="0" t="s">
        <v>227</v>
      </c>
      <c r="CP16" s="0" t="s">
        <v>227</v>
      </c>
      <c r="CQ16" s="0" t="s">
        <v>227</v>
      </c>
      <c r="CR16" s="0" t="s">
        <v>227</v>
      </c>
      <c r="CS16" s="0" t="s">
        <v>5759</v>
      </c>
      <c r="CT16" s="0" t="s">
        <v>5679</v>
      </c>
      <c r="CU16" s="0" t="s">
        <v>5680</v>
      </c>
      <c r="CV16" s="0" t="s">
        <v>430</v>
      </c>
      <c r="CW16" s="0" t="s">
        <v>5699</v>
      </c>
      <c r="CX16" s="0" t="s">
        <v>431</v>
      </c>
      <c r="CY16" s="0" t="s">
        <v>430</v>
      </c>
      <c r="CZ16" s="0" t="s">
        <v>432</v>
      </c>
      <c r="DA16" s="0" t="s">
        <v>433</v>
      </c>
      <c r="DB16" s="0" t="s">
        <v>5700</v>
      </c>
      <c r="DC16" s="0" t="s">
        <v>373</v>
      </c>
      <c r="DD16" s="0" t="s">
        <v>277</v>
      </c>
      <c r="DE16" s="0" t="s">
        <v>868</v>
      </c>
    </row>
    <row customHeight="1" ht="11.25">
      <c r="A17" s="1806" t="s">
        <v>227</v>
      </c>
      <c r="B17" s="0" t="s">
        <v>227</v>
      </c>
      <c r="C17" s="0" t="s">
        <v>227</v>
      </c>
      <c r="D17" s="0" t="s">
        <v>227</v>
      </c>
      <c r="E17" s="0" t="s">
        <v>227</v>
      </c>
      <c r="F17" s="0" t="s">
        <v>227</v>
      </c>
      <c r="G17" s="0" t="s">
        <v>227</v>
      </c>
      <c r="H17" s="0" t="s">
        <v>227</v>
      </c>
      <c r="I17" s="0" t="s">
        <v>5667</v>
      </c>
      <c r="J17" s="0" t="s">
        <v>227</v>
      </c>
      <c r="K17" s="0" t="s">
        <v>227</v>
      </c>
      <c r="L17" s="0" t="s">
        <v>227</v>
      </c>
      <c r="M17" s="0" t="s">
        <v>227</v>
      </c>
      <c r="N17" s="0" t="s">
        <v>227</v>
      </c>
      <c r="O17" s="0" t="s">
        <v>227</v>
      </c>
      <c r="P17" s="0" t="s">
        <v>227</v>
      </c>
      <c r="Q17" s="0" t="s">
        <v>227</v>
      </c>
      <c r="R17" s="0" t="s">
        <v>741</v>
      </c>
      <c r="S17" s="0" t="s">
        <v>227</v>
      </c>
      <c r="T17" s="0" t="s">
        <v>227</v>
      </c>
      <c r="U17" s="0" t="s">
        <v>102</v>
      </c>
      <c r="V17" s="0" t="s">
        <v>227</v>
      </c>
      <c r="W17" s="0" t="s">
        <v>227</v>
      </c>
      <c r="X17" s="0" t="s">
        <v>5683</v>
      </c>
      <c r="Y17" s="0" t="s">
        <v>227</v>
      </c>
      <c r="Z17" s="0" t="s">
        <v>152</v>
      </c>
      <c r="AA17" s="0" t="s">
        <v>152</v>
      </c>
      <c r="AB17" s="0" t="s">
        <v>161</v>
      </c>
      <c r="AC17" s="0" t="s">
        <v>354</v>
      </c>
      <c r="AD17" s="0" t="s">
        <v>354</v>
      </c>
      <c r="AE17" s="0" t="s">
        <v>355</v>
      </c>
      <c r="AF17" s="0" t="s">
        <v>5701</v>
      </c>
      <c r="AG17" s="0" t="s">
        <v>5702</v>
      </c>
      <c r="AH17" s="0" t="s">
        <v>5764</v>
      </c>
      <c r="AI17" s="0" t="s">
        <v>5692</v>
      </c>
      <c r="AJ17" s="0" t="s">
        <v>227</v>
      </c>
      <c r="AK17" s="0" t="s">
        <v>227</v>
      </c>
      <c r="AL17" s="0" t="s">
        <v>227</v>
      </c>
      <c r="AM17" s="0" t="s">
        <v>227</v>
      </c>
      <c r="AN17" s="0" t="s">
        <v>227</v>
      </c>
      <c r="AO17" s="0" t="s">
        <v>227</v>
      </c>
      <c r="AP17" s="0" t="s">
        <v>227</v>
      </c>
      <c r="AQ17" s="0" t="s">
        <v>227</v>
      </c>
      <c r="AR17" s="0" t="s">
        <v>227</v>
      </c>
      <c r="AS17" s="0" t="s">
        <v>227</v>
      </c>
      <c r="AT17" s="0" t="s">
        <v>227</v>
      </c>
      <c r="AU17" s="0" t="s">
        <v>227</v>
      </c>
      <c r="AV17" s="0" t="s">
        <v>227</v>
      </c>
      <c r="AW17" s="0" t="s">
        <v>227</v>
      </c>
      <c r="AX17" s="0" t="s">
        <v>227</v>
      </c>
      <c r="AY17" s="0" t="s">
        <v>227</v>
      </c>
      <c r="AZ17" s="0" t="s">
        <v>227</v>
      </c>
      <c r="BA17" s="0" t="s">
        <v>227</v>
      </c>
      <c r="BB17" s="0" t="s">
        <v>227</v>
      </c>
      <c r="BC17" s="0" t="s">
        <v>227</v>
      </c>
      <c r="BD17" s="0" t="s">
        <v>227</v>
      </c>
      <c r="BE17" s="0" t="s">
        <v>5728</v>
      </c>
      <c r="BF17" s="0" t="s">
        <v>5728</v>
      </c>
      <c r="BG17" s="0" t="s">
        <v>112</v>
      </c>
      <c r="BH17" s="0" t="s">
        <v>5690</v>
      </c>
      <c r="BI17" s="0" t="s">
        <v>5691</v>
      </c>
      <c r="BJ17" s="0" t="s">
        <v>227</v>
      </c>
      <c r="BK17" s="0" t="s">
        <v>952</v>
      </c>
      <c r="BL17" s="0" t="s">
        <v>354</v>
      </c>
      <c r="BM17" s="0" t="s">
        <v>354</v>
      </c>
      <c r="BN17" s="0" t="s">
        <v>5693</v>
      </c>
      <c r="BO17" s="0" t="s">
        <v>5701</v>
      </c>
      <c r="BP17" s="0" t="s">
        <v>5706</v>
      </c>
      <c r="BQ17" s="0" t="s">
        <v>5707</v>
      </c>
      <c r="BR17" s="0" t="s">
        <v>5708</v>
      </c>
      <c r="BS17" s="0" t="s">
        <v>227</v>
      </c>
      <c r="BT17" s="0" t="s">
        <v>5695</v>
      </c>
      <c r="BU17" s="0" t="s">
        <v>5765</v>
      </c>
      <c r="BV17" s="0" t="s">
        <v>5765</v>
      </c>
      <c r="BW17" s="0" t="s">
        <v>5697</v>
      </c>
      <c r="BX17" s="0" t="s">
        <v>5697</v>
      </c>
      <c r="BY17" s="0" t="s">
        <v>5697</v>
      </c>
      <c r="BZ17" s="0" t="s">
        <v>5697</v>
      </c>
      <c r="CA17" s="0" t="s">
        <v>5697</v>
      </c>
      <c r="CB17" s="0" t="s">
        <v>227</v>
      </c>
      <c r="CC17" s="0" t="s">
        <v>227</v>
      </c>
      <c r="CD17" s="0" t="s">
        <v>227</v>
      </c>
      <c r="CE17" s="0" t="s">
        <v>227</v>
      </c>
      <c r="CF17" s="0" t="s">
        <v>227</v>
      </c>
      <c r="CG17" s="0" t="s">
        <v>5697</v>
      </c>
      <c r="CH17" s="0" t="s">
        <v>227</v>
      </c>
      <c r="CI17" s="0" t="s">
        <v>227</v>
      </c>
      <c r="CJ17" s="0" t="s">
        <v>227</v>
      </c>
      <c r="CK17" s="0" t="s">
        <v>227</v>
      </c>
      <c r="CL17" s="0" t="s">
        <v>227</v>
      </c>
      <c r="CM17" s="0" t="s">
        <v>5765</v>
      </c>
      <c r="CN17" s="0" t="s">
        <v>5765</v>
      </c>
      <c r="CO17" s="0" t="s">
        <v>227</v>
      </c>
      <c r="CP17" s="0" t="s">
        <v>227</v>
      </c>
      <c r="CQ17" s="0" t="s">
        <v>227</v>
      </c>
      <c r="CR17" s="0" t="s">
        <v>227</v>
      </c>
      <c r="CS17" s="0" t="s">
        <v>5698</v>
      </c>
      <c r="CT17" s="0" t="s">
        <v>5679</v>
      </c>
      <c r="CU17" s="0" t="s">
        <v>5680</v>
      </c>
      <c r="CV17" s="0" t="s">
        <v>430</v>
      </c>
      <c r="CW17" s="0" t="s">
        <v>5699</v>
      </c>
      <c r="CX17" s="0" t="s">
        <v>431</v>
      </c>
      <c r="CY17" s="0" t="s">
        <v>430</v>
      </c>
      <c r="CZ17" s="0" t="s">
        <v>432</v>
      </c>
      <c r="DA17" s="0" t="s">
        <v>433</v>
      </c>
      <c r="DB17" s="0" t="s">
        <v>5700</v>
      </c>
      <c r="DC17" s="0" t="s">
        <v>373</v>
      </c>
      <c r="DD17" s="0" t="s">
        <v>277</v>
      </c>
      <c r="DE17" s="0" t="s">
        <v>742</v>
      </c>
    </row>
    <row customHeight="1" ht="11.25">
      <c r="A18" s="1806" t="s">
        <v>227</v>
      </c>
      <c r="B18" s="0" t="s">
        <v>227</v>
      </c>
      <c r="C18" s="0" t="s">
        <v>227</v>
      </c>
      <c r="D18" s="0" t="s">
        <v>227</v>
      </c>
      <c r="E18" s="0" t="s">
        <v>227</v>
      </c>
      <c r="F18" s="0" t="s">
        <v>227</v>
      </c>
      <c r="G18" s="0" t="s">
        <v>227</v>
      </c>
      <c r="H18" s="0" t="s">
        <v>227</v>
      </c>
      <c r="I18" s="0" t="s">
        <v>5667</v>
      </c>
      <c r="J18" s="0" t="s">
        <v>227</v>
      </c>
      <c r="K18" s="0" t="s">
        <v>227</v>
      </c>
      <c r="L18" s="0" t="s">
        <v>227</v>
      </c>
      <c r="M18" s="0" t="s">
        <v>227</v>
      </c>
      <c r="N18" s="0" t="s">
        <v>227</v>
      </c>
      <c r="O18" s="0" t="s">
        <v>227</v>
      </c>
      <c r="P18" s="0" t="s">
        <v>227</v>
      </c>
      <c r="Q18" s="0" t="s">
        <v>227</v>
      </c>
      <c r="R18" s="0" t="s">
        <v>756</v>
      </c>
      <c r="S18" s="0" t="s">
        <v>227</v>
      </c>
      <c r="T18" s="0" t="s">
        <v>227</v>
      </c>
      <c r="U18" s="0" t="s">
        <v>102</v>
      </c>
      <c r="V18" s="0" t="s">
        <v>227</v>
      </c>
      <c r="W18" s="0" t="s">
        <v>227</v>
      </c>
      <c r="X18" s="0" t="s">
        <v>5683</v>
      </c>
      <c r="Y18" s="0" t="s">
        <v>227</v>
      </c>
      <c r="Z18" s="0" t="s">
        <v>152</v>
      </c>
      <c r="AA18" s="0" t="s">
        <v>152</v>
      </c>
      <c r="AB18" s="0" t="s">
        <v>161</v>
      </c>
      <c r="AC18" s="0" t="s">
        <v>354</v>
      </c>
      <c r="AD18" s="0" t="s">
        <v>354</v>
      </c>
      <c r="AE18" s="0" t="s">
        <v>355</v>
      </c>
      <c r="AF18" s="0" t="s">
        <v>5701</v>
      </c>
      <c r="AG18" s="0" t="s">
        <v>5702</v>
      </c>
      <c r="AH18" s="0" t="s">
        <v>5766</v>
      </c>
      <c r="AI18" s="0" t="s">
        <v>5767</v>
      </c>
      <c r="AJ18" s="0" t="s">
        <v>227</v>
      </c>
      <c r="AK18" s="0" t="s">
        <v>227</v>
      </c>
      <c r="AL18" s="0" t="s">
        <v>227</v>
      </c>
      <c r="AM18" s="0" t="s">
        <v>227</v>
      </c>
      <c r="AN18" s="0" t="s">
        <v>227</v>
      </c>
      <c r="AO18" s="0" t="s">
        <v>227</v>
      </c>
      <c r="AP18" s="0" t="s">
        <v>227</v>
      </c>
      <c r="AQ18" s="0" t="s">
        <v>227</v>
      </c>
      <c r="AR18" s="0" t="s">
        <v>227</v>
      </c>
      <c r="AS18" s="0" t="s">
        <v>227</v>
      </c>
      <c r="AT18" s="0" t="s">
        <v>227</v>
      </c>
      <c r="AU18" s="0" t="s">
        <v>227</v>
      </c>
      <c r="AV18" s="0" t="s">
        <v>227</v>
      </c>
      <c r="AW18" s="0" t="s">
        <v>227</v>
      </c>
      <c r="AX18" s="0" t="s">
        <v>227</v>
      </c>
      <c r="AY18" s="0" t="s">
        <v>227</v>
      </c>
      <c r="AZ18" s="0" t="s">
        <v>227</v>
      </c>
      <c r="BA18" s="0" t="s">
        <v>227</v>
      </c>
      <c r="BB18" s="0" t="s">
        <v>227</v>
      </c>
      <c r="BC18" s="0" t="s">
        <v>227</v>
      </c>
      <c r="BD18" s="0" t="s">
        <v>227</v>
      </c>
      <c r="BE18" s="0" t="s">
        <v>5688</v>
      </c>
      <c r="BF18" s="0" t="s">
        <v>5768</v>
      </c>
      <c r="BG18" s="0" t="s">
        <v>112</v>
      </c>
      <c r="BH18" s="0" t="s">
        <v>5690</v>
      </c>
      <c r="BI18" s="0" t="s">
        <v>5691</v>
      </c>
      <c r="BJ18" s="0" t="s">
        <v>227</v>
      </c>
      <c r="BK18" s="0" t="s">
        <v>952</v>
      </c>
      <c r="BL18" s="0" t="s">
        <v>354</v>
      </c>
      <c r="BM18" s="0" t="s">
        <v>354</v>
      </c>
      <c r="BN18" s="0" t="s">
        <v>5693</v>
      </c>
      <c r="BO18" s="0" t="s">
        <v>5701</v>
      </c>
      <c r="BP18" s="0" t="s">
        <v>5706</v>
      </c>
      <c r="BQ18" s="0" t="s">
        <v>5707</v>
      </c>
      <c r="BR18" s="0" t="s">
        <v>5708</v>
      </c>
      <c r="BS18" s="0" t="s">
        <v>227</v>
      </c>
      <c r="BT18" s="0" t="s">
        <v>5695</v>
      </c>
      <c r="BU18" s="0" t="s">
        <v>5769</v>
      </c>
      <c r="BV18" s="0" t="s">
        <v>5769</v>
      </c>
      <c r="BW18" s="0" t="s">
        <v>5697</v>
      </c>
      <c r="BX18" s="0" t="s">
        <v>5697</v>
      </c>
      <c r="BY18" s="0" t="s">
        <v>5697</v>
      </c>
      <c r="BZ18" s="0" t="s">
        <v>5697</v>
      </c>
      <c r="CA18" s="0" t="s">
        <v>5697</v>
      </c>
      <c r="CB18" s="0" t="s">
        <v>227</v>
      </c>
      <c r="CC18" s="0" t="s">
        <v>227</v>
      </c>
      <c r="CD18" s="0" t="s">
        <v>227</v>
      </c>
      <c r="CE18" s="0" t="s">
        <v>227</v>
      </c>
      <c r="CF18" s="0" t="s">
        <v>227</v>
      </c>
      <c r="CG18" s="0" t="s">
        <v>5697</v>
      </c>
      <c r="CH18" s="0" t="s">
        <v>227</v>
      </c>
      <c r="CI18" s="0" t="s">
        <v>227</v>
      </c>
      <c r="CJ18" s="0" t="s">
        <v>227</v>
      </c>
      <c r="CK18" s="0" t="s">
        <v>227</v>
      </c>
      <c r="CL18" s="0" t="s">
        <v>227</v>
      </c>
      <c r="CM18" s="0" t="s">
        <v>5769</v>
      </c>
      <c r="CN18" s="0" t="s">
        <v>5769</v>
      </c>
      <c r="CO18" s="0" t="s">
        <v>227</v>
      </c>
      <c r="CP18" s="0" t="s">
        <v>227</v>
      </c>
      <c r="CQ18" s="0" t="s">
        <v>227</v>
      </c>
      <c r="CR18" s="0" t="s">
        <v>227</v>
      </c>
      <c r="CS18" s="0" t="s">
        <v>5698</v>
      </c>
      <c r="CT18" s="0" t="s">
        <v>5679</v>
      </c>
      <c r="CU18" s="0" t="s">
        <v>5680</v>
      </c>
      <c r="CV18" s="0" t="s">
        <v>430</v>
      </c>
      <c r="CW18" s="0" t="s">
        <v>5699</v>
      </c>
      <c r="CX18" s="0" t="s">
        <v>431</v>
      </c>
      <c r="CY18" s="0" t="s">
        <v>430</v>
      </c>
      <c r="CZ18" s="0" t="s">
        <v>432</v>
      </c>
      <c r="DA18" s="0" t="s">
        <v>433</v>
      </c>
      <c r="DB18" s="0" t="s">
        <v>5700</v>
      </c>
      <c r="DC18" s="0" t="s">
        <v>373</v>
      </c>
      <c r="DD18" s="0" t="s">
        <v>277</v>
      </c>
      <c r="DE18" s="0" t="s">
        <v>757</v>
      </c>
    </row>
    <row customHeight="1" ht="11.25">
      <c r="A19" s="1806" t="s">
        <v>227</v>
      </c>
      <c r="B19" s="0" t="s">
        <v>227</v>
      </c>
      <c r="C19" s="0" t="s">
        <v>227</v>
      </c>
      <c r="D19" s="0" t="s">
        <v>227</v>
      </c>
      <c r="E19" s="0" t="s">
        <v>227</v>
      </c>
      <c r="F19" s="0" t="s">
        <v>227</v>
      </c>
      <c r="G19" s="0" t="s">
        <v>227</v>
      </c>
      <c r="H19" s="0" t="s">
        <v>227</v>
      </c>
      <c r="I19" s="0" t="s">
        <v>5667</v>
      </c>
      <c r="J19" s="0" t="s">
        <v>227</v>
      </c>
      <c r="K19" s="0" t="s">
        <v>227</v>
      </c>
      <c r="L19" s="0" t="s">
        <v>227</v>
      </c>
      <c r="M19" s="0" t="s">
        <v>227</v>
      </c>
      <c r="N19" s="0" t="s">
        <v>227</v>
      </c>
      <c r="O19" s="0" t="s">
        <v>227</v>
      </c>
      <c r="P19" s="0" t="s">
        <v>227</v>
      </c>
      <c r="Q19" s="0" t="s">
        <v>227</v>
      </c>
      <c r="R19" s="0" t="s">
        <v>478</v>
      </c>
      <c r="S19" s="0" t="s">
        <v>227</v>
      </c>
      <c r="T19" s="0" t="s">
        <v>227</v>
      </c>
      <c r="U19" s="0" t="s">
        <v>102</v>
      </c>
      <c r="V19" s="0" t="s">
        <v>227</v>
      </c>
      <c r="W19" s="0" t="s">
        <v>227</v>
      </c>
      <c r="X19" s="0" t="s">
        <v>5683</v>
      </c>
      <c r="Y19" s="0" t="s">
        <v>227</v>
      </c>
      <c r="Z19" s="0" t="s">
        <v>152</v>
      </c>
      <c r="AA19" s="0" t="s">
        <v>152</v>
      </c>
      <c r="AB19" s="0" t="s">
        <v>161</v>
      </c>
      <c r="AC19" s="0" t="s">
        <v>354</v>
      </c>
      <c r="AD19" s="0" t="s">
        <v>354</v>
      </c>
      <c r="AE19" s="0" t="s">
        <v>355</v>
      </c>
      <c r="AF19" s="0" t="s">
        <v>5684</v>
      </c>
      <c r="AG19" s="0" t="s">
        <v>5685</v>
      </c>
      <c r="AH19" s="0" t="s">
        <v>5770</v>
      </c>
      <c r="AI19" s="0" t="s">
        <v>5692</v>
      </c>
      <c r="AJ19" s="0" t="s">
        <v>227</v>
      </c>
      <c r="AK19" s="0" t="s">
        <v>227</v>
      </c>
      <c r="AL19" s="0" t="s">
        <v>227</v>
      </c>
      <c r="AM19" s="0" t="s">
        <v>227</v>
      </c>
      <c r="AN19" s="0" t="s">
        <v>227</v>
      </c>
      <c r="AO19" s="0" t="s">
        <v>227</v>
      </c>
      <c r="AP19" s="0" t="s">
        <v>227</v>
      </c>
      <c r="AQ19" s="0" t="s">
        <v>227</v>
      </c>
      <c r="AR19" s="0" t="s">
        <v>227</v>
      </c>
      <c r="AS19" s="0" t="s">
        <v>227</v>
      </c>
      <c r="AT19" s="0" t="s">
        <v>227</v>
      </c>
      <c r="AU19" s="0" t="s">
        <v>227</v>
      </c>
      <c r="AV19" s="0" t="s">
        <v>227</v>
      </c>
      <c r="AW19" s="0" t="s">
        <v>227</v>
      </c>
      <c r="AX19" s="0" t="s">
        <v>227</v>
      </c>
      <c r="AY19" s="0" t="s">
        <v>227</v>
      </c>
      <c r="AZ19" s="0" t="s">
        <v>227</v>
      </c>
      <c r="BA19" s="0" t="s">
        <v>227</v>
      </c>
      <c r="BB19" s="0" t="s">
        <v>227</v>
      </c>
      <c r="BC19" s="0" t="s">
        <v>227</v>
      </c>
      <c r="BD19" s="0" t="s">
        <v>227</v>
      </c>
      <c r="BE19" s="0" t="s">
        <v>5771</v>
      </c>
      <c r="BF19" s="0" t="s">
        <v>5752</v>
      </c>
      <c r="BG19" s="0" t="s">
        <v>112</v>
      </c>
      <c r="BH19" s="0" t="s">
        <v>5690</v>
      </c>
      <c r="BI19" s="0" t="s">
        <v>5691</v>
      </c>
      <c r="BJ19" s="0" t="s">
        <v>227</v>
      </c>
      <c r="BK19" s="0" t="s">
        <v>5692</v>
      </c>
      <c r="BL19" s="0" t="s">
        <v>354</v>
      </c>
      <c r="BM19" s="0" t="s">
        <v>354</v>
      </c>
      <c r="BN19" s="0" t="s">
        <v>5693</v>
      </c>
      <c r="BO19" s="0" t="s">
        <v>5684</v>
      </c>
      <c r="BP19" s="0" t="s">
        <v>5694</v>
      </c>
      <c r="BQ19" s="0" t="s">
        <v>5692</v>
      </c>
      <c r="BR19" s="0" t="s">
        <v>5692</v>
      </c>
      <c r="BS19" s="0" t="s">
        <v>227</v>
      </c>
      <c r="BT19" s="0" t="s">
        <v>5695</v>
      </c>
      <c r="BU19" s="0" t="s">
        <v>5772</v>
      </c>
      <c r="BV19" s="0" t="s">
        <v>5772</v>
      </c>
      <c r="BW19" s="0" t="s">
        <v>5697</v>
      </c>
      <c r="BX19" s="0" t="s">
        <v>5697</v>
      </c>
      <c r="BY19" s="0" t="s">
        <v>5697</v>
      </c>
      <c r="BZ19" s="0" t="s">
        <v>5697</v>
      </c>
      <c r="CA19" s="0" t="s">
        <v>5697</v>
      </c>
      <c r="CB19" s="0" t="s">
        <v>227</v>
      </c>
      <c r="CC19" s="0" t="s">
        <v>227</v>
      </c>
      <c r="CD19" s="0" t="s">
        <v>227</v>
      </c>
      <c r="CE19" s="0" t="s">
        <v>227</v>
      </c>
      <c r="CF19" s="0" t="s">
        <v>227</v>
      </c>
      <c r="CG19" s="0" t="s">
        <v>5697</v>
      </c>
      <c r="CH19" s="0" t="s">
        <v>227</v>
      </c>
      <c r="CI19" s="0" t="s">
        <v>227</v>
      </c>
      <c r="CJ19" s="0" t="s">
        <v>227</v>
      </c>
      <c r="CK19" s="0" t="s">
        <v>227</v>
      </c>
      <c r="CL19" s="0" t="s">
        <v>227</v>
      </c>
      <c r="CM19" s="0" t="s">
        <v>5772</v>
      </c>
      <c r="CN19" s="0" t="s">
        <v>5772</v>
      </c>
      <c r="CO19" s="0" t="s">
        <v>227</v>
      </c>
      <c r="CP19" s="0" t="s">
        <v>227</v>
      </c>
      <c r="CQ19" s="0" t="s">
        <v>227</v>
      </c>
      <c r="CR19" s="0" t="s">
        <v>227</v>
      </c>
      <c r="CS19" s="0" t="s">
        <v>5773</v>
      </c>
      <c r="CT19" s="0" t="s">
        <v>5679</v>
      </c>
      <c r="CU19" s="0" t="s">
        <v>5680</v>
      </c>
      <c r="CV19" s="0" t="s">
        <v>430</v>
      </c>
      <c r="CW19" s="0" t="s">
        <v>5699</v>
      </c>
      <c r="CX19" s="0" t="s">
        <v>431</v>
      </c>
      <c r="CY19" s="0" t="s">
        <v>430</v>
      </c>
      <c r="CZ19" s="0" t="s">
        <v>432</v>
      </c>
      <c r="DA19" s="0" t="s">
        <v>433</v>
      </c>
      <c r="DB19" s="0" t="s">
        <v>5700</v>
      </c>
      <c r="DC19" s="0" t="s">
        <v>373</v>
      </c>
      <c r="DD19" s="0" t="s">
        <v>277</v>
      </c>
      <c r="DE19" s="0" t="s">
        <v>479</v>
      </c>
    </row>
    <row customHeight="1" ht="11.25">
      <c r="A20" s="1806" t="s">
        <v>227</v>
      </c>
      <c r="B20" s="0" t="s">
        <v>227</v>
      </c>
      <c r="C20" s="0" t="s">
        <v>227</v>
      </c>
      <c r="D20" s="0" t="s">
        <v>227</v>
      </c>
      <c r="E20" s="0" t="s">
        <v>227</v>
      </c>
      <c r="F20" s="0" t="s">
        <v>227</v>
      </c>
      <c r="G20" s="0" t="s">
        <v>227</v>
      </c>
      <c r="H20" s="0" t="s">
        <v>227</v>
      </c>
      <c r="I20" s="0" t="s">
        <v>5667</v>
      </c>
      <c r="J20" s="0" t="s">
        <v>227</v>
      </c>
      <c r="K20" s="0" t="s">
        <v>227</v>
      </c>
      <c r="L20" s="0" t="s">
        <v>227</v>
      </c>
      <c r="M20" s="0" t="s">
        <v>227</v>
      </c>
      <c r="N20" s="0" t="s">
        <v>227</v>
      </c>
      <c r="O20" s="0" t="s">
        <v>227</v>
      </c>
      <c r="P20" s="0" t="s">
        <v>227</v>
      </c>
      <c r="Q20" s="0" t="s">
        <v>227</v>
      </c>
      <c r="R20" s="0" t="s">
        <v>439</v>
      </c>
      <c r="S20" s="0" t="s">
        <v>227</v>
      </c>
      <c r="T20" s="0" t="s">
        <v>227</v>
      </c>
      <c r="U20" s="0" t="s">
        <v>102</v>
      </c>
      <c r="V20" s="0" t="s">
        <v>227</v>
      </c>
      <c r="W20" s="0" t="s">
        <v>227</v>
      </c>
      <c r="X20" s="0" t="s">
        <v>5774</v>
      </c>
      <c r="Y20" s="0" t="s">
        <v>227</v>
      </c>
      <c r="Z20" s="0" t="s">
        <v>161</v>
      </c>
      <c r="AA20" s="0" t="s">
        <v>161</v>
      </c>
      <c r="AB20" s="0" t="s">
        <v>161</v>
      </c>
      <c r="AC20" s="0" t="s">
        <v>352</v>
      </c>
      <c r="AD20" s="0" t="s">
        <v>352</v>
      </c>
      <c r="AE20" s="0" t="s">
        <v>353</v>
      </c>
      <c r="AF20" s="0" t="s">
        <v>5669</v>
      </c>
      <c r="AG20" s="0" t="s">
        <v>5670</v>
      </c>
      <c r="AH20" s="0" t="s">
        <v>5736</v>
      </c>
      <c r="AI20" s="0" t="s">
        <v>5692</v>
      </c>
      <c r="AJ20" s="0" t="s">
        <v>5775</v>
      </c>
      <c r="AK20" s="0" t="s">
        <v>5776</v>
      </c>
      <c r="AL20" s="0" t="s">
        <v>5777</v>
      </c>
      <c r="AM20" s="0" t="s">
        <v>5676</v>
      </c>
      <c r="AN20" s="0" t="s">
        <v>5778</v>
      </c>
      <c r="AO20" s="0" t="s">
        <v>5779</v>
      </c>
      <c r="AP20" s="0" t="s">
        <v>5775</v>
      </c>
      <c r="AQ20" s="0" t="s">
        <v>5776</v>
      </c>
      <c r="AR20" s="0" t="s">
        <v>227</v>
      </c>
      <c r="AS20" s="0" t="s">
        <v>227</v>
      </c>
      <c r="AT20" s="0" t="s">
        <v>227</v>
      </c>
      <c r="AU20" s="0" t="s">
        <v>227</v>
      </c>
      <c r="AV20" s="0" t="s">
        <v>227</v>
      </c>
      <c r="AW20" s="0" t="s">
        <v>227</v>
      </c>
      <c r="AX20" s="0" t="s">
        <v>227</v>
      </c>
      <c r="AY20" s="0" t="s">
        <v>227</v>
      </c>
      <c r="AZ20" s="0" t="s">
        <v>227</v>
      </c>
      <c r="BA20" s="0" t="s">
        <v>227</v>
      </c>
      <c r="BB20" s="0" t="s">
        <v>227</v>
      </c>
      <c r="BC20" s="0" t="s">
        <v>227</v>
      </c>
      <c r="BD20" s="0" t="s">
        <v>5778</v>
      </c>
      <c r="BE20" s="0" t="s">
        <v>5775</v>
      </c>
      <c r="BF20" s="0" t="s">
        <v>5780</v>
      </c>
      <c r="BG20" s="0" t="s">
        <v>227</v>
      </c>
      <c r="BH20" s="0" t="s">
        <v>227</v>
      </c>
      <c r="BI20" s="0" t="s">
        <v>227</v>
      </c>
      <c r="BJ20" s="0" t="s">
        <v>227</v>
      </c>
      <c r="BK20" s="0" t="s">
        <v>227</v>
      </c>
      <c r="BL20" s="0" t="s">
        <v>227</v>
      </c>
      <c r="BM20" s="0" t="s">
        <v>227</v>
      </c>
      <c r="BN20" s="0" t="s">
        <v>227</v>
      </c>
      <c r="BO20" s="0" t="s">
        <v>227</v>
      </c>
      <c r="BP20" s="0" t="s">
        <v>227</v>
      </c>
      <c r="BQ20" s="0" t="s">
        <v>227</v>
      </c>
      <c r="BR20" s="0" t="s">
        <v>227</v>
      </c>
      <c r="BS20" s="0" t="s">
        <v>227</v>
      </c>
      <c r="BT20" s="0" t="s">
        <v>5712</v>
      </c>
      <c r="BU20" s="0" t="s">
        <v>5781</v>
      </c>
      <c r="BV20" s="0" t="s">
        <v>5697</v>
      </c>
      <c r="BW20" s="0" t="s">
        <v>5697</v>
      </c>
      <c r="BX20" s="0" t="s">
        <v>5781</v>
      </c>
      <c r="BY20" s="0" t="s">
        <v>5697</v>
      </c>
      <c r="BZ20" s="0" t="s">
        <v>5697</v>
      </c>
      <c r="CA20" s="0" t="s">
        <v>5697</v>
      </c>
      <c r="CB20" s="0" t="s">
        <v>227</v>
      </c>
      <c r="CC20" s="0" t="s">
        <v>227</v>
      </c>
      <c r="CD20" s="0" t="s">
        <v>227</v>
      </c>
      <c r="CE20" s="0" t="s">
        <v>227</v>
      </c>
      <c r="CF20" s="0" t="s">
        <v>227</v>
      </c>
      <c r="CG20" s="0" t="s">
        <v>5697</v>
      </c>
      <c r="CH20" s="0" t="s">
        <v>227</v>
      </c>
      <c r="CI20" s="0" t="s">
        <v>227</v>
      </c>
      <c r="CJ20" s="0" t="s">
        <v>227</v>
      </c>
      <c r="CK20" s="0" t="s">
        <v>227</v>
      </c>
      <c r="CL20" s="0" t="s">
        <v>227</v>
      </c>
      <c r="CM20" s="0" t="s">
        <v>5781</v>
      </c>
      <c r="CN20" s="0" t="s">
        <v>227</v>
      </c>
      <c r="CO20" s="0" t="s">
        <v>227</v>
      </c>
      <c r="CP20" s="0" t="s">
        <v>5781</v>
      </c>
      <c r="CQ20" s="0" t="s">
        <v>227</v>
      </c>
      <c r="CR20" s="0" t="s">
        <v>227</v>
      </c>
      <c r="CS20" s="0" t="s">
        <v>5782</v>
      </c>
      <c r="CT20" s="0" t="s">
        <v>5679</v>
      </c>
      <c r="CU20" s="0" t="s">
        <v>5680</v>
      </c>
      <c r="CV20" s="0" t="s">
        <v>430</v>
      </c>
      <c r="CW20" s="0" t="s">
        <v>5681</v>
      </c>
      <c r="CX20" s="0" t="s">
        <v>431</v>
      </c>
      <c r="CY20" s="0" t="s">
        <v>430</v>
      </c>
      <c r="CZ20" s="0" t="s">
        <v>432</v>
      </c>
      <c r="DA20" s="0" t="s">
        <v>433</v>
      </c>
      <c r="DB20" s="0" t="s">
        <v>5682</v>
      </c>
      <c r="DC20" s="0" t="s">
        <v>373</v>
      </c>
      <c r="DD20" s="0" t="s">
        <v>277</v>
      </c>
      <c r="DE20" s="0" t="s">
        <v>440</v>
      </c>
    </row>
    <row customHeight="1" ht="11.25">
      <c r="A21" s="1806" t="s">
        <v>227</v>
      </c>
      <c r="B21" s="0" t="s">
        <v>227</v>
      </c>
      <c r="C21" s="0" t="s">
        <v>227</v>
      </c>
      <c r="D21" s="0" t="s">
        <v>227</v>
      </c>
      <c r="E21" s="0" t="s">
        <v>227</v>
      </c>
      <c r="F21" s="0" t="s">
        <v>227</v>
      </c>
      <c r="G21" s="0" t="s">
        <v>227</v>
      </c>
      <c r="H21" s="0" t="s">
        <v>227</v>
      </c>
      <c r="I21" s="0" t="s">
        <v>5667</v>
      </c>
      <c r="J21" s="0" t="s">
        <v>227</v>
      </c>
      <c r="K21" s="0" t="s">
        <v>227</v>
      </c>
      <c r="L21" s="0" t="s">
        <v>227</v>
      </c>
      <c r="M21" s="0" t="s">
        <v>227</v>
      </c>
      <c r="N21" s="0" t="s">
        <v>227</v>
      </c>
      <c r="O21" s="0" t="s">
        <v>227</v>
      </c>
      <c r="P21" s="0" t="s">
        <v>227</v>
      </c>
      <c r="Q21" s="0" t="s">
        <v>227</v>
      </c>
      <c r="R21" s="0" t="s">
        <v>472</v>
      </c>
      <c r="S21" s="0" t="s">
        <v>227</v>
      </c>
      <c r="T21" s="0" t="s">
        <v>227</v>
      </c>
      <c r="U21" s="0" t="s">
        <v>102</v>
      </c>
      <c r="V21" s="0" t="s">
        <v>227</v>
      </c>
      <c r="W21" s="0" t="s">
        <v>227</v>
      </c>
      <c r="X21" s="0" t="s">
        <v>5683</v>
      </c>
      <c r="Y21" s="0" t="s">
        <v>227</v>
      </c>
      <c r="Z21" s="0" t="s">
        <v>152</v>
      </c>
      <c r="AA21" s="0" t="s">
        <v>152</v>
      </c>
      <c r="AB21" s="0" t="s">
        <v>161</v>
      </c>
      <c r="AC21" s="0" t="s">
        <v>354</v>
      </c>
      <c r="AD21" s="0" t="s">
        <v>354</v>
      </c>
      <c r="AE21" s="0" t="s">
        <v>355</v>
      </c>
      <c r="AF21" s="0" t="s">
        <v>5684</v>
      </c>
      <c r="AG21" s="0" t="s">
        <v>5685</v>
      </c>
      <c r="AH21" s="0" t="s">
        <v>5736</v>
      </c>
      <c r="AI21" s="0" t="s">
        <v>5692</v>
      </c>
      <c r="AJ21" s="0" t="s">
        <v>227</v>
      </c>
      <c r="AK21" s="0" t="s">
        <v>227</v>
      </c>
      <c r="AL21" s="0" t="s">
        <v>227</v>
      </c>
      <c r="AM21" s="0" t="s">
        <v>227</v>
      </c>
      <c r="AN21" s="0" t="s">
        <v>227</v>
      </c>
      <c r="AO21" s="0" t="s">
        <v>227</v>
      </c>
      <c r="AP21" s="0" t="s">
        <v>227</v>
      </c>
      <c r="AQ21" s="0" t="s">
        <v>227</v>
      </c>
      <c r="AR21" s="0" t="s">
        <v>227</v>
      </c>
      <c r="AS21" s="0" t="s">
        <v>227</v>
      </c>
      <c r="AT21" s="0" t="s">
        <v>227</v>
      </c>
      <c r="AU21" s="0" t="s">
        <v>227</v>
      </c>
      <c r="AV21" s="0" t="s">
        <v>227</v>
      </c>
      <c r="AW21" s="0" t="s">
        <v>227</v>
      </c>
      <c r="AX21" s="0" t="s">
        <v>227</v>
      </c>
      <c r="AY21" s="0" t="s">
        <v>227</v>
      </c>
      <c r="AZ21" s="0" t="s">
        <v>227</v>
      </c>
      <c r="BA21" s="0" t="s">
        <v>227</v>
      </c>
      <c r="BB21" s="0" t="s">
        <v>227</v>
      </c>
      <c r="BC21" s="0" t="s">
        <v>227</v>
      </c>
      <c r="BD21" s="0" t="s">
        <v>227</v>
      </c>
      <c r="BE21" s="0" t="s">
        <v>5783</v>
      </c>
      <c r="BF21" s="0" t="s">
        <v>5784</v>
      </c>
      <c r="BG21" s="0" t="s">
        <v>112</v>
      </c>
      <c r="BH21" s="0" t="s">
        <v>5690</v>
      </c>
      <c r="BI21" s="0" t="s">
        <v>5691</v>
      </c>
      <c r="BJ21" s="0" t="s">
        <v>227</v>
      </c>
      <c r="BK21" s="0" t="s">
        <v>5785</v>
      </c>
      <c r="BL21" s="0" t="s">
        <v>352</v>
      </c>
      <c r="BM21" s="0" t="s">
        <v>352</v>
      </c>
      <c r="BN21" s="0" t="s">
        <v>5786</v>
      </c>
      <c r="BO21" s="0" t="s">
        <v>5669</v>
      </c>
      <c r="BP21" s="0" t="s">
        <v>5787</v>
      </c>
      <c r="BQ21" s="0" t="s">
        <v>5736</v>
      </c>
      <c r="BR21" s="0" t="s">
        <v>5692</v>
      </c>
      <c r="BS21" s="0" t="s">
        <v>227</v>
      </c>
      <c r="BT21" s="0" t="s">
        <v>5788</v>
      </c>
      <c r="BU21" s="0" t="s">
        <v>5789</v>
      </c>
      <c r="BV21" s="0" t="s">
        <v>5697</v>
      </c>
      <c r="BW21" s="0" t="s">
        <v>5697</v>
      </c>
      <c r="BX21" s="0" t="s">
        <v>5789</v>
      </c>
      <c r="BY21" s="0" t="s">
        <v>5697</v>
      </c>
      <c r="BZ21" s="0" t="s">
        <v>5697</v>
      </c>
      <c r="CA21" s="0" t="s">
        <v>5697</v>
      </c>
      <c r="CB21" s="0" t="s">
        <v>227</v>
      </c>
      <c r="CC21" s="0" t="s">
        <v>227</v>
      </c>
      <c r="CD21" s="0" t="s">
        <v>227</v>
      </c>
      <c r="CE21" s="0" t="s">
        <v>227</v>
      </c>
      <c r="CF21" s="0" t="s">
        <v>227</v>
      </c>
      <c r="CG21" s="0" t="s">
        <v>5697</v>
      </c>
      <c r="CH21" s="0" t="s">
        <v>227</v>
      </c>
      <c r="CI21" s="0" t="s">
        <v>227</v>
      </c>
      <c r="CJ21" s="0" t="s">
        <v>227</v>
      </c>
      <c r="CK21" s="0" t="s">
        <v>227</v>
      </c>
      <c r="CL21" s="0" t="s">
        <v>227</v>
      </c>
      <c r="CM21" s="0" t="s">
        <v>5789</v>
      </c>
      <c r="CN21" s="0" t="s">
        <v>227</v>
      </c>
      <c r="CO21" s="0" t="s">
        <v>227</v>
      </c>
      <c r="CP21" s="0" t="s">
        <v>5789</v>
      </c>
      <c r="CQ21" s="0" t="s">
        <v>227</v>
      </c>
      <c r="CR21" s="0" t="s">
        <v>227</v>
      </c>
      <c r="CS21" s="0" t="s">
        <v>5790</v>
      </c>
      <c r="CT21" s="0" t="s">
        <v>5679</v>
      </c>
      <c r="CU21" s="0" t="s">
        <v>5680</v>
      </c>
      <c r="CV21" s="0" t="s">
        <v>430</v>
      </c>
      <c r="CW21" s="0" t="s">
        <v>5681</v>
      </c>
      <c r="CX21" s="0" t="s">
        <v>431</v>
      </c>
      <c r="CY21" s="0" t="s">
        <v>430</v>
      </c>
      <c r="CZ21" s="0" t="s">
        <v>432</v>
      </c>
      <c r="DA21" s="0" t="s">
        <v>433</v>
      </c>
      <c r="DB21" s="0" t="s">
        <v>5682</v>
      </c>
      <c r="DC21" s="0" t="s">
        <v>373</v>
      </c>
      <c r="DD21" s="0" t="s">
        <v>277</v>
      </c>
      <c r="DE21" s="0" t="s">
        <v>473</v>
      </c>
    </row>
    <row customHeight="1" ht="11.25">
      <c r="A22" s="1806" t="s">
        <v>227</v>
      </c>
      <c r="B22" s="0" t="s">
        <v>227</v>
      </c>
      <c r="C22" s="0" t="s">
        <v>227</v>
      </c>
      <c r="D22" s="0" t="s">
        <v>227</v>
      </c>
      <c r="E22" s="0" t="s">
        <v>227</v>
      </c>
      <c r="F22" s="0" t="s">
        <v>227</v>
      </c>
      <c r="G22" s="0" t="s">
        <v>227</v>
      </c>
      <c r="H22" s="0" t="s">
        <v>227</v>
      </c>
      <c r="I22" s="0" t="s">
        <v>5667</v>
      </c>
      <c r="J22" s="0" t="s">
        <v>227</v>
      </c>
      <c r="K22" s="0" t="s">
        <v>227</v>
      </c>
      <c r="L22" s="0" t="s">
        <v>227</v>
      </c>
      <c r="M22" s="0" t="s">
        <v>227</v>
      </c>
      <c r="N22" s="0" t="s">
        <v>227</v>
      </c>
      <c r="O22" s="0" t="s">
        <v>227</v>
      </c>
      <c r="P22" s="0" t="s">
        <v>227</v>
      </c>
      <c r="Q22" s="0" t="s">
        <v>227</v>
      </c>
      <c r="R22" s="0" t="s">
        <v>788</v>
      </c>
      <c r="S22" s="0" t="s">
        <v>227</v>
      </c>
      <c r="T22" s="0" t="s">
        <v>227</v>
      </c>
      <c r="U22" s="0" t="s">
        <v>102</v>
      </c>
      <c r="V22" s="0" t="s">
        <v>227</v>
      </c>
      <c r="W22" s="0" t="s">
        <v>227</v>
      </c>
      <c r="X22" s="0" t="s">
        <v>5683</v>
      </c>
      <c r="Y22" s="0" t="s">
        <v>227</v>
      </c>
      <c r="Z22" s="0" t="s">
        <v>152</v>
      </c>
      <c r="AA22" s="0" t="s">
        <v>152</v>
      </c>
      <c r="AB22" s="0" t="s">
        <v>161</v>
      </c>
      <c r="AC22" s="0" t="s">
        <v>354</v>
      </c>
      <c r="AD22" s="0" t="s">
        <v>354</v>
      </c>
      <c r="AE22" s="0" t="s">
        <v>355</v>
      </c>
      <c r="AF22" s="0" t="s">
        <v>5701</v>
      </c>
      <c r="AG22" s="0" t="s">
        <v>5702</v>
      </c>
      <c r="AH22" s="0" t="s">
        <v>5703</v>
      </c>
      <c r="AI22" s="0" t="s">
        <v>523</v>
      </c>
      <c r="AJ22" s="0" t="s">
        <v>227</v>
      </c>
      <c r="AK22" s="0" t="s">
        <v>227</v>
      </c>
      <c r="AL22" s="0" t="s">
        <v>227</v>
      </c>
      <c r="AM22" s="0" t="s">
        <v>227</v>
      </c>
      <c r="AN22" s="0" t="s">
        <v>227</v>
      </c>
      <c r="AO22" s="0" t="s">
        <v>227</v>
      </c>
      <c r="AP22" s="0" t="s">
        <v>227</v>
      </c>
      <c r="AQ22" s="0" t="s">
        <v>227</v>
      </c>
      <c r="AR22" s="0" t="s">
        <v>227</v>
      </c>
      <c r="AS22" s="0" t="s">
        <v>227</v>
      </c>
      <c r="AT22" s="0" t="s">
        <v>227</v>
      </c>
      <c r="AU22" s="0" t="s">
        <v>227</v>
      </c>
      <c r="AV22" s="0" t="s">
        <v>227</v>
      </c>
      <c r="AW22" s="0" t="s">
        <v>227</v>
      </c>
      <c r="AX22" s="0" t="s">
        <v>227</v>
      </c>
      <c r="AY22" s="0" t="s">
        <v>227</v>
      </c>
      <c r="AZ22" s="0" t="s">
        <v>227</v>
      </c>
      <c r="BA22" s="0" t="s">
        <v>227</v>
      </c>
      <c r="BB22" s="0" t="s">
        <v>227</v>
      </c>
      <c r="BC22" s="0" t="s">
        <v>227</v>
      </c>
      <c r="BD22" s="0" t="s">
        <v>227</v>
      </c>
      <c r="BE22" s="0" t="s">
        <v>5761</v>
      </c>
      <c r="BF22" s="0" t="s">
        <v>5791</v>
      </c>
      <c r="BG22" s="0" t="s">
        <v>112</v>
      </c>
      <c r="BH22" s="0" t="s">
        <v>5690</v>
      </c>
      <c r="BI22" s="0" t="s">
        <v>5691</v>
      </c>
      <c r="BJ22" s="0" t="s">
        <v>227</v>
      </c>
      <c r="BK22" s="0" t="s">
        <v>952</v>
      </c>
      <c r="BL22" s="0" t="s">
        <v>354</v>
      </c>
      <c r="BM22" s="0" t="s">
        <v>354</v>
      </c>
      <c r="BN22" s="0" t="s">
        <v>5693</v>
      </c>
      <c r="BO22" s="0" t="s">
        <v>5701</v>
      </c>
      <c r="BP22" s="0" t="s">
        <v>5706</v>
      </c>
      <c r="BQ22" s="0" t="s">
        <v>5707</v>
      </c>
      <c r="BR22" s="0" t="s">
        <v>5708</v>
      </c>
      <c r="BS22" s="0" t="s">
        <v>227</v>
      </c>
      <c r="BT22" s="0" t="s">
        <v>5709</v>
      </c>
      <c r="BU22" s="0" t="s">
        <v>5792</v>
      </c>
      <c r="BV22" s="0" t="s">
        <v>5792</v>
      </c>
      <c r="BW22" s="0" t="s">
        <v>5697</v>
      </c>
      <c r="BX22" s="0" t="s">
        <v>5697</v>
      </c>
      <c r="BY22" s="0" t="s">
        <v>5697</v>
      </c>
      <c r="BZ22" s="0" t="s">
        <v>5697</v>
      </c>
      <c r="CA22" s="0" t="s">
        <v>5697</v>
      </c>
      <c r="CB22" s="0" t="s">
        <v>227</v>
      </c>
      <c r="CC22" s="0" t="s">
        <v>227</v>
      </c>
      <c r="CD22" s="0" t="s">
        <v>227</v>
      </c>
      <c r="CE22" s="0" t="s">
        <v>227</v>
      </c>
      <c r="CF22" s="0" t="s">
        <v>227</v>
      </c>
      <c r="CG22" s="0" t="s">
        <v>5697</v>
      </c>
      <c r="CH22" s="0" t="s">
        <v>227</v>
      </c>
      <c r="CI22" s="0" t="s">
        <v>227</v>
      </c>
      <c r="CJ22" s="0" t="s">
        <v>227</v>
      </c>
      <c r="CK22" s="0" t="s">
        <v>227</v>
      </c>
      <c r="CL22" s="0" t="s">
        <v>227</v>
      </c>
      <c r="CM22" s="0" t="s">
        <v>5792</v>
      </c>
      <c r="CN22" s="0" t="s">
        <v>5792</v>
      </c>
      <c r="CO22" s="0" t="s">
        <v>227</v>
      </c>
      <c r="CP22" s="0" t="s">
        <v>227</v>
      </c>
      <c r="CQ22" s="0" t="s">
        <v>227</v>
      </c>
      <c r="CR22" s="0" t="s">
        <v>227</v>
      </c>
      <c r="CS22" s="0" t="s">
        <v>5714</v>
      </c>
      <c r="CT22" s="0" t="s">
        <v>5679</v>
      </c>
      <c r="CU22" s="0" t="s">
        <v>5680</v>
      </c>
      <c r="CV22" s="0" t="s">
        <v>430</v>
      </c>
      <c r="CW22" s="0" t="s">
        <v>5699</v>
      </c>
      <c r="CX22" s="0" t="s">
        <v>431</v>
      </c>
      <c r="CY22" s="0" t="s">
        <v>430</v>
      </c>
      <c r="CZ22" s="0" t="s">
        <v>432</v>
      </c>
      <c r="DA22" s="0" t="s">
        <v>433</v>
      </c>
      <c r="DB22" s="0" t="s">
        <v>5700</v>
      </c>
      <c r="DC22" s="0" t="s">
        <v>373</v>
      </c>
      <c r="DD22" s="0" t="s">
        <v>277</v>
      </c>
      <c r="DE22" s="0" t="s">
        <v>789</v>
      </c>
    </row>
    <row customHeight="1" ht="11.25">
      <c r="A23" s="1806" t="s">
        <v>227</v>
      </c>
      <c r="B23" s="0" t="s">
        <v>227</v>
      </c>
      <c r="C23" s="0" t="s">
        <v>227</v>
      </c>
      <c r="D23" s="0" t="s">
        <v>227</v>
      </c>
      <c r="E23" s="0" t="s">
        <v>227</v>
      </c>
      <c r="F23" s="0" t="s">
        <v>227</v>
      </c>
      <c r="G23" s="0" t="s">
        <v>227</v>
      </c>
      <c r="H23" s="0" t="s">
        <v>227</v>
      </c>
      <c r="I23" s="0" t="s">
        <v>5667</v>
      </c>
      <c r="J23" s="0" t="s">
        <v>227</v>
      </c>
      <c r="K23" s="0" t="s">
        <v>227</v>
      </c>
      <c r="L23" s="0" t="s">
        <v>227</v>
      </c>
      <c r="M23" s="0" t="s">
        <v>227</v>
      </c>
      <c r="N23" s="0" t="s">
        <v>227</v>
      </c>
      <c r="O23" s="0" t="s">
        <v>227</v>
      </c>
      <c r="P23" s="0" t="s">
        <v>227</v>
      </c>
      <c r="Q23" s="0" t="s">
        <v>227</v>
      </c>
      <c r="R23" s="0" t="s">
        <v>830</v>
      </c>
      <c r="S23" s="0" t="s">
        <v>227</v>
      </c>
      <c r="T23" s="0" t="s">
        <v>227</v>
      </c>
      <c r="U23" s="0" t="s">
        <v>102</v>
      </c>
      <c r="V23" s="0" t="s">
        <v>227</v>
      </c>
      <c r="W23" s="0" t="s">
        <v>227</v>
      </c>
      <c r="X23" s="0" t="s">
        <v>5683</v>
      </c>
      <c r="Y23" s="0" t="s">
        <v>227</v>
      </c>
      <c r="Z23" s="0" t="s">
        <v>152</v>
      </c>
      <c r="AA23" s="0" t="s">
        <v>152</v>
      </c>
      <c r="AB23" s="0" t="s">
        <v>161</v>
      </c>
      <c r="AC23" s="0" t="s">
        <v>354</v>
      </c>
      <c r="AD23" s="0" t="s">
        <v>354</v>
      </c>
      <c r="AE23" s="0" t="s">
        <v>355</v>
      </c>
      <c r="AF23" s="0" t="s">
        <v>5701</v>
      </c>
      <c r="AG23" s="0" t="s">
        <v>5702</v>
      </c>
      <c r="AH23" s="0" t="s">
        <v>5793</v>
      </c>
      <c r="AI23" s="0" t="s">
        <v>5794</v>
      </c>
      <c r="AJ23" s="0" t="s">
        <v>227</v>
      </c>
      <c r="AK23" s="0" t="s">
        <v>227</v>
      </c>
      <c r="AL23" s="0" t="s">
        <v>227</v>
      </c>
      <c r="AM23" s="0" t="s">
        <v>227</v>
      </c>
      <c r="AN23" s="0" t="s">
        <v>227</v>
      </c>
      <c r="AO23" s="0" t="s">
        <v>227</v>
      </c>
      <c r="AP23" s="0" t="s">
        <v>227</v>
      </c>
      <c r="AQ23" s="0" t="s">
        <v>227</v>
      </c>
      <c r="AR23" s="0" t="s">
        <v>227</v>
      </c>
      <c r="AS23" s="0" t="s">
        <v>227</v>
      </c>
      <c r="AT23" s="0" t="s">
        <v>227</v>
      </c>
      <c r="AU23" s="0" t="s">
        <v>227</v>
      </c>
      <c r="AV23" s="0" t="s">
        <v>227</v>
      </c>
      <c r="AW23" s="0" t="s">
        <v>227</v>
      </c>
      <c r="AX23" s="0" t="s">
        <v>227</v>
      </c>
      <c r="AY23" s="0" t="s">
        <v>227</v>
      </c>
      <c r="AZ23" s="0" t="s">
        <v>227</v>
      </c>
      <c r="BA23" s="0" t="s">
        <v>227</v>
      </c>
      <c r="BB23" s="0" t="s">
        <v>227</v>
      </c>
      <c r="BC23" s="0" t="s">
        <v>227</v>
      </c>
      <c r="BD23" s="0" t="s">
        <v>227</v>
      </c>
      <c r="BE23" s="0" t="s">
        <v>5688</v>
      </c>
      <c r="BF23" s="0" t="s">
        <v>5795</v>
      </c>
      <c r="BG23" s="0" t="s">
        <v>112</v>
      </c>
      <c r="BH23" s="0" t="s">
        <v>5690</v>
      </c>
      <c r="BI23" s="0" t="s">
        <v>5691</v>
      </c>
      <c r="BJ23" s="0" t="s">
        <v>227</v>
      </c>
      <c r="BK23" s="0" t="s">
        <v>952</v>
      </c>
      <c r="BL23" s="0" t="s">
        <v>354</v>
      </c>
      <c r="BM23" s="0" t="s">
        <v>354</v>
      </c>
      <c r="BN23" s="0" t="s">
        <v>5693</v>
      </c>
      <c r="BO23" s="0" t="s">
        <v>5701</v>
      </c>
      <c r="BP23" s="0" t="s">
        <v>5706</v>
      </c>
      <c r="BQ23" s="0" t="s">
        <v>5707</v>
      </c>
      <c r="BR23" s="0" t="s">
        <v>5708</v>
      </c>
      <c r="BS23" s="0" t="s">
        <v>227</v>
      </c>
      <c r="BT23" s="0" t="s">
        <v>5695</v>
      </c>
      <c r="BU23" s="0" t="s">
        <v>5796</v>
      </c>
      <c r="BV23" s="0" t="s">
        <v>5796</v>
      </c>
      <c r="BW23" s="0" t="s">
        <v>5697</v>
      </c>
      <c r="BX23" s="0" t="s">
        <v>5697</v>
      </c>
      <c r="BY23" s="0" t="s">
        <v>5697</v>
      </c>
      <c r="BZ23" s="0" t="s">
        <v>5697</v>
      </c>
      <c r="CA23" s="0" t="s">
        <v>5697</v>
      </c>
      <c r="CB23" s="0" t="s">
        <v>227</v>
      </c>
      <c r="CC23" s="0" t="s">
        <v>227</v>
      </c>
      <c r="CD23" s="0" t="s">
        <v>227</v>
      </c>
      <c r="CE23" s="0" t="s">
        <v>227</v>
      </c>
      <c r="CF23" s="0" t="s">
        <v>227</v>
      </c>
      <c r="CG23" s="0" t="s">
        <v>5697</v>
      </c>
      <c r="CH23" s="0" t="s">
        <v>227</v>
      </c>
      <c r="CI23" s="0" t="s">
        <v>227</v>
      </c>
      <c r="CJ23" s="0" t="s">
        <v>227</v>
      </c>
      <c r="CK23" s="0" t="s">
        <v>227</v>
      </c>
      <c r="CL23" s="0" t="s">
        <v>227</v>
      </c>
      <c r="CM23" s="0" t="s">
        <v>5796</v>
      </c>
      <c r="CN23" s="0" t="s">
        <v>5796</v>
      </c>
      <c r="CO23" s="0" t="s">
        <v>227</v>
      </c>
      <c r="CP23" s="0" t="s">
        <v>227</v>
      </c>
      <c r="CQ23" s="0" t="s">
        <v>227</v>
      </c>
      <c r="CR23" s="0" t="s">
        <v>227</v>
      </c>
      <c r="CS23" s="0" t="s">
        <v>5773</v>
      </c>
      <c r="CT23" s="0" t="s">
        <v>5679</v>
      </c>
      <c r="CU23" s="0" t="s">
        <v>5680</v>
      </c>
      <c r="CV23" s="0" t="s">
        <v>430</v>
      </c>
      <c r="CW23" s="0" t="s">
        <v>5699</v>
      </c>
      <c r="CX23" s="0" t="s">
        <v>431</v>
      </c>
      <c r="CY23" s="0" t="s">
        <v>430</v>
      </c>
      <c r="CZ23" s="0" t="s">
        <v>432</v>
      </c>
      <c r="DA23" s="0" t="s">
        <v>433</v>
      </c>
      <c r="DB23" s="0" t="s">
        <v>5700</v>
      </c>
      <c r="DC23" s="0" t="s">
        <v>373</v>
      </c>
      <c r="DD23" s="0" t="s">
        <v>277</v>
      </c>
      <c r="DE23" s="0" t="s">
        <v>831</v>
      </c>
    </row>
    <row customHeight="1" ht="11.25">
      <c r="A24" s="1806" t="s">
        <v>227</v>
      </c>
      <c r="B24" s="0" t="s">
        <v>227</v>
      </c>
      <c r="C24" s="0" t="s">
        <v>227</v>
      </c>
      <c r="D24" s="0" t="s">
        <v>227</v>
      </c>
      <c r="E24" s="0" t="s">
        <v>227</v>
      </c>
      <c r="F24" s="0" t="s">
        <v>227</v>
      </c>
      <c r="G24" s="0" t="s">
        <v>227</v>
      </c>
      <c r="H24" s="0" t="s">
        <v>227</v>
      </c>
      <c r="I24" s="0" t="s">
        <v>5667</v>
      </c>
      <c r="J24" s="0" t="s">
        <v>227</v>
      </c>
      <c r="K24" s="0" t="s">
        <v>227</v>
      </c>
      <c r="L24" s="0" t="s">
        <v>227</v>
      </c>
      <c r="M24" s="0" t="s">
        <v>227</v>
      </c>
      <c r="N24" s="0" t="s">
        <v>227</v>
      </c>
      <c r="O24" s="0" t="s">
        <v>227</v>
      </c>
      <c r="P24" s="0" t="s">
        <v>227</v>
      </c>
      <c r="Q24" s="0" t="s">
        <v>227</v>
      </c>
      <c r="R24" s="0" t="s">
        <v>952</v>
      </c>
      <c r="S24" s="0" t="s">
        <v>227</v>
      </c>
      <c r="T24" s="0" t="s">
        <v>227</v>
      </c>
      <c r="U24" s="0" t="s">
        <v>102</v>
      </c>
      <c r="V24" s="0" t="s">
        <v>227</v>
      </c>
      <c r="W24" s="0" t="s">
        <v>227</v>
      </c>
      <c r="X24" s="0" t="s">
        <v>5668</v>
      </c>
      <c r="Y24" s="0" t="s">
        <v>227</v>
      </c>
      <c r="Z24" s="0" t="s">
        <v>161</v>
      </c>
      <c r="AA24" s="0" t="s">
        <v>152</v>
      </c>
      <c r="AB24" s="0" t="s">
        <v>152</v>
      </c>
      <c r="AC24" s="0" t="s">
        <v>354</v>
      </c>
      <c r="AD24" s="0" t="s">
        <v>354</v>
      </c>
      <c r="AE24" s="0" t="s">
        <v>355</v>
      </c>
      <c r="AF24" s="0" t="s">
        <v>5701</v>
      </c>
      <c r="AG24" s="0" t="s">
        <v>5702</v>
      </c>
      <c r="AH24" s="0" t="s">
        <v>5707</v>
      </c>
      <c r="AI24" s="0" t="s">
        <v>5708</v>
      </c>
      <c r="AJ24" s="0" t="s">
        <v>5797</v>
      </c>
      <c r="AK24" s="0" t="s">
        <v>5798</v>
      </c>
      <c r="AL24" s="0" t="s">
        <v>5675</v>
      </c>
      <c r="AM24" s="0" t="s">
        <v>5676</v>
      </c>
      <c r="AN24" s="0" t="s">
        <v>5799</v>
      </c>
      <c r="AO24" s="0" t="s">
        <v>5800</v>
      </c>
      <c r="AP24" s="0" t="s">
        <v>227</v>
      </c>
      <c r="AQ24" s="0" t="s">
        <v>227</v>
      </c>
      <c r="AR24" s="0" t="s">
        <v>227</v>
      </c>
      <c r="AS24" s="0" t="s">
        <v>227</v>
      </c>
      <c r="AT24" s="0" t="s">
        <v>227</v>
      </c>
      <c r="AU24" s="0" t="s">
        <v>227</v>
      </c>
      <c r="AV24" s="0" t="s">
        <v>227</v>
      </c>
      <c r="AW24" s="0" t="s">
        <v>227</v>
      </c>
      <c r="AX24" s="0" t="s">
        <v>227</v>
      </c>
      <c r="AY24" s="0" t="s">
        <v>227</v>
      </c>
      <c r="AZ24" s="0" t="s">
        <v>227</v>
      </c>
      <c r="BA24" s="0" t="s">
        <v>227</v>
      </c>
      <c r="BB24" s="0" t="s">
        <v>227</v>
      </c>
      <c r="BC24" s="0" t="s">
        <v>227</v>
      </c>
      <c r="BD24" s="0" t="s">
        <v>227</v>
      </c>
      <c r="BE24" s="0" t="s">
        <v>227</v>
      </c>
      <c r="BF24" s="0" t="s">
        <v>227</v>
      </c>
      <c r="BG24" s="0" t="s">
        <v>227</v>
      </c>
      <c r="BH24" s="0" t="s">
        <v>227</v>
      </c>
      <c r="BI24" s="0" t="s">
        <v>227</v>
      </c>
      <c r="BJ24" s="0" t="s">
        <v>227</v>
      </c>
      <c r="BK24" s="0" t="s">
        <v>227</v>
      </c>
      <c r="BL24" s="0" t="s">
        <v>227</v>
      </c>
      <c r="BM24" s="0" t="s">
        <v>227</v>
      </c>
      <c r="BN24" s="0" t="s">
        <v>227</v>
      </c>
      <c r="BO24" s="0" t="s">
        <v>227</v>
      </c>
      <c r="BP24" s="0" t="s">
        <v>227</v>
      </c>
      <c r="BQ24" s="0" t="s">
        <v>227</v>
      </c>
      <c r="BR24" s="0" t="s">
        <v>227</v>
      </c>
      <c r="BS24" s="0" t="s">
        <v>227</v>
      </c>
      <c r="BT24" s="0" t="s">
        <v>227</v>
      </c>
      <c r="BU24" s="0" t="s">
        <v>227</v>
      </c>
      <c r="BV24" s="0" t="s">
        <v>227</v>
      </c>
      <c r="BW24" s="0" t="s">
        <v>227</v>
      </c>
      <c r="BX24" s="0" t="s">
        <v>227</v>
      </c>
      <c r="BY24" s="0" t="s">
        <v>227</v>
      </c>
      <c r="BZ24" s="0" t="s">
        <v>227</v>
      </c>
      <c r="CA24" s="0" t="s">
        <v>227</v>
      </c>
      <c r="CB24" s="0" t="s">
        <v>227</v>
      </c>
      <c r="CC24" s="0" t="s">
        <v>227</v>
      </c>
      <c r="CD24" s="0" t="s">
        <v>227</v>
      </c>
      <c r="CE24" s="0" t="s">
        <v>227</v>
      </c>
      <c r="CF24" s="0" t="s">
        <v>227</v>
      </c>
      <c r="CG24" s="0" t="s">
        <v>227</v>
      </c>
      <c r="CH24" s="0" t="s">
        <v>227</v>
      </c>
      <c r="CI24" s="0" t="s">
        <v>227</v>
      </c>
      <c r="CJ24" s="0" t="s">
        <v>227</v>
      </c>
      <c r="CK24" s="0" t="s">
        <v>227</v>
      </c>
      <c r="CL24" s="0" t="s">
        <v>227</v>
      </c>
      <c r="CM24" s="0" t="s">
        <v>227</v>
      </c>
      <c r="CN24" s="0" t="s">
        <v>227</v>
      </c>
      <c r="CO24" s="0" t="s">
        <v>227</v>
      </c>
      <c r="CP24" s="0" t="s">
        <v>227</v>
      </c>
      <c r="CQ24" s="0" t="s">
        <v>227</v>
      </c>
      <c r="CR24" s="0" t="s">
        <v>227</v>
      </c>
      <c r="CS24" s="0" t="s">
        <v>227</v>
      </c>
      <c r="CT24" s="0" t="s">
        <v>5679</v>
      </c>
      <c r="CU24" s="0" t="s">
        <v>5680</v>
      </c>
      <c r="CV24" s="0" t="s">
        <v>430</v>
      </c>
      <c r="CW24" s="0" t="s">
        <v>5699</v>
      </c>
      <c r="CX24" s="0" t="s">
        <v>431</v>
      </c>
      <c r="CY24" s="0" t="s">
        <v>430</v>
      </c>
      <c r="CZ24" s="0" t="s">
        <v>432</v>
      </c>
      <c r="DA24" s="0" t="s">
        <v>433</v>
      </c>
      <c r="DB24" s="0" t="s">
        <v>5700</v>
      </c>
      <c r="DC24" s="0" t="s">
        <v>373</v>
      </c>
      <c r="DD24" s="0" t="s">
        <v>277</v>
      </c>
      <c r="DE24" s="0" t="s">
        <v>953</v>
      </c>
    </row>
    <row customHeight="1" ht="11.25">
      <c r="A25" s="1806" t="s">
        <v>227</v>
      </c>
      <c r="B25" s="0" t="s">
        <v>227</v>
      </c>
      <c r="C25" s="0" t="s">
        <v>227</v>
      </c>
      <c r="D25" s="0" t="s">
        <v>227</v>
      </c>
      <c r="E25" s="0" t="s">
        <v>227</v>
      </c>
      <c r="F25" s="0" t="s">
        <v>227</v>
      </c>
      <c r="G25" s="0" t="s">
        <v>227</v>
      </c>
      <c r="H25" s="0" t="s">
        <v>227</v>
      </c>
      <c r="I25" s="0" t="s">
        <v>5667</v>
      </c>
      <c r="J25" s="0" t="s">
        <v>227</v>
      </c>
      <c r="K25" s="0" t="s">
        <v>227</v>
      </c>
      <c r="L25" s="0" t="s">
        <v>227</v>
      </c>
      <c r="M25" s="0" t="s">
        <v>227</v>
      </c>
      <c r="N25" s="0" t="s">
        <v>227</v>
      </c>
      <c r="O25" s="0" t="s">
        <v>227</v>
      </c>
      <c r="P25" s="0" t="s">
        <v>227</v>
      </c>
      <c r="Q25" s="0" t="s">
        <v>227</v>
      </c>
      <c r="R25" s="0" t="s">
        <v>651</v>
      </c>
      <c r="S25" s="0" t="s">
        <v>227</v>
      </c>
      <c r="T25" s="0" t="s">
        <v>227</v>
      </c>
      <c r="U25" s="0" t="s">
        <v>102</v>
      </c>
      <c r="V25" s="0" t="s">
        <v>227</v>
      </c>
      <c r="W25" s="0" t="s">
        <v>227</v>
      </c>
      <c r="X25" s="0" t="s">
        <v>5683</v>
      </c>
      <c r="Y25" s="0" t="s">
        <v>227</v>
      </c>
      <c r="Z25" s="0" t="s">
        <v>152</v>
      </c>
      <c r="AA25" s="0" t="s">
        <v>152</v>
      </c>
      <c r="AB25" s="0" t="s">
        <v>161</v>
      </c>
      <c r="AC25" s="0" t="s">
        <v>354</v>
      </c>
      <c r="AD25" s="0" t="s">
        <v>354</v>
      </c>
      <c r="AE25" s="0" t="s">
        <v>355</v>
      </c>
      <c r="AF25" s="0" t="s">
        <v>5701</v>
      </c>
      <c r="AG25" s="0" t="s">
        <v>5702</v>
      </c>
      <c r="AH25" s="0" t="s">
        <v>5715</v>
      </c>
      <c r="AI25" s="0" t="s">
        <v>5801</v>
      </c>
      <c r="AJ25" s="0" t="s">
        <v>227</v>
      </c>
      <c r="AK25" s="0" t="s">
        <v>227</v>
      </c>
      <c r="AL25" s="0" t="s">
        <v>227</v>
      </c>
      <c r="AM25" s="0" t="s">
        <v>227</v>
      </c>
      <c r="AN25" s="0" t="s">
        <v>227</v>
      </c>
      <c r="AO25" s="0" t="s">
        <v>227</v>
      </c>
      <c r="AP25" s="0" t="s">
        <v>227</v>
      </c>
      <c r="AQ25" s="0" t="s">
        <v>227</v>
      </c>
      <c r="AR25" s="0" t="s">
        <v>227</v>
      </c>
      <c r="AS25" s="0" t="s">
        <v>227</v>
      </c>
      <c r="AT25" s="0" t="s">
        <v>227</v>
      </c>
      <c r="AU25" s="0" t="s">
        <v>227</v>
      </c>
      <c r="AV25" s="0" t="s">
        <v>227</v>
      </c>
      <c r="AW25" s="0" t="s">
        <v>227</v>
      </c>
      <c r="AX25" s="0" t="s">
        <v>227</v>
      </c>
      <c r="AY25" s="0" t="s">
        <v>227</v>
      </c>
      <c r="AZ25" s="0" t="s">
        <v>227</v>
      </c>
      <c r="BA25" s="0" t="s">
        <v>227</v>
      </c>
      <c r="BB25" s="0" t="s">
        <v>227</v>
      </c>
      <c r="BC25" s="0" t="s">
        <v>227</v>
      </c>
      <c r="BD25" s="0" t="s">
        <v>227</v>
      </c>
      <c r="BE25" s="0" t="s">
        <v>5688</v>
      </c>
      <c r="BF25" s="0" t="s">
        <v>5768</v>
      </c>
      <c r="BG25" s="0" t="s">
        <v>112</v>
      </c>
      <c r="BH25" s="0" t="s">
        <v>5690</v>
      </c>
      <c r="BI25" s="0" t="s">
        <v>5691</v>
      </c>
      <c r="BJ25" s="0" t="s">
        <v>227</v>
      </c>
      <c r="BK25" s="0" t="s">
        <v>952</v>
      </c>
      <c r="BL25" s="0" t="s">
        <v>354</v>
      </c>
      <c r="BM25" s="0" t="s">
        <v>354</v>
      </c>
      <c r="BN25" s="0" t="s">
        <v>5693</v>
      </c>
      <c r="BO25" s="0" t="s">
        <v>5701</v>
      </c>
      <c r="BP25" s="0" t="s">
        <v>5706</v>
      </c>
      <c r="BQ25" s="0" t="s">
        <v>5707</v>
      </c>
      <c r="BR25" s="0" t="s">
        <v>5708</v>
      </c>
      <c r="BS25" s="0" t="s">
        <v>227</v>
      </c>
      <c r="BT25" s="0" t="s">
        <v>5695</v>
      </c>
      <c r="BU25" s="0" t="s">
        <v>5802</v>
      </c>
      <c r="BV25" s="0" t="s">
        <v>5802</v>
      </c>
      <c r="BW25" s="0" t="s">
        <v>5697</v>
      </c>
      <c r="BX25" s="0" t="s">
        <v>5697</v>
      </c>
      <c r="BY25" s="0" t="s">
        <v>5697</v>
      </c>
      <c r="BZ25" s="0" t="s">
        <v>5697</v>
      </c>
      <c r="CA25" s="0" t="s">
        <v>5697</v>
      </c>
      <c r="CB25" s="0" t="s">
        <v>227</v>
      </c>
      <c r="CC25" s="0" t="s">
        <v>227</v>
      </c>
      <c r="CD25" s="0" t="s">
        <v>227</v>
      </c>
      <c r="CE25" s="0" t="s">
        <v>227</v>
      </c>
      <c r="CF25" s="0" t="s">
        <v>227</v>
      </c>
      <c r="CG25" s="0" t="s">
        <v>5697</v>
      </c>
      <c r="CH25" s="0" t="s">
        <v>227</v>
      </c>
      <c r="CI25" s="0" t="s">
        <v>227</v>
      </c>
      <c r="CJ25" s="0" t="s">
        <v>227</v>
      </c>
      <c r="CK25" s="0" t="s">
        <v>227</v>
      </c>
      <c r="CL25" s="0" t="s">
        <v>227</v>
      </c>
      <c r="CM25" s="0" t="s">
        <v>5802</v>
      </c>
      <c r="CN25" s="0" t="s">
        <v>5802</v>
      </c>
      <c r="CO25" s="0" t="s">
        <v>227</v>
      </c>
      <c r="CP25" s="0" t="s">
        <v>227</v>
      </c>
      <c r="CQ25" s="0" t="s">
        <v>227</v>
      </c>
      <c r="CR25" s="0" t="s">
        <v>227</v>
      </c>
      <c r="CS25" s="0" t="s">
        <v>5733</v>
      </c>
      <c r="CT25" s="0" t="s">
        <v>5679</v>
      </c>
      <c r="CU25" s="0" t="s">
        <v>5680</v>
      </c>
      <c r="CV25" s="0" t="s">
        <v>430</v>
      </c>
      <c r="CW25" s="0" t="s">
        <v>5699</v>
      </c>
      <c r="CX25" s="0" t="s">
        <v>431</v>
      </c>
      <c r="CY25" s="0" t="s">
        <v>430</v>
      </c>
      <c r="CZ25" s="0" t="s">
        <v>432</v>
      </c>
      <c r="DA25" s="0" t="s">
        <v>433</v>
      </c>
      <c r="DB25" s="0" t="s">
        <v>5700</v>
      </c>
      <c r="DC25" s="0" t="s">
        <v>373</v>
      </c>
      <c r="DD25" s="0" t="s">
        <v>277</v>
      </c>
      <c r="DE25" s="0" t="s">
        <v>896</v>
      </c>
    </row>
    <row customHeight="1" ht="11.25">
      <c r="A26" s="1806" t="s">
        <v>227</v>
      </c>
      <c r="B26" s="0" t="s">
        <v>227</v>
      </c>
      <c r="C26" s="0" t="s">
        <v>227</v>
      </c>
      <c r="D26" s="0" t="s">
        <v>227</v>
      </c>
      <c r="E26" s="0" t="s">
        <v>227</v>
      </c>
      <c r="F26" s="0" t="s">
        <v>227</v>
      </c>
      <c r="G26" s="0" t="s">
        <v>227</v>
      </c>
      <c r="H26" s="0" t="s">
        <v>227</v>
      </c>
      <c r="I26" s="0" t="s">
        <v>5667</v>
      </c>
      <c r="J26" s="0" t="s">
        <v>227</v>
      </c>
      <c r="K26" s="0" t="s">
        <v>227</v>
      </c>
      <c r="L26" s="0" t="s">
        <v>227</v>
      </c>
      <c r="M26" s="0" t="s">
        <v>227</v>
      </c>
      <c r="N26" s="0" t="s">
        <v>227</v>
      </c>
      <c r="O26" s="0" t="s">
        <v>227</v>
      </c>
      <c r="P26" s="0" t="s">
        <v>227</v>
      </c>
      <c r="Q26" s="0" t="s">
        <v>227</v>
      </c>
      <c r="R26" s="0" t="s">
        <v>809</v>
      </c>
      <c r="S26" s="0" t="s">
        <v>227</v>
      </c>
      <c r="T26" s="0" t="s">
        <v>227</v>
      </c>
      <c r="U26" s="0" t="s">
        <v>102</v>
      </c>
      <c r="V26" s="0" t="s">
        <v>227</v>
      </c>
      <c r="W26" s="0" t="s">
        <v>227</v>
      </c>
      <c r="X26" s="0" t="s">
        <v>5683</v>
      </c>
      <c r="Y26" s="0" t="s">
        <v>227</v>
      </c>
      <c r="Z26" s="0" t="s">
        <v>152</v>
      </c>
      <c r="AA26" s="0" t="s">
        <v>152</v>
      </c>
      <c r="AB26" s="0" t="s">
        <v>161</v>
      </c>
      <c r="AC26" s="0" t="s">
        <v>354</v>
      </c>
      <c r="AD26" s="0" t="s">
        <v>354</v>
      </c>
      <c r="AE26" s="0" t="s">
        <v>355</v>
      </c>
      <c r="AF26" s="0" t="s">
        <v>5701</v>
      </c>
      <c r="AG26" s="0" t="s">
        <v>5702</v>
      </c>
      <c r="AH26" s="0" t="s">
        <v>5703</v>
      </c>
      <c r="AI26" s="0" t="s">
        <v>455</v>
      </c>
      <c r="AJ26" s="0" t="s">
        <v>227</v>
      </c>
      <c r="AK26" s="0" t="s">
        <v>227</v>
      </c>
      <c r="AL26" s="0" t="s">
        <v>227</v>
      </c>
      <c r="AM26" s="0" t="s">
        <v>227</v>
      </c>
      <c r="AN26" s="0" t="s">
        <v>227</v>
      </c>
      <c r="AO26" s="0" t="s">
        <v>227</v>
      </c>
      <c r="AP26" s="0" t="s">
        <v>227</v>
      </c>
      <c r="AQ26" s="0" t="s">
        <v>227</v>
      </c>
      <c r="AR26" s="0" t="s">
        <v>227</v>
      </c>
      <c r="AS26" s="0" t="s">
        <v>227</v>
      </c>
      <c r="AT26" s="0" t="s">
        <v>227</v>
      </c>
      <c r="AU26" s="0" t="s">
        <v>227</v>
      </c>
      <c r="AV26" s="0" t="s">
        <v>227</v>
      </c>
      <c r="AW26" s="0" t="s">
        <v>227</v>
      </c>
      <c r="AX26" s="0" t="s">
        <v>227</v>
      </c>
      <c r="AY26" s="0" t="s">
        <v>227</v>
      </c>
      <c r="AZ26" s="0" t="s">
        <v>227</v>
      </c>
      <c r="BA26" s="0" t="s">
        <v>227</v>
      </c>
      <c r="BB26" s="0" t="s">
        <v>227</v>
      </c>
      <c r="BC26" s="0" t="s">
        <v>227</v>
      </c>
      <c r="BD26" s="0" t="s">
        <v>227</v>
      </c>
      <c r="BE26" s="0" t="s">
        <v>5748</v>
      </c>
      <c r="BF26" s="0" t="s">
        <v>5803</v>
      </c>
      <c r="BG26" s="0" t="s">
        <v>112</v>
      </c>
      <c r="BH26" s="0" t="s">
        <v>5690</v>
      </c>
      <c r="BI26" s="0" t="s">
        <v>5691</v>
      </c>
      <c r="BJ26" s="0" t="s">
        <v>227</v>
      </c>
      <c r="BK26" s="0" t="s">
        <v>952</v>
      </c>
      <c r="BL26" s="0" t="s">
        <v>354</v>
      </c>
      <c r="BM26" s="0" t="s">
        <v>354</v>
      </c>
      <c r="BN26" s="0" t="s">
        <v>5693</v>
      </c>
      <c r="BO26" s="0" t="s">
        <v>5701</v>
      </c>
      <c r="BP26" s="0" t="s">
        <v>5706</v>
      </c>
      <c r="BQ26" s="0" t="s">
        <v>5707</v>
      </c>
      <c r="BR26" s="0" t="s">
        <v>5708</v>
      </c>
      <c r="BS26" s="0" t="s">
        <v>227</v>
      </c>
      <c r="BT26" s="0" t="s">
        <v>5709</v>
      </c>
      <c r="BU26" s="0" t="s">
        <v>5804</v>
      </c>
      <c r="BV26" s="0" t="s">
        <v>5804</v>
      </c>
      <c r="BW26" s="0" t="s">
        <v>5697</v>
      </c>
      <c r="BX26" s="0" t="s">
        <v>5697</v>
      </c>
      <c r="BY26" s="0" t="s">
        <v>5697</v>
      </c>
      <c r="BZ26" s="0" t="s">
        <v>5697</v>
      </c>
      <c r="CA26" s="0" t="s">
        <v>5697</v>
      </c>
      <c r="CB26" s="0" t="s">
        <v>227</v>
      </c>
      <c r="CC26" s="0" t="s">
        <v>227</v>
      </c>
      <c r="CD26" s="0" t="s">
        <v>227</v>
      </c>
      <c r="CE26" s="0" t="s">
        <v>227</v>
      </c>
      <c r="CF26" s="0" t="s">
        <v>227</v>
      </c>
      <c r="CG26" s="0" t="s">
        <v>5697</v>
      </c>
      <c r="CH26" s="0" t="s">
        <v>227</v>
      </c>
      <c r="CI26" s="0" t="s">
        <v>227</v>
      </c>
      <c r="CJ26" s="0" t="s">
        <v>227</v>
      </c>
      <c r="CK26" s="0" t="s">
        <v>227</v>
      </c>
      <c r="CL26" s="0" t="s">
        <v>227</v>
      </c>
      <c r="CM26" s="0" t="s">
        <v>5804</v>
      </c>
      <c r="CN26" s="0" t="s">
        <v>5804</v>
      </c>
      <c r="CO26" s="0" t="s">
        <v>227</v>
      </c>
      <c r="CP26" s="0" t="s">
        <v>227</v>
      </c>
      <c r="CQ26" s="0" t="s">
        <v>227</v>
      </c>
      <c r="CR26" s="0" t="s">
        <v>227</v>
      </c>
      <c r="CS26" s="0" t="s">
        <v>5805</v>
      </c>
      <c r="CT26" s="0" t="s">
        <v>5679</v>
      </c>
      <c r="CU26" s="0" t="s">
        <v>5680</v>
      </c>
      <c r="CV26" s="0" t="s">
        <v>430</v>
      </c>
      <c r="CW26" s="0" t="s">
        <v>5699</v>
      </c>
      <c r="CX26" s="0" t="s">
        <v>431</v>
      </c>
      <c r="CY26" s="0" t="s">
        <v>430</v>
      </c>
      <c r="CZ26" s="0" t="s">
        <v>432</v>
      </c>
      <c r="DA26" s="0" t="s">
        <v>433</v>
      </c>
      <c r="DB26" s="0" t="s">
        <v>5700</v>
      </c>
      <c r="DC26" s="0" t="s">
        <v>373</v>
      </c>
      <c r="DD26" s="0" t="s">
        <v>277</v>
      </c>
      <c r="DE26" s="0" t="s">
        <v>810</v>
      </c>
    </row>
    <row customHeight="1" ht="11.25">
      <c r="A27" s="1806" t="s">
        <v>227</v>
      </c>
      <c r="B27" s="0" t="s">
        <v>227</v>
      </c>
      <c r="C27" s="0" t="s">
        <v>227</v>
      </c>
      <c r="D27" s="0" t="s">
        <v>227</v>
      </c>
      <c r="E27" s="0" t="s">
        <v>227</v>
      </c>
      <c r="F27" s="0" t="s">
        <v>227</v>
      </c>
      <c r="G27" s="0" t="s">
        <v>227</v>
      </c>
      <c r="H27" s="0" t="s">
        <v>227</v>
      </c>
      <c r="I27" s="0" t="s">
        <v>5667</v>
      </c>
      <c r="J27" s="0" t="s">
        <v>227</v>
      </c>
      <c r="K27" s="0" t="s">
        <v>227</v>
      </c>
      <c r="L27" s="0" t="s">
        <v>227</v>
      </c>
      <c r="M27" s="0" t="s">
        <v>227</v>
      </c>
      <c r="N27" s="0" t="s">
        <v>227</v>
      </c>
      <c r="O27" s="0" t="s">
        <v>227</v>
      </c>
      <c r="P27" s="0" t="s">
        <v>227</v>
      </c>
      <c r="Q27" s="0" t="s">
        <v>227</v>
      </c>
      <c r="R27" s="0" t="s">
        <v>919</v>
      </c>
      <c r="S27" s="0" t="s">
        <v>227</v>
      </c>
      <c r="T27" s="0" t="s">
        <v>227</v>
      </c>
      <c r="U27" s="0" t="s">
        <v>102</v>
      </c>
      <c r="V27" s="0" t="s">
        <v>227</v>
      </c>
      <c r="W27" s="0" t="s">
        <v>227</v>
      </c>
      <c r="X27" s="0" t="s">
        <v>5683</v>
      </c>
      <c r="Y27" s="0" t="s">
        <v>227</v>
      </c>
      <c r="Z27" s="0" t="s">
        <v>152</v>
      </c>
      <c r="AA27" s="0" t="s">
        <v>152</v>
      </c>
      <c r="AB27" s="0" t="s">
        <v>161</v>
      </c>
      <c r="AC27" s="0" t="s">
        <v>354</v>
      </c>
      <c r="AD27" s="0" t="s">
        <v>354</v>
      </c>
      <c r="AE27" s="0" t="s">
        <v>355</v>
      </c>
      <c r="AF27" s="0" t="s">
        <v>5701</v>
      </c>
      <c r="AG27" s="0" t="s">
        <v>5702</v>
      </c>
      <c r="AH27" s="0" t="s">
        <v>5806</v>
      </c>
      <c r="AI27" s="0" t="s">
        <v>5807</v>
      </c>
      <c r="AJ27" s="0" t="s">
        <v>227</v>
      </c>
      <c r="AK27" s="0" t="s">
        <v>227</v>
      </c>
      <c r="AL27" s="0" t="s">
        <v>227</v>
      </c>
      <c r="AM27" s="0" t="s">
        <v>227</v>
      </c>
      <c r="AN27" s="0" t="s">
        <v>227</v>
      </c>
      <c r="AO27" s="0" t="s">
        <v>227</v>
      </c>
      <c r="AP27" s="0" t="s">
        <v>227</v>
      </c>
      <c r="AQ27" s="0" t="s">
        <v>227</v>
      </c>
      <c r="AR27" s="0" t="s">
        <v>227</v>
      </c>
      <c r="AS27" s="0" t="s">
        <v>227</v>
      </c>
      <c r="AT27" s="0" t="s">
        <v>227</v>
      </c>
      <c r="AU27" s="0" t="s">
        <v>227</v>
      </c>
      <c r="AV27" s="0" t="s">
        <v>227</v>
      </c>
      <c r="AW27" s="0" t="s">
        <v>227</v>
      </c>
      <c r="AX27" s="0" t="s">
        <v>227</v>
      </c>
      <c r="AY27" s="0" t="s">
        <v>227</v>
      </c>
      <c r="AZ27" s="0" t="s">
        <v>227</v>
      </c>
      <c r="BA27" s="0" t="s">
        <v>227</v>
      </c>
      <c r="BB27" s="0" t="s">
        <v>227</v>
      </c>
      <c r="BC27" s="0" t="s">
        <v>227</v>
      </c>
      <c r="BD27" s="0" t="s">
        <v>227</v>
      </c>
      <c r="BE27" s="0" t="s">
        <v>5688</v>
      </c>
      <c r="BF27" s="0" t="s">
        <v>5689</v>
      </c>
      <c r="BG27" s="0" t="s">
        <v>112</v>
      </c>
      <c r="BH27" s="0" t="s">
        <v>5690</v>
      </c>
      <c r="BI27" s="0" t="s">
        <v>5691</v>
      </c>
      <c r="BJ27" s="0" t="s">
        <v>227</v>
      </c>
      <c r="BK27" s="0" t="s">
        <v>952</v>
      </c>
      <c r="BL27" s="0" t="s">
        <v>354</v>
      </c>
      <c r="BM27" s="0" t="s">
        <v>354</v>
      </c>
      <c r="BN27" s="0" t="s">
        <v>5693</v>
      </c>
      <c r="BO27" s="0" t="s">
        <v>5701</v>
      </c>
      <c r="BP27" s="0" t="s">
        <v>5706</v>
      </c>
      <c r="BQ27" s="0" t="s">
        <v>5707</v>
      </c>
      <c r="BR27" s="0" t="s">
        <v>5708</v>
      </c>
      <c r="BS27" s="0" t="s">
        <v>227</v>
      </c>
      <c r="BT27" s="0" t="s">
        <v>5695</v>
      </c>
      <c r="BU27" s="0" t="s">
        <v>5808</v>
      </c>
      <c r="BV27" s="0" t="s">
        <v>5808</v>
      </c>
      <c r="BW27" s="0" t="s">
        <v>5697</v>
      </c>
      <c r="BX27" s="0" t="s">
        <v>5697</v>
      </c>
      <c r="BY27" s="0" t="s">
        <v>5697</v>
      </c>
      <c r="BZ27" s="0" t="s">
        <v>5697</v>
      </c>
      <c r="CA27" s="0" t="s">
        <v>5697</v>
      </c>
      <c r="CB27" s="0" t="s">
        <v>227</v>
      </c>
      <c r="CC27" s="0" t="s">
        <v>227</v>
      </c>
      <c r="CD27" s="0" t="s">
        <v>227</v>
      </c>
      <c r="CE27" s="0" t="s">
        <v>227</v>
      </c>
      <c r="CF27" s="0" t="s">
        <v>227</v>
      </c>
      <c r="CG27" s="0" t="s">
        <v>5697</v>
      </c>
      <c r="CH27" s="0" t="s">
        <v>227</v>
      </c>
      <c r="CI27" s="0" t="s">
        <v>227</v>
      </c>
      <c r="CJ27" s="0" t="s">
        <v>227</v>
      </c>
      <c r="CK27" s="0" t="s">
        <v>227</v>
      </c>
      <c r="CL27" s="0" t="s">
        <v>227</v>
      </c>
      <c r="CM27" s="0" t="s">
        <v>5808</v>
      </c>
      <c r="CN27" s="0" t="s">
        <v>5808</v>
      </c>
      <c r="CO27" s="0" t="s">
        <v>227</v>
      </c>
      <c r="CP27" s="0" t="s">
        <v>227</v>
      </c>
      <c r="CQ27" s="0" t="s">
        <v>227</v>
      </c>
      <c r="CR27" s="0" t="s">
        <v>227</v>
      </c>
      <c r="CS27" s="0" t="s">
        <v>5773</v>
      </c>
      <c r="CT27" s="0" t="s">
        <v>5679</v>
      </c>
      <c r="CU27" s="0" t="s">
        <v>5680</v>
      </c>
      <c r="CV27" s="0" t="s">
        <v>430</v>
      </c>
      <c r="CW27" s="0" t="s">
        <v>5699</v>
      </c>
      <c r="CX27" s="0" t="s">
        <v>431</v>
      </c>
      <c r="CY27" s="0" t="s">
        <v>430</v>
      </c>
      <c r="CZ27" s="0" t="s">
        <v>432</v>
      </c>
      <c r="DA27" s="0" t="s">
        <v>433</v>
      </c>
      <c r="DB27" s="0" t="s">
        <v>5700</v>
      </c>
      <c r="DC27" s="0" t="s">
        <v>373</v>
      </c>
      <c r="DD27" s="0" t="s">
        <v>277</v>
      </c>
      <c r="DE27" s="0" t="s">
        <v>920</v>
      </c>
    </row>
    <row customHeight="1" ht="11.25">
      <c r="A28" s="1806" t="s">
        <v>227</v>
      </c>
      <c r="B28" s="0" t="s">
        <v>227</v>
      </c>
      <c r="C28" s="0" t="s">
        <v>227</v>
      </c>
      <c r="D28" s="0" t="s">
        <v>227</v>
      </c>
      <c r="E28" s="0" t="s">
        <v>227</v>
      </c>
      <c r="F28" s="0" t="s">
        <v>227</v>
      </c>
      <c r="G28" s="0" t="s">
        <v>227</v>
      </c>
      <c r="H28" s="0" t="s">
        <v>227</v>
      </c>
      <c r="I28" s="0" t="s">
        <v>5667</v>
      </c>
      <c r="J28" s="0" t="s">
        <v>227</v>
      </c>
      <c r="K28" s="0" t="s">
        <v>227</v>
      </c>
      <c r="L28" s="0" t="s">
        <v>227</v>
      </c>
      <c r="M28" s="0" t="s">
        <v>227</v>
      </c>
      <c r="N28" s="0" t="s">
        <v>227</v>
      </c>
      <c r="O28" s="0" t="s">
        <v>227</v>
      </c>
      <c r="P28" s="0" t="s">
        <v>227</v>
      </c>
      <c r="Q28" s="0" t="s">
        <v>227</v>
      </c>
      <c r="R28" s="0" t="s">
        <v>606</v>
      </c>
      <c r="S28" s="0" t="s">
        <v>227</v>
      </c>
      <c r="T28" s="0" t="s">
        <v>227</v>
      </c>
      <c r="U28" s="0" t="s">
        <v>102</v>
      </c>
      <c r="V28" s="0" t="s">
        <v>227</v>
      </c>
      <c r="W28" s="0" t="s">
        <v>227</v>
      </c>
      <c r="X28" s="0" t="s">
        <v>5683</v>
      </c>
      <c r="Y28" s="0" t="s">
        <v>227</v>
      </c>
      <c r="Z28" s="0" t="s">
        <v>152</v>
      </c>
      <c r="AA28" s="0" t="s">
        <v>152</v>
      </c>
      <c r="AB28" s="0" t="s">
        <v>161</v>
      </c>
      <c r="AC28" s="0" t="s">
        <v>354</v>
      </c>
      <c r="AD28" s="0" t="s">
        <v>354</v>
      </c>
      <c r="AE28" s="0" t="s">
        <v>355</v>
      </c>
      <c r="AF28" s="0" t="s">
        <v>5684</v>
      </c>
      <c r="AG28" s="0" t="s">
        <v>5685</v>
      </c>
      <c r="AH28" s="0" t="s">
        <v>5809</v>
      </c>
      <c r="AI28" s="0" t="s">
        <v>5810</v>
      </c>
      <c r="AJ28" s="0" t="s">
        <v>227</v>
      </c>
      <c r="AK28" s="0" t="s">
        <v>227</v>
      </c>
      <c r="AL28" s="0" t="s">
        <v>227</v>
      </c>
      <c r="AM28" s="0" t="s">
        <v>227</v>
      </c>
      <c r="AN28" s="0" t="s">
        <v>227</v>
      </c>
      <c r="AO28" s="0" t="s">
        <v>227</v>
      </c>
      <c r="AP28" s="0" t="s">
        <v>227</v>
      </c>
      <c r="AQ28" s="0" t="s">
        <v>227</v>
      </c>
      <c r="AR28" s="0" t="s">
        <v>227</v>
      </c>
      <c r="AS28" s="0" t="s">
        <v>227</v>
      </c>
      <c r="AT28" s="0" t="s">
        <v>227</v>
      </c>
      <c r="AU28" s="0" t="s">
        <v>227</v>
      </c>
      <c r="AV28" s="0" t="s">
        <v>227</v>
      </c>
      <c r="AW28" s="0" t="s">
        <v>227</v>
      </c>
      <c r="AX28" s="0" t="s">
        <v>227</v>
      </c>
      <c r="AY28" s="0" t="s">
        <v>227</v>
      </c>
      <c r="AZ28" s="0" t="s">
        <v>227</v>
      </c>
      <c r="BA28" s="0" t="s">
        <v>227</v>
      </c>
      <c r="BB28" s="0" t="s">
        <v>227</v>
      </c>
      <c r="BC28" s="0" t="s">
        <v>227</v>
      </c>
      <c r="BD28" s="0" t="s">
        <v>227</v>
      </c>
      <c r="BE28" s="0" t="s">
        <v>5716</v>
      </c>
      <c r="BF28" s="0" t="s">
        <v>5811</v>
      </c>
      <c r="BG28" s="0" t="s">
        <v>112</v>
      </c>
      <c r="BH28" s="0" t="s">
        <v>5690</v>
      </c>
      <c r="BI28" s="0" t="s">
        <v>5691</v>
      </c>
      <c r="BJ28" s="0" t="s">
        <v>227</v>
      </c>
      <c r="BK28" s="0" t="s">
        <v>5692</v>
      </c>
      <c r="BL28" s="0" t="s">
        <v>354</v>
      </c>
      <c r="BM28" s="0" t="s">
        <v>354</v>
      </c>
      <c r="BN28" s="0" t="s">
        <v>5693</v>
      </c>
      <c r="BO28" s="0" t="s">
        <v>5684</v>
      </c>
      <c r="BP28" s="0" t="s">
        <v>5694</v>
      </c>
      <c r="BQ28" s="0" t="s">
        <v>5692</v>
      </c>
      <c r="BR28" s="0" t="s">
        <v>5692</v>
      </c>
      <c r="BS28" s="0" t="s">
        <v>227</v>
      </c>
      <c r="BT28" s="0" t="s">
        <v>5695</v>
      </c>
      <c r="BU28" s="0" t="s">
        <v>5812</v>
      </c>
      <c r="BV28" s="0" t="s">
        <v>5812</v>
      </c>
      <c r="BW28" s="0" t="s">
        <v>5697</v>
      </c>
      <c r="BX28" s="0" t="s">
        <v>5697</v>
      </c>
      <c r="BY28" s="0" t="s">
        <v>5697</v>
      </c>
      <c r="BZ28" s="0" t="s">
        <v>5697</v>
      </c>
      <c r="CA28" s="0" t="s">
        <v>5697</v>
      </c>
      <c r="CB28" s="0" t="s">
        <v>227</v>
      </c>
      <c r="CC28" s="0" t="s">
        <v>227</v>
      </c>
      <c r="CD28" s="0" t="s">
        <v>227</v>
      </c>
      <c r="CE28" s="0" t="s">
        <v>227</v>
      </c>
      <c r="CF28" s="0" t="s">
        <v>227</v>
      </c>
      <c r="CG28" s="0" t="s">
        <v>5697</v>
      </c>
      <c r="CH28" s="0" t="s">
        <v>227</v>
      </c>
      <c r="CI28" s="0" t="s">
        <v>227</v>
      </c>
      <c r="CJ28" s="0" t="s">
        <v>227</v>
      </c>
      <c r="CK28" s="0" t="s">
        <v>227</v>
      </c>
      <c r="CL28" s="0" t="s">
        <v>227</v>
      </c>
      <c r="CM28" s="0" t="s">
        <v>5812</v>
      </c>
      <c r="CN28" s="0" t="s">
        <v>5812</v>
      </c>
      <c r="CO28" s="0" t="s">
        <v>227</v>
      </c>
      <c r="CP28" s="0" t="s">
        <v>227</v>
      </c>
      <c r="CQ28" s="0" t="s">
        <v>227</v>
      </c>
      <c r="CR28" s="0" t="s">
        <v>227</v>
      </c>
      <c r="CS28" s="0" t="s">
        <v>5705</v>
      </c>
      <c r="CT28" s="0" t="s">
        <v>5679</v>
      </c>
      <c r="CU28" s="0" t="s">
        <v>5680</v>
      </c>
      <c r="CV28" s="0" t="s">
        <v>430</v>
      </c>
      <c r="CW28" s="0" t="s">
        <v>5699</v>
      </c>
      <c r="CX28" s="0" t="s">
        <v>431</v>
      </c>
      <c r="CY28" s="0" t="s">
        <v>430</v>
      </c>
      <c r="CZ28" s="0" t="s">
        <v>432</v>
      </c>
      <c r="DA28" s="0" t="s">
        <v>433</v>
      </c>
      <c r="DB28" s="0" t="s">
        <v>5700</v>
      </c>
      <c r="DC28" s="0" t="s">
        <v>373</v>
      </c>
      <c r="DD28" s="0" t="s">
        <v>277</v>
      </c>
      <c r="DE28" s="0" t="s">
        <v>607</v>
      </c>
    </row>
    <row customHeight="1" ht="11.25">
      <c r="A29" s="1806" t="s">
        <v>227</v>
      </c>
      <c r="B29" s="0" t="s">
        <v>227</v>
      </c>
      <c r="C29" s="0" t="s">
        <v>227</v>
      </c>
      <c r="D29" s="0" t="s">
        <v>227</v>
      </c>
      <c r="E29" s="0" t="s">
        <v>227</v>
      </c>
      <c r="F29" s="0" t="s">
        <v>227</v>
      </c>
      <c r="G29" s="0" t="s">
        <v>227</v>
      </c>
      <c r="H29" s="0" t="s">
        <v>227</v>
      </c>
      <c r="I29" s="0" t="s">
        <v>5667</v>
      </c>
      <c r="J29" s="0" t="s">
        <v>227</v>
      </c>
      <c r="K29" s="0" t="s">
        <v>227</v>
      </c>
      <c r="L29" s="0" t="s">
        <v>227</v>
      </c>
      <c r="M29" s="0" t="s">
        <v>227</v>
      </c>
      <c r="N29" s="0" t="s">
        <v>227</v>
      </c>
      <c r="O29" s="0" t="s">
        <v>227</v>
      </c>
      <c r="P29" s="0" t="s">
        <v>227</v>
      </c>
      <c r="Q29" s="0" t="s">
        <v>227</v>
      </c>
      <c r="R29" s="0" t="s">
        <v>714</v>
      </c>
      <c r="S29" s="0" t="s">
        <v>227</v>
      </c>
      <c r="T29" s="0" t="s">
        <v>227</v>
      </c>
      <c r="U29" s="0" t="s">
        <v>102</v>
      </c>
      <c r="V29" s="0" t="s">
        <v>227</v>
      </c>
      <c r="W29" s="0" t="s">
        <v>227</v>
      </c>
      <c r="X29" s="0" t="s">
        <v>5683</v>
      </c>
      <c r="Y29" s="0" t="s">
        <v>227</v>
      </c>
      <c r="Z29" s="0" t="s">
        <v>152</v>
      </c>
      <c r="AA29" s="0" t="s">
        <v>152</v>
      </c>
      <c r="AB29" s="0" t="s">
        <v>161</v>
      </c>
      <c r="AC29" s="0" t="s">
        <v>354</v>
      </c>
      <c r="AD29" s="0" t="s">
        <v>354</v>
      </c>
      <c r="AE29" s="0" t="s">
        <v>355</v>
      </c>
      <c r="AF29" s="0" t="s">
        <v>5701</v>
      </c>
      <c r="AG29" s="0" t="s">
        <v>5702</v>
      </c>
      <c r="AH29" s="0" t="s">
        <v>5692</v>
      </c>
      <c r="AI29" s="0" t="s">
        <v>5692</v>
      </c>
      <c r="AJ29" s="0" t="s">
        <v>227</v>
      </c>
      <c r="AK29" s="0" t="s">
        <v>227</v>
      </c>
      <c r="AL29" s="0" t="s">
        <v>227</v>
      </c>
      <c r="AM29" s="0" t="s">
        <v>227</v>
      </c>
      <c r="AN29" s="0" t="s">
        <v>227</v>
      </c>
      <c r="AO29" s="0" t="s">
        <v>227</v>
      </c>
      <c r="AP29" s="0" t="s">
        <v>227</v>
      </c>
      <c r="AQ29" s="0" t="s">
        <v>227</v>
      </c>
      <c r="AR29" s="0" t="s">
        <v>227</v>
      </c>
      <c r="AS29" s="0" t="s">
        <v>227</v>
      </c>
      <c r="AT29" s="0" t="s">
        <v>227</v>
      </c>
      <c r="AU29" s="0" t="s">
        <v>227</v>
      </c>
      <c r="AV29" s="0" t="s">
        <v>227</v>
      </c>
      <c r="AW29" s="0" t="s">
        <v>227</v>
      </c>
      <c r="AX29" s="0" t="s">
        <v>227</v>
      </c>
      <c r="AY29" s="0" t="s">
        <v>227</v>
      </c>
      <c r="AZ29" s="0" t="s">
        <v>227</v>
      </c>
      <c r="BA29" s="0" t="s">
        <v>227</v>
      </c>
      <c r="BB29" s="0" t="s">
        <v>227</v>
      </c>
      <c r="BC29" s="0" t="s">
        <v>227</v>
      </c>
      <c r="BD29" s="0" t="s">
        <v>227</v>
      </c>
      <c r="BE29" s="0" t="s">
        <v>5761</v>
      </c>
      <c r="BF29" s="0" t="s">
        <v>5813</v>
      </c>
      <c r="BG29" s="0" t="s">
        <v>112</v>
      </c>
      <c r="BH29" s="0" t="s">
        <v>5690</v>
      </c>
      <c r="BI29" s="0" t="s">
        <v>5691</v>
      </c>
      <c r="BJ29" s="0" t="s">
        <v>227</v>
      </c>
      <c r="BK29" s="0" t="s">
        <v>952</v>
      </c>
      <c r="BL29" s="0" t="s">
        <v>354</v>
      </c>
      <c r="BM29" s="0" t="s">
        <v>354</v>
      </c>
      <c r="BN29" s="0" t="s">
        <v>5693</v>
      </c>
      <c r="BO29" s="0" t="s">
        <v>5701</v>
      </c>
      <c r="BP29" s="0" t="s">
        <v>5706</v>
      </c>
      <c r="BQ29" s="0" t="s">
        <v>5707</v>
      </c>
      <c r="BR29" s="0" t="s">
        <v>5708</v>
      </c>
      <c r="BS29" s="0" t="s">
        <v>227</v>
      </c>
      <c r="BT29" s="0" t="s">
        <v>5788</v>
      </c>
      <c r="BU29" s="0" t="s">
        <v>5814</v>
      </c>
      <c r="BV29" s="0" t="s">
        <v>5814</v>
      </c>
      <c r="BW29" s="0" t="s">
        <v>5697</v>
      </c>
      <c r="BX29" s="0" t="s">
        <v>5697</v>
      </c>
      <c r="BY29" s="0" t="s">
        <v>5697</v>
      </c>
      <c r="BZ29" s="0" t="s">
        <v>5697</v>
      </c>
      <c r="CA29" s="0" t="s">
        <v>5697</v>
      </c>
      <c r="CB29" s="0" t="s">
        <v>227</v>
      </c>
      <c r="CC29" s="0" t="s">
        <v>227</v>
      </c>
      <c r="CD29" s="0" t="s">
        <v>227</v>
      </c>
      <c r="CE29" s="0" t="s">
        <v>227</v>
      </c>
      <c r="CF29" s="0" t="s">
        <v>227</v>
      </c>
      <c r="CG29" s="0" t="s">
        <v>5697</v>
      </c>
      <c r="CH29" s="0" t="s">
        <v>227</v>
      </c>
      <c r="CI29" s="0" t="s">
        <v>227</v>
      </c>
      <c r="CJ29" s="0" t="s">
        <v>227</v>
      </c>
      <c r="CK29" s="0" t="s">
        <v>227</v>
      </c>
      <c r="CL29" s="0" t="s">
        <v>227</v>
      </c>
      <c r="CM29" s="0" t="s">
        <v>5814</v>
      </c>
      <c r="CN29" s="0" t="s">
        <v>5814</v>
      </c>
      <c r="CO29" s="0" t="s">
        <v>227</v>
      </c>
      <c r="CP29" s="0" t="s">
        <v>227</v>
      </c>
      <c r="CQ29" s="0" t="s">
        <v>227</v>
      </c>
      <c r="CR29" s="0" t="s">
        <v>227</v>
      </c>
      <c r="CS29" s="0" t="s">
        <v>5714</v>
      </c>
      <c r="CT29" s="0" t="s">
        <v>5679</v>
      </c>
      <c r="CU29" s="0" t="s">
        <v>5680</v>
      </c>
      <c r="CV29" s="0" t="s">
        <v>430</v>
      </c>
      <c r="CW29" s="0" t="s">
        <v>5699</v>
      </c>
      <c r="CX29" s="0" t="s">
        <v>431</v>
      </c>
      <c r="CY29" s="0" t="s">
        <v>430</v>
      </c>
      <c r="CZ29" s="0" t="s">
        <v>432</v>
      </c>
      <c r="DA29" s="0" t="s">
        <v>433</v>
      </c>
      <c r="DB29" s="0" t="s">
        <v>5700</v>
      </c>
      <c r="DC29" s="0" t="s">
        <v>373</v>
      </c>
      <c r="DD29" s="0" t="s">
        <v>277</v>
      </c>
      <c r="DE29" s="0" t="s">
        <v>715</v>
      </c>
    </row>
    <row customHeight="1" ht="11.25">
      <c r="A30" s="1806" t="s">
        <v>227</v>
      </c>
      <c r="B30" s="0" t="s">
        <v>227</v>
      </c>
      <c r="C30" s="0" t="s">
        <v>227</v>
      </c>
      <c r="D30" s="0" t="s">
        <v>227</v>
      </c>
      <c r="E30" s="0" t="s">
        <v>227</v>
      </c>
      <c r="F30" s="0" t="s">
        <v>227</v>
      </c>
      <c r="G30" s="0" t="s">
        <v>227</v>
      </c>
      <c r="H30" s="0" t="s">
        <v>227</v>
      </c>
      <c r="I30" s="0" t="s">
        <v>5667</v>
      </c>
      <c r="J30" s="0" t="s">
        <v>227</v>
      </c>
      <c r="K30" s="0" t="s">
        <v>227</v>
      </c>
      <c r="L30" s="0" t="s">
        <v>227</v>
      </c>
      <c r="M30" s="0" t="s">
        <v>227</v>
      </c>
      <c r="N30" s="0" t="s">
        <v>227</v>
      </c>
      <c r="O30" s="0" t="s">
        <v>227</v>
      </c>
      <c r="P30" s="0" t="s">
        <v>227</v>
      </c>
      <c r="Q30" s="0" t="s">
        <v>227</v>
      </c>
      <c r="R30" s="0" t="s">
        <v>583</v>
      </c>
      <c r="S30" s="0" t="s">
        <v>227</v>
      </c>
      <c r="T30" s="0" t="s">
        <v>227</v>
      </c>
      <c r="U30" s="0" t="s">
        <v>102</v>
      </c>
      <c r="V30" s="0" t="s">
        <v>227</v>
      </c>
      <c r="W30" s="0" t="s">
        <v>227</v>
      </c>
      <c r="X30" s="0" t="s">
        <v>5683</v>
      </c>
      <c r="Y30" s="0" t="s">
        <v>227</v>
      </c>
      <c r="Z30" s="0" t="s">
        <v>152</v>
      </c>
      <c r="AA30" s="0" t="s">
        <v>152</v>
      </c>
      <c r="AB30" s="0" t="s">
        <v>161</v>
      </c>
      <c r="AC30" s="0" t="s">
        <v>354</v>
      </c>
      <c r="AD30" s="0" t="s">
        <v>354</v>
      </c>
      <c r="AE30" s="0" t="s">
        <v>355</v>
      </c>
      <c r="AF30" s="0" t="s">
        <v>5684</v>
      </c>
      <c r="AG30" s="0" t="s">
        <v>5685</v>
      </c>
      <c r="AH30" s="0" t="s">
        <v>5815</v>
      </c>
      <c r="AI30" s="0" t="s">
        <v>5692</v>
      </c>
      <c r="AJ30" s="0" t="s">
        <v>227</v>
      </c>
      <c r="AK30" s="0" t="s">
        <v>227</v>
      </c>
      <c r="AL30" s="0" t="s">
        <v>227</v>
      </c>
      <c r="AM30" s="0" t="s">
        <v>227</v>
      </c>
      <c r="AN30" s="0" t="s">
        <v>227</v>
      </c>
      <c r="AO30" s="0" t="s">
        <v>227</v>
      </c>
      <c r="AP30" s="0" t="s">
        <v>227</v>
      </c>
      <c r="AQ30" s="0" t="s">
        <v>227</v>
      </c>
      <c r="AR30" s="0" t="s">
        <v>227</v>
      </c>
      <c r="AS30" s="0" t="s">
        <v>227</v>
      </c>
      <c r="AT30" s="0" t="s">
        <v>227</v>
      </c>
      <c r="AU30" s="0" t="s">
        <v>227</v>
      </c>
      <c r="AV30" s="0" t="s">
        <v>227</v>
      </c>
      <c r="AW30" s="0" t="s">
        <v>227</v>
      </c>
      <c r="AX30" s="0" t="s">
        <v>227</v>
      </c>
      <c r="AY30" s="0" t="s">
        <v>227</v>
      </c>
      <c r="AZ30" s="0" t="s">
        <v>227</v>
      </c>
      <c r="BA30" s="0" t="s">
        <v>227</v>
      </c>
      <c r="BB30" s="0" t="s">
        <v>227</v>
      </c>
      <c r="BC30" s="0" t="s">
        <v>227</v>
      </c>
      <c r="BD30" s="0" t="s">
        <v>227</v>
      </c>
      <c r="BE30" s="0" t="s">
        <v>5761</v>
      </c>
      <c r="BF30" s="0" t="s">
        <v>5816</v>
      </c>
      <c r="BG30" s="0" t="s">
        <v>112</v>
      </c>
      <c r="BH30" s="0" t="s">
        <v>5690</v>
      </c>
      <c r="BI30" s="0" t="s">
        <v>5691</v>
      </c>
      <c r="BJ30" s="0" t="s">
        <v>227</v>
      </c>
      <c r="BK30" s="0" t="s">
        <v>5692</v>
      </c>
      <c r="BL30" s="0" t="s">
        <v>354</v>
      </c>
      <c r="BM30" s="0" t="s">
        <v>354</v>
      </c>
      <c r="BN30" s="0" t="s">
        <v>5693</v>
      </c>
      <c r="BO30" s="0" t="s">
        <v>5684</v>
      </c>
      <c r="BP30" s="0" t="s">
        <v>5694</v>
      </c>
      <c r="BQ30" s="0" t="s">
        <v>5692</v>
      </c>
      <c r="BR30" s="0" t="s">
        <v>5692</v>
      </c>
      <c r="BS30" s="0" t="s">
        <v>227</v>
      </c>
      <c r="BT30" s="0" t="s">
        <v>5712</v>
      </c>
      <c r="BU30" s="0" t="s">
        <v>5752</v>
      </c>
      <c r="BV30" s="0" t="s">
        <v>5752</v>
      </c>
      <c r="BW30" s="0" t="s">
        <v>5697</v>
      </c>
      <c r="BX30" s="0" t="s">
        <v>5697</v>
      </c>
      <c r="BY30" s="0" t="s">
        <v>5697</v>
      </c>
      <c r="BZ30" s="0" t="s">
        <v>5697</v>
      </c>
      <c r="CA30" s="0" t="s">
        <v>5697</v>
      </c>
      <c r="CB30" s="0" t="s">
        <v>227</v>
      </c>
      <c r="CC30" s="0" t="s">
        <v>227</v>
      </c>
      <c r="CD30" s="0" t="s">
        <v>227</v>
      </c>
      <c r="CE30" s="0" t="s">
        <v>227</v>
      </c>
      <c r="CF30" s="0" t="s">
        <v>227</v>
      </c>
      <c r="CG30" s="0" t="s">
        <v>5697</v>
      </c>
      <c r="CH30" s="0" t="s">
        <v>227</v>
      </c>
      <c r="CI30" s="0" t="s">
        <v>227</v>
      </c>
      <c r="CJ30" s="0" t="s">
        <v>227</v>
      </c>
      <c r="CK30" s="0" t="s">
        <v>227</v>
      </c>
      <c r="CL30" s="0" t="s">
        <v>227</v>
      </c>
      <c r="CM30" s="0" t="s">
        <v>5752</v>
      </c>
      <c r="CN30" s="0" t="s">
        <v>5752</v>
      </c>
      <c r="CO30" s="0" t="s">
        <v>227</v>
      </c>
      <c r="CP30" s="0" t="s">
        <v>227</v>
      </c>
      <c r="CQ30" s="0" t="s">
        <v>227</v>
      </c>
      <c r="CR30" s="0" t="s">
        <v>227</v>
      </c>
      <c r="CS30" s="0" t="s">
        <v>5705</v>
      </c>
      <c r="CT30" s="0" t="s">
        <v>5679</v>
      </c>
      <c r="CU30" s="0" t="s">
        <v>5680</v>
      </c>
      <c r="CV30" s="0" t="s">
        <v>430</v>
      </c>
      <c r="CW30" s="0" t="s">
        <v>5699</v>
      </c>
      <c r="CX30" s="0" t="s">
        <v>431</v>
      </c>
      <c r="CY30" s="0" t="s">
        <v>430</v>
      </c>
      <c r="CZ30" s="0" t="s">
        <v>432</v>
      </c>
      <c r="DA30" s="0" t="s">
        <v>433</v>
      </c>
      <c r="DB30" s="0" t="s">
        <v>5700</v>
      </c>
      <c r="DC30" s="0" t="s">
        <v>373</v>
      </c>
      <c r="DD30" s="0" t="s">
        <v>277</v>
      </c>
      <c r="DE30" s="0" t="s">
        <v>584</v>
      </c>
    </row>
    <row customHeight="1" ht="11.25">
      <c r="A31" s="1806" t="s">
        <v>227</v>
      </c>
      <c r="B31" s="0" t="s">
        <v>227</v>
      </c>
      <c r="C31" s="0" t="s">
        <v>227</v>
      </c>
      <c r="D31" s="0" t="s">
        <v>227</v>
      </c>
      <c r="E31" s="0" t="s">
        <v>227</v>
      </c>
      <c r="F31" s="0" t="s">
        <v>227</v>
      </c>
      <c r="G31" s="0" t="s">
        <v>227</v>
      </c>
      <c r="H31" s="0" t="s">
        <v>227</v>
      </c>
      <c r="I31" s="0" t="s">
        <v>5667</v>
      </c>
      <c r="J31" s="0" t="s">
        <v>227</v>
      </c>
      <c r="K31" s="0" t="s">
        <v>227</v>
      </c>
      <c r="L31" s="0" t="s">
        <v>227</v>
      </c>
      <c r="M31" s="0" t="s">
        <v>227</v>
      </c>
      <c r="N31" s="0" t="s">
        <v>227</v>
      </c>
      <c r="O31" s="0" t="s">
        <v>227</v>
      </c>
      <c r="P31" s="0" t="s">
        <v>227</v>
      </c>
      <c r="Q31" s="0" t="s">
        <v>227</v>
      </c>
      <c r="R31" s="0" t="s">
        <v>586</v>
      </c>
      <c r="S31" s="0" t="s">
        <v>227</v>
      </c>
      <c r="T31" s="0" t="s">
        <v>227</v>
      </c>
      <c r="U31" s="0" t="s">
        <v>102</v>
      </c>
      <c r="V31" s="0" t="s">
        <v>227</v>
      </c>
      <c r="W31" s="0" t="s">
        <v>227</v>
      </c>
      <c r="X31" s="0" t="s">
        <v>5683</v>
      </c>
      <c r="Y31" s="0" t="s">
        <v>227</v>
      </c>
      <c r="Z31" s="0" t="s">
        <v>152</v>
      </c>
      <c r="AA31" s="0" t="s">
        <v>152</v>
      </c>
      <c r="AB31" s="0" t="s">
        <v>161</v>
      </c>
      <c r="AC31" s="0" t="s">
        <v>354</v>
      </c>
      <c r="AD31" s="0" t="s">
        <v>354</v>
      </c>
      <c r="AE31" s="0" t="s">
        <v>355</v>
      </c>
      <c r="AF31" s="0" t="s">
        <v>5684</v>
      </c>
      <c r="AG31" s="0" t="s">
        <v>5685</v>
      </c>
      <c r="AH31" s="0" t="s">
        <v>5815</v>
      </c>
      <c r="AI31" s="0" t="s">
        <v>5692</v>
      </c>
      <c r="AJ31" s="0" t="s">
        <v>227</v>
      </c>
      <c r="AK31" s="0" t="s">
        <v>227</v>
      </c>
      <c r="AL31" s="0" t="s">
        <v>227</v>
      </c>
      <c r="AM31" s="0" t="s">
        <v>227</v>
      </c>
      <c r="AN31" s="0" t="s">
        <v>227</v>
      </c>
      <c r="AO31" s="0" t="s">
        <v>227</v>
      </c>
      <c r="AP31" s="0" t="s">
        <v>227</v>
      </c>
      <c r="AQ31" s="0" t="s">
        <v>227</v>
      </c>
      <c r="AR31" s="0" t="s">
        <v>227</v>
      </c>
      <c r="AS31" s="0" t="s">
        <v>227</v>
      </c>
      <c r="AT31" s="0" t="s">
        <v>227</v>
      </c>
      <c r="AU31" s="0" t="s">
        <v>227</v>
      </c>
      <c r="AV31" s="0" t="s">
        <v>227</v>
      </c>
      <c r="AW31" s="0" t="s">
        <v>227</v>
      </c>
      <c r="AX31" s="0" t="s">
        <v>227</v>
      </c>
      <c r="AY31" s="0" t="s">
        <v>227</v>
      </c>
      <c r="AZ31" s="0" t="s">
        <v>227</v>
      </c>
      <c r="BA31" s="0" t="s">
        <v>227</v>
      </c>
      <c r="BB31" s="0" t="s">
        <v>227</v>
      </c>
      <c r="BC31" s="0" t="s">
        <v>227</v>
      </c>
      <c r="BD31" s="0" t="s">
        <v>227</v>
      </c>
      <c r="BE31" s="0" t="s">
        <v>5688</v>
      </c>
      <c r="BF31" s="0" t="s">
        <v>5817</v>
      </c>
      <c r="BG31" s="0" t="s">
        <v>112</v>
      </c>
      <c r="BH31" s="0" t="s">
        <v>5690</v>
      </c>
      <c r="BI31" s="0" t="s">
        <v>5691</v>
      </c>
      <c r="BJ31" s="0" t="s">
        <v>227</v>
      </c>
      <c r="BK31" s="0" t="s">
        <v>5692</v>
      </c>
      <c r="BL31" s="0" t="s">
        <v>354</v>
      </c>
      <c r="BM31" s="0" t="s">
        <v>354</v>
      </c>
      <c r="BN31" s="0" t="s">
        <v>5693</v>
      </c>
      <c r="BO31" s="0" t="s">
        <v>5684</v>
      </c>
      <c r="BP31" s="0" t="s">
        <v>5694</v>
      </c>
      <c r="BQ31" s="0" t="s">
        <v>5692</v>
      </c>
      <c r="BR31" s="0" t="s">
        <v>5692</v>
      </c>
      <c r="BS31" s="0" t="s">
        <v>227</v>
      </c>
      <c r="BT31" s="0" t="s">
        <v>5695</v>
      </c>
      <c r="BU31" s="0" t="s">
        <v>5818</v>
      </c>
      <c r="BV31" s="0" t="s">
        <v>5818</v>
      </c>
      <c r="BW31" s="0" t="s">
        <v>5697</v>
      </c>
      <c r="BX31" s="0" t="s">
        <v>5697</v>
      </c>
      <c r="BY31" s="0" t="s">
        <v>5697</v>
      </c>
      <c r="BZ31" s="0" t="s">
        <v>5697</v>
      </c>
      <c r="CA31" s="0" t="s">
        <v>5697</v>
      </c>
      <c r="CB31" s="0" t="s">
        <v>227</v>
      </c>
      <c r="CC31" s="0" t="s">
        <v>227</v>
      </c>
      <c r="CD31" s="0" t="s">
        <v>227</v>
      </c>
      <c r="CE31" s="0" t="s">
        <v>227</v>
      </c>
      <c r="CF31" s="0" t="s">
        <v>227</v>
      </c>
      <c r="CG31" s="0" t="s">
        <v>5697</v>
      </c>
      <c r="CH31" s="0" t="s">
        <v>227</v>
      </c>
      <c r="CI31" s="0" t="s">
        <v>227</v>
      </c>
      <c r="CJ31" s="0" t="s">
        <v>227</v>
      </c>
      <c r="CK31" s="0" t="s">
        <v>227</v>
      </c>
      <c r="CL31" s="0" t="s">
        <v>227</v>
      </c>
      <c r="CM31" s="0" t="s">
        <v>5818</v>
      </c>
      <c r="CN31" s="0" t="s">
        <v>5818</v>
      </c>
      <c r="CO31" s="0" t="s">
        <v>227</v>
      </c>
      <c r="CP31" s="0" t="s">
        <v>227</v>
      </c>
      <c r="CQ31" s="0" t="s">
        <v>227</v>
      </c>
      <c r="CR31" s="0" t="s">
        <v>227</v>
      </c>
      <c r="CS31" s="0" t="s">
        <v>5705</v>
      </c>
      <c r="CT31" s="0" t="s">
        <v>5679</v>
      </c>
      <c r="CU31" s="0" t="s">
        <v>5680</v>
      </c>
      <c r="CV31" s="0" t="s">
        <v>430</v>
      </c>
      <c r="CW31" s="0" t="s">
        <v>5699</v>
      </c>
      <c r="CX31" s="0" t="s">
        <v>431</v>
      </c>
      <c r="CY31" s="0" t="s">
        <v>430</v>
      </c>
      <c r="CZ31" s="0" t="s">
        <v>432</v>
      </c>
      <c r="DA31" s="0" t="s">
        <v>433</v>
      </c>
      <c r="DB31" s="0" t="s">
        <v>5700</v>
      </c>
      <c r="DC31" s="0" t="s">
        <v>373</v>
      </c>
      <c r="DD31" s="0" t="s">
        <v>277</v>
      </c>
      <c r="DE31" s="0" t="s">
        <v>584</v>
      </c>
    </row>
    <row customHeight="1" ht="11.25">
      <c r="A32" s="1806" t="s">
        <v>227</v>
      </c>
      <c r="B32" s="0" t="s">
        <v>227</v>
      </c>
      <c r="C32" s="0" t="s">
        <v>227</v>
      </c>
      <c r="D32" s="0" t="s">
        <v>227</v>
      </c>
      <c r="E32" s="0" t="s">
        <v>227</v>
      </c>
      <c r="F32" s="0" t="s">
        <v>227</v>
      </c>
      <c r="G32" s="0" t="s">
        <v>227</v>
      </c>
      <c r="H32" s="0" t="s">
        <v>227</v>
      </c>
      <c r="I32" s="0" t="s">
        <v>5667</v>
      </c>
      <c r="J32" s="0" t="s">
        <v>227</v>
      </c>
      <c r="K32" s="0" t="s">
        <v>227</v>
      </c>
      <c r="L32" s="0" t="s">
        <v>227</v>
      </c>
      <c r="M32" s="0" t="s">
        <v>227</v>
      </c>
      <c r="N32" s="0" t="s">
        <v>227</v>
      </c>
      <c r="O32" s="0" t="s">
        <v>227</v>
      </c>
      <c r="P32" s="0" t="s">
        <v>227</v>
      </c>
      <c r="Q32" s="0" t="s">
        <v>227</v>
      </c>
      <c r="R32" s="0" t="s">
        <v>482</v>
      </c>
      <c r="S32" s="0" t="s">
        <v>227</v>
      </c>
      <c r="T32" s="0" t="s">
        <v>227</v>
      </c>
      <c r="U32" s="0" t="s">
        <v>102</v>
      </c>
      <c r="V32" s="0" t="s">
        <v>227</v>
      </c>
      <c r="W32" s="0" t="s">
        <v>227</v>
      </c>
      <c r="X32" s="0" t="s">
        <v>5683</v>
      </c>
      <c r="Y32" s="0" t="s">
        <v>227</v>
      </c>
      <c r="Z32" s="0" t="s">
        <v>152</v>
      </c>
      <c r="AA32" s="0" t="s">
        <v>152</v>
      </c>
      <c r="AB32" s="0" t="s">
        <v>161</v>
      </c>
      <c r="AC32" s="0" t="s">
        <v>354</v>
      </c>
      <c r="AD32" s="0" t="s">
        <v>354</v>
      </c>
      <c r="AE32" s="0" t="s">
        <v>355</v>
      </c>
      <c r="AF32" s="0" t="s">
        <v>5684</v>
      </c>
      <c r="AG32" s="0" t="s">
        <v>5685</v>
      </c>
      <c r="AH32" s="0" t="s">
        <v>5819</v>
      </c>
      <c r="AI32" s="0" t="s">
        <v>5692</v>
      </c>
      <c r="AJ32" s="0" t="s">
        <v>227</v>
      </c>
      <c r="AK32" s="0" t="s">
        <v>227</v>
      </c>
      <c r="AL32" s="0" t="s">
        <v>227</v>
      </c>
      <c r="AM32" s="0" t="s">
        <v>227</v>
      </c>
      <c r="AN32" s="0" t="s">
        <v>227</v>
      </c>
      <c r="AO32" s="0" t="s">
        <v>227</v>
      </c>
      <c r="AP32" s="0" t="s">
        <v>227</v>
      </c>
      <c r="AQ32" s="0" t="s">
        <v>227</v>
      </c>
      <c r="AR32" s="0" t="s">
        <v>227</v>
      </c>
      <c r="AS32" s="0" t="s">
        <v>227</v>
      </c>
      <c r="AT32" s="0" t="s">
        <v>227</v>
      </c>
      <c r="AU32" s="0" t="s">
        <v>227</v>
      </c>
      <c r="AV32" s="0" t="s">
        <v>227</v>
      </c>
      <c r="AW32" s="0" t="s">
        <v>227</v>
      </c>
      <c r="AX32" s="0" t="s">
        <v>227</v>
      </c>
      <c r="AY32" s="0" t="s">
        <v>227</v>
      </c>
      <c r="AZ32" s="0" t="s">
        <v>227</v>
      </c>
      <c r="BA32" s="0" t="s">
        <v>227</v>
      </c>
      <c r="BB32" s="0" t="s">
        <v>227</v>
      </c>
      <c r="BC32" s="0" t="s">
        <v>227</v>
      </c>
      <c r="BD32" s="0" t="s">
        <v>227</v>
      </c>
      <c r="BE32" s="0" t="s">
        <v>5748</v>
      </c>
      <c r="BF32" s="0" t="s">
        <v>5820</v>
      </c>
      <c r="BG32" s="0" t="s">
        <v>112</v>
      </c>
      <c r="BH32" s="0" t="s">
        <v>5690</v>
      </c>
      <c r="BI32" s="0" t="s">
        <v>5691</v>
      </c>
      <c r="BJ32" s="0" t="s">
        <v>227</v>
      </c>
      <c r="BK32" s="0" t="s">
        <v>5692</v>
      </c>
      <c r="BL32" s="0" t="s">
        <v>354</v>
      </c>
      <c r="BM32" s="0" t="s">
        <v>354</v>
      </c>
      <c r="BN32" s="0" t="s">
        <v>5693</v>
      </c>
      <c r="BO32" s="0" t="s">
        <v>5684</v>
      </c>
      <c r="BP32" s="0" t="s">
        <v>5694</v>
      </c>
      <c r="BQ32" s="0" t="s">
        <v>5692</v>
      </c>
      <c r="BR32" s="0" t="s">
        <v>5692</v>
      </c>
      <c r="BS32" s="0" t="s">
        <v>227</v>
      </c>
      <c r="BT32" s="0" t="s">
        <v>5712</v>
      </c>
      <c r="BU32" s="0" t="s">
        <v>5821</v>
      </c>
      <c r="BV32" s="0" t="s">
        <v>5821</v>
      </c>
      <c r="BW32" s="0" t="s">
        <v>5697</v>
      </c>
      <c r="BX32" s="0" t="s">
        <v>5697</v>
      </c>
      <c r="BY32" s="0" t="s">
        <v>5697</v>
      </c>
      <c r="BZ32" s="0" t="s">
        <v>5697</v>
      </c>
      <c r="CA32" s="0" t="s">
        <v>5697</v>
      </c>
      <c r="CB32" s="0" t="s">
        <v>227</v>
      </c>
      <c r="CC32" s="0" t="s">
        <v>227</v>
      </c>
      <c r="CD32" s="0" t="s">
        <v>227</v>
      </c>
      <c r="CE32" s="0" t="s">
        <v>227</v>
      </c>
      <c r="CF32" s="0" t="s">
        <v>227</v>
      </c>
      <c r="CG32" s="0" t="s">
        <v>5697</v>
      </c>
      <c r="CH32" s="0" t="s">
        <v>227</v>
      </c>
      <c r="CI32" s="0" t="s">
        <v>227</v>
      </c>
      <c r="CJ32" s="0" t="s">
        <v>227</v>
      </c>
      <c r="CK32" s="0" t="s">
        <v>227</v>
      </c>
      <c r="CL32" s="0" t="s">
        <v>227</v>
      </c>
      <c r="CM32" s="0" t="s">
        <v>5821</v>
      </c>
      <c r="CN32" s="0" t="s">
        <v>5821</v>
      </c>
      <c r="CO32" s="0" t="s">
        <v>227</v>
      </c>
      <c r="CP32" s="0" t="s">
        <v>227</v>
      </c>
      <c r="CQ32" s="0" t="s">
        <v>227</v>
      </c>
      <c r="CR32" s="0" t="s">
        <v>227</v>
      </c>
      <c r="CS32" s="0" t="s">
        <v>5698</v>
      </c>
      <c r="CT32" s="0" t="s">
        <v>5679</v>
      </c>
      <c r="CU32" s="0" t="s">
        <v>5680</v>
      </c>
      <c r="CV32" s="0" t="s">
        <v>430</v>
      </c>
      <c r="CW32" s="0" t="s">
        <v>5699</v>
      </c>
      <c r="CX32" s="0" t="s">
        <v>431</v>
      </c>
      <c r="CY32" s="0" t="s">
        <v>430</v>
      </c>
      <c r="CZ32" s="0" t="s">
        <v>432</v>
      </c>
      <c r="DA32" s="0" t="s">
        <v>433</v>
      </c>
      <c r="DB32" s="0" t="s">
        <v>5700</v>
      </c>
      <c r="DC32" s="0" t="s">
        <v>373</v>
      </c>
      <c r="DD32" s="0" t="s">
        <v>277</v>
      </c>
      <c r="DE32" s="0" t="s">
        <v>483</v>
      </c>
    </row>
    <row customHeight="1" ht="11.25">
      <c r="A33" s="1806" t="s">
        <v>227</v>
      </c>
      <c r="B33" s="0" t="s">
        <v>227</v>
      </c>
      <c r="C33" s="0" t="s">
        <v>227</v>
      </c>
      <c r="D33" s="0" t="s">
        <v>227</v>
      </c>
      <c r="E33" s="0" t="s">
        <v>227</v>
      </c>
      <c r="F33" s="0" t="s">
        <v>227</v>
      </c>
      <c r="G33" s="0" t="s">
        <v>227</v>
      </c>
      <c r="H33" s="0" t="s">
        <v>227</v>
      </c>
      <c r="I33" s="0" t="s">
        <v>5667</v>
      </c>
      <c r="J33" s="0" t="s">
        <v>227</v>
      </c>
      <c r="K33" s="0" t="s">
        <v>227</v>
      </c>
      <c r="L33" s="0" t="s">
        <v>227</v>
      </c>
      <c r="M33" s="0" t="s">
        <v>227</v>
      </c>
      <c r="N33" s="0" t="s">
        <v>227</v>
      </c>
      <c r="O33" s="0" t="s">
        <v>227</v>
      </c>
      <c r="P33" s="0" t="s">
        <v>227</v>
      </c>
      <c r="Q33" s="0" t="s">
        <v>227</v>
      </c>
      <c r="R33" s="0" t="s">
        <v>476</v>
      </c>
      <c r="S33" s="0" t="s">
        <v>227</v>
      </c>
      <c r="T33" s="0" t="s">
        <v>227</v>
      </c>
      <c r="U33" s="0" t="s">
        <v>102</v>
      </c>
      <c r="V33" s="0" t="s">
        <v>227</v>
      </c>
      <c r="W33" s="0" t="s">
        <v>227</v>
      </c>
      <c r="X33" s="0" t="s">
        <v>5683</v>
      </c>
      <c r="Y33" s="0" t="s">
        <v>227</v>
      </c>
      <c r="Z33" s="0" t="s">
        <v>152</v>
      </c>
      <c r="AA33" s="0" t="s">
        <v>152</v>
      </c>
      <c r="AB33" s="0" t="s">
        <v>161</v>
      </c>
      <c r="AC33" s="0" t="s">
        <v>354</v>
      </c>
      <c r="AD33" s="0" t="s">
        <v>354</v>
      </c>
      <c r="AE33" s="0" t="s">
        <v>355</v>
      </c>
      <c r="AF33" s="0" t="s">
        <v>5684</v>
      </c>
      <c r="AG33" s="0" t="s">
        <v>5685</v>
      </c>
      <c r="AH33" s="0" t="s">
        <v>5822</v>
      </c>
      <c r="AI33" s="0" t="s">
        <v>5823</v>
      </c>
      <c r="AJ33" s="0" t="s">
        <v>227</v>
      </c>
      <c r="AK33" s="0" t="s">
        <v>227</v>
      </c>
      <c r="AL33" s="0" t="s">
        <v>227</v>
      </c>
      <c r="AM33" s="0" t="s">
        <v>227</v>
      </c>
      <c r="AN33" s="0" t="s">
        <v>227</v>
      </c>
      <c r="AO33" s="0" t="s">
        <v>227</v>
      </c>
      <c r="AP33" s="0" t="s">
        <v>227</v>
      </c>
      <c r="AQ33" s="0" t="s">
        <v>227</v>
      </c>
      <c r="AR33" s="0" t="s">
        <v>227</v>
      </c>
      <c r="AS33" s="0" t="s">
        <v>227</v>
      </c>
      <c r="AT33" s="0" t="s">
        <v>227</v>
      </c>
      <c r="AU33" s="0" t="s">
        <v>227</v>
      </c>
      <c r="AV33" s="0" t="s">
        <v>227</v>
      </c>
      <c r="AW33" s="0" t="s">
        <v>227</v>
      </c>
      <c r="AX33" s="0" t="s">
        <v>227</v>
      </c>
      <c r="AY33" s="0" t="s">
        <v>227</v>
      </c>
      <c r="AZ33" s="0" t="s">
        <v>227</v>
      </c>
      <c r="BA33" s="0" t="s">
        <v>227</v>
      </c>
      <c r="BB33" s="0" t="s">
        <v>227</v>
      </c>
      <c r="BC33" s="0" t="s">
        <v>227</v>
      </c>
      <c r="BD33" s="0" t="s">
        <v>227</v>
      </c>
      <c r="BE33" s="0" t="s">
        <v>5748</v>
      </c>
      <c r="BF33" s="0" t="s">
        <v>5749</v>
      </c>
      <c r="BG33" s="0" t="s">
        <v>112</v>
      </c>
      <c r="BH33" s="0" t="s">
        <v>5690</v>
      </c>
      <c r="BI33" s="0" t="s">
        <v>5691</v>
      </c>
      <c r="BJ33" s="0" t="s">
        <v>227</v>
      </c>
      <c r="BK33" s="0" t="s">
        <v>5692</v>
      </c>
      <c r="BL33" s="0" t="s">
        <v>354</v>
      </c>
      <c r="BM33" s="0" t="s">
        <v>354</v>
      </c>
      <c r="BN33" s="0" t="s">
        <v>5693</v>
      </c>
      <c r="BO33" s="0" t="s">
        <v>5684</v>
      </c>
      <c r="BP33" s="0" t="s">
        <v>5694</v>
      </c>
      <c r="BQ33" s="0" t="s">
        <v>5692</v>
      </c>
      <c r="BR33" s="0" t="s">
        <v>5692</v>
      </c>
      <c r="BS33" s="0" t="s">
        <v>227</v>
      </c>
      <c r="BT33" s="0" t="s">
        <v>5695</v>
      </c>
      <c r="BU33" s="0" t="s">
        <v>5824</v>
      </c>
      <c r="BV33" s="0" t="s">
        <v>5824</v>
      </c>
      <c r="BW33" s="0" t="s">
        <v>5697</v>
      </c>
      <c r="BX33" s="0" t="s">
        <v>5697</v>
      </c>
      <c r="BY33" s="0" t="s">
        <v>5697</v>
      </c>
      <c r="BZ33" s="0" t="s">
        <v>5697</v>
      </c>
      <c r="CA33" s="0" t="s">
        <v>5697</v>
      </c>
      <c r="CB33" s="0" t="s">
        <v>227</v>
      </c>
      <c r="CC33" s="0" t="s">
        <v>227</v>
      </c>
      <c r="CD33" s="0" t="s">
        <v>227</v>
      </c>
      <c r="CE33" s="0" t="s">
        <v>227</v>
      </c>
      <c r="CF33" s="0" t="s">
        <v>227</v>
      </c>
      <c r="CG33" s="0" t="s">
        <v>5697</v>
      </c>
      <c r="CH33" s="0" t="s">
        <v>227</v>
      </c>
      <c r="CI33" s="0" t="s">
        <v>227</v>
      </c>
      <c r="CJ33" s="0" t="s">
        <v>227</v>
      </c>
      <c r="CK33" s="0" t="s">
        <v>227</v>
      </c>
      <c r="CL33" s="0" t="s">
        <v>227</v>
      </c>
      <c r="CM33" s="0" t="s">
        <v>5824</v>
      </c>
      <c r="CN33" s="0" t="s">
        <v>5824</v>
      </c>
      <c r="CO33" s="0" t="s">
        <v>227</v>
      </c>
      <c r="CP33" s="0" t="s">
        <v>227</v>
      </c>
      <c r="CQ33" s="0" t="s">
        <v>227</v>
      </c>
      <c r="CR33" s="0" t="s">
        <v>227</v>
      </c>
      <c r="CS33" s="0" t="s">
        <v>5773</v>
      </c>
      <c r="CT33" s="0" t="s">
        <v>5679</v>
      </c>
      <c r="CU33" s="0" t="s">
        <v>5680</v>
      </c>
      <c r="CV33" s="0" t="s">
        <v>430</v>
      </c>
      <c r="CW33" s="0" t="s">
        <v>5699</v>
      </c>
      <c r="CX33" s="0" t="s">
        <v>431</v>
      </c>
      <c r="CY33" s="0" t="s">
        <v>430</v>
      </c>
      <c r="CZ33" s="0" t="s">
        <v>432</v>
      </c>
      <c r="DA33" s="0" t="s">
        <v>433</v>
      </c>
      <c r="DB33" s="0" t="s">
        <v>5700</v>
      </c>
      <c r="DC33" s="0" t="s">
        <v>373</v>
      </c>
      <c r="DD33" s="0" t="s">
        <v>277</v>
      </c>
      <c r="DE33" s="0" t="s">
        <v>477</v>
      </c>
    </row>
    <row customHeight="1" ht="11.25">
      <c r="A34" s="1806" t="s">
        <v>227</v>
      </c>
      <c r="B34" s="0" t="s">
        <v>227</v>
      </c>
      <c r="C34" s="0" t="s">
        <v>227</v>
      </c>
      <c r="D34" s="0" t="s">
        <v>227</v>
      </c>
      <c r="E34" s="0" t="s">
        <v>227</v>
      </c>
      <c r="F34" s="0" t="s">
        <v>227</v>
      </c>
      <c r="G34" s="0" t="s">
        <v>227</v>
      </c>
      <c r="H34" s="0" t="s">
        <v>227</v>
      </c>
      <c r="I34" s="0" t="s">
        <v>5667</v>
      </c>
      <c r="J34" s="0" t="s">
        <v>227</v>
      </c>
      <c r="K34" s="0" t="s">
        <v>227</v>
      </c>
      <c r="L34" s="0" t="s">
        <v>227</v>
      </c>
      <c r="M34" s="0" t="s">
        <v>227</v>
      </c>
      <c r="N34" s="0" t="s">
        <v>227</v>
      </c>
      <c r="O34" s="0" t="s">
        <v>227</v>
      </c>
      <c r="P34" s="0" t="s">
        <v>227</v>
      </c>
      <c r="Q34" s="0" t="s">
        <v>227</v>
      </c>
      <c r="R34" s="0" t="s">
        <v>727</v>
      </c>
      <c r="S34" s="0" t="s">
        <v>227</v>
      </c>
      <c r="T34" s="0" t="s">
        <v>227</v>
      </c>
      <c r="U34" s="0" t="s">
        <v>102</v>
      </c>
      <c r="V34" s="0" t="s">
        <v>227</v>
      </c>
      <c r="W34" s="0" t="s">
        <v>227</v>
      </c>
      <c r="X34" s="0" t="s">
        <v>5683</v>
      </c>
      <c r="Y34" s="0" t="s">
        <v>227</v>
      </c>
      <c r="Z34" s="0" t="s">
        <v>152</v>
      </c>
      <c r="AA34" s="0" t="s">
        <v>152</v>
      </c>
      <c r="AB34" s="0" t="s">
        <v>161</v>
      </c>
      <c r="AC34" s="0" t="s">
        <v>354</v>
      </c>
      <c r="AD34" s="0" t="s">
        <v>354</v>
      </c>
      <c r="AE34" s="0" t="s">
        <v>355</v>
      </c>
      <c r="AF34" s="0" t="s">
        <v>5701</v>
      </c>
      <c r="AG34" s="0" t="s">
        <v>5702</v>
      </c>
      <c r="AH34" s="0" t="s">
        <v>727</v>
      </c>
      <c r="AI34" s="0" t="s">
        <v>5692</v>
      </c>
      <c r="AJ34" s="0" t="s">
        <v>227</v>
      </c>
      <c r="AK34" s="0" t="s">
        <v>227</v>
      </c>
      <c r="AL34" s="0" t="s">
        <v>227</v>
      </c>
      <c r="AM34" s="0" t="s">
        <v>227</v>
      </c>
      <c r="AN34" s="0" t="s">
        <v>227</v>
      </c>
      <c r="AO34" s="0" t="s">
        <v>227</v>
      </c>
      <c r="AP34" s="0" t="s">
        <v>227</v>
      </c>
      <c r="AQ34" s="0" t="s">
        <v>227</v>
      </c>
      <c r="AR34" s="0" t="s">
        <v>227</v>
      </c>
      <c r="AS34" s="0" t="s">
        <v>227</v>
      </c>
      <c r="AT34" s="0" t="s">
        <v>227</v>
      </c>
      <c r="AU34" s="0" t="s">
        <v>227</v>
      </c>
      <c r="AV34" s="0" t="s">
        <v>227</v>
      </c>
      <c r="AW34" s="0" t="s">
        <v>227</v>
      </c>
      <c r="AX34" s="0" t="s">
        <v>227</v>
      </c>
      <c r="AY34" s="0" t="s">
        <v>227</v>
      </c>
      <c r="AZ34" s="0" t="s">
        <v>227</v>
      </c>
      <c r="BA34" s="0" t="s">
        <v>227</v>
      </c>
      <c r="BB34" s="0" t="s">
        <v>227</v>
      </c>
      <c r="BC34" s="0" t="s">
        <v>227</v>
      </c>
      <c r="BD34" s="0" t="s">
        <v>227</v>
      </c>
      <c r="BE34" s="0" t="s">
        <v>5728</v>
      </c>
      <c r="BF34" s="0" t="s">
        <v>5729</v>
      </c>
      <c r="BG34" s="0" t="s">
        <v>112</v>
      </c>
      <c r="BH34" s="0" t="s">
        <v>5690</v>
      </c>
      <c r="BI34" s="0" t="s">
        <v>5691</v>
      </c>
      <c r="BJ34" s="0" t="s">
        <v>227</v>
      </c>
      <c r="BK34" s="0" t="s">
        <v>952</v>
      </c>
      <c r="BL34" s="0" t="s">
        <v>354</v>
      </c>
      <c r="BM34" s="0" t="s">
        <v>354</v>
      </c>
      <c r="BN34" s="0" t="s">
        <v>5693</v>
      </c>
      <c r="BO34" s="0" t="s">
        <v>5701</v>
      </c>
      <c r="BP34" s="0" t="s">
        <v>5706</v>
      </c>
      <c r="BQ34" s="0" t="s">
        <v>5707</v>
      </c>
      <c r="BR34" s="0" t="s">
        <v>5708</v>
      </c>
      <c r="BS34" s="0" t="s">
        <v>227</v>
      </c>
      <c r="BT34" s="0" t="s">
        <v>5712</v>
      </c>
      <c r="BU34" s="0" t="s">
        <v>5825</v>
      </c>
      <c r="BV34" s="0" t="s">
        <v>5825</v>
      </c>
      <c r="BW34" s="0" t="s">
        <v>5697</v>
      </c>
      <c r="BX34" s="0" t="s">
        <v>5697</v>
      </c>
      <c r="BY34" s="0" t="s">
        <v>5697</v>
      </c>
      <c r="BZ34" s="0" t="s">
        <v>5697</v>
      </c>
      <c r="CA34" s="0" t="s">
        <v>5697</v>
      </c>
      <c r="CB34" s="0" t="s">
        <v>227</v>
      </c>
      <c r="CC34" s="0" t="s">
        <v>227</v>
      </c>
      <c r="CD34" s="0" t="s">
        <v>227</v>
      </c>
      <c r="CE34" s="0" t="s">
        <v>227</v>
      </c>
      <c r="CF34" s="0" t="s">
        <v>227</v>
      </c>
      <c r="CG34" s="0" t="s">
        <v>5697</v>
      </c>
      <c r="CH34" s="0" t="s">
        <v>227</v>
      </c>
      <c r="CI34" s="0" t="s">
        <v>227</v>
      </c>
      <c r="CJ34" s="0" t="s">
        <v>227</v>
      </c>
      <c r="CK34" s="0" t="s">
        <v>227</v>
      </c>
      <c r="CL34" s="0" t="s">
        <v>227</v>
      </c>
      <c r="CM34" s="0" t="s">
        <v>5825</v>
      </c>
      <c r="CN34" s="0" t="s">
        <v>5825</v>
      </c>
      <c r="CO34" s="0" t="s">
        <v>227</v>
      </c>
      <c r="CP34" s="0" t="s">
        <v>227</v>
      </c>
      <c r="CQ34" s="0" t="s">
        <v>227</v>
      </c>
      <c r="CR34" s="0" t="s">
        <v>227</v>
      </c>
      <c r="CS34" s="0" t="s">
        <v>5714</v>
      </c>
      <c r="CT34" s="0" t="s">
        <v>5679</v>
      </c>
      <c r="CU34" s="0" t="s">
        <v>5680</v>
      </c>
      <c r="CV34" s="0" t="s">
        <v>430</v>
      </c>
      <c r="CW34" s="0" t="s">
        <v>5699</v>
      </c>
      <c r="CX34" s="0" t="s">
        <v>431</v>
      </c>
      <c r="CY34" s="0" t="s">
        <v>430</v>
      </c>
      <c r="CZ34" s="0" t="s">
        <v>432</v>
      </c>
      <c r="DA34" s="0" t="s">
        <v>433</v>
      </c>
      <c r="DB34" s="0" t="s">
        <v>5700</v>
      </c>
      <c r="DC34" s="0" t="s">
        <v>373</v>
      </c>
      <c r="DD34" s="0" t="s">
        <v>277</v>
      </c>
      <c r="DE34" s="0" t="s">
        <v>728</v>
      </c>
    </row>
    <row customHeight="1" ht="11.25">
      <c r="A35" s="1806" t="s">
        <v>227</v>
      </c>
      <c r="B35" s="0" t="s">
        <v>227</v>
      </c>
      <c r="C35" s="0" t="s">
        <v>227</v>
      </c>
      <c r="D35" s="0" t="s">
        <v>227</v>
      </c>
      <c r="E35" s="0" t="s">
        <v>227</v>
      </c>
      <c r="F35" s="0" t="s">
        <v>227</v>
      </c>
      <c r="G35" s="0" t="s">
        <v>227</v>
      </c>
      <c r="H35" s="0" t="s">
        <v>227</v>
      </c>
      <c r="I35" s="0" t="s">
        <v>5667</v>
      </c>
      <c r="J35" s="0" t="s">
        <v>227</v>
      </c>
      <c r="K35" s="0" t="s">
        <v>227</v>
      </c>
      <c r="L35" s="0" t="s">
        <v>227</v>
      </c>
      <c r="M35" s="0" t="s">
        <v>227</v>
      </c>
      <c r="N35" s="0" t="s">
        <v>227</v>
      </c>
      <c r="O35" s="0" t="s">
        <v>227</v>
      </c>
      <c r="P35" s="0" t="s">
        <v>227</v>
      </c>
      <c r="Q35" s="0" t="s">
        <v>227</v>
      </c>
      <c r="R35" s="0" t="s">
        <v>882</v>
      </c>
      <c r="S35" s="0" t="s">
        <v>227</v>
      </c>
      <c r="T35" s="0" t="s">
        <v>227</v>
      </c>
      <c r="U35" s="0" t="s">
        <v>102</v>
      </c>
      <c r="V35" s="0" t="s">
        <v>227</v>
      </c>
      <c r="W35" s="0" t="s">
        <v>227</v>
      </c>
      <c r="X35" s="0" t="s">
        <v>5683</v>
      </c>
      <c r="Y35" s="0" t="s">
        <v>227</v>
      </c>
      <c r="Z35" s="0" t="s">
        <v>152</v>
      </c>
      <c r="AA35" s="0" t="s">
        <v>152</v>
      </c>
      <c r="AB35" s="0" t="s">
        <v>161</v>
      </c>
      <c r="AC35" s="0" t="s">
        <v>354</v>
      </c>
      <c r="AD35" s="0" t="s">
        <v>354</v>
      </c>
      <c r="AE35" s="0" t="s">
        <v>355</v>
      </c>
      <c r="AF35" s="0" t="s">
        <v>5701</v>
      </c>
      <c r="AG35" s="0" t="s">
        <v>5702</v>
      </c>
      <c r="AH35" s="0" t="s">
        <v>5826</v>
      </c>
      <c r="AI35" s="0" t="s">
        <v>5692</v>
      </c>
      <c r="AJ35" s="0" t="s">
        <v>227</v>
      </c>
      <c r="AK35" s="0" t="s">
        <v>227</v>
      </c>
      <c r="AL35" s="0" t="s">
        <v>227</v>
      </c>
      <c r="AM35" s="0" t="s">
        <v>227</v>
      </c>
      <c r="AN35" s="0" t="s">
        <v>227</v>
      </c>
      <c r="AO35" s="0" t="s">
        <v>227</v>
      </c>
      <c r="AP35" s="0" t="s">
        <v>227</v>
      </c>
      <c r="AQ35" s="0" t="s">
        <v>227</v>
      </c>
      <c r="AR35" s="0" t="s">
        <v>227</v>
      </c>
      <c r="AS35" s="0" t="s">
        <v>227</v>
      </c>
      <c r="AT35" s="0" t="s">
        <v>227</v>
      </c>
      <c r="AU35" s="0" t="s">
        <v>227</v>
      </c>
      <c r="AV35" s="0" t="s">
        <v>227</v>
      </c>
      <c r="AW35" s="0" t="s">
        <v>227</v>
      </c>
      <c r="AX35" s="0" t="s">
        <v>227</v>
      </c>
      <c r="AY35" s="0" t="s">
        <v>227</v>
      </c>
      <c r="AZ35" s="0" t="s">
        <v>227</v>
      </c>
      <c r="BA35" s="0" t="s">
        <v>227</v>
      </c>
      <c r="BB35" s="0" t="s">
        <v>227</v>
      </c>
      <c r="BC35" s="0" t="s">
        <v>227</v>
      </c>
      <c r="BD35" s="0" t="s">
        <v>227</v>
      </c>
      <c r="BE35" s="0" t="s">
        <v>5728</v>
      </c>
      <c r="BF35" s="0" t="s">
        <v>5729</v>
      </c>
      <c r="BG35" s="0" t="s">
        <v>112</v>
      </c>
      <c r="BH35" s="0" t="s">
        <v>5690</v>
      </c>
      <c r="BI35" s="0" t="s">
        <v>5691</v>
      </c>
      <c r="BJ35" s="0" t="s">
        <v>227</v>
      </c>
      <c r="BK35" s="0" t="s">
        <v>952</v>
      </c>
      <c r="BL35" s="0" t="s">
        <v>354</v>
      </c>
      <c r="BM35" s="0" t="s">
        <v>354</v>
      </c>
      <c r="BN35" s="0" t="s">
        <v>5693</v>
      </c>
      <c r="BO35" s="0" t="s">
        <v>5701</v>
      </c>
      <c r="BP35" s="0" t="s">
        <v>5706</v>
      </c>
      <c r="BQ35" s="0" t="s">
        <v>5707</v>
      </c>
      <c r="BR35" s="0" t="s">
        <v>5708</v>
      </c>
      <c r="BS35" s="0" t="s">
        <v>227</v>
      </c>
      <c r="BT35" s="0" t="s">
        <v>5695</v>
      </c>
      <c r="BU35" s="0" t="s">
        <v>5827</v>
      </c>
      <c r="BV35" s="0" t="s">
        <v>5827</v>
      </c>
      <c r="BW35" s="0" t="s">
        <v>5697</v>
      </c>
      <c r="BX35" s="0" t="s">
        <v>5697</v>
      </c>
      <c r="BY35" s="0" t="s">
        <v>5697</v>
      </c>
      <c r="BZ35" s="0" t="s">
        <v>5697</v>
      </c>
      <c r="CA35" s="0" t="s">
        <v>5697</v>
      </c>
      <c r="CB35" s="0" t="s">
        <v>227</v>
      </c>
      <c r="CC35" s="0" t="s">
        <v>227</v>
      </c>
      <c r="CD35" s="0" t="s">
        <v>227</v>
      </c>
      <c r="CE35" s="0" t="s">
        <v>227</v>
      </c>
      <c r="CF35" s="0" t="s">
        <v>227</v>
      </c>
      <c r="CG35" s="0" t="s">
        <v>5697</v>
      </c>
      <c r="CH35" s="0" t="s">
        <v>227</v>
      </c>
      <c r="CI35" s="0" t="s">
        <v>227</v>
      </c>
      <c r="CJ35" s="0" t="s">
        <v>227</v>
      </c>
      <c r="CK35" s="0" t="s">
        <v>227</v>
      </c>
      <c r="CL35" s="0" t="s">
        <v>227</v>
      </c>
      <c r="CM35" s="0" t="s">
        <v>5827</v>
      </c>
      <c r="CN35" s="0" t="s">
        <v>5827</v>
      </c>
      <c r="CO35" s="0" t="s">
        <v>227</v>
      </c>
      <c r="CP35" s="0" t="s">
        <v>227</v>
      </c>
      <c r="CQ35" s="0" t="s">
        <v>227</v>
      </c>
      <c r="CR35" s="0" t="s">
        <v>227</v>
      </c>
      <c r="CS35" s="0" t="s">
        <v>5698</v>
      </c>
      <c r="CT35" s="0" t="s">
        <v>5679</v>
      </c>
      <c r="CU35" s="0" t="s">
        <v>5680</v>
      </c>
      <c r="CV35" s="0" t="s">
        <v>430</v>
      </c>
      <c r="CW35" s="0" t="s">
        <v>5699</v>
      </c>
      <c r="CX35" s="0" t="s">
        <v>431</v>
      </c>
      <c r="CY35" s="0" t="s">
        <v>430</v>
      </c>
      <c r="CZ35" s="0" t="s">
        <v>432</v>
      </c>
      <c r="DA35" s="0" t="s">
        <v>433</v>
      </c>
      <c r="DB35" s="0" t="s">
        <v>5700</v>
      </c>
      <c r="DC35" s="0" t="s">
        <v>373</v>
      </c>
      <c r="DD35" s="0" t="s">
        <v>277</v>
      </c>
      <c r="DE35" s="0" t="s">
        <v>883</v>
      </c>
    </row>
    <row customHeight="1" ht="11.25">
      <c r="A36" s="1806" t="s">
        <v>227</v>
      </c>
      <c r="B36" s="0" t="s">
        <v>227</v>
      </c>
      <c r="C36" s="0" t="s">
        <v>227</v>
      </c>
      <c r="D36" s="0" t="s">
        <v>227</v>
      </c>
      <c r="E36" s="0" t="s">
        <v>227</v>
      </c>
      <c r="F36" s="0" t="s">
        <v>227</v>
      </c>
      <c r="G36" s="0" t="s">
        <v>227</v>
      </c>
      <c r="H36" s="0" t="s">
        <v>227</v>
      </c>
      <c r="I36" s="0" t="s">
        <v>5667</v>
      </c>
      <c r="J36" s="0" t="s">
        <v>227</v>
      </c>
      <c r="K36" s="0" t="s">
        <v>227</v>
      </c>
      <c r="L36" s="0" t="s">
        <v>227</v>
      </c>
      <c r="M36" s="0" t="s">
        <v>227</v>
      </c>
      <c r="N36" s="0" t="s">
        <v>227</v>
      </c>
      <c r="O36" s="0" t="s">
        <v>227</v>
      </c>
      <c r="P36" s="0" t="s">
        <v>227</v>
      </c>
      <c r="Q36" s="0" t="s">
        <v>227</v>
      </c>
      <c r="R36" s="0" t="s">
        <v>447</v>
      </c>
      <c r="S36" s="0" t="s">
        <v>227</v>
      </c>
      <c r="T36" s="0" t="s">
        <v>227</v>
      </c>
      <c r="U36" s="0" t="s">
        <v>102</v>
      </c>
      <c r="V36" s="0" t="s">
        <v>227</v>
      </c>
      <c r="W36" s="0" t="s">
        <v>227</v>
      </c>
      <c r="X36" s="0" t="s">
        <v>5774</v>
      </c>
      <c r="Y36" s="0" t="s">
        <v>227</v>
      </c>
      <c r="Z36" s="0" t="s">
        <v>161</v>
      </c>
      <c r="AA36" s="0" t="s">
        <v>161</v>
      </c>
      <c r="AB36" s="0" t="s">
        <v>161</v>
      </c>
      <c r="AC36" s="0" t="s">
        <v>352</v>
      </c>
      <c r="AD36" s="0" t="s">
        <v>352</v>
      </c>
      <c r="AE36" s="0" t="s">
        <v>353</v>
      </c>
      <c r="AF36" s="0" t="s">
        <v>5669</v>
      </c>
      <c r="AG36" s="0" t="s">
        <v>5670</v>
      </c>
      <c r="AH36" s="0" t="s">
        <v>5828</v>
      </c>
      <c r="AI36" s="0" t="s">
        <v>276</v>
      </c>
      <c r="AJ36" s="0" t="s">
        <v>5829</v>
      </c>
      <c r="AK36" s="0" t="s">
        <v>5830</v>
      </c>
      <c r="AL36" s="0" t="s">
        <v>5777</v>
      </c>
      <c r="AM36" s="0" t="s">
        <v>5676</v>
      </c>
      <c r="AN36" s="0" t="s">
        <v>5831</v>
      </c>
      <c r="AO36" s="0" t="s">
        <v>5832</v>
      </c>
      <c r="AP36" s="0" t="s">
        <v>5829</v>
      </c>
      <c r="AQ36" s="0" t="s">
        <v>5830</v>
      </c>
      <c r="AR36" s="0" t="s">
        <v>227</v>
      </c>
      <c r="AS36" s="0" t="s">
        <v>227</v>
      </c>
      <c r="AT36" s="0" t="s">
        <v>227</v>
      </c>
      <c r="AU36" s="0" t="s">
        <v>227</v>
      </c>
      <c r="AV36" s="0" t="s">
        <v>227</v>
      </c>
      <c r="AW36" s="0" t="s">
        <v>227</v>
      </c>
      <c r="AX36" s="0" t="s">
        <v>227</v>
      </c>
      <c r="AY36" s="0" t="s">
        <v>227</v>
      </c>
      <c r="AZ36" s="0" t="s">
        <v>227</v>
      </c>
      <c r="BA36" s="0" t="s">
        <v>227</v>
      </c>
      <c r="BB36" s="0" t="s">
        <v>227</v>
      </c>
      <c r="BC36" s="0" t="s">
        <v>227</v>
      </c>
      <c r="BD36" s="0" t="s">
        <v>5831</v>
      </c>
      <c r="BE36" s="0" t="s">
        <v>5833</v>
      </c>
      <c r="BF36" s="0" t="s">
        <v>5834</v>
      </c>
      <c r="BG36" s="0" t="s">
        <v>227</v>
      </c>
      <c r="BH36" s="0" t="s">
        <v>227</v>
      </c>
      <c r="BI36" s="0" t="s">
        <v>227</v>
      </c>
      <c r="BJ36" s="0" t="s">
        <v>227</v>
      </c>
      <c r="BK36" s="0" t="s">
        <v>227</v>
      </c>
      <c r="BL36" s="0" t="s">
        <v>227</v>
      </c>
      <c r="BM36" s="0" t="s">
        <v>227</v>
      </c>
      <c r="BN36" s="0" t="s">
        <v>227</v>
      </c>
      <c r="BO36" s="0" t="s">
        <v>227</v>
      </c>
      <c r="BP36" s="0" t="s">
        <v>227</v>
      </c>
      <c r="BQ36" s="0" t="s">
        <v>227</v>
      </c>
      <c r="BR36" s="0" t="s">
        <v>227</v>
      </c>
      <c r="BS36" s="0" t="s">
        <v>227</v>
      </c>
      <c r="BT36" s="0" t="s">
        <v>5712</v>
      </c>
      <c r="BU36" s="0" t="s">
        <v>5835</v>
      </c>
      <c r="BV36" s="0" t="s">
        <v>5697</v>
      </c>
      <c r="BW36" s="0" t="s">
        <v>5836</v>
      </c>
      <c r="BX36" s="0" t="s">
        <v>5697</v>
      </c>
      <c r="BY36" s="0" t="s">
        <v>5837</v>
      </c>
      <c r="BZ36" s="0" t="s">
        <v>5697</v>
      </c>
      <c r="CA36" s="0" t="s">
        <v>5697</v>
      </c>
      <c r="CB36" s="0" t="s">
        <v>227</v>
      </c>
      <c r="CC36" s="0" t="s">
        <v>227</v>
      </c>
      <c r="CD36" s="0" t="s">
        <v>227</v>
      </c>
      <c r="CE36" s="0" t="s">
        <v>227</v>
      </c>
      <c r="CF36" s="0" t="s">
        <v>227</v>
      </c>
      <c r="CG36" s="0" t="s">
        <v>5697</v>
      </c>
      <c r="CH36" s="0" t="s">
        <v>227</v>
      </c>
      <c r="CI36" s="0" t="s">
        <v>227</v>
      </c>
      <c r="CJ36" s="0" t="s">
        <v>227</v>
      </c>
      <c r="CK36" s="0" t="s">
        <v>227</v>
      </c>
      <c r="CL36" s="0" t="s">
        <v>227</v>
      </c>
      <c r="CM36" s="0" t="s">
        <v>5835</v>
      </c>
      <c r="CN36" s="0" t="s">
        <v>227</v>
      </c>
      <c r="CO36" s="0" t="s">
        <v>5836</v>
      </c>
      <c r="CP36" s="0" t="s">
        <v>227</v>
      </c>
      <c r="CQ36" s="0" t="s">
        <v>5837</v>
      </c>
      <c r="CR36" s="0" t="s">
        <v>227</v>
      </c>
      <c r="CS36" s="0" t="s">
        <v>5838</v>
      </c>
      <c r="CT36" s="0" t="s">
        <v>5679</v>
      </c>
      <c r="CU36" s="0" t="s">
        <v>5680</v>
      </c>
      <c r="CV36" s="0" t="s">
        <v>430</v>
      </c>
      <c r="CW36" s="0" t="s">
        <v>5681</v>
      </c>
      <c r="CX36" s="0" t="s">
        <v>431</v>
      </c>
      <c r="CY36" s="0" t="s">
        <v>430</v>
      </c>
      <c r="CZ36" s="0" t="s">
        <v>432</v>
      </c>
      <c r="DA36" s="0" t="s">
        <v>433</v>
      </c>
      <c r="DB36" s="0" t="s">
        <v>5682</v>
      </c>
      <c r="DC36" s="0" t="s">
        <v>373</v>
      </c>
      <c r="DD36" s="0" t="s">
        <v>277</v>
      </c>
      <c r="DE36" s="0" t="s">
        <v>448</v>
      </c>
    </row>
    <row customHeight="1" ht="11.25">
      <c r="A37" s="1806" t="s">
        <v>227</v>
      </c>
      <c r="B37" s="0" t="s">
        <v>227</v>
      </c>
      <c r="C37" s="0" t="s">
        <v>227</v>
      </c>
      <c r="D37" s="0" t="s">
        <v>227</v>
      </c>
      <c r="E37" s="0" t="s">
        <v>227</v>
      </c>
      <c r="F37" s="0" t="s">
        <v>227</v>
      </c>
      <c r="G37" s="0" t="s">
        <v>227</v>
      </c>
      <c r="H37" s="0" t="s">
        <v>227</v>
      </c>
      <c r="I37" s="0" t="s">
        <v>5667</v>
      </c>
      <c r="J37" s="0" t="s">
        <v>227</v>
      </c>
      <c r="K37" s="0" t="s">
        <v>227</v>
      </c>
      <c r="L37" s="0" t="s">
        <v>227</v>
      </c>
      <c r="M37" s="0" t="s">
        <v>227</v>
      </c>
      <c r="N37" s="0" t="s">
        <v>227</v>
      </c>
      <c r="O37" s="0" t="s">
        <v>227</v>
      </c>
      <c r="P37" s="0" t="s">
        <v>227</v>
      </c>
      <c r="Q37" s="0" t="s">
        <v>227</v>
      </c>
      <c r="R37" s="0" t="s">
        <v>444</v>
      </c>
      <c r="S37" s="0" t="s">
        <v>227</v>
      </c>
      <c r="T37" s="0" t="s">
        <v>227</v>
      </c>
      <c r="U37" s="0" t="s">
        <v>102</v>
      </c>
      <c r="V37" s="0" t="s">
        <v>227</v>
      </c>
      <c r="W37" s="0" t="s">
        <v>227</v>
      </c>
      <c r="X37" s="0" t="s">
        <v>5668</v>
      </c>
      <c r="Y37" s="0" t="s">
        <v>227</v>
      </c>
      <c r="Z37" s="0" t="s">
        <v>161</v>
      </c>
      <c r="AA37" s="0" t="s">
        <v>152</v>
      </c>
      <c r="AB37" s="0" t="s">
        <v>152</v>
      </c>
      <c r="AC37" s="0" t="s">
        <v>352</v>
      </c>
      <c r="AD37" s="0" t="s">
        <v>352</v>
      </c>
      <c r="AE37" s="0" t="s">
        <v>353</v>
      </c>
      <c r="AF37" s="0" t="s">
        <v>5669</v>
      </c>
      <c r="AG37" s="0" t="s">
        <v>5670</v>
      </c>
      <c r="AH37" s="0" t="s">
        <v>5839</v>
      </c>
      <c r="AI37" s="0" t="s">
        <v>5840</v>
      </c>
      <c r="AJ37" s="0" t="s">
        <v>5841</v>
      </c>
      <c r="AK37" s="0" t="s">
        <v>5842</v>
      </c>
      <c r="AL37" s="0" t="s">
        <v>5723</v>
      </c>
      <c r="AM37" s="0" t="s">
        <v>5676</v>
      </c>
      <c r="AN37" s="0" t="s">
        <v>5677</v>
      </c>
      <c r="AO37" s="0" t="s">
        <v>5843</v>
      </c>
      <c r="AP37" s="0" t="s">
        <v>227</v>
      </c>
      <c r="AQ37" s="0" t="s">
        <v>227</v>
      </c>
      <c r="AR37" s="0" t="s">
        <v>227</v>
      </c>
      <c r="AS37" s="0" t="s">
        <v>227</v>
      </c>
      <c r="AT37" s="0" t="s">
        <v>227</v>
      </c>
      <c r="AU37" s="0" t="s">
        <v>227</v>
      </c>
      <c r="AV37" s="0" t="s">
        <v>227</v>
      </c>
      <c r="AW37" s="0" t="s">
        <v>227</v>
      </c>
      <c r="AX37" s="0" t="s">
        <v>227</v>
      </c>
      <c r="AY37" s="0" t="s">
        <v>227</v>
      </c>
      <c r="AZ37" s="0" t="s">
        <v>227</v>
      </c>
      <c r="BA37" s="0" t="s">
        <v>227</v>
      </c>
      <c r="BB37" s="0" t="s">
        <v>227</v>
      </c>
      <c r="BC37" s="0" t="s">
        <v>227</v>
      </c>
      <c r="BD37" s="0" t="s">
        <v>227</v>
      </c>
      <c r="BE37" s="0" t="s">
        <v>227</v>
      </c>
      <c r="BF37" s="0" t="s">
        <v>227</v>
      </c>
      <c r="BG37" s="0" t="s">
        <v>227</v>
      </c>
      <c r="BH37" s="0" t="s">
        <v>227</v>
      </c>
      <c r="BI37" s="0" t="s">
        <v>227</v>
      </c>
      <c r="BJ37" s="0" t="s">
        <v>227</v>
      </c>
      <c r="BK37" s="0" t="s">
        <v>227</v>
      </c>
      <c r="BL37" s="0" t="s">
        <v>227</v>
      </c>
      <c r="BM37" s="0" t="s">
        <v>227</v>
      </c>
      <c r="BN37" s="0" t="s">
        <v>227</v>
      </c>
      <c r="BO37" s="0" t="s">
        <v>227</v>
      </c>
      <c r="BP37" s="0" t="s">
        <v>227</v>
      </c>
      <c r="BQ37" s="0" t="s">
        <v>227</v>
      </c>
      <c r="BR37" s="0" t="s">
        <v>227</v>
      </c>
      <c r="BS37" s="0" t="s">
        <v>227</v>
      </c>
      <c r="BT37" s="0" t="s">
        <v>227</v>
      </c>
      <c r="BU37" s="0" t="s">
        <v>227</v>
      </c>
      <c r="BV37" s="0" t="s">
        <v>227</v>
      </c>
      <c r="BW37" s="0" t="s">
        <v>227</v>
      </c>
      <c r="BX37" s="0" t="s">
        <v>227</v>
      </c>
      <c r="BY37" s="0" t="s">
        <v>227</v>
      </c>
      <c r="BZ37" s="0" t="s">
        <v>227</v>
      </c>
      <c r="CA37" s="0" t="s">
        <v>227</v>
      </c>
      <c r="CB37" s="0" t="s">
        <v>227</v>
      </c>
      <c r="CC37" s="0" t="s">
        <v>227</v>
      </c>
      <c r="CD37" s="0" t="s">
        <v>227</v>
      </c>
      <c r="CE37" s="0" t="s">
        <v>227</v>
      </c>
      <c r="CF37" s="0" t="s">
        <v>227</v>
      </c>
      <c r="CG37" s="0" t="s">
        <v>227</v>
      </c>
      <c r="CH37" s="0" t="s">
        <v>227</v>
      </c>
      <c r="CI37" s="0" t="s">
        <v>227</v>
      </c>
      <c r="CJ37" s="0" t="s">
        <v>227</v>
      </c>
      <c r="CK37" s="0" t="s">
        <v>227</v>
      </c>
      <c r="CL37" s="0" t="s">
        <v>227</v>
      </c>
      <c r="CM37" s="0" t="s">
        <v>227</v>
      </c>
      <c r="CN37" s="0" t="s">
        <v>227</v>
      </c>
      <c r="CO37" s="0" t="s">
        <v>227</v>
      </c>
      <c r="CP37" s="0" t="s">
        <v>227</v>
      </c>
      <c r="CQ37" s="0" t="s">
        <v>227</v>
      </c>
      <c r="CR37" s="0" t="s">
        <v>227</v>
      </c>
      <c r="CS37" s="0" t="s">
        <v>227</v>
      </c>
      <c r="CT37" s="0" t="s">
        <v>5679</v>
      </c>
      <c r="CU37" s="0" t="s">
        <v>5680</v>
      </c>
      <c r="CV37" s="0" t="s">
        <v>430</v>
      </c>
      <c r="CW37" s="0" t="s">
        <v>5681</v>
      </c>
      <c r="CX37" s="0" t="s">
        <v>431</v>
      </c>
      <c r="CY37" s="0" t="s">
        <v>430</v>
      </c>
      <c r="CZ37" s="0" t="s">
        <v>432</v>
      </c>
      <c r="DA37" s="0" t="s">
        <v>433</v>
      </c>
      <c r="DB37" s="0" t="s">
        <v>5682</v>
      </c>
      <c r="DC37" s="0" t="s">
        <v>373</v>
      </c>
      <c r="DD37" s="0" t="s">
        <v>277</v>
      </c>
      <c r="DE37" s="0" t="s">
        <v>445</v>
      </c>
    </row>
    <row customHeight="1" ht="11.25">
      <c r="A38" s="1806" t="s">
        <v>227</v>
      </c>
      <c r="B38" s="0" t="s">
        <v>227</v>
      </c>
      <c r="C38" s="0" t="s">
        <v>227</v>
      </c>
      <c r="D38" s="0" t="s">
        <v>227</v>
      </c>
      <c r="E38" s="0" t="s">
        <v>227</v>
      </c>
      <c r="F38" s="0" t="s">
        <v>227</v>
      </c>
      <c r="G38" s="0" t="s">
        <v>227</v>
      </c>
      <c r="H38" s="0" t="s">
        <v>227</v>
      </c>
      <c r="I38" s="0" t="s">
        <v>5667</v>
      </c>
      <c r="J38" s="0" t="s">
        <v>227</v>
      </c>
      <c r="K38" s="0" t="s">
        <v>227</v>
      </c>
      <c r="L38" s="0" t="s">
        <v>227</v>
      </c>
      <c r="M38" s="0" t="s">
        <v>227</v>
      </c>
      <c r="N38" s="0" t="s">
        <v>227</v>
      </c>
      <c r="O38" s="0" t="s">
        <v>227</v>
      </c>
      <c r="P38" s="0" t="s">
        <v>227</v>
      </c>
      <c r="Q38" s="0" t="s">
        <v>227</v>
      </c>
      <c r="R38" s="0" t="s">
        <v>550</v>
      </c>
      <c r="S38" s="0" t="s">
        <v>227</v>
      </c>
      <c r="T38" s="0" t="s">
        <v>227</v>
      </c>
      <c r="U38" s="0" t="s">
        <v>102</v>
      </c>
      <c r="V38" s="0" t="s">
        <v>227</v>
      </c>
      <c r="W38" s="0" t="s">
        <v>227</v>
      </c>
      <c r="X38" s="0" t="s">
        <v>5683</v>
      </c>
      <c r="Y38" s="0" t="s">
        <v>227</v>
      </c>
      <c r="Z38" s="0" t="s">
        <v>152</v>
      </c>
      <c r="AA38" s="0" t="s">
        <v>152</v>
      </c>
      <c r="AB38" s="0" t="s">
        <v>161</v>
      </c>
      <c r="AC38" s="0" t="s">
        <v>354</v>
      </c>
      <c r="AD38" s="0" t="s">
        <v>354</v>
      </c>
      <c r="AE38" s="0" t="s">
        <v>355</v>
      </c>
      <c r="AF38" s="0" t="s">
        <v>5684</v>
      </c>
      <c r="AG38" s="0" t="s">
        <v>5685</v>
      </c>
      <c r="AH38" s="0" t="s">
        <v>5793</v>
      </c>
      <c r="AI38" s="0" t="s">
        <v>5844</v>
      </c>
      <c r="AJ38" s="0" t="s">
        <v>227</v>
      </c>
      <c r="AK38" s="0" t="s">
        <v>227</v>
      </c>
      <c r="AL38" s="0" t="s">
        <v>227</v>
      </c>
      <c r="AM38" s="0" t="s">
        <v>227</v>
      </c>
      <c r="AN38" s="0" t="s">
        <v>227</v>
      </c>
      <c r="AO38" s="0" t="s">
        <v>227</v>
      </c>
      <c r="AP38" s="0" t="s">
        <v>227</v>
      </c>
      <c r="AQ38" s="0" t="s">
        <v>227</v>
      </c>
      <c r="AR38" s="0" t="s">
        <v>227</v>
      </c>
      <c r="AS38" s="0" t="s">
        <v>227</v>
      </c>
      <c r="AT38" s="0" t="s">
        <v>227</v>
      </c>
      <c r="AU38" s="0" t="s">
        <v>227</v>
      </c>
      <c r="AV38" s="0" t="s">
        <v>227</v>
      </c>
      <c r="AW38" s="0" t="s">
        <v>227</v>
      </c>
      <c r="AX38" s="0" t="s">
        <v>227</v>
      </c>
      <c r="AY38" s="0" t="s">
        <v>227</v>
      </c>
      <c r="AZ38" s="0" t="s">
        <v>227</v>
      </c>
      <c r="BA38" s="0" t="s">
        <v>227</v>
      </c>
      <c r="BB38" s="0" t="s">
        <v>227</v>
      </c>
      <c r="BC38" s="0" t="s">
        <v>227</v>
      </c>
      <c r="BD38" s="0" t="s">
        <v>227</v>
      </c>
      <c r="BE38" s="0" t="s">
        <v>5845</v>
      </c>
      <c r="BF38" s="0" t="s">
        <v>5846</v>
      </c>
      <c r="BG38" s="0" t="s">
        <v>112</v>
      </c>
      <c r="BH38" s="0" t="s">
        <v>5690</v>
      </c>
      <c r="BI38" s="0" t="s">
        <v>5691</v>
      </c>
      <c r="BJ38" s="0" t="s">
        <v>227</v>
      </c>
      <c r="BK38" s="0" t="s">
        <v>5692</v>
      </c>
      <c r="BL38" s="0" t="s">
        <v>354</v>
      </c>
      <c r="BM38" s="0" t="s">
        <v>354</v>
      </c>
      <c r="BN38" s="0" t="s">
        <v>5693</v>
      </c>
      <c r="BO38" s="0" t="s">
        <v>5684</v>
      </c>
      <c r="BP38" s="0" t="s">
        <v>5694</v>
      </c>
      <c r="BQ38" s="0" t="s">
        <v>5692</v>
      </c>
      <c r="BR38" s="0" t="s">
        <v>5692</v>
      </c>
      <c r="BS38" s="0" t="s">
        <v>227</v>
      </c>
      <c r="BT38" s="0" t="s">
        <v>5712</v>
      </c>
      <c r="BU38" s="0" t="s">
        <v>5847</v>
      </c>
      <c r="BV38" s="0" t="s">
        <v>5847</v>
      </c>
      <c r="BW38" s="0" t="s">
        <v>5697</v>
      </c>
      <c r="BX38" s="0" t="s">
        <v>5697</v>
      </c>
      <c r="BY38" s="0" t="s">
        <v>5697</v>
      </c>
      <c r="BZ38" s="0" t="s">
        <v>5697</v>
      </c>
      <c r="CA38" s="0" t="s">
        <v>5697</v>
      </c>
      <c r="CB38" s="0" t="s">
        <v>227</v>
      </c>
      <c r="CC38" s="0" t="s">
        <v>227</v>
      </c>
      <c r="CD38" s="0" t="s">
        <v>227</v>
      </c>
      <c r="CE38" s="0" t="s">
        <v>227</v>
      </c>
      <c r="CF38" s="0" t="s">
        <v>227</v>
      </c>
      <c r="CG38" s="0" t="s">
        <v>5697</v>
      </c>
      <c r="CH38" s="0" t="s">
        <v>227</v>
      </c>
      <c r="CI38" s="0" t="s">
        <v>227</v>
      </c>
      <c r="CJ38" s="0" t="s">
        <v>227</v>
      </c>
      <c r="CK38" s="0" t="s">
        <v>227</v>
      </c>
      <c r="CL38" s="0" t="s">
        <v>227</v>
      </c>
      <c r="CM38" s="0" t="s">
        <v>5847</v>
      </c>
      <c r="CN38" s="0" t="s">
        <v>5847</v>
      </c>
      <c r="CO38" s="0" t="s">
        <v>227</v>
      </c>
      <c r="CP38" s="0" t="s">
        <v>227</v>
      </c>
      <c r="CQ38" s="0" t="s">
        <v>227</v>
      </c>
      <c r="CR38" s="0" t="s">
        <v>227</v>
      </c>
      <c r="CS38" s="0" t="s">
        <v>5705</v>
      </c>
      <c r="CT38" s="0" t="s">
        <v>5679</v>
      </c>
      <c r="CU38" s="0" t="s">
        <v>5680</v>
      </c>
      <c r="CV38" s="0" t="s">
        <v>430</v>
      </c>
      <c r="CW38" s="0" t="s">
        <v>5699</v>
      </c>
      <c r="CX38" s="0" t="s">
        <v>431</v>
      </c>
      <c r="CY38" s="0" t="s">
        <v>430</v>
      </c>
      <c r="CZ38" s="0" t="s">
        <v>432</v>
      </c>
      <c r="DA38" s="0" t="s">
        <v>433</v>
      </c>
      <c r="DB38" s="0" t="s">
        <v>5700</v>
      </c>
      <c r="DC38" s="0" t="s">
        <v>373</v>
      </c>
      <c r="DD38" s="0" t="s">
        <v>277</v>
      </c>
      <c r="DE38" s="0" t="s">
        <v>551</v>
      </c>
    </row>
    <row customHeight="1" ht="11.25">
      <c r="A39" s="1806" t="s">
        <v>227</v>
      </c>
      <c r="B39" s="0" t="s">
        <v>227</v>
      </c>
      <c r="C39" s="0" t="s">
        <v>227</v>
      </c>
      <c r="D39" s="0" t="s">
        <v>227</v>
      </c>
      <c r="E39" s="0" t="s">
        <v>227</v>
      </c>
      <c r="F39" s="0" t="s">
        <v>227</v>
      </c>
      <c r="G39" s="0" t="s">
        <v>227</v>
      </c>
      <c r="H39" s="0" t="s">
        <v>227</v>
      </c>
      <c r="I39" s="0" t="s">
        <v>5667</v>
      </c>
      <c r="J39" s="0" t="s">
        <v>227</v>
      </c>
      <c r="K39" s="0" t="s">
        <v>227</v>
      </c>
      <c r="L39" s="0" t="s">
        <v>227</v>
      </c>
      <c r="M39" s="0" t="s">
        <v>227</v>
      </c>
      <c r="N39" s="0" t="s">
        <v>227</v>
      </c>
      <c r="O39" s="0" t="s">
        <v>227</v>
      </c>
      <c r="P39" s="0" t="s">
        <v>227</v>
      </c>
      <c r="Q39" s="0" t="s">
        <v>227</v>
      </c>
      <c r="R39" s="0" t="s">
        <v>542</v>
      </c>
      <c r="S39" s="0" t="s">
        <v>227</v>
      </c>
      <c r="T39" s="0" t="s">
        <v>227</v>
      </c>
      <c r="U39" s="0" t="s">
        <v>102</v>
      </c>
      <c r="V39" s="0" t="s">
        <v>227</v>
      </c>
      <c r="W39" s="0" t="s">
        <v>227</v>
      </c>
      <c r="X39" s="0" t="s">
        <v>5683</v>
      </c>
      <c r="Y39" s="0" t="s">
        <v>227</v>
      </c>
      <c r="Z39" s="0" t="s">
        <v>152</v>
      </c>
      <c r="AA39" s="0" t="s">
        <v>152</v>
      </c>
      <c r="AB39" s="0" t="s">
        <v>161</v>
      </c>
      <c r="AC39" s="0" t="s">
        <v>354</v>
      </c>
      <c r="AD39" s="0" t="s">
        <v>354</v>
      </c>
      <c r="AE39" s="0" t="s">
        <v>355</v>
      </c>
      <c r="AF39" s="0" t="s">
        <v>5684</v>
      </c>
      <c r="AG39" s="0" t="s">
        <v>5685</v>
      </c>
      <c r="AH39" s="0" t="s">
        <v>5848</v>
      </c>
      <c r="AI39" s="0" t="s">
        <v>5849</v>
      </c>
      <c r="AJ39" s="0" t="s">
        <v>227</v>
      </c>
      <c r="AK39" s="0" t="s">
        <v>227</v>
      </c>
      <c r="AL39" s="0" t="s">
        <v>227</v>
      </c>
      <c r="AM39" s="0" t="s">
        <v>227</v>
      </c>
      <c r="AN39" s="0" t="s">
        <v>227</v>
      </c>
      <c r="AO39" s="0" t="s">
        <v>227</v>
      </c>
      <c r="AP39" s="0" t="s">
        <v>227</v>
      </c>
      <c r="AQ39" s="0" t="s">
        <v>227</v>
      </c>
      <c r="AR39" s="0" t="s">
        <v>227</v>
      </c>
      <c r="AS39" s="0" t="s">
        <v>227</v>
      </c>
      <c r="AT39" s="0" t="s">
        <v>227</v>
      </c>
      <c r="AU39" s="0" t="s">
        <v>227</v>
      </c>
      <c r="AV39" s="0" t="s">
        <v>227</v>
      </c>
      <c r="AW39" s="0" t="s">
        <v>227</v>
      </c>
      <c r="AX39" s="0" t="s">
        <v>227</v>
      </c>
      <c r="AY39" s="0" t="s">
        <v>227</v>
      </c>
      <c r="AZ39" s="0" t="s">
        <v>227</v>
      </c>
      <c r="BA39" s="0" t="s">
        <v>227</v>
      </c>
      <c r="BB39" s="0" t="s">
        <v>227</v>
      </c>
      <c r="BC39" s="0" t="s">
        <v>227</v>
      </c>
      <c r="BD39" s="0" t="s">
        <v>227</v>
      </c>
      <c r="BE39" s="0" t="s">
        <v>5743</v>
      </c>
      <c r="BF39" s="0" t="s">
        <v>5737</v>
      </c>
      <c r="BG39" s="0" t="s">
        <v>112</v>
      </c>
      <c r="BH39" s="0" t="s">
        <v>5690</v>
      </c>
      <c r="BI39" s="0" t="s">
        <v>5691</v>
      </c>
      <c r="BJ39" s="0" t="s">
        <v>227</v>
      </c>
      <c r="BK39" s="0" t="s">
        <v>5692</v>
      </c>
      <c r="BL39" s="0" t="s">
        <v>354</v>
      </c>
      <c r="BM39" s="0" t="s">
        <v>354</v>
      </c>
      <c r="BN39" s="0" t="s">
        <v>5693</v>
      </c>
      <c r="BO39" s="0" t="s">
        <v>5684</v>
      </c>
      <c r="BP39" s="0" t="s">
        <v>5694</v>
      </c>
      <c r="BQ39" s="0" t="s">
        <v>5692</v>
      </c>
      <c r="BR39" s="0" t="s">
        <v>5692</v>
      </c>
      <c r="BS39" s="0" t="s">
        <v>227</v>
      </c>
      <c r="BT39" s="0" t="s">
        <v>5712</v>
      </c>
      <c r="BU39" s="0" t="s">
        <v>5850</v>
      </c>
      <c r="BV39" s="0" t="s">
        <v>5850</v>
      </c>
      <c r="BW39" s="0" t="s">
        <v>5697</v>
      </c>
      <c r="BX39" s="0" t="s">
        <v>5697</v>
      </c>
      <c r="BY39" s="0" t="s">
        <v>5697</v>
      </c>
      <c r="BZ39" s="0" t="s">
        <v>5697</v>
      </c>
      <c r="CA39" s="0" t="s">
        <v>5697</v>
      </c>
      <c r="CB39" s="0" t="s">
        <v>227</v>
      </c>
      <c r="CC39" s="0" t="s">
        <v>227</v>
      </c>
      <c r="CD39" s="0" t="s">
        <v>227</v>
      </c>
      <c r="CE39" s="0" t="s">
        <v>227</v>
      </c>
      <c r="CF39" s="0" t="s">
        <v>227</v>
      </c>
      <c r="CG39" s="0" t="s">
        <v>5697</v>
      </c>
      <c r="CH39" s="0" t="s">
        <v>227</v>
      </c>
      <c r="CI39" s="0" t="s">
        <v>227</v>
      </c>
      <c r="CJ39" s="0" t="s">
        <v>227</v>
      </c>
      <c r="CK39" s="0" t="s">
        <v>227</v>
      </c>
      <c r="CL39" s="0" t="s">
        <v>227</v>
      </c>
      <c r="CM39" s="0" t="s">
        <v>5850</v>
      </c>
      <c r="CN39" s="0" t="s">
        <v>5850</v>
      </c>
      <c r="CO39" s="0" t="s">
        <v>227</v>
      </c>
      <c r="CP39" s="0" t="s">
        <v>227</v>
      </c>
      <c r="CQ39" s="0" t="s">
        <v>227</v>
      </c>
      <c r="CR39" s="0" t="s">
        <v>227</v>
      </c>
      <c r="CS39" s="0" t="s">
        <v>5773</v>
      </c>
      <c r="CT39" s="0" t="s">
        <v>5679</v>
      </c>
      <c r="CU39" s="0" t="s">
        <v>5680</v>
      </c>
      <c r="CV39" s="0" t="s">
        <v>430</v>
      </c>
      <c r="CW39" s="0" t="s">
        <v>5699</v>
      </c>
      <c r="CX39" s="0" t="s">
        <v>431</v>
      </c>
      <c r="CY39" s="0" t="s">
        <v>430</v>
      </c>
      <c r="CZ39" s="0" t="s">
        <v>432</v>
      </c>
      <c r="DA39" s="0" t="s">
        <v>433</v>
      </c>
      <c r="DB39" s="0" t="s">
        <v>5700</v>
      </c>
      <c r="DC39" s="0" t="s">
        <v>373</v>
      </c>
      <c r="DD39" s="0" t="s">
        <v>277</v>
      </c>
      <c r="DE39" s="0" t="s">
        <v>543</v>
      </c>
    </row>
    <row customHeight="1" ht="11.25">
      <c r="A40" s="1806" t="s">
        <v>227</v>
      </c>
      <c r="B40" s="0" t="s">
        <v>227</v>
      </c>
      <c r="C40" s="0" t="s">
        <v>227</v>
      </c>
      <c r="D40" s="0" t="s">
        <v>227</v>
      </c>
      <c r="E40" s="0" t="s">
        <v>227</v>
      </c>
      <c r="F40" s="0" t="s">
        <v>227</v>
      </c>
      <c r="G40" s="0" t="s">
        <v>227</v>
      </c>
      <c r="H40" s="0" t="s">
        <v>227</v>
      </c>
      <c r="I40" s="0" t="s">
        <v>5667</v>
      </c>
      <c r="J40" s="0" t="s">
        <v>227</v>
      </c>
      <c r="K40" s="0" t="s">
        <v>227</v>
      </c>
      <c r="L40" s="0" t="s">
        <v>227</v>
      </c>
      <c r="M40" s="0" t="s">
        <v>227</v>
      </c>
      <c r="N40" s="0" t="s">
        <v>227</v>
      </c>
      <c r="O40" s="0" t="s">
        <v>227</v>
      </c>
      <c r="P40" s="0" t="s">
        <v>227</v>
      </c>
      <c r="Q40" s="0" t="s">
        <v>227</v>
      </c>
      <c r="R40" s="0" t="s">
        <v>544</v>
      </c>
      <c r="S40" s="0" t="s">
        <v>227</v>
      </c>
      <c r="T40" s="0" t="s">
        <v>227</v>
      </c>
      <c r="U40" s="0" t="s">
        <v>102</v>
      </c>
      <c r="V40" s="0" t="s">
        <v>227</v>
      </c>
      <c r="W40" s="0" t="s">
        <v>227</v>
      </c>
      <c r="X40" s="0" t="s">
        <v>5683</v>
      </c>
      <c r="Y40" s="0" t="s">
        <v>227</v>
      </c>
      <c r="Z40" s="0" t="s">
        <v>152</v>
      </c>
      <c r="AA40" s="0" t="s">
        <v>152</v>
      </c>
      <c r="AB40" s="0" t="s">
        <v>161</v>
      </c>
      <c r="AC40" s="0" t="s">
        <v>354</v>
      </c>
      <c r="AD40" s="0" t="s">
        <v>354</v>
      </c>
      <c r="AE40" s="0" t="s">
        <v>355</v>
      </c>
      <c r="AF40" s="0" t="s">
        <v>5684</v>
      </c>
      <c r="AG40" s="0" t="s">
        <v>5685</v>
      </c>
      <c r="AH40" s="0" t="s">
        <v>5851</v>
      </c>
      <c r="AI40" s="0" t="s">
        <v>5852</v>
      </c>
      <c r="AJ40" s="0" t="s">
        <v>227</v>
      </c>
      <c r="AK40" s="0" t="s">
        <v>227</v>
      </c>
      <c r="AL40" s="0" t="s">
        <v>227</v>
      </c>
      <c r="AM40" s="0" t="s">
        <v>227</v>
      </c>
      <c r="AN40" s="0" t="s">
        <v>227</v>
      </c>
      <c r="AO40" s="0" t="s">
        <v>227</v>
      </c>
      <c r="AP40" s="0" t="s">
        <v>227</v>
      </c>
      <c r="AQ40" s="0" t="s">
        <v>227</v>
      </c>
      <c r="AR40" s="0" t="s">
        <v>227</v>
      </c>
      <c r="AS40" s="0" t="s">
        <v>227</v>
      </c>
      <c r="AT40" s="0" t="s">
        <v>227</v>
      </c>
      <c r="AU40" s="0" t="s">
        <v>227</v>
      </c>
      <c r="AV40" s="0" t="s">
        <v>227</v>
      </c>
      <c r="AW40" s="0" t="s">
        <v>227</v>
      </c>
      <c r="AX40" s="0" t="s">
        <v>227</v>
      </c>
      <c r="AY40" s="0" t="s">
        <v>227</v>
      </c>
      <c r="AZ40" s="0" t="s">
        <v>227</v>
      </c>
      <c r="BA40" s="0" t="s">
        <v>227</v>
      </c>
      <c r="BB40" s="0" t="s">
        <v>227</v>
      </c>
      <c r="BC40" s="0" t="s">
        <v>227</v>
      </c>
      <c r="BD40" s="0" t="s">
        <v>227</v>
      </c>
      <c r="BE40" s="0" t="s">
        <v>5716</v>
      </c>
      <c r="BF40" s="0" t="s">
        <v>5853</v>
      </c>
      <c r="BG40" s="0" t="s">
        <v>112</v>
      </c>
      <c r="BH40" s="0" t="s">
        <v>5690</v>
      </c>
      <c r="BI40" s="0" t="s">
        <v>5691</v>
      </c>
      <c r="BJ40" s="0" t="s">
        <v>227</v>
      </c>
      <c r="BK40" s="0" t="s">
        <v>5692</v>
      </c>
      <c r="BL40" s="0" t="s">
        <v>354</v>
      </c>
      <c r="BM40" s="0" t="s">
        <v>354</v>
      </c>
      <c r="BN40" s="0" t="s">
        <v>5693</v>
      </c>
      <c r="BO40" s="0" t="s">
        <v>5684</v>
      </c>
      <c r="BP40" s="0" t="s">
        <v>5694</v>
      </c>
      <c r="BQ40" s="0" t="s">
        <v>5692</v>
      </c>
      <c r="BR40" s="0" t="s">
        <v>5692</v>
      </c>
      <c r="BS40" s="0" t="s">
        <v>227</v>
      </c>
      <c r="BT40" s="0" t="s">
        <v>5695</v>
      </c>
      <c r="BU40" s="0" t="s">
        <v>5772</v>
      </c>
      <c r="BV40" s="0" t="s">
        <v>5772</v>
      </c>
      <c r="BW40" s="0" t="s">
        <v>5697</v>
      </c>
      <c r="BX40" s="0" t="s">
        <v>5697</v>
      </c>
      <c r="BY40" s="0" t="s">
        <v>5697</v>
      </c>
      <c r="BZ40" s="0" t="s">
        <v>5697</v>
      </c>
      <c r="CA40" s="0" t="s">
        <v>5697</v>
      </c>
      <c r="CB40" s="0" t="s">
        <v>227</v>
      </c>
      <c r="CC40" s="0" t="s">
        <v>227</v>
      </c>
      <c r="CD40" s="0" t="s">
        <v>227</v>
      </c>
      <c r="CE40" s="0" t="s">
        <v>227</v>
      </c>
      <c r="CF40" s="0" t="s">
        <v>227</v>
      </c>
      <c r="CG40" s="0" t="s">
        <v>5697</v>
      </c>
      <c r="CH40" s="0" t="s">
        <v>227</v>
      </c>
      <c r="CI40" s="0" t="s">
        <v>227</v>
      </c>
      <c r="CJ40" s="0" t="s">
        <v>227</v>
      </c>
      <c r="CK40" s="0" t="s">
        <v>227</v>
      </c>
      <c r="CL40" s="0" t="s">
        <v>227</v>
      </c>
      <c r="CM40" s="0" t="s">
        <v>5772</v>
      </c>
      <c r="CN40" s="0" t="s">
        <v>5772</v>
      </c>
      <c r="CO40" s="0" t="s">
        <v>227</v>
      </c>
      <c r="CP40" s="0" t="s">
        <v>227</v>
      </c>
      <c r="CQ40" s="0" t="s">
        <v>227</v>
      </c>
      <c r="CR40" s="0" t="s">
        <v>227</v>
      </c>
      <c r="CS40" s="0" t="s">
        <v>5705</v>
      </c>
      <c r="CT40" s="0" t="s">
        <v>5679</v>
      </c>
      <c r="CU40" s="0" t="s">
        <v>5680</v>
      </c>
      <c r="CV40" s="0" t="s">
        <v>430</v>
      </c>
      <c r="CW40" s="0" t="s">
        <v>5699</v>
      </c>
      <c r="CX40" s="0" t="s">
        <v>431</v>
      </c>
      <c r="CY40" s="0" t="s">
        <v>430</v>
      </c>
      <c r="CZ40" s="0" t="s">
        <v>432</v>
      </c>
      <c r="DA40" s="0" t="s">
        <v>433</v>
      </c>
      <c r="DB40" s="0" t="s">
        <v>5700</v>
      </c>
      <c r="DC40" s="0" t="s">
        <v>373</v>
      </c>
      <c r="DD40" s="0" t="s">
        <v>277</v>
      </c>
      <c r="DE40" s="0" t="s">
        <v>545</v>
      </c>
    </row>
    <row customHeight="1" ht="11.25">
      <c r="A41" s="1806" t="s">
        <v>227</v>
      </c>
      <c r="B41" s="0" t="s">
        <v>227</v>
      </c>
      <c r="C41" s="0" t="s">
        <v>227</v>
      </c>
      <c r="D41" s="0" t="s">
        <v>227</v>
      </c>
      <c r="E41" s="0" t="s">
        <v>227</v>
      </c>
      <c r="F41" s="0" t="s">
        <v>227</v>
      </c>
      <c r="G41" s="0" t="s">
        <v>227</v>
      </c>
      <c r="H41" s="0" t="s">
        <v>227</v>
      </c>
      <c r="I41" s="0" t="s">
        <v>5667</v>
      </c>
      <c r="J41" s="0" t="s">
        <v>227</v>
      </c>
      <c r="K41" s="0" t="s">
        <v>227</v>
      </c>
      <c r="L41" s="0" t="s">
        <v>227</v>
      </c>
      <c r="M41" s="0" t="s">
        <v>227</v>
      </c>
      <c r="N41" s="0" t="s">
        <v>227</v>
      </c>
      <c r="O41" s="0" t="s">
        <v>227</v>
      </c>
      <c r="P41" s="0" t="s">
        <v>227</v>
      </c>
      <c r="Q41" s="0" t="s">
        <v>227</v>
      </c>
      <c r="R41" s="0" t="s">
        <v>474</v>
      </c>
      <c r="S41" s="0" t="s">
        <v>227</v>
      </c>
      <c r="T41" s="0" t="s">
        <v>227</v>
      </c>
      <c r="U41" s="0" t="s">
        <v>102</v>
      </c>
      <c r="V41" s="0" t="s">
        <v>227</v>
      </c>
      <c r="W41" s="0" t="s">
        <v>227</v>
      </c>
      <c r="X41" s="0" t="s">
        <v>5683</v>
      </c>
      <c r="Y41" s="0" t="s">
        <v>227</v>
      </c>
      <c r="Z41" s="0" t="s">
        <v>152</v>
      </c>
      <c r="AA41" s="0" t="s">
        <v>152</v>
      </c>
      <c r="AB41" s="0" t="s">
        <v>161</v>
      </c>
      <c r="AC41" s="0" t="s">
        <v>354</v>
      </c>
      <c r="AD41" s="0" t="s">
        <v>354</v>
      </c>
      <c r="AE41" s="0" t="s">
        <v>355</v>
      </c>
      <c r="AF41" s="0" t="s">
        <v>5684</v>
      </c>
      <c r="AG41" s="0" t="s">
        <v>5685</v>
      </c>
      <c r="AH41" s="0" t="s">
        <v>5854</v>
      </c>
      <c r="AI41" s="0" t="s">
        <v>5855</v>
      </c>
      <c r="AJ41" s="0" t="s">
        <v>227</v>
      </c>
      <c r="AK41" s="0" t="s">
        <v>227</v>
      </c>
      <c r="AL41" s="0" t="s">
        <v>227</v>
      </c>
      <c r="AM41" s="0" t="s">
        <v>227</v>
      </c>
      <c r="AN41" s="0" t="s">
        <v>227</v>
      </c>
      <c r="AO41" s="0" t="s">
        <v>227</v>
      </c>
      <c r="AP41" s="0" t="s">
        <v>227</v>
      </c>
      <c r="AQ41" s="0" t="s">
        <v>227</v>
      </c>
      <c r="AR41" s="0" t="s">
        <v>227</v>
      </c>
      <c r="AS41" s="0" t="s">
        <v>227</v>
      </c>
      <c r="AT41" s="0" t="s">
        <v>227</v>
      </c>
      <c r="AU41" s="0" t="s">
        <v>227</v>
      </c>
      <c r="AV41" s="0" t="s">
        <v>227</v>
      </c>
      <c r="AW41" s="0" t="s">
        <v>227</v>
      </c>
      <c r="AX41" s="0" t="s">
        <v>227</v>
      </c>
      <c r="AY41" s="0" t="s">
        <v>227</v>
      </c>
      <c r="AZ41" s="0" t="s">
        <v>227</v>
      </c>
      <c r="BA41" s="0" t="s">
        <v>227</v>
      </c>
      <c r="BB41" s="0" t="s">
        <v>227</v>
      </c>
      <c r="BC41" s="0" t="s">
        <v>227</v>
      </c>
      <c r="BD41" s="0" t="s">
        <v>227</v>
      </c>
      <c r="BE41" s="0" t="s">
        <v>5716</v>
      </c>
      <c r="BF41" s="0" t="s">
        <v>5856</v>
      </c>
      <c r="BG41" s="0" t="s">
        <v>112</v>
      </c>
      <c r="BH41" s="0" t="s">
        <v>5690</v>
      </c>
      <c r="BI41" s="0" t="s">
        <v>5691</v>
      </c>
      <c r="BJ41" s="0" t="s">
        <v>227</v>
      </c>
      <c r="BK41" s="0" t="s">
        <v>5692</v>
      </c>
      <c r="BL41" s="0" t="s">
        <v>354</v>
      </c>
      <c r="BM41" s="0" t="s">
        <v>354</v>
      </c>
      <c r="BN41" s="0" t="s">
        <v>5693</v>
      </c>
      <c r="BO41" s="0" t="s">
        <v>5684</v>
      </c>
      <c r="BP41" s="0" t="s">
        <v>5694</v>
      </c>
      <c r="BQ41" s="0" t="s">
        <v>5692</v>
      </c>
      <c r="BR41" s="0" t="s">
        <v>5692</v>
      </c>
      <c r="BS41" s="0" t="s">
        <v>227</v>
      </c>
      <c r="BT41" s="0" t="s">
        <v>5695</v>
      </c>
      <c r="BU41" s="0" t="s">
        <v>5857</v>
      </c>
      <c r="BV41" s="0" t="s">
        <v>5857</v>
      </c>
      <c r="BW41" s="0" t="s">
        <v>5697</v>
      </c>
      <c r="BX41" s="0" t="s">
        <v>5697</v>
      </c>
      <c r="BY41" s="0" t="s">
        <v>5697</v>
      </c>
      <c r="BZ41" s="0" t="s">
        <v>5697</v>
      </c>
      <c r="CA41" s="0" t="s">
        <v>5697</v>
      </c>
      <c r="CB41" s="0" t="s">
        <v>227</v>
      </c>
      <c r="CC41" s="0" t="s">
        <v>227</v>
      </c>
      <c r="CD41" s="0" t="s">
        <v>227</v>
      </c>
      <c r="CE41" s="0" t="s">
        <v>227</v>
      </c>
      <c r="CF41" s="0" t="s">
        <v>227</v>
      </c>
      <c r="CG41" s="0" t="s">
        <v>5697</v>
      </c>
      <c r="CH41" s="0" t="s">
        <v>227</v>
      </c>
      <c r="CI41" s="0" t="s">
        <v>227</v>
      </c>
      <c r="CJ41" s="0" t="s">
        <v>227</v>
      </c>
      <c r="CK41" s="0" t="s">
        <v>227</v>
      </c>
      <c r="CL41" s="0" t="s">
        <v>227</v>
      </c>
      <c r="CM41" s="0" t="s">
        <v>5857</v>
      </c>
      <c r="CN41" s="0" t="s">
        <v>5857</v>
      </c>
      <c r="CO41" s="0" t="s">
        <v>227</v>
      </c>
      <c r="CP41" s="0" t="s">
        <v>227</v>
      </c>
      <c r="CQ41" s="0" t="s">
        <v>227</v>
      </c>
      <c r="CR41" s="0" t="s">
        <v>227</v>
      </c>
      <c r="CS41" s="0" t="s">
        <v>5705</v>
      </c>
      <c r="CT41" s="0" t="s">
        <v>5679</v>
      </c>
      <c r="CU41" s="0" t="s">
        <v>5680</v>
      </c>
      <c r="CV41" s="0" t="s">
        <v>430</v>
      </c>
      <c r="CW41" s="0" t="s">
        <v>5699</v>
      </c>
      <c r="CX41" s="0" t="s">
        <v>431</v>
      </c>
      <c r="CY41" s="0" t="s">
        <v>430</v>
      </c>
      <c r="CZ41" s="0" t="s">
        <v>432</v>
      </c>
      <c r="DA41" s="0" t="s">
        <v>433</v>
      </c>
      <c r="DB41" s="0" t="s">
        <v>5700</v>
      </c>
      <c r="DC41" s="0" t="s">
        <v>373</v>
      </c>
      <c r="DD41" s="0" t="s">
        <v>277</v>
      </c>
      <c r="DE41" s="0" t="s">
        <v>475</v>
      </c>
    </row>
    <row customHeight="1" ht="11.25">
      <c r="A42" s="1806" t="s">
        <v>227</v>
      </c>
      <c r="B42" s="0" t="s">
        <v>227</v>
      </c>
      <c r="C42" s="0" t="s">
        <v>227</v>
      </c>
      <c r="D42" s="0" t="s">
        <v>227</v>
      </c>
      <c r="E42" s="0" t="s">
        <v>227</v>
      </c>
      <c r="F42" s="0" t="s">
        <v>227</v>
      </c>
      <c r="G42" s="0" t="s">
        <v>227</v>
      </c>
      <c r="H42" s="0" t="s">
        <v>227</v>
      </c>
      <c r="I42" s="0" t="s">
        <v>5667</v>
      </c>
      <c r="J42" s="0" t="s">
        <v>227</v>
      </c>
      <c r="K42" s="0" t="s">
        <v>227</v>
      </c>
      <c r="L42" s="0" t="s">
        <v>227</v>
      </c>
      <c r="M42" s="0" t="s">
        <v>227</v>
      </c>
      <c r="N42" s="0" t="s">
        <v>227</v>
      </c>
      <c r="O42" s="0" t="s">
        <v>227</v>
      </c>
      <c r="P42" s="0" t="s">
        <v>227</v>
      </c>
      <c r="Q42" s="0" t="s">
        <v>227</v>
      </c>
      <c r="R42" s="0" t="s">
        <v>797</v>
      </c>
      <c r="S42" s="0" t="s">
        <v>227</v>
      </c>
      <c r="T42" s="0" t="s">
        <v>227</v>
      </c>
      <c r="U42" s="0" t="s">
        <v>102</v>
      </c>
      <c r="V42" s="0" t="s">
        <v>227</v>
      </c>
      <c r="W42" s="0" t="s">
        <v>227</v>
      </c>
      <c r="X42" s="0" t="s">
        <v>5683</v>
      </c>
      <c r="Y42" s="0" t="s">
        <v>227</v>
      </c>
      <c r="Z42" s="0" t="s">
        <v>152</v>
      </c>
      <c r="AA42" s="0" t="s">
        <v>152</v>
      </c>
      <c r="AB42" s="0" t="s">
        <v>161</v>
      </c>
      <c r="AC42" s="0" t="s">
        <v>354</v>
      </c>
      <c r="AD42" s="0" t="s">
        <v>354</v>
      </c>
      <c r="AE42" s="0" t="s">
        <v>355</v>
      </c>
      <c r="AF42" s="0" t="s">
        <v>5701</v>
      </c>
      <c r="AG42" s="0" t="s">
        <v>5702</v>
      </c>
      <c r="AH42" s="0" t="s">
        <v>5703</v>
      </c>
      <c r="AI42" s="0" t="s">
        <v>532</v>
      </c>
      <c r="AJ42" s="0" t="s">
        <v>227</v>
      </c>
      <c r="AK42" s="0" t="s">
        <v>227</v>
      </c>
      <c r="AL42" s="0" t="s">
        <v>227</v>
      </c>
      <c r="AM42" s="0" t="s">
        <v>227</v>
      </c>
      <c r="AN42" s="0" t="s">
        <v>227</v>
      </c>
      <c r="AO42" s="0" t="s">
        <v>227</v>
      </c>
      <c r="AP42" s="0" t="s">
        <v>227</v>
      </c>
      <c r="AQ42" s="0" t="s">
        <v>227</v>
      </c>
      <c r="AR42" s="0" t="s">
        <v>227</v>
      </c>
      <c r="AS42" s="0" t="s">
        <v>227</v>
      </c>
      <c r="AT42" s="0" t="s">
        <v>227</v>
      </c>
      <c r="AU42" s="0" t="s">
        <v>227</v>
      </c>
      <c r="AV42" s="0" t="s">
        <v>227</v>
      </c>
      <c r="AW42" s="0" t="s">
        <v>227</v>
      </c>
      <c r="AX42" s="0" t="s">
        <v>227</v>
      </c>
      <c r="AY42" s="0" t="s">
        <v>227</v>
      </c>
      <c r="AZ42" s="0" t="s">
        <v>227</v>
      </c>
      <c r="BA42" s="0" t="s">
        <v>227</v>
      </c>
      <c r="BB42" s="0" t="s">
        <v>227</v>
      </c>
      <c r="BC42" s="0" t="s">
        <v>227</v>
      </c>
      <c r="BD42" s="0" t="s">
        <v>227</v>
      </c>
      <c r="BE42" s="0" t="s">
        <v>5704</v>
      </c>
      <c r="BF42" s="0" t="s">
        <v>5858</v>
      </c>
      <c r="BG42" s="0" t="s">
        <v>112</v>
      </c>
      <c r="BH42" s="0" t="s">
        <v>5690</v>
      </c>
      <c r="BI42" s="0" t="s">
        <v>5691</v>
      </c>
      <c r="BJ42" s="0" t="s">
        <v>227</v>
      </c>
      <c r="BK42" s="0" t="s">
        <v>952</v>
      </c>
      <c r="BL42" s="0" t="s">
        <v>354</v>
      </c>
      <c r="BM42" s="0" t="s">
        <v>354</v>
      </c>
      <c r="BN42" s="0" t="s">
        <v>5693</v>
      </c>
      <c r="BO42" s="0" t="s">
        <v>5701</v>
      </c>
      <c r="BP42" s="0" t="s">
        <v>5706</v>
      </c>
      <c r="BQ42" s="0" t="s">
        <v>5707</v>
      </c>
      <c r="BR42" s="0" t="s">
        <v>5708</v>
      </c>
      <c r="BS42" s="0" t="s">
        <v>227</v>
      </c>
      <c r="BT42" s="0" t="s">
        <v>5709</v>
      </c>
      <c r="BU42" s="0" t="s">
        <v>5804</v>
      </c>
      <c r="BV42" s="0" t="s">
        <v>5804</v>
      </c>
      <c r="BW42" s="0" t="s">
        <v>5697</v>
      </c>
      <c r="BX42" s="0" t="s">
        <v>5697</v>
      </c>
      <c r="BY42" s="0" t="s">
        <v>5697</v>
      </c>
      <c r="BZ42" s="0" t="s">
        <v>5697</v>
      </c>
      <c r="CA42" s="0" t="s">
        <v>5697</v>
      </c>
      <c r="CB42" s="0" t="s">
        <v>227</v>
      </c>
      <c r="CC42" s="0" t="s">
        <v>227</v>
      </c>
      <c r="CD42" s="0" t="s">
        <v>227</v>
      </c>
      <c r="CE42" s="0" t="s">
        <v>227</v>
      </c>
      <c r="CF42" s="0" t="s">
        <v>227</v>
      </c>
      <c r="CG42" s="0" t="s">
        <v>5697</v>
      </c>
      <c r="CH42" s="0" t="s">
        <v>227</v>
      </c>
      <c r="CI42" s="0" t="s">
        <v>227</v>
      </c>
      <c r="CJ42" s="0" t="s">
        <v>227</v>
      </c>
      <c r="CK42" s="0" t="s">
        <v>227</v>
      </c>
      <c r="CL42" s="0" t="s">
        <v>227</v>
      </c>
      <c r="CM42" s="0" t="s">
        <v>5804</v>
      </c>
      <c r="CN42" s="0" t="s">
        <v>5804</v>
      </c>
      <c r="CO42" s="0" t="s">
        <v>227</v>
      </c>
      <c r="CP42" s="0" t="s">
        <v>227</v>
      </c>
      <c r="CQ42" s="0" t="s">
        <v>227</v>
      </c>
      <c r="CR42" s="0" t="s">
        <v>227</v>
      </c>
      <c r="CS42" s="0" t="s">
        <v>5698</v>
      </c>
      <c r="CT42" s="0" t="s">
        <v>5679</v>
      </c>
      <c r="CU42" s="0" t="s">
        <v>5680</v>
      </c>
      <c r="CV42" s="0" t="s">
        <v>430</v>
      </c>
      <c r="CW42" s="0" t="s">
        <v>5699</v>
      </c>
      <c r="CX42" s="0" t="s">
        <v>431</v>
      </c>
      <c r="CY42" s="0" t="s">
        <v>430</v>
      </c>
      <c r="CZ42" s="0" t="s">
        <v>432</v>
      </c>
      <c r="DA42" s="0" t="s">
        <v>433</v>
      </c>
      <c r="DB42" s="0" t="s">
        <v>5700</v>
      </c>
      <c r="DC42" s="0" t="s">
        <v>373</v>
      </c>
      <c r="DD42" s="0" t="s">
        <v>277</v>
      </c>
      <c r="DE42" s="0" t="s">
        <v>798</v>
      </c>
    </row>
    <row customHeight="1" ht="11.25">
      <c r="A43" s="1806" t="s">
        <v>227</v>
      </c>
      <c r="B43" s="0" t="s">
        <v>227</v>
      </c>
      <c r="C43" s="0" t="s">
        <v>227</v>
      </c>
      <c r="D43" s="0" t="s">
        <v>227</v>
      </c>
      <c r="E43" s="0" t="s">
        <v>227</v>
      </c>
      <c r="F43" s="0" t="s">
        <v>227</v>
      </c>
      <c r="G43" s="0" t="s">
        <v>227</v>
      </c>
      <c r="H43" s="0" t="s">
        <v>227</v>
      </c>
      <c r="I43" s="0" t="s">
        <v>5667</v>
      </c>
      <c r="J43" s="0" t="s">
        <v>227</v>
      </c>
      <c r="K43" s="0" t="s">
        <v>227</v>
      </c>
      <c r="L43" s="0" t="s">
        <v>227</v>
      </c>
      <c r="M43" s="0" t="s">
        <v>227</v>
      </c>
      <c r="N43" s="0" t="s">
        <v>227</v>
      </c>
      <c r="O43" s="0" t="s">
        <v>227</v>
      </c>
      <c r="P43" s="0" t="s">
        <v>227</v>
      </c>
      <c r="Q43" s="0" t="s">
        <v>227</v>
      </c>
      <c r="R43" s="0" t="s">
        <v>812</v>
      </c>
      <c r="S43" s="0" t="s">
        <v>227</v>
      </c>
      <c r="T43" s="0" t="s">
        <v>227</v>
      </c>
      <c r="U43" s="0" t="s">
        <v>102</v>
      </c>
      <c r="V43" s="0" t="s">
        <v>227</v>
      </c>
      <c r="W43" s="0" t="s">
        <v>227</v>
      </c>
      <c r="X43" s="0" t="s">
        <v>5683</v>
      </c>
      <c r="Y43" s="0" t="s">
        <v>227</v>
      </c>
      <c r="Z43" s="0" t="s">
        <v>152</v>
      </c>
      <c r="AA43" s="0" t="s">
        <v>152</v>
      </c>
      <c r="AB43" s="0" t="s">
        <v>161</v>
      </c>
      <c r="AC43" s="0" t="s">
        <v>354</v>
      </c>
      <c r="AD43" s="0" t="s">
        <v>354</v>
      </c>
      <c r="AE43" s="0" t="s">
        <v>355</v>
      </c>
      <c r="AF43" s="0" t="s">
        <v>5701</v>
      </c>
      <c r="AG43" s="0" t="s">
        <v>5702</v>
      </c>
      <c r="AH43" s="0" t="s">
        <v>5859</v>
      </c>
      <c r="AI43" s="0" t="s">
        <v>5692</v>
      </c>
      <c r="AJ43" s="0" t="s">
        <v>227</v>
      </c>
      <c r="AK43" s="0" t="s">
        <v>227</v>
      </c>
      <c r="AL43" s="0" t="s">
        <v>227</v>
      </c>
      <c r="AM43" s="0" t="s">
        <v>227</v>
      </c>
      <c r="AN43" s="0" t="s">
        <v>227</v>
      </c>
      <c r="AO43" s="0" t="s">
        <v>227</v>
      </c>
      <c r="AP43" s="0" t="s">
        <v>227</v>
      </c>
      <c r="AQ43" s="0" t="s">
        <v>227</v>
      </c>
      <c r="AR43" s="0" t="s">
        <v>227</v>
      </c>
      <c r="AS43" s="0" t="s">
        <v>227</v>
      </c>
      <c r="AT43" s="0" t="s">
        <v>227</v>
      </c>
      <c r="AU43" s="0" t="s">
        <v>227</v>
      </c>
      <c r="AV43" s="0" t="s">
        <v>227</v>
      </c>
      <c r="AW43" s="0" t="s">
        <v>227</v>
      </c>
      <c r="AX43" s="0" t="s">
        <v>227</v>
      </c>
      <c r="AY43" s="0" t="s">
        <v>227</v>
      </c>
      <c r="AZ43" s="0" t="s">
        <v>227</v>
      </c>
      <c r="BA43" s="0" t="s">
        <v>227</v>
      </c>
      <c r="BB43" s="0" t="s">
        <v>227</v>
      </c>
      <c r="BC43" s="0" t="s">
        <v>227</v>
      </c>
      <c r="BD43" s="0" t="s">
        <v>227</v>
      </c>
      <c r="BE43" s="0" t="s">
        <v>5729</v>
      </c>
      <c r="BF43" s="0" t="s">
        <v>5729</v>
      </c>
      <c r="BG43" s="0" t="s">
        <v>112</v>
      </c>
      <c r="BH43" s="0" t="s">
        <v>5690</v>
      </c>
      <c r="BI43" s="0" t="s">
        <v>5691</v>
      </c>
      <c r="BJ43" s="0" t="s">
        <v>227</v>
      </c>
      <c r="BK43" s="0" t="s">
        <v>952</v>
      </c>
      <c r="BL43" s="0" t="s">
        <v>354</v>
      </c>
      <c r="BM43" s="0" t="s">
        <v>354</v>
      </c>
      <c r="BN43" s="0" t="s">
        <v>5693</v>
      </c>
      <c r="BO43" s="0" t="s">
        <v>5701</v>
      </c>
      <c r="BP43" s="0" t="s">
        <v>5706</v>
      </c>
      <c r="BQ43" s="0" t="s">
        <v>5707</v>
      </c>
      <c r="BR43" s="0" t="s">
        <v>5708</v>
      </c>
      <c r="BS43" s="0" t="s">
        <v>227</v>
      </c>
      <c r="BT43" s="0" t="s">
        <v>5695</v>
      </c>
      <c r="BU43" s="0" t="s">
        <v>5765</v>
      </c>
      <c r="BV43" s="0" t="s">
        <v>5765</v>
      </c>
      <c r="BW43" s="0" t="s">
        <v>5697</v>
      </c>
      <c r="BX43" s="0" t="s">
        <v>5697</v>
      </c>
      <c r="BY43" s="0" t="s">
        <v>5697</v>
      </c>
      <c r="BZ43" s="0" t="s">
        <v>5697</v>
      </c>
      <c r="CA43" s="0" t="s">
        <v>5697</v>
      </c>
      <c r="CB43" s="0" t="s">
        <v>227</v>
      </c>
      <c r="CC43" s="0" t="s">
        <v>227</v>
      </c>
      <c r="CD43" s="0" t="s">
        <v>227</v>
      </c>
      <c r="CE43" s="0" t="s">
        <v>227</v>
      </c>
      <c r="CF43" s="0" t="s">
        <v>227</v>
      </c>
      <c r="CG43" s="0" t="s">
        <v>5697</v>
      </c>
      <c r="CH43" s="0" t="s">
        <v>227</v>
      </c>
      <c r="CI43" s="0" t="s">
        <v>227</v>
      </c>
      <c r="CJ43" s="0" t="s">
        <v>227</v>
      </c>
      <c r="CK43" s="0" t="s">
        <v>227</v>
      </c>
      <c r="CL43" s="0" t="s">
        <v>227</v>
      </c>
      <c r="CM43" s="0" t="s">
        <v>5765</v>
      </c>
      <c r="CN43" s="0" t="s">
        <v>5765</v>
      </c>
      <c r="CO43" s="0" t="s">
        <v>227</v>
      </c>
      <c r="CP43" s="0" t="s">
        <v>227</v>
      </c>
      <c r="CQ43" s="0" t="s">
        <v>227</v>
      </c>
      <c r="CR43" s="0" t="s">
        <v>227</v>
      </c>
      <c r="CS43" s="0" t="s">
        <v>5733</v>
      </c>
      <c r="CT43" s="0" t="s">
        <v>5679</v>
      </c>
      <c r="CU43" s="0" t="s">
        <v>5680</v>
      </c>
      <c r="CV43" s="0" t="s">
        <v>430</v>
      </c>
      <c r="CW43" s="0" t="s">
        <v>5699</v>
      </c>
      <c r="CX43" s="0" t="s">
        <v>431</v>
      </c>
      <c r="CY43" s="0" t="s">
        <v>430</v>
      </c>
      <c r="CZ43" s="0" t="s">
        <v>432</v>
      </c>
      <c r="DA43" s="0" t="s">
        <v>433</v>
      </c>
      <c r="DB43" s="0" t="s">
        <v>5700</v>
      </c>
      <c r="DC43" s="0" t="s">
        <v>373</v>
      </c>
      <c r="DD43" s="0" t="s">
        <v>277</v>
      </c>
      <c r="DE43" s="0" t="s">
        <v>813</v>
      </c>
    </row>
    <row customHeight="1" ht="11.25">
      <c r="A44" s="1806" t="s">
        <v>227</v>
      </c>
      <c r="B44" s="0" t="s">
        <v>227</v>
      </c>
      <c r="C44" s="0" t="s">
        <v>227</v>
      </c>
      <c r="D44" s="0" t="s">
        <v>227</v>
      </c>
      <c r="E44" s="0" t="s">
        <v>227</v>
      </c>
      <c r="F44" s="0" t="s">
        <v>227</v>
      </c>
      <c r="G44" s="0" t="s">
        <v>227</v>
      </c>
      <c r="H44" s="0" t="s">
        <v>227</v>
      </c>
      <c r="I44" s="0" t="s">
        <v>5667</v>
      </c>
      <c r="J44" s="0" t="s">
        <v>227</v>
      </c>
      <c r="K44" s="0" t="s">
        <v>227</v>
      </c>
      <c r="L44" s="0" t="s">
        <v>227</v>
      </c>
      <c r="M44" s="0" t="s">
        <v>227</v>
      </c>
      <c r="N44" s="0" t="s">
        <v>227</v>
      </c>
      <c r="O44" s="0" t="s">
        <v>227</v>
      </c>
      <c r="P44" s="0" t="s">
        <v>227</v>
      </c>
      <c r="Q44" s="0" t="s">
        <v>227</v>
      </c>
      <c r="R44" s="0" t="s">
        <v>876</v>
      </c>
      <c r="S44" s="0" t="s">
        <v>227</v>
      </c>
      <c r="T44" s="0" t="s">
        <v>227</v>
      </c>
      <c r="U44" s="0" t="s">
        <v>102</v>
      </c>
      <c r="V44" s="0" t="s">
        <v>227</v>
      </c>
      <c r="W44" s="0" t="s">
        <v>227</v>
      </c>
      <c r="X44" s="0" t="s">
        <v>5683</v>
      </c>
      <c r="Y44" s="0" t="s">
        <v>227</v>
      </c>
      <c r="Z44" s="0" t="s">
        <v>152</v>
      </c>
      <c r="AA44" s="0" t="s">
        <v>152</v>
      </c>
      <c r="AB44" s="0" t="s">
        <v>161</v>
      </c>
      <c r="AC44" s="0" t="s">
        <v>354</v>
      </c>
      <c r="AD44" s="0" t="s">
        <v>354</v>
      </c>
      <c r="AE44" s="0" t="s">
        <v>355</v>
      </c>
      <c r="AF44" s="0" t="s">
        <v>5701</v>
      </c>
      <c r="AG44" s="0" t="s">
        <v>5702</v>
      </c>
      <c r="AH44" s="0" t="s">
        <v>5860</v>
      </c>
      <c r="AI44" s="0" t="s">
        <v>5692</v>
      </c>
      <c r="AJ44" s="0" t="s">
        <v>227</v>
      </c>
      <c r="AK44" s="0" t="s">
        <v>227</v>
      </c>
      <c r="AL44" s="0" t="s">
        <v>227</v>
      </c>
      <c r="AM44" s="0" t="s">
        <v>227</v>
      </c>
      <c r="AN44" s="0" t="s">
        <v>227</v>
      </c>
      <c r="AO44" s="0" t="s">
        <v>227</v>
      </c>
      <c r="AP44" s="0" t="s">
        <v>227</v>
      </c>
      <c r="AQ44" s="0" t="s">
        <v>227</v>
      </c>
      <c r="AR44" s="0" t="s">
        <v>227</v>
      </c>
      <c r="AS44" s="0" t="s">
        <v>227</v>
      </c>
      <c r="AT44" s="0" t="s">
        <v>227</v>
      </c>
      <c r="AU44" s="0" t="s">
        <v>227</v>
      </c>
      <c r="AV44" s="0" t="s">
        <v>227</v>
      </c>
      <c r="AW44" s="0" t="s">
        <v>227</v>
      </c>
      <c r="AX44" s="0" t="s">
        <v>227</v>
      </c>
      <c r="AY44" s="0" t="s">
        <v>227</v>
      </c>
      <c r="AZ44" s="0" t="s">
        <v>227</v>
      </c>
      <c r="BA44" s="0" t="s">
        <v>227</v>
      </c>
      <c r="BB44" s="0" t="s">
        <v>227</v>
      </c>
      <c r="BC44" s="0" t="s">
        <v>227</v>
      </c>
      <c r="BD44" s="0" t="s">
        <v>227</v>
      </c>
      <c r="BE44" s="0" t="s">
        <v>5728</v>
      </c>
      <c r="BF44" s="0" t="s">
        <v>5861</v>
      </c>
      <c r="BG44" s="0" t="s">
        <v>112</v>
      </c>
      <c r="BH44" s="0" t="s">
        <v>5690</v>
      </c>
      <c r="BI44" s="0" t="s">
        <v>5691</v>
      </c>
      <c r="BJ44" s="0" t="s">
        <v>227</v>
      </c>
      <c r="BK44" s="0" t="s">
        <v>952</v>
      </c>
      <c r="BL44" s="0" t="s">
        <v>354</v>
      </c>
      <c r="BM44" s="0" t="s">
        <v>354</v>
      </c>
      <c r="BN44" s="0" t="s">
        <v>5693</v>
      </c>
      <c r="BO44" s="0" t="s">
        <v>5701</v>
      </c>
      <c r="BP44" s="0" t="s">
        <v>5706</v>
      </c>
      <c r="BQ44" s="0" t="s">
        <v>5707</v>
      </c>
      <c r="BR44" s="0" t="s">
        <v>5708</v>
      </c>
      <c r="BS44" s="0" t="s">
        <v>227</v>
      </c>
      <c r="BT44" s="0" t="s">
        <v>5695</v>
      </c>
      <c r="BU44" s="0" t="s">
        <v>5862</v>
      </c>
      <c r="BV44" s="0" t="s">
        <v>5862</v>
      </c>
      <c r="BW44" s="0" t="s">
        <v>5697</v>
      </c>
      <c r="BX44" s="0" t="s">
        <v>5697</v>
      </c>
      <c r="BY44" s="0" t="s">
        <v>5697</v>
      </c>
      <c r="BZ44" s="0" t="s">
        <v>5697</v>
      </c>
      <c r="CA44" s="0" t="s">
        <v>5697</v>
      </c>
      <c r="CB44" s="0" t="s">
        <v>227</v>
      </c>
      <c r="CC44" s="0" t="s">
        <v>227</v>
      </c>
      <c r="CD44" s="0" t="s">
        <v>227</v>
      </c>
      <c r="CE44" s="0" t="s">
        <v>227</v>
      </c>
      <c r="CF44" s="0" t="s">
        <v>227</v>
      </c>
      <c r="CG44" s="0" t="s">
        <v>5697</v>
      </c>
      <c r="CH44" s="0" t="s">
        <v>227</v>
      </c>
      <c r="CI44" s="0" t="s">
        <v>227</v>
      </c>
      <c r="CJ44" s="0" t="s">
        <v>227</v>
      </c>
      <c r="CK44" s="0" t="s">
        <v>227</v>
      </c>
      <c r="CL44" s="0" t="s">
        <v>227</v>
      </c>
      <c r="CM44" s="0" t="s">
        <v>5862</v>
      </c>
      <c r="CN44" s="0" t="s">
        <v>5862</v>
      </c>
      <c r="CO44" s="0" t="s">
        <v>227</v>
      </c>
      <c r="CP44" s="0" t="s">
        <v>227</v>
      </c>
      <c r="CQ44" s="0" t="s">
        <v>227</v>
      </c>
      <c r="CR44" s="0" t="s">
        <v>227</v>
      </c>
      <c r="CS44" s="0" t="s">
        <v>5698</v>
      </c>
      <c r="CT44" s="0" t="s">
        <v>5679</v>
      </c>
      <c r="CU44" s="0" t="s">
        <v>5680</v>
      </c>
      <c r="CV44" s="0" t="s">
        <v>430</v>
      </c>
      <c r="CW44" s="0" t="s">
        <v>5699</v>
      </c>
      <c r="CX44" s="0" t="s">
        <v>431</v>
      </c>
      <c r="CY44" s="0" t="s">
        <v>430</v>
      </c>
      <c r="CZ44" s="0" t="s">
        <v>432</v>
      </c>
      <c r="DA44" s="0" t="s">
        <v>433</v>
      </c>
      <c r="DB44" s="0" t="s">
        <v>5700</v>
      </c>
      <c r="DC44" s="0" t="s">
        <v>373</v>
      </c>
      <c r="DD44" s="0" t="s">
        <v>277</v>
      </c>
      <c r="DE44" s="0" t="s">
        <v>877</v>
      </c>
    </row>
    <row customHeight="1" ht="11.25">
      <c r="A45" s="1806" t="s">
        <v>227</v>
      </c>
      <c r="B45" s="0" t="s">
        <v>227</v>
      </c>
      <c r="C45" s="0" t="s">
        <v>227</v>
      </c>
      <c r="D45" s="0" t="s">
        <v>227</v>
      </c>
      <c r="E45" s="0" t="s">
        <v>227</v>
      </c>
      <c r="F45" s="0" t="s">
        <v>227</v>
      </c>
      <c r="G45" s="0" t="s">
        <v>227</v>
      </c>
      <c r="H45" s="0" t="s">
        <v>227</v>
      </c>
      <c r="I45" s="0" t="s">
        <v>5667</v>
      </c>
      <c r="J45" s="0" t="s">
        <v>227</v>
      </c>
      <c r="K45" s="0" t="s">
        <v>227</v>
      </c>
      <c r="L45" s="0" t="s">
        <v>227</v>
      </c>
      <c r="M45" s="0" t="s">
        <v>227</v>
      </c>
      <c r="N45" s="0" t="s">
        <v>227</v>
      </c>
      <c r="O45" s="0" t="s">
        <v>227</v>
      </c>
      <c r="P45" s="0" t="s">
        <v>227</v>
      </c>
      <c r="Q45" s="0" t="s">
        <v>227</v>
      </c>
      <c r="R45" s="0" t="s">
        <v>747</v>
      </c>
      <c r="S45" s="0" t="s">
        <v>227</v>
      </c>
      <c r="T45" s="0" t="s">
        <v>227</v>
      </c>
      <c r="U45" s="0" t="s">
        <v>102</v>
      </c>
      <c r="V45" s="0" t="s">
        <v>227</v>
      </c>
      <c r="W45" s="0" t="s">
        <v>227</v>
      </c>
      <c r="X45" s="0" t="s">
        <v>5683</v>
      </c>
      <c r="Y45" s="0" t="s">
        <v>227</v>
      </c>
      <c r="Z45" s="0" t="s">
        <v>152</v>
      </c>
      <c r="AA45" s="0" t="s">
        <v>152</v>
      </c>
      <c r="AB45" s="0" t="s">
        <v>161</v>
      </c>
      <c r="AC45" s="0" t="s">
        <v>354</v>
      </c>
      <c r="AD45" s="0" t="s">
        <v>354</v>
      </c>
      <c r="AE45" s="0" t="s">
        <v>355</v>
      </c>
      <c r="AF45" s="0" t="s">
        <v>5701</v>
      </c>
      <c r="AG45" s="0" t="s">
        <v>5702</v>
      </c>
      <c r="AH45" s="0" t="s">
        <v>5863</v>
      </c>
      <c r="AI45" s="0" t="s">
        <v>5692</v>
      </c>
      <c r="AJ45" s="0" t="s">
        <v>227</v>
      </c>
      <c r="AK45" s="0" t="s">
        <v>227</v>
      </c>
      <c r="AL45" s="0" t="s">
        <v>227</v>
      </c>
      <c r="AM45" s="0" t="s">
        <v>227</v>
      </c>
      <c r="AN45" s="0" t="s">
        <v>227</v>
      </c>
      <c r="AO45" s="0" t="s">
        <v>227</v>
      </c>
      <c r="AP45" s="0" t="s">
        <v>227</v>
      </c>
      <c r="AQ45" s="0" t="s">
        <v>227</v>
      </c>
      <c r="AR45" s="0" t="s">
        <v>227</v>
      </c>
      <c r="AS45" s="0" t="s">
        <v>227</v>
      </c>
      <c r="AT45" s="0" t="s">
        <v>227</v>
      </c>
      <c r="AU45" s="0" t="s">
        <v>227</v>
      </c>
      <c r="AV45" s="0" t="s">
        <v>227</v>
      </c>
      <c r="AW45" s="0" t="s">
        <v>227</v>
      </c>
      <c r="AX45" s="0" t="s">
        <v>227</v>
      </c>
      <c r="AY45" s="0" t="s">
        <v>227</v>
      </c>
      <c r="AZ45" s="0" t="s">
        <v>227</v>
      </c>
      <c r="BA45" s="0" t="s">
        <v>227</v>
      </c>
      <c r="BB45" s="0" t="s">
        <v>227</v>
      </c>
      <c r="BC45" s="0" t="s">
        <v>227</v>
      </c>
      <c r="BD45" s="0" t="s">
        <v>227</v>
      </c>
      <c r="BE45" s="0" t="s">
        <v>5728</v>
      </c>
      <c r="BF45" s="0" t="s">
        <v>5728</v>
      </c>
      <c r="BG45" s="0" t="s">
        <v>112</v>
      </c>
      <c r="BH45" s="0" t="s">
        <v>5690</v>
      </c>
      <c r="BI45" s="0" t="s">
        <v>5691</v>
      </c>
      <c r="BJ45" s="0" t="s">
        <v>227</v>
      </c>
      <c r="BK45" s="0" t="s">
        <v>952</v>
      </c>
      <c r="BL45" s="0" t="s">
        <v>354</v>
      </c>
      <c r="BM45" s="0" t="s">
        <v>354</v>
      </c>
      <c r="BN45" s="0" t="s">
        <v>5693</v>
      </c>
      <c r="BO45" s="0" t="s">
        <v>5701</v>
      </c>
      <c r="BP45" s="0" t="s">
        <v>5706</v>
      </c>
      <c r="BQ45" s="0" t="s">
        <v>5707</v>
      </c>
      <c r="BR45" s="0" t="s">
        <v>5708</v>
      </c>
      <c r="BS45" s="0" t="s">
        <v>227</v>
      </c>
      <c r="BT45" s="0" t="s">
        <v>5695</v>
      </c>
      <c r="BU45" s="0" t="s">
        <v>5864</v>
      </c>
      <c r="BV45" s="0" t="s">
        <v>5864</v>
      </c>
      <c r="BW45" s="0" t="s">
        <v>5697</v>
      </c>
      <c r="BX45" s="0" t="s">
        <v>5697</v>
      </c>
      <c r="BY45" s="0" t="s">
        <v>5697</v>
      </c>
      <c r="BZ45" s="0" t="s">
        <v>5697</v>
      </c>
      <c r="CA45" s="0" t="s">
        <v>5697</v>
      </c>
      <c r="CB45" s="0" t="s">
        <v>227</v>
      </c>
      <c r="CC45" s="0" t="s">
        <v>227</v>
      </c>
      <c r="CD45" s="0" t="s">
        <v>227</v>
      </c>
      <c r="CE45" s="0" t="s">
        <v>227</v>
      </c>
      <c r="CF45" s="0" t="s">
        <v>227</v>
      </c>
      <c r="CG45" s="0" t="s">
        <v>5697</v>
      </c>
      <c r="CH45" s="0" t="s">
        <v>227</v>
      </c>
      <c r="CI45" s="0" t="s">
        <v>227</v>
      </c>
      <c r="CJ45" s="0" t="s">
        <v>227</v>
      </c>
      <c r="CK45" s="0" t="s">
        <v>227</v>
      </c>
      <c r="CL45" s="0" t="s">
        <v>227</v>
      </c>
      <c r="CM45" s="0" t="s">
        <v>5864</v>
      </c>
      <c r="CN45" s="0" t="s">
        <v>5864</v>
      </c>
      <c r="CO45" s="0" t="s">
        <v>227</v>
      </c>
      <c r="CP45" s="0" t="s">
        <v>227</v>
      </c>
      <c r="CQ45" s="0" t="s">
        <v>227</v>
      </c>
      <c r="CR45" s="0" t="s">
        <v>227</v>
      </c>
      <c r="CS45" s="0" t="s">
        <v>5759</v>
      </c>
      <c r="CT45" s="0" t="s">
        <v>5679</v>
      </c>
      <c r="CU45" s="0" t="s">
        <v>5680</v>
      </c>
      <c r="CV45" s="0" t="s">
        <v>430</v>
      </c>
      <c r="CW45" s="0" t="s">
        <v>5699</v>
      </c>
      <c r="CX45" s="0" t="s">
        <v>431</v>
      </c>
      <c r="CY45" s="0" t="s">
        <v>430</v>
      </c>
      <c r="CZ45" s="0" t="s">
        <v>432</v>
      </c>
      <c r="DA45" s="0" t="s">
        <v>433</v>
      </c>
      <c r="DB45" s="0" t="s">
        <v>5700</v>
      </c>
      <c r="DC45" s="0" t="s">
        <v>373</v>
      </c>
      <c r="DD45" s="0" t="s">
        <v>277</v>
      </c>
      <c r="DE45" s="0" t="s">
        <v>748</v>
      </c>
    </row>
    <row customHeight="1" ht="11.25">
      <c r="A46" s="1806" t="s">
        <v>227</v>
      </c>
      <c r="B46" s="0" t="s">
        <v>227</v>
      </c>
      <c r="C46" s="0" t="s">
        <v>227</v>
      </c>
      <c r="D46" s="0" t="s">
        <v>227</v>
      </c>
      <c r="E46" s="0" t="s">
        <v>227</v>
      </c>
      <c r="F46" s="0" t="s">
        <v>227</v>
      </c>
      <c r="G46" s="0" t="s">
        <v>227</v>
      </c>
      <c r="H46" s="0" t="s">
        <v>227</v>
      </c>
      <c r="I46" s="0" t="s">
        <v>5667</v>
      </c>
      <c r="J46" s="0" t="s">
        <v>227</v>
      </c>
      <c r="K46" s="0" t="s">
        <v>227</v>
      </c>
      <c r="L46" s="0" t="s">
        <v>227</v>
      </c>
      <c r="M46" s="0" t="s">
        <v>227</v>
      </c>
      <c r="N46" s="0" t="s">
        <v>227</v>
      </c>
      <c r="O46" s="0" t="s">
        <v>227</v>
      </c>
      <c r="P46" s="0" t="s">
        <v>227</v>
      </c>
      <c r="Q46" s="0" t="s">
        <v>227</v>
      </c>
      <c r="R46" s="0" t="s">
        <v>496</v>
      </c>
      <c r="S46" s="0" t="s">
        <v>227</v>
      </c>
      <c r="T46" s="0" t="s">
        <v>227</v>
      </c>
      <c r="U46" s="0" t="s">
        <v>102</v>
      </c>
      <c r="V46" s="0" t="s">
        <v>227</v>
      </c>
      <c r="W46" s="0" t="s">
        <v>227</v>
      </c>
      <c r="X46" s="0" t="s">
        <v>5683</v>
      </c>
      <c r="Y46" s="0" t="s">
        <v>227</v>
      </c>
      <c r="Z46" s="0" t="s">
        <v>152</v>
      </c>
      <c r="AA46" s="0" t="s">
        <v>152</v>
      </c>
      <c r="AB46" s="0" t="s">
        <v>161</v>
      </c>
      <c r="AC46" s="0" t="s">
        <v>354</v>
      </c>
      <c r="AD46" s="0" t="s">
        <v>354</v>
      </c>
      <c r="AE46" s="0" t="s">
        <v>355</v>
      </c>
      <c r="AF46" s="0" t="s">
        <v>5684</v>
      </c>
      <c r="AG46" s="0" t="s">
        <v>5685</v>
      </c>
      <c r="AH46" s="0" t="s">
        <v>5865</v>
      </c>
      <c r="AI46" s="0" t="s">
        <v>5866</v>
      </c>
      <c r="AJ46" s="0" t="s">
        <v>227</v>
      </c>
      <c r="AK46" s="0" t="s">
        <v>227</v>
      </c>
      <c r="AL46" s="0" t="s">
        <v>227</v>
      </c>
      <c r="AM46" s="0" t="s">
        <v>227</v>
      </c>
      <c r="AN46" s="0" t="s">
        <v>227</v>
      </c>
      <c r="AO46" s="0" t="s">
        <v>227</v>
      </c>
      <c r="AP46" s="0" t="s">
        <v>227</v>
      </c>
      <c r="AQ46" s="0" t="s">
        <v>227</v>
      </c>
      <c r="AR46" s="0" t="s">
        <v>227</v>
      </c>
      <c r="AS46" s="0" t="s">
        <v>227</v>
      </c>
      <c r="AT46" s="0" t="s">
        <v>227</v>
      </c>
      <c r="AU46" s="0" t="s">
        <v>227</v>
      </c>
      <c r="AV46" s="0" t="s">
        <v>227</v>
      </c>
      <c r="AW46" s="0" t="s">
        <v>227</v>
      </c>
      <c r="AX46" s="0" t="s">
        <v>227</v>
      </c>
      <c r="AY46" s="0" t="s">
        <v>227</v>
      </c>
      <c r="AZ46" s="0" t="s">
        <v>227</v>
      </c>
      <c r="BA46" s="0" t="s">
        <v>227</v>
      </c>
      <c r="BB46" s="0" t="s">
        <v>227</v>
      </c>
      <c r="BC46" s="0" t="s">
        <v>227</v>
      </c>
      <c r="BD46" s="0" t="s">
        <v>227</v>
      </c>
      <c r="BE46" s="0" t="s">
        <v>5845</v>
      </c>
      <c r="BF46" s="0" t="s">
        <v>5805</v>
      </c>
      <c r="BG46" s="0" t="s">
        <v>112</v>
      </c>
      <c r="BH46" s="0" t="s">
        <v>5690</v>
      </c>
      <c r="BI46" s="0" t="s">
        <v>5691</v>
      </c>
      <c r="BJ46" s="0" t="s">
        <v>227</v>
      </c>
      <c r="BK46" s="0" t="s">
        <v>5692</v>
      </c>
      <c r="BL46" s="0" t="s">
        <v>354</v>
      </c>
      <c r="BM46" s="0" t="s">
        <v>354</v>
      </c>
      <c r="BN46" s="0" t="s">
        <v>5693</v>
      </c>
      <c r="BO46" s="0" t="s">
        <v>5684</v>
      </c>
      <c r="BP46" s="0" t="s">
        <v>5694</v>
      </c>
      <c r="BQ46" s="0" t="s">
        <v>5692</v>
      </c>
      <c r="BR46" s="0" t="s">
        <v>5692</v>
      </c>
      <c r="BS46" s="0" t="s">
        <v>227</v>
      </c>
      <c r="BT46" s="0" t="s">
        <v>5788</v>
      </c>
      <c r="BU46" s="0" t="s">
        <v>5867</v>
      </c>
      <c r="BV46" s="0" t="s">
        <v>5867</v>
      </c>
      <c r="BW46" s="0" t="s">
        <v>5697</v>
      </c>
      <c r="BX46" s="0" t="s">
        <v>5697</v>
      </c>
      <c r="BY46" s="0" t="s">
        <v>5697</v>
      </c>
      <c r="BZ46" s="0" t="s">
        <v>5697</v>
      </c>
      <c r="CA46" s="0" t="s">
        <v>5697</v>
      </c>
      <c r="CB46" s="0" t="s">
        <v>227</v>
      </c>
      <c r="CC46" s="0" t="s">
        <v>227</v>
      </c>
      <c r="CD46" s="0" t="s">
        <v>227</v>
      </c>
      <c r="CE46" s="0" t="s">
        <v>227</v>
      </c>
      <c r="CF46" s="0" t="s">
        <v>227</v>
      </c>
      <c r="CG46" s="0" t="s">
        <v>5697</v>
      </c>
      <c r="CH46" s="0" t="s">
        <v>227</v>
      </c>
      <c r="CI46" s="0" t="s">
        <v>227</v>
      </c>
      <c r="CJ46" s="0" t="s">
        <v>227</v>
      </c>
      <c r="CK46" s="0" t="s">
        <v>227</v>
      </c>
      <c r="CL46" s="0" t="s">
        <v>227</v>
      </c>
      <c r="CM46" s="0" t="s">
        <v>5867</v>
      </c>
      <c r="CN46" s="0" t="s">
        <v>5867</v>
      </c>
      <c r="CO46" s="0" t="s">
        <v>227</v>
      </c>
      <c r="CP46" s="0" t="s">
        <v>227</v>
      </c>
      <c r="CQ46" s="0" t="s">
        <v>227</v>
      </c>
      <c r="CR46" s="0" t="s">
        <v>227</v>
      </c>
      <c r="CS46" s="0" t="s">
        <v>5773</v>
      </c>
      <c r="CT46" s="0" t="s">
        <v>5679</v>
      </c>
      <c r="CU46" s="0" t="s">
        <v>5680</v>
      </c>
      <c r="CV46" s="0" t="s">
        <v>430</v>
      </c>
      <c r="CW46" s="0" t="s">
        <v>5699</v>
      </c>
      <c r="CX46" s="0" t="s">
        <v>431</v>
      </c>
      <c r="CY46" s="0" t="s">
        <v>430</v>
      </c>
      <c r="CZ46" s="0" t="s">
        <v>432</v>
      </c>
      <c r="DA46" s="0" t="s">
        <v>433</v>
      </c>
      <c r="DB46" s="0" t="s">
        <v>5700</v>
      </c>
      <c r="DC46" s="0" t="s">
        <v>373</v>
      </c>
      <c r="DD46" s="0" t="s">
        <v>277</v>
      </c>
      <c r="DE46" s="0" t="s">
        <v>497</v>
      </c>
    </row>
    <row customHeight="1" ht="11.25">
      <c r="A47" s="1806" t="s">
        <v>227</v>
      </c>
      <c r="B47" s="0" t="s">
        <v>227</v>
      </c>
      <c r="C47" s="0" t="s">
        <v>227</v>
      </c>
      <c r="D47" s="0" t="s">
        <v>227</v>
      </c>
      <c r="E47" s="0" t="s">
        <v>227</v>
      </c>
      <c r="F47" s="0" t="s">
        <v>227</v>
      </c>
      <c r="G47" s="0" t="s">
        <v>227</v>
      </c>
      <c r="H47" s="0" t="s">
        <v>227</v>
      </c>
      <c r="I47" s="0" t="s">
        <v>5667</v>
      </c>
      <c r="J47" s="0" t="s">
        <v>227</v>
      </c>
      <c r="K47" s="0" t="s">
        <v>227</v>
      </c>
      <c r="L47" s="0" t="s">
        <v>227</v>
      </c>
      <c r="M47" s="0" t="s">
        <v>227</v>
      </c>
      <c r="N47" s="0" t="s">
        <v>227</v>
      </c>
      <c r="O47" s="0" t="s">
        <v>227</v>
      </c>
      <c r="P47" s="0" t="s">
        <v>227</v>
      </c>
      <c r="Q47" s="0" t="s">
        <v>227</v>
      </c>
      <c r="R47" s="0" t="s">
        <v>779</v>
      </c>
      <c r="S47" s="0" t="s">
        <v>227</v>
      </c>
      <c r="T47" s="0" t="s">
        <v>227</v>
      </c>
      <c r="U47" s="0" t="s">
        <v>102</v>
      </c>
      <c r="V47" s="0" t="s">
        <v>227</v>
      </c>
      <c r="W47" s="0" t="s">
        <v>227</v>
      </c>
      <c r="X47" s="0" t="s">
        <v>5683</v>
      </c>
      <c r="Y47" s="0" t="s">
        <v>227</v>
      </c>
      <c r="Z47" s="0" t="s">
        <v>152</v>
      </c>
      <c r="AA47" s="0" t="s">
        <v>152</v>
      </c>
      <c r="AB47" s="0" t="s">
        <v>161</v>
      </c>
      <c r="AC47" s="0" t="s">
        <v>354</v>
      </c>
      <c r="AD47" s="0" t="s">
        <v>354</v>
      </c>
      <c r="AE47" s="0" t="s">
        <v>355</v>
      </c>
      <c r="AF47" s="0" t="s">
        <v>5701</v>
      </c>
      <c r="AG47" s="0" t="s">
        <v>5702</v>
      </c>
      <c r="AH47" s="0" t="s">
        <v>5703</v>
      </c>
      <c r="AI47" s="0" t="s">
        <v>502</v>
      </c>
      <c r="AJ47" s="0" t="s">
        <v>227</v>
      </c>
      <c r="AK47" s="0" t="s">
        <v>227</v>
      </c>
      <c r="AL47" s="0" t="s">
        <v>227</v>
      </c>
      <c r="AM47" s="0" t="s">
        <v>227</v>
      </c>
      <c r="AN47" s="0" t="s">
        <v>227</v>
      </c>
      <c r="AO47" s="0" t="s">
        <v>227</v>
      </c>
      <c r="AP47" s="0" t="s">
        <v>227</v>
      </c>
      <c r="AQ47" s="0" t="s">
        <v>227</v>
      </c>
      <c r="AR47" s="0" t="s">
        <v>227</v>
      </c>
      <c r="AS47" s="0" t="s">
        <v>227</v>
      </c>
      <c r="AT47" s="0" t="s">
        <v>227</v>
      </c>
      <c r="AU47" s="0" t="s">
        <v>227</v>
      </c>
      <c r="AV47" s="0" t="s">
        <v>227</v>
      </c>
      <c r="AW47" s="0" t="s">
        <v>227</v>
      </c>
      <c r="AX47" s="0" t="s">
        <v>227</v>
      </c>
      <c r="AY47" s="0" t="s">
        <v>227</v>
      </c>
      <c r="AZ47" s="0" t="s">
        <v>227</v>
      </c>
      <c r="BA47" s="0" t="s">
        <v>227</v>
      </c>
      <c r="BB47" s="0" t="s">
        <v>227</v>
      </c>
      <c r="BC47" s="0" t="s">
        <v>227</v>
      </c>
      <c r="BD47" s="0" t="s">
        <v>227</v>
      </c>
      <c r="BE47" s="0" t="s">
        <v>5688</v>
      </c>
      <c r="BF47" s="0" t="s">
        <v>5768</v>
      </c>
      <c r="BG47" s="0" t="s">
        <v>112</v>
      </c>
      <c r="BH47" s="0" t="s">
        <v>5690</v>
      </c>
      <c r="BI47" s="0" t="s">
        <v>5691</v>
      </c>
      <c r="BJ47" s="0" t="s">
        <v>227</v>
      </c>
      <c r="BK47" s="0" t="s">
        <v>952</v>
      </c>
      <c r="BL47" s="0" t="s">
        <v>354</v>
      </c>
      <c r="BM47" s="0" t="s">
        <v>354</v>
      </c>
      <c r="BN47" s="0" t="s">
        <v>5693</v>
      </c>
      <c r="BO47" s="0" t="s">
        <v>5701</v>
      </c>
      <c r="BP47" s="0" t="s">
        <v>5706</v>
      </c>
      <c r="BQ47" s="0" t="s">
        <v>5707</v>
      </c>
      <c r="BR47" s="0" t="s">
        <v>5708</v>
      </c>
      <c r="BS47" s="0" t="s">
        <v>227</v>
      </c>
      <c r="BT47" s="0" t="s">
        <v>5709</v>
      </c>
      <c r="BU47" s="0" t="s">
        <v>5868</v>
      </c>
      <c r="BV47" s="0" t="s">
        <v>5868</v>
      </c>
      <c r="BW47" s="0" t="s">
        <v>5697</v>
      </c>
      <c r="BX47" s="0" t="s">
        <v>5697</v>
      </c>
      <c r="BY47" s="0" t="s">
        <v>5697</v>
      </c>
      <c r="BZ47" s="0" t="s">
        <v>5697</v>
      </c>
      <c r="CA47" s="0" t="s">
        <v>5697</v>
      </c>
      <c r="CB47" s="0" t="s">
        <v>227</v>
      </c>
      <c r="CC47" s="0" t="s">
        <v>227</v>
      </c>
      <c r="CD47" s="0" t="s">
        <v>227</v>
      </c>
      <c r="CE47" s="0" t="s">
        <v>227</v>
      </c>
      <c r="CF47" s="0" t="s">
        <v>227</v>
      </c>
      <c r="CG47" s="0" t="s">
        <v>5697</v>
      </c>
      <c r="CH47" s="0" t="s">
        <v>227</v>
      </c>
      <c r="CI47" s="0" t="s">
        <v>227</v>
      </c>
      <c r="CJ47" s="0" t="s">
        <v>227</v>
      </c>
      <c r="CK47" s="0" t="s">
        <v>227</v>
      </c>
      <c r="CL47" s="0" t="s">
        <v>227</v>
      </c>
      <c r="CM47" s="0" t="s">
        <v>5868</v>
      </c>
      <c r="CN47" s="0" t="s">
        <v>5868</v>
      </c>
      <c r="CO47" s="0" t="s">
        <v>227</v>
      </c>
      <c r="CP47" s="0" t="s">
        <v>227</v>
      </c>
      <c r="CQ47" s="0" t="s">
        <v>227</v>
      </c>
      <c r="CR47" s="0" t="s">
        <v>227</v>
      </c>
      <c r="CS47" s="0" t="s">
        <v>5759</v>
      </c>
      <c r="CT47" s="0" t="s">
        <v>5679</v>
      </c>
      <c r="CU47" s="0" t="s">
        <v>5680</v>
      </c>
      <c r="CV47" s="0" t="s">
        <v>430</v>
      </c>
      <c r="CW47" s="0" t="s">
        <v>5699</v>
      </c>
      <c r="CX47" s="0" t="s">
        <v>431</v>
      </c>
      <c r="CY47" s="0" t="s">
        <v>430</v>
      </c>
      <c r="CZ47" s="0" t="s">
        <v>432</v>
      </c>
      <c r="DA47" s="0" t="s">
        <v>433</v>
      </c>
      <c r="DB47" s="0" t="s">
        <v>5700</v>
      </c>
      <c r="DC47" s="0" t="s">
        <v>373</v>
      </c>
      <c r="DD47" s="0" t="s">
        <v>277</v>
      </c>
      <c r="DE47" s="0" t="s">
        <v>780</v>
      </c>
    </row>
    <row customHeight="1" ht="11.25">
      <c r="A48" s="1806" t="s">
        <v>227</v>
      </c>
      <c r="B48" s="0" t="s">
        <v>227</v>
      </c>
      <c r="C48" s="0" t="s">
        <v>227</v>
      </c>
      <c r="D48" s="0" t="s">
        <v>227</v>
      </c>
      <c r="E48" s="0" t="s">
        <v>227</v>
      </c>
      <c r="F48" s="0" t="s">
        <v>227</v>
      </c>
      <c r="G48" s="0" t="s">
        <v>227</v>
      </c>
      <c r="H48" s="0" t="s">
        <v>227</v>
      </c>
      <c r="I48" s="0" t="s">
        <v>5667</v>
      </c>
      <c r="J48" s="0" t="s">
        <v>227</v>
      </c>
      <c r="K48" s="0" t="s">
        <v>227</v>
      </c>
      <c r="L48" s="0" t="s">
        <v>227</v>
      </c>
      <c r="M48" s="0" t="s">
        <v>227</v>
      </c>
      <c r="N48" s="0" t="s">
        <v>227</v>
      </c>
      <c r="O48" s="0" t="s">
        <v>227</v>
      </c>
      <c r="P48" s="0" t="s">
        <v>227</v>
      </c>
      <c r="Q48" s="0" t="s">
        <v>227</v>
      </c>
      <c r="R48" s="0" t="s">
        <v>506</v>
      </c>
      <c r="S48" s="0" t="s">
        <v>227</v>
      </c>
      <c r="T48" s="0" t="s">
        <v>227</v>
      </c>
      <c r="U48" s="0" t="s">
        <v>102</v>
      </c>
      <c r="V48" s="0" t="s">
        <v>227</v>
      </c>
      <c r="W48" s="0" t="s">
        <v>227</v>
      </c>
      <c r="X48" s="0" t="s">
        <v>5683</v>
      </c>
      <c r="Y48" s="0" t="s">
        <v>227</v>
      </c>
      <c r="Z48" s="0" t="s">
        <v>152</v>
      </c>
      <c r="AA48" s="0" t="s">
        <v>152</v>
      </c>
      <c r="AB48" s="0" t="s">
        <v>161</v>
      </c>
      <c r="AC48" s="0" t="s">
        <v>354</v>
      </c>
      <c r="AD48" s="0" t="s">
        <v>354</v>
      </c>
      <c r="AE48" s="0" t="s">
        <v>355</v>
      </c>
      <c r="AF48" s="0" t="s">
        <v>5684</v>
      </c>
      <c r="AG48" s="0" t="s">
        <v>5685</v>
      </c>
      <c r="AH48" s="0" t="s">
        <v>5869</v>
      </c>
      <c r="AI48" s="0" t="s">
        <v>5692</v>
      </c>
      <c r="AJ48" s="0" t="s">
        <v>227</v>
      </c>
      <c r="AK48" s="0" t="s">
        <v>227</v>
      </c>
      <c r="AL48" s="0" t="s">
        <v>227</v>
      </c>
      <c r="AM48" s="0" t="s">
        <v>227</v>
      </c>
      <c r="AN48" s="0" t="s">
        <v>227</v>
      </c>
      <c r="AO48" s="0" t="s">
        <v>227</v>
      </c>
      <c r="AP48" s="0" t="s">
        <v>227</v>
      </c>
      <c r="AQ48" s="0" t="s">
        <v>227</v>
      </c>
      <c r="AR48" s="0" t="s">
        <v>227</v>
      </c>
      <c r="AS48" s="0" t="s">
        <v>227</v>
      </c>
      <c r="AT48" s="0" t="s">
        <v>227</v>
      </c>
      <c r="AU48" s="0" t="s">
        <v>227</v>
      </c>
      <c r="AV48" s="0" t="s">
        <v>227</v>
      </c>
      <c r="AW48" s="0" t="s">
        <v>227</v>
      </c>
      <c r="AX48" s="0" t="s">
        <v>227</v>
      </c>
      <c r="AY48" s="0" t="s">
        <v>227</v>
      </c>
      <c r="AZ48" s="0" t="s">
        <v>227</v>
      </c>
      <c r="BA48" s="0" t="s">
        <v>227</v>
      </c>
      <c r="BB48" s="0" t="s">
        <v>227</v>
      </c>
      <c r="BC48" s="0" t="s">
        <v>227</v>
      </c>
      <c r="BD48" s="0" t="s">
        <v>227</v>
      </c>
      <c r="BE48" s="0" t="s">
        <v>5813</v>
      </c>
      <c r="BF48" s="0" t="s">
        <v>5870</v>
      </c>
      <c r="BG48" s="0" t="s">
        <v>112</v>
      </c>
      <c r="BH48" s="0" t="s">
        <v>5690</v>
      </c>
      <c r="BI48" s="0" t="s">
        <v>5691</v>
      </c>
      <c r="BJ48" s="0" t="s">
        <v>227</v>
      </c>
      <c r="BK48" s="0" t="s">
        <v>5692</v>
      </c>
      <c r="BL48" s="0" t="s">
        <v>354</v>
      </c>
      <c r="BM48" s="0" t="s">
        <v>354</v>
      </c>
      <c r="BN48" s="0" t="s">
        <v>5693</v>
      </c>
      <c r="BO48" s="0" t="s">
        <v>5684</v>
      </c>
      <c r="BP48" s="0" t="s">
        <v>5694</v>
      </c>
      <c r="BQ48" s="0" t="s">
        <v>5692</v>
      </c>
      <c r="BR48" s="0" t="s">
        <v>5692</v>
      </c>
      <c r="BS48" s="0" t="s">
        <v>227</v>
      </c>
      <c r="BT48" s="0" t="s">
        <v>5788</v>
      </c>
      <c r="BU48" s="0" t="s">
        <v>5871</v>
      </c>
      <c r="BV48" s="0" t="s">
        <v>5871</v>
      </c>
      <c r="BW48" s="0" t="s">
        <v>5697</v>
      </c>
      <c r="BX48" s="0" t="s">
        <v>5697</v>
      </c>
      <c r="BY48" s="0" t="s">
        <v>5697</v>
      </c>
      <c r="BZ48" s="0" t="s">
        <v>5697</v>
      </c>
      <c r="CA48" s="0" t="s">
        <v>5697</v>
      </c>
      <c r="CB48" s="0" t="s">
        <v>227</v>
      </c>
      <c r="CC48" s="0" t="s">
        <v>227</v>
      </c>
      <c r="CD48" s="0" t="s">
        <v>227</v>
      </c>
      <c r="CE48" s="0" t="s">
        <v>227</v>
      </c>
      <c r="CF48" s="0" t="s">
        <v>227</v>
      </c>
      <c r="CG48" s="0" t="s">
        <v>5697</v>
      </c>
      <c r="CH48" s="0" t="s">
        <v>227</v>
      </c>
      <c r="CI48" s="0" t="s">
        <v>227</v>
      </c>
      <c r="CJ48" s="0" t="s">
        <v>227</v>
      </c>
      <c r="CK48" s="0" t="s">
        <v>227</v>
      </c>
      <c r="CL48" s="0" t="s">
        <v>227</v>
      </c>
      <c r="CM48" s="0" t="s">
        <v>5871</v>
      </c>
      <c r="CN48" s="0" t="s">
        <v>5871</v>
      </c>
      <c r="CO48" s="0" t="s">
        <v>227</v>
      </c>
      <c r="CP48" s="0" t="s">
        <v>227</v>
      </c>
      <c r="CQ48" s="0" t="s">
        <v>227</v>
      </c>
      <c r="CR48" s="0" t="s">
        <v>227</v>
      </c>
      <c r="CS48" s="0" t="s">
        <v>5773</v>
      </c>
      <c r="CT48" s="0" t="s">
        <v>5679</v>
      </c>
      <c r="CU48" s="0" t="s">
        <v>5680</v>
      </c>
      <c r="CV48" s="0" t="s">
        <v>430</v>
      </c>
      <c r="CW48" s="0" t="s">
        <v>5699</v>
      </c>
      <c r="CX48" s="0" t="s">
        <v>431</v>
      </c>
      <c r="CY48" s="0" t="s">
        <v>430</v>
      </c>
      <c r="CZ48" s="0" t="s">
        <v>432</v>
      </c>
      <c r="DA48" s="0" t="s">
        <v>433</v>
      </c>
      <c r="DB48" s="0" t="s">
        <v>5700</v>
      </c>
      <c r="DC48" s="0" t="s">
        <v>373</v>
      </c>
      <c r="DD48" s="0" t="s">
        <v>277</v>
      </c>
      <c r="DE48" s="0" t="s">
        <v>507</v>
      </c>
    </row>
    <row customHeight="1" ht="11.25">
      <c r="A49" s="1806" t="s">
        <v>227</v>
      </c>
      <c r="B49" s="0" t="s">
        <v>227</v>
      </c>
      <c r="C49" s="0" t="s">
        <v>227</v>
      </c>
      <c r="D49" s="0" t="s">
        <v>227</v>
      </c>
      <c r="E49" s="0" t="s">
        <v>227</v>
      </c>
      <c r="F49" s="0" t="s">
        <v>227</v>
      </c>
      <c r="G49" s="0" t="s">
        <v>227</v>
      </c>
      <c r="H49" s="0" t="s">
        <v>227</v>
      </c>
      <c r="I49" s="0" t="s">
        <v>5667</v>
      </c>
      <c r="J49" s="0" t="s">
        <v>227</v>
      </c>
      <c r="K49" s="0" t="s">
        <v>227</v>
      </c>
      <c r="L49" s="0" t="s">
        <v>227</v>
      </c>
      <c r="M49" s="0" t="s">
        <v>227</v>
      </c>
      <c r="N49" s="0" t="s">
        <v>227</v>
      </c>
      <c r="O49" s="0" t="s">
        <v>227</v>
      </c>
      <c r="P49" s="0" t="s">
        <v>227</v>
      </c>
      <c r="Q49" s="0" t="s">
        <v>227</v>
      </c>
      <c r="R49" s="0" t="s">
        <v>827</v>
      </c>
      <c r="S49" s="0" t="s">
        <v>227</v>
      </c>
      <c r="T49" s="0" t="s">
        <v>227</v>
      </c>
      <c r="U49" s="0" t="s">
        <v>102</v>
      </c>
      <c r="V49" s="0" t="s">
        <v>227</v>
      </c>
      <c r="W49" s="0" t="s">
        <v>227</v>
      </c>
      <c r="X49" s="0" t="s">
        <v>5683</v>
      </c>
      <c r="Y49" s="0" t="s">
        <v>227</v>
      </c>
      <c r="Z49" s="0" t="s">
        <v>152</v>
      </c>
      <c r="AA49" s="0" t="s">
        <v>152</v>
      </c>
      <c r="AB49" s="0" t="s">
        <v>161</v>
      </c>
      <c r="AC49" s="0" t="s">
        <v>354</v>
      </c>
      <c r="AD49" s="0" t="s">
        <v>354</v>
      </c>
      <c r="AE49" s="0" t="s">
        <v>355</v>
      </c>
      <c r="AF49" s="0" t="s">
        <v>5701</v>
      </c>
      <c r="AG49" s="0" t="s">
        <v>5702</v>
      </c>
      <c r="AH49" s="0" t="s">
        <v>5872</v>
      </c>
      <c r="AI49" s="0" t="s">
        <v>5692</v>
      </c>
      <c r="AJ49" s="0" t="s">
        <v>227</v>
      </c>
      <c r="AK49" s="0" t="s">
        <v>227</v>
      </c>
      <c r="AL49" s="0" t="s">
        <v>227</v>
      </c>
      <c r="AM49" s="0" t="s">
        <v>227</v>
      </c>
      <c r="AN49" s="0" t="s">
        <v>227</v>
      </c>
      <c r="AO49" s="0" t="s">
        <v>227</v>
      </c>
      <c r="AP49" s="0" t="s">
        <v>227</v>
      </c>
      <c r="AQ49" s="0" t="s">
        <v>227</v>
      </c>
      <c r="AR49" s="0" t="s">
        <v>227</v>
      </c>
      <c r="AS49" s="0" t="s">
        <v>227</v>
      </c>
      <c r="AT49" s="0" t="s">
        <v>227</v>
      </c>
      <c r="AU49" s="0" t="s">
        <v>227</v>
      </c>
      <c r="AV49" s="0" t="s">
        <v>227</v>
      </c>
      <c r="AW49" s="0" t="s">
        <v>227</v>
      </c>
      <c r="AX49" s="0" t="s">
        <v>227</v>
      </c>
      <c r="AY49" s="0" t="s">
        <v>227</v>
      </c>
      <c r="AZ49" s="0" t="s">
        <v>227</v>
      </c>
      <c r="BA49" s="0" t="s">
        <v>227</v>
      </c>
      <c r="BB49" s="0" t="s">
        <v>227</v>
      </c>
      <c r="BC49" s="0" t="s">
        <v>227</v>
      </c>
      <c r="BD49" s="0" t="s">
        <v>227</v>
      </c>
      <c r="BE49" s="0" t="s">
        <v>5728</v>
      </c>
      <c r="BF49" s="0" t="s">
        <v>5873</v>
      </c>
      <c r="BG49" s="0" t="s">
        <v>112</v>
      </c>
      <c r="BH49" s="0" t="s">
        <v>5690</v>
      </c>
      <c r="BI49" s="0" t="s">
        <v>5691</v>
      </c>
      <c r="BJ49" s="0" t="s">
        <v>227</v>
      </c>
      <c r="BK49" s="0" t="s">
        <v>952</v>
      </c>
      <c r="BL49" s="0" t="s">
        <v>354</v>
      </c>
      <c r="BM49" s="0" t="s">
        <v>354</v>
      </c>
      <c r="BN49" s="0" t="s">
        <v>5693</v>
      </c>
      <c r="BO49" s="0" t="s">
        <v>5701</v>
      </c>
      <c r="BP49" s="0" t="s">
        <v>5706</v>
      </c>
      <c r="BQ49" s="0" t="s">
        <v>5707</v>
      </c>
      <c r="BR49" s="0" t="s">
        <v>5708</v>
      </c>
      <c r="BS49" s="0" t="s">
        <v>227</v>
      </c>
      <c r="BT49" s="0" t="s">
        <v>5695</v>
      </c>
      <c r="BU49" s="0" t="s">
        <v>5874</v>
      </c>
      <c r="BV49" s="0" t="s">
        <v>5874</v>
      </c>
      <c r="BW49" s="0" t="s">
        <v>5697</v>
      </c>
      <c r="BX49" s="0" t="s">
        <v>5697</v>
      </c>
      <c r="BY49" s="0" t="s">
        <v>5697</v>
      </c>
      <c r="BZ49" s="0" t="s">
        <v>5697</v>
      </c>
      <c r="CA49" s="0" t="s">
        <v>5697</v>
      </c>
      <c r="CB49" s="0" t="s">
        <v>227</v>
      </c>
      <c r="CC49" s="0" t="s">
        <v>227</v>
      </c>
      <c r="CD49" s="0" t="s">
        <v>227</v>
      </c>
      <c r="CE49" s="0" t="s">
        <v>227</v>
      </c>
      <c r="CF49" s="0" t="s">
        <v>227</v>
      </c>
      <c r="CG49" s="0" t="s">
        <v>5697</v>
      </c>
      <c r="CH49" s="0" t="s">
        <v>227</v>
      </c>
      <c r="CI49" s="0" t="s">
        <v>227</v>
      </c>
      <c r="CJ49" s="0" t="s">
        <v>227</v>
      </c>
      <c r="CK49" s="0" t="s">
        <v>227</v>
      </c>
      <c r="CL49" s="0" t="s">
        <v>227</v>
      </c>
      <c r="CM49" s="0" t="s">
        <v>5874</v>
      </c>
      <c r="CN49" s="0" t="s">
        <v>5874</v>
      </c>
      <c r="CO49" s="0" t="s">
        <v>227</v>
      </c>
      <c r="CP49" s="0" t="s">
        <v>227</v>
      </c>
      <c r="CQ49" s="0" t="s">
        <v>227</v>
      </c>
      <c r="CR49" s="0" t="s">
        <v>227</v>
      </c>
      <c r="CS49" s="0" t="s">
        <v>5698</v>
      </c>
      <c r="CT49" s="0" t="s">
        <v>5679</v>
      </c>
      <c r="CU49" s="0" t="s">
        <v>5680</v>
      </c>
      <c r="CV49" s="0" t="s">
        <v>430</v>
      </c>
      <c r="CW49" s="0" t="s">
        <v>5699</v>
      </c>
      <c r="CX49" s="0" t="s">
        <v>431</v>
      </c>
      <c r="CY49" s="0" t="s">
        <v>430</v>
      </c>
      <c r="CZ49" s="0" t="s">
        <v>432</v>
      </c>
      <c r="DA49" s="0" t="s">
        <v>433</v>
      </c>
      <c r="DB49" s="0" t="s">
        <v>5700</v>
      </c>
      <c r="DC49" s="0" t="s">
        <v>373</v>
      </c>
      <c r="DD49" s="0" t="s">
        <v>277</v>
      </c>
      <c r="DE49" s="0" t="s">
        <v>828</v>
      </c>
    </row>
    <row customHeight="1" ht="11.25">
      <c r="A50" s="1806" t="s">
        <v>227</v>
      </c>
      <c r="B50" s="0" t="s">
        <v>227</v>
      </c>
      <c r="C50" s="0" t="s">
        <v>227</v>
      </c>
      <c r="D50" s="0" t="s">
        <v>227</v>
      </c>
      <c r="E50" s="0" t="s">
        <v>227</v>
      </c>
      <c r="F50" s="0" t="s">
        <v>227</v>
      </c>
      <c r="G50" s="0" t="s">
        <v>227</v>
      </c>
      <c r="H50" s="0" t="s">
        <v>227</v>
      </c>
      <c r="I50" s="0" t="s">
        <v>5667</v>
      </c>
      <c r="J50" s="0" t="s">
        <v>227</v>
      </c>
      <c r="K50" s="0" t="s">
        <v>227</v>
      </c>
      <c r="L50" s="0" t="s">
        <v>227</v>
      </c>
      <c r="M50" s="0" t="s">
        <v>227</v>
      </c>
      <c r="N50" s="0" t="s">
        <v>227</v>
      </c>
      <c r="O50" s="0" t="s">
        <v>227</v>
      </c>
      <c r="P50" s="0" t="s">
        <v>227</v>
      </c>
      <c r="Q50" s="0" t="s">
        <v>227</v>
      </c>
      <c r="R50" s="0" t="s">
        <v>702</v>
      </c>
      <c r="S50" s="0" t="s">
        <v>227</v>
      </c>
      <c r="T50" s="0" t="s">
        <v>227</v>
      </c>
      <c r="U50" s="0" t="s">
        <v>102</v>
      </c>
      <c r="V50" s="0" t="s">
        <v>227</v>
      </c>
      <c r="W50" s="0" t="s">
        <v>227</v>
      </c>
      <c r="X50" s="0" t="s">
        <v>5683</v>
      </c>
      <c r="Y50" s="0" t="s">
        <v>227</v>
      </c>
      <c r="Z50" s="0" t="s">
        <v>152</v>
      </c>
      <c r="AA50" s="0" t="s">
        <v>152</v>
      </c>
      <c r="AB50" s="0" t="s">
        <v>161</v>
      </c>
      <c r="AC50" s="0" t="s">
        <v>354</v>
      </c>
      <c r="AD50" s="0" t="s">
        <v>354</v>
      </c>
      <c r="AE50" s="0" t="s">
        <v>355</v>
      </c>
      <c r="AF50" s="0" t="s">
        <v>5701</v>
      </c>
      <c r="AG50" s="0" t="s">
        <v>5702</v>
      </c>
      <c r="AH50" s="0" t="s">
        <v>5875</v>
      </c>
      <c r="AI50" s="0" t="s">
        <v>5692</v>
      </c>
      <c r="AJ50" s="0" t="s">
        <v>227</v>
      </c>
      <c r="AK50" s="0" t="s">
        <v>227</v>
      </c>
      <c r="AL50" s="0" t="s">
        <v>227</v>
      </c>
      <c r="AM50" s="0" t="s">
        <v>227</v>
      </c>
      <c r="AN50" s="0" t="s">
        <v>227</v>
      </c>
      <c r="AO50" s="0" t="s">
        <v>227</v>
      </c>
      <c r="AP50" s="0" t="s">
        <v>227</v>
      </c>
      <c r="AQ50" s="0" t="s">
        <v>227</v>
      </c>
      <c r="AR50" s="0" t="s">
        <v>227</v>
      </c>
      <c r="AS50" s="0" t="s">
        <v>227</v>
      </c>
      <c r="AT50" s="0" t="s">
        <v>227</v>
      </c>
      <c r="AU50" s="0" t="s">
        <v>227</v>
      </c>
      <c r="AV50" s="0" t="s">
        <v>227</v>
      </c>
      <c r="AW50" s="0" t="s">
        <v>227</v>
      </c>
      <c r="AX50" s="0" t="s">
        <v>227</v>
      </c>
      <c r="AY50" s="0" t="s">
        <v>227</v>
      </c>
      <c r="AZ50" s="0" t="s">
        <v>227</v>
      </c>
      <c r="BA50" s="0" t="s">
        <v>227</v>
      </c>
      <c r="BB50" s="0" t="s">
        <v>227</v>
      </c>
      <c r="BC50" s="0" t="s">
        <v>227</v>
      </c>
      <c r="BD50" s="0" t="s">
        <v>227</v>
      </c>
      <c r="BE50" s="0" t="s">
        <v>5876</v>
      </c>
      <c r="BF50" s="0" t="s">
        <v>5749</v>
      </c>
      <c r="BG50" s="0" t="s">
        <v>112</v>
      </c>
      <c r="BH50" s="0" t="s">
        <v>5690</v>
      </c>
      <c r="BI50" s="0" t="s">
        <v>5691</v>
      </c>
      <c r="BJ50" s="0" t="s">
        <v>227</v>
      </c>
      <c r="BK50" s="0" t="s">
        <v>952</v>
      </c>
      <c r="BL50" s="0" t="s">
        <v>354</v>
      </c>
      <c r="BM50" s="0" t="s">
        <v>354</v>
      </c>
      <c r="BN50" s="0" t="s">
        <v>5693</v>
      </c>
      <c r="BO50" s="0" t="s">
        <v>5701</v>
      </c>
      <c r="BP50" s="0" t="s">
        <v>5706</v>
      </c>
      <c r="BQ50" s="0" t="s">
        <v>5707</v>
      </c>
      <c r="BR50" s="0" t="s">
        <v>5708</v>
      </c>
      <c r="BS50" s="0" t="s">
        <v>227</v>
      </c>
      <c r="BT50" s="0" t="s">
        <v>5695</v>
      </c>
      <c r="BU50" s="0" t="s">
        <v>5877</v>
      </c>
      <c r="BV50" s="0" t="s">
        <v>5877</v>
      </c>
      <c r="BW50" s="0" t="s">
        <v>5697</v>
      </c>
      <c r="BX50" s="0" t="s">
        <v>5697</v>
      </c>
      <c r="BY50" s="0" t="s">
        <v>5697</v>
      </c>
      <c r="BZ50" s="0" t="s">
        <v>5697</v>
      </c>
      <c r="CA50" s="0" t="s">
        <v>5697</v>
      </c>
      <c r="CB50" s="0" t="s">
        <v>227</v>
      </c>
      <c r="CC50" s="0" t="s">
        <v>227</v>
      </c>
      <c r="CD50" s="0" t="s">
        <v>227</v>
      </c>
      <c r="CE50" s="0" t="s">
        <v>227</v>
      </c>
      <c r="CF50" s="0" t="s">
        <v>227</v>
      </c>
      <c r="CG50" s="0" t="s">
        <v>5697</v>
      </c>
      <c r="CH50" s="0" t="s">
        <v>227</v>
      </c>
      <c r="CI50" s="0" t="s">
        <v>227</v>
      </c>
      <c r="CJ50" s="0" t="s">
        <v>227</v>
      </c>
      <c r="CK50" s="0" t="s">
        <v>227</v>
      </c>
      <c r="CL50" s="0" t="s">
        <v>227</v>
      </c>
      <c r="CM50" s="0" t="s">
        <v>5877</v>
      </c>
      <c r="CN50" s="0" t="s">
        <v>5877</v>
      </c>
      <c r="CO50" s="0" t="s">
        <v>227</v>
      </c>
      <c r="CP50" s="0" t="s">
        <v>227</v>
      </c>
      <c r="CQ50" s="0" t="s">
        <v>227</v>
      </c>
      <c r="CR50" s="0" t="s">
        <v>227</v>
      </c>
      <c r="CS50" s="0" t="s">
        <v>5759</v>
      </c>
      <c r="CT50" s="0" t="s">
        <v>5679</v>
      </c>
      <c r="CU50" s="0" t="s">
        <v>5680</v>
      </c>
      <c r="CV50" s="0" t="s">
        <v>430</v>
      </c>
      <c r="CW50" s="0" t="s">
        <v>5699</v>
      </c>
      <c r="CX50" s="0" t="s">
        <v>431</v>
      </c>
      <c r="CY50" s="0" t="s">
        <v>430</v>
      </c>
      <c r="CZ50" s="0" t="s">
        <v>432</v>
      </c>
      <c r="DA50" s="0" t="s">
        <v>433</v>
      </c>
      <c r="DB50" s="0" t="s">
        <v>5700</v>
      </c>
      <c r="DC50" s="0" t="s">
        <v>373</v>
      </c>
      <c r="DD50" s="0" t="s">
        <v>277</v>
      </c>
      <c r="DE50" s="0" t="s">
        <v>947</v>
      </c>
    </row>
    <row customHeight="1" ht="11.25">
      <c r="A51" s="1806" t="s">
        <v>227</v>
      </c>
      <c r="B51" s="0" t="s">
        <v>227</v>
      </c>
      <c r="C51" s="0" t="s">
        <v>227</v>
      </c>
      <c r="D51" s="0" t="s">
        <v>227</v>
      </c>
      <c r="E51" s="0" t="s">
        <v>227</v>
      </c>
      <c r="F51" s="0" t="s">
        <v>227</v>
      </c>
      <c r="G51" s="0" t="s">
        <v>227</v>
      </c>
      <c r="H51" s="0" t="s">
        <v>227</v>
      </c>
      <c r="I51" s="0" t="s">
        <v>5667</v>
      </c>
      <c r="J51" s="0" t="s">
        <v>227</v>
      </c>
      <c r="K51" s="0" t="s">
        <v>227</v>
      </c>
      <c r="L51" s="0" t="s">
        <v>227</v>
      </c>
      <c r="M51" s="0" t="s">
        <v>227</v>
      </c>
      <c r="N51" s="0" t="s">
        <v>227</v>
      </c>
      <c r="O51" s="0" t="s">
        <v>227</v>
      </c>
      <c r="P51" s="0" t="s">
        <v>227</v>
      </c>
      <c r="Q51" s="0" t="s">
        <v>227</v>
      </c>
      <c r="R51" s="0" t="s">
        <v>770</v>
      </c>
      <c r="S51" s="0" t="s">
        <v>227</v>
      </c>
      <c r="T51" s="0" t="s">
        <v>227</v>
      </c>
      <c r="U51" s="0" t="s">
        <v>102</v>
      </c>
      <c r="V51" s="0" t="s">
        <v>227</v>
      </c>
      <c r="W51" s="0" t="s">
        <v>227</v>
      </c>
      <c r="X51" s="0" t="s">
        <v>5683</v>
      </c>
      <c r="Y51" s="0" t="s">
        <v>227</v>
      </c>
      <c r="Z51" s="0" t="s">
        <v>152</v>
      </c>
      <c r="AA51" s="0" t="s">
        <v>152</v>
      </c>
      <c r="AB51" s="0" t="s">
        <v>161</v>
      </c>
      <c r="AC51" s="0" t="s">
        <v>354</v>
      </c>
      <c r="AD51" s="0" t="s">
        <v>354</v>
      </c>
      <c r="AE51" s="0" t="s">
        <v>355</v>
      </c>
      <c r="AF51" s="0" t="s">
        <v>5701</v>
      </c>
      <c r="AG51" s="0" t="s">
        <v>5702</v>
      </c>
      <c r="AH51" s="0" t="s">
        <v>5878</v>
      </c>
      <c r="AI51" s="0" t="s">
        <v>5692</v>
      </c>
      <c r="AJ51" s="0" t="s">
        <v>227</v>
      </c>
      <c r="AK51" s="0" t="s">
        <v>227</v>
      </c>
      <c r="AL51" s="0" t="s">
        <v>227</v>
      </c>
      <c r="AM51" s="0" t="s">
        <v>227</v>
      </c>
      <c r="AN51" s="0" t="s">
        <v>227</v>
      </c>
      <c r="AO51" s="0" t="s">
        <v>227</v>
      </c>
      <c r="AP51" s="0" t="s">
        <v>227</v>
      </c>
      <c r="AQ51" s="0" t="s">
        <v>227</v>
      </c>
      <c r="AR51" s="0" t="s">
        <v>227</v>
      </c>
      <c r="AS51" s="0" t="s">
        <v>227</v>
      </c>
      <c r="AT51" s="0" t="s">
        <v>227</v>
      </c>
      <c r="AU51" s="0" t="s">
        <v>227</v>
      </c>
      <c r="AV51" s="0" t="s">
        <v>227</v>
      </c>
      <c r="AW51" s="0" t="s">
        <v>227</v>
      </c>
      <c r="AX51" s="0" t="s">
        <v>227</v>
      </c>
      <c r="AY51" s="0" t="s">
        <v>227</v>
      </c>
      <c r="AZ51" s="0" t="s">
        <v>227</v>
      </c>
      <c r="BA51" s="0" t="s">
        <v>227</v>
      </c>
      <c r="BB51" s="0" t="s">
        <v>227</v>
      </c>
      <c r="BC51" s="0" t="s">
        <v>227</v>
      </c>
      <c r="BD51" s="0" t="s">
        <v>227</v>
      </c>
      <c r="BE51" s="0" t="s">
        <v>5728</v>
      </c>
      <c r="BF51" s="0" t="s">
        <v>5757</v>
      </c>
      <c r="BG51" s="0" t="s">
        <v>112</v>
      </c>
      <c r="BH51" s="0" t="s">
        <v>5690</v>
      </c>
      <c r="BI51" s="0" t="s">
        <v>5691</v>
      </c>
      <c r="BJ51" s="0" t="s">
        <v>227</v>
      </c>
      <c r="BK51" s="0" t="s">
        <v>952</v>
      </c>
      <c r="BL51" s="0" t="s">
        <v>354</v>
      </c>
      <c r="BM51" s="0" t="s">
        <v>354</v>
      </c>
      <c r="BN51" s="0" t="s">
        <v>5693</v>
      </c>
      <c r="BO51" s="0" t="s">
        <v>5701</v>
      </c>
      <c r="BP51" s="0" t="s">
        <v>5706</v>
      </c>
      <c r="BQ51" s="0" t="s">
        <v>5707</v>
      </c>
      <c r="BR51" s="0" t="s">
        <v>5708</v>
      </c>
      <c r="BS51" s="0" t="s">
        <v>227</v>
      </c>
      <c r="BT51" s="0" t="s">
        <v>5695</v>
      </c>
      <c r="BU51" s="0" t="s">
        <v>5879</v>
      </c>
      <c r="BV51" s="0" t="s">
        <v>5879</v>
      </c>
      <c r="BW51" s="0" t="s">
        <v>5697</v>
      </c>
      <c r="BX51" s="0" t="s">
        <v>5697</v>
      </c>
      <c r="BY51" s="0" t="s">
        <v>5697</v>
      </c>
      <c r="BZ51" s="0" t="s">
        <v>5697</v>
      </c>
      <c r="CA51" s="0" t="s">
        <v>5697</v>
      </c>
      <c r="CB51" s="0" t="s">
        <v>227</v>
      </c>
      <c r="CC51" s="0" t="s">
        <v>227</v>
      </c>
      <c r="CD51" s="0" t="s">
        <v>227</v>
      </c>
      <c r="CE51" s="0" t="s">
        <v>227</v>
      </c>
      <c r="CF51" s="0" t="s">
        <v>227</v>
      </c>
      <c r="CG51" s="0" t="s">
        <v>5697</v>
      </c>
      <c r="CH51" s="0" t="s">
        <v>227</v>
      </c>
      <c r="CI51" s="0" t="s">
        <v>227</v>
      </c>
      <c r="CJ51" s="0" t="s">
        <v>227</v>
      </c>
      <c r="CK51" s="0" t="s">
        <v>227</v>
      </c>
      <c r="CL51" s="0" t="s">
        <v>227</v>
      </c>
      <c r="CM51" s="0" t="s">
        <v>5879</v>
      </c>
      <c r="CN51" s="0" t="s">
        <v>5879</v>
      </c>
      <c r="CO51" s="0" t="s">
        <v>227</v>
      </c>
      <c r="CP51" s="0" t="s">
        <v>227</v>
      </c>
      <c r="CQ51" s="0" t="s">
        <v>227</v>
      </c>
      <c r="CR51" s="0" t="s">
        <v>227</v>
      </c>
      <c r="CS51" s="0" t="s">
        <v>5698</v>
      </c>
      <c r="CT51" s="0" t="s">
        <v>5679</v>
      </c>
      <c r="CU51" s="0" t="s">
        <v>5680</v>
      </c>
      <c r="CV51" s="0" t="s">
        <v>430</v>
      </c>
      <c r="CW51" s="0" t="s">
        <v>5699</v>
      </c>
      <c r="CX51" s="0" t="s">
        <v>431</v>
      </c>
      <c r="CY51" s="0" t="s">
        <v>430</v>
      </c>
      <c r="CZ51" s="0" t="s">
        <v>432</v>
      </c>
      <c r="DA51" s="0" t="s">
        <v>433</v>
      </c>
      <c r="DB51" s="0" t="s">
        <v>5700</v>
      </c>
      <c r="DC51" s="0" t="s">
        <v>373</v>
      </c>
      <c r="DD51" s="0" t="s">
        <v>277</v>
      </c>
      <c r="DE51" s="0" t="s">
        <v>771</v>
      </c>
    </row>
    <row customHeight="1" ht="11.25">
      <c r="A52" s="1806" t="s">
        <v>227</v>
      </c>
      <c r="B52" s="0" t="s">
        <v>227</v>
      </c>
      <c r="C52" s="0" t="s">
        <v>227</v>
      </c>
      <c r="D52" s="0" t="s">
        <v>227</v>
      </c>
      <c r="E52" s="0" t="s">
        <v>227</v>
      </c>
      <c r="F52" s="0" t="s">
        <v>227</v>
      </c>
      <c r="G52" s="0" t="s">
        <v>227</v>
      </c>
      <c r="H52" s="0" t="s">
        <v>227</v>
      </c>
      <c r="I52" s="0" t="s">
        <v>5667</v>
      </c>
      <c r="J52" s="0" t="s">
        <v>227</v>
      </c>
      <c r="K52" s="0" t="s">
        <v>227</v>
      </c>
      <c r="L52" s="0" t="s">
        <v>227</v>
      </c>
      <c r="M52" s="0" t="s">
        <v>227</v>
      </c>
      <c r="N52" s="0" t="s">
        <v>227</v>
      </c>
      <c r="O52" s="0" t="s">
        <v>227</v>
      </c>
      <c r="P52" s="0" t="s">
        <v>227</v>
      </c>
      <c r="Q52" s="0" t="s">
        <v>227</v>
      </c>
      <c r="R52" s="0" t="s">
        <v>767</v>
      </c>
      <c r="S52" s="0" t="s">
        <v>227</v>
      </c>
      <c r="T52" s="0" t="s">
        <v>227</v>
      </c>
      <c r="U52" s="0" t="s">
        <v>102</v>
      </c>
      <c r="V52" s="0" t="s">
        <v>227</v>
      </c>
      <c r="W52" s="0" t="s">
        <v>227</v>
      </c>
      <c r="X52" s="0" t="s">
        <v>5683</v>
      </c>
      <c r="Y52" s="0" t="s">
        <v>227</v>
      </c>
      <c r="Z52" s="0" t="s">
        <v>152</v>
      </c>
      <c r="AA52" s="0" t="s">
        <v>152</v>
      </c>
      <c r="AB52" s="0" t="s">
        <v>161</v>
      </c>
      <c r="AC52" s="0" t="s">
        <v>354</v>
      </c>
      <c r="AD52" s="0" t="s">
        <v>354</v>
      </c>
      <c r="AE52" s="0" t="s">
        <v>355</v>
      </c>
      <c r="AF52" s="0" t="s">
        <v>5701</v>
      </c>
      <c r="AG52" s="0" t="s">
        <v>5702</v>
      </c>
      <c r="AH52" s="0" t="s">
        <v>5880</v>
      </c>
      <c r="AI52" s="0" t="s">
        <v>5692</v>
      </c>
      <c r="AJ52" s="0" t="s">
        <v>227</v>
      </c>
      <c r="AK52" s="0" t="s">
        <v>227</v>
      </c>
      <c r="AL52" s="0" t="s">
        <v>227</v>
      </c>
      <c r="AM52" s="0" t="s">
        <v>227</v>
      </c>
      <c r="AN52" s="0" t="s">
        <v>227</v>
      </c>
      <c r="AO52" s="0" t="s">
        <v>227</v>
      </c>
      <c r="AP52" s="0" t="s">
        <v>227</v>
      </c>
      <c r="AQ52" s="0" t="s">
        <v>227</v>
      </c>
      <c r="AR52" s="0" t="s">
        <v>227</v>
      </c>
      <c r="AS52" s="0" t="s">
        <v>227</v>
      </c>
      <c r="AT52" s="0" t="s">
        <v>227</v>
      </c>
      <c r="AU52" s="0" t="s">
        <v>227</v>
      </c>
      <c r="AV52" s="0" t="s">
        <v>227</v>
      </c>
      <c r="AW52" s="0" t="s">
        <v>227</v>
      </c>
      <c r="AX52" s="0" t="s">
        <v>227</v>
      </c>
      <c r="AY52" s="0" t="s">
        <v>227</v>
      </c>
      <c r="AZ52" s="0" t="s">
        <v>227</v>
      </c>
      <c r="BA52" s="0" t="s">
        <v>227</v>
      </c>
      <c r="BB52" s="0" t="s">
        <v>227</v>
      </c>
      <c r="BC52" s="0" t="s">
        <v>227</v>
      </c>
      <c r="BD52" s="0" t="s">
        <v>227</v>
      </c>
      <c r="BE52" s="0" t="s">
        <v>5728</v>
      </c>
      <c r="BF52" s="0" t="s">
        <v>5873</v>
      </c>
      <c r="BG52" s="0" t="s">
        <v>112</v>
      </c>
      <c r="BH52" s="0" t="s">
        <v>5690</v>
      </c>
      <c r="BI52" s="0" t="s">
        <v>5691</v>
      </c>
      <c r="BJ52" s="0" t="s">
        <v>227</v>
      </c>
      <c r="BK52" s="0" t="s">
        <v>952</v>
      </c>
      <c r="BL52" s="0" t="s">
        <v>354</v>
      </c>
      <c r="BM52" s="0" t="s">
        <v>354</v>
      </c>
      <c r="BN52" s="0" t="s">
        <v>5693</v>
      </c>
      <c r="BO52" s="0" t="s">
        <v>5701</v>
      </c>
      <c r="BP52" s="0" t="s">
        <v>5706</v>
      </c>
      <c r="BQ52" s="0" t="s">
        <v>5707</v>
      </c>
      <c r="BR52" s="0" t="s">
        <v>5708</v>
      </c>
      <c r="BS52" s="0" t="s">
        <v>227</v>
      </c>
      <c r="BT52" s="0" t="s">
        <v>5695</v>
      </c>
      <c r="BU52" s="0" t="s">
        <v>5881</v>
      </c>
      <c r="BV52" s="0" t="s">
        <v>5881</v>
      </c>
      <c r="BW52" s="0" t="s">
        <v>5697</v>
      </c>
      <c r="BX52" s="0" t="s">
        <v>5697</v>
      </c>
      <c r="BY52" s="0" t="s">
        <v>5697</v>
      </c>
      <c r="BZ52" s="0" t="s">
        <v>5697</v>
      </c>
      <c r="CA52" s="0" t="s">
        <v>5697</v>
      </c>
      <c r="CB52" s="0" t="s">
        <v>227</v>
      </c>
      <c r="CC52" s="0" t="s">
        <v>227</v>
      </c>
      <c r="CD52" s="0" t="s">
        <v>227</v>
      </c>
      <c r="CE52" s="0" t="s">
        <v>227</v>
      </c>
      <c r="CF52" s="0" t="s">
        <v>227</v>
      </c>
      <c r="CG52" s="0" t="s">
        <v>5697</v>
      </c>
      <c r="CH52" s="0" t="s">
        <v>227</v>
      </c>
      <c r="CI52" s="0" t="s">
        <v>227</v>
      </c>
      <c r="CJ52" s="0" t="s">
        <v>227</v>
      </c>
      <c r="CK52" s="0" t="s">
        <v>227</v>
      </c>
      <c r="CL52" s="0" t="s">
        <v>227</v>
      </c>
      <c r="CM52" s="0" t="s">
        <v>5881</v>
      </c>
      <c r="CN52" s="0" t="s">
        <v>5881</v>
      </c>
      <c r="CO52" s="0" t="s">
        <v>227</v>
      </c>
      <c r="CP52" s="0" t="s">
        <v>227</v>
      </c>
      <c r="CQ52" s="0" t="s">
        <v>227</v>
      </c>
      <c r="CR52" s="0" t="s">
        <v>227</v>
      </c>
      <c r="CS52" s="0" t="s">
        <v>5698</v>
      </c>
      <c r="CT52" s="0" t="s">
        <v>5679</v>
      </c>
      <c r="CU52" s="0" t="s">
        <v>5680</v>
      </c>
      <c r="CV52" s="0" t="s">
        <v>430</v>
      </c>
      <c r="CW52" s="0" t="s">
        <v>5699</v>
      </c>
      <c r="CX52" s="0" t="s">
        <v>431</v>
      </c>
      <c r="CY52" s="0" t="s">
        <v>430</v>
      </c>
      <c r="CZ52" s="0" t="s">
        <v>432</v>
      </c>
      <c r="DA52" s="0" t="s">
        <v>433</v>
      </c>
      <c r="DB52" s="0" t="s">
        <v>5700</v>
      </c>
      <c r="DC52" s="0" t="s">
        <v>373</v>
      </c>
      <c r="DD52" s="0" t="s">
        <v>277</v>
      </c>
      <c r="DE52" s="0" t="s">
        <v>768</v>
      </c>
    </row>
    <row customHeight="1" ht="11.25">
      <c r="A53" s="1806" t="s">
        <v>227</v>
      </c>
      <c r="B53" s="0" t="s">
        <v>227</v>
      </c>
      <c r="C53" s="0" t="s">
        <v>227</v>
      </c>
      <c r="D53" s="0" t="s">
        <v>227</v>
      </c>
      <c r="E53" s="0" t="s">
        <v>227</v>
      </c>
      <c r="F53" s="0" t="s">
        <v>227</v>
      </c>
      <c r="G53" s="0" t="s">
        <v>227</v>
      </c>
      <c r="H53" s="0" t="s">
        <v>227</v>
      </c>
      <c r="I53" s="0" t="s">
        <v>5667</v>
      </c>
      <c r="J53" s="0" t="s">
        <v>227</v>
      </c>
      <c r="K53" s="0" t="s">
        <v>227</v>
      </c>
      <c r="L53" s="0" t="s">
        <v>227</v>
      </c>
      <c r="M53" s="0" t="s">
        <v>227</v>
      </c>
      <c r="N53" s="0" t="s">
        <v>227</v>
      </c>
      <c r="O53" s="0" t="s">
        <v>227</v>
      </c>
      <c r="P53" s="0" t="s">
        <v>227</v>
      </c>
      <c r="Q53" s="0" t="s">
        <v>227</v>
      </c>
      <c r="R53" s="0" t="s">
        <v>747</v>
      </c>
      <c r="S53" s="0" t="s">
        <v>227</v>
      </c>
      <c r="T53" s="0" t="s">
        <v>227</v>
      </c>
      <c r="U53" s="0" t="s">
        <v>102</v>
      </c>
      <c r="V53" s="0" t="s">
        <v>227</v>
      </c>
      <c r="W53" s="0" t="s">
        <v>227</v>
      </c>
      <c r="X53" s="0" t="s">
        <v>5683</v>
      </c>
      <c r="Y53" s="0" t="s">
        <v>227</v>
      </c>
      <c r="Z53" s="0" t="s">
        <v>152</v>
      </c>
      <c r="AA53" s="0" t="s">
        <v>152</v>
      </c>
      <c r="AB53" s="0" t="s">
        <v>161</v>
      </c>
      <c r="AC53" s="0" t="s">
        <v>354</v>
      </c>
      <c r="AD53" s="0" t="s">
        <v>354</v>
      </c>
      <c r="AE53" s="0" t="s">
        <v>355</v>
      </c>
      <c r="AF53" s="0" t="s">
        <v>5701</v>
      </c>
      <c r="AG53" s="0" t="s">
        <v>5702</v>
      </c>
      <c r="AH53" s="0" t="s">
        <v>5882</v>
      </c>
      <c r="AI53" s="0" t="s">
        <v>5883</v>
      </c>
      <c r="AJ53" s="0" t="s">
        <v>227</v>
      </c>
      <c r="AK53" s="0" t="s">
        <v>227</v>
      </c>
      <c r="AL53" s="0" t="s">
        <v>227</v>
      </c>
      <c r="AM53" s="0" t="s">
        <v>227</v>
      </c>
      <c r="AN53" s="0" t="s">
        <v>227</v>
      </c>
      <c r="AO53" s="0" t="s">
        <v>227</v>
      </c>
      <c r="AP53" s="0" t="s">
        <v>227</v>
      </c>
      <c r="AQ53" s="0" t="s">
        <v>227</v>
      </c>
      <c r="AR53" s="0" t="s">
        <v>227</v>
      </c>
      <c r="AS53" s="0" t="s">
        <v>227</v>
      </c>
      <c r="AT53" s="0" t="s">
        <v>227</v>
      </c>
      <c r="AU53" s="0" t="s">
        <v>227</v>
      </c>
      <c r="AV53" s="0" t="s">
        <v>227</v>
      </c>
      <c r="AW53" s="0" t="s">
        <v>227</v>
      </c>
      <c r="AX53" s="0" t="s">
        <v>227</v>
      </c>
      <c r="AY53" s="0" t="s">
        <v>227</v>
      </c>
      <c r="AZ53" s="0" t="s">
        <v>227</v>
      </c>
      <c r="BA53" s="0" t="s">
        <v>227</v>
      </c>
      <c r="BB53" s="0" t="s">
        <v>227</v>
      </c>
      <c r="BC53" s="0" t="s">
        <v>227</v>
      </c>
      <c r="BD53" s="0" t="s">
        <v>227</v>
      </c>
      <c r="BE53" s="0" t="s">
        <v>5748</v>
      </c>
      <c r="BF53" s="0" t="s">
        <v>5884</v>
      </c>
      <c r="BG53" s="0" t="s">
        <v>112</v>
      </c>
      <c r="BH53" s="0" t="s">
        <v>5690</v>
      </c>
      <c r="BI53" s="0" t="s">
        <v>5691</v>
      </c>
      <c r="BJ53" s="0" t="s">
        <v>227</v>
      </c>
      <c r="BK53" s="0" t="s">
        <v>952</v>
      </c>
      <c r="BL53" s="0" t="s">
        <v>354</v>
      </c>
      <c r="BM53" s="0" t="s">
        <v>354</v>
      </c>
      <c r="BN53" s="0" t="s">
        <v>5693</v>
      </c>
      <c r="BO53" s="0" t="s">
        <v>5701</v>
      </c>
      <c r="BP53" s="0" t="s">
        <v>5706</v>
      </c>
      <c r="BQ53" s="0" t="s">
        <v>5707</v>
      </c>
      <c r="BR53" s="0" t="s">
        <v>5708</v>
      </c>
      <c r="BS53" s="0" t="s">
        <v>227</v>
      </c>
      <c r="BT53" s="0" t="s">
        <v>5695</v>
      </c>
      <c r="BU53" s="0" t="s">
        <v>5885</v>
      </c>
      <c r="BV53" s="0" t="s">
        <v>5885</v>
      </c>
      <c r="BW53" s="0" t="s">
        <v>5697</v>
      </c>
      <c r="BX53" s="0" t="s">
        <v>5697</v>
      </c>
      <c r="BY53" s="0" t="s">
        <v>5697</v>
      </c>
      <c r="BZ53" s="0" t="s">
        <v>5697</v>
      </c>
      <c r="CA53" s="0" t="s">
        <v>5697</v>
      </c>
      <c r="CB53" s="0" t="s">
        <v>227</v>
      </c>
      <c r="CC53" s="0" t="s">
        <v>227</v>
      </c>
      <c r="CD53" s="0" t="s">
        <v>227</v>
      </c>
      <c r="CE53" s="0" t="s">
        <v>227</v>
      </c>
      <c r="CF53" s="0" t="s">
        <v>227</v>
      </c>
      <c r="CG53" s="0" t="s">
        <v>5697</v>
      </c>
      <c r="CH53" s="0" t="s">
        <v>227</v>
      </c>
      <c r="CI53" s="0" t="s">
        <v>227</v>
      </c>
      <c r="CJ53" s="0" t="s">
        <v>227</v>
      </c>
      <c r="CK53" s="0" t="s">
        <v>227</v>
      </c>
      <c r="CL53" s="0" t="s">
        <v>227</v>
      </c>
      <c r="CM53" s="0" t="s">
        <v>5885</v>
      </c>
      <c r="CN53" s="0" t="s">
        <v>5885</v>
      </c>
      <c r="CO53" s="0" t="s">
        <v>227</v>
      </c>
      <c r="CP53" s="0" t="s">
        <v>227</v>
      </c>
      <c r="CQ53" s="0" t="s">
        <v>227</v>
      </c>
      <c r="CR53" s="0" t="s">
        <v>227</v>
      </c>
      <c r="CS53" s="0" t="s">
        <v>5773</v>
      </c>
      <c r="CT53" s="0" t="s">
        <v>5679</v>
      </c>
      <c r="CU53" s="0" t="s">
        <v>5680</v>
      </c>
      <c r="CV53" s="0" t="s">
        <v>430</v>
      </c>
      <c r="CW53" s="0" t="s">
        <v>5699</v>
      </c>
      <c r="CX53" s="0" t="s">
        <v>431</v>
      </c>
      <c r="CY53" s="0" t="s">
        <v>430</v>
      </c>
      <c r="CZ53" s="0" t="s">
        <v>432</v>
      </c>
      <c r="DA53" s="0" t="s">
        <v>433</v>
      </c>
      <c r="DB53" s="0" t="s">
        <v>5700</v>
      </c>
      <c r="DC53" s="0" t="s">
        <v>373</v>
      </c>
      <c r="DD53" s="0" t="s">
        <v>277</v>
      </c>
      <c r="DE53" s="0" t="s">
        <v>859</v>
      </c>
    </row>
    <row customHeight="1" ht="11.25">
      <c r="A54" s="1806" t="s">
        <v>227</v>
      </c>
      <c r="B54" s="0" t="s">
        <v>227</v>
      </c>
      <c r="C54" s="0" t="s">
        <v>227</v>
      </c>
      <c r="D54" s="0" t="s">
        <v>227</v>
      </c>
      <c r="E54" s="0" t="s">
        <v>227</v>
      </c>
      <c r="F54" s="0" t="s">
        <v>227</v>
      </c>
      <c r="G54" s="0" t="s">
        <v>227</v>
      </c>
      <c r="H54" s="0" t="s">
        <v>227</v>
      </c>
      <c r="I54" s="0" t="s">
        <v>5667</v>
      </c>
      <c r="J54" s="0" t="s">
        <v>227</v>
      </c>
      <c r="K54" s="0" t="s">
        <v>227</v>
      </c>
      <c r="L54" s="0" t="s">
        <v>227</v>
      </c>
      <c r="M54" s="0" t="s">
        <v>227</v>
      </c>
      <c r="N54" s="0" t="s">
        <v>227</v>
      </c>
      <c r="O54" s="0" t="s">
        <v>227</v>
      </c>
      <c r="P54" s="0" t="s">
        <v>227</v>
      </c>
      <c r="Q54" s="0" t="s">
        <v>227</v>
      </c>
      <c r="R54" s="0" t="s">
        <v>500</v>
      </c>
      <c r="S54" s="0" t="s">
        <v>227</v>
      </c>
      <c r="T54" s="0" t="s">
        <v>227</v>
      </c>
      <c r="U54" s="0" t="s">
        <v>102</v>
      </c>
      <c r="V54" s="0" t="s">
        <v>227</v>
      </c>
      <c r="W54" s="0" t="s">
        <v>227</v>
      </c>
      <c r="X54" s="0" t="s">
        <v>5683</v>
      </c>
      <c r="Y54" s="0" t="s">
        <v>227</v>
      </c>
      <c r="Z54" s="0" t="s">
        <v>152</v>
      </c>
      <c r="AA54" s="0" t="s">
        <v>152</v>
      </c>
      <c r="AB54" s="0" t="s">
        <v>161</v>
      </c>
      <c r="AC54" s="0" t="s">
        <v>354</v>
      </c>
      <c r="AD54" s="0" t="s">
        <v>354</v>
      </c>
      <c r="AE54" s="0" t="s">
        <v>355</v>
      </c>
      <c r="AF54" s="0" t="s">
        <v>5684</v>
      </c>
      <c r="AG54" s="0" t="s">
        <v>5685</v>
      </c>
      <c r="AH54" s="0" t="s">
        <v>5886</v>
      </c>
      <c r="AI54" s="0" t="s">
        <v>5887</v>
      </c>
      <c r="AJ54" s="0" t="s">
        <v>227</v>
      </c>
      <c r="AK54" s="0" t="s">
        <v>227</v>
      </c>
      <c r="AL54" s="0" t="s">
        <v>227</v>
      </c>
      <c r="AM54" s="0" t="s">
        <v>227</v>
      </c>
      <c r="AN54" s="0" t="s">
        <v>227</v>
      </c>
      <c r="AO54" s="0" t="s">
        <v>227</v>
      </c>
      <c r="AP54" s="0" t="s">
        <v>227</v>
      </c>
      <c r="AQ54" s="0" t="s">
        <v>227</v>
      </c>
      <c r="AR54" s="0" t="s">
        <v>227</v>
      </c>
      <c r="AS54" s="0" t="s">
        <v>227</v>
      </c>
      <c r="AT54" s="0" t="s">
        <v>227</v>
      </c>
      <c r="AU54" s="0" t="s">
        <v>227</v>
      </c>
      <c r="AV54" s="0" t="s">
        <v>227</v>
      </c>
      <c r="AW54" s="0" t="s">
        <v>227</v>
      </c>
      <c r="AX54" s="0" t="s">
        <v>227</v>
      </c>
      <c r="AY54" s="0" t="s">
        <v>227</v>
      </c>
      <c r="AZ54" s="0" t="s">
        <v>227</v>
      </c>
      <c r="BA54" s="0" t="s">
        <v>227</v>
      </c>
      <c r="BB54" s="0" t="s">
        <v>227</v>
      </c>
      <c r="BC54" s="0" t="s">
        <v>227</v>
      </c>
      <c r="BD54" s="0" t="s">
        <v>227</v>
      </c>
      <c r="BE54" s="0" t="s">
        <v>5743</v>
      </c>
      <c r="BF54" s="0" t="s">
        <v>5888</v>
      </c>
      <c r="BG54" s="0" t="s">
        <v>112</v>
      </c>
      <c r="BH54" s="0" t="s">
        <v>5690</v>
      </c>
      <c r="BI54" s="0" t="s">
        <v>5691</v>
      </c>
      <c r="BJ54" s="0" t="s">
        <v>227</v>
      </c>
      <c r="BK54" s="0" t="s">
        <v>5692</v>
      </c>
      <c r="BL54" s="0" t="s">
        <v>354</v>
      </c>
      <c r="BM54" s="0" t="s">
        <v>354</v>
      </c>
      <c r="BN54" s="0" t="s">
        <v>5693</v>
      </c>
      <c r="BO54" s="0" t="s">
        <v>5684</v>
      </c>
      <c r="BP54" s="0" t="s">
        <v>5694</v>
      </c>
      <c r="BQ54" s="0" t="s">
        <v>5692</v>
      </c>
      <c r="BR54" s="0" t="s">
        <v>5692</v>
      </c>
      <c r="BS54" s="0" t="s">
        <v>227</v>
      </c>
      <c r="BT54" s="0" t="s">
        <v>5788</v>
      </c>
      <c r="BU54" s="0" t="s">
        <v>5696</v>
      </c>
      <c r="BV54" s="0" t="s">
        <v>5696</v>
      </c>
      <c r="BW54" s="0" t="s">
        <v>5697</v>
      </c>
      <c r="BX54" s="0" t="s">
        <v>5697</v>
      </c>
      <c r="BY54" s="0" t="s">
        <v>5697</v>
      </c>
      <c r="BZ54" s="0" t="s">
        <v>5697</v>
      </c>
      <c r="CA54" s="0" t="s">
        <v>5697</v>
      </c>
      <c r="CB54" s="0" t="s">
        <v>227</v>
      </c>
      <c r="CC54" s="0" t="s">
        <v>227</v>
      </c>
      <c r="CD54" s="0" t="s">
        <v>227</v>
      </c>
      <c r="CE54" s="0" t="s">
        <v>227</v>
      </c>
      <c r="CF54" s="0" t="s">
        <v>227</v>
      </c>
      <c r="CG54" s="0" t="s">
        <v>5697</v>
      </c>
      <c r="CH54" s="0" t="s">
        <v>227</v>
      </c>
      <c r="CI54" s="0" t="s">
        <v>227</v>
      </c>
      <c r="CJ54" s="0" t="s">
        <v>227</v>
      </c>
      <c r="CK54" s="0" t="s">
        <v>227</v>
      </c>
      <c r="CL54" s="0" t="s">
        <v>227</v>
      </c>
      <c r="CM54" s="0" t="s">
        <v>5696</v>
      </c>
      <c r="CN54" s="0" t="s">
        <v>5696</v>
      </c>
      <c r="CO54" s="0" t="s">
        <v>227</v>
      </c>
      <c r="CP54" s="0" t="s">
        <v>227</v>
      </c>
      <c r="CQ54" s="0" t="s">
        <v>227</v>
      </c>
      <c r="CR54" s="0" t="s">
        <v>227</v>
      </c>
      <c r="CS54" s="0" t="s">
        <v>5705</v>
      </c>
      <c r="CT54" s="0" t="s">
        <v>5679</v>
      </c>
      <c r="CU54" s="0" t="s">
        <v>5680</v>
      </c>
      <c r="CV54" s="0" t="s">
        <v>430</v>
      </c>
      <c r="CW54" s="0" t="s">
        <v>5699</v>
      </c>
      <c r="CX54" s="0" t="s">
        <v>431</v>
      </c>
      <c r="CY54" s="0" t="s">
        <v>430</v>
      </c>
      <c r="CZ54" s="0" t="s">
        <v>432</v>
      </c>
      <c r="DA54" s="0" t="s">
        <v>433</v>
      </c>
      <c r="DB54" s="0" t="s">
        <v>5700</v>
      </c>
      <c r="DC54" s="0" t="s">
        <v>373</v>
      </c>
      <c r="DD54" s="0" t="s">
        <v>277</v>
      </c>
      <c r="DE54" s="0" t="s">
        <v>501</v>
      </c>
    </row>
    <row customHeight="1" ht="11.25">
      <c r="A55" s="1806" t="s">
        <v>227</v>
      </c>
      <c r="B55" s="0" t="s">
        <v>227</v>
      </c>
      <c r="C55" s="0" t="s">
        <v>227</v>
      </c>
      <c r="D55" s="0" t="s">
        <v>227</v>
      </c>
      <c r="E55" s="0" t="s">
        <v>227</v>
      </c>
      <c r="F55" s="0" t="s">
        <v>227</v>
      </c>
      <c r="G55" s="0" t="s">
        <v>227</v>
      </c>
      <c r="H55" s="0" t="s">
        <v>227</v>
      </c>
      <c r="I55" s="0" t="s">
        <v>5667</v>
      </c>
      <c r="J55" s="0" t="s">
        <v>227</v>
      </c>
      <c r="K55" s="0" t="s">
        <v>227</v>
      </c>
      <c r="L55" s="0" t="s">
        <v>227</v>
      </c>
      <c r="M55" s="0" t="s">
        <v>227</v>
      </c>
      <c r="N55" s="0" t="s">
        <v>227</v>
      </c>
      <c r="O55" s="0" t="s">
        <v>227</v>
      </c>
      <c r="P55" s="0" t="s">
        <v>227</v>
      </c>
      <c r="Q55" s="0" t="s">
        <v>227</v>
      </c>
      <c r="R55" s="0" t="s">
        <v>503</v>
      </c>
      <c r="S55" s="0" t="s">
        <v>227</v>
      </c>
      <c r="T55" s="0" t="s">
        <v>227</v>
      </c>
      <c r="U55" s="0" t="s">
        <v>102</v>
      </c>
      <c r="V55" s="0" t="s">
        <v>227</v>
      </c>
      <c r="W55" s="0" t="s">
        <v>227</v>
      </c>
      <c r="X55" s="0" t="s">
        <v>5683</v>
      </c>
      <c r="Y55" s="0" t="s">
        <v>227</v>
      </c>
      <c r="Z55" s="0" t="s">
        <v>152</v>
      </c>
      <c r="AA55" s="0" t="s">
        <v>152</v>
      </c>
      <c r="AB55" s="0" t="s">
        <v>161</v>
      </c>
      <c r="AC55" s="0" t="s">
        <v>354</v>
      </c>
      <c r="AD55" s="0" t="s">
        <v>354</v>
      </c>
      <c r="AE55" s="0" t="s">
        <v>355</v>
      </c>
      <c r="AF55" s="0" t="s">
        <v>5684</v>
      </c>
      <c r="AG55" s="0" t="s">
        <v>5685</v>
      </c>
      <c r="AH55" s="0" t="s">
        <v>5886</v>
      </c>
      <c r="AI55" s="0" t="s">
        <v>5889</v>
      </c>
      <c r="AJ55" s="0" t="s">
        <v>227</v>
      </c>
      <c r="AK55" s="0" t="s">
        <v>227</v>
      </c>
      <c r="AL55" s="0" t="s">
        <v>227</v>
      </c>
      <c r="AM55" s="0" t="s">
        <v>227</v>
      </c>
      <c r="AN55" s="0" t="s">
        <v>227</v>
      </c>
      <c r="AO55" s="0" t="s">
        <v>227</v>
      </c>
      <c r="AP55" s="0" t="s">
        <v>227</v>
      </c>
      <c r="AQ55" s="0" t="s">
        <v>227</v>
      </c>
      <c r="AR55" s="0" t="s">
        <v>227</v>
      </c>
      <c r="AS55" s="0" t="s">
        <v>227</v>
      </c>
      <c r="AT55" s="0" t="s">
        <v>227</v>
      </c>
      <c r="AU55" s="0" t="s">
        <v>227</v>
      </c>
      <c r="AV55" s="0" t="s">
        <v>227</v>
      </c>
      <c r="AW55" s="0" t="s">
        <v>227</v>
      </c>
      <c r="AX55" s="0" t="s">
        <v>227</v>
      </c>
      <c r="AY55" s="0" t="s">
        <v>227</v>
      </c>
      <c r="AZ55" s="0" t="s">
        <v>227</v>
      </c>
      <c r="BA55" s="0" t="s">
        <v>227</v>
      </c>
      <c r="BB55" s="0" t="s">
        <v>227</v>
      </c>
      <c r="BC55" s="0" t="s">
        <v>227</v>
      </c>
      <c r="BD55" s="0" t="s">
        <v>227</v>
      </c>
      <c r="BE55" s="0" t="s">
        <v>5743</v>
      </c>
      <c r="BF55" s="0" t="s">
        <v>5888</v>
      </c>
      <c r="BG55" s="0" t="s">
        <v>112</v>
      </c>
      <c r="BH55" s="0" t="s">
        <v>5690</v>
      </c>
      <c r="BI55" s="0" t="s">
        <v>5691</v>
      </c>
      <c r="BJ55" s="0" t="s">
        <v>227</v>
      </c>
      <c r="BK55" s="0" t="s">
        <v>5692</v>
      </c>
      <c r="BL55" s="0" t="s">
        <v>354</v>
      </c>
      <c r="BM55" s="0" t="s">
        <v>354</v>
      </c>
      <c r="BN55" s="0" t="s">
        <v>5693</v>
      </c>
      <c r="BO55" s="0" t="s">
        <v>5684</v>
      </c>
      <c r="BP55" s="0" t="s">
        <v>5694</v>
      </c>
      <c r="BQ55" s="0" t="s">
        <v>5692</v>
      </c>
      <c r="BR55" s="0" t="s">
        <v>5692</v>
      </c>
      <c r="BS55" s="0" t="s">
        <v>227</v>
      </c>
      <c r="BT55" s="0" t="s">
        <v>5788</v>
      </c>
      <c r="BU55" s="0" t="s">
        <v>5890</v>
      </c>
      <c r="BV55" s="0" t="s">
        <v>5890</v>
      </c>
      <c r="BW55" s="0" t="s">
        <v>5697</v>
      </c>
      <c r="BX55" s="0" t="s">
        <v>5697</v>
      </c>
      <c r="BY55" s="0" t="s">
        <v>5697</v>
      </c>
      <c r="BZ55" s="0" t="s">
        <v>5697</v>
      </c>
      <c r="CA55" s="0" t="s">
        <v>5697</v>
      </c>
      <c r="CB55" s="0" t="s">
        <v>227</v>
      </c>
      <c r="CC55" s="0" t="s">
        <v>227</v>
      </c>
      <c r="CD55" s="0" t="s">
        <v>227</v>
      </c>
      <c r="CE55" s="0" t="s">
        <v>227</v>
      </c>
      <c r="CF55" s="0" t="s">
        <v>227</v>
      </c>
      <c r="CG55" s="0" t="s">
        <v>5697</v>
      </c>
      <c r="CH55" s="0" t="s">
        <v>227</v>
      </c>
      <c r="CI55" s="0" t="s">
        <v>227</v>
      </c>
      <c r="CJ55" s="0" t="s">
        <v>227</v>
      </c>
      <c r="CK55" s="0" t="s">
        <v>227</v>
      </c>
      <c r="CL55" s="0" t="s">
        <v>227</v>
      </c>
      <c r="CM55" s="0" t="s">
        <v>5890</v>
      </c>
      <c r="CN55" s="0" t="s">
        <v>5890</v>
      </c>
      <c r="CO55" s="0" t="s">
        <v>227</v>
      </c>
      <c r="CP55" s="0" t="s">
        <v>227</v>
      </c>
      <c r="CQ55" s="0" t="s">
        <v>227</v>
      </c>
      <c r="CR55" s="0" t="s">
        <v>227</v>
      </c>
      <c r="CS55" s="0" t="s">
        <v>5744</v>
      </c>
      <c r="CT55" s="0" t="s">
        <v>5679</v>
      </c>
      <c r="CU55" s="0" t="s">
        <v>5680</v>
      </c>
      <c r="CV55" s="0" t="s">
        <v>430</v>
      </c>
      <c r="CW55" s="0" t="s">
        <v>5699</v>
      </c>
      <c r="CX55" s="0" t="s">
        <v>431</v>
      </c>
      <c r="CY55" s="0" t="s">
        <v>430</v>
      </c>
      <c r="CZ55" s="0" t="s">
        <v>432</v>
      </c>
      <c r="DA55" s="0" t="s">
        <v>433</v>
      </c>
      <c r="DB55" s="0" t="s">
        <v>5700</v>
      </c>
      <c r="DC55" s="0" t="s">
        <v>373</v>
      </c>
      <c r="DD55" s="0" t="s">
        <v>277</v>
      </c>
      <c r="DE55" s="0" t="s">
        <v>504</v>
      </c>
    </row>
    <row customHeight="1" ht="11.25">
      <c r="A56" s="1806" t="s">
        <v>227</v>
      </c>
      <c r="B56" s="0" t="s">
        <v>227</v>
      </c>
      <c r="C56" s="0" t="s">
        <v>227</v>
      </c>
      <c r="D56" s="0" t="s">
        <v>227</v>
      </c>
      <c r="E56" s="0" t="s">
        <v>227</v>
      </c>
      <c r="F56" s="0" t="s">
        <v>227</v>
      </c>
      <c r="G56" s="0" t="s">
        <v>227</v>
      </c>
      <c r="H56" s="0" t="s">
        <v>227</v>
      </c>
      <c r="I56" s="0" t="s">
        <v>5667</v>
      </c>
      <c r="J56" s="0" t="s">
        <v>227</v>
      </c>
      <c r="K56" s="0" t="s">
        <v>227</v>
      </c>
      <c r="L56" s="0" t="s">
        <v>227</v>
      </c>
      <c r="M56" s="0" t="s">
        <v>227</v>
      </c>
      <c r="N56" s="0" t="s">
        <v>227</v>
      </c>
      <c r="O56" s="0" t="s">
        <v>227</v>
      </c>
      <c r="P56" s="0" t="s">
        <v>227</v>
      </c>
      <c r="Q56" s="0" t="s">
        <v>227</v>
      </c>
      <c r="R56" s="0" t="s">
        <v>864</v>
      </c>
      <c r="S56" s="0" t="s">
        <v>227</v>
      </c>
      <c r="T56" s="0" t="s">
        <v>227</v>
      </c>
      <c r="U56" s="0" t="s">
        <v>102</v>
      </c>
      <c r="V56" s="0" t="s">
        <v>227</v>
      </c>
      <c r="W56" s="0" t="s">
        <v>227</v>
      </c>
      <c r="X56" s="0" t="s">
        <v>5683</v>
      </c>
      <c r="Y56" s="0" t="s">
        <v>227</v>
      </c>
      <c r="Z56" s="0" t="s">
        <v>152</v>
      </c>
      <c r="AA56" s="0" t="s">
        <v>152</v>
      </c>
      <c r="AB56" s="0" t="s">
        <v>161</v>
      </c>
      <c r="AC56" s="0" t="s">
        <v>354</v>
      </c>
      <c r="AD56" s="0" t="s">
        <v>354</v>
      </c>
      <c r="AE56" s="0" t="s">
        <v>355</v>
      </c>
      <c r="AF56" s="0" t="s">
        <v>5701</v>
      </c>
      <c r="AG56" s="0" t="s">
        <v>5702</v>
      </c>
      <c r="AH56" s="0" t="s">
        <v>5891</v>
      </c>
      <c r="AI56" s="0" t="s">
        <v>5692</v>
      </c>
      <c r="AJ56" s="0" t="s">
        <v>227</v>
      </c>
      <c r="AK56" s="0" t="s">
        <v>227</v>
      </c>
      <c r="AL56" s="0" t="s">
        <v>227</v>
      </c>
      <c r="AM56" s="0" t="s">
        <v>227</v>
      </c>
      <c r="AN56" s="0" t="s">
        <v>227</v>
      </c>
      <c r="AO56" s="0" t="s">
        <v>227</v>
      </c>
      <c r="AP56" s="0" t="s">
        <v>227</v>
      </c>
      <c r="AQ56" s="0" t="s">
        <v>227</v>
      </c>
      <c r="AR56" s="0" t="s">
        <v>227</v>
      </c>
      <c r="AS56" s="0" t="s">
        <v>227</v>
      </c>
      <c r="AT56" s="0" t="s">
        <v>227</v>
      </c>
      <c r="AU56" s="0" t="s">
        <v>227</v>
      </c>
      <c r="AV56" s="0" t="s">
        <v>227</v>
      </c>
      <c r="AW56" s="0" t="s">
        <v>227</v>
      </c>
      <c r="AX56" s="0" t="s">
        <v>227</v>
      </c>
      <c r="AY56" s="0" t="s">
        <v>227</v>
      </c>
      <c r="AZ56" s="0" t="s">
        <v>227</v>
      </c>
      <c r="BA56" s="0" t="s">
        <v>227</v>
      </c>
      <c r="BB56" s="0" t="s">
        <v>227</v>
      </c>
      <c r="BC56" s="0" t="s">
        <v>227</v>
      </c>
      <c r="BD56" s="0" t="s">
        <v>227</v>
      </c>
      <c r="BE56" s="0" t="s">
        <v>5728</v>
      </c>
      <c r="BF56" s="0" t="s">
        <v>5757</v>
      </c>
      <c r="BG56" s="0" t="s">
        <v>112</v>
      </c>
      <c r="BH56" s="0" t="s">
        <v>5690</v>
      </c>
      <c r="BI56" s="0" t="s">
        <v>5691</v>
      </c>
      <c r="BJ56" s="0" t="s">
        <v>227</v>
      </c>
      <c r="BK56" s="0" t="s">
        <v>952</v>
      </c>
      <c r="BL56" s="0" t="s">
        <v>354</v>
      </c>
      <c r="BM56" s="0" t="s">
        <v>354</v>
      </c>
      <c r="BN56" s="0" t="s">
        <v>5693</v>
      </c>
      <c r="BO56" s="0" t="s">
        <v>5701</v>
      </c>
      <c r="BP56" s="0" t="s">
        <v>5706</v>
      </c>
      <c r="BQ56" s="0" t="s">
        <v>5707</v>
      </c>
      <c r="BR56" s="0" t="s">
        <v>5708</v>
      </c>
      <c r="BS56" s="0" t="s">
        <v>227</v>
      </c>
      <c r="BT56" s="0" t="s">
        <v>5695</v>
      </c>
      <c r="BU56" s="0" t="s">
        <v>5892</v>
      </c>
      <c r="BV56" s="0" t="s">
        <v>5892</v>
      </c>
      <c r="BW56" s="0" t="s">
        <v>5697</v>
      </c>
      <c r="BX56" s="0" t="s">
        <v>5697</v>
      </c>
      <c r="BY56" s="0" t="s">
        <v>5697</v>
      </c>
      <c r="BZ56" s="0" t="s">
        <v>5697</v>
      </c>
      <c r="CA56" s="0" t="s">
        <v>5697</v>
      </c>
      <c r="CB56" s="0" t="s">
        <v>227</v>
      </c>
      <c r="CC56" s="0" t="s">
        <v>227</v>
      </c>
      <c r="CD56" s="0" t="s">
        <v>227</v>
      </c>
      <c r="CE56" s="0" t="s">
        <v>227</v>
      </c>
      <c r="CF56" s="0" t="s">
        <v>227</v>
      </c>
      <c r="CG56" s="0" t="s">
        <v>5697</v>
      </c>
      <c r="CH56" s="0" t="s">
        <v>227</v>
      </c>
      <c r="CI56" s="0" t="s">
        <v>227</v>
      </c>
      <c r="CJ56" s="0" t="s">
        <v>227</v>
      </c>
      <c r="CK56" s="0" t="s">
        <v>227</v>
      </c>
      <c r="CL56" s="0" t="s">
        <v>227</v>
      </c>
      <c r="CM56" s="0" t="s">
        <v>5892</v>
      </c>
      <c r="CN56" s="0" t="s">
        <v>5892</v>
      </c>
      <c r="CO56" s="0" t="s">
        <v>227</v>
      </c>
      <c r="CP56" s="0" t="s">
        <v>227</v>
      </c>
      <c r="CQ56" s="0" t="s">
        <v>227</v>
      </c>
      <c r="CR56" s="0" t="s">
        <v>227</v>
      </c>
      <c r="CS56" s="0" t="s">
        <v>5698</v>
      </c>
      <c r="CT56" s="0" t="s">
        <v>5679</v>
      </c>
      <c r="CU56" s="0" t="s">
        <v>5680</v>
      </c>
      <c r="CV56" s="0" t="s">
        <v>430</v>
      </c>
      <c r="CW56" s="0" t="s">
        <v>5699</v>
      </c>
      <c r="CX56" s="0" t="s">
        <v>431</v>
      </c>
      <c r="CY56" s="0" t="s">
        <v>430</v>
      </c>
      <c r="CZ56" s="0" t="s">
        <v>432</v>
      </c>
      <c r="DA56" s="0" t="s">
        <v>433</v>
      </c>
      <c r="DB56" s="0" t="s">
        <v>5700</v>
      </c>
      <c r="DC56" s="0" t="s">
        <v>373</v>
      </c>
      <c r="DD56" s="0" t="s">
        <v>277</v>
      </c>
      <c r="DE56" s="0" t="s">
        <v>865</v>
      </c>
    </row>
    <row customHeight="1" ht="11.25">
      <c r="A57" s="1806" t="s">
        <v>227</v>
      </c>
      <c r="B57" s="0" t="s">
        <v>227</v>
      </c>
      <c r="C57" s="0" t="s">
        <v>227</v>
      </c>
      <c r="D57" s="0" t="s">
        <v>227</v>
      </c>
      <c r="E57" s="0" t="s">
        <v>227</v>
      </c>
      <c r="F57" s="0" t="s">
        <v>227</v>
      </c>
      <c r="G57" s="0" t="s">
        <v>227</v>
      </c>
      <c r="H57" s="0" t="s">
        <v>227</v>
      </c>
      <c r="I57" s="0" t="s">
        <v>5667</v>
      </c>
      <c r="J57" s="0" t="s">
        <v>227</v>
      </c>
      <c r="K57" s="0" t="s">
        <v>227</v>
      </c>
      <c r="L57" s="0" t="s">
        <v>227</v>
      </c>
      <c r="M57" s="0" t="s">
        <v>227</v>
      </c>
      <c r="N57" s="0" t="s">
        <v>227</v>
      </c>
      <c r="O57" s="0" t="s">
        <v>227</v>
      </c>
      <c r="P57" s="0" t="s">
        <v>227</v>
      </c>
      <c r="Q57" s="0" t="s">
        <v>227</v>
      </c>
      <c r="R57" s="0" t="s">
        <v>776</v>
      </c>
      <c r="S57" s="0" t="s">
        <v>227</v>
      </c>
      <c r="T57" s="0" t="s">
        <v>227</v>
      </c>
      <c r="U57" s="0" t="s">
        <v>102</v>
      </c>
      <c r="V57" s="0" t="s">
        <v>227</v>
      </c>
      <c r="W57" s="0" t="s">
        <v>227</v>
      </c>
      <c r="X57" s="0" t="s">
        <v>5683</v>
      </c>
      <c r="Y57" s="0" t="s">
        <v>227</v>
      </c>
      <c r="Z57" s="0" t="s">
        <v>152</v>
      </c>
      <c r="AA57" s="0" t="s">
        <v>152</v>
      </c>
      <c r="AB57" s="0" t="s">
        <v>161</v>
      </c>
      <c r="AC57" s="0" t="s">
        <v>354</v>
      </c>
      <c r="AD57" s="0" t="s">
        <v>354</v>
      </c>
      <c r="AE57" s="0" t="s">
        <v>355</v>
      </c>
      <c r="AF57" s="0" t="s">
        <v>5701</v>
      </c>
      <c r="AG57" s="0" t="s">
        <v>5702</v>
      </c>
      <c r="AH57" s="0" t="s">
        <v>5703</v>
      </c>
      <c r="AI57" s="0" t="s">
        <v>341</v>
      </c>
      <c r="AJ57" s="0" t="s">
        <v>227</v>
      </c>
      <c r="AK57" s="0" t="s">
        <v>227</v>
      </c>
      <c r="AL57" s="0" t="s">
        <v>227</v>
      </c>
      <c r="AM57" s="0" t="s">
        <v>227</v>
      </c>
      <c r="AN57" s="0" t="s">
        <v>227</v>
      </c>
      <c r="AO57" s="0" t="s">
        <v>227</v>
      </c>
      <c r="AP57" s="0" t="s">
        <v>227</v>
      </c>
      <c r="AQ57" s="0" t="s">
        <v>227</v>
      </c>
      <c r="AR57" s="0" t="s">
        <v>227</v>
      </c>
      <c r="AS57" s="0" t="s">
        <v>227</v>
      </c>
      <c r="AT57" s="0" t="s">
        <v>227</v>
      </c>
      <c r="AU57" s="0" t="s">
        <v>227</v>
      </c>
      <c r="AV57" s="0" t="s">
        <v>227</v>
      </c>
      <c r="AW57" s="0" t="s">
        <v>227</v>
      </c>
      <c r="AX57" s="0" t="s">
        <v>227</v>
      </c>
      <c r="AY57" s="0" t="s">
        <v>227</v>
      </c>
      <c r="AZ57" s="0" t="s">
        <v>227</v>
      </c>
      <c r="BA57" s="0" t="s">
        <v>227</v>
      </c>
      <c r="BB57" s="0" t="s">
        <v>227</v>
      </c>
      <c r="BC57" s="0" t="s">
        <v>227</v>
      </c>
      <c r="BD57" s="0" t="s">
        <v>227</v>
      </c>
      <c r="BE57" s="0" t="s">
        <v>5688</v>
      </c>
      <c r="BF57" s="0" t="s">
        <v>5893</v>
      </c>
      <c r="BG57" s="0" t="s">
        <v>112</v>
      </c>
      <c r="BH57" s="0" t="s">
        <v>5690</v>
      </c>
      <c r="BI57" s="0" t="s">
        <v>5691</v>
      </c>
      <c r="BJ57" s="0" t="s">
        <v>227</v>
      </c>
      <c r="BK57" s="0" t="s">
        <v>952</v>
      </c>
      <c r="BL57" s="0" t="s">
        <v>354</v>
      </c>
      <c r="BM57" s="0" t="s">
        <v>354</v>
      </c>
      <c r="BN57" s="0" t="s">
        <v>5693</v>
      </c>
      <c r="BO57" s="0" t="s">
        <v>5701</v>
      </c>
      <c r="BP57" s="0" t="s">
        <v>5706</v>
      </c>
      <c r="BQ57" s="0" t="s">
        <v>5707</v>
      </c>
      <c r="BR57" s="0" t="s">
        <v>5708</v>
      </c>
      <c r="BS57" s="0" t="s">
        <v>227</v>
      </c>
      <c r="BT57" s="0" t="s">
        <v>5709</v>
      </c>
      <c r="BU57" s="0" t="s">
        <v>5894</v>
      </c>
      <c r="BV57" s="0" t="s">
        <v>5894</v>
      </c>
      <c r="BW57" s="0" t="s">
        <v>5697</v>
      </c>
      <c r="BX57" s="0" t="s">
        <v>5697</v>
      </c>
      <c r="BY57" s="0" t="s">
        <v>5697</v>
      </c>
      <c r="BZ57" s="0" t="s">
        <v>5697</v>
      </c>
      <c r="CA57" s="0" t="s">
        <v>5697</v>
      </c>
      <c r="CB57" s="0" t="s">
        <v>227</v>
      </c>
      <c r="CC57" s="0" t="s">
        <v>227</v>
      </c>
      <c r="CD57" s="0" t="s">
        <v>227</v>
      </c>
      <c r="CE57" s="0" t="s">
        <v>227</v>
      </c>
      <c r="CF57" s="0" t="s">
        <v>227</v>
      </c>
      <c r="CG57" s="0" t="s">
        <v>5697</v>
      </c>
      <c r="CH57" s="0" t="s">
        <v>227</v>
      </c>
      <c r="CI57" s="0" t="s">
        <v>227</v>
      </c>
      <c r="CJ57" s="0" t="s">
        <v>227</v>
      </c>
      <c r="CK57" s="0" t="s">
        <v>227</v>
      </c>
      <c r="CL57" s="0" t="s">
        <v>227</v>
      </c>
      <c r="CM57" s="0" t="s">
        <v>5894</v>
      </c>
      <c r="CN57" s="0" t="s">
        <v>5894</v>
      </c>
      <c r="CO57" s="0" t="s">
        <v>227</v>
      </c>
      <c r="CP57" s="0" t="s">
        <v>227</v>
      </c>
      <c r="CQ57" s="0" t="s">
        <v>227</v>
      </c>
      <c r="CR57" s="0" t="s">
        <v>227</v>
      </c>
      <c r="CS57" s="0" t="s">
        <v>5733</v>
      </c>
      <c r="CT57" s="0" t="s">
        <v>5679</v>
      </c>
      <c r="CU57" s="0" t="s">
        <v>5680</v>
      </c>
      <c r="CV57" s="0" t="s">
        <v>430</v>
      </c>
      <c r="CW57" s="0" t="s">
        <v>5699</v>
      </c>
      <c r="CX57" s="0" t="s">
        <v>431</v>
      </c>
      <c r="CY57" s="0" t="s">
        <v>430</v>
      </c>
      <c r="CZ57" s="0" t="s">
        <v>432</v>
      </c>
      <c r="DA57" s="0" t="s">
        <v>433</v>
      </c>
      <c r="DB57" s="0" t="s">
        <v>5700</v>
      </c>
      <c r="DC57" s="0" t="s">
        <v>373</v>
      </c>
      <c r="DD57" s="0" t="s">
        <v>277</v>
      </c>
      <c r="DE57" s="0" t="s">
        <v>777</v>
      </c>
    </row>
    <row customHeight="1" ht="11.25">
      <c r="A58" s="1806" t="s">
        <v>227</v>
      </c>
      <c r="B58" s="0" t="s">
        <v>227</v>
      </c>
      <c r="C58" s="0" t="s">
        <v>227</v>
      </c>
      <c r="D58" s="0" t="s">
        <v>227</v>
      </c>
      <c r="E58" s="0" t="s">
        <v>227</v>
      </c>
      <c r="F58" s="0" t="s">
        <v>227</v>
      </c>
      <c r="G58" s="0" t="s">
        <v>227</v>
      </c>
      <c r="H58" s="0" t="s">
        <v>227</v>
      </c>
      <c r="I58" s="0" t="s">
        <v>5667</v>
      </c>
      <c r="J58" s="0" t="s">
        <v>227</v>
      </c>
      <c r="K58" s="0" t="s">
        <v>227</v>
      </c>
      <c r="L58" s="0" t="s">
        <v>227</v>
      </c>
      <c r="M58" s="0" t="s">
        <v>227</v>
      </c>
      <c r="N58" s="0" t="s">
        <v>227</v>
      </c>
      <c r="O58" s="0" t="s">
        <v>227</v>
      </c>
      <c r="P58" s="0" t="s">
        <v>227</v>
      </c>
      <c r="Q58" s="0" t="s">
        <v>227</v>
      </c>
      <c r="R58" s="0" t="s">
        <v>925</v>
      </c>
      <c r="S58" s="0" t="s">
        <v>227</v>
      </c>
      <c r="T58" s="0" t="s">
        <v>227</v>
      </c>
      <c r="U58" s="0" t="s">
        <v>102</v>
      </c>
      <c r="V58" s="0" t="s">
        <v>227</v>
      </c>
      <c r="W58" s="0" t="s">
        <v>227</v>
      </c>
      <c r="X58" s="0" t="s">
        <v>5683</v>
      </c>
      <c r="Y58" s="0" t="s">
        <v>227</v>
      </c>
      <c r="Z58" s="0" t="s">
        <v>152</v>
      </c>
      <c r="AA58" s="0" t="s">
        <v>152</v>
      </c>
      <c r="AB58" s="0" t="s">
        <v>161</v>
      </c>
      <c r="AC58" s="0" t="s">
        <v>354</v>
      </c>
      <c r="AD58" s="0" t="s">
        <v>354</v>
      </c>
      <c r="AE58" s="0" t="s">
        <v>355</v>
      </c>
      <c r="AF58" s="0" t="s">
        <v>5701</v>
      </c>
      <c r="AG58" s="0" t="s">
        <v>5702</v>
      </c>
      <c r="AH58" s="0" t="s">
        <v>5895</v>
      </c>
      <c r="AI58" s="0" t="s">
        <v>5692</v>
      </c>
      <c r="AJ58" s="0" t="s">
        <v>227</v>
      </c>
      <c r="AK58" s="0" t="s">
        <v>227</v>
      </c>
      <c r="AL58" s="0" t="s">
        <v>227</v>
      </c>
      <c r="AM58" s="0" t="s">
        <v>227</v>
      </c>
      <c r="AN58" s="0" t="s">
        <v>227</v>
      </c>
      <c r="AO58" s="0" t="s">
        <v>227</v>
      </c>
      <c r="AP58" s="0" t="s">
        <v>227</v>
      </c>
      <c r="AQ58" s="0" t="s">
        <v>227</v>
      </c>
      <c r="AR58" s="0" t="s">
        <v>227</v>
      </c>
      <c r="AS58" s="0" t="s">
        <v>227</v>
      </c>
      <c r="AT58" s="0" t="s">
        <v>227</v>
      </c>
      <c r="AU58" s="0" t="s">
        <v>227</v>
      </c>
      <c r="AV58" s="0" t="s">
        <v>227</v>
      </c>
      <c r="AW58" s="0" t="s">
        <v>227</v>
      </c>
      <c r="AX58" s="0" t="s">
        <v>227</v>
      </c>
      <c r="AY58" s="0" t="s">
        <v>227</v>
      </c>
      <c r="AZ58" s="0" t="s">
        <v>227</v>
      </c>
      <c r="BA58" s="0" t="s">
        <v>227</v>
      </c>
      <c r="BB58" s="0" t="s">
        <v>227</v>
      </c>
      <c r="BC58" s="0" t="s">
        <v>227</v>
      </c>
      <c r="BD58" s="0" t="s">
        <v>227</v>
      </c>
      <c r="BE58" s="0" t="s">
        <v>5728</v>
      </c>
      <c r="BF58" s="0" t="s">
        <v>5757</v>
      </c>
      <c r="BG58" s="0" t="s">
        <v>112</v>
      </c>
      <c r="BH58" s="0" t="s">
        <v>5690</v>
      </c>
      <c r="BI58" s="0" t="s">
        <v>5691</v>
      </c>
      <c r="BJ58" s="0" t="s">
        <v>227</v>
      </c>
      <c r="BK58" s="0" t="s">
        <v>952</v>
      </c>
      <c r="BL58" s="0" t="s">
        <v>354</v>
      </c>
      <c r="BM58" s="0" t="s">
        <v>354</v>
      </c>
      <c r="BN58" s="0" t="s">
        <v>5693</v>
      </c>
      <c r="BO58" s="0" t="s">
        <v>5701</v>
      </c>
      <c r="BP58" s="0" t="s">
        <v>5706</v>
      </c>
      <c r="BQ58" s="0" t="s">
        <v>5707</v>
      </c>
      <c r="BR58" s="0" t="s">
        <v>5708</v>
      </c>
      <c r="BS58" s="0" t="s">
        <v>227</v>
      </c>
      <c r="BT58" s="0" t="s">
        <v>5695</v>
      </c>
      <c r="BU58" s="0" t="s">
        <v>5896</v>
      </c>
      <c r="BV58" s="0" t="s">
        <v>5896</v>
      </c>
      <c r="BW58" s="0" t="s">
        <v>5697</v>
      </c>
      <c r="BX58" s="0" t="s">
        <v>5697</v>
      </c>
      <c r="BY58" s="0" t="s">
        <v>5697</v>
      </c>
      <c r="BZ58" s="0" t="s">
        <v>5697</v>
      </c>
      <c r="CA58" s="0" t="s">
        <v>5697</v>
      </c>
      <c r="CB58" s="0" t="s">
        <v>227</v>
      </c>
      <c r="CC58" s="0" t="s">
        <v>227</v>
      </c>
      <c r="CD58" s="0" t="s">
        <v>227</v>
      </c>
      <c r="CE58" s="0" t="s">
        <v>227</v>
      </c>
      <c r="CF58" s="0" t="s">
        <v>227</v>
      </c>
      <c r="CG58" s="0" t="s">
        <v>5697</v>
      </c>
      <c r="CH58" s="0" t="s">
        <v>227</v>
      </c>
      <c r="CI58" s="0" t="s">
        <v>227</v>
      </c>
      <c r="CJ58" s="0" t="s">
        <v>227</v>
      </c>
      <c r="CK58" s="0" t="s">
        <v>227</v>
      </c>
      <c r="CL58" s="0" t="s">
        <v>227</v>
      </c>
      <c r="CM58" s="0" t="s">
        <v>5896</v>
      </c>
      <c r="CN58" s="0" t="s">
        <v>5896</v>
      </c>
      <c r="CO58" s="0" t="s">
        <v>227</v>
      </c>
      <c r="CP58" s="0" t="s">
        <v>227</v>
      </c>
      <c r="CQ58" s="0" t="s">
        <v>227</v>
      </c>
      <c r="CR58" s="0" t="s">
        <v>227</v>
      </c>
      <c r="CS58" s="0" t="s">
        <v>5698</v>
      </c>
      <c r="CT58" s="0" t="s">
        <v>5679</v>
      </c>
      <c r="CU58" s="0" t="s">
        <v>5680</v>
      </c>
      <c r="CV58" s="0" t="s">
        <v>430</v>
      </c>
      <c r="CW58" s="0" t="s">
        <v>5699</v>
      </c>
      <c r="CX58" s="0" t="s">
        <v>431</v>
      </c>
      <c r="CY58" s="0" t="s">
        <v>430</v>
      </c>
      <c r="CZ58" s="0" t="s">
        <v>432</v>
      </c>
      <c r="DA58" s="0" t="s">
        <v>433</v>
      </c>
      <c r="DB58" s="0" t="s">
        <v>5700</v>
      </c>
      <c r="DC58" s="0" t="s">
        <v>373</v>
      </c>
      <c r="DD58" s="0" t="s">
        <v>277</v>
      </c>
      <c r="DE58" s="0" t="s">
        <v>926</v>
      </c>
    </row>
    <row customHeight="1" ht="11.25">
      <c r="A59" s="1806" t="s">
        <v>227</v>
      </c>
      <c r="B59" s="0" t="s">
        <v>227</v>
      </c>
      <c r="C59" s="0" t="s">
        <v>227</v>
      </c>
      <c r="D59" s="0" t="s">
        <v>227</v>
      </c>
      <c r="E59" s="0" t="s">
        <v>227</v>
      </c>
      <c r="F59" s="0" t="s">
        <v>227</v>
      </c>
      <c r="G59" s="0" t="s">
        <v>227</v>
      </c>
      <c r="H59" s="0" t="s">
        <v>227</v>
      </c>
      <c r="I59" s="0" t="s">
        <v>5667</v>
      </c>
      <c r="J59" s="0" t="s">
        <v>227</v>
      </c>
      <c r="K59" s="0" t="s">
        <v>227</v>
      </c>
      <c r="L59" s="0" t="s">
        <v>227</v>
      </c>
      <c r="M59" s="0" t="s">
        <v>227</v>
      </c>
      <c r="N59" s="0" t="s">
        <v>227</v>
      </c>
      <c r="O59" s="0" t="s">
        <v>227</v>
      </c>
      <c r="P59" s="0" t="s">
        <v>227</v>
      </c>
      <c r="Q59" s="0" t="s">
        <v>227</v>
      </c>
      <c r="R59" s="0" t="s">
        <v>690</v>
      </c>
      <c r="S59" s="0" t="s">
        <v>227</v>
      </c>
      <c r="T59" s="0" t="s">
        <v>227</v>
      </c>
      <c r="U59" s="0" t="s">
        <v>102</v>
      </c>
      <c r="V59" s="0" t="s">
        <v>227</v>
      </c>
      <c r="W59" s="0" t="s">
        <v>227</v>
      </c>
      <c r="X59" s="0" t="s">
        <v>5683</v>
      </c>
      <c r="Y59" s="0" t="s">
        <v>227</v>
      </c>
      <c r="Z59" s="0" t="s">
        <v>152</v>
      </c>
      <c r="AA59" s="0" t="s">
        <v>152</v>
      </c>
      <c r="AB59" s="0" t="s">
        <v>161</v>
      </c>
      <c r="AC59" s="0" t="s">
        <v>354</v>
      </c>
      <c r="AD59" s="0" t="s">
        <v>354</v>
      </c>
      <c r="AE59" s="0" t="s">
        <v>355</v>
      </c>
      <c r="AF59" s="0" t="s">
        <v>5684</v>
      </c>
      <c r="AG59" s="0" t="s">
        <v>5685</v>
      </c>
      <c r="AH59" s="0" t="s">
        <v>5719</v>
      </c>
      <c r="AI59" s="0" t="s">
        <v>5692</v>
      </c>
      <c r="AJ59" s="0" t="s">
        <v>227</v>
      </c>
      <c r="AK59" s="0" t="s">
        <v>227</v>
      </c>
      <c r="AL59" s="0" t="s">
        <v>227</v>
      </c>
      <c r="AM59" s="0" t="s">
        <v>227</v>
      </c>
      <c r="AN59" s="0" t="s">
        <v>227</v>
      </c>
      <c r="AO59" s="0" t="s">
        <v>227</v>
      </c>
      <c r="AP59" s="0" t="s">
        <v>227</v>
      </c>
      <c r="AQ59" s="0" t="s">
        <v>227</v>
      </c>
      <c r="AR59" s="0" t="s">
        <v>227</v>
      </c>
      <c r="AS59" s="0" t="s">
        <v>227</v>
      </c>
      <c r="AT59" s="0" t="s">
        <v>227</v>
      </c>
      <c r="AU59" s="0" t="s">
        <v>227</v>
      </c>
      <c r="AV59" s="0" t="s">
        <v>227</v>
      </c>
      <c r="AW59" s="0" t="s">
        <v>227</v>
      </c>
      <c r="AX59" s="0" t="s">
        <v>227</v>
      </c>
      <c r="AY59" s="0" t="s">
        <v>227</v>
      </c>
      <c r="AZ59" s="0" t="s">
        <v>227</v>
      </c>
      <c r="BA59" s="0" t="s">
        <v>227</v>
      </c>
      <c r="BB59" s="0" t="s">
        <v>227</v>
      </c>
      <c r="BC59" s="0" t="s">
        <v>227</v>
      </c>
      <c r="BD59" s="0" t="s">
        <v>227</v>
      </c>
      <c r="BE59" s="0" t="s">
        <v>5728</v>
      </c>
      <c r="BF59" s="0" t="s">
        <v>5728</v>
      </c>
      <c r="BG59" s="0" t="s">
        <v>112</v>
      </c>
      <c r="BH59" s="0" t="s">
        <v>5690</v>
      </c>
      <c r="BI59" s="0" t="s">
        <v>5691</v>
      </c>
      <c r="BJ59" s="0" t="s">
        <v>227</v>
      </c>
      <c r="BK59" s="0" t="s">
        <v>5692</v>
      </c>
      <c r="BL59" s="0" t="s">
        <v>354</v>
      </c>
      <c r="BM59" s="0" t="s">
        <v>354</v>
      </c>
      <c r="BN59" s="0" t="s">
        <v>5693</v>
      </c>
      <c r="BO59" s="0" t="s">
        <v>5684</v>
      </c>
      <c r="BP59" s="0" t="s">
        <v>5694</v>
      </c>
      <c r="BQ59" s="0" t="s">
        <v>5692</v>
      </c>
      <c r="BR59" s="0" t="s">
        <v>5692</v>
      </c>
      <c r="BS59" s="0" t="s">
        <v>227</v>
      </c>
      <c r="BT59" s="0" t="s">
        <v>5695</v>
      </c>
      <c r="BU59" s="0" t="s">
        <v>5696</v>
      </c>
      <c r="BV59" s="0" t="s">
        <v>5696</v>
      </c>
      <c r="BW59" s="0" t="s">
        <v>5697</v>
      </c>
      <c r="BX59" s="0" t="s">
        <v>5697</v>
      </c>
      <c r="BY59" s="0" t="s">
        <v>5697</v>
      </c>
      <c r="BZ59" s="0" t="s">
        <v>5697</v>
      </c>
      <c r="CA59" s="0" t="s">
        <v>5697</v>
      </c>
      <c r="CB59" s="0" t="s">
        <v>227</v>
      </c>
      <c r="CC59" s="0" t="s">
        <v>227</v>
      </c>
      <c r="CD59" s="0" t="s">
        <v>227</v>
      </c>
      <c r="CE59" s="0" t="s">
        <v>227</v>
      </c>
      <c r="CF59" s="0" t="s">
        <v>227</v>
      </c>
      <c r="CG59" s="0" t="s">
        <v>5697</v>
      </c>
      <c r="CH59" s="0" t="s">
        <v>227</v>
      </c>
      <c r="CI59" s="0" t="s">
        <v>227</v>
      </c>
      <c r="CJ59" s="0" t="s">
        <v>227</v>
      </c>
      <c r="CK59" s="0" t="s">
        <v>227</v>
      </c>
      <c r="CL59" s="0" t="s">
        <v>227</v>
      </c>
      <c r="CM59" s="0" t="s">
        <v>5696</v>
      </c>
      <c r="CN59" s="0" t="s">
        <v>5696</v>
      </c>
      <c r="CO59" s="0" t="s">
        <v>227</v>
      </c>
      <c r="CP59" s="0" t="s">
        <v>227</v>
      </c>
      <c r="CQ59" s="0" t="s">
        <v>227</v>
      </c>
      <c r="CR59" s="0" t="s">
        <v>227</v>
      </c>
      <c r="CS59" s="0" t="s">
        <v>5759</v>
      </c>
      <c r="CT59" s="0" t="s">
        <v>5679</v>
      </c>
      <c r="CU59" s="0" t="s">
        <v>5680</v>
      </c>
      <c r="CV59" s="0" t="s">
        <v>430</v>
      </c>
      <c r="CW59" s="0" t="s">
        <v>5699</v>
      </c>
      <c r="CX59" s="0" t="s">
        <v>431</v>
      </c>
      <c r="CY59" s="0" t="s">
        <v>430</v>
      </c>
      <c r="CZ59" s="0" t="s">
        <v>432</v>
      </c>
      <c r="DA59" s="0" t="s">
        <v>433</v>
      </c>
      <c r="DB59" s="0" t="s">
        <v>5700</v>
      </c>
      <c r="DC59" s="0" t="s">
        <v>373</v>
      </c>
      <c r="DD59" s="0" t="s">
        <v>277</v>
      </c>
      <c r="DE59" s="0" t="s">
        <v>691</v>
      </c>
    </row>
    <row customHeight="1" ht="11.25">
      <c r="A60" s="1806" t="s">
        <v>227</v>
      </c>
      <c r="B60" s="0" t="s">
        <v>227</v>
      </c>
      <c r="C60" s="0" t="s">
        <v>227</v>
      </c>
      <c r="D60" s="0" t="s">
        <v>227</v>
      </c>
      <c r="E60" s="0" t="s">
        <v>227</v>
      </c>
      <c r="F60" s="0" t="s">
        <v>227</v>
      </c>
      <c r="G60" s="0" t="s">
        <v>227</v>
      </c>
      <c r="H60" s="0" t="s">
        <v>227</v>
      </c>
      <c r="I60" s="0" t="s">
        <v>5667</v>
      </c>
      <c r="J60" s="0" t="s">
        <v>227</v>
      </c>
      <c r="K60" s="0" t="s">
        <v>227</v>
      </c>
      <c r="L60" s="0" t="s">
        <v>227</v>
      </c>
      <c r="M60" s="0" t="s">
        <v>227</v>
      </c>
      <c r="N60" s="0" t="s">
        <v>227</v>
      </c>
      <c r="O60" s="0" t="s">
        <v>227</v>
      </c>
      <c r="P60" s="0" t="s">
        <v>227</v>
      </c>
      <c r="Q60" s="0" t="s">
        <v>227</v>
      </c>
      <c r="R60" s="0" t="s">
        <v>693</v>
      </c>
      <c r="S60" s="0" t="s">
        <v>227</v>
      </c>
      <c r="T60" s="0" t="s">
        <v>227</v>
      </c>
      <c r="U60" s="0" t="s">
        <v>102</v>
      </c>
      <c r="V60" s="0" t="s">
        <v>227</v>
      </c>
      <c r="W60" s="0" t="s">
        <v>227</v>
      </c>
      <c r="X60" s="0" t="s">
        <v>5683</v>
      </c>
      <c r="Y60" s="0" t="s">
        <v>227</v>
      </c>
      <c r="Z60" s="0" t="s">
        <v>152</v>
      </c>
      <c r="AA60" s="0" t="s">
        <v>152</v>
      </c>
      <c r="AB60" s="0" t="s">
        <v>161</v>
      </c>
      <c r="AC60" s="0" t="s">
        <v>354</v>
      </c>
      <c r="AD60" s="0" t="s">
        <v>354</v>
      </c>
      <c r="AE60" s="0" t="s">
        <v>355</v>
      </c>
      <c r="AF60" s="0" t="s">
        <v>5684</v>
      </c>
      <c r="AG60" s="0" t="s">
        <v>5685</v>
      </c>
      <c r="AH60" s="0" t="s">
        <v>5897</v>
      </c>
      <c r="AI60" s="0" t="s">
        <v>5692</v>
      </c>
      <c r="AJ60" s="0" t="s">
        <v>227</v>
      </c>
      <c r="AK60" s="0" t="s">
        <v>227</v>
      </c>
      <c r="AL60" s="0" t="s">
        <v>227</v>
      </c>
      <c r="AM60" s="0" t="s">
        <v>227</v>
      </c>
      <c r="AN60" s="0" t="s">
        <v>227</v>
      </c>
      <c r="AO60" s="0" t="s">
        <v>227</v>
      </c>
      <c r="AP60" s="0" t="s">
        <v>227</v>
      </c>
      <c r="AQ60" s="0" t="s">
        <v>227</v>
      </c>
      <c r="AR60" s="0" t="s">
        <v>227</v>
      </c>
      <c r="AS60" s="0" t="s">
        <v>227</v>
      </c>
      <c r="AT60" s="0" t="s">
        <v>227</v>
      </c>
      <c r="AU60" s="0" t="s">
        <v>227</v>
      </c>
      <c r="AV60" s="0" t="s">
        <v>227</v>
      </c>
      <c r="AW60" s="0" t="s">
        <v>227</v>
      </c>
      <c r="AX60" s="0" t="s">
        <v>227</v>
      </c>
      <c r="AY60" s="0" t="s">
        <v>227</v>
      </c>
      <c r="AZ60" s="0" t="s">
        <v>227</v>
      </c>
      <c r="BA60" s="0" t="s">
        <v>227</v>
      </c>
      <c r="BB60" s="0" t="s">
        <v>227</v>
      </c>
      <c r="BC60" s="0" t="s">
        <v>227</v>
      </c>
      <c r="BD60" s="0" t="s">
        <v>227</v>
      </c>
      <c r="BE60" s="0" t="s">
        <v>5728</v>
      </c>
      <c r="BF60" s="0" t="s">
        <v>5728</v>
      </c>
      <c r="BG60" s="0" t="s">
        <v>112</v>
      </c>
      <c r="BH60" s="0" t="s">
        <v>5690</v>
      </c>
      <c r="BI60" s="0" t="s">
        <v>5691</v>
      </c>
      <c r="BJ60" s="0" t="s">
        <v>227</v>
      </c>
      <c r="BK60" s="0" t="s">
        <v>5692</v>
      </c>
      <c r="BL60" s="0" t="s">
        <v>354</v>
      </c>
      <c r="BM60" s="0" t="s">
        <v>354</v>
      </c>
      <c r="BN60" s="0" t="s">
        <v>5693</v>
      </c>
      <c r="BO60" s="0" t="s">
        <v>5684</v>
      </c>
      <c r="BP60" s="0" t="s">
        <v>5694</v>
      </c>
      <c r="BQ60" s="0" t="s">
        <v>5692</v>
      </c>
      <c r="BR60" s="0" t="s">
        <v>5692</v>
      </c>
      <c r="BS60" s="0" t="s">
        <v>227</v>
      </c>
      <c r="BT60" s="0" t="s">
        <v>5695</v>
      </c>
      <c r="BU60" s="0" t="s">
        <v>5818</v>
      </c>
      <c r="BV60" s="0" t="s">
        <v>5818</v>
      </c>
      <c r="BW60" s="0" t="s">
        <v>5697</v>
      </c>
      <c r="BX60" s="0" t="s">
        <v>5697</v>
      </c>
      <c r="BY60" s="0" t="s">
        <v>5697</v>
      </c>
      <c r="BZ60" s="0" t="s">
        <v>5697</v>
      </c>
      <c r="CA60" s="0" t="s">
        <v>5697</v>
      </c>
      <c r="CB60" s="0" t="s">
        <v>227</v>
      </c>
      <c r="CC60" s="0" t="s">
        <v>227</v>
      </c>
      <c r="CD60" s="0" t="s">
        <v>227</v>
      </c>
      <c r="CE60" s="0" t="s">
        <v>227</v>
      </c>
      <c r="CF60" s="0" t="s">
        <v>227</v>
      </c>
      <c r="CG60" s="0" t="s">
        <v>5697</v>
      </c>
      <c r="CH60" s="0" t="s">
        <v>227</v>
      </c>
      <c r="CI60" s="0" t="s">
        <v>227</v>
      </c>
      <c r="CJ60" s="0" t="s">
        <v>227</v>
      </c>
      <c r="CK60" s="0" t="s">
        <v>227</v>
      </c>
      <c r="CL60" s="0" t="s">
        <v>227</v>
      </c>
      <c r="CM60" s="0" t="s">
        <v>5818</v>
      </c>
      <c r="CN60" s="0" t="s">
        <v>5818</v>
      </c>
      <c r="CO60" s="0" t="s">
        <v>227</v>
      </c>
      <c r="CP60" s="0" t="s">
        <v>227</v>
      </c>
      <c r="CQ60" s="0" t="s">
        <v>227</v>
      </c>
      <c r="CR60" s="0" t="s">
        <v>227</v>
      </c>
      <c r="CS60" s="0" t="s">
        <v>5698</v>
      </c>
      <c r="CT60" s="0" t="s">
        <v>5679</v>
      </c>
      <c r="CU60" s="0" t="s">
        <v>5680</v>
      </c>
      <c r="CV60" s="0" t="s">
        <v>430</v>
      </c>
      <c r="CW60" s="0" t="s">
        <v>5699</v>
      </c>
      <c r="CX60" s="0" t="s">
        <v>431</v>
      </c>
      <c r="CY60" s="0" t="s">
        <v>430</v>
      </c>
      <c r="CZ60" s="0" t="s">
        <v>432</v>
      </c>
      <c r="DA60" s="0" t="s">
        <v>433</v>
      </c>
      <c r="DB60" s="0" t="s">
        <v>5700</v>
      </c>
      <c r="DC60" s="0" t="s">
        <v>373</v>
      </c>
      <c r="DD60" s="0" t="s">
        <v>277</v>
      </c>
      <c r="DE60" s="0" t="s">
        <v>694</v>
      </c>
    </row>
    <row customHeight="1" ht="11.25">
      <c r="A61" s="1806" t="s">
        <v>227</v>
      </c>
      <c r="B61" s="0" t="s">
        <v>227</v>
      </c>
      <c r="C61" s="0" t="s">
        <v>227</v>
      </c>
      <c r="D61" s="0" t="s">
        <v>227</v>
      </c>
      <c r="E61" s="0" t="s">
        <v>227</v>
      </c>
      <c r="F61" s="0" t="s">
        <v>227</v>
      </c>
      <c r="G61" s="0" t="s">
        <v>227</v>
      </c>
      <c r="H61" s="0" t="s">
        <v>227</v>
      </c>
      <c r="I61" s="0" t="s">
        <v>5667</v>
      </c>
      <c r="J61" s="0" t="s">
        <v>227</v>
      </c>
      <c r="K61" s="0" t="s">
        <v>227</v>
      </c>
      <c r="L61" s="0" t="s">
        <v>227</v>
      </c>
      <c r="M61" s="0" t="s">
        <v>227</v>
      </c>
      <c r="N61" s="0" t="s">
        <v>227</v>
      </c>
      <c r="O61" s="0" t="s">
        <v>227</v>
      </c>
      <c r="P61" s="0" t="s">
        <v>227</v>
      </c>
      <c r="Q61" s="0" t="s">
        <v>227</v>
      </c>
      <c r="R61" s="0" t="s">
        <v>450</v>
      </c>
      <c r="S61" s="0" t="s">
        <v>227</v>
      </c>
      <c r="T61" s="0" t="s">
        <v>227</v>
      </c>
      <c r="U61" s="0" t="s">
        <v>102</v>
      </c>
      <c r="V61" s="0" t="s">
        <v>227</v>
      </c>
      <c r="W61" s="0" t="s">
        <v>227</v>
      </c>
      <c r="X61" s="0" t="s">
        <v>5668</v>
      </c>
      <c r="Y61" s="0" t="s">
        <v>227</v>
      </c>
      <c r="Z61" s="0" t="s">
        <v>161</v>
      </c>
      <c r="AA61" s="0" t="s">
        <v>152</v>
      </c>
      <c r="AB61" s="0" t="s">
        <v>152</v>
      </c>
      <c r="AC61" s="0" t="s">
        <v>352</v>
      </c>
      <c r="AD61" s="0" t="s">
        <v>352</v>
      </c>
      <c r="AE61" s="0" t="s">
        <v>353</v>
      </c>
      <c r="AF61" s="0" t="s">
        <v>5669</v>
      </c>
      <c r="AG61" s="0" t="s">
        <v>5670</v>
      </c>
      <c r="AH61" s="0" t="s">
        <v>5809</v>
      </c>
      <c r="AI61" s="0" t="s">
        <v>5898</v>
      </c>
      <c r="AJ61" s="0" t="s">
        <v>5841</v>
      </c>
      <c r="AK61" s="0" t="s">
        <v>5842</v>
      </c>
      <c r="AL61" s="0" t="s">
        <v>5675</v>
      </c>
      <c r="AM61" s="0" t="s">
        <v>5676</v>
      </c>
      <c r="AN61" s="0" t="s">
        <v>5677</v>
      </c>
      <c r="AO61" s="0" t="s">
        <v>5678</v>
      </c>
      <c r="AP61" s="0" t="s">
        <v>227</v>
      </c>
      <c r="AQ61" s="0" t="s">
        <v>227</v>
      </c>
      <c r="AR61" s="0" t="s">
        <v>227</v>
      </c>
      <c r="AS61" s="0" t="s">
        <v>227</v>
      </c>
      <c r="AT61" s="0" t="s">
        <v>227</v>
      </c>
      <c r="AU61" s="0" t="s">
        <v>227</v>
      </c>
      <c r="AV61" s="0" t="s">
        <v>227</v>
      </c>
      <c r="AW61" s="0" t="s">
        <v>227</v>
      </c>
      <c r="AX61" s="0" t="s">
        <v>227</v>
      </c>
      <c r="AY61" s="0" t="s">
        <v>227</v>
      </c>
      <c r="AZ61" s="0" t="s">
        <v>227</v>
      </c>
      <c r="BA61" s="0" t="s">
        <v>227</v>
      </c>
      <c r="BB61" s="0" t="s">
        <v>227</v>
      </c>
      <c r="BC61" s="0" t="s">
        <v>227</v>
      </c>
      <c r="BD61" s="0" t="s">
        <v>227</v>
      </c>
      <c r="BE61" s="0" t="s">
        <v>227</v>
      </c>
      <c r="BF61" s="0" t="s">
        <v>227</v>
      </c>
      <c r="BG61" s="0" t="s">
        <v>227</v>
      </c>
      <c r="BH61" s="0" t="s">
        <v>227</v>
      </c>
      <c r="BI61" s="0" t="s">
        <v>227</v>
      </c>
      <c r="BJ61" s="0" t="s">
        <v>227</v>
      </c>
      <c r="BK61" s="0" t="s">
        <v>227</v>
      </c>
      <c r="BL61" s="0" t="s">
        <v>227</v>
      </c>
      <c r="BM61" s="0" t="s">
        <v>227</v>
      </c>
      <c r="BN61" s="0" t="s">
        <v>227</v>
      </c>
      <c r="BO61" s="0" t="s">
        <v>227</v>
      </c>
      <c r="BP61" s="0" t="s">
        <v>227</v>
      </c>
      <c r="BQ61" s="0" t="s">
        <v>227</v>
      </c>
      <c r="BR61" s="0" t="s">
        <v>227</v>
      </c>
      <c r="BS61" s="0" t="s">
        <v>227</v>
      </c>
      <c r="BT61" s="0" t="s">
        <v>227</v>
      </c>
      <c r="BU61" s="0" t="s">
        <v>227</v>
      </c>
      <c r="BV61" s="0" t="s">
        <v>227</v>
      </c>
      <c r="BW61" s="0" t="s">
        <v>227</v>
      </c>
      <c r="BX61" s="0" t="s">
        <v>227</v>
      </c>
      <c r="BY61" s="0" t="s">
        <v>227</v>
      </c>
      <c r="BZ61" s="0" t="s">
        <v>227</v>
      </c>
      <c r="CA61" s="0" t="s">
        <v>227</v>
      </c>
      <c r="CB61" s="0" t="s">
        <v>227</v>
      </c>
      <c r="CC61" s="0" t="s">
        <v>227</v>
      </c>
      <c r="CD61" s="0" t="s">
        <v>227</v>
      </c>
      <c r="CE61" s="0" t="s">
        <v>227</v>
      </c>
      <c r="CF61" s="0" t="s">
        <v>227</v>
      </c>
      <c r="CG61" s="0" t="s">
        <v>227</v>
      </c>
      <c r="CH61" s="0" t="s">
        <v>227</v>
      </c>
      <c r="CI61" s="0" t="s">
        <v>227</v>
      </c>
      <c r="CJ61" s="0" t="s">
        <v>227</v>
      </c>
      <c r="CK61" s="0" t="s">
        <v>227</v>
      </c>
      <c r="CL61" s="0" t="s">
        <v>227</v>
      </c>
      <c r="CM61" s="0" t="s">
        <v>227</v>
      </c>
      <c r="CN61" s="0" t="s">
        <v>227</v>
      </c>
      <c r="CO61" s="0" t="s">
        <v>227</v>
      </c>
      <c r="CP61" s="0" t="s">
        <v>227</v>
      </c>
      <c r="CQ61" s="0" t="s">
        <v>227</v>
      </c>
      <c r="CR61" s="0" t="s">
        <v>227</v>
      </c>
      <c r="CS61" s="0" t="s">
        <v>227</v>
      </c>
      <c r="CT61" s="0" t="s">
        <v>5679</v>
      </c>
      <c r="CU61" s="0" t="s">
        <v>5680</v>
      </c>
      <c r="CV61" s="0" t="s">
        <v>430</v>
      </c>
      <c r="CW61" s="0" t="s">
        <v>5681</v>
      </c>
      <c r="CX61" s="0" t="s">
        <v>431</v>
      </c>
      <c r="CY61" s="0" t="s">
        <v>430</v>
      </c>
      <c r="CZ61" s="0" t="s">
        <v>432</v>
      </c>
      <c r="DA61" s="0" t="s">
        <v>433</v>
      </c>
      <c r="DB61" s="0" t="s">
        <v>5682</v>
      </c>
      <c r="DC61" s="0" t="s">
        <v>373</v>
      </c>
      <c r="DD61" s="0" t="s">
        <v>277</v>
      </c>
      <c r="DE61" s="0" t="s">
        <v>451</v>
      </c>
    </row>
    <row customHeight="1" ht="11.25">
      <c r="A62" s="1806" t="s">
        <v>227</v>
      </c>
      <c r="B62" s="0" t="s">
        <v>227</v>
      </c>
      <c r="C62" s="0" t="s">
        <v>227</v>
      </c>
      <c r="D62" s="0" t="s">
        <v>227</v>
      </c>
      <c r="E62" s="0" t="s">
        <v>227</v>
      </c>
      <c r="F62" s="0" t="s">
        <v>227</v>
      </c>
      <c r="G62" s="0" t="s">
        <v>227</v>
      </c>
      <c r="H62" s="0" t="s">
        <v>227</v>
      </c>
      <c r="I62" s="0" t="s">
        <v>5667</v>
      </c>
      <c r="J62" s="0" t="s">
        <v>227</v>
      </c>
      <c r="K62" s="0" t="s">
        <v>227</v>
      </c>
      <c r="L62" s="0" t="s">
        <v>227</v>
      </c>
      <c r="M62" s="0" t="s">
        <v>227</v>
      </c>
      <c r="N62" s="0" t="s">
        <v>227</v>
      </c>
      <c r="O62" s="0" t="s">
        <v>227</v>
      </c>
      <c r="P62" s="0" t="s">
        <v>227</v>
      </c>
      <c r="Q62" s="0" t="s">
        <v>227</v>
      </c>
      <c r="R62" s="0" t="s">
        <v>453</v>
      </c>
      <c r="S62" s="0" t="s">
        <v>227</v>
      </c>
      <c r="T62" s="0" t="s">
        <v>227</v>
      </c>
      <c r="U62" s="0" t="s">
        <v>102</v>
      </c>
      <c r="V62" s="0" t="s">
        <v>227</v>
      </c>
      <c r="W62" s="0" t="s">
        <v>227</v>
      </c>
      <c r="X62" s="0" t="s">
        <v>5668</v>
      </c>
      <c r="Y62" s="0" t="s">
        <v>227</v>
      </c>
      <c r="Z62" s="0" t="s">
        <v>161</v>
      </c>
      <c r="AA62" s="0" t="s">
        <v>152</v>
      </c>
      <c r="AB62" s="0" t="s">
        <v>152</v>
      </c>
      <c r="AC62" s="0" t="s">
        <v>352</v>
      </c>
      <c r="AD62" s="0" t="s">
        <v>352</v>
      </c>
      <c r="AE62" s="0" t="s">
        <v>353</v>
      </c>
      <c r="AF62" s="0" t="s">
        <v>5669</v>
      </c>
      <c r="AG62" s="0" t="s">
        <v>5670</v>
      </c>
      <c r="AH62" s="0" t="s">
        <v>5760</v>
      </c>
      <c r="AI62" s="0" t="s">
        <v>5899</v>
      </c>
      <c r="AJ62" s="0" t="s">
        <v>5673</v>
      </c>
      <c r="AK62" s="0" t="s">
        <v>5674</v>
      </c>
      <c r="AL62" s="0" t="s">
        <v>5723</v>
      </c>
      <c r="AM62" s="0" t="s">
        <v>5676</v>
      </c>
      <c r="AN62" s="0" t="s">
        <v>5677</v>
      </c>
      <c r="AO62" s="0" t="s">
        <v>5900</v>
      </c>
      <c r="AP62" s="0" t="s">
        <v>227</v>
      </c>
      <c r="AQ62" s="0" t="s">
        <v>227</v>
      </c>
      <c r="AR62" s="0" t="s">
        <v>227</v>
      </c>
      <c r="AS62" s="0" t="s">
        <v>227</v>
      </c>
      <c r="AT62" s="0" t="s">
        <v>227</v>
      </c>
      <c r="AU62" s="0" t="s">
        <v>227</v>
      </c>
      <c r="AV62" s="0" t="s">
        <v>227</v>
      </c>
      <c r="AW62" s="0" t="s">
        <v>227</v>
      </c>
      <c r="AX62" s="0" t="s">
        <v>227</v>
      </c>
      <c r="AY62" s="0" t="s">
        <v>227</v>
      </c>
      <c r="AZ62" s="0" t="s">
        <v>227</v>
      </c>
      <c r="BA62" s="0" t="s">
        <v>227</v>
      </c>
      <c r="BB62" s="0" t="s">
        <v>227</v>
      </c>
      <c r="BC62" s="0" t="s">
        <v>227</v>
      </c>
      <c r="BD62" s="0" t="s">
        <v>227</v>
      </c>
      <c r="BE62" s="0" t="s">
        <v>227</v>
      </c>
      <c r="BF62" s="0" t="s">
        <v>227</v>
      </c>
      <c r="BG62" s="0" t="s">
        <v>227</v>
      </c>
      <c r="BH62" s="0" t="s">
        <v>227</v>
      </c>
      <c r="BI62" s="0" t="s">
        <v>227</v>
      </c>
      <c r="BJ62" s="0" t="s">
        <v>227</v>
      </c>
      <c r="BK62" s="0" t="s">
        <v>227</v>
      </c>
      <c r="BL62" s="0" t="s">
        <v>227</v>
      </c>
      <c r="BM62" s="0" t="s">
        <v>227</v>
      </c>
      <c r="BN62" s="0" t="s">
        <v>227</v>
      </c>
      <c r="BO62" s="0" t="s">
        <v>227</v>
      </c>
      <c r="BP62" s="0" t="s">
        <v>227</v>
      </c>
      <c r="BQ62" s="0" t="s">
        <v>227</v>
      </c>
      <c r="BR62" s="0" t="s">
        <v>227</v>
      </c>
      <c r="BS62" s="0" t="s">
        <v>227</v>
      </c>
      <c r="BT62" s="0" t="s">
        <v>227</v>
      </c>
      <c r="BU62" s="0" t="s">
        <v>227</v>
      </c>
      <c r="BV62" s="0" t="s">
        <v>227</v>
      </c>
      <c r="BW62" s="0" t="s">
        <v>227</v>
      </c>
      <c r="BX62" s="0" t="s">
        <v>227</v>
      </c>
      <c r="BY62" s="0" t="s">
        <v>227</v>
      </c>
      <c r="BZ62" s="0" t="s">
        <v>227</v>
      </c>
      <c r="CA62" s="0" t="s">
        <v>227</v>
      </c>
      <c r="CB62" s="0" t="s">
        <v>227</v>
      </c>
      <c r="CC62" s="0" t="s">
        <v>227</v>
      </c>
      <c r="CD62" s="0" t="s">
        <v>227</v>
      </c>
      <c r="CE62" s="0" t="s">
        <v>227</v>
      </c>
      <c r="CF62" s="0" t="s">
        <v>227</v>
      </c>
      <c r="CG62" s="0" t="s">
        <v>227</v>
      </c>
      <c r="CH62" s="0" t="s">
        <v>227</v>
      </c>
      <c r="CI62" s="0" t="s">
        <v>227</v>
      </c>
      <c r="CJ62" s="0" t="s">
        <v>227</v>
      </c>
      <c r="CK62" s="0" t="s">
        <v>227</v>
      </c>
      <c r="CL62" s="0" t="s">
        <v>227</v>
      </c>
      <c r="CM62" s="0" t="s">
        <v>227</v>
      </c>
      <c r="CN62" s="0" t="s">
        <v>227</v>
      </c>
      <c r="CO62" s="0" t="s">
        <v>227</v>
      </c>
      <c r="CP62" s="0" t="s">
        <v>227</v>
      </c>
      <c r="CQ62" s="0" t="s">
        <v>227</v>
      </c>
      <c r="CR62" s="0" t="s">
        <v>227</v>
      </c>
      <c r="CS62" s="0" t="s">
        <v>227</v>
      </c>
      <c r="CT62" s="0" t="s">
        <v>5679</v>
      </c>
      <c r="CU62" s="0" t="s">
        <v>5680</v>
      </c>
      <c r="CV62" s="0" t="s">
        <v>430</v>
      </c>
      <c r="CW62" s="0" t="s">
        <v>5681</v>
      </c>
      <c r="CX62" s="0" t="s">
        <v>431</v>
      </c>
      <c r="CY62" s="0" t="s">
        <v>430</v>
      </c>
      <c r="CZ62" s="0" t="s">
        <v>432</v>
      </c>
      <c r="DA62" s="0" t="s">
        <v>433</v>
      </c>
      <c r="DB62" s="0" t="s">
        <v>5682</v>
      </c>
      <c r="DC62" s="0" t="s">
        <v>373</v>
      </c>
      <c r="DD62" s="0" t="s">
        <v>277</v>
      </c>
      <c r="DE62" s="0" t="s">
        <v>454</v>
      </c>
    </row>
    <row customHeight="1" ht="11.25">
      <c r="A63" s="1806" t="s">
        <v>227</v>
      </c>
      <c r="B63" s="0" t="s">
        <v>227</v>
      </c>
      <c r="C63" s="0" t="s">
        <v>227</v>
      </c>
      <c r="D63" s="0" t="s">
        <v>227</v>
      </c>
      <c r="E63" s="0" t="s">
        <v>227</v>
      </c>
      <c r="F63" s="0" t="s">
        <v>227</v>
      </c>
      <c r="G63" s="0" t="s">
        <v>227</v>
      </c>
      <c r="H63" s="0" t="s">
        <v>227</v>
      </c>
      <c r="I63" s="0" t="s">
        <v>5667</v>
      </c>
      <c r="J63" s="0" t="s">
        <v>227</v>
      </c>
      <c r="K63" s="0" t="s">
        <v>227</v>
      </c>
      <c r="L63" s="0" t="s">
        <v>227</v>
      </c>
      <c r="M63" s="0" t="s">
        <v>227</v>
      </c>
      <c r="N63" s="0" t="s">
        <v>227</v>
      </c>
      <c r="O63" s="0" t="s">
        <v>227</v>
      </c>
      <c r="P63" s="0" t="s">
        <v>227</v>
      </c>
      <c r="Q63" s="0" t="s">
        <v>227</v>
      </c>
      <c r="R63" s="0" t="s">
        <v>853</v>
      </c>
      <c r="S63" s="0" t="s">
        <v>227</v>
      </c>
      <c r="T63" s="0" t="s">
        <v>227</v>
      </c>
      <c r="U63" s="0" t="s">
        <v>102</v>
      </c>
      <c r="V63" s="0" t="s">
        <v>227</v>
      </c>
      <c r="W63" s="0" t="s">
        <v>227</v>
      </c>
      <c r="X63" s="0" t="s">
        <v>5683</v>
      </c>
      <c r="Y63" s="0" t="s">
        <v>227</v>
      </c>
      <c r="Z63" s="0" t="s">
        <v>152</v>
      </c>
      <c r="AA63" s="0" t="s">
        <v>152</v>
      </c>
      <c r="AB63" s="0" t="s">
        <v>161</v>
      </c>
      <c r="AC63" s="0" t="s">
        <v>354</v>
      </c>
      <c r="AD63" s="0" t="s">
        <v>354</v>
      </c>
      <c r="AE63" s="0" t="s">
        <v>355</v>
      </c>
      <c r="AF63" s="0" t="s">
        <v>5701</v>
      </c>
      <c r="AG63" s="0" t="s">
        <v>5702</v>
      </c>
      <c r="AH63" s="0" t="s">
        <v>5901</v>
      </c>
      <c r="AI63" s="0" t="s">
        <v>5902</v>
      </c>
      <c r="AJ63" s="0" t="s">
        <v>227</v>
      </c>
      <c r="AK63" s="0" t="s">
        <v>227</v>
      </c>
      <c r="AL63" s="0" t="s">
        <v>227</v>
      </c>
      <c r="AM63" s="0" t="s">
        <v>227</v>
      </c>
      <c r="AN63" s="0" t="s">
        <v>227</v>
      </c>
      <c r="AO63" s="0" t="s">
        <v>227</v>
      </c>
      <c r="AP63" s="0" t="s">
        <v>227</v>
      </c>
      <c r="AQ63" s="0" t="s">
        <v>227</v>
      </c>
      <c r="AR63" s="0" t="s">
        <v>227</v>
      </c>
      <c r="AS63" s="0" t="s">
        <v>227</v>
      </c>
      <c r="AT63" s="0" t="s">
        <v>227</v>
      </c>
      <c r="AU63" s="0" t="s">
        <v>227</v>
      </c>
      <c r="AV63" s="0" t="s">
        <v>227</v>
      </c>
      <c r="AW63" s="0" t="s">
        <v>227</v>
      </c>
      <c r="AX63" s="0" t="s">
        <v>227</v>
      </c>
      <c r="AY63" s="0" t="s">
        <v>227</v>
      </c>
      <c r="AZ63" s="0" t="s">
        <v>227</v>
      </c>
      <c r="BA63" s="0" t="s">
        <v>227</v>
      </c>
      <c r="BB63" s="0" t="s">
        <v>227</v>
      </c>
      <c r="BC63" s="0" t="s">
        <v>227</v>
      </c>
      <c r="BD63" s="0" t="s">
        <v>227</v>
      </c>
      <c r="BE63" s="0" t="s">
        <v>5845</v>
      </c>
      <c r="BF63" s="0" t="s">
        <v>5903</v>
      </c>
      <c r="BG63" s="0" t="s">
        <v>112</v>
      </c>
      <c r="BH63" s="0" t="s">
        <v>5690</v>
      </c>
      <c r="BI63" s="0" t="s">
        <v>5691</v>
      </c>
      <c r="BJ63" s="0" t="s">
        <v>227</v>
      </c>
      <c r="BK63" s="0" t="s">
        <v>952</v>
      </c>
      <c r="BL63" s="0" t="s">
        <v>354</v>
      </c>
      <c r="BM63" s="0" t="s">
        <v>354</v>
      </c>
      <c r="BN63" s="0" t="s">
        <v>5693</v>
      </c>
      <c r="BO63" s="0" t="s">
        <v>5701</v>
      </c>
      <c r="BP63" s="0" t="s">
        <v>5706</v>
      </c>
      <c r="BQ63" s="0" t="s">
        <v>5707</v>
      </c>
      <c r="BR63" s="0" t="s">
        <v>5708</v>
      </c>
      <c r="BS63" s="0" t="s">
        <v>227</v>
      </c>
      <c r="BT63" s="0" t="s">
        <v>5695</v>
      </c>
      <c r="BU63" s="0" t="s">
        <v>5904</v>
      </c>
      <c r="BV63" s="0" t="s">
        <v>5904</v>
      </c>
      <c r="BW63" s="0" t="s">
        <v>5697</v>
      </c>
      <c r="BX63" s="0" t="s">
        <v>5697</v>
      </c>
      <c r="BY63" s="0" t="s">
        <v>5697</v>
      </c>
      <c r="BZ63" s="0" t="s">
        <v>5697</v>
      </c>
      <c r="CA63" s="0" t="s">
        <v>5697</v>
      </c>
      <c r="CB63" s="0" t="s">
        <v>227</v>
      </c>
      <c r="CC63" s="0" t="s">
        <v>227</v>
      </c>
      <c r="CD63" s="0" t="s">
        <v>227</v>
      </c>
      <c r="CE63" s="0" t="s">
        <v>227</v>
      </c>
      <c r="CF63" s="0" t="s">
        <v>227</v>
      </c>
      <c r="CG63" s="0" t="s">
        <v>5697</v>
      </c>
      <c r="CH63" s="0" t="s">
        <v>227</v>
      </c>
      <c r="CI63" s="0" t="s">
        <v>227</v>
      </c>
      <c r="CJ63" s="0" t="s">
        <v>227</v>
      </c>
      <c r="CK63" s="0" t="s">
        <v>227</v>
      </c>
      <c r="CL63" s="0" t="s">
        <v>227</v>
      </c>
      <c r="CM63" s="0" t="s">
        <v>5904</v>
      </c>
      <c r="CN63" s="0" t="s">
        <v>5904</v>
      </c>
      <c r="CO63" s="0" t="s">
        <v>227</v>
      </c>
      <c r="CP63" s="0" t="s">
        <v>227</v>
      </c>
      <c r="CQ63" s="0" t="s">
        <v>227</v>
      </c>
      <c r="CR63" s="0" t="s">
        <v>227</v>
      </c>
      <c r="CS63" s="0" t="s">
        <v>5773</v>
      </c>
      <c r="CT63" s="0" t="s">
        <v>5679</v>
      </c>
      <c r="CU63" s="0" t="s">
        <v>5680</v>
      </c>
      <c r="CV63" s="0" t="s">
        <v>430</v>
      </c>
      <c r="CW63" s="0" t="s">
        <v>5699</v>
      </c>
      <c r="CX63" s="0" t="s">
        <v>431</v>
      </c>
      <c r="CY63" s="0" t="s">
        <v>430</v>
      </c>
      <c r="CZ63" s="0" t="s">
        <v>432</v>
      </c>
      <c r="DA63" s="0" t="s">
        <v>433</v>
      </c>
      <c r="DB63" s="0" t="s">
        <v>5700</v>
      </c>
      <c r="DC63" s="0" t="s">
        <v>373</v>
      </c>
      <c r="DD63" s="0" t="s">
        <v>277</v>
      </c>
      <c r="DE63" s="0" t="s">
        <v>854</v>
      </c>
    </row>
    <row customHeight="1" ht="11.25">
      <c r="A64" s="1806" t="s">
        <v>227</v>
      </c>
      <c r="B64" s="0" t="s">
        <v>227</v>
      </c>
      <c r="C64" s="0" t="s">
        <v>227</v>
      </c>
      <c r="D64" s="0" t="s">
        <v>227</v>
      </c>
      <c r="E64" s="0" t="s">
        <v>227</v>
      </c>
      <c r="F64" s="0" t="s">
        <v>227</v>
      </c>
      <c r="G64" s="0" t="s">
        <v>227</v>
      </c>
      <c r="H64" s="0" t="s">
        <v>227</v>
      </c>
      <c r="I64" s="0" t="s">
        <v>5667</v>
      </c>
      <c r="J64" s="0" t="s">
        <v>227</v>
      </c>
      <c r="K64" s="0" t="s">
        <v>227</v>
      </c>
      <c r="L64" s="0" t="s">
        <v>227</v>
      </c>
      <c r="M64" s="0" t="s">
        <v>227</v>
      </c>
      <c r="N64" s="0" t="s">
        <v>227</v>
      </c>
      <c r="O64" s="0" t="s">
        <v>227</v>
      </c>
      <c r="P64" s="0" t="s">
        <v>227</v>
      </c>
      <c r="Q64" s="0" t="s">
        <v>227</v>
      </c>
      <c r="R64" s="0" t="s">
        <v>498</v>
      </c>
      <c r="S64" s="0" t="s">
        <v>227</v>
      </c>
      <c r="T64" s="0" t="s">
        <v>227</v>
      </c>
      <c r="U64" s="0" t="s">
        <v>102</v>
      </c>
      <c r="V64" s="0" t="s">
        <v>227</v>
      </c>
      <c r="W64" s="0" t="s">
        <v>227</v>
      </c>
      <c r="X64" s="0" t="s">
        <v>5683</v>
      </c>
      <c r="Y64" s="0" t="s">
        <v>227</v>
      </c>
      <c r="Z64" s="0" t="s">
        <v>152</v>
      </c>
      <c r="AA64" s="0" t="s">
        <v>152</v>
      </c>
      <c r="AB64" s="0" t="s">
        <v>161</v>
      </c>
      <c r="AC64" s="0" t="s">
        <v>354</v>
      </c>
      <c r="AD64" s="0" t="s">
        <v>354</v>
      </c>
      <c r="AE64" s="0" t="s">
        <v>355</v>
      </c>
      <c r="AF64" s="0" t="s">
        <v>5684</v>
      </c>
      <c r="AG64" s="0" t="s">
        <v>5685</v>
      </c>
      <c r="AH64" s="0" t="s">
        <v>5905</v>
      </c>
      <c r="AI64" s="0" t="s">
        <v>5906</v>
      </c>
      <c r="AJ64" s="0" t="s">
        <v>227</v>
      </c>
      <c r="AK64" s="0" t="s">
        <v>227</v>
      </c>
      <c r="AL64" s="0" t="s">
        <v>227</v>
      </c>
      <c r="AM64" s="0" t="s">
        <v>227</v>
      </c>
      <c r="AN64" s="0" t="s">
        <v>227</v>
      </c>
      <c r="AO64" s="0" t="s">
        <v>227</v>
      </c>
      <c r="AP64" s="0" t="s">
        <v>227</v>
      </c>
      <c r="AQ64" s="0" t="s">
        <v>227</v>
      </c>
      <c r="AR64" s="0" t="s">
        <v>227</v>
      </c>
      <c r="AS64" s="0" t="s">
        <v>227</v>
      </c>
      <c r="AT64" s="0" t="s">
        <v>227</v>
      </c>
      <c r="AU64" s="0" t="s">
        <v>227</v>
      </c>
      <c r="AV64" s="0" t="s">
        <v>227</v>
      </c>
      <c r="AW64" s="0" t="s">
        <v>227</v>
      </c>
      <c r="AX64" s="0" t="s">
        <v>227</v>
      </c>
      <c r="AY64" s="0" t="s">
        <v>227</v>
      </c>
      <c r="AZ64" s="0" t="s">
        <v>227</v>
      </c>
      <c r="BA64" s="0" t="s">
        <v>227</v>
      </c>
      <c r="BB64" s="0" t="s">
        <v>227</v>
      </c>
      <c r="BC64" s="0" t="s">
        <v>227</v>
      </c>
      <c r="BD64" s="0" t="s">
        <v>227</v>
      </c>
      <c r="BE64" s="0" t="s">
        <v>5704</v>
      </c>
      <c r="BF64" s="0" t="s">
        <v>5907</v>
      </c>
      <c r="BG64" s="0" t="s">
        <v>112</v>
      </c>
      <c r="BH64" s="0" t="s">
        <v>5690</v>
      </c>
      <c r="BI64" s="0" t="s">
        <v>5691</v>
      </c>
      <c r="BJ64" s="0" t="s">
        <v>227</v>
      </c>
      <c r="BK64" s="0" t="s">
        <v>5692</v>
      </c>
      <c r="BL64" s="0" t="s">
        <v>354</v>
      </c>
      <c r="BM64" s="0" t="s">
        <v>354</v>
      </c>
      <c r="BN64" s="0" t="s">
        <v>5693</v>
      </c>
      <c r="BO64" s="0" t="s">
        <v>5684</v>
      </c>
      <c r="BP64" s="0" t="s">
        <v>5694</v>
      </c>
      <c r="BQ64" s="0" t="s">
        <v>5692</v>
      </c>
      <c r="BR64" s="0" t="s">
        <v>5692</v>
      </c>
      <c r="BS64" s="0" t="s">
        <v>227</v>
      </c>
      <c r="BT64" s="0" t="s">
        <v>5788</v>
      </c>
      <c r="BU64" s="0" t="s">
        <v>5908</v>
      </c>
      <c r="BV64" s="0" t="s">
        <v>5908</v>
      </c>
      <c r="BW64" s="0" t="s">
        <v>5697</v>
      </c>
      <c r="BX64" s="0" t="s">
        <v>5697</v>
      </c>
      <c r="BY64" s="0" t="s">
        <v>5697</v>
      </c>
      <c r="BZ64" s="0" t="s">
        <v>5697</v>
      </c>
      <c r="CA64" s="0" t="s">
        <v>5697</v>
      </c>
      <c r="CB64" s="0" t="s">
        <v>227</v>
      </c>
      <c r="CC64" s="0" t="s">
        <v>227</v>
      </c>
      <c r="CD64" s="0" t="s">
        <v>227</v>
      </c>
      <c r="CE64" s="0" t="s">
        <v>227</v>
      </c>
      <c r="CF64" s="0" t="s">
        <v>227</v>
      </c>
      <c r="CG64" s="0" t="s">
        <v>5697</v>
      </c>
      <c r="CH64" s="0" t="s">
        <v>227</v>
      </c>
      <c r="CI64" s="0" t="s">
        <v>227</v>
      </c>
      <c r="CJ64" s="0" t="s">
        <v>227</v>
      </c>
      <c r="CK64" s="0" t="s">
        <v>227</v>
      </c>
      <c r="CL64" s="0" t="s">
        <v>227</v>
      </c>
      <c r="CM64" s="0" t="s">
        <v>5908</v>
      </c>
      <c r="CN64" s="0" t="s">
        <v>5908</v>
      </c>
      <c r="CO64" s="0" t="s">
        <v>227</v>
      </c>
      <c r="CP64" s="0" t="s">
        <v>227</v>
      </c>
      <c r="CQ64" s="0" t="s">
        <v>227</v>
      </c>
      <c r="CR64" s="0" t="s">
        <v>227</v>
      </c>
      <c r="CS64" s="0" t="s">
        <v>5749</v>
      </c>
      <c r="CT64" s="0" t="s">
        <v>5679</v>
      </c>
      <c r="CU64" s="0" t="s">
        <v>5680</v>
      </c>
      <c r="CV64" s="0" t="s">
        <v>430</v>
      </c>
      <c r="CW64" s="0" t="s">
        <v>5699</v>
      </c>
      <c r="CX64" s="0" t="s">
        <v>431</v>
      </c>
      <c r="CY64" s="0" t="s">
        <v>430</v>
      </c>
      <c r="CZ64" s="0" t="s">
        <v>432</v>
      </c>
      <c r="DA64" s="0" t="s">
        <v>433</v>
      </c>
      <c r="DB64" s="0" t="s">
        <v>5700</v>
      </c>
      <c r="DC64" s="0" t="s">
        <v>373</v>
      </c>
      <c r="DD64" s="0" t="s">
        <v>277</v>
      </c>
      <c r="DE64" s="0" t="s">
        <v>499</v>
      </c>
    </row>
    <row customHeight="1" ht="11.25">
      <c r="A65" s="1806" t="s">
        <v>227</v>
      </c>
      <c r="B65" s="0" t="s">
        <v>227</v>
      </c>
      <c r="C65" s="0" t="s">
        <v>227</v>
      </c>
      <c r="D65" s="0" t="s">
        <v>227</v>
      </c>
      <c r="E65" s="0" t="s">
        <v>227</v>
      </c>
      <c r="F65" s="0" t="s">
        <v>227</v>
      </c>
      <c r="G65" s="0" t="s">
        <v>227</v>
      </c>
      <c r="H65" s="0" t="s">
        <v>227</v>
      </c>
      <c r="I65" s="0" t="s">
        <v>5667</v>
      </c>
      <c r="J65" s="0" t="s">
        <v>227</v>
      </c>
      <c r="K65" s="0" t="s">
        <v>227</v>
      </c>
      <c r="L65" s="0" t="s">
        <v>227</v>
      </c>
      <c r="M65" s="0" t="s">
        <v>227</v>
      </c>
      <c r="N65" s="0" t="s">
        <v>227</v>
      </c>
      <c r="O65" s="0" t="s">
        <v>227</v>
      </c>
      <c r="P65" s="0" t="s">
        <v>227</v>
      </c>
      <c r="Q65" s="0" t="s">
        <v>227</v>
      </c>
      <c r="R65" s="0" t="s">
        <v>509</v>
      </c>
      <c r="S65" s="0" t="s">
        <v>227</v>
      </c>
      <c r="T65" s="0" t="s">
        <v>227</v>
      </c>
      <c r="U65" s="0" t="s">
        <v>102</v>
      </c>
      <c r="V65" s="0" t="s">
        <v>227</v>
      </c>
      <c r="W65" s="0" t="s">
        <v>227</v>
      </c>
      <c r="X65" s="0" t="s">
        <v>5683</v>
      </c>
      <c r="Y65" s="0" t="s">
        <v>227</v>
      </c>
      <c r="Z65" s="0" t="s">
        <v>152</v>
      </c>
      <c r="AA65" s="0" t="s">
        <v>152</v>
      </c>
      <c r="AB65" s="0" t="s">
        <v>161</v>
      </c>
      <c r="AC65" s="0" t="s">
        <v>354</v>
      </c>
      <c r="AD65" s="0" t="s">
        <v>354</v>
      </c>
      <c r="AE65" s="0" t="s">
        <v>355</v>
      </c>
      <c r="AF65" s="0" t="s">
        <v>5684</v>
      </c>
      <c r="AG65" s="0" t="s">
        <v>5685</v>
      </c>
      <c r="AH65" s="0" t="s">
        <v>5909</v>
      </c>
      <c r="AI65" s="0" t="s">
        <v>5910</v>
      </c>
      <c r="AJ65" s="0" t="s">
        <v>227</v>
      </c>
      <c r="AK65" s="0" t="s">
        <v>227</v>
      </c>
      <c r="AL65" s="0" t="s">
        <v>227</v>
      </c>
      <c r="AM65" s="0" t="s">
        <v>227</v>
      </c>
      <c r="AN65" s="0" t="s">
        <v>227</v>
      </c>
      <c r="AO65" s="0" t="s">
        <v>227</v>
      </c>
      <c r="AP65" s="0" t="s">
        <v>227</v>
      </c>
      <c r="AQ65" s="0" t="s">
        <v>227</v>
      </c>
      <c r="AR65" s="0" t="s">
        <v>227</v>
      </c>
      <c r="AS65" s="0" t="s">
        <v>227</v>
      </c>
      <c r="AT65" s="0" t="s">
        <v>227</v>
      </c>
      <c r="AU65" s="0" t="s">
        <v>227</v>
      </c>
      <c r="AV65" s="0" t="s">
        <v>227</v>
      </c>
      <c r="AW65" s="0" t="s">
        <v>227</v>
      </c>
      <c r="AX65" s="0" t="s">
        <v>227</v>
      </c>
      <c r="AY65" s="0" t="s">
        <v>227</v>
      </c>
      <c r="AZ65" s="0" t="s">
        <v>227</v>
      </c>
      <c r="BA65" s="0" t="s">
        <v>227</v>
      </c>
      <c r="BB65" s="0" t="s">
        <v>227</v>
      </c>
      <c r="BC65" s="0" t="s">
        <v>227</v>
      </c>
      <c r="BD65" s="0" t="s">
        <v>227</v>
      </c>
      <c r="BE65" s="0" t="s">
        <v>5704</v>
      </c>
      <c r="BF65" s="0" t="s">
        <v>5773</v>
      </c>
      <c r="BG65" s="0" t="s">
        <v>112</v>
      </c>
      <c r="BH65" s="0" t="s">
        <v>5690</v>
      </c>
      <c r="BI65" s="0" t="s">
        <v>5691</v>
      </c>
      <c r="BJ65" s="0" t="s">
        <v>227</v>
      </c>
      <c r="BK65" s="0" t="s">
        <v>5692</v>
      </c>
      <c r="BL65" s="0" t="s">
        <v>354</v>
      </c>
      <c r="BM65" s="0" t="s">
        <v>354</v>
      </c>
      <c r="BN65" s="0" t="s">
        <v>5693</v>
      </c>
      <c r="BO65" s="0" t="s">
        <v>5684</v>
      </c>
      <c r="BP65" s="0" t="s">
        <v>5694</v>
      </c>
      <c r="BQ65" s="0" t="s">
        <v>5692</v>
      </c>
      <c r="BR65" s="0" t="s">
        <v>5692</v>
      </c>
      <c r="BS65" s="0" t="s">
        <v>227</v>
      </c>
      <c r="BT65" s="0" t="s">
        <v>5788</v>
      </c>
      <c r="BU65" s="0" t="s">
        <v>5911</v>
      </c>
      <c r="BV65" s="0" t="s">
        <v>5911</v>
      </c>
      <c r="BW65" s="0" t="s">
        <v>5697</v>
      </c>
      <c r="BX65" s="0" t="s">
        <v>5697</v>
      </c>
      <c r="BY65" s="0" t="s">
        <v>5697</v>
      </c>
      <c r="BZ65" s="0" t="s">
        <v>5697</v>
      </c>
      <c r="CA65" s="0" t="s">
        <v>5697</v>
      </c>
      <c r="CB65" s="0" t="s">
        <v>227</v>
      </c>
      <c r="CC65" s="0" t="s">
        <v>227</v>
      </c>
      <c r="CD65" s="0" t="s">
        <v>227</v>
      </c>
      <c r="CE65" s="0" t="s">
        <v>227</v>
      </c>
      <c r="CF65" s="0" t="s">
        <v>227</v>
      </c>
      <c r="CG65" s="0" t="s">
        <v>5697</v>
      </c>
      <c r="CH65" s="0" t="s">
        <v>227</v>
      </c>
      <c r="CI65" s="0" t="s">
        <v>227</v>
      </c>
      <c r="CJ65" s="0" t="s">
        <v>227</v>
      </c>
      <c r="CK65" s="0" t="s">
        <v>227</v>
      </c>
      <c r="CL65" s="0" t="s">
        <v>227</v>
      </c>
      <c r="CM65" s="0" t="s">
        <v>5911</v>
      </c>
      <c r="CN65" s="0" t="s">
        <v>5911</v>
      </c>
      <c r="CO65" s="0" t="s">
        <v>227</v>
      </c>
      <c r="CP65" s="0" t="s">
        <v>227</v>
      </c>
      <c r="CQ65" s="0" t="s">
        <v>227</v>
      </c>
      <c r="CR65" s="0" t="s">
        <v>227</v>
      </c>
      <c r="CS65" s="0" t="s">
        <v>5705</v>
      </c>
      <c r="CT65" s="0" t="s">
        <v>5679</v>
      </c>
      <c r="CU65" s="0" t="s">
        <v>5680</v>
      </c>
      <c r="CV65" s="0" t="s">
        <v>430</v>
      </c>
      <c r="CW65" s="0" t="s">
        <v>5699</v>
      </c>
      <c r="CX65" s="0" t="s">
        <v>431</v>
      </c>
      <c r="CY65" s="0" t="s">
        <v>430</v>
      </c>
      <c r="CZ65" s="0" t="s">
        <v>432</v>
      </c>
      <c r="DA65" s="0" t="s">
        <v>433</v>
      </c>
      <c r="DB65" s="0" t="s">
        <v>5700</v>
      </c>
      <c r="DC65" s="0" t="s">
        <v>373</v>
      </c>
      <c r="DD65" s="0" t="s">
        <v>277</v>
      </c>
      <c r="DE65" s="0" t="s">
        <v>510</v>
      </c>
    </row>
    <row customHeight="1" ht="11.25">
      <c r="A66" s="1806" t="s">
        <v>227</v>
      </c>
      <c r="B66" s="0" t="s">
        <v>227</v>
      </c>
      <c r="C66" s="0" t="s">
        <v>227</v>
      </c>
      <c r="D66" s="0" t="s">
        <v>227</v>
      </c>
      <c r="E66" s="0" t="s">
        <v>227</v>
      </c>
      <c r="F66" s="0" t="s">
        <v>227</v>
      </c>
      <c r="G66" s="0" t="s">
        <v>227</v>
      </c>
      <c r="H66" s="0" t="s">
        <v>227</v>
      </c>
      <c r="I66" s="0" t="s">
        <v>5667</v>
      </c>
      <c r="J66" s="0" t="s">
        <v>227</v>
      </c>
      <c r="K66" s="0" t="s">
        <v>227</v>
      </c>
      <c r="L66" s="0" t="s">
        <v>227</v>
      </c>
      <c r="M66" s="0" t="s">
        <v>227</v>
      </c>
      <c r="N66" s="0" t="s">
        <v>227</v>
      </c>
      <c r="O66" s="0" t="s">
        <v>227</v>
      </c>
      <c r="P66" s="0" t="s">
        <v>227</v>
      </c>
      <c r="Q66" s="0" t="s">
        <v>227</v>
      </c>
      <c r="R66" s="0" t="s">
        <v>547</v>
      </c>
      <c r="S66" s="0" t="s">
        <v>227</v>
      </c>
      <c r="T66" s="0" t="s">
        <v>227</v>
      </c>
      <c r="U66" s="0" t="s">
        <v>102</v>
      </c>
      <c r="V66" s="0" t="s">
        <v>227</v>
      </c>
      <c r="W66" s="0" t="s">
        <v>227</v>
      </c>
      <c r="X66" s="0" t="s">
        <v>5683</v>
      </c>
      <c r="Y66" s="0" t="s">
        <v>227</v>
      </c>
      <c r="Z66" s="0" t="s">
        <v>152</v>
      </c>
      <c r="AA66" s="0" t="s">
        <v>152</v>
      </c>
      <c r="AB66" s="0" t="s">
        <v>161</v>
      </c>
      <c r="AC66" s="0" t="s">
        <v>354</v>
      </c>
      <c r="AD66" s="0" t="s">
        <v>354</v>
      </c>
      <c r="AE66" s="0" t="s">
        <v>355</v>
      </c>
      <c r="AF66" s="0" t="s">
        <v>5684</v>
      </c>
      <c r="AG66" s="0" t="s">
        <v>5685</v>
      </c>
      <c r="AH66" s="0" t="s">
        <v>5912</v>
      </c>
      <c r="AI66" s="0" t="s">
        <v>5913</v>
      </c>
      <c r="AJ66" s="0" t="s">
        <v>227</v>
      </c>
      <c r="AK66" s="0" t="s">
        <v>227</v>
      </c>
      <c r="AL66" s="0" t="s">
        <v>227</v>
      </c>
      <c r="AM66" s="0" t="s">
        <v>227</v>
      </c>
      <c r="AN66" s="0" t="s">
        <v>227</v>
      </c>
      <c r="AO66" s="0" t="s">
        <v>227</v>
      </c>
      <c r="AP66" s="0" t="s">
        <v>227</v>
      </c>
      <c r="AQ66" s="0" t="s">
        <v>227</v>
      </c>
      <c r="AR66" s="0" t="s">
        <v>227</v>
      </c>
      <c r="AS66" s="0" t="s">
        <v>227</v>
      </c>
      <c r="AT66" s="0" t="s">
        <v>227</v>
      </c>
      <c r="AU66" s="0" t="s">
        <v>227</v>
      </c>
      <c r="AV66" s="0" t="s">
        <v>227</v>
      </c>
      <c r="AW66" s="0" t="s">
        <v>227</v>
      </c>
      <c r="AX66" s="0" t="s">
        <v>227</v>
      </c>
      <c r="AY66" s="0" t="s">
        <v>227</v>
      </c>
      <c r="AZ66" s="0" t="s">
        <v>227</v>
      </c>
      <c r="BA66" s="0" t="s">
        <v>227</v>
      </c>
      <c r="BB66" s="0" t="s">
        <v>227</v>
      </c>
      <c r="BC66" s="0" t="s">
        <v>227</v>
      </c>
      <c r="BD66" s="0" t="s">
        <v>227</v>
      </c>
      <c r="BE66" s="0" t="s">
        <v>5688</v>
      </c>
      <c r="BF66" s="0" t="s">
        <v>5914</v>
      </c>
      <c r="BG66" s="0" t="s">
        <v>112</v>
      </c>
      <c r="BH66" s="0" t="s">
        <v>5690</v>
      </c>
      <c r="BI66" s="0" t="s">
        <v>5691</v>
      </c>
      <c r="BJ66" s="0" t="s">
        <v>227</v>
      </c>
      <c r="BK66" s="0" t="s">
        <v>5692</v>
      </c>
      <c r="BL66" s="0" t="s">
        <v>354</v>
      </c>
      <c r="BM66" s="0" t="s">
        <v>354</v>
      </c>
      <c r="BN66" s="0" t="s">
        <v>5693</v>
      </c>
      <c r="BO66" s="0" t="s">
        <v>5684</v>
      </c>
      <c r="BP66" s="0" t="s">
        <v>5694</v>
      </c>
      <c r="BQ66" s="0" t="s">
        <v>5692</v>
      </c>
      <c r="BR66" s="0" t="s">
        <v>5692</v>
      </c>
      <c r="BS66" s="0" t="s">
        <v>227</v>
      </c>
      <c r="BT66" s="0" t="s">
        <v>5695</v>
      </c>
      <c r="BU66" s="0" t="s">
        <v>5745</v>
      </c>
      <c r="BV66" s="0" t="s">
        <v>5745</v>
      </c>
      <c r="BW66" s="0" t="s">
        <v>5697</v>
      </c>
      <c r="BX66" s="0" t="s">
        <v>5697</v>
      </c>
      <c r="BY66" s="0" t="s">
        <v>5697</v>
      </c>
      <c r="BZ66" s="0" t="s">
        <v>5697</v>
      </c>
      <c r="CA66" s="0" t="s">
        <v>5697</v>
      </c>
      <c r="CB66" s="0" t="s">
        <v>227</v>
      </c>
      <c r="CC66" s="0" t="s">
        <v>227</v>
      </c>
      <c r="CD66" s="0" t="s">
        <v>227</v>
      </c>
      <c r="CE66" s="0" t="s">
        <v>227</v>
      </c>
      <c r="CF66" s="0" t="s">
        <v>227</v>
      </c>
      <c r="CG66" s="0" t="s">
        <v>5697</v>
      </c>
      <c r="CH66" s="0" t="s">
        <v>227</v>
      </c>
      <c r="CI66" s="0" t="s">
        <v>227</v>
      </c>
      <c r="CJ66" s="0" t="s">
        <v>227</v>
      </c>
      <c r="CK66" s="0" t="s">
        <v>227</v>
      </c>
      <c r="CL66" s="0" t="s">
        <v>227</v>
      </c>
      <c r="CM66" s="0" t="s">
        <v>5745</v>
      </c>
      <c r="CN66" s="0" t="s">
        <v>5745</v>
      </c>
      <c r="CO66" s="0" t="s">
        <v>227</v>
      </c>
      <c r="CP66" s="0" t="s">
        <v>227</v>
      </c>
      <c r="CQ66" s="0" t="s">
        <v>227</v>
      </c>
      <c r="CR66" s="0" t="s">
        <v>227</v>
      </c>
      <c r="CS66" s="0" t="s">
        <v>5698</v>
      </c>
      <c r="CT66" s="0" t="s">
        <v>5679</v>
      </c>
      <c r="CU66" s="0" t="s">
        <v>5680</v>
      </c>
      <c r="CV66" s="0" t="s">
        <v>430</v>
      </c>
      <c r="CW66" s="0" t="s">
        <v>5699</v>
      </c>
      <c r="CX66" s="0" t="s">
        <v>431</v>
      </c>
      <c r="CY66" s="0" t="s">
        <v>430</v>
      </c>
      <c r="CZ66" s="0" t="s">
        <v>432</v>
      </c>
      <c r="DA66" s="0" t="s">
        <v>433</v>
      </c>
      <c r="DB66" s="0" t="s">
        <v>5700</v>
      </c>
      <c r="DC66" s="0" t="s">
        <v>373</v>
      </c>
      <c r="DD66" s="0" t="s">
        <v>277</v>
      </c>
      <c r="DE66" s="0" t="s">
        <v>548</v>
      </c>
    </row>
    <row customHeight="1" ht="11.25">
      <c r="A67" s="1806" t="s">
        <v>227</v>
      </c>
      <c r="B67" s="0" t="s">
        <v>227</v>
      </c>
      <c r="C67" s="0" t="s">
        <v>227</v>
      </c>
      <c r="D67" s="0" t="s">
        <v>227</v>
      </c>
      <c r="E67" s="0" t="s">
        <v>227</v>
      </c>
      <c r="F67" s="0" t="s">
        <v>227</v>
      </c>
      <c r="G67" s="0" t="s">
        <v>227</v>
      </c>
      <c r="H67" s="0" t="s">
        <v>227</v>
      </c>
      <c r="I67" s="0" t="s">
        <v>5667</v>
      </c>
      <c r="J67" s="0" t="s">
        <v>227</v>
      </c>
      <c r="K67" s="0" t="s">
        <v>227</v>
      </c>
      <c r="L67" s="0" t="s">
        <v>227</v>
      </c>
      <c r="M67" s="0" t="s">
        <v>227</v>
      </c>
      <c r="N67" s="0" t="s">
        <v>227</v>
      </c>
      <c r="O67" s="0" t="s">
        <v>227</v>
      </c>
      <c r="P67" s="0" t="s">
        <v>227</v>
      </c>
      <c r="Q67" s="0" t="s">
        <v>227</v>
      </c>
      <c r="R67" s="0" t="s">
        <v>480</v>
      </c>
      <c r="S67" s="0" t="s">
        <v>227</v>
      </c>
      <c r="T67" s="0" t="s">
        <v>227</v>
      </c>
      <c r="U67" s="0" t="s">
        <v>102</v>
      </c>
      <c r="V67" s="0" t="s">
        <v>227</v>
      </c>
      <c r="W67" s="0" t="s">
        <v>227</v>
      </c>
      <c r="X67" s="0" t="s">
        <v>5683</v>
      </c>
      <c r="Y67" s="0" t="s">
        <v>227</v>
      </c>
      <c r="Z67" s="0" t="s">
        <v>152</v>
      </c>
      <c r="AA67" s="0" t="s">
        <v>152</v>
      </c>
      <c r="AB67" s="0" t="s">
        <v>161</v>
      </c>
      <c r="AC67" s="0" t="s">
        <v>354</v>
      </c>
      <c r="AD67" s="0" t="s">
        <v>354</v>
      </c>
      <c r="AE67" s="0" t="s">
        <v>355</v>
      </c>
      <c r="AF67" s="0" t="s">
        <v>5684</v>
      </c>
      <c r="AG67" s="0" t="s">
        <v>5685</v>
      </c>
      <c r="AH67" s="0" t="s">
        <v>5915</v>
      </c>
      <c r="AI67" s="0" t="s">
        <v>5692</v>
      </c>
      <c r="AJ67" s="0" t="s">
        <v>227</v>
      </c>
      <c r="AK67" s="0" t="s">
        <v>227</v>
      </c>
      <c r="AL67" s="0" t="s">
        <v>227</v>
      </c>
      <c r="AM67" s="0" t="s">
        <v>227</v>
      </c>
      <c r="AN67" s="0" t="s">
        <v>227</v>
      </c>
      <c r="AO67" s="0" t="s">
        <v>227</v>
      </c>
      <c r="AP67" s="0" t="s">
        <v>227</v>
      </c>
      <c r="AQ67" s="0" t="s">
        <v>227</v>
      </c>
      <c r="AR67" s="0" t="s">
        <v>227</v>
      </c>
      <c r="AS67" s="0" t="s">
        <v>227</v>
      </c>
      <c r="AT67" s="0" t="s">
        <v>227</v>
      </c>
      <c r="AU67" s="0" t="s">
        <v>227</v>
      </c>
      <c r="AV67" s="0" t="s">
        <v>227</v>
      </c>
      <c r="AW67" s="0" t="s">
        <v>227</v>
      </c>
      <c r="AX67" s="0" t="s">
        <v>227</v>
      </c>
      <c r="AY67" s="0" t="s">
        <v>227</v>
      </c>
      <c r="AZ67" s="0" t="s">
        <v>227</v>
      </c>
      <c r="BA67" s="0" t="s">
        <v>227</v>
      </c>
      <c r="BB67" s="0" t="s">
        <v>227</v>
      </c>
      <c r="BC67" s="0" t="s">
        <v>227</v>
      </c>
      <c r="BD67" s="0" t="s">
        <v>227</v>
      </c>
      <c r="BE67" s="0" t="s">
        <v>5748</v>
      </c>
      <c r="BF67" s="0" t="s">
        <v>5749</v>
      </c>
      <c r="BG67" s="0" t="s">
        <v>112</v>
      </c>
      <c r="BH67" s="0" t="s">
        <v>5690</v>
      </c>
      <c r="BI67" s="0" t="s">
        <v>5691</v>
      </c>
      <c r="BJ67" s="0" t="s">
        <v>227</v>
      </c>
      <c r="BK67" s="0" t="s">
        <v>5692</v>
      </c>
      <c r="BL67" s="0" t="s">
        <v>354</v>
      </c>
      <c r="BM67" s="0" t="s">
        <v>354</v>
      </c>
      <c r="BN67" s="0" t="s">
        <v>5693</v>
      </c>
      <c r="BO67" s="0" t="s">
        <v>5684</v>
      </c>
      <c r="BP67" s="0" t="s">
        <v>5694</v>
      </c>
      <c r="BQ67" s="0" t="s">
        <v>5692</v>
      </c>
      <c r="BR67" s="0" t="s">
        <v>5692</v>
      </c>
      <c r="BS67" s="0" t="s">
        <v>227</v>
      </c>
      <c r="BT67" s="0" t="s">
        <v>5695</v>
      </c>
      <c r="BU67" s="0" t="s">
        <v>5908</v>
      </c>
      <c r="BV67" s="0" t="s">
        <v>5908</v>
      </c>
      <c r="BW67" s="0" t="s">
        <v>5697</v>
      </c>
      <c r="BX67" s="0" t="s">
        <v>5697</v>
      </c>
      <c r="BY67" s="0" t="s">
        <v>5697</v>
      </c>
      <c r="BZ67" s="0" t="s">
        <v>5697</v>
      </c>
      <c r="CA67" s="0" t="s">
        <v>5697</v>
      </c>
      <c r="CB67" s="0" t="s">
        <v>227</v>
      </c>
      <c r="CC67" s="0" t="s">
        <v>227</v>
      </c>
      <c r="CD67" s="0" t="s">
        <v>227</v>
      </c>
      <c r="CE67" s="0" t="s">
        <v>227</v>
      </c>
      <c r="CF67" s="0" t="s">
        <v>227</v>
      </c>
      <c r="CG67" s="0" t="s">
        <v>5697</v>
      </c>
      <c r="CH67" s="0" t="s">
        <v>227</v>
      </c>
      <c r="CI67" s="0" t="s">
        <v>227</v>
      </c>
      <c r="CJ67" s="0" t="s">
        <v>227</v>
      </c>
      <c r="CK67" s="0" t="s">
        <v>227</v>
      </c>
      <c r="CL67" s="0" t="s">
        <v>227</v>
      </c>
      <c r="CM67" s="0" t="s">
        <v>5908</v>
      </c>
      <c r="CN67" s="0" t="s">
        <v>5908</v>
      </c>
      <c r="CO67" s="0" t="s">
        <v>227</v>
      </c>
      <c r="CP67" s="0" t="s">
        <v>227</v>
      </c>
      <c r="CQ67" s="0" t="s">
        <v>227</v>
      </c>
      <c r="CR67" s="0" t="s">
        <v>227</v>
      </c>
      <c r="CS67" s="0" t="s">
        <v>5698</v>
      </c>
      <c r="CT67" s="0" t="s">
        <v>5679</v>
      </c>
      <c r="CU67" s="0" t="s">
        <v>5680</v>
      </c>
      <c r="CV67" s="0" t="s">
        <v>430</v>
      </c>
      <c r="CW67" s="0" t="s">
        <v>5699</v>
      </c>
      <c r="CX67" s="0" t="s">
        <v>431</v>
      </c>
      <c r="CY67" s="0" t="s">
        <v>430</v>
      </c>
      <c r="CZ67" s="0" t="s">
        <v>432</v>
      </c>
      <c r="DA67" s="0" t="s">
        <v>433</v>
      </c>
      <c r="DB67" s="0" t="s">
        <v>5700</v>
      </c>
      <c r="DC67" s="0" t="s">
        <v>373</v>
      </c>
      <c r="DD67" s="0" t="s">
        <v>277</v>
      </c>
      <c r="DE67" s="0" t="s">
        <v>481</v>
      </c>
    </row>
    <row customHeight="1" ht="11.25">
      <c r="A68" s="1806" t="s">
        <v>227</v>
      </c>
      <c r="B68" s="0" t="s">
        <v>227</v>
      </c>
      <c r="C68" s="0" t="s">
        <v>227</v>
      </c>
      <c r="D68" s="0" t="s">
        <v>227</v>
      </c>
      <c r="E68" s="0" t="s">
        <v>227</v>
      </c>
      <c r="F68" s="0" t="s">
        <v>227</v>
      </c>
      <c r="G68" s="0" t="s">
        <v>227</v>
      </c>
      <c r="H68" s="0" t="s">
        <v>227</v>
      </c>
      <c r="I68" s="0" t="s">
        <v>5667</v>
      </c>
      <c r="J68" s="0" t="s">
        <v>227</v>
      </c>
      <c r="K68" s="0" t="s">
        <v>227</v>
      </c>
      <c r="L68" s="0" t="s">
        <v>227</v>
      </c>
      <c r="M68" s="0" t="s">
        <v>227</v>
      </c>
      <c r="N68" s="0" t="s">
        <v>227</v>
      </c>
      <c r="O68" s="0" t="s">
        <v>227</v>
      </c>
      <c r="P68" s="0" t="s">
        <v>227</v>
      </c>
      <c r="Q68" s="0" t="s">
        <v>227</v>
      </c>
      <c r="R68" s="0" t="s">
        <v>847</v>
      </c>
      <c r="S68" s="0" t="s">
        <v>227</v>
      </c>
      <c r="T68" s="0" t="s">
        <v>227</v>
      </c>
      <c r="U68" s="0" t="s">
        <v>102</v>
      </c>
      <c r="V68" s="0" t="s">
        <v>227</v>
      </c>
      <c r="W68" s="0" t="s">
        <v>227</v>
      </c>
      <c r="X68" s="0" t="s">
        <v>5683</v>
      </c>
      <c r="Y68" s="0" t="s">
        <v>227</v>
      </c>
      <c r="Z68" s="0" t="s">
        <v>152</v>
      </c>
      <c r="AA68" s="0" t="s">
        <v>152</v>
      </c>
      <c r="AB68" s="0" t="s">
        <v>161</v>
      </c>
      <c r="AC68" s="0" t="s">
        <v>354</v>
      </c>
      <c r="AD68" s="0" t="s">
        <v>354</v>
      </c>
      <c r="AE68" s="0" t="s">
        <v>355</v>
      </c>
      <c r="AF68" s="0" t="s">
        <v>5701</v>
      </c>
      <c r="AG68" s="0" t="s">
        <v>5702</v>
      </c>
      <c r="AH68" s="0" t="s">
        <v>5916</v>
      </c>
      <c r="AI68" s="0" t="s">
        <v>5692</v>
      </c>
      <c r="AJ68" s="0" t="s">
        <v>227</v>
      </c>
      <c r="AK68" s="0" t="s">
        <v>227</v>
      </c>
      <c r="AL68" s="0" t="s">
        <v>227</v>
      </c>
      <c r="AM68" s="0" t="s">
        <v>227</v>
      </c>
      <c r="AN68" s="0" t="s">
        <v>227</v>
      </c>
      <c r="AO68" s="0" t="s">
        <v>227</v>
      </c>
      <c r="AP68" s="0" t="s">
        <v>227</v>
      </c>
      <c r="AQ68" s="0" t="s">
        <v>227</v>
      </c>
      <c r="AR68" s="0" t="s">
        <v>227</v>
      </c>
      <c r="AS68" s="0" t="s">
        <v>227</v>
      </c>
      <c r="AT68" s="0" t="s">
        <v>227</v>
      </c>
      <c r="AU68" s="0" t="s">
        <v>227</v>
      </c>
      <c r="AV68" s="0" t="s">
        <v>227</v>
      </c>
      <c r="AW68" s="0" t="s">
        <v>227</v>
      </c>
      <c r="AX68" s="0" t="s">
        <v>227</v>
      </c>
      <c r="AY68" s="0" t="s">
        <v>227</v>
      </c>
      <c r="AZ68" s="0" t="s">
        <v>227</v>
      </c>
      <c r="BA68" s="0" t="s">
        <v>227</v>
      </c>
      <c r="BB68" s="0" t="s">
        <v>227</v>
      </c>
      <c r="BC68" s="0" t="s">
        <v>227</v>
      </c>
      <c r="BD68" s="0" t="s">
        <v>227</v>
      </c>
      <c r="BE68" s="0" t="s">
        <v>5728</v>
      </c>
      <c r="BF68" s="0" t="s">
        <v>5873</v>
      </c>
      <c r="BG68" s="0" t="s">
        <v>112</v>
      </c>
      <c r="BH68" s="0" t="s">
        <v>5690</v>
      </c>
      <c r="BI68" s="0" t="s">
        <v>5691</v>
      </c>
      <c r="BJ68" s="0" t="s">
        <v>227</v>
      </c>
      <c r="BK68" s="0" t="s">
        <v>952</v>
      </c>
      <c r="BL68" s="0" t="s">
        <v>354</v>
      </c>
      <c r="BM68" s="0" t="s">
        <v>354</v>
      </c>
      <c r="BN68" s="0" t="s">
        <v>5693</v>
      </c>
      <c r="BO68" s="0" t="s">
        <v>5701</v>
      </c>
      <c r="BP68" s="0" t="s">
        <v>5706</v>
      </c>
      <c r="BQ68" s="0" t="s">
        <v>5707</v>
      </c>
      <c r="BR68" s="0" t="s">
        <v>5708</v>
      </c>
      <c r="BS68" s="0" t="s">
        <v>227</v>
      </c>
      <c r="BT68" s="0" t="s">
        <v>5695</v>
      </c>
      <c r="BU68" s="0" t="s">
        <v>5917</v>
      </c>
      <c r="BV68" s="0" t="s">
        <v>5917</v>
      </c>
      <c r="BW68" s="0" t="s">
        <v>5697</v>
      </c>
      <c r="BX68" s="0" t="s">
        <v>5697</v>
      </c>
      <c r="BY68" s="0" t="s">
        <v>5697</v>
      </c>
      <c r="BZ68" s="0" t="s">
        <v>5697</v>
      </c>
      <c r="CA68" s="0" t="s">
        <v>5697</v>
      </c>
      <c r="CB68" s="0" t="s">
        <v>227</v>
      </c>
      <c r="CC68" s="0" t="s">
        <v>227</v>
      </c>
      <c r="CD68" s="0" t="s">
        <v>227</v>
      </c>
      <c r="CE68" s="0" t="s">
        <v>227</v>
      </c>
      <c r="CF68" s="0" t="s">
        <v>227</v>
      </c>
      <c r="CG68" s="0" t="s">
        <v>5697</v>
      </c>
      <c r="CH68" s="0" t="s">
        <v>227</v>
      </c>
      <c r="CI68" s="0" t="s">
        <v>227</v>
      </c>
      <c r="CJ68" s="0" t="s">
        <v>227</v>
      </c>
      <c r="CK68" s="0" t="s">
        <v>227</v>
      </c>
      <c r="CL68" s="0" t="s">
        <v>227</v>
      </c>
      <c r="CM68" s="0" t="s">
        <v>5917</v>
      </c>
      <c r="CN68" s="0" t="s">
        <v>5917</v>
      </c>
      <c r="CO68" s="0" t="s">
        <v>227</v>
      </c>
      <c r="CP68" s="0" t="s">
        <v>227</v>
      </c>
      <c r="CQ68" s="0" t="s">
        <v>227</v>
      </c>
      <c r="CR68" s="0" t="s">
        <v>227</v>
      </c>
      <c r="CS68" s="0" t="s">
        <v>5759</v>
      </c>
      <c r="CT68" s="0" t="s">
        <v>5679</v>
      </c>
      <c r="CU68" s="0" t="s">
        <v>5680</v>
      </c>
      <c r="CV68" s="0" t="s">
        <v>430</v>
      </c>
      <c r="CW68" s="0" t="s">
        <v>5699</v>
      </c>
      <c r="CX68" s="0" t="s">
        <v>431</v>
      </c>
      <c r="CY68" s="0" t="s">
        <v>430</v>
      </c>
      <c r="CZ68" s="0" t="s">
        <v>432</v>
      </c>
      <c r="DA68" s="0" t="s">
        <v>433</v>
      </c>
      <c r="DB68" s="0" t="s">
        <v>5700</v>
      </c>
      <c r="DC68" s="0" t="s">
        <v>373</v>
      </c>
      <c r="DD68" s="0" t="s">
        <v>277</v>
      </c>
      <c r="DE68" s="0" t="s">
        <v>848</v>
      </c>
    </row>
    <row customHeight="1" ht="11.25">
      <c r="A69" s="1806" t="s">
        <v>227</v>
      </c>
      <c r="B69" s="0" t="s">
        <v>227</v>
      </c>
      <c r="C69" s="0" t="s">
        <v>227</v>
      </c>
      <c r="D69" s="0" t="s">
        <v>227</v>
      </c>
      <c r="E69" s="0" t="s">
        <v>227</v>
      </c>
      <c r="F69" s="0" t="s">
        <v>227</v>
      </c>
      <c r="G69" s="0" t="s">
        <v>227</v>
      </c>
      <c r="H69" s="0" t="s">
        <v>227</v>
      </c>
      <c r="I69" s="0" t="s">
        <v>5667</v>
      </c>
      <c r="J69" s="0" t="s">
        <v>227</v>
      </c>
      <c r="K69" s="0" t="s">
        <v>227</v>
      </c>
      <c r="L69" s="0" t="s">
        <v>227</v>
      </c>
      <c r="M69" s="0" t="s">
        <v>227</v>
      </c>
      <c r="N69" s="0" t="s">
        <v>227</v>
      </c>
      <c r="O69" s="0" t="s">
        <v>227</v>
      </c>
      <c r="P69" s="0" t="s">
        <v>227</v>
      </c>
      <c r="Q69" s="0" t="s">
        <v>227</v>
      </c>
      <c r="R69" s="0" t="s">
        <v>890</v>
      </c>
      <c r="S69" s="0" t="s">
        <v>227</v>
      </c>
      <c r="T69" s="0" t="s">
        <v>227</v>
      </c>
      <c r="U69" s="0" t="s">
        <v>102</v>
      </c>
      <c r="V69" s="0" t="s">
        <v>227</v>
      </c>
      <c r="W69" s="0" t="s">
        <v>227</v>
      </c>
      <c r="X69" s="0" t="s">
        <v>5683</v>
      </c>
      <c r="Y69" s="0" t="s">
        <v>227</v>
      </c>
      <c r="Z69" s="0" t="s">
        <v>152</v>
      </c>
      <c r="AA69" s="0" t="s">
        <v>152</v>
      </c>
      <c r="AB69" s="0" t="s">
        <v>161</v>
      </c>
      <c r="AC69" s="0" t="s">
        <v>354</v>
      </c>
      <c r="AD69" s="0" t="s">
        <v>354</v>
      </c>
      <c r="AE69" s="0" t="s">
        <v>355</v>
      </c>
      <c r="AF69" s="0" t="s">
        <v>5701</v>
      </c>
      <c r="AG69" s="0" t="s">
        <v>5702</v>
      </c>
      <c r="AH69" s="0" t="s">
        <v>5918</v>
      </c>
      <c r="AI69" s="0" t="s">
        <v>5692</v>
      </c>
      <c r="AJ69" s="0" t="s">
        <v>227</v>
      </c>
      <c r="AK69" s="0" t="s">
        <v>227</v>
      </c>
      <c r="AL69" s="0" t="s">
        <v>227</v>
      </c>
      <c r="AM69" s="0" t="s">
        <v>227</v>
      </c>
      <c r="AN69" s="0" t="s">
        <v>227</v>
      </c>
      <c r="AO69" s="0" t="s">
        <v>227</v>
      </c>
      <c r="AP69" s="0" t="s">
        <v>227</v>
      </c>
      <c r="AQ69" s="0" t="s">
        <v>227</v>
      </c>
      <c r="AR69" s="0" t="s">
        <v>227</v>
      </c>
      <c r="AS69" s="0" t="s">
        <v>227</v>
      </c>
      <c r="AT69" s="0" t="s">
        <v>227</v>
      </c>
      <c r="AU69" s="0" t="s">
        <v>227</v>
      </c>
      <c r="AV69" s="0" t="s">
        <v>227</v>
      </c>
      <c r="AW69" s="0" t="s">
        <v>227</v>
      </c>
      <c r="AX69" s="0" t="s">
        <v>227</v>
      </c>
      <c r="AY69" s="0" t="s">
        <v>227</v>
      </c>
      <c r="AZ69" s="0" t="s">
        <v>227</v>
      </c>
      <c r="BA69" s="0" t="s">
        <v>227</v>
      </c>
      <c r="BB69" s="0" t="s">
        <v>227</v>
      </c>
      <c r="BC69" s="0" t="s">
        <v>227</v>
      </c>
      <c r="BD69" s="0" t="s">
        <v>227</v>
      </c>
      <c r="BE69" s="0" t="s">
        <v>5728</v>
      </c>
      <c r="BF69" s="0" t="s">
        <v>5728</v>
      </c>
      <c r="BG69" s="0" t="s">
        <v>112</v>
      </c>
      <c r="BH69" s="0" t="s">
        <v>5690</v>
      </c>
      <c r="BI69" s="0" t="s">
        <v>5691</v>
      </c>
      <c r="BJ69" s="0" t="s">
        <v>227</v>
      </c>
      <c r="BK69" s="0" t="s">
        <v>952</v>
      </c>
      <c r="BL69" s="0" t="s">
        <v>354</v>
      </c>
      <c r="BM69" s="0" t="s">
        <v>354</v>
      </c>
      <c r="BN69" s="0" t="s">
        <v>5693</v>
      </c>
      <c r="BO69" s="0" t="s">
        <v>5701</v>
      </c>
      <c r="BP69" s="0" t="s">
        <v>5706</v>
      </c>
      <c r="BQ69" s="0" t="s">
        <v>5707</v>
      </c>
      <c r="BR69" s="0" t="s">
        <v>5708</v>
      </c>
      <c r="BS69" s="0" t="s">
        <v>227</v>
      </c>
      <c r="BT69" s="0" t="s">
        <v>5695</v>
      </c>
      <c r="BU69" s="0" t="s">
        <v>5919</v>
      </c>
      <c r="BV69" s="0" t="s">
        <v>5919</v>
      </c>
      <c r="BW69" s="0" t="s">
        <v>5697</v>
      </c>
      <c r="BX69" s="0" t="s">
        <v>5697</v>
      </c>
      <c r="BY69" s="0" t="s">
        <v>5697</v>
      </c>
      <c r="BZ69" s="0" t="s">
        <v>5697</v>
      </c>
      <c r="CA69" s="0" t="s">
        <v>5697</v>
      </c>
      <c r="CB69" s="0" t="s">
        <v>227</v>
      </c>
      <c r="CC69" s="0" t="s">
        <v>227</v>
      </c>
      <c r="CD69" s="0" t="s">
        <v>227</v>
      </c>
      <c r="CE69" s="0" t="s">
        <v>227</v>
      </c>
      <c r="CF69" s="0" t="s">
        <v>227</v>
      </c>
      <c r="CG69" s="0" t="s">
        <v>5697</v>
      </c>
      <c r="CH69" s="0" t="s">
        <v>227</v>
      </c>
      <c r="CI69" s="0" t="s">
        <v>227</v>
      </c>
      <c r="CJ69" s="0" t="s">
        <v>227</v>
      </c>
      <c r="CK69" s="0" t="s">
        <v>227</v>
      </c>
      <c r="CL69" s="0" t="s">
        <v>227</v>
      </c>
      <c r="CM69" s="0" t="s">
        <v>5919</v>
      </c>
      <c r="CN69" s="0" t="s">
        <v>5919</v>
      </c>
      <c r="CO69" s="0" t="s">
        <v>227</v>
      </c>
      <c r="CP69" s="0" t="s">
        <v>227</v>
      </c>
      <c r="CQ69" s="0" t="s">
        <v>227</v>
      </c>
      <c r="CR69" s="0" t="s">
        <v>227</v>
      </c>
      <c r="CS69" s="0" t="s">
        <v>5759</v>
      </c>
      <c r="CT69" s="0" t="s">
        <v>5679</v>
      </c>
      <c r="CU69" s="0" t="s">
        <v>5680</v>
      </c>
      <c r="CV69" s="0" t="s">
        <v>430</v>
      </c>
      <c r="CW69" s="0" t="s">
        <v>5699</v>
      </c>
      <c r="CX69" s="0" t="s">
        <v>431</v>
      </c>
      <c r="CY69" s="0" t="s">
        <v>430</v>
      </c>
      <c r="CZ69" s="0" t="s">
        <v>432</v>
      </c>
      <c r="DA69" s="0" t="s">
        <v>433</v>
      </c>
      <c r="DB69" s="0" t="s">
        <v>5700</v>
      </c>
      <c r="DC69" s="0" t="s">
        <v>373</v>
      </c>
      <c r="DD69" s="0" t="s">
        <v>277</v>
      </c>
      <c r="DE69" s="0" t="s">
        <v>891</v>
      </c>
    </row>
    <row customHeight="1" ht="11.25">
      <c r="A70" s="1806" t="s">
        <v>227</v>
      </c>
      <c r="B70" s="0" t="s">
        <v>227</v>
      </c>
      <c r="C70" s="0" t="s">
        <v>227</v>
      </c>
      <c r="D70" s="0" t="s">
        <v>227</v>
      </c>
      <c r="E70" s="0" t="s">
        <v>227</v>
      </c>
      <c r="F70" s="0" t="s">
        <v>227</v>
      </c>
      <c r="G70" s="0" t="s">
        <v>227</v>
      </c>
      <c r="H70" s="0" t="s">
        <v>227</v>
      </c>
      <c r="I70" s="0" t="s">
        <v>5667</v>
      </c>
      <c r="J70" s="0" t="s">
        <v>227</v>
      </c>
      <c r="K70" s="0" t="s">
        <v>227</v>
      </c>
      <c r="L70" s="0" t="s">
        <v>227</v>
      </c>
      <c r="M70" s="0" t="s">
        <v>227</v>
      </c>
      <c r="N70" s="0" t="s">
        <v>227</v>
      </c>
      <c r="O70" s="0" t="s">
        <v>227</v>
      </c>
      <c r="P70" s="0" t="s">
        <v>227</v>
      </c>
      <c r="Q70" s="0" t="s">
        <v>227</v>
      </c>
      <c r="R70" s="0" t="s">
        <v>577</v>
      </c>
      <c r="S70" s="0" t="s">
        <v>227</v>
      </c>
      <c r="T70" s="0" t="s">
        <v>227</v>
      </c>
      <c r="U70" s="0" t="s">
        <v>102</v>
      </c>
      <c r="V70" s="0" t="s">
        <v>227</v>
      </c>
      <c r="W70" s="0" t="s">
        <v>227</v>
      </c>
      <c r="X70" s="0" t="s">
        <v>5683</v>
      </c>
      <c r="Y70" s="0" t="s">
        <v>227</v>
      </c>
      <c r="Z70" s="0" t="s">
        <v>152</v>
      </c>
      <c r="AA70" s="0" t="s">
        <v>152</v>
      </c>
      <c r="AB70" s="0" t="s">
        <v>161</v>
      </c>
      <c r="AC70" s="0" t="s">
        <v>354</v>
      </c>
      <c r="AD70" s="0" t="s">
        <v>354</v>
      </c>
      <c r="AE70" s="0" t="s">
        <v>355</v>
      </c>
      <c r="AF70" s="0" t="s">
        <v>5684</v>
      </c>
      <c r="AG70" s="0" t="s">
        <v>5685</v>
      </c>
      <c r="AH70" s="0" t="s">
        <v>5920</v>
      </c>
      <c r="AI70" s="0" t="s">
        <v>5692</v>
      </c>
      <c r="AJ70" s="0" t="s">
        <v>227</v>
      </c>
      <c r="AK70" s="0" t="s">
        <v>227</v>
      </c>
      <c r="AL70" s="0" t="s">
        <v>227</v>
      </c>
      <c r="AM70" s="0" t="s">
        <v>227</v>
      </c>
      <c r="AN70" s="0" t="s">
        <v>227</v>
      </c>
      <c r="AO70" s="0" t="s">
        <v>227</v>
      </c>
      <c r="AP70" s="0" t="s">
        <v>227</v>
      </c>
      <c r="AQ70" s="0" t="s">
        <v>227</v>
      </c>
      <c r="AR70" s="0" t="s">
        <v>227</v>
      </c>
      <c r="AS70" s="0" t="s">
        <v>227</v>
      </c>
      <c r="AT70" s="0" t="s">
        <v>227</v>
      </c>
      <c r="AU70" s="0" t="s">
        <v>227</v>
      </c>
      <c r="AV70" s="0" t="s">
        <v>227</v>
      </c>
      <c r="AW70" s="0" t="s">
        <v>227</v>
      </c>
      <c r="AX70" s="0" t="s">
        <v>227</v>
      </c>
      <c r="AY70" s="0" t="s">
        <v>227</v>
      </c>
      <c r="AZ70" s="0" t="s">
        <v>227</v>
      </c>
      <c r="BA70" s="0" t="s">
        <v>227</v>
      </c>
      <c r="BB70" s="0" t="s">
        <v>227</v>
      </c>
      <c r="BC70" s="0" t="s">
        <v>227</v>
      </c>
      <c r="BD70" s="0" t="s">
        <v>227</v>
      </c>
      <c r="BE70" s="0" t="s">
        <v>5921</v>
      </c>
      <c r="BF70" s="0" t="s">
        <v>5922</v>
      </c>
      <c r="BG70" s="0" t="s">
        <v>112</v>
      </c>
      <c r="BH70" s="0" t="s">
        <v>5690</v>
      </c>
      <c r="BI70" s="0" t="s">
        <v>5691</v>
      </c>
      <c r="BJ70" s="0" t="s">
        <v>227</v>
      </c>
      <c r="BK70" s="0" t="s">
        <v>5692</v>
      </c>
      <c r="BL70" s="0" t="s">
        <v>354</v>
      </c>
      <c r="BM70" s="0" t="s">
        <v>354</v>
      </c>
      <c r="BN70" s="0" t="s">
        <v>5693</v>
      </c>
      <c r="BO70" s="0" t="s">
        <v>5684</v>
      </c>
      <c r="BP70" s="0" t="s">
        <v>5694</v>
      </c>
      <c r="BQ70" s="0" t="s">
        <v>5692</v>
      </c>
      <c r="BR70" s="0" t="s">
        <v>5692</v>
      </c>
      <c r="BS70" s="0" t="s">
        <v>227</v>
      </c>
      <c r="BT70" s="0" t="s">
        <v>5695</v>
      </c>
      <c r="BU70" s="0" t="s">
        <v>5923</v>
      </c>
      <c r="BV70" s="0" t="s">
        <v>5923</v>
      </c>
      <c r="BW70" s="0" t="s">
        <v>5697</v>
      </c>
      <c r="BX70" s="0" t="s">
        <v>5697</v>
      </c>
      <c r="BY70" s="0" t="s">
        <v>5697</v>
      </c>
      <c r="BZ70" s="0" t="s">
        <v>5697</v>
      </c>
      <c r="CA70" s="0" t="s">
        <v>5697</v>
      </c>
      <c r="CB70" s="0" t="s">
        <v>227</v>
      </c>
      <c r="CC70" s="0" t="s">
        <v>227</v>
      </c>
      <c r="CD70" s="0" t="s">
        <v>227</v>
      </c>
      <c r="CE70" s="0" t="s">
        <v>227</v>
      </c>
      <c r="CF70" s="0" t="s">
        <v>227</v>
      </c>
      <c r="CG70" s="0" t="s">
        <v>5697</v>
      </c>
      <c r="CH70" s="0" t="s">
        <v>227</v>
      </c>
      <c r="CI70" s="0" t="s">
        <v>227</v>
      </c>
      <c r="CJ70" s="0" t="s">
        <v>227</v>
      </c>
      <c r="CK70" s="0" t="s">
        <v>227</v>
      </c>
      <c r="CL70" s="0" t="s">
        <v>227</v>
      </c>
      <c r="CM70" s="0" t="s">
        <v>5923</v>
      </c>
      <c r="CN70" s="0" t="s">
        <v>5923</v>
      </c>
      <c r="CO70" s="0" t="s">
        <v>227</v>
      </c>
      <c r="CP70" s="0" t="s">
        <v>227</v>
      </c>
      <c r="CQ70" s="0" t="s">
        <v>227</v>
      </c>
      <c r="CR70" s="0" t="s">
        <v>227</v>
      </c>
      <c r="CS70" s="0" t="s">
        <v>5698</v>
      </c>
      <c r="CT70" s="0" t="s">
        <v>5679</v>
      </c>
      <c r="CU70" s="0" t="s">
        <v>5680</v>
      </c>
      <c r="CV70" s="0" t="s">
        <v>430</v>
      </c>
      <c r="CW70" s="0" t="s">
        <v>5699</v>
      </c>
      <c r="CX70" s="0" t="s">
        <v>431</v>
      </c>
      <c r="CY70" s="0" t="s">
        <v>430</v>
      </c>
      <c r="CZ70" s="0" t="s">
        <v>432</v>
      </c>
      <c r="DA70" s="0" t="s">
        <v>433</v>
      </c>
      <c r="DB70" s="0" t="s">
        <v>5700</v>
      </c>
      <c r="DC70" s="0" t="s">
        <v>373</v>
      </c>
      <c r="DD70" s="0" t="s">
        <v>277</v>
      </c>
      <c r="DE70" s="0" t="s">
        <v>578</v>
      </c>
    </row>
    <row customHeight="1" ht="11.25">
      <c r="A71" s="1806" t="s">
        <v>227</v>
      </c>
      <c r="B71" s="0" t="s">
        <v>227</v>
      </c>
      <c r="C71" s="0" t="s">
        <v>227</v>
      </c>
      <c r="D71" s="0" t="s">
        <v>227</v>
      </c>
      <c r="E71" s="0" t="s">
        <v>227</v>
      </c>
      <c r="F71" s="0" t="s">
        <v>227</v>
      </c>
      <c r="G71" s="0" t="s">
        <v>227</v>
      </c>
      <c r="H71" s="0" t="s">
        <v>227</v>
      </c>
      <c r="I71" s="0" t="s">
        <v>5667</v>
      </c>
      <c r="J71" s="0" t="s">
        <v>227</v>
      </c>
      <c r="K71" s="0" t="s">
        <v>227</v>
      </c>
      <c r="L71" s="0" t="s">
        <v>227</v>
      </c>
      <c r="M71" s="0" t="s">
        <v>227</v>
      </c>
      <c r="N71" s="0" t="s">
        <v>227</v>
      </c>
      <c r="O71" s="0" t="s">
        <v>227</v>
      </c>
      <c r="P71" s="0" t="s">
        <v>227</v>
      </c>
      <c r="Q71" s="0" t="s">
        <v>227</v>
      </c>
      <c r="R71" s="0" t="s">
        <v>800</v>
      </c>
      <c r="S71" s="0" t="s">
        <v>227</v>
      </c>
      <c r="T71" s="0" t="s">
        <v>227</v>
      </c>
      <c r="U71" s="0" t="s">
        <v>102</v>
      </c>
      <c r="V71" s="0" t="s">
        <v>227</v>
      </c>
      <c r="W71" s="0" t="s">
        <v>227</v>
      </c>
      <c r="X71" s="0" t="s">
        <v>5683</v>
      </c>
      <c r="Y71" s="0" t="s">
        <v>227</v>
      </c>
      <c r="Z71" s="0" t="s">
        <v>152</v>
      </c>
      <c r="AA71" s="0" t="s">
        <v>152</v>
      </c>
      <c r="AB71" s="0" t="s">
        <v>161</v>
      </c>
      <c r="AC71" s="0" t="s">
        <v>354</v>
      </c>
      <c r="AD71" s="0" t="s">
        <v>354</v>
      </c>
      <c r="AE71" s="0" t="s">
        <v>355</v>
      </c>
      <c r="AF71" s="0" t="s">
        <v>5701</v>
      </c>
      <c r="AG71" s="0" t="s">
        <v>5702</v>
      </c>
      <c r="AH71" s="0" t="s">
        <v>5703</v>
      </c>
      <c r="AI71" s="0" t="s">
        <v>535</v>
      </c>
      <c r="AJ71" s="0" t="s">
        <v>227</v>
      </c>
      <c r="AK71" s="0" t="s">
        <v>227</v>
      </c>
      <c r="AL71" s="0" t="s">
        <v>227</v>
      </c>
      <c r="AM71" s="0" t="s">
        <v>227</v>
      </c>
      <c r="AN71" s="0" t="s">
        <v>227</v>
      </c>
      <c r="AO71" s="0" t="s">
        <v>227</v>
      </c>
      <c r="AP71" s="0" t="s">
        <v>227</v>
      </c>
      <c r="AQ71" s="0" t="s">
        <v>227</v>
      </c>
      <c r="AR71" s="0" t="s">
        <v>227</v>
      </c>
      <c r="AS71" s="0" t="s">
        <v>227</v>
      </c>
      <c r="AT71" s="0" t="s">
        <v>227</v>
      </c>
      <c r="AU71" s="0" t="s">
        <v>227</v>
      </c>
      <c r="AV71" s="0" t="s">
        <v>227</v>
      </c>
      <c r="AW71" s="0" t="s">
        <v>227</v>
      </c>
      <c r="AX71" s="0" t="s">
        <v>227</v>
      </c>
      <c r="AY71" s="0" t="s">
        <v>227</v>
      </c>
      <c r="AZ71" s="0" t="s">
        <v>227</v>
      </c>
      <c r="BA71" s="0" t="s">
        <v>227</v>
      </c>
      <c r="BB71" s="0" t="s">
        <v>227</v>
      </c>
      <c r="BC71" s="0" t="s">
        <v>227</v>
      </c>
      <c r="BD71" s="0" t="s">
        <v>227</v>
      </c>
      <c r="BE71" s="0" t="s">
        <v>5704</v>
      </c>
      <c r="BF71" s="0" t="s">
        <v>5907</v>
      </c>
      <c r="BG71" s="0" t="s">
        <v>112</v>
      </c>
      <c r="BH71" s="0" t="s">
        <v>5690</v>
      </c>
      <c r="BI71" s="0" t="s">
        <v>5691</v>
      </c>
      <c r="BJ71" s="0" t="s">
        <v>227</v>
      </c>
      <c r="BK71" s="0" t="s">
        <v>952</v>
      </c>
      <c r="BL71" s="0" t="s">
        <v>354</v>
      </c>
      <c r="BM71" s="0" t="s">
        <v>354</v>
      </c>
      <c r="BN71" s="0" t="s">
        <v>5693</v>
      </c>
      <c r="BO71" s="0" t="s">
        <v>5701</v>
      </c>
      <c r="BP71" s="0" t="s">
        <v>5706</v>
      </c>
      <c r="BQ71" s="0" t="s">
        <v>5707</v>
      </c>
      <c r="BR71" s="0" t="s">
        <v>5708</v>
      </c>
      <c r="BS71" s="0" t="s">
        <v>227</v>
      </c>
      <c r="BT71" s="0" t="s">
        <v>5709</v>
      </c>
      <c r="BU71" s="0" t="s">
        <v>5924</v>
      </c>
      <c r="BV71" s="0" t="s">
        <v>5924</v>
      </c>
      <c r="BW71" s="0" t="s">
        <v>5697</v>
      </c>
      <c r="BX71" s="0" t="s">
        <v>5697</v>
      </c>
      <c r="BY71" s="0" t="s">
        <v>5697</v>
      </c>
      <c r="BZ71" s="0" t="s">
        <v>5697</v>
      </c>
      <c r="CA71" s="0" t="s">
        <v>5697</v>
      </c>
      <c r="CB71" s="0" t="s">
        <v>227</v>
      </c>
      <c r="CC71" s="0" t="s">
        <v>227</v>
      </c>
      <c r="CD71" s="0" t="s">
        <v>227</v>
      </c>
      <c r="CE71" s="0" t="s">
        <v>227</v>
      </c>
      <c r="CF71" s="0" t="s">
        <v>227</v>
      </c>
      <c r="CG71" s="0" t="s">
        <v>5697</v>
      </c>
      <c r="CH71" s="0" t="s">
        <v>227</v>
      </c>
      <c r="CI71" s="0" t="s">
        <v>227</v>
      </c>
      <c r="CJ71" s="0" t="s">
        <v>227</v>
      </c>
      <c r="CK71" s="0" t="s">
        <v>227</v>
      </c>
      <c r="CL71" s="0" t="s">
        <v>227</v>
      </c>
      <c r="CM71" s="0" t="s">
        <v>5924</v>
      </c>
      <c r="CN71" s="0" t="s">
        <v>5924</v>
      </c>
      <c r="CO71" s="0" t="s">
        <v>227</v>
      </c>
      <c r="CP71" s="0" t="s">
        <v>227</v>
      </c>
      <c r="CQ71" s="0" t="s">
        <v>227</v>
      </c>
      <c r="CR71" s="0" t="s">
        <v>227</v>
      </c>
      <c r="CS71" s="0" t="s">
        <v>5759</v>
      </c>
      <c r="CT71" s="0" t="s">
        <v>5679</v>
      </c>
      <c r="CU71" s="0" t="s">
        <v>5680</v>
      </c>
      <c r="CV71" s="0" t="s">
        <v>430</v>
      </c>
      <c r="CW71" s="0" t="s">
        <v>5699</v>
      </c>
      <c r="CX71" s="0" t="s">
        <v>431</v>
      </c>
      <c r="CY71" s="0" t="s">
        <v>430</v>
      </c>
      <c r="CZ71" s="0" t="s">
        <v>432</v>
      </c>
      <c r="DA71" s="0" t="s">
        <v>433</v>
      </c>
      <c r="DB71" s="0" t="s">
        <v>5700</v>
      </c>
      <c r="DC71" s="0" t="s">
        <v>373</v>
      </c>
      <c r="DD71" s="0" t="s">
        <v>277</v>
      </c>
      <c r="DE71" s="0" t="s">
        <v>801</v>
      </c>
    </row>
    <row customHeight="1" ht="11.25">
      <c r="A72" s="1806" t="s">
        <v>227</v>
      </c>
      <c r="B72" s="0" t="s">
        <v>227</v>
      </c>
      <c r="C72" s="0" t="s">
        <v>227</v>
      </c>
      <c r="D72" s="0" t="s">
        <v>227</v>
      </c>
      <c r="E72" s="0" t="s">
        <v>227</v>
      </c>
      <c r="F72" s="0" t="s">
        <v>227</v>
      </c>
      <c r="G72" s="0" t="s">
        <v>227</v>
      </c>
      <c r="H72" s="0" t="s">
        <v>227</v>
      </c>
      <c r="I72" s="0" t="s">
        <v>5667</v>
      </c>
      <c r="J72" s="0" t="s">
        <v>227</v>
      </c>
      <c r="K72" s="0" t="s">
        <v>227</v>
      </c>
      <c r="L72" s="0" t="s">
        <v>227</v>
      </c>
      <c r="M72" s="0" t="s">
        <v>227</v>
      </c>
      <c r="N72" s="0" t="s">
        <v>227</v>
      </c>
      <c r="O72" s="0" t="s">
        <v>227</v>
      </c>
      <c r="P72" s="0" t="s">
        <v>227</v>
      </c>
      <c r="Q72" s="0" t="s">
        <v>227</v>
      </c>
      <c r="R72" s="0" t="s">
        <v>645</v>
      </c>
      <c r="S72" s="0" t="s">
        <v>227</v>
      </c>
      <c r="T72" s="0" t="s">
        <v>227</v>
      </c>
      <c r="U72" s="0" t="s">
        <v>102</v>
      </c>
      <c r="V72" s="0" t="s">
        <v>227</v>
      </c>
      <c r="W72" s="0" t="s">
        <v>227</v>
      </c>
      <c r="X72" s="0" t="s">
        <v>5683</v>
      </c>
      <c r="Y72" s="0" t="s">
        <v>227</v>
      </c>
      <c r="Z72" s="0" t="s">
        <v>152</v>
      </c>
      <c r="AA72" s="0" t="s">
        <v>152</v>
      </c>
      <c r="AB72" s="0" t="s">
        <v>161</v>
      </c>
      <c r="AC72" s="0" t="s">
        <v>354</v>
      </c>
      <c r="AD72" s="0" t="s">
        <v>354</v>
      </c>
      <c r="AE72" s="0" t="s">
        <v>355</v>
      </c>
      <c r="AF72" s="0" t="s">
        <v>5684</v>
      </c>
      <c r="AG72" s="0" t="s">
        <v>5685</v>
      </c>
      <c r="AH72" s="0" t="s">
        <v>5925</v>
      </c>
      <c r="AI72" s="0" t="s">
        <v>5692</v>
      </c>
      <c r="AJ72" s="0" t="s">
        <v>227</v>
      </c>
      <c r="AK72" s="0" t="s">
        <v>227</v>
      </c>
      <c r="AL72" s="0" t="s">
        <v>227</v>
      </c>
      <c r="AM72" s="0" t="s">
        <v>227</v>
      </c>
      <c r="AN72" s="0" t="s">
        <v>227</v>
      </c>
      <c r="AO72" s="0" t="s">
        <v>227</v>
      </c>
      <c r="AP72" s="0" t="s">
        <v>227</v>
      </c>
      <c r="AQ72" s="0" t="s">
        <v>227</v>
      </c>
      <c r="AR72" s="0" t="s">
        <v>227</v>
      </c>
      <c r="AS72" s="0" t="s">
        <v>227</v>
      </c>
      <c r="AT72" s="0" t="s">
        <v>227</v>
      </c>
      <c r="AU72" s="0" t="s">
        <v>227</v>
      </c>
      <c r="AV72" s="0" t="s">
        <v>227</v>
      </c>
      <c r="AW72" s="0" t="s">
        <v>227</v>
      </c>
      <c r="AX72" s="0" t="s">
        <v>227</v>
      </c>
      <c r="AY72" s="0" t="s">
        <v>227</v>
      </c>
      <c r="AZ72" s="0" t="s">
        <v>227</v>
      </c>
      <c r="BA72" s="0" t="s">
        <v>227</v>
      </c>
      <c r="BB72" s="0" t="s">
        <v>227</v>
      </c>
      <c r="BC72" s="0" t="s">
        <v>227</v>
      </c>
      <c r="BD72" s="0" t="s">
        <v>227</v>
      </c>
      <c r="BE72" s="0" t="s">
        <v>5795</v>
      </c>
      <c r="BF72" s="0" t="s">
        <v>5757</v>
      </c>
      <c r="BG72" s="0" t="s">
        <v>112</v>
      </c>
      <c r="BH72" s="0" t="s">
        <v>5690</v>
      </c>
      <c r="BI72" s="0" t="s">
        <v>5691</v>
      </c>
      <c r="BJ72" s="0" t="s">
        <v>227</v>
      </c>
      <c r="BK72" s="0" t="s">
        <v>5692</v>
      </c>
      <c r="BL72" s="0" t="s">
        <v>354</v>
      </c>
      <c r="BM72" s="0" t="s">
        <v>354</v>
      </c>
      <c r="BN72" s="0" t="s">
        <v>5693</v>
      </c>
      <c r="BO72" s="0" t="s">
        <v>5684</v>
      </c>
      <c r="BP72" s="0" t="s">
        <v>5694</v>
      </c>
      <c r="BQ72" s="0" t="s">
        <v>5692</v>
      </c>
      <c r="BR72" s="0" t="s">
        <v>5692</v>
      </c>
      <c r="BS72" s="0" t="s">
        <v>227</v>
      </c>
      <c r="BT72" s="0" t="s">
        <v>5695</v>
      </c>
      <c r="BU72" s="0" t="s">
        <v>5926</v>
      </c>
      <c r="BV72" s="0" t="s">
        <v>5926</v>
      </c>
      <c r="BW72" s="0" t="s">
        <v>5697</v>
      </c>
      <c r="BX72" s="0" t="s">
        <v>5697</v>
      </c>
      <c r="BY72" s="0" t="s">
        <v>5697</v>
      </c>
      <c r="BZ72" s="0" t="s">
        <v>5697</v>
      </c>
      <c r="CA72" s="0" t="s">
        <v>5697</v>
      </c>
      <c r="CB72" s="0" t="s">
        <v>227</v>
      </c>
      <c r="CC72" s="0" t="s">
        <v>227</v>
      </c>
      <c r="CD72" s="0" t="s">
        <v>227</v>
      </c>
      <c r="CE72" s="0" t="s">
        <v>227</v>
      </c>
      <c r="CF72" s="0" t="s">
        <v>227</v>
      </c>
      <c r="CG72" s="0" t="s">
        <v>5697</v>
      </c>
      <c r="CH72" s="0" t="s">
        <v>227</v>
      </c>
      <c r="CI72" s="0" t="s">
        <v>227</v>
      </c>
      <c r="CJ72" s="0" t="s">
        <v>227</v>
      </c>
      <c r="CK72" s="0" t="s">
        <v>227</v>
      </c>
      <c r="CL72" s="0" t="s">
        <v>227</v>
      </c>
      <c r="CM72" s="0" t="s">
        <v>5926</v>
      </c>
      <c r="CN72" s="0" t="s">
        <v>5926</v>
      </c>
      <c r="CO72" s="0" t="s">
        <v>227</v>
      </c>
      <c r="CP72" s="0" t="s">
        <v>227</v>
      </c>
      <c r="CQ72" s="0" t="s">
        <v>227</v>
      </c>
      <c r="CR72" s="0" t="s">
        <v>227</v>
      </c>
      <c r="CS72" s="0" t="s">
        <v>5698</v>
      </c>
      <c r="CT72" s="0" t="s">
        <v>5679</v>
      </c>
      <c r="CU72" s="0" t="s">
        <v>5680</v>
      </c>
      <c r="CV72" s="0" t="s">
        <v>430</v>
      </c>
      <c r="CW72" s="0" t="s">
        <v>5699</v>
      </c>
      <c r="CX72" s="0" t="s">
        <v>431</v>
      </c>
      <c r="CY72" s="0" t="s">
        <v>430</v>
      </c>
      <c r="CZ72" s="0" t="s">
        <v>432</v>
      </c>
      <c r="DA72" s="0" t="s">
        <v>433</v>
      </c>
      <c r="DB72" s="0" t="s">
        <v>5700</v>
      </c>
      <c r="DC72" s="0" t="s">
        <v>373</v>
      </c>
      <c r="DD72" s="0" t="s">
        <v>277</v>
      </c>
      <c r="DE72" s="0" t="s">
        <v>646</v>
      </c>
    </row>
    <row customHeight="1" ht="11.25">
      <c r="A73" s="1806" t="s">
        <v>227</v>
      </c>
      <c r="B73" s="0" t="s">
        <v>227</v>
      </c>
      <c r="C73" s="0" t="s">
        <v>227</v>
      </c>
      <c r="D73" s="0" t="s">
        <v>227</v>
      </c>
      <c r="E73" s="0" t="s">
        <v>227</v>
      </c>
      <c r="F73" s="0" t="s">
        <v>227</v>
      </c>
      <c r="G73" s="0" t="s">
        <v>227</v>
      </c>
      <c r="H73" s="0" t="s">
        <v>227</v>
      </c>
      <c r="I73" s="0" t="s">
        <v>5667</v>
      </c>
      <c r="J73" s="0" t="s">
        <v>227</v>
      </c>
      <c r="K73" s="0" t="s">
        <v>227</v>
      </c>
      <c r="L73" s="0" t="s">
        <v>227</v>
      </c>
      <c r="M73" s="0" t="s">
        <v>227</v>
      </c>
      <c r="N73" s="0" t="s">
        <v>227</v>
      </c>
      <c r="O73" s="0" t="s">
        <v>227</v>
      </c>
      <c r="P73" s="0" t="s">
        <v>227</v>
      </c>
      <c r="Q73" s="0" t="s">
        <v>227</v>
      </c>
      <c r="R73" s="0" t="s">
        <v>437</v>
      </c>
      <c r="S73" s="0" t="s">
        <v>227</v>
      </c>
      <c r="T73" s="0" t="s">
        <v>227</v>
      </c>
      <c r="U73" s="0" t="s">
        <v>102</v>
      </c>
      <c r="V73" s="0" t="s">
        <v>227</v>
      </c>
      <c r="W73" s="0" t="s">
        <v>227</v>
      </c>
      <c r="X73" s="0" t="s">
        <v>5683</v>
      </c>
      <c r="Y73" s="0" t="s">
        <v>227</v>
      </c>
      <c r="Z73" s="0" t="s">
        <v>152</v>
      </c>
      <c r="AA73" s="0" t="s">
        <v>152</v>
      </c>
      <c r="AB73" s="0" t="s">
        <v>161</v>
      </c>
      <c r="AC73" s="0" t="s">
        <v>352</v>
      </c>
      <c r="AD73" s="0" t="s">
        <v>352</v>
      </c>
      <c r="AE73" s="0" t="s">
        <v>353</v>
      </c>
      <c r="AF73" s="0" t="s">
        <v>5669</v>
      </c>
      <c r="AG73" s="0" t="s">
        <v>5670</v>
      </c>
      <c r="AH73" s="0" t="s">
        <v>352</v>
      </c>
      <c r="AI73" s="0" t="s">
        <v>276</v>
      </c>
      <c r="AJ73" s="0" t="s">
        <v>227</v>
      </c>
      <c r="AK73" s="0" t="s">
        <v>227</v>
      </c>
      <c r="AL73" s="0" t="s">
        <v>227</v>
      </c>
      <c r="AM73" s="0" t="s">
        <v>227</v>
      </c>
      <c r="AN73" s="0" t="s">
        <v>227</v>
      </c>
      <c r="AO73" s="0" t="s">
        <v>227</v>
      </c>
      <c r="AP73" s="0" t="s">
        <v>227</v>
      </c>
      <c r="AQ73" s="0" t="s">
        <v>227</v>
      </c>
      <c r="AR73" s="0" t="s">
        <v>227</v>
      </c>
      <c r="AS73" s="0" t="s">
        <v>227</v>
      </c>
      <c r="AT73" s="0" t="s">
        <v>227</v>
      </c>
      <c r="AU73" s="0" t="s">
        <v>227</v>
      </c>
      <c r="AV73" s="0" t="s">
        <v>227</v>
      </c>
      <c r="AW73" s="0" t="s">
        <v>227</v>
      </c>
      <c r="AX73" s="0" t="s">
        <v>227</v>
      </c>
      <c r="AY73" s="0" t="s">
        <v>227</v>
      </c>
      <c r="AZ73" s="0" t="s">
        <v>227</v>
      </c>
      <c r="BA73" s="0" t="s">
        <v>227</v>
      </c>
      <c r="BB73" s="0" t="s">
        <v>227</v>
      </c>
      <c r="BC73" s="0" t="s">
        <v>227</v>
      </c>
      <c r="BD73" s="0" t="s">
        <v>227</v>
      </c>
      <c r="BE73" s="0" t="s">
        <v>5833</v>
      </c>
      <c r="BF73" s="0" t="s">
        <v>5834</v>
      </c>
      <c r="BG73" s="0" t="s">
        <v>112</v>
      </c>
      <c r="BH73" s="0" t="s">
        <v>5690</v>
      </c>
      <c r="BI73" s="0" t="s">
        <v>5691</v>
      </c>
      <c r="BJ73" s="0" t="s">
        <v>227</v>
      </c>
      <c r="BK73" s="0" t="s">
        <v>5692</v>
      </c>
      <c r="BL73" s="0" t="s">
        <v>352</v>
      </c>
      <c r="BM73" s="0" t="s">
        <v>352</v>
      </c>
      <c r="BN73" s="0" t="s">
        <v>5786</v>
      </c>
      <c r="BO73" s="0" t="s">
        <v>5669</v>
      </c>
      <c r="BP73" s="0" t="s">
        <v>5787</v>
      </c>
      <c r="BQ73" s="0" t="s">
        <v>5927</v>
      </c>
      <c r="BR73" s="0" t="s">
        <v>5692</v>
      </c>
      <c r="BS73" s="0" t="s">
        <v>227</v>
      </c>
      <c r="BT73" s="0" t="s">
        <v>5709</v>
      </c>
      <c r="BU73" s="0" t="s">
        <v>5928</v>
      </c>
      <c r="BV73" s="0" t="s">
        <v>5929</v>
      </c>
      <c r="BW73" s="0" t="s">
        <v>5930</v>
      </c>
      <c r="BX73" s="0" t="s">
        <v>5931</v>
      </c>
      <c r="BY73" s="0" t="s">
        <v>5932</v>
      </c>
      <c r="BZ73" s="0" t="s">
        <v>5697</v>
      </c>
      <c r="CA73" s="0" t="s">
        <v>5697</v>
      </c>
      <c r="CB73" s="0" t="s">
        <v>227</v>
      </c>
      <c r="CC73" s="0" t="s">
        <v>227</v>
      </c>
      <c r="CD73" s="0" t="s">
        <v>227</v>
      </c>
      <c r="CE73" s="0" t="s">
        <v>227</v>
      </c>
      <c r="CF73" s="0" t="s">
        <v>227</v>
      </c>
      <c r="CG73" s="0" t="s">
        <v>5697</v>
      </c>
      <c r="CH73" s="0" t="s">
        <v>227</v>
      </c>
      <c r="CI73" s="0" t="s">
        <v>227</v>
      </c>
      <c r="CJ73" s="0" t="s">
        <v>227</v>
      </c>
      <c r="CK73" s="0" t="s">
        <v>227</v>
      </c>
      <c r="CL73" s="0" t="s">
        <v>227</v>
      </c>
      <c r="CM73" s="0" t="s">
        <v>5928</v>
      </c>
      <c r="CN73" s="0" t="s">
        <v>5929</v>
      </c>
      <c r="CO73" s="0" t="s">
        <v>5930</v>
      </c>
      <c r="CP73" s="0" t="s">
        <v>5931</v>
      </c>
      <c r="CQ73" s="0" t="s">
        <v>5932</v>
      </c>
      <c r="CR73" s="0" t="s">
        <v>227</v>
      </c>
      <c r="CS73" s="0" t="s">
        <v>5759</v>
      </c>
      <c r="CT73" s="0" t="s">
        <v>5679</v>
      </c>
      <c r="CU73" s="0" t="s">
        <v>5680</v>
      </c>
      <c r="CV73" s="0" t="s">
        <v>430</v>
      </c>
      <c r="CW73" s="0" t="s">
        <v>5681</v>
      </c>
      <c r="CX73" s="0" t="s">
        <v>431</v>
      </c>
      <c r="CY73" s="0" t="s">
        <v>430</v>
      </c>
      <c r="CZ73" s="0" t="s">
        <v>432</v>
      </c>
      <c r="DA73" s="0" t="s">
        <v>433</v>
      </c>
      <c r="DB73" s="0" t="s">
        <v>5682</v>
      </c>
      <c r="DC73" s="0" t="s">
        <v>373</v>
      </c>
      <c r="DD73" s="0" t="s">
        <v>277</v>
      </c>
      <c r="DE73" s="0" t="s">
        <v>438</v>
      </c>
    </row>
    <row customHeight="1" ht="11.25">
      <c r="A74" s="1806" t="s">
        <v>227</v>
      </c>
      <c r="B74" s="0" t="s">
        <v>227</v>
      </c>
      <c r="C74" s="0" t="s">
        <v>227</v>
      </c>
      <c r="D74" s="0" t="s">
        <v>227</v>
      </c>
      <c r="E74" s="0" t="s">
        <v>227</v>
      </c>
      <c r="F74" s="0" t="s">
        <v>227</v>
      </c>
      <c r="G74" s="0" t="s">
        <v>227</v>
      </c>
      <c r="H74" s="0" t="s">
        <v>227</v>
      </c>
      <c r="I74" s="0" t="s">
        <v>5667</v>
      </c>
      <c r="J74" s="0" t="s">
        <v>227</v>
      </c>
      <c r="K74" s="0" t="s">
        <v>227</v>
      </c>
      <c r="L74" s="0" t="s">
        <v>227</v>
      </c>
      <c r="M74" s="0" t="s">
        <v>227</v>
      </c>
      <c r="N74" s="0" t="s">
        <v>227</v>
      </c>
      <c r="O74" s="0" t="s">
        <v>227</v>
      </c>
      <c r="P74" s="0" t="s">
        <v>227</v>
      </c>
      <c r="Q74" s="0" t="s">
        <v>227</v>
      </c>
      <c r="R74" s="0" t="s">
        <v>468</v>
      </c>
      <c r="S74" s="0" t="s">
        <v>227</v>
      </c>
      <c r="T74" s="0" t="s">
        <v>227</v>
      </c>
      <c r="U74" s="0" t="s">
        <v>102</v>
      </c>
      <c r="V74" s="0" t="s">
        <v>227</v>
      </c>
      <c r="W74" s="0" t="s">
        <v>227</v>
      </c>
      <c r="X74" s="0" t="s">
        <v>5683</v>
      </c>
      <c r="Y74" s="0" t="s">
        <v>227</v>
      </c>
      <c r="Z74" s="0" t="s">
        <v>152</v>
      </c>
      <c r="AA74" s="0" t="s">
        <v>152</v>
      </c>
      <c r="AB74" s="0" t="s">
        <v>161</v>
      </c>
      <c r="AC74" s="0" t="s">
        <v>352</v>
      </c>
      <c r="AD74" s="0" t="s">
        <v>352</v>
      </c>
      <c r="AE74" s="0" t="s">
        <v>353</v>
      </c>
      <c r="AF74" s="0" t="s">
        <v>5734</v>
      </c>
      <c r="AG74" s="0" t="s">
        <v>5735</v>
      </c>
      <c r="AH74" s="0" t="s">
        <v>5933</v>
      </c>
      <c r="AI74" s="0" t="s">
        <v>276</v>
      </c>
      <c r="AJ74" s="0" t="s">
        <v>227</v>
      </c>
      <c r="AK74" s="0" t="s">
        <v>227</v>
      </c>
      <c r="AL74" s="0" t="s">
        <v>227</v>
      </c>
      <c r="AM74" s="0" t="s">
        <v>227</v>
      </c>
      <c r="AN74" s="0" t="s">
        <v>227</v>
      </c>
      <c r="AO74" s="0" t="s">
        <v>227</v>
      </c>
      <c r="AP74" s="0" t="s">
        <v>227</v>
      </c>
      <c r="AQ74" s="0" t="s">
        <v>227</v>
      </c>
      <c r="AR74" s="0" t="s">
        <v>227</v>
      </c>
      <c r="AS74" s="0" t="s">
        <v>227</v>
      </c>
      <c r="AT74" s="0" t="s">
        <v>227</v>
      </c>
      <c r="AU74" s="0" t="s">
        <v>227</v>
      </c>
      <c r="AV74" s="0" t="s">
        <v>227</v>
      </c>
      <c r="AW74" s="0" t="s">
        <v>227</v>
      </c>
      <c r="AX74" s="0" t="s">
        <v>227</v>
      </c>
      <c r="AY74" s="0" t="s">
        <v>227</v>
      </c>
      <c r="AZ74" s="0" t="s">
        <v>227</v>
      </c>
      <c r="BA74" s="0" t="s">
        <v>227</v>
      </c>
      <c r="BB74" s="0" t="s">
        <v>227</v>
      </c>
      <c r="BC74" s="0" t="s">
        <v>227</v>
      </c>
      <c r="BD74" s="0" t="s">
        <v>227</v>
      </c>
      <c r="BE74" s="0" t="s">
        <v>5934</v>
      </c>
      <c r="BF74" s="0" t="s">
        <v>5935</v>
      </c>
      <c r="BG74" s="0" t="s">
        <v>112</v>
      </c>
      <c r="BH74" s="0" t="s">
        <v>5690</v>
      </c>
      <c r="BI74" s="0" t="s">
        <v>5691</v>
      </c>
      <c r="BJ74" s="0" t="s">
        <v>227</v>
      </c>
      <c r="BK74" s="0" t="s">
        <v>5692</v>
      </c>
      <c r="BL74" s="0" t="s">
        <v>352</v>
      </c>
      <c r="BM74" s="0" t="s">
        <v>352</v>
      </c>
      <c r="BN74" s="0" t="s">
        <v>5786</v>
      </c>
      <c r="BO74" s="0" t="s">
        <v>5734</v>
      </c>
      <c r="BP74" s="0" t="s">
        <v>5936</v>
      </c>
      <c r="BQ74" s="0" t="s">
        <v>5734</v>
      </c>
      <c r="BR74" s="0" t="s">
        <v>5692</v>
      </c>
      <c r="BS74" s="0" t="s">
        <v>227</v>
      </c>
      <c r="BT74" s="0" t="s">
        <v>5709</v>
      </c>
      <c r="BU74" s="0" t="s">
        <v>5937</v>
      </c>
      <c r="BV74" s="0" t="s">
        <v>5937</v>
      </c>
      <c r="BW74" s="0" t="s">
        <v>5697</v>
      </c>
      <c r="BX74" s="0" t="s">
        <v>5697</v>
      </c>
      <c r="BY74" s="0" t="s">
        <v>5697</v>
      </c>
      <c r="BZ74" s="0" t="s">
        <v>5697</v>
      </c>
      <c r="CA74" s="0" t="s">
        <v>5697</v>
      </c>
      <c r="CB74" s="0" t="s">
        <v>227</v>
      </c>
      <c r="CC74" s="0" t="s">
        <v>227</v>
      </c>
      <c r="CD74" s="0" t="s">
        <v>227</v>
      </c>
      <c r="CE74" s="0" t="s">
        <v>227</v>
      </c>
      <c r="CF74" s="0" t="s">
        <v>227</v>
      </c>
      <c r="CG74" s="0" t="s">
        <v>5697</v>
      </c>
      <c r="CH74" s="0" t="s">
        <v>227</v>
      </c>
      <c r="CI74" s="0" t="s">
        <v>227</v>
      </c>
      <c r="CJ74" s="0" t="s">
        <v>227</v>
      </c>
      <c r="CK74" s="0" t="s">
        <v>227</v>
      </c>
      <c r="CL74" s="0" t="s">
        <v>227</v>
      </c>
      <c r="CM74" s="0" t="s">
        <v>5937</v>
      </c>
      <c r="CN74" s="0" t="s">
        <v>5937</v>
      </c>
      <c r="CO74" s="0" t="s">
        <v>227</v>
      </c>
      <c r="CP74" s="0" t="s">
        <v>227</v>
      </c>
      <c r="CQ74" s="0" t="s">
        <v>227</v>
      </c>
      <c r="CR74" s="0" t="s">
        <v>227</v>
      </c>
      <c r="CS74" s="0" t="s">
        <v>5759</v>
      </c>
      <c r="CT74" s="0" t="s">
        <v>5679</v>
      </c>
      <c r="CU74" s="0" t="s">
        <v>5680</v>
      </c>
      <c r="CV74" s="0" t="s">
        <v>430</v>
      </c>
      <c r="CW74" s="0" t="s">
        <v>5681</v>
      </c>
      <c r="CX74" s="0" t="s">
        <v>431</v>
      </c>
      <c r="CY74" s="0" t="s">
        <v>430</v>
      </c>
      <c r="CZ74" s="0" t="s">
        <v>432</v>
      </c>
      <c r="DA74" s="0" t="s">
        <v>433</v>
      </c>
      <c r="DB74" s="0" t="s">
        <v>5682</v>
      </c>
      <c r="DC74" s="0" t="s">
        <v>373</v>
      </c>
      <c r="DD74" s="0" t="s">
        <v>277</v>
      </c>
      <c r="DE74" s="0" t="s">
        <v>469</v>
      </c>
    </row>
    <row customHeight="1" ht="11.25">
      <c r="A75" s="1806" t="s">
        <v>227</v>
      </c>
      <c r="B75" s="0" t="s">
        <v>227</v>
      </c>
      <c r="C75" s="0" t="s">
        <v>227</v>
      </c>
      <c r="D75" s="0" t="s">
        <v>227</v>
      </c>
      <c r="E75" s="0" t="s">
        <v>227</v>
      </c>
      <c r="F75" s="0" t="s">
        <v>227</v>
      </c>
      <c r="G75" s="0" t="s">
        <v>227</v>
      </c>
      <c r="H75" s="0" t="s">
        <v>227</v>
      </c>
      <c r="I75" s="0" t="s">
        <v>5667</v>
      </c>
      <c r="J75" s="0" t="s">
        <v>227</v>
      </c>
      <c r="K75" s="0" t="s">
        <v>227</v>
      </c>
      <c r="L75" s="0" t="s">
        <v>227</v>
      </c>
      <c r="M75" s="0" t="s">
        <v>227</v>
      </c>
      <c r="N75" s="0" t="s">
        <v>227</v>
      </c>
      <c r="O75" s="0" t="s">
        <v>227</v>
      </c>
      <c r="P75" s="0" t="s">
        <v>227</v>
      </c>
      <c r="Q75" s="0" t="s">
        <v>227</v>
      </c>
      <c r="R75" s="0" t="s">
        <v>913</v>
      </c>
      <c r="S75" s="0" t="s">
        <v>227</v>
      </c>
      <c r="T75" s="0" t="s">
        <v>227</v>
      </c>
      <c r="U75" s="0" t="s">
        <v>102</v>
      </c>
      <c r="V75" s="0" t="s">
        <v>227</v>
      </c>
      <c r="W75" s="0" t="s">
        <v>227</v>
      </c>
      <c r="X75" s="0" t="s">
        <v>5683</v>
      </c>
      <c r="Y75" s="0" t="s">
        <v>227</v>
      </c>
      <c r="Z75" s="0" t="s">
        <v>152</v>
      </c>
      <c r="AA75" s="0" t="s">
        <v>152</v>
      </c>
      <c r="AB75" s="0" t="s">
        <v>161</v>
      </c>
      <c r="AC75" s="0" t="s">
        <v>354</v>
      </c>
      <c r="AD75" s="0" t="s">
        <v>354</v>
      </c>
      <c r="AE75" s="0" t="s">
        <v>355</v>
      </c>
      <c r="AF75" s="0" t="s">
        <v>5701</v>
      </c>
      <c r="AG75" s="0" t="s">
        <v>5702</v>
      </c>
      <c r="AH75" s="0" t="s">
        <v>5938</v>
      </c>
      <c r="AI75" s="0" t="s">
        <v>5939</v>
      </c>
      <c r="AJ75" s="0" t="s">
        <v>227</v>
      </c>
      <c r="AK75" s="0" t="s">
        <v>227</v>
      </c>
      <c r="AL75" s="0" t="s">
        <v>227</v>
      </c>
      <c r="AM75" s="0" t="s">
        <v>227</v>
      </c>
      <c r="AN75" s="0" t="s">
        <v>227</v>
      </c>
      <c r="AO75" s="0" t="s">
        <v>227</v>
      </c>
      <c r="AP75" s="0" t="s">
        <v>227</v>
      </c>
      <c r="AQ75" s="0" t="s">
        <v>227</v>
      </c>
      <c r="AR75" s="0" t="s">
        <v>227</v>
      </c>
      <c r="AS75" s="0" t="s">
        <v>227</v>
      </c>
      <c r="AT75" s="0" t="s">
        <v>227</v>
      </c>
      <c r="AU75" s="0" t="s">
        <v>227</v>
      </c>
      <c r="AV75" s="0" t="s">
        <v>227</v>
      </c>
      <c r="AW75" s="0" t="s">
        <v>227</v>
      </c>
      <c r="AX75" s="0" t="s">
        <v>227</v>
      </c>
      <c r="AY75" s="0" t="s">
        <v>227</v>
      </c>
      <c r="AZ75" s="0" t="s">
        <v>227</v>
      </c>
      <c r="BA75" s="0" t="s">
        <v>227</v>
      </c>
      <c r="BB75" s="0" t="s">
        <v>227</v>
      </c>
      <c r="BC75" s="0" t="s">
        <v>227</v>
      </c>
      <c r="BD75" s="0" t="s">
        <v>227</v>
      </c>
      <c r="BE75" s="0" t="s">
        <v>5704</v>
      </c>
      <c r="BF75" s="0" t="s">
        <v>5940</v>
      </c>
      <c r="BG75" s="0" t="s">
        <v>112</v>
      </c>
      <c r="BH75" s="0" t="s">
        <v>5690</v>
      </c>
      <c r="BI75" s="0" t="s">
        <v>5691</v>
      </c>
      <c r="BJ75" s="0" t="s">
        <v>227</v>
      </c>
      <c r="BK75" s="0" t="s">
        <v>952</v>
      </c>
      <c r="BL75" s="0" t="s">
        <v>354</v>
      </c>
      <c r="BM75" s="0" t="s">
        <v>354</v>
      </c>
      <c r="BN75" s="0" t="s">
        <v>5693</v>
      </c>
      <c r="BO75" s="0" t="s">
        <v>5701</v>
      </c>
      <c r="BP75" s="0" t="s">
        <v>5706</v>
      </c>
      <c r="BQ75" s="0" t="s">
        <v>5707</v>
      </c>
      <c r="BR75" s="0" t="s">
        <v>5708</v>
      </c>
      <c r="BS75" s="0" t="s">
        <v>227</v>
      </c>
      <c r="BT75" s="0" t="s">
        <v>5695</v>
      </c>
      <c r="BU75" s="0" t="s">
        <v>5941</v>
      </c>
      <c r="BV75" s="0" t="s">
        <v>5941</v>
      </c>
      <c r="BW75" s="0" t="s">
        <v>5697</v>
      </c>
      <c r="BX75" s="0" t="s">
        <v>5697</v>
      </c>
      <c r="BY75" s="0" t="s">
        <v>5697</v>
      </c>
      <c r="BZ75" s="0" t="s">
        <v>5697</v>
      </c>
      <c r="CA75" s="0" t="s">
        <v>5697</v>
      </c>
      <c r="CB75" s="0" t="s">
        <v>227</v>
      </c>
      <c r="CC75" s="0" t="s">
        <v>227</v>
      </c>
      <c r="CD75" s="0" t="s">
        <v>227</v>
      </c>
      <c r="CE75" s="0" t="s">
        <v>227</v>
      </c>
      <c r="CF75" s="0" t="s">
        <v>227</v>
      </c>
      <c r="CG75" s="0" t="s">
        <v>5697</v>
      </c>
      <c r="CH75" s="0" t="s">
        <v>227</v>
      </c>
      <c r="CI75" s="0" t="s">
        <v>227</v>
      </c>
      <c r="CJ75" s="0" t="s">
        <v>227</v>
      </c>
      <c r="CK75" s="0" t="s">
        <v>227</v>
      </c>
      <c r="CL75" s="0" t="s">
        <v>227</v>
      </c>
      <c r="CM75" s="0" t="s">
        <v>5941</v>
      </c>
      <c r="CN75" s="0" t="s">
        <v>5941</v>
      </c>
      <c r="CO75" s="0" t="s">
        <v>227</v>
      </c>
      <c r="CP75" s="0" t="s">
        <v>227</v>
      </c>
      <c r="CQ75" s="0" t="s">
        <v>227</v>
      </c>
      <c r="CR75" s="0" t="s">
        <v>227</v>
      </c>
      <c r="CS75" s="0" t="s">
        <v>5698</v>
      </c>
      <c r="CT75" s="0" t="s">
        <v>5679</v>
      </c>
      <c r="CU75" s="0" t="s">
        <v>5680</v>
      </c>
      <c r="CV75" s="0" t="s">
        <v>430</v>
      </c>
      <c r="CW75" s="0" t="s">
        <v>5699</v>
      </c>
      <c r="CX75" s="0" t="s">
        <v>431</v>
      </c>
      <c r="CY75" s="0" t="s">
        <v>430</v>
      </c>
      <c r="CZ75" s="0" t="s">
        <v>432</v>
      </c>
      <c r="DA75" s="0" t="s">
        <v>433</v>
      </c>
      <c r="DB75" s="0" t="s">
        <v>5700</v>
      </c>
      <c r="DC75" s="0" t="s">
        <v>373</v>
      </c>
      <c r="DD75" s="0" t="s">
        <v>277</v>
      </c>
      <c r="DE75" s="0" t="s">
        <v>914</v>
      </c>
    </row>
    <row customHeight="1" ht="11.25">
      <c r="A76" s="1806" t="s">
        <v>227</v>
      </c>
      <c r="B76" s="0" t="s">
        <v>227</v>
      </c>
      <c r="C76" s="0" t="s">
        <v>227</v>
      </c>
      <c r="D76" s="0" t="s">
        <v>227</v>
      </c>
      <c r="E76" s="0" t="s">
        <v>227</v>
      </c>
      <c r="F76" s="0" t="s">
        <v>227</v>
      </c>
      <c r="G76" s="0" t="s">
        <v>227</v>
      </c>
      <c r="H76" s="0" t="s">
        <v>227</v>
      </c>
      <c r="I76" s="0" t="s">
        <v>5667</v>
      </c>
      <c r="J76" s="0" t="s">
        <v>227</v>
      </c>
      <c r="K76" s="0" t="s">
        <v>227</v>
      </c>
      <c r="L76" s="0" t="s">
        <v>227</v>
      </c>
      <c r="M76" s="0" t="s">
        <v>227</v>
      </c>
      <c r="N76" s="0" t="s">
        <v>227</v>
      </c>
      <c r="O76" s="0" t="s">
        <v>227</v>
      </c>
      <c r="P76" s="0" t="s">
        <v>227</v>
      </c>
      <c r="Q76" s="0" t="s">
        <v>227</v>
      </c>
      <c r="R76" s="0" t="s">
        <v>879</v>
      </c>
      <c r="S76" s="0" t="s">
        <v>227</v>
      </c>
      <c r="T76" s="0" t="s">
        <v>227</v>
      </c>
      <c r="U76" s="0" t="s">
        <v>102</v>
      </c>
      <c r="V76" s="0" t="s">
        <v>227</v>
      </c>
      <c r="W76" s="0" t="s">
        <v>227</v>
      </c>
      <c r="X76" s="0" t="s">
        <v>5683</v>
      </c>
      <c r="Y76" s="0" t="s">
        <v>227</v>
      </c>
      <c r="Z76" s="0" t="s">
        <v>152</v>
      </c>
      <c r="AA76" s="0" t="s">
        <v>152</v>
      </c>
      <c r="AB76" s="0" t="s">
        <v>161</v>
      </c>
      <c r="AC76" s="0" t="s">
        <v>354</v>
      </c>
      <c r="AD76" s="0" t="s">
        <v>354</v>
      </c>
      <c r="AE76" s="0" t="s">
        <v>355</v>
      </c>
      <c r="AF76" s="0" t="s">
        <v>5701</v>
      </c>
      <c r="AG76" s="0" t="s">
        <v>5702</v>
      </c>
      <c r="AH76" s="0" t="s">
        <v>5942</v>
      </c>
      <c r="AI76" s="0" t="s">
        <v>5852</v>
      </c>
      <c r="AJ76" s="0" t="s">
        <v>227</v>
      </c>
      <c r="AK76" s="0" t="s">
        <v>227</v>
      </c>
      <c r="AL76" s="0" t="s">
        <v>227</v>
      </c>
      <c r="AM76" s="0" t="s">
        <v>227</v>
      </c>
      <c r="AN76" s="0" t="s">
        <v>227</v>
      </c>
      <c r="AO76" s="0" t="s">
        <v>227</v>
      </c>
      <c r="AP76" s="0" t="s">
        <v>227</v>
      </c>
      <c r="AQ76" s="0" t="s">
        <v>227</v>
      </c>
      <c r="AR76" s="0" t="s">
        <v>227</v>
      </c>
      <c r="AS76" s="0" t="s">
        <v>227</v>
      </c>
      <c r="AT76" s="0" t="s">
        <v>227</v>
      </c>
      <c r="AU76" s="0" t="s">
        <v>227</v>
      </c>
      <c r="AV76" s="0" t="s">
        <v>227</v>
      </c>
      <c r="AW76" s="0" t="s">
        <v>227</v>
      </c>
      <c r="AX76" s="0" t="s">
        <v>227</v>
      </c>
      <c r="AY76" s="0" t="s">
        <v>227</v>
      </c>
      <c r="AZ76" s="0" t="s">
        <v>227</v>
      </c>
      <c r="BA76" s="0" t="s">
        <v>227</v>
      </c>
      <c r="BB76" s="0" t="s">
        <v>227</v>
      </c>
      <c r="BC76" s="0" t="s">
        <v>227</v>
      </c>
      <c r="BD76" s="0" t="s">
        <v>227</v>
      </c>
      <c r="BE76" s="0" t="s">
        <v>5768</v>
      </c>
      <c r="BF76" s="0" t="s">
        <v>5795</v>
      </c>
      <c r="BG76" s="0" t="s">
        <v>112</v>
      </c>
      <c r="BH76" s="0" t="s">
        <v>5690</v>
      </c>
      <c r="BI76" s="0" t="s">
        <v>5691</v>
      </c>
      <c r="BJ76" s="0" t="s">
        <v>227</v>
      </c>
      <c r="BK76" s="0" t="s">
        <v>952</v>
      </c>
      <c r="BL76" s="0" t="s">
        <v>354</v>
      </c>
      <c r="BM76" s="0" t="s">
        <v>354</v>
      </c>
      <c r="BN76" s="0" t="s">
        <v>5693</v>
      </c>
      <c r="BO76" s="0" t="s">
        <v>5701</v>
      </c>
      <c r="BP76" s="0" t="s">
        <v>5706</v>
      </c>
      <c r="BQ76" s="0" t="s">
        <v>5707</v>
      </c>
      <c r="BR76" s="0" t="s">
        <v>5708</v>
      </c>
      <c r="BS76" s="0" t="s">
        <v>227</v>
      </c>
      <c r="BT76" s="0" t="s">
        <v>5695</v>
      </c>
      <c r="BU76" s="0" t="s">
        <v>5943</v>
      </c>
      <c r="BV76" s="0" t="s">
        <v>5943</v>
      </c>
      <c r="BW76" s="0" t="s">
        <v>5697</v>
      </c>
      <c r="BX76" s="0" t="s">
        <v>5697</v>
      </c>
      <c r="BY76" s="0" t="s">
        <v>5697</v>
      </c>
      <c r="BZ76" s="0" t="s">
        <v>5697</v>
      </c>
      <c r="CA76" s="0" t="s">
        <v>5697</v>
      </c>
      <c r="CB76" s="0" t="s">
        <v>227</v>
      </c>
      <c r="CC76" s="0" t="s">
        <v>227</v>
      </c>
      <c r="CD76" s="0" t="s">
        <v>227</v>
      </c>
      <c r="CE76" s="0" t="s">
        <v>227</v>
      </c>
      <c r="CF76" s="0" t="s">
        <v>227</v>
      </c>
      <c r="CG76" s="0" t="s">
        <v>5697</v>
      </c>
      <c r="CH76" s="0" t="s">
        <v>227</v>
      </c>
      <c r="CI76" s="0" t="s">
        <v>227</v>
      </c>
      <c r="CJ76" s="0" t="s">
        <v>227</v>
      </c>
      <c r="CK76" s="0" t="s">
        <v>227</v>
      </c>
      <c r="CL76" s="0" t="s">
        <v>227</v>
      </c>
      <c r="CM76" s="0" t="s">
        <v>5943</v>
      </c>
      <c r="CN76" s="0" t="s">
        <v>5943</v>
      </c>
      <c r="CO76" s="0" t="s">
        <v>227</v>
      </c>
      <c r="CP76" s="0" t="s">
        <v>227</v>
      </c>
      <c r="CQ76" s="0" t="s">
        <v>227</v>
      </c>
      <c r="CR76" s="0" t="s">
        <v>227</v>
      </c>
      <c r="CS76" s="0" t="s">
        <v>5773</v>
      </c>
      <c r="CT76" s="0" t="s">
        <v>5679</v>
      </c>
      <c r="CU76" s="0" t="s">
        <v>5680</v>
      </c>
      <c r="CV76" s="0" t="s">
        <v>430</v>
      </c>
      <c r="CW76" s="0" t="s">
        <v>5699</v>
      </c>
      <c r="CX76" s="0" t="s">
        <v>431</v>
      </c>
      <c r="CY76" s="0" t="s">
        <v>430</v>
      </c>
      <c r="CZ76" s="0" t="s">
        <v>432</v>
      </c>
      <c r="DA76" s="0" t="s">
        <v>433</v>
      </c>
      <c r="DB76" s="0" t="s">
        <v>5700</v>
      </c>
      <c r="DC76" s="0" t="s">
        <v>373</v>
      </c>
      <c r="DD76" s="0" t="s">
        <v>277</v>
      </c>
      <c r="DE76" s="0" t="s">
        <v>880</v>
      </c>
    </row>
    <row customHeight="1" ht="11.25">
      <c r="A77" s="1806" t="s">
        <v>227</v>
      </c>
      <c r="B77" s="0" t="s">
        <v>227</v>
      </c>
      <c r="C77" s="0" t="s">
        <v>227</v>
      </c>
      <c r="D77" s="0" t="s">
        <v>227</v>
      </c>
      <c r="E77" s="0" t="s">
        <v>227</v>
      </c>
      <c r="F77" s="0" t="s">
        <v>227</v>
      </c>
      <c r="G77" s="0" t="s">
        <v>227</v>
      </c>
      <c r="H77" s="0" t="s">
        <v>227</v>
      </c>
      <c r="I77" s="0" t="s">
        <v>5667</v>
      </c>
      <c r="J77" s="0" t="s">
        <v>227</v>
      </c>
      <c r="K77" s="0" t="s">
        <v>227</v>
      </c>
      <c r="L77" s="0" t="s">
        <v>227</v>
      </c>
      <c r="M77" s="0" t="s">
        <v>227</v>
      </c>
      <c r="N77" s="0" t="s">
        <v>227</v>
      </c>
      <c r="O77" s="0" t="s">
        <v>227</v>
      </c>
      <c r="P77" s="0" t="s">
        <v>227</v>
      </c>
      <c r="Q77" s="0" t="s">
        <v>227</v>
      </c>
      <c r="R77" s="0" t="s">
        <v>609</v>
      </c>
      <c r="S77" s="0" t="s">
        <v>227</v>
      </c>
      <c r="T77" s="0" t="s">
        <v>227</v>
      </c>
      <c r="U77" s="0" t="s">
        <v>102</v>
      </c>
      <c r="V77" s="0" t="s">
        <v>227</v>
      </c>
      <c r="W77" s="0" t="s">
        <v>227</v>
      </c>
      <c r="X77" s="0" t="s">
        <v>5683</v>
      </c>
      <c r="Y77" s="0" t="s">
        <v>227</v>
      </c>
      <c r="Z77" s="0" t="s">
        <v>152</v>
      </c>
      <c r="AA77" s="0" t="s">
        <v>152</v>
      </c>
      <c r="AB77" s="0" t="s">
        <v>161</v>
      </c>
      <c r="AC77" s="0" t="s">
        <v>354</v>
      </c>
      <c r="AD77" s="0" t="s">
        <v>354</v>
      </c>
      <c r="AE77" s="0" t="s">
        <v>355</v>
      </c>
      <c r="AF77" s="0" t="s">
        <v>5684</v>
      </c>
      <c r="AG77" s="0" t="s">
        <v>5685</v>
      </c>
      <c r="AH77" s="0" t="s">
        <v>5809</v>
      </c>
      <c r="AI77" s="0" t="s">
        <v>5944</v>
      </c>
      <c r="AJ77" s="0" t="s">
        <v>227</v>
      </c>
      <c r="AK77" s="0" t="s">
        <v>227</v>
      </c>
      <c r="AL77" s="0" t="s">
        <v>227</v>
      </c>
      <c r="AM77" s="0" t="s">
        <v>227</v>
      </c>
      <c r="AN77" s="0" t="s">
        <v>227</v>
      </c>
      <c r="AO77" s="0" t="s">
        <v>227</v>
      </c>
      <c r="AP77" s="0" t="s">
        <v>227</v>
      </c>
      <c r="AQ77" s="0" t="s">
        <v>227</v>
      </c>
      <c r="AR77" s="0" t="s">
        <v>227</v>
      </c>
      <c r="AS77" s="0" t="s">
        <v>227</v>
      </c>
      <c r="AT77" s="0" t="s">
        <v>227</v>
      </c>
      <c r="AU77" s="0" t="s">
        <v>227</v>
      </c>
      <c r="AV77" s="0" t="s">
        <v>227</v>
      </c>
      <c r="AW77" s="0" t="s">
        <v>227</v>
      </c>
      <c r="AX77" s="0" t="s">
        <v>227</v>
      </c>
      <c r="AY77" s="0" t="s">
        <v>227</v>
      </c>
      <c r="AZ77" s="0" t="s">
        <v>227</v>
      </c>
      <c r="BA77" s="0" t="s">
        <v>227</v>
      </c>
      <c r="BB77" s="0" t="s">
        <v>227</v>
      </c>
      <c r="BC77" s="0" t="s">
        <v>227</v>
      </c>
      <c r="BD77" s="0" t="s">
        <v>227</v>
      </c>
      <c r="BE77" s="0" t="s">
        <v>5743</v>
      </c>
      <c r="BF77" s="0" t="s">
        <v>5945</v>
      </c>
      <c r="BG77" s="0" t="s">
        <v>112</v>
      </c>
      <c r="BH77" s="0" t="s">
        <v>5690</v>
      </c>
      <c r="BI77" s="0" t="s">
        <v>5691</v>
      </c>
      <c r="BJ77" s="0" t="s">
        <v>227</v>
      </c>
      <c r="BK77" s="0" t="s">
        <v>5692</v>
      </c>
      <c r="BL77" s="0" t="s">
        <v>354</v>
      </c>
      <c r="BM77" s="0" t="s">
        <v>354</v>
      </c>
      <c r="BN77" s="0" t="s">
        <v>5693</v>
      </c>
      <c r="BO77" s="0" t="s">
        <v>5684</v>
      </c>
      <c r="BP77" s="0" t="s">
        <v>5694</v>
      </c>
      <c r="BQ77" s="0" t="s">
        <v>5692</v>
      </c>
      <c r="BR77" s="0" t="s">
        <v>5692</v>
      </c>
      <c r="BS77" s="0" t="s">
        <v>227</v>
      </c>
      <c r="BT77" s="0" t="s">
        <v>5709</v>
      </c>
      <c r="BU77" s="0" t="s">
        <v>5946</v>
      </c>
      <c r="BV77" s="0" t="s">
        <v>5946</v>
      </c>
      <c r="BW77" s="0" t="s">
        <v>5697</v>
      </c>
      <c r="BX77" s="0" t="s">
        <v>5697</v>
      </c>
      <c r="BY77" s="0" t="s">
        <v>5697</v>
      </c>
      <c r="BZ77" s="0" t="s">
        <v>5697</v>
      </c>
      <c r="CA77" s="0" t="s">
        <v>5697</v>
      </c>
      <c r="CB77" s="0" t="s">
        <v>227</v>
      </c>
      <c r="CC77" s="0" t="s">
        <v>227</v>
      </c>
      <c r="CD77" s="0" t="s">
        <v>227</v>
      </c>
      <c r="CE77" s="0" t="s">
        <v>227</v>
      </c>
      <c r="CF77" s="0" t="s">
        <v>227</v>
      </c>
      <c r="CG77" s="0" t="s">
        <v>5697</v>
      </c>
      <c r="CH77" s="0" t="s">
        <v>227</v>
      </c>
      <c r="CI77" s="0" t="s">
        <v>227</v>
      </c>
      <c r="CJ77" s="0" t="s">
        <v>227</v>
      </c>
      <c r="CK77" s="0" t="s">
        <v>227</v>
      </c>
      <c r="CL77" s="0" t="s">
        <v>227</v>
      </c>
      <c r="CM77" s="0" t="s">
        <v>5946</v>
      </c>
      <c r="CN77" s="0" t="s">
        <v>5946</v>
      </c>
      <c r="CO77" s="0" t="s">
        <v>227</v>
      </c>
      <c r="CP77" s="0" t="s">
        <v>227</v>
      </c>
      <c r="CQ77" s="0" t="s">
        <v>227</v>
      </c>
      <c r="CR77" s="0" t="s">
        <v>227</v>
      </c>
      <c r="CS77" s="0" t="s">
        <v>5749</v>
      </c>
      <c r="CT77" s="0" t="s">
        <v>5679</v>
      </c>
      <c r="CU77" s="0" t="s">
        <v>5680</v>
      </c>
      <c r="CV77" s="0" t="s">
        <v>430</v>
      </c>
      <c r="CW77" s="0" t="s">
        <v>5699</v>
      </c>
      <c r="CX77" s="0" t="s">
        <v>431</v>
      </c>
      <c r="CY77" s="0" t="s">
        <v>430</v>
      </c>
      <c r="CZ77" s="0" t="s">
        <v>432</v>
      </c>
      <c r="DA77" s="0" t="s">
        <v>433</v>
      </c>
      <c r="DB77" s="0" t="s">
        <v>5700</v>
      </c>
      <c r="DC77" s="0" t="s">
        <v>373</v>
      </c>
      <c r="DD77" s="0" t="s">
        <v>277</v>
      </c>
      <c r="DE77" s="0" t="s">
        <v>610</v>
      </c>
    </row>
    <row customHeight="1" ht="11.25">
      <c r="A78" s="1806" t="s">
        <v>227</v>
      </c>
      <c r="B78" s="0" t="s">
        <v>227</v>
      </c>
      <c r="C78" s="0" t="s">
        <v>227</v>
      </c>
      <c r="D78" s="0" t="s">
        <v>227</v>
      </c>
      <c r="E78" s="0" t="s">
        <v>227</v>
      </c>
      <c r="F78" s="0" t="s">
        <v>227</v>
      </c>
      <c r="G78" s="0" t="s">
        <v>227</v>
      </c>
      <c r="H78" s="0" t="s">
        <v>227</v>
      </c>
      <c r="I78" s="0" t="s">
        <v>5667</v>
      </c>
      <c r="J78" s="0" t="s">
        <v>227</v>
      </c>
      <c r="K78" s="0" t="s">
        <v>227</v>
      </c>
      <c r="L78" s="0" t="s">
        <v>227</v>
      </c>
      <c r="M78" s="0" t="s">
        <v>227</v>
      </c>
      <c r="N78" s="0" t="s">
        <v>227</v>
      </c>
      <c r="O78" s="0" t="s">
        <v>227</v>
      </c>
      <c r="P78" s="0" t="s">
        <v>227</v>
      </c>
      <c r="Q78" s="0" t="s">
        <v>227</v>
      </c>
      <c r="R78" s="0" t="s">
        <v>618</v>
      </c>
      <c r="S78" s="0" t="s">
        <v>227</v>
      </c>
      <c r="T78" s="0" t="s">
        <v>227</v>
      </c>
      <c r="U78" s="0" t="s">
        <v>102</v>
      </c>
      <c r="V78" s="0" t="s">
        <v>227</v>
      </c>
      <c r="W78" s="0" t="s">
        <v>227</v>
      </c>
      <c r="X78" s="0" t="s">
        <v>5683</v>
      </c>
      <c r="Y78" s="0" t="s">
        <v>227</v>
      </c>
      <c r="Z78" s="0" t="s">
        <v>152</v>
      </c>
      <c r="AA78" s="0" t="s">
        <v>152</v>
      </c>
      <c r="AB78" s="0" t="s">
        <v>161</v>
      </c>
      <c r="AC78" s="0" t="s">
        <v>354</v>
      </c>
      <c r="AD78" s="0" t="s">
        <v>354</v>
      </c>
      <c r="AE78" s="0" t="s">
        <v>355</v>
      </c>
      <c r="AF78" s="0" t="s">
        <v>5684</v>
      </c>
      <c r="AG78" s="0" t="s">
        <v>5685</v>
      </c>
      <c r="AH78" s="0" t="s">
        <v>5947</v>
      </c>
      <c r="AI78" s="0" t="s">
        <v>5948</v>
      </c>
      <c r="AJ78" s="0" t="s">
        <v>227</v>
      </c>
      <c r="AK78" s="0" t="s">
        <v>227</v>
      </c>
      <c r="AL78" s="0" t="s">
        <v>227</v>
      </c>
      <c r="AM78" s="0" t="s">
        <v>227</v>
      </c>
      <c r="AN78" s="0" t="s">
        <v>227</v>
      </c>
      <c r="AO78" s="0" t="s">
        <v>227</v>
      </c>
      <c r="AP78" s="0" t="s">
        <v>227</v>
      </c>
      <c r="AQ78" s="0" t="s">
        <v>227</v>
      </c>
      <c r="AR78" s="0" t="s">
        <v>227</v>
      </c>
      <c r="AS78" s="0" t="s">
        <v>227</v>
      </c>
      <c r="AT78" s="0" t="s">
        <v>227</v>
      </c>
      <c r="AU78" s="0" t="s">
        <v>227</v>
      </c>
      <c r="AV78" s="0" t="s">
        <v>227</v>
      </c>
      <c r="AW78" s="0" t="s">
        <v>227</v>
      </c>
      <c r="AX78" s="0" t="s">
        <v>227</v>
      </c>
      <c r="AY78" s="0" t="s">
        <v>227</v>
      </c>
      <c r="AZ78" s="0" t="s">
        <v>227</v>
      </c>
      <c r="BA78" s="0" t="s">
        <v>227</v>
      </c>
      <c r="BB78" s="0" t="s">
        <v>227</v>
      </c>
      <c r="BC78" s="0" t="s">
        <v>227</v>
      </c>
      <c r="BD78" s="0" t="s">
        <v>227</v>
      </c>
      <c r="BE78" s="0" t="s">
        <v>5728</v>
      </c>
      <c r="BF78" s="0" t="s">
        <v>5861</v>
      </c>
      <c r="BG78" s="0" t="s">
        <v>112</v>
      </c>
      <c r="BH78" s="0" t="s">
        <v>5690</v>
      </c>
      <c r="BI78" s="0" t="s">
        <v>5691</v>
      </c>
      <c r="BJ78" s="0" t="s">
        <v>227</v>
      </c>
      <c r="BK78" s="0" t="s">
        <v>5692</v>
      </c>
      <c r="BL78" s="0" t="s">
        <v>354</v>
      </c>
      <c r="BM78" s="0" t="s">
        <v>354</v>
      </c>
      <c r="BN78" s="0" t="s">
        <v>5693</v>
      </c>
      <c r="BO78" s="0" t="s">
        <v>5684</v>
      </c>
      <c r="BP78" s="0" t="s">
        <v>5694</v>
      </c>
      <c r="BQ78" s="0" t="s">
        <v>5692</v>
      </c>
      <c r="BR78" s="0" t="s">
        <v>5692</v>
      </c>
      <c r="BS78" s="0" t="s">
        <v>227</v>
      </c>
      <c r="BT78" s="0" t="s">
        <v>5709</v>
      </c>
      <c r="BU78" s="0" t="s">
        <v>5850</v>
      </c>
      <c r="BV78" s="0" t="s">
        <v>5850</v>
      </c>
      <c r="BW78" s="0" t="s">
        <v>5697</v>
      </c>
      <c r="BX78" s="0" t="s">
        <v>5697</v>
      </c>
      <c r="BY78" s="0" t="s">
        <v>5697</v>
      </c>
      <c r="BZ78" s="0" t="s">
        <v>5697</v>
      </c>
      <c r="CA78" s="0" t="s">
        <v>5697</v>
      </c>
      <c r="CB78" s="0" t="s">
        <v>227</v>
      </c>
      <c r="CC78" s="0" t="s">
        <v>227</v>
      </c>
      <c r="CD78" s="0" t="s">
        <v>227</v>
      </c>
      <c r="CE78" s="0" t="s">
        <v>227</v>
      </c>
      <c r="CF78" s="0" t="s">
        <v>227</v>
      </c>
      <c r="CG78" s="0" t="s">
        <v>5697</v>
      </c>
      <c r="CH78" s="0" t="s">
        <v>227</v>
      </c>
      <c r="CI78" s="0" t="s">
        <v>227</v>
      </c>
      <c r="CJ78" s="0" t="s">
        <v>227</v>
      </c>
      <c r="CK78" s="0" t="s">
        <v>227</v>
      </c>
      <c r="CL78" s="0" t="s">
        <v>227</v>
      </c>
      <c r="CM78" s="0" t="s">
        <v>5850</v>
      </c>
      <c r="CN78" s="0" t="s">
        <v>5850</v>
      </c>
      <c r="CO78" s="0" t="s">
        <v>227</v>
      </c>
      <c r="CP78" s="0" t="s">
        <v>227</v>
      </c>
      <c r="CQ78" s="0" t="s">
        <v>227</v>
      </c>
      <c r="CR78" s="0" t="s">
        <v>227</v>
      </c>
      <c r="CS78" s="0" t="s">
        <v>5698</v>
      </c>
      <c r="CT78" s="0" t="s">
        <v>5679</v>
      </c>
      <c r="CU78" s="0" t="s">
        <v>5680</v>
      </c>
      <c r="CV78" s="0" t="s">
        <v>430</v>
      </c>
      <c r="CW78" s="0" t="s">
        <v>5699</v>
      </c>
      <c r="CX78" s="0" t="s">
        <v>431</v>
      </c>
      <c r="CY78" s="0" t="s">
        <v>430</v>
      </c>
      <c r="CZ78" s="0" t="s">
        <v>432</v>
      </c>
      <c r="DA78" s="0" t="s">
        <v>433</v>
      </c>
      <c r="DB78" s="0" t="s">
        <v>5700</v>
      </c>
      <c r="DC78" s="0" t="s">
        <v>373</v>
      </c>
      <c r="DD78" s="0" t="s">
        <v>277</v>
      </c>
      <c r="DE78" s="0" t="s">
        <v>619</v>
      </c>
    </row>
    <row customHeight="1" ht="11.25">
      <c r="A79" s="1806" t="s">
        <v>227</v>
      </c>
      <c r="B79" s="0" t="s">
        <v>227</v>
      </c>
      <c r="C79" s="0" t="s">
        <v>227</v>
      </c>
      <c r="D79" s="0" t="s">
        <v>227</v>
      </c>
      <c r="E79" s="0" t="s">
        <v>227</v>
      </c>
      <c r="F79" s="0" t="s">
        <v>227</v>
      </c>
      <c r="G79" s="0" t="s">
        <v>227</v>
      </c>
      <c r="H79" s="0" t="s">
        <v>227</v>
      </c>
      <c r="I79" s="0" t="s">
        <v>5667</v>
      </c>
      <c r="J79" s="0" t="s">
        <v>227</v>
      </c>
      <c r="K79" s="0" t="s">
        <v>227</v>
      </c>
      <c r="L79" s="0" t="s">
        <v>227</v>
      </c>
      <c r="M79" s="0" t="s">
        <v>227</v>
      </c>
      <c r="N79" s="0" t="s">
        <v>227</v>
      </c>
      <c r="O79" s="0" t="s">
        <v>227</v>
      </c>
      <c r="P79" s="0" t="s">
        <v>227</v>
      </c>
      <c r="Q79" s="0" t="s">
        <v>227</v>
      </c>
      <c r="R79" s="0" t="s">
        <v>559</v>
      </c>
      <c r="S79" s="0" t="s">
        <v>227</v>
      </c>
      <c r="T79" s="0" t="s">
        <v>227</v>
      </c>
      <c r="U79" s="0" t="s">
        <v>102</v>
      </c>
      <c r="V79" s="0" t="s">
        <v>227</v>
      </c>
      <c r="W79" s="0" t="s">
        <v>227</v>
      </c>
      <c r="X79" s="0" t="s">
        <v>5683</v>
      </c>
      <c r="Y79" s="0" t="s">
        <v>227</v>
      </c>
      <c r="Z79" s="0" t="s">
        <v>152</v>
      </c>
      <c r="AA79" s="0" t="s">
        <v>152</v>
      </c>
      <c r="AB79" s="0" t="s">
        <v>161</v>
      </c>
      <c r="AC79" s="0" t="s">
        <v>354</v>
      </c>
      <c r="AD79" s="0" t="s">
        <v>354</v>
      </c>
      <c r="AE79" s="0" t="s">
        <v>355</v>
      </c>
      <c r="AF79" s="0" t="s">
        <v>5684</v>
      </c>
      <c r="AG79" s="0" t="s">
        <v>5685</v>
      </c>
      <c r="AH79" s="0" t="s">
        <v>5949</v>
      </c>
      <c r="AI79" s="0" t="s">
        <v>446</v>
      </c>
      <c r="AJ79" s="0" t="s">
        <v>227</v>
      </c>
      <c r="AK79" s="0" t="s">
        <v>227</v>
      </c>
      <c r="AL79" s="0" t="s">
        <v>227</v>
      </c>
      <c r="AM79" s="0" t="s">
        <v>227</v>
      </c>
      <c r="AN79" s="0" t="s">
        <v>227</v>
      </c>
      <c r="AO79" s="0" t="s">
        <v>227</v>
      </c>
      <c r="AP79" s="0" t="s">
        <v>227</v>
      </c>
      <c r="AQ79" s="0" t="s">
        <v>227</v>
      </c>
      <c r="AR79" s="0" t="s">
        <v>227</v>
      </c>
      <c r="AS79" s="0" t="s">
        <v>227</v>
      </c>
      <c r="AT79" s="0" t="s">
        <v>227</v>
      </c>
      <c r="AU79" s="0" t="s">
        <v>227</v>
      </c>
      <c r="AV79" s="0" t="s">
        <v>227</v>
      </c>
      <c r="AW79" s="0" t="s">
        <v>227</v>
      </c>
      <c r="AX79" s="0" t="s">
        <v>227</v>
      </c>
      <c r="AY79" s="0" t="s">
        <v>227</v>
      </c>
      <c r="AZ79" s="0" t="s">
        <v>227</v>
      </c>
      <c r="BA79" s="0" t="s">
        <v>227</v>
      </c>
      <c r="BB79" s="0" t="s">
        <v>227</v>
      </c>
      <c r="BC79" s="0" t="s">
        <v>227</v>
      </c>
      <c r="BD79" s="0" t="s">
        <v>227</v>
      </c>
      <c r="BE79" s="0" t="s">
        <v>5688</v>
      </c>
      <c r="BF79" s="0" t="s">
        <v>5768</v>
      </c>
      <c r="BG79" s="0" t="s">
        <v>112</v>
      </c>
      <c r="BH79" s="0" t="s">
        <v>5690</v>
      </c>
      <c r="BI79" s="0" t="s">
        <v>5691</v>
      </c>
      <c r="BJ79" s="0" t="s">
        <v>227</v>
      </c>
      <c r="BK79" s="0" t="s">
        <v>5692</v>
      </c>
      <c r="BL79" s="0" t="s">
        <v>354</v>
      </c>
      <c r="BM79" s="0" t="s">
        <v>354</v>
      </c>
      <c r="BN79" s="0" t="s">
        <v>5693</v>
      </c>
      <c r="BO79" s="0" t="s">
        <v>5684</v>
      </c>
      <c r="BP79" s="0" t="s">
        <v>5694</v>
      </c>
      <c r="BQ79" s="0" t="s">
        <v>5692</v>
      </c>
      <c r="BR79" s="0" t="s">
        <v>5692</v>
      </c>
      <c r="BS79" s="0" t="s">
        <v>227</v>
      </c>
      <c r="BT79" s="0" t="s">
        <v>5709</v>
      </c>
      <c r="BU79" s="0" t="s">
        <v>5950</v>
      </c>
      <c r="BV79" s="0" t="s">
        <v>5950</v>
      </c>
      <c r="BW79" s="0" t="s">
        <v>5697</v>
      </c>
      <c r="BX79" s="0" t="s">
        <v>5697</v>
      </c>
      <c r="BY79" s="0" t="s">
        <v>5697</v>
      </c>
      <c r="BZ79" s="0" t="s">
        <v>5697</v>
      </c>
      <c r="CA79" s="0" t="s">
        <v>5697</v>
      </c>
      <c r="CB79" s="0" t="s">
        <v>227</v>
      </c>
      <c r="CC79" s="0" t="s">
        <v>227</v>
      </c>
      <c r="CD79" s="0" t="s">
        <v>227</v>
      </c>
      <c r="CE79" s="0" t="s">
        <v>227</v>
      </c>
      <c r="CF79" s="0" t="s">
        <v>227</v>
      </c>
      <c r="CG79" s="0" t="s">
        <v>5697</v>
      </c>
      <c r="CH79" s="0" t="s">
        <v>227</v>
      </c>
      <c r="CI79" s="0" t="s">
        <v>227</v>
      </c>
      <c r="CJ79" s="0" t="s">
        <v>227</v>
      </c>
      <c r="CK79" s="0" t="s">
        <v>227</v>
      </c>
      <c r="CL79" s="0" t="s">
        <v>227</v>
      </c>
      <c r="CM79" s="0" t="s">
        <v>5950</v>
      </c>
      <c r="CN79" s="0" t="s">
        <v>5950</v>
      </c>
      <c r="CO79" s="0" t="s">
        <v>227</v>
      </c>
      <c r="CP79" s="0" t="s">
        <v>227</v>
      </c>
      <c r="CQ79" s="0" t="s">
        <v>227</v>
      </c>
      <c r="CR79" s="0" t="s">
        <v>227</v>
      </c>
      <c r="CS79" s="0" t="s">
        <v>5698</v>
      </c>
      <c r="CT79" s="0" t="s">
        <v>5679</v>
      </c>
      <c r="CU79" s="0" t="s">
        <v>5680</v>
      </c>
      <c r="CV79" s="0" t="s">
        <v>430</v>
      </c>
      <c r="CW79" s="0" t="s">
        <v>5699</v>
      </c>
      <c r="CX79" s="0" t="s">
        <v>431</v>
      </c>
      <c r="CY79" s="0" t="s">
        <v>430</v>
      </c>
      <c r="CZ79" s="0" t="s">
        <v>432</v>
      </c>
      <c r="DA79" s="0" t="s">
        <v>433</v>
      </c>
      <c r="DB79" s="0" t="s">
        <v>5700</v>
      </c>
      <c r="DC79" s="0" t="s">
        <v>373</v>
      </c>
      <c r="DD79" s="0" t="s">
        <v>277</v>
      </c>
      <c r="DE79" s="0" t="s">
        <v>560</v>
      </c>
    </row>
    <row customHeight="1" ht="11.25">
      <c r="A80" s="1806" t="s">
        <v>227</v>
      </c>
      <c r="B80" s="0" t="s">
        <v>227</v>
      </c>
      <c r="C80" s="0" t="s">
        <v>227</v>
      </c>
      <c r="D80" s="0" t="s">
        <v>227</v>
      </c>
      <c r="E80" s="0" t="s">
        <v>227</v>
      </c>
      <c r="F80" s="0" t="s">
        <v>227</v>
      </c>
      <c r="G80" s="0" t="s">
        <v>227</v>
      </c>
      <c r="H80" s="0" t="s">
        <v>227</v>
      </c>
      <c r="I80" s="0" t="s">
        <v>5667</v>
      </c>
      <c r="J80" s="0" t="s">
        <v>227</v>
      </c>
      <c r="K80" s="0" t="s">
        <v>227</v>
      </c>
      <c r="L80" s="0" t="s">
        <v>227</v>
      </c>
      <c r="M80" s="0" t="s">
        <v>227</v>
      </c>
      <c r="N80" s="0" t="s">
        <v>227</v>
      </c>
      <c r="O80" s="0" t="s">
        <v>227</v>
      </c>
      <c r="P80" s="0" t="s">
        <v>227</v>
      </c>
      <c r="Q80" s="0" t="s">
        <v>227</v>
      </c>
      <c r="R80" s="0" t="s">
        <v>663</v>
      </c>
      <c r="S80" s="0" t="s">
        <v>227</v>
      </c>
      <c r="T80" s="0" t="s">
        <v>227</v>
      </c>
      <c r="U80" s="0" t="s">
        <v>102</v>
      </c>
      <c r="V80" s="0" t="s">
        <v>227</v>
      </c>
      <c r="W80" s="0" t="s">
        <v>227</v>
      </c>
      <c r="X80" s="0" t="s">
        <v>5683</v>
      </c>
      <c r="Y80" s="0" t="s">
        <v>227</v>
      </c>
      <c r="Z80" s="0" t="s">
        <v>152</v>
      </c>
      <c r="AA80" s="0" t="s">
        <v>152</v>
      </c>
      <c r="AB80" s="0" t="s">
        <v>161</v>
      </c>
      <c r="AC80" s="0" t="s">
        <v>354</v>
      </c>
      <c r="AD80" s="0" t="s">
        <v>354</v>
      </c>
      <c r="AE80" s="0" t="s">
        <v>355</v>
      </c>
      <c r="AF80" s="0" t="s">
        <v>5684</v>
      </c>
      <c r="AG80" s="0" t="s">
        <v>5685</v>
      </c>
      <c r="AH80" s="0" t="s">
        <v>5951</v>
      </c>
      <c r="AI80" s="0" t="s">
        <v>5692</v>
      </c>
      <c r="AJ80" s="0" t="s">
        <v>227</v>
      </c>
      <c r="AK80" s="0" t="s">
        <v>227</v>
      </c>
      <c r="AL80" s="0" t="s">
        <v>227</v>
      </c>
      <c r="AM80" s="0" t="s">
        <v>227</v>
      </c>
      <c r="AN80" s="0" t="s">
        <v>227</v>
      </c>
      <c r="AO80" s="0" t="s">
        <v>227</v>
      </c>
      <c r="AP80" s="0" t="s">
        <v>227</v>
      </c>
      <c r="AQ80" s="0" t="s">
        <v>227</v>
      </c>
      <c r="AR80" s="0" t="s">
        <v>227</v>
      </c>
      <c r="AS80" s="0" t="s">
        <v>227</v>
      </c>
      <c r="AT80" s="0" t="s">
        <v>227</v>
      </c>
      <c r="AU80" s="0" t="s">
        <v>227</v>
      </c>
      <c r="AV80" s="0" t="s">
        <v>227</v>
      </c>
      <c r="AW80" s="0" t="s">
        <v>227</v>
      </c>
      <c r="AX80" s="0" t="s">
        <v>227</v>
      </c>
      <c r="AY80" s="0" t="s">
        <v>227</v>
      </c>
      <c r="AZ80" s="0" t="s">
        <v>227</v>
      </c>
      <c r="BA80" s="0" t="s">
        <v>227</v>
      </c>
      <c r="BB80" s="0" t="s">
        <v>227</v>
      </c>
      <c r="BC80" s="0" t="s">
        <v>227</v>
      </c>
      <c r="BD80" s="0" t="s">
        <v>227</v>
      </c>
      <c r="BE80" s="0" t="s">
        <v>5704</v>
      </c>
      <c r="BF80" s="0" t="s">
        <v>5698</v>
      </c>
      <c r="BG80" s="0" t="s">
        <v>112</v>
      </c>
      <c r="BH80" s="0" t="s">
        <v>5690</v>
      </c>
      <c r="BI80" s="0" t="s">
        <v>5691</v>
      </c>
      <c r="BJ80" s="0" t="s">
        <v>227</v>
      </c>
      <c r="BK80" s="0" t="s">
        <v>5692</v>
      </c>
      <c r="BL80" s="0" t="s">
        <v>354</v>
      </c>
      <c r="BM80" s="0" t="s">
        <v>354</v>
      </c>
      <c r="BN80" s="0" t="s">
        <v>5693</v>
      </c>
      <c r="BO80" s="0" t="s">
        <v>5684</v>
      </c>
      <c r="BP80" s="0" t="s">
        <v>5694</v>
      </c>
      <c r="BQ80" s="0" t="s">
        <v>5692</v>
      </c>
      <c r="BR80" s="0" t="s">
        <v>5692</v>
      </c>
      <c r="BS80" s="0" t="s">
        <v>227</v>
      </c>
      <c r="BT80" s="0" t="s">
        <v>5788</v>
      </c>
      <c r="BU80" s="0" t="s">
        <v>5821</v>
      </c>
      <c r="BV80" s="0" t="s">
        <v>5821</v>
      </c>
      <c r="BW80" s="0" t="s">
        <v>5697</v>
      </c>
      <c r="BX80" s="0" t="s">
        <v>5697</v>
      </c>
      <c r="BY80" s="0" t="s">
        <v>5697</v>
      </c>
      <c r="BZ80" s="0" t="s">
        <v>5697</v>
      </c>
      <c r="CA80" s="0" t="s">
        <v>5697</v>
      </c>
      <c r="CB80" s="0" t="s">
        <v>227</v>
      </c>
      <c r="CC80" s="0" t="s">
        <v>227</v>
      </c>
      <c r="CD80" s="0" t="s">
        <v>227</v>
      </c>
      <c r="CE80" s="0" t="s">
        <v>227</v>
      </c>
      <c r="CF80" s="0" t="s">
        <v>227</v>
      </c>
      <c r="CG80" s="0" t="s">
        <v>5697</v>
      </c>
      <c r="CH80" s="0" t="s">
        <v>227</v>
      </c>
      <c r="CI80" s="0" t="s">
        <v>227</v>
      </c>
      <c r="CJ80" s="0" t="s">
        <v>227</v>
      </c>
      <c r="CK80" s="0" t="s">
        <v>227</v>
      </c>
      <c r="CL80" s="0" t="s">
        <v>227</v>
      </c>
      <c r="CM80" s="0" t="s">
        <v>5821</v>
      </c>
      <c r="CN80" s="0" t="s">
        <v>5821</v>
      </c>
      <c r="CO80" s="0" t="s">
        <v>227</v>
      </c>
      <c r="CP80" s="0" t="s">
        <v>227</v>
      </c>
      <c r="CQ80" s="0" t="s">
        <v>227</v>
      </c>
      <c r="CR80" s="0" t="s">
        <v>227</v>
      </c>
      <c r="CS80" s="0" t="s">
        <v>5733</v>
      </c>
      <c r="CT80" s="0" t="s">
        <v>5679</v>
      </c>
      <c r="CU80" s="0" t="s">
        <v>5680</v>
      </c>
      <c r="CV80" s="0" t="s">
        <v>430</v>
      </c>
      <c r="CW80" s="0" t="s">
        <v>5699</v>
      </c>
      <c r="CX80" s="0" t="s">
        <v>431</v>
      </c>
      <c r="CY80" s="0" t="s">
        <v>430</v>
      </c>
      <c r="CZ80" s="0" t="s">
        <v>432</v>
      </c>
      <c r="DA80" s="0" t="s">
        <v>433</v>
      </c>
      <c r="DB80" s="0" t="s">
        <v>5700</v>
      </c>
      <c r="DC80" s="0" t="s">
        <v>373</v>
      </c>
      <c r="DD80" s="0" t="s">
        <v>277</v>
      </c>
      <c r="DE80" s="0" t="s">
        <v>664</v>
      </c>
    </row>
    <row customHeight="1" ht="11.25">
      <c r="A81" s="1806" t="s">
        <v>227</v>
      </c>
      <c r="B81" s="0" t="s">
        <v>227</v>
      </c>
      <c r="C81" s="0" t="s">
        <v>227</v>
      </c>
      <c r="D81" s="0" t="s">
        <v>227</v>
      </c>
      <c r="E81" s="0" t="s">
        <v>227</v>
      </c>
      <c r="F81" s="0" t="s">
        <v>227</v>
      </c>
      <c r="G81" s="0" t="s">
        <v>227</v>
      </c>
      <c r="H81" s="0" t="s">
        <v>227</v>
      </c>
      <c r="I81" s="0" t="s">
        <v>5667</v>
      </c>
      <c r="J81" s="0" t="s">
        <v>227</v>
      </c>
      <c r="K81" s="0" t="s">
        <v>227</v>
      </c>
      <c r="L81" s="0" t="s">
        <v>227</v>
      </c>
      <c r="M81" s="0" t="s">
        <v>227</v>
      </c>
      <c r="N81" s="0" t="s">
        <v>227</v>
      </c>
      <c r="O81" s="0" t="s">
        <v>227</v>
      </c>
      <c r="P81" s="0" t="s">
        <v>227</v>
      </c>
      <c r="Q81" s="0" t="s">
        <v>227</v>
      </c>
      <c r="R81" s="0" t="s">
        <v>838</v>
      </c>
      <c r="S81" s="0" t="s">
        <v>227</v>
      </c>
      <c r="T81" s="0" t="s">
        <v>227</v>
      </c>
      <c r="U81" s="0" t="s">
        <v>102</v>
      </c>
      <c r="V81" s="0" t="s">
        <v>227</v>
      </c>
      <c r="W81" s="0" t="s">
        <v>227</v>
      </c>
      <c r="X81" s="0" t="s">
        <v>5683</v>
      </c>
      <c r="Y81" s="0" t="s">
        <v>227</v>
      </c>
      <c r="Z81" s="0" t="s">
        <v>152</v>
      </c>
      <c r="AA81" s="0" t="s">
        <v>152</v>
      </c>
      <c r="AB81" s="0" t="s">
        <v>161</v>
      </c>
      <c r="AC81" s="0" t="s">
        <v>354</v>
      </c>
      <c r="AD81" s="0" t="s">
        <v>354</v>
      </c>
      <c r="AE81" s="0" t="s">
        <v>355</v>
      </c>
      <c r="AF81" s="0" t="s">
        <v>5701</v>
      </c>
      <c r="AG81" s="0" t="s">
        <v>5702</v>
      </c>
      <c r="AH81" s="0" t="s">
        <v>5952</v>
      </c>
      <c r="AI81" s="0" t="s">
        <v>5692</v>
      </c>
      <c r="AJ81" s="0" t="s">
        <v>227</v>
      </c>
      <c r="AK81" s="0" t="s">
        <v>227</v>
      </c>
      <c r="AL81" s="0" t="s">
        <v>227</v>
      </c>
      <c r="AM81" s="0" t="s">
        <v>227</v>
      </c>
      <c r="AN81" s="0" t="s">
        <v>227</v>
      </c>
      <c r="AO81" s="0" t="s">
        <v>227</v>
      </c>
      <c r="AP81" s="0" t="s">
        <v>227</v>
      </c>
      <c r="AQ81" s="0" t="s">
        <v>227</v>
      </c>
      <c r="AR81" s="0" t="s">
        <v>227</v>
      </c>
      <c r="AS81" s="0" t="s">
        <v>227</v>
      </c>
      <c r="AT81" s="0" t="s">
        <v>227</v>
      </c>
      <c r="AU81" s="0" t="s">
        <v>227</v>
      </c>
      <c r="AV81" s="0" t="s">
        <v>227</v>
      </c>
      <c r="AW81" s="0" t="s">
        <v>227</v>
      </c>
      <c r="AX81" s="0" t="s">
        <v>227</v>
      </c>
      <c r="AY81" s="0" t="s">
        <v>227</v>
      </c>
      <c r="AZ81" s="0" t="s">
        <v>227</v>
      </c>
      <c r="BA81" s="0" t="s">
        <v>227</v>
      </c>
      <c r="BB81" s="0" t="s">
        <v>227</v>
      </c>
      <c r="BC81" s="0" t="s">
        <v>227</v>
      </c>
      <c r="BD81" s="0" t="s">
        <v>227</v>
      </c>
      <c r="BE81" s="0" t="s">
        <v>5728</v>
      </c>
      <c r="BF81" s="0" t="s">
        <v>5757</v>
      </c>
      <c r="BG81" s="0" t="s">
        <v>112</v>
      </c>
      <c r="BH81" s="0" t="s">
        <v>5690</v>
      </c>
      <c r="BI81" s="0" t="s">
        <v>5691</v>
      </c>
      <c r="BJ81" s="0" t="s">
        <v>227</v>
      </c>
      <c r="BK81" s="0" t="s">
        <v>952</v>
      </c>
      <c r="BL81" s="0" t="s">
        <v>354</v>
      </c>
      <c r="BM81" s="0" t="s">
        <v>354</v>
      </c>
      <c r="BN81" s="0" t="s">
        <v>5693</v>
      </c>
      <c r="BO81" s="0" t="s">
        <v>5701</v>
      </c>
      <c r="BP81" s="0" t="s">
        <v>5706</v>
      </c>
      <c r="BQ81" s="0" t="s">
        <v>5707</v>
      </c>
      <c r="BR81" s="0" t="s">
        <v>5708</v>
      </c>
      <c r="BS81" s="0" t="s">
        <v>227</v>
      </c>
      <c r="BT81" s="0" t="s">
        <v>5695</v>
      </c>
      <c r="BU81" s="0" t="s">
        <v>5953</v>
      </c>
      <c r="BV81" s="0" t="s">
        <v>5953</v>
      </c>
      <c r="BW81" s="0" t="s">
        <v>5697</v>
      </c>
      <c r="BX81" s="0" t="s">
        <v>5697</v>
      </c>
      <c r="BY81" s="0" t="s">
        <v>5697</v>
      </c>
      <c r="BZ81" s="0" t="s">
        <v>5697</v>
      </c>
      <c r="CA81" s="0" t="s">
        <v>5697</v>
      </c>
      <c r="CB81" s="0" t="s">
        <v>227</v>
      </c>
      <c r="CC81" s="0" t="s">
        <v>227</v>
      </c>
      <c r="CD81" s="0" t="s">
        <v>227</v>
      </c>
      <c r="CE81" s="0" t="s">
        <v>227</v>
      </c>
      <c r="CF81" s="0" t="s">
        <v>227</v>
      </c>
      <c r="CG81" s="0" t="s">
        <v>5697</v>
      </c>
      <c r="CH81" s="0" t="s">
        <v>227</v>
      </c>
      <c r="CI81" s="0" t="s">
        <v>227</v>
      </c>
      <c r="CJ81" s="0" t="s">
        <v>227</v>
      </c>
      <c r="CK81" s="0" t="s">
        <v>227</v>
      </c>
      <c r="CL81" s="0" t="s">
        <v>227</v>
      </c>
      <c r="CM81" s="0" t="s">
        <v>5953</v>
      </c>
      <c r="CN81" s="0" t="s">
        <v>5953</v>
      </c>
      <c r="CO81" s="0" t="s">
        <v>227</v>
      </c>
      <c r="CP81" s="0" t="s">
        <v>227</v>
      </c>
      <c r="CQ81" s="0" t="s">
        <v>227</v>
      </c>
      <c r="CR81" s="0" t="s">
        <v>227</v>
      </c>
      <c r="CS81" s="0" t="s">
        <v>5698</v>
      </c>
      <c r="CT81" s="0" t="s">
        <v>5679</v>
      </c>
      <c r="CU81" s="0" t="s">
        <v>5680</v>
      </c>
      <c r="CV81" s="0" t="s">
        <v>430</v>
      </c>
      <c r="CW81" s="0" t="s">
        <v>5699</v>
      </c>
      <c r="CX81" s="0" t="s">
        <v>431</v>
      </c>
      <c r="CY81" s="0" t="s">
        <v>430</v>
      </c>
      <c r="CZ81" s="0" t="s">
        <v>432</v>
      </c>
      <c r="DA81" s="0" t="s">
        <v>433</v>
      </c>
      <c r="DB81" s="0" t="s">
        <v>5700</v>
      </c>
      <c r="DC81" s="0" t="s">
        <v>373</v>
      </c>
      <c r="DD81" s="0" t="s">
        <v>277</v>
      </c>
      <c r="DE81" s="0" t="s">
        <v>839</v>
      </c>
    </row>
    <row customHeight="1" ht="11.25">
      <c r="A82" s="1806" t="s">
        <v>227</v>
      </c>
      <c r="B82" s="0" t="s">
        <v>227</v>
      </c>
      <c r="C82" s="0" t="s">
        <v>227</v>
      </c>
      <c r="D82" s="0" t="s">
        <v>227</v>
      </c>
      <c r="E82" s="0" t="s">
        <v>227</v>
      </c>
      <c r="F82" s="0" t="s">
        <v>227</v>
      </c>
      <c r="G82" s="0" t="s">
        <v>227</v>
      </c>
      <c r="H82" s="0" t="s">
        <v>227</v>
      </c>
      <c r="I82" s="0" t="s">
        <v>5667</v>
      </c>
      <c r="J82" s="0" t="s">
        <v>227</v>
      </c>
      <c r="K82" s="0" t="s">
        <v>227</v>
      </c>
      <c r="L82" s="0" t="s">
        <v>227</v>
      </c>
      <c r="M82" s="0" t="s">
        <v>227</v>
      </c>
      <c r="N82" s="0" t="s">
        <v>227</v>
      </c>
      <c r="O82" s="0" t="s">
        <v>227</v>
      </c>
      <c r="P82" s="0" t="s">
        <v>227</v>
      </c>
      <c r="Q82" s="0" t="s">
        <v>227</v>
      </c>
      <c r="R82" s="0" t="s">
        <v>654</v>
      </c>
      <c r="S82" s="0" t="s">
        <v>227</v>
      </c>
      <c r="T82" s="0" t="s">
        <v>227</v>
      </c>
      <c r="U82" s="0" t="s">
        <v>102</v>
      </c>
      <c r="V82" s="0" t="s">
        <v>227</v>
      </c>
      <c r="W82" s="0" t="s">
        <v>227</v>
      </c>
      <c r="X82" s="0" t="s">
        <v>5683</v>
      </c>
      <c r="Y82" s="0" t="s">
        <v>227</v>
      </c>
      <c r="Z82" s="0" t="s">
        <v>152</v>
      </c>
      <c r="AA82" s="0" t="s">
        <v>152</v>
      </c>
      <c r="AB82" s="0" t="s">
        <v>161</v>
      </c>
      <c r="AC82" s="0" t="s">
        <v>354</v>
      </c>
      <c r="AD82" s="0" t="s">
        <v>354</v>
      </c>
      <c r="AE82" s="0" t="s">
        <v>355</v>
      </c>
      <c r="AF82" s="0" t="s">
        <v>5684</v>
      </c>
      <c r="AG82" s="0" t="s">
        <v>5685</v>
      </c>
      <c r="AH82" s="0" t="s">
        <v>5954</v>
      </c>
      <c r="AI82" s="0" t="s">
        <v>5692</v>
      </c>
      <c r="AJ82" s="0" t="s">
        <v>227</v>
      </c>
      <c r="AK82" s="0" t="s">
        <v>227</v>
      </c>
      <c r="AL82" s="0" t="s">
        <v>227</v>
      </c>
      <c r="AM82" s="0" t="s">
        <v>227</v>
      </c>
      <c r="AN82" s="0" t="s">
        <v>227</v>
      </c>
      <c r="AO82" s="0" t="s">
        <v>227</v>
      </c>
      <c r="AP82" s="0" t="s">
        <v>227</v>
      </c>
      <c r="AQ82" s="0" t="s">
        <v>227</v>
      </c>
      <c r="AR82" s="0" t="s">
        <v>227</v>
      </c>
      <c r="AS82" s="0" t="s">
        <v>227</v>
      </c>
      <c r="AT82" s="0" t="s">
        <v>227</v>
      </c>
      <c r="AU82" s="0" t="s">
        <v>227</v>
      </c>
      <c r="AV82" s="0" t="s">
        <v>227</v>
      </c>
      <c r="AW82" s="0" t="s">
        <v>227</v>
      </c>
      <c r="AX82" s="0" t="s">
        <v>227</v>
      </c>
      <c r="AY82" s="0" t="s">
        <v>227</v>
      </c>
      <c r="AZ82" s="0" t="s">
        <v>227</v>
      </c>
      <c r="BA82" s="0" t="s">
        <v>227</v>
      </c>
      <c r="BB82" s="0" t="s">
        <v>227</v>
      </c>
      <c r="BC82" s="0" t="s">
        <v>227</v>
      </c>
      <c r="BD82" s="0" t="s">
        <v>227</v>
      </c>
      <c r="BE82" s="0" t="s">
        <v>5728</v>
      </c>
      <c r="BF82" s="0" t="s">
        <v>5728</v>
      </c>
      <c r="BG82" s="0" t="s">
        <v>112</v>
      </c>
      <c r="BH82" s="0" t="s">
        <v>5690</v>
      </c>
      <c r="BI82" s="0" t="s">
        <v>5691</v>
      </c>
      <c r="BJ82" s="0" t="s">
        <v>227</v>
      </c>
      <c r="BK82" s="0" t="s">
        <v>5692</v>
      </c>
      <c r="BL82" s="0" t="s">
        <v>354</v>
      </c>
      <c r="BM82" s="0" t="s">
        <v>354</v>
      </c>
      <c r="BN82" s="0" t="s">
        <v>5693</v>
      </c>
      <c r="BO82" s="0" t="s">
        <v>5684</v>
      </c>
      <c r="BP82" s="0" t="s">
        <v>5694</v>
      </c>
      <c r="BQ82" s="0" t="s">
        <v>5692</v>
      </c>
      <c r="BR82" s="0" t="s">
        <v>5692</v>
      </c>
      <c r="BS82" s="0" t="s">
        <v>227</v>
      </c>
      <c r="BT82" s="0" t="s">
        <v>5695</v>
      </c>
      <c r="BU82" s="0" t="s">
        <v>5818</v>
      </c>
      <c r="BV82" s="0" t="s">
        <v>5818</v>
      </c>
      <c r="BW82" s="0" t="s">
        <v>5697</v>
      </c>
      <c r="BX82" s="0" t="s">
        <v>5697</v>
      </c>
      <c r="BY82" s="0" t="s">
        <v>5697</v>
      </c>
      <c r="BZ82" s="0" t="s">
        <v>5697</v>
      </c>
      <c r="CA82" s="0" t="s">
        <v>5697</v>
      </c>
      <c r="CB82" s="0" t="s">
        <v>227</v>
      </c>
      <c r="CC82" s="0" t="s">
        <v>227</v>
      </c>
      <c r="CD82" s="0" t="s">
        <v>227</v>
      </c>
      <c r="CE82" s="0" t="s">
        <v>227</v>
      </c>
      <c r="CF82" s="0" t="s">
        <v>227</v>
      </c>
      <c r="CG82" s="0" t="s">
        <v>5697</v>
      </c>
      <c r="CH82" s="0" t="s">
        <v>227</v>
      </c>
      <c r="CI82" s="0" t="s">
        <v>227</v>
      </c>
      <c r="CJ82" s="0" t="s">
        <v>227</v>
      </c>
      <c r="CK82" s="0" t="s">
        <v>227</v>
      </c>
      <c r="CL82" s="0" t="s">
        <v>227</v>
      </c>
      <c r="CM82" s="0" t="s">
        <v>5818</v>
      </c>
      <c r="CN82" s="0" t="s">
        <v>5818</v>
      </c>
      <c r="CO82" s="0" t="s">
        <v>227</v>
      </c>
      <c r="CP82" s="0" t="s">
        <v>227</v>
      </c>
      <c r="CQ82" s="0" t="s">
        <v>227</v>
      </c>
      <c r="CR82" s="0" t="s">
        <v>227</v>
      </c>
      <c r="CS82" s="0" t="s">
        <v>5698</v>
      </c>
      <c r="CT82" s="0" t="s">
        <v>5679</v>
      </c>
      <c r="CU82" s="0" t="s">
        <v>5680</v>
      </c>
      <c r="CV82" s="0" t="s">
        <v>430</v>
      </c>
      <c r="CW82" s="0" t="s">
        <v>5699</v>
      </c>
      <c r="CX82" s="0" t="s">
        <v>431</v>
      </c>
      <c r="CY82" s="0" t="s">
        <v>430</v>
      </c>
      <c r="CZ82" s="0" t="s">
        <v>432</v>
      </c>
      <c r="DA82" s="0" t="s">
        <v>433</v>
      </c>
      <c r="DB82" s="0" t="s">
        <v>5700</v>
      </c>
      <c r="DC82" s="0" t="s">
        <v>373</v>
      </c>
      <c r="DD82" s="0" t="s">
        <v>277</v>
      </c>
      <c r="DE82" s="0" t="s">
        <v>655</v>
      </c>
    </row>
    <row customHeight="1" ht="11.25">
      <c r="A83" s="1806" t="s">
        <v>227</v>
      </c>
      <c r="B83" s="0" t="s">
        <v>227</v>
      </c>
      <c r="C83" s="0" t="s">
        <v>227</v>
      </c>
      <c r="D83" s="0" t="s">
        <v>227</v>
      </c>
      <c r="E83" s="0" t="s">
        <v>227</v>
      </c>
      <c r="F83" s="0" t="s">
        <v>227</v>
      </c>
      <c r="G83" s="0" t="s">
        <v>227</v>
      </c>
      <c r="H83" s="0" t="s">
        <v>227</v>
      </c>
      <c r="I83" s="0" t="s">
        <v>5667</v>
      </c>
      <c r="J83" s="0" t="s">
        <v>227</v>
      </c>
      <c r="K83" s="0" t="s">
        <v>227</v>
      </c>
      <c r="L83" s="0" t="s">
        <v>227</v>
      </c>
      <c r="M83" s="0" t="s">
        <v>227</v>
      </c>
      <c r="N83" s="0" t="s">
        <v>227</v>
      </c>
      <c r="O83" s="0" t="s">
        <v>227</v>
      </c>
      <c r="P83" s="0" t="s">
        <v>227</v>
      </c>
      <c r="Q83" s="0" t="s">
        <v>227</v>
      </c>
      <c r="R83" s="0" t="s">
        <v>705</v>
      </c>
      <c r="S83" s="0" t="s">
        <v>227</v>
      </c>
      <c r="T83" s="0" t="s">
        <v>227</v>
      </c>
      <c r="U83" s="0" t="s">
        <v>102</v>
      </c>
      <c r="V83" s="0" t="s">
        <v>227</v>
      </c>
      <c r="W83" s="0" t="s">
        <v>227</v>
      </c>
      <c r="X83" s="0" t="s">
        <v>5683</v>
      </c>
      <c r="Y83" s="0" t="s">
        <v>227</v>
      </c>
      <c r="Z83" s="0" t="s">
        <v>152</v>
      </c>
      <c r="AA83" s="0" t="s">
        <v>152</v>
      </c>
      <c r="AB83" s="0" t="s">
        <v>161</v>
      </c>
      <c r="AC83" s="0" t="s">
        <v>354</v>
      </c>
      <c r="AD83" s="0" t="s">
        <v>354</v>
      </c>
      <c r="AE83" s="0" t="s">
        <v>355</v>
      </c>
      <c r="AF83" s="0" t="s">
        <v>5684</v>
      </c>
      <c r="AG83" s="0" t="s">
        <v>5685</v>
      </c>
      <c r="AH83" s="0" t="s">
        <v>5955</v>
      </c>
      <c r="AI83" s="0" t="s">
        <v>5692</v>
      </c>
      <c r="AJ83" s="0" t="s">
        <v>227</v>
      </c>
      <c r="AK83" s="0" t="s">
        <v>227</v>
      </c>
      <c r="AL83" s="0" t="s">
        <v>227</v>
      </c>
      <c r="AM83" s="0" t="s">
        <v>227</v>
      </c>
      <c r="AN83" s="0" t="s">
        <v>227</v>
      </c>
      <c r="AO83" s="0" t="s">
        <v>227</v>
      </c>
      <c r="AP83" s="0" t="s">
        <v>227</v>
      </c>
      <c r="AQ83" s="0" t="s">
        <v>227</v>
      </c>
      <c r="AR83" s="0" t="s">
        <v>227</v>
      </c>
      <c r="AS83" s="0" t="s">
        <v>227</v>
      </c>
      <c r="AT83" s="0" t="s">
        <v>227</v>
      </c>
      <c r="AU83" s="0" t="s">
        <v>227</v>
      </c>
      <c r="AV83" s="0" t="s">
        <v>227</v>
      </c>
      <c r="AW83" s="0" t="s">
        <v>227</v>
      </c>
      <c r="AX83" s="0" t="s">
        <v>227</v>
      </c>
      <c r="AY83" s="0" t="s">
        <v>227</v>
      </c>
      <c r="AZ83" s="0" t="s">
        <v>227</v>
      </c>
      <c r="BA83" s="0" t="s">
        <v>227</v>
      </c>
      <c r="BB83" s="0" t="s">
        <v>227</v>
      </c>
      <c r="BC83" s="0" t="s">
        <v>227</v>
      </c>
      <c r="BD83" s="0" t="s">
        <v>227</v>
      </c>
      <c r="BE83" s="0" t="s">
        <v>5728</v>
      </c>
      <c r="BF83" s="0" t="s">
        <v>5728</v>
      </c>
      <c r="BG83" s="0" t="s">
        <v>112</v>
      </c>
      <c r="BH83" s="0" t="s">
        <v>5690</v>
      </c>
      <c r="BI83" s="0" t="s">
        <v>5691</v>
      </c>
      <c r="BJ83" s="0" t="s">
        <v>227</v>
      </c>
      <c r="BK83" s="0" t="s">
        <v>5692</v>
      </c>
      <c r="BL83" s="0" t="s">
        <v>354</v>
      </c>
      <c r="BM83" s="0" t="s">
        <v>354</v>
      </c>
      <c r="BN83" s="0" t="s">
        <v>5693</v>
      </c>
      <c r="BO83" s="0" t="s">
        <v>5684</v>
      </c>
      <c r="BP83" s="0" t="s">
        <v>5694</v>
      </c>
      <c r="BQ83" s="0" t="s">
        <v>5692</v>
      </c>
      <c r="BR83" s="0" t="s">
        <v>5692</v>
      </c>
      <c r="BS83" s="0" t="s">
        <v>227</v>
      </c>
      <c r="BT83" s="0" t="s">
        <v>5695</v>
      </c>
      <c r="BU83" s="0" t="s">
        <v>5956</v>
      </c>
      <c r="BV83" s="0" t="s">
        <v>5956</v>
      </c>
      <c r="BW83" s="0" t="s">
        <v>5697</v>
      </c>
      <c r="BX83" s="0" t="s">
        <v>5697</v>
      </c>
      <c r="BY83" s="0" t="s">
        <v>5697</v>
      </c>
      <c r="BZ83" s="0" t="s">
        <v>5697</v>
      </c>
      <c r="CA83" s="0" t="s">
        <v>5697</v>
      </c>
      <c r="CB83" s="0" t="s">
        <v>227</v>
      </c>
      <c r="CC83" s="0" t="s">
        <v>227</v>
      </c>
      <c r="CD83" s="0" t="s">
        <v>227</v>
      </c>
      <c r="CE83" s="0" t="s">
        <v>227</v>
      </c>
      <c r="CF83" s="0" t="s">
        <v>227</v>
      </c>
      <c r="CG83" s="0" t="s">
        <v>5697</v>
      </c>
      <c r="CH83" s="0" t="s">
        <v>227</v>
      </c>
      <c r="CI83" s="0" t="s">
        <v>227</v>
      </c>
      <c r="CJ83" s="0" t="s">
        <v>227</v>
      </c>
      <c r="CK83" s="0" t="s">
        <v>227</v>
      </c>
      <c r="CL83" s="0" t="s">
        <v>227</v>
      </c>
      <c r="CM83" s="0" t="s">
        <v>5956</v>
      </c>
      <c r="CN83" s="0" t="s">
        <v>5956</v>
      </c>
      <c r="CO83" s="0" t="s">
        <v>227</v>
      </c>
      <c r="CP83" s="0" t="s">
        <v>227</v>
      </c>
      <c r="CQ83" s="0" t="s">
        <v>227</v>
      </c>
      <c r="CR83" s="0" t="s">
        <v>227</v>
      </c>
      <c r="CS83" s="0" t="s">
        <v>5698</v>
      </c>
      <c r="CT83" s="0" t="s">
        <v>5679</v>
      </c>
      <c r="CU83" s="0" t="s">
        <v>5680</v>
      </c>
      <c r="CV83" s="0" t="s">
        <v>430</v>
      </c>
      <c r="CW83" s="0" t="s">
        <v>5699</v>
      </c>
      <c r="CX83" s="0" t="s">
        <v>431</v>
      </c>
      <c r="CY83" s="0" t="s">
        <v>430</v>
      </c>
      <c r="CZ83" s="0" t="s">
        <v>432</v>
      </c>
      <c r="DA83" s="0" t="s">
        <v>433</v>
      </c>
      <c r="DB83" s="0" t="s">
        <v>5700</v>
      </c>
      <c r="DC83" s="0" t="s">
        <v>373</v>
      </c>
      <c r="DD83" s="0" t="s">
        <v>277</v>
      </c>
      <c r="DE83" s="0" t="s">
        <v>706</v>
      </c>
    </row>
    <row customHeight="1" ht="11.25">
      <c r="A84" s="1806" t="s">
        <v>227</v>
      </c>
      <c r="B84" s="0" t="s">
        <v>227</v>
      </c>
      <c r="C84" s="0" t="s">
        <v>227</v>
      </c>
      <c r="D84" s="0" t="s">
        <v>227</v>
      </c>
      <c r="E84" s="0" t="s">
        <v>227</v>
      </c>
      <c r="F84" s="0" t="s">
        <v>227</v>
      </c>
      <c r="G84" s="0" t="s">
        <v>227</v>
      </c>
      <c r="H84" s="0" t="s">
        <v>227</v>
      </c>
      <c r="I84" s="0" t="s">
        <v>5667</v>
      </c>
      <c r="J84" s="0" t="s">
        <v>227</v>
      </c>
      <c r="K84" s="0" t="s">
        <v>227</v>
      </c>
      <c r="L84" s="0" t="s">
        <v>227</v>
      </c>
      <c r="M84" s="0" t="s">
        <v>227</v>
      </c>
      <c r="N84" s="0" t="s">
        <v>227</v>
      </c>
      <c r="O84" s="0" t="s">
        <v>227</v>
      </c>
      <c r="P84" s="0" t="s">
        <v>227</v>
      </c>
      <c r="Q84" s="0" t="s">
        <v>227</v>
      </c>
      <c r="R84" s="0" t="s">
        <v>435</v>
      </c>
      <c r="S84" s="0" t="s">
        <v>227</v>
      </c>
      <c r="T84" s="0" t="s">
        <v>227</v>
      </c>
      <c r="U84" s="0" t="s">
        <v>102</v>
      </c>
      <c r="V84" s="0" t="s">
        <v>227</v>
      </c>
      <c r="W84" s="0" t="s">
        <v>227</v>
      </c>
      <c r="X84" s="0" t="s">
        <v>5683</v>
      </c>
      <c r="Y84" s="0" t="s">
        <v>227</v>
      </c>
      <c r="Z84" s="0" t="s">
        <v>152</v>
      </c>
      <c r="AA84" s="0" t="s">
        <v>152</v>
      </c>
      <c r="AB84" s="0" t="s">
        <v>161</v>
      </c>
      <c r="AC84" s="0" t="s">
        <v>352</v>
      </c>
      <c r="AD84" s="0" t="s">
        <v>352</v>
      </c>
      <c r="AE84" s="0" t="s">
        <v>353</v>
      </c>
      <c r="AF84" s="0" t="s">
        <v>5669</v>
      </c>
      <c r="AG84" s="0" t="s">
        <v>5670</v>
      </c>
      <c r="AH84" s="0" t="s">
        <v>352</v>
      </c>
      <c r="AI84" s="0" t="s">
        <v>5692</v>
      </c>
      <c r="AJ84" s="0" t="s">
        <v>227</v>
      </c>
      <c r="AK84" s="0" t="s">
        <v>227</v>
      </c>
      <c r="AL84" s="0" t="s">
        <v>227</v>
      </c>
      <c r="AM84" s="0" t="s">
        <v>227</v>
      </c>
      <c r="AN84" s="0" t="s">
        <v>227</v>
      </c>
      <c r="AO84" s="0" t="s">
        <v>227</v>
      </c>
      <c r="AP84" s="0" t="s">
        <v>227</v>
      </c>
      <c r="AQ84" s="0" t="s">
        <v>227</v>
      </c>
      <c r="AR84" s="0" t="s">
        <v>227</v>
      </c>
      <c r="AS84" s="0" t="s">
        <v>227</v>
      </c>
      <c r="AT84" s="0" t="s">
        <v>227</v>
      </c>
      <c r="AU84" s="0" t="s">
        <v>227</v>
      </c>
      <c r="AV84" s="0" t="s">
        <v>227</v>
      </c>
      <c r="AW84" s="0" t="s">
        <v>227</v>
      </c>
      <c r="AX84" s="0" t="s">
        <v>227</v>
      </c>
      <c r="AY84" s="0" t="s">
        <v>227</v>
      </c>
      <c r="AZ84" s="0" t="s">
        <v>227</v>
      </c>
      <c r="BA84" s="0" t="s">
        <v>227</v>
      </c>
      <c r="BB84" s="0" t="s">
        <v>227</v>
      </c>
      <c r="BC84" s="0" t="s">
        <v>227</v>
      </c>
      <c r="BD84" s="0" t="s">
        <v>227</v>
      </c>
      <c r="BE84" s="0" t="s">
        <v>5957</v>
      </c>
      <c r="BF84" s="0" t="s">
        <v>5958</v>
      </c>
      <c r="BG84" s="0" t="s">
        <v>112</v>
      </c>
      <c r="BH84" s="0" t="s">
        <v>5690</v>
      </c>
      <c r="BI84" s="0" t="s">
        <v>5691</v>
      </c>
      <c r="BJ84" s="0" t="s">
        <v>227</v>
      </c>
      <c r="BK84" s="0" t="s">
        <v>5692</v>
      </c>
      <c r="BL84" s="0" t="s">
        <v>352</v>
      </c>
      <c r="BM84" s="0" t="s">
        <v>352</v>
      </c>
      <c r="BN84" s="0" t="s">
        <v>5786</v>
      </c>
      <c r="BO84" s="0" t="s">
        <v>5669</v>
      </c>
      <c r="BP84" s="0" t="s">
        <v>5787</v>
      </c>
      <c r="BQ84" s="0" t="s">
        <v>5959</v>
      </c>
      <c r="BR84" s="0" t="s">
        <v>5692</v>
      </c>
      <c r="BS84" s="0" t="s">
        <v>227</v>
      </c>
      <c r="BT84" s="0" t="s">
        <v>5788</v>
      </c>
      <c r="BU84" s="0" t="s">
        <v>5960</v>
      </c>
      <c r="BV84" s="0" t="s">
        <v>5697</v>
      </c>
      <c r="BW84" s="0" t="s">
        <v>5697</v>
      </c>
      <c r="BX84" s="0" t="s">
        <v>5960</v>
      </c>
      <c r="BY84" s="0" t="s">
        <v>5697</v>
      </c>
      <c r="BZ84" s="0" t="s">
        <v>5697</v>
      </c>
      <c r="CA84" s="0" t="s">
        <v>5697</v>
      </c>
      <c r="CB84" s="0" t="s">
        <v>227</v>
      </c>
      <c r="CC84" s="0" t="s">
        <v>227</v>
      </c>
      <c r="CD84" s="0" t="s">
        <v>227</v>
      </c>
      <c r="CE84" s="0" t="s">
        <v>227</v>
      </c>
      <c r="CF84" s="0" t="s">
        <v>227</v>
      </c>
      <c r="CG84" s="0" t="s">
        <v>5697</v>
      </c>
      <c r="CH84" s="0" t="s">
        <v>227</v>
      </c>
      <c r="CI84" s="0" t="s">
        <v>227</v>
      </c>
      <c r="CJ84" s="0" t="s">
        <v>227</v>
      </c>
      <c r="CK84" s="0" t="s">
        <v>227</v>
      </c>
      <c r="CL84" s="0" t="s">
        <v>227</v>
      </c>
      <c r="CM84" s="0" t="s">
        <v>5960</v>
      </c>
      <c r="CN84" s="0" t="s">
        <v>227</v>
      </c>
      <c r="CO84" s="0" t="s">
        <v>227</v>
      </c>
      <c r="CP84" s="0" t="s">
        <v>5960</v>
      </c>
      <c r="CQ84" s="0" t="s">
        <v>227</v>
      </c>
      <c r="CR84" s="0" t="s">
        <v>227</v>
      </c>
      <c r="CS84" s="0" t="s">
        <v>5759</v>
      </c>
      <c r="CT84" s="0" t="s">
        <v>5679</v>
      </c>
      <c r="CU84" s="0" t="s">
        <v>5680</v>
      </c>
      <c r="CV84" s="0" t="s">
        <v>430</v>
      </c>
      <c r="CW84" s="0" t="s">
        <v>5681</v>
      </c>
      <c r="CX84" s="0" t="s">
        <v>431</v>
      </c>
      <c r="CY84" s="0" t="s">
        <v>430</v>
      </c>
      <c r="CZ84" s="0" t="s">
        <v>432</v>
      </c>
      <c r="DA84" s="0" t="s">
        <v>433</v>
      </c>
      <c r="DB84" s="0" t="s">
        <v>5682</v>
      </c>
      <c r="DC84" s="0" t="s">
        <v>373</v>
      </c>
      <c r="DD84" s="0" t="s">
        <v>277</v>
      </c>
      <c r="DE84" s="0" t="s">
        <v>436</v>
      </c>
    </row>
    <row customHeight="1" ht="11.25">
      <c r="A85" s="1806" t="s">
        <v>227</v>
      </c>
      <c r="B85" s="0" t="s">
        <v>227</v>
      </c>
      <c r="C85" s="0" t="s">
        <v>227</v>
      </c>
      <c r="D85" s="0" t="s">
        <v>227</v>
      </c>
      <c r="E85" s="0" t="s">
        <v>227</v>
      </c>
      <c r="F85" s="0" t="s">
        <v>227</v>
      </c>
      <c r="G85" s="0" t="s">
        <v>227</v>
      </c>
      <c r="H85" s="0" t="s">
        <v>227</v>
      </c>
      <c r="I85" s="0" t="s">
        <v>5667</v>
      </c>
      <c r="J85" s="0" t="s">
        <v>227</v>
      </c>
      <c r="K85" s="0" t="s">
        <v>227</v>
      </c>
      <c r="L85" s="0" t="s">
        <v>227</v>
      </c>
      <c r="M85" s="0" t="s">
        <v>227</v>
      </c>
      <c r="N85" s="0" t="s">
        <v>227</v>
      </c>
      <c r="O85" s="0" t="s">
        <v>227</v>
      </c>
      <c r="P85" s="0" t="s">
        <v>227</v>
      </c>
      <c r="Q85" s="0" t="s">
        <v>227</v>
      </c>
      <c r="R85" s="0" t="s">
        <v>428</v>
      </c>
      <c r="S85" s="0" t="s">
        <v>227</v>
      </c>
      <c r="T85" s="0" t="s">
        <v>227</v>
      </c>
      <c r="U85" s="0" t="s">
        <v>102</v>
      </c>
      <c r="V85" s="0" t="s">
        <v>227</v>
      </c>
      <c r="W85" s="0" t="s">
        <v>227</v>
      </c>
      <c r="X85" s="0" t="s">
        <v>5683</v>
      </c>
      <c r="Y85" s="0" t="s">
        <v>227</v>
      </c>
      <c r="Z85" s="0" t="s">
        <v>152</v>
      </c>
      <c r="AA85" s="0" t="s">
        <v>152</v>
      </c>
      <c r="AB85" s="0" t="s">
        <v>161</v>
      </c>
      <c r="AC85" s="0" t="s">
        <v>352</v>
      </c>
      <c r="AD85" s="0" t="s">
        <v>352</v>
      </c>
      <c r="AE85" s="0" t="s">
        <v>353</v>
      </c>
      <c r="AF85" s="0" t="s">
        <v>5669</v>
      </c>
      <c r="AG85" s="0" t="s">
        <v>5670</v>
      </c>
      <c r="AH85" s="0" t="s">
        <v>354</v>
      </c>
      <c r="AI85" s="0" t="s">
        <v>5692</v>
      </c>
      <c r="AJ85" s="0" t="s">
        <v>227</v>
      </c>
      <c r="AK85" s="0" t="s">
        <v>227</v>
      </c>
      <c r="AL85" s="0" t="s">
        <v>227</v>
      </c>
      <c r="AM85" s="0" t="s">
        <v>227</v>
      </c>
      <c r="AN85" s="0" t="s">
        <v>227</v>
      </c>
      <c r="AO85" s="0" t="s">
        <v>227</v>
      </c>
      <c r="AP85" s="0" t="s">
        <v>227</v>
      </c>
      <c r="AQ85" s="0" t="s">
        <v>227</v>
      </c>
      <c r="AR85" s="0" t="s">
        <v>227</v>
      </c>
      <c r="AS85" s="0" t="s">
        <v>227</v>
      </c>
      <c r="AT85" s="0" t="s">
        <v>227</v>
      </c>
      <c r="AU85" s="0" t="s">
        <v>227</v>
      </c>
      <c r="AV85" s="0" t="s">
        <v>227</v>
      </c>
      <c r="AW85" s="0" t="s">
        <v>227</v>
      </c>
      <c r="AX85" s="0" t="s">
        <v>227</v>
      </c>
      <c r="AY85" s="0" t="s">
        <v>227</v>
      </c>
      <c r="AZ85" s="0" t="s">
        <v>227</v>
      </c>
      <c r="BA85" s="0" t="s">
        <v>227</v>
      </c>
      <c r="BB85" s="0" t="s">
        <v>227</v>
      </c>
      <c r="BC85" s="0" t="s">
        <v>227</v>
      </c>
      <c r="BD85" s="0" t="s">
        <v>227</v>
      </c>
      <c r="BE85" s="0" t="s">
        <v>5961</v>
      </c>
      <c r="BF85" s="0" t="s">
        <v>5962</v>
      </c>
      <c r="BG85" s="0" t="s">
        <v>112</v>
      </c>
      <c r="BH85" s="0" t="s">
        <v>5690</v>
      </c>
      <c r="BI85" s="0" t="s">
        <v>5691</v>
      </c>
      <c r="BJ85" s="0" t="s">
        <v>227</v>
      </c>
      <c r="BK85" s="0" t="s">
        <v>5692</v>
      </c>
      <c r="BL85" s="0" t="s">
        <v>352</v>
      </c>
      <c r="BM85" s="0" t="s">
        <v>352</v>
      </c>
      <c r="BN85" s="0" t="s">
        <v>5786</v>
      </c>
      <c r="BO85" s="0" t="s">
        <v>5669</v>
      </c>
      <c r="BP85" s="0" t="s">
        <v>5787</v>
      </c>
      <c r="BQ85" s="0" t="s">
        <v>5959</v>
      </c>
      <c r="BR85" s="0" t="s">
        <v>5692</v>
      </c>
      <c r="BS85" s="0" t="s">
        <v>227</v>
      </c>
      <c r="BT85" s="0" t="s">
        <v>5788</v>
      </c>
      <c r="BU85" s="0" t="s">
        <v>5963</v>
      </c>
      <c r="BV85" s="0" t="s">
        <v>5697</v>
      </c>
      <c r="BW85" s="0" t="s">
        <v>5697</v>
      </c>
      <c r="BX85" s="0" t="s">
        <v>5963</v>
      </c>
      <c r="BY85" s="0" t="s">
        <v>5697</v>
      </c>
      <c r="BZ85" s="0" t="s">
        <v>5697</v>
      </c>
      <c r="CA85" s="0" t="s">
        <v>5697</v>
      </c>
      <c r="CB85" s="0" t="s">
        <v>227</v>
      </c>
      <c r="CC85" s="0" t="s">
        <v>227</v>
      </c>
      <c r="CD85" s="0" t="s">
        <v>227</v>
      </c>
      <c r="CE85" s="0" t="s">
        <v>227</v>
      </c>
      <c r="CF85" s="0" t="s">
        <v>227</v>
      </c>
      <c r="CG85" s="0" t="s">
        <v>5697</v>
      </c>
      <c r="CH85" s="0" t="s">
        <v>227</v>
      </c>
      <c r="CI85" s="0" t="s">
        <v>227</v>
      </c>
      <c r="CJ85" s="0" t="s">
        <v>227</v>
      </c>
      <c r="CK85" s="0" t="s">
        <v>227</v>
      </c>
      <c r="CL85" s="0" t="s">
        <v>227</v>
      </c>
      <c r="CM85" s="0" t="s">
        <v>5963</v>
      </c>
      <c r="CN85" s="0" t="s">
        <v>227</v>
      </c>
      <c r="CO85" s="0" t="s">
        <v>227</v>
      </c>
      <c r="CP85" s="0" t="s">
        <v>5963</v>
      </c>
      <c r="CQ85" s="0" t="s">
        <v>227</v>
      </c>
      <c r="CR85" s="0" t="s">
        <v>227</v>
      </c>
      <c r="CS85" s="0" t="s">
        <v>5759</v>
      </c>
      <c r="CT85" s="0" t="s">
        <v>5679</v>
      </c>
      <c r="CU85" s="0" t="s">
        <v>5680</v>
      </c>
      <c r="CV85" s="0" t="s">
        <v>430</v>
      </c>
      <c r="CW85" s="0" t="s">
        <v>5681</v>
      </c>
      <c r="CX85" s="0" t="s">
        <v>431</v>
      </c>
      <c r="CY85" s="0" t="s">
        <v>430</v>
      </c>
      <c r="CZ85" s="0" t="s">
        <v>432</v>
      </c>
      <c r="DA85" s="0" t="s">
        <v>433</v>
      </c>
      <c r="DB85" s="0" t="s">
        <v>5682</v>
      </c>
      <c r="DC85" s="0" t="s">
        <v>373</v>
      </c>
      <c r="DD85" s="0" t="s">
        <v>277</v>
      </c>
      <c r="DE85" s="0" t="s">
        <v>429</v>
      </c>
    </row>
    <row customHeight="1" ht="11.25">
      <c r="A86" s="1806" t="s">
        <v>227</v>
      </c>
      <c r="B86" s="0" t="s">
        <v>227</v>
      </c>
      <c r="C86" s="0" t="s">
        <v>227</v>
      </c>
      <c r="D86" s="0" t="s">
        <v>227</v>
      </c>
      <c r="E86" s="0" t="s">
        <v>227</v>
      </c>
      <c r="F86" s="0" t="s">
        <v>227</v>
      </c>
      <c r="G86" s="0" t="s">
        <v>227</v>
      </c>
      <c r="H86" s="0" t="s">
        <v>227</v>
      </c>
      <c r="I86" s="0" t="s">
        <v>5667</v>
      </c>
      <c r="J86" s="0" t="s">
        <v>227</v>
      </c>
      <c r="K86" s="0" t="s">
        <v>227</v>
      </c>
      <c r="L86" s="0" t="s">
        <v>227</v>
      </c>
      <c r="M86" s="0" t="s">
        <v>227</v>
      </c>
      <c r="N86" s="0" t="s">
        <v>227</v>
      </c>
      <c r="O86" s="0" t="s">
        <v>227</v>
      </c>
      <c r="P86" s="0" t="s">
        <v>227</v>
      </c>
      <c r="Q86" s="0" t="s">
        <v>227</v>
      </c>
      <c r="R86" s="0" t="s">
        <v>841</v>
      </c>
      <c r="S86" s="0" t="s">
        <v>227</v>
      </c>
      <c r="T86" s="0" t="s">
        <v>227</v>
      </c>
      <c r="U86" s="0" t="s">
        <v>102</v>
      </c>
      <c r="V86" s="0" t="s">
        <v>227</v>
      </c>
      <c r="W86" s="0" t="s">
        <v>227</v>
      </c>
      <c r="X86" s="0" t="s">
        <v>5683</v>
      </c>
      <c r="Y86" s="0" t="s">
        <v>227</v>
      </c>
      <c r="Z86" s="0" t="s">
        <v>152</v>
      </c>
      <c r="AA86" s="0" t="s">
        <v>152</v>
      </c>
      <c r="AB86" s="0" t="s">
        <v>161</v>
      </c>
      <c r="AC86" s="0" t="s">
        <v>354</v>
      </c>
      <c r="AD86" s="0" t="s">
        <v>354</v>
      </c>
      <c r="AE86" s="0" t="s">
        <v>355</v>
      </c>
      <c r="AF86" s="0" t="s">
        <v>5701</v>
      </c>
      <c r="AG86" s="0" t="s">
        <v>5702</v>
      </c>
      <c r="AH86" s="0" t="s">
        <v>5964</v>
      </c>
      <c r="AI86" s="0" t="s">
        <v>5849</v>
      </c>
      <c r="AJ86" s="0" t="s">
        <v>227</v>
      </c>
      <c r="AK86" s="0" t="s">
        <v>227</v>
      </c>
      <c r="AL86" s="0" t="s">
        <v>227</v>
      </c>
      <c r="AM86" s="0" t="s">
        <v>227</v>
      </c>
      <c r="AN86" s="0" t="s">
        <v>227</v>
      </c>
      <c r="AO86" s="0" t="s">
        <v>227</v>
      </c>
      <c r="AP86" s="0" t="s">
        <v>227</v>
      </c>
      <c r="AQ86" s="0" t="s">
        <v>227</v>
      </c>
      <c r="AR86" s="0" t="s">
        <v>227</v>
      </c>
      <c r="AS86" s="0" t="s">
        <v>227</v>
      </c>
      <c r="AT86" s="0" t="s">
        <v>227</v>
      </c>
      <c r="AU86" s="0" t="s">
        <v>227</v>
      </c>
      <c r="AV86" s="0" t="s">
        <v>227</v>
      </c>
      <c r="AW86" s="0" t="s">
        <v>227</v>
      </c>
      <c r="AX86" s="0" t="s">
        <v>227</v>
      </c>
      <c r="AY86" s="0" t="s">
        <v>227</v>
      </c>
      <c r="AZ86" s="0" t="s">
        <v>227</v>
      </c>
      <c r="BA86" s="0" t="s">
        <v>227</v>
      </c>
      <c r="BB86" s="0" t="s">
        <v>227</v>
      </c>
      <c r="BC86" s="0" t="s">
        <v>227</v>
      </c>
      <c r="BD86" s="0" t="s">
        <v>227</v>
      </c>
      <c r="BE86" s="0" t="s">
        <v>5748</v>
      </c>
      <c r="BF86" s="0" t="s">
        <v>5820</v>
      </c>
      <c r="BG86" s="0" t="s">
        <v>112</v>
      </c>
      <c r="BH86" s="0" t="s">
        <v>5690</v>
      </c>
      <c r="BI86" s="0" t="s">
        <v>5691</v>
      </c>
      <c r="BJ86" s="0" t="s">
        <v>227</v>
      </c>
      <c r="BK86" s="0" t="s">
        <v>952</v>
      </c>
      <c r="BL86" s="0" t="s">
        <v>354</v>
      </c>
      <c r="BM86" s="0" t="s">
        <v>354</v>
      </c>
      <c r="BN86" s="0" t="s">
        <v>5693</v>
      </c>
      <c r="BO86" s="0" t="s">
        <v>5701</v>
      </c>
      <c r="BP86" s="0" t="s">
        <v>5706</v>
      </c>
      <c r="BQ86" s="0" t="s">
        <v>5707</v>
      </c>
      <c r="BR86" s="0" t="s">
        <v>5708</v>
      </c>
      <c r="BS86" s="0" t="s">
        <v>227</v>
      </c>
      <c r="BT86" s="0" t="s">
        <v>5695</v>
      </c>
      <c r="BU86" s="0" t="s">
        <v>5965</v>
      </c>
      <c r="BV86" s="0" t="s">
        <v>5965</v>
      </c>
      <c r="BW86" s="0" t="s">
        <v>5697</v>
      </c>
      <c r="BX86" s="0" t="s">
        <v>5697</v>
      </c>
      <c r="BY86" s="0" t="s">
        <v>5697</v>
      </c>
      <c r="BZ86" s="0" t="s">
        <v>5697</v>
      </c>
      <c r="CA86" s="0" t="s">
        <v>5697</v>
      </c>
      <c r="CB86" s="0" t="s">
        <v>227</v>
      </c>
      <c r="CC86" s="0" t="s">
        <v>227</v>
      </c>
      <c r="CD86" s="0" t="s">
        <v>227</v>
      </c>
      <c r="CE86" s="0" t="s">
        <v>227</v>
      </c>
      <c r="CF86" s="0" t="s">
        <v>227</v>
      </c>
      <c r="CG86" s="0" t="s">
        <v>5697</v>
      </c>
      <c r="CH86" s="0" t="s">
        <v>227</v>
      </c>
      <c r="CI86" s="0" t="s">
        <v>227</v>
      </c>
      <c r="CJ86" s="0" t="s">
        <v>227</v>
      </c>
      <c r="CK86" s="0" t="s">
        <v>227</v>
      </c>
      <c r="CL86" s="0" t="s">
        <v>227</v>
      </c>
      <c r="CM86" s="0" t="s">
        <v>5965</v>
      </c>
      <c r="CN86" s="0" t="s">
        <v>5965</v>
      </c>
      <c r="CO86" s="0" t="s">
        <v>227</v>
      </c>
      <c r="CP86" s="0" t="s">
        <v>227</v>
      </c>
      <c r="CQ86" s="0" t="s">
        <v>227</v>
      </c>
      <c r="CR86" s="0" t="s">
        <v>227</v>
      </c>
      <c r="CS86" s="0" t="s">
        <v>5773</v>
      </c>
      <c r="CT86" s="0" t="s">
        <v>5679</v>
      </c>
      <c r="CU86" s="0" t="s">
        <v>5680</v>
      </c>
      <c r="CV86" s="0" t="s">
        <v>430</v>
      </c>
      <c r="CW86" s="0" t="s">
        <v>5699</v>
      </c>
      <c r="CX86" s="0" t="s">
        <v>431</v>
      </c>
      <c r="CY86" s="0" t="s">
        <v>430</v>
      </c>
      <c r="CZ86" s="0" t="s">
        <v>432</v>
      </c>
      <c r="DA86" s="0" t="s">
        <v>433</v>
      </c>
      <c r="DB86" s="0" t="s">
        <v>5700</v>
      </c>
      <c r="DC86" s="0" t="s">
        <v>373</v>
      </c>
      <c r="DD86" s="0" t="s">
        <v>277</v>
      </c>
      <c r="DE86" s="0" t="s">
        <v>842</v>
      </c>
    </row>
    <row customHeight="1" ht="11.25">
      <c r="A87" s="1806" t="s">
        <v>227</v>
      </c>
      <c r="B87" s="0" t="s">
        <v>227</v>
      </c>
      <c r="C87" s="0" t="s">
        <v>227</v>
      </c>
      <c r="D87" s="0" t="s">
        <v>227</v>
      </c>
      <c r="E87" s="0" t="s">
        <v>227</v>
      </c>
      <c r="F87" s="0" t="s">
        <v>227</v>
      </c>
      <c r="G87" s="0" t="s">
        <v>227</v>
      </c>
      <c r="H87" s="0" t="s">
        <v>227</v>
      </c>
      <c r="I87" s="0" t="s">
        <v>5667</v>
      </c>
      <c r="J87" s="0" t="s">
        <v>227</v>
      </c>
      <c r="K87" s="0" t="s">
        <v>227</v>
      </c>
      <c r="L87" s="0" t="s">
        <v>227</v>
      </c>
      <c r="M87" s="0" t="s">
        <v>227</v>
      </c>
      <c r="N87" s="0" t="s">
        <v>227</v>
      </c>
      <c r="O87" s="0" t="s">
        <v>227</v>
      </c>
      <c r="P87" s="0" t="s">
        <v>227</v>
      </c>
      <c r="Q87" s="0" t="s">
        <v>227</v>
      </c>
      <c r="R87" s="0" t="s">
        <v>759</v>
      </c>
      <c r="S87" s="0" t="s">
        <v>227</v>
      </c>
      <c r="T87" s="0" t="s">
        <v>227</v>
      </c>
      <c r="U87" s="0" t="s">
        <v>102</v>
      </c>
      <c r="V87" s="0" t="s">
        <v>227</v>
      </c>
      <c r="W87" s="0" t="s">
        <v>227</v>
      </c>
      <c r="X87" s="0" t="s">
        <v>5683</v>
      </c>
      <c r="Y87" s="0" t="s">
        <v>227</v>
      </c>
      <c r="Z87" s="0" t="s">
        <v>152</v>
      </c>
      <c r="AA87" s="0" t="s">
        <v>152</v>
      </c>
      <c r="AB87" s="0" t="s">
        <v>161</v>
      </c>
      <c r="AC87" s="0" t="s">
        <v>354</v>
      </c>
      <c r="AD87" s="0" t="s">
        <v>354</v>
      </c>
      <c r="AE87" s="0" t="s">
        <v>355</v>
      </c>
      <c r="AF87" s="0" t="s">
        <v>5701</v>
      </c>
      <c r="AG87" s="0" t="s">
        <v>5702</v>
      </c>
      <c r="AH87" s="0" t="s">
        <v>5966</v>
      </c>
      <c r="AI87" s="0" t="s">
        <v>5967</v>
      </c>
      <c r="AJ87" s="0" t="s">
        <v>227</v>
      </c>
      <c r="AK87" s="0" t="s">
        <v>227</v>
      </c>
      <c r="AL87" s="0" t="s">
        <v>227</v>
      </c>
      <c r="AM87" s="0" t="s">
        <v>227</v>
      </c>
      <c r="AN87" s="0" t="s">
        <v>227</v>
      </c>
      <c r="AO87" s="0" t="s">
        <v>227</v>
      </c>
      <c r="AP87" s="0" t="s">
        <v>227</v>
      </c>
      <c r="AQ87" s="0" t="s">
        <v>227</v>
      </c>
      <c r="AR87" s="0" t="s">
        <v>227</v>
      </c>
      <c r="AS87" s="0" t="s">
        <v>227</v>
      </c>
      <c r="AT87" s="0" t="s">
        <v>227</v>
      </c>
      <c r="AU87" s="0" t="s">
        <v>227</v>
      </c>
      <c r="AV87" s="0" t="s">
        <v>227</v>
      </c>
      <c r="AW87" s="0" t="s">
        <v>227</v>
      </c>
      <c r="AX87" s="0" t="s">
        <v>227</v>
      </c>
      <c r="AY87" s="0" t="s">
        <v>227</v>
      </c>
      <c r="AZ87" s="0" t="s">
        <v>227</v>
      </c>
      <c r="BA87" s="0" t="s">
        <v>227</v>
      </c>
      <c r="BB87" s="0" t="s">
        <v>227</v>
      </c>
      <c r="BC87" s="0" t="s">
        <v>227</v>
      </c>
      <c r="BD87" s="0" t="s">
        <v>227</v>
      </c>
      <c r="BE87" s="0" t="s">
        <v>5716</v>
      </c>
      <c r="BF87" s="0" t="s">
        <v>5717</v>
      </c>
      <c r="BG87" s="0" t="s">
        <v>112</v>
      </c>
      <c r="BH87" s="0" t="s">
        <v>5690</v>
      </c>
      <c r="BI87" s="0" t="s">
        <v>5691</v>
      </c>
      <c r="BJ87" s="0" t="s">
        <v>227</v>
      </c>
      <c r="BK87" s="0" t="s">
        <v>952</v>
      </c>
      <c r="BL87" s="0" t="s">
        <v>354</v>
      </c>
      <c r="BM87" s="0" t="s">
        <v>354</v>
      </c>
      <c r="BN87" s="0" t="s">
        <v>5693</v>
      </c>
      <c r="BO87" s="0" t="s">
        <v>5701</v>
      </c>
      <c r="BP87" s="0" t="s">
        <v>5706</v>
      </c>
      <c r="BQ87" s="0" t="s">
        <v>5707</v>
      </c>
      <c r="BR87" s="0" t="s">
        <v>5708</v>
      </c>
      <c r="BS87" s="0" t="s">
        <v>227</v>
      </c>
      <c r="BT87" s="0" t="s">
        <v>5695</v>
      </c>
      <c r="BU87" s="0" t="s">
        <v>5968</v>
      </c>
      <c r="BV87" s="0" t="s">
        <v>5968</v>
      </c>
      <c r="BW87" s="0" t="s">
        <v>5697</v>
      </c>
      <c r="BX87" s="0" t="s">
        <v>5697</v>
      </c>
      <c r="BY87" s="0" t="s">
        <v>5697</v>
      </c>
      <c r="BZ87" s="0" t="s">
        <v>5697</v>
      </c>
      <c r="CA87" s="0" t="s">
        <v>5697</v>
      </c>
      <c r="CB87" s="0" t="s">
        <v>227</v>
      </c>
      <c r="CC87" s="0" t="s">
        <v>227</v>
      </c>
      <c r="CD87" s="0" t="s">
        <v>227</v>
      </c>
      <c r="CE87" s="0" t="s">
        <v>227</v>
      </c>
      <c r="CF87" s="0" t="s">
        <v>227</v>
      </c>
      <c r="CG87" s="0" t="s">
        <v>5697</v>
      </c>
      <c r="CH87" s="0" t="s">
        <v>227</v>
      </c>
      <c r="CI87" s="0" t="s">
        <v>227</v>
      </c>
      <c r="CJ87" s="0" t="s">
        <v>227</v>
      </c>
      <c r="CK87" s="0" t="s">
        <v>227</v>
      </c>
      <c r="CL87" s="0" t="s">
        <v>227</v>
      </c>
      <c r="CM87" s="0" t="s">
        <v>5968</v>
      </c>
      <c r="CN87" s="0" t="s">
        <v>5968</v>
      </c>
      <c r="CO87" s="0" t="s">
        <v>227</v>
      </c>
      <c r="CP87" s="0" t="s">
        <v>227</v>
      </c>
      <c r="CQ87" s="0" t="s">
        <v>227</v>
      </c>
      <c r="CR87" s="0" t="s">
        <v>227</v>
      </c>
      <c r="CS87" s="0" t="s">
        <v>5733</v>
      </c>
      <c r="CT87" s="0" t="s">
        <v>5679</v>
      </c>
      <c r="CU87" s="0" t="s">
        <v>5680</v>
      </c>
      <c r="CV87" s="0" t="s">
        <v>430</v>
      </c>
      <c r="CW87" s="0" t="s">
        <v>5699</v>
      </c>
      <c r="CX87" s="0" t="s">
        <v>431</v>
      </c>
      <c r="CY87" s="0" t="s">
        <v>430</v>
      </c>
      <c r="CZ87" s="0" t="s">
        <v>432</v>
      </c>
      <c r="DA87" s="0" t="s">
        <v>433</v>
      </c>
      <c r="DB87" s="0" t="s">
        <v>5700</v>
      </c>
      <c r="DC87" s="0" t="s">
        <v>373</v>
      </c>
      <c r="DD87" s="0" t="s">
        <v>277</v>
      </c>
      <c r="DE87" s="0" t="s">
        <v>760</v>
      </c>
    </row>
    <row customHeight="1" ht="11.25">
      <c r="A88" s="1806" t="s">
        <v>227</v>
      </c>
      <c r="B88" s="0" t="s">
        <v>227</v>
      </c>
      <c r="C88" s="0" t="s">
        <v>227</v>
      </c>
      <c r="D88" s="0" t="s">
        <v>227</v>
      </c>
      <c r="E88" s="0" t="s">
        <v>227</v>
      </c>
      <c r="F88" s="0" t="s">
        <v>227</v>
      </c>
      <c r="G88" s="0" t="s">
        <v>227</v>
      </c>
      <c r="H88" s="0" t="s">
        <v>227</v>
      </c>
      <c r="I88" s="0" t="s">
        <v>5667</v>
      </c>
      <c r="J88" s="0" t="s">
        <v>227</v>
      </c>
      <c r="K88" s="0" t="s">
        <v>227</v>
      </c>
      <c r="L88" s="0" t="s">
        <v>227</v>
      </c>
      <c r="M88" s="0" t="s">
        <v>227</v>
      </c>
      <c r="N88" s="0" t="s">
        <v>227</v>
      </c>
      <c r="O88" s="0" t="s">
        <v>227</v>
      </c>
      <c r="P88" s="0" t="s">
        <v>227</v>
      </c>
      <c r="Q88" s="0" t="s">
        <v>227</v>
      </c>
      <c r="R88" s="0" t="s">
        <v>518</v>
      </c>
      <c r="S88" s="0" t="s">
        <v>227</v>
      </c>
      <c r="T88" s="0" t="s">
        <v>227</v>
      </c>
      <c r="U88" s="0" t="s">
        <v>102</v>
      </c>
      <c r="V88" s="0" t="s">
        <v>227</v>
      </c>
      <c r="W88" s="0" t="s">
        <v>227</v>
      </c>
      <c r="X88" s="0" t="s">
        <v>5683</v>
      </c>
      <c r="Y88" s="0" t="s">
        <v>227</v>
      </c>
      <c r="Z88" s="0" t="s">
        <v>152</v>
      </c>
      <c r="AA88" s="0" t="s">
        <v>152</v>
      </c>
      <c r="AB88" s="0" t="s">
        <v>161</v>
      </c>
      <c r="AC88" s="0" t="s">
        <v>354</v>
      </c>
      <c r="AD88" s="0" t="s">
        <v>354</v>
      </c>
      <c r="AE88" s="0" t="s">
        <v>355</v>
      </c>
      <c r="AF88" s="0" t="s">
        <v>5684</v>
      </c>
      <c r="AG88" s="0" t="s">
        <v>5685</v>
      </c>
      <c r="AH88" s="0" t="s">
        <v>5969</v>
      </c>
      <c r="AI88" s="0" t="s">
        <v>5970</v>
      </c>
      <c r="AJ88" s="0" t="s">
        <v>227</v>
      </c>
      <c r="AK88" s="0" t="s">
        <v>227</v>
      </c>
      <c r="AL88" s="0" t="s">
        <v>227</v>
      </c>
      <c r="AM88" s="0" t="s">
        <v>227</v>
      </c>
      <c r="AN88" s="0" t="s">
        <v>227</v>
      </c>
      <c r="AO88" s="0" t="s">
        <v>227</v>
      </c>
      <c r="AP88" s="0" t="s">
        <v>227</v>
      </c>
      <c r="AQ88" s="0" t="s">
        <v>227</v>
      </c>
      <c r="AR88" s="0" t="s">
        <v>227</v>
      </c>
      <c r="AS88" s="0" t="s">
        <v>227</v>
      </c>
      <c r="AT88" s="0" t="s">
        <v>227</v>
      </c>
      <c r="AU88" s="0" t="s">
        <v>227</v>
      </c>
      <c r="AV88" s="0" t="s">
        <v>227</v>
      </c>
      <c r="AW88" s="0" t="s">
        <v>227</v>
      </c>
      <c r="AX88" s="0" t="s">
        <v>227</v>
      </c>
      <c r="AY88" s="0" t="s">
        <v>227</v>
      </c>
      <c r="AZ88" s="0" t="s">
        <v>227</v>
      </c>
      <c r="BA88" s="0" t="s">
        <v>227</v>
      </c>
      <c r="BB88" s="0" t="s">
        <v>227</v>
      </c>
      <c r="BC88" s="0" t="s">
        <v>227</v>
      </c>
      <c r="BD88" s="0" t="s">
        <v>227</v>
      </c>
      <c r="BE88" s="0" t="s">
        <v>5971</v>
      </c>
      <c r="BF88" s="0" t="s">
        <v>5972</v>
      </c>
      <c r="BG88" s="0" t="s">
        <v>112</v>
      </c>
      <c r="BH88" s="0" t="s">
        <v>5690</v>
      </c>
      <c r="BI88" s="0" t="s">
        <v>5691</v>
      </c>
      <c r="BJ88" s="0" t="s">
        <v>227</v>
      </c>
      <c r="BK88" s="0" t="s">
        <v>5692</v>
      </c>
      <c r="BL88" s="0" t="s">
        <v>354</v>
      </c>
      <c r="BM88" s="0" t="s">
        <v>354</v>
      </c>
      <c r="BN88" s="0" t="s">
        <v>5693</v>
      </c>
      <c r="BO88" s="0" t="s">
        <v>5684</v>
      </c>
      <c r="BP88" s="0" t="s">
        <v>5694</v>
      </c>
      <c r="BQ88" s="0" t="s">
        <v>5692</v>
      </c>
      <c r="BR88" s="0" t="s">
        <v>5692</v>
      </c>
      <c r="BS88" s="0" t="s">
        <v>227</v>
      </c>
      <c r="BT88" s="0" t="s">
        <v>5709</v>
      </c>
      <c r="BU88" s="0" t="s">
        <v>5973</v>
      </c>
      <c r="BV88" s="0" t="s">
        <v>5973</v>
      </c>
      <c r="BW88" s="0" t="s">
        <v>5697</v>
      </c>
      <c r="BX88" s="0" t="s">
        <v>5697</v>
      </c>
      <c r="BY88" s="0" t="s">
        <v>5697</v>
      </c>
      <c r="BZ88" s="0" t="s">
        <v>5697</v>
      </c>
      <c r="CA88" s="0" t="s">
        <v>5697</v>
      </c>
      <c r="CB88" s="0" t="s">
        <v>227</v>
      </c>
      <c r="CC88" s="0" t="s">
        <v>227</v>
      </c>
      <c r="CD88" s="0" t="s">
        <v>227</v>
      </c>
      <c r="CE88" s="0" t="s">
        <v>227</v>
      </c>
      <c r="CF88" s="0" t="s">
        <v>227</v>
      </c>
      <c r="CG88" s="0" t="s">
        <v>5697</v>
      </c>
      <c r="CH88" s="0" t="s">
        <v>227</v>
      </c>
      <c r="CI88" s="0" t="s">
        <v>227</v>
      </c>
      <c r="CJ88" s="0" t="s">
        <v>227</v>
      </c>
      <c r="CK88" s="0" t="s">
        <v>227</v>
      </c>
      <c r="CL88" s="0" t="s">
        <v>227</v>
      </c>
      <c r="CM88" s="0" t="s">
        <v>5973</v>
      </c>
      <c r="CN88" s="0" t="s">
        <v>5973</v>
      </c>
      <c r="CO88" s="0" t="s">
        <v>227</v>
      </c>
      <c r="CP88" s="0" t="s">
        <v>227</v>
      </c>
      <c r="CQ88" s="0" t="s">
        <v>227</v>
      </c>
      <c r="CR88" s="0" t="s">
        <v>227</v>
      </c>
      <c r="CS88" s="0" t="s">
        <v>5714</v>
      </c>
      <c r="CT88" s="0" t="s">
        <v>5679</v>
      </c>
      <c r="CU88" s="0" t="s">
        <v>5680</v>
      </c>
      <c r="CV88" s="0" t="s">
        <v>430</v>
      </c>
      <c r="CW88" s="0" t="s">
        <v>5699</v>
      </c>
      <c r="CX88" s="0" t="s">
        <v>431</v>
      </c>
      <c r="CY88" s="0" t="s">
        <v>430</v>
      </c>
      <c r="CZ88" s="0" t="s">
        <v>432</v>
      </c>
      <c r="DA88" s="0" t="s">
        <v>433</v>
      </c>
      <c r="DB88" s="0" t="s">
        <v>5700</v>
      </c>
      <c r="DC88" s="0" t="s">
        <v>373</v>
      </c>
      <c r="DD88" s="0" t="s">
        <v>277</v>
      </c>
      <c r="DE88" s="0" t="s">
        <v>519</v>
      </c>
    </row>
    <row customHeight="1" ht="11.25">
      <c r="A89" s="1806" t="s">
        <v>227</v>
      </c>
      <c r="B89" s="0" t="s">
        <v>227</v>
      </c>
      <c r="C89" s="0" t="s">
        <v>227</v>
      </c>
      <c r="D89" s="0" t="s">
        <v>227</v>
      </c>
      <c r="E89" s="0" t="s">
        <v>227</v>
      </c>
      <c r="F89" s="0" t="s">
        <v>227</v>
      </c>
      <c r="G89" s="0" t="s">
        <v>227</v>
      </c>
      <c r="H89" s="0" t="s">
        <v>227</v>
      </c>
      <c r="I89" s="0" t="s">
        <v>5667</v>
      </c>
      <c r="J89" s="0" t="s">
        <v>227</v>
      </c>
      <c r="K89" s="0" t="s">
        <v>227</v>
      </c>
      <c r="L89" s="0" t="s">
        <v>227</v>
      </c>
      <c r="M89" s="0" t="s">
        <v>227</v>
      </c>
      <c r="N89" s="0" t="s">
        <v>227</v>
      </c>
      <c r="O89" s="0" t="s">
        <v>227</v>
      </c>
      <c r="P89" s="0" t="s">
        <v>227</v>
      </c>
      <c r="Q89" s="0" t="s">
        <v>227</v>
      </c>
      <c r="R89" s="0" t="s">
        <v>524</v>
      </c>
      <c r="S89" s="0" t="s">
        <v>227</v>
      </c>
      <c r="T89" s="0" t="s">
        <v>227</v>
      </c>
      <c r="U89" s="0" t="s">
        <v>102</v>
      </c>
      <c r="V89" s="0" t="s">
        <v>227</v>
      </c>
      <c r="W89" s="0" t="s">
        <v>227</v>
      </c>
      <c r="X89" s="0" t="s">
        <v>5683</v>
      </c>
      <c r="Y89" s="0" t="s">
        <v>227</v>
      </c>
      <c r="Z89" s="0" t="s">
        <v>152</v>
      </c>
      <c r="AA89" s="0" t="s">
        <v>152</v>
      </c>
      <c r="AB89" s="0" t="s">
        <v>161</v>
      </c>
      <c r="AC89" s="0" t="s">
        <v>354</v>
      </c>
      <c r="AD89" s="0" t="s">
        <v>354</v>
      </c>
      <c r="AE89" s="0" t="s">
        <v>355</v>
      </c>
      <c r="AF89" s="0" t="s">
        <v>5684</v>
      </c>
      <c r="AG89" s="0" t="s">
        <v>5685</v>
      </c>
      <c r="AH89" s="0" t="s">
        <v>5974</v>
      </c>
      <c r="AI89" s="0" t="s">
        <v>5975</v>
      </c>
      <c r="AJ89" s="0" t="s">
        <v>227</v>
      </c>
      <c r="AK89" s="0" t="s">
        <v>227</v>
      </c>
      <c r="AL89" s="0" t="s">
        <v>227</v>
      </c>
      <c r="AM89" s="0" t="s">
        <v>227</v>
      </c>
      <c r="AN89" s="0" t="s">
        <v>227</v>
      </c>
      <c r="AO89" s="0" t="s">
        <v>227</v>
      </c>
      <c r="AP89" s="0" t="s">
        <v>227</v>
      </c>
      <c r="AQ89" s="0" t="s">
        <v>227</v>
      </c>
      <c r="AR89" s="0" t="s">
        <v>227</v>
      </c>
      <c r="AS89" s="0" t="s">
        <v>227</v>
      </c>
      <c r="AT89" s="0" t="s">
        <v>227</v>
      </c>
      <c r="AU89" s="0" t="s">
        <v>227</v>
      </c>
      <c r="AV89" s="0" t="s">
        <v>227</v>
      </c>
      <c r="AW89" s="0" t="s">
        <v>227</v>
      </c>
      <c r="AX89" s="0" t="s">
        <v>227</v>
      </c>
      <c r="AY89" s="0" t="s">
        <v>227</v>
      </c>
      <c r="AZ89" s="0" t="s">
        <v>227</v>
      </c>
      <c r="BA89" s="0" t="s">
        <v>227</v>
      </c>
      <c r="BB89" s="0" t="s">
        <v>227</v>
      </c>
      <c r="BC89" s="0" t="s">
        <v>227</v>
      </c>
      <c r="BD89" s="0" t="s">
        <v>227</v>
      </c>
      <c r="BE89" s="0" t="s">
        <v>5971</v>
      </c>
      <c r="BF89" s="0" t="s">
        <v>5731</v>
      </c>
      <c r="BG89" s="0" t="s">
        <v>112</v>
      </c>
      <c r="BH89" s="0" t="s">
        <v>5690</v>
      </c>
      <c r="BI89" s="0" t="s">
        <v>5691</v>
      </c>
      <c r="BJ89" s="0" t="s">
        <v>227</v>
      </c>
      <c r="BK89" s="0" t="s">
        <v>5692</v>
      </c>
      <c r="BL89" s="0" t="s">
        <v>354</v>
      </c>
      <c r="BM89" s="0" t="s">
        <v>354</v>
      </c>
      <c r="BN89" s="0" t="s">
        <v>5693</v>
      </c>
      <c r="BO89" s="0" t="s">
        <v>5684</v>
      </c>
      <c r="BP89" s="0" t="s">
        <v>5694</v>
      </c>
      <c r="BQ89" s="0" t="s">
        <v>5692</v>
      </c>
      <c r="BR89" s="0" t="s">
        <v>5692</v>
      </c>
      <c r="BS89" s="0" t="s">
        <v>227</v>
      </c>
      <c r="BT89" s="0" t="s">
        <v>5709</v>
      </c>
      <c r="BU89" s="0" t="s">
        <v>5976</v>
      </c>
      <c r="BV89" s="0" t="s">
        <v>5976</v>
      </c>
      <c r="BW89" s="0" t="s">
        <v>5697</v>
      </c>
      <c r="BX89" s="0" t="s">
        <v>5697</v>
      </c>
      <c r="BY89" s="0" t="s">
        <v>5697</v>
      </c>
      <c r="BZ89" s="0" t="s">
        <v>5697</v>
      </c>
      <c r="CA89" s="0" t="s">
        <v>5697</v>
      </c>
      <c r="CB89" s="0" t="s">
        <v>227</v>
      </c>
      <c r="CC89" s="0" t="s">
        <v>227</v>
      </c>
      <c r="CD89" s="0" t="s">
        <v>227</v>
      </c>
      <c r="CE89" s="0" t="s">
        <v>227</v>
      </c>
      <c r="CF89" s="0" t="s">
        <v>227</v>
      </c>
      <c r="CG89" s="0" t="s">
        <v>5697</v>
      </c>
      <c r="CH89" s="0" t="s">
        <v>227</v>
      </c>
      <c r="CI89" s="0" t="s">
        <v>227</v>
      </c>
      <c r="CJ89" s="0" t="s">
        <v>227</v>
      </c>
      <c r="CK89" s="0" t="s">
        <v>227</v>
      </c>
      <c r="CL89" s="0" t="s">
        <v>227</v>
      </c>
      <c r="CM89" s="0" t="s">
        <v>5976</v>
      </c>
      <c r="CN89" s="0" t="s">
        <v>5976</v>
      </c>
      <c r="CO89" s="0" t="s">
        <v>227</v>
      </c>
      <c r="CP89" s="0" t="s">
        <v>227</v>
      </c>
      <c r="CQ89" s="0" t="s">
        <v>227</v>
      </c>
      <c r="CR89" s="0" t="s">
        <v>227</v>
      </c>
      <c r="CS89" s="0" t="s">
        <v>5705</v>
      </c>
      <c r="CT89" s="0" t="s">
        <v>5679</v>
      </c>
      <c r="CU89" s="0" t="s">
        <v>5680</v>
      </c>
      <c r="CV89" s="0" t="s">
        <v>430</v>
      </c>
      <c r="CW89" s="0" t="s">
        <v>5699</v>
      </c>
      <c r="CX89" s="0" t="s">
        <v>431</v>
      </c>
      <c r="CY89" s="0" t="s">
        <v>430</v>
      </c>
      <c r="CZ89" s="0" t="s">
        <v>432</v>
      </c>
      <c r="DA89" s="0" t="s">
        <v>433</v>
      </c>
      <c r="DB89" s="0" t="s">
        <v>5700</v>
      </c>
      <c r="DC89" s="0" t="s">
        <v>373</v>
      </c>
      <c r="DD89" s="0" t="s">
        <v>277</v>
      </c>
      <c r="DE89" s="0" t="s">
        <v>525</v>
      </c>
    </row>
    <row customHeight="1" ht="11.25">
      <c r="A90" s="1806" t="s">
        <v>227</v>
      </c>
      <c r="B90" s="0" t="s">
        <v>227</v>
      </c>
      <c r="C90" s="0" t="s">
        <v>227</v>
      </c>
      <c r="D90" s="0" t="s">
        <v>227</v>
      </c>
      <c r="E90" s="0" t="s">
        <v>227</v>
      </c>
      <c r="F90" s="0" t="s">
        <v>227</v>
      </c>
      <c r="G90" s="0" t="s">
        <v>227</v>
      </c>
      <c r="H90" s="0" t="s">
        <v>227</v>
      </c>
      <c r="I90" s="0" t="s">
        <v>5667</v>
      </c>
      <c r="J90" s="0" t="s">
        <v>227</v>
      </c>
      <c r="K90" s="0" t="s">
        <v>227</v>
      </c>
      <c r="L90" s="0" t="s">
        <v>227</v>
      </c>
      <c r="M90" s="0" t="s">
        <v>227</v>
      </c>
      <c r="N90" s="0" t="s">
        <v>227</v>
      </c>
      <c r="O90" s="0" t="s">
        <v>227</v>
      </c>
      <c r="P90" s="0" t="s">
        <v>227</v>
      </c>
      <c r="Q90" s="0" t="s">
        <v>227</v>
      </c>
      <c r="R90" s="0" t="s">
        <v>553</v>
      </c>
      <c r="S90" s="0" t="s">
        <v>227</v>
      </c>
      <c r="T90" s="0" t="s">
        <v>227</v>
      </c>
      <c r="U90" s="0" t="s">
        <v>102</v>
      </c>
      <c r="V90" s="0" t="s">
        <v>227</v>
      </c>
      <c r="W90" s="0" t="s">
        <v>227</v>
      </c>
      <c r="X90" s="0" t="s">
        <v>5683</v>
      </c>
      <c r="Y90" s="0" t="s">
        <v>227</v>
      </c>
      <c r="Z90" s="0" t="s">
        <v>152</v>
      </c>
      <c r="AA90" s="0" t="s">
        <v>152</v>
      </c>
      <c r="AB90" s="0" t="s">
        <v>161</v>
      </c>
      <c r="AC90" s="0" t="s">
        <v>354</v>
      </c>
      <c r="AD90" s="0" t="s">
        <v>354</v>
      </c>
      <c r="AE90" s="0" t="s">
        <v>355</v>
      </c>
      <c r="AF90" s="0" t="s">
        <v>5684</v>
      </c>
      <c r="AG90" s="0" t="s">
        <v>5685</v>
      </c>
      <c r="AH90" s="0" t="s">
        <v>5949</v>
      </c>
      <c r="AI90" s="0" t="s">
        <v>5977</v>
      </c>
      <c r="AJ90" s="0" t="s">
        <v>227</v>
      </c>
      <c r="AK90" s="0" t="s">
        <v>227</v>
      </c>
      <c r="AL90" s="0" t="s">
        <v>227</v>
      </c>
      <c r="AM90" s="0" t="s">
        <v>227</v>
      </c>
      <c r="AN90" s="0" t="s">
        <v>227</v>
      </c>
      <c r="AO90" s="0" t="s">
        <v>227</v>
      </c>
      <c r="AP90" s="0" t="s">
        <v>227</v>
      </c>
      <c r="AQ90" s="0" t="s">
        <v>227</v>
      </c>
      <c r="AR90" s="0" t="s">
        <v>227</v>
      </c>
      <c r="AS90" s="0" t="s">
        <v>227</v>
      </c>
      <c r="AT90" s="0" t="s">
        <v>227</v>
      </c>
      <c r="AU90" s="0" t="s">
        <v>227</v>
      </c>
      <c r="AV90" s="0" t="s">
        <v>227</v>
      </c>
      <c r="AW90" s="0" t="s">
        <v>227</v>
      </c>
      <c r="AX90" s="0" t="s">
        <v>227</v>
      </c>
      <c r="AY90" s="0" t="s">
        <v>227</v>
      </c>
      <c r="AZ90" s="0" t="s">
        <v>227</v>
      </c>
      <c r="BA90" s="0" t="s">
        <v>227</v>
      </c>
      <c r="BB90" s="0" t="s">
        <v>227</v>
      </c>
      <c r="BC90" s="0" t="s">
        <v>227</v>
      </c>
      <c r="BD90" s="0" t="s">
        <v>227</v>
      </c>
      <c r="BE90" s="0" t="s">
        <v>5978</v>
      </c>
      <c r="BF90" s="0" t="s">
        <v>5731</v>
      </c>
      <c r="BG90" s="0" t="s">
        <v>112</v>
      </c>
      <c r="BH90" s="0" t="s">
        <v>5690</v>
      </c>
      <c r="BI90" s="0" t="s">
        <v>5691</v>
      </c>
      <c r="BJ90" s="0" t="s">
        <v>227</v>
      </c>
      <c r="BK90" s="0" t="s">
        <v>5692</v>
      </c>
      <c r="BL90" s="0" t="s">
        <v>354</v>
      </c>
      <c r="BM90" s="0" t="s">
        <v>354</v>
      </c>
      <c r="BN90" s="0" t="s">
        <v>5693</v>
      </c>
      <c r="BO90" s="0" t="s">
        <v>5684</v>
      </c>
      <c r="BP90" s="0" t="s">
        <v>5694</v>
      </c>
      <c r="BQ90" s="0" t="s">
        <v>5692</v>
      </c>
      <c r="BR90" s="0" t="s">
        <v>5692</v>
      </c>
      <c r="BS90" s="0" t="s">
        <v>227</v>
      </c>
      <c r="BT90" s="0" t="s">
        <v>5712</v>
      </c>
      <c r="BU90" s="0" t="s">
        <v>5979</v>
      </c>
      <c r="BV90" s="0" t="s">
        <v>5979</v>
      </c>
      <c r="BW90" s="0" t="s">
        <v>5697</v>
      </c>
      <c r="BX90" s="0" t="s">
        <v>5697</v>
      </c>
      <c r="BY90" s="0" t="s">
        <v>5697</v>
      </c>
      <c r="BZ90" s="0" t="s">
        <v>5697</v>
      </c>
      <c r="CA90" s="0" t="s">
        <v>5697</v>
      </c>
      <c r="CB90" s="0" t="s">
        <v>227</v>
      </c>
      <c r="CC90" s="0" t="s">
        <v>227</v>
      </c>
      <c r="CD90" s="0" t="s">
        <v>227</v>
      </c>
      <c r="CE90" s="0" t="s">
        <v>227</v>
      </c>
      <c r="CF90" s="0" t="s">
        <v>227</v>
      </c>
      <c r="CG90" s="0" t="s">
        <v>5697</v>
      </c>
      <c r="CH90" s="0" t="s">
        <v>227</v>
      </c>
      <c r="CI90" s="0" t="s">
        <v>227</v>
      </c>
      <c r="CJ90" s="0" t="s">
        <v>227</v>
      </c>
      <c r="CK90" s="0" t="s">
        <v>227</v>
      </c>
      <c r="CL90" s="0" t="s">
        <v>227</v>
      </c>
      <c r="CM90" s="0" t="s">
        <v>5979</v>
      </c>
      <c r="CN90" s="0" t="s">
        <v>5979</v>
      </c>
      <c r="CO90" s="0" t="s">
        <v>227</v>
      </c>
      <c r="CP90" s="0" t="s">
        <v>227</v>
      </c>
      <c r="CQ90" s="0" t="s">
        <v>227</v>
      </c>
      <c r="CR90" s="0" t="s">
        <v>227</v>
      </c>
      <c r="CS90" s="0" t="s">
        <v>5749</v>
      </c>
      <c r="CT90" s="0" t="s">
        <v>5679</v>
      </c>
      <c r="CU90" s="0" t="s">
        <v>5680</v>
      </c>
      <c r="CV90" s="0" t="s">
        <v>430</v>
      </c>
      <c r="CW90" s="0" t="s">
        <v>5699</v>
      </c>
      <c r="CX90" s="0" t="s">
        <v>431</v>
      </c>
      <c r="CY90" s="0" t="s">
        <v>430</v>
      </c>
      <c r="CZ90" s="0" t="s">
        <v>432</v>
      </c>
      <c r="DA90" s="0" t="s">
        <v>433</v>
      </c>
      <c r="DB90" s="0" t="s">
        <v>5700</v>
      </c>
      <c r="DC90" s="0" t="s">
        <v>373</v>
      </c>
      <c r="DD90" s="0" t="s">
        <v>277</v>
      </c>
      <c r="DE90" s="0" t="s">
        <v>554</v>
      </c>
    </row>
    <row customHeight="1" ht="11.25">
      <c r="A91" s="1806" t="s">
        <v>227</v>
      </c>
      <c r="B91" s="0" t="s">
        <v>227</v>
      </c>
      <c r="C91" s="0" t="s">
        <v>227</v>
      </c>
      <c r="D91" s="0" t="s">
        <v>227</v>
      </c>
      <c r="E91" s="0" t="s">
        <v>227</v>
      </c>
      <c r="F91" s="0" t="s">
        <v>227</v>
      </c>
      <c r="G91" s="0" t="s">
        <v>227</v>
      </c>
      <c r="H91" s="0" t="s">
        <v>227</v>
      </c>
      <c r="I91" s="0" t="s">
        <v>5667</v>
      </c>
      <c r="J91" s="0" t="s">
        <v>227</v>
      </c>
      <c r="K91" s="0" t="s">
        <v>227</v>
      </c>
      <c r="L91" s="0" t="s">
        <v>227</v>
      </c>
      <c r="M91" s="0" t="s">
        <v>227</v>
      </c>
      <c r="N91" s="0" t="s">
        <v>227</v>
      </c>
      <c r="O91" s="0" t="s">
        <v>227</v>
      </c>
      <c r="P91" s="0" t="s">
        <v>227</v>
      </c>
      <c r="Q91" s="0" t="s">
        <v>227</v>
      </c>
      <c r="R91" s="0" t="s">
        <v>556</v>
      </c>
      <c r="S91" s="0" t="s">
        <v>227</v>
      </c>
      <c r="T91" s="0" t="s">
        <v>227</v>
      </c>
      <c r="U91" s="0" t="s">
        <v>102</v>
      </c>
      <c r="V91" s="0" t="s">
        <v>227</v>
      </c>
      <c r="W91" s="0" t="s">
        <v>227</v>
      </c>
      <c r="X91" s="0" t="s">
        <v>5683</v>
      </c>
      <c r="Y91" s="0" t="s">
        <v>227</v>
      </c>
      <c r="Z91" s="0" t="s">
        <v>152</v>
      </c>
      <c r="AA91" s="0" t="s">
        <v>152</v>
      </c>
      <c r="AB91" s="0" t="s">
        <v>161</v>
      </c>
      <c r="AC91" s="0" t="s">
        <v>354</v>
      </c>
      <c r="AD91" s="0" t="s">
        <v>354</v>
      </c>
      <c r="AE91" s="0" t="s">
        <v>355</v>
      </c>
      <c r="AF91" s="0" t="s">
        <v>5684</v>
      </c>
      <c r="AG91" s="0" t="s">
        <v>5685</v>
      </c>
      <c r="AH91" s="0" t="s">
        <v>5949</v>
      </c>
      <c r="AI91" s="0" t="s">
        <v>593</v>
      </c>
      <c r="AJ91" s="0" t="s">
        <v>227</v>
      </c>
      <c r="AK91" s="0" t="s">
        <v>227</v>
      </c>
      <c r="AL91" s="0" t="s">
        <v>227</v>
      </c>
      <c r="AM91" s="0" t="s">
        <v>227</v>
      </c>
      <c r="AN91" s="0" t="s">
        <v>227</v>
      </c>
      <c r="AO91" s="0" t="s">
        <v>227</v>
      </c>
      <c r="AP91" s="0" t="s">
        <v>227</v>
      </c>
      <c r="AQ91" s="0" t="s">
        <v>227</v>
      </c>
      <c r="AR91" s="0" t="s">
        <v>227</v>
      </c>
      <c r="AS91" s="0" t="s">
        <v>227</v>
      </c>
      <c r="AT91" s="0" t="s">
        <v>227</v>
      </c>
      <c r="AU91" s="0" t="s">
        <v>227</v>
      </c>
      <c r="AV91" s="0" t="s">
        <v>227</v>
      </c>
      <c r="AW91" s="0" t="s">
        <v>227</v>
      </c>
      <c r="AX91" s="0" t="s">
        <v>227</v>
      </c>
      <c r="AY91" s="0" t="s">
        <v>227</v>
      </c>
      <c r="AZ91" s="0" t="s">
        <v>227</v>
      </c>
      <c r="BA91" s="0" t="s">
        <v>227</v>
      </c>
      <c r="BB91" s="0" t="s">
        <v>227</v>
      </c>
      <c r="BC91" s="0" t="s">
        <v>227</v>
      </c>
      <c r="BD91" s="0" t="s">
        <v>227</v>
      </c>
      <c r="BE91" s="0" t="s">
        <v>5728</v>
      </c>
      <c r="BF91" s="0" t="s">
        <v>5980</v>
      </c>
      <c r="BG91" s="0" t="s">
        <v>112</v>
      </c>
      <c r="BH91" s="0" t="s">
        <v>5690</v>
      </c>
      <c r="BI91" s="0" t="s">
        <v>5691</v>
      </c>
      <c r="BJ91" s="0" t="s">
        <v>227</v>
      </c>
      <c r="BK91" s="0" t="s">
        <v>5692</v>
      </c>
      <c r="BL91" s="0" t="s">
        <v>354</v>
      </c>
      <c r="BM91" s="0" t="s">
        <v>354</v>
      </c>
      <c r="BN91" s="0" t="s">
        <v>5693</v>
      </c>
      <c r="BO91" s="0" t="s">
        <v>5684</v>
      </c>
      <c r="BP91" s="0" t="s">
        <v>5694</v>
      </c>
      <c r="BQ91" s="0" t="s">
        <v>5692</v>
      </c>
      <c r="BR91" s="0" t="s">
        <v>5692</v>
      </c>
      <c r="BS91" s="0" t="s">
        <v>227</v>
      </c>
      <c r="BT91" s="0" t="s">
        <v>5709</v>
      </c>
      <c r="BU91" s="0" t="s">
        <v>5981</v>
      </c>
      <c r="BV91" s="0" t="s">
        <v>5981</v>
      </c>
      <c r="BW91" s="0" t="s">
        <v>5697</v>
      </c>
      <c r="BX91" s="0" t="s">
        <v>5697</v>
      </c>
      <c r="BY91" s="0" t="s">
        <v>5697</v>
      </c>
      <c r="BZ91" s="0" t="s">
        <v>5697</v>
      </c>
      <c r="CA91" s="0" t="s">
        <v>5697</v>
      </c>
      <c r="CB91" s="0" t="s">
        <v>227</v>
      </c>
      <c r="CC91" s="0" t="s">
        <v>227</v>
      </c>
      <c r="CD91" s="0" t="s">
        <v>227</v>
      </c>
      <c r="CE91" s="0" t="s">
        <v>227</v>
      </c>
      <c r="CF91" s="0" t="s">
        <v>227</v>
      </c>
      <c r="CG91" s="0" t="s">
        <v>5697</v>
      </c>
      <c r="CH91" s="0" t="s">
        <v>227</v>
      </c>
      <c r="CI91" s="0" t="s">
        <v>227</v>
      </c>
      <c r="CJ91" s="0" t="s">
        <v>227</v>
      </c>
      <c r="CK91" s="0" t="s">
        <v>227</v>
      </c>
      <c r="CL91" s="0" t="s">
        <v>227</v>
      </c>
      <c r="CM91" s="0" t="s">
        <v>5981</v>
      </c>
      <c r="CN91" s="0" t="s">
        <v>5981</v>
      </c>
      <c r="CO91" s="0" t="s">
        <v>227</v>
      </c>
      <c r="CP91" s="0" t="s">
        <v>227</v>
      </c>
      <c r="CQ91" s="0" t="s">
        <v>227</v>
      </c>
      <c r="CR91" s="0" t="s">
        <v>227</v>
      </c>
      <c r="CS91" s="0" t="s">
        <v>5759</v>
      </c>
      <c r="CT91" s="0" t="s">
        <v>5679</v>
      </c>
      <c r="CU91" s="0" t="s">
        <v>5680</v>
      </c>
      <c r="CV91" s="0" t="s">
        <v>430</v>
      </c>
      <c r="CW91" s="0" t="s">
        <v>5699</v>
      </c>
      <c r="CX91" s="0" t="s">
        <v>431</v>
      </c>
      <c r="CY91" s="0" t="s">
        <v>430</v>
      </c>
      <c r="CZ91" s="0" t="s">
        <v>432</v>
      </c>
      <c r="DA91" s="0" t="s">
        <v>433</v>
      </c>
      <c r="DB91" s="0" t="s">
        <v>5700</v>
      </c>
      <c r="DC91" s="0" t="s">
        <v>373</v>
      </c>
      <c r="DD91" s="0" t="s">
        <v>277</v>
      </c>
      <c r="DE91" s="0" t="s">
        <v>557</v>
      </c>
    </row>
    <row customHeight="1" ht="11.25">
      <c r="A92" s="1806" t="s">
        <v>227</v>
      </c>
      <c r="B92" s="0" t="s">
        <v>227</v>
      </c>
      <c r="C92" s="0" t="s">
        <v>227</v>
      </c>
      <c r="D92" s="0" t="s">
        <v>227</v>
      </c>
      <c r="E92" s="0" t="s">
        <v>227</v>
      </c>
      <c r="F92" s="0" t="s">
        <v>227</v>
      </c>
      <c r="G92" s="0" t="s">
        <v>227</v>
      </c>
      <c r="H92" s="0" t="s">
        <v>227</v>
      </c>
      <c r="I92" s="0" t="s">
        <v>5667</v>
      </c>
      <c r="J92" s="0" t="s">
        <v>227</v>
      </c>
      <c r="K92" s="0" t="s">
        <v>227</v>
      </c>
      <c r="L92" s="0" t="s">
        <v>227</v>
      </c>
      <c r="M92" s="0" t="s">
        <v>227</v>
      </c>
      <c r="N92" s="0" t="s">
        <v>227</v>
      </c>
      <c r="O92" s="0" t="s">
        <v>227</v>
      </c>
      <c r="P92" s="0" t="s">
        <v>227</v>
      </c>
      <c r="Q92" s="0" t="s">
        <v>227</v>
      </c>
      <c r="R92" s="0" t="s">
        <v>949</v>
      </c>
      <c r="S92" s="0" t="s">
        <v>227</v>
      </c>
      <c r="T92" s="0" t="s">
        <v>227</v>
      </c>
      <c r="U92" s="0" t="s">
        <v>102</v>
      </c>
      <c r="V92" s="0" t="s">
        <v>227</v>
      </c>
      <c r="W92" s="0" t="s">
        <v>227</v>
      </c>
      <c r="X92" s="0" t="s">
        <v>5683</v>
      </c>
      <c r="Y92" s="0" t="s">
        <v>227</v>
      </c>
      <c r="Z92" s="0" t="s">
        <v>152</v>
      </c>
      <c r="AA92" s="0" t="s">
        <v>152</v>
      </c>
      <c r="AB92" s="0" t="s">
        <v>161</v>
      </c>
      <c r="AC92" s="0" t="s">
        <v>354</v>
      </c>
      <c r="AD92" s="0" t="s">
        <v>354</v>
      </c>
      <c r="AE92" s="0" t="s">
        <v>355</v>
      </c>
      <c r="AF92" s="0" t="s">
        <v>5701</v>
      </c>
      <c r="AG92" s="0" t="s">
        <v>5702</v>
      </c>
      <c r="AH92" s="0" t="s">
        <v>5982</v>
      </c>
      <c r="AI92" s="0" t="s">
        <v>5692</v>
      </c>
      <c r="AJ92" s="0" t="s">
        <v>227</v>
      </c>
      <c r="AK92" s="0" t="s">
        <v>227</v>
      </c>
      <c r="AL92" s="0" t="s">
        <v>227</v>
      </c>
      <c r="AM92" s="0" t="s">
        <v>227</v>
      </c>
      <c r="AN92" s="0" t="s">
        <v>227</v>
      </c>
      <c r="AO92" s="0" t="s">
        <v>227</v>
      </c>
      <c r="AP92" s="0" t="s">
        <v>227</v>
      </c>
      <c r="AQ92" s="0" t="s">
        <v>227</v>
      </c>
      <c r="AR92" s="0" t="s">
        <v>227</v>
      </c>
      <c r="AS92" s="0" t="s">
        <v>227</v>
      </c>
      <c r="AT92" s="0" t="s">
        <v>227</v>
      </c>
      <c r="AU92" s="0" t="s">
        <v>227</v>
      </c>
      <c r="AV92" s="0" t="s">
        <v>227</v>
      </c>
      <c r="AW92" s="0" t="s">
        <v>227</v>
      </c>
      <c r="AX92" s="0" t="s">
        <v>227</v>
      </c>
      <c r="AY92" s="0" t="s">
        <v>227</v>
      </c>
      <c r="AZ92" s="0" t="s">
        <v>227</v>
      </c>
      <c r="BA92" s="0" t="s">
        <v>227</v>
      </c>
      <c r="BB92" s="0" t="s">
        <v>227</v>
      </c>
      <c r="BC92" s="0" t="s">
        <v>227</v>
      </c>
      <c r="BD92" s="0" t="s">
        <v>227</v>
      </c>
      <c r="BE92" s="0" t="s">
        <v>5728</v>
      </c>
      <c r="BF92" s="0" t="s">
        <v>5752</v>
      </c>
      <c r="BG92" s="0" t="s">
        <v>112</v>
      </c>
      <c r="BH92" s="0" t="s">
        <v>5690</v>
      </c>
      <c r="BI92" s="0" t="s">
        <v>5691</v>
      </c>
      <c r="BJ92" s="0" t="s">
        <v>227</v>
      </c>
      <c r="BK92" s="0" t="s">
        <v>952</v>
      </c>
      <c r="BL92" s="0" t="s">
        <v>354</v>
      </c>
      <c r="BM92" s="0" t="s">
        <v>354</v>
      </c>
      <c r="BN92" s="0" t="s">
        <v>5693</v>
      </c>
      <c r="BO92" s="0" t="s">
        <v>5701</v>
      </c>
      <c r="BP92" s="0" t="s">
        <v>5706</v>
      </c>
      <c r="BQ92" s="0" t="s">
        <v>5707</v>
      </c>
      <c r="BR92" s="0" t="s">
        <v>5708</v>
      </c>
      <c r="BS92" s="0" t="s">
        <v>227</v>
      </c>
      <c r="BT92" s="0" t="s">
        <v>5695</v>
      </c>
      <c r="BU92" s="0" t="s">
        <v>5983</v>
      </c>
      <c r="BV92" s="0" t="s">
        <v>5983</v>
      </c>
      <c r="BW92" s="0" t="s">
        <v>5697</v>
      </c>
      <c r="BX92" s="0" t="s">
        <v>5697</v>
      </c>
      <c r="BY92" s="0" t="s">
        <v>5697</v>
      </c>
      <c r="BZ92" s="0" t="s">
        <v>5697</v>
      </c>
      <c r="CA92" s="0" t="s">
        <v>5697</v>
      </c>
      <c r="CB92" s="0" t="s">
        <v>227</v>
      </c>
      <c r="CC92" s="0" t="s">
        <v>227</v>
      </c>
      <c r="CD92" s="0" t="s">
        <v>227</v>
      </c>
      <c r="CE92" s="0" t="s">
        <v>227</v>
      </c>
      <c r="CF92" s="0" t="s">
        <v>227</v>
      </c>
      <c r="CG92" s="0" t="s">
        <v>5697</v>
      </c>
      <c r="CH92" s="0" t="s">
        <v>227</v>
      </c>
      <c r="CI92" s="0" t="s">
        <v>227</v>
      </c>
      <c r="CJ92" s="0" t="s">
        <v>227</v>
      </c>
      <c r="CK92" s="0" t="s">
        <v>227</v>
      </c>
      <c r="CL92" s="0" t="s">
        <v>227</v>
      </c>
      <c r="CM92" s="0" t="s">
        <v>5983</v>
      </c>
      <c r="CN92" s="0" t="s">
        <v>5983</v>
      </c>
      <c r="CO92" s="0" t="s">
        <v>227</v>
      </c>
      <c r="CP92" s="0" t="s">
        <v>227</v>
      </c>
      <c r="CQ92" s="0" t="s">
        <v>227</v>
      </c>
      <c r="CR92" s="0" t="s">
        <v>227</v>
      </c>
      <c r="CS92" s="0" t="s">
        <v>5698</v>
      </c>
      <c r="CT92" s="0" t="s">
        <v>5679</v>
      </c>
      <c r="CU92" s="0" t="s">
        <v>5680</v>
      </c>
      <c r="CV92" s="0" t="s">
        <v>430</v>
      </c>
      <c r="CW92" s="0" t="s">
        <v>5699</v>
      </c>
      <c r="CX92" s="0" t="s">
        <v>431</v>
      </c>
      <c r="CY92" s="0" t="s">
        <v>430</v>
      </c>
      <c r="CZ92" s="0" t="s">
        <v>432</v>
      </c>
      <c r="DA92" s="0" t="s">
        <v>433</v>
      </c>
      <c r="DB92" s="0" t="s">
        <v>5700</v>
      </c>
      <c r="DC92" s="0" t="s">
        <v>373</v>
      </c>
      <c r="DD92" s="0" t="s">
        <v>277</v>
      </c>
      <c r="DE92" s="0" t="s">
        <v>950</v>
      </c>
    </row>
    <row customHeight="1" ht="11.25">
      <c r="A93" s="1806" t="s">
        <v>227</v>
      </c>
      <c r="B93" s="0" t="s">
        <v>227</v>
      </c>
      <c r="C93" s="0" t="s">
        <v>227</v>
      </c>
      <c r="D93" s="0" t="s">
        <v>227</v>
      </c>
      <c r="E93" s="0" t="s">
        <v>227</v>
      </c>
      <c r="F93" s="0" t="s">
        <v>227</v>
      </c>
      <c r="G93" s="0" t="s">
        <v>227</v>
      </c>
      <c r="H93" s="0" t="s">
        <v>227</v>
      </c>
      <c r="I93" s="0" t="s">
        <v>5667</v>
      </c>
      <c r="J93" s="0" t="s">
        <v>227</v>
      </c>
      <c r="K93" s="0" t="s">
        <v>227</v>
      </c>
      <c r="L93" s="0" t="s">
        <v>227</v>
      </c>
      <c r="M93" s="0" t="s">
        <v>227</v>
      </c>
      <c r="N93" s="0" t="s">
        <v>227</v>
      </c>
      <c r="O93" s="0" t="s">
        <v>227</v>
      </c>
      <c r="P93" s="0" t="s">
        <v>227</v>
      </c>
      <c r="Q93" s="0" t="s">
        <v>227</v>
      </c>
      <c r="R93" s="0" t="s">
        <v>824</v>
      </c>
      <c r="S93" s="0" t="s">
        <v>227</v>
      </c>
      <c r="T93" s="0" t="s">
        <v>227</v>
      </c>
      <c r="U93" s="0" t="s">
        <v>102</v>
      </c>
      <c r="V93" s="0" t="s">
        <v>227</v>
      </c>
      <c r="W93" s="0" t="s">
        <v>227</v>
      </c>
      <c r="X93" s="0" t="s">
        <v>5683</v>
      </c>
      <c r="Y93" s="0" t="s">
        <v>227</v>
      </c>
      <c r="Z93" s="0" t="s">
        <v>152</v>
      </c>
      <c r="AA93" s="0" t="s">
        <v>152</v>
      </c>
      <c r="AB93" s="0" t="s">
        <v>161</v>
      </c>
      <c r="AC93" s="0" t="s">
        <v>354</v>
      </c>
      <c r="AD93" s="0" t="s">
        <v>354</v>
      </c>
      <c r="AE93" s="0" t="s">
        <v>355</v>
      </c>
      <c r="AF93" s="0" t="s">
        <v>5701</v>
      </c>
      <c r="AG93" s="0" t="s">
        <v>5702</v>
      </c>
      <c r="AH93" s="0" t="s">
        <v>5984</v>
      </c>
      <c r="AI93" s="0" t="s">
        <v>5692</v>
      </c>
      <c r="AJ93" s="0" t="s">
        <v>227</v>
      </c>
      <c r="AK93" s="0" t="s">
        <v>227</v>
      </c>
      <c r="AL93" s="0" t="s">
        <v>227</v>
      </c>
      <c r="AM93" s="0" t="s">
        <v>227</v>
      </c>
      <c r="AN93" s="0" t="s">
        <v>227</v>
      </c>
      <c r="AO93" s="0" t="s">
        <v>227</v>
      </c>
      <c r="AP93" s="0" t="s">
        <v>227</v>
      </c>
      <c r="AQ93" s="0" t="s">
        <v>227</v>
      </c>
      <c r="AR93" s="0" t="s">
        <v>227</v>
      </c>
      <c r="AS93" s="0" t="s">
        <v>227</v>
      </c>
      <c r="AT93" s="0" t="s">
        <v>227</v>
      </c>
      <c r="AU93" s="0" t="s">
        <v>227</v>
      </c>
      <c r="AV93" s="0" t="s">
        <v>227</v>
      </c>
      <c r="AW93" s="0" t="s">
        <v>227</v>
      </c>
      <c r="AX93" s="0" t="s">
        <v>227</v>
      </c>
      <c r="AY93" s="0" t="s">
        <v>227</v>
      </c>
      <c r="AZ93" s="0" t="s">
        <v>227</v>
      </c>
      <c r="BA93" s="0" t="s">
        <v>227</v>
      </c>
      <c r="BB93" s="0" t="s">
        <v>227</v>
      </c>
      <c r="BC93" s="0" t="s">
        <v>227</v>
      </c>
      <c r="BD93" s="0" t="s">
        <v>227</v>
      </c>
      <c r="BE93" s="0" t="s">
        <v>5728</v>
      </c>
      <c r="BF93" s="0" t="s">
        <v>5752</v>
      </c>
      <c r="BG93" s="0" t="s">
        <v>112</v>
      </c>
      <c r="BH93" s="0" t="s">
        <v>5690</v>
      </c>
      <c r="BI93" s="0" t="s">
        <v>5691</v>
      </c>
      <c r="BJ93" s="0" t="s">
        <v>227</v>
      </c>
      <c r="BK93" s="0" t="s">
        <v>952</v>
      </c>
      <c r="BL93" s="0" t="s">
        <v>354</v>
      </c>
      <c r="BM93" s="0" t="s">
        <v>354</v>
      </c>
      <c r="BN93" s="0" t="s">
        <v>5693</v>
      </c>
      <c r="BO93" s="0" t="s">
        <v>5701</v>
      </c>
      <c r="BP93" s="0" t="s">
        <v>5706</v>
      </c>
      <c r="BQ93" s="0" t="s">
        <v>5707</v>
      </c>
      <c r="BR93" s="0" t="s">
        <v>5708</v>
      </c>
      <c r="BS93" s="0" t="s">
        <v>227</v>
      </c>
      <c r="BT93" s="0" t="s">
        <v>5695</v>
      </c>
      <c r="BU93" s="0" t="s">
        <v>5985</v>
      </c>
      <c r="BV93" s="0" t="s">
        <v>5985</v>
      </c>
      <c r="BW93" s="0" t="s">
        <v>5697</v>
      </c>
      <c r="BX93" s="0" t="s">
        <v>5697</v>
      </c>
      <c r="BY93" s="0" t="s">
        <v>5697</v>
      </c>
      <c r="BZ93" s="0" t="s">
        <v>5697</v>
      </c>
      <c r="CA93" s="0" t="s">
        <v>5697</v>
      </c>
      <c r="CB93" s="0" t="s">
        <v>227</v>
      </c>
      <c r="CC93" s="0" t="s">
        <v>227</v>
      </c>
      <c r="CD93" s="0" t="s">
        <v>227</v>
      </c>
      <c r="CE93" s="0" t="s">
        <v>227</v>
      </c>
      <c r="CF93" s="0" t="s">
        <v>227</v>
      </c>
      <c r="CG93" s="0" t="s">
        <v>5697</v>
      </c>
      <c r="CH93" s="0" t="s">
        <v>227</v>
      </c>
      <c r="CI93" s="0" t="s">
        <v>227</v>
      </c>
      <c r="CJ93" s="0" t="s">
        <v>227</v>
      </c>
      <c r="CK93" s="0" t="s">
        <v>227</v>
      </c>
      <c r="CL93" s="0" t="s">
        <v>227</v>
      </c>
      <c r="CM93" s="0" t="s">
        <v>5985</v>
      </c>
      <c r="CN93" s="0" t="s">
        <v>5985</v>
      </c>
      <c r="CO93" s="0" t="s">
        <v>227</v>
      </c>
      <c r="CP93" s="0" t="s">
        <v>227</v>
      </c>
      <c r="CQ93" s="0" t="s">
        <v>227</v>
      </c>
      <c r="CR93" s="0" t="s">
        <v>227</v>
      </c>
      <c r="CS93" s="0" t="s">
        <v>5759</v>
      </c>
      <c r="CT93" s="0" t="s">
        <v>5679</v>
      </c>
      <c r="CU93" s="0" t="s">
        <v>5680</v>
      </c>
      <c r="CV93" s="0" t="s">
        <v>430</v>
      </c>
      <c r="CW93" s="0" t="s">
        <v>5699</v>
      </c>
      <c r="CX93" s="0" t="s">
        <v>431</v>
      </c>
      <c r="CY93" s="0" t="s">
        <v>430</v>
      </c>
      <c r="CZ93" s="0" t="s">
        <v>432</v>
      </c>
      <c r="DA93" s="0" t="s">
        <v>433</v>
      </c>
      <c r="DB93" s="0" t="s">
        <v>5700</v>
      </c>
      <c r="DC93" s="0" t="s">
        <v>373</v>
      </c>
      <c r="DD93" s="0" t="s">
        <v>277</v>
      </c>
      <c r="DE93" s="0" t="s">
        <v>825</v>
      </c>
    </row>
    <row customHeight="1" ht="11.25">
      <c r="A94" s="1806" t="s">
        <v>227</v>
      </c>
      <c r="B94" s="0" t="s">
        <v>227</v>
      </c>
      <c r="C94" s="0" t="s">
        <v>227</v>
      </c>
      <c r="D94" s="0" t="s">
        <v>227</v>
      </c>
      <c r="E94" s="0" t="s">
        <v>227</v>
      </c>
      <c r="F94" s="0" t="s">
        <v>227</v>
      </c>
      <c r="G94" s="0" t="s">
        <v>227</v>
      </c>
      <c r="H94" s="0" t="s">
        <v>227</v>
      </c>
      <c r="I94" s="0" t="s">
        <v>5667</v>
      </c>
      <c r="J94" s="0" t="s">
        <v>227</v>
      </c>
      <c r="K94" s="0" t="s">
        <v>227</v>
      </c>
      <c r="L94" s="0" t="s">
        <v>227</v>
      </c>
      <c r="M94" s="0" t="s">
        <v>227</v>
      </c>
      <c r="N94" s="0" t="s">
        <v>227</v>
      </c>
      <c r="O94" s="0" t="s">
        <v>227</v>
      </c>
      <c r="P94" s="0" t="s">
        <v>227</v>
      </c>
      <c r="Q94" s="0" t="s">
        <v>227</v>
      </c>
      <c r="R94" s="0" t="s">
        <v>636</v>
      </c>
      <c r="S94" s="0" t="s">
        <v>227</v>
      </c>
      <c r="T94" s="0" t="s">
        <v>227</v>
      </c>
      <c r="U94" s="0" t="s">
        <v>102</v>
      </c>
      <c r="V94" s="0" t="s">
        <v>227</v>
      </c>
      <c r="W94" s="0" t="s">
        <v>227</v>
      </c>
      <c r="X94" s="0" t="s">
        <v>5683</v>
      </c>
      <c r="Y94" s="0" t="s">
        <v>227</v>
      </c>
      <c r="Z94" s="0" t="s">
        <v>152</v>
      </c>
      <c r="AA94" s="0" t="s">
        <v>152</v>
      </c>
      <c r="AB94" s="0" t="s">
        <v>161</v>
      </c>
      <c r="AC94" s="0" t="s">
        <v>354</v>
      </c>
      <c r="AD94" s="0" t="s">
        <v>354</v>
      </c>
      <c r="AE94" s="0" t="s">
        <v>355</v>
      </c>
      <c r="AF94" s="0" t="s">
        <v>5684</v>
      </c>
      <c r="AG94" s="0" t="s">
        <v>5685</v>
      </c>
      <c r="AH94" s="0" t="s">
        <v>5986</v>
      </c>
      <c r="AI94" s="0" t="s">
        <v>5692</v>
      </c>
      <c r="AJ94" s="0" t="s">
        <v>227</v>
      </c>
      <c r="AK94" s="0" t="s">
        <v>227</v>
      </c>
      <c r="AL94" s="0" t="s">
        <v>227</v>
      </c>
      <c r="AM94" s="0" t="s">
        <v>227</v>
      </c>
      <c r="AN94" s="0" t="s">
        <v>227</v>
      </c>
      <c r="AO94" s="0" t="s">
        <v>227</v>
      </c>
      <c r="AP94" s="0" t="s">
        <v>227</v>
      </c>
      <c r="AQ94" s="0" t="s">
        <v>227</v>
      </c>
      <c r="AR94" s="0" t="s">
        <v>227</v>
      </c>
      <c r="AS94" s="0" t="s">
        <v>227</v>
      </c>
      <c r="AT94" s="0" t="s">
        <v>227</v>
      </c>
      <c r="AU94" s="0" t="s">
        <v>227</v>
      </c>
      <c r="AV94" s="0" t="s">
        <v>227</v>
      </c>
      <c r="AW94" s="0" t="s">
        <v>227</v>
      </c>
      <c r="AX94" s="0" t="s">
        <v>227</v>
      </c>
      <c r="AY94" s="0" t="s">
        <v>227</v>
      </c>
      <c r="AZ94" s="0" t="s">
        <v>227</v>
      </c>
      <c r="BA94" s="0" t="s">
        <v>227</v>
      </c>
      <c r="BB94" s="0" t="s">
        <v>227</v>
      </c>
      <c r="BC94" s="0" t="s">
        <v>227</v>
      </c>
      <c r="BD94" s="0" t="s">
        <v>227</v>
      </c>
      <c r="BE94" s="0" t="s">
        <v>5728</v>
      </c>
      <c r="BF94" s="0" t="s">
        <v>5757</v>
      </c>
      <c r="BG94" s="0" t="s">
        <v>112</v>
      </c>
      <c r="BH94" s="0" t="s">
        <v>5690</v>
      </c>
      <c r="BI94" s="0" t="s">
        <v>5691</v>
      </c>
      <c r="BJ94" s="0" t="s">
        <v>227</v>
      </c>
      <c r="BK94" s="0" t="s">
        <v>5692</v>
      </c>
      <c r="BL94" s="0" t="s">
        <v>354</v>
      </c>
      <c r="BM94" s="0" t="s">
        <v>354</v>
      </c>
      <c r="BN94" s="0" t="s">
        <v>5693</v>
      </c>
      <c r="BO94" s="0" t="s">
        <v>5684</v>
      </c>
      <c r="BP94" s="0" t="s">
        <v>5694</v>
      </c>
      <c r="BQ94" s="0" t="s">
        <v>5692</v>
      </c>
      <c r="BR94" s="0" t="s">
        <v>5692</v>
      </c>
      <c r="BS94" s="0" t="s">
        <v>227</v>
      </c>
      <c r="BT94" s="0" t="s">
        <v>5695</v>
      </c>
      <c r="BU94" s="0" t="s">
        <v>5987</v>
      </c>
      <c r="BV94" s="0" t="s">
        <v>5987</v>
      </c>
      <c r="BW94" s="0" t="s">
        <v>5697</v>
      </c>
      <c r="BX94" s="0" t="s">
        <v>5697</v>
      </c>
      <c r="BY94" s="0" t="s">
        <v>5697</v>
      </c>
      <c r="BZ94" s="0" t="s">
        <v>5697</v>
      </c>
      <c r="CA94" s="0" t="s">
        <v>5697</v>
      </c>
      <c r="CB94" s="0" t="s">
        <v>227</v>
      </c>
      <c r="CC94" s="0" t="s">
        <v>227</v>
      </c>
      <c r="CD94" s="0" t="s">
        <v>227</v>
      </c>
      <c r="CE94" s="0" t="s">
        <v>227</v>
      </c>
      <c r="CF94" s="0" t="s">
        <v>227</v>
      </c>
      <c r="CG94" s="0" t="s">
        <v>5697</v>
      </c>
      <c r="CH94" s="0" t="s">
        <v>227</v>
      </c>
      <c r="CI94" s="0" t="s">
        <v>227</v>
      </c>
      <c r="CJ94" s="0" t="s">
        <v>227</v>
      </c>
      <c r="CK94" s="0" t="s">
        <v>227</v>
      </c>
      <c r="CL94" s="0" t="s">
        <v>227</v>
      </c>
      <c r="CM94" s="0" t="s">
        <v>5987</v>
      </c>
      <c r="CN94" s="0" t="s">
        <v>5987</v>
      </c>
      <c r="CO94" s="0" t="s">
        <v>227</v>
      </c>
      <c r="CP94" s="0" t="s">
        <v>227</v>
      </c>
      <c r="CQ94" s="0" t="s">
        <v>227</v>
      </c>
      <c r="CR94" s="0" t="s">
        <v>227</v>
      </c>
      <c r="CS94" s="0" t="s">
        <v>5698</v>
      </c>
      <c r="CT94" s="0" t="s">
        <v>5679</v>
      </c>
      <c r="CU94" s="0" t="s">
        <v>5680</v>
      </c>
      <c r="CV94" s="0" t="s">
        <v>430</v>
      </c>
      <c r="CW94" s="0" t="s">
        <v>5699</v>
      </c>
      <c r="CX94" s="0" t="s">
        <v>431</v>
      </c>
      <c r="CY94" s="0" t="s">
        <v>430</v>
      </c>
      <c r="CZ94" s="0" t="s">
        <v>432</v>
      </c>
      <c r="DA94" s="0" t="s">
        <v>433</v>
      </c>
      <c r="DB94" s="0" t="s">
        <v>5700</v>
      </c>
      <c r="DC94" s="0" t="s">
        <v>373</v>
      </c>
      <c r="DD94" s="0" t="s">
        <v>277</v>
      </c>
      <c r="DE94" s="0" t="s">
        <v>637</v>
      </c>
    </row>
    <row customHeight="1" ht="11.25">
      <c r="A95" s="1806" t="s">
        <v>227</v>
      </c>
      <c r="B95" s="0" t="s">
        <v>227</v>
      </c>
      <c r="C95" s="0" t="s">
        <v>227</v>
      </c>
      <c r="D95" s="0" t="s">
        <v>227</v>
      </c>
      <c r="E95" s="0" t="s">
        <v>227</v>
      </c>
      <c r="F95" s="0" t="s">
        <v>227</v>
      </c>
      <c r="G95" s="0" t="s">
        <v>227</v>
      </c>
      <c r="H95" s="0" t="s">
        <v>227</v>
      </c>
      <c r="I95" s="0" t="s">
        <v>5667</v>
      </c>
      <c r="J95" s="0" t="s">
        <v>227</v>
      </c>
      <c r="K95" s="0" t="s">
        <v>227</v>
      </c>
      <c r="L95" s="0" t="s">
        <v>227</v>
      </c>
      <c r="M95" s="0" t="s">
        <v>227</v>
      </c>
      <c r="N95" s="0" t="s">
        <v>227</v>
      </c>
      <c r="O95" s="0" t="s">
        <v>227</v>
      </c>
      <c r="P95" s="0" t="s">
        <v>227</v>
      </c>
      <c r="Q95" s="0" t="s">
        <v>227</v>
      </c>
      <c r="R95" s="0" t="s">
        <v>681</v>
      </c>
      <c r="S95" s="0" t="s">
        <v>227</v>
      </c>
      <c r="T95" s="0" t="s">
        <v>227</v>
      </c>
      <c r="U95" s="0" t="s">
        <v>102</v>
      </c>
      <c r="V95" s="0" t="s">
        <v>227</v>
      </c>
      <c r="W95" s="0" t="s">
        <v>227</v>
      </c>
      <c r="X95" s="0" t="s">
        <v>5683</v>
      </c>
      <c r="Y95" s="0" t="s">
        <v>227</v>
      </c>
      <c r="Z95" s="0" t="s">
        <v>152</v>
      </c>
      <c r="AA95" s="0" t="s">
        <v>152</v>
      </c>
      <c r="AB95" s="0" t="s">
        <v>161</v>
      </c>
      <c r="AC95" s="0" t="s">
        <v>354</v>
      </c>
      <c r="AD95" s="0" t="s">
        <v>354</v>
      </c>
      <c r="AE95" s="0" t="s">
        <v>355</v>
      </c>
      <c r="AF95" s="0" t="s">
        <v>5684</v>
      </c>
      <c r="AG95" s="0" t="s">
        <v>5685</v>
      </c>
      <c r="AH95" s="0" t="s">
        <v>5988</v>
      </c>
      <c r="AI95" s="0" t="s">
        <v>5692</v>
      </c>
      <c r="AJ95" s="0" t="s">
        <v>227</v>
      </c>
      <c r="AK95" s="0" t="s">
        <v>227</v>
      </c>
      <c r="AL95" s="0" t="s">
        <v>227</v>
      </c>
      <c r="AM95" s="0" t="s">
        <v>227</v>
      </c>
      <c r="AN95" s="0" t="s">
        <v>227</v>
      </c>
      <c r="AO95" s="0" t="s">
        <v>227</v>
      </c>
      <c r="AP95" s="0" t="s">
        <v>227</v>
      </c>
      <c r="AQ95" s="0" t="s">
        <v>227</v>
      </c>
      <c r="AR95" s="0" t="s">
        <v>227</v>
      </c>
      <c r="AS95" s="0" t="s">
        <v>227</v>
      </c>
      <c r="AT95" s="0" t="s">
        <v>227</v>
      </c>
      <c r="AU95" s="0" t="s">
        <v>227</v>
      </c>
      <c r="AV95" s="0" t="s">
        <v>227</v>
      </c>
      <c r="AW95" s="0" t="s">
        <v>227</v>
      </c>
      <c r="AX95" s="0" t="s">
        <v>227</v>
      </c>
      <c r="AY95" s="0" t="s">
        <v>227</v>
      </c>
      <c r="AZ95" s="0" t="s">
        <v>227</v>
      </c>
      <c r="BA95" s="0" t="s">
        <v>227</v>
      </c>
      <c r="BB95" s="0" t="s">
        <v>227</v>
      </c>
      <c r="BC95" s="0" t="s">
        <v>227</v>
      </c>
      <c r="BD95" s="0" t="s">
        <v>227</v>
      </c>
      <c r="BE95" s="0" t="s">
        <v>5728</v>
      </c>
      <c r="BF95" s="0" t="s">
        <v>5757</v>
      </c>
      <c r="BG95" s="0" t="s">
        <v>112</v>
      </c>
      <c r="BH95" s="0" t="s">
        <v>5690</v>
      </c>
      <c r="BI95" s="0" t="s">
        <v>5691</v>
      </c>
      <c r="BJ95" s="0" t="s">
        <v>227</v>
      </c>
      <c r="BK95" s="0" t="s">
        <v>5692</v>
      </c>
      <c r="BL95" s="0" t="s">
        <v>354</v>
      </c>
      <c r="BM95" s="0" t="s">
        <v>354</v>
      </c>
      <c r="BN95" s="0" t="s">
        <v>5693</v>
      </c>
      <c r="BO95" s="0" t="s">
        <v>5684</v>
      </c>
      <c r="BP95" s="0" t="s">
        <v>5694</v>
      </c>
      <c r="BQ95" s="0" t="s">
        <v>5692</v>
      </c>
      <c r="BR95" s="0" t="s">
        <v>5692</v>
      </c>
      <c r="BS95" s="0" t="s">
        <v>227</v>
      </c>
      <c r="BT95" s="0" t="s">
        <v>5695</v>
      </c>
      <c r="BU95" s="0" t="s">
        <v>5718</v>
      </c>
      <c r="BV95" s="0" t="s">
        <v>5718</v>
      </c>
      <c r="BW95" s="0" t="s">
        <v>5697</v>
      </c>
      <c r="BX95" s="0" t="s">
        <v>5697</v>
      </c>
      <c r="BY95" s="0" t="s">
        <v>5697</v>
      </c>
      <c r="BZ95" s="0" t="s">
        <v>5697</v>
      </c>
      <c r="CA95" s="0" t="s">
        <v>5697</v>
      </c>
      <c r="CB95" s="0" t="s">
        <v>227</v>
      </c>
      <c r="CC95" s="0" t="s">
        <v>227</v>
      </c>
      <c r="CD95" s="0" t="s">
        <v>227</v>
      </c>
      <c r="CE95" s="0" t="s">
        <v>227</v>
      </c>
      <c r="CF95" s="0" t="s">
        <v>227</v>
      </c>
      <c r="CG95" s="0" t="s">
        <v>5697</v>
      </c>
      <c r="CH95" s="0" t="s">
        <v>227</v>
      </c>
      <c r="CI95" s="0" t="s">
        <v>227</v>
      </c>
      <c r="CJ95" s="0" t="s">
        <v>227</v>
      </c>
      <c r="CK95" s="0" t="s">
        <v>227</v>
      </c>
      <c r="CL95" s="0" t="s">
        <v>227</v>
      </c>
      <c r="CM95" s="0" t="s">
        <v>5718</v>
      </c>
      <c r="CN95" s="0" t="s">
        <v>5718</v>
      </c>
      <c r="CO95" s="0" t="s">
        <v>227</v>
      </c>
      <c r="CP95" s="0" t="s">
        <v>227</v>
      </c>
      <c r="CQ95" s="0" t="s">
        <v>227</v>
      </c>
      <c r="CR95" s="0" t="s">
        <v>227</v>
      </c>
      <c r="CS95" s="0" t="s">
        <v>5698</v>
      </c>
      <c r="CT95" s="0" t="s">
        <v>5679</v>
      </c>
      <c r="CU95" s="0" t="s">
        <v>5680</v>
      </c>
      <c r="CV95" s="0" t="s">
        <v>430</v>
      </c>
      <c r="CW95" s="0" t="s">
        <v>5699</v>
      </c>
      <c r="CX95" s="0" t="s">
        <v>431</v>
      </c>
      <c r="CY95" s="0" t="s">
        <v>430</v>
      </c>
      <c r="CZ95" s="0" t="s">
        <v>432</v>
      </c>
      <c r="DA95" s="0" t="s">
        <v>433</v>
      </c>
      <c r="DB95" s="0" t="s">
        <v>5700</v>
      </c>
      <c r="DC95" s="0" t="s">
        <v>373</v>
      </c>
      <c r="DD95" s="0" t="s">
        <v>277</v>
      </c>
      <c r="DE95" s="0" t="s">
        <v>682</v>
      </c>
    </row>
    <row customHeight="1" ht="11.25">
      <c r="A96" s="1806" t="s">
        <v>227</v>
      </c>
      <c r="B96" s="0" t="s">
        <v>227</v>
      </c>
      <c r="C96" s="0" t="s">
        <v>227</v>
      </c>
      <c r="D96" s="0" t="s">
        <v>227</v>
      </c>
      <c r="E96" s="0" t="s">
        <v>227</v>
      </c>
      <c r="F96" s="0" t="s">
        <v>227</v>
      </c>
      <c r="G96" s="0" t="s">
        <v>227</v>
      </c>
      <c r="H96" s="0" t="s">
        <v>227</v>
      </c>
      <c r="I96" s="0" t="s">
        <v>5667</v>
      </c>
      <c r="J96" s="0" t="s">
        <v>227</v>
      </c>
      <c r="K96" s="0" t="s">
        <v>227</v>
      </c>
      <c r="L96" s="0" t="s">
        <v>227</v>
      </c>
      <c r="M96" s="0" t="s">
        <v>227</v>
      </c>
      <c r="N96" s="0" t="s">
        <v>227</v>
      </c>
      <c r="O96" s="0" t="s">
        <v>227</v>
      </c>
      <c r="P96" s="0" t="s">
        <v>227</v>
      </c>
      <c r="Q96" s="0" t="s">
        <v>227</v>
      </c>
      <c r="R96" s="0" t="s">
        <v>456</v>
      </c>
      <c r="S96" s="0" t="s">
        <v>227</v>
      </c>
      <c r="T96" s="0" t="s">
        <v>227</v>
      </c>
      <c r="U96" s="0" t="s">
        <v>102</v>
      </c>
      <c r="V96" s="0" t="s">
        <v>227</v>
      </c>
      <c r="W96" s="0" t="s">
        <v>227</v>
      </c>
      <c r="X96" s="0" t="s">
        <v>5668</v>
      </c>
      <c r="Y96" s="0" t="s">
        <v>227</v>
      </c>
      <c r="Z96" s="0" t="s">
        <v>161</v>
      </c>
      <c r="AA96" s="0" t="s">
        <v>152</v>
      </c>
      <c r="AB96" s="0" t="s">
        <v>152</v>
      </c>
      <c r="AC96" s="0" t="s">
        <v>352</v>
      </c>
      <c r="AD96" s="0" t="s">
        <v>352</v>
      </c>
      <c r="AE96" s="0" t="s">
        <v>353</v>
      </c>
      <c r="AF96" s="0" t="s">
        <v>5669</v>
      </c>
      <c r="AG96" s="0" t="s">
        <v>5670</v>
      </c>
      <c r="AH96" s="0" t="s">
        <v>5989</v>
      </c>
      <c r="AI96" s="0" t="s">
        <v>5990</v>
      </c>
      <c r="AJ96" s="0" t="s">
        <v>5991</v>
      </c>
      <c r="AK96" s="0" t="s">
        <v>5992</v>
      </c>
      <c r="AL96" s="0" t="s">
        <v>5739</v>
      </c>
      <c r="AM96" s="0" t="s">
        <v>5676</v>
      </c>
      <c r="AN96" s="0" t="s">
        <v>5791</v>
      </c>
      <c r="AO96" s="0" t="s">
        <v>5993</v>
      </c>
      <c r="AP96" s="0" t="s">
        <v>227</v>
      </c>
      <c r="AQ96" s="0" t="s">
        <v>227</v>
      </c>
      <c r="AR96" s="0" t="s">
        <v>227</v>
      </c>
      <c r="AS96" s="0" t="s">
        <v>227</v>
      </c>
      <c r="AT96" s="0" t="s">
        <v>227</v>
      </c>
      <c r="AU96" s="0" t="s">
        <v>227</v>
      </c>
      <c r="AV96" s="0" t="s">
        <v>227</v>
      </c>
      <c r="AW96" s="0" t="s">
        <v>227</v>
      </c>
      <c r="AX96" s="0" t="s">
        <v>227</v>
      </c>
      <c r="AY96" s="0" t="s">
        <v>227</v>
      </c>
      <c r="AZ96" s="0" t="s">
        <v>227</v>
      </c>
      <c r="BA96" s="0" t="s">
        <v>227</v>
      </c>
      <c r="BB96" s="0" t="s">
        <v>227</v>
      </c>
      <c r="BC96" s="0" t="s">
        <v>227</v>
      </c>
      <c r="BD96" s="0" t="s">
        <v>227</v>
      </c>
      <c r="BE96" s="0" t="s">
        <v>227</v>
      </c>
      <c r="BF96" s="0" t="s">
        <v>227</v>
      </c>
      <c r="BG96" s="0" t="s">
        <v>227</v>
      </c>
      <c r="BH96" s="0" t="s">
        <v>227</v>
      </c>
      <c r="BI96" s="0" t="s">
        <v>227</v>
      </c>
      <c r="BJ96" s="0" t="s">
        <v>227</v>
      </c>
      <c r="BK96" s="0" t="s">
        <v>227</v>
      </c>
      <c r="BL96" s="0" t="s">
        <v>227</v>
      </c>
      <c r="BM96" s="0" t="s">
        <v>227</v>
      </c>
      <c r="BN96" s="0" t="s">
        <v>227</v>
      </c>
      <c r="BO96" s="0" t="s">
        <v>227</v>
      </c>
      <c r="BP96" s="0" t="s">
        <v>227</v>
      </c>
      <c r="BQ96" s="0" t="s">
        <v>227</v>
      </c>
      <c r="BR96" s="0" t="s">
        <v>227</v>
      </c>
      <c r="BS96" s="0" t="s">
        <v>227</v>
      </c>
      <c r="BT96" s="0" t="s">
        <v>227</v>
      </c>
      <c r="BU96" s="0" t="s">
        <v>227</v>
      </c>
      <c r="BV96" s="0" t="s">
        <v>227</v>
      </c>
      <c r="BW96" s="0" t="s">
        <v>227</v>
      </c>
      <c r="BX96" s="0" t="s">
        <v>227</v>
      </c>
      <c r="BY96" s="0" t="s">
        <v>227</v>
      </c>
      <c r="BZ96" s="0" t="s">
        <v>227</v>
      </c>
      <c r="CA96" s="0" t="s">
        <v>227</v>
      </c>
      <c r="CB96" s="0" t="s">
        <v>227</v>
      </c>
      <c r="CC96" s="0" t="s">
        <v>227</v>
      </c>
      <c r="CD96" s="0" t="s">
        <v>227</v>
      </c>
      <c r="CE96" s="0" t="s">
        <v>227</v>
      </c>
      <c r="CF96" s="0" t="s">
        <v>227</v>
      </c>
      <c r="CG96" s="0" t="s">
        <v>227</v>
      </c>
      <c r="CH96" s="0" t="s">
        <v>227</v>
      </c>
      <c r="CI96" s="0" t="s">
        <v>227</v>
      </c>
      <c r="CJ96" s="0" t="s">
        <v>227</v>
      </c>
      <c r="CK96" s="0" t="s">
        <v>227</v>
      </c>
      <c r="CL96" s="0" t="s">
        <v>227</v>
      </c>
      <c r="CM96" s="0" t="s">
        <v>227</v>
      </c>
      <c r="CN96" s="0" t="s">
        <v>227</v>
      </c>
      <c r="CO96" s="0" t="s">
        <v>227</v>
      </c>
      <c r="CP96" s="0" t="s">
        <v>227</v>
      </c>
      <c r="CQ96" s="0" t="s">
        <v>227</v>
      </c>
      <c r="CR96" s="0" t="s">
        <v>227</v>
      </c>
      <c r="CS96" s="0" t="s">
        <v>227</v>
      </c>
      <c r="CT96" s="0" t="s">
        <v>5679</v>
      </c>
      <c r="CU96" s="0" t="s">
        <v>5680</v>
      </c>
      <c r="CV96" s="0" t="s">
        <v>430</v>
      </c>
      <c r="CW96" s="0" t="s">
        <v>5681</v>
      </c>
      <c r="CX96" s="0" t="s">
        <v>431</v>
      </c>
      <c r="CY96" s="0" t="s">
        <v>430</v>
      </c>
      <c r="CZ96" s="0" t="s">
        <v>432</v>
      </c>
      <c r="DA96" s="0" t="s">
        <v>433</v>
      </c>
      <c r="DB96" s="0" t="s">
        <v>5682</v>
      </c>
      <c r="DC96" s="0" t="s">
        <v>373</v>
      </c>
      <c r="DD96" s="0" t="s">
        <v>277</v>
      </c>
      <c r="DE96" s="0" t="s">
        <v>457</v>
      </c>
    </row>
    <row customHeight="1" ht="11.25">
      <c r="A97" s="1806" t="s">
        <v>227</v>
      </c>
      <c r="B97" s="0" t="s">
        <v>227</v>
      </c>
      <c r="C97" s="0" t="s">
        <v>227</v>
      </c>
      <c r="D97" s="0" t="s">
        <v>227</v>
      </c>
      <c r="E97" s="0" t="s">
        <v>227</v>
      </c>
      <c r="F97" s="0" t="s">
        <v>227</v>
      </c>
      <c r="G97" s="0" t="s">
        <v>227</v>
      </c>
      <c r="H97" s="0" t="s">
        <v>227</v>
      </c>
      <c r="I97" s="0" t="s">
        <v>5667</v>
      </c>
      <c r="J97" s="0" t="s">
        <v>227</v>
      </c>
      <c r="K97" s="0" t="s">
        <v>227</v>
      </c>
      <c r="L97" s="0" t="s">
        <v>227</v>
      </c>
      <c r="M97" s="0" t="s">
        <v>227</v>
      </c>
      <c r="N97" s="0" t="s">
        <v>227</v>
      </c>
      <c r="O97" s="0" t="s">
        <v>227</v>
      </c>
      <c r="P97" s="0" t="s">
        <v>227</v>
      </c>
      <c r="Q97" s="0" t="s">
        <v>227</v>
      </c>
      <c r="R97" s="0" t="s">
        <v>690</v>
      </c>
      <c r="S97" s="0" t="s">
        <v>227</v>
      </c>
      <c r="T97" s="0" t="s">
        <v>227</v>
      </c>
      <c r="U97" s="0" t="s">
        <v>102</v>
      </c>
      <c r="V97" s="0" t="s">
        <v>227</v>
      </c>
      <c r="W97" s="0" t="s">
        <v>227</v>
      </c>
      <c r="X97" s="0" t="s">
        <v>5683</v>
      </c>
      <c r="Y97" s="0" t="s">
        <v>227</v>
      </c>
      <c r="Z97" s="0" t="s">
        <v>152</v>
      </c>
      <c r="AA97" s="0" t="s">
        <v>152</v>
      </c>
      <c r="AB97" s="0" t="s">
        <v>161</v>
      </c>
      <c r="AC97" s="0" t="s">
        <v>354</v>
      </c>
      <c r="AD97" s="0" t="s">
        <v>354</v>
      </c>
      <c r="AE97" s="0" t="s">
        <v>355</v>
      </c>
      <c r="AF97" s="0" t="s">
        <v>5701</v>
      </c>
      <c r="AG97" s="0" t="s">
        <v>5702</v>
      </c>
      <c r="AH97" s="0" t="s">
        <v>5719</v>
      </c>
      <c r="AI97" s="0" t="s">
        <v>5994</v>
      </c>
      <c r="AJ97" s="0" t="s">
        <v>227</v>
      </c>
      <c r="AK97" s="0" t="s">
        <v>227</v>
      </c>
      <c r="AL97" s="0" t="s">
        <v>227</v>
      </c>
      <c r="AM97" s="0" t="s">
        <v>227</v>
      </c>
      <c r="AN97" s="0" t="s">
        <v>227</v>
      </c>
      <c r="AO97" s="0" t="s">
        <v>227</v>
      </c>
      <c r="AP97" s="0" t="s">
        <v>227</v>
      </c>
      <c r="AQ97" s="0" t="s">
        <v>227</v>
      </c>
      <c r="AR97" s="0" t="s">
        <v>227</v>
      </c>
      <c r="AS97" s="0" t="s">
        <v>227</v>
      </c>
      <c r="AT97" s="0" t="s">
        <v>227</v>
      </c>
      <c r="AU97" s="0" t="s">
        <v>227</v>
      </c>
      <c r="AV97" s="0" t="s">
        <v>227</v>
      </c>
      <c r="AW97" s="0" t="s">
        <v>227</v>
      </c>
      <c r="AX97" s="0" t="s">
        <v>227</v>
      </c>
      <c r="AY97" s="0" t="s">
        <v>227</v>
      </c>
      <c r="AZ97" s="0" t="s">
        <v>227</v>
      </c>
      <c r="BA97" s="0" t="s">
        <v>227</v>
      </c>
      <c r="BB97" s="0" t="s">
        <v>227</v>
      </c>
      <c r="BC97" s="0" t="s">
        <v>227</v>
      </c>
      <c r="BD97" s="0" t="s">
        <v>227</v>
      </c>
      <c r="BE97" s="0" t="s">
        <v>5978</v>
      </c>
      <c r="BF97" s="0" t="s">
        <v>5995</v>
      </c>
      <c r="BG97" s="0" t="s">
        <v>112</v>
      </c>
      <c r="BH97" s="0" t="s">
        <v>5690</v>
      </c>
      <c r="BI97" s="0" t="s">
        <v>5691</v>
      </c>
      <c r="BJ97" s="0" t="s">
        <v>227</v>
      </c>
      <c r="BK97" s="0" t="s">
        <v>952</v>
      </c>
      <c r="BL97" s="0" t="s">
        <v>354</v>
      </c>
      <c r="BM97" s="0" t="s">
        <v>354</v>
      </c>
      <c r="BN97" s="0" t="s">
        <v>5693</v>
      </c>
      <c r="BO97" s="0" t="s">
        <v>5701</v>
      </c>
      <c r="BP97" s="0" t="s">
        <v>5706</v>
      </c>
      <c r="BQ97" s="0" t="s">
        <v>5707</v>
      </c>
      <c r="BR97" s="0" t="s">
        <v>5708</v>
      </c>
      <c r="BS97" s="0" t="s">
        <v>227</v>
      </c>
      <c r="BT97" s="0" t="s">
        <v>5695</v>
      </c>
      <c r="BU97" s="0" t="s">
        <v>5996</v>
      </c>
      <c r="BV97" s="0" t="s">
        <v>5996</v>
      </c>
      <c r="BW97" s="0" t="s">
        <v>5697</v>
      </c>
      <c r="BX97" s="0" t="s">
        <v>5697</v>
      </c>
      <c r="BY97" s="0" t="s">
        <v>5697</v>
      </c>
      <c r="BZ97" s="0" t="s">
        <v>5697</v>
      </c>
      <c r="CA97" s="0" t="s">
        <v>5697</v>
      </c>
      <c r="CB97" s="0" t="s">
        <v>227</v>
      </c>
      <c r="CC97" s="0" t="s">
        <v>227</v>
      </c>
      <c r="CD97" s="0" t="s">
        <v>227</v>
      </c>
      <c r="CE97" s="0" t="s">
        <v>227</v>
      </c>
      <c r="CF97" s="0" t="s">
        <v>227</v>
      </c>
      <c r="CG97" s="0" t="s">
        <v>5697</v>
      </c>
      <c r="CH97" s="0" t="s">
        <v>227</v>
      </c>
      <c r="CI97" s="0" t="s">
        <v>227</v>
      </c>
      <c r="CJ97" s="0" t="s">
        <v>227</v>
      </c>
      <c r="CK97" s="0" t="s">
        <v>227</v>
      </c>
      <c r="CL97" s="0" t="s">
        <v>227</v>
      </c>
      <c r="CM97" s="0" t="s">
        <v>5996</v>
      </c>
      <c r="CN97" s="0" t="s">
        <v>5996</v>
      </c>
      <c r="CO97" s="0" t="s">
        <v>227</v>
      </c>
      <c r="CP97" s="0" t="s">
        <v>227</v>
      </c>
      <c r="CQ97" s="0" t="s">
        <v>227</v>
      </c>
      <c r="CR97" s="0" t="s">
        <v>227</v>
      </c>
      <c r="CS97" s="0" t="s">
        <v>5744</v>
      </c>
      <c r="CT97" s="0" t="s">
        <v>5679</v>
      </c>
      <c r="CU97" s="0" t="s">
        <v>5680</v>
      </c>
      <c r="CV97" s="0" t="s">
        <v>430</v>
      </c>
      <c r="CW97" s="0" t="s">
        <v>5699</v>
      </c>
      <c r="CX97" s="0" t="s">
        <v>431</v>
      </c>
      <c r="CY97" s="0" t="s">
        <v>430</v>
      </c>
      <c r="CZ97" s="0" t="s">
        <v>432</v>
      </c>
      <c r="DA97" s="0" t="s">
        <v>433</v>
      </c>
      <c r="DB97" s="0" t="s">
        <v>5700</v>
      </c>
      <c r="DC97" s="0" t="s">
        <v>373</v>
      </c>
      <c r="DD97" s="0" t="s">
        <v>277</v>
      </c>
      <c r="DE97" s="0" t="s">
        <v>931</v>
      </c>
    </row>
    <row customHeight="1" ht="11.25">
      <c r="A98" s="1806" t="s">
        <v>227</v>
      </c>
      <c r="B98" s="0" t="s">
        <v>227</v>
      </c>
      <c r="C98" s="0" t="s">
        <v>227</v>
      </c>
      <c r="D98" s="0" t="s">
        <v>227</v>
      </c>
      <c r="E98" s="0" t="s">
        <v>227</v>
      </c>
      <c r="F98" s="0" t="s">
        <v>227</v>
      </c>
      <c r="G98" s="0" t="s">
        <v>227</v>
      </c>
      <c r="H98" s="0" t="s">
        <v>227</v>
      </c>
      <c r="I98" s="0" t="s">
        <v>5667</v>
      </c>
      <c r="J98" s="0" t="s">
        <v>227</v>
      </c>
      <c r="K98" s="0" t="s">
        <v>227</v>
      </c>
      <c r="L98" s="0" t="s">
        <v>227</v>
      </c>
      <c r="M98" s="0" t="s">
        <v>227</v>
      </c>
      <c r="N98" s="0" t="s">
        <v>227</v>
      </c>
      <c r="O98" s="0" t="s">
        <v>227</v>
      </c>
      <c r="P98" s="0" t="s">
        <v>227</v>
      </c>
      <c r="Q98" s="0" t="s">
        <v>227</v>
      </c>
      <c r="R98" s="0" t="s">
        <v>462</v>
      </c>
      <c r="S98" s="0" t="s">
        <v>227</v>
      </c>
      <c r="T98" s="0" t="s">
        <v>227</v>
      </c>
      <c r="U98" s="0" t="s">
        <v>102</v>
      </c>
      <c r="V98" s="0" t="s">
        <v>227</v>
      </c>
      <c r="W98" s="0" t="s">
        <v>227</v>
      </c>
      <c r="X98" s="0" t="s">
        <v>5668</v>
      </c>
      <c r="Y98" s="0" t="s">
        <v>227</v>
      </c>
      <c r="Z98" s="0" t="s">
        <v>161</v>
      </c>
      <c r="AA98" s="0" t="s">
        <v>152</v>
      </c>
      <c r="AB98" s="0" t="s">
        <v>152</v>
      </c>
      <c r="AC98" s="0" t="s">
        <v>352</v>
      </c>
      <c r="AD98" s="0" t="s">
        <v>352</v>
      </c>
      <c r="AE98" s="0" t="s">
        <v>353</v>
      </c>
      <c r="AF98" s="0" t="s">
        <v>5734</v>
      </c>
      <c r="AG98" s="0" t="s">
        <v>5735</v>
      </c>
      <c r="AH98" s="0" t="s">
        <v>5736</v>
      </c>
      <c r="AI98" s="0" t="s">
        <v>5692</v>
      </c>
      <c r="AJ98" s="0" t="s">
        <v>5737</v>
      </c>
      <c r="AK98" s="0" t="s">
        <v>5738</v>
      </c>
      <c r="AL98" s="0" t="s">
        <v>5739</v>
      </c>
      <c r="AM98" s="0" t="s">
        <v>5676</v>
      </c>
      <c r="AN98" s="0" t="s">
        <v>5997</v>
      </c>
      <c r="AO98" s="0" t="s">
        <v>5998</v>
      </c>
      <c r="AP98" s="0" t="s">
        <v>227</v>
      </c>
      <c r="AQ98" s="0" t="s">
        <v>227</v>
      </c>
      <c r="AR98" s="0" t="s">
        <v>227</v>
      </c>
      <c r="AS98" s="0" t="s">
        <v>227</v>
      </c>
      <c r="AT98" s="0" t="s">
        <v>227</v>
      </c>
      <c r="AU98" s="0" t="s">
        <v>227</v>
      </c>
      <c r="AV98" s="0" t="s">
        <v>227</v>
      </c>
      <c r="AW98" s="0" t="s">
        <v>227</v>
      </c>
      <c r="AX98" s="0" t="s">
        <v>227</v>
      </c>
      <c r="AY98" s="0" t="s">
        <v>227</v>
      </c>
      <c r="AZ98" s="0" t="s">
        <v>227</v>
      </c>
      <c r="BA98" s="0" t="s">
        <v>227</v>
      </c>
      <c r="BB98" s="0" t="s">
        <v>227</v>
      </c>
      <c r="BC98" s="0" t="s">
        <v>227</v>
      </c>
      <c r="BD98" s="0" t="s">
        <v>227</v>
      </c>
      <c r="BE98" s="0" t="s">
        <v>227</v>
      </c>
      <c r="BF98" s="0" t="s">
        <v>227</v>
      </c>
      <c r="BG98" s="0" t="s">
        <v>227</v>
      </c>
      <c r="BH98" s="0" t="s">
        <v>227</v>
      </c>
      <c r="BI98" s="0" t="s">
        <v>227</v>
      </c>
      <c r="BJ98" s="0" t="s">
        <v>227</v>
      </c>
      <c r="BK98" s="0" t="s">
        <v>227</v>
      </c>
      <c r="BL98" s="0" t="s">
        <v>227</v>
      </c>
      <c r="BM98" s="0" t="s">
        <v>227</v>
      </c>
      <c r="BN98" s="0" t="s">
        <v>227</v>
      </c>
      <c r="BO98" s="0" t="s">
        <v>227</v>
      </c>
      <c r="BP98" s="0" t="s">
        <v>227</v>
      </c>
      <c r="BQ98" s="0" t="s">
        <v>227</v>
      </c>
      <c r="BR98" s="0" t="s">
        <v>227</v>
      </c>
      <c r="BS98" s="0" t="s">
        <v>227</v>
      </c>
      <c r="BT98" s="0" t="s">
        <v>227</v>
      </c>
      <c r="BU98" s="0" t="s">
        <v>227</v>
      </c>
      <c r="BV98" s="0" t="s">
        <v>227</v>
      </c>
      <c r="BW98" s="0" t="s">
        <v>227</v>
      </c>
      <c r="BX98" s="0" t="s">
        <v>227</v>
      </c>
      <c r="BY98" s="0" t="s">
        <v>227</v>
      </c>
      <c r="BZ98" s="0" t="s">
        <v>227</v>
      </c>
      <c r="CA98" s="0" t="s">
        <v>227</v>
      </c>
      <c r="CB98" s="0" t="s">
        <v>227</v>
      </c>
      <c r="CC98" s="0" t="s">
        <v>227</v>
      </c>
      <c r="CD98" s="0" t="s">
        <v>227</v>
      </c>
      <c r="CE98" s="0" t="s">
        <v>227</v>
      </c>
      <c r="CF98" s="0" t="s">
        <v>227</v>
      </c>
      <c r="CG98" s="0" t="s">
        <v>227</v>
      </c>
      <c r="CH98" s="0" t="s">
        <v>227</v>
      </c>
      <c r="CI98" s="0" t="s">
        <v>227</v>
      </c>
      <c r="CJ98" s="0" t="s">
        <v>227</v>
      </c>
      <c r="CK98" s="0" t="s">
        <v>227</v>
      </c>
      <c r="CL98" s="0" t="s">
        <v>227</v>
      </c>
      <c r="CM98" s="0" t="s">
        <v>227</v>
      </c>
      <c r="CN98" s="0" t="s">
        <v>227</v>
      </c>
      <c r="CO98" s="0" t="s">
        <v>227</v>
      </c>
      <c r="CP98" s="0" t="s">
        <v>227</v>
      </c>
      <c r="CQ98" s="0" t="s">
        <v>227</v>
      </c>
      <c r="CR98" s="0" t="s">
        <v>227</v>
      </c>
      <c r="CS98" s="0" t="s">
        <v>227</v>
      </c>
      <c r="CT98" s="0" t="s">
        <v>5679</v>
      </c>
      <c r="CU98" s="0" t="s">
        <v>5680</v>
      </c>
      <c r="CV98" s="0" t="s">
        <v>430</v>
      </c>
      <c r="CW98" s="0" t="s">
        <v>5681</v>
      </c>
      <c r="CX98" s="0" t="s">
        <v>431</v>
      </c>
      <c r="CY98" s="0" t="s">
        <v>430</v>
      </c>
      <c r="CZ98" s="0" t="s">
        <v>432</v>
      </c>
      <c r="DA98" s="0" t="s">
        <v>433</v>
      </c>
      <c r="DB98" s="0" t="s">
        <v>5682</v>
      </c>
      <c r="DC98" s="0" t="s">
        <v>373</v>
      </c>
      <c r="DD98" s="0" t="s">
        <v>277</v>
      </c>
      <c r="DE98" s="0" t="s">
        <v>460</v>
      </c>
    </row>
    <row customHeight="1" ht="11.25">
      <c r="A99" s="1806" t="s">
        <v>227</v>
      </c>
      <c r="B99" s="0" t="s">
        <v>227</v>
      </c>
      <c r="C99" s="0" t="s">
        <v>227</v>
      </c>
      <c r="D99" s="0" t="s">
        <v>227</v>
      </c>
      <c r="E99" s="0" t="s">
        <v>227</v>
      </c>
      <c r="F99" s="0" t="s">
        <v>227</v>
      </c>
      <c r="G99" s="0" t="s">
        <v>227</v>
      </c>
      <c r="H99" s="0" t="s">
        <v>227</v>
      </c>
      <c r="I99" s="0" t="s">
        <v>5667</v>
      </c>
      <c r="J99" s="0" t="s">
        <v>227</v>
      </c>
      <c r="K99" s="0" t="s">
        <v>227</v>
      </c>
      <c r="L99" s="0" t="s">
        <v>227</v>
      </c>
      <c r="M99" s="0" t="s">
        <v>227</v>
      </c>
      <c r="N99" s="0" t="s">
        <v>227</v>
      </c>
      <c r="O99" s="0" t="s">
        <v>227</v>
      </c>
      <c r="P99" s="0" t="s">
        <v>227</v>
      </c>
      <c r="Q99" s="0" t="s">
        <v>227</v>
      </c>
      <c r="R99" s="0" t="s">
        <v>821</v>
      </c>
      <c r="S99" s="0" t="s">
        <v>227</v>
      </c>
      <c r="T99" s="0" t="s">
        <v>227</v>
      </c>
      <c r="U99" s="0" t="s">
        <v>102</v>
      </c>
      <c r="V99" s="0" t="s">
        <v>227</v>
      </c>
      <c r="W99" s="0" t="s">
        <v>227</v>
      </c>
      <c r="X99" s="0" t="s">
        <v>5683</v>
      </c>
      <c r="Y99" s="0" t="s">
        <v>227</v>
      </c>
      <c r="Z99" s="0" t="s">
        <v>152</v>
      </c>
      <c r="AA99" s="0" t="s">
        <v>152</v>
      </c>
      <c r="AB99" s="0" t="s">
        <v>161</v>
      </c>
      <c r="AC99" s="0" t="s">
        <v>354</v>
      </c>
      <c r="AD99" s="0" t="s">
        <v>354</v>
      </c>
      <c r="AE99" s="0" t="s">
        <v>355</v>
      </c>
      <c r="AF99" s="0" t="s">
        <v>5701</v>
      </c>
      <c r="AG99" s="0" t="s">
        <v>5702</v>
      </c>
      <c r="AH99" s="0" t="s">
        <v>5999</v>
      </c>
      <c r="AI99" s="0" t="s">
        <v>6000</v>
      </c>
      <c r="AJ99" s="0" t="s">
        <v>227</v>
      </c>
      <c r="AK99" s="0" t="s">
        <v>227</v>
      </c>
      <c r="AL99" s="0" t="s">
        <v>227</v>
      </c>
      <c r="AM99" s="0" t="s">
        <v>227</v>
      </c>
      <c r="AN99" s="0" t="s">
        <v>227</v>
      </c>
      <c r="AO99" s="0" t="s">
        <v>227</v>
      </c>
      <c r="AP99" s="0" t="s">
        <v>227</v>
      </c>
      <c r="AQ99" s="0" t="s">
        <v>227</v>
      </c>
      <c r="AR99" s="0" t="s">
        <v>227</v>
      </c>
      <c r="AS99" s="0" t="s">
        <v>227</v>
      </c>
      <c r="AT99" s="0" t="s">
        <v>227</v>
      </c>
      <c r="AU99" s="0" t="s">
        <v>227</v>
      </c>
      <c r="AV99" s="0" t="s">
        <v>227</v>
      </c>
      <c r="AW99" s="0" t="s">
        <v>227</v>
      </c>
      <c r="AX99" s="0" t="s">
        <v>227</v>
      </c>
      <c r="AY99" s="0" t="s">
        <v>227</v>
      </c>
      <c r="AZ99" s="0" t="s">
        <v>227</v>
      </c>
      <c r="BA99" s="0" t="s">
        <v>227</v>
      </c>
      <c r="BB99" s="0" t="s">
        <v>227</v>
      </c>
      <c r="BC99" s="0" t="s">
        <v>227</v>
      </c>
      <c r="BD99" s="0" t="s">
        <v>227</v>
      </c>
      <c r="BE99" s="0" t="s">
        <v>5748</v>
      </c>
      <c r="BF99" s="0" t="s">
        <v>6001</v>
      </c>
      <c r="BG99" s="0" t="s">
        <v>112</v>
      </c>
      <c r="BH99" s="0" t="s">
        <v>5690</v>
      </c>
      <c r="BI99" s="0" t="s">
        <v>5691</v>
      </c>
      <c r="BJ99" s="0" t="s">
        <v>227</v>
      </c>
      <c r="BK99" s="0" t="s">
        <v>952</v>
      </c>
      <c r="BL99" s="0" t="s">
        <v>354</v>
      </c>
      <c r="BM99" s="0" t="s">
        <v>354</v>
      </c>
      <c r="BN99" s="0" t="s">
        <v>5693</v>
      </c>
      <c r="BO99" s="0" t="s">
        <v>5701</v>
      </c>
      <c r="BP99" s="0" t="s">
        <v>5706</v>
      </c>
      <c r="BQ99" s="0" t="s">
        <v>5707</v>
      </c>
      <c r="BR99" s="0" t="s">
        <v>5708</v>
      </c>
      <c r="BS99" s="0" t="s">
        <v>227</v>
      </c>
      <c r="BT99" s="0" t="s">
        <v>5695</v>
      </c>
      <c r="BU99" s="0" t="s">
        <v>6002</v>
      </c>
      <c r="BV99" s="0" t="s">
        <v>6002</v>
      </c>
      <c r="BW99" s="0" t="s">
        <v>5697</v>
      </c>
      <c r="BX99" s="0" t="s">
        <v>5697</v>
      </c>
      <c r="BY99" s="0" t="s">
        <v>5697</v>
      </c>
      <c r="BZ99" s="0" t="s">
        <v>5697</v>
      </c>
      <c r="CA99" s="0" t="s">
        <v>5697</v>
      </c>
      <c r="CB99" s="0" t="s">
        <v>227</v>
      </c>
      <c r="CC99" s="0" t="s">
        <v>227</v>
      </c>
      <c r="CD99" s="0" t="s">
        <v>227</v>
      </c>
      <c r="CE99" s="0" t="s">
        <v>227</v>
      </c>
      <c r="CF99" s="0" t="s">
        <v>227</v>
      </c>
      <c r="CG99" s="0" t="s">
        <v>5697</v>
      </c>
      <c r="CH99" s="0" t="s">
        <v>227</v>
      </c>
      <c r="CI99" s="0" t="s">
        <v>227</v>
      </c>
      <c r="CJ99" s="0" t="s">
        <v>227</v>
      </c>
      <c r="CK99" s="0" t="s">
        <v>227</v>
      </c>
      <c r="CL99" s="0" t="s">
        <v>227</v>
      </c>
      <c r="CM99" s="0" t="s">
        <v>6002</v>
      </c>
      <c r="CN99" s="0" t="s">
        <v>6002</v>
      </c>
      <c r="CO99" s="0" t="s">
        <v>227</v>
      </c>
      <c r="CP99" s="0" t="s">
        <v>227</v>
      </c>
      <c r="CQ99" s="0" t="s">
        <v>227</v>
      </c>
      <c r="CR99" s="0" t="s">
        <v>227</v>
      </c>
      <c r="CS99" s="0" t="s">
        <v>5733</v>
      </c>
      <c r="CT99" s="0" t="s">
        <v>5679</v>
      </c>
      <c r="CU99" s="0" t="s">
        <v>5680</v>
      </c>
      <c r="CV99" s="0" t="s">
        <v>430</v>
      </c>
      <c r="CW99" s="0" t="s">
        <v>5699</v>
      </c>
      <c r="CX99" s="0" t="s">
        <v>431</v>
      </c>
      <c r="CY99" s="0" t="s">
        <v>430</v>
      </c>
      <c r="CZ99" s="0" t="s">
        <v>432</v>
      </c>
      <c r="DA99" s="0" t="s">
        <v>433</v>
      </c>
      <c r="DB99" s="0" t="s">
        <v>5700</v>
      </c>
      <c r="DC99" s="0" t="s">
        <v>373</v>
      </c>
      <c r="DD99" s="0" t="s">
        <v>277</v>
      </c>
      <c r="DE99" s="0" t="s">
        <v>822</v>
      </c>
    </row>
    <row customHeight="1" ht="11.25">
      <c r="A100" s="1806" t="s">
        <v>227</v>
      </c>
      <c r="B100" s="0" t="s">
        <v>227</v>
      </c>
      <c r="C100" s="0" t="s">
        <v>227</v>
      </c>
      <c r="D100" s="0" t="s">
        <v>227</v>
      </c>
      <c r="E100" s="0" t="s">
        <v>227</v>
      </c>
      <c r="F100" s="0" t="s">
        <v>227</v>
      </c>
      <c r="G100" s="0" t="s">
        <v>227</v>
      </c>
      <c r="H100" s="0" t="s">
        <v>227</v>
      </c>
      <c r="I100" s="0" t="s">
        <v>5667</v>
      </c>
      <c r="J100" s="0" t="s">
        <v>227</v>
      </c>
      <c r="K100" s="0" t="s">
        <v>227</v>
      </c>
      <c r="L100" s="0" t="s">
        <v>227</v>
      </c>
      <c r="M100" s="0" t="s">
        <v>227</v>
      </c>
      <c r="N100" s="0" t="s">
        <v>227</v>
      </c>
      <c r="O100" s="0" t="s">
        <v>227</v>
      </c>
      <c r="P100" s="0" t="s">
        <v>227</v>
      </c>
      <c r="Q100" s="0" t="s">
        <v>227</v>
      </c>
      <c r="R100" s="0" t="s">
        <v>645</v>
      </c>
      <c r="S100" s="0" t="s">
        <v>227</v>
      </c>
      <c r="T100" s="0" t="s">
        <v>227</v>
      </c>
      <c r="U100" s="0" t="s">
        <v>102</v>
      </c>
      <c r="V100" s="0" t="s">
        <v>227</v>
      </c>
      <c r="W100" s="0" t="s">
        <v>227</v>
      </c>
      <c r="X100" s="0" t="s">
        <v>5683</v>
      </c>
      <c r="Y100" s="0" t="s">
        <v>227</v>
      </c>
      <c r="Z100" s="0" t="s">
        <v>152</v>
      </c>
      <c r="AA100" s="0" t="s">
        <v>152</v>
      </c>
      <c r="AB100" s="0" t="s">
        <v>161</v>
      </c>
      <c r="AC100" s="0" t="s">
        <v>354</v>
      </c>
      <c r="AD100" s="0" t="s">
        <v>354</v>
      </c>
      <c r="AE100" s="0" t="s">
        <v>355</v>
      </c>
      <c r="AF100" s="0" t="s">
        <v>5701</v>
      </c>
      <c r="AG100" s="0" t="s">
        <v>5702</v>
      </c>
      <c r="AH100" s="0" t="s">
        <v>5925</v>
      </c>
      <c r="AI100" s="0" t="s">
        <v>6003</v>
      </c>
      <c r="AJ100" s="0" t="s">
        <v>227</v>
      </c>
      <c r="AK100" s="0" t="s">
        <v>227</v>
      </c>
      <c r="AL100" s="0" t="s">
        <v>227</v>
      </c>
      <c r="AM100" s="0" t="s">
        <v>227</v>
      </c>
      <c r="AN100" s="0" t="s">
        <v>227</v>
      </c>
      <c r="AO100" s="0" t="s">
        <v>227</v>
      </c>
      <c r="AP100" s="0" t="s">
        <v>227</v>
      </c>
      <c r="AQ100" s="0" t="s">
        <v>227</v>
      </c>
      <c r="AR100" s="0" t="s">
        <v>227</v>
      </c>
      <c r="AS100" s="0" t="s">
        <v>227</v>
      </c>
      <c r="AT100" s="0" t="s">
        <v>227</v>
      </c>
      <c r="AU100" s="0" t="s">
        <v>227</v>
      </c>
      <c r="AV100" s="0" t="s">
        <v>227</v>
      </c>
      <c r="AW100" s="0" t="s">
        <v>227</v>
      </c>
      <c r="AX100" s="0" t="s">
        <v>227</v>
      </c>
      <c r="AY100" s="0" t="s">
        <v>227</v>
      </c>
      <c r="AZ100" s="0" t="s">
        <v>227</v>
      </c>
      <c r="BA100" s="0" t="s">
        <v>227</v>
      </c>
      <c r="BB100" s="0" t="s">
        <v>227</v>
      </c>
      <c r="BC100" s="0" t="s">
        <v>227</v>
      </c>
      <c r="BD100" s="0" t="s">
        <v>227</v>
      </c>
      <c r="BE100" s="0" t="s">
        <v>5748</v>
      </c>
      <c r="BF100" s="0" t="s">
        <v>6001</v>
      </c>
      <c r="BG100" s="0" t="s">
        <v>112</v>
      </c>
      <c r="BH100" s="0" t="s">
        <v>5690</v>
      </c>
      <c r="BI100" s="0" t="s">
        <v>5691</v>
      </c>
      <c r="BJ100" s="0" t="s">
        <v>227</v>
      </c>
      <c r="BK100" s="0" t="s">
        <v>952</v>
      </c>
      <c r="BL100" s="0" t="s">
        <v>354</v>
      </c>
      <c r="BM100" s="0" t="s">
        <v>354</v>
      </c>
      <c r="BN100" s="0" t="s">
        <v>5693</v>
      </c>
      <c r="BO100" s="0" t="s">
        <v>5701</v>
      </c>
      <c r="BP100" s="0" t="s">
        <v>5706</v>
      </c>
      <c r="BQ100" s="0" t="s">
        <v>5707</v>
      </c>
      <c r="BR100" s="0" t="s">
        <v>5708</v>
      </c>
      <c r="BS100" s="0" t="s">
        <v>227</v>
      </c>
      <c r="BT100" s="0" t="s">
        <v>5695</v>
      </c>
      <c r="BU100" s="0" t="s">
        <v>6004</v>
      </c>
      <c r="BV100" s="0" t="s">
        <v>6004</v>
      </c>
      <c r="BW100" s="0" t="s">
        <v>5697</v>
      </c>
      <c r="BX100" s="0" t="s">
        <v>5697</v>
      </c>
      <c r="BY100" s="0" t="s">
        <v>5697</v>
      </c>
      <c r="BZ100" s="0" t="s">
        <v>5697</v>
      </c>
      <c r="CA100" s="0" t="s">
        <v>5697</v>
      </c>
      <c r="CB100" s="0" t="s">
        <v>227</v>
      </c>
      <c r="CC100" s="0" t="s">
        <v>227</v>
      </c>
      <c r="CD100" s="0" t="s">
        <v>227</v>
      </c>
      <c r="CE100" s="0" t="s">
        <v>227</v>
      </c>
      <c r="CF100" s="0" t="s">
        <v>227</v>
      </c>
      <c r="CG100" s="0" t="s">
        <v>5697</v>
      </c>
      <c r="CH100" s="0" t="s">
        <v>227</v>
      </c>
      <c r="CI100" s="0" t="s">
        <v>227</v>
      </c>
      <c r="CJ100" s="0" t="s">
        <v>227</v>
      </c>
      <c r="CK100" s="0" t="s">
        <v>227</v>
      </c>
      <c r="CL100" s="0" t="s">
        <v>227</v>
      </c>
      <c r="CM100" s="0" t="s">
        <v>6004</v>
      </c>
      <c r="CN100" s="0" t="s">
        <v>6004</v>
      </c>
      <c r="CO100" s="0" t="s">
        <v>227</v>
      </c>
      <c r="CP100" s="0" t="s">
        <v>227</v>
      </c>
      <c r="CQ100" s="0" t="s">
        <v>227</v>
      </c>
      <c r="CR100" s="0" t="s">
        <v>227</v>
      </c>
      <c r="CS100" s="0" t="s">
        <v>5773</v>
      </c>
      <c r="CT100" s="0" t="s">
        <v>5679</v>
      </c>
      <c r="CU100" s="0" t="s">
        <v>5680</v>
      </c>
      <c r="CV100" s="0" t="s">
        <v>430</v>
      </c>
      <c r="CW100" s="0" t="s">
        <v>5699</v>
      </c>
      <c r="CX100" s="0" t="s">
        <v>431</v>
      </c>
      <c r="CY100" s="0" t="s">
        <v>430</v>
      </c>
      <c r="CZ100" s="0" t="s">
        <v>432</v>
      </c>
      <c r="DA100" s="0" t="s">
        <v>433</v>
      </c>
      <c r="DB100" s="0" t="s">
        <v>5700</v>
      </c>
      <c r="DC100" s="0" t="s">
        <v>373</v>
      </c>
      <c r="DD100" s="0" t="s">
        <v>277</v>
      </c>
      <c r="DE100" s="0" t="s">
        <v>888</v>
      </c>
    </row>
    <row customHeight="1" ht="11.25">
      <c r="A101" s="1806" t="s">
        <v>227</v>
      </c>
      <c r="B101" s="0" t="s">
        <v>227</v>
      </c>
      <c r="C101" s="0" t="s">
        <v>227</v>
      </c>
      <c r="D101" s="0" t="s">
        <v>227</v>
      </c>
      <c r="E101" s="0" t="s">
        <v>227</v>
      </c>
      <c r="F101" s="0" t="s">
        <v>227</v>
      </c>
      <c r="G101" s="0" t="s">
        <v>227</v>
      </c>
      <c r="H101" s="0" t="s">
        <v>227</v>
      </c>
      <c r="I101" s="0" t="s">
        <v>5667</v>
      </c>
      <c r="J101" s="0" t="s">
        <v>227</v>
      </c>
      <c r="K101" s="0" t="s">
        <v>227</v>
      </c>
      <c r="L101" s="0" t="s">
        <v>227</v>
      </c>
      <c r="M101" s="0" t="s">
        <v>227</v>
      </c>
      <c r="N101" s="0" t="s">
        <v>227</v>
      </c>
      <c r="O101" s="0" t="s">
        <v>227</v>
      </c>
      <c r="P101" s="0" t="s">
        <v>227</v>
      </c>
      <c r="Q101" s="0" t="s">
        <v>227</v>
      </c>
      <c r="R101" s="0" t="s">
        <v>536</v>
      </c>
      <c r="S101" s="0" t="s">
        <v>227</v>
      </c>
      <c r="T101" s="0" t="s">
        <v>227</v>
      </c>
      <c r="U101" s="0" t="s">
        <v>102</v>
      </c>
      <c r="V101" s="0" t="s">
        <v>227</v>
      </c>
      <c r="W101" s="0" t="s">
        <v>227</v>
      </c>
      <c r="X101" s="0" t="s">
        <v>5683</v>
      </c>
      <c r="Y101" s="0" t="s">
        <v>227</v>
      </c>
      <c r="Z101" s="0" t="s">
        <v>152</v>
      </c>
      <c r="AA101" s="0" t="s">
        <v>152</v>
      </c>
      <c r="AB101" s="0" t="s">
        <v>161</v>
      </c>
      <c r="AC101" s="0" t="s">
        <v>354</v>
      </c>
      <c r="AD101" s="0" t="s">
        <v>354</v>
      </c>
      <c r="AE101" s="0" t="s">
        <v>355</v>
      </c>
      <c r="AF101" s="0" t="s">
        <v>5684</v>
      </c>
      <c r="AG101" s="0" t="s">
        <v>5685</v>
      </c>
      <c r="AH101" s="0" t="s">
        <v>6005</v>
      </c>
      <c r="AI101" s="0" t="s">
        <v>6006</v>
      </c>
      <c r="AJ101" s="0" t="s">
        <v>227</v>
      </c>
      <c r="AK101" s="0" t="s">
        <v>227</v>
      </c>
      <c r="AL101" s="0" t="s">
        <v>227</v>
      </c>
      <c r="AM101" s="0" t="s">
        <v>227</v>
      </c>
      <c r="AN101" s="0" t="s">
        <v>227</v>
      </c>
      <c r="AO101" s="0" t="s">
        <v>227</v>
      </c>
      <c r="AP101" s="0" t="s">
        <v>227</v>
      </c>
      <c r="AQ101" s="0" t="s">
        <v>227</v>
      </c>
      <c r="AR101" s="0" t="s">
        <v>227</v>
      </c>
      <c r="AS101" s="0" t="s">
        <v>227</v>
      </c>
      <c r="AT101" s="0" t="s">
        <v>227</v>
      </c>
      <c r="AU101" s="0" t="s">
        <v>227</v>
      </c>
      <c r="AV101" s="0" t="s">
        <v>227</v>
      </c>
      <c r="AW101" s="0" t="s">
        <v>227</v>
      </c>
      <c r="AX101" s="0" t="s">
        <v>227</v>
      </c>
      <c r="AY101" s="0" t="s">
        <v>227</v>
      </c>
      <c r="AZ101" s="0" t="s">
        <v>227</v>
      </c>
      <c r="BA101" s="0" t="s">
        <v>227</v>
      </c>
      <c r="BB101" s="0" t="s">
        <v>227</v>
      </c>
      <c r="BC101" s="0" t="s">
        <v>227</v>
      </c>
      <c r="BD101" s="0" t="s">
        <v>227</v>
      </c>
      <c r="BE101" s="0" t="s">
        <v>5743</v>
      </c>
      <c r="BF101" s="0" t="s">
        <v>6007</v>
      </c>
      <c r="BG101" s="0" t="s">
        <v>112</v>
      </c>
      <c r="BH101" s="0" t="s">
        <v>5690</v>
      </c>
      <c r="BI101" s="0" t="s">
        <v>5691</v>
      </c>
      <c r="BJ101" s="0" t="s">
        <v>227</v>
      </c>
      <c r="BK101" s="0" t="s">
        <v>5692</v>
      </c>
      <c r="BL101" s="0" t="s">
        <v>354</v>
      </c>
      <c r="BM101" s="0" t="s">
        <v>354</v>
      </c>
      <c r="BN101" s="0" t="s">
        <v>5693</v>
      </c>
      <c r="BO101" s="0" t="s">
        <v>5684</v>
      </c>
      <c r="BP101" s="0" t="s">
        <v>5694</v>
      </c>
      <c r="BQ101" s="0" t="s">
        <v>5692</v>
      </c>
      <c r="BR101" s="0" t="s">
        <v>5692</v>
      </c>
      <c r="BS101" s="0" t="s">
        <v>227</v>
      </c>
      <c r="BT101" s="0" t="s">
        <v>5709</v>
      </c>
      <c r="BU101" s="0" t="s">
        <v>5976</v>
      </c>
      <c r="BV101" s="0" t="s">
        <v>5976</v>
      </c>
      <c r="BW101" s="0" t="s">
        <v>5697</v>
      </c>
      <c r="BX101" s="0" t="s">
        <v>5697</v>
      </c>
      <c r="BY101" s="0" t="s">
        <v>5697</v>
      </c>
      <c r="BZ101" s="0" t="s">
        <v>5697</v>
      </c>
      <c r="CA101" s="0" t="s">
        <v>5697</v>
      </c>
      <c r="CB101" s="0" t="s">
        <v>227</v>
      </c>
      <c r="CC101" s="0" t="s">
        <v>227</v>
      </c>
      <c r="CD101" s="0" t="s">
        <v>227</v>
      </c>
      <c r="CE101" s="0" t="s">
        <v>227</v>
      </c>
      <c r="CF101" s="0" t="s">
        <v>227</v>
      </c>
      <c r="CG101" s="0" t="s">
        <v>5697</v>
      </c>
      <c r="CH101" s="0" t="s">
        <v>227</v>
      </c>
      <c r="CI101" s="0" t="s">
        <v>227</v>
      </c>
      <c r="CJ101" s="0" t="s">
        <v>227</v>
      </c>
      <c r="CK101" s="0" t="s">
        <v>227</v>
      </c>
      <c r="CL101" s="0" t="s">
        <v>227</v>
      </c>
      <c r="CM101" s="0" t="s">
        <v>5976</v>
      </c>
      <c r="CN101" s="0" t="s">
        <v>5976</v>
      </c>
      <c r="CO101" s="0" t="s">
        <v>227</v>
      </c>
      <c r="CP101" s="0" t="s">
        <v>227</v>
      </c>
      <c r="CQ101" s="0" t="s">
        <v>227</v>
      </c>
      <c r="CR101" s="0" t="s">
        <v>227</v>
      </c>
      <c r="CS101" s="0" t="s">
        <v>5705</v>
      </c>
      <c r="CT101" s="0" t="s">
        <v>5679</v>
      </c>
      <c r="CU101" s="0" t="s">
        <v>5680</v>
      </c>
      <c r="CV101" s="0" t="s">
        <v>430</v>
      </c>
      <c r="CW101" s="0" t="s">
        <v>5699</v>
      </c>
      <c r="CX101" s="0" t="s">
        <v>431</v>
      </c>
      <c r="CY101" s="0" t="s">
        <v>430</v>
      </c>
      <c r="CZ101" s="0" t="s">
        <v>432</v>
      </c>
      <c r="DA101" s="0" t="s">
        <v>433</v>
      </c>
      <c r="DB101" s="0" t="s">
        <v>5700</v>
      </c>
      <c r="DC101" s="0" t="s">
        <v>373</v>
      </c>
      <c r="DD101" s="0" t="s">
        <v>277</v>
      </c>
      <c r="DE101" s="0" t="s">
        <v>537</v>
      </c>
    </row>
    <row customHeight="1" ht="11.25">
      <c r="A102" s="1806" t="s">
        <v>227</v>
      </c>
      <c r="B102" s="0" t="s">
        <v>227</v>
      </c>
      <c r="C102" s="0" t="s">
        <v>227</v>
      </c>
      <c r="D102" s="0" t="s">
        <v>227</v>
      </c>
      <c r="E102" s="0" t="s">
        <v>227</v>
      </c>
      <c r="F102" s="0" t="s">
        <v>227</v>
      </c>
      <c r="G102" s="0" t="s">
        <v>227</v>
      </c>
      <c r="H102" s="0" t="s">
        <v>227</v>
      </c>
      <c r="I102" s="0" t="s">
        <v>5667</v>
      </c>
      <c r="J102" s="0" t="s">
        <v>227</v>
      </c>
      <c r="K102" s="0" t="s">
        <v>227</v>
      </c>
      <c r="L102" s="0" t="s">
        <v>227</v>
      </c>
      <c r="M102" s="0" t="s">
        <v>227</v>
      </c>
      <c r="N102" s="0" t="s">
        <v>227</v>
      </c>
      <c r="O102" s="0" t="s">
        <v>227</v>
      </c>
      <c r="P102" s="0" t="s">
        <v>227</v>
      </c>
      <c r="Q102" s="0" t="s">
        <v>227</v>
      </c>
      <c r="R102" s="0" t="s">
        <v>785</v>
      </c>
      <c r="S102" s="0" t="s">
        <v>227</v>
      </c>
      <c r="T102" s="0" t="s">
        <v>227</v>
      </c>
      <c r="U102" s="0" t="s">
        <v>102</v>
      </c>
      <c r="V102" s="0" t="s">
        <v>227</v>
      </c>
      <c r="W102" s="0" t="s">
        <v>227</v>
      </c>
      <c r="X102" s="0" t="s">
        <v>5683</v>
      </c>
      <c r="Y102" s="0" t="s">
        <v>227</v>
      </c>
      <c r="Z102" s="0" t="s">
        <v>152</v>
      </c>
      <c r="AA102" s="0" t="s">
        <v>152</v>
      </c>
      <c r="AB102" s="0" t="s">
        <v>161</v>
      </c>
      <c r="AC102" s="0" t="s">
        <v>354</v>
      </c>
      <c r="AD102" s="0" t="s">
        <v>354</v>
      </c>
      <c r="AE102" s="0" t="s">
        <v>355</v>
      </c>
      <c r="AF102" s="0" t="s">
        <v>5701</v>
      </c>
      <c r="AG102" s="0" t="s">
        <v>5702</v>
      </c>
      <c r="AH102" s="0" t="s">
        <v>5703</v>
      </c>
      <c r="AI102" s="0" t="s">
        <v>508</v>
      </c>
      <c r="AJ102" s="0" t="s">
        <v>227</v>
      </c>
      <c r="AK102" s="0" t="s">
        <v>227</v>
      </c>
      <c r="AL102" s="0" t="s">
        <v>227</v>
      </c>
      <c r="AM102" s="0" t="s">
        <v>227</v>
      </c>
      <c r="AN102" s="0" t="s">
        <v>227</v>
      </c>
      <c r="AO102" s="0" t="s">
        <v>227</v>
      </c>
      <c r="AP102" s="0" t="s">
        <v>227</v>
      </c>
      <c r="AQ102" s="0" t="s">
        <v>227</v>
      </c>
      <c r="AR102" s="0" t="s">
        <v>227</v>
      </c>
      <c r="AS102" s="0" t="s">
        <v>227</v>
      </c>
      <c r="AT102" s="0" t="s">
        <v>227</v>
      </c>
      <c r="AU102" s="0" t="s">
        <v>227</v>
      </c>
      <c r="AV102" s="0" t="s">
        <v>227</v>
      </c>
      <c r="AW102" s="0" t="s">
        <v>227</v>
      </c>
      <c r="AX102" s="0" t="s">
        <v>227</v>
      </c>
      <c r="AY102" s="0" t="s">
        <v>227</v>
      </c>
      <c r="AZ102" s="0" t="s">
        <v>227</v>
      </c>
      <c r="BA102" s="0" t="s">
        <v>227</v>
      </c>
      <c r="BB102" s="0" t="s">
        <v>227</v>
      </c>
      <c r="BC102" s="0" t="s">
        <v>227</v>
      </c>
      <c r="BD102" s="0" t="s">
        <v>227</v>
      </c>
      <c r="BE102" s="0" t="s">
        <v>5688</v>
      </c>
      <c r="BF102" s="0" t="s">
        <v>6008</v>
      </c>
      <c r="BG102" s="0" t="s">
        <v>112</v>
      </c>
      <c r="BH102" s="0" t="s">
        <v>5690</v>
      </c>
      <c r="BI102" s="0" t="s">
        <v>5691</v>
      </c>
      <c r="BJ102" s="0" t="s">
        <v>227</v>
      </c>
      <c r="BK102" s="0" t="s">
        <v>952</v>
      </c>
      <c r="BL102" s="0" t="s">
        <v>354</v>
      </c>
      <c r="BM102" s="0" t="s">
        <v>354</v>
      </c>
      <c r="BN102" s="0" t="s">
        <v>5693</v>
      </c>
      <c r="BO102" s="0" t="s">
        <v>5701</v>
      </c>
      <c r="BP102" s="0" t="s">
        <v>5706</v>
      </c>
      <c r="BQ102" s="0" t="s">
        <v>5707</v>
      </c>
      <c r="BR102" s="0" t="s">
        <v>5708</v>
      </c>
      <c r="BS102" s="0" t="s">
        <v>227</v>
      </c>
      <c r="BT102" s="0" t="s">
        <v>5709</v>
      </c>
      <c r="BU102" s="0" t="s">
        <v>6009</v>
      </c>
      <c r="BV102" s="0" t="s">
        <v>6009</v>
      </c>
      <c r="BW102" s="0" t="s">
        <v>5697</v>
      </c>
      <c r="BX102" s="0" t="s">
        <v>5697</v>
      </c>
      <c r="BY102" s="0" t="s">
        <v>5697</v>
      </c>
      <c r="BZ102" s="0" t="s">
        <v>5697</v>
      </c>
      <c r="CA102" s="0" t="s">
        <v>5697</v>
      </c>
      <c r="CB102" s="0" t="s">
        <v>227</v>
      </c>
      <c r="CC102" s="0" t="s">
        <v>227</v>
      </c>
      <c r="CD102" s="0" t="s">
        <v>227</v>
      </c>
      <c r="CE102" s="0" t="s">
        <v>227</v>
      </c>
      <c r="CF102" s="0" t="s">
        <v>227</v>
      </c>
      <c r="CG102" s="0" t="s">
        <v>5697</v>
      </c>
      <c r="CH102" s="0" t="s">
        <v>227</v>
      </c>
      <c r="CI102" s="0" t="s">
        <v>227</v>
      </c>
      <c r="CJ102" s="0" t="s">
        <v>227</v>
      </c>
      <c r="CK102" s="0" t="s">
        <v>227</v>
      </c>
      <c r="CL102" s="0" t="s">
        <v>227</v>
      </c>
      <c r="CM102" s="0" t="s">
        <v>6009</v>
      </c>
      <c r="CN102" s="0" t="s">
        <v>6009</v>
      </c>
      <c r="CO102" s="0" t="s">
        <v>227</v>
      </c>
      <c r="CP102" s="0" t="s">
        <v>227</v>
      </c>
      <c r="CQ102" s="0" t="s">
        <v>227</v>
      </c>
      <c r="CR102" s="0" t="s">
        <v>227</v>
      </c>
      <c r="CS102" s="0" t="s">
        <v>5759</v>
      </c>
      <c r="CT102" s="0" t="s">
        <v>5679</v>
      </c>
      <c r="CU102" s="0" t="s">
        <v>5680</v>
      </c>
      <c r="CV102" s="0" t="s">
        <v>430</v>
      </c>
      <c r="CW102" s="0" t="s">
        <v>5699</v>
      </c>
      <c r="CX102" s="0" t="s">
        <v>431</v>
      </c>
      <c r="CY102" s="0" t="s">
        <v>430</v>
      </c>
      <c r="CZ102" s="0" t="s">
        <v>432</v>
      </c>
      <c r="DA102" s="0" t="s">
        <v>433</v>
      </c>
      <c r="DB102" s="0" t="s">
        <v>5700</v>
      </c>
      <c r="DC102" s="0" t="s">
        <v>373</v>
      </c>
      <c r="DD102" s="0" t="s">
        <v>277</v>
      </c>
      <c r="DE102" s="0" t="s">
        <v>786</v>
      </c>
    </row>
    <row customHeight="1" ht="11.25">
      <c r="A103" s="1806" t="s">
        <v>227</v>
      </c>
      <c r="B103" s="0" t="s">
        <v>227</v>
      </c>
      <c r="C103" s="0" t="s">
        <v>227</v>
      </c>
      <c r="D103" s="0" t="s">
        <v>227</v>
      </c>
      <c r="E103" s="0" t="s">
        <v>227</v>
      </c>
      <c r="F103" s="0" t="s">
        <v>227</v>
      </c>
      <c r="G103" s="0" t="s">
        <v>227</v>
      </c>
      <c r="H103" s="0" t="s">
        <v>227</v>
      </c>
      <c r="I103" s="0" t="s">
        <v>5667</v>
      </c>
      <c r="J103" s="0" t="s">
        <v>227</v>
      </c>
      <c r="K103" s="0" t="s">
        <v>227</v>
      </c>
      <c r="L103" s="0" t="s">
        <v>227</v>
      </c>
      <c r="M103" s="0" t="s">
        <v>227</v>
      </c>
      <c r="N103" s="0" t="s">
        <v>227</v>
      </c>
      <c r="O103" s="0" t="s">
        <v>227</v>
      </c>
      <c r="P103" s="0" t="s">
        <v>227</v>
      </c>
      <c r="Q103" s="0" t="s">
        <v>227</v>
      </c>
      <c r="R103" s="0" t="s">
        <v>539</v>
      </c>
      <c r="S103" s="0" t="s">
        <v>227</v>
      </c>
      <c r="T103" s="0" t="s">
        <v>227</v>
      </c>
      <c r="U103" s="0" t="s">
        <v>102</v>
      </c>
      <c r="V103" s="0" t="s">
        <v>227</v>
      </c>
      <c r="W103" s="0" t="s">
        <v>227</v>
      </c>
      <c r="X103" s="0" t="s">
        <v>5683</v>
      </c>
      <c r="Y103" s="0" t="s">
        <v>227</v>
      </c>
      <c r="Z103" s="0" t="s">
        <v>152</v>
      </c>
      <c r="AA103" s="0" t="s">
        <v>152</v>
      </c>
      <c r="AB103" s="0" t="s">
        <v>161</v>
      </c>
      <c r="AC103" s="0" t="s">
        <v>354</v>
      </c>
      <c r="AD103" s="0" t="s">
        <v>354</v>
      </c>
      <c r="AE103" s="0" t="s">
        <v>355</v>
      </c>
      <c r="AF103" s="0" t="s">
        <v>5684</v>
      </c>
      <c r="AG103" s="0" t="s">
        <v>5685</v>
      </c>
      <c r="AH103" s="0" t="s">
        <v>6010</v>
      </c>
      <c r="AI103" s="0" t="s">
        <v>6011</v>
      </c>
      <c r="AJ103" s="0" t="s">
        <v>227</v>
      </c>
      <c r="AK103" s="0" t="s">
        <v>227</v>
      </c>
      <c r="AL103" s="0" t="s">
        <v>227</v>
      </c>
      <c r="AM103" s="0" t="s">
        <v>227</v>
      </c>
      <c r="AN103" s="0" t="s">
        <v>227</v>
      </c>
      <c r="AO103" s="0" t="s">
        <v>227</v>
      </c>
      <c r="AP103" s="0" t="s">
        <v>227</v>
      </c>
      <c r="AQ103" s="0" t="s">
        <v>227</v>
      </c>
      <c r="AR103" s="0" t="s">
        <v>227</v>
      </c>
      <c r="AS103" s="0" t="s">
        <v>227</v>
      </c>
      <c r="AT103" s="0" t="s">
        <v>227</v>
      </c>
      <c r="AU103" s="0" t="s">
        <v>227</v>
      </c>
      <c r="AV103" s="0" t="s">
        <v>227</v>
      </c>
      <c r="AW103" s="0" t="s">
        <v>227</v>
      </c>
      <c r="AX103" s="0" t="s">
        <v>227</v>
      </c>
      <c r="AY103" s="0" t="s">
        <v>227</v>
      </c>
      <c r="AZ103" s="0" t="s">
        <v>227</v>
      </c>
      <c r="BA103" s="0" t="s">
        <v>227</v>
      </c>
      <c r="BB103" s="0" t="s">
        <v>227</v>
      </c>
      <c r="BC103" s="0" t="s">
        <v>227</v>
      </c>
      <c r="BD103" s="0" t="s">
        <v>227</v>
      </c>
      <c r="BE103" s="0" t="s">
        <v>5716</v>
      </c>
      <c r="BF103" s="0" t="s">
        <v>5811</v>
      </c>
      <c r="BG103" s="0" t="s">
        <v>112</v>
      </c>
      <c r="BH103" s="0" t="s">
        <v>5690</v>
      </c>
      <c r="BI103" s="0" t="s">
        <v>5691</v>
      </c>
      <c r="BJ103" s="0" t="s">
        <v>227</v>
      </c>
      <c r="BK103" s="0" t="s">
        <v>5692</v>
      </c>
      <c r="BL103" s="0" t="s">
        <v>354</v>
      </c>
      <c r="BM103" s="0" t="s">
        <v>354</v>
      </c>
      <c r="BN103" s="0" t="s">
        <v>5693</v>
      </c>
      <c r="BO103" s="0" t="s">
        <v>5684</v>
      </c>
      <c r="BP103" s="0" t="s">
        <v>5694</v>
      </c>
      <c r="BQ103" s="0" t="s">
        <v>5692</v>
      </c>
      <c r="BR103" s="0" t="s">
        <v>5692</v>
      </c>
      <c r="BS103" s="0" t="s">
        <v>227</v>
      </c>
      <c r="BT103" s="0" t="s">
        <v>5709</v>
      </c>
      <c r="BU103" s="0" t="s">
        <v>5696</v>
      </c>
      <c r="BV103" s="0" t="s">
        <v>5696</v>
      </c>
      <c r="BW103" s="0" t="s">
        <v>5697</v>
      </c>
      <c r="BX103" s="0" t="s">
        <v>5697</v>
      </c>
      <c r="BY103" s="0" t="s">
        <v>5697</v>
      </c>
      <c r="BZ103" s="0" t="s">
        <v>5697</v>
      </c>
      <c r="CA103" s="0" t="s">
        <v>5697</v>
      </c>
      <c r="CB103" s="0" t="s">
        <v>227</v>
      </c>
      <c r="CC103" s="0" t="s">
        <v>227</v>
      </c>
      <c r="CD103" s="0" t="s">
        <v>227</v>
      </c>
      <c r="CE103" s="0" t="s">
        <v>227</v>
      </c>
      <c r="CF103" s="0" t="s">
        <v>227</v>
      </c>
      <c r="CG103" s="0" t="s">
        <v>5697</v>
      </c>
      <c r="CH103" s="0" t="s">
        <v>227</v>
      </c>
      <c r="CI103" s="0" t="s">
        <v>227</v>
      </c>
      <c r="CJ103" s="0" t="s">
        <v>227</v>
      </c>
      <c r="CK103" s="0" t="s">
        <v>227</v>
      </c>
      <c r="CL103" s="0" t="s">
        <v>227</v>
      </c>
      <c r="CM103" s="0" t="s">
        <v>5696</v>
      </c>
      <c r="CN103" s="0" t="s">
        <v>5696</v>
      </c>
      <c r="CO103" s="0" t="s">
        <v>227</v>
      </c>
      <c r="CP103" s="0" t="s">
        <v>227</v>
      </c>
      <c r="CQ103" s="0" t="s">
        <v>227</v>
      </c>
      <c r="CR103" s="0" t="s">
        <v>227</v>
      </c>
      <c r="CS103" s="0" t="s">
        <v>5674</v>
      </c>
      <c r="CT103" s="0" t="s">
        <v>5679</v>
      </c>
      <c r="CU103" s="0" t="s">
        <v>5680</v>
      </c>
      <c r="CV103" s="0" t="s">
        <v>430</v>
      </c>
      <c r="CW103" s="0" t="s">
        <v>5699</v>
      </c>
      <c r="CX103" s="0" t="s">
        <v>431</v>
      </c>
      <c r="CY103" s="0" t="s">
        <v>430</v>
      </c>
      <c r="CZ103" s="0" t="s">
        <v>432</v>
      </c>
      <c r="DA103" s="0" t="s">
        <v>433</v>
      </c>
      <c r="DB103" s="0" t="s">
        <v>5700</v>
      </c>
      <c r="DC103" s="0" t="s">
        <v>373</v>
      </c>
      <c r="DD103" s="0" t="s">
        <v>277</v>
      </c>
      <c r="DE103" s="0" t="s">
        <v>540</v>
      </c>
    </row>
    <row customHeight="1" ht="11.25">
      <c r="A104" s="1806" t="s">
        <v>227</v>
      </c>
      <c r="B104" s="0" t="s">
        <v>227</v>
      </c>
      <c r="C104" s="0" t="s">
        <v>227</v>
      </c>
      <c r="D104" s="0" t="s">
        <v>227</v>
      </c>
      <c r="E104" s="0" t="s">
        <v>227</v>
      </c>
      <c r="F104" s="0" t="s">
        <v>227</v>
      </c>
      <c r="G104" s="0" t="s">
        <v>227</v>
      </c>
      <c r="H104" s="0" t="s">
        <v>227</v>
      </c>
      <c r="I104" s="0" t="s">
        <v>5667</v>
      </c>
      <c r="J104" s="0" t="s">
        <v>227</v>
      </c>
      <c r="K104" s="0" t="s">
        <v>227</v>
      </c>
      <c r="L104" s="0" t="s">
        <v>227</v>
      </c>
      <c r="M104" s="0" t="s">
        <v>227</v>
      </c>
      <c r="N104" s="0" t="s">
        <v>227</v>
      </c>
      <c r="O104" s="0" t="s">
        <v>227</v>
      </c>
      <c r="P104" s="0" t="s">
        <v>227</v>
      </c>
      <c r="Q104" s="0" t="s">
        <v>227</v>
      </c>
      <c r="R104" s="0" t="s">
        <v>562</v>
      </c>
      <c r="S104" s="0" t="s">
        <v>227</v>
      </c>
      <c r="T104" s="0" t="s">
        <v>227</v>
      </c>
      <c r="U104" s="0" t="s">
        <v>102</v>
      </c>
      <c r="V104" s="0" t="s">
        <v>227</v>
      </c>
      <c r="W104" s="0" t="s">
        <v>227</v>
      </c>
      <c r="X104" s="0" t="s">
        <v>5683</v>
      </c>
      <c r="Y104" s="0" t="s">
        <v>227</v>
      </c>
      <c r="Z104" s="0" t="s">
        <v>152</v>
      </c>
      <c r="AA104" s="0" t="s">
        <v>152</v>
      </c>
      <c r="AB104" s="0" t="s">
        <v>161</v>
      </c>
      <c r="AC104" s="0" t="s">
        <v>354</v>
      </c>
      <c r="AD104" s="0" t="s">
        <v>354</v>
      </c>
      <c r="AE104" s="0" t="s">
        <v>355</v>
      </c>
      <c r="AF104" s="0" t="s">
        <v>5684</v>
      </c>
      <c r="AG104" s="0" t="s">
        <v>5685</v>
      </c>
      <c r="AH104" s="0" t="s">
        <v>5949</v>
      </c>
      <c r="AI104" s="0" t="s">
        <v>6012</v>
      </c>
      <c r="AJ104" s="0" t="s">
        <v>227</v>
      </c>
      <c r="AK104" s="0" t="s">
        <v>227</v>
      </c>
      <c r="AL104" s="0" t="s">
        <v>227</v>
      </c>
      <c r="AM104" s="0" t="s">
        <v>227</v>
      </c>
      <c r="AN104" s="0" t="s">
        <v>227</v>
      </c>
      <c r="AO104" s="0" t="s">
        <v>227</v>
      </c>
      <c r="AP104" s="0" t="s">
        <v>227</v>
      </c>
      <c r="AQ104" s="0" t="s">
        <v>227</v>
      </c>
      <c r="AR104" s="0" t="s">
        <v>227</v>
      </c>
      <c r="AS104" s="0" t="s">
        <v>227</v>
      </c>
      <c r="AT104" s="0" t="s">
        <v>227</v>
      </c>
      <c r="AU104" s="0" t="s">
        <v>227</v>
      </c>
      <c r="AV104" s="0" t="s">
        <v>227</v>
      </c>
      <c r="AW104" s="0" t="s">
        <v>227</v>
      </c>
      <c r="AX104" s="0" t="s">
        <v>227</v>
      </c>
      <c r="AY104" s="0" t="s">
        <v>227</v>
      </c>
      <c r="AZ104" s="0" t="s">
        <v>227</v>
      </c>
      <c r="BA104" s="0" t="s">
        <v>227</v>
      </c>
      <c r="BB104" s="0" t="s">
        <v>227</v>
      </c>
      <c r="BC104" s="0" t="s">
        <v>227</v>
      </c>
      <c r="BD104" s="0" t="s">
        <v>227</v>
      </c>
      <c r="BE104" s="0" t="s">
        <v>5704</v>
      </c>
      <c r="BF104" s="0" t="s">
        <v>5773</v>
      </c>
      <c r="BG104" s="0" t="s">
        <v>112</v>
      </c>
      <c r="BH104" s="0" t="s">
        <v>5690</v>
      </c>
      <c r="BI104" s="0" t="s">
        <v>5691</v>
      </c>
      <c r="BJ104" s="0" t="s">
        <v>227</v>
      </c>
      <c r="BK104" s="0" t="s">
        <v>5692</v>
      </c>
      <c r="BL104" s="0" t="s">
        <v>354</v>
      </c>
      <c r="BM104" s="0" t="s">
        <v>354</v>
      </c>
      <c r="BN104" s="0" t="s">
        <v>5693</v>
      </c>
      <c r="BO104" s="0" t="s">
        <v>5684</v>
      </c>
      <c r="BP104" s="0" t="s">
        <v>5694</v>
      </c>
      <c r="BQ104" s="0" t="s">
        <v>5692</v>
      </c>
      <c r="BR104" s="0" t="s">
        <v>5692</v>
      </c>
      <c r="BS104" s="0" t="s">
        <v>227</v>
      </c>
      <c r="BT104" s="0" t="s">
        <v>5712</v>
      </c>
      <c r="BU104" s="0" t="s">
        <v>6013</v>
      </c>
      <c r="BV104" s="0" t="s">
        <v>6013</v>
      </c>
      <c r="BW104" s="0" t="s">
        <v>5697</v>
      </c>
      <c r="BX104" s="0" t="s">
        <v>5697</v>
      </c>
      <c r="BY104" s="0" t="s">
        <v>5697</v>
      </c>
      <c r="BZ104" s="0" t="s">
        <v>5697</v>
      </c>
      <c r="CA104" s="0" t="s">
        <v>5697</v>
      </c>
      <c r="CB104" s="0" t="s">
        <v>227</v>
      </c>
      <c r="CC104" s="0" t="s">
        <v>227</v>
      </c>
      <c r="CD104" s="0" t="s">
        <v>227</v>
      </c>
      <c r="CE104" s="0" t="s">
        <v>227</v>
      </c>
      <c r="CF104" s="0" t="s">
        <v>227</v>
      </c>
      <c r="CG104" s="0" t="s">
        <v>5697</v>
      </c>
      <c r="CH104" s="0" t="s">
        <v>227</v>
      </c>
      <c r="CI104" s="0" t="s">
        <v>227</v>
      </c>
      <c r="CJ104" s="0" t="s">
        <v>227</v>
      </c>
      <c r="CK104" s="0" t="s">
        <v>227</v>
      </c>
      <c r="CL104" s="0" t="s">
        <v>227</v>
      </c>
      <c r="CM104" s="0" t="s">
        <v>6013</v>
      </c>
      <c r="CN104" s="0" t="s">
        <v>6013</v>
      </c>
      <c r="CO104" s="0" t="s">
        <v>227</v>
      </c>
      <c r="CP104" s="0" t="s">
        <v>227</v>
      </c>
      <c r="CQ104" s="0" t="s">
        <v>227</v>
      </c>
      <c r="CR104" s="0" t="s">
        <v>227</v>
      </c>
      <c r="CS104" s="0" t="s">
        <v>6014</v>
      </c>
      <c r="CT104" s="0" t="s">
        <v>5679</v>
      </c>
      <c r="CU104" s="0" t="s">
        <v>5680</v>
      </c>
      <c r="CV104" s="0" t="s">
        <v>430</v>
      </c>
      <c r="CW104" s="0" t="s">
        <v>5699</v>
      </c>
      <c r="CX104" s="0" t="s">
        <v>431</v>
      </c>
      <c r="CY104" s="0" t="s">
        <v>430</v>
      </c>
      <c r="CZ104" s="0" t="s">
        <v>432</v>
      </c>
      <c r="DA104" s="0" t="s">
        <v>433</v>
      </c>
      <c r="DB104" s="0" t="s">
        <v>5700</v>
      </c>
      <c r="DC104" s="0" t="s">
        <v>373</v>
      </c>
      <c r="DD104" s="0" t="s">
        <v>277</v>
      </c>
      <c r="DE104" s="0" t="s">
        <v>563</v>
      </c>
    </row>
    <row customHeight="1" ht="11.25">
      <c r="A105" s="1806" t="s">
        <v>227</v>
      </c>
      <c r="B105" s="0" t="s">
        <v>227</v>
      </c>
      <c r="C105" s="0" t="s">
        <v>227</v>
      </c>
      <c r="D105" s="0" t="s">
        <v>227</v>
      </c>
      <c r="E105" s="0" t="s">
        <v>227</v>
      </c>
      <c r="F105" s="0" t="s">
        <v>227</v>
      </c>
      <c r="G105" s="0" t="s">
        <v>227</v>
      </c>
      <c r="H105" s="0" t="s">
        <v>227</v>
      </c>
      <c r="I105" s="0" t="s">
        <v>5667</v>
      </c>
      <c r="J105" s="0" t="s">
        <v>227</v>
      </c>
      <c r="K105" s="0" t="s">
        <v>227</v>
      </c>
      <c r="L105" s="0" t="s">
        <v>227</v>
      </c>
      <c r="M105" s="0" t="s">
        <v>227</v>
      </c>
      <c r="N105" s="0" t="s">
        <v>227</v>
      </c>
      <c r="O105" s="0" t="s">
        <v>227</v>
      </c>
      <c r="P105" s="0" t="s">
        <v>227</v>
      </c>
      <c r="Q105" s="0" t="s">
        <v>227</v>
      </c>
      <c r="R105" s="0" t="s">
        <v>657</v>
      </c>
      <c r="S105" s="0" t="s">
        <v>227</v>
      </c>
      <c r="T105" s="0" t="s">
        <v>227</v>
      </c>
      <c r="U105" s="0" t="s">
        <v>102</v>
      </c>
      <c r="V105" s="0" t="s">
        <v>227</v>
      </c>
      <c r="W105" s="0" t="s">
        <v>227</v>
      </c>
      <c r="X105" s="0" t="s">
        <v>5683</v>
      </c>
      <c r="Y105" s="0" t="s">
        <v>227</v>
      </c>
      <c r="Z105" s="0" t="s">
        <v>152</v>
      </c>
      <c r="AA105" s="0" t="s">
        <v>152</v>
      </c>
      <c r="AB105" s="0" t="s">
        <v>161</v>
      </c>
      <c r="AC105" s="0" t="s">
        <v>354</v>
      </c>
      <c r="AD105" s="0" t="s">
        <v>354</v>
      </c>
      <c r="AE105" s="0" t="s">
        <v>355</v>
      </c>
      <c r="AF105" s="0" t="s">
        <v>5684</v>
      </c>
      <c r="AG105" s="0" t="s">
        <v>5685</v>
      </c>
      <c r="AH105" s="0" t="s">
        <v>6015</v>
      </c>
      <c r="AI105" s="0" t="s">
        <v>6016</v>
      </c>
      <c r="AJ105" s="0" t="s">
        <v>227</v>
      </c>
      <c r="AK105" s="0" t="s">
        <v>227</v>
      </c>
      <c r="AL105" s="0" t="s">
        <v>227</v>
      </c>
      <c r="AM105" s="0" t="s">
        <v>227</v>
      </c>
      <c r="AN105" s="0" t="s">
        <v>227</v>
      </c>
      <c r="AO105" s="0" t="s">
        <v>227</v>
      </c>
      <c r="AP105" s="0" t="s">
        <v>227</v>
      </c>
      <c r="AQ105" s="0" t="s">
        <v>227</v>
      </c>
      <c r="AR105" s="0" t="s">
        <v>227</v>
      </c>
      <c r="AS105" s="0" t="s">
        <v>227</v>
      </c>
      <c r="AT105" s="0" t="s">
        <v>227</v>
      </c>
      <c r="AU105" s="0" t="s">
        <v>227</v>
      </c>
      <c r="AV105" s="0" t="s">
        <v>227</v>
      </c>
      <c r="AW105" s="0" t="s">
        <v>227</v>
      </c>
      <c r="AX105" s="0" t="s">
        <v>227</v>
      </c>
      <c r="AY105" s="0" t="s">
        <v>227</v>
      </c>
      <c r="AZ105" s="0" t="s">
        <v>227</v>
      </c>
      <c r="BA105" s="0" t="s">
        <v>227</v>
      </c>
      <c r="BB105" s="0" t="s">
        <v>227</v>
      </c>
      <c r="BC105" s="0" t="s">
        <v>227</v>
      </c>
      <c r="BD105" s="0" t="s">
        <v>227</v>
      </c>
      <c r="BE105" s="0" t="s">
        <v>5716</v>
      </c>
      <c r="BF105" s="0" t="s">
        <v>5853</v>
      </c>
      <c r="BG105" s="0" t="s">
        <v>112</v>
      </c>
      <c r="BH105" s="0" t="s">
        <v>5690</v>
      </c>
      <c r="BI105" s="0" t="s">
        <v>5691</v>
      </c>
      <c r="BJ105" s="0" t="s">
        <v>227</v>
      </c>
      <c r="BK105" s="0" t="s">
        <v>5692</v>
      </c>
      <c r="BL105" s="0" t="s">
        <v>354</v>
      </c>
      <c r="BM105" s="0" t="s">
        <v>354</v>
      </c>
      <c r="BN105" s="0" t="s">
        <v>5693</v>
      </c>
      <c r="BO105" s="0" t="s">
        <v>5684</v>
      </c>
      <c r="BP105" s="0" t="s">
        <v>5694</v>
      </c>
      <c r="BQ105" s="0" t="s">
        <v>5692</v>
      </c>
      <c r="BR105" s="0" t="s">
        <v>5692</v>
      </c>
      <c r="BS105" s="0" t="s">
        <v>227</v>
      </c>
      <c r="BT105" s="0" t="s">
        <v>5695</v>
      </c>
      <c r="BU105" s="0" t="s">
        <v>5818</v>
      </c>
      <c r="BV105" s="0" t="s">
        <v>5818</v>
      </c>
      <c r="BW105" s="0" t="s">
        <v>5697</v>
      </c>
      <c r="BX105" s="0" t="s">
        <v>5697</v>
      </c>
      <c r="BY105" s="0" t="s">
        <v>5697</v>
      </c>
      <c r="BZ105" s="0" t="s">
        <v>5697</v>
      </c>
      <c r="CA105" s="0" t="s">
        <v>5697</v>
      </c>
      <c r="CB105" s="0" t="s">
        <v>227</v>
      </c>
      <c r="CC105" s="0" t="s">
        <v>227</v>
      </c>
      <c r="CD105" s="0" t="s">
        <v>227</v>
      </c>
      <c r="CE105" s="0" t="s">
        <v>227</v>
      </c>
      <c r="CF105" s="0" t="s">
        <v>227</v>
      </c>
      <c r="CG105" s="0" t="s">
        <v>5697</v>
      </c>
      <c r="CH105" s="0" t="s">
        <v>227</v>
      </c>
      <c r="CI105" s="0" t="s">
        <v>227</v>
      </c>
      <c r="CJ105" s="0" t="s">
        <v>227</v>
      </c>
      <c r="CK105" s="0" t="s">
        <v>227</v>
      </c>
      <c r="CL105" s="0" t="s">
        <v>227</v>
      </c>
      <c r="CM105" s="0" t="s">
        <v>5818</v>
      </c>
      <c r="CN105" s="0" t="s">
        <v>5818</v>
      </c>
      <c r="CO105" s="0" t="s">
        <v>227</v>
      </c>
      <c r="CP105" s="0" t="s">
        <v>227</v>
      </c>
      <c r="CQ105" s="0" t="s">
        <v>227</v>
      </c>
      <c r="CR105" s="0" t="s">
        <v>227</v>
      </c>
      <c r="CS105" s="0" t="s">
        <v>5705</v>
      </c>
      <c r="CT105" s="0" t="s">
        <v>5679</v>
      </c>
      <c r="CU105" s="0" t="s">
        <v>5680</v>
      </c>
      <c r="CV105" s="0" t="s">
        <v>430</v>
      </c>
      <c r="CW105" s="0" t="s">
        <v>5699</v>
      </c>
      <c r="CX105" s="0" t="s">
        <v>431</v>
      </c>
      <c r="CY105" s="0" t="s">
        <v>430</v>
      </c>
      <c r="CZ105" s="0" t="s">
        <v>432</v>
      </c>
      <c r="DA105" s="0" t="s">
        <v>433</v>
      </c>
      <c r="DB105" s="0" t="s">
        <v>5700</v>
      </c>
      <c r="DC105" s="0" t="s">
        <v>373</v>
      </c>
      <c r="DD105" s="0" t="s">
        <v>277</v>
      </c>
      <c r="DE105" s="0" t="s">
        <v>658</v>
      </c>
    </row>
    <row customHeight="1" ht="11.25">
      <c r="A106" s="1806" t="s">
        <v>227</v>
      </c>
      <c r="B106" s="0" t="s">
        <v>227</v>
      </c>
      <c r="C106" s="0" t="s">
        <v>227</v>
      </c>
      <c r="D106" s="0" t="s">
        <v>227</v>
      </c>
      <c r="E106" s="0" t="s">
        <v>227</v>
      </c>
      <c r="F106" s="0" t="s">
        <v>227</v>
      </c>
      <c r="G106" s="0" t="s">
        <v>227</v>
      </c>
      <c r="H106" s="0" t="s">
        <v>227</v>
      </c>
      <c r="I106" s="0" t="s">
        <v>5667</v>
      </c>
      <c r="J106" s="0" t="s">
        <v>227</v>
      </c>
      <c r="K106" s="0" t="s">
        <v>227</v>
      </c>
      <c r="L106" s="0" t="s">
        <v>227</v>
      </c>
      <c r="M106" s="0" t="s">
        <v>227</v>
      </c>
      <c r="N106" s="0" t="s">
        <v>227</v>
      </c>
      <c r="O106" s="0" t="s">
        <v>227</v>
      </c>
      <c r="P106" s="0" t="s">
        <v>227</v>
      </c>
      <c r="Q106" s="0" t="s">
        <v>227</v>
      </c>
      <c r="R106" s="0" t="s">
        <v>955</v>
      </c>
      <c r="S106" s="0" t="s">
        <v>227</v>
      </c>
      <c r="T106" s="0" t="s">
        <v>227</v>
      </c>
      <c r="U106" s="0" t="s">
        <v>102</v>
      </c>
      <c r="V106" s="0" t="s">
        <v>227</v>
      </c>
      <c r="W106" s="0" t="s">
        <v>227</v>
      </c>
      <c r="X106" s="0" t="s">
        <v>5683</v>
      </c>
      <c r="Y106" s="0" t="s">
        <v>227</v>
      </c>
      <c r="Z106" s="0" t="s">
        <v>152</v>
      </c>
      <c r="AA106" s="0" t="s">
        <v>152</v>
      </c>
      <c r="AB106" s="0" t="s">
        <v>161</v>
      </c>
      <c r="AC106" s="0" t="s">
        <v>354</v>
      </c>
      <c r="AD106" s="0" t="s">
        <v>354</v>
      </c>
      <c r="AE106" s="0" t="s">
        <v>355</v>
      </c>
      <c r="AF106" s="0" t="s">
        <v>5701</v>
      </c>
      <c r="AG106" s="0" t="s">
        <v>5702</v>
      </c>
      <c r="AH106" s="0" t="s">
        <v>6017</v>
      </c>
      <c r="AI106" s="0" t="s">
        <v>5692</v>
      </c>
      <c r="AJ106" s="0" t="s">
        <v>227</v>
      </c>
      <c r="AK106" s="0" t="s">
        <v>227</v>
      </c>
      <c r="AL106" s="0" t="s">
        <v>227</v>
      </c>
      <c r="AM106" s="0" t="s">
        <v>227</v>
      </c>
      <c r="AN106" s="0" t="s">
        <v>227</v>
      </c>
      <c r="AO106" s="0" t="s">
        <v>227</v>
      </c>
      <c r="AP106" s="0" t="s">
        <v>227</v>
      </c>
      <c r="AQ106" s="0" t="s">
        <v>227</v>
      </c>
      <c r="AR106" s="0" t="s">
        <v>227</v>
      </c>
      <c r="AS106" s="0" t="s">
        <v>227</v>
      </c>
      <c r="AT106" s="0" t="s">
        <v>227</v>
      </c>
      <c r="AU106" s="0" t="s">
        <v>227</v>
      </c>
      <c r="AV106" s="0" t="s">
        <v>227</v>
      </c>
      <c r="AW106" s="0" t="s">
        <v>227</v>
      </c>
      <c r="AX106" s="0" t="s">
        <v>227</v>
      </c>
      <c r="AY106" s="0" t="s">
        <v>227</v>
      </c>
      <c r="AZ106" s="0" t="s">
        <v>227</v>
      </c>
      <c r="BA106" s="0" t="s">
        <v>227</v>
      </c>
      <c r="BB106" s="0" t="s">
        <v>227</v>
      </c>
      <c r="BC106" s="0" t="s">
        <v>227</v>
      </c>
      <c r="BD106" s="0" t="s">
        <v>227</v>
      </c>
      <c r="BE106" s="0" t="s">
        <v>5728</v>
      </c>
      <c r="BF106" s="0" t="s">
        <v>5729</v>
      </c>
      <c r="BG106" s="0" t="s">
        <v>112</v>
      </c>
      <c r="BH106" s="0" t="s">
        <v>5690</v>
      </c>
      <c r="BI106" s="0" t="s">
        <v>5691</v>
      </c>
      <c r="BJ106" s="0" t="s">
        <v>227</v>
      </c>
      <c r="BK106" s="0" t="s">
        <v>952</v>
      </c>
      <c r="BL106" s="0" t="s">
        <v>354</v>
      </c>
      <c r="BM106" s="0" t="s">
        <v>354</v>
      </c>
      <c r="BN106" s="0" t="s">
        <v>5693</v>
      </c>
      <c r="BO106" s="0" t="s">
        <v>5701</v>
      </c>
      <c r="BP106" s="0" t="s">
        <v>5706</v>
      </c>
      <c r="BQ106" s="0" t="s">
        <v>5707</v>
      </c>
      <c r="BR106" s="0" t="s">
        <v>5708</v>
      </c>
      <c r="BS106" s="0" t="s">
        <v>227</v>
      </c>
      <c r="BT106" s="0" t="s">
        <v>5695</v>
      </c>
      <c r="BU106" s="0" t="s">
        <v>6018</v>
      </c>
      <c r="BV106" s="0" t="s">
        <v>6018</v>
      </c>
      <c r="BW106" s="0" t="s">
        <v>5697</v>
      </c>
      <c r="BX106" s="0" t="s">
        <v>5697</v>
      </c>
      <c r="BY106" s="0" t="s">
        <v>5697</v>
      </c>
      <c r="BZ106" s="0" t="s">
        <v>5697</v>
      </c>
      <c r="CA106" s="0" t="s">
        <v>5697</v>
      </c>
      <c r="CB106" s="0" t="s">
        <v>227</v>
      </c>
      <c r="CC106" s="0" t="s">
        <v>227</v>
      </c>
      <c r="CD106" s="0" t="s">
        <v>227</v>
      </c>
      <c r="CE106" s="0" t="s">
        <v>227</v>
      </c>
      <c r="CF106" s="0" t="s">
        <v>227</v>
      </c>
      <c r="CG106" s="0" t="s">
        <v>5697</v>
      </c>
      <c r="CH106" s="0" t="s">
        <v>227</v>
      </c>
      <c r="CI106" s="0" t="s">
        <v>227</v>
      </c>
      <c r="CJ106" s="0" t="s">
        <v>227</v>
      </c>
      <c r="CK106" s="0" t="s">
        <v>227</v>
      </c>
      <c r="CL106" s="0" t="s">
        <v>227</v>
      </c>
      <c r="CM106" s="0" t="s">
        <v>6018</v>
      </c>
      <c r="CN106" s="0" t="s">
        <v>6018</v>
      </c>
      <c r="CO106" s="0" t="s">
        <v>227</v>
      </c>
      <c r="CP106" s="0" t="s">
        <v>227</v>
      </c>
      <c r="CQ106" s="0" t="s">
        <v>227</v>
      </c>
      <c r="CR106" s="0" t="s">
        <v>227</v>
      </c>
      <c r="CS106" s="0" t="s">
        <v>5698</v>
      </c>
      <c r="CT106" s="0" t="s">
        <v>5679</v>
      </c>
      <c r="CU106" s="0" t="s">
        <v>5680</v>
      </c>
      <c r="CV106" s="0" t="s">
        <v>430</v>
      </c>
      <c r="CW106" s="0" t="s">
        <v>5699</v>
      </c>
      <c r="CX106" s="0" t="s">
        <v>431</v>
      </c>
      <c r="CY106" s="0" t="s">
        <v>430</v>
      </c>
      <c r="CZ106" s="0" t="s">
        <v>432</v>
      </c>
      <c r="DA106" s="0" t="s">
        <v>433</v>
      </c>
      <c r="DB106" s="0" t="s">
        <v>5700</v>
      </c>
      <c r="DC106" s="0" t="s">
        <v>373</v>
      </c>
      <c r="DD106" s="0" t="s">
        <v>277</v>
      </c>
      <c r="DE106" s="0" t="s">
        <v>956</v>
      </c>
    </row>
    <row customHeight="1" ht="11.25">
      <c r="A107" s="1806" t="s">
        <v>227</v>
      </c>
      <c r="B107" s="0" t="s">
        <v>227</v>
      </c>
      <c r="C107" s="0" t="s">
        <v>227</v>
      </c>
      <c r="D107" s="0" t="s">
        <v>227</v>
      </c>
      <c r="E107" s="0" t="s">
        <v>227</v>
      </c>
      <c r="F107" s="0" t="s">
        <v>227</v>
      </c>
      <c r="G107" s="0" t="s">
        <v>227</v>
      </c>
      <c r="H107" s="0" t="s">
        <v>227</v>
      </c>
      <c r="I107" s="0" t="s">
        <v>5667</v>
      </c>
      <c r="J107" s="0" t="s">
        <v>227</v>
      </c>
      <c r="K107" s="0" t="s">
        <v>227</v>
      </c>
      <c r="L107" s="0" t="s">
        <v>227</v>
      </c>
      <c r="M107" s="0" t="s">
        <v>227</v>
      </c>
      <c r="N107" s="0" t="s">
        <v>227</v>
      </c>
      <c r="O107" s="0" t="s">
        <v>227</v>
      </c>
      <c r="P107" s="0" t="s">
        <v>227</v>
      </c>
      <c r="Q107" s="0" t="s">
        <v>227</v>
      </c>
      <c r="R107" s="0" t="s">
        <v>893</v>
      </c>
      <c r="S107" s="0" t="s">
        <v>227</v>
      </c>
      <c r="T107" s="0" t="s">
        <v>227</v>
      </c>
      <c r="U107" s="0" t="s">
        <v>102</v>
      </c>
      <c r="V107" s="0" t="s">
        <v>227</v>
      </c>
      <c r="W107" s="0" t="s">
        <v>227</v>
      </c>
      <c r="X107" s="0" t="s">
        <v>5683</v>
      </c>
      <c r="Y107" s="0" t="s">
        <v>227</v>
      </c>
      <c r="Z107" s="0" t="s">
        <v>152</v>
      </c>
      <c r="AA107" s="0" t="s">
        <v>152</v>
      </c>
      <c r="AB107" s="0" t="s">
        <v>161</v>
      </c>
      <c r="AC107" s="0" t="s">
        <v>354</v>
      </c>
      <c r="AD107" s="0" t="s">
        <v>354</v>
      </c>
      <c r="AE107" s="0" t="s">
        <v>355</v>
      </c>
      <c r="AF107" s="0" t="s">
        <v>5701</v>
      </c>
      <c r="AG107" s="0" t="s">
        <v>5702</v>
      </c>
      <c r="AH107" s="0" t="s">
        <v>6019</v>
      </c>
      <c r="AI107" s="0" t="s">
        <v>5692</v>
      </c>
      <c r="AJ107" s="0" t="s">
        <v>227</v>
      </c>
      <c r="AK107" s="0" t="s">
        <v>227</v>
      </c>
      <c r="AL107" s="0" t="s">
        <v>227</v>
      </c>
      <c r="AM107" s="0" t="s">
        <v>227</v>
      </c>
      <c r="AN107" s="0" t="s">
        <v>227</v>
      </c>
      <c r="AO107" s="0" t="s">
        <v>227</v>
      </c>
      <c r="AP107" s="0" t="s">
        <v>227</v>
      </c>
      <c r="AQ107" s="0" t="s">
        <v>227</v>
      </c>
      <c r="AR107" s="0" t="s">
        <v>227</v>
      </c>
      <c r="AS107" s="0" t="s">
        <v>227</v>
      </c>
      <c r="AT107" s="0" t="s">
        <v>227</v>
      </c>
      <c r="AU107" s="0" t="s">
        <v>227</v>
      </c>
      <c r="AV107" s="0" t="s">
        <v>227</v>
      </c>
      <c r="AW107" s="0" t="s">
        <v>227</v>
      </c>
      <c r="AX107" s="0" t="s">
        <v>227</v>
      </c>
      <c r="AY107" s="0" t="s">
        <v>227</v>
      </c>
      <c r="AZ107" s="0" t="s">
        <v>227</v>
      </c>
      <c r="BA107" s="0" t="s">
        <v>227</v>
      </c>
      <c r="BB107" s="0" t="s">
        <v>227</v>
      </c>
      <c r="BC107" s="0" t="s">
        <v>227</v>
      </c>
      <c r="BD107" s="0" t="s">
        <v>227</v>
      </c>
      <c r="BE107" s="0" t="s">
        <v>5729</v>
      </c>
      <c r="BF107" s="0" t="s">
        <v>5729</v>
      </c>
      <c r="BG107" s="0" t="s">
        <v>112</v>
      </c>
      <c r="BH107" s="0" t="s">
        <v>5690</v>
      </c>
      <c r="BI107" s="0" t="s">
        <v>5691</v>
      </c>
      <c r="BJ107" s="0" t="s">
        <v>227</v>
      </c>
      <c r="BK107" s="0" t="s">
        <v>952</v>
      </c>
      <c r="BL107" s="0" t="s">
        <v>354</v>
      </c>
      <c r="BM107" s="0" t="s">
        <v>354</v>
      </c>
      <c r="BN107" s="0" t="s">
        <v>5693</v>
      </c>
      <c r="BO107" s="0" t="s">
        <v>5701</v>
      </c>
      <c r="BP107" s="0" t="s">
        <v>5706</v>
      </c>
      <c r="BQ107" s="0" t="s">
        <v>5707</v>
      </c>
      <c r="BR107" s="0" t="s">
        <v>5708</v>
      </c>
      <c r="BS107" s="0" t="s">
        <v>227</v>
      </c>
      <c r="BT107" s="0" t="s">
        <v>5695</v>
      </c>
      <c r="BU107" s="0" t="s">
        <v>6020</v>
      </c>
      <c r="BV107" s="0" t="s">
        <v>6020</v>
      </c>
      <c r="BW107" s="0" t="s">
        <v>5697</v>
      </c>
      <c r="BX107" s="0" t="s">
        <v>5697</v>
      </c>
      <c r="BY107" s="0" t="s">
        <v>5697</v>
      </c>
      <c r="BZ107" s="0" t="s">
        <v>5697</v>
      </c>
      <c r="CA107" s="0" t="s">
        <v>5697</v>
      </c>
      <c r="CB107" s="0" t="s">
        <v>227</v>
      </c>
      <c r="CC107" s="0" t="s">
        <v>227</v>
      </c>
      <c r="CD107" s="0" t="s">
        <v>227</v>
      </c>
      <c r="CE107" s="0" t="s">
        <v>227</v>
      </c>
      <c r="CF107" s="0" t="s">
        <v>227</v>
      </c>
      <c r="CG107" s="0" t="s">
        <v>5697</v>
      </c>
      <c r="CH107" s="0" t="s">
        <v>227</v>
      </c>
      <c r="CI107" s="0" t="s">
        <v>227</v>
      </c>
      <c r="CJ107" s="0" t="s">
        <v>227</v>
      </c>
      <c r="CK107" s="0" t="s">
        <v>227</v>
      </c>
      <c r="CL107" s="0" t="s">
        <v>227</v>
      </c>
      <c r="CM107" s="0" t="s">
        <v>6020</v>
      </c>
      <c r="CN107" s="0" t="s">
        <v>6020</v>
      </c>
      <c r="CO107" s="0" t="s">
        <v>227</v>
      </c>
      <c r="CP107" s="0" t="s">
        <v>227</v>
      </c>
      <c r="CQ107" s="0" t="s">
        <v>227</v>
      </c>
      <c r="CR107" s="0" t="s">
        <v>227</v>
      </c>
      <c r="CS107" s="0" t="s">
        <v>5759</v>
      </c>
      <c r="CT107" s="0" t="s">
        <v>5679</v>
      </c>
      <c r="CU107" s="0" t="s">
        <v>5680</v>
      </c>
      <c r="CV107" s="0" t="s">
        <v>430</v>
      </c>
      <c r="CW107" s="0" t="s">
        <v>5699</v>
      </c>
      <c r="CX107" s="0" t="s">
        <v>431</v>
      </c>
      <c r="CY107" s="0" t="s">
        <v>430</v>
      </c>
      <c r="CZ107" s="0" t="s">
        <v>432</v>
      </c>
      <c r="DA107" s="0" t="s">
        <v>433</v>
      </c>
      <c r="DB107" s="0" t="s">
        <v>5700</v>
      </c>
      <c r="DC107" s="0" t="s">
        <v>373</v>
      </c>
      <c r="DD107" s="0" t="s">
        <v>277</v>
      </c>
      <c r="DE107" s="0" t="s">
        <v>894</v>
      </c>
    </row>
    <row customHeight="1" ht="11.25">
      <c r="A108" s="1806" t="s">
        <v>227</v>
      </c>
      <c r="B108" s="0" t="s">
        <v>227</v>
      </c>
      <c r="C108" s="0" t="s">
        <v>227</v>
      </c>
      <c r="D108" s="0" t="s">
        <v>227</v>
      </c>
      <c r="E108" s="0" t="s">
        <v>227</v>
      </c>
      <c r="F108" s="0" t="s">
        <v>227</v>
      </c>
      <c r="G108" s="0" t="s">
        <v>227</v>
      </c>
      <c r="H108" s="0" t="s">
        <v>227</v>
      </c>
      <c r="I108" s="0" t="s">
        <v>5667</v>
      </c>
      <c r="J108" s="0" t="s">
        <v>227</v>
      </c>
      <c r="K108" s="0" t="s">
        <v>227</v>
      </c>
      <c r="L108" s="0" t="s">
        <v>227</v>
      </c>
      <c r="M108" s="0" t="s">
        <v>227</v>
      </c>
      <c r="N108" s="0" t="s">
        <v>227</v>
      </c>
      <c r="O108" s="0" t="s">
        <v>227</v>
      </c>
      <c r="P108" s="0" t="s">
        <v>227</v>
      </c>
      <c r="Q108" s="0" t="s">
        <v>227</v>
      </c>
      <c r="R108" s="0" t="s">
        <v>678</v>
      </c>
      <c r="S108" s="0" t="s">
        <v>227</v>
      </c>
      <c r="T108" s="0" t="s">
        <v>227</v>
      </c>
      <c r="U108" s="0" t="s">
        <v>102</v>
      </c>
      <c r="V108" s="0" t="s">
        <v>227</v>
      </c>
      <c r="W108" s="0" t="s">
        <v>227</v>
      </c>
      <c r="X108" s="0" t="s">
        <v>5683</v>
      </c>
      <c r="Y108" s="0" t="s">
        <v>227</v>
      </c>
      <c r="Z108" s="0" t="s">
        <v>152</v>
      </c>
      <c r="AA108" s="0" t="s">
        <v>152</v>
      </c>
      <c r="AB108" s="0" t="s">
        <v>161</v>
      </c>
      <c r="AC108" s="0" t="s">
        <v>354</v>
      </c>
      <c r="AD108" s="0" t="s">
        <v>354</v>
      </c>
      <c r="AE108" s="0" t="s">
        <v>355</v>
      </c>
      <c r="AF108" s="0" t="s">
        <v>5684</v>
      </c>
      <c r="AG108" s="0" t="s">
        <v>5685</v>
      </c>
      <c r="AH108" s="0" t="s">
        <v>6021</v>
      </c>
      <c r="AI108" s="0" t="s">
        <v>5692</v>
      </c>
      <c r="AJ108" s="0" t="s">
        <v>227</v>
      </c>
      <c r="AK108" s="0" t="s">
        <v>227</v>
      </c>
      <c r="AL108" s="0" t="s">
        <v>227</v>
      </c>
      <c r="AM108" s="0" t="s">
        <v>227</v>
      </c>
      <c r="AN108" s="0" t="s">
        <v>227</v>
      </c>
      <c r="AO108" s="0" t="s">
        <v>227</v>
      </c>
      <c r="AP108" s="0" t="s">
        <v>227</v>
      </c>
      <c r="AQ108" s="0" t="s">
        <v>227</v>
      </c>
      <c r="AR108" s="0" t="s">
        <v>227</v>
      </c>
      <c r="AS108" s="0" t="s">
        <v>227</v>
      </c>
      <c r="AT108" s="0" t="s">
        <v>227</v>
      </c>
      <c r="AU108" s="0" t="s">
        <v>227</v>
      </c>
      <c r="AV108" s="0" t="s">
        <v>227</v>
      </c>
      <c r="AW108" s="0" t="s">
        <v>227</v>
      </c>
      <c r="AX108" s="0" t="s">
        <v>227</v>
      </c>
      <c r="AY108" s="0" t="s">
        <v>227</v>
      </c>
      <c r="AZ108" s="0" t="s">
        <v>227</v>
      </c>
      <c r="BA108" s="0" t="s">
        <v>227</v>
      </c>
      <c r="BB108" s="0" t="s">
        <v>227</v>
      </c>
      <c r="BC108" s="0" t="s">
        <v>227</v>
      </c>
      <c r="BD108" s="0" t="s">
        <v>227</v>
      </c>
      <c r="BE108" s="0" t="s">
        <v>5728</v>
      </c>
      <c r="BF108" s="0" t="s">
        <v>5728</v>
      </c>
      <c r="BG108" s="0" t="s">
        <v>112</v>
      </c>
      <c r="BH108" s="0" t="s">
        <v>5690</v>
      </c>
      <c r="BI108" s="0" t="s">
        <v>5691</v>
      </c>
      <c r="BJ108" s="0" t="s">
        <v>227</v>
      </c>
      <c r="BK108" s="0" t="s">
        <v>5692</v>
      </c>
      <c r="BL108" s="0" t="s">
        <v>354</v>
      </c>
      <c r="BM108" s="0" t="s">
        <v>354</v>
      </c>
      <c r="BN108" s="0" t="s">
        <v>5693</v>
      </c>
      <c r="BO108" s="0" t="s">
        <v>5684</v>
      </c>
      <c r="BP108" s="0" t="s">
        <v>5694</v>
      </c>
      <c r="BQ108" s="0" t="s">
        <v>5692</v>
      </c>
      <c r="BR108" s="0" t="s">
        <v>5692</v>
      </c>
      <c r="BS108" s="0" t="s">
        <v>227</v>
      </c>
      <c r="BT108" s="0" t="s">
        <v>5695</v>
      </c>
      <c r="BU108" s="0" t="s">
        <v>6022</v>
      </c>
      <c r="BV108" s="0" t="s">
        <v>6022</v>
      </c>
      <c r="BW108" s="0" t="s">
        <v>5697</v>
      </c>
      <c r="BX108" s="0" t="s">
        <v>5697</v>
      </c>
      <c r="BY108" s="0" t="s">
        <v>5697</v>
      </c>
      <c r="BZ108" s="0" t="s">
        <v>5697</v>
      </c>
      <c r="CA108" s="0" t="s">
        <v>5697</v>
      </c>
      <c r="CB108" s="0" t="s">
        <v>227</v>
      </c>
      <c r="CC108" s="0" t="s">
        <v>227</v>
      </c>
      <c r="CD108" s="0" t="s">
        <v>227</v>
      </c>
      <c r="CE108" s="0" t="s">
        <v>227</v>
      </c>
      <c r="CF108" s="0" t="s">
        <v>227</v>
      </c>
      <c r="CG108" s="0" t="s">
        <v>5697</v>
      </c>
      <c r="CH108" s="0" t="s">
        <v>227</v>
      </c>
      <c r="CI108" s="0" t="s">
        <v>227</v>
      </c>
      <c r="CJ108" s="0" t="s">
        <v>227</v>
      </c>
      <c r="CK108" s="0" t="s">
        <v>227</v>
      </c>
      <c r="CL108" s="0" t="s">
        <v>227</v>
      </c>
      <c r="CM108" s="0" t="s">
        <v>6022</v>
      </c>
      <c r="CN108" s="0" t="s">
        <v>6022</v>
      </c>
      <c r="CO108" s="0" t="s">
        <v>227</v>
      </c>
      <c r="CP108" s="0" t="s">
        <v>227</v>
      </c>
      <c r="CQ108" s="0" t="s">
        <v>227</v>
      </c>
      <c r="CR108" s="0" t="s">
        <v>227</v>
      </c>
      <c r="CS108" s="0" t="s">
        <v>5698</v>
      </c>
      <c r="CT108" s="0" t="s">
        <v>5679</v>
      </c>
      <c r="CU108" s="0" t="s">
        <v>5680</v>
      </c>
      <c r="CV108" s="0" t="s">
        <v>430</v>
      </c>
      <c r="CW108" s="0" t="s">
        <v>5699</v>
      </c>
      <c r="CX108" s="0" t="s">
        <v>431</v>
      </c>
      <c r="CY108" s="0" t="s">
        <v>430</v>
      </c>
      <c r="CZ108" s="0" t="s">
        <v>432</v>
      </c>
      <c r="DA108" s="0" t="s">
        <v>433</v>
      </c>
      <c r="DB108" s="0" t="s">
        <v>5700</v>
      </c>
      <c r="DC108" s="0" t="s">
        <v>373</v>
      </c>
      <c r="DD108" s="0" t="s">
        <v>277</v>
      </c>
      <c r="DE108" s="0" t="s">
        <v>679</v>
      </c>
    </row>
    <row customHeight="1" ht="11.25">
      <c r="A109" s="1806" t="s">
        <v>227</v>
      </c>
      <c r="B109" s="0" t="s">
        <v>227</v>
      </c>
      <c r="C109" s="0" t="s">
        <v>227</v>
      </c>
      <c r="D109" s="0" t="s">
        <v>227</v>
      </c>
      <c r="E109" s="0" t="s">
        <v>227</v>
      </c>
      <c r="F109" s="0" t="s">
        <v>227</v>
      </c>
      <c r="G109" s="0" t="s">
        <v>227</v>
      </c>
      <c r="H109" s="0" t="s">
        <v>227</v>
      </c>
      <c r="I109" s="0" t="s">
        <v>5667</v>
      </c>
      <c r="J109" s="0" t="s">
        <v>227</v>
      </c>
      <c r="K109" s="0" t="s">
        <v>227</v>
      </c>
      <c r="L109" s="0" t="s">
        <v>227</v>
      </c>
      <c r="M109" s="0" t="s">
        <v>227</v>
      </c>
      <c r="N109" s="0" t="s">
        <v>227</v>
      </c>
      <c r="O109" s="0" t="s">
        <v>227</v>
      </c>
      <c r="P109" s="0" t="s">
        <v>227</v>
      </c>
      <c r="Q109" s="0" t="s">
        <v>227</v>
      </c>
      <c r="R109" s="0" t="s">
        <v>702</v>
      </c>
      <c r="S109" s="0" t="s">
        <v>227</v>
      </c>
      <c r="T109" s="0" t="s">
        <v>227</v>
      </c>
      <c r="U109" s="0" t="s">
        <v>102</v>
      </c>
      <c r="V109" s="0" t="s">
        <v>227</v>
      </c>
      <c r="W109" s="0" t="s">
        <v>227</v>
      </c>
      <c r="X109" s="0" t="s">
        <v>5683</v>
      </c>
      <c r="Y109" s="0" t="s">
        <v>227</v>
      </c>
      <c r="Z109" s="0" t="s">
        <v>152</v>
      </c>
      <c r="AA109" s="0" t="s">
        <v>152</v>
      </c>
      <c r="AB109" s="0" t="s">
        <v>161</v>
      </c>
      <c r="AC109" s="0" t="s">
        <v>354</v>
      </c>
      <c r="AD109" s="0" t="s">
        <v>354</v>
      </c>
      <c r="AE109" s="0" t="s">
        <v>355</v>
      </c>
      <c r="AF109" s="0" t="s">
        <v>5684</v>
      </c>
      <c r="AG109" s="0" t="s">
        <v>5685</v>
      </c>
      <c r="AH109" s="0" t="s">
        <v>5875</v>
      </c>
      <c r="AI109" s="0" t="s">
        <v>5692</v>
      </c>
      <c r="AJ109" s="0" t="s">
        <v>227</v>
      </c>
      <c r="AK109" s="0" t="s">
        <v>227</v>
      </c>
      <c r="AL109" s="0" t="s">
        <v>227</v>
      </c>
      <c r="AM109" s="0" t="s">
        <v>227</v>
      </c>
      <c r="AN109" s="0" t="s">
        <v>227</v>
      </c>
      <c r="AO109" s="0" t="s">
        <v>227</v>
      </c>
      <c r="AP109" s="0" t="s">
        <v>227</v>
      </c>
      <c r="AQ109" s="0" t="s">
        <v>227</v>
      </c>
      <c r="AR109" s="0" t="s">
        <v>227</v>
      </c>
      <c r="AS109" s="0" t="s">
        <v>227</v>
      </c>
      <c r="AT109" s="0" t="s">
        <v>227</v>
      </c>
      <c r="AU109" s="0" t="s">
        <v>227</v>
      </c>
      <c r="AV109" s="0" t="s">
        <v>227</v>
      </c>
      <c r="AW109" s="0" t="s">
        <v>227</v>
      </c>
      <c r="AX109" s="0" t="s">
        <v>227</v>
      </c>
      <c r="AY109" s="0" t="s">
        <v>227</v>
      </c>
      <c r="AZ109" s="0" t="s">
        <v>227</v>
      </c>
      <c r="BA109" s="0" t="s">
        <v>227</v>
      </c>
      <c r="BB109" s="0" t="s">
        <v>227</v>
      </c>
      <c r="BC109" s="0" t="s">
        <v>227</v>
      </c>
      <c r="BD109" s="0" t="s">
        <v>227</v>
      </c>
      <c r="BE109" s="0" t="s">
        <v>5728</v>
      </c>
      <c r="BF109" s="0" t="s">
        <v>5873</v>
      </c>
      <c r="BG109" s="0" t="s">
        <v>112</v>
      </c>
      <c r="BH109" s="0" t="s">
        <v>5690</v>
      </c>
      <c r="BI109" s="0" t="s">
        <v>5691</v>
      </c>
      <c r="BJ109" s="0" t="s">
        <v>227</v>
      </c>
      <c r="BK109" s="0" t="s">
        <v>5692</v>
      </c>
      <c r="BL109" s="0" t="s">
        <v>354</v>
      </c>
      <c r="BM109" s="0" t="s">
        <v>354</v>
      </c>
      <c r="BN109" s="0" t="s">
        <v>5693</v>
      </c>
      <c r="BO109" s="0" t="s">
        <v>5684</v>
      </c>
      <c r="BP109" s="0" t="s">
        <v>5694</v>
      </c>
      <c r="BQ109" s="0" t="s">
        <v>5692</v>
      </c>
      <c r="BR109" s="0" t="s">
        <v>5692</v>
      </c>
      <c r="BS109" s="0" t="s">
        <v>227</v>
      </c>
      <c r="BT109" s="0" t="s">
        <v>5695</v>
      </c>
      <c r="BU109" s="0" t="s">
        <v>5908</v>
      </c>
      <c r="BV109" s="0" t="s">
        <v>5908</v>
      </c>
      <c r="BW109" s="0" t="s">
        <v>5697</v>
      </c>
      <c r="BX109" s="0" t="s">
        <v>5697</v>
      </c>
      <c r="BY109" s="0" t="s">
        <v>5697</v>
      </c>
      <c r="BZ109" s="0" t="s">
        <v>5697</v>
      </c>
      <c r="CA109" s="0" t="s">
        <v>5697</v>
      </c>
      <c r="CB109" s="0" t="s">
        <v>227</v>
      </c>
      <c r="CC109" s="0" t="s">
        <v>227</v>
      </c>
      <c r="CD109" s="0" t="s">
        <v>227</v>
      </c>
      <c r="CE109" s="0" t="s">
        <v>227</v>
      </c>
      <c r="CF109" s="0" t="s">
        <v>227</v>
      </c>
      <c r="CG109" s="0" t="s">
        <v>5697</v>
      </c>
      <c r="CH109" s="0" t="s">
        <v>227</v>
      </c>
      <c r="CI109" s="0" t="s">
        <v>227</v>
      </c>
      <c r="CJ109" s="0" t="s">
        <v>227</v>
      </c>
      <c r="CK109" s="0" t="s">
        <v>227</v>
      </c>
      <c r="CL109" s="0" t="s">
        <v>227</v>
      </c>
      <c r="CM109" s="0" t="s">
        <v>5908</v>
      </c>
      <c r="CN109" s="0" t="s">
        <v>5908</v>
      </c>
      <c r="CO109" s="0" t="s">
        <v>227</v>
      </c>
      <c r="CP109" s="0" t="s">
        <v>227</v>
      </c>
      <c r="CQ109" s="0" t="s">
        <v>227</v>
      </c>
      <c r="CR109" s="0" t="s">
        <v>227</v>
      </c>
      <c r="CS109" s="0" t="s">
        <v>5698</v>
      </c>
      <c r="CT109" s="0" t="s">
        <v>5679</v>
      </c>
      <c r="CU109" s="0" t="s">
        <v>5680</v>
      </c>
      <c r="CV109" s="0" t="s">
        <v>430</v>
      </c>
      <c r="CW109" s="0" t="s">
        <v>5699</v>
      </c>
      <c r="CX109" s="0" t="s">
        <v>431</v>
      </c>
      <c r="CY109" s="0" t="s">
        <v>430</v>
      </c>
      <c r="CZ109" s="0" t="s">
        <v>432</v>
      </c>
      <c r="DA109" s="0" t="s">
        <v>433</v>
      </c>
      <c r="DB109" s="0" t="s">
        <v>5700</v>
      </c>
      <c r="DC109" s="0" t="s">
        <v>373</v>
      </c>
      <c r="DD109" s="0" t="s">
        <v>277</v>
      </c>
      <c r="DE109" s="0" t="s">
        <v>703</v>
      </c>
    </row>
    <row customHeight="1" ht="11.25">
      <c r="A110" s="1806" t="s">
        <v>227</v>
      </c>
      <c r="B110" s="0" t="s">
        <v>227</v>
      </c>
      <c r="C110" s="0" t="s">
        <v>227</v>
      </c>
      <c r="D110" s="0" t="s">
        <v>227</v>
      </c>
      <c r="E110" s="0" t="s">
        <v>227</v>
      </c>
      <c r="F110" s="0" t="s">
        <v>227</v>
      </c>
      <c r="G110" s="0" t="s">
        <v>227</v>
      </c>
      <c r="H110" s="0" t="s">
        <v>227</v>
      </c>
      <c r="I110" s="0" t="s">
        <v>5667</v>
      </c>
      <c r="J110" s="0" t="s">
        <v>227</v>
      </c>
      <c r="K110" s="0" t="s">
        <v>227</v>
      </c>
      <c r="L110" s="0" t="s">
        <v>227</v>
      </c>
      <c r="M110" s="0" t="s">
        <v>227</v>
      </c>
      <c r="N110" s="0" t="s">
        <v>227</v>
      </c>
      <c r="O110" s="0" t="s">
        <v>227</v>
      </c>
      <c r="P110" s="0" t="s">
        <v>227</v>
      </c>
      <c r="Q110" s="0" t="s">
        <v>227</v>
      </c>
      <c r="R110" s="0" t="s">
        <v>464</v>
      </c>
      <c r="S110" s="0" t="s">
        <v>227</v>
      </c>
      <c r="T110" s="0" t="s">
        <v>227</v>
      </c>
      <c r="U110" s="0" t="s">
        <v>102</v>
      </c>
      <c r="V110" s="0" t="s">
        <v>227</v>
      </c>
      <c r="W110" s="0" t="s">
        <v>227</v>
      </c>
      <c r="X110" s="0" t="s">
        <v>5668</v>
      </c>
      <c r="Y110" s="0" t="s">
        <v>227</v>
      </c>
      <c r="Z110" s="0" t="s">
        <v>161</v>
      </c>
      <c r="AA110" s="0" t="s">
        <v>152</v>
      </c>
      <c r="AB110" s="0" t="s">
        <v>152</v>
      </c>
      <c r="AC110" s="0" t="s">
        <v>352</v>
      </c>
      <c r="AD110" s="0" t="s">
        <v>352</v>
      </c>
      <c r="AE110" s="0" t="s">
        <v>353</v>
      </c>
      <c r="AF110" s="0" t="s">
        <v>5734</v>
      </c>
      <c r="AG110" s="0" t="s">
        <v>5735</v>
      </c>
      <c r="AH110" s="0" t="s">
        <v>5736</v>
      </c>
      <c r="AI110" s="0" t="s">
        <v>5692</v>
      </c>
      <c r="AJ110" s="0" t="s">
        <v>6023</v>
      </c>
      <c r="AK110" s="0" t="s">
        <v>5738</v>
      </c>
      <c r="AL110" s="0" t="s">
        <v>5739</v>
      </c>
      <c r="AM110" s="0" t="s">
        <v>5676</v>
      </c>
      <c r="AN110" s="0" t="s">
        <v>6014</v>
      </c>
      <c r="AO110" s="0" t="s">
        <v>5740</v>
      </c>
      <c r="AP110" s="0" t="s">
        <v>227</v>
      </c>
      <c r="AQ110" s="0" t="s">
        <v>227</v>
      </c>
      <c r="AR110" s="0" t="s">
        <v>227</v>
      </c>
      <c r="AS110" s="0" t="s">
        <v>227</v>
      </c>
      <c r="AT110" s="0" t="s">
        <v>227</v>
      </c>
      <c r="AU110" s="0" t="s">
        <v>227</v>
      </c>
      <c r="AV110" s="0" t="s">
        <v>227</v>
      </c>
      <c r="AW110" s="0" t="s">
        <v>227</v>
      </c>
      <c r="AX110" s="0" t="s">
        <v>227</v>
      </c>
      <c r="AY110" s="0" t="s">
        <v>227</v>
      </c>
      <c r="AZ110" s="0" t="s">
        <v>227</v>
      </c>
      <c r="BA110" s="0" t="s">
        <v>227</v>
      </c>
      <c r="BB110" s="0" t="s">
        <v>227</v>
      </c>
      <c r="BC110" s="0" t="s">
        <v>227</v>
      </c>
      <c r="BD110" s="0" t="s">
        <v>227</v>
      </c>
      <c r="BE110" s="0" t="s">
        <v>227</v>
      </c>
      <c r="BF110" s="0" t="s">
        <v>227</v>
      </c>
      <c r="BG110" s="0" t="s">
        <v>227</v>
      </c>
      <c r="BH110" s="0" t="s">
        <v>227</v>
      </c>
      <c r="BI110" s="0" t="s">
        <v>227</v>
      </c>
      <c r="BJ110" s="0" t="s">
        <v>227</v>
      </c>
      <c r="BK110" s="0" t="s">
        <v>227</v>
      </c>
      <c r="BL110" s="0" t="s">
        <v>227</v>
      </c>
      <c r="BM110" s="0" t="s">
        <v>227</v>
      </c>
      <c r="BN110" s="0" t="s">
        <v>227</v>
      </c>
      <c r="BO110" s="0" t="s">
        <v>227</v>
      </c>
      <c r="BP110" s="0" t="s">
        <v>227</v>
      </c>
      <c r="BQ110" s="0" t="s">
        <v>227</v>
      </c>
      <c r="BR110" s="0" t="s">
        <v>227</v>
      </c>
      <c r="BS110" s="0" t="s">
        <v>227</v>
      </c>
      <c r="BT110" s="0" t="s">
        <v>227</v>
      </c>
      <c r="BU110" s="0" t="s">
        <v>227</v>
      </c>
      <c r="BV110" s="0" t="s">
        <v>227</v>
      </c>
      <c r="BW110" s="0" t="s">
        <v>227</v>
      </c>
      <c r="BX110" s="0" t="s">
        <v>227</v>
      </c>
      <c r="BY110" s="0" t="s">
        <v>227</v>
      </c>
      <c r="BZ110" s="0" t="s">
        <v>227</v>
      </c>
      <c r="CA110" s="0" t="s">
        <v>227</v>
      </c>
      <c r="CB110" s="0" t="s">
        <v>227</v>
      </c>
      <c r="CC110" s="0" t="s">
        <v>227</v>
      </c>
      <c r="CD110" s="0" t="s">
        <v>227</v>
      </c>
      <c r="CE110" s="0" t="s">
        <v>227</v>
      </c>
      <c r="CF110" s="0" t="s">
        <v>227</v>
      </c>
      <c r="CG110" s="0" t="s">
        <v>227</v>
      </c>
      <c r="CH110" s="0" t="s">
        <v>227</v>
      </c>
      <c r="CI110" s="0" t="s">
        <v>227</v>
      </c>
      <c r="CJ110" s="0" t="s">
        <v>227</v>
      </c>
      <c r="CK110" s="0" t="s">
        <v>227</v>
      </c>
      <c r="CL110" s="0" t="s">
        <v>227</v>
      </c>
      <c r="CM110" s="0" t="s">
        <v>227</v>
      </c>
      <c r="CN110" s="0" t="s">
        <v>227</v>
      </c>
      <c r="CO110" s="0" t="s">
        <v>227</v>
      </c>
      <c r="CP110" s="0" t="s">
        <v>227</v>
      </c>
      <c r="CQ110" s="0" t="s">
        <v>227</v>
      </c>
      <c r="CR110" s="0" t="s">
        <v>227</v>
      </c>
      <c r="CS110" s="0" t="s">
        <v>227</v>
      </c>
      <c r="CT110" s="0" t="s">
        <v>5679</v>
      </c>
      <c r="CU110" s="0" t="s">
        <v>5680</v>
      </c>
      <c r="CV110" s="0" t="s">
        <v>430</v>
      </c>
      <c r="CW110" s="0" t="s">
        <v>5681</v>
      </c>
      <c r="CX110" s="0" t="s">
        <v>431</v>
      </c>
      <c r="CY110" s="0" t="s">
        <v>430</v>
      </c>
      <c r="CZ110" s="0" t="s">
        <v>432</v>
      </c>
      <c r="DA110" s="0" t="s">
        <v>433</v>
      </c>
      <c r="DB110" s="0" t="s">
        <v>5682</v>
      </c>
      <c r="DC110" s="0" t="s">
        <v>373</v>
      </c>
      <c r="DD110" s="0" t="s">
        <v>277</v>
      </c>
      <c r="DE110" s="0" t="s">
        <v>460</v>
      </c>
    </row>
    <row customHeight="1" ht="11.25">
      <c r="A111" s="1806" t="s">
        <v>227</v>
      </c>
      <c r="B111" s="0" t="s">
        <v>227</v>
      </c>
      <c r="C111" s="0" t="s">
        <v>227</v>
      </c>
      <c r="D111" s="0" t="s">
        <v>227</v>
      </c>
      <c r="E111" s="0" t="s">
        <v>227</v>
      </c>
      <c r="F111" s="0" t="s">
        <v>227</v>
      </c>
      <c r="G111" s="0" t="s">
        <v>227</v>
      </c>
      <c r="H111" s="0" t="s">
        <v>227</v>
      </c>
      <c r="I111" s="0" t="s">
        <v>5667</v>
      </c>
      <c r="J111" s="0" t="s">
        <v>227</v>
      </c>
      <c r="K111" s="0" t="s">
        <v>227</v>
      </c>
      <c r="L111" s="0" t="s">
        <v>227</v>
      </c>
      <c r="M111" s="0" t="s">
        <v>227</v>
      </c>
      <c r="N111" s="0" t="s">
        <v>227</v>
      </c>
      <c r="O111" s="0" t="s">
        <v>227</v>
      </c>
      <c r="P111" s="0" t="s">
        <v>227</v>
      </c>
      <c r="Q111" s="0" t="s">
        <v>227</v>
      </c>
      <c r="R111" s="0" t="s">
        <v>466</v>
      </c>
      <c r="S111" s="0" t="s">
        <v>227</v>
      </c>
      <c r="T111" s="0" t="s">
        <v>227</v>
      </c>
      <c r="U111" s="0" t="s">
        <v>102</v>
      </c>
      <c r="V111" s="0" t="s">
        <v>227</v>
      </c>
      <c r="W111" s="0" t="s">
        <v>227</v>
      </c>
      <c r="X111" s="0" t="s">
        <v>5668</v>
      </c>
      <c r="Y111" s="0" t="s">
        <v>227</v>
      </c>
      <c r="Z111" s="0" t="s">
        <v>161</v>
      </c>
      <c r="AA111" s="0" t="s">
        <v>152</v>
      </c>
      <c r="AB111" s="0" t="s">
        <v>152</v>
      </c>
      <c r="AC111" s="0" t="s">
        <v>352</v>
      </c>
      <c r="AD111" s="0" t="s">
        <v>352</v>
      </c>
      <c r="AE111" s="0" t="s">
        <v>353</v>
      </c>
      <c r="AF111" s="0" t="s">
        <v>5734</v>
      </c>
      <c r="AG111" s="0" t="s">
        <v>5735</v>
      </c>
      <c r="AH111" s="0" t="s">
        <v>5736</v>
      </c>
      <c r="AI111" s="0" t="s">
        <v>5692</v>
      </c>
      <c r="AJ111" s="0" t="s">
        <v>6023</v>
      </c>
      <c r="AK111" s="0" t="s">
        <v>5738</v>
      </c>
      <c r="AL111" s="0" t="s">
        <v>5739</v>
      </c>
      <c r="AM111" s="0" t="s">
        <v>5676</v>
      </c>
      <c r="AN111" s="0" t="s">
        <v>5791</v>
      </c>
      <c r="AO111" s="0" t="s">
        <v>6024</v>
      </c>
      <c r="AP111" s="0" t="s">
        <v>227</v>
      </c>
      <c r="AQ111" s="0" t="s">
        <v>227</v>
      </c>
      <c r="AR111" s="0" t="s">
        <v>227</v>
      </c>
      <c r="AS111" s="0" t="s">
        <v>227</v>
      </c>
      <c r="AT111" s="0" t="s">
        <v>227</v>
      </c>
      <c r="AU111" s="0" t="s">
        <v>227</v>
      </c>
      <c r="AV111" s="0" t="s">
        <v>227</v>
      </c>
      <c r="AW111" s="0" t="s">
        <v>227</v>
      </c>
      <c r="AX111" s="0" t="s">
        <v>227</v>
      </c>
      <c r="AY111" s="0" t="s">
        <v>227</v>
      </c>
      <c r="AZ111" s="0" t="s">
        <v>227</v>
      </c>
      <c r="BA111" s="0" t="s">
        <v>227</v>
      </c>
      <c r="BB111" s="0" t="s">
        <v>227</v>
      </c>
      <c r="BC111" s="0" t="s">
        <v>227</v>
      </c>
      <c r="BD111" s="0" t="s">
        <v>227</v>
      </c>
      <c r="BE111" s="0" t="s">
        <v>227</v>
      </c>
      <c r="BF111" s="0" t="s">
        <v>227</v>
      </c>
      <c r="BG111" s="0" t="s">
        <v>227</v>
      </c>
      <c r="BH111" s="0" t="s">
        <v>227</v>
      </c>
      <c r="BI111" s="0" t="s">
        <v>227</v>
      </c>
      <c r="BJ111" s="0" t="s">
        <v>227</v>
      </c>
      <c r="BK111" s="0" t="s">
        <v>227</v>
      </c>
      <c r="BL111" s="0" t="s">
        <v>227</v>
      </c>
      <c r="BM111" s="0" t="s">
        <v>227</v>
      </c>
      <c r="BN111" s="0" t="s">
        <v>227</v>
      </c>
      <c r="BO111" s="0" t="s">
        <v>227</v>
      </c>
      <c r="BP111" s="0" t="s">
        <v>227</v>
      </c>
      <c r="BQ111" s="0" t="s">
        <v>227</v>
      </c>
      <c r="BR111" s="0" t="s">
        <v>227</v>
      </c>
      <c r="BS111" s="0" t="s">
        <v>227</v>
      </c>
      <c r="BT111" s="0" t="s">
        <v>227</v>
      </c>
      <c r="BU111" s="0" t="s">
        <v>227</v>
      </c>
      <c r="BV111" s="0" t="s">
        <v>227</v>
      </c>
      <c r="BW111" s="0" t="s">
        <v>227</v>
      </c>
      <c r="BX111" s="0" t="s">
        <v>227</v>
      </c>
      <c r="BY111" s="0" t="s">
        <v>227</v>
      </c>
      <c r="BZ111" s="0" t="s">
        <v>227</v>
      </c>
      <c r="CA111" s="0" t="s">
        <v>227</v>
      </c>
      <c r="CB111" s="0" t="s">
        <v>227</v>
      </c>
      <c r="CC111" s="0" t="s">
        <v>227</v>
      </c>
      <c r="CD111" s="0" t="s">
        <v>227</v>
      </c>
      <c r="CE111" s="0" t="s">
        <v>227</v>
      </c>
      <c r="CF111" s="0" t="s">
        <v>227</v>
      </c>
      <c r="CG111" s="0" t="s">
        <v>227</v>
      </c>
      <c r="CH111" s="0" t="s">
        <v>227</v>
      </c>
      <c r="CI111" s="0" t="s">
        <v>227</v>
      </c>
      <c r="CJ111" s="0" t="s">
        <v>227</v>
      </c>
      <c r="CK111" s="0" t="s">
        <v>227</v>
      </c>
      <c r="CL111" s="0" t="s">
        <v>227</v>
      </c>
      <c r="CM111" s="0" t="s">
        <v>227</v>
      </c>
      <c r="CN111" s="0" t="s">
        <v>227</v>
      </c>
      <c r="CO111" s="0" t="s">
        <v>227</v>
      </c>
      <c r="CP111" s="0" t="s">
        <v>227</v>
      </c>
      <c r="CQ111" s="0" t="s">
        <v>227</v>
      </c>
      <c r="CR111" s="0" t="s">
        <v>227</v>
      </c>
      <c r="CS111" s="0" t="s">
        <v>227</v>
      </c>
      <c r="CT111" s="0" t="s">
        <v>5679</v>
      </c>
      <c r="CU111" s="0" t="s">
        <v>5680</v>
      </c>
      <c r="CV111" s="0" t="s">
        <v>430</v>
      </c>
      <c r="CW111" s="0" t="s">
        <v>5681</v>
      </c>
      <c r="CX111" s="0" t="s">
        <v>431</v>
      </c>
      <c r="CY111" s="0" t="s">
        <v>430</v>
      </c>
      <c r="CZ111" s="0" t="s">
        <v>432</v>
      </c>
      <c r="DA111" s="0" t="s">
        <v>433</v>
      </c>
      <c r="DB111" s="0" t="s">
        <v>5682</v>
      </c>
      <c r="DC111" s="0" t="s">
        <v>373</v>
      </c>
      <c r="DD111" s="0" t="s">
        <v>277</v>
      </c>
      <c r="DE111" s="0" t="s">
        <v>460</v>
      </c>
    </row>
    <row customHeight="1" ht="11.25">
      <c r="A112" s="1806" t="s">
        <v>227</v>
      </c>
      <c r="B112" s="0" t="s">
        <v>227</v>
      </c>
      <c r="C112" s="0" t="s">
        <v>227</v>
      </c>
      <c r="D112" s="0" t="s">
        <v>227</v>
      </c>
      <c r="E112" s="0" t="s">
        <v>227</v>
      </c>
      <c r="F112" s="0" t="s">
        <v>227</v>
      </c>
      <c r="G112" s="0" t="s">
        <v>227</v>
      </c>
      <c r="H112" s="0" t="s">
        <v>227</v>
      </c>
      <c r="I112" s="0" t="s">
        <v>5667</v>
      </c>
      <c r="J112" s="0" t="s">
        <v>227</v>
      </c>
      <c r="K112" s="0" t="s">
        <v>227</v>
      </c>
      <c r="L112" s="0" t="s">
        <v>227</v>
      </c>
      <c r="M112" s="0" t="s">
        <v>227</v>
      </c>
      <c r="N112" s="0" t="s">
        <v>227</v>
      </c>
      <c r="O112" s="0" t="s">
        <v>227</v>
      </c>
      <c r="P112" s="0" t="s">
        <v>227</v>
      </c>
      <c r="Q112" s="0" t="s">
        <v>227</v>
      </c>
      <c r="R112" s="0" t="s">
        <v>861</v>
      </c>
      <c r="S112" s="0" t="s">
        <v>227</v>
      </c>
      <c r="T112" s="0" t="s">
        <v>227</v>
      </c>
      <c r="U112" s="0" t="s">
        <v>102</v>
      </c>
      <c r="V112" s="0" t="s">
        <v>227</v>
      </c>
      <c r="W112" s="0" t="s">
        <v>227</v>
      </c>
      <c r="X112" s="0" t="s">
        <v>5683</v>
      </c>
      <c r="Y112" s="0" t="s">
        <v>227</v>
      </c>
      <c r="Z112" s="0" t="s">
        <v>152</v>
      </c>
      <c r="AA112" s="0" t="s">
        <v>152</v>
      </c>
      <c r="AB112" s="0" t="s">
        <v>161</v>
      </c>
      <c r="AC112" s="0" t="s">
        <v>354</v>
      </c>
      <c r="AD112" s="0" t="s">
        <v>354</v>
      </c>
      <c r="AE112" s="0" t="s">
        <v>355</v>
      </c>
      <c r="AF112" s="0" t="s">
        <v>5701</v>
      </c>
      <c r="AG112" s="0" t="s">
        <v>5702</v>
      </c>
      <c r="AH112" s="0" t="s">
        <v>6025</v>
      </c>
      <c r="AI112" s="0" t="s">
        <v>6026</v>
      </c>
      <c r="AJ112" s="0" t="s">
        <v>227</v>
      </c>
      <c r="AK112" s="0" t="s">
        <v>227</v>
      </c>
      <c r="AL112" s="0" t="s">
        <v>227</v>
      </c>
      <c r="AM112" s="0" t="s">
        <v>227</v>
      </c>
      <c r="AN112" s="0" t="s">
        <v>227</v>
      </c>
      <c r="AO112" s="0" t="s">
        <v>227</v>
      </c>
      <c r="AP112" s="0" t="s">
        <v>227</v>
      </c>
      <c r="AQ112" s="0" t="s">
        <v>227</v>
      </c>
      <c r="AR112" s="0" t="s">
        <v>227</v>
      </c>
      <c r="AS112" s="0" t="s">
        <v>227</v>
      </c>
      <c r="AT112" s="0" t="s">
        <v>227</v>
      </c>
      <c r="AU112" s="0" t="s">
        <v>227</v>
      </c>
      <c r="AV112" s="0" t="s">
        <v>227</v>
      </c>
      <c r="AW112" s="0" t="s">
        <v>227</v>
      </c>
      <c r="AX112" s="0" t="s">
        <v>227</v>
      </c>
      <c r="AY112" s="0" t="s">
        <v>227</v>
      </c>
      <c r="AZ112" s="0" t="s">
        <v>227</v>
      </c>
      <c r="BA112" s="0" t="s">
        <v>227</v>
      </c>
      <c r="BB112" s="0" t="s">
        <v>227</v>
      </c>
      <c r="BC112" s="0" t="s">
        <v>227</v>
      </c>
      <c r="BD112" s="0" t="s">
        <v>227</v>
      </c>
      <c r="BE112" s="0" t="s">
        <v>5688</v>
      </c>
      <c r="BF112" s="0" t="s">
        <v>6027</v>
      </c>
      <c r="BG112" s="0" t="s">
        <v>112</v>
      </c>
      <c r="BH112" s="0" t="s">
        <v>5690</v>
      </c>
      <c r="BI112" s="0" t="s">
        <v>5691</v>
      </c>
      <c r="BJ112" s="0" t="s">
        <v>227</v>
      </c>
      <c r="BK112" s="0" t="s">
        <v>952</v>
      </c>
      <c r="BL112" s="0" t="s">
        <v>354</v>
      </c>
      <c r="BM112" s="0" t="s">
        <v>354</v>
      </c>
      <c r="BN112" s="0" t="s">
        <v>5693</v>
      </c>
      <c r="BO112" s="0" t="s">
        <v>5701</v>
      </c>
      <c r="BP112" s="0" t="s">
        <v>5706</v>
      </c>
      <c r="BQ112" s="0" t="s">
        <v>5707</v>
      </c>
      <c r="BR112" s="0" t="s">
        <v>5708</v>
      </c>
      <c r="BS112" s="0" t="s">
        <v>227</v>
      </c>
      <c r="BT112" s="0" t="s">
        <v>5695</v>
      </c>
      <c r="BU112" s="0" t="s">
        <v>6028</v>
      </c>
      <c r="BV112" s="0" t="s">
        <v>6028</v>
      </c>
      <c r="BW112" s="0" t="s">
        <v>5697</v>
      </c>
      <c r="BX112" s="0" t="s">
        <v>5697</v>
      </c>
      <c r="BY112" s="0" t="s">
        <v>5697</v>
      </c>
      <c r="BZ112" s="0" t="s">
        <v>5697</v>
      </c>
      <c r="CA112" s="0" t="s">
        <v>5697</v>
      </c>
      <c r="CB112" s="0" t="s">
        <v>227</v>
      </c>
      <c r="CC112" s="0" t="s">
        <v>227</v>
      </c>
      <c r="CD112" s="0" t="s">
        <v>227</v>
      </c>
      <c r="CE112" s="0" t="s">
        <v>227</v>
      </c>
      <c r="CF112" s="0" t="s">
        <v>227</v>
      </c>
      <c r="CG112" s="0" t="s">
        <v>5697</v>
      </c>
      <c r="CH112" s="0" t="s">
        <v>227</v>
      </c>
      <c r="CI112" s="0" t="s">
        <v>227</v>
      </c>
      <c r="CJ112" s="0" t="s">
        <v>227</v>
      </c>
      <c r="CK112" s="0" t="s">
        <v>227</v>
      </c>
      <c r="CL112" s="0" t="s">
        <v>227</v>
      </c>
      <c r="CM112" s="0" t="s">
        <v>6028</v>
      </c>
      <c r="CN112" s="0" t="s">
        <v>6028</v>
      </c>
      <c r="CO112" s="0" t="s">
        <v>227</v>
      </c>
      <c r="CP112" s="0" t="s">
        <v>227</v>
      </c>
      <c r="CQ112" s="0" t="s">
        <v>227</v>
      </c>
      <c r="CR112" s="0" t="s">
        <v>227</v>
      </c>
      <c r="CS112" s="0" t="s">
        <v>5698</v>
      </c>
      <c r="CT112" s="0" t="s">
        <v>5679</v>
      </c>
      <c r="CU112" s="0" t="s">
        <v>5680</v>
      </c>
      <c r="CV112" s="0" t="s">
        <v>430</v>
      </c>
      <c r="CW112" s="0" t="s">
        <v>5699</v>
      </c>
      <c r="CX112" s="0" t="s">
        <v>431</v>
      </c>
      <c r="CY112" s="0" t="s">
        <v>430</v>
      </c>
      <c r="CZ112" s="0" t="s">
        <v>432</v>
      </c>
      <c r="DA112" s="0" t="s">
        <v>433</v>
      </c>
      <c r="DB112" s="0" t="s">
        <v>5700</v>
      </c>
      <c r="DC112" s="0" t="s">
        <v>373</v>
      </c>
      <c r="DD112" s="0" t="s">
        <v>277</v>
      </c>
      <c r="DE112" s="0" t="s">
        <v>862</v>
      </c>
    </row>
    <row customHeight="1" ht="11.25">
      <c r="A113" s="1806" t="s">
        <v>227</v>
      </c>
      <c r="B113" s="0" t="s">
        <v>227</v>
      </c>
      <c r="C113" s="0" t="s">
        <v>227</v>
      </c>
      <c r="D113" s="0" t="s">
        <v>227</v>
      </c>
      <c r="E113" s="0" t="s">
        <v>227</v>
      </c>
      <c r="F113" s="0" t="s">
        <v>227</v>
      </c>
      <c r="G113" s="0" t="s">
        <v>227</v>
      </c>
      <c r="H113" s="0" t="s">
        <v>227</v>
      </c>
      <c r="I113" s="0" t="s">
        <v>5667</v>
      </c>
      <c r="J113" s="0" t="s">
        <v>227</v>
      </c>
      <c r="K113" s="0" t="s">
        <v>227</v>
      </c>
      <c r="L113" s="0" t="s">
        <v>227</v>
      </c>
      <c r="M113" s="0" t="s">
        <v>227</v>
      </c>
      <c r="N113" s="0" t="s">
        <v>227</v>
      </c>
      <c r="O113" s="0" t="s">
        <v>227</v>
      </c>
      <c r="P113" s="0" t="s">
        <v>227</v>
      </c>
      <c r="Q113" s="0" t="s">
        <v>227</v>
      </c>
      <c r="R113" s="0" t="s">
        <v>717</v>
      </c>
      <c r="S113" s="0" t="s">
        <v>227</v>
      </c>
      <c r="T113" s="0" t="s">
        <v>227</v>
      </c>
      <c r="U113" s="0" t="s">
        <v>102</v>
      </c>
      <c r="V113" s="0" t="s">
        <v>227</v>
      </c>
      <c r="W113" s="0" t="s">
        <v>227</v>
      </c>
      <c r="X113" s="0" t="s">
        <v>5683</v>
      </c>
      <c r="Y113" s="0" t="s">
        <v>227</v>
      </c>
      <c r="Z113" s="0" t="s">
        <v>152</v>
      </c>
      <c r="AA113" s="0" t="s">
        <v>152</v>
      </c>
      <c r="AB113" s="0" t="s">
        <v>161</v>
      </c>
      <c r="AC113" s="0" t="s">
        <v>354</v>
      </c>
      <c r="AD113" s="0" t="s">
        <v>354</v>
      </c>
      <c r="AE113" s="0" t="s">
        <v>355</v>
      </c>
      <c r="AF113" s="0" t="s">
        <v>5701</v>
      </c>
      <c r="AG113" s="0" t="s">
        <v>5702</v>
      </c>
      <c r="AH113" s="0" t="s">
        <v>5692</v>
      </c>
      <c r="AI113" s="0" t="s">
        <v>5692</v>
      </c>
      <c r="AJ113" s="0" t="s">
        <v>227</v>
      </c>
      <c r="AK113" s="0" t="s">
        <v>227</v>
      </c>
      <c r="AL113" s="0" t="s">
        <v>227</v>
      </c>
      <c r="AM113" s="0" t="s">
        <v>227</v>
      </c>
      <c r="AN113" s="0" t="s">
        <v>227</v>
      </c>
      <c r="AO113" s="0" t="s">
        <v>227</v>
      </c>
      <c r="AP113" s="0" t="s">
        <v>227</v>
      </c>
      <c r="AQ113" s="0" t="s">
        <v>227</v>
      </c>
      <c r="AR113" s="0" t="s">
        <v>227</v>
      </c>
      <c r="AS113" s="0" t="s">
        <v>227</v>
      </c>
      <c r="AT113" s="0" t="s">
        <v>227</v>
      </c>
      <c r="AU113" s="0" t="s">
        <v>227</v>
      </c>
      <c r="AV113" s="0" t="s">
        <v>227</v>
      </c>
      <c r="AW113" s="0" t="s">
        <v>227</v>
      </c>
      <c r="AX113" s="0" t="s">
        <v>227</v>
      </c>
      <c r="AY113" s="0" t="s">
        <v>227</v>
      </c>
      <c r="AZ113" s="0" t="s">
        <v>227</v>
      </c>
      <c r="BA113" s="0" t="s">
        <v>227</v>
      </c>
      <c r="BB113" s="0" t="s">
        <v>227</v>
      </c>
      <c r="BC113" s="0" t="s">
        <v>227</v>
      </c>
      <c r="BD113" s="0" t="s">
        <v>227</v>
      </c>
      <c r="BE113" s="0" t="s">
        <v>6029</v>
      </c>
      <c r="BF113" s="0" t="s">
        <v>6030</v>
      </c>
      <c r="BG113" s="0" t="s">
        <v>112</v>
      </c>
      <c r="BH113" s="0" t="s">
        <v>5690</v>
      </c>
      <c r="BI113" s="0" t="s">
        <v>5691</v>
      </c>
      <c r="BJ113" s="0" t="s">
        <v>227</v>
      </c>
      <c r="BK113" s="0" t="s">
        <v>5692</v>
      </c>
      <c r="BL113" s="0" t="s">
        <v>354</v>
      </c>
      <c r="BM113" s="0" t="s">
        <v>354</v>
      </c>
      <c r="BN113" s="0" t="s">
        <v>5693</v>
      </c>
      <c r="BO113" s="0" t="s">
        <v>5701</v>
      </c>
      <c r="BP113" s="0" t="s">
        <v>5706</v>
      </c>
      <c r="BQ113" s="0" t="s">
        <v>5692</v>
      </c>
      <c r="BR113" s="0" t="s">
        <v>5692</v>
      </c>
      <c r="BS113" s="0" t="s">
        <v>227</v>
      </c>
      <c r="BT113" s="0" t="s">
        <v>6031</v>
      </c>
      <c r="BU113" s="0" t="s">
        <v>6032</v>
      </c>
      <c r="BV113" s="0" t="s">
        <v>5697</v>
      </c>
      <c r="BW113" s="0" t="s">
        <v>5697</v>
      </c>
      <c r="BX113" s="0" t="s">
        <v>6032</v>
      </c>
      <c r="BY113" s="0" t="s">
        <v>5697</v>
      </c>
      <c r="BZ113" s="0" t="s">
        <v>5697</v>
      </c>
      <c r="CA113" s="0" t="s">
        <v>5697</v>
      </c>
      <c r="CB113" s="0" t="s">
        <v>227</v>
      </c>
      <c r="CC113" s="0" t="s">
        <v>227</v>
      </c>
      <c r="CD113" s="0" t="s">
        <v>227</v>
      </c>
      <c r="CE113" s="0" t="s">
        <v>227</v>
      </c>
      <c r="CF113" s="0" t="s">
        <v>227</v>
      </c>
      <c r="CG113" s="0" t="s">
        <v>5697</v>
      </c>
      <c r="CH113" s="0" t="s">
        <v>227</v>
      </c>
      <c r="CI113" s="0" t="s">
        <v>227</v>
      </c>
      <c r="CJ113" s="0" t="s">
        <v>227</v>
      </c>
      <c r="CK113" s="0" t="s">
        <v>227</v>
      </c>
      <c r="CL113" s="0" t="s">
        <v>227</v>
      </c>
      <c r="CM113" s="0" t="s">
        <v>6032</v>
      </c>
      <c r="CN113" s="0" t="s">
        <v>227</v>
      </c>
      <c r="CO113" s="0" t="s">
        <v>227</v>
      </c>
      <c r="CP113" s="0" t="s">
        <v>6032</v>
      </c>
      <c r="CQ113" s="0" t="s">
        <v>227</v>
      </c>
      <c r="CR113" s="0" t="s">
        <v>227</v>
      </c>
      <c r="CS113" s="0" t="s">
        <v>5673</v>
      </c>
      <c r="CT113" s="0" t="s">
        <v>5679</v>
      </c>
      <c r="CU113" s="0" t="s">
        <v>5680</v>
      </c>
      <c r="CV113" s="0" t="s">
        <v>430</v>
      </c>
      <c r="CW113" s="0" t="s">
        <v>5699</v>
      </c>
      <c r="CX113" s="0" t="s">
        <v>431</v>
      </c>
      <c r="CY113" s="0" t="s">
        <v>430</v>
      </c>
      <c r="CZ113" s="0" t="s">
        <v>432</v>
      </c>
      <c r="DA113" s="0" t="s">
        <v>433</v>
      </c>
      <c r="DB113" s="0" t="s">
        <v>5700</v>
      </c>
      <c r="DC113" s="0" t="s">
        <v>373</v>
      </c>
      <c r="DD113" s="0" t="s">
        <v>277</v>
      </c>
      <c r="DE113" s="0" t="s">
        <v>715</v>
      </c>
    </row>
    <row customHeight="1" ht="11.25">
      <c r="A114" s="1806" t="s">
        <v>227</v>
      </c>
      <c r="B114" s="0" t="s">
        <v>227</v>
      </c>
      <c r="C114" s="0" t="s">
        <v>227</v>
      </c>
      <c r="D114" s="0" t="s">
        <v>227</v>
      </c>
      <c r="E114" s="0" t="s">
        <v>227</v>
      </c>
      <c r="F114" s="0" t="s">
        <v>227</v>
      </c>
      <c r="G114" s="0" t="s">
        <v>227</v>
      </c>
      <c r="H114" s="0" t="s">
        <v>227</v>
      </c>
      <c r="I114" s="0" t="s">
        <v>5667</v>
      </c>
      <c r="J114" s="0" t="s">
        <v>227</v>
      </c>
      <c r="K114" s="0" t="s">
        <v>227</v>
      </c>
      <c r="L114" s="0" t="s">
        <v>227</v>
      </c>
      <c r="M114" s="0" t="s">
        <v>227</v>
      </c>
      <c r="N114" s="0" t="s">
        <v>227</v>
      </c>
      <c r="O114" s="0" t="s">
        <v>227</v>
      </c>
      <c r="P114" s="0" t="s">
        <v>227</v>
      </c>
      <c r="Q114" s="0" t="s">
        <v>227</v>
      </c>
      <c r="R114" s="0" t="s">
        <v>627</v>
      </c>
      <c r="S114" s="0" t="s">
        <v>227</v>
      </c>
      <c r="T114" s="0" t="s">
        <v>227</v>
      </c>
      <c r="U114" s="0" t="s">
        <v>102</v>
      </c>
      <c r="V114" s="0" t="s">
        <v>227</v>
      </c>
      <c r="W114" s="0" t="s">
        <v>227</v>
      </c>
      <c r="X114" s="0" t="s">
        <v>5683</v>
      </c>
      <c r="Y114" s="0" t="s">
        <v>227</v>
      </c>
      <c r="Z114" s="0" t="s">
        <v>152</v>
      </c>
      <c r="AA114" s="0" t="s">
        <v>152</v>
      </c>
      <c r="AB114" s="0" t="s">
        <v>161</v>
      </c>
      <c r="AC114" s="0" t="s">
        <v>354</v>
      </c>
      <c r="AD114" s="0" t="s">
        <v>354</v>
      </c>
      <c r="AE114" s="0" t="s">
        <v>355</v>
      </c>
      <c r="AF114" s="0" t="s">
        <v>5684</v>
      </c>
      <c r="AG114" s="0" t="s">
        <v>5685</v>
      </c>
      <c r="AH114" s="0" t="s">
        <v>6033</v>
      </c>
      <c r="AI114" s="0" t="s">
        <v>5692</v>
      </c>
      <c r="AJ114" s="0" t="s">
        <v>227</v>
      </c>
      <c r="AK114" s="0" t="s">
        <v>227</v>
      </c>
      <c r="AL114" s="0" t="s">
        <v>227</v>
      </c>
      <c r="AM114" s="0" t="s">
        <v>227</v>
      </c>
      <c r="AN114" s="0" t="s">
        <v>227</v>
      </c>
      <c r="AO114" s="0" t="s">
        <v>227</v>
      </c>
      <c r="AP114" s="0" t="s">
        <v>227</v>
      </c>
      <c r="AQ114" s="0" t="s">
        <v>227</v>
      </c>
      <c r="AR114" s="0" t="s">
        <v>227</v>
      </c>
      <c r="AS114" s="0" t="s">
        <v>227</v>
      </c>
      <c r="AT114" s="0" t="s">
        <v>227</v>
      </c>
      <c r="AU114" s="0" t="s">
        <v>227</v>
      </c>
      <c r="AV114" s="0" t="s">
        <v>227</v>
      </c>
      <c r="AW114" s="0" t="s">
        <v>227</v>
      </c>
      <c r="AX114" s="0" t="s">
        <v>227</v>
      </c>
      <c r="AY114" s="0" t="s">
        <v>227</v>
      </c>
      <c r="AZ114" s="0" t="s">
        <v>227</v>
      </c>
      <c r="BA114" s="0" t="s">
        <v>227</v>
      </c>
      <c r="BB114" s="0" t="s">
        <v>227</v>
      </c>
      <c r="BC114" s="0" t="s">
        <v>227</v>
      </c>
      <c r="BD114" s="0" t="s">
        <v>227</v>
      </c>
      <c r="BE114" s="0" t="s">
        <v>5728</v>
      </c>
      <c r="BF114" s="0" t="s">
        <v>6034</v>
      </c>
      <c r="BG114" s="0" t="s">
        <v>112</v>
      </c>
      <c r="BH114" s="0" t="s">
        <v>5690</v>
      </c>
      <c r="BI114" s="0" t="s">
        <v>5691</v>
      </c>
      <c r="BJ114" s="0" t="s">
        <v>227</v>
      </c>
      <c r="BK114" s="0" t="s">
        <v>5692</v>
      </c>
      <c r="BL114" s="0" t="s">
        <v>354</v>
      </c>
      <c r="BM114" s="0" t="s">
        <v>354</v>
      </c>
      <c r="BN114" s="0" t="s">
        <v>5693</v>
      </c>
      <c r="BO114" s="0" t="s">
        <v>5684</v>
      </c>
      <c r="BP114" s="0" t="s">
        <v>5694</v>
      </c>
      <c r="BQ114" s="0" t="s">
        <v>5692</v>
      </c>
      <c r="BR114" s="0" t="s">
        <v>5692</v>
      </c>
      <c r="BS114" s="0" t="s">
        <v>227</v>
      </c>
      <c r="BT114" s="0" t="s">
        <v>5695</v>
      </c>
      <c r="BU114" s="0" t="s">
        <v>5867</v>
      </c>
      <c r="BV114" s="0" t="s">
        <v>5867</v>
      </c>
      <c r="BW114" s="0" t="s">
        <v>5697</v>
      </c>
      <c r="BX114" s="0" t="s">
        <v>5697</v>
      </c>
      <c r="BY114" s="0" t="s">
        <v>5697</v>
      </c>
      <c r="BZ114" s="0" t="s">
        <v>5697</v>
      </c>
      <c r="CA114" s="0" t="s">
        <v>5697</v>
      </c>
      <c r="CB114" s="0" t="s">
        <v>227</v>
      </c>
      <c r="CC114" s="0" t="s">
        <v>227</v>
      </c>
      <c r="CD114" s="0" t="s">
        <v>227</v>
      </c>
      <c r="CE114" s="0" t="s">
        <v>227</v>
      </c>
      <c r="CF114" s="0" t="s">
        <v>227</v>
      </c>
      <c r="CG114" s="0" t="s">
        <v>5697</v>
      </c>
      <c r="CH114" s="0" t="s">
        <v>227</v>
      </c>
      <c r="CI114" s="0" t="s">
        <v>227</v>
      </c>
      <c r="CJ114" s="0" t="s">
        <v>227</v>
      </c>
      <c r="CK114" s="0" t="s">
        <v>227</v>
      </c>
      <c r="CL114" s="0" t="s">
        <v>227</v>
      </c>
      <c r="CM114" s="0" t="s">
        <v>5867</v>
      </c>
      <c r="CN114" s="0" t="s">
        <v>5867</v>
      </c>
      <c r="CO114" s="0" t="s">
        <v>227</v>
      </c>
      <c r="CP114" s="0" t="s">
        <v>227</v>
      </c>
      <c r="CQ114" s="0" t="s">
        <v>227</v>
      </c>
      <c r="CR114" s="0" t="s">
        <v>227</v>
      </c>
      <c r="CS114" s="0" t="s">
        <v>5698</v>
      </c>
      <c r="CT114" s="0" t="s">
        <v>5679</v>
      </c>
      <c r="CU114" s="0" t="s">
        <v>5680</v>
      </c>
      <c r="CV114" s="0" t="s">
        <v>430</v>
      </c>
      <c r="CW114" s="0" t="s">
        <v>5699</v>
      </c>
      <c r="CX114" s="0" t="s">
        <v>431</v>
      </c>
      <c r="CY114" s="0" t="s">
        <v>430</v>
      </c>
      <c r="CZ114" s="0" t="s">
        <v>432</v>
      </c>
      <c r="DA114" s="0" t="s">
        <v>433</v>
      </c>
      <c r="DB114" s="0" t="s">
        <v>5700</v>
      </c>
      <c r="DC114" s="0" t="s">
        <v>373</v>
      </c>
      <c r="DD114" s="0" t="s">
        <v>277</v>
      </c>
      <c r="DE114" s="0" t="s">
        <v>628</v>
      </c>
    </row>
    <row customHeight="1" ht="11.25">
      <c r="A115" s="1806" t="s">
        <v>227</v>
      </c>
      <c r="B115" s="0" t="s">
        <v>227</v>
      </c>
      <c r="C115" s="0" t="s">
        <v>227</v>
      </c>
      <c r="D115" s="0" t="s">
        <v>227</v>
      </c>
      <c r="E115" s="0" t="s">
        <v>227</v>
      </c>
      <c r="F115" s="0" t="s">
        <v>227</v>
      </c>
      <c r="G115" s="0" t="s">
        <v>227</v>
      </c>
      <c r="H115" s="0" t="s">
        <v>227</v>
      </c>
      <c r="I115" s="0" t="s">
        <v>5667</v>
      </c>
      <c r="J115" s="0" t="s">
        <v>227</v>
      </c>
      <c r="K115" s="0" t="s">
        <v>227</v>
      </c>
      <c r="L115" s="0" t="s">
        <v>227</v>
      </c>
      <c r="M115" s="0" t="s">
        <v>227</v>
      </c>
      <c r="N115" s="0" t="s">
        <v>227</v>
      </c>
      <c r="O115" s="0" t="s">
        <v>227</v>
      </c>
      <c r="P115" s="0" t="s">
        <v>227</v>
      </c>
      <c r="Q115" s="0" t="s">
        <v>227</v>
      </c>
      <c r="R115" s="0" t="s">
        <v>844</v>
      </c>
      <c r="S115" s="0" t="s">
        <v>227</v>
      </c>
      <c r="T115" s="0" t="s">
        <v>227</v>
      </c>
      <c r="U115" s="0" t="s">
        <v>102</v>
      </c>
      <c r="V115" s="0" t="s">
        <v>227</v>
      </c>
      <c r="W115" s="0" t="s">
        <v>227</v>
      </c>
      <c r="X115" s="0" t="s">
        <v>5683</v>
      </c>
      <c r="Y115" s="0" t="s">
        <v>227</v>
      </c>
      <c r="Z115" s="0" t="s">
        <v>152</v>
      </c>
      <c r="AA115" s="0" t="s">
        <v>152</v>
      </c>
      <c r="AB115" s="0" t="s">
        <v>161</v>
      </c>
      <c r="AC115" s="0" t="s">
        <v>354</v>
      </c>
      <c r="AD115" s="0" t="s">
        <v>354</v>
      </c>
      <c r="AE115" s="0" t="s">
        <v>355</v>
      </c>
      <c r="AF115" s="0" t="s">
        <v>5701</v>
      </c>
      <c r="AG115" s="0" t="s">
        <v>5702</v>
      </c>
      <c r="AH115" s="0" t="s">
        <v>5809</v>
      </c>
      <c r="AI115" s="0" t="s">
        <v>6035</v>
      </c>
      <c r="AJ115" s="0" t="s">
        <v>227</v>
      </c>
      <c r="AK115" s="0" t="s">
        <v>227</v>
      </c>
      <c r="AL115" s="0" t="s">
        <v>227</v>
      </c>
      <c r="AM115" s="0" t="s">
        <v>227</v>
      </c>
      <c r="AN115" s="0" t="s">
        <v>227</v>
      </c>
      <c r="AO115" s="0" t="s">
        <v>227</v>
      </c>
      <c r="AP115" s="0" t="s">
        <v>227</v>
      </c>
      <c r="AQ115" s="0" t="s">
        <v>227</v>
      </c>
      <c r="AR115" s="0" t="s">
        <v>227</v>
      </c>
      <c r="AS115" s="0" t="s">
        <v>227</v>
      </c>
      <c r="AT115" s="0" t="s">
        <v>227</v>
      </c>
      <c r="AU115" s="0" t="s">
        <v>227</v>
      </c>
      <c r="AV115" s="0" t="s">
        <v>227</v>
      </c>
      <c r="AW115" s="0" t="s">
        <v>227</v>
      </c>
      <c r="AX115" s="0" t="s">
        <v>227</v>
      </c>
      <c r="AY115" s="0" t="s">
        <v>227</v>
      </c>
      <c r="AZ115" s="0" t="s">
        <v>227</v>
      </c>
      <c r="BA115" s="0" t="s">
        <v>227</v>
      </c>
      <c r="BB115" s="0" t="s">
        <v>227</v>
      </c>
      <c r="BC115" s="0" t="s">
        <v>227</v>
      </c>
      <c r="BD115" s="0" t="s">
        <v>227</v>
      </c>
      <c r="BE115" s="0" t="s">
        <v>5688</v>
      </c>
      <c r="BF115" s="0" t="s">
        <v>5768</v>
      </c>
      <c r="BG115" s="0" t="s">
        <v>112</v>
      </c>
      <c r="BH115" s="0" t="s">
        <v>5690</v>
      </c>
      <c r="BI115" s="0" t="s">
        <v>5691</v>
      </c>
      <c r="BJ115" s="0" t="s">
        <v>227</v>
      </c>
      <c r="BK115" s="0" t="s">
        <v>952</v>
      </c>
      <c r="BL115" s="0" t="s">
        <v>354</v>
      </c>
      <c r="BM115" s="0" t="s">
        <v>354</v>
      </c>
      <c r="BN115" s="0" t="s">
        <v>5693</v>
      </c>
      <c r="BO115" s="0" t="s">
        <v>5701</v>
      </c>
      <c r="BP115" s="0" t="s">
        <v>5706</v>
      </c>
      <c r="BQ115" s="0" t="s">
        <v>5707</v>
      </c>
      <c r="BR115" s="0" t="s">
        <v>5708</v>
      </c>
      <c r="BS115" s="0" t="s">
        <v>227</v>
      </c>
      <c r="BT115" s="0" t="s">
        <v>5695</v>
      </c>
      <c r="BU115" s="0" t="s">
        <v>6036</v>
      </c>
      <c r="BV115" s="0" t="s">
        <v>6036</v>
      </c>
      <c r="BW115" s="0" t="s">
        <v>5697</v>
      </c>
      <c r="BX115" s="0" t="s">
        <v>5697</v>
      </c>
      <c r="BY115" s="0" t="s">
        <v>5697</v>
      </c>
      <c r="BZ115" s="0" t="s">
        <v>5697</v>
      </c>
      <c r="CA115" s="0" t="s">
        <v>5697</v>
      </c>
      <c r="CB115" s="0" t="s">
        <v>227</v>
      </c>
      <c r="CC115" s="0" t="s">
        <v>227</v>
      </c>
      <c r="CD115" s="0" t="s">
        <v>227</v>
      </c>
      <c r="CE115" s="0" t="s">
        <v>227</v>
      </c>
      <c r="CF115" s="0" t="s">
        <v>227</v>
      </c>
      <c r="CG115" s="0" t="s">
        <v>5697</v>
      </c>
      <c r="CH115" s="0" t="s">
        <v>227</v>
      </c>
      <c r="CI115" s="0" t="s">
        <v>227</v>
      </c>
      <c r="CJ115" s="0" t="s">
        <v>227</v>
      </c>
      <c r="CK115" s="0" t="s">
        <v>227</v>
      </c>
      <c r="CL115" s="0" t="s">
        <v>227</v>
      </c>
      <c r="CM115" s="0" t="s">
        <v>6036</v>
      </c>
      <c r="CN115" s="0" t="s">
        <v>6036</v>
      </c>
      <c r="CO115" s="0" t="s">
        <v>227</v>
      </c>
      <c r="CP115" s="0" t="s">
        <v>227</v>
      </c>
      <c r="CQ115" s="0" t="s">
        <v>227</v>
      </c>
      <c r="CR115" s="0" t="s">
        <v>227</v>
      </c>
      <c r="CS115" s="0" t="s">
        <v>5698</v>
      </c>
      <c r="CT115" s="0" t="s">
        <v>5679</v>
      </c>
      <c r="CU115" s="0" t="s">
        <v>5680</v>
      </c>
      <c r="CV115" s="0" t="s">
        <v>430</v>
      </c>
      <c r="CW115" s="0" t="s">
        <v>5699</v>
      </c>
      <c r="CX115" s="0" t="s">
        <v>431</v>
      </c>
      <c r="CY115" s="0" t="s">
        <v>430</v>
      </c>
      <c r="CZ115" s="0" t="s">
        <v>432</v>
      </c>
      <c r="DA115" s="0" t="s">
        <v>433</v>
      </c>
      <c r="DB115" s="0" t="s">
        <v>5700</v>
      </c>
      <c r="DC115" s="0" t="s">
        <v>373</v>
      </c>
      <c r="DD115" s="0" t="s">
        <v>277</v>
      </c>
      <c r="DE115" s="0" t="s">
        <v>845</v>
      </c>
    </row>
    <row customHeight="1" ht="11.25">
      <c r="A116" s="1806" t="s">
        <v>227</v>
      </c>
      <c r="B116" s="0" t="s">
        <v>227</v>
      </c>
      <c r="C116" s="0" t="s">
        <v>227</v>
      </c>
      <c r="D116" s="0" t="s">
        <v>227</v>
      </c>
      <c r="E116" s="0" t="s">
        <v>227</v>
      </c>
      <c r="F116" s="0" t="s">
        <v>227</v>
      </c>
      <c r="G116" s="0" t="s">
        <v>227</v>
      </c>
      <c r="H116" s="0" t="s">
        <v>227</v>
      </c>
      <c r="I116" s="0" t="s">
        <v>5667</v>
      </c>
      <c r="J116" s="0" t="s">
        <v>227</v>
      </c>
      <c r="K116" s="0" t="s">
        <v>227</v>
      </c>
      <c r="L116" s="0" t="s">
        <v>227</v>
      </c>
      <c r="M116" s="0" t="s">
        <v>227</v>
      </c>
      <c r="N116" s="0" t="s">
        <v>227</v>
      </c>
      <c r="O116" s="0" t="s">
        <v>227</v>
      </c>
      <c r="P116" s="0" t="s">
        <v>227</v>
      </c>
      <c r="Q116" s="0" t="s">
        <v>227</v>
      </c>
      <c r="R116" s="0" t="s">
        <v>533</v>
      </c>
      <c r="S116" s="0" t="s">
        <v>227</v>
      </c>
      <c r="T116" s="0" t="s">
        <v>227</v>
      </c>
      <c r="U116" s="0" t="s">
        <v>102</v>
      </c>
      <c r="V116" s="0" t="s">
        <v>227</v>
      </c>
      <c r="W116" s="0" t="s">
        <v>227</v>
      </c>
      <c r="X116" s="0" t="s">
        <v>5683</v>
      </c>
      <c r="Y116" s="0" t="s">
        <v>227</v>
      </c>
      <c r="Z116" s="0" t="s">
        <v>152</v>
      </c>
      <c r="AA116" s="0" t="s">
        <v>152</v>
      </c>
      <c r="AB116" s="0" t="s">
        <v>161</v>
      </c>
      <c r="AC116" s="0" t="s">
        <v>354</v>
      </c>
      <c r="AD116" s="0" t="s">
        <v>354</v>
      </c>
      <c r="AE116" s="0" t="s">
        <v>355</v>
      </c>
      <c r="AF116" s="0" t="s">
        <v>5684</v>
      </c>
      <c r="AG116" s="0" t="s">
        <v>5685</v>
      </c>
      <c r="AH116" s="0" t="s">
        <v>6005</v>
      </c>
      <c r="AI116" s="0" t="s">
        <v>6037</v>
      </c>
      <c r="AJ116" s="0" t="s">
        <v>227</v>
      </c>
      <c r="AK116" s="0" t="s">
        <v>227</v>
      </c>
      <c r="AL116" s="0" t="s">
        <v>227</v>
      </c>
      <c r="AM116" s="0" t="s">
        <v>227</v>
      </c>
      <c r="AN116" s="0" t="s">
        <v>227</v>
      </c>
      <c r="AO116" s="0" t="s">
        <v>227</v>
      </c>
      <c r="AP116" s="0" t="s">
        <v>227</v>
      </c>
      <c r="AQ116" s="0" t="s">
        <v>227</v>
      </c>
      <c r="AR116" s="0" t="s">
        <v>227</v>
      </c>
      <c r="AS116" s="0" t="s">
        <v>227</v>
      </c>
      <c r="AT116" s="0" t="s">
        <v>227</v>
      </c>
      <c r="AU116" s="0" t="s">
        <v>227</v>
      </c>
      <c r="AV116" s="0" t="s">
        <v>227</v>
      </c>
      <c r="AW116" s="0" t="s">
        <v>227</v>
      </c>
      <c r="AX116" s="0" t="s">
        <v>227</v>
      </c>
      <c r="AY116" s="0" t="s">
        <v>227</v>
      </c>
      <c r="AZ116" s="0" t="s">
        <v>227</v>
      </c>
      <c r="BA116" s="0" t="s">
        <v>227</v>
      </c>
      <c r="BB116" s="0" t="s">
        <v>227</v>
      </c>
      <c r="BC116" s="0" t="s">
        <v>227</v>
      </c>
      <c r="BD116" s="0" t="s">
        <v>227</v>
      </c>
      <c r="BE116" s="0" t="s">
        <v>5971</v>
      </c>
      <c r="BF116" s="0" t="s">
        <v>6038</v>
      </c>
      <c r="BG116" s="0" t="s">
        <v>112</v>
      </c>
      <c r="BH116" s="0" t="s">
        <v>5690</v>
      </c>
      <c r="BI116" s="0" t="s">
        <v>5691</v>
      </c>
      <c r="BJ116" s="0" t="s">
        <v>227</v>
      </c>
      <c r="BK116" s="0" t="s">
        <v>5692</v>
      </c>
      <c r="BL116" s="0" t="s">
        <v>354</v>
      </c>
      <c r="BM116" s="0" t="s">
        <v>354</v>
      </c>
      <c r="BN116" s="0" t="s">
        <v>5693</v>
      </c>
      <c r="BO116" s="0" t="s">
        <v>5684</v>
      </c>
      <c r="BP116" s="0" t="s">
        <v>5694</v>
      </c>
      <c r="BQ116" s="0" t="s">
        <v>5692</v>
      </c>
      <c r="BR116" s="0" t="s">
        <v>5692</v>
      </c>
      <c r="BS116" s="0" t="s">
        <v>227</v>
      </c>
      <c r="BT116" s="0" t="s">
        <v>5709</v>
      </c>
      <c r="BU116" s="0" t="s">
        <v>5850</v>
      </c>
      <c r="BV116" s="0" t="s">
        <v>5850</v>
      </c>
      <c r="BW116" s="0" t="s">
        <v>5697</v>
      </c>
      <c r="BX116" s="0" t="s">
        <v>5697</v>
      </c>
      <c r="BY116" s="0" t="s">
        <v>5697</v>
      </c>
      <c r="BZ116" s="0" t="s">
        <v>5697</v>
      </c>
      <c r="CA116" s="0" t="s">
        <v>5697</v>
      </c>
      <c r="CB116" s="0" t="s">
        <v>227</v>
      </c>
      <c r="CC116" s="0" t="s">
        <v>227</v>
      </c>
      <c r="CD116" s="0" t="s">
        <v>227</v>
      </c>
      <c r="CE116" s="0" t="s">
        <v>227</v>
      </c>
      <c r="CF116" s="0" t="s">
        <v>227</v>
      </c>
      <c r="CG116" s="0" t="s">
        <v>5697</v>
      </c>
      <c r="CH116" s="0" t="s">
        <v>227</v>
      </c>
      <c r="CI116" s="0" t="s">
        <v>227</v>
      </c>
      <c r="CJ116" s="0" t="s">
        <v>227</v>
      </c>
      <c r="CK116" s="0" t="s">
        <v>227</v>
      </c>
      <c r="CL116" s="0" t="s">
        <v>227</v>
      </c>
      <c r="CM116" s="0" t="s">
        <v>5850</v>
      </c>
      <c r="CN116" s="0" t="s">
        <v>5850</v>
      </c>
      <c r="CO116" s="0" t="s">
        <v>227</v>
      </c>
      <c r="CP116" s="0" t="s">
        <v>227</v>
      </c>
      <c r="CQ116" s="0" t="s">
        <v>227</v>
      </c>
      <c r="CR116" s="0" t="s">
        <v>227</v>
      </c>
      <c r="CS116" s="0" t="s">
        <v>5698</v>
      </c>
      <c r="CT116" s="0" t="s">
        <v>5679</v>
      </c>
      <c r="CU116" s="0" t="s">
        <v>5680</v>
      </c>
      <c r="CV116" s="0" t="s">
        <v>430</v>
      </c>
      <c r="CW116" s="0" t="s">
        <v>5699</v>
      </c>
      <c r="CX116" s="0" t="s">
        <v>431</v>
      </c>
      <c r="CY116" s="0" t="s">
        <v>430</v>
      </c>
      <c r="CZ116" s="0" t="s">
        <v>432</v>
      </c>
      <c r="DA116" s="0" t="s">
        <v>433</v>
      </c>
      <c r="DB116" s="0" t="s">
        <v>5700</v>
      </c>
      <c r="DC116" s="0" t="s">
        <v>373</v>
      </c>
      <c r="DD116" s="0" t="s">
        <v>277</v>
      </c>
      <c r="DE116" s="0" t="s">
        <v>534</v>
      </c>
    </row>
    <row customHeight="1" ht="11.25">
      <c r="A117" s="1806" t="s">
        <v>227</v>
      </c>
      <c r="B117" s="0" t="s">
        <v>227</v>
      </c>
      <c r="C117" s="0" t="s">
        <v>227</v>
      </c>
      <c r="D117" s="0" t="s">
        <v>227</v>
      </c>
      <c r="E117" s="0" t="s">
        <v>227</v>
      </c>
      <c r="F117" s="0" t="s">
        <v>227</v>
      </c>
      <c r="G117" s="0" t="s">
        <v>227</v>
      </c>
      <c r="H117" s="0" t="s">
        <v>227</v>
      </c>
      <c r="I117" s="0" t="s">
        <v>5667</v>
      </c>
      <c r="J117" s="0" t="s">
        <v>227</v>
      </c>
      <c r="K117" s="0" t="s">
        <v>227</v>
      </c>
      <c r="L117" s="0" t="s">
        <v>227</v>
      </c>
      <c r="M117" s="0" t="s">
        <v>227</v>
      </c>
      <c r="N117" s="0" t="s">
        <v>227</v>
      </c>
      <c r="O117" s="0" t="s">
        <v>227</v>
      </c>
      <c r="P117" s="0" t="s">
        <v>227</v>
      </c>
      <c r="Q117" s="0" t="s">
        <v>227</v>
      </c>
      <c r="R117" s="0" t="s">
        <v>530</v>
      </c>
      <c r="S117" s="0" t="s">
        <v>227</v>
      </c>
      <c r="T117" s="0" t="s">
        <v>227</v>
      </c>
      <c r="U117" s="0" t="s">
        <v>102</v>
      </c>
      <c r="V117" s="0" t="s">
        <v>227</v>
      </c>
      <c r="W117" s="0" t="s">
        <v>227</v>
      </c>
      <c r="X117" s="0" t="s">
        <v>5683</v>
      </c>
      <c r="Y117" s="0" t="s">
        <v>227</v>
      </c>
      <c r="Z117" s="0" t="s">
        <v>152</v>
      </c>
      <c r="AA117" s="0" t="s">
        <v>152</v>
      </c>
      <c r="AB117" s="0" t="s">
        <v>161</v>
      </c>
      <c r="AC117" s="0" t="s">
        <v>354</v>
      </c>
      <c r="AD117" s="0" t="s">
        <v>354</v>
      </c>
      <c r="AE117" s="0" t="s">
        <v>355</v>
      </c>
      <c r="AF117" s="0" t="s">
        <v>5684</v>
      </c>
      <c r="AG117" s="0" t="s">
        <v>5685</v>
      </c>
      <c r="AH117" s="0" t="s">
        <v>6005</v>
      </c>
      <c r="AI117" s="0" t="s">
        <v>6039</v>
      </c>
      <c r="AJ117" s="0" t="s">
        <v>227</v>
      </c>
      <c r="AK117" s="0" t="s">
        <v>227</v>
      </c>
      <c r="AL117" s="0" t="s">
        <v>227</v>
      </c>
      <c r="AM117" s="0" t="s">
        <v>227</v>
      </c>
      <c r="AN117" s="0" t="s">
        <v>227</v>
      </c>
      <c r="AO117" s="0" t="s">
        <v>227</v>
      </c>
      <c r="AP117" s="0" t="s">
        <v>227</v>
      </c>
      <c r="AQ117" s="0" t="s">
        <v>227</v>
      </c>
      <c r="AR117" s="0" t="s">
        <v>227</v>
      </c>
      <c r="AS117" s="0" t="s">
        <v>227</v>
      </c>
      <c r="AT117" s="0" t="s">
        <v>227</v>
      </c>
      <c r="AU117" s="0" t="s">
        <v>227</v>
      </c>
      <c r="AV117" s="0" t="s">
        <v>227</v>
      </c>
      <c r="AW117" s="0" t="s">
        <v>227</v>
      </c>
      <c r="AX117" s="0" t="s">
        <v>227</v>
      </c>
      <c r="AY117" s="0" t="s">
        <v>227</v>
      </c>
      <c r="AZ117" s="0" t="s">
        <v>227</v>
      </c>
      <c r="BA117" s="0" t="s">
        <v>227</v>
      </c>
      <c r="BB117" s="0" t="s">
        <v>227</v>
      </c>
      <c r="BC117" s="0" t="s">
        <v>227</v>
      </c>
      <c r="BD117" s="0" t="s">
        <v>227</v>
      </c>
      <c r="BE117" s="0" t="s">
        <v>5971</v>
      </c>
      <c r="BF117" s="0" t="s">
        <v>6038</v>
      </c>
      <c r="BG117" s="0" t="s">
        <v>112</v>
      </c>
      <c r="BH117" s="0" t="s">
        <v>5690</v>
      </c>
      <c r="BI117" s="0" t="s">
        <v>5691</v>
      </c>
      <c r="BJ117" s="0" t="s">
        <v>227</v>
      </c>
      <c r="BK117" s="0" t="s">
        <v>5692</v>
      </c>
      <c r="BL117" s="0" t="s">
        <v>354</v>
      </c>
      <c r="BM117" s="0" t="s">
        <v>354</v>
      </c>
      <c r="BN117" s="0" t="s">
        <v>5693</v>
      </c>
      <c r="BO117" s="0" t="s">
        <v>5684</v>
      </c>
      <c r="BP117" s="0" t="s">
        <v>5694</v>
      </c>
      <c r="BQ117" s="0" t="s">
        <v>5692</v>
      </c>
      <c r="BR117" s="0" t="s">
        <v>5692</v>
      </c>
      <c r="BS117" s="0" t="s">
        <v>227</v>
      </c>
      <c r="BT117" s="0" t="s">
        <v>5709</v>
      </c>
      <c r="BU117" s="0" t="s">
        <v>6040</v>
      </c>
      <c r="BV117" s="0" t="s">
        <v>6040</v>
      </c>
      <c r="BW117" s="0" t="s">
        <v>5697</v>
      </c>
      <c r="BX117" s="0" t="s">
        <v>5697</v>
      </c>
      <c r="BY117" s="0" t="s">
        <v>5697</v>
      </c>
      <c r="BZ117" s="0" t="s">
        <v>5697</v>
      </c>
      <c r="CA117" s="0" t="s">
        <v>5697</v>
      </c>
      <c r="CB117" s="0" t="s">
        <v>227</v>
      </c>
      <c r="CC117" s="0" t="s">
        <v>227</v>
      </c>
      <c r="CD117" s="0" t="s">
        <v>227</v>
      </c>
      <c r="CE117" s="0" t="s">
        <v>227</v>
      </c>
      <c r="CF117" s="0" t="s">
        <v>227</v>
      </c>
      <c r="CG117" s="0" t="s">
        <v>5697</v>
      </c>
      <c r="CH117" s="0" t="s">
        <v>227</v>
      </c>
      <c r="CI117" s="0" t="s">
        <v>227</v>
      </c>
      <c r="CJ117" s="0" t="s">
        <v>227</v>
      </c>
      <c r="CK117" s="0" t="s">
        <v>227</v>
      </c>
      <c r="CL117" s="0" t="s">
        <v>227</v>
      </c>
      <c r="CM117" s="0" t="s">
        <v>6040</v>
      </c>
      <c r="CN117" s="0" t="s">
        <v>6040</v>
      </c>
      <c r="CO117" s="0" t="s">
        <v>227</v>
      </c>
      <c r="CP117" s="0" t="s">
        <v>227</v>
      </c>
      <c r="CQ117" s="0" t="s">
        <v>227</v>
      </c>
      <c r="CR117" s="0" t="s">
        <v>227</v>
      </c>
      <c r="CS117" s="0" t="s">
        <v>5698</v>
      </c>
      <c r="CT117" s="0" t="s">
        <v>5679</v>
      </c>
      <c r="CU117" s="0" t="s">
        <v>5680</v>
      </c>
      <c r="CV117" s="0" t="s">
        <v>430</v>
      </c>
      <c r="CW117" s="0" t="s">
        <v>5699</v>
      </c>
      <c r="CX117" s="0" t="s">
        <v>431</v>
      </c>
      <c r="CY117" s="0" t="s">
        <v>430</v>
      </c>
      <c r="CZ117" s="0" t="s">
        <v>432</v>
      </c>
      <c r="DA117" s="0" t="s">
        <v>433</v>
      </c>
      <c r="DB117" s="0" t="s">
        <v>5700</v>
      </c>
      <c r="DC117" s="0" t="s">
        <v>373</v>
      </c>
      <c r="DD117" s="0" t="s">
        <v>277</v>
      </c>
      <c r="DE117" s="0" t="s">
        <v>531</v>
      </c>
    </row>
    <row customHeight="1" ht="11.25">
      <c r="A118" s="1806" t="s">
        <v>227</v>
      </c>
      <c r="B118" s="0" t="s">
        <v>227</v>
      </c>
      <c r="C118" s="0" t="s">
        <v>227</v>
      </c>
      <c r="D118" s="0" t="s">
        <v>227</v>
      </c>
      <c r="E118" s="0" t="s">
        <v>227</v>
      </c>
      <c r="F118" s="0" t="s">
        <v>227</v>
      </c>
      <c r="G118" s="0" t="s">
        <v>227</v>
      </c>
      <c r="H118" s="0" t="s">
        <v>227</v>
      </c>
      <c r="I118" s="0" t="s">
        <v>5667</v>
      </c>
      <c r="J118" s="0" t="s">
        <v>227</v>
      </c>
      <c r="K118" s="0" t="s">
        <v>227</v>
      </c>
      <c r="L118" s="0" t="s">
        <v>227</v>
      </c>
      <c r="M118" s="0" t="s">
        <v>227</v>
      </c>
      <c r="N118" s="0" t="s">
        <v>227</v>
      </c>
      <c r="O118" s="0" t="s">
        <v>227</v>
      </c>
      <c r="P118" s="0" t="s">
        <v>227</v>
      </c>
      <c r="Q118" s="0" t="s">
        <v>227</v>
      </c>
      <c r="R118" s="0" t="s">
        <v>660</v>
      </c>
      <c r="S118" s="0" t="s">
        <v>227</v>
      </c>
      <c r="T118" s="0" t="s">
        <v>227</v>
      </c>
      <c r="U118" s="0" t="s">
        <v>102</v>
      </c>
      <c r="V118" s="0" t="s">
        <v>227</v>
      </c>
      <c r="W118" s="0" t="s">
        <v>227</v>
      </c>
      <c r="X118" s="0" t="s">
        <v>5683</v>
      </c>
      <c r="Y118" s="0" t="s">
        <v>227</v>
      </c>
      <c r="Z118" s="0" t="s">
        <v>152</v>
      </c>
      <c r="AA118" s="0" t="s">
        <v>152</v>
      </c>
      <c r="AB118" s="0" t="s">
        <v>161</v>
      </c>
      <c r="AC118" s="0" t="s">
        <v>354</v>
      </c>
      <c r="AD118" s="0" t="s">
        <v>354</v>
      </c>
      <c r="AE118" s="0" t="s">
        <v>355</v>
      </c>
      <c r="AF118" s="0" t="s">
        <v>5684</v>
      </c>
      <c r="AG118" s="0" t="s">
        <v>5685</v>
      </c>
      <c r="AH118" s="0" t="s">
        <v>6041</v>
      </c>
      <c r="AI118" s="0" t="s">
        <v>6042</v>
      </c>
      <c r="AJ118" s="0" t="s">
        <v>227</v>
      </c>
      <c r="AK118" s="0" t="s">
        <v>227</v>
      </c>
      <c r="AL118" s="0" t="s">
        <v>227</v>
      </c>
      <c r="AM118" s="0" t="s">
        <v>227</v>
      </c>
      <c r="AN118" s="0" t="s">
        <v>227</v>
      </c>
      <c r="AO118" s="0" t="s">
        <v>227</v>
      </c>
      <c r="AP118" s="0" t="s">
        <v>227</v>
      </c>
      <c r="AQ118" s="0" t="s">
        <v>227</v>
      </c>
      <c r="AR118" s="0" t="s">
        <v>227</v>
      </c>
      <c r="AS118" s="0" t="s">
        <v>227</v>
      </c>
      <c r="AT118" s="0" t="s">
        <v>227</v>
      </c>
      <c r="AU118" s="0" t="s">
        <v>227</v>
      </c>
      <c r="AV118" s="0" t="s">
        <v>227</v>
      </c>
      <c r="AW118" s="0" t="s">
        <v>227</v>
      </c>
      <c r="AX118" s="0" t="s">
        <v>227</v>
      </c>
      <c r="AY118" s="0" t="s">
        <v>227</v>
      </c>
      <c r="AZ118" s="0" t="s">
        <v>227</v>
      </c>
      <c r="BA118" s="0" t="s">
        <v>227</v>
      </c>
      <c r="BB118" s="0" t="s">
        <v>227</v>
      </c>
      <c r="BC118" s="0" t="s">
        <v>227</v>
      </c>
      <c r="BD118" s="0" t="s">
        <v>227</v>
      </c>
      <c r="BE118" s="0" t="s">
        <v>5716</v>
      </c>
      <c r="BF118" s="0" t="s">
        <v>5856</v>
      </c>
      <c r="BG118" s="0" t="s">
        <v>112</v>
      </c>
      <c r="BH118" s="0" t="s">
        <v>5690</v>
      </c>
      <c r="BI118" s="0" t="s">
        <v>5691</v>
      </c>
      <c r="BJ118" s="0" t="s">
        <v>227</v>
      </c>
      <c r="BK118" s="0" t="s">
        <v>5692</v>
      </c>
      <c r="BL118" s="0" t="s">
        <v>354</v>
      </c>
      <c r="BM118" s="0" t="s">
        <v>354</v>
      </c>
      <c r="BN118" s="0" t="s">
        <v>5693</v>
      </c>
      <c r="BO118" s="0" t="s">
        <v>5684</v>
      </c>
      <c r="BP118" s="0" t="s">
        <v>5694</v>
      </c>
      <c r="BQ118" s="0" t="s">
        <v>5692</v>
      </c>
      <c r="BR118" s="0" t="s">
        <v>5692</v>
      </c>
      <c r="BS118" s="0" t="s">
        <v>227</v>
      </c>
      <c r="BT118" s="0" t="s">
        <v>5695</v>
      </c>
      <c r="BU118" s="0" t="s">
        <v>5713</v>
      </c>
      <c r="BV118" s="0" t="s">
        <v>5713</v>
      </c>
      <c r="BW118" s="0" t="s">
        <v>5697</v>
      </c>
      <c r="BX118" s="0" t="s">
        <v>5697</v>
      </c>
      <c r="BY118" s="0" t="s">
        <v>5697</v>
      </c>
      <c r="BZ118" s="0" t="s">
        <v>5697</v>
      </c>
      <c r="CA118" s="0" t="s">
        <v>5697</v>
      </c>
      <c r="CB118" s="0" t="s">
        <v>227</v>
      </c>
      <c r="CC118" s="0" t="s">
        <v>227</v>
      </c>
      <c r="CD118" s="0" t="s">
        <v>227</v>
      </c>
      <c r="CE118" s="0" t="s">
        <v>227</v>
      </c>
      <c r="CF118" s="0" t="s">
        <v>227</v>
      </c>
      <c r="CG118" s="0" t="s">
        <v>5697</v>
      </c>
      <c r="CH118" s="0" t="s">
        <v>227</v>
      </c>
      <c r="CI118" s="0" t="s">
        <v>227</v>
      </c>
      <c r="CJ118" s="0" t="s">
        <v>227</v>
      </c>
      <c r="CK118" s="0" t="s">
        <v>227</v>
      </c>
      <c r="CL118" s="0" t="s">
        <v>227</v>
      </c>
      <c r="CM118" s="0" t="s">
        <v>5713</v>
      </c>
      <c r="CN118" s="0" t="s">
        <v>5713</v>
      </c>
      <c r="CO118" s="0" t="s">
        <v>227</v>
      </c>
      <c r="CP118" s="0" t="s">
        <v>227</v>
      </c>
      <c r="CQ118" s="0" t="s">
        <v>227</v>
      </c>
      <c r="CR118" s="0" t="s">
        <v>227</v>
      </c>
      <c r="CS118" s="0" t="s">
        <v>5705</v>
      </c>
      <c r="CT118" s="0" t="s">
        <v>5679</v>
      </c>
      <c r="CU118" s="0" t="s">
        <v>5680</v>
      </c>
      <c r="CV118" s="0" t="s">
        <v>430</v>
      </c>
      <c r="CW118" s="0" t="s">
        <v>5699</v>
      </c>
      <c r="CX118" s="0" t="s">
        <v>431</v>
      </c>
      <c r="CY118" s="0" t="s">
        <v>430</v>
      </c>
      <c r="CZ118" s="0" t="s">
        <v>432</v>
      </c>
      <c r="DA118" s="0" t="s">
        <v>433</v>
      </c>
      <c r="DB118" s="0" t="s">
        <v>5700</v>
      </c>
      <c r="DC118" s="0" t="s">
        <v>373</v>
      </c>
      <c r="DD118" s="0" t="s">
        <v>277</v>
      </c>
      <c r="DE118" s="0" t="s">
        <v>661</v>
      </c>
    </row>
    <row customHeight="1" ht="11.25">
      <c r="A119" s="1806" t="s">
        <v>227</v>
      </c>
      <c r="B119" s="0" t="s">
        <v>227</v>
      </c>
      <c r="C119" s="0" t="s">
        <v>227</v>
      </c>
      <c r="D119" s="0" t="s">
        <v>227</v>
      </c>
      <c r="E119" s="0" t="s">
        <v>227</v>
      </c>
      <c r="F119" s="0" t="s">
        <v>227</v>
      </c>
      <c r="G119" s="0" t="s">
        <v>227</v>
      </c>
      <c r="H119" s="0" t="s">
        <v>227</v>
      </c>
      <c r="I119" s="0" t="s">
        <v>5667</v>
      </c>
      <c r="J119" s="0" t="s">
        <v>227</v>
      </c>
      <c r="K119" s="0" t="s">
        <v>227</v>
      </c>
      <c r="L119" s="0" t="s">
        <v>227</v>
      </c>
      <c r="M119" s="0" t="s">
        <v>227</v>
      </c>
      <c r="N119" s="0" t="s">
        <v>227</v>
      </c>
      <c r="O119" s="0" t="s">
        <v>227</v>
      </c>
      <c r="P119" s="0" t="s">
        <v>227</v>
      </c>
      <c r="Q119" s="0" t="s">
        <v>227</v>
      </c>
      <c r="R119" s="0" t="s">
        <v>470</v>
      </c>
      <c r="S119" s="0" t="s">
        <v>227</v>
      </c>
      <c r="T119" s="0" t="s">
        <v>227</v>
      </c>
      <c r="U119" s="0" t="s">
        <v>102</v>
      </c>
      <c r="V119" s="0" t="s">
        <v>227</v>
      </c>
      <c r="W119" s="0" t="s">
        <v>227</v>
      </c>
      <c r="X119" s="0" t="s">
        <v>5683</v>
      </c>
      <c r="Y119" s="0" t="s">
        <v>227</v>
      </c>
      <c r="Z119" s="0" t="s">
        <v>152</v>
      </c>
      <c r="AA119" s="0" t="s">
        <v>152</v>
      </c>
      <c r="AB119" s="0" t="s">
        <v>161</v>
      </c>
      <c r="AC119" s="0" t="s">
        <v>354</v>
      </c>
      <c r="AD119" s="0" t="s">
        <v>354</v>
      </c>
      <c r="AE119" s="0" t="s">
        <v>355</v>
      </c>
      <c r="AF119" s="0" t="s">
        <v>5684</v>
      </c>
      <c r="AG119" s="0" t="s">
        <v>5685</v>
      </c>
      <c r="AH119" s="0" t="s">
        <v>5692</v>
      </c>
      <c r="AI119" s="0" t="s">
        <v>5692</v>
      </c>
      <c r="AJ119" s="0" t="s">
        <v>227</v>
      </c>
      <c r="AK119" s="0" t="s">
        <v>227</v>
      </c>
      <c r="AL119" s="0" t="s">
        <v>227</v>
      </c>
      <c r="AM119" s="0" t="s">
        <v>227</v>
      </c>
      <c r="AN119" s="0" t="s">
        <v>227</v>
      </c>
      <c r="AO119" s="0" t="s">
        <v>227</v>
      </c>
      <c r="AP119" s="0" t="s">
        <v>227</v>
      </c>
      <c r="AQ119" s="0" t="s">
        <v>227</v>
      </c>
      <c r="AR119" s="0" t="s">
        <v>227</v>
      </c>
      <c r="AS119" s="0" t="s">
        <v>227</v>
      </c>
      <c r="AT119" s="0" t="s">
        <v>227</v>
      </c>
      <c r="AU119" s="0" t="s">
        <v>227</v>
      </c>
      <c r="AV119" s="0" t="s">
        <v>227</v>
      </c>
      <c r="AW119" s="0" t="s">
        <v>227</v>
      </c>
      <c r="AX119" s="0" t="s">
        <v>227</v>
      </c>
      <c r="AY119" s="0" t="s">
        <v>227</v>
      </c>
      <c r="AZ119" s="0" t="s">
        <v>227</v>
      </c>
      <c r="BA119" s="0" t="s">
        <v>227</v>
      </c>
      <c r="BB119" s="0" t="s">
        <v>227</v>
      </c>
      <c r="BC119" s="0" t="s">
        <v>227</v>
      </c>
      <c r="BD119" s="0" t="s">
        <v>227</v>
      </c>
      <c r="BE119" s="0" t="s">
        <v>5704</v>
      </c>
      <c r="BF119" s="0" t="s">
        <v>5773</v>
      </c>
      <c r="BG119" s="0" t="s">
        <v>112</v>
      </c>
      <c r="BH119" s="0" t="s">
        <v>5690</v>
      </c>
      <c r="BI119" s="0" t="s">
        <v>5691</v>
      </c>
      <c r="BJ119" s="0" t="s">
        <v>227</v>
      </c>
      <c r="BK119" s="0" t="s">
        <v>5692</v>
      </c>
      <c r="BL119" s="0" t="s">
        <v>354</v>
      </c>
      <c r="BM119" s="0" t="s">
        <v>354</v>
      </c>
      <c r="BN119" s="0" t="s">
        <v>5693</v>
      </c>
      <c r="BO119" s="0" t="s">
        <v>5684</v>
      </c>
      <c r="BP119" s="0" t="s">
        <v>5694</v>
      </c>
      <c r="BQ119" s="0" t="s">
        <v>5692</v>
      </c>
      <c r="BR119" s="0" t="s">
        <v>5692</v>
      </c>
      <c r="BS119" s="0" t="s">
        <v>227</v>
      </c>
      <c r="BT119" s="0" t="s">
        <v>5712</v>
      </c>
      <c r="BU119" s="0" t="s">
        <v>5745</v>
      </c>
      <c r="BV119" s="0" t="s">
        <v>5745</v>
      </c>
      <c r="BW119" s="0" t="s">
        <v>5697</v>
      </c>
      <c r="BX119" s="0" t="s">
        <v>5697</v>
      </c>
      <c r="BY119" s="0" t="s">
        <v>5697</v>
      </c>
      <c r="BZ119" s="0" t="s">
        <v>5697</v>
      </c>
      <c r="CA119" s="0" t="s">
        <v>5697</v>
      </c>
      <c r="CB119" s="0" t="s">
        <v>227</v>
      </c>
      <c r="CC119" s="0" t="s">
        <v>227</v>
      </c>
      <c r="CD119" s="0" t="s">
        <v>227</v>
      </c>
      <c r="CE119" s="0" t="s">
        <v>227</v>
      </c>
      <c r="CF119" s="0" t="s">
        <v>227</v>
      </c>
      <c r="CG119" s="0" t="s">
        <v>5697</v>
      </c>
      <c r="CH119" s="0" t="s">
        <v>227</v>
      </c>
      <c r="CI119" s="0" t="s">
        <v>227</v>
      </c>
      <c r="CJ119" s="0" t="s">
        <v>227</v>
      </c>
      <c r="CK119" s="0" t="s">
        <v>227</v>
      </c>
      <c r="CL119" s="0" t="s">
        <v>227</v>
      </c>
      <c r="CM119" s="0" t="s">
        <v>5745</v>
      </c>
      <c r="CN119" s="0" t="s">
        <v>5745</v>
      </c>
      <c r="CO119" s="0" t="s">
        <v>227</v>
      </c>
      <c r="CP119" s="0" t="s">
        <v>227</v>
      </c>
      <c r="CQ119" s="0" t="s">
        <v>227</v>
      </c>
      <c r="CR119" s="0" t="s">
        <v>227</v>
      </c>
      <c r="CS119" s="0" t="s">
        <v>5698</v>
      </c>
      <c r="CT119" s="0" t="s">
        <v>5679</v>
      </c>
      <c r="CU119" s="0" t="s">
        <v>5680</v>
      </c>
      <c r="CV119" s="0" t="s">
        <v>430</v>
      </c>
      <c r="CW119" s="0" t="s">
        <v>5699</v>
      </c>
      <c r="CX119" s="0" t="s">
        <v>431</v>
      </c>
      <c r="CY119" s="0" t="s">
        <v>430</v>
      </c>
      <c r="CZ119" s="0" t="s">
        <v>432</v>
      </c>
      <c r="DA119" s="0" t="s">
        <v>433</v>
      </c>
      <c r="DB119" s="0" t="s">
        <v>5700</v>
      </c>
      <c r="DC119" s="0" t="s">
        <v>373</v>
      </c>
      <c r="DD119" s="0" t="s">
        <v>277</v>
      </c>
      <c r="DE119" s="0" t="s">
        <v>471</v>
      </c>
    </row>
    <row customHeight="1" ht="11.25">
      <c r="A120" s="1806" t="s">
        <v>227</v>
      </c>
      <c r="B120" s="0" t="s">
        <v>227</v>
      </c>
      <c r="C120" s="0" t="s">
        <v>227</v>
      </c>
      <c r="D120" s="0" t="s">
        <v>227</v>
      </c>
      <c r="E120" s="0" t="s">
        <v>227</v>
      </c>
      <c r="F120" s="0" t="s">
        <v>227</v>
      </c>
      <c r="G120" s="0" t="s">
        <v>227</v>
      </c>
      <c r="H120" s="0" t="s">
        <v>227</v>
      </c>
      <c r="I120" s="0" t="s">
        <v>5667</v>
      </c>
      <c r="J120" s="0" t="s">
        <v>227</v>
      </c>
      <c r="K120" s="0" t="s">
        <v>227</v>
      </c>
      <c r="L120" s="0" t="s">
        <v>227</v>
      </c>
      <c r="M120" s="0" t="s">
        <v>227</v>
      </c>
      <c r="N120" s="0" t="s">
        <v>227</v>
      </c>
      <c r="O120" s="0" t="s">
        <v>227</v>
      </c>
      <c r="P120" s="0" t="s">
        <v>227</v>
      </c>
      <c r="Q120" s="0" t="s">
        <v>227</v>
      </c>
      <c r="R120" s="0" t="s">
        <v>762</v>
      </c>
      <c r="S120" s="0" t="s">
        <v>227</v>
      </c>
      <c r="T120" s="0" t="s">
        <v>227</v>
      </c>
      <c r="U120" s="0" t="s">
        <v>102</v>
      </c>
      <c r="V120" s="0" t="s">
        <v>227</v>
      </c>
      <c r="W120" s="0" t="s">
        <v>227</v>
      </c>
      <c r="X120" s="0" t="s">
        <v>5683</v>
      </c>
      <c r="Y120" s="0" t="s">
        <v>227</v>
      </c>
      <c r="Z120" s="0" t="s">
        <v>152</v>
      </c>
      <c r="AA120" s="0" t="s">
        <v>152</v>
      </c>
      <c r="AB120" s="0" t="s">
        <v>161</v>
      </c>
      <c r="AC120" s="0" t="s">
        <v>354</v>
      </c>
      <c r="AD120" s="0" t="s">
        <v>354</v>
      </c>
      <c r="AE120" s="0" t="s">
        <v>355</v>
      </c>
      <c r="AF120" s="0" t="s">
        <v>5701</v>
      </c>
      <c r="AG120" s="0" t="s">
        <v>5702</v>
      </c>
      <c r="AH120" s="0" t="s">
        <v>6043</v>
      </c>
      <c r="AI120" s="0" t="s">
        <v>5692</v>
      </c>
      <c r="AJ120" s="0" t="s">
        <v>227</v>
      </c>
      <c r="AK120" s="0" t="s">
        <v>227</v>
      </c>
      <c r="AL120" s="0" t="s">
        <v>227</v>
      </c>
      <c r="AM120" s="0" t="s">
        <v>227</v>
      </c>
      <c r="AN120" s="0" t="s">
        <v>227</v>
      </c>
      <c r="AO120" s="0" t="s">
        <v>227</v>
      </c>
      <c r="AP120" s="0" t="s">
        <v>227</v>
      </c>
      <c r="AQ120" s="0" t="s">
        <v>227</v>
      </c>
      <c r="AR120" s="0" t="s">
        <v>227</v>
      </c>
      <c r="AS120" s="0" t="s">
        <v>227</v>
      </c>
      <c r="AT120" s="0" t="s">
        <v>227</v>
      </c>
      <c r="AU120" s="0" t="s">
        <v>227</v>
      </c>
      <c r="AV120" s="0" t="s">
        <v>227</v>
      </c>
      <c r="AW120" s="0" t="s">
        <v>227</v>
      </c>
      <c r="AX120" s="0" t="s">
        <v>227</v>
      </c>
      <c r="AY120" s="0" t="s">
        <v>227</v>
      </c>
      <c r="AZ120" s="0" t="s">
        <v>227</v>
      </c>
      <c r="BA120" s="0" t="s">
        <v>227</v>
      </c>
      <c r="BB120" s="0" t="s">
        <v>227</v>
      </c>
      <c r="BC120" s="0" t="s">
        <v>227</v>
      </c>
      <c r="BD120" s="0" t="s">
        <v>227</v>
      </c>
      <c r="BE120" s="0" t="s">
        <v>5728</v>
      </c>
      <c r="BF120" s="0" t="s">
        <v>5757</v>
      </c>
      <c r="BG120" s="0" t="s">
        <v>112</v>
      </c>
      <c r="BH120" s="0" t="s">
        <v>5690</v>
      </c>
      <c r="BI120" s="0" t="s">
        <v>5691</v>
      </c>
      <c r="BJ120" s="0" t="s">
        <v>227</v>
      </c>
      <c r="BK120" s="0" t="s">
        <v>952</v>
      </c>
      <c r="BL120" s="0" t="s">
        <v>354</v>
      </c>
      <c r="BM120" s="0" t="s">
        <v>354</v>
      </c>
      <c r="BN120" s="0" t="s">
        <v>5693</v>
      </c>
      <c r="BO120" s="0" t="s">
        <v>5701</v>
      </c>
      <c r="BP120" s="0" t="s">
        <v>5706</v>
      </c>
      <c r="BQ120" s="0" t="s">
        <v>5707</v>
      </c>
      <c r="BR120" s="0" t="s">
        <v>5708</v>
      </c>
      <c r="BS120" s="0" t="s">
        <v>227</v>
      </c>
      <c r="BT120" s="0" t="s">
        <v>5695</v>
      </c>
      <c r="BU120" s="0" t="s">
        <v>6044</v>
      </c>
      <c r="BV120" s="0" t="s">
        <v>6044</v>
      </c>
      <c r="BW120" s="0" t="s">
        <v>5697</v>
      </c>
      <c r="BX120" s="0" t="s">
        <v>5697</v>
      </c>
      <c r="BY120" s="0" t="s">
        <v>5697</v>
      </c>
      <c r="BZ120" s="0" t="s">
        <v>5697</v>
      </c>
      <c r="CA120" s="0" t="s">
        <v>5697</v>
      </c>
      <c r="CB120" s="0" t="s">
        <v>227</v>
      </c>
      <c r="CC120" s="0" t="s">
        <v>227</v>
      </c>
      <c r="CD120" s="0" t="s">
        <v>227</v>
      </c>
      <c r="CE120" s="0" t="s">
        <v>227</v>
      </c>
      <c r="CF120" s="0" t="s">
        <v>227</v>
      </c>
      <c r="CG120" s="0" t="s">
        <v>5697</v>
      </c>
      <c r="CH120" s="0" t="s">
        <v>227</v>
      </c>
      <c r="CI120" s="0" t="s">
        <v>227</v>
      </c>
      <c r="CJ120" s="0" t="s">
        <v>227</v>
      </c>
      <c r="CK120" s="0" t="s">
        <v>227</v>
      </c>
      <c r="CL120" s="0" t="s">
        <v>227</v>
      </c>
      <c r="CM120" s="0" t="s">
        <v>6044</v>
      </c>
      <c r="CN120" s="0" t="s">
        <v>6044</v>
      </c>
      <c r="CO120" s="0" t="s">
        <v>227</v>
      </c>
      <c r="CP120" s="0" t="s">
        <v>227</v>
      </c>
      <c r="CQ120" s="0" t="s">
        <v>227</v>
      </c>
      <c r="CR120" s="0" t="s">
        <v>227</v>
      </c>
      <c r="CS120" s="0" t="s">
        <v>5759</v>
      </c>
      <c r="CT120" s="0" t="s">
        <v>5679</v>
      </c>
      <c r="CU120" s="0" t="s">
        <v>5680</v>
      </c>
      <c r="CV120" s="0" t="s">
        <v>430</v>
      </c>
      <c r="CW120" s="0" t="s">
        <v>5699</v>
      </c>
      <c r="CX120" s="0" t="s">
        <v>431</v>
      </c>
      <c r="CY120" s="0" t="s">
        <v>430</v>
      </c>
      <c r="CZ120" s="0" t="s">
        <v>432</v>
      </c>
      <c r="DA120" s="0" t="s">
        <v>433</v>
      </c>
      <c r="DB120" s="0" t="s">
        <v>5700</v>
      </c>
      <c r="DC120" s="0" t="s">
        <v>373</v>
      </c>
      <c r="DD120" s="0" t="s">
        <v>277</v>
      </c>
      <c r="DE120" s="0" t="s">
        <v>763</v>
      </c>
    </row>
    <row customHeight="1" ht="11.25">
      <c r="A121" s="1806" t="s">
        <v>227</v>
      </c>
      <c r="B121" s="0" t="s">
        <v>227</v>
      </c>
      <c r="C121" s="0" t="s">
        <v>227</v>
      </c>
      <c r="D121" s="0" t="s">
        <v>227</v>
      </c>
      <c r="E121" s="0" t="s">
        <v>227</v>
      </c>
      <c r="F121" s="0" t="s">
        <v>227</v>
      </c>
      <c r="G121" s="0" t="s">
        <v>227</v>
      </c>
      <c r="H121" s="0" t="s">
        <v>227</v>
      </c>
      <c r="I121" s="0" t="s">
        <v>5667</v>
      </c>
      <c r="J121" s="0" t="s">
        <v>227</v>
      </c>
      <c r="K121" s="0" t="s">
        <v>227</v>
      </c>
      <c r="L121" s="0" t="s">
        <v>227</v>
      </c>
      <c r="M121" s="0" t="s">
        <v>227</v>
      </c>
      <c r="N121" s="0" t="s">
        <v>227</v>
      </c>
      <c r="O121" s="0" t="s">
        <v>227</v>
      </c>
      <c r="P121" s="0" t="s">
        <v>227</v>
      </c>
      <c r="Q121" s="0" t="s">
        <v>227</v>
      </c>
      <c r="R121" s="0" t="s">
        <v>724</v>
      </c>
      <c r="S121" s="0" t="s">
        <v>227</v>
      </c>
      <c r="T121" s="0" t="s">
        <v>227</v>
      </c>
      <c r="U121" s="0" t="s">
        <v>102</v>
      </c>
      <c r="V121" s="0" t="s">
        <v>227</v>
      </c>
      <c r="W121" s="0" t="s">
        <v>227</v>
      </c>
      <c r="X121" s="0" t="s">
        <v>5683</v>
      </c>
      <c r="Y121" s="0" t="s">
        <v>227</v>
      </c>
      <c r="Z121" s="0" t="s">
        <v>152</v>
      </c>
      <c r="AA121" s="0" t="s">
        <v>152</v>
      </c>
      <c r="AB121" s="0" t="s">
        <v>161</v>
      </c>
      <c r="AC121" s="0" t="s">
        <v>354</v>
      </c>
      <c r="AD121" s="0" t="s">
        <v>354</v>
      </c>
      <c r="AE121" s="0" t="s">
        <v>355</v>
      </c>
      <c r="AF121" s="0" t="s">
        <v>5701</v>
      </c>
      <c r="AG121" s="0" t="s">
        <v>5702</v>
      </c>
      <c r="AH121" s="0" t="s">
        <v>6045</v>
      </c>
      <c r="AI121" s="0" t="s">
        <v>5692</v>
      </c>
      <c r="AJ121" s="0" t="s">
        <v>227</v>
      </c>
      <c r="AK121" s="0" t="s">
        <v>227</v>
      </c>
      <c r="AL121" s="0" t="s">
        <v>227</v>
      </c>
      <c r="AM121" s="0" t="s">
        <v>227</v>
      </c>
      <c r="AN121" s="0" t="s">
        <v>227</v>
      </c>
      <c r="AO121" s="0" t="s">
        <v>227</v>
      </c>
      <c r="AP121" s="0" t="s">
        <v>227</v>
      </c>
      <c r="AQ121" s="0" t="s">
        <v>227</v>
      </c>
      <c r="AR121" s="0" t="s">
        <v>227</v>
      </c>
      <c r="AS121" s="0" t="s">
        <v>227</v>
      </c>
      <c r="AT121" s="0" t="s">
        <v>227</v>
      </c>
      <c r="AU121" s="0" t="s">
        <v>227</v>
      </c>
      <c r="AV121" s="0" t="s">
        <v>227</v>
      </c>
      <c r="AW121" s="0" t="s">
        <v>227</v>
      </c>
      <c r="AX121" s="0" t="s">
        <v>227</v>
      </c>
      <c r="AY121" s="0" t="s">
        <v>227</v>
      </c>
      <c r="AZ121" s="0" t="s">
        <v>227</v>
      </c>
      <c r="BA121" s="0" t="s">
        <v>227</v>
      </c>
      <c r="BB121" s="0" t="s">
        <v>227</v>
      </c>
      <c r="BC121" s="0" t="s">
        <v>227</v>
      </c>
      <c r="BD121" s="0" t="s">
        <v>227</v>
      </c>
      <c r="BE121" s="0" t="s">
        <v>5728</v>
      </c>
      <c r="BF121" s="0" t="s">
        <v>5757</v>
      </c>
      <c r="BG121" s="0" t="s">
        <v>112</v>
      </c>
      <c r="BH121" s="0" t="s">
        <v>5690</v>
      </c>
      <c r="BI121" s="0" t="s">
        <v>5691</v>
      </c>
      <c r="BJ121" s="0" t="s">
        <v>227</v>
      </c>
      <c r="BK121" s="0" t="s">
        <v>952</v>
      </c>
      <c r="BL121" s="0" t="s">
        <v>354</v>
      </c>
      <c r="BM121" s="0" t="s">
        <v>354</v>
      </c>
      <c r="BN121" s="0" t="s">
        <v>5693</v>
      </c>
      <c r="BO121" s="0" t="s">
        <v>5701</v>
      </c>
      <c r="BP121" s="0" t="s">
        <v>5706</v>
      </c>
      <c r="BQ121" s="0" t="s">
        <v>5707</v>
      </c>
      <c r="BR121" s="0" t="s">
        <v>5708</v>
      </c>
      <c r="BS121" s="0" t="s">
        <v>227</v>
      </c>
      <c r="BT121" s="0" t="s">
        <v>5695</v>
      </c>
      <c r="BU121" s="0" t="s">
        <v>6046</v>
      </c>
      <c r="BV121" s="0" t="s">
        <v>6046</v>
      </c>
      <c r="BW121" s="0" t="s">
        <v>5697</v>
      </c>
      <c r="BX121" s="0" t="s">
        <v>5697</v>
      </c>
      <c r="BY121" s="0" t="s">
        <v>5697</v>
      </c>
      <c r="BZ121" s="0" t="s">
        <v>5697</v>
      </c>
      <c r="CA121" s="0" t="s">
        <v>5697</v>
      </c>
      <c r="CB121" s="0" t="s">
        <v>227</v>
      </c>
      <c r="CC121" s="0" t="s">
        <v>227</v>
      </c>
      <c r="CD121" s="0" t="s">
        <v>227</v>
      </c>
      <c r="CE121" s="0" t="s">
        <v>227</v>
      </c>
      <c r="CF121" s="0" t="s">
        <v>227</v>
      </c>
      <c r="CG121" s="0" t="s">
        <v>5697</v>
      </c>
      <c r="CH121" s="0" t="s">
        <v>227</v>
      </c>
      <c r="CI121" s="0" t="s">
        <v>227</v>
      </c>
      <c r="CJ121" s="0" t="s">
        <v>227</v>
      </c>
      <c r="CK121" s="0" t="s">
        <v>227</v>
      </c>
      <c r="CL121" s="0" t="s">
        <v>227</v>
      </c>
      <c r="CM121" s="0" t="s">
        <v>6046</v>
      </c>
      <c r="CN121" s="0" t="s">
        <v>6046</v>
      </c>
      <c r="CO121" s="0" t="s">
        <v>227</v>
      </c>
      <c r="CP121" s="0" t="s">
        <v>227</v>
      </c>
      <c r="CQ121" s="0" t="s">
        <v>227</v>
      </c>
      <c r="CR121" s="0" t="s">
        <v>227</v>
      </c>
      <c r="CS121" s="0" t="s">
        <v>5733</v>
      </c>
      <c r="CT121" s="0" t="s">
        <v>5679</v>
      </c>
      <c r="CU121" s="0" t="s">
        <v>5680</v>
      </c>
      <c r="CV121" s="0" t="s">
        <v>430</v>
      </c>
      <c r="CW121" s="0" t="s">
        <v>5699</v>
      </c>
      <c r="CX121" s="0" t="s">
        <v>431</v>
      </c>
      <c r="CY121" s="0" t="s">
        <v>430</v>
      </c>
      <c r="CZ121" s="0" t="s">
        <v>432</v>
      </c>
      <c r="DA121" s="0" t="s">
        <v>433</v>
      </c>
      <c r="DB121" s="0" t="s">
        <v>5700</v>
      </c>
      <c r="DC121" s="0" t="s">
        <v>373</v>
      </c>
      <c r="DD121" s="0" t="s">
        <v>277</v>
      </c>
      <c r="DE121" s="0" t="s">
        <v>725</v>
      </c>
    </row>
    <row customHeight="1" ht="11.25">
      <c r="A122" s="1806" t="s">
        <v>227</v>
      </c>
      <c r="B122" s="0" t="s">
        <v>227</v>
      </c>
      <c r="C122" s="0" t="s">
        <v>227</v>
      </c>
      <c r="D122" s="0" t="s">
        <v>227</v>
      </c>
      <c r="E122" s="0" t="s">
        <v>227</v>
      </c>
      <c r="F122" s="0" t="s">
        <v>227</v>
      </c>
      <c r="G122" s="0" t="s">
        <v>227</v>
      </c>
      <c r="H122" s="0" t="s">
        <v>227</v>
      </c>
      <c r="I122" s="0" t="s">
        <v>5667</v>
      </c>
      <c r="J122" s="0" t="s">
        <v>227</v>
      </c>
      <c r="K122" s="0" t="s">
        <v>227</v>
      </c>
      <c r="L122" s="0" t="s">
        <v>227</v>
      </c>
      <c r="M122" s="0" t="s">
        <v>227</v>
      </c>
      <c r="N122" s="0" t="s">
        <v>227</v>
      </c>
      <c r="O122" s="0" t="s">
        <v>227</v>
      </c>
      <c r="P122" s="0" t="s">
        <v>227</v>
      </c>
      <c r="Q122" s="0" t="s">
        <v>227</v>
      </c>
      <c r="R122" s="0" t="s">
        <v>782</v>
      </c>
      <c r="S122" s="0" t="s">
        <v>227</v>
      </c>
      <c r="T122" s="0" t="s">
        <v>227</v>
      </c>
      <c r="U122" s="0" t="s">
        <v>102</v>
      </c>
      <c r="V122" s="0" t="s">
        <v>227</v>
      </c>
      <c r="W122" s="0" t="s">
        <v>227</v>
      </c>
      <c r="X122" s="0" t="s">
        <v>5683</v>
      </c>
      <c r="Y122" s="0" t="s">
        <v>227</v>
      </c>
      <c r="Z122" s="0" t="s">
        <v>152</v>
      </c>
      <c r="AA122" s="0" t="s">
        <v>152</v>
      </c>
      <c r="AB122" s="0" t="s">
        <v>161</v>
      </c>
      <c r="AC122" s="0" t="s">
        <v>354</v>
      </c>
      <c r="AD122" s="0" t="s">
        <v>354</v>
      </c>
      <c r="AE122" s="0" t="s">
        <v>355</v>
      </c>
      <c r="AF122" s="0" t="s">
        <v>5701</v>
      </c>
      <c r="AG122" s="0" t="s">
        <v>5702</v>
      </c>
      <c r="AH122" s="0" t="s">
        <v>5703</v>
      </c>
      <c r="AI122" s="0" t="s">
        <v>505</v>
      </c>
      <c r="AJ122" s="0" t="s">
        <v>227</v>
      </c>
      <c r="AK122" s="0" t="s">
        <v>227</v>
      </c>
      <c r="AL122" s="0" t="s">
        <v>227</v>
      </c>
      <c r="AM122" s="0" t="s">
        <v>227</v>
      </c>
      <c r="AN122" s="0" t="s">
        <v>227</v>
      </c>
      <c r="AO122" s="0" t="s">
        <v>227</v>
      </c>
      <c r="AP122" s="0" t="s">
        <v>227</v>
      </c>
      <c r="AQ122" s="0" t="s">
        <v>227</v>
      </c>
      <c r="AR122" s="0" t="s">
        <v>227</v>
      </c>
      <c r="AS122" s="0" t="s">
        <v>227</v>
      </c>
      <c r="AT122" s="0" t="s">
        <v>227</v>
      </c>
      <c r="AU122" s="0" t="s">
        <v>227</v>
      </c>
      <c r="AV122" s="0" t="s">
        <v>227</v>
      </c>
      <c r="AW122" s="0" t="s">
        <v>227</v>
      </c>
      <c r="AX122" s="0" t="s">
        <v>227</v>
      </c>
      <c r="AY122" s="0" t="s">
        <v>227</v>
      </c>
      <c r="AZ122" s="0" t="s">
        <v>227</v>
      </c>
      <c r="BA122" s="0" t="s">
        <v>227</v>
      </c>
      <c r="BB122" s="0" t="s">
        <v>227</v>
      </c>
      <c r="BC122" s="0" t="s">
        <v>227</v>
      </c>
      <c r="BD122" s="0" t="s">
        <v>227</v>
      </c>
      <c r="BE122" s="0" t="s">
        <v>5743</v>
      </c>
      <c r="BF122" s="0" t="s">
        <v>6007</v>
      </c>
      <c r="BG122" s="0" t="s">
        <v>112</v>
      </c>
      <c r="BH122" s="0" t="s">
        <v>5690</v>
      </c>
      <c r="BI122" s="0" t="s">
        <v>5691</v>
      </c>
      <c r="BJ122" s="0" t="s">
        <v>227</v>
      </c>
      <c r="BK122" s="0" t="s">
        <v>952</v>
      </c>
      <c r="BL122" s="0" t="s">
        <v>354</v>
      </c>
      <c r="BM122" s="0" t="s">
        <v>354</v>
      </c>
      <c r="BN122" s="0" t="s">
        <v>5693</v>
      </c>
      <c r="BO122" s="0" t="s">
        <v>5701</v>
      </c>
      <c r="BP122" s="0" t="s">
        <v>5706</v>
      </c>
      <c r="BQ122" s="0" t="s">
        <v>5707</v>
      </c>
      <c r="BR122" s="0" t="s">
        <v>5708</v>
      </c>
      <c r="BS122" s="0" t="s">
        <v>227</v>
      </c>
      <c r="BT122" s="0" t="s">
        <v>5709</v>
      </c>
      <c r="BU122" s="0" t="s">
        <v>5926</v>
      </c>
      <c r="BV122" s="0" t="s">
        <v>5926</v>
      </c>
      <c r="BW122" s="0" t="s">
        <v>5697</v>
      </c>
      <c r="BX122" s="0" t="s">
        <v>5697</v>
      </c>
      <c r="BY122" s="0" t="s">
        <v>5697</v>
      </c>
      <c r="BZ122" s="0" t="s">
        <v>5697</v>
      </c>
      <c r="CA122" s="0" t="s">
        <v>5697</v>
      </c>
      <c r="CB122" s="0" t="s">
        <v>227</v>
      </c>
      <c r="CC122" s="0" t="s">
        <v>227</v>
      </c>
      <c r="CD122" s="0" t="s">
        <v>227</v>
      </c>
      <c r="CE122" s="0" t="s">
        <v>227</v>
      </c>
      <c r="CF122" s="0" t="s">
        <v>227</v>
      </c>
      <c r="CG122" s="0" t="s">
        <v>5697</v>
      </c>
      <c r="CH122" s="0" t="s">
        <v>227</v>
      </c>
      <c r="CI122" s="0" t="s">
        <v>227</v>
      </c>
      <c r="CJ122" s="0" t="s">
        <v>227</v>
      </c>
      <c r="CK122" s="0" t="s">
        <v>227</v>
      </c>
      <c r="CL122" s="0" t="s">
        <v>227</v>
      </c>
      <c r="CM122" s="0" t="s">
        <v>5926</v>
      </c>
      <c r="CN122" s="0" t="s">
        <v>5926</v>
      </c>
      <c r="CO122" s="0" t="s">
        <v>227</v>
      </c>
      <c r="CP122" s="0" t="s">
        <v>227</v>
      </c>
      <c r="CQ122" s="0" t="s">
        <v>227</v>
      </c>
      <c r="CR122" s="0" t="s">
        <v>227</v>
      </c>
      <c r="CS122" s="0" t="s">
        <v>5698</v>
      </c>
      <c r="CT122" s="0" t="s">
        <v>5679</v>
      </c>
      <c r="CU122" s="0" t="s">
        <v>5680</v>
      </c>
      <c r="CV122" s="0" t="s">
        <v>430</v>
      </c>
      <c r="CW122" s="0" t="s">
        <v>5699</v>
      </c>
      <c r="CX122" s="0" t="s">
        <v>431</v>
      </c>
      <c r="CY122" s="0" t="s">
        <v>430</v>
      </c>
      <c r="CZ122" s="0" t="s">
        <v>432</v>
      </c>
      <c r="DA122" s="0" t="s">
        <v>433</v>
      </c>
      <c r="DB122" s="0" t="s">
        <v>5700</v>
      </c>
      <c r="DC122" s="0" t="s">
        <v>373</v>
      </c>
      <c r="DD122" s="0" t="s">
        <v>277</v>
      </c>
      <c r="DE122" s="0" t="s">
        <v>783</v>
      </c>
    </row>
    <row customHeight="1" ht="11.25">
      <c r="A123" s="1806" t="s">
        <v>227</v>
      </c>
      <c r="B123" s="0" t="s">
        <v>227</v>
      </c>
      <c r="C123" s="0" t="s">
        <v>227</v>
      </c>
      <c r="D123" s="0" t="s">
        <v>227</v>
      </c>
      <c r="E123" s="0" t="s">
        <v>227</v>
      </c>
      <c r="F123" s="0" t="s">
        <v>227</v>
      </c>
      <c r="G123" s="0" t="s">
        <v>227</v>
      </c>
      <c r="H123" s="0" t="s">
        <v>227</v>
      </c>
      <c r="I123" s="0" t="s">
        <v>5667</v>
      </c>
      <c r="J123" s="0" t="s">
        <v>227</v>
      </c>
      <c r="K123" s="0" t="s">
        <v>227</v>
      </c>
      <c r="L123" s="0" t="s">
        <v>227</v>
      </c>
      <c r="M123" s="0" t="s">
        <v>227</v>
      </c>
      <c r="N123" s="0" t="s">
        <v>227</v>
      </c>
      <c r="O123" s="0" t="s">
        <v>227</v>
      </c>
      <c r="P123" s="0" t="s">
        <v>227</v>
      </c>
      <c r="Q123" s="0" t="s">
        <v>227</v>
      </c>
      <c r="R123" s="0" t="s">
        <v>574</v>
      </c>
      <c r="S123" s="0" t="s">
        <v>227</v>
      </c>
      <c r="T123" s="0" t="s">
        <v>227</v>
      </c>
      <c r="U123" s="0" t="s">
        <v>102</v>
      </c>
      <c r="V123" s="0" t="s">
        <v>227</v>
      </c>
      <c r="W123" s="0" t="s">
        <v>227</v>
      </c>
      <c r="X123" s="0" t="s">
        <v>5683</v>
      </c>
      <c r="Y123" s="0" t="s">
        <v>227</v>
      </c>
      <c r="Z123" s="0" t="s">
        <v>152</v>
      </c>
      <c r="AA123" s="0" t="s">
        <v>152</v>
      </c>
      <c r="AB123" s="0" t="s">
        <v>161</v>
      </c>
      <c r="AC123" s="0" t="s">
        <v>354</v>
      </c>
      <c r="AD123" s="0" t="s">
        <v>354</v>
      </c>
      <c r="AE123" s="0" t="s">
        <v>355</v>
      </c>
      <c r="AF123" s="0" t="s">
        <v>5684</v>
      </c>
      <c r="AG123" s="0" t="s">
        <v>5685</v>
      </c>
      <c r="AH123" s="0" t="s">
        <v>6047</v>
      </c>
      <c r="AI123" s="0" t="s">
        <v>5692</v>
      </c>
      <c r="AJ123" s="0" t="s">
        <v>227</v>
      </c>
      <c r="AK123" s="0" t="s">
        <v>227</v>
      </c>
      <c r="AL123" s="0" t="s">
        <v>227</v>
      </c>
      <c r="AM123" s="0" t="s">
        <v>227</v>
      </c>
      <c r="AN123" s="0" t="s">
        <v>227</v>
      </c>
      <c r="AO123" s="0" t="s">
        <v>227</v>
      </c>
      <c r="AP123" s="0" t="s">
        <v>227</v>
      </c>
      <c r="AQ123" s="0" t="s">
        <v>227</v>
      </c>
      <c r="AR123" s="0" t="s">
        <v>227</v>
      </c>
      <c r="AS123" s="0" t="s">
        <v>227</v>
      </c>
      <c r="AT123" s="0" t="s">
        <v>227</v>
      </c>
      <c r="AU123" s="0" t="s">
        <v>227</v>
      </c>
      <c r="AV123" s="0" t="s">
        <v>227</v>
      </c>
      <c r="AW123" s="0" t="s">
        <v>227</v>
      </c>
      <c r="AX123" s="0" t="s">
        <v>227</v>
      </c>
      <c r="AY123" s="0" t="s">
        <v>227</v>
      </c>
      <c r="AZ123" s="0" t="s">
        <v>227</v>
      </c>
      <c r="BA123" s="0" t="s">
        <v>227</v>
      </c>
      <c r="BB123" s="0" t="s">
        <v>227</v>
      </c>
      <c r="BC123" s="0" t="s">
        <v>227</v>
      </c>
      <c r="BD123" s="0" t="s">
        <v>227</v>
      </c>
      <c r="BE123" s="0" t="s">
        <v>5728</v>
      </c>
      <c r="BF123" s="0" t="s">
        <v>5757</v>
      </c>
      <c r="BG123" s="0" t="s">
        <v>112</v>
      </c>
      <c r="BH123" s="0" t="s">
        <v>5690</v>
      </c>
      <c r="BI123" s="0" t="s">
        <v>5691</v>
      </c>
      <c r="BJ123" s="0" t="s">
        <v>227</v>
      </c>
      <c r="BK123" s="0" t="s">
        <v>5692</v>
      </c>
      <c r="BL123" s="0" t="s">
        <v>354</v>
      </c>
      <c r="BM123" s="0" t="s">
        <v>354</v>
      </c>
      <c r="BN123" s="0" t="s">
        <v>5693</v>
      </c>
      <c r="BO123" s="0" t="s">
        <v>5701</v>
      </c>
      <c r="BP123" s="0" t="s">
        <v>5706</v>
      </c>
      <c r="BQ123" s="0" t="s">
        <v>5692</v>
      </c>
      <c r="BR123" s="0" t="s">
        <v>5692</v>
      </c>
      <c r="BS123" s="0" t="s">
        <v>227</v>
      </c>
      <c r="BT123" s="0" t="s">
        <v>5695</v>
      </c>
      <c r="BU123" s="0" t="s">
        <v>5772</v>
      </c>
      <c r="BV123" s="0" t="s">
        <v>5772</v>
      </c>
      <c r="BW123" s="0" t="s">
        <v>5697</v>
      </c>
      <c r="BX123" s="0" t="s">
        <v>5697</v>
      </c>
      <c r="BY123" s="0" t="s">
        <v>5697</v>
      </c>
      <c r="BZ123" s="0" t="s">
        <v>5697</v>
      </c>
      <c r="CA123" s="0" t="s">
        <v>5697</v>
      </c>
      <c r="CB123" s="0" t="s">
        <v>227</v>
      </c>
      <c r="CC123" s="0" t="s">
        <v>227</v>
      </c>
      <c r="CD123" s="0" t="s">
        <v>227</v>
      </c>
      <c r="CE123" s="0" t="s">
        <v>227</v>
      </c>
      <c r="CF123" s="0" t="s">
        <v>227</v>
      </c>
      <c r="CG123" s="0" t="s">
        <v>5697</v>
      </c>
      <c r="CH123" s="0" t="s">
        <v>227</v>
      </c>
      <c r="CI123" s="0" t="s">
        <v>227</v>
      </c>
      <c r="CJ123" s="0" t="s">
        <v>227</v>
      </c>
      <c r="CK123" s="0" t="s">
        <v>227</v>
      </c>
      <c r="CL123" s="0" t="s">
        <v>227</v>
      </c>
      <c r="CM123" s="0" t="s">
        <v>5772</v>
      </c>
      <c r="CN123" s="0" t="s">
        <v>5772</v>
      </c>
      <c r="CO123" s="0" t="s">
        <v>227</v>
      </c>
      <c r="CP123" s="0" t="s">
        <v>227</v>
      </c>
      <c r="CQ123" s="0" t="s">
        <v>227</v>
      </c>
      <c r="CR123" s="0" t="s">
        <v>227</v>
      </c>
      <c r="CS123" s="0" t="s">
        <v>5698</v>
      </c>
      <c r="CT123" s="0" t="s">
        <v>5679</v>
      </c>
      <c r="CU123" s="0" t="s">
        <v>5680</v>
      </c>
      <c r="CV123" s="0" t="s">
        <v>430</v>
      </c>
      <c r="CW123" s="0" t="s">
        <v>5699</v>
      </c>
      <c r="CX123" s="0" t="s">
        <v>431</v>
      </c>
      <c r="CY123" s="0" t="s">
        <v>430</v>
      </c>
      <c r="CZ123" s="0" t="s">
        <v>432</v>
      </c>
      <c r="DA123" s="0" t="s">
        <v>433</v>
      </c>
      <c r="DB123" s="0" t="s">
        <v>5700</v>
      </c>
      <c r="DC123" s="0" t="s">
        <v>373</v>
      </c>
      <c r="DD123" s="0" t="s">
        <v>277</v>
      </c>
      <c r="DE123" s="0" t="s">
        <v>575</v>
      </c>
    </row>
    <row customHeight="1" ht="11.25">
      <c r="A124" s="1806" t="s">
        <v>227</v>
      </c>
      <c r="B124" s="0" t="s">
        <v>227</v>
      </c>
      <c r="C124" s="0" t="s">
        <v>227</v>
      </c>
      <c r="D124" s="0" t="s">
        <v>227</v>
      </c>
      <c r="E124" s="0" t="s">
        <v>227</v>
      </c>
      <c r="F124" s="0" t="s">
        <v>227</v>
      </c>
      <c r="G124" s="0" t="s">
        <v>227</v>
      </c>
      <c r="H124" s="0" t="s">
        <v>227</v>
      </c>
      <c r="I124" s="0" t="s">
        <v>5667</v>
      </c>
      <c r="J124" s="0" t="s">
        <v>227</v>
      </c>
      <c r="K124" s="0" t="s">
        <v>227</v>
      </c>
      <c r="L124" s="0" t="s">
        <v>227</v>
      </c>
      <c r="M124" s="0" t="s">
        <v>227</v>
      </c>
      <c r="N124" s="0" t="s">
        <v>227</v>
      </c>
      <c r="O124" s="0" t="s">
        <v>227</v>
      </c>
      <c r="P124" s="0" t="s">
        <v>227</v>
      </c>
      <c r="Q124" s="0" t="s">
        <v>227</v>
      </c>
      <c r="R124" s="0" t="s">
        <v>684</v>
      </c>
      <c r="S124" s="0" t="s">
        <v>227</v>
      </c>
      <c r="T124" s="0" t="s">
        <v>227</v>
      </c>
      <c r="U124" s="0" t="s">
        <v>102</v>
      </c>
      <c r="V124" s="0" t="s">
        <v>227</v>
      </c>
      <c r="W124" s="0" t="s">
        <v>227</v>
      </c>
      <c r="X124" s="0" t="s">
        <v>5683</v>
      </c>
      <c r="Y124" s="0" t="s">
        <v>227</v>
      </c>
      <c r="Z124" s="0" t="s">
        <v>152</v>
      </c>
      <c r="AA124" s="0" t="s">
        <v>152</v>
      </c>
      <c r="AB124" s="0" t="s">
        <v>161</v>
      </c>
      <c r="AC124" s="0" t="s">
        <v>354</v>
      </c>
      <c r="AD124" s="0" t="s">
        <v>354</v>
      </c>
      <c r="AE124" s="0" t="s">
        <v>355</v>
      </c>
      <c r="AF124" s="0" t="s">
        <v>5684</v>
      </c>
      <c r="AG124" s="0" t="s">
        <v>5685</v>
      </c>
      <c r="AH124" s="0" t="s">
        <v>6048</v>
      </c>
      <c r="AI124" s="0" t="s">
        <v>5692</v>
      </c>
      <c r="AJ124" s="0" t="s">
        <v>227</v>
      </c>
      <c r="AK124" s="0" t="s">
        <v>227</v>
      </c>
      <c r="AL124" s="0" t="s">
        <v>227</v>
      </c>
      <c r="AM124" s="0" t="s">
        <v>227</v>
      </c>
      <c r="AN124" s="0" t="s">
        <v>227</v>
      </c>
      <c r="AO124" s="0" t="s">
        <v>227</v>
      </c>
      <c r="AP124" s="0" t="s">
        <v>227</v>
      </c>
      <c r="AQ124" s="0" t="s">
        <v>227</v>
      </c>
      <c r="AR124" s="0" t="s">
        <v>227</v>
      </c>
      <c r="AS124" s="0" t="s">
        <v>227</v>
      </c>
      <c r="AT124" s="0" t="s">
        <v>227</v>
      </c>
      <c r="AU124" s="0" t="s">
        <v>227</v>
      </c>
      <c r="AV124" s="0" t="s">
        <v>227</v>
      </c>
      <c r="AW124" s="0" t="s">
        <v>227</v>
      </c>
      <c r="AX124" s="0" t="s">
        <v>227</v>
      </c>
      <c r="AY124" s="0" t="s">
        <v>227</v>
      </c>
      <c r="AZ124" s="0" t="s">
        <v>227</v>
      </c>
      <c r="BA124" s="0" t="s">
        <v>227</v>
      </c>
      <c r="BB124" s="0" t="s">
        <v>227</v>
      </c>
      <c r="BC124" s="0" t="s">
        <v>227</v>
      </c>
      <c r="BD124" s="0" t="s">
        <v>227</v>
      </c>
      <c r="BE124" s="0" t="s">
        <v>5728</v>
      </c>
      <c r="BF124" s="0" t="s">
        <v>5757</v>
      </c>
      <c r="BG124" s="0" t="s">
        <v>112</v>
      </c>
      <c r="BH124" s="0" t="s">
        <v>5690</v>
      </c>
      <c r="BI124" s="0" t="s">
        <v>5691</v>
      </c>
      <c r="BJ124" s="0" t="s">
        <v>227</v>
      </c>
      <c r="BK124" s="0" t="s">
        <v>5692</v>
      </c>
      <c r="BL124" s="0" t="s">
        <v>354</v>
      </c>
      <c r="BM124" s="0" t="s">
        <v>354</v>
      </c>
      <c r="BN124" s="0" t="s">
        <v>5693</v>
      </c>
      <c r="BO124" s="0" t="s">
        <v>5684</v>
      </c>
      <c r="BP124" s="0" t="s">
        <v>5694</v>
      </c>
      <c r="BQ124" s="0" t="s">
        <v>5692</v>
      </c>
      <c r="BR124" s="0" t="s">
        <v>5692</v>
      </c>
      <c r="BS124" s="0" t="s">
        <v>227</v>
      </c>
      <c r="BT124" s="0" t="s">
        <v>5695</v>
      </c>
      <c r="BU124" s="0" t="s">
        <v>5976</v>
      </c>
      <c r="BV124" s="0" t="s">
        <v>5976</v>
      </c>
      <c r="BW124" s="0" t="s">
        <v>5697</v>
      </c>
      <c r="BX124" s="0" t="s">
        <v>5697</v>
      </c>
      <c r="BY124" s="0" t="s">
        <v>5697</v>
      </c>
      <c r="BZ124" s="0" t="s">
        <v>5697</v>
      </c>
      <c r="CA124" s="0" t="s">
        <v>5697</v>
      </c>
      <c r="CB124" s="0" t="s">
        <v>227</v>
      </c>
      <c r="CC124" s="0" t="s">
        <v>227</v>
      </c>
      <c r="CD124" s="0" t="s">
        <v>227</v>
      </c>
      <c r="CE124" s="0" t="s">
        <v>227</v>
      </c>
      <c r="CF124" s="0" t="s">
        <v>227</v>
      </c>
      <c r="CG124" s="0" t="s">
        <v>5697</v>
      </c>
      <c r="CH124" s="0" t="s">
        <v>227</v>
      </c>
      <c r="CI124" s="0" t="s">
        <v>227</v>
      </c>
      <c r="CJ124" s="0" t="s">
        <v>227</v>
      </c>
      <c r="CK124" s="0" t="s">
        <v>227</v>
      </c>
      <c r="CL124" s="0" t="s">
        <v>227</v>
      </c>
      <c r="CM124" s="0" t="s">
        <v>5976</v>
      </c>
      <c r="CN124" s="0" t="s">
        <v>5976</v>
      </c>
      <c r="CO124" s="0" t="s">
        <v>227</v>
      </c>
      <c r="CP124" s="0" t="s">
        <v>227</v>
      </c>
      <c r="CQ124" s="0" t="s">
        <v>227</v>
      </c>
      <c r="CR124" s="0" t="s">
        <v>227</v>
      </c>
      <c r="CS124" s="0" t="s">
        <v>5698</v>
      </c>
      <c r="CT124" s="0" t="s">
        <v>5679</v>
      </c>
      <c r="CU124" s="0" t="s">
        <v>5680</v>
      </c>
      <c r="CV124" s="0" t="s">
        <v>430</v>
      </c>
      <c r="CW124" s="0" t="s">
        <v>5699</v>
      </c>
      <c r="CX124" s="0" t="s">
        <v>431</v>
      </c>
      <c r="CY124" s="0" t="s">
        <v>430</v>
      </c>
      <c r="CZ124" s="0" t="s">
        <v>432</v>
      </c>
      <c r="DA124" s="0" t="s">
        <v>433</v>
      </c>
      <c r="DB124" s="0" t="s">
        <v>5700</v>
      </c>
      <c r="DC124" s="0" t="s">
        <v>373</v>
      </c>
      <c r="DD124" s="0" t="s">
        <v>277</v>
      </c>
      <c r="DE124" s="0" t="s">
        <v>685</v>
      </c>
    </row>
    <row customHeight="1" ht="11.25">
      <c r="A125" s="1806" t="s">
        <v>227</v>
      </c>
      <c r="B125" s="0" t="s">
        <v>227</v>
      </c>
      <c r="C125" s="0" t="s">
        <v>227</v>
      </c>
      <c r="D125" s="0" t="s">
        <v>227</v>
      </c>
      <c r="E125" s="0" t="s">
        <v>227</v>
      </c>
      <c r="F125" s="0" t="s">
        <v>227</v>
      </c>
      <c r="G125" s="0" t="s">
        <v>227</v>
      </c>
      <c r="H125" s="0" t="s">
        <v>227</v>
      </c>
      <c r="I125" s="0" t="s">
        <v>5667</v>
      </c>
      <c r="J125" s="0" t="s">
        <v>227</v>
      </c>
      <c r="K125" s="0" t="s">
        <v>227</v>
      </c>
      <c r="L125" s="0" t="s">
        <v>227</v>
      </c>
      <c r="M125" s="0" t="s">
        <v>227</v>
      </c>
      <c r="N125" s="0" t="s">
        <v>227</v>
      </c>
      <c r="O125" s="0" t="s">
        <v>227</v>
      </c>
      <c r="P125" s="0" t="s">
        <v>227</v>
      </c>
      <c r="Q125" s="0" t="s">
        <v>227</v>
      </c>
      <c r="R125" s="0" t="s">
        <v>944</v>
      </c>
      <c r="S125" s="0" t="s">
        <v>227</v>
      </c>
      <c r="T125" s="0" t="s">
        <v>227</v>
      </c>
      <c r="U125" s="0" t="s">
        <v>102</v>
      </c>
      <c r="V125" s="0" t="s">
        <v>227</v>
      </c>
      <c r="W125" s="0" t="s">
        <v>227</v>
      </c>
      <c r="X125" s="0" t="s">
        <v>5683</v>
      </c>
      <c r="Y125" s="0" t="s">
        <v>227</v>
      </c>
      <c r="Z125" s="0" t="s">
        <v>152</v>
      </c>
      <c r="AA125" s="0" t="s">
        <v>152</v>
      </c>
      <c r="AB125" s="0" t="s">
        <v>161</v>
      </c>
      <c r="AC125" s="0" t="s">
        <v>354</v>
      </c>
      <c r="AD125" s="0" t="s">
        <v>354</v>
      </c>
      <c r="AE125" s="0" t="s">
        <v>355</v>
      </c>
      <c r="AF125" s="0" t="s">
        <v>5701</v>
      </c>
      <c r="AG125" s="0" t="s">
        <v>5702</v>
      </c>
      <c r="AH125" s="0" t="s">
        <v>6049</v>
      </c>
      <c r="AI125" s="0" t="s">
        <v>5692</v>
      </c>
      <c r="AJ125" s="0" t="s">
        <v>227</v>
      </c>
      <c r="AK125" s="0" t="s">
        <v>227</v>
      </c>
      <c r="AL125" s="0" t="s">
        <v>227</v>
      </c>
      <c r="AM125" s="0" t="s">
        <v>227</v>
      </c>
      <c r="AN125" s="0" t="s">
        <v>227</v>
      </c>
      <c r="AO125" s="0" t="s">
        <v>227</v>
      </c>
      <c r="AP125" s="0" t="s">
        <v>227</v>
      </c>
      <c r="AQ125" s="0" t="s">
        <v>227</v>
      </c>
      <c r="AR125" s="0" t="s">
        <v>227</v>
      </c>
      <c r="AS125" s="0" t="s">
        <v>227</v>
      </c>
      <c r="AT125" s="0" t="s">
        <v>227</v>
      </c>
      <c r="AU125" s="0" t="s">
        <v>227</v>
      </c>
      <c r="AV125" s="0" t="s">
        <v>227</v>
      </c>
      <c r="AW125" s="0" t="s">
        <v>227</v>
      </c>
      <c r="AX125" s="0" t="s">
        <v>227</v>
      </c>
      <c r="AY125" s="0" t="s">
        <v>227</v>
      </c>
      <c r="AZ125" s="0" t="s">
        <v>227</v>
      </c>
      <c r="BA125" s="0" t="s">
        <v>227</v>
      </c>
      <c r="BB125" s="0" t="s">
        <v>227</v>
      </c>
      <c r="BC125" s="0" t="s">
        <v>227</v>
      </c>
      <c r="BD125" s="0" t="s">
        <v>227</v>
      </c>
      <c r="BE125" s="0" t="s">
        <v>5978</v>
      </c>
      <c r="BF125" s="0" t="s">
        <v>6050</v>
      </c>
      <c r="BG125" s="0" t="s">
        <v>112</v>
      </c>
      <c r="BH125" s="0" t="s">
        <v>5690</v>
      </c>
      <c r="BI125" s="0" t="s">
        <v>5691</v>
      </c>
      <c r="BJ125" s="0" t="s">
        <v>227</v>
      </c>
      <c r="BK125" s="0" t="s">
        <v>952</v>
      </c>
      <c r="BL125" s="0" t="s">
        <v>354</v>
      </c>
      <c r="BM125" s="0" t="s">
        <v>354</v>
      </c>
      <c r="BN125" s="0" t="s">
        <v>5693</v>
      </c>
      <c r="BO125" s="0" t="s">
        <v>5701</v>
      </c>
      <c r="BP125" s="0" t="s">
        <v>5706</v>
      </c>
      <c r="BQ125" s="0" t="s">
        <v>5707</v>
      </c>
      <c r="BR125" s="0" t="s">
        <v>5708</v>
      </c>
      <c r="BS125" s="0" t="s">
        <v>227</v>
      </c>
      <c r="BT125" s="0" t="s">
        <v>5695</v>
      </c>
      <c r="BU125" s="0" t="s">
        <v>6051</v>
      </c>
      <c r="BV125" s="0" t="s">
        <v>6051</v>
      </c>
      <c r="BW125" s="0" t="s">
        <v>5697</v>
      </c>
      <c r="BX125" s="0" t="s">
        <v>5697</v>
      </c>
      <c r="BY125" s="0" t="s">
        <v>5697</v>
      </c>
      <c r="BZ125" s="0" t="s">
        <v>5697</v>
      </c>
      <c r="CA125" s="0" t="s">
        <v>5697</v>
      </c>
      <c r="CB125" s="0" t="s">
        <v>227</v>
      </c>
      <c r="CC125" s="0" t="s">
        <v>227</v>
      </c>
      <c r="CD125" s="0" t="s">
        <v>227</v>
      </c>
      <c r="CE125" s="0" t="s">
        <v>227</v>
      </c>
      <c r="CF125" s="0" t="s">
        <v>227</v>
      </c>
      <c r="CG125" s="0" t="s">
        <v>5697</v>
      </c>
      <c r="CH125" s="0" t="s">
        <v>227</v>
      </c>
      <c r="CI125" s="0" t="s">
        <v>227</v>
      </c>
      <c r="CJ125" s="0" t="s">
        <v>227</v>
      </c>
      <c r="CK125" s="0" t="s">
        <v>227</v>
      </c>
      <c r="CL125" s="0" t="s">
        <v>227</v>
      </c>
      <c r="CM125" s="0" t="s">
        <v>6051</v>
      </c>
      <c r="CN125" s="0" t="s">
        <v>6051</v>
      </c>
      <c r="CO125" s="0" t="s">
        <v>227</v>
      </c>
      <c r="CP125" s="0" t="s">
        <v>227</v>
      </c>
      <c r="CQ125" s="0" t="s">
        <v>227</v>
      </c>
      <c r="CR125" s="0" t="s">
        <v>227</v>
      </c>
      <c r="CS125" s="0" t="s">
        <v>5705</v>
      </c>
      <c r="CT125" s="0" t="s">
        <v>5679</v>
      </c>
      <c r="CU125" s="0" t="s">
        <v>5680</v>
      </c>
      <c r="CV125" s="0" t="s">
        <v>430</v>
      </c>
      <c r="CW125" s="0" t="s">
        <v>5699</v>
      </c>
      <c r="CX125" s="0" t="s">
        <v>431</v>
      </c>
      <c r="CY125" s="0" t="s">
        <v>430</v>
      </c>
      <c r="CZ125" s="0" t="s">
        <v>432</v>
      </c>
      <c r="DA125" s="0" t="s">
        <v>433</v>
      </c>
      <c r="DB125" s="0" t="s">
        <v>5700</v>
      </c>
      <c r="DC125" s="0" t="s">
        <v>373</v>
      </c>
      <c r="DD125" s="0" t="s">
        <v>277</v>
      </c>
      <c r="DE125" s="0" t="s">
        <v>945</v>
      </c>
    </row>
    <row customHeight="1" ht="11.25">
      <c r="A126" s="1806" t="s">
        <v>227</v>
      </c>
      <c r="B126" s="0" t="s">
        <v>227</v>
      </c>
      <c r="C126" s="0" t="s">
        <v>227</v>
      </c>
      <c r="D126" s="0" t="s">
        <v>227</v>
      </c>
      <c r="E126" s="0" t="s">
        <v>227</v>
      </c>
      <c r="F126" s="0" t="s">
        <v>227</v>
      </c>
      <c r="G126" s="0" t="s">
        <v>227</v>
      </c>
      <c r="H126" s="0" t="s">
        <v>227</v>
      </c>
      <c r="I126" s="0" t="s">
        <v>5667</v>
      </c>
      <c r="J126" s="0" t="s">
        <v>227</v>
      </c>
      <c r="K126" s="0" t="s">
        <v>227</v>
      </c>
      <c r="L126" s="0" t="s">
        <v>227</v>
      </c>
      <c r="M126" s="0" t="s">
        <v>227</v>
      </c>
      <c r="N126" s="0" t="s">
        <v>227</v>
      </c>
      <c r="O126" s="0" t="s">
        <v>227</v>
      </c>
      <c r="P126" s="0" t="s">
        <v>227</v>
      </c>
      <c r="Q126" s="0" t="s">
        <v>227</v>
      </c>
      <c r="R126" s="0" t="s">
        <v>898</v>
      </c>
      <c r="S126" s="0" t="s">
        <v>227</v>
      </c>
      <c r="T126" s="0" t="s">
        <v>227</v>
      </c>
      <c r="U126" s="0" t="s">
        <v>102</v>
      </c>
      <c r="V126" s="0" t="s">
        <v>227</v>
      </c>
      <c r="W126" s="0" t="s">
        <v>227</v>
      </c>
      <c r="X126" s="0" t="s">
        <v>5683</v>
      </c>
      <c r="Y126" s="0" t="s">
        <v>227</v>
      </c>
      <c r="Z126" s="0" t="s">
        <v>152</v>
      </c>
      <c r="AA126" s="0" t="s">
        <v>152</v>
      </c>
      <c r="AB126" s="0" t="s">
        <v>161</v>
      </c>
      <c r="AC126" s="0" t="s">
        <v>354</v>
      </c>
      <c r="AD126" s="0" t="s">
        <v>354</v>
      </c>
      <c r="AE126" s="0" t="s">
        <v>355</v>
      </c>
      <c r="AF126" s="0" t="s">
        <v>5701</v>
      </c>
      <c r="AG126" s="0" t="s">
        <v>5702</v>
      </c>
      <c r="AH126" s="0" t="s">
        <v>6052</v>
      </c>
      <c r="AI126" s="0" t="s">
        <v>6053</v>
      </c>
      <c r="AJ126" s="0" t="s">
        <v>227</v>
      </c>
      <c r="AK126" s="0" t="s">
        <v>227</v>
      </c>
      <c r="AL126" s="0" t="s">
        <v>227</v>
      </c>
      <c r="AM126" s="0" t="s">
        <v>227</v>
      </c>
      <c r="AN126" s="0" t="s">
        <v>227</v>
      </c>
      <c r="AO126" s="0" t="s">
        <v>227</v>
      </c>
      <c r="AP126" s="0" t="s">
        <v>227</v>
      </c>
      <c r="AQ126" s="0" t="s">
        <v>227</v>
      </c>
      <c r="AR126" s="0" t="s">
        <v>227</v>
      </c>
      <c r="AS126" s="0" t="s">
        <v>227</v>
      </c>
      <c r="AT126" s="0" t="s">
        <v>227</v>
      </c>
      <c r="AU126" s="0" t="s">
        <v>227</v>
      </c>
      <c r="AV126" s="0" t="s">
        <v>227</v>
      </c>
      <c r="AW126" s="0" t="s">
        <v>227</v>
      </c>
      <c r="AX126" s="0" t="s">
        <v>227</v>
      </c>
      <c r="AY126" s="0" t="s">
        <v>227</v>
      </c>
      <c r="AZ126" s="0" t="s">
        <v>227</v>
      </c>
      <c r="BA126" s="0" t="s">
        <v>227</v>
      </c>
      <c r="BB126" s="0" t="s">
        <v>227</v>
      </c>
      <c r="BC126" s="0" t="s">
        <v>227</v>
      </c>
      <c r="BD126" s="0" t="s">
        <v>227</v>
      </c>
      <c r="BE126" s="0" t="s">
        <v>5688</v>
      </c>
      <c r="BF126" s="0" t="s">
        <v>5893</v>
      </c>
      <c r="BG126" s="0" t="s">
        <v>112</v>
      </c>
      <c r="BH126" s="0" t="s">
        <v>5690</v>
      </c>
      <c r="BI126" s="0" t="s">
        <v>5691</v>
      </c>
      <c r="BJ126" s="0" t="s">
        <v>227</v>
      </c>
      <c r="BK126" s="0" t="s">
        <v>952</v>
      </c>
      <c r="BL126" s="0" t="s">
        <v>354</v>
      </c>
      <c r="BM126" s="0" t="s">
        <v>354</v>
      </c>
      <c r="BN126" s="0" t="s">
        <v>5693</v>
      </c>
      <c r="BO126" s="0" t="s">
        <v>5701</v>
      </c>
      <c r="BP126" s="0" t="s">
        <v>5706</v>
      </c>
      <c r="BQ126" s="0" t="s">
        <v>5707</v>
      </c>
      <c r="BR126" s="0" t="s">
        <v>5708</v>
      </c>
      <c r="BS126" s="0" t="s">
        <v>227</v>
      </c>
      <c r="BT126" s="0" t="s">
        <v>5695</v>
      </c>
      <c r="BU126" s="0" t="s">
        <v>5763</v>
      </c>
      <c r="BV126" s="0" t="s">
        <v>5763</v>
      </c>
      <c r="BW126" s="0" t="s">
        <v>5697</v>
      </c>
      <c r="BX126" s="0" t="s">
        <v>5697</v>
      </c>
      <c r="BY126" s="0" t="s">
        <v>5697</v>
      </c>
      <c r="BZ126" s="0" t="s">
        <v>5697</v>
      </c>
      <c r="CA126" s="0" t="s">
        <v>5697</v>
      </c>
      <c r="CB126" s="0" t="s">
        <v>227</v>
      </c>
      <c r="CC126" s="0" t="s">
        <v>227</v>
      </c>
      <c r="CD126" s="0" t="s">
        <v>227</v>
      </c>
      <c r="CE126" s="0" t="s">
        <v>227</v>
      </c>
      <c r="CF126" s="0" t="s">
        <v>227</v>
      </c>
      <c r="CG126" s="0" t="s">
        <v>5697</v>
      </c>
      <c r="CH126" s="0" t="s">
        <v>227</v>
      </c>
      <c r="CI126" s="0" t="s">
        <v>227</v>
      </c>
      <c r="CJ126" s="0" t="s">
        <v>227</v>
      </c>
      <c r="CK126" s="0" t="s">
        <v>227</v>
      </c>
      <c r="CL126" s="0" t="s">
        <v>227</v>
      </c>
      <c r="CM126" s="0" t="s">
        <v>5763</v>
      </c>
      <c r="CN126" s="0" t="s">
        <v>5763</v>
      </c>
      <c r="CO126" s="0" t="s">
        <v>227</v>
      </c>
      <c r="CP126" s="0" t="s">
        <v>227</v>
      </c>
      <c r="CQ126" s="0" t="s">
        <v>227</v>
      </c>
      <c r="CR126" s="0" t="s">
        <v>227</v>
      </c>
      <c r="CS126" s="0" t="s">
        <v>5698</v>
      </c>
      <c r="CT126" s="0" t="s">
        <v>5679</v>
      </c>
      <c r="CU126" s="0" t="s">
        <v>5680</v>
      </c>
      <c r="CV126" s="0" t="s">
        <v>430</v>
      </c>
      <c r="CW126" s="0" t="s">
        <v>5699</v>
      </c>
      <c r="CX126" s="0" t="s">
        <v>431</v>
      </c>
      <c r="CY126" s="0" t="s">
        <v>430</v>
      </c>
      <c r="CZ126" s="0" t="s">
        <v>432</v>
      </c>
      <c r="DA126" s="0" t="s">
        <v>433</v>
      </c>
      <c r="DB126" s="0" t="s">
        <v>5700</v>
      </c>
      <c r="DC126" s="0" t="s">
        <v>373</v>
      </c>
      <c r="DD126" s="0" t="s">
        <v>277</v>
      </c>
      <c r="DE126" s="0" t="s">
        <v>899</v>
      </c>
    </row>
    <row customHeight="1" ht="11.25">
      <c r="A127" s="1806" t="s">
        <v>227</v>
      </c>
      <c r="B127" s="0" t="s">
        <v>227</v>
      </c>
      <c r="C127" s="0" t="s">
        <v>227</v>
      </c>
      <c r="D127" s="0" t="s">
        <v>227</v>
      </c>
      <c r="E127" s="0" t="s">
        <v>227</v>
      </c>
      <c r="F127" s="0" t="s">
        <v>227</v>
      </c>
      <c r="G127" s="0" t="s">
        <v>227</v>
      </c>
      <c r="H127" s="0" t="s">
        <v>227</v>
      </c>
      <c r="I127" s="0" t="s">
        <v>5667</v>
      </c>
      <c r="J127" s="0" t="s">
        <v>227</v>
      </c>
      <c r="K127" s="0" t="s">
        <v>227</v>
      </c>
      <c r="L127" s="0" t="s">
        <v>227</v>
      </c>
      <c r="M127" s="0" t="s">
        <v>227</v>
      </c>
      <c r="N127" s="0" t="s">
        <v>227</v>
      </c>
      <c r="O127" s="0" t="s">
        <v>227</v>
      </c>
      <c r="P127" s="0" t="s">
        <v>227</v>
      </c>
      <c r="Q127" s="0" t="s">
        <v>227</v>
      </c>
      <c r="R127" s="0" t="s">
        <v>904</v>
      </c>
      <c r="S127" s="0" t="s">
        <v>227</v>
      </c>
      <c r="T127" s="0" t="s">
        <v>227</v>
      </c>
      <c r="U127" s="0" t="s">
        <v>102</v>
      </c>
      <c r="V127" s="0" t="s">
        <v>227</v>
      </c>
      <c r="W127" s="0" t="s">
        <v>227</v>
      </c>
      <c r="X127" s="0" t="s">
        <v>5683</v>
      </c>
      <c r="Y127" s="0" t="s">
        <v>227</v>
      </c>
      <c r="Z127" s="0" t="s">
        <v>152</v>
      </c>
      <c r="AA127" s="0" t="s">
        <v>152</v>
      </c>
      <c r="AB127" s="0" t="s">
        <v>161</v>
      </c>
      <c r="AC127" s="0" t="s">
        <v>354</v>
      </c>
      <c r="AD127" s="0" t="s">
        <v>354</v>
      </c>
      <c r="AE127" s="0" t="s">
        <v>355</v>
      </c>
      <c r="AF127" s="0" t="s">
        <v>5701</v>
      </c>
      <c r="AG127" s="0" t="s">
        <v>5702</v>
      </c>
      <c r="AH127" s="0" t="s">
        <v>6054</v>
      </c>
      <c r="AI127" s="0" t="s">
        <v>6055</v>
      </c>
      <c r="AJ127" s="0" t="s">
        <v>227</v>
      </c>
      <c r="AK127" s="0" t="s">
        <v>227</v>
      </c>
      <c r="AL127" s="0" t="s">
        <v>227</v>
      </c>
      <c r="AM127" s="0" t="s">
        <v>227</v>
      </c>
      <c r="AN127" s="0" t="s">
        <v>227</v>
      </c>
      <c r="AO127" s="0" t="s">
        <v>227</v>
      </c>
      <c r="AP127" s="0" t="s">
        <v>227</v>
      </c>
      <c r="AQ127" s="0" t="s">
        <v>227</v>
      </c>
      <c r="AR127" s="0" t="s">
        <v>227</v>
      </c>
      <c r="AS127" s="0" t="s">
        <v>227</v>
      </c>
      <c r="AT127" s="0" t="s">
        <v>227</v>
      </c>
      <c r="AU127" s="0" t="s">
        <v>227</v>
      </c>
      <c r="AV127" s="0" t="s">
        <v>227</v>
      </c>
      <c r="AW127" s="0" t="s">
        <v>227</v>
      </c>
      <c r="AX127" s="0" t="s">
        <v>227</v>
      </c>
      <c r="AY127" s="0" t="s">
        <v>227</v>
      </c>
      <c r="AZ127" s="0" t="s">
        <v>227</v>
      </c>
      <c r="BA127" s="0" t="s">
        <v>227</v>
      </c>
      <c r="BB127" s="0" t="s">
        <v>227</v>
      </c>
      <c r="BC127" s="0" t="s">
        <v>227</v>
      </c>
      <c r="BD127" s="0" t="s">
        <v>227</v>
      </c>
      <c r="BE127" s="0" t="s">
        <v>5688</v>
      </c>
      <c r="BF127" s="0" t="s">
        <v>5768</v>
      </c>
      <c r="BG127" s="0" t="s">
        <v>112</v>
      </c>
      <c r="BH127" s="0" t="s">
        <v>5690</v>
      </c>
      <c r="BI127" s="0" t="s">
        <v>5691</v>
      </c>
      <c r="BJ127" s="0" t="s">
        <v>227</v>
      </c>
      <c r="BK127" s="0" t="s">
        <v>952</v>
      </c>
      <c r="BL127" s="0" t="s">
        <v>354</v>
      </c>
      <c r="BM127" s="0" t="s">
        <v>354</v>
      </c>
      <c r="BN127" s="0" t="s">
        <v>5693</v>
      </c>
      <c r="BO127" s="0" t="s">
        <v>5701</v>
      </c>
      <c r="BP127" s="0" t="s">
        <v>5706</v>
      </c>
      <c r="BQ127" s="0" t="s">
        <v>5707</v>
      </c>
      <c r="BR127" s="0" t="s">
        <v>5708</v>
      </c>
      <c r="BS127" s="0" t="s">
        <v>227</v>
      </c>
      <c r="BT127" s="0" t="s">
        <v>5695</v>
      </c>
      <c r="BU127" s="0" t="s">
        <v>6056</v>
      </c>
      <c r="BV127" s="0" t="s">
        <v>6056</v>
      </c>
      <c r="BW127" s="0" t="s">
        <v>5697</v>
      </c>
      <c r="BX127" s="0" t="s">
        <v>5697</v>
      </c>
      <c r="BY127" s="0" t="s">
        <v>5697</v>
      </c>
      <c r="BZ127" s="0" t="s">
        <v>5697</v>
      </c>
      <c r="CA127" s="0" t="s">
        <v>5697</v>
      </c>
      <c r="CB127" s="0" t="s">
        <v>227</v>
      </c>
      <c r="CC127" s="0" t="s">
        <v>227</v>
      </c>
      <c r="CD127" s="0" t="s">
        <v>227</v>
      </c>
      <c r="CE127" s="0" t="s">
        <v>227</v>
      </c>
      <c r="CF127" s="0" t="s">
        <v>227</v>
      </c>
      <c r="CG127" s="0" t="s">
        <v>5697</v>
      </c>
      <c r="CH127" s="0" t="s">
        <v>227</v>
      </c>
      <c r="CI127" s="0" t="s">
        <v>227</v>
      </c>
      <c r="CJ127" s="0" t="s">
        <v>227</v>
      </c>
      <c r="CK127" s="0" t="s">
        <v>227</v>
      </c>
      <c r="CL127" s="0" t="s">
        <v>227</v>
      </c>
      <c r="CM127" s="0" t="s">
        <v>6056</v>
      </c>
      <c r="CN127" s="0" t="s">
        <v>6056</v>
      </c>
      <c r="CO127" s="0" t="s">
        <v>227</v>
      </c>
      <c r="CP127" s="0" t="s">
        <v>227</v>
      </c>
      <c r="CQ127" s="0" t="s">
        <v>227</v>
      </c>
      <c r="CR127" s="0" t="s">
        <v>227</v>
      </c>
      <c r="CS127" s="0" t="s">
        <v>5698</v>
      </c>
      <c r="CT127" s="0" t="s">
        <v>5679</v>
      </c>
      <c r="CU127" s="0" t="s">
        <v>5680</v>
      </c>
      <c r="CV127" s="0" t="s">
        <v>430</v>
      </c>
      <c r="CW127" s="0" t="s">
        <v>5699</v>
      </c>
      <c r="CX127" s="0" t="s">
        <v>431</v>
      </c>
      <c r="CY127" s="0" t="s">
        <v>430</v>
      </c>
      <c r="CZ127" s="0" t="s">
        <v>432</v>
      </c>
      <c r="DA127" s="0" t="s">
        <v>433</v>
      </c>
      <c r="DB127" s="0" t="s">
        <v>5700</v>
      </c>
      <c r="DC127" s="0" t="s">
        <v>373</v>
      </c>
      <c r="DD127" s="0" t="s">
        <v>277</v>
      </c>
      <c r="DE127" s="0" t="s">
        <v>905</v>
      </c>
    </row>
    <row customHeight="1" ht="11.25">
      <c r="A128" s="1806" t="s">
        <v>227</v>
      </c>
      <c r="B128" s="0" t="s">
        <v>227</v>
      </c>
      <c r="C128" s="0" t="s">
        <v>227</v>
      </c>
      <c r="D128" s="0" t="s">
        <v>227</v>
      </c>
      <c r="E128" s="0" t="s">
        <v>227</v>
      </c>
      <c r="F128" s="0" t="s">
        <v>227</v>
      </c>
      <c r="G128" s="0" t="s">
        <v>227</v>
      </c>
      <c r="H128" s="0" t="s">
        <v>227</v>
      </c>
      <c r="I128" s="0" t="s">
        <v>5667</v>
      </c>
      <c r="J128" s="0" t="s">
        <v>227</v>
      </c>
      <c r="K128" s="0" t="s">
        <v>227</v>
      </c>
      <c r="L128" s="0" t="s">
        <v>227</v>
      </c>
      <c r="M128" s="0" t="s">
        <v>227</v>
      </c>
      <c r="N128" s="0" t="s">
        <v>227</v>
      </c>
      <c r="O128" s="0" t="s">
        <v>227</v>
      </c>
      <c r="P128" s="0" t="s">
        <v>227</v>
      </c>
      <c r="Q128" s="0" t="s">
        <v>227</v>
      </c>
      <c r="R128" s="0" t="s">
        <v>916</v>
      </c>
      <c r="S128" s="0" t="s">
        <v>227</v>
      </c>
      <c r="T128" s="0" t="s">
        <v>227</v>
      </c>
      <c r="U128" s="0" t="s">
        <v>102</v>
      </c>
      <c r="V128" s="0" t="s">
        <v>227</v>
      </c>
      <c r="W128" s="0" t="s">
        <v>227</v>
      </c>
      <c r="X128" s="0" t="s">
        <v>5683</v>
      </c>
      <c r="Y128" s="0" t="s">
        <v>227</v>
      </c>
      <c r="Z128" s="0" t="s">
        <v>152</v>
      </c>
      <c r="AA128" s="0" t="s">
        <v>152</v>
      </c>
      <c r="AB128" s="0" t="s">
        <v>161</v>
      </c>
      <c r="AC128" s="0" t="s">
        <v>354</v>
      </c>
      <c r="AD128" s="0" t="s">
        <v>354</v>
      </c>
      <c r="AE128" s="0" t="s">
        <v>355</v>
      </c>
      <c r="AF128" s="0" t="s">
        <v>5701</v>
      </c>
      <c r="AG128" s="0" t="s">
        <v>5702</v>
      </c>
      <c r="AH128" s="0" t="s">
        <v>6057</v>
      </c>
      <c r="AI128" s="0" t="s">
        <v>6035</v>
      </c>
      <c r="AJ128" s="0" t="s">
        <v>227</v>
      </c>
      <c r="AK128" s="0" t="s">
        <v>227</v>
      </c>
      <c r="AL128" s="0" t="s">
        <v>227</v>
      </c>
      <c r="AM128" s="0" t="s">
        <v>227</v>
      </c>
      <c r="AN128" s="0" t="s">
        <v>227</v>
      </c>
      <c r="AO128" s="0" t="s">
        <v>227</v>
      </c>
      <c r="AP128" s="0" t="s">
        <v>227</v>
      </c>
      <c r="AQ128" s="0" t="s">
        <v>227</v>
      </c>
      <c r="AR128" s="0" t="s">
        <v>227</v>
      </c>
      <c r="AS128" s="0" t="s">
        <v>227</v>
      </c>
      <c r="AT128" s="0" t="s">
        <v>227</v>
      </c>
      <c r="AU128" s="0" t="s">
        <v>227</v>
      </c>
      <c r="AV128" s="0" t="s">
        <v>227</v>
      </c>
      <c r="AW128" s="0" t="s">
        <v>227</v>
      </c>
      <c r="AX128" s="0" t="s">
        <v>227</v>
      </c>
      <c r="AY128" s="0" t="s">
        <v>227</v>
      </c>
      <c r="AZ128" s="0" t="s">
        <v>227</v>
      </c>
      <c r="BA128" s="0" t="s">
        <v>227</v>
      </c>
      <c r="BB128" s="0" t="s">
        <v>227</v>
      </c>
      <c r="BC128" s="0" t="s">
        <v>227</v>
      </c>
      <c r="BD128" s="0" t="s">
        <v>227</v>
      </c>
      <c r="BE128" s="0" t="s">
        <v>5688</v>
      </c>
      <c r="BF128" s="0" t="s">
        <v>5921</v>
      </c>
      <c r="BG128" s="0" t="s">
        <v>112</v>
      </c>
      <c r="BH128" s="0" t="s">
        <v>5690</v>
      </c>
      <c r="BI128" s="0" t="s">
        <v>5691</v>
      </c>
      <c r="BJ128" s="0" t="s">
        <v>227</v>
      </c>
      <c r="BK128" s="0" t="s">
        <v>952</v>
      </c>
      <c r="BL128" s="0" t="s">
        <v>354</v>
      </c>
      <c r="BM128" s="0" t="s">
        <v>354</v>
      </c>
      <c r="BN128" s="0" t="s">
        <v>5693</v>
      </c>
      <c r="BO128" s="0" t="s">
        <v>5701</v>
      </c>
      <c r="BP128" s="0" t="s">
        <v>5706</v>
      </c>
      <c r="BQ128" s="0" t="s">
        <v>5707</v>
      </c>
      <c r="BR128" s="0" t="s">
        <v>5708</v>
      </c>
      <c r="BS128" s="0" t="s">
        <v>227</v>
      </c>
      <c r="BT128" s="0" t="s">
        <v>5695</v>
      </c>
      <c r="BU128" s="0" t="s">
        <v>6018</v>
      </c>
      <c r="BV128" s="0" t="s">
        <v>6018</v>
      </c>
      <c r="BW128" s="0" t="s">
        <v>5697</v>
      </c>
      <c r="BX128" s="0" t="s">
        <v>5697</v>
      </c>
      <c r="BY128" s="0" t="s">
        <v>5697</v>
      </c>
      <c r="BZ128" s="0" t="s">
        <v>5697</v>
      </c>
      <c r="CA128" s="0" t="s">
        <v>5697</v>
      </c>
      <c r="CB128" s="0" t="s">
        <v>227</v>
      </c>
      <c r="CC128" s="0" t="s">
        <v>227</v>
      </c>
      <c r="CD128" s="0" t="s">
        <v>227</v>
      </c>
      <c r="CE128" s="0" t="s">
        <v>227</v>
      </c>
      <c r="CF128" s="0" t="s">
        <v>227</v>
      </c>
      <c r="CG128" s="0" t="s">
        <v>5697</v>
      </c>
      <c r="CH128" s="0" t="s">
        <v>227</v>
      </c>
      <c r="CI128" s="0" t="s">
        <v>227</v>
      </c>
      <c r="CJ128" s="0" t="s">
        <v>227</v>
      </c>
      <c r="CK128" s="0" t="s">
        <v>227</v>
      </c>
      <c r="CL128" s="0" t="s">
        <v>227</v>
      </c>
      <c r="CM128" s="0" t="s">
        <v>6018</v>
      </c>
      <c r="CN128" s="0" t="s">
        <v>6018</v>
      </c>
      <c r="CO128" s="0" t="s">
        <v>227</v>
      </c>
      <c r="CP128" s="0" t="s">
        <v>227</v>
      </c>
      <c r="CQ128" s="0" t="s">
        <v>227</v>
      </c>
      <c r="CR128" s="0" t="s">
        <v>227</v>
      </c>
      <c r="CS128" s="0" t="s">
        <v>5698</v>
      </c>
      <c r="CT128" s="0" t="s">
        <v>5679</v>
      </c>
      <c r="CU128" s="0" t="s">
        <v>5680</v>
      </c>
      <c r="CV128" s="0" t="s">
        <v>430</v>
      </c>
      <c r="CW128" s="0" t="s">
        <v>5699</v>
      </c>
      <c r="CX128" s="0" t="s">
        <v>431</v>
      </c>
      <c r="CY128" s="0" t="s">
        <v>430</v>
      </c>
      <c r="CZ128" s="0" t="s">
        <v>432</v>
      </c>
      <c r="DA128" s="0" t="s">
        <v>433</v>
      </c>
      <c r="DB128" s="0" t="s">
        <v>5700</v>
      </c>
      <c r="DC128" s="0" t="s">
        <v>373</v>
      </c>
      <c r="DD128" s="0" t="s">
        <v>277</v>
      </c>
      <c r="DE128" s="0" t="s">
        <v>917</v>
      </c>
    </row>
    <row customHeight="1" ht="11.25">
      <c r="A129" s="1806" t="s">
        <v>227</v>
      </c>
      <c r="B129" s="0" t="s">
        <v>227</v>
      </c>
      <c r="C129" s="0" t="s">
        <v>227</v>
      </c>
      <c r="D129" s="0" t="s">
        <v>227</v>
      </c>
      <c r="E129" s="0" t="s">
        <v>227</v>
      </c>
      <c r="F129" s="0" t="s">
        <v>227</v>
      </c>
      <c r="G129" s="0" t="s">
        <v>227</v>
      </c>
      <c r="H129" s="0" t="s">
        <v>227</v>
      </c>
      <c r="I129" s="0" t="s">
        <v>5667</v>
      </c>
      <c r="J129" s="0" t="s">
        <v>227</v>
      </c>
      <c r="K129" s="0" t="s">
        <v>227</v>
      </c>
      <c r="L129" s="0" t="s">
        <v>227</v>
      </c>
      <c r="M129" s="0" t="s">
        <v>227</v>
      </c>
      <c r="N129" s="0" t="s">
        <v>227</v>
      </c>
      <c r="O129" s="0" t="s">
        <v>227</v>
      </c>
      <c r="P129" s="0" t="s">
        <v>227</v>
      </c>
      <c r="Q129" s="0" t="s">
        <v>227</v>
      </c>
      <c r="R129" s="0" t="s">
        <v>615</v>
      </c>
      <c r="S129" s="0" t="s">
        <v>227</v>
      </c>
      <c r="T129" s="0" t="s">
        <v>227</v>
      </c>
      <c r="U129" s="0" t="s">
        <v>102</v>
      </c>
      <c r="V129" s="0" t="s">
        <v>227</v>
      </c>
      <c r="W129" s="0" t="s">
        <v>227</v>
      </c>
      <c r="X129" s="0" t="s">
        <v>5683</v>
      </c>
      <c r="Y129" s="0" t="s">
        <v>227</v>
      </c>
      <c r="Z129" s="0" t="s">
        <v>152</v>
      </c>
      <c r="AA129" s="0" t="s">
        <v>152</v>
      </c>
      <c r="AB129" s="0" t="s">
        <v>161</v>
      </c>
      <c r="AC129" s="0" t="s">
        <v>354</v>
      </c>
      <c r="AD129" s="0" t="s">
        <v>354</v>
      </c>
      <c r="AE129" s="0" t="s">
        <v>355</v>
      </c>
      <c r="AF129" s="0" t="s">
        <v>5684</v>
      </c>
      <c r="AG129" s="0" t="s">
        <v>5685</v>
      </c>
      <c r="AH129" s="0" t="s">
        <v>5947</v>
      </c>
      <c r="AI129" s="0" t="s">
        <v>6058</v>
      </c>
      <c r="AJ129" s="0" t="s">
        <v>227</v>
      </c>
      <c r="AK129" s="0" t="s">
        <v>227</v>
      </c>
      <c r="AL129" s="0" t="s">
        <v>227</v>
      </c>
      <c r="AM129" s="0" t="s">
        <v>227</v>
      </c>
      <c r="AN129" s="0" t="s">
        <v>227</v>
      </c>
      <c r="AO129" s="0" t="s">
        <v>227</v>
      </c>
      <c r="AP129" s="0" t="s">
        <v>227</v>
      </c>
      <c r="AQ129" s="0" t="s">
        <v>227</v>
      </c>
      <c r="AR129" s="0" t="s">
        <v>227</v>
      </c>
      <c r="AS129" s="0" t="s">
        <v>227</v>
      </c>
      <c r="AT129" s="0" t="s">
        <v>227</v>
      </c>
      <c r="AU129" s="0" t="s">
        <v>227</v>
      </c>
      <c r="AV129" s="0" t="s">
        <v>227</v>
      </c>
      <c r="AW129" s="0" t="s">
        <v>227</v>
      </c>
      <c r="AX129" s="0" t="s">
        <v>227</v>
      </c>
      <c r="AY129" s="0" t="s">
        <v>227</v>
      </c>
      <c r="AZ129" s="0" t="s">
        <v>227</v>
      </c>
      <c r="BA129" s="0" t="s">
        <v>227</v>
      </c>
      <c r="BB129" s="0" t="s">
        <v>227</v>
      </c>
      <c r="BC129" s="0" t="s">
        <v>227</v>
      </c>
      <c r="BD129" s="0" t="s">
        <v>227</v>
      </c>
      <c r="BE129" s="0" t="s">
        <v>5971</v>
      </c>
      <c r="BF129" s="0" t="s">
        <v>5972</v>
      </c>
      <c r="BG129" s="0" t="s">
        <v>112</v>
      </c>
      <c r="BH129" s="0" t="s">
        <v>5690</v>
      </c>
      <c r="BI129" s="0" t="s">
        <v>5691</v>
      </c>
      <c r="BJ129" s="0" t="s">
        <v>227</v>
      </c>
      <c r="BK129" s="0" t="s">
        <v>5692</v>
      </c>
      <c r="BL129" s="0" t="s">
        <v>354</v>
      </c>
      <c r="BM129" s="0" t="s">
        <v>354</v>
      </c>
      <c r="BN129" s="0" t="s">
        <v>5693</v>
      </c>
      <c r="BO129" s="0" t="s">
        <v>5684</v>
      </c>
      <c r="BP129" s="0" t="s">
        <v>5694</v>
      </c>
      <c r="BQ129" s="0" t="s">
        <v>5692</v>
      </c>
      <c r="BR129" s="0" t="s">
        <v>5692</v>
      </c>
      <c r="BS129" s="0" t="s">
        <v>227</v>
      </c>
      <c r="BT129" s="0" t="s">
        <v>5709</v>
      </c>
      <c r="BU129" s="0" t="s">
        <v>5850</v>
      </c>
      <c r="BV129" s="0" t="s">
        <v>5850</v>
      </c>
      <c r="BW129" s="0" t="s">
        <v>5697</v>
      </c>
      <c r="BX129" s="0" t="s">
        <v>5697</v>
      </c>
      <c r="BY129" s="0" t="s">
        <v>5697</v>
      </c>
      <c r="BZ129" s="0" t="s">
        <v>5697</v>
      </c>
      <c r="CA129" s="0" t="s">
        <v>5697</v>
      </c>
      <c r="CB129" s="0" t="s">
        <v>227</v>
      </c>
      <c r="CC129" s="0" t="s">
        <v>227</v>
      </c>
      <c r="CD129" s="0" t="s">
        <v>227</v>
      </c>
      <c r="CE129" s="0" t="s">
        <v>227</v>
      </c>
      <c r="CF129" s="0" t="s">
        <v>227</v>
      </c>
      <c r="CG129" s="0" t="s">
        <v>5697</v>
      </c>
      <c r="CH129" s="0" t="s">
        <v>227</v>
      </c>
      <c r="CI129" s="0" t="s">
        <v>227</v>
      </c>
      <c r="CJ129" s="0" t="s">
        <v>227</v>
      </c>
      <c r="CK129" s="0" t="s">
        <v>227</v>
      </c>
      <c r="CL129" s="0" t="s">
        <v>227</v>
      </c>
      <c r="CM129" s="0" t="s">
        <v>5850</v>
      </c>
      <c r="CN129" s="0" t="s">
        <v>5850</v>
      </c>
      <c r="CO129" s="0" t="s">
        <v>227</v>
      </c>
      <c r="CP129" s="0" t="s">
        <v>227</v>
      </c>
      <c r="CQ129" s="0" t="s">
        <v>227</v>
      </c>
      <c r="CR129" s="0" t="s">
        <v>227</v>
      </c>
      <c r="CS129" s="0" t="s">
        <v>5714</v>
      </c>
      <c r="CT129" s="0" t="s">
        <v>5679</v>
      </c>
      <c r="CU129" s="0" t="s">
        <v>5680</v>
      </c>
      <c r="CV129" s="0" t="s">
        <v>430</v>
      </c>
      <c r="CW129" s="0" t="s">
        <v>5699</v>
      </c>
      <c r="CX129" s="0" t="s">
        <v>431</v>
      </c>
      <c r="CY129" s="0" t="s">
        <v>430</v>
      </c>
      <c r="CZ129" s="0" t="s">
        <v>432</v>
      </c>
      <c r="DA129" s="0" t="s">
        <v>433</v>
      </c>
      <c r="DB129" s="0" t="s">
        <v>5700</v>
      </c>
      <c r="DC129" s="0" t="s">
        <v>373</v>
      </c>
      <c r="DD129" s="0" t="s">
        <v>277</v>
      </c>
      <c r="DE129" s="0" t="s">
        <v>616</v>
      </c>
    </row>
    <row customHeight="1" ht="11.25">
      <c r="A130" s="1806" t="s">
        <v>227</v>
      </c>
      <c r="B130" s="0" t="s">
        <v>227</v>
      </c>
      <c r="C130" s="0" t="s">
        <v>227</v>
      </c>
      <c r="D130" s="0" t="s">
        <v>227</v>
      </c>
      <c r="E130" s="0" t="s">
        <v>227</v>
      </c>
      <c r="F130" s="0" t="s">
        <v>227</v>
      </c>
      <c r="G130" s="0" t="s">
        <v>227</v>
      </c>
      <c r="H130" s="0" t="s">
        <v>227</v>
      </c>
      <c r="I130" s="0" t="s">
        <v>5667</v>
      </c>
      <c r="J130" s="0" t="s">
        <v>227</v>
      </c>
      <c r="K130" s="0" t="s">
        <v>227</v>
      </c>
      <c r="L130" s="0" t="s">
        <v>227</v>
      </c>
      <c r="M130" s="0" t="s">
        <v>227</v>
      </c>
      <c r="N130" s="0" t="s">
        <v>227</v>
      </c>
      <c r="O130" s="0" t="s">
        <v>227</v>
      </c>
      <c r="P130" s="0" t="s">
        <v>227</v>
      </c>
      <c r="Q130" s="0" t="s">
        <v>227</v>
      </c>
      <c r="R130" s="0" t="s">
        <v>527</v>
      </c>
      <c r="S130" s="0" t="s">
        <v>227</v>
      </c>
      <c r="T130" s="0" t="s">
        <v>227</v>
      </c>
      <c r="U130" s="0" t="s">
        <v>102</v>
      </c>
      <c r="V130" s="0" t="s">
        <v>227</v>
      </c>
      <c r="W130" s="0" t="s">
        <v>227</v>
      </c>
      <c r="X130" s="0" t="s">
        <v>5683</v>
      </c>
      <c r="Y130" s="0" t="s">
        <v>227</v>
      </c>
      <c r="Z130" s="0" t="s">
        <v>152</v>
      </c>
      <c r="AA130" s="0" t="s">
        <v>152</v>
      </c>
      <c r="AB130" s="0" t="s">
        <v>161</v>
      </c>
      <c r="AC130" s="0" t="s">
        <v>354</v>
      </c>
      <c r="AD130" s="0" t="s">
        <v>354</v>
      </c>
      <c r="AE130" s="0" t="s">
        <v>355</v>
      </c>
      <c r="AF130" s="0" t="s">
        <v>5684</v>
      </c>
      <c r="AG130" s="0" t="s">
        <v>5685</v>
      </c>
      <c r="AH130" s="0" t="s">
        <v>6059</v>
      </c>
      <c r="AI130" s="0" t="s">
        <v>6060</v>
      </c>
      <c r="AJ130" s="0" t="s">
        <v>227</v>
      </c>
      <c r="AK130" s="0" t="s">
        <v>227</v>
      </c>
      <c r="AL130" s="0" t="s">
        <v>227</v>
      </c>
      <c r="AM130" s="0" t="s">
        <v>227</v>
      </c>
      <c r="AN130" s="0" t="s">
        <v>227</v>
      </c>
      <c r="AO130" s="0" t="s">
        <v>227</v>
      </c>
      <c r="AP130" s="0" t="s">
        <v>227</v>
      </c>
      <c r="AQ130" s="0" t="s">
        <v>227</v>
      </c>
      <c r="AR130" s="0" t="s">
        <v>227</v>
      </c>
      <c r="AS130" s="0" t="s">
        <v>227</v>
      </c>
      <c r="AT130" s="0" t="s">
        <v>227</v>
      </c>
      <c r="AU130" s="0" t="s">
        <v>227</v>
      </c>
      <c r="AV130" s="0" t="s">
        <v>227</v>
      </c>
      <c r="AW130" s="0" t="s">
        <v>227</v>
      </c>
      <c r="AX130" s="0" t="s">
        <v>227</v>
      </c>
      <c r="AY130" s="0" t="s">
        <v>227</v>
      </c>
      <c r="AZ130" s="0" t="s">
        <v>227</v>
      </c>
      <c r="BA130" s="0" t="s">
        <v>227</v>
      </c>
      <c r="BB130" s="0" t="s">
        <v>227</v>
      </c>
      <c r="BC130" s="0" t="s">
        <v>227</v>
      </c>
      <c r="BD130" s="0" t="s">
        <v>227</v>
      </c>
      <c r="BE130" s="0" t="s">
        <v>5971</v>
      </c>
      <c r="BF130" s="0" t="s">
        <v>6038</v>
      </c>
      <c r="BG130" s="0" t="s">
        <v>112</v>
      </c>
      <c r="BH130" s="0" t="s">
        <v>5690</v>
      </c>
      <c r="BI130" s="0" t="s">
        <v>5691</v>
      </c>
      <c r="BJ130" s="0" t="s">
        <v>227</v>
      </c>
      <c r="BK130" s="0" t="s">
        <v>5692</v>
      </c>
      <c r="BL130" s="0" t="s">
        <v>354</v>
      </c>
      <c r="BM130" s="0" t="s">
        <v>354</v>
      </c>
      <c r="BN130" s="0" t="s">
        <v>5693</v>
      </c>
      <c r="BO130" s="0" t="s">
        <v>5684</v>
      </c>
      <c r="BP130" s="0" t="s">
        <v>5694</v>
      </c>
      <c r="BQ130" s="0" t="s">
        <v>5692</v>
      </c>
      <c r="BR130" s="0" t="s">
        <v>5692</v>
      </c>
      <c r="BS130" s="0" t="s">
        <v>227</v>
      </c>
      <c r="BT130" s="0" t="s">
        <v>5709</v>
      </c>
      <c r="BU130" s="0" t="s">
        <v>5696</v>
      </c>
      <c r="BV130" s="0" t="s">
        <v>5696</v>
      </c>
      <c r="BW130" s="0" t="s">
        <v>5697</v>
      </c>
      <c r="BX130" s="0" t="s">
        <v>5697</v>
      </c>
      <c r="BY130" s="0" t="s">
        <v>5697</v>
      </c>
      <c r="BZ130" s="0" t="s">
        <v>5697</v>
      </c>
      <c r="CA130" s="0" t="s">
        <v>5697</v>
      </c>
      <c r="CB130" s="0" t="s">
        <v>227</v>
      </c>
      <c r="CC130" s="0" t="s">
        <v>227</v>
      </c>
      <c r="CD130" s="0" t="s">
        <v>227</v>
      </c>
      <c r="CE130" s="0" t="s">
        <v>227</v>
      </c>
      <c r="CF130" s="0" t="s">
        <v>227</v>
      </c>
      <c r="CG130" s="0" t="s">
        <v>5697</v>
      </c>
      <c r="CH130" s="0" t="s">
        <v>227</v>
      </c>
      <c r="CI130" s="0" t="s">
        <v>227</v>
      </c>
      <c r="CJ130" s="0" t="s">
        <v>227</v>
      </c>
      <c r="CK130" s="0" t="s">
        <v>227</v>
      </c>
      <c r="CL130" s="0" t="s">
        <v>227</v>
      </c>
      <c r="CM130" s="0" t="s">
        <v>5696</v>
      </c>
      <c r="CN130" s="0" t="s">
        <v>5696</v>
      </c>
      <c r="CO130" s="0" t="s">
        <v>227</v>
      </c>
      <c r="CP130" s="0" t="s">
        <v>227</v>
      </c>
      <c r="CQ130" s="0" t="s">
        <v>227</v>
      </c>
      <c r="CR130" s="0" t="s">
        <v>227</v>
      </c>
      <c r="CS130" s="0" t="s">
        <v>5714</v>
      </c>
      <c r="CT130" s="0" t="s">
        <v>5679</v>
      </c>
      <c r="CU130" s="0" t="s">
        <v>5680</v>
      </c>
      <c r="CV130" s="0" t="s">
        <v>430</v>
      </c>
      <c r="CW130" s="0" t="s">
        <v>5699</v>
      </c>
      <c r="CX130" s="0" t="s">
        <v>431</v>
      </c>
      <c r="CY130" s="0" t="s">
        <v>430</v>
      </c>
      <c r="CZ130" s="0" t="s">
        <v>432</v>
      </c>
      <c r="DA130" s="0" t="s">
        <v>433</v>
      </c>
      <c r="DB130" s="0" t="s">
        <v>5700</v>
      </c>
      <c r="DC130" s="0" t="s">
        <v>373</v>
      </c>
      <c r="DD130" s="0" t="s">
        <v>277</v>
      </c>
      <c r="DE130" s="0" t="s">
        <v>528</v>
      </c>
    </row>
    <row customHeight="1" ht="11.25">
      <c r="A131" s="1806" t="s">
        <v>227</v>
      </c>
      <c r="B131" s="0" t="s">
        <v>227</v>
      </c>
      <c r="C131" s="0" t="s">
        <v>227</v>
      </c>
      <c r="D131" s="0" t="s">
        <v>227</v>
      </c>
      <c r="E131" s="0" t="s">
        <v>227</v>
      </c>
      <c r="F131" s="0" t="s">
        <v>227</v>
      </c>
      <c r="G131" s="0" t="s">
        <v>227</v>
      </c>
      <c r="H131" s="0" t="s">
        <v>227</v>
      </c>
      <c r="I131" s="0" t="s">
        <v>5667</v>
      </c>
      <c r="J131" s="0" t="s">
        <v>227</v>
      </c>
      <c r="K131" s="0" t="s">
        <v>227</v>
      </c>
      <c r="L131" s="0" t="s">
        <v>227</v>
      </c>
      <c r="M131" s="0" t="s">
        <v>227</v>
      </c>
      <c r="N131" s="0" t="s">
        <v>227</v>
      </c>
      <c r="O131" s="0" t="s">
        <v>227</v>
      </c>
      <c r="P131" s="0" t="s">
        <v>227</v>
      </c>
      <c r="Q131" s="0" t="s">
        <v>227</v>
      </c>
      <c r="R131" s="0" t="s">
        <v>803</v>
      </c>
      <c r="S131" s="0" t="s">
        <v>227</v>
      </c>
      <c r="T131" s="0" t="s">
        <v>227</v>
      </c>
      <c r="U131" s="0" t="s">
        <v>102</v>
      </c>
      <c r="V131" s="0" t="s">
        <v>227</v>
      </c>
      <c r="W131" s="0" t="s">
        <v>227</v>
      </c>
      <c r="X131" s="0" t="s">
        <v>5683</v>
      </c>
      <c r="Y131" s="0" t="s">
        <v>227</v>
      </c>
      <c r="Z131" s="0" t="s">
        <v>152</v>
      </c>
      <c r="AA131" s="0" t="s">
        <v>152</v>
      </c>
      <c r="AB131" s="0" t="s">
        <v>161</v>
      </c>
      <c r="AC131" s="0" t="s">
        <v>354</v>
      </c>
      <c r="AD131" s="0" t="s">
        <v>354</v>
      </c>
      <c r="AE131" s="0" t="s">
        <v>355</v>
      </c>
      <c r="AF131" s="0" t="s">
        <v>5701</v>
      </c>
      <c r="AG131" s="0" t="s">
        <v>5702</v>
      </c>
      <c r="AH131" s="0" t="s">
        <v>5703</v>
      </c>
      <c r="AI131" s="0" t="s">
        <v>538</v>
      </c>
      <c r="AJ131" s="0" t="s">
        <v>227</v>
      </c>
      <c r="AK131" s="0" t="s">
        <v>227</v>
      </c>
      <c r="AL131" s="0" t="s">
        <v>227</v>
      </c>
      <c r="AM131" s="0" t="s">
        <v>227</v>
      </c>
      <c r="AN131" s="0" t="s">
        <v>227</v>
      </c>
      <c r="AO131" s="0" t="s">
        <v>227</v>
      </c>
      <c r="AP131" s="0" t="s">
        <v>227</v>
      </c>
      <c r="AQ131" s="0" t="s">
        <v>227</v>
      </c>
      <c r="AR131" s="0" t="s">
        <v>227</v>
      </c>
      <c r="AS131" s="0" t="s">
        <v>227</v>
      </c>
      <c r="AT131" s="0" t="s">
        <v>227</v>
      </c>
      <c r="AU131" s="0" t="s">
        <v>227</v>
      </c>
      <c r="AV131" s="0" t="s">
        <v>227</v>
      </c>
      <c r="AW131" s="0" t="s">
        <v>227</v>
      </c>
      <c r="AX131" s="0" t="s">
        <v>227</v>
      </c>
      <c r="AY131" s="0" t="s">
        <v>227</v>
      </c>
      <c r="AZ131" s="0" t="s">
        <v>227</v>
      </c>
      <c r="BA131" s="0" t="s">
        <v>227</v>
      </c>
      <c r="BB131" s="0" t="s">
        <v>227</v>
      </c>
      <c r="BC131" s="0" t="s">
        <v>227</v>
      </c>
      <c r="BD131" s="0" t="s">
        <v>227</v>
      </c>
      <c r="BE131" s="0" t="s">
        <v>5688</v>
      </c>
      <c r="BF131" s="0" t="s">
        <v>6061</v>
      </c>
      <c r="BG131" s="0" t="s">
        <v>112</v>
      </c>
      <c r="BH131" s="0" t="s">
        <v>5690</v>
      </c>
      <c r="BI131" s="0" t="s">
        <v>5691</v>
      </c>
      <c r="BJ131" s="0" t="s">
        <v>227</v>
      </c>
      <c r="BK131" s="0" t="s">
        <v>952</v>
      </c>
      <c r="BL131" s="0" t="s">
        <v>354</v>
      </c>
      <c r="BM131" s="0" t="s">
        <v>354</v>
      </c>
      <c r="BN131" s="0" t="s">
        <v>5693</v>
      </c>
      <c r="BO131" s="0" t="s">
        <v>5701</v>
      </c>
      <c r="BP131" s="0" t="s">
        <v>5706</v>
      </c>
      <c r="BQ131" s="0" t="s">
        <v>5707</v>
      </c>
      <c r="BR131" s="0" t="s">
        <v>5708</v>
      </c>
      <c r="BS131" s="0" t="s">
        <v>227</v>
      </c>
      <c r="BT131" s="0" t="s">
        <v>5709</v>
      </c>
      <c r="BU131" s="0" t="s">
        <v>5894</v>
      </c>
      <c r="BV131" s="0" t="s">
        <v>5894</v>
      </c>
      <c r="BW131" s="0" t="s">
        <v>5697</v>
      </c>
      <c r="BX131" s="0" t="s">
        <v>5697</v>
      </c>
      <c r="BY131" s="0" t="s">
        <v>5697</v>
      </c>
      <c r="BZ131" s="0" t="s">
        <v>5697</v>
      </c>
      <c r="CA131" s="0" t="s">
        <v>5697</v>
      </c>
      <c r="CB131" s="0" t="s">
        <v>227</v>
      </c>
      <c r="CC131" s="0" t="s">
        <v>227</v>
      </c>
      <c r="CD131" s="0" t="s">
        <v>227</v>
      </c>
      <c r="CE131" s="0" t="s">
        <v>227</v>
      </c>
      <c r="CF131" s="0" t="s">
        <v>227</v>
      </c>
      <c r="CG131" s="0" t="s">
        <v>5697</v>
      </c>
      <c r="CH131" s="0" t="s">
        <v>227</v>
      </c>
      <c r="CI131" s="0" t="s">
        <v>227</v>
      </c>
      <c r="CJ131" s="0" t="s">
        <v>227</v>
      </c>
      <c r="CK131" s="0" t="s">
        <v>227</v>
      </c>
      <c r="CL131" s="0" t="s">
        <v>227</v>
      </c>
      <c r="CM131" s="0" t="s">
        <v>5894</v>
      </c>
      <c r="CN131" s="0" t="s">
        <v>5894</v>
      </c>
      <c r="CO131" s="0" t="s">
        <v>227</v>
      </c>
      <c r="CP131" s="0" t="s">
        <v>227</v>
      </c>
      <c r="CQ131" s="0" t="s">
        <v>227</v>
      </c>
      <c r="CR131" s="0" t="s">
        <v>227</v>
      </c>
      <c r="CS131" s="0" t="s">
        <v>5733</v>
      </c>
      <c r="CT131" s="0" t="s">
        <v>5679</v>
      </c>
      <c r="CU131" s="0" t="s">
        <v>5680</v>
      </c>
      <c r="CV131" s="0" t="s">
        <v>430</v>
      </c>
      <c r="CW131" s="0" t="s">
        <v>5699</v>
      </c>
      <c r="CX131" s="0" t="s">
        <v>431</v>
      </c>
      <c r="CY131" s="0" t="s">
        <v>430</v>
      </c>
      <c r="CZ131" s="0" t="s">
        <v>432</v>
      </c>
      <c r="DA131" s="0" t="s">
        <v>433</v>
      </c>
      <c r="DB131" s="0" t="s">
        <v>5700</v>
      </c>
      <c r="DC131" s="0" t="s">
        <v>373</v>
      </c>
      <c r="DD131" s="0" t="s">
        <v>277</v>
      </c>
      <c r="DE131" s="0" t="s">
        <v>804</v>
      </c>
    </row>
    <row customHeight="1" ht="11.25">
      <c r="A132" s="1806" t="s">
        <v>227</v>
      </c>
      <c r="B132" s="0" t="s">
        <v>227</v>
      </c>
      <c r="C132" s="0" t="s">
        <v>227</v>
      </c>
      <c r="D132" s="0" t="s">
        <v>227</v>
      </c>
      <c r="E132" s="0" t="s">
        <v>227</v>
      </c>
      <c r="F132" s="0" t="s">
        <v>227</v>
      </c>
      <c r="G132" s="0" t="s">
        <v>227</v>
      </c>
      <c r="H132" s="0" t="s">
        <v>227</v>
      </c>
      <c r="I132" s="0" t="s">
        <v>5667</v>
      </c>
      <c r="J132" s="0" t="s">
        <v>227</v>
      </c>
      <c r="K132" s="0" t="s">
        <v>227</v>
      </c>
      <c r="L132" s="0" t="s">
        <v>227</v>
      </c>
      <c r="M132" s="0" t="s">
        <v>227</v>
      </c>
      <c r="N132" s="0" t="s">
        <v>227</v>
      </c>
      <c r="O132" s="0" t="s">
        <v>227</v>
      </c>
      <c r="P132" s="0" t="s">
        <v>227</v>
      </c>
      <c r="Q132" s="0" t="s">
        <v>227</v>
      </c>
      <c r="R132" s="0" t="s">
        <v>699</v>
      </c>
      <c r="S132" s="0" t="s">
        <v>227</v>
      </c>
      <c r="T132" s="0" t="s">
        <v>227</v>
      </c>
      <c r="U132" s="0" t="s">
        <v>102</v>
      </c>
      <c r="V132" s="0" t="s">
        <v>227</v>
      </c>
      <c r="W132" s="0" t="s">
        <v>227</v>
      </c>
      <c r="X132" s="0" t="s">
        <v>5683</v>
      </c>
      <c r="Y132" s="0" t="s">
        <v>227</v>
      </c>
      <c r="Z132" s="0" t="s">
        <v>152</v>
      </c>
      <c r="AA132" s="0" t="s">
        <v>152</v>
      </c>
      <c r="AB132" s="0" t="s">
        <v>161</v>
      </c>
      <c r="AC132" s="0" t="s">
        <v>354</v>
      </c>
      <c r="AD132" s="0" t="s">
        <v>354</v>
      </c>
      <c r="AE132" s="0" t="s">
        <v>355</v>
      </c>
      <c r="AF132" s="0" t="s">
        <v>5684</v>
      </c>
      <c r="AG132" s="0" t="s">
        <v>5685</v>
      </c>
      <c r="AH132" s="0" t="s">
        <v>6062</v>
      </c>
      <c r="AI132" s="0" t="s">
        <v>6063</v>
      </c>
      <c r="AJ132" s="0" t="s">
        <v>227</v>
      </c>
      <c r="AK132" s="0" t="s">
        <v>227</v>
      </c>
      <c r="AL132" s="0" t="s">
        <v>227</v>
      </c>
      <c r="AM132" s="0" t="s">
        <v>227</v>
      </c>
      <c r="AN132" s="0" t="s">
        <v>227</v>
      </c>
      <c r="AO132" s="0" t="s">
        <v>227</v>
      </c>
      <c r="AP132" s="0" t="s">
        <v>227</v>
      </c>
      <c r="AQ132" s="0" t="s">
        <v>227</v>
      </c>
      <c r="AR132" s="0" t="s">
        <v>227</v>
      </c>
      <c r="AS132" s="0" t="s">
        <v>227</v>
      </c>
      <c r="AT132" s="0" t="s">
        <v>227</v>
      </c>
      <c r="AU132" s="0" t="s">
        <v>227</v>
      </c>
      <c r="AV132" s="0" t="s">
        <v>227</v>
      </c>
      <c r="AW132" s="0" t="s">
        <v>227</v>
      </c>
      <c r="AX132" s="0" t="s">
        <v>227</v>
      </c>
      <c r="AY132" s="0" t="s">
        <v>227</v>
      </c>
      <c r="AZ132" s="0" t="s">
        <v>227</v>
      </c>
      <c r="BA132" s="0" t="s">
        <v>227</v>
      </c>
      <c r="BB132" s="0" t="s">
        <v>227</v>
      </c>
      <c r="BC132" s="0" t="s">
        <v>227</v>
      </c>
      <c r="BD132" s="0" t="s">
        <v>227</v>
      </c>
      <c r="BE132" s="0" t="s">
        <v>5743</v>
      </c>
      <c r="BF132" s="0" t="s">
        <v>5773</v>
      </c>
      <c r="BG132" s="0" t="s">
        <v>112</v>
      </c>
      <c r="BH132" s="0" t="s">
        <v>5690</v>
      </c>
      <c r="BI132" s="0" t="s">
        <v>5691</v>
      </c>
      <c r="BJ132" s="0" t="s">
        <v>227</v>
      </c>
      <c r="BK132" s="0" t="s">
        <v>5692</v>
      </c>
      <c r="BL132" s="0" t="s">
        <v>354</v>
      </c>
      <c r="BM132" s="0" t="s">
        <v>354</v>
      </c>
      <c r="BN132" s="0" t="s">
        <v>5693</v>
      </c>
      <c r="BO132" s="0" t="s">
        <v>5684</v>
      </c>
      <c r="BP132" s="0" t="s">
        <v>5694</v>
      </c>
      <c r="BQ132" s="0" t="s">
        <v>5692</v>
      </c>
      <c r="BR132" s="0" t="s">
        <v>5692</v>
      </c>
      <c r="BS132" s="0" t="s">
        <v>227</v>
      </c>
      <c r="BT132" s="0" t="s">
        <v>5712</v>
      </c>
      <c r="BU132" s="0" t="s">
        <v>5850</v>
      </c>
      <c r="BV132" s="0" t="s">
        <v>5850</v>
      </c>
      <c r="BW132" s="0" t="s">
        <v>5697</v>
      </c>
      <c r="BX132" s="0" t="s">
        <v>5697</v>
      </c>
      <c r="BY132" s="0" t="s">
        <v>5697</v>
      </c>
      <c r="BZ132" s="0" t="s">
        <v>5697</v>
      </c>
      <c r="CA132" s="0" t="s">
        <v>5697</v>
      </c>
      <c r="CB132" s="0" t="s">
        <v>227</v>
      </c>
      <c r="CC132" s="0" t="s">
        <v>227</v>
      </c>
      <c r="CD132" s="0" t="s">
        <v>227</v>
      </c>
      <c r="CE132" s="0" t="s">
        <v>227</v>
      </c>
      <c r="CF132" s="0" t="s">
        <v>227</v>
      </c>
      <c r="CG132" s="0" t="s">
        <v>5697</v>
      </c>
      <c r="CH132" s="0" t="s">
        <v>227</v>
      </c>
      <c r="CI132" s="0" t="s">
        <v>227</v>
      </c>
      <c r="CJ132" s="0" t="s">
        <v>227</v>
      </c>
      <c r="CK132" s="0" t="s">
        <v>227</v>
      </c>
      <c r="CL132" s="0" t="s">
        <v>227</v>
      </c>
      <c r="CM132" s="0" t="s">
        <v>5850</v>
      </c>
      <c r="CN132" s="0" t="s">
        <v>5850</v>
      </c>
      <c r="CO132" s="0" t="s">
        <v>227</v>
      </c>
      <c r="CP132" s="0" t="s">
        <v>227</v>
      </c>
      <c r="CQ132" s="0" t="s">
        <v>227</v>
      </c>
      <c r="CR132" s="0" t="s">
        <v>227</v>
      </c>
      <c r="CS132" s="0" t="s">
        <v>5749</v>
      </c>
      <c r="CT132" s="0" t="s">
        <v>5679</v>
      </c>
      <c r="CU132" s="0" t="s">
        <v>5680</v>
      </c>
      <c r="CV132" s="0" t="s">
        <v>430</v>
      </c>
      <c r="CW132" s="0" t="s">
        <v>5699</v>
      </c>
      <c r="CX132" s="0" t="s">
        <v>431</v>
      </c>
      <c r="CY132" s="0" t="s">
        <v>430</v>
      </c>
      <c r="CZ132" s="0" t="s">
        <v>432</v>
      </c>
      <c r="DA132" s="0" t="s">
        <v>433</v>
      </c>
      <c r="DB132" s="0" t="s">
        <v>5700</v>
      </c>
      <c r="DC132" s="0" t="s">
        <v>373</v>
      </c>
      <c r="DD132" s="0" t="s">
        <v>277</v>
      </c>
      <c r="DE132" s="0" t="s">
        <v>700</v>
      </c>
    </row>
    <row customHeight="1" ht="11.25">
      <c r="A133" s="1806" t="s">
        <v>227</v>
      </c>
      <c r="B133" s="0" t="s">
        <v>227</v>
      </c>
      <c r="C133" s="0" t="s">
        <v>227</v>
      </c>
      <c r="D133" s="0" t="s">
        <v>227</v>
      </c>
      <c r="E133" s="0" t="s">
        <v>227</v>
      </c>
      <c r="F133" s="0" t="s">
        <v>227</v>
      </c>
      <c r="G133" s="0" t="s">
        <v>227</v>
      </c>
      <c r="H133" s="0" t="s">
        <v>227</v>
      </c>
      <c r="I133" s="0" t="s">
        <v>5667</v>
      </c>
      <c r="J133" s="0" t="s">
        <v>227</v>
      </c>
      <c r="K133" s="0" t="s">
        <v>227</v>
      </c>
      <c r="L133" s="0" t="s">
        <v>227</v>
      </c>
      <c r="M133" s="0" t="s">
        <v>227</v>
      </c>
      <c r="N133" s="0" t="s">
        <v>227</v>
      </c>
      <c r="O133" s="0" t="s">
        <v>227</v>
      </c>
      <c r="P133" s="0" t="s">
        <v>227</v>
      </c>
      <c r="Q133" s="0" t="s">
        <v>227</v>
      </c>
      <c r="R133" s="0" t="s">
        <v>744</v>
      </c>
      <c r="S133" s="0" t="s">
        <v>227</v>
      </c>
      <c r="T133" s="0" t="s">
        <v>227</v>
      </c>
      <c r="U133" s="0" t="s">
        <v>102</v>
      </c>
      <c r="V133" s="0" t="s">
        <v>227</v>
      </c>
      <c r="W133" s="0" t="s">
        <v>227</v>
      </c>
      <c r="X133" s="0" t="s">
        <v>5683</v>
      </c>
      <c r="Y133" s="0" t="s">
        <v>227</v>
      </c>
      <c r="Z133" s="0" t="s">
        <v>152</v>
      </c>
      <c r="AA133" s="0" t="s">
        <v>152</v>
      </c>
      <c r="AB133" s="0" t="s">
        <v>161</v>
      </c>
      <c r="AC133" s="0" t="s">
        <v>354</v>
      </c>
      <c r="AD133" s="0" t="s">
        <v>354</v>
      </c>
      <c r="AE133" s="0" t="s">
        <v>355</v>
      </c>
      <c r="AF133" s="0" t="s">
        <v>5701</v>
      </c>
      <c r="AG133" s="0" t="s">
        <v>5702</v>
      </c>
      <c r="AH133" s="0" t="s">
        <v>6064</v>
      </c>
      <c r="AI133" s="0" t="s">
        <v>5692</v>
      </c>
      <c r="AJ133" s="0" t="s">
        <v>227</v>
      </c>
      <c r="AK133" s="0" t="s">
        <v>227</v>
      </c>
      <c r="AL133" s="0" t="s">
        <v>227</v>
      </c>
      <c r="AM133" s="0" t="s">
        <v>227</v>
      </c>
      <c r="AN133" s="0" t="s">
        <v>227</v>
      </c>
      <c r="AO133" s="0" t="s">
        <v>227</v>
      </c>
      <c r="AP133" s="0" t="s">
        <v>227</v>
      </c>
      <c r="AQ133" s="0" t="s">
        <v>227</v>
      </c>
      <c r="AR133" s="0" t="s">
        <v>227</v>
      </c>
      <c r="AS133" s="0" t="s">
        <v>227</v>
      </c>
      <c r="AT133" s="0" t="s">
        <v>227</v>
      </c>
      <c r="AU133" s="0" t="s">
        <v>227</v>
      </c>
      <c r="AV133" s="0" t="s">
        <v>227</v>
      </c>
      <c r="AW133" s="0" t="s">
        <v>227</v>
      </c>
      <c r="AX133" s="0" t="s">
        <v>227</v>
      </c>
      <c r="AY133" s="0" t="s">
        <v>227</v>
      </c>
      <c r="AZ133" s="0" t="s">
        <v>227</v>
      </c>
      <c r="BA133" s="0" t="s">
        <v>227</v>
      </c>
      <c r="BB133" s="0" t="s">
        <v>227</v>
      </c>
      <c r="BC133" s="0" t="s">
        <v>227</v>
      </c>
      <c r="BD133" s="0" t="s">
        <v>227</v>
      </c>
      <c r="BE133" s="0" t="s">
        <v>5728</v>
      </c>
      <c r="BF133" s="0" t="s">
        <v>5873</v>
      </c>
      <c r="BG133" s="0" t="s">
        <v>112</v>
      </c>
      <c r="BH133" s="0" t="s">
        <v>5690</v>
      </c>
      <c r="BI133" s="0" t="s">
        <v>5691</v>
      </c>
      <c r="BJ133" s="0" t="s">
        <v>227</v>
      </c>
      <c r="BK133" s="0" t="s">
        <v>952</v>
      </c>
      <c r="BL133" s="0" t="s">
        <v>354</v>
      </c>
      <c r="BM133" s="0" t="s">
        <v>354</v>
      </c>
      <c r="BN133" s="0" t="s">
        <v>5693</v>
      </c>
      <c r="BO133" s="0" t="s">
        <v>5701</v>
      </c>
      <c r="BP133" s="0" t="s">
        <v>5706</v>
      </c>
      <c r="BQ133" s="0" t="s">
        <v>5707</v>
      </c>
      <c r="BR133" s="0" t="s">
        <v>5708</v>
      </c>
      <c r="BS133" s="0" t="s">
        <v>227</v>
      </c>
      <c r="BT133" s="0" t="s">
        <v>5695</v>
      </c>
      <c r="BU133" s="0" t="s">
        <v>6065</v>
      </c>
      <c r="BV133" s="0" t="s">
        <v>6065</v>
      </c>
      <c r="BW133" s="0" t="s">
        <v>5697</v>
      </c>
      <c r="BX133" s="0" t="s">
        <v>5697</v>
      </c>
      <c r="BY133" s="0" t="s">
        <v>5697</v>
      </c>
      <c r="BZ133" s="0" t="s">
        <v>5697</v>
      </c>
      <c r="CA133" s="0" t="s">
        <v>5697</v>
      </c>
      <c r="CB133" s="0" t="s">
        <v>227</v>
      </c>
      <c r="CC133" s="0" t="s">
        <v>227</v>
      </c>
      <c r="CD133" s="0" t="s">
        <v>227</v>
      </c>
      <c r="CE133" s="0" t="s">
        <v>227</v>
      </c>
      <c r="CF133" s="0" t="s">
        <v>227</v>
      </c>
      <c r="CG133" s="0" t="s">
        <v>5697</v>
      </c>
      <c r="CH133" s="0" t="s">
        <v>227</v>
      </c>
      <c r="CI133" s="0" t="s">
        <v>227</v>
      </c>
      <c r="CJ133" s="0" t="s">
        <v>227</v>
      </c>
      <c r="CK133" s="0" t="s">
        <v>227</v>
      </c>
      <c r="CL133" s="0" t="s">
        <v>227</v>
      </c>
      <c r="CM133" s="0" t="s">
        <v>6065</v>
      </c>
      <c r="CN133" s="0" t="s">
        <v>6065</v>
      </c>
      <c r="CO133" s="0" t="s">
        <v>227</v>
      </c>
      <c r="CP133" s="0" t="s">
        <v>227</v>
      </c>
      <c r="CQ133" s="0" t="s">
        <v>227</v>
      </c>
      <c r="CR133" s="0" t="s">
        <v>227</v>
      </c>
      <c r="CS133" s="0" t="s">
        <v>5698</v>
      </c>
      <c r="CT133" s="0" t="s">
        <v>5679</v>
      </c>
      <c r="CU133" s="0" t="s">
        <v>5680</v>
      </c>
      <c r="CV133" s="0" t="s">
        <v>430</v>
      </c>
      <c r="CW133" s="0" t="s">
        <v>5699</v>
      </c>
      <c r="CX133" s="0" t="s">
        <v>431</v>
      </c>
      <c r="CY133" s="0" t="s">
        <v>430</v>
      </c>
      <c r="CZ133" s="0" t="s">
        <v>432</v>
      </c>
      <c r="DA133" s="0" t="s">
        <v>433</v>
      </c>
      <c r="DB133" s="0" t="s">
        <v>5700</v>
      </c>
      <c r="DC133" s="0" t="s">
        <v>373</v>
      </c>
      <c r="DD133" s="0" t="s">
        <v>277</v>
      </c>
      <c r="DE133" s="0" t="s">
        <v>745</v>
      </c>
    </row>
    <row customHeight="1" ht="11.25">
      <c r="A134" s="1806" t="s">
        <v>227</v>
      </c>
      <c r="B134" s="0" t="s">
        <v>227</v>
      </c>
      <c r="C134" s="0" t="s">
        <v>227</v>
      </c>
      <c r="D134" s="0" t="s">
        <v>227</v>
      </c>
      <c r="E134" s="0" t="s">
        <v>227</v>
      </c>
      <c r="F134" s="0" t="s">
        <v>227</v>
      </c>
      <c r="G134" s="0" t="s">
        <v>227</v>
      </c>
      <c r="H134" s="0" t="s">
        <v>227</v>
      </c>
      <c r="I134" s="0" t="s">
        <v>5667</v>
      </c>
      <c r="J134" s="0" t="s">
        <v>227</v>
      </c>
      <c r="K134" s="0" t="s">
        <v>227</v>
      </c>
      <c r="L134" s="0" t="s">
        <v>227</v>
      </c>
      <c r="M134" s="0" t="s">
        <v>227</v>
      </c>
      <c r="N134" s="0" t="s">
        <v>227</v>
      </c>
      <c r="O134" s="0" t="s">
        <v>227</v>
      </c>
      <c r="P134" s="0" t="s">
        <v>227</v>
      </c>
      <c r="Q134" s="0" t="s">
        <v>227</v>
      </c>
      <c r="R134" s="0" t="s">
        <v>721</v>
      </c>
      <c r="S134" s="0" t="s">
        <v>227</v>
      </c>
      <c r="T134" s="0" t="s">
        <v>227</v>
      </c>
      <c r="U134" s="0" t="s">
        <v>102</v>
      </c>
      <c r="V134" s="0" t="s">
        <v>227</v>
      </c>
      <c r="W134" s="0" t="s">
        <v>227</v>
      </c>
      <c r="X134" s="0" t="s">
        <v>5683</v>
      </c>
      <c r="Y134" s="0" t="s">
        <v>227</v>
      </c>
      <c r="Z134" s="0" t="s">
        <v>152</v>
      </c>
      <c r="AA134" s="0" t="s">
        <v>152</v>
      </c>
      <c r="AB134" s="0" t="s">
        <v>161</v>
      </c>
      <c r="AC134" s="0" t="s">
        <v>354</v>
      </c>
      <c r="AD134" s="0" t="s">
        <v>354</v>
      </c>
      <c r="AE134" s="0" t="s">
        <v>355</v>
      </c>
      <c r="AF134" s="0" t="s">
        <v>5701</v>
      </c>
      <c r="AG134" s="0" t="s">
        <v>5702</v>
      </c>
      <c r="AH134" s="0" t="s">
        <v>6066</v>
      </c>
      <c r="AI134" s="0" t="s">
        <v>5692</v>
      </c>
      <c r="AJ134" s="0" t="s">
        <v>227</v>
      </c>
      <c r="AK134" s="0" t="s">
        <v>227</v>
      </c>
      <c r="AL134" s="0" t="s">
        <v>227</v>
      </c>
      <c r="AM134" s="0" t="s">
        <v>227</v>
      </c>
      <c r="AN134" s="0" t="s">
        <v>227</v>
      </c>
      <c r="AO134" s="0" t="s">
        <v>227</v>
      </c>
      <c r="AP134" s="0" t="s">
        <v>227</v>
      </c>
      <c r="AQ134" s="0" t="s">
        <v>227</v>
      </c>
      <c r="AR134" s="0" t="s">
        <v>227</v>
      </c>
      <c r="AS134" s="0" t="s">
        <v>227</v>
      </c>
      <c r="AT134" s="0" t="s">
        <v>227</v>
      </c>
      <c r="AU134" s="0" t="s">
        <v>227</v>
      </c>
      <c r="AV134" s="0" t="s">
        <v>227</v>
      </c>
      <c r="AW134" s="0" t="s">
        <v>227</v>
      </c>
      <c r="AX134" s="0" t="s">
        <v>227</v>
      </c>
      <c r="AY134" s="0" t="s">
        <v>227</v>
      </c>
      <c r="AZ134" s="0" t="s">
        <v>227</v>
      </c>
      <c r="BA134" s="0" t="s">
        <v>227</v>
      </c>
      <c r="BB134" s="0" t="s">
        <v>227</v>
      </c>
      <c r="BC134" s="0" t="s">
        <v>227</v>
      </c>
      <c r="BD134" s="0" t="s">
        <v>227</v>
      </c>
      <c r="BE134" s="0" t="s">
        <v>5728</v>
      </c>
      <c r="BF134" s="0" t="s">
        <v>5729</v>
      </c>
      <c r="BG134" s="0" t="s">
        <v>112</v>
      </c>
      <c r="BH134" s="0" t="s">
        <v>5690</v>
      </c>
      <c r="BI134" s="0" t="s">
        <v>5691</v>
      </c>
      <c r="BJ134" s="0" t="s">
        <v>227</v>
      </c>
      <c r="BK134" s="0" t="s">
        <v>952</v>
      </c>
      <c r="BL134" s="0" t="s">
        <v>354</v>
      </c>
      <c r="BM134" s="0" t="s">
        <v>354</v>
      </c>
      <c r="BN134" s="0" t="s">
        <v>5693</v>
      </c>
      <c r="BO134" s="0" t="s">
        <v>5701</v>
      </c>
      <c r="BP134" s="0" t="s">
        <v>5706</v>
      </c>
      <c r="BQ134" s="0" t="s">
        <v>5707</v>
      </c>
      <c r="BR134" s="0" t="s">
        <v>5708</v>
      </c>
      <c r="BS134" s="0" t="s">
        <v>227</v>
      </c>
      <c r="BT134" s="0" t="s">
        <v>5695</v>
      </c>
      <c r="BU134" s="0" t="s">
        <v>6067</v>
      </c>
      <c r="BV134" s="0" t="s">
        <v>6067</v>
      </c>
      <c r="BW134" s="0" t="s">
        <v>5697</v>
      </c>
      <c r="BX134" s="0" t="s">
        <v>5697</v>
      </c>
      <c r="BY134" s="0" t="s">
        <v>5697</v>
      </c>
      <c r="BZ134" s="0" t="s">
        <v>5697</v>
      </c>
      <c r="CA134" s="0" t="s">
        <v>5697</v>
      </c>
      <c r="CB134" s="0" t="s">
        <v>227</v>
      </c>
      <c r="CC134" s="0" t="s">
        <v>227</v>
      </c>
      <c r="CD134" s="0" t="s">
        <v>227</v>
      </c>
      <c r="CE134" s="0" t="s">
        <v>227</v>
      </c>
      <c r="CF134" s="0" t="s">
        <v>227</v>
      </c>
      <c r="CG134" s="0" t="s">
        <v>5697</v>
      </c>
      <c r="CH134" s="0" t="s">
        <v>227</v>
      </c>
      <c r="CI134" s="0" t="s">
        <v>227</v>
      </c>
      <c r="CJ134" s="0" t="s">
        <v>227</v>
      </c>
      <c r="CK134" s="0" t="s">
        <v>227</v>
      </c>
      <c r="CL134" s="0" t="s">
        <v>227</v>
      </c>
      <c r="CM134" s="0" t="s">
        <v>6067</v>
      </c>
      <c r="CN134" s="0" t="s">
        <v>6067</v>
      </c>
      <c r="CO134" s="0" t="s">
        <v>227</v>
      </c>
      <c r="CP134" s="0" t="s">
        <v>227</v>
      </c>
      <c r="CQ134" s="0" t="s">
        <v>227</v>
      </c>
      <c r="CR134" s="0" t="s">
        <v>227</v>
      </c>
      <c r="CS134" s="0" t="s">
        <v>5759</v>
      </c>
      <c r="CT134" s="0" t="s">
        <v>5679</v>
      </c>
      <c r="CU134" s="0" t="s">
        <v>5680</v>
      </c>
      <c r="CV134" s="0" t="s">
        <v>430</v>
      </c>
      <c r="CW134" s="0" t="s">
        <v>5699</v>
      </c>
      <c r="CX134" s="0" t="s">
        <v>431</v>
      </c>
      <c r="CY134" s="0" t="s">
        <v>430</v>
      </c>
      <c r="CZ134" s="0" t="s">
        <v>432</v>
      </c>
      <c r="DA134" s="0" t="s">
        <v>433</v>
      </c>
      <c r="DB134" s="0" t="s">
        <v>5700</v>
      </c>
      <c r="DC134" s="0" t="s">
        <v>373</v>
      </c>
      <c r="DD134" s="0" t="s">
        <v>277</v>
      </c>
      <c r="DE134" s="0" t="s">
        <v>722</v>
      </c>
    </row>
    <row customHeight="1" ht="11.25">
      <c r="A135" s="1806" t="s">
        <v>227</v>
      </c>
      <c r="B135" s="0" t="s">
        <v>227</v>
      </c>
      <c r="C135" s="0" t="s">
        <v>227</v>
      </c>
      <c r="D135" s="0" t="s">
        <v>227</v>
      </c>
      <c r="E135" s="0" t="s">
        <v>227</v>
      </c>
      <c r="F135" s="0" t="s">
        <v>227</v>
      </c>
      <c r="G135" s="0" t="s">
        <v>227</v>
      </c>
      <c r="H135" s="0" t="s">
        <v>227</v>
      </c>
      <c r="I135" s="0" t="s">
        <v>5667</v>
      </c>
      <c r="J135" s="0" t="s">
        <v>227</v>
      </c>
      <c r="K135" s="0" t="s">
        <v>227</v>
      </c>
      <c r="L135" s="0" t="s">
        <v>227</v>
      </c>
      <c r="M135" s="0" t="s">
        <v>227</v>
      </c>
      <c r="N135" s="0" t="s">
        <v>227</v>
      </c>
      <c r="O135" s="0" t="s">
        <v>227</v>
      </c>
      <c r="P135" s="0" t="s">
        <v>227</v>
      </c>
      <c r="Q135" s="0" t="s">
        <v>227</v>
      </c>
      <c r="R135" s="0" t="s">
        <v>870</v>
      </c>
      <c r="S135" s="0" t="s">
        <v>227</v>
      </c>
      <c r="T135" s="0" t="s">
        <v>227</v>
      </c>
      <c r="U135" s="0" t="s">
        <v>102</v>
      </c>
      <c r="V135" s="0" t="s">
        <v>227</v>
      </c>
      <c r="W135" s="0" t="s">
        <v>227</v>
      </c>
      <c r="X135" s="0" t="s">
        <v>5683</v>
      </c>
      <c r="Y135" s="0" t="s">
        <v>227</v>
      </c>
      <c r="Z135" s="0" t="s">
        <v>152</v>
      </c>
      <c r="AA135" s="0" t="s">
        <v>152</v>
      </c>
      <c r="AB135" s="0" t="s">
        <v>161</v>
      </c>
      <c r="AC135" s="0" t="s">
        <v>354</v>
      </c>
      <c r="AD135" s="0" t="s">
        <v>354</v>
      </c>
      <c r="AE135" s="0" t="s">
        <v>355</v>
      </c>
      <c r="AF135" s="0" t="s">
        <v>5701</v>
      </c>
      <c r="AG135" s="0" t="s">
        <v>5702</v>
      </c>
      <c r="AH135" s="0" t="s">
        <v>6068</v>
      </c>
      <c r="AI135" s="0" t="s">
        <v>6069</v>
      </c>
      <c r="AJ135" s="0" t="s">
        <v>227</v>
      </c>
      <c r="AK135" s="0" t="s">
        <v>227</v>
      </c>
      <c r="AL135" s="0" t="s">
        <v>227</v>
      </c>
      <c r="AM135" s="0" t="s">
        <v>227</v>
      </c>
      <c r="AN135" s="0" t="s">
        <v>227</v>
      </c>
      <c r="AO135" s="0" t="s">
        <v>227</v>
      </c>
      <c r="AP135" s="0" t="s">
        <v>227</v>
      </c>
      <c r="AQ135" s="0" t="s">
        <v>227</v>
      </c>
      <c r="AR135" s="0" t="s">
        <v>227</v>
      </c>
      <c r="AS135" s="0" t="s">
        <v>227</v>
      </c>
      <c r="AT135" s="0" t="s">
        <v>227</v>
      </c>
      <c r="AU135" s="0" t="s">
        <v>227</v>
      </c>
      <c r="AV135" s="0" t="s">
        <v>227</v>
      </c>
      <c r="AW135" s="0" t="s">
        <v>227</v>
      </c>
      <c r="AX135" s="0" t="s">
        <v>227</v>
      </c>
      <c r="AY135" s="0" t="s">
        <v>227</v>
      </c>
      <c r="AZ135" s="0" t="s">
        <v>227</v>
      </c>
      <c r="BA135" s="0" t="s">
        <v>227</v>
      </c>
      <c r="BB135" s="0" t="s">
        <v>227</v>
      </c>
      <c r="BC135" s="0" t="s">
        <v>227</v>
      </c>
      <c r="BD135" s="0" t="s">
        <v>227</v>
      </c>
      <c r="BE135" s="0" t="s">
        <v>5688</v>
      </c>
      <c r="BF135" s="0" t="s">
        <v>5768</v>
      </c>
      <c r="BG135" s="0" t="s">
        <v>112</v>
      </c>
      <c r="BH135" s="0" t="s">
        <v>5690</v>
      </c>
      <c r="BI135" s="0" t="s">
        <v>5691</v>
      </c>
      <c r="BJ135" s="0" t="s">
        <v>227</v>
      </c>
      <c r="BK135" s="0" t="s">
        <v>952</v>
      </c>
      <c r="BL135" s="0" t="s">
        <v>354</v>
      </c>
      <c r="BM135" s="0" t="s">
        <v>354</v>
      </c>
      <c r="BN135" s="0" t="s">
        <v>5693</v>
      </c>
      <c r="BO135" s="0" t="s">
        <v>5701</v>
      </c>
      <c r="BP135" s="0" t="s">
        <v>5706</v>
      </c>
      <c r="BQ135" s="0" t="s">
        <v>5707</v>
      </c>
      <c r="BR135" s="0" t="s">
        <v>5708</v>
      </c>
      <c r="BS135" s="0" t="s">
        <v>227</v>
      </c>
      <c r="BT135" s="0" t="s">
        <v>5695</v>
      </c>
      <c r="BU135" s="0" t="s">
        <v>6070</v>
      </c>
      <c r="BV135" s="0" t="s">
        <v>6070</v>
      </c>
      <c r="BW135" s="0" t="s">
        <v>5697</v>
      </c>
      <c r="BX135" s="0" t="s">
        <v>5697</v>
      </c>
      <c r="BY135" s="0" t="s">
        <v>5697</v>
      </c>
      <c r="BZ135" s="0" t="s">
        <v>5697</v>
      </c>
      <c r="CA135" s="0" t="s">
        <v>5697</v>
      </c>
      <c r="CB135" s="0" t="s">
        <v>227</v>
      </c>
      <c r="CC135" s="0" t="s">
        <v>227</v>
      </c>
      <c r="CD135" s="0" t="s">
        <v>227</v>
      </c>
      <c r="CE135" s="0" t="s">
        <v>227</v>
      </c>
      <c r="CF135" s="0" t="s">
        <v>227</v>
      </c>
      <c r="CG135" s="0" t="s">
        <v>5697</v>
      </c>
      <c r="CH135" s="0" t="s">
        <v>227</v>
      </c>
      <c r="CI135" s="0" t="s">
        <v>227</v>
      </c>
      <c r="CJ135" s="0" t="s">
        <v>227</v>
      </c>
      <c r="CK135" s="0" t="s">
        <v>227</v>
      </c>
      <c r="CL135" s="0" t="s">
        <v>227</v>
      </c>
      <c r="CM135" s="0" t="s">
        <v>6070</v>
      </c>
      <c r="CN135" s="0" t="s">
        <v>6070</v>
      </c>
      <c r="CO135" s="0" t="s">
        <v>227</v>
      </c>
      <c r="CP135" s="0" t="s">
        <v>227</v>
      </c>
      <c r="CQ135" s="0" t="s">
        <v>227</v>
      </c>
      <c r="CR135" s="0" t="s">
        <v>227</v>
      </c>
      <c r="CS135" s="0" t="s">
        <v>5698</v>
      </c>
      <c r="CT135" s="0" t="s">
        <v>5679</v>
      </c>
      <c r="CU135" s="0" t="s">
        <v>5680</v>
      </c>
      <c r="CV135" s="0" t="s">
        <v>430</v>
      </c>
      <c r="CW135" s="0" t="s">
        <v>5699</v>
      </c>
      <c r="CX135" s="0" t="s">
        <v>431</v>
      </c>
      <c r="CY135" s="0" t="s">
        <v>430</v>
      </c>
      <c r="CZ135" s="0" t="s">
        <v>432</v>
      </c>
      <c r="DA135" s="0" t="s">
        <v>433</v>
      </c>
      <c r="DB135" s="0" t="s">
        <v>5700</v>
      </c>
      <c r="DC135" s="0" t="s">
        <v>373</v>
      </c>
      <c r="DD135" s="0" t="s">
        <v>277</v>
      </c>
      <c r="DE135" s="0" t="s">
        <v>871</v>
      </c>
    </row>
    <row customHeight="1" ht="11.25">
      <c r="A136" s="1806" t="s">
        <v>227</v>
      </c>
      <c r="B136" s="0" t="s">
        <v>227</v>
      </c>
      <c r="C136" s="0" t="s">
        <v>227</v>
      </c>
      <c r="D136" s="0" t="s">
        <v>227</v>
      </c>
      <c r="E136" s="0" t="s">
        <v>227</v>
      </c>
      <c r="F136" s="0" t="s">
        <v>227</v>
      </c>
      <c r="G136" s="0" t="s">
        <v>227</v>
      </c>
      <c r="H136" s="0" t="s">
        <v>227</v>
      </c>
      <c r="I136" s="0" t="s">
        <v>5667</v>
      </c>
      <c r="J136" s="0" t="s">
        <v>227</v>
      </c>
      <c r="K136" s="0" t="s">
        <v>227</v>
      </c>
      <c r="L136" s="0" t="s">
        <v>227</v>
      </c>
      <c r="M136" s="0" t="s">
        <v>227</v>
      </c>
      <c r="N136" s="0" t="s">
        <v>227</v>
      </c>
      <c r="O136" s="0" t="s">
        <v>227</v>
      </c>
      <c r="P136" s="0" t="s">
        <v>227</v>
      </c>
      <c r="Q136" s="0" t="s">
        <v>227</v>
      </c>
      <c r="R136" s="0" t="s">
        <v>815</v>
      </c>
      <c r="S136" s="0" t="s">
        <v>227</v>
      </c>
      <c r="T136" s="0" t="s">
        <v>227</v>
      </c>
      <c r="U136" s="0" t="s">
        <v>102</v>
      </c>
      <c r="V136" s="0" t="s">
        <v>227</v>
      </c>
      <c r="W136" s="0" t="s">
        <v>227</v>
      </c>
      <c r="X136" s="0" t="s">
        <v>5683</v>
      </c>
      <c r="Y136" s="0" t="s">
        <v>227</v>
      </c>
      <c r="Z136" s="0" t="s">
        <v>152</v>
      </c>
      <c r="AA136" s="0" t="s">
        <v>152</v>
      </c>
      <c r="AB136" s="0" t="s">
        <v>161</v>
      </c>
      <c r="AC136" s="0" t="s">
        <v>354</v>
      </c>
      <c r="AD136" s="0" t="s">
        <v>354</v>
      </c>
      <c r="AE136" s="0" t="s">
        <v>355</v>
      </c>
      <c r="AF136" s="0" t="s">
        <v>5701</v>
      </c>
      <c r="AG136" s="0" t="s">
        <v>5702</v>
      </c>
      <c r="AH136" s="0" t="s">
        <v>6071</v>
      </c>
      <c r="AI136" s="0" t="s">
        <v>6072</v>
      </c>
      <c r="AJ136" s="0" t="s">
        <v>227</v>
      </c>
      <c r="AK136" s="0" t="s">
        <v>227</v>
      </c>
      <c r="AL136" s="0" t="s">
        <v>227</v>
      </c>
      <c r="AM136" s="0" t="s">
        <v>227</v>
      </c>
      <c r="AN136" s="0" t="s">
        <v>227</v>
      </c>
      <c r="AO136" s="0" t="s">
        <v>227</v>
      </c>
      <c r="AP136" s="0" t="s">
        <v>227</v>
      </c>
      <c r="AQ136" s="0" t="s">
        <v>227</v>
      </c>
      <c r="AR136" s="0" t="s">
        <v>227</v>
      </c>
      <c r="AS136" s="0" t="s">
        <v>227</v>
      </c>
      <c r="AT136" s="0" t="s">
        <v>227</v>
      </c>
      <c r="AU136" s="0" t="s">
        <v>227</v>
      </c>
      <c r="AV136" s="0" t="s">
        <v>227</v>
      </c>
      <c r="AW136" s="0" t="s">
        <v>227</v>
      </c>
      <c r="AX136" s="0" t="s">
        <v>227</v>
      </c>
      <c r="AY136" s="0" t="s">
        <v>227</v>
      </c>
      <c r="AZ136" s="0" t="s">
        <v>227</v>
      </c>
      <c r="BA136" s="0" t="s">
        <v>227</v>
      </c>
      <c r="BB136" s="0" t="s">
        <v>227</v>
      </c>
      <c r="BC136" s="0" t="s">
        <v>227</v>
      </c>
      <c r="BD136" s="0" t="s">
        <v>227</v>
      </c>
      <c r="BE136" s="0" t="s">
        <v>5688</v>
      </c>
      <c r="BF136" s="0" t="s">
        <v>5922</v>
      </c>
      <c r="BG136" s="0" t="s">
        <v>112</v>
      </c>
      <c r="BH136" s="0" t="s">
        <v>5690</v>
      </c>
      <c r="BI136" s="0" t="s">
        <v>5691</v>
      </c>
      <c r="BJ136" s="0" t="s">
        <v>227</v>
      </c>
      <c r="BK136" s="0" t="s">
        <v>952</v>
      </c>
      <c r="BL136" s="0" t="s">
        <v>354</v>
      </c>
      <c r="BM136" s="0" t="s">
        <v>354</v>
      </c>
      <c r="BN136" s="0" t="s">
        <v>5693</v>
      </c>
      <c r="BO136" s="0" t="s">
        <v>5701</v>
      </c>
      <c r="BP136" s="0" t="s">
        <v>5706</v>
      </c>
      <c r="BQ136" s="0" t="s">
        <v>5707</v>
      </c>
      <c r="BR136" s="0" t="s">
        <v>5708</v>
      </c>
      <c r="BS136" s="0" t="s">
        <v>227</v>
      </c>
      <c r="BT136" s="0" t="s">
        <v>5695</v>
      </c>
      <c r="BU136" s="0" t="s">
        <v>6073</v>
      </c>
      <c r="BV136" s="0" t="s">
        <v>6073</v>
      </c>
      <c r="BW136" s="0" t="s">
        <v>5697</v>
      </c>
      <c r="BX136" s="0" t="s">
        <v>5697</v>
      </c>
      <c r="BY136" s="0" t="s">
        <v>5697</v>
      </c>
      <c r="BZ136" s="0" t="s">
        <v>5697</v>
      </c>
      <c r="CA136" s="0" t="s">
        <v>5697</v>
      </c>
      <c r="CB136" s="0" t="s">
        <v>227</v>
      </c>
      <c r="CC136" s="0" t="s">
        <v>227</v>
      </c>
      <c r="CD136" s="0" t="s">
        <v>227</v>
      </c>
      <c r="CE136" s="0" t="s">
        <v>227</v>
      </c>
      <c r="CF136" s="0" t="s">
        <v>227</v>
      </c>
      <c r="CG136" s="0" t="s">
        <v>5697</v>
      </c>
      <c r="CH136" s="0" t="s">
        <v>227</v>
      </c>
      <c r="CI136" s="0" t="s">
        <v>227</v>
      </c>
      <c r="CJ136" s="0" t="s">
        <v>227</v>
      </c>
      <c r="CK136" s="0" t="s">
        <v>227</v>
      </c>
      <c r="CL136" s="0" t="s">
        <v>227</v>
      </c>
      <c r="CM136" s="0" t="s">
        <v>6073</v>
      </c>
      <c r="CN136" s="0" t="s">
        <v>6073</v>
      </c>
      <c r="CO136" s="0" t="s">
        <v>227</v>
      </c>
      <c r="CP136" s="0" t="s">
        <v>227</v>
      </c>
      <c r="CQ136" s="0" t="s">
        <v>227</v>
      </c>
      <c r="CR136" s="0" t="s">
        <v>227</v>
      </c>
      <c r="CS136" s="0" t="s">
        <v>5733</v>
      </c>
      <c r="CT136" s="0" t="s">
        <v>5679</v>
      </c>
      <c r="CU136" s="0" t="s">
        <v>5680</v>
      </c>
      <c r="CV136" s="0" t="s">
        <v>430</v>
      </c>
      <c r="CW136" s="0" t="s">
        <v>5699</v>
      </c>
      <c r="CX136" s="0" t="s">
        <v>431</v>
      </c>
      <c r="CY136" s="0" t="s">
        <v>430</v>
      </c>
      <c r="CZ136" s="0" t="s">
        <v>432</v>
      </c>
      <c r="DA136" s="0" t="s">
        <v>433</v>
      </c>
      <c r="DB136" s="0" t="s">
        <v>5700</v>
      </c>
      <c r="DC136" s="0" t="s">
        <v>373</v>
      </c>
      <c r="DD136" s="0" t="s">
        <v>277</v>
      </c>
      <c r="DE136" s="0" t="s">
        <v>816</v>
      </c>
    </row>
    <row customHeight="1" ht="11.25">
      <c r="A137" s="1806" t="s">
        <v>227</v>
      </c>
      <c r="B137" s="0" t="s">
        <v>227</v>
      </c>
      <c r="C137" s="0" t="s">
        <v>227</v>
      </c>
      <c r="D137" s="0" t="s">
        <v>227</v>
      </c>
      <c r="E137" s="0" t="s">
        <v>227</v>
      </c>
      <c r="F137" s="0" t="s">
        <v>227</v>
      </c>
      <c r="G137" s="0" t="s">
        <v>227</v>
      </c>
      <c r="H137" s="0" t="s">
        <v>227</v>
      </c>
      <c r="I137" s="0" t="s">
        <v>5667</v>
      </c>
      <c r="J137" s="0" t="s">
        <v>227</v>
      </c>
      <c r="K137" s="0" t="s">
        <v>227</v>
      </c>
      <c r="L137" s="0" t="s">
        <v>227</v>
      </c>
      <c r="M137" s="0" t="s">
        <v>227</v>
      </c>
      <c r="N137" s="0" t="s">
        <v>227</v>
      </c>
      <c r="O137" s="0" t="s">
        <v>227</v>
      </c>
      <c r="P137" s="0" t="s">
        <v>227</v>
      </c>
      <c r="Q137" s="0" t="s">
        <v>227</v>
      </c>
      <c r="R137" s="0" t="s">
        <v>928</v>
      </c>
      <c r="S137" s="0" t="s">
        <v>227</v>
      </c>
      <c r="T137" s="0" t="s">
        <v>227</v>
      </c>
      <c r="U137" s="0" t="s">
        <v>102</v>
      </c>
      <c r="V137" s="0" t="s">
        <v>227</v>
      </c>
      <c r="W137" s="0" t="s">
        <v>227</v>
      </c>
      <c r="X137" s="0" t="s">
        <v>5683</v>
      </c>
      <c r="Y137" s="0" t="s">
        <v>227</v>
      </c>
      <c r="Z137" s="0" t="s">
        <v>152</v>
      </c>
      <c r="AA137" s="0" t="s">
        <v>152</v>
      </c>
      <c r="AB137" s="0" t="s">
        <v>161</v>
      </c>
      <c r="AC137" s="0" t="s">
        <v>354</v>
      </c>
      <c r="AD137" s="0" t="s">
        <v>354</v>
      </c>
      <c r="AE137" s="0" t="s">
        <v>355</v>
      </c>
      <c r="AF137" s="0" t="s">
        <v>5701</v>
      </c>
      <c r="AG137" s="0" t="s">
        <v>5702</v>
      </c>
      <c r="AH137" s="0" t="s">
        <v>6074</v>
      </c>
      <c r="AI137" s="0" t="s">
        <v>6026</v>
      </c>
      <c r="AJ137" s="0" t="s">
        <v>227</v>
      </c>
      <c r="AK137" s="0" t="s">
        <v>227</v>
      </c>
      <c r="AL137" s="0" t="s">
        <v>227</v>
      </c>
      <c r="AM137" s="0" t="s">
        <v>227</v>
      </c>
      <c r="AN137" s="0" t="s">
        <v>227</v>
      </c>
      <c r="AO137" s="0" t="s">
        <v>227</v>
      </c>
      <c r="AP137" s="0" t="s">
        <v>227</v>
      </c>
      <c r="AQ137" s="0" t="s">
        <v>227</v>
      </c>
      <c r="AR137" s="0" t="s">
        <v>227</v>
      </c>
      <c r="AS137" s="0" t="s">
        <v>227</v>
      </c>
      <c r="AT137" s="0" t="s">
        <v>227</v>
      </c>
      <c r="AU137" s="0" t="s">
        <v>227</v>
      </c>
      <c r="AV137" s="0" t="s">
        <v>227</v>
      </c>
      <c r="AW137" s="0" t="s">
        <v>227</v>
      </c>
      <c r="AX137" s="0" t="s">
        <v>227</v>
      </c>
      <c r="AY137" s="0" t="s">
        <v>227</v>
      </c>
      <c r="AZ137" s="0" t="s">
        <v>227</v>
      </c>
      <c r="BA137" s="0" t="s">
        <v>227</v>
      </c>
      <c r="BB137" s="0" t="s">
        <v>227</v>
      </c>
      <c r="BC137" s="0" t="s">
        <v>227</v>
      </c>
      <c r="BD137" s="0" t="s">
        <v>227</v>
      </c>
      <c r="BE137" s="0" t="s">
        <v>5978</v>
      </c>
      <c r="BF137" s="0" t="s">
        <v>6075</v>
      </c>
      <c r="BG137" s="0" t="s">
        <v>112</v>
      </c>
      <c r="BH137" s="0" t="s">
        <v>5690</v>
      </c>
      <c r="BI137" s="0" t="s">
        <v>5691</v>
      </c>
      <c r="BJ137" s="0" t="s">
        <v>227</v>
      </c>
      <c r="BK137" s="0" t="s">
        <v>952</v>
      </c>
      <c r="BL137" s="0" t="s">
        <v>354</v>
      </c>
      <c r="BM137" s="0" t="s">
        <v>354</v>
      </c>
      <c r="BN137" s="0" t="s">
        <v>5693</v>
      </c>
      <c r="BO137" s="0" t="s">
        <v>5701</v>
      </c>
      <c r="BP137" s="0" t="s">
        <v>5706</v>
      </c>
      <c r="BQ137" s="0" t="s">
        <v>5707</v>
      </c>
      <c r="BR137" s="0" t="s">
        <v>5708</v>
      </c>
      <c r="BS137" s="0" t="s">
        <v>227</v>
      </c>
      <c r="BT137" s="0" t="s">
        <v>5695</v>
      </c>
      <c r="BU137" s="0" t="s">
        <v>6076</v>
      </c>
      <c r="BV137" s="0" t="s">
        <v>6076</v>
      </c>
      <c r="BW137" s="0" t="s">
        <v>5697</v>
      </c>
      <c r="BX137" s="0" t="s">
        <v>5697</v>
      </c>
      <c r="BY137" s="0" t="s">
        <v>5697</v>
      </c>
      <c r="BZ137" s="0" t="s">
        <v>5697</v>
      </c>
      <c r="CA137" s="0" t="s">
        <v>5697</v>
      </c>
      <c r="CB137" s="0" t="s">
        <v>227</v>
      </c>
      <c r="CC137" s="0" t="s">
        <v>227</v>
      </c>
      <c r="CD137" s="0" t="s">
        <v>227</v>
      </c>
      <c r="CE137" s="0" t="s">
        <v>227</v>
      </c>
      <c r="CF137" s="0" t="s">
        <v>227</v>
      </c>
      <c r="CG137" s="0" t="s">
        <v>5697</v>
      </c>
      <c r="CH137" s="0" t="s">
        <v>227</v>
      </c>
      <c r="CI137" s="0" t="s">
        <v>227</v>
      </c>
      <c r="CJ137" s="0" t="s">
        <v>227</v>
      </c>
      <c r="CK137" s="0" t="s">
        <v>227</v>
      </c>
      <c r="CL137" s="0" t="s">
        <v>227</v>
      </c>
      <c r="CM137" s="0" t="s">
        <v>6076</v>
      </c>
      <c r="CN137" s="0" t="s">
        <v>6076</v>
      </c>
      <c r="CO137" s="0" t="s">
        <v>227</v>
      </c>
      <c r="CP137" s="0" t="s">
        <v>227</v>
      </c>
      <c r="CQ137" s="0" t="s">
        <v>227</v>
      </c>
      <c r="CR137" s="0" t="s">
        <v>227</v>
      </c>
      <c r="CS137" s="0" t="s">
        <v>5759</v>
      </c>
      <c r="CT137" s="0" t="s">
        <v>5679</v>
      </c>
      <c r="CU137" s="0" t="s">
        <v>5680</v>
      </c>
      <c r="CV137" s="0" t="s">
        <v>430</v>
      </c>
      <c r="CW137" s="0" t="s">
        <v>5699</v>
      </c>
      <c r="CX137" s="0" t="s">
        <v>431</v>
      </c>
      <c r="CY137" s="0" t="s">
        <v>430</v>
      </c>
      <c r="CZ137" s="0" t="s">
        <v>432</v>
      </c>
      <c r="DA137" s="0" t="s">
        <v>433</v>
      </c>
      <c r="DB137" s="0" t="s">
        <v>5700</v>
      </c>
      <c r="DC137" s="0" t="s">
        <v>373</v>
      </c>
      <c r="DD137" s="0" t="s">
        <v>277</v>
      </c>
      <c r="DE137" s="0" t="s">
        <v>929</v>
      </c>
    </row>
    <row customHeight="1" ht="11.25">
      <c r="A138" s="1806" t="s">
        <v>227</v>
      </c>
      <c r="B138" s="0" t="s">
        <v>227</v>
      </c>
      <c r="C138" s="0" t="s">
        <v>227</v>
      </c>
      <c r="D138" s="0" t="s">
        <v>227</v>
      </c>
      <c r="E138" s="0" t="s">
        <v>227</v>
      </c>
      <c r="F138" s="0" t="s">
        <v>227</v>
      </c>
      <c r="G138" s="0" t="s">
        <v>227</v>
      </c>
      <c r="H138" s="0" t="s">
        <v>227</v>
      </c>
      <c r="I138" s="0" t="s">
        <v>5667</v>
      </c>
      <c r="J138" s="0" t="s">
        <v>227</v>
      </c>
      <c r="K138" s="0" t="s">
        <v>227</v>
      </c>
      <c r="L138" s="0" t="s">
        <v>227</v>
      </c>
      <c r="M138" s="0" t="s">
        <v>227</v>
      </c>
      <c r="N138" s="0" t="s">
        <v>227</v>
      </c>
      <c r="O138" s="0" t="s">
        <v>227</v>
      </c>
      <c r="P138" s="0" t="s">
        <v>227</v>
      </c>
      <c r="Q138" s="0" t="s">
        <v>227</v>
      </c>
      <c r="R138" s="0" t="s">
        <v>901</v>
      </c>
      <c r="S138" s="0" t="s">
        <v>227</v>
      </c>
      <c r="T138" s="0" t="s">
        <v>227</v>
      </c>
      <c r="U138" s="0" t="s">
        <v>102</v>
      </c>
      <c r="V138" s="0" t="s">
        <v>227</v>
      </c>
      <c r="W138" s="0" t="s">
        <v>227</v>
      </c>
      <c r="X138" s="0" t="s">
        <v>5683</v>
      </c>
      <c r="Y138" s="0" t="s">
        <v>227</v>
      </c>
      <c r="Z138" s="0" t="s">
        <v>152</v>
      </c>
      <c r="AA138" s="0" t="s">
        <v>152</v>
      </c>
      <c r="AB138" s="0" t="s">
        <v>161</v>
      </c>
      <c r="AC138" s="0" t="s">
        <v>354</v>
      </c>
      <c r="AD138" s="0" t="s">
        <v>354</v>
      </c>
      <c r="AE138" s="0" t="s">
        <v>355</v>
      </c>
      <c r="AF138" s="0" t="s">
        <v>5701</v>
      </c>
      <c r="AG138" s="0" t="s">
        <v>5702</v>
      </c>
      <c r="AH138" s="0" t="s">
        <v>6077</v>
      </c>
      <c r="AI138" s="0" t="s">
        <v>6078</v>
      </c>
      <c r="AJ138" s="0" t="s">
        <v>227</v>
      </c>
      <c r="AK138" s="0" t="s">
        <v>227</v>
      </c>
      <c r="AL138" s="0" t="s">
        <v>227</v>
      </c>
      <c r="AM138" s="0" t="s">
        <v>227</v>
      </c>
      <c r="AN138" s="0" t="s">
        <v>227</v>
      </c>
      <c r="AO138" s="0" t="s">
        <v>227</v>
      </c>
      <c r="AP138" s="0" t="s">
        <v>227</v>
      </c>
      <c r="AQ138" s="0" t="s">
        <v>227</v>
      </c>
      <c r="AR138" s="0" t="s">
        <v>227</v>
      </c>
      <c r="AS138" s="0" t="s">
        <v>227</v>
      </c>
      <c r="AT138" s="0" t="s">
        <v>227</v>
      </c>
      <c r="AU138" s="0" t="s">
        <v>227</v>
      </c>
      <c r="AV138" s="0" t="s">
        <v>227</v>
      </c>
      <c r="AW138" s="0" t="s">
        <v>227</v>
      </c>
      <c r="AX138" s="0" t="s">
        <v>227</v>
      </c>
      <c r="AY138" s="0" t="s">
        <v>227</v>
      </c>
      <c r="AZ138" s="0" t="s">
        <v>227</v>
      </c>
      <c r="BA138" s="0" t="s">
        <v>227</v>
      </c>
      <c r="BB138" s="0" t="s">
        <v>227</v>
      </c>
      <c r="BC138" s="0" t="s">
        <v>227</v>
      </c>
      <c r="BD138" s="0" t="s">
        <v>227</v>
      </c>
      <c r="BE138" s="0" t="s">
        <v>5688</v>
      </c>
      <c r="BF138" s="0" t="s">
        <v>6079</v>
      </c>
      <c r="BG138" s="0" t="s">
        <v>112</v>
      </c>
      <c r="BH138" s="0" t="s">
        <v>5690</v>
      </c>
      <c r="BI138" s="0" t="s">
        <v>5691</v>
      </c>
      <c r="BJ138" s="0" t="s">
        <v>227</v>
      </c>
      <c r="BK138" s="0" t="s">
        <v>952</v>
      </c>
      <c r="BL138" s="0" t="s">
        <v>354</v>
      </c>
      <c r="BM138" s="0" t="s">
        <v>354</v>
      </c>
      <c r="BN138" s="0" t="s">
        <v>5693</v>
      </c>
      <c r="BO138" s="0" t="s">
        <v>5701</v>
      </c>
      <c r="BP138" s="0" t="s">
        <v>5706</v>
      </c>
      <c r="BQ138" s="0" t="s">
        <v>5707</v>
      </c>
      <c r="BR138" s="0" t="s">
        <v>5708</v>
      </c>
      <c r="BS138" s="0" t="s">
        <v>227</v>
      </c>
      <c r="BT138" s="0" t="s">
        <v>5695</v>
      </c>
      <c r="BU138" s="0" t="s">
        <v>6080</v>
      </c>
      <c r="BV138" s="0" t="s">
        <v>6080</v>
      </c>
      <c r="BW138" s="0" t="s">
        <v>5697</v>
      </c>
      <c r="BX138" s="0" t="s">
        <v>5697</v>
      </c>
      <c r="BY138" s="0" t="s">
        <v>5697</v>
      </c>
      <c r="BZ138" s="0" t="s">
        <v>5697</v>
      </c>
      <c r="CA138" s="0" t="s">
        <v>5697</v>
      </c>
      <c r="CB138" s="0" t="s">
        <v>227</v>
      </c>
      <c r="CC138" s="0" t="s">
        <v>227</v>
      </c>
      <c r="CD138" s="0" t="s">
        <v>227</v>
      </c>
      <c r="CE138" s="0" t="s">
        <v>227</v>
      </c>
      <c r="CF138" s="0" t="s">
        <v>227</v>
      </c>
      <c r="CG138" s="0" t="s">
        <v>5697</v>
      </c>
      <c r="CH138" s="0" t="s">
        <v>227</v>
      </c>
      <c r="CI138" s="0" t="s">
        <v>227</v>
      </c>
      <c r="CJ138" s="0" t="s">
        <v>227</v>
      </c>
      <c r="CK138" s="0" t="s">
        <v>227</v>
      </c>
      <c r="CL138" s="0" t="s">
        <v>227</v>
      </c>
      <c r="CM138" s="0" t="s">
        <v>6080</v>
      </c>
      <c r="CN138" s="0" t="s">
        <v>6080</v>
      </c>
      <c r="CO138" s="0" t="s">
        <v>227</v>
      </c>
      <c r="CP138" s="0" t="s">
        <v>227</v>
      </c>
      <c r="CQ138" s="0" t="s">
        <v>227</v>
      </c>
      <c r="CR138" s="0" t="s">
        <v>227</v>
      </c>
      <c r="CS138" s="0" t="s">
        <v>5698</v>
      </c>
      <c r="CT138" s="0" t="s">
        <v>5679</v>
      </c>
      <c r="CU138" s="0" t="s">
        <v>5680</v>
      </c>
      <c r="CV138" s="0" t="s">
        <v>430</v>
      </c>
      <c r="CW138" s="0" t="s">
        <v>5699</v>
      </c>
      <c r="CX138" s="0" t="s">
        <v>431</v>
      </c>
      <c r="CY138" s="0" t="s">
        <v>430</v>
      </c>
      <c r="CZ138" s="0" t="s">
        <v>432</v>
      </c>
      <c r="DA138" s="0" t="s">
        <v>433</v>
      </c>
      <c r="DB138" s="0" t="s">
        <v>5700</v>
      </c>
      <c r="DC138" s="0" t="s">
        <v>373</v>
      </c>
      <c r="DD138" s="0" t="s">
        <v>277</v>
      </c>
      <c r="DE138" s="0" t="s">
        <v>902</v>
      </c>
    </row>
    <row customHeight="1" ht="11.25">
      <c r="A139" s="1806" t="s">
        <v>227</v>
      </c>
      <c r="B139" s="0" t="s">
        <v>227</v>
      </c>
      <c r="C139" s="0" t="s">
        <v>227</v>
      </c>
      <c r="D139" s="0" t="s">
        <v>227</v>
      </c>
      <c r="E139" s="0" t="s">
        <v>227</v>
      </c>
      <c r="F139" s="0" t="s">
        <v>227</v>
      </c>
      <c r="G139" s="0" t="s">
        <v>227</v>
      </c>
      <c r="H139" s="0" t="s">
        <v>227</v>
      </c>
      <c r="I139" s="0" t="s">
        <v>5667</v>
      </c>
      <c r="J139" s="0" t="s">
        <v>227</v>
      </c>
      <c r="K139" s="0" t="s">
        <v>227</v>
      </c>
      <c r="L139" s="0" t="s">
        <v>227</v>
      </c>
      <c r="M139" s="0" t="s">
        <v>227</v>
      </c>
      <c r="N139" s="0" t="s">
        <v>227</v>
      </c>
      <c r="O139" s="0" t="s">
        <v>227</v>
      </c>
      <c r="P139" s="0" t="s">
        <v>227</v>
      </c>
      <c r="Q139" s="0" t="s">
        <v>227</v>
      </c>
      <c r="R139" s="0" t="s">
        <v>885</v>
      </c>
      <c r="S139" s="0" t="s">
        <v>227</v>
      </c>
      <c r="T139" s="0" t="s">
        <v>227</v>
      </c>
      <c r="U139" s="0" t="s">
        <v>102</v>
      </c>
      <c r="V139" s="0" t="s">
        <v>227</v>
      </c>
      <c r="W139" s="0" t="s">
        <v>227</v>
      </c>
      <c r="X139" s="0" t="s">
        <v>5683</v>
      </c>
      <c r="Y139" s="0" t="s">
        <v>227</v>
      </c>
      <c r="Z139" s="0" t="s">
        <v>152</v>
      </c>
      <c r="AA139" s="0" t="s">
        <v>152</v>
      </c>
      <c r="AB139" s="0" t="s">
        <v>161</v>
      </c>
      <c r="AC139" s="0" t="s">
        <v>354</v>
      </c>
      <c r="AD139" s="0" t="s">
        <v>354</v>
      </c>
      <c r="AE139" s="0" t="s">
        <v>355</v>
      </c>
      <c r="AF139" s="0" t="s">
        <v>5701</v>
      </c>
      <c r="AG139" s="0" t="s">
        <v>5702</v>
      </c>
      <c r="AH139" s="0" t="s">
        <v>6081</v>
      </c>
      <c r="AI139" s="0" t="s">
        <v>6082</v>
      </c>
      <c r="AJ139" s="0" t="s">
        <v>227</v>
      </c>
      <c r="AK139" s="0" t="s">
        <v>227</v>
      </c>
      <c r="AL139" s="0" t="s">
        <v>227</v>
      </c>
      <c r="AM139" s="0" t="s">
        <v>227</v>
      </c>
      <c r="AN139" s="0" t="s">
        <v>227</v>
      </c>
      <c r="AO139" s="0" t="s">
        <v>227</v>
      </c>
      <c r="AP139" s="0" t="s">
        <v>227</v>
      </c>
      <c r="AQ139" s="0" t="s">
        <v>227</v>
      </c>
      <c r="AR139" s="0" t="s">
        <v>227</v>
      </c>
      <c r="AS139" s="0" t="s">
        <v>227</v>
      </c>
      <c r="AT139" s="0" t="s">
        <v>227</v>
      </c>
      <c r="AU139" s="0" t="s">
        <v>227</v>
      </c>
      <c r="AV139" s="0" t="s">
        <v>227</v>
      </c>
      <c r="AW139" s="0" t="s">
        <v>227</v>
      </c>
      <c r="AX139" s="0" t="s">
        <v>227</v>
      </c>
      <c r="AY139" s="0" t="s">
        <v>227</v>
      </c>
      <c r="AZ139" s="0" t="s">
        <v>227</v>
      </c>
      <c r="BA139" s="0" t="s">
        <v>227</v>
      </c>
      <c r="BB139" s="0" t="s">
        <v>227</v>
      </c>
      <c r="BC139" s="0" t="s">
        <v>227</v>
      </c>
      <c r="BD139" s="0" t="s">
        <v>227</v>
      </c>
      <c r="BE139" s="0" t="s">
        <v>5716</v>
      </c>
      <c r="BF139" s="0" t="s">
        <v>6083</v>
      </c>
      <c r="BG139" s="0" t="s">
        <v>112</v>
      </c>
      <c r="BH139" s="0" t="s">
        <v>5690</v>
      </c>
      <c r="BI139" s="0" t="s">
        <v>5691</v>
      </c>
      <c r="BJ139" s="0" t="s">
        <v>227</v>
      </c>
      <c r="BK139" s="0" t="s">
        <v>952</v>
      </c>
      <c r="BL139" s="0" t="s">
        <v>354</v>
      </c>
      <c r="BM139" s="0" t="s">
        <v>354</v>
      </c>
      <c r="BN139" s="0" t="s">
        <v>5693</v>
      </c>
      <c r="BO139" s="0" t="s">
        <v>5701</v>
      </c>
      <c r="BP139" s="0" t="s">
        <v>5706</v>
      </c>
      <c r="BQ139" s="0" t="s">
        <v>5707</v>
      </c>
      <c r="BR139" s="0" t="s">
        <v>5708</v>
      </c>
      <c r="BS139" s="0" t="s">
        <v>227</v>
      </c>
      <c r="BT139" s="0" t="s">
        <v>5695</v>
      </c>
      <c r="BU139" s="0" t="s">
        <v>6084</v>
      </c>
      <c r="BV139" s="0" t="s">
        <v>6084</v>
      </c>
      <c r="BW139" s="0" t="s">
        <v>5697</v>
      </c>
      <c r="BX139" s="0" t="s">
        <v>5697</v>
      </c>
      <c r="BY139" s="0" t="s">
        <v>5697</v>
      </c>
      <c r="BZ139" s="0" t="s">
        <v>5697</v>
      </c>
      <c r="CA139" s="0" t="s">
        <v>5697</v>
      </c>
      <c r="CB139" s="0" t="s">
        <v>227</v>
      </c>
      <c r="CC139" s="0" t="s">
        <v>227</v>
      </c>
      <c r="CD139" s="0" t="s">
        <v>227</v>
      </c>
      <c r="CE139" s="0" t="s">
        <v>227</v>
      </c>
      <c r="CF139" s="0" t="s">
        <v>227</v>
      </c>
      <c r="CG139" s="0" t="s">
        <v>5697</v>
      </c>
      <c r="CH139" s="0" t="s">
        <v>227</v>
      </c>
      <c r="CI139" s="0" t="s">
        <v>227</v>
      </c>
      <c r="CJ139" s="0" t="s">
        <v>227</v>
      </c>
      <c r="CK139" s="0" t="s">
        <v>227</v>
      </c>
      <c r="CL139" s="0" t="s">
        <v>227</v>
      </c>
      <c r="CM139" s="0" t="s">
        <v>6084</v>
      </c>
      <c r="CN139" s="0" t="s">
        <v>6084</v>
      </c>
      <c r="CO139" s="0" t="s">
        <v>227</v>
      </c>
      <c r="CP139" s="0" t="s">
        <v>227</v>
      </c>
      <c r="CQ139" s="0" t="s">
        <v>227</v>
      </c>
      <c r="CR139" s="0" t="s">
        <v>227</v>
      </c>
      <c r="CS139" s="0" t="s">
        <v>5773</v>
      </c>
      <c r="CT139" s="0" t="s">
        <v>5679</v>
      </c>
      <c r="CU139" s="0" t="s">
        <v>5680</v>
      </c>
      <c r="CV139" s="0" t="s">
        <v>430</v>
      </c>
      <c r="CW139" s="0" t="s">
        <v>5699</v>
      </c>
      <c r="CX139" s="0" t="s">
        <v>431</v>
      </c>
      <c r="CY139" s="0" t="s">
        <v>430</v>
      </c>
      <c r="CZ139" s="0" t="s">
        <v>432</v>
      </c>
      <c r="DA139" s="0" t="s">
        <v>433</v>
      </c>
      <c r="DB139" s="0" t="s">
        <v>5700</v>
      </c>
      <c r="DC139" s="0" t="s">
        <v>373</v>
      </c>
      <c r="DD139" s="0" t="s">
        <v>277</v>
      </c>
      <c r="DE139" s="0" t="s">
        <v>886</v>
      </c>
    </row>
    <row customHeight="1" ht="11.25">
      <c r="A140" s="1806" t="s">
        <v>227</v>
      </c>
      <c r="B140" s="0" t="s">
        <v>227</v>
      </c>
      <c r="C140" s="0" t="s">
        <v>227</v>
      </c>
      <c r="D140" s="0" t="s">
        <v>227</v>
      </c>
      <c r="E140" s="0" t="s">
        <v>227</v>
      </c>
      <c r="F140" s="0" t="s">
        <v>227</v>
      </c>
      <c r="G140" s="0" t="s">
        <v>227</v>
      </c>
      <c r="H140" s="0" t="s">
        <v>227</v>
      </c>
      <c r="I140" s="0" t="s">
        <v>5667</v>
      </c>
      <c r="J140" s="0" t="s">
        <v>227</v>
      </c>
      <c r="K140" s="0" t="s">
        <v>227</v>
      </c>
      <c r="L140" s="0" t="s">
        <v>227</v>
      </c>
      <c r="M140" s="0" t="s">
        <v>227</v>
      </c>
      <c r="N140" s="0" t="s">
        <v>227</v>
      </c>
      <c r="O140" s="0" t="s">
        <v>227</v>
      </c>
      <c r="P140" s="0" t="s">
        <v>227</v>
      </c>
      <c r="Q140" s="0" t="s">
        <v>227</v>
      </c>
      <c r="R140" s="0" t="s">
        <v>591</v>
      </c>
      <c r="S140" s="0" t="s">
        <v>227</v>
      </c>
      <c r="T140" s="0" t="s">
        <v>227</v>
      </c>
      <c r="U140" s="0" t="s">
        <v>102</v>
      </c>
      <c r="V140" s="0" t="s">
        <v>227</v>
      </c>
      <c r="W140" s="0" t="s">
        <v>227</v>
      </c>
      <c r="X140" s="0" t="s">
        <v>5683</v>
      </c>
      <c r="Y140" s="0" t="s">
        <v>227</v>
      </c>
      <c r="Z140" s="0" t="s">
        <v>152</v>
      </c>
      <c r="AA140" s="0" t="s">
        <v>152</v>
      </c>
      <c r="AB140" s="0" t="s">
        <v>161</v>
      </c>
      <c r="AC140" s="0" t="s">
        <v>354</v>
      </c>
      <c r="AD140" s="0" t="s">
        <v>354</v>
      </c>
      <c r="AE140" s="0" t="s">
        <v>355</v>
      </c>
      <c r="AF140" s="0" t="s">
        <v>5684</v>
      </c>
      <c r="AG140" s="0" t="s">
        <v>5685</v>
      </c>
      <c r="AH140" s="0" t="s">
        <v>6085</v>
      </c>
      <c r="AI140" s="0" t="s">
        <v>6086</v>
      </c>
      <c r="AJ140" s="0" t="s">
        <v>227</v>
      </c>
      <c r="AK140" s="0" t="s">
        <v>227</v>
      </c>
      <c r="AL140" s="0" t="s">
        <v>227</v>
      </c>
      <c r="AM140" s="0" t="s">
        <v>227</v>
      </c>
      <c r="AN140" s="0" t="s">
        <v>227</v>
      </c>
      <c r="AO140" s="0" t="s">
        <v>227</v>
      </c>
      <c r="AP140" s="0" t="s">
        <v>227</v>
      </c>
      <c r="AQ140" s="0" t="s">
        <v>227</v>
      </c>
      <c r="AR140" s="0" t="s">
        <v>227</v>
      </c>
      <c r="AS140" s="0" t="s">
        <v>227</v>
      </c>
      <c r="AT140" s="0" t="s">
        <v>227</v>
      </c>
      <c r="AU140" s="0" t="s">
        <v>227</v>
      </c>
      <c r="AV140" s="0" t="s">
        <v>227</v>
      </c>
      <c r="AW140" s="0" t="s">
        <v>227</v>
      </c>
      <c r="AX140" s="0" t="s">
        <v>227</v>
      </c>
      <c r="AY140" s="0" t="s">
        <v>227</v>
      </c>
      <c r="AZ140" s="0" t="s">
        <v>227</v>
      </c>
      <c r="BA140" s="0" t="s">
        <v>227</v>
      </c>
      <c r="BB140" s="0" t="s">
        <v>227</v>
      </c>
      <c r="BC140" s="0" t="s">
        <v>227</v>
      </c>
      <c r="BD140" s="0" t="s">
        <v>227</v>
      </c>
      <c r="BE140" s="0" t="s">
        <v>5743</v>
      </c>
      <c r="BF140" s="0" t="s">
        <v>5733</v>
      </c>
      <c r="BG140" s="0" t="s">
        <v>112</v>
      </c>
      <c r="BH140" s="0" t="s">
        <v>5690</v>
      </c>
      <c r="BI140" s="0" t="s">
        <v>5691</v>
      </c>
      <c r="BJ140" s="0" t="s">
        <v>227</v>
      </c>
      <c r="BK140" s="0" t="s">
        <v>5692</v>
      </c>
      <c r="BL140" s="0" t="s">
        <v>354</v>
      </c>
      <c r="BM140" s="0" t="s">
        <v>354</v>
      </c>
      <c r="BN140" s="0" t="s">
        <v>5693</v>
      </c>
      <c r="BO140" s="0" t="s">
        <v>5684</v>
      </c>
      <c r="BP140" s="0" t="s">
        <v>5694</v>
      </c>
      <c r="BQ140" s="0" t="s">
        <v>5692</v>
      </c>
      <c r="BR140" s="0" t="s">
        <v>5692</v>
      </c>
      <c r="BS140" s="0" t="s">
        <v>227</v>
      </c>
      <c r="BT140" s="0" t="s">
        <v>5709</v>
      </c>
      <c r="BU140" s="0" t="s">
        <v>5696</v>
      </c>
      <c r="BV140" s="0" t="s">
        <v>5696</v>
      </c>
      <c r="BW140" s="0" t="s">
        <v>5697</v>
      </c>
      <c r="BX140" s="0" t="s">
        <v>5697</v>
      </c>
      <c r="BY140" s="0" t="s">
        <v>5697</v>
      </c>
      <c r="BZ140" s="0" t="s">
        <v>5697</v>
      </c>
      <c r="CA140" s="0" t="s">
        <v>5697</v>
      </c>
      <c r="CB140" s="0" t="s">
        <v>227</v>
      </c>
      <c r="CC140" s="0" t="s">
        <v>227</v>
      </c>
      <c r="CD140" s="0" t="s">
        <v>227</v>
      </c>
      <c r="CE140" s="0" t="s">
        <v>227</v>
      </c>
      <c r="CF140" s="0" t="s">
        <v>227</v>
      </c>
      <c r="CG140" s="0" t="s">
        <v>5697</v>
      </c>
      <c r="CH140" s="0" t="s">
        <v>227</v>
      </c>
      <c r="CI140" s="0" t="s">
        <v>227</v>
      </c>
      <c r="CJ140" s="0" t="s">
        <v>227</v>
      </c>
      <c r="CK140" s="0" t="s">
        <v>227</v>
      </c>
      <c r="CL140" s="0" t="s">
        <v>227</v>
      </c>
      <c r="CM140" s="0" t="s">
        <v>5696</v>
      </c>
      <c r="CN140" s="0" t="s">
        <v>5696</v>
      </c>
      <c r="CO140" s="0" t="s">
        <v>227</v>
      </c>
      <c r="CP140" s="0" t="s">
        <v>227</v>
      </c>
      <c r="CQ140" s="0" t="s">
        <v>227</v>
      </c>
      <c r="CR140" s="0" t="s">
        <v>227</v>
      </c>
      <c r="CS140" s="0" t="s">
        <v>5749</v>
      </c>
      <c r="CT140" s="0" t="s">
        <v>5679</v>
      </c>
      <c r="CU140" s="0" t="s">
        <v>5680</v>
      </c>
      <c r="CV140" s="0" t="s">
        <v>430</v>
      </c>
      <c r="CW140" s="0" t="s">
        <v>5699</v>
      </c>
      <c r="CX140" s="0" t="s">
        <v>431</v>
      </c>
      <c r="CY140" s="0" t="s">
        <v>430</v>
      </c>
      <c r="CZ140" s="0" t="s">
        <v>432</v>
      </c>
      <c r="DA140" s="0" t="s">
        <v>433</v>
      </c>
      <c r="DB140" s="0" t="s">
        <v>5700</v>
      </c>
      <c r="DC140" s="0" t="s">
        <v>373</v>
      </c>
      <c r="DD140" s="0" t="s">
        <v>277</v>
      </c>
      <c r="DE140" s="0" t="s">
        <v>592</v>
      </c>
    </row>
    <row customHeight="1" ht="11.25">
      <c r="A141" s="1806" t="s">
        <v>227</v>
      </c>
      <c r="B141" s="0" t="s">
        <v>227</v>
      </c>
      <c r="C141" s="0" t="s">
        <v>227</v>
      </c>
      <c r="D141" s="0" t="s">
        <v>227</v>
      </c>
      <c r="E141" s="0" t="s">
        <v>227</v>
      </c>
      <c r="F141" s="0" t="s">
        <v>227</v>
      </c>
      <c r="G141" s="0" t="s">
        <v>227</v>
      </c>
      <c r="H141" s="0" t="s">
        <v>227</v>
      </c>
      <c r="I141" s="0" t="s">
        <v>5667</v>
      </c>
      <c r="J141" s="0" t="s">
        <v>227</v>
      </c>
      <c r="K141" s="0" t="s">
        <v>227</v>
      </c>
      <c r="L141" s="0" t="s">
        <v>227</v>
      </c>
      <c r="M141" s="0" t="s">
        <v>227</v>
      </c>
      <c r="N141" s="0" t="s">
        <v>227</v>
      </c>
      <c r="O141" s="0" t="s">
        <v>227</v>
      </c>
      <c r="P141" s="0" t="s">
        <v>227</v>
      </c>
      <c r="Q141" s="0" t="s">
        <v>227</v>
      </c>
      <c r="R141" s="0" t="s">
        <v>600</v>
      </c>
      <c r="S141" s="0" t="s">
        <v>227</v>
      </c>
      <c r="T141" s="0" t="s">
        <v>227</v>
      </c>
      <c r="U141" s="0" t="s">
        <v>102</v>
      </c>
      <c r="V141" s="0" t="s">
        <v>227</v>
      </c>
      <c r="W141" s="0" t="s">
        <v>227</v>
      </c>
      <c r="X141" s="0" t="s">
        <v>5683</v>
      </c>
      <c r="Y141" s="0" t="s">
        <v>227</v>
      </c>
      <c r="Z141" s="0" t="s">
        <v>152</v>
      </c>
      <c r="AA141" s="0" t="s">
        <v>152</v>
      </c>
      <c r="AB141" s="0" t="s">
        <v>161</v>
      </c>
      <c r="AC141" s="0" t="s">
        <v>354</v>
      </c>
      <c r="AD141" s="0" t="s">
        <v>354</v>
      </c>
      <c r="AE141" s="0" t="s">
        <v>355</v>
      </c>
      <c r="AF141" s="0" t="s">
        <v>5684</v>
      </c>
      <c r="AG141" s="0" t="s">
        <v>5685</v>
      </c>
      <c r="AH141" s="0" t="s">
        <v>5809</v>
      </c>
      <c r="AI141" s="0" t="s">
        <v>6087</v>
      </c>
      <c r="AJ141" s="0" t="s">
        <v>227</v>
      </c>
      <c r="AK141" s="0" t="s">
        <v>227</v>
      </c>
      <c r="AL141" s="0" t="s">
        <v>227</v>
      </c>
      <c r="AM141" s="0" t="s">
        <v>227</v>
      </c>
      <c r="AN141" s="0" t="s">
        <v>227</v>
      </c>
      <c r="AO141" s="0" t="s">
        <v>227</v>
      </c>
      <c r="AP141" s="0" t="s">
        <v>227</v>
      </c>
      <c r="AQ141" s="0" t="s">
        <v>227</v>
      </c>
      <c r="AR141" s="0" t="s">
        <v>227</v>
      </c>
      <c r="AS141" s="0" t="s">
        <v>227</v>
      </c>
      <c r="AT141" s="0" t="s">
        <v>227</v>
      </c>
      <c r="AU141" s="0" t="s">
        <v>227</v>
      </c>
      <c r="AV141" s="0" t="s">
        <v>227</v>
      </c>
      <c r="AW141" s="0" t="s">
        <v>227</v>
      </c>
      <c r="AX141" s="0" t="s">
        <v>227</v>
      </c>
      <c r="AY141" s="0" t="s">
        <v>227</v>
      </c>
      <c r="AZ141" s="0" t="s">
        <v>227</v>
      </c>
      <c r="BA141" s="0" t="s">
        <v>227</v>
      </c>
      <c r="BB141" s="0" t="s">
        <v>227</v>
      </c>
      <c r="BC141" s="0" t="s">
        <v>227</v>
      </c>
      <c r="BD141" s="0" t="s">
        <v>227</v>
      </c>
      <c r="BE141" s="0" t="s">
        <v>5728</v>
      </c>
      <c r="BF141" s="0" t="s">
        <v>6088</v>
      </c>
      <c r="BG141" s="0" t="s">
        <v>112</v>
      </c>
      <c r="BH141" s="0" t="s">
        <v>5690</v>
      </c>
      <c r="BI141" s="0" t="s">
        <v>5691</v>
      </c>
      <c r="BJ141" s="0" t="s">
        <v>227</v>
      </c>
      <c r="BK141" s="0" t="s">
        <v>5692</v>
      </c>
      <c r="BL141" s="0" t="s">
        <v>354</v>
      </c>
      <c r="BM141" s="0" t="s">
        <v>354</v>
      </c>
      <c r="BN141" s="0" t="s">
        <v>5693</v>
      </c>
      <c r="BO141" s="0" t="s">
        <v>5684</v>
      </c>
      <c r="BP141" s="0" t="s">
        <v>5694</v>
      </c>
      <c r="BQ141" s="0" t="s">
        <v>5692</v>
      </c>
      <c r="BR141" s="0" t="s">
        <v>5692</v>
      </c>
      <c r="BS141" s="0" t="s">
        <v>227</v>
      </c>
      <c r="BT141" s="0" t="s">
        <v>5709</v>
      </c>
      <c r="BU141" s="0" t="s">
        <v>6089</v>
      </c>
      <c r="BV141" s="0" t="s">
        <v>6089</v>
      </c>
      <c r="BW141" s="0" t="s">
        <v>5697</v>
      </c>
      <c r="BX141" s="0" t="s">
        <v>5697</v>
      </c>
      <c r="BY141" s="0" t="s">
        <v>5697</v>
      </c>
      <c r="BZ141" s="0" t="s">
        <v>5697</v>
      </c>
      <c r="CA141" s="0" t="s">
        <v>5697</v>
      </c>
      <c r="CB141" s="0" t="s">
        <v>227</v>
      </c>
      <c r="CC141" s="0" t="s">
        <v>227</v>
      </c>
      <c r="CD141" s="0" t="s">
        <v>227</v>
      </c>
      <c r="CE141" s="0" t="s">
        <v>227</v>
      </c>
      <c r="CF141" s="0" t="s">
        <v>227</v>
      </c>
      <c r="CG141" s="0" t="s">
        <v>5697</v>
      </c>
      <c r="CH141" s="0" t="s">
        <v>227</v>
      </c>
      <c r="CI141" s="0" t="s">
        <v>227</v>
      </c>
      <c r="CJ141" s="0" t="s">
        <v>227</v>
      </c>
      <c r="CK141" s="0" t="s">
        <v>227</v>
      </c>
      <c r="CL141" s="0" t="s">
        <v>227</v>
      </c>
      <c r="CM141" s="0" t="s">
        <v>6089</v>
      </c>
      <c r="CN141" s="0" t="s">
        <v>6089</v>
      </c>
      <c r="CO141" s="0" t="s">
        <v>227</v>
      </c>
      <c r="CP141" s="0" t="s">
        <v>227</v>
      </c>
      <c r="CQ141" s="0" t="s">
        <v>227</v>
      </c>
      <c r="CR141" s="0" t="s">
        <v>227</v>
      </c>
      <c r="CS141" s="0" t="s">
        <v>5773</v>
      </c>
      <c r="CT141" s="0" t="s">
        <v>5679</v>
      </c>
      <c r="CU141" s="0" t="s">
        <v>5680</v>
      </c>
      <c r="CV141" s="0" t="s">
        <v>430</v>
      </c>
      <c r="CW141" s="0" t="s">
        <v>5699</v>
      </c>
      <c r="CX141" s="0" t="s">
        <v>431</v>
      </c>
      <c r="CY141" s="0" t="s">
        <v>430</v>
      </c>
      <c r="CZ141" s="0" t="s">
        <v>432</v>
      </c>
      <c r="DA141" s="0" t="s">
        <v>433</v>
      </c>
      <c r="DB141" s="0" t="s">
        <v>5700</v>
      </c>
      <c r="DC141" s="0" t="s">
        <v>373</v>
      </c>
      <c r="DD141" s="0" t="s">
        <v>277</v>
      </c>
      <c r="DE141" s="0" t="s">
        <v>601</v>
      </c>
    </row>
    <row customHeight="1" ht="11.25">
      <c r="A142" s="1806" t="s">
        <v>227</v>
      </c>
      <c r="B142" s="0" t="s">
        <v>227</v>
      </c>
      <c r="C142" s="0" t="s">
        <v>227</v>
      </c>
      <c r="D142" s="0" t="s">
        <v>227</v>
      </c>
      <c r="E142" s="0" t="s">
        <v>227</v>
      </c>
      <c r="F142" s="0" t="s">
        <v>227</v>
      </c>
      <c r="G142" s="0" t="s">
        <v>227</v>
      </c>
      <c r="H142" s="0" t="s">
        <v>227</v>
      </c>
      <c r="I142" s="0" t="s">
        <v>5667</v>
      </c>
      <c r="J142" s="0" t="s">
        <v>227</v>
      </c>
      <c r="K142" s="0" t="s">
        <v>227</v>
      </c>
      <c r="L142" s="0" t="s">
        <v>227</v>
      </c>
      <c r="M142" s="0" t="s">
        <v>227</v>
      </c>
      <c r="N142" s="0" t="s">
        <v>227</v>
      </c>
      <c r="O142" s="0" t="s">
        <v>227</v>
      </c>
      <c r="P142" s="0" t="s">
        <v>227</v>
      </c>
      <c r="Q142" s="0" t="s">
        <v>227</v>
      </c>
      <c r="R142" s="0" t="s">
        <v>633</v>
      </c>
      <c r="S142" s="0" t="s">
        <v>227</v>
      </c>
      <c r="T142" s="0" t="s">
        <v>227</v>
      </c>
      <c r="U142" s="0" t="s">
        <v>102</v>
      </c>
      <c r="V142" s="0" t="s">
        <v>227</v>
      </c>
      <c r="W142" s="0" t="s">
        <v>227</v>
      </c>
      <c r="X142" s="0" t="s">
        <v>5683</v>
      </c>
      <c r="Y142" s="0" t="s">
        <v>227</v>
      </c>
      <c r="Z142" s="0" t="s">
        <v>152</v>
      </c>
      <c r="AA142" s="0" t="s">
        <v>152</v>
      </c>
      <c r="AB142" s="0" t="s">
        <v>161</v>
      </c>
      <c r="AC142" s="0" t="s">
        <v>354</v>
      </c>
      <c r="AD142" s="0" t="s">
        <v>354</v>
      </c>
      <c r="AE142" s="0" t="s">
        <v>355</v>
      </c>
      <c r="AF142" s="0" t="s">
        <v>5684</v>
      </c>
      <c r="AG142" s="0" t="s">
        <v>5685</v>
      </c>
      <c r="AH142" s="0" t="s">
        <v>6090</v>
      </c>
      <c r="AI142" s="0" t="s">
        <v>5692</v>
      </c>
      <c r="AJ142" s="0" t="s">
        <v>227</v>
      </c>
      <c r="AK142" s="0" t="s">
        <v>227</v>
      </c>
      <c r="AL142" s="0" t="s">
        <v>227</v>
      </c>
      <c r="AM142" s="0" t="s">
        <v>227</v>
      </c>
      <c r="AN142" s="0" t="s">
        <v>227</v>
      </c>
      <c r="AO142" s="0" t="s">
        <v>227</v>
      </c>
      <c r="AP142" s="0" t="s">
        <v>227</v>
      </c>
      <c r="AQ142" s="0" t="s">
        <v>227</v>
      </c>
      <c r="AR142" s="0" t="s">
        <v>227</v>
      </c>
      <c r="AS142" s="0" t="s">
        <v>227</v>
      </c>
      <c r="AT142" s="0" t="s">
        <v>227</v>
      </c>
      <c r="AU142" s="0" t="s">
        <v>227</v>
      </c>
      <c r="AV142" s="0" t="s">
        <v>227</v>
      </c>
      <c r="AW142" s="0" t="s">
        <v>227</v>
      </c>
      <c r="AX142" s="0" t="s">
        <v>227</v>
      </c>
      <c r="AY142" s="0" t="s">
        <v>227</v>
      </c>
      <c r="AZ142" s="0" t="s">
        <v>227</v>
      </c>
      <c r="BA142" s="0" t="s">
        <v>227</v>
      </c>
      <c r="BB142" s="0" t="s">
        <v>227</v>
      </c>
      <c r="BC142" s="0" t="s">
        <v>227</v>
      </c>
      <c r="BD142" s="0" t="s">
        <v>227</v>
      </c>
      <c r="BE142" s="0" t="s">
        <v>5978</v>
      </c>
      <c r="BF142" s="0" t="s">
        <v>5805</v>
      </c>
      <c r="BG142" s="0" t="s">
        <v>112</v>
      </c>
      <c r="BH142" s="0" t="s">
        <v>5690</v>
      </c>
      <c r="BI142" s="0" t="s">
        <v>5691</v>
      </c>
      <c r="BJ142" s="0" t="s">
        <v>227</v>
      </c>
      <c r="BK142" s="0" t="s">
        <v>5692</v>
      </c>
      <c r="BL142" s="0" t="s">
        <v>354</v>
      </c>
      <c r="BM142" s="0" t="s">
        <v>354</v>
      </c>
      <c r="BN142" s="0" t="s">
        <v>5693</v>
      </c>
      <c r="BO142" s="0" t="s">
        <v>5684</v>
      </c>
      <c r="BP142" s="0" t="s">
        <v>5694</v>
      </c>
      <c r="BQ142" s="0" t="s">
        <v>5692</v>
      </c>
      <c r="BR142" s="0" t="s">
        <v>5692</v>
      </c>
      <c r="BS142" s="0" t="s">
        <v>227</v>
      </c>
      <c r="BT142" s="0" t="s">
        <v>5712</v>
      </c>
      <c r="BU142" s="0" t="s">
        <v>6091</v>
      </c>
      <c r="BV142" s="0" t="s">
        <v>6091</v>
      </c>
      <c r="BW142" s="0" t="s">
        <v>5697</v>
      </c>
      <c r="BX142" s="0" t="s">
        <v>5697</v>
      </c>
      <c r="BY142" s="0" t="s">
        <v>5697</v>
      </c>
      <c r="BZ142" s="0" t="s">
        <v>5697</v>
      </c>
      <c r="CA142" s="0" t="s">
        <v>5697</v>
      </c>
      <c r="CB142" s="0" t="s">
        <v>227</v>
      </c>
      <c r="CC142" s="0" t="s">
        <v>227</v>
      </c>
      <c r="CD142" s="0" t="s">
        <v>227</v>
      </c>
      <c r="CE142" s="0" t="s">
        <v>227</v>
      </c>
      <c r="CF142" s="0" t="s">
        <v>227</v>
      </c>
      <c r="CG142" s="0" t="s">
        <v>5697</v>
      </c>
      <c r="CH142" s="0" t="s">
        <v>227</v>
      </c>
      <c r="CI142" s="0" t="s">
        <v>227</v>
      </c>
      <c r="CJ142" s="0" t="s">
        <v>227</v>
      </c>
      <c r="CK142" s="0" t="s">
        <v>227</v>
      </c>
      <c r="CL142" s="0" t="s">
        <v>227</v>
      </c>
      <c r="CM142" s="0" t="s">
        <v>6091</v>
      </c>
      <c r="CN142" s="0" t="s">
        <v>6091</v>
      </c>
      <c r="CO142" s="0" t="s">
        <v>227</v>
      </c>
      <c r="CP142" s="0" t="s">
        <v>227</v>
      </c>
      <c r="CQ142" s="0" t="s">
        <v>227</v>
      </c>
      <c r="CR142" s="0" t="s">
        <v>227</v>
      </c>
      <c r="CS142" s="0" t="s">
        <v>5733</v>
      </c>
      <c r="CT142" s="0" t="s">
        <v>5679</v>
      </c>
      <c r="CU142" s="0" t="s">
        <v>5680</v>
      </c>
      <c r="CV142" s="0" t="s">
        <v>430</v>
      </c>
      <c r="CW142" s="0" t="s">
        <v>5699</v>
      </c>
      <c r="CX142" s="0" t="s">
        <v>431</v>
      </c>
      <c r="CY142" s="0" t="s">
        <v>430</v>
      </c>
      <c r="CZ142" s="0" t="s">
        <v>432</v>
      </c>
      <c r="DA142" s="0" t="s">
        <v>433</v>
      </c>
      <c r="DB142" s="0" t="s">
        <v>5700</v>
      </c>
      <c r="DC142" s="0" t="s">
        <v>373</v>
      </c>
      <c r="DD142" s="0" t="s">
        <v>277</v>
      </c>
      <c r="DE142" s="0" t="s">
        <v>634</v>
      </c>
    </row>
    <row customHeight="1" ht="11.25">
      <c r="A143" s="1806" t="s">
        <v>227</v>
      </c>
      <c r="B143" s="0" t="s">
        <v>227</v>
      </c>
      <c r="C143" s="0" t="s">
        <v>227</v>
      </c>
      <c r="D143" s="0" t="s">
        <v>227</v>
      </c>
      <c r="E143" s="0" t="s">
        <v>227</v>
      </c>
      <c r="F143" s="0" t="s">
        <v>227</v>
      </c>
      <c r="G143" s="0" t="s">
        <v>227</v>
      </c>
      <c r="H143" s="0" t="s">
        <v>227</v>
      </c>
      <c r="I143" s="0" t="s">
        <v>5667</v>
      </c>
      <c r="J143" s="0" t="s">
        <v>227</v>
      </c>
      <c r="K143" s="0" t="s">
        <v>227</v>
      </c>
      <c r="L143" s="0" t="s">
        <v>227</v>
      </c>
      <c r="M143" s="0" t="s">
        <v>227</v>
      </c>
      <c r="N143" s="0" t="s">
        <v>227</v>
      </c>
      <c r="O143" s="0" t="s">
        <v>227</v>
      </c>
      <c r="P143" s="0" t="s">
        <v>227</v>
      </c>
      <c r="Q143" s="0" t="s">
        <v>227</v>
      </c>
      <c r="R143" s="0" t="s">
        <v>492</v>
      </c>
      <c r="S143" s="0" t="s">
        <v>227</v>
      </c>
      <c r="T143" s="0" t="s">
        <v>227</v>
      </c>
      <c r="U143" s="0" t="s">
        <v>102</v>
      </c>
      <c r="V143" s="0" t="s">
        <v>227</v>
      </c>
      <c r="W143" s="0" t="s">
        <v>227</v>
      </c>
      <c r="X143" s="0" t="s">
        <v>5683</v>
      </c>
      <c r="Y143" s="0" t="s">
        <v>227</v>
      </c>
      <c r="Z143" s="0" t="s">
        <v>152</v>
      </c>
      <c r="AA143" s="0" t="s">
        <v>152</v>
      </c>
      <c r="AB143" s="0" t="s">
        <v>161</v>
      </c>
      <c r="AC143" s="0" t="s">
        <v>354</v>
      </c>
      <c r="AD143" s="0" t="s">
        <v>354</v>
      </c>
      <c r="AE143" s="0" t="s">
        <v>355</v>
      </c>
      <c r="AF143" s="0" t="s">
        <v>5684</v>
      </c>
      <c r="AG143" s="0" t="s">
        <v>5685</v>
      </c>
      <c r="AH143" s="0" t="s">
        <v>6092</v>
      </c>
      <c r="AI143" s="0" t="s">
        <v>6093</v>
      </c>
      <c r="AJ143" s="0" t="s">
        <v>227</v>
      </c>
      <c r="AK143" s="0" t="s">
        <v>227</v>
      </c>
      <c r="AL143" s="0" t="s">
        <v>227</v>
      </c>
      <c r="AM143" s="0" t="s">
        <v>227</v>
      </c>
      <c r="AN143" s="0" t="s">
        <v>227</v>
      </c>
      <c r="AO143" s="0" t="s">
        <v>227</v>
      </c>
      <c r="AP143" s="0" t="s">
        <v>227</v>
      </c>
      <c r="AQ143" s="0" t="s">
        <v>227</v>
      </c>
      <c r="AR143" s="0" t="s">
        <v>227</v>
      </c>
      <c r="AS143" s="0" t="s">
        <v>227</v>
      </c>
      <c r="AT143" s="0" t="s">
        <v>227</v>
      </c>
      <c r="AU143" s="0" t="s">
        <v>227</v>
      </c>
      <c r="AV143" s="0" t="s">
        <v>227</v>
      </c>
      <c r="AW143" s="0" t="s">
        <v>227</v>
      </c>
      <c r="AX143" s="0" t="s">
        <v>227</v>
      </c>
      <c r="AY143" s="0" t="s">
        <v>227</v>
      </c>
      <c r="AZ143" s="0" t="s">
        <v>227</v>
      </c>
      <c r="BA143" s="0" t="s">
        <v>227</v>
      </c>
      <c r="BB143" s="0" t="s">
        <v>227</v>
      </c>
      <c r="BC143" s="0" t="s">
        <v>227</v>
      </c>
      <c r="BD143" s="0" t="s">
        <v>227</v>
      </c>
      <c r="BE143" s="0" t="s">
        <v>5978</v>
      </c>
      <c r="BF143" s="0" t="s">
        <v>5805</v>
      </c>
      <c r="BG143" s="0" t="s">
        <v>112</v>
      </c>
      <c r="BH143" s="0" t="s">
        <v>5690</v>
      </c>
      <c r="BI143" s="0" t="s">
        <v>5691</v>
      </c>
      <c r="BJ143" s="0" t="s">
        <v>227</v>
      </c>
      <c r="BK143" s="0" t="s">
        <v>5692</v>
      </c>
      <c r="BL143" s="0" t="s">
        <v>354</v>
      </c>
      <c r="BM143" s="0" t="s">
        <v>354</v>
      </c>
      <c r="BN143" s="0" t="s">
        <v>5693</v>
      </c>
      <c r="BO143" s="0" t="s">
        <v>5684</v>
      </c>
      <c r="BP143" s="0" t="s">
        <v>5694</v>
      </c>
      <c r="BQ143" s="0" t="s">
        <v>5692</v>
      </c>
      <c r="BR143" s="0" t="s">
        <v>5692</v>
      </c>
      <c r="BS143" s="0" t="s">
        <v>227</v>
      </c>
      <c r="BT143" s="0" t="s">
        <v>5695</v>
      </c>
      <c r="BU143" s="0" t="s">
        <v>5818</v>
      </c>
      <c r="BV143" s="0" t="s">
        <v>5818</v>
      </c>
      <c r="BW143" s="0" t="s">
        <v>5697</v>
      </c>
      <c r="BX143" s="0" t="s">
        <v>5697</v>
      </c>
      <c r="BY143" s="0" t="s">
        <v>5697</v>
      </c>
      <c r="BZ143" s="0" t="s">
        <v>5697</v>
      </c>
      <c r="CA143" s="0" t="s">
        <v>5697</v>
      </c>
      <c r="CB143" s="0" t="s">
        <v>227</v>
      </c>
      <c r="CC143" s="0" t="s">
        <v>227</v>
      </c>
      <c r="CD143" s="0" t="s">
        <v>227</v>
      </c>
      <c r="CE143" s="0" t="s">
        <v>227</v>
      </c>
      <c r="CF143" s="0" t="s">
        <v>227</v>
      </c>
      <c r="CG143" s="0" t="s">
        <v>5697</v>
      </c>
      <c r="CH143" s="0" t="s">
        <v>227</v>
      </c>
      <c r="CI143" s="0" t="s">
        <v>227</v>
      </c>
      <c r="CJ143" s="0" t="s">
        <v>227</v>
      </c>
      <c r="CK143" s="0" t="s">
        <v>227</v>
      </c>
      <c r="CL143" s="0" t="s">
        <v>227</v>
      </c>
      <c r="CM143" s="0" t="s">
        <v>5818</v>
      </c>
      <c r="CN143" s="0" t="s">
        <v>5818</v>
      </c>
      <c r="CO143" s="0" t="s">
        <v>227</v>
      </c>
      <c r="CP143" s="0" t="s">
        <v>227</v>
      </c>
      <c r="CQ143" s="0" t="s">
        <v>227</v>
      </c>
      <c r="CR143" s="0" t="s">
        <v>227</v>
      </c>
      <c r="CS143" s="0" t="s">
        <v>5698</v>
      </c>
      <c r="CT143" s="0" t="s">
        <v>5679</v>
      </c>
      <c r="CU143" s="0" t="s">
        <v>5680</v>
      </c>
      <c r="CV143" s="0" t="s">
        <v>430</v>
      </c>
      <c r="CW143" s="0" t="s">
        <v>5699</v>
      </c>
      <c r="CX143" s="0" t="s">
        <v>431</v>
      </c>
      <c r="CY143" s="0" t="s">
        <v>430</v>
      </c>
      <c r="CZ143" s="0" t="s">
        <v>432</v>
      </c>
      <c r="DA143" s="0" t="s">
        <v>433</v>
      </c>
      <c r="DB143" s="0" t="s">
        <v>5700</v>
      </c>
      <c r="DC143" s="0" t="s">
        <v>373</v>
      </c>
      <c r="DD143" s="0" t="s">
        <v>277</v>
      </c>
      <c r="DE143" s="0" t="s">
        <v>493</v>
      </c>
    </row>
    <row customHeight="1" ht="11.25">
      <c r="A144" s="1806" t="s">
        <v>227</v>
      </c>
      <c r="B144" s="0" t="s">
        <v>227</v>
      </c>
      <c r="C144" s="0" t="s">
        <v>227</v>
      </c>
      <c r="D144" s="0" t="s">
        <v>227</v>
      </c>
      <c r="E144" s="0" t="s">
        <v>227</v>
      </c>
      <c r="F144" s="0" t="s">
        <v>227</v>
      </c>
      <c r="G144" s="0" t="s">
        <v>227</v>
      </c>
      <c r="H144" s="0" t="s">
        <v>227</v>
      </c>
      <c r="I144" s="0" t="s">
        <v>5667</v>
      </c>
      <c r="J144" s="0" t="s">
        <v>227</v>
      </c>
      <c r="K144" s="0" t="s">
        <v>227</v>
      </c>
      <c r="L144" s="0" t="s">
        <v>227</v>
      </c>
      <c r="M144" s="0" t="s">
        <v>227</v>
      </c>
      <c r="N144" s="0" t="s">
        <v>227</v>
      </c>
      <c r="O144" s="0" t="s">
        <v>227</v>
      </c>
      <c r="P144" s="0" t="s">
        <v>227</v>
      </c>
      <c r="Q144" s="0" t="s">
        <v>227</v>
      </c>
      <c r="R144" s="0" t="s">
        <v>967</v>
      </c>
      <c r="S144" s="0" t="s">
        <v>227</v>
      </c>
      <c r="T144" s="0" t="s">
        <v>227</v>
      </c>
      <c r="U144" s="0" t="s">
        <v>102</v>
      </c>
      <c r="V144" s="0" t="s">
        <v>227</v>
      </c>
      <c r="W144" s="0" t="s">
        <v>227</v>
      </c>
      <c r="X144" s="0" t="s">
        <v>5683</v>
      </c>
      <c r="Y144" s="0" t="s">
        <v>227</v>
      </c>
      <c r="Z144" s="0" t="s">
        <v>152</v>
      </c>
      <c r="AA144" s="0" t="s">
        <v>152</v>
      </c>
      <c r="AB144" s="0" t="s">
        <v>161</v>
      </c>
      <c r="AC144" s="0" t="s">
        <v>354</v>
      </c>
      <c r="AD144" s="0" t="s">
        <v>354</v>
      </c>
      <c r="AE144" s="0" t="s">
        <v>355</v>
      </c>
      <c r="AF144" s="0" t="s">
        <v>5701</v>
      </c>
      <c r="AG144" s="0" t="s">
        <v>5702</v>
      </c>
      <c r="AH144" s="0" t="s">
        <v>6094</v>
      </c>
      <c r="AI144" s="0" t="s">
        <v>5692</v>
      </c>
      <c r="AJ144" s="0" t="s">
        <v>227</v>
      </c>
      <c r="AK144" s="0" t="s">
        <v>227</v>
      </c>
      <c r="AL144" s="0" t="s">
        <v>227</v>
      </c>
      <c r="AM144" s="0" t="s">
        <v>227</v>
      </c>
      <c r="AN144" s="0" t="s">
        <v>227</v>
      </c>
      <c r="AO144" s="0" t="s">
        <v>227</v>
      </c>
      <c r="AP144" s="0" t="s">
        <v>227</v>
      </c>
      <c r="AQ144" s="0" t="s">
        <v>227</v>
      </c>
      <c r="AR144" s="0" t="s">
        <v>227</v>
      </c>
      <c r="AS144" s="0" t="s">
        <v>227</v>
      </c>
      <c r="AT144" s="0" t="s">
        <v>227</v>
      </c>
      <c r="AU144" s="0" t="s">
        <v>227</v>
      </c>
      <c r="AV144" s="0" t="s">
        <v>227</v>
      </c>
      <c r="AW144" s="0" t="s">
        <v>227</v>
      </c>
      <c r="AX144" s="0" t="s">
        <v>227</v>
      </c>
      <c r="AY144" s="0" t="s">
        <v>227</v>
      </c>
      <c r="AZ144" s="0" t="s">
        <v>227</v>
      </c>
      <c r="BA144" s="0" t="s">
        <v>227</v>
      </c>
      <c r="BB144" s="0" t="s">
        <v>227</v>
      </c>
      <c r="BC144" s="0" t="s">
        <v>227</v>
      </c>
      <c r="BD144" s="0" t="s">
        <v>227</v>
      </c>
      <c r="BE144" s="0" t="s">
        <v>5728</v>
      </c>
      <c r="BF144" s="0" t="s">
        <v>5752</v>
      </c>
      <c r="BG144" s="0" t="s">
        <v>112</v>
      </c>
      <c r="BH144" s="0" t="s">
        <v>5690</v>
      </c>
      <c r="BI144" s="0" t="s">
        <v>5691</v>
      </c>
      <c r="BJ144" s="0" t="s">
        <v>227</v>
      </c>
      <c r="BK144" s="0" t="s">
        <v>952</v>
      </c>
      <c r="BL144" s="0" t="s">
        <v>354</v>
      </c>
      <c r="BM144" s="0" t="s">
        <v>354</v>
      </c>
      <c r="BN144" s="0" t="s">
        <v>5693</v>
      </c>
      <c r="BO144" s="0" t="s">
        <v>5701</v>
      </c>
      <c r="BP144" s="0" t="s">
        <v>5706</v>
      </c>
      <c r="BQ144" s="0" t="s">
        <v>5707</v>
      </c>
      <c r="BR144" s="0" t="s">
        <v>5708</v>
      </c>
      <c r="BS144" s="0" t="s">
        <v>227</v>
      </c>
      <c r="BT144" s="0" t="s">
        <v>5695</v>
      </c>
      <c r="BU144" s="0" t="s">
        <v>6095</v>
      </c>
      <c r="BV144" s="0" t="s">
        <v>6095</v>
      </c>
      <c r="BW144" s="0" t="s">
        <v>5697</v>
      </c>
      <c r="BX144" s="0" t="s">
        <v>5697</v>
      </c>
      <c r="BY144" s="0" t="s">
        <v>5697</v>
      </c>
      <c r="BZ144" s="0" t="s">
        <v>5697</v>
      </c>
      <c r="CA144" s="0" t="s">
        <v>5697</v>
      </c>
      <c r="CB144" s="0" t="s">
        <v>227</v>
      </c>
      <c r="CC144" s="0" t="s">
        <v>227</v>
      </c>
      <c r="CD144" s="0" t="s">
        <v>227</v>
      </c>
      <c r="CE144" s="0" t="s">
        <v>227</v>
      </c>
      <c r="CF144" s="0" t="s">
        <v>227</v>
      </c>
      <c r="CG144" s="0" t="s">
        <v>5697</v>
      </c>
      <c r="CH144" s="0" t="s">
        <v>227</v>
      </c>
      <c r="CI144" s="0" t="s">
        <v>227</v>
      </c>
      <c r="CJ144" s="0" t="s">
        <v>227</v>
      </c>
      <c r="CK144" s="0" t="s">
        <v>227</v>
      </c>
      <c r="CL144" s="0" t="s">
        <v>227</v>
      </c>
      <c r="CM144" s="0" t="s">
        <v>6095</v>
      </c>
      <c r="CN144" s="0" t="s">
        <v>6095</v>
      </c>
      <c r="CO144" s="0" t="s">
        <v>227</v>
      </c>
      <c r="CP144" s="0" t="s">
        <v>227</v>
      </c>
      <c r="CQ144" s="0" t="s">
        <v>227</v>
      </c>
      <c r="CR144" s="0" t="s">
        <v>227</v>
      </c>
      <c r="CS144" s="0" t="s">
        <v>5698</v>
      </c>
      <c r="CT144" s="0" t="s">
        <v>5679</v>
      </c>
      <c r="CU144" s="0" t="s">
        <v>5680</v>
      </c>
      <c r="CV144" s="0" t="s">
        <v>430</v>
      </c>
      <c r="CW144" s="0" t="s">
        <v>5699</v>
      </c>
      <c r="CX144" s="0" t="s">
        <v>431</v>
      </c>
      <c r="CY144" s="0" t="s">
        <v>430</v>
      </c>
      <c r="CZ144" s="0" t="s">
        <v>432</v>
      </c>
      <c r="DA144" s="0" t="s">
        <v>433</v>
      </c>
      <c r="DB144" s="0" t="s">
        <v>5700</v>
      </c>
      <c r="DC144" s="0" t="s">
        <v>373</v>
      </c>
      <c r="DD144" s="0" t="s">
        <v>277</v>
      </c>
      <c r="DE144" s="0" t="s">
        <v>968</v>
      </c>
    </row>
    <row customHeight="1" ht="11.25">
      <c r="A145" s="1806" t="s">
        <v>227</v>
      </c>
      <c r="B145" s="0" t="s">
        <v>227</v>
      </c>
      <c r="C145" s="0" t="s">
        <v>227</v>
      </c>
      <c r="D145" s="0" t="s">
        <v>227</v>
      </c>
      <c r="E145" s="0" t="s">
        <v>227</v>
      </c>
      <c r="F145" s="0" t="s">
        <v>227</v>
      </c>
      <c r="G145" s="0" t="s">
        <v>227</v>
      </c>
      <c r="H145" s="0" t="s">
        <v>227</v>
      </c>
      <c r="I145" s="0" t="s">
        <v>5667</v>
      </c>
      <c r="J145" s="0" t="s">
        <v>227</v>
      </c>
      <c r="K145" s="0" t="s">
        <v>227</v>
      </c>
      <c r="L145" s="0" t="s">
        <v>227</v>
      </c>
      <c r="M145" s="0" t="s">
        <v>227</v>
      </c>
      <c r="N145" s="0" t="s">
        <v>227</v>
      </c>
      <c r="O145" s="0" t="s">
        <v>227</v>
      </c>
      <c r="P145" s="0" t="s">
        <v>227</v>
      </c>
      <c r="Q145" s="0" t="s">
        <v>227</v>
      </c>
      <c r="R145" s="0" t="s">
        <v>750</v>
      </c>
      <c r="S145" s="0" t="s">
        <v>227</v>
      </c>
      <c r="T145" s="0" t="s">
        <v>227</v>
      </c>
      <c r="U145" s="0" t="s">
        <v>102</v>
      </c>
      <c r="V145" s="0" t="s">
        <v>227</v>
      </c>
      <c r="W145" s="0" t="s">
        <v>227</v>
      </c>
      <c r="X145" s="0" t="s">
        <v>5683</v>
      </c>
      <c r="Y145" s="0" t="s">
        <v>227</v>
      </c>
      <c r="Z145" s="0" t="s">
        <v>152</v>
      </c>
      <c r="AA145" s="0" t="s">
        <v>152</v>
      </c>
      <c r="AB145" s="0" t="s">
        <v>161</v>
      </c>
      <c r="AC145" s="0" t="s">
        <v>354</v>
      </c>
      <c r="AD145" s="0" t="s">
        <v>354</v>
      </c>
      <c r="AE145" s="0" t="s">
        <v>355</v>
      </c>
      <c r="AF145" s="0" t="s">
        <v>5701</v>
      </c>
      <c r="AG145" s="0" t="s">
        <v>5702</v>
      </c>
      <c r="AH145" s="0" t="s">
        <v>6096</v>
      </c>
      <c r="AI145" s="0" t="s">
        <v>5692</v>
      </c>
      <c r="AJ145" s="0" t="s">
        <v>227</v>
      </c>
      <c r="AK145" s="0" t="s">
        <v>227</v>
      </c>
      <c r="AL145" s="0" t="s">
        <v>227</v>
      </c>
      <c r="AM145" s="0" t="s">
        <v>227</v>
      </c>
      <c r="AN145" s="0" t="s">
        <v>227</v>
      </c>
      <c r="AO145" s="0" t="s">
        <v>227</v>
      </c>
      <c r="AP145" s="0" t="s">
        <v>227</v>
      </c>
      <c r="AQ145" s="0" t="s">
        <v>227</v>
      </c>
      <c r="AR145" s="0" t="s">
        <v>227</v>
      </c>
      <c r="AS145" s="0" t="s">
        <v>227</v>
      </c>
      <c r="AT145" s="0" t="s">
        <v>227</v>
      </c>
      <c r="AU145" s="0" t="s">
        <v>227</v>
      </c>
      <c r="AV145" s="0" t="s">
        <v>227</v>
      </c>
      <c r="AW145" s="0" t="s">
        <v>227</v>
      </c>
      <c r="AX145" s="0" t="s">
        <v>227</v>
      </c>
      <c r="AY145" s="0" t="s">
        <v>227</v>
      </c>
      <c r="AZ145" s="0" t="s">
        <v>227</v>
      </c>
      <c r="BA145" s="0" t="s">
        <v>227</v>
      </c>
      <c r="BB145" s="0" t="s">
        <v>227</v>
      </c>
      <c r="BC145" s="0" t="s">
        <v>227</v>
      </c>
      <c r="BD145" s="0" t="s">
        <v>227</v>
      </c>
      <c r="BE145" s="0" t="s">
        <v>5728</v>
      </c>
      <c r="BF145" s="0" t="s">
        <v>5757</v>
      </c>
      <c r="BG145" s="0" t="s">
        <v>112</v>
      </c>
      <c r="BH145" s="0" t="s">
        <v>5690</v>
      </c>
      <c r="BI145" s="0" t="s">
        <v>5691</v>
      </c>
      <c r="BJ145" s="0" t="s">
        <v>227</v>
      </c>
      <c r="BK145" s="0" t="s">
        <v>952</v>
      </c>
      <c r="BL145" s="0" t="s">
        <v>354</v>
      </c>
      <c r="BM145" s="0" t="s">
        <v>354</v>
      </c>
      <c r="BN145" s="0" t="s">
        <v>5693</v>
      </c>
      <c r="BO145" s="0" t="s">
        <v>5701</v>
      </c>
      <c r="BP145" s="0" t="s">
        <v>5706</v>
      </c>
      <c r="BQ145" s="0" t="s">
        <v>5707</v>
      </c>
      <c r="BR145" s="0" t="s">
        <v>5708</v>
      </c>
      <c r="BS145" s="0" t="s">
        <v>227</v>
      </c>
      <c r="BT145" s="0" t="s">
        <v>5695</v>
      </c>
      <c r="BU145" s="0" t="s">
        <v>6097</v>
      </c>
      <c r="BV145" s="0" t="s">
        <v>6097</v>
      </c>
      <c r="BW145" s="0" t="s">
        <v>5697</v>
      </c>
      <c r="BX145" s="0" t="s">
        <v>5697</v>
      </c>
      <c r="BY145" s="0" t="s">
        <v>5697</v>
      </c>
      <c r="BZ145" s="0" t="s">
        <v>5697</v>
      </c>
      <c r="CA145" s="0" t="s">
        <v>5697</v>
      </c>
      <c r="CB145" s="0" t="s">
        <v>227</v>
      </c>
      <c r="CC145" s="0" t="s">
        <v>227</v>
      </c>
      <c r="CD145" s="0" t="s">
        <v>227</v>
      </c>
      <c r="CE145" s="0" t="s">
        <v>227</v>
      </c>
      <c r="CF145" s="0" t="s">
        <v>227</v>
      </c>
      <c r="CG145" s="0" t="s">
        <v>5697</v>
      </c>
      <c r="CH145" s="0" t="s">
        <v>227</v>
      </c>
      <c r="CI145" s="0" t="s">
        <v>227</v>
      </c>
      <c r="CJ145" s="0" t="s">
        <v>227</v>
      </c>
      <c r="CK145" s="0" t="s">
        <v>227</v>
      </c>
      <c r="CL145" s="0" t="s">
        <v>227</v>
      </c>
      <c r="CM145" s="0" t="s">
        <v>6097</v>
      </c>
      <c r="CN145" s="0" t="s">
        <v>6097</v>
      </c>
      <c r="CO145" s="0" t="s">
        <v>227</v>
      </c>
      <c r="CP145" s="0" t="s">
        <v>227</v>
      </c>
      <c r="CQ145" s="0" t="s">
        <v>227</v>
      </c>
      <c r="CR145" s="0" t="s">
        <v>227</v>
      </c>
      <c r="CS145" s="0" t="s">
        <v>5698</v>
      </c>
      <c r="CT145" s="0" t="s">
        <v>5679</v>
      </c>
      <c r="CU145" s="0" t="s">
        <v>5680</v>
      </c>
      <c r="CV145" s="0" t="s">
        <v>430</v>
      </c>
      <c r="CW145" s="0" t="s">
        <v>5699</v>
      </c>
      <c r="CX145" s="0" t="s">
        <v>431</v>
      </c>
      <c r="CY145" s="0" t="s">
        <v>430</v>
      </c>
      <c r="CZ145" s="0" t="s">
        <v>432</v>
      </c>
      <c r="DA145" s="0" t="s">
        <v>433</v>
      </c>
      <c r="DB145" s="0" t="s">
        <v>5700</v>
      </c>
      <c r="DC145" s="0" t="s">
        <v>373</v>
      </c>
      <c r="DD145" s="0" t="s">
        <v>277</v>
      </c>
      <c r="DE145" s="0" t="s">
        <v>751</v>
      </c>
    </row>
    <row customHeight="1" ht="11.25">
      <c r="A146" s="1806" t="s">
        <v>227</v>
      </c>
      <c r="B146" s="0" t="s">
        <v>227</v>
      </c>
      <c r="C146" s="0" t="s">
        <v>227</v>
      </c>
      <c r="D146" s="0" t="s">
        <v>227</v>
      </c>
      <c r="E146" s="0" t="s">
        <v>227</v>
      </c>
      <c r="F146" s="0" t="s">
        <v>227</v>
      </c>
      <c r="G146" s="0" t="s">
        <v>227</v>
      </c>
      <c r="H146" s="0" t="s">
        <v>227</v>
      </c>
      <c r="I146" s="0" t="s">
        <v>5667</v>
      </c>
      <c r="J146" s="0" t="s">
        <v>227</v>
      </c>
      <c r="K146" s="0" t="s">
        <v>227</v>
      </c>
      <c r="L146" s="0" t="s">
        <v>227</v>
      </c>
      <c r="M146" s="0" t="s">
        <v>227</v>
      </c>
      <c r="N146" s="0" t="s">
        <v>227</v>
      </c>
      <c r="O146" s="0" t="s">
        <v>227</v>
      </c>
      <c r="P146" s="0" t="s">
        <v>227</v>
      </c>
      <c r="Q146" s="0" t="s">
        <v>227</v>
      </c>
      <c r="R146" s="0" t="s">
        <v>708</v>
      </c>
      <c r="S146" s="0" t="s">
        <v>227</v>
      </c>
      <c r="T146" s="0" t="s">
        <v>227</v>
      </c>
      <c r="U146" s="0" t="s">
        <v>102</v>
      </c>
      <c r="V146" s="0" t="s">
        <v>227</v>
      </c>
      <c r="W146" s="0" t="s">
        <v>227</v>
      </c>
      <c r="X146" s="0" t="s">
        <v>5683</v>
      </c>
      <c r="Y146" s="0" t="s">
        <v>227</v>
      </c>
      <c r="Z146" s="0" t="s">
        <v>152</v>
      </c>
      <c r="AA146" s="0" t="s">
        <v>152</v>
      </c>
      <c r="AB146" s="0" t="s">
        <v>161</v>
      </c>
      <c r="AC146" s="0" t="s">
        <v>354</v>
      </c>
      <c r="AD146" s="0" t="s">
        <v>354</v>
      </c>
      <c r="AE146" s="0" t="s">
        <v>355</v>
      </c>
      <c r="AF146" s="0" t="s">
        <v>5684</v>
      </c>
      <c r="AG146" s="0" t="s">
        <v>5685</v>
      </c>
      <c r="AH146" s="0" t="s">
        <v>6098</v>
      </c>
      <c r="AI146" s="0" t="s">
        <v>5692</v>
      </c>
      <c r="AJ146" s="0" t="s">
        <v>227</v>
      </c>
      <c r="AK146" s="0" t="s">
        <v>227</v>
      </c>
      <c r="AL146" s="0" t="s">
        <v>227</v>
      </c>
      <c r="AM146" s="0" t="s">
        <v>227</v>
      </c>
      <c r="AN146" s="0" t="s">
        <v>227</v>
      </c>
      <c r="AO146" s="0" t="s">
        <v>227</v>
      </c>
      <c r="AP146" s="0" t="s">
        <v>227</v>
      </c>
      <c r="AQ146" s="0" t="s">
        <v>227</v>
      </c>
      <c r="AR146" s="0" t="s">
        <v>227</v>
      </c>
      <c r="AS146" s="0" t="s">
        <v>227</v>
      </c>
      <c r="AT146" s="0" t="s">
        <v>227</v>
      </c>
      <c r="AU146" s="0" t="s">
        <v>227</v>
      </c>
      <c r="AV146" s="0" t="s">
        <v>227</v>
      </c>
      <c r="AW146" s="0" t="s">
        <v>227</v>
      </c>
      <c r="AX146" s="0" t="s">
        <v>227</v>
      </c>
      <c r="AY146" s="0" t="s">
        <v>227</v>
      </c>
      <c r="AZ146" s="0" t="s">
        <v>227</v>
      </c>
      <c r="BA146" s="0" t="s">
        <v>227</v>
      </c>
      <c r="BB146" s="0" t="s">
        <v>227</v>
      </c>
      <c r="BC146" s="0" t="s">
        <v>227</v>
      </c>
      <c r="BD146" s="0" t="s">
        <v>227</v>
      </c>
      <c r="BE146" s="0" t="s">
        <v>5728</v>
      </c>
      <c r="BF146" s="0" t="s">
        <v>5757</v>
      </c>
      <c r="BG146" s="0" t="s">
        <v>112</v>
      </c>
      <c r="BH146" s="0" t="s">
        <v>5690</v>
      </c>
      <c r="BI146" s="0" t="s">
        <v>5691</v>
      </c>
      <c r="BJ146" s="0" t="s">
        <v>227</v>
      </c>
      <c r="BK146" s="0" t="s">
        <v>5692</v>
      </c>
      <c r="BL146" s="0" t="s">
        <v>354</v>
      </c>
      <c r="BM146" s="0" t="s">
        <v>354</v>
      </c>
      <c r="BN146" s="0" t="s">
        <v>5693</v>
      </c>
      <c r="BO146" s="0" t="s">
        <v>5684</v>
      </c>
      <c r="BP146" s="0" t="s">
        <v>5694</v>
      </c>
      <c r="BQ146" s="0" t="s">
        <v>5692</v>
      </c>
      <c r="BR146" s="0" t="s">
        <v>5692</v>
      </c>
      <c r="BS146" s="0" t="s">
        <v>227</v>
      </c>
      <c r="BT146" s="0" t="s">
        <v>5695</v>
      </c>
      <c r="BU146" s="0" t="s">
        <v>5908</v>
      </c>
      <c r="BV146" s="0" t="s">
        <v>5908</v>
      </c>
      <c r="BW146" s="0" t="s">
        <v>5697</v>
      </c>
      <c r="BX146" s="0" t="s">
        <v>5697</v>
      </c>
      <c r="BY146" s="0" t="s">
        <v>5697</v>
      </c>
      <c r="BZ146" s="0" t="s">
        <v>5697</v>
      </c>
      <c r="CA146" s="0" t="s">
        <v>5697</v>
      </c>
      <c r="CB146" s="0" t="s">
        <v>227</v>
      </c>
      <c r="CC146" s="0" t="s">
        <v>227</v>
      </c>
      <c r="CD146" s="0" t="s">
        <v>227</v>
      </c>
      <c r="CE146" s="0" t="s">
        <v>227</v>
      </c>
      <c r="CF146" s="0" t="s">
        <v>227</v>
      </c>
      <c r="CG146" s="0" t="s">
        <v>5697</v>
      </c>
      <c r="CH146" s="0" t="s">
        <v>227</v>
      </c>
      <c r="CI146" s="0" t="s">
        <v>227</v>
      </c>
      <c r="CJ146" s="0" t="s">
        <v>227</v>
      </c>
      <c r="CK146" s="0" t="s">
        <v>227</v>
      </c>
      <c r="CL146" s="0" t="s">
        <v>227</v>
      </c>
      <c r="CM146" s="0" t="s">
        <v>5908</v>
      </c>
      <c r="CN146" s="0" t="s">
        <v>5908</v>
      </c>
      <c r="CO146" s="0" t="s">
        <v>227</v>
      </c>
      <c r="CP146" s="0" t="s">
        <v>227</v>
      </c>
      <c r="CQ146" s="0" t="s">
        <v>227</v>
      </c>
      <c r="CR146" s="0" t="s">
        <v>227</v>
      </c>
      <c r="CS146" s="0" t="s">
        <v>5698</v>
      </c>
      <c r="CT146" s="0" t="s">
        <v>5679</v>
      </c>
      <c r="CU146" s="0" t="s">
        <v>5680</v>
      </c>
      <c r="CV146" s="0" t="s">
        <v>430</v>
      </c>
      <c r="CW146" s="0" t="s">
        <v>5699</v>
      </c>
      <c r="CX146" s="0" t="s">
        <v>431</v>
      </c>
      <c r="CY146" s="0" t="s">
        <v>430</v>
      </c>
      <c r="CZ146" s="0" t="s">
        <v>432</v>
      </c>
      <c r="DA146" s="0" t="s">
        <v>433</v>
      </c>
      <c r="DB146" s="0" t="s">
        <v>5700</v>
      </c>
      <c r="DC146" s="0" t="s">
        <v>373</v>
      </c>
      <c r="DD146" s="0" t="s">
        <v>277</v>
      </c>
      <c r="DE146" s="0" t="s">
        <v>709</v>
      </c>
    </row>
    <row customHeight="1" ht="11.25">
      <c r="A147" s="1806" t="s">
        <v>227</v>
      </c>
      <c r="B147" s="0" t="s">
        <v>227</v>
      </c>
      <c r="C147" s="0" t="s">
        <v>227</v>
      </c>
      <c r="D147" s="0" t="s">
        <v>227</v>
      </c>
      <c r="E147" s="0" t="s">
        <v>227</v>
      </c>
      <c r="F147" s="0" t="s">
        <v>227</v>
      </c>
      <c r="G147" s="0" t="s">
        <v>227</v>
      </c>
      <c r="H147" s="0" t="s">
        <v>227</v>
      </c>
      <c r="I147" s="0" t="s">
        <v>5667</v>
      </c>
      <c r="J147" s="0" t="s">
        <v>227</v>
      </c>
      <c r="K147" s="0" t="s">
        <v>227</v>
      </c>
      <c r="L147" s="0" t="s">
        <v>227</v>
      </c>
      <c r="M147" s="0" t="s">
        <v>227</v>
      </c>
      <c r="N147" s="0" t="s">
        <v>227</v>
      </c>
      <c r="O147" s="0" t="s">
        <v>227</v>
      </c>
      <c r="P147" s="0" t="s">
        <v>227</v>
      </c>
      <c r="Q147" s="0" t="s">
        <v>227</v>
      </c>
      <c r="R147" s="0" t="s">
        <v>696</v>
      </c>
      <c r="S147" s="0" t="s">
        <v>227</v>
      </c>
      <c r="T147" s="0" t="s">
        <v>227</v>
      </c>
      <c r="U147" s="0" t="s">
        <v>102</v>
      </c>
      <c r="V147" s="0" t="s">
        <v>227</v>
      </c>
      <c r="W147" s="0" t="s">
        <v>227</v>
      </c>
      <c r="X147" s="0" t="s">
        <v>5683</v>
      </c>
      <c r="Y147" s="0" t="s">
        <v>227</v>
      </c>
      <c r="Z147" s="0" t="s">
        <v>152</v>
      </c>
      <c r="AA147" s="0" t="s">
        <v>152</v>
      </c>
      <c r="AB147" s="0" t="s">
        <v>161</v>
      </c>
      <c r="AC147" s="0" t="s">
        <v>354</v>
      </c>
      <c r="AD147" s="0" t="s">
        <v>354</v>
      </c>
      <c r="AE147" s="0" t="s">
        <v>355</v>
      </c>
      <c r="AF147" s="0" t="s">
        <v>5684</v>
      </c>
      <c r="AG147" s="0" t="s">
        <v>5685</v>
      </c>
      <c r="AH147" s="0" t="s">
        <v>6062</v>
      </c>
      <c r="AI147" s="0" t="s">
        <v>5692</v>
      </c>
      <c r="AJ147" s="0" t="s">
        <v>227</v>
      </c>
      <c r="AK147" s="0" t="s">
        <v>227</v>
      </c>
      <c r="AL147" s="0" t="s">
        <v>227</v>
      </c>
      <c r="AM147" s="0" t="s">
        <v>227</v>
      </c>
      <c r="AN147" s="0" t="s">
        <v>227</v>
      </c>
      <c r="AO147" s="0" t="s">
        <v>227</v>
      </c>
      <c r="AP147" s="0" t="s">
        <v>227</v>
      </c>
      <c r="AQ147" s="0" t="s">
        <v>227</v>
      </c>
      <c r="AR147" s="0" t="s">
        <v>227</v>
      </c>
      <c r="AS147" s="0" t="s">
        <v>227</v>
      </c>
      <c r="AT147" s="0" t="s">
        <v>227</v>
      </c>
      <c r="AU147" s="0" t="s">
        <v>227</v>
      </c>
      <c r="AV147" s="0" t="s">
        <v>227</v>
      </c>
      <c r="AW147" s="0" t="s">
        <v>227</v>
      </c>
      <c r="AX147" s="0" t="s">
        <v>227</v>
      </c>
      <c r="AY147" s="0" t="s">
        <v>227</v>
      </c>
      <c r="AZ147" s="0" t="s">
        <v>227</v>
      </c>
      <c r="BA147" s="0" t="s">
        <v>227</v>
      </c>
      <c r="BB147" s="0" t="s">
        <v>227</v>
      </c>
      <c r="BC147" s="0" t="s">
        <v>227</v>
      </c>
      <c r="BD147" s="0" t="s">
        <v>227</v>
      </c>
      <c r="BE147" s="0" t="s">
        <v>5728</v>
      </c>
      <c r="BF147" s="0" t="s">
        <v>5728</v>
      </c>
      <c r="BG147" s="0" t="s">
        <v>112</v>
      </c>
      <c r="BH147" s="0" t="s">
        <v>5690</v>
      </c>
      <c r="BI147" s="0" t="s">
        <v>5691</v>
      </c>
      <c r="BJ147" s="0" t="s">
        <v>227</v>
      </c>
      <c r="BK147" s="0" t="s">
        <v>5692</v>
      </c>
      <c r="BL147" s="0" t="s">
        <v>354</v>
      </c>
      <c r="BM147" s="0" t="s">
        <v>354</v>
      </c>
      <c r="BN147" s="0" t="s">
        <v>5693</v>
      </c>
      <c r="BO147" s="0" t="s">
        <v>5684</v>
      </c>
      <c r="BP147" s="0" t="s">
        <v>5694</v>
      </c>
      <c r="BQ147" s="0" t="s">
        <v>5692</v>
      </c>
      <c r="BR147" s="0" t="s">
        <v>5692</v>
      </c>
      <c r="BS147" s="0" t="s">
        <v>227</v>
      </c>
      <c r="BT147" s="0" t="s">
        <v>5695</v>
      </c>
      <c r="BU147" s="0" t="s">
        <v>6099</v>
      </c>
      <c r="BV147" s="0" t="s">
        <v>6099</v>
      </c>
      <c r="BW147" s="0" t="s">
        <v>5697</v>
      </c>
      <c r="BX147" s="0" t="s">
        <v>5697</v>
      </c>
      <c r="BY147" s="0" t="s">
        <v>5697</v>
      </c>
      <c r="BZ147" s="0" t="s">
        <v>5697</v>
      </c>
      <c r="CA147" s="0" t="s">
        <v>5697</v>
      </c>
      <c r="CB147" s="0" t="s">
        <v>227</v>
      </c>
      <c r="CC147" s="0" t="s">
        <v>227</v>
      </c>
      <c r="CD147" s="0" t="s">
        <v>227</v>
      </c>
      <c r="CE147" s="0" t="s">
        <v>227</v>
      </c>
      <c r="CF147" s="0" t="s">
        <v>227</v>
      </c>
      <c r="CG147" s="0" t="s">
        <v>5697</v>
      </c>
      <c r="CH147" s="0" t="s">
        <v>227</v>
      </c>
      <c r="CI147" s="0" t="s">
        <v>227</v>
      </c>
      <c r="CJ147" s="0" t="s">
        <v>227</v>
      </c>
      <c r="CK147" s="0" t="s">
        <v>227</v>
      </c>
      <c r="CL147" s="0" t="s">
        <v>227</v>
      </c>
      <c r="CM147" s="0" t="s">
        <v>6099</v>
      </c>
      <c r="CN147" s="0" t="s">
        <v>6099</v>
      </c>
      <c r="CO147" s="0" t="s">
        <v>227</v>
      </c>
      <c r="CP147" s="0" t="s">
        <v>227</v>
      </c>
      <c r="CQ147" s="0" t="s">
        <v>227</v>
      </c>
      <c r="CR147" s="0" t="s">
        <v>227</v>
      </c>
      <c r="CS147" s="0" t="s">
        <v>5733</v>
      </c>
      <c r="CT147" s="0" t="s">
        <v>5679</v>
      </c>
      <c r="CU147" s="0" t="s">
        <v>5680</v>
      </c>
      <c r="CV147" s="0" t="s">
        <v>430</v>
      </c>
      <c r="CW147" s="0" t="s">
        <v>5699</v>
      </c>
      <c r="CX147" s="0" t="s">
        <v>431</v>
      </c>
      <c r="CY147" s="0" t="s">
        <v>430</v>
      </c>
      <c r="CZ147" s="0" t="s">
        <v>432</v>
      </c>
      <c r="DA147" s="0" t="s">
        <v>433</v>
      </c>
      <c r="DB147" s="0" t="s">
        <v>5700</v>
      </c>
      <c r="DC147" s="0" t="s">
        <v>373</v>
      </c>
      <c r="DD147" s="0" t="s">
        <v>277</v>
      </c>
      <c r="DE147" s="0" t="s">
        <v>697</v>
      </c>
    </row>
    <row customHeight="1" ht="11.25">
      <c r="A148" s="1806" t="s">
        <v>227</v>
      </c>
      <c r="B148" s="0" t="s">
        <v>227</v>
      </c>
      <c r="C148" s="0" t="s">
        <v>227</v>
      </c>
      <c r="D148" s="0" t="s">
        <v>227</v>
      </c>
      <c r="E148" s="0" t="s">
        <v>227</v>
      </c>
      <c r="F148" s="0" t="s">
        <v>227</v>
      </c>
      <c r="G148" s="0" t="s">
        <v>227</v>
      </c>
      <c r="H148" s="0" t="s">
        <v>227</v>
      </c>
      <c r="I148" s="0" t="s">
        <v>5667</v>
      </c>
      <c r="J148" s="0" t="s">
        <v>227</v>
      </c>
      <c r="K148" s="0" t="s">
        <v>227</v>
      </c>
      <c r="L148" s="0" t="s">
        <v>227</v>
      </c>
      <c r="M148" s="0" t="s">
        <v>227</v>
      </c>
      <c r="N148" s="0" t="s">
        <v>227</v>
      </c>
      <c r="O148" s="0" t="s">
        <v>227</v>
      </c>
      <c r="P148" s="0" t="s">
        <v>227</v>
      </c>
      <c r="Q148" s="0" t="s">
        <v>227</v>
      </c>
      <c r="R148" s="0" t="s">
        <v>806</v>
      </c>
      <c r="S148" s="0" t="s">
        <v>227</v>
      </c>
      <c r="T148" s="0" t="s">
        <v>227</v>
      </c>
      <c r="U148" s="0" t="s">
        <v>102</v>
      </c>
      <c r="V148" s="0" t="s">
        <v>227</v>
      </c>
      <c r="W148" s="0" t="s">
        <v>227</v>
      </c>
      <c r="X148" s="0" t="s">
        <v>5683</v>
      </c>
      <c r="Y148" s="0" t="s">
        <v>227</v>
      </c>
      <c r="Z148" s="0" t="s">
        <v>152</v>
      </c>
      <c r="AA148" s="0" t="s">
        <v>152</v>
      </c>
      <c r="AB148" s="0" t="s">
        <v>161</v>
      </c>
      <c r="AC148" s="0" t="s">
        <v>354</v>
      </c>
      <c r="AD148" s="0" t="s">
        <v>354</v>
      </c>
      <c r="AE148" s="0" t="s">
        <v>355</v>
      </c>
      <c r="AF148" s="0" t="s">
        <v>5701</v>
      </c>
      <c r="AG148" s="0" t="s">
        <v>5702</v>
      </c>
      <c r="AH148" s="0" t="s">
        <v>5703</v>
      </c>
      <c r="AI148" s="0" t="s">
        <v>541</v>
      </c>
      <c r="AJ148" s="0" t="s">
        <v>227</v>
      </c>
      <c r="AK148" s="0" t="s">
        <v>227</v>
      </c>
      <c r="AL148" s="0" t="s">
        <v>227</v>
      </c>
      <c r="AM148" s="0" t="s">
        <v>227</v>
      </c>
      <c r="AN148" s="0" t="s">
        <v>227</v>
      </c>
      <c r="AO148" s="0" t="s">
        <v>227</v>
      </c>
      <c r="AP148" s="0" t="s">
        <v>227</v>
      </c>
      <c r="AQ148" s="0" t="s">
        <v>227</v>
      </c>
      <c r="AR148" s="0" t="s">
        <v>227</v>
      </c>
      <c r="AS148" s="0" t="s">
        <v>227</v>
      </c>
      <c r="AT148" s="0" t="s">
        <v>227</v>
      </c>
      <c r="AU148" s="0" t="s">
        <v>227</v>
      </c>
      <c r="AV148" s="0" t="s">
        <v>227</v>
      </c>
      <c r="AW148" s="0" t="s">
        <v>227</v>
      </c>
      <c r="AX148" s="0" t="s">
        <v>227</v>
      </c>
      <c r="AY148" s="0" t="s">
        <v>227</v>
      </c>
      <c r="AZ148" s="0" t="s">
        <v>227</v>
      </c>
      <c r="BA148" s="0" t="s">
        <v>227</v>
      </c>
      <c r="BB148" s="0" t="s">
        <v>227</v>
      </c>
      <c r="BC148" s="0" t="s">
        <v>227</v>
      </c>
      <c r="BD148" s="0" t="s">
        <v>227</v>
      </c>
      <c r="BE148" s="0" t="s">
        <v>5743</v>
      </c>
      <c r="BF148" s="0" t="s">
        <v>5888</v>
      </c>
      <c r="BG148" s="0" t="s">
        <v>112</v>
      </c>
      <c r="BH148" s="0" t="s">
        <v>5690</v>
      </c>
      <c r="BI148" s="0" t="s">
        <v>5691</v>
      </c>
      <c r="BJ148" s="0" t="s">
        <v>227</v>
      </c>
      <c r="BK148" s="0" t="s">
        <v>952</v>
      </c>
      <c r="BL148" s="0" t="s">
        <v>354</v>
      </c>
      <c r="BM148" s="0" t="s">
        <v>354</v>
      </c>
      <c r="BN148" s="0" t="s">
        <v>5693</v>
      </c>
      <c r="BO148" s="0" t="s">
        <v>5701</v>
      </c>
      <c r="BP148" s="0" t="s">
        <v>5706</v>
      </c>
      <c r="BQ148" s="0" t="s">
        <v>5707</v>
      </c>
      <c r="BR148" s="0" t="s">
        <v>5708</v>
      </c>
      <c r="BS148" s="0" t="s">
        <v>227</v>
      </c>
      <c r="BT148" s="0" t="s">
        <v>5709</v>
      </c>
      <c r="BU148" s="0" t="s">
        <v>6100</v>
      </c>
      <c r="BV148" s="0" t="s">
        <v>6100</v>
      </c>
      <c r="BW148" s="0" t="s">
        <v>5697</v>
      </c>
      <c r="BX148" s="0" t="s">
        <v>5697</v>
      </c>
      <c r="BY148" s="0" t="s">
        <v>5697</v>
      </c>
      <c r="BZ148" s="0" t="s">
        <v>5697</v>
      </c>
      <c r="CA148" s="0" t="s">
        <v>5697</v>
      </c>
      <c r="CB148" s="0" t="s">
        <v>227</v>
      </c>
      <c r="CC148" s="0" t="s">
        <v>227</v>
      </c>
      <c r="CD148" s="0" t="s">
        <v>227</v>
      </c>
      <c r="CE148" s="0" t="s">
        <v>227</v>
      </c>
      <c r="CF148" s="0" t="s">
        <v>227</v>
      </c>
      <c r="CG148" s="0" t="s">
        <v>5697</v>
      </c>
      <c r="CH148" s="0" t="s">
        <v>227</v>
      </c>
      <c r="CI148" s="0" t="s">
        <v>227</v>
      </c>
      <c r="CJ148" s="0" t="s">
        <v>227</v>
      </c>
      <c r="CK148" s="0" t="s">
        <v>227</v>
      </c>
      <c r="CL148" s="0" t="s">
        <v>227</v>
      </c>
      <c r="CM148" s="0" t="s">
        <v>6100</v>
      </c>
      <c r="CN148" s="0" t="s">
        <v>6100</v>
      </c>
      <c r="CO148" s="0" t="s">
        <v>227</v>
      </c>
      <c r="CP148" s="0" t="s">
        <v>227</v>
      </c>
      <c r="CQ148" s="0" t="s">
        <v>227</v>
      </c>
      <c r="CR148" s="0" t="s">
        <v>227</v>
      </c>
      <c r="CS148" s="0" t="s">
        <v>5714</v>
      </c>
      <c r="CT148" s="0" t="s">
        <v>5679</v>
      </c>
      <c r="CU148" s="0" t="s">
        <v>5680</v>
      </c>
      <c r="CV148" s="0" t="s">
        <v>430</v>
      </c>
      <c r="CW148" s="0" t="s">
        <v>5699</v>
      </c>
      <c r="CX148" s="0" t="s">
        <v>431</v>
      </c>
      <c r="CY148" s="0" t="s">
        <v>430</v>
      </c>
      <c r="CZ148" s="0" t="s">
        <v>432</v>
      </c>
      <c r="DA148" s="0" t="s">
        <v>433</v>
      </c>
      <c r="DB148" s="0" t="s">
        <v>5700</v>
      </c>
      <c r="DC148" s="0" t="s">
        <v>373</v>
      </c>
      <c r="DD148" s="0" t="s">
        <v>277</v>
      </c>
      <c r="DE148" s="0" t="s">
        <v>807</v>
      </c>
    </row>
    <row customHeight="1" ht="11.25">
      <c r="A149" s="1806" t="s">
        <v>227</v>
      </c>
      <c r="B149" s="0" t="s">
        <v>227</v>
      </c>
      <c r="C149" s="0" t="s">
        <v>227</v>
      </c>
      <c r="D149" s="0" t="s">
        <v>227</v>
      </c>
      <c r="E149" s="0" t="s">
        <v>227</v>
      </c>
      <c r="F149" s="0" t="s">
        <v>227</v>
      </c>
      <c r="G149" s="0" t="s">
        <v>227</v>
      </c>
      <c r="H149" s="0" t="s">
        <v>227</v>
      </c>
      <c r="I149" s="0" t="s">
        <v>5667</v>
      </c>
      <c r="J149" s="0" t="s">
        <v>227</v>
      </c>
      <c r="K149" s="0" t="s">
        <v>227</v>
      </c>
      <c r="L149" s="0" t="s">
        <v>227</v>
      </c>
      <c r="M149" s="0" t="s">
        <v>227</v>
      </c>
      <c r="N149" s="0" t="s">
        <v>227</v>
      </c>
      <c r="O149" s="0" t="s">
        <v>227</v>
      </c>
      <c r="P149" s="0" t="s">
        <v>227</v>
      </c>
      <c r="Q149" s="0" t="s">
        <v>227</v>
      </c>
      <c r="R149" s="0" t="s">
        <v>922</v>
      </c>
      <c r="S149" s="0" t="s">
        <v>227</v>
      </c>
      <c r="T149" s="0" t="s">
        <v>227</v>
      </c>
      <c r="U149" s="0" t="s">
        <v>102</v>
      </c>
      <c r="V149" s="0" t="s">
        <v>227</v>
      </c>
      <c r="W149" s="0" t="s">
        <v>227</v>
      </c>
      <c r="X149" s="0" t="s">
        <v>5683</v>
      </c>
      <c r="Y149" s="0" t="s">
        <v>227</v>
      </c>
      <c r="Z149" s="0" t="s">
        <v>152</v>
      </c>
      <c r="AA149" s="0" t="s">
        <v>152</v>
      </c>
      <c r="AB149" s="0" t="s">
        <v>161</v>
      </c>
      <c r="AC149" s="0" t="s">
        <v>354</v>
      </c>
      <c r="AD149" s="0" t="s">
        <v>354</v>
      </c>
      <c r="AE149" s="0" t="s">
        <v>355</v>
      </c>
      <c r="AF149" s="0" t="s">
        <v>5701</v>
      </c>
      <c r="AG149" s="0" t="s">
        <v>5702</v>
      </c>
      <c r="AH149" s="0" t="s">
        <v>6101</v>
      </c>
      <c r="AI149" s="0" t="s">
        <v>6102</v>
      </c>
      <c r="AJ149" s="0" t="s">
        <v>227</v>
      </c>
      <c r="AK149" s="0" t="s">
        <v>227</v>
      </c>
      <c r="AL149" s="0" t="s">
        <v>227</v>
      </c>
      <c r="AM149" s="0" t="s">
        <v>227</v>
      </c>
      <c r="AN149" s="0" t="s">
        <v>227</v>
      </c>
      <c r="AO149" s="0" t="s">
        <v>227</v>
      </c>
      <c r="AP149" s="0" t="s">
        <v>227</v>
      </c>
      <c r="AQ149" s="0" t="s">
        <v>227</v>
      </c>
      <c r="AR149" s="0" t="s">
        <v>227</v>
      </c>
      <c r="AS149" s="0" t="s">
        <v>227</v>
      </c>
      <c r="AT149" s="0" t="s">
        <v>227</v>
      </c>
      <c r="AU149" s="0" t="s">
        <v>227</v>
      </c>
      <c r="AV149" s="0" t="s">
        <v>227</v>
      </c>
      <c r="AW149" s="0" t="s">
        <v>227</v>
      </c>
      <c r="AX149" s="0" t="s">
        <v>227</v>
      </c>
      <c r="AY149" s="0" t="s">
        <v>227</v>
      </c>
      <c r="AZ149" s="0" t="s">
        <v>227</v>
      </c>
      <c r="BA149" s="0" t="s">
        <v>227</v>
      </c>
      <c r="BB149" s="0" t="s">
        <v>227</v>
      </c>
      <c r="BC149" s="0" t="s">
        <v>227</v>
      </c>
      <c r="BD149" s="0" t="s">
        <v>227</v>
      </c>
      <c r="BE149" s="0" t="s">
        <v>5688</v>
      </c>
      <c r="BF149" s="0" t="s">
        <v>6027</v>
      </c>
      <c r="BG149" s="0" t="s">
        <v>112</v>
      </c>
      <c r="BH149" s="0" t="s">
        <v>5690</v>
      </c>
      <c r="BI149" s="0" t="s">
        <v>5691</v>
      </c>
      <c r="BJ149" s="0" t="s">
        <v>227</v>
      </c>
      <c r="BK149" s="0" t="s">
        <v>952</v>
      </c>
      <c r="BL149" s="0" t="s">
        <v>354</v>
      </c>
      <c r="BM149" s="0" t="s">
        <v>354</v>
      </c>
      <c r="BN149" s="0" t="s">
        <v>5693</v>
      </c>
      <c r="BO149" s="0" t="s">
        <v>5701</v>
      </c>
      <c r="BP149" s="0" t="s">
        <v>5706</v>
      </c>
      <c r="BQ149" s="0" t="s">
        <v>5707</v>
      </c>
      <c r="BR149" s="0" t="s">
        <v>5708</v>
      </c>
      <c r="BS149" s="0" t="s">
        <v>227</v>
      </c>
      <c r="BT149" s="0" t="s">
        <v>5695</v>
      </c>
      <c r="BU149" s="0" t="s">
        <v>6103</v>
      </c>
      <c r="BV149" s="0" t="s">
        <v>6103</v>
      </c>
      <c r="BW149" s="0" t="s">
        <v>5697</v>
      </c>
      <c r="BX149" s="0" t="s">
        <v>5697</v>
      </c>
      <c r="BY149" s="0" t="s">
        <v>5697</v>
      </c>
      <c r="BZ149" s="0" t="s">
        <v>5697</v>
      </c>
      <c r="CA149" s="0" t="s">
        <v>5697</v>
      </c>
      <c r="CB149" s="0" t="s">
        <v>227</v>
      </c>
      <c r="CC149" s="0" t="s">
        <v>227</v>
      </c>
      <c r="CD149" s="0" t="s">
        <v>227</v>
      </c>
      <c r="CE149" s="0" t="s">
        <v>227</v>
      </c>
      <c r="CF149" s="0" t="s">
        <v>227</v>
      </c>
      <c r="CG149" s="0" t="s">
        <v>5697</v>
      </c>
      <c r="CH149" s="0" t="s">
        <v>227</v>
      </c>
      <c r="CI149" s="0" t="s">
        <v>227</v>
      </c>
      <c r="CJ149" s="0" t="s">
        <v>227</v>
      </c>
      <c r="CK149" s="0" t="s">
        <v>227</v>
      </c>
      <c r="CL149" s="0" t="s">
        <v>227</v>
      </c>
      <c r="CM149" s="0" t="s">
        <v>6103</v>
      </c>
      <c r="CN149" s="0" t="s">
        <v>6103</v>
      </c>
      <c r="CO149" s="0" t="s">
        <v>227</v>
      </c>
      <c r="CP149" s="0" t="s">
        <v>227</v>
      </c>
      <c r="CQ149" s="0" t="s">
        <v>227</v>
      </c>
      <c r="CR149" s="0" t="s">
        <v>227</v>
      </c>
      <c r="CS149" s="0" t="s">
        <v>5698</v>
      </c>
      <c r="CT149" s="0" t="s">
        <v>5679</v>
      </c>
      <c r="CU149" s="0" t="s">
        <v>5680</v>
      </c>
      <c r="CV149" s="0" t="s">
        <v>430</v>
      </c>
      <c r="CW149" s="0" t="s">
        <v>5699</v>
      </c>
      <c r="CX149" s="0" t="s">
        <v>431</v>
      </c>
      <c r="CY149" s="0" t="s">
        <v>430</v>
      </c>
      <c r="CZ149" s="0" t="s">
        <v>432</v>
      </c>
      <c r="DA149" s="0" t="s">
        <v>433</v>
      </c>
      <c r="DB149" s="0" t="s">
        <v>5700</v>
      </c>
      <c r="DC149" s="0" t="s">
        <v>373</v>
      </c>
      <c r="DD149" s="0" t="s">
        <v>277</v>
      </c>
      <c r="DE149" s="0" t="s">
        <v>923</v>
      </c>
    </row>
    <row customHeight="1" ht="11.25">
      <c r="A150" s="1806" t="s">
        <v>227</v>
      </c>
      <c r="B150" s="0" t="s">
        <v>227</v>
      </c>
      <c r="C150" s="0" t="s">
        <v>227</v>
      </c>
      <c r="D150" s="0" t="s">
        <v>227</v>
      </c>
      <c r="E150" s="0" t="s">
        <v>227</v>
      </c>
      <c r="F150" s="0" t="s">
        <v>227</v>
      </c>
      <c r="G150" s="0" t="s">
        <v>227</v>
      </c>
      <c r="H150" s="0" t="s">
        <v>227</v>
      </c>
      <c r="I150" s="0" t="s">
        <v>5667</v>
      </c>
      <c r="J150" s="0" t="s">
        <v>227</v>
      </c>
      <c r="K150" s="0" t="s">
        <v>227</v>
      </c>
      <c r="L150" s="0" t="s">
        <v>227</v>
      </c>
      <c r="M150" s="0" t="s">
        <v>227</v>
      </c>
      <c r="N150" s="0" t="s">
        <v>227</v>
      </c>
      <c r="O150" s="0" t="s">
        <v>227</v>
      </c>
      <c r="P150" s="0" t="s">
        <v>227</v>
      </c>
      <c r="Q150" s="0" t="s">
        <v>227</v>
      </c>
      <c r="R150" s="0" t="s">
        <v>873</v>
      </c>
      <c r="S150" s="0" t="s">
        <v>227</v>
      </c>
      <c r="T150" s="0" t="s">
        <v>227</v>
      </c>
      <c r="U150" s="0" t="s">
        <v>102</v>
      </c>
      <c r="V150" s="0" t="s">
        <v>227</v>
      </c>
      <c r="W150" s="0" t="s">
        <v>227</v>
      </c>
      <c r="X150" s="0" t="s">
        <v>5683</v>
      </c>
      <c r="Y150" s="0" t="s">
        <v>227</v>
      </c>
      <c r="Z150" s="0" t="s">
        <v>152</v>
      </c>
      <c r="AA150" s="0" t="s">
        <v>152</v>
      </c>
      <c r="AB150" s="0" t="s">
        <v>161</v>
      </c>
      <c r="AC150" s="0" t="s">
        <v>354</v>
      </c>
      <c r="AD150" s="0" t="s">
        <v>354</v>
      </c>
      <c r="AE150" s="0" t="s">
        <v>355</v>
      </c>
      <c r="AF150" s="0" t="s">
        <v>5701</v>
      </c>
      <c r="AG150" s="0" t="s">
        <v>5702</v>
      </c>
      <c r="AH150" s="0" t="s">
        <v>6104</v>
      </c>
      <c r="AI150" s="0" t="s">
        <v>6105</v>
      </c>
      <c r="AJ150" s="0" t="s">
        <v>227</v>
      </c>
      <c r="AK150" s="0" t="s">
        <v>227</v>
      </c>
      <c r="AL150" s="0" t="s">
        <v>227</v>
      </c>
      <c r="AM150" s="0" t="s">
        <v>227</v>
      </c>
      <c r="AN150" s="0" t="s">
        <v>227</v>
      </c>
      <c r="AO150" s="0" t="s">
        <v>227</v>
      </c>
      <c r="AP150" s="0" t="s">
        <v>227</v>
      </c>
      <c r="AQ150" s="0" t="s">
        <v>227</v>
      </c>
      <c r="AR150" s="0" t="s">
        <v>227</v>
      </c>
      <c r="AS150" s="0" t="s">
        <v>227</v>
      </c>
      <c r="AT150" s="0" t="s">
        <v>227</v>
      </c>
      <c r="AU150" s="0" t="s">
        <v>227</v>
      </c>
      <c r="AV150" s="0" t="s">
        <v>227</v>
      </c>
      <c r="AW150" s="0" t="s">
        <v>227</v>
      </c>
      <c r="AX150" s="0" t="s">
        <v>227</v>
      </c>
      <c r="AY150" s="0" t="s">
        <v>227</v>
      </c>
      <c r="AZ150" s="0" t="s">
        <v>227</v>
      </c>
      <c r="BA150" s="0" t="s">
        <v>227</v>
      </c>
      <c r="BB150" s="0" t="s">
        <v>227</v>
      </c>
      <c r="BC150" s="0" t="s">
        <v>227</v>
      </c>
      <c r="BD150" s="0" t="s">
        <v>227</v>
      </c>
      <c r="BE150" s="0" t="s">
        <v>5688</v>
      </c>
      <c r="BF150" s="0" t="s">
        <v>5768</v>
      </c>
      <c r="BG150" s="0" t="s">
        <v>112</v>
      </c>
      <c r="BH150" s="0" t="s">
        <v>5690</v>
      </c>
      <c r="BI150" s="0" t="s">
        <v>5691</v>
      </c>
      <c r="BJ150" s="0" t="s">
        <v>227</v>
      </c>
      <c r="BK150" s="0" t="s">
        <v>952</v>
      </c>
      <c r="BL150" s="0" t="s">
        <v>354</v>
      </c>
      <c r="BM150" s="0" t="s">
        <v>354</v>
      </c>
      <c r="BN150" s="0" t="s">
        <v>5693</v>
      </c>
      <c r="BO150" s="0" t="s">
        <v>5701</v>
      </c>
      <c r="BP150" s="0" t="s">
        <v>5706</v>
      </c>
      <c r="BQ150" s="0" t="s">
        <v>5707</v>
      </c>
      <c r="BR150" s="0" t="s">
        <v>5708</v>
      </c>
      <c r="BS150" s="0" t="s">
        <v>227</v>
      </c>
      <c r="BT150" s="0" t="s">
        <v>5695</v>
      </c>
      <c r="BU150" s="0" t="s">
        <v>6040</v>
      </c>
      <c r="BV150" s="0" t="s">
        <v>6040</v>
      </c>
      <c r="BW150" s="0" t="s">
        <v>5697</v>
      </c>
      <c r="BX150" s="0" t="s">
        <v>5697</v>
      </c>
      <c r="BY150" s="0" t="s">
        <v>5697</v>
      </c>
      <c r="BZ150" s="0" t="s">
        <v>5697</v>
      </c>
      <c r="CA150" s="0" t="s">
        <v>5697</v>
      </c>
      <c r="CB150" s="0" t="s">
        <v>227</v>
      </c>
      <c r="CC150" s="0" t="s">
        <v>227</v>
      </c>
      <c r="CD150" s="0" t="s">
        <v>227</v>
      </c>
      <c r="CE150" s="0" t="s">
        <v>227</v>
      </c>
      <c r="CF150" s="0" t="s">
        <v>227</v>
      </c>
      <c r="CG150" s="0" t="s">
        <v>5697</v>
      </c>
      <c r="CH150" s="0" t="s">
        <v>227</v>
      </c>
      <c r="CI150" s="0" t="s">
        <v>227</v>
      </c>
      <c r="CJ150" s="0" t="s">
        <v>227</v>
      </c>
      <c r="CK150" s="0" t="s">
        <v>227</v>
      </c>
      <c r="CL150" s="0" t="s">
        <v>227</v>
      </c>
      <c r="CM150" s="0" t="s">
        <v>6040</v>
      </c>
      <c r="CN150" s="0" t="s">
        <v>6040</v>
      </c>
      <c r="CO150" s="0" t="s">
        <v>227</v>
      </c>
      <c r="CP150" s="0" t="s">
        <v>227</v>
      </c>
      <c r="CQ150" s="0" t="s">
        <v>227</v>
      </c>
      <c r="CR150" s="0" t="s">
        <v>227</v>
      </c>
      <c r="CS150" s="0" t="s">
        <v>5673</v>
      </c>
      <c r="CT150" s="0" t="s">
        <v>5679</v>
      </c>
      <c r="CU150" s="0" t="s">
        <v>5680</v>
      </c>
      <c r="CV150" s="0" t="s">
        <v>430</v>
      </c>
      <c r="CW150" s="0" t="s">
        <v>5699</v>
      </c>
      <c r="CX150" s="0" t="s">
        <v>431</v>
      </c>
      <c r="CY150" s="0" t="s">
        <v>430</v>
      </c>
      <c r="CZ150" s="0" t="s">
        <v>432</v>
      </c>
      <c r="DA150" s="0" t="s">
        <v>433</v>
      </c>
      <c r="DB150" s="0" t="s">
        <v>5700</v>
      </c>
      <c r="DC150" s="0" t="s">
        <v>373</v>
      </c>
      <c r="DD150" s="0" t="s">
        <v>277</v>
      </c>
      <c r="DE150" s="0" t="s">
        <v>874</v>
      </c>
    </row>
    <row customHeight="1" ht="11.25">
      <c r="A151" s="1806" t="s">
        <v>227</v>
      </c>
      <c r="B151" s="0" t="s">
        <v>227</v>
      </c>
      <c r="C151" s="0" t="s">
        <v>227</v>
      </c>
      <c r="D151" s="0" t="s">
        <v>227</v>
      </c>
      <c r="E151" s="0" t="s">
        <v>227</v>
      </c>
      <c r="F151" s="0" t="s">
        <v>227</v>
      </c>
      <c r="G151" s="0" t="s">
        <v>227</v>
      </c>
      <c r="H151" s="0" t="s">
        <v>227</v>
      </c>
      <c r="I151" s="0" t="s">
        <v>5667</v>
      </c>
      <c r="J151" s="0" t="s">
        <v>227</v>
      </c>
      <c r="K151" s="0" t="s">
        <v>227</v>
      </c>
      <c r="L151" s="0" t="s">
        <v>227</v>
      </c>
      <c r="M151" s="0" t="s">
        <v>227</v>
      </c>
      <c r="N151" s="0" t="s">
        <v>227</v>
      </c>
      <c r="O151" s="0" t="s">
        <v>227</v>
      </c>
      <c r="P151" s="0" t="s">
        <v>227</v>
      </c>
      <c r="Q151" s="0" t="s">
        <v>227</v>
      </c>
      <c r="R151" s="0" t="s">
        <v>850</v>
      </c>
      <c r="S151" s="0" t="s">
        <v>227</v>
      </c>
      <c r="T151" s="0" t="s">
        <v>227</v>
      </c>
      <c r="U151" s="0" t="s">
        <v>102</v>
      </c>
      <c r="V151" s="0" t="s">
        <v>227</v>
      </c>
      <c r="W151" s="0" t="s">
        <v>227</v>
      </c>
      <c r="X151" s="0" t="s">
        <v>5683</v>
      </c>
      <c r="Y151" s="0" t="s">
        <v>227</v>
      </c>
      <c r="Z151" s="0" t="s">
        <v>152</v>
      </c>
      <c r="AA151" s="0" t="s">
        <v>152</v>
      </c>
      <c r="AB151" s="0" t="s">
        <v>161</v>
      </c>
      <c r="AC151" s="0" t="s">
        <v>354</v>
      </c>
      <c r="AD151" s="0" t="s">
        <v>354</v>
      </c>
      <c r="AE151" s="0" t="s">
        <v>355</v>
      </c>
      <c r="AF151" s="0" t="s">
        <v>5701</v>
      </c>
      <c r="AG151" s="0" t="s">
        <v>5702</v>
      </c>
      <c r="AH151" s="0" t="s">
        <v>6106</v>
      </c>
      <c r="AI151" s="0" t="s">
        <v>6107</v>
      </c>
      <c r="AJ151" s="0" t="s">
        <v>227</v>
      </c>
      <c r="AK151" s="0" t="s">
        <v>227</v>
      </c>
      <c r="AL151" s="0" t="s">
        <v>227</v>
      </c>
      <c r="AM151" s="0" t="s">
        <v>227</v>
      </c>
      <c r="AN151" s="0" t="s">
        <v>227</v>
      </c>
      <c r="AO151" s="0" t="s">
        <v>227</v>
      </c>
      <c r="AP151" s="0" t="s">
        <v>227</v>
      </c>
      <c r="AQ151" s="0" t="s">
        <v>227</v>
      </c>
      <c r="AR151" s="0" t="s">
        <v>227</v>
      </c>
      <c r="AS151" s="0" t="s">
        <v>227</v>
      </c>
      <c r="AT151" s="0" t="s">
        <v>227</v>
      </c>
      <c r="AU151" s="0" t="s">
        <v>227</v>
      </c>
      <c r="AV151" s="0" t="s">
        <v>227</v>
      </c>
      <c r="AW151" s="0" t="s">
        <v>227</v>
      </c>
      <c r="AX151" s="0" t="s">
        <v>227</v>
      </c>
      <c r="AY151" s="0" t="s">
        <v>227</v>
      </c>
      <c r="AZ151" s="0" t="s">
        <v>227</v>
      </c>
      <c r="BA151" s="0" t="s">
        <v>227</v>
      </c>
      <c r="BB151" s="0" t="s">
        <v>227</v>
      </c>
      <c r="BC151" s="0" t="s">
        <v>227</v>
      </c>
      <c r="BD151" s="0" t="s">
        <v>227</v>
      </c>
      <c r="BE151" s="0" t="s">
        <v>5716</v>
      </c>
      <c r="BF151" s="0" t="s">
        <v>5979</v>
      </c>
      <c r="BG151" s="0" t="s">
        <v>112</v>
      </c>
      <c r="BH151" s="0" t="s">
        <v>5690</v>
      </c>
      <c r="BI151" s="0" t="s">
        <v>5691</v>
      </c>
      <c r="BJ151" s="0" t="s">
        <v>227</v>
      </c>
      <c r="BK151" s="0" t="s">
        <v>952</v>
      </c>
      <c r="BL151" s="0" t="s">
        <v>354</v>
      </c>
      <c r="BM151" s="0" t="s">
        <v>354</v>
      </c>
      <c r="BN151" s="0" t="s">
        <v>5693</v>
      </c>
      <c r="BO151" s="0" t="s">
        <v>5701</v>
      </c>
      <c r="BP151" s="0" t="s">
        <v>5706</v>
      </c>
      <c r="BQ151" s="0" t="s">
        <v>5707</v>
      </c>
      <c r="BR151" s="0" t="s">
        <v>5708</v>
      </c>
      <c r="BS151" s="0" t="s">
        <v>227</v>
      </c>
      <c r="BT151" s="0" t="s">
        <v>5695</v>
      </c>
      <c r="BU151" s="0" t="s">
        <v>6108</v>
      </c>
      <c r="BV151" s="0" t="s">
        <v>6108</v>
      </c>
      <c r="BW151" s="0" t="s">
        <v>5697</v>
      </c>
      <c r="BX151" s="0" t="s">
        <v>5697</v>
      </c>
      <c r="BY151" s="0" t="s">
        <v>5697</v>
      </c>
      <c r="BZ151" s="0" t="s">
        <v>5697</v>
      </c>
      <c r="CA151" s="0" t="s">
        <v>5697</v>
      </c>
      <c r="CB151" s="0" t="s">
        <v>227</v>
      </c>
      <c r="CC151" s="0" t="s">
        <v>227</v>
      </c>
      <c r="CD151" s="0" t="s">
        <v>227</v>
      </c>
      <c r="CE151" s="0" t="s">
        <v>227</v>
      </c>
      <c r="CF151" s="0" t="s">
        <v>227</v>
      </c>
      <c r="CG151" s="0" t="s">
        <v>5697</v>
      </c>
      <c r="CH151" s="0" t="s">
        <v>227</v>
      </c>
      <c r="CI151" s="0" t="s">
        <v>227</v>
      </c>
      <c r="CJ151" s="0" t="s">
        <v>227</v>
      </c>
      <c r="CK151" s="0" t="s">
        <v>227</v>
      </c>
      <c r="CL151" s="0" t="s">
        <v>227</v>
      </c>
      <c r="CM151" s="0" t="s">
        <v>6108</v>
      </c>
      <c r="CN151" s="0" t="s">
        <v>6108</v>
      </c>
      <c r="CO151" s="0" t="s">
        <v>227</v>
      </c>
      <c r="CP151" s="0" t="s">
        <v>227</v>
      </c>
      <c r="CQ151" s="0" t="s">
        <v>227</v>
      </c>
      <c r="CR151" s="0" t="s">
        <v>227</v>
      </c>
      <c r="CS151" s="0" t="s">
        <v>5705</v>
      </c>
      <c r="CT151" s="0" t="s">
        <v>5679</v>
      </c>
      <c r="CU151" s="0" t="s">
        <v>5680</v>
      </c>
      <c r="CV151" s="0" t="s">
        <v>430</v>
      </c>
      <c r="CW151" s="0" t="s">
        <v>5699</v>
      </c>
      <c r="CX151" s="0" t="s">
        <v>431</v>
      </c>
      <c r="CY151" s="0" t="s">
        <v>430</v>
      </c>
      <c r="CZ151" s="0" t="s">
        <v>432</v>
      </c>
      <c r="DA151" s="0" t="s">
        <v>433</v>
      </c>
      <c r="DB151" s="0" t="s">
        <v>5700</v>
      </c>
      <c r="DC151" s="0" t="s">
        <v>373</v>
      </c>
      <c r="DD151" s="0" t="s">
        <v>277</v>
      </c>
      <c r="DE151" s="0" t="s">
        <v>851</v>
      </c>
    </row>
    <row customHeight="1" ht="11.25">
      <c r="A152" s="1806" t="s">
        <v>227</v>
      </c>
      <c r="B152" s="0" t="s">
        <v>227</v>
      </c>
      <c r="C152" s="0" t="s">
        <v>227</v>
      </c>
      <c r="D152" s="0" t="s">
        <v>227</v>
      </c>
      <c r="E152" s="0" t="s">
        <v>227</v>
      </c>
      <c r="F152" s="0" t="s">
        <v>227</v>
      </c>
      <c r="G152" s="0" t="s">
        <v>227</v>
      </c>
      <c r="H152" s="0" t="s">
        <v>227</v>
      </c>
      <c r="I152" s="0" t="s">
        <v>5667</v>
      </c>
      <c r="J152" s="0" t="s">
        <v>227</v>
      </c>
      <c r="K152" s="0" t="s">
        <v>227</v>
      </c>
      <c r="L152" s="0" t="s">
        <v>227</v>
      </c>
      <c r="M152" s="0" t="s">
        <v>227</v>
      </c>
      <c r="N152" s="0" t="s">
        <v>227</v>
      </c>
      <c r="O152" s="0" t="s">
        <v>227</v>
      </c>
      <c r="P152" s="0" t="s">
        <v>227</v>
      </c>
      <c r="Q152" s="0" t="s">
        <v>227</v>
      </c>
      <c r="R152" s="0" t="s">
        <v>588</v>
      </c>
      <c r="S152" s="0" t="s">
        <v>227</v>
      </c>
      <c r="T152" s="0" t="s">
        <v>227</v>
      </c>
      <c r="U152" s="0" t="s">
        <v>102</v>
      </c>
      <c r="V152" s="0" t="s">
        <v>227</v>
      </c>
      <c r="W152" s="0" t="s">
        <v>227</v>
      </c>
      <c r="X152" s="0" t="s">
        <v>5683</v>
      </c>
      <c r="Y152" s="0" t="s">
        <v>227</v>
      </c>
      <c r="Z152" s="0" t="s">
        <v>152</v>
      </c>
      <c r="AA152" s="0" t="s">
        <v>152</v>
      </c>
      <c r="AB152" s="0" t="s">
        <v>161</v>
      </c>
      <c r="AC152" s="0" t="s">
        <v>354</v>
      </c>
      <c r="AD152" s="0" t="s">
        <v>354</v>
      </c>
      <c r="AE152" s="0" t="s">
        <v>355</v>
      </c>
      <c r="AF152" s="0" t="s">
        <v>5684</v>
      </c>
      <c r="AG152" s="0" t="s">
        <v>5685</v>
      </c>
      <c r="AH152" s="0" t="s">
        <v>5815</v>
      </c>
      <c r="AI152" s="0" t="s">
        <v>6109</v>
      </c>
      <c r="AJ152" s="0" t="s">
        <v>227</v>
      </c>
      <c r="AK152" s="0" t="s">
        <v>227</v>
      </c>
      <c r="AL152" s="0" t="s">
        <v>227</v>
      </c>
      <c r="AM152" s="0" t="s">
        <v>227</v>
      </c>
      <c r="AN152" s="0" t="s">
        <v>227</v>
      </c>
      <c r="AO152" s="0" t="s">
        <v>227</v>
      </c>
      <c r="AP152" s="0" t="s">
        <v>227</v>
      </c>
      <c r="AQ152" s="0" t="s">
        <v>227</v>
      </c>
      <c r="AR152" s="0" t="s">
        <v>227</v>
      </c>
      <c r="AS152" s="0" t="s">
        <v>227</v>
      </c>
      <c r="AT152" s="0" t="s">
        <v>227</v>
      </c>
      <c r="AU152" s="0" t="s">
        <v>227</v>
      </c>
      <c r="AV152" s="0" t="s">
        <v>227</v>
      </c>
      <c r="AW152" s="0" t="s">
        <v>227</v>
      </c>
      <c r="AX152" s="0" t="s">
        <v>227</v>
      </c>
      <c r="AY152" s="0" t="s">
        <v>227</v>
      </c>
      <c r="AZ152" s="0" t="s">
        <v>227</v>
      </c>
      <c r="BA152" s="0" t="s">
        <v>227</v>
      </c>
      <c r="BB152" s="0" t="s">
        <v>227</v>
      </c>
      <c r="BC152" s="0" t="s">
        <v>227</v>
      </c>
      <c r="BD152" s="0" t="s">
        <v>227</v>
      </c>
      <c r="BE152" s="0" t="s">
        <v>5728</v>
      </c>
      <c r="BF152" s="0" t="s">
        <v>5931</v>
      </c>
      <c r="BG152" s="0" t="s">
        <v>112</v>
      </c>
      <c r="BH152" s="0" t="s">
        <v>5690</v>
      </c>
      <c r="BI152" s="0" t="s">
        <v>5691</v>
      </c>
      <c r="BJ152" s="0" t="s">
        <v>227</v>
      </c>
      <c r="BK152" s="0" t="s">
        <v>5692</v>
      </c>
      <c r="BL152" s="0" t="s">
        <v>354</v>
      </c>
      <c r="BM152" s="0" t="s">
        <v>354</v>
      </c>
      <c r="BN152" s="0" t="s">
        <v>5693</v>
      </c>
      <c r="BO152" s="0" t="s">
        <v>5684</v>
      </c>
      <c r="BP152" s="0" t="s">
        <v>5694</v>
      </c>
      <c r="BQ152" s="0" t="s">
        <v>5692</v>
      </c>
      <c r="BR152" s="0" t="s">
        <v>5692</v>
      </c>
      <c r="BS152" s="0" t="s">
        <v>227</v>
      </c>
      <c r="BT152" s="0" t="s">
        <v>5709</v>
      </c>
      <c r="BU152" s="0" t="s">
        <v>5713</v>
      </c>
      <c r="BV152" s="0" t="s">
        <v>5713</v>
      </c>
      <c r="BW152" s="0" t="s">
        <v>5697</v>
      </c>
      <c r="BX152" s="0" t="s">
        <v>5697</v>
      </c>
      <c r="BY152" s="0" t="s">
        <v>5697</v>
      </c>
      <c r="BZ152" s="0" t="s">
        <v>5697</v>
      </c>
      <c r="CA152" s="0" t="s">
        <v>5697</v>
      </c>
      <c r="CB152" s="0" t="s">
        <v>227</v>
      </c>
      <c r="CC152" s="0" t="s">
        <v>227</v>
      </c>
      <c r="CD152" s="0" t="s">
        <v>227</v>
      </c>
      <c r="CE152" s="0" t="s">
        <v>227</v>
      </c>
      <c r="CF152" s="0" t="s">
        <v>227</v>
      </c>
      <c r="CG152" s="0" t="s">
        <v>5697</v>
      </c>
      <c r="CH152" s="0" t="s">
        <v>227</v>
      </c>
      <c r="CI152" s="0" t="s">
        <v>227</v>
      </c>
      <c r="CJ152" s="0" t="s">
        <v>227</v>
      </c>
      <c r="CK152" s="0" t="s">
        <v>227</v>
      </c>
      <c r="CL152" s="0" t="s">
        <v>227</v>
      </c>
      <c r="CM152" s="0" t="s">
        <v>5713</v>
      </c>
      <c r="CN152" s="0" t="s">
        <v>5713</v>
      </c>
      <c r="CO152" s="0" t="s">
        <v>227</v>
      </c>
      <c r="CP152" s="0" t="s">
        <v>227</v>
      </c>
      <c r="CQ152" s="0" t="s">
        <v>227</v>
      </c>
      <c r="CR152" s="0" t="s">
        <v>227</v>
      </c>
      <c r="CS152" s="0" t="s">
        <v>5773</v>
      </c>
      <c r="CT152" s="0" t="s">
        <v>5679</v>
      </c>
      <c r="CU152" s="0" t="s">
        <v>5680</v>
      </c>
      <c r="CV152" s="0" t="s">
        <v>430</v>
      </c>
      <c r="CW152" s="0" t="s">
        <v>5699</v>
      </c>
      <c r="CX152" s="0" t="s">
        <v>431</v>
      </c>
      <c r="CY152" s="0" t="s">
        <v>430</v>
      </c>
      <c r="CZ152" s="0" t="s">
        <v>432</v>
      </c>
      <c r="DA152" s="0" t="s">
        <v>433</v>
      </c>
      <c r="DB152" s="0" t="s">
        <v>5700</v>
      </c>
      <c r="DC152" s="0" t="s">
        <v>373</v>
      </c>
      <c r="DD152" s="0" t="s">
        <v>277</v>
      </c>
      <c r="DE152" s="0" t="s">
        <v>589</v>
      </c>
    </row>
    <row customHeight="1" ht="11.25">
      <c r="A153" s="1806" t="s">
        <v>227</v>
      </c>
      <c r="B153" s="0" t="s">
        <v>227</v>
      </c>
      <c r="C153" s="0" t="s">
        <v>227</v>
      </c>
      <c r="D153" s="0" t="s">
        <v>227</v>
      </c>
      <c r="E153" s="0" t="s">
        <v>227</v>
      </c>
      <c r="F153" s="0" t="s">
        <v>227</v>
      </c>
      <c r="G153" s="0" t="s">
        <v>227</v>
      </c>
      <c r="H153" s="0" t="s">
        <v>227</v>
      </c>
      <c r="I153" s="0" t="s">
        <v>5667</v>
      </c>
      <c r="J153" s="0" t="s">
        <v>227</v>
      </c>
      <c r="K153" s="0" t="s">
        <v>227</v>
      </c>
      <c r="L153" s="0" t="s">
        <v>227</v>
      </c>
      <c r="M153" s="0" t="s">
        <v>227</v>
      </c>
      <c r="N153" s="0" t="s">
        <v>227</v>
      </c>
      <c r="O153" s="0" t="s">
        <v>227</v>
      </c>
      <c r="P153" s="0" t="s">
        <v>227</v>
      </c>
      <c r="Q153" s="0" t="s">
        <v>227</v>
      </c>
      <c r="R153" s="0" t="s">
        <v>565</v>
      </c>
      <c r="S153" s="0" t="s">
        <v>227</v>
      </c>
      <c r="T153" s="0" t="s">
        <v>227</v>
      </c>
      <c r="U153" s="0" t="s">
        <v>102</v>
      </c>
      <c r="V153" s="0" t="s">
        <v>227</v>
      </c>
      <c r="W153" s="0" t="s">
        <v>227</v>
      </c>
      <c r="X153" s="0" t="s">
        <v>5683</v>
      </c>
      <c r="Y153" s="0" t="s">
        <v>227</v>
      </c>
      <c r="Z153" s="0" t="s">
        <v>152</v>
      </c>
      <c r="AA153" s="0" t="s">
        <v>152</v>
      </c>
      <c r="AB153" s="0" t="s">
        <v>161</v>
      </c>
      <c r="AC153" s="0" t="s">
        <v>354</v>
      </c>
      <c r="AD153" s="0" t="s">
        <v>354</v>
      </c>
      <c r="AE153" s="0" t="s">
        <v>355</v>
      </c>
      <c r="AF153" s="0" t="s">
        <v>5684</v>
      </c>
      <c r="AG153" s="0" t="s">
        <v>5685</v>
      </c>
      <c r="AH153" s="0" t="s">
        <v>6110</v>
      </c>
      <c r="AI153" s="0" t="s">
        <v>6111</v>
      </c>
      <c r="AJ153" s="0" t="s">
        <v>227</v>
      </c>
      <c r="AK153" s="0" t="s">
        <v>227</v>
      </c>
      <c r="AL153" s="0" t="s">
        <v>227</v>
      </c>
      <c r="AM153" s="0" t="s">
        <v>227</v>
      </c>
      <c r="AN153" s="0" t="s">
        <v>227</v>
      </c>
      <c r="AO153" s="0" t="s">
        <v>227</v>
      </c>
      <c r="AP153" s="0" t="s">
        <v>227</v>
      </c>
      <c r="AQ153" s="0" t="s">
        <v>227</v>
      </c>
      <c r="AR153" s="0" t="s">
        <v>227</v>
      </c>
      <c r="AS153" s="0" t="s">
        <v>227</v>
      </c>
      <c r="AT153" s="0" t="s">
        <v>227</v>
      </c>
      <c r="AU153" s="0" t="s">
        <v>227</v>
      </c>
      <c r="AV153" s="0" t="s">
        <v>227</v>
      </c>
      <c r="AW153" s="0" t="s">
        <v>227</v>
      </c>
      <c r="AX153" s="0" t="s">
        <v>227</v>
      </c>
      <c r="AY153" s="0" t="s">
        <v>227</v>
      </c>
      <c r="AZ153" s="0" t="s">
        <v>227</v>
      </c>
      <c r="BA153" s="0" t="s">
        <v>227</v>
      </c>
      <c r="BB153" s="0" t="s">
        <v>227</v>
      </c>
      <c r="BC153" s="0" t="s">
        <v>227</v>
      </c>
      <c r="BD153" s="0" t="s">
        <v>227</v>
      </c>
      <c r="BE153" s="0" t="s">
        <v>5688</v>
      </c>
      <c r="BF153" s="0" t="s">
        <v>5979</v>
      </c>
      <c r="BG153" s="0" t="s">
        <v>112</v>
      </c>
      <c r="BH153" s="0" t="s">
        <v>5690</v>
      </c>
      <c r="BI153" s="0" t="s">
        <v>5691</v>
      </c>
      <c r="BJ153" s="0" t="s">
        <v>227</v>
      </c>
      <c r="BK153" s="0" t="s">
        <v>5692</v>
      </c>
      <c r="BL153" s="0" t="s">
        <v>354</v>
      </c>
      <c r="BM153" s="0" t="s">
        <v>354</v>
      </c>
      <c r="BN153" s="0" t="s">
        <v>5693</v>
      </c>
      <c r="BO153" s="0" t="s">
        <v>5684</v>
      </c>
      <c r="BP153" s="0" t="s">
        <v>5694</v>
      </c>
      <c r="BQ153" s="0" t="s">
        <v>5692</v>
      </c>
      <c r="BR153" s="0" t="s">
        <v>5692</v>
      </c>
      <c r="BS153" s="0" t="s">
        <v>227</v>
      </c>
      <c r="BT153" s="0" t="s">
        <v>5695</v>
      </c>
      <c r="BU153" s="0" t="s">
        <v>5850</v>
      </c>
      <c r="BV153" s="0" t="s">
        <v>5850</v>
      </c>
      <c r="BW153" s="0" t="s">
        <v>5697</v>
      </c>
      <c r="BX153" s="0" t="s">
        <v>5697</v>
      </c>
      <c r="BY153" s="0" t="s">
        <v>5697</v>
      </c>
      <c r="BZ153" s="0" t="s">
        <v>5697</v>
      </c>
      <c r="CA153" s="0" t="s">
        <v>5697</v>
      </c>
      <c r="CB153" s="0" t="s">
        <v>227</v>
      </c>
      <c r="CC153" s="0" t="s">
        <v>227</v>
      </c>
      <c r="CD153" s="0" t="s">
        <v>227</v>
      </c>
      <c r="CE153" s="0" t="s">
        <v>227</v>
      </c>
      <c r="CF153" s="0" t="s">
        <v>227</v>
      </c>
      <c r="CG153" s="0" t="s">
        <v>5697</v>
      </c>
      <c r="CH153" s="0" t="s">
        <v>227</v>
      </c>
      <c r="CI153" s="0" t="s">
        <v>227</v>
      </c>
      <c r="CJ153" s="0" t="s">
        <v>227</v>
      </c>
      <c r="CK153" s="0" t="s">
        <v>227</v>
      </c>
      <c r="CL153" s="0" t="s">
        <v>227</v>
      </c>
      <c r="CM153" s="0" t="s">
        <v>5850</v>
      </c>
      <c r="CN153" s="0" t="s">
        <v>5850</v>
      </c>
      <c r="CO153" s="0" t="s">
        <v>227</v>
      </c>
      <c r="CP153" s="0" t="s">
        <v>227</v>
      </c>
      <c r="CQ153" s="0" t="s">
        <v>227</v>
      </c>
      <c r="CR153" s="0" t="s">
        <v>227</v>
      </c>
      <c r="CS153" s="0" t="s">
        <v>5698</v>
      </c>
      <c r="CT153" s="0" t="s">
        <v>5679</v>
      </c>
      <c r="CU153" s="0" t="s">
        <v>5680</v>
      </c>
      <c r="CV153" s="0" t="s">
        <v>430</v>
      </c>
      <c r="CW153" s="0" t="s">
        <v>5699</v>
      </c>
      <c r="CX153" s="0" t="s">
        <v>431</v>
      </c>
      <c r="CY153" s="0" t="s">
        <v>430</v>
      </c>
      <c r="CZ153" s="0" t="s">
        <v>432</v>
      </c>
      <c r="DA153" s="0" t="s">
        <v>433</v>
      </c>
      <c r="DB153" s="0" t="s">
        <v>5700</v>
      </c>
      <c r="DC153" s="0" t="s">
        <v>373</v>
      </c>
      <c r="DD153" s="0" t="s">
        <v>277</v>
      </c>
      <c r="DE153" s="0" t="s">
        <v>566</v>
      </c>
    </row>
    <row customHeight="1" ht="11.25">
      <c r="A154" s="1806" t="s">
        <v>227</v>
      </c>
      <c r="B154" s="0" t="s">
        <v>227</v>
      </c>
      <c r="C154" s="0" t="s">
        <v>227</v>
      </c>
      <c r="D154" s="0" t="s">
        <v>227</v>
      </c>
      <c r="E154" s="0" t="s">
        <v>227</v>
      </c>
      <c r="F154" s="0" t="s">
        <v>227</v>
      </c>
      <c r="G154" s="0" t="s">
        <v>227</v>
      </c>
      <c r="H154" s="0" t="s">
        <v>227</v>
      </c>
      <c r="I154" s="0" t="s">
        <v>5667</v>
      </c>
      <c r="J154" s="0" t="s">
        <v>227</v>
      </c>
      <c r="K154" s="0" t="s">
        <v>227</v>
      </c>
      <c r="L154" s="0" t="s">
        <v>227</v>
      </c>
      <c r="M154" s="0" t="s">
        <v>227</v>
      </c>
      <c r="N154" s="0" t="s">
        <v>227</v>
      </c>
      <c r="O154" s="0" t="s">
        <v>227</v>
      </c>
      <c r="P154" s="0" t="s">
        <v>227</v>
      </c>
      <c r="Q154" s="0" t="s">
        <v>227</v>
      </c>
      <c r="R154" s="0" t="s">
        <v>621</v>
      </c>
      <c r="S154" s="0" t="s">
        <v>227</v>
      </c>
      <c r="T154" s="0" t="s">
        <v>227</v>
      </c>
      <c r="U154" s="0" t="s">
        <v>102</v>
      </c>
      <c r="V154" s="0" t="s">
        <v>227</v>
      </c>
      <c r="W154" s="0" t="s">
        <v>227</v>
      </c>
      <c r="X154" s="0" t="s">
        <v>5683</v>
      </c>
      <c r="Y154" s="0" t="s">
        <v>227</v>
      </c>
      <c r="Z154" s="0" t="s">
        <v>152</v>
      </c>
      <c r="AA154" s="0" t="s">
        <v>152</v>
      </c>
      <c r="AB154" s="0" t="s">
        <v>161</v>
      </c>
      <c r="AC154" s="0" t="s">
        <v>354</v>
      </c>
      <c r="AD154" s="0" t="s">
        <v>354</v>
      </c>
      <c r="AE154" s="0" t="s">
        <v>355</v>
      </c>
      <c r="AF154" s="0" t="s">
        <v>5684</v>
      </c>
      <c r="AG154" s="0" t="s">
        <v>5685</v>
      </c>
      <c r="AH154" s="0" t="s">
        <v>6112</v>
      </c>
      <c r="AI154" s="0" t="s">
        <v>6113</v>
      </c>
      <c r="AJ154" s="0" t="s">
        <v>227</v>
      </c>
      <c r="AK154" s="0" t="s">
        <v>227</v>
      </c>
      <c r="AL154" s="0" t="s">
        <v>227</v>
      </c>
      <c r="AM154" s="0" t="s">
        <v>227</v>
      </c>
      <c r="AN154" s="0" t="s">
        <v>227</v>
      </c>
      <c r="AO154" s="0" t="s">
        <v>227</v>
      </c>
      <c r="AP154" s="0" t="s">
        <v>227</v>
      </c>
      <c r="AQ154" s="0" t="s">
        <v>227</v>
      </c>
      <c r="AR154" s="0" t="s">
        <v>227</v>
      </c>
      <c r="AS154" s="0" t="s">
        <v>227</v>
      </c>
      <c r="AT154" s="0" t="s">
        <v>227</v>
      </c>
      <c r="AU154" s="0" t="s">
        <v>227</v>
      </c>
      <c r="AV154" s="0" t="s">
        <v>227</v>
      </c>
      <c r="AW154" s="0" t="s">
        <v>227</v>
      </c>
      <c r="AX154" s="0" t="s">
        <v>227</v>
      </c>
      <c r="AY154" s="0" t="s">
        <v>227</v>
      </c>
      <c r="AZ154" s="0" t="s">
        <v>227</v>
      </c>
      <c r="BA154" s="0" t="s">
        <v>227</v>
      </c>
      <c r="BB154" s="0" t="s">
        <v>227</v>
      </c>
      <c r="BC154" s="0" t="s">
        <v>227</v>
      </c>
      <c r="BD154" s="0" t="s">
        <v>227</v>
      </c>
      <c r="BE154" s="0" t="s">
        <v>5728</v>
      </c>
      <c r="BF154" s="0" t="s">
        <v>5729</v>
      </c>
      <c r="BG154" s="0" t="s">
        <v>112</v>
      </c>
      <c r="BH154" s="0" t="s">
        <v>5690</v>
      </c>
      <c r="BI154" s="0" t="s">
        <v>5691</v>
      </c>
      <c r="BJ154" s="0" t="s">
        <v>227</v>
      </c>
      <c r="BK154" s="0" t="s">
        <v>5692</v>
      </c>
      <c r="BL154" s="0" t="s">
        <v>354</v>
      </c>
      <c r="BM154" s="0" t="s">
        <v>354</v>
      </c>
      <c r="BN154" s="0" t="s">
        <v>5693</v>
      </c>
      <c r="BO154" s="0" t="s">
        <v>5684</v>
      </c>
      <c r="BP154" s="0" t="s">
        <v>5694</v>
      </c>
      <c r="BQ154" s="0" t="s">
        <v>5692</v>
      </c>
      <c r="BR154" s="0" t="s">
        <v>5692</v>
      </c>
      <c r="BS154" s="0" t="s">
        <v>227</v>
      </c>
      <c r="BT154" s="0" t="s">
        <v>5695</v>
      </c>
      <c r="BU154" s="0" t="s">
        <v>6114</v>
      </c>
      <c r="BV154" s="0" t="s">
        <v>6114</v>
      </c>
      <c r="BW154" s="0" t="s">
        <v>5697</v>
      </c>
      <c r="BX154" s="0" t="s">
        <v>5697</v>
      </c>
      <c r="BY154" s="0" t="s">
        <v>5697</v>
      </c>
      <c r="BZ154" s="0" t="s">
        <v>5697</v>
      </c>
      <c r="CA154" s="0" t="s">
        <v>5697</v>
      </c>
      <c r="CB154" s="0" t="s">
        <v>227</v>
      </c>
      <c r="CC154" s="0" t="s">
        <v>227</v>
      </c>
      <c r="CD154" s="0" t="s">
        <v>227</v>
      </c>
      <c r="CE154" s="0" t="s">
        <v>227</v>
      </c>
      <c r="CF154" s="0" t="s">
        <v>227</v>
      </c>
      <c r="CG154" s="0" t="s">
        <v>5697</v>
      </c>
      <c r="CH154" s="0" t="s">
        <v>227</v>
      </c>
      <c r="CI154" s="0" t="s">
        <v>227</v>
      </c>
      <c r="CJ154" s="0" t="s">
        <v>227</v>
      </c>
      <c r="CK154" s="0" t="s">
        <v>227</v>
      </c>
      <c r="CL154" s="0" t="s">
        <v>227</v>
      </c>
      <c r="CM154" s="0" t="s">
        <v>6114</v>
      </c>
      <c r="CN154" s="0" t="s">
        <v>6114</v>
      </c>
      <c r="CO154" s="0" t="s">
        <v>227</v>
      </c>
      <c r="CP154" s="0" t="s">
        <v>227</v>
      </c>
      <c r="CQ154" s="0" t="s">
        <v>227</v>
      </c>
      <c r="CR154" s="0" t="s">
        <v>227</v>
      </c>
      <c r="CS154" s="0" t="s">
        <v>5805</v>
      </c>
      <c r="CT154" s="0" t="s">
        <v>5679</v>
      </c>
      <c r="CU154" s="0" t="s">
        <v>5680</v>
      </c>
      <c r="CV154" s="0" t="s">
        <v>430</v>
      </c>
      <c r="CW154" s="0" t="s">
        <v>5699</v>
      </c>
      <c r="CX154" s="0" t="s">
        <v>431</v>
      </c>
      <c r="CY154" s="0" t="s">
        <v>430</v>
      </c>
      <c r="CZ154" s="0" t="s">
        <v>432</v>
      </c>
      <c r="DA154" s="0" t="s">
        <v>433</v>
      </c>
      <c r="DB154" s="0" t="s">
        <v>5700</v>
      </c>
      <c r="DC154" s="0" t="s">
        <v>373</v>
      </c>
      <c r="DD154" s="0" t="s">
        <v>277</v>
      </c>
      <c r="DE154" s="0" t="s">
        <v>622</v>
      </c>
    </row>
    <row customHeight="1" ht="11.25">
      <c r="A155" s="1806" t="s">
        <v>227</v>
      </c>
      <c r="B155" s="0" t="s">
        <v>227</v>
      </c>
      <c r="C155" s="0" t="s">
        <v>227</v>
      </c>
      <c r="D155" s="0" t="s">
        <v>227</v>
      </c>
      <c r="E155" s="0" t="s">
        <v>227</v>
      </c>
      <c r="F155" s="0" t="s">
        <v>227</v>
      </c>
      <c r="G155" s="0" t="s">
        <v>227</v>
      </c>
      <c r="H155" s="0" t="s">
        <v>227</v>
      </c>
      <c r="I155" s="0" t="s">
        <v>5667</v>
      </c>
      <c r="J155" s="0" t="s">
        <v>227</v>
      </c>
      <c r="K155" s="0" t="s">
        <v>227</v>
      </c>
      <c r="L155" s="0" t="s">
        <v>227</v>
      </c>
      <c r="M155" s="0" t="s">
        <v>227</v>
      </c>
      <c r="N155" s="0" t="s">
        <v>227</v>
      </c>
      <c r="O155" s="0" t="s">
        <v>227</v>
      </c>
      <c r="P155" s="0" t="s">
        <v>227</v>
      </c>
      <c r="Q155" s="0" t="s">
        <v>227</v>
      </c>
      <c r="R155" s="0" t="s">
        <v>684</v>
      </c>
      <c r="S155" s="0" t="s">
        <v>227</v>
      </c>
      <c r="T155" s="0" t="s">
        <v>227</v>
      </c>
      <c r="U155" s="0" t="s">
        <v>102</v>
      </c>
      <c r="V155" s="0" t="s">
        <v>227</v>
      </c>
      <c r="W155" s="0" t="s">
        <v>227</v>
      </c>
      <c r="X155" s="0" t="s">
        <v>5683</v>
      </c>
      <c r="Y155" s="0" t="s">
        <v>227</v>
      </c>
      <c r="Z155" s="0" t="s">
        <v>152</v>
      </c>
      <c r="AA155" s="0" t="s">
        <v>152</v>
      </c>
      <c r="AB155" s="0" t="s">
        <v>161</v>
      </c>
      <c r="AC155" s="0" t="s">
        <v>354</v>
      </c>
      <c r="AD155" s="0" t="s">
        <v>354</v>
      </c>
      <c r="AE155" s="0" t="s">
        <v>355</v>
      </c>
      <c r="AF155" s="0" t="s">
        <v>5701</v>
      </c>
      <c r="AG155" s="0" t="s">
        <v>5702</v>
      </c>
      <c r="AH155" s="0" t="s">
        <v>6115</v>
      </c>
      <c r="AI155" s="0" t="s">
        <v>5692</v>
      </c>
      <c r="AJ155" s="0" t="s">
        <v>227</v>
      </c>
      <c r="AK155" s="0" t="s">
        <v>227</v>
      </c>
      <c r="AL155" s="0" t="s">
        <v>227</v>
      </c>
      <c r="AM155" s="0" t="s">
        <v>227</v>
      </c>
      <c r="AN155" s="0" t="s">
        <v>227</v>
      </c>
      <c r="AO155" s="0" t="s">
        <v>227</v>
      </c>
      <c r="AP155" s="0" t="s">
        <v>227</v>
      </c>
      <c r="AQ155" s="0" t="s">
        <v>227</v>
      </c>
      <c r="AR155" s="0" t="s">
        <v>227</v>
      </c>
      <c r="AS155" s="0" t="s">
        <v>227</v>
      </c>
      <c r="AT155" s="0" t="s">
        <v>227</v>
      </c>
      <c r="AU155" s="0" t="s">
        <v>227</v>
      </c>
      <c r="AV155" s="0" t="s">
        <v>227</v>
      </c>
      <c r="AW155" s="0" t="s">
        <v>227</v>
      </c>
      <c r="AX155" s="0" t="s">
        <v>227</v>
      </c>
      <c r="AY155" s="0" t="s">
        <v>227</v>
      </c>
      <c r="AZ155" s="0" t="s">
        <v>227</v>
      </c>
      <c r="BA155" s="0" t="s">
        <v>227</v>
      </c>
      <c r="BB155" s="0" t="s">
        <v>227</v>
      </c>
      <c r="BC155" s="0" t="s">
        <v>227</v>
      </c>
      <c r="BD155" s="0" t="s">
        <v>227</v>
      </c>
      <c r="BE155" s="0" t="s">
        <v>5728</v>
      </c>
      <c r="BF155" s="0" t="s">
        <v>5757</v>
      </c>
      <c r="BG155" s="0" t="s">
        <v>112</v>
      </c>
      <c r="BH155" s="0" t="s">
        <v>5690</v>
      </c>
      <c r="BI155" s="0" t="s">
        <v>5691</v>
      </c>
      <c r="BJ155" s="0" t="s">
        <v>227</v>
      </c>
      <c r="BK155" s="0" t="s">
        <v>952</v>
      </c>
      <c r="BL155" s="0" t="s">
        <v>354</v>
      </c>
      <c r="BM155" s="0" t="s">
        <v>354</v>
      </c>
      <c r="BN155" s="0" t="s">
        <v>5693</v>
      </c>
      <c r="BO155" s="0" t="s">
        <v>5701</v>
      </c>
      <c r="BP155" s="0" t="s">
        <v>5706</v>
      </c>
      <c r="BQ155" s="0" t="s">
        <v>5707</v>
      </c>
      <c r="BR155" s="0" t="s">
        <v>5708</v>
      </c>
      <c r="BS155" s="0" t="s">
        <v>227</v>
      </c>
      <c r="BT155" s="0" t="s">
        <v>5695</v>
      </c>
      <c r="BU155" s="0" t="s">
        <v>6116</v>
      </c>
      <c r="BV155" s="0" t="s">
        <v>6116</v>
      </c>
      <c r="BW155" s="0" t="s">
        <v>5697</v>
      </c>
      <c r="BX155" s="0" t="s">
        <v>5697</v>
      </c>
      <c r="BY155" s="0" t="s">
        <v>5697</v>
      </c>
      <c r="BZ155" s="0" t="s">
        <v>5697</v>
      </c>
      <c r="CA155" s="0" t="s">
        <v>5697</v>
      </c>
      <c r="CB155" s="0" t="s">
        <v>227</v>
      </c>
      <c r="CC155" s="0" t="s">
        <v>227</v>
      </c>
      <c r="CD155" s="0" t="s">
        <v>227</v>
      </c>
      <c r="CE155" s="0" t="s">
        <v>227</v>
      </c>
      <c r="CF155" s="0" t="s">
        <v>227</v>
      </c>
      <c r="CG155" s="0" t="s">
        <v>5697</v>
      </c>
      <c r="CH155" s="0" t="s">
        <v>227</v>
      </c>
      <c r="CI155" s="0" t="s">
        <v>227</v>
      </c>
      <c r="CJ155" s="0" t="s">
        <v>227</v>
      </c>
      <c r="CK155" s="0" t="s">
        <v>227</v>
      </c>
      <c r="CL155" s="0" t="s">
        <v>227</v>
      </c>
      <c r="CM155" s="0" t="s">
        <v>6116</v>
      </c>
      <c r="CN155" s="0" t="s">
        <v>6116</v>
      </c>
      <c r="CO155" s="0" t="s">
        <v>227</v>
      </c>
      <c r="CP155" s="0" t="s">
        <v>227</v>
      </c>
      <c r="CQ155" s="0" t="s">
        <v>227</v>
      </c>
      <c r="CR155" s="0" t="s">
        <v>227</v>
      </c>
      <c r="CS155" s="0" t="s">
        <v>5759</v>
      </c>
      <c r="CT155" s="0" t="s">
        <v>5679</v>
      </c>
      <c r="CU155" s="0" t="s">
        <v>5680</v>
      </c>
      <c r="CV155" s="0" t="s">
        <v>430</v>
      </c>
      <c r="CW155" s="0" t="s">
        <v>5699</v>
      </c>
      <c r="CX155" s="0" t="s">
        <v>431</v>
      </c>
      <c r="CY155" s="0" t="s">
        <v>430</v>
      </c>
      <c r="CZ155" s="0" t="s">
        <v>432</v>
      </c>
      <c r="DA155" s="0" t="s">
        <v>433</v>
      </c>
      <c r="DB155" s="0" t="s">
        <v>5700</v>
      </c>
      <c r="DC155" s="0" t="s">
        <v>373</v>
      </c>
      <c r="DD155" s="0" t="s">
        <v>277</v>
      </c>
      <c r="DE155" s="0" t="s">
        <v>765</v>
      </c>
    </row>
    <row customHeight="1" ht="11.25">
      <c r="A156" s="1806" t="s">
        <v>227</v>
      </c>
      <c r="B156" s="0" t="s">
        <v>227</v>
      </c>
      <c r="C156" s="0" t="s">
        <v>227</v>
      </c>
      <c r="D156" s="0" t="s">
        <v>227</v>
      </c>
      <c r="E156" s="0" t="s">
        <v>227</v>
      </c>
      <c r="F156" s="0" t="s">
        <v>227</v>
      </c>
      <c r="G156" s="0" t="s">
        <v>227</v>
      </c>
      <c r="H156" s="0" t="s">
        <v>227</v>
      </c>
      <c r="I156" s="0" t="s">
        <v>5667</v>
      </c>
      <c r="J156" s="0" t="s">
        <v>227</v>
      </c>
      <c r="K156" s="0" t="s">
        <v>227</v>
      </c>
      <c r="L156" s="0" t="s">
        <v>227</v>
      </c>
      <c r="M156" s="0" t="s">
        <v>227</v>
      </c>
      <c r="N156" s="0" t="s">
        <v>227</v>
      </c>
      <c r="O156" s="0" t="s">
        <v>227</v>
      </c>
      <c r="P156" s="0" t="s">
        <v>227</v>
      </c>
      <c r="Q156" s="0" t="s">
        <v>227</v>
      </c>
      <c r="R156" s="0" t="s">
        <v>753</v>
      </c>
      <c r="S156" s="0" t="s">
        <v>227</v>
      </c>
      <c r="T156" s="0" t="s">
        <v>227</v>
      </c>
      <c r="U156" s="0" t="s">
        <v>102</v>
      </c>
      <c r="V156" s="0" t="s">
        <v>227</v>
      </c>
      <c r="W156" s="0" t="s">
        <v>227</v>
      </c>
      <c r="X156" s="0" t="s">
        <v>5683</v>
      </c>
      <c r="Y156" s="0" t="s">
        <v>227</v>
      </c>
      <c r="Z156" s="0" t="s">
        <v>152</v>
      </c>
      <c r="AA156" s="0" t="s">
        <v>152</v>
      </c>
      <c r="AB156" s="0" t="s">
        <v>161</v>
      </c>
      <c r="AC156" s="0" t="s">
        <v>354</v>
      </c>
      <c r="AD156" s="0" t="s">
        <v>354</v>
      </c>
      <c r="AE156" s="0" t="s">
        <v>355</v>
      </c>
      <c r="AF156" s="0" t="s">
        <v>5701</v>
      </c>
      <c r="AG156" s="0" t="s">
        <v>5702</v>
      </c>
      <c r="AH156" s="0" t="s">
        <v>6117</v>
      </c>
      <c r="AI156" s="0" t="s">
        <v>5692</v>
      </c>
      <c r="AJ156" s="0" t="s">
        <v>227</v>
      </c>
      <c r="AK156" s="0" t="s">
        <v>227</v>
      </c>
      <c r="AL156" s="0" t="s">
        <v>227</v>
      </c>
      <c r="AM156" s="0" t="s">
        <v>227</v>
      </c>
      <c r="AN156" s="0" t="s">
        <v>227</v>
      </c>
      <c r="AO156" s="0" t="s">
        <v>227</v>
      </c>
      <c r="AP156" s="0" t="s">
        <v>227</v>
      </c>
      <c r="AQ156" s="0" t="s">
        <v>227</v>
      </c>
      <c r="AR156" s="0" t="s">
        <v>227</v>
      </c>
      <c r="AS156" s="0" t="s">
        <v>227</v>
      </c>
      <c r="AT156" s="0" t="s">
        <v>227</v>
      </c>
      <c r="AU156" s="0" t="s">
        <v>227</v>
      </c>
      <c r="AV156" s="0" t="s">
        <v>227</v>
      </c>
      <c r="AW156" s="0" t="s">
        <v>227</v>
      </c>
      <c r="AX156" s="0" t="s">
        <v>227</v>
      </c>
      <c r="AY156" s="0" t="s">
        <v>227</v>
      </c>
      <c r="AZ156" s="0" t="s">
        <v>227</v>
      </c>
      <c r="BA156" s="0" t="s">
        <v>227</v>
      </c>
      <c r="BB156" s="0" t="s">
        <v>227</v>
      </c>
      <c r="BC156" s="0" t="s">
        <v>227</v>
      </c>
      <c r="BD156" s="0" t="s">
        <v>227</v>
      </c>
      <c r="BE156" s="0" t="s">
        <v>5728</v>
      </c>
      <c r="BF156" s="0" t="s">
        <v>5757</v>
      </c>
      <c r="BG156" s="0" t="s">
        <v>112</v>
      </c>
      <c r="BH156" s="0" t="s">
        <v>5690</v>
      </c>
      <c r="BI156" s="0" t="s">
        <v>5691</v>
      </c>
      <c r="BJ156" s="0" t="s">
        <v>227</v>
      </c>
      <c r="BK156" s="0" t="s">
        <v>952</v>
      </c>
      <c r="BL156" s="0" t="s">
        <v>354</v>
      </c>
      <c r="BM156" s="0" t="s">
        <v>354</v>
      </c>
      <c r="BN156" s="0" t="s">
        <v>5693</v>
      </c>
      <c r="BO156" s="0" t="s">
        <v>5701</v>
      </c>
      <c r="BP156" s="0" t="s">
        <v>5706</v>
      </c>
      <c r="BQ156" s="0" t="s">
        <v>5707</v>
      </c>
      <c r="BR156" s="0" t="s">
        <v>5708</v>
      </c>
      <c r="BS156" s="0" t="s">
        <v>227</v>
      </c>
      <c r="BT156" s="0" t="s">
        <v>5695</v>
      </c>
      <c r="BU156" s="0" t="s">
        <v>6118</v>
      </c>
      <c r="BV156" s="0" t="s">
        <v>6118</v>
      </c>
      <c r="BW156" s="0" t="s">
        <v>5697</v>
      </c>
      <c r="BX156" s="0" t="s">
        <v>5697</v>
      </c>
      <c r="BY156" s="0" t="s">
        <v>5697</v>
      </c>
      <c r="BZ156" s="0" t="s">
        <v>5697</v>
      </c>
      <c r="CA156" s="0" t="s">
        <v>5697</v>
      </c>
      <c r="CB156" s="0" t="s">
        <v>227</v>
      </c>
      <c r="CC156" s="0" t="s">
        <v>227</v>
      </c>
      <c r="CD156" s="0" t="s">
        <v>227</v>
      </c>
      <c r="CE156" s="0" t="s">
        <v>227</v>
      </c>
      <c r="CF156" s="0" t="s">
        <v>227</v>
      </c>
      <c r="CG156" s="0" t="s">
        <v>5697</v>
      </c>
      <c r="CH156" s="0" t="s">
        <v>227</v>
      </c>
      <c r="CI156" s="0" t="s">
        <v>227</v>
      </c>
      <c r="CJ156" s="0" t="s">
        <v>227</v>
      </c>
      <c r="CK156" s="0" t="s">
        <v>227</v>
      </c>
      <c r="CL156" s="0" t="s">
        <v>227</v>
      </c>
      <c r="CM156" s="0" t="s">
        <v>6118</v>
      </c>
      <c r="CN156" s="0" t="s">
        <v>6118</v>
      </c>
      <c r="CO156" s="0" t="s">
        <v>227</v>
      </c>
      <c r="CP156" s="0" t="s">
        <v>227</v>
      </c>
      <c r="CQ156" s="0" t="s">
        <v>227</v>
      </c>
      <c r="CR156" s="0" t="s">
        <v>227</v>
      </c>
      <c r="CS156" s="0" t="s">
        <v>5698</v>
      </c>
      <c r="CT156" s="0" t="s">
        <v>5679</v>
      </c>
      <c r="CU156" s="0" t="s">
        <v>5680</v>
      </c>
      <c r="CV156" s="0" t="s">
        <v>430</v>
      </c>
      <c r="CW156" s="0" t="s">
        <v>5699</v>
      </c>
      <c r="CX156" s="0" t="s">
        <v>431</v>
      </c>
      <c r="CY156" s="0" t="s">
        <v>430</v>
      </c>
      <c r="CZ156" s="0" t="s">
        <v>432</v>
      </c>
      <c r="DA156" s="0" t="s">
        <v>433</v>
      </c>
      <c r="DB156" s="0" t="s">
        <v>5700</v>
      </c>
      <c r="DC156" s="0" t="s">
        <v>373</v>
      </c>
      <c r="DD156" s="0" t="s">
        <v>277</v>
      </c>
      <c r="DE156" s="0" t="s">
        <v>754</v>
      </c>
    </row>
    <row customHeight="1" ht="11.25">
      <c r="A157" s="1806" t="s">
        <v>227</v>
      </c>
      <c r="B157" s="0" t="s">
        <v>227</v>
      </c>
      <c r="C157" s="0" t="s">
        <v>227</v>
      </c>
      <c r="D157" s="0" t="s">
        <v>227</v>
      </c>
      <c r="E157" s="0" t="s">
        <v>227</v>
      </c>
      <c r="F157" s="0" t="s">
        <v>227</v>
      </c>
      <c r="G157" s="0" t="s">
        <v>227</v>
      </c>
      <c r="H157" s="0" t="s">
        <v>227</v>
      </c>
      <c r="I157" s="0" t="s">
        <v>5667</v>
      </c>
      <c r="J157" s="0" t="s">
        <v>227</v>
      </c>
      <c r="K157" s="0" t="s">
        <v>227</v>
      </c>
      <c r="L157" s="0" t="s">
        <v>227</v>
      </c>
      <c r="M157" s="0" t="s">
        <v>227</v>
      </c>
      <c r="N157" s="0" t="s">
        <v>227</v>
      </c>
      <c r="O157" s="0" t="s">
        <v>227</v>
      </c>
      <c r="P157" s="0" t="s">
        <v>227</v>
      </c>
      <c r="Q157" s="0" t="s">
        <v>227</v>
      </c>
      <c r="R157" s="0" t="s">
        <v>486</v>
      </c>
      <c r="S157" s="0" t="s">
        <v>227</v>
      </c>
      <c r="T157" s="0" t="s">
        <v>227</v>
      </c>
      <c r="U157" s="0" t="s">
        <v>102</v>
      </c>
      <c r="V157" s="0" t="s">
        <v>227</v>
      </c>
      <c r="W157" s="0" t="s">
        <v>227</v>
      </c>
      <c r="X157" s="0" t="s">
        <v>5683</v>
      </c>
      <c r="Y157" s="0" t="s">
        <v>227</v>
      </c>
      <c r="Z157" s="0" t="s">
        <v>152</v>
      </c>
      <c r="AA157" s="0" t="s">
        <v>152</v>
      </c>
      <c r="AB157" s="0" t="s">
        <v>161</v>
      </c>
      <c r="AC157" s="0" t="s">
        <v>354</v>
      </c>
      <c r="AD157" s="0" t="s">
        <v>354</v>
      </c>
      <c r="AE157" s="0" t="s">
        <v>355</v>
      </c>
      <c r="AF157" s="0" t="s">
        <v>5684</v>
      </c>
      <c r="AG157" s="0" t="s">
        <v>5685</v>
      </c>
      <c r="AH157" s="0" t="s">
        <v>6119</v>
      </c>
      <c r="AI157" s="0" t="s">
        <v>5692</v>
      </c>
      <c r="AJ157" s="0" t="s">
        <v>227</v>
      </c>
      <c r="AK157" s="0" t="s">
        <v>227</v>
      </c>
      <c r="AL157" s="0" t="s">
        <v>227</v>
      </c>
      <c r="AM157" s="0" t="s">
        <v>227</v>
      </c>
      <c r="AN157" s="0" t="s">
        <v>227</v>
      </c>
      <c r="AO157" s="0" t="s">
        <v>227</v>
      </c>
      <c r="AP157" s="0" t="s">
        <v>227</v>
      </c>
      <c r="AQ157" s="0" t="s">
        <v>227</v>
      </c>
      <c r="AR157" s="0" t="s">
        <v>227</v>
      </c>
      <c r="AS157" s="0" t="s">
        <v>227</v>
      </c>
      <c r="AT157" s="0" t="s">
        <v>227</v>
      </c>
      <c r="AU157" s="0" t="s">
        <v>227</v>
      </c>
      <c r="AV157" s="0" t="s">
        <v>227</v>
      </c>
      <c r="AW157" s="0" t="s">
        <v>227</v>
      </c>
      <c r="AX157" s="0" t="s">
        <v>227</v>
      </c>
      <c r="AY157" s="0" t="s">
        <v>227</v>
      </c>
      <c r="AZ157" s="0" t="s">
        <v>227</v>
      </c>
      <c r="BA157" s="0" t="s">
        <v>227</v>
      </c>
      <c r="BB157" s="0" t="s">
        <v>227</v>
      </c>
      <c r="BC157" s="0" t="s">
        <v>227</v>
      </c>
      <c r="BD157" s="0" t="s">
        <v>227</v>
      </c>
      <c r="BE157" s="0" t="s">
        <v>5728</v>
      </c>
      <c r="BF157" s="0" t="s">
        <v>5729</v>
      </c>
      <c r="BG157" s="0" t="s">
        <v>112</v>
      </c>
      <c r="BH157" s="0" t="s">
        <v>5690</v>
      </c>
      <c r="BI157" s="0" t="s">
        <v>5691</v>
      </c>
      <c r="BJ157" s="0" t="s">
        <v>227</v>
      </c>
      <c r="BK157" s="0" t="s">
        <v>5692</v>
      </c>
      <c r="BL157" s="0" t="s">
        <v>354</v>
      </c>
      <c r="BM157" s="0" t="s">
        <v>354</v>
      </c>
      <c r="BN157" s="0" t="s">
        <v>5693</v>
      </c>
      <c r="BO157" s="0" t="s">
        <v>5684</v>
      </c>
      <c r="BP157" s="0" t="s">
        <v>5694</v>
      </c>
      <c r="BQ157" s="0" t="s">
        <v>5692</v>
      </c>
      <c r="BR157" s="0" t="s">
        <v>5692</v>
      </c>
      <c r="BS157" s="0" t="s">
        <v>227</v>
      </c>
      <c r="BT157" s="0" t="s">
        <v>5695</v>
      </c>
      <c r="BU157" s="0" t="s">
        <v>5696</v>
      </c>
      <c r="BV157" s="0" t="s">
        <v>5696</v>
      </c>
      <c r="BW157" s="0" t="s">
        <v>5697</v>
      </c>
      <c r="BX157" s="0" t="s">
        <v>5697</v>
      </c>
      <c r="BY157" s="0" t="s">
        <v>5697</v>
      </c>
      <c r="BZ157" s="0" t="s">
        <v>5697</v>
      </c>
      <c r="CA157" s="0" t="s">
        <v>5697</v>
      </c>
      <c r="CB157" s="0" t="s">
        <v>227</v>
      </c>
      <c r="CC157" s="0" t="s">
        <v>227</v>
      </c>
      <c r="CD157" s="0" t="s">
        <v>227</v>
      </c>
      <c r="CE157" s="0" t="s">
        <v>227</v>
      </c>
      <c r="CF157" s="0" t="s">
        <v>227</v>
      </c>
      <c r="CG157" s="0" t="s">
        <v>5697</v>
      </c>
      <c r="CH157" s="0" t="s">
        <v>227</v>
      </c>
      <c r="CI157" s="0" t="s">
        <v>227</v>
      </c>
      <c r="CJ157" s="0" t="s">
        <v>227</v>
      </c>
      <c r="CK157" s="0" t="s">
        <v>227</v>
      </c>
      <c r="CL157" s="0" t="s">
        <v>227</v>
      </c>
      <c r="CM157" s="0" t="s">
        <v>5696</v>
      </c>
      <c r="CN157" s="0" t="s">
        <v>5696</v>
      </c>
      <c r="CO157" s="0" t="s">
        <v>227</v>
      </c>
      <c r="CP157" s="0" t="s">
        <v>227</v>
      </c>
      <c r="CQ157" s="0" t="s">
        <v>227</v>
      </c>
      <c r="CR157" s="0" t="s">
        <v>227</v>
      </c>
      <c r="CS157" s="0" t="s">
        <v>5759</v>
      </c>
      <c r="CT157" s="0" t="s">
        <v>5679</v>
      </c>
      <c r="CU157" s="0" t="s">
        <v>5680</v>
      </c>
      <c r="CV157" s="0" t="s">
        <v>430</v>
      </c>
      <c r="CW157" s="0" t="s">
        <v>5699</v>
      </c>
      <c r="CX157" s="0" t="s">
        <v>431</v>
      </c>
      <c r="CY157" s="0" t="s">
        <v>430</v>
      </c>
      <c r="CZ157" s="0" t="s">
        <v>432</v>
      </c>
      <c r="DA157" s="0" t="s">
        <v>433</v>
      </c>
      <c r="DB157" s="0" t="s">
        <v>5700</v>
      </c>
      <c r="DC157" s="0" t="s">
        <v>373</v>
      </c>
      <c r="DD157" s="0" t="s">
        <v>277</v>
      </c>
      <c r="DE157" s="0" t="s">
        <v>487</v>
      </c>
    </row>
    <row customHeight="1" ht="11.25">
      <c r="A158" s="1806" t="s">
        <v>227</v>
      </c>
      <c r="B158" s="0" t="s">
        <v>227</v>
      </c>
      <c r="C158" s="0" t="s">
        <v>227</v>
      </c>
      <c r="D158" s="0" t="s">
        <v>227</v>
      </c>
      <c r="E158" s="0" t="s">
        <v>227</v>
      </c>
      <c r="F158" s="0" t="s">
        <v>227</v>
      </c>
      <c r="G158" s="0" t="s">
        <v>227</v>
      </c>
      <c r="H158" s="0" t="s">
        <v>227</v>
      </c>
      <c r="I158" s="0" t="s">
        <v>5667</v>
      </c>
      <c r="J158" s="0" t="s">
        <v>227</v>
      </c>
      <c r="K158" s="0" t="s">
        <v>227</v>
      </c>
      <c r="L158" s="0" t="s">
        <v>227</v>
      </c>
      <c r="M158" s="0" t="s">
        <v>227</v>
      </c>
      <c r="N158" s="0" t="s">
        <v>227</v>
      </c>
      <c r="O158" s="0" t="s">
        <v>227</v>
      </c>
      <c r="P158" s="0" t="s">
        <v>227</v>
      </c>
      <c r="Q158" s="0" t="s">
        <v>227</v>
      </c>
      <c r="R158" s="0" t="s">
        <v>488</v>
      </c>
      <c r="S158" s="0" t="s">
        <v>227</v>
      </c>
      <c r="T158" s="0" t="s">
        <v>227</v>
      </c>
      <c r="U158" s="0" t="s">
        <v>102</v>
      </c>
      <c r="V158" s="0" t="s">
        <v>227</v>
      </c>
      <c r="W158" s="0" t="s">
        <v>227</v>
      </c>
      <c r="X158" s="0" t="s">
        <v>5683</v>
      </c>
      <c r="Y158" s="0" t="s">
        <v>227</v>
      </c>
      <c r="Z158" s="0" t="s">
        <v>152</v>
      </c>
      <c r="AA158" s="0" t="s">
        <v>152</v>
      </c>
      <c r="AB158" s="0" t="s">
        <v>161</v>
      </c>
      <c r="AC158" s="0" t="s">
        <v>354</v>
      </c>
      <c r="AD158" s="0" t="s">
        <v>354</v>
      </c>
      <c r="AE158" s="0" t="s">
        <v>355</v>
      </c>
      <c r="AF158" s="0" t="s">
        <v>5684</v>
      </c>
      <c r="AG158" s="0" t="s">
        <v>5685</v>
      </c>
      <c r="AH158" s="0" t="s">
        <v>6120</v>
      </c>
      <c r="AI158" s="0" t="s">
        <v>5692</v>
      </c>
      <c r="AJ158" s="0" t="s">
        <v>227</v>
      </c>
      <c r="AK158" s="0" t="s">
        <v>227</v>
      </c>
      <c r="AL158" s="0" t="s">
        <v>227</v>
      </c>
      <c r="AM158" s="0" t="s">
        <v>227</v>
      </c>
      <c r="AN158" s="0" t="s">
        <v>227</v>
      </c>
      <c r="AO158" s="0" t="s">
        <v>227</v>
      </c>
      <c r="AP158" s="0" t="s">
        <v>227</v>
      </c>
      <c r="AQ158" s="0" t="s">
        <v>227</v>
      </c>
      <c r="AR158" s="0" t="s">
        <v>227</v>
      </c>
      <c r="AS158" s="0" t="s">
        <v>227</v>
      </c>
      <c r="AT158" s="0" t="s">
        <v>227</v>
      </c>
      <c r="AU158" s="0" t="s">
        <v>227</v>
      </c>
      <c r="AV158" s="0" t="s">
        <v>227</v>
      </c>
      <c r="AW158" s="0" t="s">
        <v>227</v>
      </c>
      <c r="AX158" s="0" t="s">
        <v>227</v>
      </c>
      <c r="AY158" s="0" t="s">
        <v>227</v>
      </c>
      <c r="AZ158" s="0" t="s">
        <v>227</v>
      </c>
      <c r="BA158" s="0" t="s">
        <v>227</v>
      </c>
      <c r="BB158" s="0" t="s">
        <v>227</v>
      </c>
      <c r="BC158" s="0" t="s">
        <v>227</v>
      </c>
      <c r="BD158" s="0" t="s">
        <v>227</v>
      </c>
      <c r="BE158" s="0" t="s">
        <v>5728</v>
      </c>
      <c r="BF158" s="0" t="s">
        <v>5757</v>
      </c>
      <c r="BG158" s="0" t="s">
        <v>112</v>
      </c>
      <c r="BH158" s="0" t="s">
        <v>5690</v>
      </c>
      <c r="BI158" s="0" t="s">
        <v>5691</v>
      </c>
      <c r="BJ158" s="0" t="s">
        <v>227</v>
      </c>
      <c r="BK158" s="0" t="s">
        <v>5692</v>
      </c>
      <c r="BL158" s="0" t="s">
        <v>354</v>
      </c>
      <c r="BM158" s="0" t="s">
        <v>354</v>
      </c>
      <c r="BN158" s="0" t="s">
        <v>5693</v>
      </c>
      <c r="BO158" s="0" t="s">
        <v>5684</v>
      </c>
      <c r="BP158" s="0" t="s">
        <v>5694</v>
      </c>
      <c r="BQ158" s="0" t="s">
        <v>5692</v>
      </c>
      <c r="BR158" s="0" t="s">
        <v>5692</v>
      </c>
      <c r="BS158" s="0" t="s">
        <v>227</v>
      </c>
      <c r="BT158" s="0" t="s">
        <v>5695</v>
      </c>
      <c r="BU158" s="0" t="s">
        <v>5772</v>
      </c>
      <c r="BV158" s="0" t="s">
        <v>5772</v>
      </c>
      <c r="BW158" s="0" t="s">
        <v>5697</v>
      </c>
      <c r="BX158" s="0" t="s">
        <v>5697</v>
      </c>
      <c r="BY158" s="0" t="s">
        <v>5697</v>
      </c>
      <c r="BZ158" s="0" t="s">
        <v>5697</v>
      </c>
      <c r="CA158" s="0" t="s">
        <v>5697</v>
      </c>
      <c r="CB158" s="0" t="s">
        <v>227</v>
      </c>
      <c r="CC158" s="0" t="s">
        <v>227</v>
      </c>
      <c r="CD158" s="0" t="s">
        <v>227</v>
      </c>
      <c r="CE158" s="0" t="s">
        <v>227</v>
      </c>
      <c r="CF158" s="0" t="s">
        <v>227</v>
      </c>
      <c r="CG158" s="0" t="s">
        <v>5697</v>
      </c>
      <c r="CH158" s="0" t="s">
        <v>227</v>
      </c>
      <c r="CI158" s="0" t="s">
        <v>227</v>
      </c>
      <c r="CJ158" s="0" t="s">
        <v>227</v>
      </c>
      <c r="CK158" s="0" t="s">
        <v>227</v>
      </c>
      <c r="CL158" s="0" t="s">
        <v>227</v>
      </c>
      <c r="CM158" s="0" t="s">
        <v>5772</v>
      </c>
      <c r="CN158" s="0" t="s">
        <v>5772</v>
      </c>
      <c r="CO158" s="0" t="s">
        <v>227</v>
      </c>
      <c r="CP158" s="0" t="s">
        <v>227</v>
      </c>
      <c r="CQ158" s="0" t="s">
        <v>227</v>
      </c>
      <c r="CR158" s="0" t="s">
        <v>227</v>
      </c>
      <c r="CS158" s="0" t="s">
        <v>5733</v>
      </c>
      <c r="CT158" s="0" t="s">
        <v>5679</v>
      </c>
      <c r="CU158" s="0" t="s">
        <v>5680</v>
      </c>
      <c r="CV158" s="0" t="s">
        <v>430</v>
      </c>
      <c r="CW158" s="0" t="s">
        <v>5699</v>
      </c>
      <c r="CX158" s="0" t="s">
        <v>431</v>
      </c>
      <c r="CY158" s="0" t="s">
        <v>430</v>
      </c>
      <c r="CZ158" s="0" t="s">
        <v>432</v>
      </c>
      <c r="DA158" s="0" t="s">
        <v>433</v>
      </c>
      <c r="DB158" s="0" t="s">
        <v>5700</v>
      </c>
      <c r="DC158" s="0" t="s">
        <v>373</v>
      </c>
      <c r="DD158" s="0" t="s">
        <v>277</v>
      </c>
      <c r="DE158" s="0" t="s">
        <v>489</v>
      </c>
    </row>
    <row customHeight="1" ht="11.25">
      <c r="A159" s="1806" t="s">
        <v>227</v>
      </c>
      <c r="B159" s="0" t="s">
        <v>227</v>
      </c>
      <c r="C159" s="0" t="s">
        <v>227</v>
      </c>
      <c r="D159" s="0" t="s">
        <v>227</v>
      </c>
      <c r="E159" s="0" t="s">
        <v>227</v>
      </c>
      <c r="F159" s="0" t="s">
        <v>227</v>
      </c>
      <c r="G159" s="0" t="s">
        <v>227</v>
      </c>
      <c r="H159" s="0" t="s">
        <v>227</v>
      </c>
      <c r="I159" s="0" t="s">
        <v>5667</v>
      </c>
      <c r="J159" s="0" t="s">
        <v>227</v>
      </c>
      <c r="K159" s="0" t="s">
        <v>227</v>
      </c>
      <c r="L159" s="0" t="s">
        <v>227</v>
      </c>
      <c r="M159" s="0" t="s">
        <v>227</v>
      </c>
      <c r="N159" s="0" t="s">
        <v>227</v>
      </c>
      <c r="O159" s="0" t="s">
        <v>227</v>
      </c>
      <c r="P159" s="0" t="s">
        <v>227</v>
      </c>
      <c r="Q159" s="0" t="s">
        <v>227</v>
      </c>
      <c r="R159" s="0" t="s">
        <v>939</v>
      </c>
      <c r="S159" s="0" t="s">
        <v>227</v>
      </c>
      <c r="T159" s="0" t="s">
        <v>227</v>
      </c>
      <c r="U159" s="0" t="s">
        <v>102</v>
      </c>
      <c r="V159" s="0" t="s">
        <v>227</v>
      </c>
      <c r="W159" s="0" t="s">
        <v>227</v>
      </c>
      <c r="X159" s="0" t="s">
        <v>5683</v>
      </c>
      <c r="Y159" s="0" t="s">
        <v>227</v>
      </c>
      <c r="Z159" s="0" t="s">
        <v>152</v>
      </c>
      <c r="AA159" s="0" t="s">
        <v>152</v>
      </c>
      <c r="AB159" s="0" t="s">
        <v>161</v>
      </c>
      <c r="AC159" s="0" t="s">
        <v>354</v>
      </c>
      <c r="AD159" s="0" t="s">
        <v>354</v>
      </c>
      <c r="AE159" s="0" t="s">
        <v>355</v>
      </c>
      <c r="AF159" s="0" t="s">
        <v>5701</v>
      </c>
      <c r="AG159" s="0" t="s">
        <v>5702</v>
      </c>
      <c r="AH159" s="0" t="s">
        <v>6121</v>
      </c>
      <c r="AI159" s="0" t="s">
        <v>6122</v>
      </c>
      <c r="AJ159" s="0" t="s">
        <v>227</v>
      </c>
      <c r="AK159" s="0" t="s">
        <v>227</v>
      </c>
      <c r="AL159" s="0" t="s">
        <v>227</v>
      </c>
      <c r="AM159" s="0" t="s">
        <v>227</v>
      </c>
      <c r="AN159" s="0" t="s">
        <v>227</v>
      </c>
      <c r="AO159" s="0" t="s">
        <v>227</v>
      </c>
      <c r="AP159" s="0" t="s">
        <v>227</v>
      </c>
      <c r="AQ159" s="0" t="s">
        <v>227</v>
      </c>
      <c r="AR159" s="0" t="s">
        <v>227</v>
      </c>
      <c r="AS159" s="0" t="s">
        <v>227</v>
      </c>
      <c r="AT159" s="0" t="s">
        <v>227</v>
      </c>
      <c r="AU159" s="0" t="s">
        <v>227</v>
      </c>
      <c r="AV159" s="0" t="s">
        <v>227</v>
      </c>
      <c r="AW159" s="0" t="s">
        <v>227</v>
      </c>
      <c r="AX159" s="0" t="s">
        <v>227</v>
      </c>
      <c r="AY159" s="0" t="s">
        <v>227</v>
      </c>
      <c r="AZ159" s="0" t="s">
        <v>227</v>
      </c>
      <c r="BA159" s="0" t="s">
        <v>227</v>
      </c>
      <c r="BB159" s="0" t="s">
        <v>227</v>
      </c>
      <c r="BC159" s="0" t="s">
        <v>227</v>
      </c>
      <c r="BD159" s="0" t="s">
        <v>227</v>
      </c>
      <c r="BE159" s="0" t="s">
        <v>5978</v>
      </c>
      <c r="BF159" s="0" t="s">
        <v>6123</v>
      </c>
      <c r="BG159" s="0" t="s">
        <v>112</v>
      </c>
      <c r="BH159" s="0" t="s">
        <v>5690</v>
      </c>
      <c r="BI159" s="0" t="s">
        <v>5691</v>
      </c>
      <c r="BJ159" s="0" t="s">
        <v>227</v>
      </c>
      <c r="BK159" s="0" t="s">
        <v>952</v>
      </c>
      <c r="BL159" s="0" t="s">
        <v>354</v>
      </c>
      <c r="BM159" s="0" t="s">
        <v>354</v>
      </c>
      <c r="BN159" s="0" t="s">
        <v>5693</v>
      </c>
      <c r="BO159" s="0" t="s">
        <v>5701</v>
      </c>
      <c r="BP159" s="0" t="s">
        <v>5706</v>
      </c>
      <c r="BQ159" s="0" t="s">
        <v>5707</v>
      </c>
      <c r="BR159" s="0" t="s">
        <v>5708</v>
      </c>
      <c r="BS159" s="0" t="s">
        <v>227</v>
      </c>
      <c r="BT159" s="0" t="s">
        <v>5695</v>
      </c>
      <c r="BU159" s="0" t="s">
        <v>6124</v>
      </c>
      <c r="BV159" s="0" t="s">
        <v>6124</v>
      </c>
      <c r="BW159" s="0" t="s">
        <v>5697</v>
      </c>
      <c r="BX159" s="0" t="s">
        <v>5697</v>
      </c>
      <c r="BY159" s="0" t="s">
        <v>5697</v>
      </c>
      <c r="BZ159" s="0" t="s">
        <v>5697</v>
      </c>
      <c r="CA159" s="0" t="s">
        <v>5697</v>
      </c>
      <c r="CB159" s="0" t="s">
        <v>227</v>
      </c>
      <c r="CC159" s="0" t="s">
        <v>227</v>
      </c>
      <c r="CD159" s="0" t="s">
        <v>227</v>
      </c>
      <c r="CE159" s="0" t="s">
        <v>227</v>
      </c>
      <c r="CF159" s="0" t="s">
        <v>227</v>
      </c>
      <c r="CG159" s="0" t="s">
        <v>5697</v>
      </c>
      <c r="CH159" s="0" t="s">
        <v>227</v>
      </c>
      <c r="CI159" s="0" t="s">
        <v>227</v>
      </c>
      <c r="CJ159" s="0" t="s">
        <v>227</v>
      </c>
      <c r="CK159" s="0" t="s">
        <v>227</v>
      </c>
      <c r="CL159" s="0" t="s">
        <v>227</v>
      </c>
      <c r="CM159" s="0" t="s">
        <v>6124</v>
      </c>
      <c r="CN159" s="0" t="s">
        <v>6124</v>
      </c>
      <c r="CO159" s="0" t="s">
        <v>227</v>
      </c>
      <c r="CP159" s="0" t="s">
        <v>227</v>
      </c>
      <c r="CQ159" s="0" t="s">
        <v>227</v>
      </c>
      <c r="CR159" s="0" t="s">
        <v>227</v>
      </c>
      <c r="CS159" s="0" t="s">
        <v>5773</v>
      </c>
      <c r="CT159" s="0" t="s">
        <v>5679</v>
      </c>
      <c r="CU159" s="0" t="s">
        <v>5680</v>
      </c>
      <c r="CV159" s="0" t="s">
        <v>430</v>
      </c>
      <c r="CW159" s="0" t="s">
        <v>5699</v>
      </c>
      <c r="CX159" s="0" t="s">
        <v>431</v>
      </c>
      <c r="CY159" s="0" t="s">
        <v>430</v>
      </c>
      <c r="CZ159" s="0" t="s">
        <v>432</v>
      </c>
      <c r="DA159" s="0" t="s">
        <v>433</v>
      </c>
      <c r="DB159" s="0" t="s">
        <v>5700</v>
      </c>
      <c r="DC159" s="0" t="s">
        <v>373</v>
      </c>
      <c r="DD159" s="0" t="s">
        <v>277</v>
      </c>
      <c r="DE159" s="0" t="s">
        <v>940</v>
      </c>
    </row>
    <row customHeight="1" ht="11.25">
      <c r="A160" s="1806" t="s">
        <v>227</v>
      </c>
      <c r="B160" s="0" t="s">
        <v>227</v>
      </c>
      <c r="C160" s="0" t="s">
        <v>227</v>
      </c>
      <c r="D160" s="0" t="s">
        <v>227</v>
      </c>
      <c r="E160" s="0" t="s">
        <v>227</v>
      </c>
      <c r="F160" s="0" t="s">
        <v>227</v>
      </c>
      <c r="G160" s="0" t="s">
        <v>227</v>
      </c>
      <c r="H160" s="0" t="s">
        <v>227</v>
      </c>
      <c r="I160" s="0" t="s">
        <v>5667</v>
      </c>
      <c r="J160" s="0" t="s">
        <v>227</v>
      </c>
      <c r="K160" s="0" t="s">
        <v>227</v>
      </c>
      <c r="L160" s="0" t="s">
        <v>227</v>
      </c>
      <c r="M160" s="0" t="s">
        <v>227</v>
      </c>
      <c r="N160" s="0" t="s">
        <v>227</v>
      </c>
      <c r="O160" s="0" t="s">
        <v>227</v>
      </c>
      <c r="P160" s="0" t="s">
        <v>227</v>
      </c>
      <c r="Q160" s="0" t="s">
        <v>227</v>
      </c>
      <c r="R160" s="0" t="s">
        <v>719</v>
      </c>
      <c r="S160" s="0" t="s">
        <v>227</v>
      </c>
      <c r="T160" s="0" t="s">
        <v>227</v>
      </c>
      <c r="U160" s="0" t="s">
        <v>102</v>
      </c>
      <c r="V160" s="0" t="s">
        <v>227</v>
      </c>
      <c r="W160" s="0" t="s">
        <v>227</v>
      </c>
      <c r="X160" s="0" t="s">
        <v>5683</v>
      </c>
      <c r="Y160" s="0" t="s">
        <v>227</v>
      </c>
      <c r="Z160" s="0" t="s">
        <v>152</v>
      </c>
      <c r="AA160" s="0" t="s">
        <v>152</v>
      </c>
      <c r="AB160" s="0" t="s">
        <v>161</v>
      </c>
      <c r="AC160" s="0" t="s">
        <v>354</v>
      </c>
      <c r="AD160" s="0" t="s">
        <v>354</v>
      </c>
      <c r="AE160" s="0" t="s">
        <v>355</v>
      </c>
      <c r="AF160" s="0" t="s">
        <v>5701</v>
      </c>
      <c r="AG160" s="0" t="s">
        <v>5702</v>
      </c>
      <c r="AH160" s="0" t="s">
        <v>5692</v>
      </c>
      <c r="AI160" s="0" t="s">
        <v>5692</v>
      </c>
      <c r="AJ160" s="0" t="s">
        <v>227</v>
      </c>
      <c r="AK160" s="0" t="s">
        <v>227</v>
      </c>
      <c r="AL160" s="0" t="s">
        <v>227</v>
      </c>
      <c r="AM160" s="0" t="s">
        <v>227</v>
      </c>
      <c r="AN160" s="0" t="s">
        <v>227</v>
      </c>
      <c r="AO160" s="0" t="s">
        <v>227</v>
      </c>
      <c r="AP160" s="0" t="s">
        <v>227</v>
      </c>
      <c r="AQ160" s="0" t="s">
        <v>227</v>
      </c>
      <c r="AR160" s="0" t="s">
        <v>227</v>
      </c>
      <c r="AS160" s="0" t="s">
        <v>227</v>
      </c>
      <c r="AT160" s="0" t="s">
        <v>227</v>
      </c>
      <c r="AU160" s="0" t="s">
        <v>227</v>
      </c>
      <c r="AV160" s="0" t="s">
        <v>227</v>
      </c>
      <c r="AW160" s="0" t="s">
        <v>227</v>
      </c>
      <c r="AX160" s="0" t="s">
        <v>227</v>
      </c>
      <c r="AY160" s="0" t="s">
        <v>227</v>
      </c>
      <c r="AZ160" s="0" t="s">
        <v>227</v>
      </c>
      <c r="BA160" s="0" t="s">
        <v>227</v>
      </c>
      <c r="BB160" s="0" t="s">
        <v>227</v>
      </c>
      <c r="BC160" s="0" t="s">
        <v>227</v>
      </c>
      <c r="BD160" s="0" t="s">
        <v>227</v>
      </c>
      <c r="BE160" s="0" t="s">
        <v>5743</v>
      </c>
      <c r="BF160" s="0" t="s">
        <v>6125</v>
      </c>
      <c r="BG160" s="0" t="s">
        <v>112</v>
      </c>
      <c r="BH160" s="0" t="s">
        <v>5690</v>
      </c>
      <c r="BI160" s="0" t="s">
        <v>5691</v>
      </c>
      <c r="BJ160" s="0" t="s">
        <v>227</v>
      </c>
      <c r="BK160" s="0" t="s">
        <v>952</v>
      </c>
      <c r="BL160" s="0" t="s">
        <v>354</v>
      </c>
      <c r="BM160" s="0" t="s">
        <v>354</v>
      </c>
      <c r="BN160" s="0" t="s">
        <v>5693</v>
      </c>
      <c r="BO160" s="0" t="s">
        <v>5701</v>
      </c>
      <c r="BP160" s="0" t="s">
        <v>5706</v>
      </c>
      <c r="BQ160" s="0" t="s">
        <v>5707</v>
      </c>
      <c r="BR160" s="0" t="s">
        <v>5708</v>
      </c>
      <c r="BS160" s="0" t="s">
        <v>227</v>
      </c>
      <c r="BT160" s="0" t="s">
        <v>5788</v>
      </c>
      <c r="BU160" s="0" t="s">
        <v>6126</v>
      </c>
      <c r="BV160" s="0" t="s">
        <v>6126</v>
      </c>
      <c r="BW160" s="0" t="s">
        <v>5697</v>
      </c>
      <c r="BX160" s="0" t="s">
        <v>5697</v>
      </c>
      <c r="BY160" s="0" t="s">
        <v>5697</v>
      </c>
      <c r="BZ160" s="0" t="s">
        <v>5697</v>
      </c>
      <c r="CA160" s="0" t="s">
        <v>5697</v>
      </c>
      <c r="CB160" s="0" t="s">
        <v>227</v>
      </c>
      <c r="CC160" s="0" t="s">
        <v>227</v>
      </c>
      <c r="CD160" s="0" t="s">
        <v>227</v>
      </c>
      <c r="CE160" s="0" t="s">
        <v>227</v>
      </c>
      <c r="CF160" s="0" t="s">
        <v>227</v>
      </c>
      <c r="CG160" s="0" t="s">
        <v>5697</v>
      </c>
      <c r="CH160" s="0" t="s">
        <v>227</v>
      </c>
      <c r="CI160" s="0" t="s">
        <v>227</v>
      </c>
      <c r="CJ160" s="0" t="s">
        <v>227</v>
      </c>
      <c r="CK160" s="0" t="s">
        <v>227</v>
      </c>
      <c r="CL160" s="0" t="s">
        <v>227</v>
      </c>
      <c r="CM160" s="0" t="s">
        <v>6126</v>
      </c>
      <c r="CN160" s="0" t="s">
        <v>6126</v>
      </c>
      <c r="CO160" s="0" t="s">
        <v>227</v>
      </c>
      <c r="CP160" s="0" t="s">
        <v>227</v>
      </c>
      <c r="CQ160" s="0" t="s">
        <v>227</v>
      </c>
      <c r="CR160" s="0" t="s">
        <v>227</v>
      </c>
      <c r="CS160" s="0" t="s">
        <v>5714</v>
      </c>
      <c r="CT160" s="0" t="s">
        <v>5679</v>
      </c>
      <c r="CU160" s="0" t="s">
        <v>5680</v>
      </c>
      <c r="CV160" s="0" t="s">
        <v>430</v>
      </c>
      <c r="CW160" s="0" t="s">
        <v>5699</v>
      </c>
      <c r="CX160" s="0" t="s">
        <v>431</v>
      </c>
      <c r="CY160" s="0" t="s">
        <v>430</v>
      </c>
      <c r="CZ160" s="0" t="s">
        <v>432</v>
      </c>
      <c r="DA160" s="0" t="s">
        <v>433</v>
      </c>
      <c r="DB160" s="0" t="s">
        <v>5700</v>
      </c>
      <c r="DC160" s="0" t="s">
        <v>373</v>
      </c>
      <c r="DD160" s="0" t="s">
        <v>277</v>
      </c>
      <c r="DE160" s="0" t="s">
        <v>715</v>
      </c>
    </row>
    <row customHeight="1" ht="11.25">
      <c r="A161" s="1806" t="s">
        <v>227</v>
      </c>
      <c r="B161" s="0" t="s">
        <v>227</v>
      </c>
      <c r="C161" s="0" t="s">
        <v>227</v>
      </c>
      <c r="D161" s="0" t="s">
        <v>227</v>
      </c>
      <c r="E161" s="0" t="s">
        <v>227</v>
      </c>
      <c r="F161" s="0" t="s">
        <v>227</v>
      </c>
      <c r="G161" s="0" t="s">
        <v>227</v>
      </c>
      <c r="H161" s="0" t="s">
        <v>227</v>
      </c>
      <c r="I161" s="0" t="s">
        <v>5667</v>
      </c>
      <c r="J161" s="0" t="s">
        <v>227</v>
      </c>
      <c r="K161" s="0" t="s">
        <v>227</v>
      </c>
      <c r="L161" s="0" t="s">
        <v>227</v>
      </c>
      <c r="M161" s="0" t="s">
        <v>227</v>
      </c>
      <c r="N161" s="0" t="s">
        <v>227</v>
      </c>
      <c r="O161" s="0" t="s">
        <v>227</v>
      </c>
      <c r="P161" s="0" t="s">
        <v>227</v>
      </c>
      <c r="Q161" s="0" t="s">
        <v>227</v>
      </c>
      <c r="R161" s="0" t="s">
        <v>936</v>
      </c>
      <c r="S161" s="0" t="s">
        <v>227</v>
      </c>
      <c r="T161" s="0" t="s">
        <v>227</v>
      </c>
      <c r="U161" s="0" t="s">
        <v>102</v>
      </c>
      <c r="V161" s="0" t="s">
        <v>227</v>
      </c>
      <c r="W161" s="0" t="s">
        <v>227</v>
      </c>
      <c r="X161" s="0" t="s">
        <v>5683</v>
      </c>
      <c r="Y161" s="0" t="s">
        <v>227</v>
      </c>
      <c r="Z161" s="0" t="s">
        <v>152</v>
      </c>
      <c r="AA161" s="0" t="s">
        <v>152</v>
      </c>
      <c r="AB161" s="0" t="s">
        <v>161</v>
      </c>
      <c r="AC161" s="0" t="s">
        <v>354</v>
      </c>
      <c r="AD161" s="0" t="s">
        <v>354</v>
      </c>
      <c r="AE161" s="0" t="s">
        <v>355</v>
      </c>
      <c r="AF161" s="0" t="s">
        <v>5701</v>
      </c>
      <c r="AG161" s="0" t="s">
        <v>5702</v>
      </c>
      <c r="AH161" s="0" t="s">
        <v>6127</v>
      </c>
      <c r="AI161" s="0" t="s">
        <v>6128</v>
      </c>
      <c r="AJ161" s="0" t="s">
        <v>227</v>
      </c>
      <c r="AK161" s="0" t="s">
        <v>227</v>
      </c>
      <c r="AL161" s="0" t="s">
        <v>227</v>
      </c>
      <c r="AM161" s="0" t="s">
        <v>227</v>
      </c>
      <c r="AN161" s="0" t="s">
        <v>227</v>
      </c>
      <c r="AO161" s="0" t="s">
        <v>227</v>
      </c>
      <c r="AP161" s="0" t="s">
        <v>227</v>
      </c>
      <c r="AQ161" s="0" t="s">
        <v>227</v>
      </c>
      <c r="AR161" s="0" t="s">
        <v>227</v>
      </c>
      <c r="AS161" s="0" t="s">
        <v>227</v>
      </c>
      <c r="AT161" s="0" t="s">
        <v>227</v>
      </c>
      <c r="AU161" s="0" t="s">
        <v>227</v>
      </c>
      <c r="AV161" s="0" t="s">
        <v>227</v>
      </c>
      <c r="AW161" s="0" t="s">
        <v>227</v>
      </c>
      <c r="AX161" s="0" t="s">
        <v>227</v>
      </c>
      <c r="AY161" s="0" t="s">
        <v>227</v>
      </c>
      <c r="AZ161" s="0" t="s">
        <v>227</v>
      </c>
      <c r="BA161" s="0" t="s">
        <v>227</v>
      </c>
      <c r="BB161" s="0" t="s">
        <v>227</v>
      </c>
      <c r="BC161" s="0" t="s">
        <v>227</v>
      </c>
      <c r="BD161" s="0" t="s">
        <v>227</v>
      </c>
      <c r="BE161" s="0" t="s">
        <v>5688</v>
      </c>
      <c r="BF161" s="0" t="s">
        <v>6129</v>
      </c>
      <c r="BG161" s="0" t="s">
        <v>112</v>
      </c>
      <c r="BH161" s="0" t="s">
        <v>5690</v>
      </c>
      <c r="BI161" s="0" t="s">
        <v>5691</v>
      </c>
      <c r="BJ161" s="0" t="s">
        <v>227</v>
      </c>
      <c r="BK161" s="0" t="s">
        <v>952</v>
      </c>
      <c r="BL161" s="0" t="s">
        <v>354</v>
      </c>
      <c r="BM161" s="0" t="s">
        <v>354</v>
      </c>
      <c r="BN161" s="0" t="s">
        <v>5693</v>
      </c>
      <c r="BO161" s="0" t="s">
        <v>5701</v>
      </c>
      <c r="BP161" s="0" t="s">
        <v>5706</v>
      </c>
      <c r="BQ161" s="0" t="s">
        <v>5707</v>
      </c>
      <c r="BR161" s="0" t="s">
        <v>5708</v>
      </c>
      <c r="BS161" s="0" t="s">
        <v>227</v>
      </c>
      <c r="BT161" s="0" t="s">
        <v>5695</v>
      </c>
      <c r="BU161" s="0" t="s">
        <v>6130</v>
      </c>
      <c r="BV161" s="0" t="s">
        <v>6130</v>
      </c>
      <c r="BW161" s="0" t="s">
        <v>5697</v>
      </c>
      <c r="BX161" s="0" t="s">
        <v>5697</v>
      </c>
      <c r="BY161" s="0" t="s">
        <v>5697</v>
      </c>
      <c r="BZ161" s="0" t="s">
        <v>5697</v>
      </c>
      <c r="CA161" s="0" t="s">
        <v>5697</v>
      </c>
      <c r="CB161" s="0" t="s">
        <v>227</v>
      </c>
      <c r="CC161" s="0" t="s">
        <v>227</v>
      </c>
      <c r="CD161" s="0" t="s">
        <v>227</v>
      </c>
      <c r="CE161" s="0" t="s">
        <v>227</v>
      </c>
      <c r="CF161" s="0" t="s">
        <v>227</v>
      </c>
      <c r="CG161" s="0" t="s">
        <v>5697</v>
      </c>
      <c r="CH161" s="0" t="s">
        <v>227</v>
      </c>
      <c r="CI161" s="0" t="s">
        <v>227</v>
      </c>
      <c r="CJ161" s="0" t="s">
        <v>227</v>
      </c>
      <c r="CK161" s="0" t="s">
        <v>227</v>
      </c>
      <c r="CL161" s="0" t="s">
        <v>227</v>
      </c>
      <c r="CM161" s="0" t="s">
        <v>6130</v>
      </c>
      <c r="CN161" s="0" t="s">
        <v>6130</v>
      </c>
      <c r="CO161" s="0" t="s">
        <v>227</v>
      </c>
      <c r="CP161" s="0" t="s">
        <v>227</v>
      </c>
      <c r="CQ161" s="0" t="s">
        <v>227</v>
      </c>
      <c r="CR161" s="0" t="s">
        <v>227</v>
      </c>
      <c r="CS161" s="0" t="s">
        <v>5773</v>
      </c>
      <c r="CT161" s="0" t="s">
        <v>5679</v>
      </c>
      <c r="CU161" s="0" t="s">
        <v>5680</v>
      </c>
      <c r="CV161" s="0" t="s">
        <v>430</v>
      </c>
      <c r="CW161" s="0" t="s">
        <v>5699</v>
      </c>
      <c r="CX161" s="0" t="s">
        <v>431</v>
      </c>
      <c r="CY161" s="0" t="s">
        <v>430</v>
      </c>
      <c r="CZ161" s="0" t="s">
        <v>432</v>
      </c>
      <c r="DA161" s="0" t="s">
        <v>433</v>
      </c>
      <c r="DB161" s="0" t="s">
        <v>5700</v>
      </c>
      <c r="DC161" s="0" t="s">
        <v>373</v>
      </c>
      <c r="DD161" s="0" t="s">
        <v>277</v>
      </c>
      <c r="DE161" s="0" t="s">
        <v>937</v>
      </c>
    </row>
    <row customHeight="1" ht="11.25">
      <c r="A162" s="1806" t="s">
        <v>227</v>
      </c>
      <c r="B162" s="0" t="s">
        <v>227</v>
      </c>
      <c r="C162" s="0" t="s">
        <v>227</v>
      </c>
      <c r="D162" s="0" t="s">
        <v>227</v>
      </c>
      <c r="E162" s="0" t="s">
        <v>227</v>
      </c>
      <c r="F162" s="0" t="s">
        <v>227</v>
      </c>
      <c r="G162" s="0" t="s">
        <v>227</v>
      </c>
      <c r="H162" s="0" t="s">
        <v>227</v>
      </c>
      <c r="I162" s="0" t="s">
        <v>5667</v>
      </c>
      <c r="J162" s="0" t="s">
        <v>227</v>
      </c>
      <c r="K162" s="0" t="s">
        <v>227</v>
      </c>
      <c r="L162" s="0" t="s">
        <v>227</v>
      </c>
      <c r="M162" s="0" t="s">
        <v>227</v>
      </c>
      <c r="N162" s="0" t="s">
        <v>227</v>
      </c>
      <c r="O162" s="0" t="s">
        <v>227</v>
      </c>
      <c r="P162" s="0" t="s">
        <v>227</v>
      </c>
      <c r="Q162" s="0" t="s">
        <v>227</v>
      </c>
      <c r="R162" s="0" t="s">
        <v>818</v>
      </c>
      <c r="S162" s="0" t="s">
        <v>227</v>
      </c>
      <c r="T162" s="0" t="s">
        <v>227</v>
      </c>
      <c r="U162" s="0" t="s">
        <v>102</v>
      </c>
      <c r="V162" s="0" t="s">
        <v>227</v>
      </c>
      <c r="W162" s="0" t="s">
        <v>227</v>
      </c>
      <c r="X162" s="0" t="s">
        <v>5683</v>
      </c>
      <c r="Y162" s="0" t="s">
        <v>227</v>
      </c>
      <c r="Z162" s="0" t="s">
        <v>152</v>
      </c>
      <c r="AA162" s="0" t="s">
        <v>152</v>
      </c>
      <c r="AB162" s="0" t="s">
        <v>161</v>
      </c>
      <c r="AC162" s="0" t="s">
        <v>354</v>
      </c>
      <c r="AD162" s="0" t="s">
        <v>354</v>
      </c>
      <c r="AE162" s="0" t="s">
        <v>355</v>
      </c>
      <c r="AF162" s="0" t="s">
        <v>5701</v>
      </c>
      <c r="AG162" s="0" t="s">
        <v>5702</v>
      </c>
      <c r="AH162" s="0" t="s">
        <v>6131</v>
      </c>
      <c r="AI162" s="0" t="s">
        <v>6132</v>
      </c>
      <c r="AJ162" s="0" t="s">
        <v>227</v>
      </c>
      <c r="AK162" s="0" t="s">
        <v>227</v>
      </c>
      <c r="AL162" s="0" t="s">
        <v>227</v>
      </c>
      <c r="AM162" s="0" t="s">
        <v>227</v>
      </c>
      <c r="AN162" s="0" t="s">
        <v>227</v>
      </c>
      <c r="AO162" s="0" t="s">
        <v>227</v>
      </c>
      <c r="AP162" s="0" t="s">
        <v>227</v>
      </c>
      <c r="AQ162" s="0" t="s">
        <v>227</v>
      </c>
      <c r="AR162" s="0" t="s">
        <v>227</v>
      </c>
      <c r="AS162" s="0" t="s">
        <v>227</v>
      </c>
      <c r="AT162" s="0" t="s">
        <v>227</v>
      </c>
      <c r="AU162" s="0" t="s">
        <v>227</v>
      </c>
      <c r="AV162" s="0" t="s">
        <v>227</v>
      </c>
      <c r="AW162" s="0" t="s">
        <v>227</v>
      </c>
      <c r="AX162" s="0" t="s">
        <v>227</v>
      </c>
      <c r="AY162" s="0" t="s">
        <v>227</v>
      </c>
      <c r="AZ162" s="0" t="s">
        <v>227</v>
      </c>
      <c r="BA162" s="0" t="s">
        <v>227</v>
      </c>
      <c r="BB162" s="0" t="s">
        <v>227</v>
      </c>
      <c r="BC162" s="0" t="s">
        <v>227</v>
      </c>
      <c r="BD162" s="0" t="s">
        <v>227</v>
      </c>
      <c r="BE162" s="0" t="s">
        <v>5688</v>
      </c>
      <c r="BF162" s="0" t="s">
        <v>5768</v>
      </c>
      <c r="BG162" s="0" t="s">
        <v>112</v>
      </c>
      <c r="BH162" s="0" t="s">
        <v>5690</v>
      </c>
      <c r="BI162" s="0" t="s">
        <v>5691</v>
      </c>
      <c r="BJ162" s="0" t="s">
        <v>227</v>
      </c>
      <c r="BK162" s="0" t="s">
        <v>952</v>
      </c>
      <c r="BL162" s="0" t="s">
        <v>354</v>
      </c>
      <c r="BM162" s="0" t="s">
        <v>354</v>
      </c>
      <c r="BN162" s="0" t="s">
        <v>5693</v>
      </c>
      <c r="BO162" s="0" t="s">
        <v>5701</v>
      </c>
      <c r="BP162" s="0" t="s">
        <v>5706</v>
      </c>
      <c r="BQ162" s="0" t="s">
        <v>5707</v>
      </c>
      <c r="BR162" s="0" t="s">
        <v>5708</v>
      </c>
      <c r="BS162" s="0" t="s">
        <v>227</v>
      </c>
      <c r="BT162" s="0" t="s">
        <v>5695</v>
      </c>
      <c r="BU162" s="0" t="s">
        <v>6133</v>
      </c>
      <c r="BV162" s="0" t="s">
        <v>6133</v>
      </c>
      <c r="BW162" s="0" t="s">
        <v>5697</v>
      </c>
      <c r="BX162" s="0" t="s">
        <v>5697</v>
      </c>
      <c r="BY162" s="0" t="s">
        <v>5697</v>
      </c>
      <c r="BZ162" s="0" t="s">
        <v>5697</v>
      </c>
      <c r="CA162" s="0" t="s">
        <v>5697</v>
      </c>
      <c r="CB162" s="0" t="s">
        <v>227</v>
      </c>
      <c r="CC162" s="0" t="s">
        <v>227</v>
      </c>
      <c r="CD162" s="0" t="s">
        <v>227</v>
      </c>
      <c r="CE162" s="0" t="s">
        <v>227</v>
      </c>
      <c r="CF162" s="0" t="s">
        <v>227</v>
      </c>
      <c r="CG162" s="0" t="s">
        <v>5697</v>
      </c>
      <c r="CH162" s="0" t="s">
        <v>227</v>
      </c>
      <c r="CI162" s="0" t="s">
        <v>227</v>
      </c>
      <c r="CJ162" s="0" t="s">
        <v>227</v>
      </c>
      <c r="CK162" s="0" t="s">
        <v>227</v>
      </c>
      <c r="CL162" s="0" t="s">
        <v>227</v>
      </c>
      <c r="CM162" s="0" t="s">
        <v>6133</v>
      </c>
      <c r="CN162" s="0" t="s">
        <v>6133</v>
      </c>
      <c r="CO162" s="0" t="s">
        <v>227</v>
      </c>
      <c r="CP162" s="0" t="s">
        <v>227</v>
      </c>
      <c r="CQ162" s="0" t="s">
        <v>227</v>
      </c>
      <c r="CR162" s="0" t="s">
        <v>227</v>
      </c>
      <c r="CS162" s="0" t="s">
        <v>5773</v>
      </c>
      <c r="CT162" s="0" t="s">
        <v>5679</v>
      </c>
      <c r="CU162" s="0" t="s">
        <v>5680</v>
      </c>
      <c r="CV162" s="0" t="s">
        <v>430</v>
      </c>
      <c r="CW162" s="0" t="s">
        <v>5699</v>
      </c>
      <c r="CX162" s="0" t="s">
        <v>431</v>
      </c>
      <c r="CY162" s="0" t="s">
        <v>430</v>
      </c>
      <c r="CZ162" s="0" t="s">
        <v>432</v>
      </c>
      <c r="DA162" s="0" t="s">
        <v>433</v>
      </c>
      <c r="DB162" s="0" t="s">
        <v>5700</v>
      </c>
      <c r="DC162" s="0" t="s">
        <v>373</v>
      </c>
      <c r="DD162" s="0" t="s">
        <v>277</v>
      </c>
      <c r="DE162" s="0" t="s">
        <v>819</v>
      </c>
    </row>
    <row customHeight="1" ht="11.25">
      <c r="A163" s="1806" t="s">
        <v>227</v>
      </c>
      <c r="B163" s="0" t="s">
        <v>227</v>
      </c>
      <c r="C163" s="0" t="s">
        <v>227</v>
      </c>
      <c r="D163" s="0" t="s">
        <v>227</v>
      </c>
      <c r="E163" s="0" t="s">
        <v>227</v>
      </c>
      <c r="F163" s="0" t="s">
        <v>227</v>
      </c>
      <c r="G163" s="0" t="s">
        <v>227</v>
      </c>
      <c r="H163" s="0" t="s">
        <v>227</v>
      </c>
      <c r="I163" s="0" t="s">
        <v>5667</v>
      </c>
      <c r="J163" s="0" t="s">
        <v>227</v>
      </c>
      <c r="K163" s="0" t="s">
        <v>227</v>
      </c>
      <c r="L163" s="0" t="s">
        <v>227</v>
      </c>
      <c r="M163" s="0" t="s">
        <v>227</v>
      </c>
      <c r="N163" s="0" t="s">
        <v>227</v>
      </c>
      <c r="O163" s="0" t="s">
        <v>227</v>
      </c>
      <c r="P163" s="0" t="s">
        <v>227</v>
      </c>
      <c r="Q163" s="0" t="s">
        <v>227</v>
      </c>
      <c r="R163" s="0" t="s">
        <v>612</v>
      </c>
      <c r="S163" s="0" t="s">
        <v>227</v>
      </c>
      <c r="T163" s="0" t="s">
        <v>227</v>
      </c>
      <c r="U163" s="0" t="s">
        <v>102</v>
      </c>
      <c r="V163" s="0" t="s">
        <v>227</v>
      </c>
      <c r="W163" s="0" t="s">
        <v>227</v>
      </c>
      <c r="X163" s="0" t="s">
        <v>5683</v>
      </c>
      <c r="Y163" s="0" t="s">
        <v>227</v>
      </c>
      <c r="Z163" s="0" t="s">
        <v>152</v>
      </c>
      <c r="AA163" s="0" t="s">
        <v>152</v>
      </c>
      <c r="AB163" s="0" t="s">
        <v>161</v>
      </c>
      <c r="AC163" s="0" t="s">
        <v>354</v>
      </c>
      <c r="AD163" s="0" t="s">
        <v>354</v>
      </c>
      <c r="AE163" s="0" t="s">
        <v>355</v>
      </c>
      <c r="AF163" s="0" t="s">
        <v>5684</v>
      </c>
      <c r="AG163" s="0" t="s">
        <v>5685</v>
      </c>
      <c r="AH163" s="0" t="s">
        <v>5947</v>
      </c>
      <c r="AI163" s="0" t="s">
        <v>6134</v>
      </c>
      <c r="AJ163" s="0" t="s">
        <v>227</v>
      </c>
      <c r="AK163" s="0" t="s">
        <v>227</v>
      </c>
      <c r="AL163" s="0" t="s">
        <v>227</v>
      </c>
      <c r="AM163" s="0" t="s">
        <v>227</v>
      </c>
      <c r="AN163" s="0" t="s">
        <v>227</v>
      </c>
      <c r="AO163" s="0" t="s">
        <v>227</v>
      </c>
      <c r="AP163" s="0" t="s">
        <v>227</v>
      </c>
      <c r="AQ163" s="0" t="s">
        <v>227</v>
      </c>
      <c r="AR163" s="0" t="s">
        <v>227</v>
      </c>
      <c r="AS163" s="0" t="s">
        <v>227</v>
      </c>
      <c r="AT163" s="0" t="s">
        <v>227</v>
      </c>
      <c r="AU163" s="0" t="s">
        <v>227</v>
      </c>
      <c r="AV163" s="0" t="s">
        <v>227</v>
      </c>
      <c r="AW163" s="0" t="s">
        <v>227</v>
      </c>
      <c r="AX163" s="0" t="s">
        <v>227</v>
      </c>
      <c r="AY163" s="0" t="s">
        <v>227</v>
      </c>
      <c r="AZ163" s="0" t="s">
        <v>227</v>
      </c>
      <c r="BA163" s="0" t="s">
        <v>227</v>
      </c>
      <c r="BB163" s="0" t="s">
        <v>227</v>
      </c>
      <c r="BC163" s="0" t="s">
        <v>227</v>
      </c>
      <c r="BD163" s="0" t="s">
        <v>227</v>
      </c>
      <c r="BE163" s="0" t="s">
        <v>5743</v>
      </c>
      <c r="BF163" s="0" t="s">
        <v>6007</v>
      </c>
      <c r="BG163" s="0" t="s">
        <v>112</v>
      </c>
      <c r="BH163" s="0" t="s">
        <v>5690</v>
      </c>
      <c r="BI163" s="0" t="s">
        <v>5691</v>
      </c>
      <c r="BJ163" s="0" t="s">
        <v>227</v>
      </c>
      <c r="BK163" s="0" t="s">
        <v>5692</v>
      </c>
      <c r="BL163" s="0" t="s">
        <v>354</v>
      </c>
      <c r="BM163" s="0" t="s">
        <v>354</v>
      </c>
      <c r="BN163" s="0" t="s">
        <v>5693</v>
      </c>
      <c r="BO163" s="0" t="s">
        <v>5684</v>
      </c>
      <c r="BP163" s="0" t="s">
        <v>5694</v>
      </c>
      <c r="BQ163" s="0" t="s">
        <v>5692</v>
      </c>
      <c r="BR163" s="0" t="s">
        <v>5692</v>
      </c>
      <c r="BS163" s="0" t="s">
        <v>227</v>
      </c>
      <c r="BT163" s="0" t="s">
        <v>5709</v>
      </c>
      <c r="BU163" s="0" t="s">
        <v>6018</v>
      </c>
      <c r="BV163" s="0" t="s">
        <v>6018</v>
      </c>
      <c r="BW163" s="0" t="s">
        <v>5697</v>
      </c>
      <c r="BX163" s="0" t="s">
        <v>5697</v>
      </c>
      <c r="BY163" s="0" t="s">
        <v>5697</v>
      </c>
      <c r="BZ163" s="0" t="s">
        <v>5697</v>
      </c>
      <c r="CA163" s="0" t="s">
        <v>5697</v>
      </c>
      <c r="CB163" s="0" t="s">
        <v>227</v>
      </c>
      <c r="CC163" s="0" t="s">
        <v>227</v>
      </c>
      <c r="CD163" s="0" t="s">
        <v>227</v>
      </c>
      <c r="CE163" s="0" t="s">
        <v>227</v>
      </c>
      <c r="CF163" s="0" t="s">
        <v>227</v>
      </c>
      <c r="CG163" s="0" t="s">
        <v>5697</v>
      </c>
      <c r="CH163" s="0" t="s">
        <v>227</v>
      </c>
      <c r="CI163" s="0" t="s">
        <v>227</v>
      </c>
      <c r="CJ163" s="0" t="s">
        <v>227</v>
      </c>
      <c r="CK163" s="0" t="s">
        <v>227</v>
      </c>
      <c r="CL163" s="0" t="s">
        <v>227</v>
      </c>
      <c r="CM163" s="0" t="s">
        <v>6018</v>
      </c>
      <c r="CN163" s="0" t="s">
        <v>6018</v>
      </c>
      <c r="CO163" s="0" t="s">
        <v>227</v>
      </c>
      <c r="CP163" s="0" t="s">
        <v>227</v>
      </c>
      <c r="CQ163" s="0" t="s">
        <v>227</v>
      </c>
      <c r="CR163" s="0" t="s">
        <v>227</v>
      </c>
      <c r="CS163" s="0" t="s">
        <v>5705</v>
      </c>
      <c r="CT163" s="0" t="s">
        <v>5679</v>
      </c>
      <c r="CU163" s="0" t="s">
        <v>5680</v>
      </c>
      <c r="CV163" s="0" t="s">
        <v>430</v>
      </c>
      <c r="CW163" s="0" t="s">
        <v>5699</v>
      </c>
      <c r="CX163" s="0" t="s">
        <v>431</v>
      </c>
      <c r="CY163" s="0" t="s">
        <v>430</v>
      </c>
      <c r="CZ163" s="0" t="s">
        <v>432</v>
      </c>
      <c r="DA163" s="0" t="s">
        <v>433</v>
      </c>
      <c r="DB163" s="0" t="s">
        <v>5700</v>
      </c>
      <c r="DC163" s="0" t="s">
        <v>373</v>
      </c>
      <c r="DD163" s="0" t="s">
        <v>277</v>
      </c>
      <c r="DE163" s="0" t="s">
        <v>613</v>
      </c>
    </row>
    <row customHeight="1" ht="11.25">
      <c r="A164" s="1806" t="s">
        <v>227</v>
      </c>
      <c r="B164" s="0" t="s">
        <v>227</v>
      </c>
      <c r="C164" s="0" t="s">
        <v>227</v>
      </c>
      <c r="D164" s="0" t="s">
        <v>227</v>
      </c>
      <c r="E164" s="0" t="s">
        <v>227</v>
      </c>
      <c r="F164" s="0" t="s">
        <v>227</v>
      </c>
      <c r="G164" s="0" t="s">
        <v>227</v>
      </c>
      <c r="H164" s="0" t="s">
        <v>227</v>
      </c>
      <c r="I164" s="0" t="s">
        <v>5667</v>
      </c>
      <c r="J164" s="0" t="s">
        <v>227</v>
      </c>
      <c r="K164" s="0" t="s">
        <v>227</v>
      </c>
      <c r="L164" s="0" t="s">
        <v>227</v>
      </c>
      <c r="M164" s="0" t="s">
        <v>227</v>
      </c>
      <c r="N164" s="0" t="s">
        <v>227</v>
      </c>
      <c r="O164" s="0" t="s">
        <v>227</v>
      </c>
      <c r="P164" s="0" t="s">
        <v>227</v>
      </c>
      <c r="Q164" s="0" t="s">
        <v>227</v>
      </c>
      <c r="R164" s="0" t="s">
        <v>594</v>
      </c>
      <c r="S164" s="0" t="s">
        <v>227</v>
      </c>
      <c r="T164" s="0" t="s">
        <v>227</v>
      </c>
      <c r="U164" s="0" t="s">
        <v>102</v>
      </c>
      <c r="V164" s="0" t="s">
        <v>227</v>
      </c>
      <c r="W164" s="0" t="s">
        <v>227</v>
      </c>
      <c r="X164" s="0" t="s">
        <v>5683</v>
      </c>
      <c r="Y164" s="0" t="s">
        <v>227</v>
      </c>
      <c r="Z164" s="0" t="s">
        <v>152</v>
      </c>
      <c r="AA164" s="0" t="s">
        <v>152</v>
      </c>
      <c r="AB164" s="0" t="s">
        <v>161</v>
      </c>
      <c r="AC164" s="0" t="s">
        <v>354</v>
      </c>
      <c r="AD164" s="0" t="s">
        <v>354</v>
      </c>
      <c r="AE164" s="0" t="s">
        <v>355</v>
      </c>
      <c r="AF164" s="0" t="s">
        <v>5684</v>
      </c>
      <c r="AG164" s="0" t="s">
        <v>5685</v>
      </c>
      <c r="AH164" s="0" t="s">
        <v>5809</v>
      </c>
      <c r="AI164" s="0" t="s">
        <v>6135</v>
      </c>
      <c r="AJ164" s="0" t="s">
        <v>227</v>
      </c>
      <c r="AK164" s="0" t="s">
        <v>227</v>
      </c>
      <c r="AL164" s="0" t="s">
        <v>227</v>
      </c>
      <c r="AM164" s="0" t="s">
        <v>227</v>
      </c>
      <c r="AN164" s="0" t="s">
        <v>227</v>
      </c>
      <c r="AO164" s="0" t="s">
        <v>227</v>
      </c>
      <c r="AP164" s="0" t="s">
        <v>227</v>
      </c>
      <c r="AQ164" s="0" t="s">
        <v>227</v>
      </c>
      <c r="AR164" s="0" t="s">
        <v>227</v>
      </c>
      <c r="AS164" s="0" t="s">
        <v>227</v>
      </c>
      <c r="AT164" s="0" t="s">
        <v>227</v>
      </c>
      <c r="AU164" s="0" t="s">
        <v>227</v>
      </c>
      <c r="AV164" s="0" t="s">
        <v>227</v>
      </c>
      <c r="AW164" s="0" t="s">
        <v>227</v>
      </c>
      <c r="AX164" s="0" t="s">
        <v>227</v>
      </c>
      <c r="AY164" s="0" t="s">
        <v>227</v>
      </c>
      <c r="AZ164" s="0" t="s">
        <v>227</v>
      </c>
      <c r="BA164" s="0" t="s">
        <v>227</v>
      </c>
      <c r="BB164" s="0" t="s">
        <v>227</v>
      </c>
      <c r="BC164" s="0" t="s">
        <v>227</v>
      </c>
      <c r="BD164" s="0" t="s">
        <v>227</v>
      </c>
      <c r="BE164" s="0" t="s">
        <v>5743</v>
      </c>
      <c r="BF164" s="0" t="s">
        <v>5945</v>
      </c>
      <c r="BG164" s="0" t="s">
        <v>112</v>
      </c>
      <c r="BH164" s="0" t="s">
        <v>5690</v>
      </c>
      <c r="BI164" s="0" t="s">
        <v>5691</v>
      </c>
      <c r="BJ164" s="0" t="s">
        <v>227</v>
      </c>
      <c r="BK164" s="0" t="s">
        <v>5692</v>
      </c>
      <c r="BL164" s="0" t="s">
        <v>354</v>
      </c>
      <c r="BM164" s="0" t="s">
        <v>354</v>
      </c>
      <c r="BN164" s="0" t="s">
        <v>5693</v>
      </c>
      <c r="BO164" s="0" t="s">
        <v>5684</v>
      </c>
      <c r="BP164" s="0" t="s">
        <v>5694</v>
      </c>
      <c r="BQ164" s="0" t="s">
        <v>5692</v>
      </c>
      <c r="BR164" s="0" t="s">
        <v>5692</v>
      </c>
      <c r="BS164" s="0" t="s">
        <v>227</v>
      </c>
      <c r="BT164" s="0" t="s">
        <v>5709</v>
      </c>
      <c r="BU164" s="0" t="s">
        <v>6136</v>
      </c>
      <c r="BV164" s="0" t="s">
        <v>6136</v>
      </c>
      <c r="BW164" s="0" t="s">
        <v>5697</v>
      </c>
      <c r="BX164" s="0" t="s">
        <v>5697</v>
      </c>
      <c r="BY164" s="0" t="s">
        <v>5697</v>
      </c>
      <c r="BZ164" s="0" t="s">
        <v>5697</v>
      </c>
      <c r="CA164" s="0" t="s">
        <v>5697</v>
      </c>
      <c r="CB164" s="0" t="s">
        <v>227</v>
      </c>
      <c r="CC164" s="0" t="s">
        <v>227</v>
      </c>
      <c r="CD164" s="0" t="s">
        <v>227</v>
      </c>
      <c r="CE164" s="0" t="s">
        <v>227</v>
      </c>
      <c r="CF164" s="0" t="s">
        <v>227</v>
      </c>
      <c r="CG164" s="0" t="s">
        <v>5697</v>
      </c>
      <c r="CH164" s="0" t="s">
        <v>227</v>
      </c>
      <c r="CI164" s="0" t="s">
        <v>227</v>
      </c>
      <c r="CJ164" s="0" t="s">
        <v>227</v>
      </c>
      <c r="CK164" s="0" t="s">
        <v>227</v>
      </c>
      <c r="CL164" s="0" t="s">
        <v>227</v>
      </c>
      <c r="CM164" s="0" t="s">
        <v>6136</v>
      </c>
      <c r="CN164" s="0" t="s">
        <v>6136</v>
      </c>
      <c r="CO164" s="0" t="s">
        <v>227</v>
      </c>
      <c r="CP164" s="0" t="s">
        <v>227</v>
      </c>
      <c r="CQ164" s="0" t="s">
        <v>227</v>
      </c>
      <c r="CR164" s="0" t="s">
        <v>227</v>
      </c>
      <c r="CS164" s="0" t="s">
        <v>5733</v>
      </c>
      <c r="CT164" s="0" t="s">
        <v>5679</v>
      </c>
      <c r="CU164" s="0" t="s">
        <v>5680</v>
      </c>
      <c r="CV164" s="0" t="s">
        <v>430</v>
      </c>
      <c r="CW164" s="0" t="s">
        <v>5699</v>
      </c>
      <c r="CX164" s="0" t="s">
        <v>431</v>
      </c>
      <c r="CY164" s="0" t="s">
        <v>430</v>
      </c>
      <c r="CZ164" s="0" t="s">
        <v>432</v>
      </c>
      <c r="DA164" s="0" t="s">
        <v>433</v>
      </c>
      <c r="DB164" s="0" t="s">
        <v>5700</v>
      </c>
      <c r="DC164" s="0" t="s">
        <v>373</v>
      </c>
      <c r="DD164" s="0" t="s">
        <v>277</v>
      </c>
      <c r="DE164" s="0" t="s">
        <v>595</v>
      </c>
    </row>
    <row customHeight="1" ht="11.25">
      <c r="A165" s="1806" t="s">
        <v>227</v>
      </c>
      <c r="B165" s="0" t="s">
        <v>227</v>
      </c>
      <c r="C165" s="0" t="s">
        <v>227</v>
      </c>
      <c r="D165" s="0" t="s">
        <v>227</v>
      </c>
      <c r="E165" s="0" t="s">
        <v>227</v>
      </c>
      <c r="F165" s="0" t="s">
        <v>227</v>
      </c>
      <c r="G165" s="0" t="s">
        <v>227</v>
      </c>
      <c r="H165" s="0" t="s">
        <v>227</v>
      </c>
      <c r="I165" s="0" t="s">
        <v>5667</v>
      </c>
      <c r="J165" s="0" t="s">
        <v>227</v>
      </c>
      <c r="K165" s="0" t="s">
        <v>227</v>
      </c>
      <c r="L165" s="0" t="s">
        <v>227</v>
      </c>
      <c r="M165" s="0" t="s">
        <v>227</v>
      </c>
      <c r="N165" s="0" t="s">
        <v>227</v>
      </c>
      <c r="O165" s="0" t="s">
        <v>227</v>
      </c>
      <c r="P165" s="0" t="s">
        <v>227</v>
      </c>
      <c r="Q165" s="0" t="s">
        <v>227</v>
      </c>
      <c r="R165" s="0" t="s">
        <v>484</v>
      </c>
      <c r="S165" s="0" t="s">
        <v>227</v>
      </c>
      <c r="T165" s="0" t="s">
        <v>227</v>
      </c>
      <c r="U165" s="0" t="s">
        <v>102</v>
      </c>
      <c r="V165" s="0" t="s">
        <v>227</v>
      </c>
      <c r="W165" s="0" t="s">
        <v>227</v>
      </c>
      <c r="X165" s="0" t="s">
        <v>5683</v>
      </c>
      <c r="Y165" s="0" t="s">
        <v>227</v>
      </c>
      <c r="Z165" s="0" t="s">
        <v>152</v>
      </c>
      <c r="AA165" s="0" t="s">
        <v>152</v>
      </c>
      <c r="AB165" s="0" t="s">
        <v>161</v>
      </c>
      <c r="AC165" s="0" t="s">
        <v>354</v>
      </c>
      <c r="AD165" s="0" t="s">
        <v>354</v>
      </c>
      <c r="AE165" s="0" t="s">
        <v>355</v>
      </c>
      <c r="AF165" s="0" t="s">
        <v>5684</v>
      </c>
      <c r="AG165" s="0" t="s">
        <v>5685</v>
      </c>
      <c r="AH165" s="0" t="s">
        <v>6137</v>
      </c>
      <c r="AI165" s="0" t="s">
        <v>6138</v>
      </c>
      <c r="AJ165" s="0" t="s">
        <v>227</v>
      </c>
      <c r="AK165" s="0" t="s">
        <v>227</v>
      </c>
      <c r="AL165" s="0" t="s">
        <v>227</v>
      </c>
      <c r="AM165" s="0" t="s">
        <v>227</v>
      </c>
      <c r="AN165" s="0" t="s">
        <v>227</v>
      </c>
      <c r="AO165" s="0" t="s">
        <v>227</v>
      </c>
      <c r="AP165" s="0" t="s">
        <v>227</v>
      </c>
      <c r="AQ165" s="0" t="s">
        <v>227</v>
      </c>
      <c r="AR165" s="0" t="s">
        <v>227</v>
      </c>
      <c r="AS165" s="0" t="s">
        <v>227</v>
      </c>
      <c r="AT165" s="0" t="s">
        <v>227</v>
      </c>
      <c r="AU165" s="0" t="s">
        <v>227</v>
      </c>
      <c r="AV165" s="0" t="s">
        <v>227</v>
      </c>
      <c r="AW165" s="0" t="s">
        <v>227</v>
      </c>
      <c r="AX165" s="0" t="s">
        <v>227</v>
      </c>
      <c r="AY165" s="0" t="s">
        <v>227</v>
      </c>
      <c r="AZ165" s="0" t="s">
        <v>227</v>
      </c>
      <c r="BA165" s="0" t="s">
        <v>227</v>
      </c>
      <c r="BB165" s="0" t="s">
        <v>227</v>
      </c>
      <c r="BC165" s="0" t="s">
        <v>227</v>
      </c>
      <c r="BD165" s="0" t="s">
        <v>227</v>
      </c>
      <c r="BE165" s="0" t="s">
        <v>5728</v>
      </c>
      <c r="BF165" s="0" t="s">
        <v>5757</v>
      </c>
      <c r="BG165" s="0" t="s">
        <v>112</v>
      </c>
      <c r="BH165" s="0" t="s">
        <v>5690</v>
      </c>
      <c r="BI165" s="0" t="s">
        <v>5691</v>
      </c>
      <c r="BJ165" s="0" t="s">
        <v>227</v>
      </c>
      <c r="BK165" s="0" t="s">
        <v>5692</v>
      </c>
      <c r="BL165" s="0" t="s">
        <v>354</v>
      </c>
      <c r="BM165" s="0" t="s">
        <v>354</v>
      </c>
      <c r="BN165" s="0" t="s">
        <v>5693</v>
      </c>
      <c r="BO165" s="0" t="s">
        <v>5684</v>
      </c>
      <c r="BP165" s="0" t="s">
        <v>5694</v>
      </c>
      <c r="BQ165" s="0" t="s">
        <v>5692</v>
      </c>
      <c r="BR165" s="0" t="s">
        <v>5692</v>
      </c>
      <c r="BS165" s="0" t="s">
        <v>227</v>
      </c>
      <c r="BT165" s="0" t="s">
        <v>5695</v>
      </c>
      <c r="BU165" s="0" t="s">
        <v>5696</v>
      </c>
      <c r="BV165" s="0" t="s">
        <v>5696</v>
      </c>
      <c r="BW165" s="0" t="s">
        <v>5697</v>
      </c>
      <c r="BX165" s="0" t="s">
        <v>5697</v>
      </c>
      <c r="BY165" s="0" t="s">
        <v>5697</v>
      </c>
      <c r="BZ165" s="0" t="s">
        <v>5697</v>
      </c>
      <c r="CA165" s="0" t="s">
        <v>5697</v>
      </c>
      <c r="CB165" s="0" t="s">
        <v>227</v>
      </c>
      <c r="CC165" s="0" t="s">
        <v>227</v>
      </c>
      <c r="CD165" s="0" t="s">
        <v>227</v>
      </c>
      <c r="CE165" s="0" t="s">
        <v>227</v>
      </c>
      <c r="CF165" s="0" t="s">
        <v>227</v>
      </c>
      <c r="CG165" s="0" t="s">
        <v>5697</v>
      </c>
      <c r="CH165" s="0" t="s">
        <v>227</v>
      </c>
      <c r="CI165" s="0" t="s">
        <v>227</v>
      </c>
      <c r="CJ165" s="0" t="s">
        <v>227</v>
      </c>
      <c r="CK165" s="0" t="s">
        <v>227</v>
      </c>
      <c r="CL165" s="0" t="s">
        <v>227</v>
      </c>
      <c r="CM165" s="0" t="s">
        <v>5696</v>
      </c>
      <c r="CN165" s="0" t="s">
        <v>5696</v>
      </c>
      <c r="CO165" s="0" t="s">
        <v>227</v>
      </c>
      <c r="CP165" s="0" t="s">
        <v>227</v>
      </c>
      <c r="CQ165" s="0" t="s">
        <v>227</v>
      </c>
      <c r="CR165" s="0" t="s">
        <v>227</v>
      </c>
      <c r="CS165" s="0" t="s">
        <v>5705</v>
      </c>
      <c r="CT165" s="0" t="s">
        <v>5679</v>
      </c>
      <c r="CU165" s="0" t="s">
        <v>5680</v>
      </c>
      <c r="CV165" s="0" t="s">
        <v>430</v>
      </c>
      <c r="CW165" s="0" t="s">
        <v>5699</v>
      </c>
      <c r="CX165" s="0" t="s">
        <v>431</v>
      </c>
      <c r="CY165" s="0" t="s">
        <v>430</v>
      </c>
      <c r="CZ165" s="0" t="s">
        <v>432</v>
      </c>
      <c r="DA165" s="0" t="s">
        <v>433</v>
      </c>
      <c r="DB165" s="0" t="s">
        <v>5700</v>
      </c>
      <c r="DC165" s="0" t="s">
        <v>373</v>
      </c>
      <c r="DD165" s="0" t="s">
        <v>277</v>
      </c>
      <c r="DE165" s="0" t="s">
        <v>485</v>
      </c>
    </row>
    <row customHeight="1" ht="11.25">
      <c r="A166" s="1806" t="s">
        <v>227</v>
      </c>
      <c r="B166" s="0" t="s">
        <v>227</v>
      </c>
      <c r="C166" s="0" t="s">
        <v>227</v>
      </c>
      <c r="D166" s="0" t="s">
        <v>227</v>
      </c>
      <c r="E166" s="0" t="s">
        <v>227</v>
      </c>
      <c r="F166" s="0" t="s">
        <v>227</v>
      </c>
      <c r="G166" s="0" t="s">
        <v>227</v>
      </c>
      <c r="H166" s="0" t="s">
        <v>227</v>
      </c>
      <c r="I166" s="0" t="s">
        <v>5667</v>
      </c>
      <c r="J166" s="0" t="s">
        <v>227</v>
      </c>
      <c r="K166" s="0" t="s">
        <v>227</v>
      </c>
      <c r="L166" s="0" t="s">
        <v>227</v>
      </c>
      <c r="M166" s="0" t="s">
        <v>227</v>
      </c>
      <c r="N166" s="0" t="s">
        <v>227</v>
      </c>
      <c r="O166" s="0" t="s">
        <v>227</v>
      </c>
      <c r="P166" s="0" t="s">
        <v>227</v>
      </c>
      <c r="Q166" s="0" t="s">
        <v>227</v>
      </c>
      <c r="R166" s="0" t="s">
        <v>624</v>
      </c>
      <c r="S166" s="0" t="s">
        <v>227</v>
      </c>
      <c r="T166" s="0" t="s">
        <v>227</v>
      </c>
      <c r="U166" s="0" t="s">
        <v>102</v>
      </c>
      <c r="V166" s="0" t="s">
        <v>227</v>
      </c>
      <c r="W166" s="0" t="s">
        <v>227</v>
      </c>
      <c r="X166" s="0" t="s">
        <v>5683</v>
      </c>
      <c r="Y166" s="0" t="s">
        <v>227</v>
      </c>
      <c r="Z166" s="0" t="s">
        <v>152</v>
      </c>
      <c r="AA166" s="0" t="s">
        <v>152</v>
      </c>
      <c r="AB166" s="0" t="s">
        <v>161</v>
      </c>
      <c r="AC166" s="0" t="s">
        <v>354</v>
      </c>
      <c r="AD166" s="0" t="s">
        <v>354</v>
      </c>
      <c r="AE166" s="0" t="s">
        <v>355</v>
      </c>
      <c r="AF166" s="0" t="s">
        <v>5684</v>
      </c>
      <c r="AG166" s="0" t="s">
        <v>5685</v>
      </c>
      <c r="AH166" s="0" t="s">
        <v>6139</v>
      </c>
      <c r="AI166" s="0" t="s">
        <v>6140</v>
      </c>
      <c r="AJ166" s="0" t="s">
        <v>227</v>
      </c>
      <c r="AK166" s="0" t="s">
        <v>227</v>
      </c>
      <c r="AL166" s="0" t="s">
        <v>227</v>
      </c>
      <c r="AM166" s="0" t="s">
        <v>227</v>
      </c>
      <c r="AN166" s="0" t="s">
        <v>227</v>
      </c>
      <c r="AO166" s="0" t="s">
        <v>227</v>
      </c>
      <c r="AP166" s="0" t="s">
        <v>227</v>
      </c>
      <c r="AQ166" s="0" t="s">
        <v>227</v>
      </c>
      <c r="AR166" s="0" t="s">
        <v>227</v>
      </c>
      <c r="AS166" s="0" t="s">
        <v>227</v>
      </c>
      <c r="AT166" s="0" t="s">
        <v>227</v>
      </c>
      <c r="AU166" s="0" t="s">
        <v>227</v>
      </c>
      <c r="AV166" s="0" t="s">
        <v>227</v>
      </c>
      <c r="AW166" s="0" t="s">
        <v>227</v>
      </c>
      <c r="AX166" s="0" t="s">
        <v>227</v>
      </c>
      <c r="AY166" s="0" t="s">
        <v>227</v>
      </c>
      <c r="AZ166" s="0" t="s">
        <v>227</v>
      </c>
      <c r="BA166" s="0" t="s">
        <v>227</v>
      </c>
      <c r="BB166" s="0" t="s">
        <v>227</v>
      </c>
      <c r="BC166" s="0" t="s">
        <v>227</v>
      </c>
      <c r="BD166" s="0" t="s">
        <v>227</v>
      </c>
      <c r="BE166" s="0" t="s">
        <v>5688</v>
      </c>
      <c r="BF166" s="0" t="s">
        <v>5914</v>
      </c>
      <c r="BG166" s="0" t="s">
        <v>112</v>
      </c>
      <c r="BH166" s="0" t="s">
        <v>5690</v>
      </c>
      <c r="BI166" s="0" t="s">
        <v>5691</v>
      </c>
      <c r="BJ166" s="0" t="s">
        <v>227</v>
      </c>
      <c r="BK166" s="0" t="s">
        <v>5692</v>
      </c>
      <c r="BL166" s="0" t="s">
        <v>354</v>
      </c>
      <c r="BM166" s="0" t="s">
        <v>354</v>
      </c>
      <c r="BN166" s="0" t="s">
        <v>5693</v>
      </c>
      <c r="BO166" s="0" t="s">
        <v>5684</v>
      </c>
      <c r="BP166" s="0" t="s">
        <v>5694</v>
      </c>
      <c r="BQ166" s="0" t="s">
        <v>5692</v>
      </c>
      <c r="BR166" s="0" t="s">
        <v>5692</v>
      </c>
      <c r="BS166" s="0" t="s">
        <v>227</v>
      </c>
      <c r="BT166" s="0" t="s">
        <v>5695</v>
      </c>
      <c r="BU166" s="0" t="s">
        <v>6141</v>
      </c>
      <c r="BV166" s="0" t="s">
        <v>6141</v>
      </c>
      <c r="BW166" s="0" t="s">
        <v>5697</v>
      </c>
      <c r="BX166" s="0" t="s">
        <v>5697</v>
      </c>
      <c r="BY166" s="0" t="s">
        <v>5697</v>
      </c>
      <c r="BZ166" s="0" t="s">
        <v>5697</v>
      </c>
      <c r="CA166" s="0" t="s">
        <v>5697</v>
      </c>
      <c r="CB166" s="0" t="s">
        <v>227</v>
      </c>
      <c r="CC166" s="0" t="s">
        <v>227</v>
      </c>
      <c r="CD166" s="0" t="s">
        <v>227</v>
      </c>
      <c r="CE166" s="0" t="s">
        <v>227</v>
      </c>
      <c r="CF166" s="0" t="s">
        <v>227</v>
      </c>
      <c r="CG166" s="0" t="s">
        <v>5697</v>
      </c>
      <c r="CH166" s="0" t="s">
        <v>227</v>
      </c>
      <c r="CI166" s="0" t="s">
        <v>227</v>
      </c>
      <c r="CJ166" s="0" t="s">
        <v>227</v>
      </c>
      <c r="CK166" s="0" t="s">
        <v>227</v>
      </c>
      <c r="CL166" s="0" t="s">
        <v>227</v>
      </c>
      <c r="CM166" s="0" t="s">
        <v>6141</v>
      </c>
      <c r="CN166" s="0" t="s">
        <v>6141</v>
      </c>
      <c r="CO166" s="0" t="s">
        <v>227</v>
      </c>
      <c r="CP166" s="0" t="s">
        <v>227</v>
      </c>
      <c r="CQ166" s="0" t="s">
        <v>227</v>
      </c>
      <c r="CR166" s="0" t="s">
        <v>227</v>
      </c>
      <c r="CS166" s="0" t="s">
        <v>5805</v>
      </c>
      <c r="CT166" s="0" t="s">
        <v>5679</v>
      </c>
      <c r="CU166" s="0" t="s">
        <v>5680</v>
      </c>
      <c r="CV166" s="0" t="s">
        <v>430</v>
      </c>
      <c r="CW166" s="0" t="s">
        <v>5699</v>
      </c>
      <c r="CX166" s="0" t="s">
        <v>431</v>
      </c>
      <c r="CY166" s="0" t="s">
        <v>430</v>
      </c>
      <c r="CZ166" s="0" t="s">
        <v>432</v>
      </c>
      <c r="DA166" s="0" t="s">
        <v>433</v>
      </c>
      <c r="DB166" s="0" t="s">
        <v>5700</v>
      </c>
      <c r="DC166" s="0" t="s">
        <v>373</v>
      </c>
      <c r="DD166" s="0" t="s">
        <v>277</v>
      </c>
      <c r="DE166" s="0" t="s">
        <v>625</v>
      </c>
    </row>
    <row customHeight="1" ht="11.25">
      <c r="A167" s="1806" t="s">
        <v>227</v>
      </c>
      <c r="B167" s="0" t="s">
        <v>227</v>
      </c>
      <c r="C167" s="0" t="s">
        <v>227</v>
      </c>
      <c r="D167" s="0" t="s">
        <v>227</v>
      </c>
      <c r="E167" s="0" t="s">
        <v>227</v>
      </c>
      <c r="F167" s="0" t="s">
        <v>227</v>
      </c>
      <c r="G167" s="0" t="s">
        <v>227</v>
      </c>
      <c r="H167" s="0" t="s">
        <v>227</v>
      </c>
      <c r="I167" s="0" t="s">
        <v>5667</v>
      </c>
      <c r="J167" s="0" t="s">
        <v>227</v>
      </c>
      <c r="K167" s="0" t="s">
        <v>227</v>
      </c>
      <c r="L167" s="0" t="s">
        <v>227</v>
      </c>
      <c r="M167" s="0" t="s">
        <v>227</v>
      </c>
      <c r="N167" s="0" t="s">
        <v>227</v>
      </c>
      <c r="O167" s="0" t="s">
        <v>227</v>
      </c>
      <c r="P167" s="0" t="s">
        <v>227</v>
      </c>
      <c r="Q167" s="0" t="s">
        <v>227</v>
      </c>
      <c r="R167" s="0" t="s">
        <v>547</v>
      </c>
      <c r="S167" s="0" t="s">
        <v>227</v>
      </c>
      <c r="T167" s="0" t="s">
        <v>227</v>
      </c>
      <c r="U167" s="0" t="s">
        <v>102</v>
      </c>
      <c r="V167" s="0" t="s">
        <v>227</v>
      </c>
      <c r="W167" s="0" t="s">
        <v>227</v>
      </c>
      <c r="X167" s="0" t="s">
        <v>5683</v>
      </c>
      <c r="Y167" s="0" t="s">
        <v>227</v>
      </c>
      <c r="Z167" s="0" t="s">
        <v>152</v>
      </c>
      <c r="AA167" s="0" t="s">
        <v>152</v>
      </c>
      <c r="AB167" s="0" t="s">
        <v>161</v>
      </c>
      <c r="AC167" s="0" t="s">
        <v>354</v>
      </c>
      <c r="AD167" s="0" t="s">
        <v>354</v>
      </c>
      <c r="AE167" s="0" t="s">
        <v>355</v>
      </c>
      <c r="AF167" s="0" t="s">
        <v>5701</v>
      </c>
      <c r="AG167" s="0" t="s">
        <v>5702</v>
      </c>
      <c r="AH167" s="0" t="s">
        <v>6142</v>
      </c>
      <c r="AI167" s="0" t="s">
        <v>5692</v>
      </c>
      <c r="AJ167" s="0" t="s">
        <v>227</v>
      </c>
      <c r="AK167" s="0" t="s">
        <v>227</v>
      </c>
      <c r="AL167" s="0" t="s">
        <v>227</v>
      </c>
      <c r="AM167" s="0" t="s">
        <v>227</v>
      </c>
      <c r="AN167" s="0" t="s">
        <v>227</v>
      </c>
      <c r="AO167" s="0" t="s">
        <v>227</v>
      </c>
      <c r="AP167" s="0" t="s">
        <v>227</v>
      </c>
      <c r="AQ167" s="0" t="s">
        <v>227</v>
      </c>
      <c r="AR167" s="0" t="s">
        <v>227</v>
      </c>
      <c r="AS167" s="0" t="s">
        <v>227</v>
      </c>
      <c r="AT167" s="0" t="s">
        <v>227</v>
      </c>
      <c r="AU167" s="0" t="s">
        <v>227</v>
      </c>
      <c r="AV167" s="0" t="s">
        <v>227</v>
      </c>
      <c r="AW167" s="0" t="s">
        <v>227</v>
      </c>
      <c r="AX167" s="0" t="s">
        <v>227</v>
      </c>
      <c r="AY167" s="0" t="s">
        <v>227</v>
      </c>
      <c r="AZ167" s="0" t="s">
        <v>227</v>
      </c>
      <c r="BA167" s="0" t="s">
        <v>227</v>
      </c>
      <c r="BB167" s="0" t="s">
        <v>227</v>
      </c>
      <c r="BC167" s="0" t="s">
        <v>227</v>
      </c>
      <c r="BD167" s="0" t="s">
        <v>227</v>
      </c>
      <c r="BE167" s="0" t="s">
        <v>5728</v>
      </c>
      <c r="BF167" s="0" t="s">
        <v>5873</v>
      </c>
      <c r="BG167" s="0" t="s">
        <v>112</v>
      </c>
      <c r="BH167" s="0" t="s">
        <v>5690</v>
      </c>
      <c r="BI167" s="0" t="s">
        <v>5691</v>
      </c>
      <c r="BJ167" s="0" t="s">
        <v>227</v>
      </c>
      <c r="BK167" s="0" t="s">
        <v>952</v>
      </c>
      <c r="BL167" s="0" t="s">
        <v>354</v>
      </c>
      <c r="BM167" s="0" t="s">
        <v>354</v>
      </c>
      <c r="BN167" s="0" t="s">
        <v>5693</v>
      </c>
      <c r="BO167" s="0" t="s">
        <v>5701</v>
      </c>
      <c r="BP167" s="0" t="s">
        <v>5706</v>
      </c>
      <c r="BQ167" s="0" t="s">
        <v>5707</v>
      </c>
      <c r="BR167" s="0" t="s">
        <v>5708</v>
      </c>
      <c r="BS167" s="0" t="s">
        <v>227</v>
      </c>
      <c r="BT167" s="0" t="s">
        <v>5695</v>
      </c>
      <c r="BU167" s="0" t="s">
        <v>5772</v>
      </c>
      <c r="BV167" s="0" t="s">
        <v>5772</v>
      </c>
      <c r="BW167" s="0" t="s">
        <v>5697</v>
      </c>
      <c r="BX167" s="0" t="s">
        <v>5697</v>
      </c>
      <c r="BY167" s="0" t="s">
        <v>5697</v>
      </c>
      <c r="BZ167" s="0" t="s">
        <v>5697</v>
      </c>
      <c r="CA167" s="0" t="s">
        <v>5697</v>
      </c>
      <c r="CB167" s="0" t="s">
        <v>227</v>
      </c>
      <c r="CC167" s="0" t="s">
        <v>227</v>
      </c>
      <c r="CD167" s="0" t="s">
        <v>227</v>
      </c>
      <c r="CE167" s="0" t="s">
        <v>227</v>
      </c>
      <c r="CF167" s="0" t="s">
        <v>227</v>
      </c>
      <c r="CG167" s="0" t="s">
        <v>5697</v>
      </c>
      <c r="CH167" s="0" t="s">
        <v>227</v>
      </c>
      <c r="CI167" s="0" t="s">
        <v>227</v>
      </c>
      <c r="CJ167" s="0" t="s">
        <v>227</v>
      </c>
      <c r="CK167" s="0" t="s">
        <v>227</v>
      </c>
      <c r="CL167" s="0" t="s">
        <v>227</v>
      </c>
      <c r="CM167" s="0" t="s">
        <v>5772</v>
      </c>
      <c r="CN167" s="0" t="s">
        <v>5772</v>
      </c>
      <c r="CO167" s="0" t="s">
        <v>227</v>
      </c>
      <c r="CP167" s="0" t="s">
        <v>227</v>
      </c>
      <c r="CQ167" s="0" t="s">
        <v>227</v>
      </c>
      <c r="CR167" s="0" t="s">
        <v>227</v>
      </c>
      <c r="CS167" s="0" t="s">
        <v>5698</v>
      </c>
      <c r="CT167" s="0" t="s">
        <v>5679</v>
      </c>
      <c r="CU167" s="0" t="s">
        <v>5680</v>
      </c>
      <c r="CV167" s="0" t="s">
        <v>430</v>
      </c>
      <c r="CW167" s="0" t="s">
        <v>5699</v>
      </c>
      <c r="CX167" s="0" t="s">
        <v>431</v>
      </c>
      <c r="CY167" s="0" t="s">
        <v>430</v>
      </c>
      <c r="CZ167" s="0" t="s">
        <v>432</v>
      </c>
      <c r="DA167" s="0" t="s">
        <v>433</v>
      </c>
      <c r="DB167" s="0" t="s">
        <v>5700</v>
      </c>
      <c r="DC167" s="0" t="s">
        <v>373</v>
      </c>
      <c r="DD167" s="0" t="s">
        <v>277</v>
      </c>
      <c r="DE167" s="0" t="s">
        <v>739</v>
      </c>
    </row>
    <row customHeight="1" ht="11.25">
      <c r="A168" s="1806" t="s">
        <v>227</v>
      </c>
      <c r="B168" s="0" t="s">
        <v>227</v>
      </c>
      <c r="C168" s="0" t="s">
        <v>227</v>
      </c>
      <c r="D168" s="0" t="s">
        <v>227</v>
      </c>
      <c r="E168" s="0" t="s">
        <v>227</v>
      </c>
      <c r="F168" s="0" t="s">
        <v>227</v>
      </c>
      <c r="G168" s="0" t="s">
        <v>227</v>
      </c>
      <c r="H168" s="0" t="s">
        <v>227</v>
      </c>
      <c r="I168" s="0" t="s">
        <v>5667</v>
      </c>
      <c r="J168" s="0" t="s">
        <v>227</v>
      </c>
      <c r="K168" s="0" t="s">
        <v>227</v>
      </c>
      <c r="L168" s="0" t="s">
        <v>227</v>
      </c>
      <c r="M168" s="0" t="s">
        <v>227</v>
      </c>
      <c r="N168" s="0" t="s">
        <v>227</v>
      </c>
      <c r="O168" s="0" t="s">
        <v>227</v>
      </c>
      <c r="P168" s="0" t="s">
        <v>227</v>
      </c>
      <c r="Q168" s="0" t="s">
        <v>227</v>
      </c>
      <c r="R168" s="0" t="s">
        <v>730</v>
      </c>
      <c r="S168" s="0" t="s">
        <v>227</v>
      </c>
      <c r="T168" s="0" t="s">
        <v>227</v>
      </c>
      <c r="U168" s="0" t="s">
        <v>102</v>
      </c>
      <c r="V168" s="0" t="s">
        <v>227</v>
      </c>
      <c r="W168" s="0" t="s">
        <v>227</v>
      </c>
      <c r="X168" s="0" t="s">
        <v>5683</v>
      </c>
      <c r="Y168" s="0" t="s">
        <v>227</v>
      </c>
      <c r="Z168" s="0" t="s">
        <v>152</v>
      </c>
      <c r="AA168" s="0" t="s">
        <v>152</v>
      </c>
      <c r="AB168" s="0" t="s">
        <v>161</v>
      </c>
      <c r="AC168" s="0" t="s">
        <v>354</v>
      </c>
      <c r="AD168" s="0" t="s">
        <v>354</v>
      </c>
      <c r="AE168" s="0" t="s">
        <v>355</v>
      </c>
      <c r="AF168" s="0" t="s">
        <v>5701</v>
      </c>
      <c r="AG168" s="0" t="s">
        <v>5702</v>
      </c>
      <c r="AH168" s="0" t="s">
        <v>6143</v>
      </c>
      <c r="AI168" s="0" t="s">
        <v>5692</v>
      </c>
      <c r="AJ168" s="0" t="s">
        <v>227</v>
      </c>
      <c r="AK168" s="0" t="s">
        <v>227</v>
      </c>
      <c r="AL168" s="0" t="s">
        <v>227</v>
      </c>
      <c r="AM168" s="0" t="s">
        <v>227</v>
      </c>
      <c r="AN168" s="0" t="s">
        <v>227</v>
      </c>
      <c r="AO168" s="0" t="s">
        <v>227</v>
      </c>
      <c r="AP168" s="0" t="s">
        <v>227</v>
      </c>
      <c r="AQ168" s="0" t="s">
        <v>227</v>
      </c>
      <c r="AR168" s="0" t="s">
        <v>227</v>
      </c>
      <c r="AS168" s="0" t="s">
        <v>227</v>
      </c>
      <c r="AT168" s="0" t="s">
        <v>227</v>
      </c>
      <c r="AU168" s="0" t="s">
        <v>227</v>
      </c>
      <c r="AV168" s="0" t="s">
        <v>227</v>
      </c>
      <c r="AW168" s="0" t="s">
        <v>227</v>
      </c>
      <c r="AX168" s="0" t="s">
        <v>227</v>
      </c>
      <c r="AY168" s="0" t="s">
        <v>227</v>
      </c>
      <c r="AZ168" s="0" t="s">
        <v>227</v>
      </c>
      <c r="BA168" s="0" t="s">
        <v>227</v>
      </c>
      <c r="BB168" s="0" t="s">
        <v>227</v>
      </c>
      <c r="BC168" s="0" t="s">
        <v>227</v>
      </c>
      <c r="BD168" s="0" t="s">
        <v>227</v>
      </c>
      <c r="BE168" s="0" t="s">
        <v>5728</v>
      </c>
      <c r="BF168" s="0" t="s">
        <v>5728</v>
      </c>
      <c r="BG168" s="0" t="s">
        <v>112</v>
      </c>
      <c r="BH168" s="0" t="s">
        <v>5690</v>
      </c>
      <c r="BI168" s="0" t="s">
        <v>5691</v>
      </c>
      <c r="BJ168" s="0" t="s">
        <v>227</v>
      </c>
      <c r="BK168" s="0" t="s">
        <v>952</v>
      </c>
      <c r="BL168" s="0" t="s">
        <v>354</v>
      </c>
      <c r="BM168" s="0" t="s">
        <v>354</v>
      </c>
      <c r="BN168" s="0" t="s">
        <v>5693</v>
      </c>
      <c r="BO168" s="0" t="s">
        <v>5701</v>
      </c>
      <c r="BP168" s="0" t="s">
        <v>5706</v>
      </c>
      <c r="BQ168" s="0" t="s">
        <v>5707</v>
      </c>
      <c r="BR168" s="0" t="s">
        <v>5708</v>
      </c>
      <c r="BS168" s="0" t="s">
        <v>227</v>
      </c>
      <c r="BT168" s="0" t="s">
        <v>5695</v>
      </c>
      <c r="BU168" s="0" t="s">
        <v>6144</v>
      </c>
      <c r="BV168" s="0" t="s">
        <v>6144</v>
      </c>
      <c r="BW168" s="0" t="s">
        <v>5697</v>
      </c>
      <c r="BX168" s="0" t="s">
        <v>5697</v>
      </c>
      <c r="BY168" s="0" t="s">
        <v>5697</v>
      </c>
      <c r="BZ168" s="0" t="s">
        <v>5697</v>
      </c>
      <c r="CA168" s="0" t="s">
        <v>5697</v>
      </c>
      <c r="CB168" s="0" t="s">
        <v>227</v>
      </c>
      <c r="CC168" s="0" t="s">
        <v>227</v>
      </c>
      <c r="CD168" s="0" t="s">
        <v>227</v>
      </c>
      <c r="CE168" s="0" t="s">
        <v>227</v>
      </c>
      <c r="CF168" s="0" t="s">
        <v>227</v>
      </c>
      <c r="CG168" s="0" t="s">
        <v>5697</v>
      </c>
      <c r="CH168" s="0" t="s">
        <v>227</v>
      </c>
      <c r="CI168" s="0" t="s">
        <v>227</v>
      </c>
      <c r="CJ168" s="0" t="s">
        <v>227</v>
      </c>
      <c r="CK168" s="0" t="s">
        <v>227</v>
      </c>
      <c r="CL168" s="0" t="s">
        <v>227</v>
      </c>
      <c r="CM168" s="0" t="s">
        <v>6144</v>
      </c>
      <c r="CN168" s="0" t="s">
        <v>6144</v>
      </c>
      <c r="CO168" s="0" t="s">
        <v>227</v>
      </c>
      <c r="CP168" s="0" t="s">
        <v>227</v>
      </c>
      <c r="CQ168" s="0" t="s">
        <v>227</v>
      </c>
      <c r="CR168" s="0" t="s">
        <v>227</v>
      </c>
      <c r="CS168" s="0" t="s">
        <v>5698</v>
      </c>
      <c r="CT168" s="0" t="s">
        <v>5679</v>
      </c>
      <c r="CU168" s="0" t="s">
        <v>5680</v>
      </c>
      <c r="CV168" s="0" t="s">
        <v>430</v>
      </c>
      <c r="CW168" s="0" t="s">
        <v>5699</v>
      </c>
      <c r="CX168" s="0" t="s">
        <v>431</v>
      </c>
      <c r="CY168" s="0" t="s">
        <v>430</v>
      </c>
      <c r="CZ168" s="0" t="s">
        <v>432</v>
      </c>
      <c r="DA168" s="0" t="s">
        <v>433</v>
      </c>
      <c r="DB168" s="0" t="s">
        <v>5700</v>
      </c>
      <c r="DC168" s="0" t="s">
        <v>373</v>
      </c>
      <c r="DD168" s="0" t="s">
        <v>277</v>
      </c>
      <c r="DE168" s="0" t="s">
        <v>731</v>
      </c>
    </row>
    <row customHeight="1" ht="11.25">
      <c r="A169" s="1806" t="s">
        <v>227</v>
      </c>
      <c r="B169" s="0" t="s">
        <v>227</v>
      </c>
      <c r="C169" s="0" t="s">
        <v>227</v>
      </c>
      <c r="D169" s="0" t="s">
        <v>227</v>
      </c>
      <c r="E169" s="0" t="s">
        <v>227</v>
      </c>
      <c r="F169" s="0" t="s">
        <v>227</v>
      </c>
      <c r="G169" s="0" t="s">
        <v>227</v>
      </c>
      <c r="H169" s="0" t="s">
        <v>227</v>
      </c>
      <c r="I169" s="0" t="s">
        <v>5667</v>
      </c>
      <c r="J169" s="0" t="s">
        <v>227</v>
      </c>
      <c r="K169" s="0" t="s">
        <v>227</v>
      </c>
      <c r="L169" s="0" t="s">
        <v>227</v>
      </c>
      <c r="M169" s="0" t="s">
        <v>227</v>
      </c>
      <c r="N169" s="0" t="s">
        <v>227</v>
      </c>
      <c r="O169" s="0" t="s">
        <v>227</v>
      </c>
      <c r="P169" s="0" t="s">
        <v>227</v>
      </c>
      <c r="Q169" s="0" t="s">
        <v>227</v>
      </c>
      <c r="R169" s="0" t="s">
        <v>669</v>
      </c>
      <c r="S169" s="0" t="s">
        <v>227</v>
      </c>
      <c r="T169" s="0" t="s">
        <v>227</v>
      </c>
      <c r="U169" s="0" t="s">
        <v>102</v>
      </c>
      <c r="V169" s="0" t="s">
        <v>227</v>
      </c>
      <c r="W169" s="0" t="s">
        <v>227</v>
      </c>
      <c r="X169" s="0" t="s">
        <v>5683</v>
      </c>
      <c r="Y169" s="0" t="s">
        <v>227</v>
      </c>
      <c r="Z169" s="0" t="s">
        <v>152</v>
      </c>
      <c r="AA169" s="0" t="s">
        <v>152</v>
      </c>
      <c r="AB169" s="0" t="s">
        <v>161</v>
      </c>
      <c r="AC169" s="0" t="s">
        <v>354</v>
      </c>
      <c r="AD169" s="0" t="s">
        <v>354</v>
      </c>
      <c r="AE169" s="0" t="s">
        <v>355</v>
      </c>
      <c r="AF169" s="0" t="s">
        <v>5684</v>
      </c>
      <c r="AG169" s="0" t="s">
        <v>5685</v>
      </c>
      <c r="AH169" s="0" t="s">
        <v>6145</v>
      </c>
      <c r="AI169" s="0" t="s">
        <v>5692</v>
      </c>
      <c r="AJ169" s="0" t="s">
        <v>227</v>
      </c>
      <c r="AK169" s="0" t="s">
        <v>227</v>
      </c>
      <c r="AL169" s="0" t="s">
        <v>227</v>
      </c>
      <c r="AM169" s="0" t="s">
        <v>227</v>
      </c>
      <c r="AN169" s="0" t="s">
        <v>227</v>
      </c>
      <c r="AO169" s="0" t="s">
        <v>227</v>
      </c>
      <c r="AP169" s="0" t="s">
        <v>227</v>
      </c>
      <c r="AQ169" s="0" t="s">
        <v>227</v>
      </c>
      <c r="AR169" s="0" t="s">
        <v>227</v>
      </c>
      <c r="AS169" s="0" t="s">
        <v>227</v>
      </c>
      <c r="AT169" s="0" t="s">
        <v>227</v>
      </c>
      <c r="AU169" s="0" t="s">
        <v>227</v>
      </c>
      <c r="AV169" s="0" t="s">
        <v>227</v>
      </c>
      <c r="AW169" s="0" t="s">
        <v>227</v>
      </c>
      <c r="AX169" s="0" t="s">
        <v>227</v>
      </c>
      <c r="AY169" s="0" t="s">
        <v>227</v>
      </c>
      <c r="AZ169" s="0" t="s">
        <v>227</v>
      </c>
      <c r="BA169" s="0" t="s">
        <v>227</v>
      </c>
      <c r="BB169" s="0" t="s">
        <v>227</v>
      </c>
      <c r="BC169" s="0" t="s">
        <v>227</v>
      </c>
      <c r="BD169" s="0" t="s">
        <v>227</v>
      </c>
      <c r="BE169" s="0" t="s">
        <v>5728</v>
      </c>
      <c r="BF169" s="0" t="s">
        <v>5752</v>
      </c>
      <c r="BG169" s="0" t="s">
        <v>112</v>
      </c>
      <c r="BH169" s="0" t="s">
        <v>5690</v>
      </c>
      <c r="BI169" s="0" t="s">
        <v>5691</v>
      </c>
      <c r="BJ169" s="0" t="s">
        <v>227</v>
      </c>
      <c r="BK169" s="0" t="s">
        <v>5692</v>
      </c>
      <c r="BL169" s="0" t="s">
        <v>354</v>
      </c>
      <c r="BM169" s="0" t="s">
        <v>354</v>
      </c>
      <c r="BN169" s="0" t="s">
        <v>5693</v>
      </c>
      <c r="BO169" s="0" t="s">
        <v>5684</v>
      </c>
      <c r="BP169" s="0" t="s">
        <v>5694</v>
      </c>
      <c r="BQ169" s="0" t="s">
        <v>5692</v>
      </c>
      <c r="BR169" s="0" t="s">
        <v>5692</v>
      </c>
      <c r="BS169" s="0" t="s">
        <v>227</v>
      </c>
      <c r="BT169" s="0" t="s">
        <v>5695</v>
      </c>
      <c r="BU169" s="0" t="s">
        <v>5923</v>
      </c>
      <c r="BV169" s="0" t="s">
        <v>5923</v>
      </c>
      <c r="BW169" s="0" t="s">
        <v>5697</v>
      </c>
      <c r="BX169" s="0" t="s">
        <v>5697</v>
      </c>
      <c r="BY169" s="0" t="s">
        <v>5697</v>
      </c>
      <c r="BZ169" s="0" t="s">
        <v>5697</v>
      </c>
      <c r="CA169" s="0" t="s">
        <v>5697</v>
      </c>
      <c r="CB169" s="0" t="s">
        <v>227</v>
      </c>
      <c r="CC169" s="0" t="s">
        <v>227</v>
      </c>
      <c r="CD169" s="0" t="s">
        <v>227</v>
      </c>
      <c r="CE169" s="0" t="s">
        <v>227</v>
      </c>
      <c r="CF169" s="0" t="s">
        <v>227</v>
      </c>
      <c r="CG169" s="0" t="s">
        <v>5697</v>
      </c>
      <c r="CH169" s="0" t="s">
        <v>227</v>
      </c>
      <c r="CI169" s="0" t="s">
        <v>227</v>
      </c>
      <c r="CJ169" s="0" t="s">
        <v>227</v>
      </c>
      <c r="CK169" s="0" t="s">
        <v>227</v>
      </c>
      <c r="CL169" s="0" t="s">
        <v>227</v>
      </c>
      <c r="CM169" s="0" t="s">
        <v>5923</v>
      </c>
      <c r="CN169" s="0" t="s">
        <v>5923</v>
      </c>
      <c r="CO169" s="0" t="s">
        <v>227</v>
      </c>
      <c r="CP169" s="0" t="s">
        <v>227</v>
      </c>
      <c r="CQ169" s="0" t="s">
        <v>227</v>
      </c>
      <c r="CR169" s="0" t="s">
        <v>227</v>
      </c>
      <c r="CS169" s="0" t="s">
        <v>5698</v>
      </c>
      <c r="CT169" s="0" t="s">
        <v>5679</v>
      </c>
      <c r="CU169" s="0" t="s">
        <v>5680</v>
      </c>
      <c r="CV169" s="0" t="s">
        <v>430</v>
      </c>
      <c r="CW169" s="0" t="s">
        <v>5699</v>
      </c>
      <c r="CX169" s="0" t="s">
        <v>431</v>
      </c>
      <c r="CY169" s="0" t="s">
        <v>430</v>
      </c>
      <c r="CZ169" s="0" t="s">
        <v>432</v>
      </c>
      <c r="DA169" s="0" t="s">
        <v>433</v>
      </c>
      <c r="DB169" s="0" t="s">
        <v>5700</v>
      </c>
      <c r="DC169" s="0" t="s">
        <v>373</v>
      </c>
      <c r="DD169" s="0" t="s">
        <v>277</v>
      </c>
      <c r="DE169" s="0" t="s">
        <v>670</v>
      </c>
    </row>
    <row customHeight="1" ht="11.25">
      <c r="A170" s="1806" t="s">
        <v>227</v>
      </c>
      <c r="B170" s="0" t="s">
        <v>227</v>
      </c>
      <c r="C170" s="0" t="s">
        <v>227</v>
      </c>
      <c r="D170" s="0" t="s">
        <v>227</v>
      </c>
      <c r="E170" s="0" t="s">
        <v>227</v>
      </c>
      <c r="F170" s="0" t="s">
        <v>227</v>
      </c>
      <c r="G170" s="0" t="s">
        <v>227</v>
      </c>
      <c r="H170" s="0" t="s">
        <v>227</v>
      </c>
      <c r="I170" s="0" t="s">
        <v>5667</v>
      </c>
      <c r="J170" s="0" t="s">
        <v>227</v>
      </c>
      <c r="K170" s="0" t="s">
        <v>227</v>
      </c>
      <c r="L170" s="0" t="s">
        <v>227</v>
      </c>
      <c r="M170" s="0" t="s">
        <v>227</v>
      </c>
      <c r="N170" s="0" t="s">
        <v>227</v>
      </c>
      <c r="O170" s="0" t="s">
        <v>227</v>
      </c>
      <c r="P170" s="0" t="s">
        <v>227</v>
      </c>
      <c r="Q170" s="0" t="s">
        <v>227</v>
      </c>
      <c r="R170" s="0" t="s">
        <v>711</v>
      </c>
      <c r="S170" s="0" t="s">
        <v>227</v>
      </c>
      <c r="T170" s="0" t="s">
        <v>227</v>
      </c>
      <c r="U170" s="0" t="s">
        <v>102</v>
      </c>
      <c r="V170" s="0" t="s">
        <v>227</v>
      </c>
      <c r="W170" s="0" t="s">
        <v>227</v>
      </c>
      <c r="X170" s="0" t="s">
        <v>5683</v>
      </c>
      <c r="Y170" s="0" t="s">
        <v>227</v>
      </c>
      <c r="Z170" s="0" t="s">
        <v>152</v>
      </c>
      <c r="AA170" s="0" t="s">
        <v>152</v>
      </c>
      <c r="AB170" s="0" t="s">
        <v>161</v>
      </c>
      <c r="AC170" s="0" t="s">
        <v>354</v>
      </c>
      <c r="AD170" s="0" t="s">
        <v>354</v>
      </c>
      <c r="AE170" s="0" t="s">
        <v>355</v>
      </c>
      <c r="AF170" s="0" t="s">
        <v>5684</v>
      </c>
      <c r="AG170" s="0" t="s">
        <v>5685</v>
      </c>
      <c r="AH170" s="0" t="s">
        <v>6146</v>
      </c>
      <c r="AI170" s="0" t="s">
        <v>5692</v>
      </c>
      <c r="AJ170" s="0" t="s">
        <v>227</v>
      </c>
      <c r="AK170" s="0" t="s">
        <v>227</v>
      </c>
      <c r="AL170" s="0" t="s">
        <v>227</v>
      </c>
      <c r="AM170" s="0" t="s">
        <v>227</v>
      </c>
      <c r="AN170" s="0" t="s">
        <v>227</v>
      </c>
      <c r="AO170" s="0" t="s">
        <v>227</v>
      </c>
      <c r="AP170" s="0" t="s">
        <v>227</v>
      </c>
      <c r="AQ170" s="0" t="s">
        <v>227</v>
      </c>
      <c r="AR170" s="0" t="s">
        <v>227</v>
      </c>
      <c r="AS170" s="0" t="s">
        <v>227</v>
      </c>
      <c r="AT170" s="0" t="s">
        <v>227</v>
      </c>
      <c r="AU170" s="0" t="s">
        <v>227</v>
      </c>
      <c r="AV170" s="0" t="s">
        <v>227</v>
      </c>
      <c r="AW170" s="0" t="s">
        <v>227</v>
      </c>
      <c r="AX170" s="0" t="s">
        <v>227</v>
      </c>
      <c r="AY170" s="0" t="s">
        <v>227</v>
      </c>
      <c r="AZ170" s="0" t="s">
        <v>227</v>
      </c>
      <c r="BA170" s="0" t="s">
        <v>227</v>
      </c>
      <c r="BB170" s="0" t="s">
        <v>227</v>
      </c>
      <c r="BC170" s="0" t="s">
        <v>227</v>
      </c>
      <c r="BD170" s="0" t="s">
        <v>227</v>
      </c>
      <c r="BE170" s="0" t="s">
        <v>5728</v>
      </c>
      <c r="BF170" s="0" t="s">
        <v>5752</v>
      </c>
      <c r="BG170" s="0" t="s">
        <v>112</v>
      </c>
      <c r="BH170" s="0" t="s">
        <v>5690</v>
      </c>
      <c r="BI170" s="0" t="s">
        <v>5691</v>
      </c>
      <c r="BJ170" s="0" t="s">
        <v>227</v>
      </c>
      <c r="BK170" s="0" t="s">
        <v>5692</v>
      </c>
      <c r="BL170" s="0" t="s">
        <v>354</v>
      </c>
      <c r="BM170" s="0" t="s">
        <v>354</v>
      </c>
      <c r="BN170" s="0" t="s">
        <v>5693</v>
      </c>
      <c r="BO170" s="0" t="s">
        <v>5684</v>
      </c>
      <c r="BP170" s="0" t="s">
        <v>5694</v>
      </c>
      <c r="BQ170" s="0" t="s">
        <v>5692</v>
      </c>
      <c r="BR170" s="0" t="s">
        <v>5692</v>
      </c>
      <c r="BS170" s="0" t="s">
        <v>227</v>
      </c>
      <c r="BT170" s="0" t="s">
        <v>5695</v>
      </c>
      <c r="BU170" s="0" t="s">
        <v>6147</v>
      </c>
      <c r="BV170" s="0" t="s">
        <v>6147</v>
      </c>
      <c r="BW170" s="0" t="s">
        <v>5697</v>
      </c>
      <c r="BX170" s="0" t="s">
        <v>5697</v>
      </c>
      <c r="BY170" s="0" t="s">
        <v>5697</v>
      </c>
      <c r="BZ170" s="0" t="s">
        <v>5697</v>
      </c>
      <c r="CA170" s="0" t="s">
        <v>5697</v>
      </c>
      <c r="CB170" s="0" t="s">
        <v>227</v>
      </c>
      <c r="CC170" s="0" t="s">
        <v>227</v>
      </c>
      <c r="CD170" s="0" t="s">
        <v>227</v>
      </c>
      <c r="CE170" s="0" t="s">
        <v>227</v>
      </c>
      <c r="CF170" s="0" t="s">
        <v>227</v>
      </c>
      <c r="CG170" s="0" t="s">
        <v>5697</v>
      </c>
      <c r="CH170" s="0" t="s">
        <v>227</v>
      </c>
      <c r="CI170" s="0" t="s">
        <v>227</v>
      </c>
      <c r="CJ170" s="0" t="s">
        <v>227</v>
      </c>
      <c r="CK170" s="0" t="s">
        <v>227</v>
      </c>
      <c r="CL170" s="0" t="s">
        <v>227</v>
      </c>
      <c r="CM170" s="0" t="s">
        <v>6147</v>
      </c>
      <c r="CN170" s="0" t="s">
        <v>6147</v>
      </c>
      <c r="CO170" s="0" t="s">
        <v>227</v>
      </c>
      <c r="CP170" s="0" t="s">
        <v>227</v>
      </c>
      <c r="CQ170" s="0" t="s">
        <v>227</v>
      </c>
      <c r="CR170" s="0" t="s">
        <v>227</v>
      </c>
      <c r="CS170" s="0" t="s">
        <v>5698</v>
      </c>
      <c r="CT170" s="0" t="s">
        <v>5679</v>
      </c>
      <c r="CU170" s="0" t="s">
        <v>5680</v>
      </c>
      <c r="CV170" s="0" t="s">
        <v>430</v>
      </c>
      <c r="CW170" s="0" t="s">
        <v>5699</v>
      </c>
      <c r="CX170" s="0" t="s">
        <v>431</v>
      </c>
      <c r="CY170" s="0" t="s">
        <v>430</v>
      </c>
      <c r="CZ170" s="0" t="s">
        <v>432</v>
      </c>
      <c r="DA170" s="0" t="s">
        <v>433</v>
      </c>
      <c r="DB170" s="0" t="s">
        <v>5700</v>
      </c>
      <c r="DC170" s="0" t="s">
        <v>373</v>
      </c>
      <c r="DD170" s="0" t="s">
        <v>277</v>
      </c>
      <c r="DE170" s="0" t="s">
        <v>712</v>
      </c>
    </row>
    <row customHeight="1" ht="11.25">
      <c r="A171" s="1806" t="s">
        <v>227</v>
      </c>
      <c r="B171" s="0" t="s">
        <v>227</v>
      </c>
      <c r="C171" s="0" t="s">
        <v>227</v>
      </c>
      <c r="D171" s="0" t="s">
        <v>227</v>
      </c>
      <c r="E171" s="0" t="s">
        <v>227</v>
      </c>
      <c r="F171" s="0" t="s">
        <v>227</v>
      </c>
      <c r="G171" s="0" t="s">
        <v>227</v>
      </c>
      <c r="H171" s="0" t="s">
        <v>227</v>
      </c>
      <c r="I171" s="0" t="s">
        <v>5667</v>
      </c>
      <c r="J171" s="0" t="s">
        <v>227</v>
      </c>
      <c r="K171" s="0" t="s">
        <v>227</v>
      </c>
      <c r="L171" s="0" t="s">
        <v>227</v>
      </c>
      <c r="M171" s="0" t="s">
        <v>227</v>
      </c>
      <c r="N171" s="0" t="s">
        <v>227</v>
      </c>
      <c r="O171" s="0" t="s">
        <v>227</v>
      </c>
      <c r="P171" s="0" t="s">
        <v>227</v>
      </c>
      <c r="Q171" s="0" t="s">
        <v>227</v>
      </c>
      <c r="R171" s="0" t="s">
        <v>907</v>
      </c>
      <c r="S171" s="0" t="s">
        <v>227</v>
      </c>
      <c r="T171" s="0" t="s">
        <v>227</v>
      </c>
      <c r="U171" s="0" t="s">
        <v>102</v>
      </c>
      <c r="V171" s="0" t="s">
        <v>227</v>
      </c>
      <c r="W171" s="0" t="s">
        <v>227</v>
      </c>
      <c r="X171" s="0" t="s">
        <v>5683</v>
      </c>
      <c r="Y171" s="0" t="s">
        <v>227</v>
      </c>
      <c r="Z171" s="0" t="s">
        <v>152</v>
      </c>
      <c r="AA171" s="0" t="s">
        <v>152</v>
      </c>
      <c r="AB171" s="0" t="s">
        <v>161</v>
      </c>
      <c r="AC171" s="0" t="s">
        <v>354</v>
      </c>
      <c r="AD171" s="0" t="s">
        <v>354</v>
      </c>
      <c r="AE171" s="0" t="s">
        <v>355</v>
      </c>
      <c r="AF171" s="0" t="s">
        <v>5701</v>
      </c>
      <c r="AG171" s="0" t="s">
        <v>5702</v>
      </c>
      <c r="AH171" s="0" t="s">
        <v>6148</v>
      </c>
      <c r="AI171" s="0" t="s">
        <v>6149</v>
      </c>
      <c r="AJ171" s="0" t="s">
        <v>227</v>
      </c>
      <c r="AK171" s="0" t="s">
        <v>227</v>
      </c>
      <c r="AL171" s="0" t="s">
        <v>227</v>
      </c>
      <c r="AM171" s="0" t="s">
        <v>227</v>
      </c>
      <c r="AN171" s="0" t="s">
        <v>227</v>
      </c>
      <c r="AO171" s="0" t="s">
        <v>227</v>
      </c>
      <c r="AP171" s="0" t="s">
        <v>227</v>
      </c>
      <c r="AQ171" s="0" t="s">
        <v>227</v>
      </c>
      <c r="AR171" s="0" t="s">
        <v>227</v>
      </c>
      <c r="AS171" s="0" t="s">
        <v>227</v>
      </c>
      <c r="AT171" s="0" t="s">
        <v>227</v>
      </c>
      <c r="AU171" s="0" t="s">
        <v>227</v>
      </c>
      <c r="AV171" s="0" t="s">
        <v>227</v>
      </c>
      <c r="AW171" s="0" t="s">
        <v>227</v>
      </c>
      <c r="AX171" s="0" t="s">
        <v>227</v>
      </c>
      <c r="AY171" s="0" t="s">
        <v>227</v>
      </c>
      <c r="AZ171" s="0" t="s">
        <v>227</v>
      </c>
      <c r="BA171" s="0" t="s">
        <v>227</v>
      </c>
      <c r="BB171" s="0" t="s">
        <v>227</v>
      </c>
      <c r="BC171" s="0" t="s">
        <v>227</v>
      </c>
      <c r="BD171" s="0" t="s">
        <v>227</v>
      </c>
      <c r="BE171" s="0" t="s">
        <v>5716</v>
      </c>
      <c r="BF171" s="0" t="s">
        <v>6150</v>
      </c>
      <c r="BG171" s="0" t="s">
        <v>112</v>
      </c>
      <c r="BH171" s="0" t="s">
        <v>5690</v>
      </c>
      <c r="BI171" s="0" t="s">
        <v>5691</v>
      </c>
      <c r="BJ171" s="0" t="s">
        <v>227</v>
      </c>
      <c r="BK171" s="0" t="s">
        <v>952</v>
      </c>
      <c r="BL171" s="0" t="s">
        <v>354</v>
      </c>
      <c r="BM171" s="0" t="s">
        <v>354</v>
      </c>
      <c r="BN171" s="0" t="s">
        <v>5693</v>
      </c>
      <c r="BO171" s="0" t="s">
        <v>5701</v>
      </c>
      <c r="BP171" s="0" t="s">
        <v>5706</v>
      </c>
      <c r="BQ171" s="0" t="s">
        <v>5707</v>
      </c>
      <c r="BR171" s="0" t="s">
        <v>5708</v>
      </c>
      <c r="BS171" s="0" t="s">
        <v>227</v>
      </c>
      <c r="BT171" s="0" t="s">
        <v>5695</v>
      </c>
      <c r="BU171" s="0" t="s">
        <v>5850</v>
      </c>
      <c r="BV171" s="0" t="s">
        <v>5850</v>
      </c>
      <c r="BW171" s="0" t="s">
        <v>5697</v>
      </c>
      <c r="BX171" s="0" t="s">
        <v>5697</v>
      </c>
      <c r="BY171" s="0" t="s">
        <v>5697</v>
      </c>
      <c r="BZ171" s="0" t="s">
        <v>5697</v>
      </c>
      <c r="CA171" s="0" t="s">
        <v>5697</v>
      </c>
      <c r="CB171" s="0" t="s">
        <v>227</v>
      </c>
      <c r="CC171" s="0" t="s">
        <v>227</v>
      </c>
      <c r="CD171" s="0" t="s">
        <v>227</v>
      </c>
      <c r="CE171" s="0" t="s">
        <v>227</v>
      </c>
      <c r="CF171" s="0" t="s">
        <v>227</v>
      </c>
      <c r="CG171" s="0" t="s">
        <v>5697</v>
      </c>
      <c r="CH171" s="0" t="s">
        <v>227</v>
      </c>
      <c r="CI171" s="0" t="s">
        <v>227</v>
      </c>
      <c r="CJ171" s="0" t="s">
        <v>227</v>
      </c>
      <c r="CK171" s="0" t="s">
        <v>227</v>
      </c>
      <c r="CL171" s="0" t="s">
        <v>227</v>
      </c>
      <c r="CM171" s="0" t="s">
        <v>5850</v>
      </c>
      <c r="CN171" s="0" t="s">
        <v>5850</v>
      </c>
      <c r="CO171" s="0" t="s">
        <v>227</v>
      </c>
      <c r="CP171" s="0" t="s">
        <v>227</v>
      </c>
      <c r="CQ171" s="0" t="s">
        <v>227</v>
      </c>
      <c r="CR171" s="0" t="s">
        <v>227</v>
      </c>
      <c r="CS171" s="0" t="s">
        <v>5733</v>
      </c>
      <c r="CT171" s="0" t="s">
        <v>5679</v>
      </c>
      <c r="CU171" s="0" t="s">
        <v>5680</v>
      </c>
      <c r="CV171" s="0" t="s">
        <v>430</v>
      </c>
      <c r="CW171" s="0" t="s">
        <v>5699</v>
      </c>
      <c r="CX171" s="0" t="s">
        <v>431</v>
      </c>
      <c r="CY171" s="0" t="s">
        <v>430</v>
      </c>
      <c r="CZ171" s="0" t="s">
        <v>432</v>
      </c>
      <c r="DA171" s="0" t="s">
        <v>433</v>
      </c>
      <c r="DB171" s="0" t="s">
        <v>5700</v>
      </c>
      <c r="DC171" s="0" t="s">
        <v>373</v>
      </c>
      <c r="DD171" s="0" t="s">
        <v>277</v>
      </c>
      <c r="DE171" s="0" t="s">
        <v>908</v>
      </c>
    </row>
    <row customHeight="1" ht="11.25">
      <c r="A172" s="1806" t="s">
        <v>227</v>
      </c>
      <c r="B172" s="0" t="s">
        <v>227</v>
      </c>
      <c r="C172" s="0" t="s">
        <v>227</v>
      </c>
      <c r="D172" s="0" t="s">
        <v>227</v>
      </c>
      <c r="E172" s="0" t="s">
        <v>227</v>
      </c>
      <c r="F172" s="0" t="s">
        <v>227</v>
      </c>
      <c r="G172" s="0" t="s">
        <v>227</v>
      </c>
      <c r="H172" s="0" t="s">
        <v>227</v>
      </c>
      <c r="I172" s="0" t="s">
        <v>5667</v>
      </c>
      <c r="J172" s="0" t="s">
        <v>227</v>
      </c>
      <c r="K172" s="0" t="s">
        <v>227</v>
      </c>
      <c r="L172" s="0" t="s">
        <v>227</v>
      </c>
      <c r="M172" s="0" t="s">
        <v>227</v>
      </c>
      <c r="N172" s="0" t="s">
        <v>227</v>
      </c>
      <c r="O172" s="0" t="s">
        <v>227</v>
      </c>
      <c r="P172" s="0" t="s">
        <v>227</v>
      </c>
      <c r="Q172" s="0" t="s">
        <v>227</v>
      </c>
      <c r="R172" s="0" t="s">
        <v>856</v>
      </c>
      <c r="S172" s="0" t="s">
        <v>227</v>
      </c>
      <c r="T172" s="0" t="s">
        <v>227</v>
      </c>
      <c r="U172" s="0" t="s">
        <v>102</v>
      </c>
      <c r="V172" s="0" t="s">
        <v>227</v>
      </c>
      <c r="W172" s="0" t="s">
        <v>227</v>
      </c>
      <c r="X172" s="0" t="s">
        <v>5683</v>
      </c>
      <c r="Y172" s="0" t="s">
        <v>227</v>
      </c>
      <c r="Z172" s="0" t="s">
        <v>152</v>
      </c>
      <c r="AA172" s="0" t="s">
        <v>152</v>
      </c>
      <c r="AB172" s="0" t="s">
        <v>161</v>
      </c>
      <c r="AC172" s="0" t="s">
        <v>354</v>
      </c>
      <c r="AD172" s="0" t="s">
        <v>354</v>
      </c>
      <c r="AE172" s="0" t="s">
        <v>355</v>
      </c>
      <c r="AF172" s="0" t="s">
        <v>5701</v>
      </c>
      <c r="AG172" s="0" t="s">
        <v>5702</v>
      </c>
      <c r="AH172" s="0" t="s">
        <v>6151</v>
      </c>
      <c r="AI172" s="0" t="s">
        <v>6152</v>
      </c>
      <c r="AJ172" s="0" t="s">
        <v>227</v>
      </c>
      <c r="AK172" s="0" t="s">
        <v>227</v>
      </c>
      <c r="AL172" s="0" t="s">
        <v>227</v>
      </c>
      <c r="AM172" s="0" t="s">
        <v>227</v>
      </c>
      <c r="AN172" s="0" t="s">
        <v>227</v>
      </c>
      <c r="AO172" s="0" t="s">
        <v>227</v>
      </c>
      <c r="AP172" s="0" t="s">
        <v>227</v>
      </c>
      <c r="AQ172" s="0" t="s">
        <v>227</v>
      </c>
      <c r="AR172" s="0" t="s">
        <v>227</v>
      </c>
      <c r="AS172" s="0" t="s">
        <v>227</v>
      </c>
      <c r="AT172" s="0" t="s">
        <v>227</v>
      </c>
      <c r="AU172" s="0" t="s">
        <v>227</v>
      </c>
      <c r="AV172" s="0" t="s">
        <v>227</v>
      </c>
      <c r="AW172" s="0" t="s">
        <v>227</v>
      </c>
      <c r="AX172" s="0" t="s">
        <v>227</v>
      </c>
      <c r="AY172" s="0" t="s">
        <v>227</v>
      </c>
      <c r="AZ172" s="0" t="s">
        <v>227</v>
      </c>
      <c r="BA172" s="0" t="s">
        <v>227</v>
      </c>
      <c r="BB172" s="0" t="s">
        <v>227</v>
      </c>
      <c r="BC172" s="0" t="s">
        <v>227</v>
      </c>
      <c r="BD172" s="0" t="s">
        <v>227</v>
      </c>
      <c r="BE172" s="0" t="s">
        <v>5688</v>
      </c>
      <c r="BF172" s="0" t="s">
        <v>5768</v>
      </c>
      <c r="BG172" s="0" t="s">
        <v>112</v>
      </c>
      <c r="BH172" s="0" t="s">
        <v>5690</v>
      </c>
      <c r="BI172" s="0" t="s">
        <v>5691</v>
      </c>
      <c r="BJ172" s="0" t="s">
        <v>227</v>
      </c>
      <c r="BK172" s="0" t="s">
        <v>952</v>
      </c>
      <c r="BL172" s="0" t="s">
        <v>354</v>
      </c>
      <c r="BM172" s="0" t="s">
        <v>354</v>
      </c>
      <c r="BN172" s="0" t="s">
        <v>5693</v>
      </c>
      <c r="BO172" s="0" t="s">
        <v>5701</v>
      </c>
      <c r="BP172" s="0" t="s">
        <v>5706</v>
      </c>
      <c r="BQ172" s="0" t="s">
        <v>5707</v>
      </c>
      <c r="BR172" s="0" t="s">
        <v>5708</v>
      </c>
      <c r="BS172" s="0" t="s">
        <v>227</v>
      </c>
      <c r="BT172" s="0" t="s">
        <v>5695</v>
      </c>
      <c r="BU172" s="0" t="s">
        <v>6153</v>
      </c>
      <c r="BV172" s="0" t="s">
        <v>6153</v>
      </c>
      <c r="BW172" s="0" t="s">
        <v>5697</v>
      </c>
      <c r="BX172" s="0" t="s">
        <v>5697</v>
      </c>
      <c r="BY172" s="0" t="s">
        <v>5697</v>
      </c>
      <c r="BZ172" s="0" t="s">
        <v>5697</v>
      </c>
      <c r="CA172" s="0" t="s">
        <v>5697</v>
      </c>
      <c r="CB172" s="0" t="s">
        <v>227</v>
      </c>
      <c r="CC172" s="0" t="s">
        <v>227</v>
      </c>
      <c r="CD172" s="0" t="s">
        <v>227</v>
      </c>
      <c r="CE172" s="0" t="s">
        <v>227</v>
      </c>
      <c r="CF172" s="0" t="s">
        <v>227</v>
      </c>
      <c r="CG172" s="0" t="s">
        <v>5697</v>
      </c>
      <c r="CH172" s="0" t="s">
        <v>227</v>
      </c>
      <c r="CI172" s="0" t="s">
        <v>227</v>
      </c>
      <c r="CJ172" s="0" t="s">
        <v>227</v>
      </c>
      <c r="CK172" s="0" t="s">
        <v>227</v>
      </c>
      <c r="CL172" s="0" t="s">
        <v>227</v>
      </c>
      <c r="CM172" s="0" t="s">
        <v>6153</v>
      </c>
      <c r="CN172" s="0" t="s">
        <v>6153</v>
      </c>
      <c r="CO172" s="0" t="s">
        <v>227</v>
      </c>
      <c r="CP172" s="0" t="s">
        <v>227</v>
      </c>
      <c r="CQ172" s="0" t="s">
        <v>227</v>
      </c>
      <c r="CR172" s="0" t="s">
        <v>227</v>
      </c>
      <c r="CS172" s="0" t="s">
        <v>5773</v>
      </c>
      <c r="CT172" s="0" t="s">
        <v>5679</v>
      </c>
      <c r="CU172" s="0" t="s">
        <v>5680</v>
      </c>
      <c r="CV172" s="0" t="s">
        <v>430</v>
      </c>
      <c r="CW172" s="0" t="s">
        <v>5699</v>
      </c>
      <c r="CX172" s="0" t="s">
        <v>431</v>
      </c>
      <c r="CY172" s="0" t="s">
        <v>430</v>
      </c>
      <c r="CZ172" s="0" t="s">
        <v>432</v>
      </c>
      <c r="DA172" s="0" t="s">
        <v>433</v>
      </c>
      <c r="DB172" s="0" t="s">
        <v>5700</v>
      </c>
      <c r="DC172" s="0" t="s">
        <v>373</v>
      </c>
      <c r="DD172" s="0" t="s">
        <v>277</v>
      </c>
      <c r="DE172" s="0" t="s">
        <v>857</v>
      </c>
    </row>
    <row customHeight="1" ht="11.25">
      <c r="A173" s="1806" t="s">
        <v>227</v>
      </c>
      <c r="B173" s="0" t="s">
        <v>227</v>
      </c>
      <c r="C173" s="0" t="s">
        <v>227</v>
      </c>
      <c r="D173" s="0" t="s">
        <v>227</v>
      </c>
      <c r="E173" s="0" t="s">
        <v>227</v>
      </c>
      <c r="F173" s="0" t="s">
        <v>227</v>
      </c>
      <c r="G173" s="0" t="s">
        <v>227</v>
      </c>
      <c r="H173" s="0" t="s">
        <v>227</v>
      </c>
      <c r="I173" s="0" t="s">
        <v>5667</v>
      </c>
      <c r="J173" s="0" t="s">
        <v>227</v>
      </c>
      <c r="K173" s="0" t="s">
        <v>227</v>
      </c>
      <c r="L173" s="0" t="s">
        <v>227</v>
      </c>
      <c r="M173" s="0" t="s">
        <v>227</v>
      </c>
      <c r="N173" s="0" t="s">
        <v>227</v>
      </c>
      <c r="O173" s="0" t="s">
        <v>227</v>
      </c>
      <c r="P173" s="0" t="s">
        <v>227</v>
      </c>
      <c r="Q173" s="0" t="s">
        <v>227</v>
      </c>
      <c r="R173" s="0" t="s">
        <v>515</v>
      </c>
      <c r="S173" s="0" t="s">
        <v>227</v>
      </c>
      <c r="T173" s="0" t="s">
        <v>227</v>
      </c>
      <c r="U173" s="0" t="s">
        <v>102</v>
      </c>
      <c r="V173" s="0" t="s">
        <v>227</v>
      </c>
      <c r="W173" s="0" t="s">
        <v>227</v>
      </c>
      <c r="X173" s="0" t="s">
        <v>5683</v>
      </c>
      <c r="Y173" s="0" t="s">
        <v>227</v>
      </c>
      <c r="Z173" s="0" t="s">
        <v>152</v>
      </c>
      <c r="AA173" s="0" t="s">
        <v>152</v>
      </c>
      <c r="AB173" s="0" t="s">
        <v>161</v>
      </c>
      <c r="AC173" s="0" t="s">
        <v>354</v>
      </c>
      <c r="AD173" s="0" t="s">
        <v>354</v>
      </c>
      <c r="AE173" s="0" t="s">
        <v>355</v>
      </c>
      <c r="AF173" s="0" t="s">
        <v>5684</v>
      </c>
      <c r="AG173" s="0" t="s">
        <v>5685</v>
      </c>
      <c r="AH173" s="0" t="s">
        <v>5969</v>
      </c>
      <c r="AI173" s="0" t="s">
        <v>6154</v>
      </c>
      <c r="AJ173" s="0" t="s">
        <v>227</v>
      </c>
      <c r="AK173" s="0" t="s">
        <v>227</v>
      </c>
      <c r="AL173" s="0" t="s">
        <v>227</v>
      </c>
      <c r="AM173" s="0" t="s">
        <v>227</v>
      </c>
      <c r="AN173" s="0" t="s">
        <v>227</v>
      </c>
      <c r="AO173" s="0" t="s">
        <v>227</v>
      </c>
      <c r="AP173" s="0" t="s">
        <v>227</v>
      </c>
      <c r="AQ173" s="0" t="s">
        <v>227</v>
      </c>
      <c r="AR173" s="0" t="s">
        <v>227</v>
      </c>
      <c r="AS173" s="0" t="s">
        <v>227</v>
      </c>
      <c r="AT173" s="0" t="s">
        <v>227</v>
      </c>
      <c r="AU173" s="0" t="s">
        <v>227</v>
      </c>
      <c r="AV173" s="0" t="s">
        <v>227</v>
      </c>
      <c r="AW173" s="0" t="s">
        <v>227</v>
      </c>
      <c r="AX173" s="0" t="s">
        <v>227</v>
      </c>
      <c r="AY173" s="0" t="s">
        <v>227</v>
      </c>
      <c r="AZ173" s="0" t="s">
        <v>227</v>
      </c>
      <c r="BA173" s="0" t="s">
        <v>227</v>
      </c>
      <c r="BB173" s="0" t="s">
        <v>227</v>
      </c>
      <c r="BC173" s="0" t="s">
        <v>227</v>
      </c>
      <c r="BD173" s="0" t="s">
        <v>227</v>
      </c>
      <c r="BE173" s="0" t="s">
        <v>5743</v>
      </c>
      <c r="BF173" s="0" t="s">
        <v>6155</v>
      </c>
      <c r="BG173" s="0" t="s">
        <v>112</v>
      </c>
      <c r="BH173" s="0" t="s">
        <v>5690</v>
      </c>
      <c r="BI173" s="0" t="s">
        <v>5691</v>
      </c>
      <c r="BJ173" s="0" t="s">
        <v>227</v>
      </c>
      <c r="BK173" s="0" t="s">
        <v>5692</v>
      </c>
      <c r="BL173" s="0" t="s">
        <v>354</v>
      </c>
      <c r="BM173" s="0" t="s">
        <v>354</v>
      </c>
      <c r="BN173" s="0" t="s">
        <v>5693</v>
      </c>
      <c r="BO173" s="0" t="s">
        <v>5684</v>
      </c>
      <c r="BP173" s="0" t="s">
        <v>5694</v>
      </c>
      <c r="BQ173" s="0" t="s">
        <v>5692</v>
      </c>
      <c r="BR173" s="0" t="s">
        <v>5692</v>
      </c>
      <c r="BS173" s="0" t="s">
        <v>227</v>
      </c>
      <c r="BT173" s="0" t="s">
        <v>5712</v>
      </c>
      <c r="BU173" s="0" t="s">
        <v>5818</v>
      </c>
      <c r="BV173" s="0" t="s">
        <v>5818</v>
      </c>
      <c r="BW173" s="0" t="s">
        <v>5697</v>
      </c>
      <c r="BX173" s="0" t="s">
        <v>5697</v>
      </c>
      <c r="BY173" s="0" t="s">
        <v>5697</v>
      </c>
      <c r="BZ173" s="0" t="s">
        <v>5697</v>
      </c>
      <c r="CA173" s="0" t="s">
        <v>5697</v>
      </c>
      <c r="CB173" s="0" t="s">
        <v>227</v>
      </c>
      <c r="CC173" s="0" t="s">
        <v>227</v>
      </c>
      <c r="CD173" s="0" t="s">
        <v>227</v>
      </c>
      <c r="CE173" s="0" t="s">
        <v>227</v>
      </c>
      <c r="CF173" s="0" t="s">
        <v>227</v>
      </c>
      <c r="CG173" s="0" t="s">
        <v>5697</v>
      </c>
      <c r="CH173" s="0" t="s">
        <v>227</v>
      </c>
      <c r="CI173" s="0" t="s">
        <v>227</v>
      </c>
      <c r="CJ173" s="0" t="s">
        <v>227</v>
      </c>
      <c r="CK173" s="0" t="s">
        <v>227</v>
      </c>
      <c r="CL173" s="0" t="s">
        <v>227</v>
      </c>
      <c r="CM173" s="0" t="s">
        <v>5818</v>
      </c>
      <c r="CN173" s="0" t="s">
        <v>5818</v>
      </c>
      <c r="CO173" s="0" t="s">
        <v>227</v>
      </c>
      <c r="CP173" s="0" t="s">
        <v>227</v>
      </c>
      <c r="CQ173" s="0" t="s">
        <v>227</v>
      </c>
      <c r="CR173" s="0" t="s">
        <v>227</v>
      </c>
      <c r="CS173" s="0" t="s">
        <v>5705</v>
      </c>
      <c r="CT173" s="0" t="s">
        <v>5679</v>
      </c>
      <c r="CU173" s="0" t="s">
        <v>5680</v>
      </c>
      <c r="CV173" s="0" t="s">
        <v>430</v>
      </c>
      <c r="CW173" s="0" t="s">
        <v>5699</v>
      </c>
      <c r="CX173" s="0" t="s">
        <v>431</v>
      </c>
      <c r="CY173" s="0" t="s">
        <v>430</v>
      </c>
      <c r="CZ173" s="0" t="s">
        <v>432</v>
      </c>
      <c r="DA173" s="0" t="s">
        <v>433</v>
      </c>
      <c r="DB173" s="0" t="s">
        <v>5700</v>
      </c>
      <c r="DC173" s="0" t="s">
        <v>373</v>
      </c>
      <c r="DD173" s="0" t="s">
        <v>277</v>
      </c>
      <c r="DE173" s="0" t="s">
        <v>516</v>
      </c>
    </row>
    <row customHeight="1" ht="11.25">
      <c r="A174" s="1806" t="s">
        <v>227</v>
      </c>
      <c r="B174" s="0" t="s">
        <v>227</v>
      </c>
      <c r="C174" s="0" t="s">
        <v>227</v>
      </c>
      <c r="D174" s="0" t="s">
        <v>227</v>
      </c>
      <c r="E174" s="0" t="s">
        <v>227</v>
      </c>
      <c r="F174" s="0" t="s">
        <v>227</v>
      </c>
      <c r="G174" s="0" t="s">
        <v>227</v>
      </c>
      <c r="H174" s="0" t="s">
        <v>227</v>
      </c>
      <c r="I174" s="0" t="s">
        <v>5667</v>
      </c>
      <c r="J174" s="0" t="s">
        <v>227</v>
      </c>
      <c r="K174" s="0" t="s">
        <v>227</v>
      </c>
      <c r="L174" s="0" t="s">
        <v>227</v>
      </c>
      <c r="M174" s="0" t="s">
        <v>227</v>
      </c>
      <c r="N174" s="0" t="s">
        <v>227</v>
      </c>
      <c r="O174" s="0" t="s">
        <v>227</v>
      </c>
      <c r="P174" s="0" t="s">
        <v>227</v>
      </c>
      <c r="Q174" s="0" t="s">
        <v>227</v>
      </c>
      <c r="R174" s="0" t="s">
        <v>512</v>
      </c>
      <c r="S174" s="0" t="s">
        <v>227</v>
      </c>
      <c r="T174" s="0" t="s">
        <v>227</v>
      </c>
      <c r="U174" s="0" t="s">
        <v>102</v>
      </c>
      <c r="V174" s="0" t="s">
        <v>227</v>
      </c>
      <c r="W174" s="0" t="s">
        <v>227</v>
      </c>
      <c r="X174" s="0" t="s">
        <v>5683</v>
      </c>
      <c r="Y174" s="0" t="s">
        <v>227</v>
      </c>
      <c r="Z174" s="0" t="s">
        <v>152</v>
      </c>
      <c r="AA174" s="0" t="s">
        <v>152</v>
      </c>
      <c r="AB174" s="0" t="s">
        <v>161</v>
      </c>
      <c r="AC174" s="0" t="s">
        <v>354</v>
      </c>
      <c r="AD174" s="0" t="s">
        <v>354</v>
      </c>
      <c r="AE174" s="0" t="s">
        <v>355</v>
      </c>
      <c r="AF174" s="0" t="s">
        <v>5684</v>
      </c>
      <c r="AG174" s="0" t="s">
        <v>5685</v>
      </c>
      <c r="AH174" s="0" t="s">
        <v>5969</v>
      </c>
      <c r="AI174" s="0" t="s">
        <v>6156</v>
      </c>
      <c r="AJ174" s="0" t="s">
        <v>227</v>
      </c>
      <c r="AK174" s="0" t="s">
        <v>227</v>
      </c>
      <c r="AL174" s="0" t="s">
        <v>227</v>
      </c>
      <c r="AM174" s="0" t="s">
        <v>227</v>
      </c>
      <c r="AN174" s="0" t="s">
        <v>227</v>
      </c>
      <c r="AO174" s="0" t="s">
        <v>227</v>
      </c>
      <c r="AP174" s="0" t="s">
        <v>227</v>
      </c>
      <c r="AQ174" s="0" t="s">
        <v>227</v>
      </c>
      <c r="AR174" s="0" t="s">
        <v>227</v>
      </c>
      <c r="AS174" s="0" t="s">
        <v>227</v>
      </c>
      <c r="AT174" s="0" t="s">
        <v>227</v>
      </c>
      <c r="AU174" s="0" t="s">
        <v>227</v>
      </c>
      <c r="AV174" s="0" t="s">
        <v>227</v>
      </c>
      <c r="AW174" s="0" t="s">
        <v>227</v>
      </c>
      <c r="AX174" s="0" t="s">
        <v>227</v>
      </c>
      <c r="AY174" s="0" t="s">
        <v>227</v>
      </c>
      <c r="AZ174" s="0" t="s">
        <v>227</v>
      </c>
      <c r="BA174" s="0" t="s">
        <v>227</v>
      </c>
      <c r="BB174" s="0" t="s">
        <v>227</v>
      </c>
      <c r="BC174" s="0" t="s">
        <v>227</v>
      </c>
      <c r="BD174" s="0" t="s">
        <v>227</v>
      </c>
      <c r="BE174" s="0" t="s">
        <v>5743</v>
      </c>
      <c r="BF174" s="0" t="s">
        <v>5674</v>
      </c>
      <c r="BG174" s="0" t="s">
        <v>112</v>
      </c>
      <c r="BH174" s="0" t="s">
        <v>5690</v>
      </c>
      <c r="BI174" s="0" t="s">
        <v>5691</v>
      </c>
      <c r="BJ174" s="0" t="s">
        <v>227</v>
      </c>
      <c r="BK174" s="0" t="s">
        <v>5692</v>
      </c>
      <c r="BL174" s="0" t="s">
        <v>354</v>
      </c>
      <c r="BM174" s="0" t="s">
        <v>354</v>
      </c>
      <c r="BN174" s="0" t="s">
        <v>5693</v>
      </c>
      <c r="BO174" s="0" t="s">
        <v>5684</v>
      </c>
      <c r="BP174" s="0" t="s">
        <v>5694</v>
      </c>
      <c r="BQ174" s="0" t="s">
        <v>5692</v>
      </c>
      <c r="BR174" s="0" t="s">
        <v>5692</v>
      </c>
      <c r="BS174" s="0" t="s">
        <v>227</v>
      </c>
      <c r="BT174" s="0" t="s">
        <v>5712</v>
      </c>
      <c r="BU174" s="0" t="s">
        <v>6157</v>
      </c>
      <c r="BV174" s="0" t="s">
        <v>6157</v>
      </c>
      <c r="BW174" s="0" t="s">
        <v>5697</v>
      </c>
      <c r="BX174" s="0" t="s">
        <v>5697</v>
      </c>
      <c r="BY174" s="0" t="s">
        <v>5697</v>
      </c>
      <c r="BZ174" s="0" t="s">
        <v>5697</v>
      </c>
      <c r="CA174" s="0" t="s">
        <v>5697</v>
      </c>
      <c r="CB174" s="0" t="s">
        <v>227</v>
      </c>
      <c r="CC174" s="0" t="s">
        <v>227</v>
      </c>
      <c r="CD174" s="0" t="s">
        <v>227</v>
      </c>
      <c r="CE174" s="0" t="s">
        <v>227</v>
      </c>
      <c r="CF174" s="0" t="s">
        <v>227</v>
      </c>
      <c r="CG174" s="0" t="s">
        <v>5697</v>
      </c>
      <c r="CH174" s="0" t="s">
        <v>227</v>
      </c>
      <c r="CI174" s="0" t="s">
        <v>227</v>
      </c>
      <c r="CJ174" s="0" t="s">
        <v>227</v>
      </c>
      <c r="CK174" s="0" t="s">
        <v>227</v>
      </c>
      <c r="CL174" s="0" t="s">
        <v>227</v>
      </c>
      <c r="CM174" s="0" t="s">
        <v>6157</v>
      </c>
      <c r="CN174" s="0" t="s">
        <v>6157</v>
      </c>
      <c r="CO174" s="0" t="s">
        <v>227</v>
      </c>
      <c r="CP174" s="0" t="s">
        <v>227</v>
      </c>
      <c r="CQ174" s="0" t="s">
        <v>227</v>
      </c>
      <c r="CR174" s="0" t="s">
        <v>227</v>
      </c>
      <c r="CS174" s="0" t="s">
        <v>5698</v>
      </c>
      <c r="CT174" s="0" t="s">
        <v>5679</v>
      </c>
      <c r="CU174" s="0" t="s">
        <v>5680</v>
      </c>
      <c r="CV174" s="0" t="s">
        <v>430</v>
      </c>
      <c r="CW174" s="0" t="s">
        <v>5699</v>
      </c>
      <c r="CX174" s="0" t="s">
        <v>431</v>
      </c>
      <c r="CY174" s="0" t="s">
        <v>430</v>
      </c>
      <c r="CZ174" s="0" t="s">
        <v>432</v>
      </c>
      <c r="DA174" s="0" t="s">
        <v>433</v>
      </c>
      <c r="DB174" s="0" t="s">
        <v>5700</v>
      </c>
      <c r="DC174" s="0" t="s">
        <v>373</v>
      </c>
      <c r="DD174" s="0" t="s">
        <v>277</v>
      </c>
      <c r="DE174" s="0" t="s">
        <v>513</v>
      </c>
    </row>
    <row customHeight="1" ht="11.25">
      <c r="A175" s="1806" t="s">
        <v>227</v>
      </c>
      <c r="B175" s="0" t="s">
        <v>227</v>
      </c>
      <c r="C175" s="0" t="s">
        <v>227</v>
      </c>
      <c r="D175" s="0" t="s">
        <v>227</v>
      </c>
      <c r="E175" s="0" t="s">
        <v>227</v>
      </c>
      <c r="F175" s="0" t="s">
        <v>227</v>
      </c>
      <c r="G175" s="0" t="s">
        <v>227</v>
      </c>
      <c r="H175" s="0" t="s">
        <v>227</v>
      </c>
      <c r="I175" s="0" t="s">
        <v>5667</v>
      </c>
      <c r="J175" s="0" t="s">
        <v>227</v>
      </c>
      <c r="K175" s="0" t="s">
        <v>227</v>
      </c>
      <c r="L175" s="0" t="s">
        <v>227</v>
      </c>
      <c r="M175" s="0" t="s">
        <v>227</v>
      </c>
      <c r="N175" s="0" t="s">
        <v>227</v>
      </c>
      <c r="O175" s="0" t="s">
        <v>227</v>
      </c>
      <c r="P175" s="0" t="s">
        <v>227</v>
      </c>
      <c r="Q175" s="0" t="s">
        <v>227</v>
      </c>
      <c r="R175" s="0" t="s">
        <v>568</v>
      </c>
      <c r="S175" s="0" t="s">
        <v>227</v>
      </c>
      <c r="T175" s="0" t="s">
        <v>227</v>
      </c>
      <c r="U175" s="0" t="s">
        <v>102</v>
      </c>
      <c r="V175" s="0" t="s">
        <v>227</v>
      </c>
      <c r="W175" s="0" t="s">
        <v>227</v>
      </c>
      <c r="X175" s="0" t="s">
        <v>5683</v>
      </c>
      <c r="Y175" s="0" t="s">
        <v>227</v>
      </c>
      <c r="Z175" s="0" t="s">
        <v>152</v>
      </c>
      <c r="AA175" s="0" t="s">
        <v>152</v>
      </c>
      <c r="AB175" s="0" t="s">
        <v>161</v>
      </c>
      <c r="AC175" s="0" t="s">
        <v>354</v>
      </c>
      <c r="AD175" s="0" t="s">
        <v>354</v>
      </c>
      <c r="AE175" s="0" t="s">
        <v>355</v>
      </c>
      <c r="AF175" s="0" t="s">
        <v>5684</v>
      </c>
      <c r="AG175" s="0" t="s">
        <v>5685</v>
      </c>
      <c r="AH175" s="0" t="s">
        <v>6158</v>
      </c>
      <c r="AI175" s="0" t="s">
        <v>5692</v>
      </c>
      <c r="AJ175" s="0" t="s">
        <v>227</v>
      </c>
      <c r="AK175" s="0" t="s">
        <v>227</v>
      </c>
      <c r="AL175" s="0" t="s">
        <v>227</v>
      </c>
      <c r="AM175" s="0" t="s">
        <v>227</v>
      </c>
      <c r="AN175" s="0" t="s">
        <v>227</v>
      </c>
      <c r="AO175" s="0" t="s">
        <v>227</v>
      </c>
      <c r="AP175" s="0" t="s">
        <v>227</v>
      </c>
      <c r="AQ175" s="0" t="s">
        <v>227</v>
      </c>
      <c r="AR175" s="0" t="s">
        <v>227</v>
      </c>
      <c r="AS175" s="0" t="s">
        <v>227</v>
      </c>
      <c r="AT175" s="0" t="s">
        <v>227</v>
      </c>
      <c r="AU175" s="0" t="s">
        <v>227</v>
      </c>
      <c r="AV175" s="0" t="s">
        <v>227</v>
      </c>
      <c r="AW175" s="0" t="s">
        <v>227</v>
      </c>
      <c r="AX175" s="0" t="s">
        <v>227</v>
      </c>
      <c r="AY175" s="0" t="s">
        <v>227</v>
      </c>
      <c r="AZ175" s="0" t="s">
        <v>227</v>
      </c>
      <c r="BA175" s="0" t="s">
        <v>227</v>
      </c>
      <c r="BB175" s="0" t="s">
        <v>227</v>
      </c>
      <c r="BC175" s="0" t="s">
        <v>227</v>
      </c>
      <c r="BD175" s="0" t="s">
        <v>227</v>
      </c>
      <c r="BE175" s="0" t="s">
        <v>5688</v>
      </c>
      <c r="BF175" s="0" t="s">
        <v>6129</v>
      </c>
      <c r="BG175" s="0" t="s">
        <v>112</v>
      </c>
      <c r="BH175" s="0" t="s">
        <v>5690</v>
      </c>
      <c r="BI175" s="0" t="s">
        <v>5691</v>
      </c>
      <c r="BJ175" s="0" t="s">
        <v>227</v>
      </c>
      <c r="BK175" s="0" t="s">
        <v>5692</v>
      </c>
      <c r="BL175" s="0" t="s">
        <v>354</v>
      </c>
      <c r="BM175" s="0" t="s">
        <v>354</v>
      </c>
      <c r="BN175" s="0" t="s">
        <v>5693</v>
      </c>
      <c r="BO175" s="0" t="s">
        <v>5684</v>
      </c>
      <c r="BP175" s="0" t="s">
        <v>5694</v>
      </c>
      <c r="BQ175" s="0" t="s">
        <v>5692</v>
      </c>
      <c r="BR175" s="0" t="s">
        <v>5692</v>
      </c>
      <c r="BS175" s="0" t="s">
        <v>227</v>
      </c>
      <c r="BT175" s="0" t="s">
        <v>5695</v>
      </c>
      <c r="BU175" s="0" t="s">
        <v>6159</v>
      </c>
      <c r="BV175" s="0" t="s">
        <v>6159</v>
      </c>
      <c r="BW175" s="0" t="s">
        <v>5697</v>
      </c>
      <c r="BX175" s="0" t="s">
        <v>5697</v>
      </c>
      <c r="BY175" s="0" t="s">
        <v>5697</v>
      </c>
      <c r="BZ175" s="0" t="s">
        <v>5697</v>
      </c>
      <c r="CA175" s="0" t="s">
        <v>5697</v>
      </c>
      <c r="CB175" s="0" t="s">
        <v>227</v>
      </c>
      <c r="CC175" s="0" t="s">
        <v>227</v>
      </c>
      <c r="CD175" s="0" t="s">
        <v>227</v>
      </c>
      <c r="CE175" s="0" t="s">
        <v>227</v>
      </c>
      <c r="CF175" s="0" t="s">
        <v>227</v>
      </c>
      <c r="CG175" s="0" t="s">
        <v>5697</v>
      </c>
      <c r="CH175" s="0" t="s">
        <v>227</v>
      </c>
      <c r="CI175" s="0" t="s">
        <v>227</v>
      </c>
      <c r="CJ175" s="0" t="s">
        <v>227</v>
      </c>
      <c r="CK175" s="0" t="s">
        <v>227</v>
      </c>
      <c r="CL175" s="0" t="s">
        <v>227</v>
      </c>
      <c r="CM175" s="0" t="s">
        <v>6159</v>
      </c>
      <c r="CN175" s="0" t="s">
        <v>6159</v>
      </c>
      <c r="CO175" s="0" t="s">
        <v>227</v>
      </c>
      <c r="CP175" s="0" t="s">
        <v>227</v>
      </c>
      <c r="CQ175" s="0" t="s">
        <v>227</v>
      </c>
      <c r="CR175" s="0" t="s">
        <v>227</v>
      </c>
      <c r="CS175" s="0" t="s">
        <v>5773</v>
      </c>
      <c r="CT175" s="0" t="s">
        <v>5679</v>
      </c>
      <c r="CU175" s="0" t="s">
        <v>5680</v>
      </c>
      <c r="CV175" s="0" t="s">
        <v>430</v>
      </c>
      <c r="CW175" s="0" t="s">
        <v>5699</v>
      </c>
      <c r="CX175" s="0" t="s">
        <v>431</v>
      </c>
      <c r="CY175" s="0" t="s">
        <v>430</v>
      </c>
      <c r="CZ175" s="0" t="s">
        <v>432</v>
      </c>
      <c r="DA175" s="0" t="s">
        <v>433</v>
      </c>
      <c r="DB175" s="0" t="s">
        <v>5700</v>
      </c>
      <c r="DC175" s="0" t="s">
        <v>373</v>
      </c>
      <c r="DD175" s="0" t="s">
        <v>277</v>
      </c>
      <c r="DE175" s="0" t="s">
        <v>569</v>
      </c>
    </row>
    <row customHeight="1" ht="11.25">
      <c r="A176" s="1806" t="s">
        <v>227</v>
      </c>
      <c r="B176" s="0" t="s">
        <v>227</v>
      </c>
      <c r="C176" s="0" t="s">
        <v>227</v>
      </c>
      <c r="D176" s="0" t="s">
        <v>227</v>
      </c>
      <c r="E176" s="0" t="s">
        <v>227</v>
      </c>
      <c r="F176" s="0" t="s">
        <v>227</v>
      </c>
      <c r="G176" s="0" t="s">
        <v>227</v>
      </c>
      <c r="H176" s="0" t="s">
        <v>227</v>
      </c>
      <c r="I176" s="0" t="s">
        <v>5667</v>
      </c>
      <c r="J176" s="0" t="s">
        <v>227</v>
      </c>
      <c r="K176" s="0" t="s">
        <v>227</v>
      </c>
      <c r="L176" s="0" t="s">
        <v>227</v>
      </c>
      <c r="M176" s="0" t="s">
        <v>227</v>
      </c>
      <c r="N176" s="0" t="s">
        <v>227</v>
      </c>
      <c r="O176" s="0" t="s">
        <v>227</v>
      </c>
      <c r="P176" s="0" t="s">
        <v>227</v>
      </c>
      <c r="Q176" s="0" t="s">
        <v>227</v>
      </c>
      <c r="R176" s="0" t="s">
        <v>639</v>
      </c>
      <c r="S176" s="0" t="s">
        <v>227</v>
      </c>
      <c r="T176" s="0" t="s">
        <v>227</v>
      </c>
      <c r="U176" s="0" t="s">
        <v>102</v>
      </c>
      <c r="V176" s="0" t="s">
        <v>227</v>
      </c>
      <c r="W176" s="0" t="s">
        <v>227</v>
      </c>
      <c r="X176" s="0" t="s">
        <v>5683</v>
      </c>
      <c r="Y176" s="0" t="s">
        <v>227</v>
      </c>
      <c r="Z176" s="0" t="s">
        <v>152</v>
      </c>
      <c r="AA176" s="0" t="s">
        <v>152</v>
      </c>
      <c r="AB176" s="0" t="s">
        <v>161</v>
      </c>
      <c r="AC176" s="0" t="s">
        <v>354</v>
      </c>
      <c r="AD176" s="0" t="s">
        <v>354</v>
      </c>
      <c r="AE176" s="0" t="s">
        <v>355</v>
      </c>
      <c r="AF176" s="0" t="s">
        <v>5684</v>
      </c>
      <c r="AG176" s="0" t="s">
        <v>5685</v>
      </c>
      <c r="AH176" s="0" t="s">
        <v>6160</v>
      </c>
      <c r="AI176" s="0" t="s">
        <v>6161</v>
      </c>
      <c r="AJ176" s="0" t="s">
        <v>227</v>
      </c>
      <c r="AK176" s="0" t="s">
        <v>227</v>
      </c>
      <c r="AL176" s="0" t="s">
        <v>227</v>
      </c>
      <c r="AM176" s="0" t="s">
        <v>227</v>
      </c>
      <c r="AN176" s="0" t="s">
        <v>227</v>
      </c>
      <c r="AO176" s="0" t="s">
        <v>227</v>
      </c>
      <c r="AP176" s="0" t="s">
        <v>227</v>
      </c>
      <c r="AQ176" s="0" t="s">
        <v>227</v>
      </c>
      <c r="AR176" s="0" t="s">
        <v>227</v>
      </c>
      <c r="AS176" s="0" t="s">
        <v>227</v>
      </c>
      <c r="AT176" s="0" t="s">
        <v>227</v>
      </c>
      <c r="AU176" s="0" t="s">
        <v>227</v>
      </c>
      <c r="AV176" s="0" t="s">
        <v>227</v>
      </c>
      <c r="AW176" s="0" t="s">
        <v>227</v>
      </c>
      <c r="AX176" s="0" t="s">
        <v>227</v>
      </c>
      <c r="AY176" s="0" t="s">
        <v>227</v>
      </c>
      <c r="AZ176" s="0" t="s">
        <v>227</v>
      </c>
      <c r="BA176" s="0" t="s">
        <v>227</v>
      </c>
      <c r="BB176" s="0" t="s">
        <v>227</v>
      </c>
      <c r="BC176" s="0" t="s">
        <v>227</v>
      </c>
      <c r="BD176" s="0" t="s">
        <v>227</v>
      </c>
      <c r="BE176" s="0" t="s">
        <v>5728</v>
      </c>
      <c r="BF176" s="0" t="s">
        <v>5931</v>
      </c>
      <c r="BG176" s="0" t="s">
        <v>112</v>
      </c>
      <c r="BH176" s="0" t="s">
        <v>5690</v>
      </c>
      <c r="BI176" s="0" t="s">
        <v>5691</v>
      </c>
      <c r="BJ176" s="0" t="s">
        <v>227</v>
      </c>
      <c r="BK176" s="0" t="s">
        <v>5692</v>
      </c>
      <c r="BL176" s="0" t="s">
        <v>354</v>
      </c>
      <c r="BM176" s="0" t="s">
        <v>354</v>
      </c>
      <c r="BN176" s="0" t="s">
        <v>5693</v>
      </c>
      <c r="BO176" s="0" t="s">
        <v>5684</v>
      </c>
      <c r="BP176" s="0" t="s">
        <v>5694</v>
      </c>
      <c r="BQ176" s="0" t="s">
        <v>5692</v>
      </c>
      <c r="BR176" s="0" t="s">
        <v>5692</v>
      </c>
      <c r="BS176" s="0" t="s">
        <v>227</v>
      </c>
      <c r="BT176" s="0" t="s">
        <v>5695</v>
      </c>
      <c r="BU176" s="0" t="s">
        <v>6162</v>
      </c>
      <c r="BV176" s="0" t="s">
        <v>6162</v>
      </c>
      <c r="BW176" s="0" t="s">
        <v>5697</v>
      </c>
      <c r="BX176" s="0" t="s">
        <v>5697</v>
      </c>
      <c r="BY176" s="0" t="s">
        <v>5697</v>
      </c>
      <c r="BZ176" s="0" t="s">
        <v>5697</v>
      </c>
      <c r="CA176" s="0" t="s">
        <v>5697</v>
      </c>
      <c r="CB176" s="0" t="s">
        <v>227</v>
      </c>
      <c r="CC176" s="0" t="s">
        <v>227</v>
      </c>
      <c r="CD176" s="0" t="s">
        <v>227</v>
      </c>
      <c r="CE176" s="0" t="s">
        <v>227</v>
      </c>
      <c r="CF176" s="0" t="s">
        <v>227</v>
      </c>
      <c r="CG176" s="0" t="s">
        <v>5697</v>
      </c>
      <c r="CH176" s="0" t="s">
        <v>227</v>
      </c>
      <c r="CI176" s="0" t="s">
        <v>227</v>
      </c>
      <c r="CJ176" s="0" t="s">
        <v>227</v>
      </c>
      <c r="CK176" s="0" t="s">
        <v>227</v>
      </c>
      <c r="CL176" s="0" t="s">
        <v>227</v>
      </c>
      <c r="CM176" s="0" t="s">
        <v>6162</v>
      </c>
      <c r="CN176" s="0" t="s">
        <v>6162</v>
      </c>
      <c r="CO176" s="0" t="s">
        <v>227</v>
      </c>
      <c r="CP176" s="0" t="s">
        <v>227</v>
      </c>
      <c r="CQ176" s="0" t="s">
        <v>227</v>
      </c>
      <c r="CR176" s="0" t="s">
        <v>227</v>
      </c>
      <c r="CS176" s="0" t="s">
        <v>5773</v>
      </c>
      <c r="CT176" s="0" t="s">
        <v>5679</v>
      </c>
      <c r="CU176" s="0" t="s">
        <v>5680</v>
      </c>
      <c r="CV176" s="0" t="s">
        <v>430</v>
      </c>
      <c r="CW176" s="0" t="s">
        <v>5699</v>
      </c>
      <c r="CX176" s="0" t="s">
        <v>431</v>
      </c>
      <c r="CY176" s="0" t="s">
        <v>430</v>
      </c>
      <c r="CZ176" s="0" t="s">
        <v>432</v>
      </c>
      <c r="DA176" s="0" t="s">
        <v>433</v>
      </c>
      <c r="DB176" s="0" t="s">
        <v>5700</v>
      </c>
      <c r="DC176" s="0" t="s">
        <v>373</v>
      </c>
      <c r="DD176" s="0" t="s">
        <v>277</v>
      </c>
      <c r="DE176" s="0" t="s">
        <v>640</v>
      </c>
    </row>
    <row customHeight="1" ht="11.25">
      <c r="A177" s="1806" t="s">
        <v>227</v>
      </c>
      <c r="B177" s="0" t="s">
        <v>227</v>
      </c>
      <c r="C177" s="0" t="s">
        <v>227</v>
      </c>
      <c r="D177" s="0" t="s">
        <v>227</v>
      </c>
      <c r="E177" s="0" t="s">
        <v>227</v>
      </c>
      <c r="F177" s="0" t="s">
        <v>227</v>
      </c>
      <c r="G177" s="0" t="s">
        <v>227</v>
      </c>
      <c r="H177" s="0" t="s">
        <v>227</v>
      </c>
      <c r="I177" s="0" t="s">
        <v>5667</v>
      </c>
      <c r="J177" s="0" t="s">
        <v>227</v>
      </c>
      <c r="K177" s="0" t="s">
        <v>227</v>
      </c>
      <c r="L177" s="0" t="s">
        <v>227</v>
      </c>
      <c r="M177" s="0" t="s">
        <v>227</v>
      </c>
      <c r="N177" s="0" t="s">
        <v>227</v>
      </c>
      <c r="O177" s="0" t="s">
        <v>227</v>
      </c>
      <c r="P177" s="0" t="s">
        <v>227</v>
      </c>
      <c r="Q177" s="0" t="s">
        <v>227</v>
      </c>
      <c r="R177" s="0" t="s">
        <v>630</v>
      </c>
      <c r="S177" s="0" t="s">
        <v>227</v>
      </c>
      <c r="T177" s="0" t="s">
        <v>227</v>
      </c>
      <c r="U177" s="0" t="s">
        <v>102</v>
      </c>
      <c r="V177" s="0" t="s">
        <v>227</v>
      </c>
      <c r="W177" s="0" t="s">
        <v>227</v>
      </c>
      <c r="X177" s="0" t="s">
        <v>5683</v>
      </c>
      <c r="Y177" s="0" t="s">
        <v>227</v>
      </c>
      <c r="Z177" s="0" t="s">
        <v>152</v>
      </c>
      <c r="AA177" s="0" t="s">
        <v>152</v>
      </c>
      <c r="AB177" s="0" t="s">
        <v>161</v>
      </c>
      <c r="AC177" s="0" t="s">
        <v>354</v>
      </c>
      <c r="AD177" s="0" t="s">
        <v>354</v>
      </c>
      <c r="AE177" s="0" t="s">
        <v>355</v>
      </c>
      <c r="AF177" s="0" t="s">
        <v>5684</v>
      </c>
      <c r="AG177" s="0" t="s">
        <v>5685</v>
      </c>
      <c r="AH177" s="0" t="s">
        <v>6163</v>
      </c>
      <c r="AI177" s="0" t="s">
        <v>6164</v>
      </c>
      <c r="AJ177" s="0" t="s">
        <v>227</v>
      </c>
      <c r="AK177" s="0" t="s">
        <v>227</v>
      </c>
      <c r="AL177" s="0" t="s">
        <v>227</v>
      </c>
      <c r="AM177" s="0" t="s">
        <v>227</v>
      </c>
      <c r="AN177" s="0" t="s">
        <v>227</v>
      </c>
      <c r="AO177" s="0" t="s">
        <v>227</v>
      </c>
      <c r="AP177" s="0" t="s">
        <v>227</v>
      </c>
      <c r="AQ177" s="0" t="s">
        <v>227</v>
      </c>
      <c r="AR177" s="0" t="s">
        <v>227</v>
      </c>
      <c r="AS177" s="0" t="s">
        <v>227</v>
      </c>
      <c r="AT177" s="0" t="s">
        <v>227</v>
      </c>
      <c r="AU177" s="0" t="s">
        <v>227</v>
      </c>
      <c r="AV177" s="0" t="s">
        <v>227</v>
      </c>
      <c r="AW177" s="0" t="s">
        <v>227</v>
      </c>
      <c r="AX177" s="0" t="s">
        <v>227</v>
      </c>
      <c r="AY177" s="0" t="s">
        <v>227</v>
      </c>
      <c r="AZ177" s="0" t="s">
        <v>227</v>
      </c>
      <c r="BA177" s="0" t="s">
        <v>227</v>
      </c>
      <c r="BB177" s="0" t="s">
        <v>227</v>
      </c>
      <c r="BC177" s="0" t="s">
        <v>227</v>
      </c>
      <c r="BD177" s="0" t="s">
        <v>227</v>
      </c>
      <c r="BE177" s="0" t="s">
        <v>5716</v>
      </c>
      <c r="BF177" s="0" t="s">
        <v>6083</v>
      </c>
      <c r="BG177" s="0" t="s">
        <v>112</v>
      </c>
      <c r="BH177" s="0" t="s">
        <v>5690</v>
      </c>
      <c r="BI177" s="0" t="s">
        <v>5691</v>
      </c>
      <c r="BJ177" s="0" t="s">
        <v>227</v>
      </c>
      <c r="BK177" s="0" t="s">
        <v>5692</v>
      </c>
      <c r="BL177" s="0" t="s">
        <v>354</v>
      </c>
      <c r="BM177" s="0" t="s">
        <v>354</v>
      </c>
      <c r="BN177" s="0" t="s">
        <v>5693</v>
      </c>
      <c r="BO177" s="0" t="s">
        <v>5684</v>
      </c>
      <c r="BP177" s="0" t="s">
        <v>5694</v>
      </c>
      <c r="BQ177" s="0" t="s">
        <v>5692</v>
      </c>
      <c r="BR177" s="0" t="s">
        <v>5692</v>
      </c>
      <c r="BS177" s="0" t="s">
        <v>227</v>
      </c>
      <c r="BT177" s="0" t="s">
        <v>5695</v>
      </c>
      <c r="BU177" s="0" t="s">
        <v>5696</v>
      </c>
      <c r="BV177" s="0" t="s">
        <v>5696</v>
      </c>
      <c r="BW177" s="0" t="s">
        <v>5697</v>
      </c>
      <c r="BX177" s="0" t="s">
        <v>5697</v>
      </c>
      <c r="BY177" s="0" t="s">
        <v>5697</v>
      </c>
      <c r="BZ177" s="0" t="s">
        <v>5697</v>
      </c>
      <c r="CA177" s="0" t="s">
        <v>5697</v>
      </c>
      <c r="CB177" s="0" t="s">
        <v>227</v>
      </c>
      <c r="CC177" s="0" t="s">
        <v>227</v>
      </c>
      <c r="CD177" s="0" t="s">
        <v>227</v>
      </c>
      <c r="CE177" s="0" t="s">
        <v>227</v>
      </c>
      <c r="CF177" s="0" t="s">
        <v>227</v>
      </c>
      <c r="CG177" s="0" t="s">
        <v>5697</v>
      </c>
      <c r="CH177" s="0" t="s">
        <v>227</v>
      </c>
      <c r="CI177" s="0" t="s">
        <v>227</v>
      </c>
      <c r="CJ177" s="0" t="s">
        <v>227</v>
      </c>
      <c r="CK177" s="0" t="s">
        <v>227</v>
      </c>
      <c r="CL177" s="0" t="s">
        <v>227</v>
      </c>
      <c r="CM177" s="0" t="s">
        <v>5696</v>
      </c>
      <c r="CN177" s="0" t="s">
        <v>5696</v>
      </c>
      <c r="CO177" s="0" t="s">
        <v>227</v>
      </c>
      <c r="CP177" s="0" t="s">
        <v>227</v>
      </c>
      <c r="CQ177" s="0" t="s">
        <v>227</v>
      </c>
      <c r="CR177" s="0" t="s">
        <v>227</v>
      </c>
      <c r="CS177" s="0" t="s">
        <v>5749</v>
      </c>
      <c r="CT177" s="0" t="s">
        <v>5679</v>
      </c>
      <c r="CU177" s="0" t="s">
        <v>5680</v>
      </c>
      <c r="CV177" s="0" t="s">
        <v>430</v>
      </c>
      <c r="CW177" s="0" t="s">
        <v>5699</v>
      </c>
      <c r="CX177" s="0" t="s">
        <v>431</v>
      </c>
      <c r="CY177" s="0" t="s">
        <v>430</v>
      </c>
      <c r="CZ177" s="0" t="s">
        <v>432</v>
      </c>
      <c r="DA177" s="0" t="s">
        <v>433</v>
      </c>
      <c r="DB177" s="0" t="s">
        <v>5700</v>
      </c>
      <c r="DC177" s="0" t="s">
        <v>373</v>
      </c>
      <c r="DD177" s="0" t="s">
        <v>277</v>
      </c>
      <c r="DE177" s="0" t="s">
        <v>631</v>
      </c>
    </row>
    <row customHeight="1" ht="11.25">
      <c r="A178" s="1806" t="s">
        <v>227</v>
      </c>
      <c r="B178" s="0" t="s">
        <v>227</v>
      </c>
      <c r="C178" s="0" t="s">
        <v>227</v>
      </c>
      <c r="D178" s="0" t="s">
        <v>227</v>
      </c>
      <c r="E178" s="0" t="s">
        <v>227</v>
      </c>
      <c r="F178" s="0" t="s">
        <v>227</v>
      </c>
      <c r="G178" s="0" t="s">
        <v>227</v>
      </c>
      <c r="H178" s="0" t="s">
        <v>227</v>
      </c>
      <c r="I178" s="0" t="s">
        <v>5667</v>
      </c>
      <c r="J178" s="0" t="s">
        <v>227</v>
      </c>
      <c r="K178" s="0" t="s">
        <v>227</v>
      </c>
      <c r="L178" s="0" t="s">
        <v>227</v>
      </c>
      <c r="M178" s="0" t="s">
        <v>227</v>
      </c>
      <c r="N178" s="0" t="s">
        <v>227</v>
      </c>
      <c r="O178" s="0" t="s">
        <v>227</v>
      </c>
      <c r="P178" s="0" t="s">
        <v>227</v>
      </c>
      <c r="Q178" s="0" t="s">
        <v>227</v>
      </c>
      <c r="R178" s="0" t="s">
        <v>648</v>
      </c>
      <c r="S178" s="0" t="s">
        <v>227</v>
      </c>
      <c r="T178" s="0" t="s">
        <v>227</v>
      </c>
      <c r="U178" s="0" t="s">
        <v>102</v>
      </c>
      <c r="V178" s="0" t="s">
        <v>227</v>
      </c>
      <c r="W178" s="0" t="s">
        <v>227</v>
      </c>
      <c r="X178" s="0" t="s">
        <v>5683</v>
      </c>
      <c r="Y178" s="0" t="s">
        <v>227</v>
      </c>
      <c r="Z178" s="0" t="s">
        <v>152</v>
      </c>
      <c r="AA178" s="0" t="s">
        <v>152</v>
      </c>
      <c r="AB178" s="0" t="s">
        <v>161</v>
      </c>
      <c r="AC178" s="0" t="s">
        <v>354</v>
      </c>
      <c r="AD178" s="0" t="s">
        <v>354</v>
      </c>
      <c r="AE178" s="0" t="s">
        <v>355</v>
      </c>
      <c r="AF178" s="0" t="s">
        <v>5684</v>
      </c>
      <c r="AG178" s="0" t="s">
        <v>5685</v>
      </c>
      <c r="AH178" s="0" t="s">
        <v>6165</v>
      </c>
      <c r="AI178" s="0" t="s">
        <v>6166</v>
      </c>
      <c r="AJ178" s="0" t="s">
        <v>227</v>
      </c>
      <c r="AK178" s="0" t="s">
        <v>227</v>
      </c>
      <c r="AL178" s="0" t="s">
        <v>227</v>
      </c>
      <c r="AM178" s="0" t="s">
        <v>227</v>
      </c>
      <c r="AN178" s="0" t="s">
        <v>227</v>
      </c>
      <c r="AO178" s="0" t="s">
        <v>227</v>
      </c>
      <c r="AP178" s="0" t="s">
        <v>227</v>
      </c>
      <c r="AQ178" s="0" t="s">
        <v>227</v>
      </c>
      <c r="AR178" s="0" t="s">
        <v>227</v>
      </c>
      <c r="AS178" s="0" t="s">
        <v>227</v>
      </c>
      <c r="AT178" s="0" t="s">
        <v>227</v>
      </c>
      <c r="AU178" s="0" t="s">
        <v>227</v>
      </c>
      <c r="AV178" s="0" t="s">
        <v>227</v>
      </c>
      <c r="AW178" s="0" t="s">
        <v>227</v>
      </c>
      <c r="AX178" s="0" t="s">
        <v>227</v>
      </c>
      <c r="AY178" s="0" t="s">
        <v>227</v>
      </c>
      <c r="AZ178" s="0" t="s">
        <v>227</v>
      </c>
      <c r="BA178" s="0" t="s">
        <v>227</v>
      </c>
      <c r="BB178" s="0" t="s">
        <v>227</v>
      </c>
      <c r="BC178" s="0" t="s">
        <v>227</v>
      </c>
      <c r="BD178" s="0" t="s">
        <v>227</v>
      </c>
      <c r="BE178" s="0" t="s">
        <v>5978</v>
      </c>
      <c r="BF178" s="0" t="s">
        <v>5805</v>
      </c>
      <c r="BG178" s="0" t="s">
        <v>112</v>
      </c>
      <c r="BH178" s="0" t="s">
        <v>5690</v>
      </c>
      <c r="BI178" s="0" t="s">
        <v>5691</v>
      </c>
      <c r="BJ178" s="0" t="s">
        <v>227</v>
      </c>
      <c r="BK178" s="0" t="s">
        <v>5692</v>
      </c>
      <c r="BL178" s="0" t="s">
        <v>354</v>
      </c>
      <c r="BM178" s="0" t="s">
        <v>354</v>
      </c>
      <c r="BN178" s="0" t="s">
        <v>5693</v>
      </c>
      <c r="BO178" s="0" t="s">
        <v>5684</v>
      </c>
      <c r="BP178" s="0" t="s">
        <v>5694</v>
      </c>
      <c r="BQ178" s="0" t="s">
        <v>5692</v>
      </c>
      <c r="BR178" s="0" t="s">
        <v>5692</v>
      </c>
      <c r="BS178" s="0" t="s">
        <v>227</v>
      </c>
      <c r="BT178" s="0" t="s">
        <v>5695</v>
      </c>
      <c r="BU178" s="0" t="s">
        <v>6167</v>
      </c>
      <c r="BV178" s="0" t="s">
        <v>6167</v>
      </c>
      <c r="BW178" s="0" t="s">
        <v>5697</v>
      </c>
      <c r="BX178" s="0" t="s">
        <v>5697</v>
      </c>
      <c r="BY178" s="0" t="s">
        <v>5697</v>
      </c>
      <c r="BZ178" s="0" t="s">
        <v>5697</v>
      </c>
      <c r="CA178" s="0" t="s">
        <v>5697</v>
      </c>
      <c r="CB178" s="0" t="s">
        <v>227</v>
      </c>
      <c r="CC178" s="0" t="s">
        <v>227</v>
      </c>
      <c r="CD178" s="0" t="s">
        <v>227</v>
      </c>
      <c r="CE178" s="0" t="s">
        <v>227</v>
      </c>
      <c r="CF178" s="0" t="s">
        <v>227</v>
      </c>
      <c r="CG178" s="0" t="s">
        <v>5697</v>
      </c>
      <c r="CH178" s="0" t="s">
        <v>227</v>
      </c>
      <c r="CI178" s="0" t="s">
        <v>227</v>
      </c>
      <c r="CJ178" s="0" t="s">
        <v>227</v>
      </c>
      <c r="CK178" s="0" t="s">
        <v>227</v>
      </c>
      <c r="CL178" s="0" t="s">
        <v>227</v>
      </c>
      <c r="CM178" s="0" t="s">
        <v>6167</v>
      </c>
      <c r="CN178" s="0" t="s">
        <v>6167</v>
      </c>
      <c r="CO178" s="0" t="s">
        <v>227</v>
      </c>
      <c r="CP178" s="0" t="s">
        <v>227</v>
      </c>
      <c r="CQ178" s="0" t="s">
        <v>227</v>
      </c>
      <c r="CR178" s="0" t="s">
        <v>227</v>
      </c>
      <c r="CS178" s="0" t="s">
        <v>5731</v>
      </c>
      <c r="CT178" s="0" t="s">
        <v>5679</v>
      </c>
      <c r="CU178" s="0" t="s">
        <v>5680</v>
      </c>
      <c r="CV178" s="0" t="s">
        <v>430</v>
      </c>
      <c r="CW178" s="0" t="s">
        <v>5699</v>
      </c>
      <c r="CX178" s="0" t="s">
        <v>431</v>
      </c>
      <c r="CY178" s="0" t="s">
        <v>430</v>
      </c>
      <c r="CZ178" s="0" t="s">
        <v>432</v>
      </c>
      <c r="DA178" s="0" t="s">
        <v>433</v>
      </c>
      <c r="DB178" s="0" t="s">
        <v>5700</v>
      </c>
      <c r="DC178" s="0" t="s">
        <v>373</v>
      </c>
      <c r="DD178" s="0" t="s">
        <v>277</v>
      </c>
      <c r="DE178" s="0" t="s">
        <v>649</v>
      </c>
    </row>
    <row customHeight="1" ht="11.25">
      <c r="A179" s="1806" t="s">
        <v>227</v>
      </c>
      <c r="B179" s="0" t="s">
        <v>227</v>
      </c>
      <c r="C179" s="0" t="s">
        <v>227</v>
      </c>
      <c r="D179" s="0" t="s">
        <v>227</v>
      </c>
      <c r="E179" s="0" t="s">
        <v>227</v>
      </c>
      <c r="F179" s="0" t="s">
        <v>227</v>
      </c>
      <c r="G179" s="0" t="s">
        <v>227</v>
      </c>
      <c r="H179" s="0" t="s">
        <v>227</v>
      </c>
      <c r="I179" s="0" t="s">
        <v>5667</v>
      </c>
      <c r="J179" s="0" t="s">
        <v>227</v>
      </c>
      <c r="K179" s="0" t="s">
        <v>227</v>
      </c>
      <c r="L179" s="0" t="s">
        <v>227</v>
      </c>
      <c r="M179" s="0" t="s">
        <v>227</v>
      </c>
      <c r="N179" s="0" t="s">
        <v>227</v>
      </c>
      <c r="O179" s="0" t="s">
        <v>227</v>
      </c>
      <c r="P179" s="0" t="s">
        <v>227</v>
      </c>
      <c r="Q179" s="0" t="s">
        <v>227</v>
      </c>
      <c r="R179" s="0" t="s">
        <v>733</v>
      </c>
      <c r="S179" s="0" t="s">
        <v>227</v>
      </c>
      <c r="T179" s="0" t="s">
        <v>227</v>
      </c>
      <c r="U179" s="0" t="s">
        <v>102</v>
      </c>
      <c r="V179" s="0" t="s">
        <v>227</v>
      </c>
      <c r="W179" s="0" t="s">
        <v>227</v>
      </c>
      <c r="X179" s="0" t="s">
        <v>5683</v>
      </c>
      <c r="Y179" s="0" t="s">
        <v>227</v>
      </c>
      <c r="Z179" s="0" t="s">
        <v>152</v>
      </c>
      <c r="AA179" s="0" t="s">
        <v>152</v>
      </c>
      <c r="AB179" s="0" t="s">
        <v>161</v>
      </c>
      <c r="AC179" s="0" t="s">
        <v>354</v>
      </c>
      <c r="AD179" s="0" t="s">
        <v>354</v>
      </c>
      <c r="AE179" s="0" t="s">
        <v>355</v>
      </c>
      <c r="AF179" s="0" t="s">
        <v>5701</v>
      </c>
      <c r="AG179" s="0" t="s">
        <v>5702</v>
      </c>
      <c r="AH179" s="0" t="s">
        <v>6168</v>
      </c>
      <c r="AI179" s="0" t="s">
        <v>5692</v>
      </c>
      <c r="AJ179" s="0" t="s">
        <v>227</v>
      </c>
      <c r="AK179" s="0" t="s">
        <v>227</v>
      </c>
      <c r="AL179" s="0" t="s">
        <v>227</v>
      </c>
      <c r="AM179" s="0" t="s">
        <v>227</v>
      </c>
      <c r="AN179" s="0" t="s">
        <v>227</v>
      </c>
      <c r="AO179" s="0" t="s">
        <v>227</v>
      </c>
      <c r="AP179" s="0" t="s">
        <v>227</v>
      </c>
      <c r="AQ179" s="0" t="s">
        <v>227</v>
      </c>
      <c r="AR179" s="0" t="s">
        <v>227</v>
      </c>
      <c r="AS179" s="0" t="s">
        <v>227</v>
      </c>
      <c r="AT179" s="0" t="s">
        <v>227</v>
      </c>
      <c r="AU179" s="0" t="s">
        <v>227</v>
      </c>
      <c r="AV179" s="0" t="s">
        <v>227</v>
      </c>
      <c r="AW179" s="0" t="s">
        <v>227</v>
      </c>
      <c r="AX179" s="0" t="s">
        <v>227</v>
      </c>
      <c r="AY179" s="0" t="s">
        <v>227</v>
      </c>
      <c r="AZ179" s="0" t="s">
        <v>227</v>
      </c>
      <c r="BA179" s="0" t="s">
        <v>227</v>
      </c>
      <c r="BB179" s="0" t="s">
        <v>227</v>
      </c>
      <c r="BC179" s="0" t="s">
        <v>227</v>
      </c>
      <c r="BD179" s="0" t="s">
        <v>227</v>
      </c>
      <c r="BE179" s="0" t="s">
        <v>5728</v>
      </c>
      <c r="BF179" s="0" t="s">
        <v>5757</v>
      </c>
      <c r="BG179" s="0" t="s">
        <v>112</v>
      </c>
      <c r="BH179" s="0" t="s">
        <v>5690</v>
      </c>
      <c r="BI179" s="0" t="s">
        <v>5691</v>
      </c>
      <c r="BJ179" s="0" t="s">
        <v>227</v>
      </c>
      <c r="BK179" s="0" t="s">
        <v>952</v>
      </c>
      <c r="BL179" s="0" t="s">
        <v>354</v>
      </c>
      <c r="BM179" s="0" t="s">
        <v>354</v>
      </c>
      <c r="BN179" s="0" t="s">
        <v>5693</v>
      </c>
      <c r="BO179" s="0" t="s">
        <v>5701</v>
      </c>
      <c r="BP179" s="0" t="s">
        <v>5706</v>
      </c>
      <c r="BQ179" s="0" t="s">
        <v>5707</v>
      </c>
      <c r="BR179" s="0" t="s">
        <v>5708</v>
      </c>
      <c r="BS179" s="0" t="s">
        <v>227</v>
      </c>
      <c r="BT179" s="0" t="s">
        <v>5695</v>
      </c>
      <c r="BU179" s="0" t="s">
        <v>6169</v>
      </c>
      <c r="BV179" s="0" t="s">
        <v>6169</v>
      </c>
      <c r="BW179" s="0" t="s">
        <v>5697</v>
      </c>
      <c r="BX179" s="0" t="s">
        <v>5697</v>
      </c>
      <c r="BY179" s="0" t="s">
        <v>5697</v>
      </c>
      <c r="BZ179" s="0" t="s">
        <v>5697</v>
      </c>
      <c r="CA179" s="0" t="s">
        <v>5697</v>
      </c>
      <c r="CB179" s="0" t="s">
        <v>227</v>
      </c>
      <c r="CC179" s="0" t="s">
        <v>227</v>
      </c>
      <c r="CD179" s="0" t="s">
        <v>227</v>
      </c>
      <c r="CE179" s="0" t="s">
        <v>227</v>
      </c>
      <c r="CF179" s="0" t="s">
        <v>227</v>
      </c>
      <c r="CG179" s="0" t="s">
        <v>5697</v>
      </c>
      <c r="CH179" s="0" t="s">
        <v>227</v>
      </c>
      <c r="CI179" s="0" t="s">
        <v>227</v>
      </c>
      <c r="CJ179" s="0" t="s">
        <v>227</v>
      </c>
      <c r="CK179" s="0" t="s">
        <v>227</v>
      </c>
      <c r="CL179" s="0" t="s">
        <v>227</v>
      </c>
      <c r="CM179" s="0" t="s">
        <v>6169</v>
      </c>
      <c r="CN179" s="0" t="s">
        <v>6169</v>
      </c>
      <c r="CO179" s="0" t="s">
        <v>227</v>
      </c>
      <c r="CP179" s="0" t="s">
        <v>227</v>
      </c>
      <c r="CQ179" s="0" t="s">
        <v>227</v>
      </c>
      <c r="CR179" s="0" t="s">
        <v>227</v>
      </c>
      <c r="CS179" s="0" t="s">
        <v>5698</v>
      </c>
      <c r="CT179" s="0" t="s">
        <v>5679</v>
      </c>
      <c r="CU179" s="0" t="s">
        <v>5680</v>
      </c>
      <c r="CV179" s="0" t="s">
        <v>430</v>
      </c>
      <c r="CW179" s="0" t="s">
        <v>5699</v>
      </c>
      <c r="CX179" s="0" t="s">
        <v>431</v>
      </c>
      <c r="CY179" s="0" t="s">
        <v>430</v>
      </c>
      <c r="CZ179" s="0" t="s">
        <v>432</v>
      </c>
      <c r="DA179" s="0" t="s">
        <v>433</v>
      </c>
      <c r="DB179" s="0" t="s">
        <v>5700</v>
      </c>
      <c r="DC179" s="0" t="s">
        <v>373</v>
      </c>
      <c r="DD179" s="0" t="s">
        <v>277</v>
      </c>
      <c r="DE179" s="0" t="s">
        <v>734</v>
      </c>
    </row>
    <row customHeight="1" ht="11.25">
      <c r="A180" s="1806" t="s">
        <v>227</v>
      </c>
      <c r="B180" s="0" t="s">
        <v>227</v>
      </c>
      <c r="C180" s="0" t="s">
        <v>227</v>
      </c>
      <c r="D180" s="0" t="s">
        <v>227</v>
      </c>
      <c r="E180" s="0" t="s">
        <v>227</v>
      </c>
      <c r="F180" s="0" t="s">
        <v>227</v>
      </c>
      <c r="G180" s="0" t="s">
        <v>227</v>
      </c>
      <c r="H180" s="0" t="s">
        <v>227</v>
      </c>
      <c r="I180" s="0" t="s">
        <v>5667</v>
      </c>
      <c r="J180" s="0" t="s">
        <v>227</v>
      </c>
      <c r="K180" s="0" t="s">
        <v>227</v>
      </c>
      <c r="L180" s="0" t="s">
        <v>227</v>
      </c>
      <c r="M180" s="0" t="s">
        <v>227</v>
      </c>
      <c r="N180" s="0" t="s">
        <v>227</v>
      </c>
      <c r="O180" s="0" t="s">
        <v>227</v>
      </c>
      <c r="P180" s="0" t="s">
        <v>227</v>
      </c>
      <c r="Q180" s="0" t="s">
        <v>227</v>
      </c>
      <c r="R180" s="0" t="s">
        <v>736</v>
      </c>
      <c r="S180" s="0" t="s">
        <v>227</v>
      </c>
      <c r="T180" s="0" t="s">
        <v>227</v>
      </c>
      <c r="U180" s="0" t="s">
        <v>102</v>
      </c>
      <c r="V180" s="0" t="s">
        <v>227</v>
      </c>
      <c r="W180" s="0" t="s">
        <v>227</v>
      </c>
      <c r="X180" s="0" t="s">
        <v>5683</v>
      </c>
      <c r="Y180" s="0" t="s">
        <v>227</v>
      </c>
      <c r="Z180" s="0" t="s">
        <v>152</v>
      </c>
      <c r="AA180" s="0" t="s">
        <v>152</v>
      </c>
      <c r="AB180" s="0" t="s">
        <v>161</v>
      </c>
      <c r="AC180" s="0" t="s">
        <v>354</v>
      </c>
      <c r="AD180" s="0" t="s">
        <v>354</v>
      </c>
      <c r="AE180" s="0" t="s">
        <v>355</v>
      </c>
      <c r="AF180" s="0" t="s">
        <v>5701</v>
      </c>
      <c r="AG180" s="0" t="s">
        <v>5702</v>
      </c>
      <c r="AH180" s="0" t="s">
        <v>6170</v>
      </c>
      <c r="AI180" s="0" t="s">
        <v>5692</v>
      </c>
      <c r="AJ180" s="0" t="s">
        <v>227</v>
      </c>
      <c r="AK180" s="0" t="s">
        <v>227</v>
      </c>
      <c r="AL180" s="0" t="s">
        <v>227</v>
      </c>
      <c r="AM180" s="0" t="s">
        <v>227</v>
      </c>
      <c r="AN180" s="0" t="s">
        <v>227</v>
      </c>
      <c r="AO180" s="0" t="s">
        <v>227</v>
      </c>
      <c r="AP180" s="0" t="s">
        <v>227</v>
      </c>
      <c r="AQ180" s="0" t="s">
        <v>227</v>
      </c>
      <c r="AR180" s="0" t="s">
        <v>227</v>
      </c>
      <c r="AS180" s="0" t="s">
        <v>227</v>
      </c>
      <c r="AT180" s="0" t="s">
        <v>227</v>
      </c>
      <c r="AU180" s="0" t="s">
        <v>227</v>
      </c>
      <c r="AV180" s="0" t="s">
        <v>227</v>
      </c>
      <c r="AW180" s="0" t="s">
        <v>227</v>
      </c>
      <c r="AX180" s="0" t="s">
        <v>227</v>
      </c>
      <c r="AY180" s="0" t="s">
        <v>227</v>
      </c>
      <c r="AZ180" s="0" t="s">
        <v>227</v>
      </c>
      <c r="BA180" s="0" t="s">
        <v>227</v>
      </c>
      <c r="BB180" s="0" t="s">
        <v>227</v>
      </c>
      <c r="BC180" s="0" t="s">
        <v>227</v>
      </c>
      <c r="BD180" s="0" t="s">
        <v>227</v>
      </c>
      <c r="BE180" s="0" t="s">
        <v>6171</v>
      </c>
      <c r="BF180" s="0" t="s">
        <v>5752</v>
      </c>
      <c r="BG180" s="0" t="s">
        <v>112</v>
      </c>
      <c r="BH180" s="0" t="s">
        <v>5690</v>
      </c>
      <c r="BI180" s="0" t="s">
        <v>5691</v>
      </c>
      <c r="BJ180" s="0" t="s">
        <v>227</v>
      </c>
      <c r="BK180" s="0" t="s">
        <v>952</v>
      </c>
      <c r="BL180" s="0" t="s">
        <v>354</v>
      </c>
      <c r="BM180" s="0" t="s">
        <v>354</v>
      </c>
      <c r="BN180" s="0" t="s">
        <v>5693</v>
      </c>
      <c r="BO180" s="0" t="s">
        <v>5701</v>
      </c>
      <c r="BP180" s="0" t="s">
        <v>5706</v>
      </c>
      <c r="BQ180" s="0" t="s">
        <v>5707</v>
      </c>
      <c r="BR180" s="0" t="s">
        <v>5708</v>
      </c>
      <c r="BS180" s="0" t="s">
        <v>227</v>
      </c>
      <c r="BT180" s="0" t="s">
        <v>5695</v>
      </c>
      <c r="BU180" s="0" t="s">
        <v>6172</v>
      </c>
      <c r="BV180" s="0" t="s">
        <v>6172</v>
      </c>
      <c r="BW180" s="0" t="s">
        <v>5697</v>
      </c>
      <c r="BX180" s="0" t="s">
        <v>5697</v>
      </c>
      <c r="BY180" s="0" t="s">
        <v>5697</v>
      </c>
      <c r="BZ180" s="0" t="s">
        <v>5697</v>
      </c>
      <c r="CA180" s="0" t="s">
        <v>5697</v>
      </c>
      <c r="CB180" s="0" t="s">
        <v>227</v>
      </c>
      <c r="CC180" s="0" t="s">
        <v>227</v>
      </c>
      <c r="CD180" s="0" t="s">
        <v>227</v>
      </c>
      <c r="CE180" s="0" t="s">
        <v>227</v>
      </c>
      <c r="CF180" s="0" t="s">
        <v>227</v>
      </c>
      <c r="CG180" s="0" t="s">
        <v>5697</v>
      </c>
      <c r="CH180" s="0" t="s">
        <v>227</v>
      </c>
      <c r="CI180" s="0" t="s">
        <v>227</v>
      </c>
      <c r="CJ180" s="0" t="s">
        <v>227</v>
      </c>
      <c r="CK180" s="0" t="s">
        <v>227</v>
      </c>
      <c r="CL180" s="0" t="s">
        <v>227</v>
      </c>
      <c r="CM180" s="0" t="s">
        <v>6172</v>
      </c>
      <c r="CN180" s="0" t="s">
        <v>6172</v>
      </c>
      <c r="CO180" s="0" t="s">
        <v>227</v>
      </c>
      <c r="CP180" s="0" t="s">
        <v>227</v>
      </c>
      <c r="CQ180" s="0" t="s">
        <v>227</v>
      </c>
      <c r="CR180" s="0" t="s">
        <v>227</v>
      </c>
      <c r="CS180" s="0" t="s">
        <v>5698</v>
      </c>
      <c r="CT180" s="0" t="s">
        <v>5679</v>
      </c>
      <c r="CU180" s="0" t="s">
        <v>5680</v>
      </c>
      <c r="CV180" s="0" t="s">
        <v>430</v>
      </c>
      <c r="CW180" s="0" t="s">
        <v>5699</v>
      </c>
      <c r="CX180" s="0" t="s">
        <v>431</v>
      </c>
      <c r="CY180" s="0" t="s">
        <v>430</v>
      </c>
      <c r="CZ180" s="0" t="s">
        <v>432</v>
      </c>
      <c r="DA180" s="0" t="s">
        <v>433</v>
      </c>
      <c r="DB180" s="0" t="s">
        <v>5700</v>
      </c>
      <c r="DC180" s="0" t="s">
        <v>373</v>
      </c>
      <c r="DD180" s="0" t="s">
        <v>277</v>
      </c>
      <c r="DE180" s="0" t="s">
        <v>737</v>
      </c>
    </row>
    <row customHeight="1" ht="11.25">
      <c r="A181" s="1806" t="s">
        <v>227</v>
      </c>
      <c r="B181" s="0" t="s">
        <v>227</v>
      </c>
      <c r="C181" s="0" t="s">
        <v>227</v>
      </c>
      <c r="D181" s="0" t="s">
        <v>227</v>
      </c>
      <c r="E181" s="0" t="s">
        <v>227</v>
      </c>
      <c r="F181" s="0" t="s">
        <v>227</v>
      </c>
      <c r="G181" s="0" t="s">
        <v>227</v>
      </c>
      <c r="H181" s="0" t="s">
        <v>227</v>
      </c>
      <c r="I181" s="0" t="s">
        <v>5667</v>
      </c>
      <c r="J181" s="0" t="s">
        <v>227</v>
      </c>
      <c r="K181" s="0" t="s">
        <v>227</v>
      </c>
      <c r="L181" s="0" t="s">
        <v>227</v>
      </c>
      <c r="M181" s="0" t="s">
        <v>227</v>
      </c>
      <c r="N181" s="0" t="s">
        <v>227</v>
      </c>
      <c r="O181" s="0" t="s">
        <v>227</v>
      </c>
      <c r="P181" s="0" t="s">
        <v>227</v>
      </c>
      <c r="Q181" s="0" t="s">
        <v>227</v>
      </c>
      <c r="R181" s="0" t="s">
        <v>571</v>
      </c>
      <c r="S181" s="0" t="s">
        <v>227</v>
      </c>
      <c r="T181" s="0" t="s">
        <v>227</v>
      </c>
      <c r="U181" s="0" t="s">
        <v>102</v>
      </c>
      <c r="V181" s="0" t="s">
        <v>227</v>
      </c>
      <c r="W181" s="0" t="s">
        <v>227</v>
      </c>
      <c r="X181" s="0" t="s">
        <v>5683</v>
      </c>
      <c r="Y181" s="0" t="s">
        <v>227</v>
      </c>
      <c r="Z181" s="0" t="s">
        <v>152</v>
      </c>
      <c r="AA181" s="0" t="s">
        <v>152</v>
      </c>
      <c r="AB181" s="0" t="s">
        <v>161</v>
      </c>
      <c r="AC181" s="0" t="s">
        <v>354</v>
      </c>
      <c r="AD181" s="0" t="s">
        <v>354</v>
      </c>
      <c r="AE181" s="0" t="s">
        <v>355</v>
      </c>
      <c r="AF181" s="0" t="s">
        <v>5684</v>
      </c>
      <c r="AG181" s="0" t="s">
        <v>5685</v>
      </c>
      <c r="AH181" s="0" t="s">
        <v>6173</v>
      </c>
      <c r="AI181" s="0" t="s">
        <v>5692</v>
      </c>
      <c r="AJ181" s="0" t="s">
        <v>227</v>
      </c>
      <c r="AK181" s="0" t="s">
        <v>227</v>
      </c>
      <c r="AL181" s="0" t="s">
        <v>227</v>
      </c>
      <c r="AM181" s="0" t="s">
        <v>227</v>
      </c>
      <c r="AN181" s="0" t="s">
        <v>227</v>
      </c>
      <c r="AO181" s="0" t="s">
        <v>227</v>
      </c>
      <c r="AP181" s="0" t="s">
        <v>227</v>
      </c>
      <c r="AQ181" s="0" t="s">
        <v>227</v>
      </c>
      <c r="AR181" s="0" t="s">
        <v>227</v>
      </c>
      <c r="AS181" s="0" t="s">
        <v>227</v>
      </c>
      <c r="AT181" s="0" t="s">
        <v>227</v>
      </c>
      <c r="AU181" s="0" t="s">
        <v>227</v>
      </c>
      <c r="AV181" s="0" t="s">
        <v>227</v>
      </c>
      <c r="AW181" s="0" t="s">
        <v>227</v>
      </c>
      <c r="AX181" s="0" t="s">
        <v>227</v>
      </c>
      <c r="AY181" s="0" t="s">
        <v>227</v>
      </c>
      <c r="AZ181" s="0" t="s">
        <v>227</v>
      </c>
      <c r="BA181" s="0" t="s">
        <v>227</v>
      </c>
      <c r="BB181" s="0" t="s">
        <v>227</v>
      </c>
      <c r="BC181" s="0" t="s">
        <v>227</v>
      </c>
      <c r="BD181" s="0" t="s">
        <v>227</v>
      </c>
      <c r="BE181" s="0" t="s">
        <v>5728</v>
      </c>
      <c r="BF181" s="0" t="s">
        <v>5757</v>
      </c>
      <c r="BG181" s="0" t="s">
        <v>112</v>
      </c>
      <c r="BH181" s="0" t="s">
        <v>5690</v>
      </c>
      <c r="BI181" s="0" t="s">
        <v>5691</v>
      </c>
      <c r="BJ181" s="0" t="s">
        <v>227</v>
      </c>
      <c r="BK181" s="0" t="s">
        <v>5692</v>
      </c>
      <c r="BL181" s="0" t="s">
        <v>354</v>
      </c>
      <c r="BM181" s="0" t="s">
        <v>354</v>
      </c>
      <c r="BN181" s="0" t="s">
        <v>5693</v>
      </c>
      <c r="BO181" s="0" t="s">
        <v>5684</v>
      </c>
      <c r="BP181" s="0" t="s">
        <v>5694</v>
      </c>
      <c r="BQ181" s="0" t="s">
        <v>5692</v>
      </c>
      <c r="BR181" s="0" t="s">
        <v>5692</v>
      </c>
      <c r="BS181" s="0" t="s">
        <v>227</v>
      </c>
      <c r="BT181" s="0" t="s">
        <v>5695</v>
      </c>
      <c r="BU181" s="0" t="s">
        <v>5867</v>
      </c>
      <c r="BV181" s="0" t="s">
        <v>5867</v>
      </c>
      <c r="BW181" s="0" t="s">
        <v>5697</v>
      </c>
      <c r="BX181" s="0" t="s">
        <v>5697</v>
      </c>
      <c r="BY181" s="0" t="s">
        <v>5697</v>
      </c>
      <c r="BZ181" s="0" t="s">
        <v>5697</v>
      </c>
      <c r="CA181" s="0" t="s">
        <v>5697</v>
      </c>
      <c r="CB181" s="0" t="s">
        <v>227</v>
      </c>
      <c r="CC181" s="0" t="s">
        <v>227</v>
      </c>
      <c r="CD181" s="0" t="s">
        <v>227</v>
      </c>
      <c r="CE181" s="0" t="s">
        <v>227</v>
      </c>
      <c r="CF181" s="0" t="s">
        <v>227</v>
      </c>
      <c r="CG181" s="0" t="s">
        <v>5697</v>
      </c>
      <c r="CH181" s="0" t="s">
        <v>227</v>
      </c>
      <c r="CI181" s="0" t="s">
        <v>227</v>
      </c>
      <c r="CJ181" s="0" t="s">
        <v>227</v>
      </c>
      <c r="CK181" s="0" t="s">
        <v>227</v>
      </c>
      <c r="CL181" s="0" t="s">
        <v>227</v>
      </c>
      <c r="CM181" s="0" t="s">
        <v>5867</v>
      </c>
      <c r="CN181" s="0" t="s">
        <v>5867</v>
      </c>
      <c r="CO181" s="0" t="s">
        <v>227</v>
      </c>
      <c r="CP181" s="0" t="s">
        <v>227</v>
      </c>
      <c r="CQ181" s="0" t="s">
        <v>227</v>
      </c>
      <c r="CR181" s="0" t="s">
        <v>227</v>
      </c>
      <c r="CS181" s="0" t="s">
        <v>5759</v>
      </c>
      <c r="CT181" s="0" t="s">
        <v>5679</v>
      </c>
      <c r="CU181" s="0" t="s">
        <v>5680</v>
      </c>
      <c r="CV181" s="0" t="s">
        <v>430</v>
      </c>
      <c r="CW181" s="0" t="s">
        <v>5699</v>
      </c>
      <c r="CX181" s="0" t="s">
        <v>431</v>
      </c>
      <c r="CY181" s="0" t="s">
        <v>430</v>
      </c>
      <c r="CZ181" s="0" t="s">
        <v>432</v>
      </c>
      <c r="DA181" s="0" t="s">
        <v>433</v>
      </c>
      <c r="DB181" s="0" t="s">
        <v>5700</v>
      </c>
      <c r="DC181" s="0" t="s">
        <v>373</v>
      </c>
      <c r="DD181" s="0" t="s">
        <v>277</v>
      </c>
      <c r="DE181" s="0" t="s">
        <v>572</v>
      </c>
    </row>
    <row customHeight="1" ht="11.25">
      <c r="A182" s="1806" t="s">
        <v>227</v>
      </c>
      <c r="B182" s="0" t="s">
        <v>227</v>
      </c>
      <c r="C182" s="0" t="s">
        <v>227</v>
      </c>
      <c r="D182" s="0" t="s">
        <v>227</v>
      </c>
      <c r="E182" s="0" t="s">
        <v>227</v>
      </c>
      <c r="F182" s="0" t="s">
        <v>227</v>
      </c>
      <c r="G182" s="0" t="s">
        <v>227</v>
      </c>
      <c r="H182" s="0" t="s">
        <v>227</v>
      </c>
      <c r="I182" s="0" t="s">
        <v>5667</v>
      </c>
      <c r="J182" s="0" t="s">
        <v>227</v>
      </c>
      <c r="K182" s="0" t="s">
        <v>227</v>
      </c>
      <c r="L182" s="0" t="s">
        <v>227</v>
      </c>
      <c r="M182" s="0" t="s">
        <v>227</v>
      </c>
      <c r="N182" s="0" t="s">
        <v>227</v>
      </c>
      <c r="O182" s="0" t="s">
        <v>227</v>
      </c>
      <c r="P182" s="0" t="s">
        <v>227</v>
      </c>
      <c r="Q182" s="0" t="s">
        <v>227</v>
      </c>
      <c r="R182" s="0" t="s">
        <v>580</v>
      </c>
      <c r="S182" s="0" t="s">
        <v>227</v>
      </c>
      <c r="T182" s="0" t="s">
        <v>227</v>
      </c>
      <c r="U182" s="0" t="s">
        <v>102</v>
      </c>
      <c r="V182" s="0" t="s">
        <v>227</v>
      </c>
      <c r="W182" s="0" t="s">
        <v>227</v>
      </c>
      <c r="X182" s="0" t="s">
        <v>5683</v>
      </c>
      <c r="Y182" s="0" t="s">
        <v>227</v>
      </c>
      <c r="Z182" s="0" t="s">
        <v>152</v>
      </c>
      <c r="AA182" s="0" t="s">
        <v>152</v>
      </c>
      <c r="AB182" s="0" t="s">
        <v>161</v>
      </c>
      <c r="AC182" s="0" t="s">
        <v>354</v>
      </c>
      <c r="AD182" s="0" t="s">
        <v>354</v>
      </c>
      <c r="AE182" s="0" t="s">
        <v>355</v>
      </c>
      <c r="AF182" s="0" t="s">
        <v>5684</v>
      </c>
      <c r="AG182" s="0" t="s">
        <v>5685</v>
      </c>
      <c r="AH182" s="0" t="s">
        <v>6174</v>
      </c>
      <c r="AI182" s="0" t="s">
        <v>5692</v>
      </c>
      <c r="AJ182" s="0" t="s">
        <v>227</v>
      </c>
      <c r="AK182" s="0" t="s">
        <v>227</v>
      </c>
      <c r="AL182" s="0" t="s">
        <v>227</v>
      </c>
      <c r="AM182" s="0" t="s">
        <v>227</v>
      </c>
      <c r="AN182" s="0" t="s">
        <v>227</v>
      </c>
      <c r="AO182" s="0" t="s">
        <v>227</v>
      </c>
      <c r="AP182" s="0" t="s">
        <v>227</v>
      </c>
      <c r="AQ182" s="0" t="s">
        <v>227</v>
      </c>
      <c r="AR182" s="0" t="s">
        <v>227</v>
      </c>
      <c r="AS182" s="0" t="s">
        <v>227</v>
      </c>
      <c r="AT182" s="0" t="s">
        <v>227</v>
      </c>
      <c r="AU182" s="0" t="s">
        <v>227</v>
      </c>
      <c r="AV182" s="0" t="s">
        <v>227</v>
      </c>
      <c r="AW182" s="0" t="s">
        <v>227</v>
      </c>
      <c r="AX182" s="0" t="s">
        <v>227</v>
      </c>
      <c r="AY182" s="0" t="s">
        <v>227</v>
      </c>
      <c r="AZ182" s="0" t="s">
        <v>227</v>
      </c>
      <c r="BA182" s="0" t="s">
        <v>227</v>
      </c>
      <c r="BB182" s="0" t="s">
        <v>227</v>
      </c>
      <c r="BC182" s="0" t="s">
        <v>227</v>
      </c>
      <c r="BD182" s="0" t="s">
        <v>227</v>
      </c>
      <c r="BE182" s="0" t="s">
        <v>5728</v>
      </c>
      <c r="BF182" s="0" t="s">
        <v>5873</v>
      </c>
      <c r="BG182" s="0" t="s">
        <v>112</v>
      </c>
      <c r="BH182" s="0" t="s">
        <v>5690</v>
      </c>
      <c r="BI182" s="0" t="s">
        <v>5691</v>
      </c>
      <c r="BJ182" s="0" t="s">
        <v>227</v>
      </c>
      <c r="BK182" s="0" t="s">
        <v>5692</v>
      </c>
      <c r="BL182" s="0" t="s">
        <v>354</v>
      </c>
      <c r="BM182" s="0" t="s">
        <v>354</v>
      </c>
      <c r="BN182" s="0" t="s">
        <v>5693</v>
      </c>
      <c r="BO182" s="0" t="s">
        <v>5684</v>
      </c>
      <c r="BP182" s="0" t="s">
        <v>5694</v>
      </c>
      <c r="BQ182" s="0" t="s">
        <v>5692</v>
      </c>
      <c r="BR182" s="0" t="s">
        <v>5692</v>
      </c>
      <c r="BS182" s="0" t="s">
        <v>227</v>
      </c>
      <c r="BT182" s="0" t="s">
        <v>5695</v>
      </c>
      <c r="BU182" s="0" t="s">
        <v>6175</v>
      </c>
      <c r="BV182" s="0" t="s">
        <v>6175</v>
      </c>
      <c r="BW182" s="0" t="s">
        <v>5697</v>
      </c>
      <c r="BX182" s="0" t="s">
        <v>5697</v>
      </c>
      <c r="BY182" s="0" t="s">
        <v>5697</v>
      </c>
      <c r="BZ182" s="0" t="s">
        <v>5697</v>
      </c>
      <c r="CA182" s="0" t="s">
        <v>5697</v>
      </c>
      <c r="CB182" s="0" t="s">
        <v>227</v>
      </c>
      <c r="CC182" s="0" t="s">
        <v>227</v>
      </c>
      <c r="CD182" s="0" t="s">
        <v>227</v>
      </c>
      <c r="CE182" s="0" t="s">
        <v>227</v>
      </c>
      <c r="CF182" s="0" t="s">
        <v>227</v>
      </c>
      <c r="CG182" s="0" t="s">
        <v>5697</v>
      </c>
      <c r="CH182" s="0" t="s">
        <v>227</v>
      </c>
      <c r="CI182" s="0" t="s">
        <v>227</v>
      </c>
      <c r="CJ182" s="0" t="s">
        <v>227</v>
      </c>
      <c r="CK182" s="0" t="s">
        <v>227</v>
      </c>
      <c r="CL182" s="0" t="s">
        <v>227</v>
      </c>
      <c r="CM182" s="0" t="s">
        <v>6175</v>
      </c>
      <c r="CN182" s="0" t="s">
        <v>6175</v>
      </c>
      <c r="CO182" s="0" t="s">
        <v>227</v>
      </c>
      <c r="CP182" s="0" t="s">
        <v>227</v>
      </c>
      <c r="CQ182" s="0" t="s">
        <v>227</v>
      </c>
      <c r="CR182" s="0" t="s">
        <v>227</v>
      </c>
      <c r="CS182" s="0" t="s">
        <v>5705</v>
      </c>
      <c r="CT182" s="0" t="s">
        <v>5679</v>
      </c>
      <c r="CU182" s="0" t="s">
        <v>5680</v>
      </c>
      <c r="CV182" s="0" t="s">
        <v>430</v>
      </c>
      <c r="CW182" s="0" t="s">
        <v>5699</v>
      </c>
      <c r="CX182" s="0" t="s">
        <v>431</v>
      </c>
      <c r="CY182" s="0" t="s">
        <v>430</v>
      </c>
      <c r="CZ182" s="0" t="s">
        <v>432</v>
      </c>
      <c r="DA182" s="0" t="s">
        <v>433</v>
      </c>
      <c r="DB182" s="0" t="s">
        <v>5700</v>
      </c>
      <c r="DC182" s="0" t="s">
        <v>373</v>
      </c>
      <c r="DD182" s="0" t="s">
        <v>277</v>
      </c>
      <c r="DE182" s="0" t="s">
        <v>581</v>
      </c>
    </row>
    <row customHeight="1" ht="11.25">
      <c r="A183" s="1806" t="s">
        <v>227</v>
      </c>
      <c r="B183" s="0" t="s">
        <v>227</v>
      </c>
      <c r="C183" s="0" t="s">
        <v>227</v>
      </c>
      <c r="D183" s="0" t="s">
        <v>227</v>
      </c>
      <c r="E183" s="0" t="s">
        <v>227</v>
      </c>
      <c r="F183" s="0" t="s">
        <v>227</v>
      </c>
      <c r="G183" s="0" t="s">
        <v>227</v>
      </c>
      <c r="H183" s="0" t="s">
        <v>227</v>
      </c>
      <c r="I183" s="0" t="s">
        <v>5667</v>
      </c>
      <c r="J183" s="0" t="s">
        <v>227</v>
      </c>
      <c r="K183" s="0" t="s">
        <v>227</v>
      </c>
      <c r="L183" s="0" t="s">
        <v>227</v>
      </c>
      <c r="M183" s="0" t="s">
        <v>227</v>
      </c>
      <c r="N183" s="0" t="s">
        <v>227</v>
      </c>
      <c r="O183" s="0" t="s">
        <v>227</v>
      </c>
      <c r="P183" s="0" t="s">
        <v>227</v>
      </c>
      <c r="Q183" s="0" t="s">
        <v>227</v>
      </c>
      <c r="R183" s="0" t="s">
        <v>835</v>
      </c>
      <c r="S183" s="0" t="s">
        <v>227</v>
      </c>
      <c r="T183" s="0" t="s">
        <v>227</v>
      </c>
      <c r="U183" s="0" t="s">
        <v>102</v>
      </c>
      <c r="V183" s="0" t="s">
        <v>227</v>
      </c>
      <c r="W183" s="0" t="s">
        <v>227</v>
      </c>
      <c r="X183" s="0" t="s">
        <v>5683</v>
      </c>
      <c r="Y183" s="0" t="s">
        <v>227</v>
      </c>
      <c r="Z183" s="0" t="s">
        <v>152</v>
      </c>
      <c r="AA183" s="0" t="s">
        <v>152</v>
      </c>
      <c r="AB183" s="0" t="s">
        <v>161</v>
      </c>
      <c r="AC183" s="0" t="s">
        <v>354</v>
      </c>
      <c r="AD183" s="0" t="s">
        <v>354</v>
      </c>
      <c r="AE183" s="0" t="s">
        <v>355</v>
      </c>
      <c r="AF183" s="0" t="s">
        <v>5701</v>
      </c>
      <c r="AG183" s="0" t="s">
        <v>5702</v>
      </c>
      <c r="AH183" s="0" t="s">
        <v>6176</v>
      </c>
      <c r="AI183" s="0" t="s">
        <v>6177</v>
      </c>
      <c r="AJ183" s="0" t="s">
        <v>227</v>
      </c>
      <c r="AK183" s="0" t="s">
        <v>227</v>
      </c>
      <c r="AL183" s="0" t="s">
        <v>227</v>
      </c>
      <c r="AM183" s="0" t="s">
        <v>227</v>
      </c>
      <c r="AN183" s="0" t="s">
        <v>227</v>
      </c>
      <c r="AO183" s="0" t="s">
        <v>227</v>
      </c>
      <c r="AP183" s="0" t="s">
        <v>227</v>
      </c>
      <c r="AQ183" s="0" t="s">
        <v>227</v>
      </c>
      <c r="AR183" s="0" t="s">
        <v>227</v>
      </c>
      <c r="AS183" s="0" t="s">
        <v>227</v>
      </c>
      <c r="AT183" s="0" t="s">
        <v>227</v>
      </c>
      <c r="AU183" s="0" t="s">
        <v>227</v>
      </c>
      <c r="AV183" s="0" t="s">
        <v>227</v>
      </c>
      <c r="AW183" s="0" t="s">
        <v>227</v>
      </c>
      <c r="AX183" s="0" t="s">
        <v>227</v>
      </c>
      <c r="AY183" s="0" t="s">
        <v>227</v>
      </c>
      <c r="AZ183" s="0" t="s">
        <v>227</v>
      </c>
      <c r="BA183" s="0" t="s">
        <v>227</v>
      </c>
      <c r="BB183" s="0" t="s">
        <v>227</v>
      </c>
      <c r="BC183" s="0" t="s">
        <v>227</v>
      </c>
      <c r="BD183" s="0" t="s">
        <v>227</v>
      </c>
      <c r="BE183" s="0" t="s">
        <v>5688</v>
      </c>
      <c r="BF183" s="0" t="s">
        <v>5689</v>
      </c>
      <c r="BG183" s="0" t="s">
        <v>112</v>
      </c>
      <c r="BH183" s="0" t="s">
        <v>5690</v>
      </c>
      <c r="BI183" s="0" t="s">
        <v>5691</v>
      </c>
      <c r="BJ183" s="0" t="s">
        <v>227</v>
      </c>
      <c r="BK183" s="0" t="s">
        <v>952</v>
      </c>
      <c r="BL183" s="0" t="s">
        <v>354</v>
      </c>
      <c r="BM183" s="0" t="s">
        <v>354</v>
      </c>
      <c r="BN183" s="0" t="s">
        <v>5693</v>
      </c>
      <c r="BO183" s="0" t="s">
        <v>5701</v>
      </c>
      <c r="BP183" s="0" t="s">
        <v>5706</v>
      </c>
      <c r="BQ183" s="0" t="s">
        <v>5707</v>
      </c>
      <c r="BR183" s="0" t="s">
        <v>5708</v>
      </c>
      <c r="BS183" s="0" t="s">
        <v>227</v>
      </c>
      <c r="BT183" s="0" t="s">
        <v>5695</v>
      </c>
      <c r="BU183" s="0" t="s">
        <v>6178</v>
      </c>
      <c r="BV183" s="0" t="s">
        <v>6178</v>
      </c>
      <c r="BW183" s="0" t="s">
        <v>5697</v>
      </c>
      <c r="BX183" s="0" t="s">
        <v>5697</v>
      </c>
      <c r="BY183" s="0" t="s">
        <v>5697</v>
      </c>
      <c r="BZ183" s="0" t="s">
        <v>5697</v>
      </c>
      <c r="CA183" s="0" t="s">
        <v>5697</v>
      </c>
      <c r="CB183" s="0" t="s">
        <v>227</v>
      </c>
      <c r="CC183" s="0" t="s">
        <v>227</v>
      </c>
      <c r="CD183" s="0" t="s">
        <v>227</v>
      </c>
      <c r="CE183" s="0" t="s">
        <v>227</v>
      </c>
      <c r="CF183" s="0" t="s">
        <v>227</v>
      </c>
      <c r="CG183" s="0" t="s">
        <v>5697</v>
      </c>
      <c r="CH183" s="0" t="s">
        <v>227</v>
      </c>
      <c r="CI183" s="0" t="s">
        <v>227</v>
      </c>
      <c r="CJ183" s="0" t="s">
        <v>227</v>
      </c>
      <c r="CK183" s="0" t="s">
        <v>227</v>
      </c>
      <c r="CL183" s="0" t="s">
        <v>227</v>
      </c>
      <c r="CM183" s="0" t="s">
        <v>6178</v>
      </c>
      <c r="CN183" s="0" t="s">
        <v>6178</v>
      </c>
      <c r="CO183" s="0" t="s">
        <v>227</v>
      </c>
      <c r="CP183" s="0" t="s">
        <v>227</v>
      </c>
      <c r="CQ183" s="0" t="s">
        <v>227</v>
      </c>
      <c r="CR183" s="0" t="s">
        <v>227</v>
      </c>
      <c r="CS183" s="0" t="s">
        <v>5759</v>
      </c>
      <c r="CT183" s="0" t="s">
        <v>5679</v>
      </c>
      <c r="CU183" s="0" t="s">
        <v>5680</v>
      </c>
      <c r="CV183" s="0" t="s">
        <v>430</v>
      </c>
      <c r="CW183" s="0" t="s">
        <v>5699</v>
      </c>
      <c r="CX183" s="0" t="s">
        <v>431</v>
      </c>
      <c r="CY183" s="0" t="s">
        <v>430</v>
      </c>
      <c r="CZ183" s="0" t="s">
        <v>432</v>
      </c>
      <c r="DA183" s="0" t="s">
        <v>433</v>
      </c>
      <c r="DB183" s="0" t="s">
        <v>5700</v>
      </c>
      <c r="DC183" s="0" t="s">
        <v>373</v>
      </c>
      <c r="DD183" s="0" t="s">
        <v>277</v>
      </c>
      <c r="DE183" s="0" t="s">
        <v>836</v>
      </c>
    </row>
    <row customHeight="1" ht="11.25">
      <c r="A184" s="1806" t="s">
        <v>227</v>
      </c>
      <c r="B184" s="0" t="s">
        <v>227</v>
      </c>
      <c r="C184" s="0" t="s">
        <v>227</v>
      </c>
      <c r="D184" s="0" t="s">
        <v>227</v>
      </c>
      <c r="E184" s="0" t="s">
        <v>227</v>
      </c>
      <c r="F184" s="0" t="s">
        <v>227</v>
      </c>
      <c r="G184" s="0" t="s">
        <v>227</v>
      </c>
      <c r="H184" s="0" t="s">
        <v>227</v>
      </c>
      <c r="I184" s="0" t="s">
        <v>5667</v>
      </c>
      <c r="J184" s="0" t="s">
        <v>227</v>
      </c>
      <c r="K184" s="0" t="s">
        <v>227</v>
      </c>
      <c r="L184" s="0" t="s">
        <v>227</v>
      </c>
      <c r="M184" s="0" t="s">
        <v>227</v>
      </c>
      <c r="N184" s="0" t="s">
        <v>227</v>
      </c>
      <c r="O184" s="0" t="s">
        <v>227</v>
      </c>
      <c r="P184" s="0" t="s">
        <v>227</v>
      </c>
      <c r="Q184" s="0" t="s">
        <v>227</v>
      </c>
      <c r="R184" s="0" t="s">
        <v>696</v>
      </c>
      <c r="S184" s="0" t="s">
        <v>227</v>
      </c>
      <c r="T184" s="0" t="s">
        <v>227</v>
      </c>
      <c r="U184" s="0" t="s">
        <v>102</v>
      </c>
      <c r="V184" s="0" t="s">
        <v>227</v>
      </c>
      <c r="W184" s="0" t="s">
        <v>227</v>
      </c>
      <c r="X184" s="0" t="s">
        <v>5683</v>
      </c>
      <c r="Y184" s="0" t="s">
        <v>227</v>
      </c>
      <c r="Z184" s="0" t="s">
        <v>152</v>
      </c>
      <c r="AA184" s="0" t="s">
        <v>152</v>
      </c>
      <c r="AB184" s="0" t="s">
        <v>161</v>
      </c>
      <c r="AC184" s="0" t="s">
        <v>354</v>
      </c>
      <c r="AD184" s="0" t="s">
        <v>354</v>
      </c>
      <c r="AE184" s="0" t="s">
        <v>355</v>
      </c>
      <c r="AF184" s="0" t="s">
        <v>5701</v>
      </c>
      <c r="AG184" s="0" t="s">
        <v>5702</v>
      </c>
      <c r="AH184" s="0" t="s">
        <v>6062</v>
      </c>
      <c r="AI184" s="0" t="s">
        <v>6179</v>
      </c>
      <c r="AJ184" s="0" t="s">
        <v>227</v>
      </c>
      <c r="AK184" s="0" t="s">
        <v>227</v>
      </c>
      <c r="AL184" s="0" t="s">
        <v>227</v>
      </c>
      <c r="AM184" s="0" t="s">
        <v>227</v>
      </c>
      <c r="AN184" s="0" t="s">
        <v>227</v>
      </c>
      <c r="AO184" s="0" t="s">
        <v>227</v>
      </c>
      <c r="AP184" s="0" t="s">
        <v>227</v>
      </c>
      <c r="AQ184" s="0" t="s">
        <v>227</v>
      </c>
      <c r="AR184" s="0" t="s">
        <v>227</v>
      </c>
      <c r="AS184" s="0" t="s">
        <v>227</v>
      </c>
      <c r="AT184" s="0" t="s">
        <v>227</v>
      </c>
      <c r="AU184" s="0" t="s">
        <v>227</v>
      </c>
      <c r="AV184" s="0" t="s">
        <v>227</v>
      </c>
      <c r="AW184" s="0" t="s">
        <v>227</v>
      </c>
      <c r="AX184" s="0" t="s">
        <v>227</v>
      </c>
      <c r="AY184" s="0" t="s">
        <v>227</v>
      </c>
      <c r="AZ184" s="0" t="s">
        <v>227</v>
      </c>
      <c r="BA184" s="0" t="s">
        <v>227</v>
      </c>
      <c r="BB184" s="0" t="s">
        <v>227</v>
      </c>
      <c r="BC184" s="0" t="s">
        <v>227</v>
      </c>
      <c r="BD184" s="0" t="s">
        <v>227</v>
      </c>
      <c r="BE184" s="0" t="s">
        <v>5748</v>
      </c>
      <c r="BF184" s="0" t="s">
        <v>5744</v>
      </c>
      <c r="BG184" s="0" t="s">
        <v>112</v>
      </c>
      <c r="BH184" s="0" t="s">
        <v>5690</v>
      </c>
      <c r="BI184" s="0" t="s">
        <v>5691</v>
      </c>
      <c r="BJ184" s="0" t="s">
        <v>227</v>
      </c>
      <c r="BK184" s="0" t="s">
        <v>952</v>
      </c>
      <c r="BL184" s="0" t="s">
        <v>354</v>
      </c>
      <c r="BM184" s="0" t="s">
        <v>354</v>
      </c>
      <c r="BN184" s="0" t="s">
        <v>5693</v>
      </c>
      <c r="BO184" s="0" t="s">
        <v>5701</v>
      </c>
      <c r="BP184" s="0" t="s">
        <v>5706</v>
      </c>
      <c r="BQ184" s="0" t="s">
        <v>5707</v>
      </c>
      <c r="BR184" s="0" t="s">
        <v>5708</v>
      </c>
      <c r="BS184" s="0" t="s">
        <v>227</v>
      </c>
      <c r="BT184" s="0" t="s">
        <v>5695</v>
      </c>
      <c r="BU184" s="0" t="s">
        <v>6180</v>
      </c>
      <c r="BV184" s="0" t="s">
        <v>6180</v>
      </c>
      <c r="BW184" s="0" t="s">
        <v>5697</v>
      </c>
      <c r="BX184" s="0" t="s">
        <v>5697</v>
      </c>
      <c r="BY184" s="0" t="s">
        <v>5697</v>
      </c>
      <c r="BZ184" s="0" t="s">
        <v>5697</v>
      </c>
      <c r="CA184" s="0" t="s">
        <v>5697</v>
      </c>
      <c r="CB184" s="0" t="s">
        <v>227</v>
      </c>
      <c r="CC184" s="0" t="s">
        <v>227</v>
      </c>
      <c r="CD184" s="0" t="s">
        <v>227</v>
      </c>
      <c r="CE184" s="0" t="s">
        <v>227</v>
      </c>
      <c r="CF184" s="0" t="s">
        <v>227</v>
      </c>
      <c r="CG184" s="0" t="s">
        <v>5697</v>
      </c>
      <c r="CH184" s="0" t="s">
        <v>227</v>
      </c>
      <c r="CI184" s="0" t="s">
        <v>227</v>
      </c>
      <c r="CJ184" s="0" t="s">
        <v>227</v>
      </c>
      <c r="CK184" s="0" t="s">
        <v>227</v>
      </c>
      <c r="CL184" s="0" t="s">
        <v>227</v>
      </c>
      <c r="CM184" s="0" t="s">
        <v>6180</v>
      </c>
      <c r="CN184" s="0" t="s">
        <v>6180</v>
      </c>
      <c r="CO184" s="0" t="s">
        <v>227</v>
      </c>
      <c r="CP184" s="0" t="s">
        <v>227</v>
      </c>
      <c r="CQ184" s="0" t="s">
        <v>227</v>
      </c>
      <c r="CR184" s="0" t="s">
        <v>227</v>
      </c>
      <c r="CS184" s="0" t="s">
        <v>5733</v>
      </c>
      <c r="CT184" s="0" t="s">
        <v>5679</v>
      </c>
      <c r="CU184" s="0" t="s">
        <v>5680</v>
      </c>
      <c r="CV184" s="0" t="s">
        <v>430</v>
      </c>
      <c r="CW184" s="0" t="s">
        <v>5699</v>
      </c>
      <c r="CX184" s="0" t="s">
        <v>431</v>
      </c>
      <c r="CY184" s="0" t="s">
        <v>430</v>
      </c>
      <c r="CZ184" s="0" t="s">
        <v>432</v>
      </c>
      <c r="DA184" s="0" t="s">
        <v>433</v>
      </c>
      <c r="DB184" s="0" t="s">
        <v>5700</v>
      </c>
      <c r="DC184" s="0" t="s">
        <v>373</v>
      </c>
      <c r="DD184" s="0" t="s">
        <v>277</v>
      </c>
      <c r="DE184" s="0" t="s">
        <v>942</v>
      </c>
    </row>
    <row customHeight="1" ht="11.25">
      <c r="A185" s="1806" t="s">
        <v>227</v>
      </c>
      <c r="B185" s="0" t="s">
        <v>227</v>
      </c>
      <c r="C185" s="0" t="s">
        <v>227</v>
      </c>
      <c r="D185" s="0" t="s">
        <v>227</v>
      </c>
      <c r="E185" s="0" t="s">
        <v>227</v>
      </c>
      <c r="F185" s="0" t="s">
        <v>227</v>
      </c>
      <c r="G185" s="0" t="s">
        <v>227</v>
      </c>
      <c r="H185" s="0" t="s">
        <v>227</v>
      </c>
      <c r="I185" s="0" t="s">
        <v>5667</v>
      </c>
      <c r="J185" s="0" t="s">
        <v>227</v>
      </c>
      <c r="K185" s="0" t="s">
        <v>227</v>
      </c>
      <c r="L185" s="0" t="s">
        <v>227</v>
      </c>
      <c r="M185" s="0" t="s">
        <v>227</v>
      </c>
      <c r="N185" s="0" t="s">
        <v>227</v>
      </c>
      <c r="O185" s="0" t="s">
        <v>227</v>
      </c>
      <c r="P185" s="0" t="s">
        <v>227</v>
      </c>
      <c r="Q185" s="0" t="s">
        <v>227</v>
      </c>
      <c r="R185" s="0" t="s">
        <v>521</v>
      </c>
      <c r="S185" s="0" t="s">
        <v>227</v>
      </c>
      <c r="T185" s="0" t="s">
        <v>227</v>
      </c>
      <c r="U185" s="0" t="s">
        <v>102</v>
      </c>
      <c r="V185" s="0" t="s">
        <v>227</v>
      </c>
      <c r="W185" s="0" t="s">
        <v>227</v>
      </c>
      <c r="X185" s="0" t="s">
        <v>5683</v>
      </c>
      <c r="Y185" s="0" t="s">
        <v>227</v>
      </c>
      <c r="Z185" s="0" t="s">
        <v>152</v>
      </c>
      <c r="AA185" s="0" t="s">
        <v>152</v>
      </c>
      <c r="AB185" s="0" t="s">
        <v>161</v>
      </c>
      <c r="AC185" s="0" t="s">
        <v>354</v>
      </c>
      <c r="AD185" s="0" t="s">
        <v>354</v>
      </c>
      <c r="AE185" s="0" t="s">
        <v>355</v>
      </c>
      <c r="AF185" s="0" t="s">
        <v>5684</v>
      </c>
      <c r="AG185" s="0" t="s">
        <v>5685</v>
      </c>
      <c r="AH185" s="0" t="s">
        <v>5969</v>
      </c>
      <c r="AI185" s="0" t="s">
        <v>6181</v>
      </c>
      <c r="AJ185" s="0" t="s">
        <v>227</v>
      </c>
      <c r="AK185" s="0" t="s">
        <v>227</v>
      </c>
      <c r="AL185" s="0" t="s">
        <v>227</v>
      </c>
      <c r="AM185" s="0" t="s">
        <v>227</v>
      </c>
      <c r="AN185" s="0" t="s">
        <v>227</v>
      </c>
      <c r="AO185" s="0" t="s">
        <v>227</v>
      </c>
      <c r="AP185" s="0" t="s">
        <v>227</v>
      </c>
      <c r="AQ185" s="0" t="s">
        <v>227</v>
      </c>
      <c r="AR185" s="0" t="s">
        <v>227</v>
      </c>
      <c r="AS185" s="0" t="s">
        <v>227</v>
      </c>
      <c r="AT185" s="0" t="s">
        <v>227</v>
      </c>
      <c r="AU185" s="0" t="s">
        <v>227</v>
      </c>
      <c r="AV185" s="0" t="s">
        <v>227</v>
      </c>
      <c r="AW185" s="0" t="s">
        <v>227</v>
      </c>
      <c r="AX185" s="0" t="s">
        <v>227</v>
      </c>
      <c r="AY185" s="0" t="s">
        <v>227</v>
      </c>
      <c r="AZ185" s="0" t="s">
        <v>227</v>
      </c>
      <c r="BA185" s="0" t="s">
        <v>227</v>
      </c>
      <c r="BB185" s="0" t="s">
        <v>227</v>
      </c>
      <c r="BC185" s="0" t="s">
        <v>227</v>
      </c>
      <c r="BD185" s="0" t="s">
        <v>227</v>
      </c>
      <c r="BE185" s="0" t="s">
        <v>6182</v>
      </c>
      <c r="BF185" s="0" t="s">
        <v>5876</v>
      </c>
      <c r="BG185" s="0" t="s">
        <v>112</v>
      </c>
      <c r="BH185" s="0" t="s">
        <v>5690</v>
      </c>
      <c r="BI185" s="0" t="s">
        <v>5691</v>
      </c>
      <c r="BJ185" s="0" t="s">
        <v>227</v>
      </c>
      <c r="BK185" s="0" t="s">
        <v>5692</v>
      </c>
      <c r="BL185" s="0" t="s">
        <v>354</v>
      </c>
      <c r="BM185" s="0" t="s">
        <v>354</v>
      </c>
      <c r="BN185" s="0" t="s">
        <v>5693</v>
      </c>
      <c r="BO185" s="0" t="s">
        <v>5684</v>
      </c>
      <c r="BP185" s="0" t="s">
        <v>5694</v>
      </c>
      <c r="BQ185" s="0" t="s">
        <v>5692</v>
      </c>
      <c r="BR185" s="0" t="s">
        <v>5692</v>
      </c>
      <c r="BS185" s="0" t="s">
        <v>227</v>
      </c>
      <c r="BT185" s="0" t="s">
        <v>5695</v>
      </c>
      <c r="BU185" s="0" t="s">
        <v>5987</v>
      </c>
      <c r="BV185" s="0" t="s">
        <v>5987</v>
      </c>
      <c r="BW185" s="0" t="s">
        <v>5697</v>
      </c>
      <c r="BX185" s="0" t="s">
        <v>5697</v>
      </c>
      <c r="BY185" s="0" t="s">
        <v>5697</v>
      </c>
      <c r="BZ185" s="0" t="s">
        <v>5697</v>
      </c>
      <c r="CA185" s="0" t="s">
        <v>5697</v>
      </c>
      <c r="CB185" s="0" t="s">
        <v>227</v>
      </c>
      <c r="CC185" s="0" t="s">
        <v>227</v>
      </c>
      <c r="CD185" s="0" t="s">
        <v>227</v>
      </c>
      <c r="CE185" s="0" t="s">
        <v>227</v>
      </c>
      <c r="CF185" s="0" t="s">
        <v>227</v>
      </c>
      <c r="CG185" s="0" t="s">
        <v>5697</v>
      </c>
      <c r="CH185" s="0" t="s">
        <v>227</v>
      </c>
      <c r="CI185" s="0" t="s">
        <v>227</v>
      </c>
      <c r="CJ185" s="0" t="s">
        <v>227</v>
      </c>
      <c r="CK185" s="0" t="s">
        <v>227</v>
      </c>
      <c r="CL185" s="0" t="s">
        <v>227</v>
      </c>
      <c r="CM185" s="0" t="s">
        <v>5987</v>
      </c>
      <c r="CN185" s="0" t="s">
        <v>5987</v>
      </c>
      <c r="CO185" s="0" t="s">
        <v>227</v>
      </c>
      <c r="CP185" s="0" t="s">
        <v>227</v>
      </c>
      <c r="CQ185" s="0" t="s">
        <v>227</v>
      </c>
      <c r="CR185" s="0" t="s">
        <v>227</v>
      </c>
      <c r="CS185" s="0" t="s">
        <v>6014</v>
      </c>
      <c r="CT185" s="0" t="s">
        <v>5679</v>
      </c>
      <c r="CU185" s="0" t="s">
        <v>5680</v>
      </c>
      <c r="CV185" s="0" t="s">
        <v>430</v>
      </c>
      <c r="CW185" s="0" t="s">
        <v>5699</v>
      </c>
      <c r="CX185" s="0" t="s">
        <v>431</v>
      </c>
      <c r="CY185" s="0" t="s">
        <v>430</v>
      </c>
      <c r="CZ185" s="0" t="s">
        <v>432</v>
      </c>
      <c r="DA185" s="0" t="s">
        <v>433</v>
      </c>
      <c r="DB185" s="0" t="s">
        <v>5700</v>
      </c>
      <c r="DC185" s="0" t="s">
        <v>373</v>
      </c>
      <c r="DD185" s="0" t="s">
        <v>277</v>
      </c>
      <c r="DE185" s="0" t="s">
        <v>522</v>
      </c>
    </row>
    <row customHeight="1" ht="11.25">
      <c r="A186" s="1806" t="s">
        <v>227</v>
      </c>
      <c r="B186" s="0" t="s">
        <v>227</v>
      </c>
      <c r="C186" s="0" t="s">
        <v>227</v>
      </c>
      <c r="D186" s="0" t="s">
        <v>227</v>
      </c>
      <c r="E186" s="0" t="s">
        <v>227</v>
      </c>
      <c r="F186" s="0" t="s">
        <v>227</v>
      </c>
      <c r="G186" s="0" t="s">
        <v>227</v>
      </c>
      <c r="H186" s="0" t="s">
        <v>227</v>
      </c>
      <c r="I186" s="0" t="s">
        <v>5667</v>
      </c>
      <c r="J186" s="0" t="s">
        <v>227</v>
      </c>
      <c r="K186" s="0" t="s">
        <v>227</v>
      </c>
      <c r="L186" s="0" t="s">
        <v>227</v>
      </c>
      <c r="M186" s="0" t="s">
        <v>227</v>
      </c>
      <c r="N186" s="0" t="s">
        <v>227</v>
      </c>
      <c r="O186" s="0" t="s">
        <v>227</v>
      </c>
      <c r="P186" s="0" t="s">
        <v>227</v>
      </c>
      <c r="Q186" s="0" t="s">
        <v>227</v>
      </c>
      <c r="R186" s="0" t="s">
        <v>597</v>
      </c>
      <c r="S186" s="0" t="s">
        <v>227</v>
      </c>
      <c r="T186" s="0" t="s">
        <v>227</v>
      </c>
      <c r="U186" s="0" t="s">
        <v>102</v>
      </c>
      <c r="V186" s="0" t="s">
        <v>227</v>
      </c>
      <c r="W186" s="0" t="s">
        <v>227</v>
      </c>
      <c r="X186" s="0" t="s">
        <v>5683</v>
      </c>
      <c r="Y186" s="0" t="s">
        <v>227</v>
      </c>
      <c r="Z186" s="0" t="s">
        <v>152</v>
      </c>
      <c r="AA186" s="0" t="s">
        <v>152</v>
      </c>
      <c r="AB186" s="0" t="s">
        <v>161</v>
      </c>
      <c r="AC186" s="0" t="s">
        <v>354</v>
      </c>
      <c r="AD186" s="0" t="s">
        <v>354</v>
      </c>
      <c r="AE186" s="0" t="s">
        <v>355</v>
      </c>
      <c r="AF186" s="0" t="s">
        <v>5684</v>
      </c>
      <c r="AG186" s="0" t="s">
        <v>5685</v>
      </c>
      <c r="AH186" s="0" t="s">
        <v>5809</v>
      </c>
      <c r="AI186" s="0" t="s">
        <v>6183</v>
      </c>
      <c r="AJ186" s="0" t="s">
        <v>227</v>
      </c>
      <c r="AK186" s="0" t="s">
        <v>227</v>
      </c>
      <c r="AL186" s="0" t="s">
        <v>227</v>
      </c>
      <c r="AM186" s="0" t="s">
        <v>227</v>
      </c>
      <c r="AN186" s="0" t="s">
        <v>227</v>
      </c>
      <c r="AO186" s="0" t="s">
        <v>227</v>
      </c>
      <c r="AP186" s="0" t="s">
        <v>227</v>
      </c>
      <c r="AQ186" s="0" t="s">
        <v>227</v>
      </c>
      <c r="AR186" s="0" t="s">
        <v>227</v>
      </c>
      <c r="AS186" s="0" t="s">
        <v>227</v>
      </c>
      <c r="AT186" s="0" t="s">
        <v>227</v>
      </c>
      <c r="AU186" s="0" t="s">
        <v>227</v>
      </c>
      <c r="AV186" s="0" t="s">
        <v>227</v>
      </c>
      <c r="AW186" s="0" t="s">
        <v>227</v>
      </c>
      <c r="AX186" s="0" t="s">
        <v>227</v>
      </c>
      <c r="AY186" s="0" t="s">
        <v>227</v>
      </c>
      <c r="AZ186" s="0" t="s">
        <v>227</v>
      </c>
      <c r="BA186" s="0" t="s">
        <v>227</v>
      </c>
      <c r="BB186" s="0" t="s">
        <v>227</v>
      </c>
      <c r="BC186" s="0" t="s">
        <v>227</v>
      </c>
      <c r="BD186" s="0" t="s">
        <v>227</v>
      </c>
      <c r="BE186" s="0" t="s">
        <v>5761</v>
      </c>
      <c r="BF186" s="0" t="s">
        <v>6184</v>
      </c>
      <c r="BG186" s="0" t="s">
        <v>112</v>
      </c>
      <c r="BH186" s="0" t="s">
        <v>5690</v>
      </c>
      <c r="BI186" s="0" t="s">
        <v>5691</v>
      </c>
      <c r="BJ186" s="0" t="s">
        <v>227</v>
      </c>
      <c r="BK186" s="0" t="s">
        <v>5692</v>
      </c>
      <c r="BL186" s="0" t="s">
        <v>354</v>
      </c>
      <c r="BM186" s="0" t="s">
        <v>354</v>
      </c>
      <c r="BN186" s="0" t="s">
        <v>5693</v>
      </c>
      <c r="BO186" s="0" t="s">
        <v>5684</v>
      </c>
      <c r="BP186" s="0" t="s">
        <v>5694</v>
      </c>
      <c r="BQ186" s="0" t="s">
        <v>5692</v>
      </c>
      <c r="BR186" s="0" t="s">
        <v>5692</v>
      </c>
      <c r="BS186" s="0" t="s">
        <v>227</v>
      </c>
      <c r="BT186" s="0" t="s">
        <v>5712</v>
      </c>
      <c r="BU186" s="0" t="s">
        <v>6185</v>
      </c>
      <c r="BV186" s="0" t="s">
        <v>6185</v>
      </c>
      <c r="BW186" s="0" t="s">
        <v>5697</v>
      </c>
      <c r="BX186" s="0" t="s">
        <v>5697</v>
      </c>
      <c r="BY186" s="0" t="s">
        <v>5697</v>
      </c>
      <c r="BZ186" s="0" t="s">
        <v>5697</v>
      </c>
      <c r="CA186" s="0" t="s">
        <v>5697</v>
      </c>
      <c r="CB186" s="0" t="s">
        <v>227</v>
      </c>
      <c r="CC186" s="0" t="s">
        <v>227</v>
      </c>
      <c r="CD186" s="0" t="s">
        <v>227</v>
      </c>
      <c r="CE186" s="0" t="s">
        <v>227</v>
      </c>
      <c r="CF186" s="0" t="s">
        <v>227</v>
      </c>
      <c r="CG186" s="0" t="s">
        <v>5697</v>
      </c>
      <c r="CH186" s="0" t="s">
        <v>227</v>
      </c>
      <c r="CI186" s="0" t="s">
        <v>227</v>
      </c>
      <c r="CJ186" s="0" t="s">
        <v>227</v>
      </c>
      <c r="CK186" s="0" t="s">
        <v>227</v>
      </c>
      <c r="CL186" s="0" t="s">
        <v>227</v>
      </c>
      <c r="CM186" s="0" t="s">
        <v>6185</v>
      </c>
      <c r="CN186" s="0" t="s">
        <v>6185</v>
      </c>
      <c r="CO186" s="0" t="s">
        <v>227</v>
      </c>
      <c r="CP186" s="0" t="s">
        <v>227</v>
      </c>
      <c r="CQ186" s="0" t="s">
        <v>227</v>
      </c>
      <c r="CR186" s="0" t="s">
        <v>227</v>
      </c>
      <c r="CS186" s="0" t="s">
        <v>5705</v>
      </c>
      <c r="CT186" s="0" t="s">
        <v>5679</v>
      </c>
      <c r="CU186" s="0" t="s">
        <v>5680</v>
      </c>
      <c r="CV186" s="0" t="s">
        <v>430</v>
      </c>
      <c r="CW186" s="0" t="s">
        <v>5699</v>
      </c>
      <c r="CX186" s="0" t="s">
        <v>431</v>
      </c>
      <c r="CY186" s="0" t="s">
        <v>430</v>
      </c>
      <c r="CZ186" s="0" t="s">
        <v>432</v>
      </c>
      <c r="DA186" s="0" t="s">
        <v>433</v>
      </c>
      <c r="DB186" s="0" t="s">
        <v>5700</v>
      </c>
      <c r="DC186" s="0" t="s">
        <v>373</v>
      </c>
      <c r="DD186" s="0" t="s">
        <v>277</v>
      </c>
      <c r="DE186" s="0" t="s">
        <v>598</v>
      </c>
    </row>
    <row customHeight="1" ht="11.25">
      <c r="A187" s="1806" t="s">
        <v>227</v>
      </c>
      <c r="B187" s="0" t="s">
        <v>227</v>
      </c>
      <c r="C187" s="0" t="s">
        <v>227</v>
      </c>
      <c r="D187" s="0" t="s">
        <v>227</v>
      </c>
      <c r="E187" s="0" t="s">
        <v>227</v>
      </c>
      <c r="F187" s="0" t="s">
        <v>227</v>
      </c>
      <c r="G187" s="0" t="s">
        <v>227</v>
      </c>
      <c r="H187" s="0" t="s">
        <v>227</v>
      </c>
      <c r="I187" s="0" t="s">
        <v>5667</v>
      </c>
      <c r="J187" s="0" t="s">
        <v>227</v>
      </c>
      <c r="K187" s="0" t="s">
        <v>227</v>
      </c>
      <c r="L187" s="0" t="s">
        <v>227</v>
      </c>
      <c r="M187" s="0" t="s">
        <v>227</v>
      </c>
      <c r="N187" s="0" t="s">
        <v>227</v>
      </c>
      <c r="O187" s="0" t="s">
        <v>227</v>
      </c>
      <c r="P187" s="0" t="s">
        <v>227</v>
      </c>
      <c r="Q187" s="0" t="s">
        <v>227</v>
      </c>
      <c r="R187" s="0" t="s">
        <v>490</v>
      </c>
      <c r="S187" s="0" t="s">
        <v>227</v>
      </c>
      <c r="T187" s="0" t="s">
        <v>227</v>
      </c>
      <c r="U187" s="0" t="s">
        <v>102</v>
      </c>
      <c r="V187" s="0" t="s">
        <v>227</v>
      </c>
      <c r="W187" s="0" t="s">
        <v>227</v>
      </c>
      <c r="X187" s="0" t="s">
        <v>5683</v>
      </c>
      <c r="Y187" s="0" t="s">
        <v>227</v>
      </c>
      <c r="Z187" s="0" t="s">
        <v>152</v>
      </c>
      <c r="AA187" s="0" t="s">
        <v>152</v>
      </c>
      <c r="AB187" s="0" t="s">
        <v>161</v>
      </c>
      <c r="AC187" s="0" t="s">
        <v>354</v>
      </c>
      <c r="AD187" s="0" t="s">
        <v>354</v>
      </c>
      <c r="AE187" s="0" t="s">
        <v>355</v>
      </c>
      <c r="AF187" s="0" t="s">
        <v>5684</v>
      </c>
      <c r="AG187" s="0" t="s">
        <v>5685</v>
      </c>
      <c r="AH187" s="0" t="s">
        <v>6186</v>
      </c>
      <c r="AI187" s="0" t="s">
        <v>6187</v>
      </c>
      <c r="AJ187" s="0" t="s">
        <v>227</v>
      </c>
      <c r="AK187" s="0" t="s">
        <v>227</v>
      </c>
      <c r="AL187" s="0" t="s">
        <v>227</v>
      </c>
      <c r="AM187" s="0" t="s">
        <v>227</v>
      </c>
      <c r="AN187" s="0" t="s">
        <v>227</v>
      </c>
      <c r="AO187" s="0" t="s">
        <v>227</v>
      </c>
      <c r="AP187" s="0" t="s">
        <v>227</v>
      </c>
      <c r="AQ187" s="0" t="s">
        <v>227</v>
      </c>
      <c r="AR187" s="0" t="s">
        <v>227</v>
      </c>
      <c r="AS187" s="0" t="s">
        <v>227</v>
      </c>
      <c r="AT187" s="0" t="s">
        <v>227</v>
      </c>
      <c r="AU187" s="0" t="s">
        <v>227</v>
      </c>
      <c r="AV187" s="0" t="s">
        <v>227</v>
      </c>
      <c r="AW187" s="0" t="s">
        <v>227</v>
      </c>
      <c r="AX187" s="0" t="s">
        <v>227</v>
      </c>
      <c r="AY187" s="0" t="s">
        <v>227</v>
      </c>
      <c r="AZ187" s="0" t="s">
        <v>227</v>
      </c>
      <c r="BA187" s="0" t="s">
        <v>227</v>
      </c>
      <c r="BB187" s="0" t="s">
        <v>227</v>
      </c>
      <c r="BC187" s="0" t="s">
        <v>227</v>
      </c>
      <c r="BD187" s="0" t="s">
        <v>227</v>
      </c>
      <c r="BE187" s="0" t="s">
        <v>5716</v>
      </c>
      <c r="BF187" s="0" t="s">
        <v>6083</v>
      </c>
      <c r="BG187" s="0" t="s">
        <v>112</v>
      </c>
      <c r="BH187" s="0" t="s">
        <v>5690</v>
      </c>
      <c r="BI187" s="0" t="s">
        <v>5691</v>
      </c>
      <c r="BJ187" s="0" t="s">
        <v>227</v>
      </c>
      <c r="BK187" s="0" t="s">
        <v>5692</v>
      </c>
      <c r="BL187" s="0" t="s">
        <v>354</v>
      </c>
      <c r="BM187" s="0" t="s">
        <v>354</v>
      </c>
      <c r="BN187" s="0" t="s">
        <v>5693</v>
      </c>
      <c r="BO187" s="0" t="s">
        <v>5684</v>
      </c>
      <c r="BP187" s="0" t="s">
        <v>5694</v>
      </c>
      <c r="BQ187" s="0" t="s">
        <v>5692</v>
      </c>
      <c r="BR187" s="0" t="s">
        <v>5692</v>
      </c>
      <c r="BS187" s="0" t="s">
        <v>227</v>
      </c>
      <c r="BT187" s="0" t="s">
        <v>5695</v>
      </c>
      <c r="BU187" s="0" t="s">
        <v>5772</v>
      </c>
      <c r="BV187" s="0" t="s">
        <v>5772</v>
      </c>
      <c r="BW187" s="0" t="s">
        <v>5697</v>
      </c>
      <c r="BX187" s="0" t="s">
        <v>5697</v>
      </c>
      <c r="BY187" s="0" t="s">
        <v>5697</v>
      </c>
      <c r="BZ187" s="0" t="s">
        <v>5697</v>
      </c>
      <c r="CA187" s="0" t="s">
        <v>5697</v>
      </c>
      <c r="CB187" s="0" t="s">
        <v>227</v>
      </c>
      <c r="CC187" s="0" t="s">
        <v>227</v>
      </c>
      <c r="CD187" s="0" t="s">
        <v>227</v>
      </c>
      <c r="CE187" s="0" t="s">
        <v>227</v>
      </c>
      <c r="CF187" s="0" t="s">
        <v>227</v>
      </c>
      <c r="CG187" s="0" t="s">
        <v>5697</v>
      </c>
      <c r="CH187" s="0" t="s">
        <v>227</v>
      </c>
      <c r="CI187" s="0" t="s">
        <v>227</v>
      </c>
      <c r="CJ187" s="0" t="s">
        <v>227</v>
      </c>
      <c r="CK187" s="0" t="s">
        <v>227</v>
      </c>
      <c r="CL187" s="0" t="s">
        <v>227</v>
      </c>
      <c r="CM187" s="0" t="s">
        <v>5772</v>
      </c>
      <c r="CN187" s="0" t="s">
        <v>5772</v>
      </c>
      <c r="CO187" s="0" t="s">
        <v>227</v>
      </c>
      <c r="CP187" s="0" t="s">
        <v>227</v>
      </c>
      <c r="CQ187" s="0" t="s">
        <v>227</v>
      </c>
      <c r="CR187" s="0" t="s">
        <v>227</v>
      </c>
      <c r="CS187" s="0" t="s">
        <v>5759</v>
      </c>
      <c r="CT187" s="0" t="s">
        <v>5679</v>
      </c>
      <c r="CU187" s="0" t="s">
        <v>5680</v>
      </c>
      <c r="CV187" s="0" t="s">
        <v>430</v>
      </c>
      <c r="CW187" s="0" t="s">
        <v>5699</v>
      </c>
      <c r="CX187" s="0" t="s">
        <v>431</v>
      </c>
      <c r="CY187" s="0" t="s">
        <v>430</v>
      </c>
      <c r="CZ187" s="0" t="s">
        <v>432</v>
      </c>
      <c r="DA187" s="0" t="s">
        <v>433</v>
      </c>
      <c r="DB187" s="0" t="s">
        <v>5700</v>
      </c>
      <c r="DC187" s="0" t="s">
        <v>373</v>
      </c>
      <c r="DD187" s="0" t="s">
        <v>277</v>
      </c>
      <c r="DE187" s="0" t="s">
        <v>491</v>
      </c>
    </row>
    <row customHeight="1" ht="11.25">
      <c r="A188" s="1806" t="s">
        <v>227</v>
      </c>
      <c r="B188" s="0" t="s">
        <v>227</v>
      </c>
      <c r="C188" s="0" t="s">
        <v>227</v>
      </c>
      <c r="D188" s="0" t="s">
        <v>227</v>
      </c>
      <c r="E188" s="0" t="s">
        <v>227</v>
      </c>
      <c r="F188" s="0" t="s">
        <v>227</v>
      </c>
      <c r="G188" s="0" t="s">
        <v>227</v>
      </c>
      <c r="H188" s="0" t="s">
        <v>227</v>
      </c>
      <c r="I188" s="0" t="s">
        <v>5667</v>
      </c>
      <c r="J188" s="0" t="s">
        <v>227</v>
      </c>
      <c r="K188" s="0" t="s">
        <v>227</v>
      </c>
      <c r="L188" s="0" t="s">
        <v>227</v>
      </c>
      <c r="M188" s="0" t="s">
        <v>227</v>
      </c>
      <c r="N188" s="0" t="s">
        <v>227</v>
      </c>
      <c r="O188" s="0" t="s">
        <v>227</v>
      </c>
      <c r="P188" s="0" t="s">
        <v>227</v>
      </c>
      <c r="Q188" s="0" t="s">
        <v>227</v>
      </c>
      <c r="R188" s="0" t="s">
        <v>642</v>
      </c>
      <c r="S188" s="0" t="s">
        <v>227</v>
      </c>
      <c r="T188" s="0" t="s">
        <v>227</v>
      </c>
      <c r="U188" s="0" t="s">
        <v>102</v>
      </c>
      <c r="V188" s="0" t="s">
        <v>227</v>
      </c>
      <c r="W188" s="0" t="s">
        <v>227</v>
      </c>
      <c r="X188" s="0" t="s">
        <v>5683</v>
      </c>
      <c r="Y188" s="0" t="s">
        <v>227</v>
      </c>
      <c r="Z188" s="0" t="s">
        <v>152</v>
      </c>
      <c r="AA188" s="0" t="s">
        <v>152</v>
      </c>
      <c r="AB188" s="0" t="s">
        <v>161</v>
      </c>
      <c r="AC188" s="0" t="s">
        <v>354</v>
      </c>
      <c r="AD188" s="0" t="s">
        <v>354</v>
      </c>
      <c r="AE188" s="0" t="s">
        <v>355</v>
      </c>
      <c r="AF188" s="0" t="s">
        <v>5684</v>
      </c>
      <c r="AG188" s="0" t="s">
        <v>5685</v>
      </c>
      <c r="AH188" s="0" t="s">
        <v>6188</v>
      </c>
      <c r="AI188" s="0" t="s">
        <v>6189</v>
      </c>
      <c r="AJ188" s="0" t="s">
        <v>227</v>
      </c>
      <c r="AK188" s="0" t="s">
        <v>227</v>
      </c>
      <c r="AL188" s="0" t="s">
        <v>227</v>
      </c>
      <c r="AM188" s="0" t="s">
        <v>227</v>
      </c>
      <c r="AN188" s="0" t="s">
        <v>227</v>
      </c>
      <c r="AO188" s="0" t="s">
        <v>227</v>
      </c>
      <c r="AP188" s="0" t="s">
        <v>227</v>
      </c>
      <c r="AQ188" s="0" t="s">
        <v>227</v>
      </c>
      <c r="AR188" s="0" t="s">
        <v>227</v>
      </c>
      <c r="AS188" s="0" t="s">
        <v>227</v>
      </c>
      <c r="AT188" s="0" t="s">
        <v>227</v>
      </c>
      <c r="AU188" s="0" t="s">
        <v>227</v>
      </c>
      <c r="AV188" s="0" t="s">
        <v>227</v>
      </c>
      <c r="AW188" s="0" t="s">
        <v>227</v>
      </c>
      <c r="AX188" s="0" t="s">
        <v>227</v>
      </c>
      <c r="AY188" s="0" t="s">
        <v>227</v>
      </c>
      <c r="AZ188" s="0" t="s">
        <v>227</v>
      </c>
      <c r="BA188" s="0" t="s">
        <v>227</v>
      </c>
      <c r="BB188" s="0" t="s">
        <v>227</v>
      </c>
      <c r="BC188" s="0" t="s">
        <v>227</v>
      </c>
      <c r="BD188" s="0" t="s">
        <v>227</v>
      </c>
      <c r="BE188" s="0" t="s">
        <v>5716</v>
      </c>
      <c r="BF188" s="0" t="s">
        <v>6083</v>
      </c>
      <c r="BG188" s="0" t="s">
        <v>112</v>
      </c>
      <c r="BH188" s="0" t="s">
        <v>5690</v>
      </c>
      <c r="BI188" s="0" t="s">
        <v>5691</v>
      </c>
      <c r="BJ188" s="0" t="s">
        <v>227</v>
      </c>
      <c r="BK188" s="0" t="s">
        <v>5692</v>
      </c>
      <c r="BL188" s="0" t="s">
        <v>354</v>
      </c>
      <c r="BM188" s="0" t="s">
        <v>354</v>
      </c>
      <c r="BN188" s="0" t="s">
        <v>5693</v>
      </c>
      <c r="BO188" s="0" t="s">
        <v>5684</v>
      </c>
      <c r="BP188" s="0" t="s">
        <v>5694</v>
      </c>
      <c r="BQ188" s="0" t="s">
        <v>5692</v>
      </c>
      <c r="BR188" s="0" t="s">
        <v>5692</v>
      </c>
      <c r="BS188" s="0" t="s">
        <v>227</v>
      </c>
      <c r="BT188" s="0" t="s">
        <v>5695</v>
      </c>
      <c r="BU188" s="0" t="s">
        <v>5696</v>
      </c>
      <c r="BV188" s="0" t="s">
        <v>5696</v>
      </c>
      <c r="BW188" s="0" t="s">
        <v>5697</v>
      </c>
      <c r="BX188" s="0" t="s">
        <v>5697</v>
      </c>
      <c r="BY188" s="0" t="s">
        <v>5697</v>
      </c>
      <c r="BZ188" s="0" t="s">
        <v>5697</v>
      </c>
      <c r="CA188" s="0" t="s">
        <v>5697</v>
      </c>
      <c r="CB188" s="0" t="s">
        <v>227</v>
      </c>
      <c r="CC188" s="0" t="s">
        <v>227</v>
      </c>
      <c r="CD188" s="0" t="s">
        <v>227</v>
      </c>
      <c r="CE188" s="0" t="s">
        <v>227</v>
      </c>
      <c r="CF188" s="0" t="s">
        <v>227</v>
      </c>
      <c r="CG188" s="0" t="s">
        <v>5697</v>
      </c>
      <c r="CH188" s="0" t="s">
        <v>227</v>
      </c>
      <c r="CI188" s="0" t="s">
        <v>227</v>
      </c>
      <c r="CJ188" s="0" t="s">
        <v>227</v>
      </c>
      <c r="CK188" s="0" t="s">
        <v>227</v>
      </c>
      <c r="CL188" s="0" t="s">
        <v>227</v>
      </c>
      <c r="CM188" s="0" t="s">
        <v>5696</v>
      </c>
      <c r="CN188" s="0" t="s">
        <v>5696</v>
      </c>
      <c r="CO188" s="0" t="s">
        <v>227</v>
      </c>
      <c r="CP188" s="0" t="s">
        <v>227</v>
      </c>
      <c r="CQ188" s="0" t="s">
        <v>227</v>
      </c>
      <c r="CR188" s="0" t="s">
        <v>227</v>
      </c>
      <c r="CS188" s="0" t="s">
        <v>5705</v>
      </c>
      <c r="CT188" s="0" t="s">
        <v>5679</v>
      </c>
      <c r="CU188" s="0" t="s">
        <v>5680</v>
      </c>
      <c r="CV188" s="0" t="s">
        <v>430</v>
      </c>
      <c r="CW188" s="0" t="s">
        <v>5699</v>
      </c>
      <c r="CX188" s="0" t="s">
        <v>431</v>
      </c>
      <c r="CY188" s="0" t="s">
        <v>430</v>
      </c>
      <c r="CZ188" s="0" t="s">
        <v>432</v>
      </c>
      <c r="DA188" s="0" t="s">
        <v>433</v>
      </c>
      <c r="DB188" s="0" t="s">
        <v>5700</v>
      </c>
      <c r="DC188" s="0" t="s">
        <v>373</v>
      </c>
      <c r="DD188" s="0" t="s">
        <v>277</v>
      </c>
      <c r="DE188" s="0" t="s">
        <v>643</v>
      </c>
    </row>
    <row customHeight="1" ht="11.25">
      <c r="A189" s="1806" t="s">
        <v>227</v>
      </c>
      <c r="B189" s="0" t="s">
        <v>227</v>
      </c>
      <c r="C189" s="0" t="s">
        <v>227</v>
      </c>
      <c r="D189" s="0" t="s">
        <v>227</v>
      </c>
      <c r="E189" s="0" t="s">
        <v>227</v>
      </c>
      <c r="F189" s="0" t="s">
        <v>227</v>
      </c>
      <c r="G189" s="0" t="s">
        <v>227</v>
      </c>
      <c r="H189" s="0" t="s">
        <v>227</v>
      </c>
      <c r="I189" s="0" t="s">
        <v>5667</v>
      </c>
      <c r="J189" s="0" t="s">
        <v>227</v>
      </c>
      <c r="K189" s="0" t="s">
        <v>227</v>
      </c>
      <c r="L189" s="0" t="s">
        <v>227</v>
      </c>
      <c r="M189" s="0" t="s">
        <v>227</v>
      </c>
      <c r="N189" s="0" t="s">
        <v>227</v>
      </c>
      <c r="O189" s="0" t="s">
        <v>227</v>
      </c>
      <c r="P189" s="0" t="s">
        <v>227</v>
      </c>
      <c r="Q189" s="0" t="s">
        <v>227</v>
      </c>
      <c r="R189" s="0" t="s">
        <v>961</v>
      </c>
      <c r="S189" s="0" t="s">
        <v>227</v>
      </c>
      <c r="T189" s="0" t="s">
        <v>227</v>
      </c>
      <c r="U189" s="0" t="s">
        <v>102</v>
      </c>
      <c r="V189" s="0" t="s">
        <v>227</v>
      </c>
      <c r="W189" s="0" t="s">
        <v>227</v>
      </c>
      <c r="X189" s="0" t="s">
        <v>5683</v>
      </c>
      <c r="Y189" s="0" t="s">
        <v>227</v>
      </c>
      <c r="Z189" s="0" t="s">
        <v>152</v>
      </c>
      <c r="AA189" s="0" t="s">
        <v>152</v>
      </c>
      <c r="AB189" s="0" t="s">
        <v>161</v>
      </c>
      <c r="AC189" s="0" t="s">
        <v>354</v>
      </c>
      <c r="AD189" s="0" t="s">
        <v>354</v>
      </c>
      <c r="AE189" s="0" t="s">
        <v>355</v>
      </c>
      <c r="AF189" s="0" t="s">
        <v>5701</v>
      </c>
      <c r="AG189" s="0" t="s">
        <v>5702</v>
      </c>
      <c r="AH189" s="0" t="s">
        <v>6190</v>
      </c>
      <c r="AI189" s="0" t="s">
        <v>5692</v>
      </c>
      <c r="AJ189" s="0" t="s">
        <v>227</v>
      </c>
      <c r="AK189" s="0" t="s">
        <v>227</v>
      </c>
      <c r="AL189" s="0" t="s">
        <v>227</v>
      </c>
      <c r="AM189" s="0" t="s">
        <v>227</v>
      </c>
      <c r="AN189" s="0" t="s">
        <v>227</v>
      </c>
      <c r="AO189" s="0" t="s">
        <v>227</v>
      </c>
      <c r="AP189" s="0" t="s">
        <v>227</v>
      </c>
      <c r="AQ189" s="0" t="s">
        <v>227</v>
      </c>
      <c r="AR189" s="0" t="s">
        <v>227</v>
      </c>
      <c r="AS189" s="0" t="s">
        <v>227</v>
      </c>
      <c r="AT189" s="0" t="s">
        <v>227</v>
      </c>
      <c r="AU189" s="0" t="s">
        <v>227</v>
      </c>
      <c r="AV189" s="0" t="s">
        <v>227</v>
      </c>
      <c r="AW189" s="0" t="s">
        <v>227</v>
      </c>
      <c r="AX189" s="0" t="s">
        <v>227</v>
      </c>
      <c r="AY189" s="0" t="s">
        <v>227</v>
      </c>
      <c r="AZ189" s="0" t="s">
        <v>227</v>
      </c>
      <c r="BA189" s="0" t="s">
        <v>227</v>
      </c>
      <c r="BB189" s="0" t="s">
        <v>227</v>
      </c>
      <c r="BC189" s="0" t="s">
        <v>227</v>
      </c>
      <c r="BD189" s="0" t="s">
        <v>227</v>
      </c>
      <c r="BE189" s="0" t="s">
        <v>5728</v>
      </c>
      <c r="BF189" s="0" t="s">
        <v>5757</v>
      </c>
      <c r="BG189" s="0" t="s">
        <v>112</v>
      </c>
      <c r="BH189" s="0" t="s">
        <v>5690</v>
      </c>
      <c r="BI189" s="0" t="s">
        <v>5691</v>
      </c>
      <c r="BJ189" s="0" t="s">
        <v>227</v>
      </c>
      <c r="BK189" s="0" t="s">
        <v>952</v>
      </c>
      <c r="BL189" s="0" t="s">
        <v>354</v>
      </c>
      <c r="BM189" s="0" t="s">
        <v>354</v>
      </c>
      <c r="BN189" s="0" t="s">
        <v>5693</v>
      </c>
      <c r="BO189" s="0" t="s">
        <v>5701</v>
      </c>
      <c r="BP189" s="0" t="s">
        <v>5706</v>
      </c>
      <c r="BQ189" s="0" t="s">
        <v>5707</v>
      </c>
      <c r="BR189" s="0" t="s">
        <v>5708</v>
      </c>
      <c r="BS189" s="0" t="s">
        <v>227</v>
      </c>
      <c r="BT189" s="0" t="s">
        <v>5695</v>
      </c>
      <c r="BU189" s="0" t="s">
        <v>6191</v>
      </c>
      <c r="BV189" s="0" t="s">
        <v>6191</v>
      </c>
      <c r="BW189" s="0" t="s">
        <v>5697</v>
      </c>
      <c r="BX189" s="0" t="s">
        <v>5697</v>
      </c>
      <c r="BY189" s="0" t="s">
        <v>5697</v>
      </c>
      <c r="BZ189" s="0" t="s">
        <v>5697</v>
      </c>
      <c r="CA189" s="0" t="s">
        <v>5697</v>
      </c>
      <c r="CB189" s="0" t="s">
        <v>227</v>
      </c>
      <c r="CC189" s="0" t="s">
        <v>227</v>
      </c>
      <c r="CD189" s="0" t="s">
        <v>227</v>
      </c>
      <c r="CE189" s="0" t="s">
        <v>227</v>
      </c>
      <c r="CF189" s="0" t="s">
        <v>227</v>
      </c>
      <c r="CG189" s="0" t="s">
        <v>5697</v>
      </c>
      <c r="CH189" s="0" t="s">
        <v>227</v>
      </c>
      <c r="CI189" s="0" t="s">
        <v>227</v>
      </c>
      <c r="CJ189" s="0" t="s">
        <v>227</v>
      </c>
      <c r="CK189" s="0" t="s">
        <v>227</v>
      </c>
      <c r="CL189" s="0" t="s">
        <v>227</v>
      </c>
      <c r="CM189" s="0" t="s">
        <v>6191</v>
      </c>
      <c r="CN189" s="0" t="s">
        <v>6191</v>
      </c>
      <c r="CO189" s="0" t="s">
        <v>227</v>
      </c>
      <c r="CP189" s="0" t="s">
        <v>227</v>
      </c>
      <c r="CQ189" s="0" t="s">
        <v>227</v>
      </c>
      <c r="CR189" s="0" t="s">
        <v>227</v>
      </c>
      <c r="CS189" s="0" t="s">
        <v>5698</v>
      </c>
      <c r="CT189" s="0" t="s">
        <v>5679</v>
      </c>
      <c r="CU189" s="0" t="s">
        <v>5680</v>
      </c>
      <c r="CV189" s="0" t="s">
        <v>430</v>
      </c>
      <c r="CW189" s="0" t="s">
        <v>5699</v>
      </c>
      <c r="CX189" s="0" t="s">
        <v>431</v>
      </c>
      <c r="CY189" s="0" t="s">
        <v>430</v>
      </c>
      <c r="CZ189" s="0" t="s">
        <v>432</v>
      </c>
      <c r="DA189" s="0" t="s">
        <v>433</v>
      </c>
      <c r="DB189" s="0" t="s">
        <v>5700</v>
      </c>
      <c r="DC189" s="0" t="s">
        <v>373</v>
      </c>
      <c r="DD189" s="0" t="s">
        <v>277</v>
      </c>
      <c r="DE189" s="0" t="s">
        <v>962</v>
      </c>
    </row>
    <row customHeight="1" ht="11.25">
      <c r="A190" s="1806" t="s">
        <v>227</v>
      </c>
      <c r="B190" s="0" t="s">
        <v>227</v>
      </c>
      <c r="C190" s="0" t="s">
        <v>227</v>
      </c>
      <c r="D190" s="0" t="s">
        <v>227</v>
      </c>
      <c r="E190" s="0" t="s">
        <v>227</v>
      </c>
      <c r="F190" s="0" t="s">
        <v>227</v>
      </c>
      <c r="G190" s="0" t="s">
        <v>227</v>
      </c>
      <c r="H190" s="0" t="s">
        <v>227</v>
      </c>
      <c r="I190" s="0" t="s">
        <v>5667</v>
      </c>
      <c r="J190" s="0" t="s">
        <v>227</v>
      </c>
      <c r="K190" s="0" t="s">
        <v>227</v>
      </c>
      <c r="L190" s="0" t="s">
        <v>227</v>
      </c>
      <c r="M190" s="0" t="s">
        <v>227</v>
      </c>
      <c r="N190" s="0" t="s">
        <v>227</v>
      </c>
      <c r="O190" s="0" t="s">
        <v>227</v>
      </c>
      <c r="P190" s="0" t="s">
        <v>227</v>
      </c>
      <c r="Q190" s="0" t="s">
        <v>227</v>
      </c>
      <c r="R190" s="0" t="s">
        <v>910</v>
      </c>
      <c r="S190" s="0" t="s">
        <v>227</v>
      </c>
      <c r="T190" s="0" t="s">
        <v>227</v>
      </c>
      <c r="U190" s="0" t="s">
        <v>102</v>
      </c>
      <c r="V190" s="0" t="s">
        <v>227</v>
      </c>
      <c r="W190" s="0" t="s">
        <v>227</v>
      </c>
      <c r="X190" s="0" t="s">
        <v>5683</v>
      </c>
      <c r="Y190" s="0" t="s">
        <v>227</v>
      </c>
      <c r="Z190" s="0" t="s">
        <v>152</v>
      </c>
      <c r="AA190" s="0" t="s">
        <v>152</v>
      </c>
      <c r="AB190" s="0" t="s">
        <v>161</v>
      </c>
      <c r="AC190" s="0" t="s">
        <v>354</v>
      </c>
      <c r="AD190" s="0" t="s">
        <v>354</v>
      </c>
      <c r="AE190" s="0" t="s">
        <v>355</v>
      </c>
      <c r="AF190" s="0" t="s">
        <v>5701</v>
      </c>
      <c r="AG190" s="0" t="s">
        <v>5702</v>
      </c>
      <c r="AH190" s="0" t="s">
        <v>6192</v>
      </c>
      <c r="AI190" s="0" t="s">
        <v>5692</v>
      </c>
      <c r="AJ190" s="0" t="s">
        <v>227</v>
      </c>
      <c r="AK190" s="0" t="s">
        <v>227</v>
      </c>
      <c r="AL190" s="0" t="s">
        <v>227</v>
      </c>
      <c r="AM190" s="0" t="s">
        <v>227</v>
      </c>
      <c r="AN190" s="0" t="s">
        <v>227</v>
      </c>
      <c r="AO190" s="0" t="s">
        <v>227</v>
      </c>
      <c r="AP190" s="0" t="s">
        <v>227</v>
      </c>
      <c r="AQ190" s="0" t="s">
        <v>227</v>
      </c>
      <c r="AR190" s="0" t="s">
        <v>227</v>
      </c>
      <c r="AS190" s="0" t="s">
        <v>227</v>
      </c>
      <c r="AT190" s="0" t="s">
        <v>227</v>
      </c>
      <c r="AU190" s="0" t="s">
        <v>227</v>
      </c>
      <c r="AV190" s="0" t="s">
        <v>227</v>
      </c>
      <c r="AW190" s="0" t="s">
        <v>227</v>
      </c>
      <c r="AX190" s="0" t="s">
        <v>227</v>
      </c>
      <c r="AY190" s="0" t="s">
        <v>227</v>
      </c>
      <c r="AZ190" s="0" t="s">
        <v>227</v>
      </c>
      <c r="BA190" s="0" t="s">
        <v>227</v>
      </c>
      <c r="BB190" s="0" t="s">
        <v>227</v>
      </c>
      <c r="BC190" s="0" t="s">
        <v>227</v>
      </c>
      <c r="BD190" s="0" t="s">
        <v>227</v>
      </c>
      <c r="BE190" s="0" t="s">
        <v>5728</v>
      </c>
      <c r="BF190" s="0" t="s">
        <v>5757</v>
      </c>
      <c r="BG190" s="0" t="s">
        <v>112</v>
      </c>
      <c r="BH190" s="0" t="s">
        <v>5690</v>
      </c>
      <c r="BI190" s="0" t="s">
        <v>5691</v>
      </c>
      <c r="BJ190" s="0" t="s">
        <v>227</v>
      </c>
      <c r="BK190" s="0" t="s">
        <v>952</v>
      </c>
      <c r="BL190" s="0" t="s">
        <v>354</v>
      </c>
      <c r="BM190" s="0" t="s">
        <v>354</v>
      </c>
      <c r="BN190" s="0" t="s">
        <v>5693</v>
      </c>
      <c r="BO190" s="0" t="s">
        <v>5701</v>
      </c>
      <c r="BP190" s="0" t="s">
        <v>5706</v>
      </c>
      <c r="BQ190" s="0" t="s">
        <v>5707</v>
      </c>
      <c r="BR190" s="0" t="s">
        <v>5708</v>
      </c>
      <c r="BS190" s="0" t="s">
        <v>227</v>
      </c>
      <c r="BT190" s="0" t="s">
        <v>5695</v>
      </c>
      <c r="BU190" s="0" t="s">
        <v>6136</v>
      </c>
      <c r="BV190" s="0" t="s">
        <v>6136</v>
      </c>
      <c r="BW190" s="0" t="s">
        <v>5697</v>
      </c>
      <c r="BX190" s="0" t="s">
        <v>5697</v>
      </c>
      <c r="BY190" s="0" t="s">
        <v>5697</v>
      </c>
      <c r="BZ190" s="0" t="s">
        <v>5697</v>
      </c>
      <c r="CA190" s="0" t="s">
        <v>5697</v>
      </c>
      <c r="CB190" s="0" t="s">
        <v>227</v>
      </c>
      <c r="CC190" s="0" t="s">
        <v>227</v>
      </c>
      <c r="CD190" s="0" t="s">
        <v>227</v>
      </c>
      <c r="CE190" s="0" t="s">
        <v>227</v>
      </c>
      <c r="CF190" s="0" t="s">
        <v>227</v>
      </c>
      <c r="CG190" s="0" t="s">
        <v>5697</v>
      </c>
      <c r="CH190" s="0" t="s">
        <v>227</v>
      </c>
      <c r="CI190" s="0" t="s">
        <v>227</v>
      </c>
      <c r="CJ190" s="0" t="s">
        <v>227</v>
      </c>
      <c r="CK190" s="0" t="s">
        <v>227</v>
      </c>
      <c r="CL190" s="0" t="s">
        <v>227</v>
      </c>
      <c r="CM190" s="0" t="s">
        <v>6136</v>
      </c>
      <c r="CN190" s="0" t="s">
        <v>6136</v>
      </c>
      <c r="CO190" s="0" t="s">
        <v>227</v>
      </c>
      <c r="CP190" s="0" t="s">
        <v>227</v>
      </c>
      <c r="CQ190" s="0" t="s">
        <v>227</v>
      </c>
      <c r="CR190" s="0" t="s">
        <v>227</v>
      </c>
      <c r="CS190" s="0" t="s">
        <v>5698</v>
      </c>
      <c r="CT190" s="0" t="s">
        <v>5679</v>
      </c>
      <c r="CU190" s="0" t="s">
        <v>5680</v>
      </c>
      <c r="CV190" s="0" t="s">
        <v>430</v>
      </c>
      <c r="CW190" s="0" t="s">
        <v>5699</v>
      </c>
      <c r="CX190" s="0" t="s">
        <v>431</v>
      </c>
      <c r="CY190" s="0" t="s">
        <v>430</v>
      </c>
      <c r="CZ190" s="0" t="s">
        <v>432</v>
      </c>
      <c r="DA190" s="0" t="s">
        <v>433</v>
      </c>
      <c r="DB190" s="0" t="s">
        <v>5700</v>
      </c>
      <c r="DC190" s="0" t="s">
        <v>373</v>
      </c>
      <c r="DD190" s="0" t="s">
        <v>277</v>
      </c>
      <c r="DE190" s="0" t="s">
        <v>911</v>
      </c>
    </row>
    <row customHeight="1" ht="11.25">
      <c r="A191" s="1806" t="s">
        <v>227</v>
      </c>
      <c r="B191" s="0" t="s">
        <v>227</v>
      </c>
      <c r="C191" s="0" t="s">
        <v>227</v>
      </c>
      <c r="D191" s="0" t="s">
        <v>227</v>
      </c>
      <c r="E191" s="0" t="s">
        <v>227</v>
      </c>
      <c r="F191" s="0" t="s">
        <v>227</v>
      </c>
      <c r="G191" s="0" t="s">
        <v>227</v>
      </c>
      <c r="H191" s="0" t="s">
        <v>227</v>
      </c>
      <c r="I191" s="0" t="s">
        <v>5667</v>
      </c>
      <c r="J191" s="0" t="s">
        <v>227</v>
      </c>
      <c r="K191" s="0" t="s">
        <v>227</v>
      </c>
      <c r="L191" s="0" t="s">
        <v>227</v>
      </c>
      <c r="M191" s="0" t="s">
        <v>227</v>
      </c>
      <c r="N191" s="0" t="s">
        <v>227</v>
      </c>
      <c r="O191" s="0" t="s">
        <v>227</v>
      </c>
      <c r="P191" s="0" t="s">
        <v>227</v>
      </c>
      <c r="Q191" s="0" t="s">
        <v>227</v>
      </c>
      <c r="R191" s="0" t="s">
        <v>553</v>
      </c>
      <c r="S191" s="0" t="s">
        <v>227</v>
      </c>
      <c r="T191" s="0" t="s">
        <v>227</v>
      </c>
      <c r="U191" s="0" t="s">
        <v>102</v>
      </c>
      <c r="V191" s="0" t="s">
        <v>227</v>
      </c>
      <c r="W191" s="0" t="s">
        <v>227</v>
      </c>
      <c r="X191" s="0" t="s">
        <v>5683</v>
      </c>
      <c r="Y191" s="0" t="s">
        <v>227</v>
      </c>
      <c r="Z191" s="0" t="s">
        <v>152</v>
      </c>
      <c r="AA191" s="0" t="s">
        <v>152</v>
      </c>
      <c r="AB191" s="0" t="s">
        <v>161</v>
      </c>
      <c r="AC191" s="0" t="s">
        <v>354</v>
      </c>
      <c r="AD191" s="0" t="s">
        <v>354</v>
      </c>
      <c r="AE191" s="0" t="s">
        <v>355</v>
      </c>
      <c r="AF191" s="0" t="s">
        <v>5701</v>
      </c>
      <c r="AG191" s="0" t="s">
        <v>5702</v>
      </c>
      <c r="AH191" s="0" t="s">
        <v>5949</v>
      </c>
      <c r="AI191" s="0" t="s">
        <v>6193</v>
      </c>
      <c r="AJ191" s="0" t="s">
        <v>227</v>
      </c>
      <c r="AK191" s="0" t="s">
        <v>227</v>
      </c>
      <c r="AL191" s="0" t="s">
        <v>227</v>
      </c>
      <c r="AM191" s="0" t="s">
        <v>227</v>
      </c>
      <c r="AN191" s="0" t="s">
        <v>227</v>
      </c>
      <c r="AO191" s="0" t="s">
        <v>227</v>
      </c>
      <c r="AP191" s="0" t="s">
        <v>227</v>
      </c>
      <c r="AQ191" s="0" t="s">
        <v>227</v>
      </c>
      <c r="AR191" s="0" t="s">
        <v>227</v>
      </c>
      <c r="AS191" s="0" t="s">
        <v>227</v>
      </c>
      <c r="AT191" s="0" t="s">
        <v>227</v>
      </c>
      <c r="AU191" s="0" t="s">
        <v>227</v>
      </c>
      <c r="AV191" s="0" t="s">
        <v>227</v>
      </c>
      <c r="AW191" s="0" t="s">
        <v>227</v>
      </c>
      <c r="AX191" s="0" t="s">
        <v>227</v>
      </c>
      <c r="AY191" s="0" t="s">
        <v>227</v>
      </c>
      <c r="AZ191" s="0" t="s">
        <v>227</v>
      </c>
      <c r="BA191" s="0" t="s">
        <v>227</v>
      </c>
      <c r="BB191" s="0" t="s">
        <v>227</v>
      </c>
      <c r="BC191" s="0" t="s">
        <v>227</v>
      </c>
      <c r="BD191" s="0" t="s">
        <v>227</v>
      </c>
      <c r="BE191" s="0" t="s">
        <v>5978</v>
      </c>
      <c r="BF191" s="0" t="s">
        <v>6194</v>
      </c>
      <c r="BG191" s="0" t="s">
        <v>112</v>
      </c>
      <c r="BH191" s="0" t="s">
        <v>5690</v>
      </c>
      <c r="BI191" s="0" t="s">
        <v>5691</v>
      </c>
      <c r="BJ191" s="0" t="s">
        <v>227</v>
      </c>
      <c r="BK191" s="0" t="s">
        <v>952</v>
      </c>
      <c r="BL191" s="0" t="s">
        <v>354</v>
      </c>
      <c r="BM191" s="0" t="s">
        <v>354</v>
      </c>
      <c r="BN191" s="0" t="s">
        <v>5693</v>
      </c>
      <c r="BO191" s="0" t="s">
        <v>5701</v>
      </c>
      <c r="BP191" s="0" t="s">
        <v>5706</v>
      </c>
      <c r="BQ191" s="0" t="s">
        <v>5707</v>
      </c>
      <c r="BR191" s="0" t="s">
        <v>5708</v>
      </c>
      <c r="BS191" s="0" t="s">
        <v>227</v>
      </c>
      <c r="BT191" s="0" t="s">
        <v>5695</v>
      </c>
      <c r="BU191" s="0" t="s">
        <v>6195</v>
      </c>
      <c r="BV191" s="0" t="s">
        <v>6195</v>
      </c>
      <c r="BW191" s="0" t="s">
        <v>5697</v>
      </c>
      <c r="BX191" s="0" t="s">
        <v>5697</v>
      </c>
      <c r="BY191" s="0" t="s">
        <v>5697</v>
      </c>
      <c r="BZ191" s="0" t="s">
        <v>5697</v>
      </c>
      <c r="CA191" s="0" t="s">
        <v>5697</v>
      </c>
      <c r="CB191" s="0" t="s">
        <v>227</v>
      </c>
      <c r="CC191" s="0" t="s">
        <v>227</v>
      </c>
      <c r="CD191" s="0" t="s">
        <v>227</v>
      </c>
      <c r="CE191" s="0" t="s">
        <v>227</v>
      </c>
      <c r="CF191" s="0" t="s">
        <v>227</v>
      </c>
      <c r="CG191" s="0" t="s">
        <v>5697</v>
      </c>
      <c r="CH191" s="0" t="s">
        <v>227</v>
      </c>
      <c r="CI191" s="0" t="s">
        <v>227</v>
      </c>
      <c r="CJ191" s="0" t="s">
        <v>227</v>
      </c>
      <c r="CK191" s="0" t="s">
        <v>227</v>
      </c>
      <c r="CL191" s="0" t="s">
        <v>227</v>
      </c>
      <c r="CM191" s="0" t="s">
        <v>6195</v>
      </c>
      <c r="CN191" s="0" t="s">
        <v>6195</v>
      </c>
      <c r="CO191" s="0" t="s">
        <v>227</v>
      </c>
      <c r="CP191" s="0" t="s">
        <v>227</v>
      </c>
      <c r="CQ191" s="0" t="s">
        <v>227</v>
      </c>
      <c r="CR191" s="0" t="s">
        <v>227</v>
      </c>
      <c r="CS191" s="0" t="s">
        <v>5698</v>
      </c>
      <c r="CT191" s="0" t="s">
        <v>5679</v>
      </c>
      <c r="CU191" s="0" t="s">
        <v>5680</v>
      </c>
      <c r="CV191" s="0" t="s">
        <v>430</v>
      </c>
      <c r="CW191" s="0" t="s">
        <v>5699</v>
      </c>
      <c r="CX191" s="0" t="s">
        <v>431</v>
      </c>
      <c r="CY191" s="0" t="s">
        <v>430</v>
      </c>
      <c r="CZ191" s="0" t="s">
        <v>432</v>
      </c>
      <c r="DA191" s="0" t="s">
        <v>433</v>
      </c>
      <c r="DB191" s="0" t="s">
        <v>5700</v>
      </c>
      <c r="DC191" s="0" t="s">
        <v>373</v>
      </c>
      <c r="DD191" s="0" t="s">
        <v>277</v>
      </c>
      <c r="DE191" s="0" t="s">
        <v>833</v>
      </c>
    </row>
    <row customHeight="1" ht="11.25">
      <c r="A192" s="1806" t="s">
        <v>227</v>
      </c>
      <c r="B192" s="0" t="s">
        <v>227</v>
      </c>
      <c r="C192" s="0" t="s">
        <v>227</v>
      </c>
      <c r="D192" s="0" t="s">
        <v>227</v>
      </c>
      <c r="E192" s="0" t="s">
        <v>227</v>
      </c>
      <c r="F192" s="0" t="s">
        <v>227</v>
      </c>
      <c r="G192" s="0" t="s">
        <v>227</v>
      </c>
      <c r="H192" s="0" t="s">
        <v>227</v>
      </c>
      <c r="I192" s="0" t="s">
        <v>5667</v>
      </c>
      <c r="J192" s="0" t="s">
        <v>227</v>
      </c>
      <c r="K192" s="0" t="s">
        <v>227</v>
      </c>
      <c r="L192" s="0" t="s">
        <v>227</v>
      </c>
      <c r="M192" s="0" t="s">
        <v>227</v>
      </c>
      <c r="N192" s="0" t="s">
        <v>227</v>
      </c>
      <c r="O192" s="0" t="s">
        <v>227</v>
      </c>
      <c r="P192" s="0" t="s">
        <v>227</v>
      </c>
      <c r="Q192" s="0" t="s">
        <v>227</v>
      </c>
      <c r="R192" s="0" t="s">
        <v>603</v>
      </c>
      <c r="S192" s="0" t="s">
        <v>227</v>
      </c>
      <c r="T192" s="0" t="s">
        <v>227</v>
      </c>
      <c r="U192" s="0" t="s">
        <v>102</v>
      </c>
      <c r="V192" s="0" t="s">
        <v>227</v>
      </c>
      <c r="W192" s="0" t="s">
        <v>227</v>
      </c>
      <c r="X192" s="0" t="s">
        <v>5683</v>
      </c>
      <c r="Y192" s="0" t="s">
        <v>227</v>
      </c>
      <c r="Z192" s="0" t="s">
        <v>152</v>
      </c>
      <c r="AA192" s="0" t="s">
        <v>152</v>
      </c>
      <c r="AB192" s="0" t="s">
        <v>161</v>
      </c>
      <c r="AC192" s="0" t="s">
        <v>354</v>
      </c>
      <c r="AD192" s="0" t="s">
        <v>354</v>
      </c>
      <c r="AE192" s="0" t="s">
        <v>355</v>
      </c>
      <c r="AF192" s="0" t="s">
        <v>5684</v>
      </c>
      <c r="AG192" s="0" t="s">
        <v>5685</v>
      </c>
      <c r="AH192" s="0" t="s">
        <v>5809</v>
      </c>
      <c r="AI192" s="0" t="s">
        <v>6196</v>
      </c>
      <c r="AJ192" s="0" t="s">
        <v>227</v>
      </c>
      <c r="AK192" s="0" t="s">
        <v>227</v>
      </c>
      <c r="AL192" s="0" t="s">
        <v>227</v>
      </c>
      <c r="AM192" s="0" t="s">
        <v>227</v>
      </c>
      <c r="AN192" s="0" t="s">
        <v>227</v>
      </c>
      <c r="AO192" s="0" t="s">
        <v>227</v>
      </c>
      <c r="AP192" s="0" t="s">
        <v>227</v>
      </c>
      <c r="AQ192" s="0" t="s">
        <v>227</v>
      </c>
      <c r="AR192" s="0" t="s">
        <v>227</v>
      </c>
      <c r="AS192" s="0" t="s">
        <v>227</v>
      </c>
      <c r="AT192" s="0" t="s">
        <v>227</v>
      </c>
      <c r="AU192" s="0" t="s">
        <v>227</v>
      </c>
      <c r="AV192" s="0" t="s">
        <v>227</v>
      </c>
      <c r="AW192" s="0" t="s">
        <v>227</v>
      </c>
      <c r="AX192" s="0" t="s">
        <v>227</v>
      </c>
      <c r="AY192" s="0" t="s">
        <v>227</v>
      </c>
      <c r="AZ192" s="0" t="s">
        <v>227</v>
      </c>
      <c r="BA192" s="0" t="s">
        <v>227</v>
      </c>
      <c r="BB192" s="0" t="s">
        <v>227</v>
      </c>
      <c r="BC192" s="0" t="s">
        <v>227</v>
      </c>
      <c r="BD192" s="0" t="s">
        <v>227</v>
      </c>
      <c r="BE192" s="0" t="s">
        <v>5688</v>
      </c>
      <c r="BF192" s="0" t="s">
        <v>5768</v>
      </c>
      <c r="BG192" s="0" t="s">
        <v>112</v>
      </c>
      <c r="BH192" s="0" t="s">
        <v>5690</v>
      </c>
      <c r="BI192" s="0" t="s">
        <v>5691</v>
      </c>
      <c r="BJ192" s="0" t="s">
        <v>227</v>
      </c>
      <c r="BK192" s="0" t="s">
        <v>5692</v>
      </c>
      <c r="BL192" s="0" t="s">
        <v>354</v>
      </c>
      <c r="BM192" s="0" t="s">
        <v>354</v>
      </c>
      <c r="BN192" s="0" t="s">
        <v>5693</v>
      </c>
      <c r="BO192" s="0" t="s">
        <v>5684</v>
      </c>
      <c r="BP192" s="0" t="s">
        <v>5694</v>
      </c>
      <c r="BQ192" s="0" t="s">
        <v>5692</v>
      </c>
      <c r="BR192" s="0" t="s">
        <v>5692</v>
      </c>
      <c r="BS192" s="0" t="s">
        <v>227</v>
      </c>
      <c r="BT192" s="0" t="s">
        <v>5709</v>
      </c>
      <c r="BU192" s="0" t="s">
        <v>6197</v>
      </c>
      <c r="BV192" s="0" t="s">
        <v>6197</v>
      </c>
      <c r="BW192" s="0" t="s">
        <v>5697</v>
      </c>
      <c r="BX192" s="0" t="s">
        <v>5697</v>
      </c>
      <c r="BY192" s="0" t="s">
        <v>5697</v>
      </c>
      <c r="BZ192" s="0" t="s">
        <v>5697</v>
      </c>
      <c r="CA192" s="0" t="s">
        <v>5697</v>
      </c>
      <c r="CB192" s="0" t="s">
        <v>227</v>
      </c>
      <c r="CC192" s="0" t="s">
        <v>227</v>
      </c>
      <c r="CD192" s="0" t="s">
        <v>227</v>
      </c>
      <c r="CE192" s="0" t="s">
        <v>227</v>
      </c>
      <c r="CF192" s="0" t="s">
        <v>227</v>
      </c>
      <c r="CG192" s="0" t="s">
        <v>5697</v>
      </c>
      <c r="CH192" s="0" t="s">
        <v>227</v>
      </c>
      <c r="CI192" s="0" t="s">
        <v>227</v>
      </c>
      <c r="CJ192" s="0" t="s">
        <v>227</v>
      </c>
      <c r="CK192" s="0" t="s">
        <v>227</v>
      </c>
      <c r="CL192" s="0" t="s">
        <v>227</v>
      </c>
      <c r="CM192" s="0" t="s">
        <v>6197</v>
      </c>
      <c r="CN192" s="0" t="s">
        <v>6197</v>
      </c>
      <c r="CO192" s="0" t="s">
        <v>227</v>
      </c>
      <c r="CP192" s="0" t="s">
        <v>227</v>
      </c>
      <c r="CQ192" s="0" t="s">
        <v>227</v>
      </c>
      <c r="CR192" s="0" t="s">
        <v>227</v>
      </c>
      <c r="CS192" s="0" t="s">
        <v>5698</v>
      </c>
      <c r="CT192" s="0" t="s">
        <v>5679</v>
      </c>
      <c r="CU192" s="0" t="s">
        <v>5680</v>
      </c>
      <c r="CV192" s="0" t="s">
        <v>430</v>
      </c>
      <c r="CW192" s="0" t="s">
        <v>5699</v>
      </c>
      <c r="CX192" s="0" t="s">
        <v>431</v>
      </c>
      <c r="CY192" s="0" t="s">
        <v>430</v>
      </c>
      <c r="CZ192" s="0" t="s">
        <v>432</v>
      </c>
      <c r="DA192" s="0" t="s">
        <v>433</v>
      </c>
      <c r="DB192" s="0" t="s">
        <v>5700</v>
      </c>
      <c r="DC192" s="0" t="s">
        <v>373</v>
      </c>
      <c r="DD192" s="0" t="s">
        <v>277</v>
      </c>
      <c r="DE192" s="0" t="s">
        <v>604</v>
      </c>
    </row>
    <row customHeight="1" ht="11.25">
      <c r="A193" s="1806" t="s">
        <v>227</v>
      </c>
      <c r="B193" s="0" t="s">
        <v>227</v>
      </c>
      <c r="C193" s="0" t="s">
        <v>227</v>
      </c>
      <c r="D193" s="0" t="s">
        <v>227</v>
      </c>
      <c r="E193" s="0" t="s">
        <v>227</v>
      </c>
      <c r="F193" s="0" t="s">
        <v>227</v>
      </c>
      <c r="G193" s="0" t="s">
        <v>227</v>
      </c>
      <c r="H193" s="0" t="s">
        <v>227</v>
      </c>
      <c r="I193" s="0" t="s">
        <v>6198</v>
      </c>
      <c r="J193" s="0" t="s">
        <v>227</v>
      </c>
      <c r="K193" s="0" t="s">
        <v>227</v>
      </c>
      <c r="L193" s="0" t="s">
        <v>227</v>
      </c>
      <c r="M193" s="0" t="s">
        <v>227</v>
      </c>
      <c r="N193" s="0" t="s">
        <v>227</v>
      </c>
      <c r="O193" s="0" t="s">
        <v>227</v>
      </c>
      <c r="P193" s="0" t="s">
        <v>227</v>
      </c>
      <c r="Q193" s="0" t="s">
        <v>227</v>
      </c>
      <c r="R193" s="0" t="s">
        <v>979</v>
      </c>
      <c r="S193" s="0" t="s">
        <v>227</v>
      </c>
      <c r="T193" s="0" t="s">
        <v>227</v>
      </c>
      <c r="U193" s="0" t="s">
        <v>102</v>
      </c>
      <c r="V193" s="0" t="s">
        <v>227</v>
      </c>
      <c r="W193" s="0" t="s">
        <v>227</v>
      </c>
      <c r="X193" s="0" t="s">
        <v>6199</v>
      </c>
      <c r="Y193" s="0" t="s">
        <v>227</v>
      </c>
      <c r="Z193" s="0" t="s">
        <v>161</v>
      </c>
      <c r="AA193" s="0" t="s">
        <v>152</v>
      </c>
      <c r="AB193" s="0" t="s">
        <v>152</v>
      </c>
      <c r="AC193" s="0" t="s">
        <v>352</v>
      </c>
      <c r="AD193" s="0" t="s">
        <v>352</v>
      </c>
      <c r="AE193" s="0" t="s">
        <v>353</v>
      </c>
      <c r="AF193" s="0" t="s">
        <v>5734</v>
      </c>
      <c r="AG193" s="0" t="s">
        <v>5735</v>
      </c>
      <c r="AH193" s="0" t="s">
        <v>6200</v>
      </c>
      <c r="AI193" s="0" t="s">
        <v>6201</v>
      </c>
      <c r="AJ193" s="0" t="s">
        <v>5962</v>
      </c>
      <c r="AK193" s="0" t="s">
        <v>6202</v>
      </c>
      <c r="AL193" s="0" t="s">
        <v>6203</v>
      </c>
      <c r="AN193" s="0" t="s">
        <v>6204</v>
      </c>
      <c r="AO193" s="0" t="s">
        <v>6205</v>
      </c>
      <c r="AP193" s="0" t="s">
        <v>227</v>
      </c>
      <c r="AQ193" s="0" t="s">
        <v>227</v>
      </c>
      <c r="AR193" s="0" t="s">
        <v>227</v>
      </c>
      <c r="AS193" s="0" t="s">
        <v>227</v>
      </c>
      <c r="AT193" s="0" t="s">
        <v>227</v>
      </c>
      <c r="AU193" s="0" t="s">
        <v>227</v>
      </c>
      <c r="AV193" s="0" t="s">
        <v>227</v>
      </c>
      <c r="AW193" s="0" t="s">
        <v>227</v>
      </c>
      <c r="AX193" s="0" t="s">
        <v>227</v>
      </c>
      <c r="AY193" s="0" t="s">
        <v>227</v>
      </c>
      <c r="AZ193" s="0" t="s">
        <v>227</v>
      </c>
      <c r="BA193" s="0" t="s">
        <v>227</v>
      </c>
      <c r="BB193" s="0" t="s">
        <v>227</v>
      </c>
      <c r="BC193" s="0" t="s">
        <v>227</v>
      </c>
      <c r="BD193" s="0" t="s">
        <v>227</v>
      </c>
      <c r="BE193" s="0" t="s">
        <v>227</v>
      </c>
      <c r="BF193" s="0" t="s">
        <v>227</v>
      </c>
      <c r="BG193" s="0" t="s">
        <v>227</v>
      </c>
      <c r="BH193" s="0" t="s">
        <v>227</v>
      </c>
      <c r="BI193" s="0" t="s">
        <v>227</v>
      </c>
      <c r="BJ193" s="0" t="s">
        <v>227</v>
      </c>
      <c r="BK193" s="0" t="s">
        <v>227</v>
      </c>
      <c r="BL193" s="0" t="s">
        <v>227</v>
      </c>
      <c r="BM193" s="0" t="s">
        <v>227</v>
      </c>
      <c r="BN193" s="0" t="s">
        <v>227</v>
      </c>
      <c r="BO193" s="0" t="s">
        <v>227</v>
      </c>
      <c r="BP193" s="0" t="s">
        <v>227</v>
      </c>
      <c r="BQ193" s="0" t="s">
        <v>227</v>
      </c>
      <c r="BR193" s="0" t="s">
        <v>227</v>
      </c>
      <c r="BS193" s="0" t="s">
        <v>227</v>
      </c>
      <c r="BT193" s="0" t="s">
        <v>227</v>
      </c>
      <c r="CS193" s="0" t="s">
        <v>227</v>
      </c>
      <c r="CT193" s="0" t="s">
        <v>5679</v>
      </c>
      <c r="CU193" s="0" t="s">
        <v>5680</v>
      </c>
      <c r="CV193" s="0" t="s">
        <v>430</v>
      </c>
      <c r="CW193" s="0" t="s">
        <v>5681</v>
      </c>
      <c r="CX193" s="0" t="s">
        <v>431</v>
      </c>
      <c r="CY193" s="0" t="s">
        <v>430</v>
      </c>
      <c r="CZ193" s="0" t="s">
        <v>432</v>
      </c>
      <c r="DA193" s="0" t="s">
        <v>433</v>
      </c>
      <c r="DB193" s="0" t="s">
        <v>5682</v>
      </c>
      <c r="DC193" s="0" t="s">
        <v>373</v>
      </c>
      <c r="DD193" s="0" t="s">
        <v>290</v>
      </c>
      <c r="DE193" s="0" t="s">
        <v>980</v>
      </c>
    </row>
    <row customHeight="1" ht="11.25">
      <c r="A194" s="1806" t="s">
        <v>227</v>
      </c>
      <c r="B194" s="0" t="s">
        <v>227</v>
      </c>
      <c r="C194" s="0" t="s">
        <v>227</v>
      </c>
      <c r="D194" s="0" t="s">
        <v>227</v>
      </c>
      <c r="E194" s="0" t="s">
        <v>227</v>
      </c>
      <c r="F194" s="0" t="s">
        <v>227</v>
      </c>
      <c r="G194" s="0" t="s">
        <v>227</v>
      </c>
      <c r="H194" s="0" t="s">
        <v>227</v>
      </c>
      <c r="I194" s="0" t="s">
        <v>6198</v>
      </c>
      <c r="J194" s="0" t="s">
        <v>227</v>
      </c>
      <c r="K194" s="0" t="s">
        <v>227</v>
      </c>
      <c r="L194" s="0" t="s">
        <v>227</v>
      </c>
      <c r="M194" s="0" t="s">
        <v>227</v>
      </c>
      <c r="N194" s="0" t="s">
        <v>227</v>
      </c>
      <c r="O194" s="0" t="s">
        <v>227</v>
      </c>
      <c r="P194" s="0" t="s">
        <v>227</v>
      </c>
      <c r="Q194" s="0" t="s">
        <v>227</v>
      </c>
      <c r="R194" s="0" t="s">
        <v>1084</v>
      </c>
      <c r="S194" s="0" t="s">
        <v>227</v>
      </c>
      <c r="T194" s="0" t="s">
        <v>227</v>
      </c>
      <c r="U194" s="0" t="s">
        <v>102</v>
      </c>
      <c r="V194" s="0" t="s">
        <v>227</v>
      </c>
      <c r="W194" s="0" t="s">
        <v>227</v>
      </c>
      <c r="X194" s="0" t="s">
        <v>5683</v>
      </c>
      <c r="Y194" s="0" t="s">
        <v>227</v>
      </c>
      <c r="Z194" s="0" t="s">
        <v>152</v>
      </c>
      <c r="AA194" s="0" t="s">
        <v>152</v>
      </c>
      <c r="AB194" s="0" t="s">
        <v>161</v>
      </c>
      <c r="AC194" s="0" t="s">
        <v>354</v>
      </c>
      <c r="AD194" s="0" t="s">
        <v>354</v>
      </c>
      <c r="AE194" s="0" t="s">
        <v>355</v>
      </c>
      <c r="AF194" s="0" t="s">
        <v>5684</v>
      </c>
      <c r="AG194" s="0" t="s">
        <v>5685</v>
      </c>
      <c r="AH194" s="0" t="s">
        <v>5815</v>
      </c>
      <c r="AI194" s="0" t="s">
        <v>285</v>
      </c>
      <c r="AJ194" s="0" t="s">
        <v>227</v>
      </c>
      <c r="AK194" s="0" t="s">
        <v>227</v>
      </c>
      <c r="AL194" s="0" t="s">
        <v>227</v>
      </c>
      <c r="AN194" s="0" t="s">
        <v>227</v>
      </c>
      <c r="AO194" s="0" t="s">
        <v>227</v>
      </c>
      <c r="AP194" s="0" t="s">
        <v>227</v>
      </c>
      <c r="AQ194" s="0" t="s">
        <v>227</v>
      </c>
      <c r="AR194" s="0" t="s">
        <v>227</v>
      </c>
      <c r="AS194" s="0" t="s">
        <v>227</v>
      </c>
      <c r="AT194" s="0" t="s">
        <v>227</v>
      </c>
      <c r="AU194" s="0" t="s">
        <v>227</v>
      </c>
      <c r="AV194" s="0" t="s">
        <v>227</v>
      </c>
      <c r="AW194" s="0" t="s">
        <v>227</v>
      </c>
      <c r="AX194" s="0" t="s">
        <v>227</v>
      </c>
      <c r="AY194" s="0" t="s">
        <v>227</v>
      </c>
      <c r="AZ194" s="0" t="s">
        <v>227</v>
      </c>
      <c r="BA194" s="0" t="s">
        <v>227</v>
      </c>
      <c r="BB194" s="0" t="s">
        <v>227</v>
      </c>
      <c r="BC194" s="0" t="s">
        <v>227</v>
      </c>
      <c r="BD194" s="0" t="s">
        <v>227</v>
      </c>
      <c r="BE194" s="0" t="s">
        <v>6155</v>
      </c>
      <c r="BF194" s="0" t="s">
        <v>5697</v>
      </c>
      <c r="BG194" s="0" t="s">
        <v>112</v>
      </c>
      <c r="BH194" s="0" t="s">
        <v>5690</v>
      </c>
      <c r="BI194" s="0" t="s">
        <v>5691</v>
      </c>
      <c r="BJ194" s="0" t="s">
        <v>227</v>
      </c>
      <c r="BK194" s="0" t="s">
        <v>5692</v>
      </c>
      <c r="BL194" s="0" t="s">
        <v>354</v>
      </c>
      <c r="BM194" s="0" t="s">
        <v>354</v>
      </c>
      <c r="BN194" s="0" t="s">
        <v>5693</v>
      </c>
      <c r="BO194" s="0" t="s">
        <v>5684</v>
      </c>
      <c r="BP194" s="0" t="s">
        <v>5694</v>
      </c>
      <c r="BQ194" s="0" t="s">
        <v>5692</v>
      </c>
      <c r="BR194" s="0" t="s">
        <v>5692</v>
      </c>
      <c r="BS194" s="0" t="s">
        <v>227</v>
      </c>
      <c r="BT194" s="0" t="s">
        <v>6206</v>
      </c>
      <c r="CS194" s="0" t="s">
        <v>5759</v>
      </c>
      <c r="CT194" s="0" t="s">
        <v>5679</v>
      </c>
      <c r="CU194" s="0" t="s">
        <v>5680</v>
      </c>
      <c r="CV194" s="0" t="s">
        <v>430</v>
      </c>
      <c r="CW194" s="0" t="s">
        <v>5699</v>
      </c>
      <c r="CX194" s="0" t="s">
        <v>431</v>
      </c>
      <c r="CY194" s="0" t="s">
        <v>430</v>
      </c>
      <c r="CZ194" s="0" t="s">
        <v>432</v>
      </c>
      <c r="DA194" s="0" t="s">
        <v>433</v>
      </c>
      <c r="DB194" s="0" t="s">
        <v>5700</v>
      </c>
      <c r="DC194" s="0" t="s">
        <v>373</v>
      </c>
      <c r="DD194" s="0" t="s">
        <v>290</v>
      </c>
      <c r="DE194" s="0" t="s">
        <v>1085</v>
      </c>
    </row>
    <row customHeight="1" ht="11.25">
      <c r="A195" s="1806" t="s">
        <v>227</v>
      </c>
      <c r="B195" s="0" t="s">
        <v>227</v>
      </c>
      <c r="C195" s="0" t="s">
        <v>227</v>
      </c>
      <c r="D195" s="0" t="s">
        <v>227</v>
      </c>
      <c r="E195" s="0" t="s">
        <v>227</v>
      </c>
      <c r="F195" s="0" t="s">
        <v>227</v>
      </c>
      <c r="G195" s="0" t="s">
        <v>227</v>
      </c>
      <c r="H195" s="0" t="s">
        <v>227</v>
      </c>
      <c r="I195" s="0" t="s">
        <v>6198</v>
      </c>
      <c r="J195" s="0" t="s">
        <v>227</v>
      </c>
      <c r="K195" s="0" t="s">
        <v>227</v>
      </c>
      <c r="L195" s="0" t="s">
        <v>227</v>
      </c>
      <c r="M195" s="0" t="s">
        <v>227</v>
      </c>
      <c r="N195" s="0" t="s">
        <v>227</v>
      </c>
      <c r="O195" s="0" t="s">
        <v>227</v>
      </c>
      <c r="P195" s="0" t="s">
        <v>227</v>
      </c>
      <c r="Q195" s="0" t="s">
        <v>227</v>
      </c>
      <c r="R195" s="0" t="s">
        <v>1156</v>
      </c>
      <c r="S195" s="0" t="s">
        <v>227</v>
      </c>
      <c r="T195" s="0" t="s">
        <v>227</v>
      </c>
      <c r="U195" s="0" t="s">
        <v>102</v>
      </c>
      <c r="V195" s="0" t="s">
        <v>227</v>
      </c>
      <c r="W195" s="0" t="s">
        <v>227</v>
      </c>
      <c r="X195" s="0" t="s">
        <v>5683</v>
      </c>
      <c r="Y195" s="0" t="s">
        <v>227</v>
      </c>
      <c r="Z195" s="0" t="s">
        <v>152</v>
      </c>
      <c r="AA195" s="0" t="s">
        <v>152</v>
      </c>
      <c r="AB195" s="0" t="s">
        <v>161</v>
      </c>
      <c r="AC195" s="0" t="s">
        <v>354</v>
      </c>
      <c r="AD195" s="0" t="s">
        <v>354</v>
      </c>
      <c r="AE195" s="0" t="s">
        <v>355</v>
      </c>
      <c r="AF195" s="0" t="s">
        <v>5701</v>
      </c>
      <c r="AG195" s="0" t="s">
        <v>5702</v>
      </c>
      <c r="AH195" s="0" t="s">
        <v>5703</v>
      </c>
      <c r="AI195" s="0" t="s">
        <v>446</v>
      </c>
      <c r="AJ195" s="0" t="s">
        <v>227</v>
      </c>
      <c r="AK195" s="0" t="s">
        <v>227</v>
      </c>
      <c r="AL195" s="0" t="s">
        <v>227</v>
      </c>
      <c r="AN195" s="0" t="s">
        <v>227</v>
      </c>
      <c r="AO195" s="0" t="s">
        <v>227</v>
      </c>
      <c r="AP195" s="0" t="s">
        <v>227</v>
      </c>
      <c r="AQ195" s="0" t="s">
        <v>227</v>
      </c>
      <c r="AR195" s="0" t="s">
        <v>227</v>
      </c>
      <c r="AS195" s="0" t="s">
        <v>227</v>
      </c>
      <c r="AT195" s="0" t="s">
        <v>227</v>
      </c>
      <c r="AU195" s="0" t="s">
        <v>227</v>
      </c>
      <c r="AV195" s="0" t="s">
        <v>227</v>
      </c>
      <c r="AW195" s="0" t="s">
        <v>227</v>
      </c>
      <c r="AX195" s="0" t="s">
        <v>227</v>
      </c>
      <c r="AY195" s="0" t="s">
        <v>227</v>
      </c>
      <c r="AZ195" s="0" t="s">
        <v>227</v>
      </c>
      <c r="BA195" s="0" t="s">
        <v>227</v>
      </c>
      <c r="BB195" s="0" t="s">
        <v>227</v>
      </c>
      <c r="BC195" s="0" t="s">
        <v>227</v>
      </c>
      <c r="BD195" s="0" t="s">
        <v>227</v>
      </c>
      <c r="BE195" s="0" t="s">
        <v>6207</v>
      </c>
      <c r="BF195" s="0" t="s">
        <v>5697</v>
      </c>
      <c r="BG195" s="0" t="s">
        <v>112</v>
      </c>
      <c r="BH195" s="0" t="s">
        <v>5690</v>
      </c>
      <c r="BI195" s="0" t="s">
        <v>5691</v>
      </c>
      <c r="BJ195" s="0" t="s">
        <v>227</v>
      </c>
      <c r="BK195" s="0" t="s">
        <v>5692</v>
      </c>
      <c r="BL195" s="0" t="s">
        <v>354</v>
      </c>
      <c r="BM195" s="0" t="s">
        <v>354</v>
      </c>
      <c r="BN195" s="0" t="s">
        <v>5693</v>
      </c>
      <c r="BO195" s="0" t="s">
        <v>5701</v>
      </c>
      <c r="BP195" s="0" t="s">
        <v>5706</v>
      </c>
      <c r="BQ195" s="0" t="s">
        <v>5692</v>
      </c>
      <c r="BR195" s="0" t="s">
        <v>5692</v>
      </c>
      <c r="BS195" s="0" t="s">
        <v>227</v>
      </c>
      <c r="BT195" s="0" t="s">
        <v>6206</v>
      </c>
      <c r="CS195" s="0" t="s">
        <v>5759</v>
      </c>
      <c r="CT195" s="0" t="s">
        <v>5679</v>
      </c>
      <c r="CU195" s="0" t="s">
        <v>5680</v>
      </c>
      <c r="CV195" s="0" t="s">
        <v>430</v>
      </c>
      <c r="CW195" s="0" t="s">
        <v>5699</v>
      </c>
      <c r="CX195" s="0" t="s">
        <v>431</v>
      </c>
      <c r="CY195" s="0" t="s">
        <v>430</v>
      </c>
      <c r="CZ195" s="0" t="s">
        <v>432</v>
      </c>
      <c r="DA195" s="0" t="s">
        <v>433</v>
      </c>
      <c r="DB195" s="0" t="s">
        <v>5700</v>
      </c>
      <c r="DC195" s="0" t="s">
        <v>373</v>
      </c>
      <c r="DD195" s="0" t="s">
        <v>290</v>
      </c>
      <c r="DE195" s="0" t="s">
        <v>1157</v>
      </c>
    </row>
    <row customHeight="1" ht="11.25">
      <c r="A196" s="1806" t="s">
        <v>227</v>
      </c>
      <c r="B196" s="0" t="s">
        <v>227</v>
      </c>
      <c r="C196" s="0" t="s">
        <v>227</v>
      </c>
      <c r="D196" s="0" t="s">
        <v>227</v>
      </c>
      <c r="E196" s="0" t="s">
        <v>227</v>
      </c>
      <c r="F196" s="0" t="s">
        <v>227</v>
      </c>
      <c r="G196" s="0" t="s">
        <v>227</v>
      </c>
      <c r="H196" s="0" t="s">
        <v>227</v>
      </c>
      <c r="I196" s="0" t="s">
        <v>6198</v>
      </c>
      <c r="J196" s="0" t="s">
        <v>227</v>
      </c>
      <c r="K196" s="0" t="s">
        <v>227</v>
      </c>
      <c r="L196" s="0" t="s">
        <v>227</v>
      </c>
      <c r="M196" s="0" t="s">
        <v>227</v>
      </c>
      <c r="N196" s="0" t="s">
        <v>227</v>
      </c>
      <c r="O196" s="0" t="s">
        <v>227</v>
      </c>
      <c r="P196" s="0" t="s">
        <v>227</v>
      </c>
      <c r="Q196" s="0" t="s">
        <v>227</v>
      </c>
      <c r="R196" s="0" t="s">
        <v>1090</v>
      </c>
      <c r="S196" s="0" t="s">
        <v>227</v>
      </c>
      <c r="T196" s="0" t="s">
        <v>227</v>
      </c>
      <c r="U196" s="0" t="s">
        <v>102</v>
      </c>
      <c r="V196" s="0" t="s">
        <v>227</v>
      </c>
      <c r="W196" s="0" t="s">
        <v>227</v>
      </c>
      <c r="X196" s="0" t="s">
        <v>5683</v>
      </c>
      <c r="Y196" s="0" t="s">
        <v>227</v>
      </c>
      <c r="Z196" s="0" t="s">
        <v>152</v>
      </c>
      <c r="AA196" s="0" t="s">
        <v>152</v>
      </c>
      <c r="AB196" s="0" t="s">
        <v>161</v>
      </c>
      <c r="AC196" s="0" t="s">
        <v>354</v>
      </c>
      <c r="AD196" s="0" t="s">
        <v>354</v>
      </c>
      <c r="AE196" s="0" t="s">
        <v>355</v>
      </c>
      <c r="AF196" s="0" t="s">
        <v>5684</v>
      </c>
      <c r="AG196" s="0" t="s">
        <v>5685</v>
      </c>
      <c r="AH196" s="0" t="s">
        <v>6208</v>
      </c>
      <c r="AI196" s="0" t="s">
        <v>5692</v>
      </c>
      <c r="AJ196" s="0" t="s">
        <v>227</v>
      </c>
      <c r="AK196" s="0" t="s">
        <v>227</v>
      </c>
      <c r="AL196" s="0" t="s">
        <v>227</v>
      </c>
      <c r="AN196" s="0" t="s">
        <v>227</v>
      </c>
      <c r="AO196" s="0" t="s">
        <v>227</v>
      </c>
      <c r="AP196" s="0" t="s">
        <v>227</v>
      </c>
      <c r="AQ196" s="0" t="s">
        <v>227</v>
      </c>
      <c r="AR196" s="0" t="s">
        <v>227</v>
      </c>
      <c r="AS196" s="0" t="s">
        <v>227</v>
      </c>
      <c r="AT196" s="0" t="s">
        <v>227</v>
      </c>
      <c r="AU196" s="0" t="s">
        <v>227</v>
      </c>
      <c r="AV196" s="0" t="s">
        <v>227</v>
      </c>
      <c r="AW196" s="0" t="s">
        <v>227</v>
      </c>
      <c r="AX196" s="0" t="s">
        <v>227</v>
      </c>
      <c r="AY196" s="0" t="s">
        <v>227</v>
      </c>
      <c r="AZ196" s="0" t="s">
        <v>227</v>
      </c>
      <c r="BA196" s="0" t="s">
        <v>227</v>
      </c>
      <c r="BB196" s="0" t="s">
        <v>227</v>
      </c>
      <c r="BC196" s="0" t="s">
        <v>227</v>
      </c>
      <c r="BD196" s="0" t="s">
        <v>227</v>
      </c>
      <c r="BE196" s="0" t="s">
        <v>6209</v>
      </c>
      <c r="BF196" s="0" t="s">
        <v>5697</v>
      </c>
      <c r="BG196" s="0" t="s">
        <v>112</v>
      </c>
      <c r="BH196" s="0" t="s">
        <v>5690</v>
      </c>
      <c r="BI196" s="0" t="s">
        <v>5691</v>
      </c>
      <c r="BJ196" s="0" t="s">
        <v>227</v>
      </c>
      <c r="BK196" s="0" t="s">
        <v>5692</v>
      </c>
      <c r="BL196" s="0" t="s">
        <v>354</v>
      </c>
      <c r="BM196" s="0" t="s">
        <v>354</v>
      </c>
      <c r="BN196" s="0" t="s">
        <v>5693</v>
      </c>
      <c r="BO196" s="0" t="s">
        <v>5684</v>
      </c>
      <c r="BP196" s="0" t="s">
        <v>5694</v>
      </c>
      <c r="BQ196" s="0" t="s">
        <v>5692</v>
      </c>
      <c r="BR196" s="0" t="s">
        <v>5692</v>
      </c>
      <c r="BS196" s="0" t="s">
        <v>227</v>
      </c>
      <c r="BT196" s="0" t="s">
        <v>6210</v>
      </c>
      <c r="CS196" s="0" t="s">
        <v>5759</v>
      </c>
      <c r="CT196" s="0" t="s">
        <v>5679</v>
      </c>
      <c r="CU196" s="0" t="s">
        <v>5680</v>
      </c>
      <c r="CV196" s="0" t="s">
        <v>430</v>
      </c>
      <c r="CW196" s="0" t="s">
        <v>5699</v>
      </c>
      <c r="CX196" s="0" t="s">
        <v>431</v>
      </c>
      <c r="CY196" s="0" t="s">
        <v>430</v>
      </c>
      <c r="CZ196" s="0" t="s">
        <v>432</v>
      </c>
      <c r="DA196" s="0" t="s">
        <v>433</v>
      </c>
      <c r="DB196" s="0" t="s">
        <v>5700</v>
      </c>
      <c r="DC196" s="0" t="s">
        <v>373</v>
      </c>
      <c r="DD196" s="0" t="s">
        <v>290</v>
      </c>
      <c r="DE196" s="0" t="s">
        <v>1091</v>
      </c>
    </row>
    <row customHeight="1" ht="11.25">
      <c r="A197" s="1806" t="s">
        <v>227</v>
      </c>
      <c r="B197" s="0" t="s">
        <v>227</v>
      </c>
      <c r="C197" s="0" t="s">
        <v>227</v>
      </c>
      <c r="D197" s="0" t="s">
        <v>227</v>
      </c>
      <c r="E197" s="0" t="s">
        <v>227</v>
      </c>
      <c r="F197" s="0" t="s">
        <v>227</v>
      </c>
      <c r="G197" s="0" t="s">
        <v>227</v>
      </c>
      <c r="H197" s="0" t="s">
        <v>227</v>
      </c>
      <c r="I197" s="0" t="s">
        <v>6198</v>
      </c>
      <c r="J197" s="0" t="s">
        <v>227</v>
      </c>
      <c r="K197" s="0" t="s">
        <v>227</v>
      </c>
      <c r="L197" s="0" t="s">
        <v>227</v>
      </c>
      <c r="M197" s="0" t="s">
        <v>227</v>
      </c>
      <c r="N197" s="0" t="s">
        <v>227</v>
      </c>
      <c r="O197" s="0" t="s">
        <v>227</v>
      </c>
      <c r="P197" s="0" t="s">
        <v>227</v>
      </c>
      <c r="Q197" s="0" t="s">
        <v>227</v>
      </c>
      <c r="R197" s="0" t="s">
        <v>979</v>
      </c>
      <c r="S197" s="0" t="s">
        <v>227</v>
      </c>
      <c r="T197" s="0" t="s">
        <v>227</v>
      </c>
      <c r="U197" s="0" t="s">
        <v>102</v>
      </c>
      <c r="V197" s="0" t="s">
        <v>227</v>
      </c>
      <c r="W197" s="0" t="s">
        <v>227</v>
      </c>
      <c r="X197" s="0" t="s">
        <v>6211</v>
      </c>
      <c r="Y197" s="0" t="s">
        <v>227</v>
      </c>
      <c r="Z197" s="0" t="s">
        <v>161</v>
      </c>
      <c r="AA197" s="0" t="s">
        <v>152</v>
      </c>
      <c r="AB197" s="0" t="s">
        <v>161</v>
      </c>
      <c r="AC197" s="0" t="s">
        <v>354</v>
      </c>
      <c r="AD197" s="0" t="s">
        <v>354</v>
      </c>
      <c r="AE197" s="0" t="s">
        <v>355</v>
      </c>
      <c r="AF197" s="0" t="s">
        <v>5701</v>
      </c>
      <c r="AG197" s="0" t="s">
        <v>5702</v>
      </c>
      <c r="AH197" s="0" t="s">
        <v>5707</v>
      </c>
      <c r="AI197" s="0" t="s">
        <v>6212</v>
      </c>
      <c r="AJ197" s="0" t="s">
        <v>6213</v>
      </c>
      <c r="AK197" s="0" t="s">
        <v>6214</v>
      </c>
      <c r="AL197" s="0" t="s">
        <v>6203</v>
      </c>
      <c r="AN197" s="0" t="s">
        <v>5791</v>
      </c>
      <c r="AO197" s="0" t="s">
        <v>6215</v>
      </c>
      <c r="AP197" s="0" t="s">
        <v>227</v>
      </c>
      <c r="AQ197" s="0" t="s">
        <v>227</v>
      </c>
      <c r="AR197" s="0" t="s">
        <v>227</v>
      </c>
      <c r="AS197" s="0" t="s">
        <v>227</v>
      </c>
      <c r="AT197" s="0" t="s">
        <v>227</v>
      </c>
      <c r="AU197" s="0" t="s">
        <v>227</v>
      </c>
      <c r="AV197" s="0" t="s">
        <v>227</v>
      </c>
      <c r="AW197" s="0" t="s">
        <v>227</v>
      </c>
      <c r="AX197" s="0" t="s">
        <v>227</v>
      </c>
      <c r="AY197" s="0" t="s">
        <v>227</v>
      </c>
      <c r="AZ197" s="0" t="s">
        <v>227</v>
      </c>
      <c r="BA197" s="0" t="s">
        <v>227</v>
      </c>
      <c r="BB197" s="0" t="s">
        <v>227</v>
      </c>
      <c r="BC197" s="0" t="s">
        <v>227</v>
      </c>
      <c r="BD197" s="0" t="s">
        <v>227</v>
      </c>
      <c r="BE197" s="0" t="s">
        <v>6213</v>
      </c>
      <c r="BF197" s="0" t="s">
        <v>6214</v>
      </c>
      <c r="BG197" s="0" t="s">
        <v>227</v>
      </c>
      <c r="BH197" s="0" t="s">
        <v>227</v>
      </c>
      <c r="BI197" s="0" t="s">
        <v>227</v>
      </c>
      <c r="BJ197" s="0" t="s">
        <v>227</v>
      </c>
      <c r="BK197" s="0" t="s">
        <v>227</v>
      </c>
      <c r="BL197" s="0" t="s">
        <v>227</v>
      </c>
      <c r="BM197" s="0" t="s">
        <v>227</v>
      </c>
      <c r="BN197" s="0" t="s">
        <v>227</v>
      </c>
      <c r="BO197" s="0" t="s">
        <v>227</v>
      </c>
      <c r="BP197" s="0" t="s">
        <v>227</v>
      </c>
      <c r="BQ197" s="0" t="s">
        <v>227</v>
      </c>
      <c r="BR197" s="0" t="s">
        <v>227</v>
      </c>
      <c r="BS197" s="0" t="s">
        <v>227</v>
      </c>
      <c r="BT197" s="0" t="s">
        <v>6031</v>
      </c>
      <c r="CS197" s="0" t="s">
        <v>5791</v>
      </c>
      <c r="CT197" s="0" t="s">
        <v>5679</v>
      </c>
      <c r="CU197" s="0" t="s">
        <v>5680</v>
      </c>
      <c r="CV197" s="0" t="s">
        <v>430</v>
      </c>
      <c r="CW197" s="0" t="s">
        <v>5699</v>
      </c>
      <c r="CX197" s="0" t="s">
        <v>431</v>
      </c>
      <c r="CY197" s="0" t="s">
        <v>430</v>
      </c>
      <c r="CZ197" s="0" t="s">
        <v>432</v>
      </c>
      <c r="DA197" s="0" t="s">
        <v>433</v>
      </c>
      <c r="DB197" s="0" t="s">
        <v>5700</v>
      </c>
      <c r="DC197" s="0" t="s">
        <v>373</v>
      </c>
      <c r="DD197" s="0" t="s">
        <v>290</v>
      </c>
      <c r="DE197" s="0" t="s">
        <v>1161</v>
      </c>
    </row>
    <row customHeight="1" ht="11.25">
      <c r="A198" s="1806" t="s">
        <v>227</v>
      </c>
      <c r="B198" s="0" t="s">
        <v>227</v>
      </c>
      <c r="C198" s="0" t="s">
        <v>227</v>
      </c>
      <c r="D198" s="0" t="s">
        <v>227</v>
      </c>
      <c r="E198" s="0" t="s">
        <v>227</v>
      </c>
      <c r="F198" s="0" t="s">
        <v>227</v>
      </c>
      <c r="G198" s="0" t="s">
        <v>227</v>
      </c>
      <c r="H198" s="0" t="s">
        <v>227</v>
      </c>
      <c r="I198" s="0" t="s">
        <v>6198</v>
      </c>
      <c r="J198" s="0" t="s">
        <v>227</v>
      </c>
      <c r="K198" s="0" t="s">
        <v>227</v>
      </c>
      <c r="L198" s="0" t="s">
        <v>227</v>
      </c>
      <c r="M198" s="0" t="s">
        <v>227</v>
      </c>
      <c r="N198" s="0" t="s">
        <v>227</v>
      </c>
      <c r="O198" s="0" t="s">
        <v>227</v>
      </c>
      <c r="P198" s="0" t="s">
        <v>227</v>
      </c>
      <c r="Q198" s="0" t="s">
        <v>227</v>
      </c>
      <c r="R198" s="0" t="s">
        <v>987</v>
      </c>
      <c r="S198" s="0" t="s">
        <v>227</v>
      </c>
      <c r="T198" s="0" t="s">
        <v>227</v>
      </c>
      <c r="U198" s="0" t="s">
        <v>102</v>
      </c>
      <c r="V198" s="0" t="s">
        <v>227</v>
      </c>
      <c r="W198" s="0" t="s">
        <v>227</v>
      </c>
      <c r="X198" s="0" t="s">
        <v>5683</v>
      </c>
      <c r="Y198" s="0" t="s">
        <v>227</v>
      </c>
      <c r="Z198" s="0" t="s">
        <v>152</v>
      </c>
      <c r="AA198" s="0" t="s">
        <v>152</v>
      </c>
      <c r="AB198" s="0" t="s">
        <v>161</v>
      </c>
      <c r="AC198" s="0" t="s">
        <v>354</v>
      </c>
      <c r="AD198" s="0" t="s">
        <v>354</v>
      </c>
      <c r="AE198" s="0" t="s">
        <v>355</v>
      </c>
      <c r="AF198" s="0" t="s">
        <v>5684</v>
      </c>
      <c r="AG198" s="0" t="s">
        <v>5685</v>
      </c>
      <c r="AH198" s="0" t="s">
        <v>5711</v>
      </c>
      <c r="AI198" s="0" t="s">
        <v>5692</v>
      </c>
      <c r="AJ198" s="0" t="s">
        <v>227</v>
      </c>
      <c r="AK198" s="0" t="s">
        <v>227</v>
      </c>
      <c r="AL198" s="0" t="s">
        <v>227</v>
      </c>
      <c r="AN198" s="0" t="s">
        <v>227</v>
      </c>
      <c r="AO198" s="0" t="s">
        <v>227</v>
      </c>
      <c r="AP198" s="0" t="s">
        <v>227</v>
      </c>
      <c r="AQ198" s="0" t="s">
        <v>227</v>
      </c>
      <c r="AR198" s="0" t="s">
        <v>227</v>
      </c>
      <c r="AS198" s="0" t="s">
        <v>227</v>
      </c>
      <c r="AT198" s="0" t="s">
        <v>227</v>
      </c>
      <c r="AU198" s="0" t="s">
        <v>227</v>
      </c>
      <c r="AV198" s="0" t="s">
        <v>227</v>
      </c>
      <c r="AW198" s="0" t="s">
        <v>227</v>
      </c>
      <c r="AX198" s="0" t="s">
        <v>227</v>
      </c>
      <c r="AY198" s="0" t="s">
        <v>227</v>
      </c>
      <c r="AZ198" s="0" t="s">
        <v>227</v>
      </c>
      <c r="BA198" s="0" t="s">
        <v>227</v>
      </c>
      <c r="BB198" s="0" t="s">
        <v>227</v>
      </c>
      <c r="BC198" s="0" t="s">
        <v>227</v>
      </c>
      <c r="BD198" s="0" t="s">
        <v>227</v>
      </c>
      <c r="BE198" s="0" t="s">
        <v>6216</v>
      </c>
      <c r="BF198" s="0" t="s">
        <v>5697</v>
      </c>
      <c r="BG198" s="0" t="s">
        <v>112</v>
      </c>
      <c r="BH198" s="0" t="s">
        <v>5690</v>
      </c>
      <c r="BI198" s="0" t="s">
        <v>5691</v>
      </c>
      <c r="BJ198" s="0" t="s">
        <v>227</v>
      </c>
      <c r="BK198" s="0" t="s">
        <v>5692</v>
      </c>
      <c r="BL198" s="0" t="s">
        <v>354</v>
      </c>
      <c r="BM198" s="0" t="s">
        <v>354</v>
      </c>
      <c r="BN198" s="0" t="s">
        <v>5693</v>
      </c>
      <c r="BO198" s="0" t="s">
        <v>5684</v>
      </c>
      <c r="BP198" s="0" t="s">
        <v>5694</v>
      </c>
      <c r="BQ198" s="0" t="s">
        <v>5692</v>
      </c>
      <c r="BR198" s="0" t="s">
        <v>5692</v>
      </c>
      <c r="BS198" s="0" t="s">
        <v>227</v>
      </c>
      <c r="BT198" s="0" t="s">
        <v>5695</v>
      </c>
      <c r="CS198" s="0" t="s">
        <v>5759</v>
      </c>
      <c r="CT198" s="0" t="s">
        <v>5679</v>
      </c>
      <c r="CU198" s="0" t="s">
        <v>5680</v>
      </c>
      <c r="CV198" s="0" t="s">
        <v>430</v>
      </c>
      <c r="CW198" s="0" t="s">
        <v>5699</v>
      </c>
      <c r="CX198" s="0" t="s">
        <v>431</v>
      </c>
      <c r="CY198" s="0" t="s">
        <v>430</v>
      </c>
      <c r="CZ198" s="0" t="s">
        <v>432</v>
      </c>
      <c r="DA198" s="0" t="s">
        <v>433</v>
      </c>
      <c r="DB198" s="0" t="s">
        <v>5700</v>
      </c>
      <c r="DC198" s="0" t="s">
        <v>373</v>
      </c>
      <c r="DD198" s="0" t="s">
        <v>290</v>
      </c>
      <c r="DE198" s="0" t="s">
        <v>495</v>
      </c>
    </row>
    <row customHeight="1" ht="11.25">
      <c r="A199" s="1806" t="s">
        <v>227</v>
      </c>
      <c r="B199" s="0" t="s">
        <v>227</v>
      </c>
      <c r="C199" s="0" t="s">
        <v>227</v>
      </c>
      <c r="D199" s="0" t="s">
        <v>227</v>
      </c>
      <c r="E199" s="0" t="s">
        <v>227</v>
      </c>
      <c r="F199" s="0" t="s">
        <v>227</v>
      </c>
      <c r="G199" s="0" t="s">
        <v>227</v>
      </c>
      <c r="H199" s="0" t="s">
        <v>227</v>
      </c>
      <c r="I199" s="0" t="s">
        <v>6198</v>
      </c>
      <c r="J199" s="0" t="s">
        <v>227</v>
      </c>
      <c r="K199" s="0" t="s">
        <v>227</v>
      </c>
      <c r="L199" s="0" t="s">
        <v>227</v>
      </c>
      <c r="M199" s="0" t="s">
        <v>227</v>
      </c>
      <c r="N199" s="0" t="s">
        <v>227</v>
      </c>
      <c r="O199" s="0" t="s">
        <v>227</v>
      </c>
      <c r="P199" s="0" t="s">
        <v>227</v>
      </c>
      <c r="Q199" s="0" t="s">
        <v>227</v>
      </c>
      <c r="R199" s="0" t="s">
        <v>1135</v>
      </c>
      <c r="S199" s="0" t="s">
        <v>227</v>
      </c>
      <c r="T199" s="0" t="s">
        <v>227</v>
      </c>
      <c r="U199" s="0" t="s">
        <v>102</v>
      </c>
      <c r="V199" s="0" t="s">
        <v>227</v>
      </c>
      <c r="W199" s="0" t="s">
        <v>227</v>
      </c>
      <c r="X199" s="0" t="s">
        <v>5683</v>
      </c>
      <c r="Y199" s="0" t="s">
        <v>227</v>
      </c>
      <c r="Z199" s="0" t="s">
        <v>152</v>
      </c>
      <c r="AA199" s="0" t="s">
        <v>152</v>
      </c>
      <c r="AB199" s="0" t="s">
        <v>161</v>
      </c>
      <c r="AC199" s="0" t="s">
        <v>354</v>
      </c>
      <c r="AD199" s="0" t="s">
        <v>354</v>
      </c>
      <c r="AE199" s="0" t="s">
        <v>355</v>
      </c>
      <c r="AF199" s="0" t="s">
        <v>5701</v>
      </c>
      <c r="AG199" s="0" t="s">
        <v>5702</v>
      </c>
      <c r="AH199" s="0" t="s">
        <v>5692</v>
      </c>
      <c r="AI199" s="0" t="s">
        <v>5692</v>
      </c>
      <c r="AJ199" s="0" t="s">
        <v>227</v>
      </c>
      <c r="AK199" s="0" t="s">
        <v>227</v>
      </c>
      <c r="AL199" s="0" t="s">
        <v>227</v>
      </c>
      <c r="AN199" s="0" t="s">
        <v>227</v>
      </c>
      <c r="AO199" s="0" t="s">
        <v>227</v>
      </c>
      <c r="AP199" s="0" t="s">
        <v>227</v>
      </c>
      <c r="AQ199" s="0" t="s">
        <v>227</v>
      </c>
      <c r="AR199" s="0" t="s">
        <v>227</v>
      </c>
      <c r="AS199" s="0" t="s">
        <v>227</v>
      </c>
      <c r="AT199" s="0" t="s">
        <v>227</v>
      </c>
      <c r="AU199" s="0" t="s">
        <v>227</v>
      </c>
      <c r="AV199" s="0" t="s">
        <v>227</v>
      </c>
      <c r="AW199" s="0" t="s">
        <v>227</v>
      </c>
      <c r="AX199" s="0" t="s">
        <v>227</v>
      </c>
      <c r="AY199" s="0" t="s">
        <v>227</v>
      </c>
      <c r="AZ199" s="0" t="s">
        <v>227</v>
      </c>
      <c r="BA199" s="0" t="s">
        <v>227</v>
      </c>
      <c r="BB199" s="0" t="s">
        <v>227</v>
      </c>
      <c r="BC199" s="0" t="s">
        <v>227</v>
      </c>
      <c r="BD199" s="0" t="s">
        <v>227</v>
      </c>
      <c r="BE199" s="0" t="s">
        <v>6217</v>
      </c>
      <c r="BF199" s="0" t="s">
        <v>5697</v>
      </c>
      <c r="BG199" s="0" t="s">
        <v>112</v>
      </c>
      <c r="BH199" s="0" t="s">
        <v>5690</v>
      </c>
      <c r="BI199" s="0" t="s">
        <v>5691</v>
      </c>
      <c r="BJ199" s="0" t="s">
        <v>227</v>
      </c>
      <c r="BK199" s="0" t="s">
        <v>5692</v>
      </c>
      <c r="BL199" s="0" t="s">
        <v>354</v>
      </c>
      <c r="BM199" s="0" t="s">
        <v>354</v>
      </c>
      <c r="BN199" s="0" t="s">
        <v>5693</v>
      </c>
      <c r="BO199" s="0" t="s">
        <v>5701</v>
      </c>
      <c r="BP199" s="0" t="s">
        <v>5706</v>
      </c>
      <c r="BQ199" s="0" t="s">
        <v>5692</v>
      </c>
      <c r="BR199" s="0" t="s">
        <v>5692</v>
      </c>
      <c r="BS199" s="0" t="s">
        <v>227</v>
      </c>
      <c r="BT199" s="0" t="s">
        <v>6031</v>
      </c>
      <c r="CS199" s="0" t="s">
        <v>5791</v>
      </c>
      <c r="CT199" s="0" t="s">
        <v>5679</v>
      </c>
      <c r="CU199" s="0" t="s">
        <v>5680</v>
      </c>
      <c r="CV199" s="0" t="s">
        <v>430</v>
      </c>
      <c r="CW199" s="0" t="s">
        <v>5699</v>
      </c>
      <c r="CX199" s="0" t="s">
        <v>431</v>
      </c>
      <c r="CY199" s="0" t="s">
        <v>430</v>
      </c>
      <c r="CZ199" s="0" t="s">
        <v>432</v>
      </c>
      <c r="DA199" s="0" t="s">
        <v>433</v>
      </c>
      <c r="DB199" s="0" t="s">
        <v>5700</v>
      </c>
      <c r="DC199" s="0" t="s">
        <v>373</v>
      </c>
      <c r="DD199" s="0" t="s">
        <v>290</v>
      </c>
      <c r="DE199" s="0" t="s">
        <v>715</v>
      </c>
    </row>
    <row customHeight="1" ht="11.25">
      <c r="A200" s="1806" t="s">
        <v>227</v>
      </c>
      <c r="B200" s="0" t="s">
        <v>227</v>
      </c>
      <c r="C200" s="0" t="s">
        <v>227</v>
      </c>
      <c r="D200" s="0" t="s">
        <v>227</v>
      </c>
      <c r="E200" s="0" t="s">
        <v>227</v>
      </c>
      <c r="F200" s="0" t="s">
        <v>227</v>
      </c>
      <c r="G200" s="0" t="s">
        <v>227</v>
      </c>
      <c r="H200" s="0" t="s">
        <v>227</v>
      </c>
      <c r="I200" s="0" t="s">
        <v>6198</v>
      </c>
      <c r="J200" s="0" t="s">
        <v>227</v>
      </c>
      <c r="K200" s="0" t="s">
        <v>227</v>
      </c>
      <c r="L200" s="0" t="s">
        <v>227</v>
      </c>
      <c r="M200" s="0" t="s">
        <v>227</v>
      </c>
      <c r="N200" s="0" t="s">
        <v>227</v>
      </c>
      <c r="O200" s="0" t="s">
        <v>227</v>
      </c>
      <c r="P200" s="0" t="s">
        <v>227</v>
      </c>
      <c r="Q200" s="0" t="s">
        <v>227</v>
      </c>
      <c r="R200" s="0" t="s">
        <v>1142</v>
      </c>
      <c r="S200" s="0" t="s">
        <v>227</v>
      </c>
      <c r="T200" s="0" t="s">
        <v>227</v>
      </c>
      <c r="U200" s="0" t="s">
        <v>102</v>
      </c>
      <c r="V200" s="0" t="s">
        <v>227</v>
      </c>
      <c r="W200" s="0" t="s">
        <v>227</v>
      </c>
      <c r="X200" s="0" t="s">
        <v>5683</v>
      </c>
      <c r="Y200" s="0" t="s">
        <v>227</v>
      </c>
      <c r="Z200" s="0" t="s">
        <v>152</v>
      </c>
      <c r="AA200" s="0" t="s">
        <v>152</v>
      </c>
      <c r="AB200" s="0" t="s">
        <v>161</v>
      </c>
      <c r="AC200" s="0" t="s">
        <v>354</v>
      </c>
      <c r="AD200" s="0" t="s">
        <v>354</v>
      </c>
      <c r="AE200" s="0" t="s">
        <v>355</v>
      </c>
      <c r="AF200" s="0" t="s">
        <v>5701</v>
      </c>
      <c r="AG200" s="0" t="s">
        <v>5702</v>
      </c>
      <c r="AH200" s="0" t="s">
        <v>5703</v>
      </c>
      <c r="AI200" s="0" t="s">
        <v>508</v>
      </c>
      <c r="AJ200" s="0" t="s">
        <v>227</v>
      </c>
      <c r="AK200" s="0" t="s">
        <v>227</v>
      </c>
      <c r="AL200" s="0" t="s">
        <v>227</v>
      </c>
      <c r="AN200" s="0" t="s">
        <v>227</v>
      </c>
      <c r="AO200" s="0" t="s">
        <v>227</v>
      </c>
      <c r="AP200" s="0" t="s">
        <v>227</v>
      </c>
      <c r="AQ200" s="0" t="s">
        <v>227</v>
      </c>
      <c r="AR200" s="0" t="s">
        <v>227</v>
      </c>
      <c r="AS200" s="0" t="s">
        <v>227</v>
      </c>
      <c r="AT200" s="0" t="s">
        <v>227</v>
      </c>
      <c r="AU200" s="0" t="s">
        <v>227</v>
      </c>
      <c r="AV200" s="0" t="s">
        <v>227</v>
      </c>
      <c r="AW200" s="0" t="s">
        <v>227</v>
      </c>
      <c r="AX200" s="0" t="s">
        <v>227</v>
      </c>
      <c r="AY200" s="0" t="s">
        <v>227</v>
      </c>
      <c r="AZ200" s="0" t="s">
        <v>227</v>
      </c>
      <c r="BA200" s="0" t="s">
        <v>227</v>
      </c>
      <c r="BB200" s="0" t="s">
        <v>227</v>
      </c>
      <c r="BC200" s="0" t="s">
        <v>227</v>
      </c>
      <c r="BD200" s="0" t="s">
        <v>227</v>
      </c>
      <c r="BE200" s="0" t="s">
        <v>6155</v>
      </c>
      <c r="BF200" s="0" t="s">
        <v>5697</v>
      </c>
      <c r="BG200" s="0" t="s">
        <v>112</v>
      </c>
      <c r="BH200" s="0" t="s">
        <v>5690</v>
      </c>
      <c r="BI200" s="0" t="s">
        <v>5691</v>
      </c>
      <c r="BJ200" s="0" t="s">
        <v>227</v>
      </c>
      <c r="BK200" s="0" t="s">
        <v>5692</v>
      </c>
      <c r="BL200" s="0" t="s">
        <v>354</v>
      </c>
      <c r="BM200" s="0" t="s">
        <v>354</v>
      </c>
      <c r="BN200" s="0" t="s">
        <v>5693</v>
      </c>
      <c r="BO200" s="0" t="s">
        <v>5701</v>
      </c>
      <c r="BP200" s="0" t="s">
        <v>5706</v>
      </c>
      <c r="BQ200" s="0" t="s">
        <v>5692</v>
      </c>
      <c r="BR200" s="0" t="s">
        <v>5692</v>
      </c>
      <c r="BS200" s="0" t="s">
        <v>227</v>
      </c>
      <c r="BT200" s="0" t="s">
        <v>6206</v>
      </c>
      <c r="CS200" s="0" t="s">
        <v>5759</v>
      </c>
      <c r="CT200" s="0" t="s">
        <v>5679</v>
      </c>
      <c r="CU200" s="0" t="s">
        <v>5680</v>
      </c>
      <c r="CV200" s="0" t="s">
        <v>430</v>
      </c>
      <c r="CW200" s="0" t="s">
        <v>5699</v>
      </c>
      <c r="CX200" s="0" t="s">
        <v>431</v>
      </c>
      <c r="CY200" s="0" t="s">
        <v>430</v>
      </c>
      <c r="CZ200" s="0" t="s">
        <v>432</v>
      </c>
      <c r="DA200" s="0" t="s">
        <v>433</v>
      </c>
      <c r="DB200" s="0" t="s">
        <v>5700</v>
      </c>
      <c r="DC200" s="0" t="s">
        <v>373</v>
      </c>
      <c r="DD200" s="0" t="s">
        <v>290</v>
      </c>
      <c r="DE200" s="0" t="s">
        <v>786</v>
      </c>
    </row>
    <row customHeight="1" ht="11.25">
      <c r="A201" s="1806" t="s">
        <v>227</v>
      </c>
      <c r="B201" s="0" t="s">
        <v>227</v>
      </c>
      <c r="C201" s="0" t="s">
        <v>227</v>
      </c>
      <c r="D201" s="0" t="s">
        <v>227</v>
      </c>
      <c r="E201" s="0" t="s">
        <v>227</v>
      </c>
      <c r="F201" s="0" t="s">
        <v>227</v>
      </c>
      <c r="G201" s="0" t="s">
        <v>227</v>
      </c>
      <c r="H201" s="0" t="s">
        <v>227</v>
      </c>
      <c r="I201" s="0" t="s">
        <v>6198</v>
      </c>
      <c r="J201" s="0" t="s">
        <v>227</v>
      </c>
      <c r="K201" s="0" t="s">
        <v>227</v>
      </c>
      <c r="L201" s="0" t="s">
        <v>227</v>
      </c>
      <c r="M201" s="0" t="s">
        <v>227</v>
      </c>
      <c r="N201" s="0" t="s">
        <v>227</v>
      </c>
      <c r="O201" s="0" t="s">
        <v>227</v>
      </c>
      <c r="P201" s="0" t="s">
        <v>227</v>
      </c>
      <c r="Q201" s="0" t="s">
        <v>227</v>
      </c>
      <c r="R201" s="0" t="s">
        <v>983</v>
      </c>
      <c r="S201" s="0" t="s">
        <v>227</v>
      </c>
      <c r="T201" s="0" t="s">
        <v>227</v>
      </c>
      <c r="U201" s="0" t="s">
        <v>102</v>
      </c>
      <c r="V201" s="0" t="s">
        <v>227</v>
      </c>
      <c r="W201" s="0" t="s">
        <v>227</v>
      </c>
      <c r="X201" s="0" t="s">
        <v>5683</v>
      </c>
      <c r="Y201" s="0" t="s">
        <v>227</v>
      </c>
      <c r="Z201" s="0" t="s">
        <v>152</v>
      </c>
      <c r="AA201" s="0" t="s">
        <v>152</v>
      </c>
      <c r="AB201" s="0" t="s">
        <v>161</v>
      </c>
      <c r="AC201" s="0" t="s">
        <v>354</v>
      </c>
      <c r="AD201" s="0" t="s">
        <v>354</v>
      </c>
      <c r="AE201" s="0" t="s">
        <v>355</v>
      </c>
      <c r="AF201" s="0" t="s">
        <v>5684</v>
      </c>
      <c r="AG201" s="0" t="s">
        <v>5685</v>
      </c>
      <c r="AH201" s="0" t="s">
        <v>5692</v>
      </c>
      <c r="AI201" s="0" t="s">
        <v>5692</v>
      </c>
      <c r="AJ201" s="0" t="s">
        <v>227</v>
      </c>
      <c r="AK201" s="0" t="s">
        <v>227</v>
      </c>
      <c r="AL201" s="0" t="s">
        <v>227</v>
      </c>
      <c r="AN201" s="0" t="s">
        <v>227</v>
      </c>
      <c r="AO201" s="0" t="s">
        <v>227</v>
      </c>
      <c r="AP201" s="0" t="s">
        <v>227</v>
      </c>
      <c r="AQ201" s="0" t="s">
        <v>227</v>
      </c>
      <c r="AR201" s="0" t="s">
        <v>227</v>
      </c>
      <c r="AS201" s="0" t="s">
        <v>227</v>
      </c>
      <c r="AT201" s="0" t="s">
        <v>227</v>
      </c>
      <c r="AU201" s="0" t="s">
        <v>227</v>
      </c>
      <c r="AV201" s="0" t="s">
        <v>227</v>
      </c>
      <c r="AW201" s="0" t="s">
        <v>227</v>
      </c>
      <c r="AX201" s="0" t="s">
        <v>227</v>
      </c>
      <c r="AY201" s="0" t="s">
        <v>227</v>
      </c>
      <c r="AZ201" s="0" t="s">
        <v>227</v>
      </c>
      <c r="BA201" s="0" t="s">
        <v>227</v>
      </c>
      <c r="BB201" s="0" t="s">
        <v>227</v>
      </c>
      <c r="BC201" s="0" t="s">
        <v>227</v>
      </c>
      <c r="BD201" s="0" t="s">
        <v>227</v>
      </c>
      <c r="BE201" s="0" t="s">
        <v>6218</v>
      </c>
      <c r="BF201" s="0" t="s">
        <v>6219</v>
      </c>
      <c r="BG201" s="0" t="s">
        <v>112</v>
      </c>
      <c r="BH201" s="0" t="s">
        <v>5690</v>
      </c>
      <c r="BI201" s="0" t="s">
        <v>5691</v>
      </c>
      <c r="BJ201" s="0" t="s">
        <v>227</v>
      </c>
      <c r="BK201" s="0" t="s">
        <v>5692</v>
      </c>
      <c r="BL201" s="0" t="s">
        <v>354</v>
      </c>
      <c r="BM201" s="0" t="s">
        <v>354</v>
      </c>
      <c r="BN201" s="0" t="s">
        <v>5693</v>
      </c>
      <c r="BO201" s="0" t="s">
        <v>5684</v>
      </c>
      <c r="BP201" s="0" t="s">
        <v>5694</v>
      </c>
      <c r="BQ201" s="0" t="s">
        <v>5692</v>
      </c>
      <c r="BR201" s="0" t="s">
        <v>5692</v>
      </c>
      <c r="BS201" s="0" t="s">
        <v>227</v>
      </c>
      <c r="BT201" s="0" t="s">
        <v>6031</v>
      </c>
      <c r="CS201" s="0" t="s">
        <v>5705</v>
      </c>
      <c r="CT201" s="0" t="s">
        <v>5679</v>
      </c>
      <c r="CU201" s="0" t="s">
        <v>5680</v>
      </c>
      <c r="CV201" s="0" t="s">
        <v>430</v>
      </c>
      <c r="CW201" s="0" t="s">
        <v>5699</v>
      </c>
      <c r="CX201" s="0" t="s">
        <v>431</v>
      </c>
      <c r="CY201" s="0" t="s">
        <v>430</v>
      </c>
      <c r="CZ201" s="0" t="s">
        <v>432</v>
      </c>
      <c r="DA201" s="0" t="s">
        <v>433</v>
      </c>
      <c r="DB201" s="0" t="s">
        <v>5700</v>
      </c>
      <c r="DC201" s="0" t="s">
        <v>373</v>
      </c>
      <c r="DD201" s="0" t="s">
        <v>290</v>
      </c>
      <c r="DE201" s="0" t="s">
        <v>471</v>
      </c>
    </row>
    <row customHeight="1" ht="11.25">
      <c r="A202" s="1806" t="s">
        <v>227</v>
      </c>
      <c r="B202" s="0" t="s">
        <v>227</v>
      </c>
      <c r="C202" s="0" t="s">
        <v>227</v>
      </c>
      <c r="D202" s="0" t="s">
        <v>227</v>
      </c>
      <c r="E202" s="0" t="s">
        <v>227</v>
      </c>
      <c r="F202" s="0" t="s">
        <v>227</v>
      </c>
      <c r="G202" s="0" t="s">
        <v>227</v>
      </c>
      <c r="H202" s="0" t="s">
        <v>227</v>
      </c>
      <c r="I202" s="0" t="s">
        <v>6198</v>
      </c>
      <c r="J202" s="0" t="s">
        <v>227</v>
      </c>
      <c r="K202" s="0" t="s">
        <v>227</v>
      </c>
      <c r="L202" s="0" t="s">
        <v>227</v>
      </c>
      <c r="M202" s="0" t="s">
        <v>227</v>
      </c>
      <c r="N202" s="0" t="s">
        <v>227</v>
      </c>
      <c r="O202" s="0" t="s">
        <v>227</v>
      </c>
      <c r="P202" s="0" t="s">
        <v>227</v>
      </c>
      <c r="Q202" s="0" t="s">
        <v>227</v>
      </c>
      <c r="R202" s="0" t="s">
        <v>971</v>
      </c>
      <c r="S202" s="0" t="s">
        <v>227</v>
      </c>
      <c r="T202" s="0" t="s">
        <v>227</v>
      </c>
      <c r="U202" s="0" t="s">
        <v>102</v>
      </c>
      <c r="V202" s="0" t="s">
        <v>227</v>
      </c>
      <c r="W202" s="0" t="s">
        <v>227</v>
      </c>
      <c r="X202" s="0" t="s">
        <v>6211</v>
      </c>
      <c r="Y202" s="0" t="s">
        <v>227</v>
      </c>
      <c r="Z202" s="0" t="s">
        <v>161</v>
      </c>
      <c r="AA202" s="0" t="s">
        <v>152</v>
      </c>
      <c r="AB202" s="0" t="s">
        <v>161</v>
      </c>
      <c r="AC202" s="0" t="s">
        <v>352</v>
      </c>
      <c r="AD202" s="0" t="s">
        <v>352</v>
      </c>
      <c r="AE202" s="0" t="s">
        <v>353</v>
      </c>
      <c r="AF202" s="0" t="s">
        <v>5669</v>
      </c>
      <c r="AG202" s="0" t="s">
        <v>5670</v>
      </c>
      <c r="AH202" s="0" t="s">
        <v>5760</v>
      </c>
      <c r="AI202" s="0" t="s">
        <v>6212</v>
      </c>
      <c r="AJ202" s="0" t="s">
        <v>6220</v>
      </c>
      <c r="AK202" s="0" t="s">
        <v>6221</v>
      </c>
      <c r="AL202" s="0" t="s">
        <v>6203</v>
      </c>
      <c r="AN202" s="0" t="s">
        <v>6204</v>
      </c>
      <c r="AO202" s="0" t="s">
        <v>6222</v>
      </c>
      <c r="AP202" s="0" t="s">
        <v>227</v>
      </c>
      <c r="AQ202" s="0" t="s">
        <v>227</v>
      </c>
      <c r="AR202" s="0" t="s">
        <v>227</v>
      </c>
      <c r="AS202" s="0" t="s">
        <v>227</v>
      </c>
      <c r="AT202" s="0" t="s">
        <v>227</v>
      </c>
      <c r="AU202" s="0" t="s">
        <v>227</v>
      </c>
      <c r="AV202" s="0" t="s">
        <v>227</v>
      </c>
      <c r="AW202" s="0" t="s">
        <v>227</v>
      </c>
      <c r="AX202" s="0" t="s">
        <v>227</v>
      </c>
      <c r="AY202" s="0" t="s">
        <v>227</v>
      </c>
      <c r="AZ202" s="0" t="s">
        <v>227</v>
      </c>
      <c r="BA202" s="0" t="s">
        <v>227</v>
      </c>
      <c r="BB202" s="0" t="s">
        <v>227</v>
      </c>
      <c r="BC202" s="0" t="s">
        <v>227</v>
      </c>
      <c r="BD202" s="0" t="s">
        <v>227</v>
      </c>
      <c r="BE202" s="0" t="s">
        <v>6223</v>
      </c>
      <c r="BF202" s="0" t="s">
        <v>6224</v>
      </c>
      <c r="BG202" s="0" t="s">
        <v>227</v>
      </c>
      <c r="BH202" s="0" t="s">
        <v>227</v>
      </c>
      <c r="BI202" s="0" t="s">
        <v>227</v>
      </c>
      <c r="BJ202" s="0" t="s">
        <v>227</v>
      </c>
      <c r="BK202" s="0" t="s">
        <v>227</v>
      </c>
      <c r="BL202" s="0" t="s">
        <v>227</v>
      </c>
      <c r="BM202" s="0" t="s">
        <v>227</v>
      </c>
      <c r="BN202" s="0" t="s">
        <v>227</v>
      </c>
      <c r="BO202" s="0" t="s">
        <v>227</v>
      </c>
      <c r="BP202" s="0" t="s">
        <v>227</v>
      </c>
      <c r="BQ202" s="0" t="s">
        <v>227</v>
      </c>
      <c r="BR202" s="0" t="s">
        <v>227</v>
      </c>
      <c r="BS202" s="0" t="s">
        <v>227</v>
      </c>
      <c r="BT202" s="0" t="s">
        <v>6031</v>
      </c>
      <c r="CS202" s="0" t="s">
        <v>5705</v>
      </c>
      <c r="CT202" s="0" t="s">
        <v>5679</v>
      </c>
      <c r="CU202" s="0" t="s">
        <v>5680</v>
      </c>
      <c r="CV202" s="0" t="s">
        <v>430</v>
      </c>
      <c r="CW202" s="0" t="s">
        <v>5681</v>
      </c>
      <c r="CX202" s="0" t="s">
        <v>431</v>
      </c>
      <c r="CY202" s="0" t="s">
        <v>430</v>
      </c>
      <c r="CZ202" s="0" t="s">
        <v>432</v>
      </c>
      <c r="DA202" s="0" t="s">
        <v>433</v>
      </c>
      <c r="DB202" s="0" t="s">
        <v>5682</v>
      </c>
      <c r="DC202" s="0" t="s">
        <v>373</v>
      </c>
      <c r="DD202" s="0" t="s">
        <v>290</v>
      </c>
      <c r="DE202" s="0" t="s">
        <v>972</v>
      </c>
    </row>
    <row customHeight="1" ht="11.25">
      <c r="A203" s="1806" t="s">
        <v>227</v>
      </c>
      <c r="B203" s="0" t="s">
        <v>227</v>
      </c>
      <c r="C203" s="0" t="s">
        <v>227</v>
      </c>
      <c r="D203" s="0" t="s">
        <v>227</v>
      </c>
      <c r="E203" s="0" t="s">
        <v>227</v>
      </c>
      <c r="F203" s="0" t="s">
        <v>227</v>
      </c>
      <c r="G203" s="0" t="s">
        <v>227</v>
      </c>
      <c r="H203" s="0" t="s">
        <v>227</v>
      </c>
      <c r="I203" s="0" t="s">
        <v>6198</v>
      </c>
      <c r="J203" s="0" t="s">
        <v>227</v>
      </c>
      <c r="K203" s="0" t="s">
        <v>227</v>
      </c>
      <c r="L203" s="0" t="s">
        <v>227</v>
      </c>
      <c r="M203" s="0" t="s">
        <v>227</v>
      </c>
      <c r="N203" s="0" t="s">
        <v>227</v>
      </c>
      <c r="O203" s="0" t="s">
        <v>227</v>
      </c>
      <c r="P203" s="0" t="s">
        <v>227</v>
      </c>
      <c r="Q203" s="0" t="s">
        <v>227</v>
      </c>
      <c r="R203" s="0" t="s">
        <v>1125</v>
      </c>
      <c r="S203" s="0" t="s">
        <v>227</v>
      </c>
      <c r="T203" s="0" t="s">
        <v>227</v>
      </c>
      <c r="U203" s="0" t="s">
        <v>102</v>
      </c>
      <c r="V203" s="0" t="s">
        <v>227</v>
      </c>
      <c r="W203" s="0" t="s">
        <v>227</v>
      </c>
      <c r="X203" s="0" t="s">
        <v>5683</v>
      </c>
      <c r="Y203" s="0" t="s">
        <v>227</v>
      </c>
      <c r="Z203" s="0" t="s">
        <v>152</v>
      </c>
      <c r="AA203" s="0" t="s">
        <v>152</v>
      </c>
      <c r="AB203" s="0" t="s">
        <v>161</v>
      </c>
      <c r="AC203" s="0" t="s">
        <v>354</v>
      </c>
      <c r="AD203" s="0" t="s">
        <v>354</v>
      </c>
      <c r="AE203" s="0" t="s">
        <v>355</v>
      </c>
      <c r="AF203" s="0" t="s">
        <v>5684</v>
      </c>
      <c r="AG203" s="0" t="s">
        <v>5685</v>
      </c>
      <c r="AH203" s="0" t="s">
        <v>5947</v>
      </c>
      <c r="AI203" s="0" t="s">
        <v>5692</v>
      </c>
      <c r="AJ203" s="0" t="s">
        <v>227</v>
      </c>
      <c r="AK203" s="0" t="s">
        <v>227</v>
      </c>
      <c r="AL203" s="0" t="s">
        <v>227</v>
      </c>
      <c r="AN203" s="0" t="s">
        <v>227</v>
      </c>
      <c r="AO203" s="0" t="s">
        <v>227</v>
      </c>
      <c r="AP203" s="0" t="s">
        <v>227</v>
      </c>
      <c r="AQ203" s="0" t="s">
        <v>227</v>
      </c>
      <c r="AR203" s="0" t="s">
        <v>227</v>
      </c>
      <c r="AS203" s="0" t="s">
        <v>227</v>
      </c>
      <c r="AT203" s="0" t="s">
        <v>227</v>
      </c>
      <c r="AU203" s="0" t="s">
        <v>227</v>
      </c>
      <c r="AV203" s="0" t="s">
        <v>227</v>
      </c>
      <c r="AW203" s="0" t="s">
        <v>227</v>
      </c>
      <c r="AX203" s="0" t="s">
        <v>227</v>
      </c>
      <c r="AY203" s="0" t="s">
        <v>227</v>
      </c>
      <c r="AZ203" s="0" t="s">
        <v>227</v>
      </c>
      <c r="BA203" s="0" t="s">
        <v>227</v>
      </c>
      <c r="BB203" s="0" t="s">
        <v>227</v>
      </c>
      <c r="BC203" s="0" t="s">
        <v>227</v>
      </c>
      <c r="BD203" s="0" t="s">
        <v>227</v>
      </c>
      <c r="BE203" s="0" t="s">
        <v>6216</v>
      </c>
      <c r="BF203" s="0" t="s">
        <v>5697</v>
      </c>
      <c r="BG203" s="0" t="s">
        <v>112</v>
      </c>
      <c r="BH203" s="0" t="s">
        <v>5690</v>
      </c>
      <c r="BI203" s="0" t="s">
        <v>5691</v>
      </c>
      <c r="BJ203" s="0" t="s">
        <v>227</v>
      </c>
      <c r="BK203" s="0" t="s">
        <v>5692</v>
      </c>
      <c r="BL203" s="0" t="s">
        <v>354</v>
      </c>
      <c r="BM203" s="0" t="s">
        <v>354</v>
      </c>
      <c r="BN203" s="0" t="s">
        <v>5693</v>
      </c>
      <c r="BO203" s="0" t="s">
        <v>5684</v>
      </c>
      <c r="BP203" s="0" t="s">
        <v>5694</v>
      </c>
      <c r="BQ203" s="0" t="s">
        <v>5692</v>
      </c>
      <c r="BR203" s="0" t="s">
        <v>5692</v>
      </c>
      <c r="BS203" s="0" t="s">
        <v>227</v>
      </c>
      <c r="BT203" s="0" t="s">
        <v>6210</v>
      </c>
      <c r="CS203" s="0" t="s">
        <v>5759</v>
      </c>
      <c r="CT203" s="0" t="s">
        <v>5679</v>
      </c>
      <c r="CU203" s="0" t="s">
        <v>5680</v>
      </c>
      <c r="CV203" s="0" t="s">
        <v>430</v>
      </c>
      <c r="CW203" s="0" t="s">
        <v>5699</v>
      </c>
      <c r="CX203" s="0" t="s">
        <v>431</v>
      </c>
      <c r="CY203" s="0" t="s">
        <v>430</v>
      </c>
      <c r="CZ203" s="0" t="s">
        <v>432</v>
      </c>
      <c r="DA203" s="0" t="s">
        <v>433</v>
      </c>
      <c r="DB203" s="0" t="s">
        <v>5700</v>
      </c>
      <c r="DC203" s="0" t="s">
        <v>373</v>
      </c>
      <c r="DD203" s="0" t="s">
        <v>290</v>
      </c>
      <c r="DE203" s="0" t="s">
        <v>1126</v>
      </c>
    </row>
    <row customHeight="1" ht="11.25">
      <c r="A204" s="1806" t="s">
        <v>227</v>
      </c>
      <c r="B204" s="0" t="s">
        <v>227</v>
      </c>
      <c r="C204" s="0" t="s">
        <v>227</v>
      </c>
      <c r="D204" s="0" t="s">
        <v>227</v>
      </c>
      <c r="E204" s="0" t="s">
        <v>227</v>
      </c>
      <c r="F204" s="0" t="s">
        <v>227</v>
      </c>
      <c r="G204" s="0" t="s">
        <v>227</v>
      </c>
      <c r="H204" s="0" t="s">
        <v>227</v>
      </c>
      <c r="I204" s="0" t="s">
        <v>6198</v>
      </c>
      <c r="J204" s="0" t="s">
        <v>227</v>
      </c>
      <c r="K204" s="0" t="s">
        <v>227</v>
      </c>
      <c r="L204" s="0" t="s">
        <v>227</v>
      </c>
      <c r="M204" s="0" t="s">
        <v>227</v>
      </c>
      <c r="N204" s="0" t="s">
        <v>227</v>
      </c>
      <c r="O204" s="0" t="s">
        <v>227</v>
      </c>
      <c r="P204" s="0" t="s">
        <v>227</v>
      </c>
      <c r="Q204" s="0" t="s">
        <v>227</v>
      </c>
      <c r="R204" s="0" t="s">
        <v>1018</v>
      </c>
      <c r="S204" s="0" t="s">
        <v>227</v>
      </c>
      <c r="T204" s="0" t="s">
        <v>227</v>
      </c>
      <c r="U204" s="0" t="s">
        <v>102</v>
      </c>
      <c r="V204" s="0" t="s">
        <v>227</v>
      </c>
      <c r="W204" s="0" t="s">
        <v>227</v>
      </c>
      <c r="X204" s="0" t="s">
        <v>5683</v>
      </c>
      <c r="Y204" s="0" t="s">
        <v>227</v>
      </c>
      <c r="Z204" s="0" t="s">
        <v>152</v>
      </c>
      <c r="AA204" s="0" t="s">
        <v>152</v>
      </c>
      <c r="AB204" s="0" t="s">
        <v>161</v>
      </c>
      <c r="AC204" s="0" t="s">
        <v>354</v>
      </c>
      <c r="AD204" s="0" t="s">
        <v>354</v>
      </c>
      <c r="AE204" s="0" t="s">
        <v>355</v>
      </c>
      <c r="AF204" s="0" t="s">
        <v>5684</v>
      </c>
      <c r="AG204" s="0" t="s">
        <v>5685</v>
      </c>
      <c r="AH204" s="0" t="s">
        <v>6059</v>
      </c>
      <c r="AI204" s="0" t="s">
        <v>6225</v>
      </c>
      <c r="AJ204" s="0" t="s">
        <v>227</v>
      </c>
      <c r="AK204" s="0" t="s">
        <v>227</v>
      </c>
      <c r="AL204" s="0" t="s">
        <v>227</v>
      </c>
      <c r="AN204" s="0" t="s">
        <v>227</v>
      </c>
      <c r="AO204" s="0" t="s">
        <v>227</v>
      </c>
      <c r="AP204" s="0" t="s">
        <v>227</v>
      </c>
      <c r="AQ204" s="0" t="s">
        <v>227</v>
      </c>
      <c r="AR204" s="0" t="s">
        <v>227</v>
      </c>
      <c r="AS204" s="0" t="s">
        <v>227</v>
      </c>
      <c r="AT204" s="0" t="s">
        <v>227</v>
      </c>
      <c r="AU204" s="0" t="s">
        <v>227</v>
      </c>
      <c r="AV204" s="0" t="s">
        <v>227</v>
      </c>
      <c r="AW204" s="0" t="s">
        <v>227</v>
      </c>
      <c r="AX204" s="0" t="s">
        <v>227</v>
      </c>
      <c r="AY204" s="0" t="s">
        <v>227</v>
      </c>
      <c r="AZ204" s="0" t="s">
        <v>227</v>
      </c>
      <c r="BA204" s="0" t="s">
        <v>227</v>
      </c>
      <c r="BB204" s="0" t="s">
        <v>227</v>
      </c>
      <c r="BC204" s="0" t="s">
        <v>227</v>
      </c>
      <c r="BD204" s="0" t="s">
        <v>227</v>
      </c>
      <c r="BE204" s="0" t="s">
        <v>6155</v>
      </c>
      <c r="BF204" s="0" t="s">
        <v>5697</v>
      </c>
      <c r="BG204" s="0" t="s">
        <v>112</v>
      </c>
      <c r="BH204" s="0" t="s">
        <v>5690</v>
      </c>
      <c r="BI204" s="0" t="s">
        <v>5691</v>
      </c>
      <c r="BJ204" s="0" t="s">
        <v>227</v>
      </c>
      <c r="BK204" s="0" t="s">
        <v>5692</v>
      </c>
      <c r="BL204" s="0" t="s">
        <v>354</v>
      </c>
      <c r="BM204" s="0" t="s">
        <v>354</v>
      </c>
      <c r="BN204" s="0" t="s">
        <v>5693</v>
      </c>
      <c r="BO204" s="0" t="s">
        <v>5684</v>
      </c>
      <c r="BP204" s="0" t="s">
        <v>5694</v>
      </c>
      <c r="BQ204" s="0" t="s">
        <v>5692</v>
      </c>
      <c r="BR204" s="0" t="s">
        <v>5692</v>
      </c>
      <c r="BS204" s="0" t="s">
        <v>227</v>
      </c>
      <c r="BT204" s="0" t="s">
        <v>6206</v>
      </c>
      <c r="CS204" s="0" t="s">
        <v>5759</v>
      </c>
      <c r="CT204" s="0" t="s">
        <v>5679</v>
      </c>
      <c r="CU204" s="0" t="s">
        <v>5680</v>
      </c>
      <c r="CV204" s="0" t="s">
        <v>430</v>
      </c>
      <c r="CW204" s="0" t="s">
        <v>5699</v>
      </c>
      <c r="CX204" s="0" t="s">
        <v>431</v>
      </c>
      <c r="CY204" s="0" t="s">
        <v>430</v>
      </c>
      <c r="CZ204" s="0" t="s">
        <v>432</v>
      </c>
      <c r="DA204" s="0" t="s">
        <v>433</v>
      </c>
      <c r="DB204" s="0" t="s">
        <v>5700</v>
      </c>
      <c r="DC204" s="0" t="s">
        <v>373</v>
      </c>
      <c r="DD204" s="0" t="s">
        <v>290</v>
      </c>
      <c r="DE204" s="0" t="s">
        <v>1019</v>
      </c>
    </row>
    <row customHeight="1" ht="11.25">
      <c r="A205" s="1806" t="s">
        <v>227</v>
      </c>
      <c r="B205" s="0" t="s">
        <v>227</v>
      </c>
      <c r="C205" s="0" t="s">
        <v>227</v>
      </c>
      <c r="D205" s="0" t="s">
        <v>227</v>
      </c>
      <c r="E205" s="0" t="s">
        <v>227</v>
      </c>
      <c r="F205" s="0" t="s">
        <v>227</v>
      </c>
      <c r="G205" s="0" t="s">
        <v>227</v>
      </c>
      <c r="H205" s="0" t="s">
        <v>227</v>
      </c>
      <c r="I205" s="0" t="s">
        <v>6198</v>
      </c>
      <c r="J205" s="0" t="s">
        <v>227</v>
      </c>
      <c r="K205" s="0" t="s">
        <v>227</v>
      </c>
      <c r="L205" s="0" t="s">
        <v>227</v>
      </c>
      <c r="M205" s="0" t="s">
        <v>227</v>
      </c>
      <c r="N205" s="0" t="s">
        <v>227</v>
      </c>
      <c r="O205" s="0" t="s">
        <v>227</v>
      </c>
      <c r="P205" s="0" t="s">
        <v>227</v>
      </c>
      <c r="Q205" s="0" t="s">
        <v>227</v>
      </c>
      <c r="R205" s="0" t="s">
        <v>1153</v>
      </c>
      <c r="S205" s="0" t="s">
        <v>227</v>
      </c>
      <c r="T205" s="0" t="s">
        <v>227</v>
      </c>
      <c r="U205" s="0" t="s">
        <v>102</v>
      </c>
      <c r="V205" s="0" t="s">
        <v>227</v>
      </c>
      <c r="W205" s="0" t="s">
        <v>227</v>
      </c>
      <c r="X205" s="0" t="s">
        <v>5683</v>
      </c>
      <c r="Y205" s="0" t="s">
        <v>227</v>
      </c>
      <c r="Z205" s="0" t="s">
        <v>152</v>
      </c>
      <c r="AA205" s="0" t="s">
        <v>152</v>
      </c>
      <c r="AB205" s="0" t="s">
        <v>161</v>
      </c>
      <c r="AC205" s="0" t="s">
        <v>354</v>
      </c>
      <c r="AD205" s="0" t="s">
        <v>354</v>
      </c>
      <c r="AE205" s="0" t="s">
        <v>355</v>
      </c>
      <c r="AF205" s="0" t="s">
        <v>5701</v>
      </c>
      <c r="AG205" s="0" t="s">
        <v>5702</v>
      </c>
      <c r="AH205" s="0" t="s">
        <v>5703</v>
      </c>
      <c r="AI205" s="0" t="s">
        <v>541</v>
      </c>
      <c r="AJ205" s="0" t="s">
        <v>227</v>
      </c>
      <c r="AK205" s="0" t="s">
        <v>227</v>
      </c>
      <c r="AL205" s="0" t="s">
        <v>227</v>
      </c>
      <c r="AN205" s="0" t="s">
        <v>227</v>
      </c>
      <c r="AO205" s="0" t="s">
        <v>227</v>
      </c>
      <c r="AP205" s="0" t="s">
        <v>227</v>
      </c>
      <c r="AQ205" s="0" t="s">
        <v>227</v>
      </c>
      <c r="AR205" s="0" t="s">
        <v>227</v>
      </c>
      <c r="AS205" s="0" t="s">
        <v>227</v>
      </c>
      <c r="AT205" s="0" t="s">
        <v>227</v>
      </c>
      <c r="AU205" s="0" t="s">
        <v>227</v>
      </c>
      <c r="AV205" s="0" t="s">
        <v>227</v>
      </c>
      <c r="AW205" s="0" t="s">
        <v>227</v>
      </c>
      <c r="AX205" s="0" t="s">
        <v>227</v>
      </c>
      <c r="AY205" s="0" t="s">
        <v>227</v>
      </c>
      <c r="AZ205" s="0" t="s">
        <v>227</v>
      </c>
      <c r="BA205" s="0" t="s">
        <v>227</v>
      </c>
      <c r="BB205" s="0" t="s">
        <v>227</v>
      </c>
      <c r="BC205" s="0" t="s">
        <v>227</v>
      </c>
      <c r="BD205" s="0" t="s">
        <v>227</v>
      </c>
      <c r="BE205" s="0" t="s">
        <v>6155</v>
      </c>
      <c r="BF205" s="0" t="s">
        <v>5697</v>
      </c>
      <c r="BG205" s="0" t="s">
        <v>112</v>
      </c>
      <c r="BH205" s="0" t="s">
        <v>5690</v>
      </c>
      <c r="BI205" s="0" t="s">
        <v>5691</v>
      </c>
      <c r="BJ205" s="0" t="s">
        <v>227</v>
      </c>
      <c r="BK205" s="0" t="s">
        <v>5692</v>
      </c>
      <c r="BL205" s="0" t="s">
        <v>354</v>
      </c>
      <c r="BM205" s="0" t="s">
        <v>354</v>
      </c>
      <c r="BN205" s="0" t="s">
        <v>5693</v>
      </c>
      <c r="BO205" s="0" t="s">
        <v>5701</v>
      </c>
      <c r="BP205" s="0" t="s">
        <v>5706</v>
      </c>
      <c r="BQ205" s="0" t="s">
        <v>5692</v>
      </c>
      <c r="BR205" s="0" t="s">
        <v>5692</v>
      </c>
      <c r="BS205" s="0" t="s">
        <v>227</v>
      </c>
      <c r="BT205" s="0" t="s">
        <v>6206</v>
      </c>
      <c r="CS205" s="0" t="s">
        <v>5759</v>
      </c>
      <c r="CT205" s="0" t="s">
        <v>5679</v>
      </c>
      <c r="CU205" s="0" t="s">
        <v>5680</v>
      </c>
      <c r="CV205" s="0" t="s">
        <v>430</v>
      </c>
      <c r="CW205" s="0" t="s">
        <v>5699</v>
      </c>
      <c r="CX205" s="0" t="s">
        <v>431</v>
      </c>
      <c r="CY205" s="0" t="s">
        <v>430</v>
      </c>
      <c r="CZ205" s="0" t="s">
        <v>432</v>
      </c>
      <c r="DA205" s="0" t="s">
        <v>433</v>
      </c>
      <c r="DB205" s="0" t="s">
        <v>5700</v>
      </c>
      <c r="DC205" s="0" t="s">
        <v>373</v>
      </c>
      <c r="DD205" s="0" t="s">
        <v>290</v>
      </c>
      <c r="DE205" s="0" t="s">
        <v>807</v>
      </c>
    </row>
    <row customHeight="1" ht="11.25">
      <c r="A206" s="1806" t="s">
        <v>227</v>
      </c>
      <c r="B206" s="0" t="s">
        <v>227</v>
      </c>
      <c r="C206" s="0" t="s">
        <v>227</v>
      </c>
      <c r="D206" s="0" t="s">
        <v>227</v>
      </c>
      <c r="E206" s="0" t="s">
        <v>227</v>
      </c>
      <c r="F206" s="0" t="s">
        <v>227</v>
      </c>
      <c r="G206" s="0" t="s">
        <v>227</v>
      </c>
      <c r="H206" s="0" t="s">
        <v>227</v>
      </c>
      <c r="I206" s="0" t="s">
        <v>6198</v>
      </c>
      <c r="J206" s="0" t="s">
        <v>227</v>
      </c>
      <c r="K206" s="0" t="s">
        <v>227</v>
      </c>
      <c r="L206" s="0" t="s">
        <v>227</v>
      </c>
      <c r="M206" s="0" t="s">
        <v>227</v>
      </c>
      <c r="N206" s="0" t="s">
        <v>227</v>
      </c>
      <c r="O206" s="0" t="s">
        <v>227</v>
      </c>
      <c r="P206" s="0" t="s">
        <v>227</v>
      </c>
      <c r="Q206" s="0" t="s">
        <v>227</v>
      </c>
      <c r="R206" s="0" t="s">
        <v>1123</v>
      </c>
      <c r="S206" s="0" t="s">
        <v>227</v>
      </c>
      <c r="T206" s="0" t="s">
        <v>227</v>
      </c>
      <c r="U206" s="0" t="s">
        <v>102</v>
      </c>
      <c r="V206" s="0" t="s">
        <v>227</v>
      </c>
      <c r="W206" s="0" t="s">
        <v>227</v>
      </c>
      <c r="X206" s="0" t="s">
        <v>5683</v>
      </c>
      <c r="Y206" s="0" t="s">
        <v>227</v>
      </c>
      <c r="Z206" s="0" t="s">
        <v>152</v>
      </c>
      <c r="AA206" s="0" t="s">
        <v>152</v>
      </c>
      <c r="AB206" s="0" t="s">
        <v>161</v>
      </c>
      <c r="AC206" s="0" t="s">
        <v>354</v>
      </c>
      <c r="AD206" s="0" t="s">
        <v>354</v>
      </c>
      <c r="AE206" s="0" t="s">
        <v>355</v>
      </c>
      <c r="AF206" s="0" t="s">
        <v>5684</v>
      </c>
      <c r="AG206" s="0" t="s">
        <v>5685</v>
      </c>
      <c r="AH206" s="0" t="s">
        <v>5809</v>
      </c>
      <c r="AI206" s="0" t="s">
        <v>6226</v>
      </c>
      <c r="AJ206" s="0" t="s">
        <v>227</v>
      </c>
      <c r="AK206" s="0" t="s">
        <v>227</v>
      </c>
      <c r="AL206" s="0" t="s">
        <v>227</v>
      </c>
      <c r="AN206" s="0" t="s">
        <v>227</v>
      </c>
      <c r="AO206" s="0" t="s">
        <v>227</v>
      </c>
      <c r="AP206" s="0" t="s">
        <v>227</v>
      </c>
      <c r="AQ206" s="0" t="s">
        <v>227</v>
      </c>
      <c r="AR206" s="0" t="s">
        <v>227</v>
      </c>
      <c r="AS206" s="0" t="s">
        <v>227</v>
      </c>
      <c r="AT206" s="0" t="s">
        <v>227</v>
      </c>
      <c r="AU206" s="0" t="s">
        <v>227</v>
      </c>
      <c r="AV206" s="0" t="s">
        <v>227</v>
      </c>
      <c r="AW206" s="0" t="s">
        <v>227</v>
      </c>
      <c r="AX206" s="0" t="s">
        <v>227</v>
      </c>
      <c r="AY206" s="0" t="s">
        <v>227</v>
      </c>
      <c r="AZ206" s="0" t="s">
        <v>227</v>
      </c>
      <c r="BA206" s="0" t="s">
        <v>227</v>
      </c>
      <c r="BB206" s="0" t="s">
        <v>227</v>
      </c>
      <c r="BC206" s="0" t="s">
        <v>227</v>
      </c>
      <c r="BD206" s="0" t="s">
        <v>227</v>
      </c>
      <c r="BE206" s="0" t="s">
        <v>6155</v>
      </c>
      <c r="BF206" s="0" t="s">
        <v>5697</v>
      </c>
      <c r="BG206" s="0" t="s">
        <v>112</v>
      </c>
      <c r="BH206" s="0" t="s">
        <v>5690</v>
      </c>
      <c r="BI206" s="0" t="s">
        <v>5691</v>
      </c>
      <c r="BJ206" s="0" t="s">
        <v>227</v>
      </c>
      <c r="BK206" s="0" t="s">
        <v>5692</v>
      </c>
      <c r="BL206" s="0" t="s">
        <v>354</v>
      </c>
      <c r="BM206" s="0" t="s">
        <v>354</v>
      </c>
      <c r="BN206" s="0" t="s">
        <v>5693</v>
      </c>
      <c r="BO206" s="0" t="s">
        <v>5684</v>
      </c>
      <c r="BP206" s="0" t="s">
        <v>5694</v>
      </c>
      <c r="BQ206" s="0" t="s">
        <v>5692</v>
      </c>
      <c r="BR206" s="0" t="s">
        <v>5692</v>
      </c>
      <c r="BS206" s="0" t="s">
        <v>227</v>
      </c>
      <c r="BT206" s="0" t="s">
        <v>6206</v>
      </c>
      <c r="CS206" s="0" t="s">
        <v>5759</v>
      </c>
      <c r="CT206" s="0" t="s">
        <v>5679</v>
      </c>
      <c r="CU206" s="0" t="s">
        <v>5680</v>
      </c>
      <c r="CV206" s="0" t="s">
        <v>430</v>
      </c>
      <c r="CW206" s="0" t="s">
        <v>5699</v>
      </c>
      <c r="CX206" s="0" t="s">
        <v>431</v>
      </c>
      <c r="CY206" s="0" t="s">
        <v>430</v>
      </c>
      <c r="CZ206" s="0" t="s">
        <v>432</v>
      </c>
      <c r="DA206" s="0" t="s">
        <v>433</v>
      </c>
      <c r="DB206" s="0" t="s">
        <v>5700</v>
      </c>
      <c r="DC206" s="0" t="s">
        <v>373</v>
      </c>
      <c r="DD206" s="0" t="s">
        <v>290</v>
      </c>
      <c r="DE206" s="0" t="s">
        <v>1124</v>
      </c>
    </row>
    <row customHeight="1" ht="11.25">
      <c r="A207" s="1806" t="s">
        <v>227</v>
      </c>
      <c r="B207" s="0" t="s">
        <v>227</v>
      </c>
      <c r="C207" s="0" t="s">
        <v>227</v>
      </c>
      <c r="D207" s="0" t="s">
        <v>227</v>
      </c>
      <c r="E207" s="0" t="s">
        <v>227</v>
      </c>
      <c r="F207" s="0" t="s">
        <v>227</v>
      </c>
      <c r="G207" s="0" t="s">
        <v>227</v>
      </c>
      <c r="H207" s="0" t="s">
        <v>227</v>
      </c>
      <c r="I207" s="0" t="s">
        <v>6198</v>
      </c>
      <c r="J207" s="0" t="s">
        <v>227</v>
      </c>
      <c r="K207" s="0" t="s">
        <v>227</v>
      </c>
      <c r="L207" s="0" t="s">
        <v>227</v>
      </c>
      <c r="M207" s="0" t="s">
        <v>227</v>
      </c>
      <c r="N207" s="0" t="s">
        <v>227</v>
      </c>
      <c r="O207" s="0" t="s">
        <v>227</v>
      </c>
      <c r="P207" s="0" t="s">
        <v>227</v>
      </c>
      <c r="Q207" s="0" t="s">
        <v>227</v>
      </c>
      <c r="R207" s="0" t="s">
        <v>1000</v>
      </c>
      <c r="S207" s="0" t="s">
        <v>227</v>
      </c>
      <c r="T207" s="0" t="s">
        <v>227</v>
      </c>
      <c r="U207" s="0" t="s">
        <v>102</v>
      </c>
      <c r="V207" s="0" t="s">
        <v>227</v>
      </c>
      <c r="W207" s="0" t="s">
        <v>227</v>
      </c>
      <c r="X207" s="0" t="s">
        <v>5683</v>
      </c>
      <c r="Y207" s="0" t="s">
        <v>227</v>
      </c>
      <c r="Z207" s="0" t="s">
        <v>152</v>
      </c>
      <c r="AA207" s="0" t="s">
        <v>152</v>
      </c>
      <c r="AB207" s="0" t="s">
        <v>161</v>
      </c>
      <c r="AC207" s="0" t="s">
        <v>354</v>
      </c>
      <c r="AD207" s="0" t="s">
        <v>354</v>
      </c>
      <c r="AE207" s="0" t="s">
        <v>355</v>
      </c>
      <c r="AF207" s="0" t="s">
        <v>5684</v>
      </c>
      <c r="AG207" s="0" t="s">
        <v>5685</v>
      </c>
      <c r="AH207" s="0" t="s">
        <v>6059</v>
      </c>
      <c r="AI207" s="0" t="s">
        <v>6227</v>
      </c>
      <c r="AJ207" s="0" t="s">
        <v>227</v>
      </c>
      <c r="AK207" s="0" t="s">
        <v>227</v>
      </c>
      <c r="AL207" s="0" t="s">
        <v>227</v>
      </c>
      <c r="AN207" s="0" t="s">
        <v>227</v>
      </c>
      <c r="AO207" s="0" t="s">
        <v>227</v>
      </c>
      <c r="AP207" s="0" t="s">
        <v>227</v>
      </c>
      <c r="AQ207" s="0" t="s">
        <v>227</v>
      </c>
      <c r="AR207" s="0" t="s">
        <v>227</v>
      </c>
      <c r="AS207" s="0" t="s">
        <v>227</v>
      </c>
      <c r="AT207" s="0" t="s">
        <v>227</v>
      </c>
      <c r="AU207" s="0" t="s">
        <v>227</v>
      </c>
      <c r="AV207" s="0" t="s">
        <v>227</v>
      </c>
      <c r="AW207" s="0" t="s">
        <v>227</v>
      </c>
      <c r="AX207" s="0" t="s">
        <v>227</v>
      </c>
      <c r="AY207" s="0" t="s">
        <v>227</v>
      </c>
      <c r="AZ207" s="0" t="s">
        <v>227</v>
      </c>
      <c r="BA207" s="0" t="s">
        <v>227</v>
      </c>
      <c r="BB207" s="0" t="s">
        <v>227</v>
      </c>
      <c r="BC207" s="0" t="s">
        <v>227</v>
      </c>
      <c r="BD207" s="0" t="s">
        <v>227</v>
      </c>
      <c r="BE207" s="0" t="s">
        <v>6155</v>
      </c>
      <c r="BF207" s="0" t="s">
        <v>5697</v>
      </c>
      <c r="BG207" s="0" t="s">
        <v>112</v>
      </c>
      <c r="BH207" s="0" t="s">
        <v>5690</v>
      </c>
      <c r="BI207" s="0" t="s">
        <v>5691</v>
      </c>
      <c r="BJ207" s="0" t="s">
        <v>227</v>
      </c>
      <c r="BK207" s="0" t="s">
        <v>5692</v>
      </c>
      <c r="BL207" s="0" t="s">
        <v>354</v>
      </c>
      <c r="BM207" s="0" t="s">
        <v>354</v>
      </c>
      <c r="BN207" s="0" t="s">
        <v>5693</v>
      </c>
      <c r="BO207" s="0" t="s">
        <v>5684</v>
      </c>
      <c r="BP207" s="0" t="s">
        <v>5694</v>
      </c>
      <c r="BQ207" s="0" t="s">
        <v>5692</v>
      </c>
      <c r="BR207" s="0" t="s">
        <v>5692</v>
      </c>
      <c r="BS207" s="0" t="s">
        <v>227</v>
      </c>
      <c r="BT207" s="0" t="s">
        <v>6206</v>
      </c>
      <c r="CS207" s="0" t="s">
        <v>5759</v>
      </c>
      <c r="CT207" s="0" t="s">
        <v>5679</v>
      </c>
      <c r="CU207" s="0" t="s">
        <v>5680</v>
      </c>
      <c r="CV207" s="0" t="s">
        <v>430</v>
      </c>
      <c r="CW207" s="0" t="s">
        <v>5699</v>
      </c>
      <c r="CX207" s="0" t="s">
        <v>431</v>
      </c>
      <c r="CY207" s="0" t="s">
        <v>430</v>
      </c>
      <c r="CZ207" s="0" t="s">
        <v>432</v>
      </c>
      <c r="DA207" s="0" t="s">
        <v>433</v>
      </c>
      <c r="DB207" s="0" t="s">
        <v>5700</v>
      </c>
      <c r="DC207" s="0" t="s">
        <v>373</v>
      </c>
      <c r="DD207" s="0" t="s">
        <v>290</v>
      </c>
      <c r="DE207" s="0" t="s">
        <v>1001</v>
      </c>
    </row>
    <row customHeight="1" ht="11.25">
      <c r="A208" s="1806" t="s">
        <v>227</v>
      </c>
      <c r="B208" s="0" t="s">
        <v>227</v>
      </c>
      <c r="C208" s="0" t="s">
        <v>227</v>
      </c>
      <c r="D208" s="0" t="s">
        <v>227</v>
      </c>
      <c r="E208" s="0" t="s">
        <v>227</v>
      </c>
      <c r="F208" s="0" t="s">
        <v>227</v>
      </c>
      <c r="G208" s="0" t="s">
        <v>227</v>
      </c>
      <c r="H208" s="0" t="s">
        <v>227</v>
      </c>
      <c r="I208" s="0" t="s">
        <v>6198</v>
      </c>
      <c r="J208" s="0" t="s">
        <v>227</v>
      </c>
      <c r="K208" s="0" t="s">
        <v>227</v>
      </c>
      <c r="L208" s="0" t="s">
        <v>227</v>
      </c>
      <c r="M208" s="0" t="s">
        <v>227</v>
      </c>
      <c r="N208" s="0" t="s">
        <v>227</v>
      </c>
      <c r="O208" s="0" t="s">
        <v>227</v>
      </c>
      <c r="P208" s="0" t="s">
        <v>227</v>
      </c>
      <c r="Q208" s="0" t="s">
        <v>227</v>
      </c>
      <c r="R208" s="0" t="s">
        <v>1143</v>
      </c>
      <c r="S208" s="0" t="s">
        <v>227</v>
      </c>
      <c r="T208" s="0" t="s">
        <v>227</v>
      </c>
      <c r="U208" s="0" t="s">
        <v>102</v>
      </c>
      <c r="V208" s="0" t="s">
        <v>227</v>
      </c>
      <c r="W208" s="0" t="s">
        <v>227</v>
      </c>
      <c r="X208" s="0" t="s">
        <v>5683</v>
      </c>
      <c r="Y208" s="0" t="s">
        <v>227</v>
      </c>
      <c r="Z208" s="0" t="s">
        <v>152</v>
      </c>
      <c r="AA208" s="0" t="s">
        <v>152</v>
      </c>
      <c r="AB208" s="0" t="s">
        <v>161</v>
      </c>
      <c r="AC208" s="0" t="s">
        <v>354</v>
      </c>
      <c r="AD208" s="0" t="s">
        <v>354</v>
      </c>
      <c r="AE208" s="0" t="s">
        <v>355</v>
      </c>
      <c r="AF208" s="0" t="s">
        <v>5701</v>
      </c>
      <c r="AG208" s="0" t="s">
        <v>5702</v>
      </c>
      <c r="AH208" s="0" t="s">
        <v>5703</v>
      </c>
      <c r="AI208" s="0" t="s">
        <v>285</v>
      </c>
      <c r="AJ208" s="0" t="s">
        <v>227</v>
      </c>
      <c r="AK208" s="0" t="s">
        <v>227</v>
      </c>
      <c r="AL208" s="0" t="s">
        <v>227</v>
      </c>
      <c r="AN208" s="0" t="s">
        <v>227</v>
      </c>
      <c r="AO208" s="0" t="s">
        <v>227</v>
      </c>
      <c r="AP208" s="0" t="s">
        <v>227</v>
      </c>
      <c r="AQ208" s="0" t="s">
        <v>227</v>
      </c>
      <c r="AR208" s="0" t="s">
        <v>227</v>
      </c>
      <c r="AS208" s="0" t="s">
        <v>227</v>
      </c>
      <c r="AT208" s="0" t="s">
        <v>227</v>
      </c>
      <c r="AU208" s="0" t="s">
        <v>227</v>
      </c>
      <c r="AV208" s="0" t="s">
        <v>227</v>
      </c>
      <c r="AW208" s="0" t="s">
        <v>227</v>
      </c>
      <c r="AX208" s="0" t="s">
        <v>227</v>
      </c>
      <c r="AY208" s="0" t="s">
        <v>227</v>
      </c>
      <c r="AZ208" s="0" t="s">
        <v>227</v>
      </c>
      <c r="BA208" s="0" t="s">
        <v>227</v>
      </c>
      <c r="BB208" s="0" t="s">
        <v>227</v>
      </c>
      <c r="BC208" s="0" t="s">
        <v>227</v>
      </c>
      <c r="BD208" s="0" t="s">
        <v>227</v>
      </c>
      <c r="BE208" s="0" t="s">
        <v>6207</v>
      </c>
      <c r="BF208" s="0" t="s">
        <v>5697</v>
      </c>
      <c r="BG208" s="0" t="s">
        <v>112</v>
      </c>
      <c r="BH208" s="0" t="s">
        <v>5690</v>
      </c>
      <c r="BI208" s="0" t="s">
        <v>5691</v>
      </c>
      <c r="BJ208" s="0" t="s">
        <v>227</v>
      </c>
      <c r="BK208" s="0" t="s">
        <v>5692</v>
      </c>
      <c r="BL208" s="0" t="s">
        <v>354</v>
      </c>
      <c r="BM208" s="0" t="s">
        <v>354</v>
      </c>
      <c r="BN208" s="0" t="s">
        <v>5693</v>
      </c>
      <c r="BO208" s="0" t="s">
        <v>5701</v>
      </c>
      <c r="BP208" s="0" t="s">
        <v>5706</v>
      </c>
      <c r="BQ208" s="0" t="s">
        <v>5692</v>
      </c>
      <c r="BR208" s="0" t="s">
        <v>5692</v>
      </c>
      <c r="BS208" s="0" t="s">
        <v>227</v>
      </c>
      <c r="BT208" s="0" t="s">
        <v>6206</v>
      </c>
      <c r="CS208" s="0" t="s">
        <v>5759</v>
      </c>
      <c r="CT208" s="0" t="s">
        <v>5679</v>
      </c>
      <c r="CU208" s="0" t="s">
        <v>5680</v>
      </c>
      <c r="CV208" s="0" t="s">
        <v>430</v>
      </c>
      <c r="CW208" s="0" t="s">
        <v>5699</v>
      </c>
      <c r="CX208" s="0" t="s">
        <v>431</v>
      </c>
      <c r="CY208" s="0" t="s">
        <v>430</v>
      </c>
      <c r="CZ208" s="0" t="s">
        <v>432</v>
      </c>
      <c r="DA208" s="0" t="s">
        <v>433</v>
      </c>
      <c r="DB208" s="0" t="s">
        <v>5700</v>
      </c>
      <c r="DC208" s="0" t="s">
        <v>373</v>
      </c>
      <c r="DD208" s="0" t="s">
        <v>290</v>
      </c>
      <c r="DE208" s="0" t="s">
        <v>1144</v>
      </c>
    </row>
    <row customHeight="1" ht="11.25">
      <c r="A209" s="1806" t="s">
        <v>227</v>
      </c>
      <c r="B209" s="0" t="s">
        <v>227</v>
      </c>
      <c r="C209" s="0" t="s">
        <v>227</v>
      </c>
      <c r="D209" s="0" t="s">
        <v>227</v>
      </c>
      <c r="E209" s="0" t="s">
        <v>227</v>
      </c>
      <c r="F209" s="0" t="s">
        <v>227</v>
      </c>
      <c r="G209" s="0" t="s">
        <v>227</v>
      </c>
      <c r="H209" s="0" t="s">
        <v>227</v>
      </c>
      <c r="I209" s="0" t="s">
        <v>6198</v>
      </c>
      <c r="J209" s="0" t="s">
        <v>227</v>
      </c>
      <c r="K209" s="0" t="s">
        <v>227</v>
      </c>
      <c r="L209" s="0" t="s">
        <v>227</v>
      </c>
      <c r="M209" s="0" t="s">
        <v>227</v>
      </c>
      <c r="N209" s="0" t="s">
        <v>227</v>
      </c>
      <c r="O209" s="0" t="s">
        <v>227</v>
      </c>
      <c r="P209" s="0" t="s">
        <v>227</v>
      </c>
      <c r="Q209" s="0" t="s">
        <v>227</v>
      </c>
      <c r="R209" s="0" t="s">
        <v>996</v>
      </c>
      <c r="S209" s="0" t="s">
        <v>227</v>
      </c>
      <c r="T209" s="0" t="s">
        <v>227</v>
      </c>
      <c r="U209" s="0" t="s">
        <v>102</v>
      </c>
      <c r="V209" s="0" t="s">
        <v>227</v>
      </c>
      <c r="W209" s="0" t="s">
        <v>227</v>
      </c>
      <c r="X209" s="0" t="s">
        <v>5683</v>
      </c>
      <c r="Y209" s="0" t="s">
        <v>227</v>
      </c>
      <c r="Z209" s="0" t="s">
        <v>152</v>
      </c>
      <c r="AA209" s="0" t="s">
        <v>152</v>
      </c>
      <c r="AB209" s="0" t="s">
        <v>161</v>
      </c>
      <c r="AC209" s="0" t="s">
        <v>354</v>
      </c>
      <c r="AD209" s="0" t="s">
        <v>354</v>
      </c>
      <c r="AE209" s="0" t="s">
        <v>355</v>
      </c>
      <c r="AF209" s="0" t="s">
        <v>5684</v>
      </c>
      <c r="AG209" s="0" t="s">
        <v>5685</v>
      </c>
      <c r="AH209" s="0" t="s">
        <v>6059</v>
      </c>
      <c r="AI209" s="0" t="s">
        <v>6228</v>
      </c>
      <c r="AJ209" s="0" t="s">
        <v>227</v>
      </c>
      <c r="AK209" s="0" t="s">
        <v>227</v>
      </c>
      <c r="AL209" s="0" t="s">
        <v>227</v>
      </c>
      <c r="AN209" s="0" t="s">
        <v>227</v>
      </c>
      <c r="AO209" s="0" t="s">
        <v>227</v>
      </c>
      <c r="AP209" s="0" t="s">
        <v>227</v>
      </c>
      <c r="AQ209" s="0" t="s">
        <v>227</v>
      </c>
      <c r="AR209" s="0" t="s">
        <v>227</v>
      </c>
      <c r="AS209" s="0" t="s">
        <v>227</v>
      </c>
      <c r="AT209" s="0" t="s">
        <v>227</v>
      </c>
      <c r="AU209" s="0" t="s">
        <v>227</v>
      </c>
      <c r="AV209" s="0" t="s">
        <v>227</v>
      </c>
      <c r="AW209" s="0" t="s">
        <v>227</v>
      </c>
      <c r="AX209" s="0" t="s">
        <v>227</v>
      </c>
      <c r="AY209" s="0" t="s">
        <v>227</v>
      </c>
      <c r="AZ209" s="0" t="s">
        <v>227</v>
      </c>
      <c r="BA209" s="0" t="s">
        <v>227</v>
      </c>
      <c r="BB209" s="0" t="s">
        <v>227</v>
      </c>
      <c r="BC209" s="0" t="s">
        <v>227</v>
      </c>
      <c r="BD209" s="0" t="s">
        <v>227</v>
      </c>
      <c r="BE209" s="0" t="s">
        <v>6155</v>
      </c>
      <c r="BF209" s="0" t="s">
        <v>5697</v>
      </c>
      <c r="BG209" s="0" t="s">
        <v>112</v>
      </c>
      <c r="BH209" s="0" t="s">
        <v>5690</v>
      </c>
      <c r="BI209" s="0" t="s">
        <v>5691</v>
      </c>
      <c r="BJ209" s="0" t="s">
        <v>227</v>
      </c>
      <c r="BK209" s="0" t="s">
        <v>5692</v>
      </c>
      <c r="BL209" s="0" t="s">
        <v>354</v>
      </c>
      <c r="BM209" s="0" t="s">
        <v>354</v>
      </c>
      <c r="BN209" s="0" t="s">
        <v>5693</v>
      </c>
      <c r="BO209" s="0" t="s">
        <v>5684</v>
      </c>
      <c r="BP209" s="0" t="s">
        <v>5694</v>
      </c>
      <c r="BQ209" s="0" t="s">
        <v>5692</v>
      </c>
      <c r="BR209" s="0" t="s">
        <v>5692</v>
      </c>
      <c r="BS209" s="0" t="s">
        <v>227</v>
      </c>
      <c r="BT209" s="0" t="s">
        <v>6206</v>
      </c>
      <c r="CS209" s="0" t="s">
        <v>5759</v>
      </c>
      <c r="CT209" s="0" t="s">
        <v>5679</v>
      </c>
      <c r="CU209" s="0" t="s">
        <v>5680</v>
      </c>
      <c r="CV209" s="0" t="s">
        <v>430</v>
      </c>
      <c r="CW209" s="0" t="s">
        <v>5699</v>
      </c>
      <c r="CX209" s="0" t="s">
        <v>431</v>
      </c>
      <c r="CY209" s="0" t="s">
        <v>430</v>
      </c>
      <c r="CZ209" s="0" t="s">
        <v>432</v>
      </c>
      <c r="DA209" s="0" t="s">
        <v>433</v>
      </c>
      <c r="DB209" s="0" t="s">
        <v>5700</v>
      </c>
      <c r="DC209" s="0" t="s">
        <v>373</v>
      </c>
      <c r="DD209" s="0" t="s">
        <v>290</v>
      </c>
      <c r="DE209" s="0" t="s">
        <v>997</v>
      </c>
    </row>
    <row customHeight="1" ht="11.25">
      <c r="A210" s="1806" t="s">
        <v>227</v>
      </c>
      <c r="B210" s="0" t="s">
        <v>227</v>
      </c>
      <c r="C210" s="0" t="s">
        <v>227</v>
      </c>
      <c r="D210" s="0" t="s">
        <v>227</v>
      </c>
      <c r="E210" s="0" t="s">
        <v>227</v>
      </c>
      <c r="F210" s="0" t="s">
        <v>227</v>
      </c>
      <c r="G210" s="0" t="s">
        <v>227</v>
      </c>
      <c r="H210" s="0" t="s">
        <v>227</v>
      </c>
      <c r="I210" s="0" t="s">
        <v>6198</v>
      </c>
      <c r="J210" s="0" t="s">
        <v>227</v>
      </c>
      <c r="K210" s="0" t="s">
        <v>227</v>
      </c>
      <c r="L210" s="0" t="s">
        <v>227</v>
      </c>
      <c r="M210" s="0" t="s">
        <v>227</v>
      </c>
      <c r="N210" s="0" t="s">
        <v>227</v>
      </c>
      <c r="O210" s="0" t="s">
        <v>227</v>
      </c>
      <c r="P210" s="0" t="s">
        <v>227</v>
      </c>
      <c r="Q210" s="0" t="s">
        <v>227</v>
      </c>
      <c r="R210" s="0" t="s">
        <v>1111</v>
      </c>
      <c r="S210" s="0" t="s">
        <v>227</v>
      </c>
      <c r="T210" s="0" t="s">
        <v>227</v>
      </c>
      <c r="U210" s="0" t="s">
        <v>102</v>
      </c>
      <c r="V210" s="0" t="s">
        <v>227</v>
      </c>
      <c r="W210" s="0" t="s">
        <v>227</v>
      </c>
      <c r="X210" s="0" t="s">
        <v>5683</v>
      </c>
      <c r="Y210" s="0" t="s">
        <v>227</v>
      </c>
      <c r="Z210" s="0" t="s">
        <v>152</v>
      </c>
      <c r="AA210" s="0" t="s">
        <v>152</v>
      </c>
      <c r="AB210" s="0" t="s">
        <v>161</v>
      </c>
      <c r="AC210" s="0" t="s">
        <v>354</v>
      </c>
      <c r="AD210" s="0" t="s">
        <v>354</v>
      </c>
      <c r="AE210" s="0" t="s">
        <v>355</v>
      </c>
      <c r="AF210" s="0" t="s">
        <v>5684</v>
      </c>
      <c r="AG210" s="0" t="s">
        <v>5685</v>
      </c>
      <c r="AH210" s="0" t="s">
        <v>5809</v>
      </c>
      <c r="AI210" s="0" t="s">
        <v>617</v>
      </c>
      <c r="AJ210" s="0" t="s">
        <v>227</v>
      </c>
      <c r="AK210" s="0" t="s">
        <v>227</v>
      </c>
      <c r="AL210" s="0" t="s">
        <v>227</v>
      </c>
      <c r="AN210" s="0" t="s">
        <v>227</v>
      </c>
      <c r="AO210" s="0" t="s">
        <v>227</v>
      </c>
      <c r="AP210" s="0" t="s">
        <v>227</v>
      </c>
      <c r="AQ210" s="0" t="s">
        <v>227</v>
      </c>
      <c r="AR210" s="0" t="s">
        <v>227</v>
      </c>
      <c r="AS210" s="0" t="s">
        <v>227</v>
      </c>
      <c r="AT210" s="0" t="s">
        <v>227</v>
      </c>
      <c r="AU210" s="0" t="s">
        <v>227</v>
      </c>
      <c r="AV210" s="0" t="s">
        <v>227</v>
      </c>
      <c r="AW210" s="0" t="s">
        <v>227</v>
      </c>
      <c r="AX210" s="0" t="s">
        <v>227</v>
      </c>
      <c r="AY210" s="0" t="s">
        <v>227</v>
      </c>
      <c r="AZ210" s="0" t="s">
        <v>227</v>
      </c>
      <c r="BA210" s="0" t="s">
        <v>227</v>
      </c>
      <c r="BB210" s="0" t="s">
        <v>227</v>
      </c>
      <c r="BC210" s="0" t="s">
        <v>227</v>
      </c>
      <c r="BD210" s="0" t="s">
        <v>227</v>
      </c>
      <c r="BE210" s="0" t="s">
        <v>6155</v>
      </c>
      <c r="BF210" s="0" t="s">
        <v>5697</v>
      </c>
      <c r="BG210" s="0" t="s">
        <v>112</v>
      </c>
      <c r="BH210" s="0" t="s">
        <v>5690</v>
      </c>
      <c r="BI210" s="0" t="s">
        <v>5691</v>
      </c>
      <c r="BJ210" s="0" t="s">
        <v>227</v>
      </c>
      <c r="BK210" s="0" t="s">
        <v>5692</v>
      </c>
      <c r="BL210" s="0" t="s">
        <v>354</v>
      </c>
      <c r="BM210" s="0" t="s">
        <v>354</v>
      </c>
      <c r="BN210" s="0" t="s">
        <v>5693</v>
      </c>
      <c r="BO210" s="0" t="s">
        <v>5684</v>
      </c>
      <c r="BP210" s="0" t="s">
        <v>5694</v>
      </c>
      <c r="BQ210" s="0" t="s">
        <v>5692</v>
      </c>
      <c r="BR210" s="0" t="s">
        <v>5692</v>
      </c>
      <c r="BS210" s="0" t="s">
        <v>227</v>
      </c>
      <c r="BT210" s="0" t="s">
        <v>6206</v>
      </c>
      <c r="CS210" s="0" t="s">
        <v>5759</v>
      </c>
      <c r="CT210" s="0" t="s">
        <v>5679</v>
      </c>
      <c r="CU210" s="0" t="s">
        <v>5680</v>
      </c>
      <c r="CV210" s="0" t="s">
        <v>430</v>
      </c>
      <c r="CW210" s="0" t="s">
        <v>5699</v>
      </c>
      <c r="CX210" s="0" t="s">
        <v>431</v>
      </c>
      <c r="CY210" s="0" t="s">
        <v>430</v>
      </c>
      <c r="CZ210" s="0" t="s">
        <v>432</v>
      </c>
      <c r="DA210" s="0" t="s">
        <v>433</v>
      </c>
      <c r="DB210" s="0" t="s">
        <v>5700</v>
      </c>
      <c r="DC210" s="0" t="s">
        <v>373</v>
      </c>
      <c r="DD210" s="0" t="s">
        <v>290</v>
      </c>
      <c r="DE210" s="0" t="s">
        <v>1112</v>
      </c>
    </row>
    <row customHeight="1" ht="11.25">
      <c r="A211" s="1806" t="s">
        <v>227</v>
      </c>
      <c r="B211" s="0" t="s">
        <v>227</v>
      </c>
      <c r="C211" s="0" t="s">
        <v>227</v>
      </c>
      <c r="D211" s="0" t="s">
        <v>227</v>
      </c>
      <c r="E211" s="0" t="s">
        <v>227</v>
      </c>
      <c r="F211" s="0" t="s">
        <v>227</v>
      </c>
      <c r="G211" s="0" t="s">
        <v>227</v>
      </c>
      <c r="H211" s="0" t="s">
        <v>227</v>
      </c>
      <c r="I211" s="0" t="s">
        <v>6198</v>
      </c>
      <c r="J211" s="0" t="s">
        <v>227</v>
      </c>
      <c r="K211" s="0" t="s">
        <v>227</v>
      </c>
      <c r="L211" s="0" t="s">
        <v>227</v>
      </c>
      <c r="M211" s="0" t="s">
        <v>227</v>
      </c>
      <c r="N211" s="0" t="s">
        <v>227</v>
      </c>
      <c r="O211" s="0" t="s">
        <v>227</v>
      </c>
      <c r="P211" s="0" t="s">
        <v>227</v>
      </c>
      <c r="Q211" s="0" t="s">
        <v>227</v>
      </c>
      <c r="R211" s="0" t="s">
        <v>1030</v>
      </c>
      <c r="S211" s="0" t="s">
        <v>227</v>
      </c>
      <c r="T211" s="0" t="s">
        <v>227</v>
      </c>
      <c r="U211" s="0" t="s">
        <v>102</v>
      </c>
      <c r="V211" s="0" t="s">
        <v>227</v>
      </c>
      <c r="W211" s="0" t="s">
        <v>227</v>
      </c>
      <c r="X211" s="0" t="s">
        <v>5683</v>
      </c>
      <c r="Y211" s="0" t="s">
        <v>227</v>
      </c>
      <c r="Z211" s="0" t="s">
        <v>152</v>
      </c>
      <c r="AA211" s="0" t="s">
        <v>152</v>
      </c>
      <c r="AB211" s="0" t="s">
        <v>161</v>
      </c>
      <c r="AC211" s="0" t="s">
        <v>354</v>
      </c>
      <c r="AD211" s="0" t="s">
        <v>354</v>
      </c>
      <c r="AE211" s="0" t="s">
        <v>355</v>
      </c>
      <c r="AF211" s="0" t="s">
        <v>5684</v>
      </c>
      <c r="AG211" s="0" t="s">
        <v>5685</v>
      </c>
      <c r="AH211" s="0" t="s">
        <v>5851</v>
      </c>
      <c r="AI211" s="0" t="s">
        <v>5692</v>
      </c>
      <c r="AJ211" s="0" t="s">
        <v>227</v>
      </c>
      <c r="AK211" s="0" t="s">
        <v>227</v>
      </c>
      <c r="AL211" s="0" t="s">
        <v>227</v>
      </c>
      <c r="AN211" s="0" t="s">
        <v>227</v>
      </c>
      <c r="AO211" s="0" t="s">
        <v>227</v>
      </c>
      <c r="AP211" s="0" t="s">
        <v>227</v>
      </c>
      <c r="AQ211" s="0" t="s">
        <v>227</v>
      </c>
      <c r="AR211" s="0" t="s">
        <v>227</v>
      </c>
      <c r="AS211" s="0" t="s">
        <v>227</v>
      </c>
      <c r="AT211" s="0" t="s">
        <v>227</v>
      </c>
      <c r="AU211" s="0" t="s">
        <v>227</v>
      </c>
      <c r="AV211" s="0" t="s">
        <v>227</v>
      </c>
      <c r="AW211" s="0" t="s">
        <v>227</v>
      </c>
      <c r="AX211" s="0" t="s">
        <v>227</v>
      </c>
      <c r="AY211" s="0" t="s">
        <v>227</v>
      </c>
      <c r="AZ211" s="0" t="s">
        <v>227</v>
      </c>
      <c r="BA211" s="0" t="s">
        <v>227</v>
      </c>
      <c r="BB211" s="0" t="s">
        <v>227</v>
      </c>
      <c r="BC211" s="0" t="s">
        <v>227</v>
      </c>
      <c r="BD211" s="0" t="s">
        <v>227</v>
      </c>
      <c r="BE211" s="0" t="s">
        <v>6155</v>
      </c>
      <c r="BF211" s="0" t="s">
        <v>5697</v>
      </c>
      <c r="BG211" s="0" t="s">
        <v>112</v>
      </c>
      <c r="BH211" s="0" t="s">
        <v>5690</v>
      </c>
      <c r="BI211" s="0" t="s">
        <v>5691</v>
      </c>
      <c r="BJ211" s="0" t="s">
        <v>227</v>
      </c>
      <c r="BK211" s="0" t="s">
        <v>5692</v>
      </c>
      <c r="BL211" s="0" t="s">
        <v>354</v>
      </c>
      <c r="BM211" s="0" t="s">
        <v>354</v>
      </c>
      <c r="BN211" s="0" t="s">
        <v>5693</v>
      </c>
      <c r="BO211" s="0" t="s">
        <v>5684</v>
      </c>
      <c r="BP211" s="0" t="s">
        <v>5694</v>
      </c>
      <c r="BQ211" s="0" t="s">
        <v>5692</v>
      </c>
      <c r="BR211" s="0" t="s">
        <v>5692</v>
      </c>
      <c r="BS211" s="0" t="s">
        <v>227</v>
      </c>
      <c r="BT211" s="0" t="s">
        <v>5695</v>
      </c>
      <c r="CS211" s="0" t="s">
        <v>5759</v>
      </c>
      <c r="CT211" s="0" t="s">
        <v>5679</v>
      </c>
      <c r="CU211" s="0" t="s">
        <v>5680</v>
      </c>
      <c r="CV211" s="0" t="s">
        <v>430</v>
      </c>
      <c r="CW211" s="0" t="s">
        <v>5699</v>
      </c>
      <c r="CX211" s="0" t="s">
        <v>431</v>
      </c>
      <c r="CY211" s="0" t="s">
        <v>430</v>
      </c>
      <c r="CZ211" s="0" t="s">
        <v>432</v>
      </c>
      <c r="DA211" s="0" t="s">
        <v>433</v>
      </c>
      <c r="DB211" s="0" t="s">
        <v>5700</v>
      </c>
      <c r="DC211" s="0" t="s">
        <v>373</v>
      </c>
      <c r="DD211" s="0" t="s">
        <v>290</v>
      </c>
      <c r="DE211" s="0" t="s">
        <v>1031</v>
      </c>
    </row>
    <row customHeight="1" ht="11.25">
      <c r="A212" s="1806" t="s">
        <v>227</v>
      </c>
      <c r="B212" s="0" t="s">
        <v>227</v>
      </c>
      <c r="C212" s="0" t="s">
        <v>227</v>
      </c>
      <c r="D212" s="0" t="s">
        <v>227</v>
      </c>
      <c r="E212" s="0" t="s">
        <v>227</v>
      </c>
      <c r="F212" s="0" t="s">
        <v>227</v>
      </c>
      <c r="G212" s="0" t="s">
        <v>227</v>
      </c>
      <c r="H212" s="0" t="s">
        <v>227</v>
      </c>
      <c r="I212" s="0" t="s">
        <v>6198</v>
      </c>
      <c r="J212" s="0" t="s">
        <v>227</v>
      </c>
      <c r="K212" s="0" t="s">
        <v>227</v>
      </c>
      <c r="L212" s="0" t="s">
        <v>227</v>
      </c>
      <c r="M212" s="0" t="s">
        <v>227</v>
      </c>
      <c r="N212" s="0" t="s">
        <v>227</v>
      </c>
      <c r="O212" s="0" t="s">
        <v>227</v>
      </c>
      <c r="P212" s="0" t="s">
        <v>227</v>
      </c>
      <c r="Q212" s="0" t="s">
        <v>227</v>
      </c>
      <c r="R212" s="0" t="s">
        <v>1096</v>
      </c>
      <c r="S212" s="0" t="s">
        <v>227</v>
      </c>
      <c r="T212" s="0" t="s">
        <v>227</v>
      </c>
      <c r="U212" s="0" t="s">
        <v>102</v>
      </c>
      <c r="V212" s="0" t="s">
        <v>227</v>
      </c>
      <c r="W212" s="0" t="s">
        <v>227</v>
      </c>
      <c r="X212" s="0" t="s">
        <v>5683</v>
      </c>
      <c r="Y212" s="0" t="s">
        <v>227</v>
      </c>
      <c r="Z212" s="0" t="s">
        <v>152</v>
      </c>
      <c r="AA212" s="0" t="s">
        <v>152</v>
      </c>
      <c r="AB212" s="0" t="s">
        <v>161</v>
      </c>
      <c r="AC212" s="0" t="s">
        <v>354</v>
      </c>
      <c r="AD212" s="0" t="s">
        <v>354</v>
      </c>
      <c r="AE212" s="0" t="s">
        <v>355</v>
      </c>
      <c r="AF212" s="0" t="s">
        <v>5684</v>
      </c>
      <c r="AG212" s="0" t="s">
        <v>5685</v>
      </c>
      <c r="AH212" s="0" t="s">
        <v>5809</v>
      </c>
      <c r="AI212" s="0" t="s">
        <v>6229</v>
      </c>
      <c r="AJ212" s="0" t="s">
        <v>227</v>
      </c>
      <c r="AK212" s="0" t="s">
        <v>227</v>
      </c>
      <c r="AL212" s="0" t="s">
        <v>227</v>
      </c>
      <c r="AN212" s="0" t="s">
        <v>227</v>
      </c>
      <c r="AO212" s="0" t="s">
        <v>227</v>
      </c>
      <c r="AP212" s="0" t="s">
        <v>227</v>
      </c>
      <c r="AQ212" s="0" t="s">
        <v>227</v>
      </c>
      <c r="AR212" s="0" t="s">
        <v>227</v>
      </c>
      <c r="AS212" s="0" t="s">
        <v>227</v>
      </c>
      <c r="AT212" s="0" t="s">
        <v>227</v>
      </c>
      <c r="AU212" s="0" t="s">
        <v>227</v>
      </c>
      <c r="AV212" s="0" t="s">
        <v>227</v>
      </c>
      <c r="AW212" s="0" t="s">
        <v>227</v>
      </c>
      <c r="AX212" s="0" t="s">
        <v>227</v>
      </c>
      <c r="AY212" s="0" t="s">
        <v>227</v>
      </c>
      <c r="AZ212" s="0" t="s">
        <v>227</v>
      </c>
      <c r="BA212" s="0" t="s">
        <v>227</v>
      </c>
      <c r="BB212" s="0" t="s">
        <v>227</v>
      </c>
      <c r="BC212" s="0" t="s">
        <v>227</v>
      </c>
      <c r="BD212" s="0" t="s">
        <v>227</v>
      </c>
      <c r="BE212" s="0" t="s">
        <v>6230</v>
      </c>
      <c r="BF212" s="0" t="s">
        <v>5697</v>
      </c>
      <c r="BG212" s="0" t="s">
        <v>112</v>
      </c>
      <c r="BH212" s="0" t="s">
        <v>5690</v>
      </c>
      <c r="BI212" s="0" t="s">
        <v>5691</v>
      </c>
      <c r="BJ212" s="0" t="s">
        <v>227</v>
      </c>
      <c r="BK212" s="0" t="s">
        <v>5692</v>
      </c>
      <c r="BL212" s="0" t="s">
        <v>354</v>
      </c>
      <c r="BM212" s="0" t="s">
        <v>354</v>
      </c>
      <c r="BN212" s="0" t="s">
        <v>5693</v>
      </c>
      <c r="BO212" s="0" t="s">
        <v>5684</v>
      </c>
      <c r="BP212" s="0" t="s">
        <v>5694</v>
      </c>
      <c r="BQ212" s="0" t="s">
        <v>5692</v>
      </c>
      <c r="BR212" s="0" t="s">
        <v>5692</v>
      </c>
      <c r="BS212" s="0" t="s">
        <v>227</v>
      </c>
      <c r="BT212" s="0" t="s">
        <v>6231</v>
      </c>
      <c r="CS212" s="0" t="s">
        <v>5705</v>
      </c>
      <c r="CT212" s="0" t="s">
        <v>5679</v>
      </c>
      <c r="CU212" s="0" t="s">
        <v>5680</v>
      </c>
      <c r="CV212" s="0" t="s">
        <v>430</v>
      </c>
      <c r="CW212" s="0" t="s">
        <v>5699</v>
      </c>
      <c r="CX212" s="0" t="s">
        <v>431</v>
      </c>
      <c r="CY212" s="0" t="s">
        <v>430</v>
      </c>
      <c r="CZ212" s="0" t="s">
        <v>432</v>
      </c>
      <c r="DA212" s="0" t="s">
        <v>433</v>
      </c>
      <c r="DB212" s="0" t="s">
        <v>5700</v>
      </c>
      <c r="DC212" s="0" t="s">
        <v>373</v>
      </c>
      <c r="DD212" s="0" t="s">
        <v>290</v>
      </c>
      <c r="DE212" s="0" t="s">
        <v>1097</v>
      </c>
    </row>
    <row customHeight="1" ht="11.25">
      <c r="A213" s="1806" t="s">
        <v>227</v>
      </c>
      <c r="B213" s="0" t="s">
        <v>227</v>
      </c>
      <c r="C213" s="0" t="s">
        <v>227</v>
      </c>
      <c r="D213" s="0" t="s">
        <v>227</v>
      </c>
      <c r="E213" s="0" t="s">
        <v>227</v>
      </c>
      <c r="F213" s="0" t="s">
        <v>227</v>
      </c>
      <c r="G213" s="0" t="s">
        <v>227</v>
      </c>
      <c r="H213" s="0" t="s">
        <v>227</v>
      </c>
      <c r="I213" s="0" t="s">
        <v>6198</v>
      </c>
      <c r="J213" s="0" t="s">
        <v>227</v>
      </c>
      <c r="K213" s="0" t="s">
        <v>227</v>
      </c>
      <c r="L213" s="0" t="s">
        <v>227</v>
      </c>
      <c r="M213" s="0" t="s">
        <v>227</v>
      </c>
      <c r="N213" s="0" t="s">
        <v>227</v>
      </c>
      <c r="O213" s="0" t="s">
        <v>227</v>
      </c>
      <c r="P213" s="0" t="s">
        <v>227</v>
      </c>
      <c r="Q213" s="0" t="s">
        <v>227</v>
      </c>
      <c r="R213" s="0" t="s">
        <v>1139</v>
      </c>
      <c r="S213" s="0" t="s">
        <v>227</v>
      </c>
      <c r="T213" s="0" t="s">
        <v>227</v>
      </c>
      <c r="U213" s="0" t="s">
        <v>102</v>
      </c>
      <c r="V213" s="0" t="s">
        <v>227</v>
      </c>
      <c r="W213" s="0" t="s">
        <v>227</v>
      </c>
      <c r="X213" s="0" t="s">
        <v>5683</v>
      </c>
      <c r="Y213" s="0" t="s">
        <v>227</v>
      </c>
      <c r="Z213" s="0" t="s">
        <v>152</v>
      </c>
      <c r="AA213" s="0" t="s">
        <v>152</v>
      </c>
      <c r="AB213" s="0" t="s">
        <v>161</v>
      </c>
      <c r="AC213" s="0" t="s">
        <v>354</v>
      </c>
      <c r="AD213" s="0" t="s">
        <v>354</v>
      </c>
      <c r="AE213" s="0" t="s">
        <v>355</v>
      </c>
      <c r="AF213" s="0" t="s">
        <v>5701</v>
      </c>
      <c r="AG213" s="0" t="s">
        <v>5702</v>
      </c>
      <c r="AH213" s="0" t="s">
        <v>5703</v>
      </c>
      <c r="AI213" s="0" t="s">
        <v>467</v>
      </c>
      <c r="AJ213" s="0" t="s">
        <v>227</v>
      </c>
      <c r="AK213" s="0" t="s">
        <v>227</v>
      </c>
      <c r="AL213" s="0" t="s">
        <v>227</v>
      </c>
      <c r="AN213" s="0" t="s">
        <v>227</v>
      </c>
      <c r="AO213" s="0" t="s">
        <v>227</v>
      </c>
      <c r="AP213" s="0" t="s">
        <v>227</v>
      </c>
      <c r="AQ213" s="0" t="s">
        <v>227</v>
      </c>
      <c r="AR213" s="0" t="s">
        <v>227</v>
      </c>
      <c r="AS213" s="0" t="s">
        <v>227</v>
      </c>
      <c r="AT213" s="0" t="s">
        <v>227</v>
      </c>
      <c r="AU213" s="0" t="s">
        <v>227</v>
      </c>
      <c r="AV213" s="0" t="s">
        <v>227</v>
      </c>
      <c r="AW213" s="0" t="s">
        <v>227</v>
      </c>
      <c r="AX213" s="0" t="s">
        <v>227</v>
      </c>
      <c r="AY213" s="0" t="s">
        <v>227</v>
      </c>
      <c r="AZ213" s="0" t="s">
        <v>227</v>
      </c>
      <c r="BA213" s="0" t="s">
        <v>227</v>
      </c>
      <c r="BB213" s="0" t="s">
        <v>227</v>
      </c>
      <c r="BC213" s="0" t="s">
        <v>227</v>
      </c>
      <c r="BD213" s="0" t="s">
        <v>227</v>
      </c>
      <c r="BE213" s="0" t="s">
        <v>6155</v>
      </c>
      <c r="BF213" s="0" t="s">
        <v>5697</v>
      </c>
      <c r="BG213" s="0" t="s">
        <v>112</v>
      </c>
      <c r="BH213" s="0" t="s">
        <v>5690</v>
      </c>
      <c r="BI213" s="0" t="s">
        <v>5691</v>
      </c>
      <c r="BJ213" s="0" t="s">
        <v>227</v>
      </c>
      <c r="BK213" s="0" t="s">
        <v>5692</v>
      </c>
      <c r="BL213" s="0" t="s">
        <v>354</v>
      </c>
      <c r="BM213" s="0" t="s">
        <v>354</v>
      </c>
      <c r="BN213" s="0" t="s">
        <v>5693</v>
      </c>
      <c r="BO213" s="0" t="s">
        <v>5701</v>
      </c>
      <c r="BP213" s="0" t="s">
        <v>5706</v>
      </c>
      <c r="BQ213" s="0" t="s">
        <v>5692</v>
      </c>
      <c r="BR213" s="0" t="s">
        <v>5692</v>
      </c>
      <c r="BS213" s="0" t="s">
        <v>227</v>
      </c>
      <c r="BT213" s="0" t="s">
        <v>6206</v>
      </c>
      <c r="CS213" s="0" t="s">
        <v>5759</v>
      </c>
      <c r="CT213" s="0" t="s">
        <v>5679</v>
      </c>
      <c r="CU213" s="0" t="s">
        <v>5680</v>
      </c>
      <c r="CV213" s="0" t="s">
        <v>430</v>
      </c>
      <c r="CW213" s="0" t="s">
        <v>5699</v>
      </c>
      <c r="CX213" s="0" t="s">
        <v>431</v>
      </c>
      <c r="CY213" s="0" t="s">
        <v>430</v>
      </c>
      <c r="CZ213" s="0" t="s">
        <v>432</v>
      </c>
      <c r="DA213" s="0" t="s">
        <v>433</v>
      </c>
      <c r="DB213" s="0" t="s">
        <v>5700</v>
      </c>
      <c r="DC213" s="0" t="s">
        <v>373</v>
      </c>
      <c r="DD213" s="0" t="s">
        <v>290</v>
      </c>
      <c r="DE213" s="0" t="s">
        <v>1140</v>
      </c>
    </row>
    <row customHeight="1" ht="11.25">
      <c r="A214" s="1806" t="s">
        <v>227</v>
      </c>
      <c r="B214" s="0" t="s">
        <v>227</v>
      </c>
      <c r="C214" s="0" t="s">
        <v>227</v>
      </c>
      <c r="D214" s="0" t="s">
        <v>227</v>
      </c>
      <c r="E214" s="0" t="s">
        <v>227</v>
      </c>
      <c r="F214" s="0" t="s">
        <v>227</v>
      </c>
      <c r="G214" s="0" t="s">
        <v>227</v>
      </c>
      <c r="H214" s="0" t="s">
        <v>227</v>
      </c>
      <c r="I214" s="0" t="s">
        <v>6198</v>
      </c>
      <c r="J214" s="0" t="s">
        <v>227</v>
      </c>
      <c r="K214" s="0" t="s">
        <v>227</v>
      </c>
      <c r="L214" s="0" t="s">
        <v>227</v>
      </c>
      <c r="M214" s="0" t="s">
        <v>227</v>
      </c>
      <c r="N214" s="0" t="s">
        <v>227</v>
      </c>
      <c r="O214" s="0" t="s">
        <v>227</v>
      </c>
      <c r="P214" s="0" t="s">
        <v>227</v>
      </c>
      <c r="Q214" s="0" t="s">
        <v>227</v>
      </c>
      <c r="R214" s="0" t="s">
        <v>975</v>
      </c>
      <c r="S214" s="0" t="s">
        <v>227</v>
      </c>
      <c r="T214" s="0" t="s">
        <v>227</v>
      </c>
      <c r="U214" s="0" t="s">
        <v>102</v>
      </c>
      <c r="V214" s="0" t="s">
        <v>227</v>
      </c>
      <c r="W214" s="0" t="s">
        <v>227</v>
      </c>
      <c r="X214" s="0" t="s">
        <v>6211</v>
      </c>
      <c r="Y214" s="0" t="s">
        <v>227</v>
      </c>
      <c r="Z214" s="0" t="s">
        <v>161</v>
      </c>
      <c r="AA214" s="0" t="s">
        <v>152</v>
      </c>
      <c r="AB214" s="0" t="s">
        <v>161</v>
      </c>
      <c r="AC214" s="0" t="s">
        <v>352</v>
      </c>
      <c r="AD214" s="0" t="s">
        <v>352</v>
      </c>
      <c r="AE214" s="0" t="s">
        <v>353</v>
      </c>
      <c r="AF214" s="0" t="s">
        <v>5669</v>
      </c>
      <c r="AG214" s="0" t="s">
        <v>5670</v>
      </c>
      <c r="AH214" s="0" t="s">
        <v>6049</v>
      </c>
      <c r="AI214" s="0" t="s">
        <v>6232</v>
      </c>
      <c r="AJ214" s="0" t="s">
        <v>5962</v>
      </c>
      <c r="AK214" s="0" t="s">
        <v>6202</v>
      </c>
      <c r="AL214" s="0" t="s">
        <v>6233</v>
      </c>
      <c r="AN214" s="0" t="s">
        <v>6204</v>
      </c>
      <c r="AO214" s="0" t="s">
        <v>6222</v>
      </c>
      <c r="AP214" s="0" t="s">
        <v>227</v>
      </c>
      <c r="AQ214" s="0" t="s">
        <v>227</v>
      </c>
      <c r="AR214" s="0" t="s">
        <v>227</v>
      </c>
      <c r="AS214" s="0" t="s">
        <v>227</v>
      </c>
      <c r="AT214" s="0" t="s">
        <v>227</v>
      </c>
      <c r="AU214" s="0" t="s">
        <v>227</v>
      </c>
      <c r="AV214" s="0" t="s">
        <v>227</v>
      </c>
      <c r="AW214" s="0" t="s">
        <v>227</v>
      </c>
      <c r="AX214" s="0" t="s">
        <v>227</v>
      </c>
      <c r="AY214" s="0" t="s">
        <v>227</v>
      </c>
      <c r="AZ214" s="0" t="s">
        <v>227</v>
      </c>
      <c r="BA214" s="0" t="s">
        <v>227</v>
      </c>
      <c r="BB214" s="0" t="s">
        <v>227</v>
      </c>
      <c r="BC214" s="0" t="s">
        <v>227</v>
      </c>
      <c r="BD214" s="0" t="s">
        <v>227</v>
      </c>
      <c r="BE214" s="0" t="s">
        <v>6220</v>
      </c>
      <c r="BF214" s="0" t="s">
        <v>6221</v>
      </c>
      <c r="BG214" s="0" t="s">
        <v>227</v>
      </c>
      <c r="BH214" s="0" t="s">
        <v>227</v>
      </c>
      <c r="BI214" s="0" t="s">
        <v>227</v>
      </c>
      <c r="BJ214" s="0" t="s">
        <v>227</v>
      </c>
      <c r="BK214" s="0" t="s">
        <v>227</v>
      </c>
      <c r="BL214" s="0" t="s">
        <v>227</v>
      </c>
      <c r="BM214" s="0" t="s">
        <v>227</v>
      </c>
      <c r="BN214" s="0" t="s">
        <v>227</v>
      </c>
      <c r="BO214" s="0" t="s">
        <v>227</v>
      </c>
      <c r="BP214" s="0" t="s">
        <v>227</v>
      </c>
      <c r="BQ214" s="0" t="s">
        <v>227</v>
      </c>
      <c r="BR214" s="0" t="s">
        <v>227</v>
      </c>
      <c r="BS214" s="0" t="s">
        <v>227</v>
      </c>
      <c r="BT214" s="0" t="s">
        <v>6031</v>
      </c>
      <c r="CS214" s="0" t="s">
        <v>5705</v>
      </c>
      <c r="CT214" s="0" t="s">
        <v>5679</v>
      </c>
      <c r="CU214" s="0" t="s">
        <v>5680</v>
      </c>
      <c r="CV214" s="0" t="s">
        <v>430</v>
      </c>
      <c r="CW214" s="0" t="s">
        <v>5681</v>
      </c>
      <c r="CX214" s="0" t="s">
        <v>431</v>
      </c>
      <c r="CY214" s="0" t="s">
        <v>430</v>
      </c>
      <c r="CZ214" s="0" t="s">
        <v>432</v>
      </c>
      <c r="DA214" s="0" t="s">
        <v>433</v>
      </c>
      <c r="DB214" s="0" t="s">
        <v>5682</v>
      </c>
      <c r="DC214" s="0" t="s">
        <v>373</v>
      </c>
      <c r="DD214" s="0" t="s">
        <v>290</v>
      </c>
      <c r="DE214" s="0" t="s">
        <v>976</v>
      </c>
    </row>
    <row customHeight="1" ht="11.25">
      <c r="A215" s="1806" t="s">
        <v>227</v>
      </c>
      <c r="B215" s="0" t="s">
        <v>227</v>
      </c>
      <c r="C215" s="0" t="s">
        <v>227</v>
      </c>
      <c r="D215" s="0" t="s">
        <v>227</v>
      </c>
      <c r="E215" s="0" t="s">
        <v>227</v>
      </c>
      <c r="F215" s="0" t="s">
        <v>227</v>
      </c>
      <c r="G215" s="0" t="s">
        <v>227</v>
      </c>
      <c r="H215" s="0" t="s">
        <v>227</v>
      </c>
      <c r="I215" s="0" t="s">
        <v>6198</v>
      </c>
      <c r="J215" s="0" t="s">
        <v>227</v>
      </c>
      <c r="K215" s="0" t="s">
        <v>227</v>
      </c>
      <c r="L215" s="0" t="s">
        <v>227</v>
      </c>
      <c r="M215" s="0" t="s">
        <v>227</v>
      </c>
      <c r="N215" s="0" t="s">
        <v>227</v>
      </c>
      <c r="O215" s="0" t="s">
        <v>227</v>
      </c>
      <c r="P215" s="0" t="s">
        <v>227</v>
      </c>
      <c r="Q215" s="0" t="s">
        <v>227</v>
      </c>
      <c r="R215" s="0" t="s">
        <v>973</v>
      </c>
      <c r="S215" s="0" t="s">
        <v>227</v>
      </c>
      <c r="T215" s="0" t="s">
        <v>227</v>
      </c>
      <c r="U215" s="0" t="s">
        <v>102</v>
      </c>
      <c r="V215" s="0" t="s">
        <v>227</v>
      </c>
      <c r="W215" s="0" t="s">
        <v>227</v>
      </c>
      <c r="X215" s="0" t="s">
        <v>6234</v>
      </c>
      <c r="Y215" s="0" t="s">
        <v>227</v>
      </c>
      <c r="Z215" s="0" t="s">
        <v>152</v>
      </c>
      <c r="AA215" s="0" t="s">
        <v>161</v>
      </c>
      <c r="AB215" s="0" t="s">
        <v>152</v>
      </c>
      <c r="AC215" s="0" t="s">
        <v>352</v>
      </c>
      <c r="AD215" s="0" t="s">
        <v>352</v>
      </c>
      <c r="AE215" s="0" t="s">
        <v>353</v>
      </c>
      <c r="AF215" s="0" t="s">
        <v>5669</v>
      </c>
      <c r="AG215" s="0" t="s">
        <v>5670</v>
      </c>
      <c r="AH215" s="0" t="s">
        <v>6235</v>
      </c>
      <c r="AI215" s="0" t="s">
        <v>6236</v>
      </c>
      <c r="AJ215" s="0" t="s">
        <v>227</v>
      </c>
      <c r="AK215" s="0" t="s">
        <v>227</v>
      </c>
      <c r="AL215" s="0" t="s">
        <v>227</v>
      </c>
      <c r="AN215" s="0" t="s">
        <v>227</v>
      </c>
      <c r="AO215" s="0" t="s">
        <v>227</v>
      </c>
      <c r="AP215" s="0" t="s">
        <v>6237</v>
      </c>
      <c r="AQ215" s="0" t="s">
        <v>6221</v>
      </c>
      <c r="AR215" s="0" t="s">
        <v>112</v>
      </c>
      <c r="AS215" s="0" t="s">
        <v>5690</v>
      </c>
      <c r="AT215" s="0" t="s">
        <v>5691</v>
      </c>
      <c r="AU215" s="0" t="s">
        <v>227</v>
      </c>
      <c r="AV215" s="0" t="s">
        <v>6238</v>
      </c>
      <c r="AW215" s="0" t="s">
        <v>352</v>
      </c>
      <c r="AX215" s="0" t="s">
        <v>352</v>
      </c>
      <c r="AY215" s="0" t="s">
        <v>5786</v>
      </c>
      <c r="AZ215" s="0" t="s">
        <v>5669</v>
      </c>
      <c r="BA215" s="0" t="s">
        <v>5787</v>
      </c>
      <c r="BB215" s="0" t="s">
        <v>6235</v>
      </c>
      <c r="BC215" s="0" t="s">
        <v>6239</v>
      </c>
      <c r="BD215" s="0" t="s">
        <v>6240</v>
      </c>
      <c r="BE215" s="0" t="s">
        <v>227</v>
      </c>
      <c r="BF215" s="0" t="s">
        <v>227</v>
      </c>
      <c r="BG215" s="0" t="s">
        <v>227</v>
      </c>
      <c r="BH215" s="0" t="s">
        <v>227</v>
      </c>
      <c r="BI215" s="0" t="s">
        <v>227</v>
      </c>
      <c r="BJ215" s="0" t="s">
        <v>227</v>
      </c>
      <c r="BK215" s="0" t="s">
        <v>227</v>
      </c>
      <c r="BL215" s="0" t="s">
        <v>227</v>
      </c>
      <c r="BM215" s="0" t="s">
        <v>227</v>
      </c>
      <c r="BN215" s="0" t="s">
        <v>227</v>
      </c>
      <c r="BO215" s="0" t="s">
        <v>227</v>
      </c>
      <c r="BP215" s="0" t="s">
        <v>227</v>
      </c>
      <c r="BQ215" s="0" t="s">
        <v>227</v>
      </c>
      <c r="BR215" s="0" t="s">
        <v>227</v>
      </c>
      <c r="BS215" s="0" t="s">
        <v>227</v>
      </c>
      <c r="BT215" s="0" t="s">
        <v>227</v>
      </c>
      <c r="CS215" s="0" t="s">
        <v>227</v>
      </c>
      <c r="CT215" s="0" t="s">
        <v>5679</v>
      </c>
      <c r="CU215" s="0" t="s">
        <v>5680</v>
      </c>
      <c r="CV215" s="0" t="s">
        <v>430</v>
      </c>
      <c r="CW215" s="0" t="s">
        <v>5681</v>
      </c>
      <c r="CX215" s="0" t="s">
        <v>431</v>
      </c>
      <c r="CY215" s="0" t="s">
        <v>430</v>
      </c>
      <c r="CZ215" s="0" t="s">
        <v>432</v>
      </c>
      <c r="DA215" s="0" t="s">
        <v>433</v>
      </c>
      <c r="DB215" s="0" t="s">
        <v>5682</v>
      </c>
      <c r="DC215" s="0" t="s">
        <v>373</v>
      </c>
      <c r="DD215" s="0" t="s">
        <v>290</v>
      </c>
      <c r="DE215" s="0" t="s">
        <v>974</v>
      </c>
    </row>
    <row customHeight="1" ht="11.25">
      <c r="A216" s="1806" t="s">
        <v>227</v>
      </c>
      <c r="B216" s="0" t="s">
        <v>227</v>
      </c>
      <c r="C216" s="0" t="s">
        <v>227</v>
      </c>
      <c r="D216" s="0" t="s">
        <v>227</v>
      </c>
      <c r="E216" s="0" t="s">
        <v>227</v>
      </c>
      <c r="F216" s="0" t="s">
        <v>227</v>
      </c>
      <c r="G216" s="0" t="s">
        <v>227</v>
      </c>
      <c r="H216" s="0" t="s">
        <v>227</v>
      </c>
      <c r="I216" s="0" t="s">
        <v>6198</v>
      </c>
      <c r="J216" s="0" t="s">
        <v>227</v>
      </c>
      <c r="K216" s="0" t="s">
        <v>227</v>
      </c>
      <c r="L216" s="0" t="s">
        <v>227</v>
      </c>
      <c r="M216" s="0" t="s">
        <v>227</v>
      </c>
      <c r="N216" s="0" t="s">
        <v>227</v>
      </c>
      <c r="O216" s="0" t="s">
        <v>227</v>
      </c>
      <c r="P216" s="0" t="s">
        <v>227</v>
      </c>
      <c r="Q216" s="0" t="s">
        <v>227</v>
      </c>
      <c r="R216" s="0" t="s">
        <v>1026</v>
      </c>
      <c r="S216" s="0" t="s">
        <v>227</v>
      </c>
      <c r="T216" s="0" t="s">
        <v>227</v>
      </c>
      <c r="U216" s="0" t="s">
        <v>102</v>
      </c>
      <c r="V216" s="0" t="s">
        <v>227</v>
      </c>
      <c r="W216" s="0" t="s">
        <v>227</v>
      </c>
      <c r="X216" s="0" t="s">
        <v>5683</v>
      </c>
      <c r="Y216" s="0" t="s">
        <v>227</v>
      </c>
      <c r="Z216" s="0" t="s">
        <v>152</v>
      </c>
      <c r="AA216" s="0" t="s">
        <v>152</v>
      </c>
      <c r="AB216" s="0" t="s">
        <v>161</v>
      </c>
      <c r="AC216" s="0" t="s">
        <v>354</v>
      </c>
      <c r="AD216" s="0" t="s">
        <v>354</v>
      </c>
      <c r="AE216" s="0" t="s">
        <v>355</v>
      </c>
      <c r="AF216" s="0" t="s">
        <v>5684</v>
      </c>
      <c r="AG216" s="0" t="s">
        <v>5685</v>
      </c>
      <c r="AH216" s="0" t="s">
        <v>6010</v>
      </c>
      <c r="AI216" s="0" t="s">
        <v>5692</v>
      </c>
      <c r="AJ216" s="0" t="s">
        <v>227</v>
      </c>
      <c r="AK216" s="0" t="s">
        <v>227</v>
      </c>
      <c r="AL216" s="0" t="s">
        <v>227</v>
      </c>
      <c r="AN216" s="0" t="s">
        <v>227</v>
      </c>
      <c r="AO216" s="0" t="s">
        <v>227</v>
      </c>
      <c r="AP216" s="0" t="s">
        <v>227</v>
      </c>
      <c r="AQ216" s="0" t="s">
        <v>227</v>
      </c>
      <c r="AR216" s="0" t="s">
        <v>227</v>
      </c>
      <c r="AS216" s="0" t="s">
        <v>227</v>
      </c>
      <c r="AT216" s="0" t="s">
        <v>227</v>
      </c>
      <c r="AU216" s="0" t="s">
        <v>227</v>
      </c>
      <c r="AV216" s="0" t="s">
        <v>227</v>
      </c>
      <c r="AW216" s="0" t="s">
        <v>227</v>
      </c>
      <c r="AX216" s="0" t="s">
        <v>227</v>
      </c>
      <c r="AY216" s="0" t="s">
        <v>227</v>
      </c>
      <c r="AZ216" s="0" t="s">
        <v>227</v>
      </c>
      <c r="BA216" s="0" t="s">
        <v>227</v>
      </c>
      <c r="BB216" s="0" t="s">
        <v>227</v>
      </c>
      <c r="BC216" s="0" t="s">
        <v>227</v>
      </c>
      <c r="BD216" s="0" t="s">
        <v>227</v>
      </c>
      <c r="BE216" s="0" t="s">
        <v>6209</v>
      </c>
      <c r="BF216" s="0" t="s">
        <v>5697</v>
      </c>
      <c r="BG216" s="0" t="s">
        <v>112</v>
      </c>
      <c r="BH216" s="0" t="s">
        <v>5690</v>
      </c>
      <c r="BI216" s="0" t="s">
        <v>5691</v>
      </c>
      <c r="BJ216" s="0" t="s">
        <v>227</v>
      </c>
      <c r="BK216" s="0" t="s">
        <v>5692</v>
      </c>
      <c r="BL216" s="0" t="s">
        <v>354</v>
      </c>
      <c r="BM216" s="0" t="s">
        <v>354</v>
      </c>
      <c r="BN216" s="0" t="s">
        <v>5693</v>
      </c>
      <c r="BO216" s="0" t="s">
        <v>5684</v>
      </c>
      <c r="BP216" s="0" t="s">
        <v>5694</v>
      </c>
      <c r="BQ216" s="0" t="s">
        <v>5692</v>
      </c>
      <c r="BR216" s="0" t="s">
        <v>5692</v>
      </c>
      <c r="BS216" s="0" t="s">
        <v>227</v>
      </c>
      <c r="BT216" s="0" t="s">
        <v>6210</v>
      </c>
      <c r="CS216" s="0" t="s">
        <v>5759</v>
      </c>
      <c r="CT216" s="0" t="s">
        <v>5679</v>
      </c>
      <c r="CU216" s="0" t="s">
        <v>5680</v>
      </c>
      <c r="CV216" s="0" t="s">
        <v>430</v>
      </c>
      <c r="CW216" s="0" t="s">
        <v>5699</v>
      </c>
      <c r="CX216" s="0" t="s">
        <v>431</v>
      </c>
      <c r="CY216" s="0" t="s">
        <v>430</v>
      </c>
      <c r="CZ216" s="0" t="s">
        <v>432</v>
      </c>
      <c r="DA216" s="0" t="s">
        <v>433</v>
      </c>
      <c r="DB216" s="0" t="s">
        <v>5700</v>
      </c>
      <c r="DC216" s="0" t="s">
        <v>373</v>
      </c>
      <c r="DD216" s="0" t="s">
        <v>290</v>
      </c>
      <c r="DE216" s="0" t="s">
        <v>1027</v>
      </c>
    </row>
    <row customHeight="1" ht="11.25">
      <c r="A217" s="1806" t="s">
        <v>227</v>
      </c>
      <c r="B217" s="0" t="s">
        <v>227</v>
      </c>
      <c r="C217" s="0" t="s">
        <v>227</v>
      </c>
      <c r="D217" s="0" t="s">
        <v>227</v>
      </c>
      <c r="E217" s="0" t="s">
        <v>227</v>
      </c>
      <c r="F217" s="0" t="s">
        <v>227</v>
      </c>
      <c r="G217" s="0" t="s">
        <v>227</v>
      </c>
      <c r="H217" s="0" t="s">
        <v>227</v>
      </c>
      <c r="I217" s="0" t="s">
        <v>6198</v>
      </c>
      <c r="J217" s="0" t="s">
        <v>227</v>
      </c>
      <c r="K217" s="0" t="s">
        <v>227</v>
      </c>
      <c r="L217" s="0" t="s">
        <v>227</v>
      </c>
      <c r="M217" s="0" t="s">
        <v>227</v>
      </c>
      <c r="N217" s="0" t="s">
        <v>227</v>
      </c>
      <c r="O217" s="0" t="s">
        <v>227</v>
      </c>
      <c r="P217" s="0" t="s">
        <v>227</v>
      </c>
      <c r="Q217" s="0" t="s">
        <v>227</v>
      </c>
      <c r="R217" s="0" t="s">
        <v>1038</v>
      </c>
      <c r="S217" s="0" t="s">
        <v>227</v>
      </c>
      <c r="T217" s="0" t="s">
        <v>227</v>
      </c>
      <c r="U217" s="0" t="s">
        <v>102</v>
      </c>
      <c r="V217" s="0" t="s">
        <v>227</v>
      </c>
      <c r="W217" s="0" t="s">
        <v>227</v>
      </c>
      <c r="X217" s="0" t="s">
        <v>5683</v>
      </c>
      <c r="Y217" s="0" t="s">
        <v>227</v>
      </c>
      <c r="Z217" s="0" t="s">
        <v>152</v>
      </c>
      <c r="AA217" s="0" t="s">
        <v>152</v>
      </c>
      <c r="AB217" s="0" t="s">
        <v>161</v>
      </c>
      <c r="AC217" s="0" t="s">
        <v>354</v>
      </c>
      <c r="AD217" s="0" t="s">
        <v>354</v>
      </c>
      <c r="AE217" s="0" t="s">
        <v>355</v>
      </c>
      <c r="AF217" s="0" t="s">
        <v>5684</v>
      </c>
      <c r="AG217" s="0" t="s">
        <v>5685</v>
      </c>
      <c r="AH217" s="0" t="s">
        <v>5793</v>
      </c>
      <c r="AI217" s="0" t="s">
        <v>567</v>
      </c>
      <c r="AJ217" s="0" t="s">
        <v>227</v>
      </c>
      <c r="AK217" s="0" t="s">
        <v>227</v>
      </c>
      <c r="AL217" s="0" t="s">
        <v>227</v>
      </c>
      <c r="AN217" s="0" t="s">
        <v>227</v>
      </c>
      <c r="AO217" s="0" t="s">
        <v>227</v>
      </c>
      <c r="AP217" s="0" t="s">
        <v>227</v>
      </c>
      <c r="AQ217" s="0" t="s">
        <v>227</v>
      </c>
      <c r="AR217" s="0" t="s">
        <v>227</v>
      </c>
      <c r="AS217" s="0" t="s">
        <v>227</v>
      </c>
      <c r="AT217" s="0" t="s">
        <v>227</v>
      </c>
      <c r="AU217" s="0" t="s">
        <v>227</v>
      </c>
      <c r="AV217" s="0" t="s">
        <v>227</v>
      </c>
      <c r="AW217" s="0" t="s">
        <v>227</v>
      </c>
      <c r="AX217" s="0" t="s">
        <v>227</v>
      </c>
      <c r="AY217" s="0" t="s">
        <v>227</v>
      </c>
      <c r="AZ217" s="0" t="s">
        <v>227</v>
      </c>
      <c r="BA217" s="0" t="s">
        <v>227</v>
      </c>
      <c r="BB217" s="0" t="s">
        <v>227</v>
      </c>
      <c r="BC217" s="0" t="s">
        <v>227</v>
      </c>
      <c r="BD217" s="0" t="s">
        <v>227</v>
      </c>
      <c r="BE217" s="0" t="s">
        <v>6155</v>
      </c>
      <c r="BF217" s="0" t="s">
        <v>5697</v>
      </c>
      <c r="BG217" s="0" t="s">
        <v>112</v>
      </c>
      <c r="BH217" s="0" t="s">
        <v>5690</v>
      </c>
      <c r="BI217" s="0" t="s">
        <v>5691</v>
      </c>
      <c r="BJ217" s="0" t="s">
        <v>227</v>
      </c>
      <c r="BK217" s="0" t="s">
        <v>5692</v>
      </c>
      <c r="BL217" s="0" t="s">
        <v>354</v>
      </c>
      <c r="BM217" s="0" t="s">
        <v>354</v>
      </c>
      <c r="BN217" s="0" t="s">
        <v>5693</v>
      </c>
      <c r="BO217" s="0" t="s">
        <v>5684</v>
      </c>
      <c r="BP217" s="0" t="s">
        <v>5694</v>
      </c>
      <c r="BQ217" s="0" t="s">
        <v>5692</v>
      </c>
      <c r="BR217" s="0" t="s">
        <v>5692</v>
      </c>
      <c r="BS217" s="0" t="s">
        <v>227</v>
      </c>
      <c r="BT217" s="0" t="s">
        <v>6206</v>
      </c>
      <c r="CS217" s="0" t="s">
        <v>5759</v>
      </c>
      <c r="CT217" s="0" t="s">
        <v>5679</v>
      </c>
      <c r="CU217" s="0" t="s">
        <v>5680</v>
      </c>
      <c r="CV217" s="0" t="s">
        <v>430</v>
      </c>
      <c r="CW217" s="0" t="s">
        <v>5699</v>
      </c>
      <c r="CX217" s="0" t="s">
        <v>431</v>
      </c>
      <c r="CY217" s="0" t="s">
        <v>430</v>
      </c>
      <c r="CZ217" s="0" t="s">
        <v>432</v>
      </c>
      <c r="DA217" s="0" t="s">
        <v>433</v>
      </c>
      <c r="DB217" s="0" t="s">
        <v>5700</v>
      </c>
      <c r="DC217" s="0" t="s">
        <v>373</v>
      </c>
      <c r="DD217" s="0" t="s">
        <v>290</v>
      </c>
      <c r="DE217" s="0" t="s">
        <v>1039</v>
      </c>
    </row>
    <row customHeight="1" ht="11.25">
      <c r="A218" s="1806" t="s">
        <v>227</v>
      </c>
      <c r="B218" s="0" t="s">
        <v>227</v>
      </c>
      <c r="C218" s="0" t="s">
        <v>227</v>
      </c>
      <c r="D218" s="0" t="s">
        <v>227</v>
      </c>
      <c r="E218" s="0" t="s">
        <v>227</v>
      </c>
      <c r="F218" s="0" t="s">
        <v>227</v>
      </c>
      <c r="G218" s="0" t="s">
        <v>227</v>
      </c>
      <c r="H218" s="0" t="s">
        <v>227</v>
      </c>
      <c r="I218" s="0" t="s">
        <v>6198</v>
      </c>
      <c r="J218" s="0" t="s">
        <v>227</v>
      </c>
      <c r="K218" s="0" t="s">
        <v>227</v>
      </c>
      <c r="L218" s="0" t="s">
        <v>227</v>
      </c>
      <c r="M218" s="0" t="s">
        <v>227</v>
      </c>
      <c r="N218" s="0" t="s">
        <v>227</v>
      </c>
      <c r="O218" s="0" t="s">
        <v>227</v>
      </c>
      <c r="P218" s="0" t="s">
        <v>227</v>
      </c>
      <c r="Q218" s="0" t="s">
        <v>227</v>
      </c>
      <c r="R218" s="0" t="s">
        <v>1130</v>
      </c>
      <c r="S218" s="0" t="s">
        <v>227</v>
      </c>
      <c r="T218" s="0" t="s">
        <v>227</v>
      </c>
      <c r="U218" s="0" t="s">
        <v>102</v>
      </c>
      <c r="V218" s="0" t="s">
        <v>227</v>
      </c>
      <c r="W218" s="0" t="s">
        <v>227</v>
      </c>
      <c r="X218" s="0" t="s">
        <v>6211</v>
      </c>
      <c r="Y218" s="0" t="s">
        <v>227</v>
      </c>
      <c r="Z218" s="0" t="s">
        <v>161</v>
      </c>
      <c r="AA218" s="0" t="s">
        <v>152</v>
      </c>
      <c r="AB218" s="0" t="s">
        <v>161</v>
      </c>
      <c r="AC218" s="0" t="s">
        <v>354</v>
      </c>
      <c r="AD218" s="0" t="s">
        <v>354</v>
      </c>
      <c r="AE218" s="0" t="s">
        <v>355</v>
      </c>
      <c r="AF218" s="0" t="s">
        <v>5684</v>
      </c>
      <c r="AG218" s="0" t="s">
        <v>5685</v>
      </c>
      <c r="AH218" s="0" t="s">
        <v>6021</v>
      </c>
      <c r="AI218" s="0" t="s">
        <v>532</v>
      </c>
      <c r="AJ218" s="0" t="s">
        <v>5958</v>
      </c>
      <c r="AK218" s="0" t="s">
        <v>6241</v>
      </c>
      <c r="AL218" s="0" t="s">
        <v>6203</v>
      </c>
      <c r="AN218" s="0" t="s">
        <v>5733</v>
      </c>
      <c r="AO218" s="0" t="s">
        <v>6242</v>
      </c>
      <c r="AP218" s="0" t="s">
        <v>227</v>
      </c>
      <c r="AQ218" s="0" t="s">
        <v>227</v>
      </c>
      <c r="AR218" s="0" t="s">
        <v>227</v>
      </c>
      <c r="AS218" s="0" t="s">
        <v>227</v>
      </c>
      <c r="AT218" s="0" t="s">
        <v>227</v>
      </c>
      <c r="AU218" s="0" t="s">
        <v>227</v>
      </c>
      <c r="AV218" s="0" t="s">
        <v>227</v>
      </c>
      <c r="AW218" s="0" t="s">
        <v>227</v>
      </c>
      <c r="AX218" s="0" t="s">
        <v>227</v>
      </c>
      <c r="AY218" s="0" t="s">
        <v>227</v>
      </c>
      <c r="AZ218" s="0" t="s">
        <v>227</v>
      </c>
      <c r="BA218" s="0" t="s">
        <v>227</v>
      </c>
      <c r="BB218" s="0" t="s">
        <v>227</v>
      </c>
      <c r="BC218" s="0" t="s">
        <v>227</v>
      </c>
      <c r="BD218" s="0" t="s">
        <v>227</v>
      </c>
      <c r="BE218" s="0" t="s">
        <v>5958</v>
      </c>
      <c r="BF218" s="0" t="s">
        <v>6241</v>
      </c>
      <c r="BG218" s="0" t="s">
        <v>227</v>
      </c>
      <c r="BH218" s="0" t="s">
        <v>227</v>
      </c>
      <c r="BI218" s="0" t="s">
        <v>227</v>
      </c>
      <c r="BJ218" s="0" t="s">
        <v>227</v>
      </c>
      <c r="BK218" s="0" t="s">
        <v>227</v>
      </c>
      <c r="BL218" s="0" t="s">
        <v>227</v>
      </c>
      <c r="BM218" s="0" t="s">
        <v>227</v>
      </c>
      <c r="BN218" s="0" t="s">
        <v>227</v>
      </c>
      <c r="BO218" s="0" t="s">
        <v>227</v>
      </c>
      <c r="BP218" s="0" t="s">
        <v>227</v>
      </c>
      <c r="BQ218" s="0" t="s">
        <v>227</v>
      </c>
      <c r="BR218" s="0" t="s">
        <v>227</v>
      </c>
      <c r="BS218" s="0" t="s">
        <v>227</v>
      </c>
      <c r="BT218" s="0" t="s">
        <v>6031</v>
      </c>
      <c r="CS218" s="0" t="s">
        <v>5733</v>
      </c>
      <c r="CT218" s="0" t="s">
        <v>5679</v>
      </c>
      <c r="CU218" s="0" t="s">
        <v>5680</v>
      </c>
      <c r="CV218" s="0" t="s">
        <v>430</v>
      </c>
      <c r="CW218" s="0" t="s">
        <v>5699</v>
      </c>
      <c r="CX218" s="0" t="s">
        <v>431</v>
      </c>
      <c r="CY218" s="0" t="s">
        <v>430</v>
      </c>
      <c r="CZ218" s="0" t="s">
        <v>432</v>
      </c>
      <c r="DA218" s="0" t="s">
        <v>433</v>
      </c>
      <c r="DB218" s="0" t="s">
        <v>5700</v>
      </c>
      <c r="DC218" s="0" t="s">
        <v>373</v>
      </c>
      <c r="DD218" s="0" t="s">
        <v>290</v>
      </c>
      <c r="DE218" s="0" t="s">
        <v>1131</v>
      </c>
    </row>
    <row customHeight="1" ht="11.25">
      <c r="A219" s="1806" t="s">
        <v>227</v>
      </c>
      <c r="B219" s="0" t="s">
        <v>227</v>
      </c>
      <c r="C219" s="0" t="s">
        <v>227</v>
      </c>
      <c r="D219" s="0" t="s">
        <v>227</v>
      </c>
      <c r="E219" s="0" t="s">
        <v>227</v>
      </c>
      <c r="F219" s="0" t="s">
        <v>227</v>
      </c>
      <c r="G219" s="0" t="s">
        <v>227</v>
      </c>
      <c r="H219" s="0" t="s">
        <v>227</v>
      </c>
      <c r="I219" s="0" t="s">
        <v>6198</v>
      </c>
      <c r="J219" s="0" t="s">
        <v>227</v>
      </c>
      <c r="K219" s="0" t="s">
        <v>227</v>
      </c>
      <c r="L219" s="0" t="s">
        <v>227</v>
      </c>
      <c r="M219" s="0" t="s">
        <v>227</v>
      </c>
      <c r="N219" s="0" t="s">
        <v>227</v>
      </c>
      <c r="O219" s="0" t="s">
        <v>227</v>
      </c>
      <c r="P219" s="0" t="s">
        <v>227</v>
      </c>
      <c r="Q219" s="0" t="s">
        <v>227</v>
      </c>
      <c r="R219" s="0" t="s">
        <v>1132</v>
      </c>
      <c r="S219" s="0" t="s">
        <v>227</v>
      </c>
      <c r="T219" s="0" t="s">
        <v>227</v>
      </c>
      <c r="U219" s="0" t="s">
        <v>102</v>
      </c>
      <c r="V219" s="0" t="s">
        <v>227</v>
      </c>
      <c r="W219" s="0" t="s">
        <v>227</v>
      </c>
      <c r="X219" s="0" t="s">
        <v>6234</v>
      </c>
      <c r="Y219" s="0" t="s">
        <v>227</v>
      </c>
      <c r="Z219" s="0" t="s">
        <v>152</v>
      </c>
      <c r="AA219" s="0" t="s">
        <v>161</v>
      </c>
      <c r="AB219" s="0" t="s">
        <v>152</v>
      </c>
      <c r="AC219" s="0" t="s">
        <v>354</v>
      </c>
      <c r="AD219" s="0" t="s">
        <v>354</v>
      </c>
      <c r="AE219" s="0" t="s">
        <v>355</v>
      </c>
      <c r="AF219" s="0" t="s">
        <v>5684</v>
      </c>
      <c r="AG219" s="0" t="s">
        <v>5685</v>
      </c>
      <c r="AH219" s="0" t="s">
        <v>6021</v>
      </c>
      <c r="AI219" s="0" t="s">
        <v>532</v>
      </c>
      <c r="AJ219" s="0" t="s">
        <v>227</v>
      </c>
      <c r="AK219" s="0" t="s">
        <v>227</v>
      </c>
      <c r="AL219" s="0" t="s">
        <v>227</v>
      </c>
      <c r="AN219" s="0" t="s">
        <v>227</v>
      </c>
      <c r="AO219" s="0" t="s">
        <v>227</v>
      </c>
      <c r="AP219" s="0" t="s">
        <v>5958</v>
      </c>
      <c r="AQ219" s="0" t="s">
        <v>5705</v>
      </c>
      <c r="AR219" s="0" t="s">
        <v>112</v>
      </c>
      <c r="AS219" s="0" t="s">
        <v>5690</v>
      </c>
      <c r="AT219" s="0" t="s">
        <v>5691</v>
      </c>
      <c r="AU219" s="0" t="s">
        <v>227</v>
      </c>
      <c r="AV219" s="0" t="s">
        <v>6243</v>
      </c>
      <c r="AW219" s="0" t="s">
        <v>354</v>
      </c>
      <c r="AX219" s="0" t="s">
        <v>354</v>
      </c>
      <c r="AY219" s="0" t="s">
        <v>5693</v>
      </c>
      <c r="AZ219" s="0" t="s">
        <v>5684</v>
      </c>
      <c r="BA219" s="0" t="s">
        <v>5694</v>
      </c>
      <c r="BB219" s="0" t="s">
        <v>6021</v>
      </c>
      <c r="BC219" s="0" t="s">
        <v>532</v>
      </c>
      <c r="BD219" s="0" t="s">
        <v>6244</v>
      </c>
      <c r="BE219" s="0" t="s">
        <v>227</v>
      </c>
      <c r="BF219" s="0" t="s">
        <v>227</v>
      </c>
      <c r="BG219" s="0" t="s">
        <v>227</v>
      </c>
      <c r="BH219" s="0" t="s">
        <v>227</v>
      </c>
      <c r="BI219" s="0" t="s">
        <v>227</v>
      </c>
      <c r="BJ219" s="0" t="s">
        <v>227</v>
      </c>
      <c r="BK219" s="0" t="s">
        <v>227</v>
      </c>
      <c r="BL219" s="0" t="s">
        <v>227</v>
      </c>
      <c r="BM219" s="0" t="s">
        <v>227</v>
      </c>
      <c r="BN219" s="0" t="s">
        <v>227</v>
      </c>
      <c r="BO219" s="0" t="s">
        <v>227</v>
      </c>
      <c r="BP219" s="0" t="s">
        <v>227</v>
      </c>
      <c r="BQ219" s="0" t="s">
        <v>227</v>
      </c>
      <c r="BR219" s="0" t="s">
        <v>227</v>
      </c>
      <c r="BS219" s="0" t="s">
        <v>227</v>
      </c>
      <c r="BT219" s="0" t="s">
        <v>227</v>
      </c>
      <c r="CS219" s="0" t="s">
        <v>227</v>
      </c>
      <c r="CT219" s="0" t="s">
        <v>5679</v>
      </c>
      <c r="CU219" s="0" t="s">
        <v>5680</v>
      </c>
      <c r="CV219" s="0" t="s">
        <v>430</v>
      </c>
      <c r="CW219" s="0" t="s">
        <v>5699</v>
      </c>
      <c r="CX219" s="0" t="s">
        <v>431</v>
      </c>
      <c r="CY219" s="0" t="s">
        <v>430</v>
      </c>
      <c r="CZ219" s="0" t="s">
        <v>432</v>
      </c>
      <c r="DA219" s="0" t="s">
        <v>433</v>
      </c>
      <c r="DB219" s="0" t="s">
        <v>5700</v>
      </c>
      <c r="DC219" s="0" t="s">
        <v>373</v>
      </c>
      <c r="DD219" s="0" t="s">
        <v>290</v>
      </c>
      <c r="DE219" s="0" t="s">
        <v>1131</v>
      </c>
    </row>
    <row customHeight="1" ht="11.25">
      <c r="A220" s="1806" t="s">
        <v>227</v>
      </c>
      <c r="B220" s="0" t="s">
        <v>227</v>
      </c>
      <c r="C220" s="0" t="s">
        <v>227</v>
      </c>
      <c r="D220" s="0" t="s">
        <v>227</v>
      </c>
      <c r="E220" s="0" t="s">
        <v>227</v>
      </c>
      <c r="F220" s="0" t="s">
        <v>227</v>
      </c>
      <c r="G220" s="0" t="s">
        <v>227</v>
      </c>
      <c r="H220" s="0" t="s">
        <v>227</v>
      </c>
      <c r="I220" s="0" t="s">
        <v>6198</v>
      </c>
      <c r="J220" s="0" t="s">
        <v>227</v>
      </c>
      <c r="K220" s="0" t="s">
        <v>227</v>
      </c>
      <c r="L220" s="0" t="s">
        <v>227</v>
      </c>
      <c r="M220" s="0" t="s">
        <v>227</v>
      </c>
      <c r="N220" s="0" t="s">
        <v>227</v>
      </c>
      <c r="O220" s="0" t="s">
        <v>227</v>
      </c>
      <c r="P220" s="0" t="s">
        <v>227</v>
      </c>
      <c r="Q220" s="0" t="s">
        <v>227</v>
      </c>
      <c r="R220" s="0" t="s">
        <v>981</v>
      </c>
      <c r="S220" s="0" t="s">
        <v>227</v>
      </c>
      <c r="T220" s="0" t="s">
        <v>227</v>
      </c>
      <c r="U220" s="0" t="s">
        <v>102</v>
      </c>
      <c r="V220" s="0" t="s">
        <v>227</v>
      </c>
      <c r="W220" s="0" t="s">
        <v>227</v>
      </c>
      <c r="X220" s="0" t="s">
        <v>6234</v>
      </c>
      <c r="Y220" s="0" t="s">
        <v>227</v>
      </c>
      <c r="Z220" s="0" t="s">
        <v>152</v>
      </c>
      <c r="AA220" s="0" t="s">
        <v>161</v>
      </c>
      <c r="AB220" s="0" t="s">
        <v>152</v>
      </c>
      <c r="AC220" s="0" t="s">
        <v>352</v>
      </c>
      <c r="AD220" s="0" t="s">
        <v>352</v>
      </c>
      <c r="AE220" s="0" t="s">
        <v>353</v>
      </c>
      <c r="AF220" s="0" t="s">
        <v>5734</v>
      </c>
      <c r="AG220" s="0" t="s">
        <v>5735</v>
      </c>
      <c r="AH220" s="0" t="s">
        <v>6245</v>
      </c>
      <c r="AI220" s="0" t="s">
        <v>772</v>
      </c>
      <c r="AJ220" s="0" t="s">
        <v>227</v>
      </c>
      <c r="AK220" s="0" t="s">
        <v>227</v>
      </c>
      <c r="AL220" s="0" t="s">
        <v>227</v>
      </c>
      <c r="AN220" s="0" t="s">
        <v>227</v>
      </c>
      <c r="AO220" s="0" t="s">
        <v>227</v>
      </c>
      <c r="AP220" s="0" t="s">
        <v>6237</v>
      </c>
      <c r="AQ220" s="0" t="s">
        <v>6221</v>
      </c>
      <c r="AR220" s="0" t="s">
        <v>112</v>
      </c>
      <c r="AS220" s="0" t="s">
        <v>5690</v>
      </c>
      <c r="AT220" s="0" t="s">
        <v>5691</v>
      </c>
      <c r="AU220" s="0" t="s">
        <v>227</v>
      </c>
      <c r="AV220" s="0" t="s">
        <v>6238</v>
      </c>
      <c r="AW220" s="0" t="s">
        <v>352</v>
      </c>
      <c r="AX220" s="0" t="s">
        <v>352</v>
      </c>
      <c r="AY220" s="0" t="s">
        <v>5786</v>
      </c>
      <c r="AZ220" s="0" t="s">
        <v>5734</v>
      </c>
      <c r="BA220" s="0" t="s">
        <v>5936</v>
      </c>
      <c r="BB220" s="0" t="s">
        <v>6245</v>
      </c>
      <c r="BC220" s="0" t="s">
        <v>772</v>
      </c>
      <c r="BD220" s="0" t="s">
        <v>6246</v>
      </c>
      <c r="BE220" s="0" t="s">
        <v>227</v>
      </c>
      <c r="BF220" s="0" t="s">
        <v>227</v>
      </c>
      <c r="BG220" s="0" t="s">
        <v>227</v>
      </c>
      <c r="BH220" s="0" t="s">
        <v>227</v>
      </c>
      <c r="BI220" s="0" t="s">
        <v>227</v>
      </c>
      <c r="BJ220" s="0" t="s">
        <v>227</v>
      </c>
      <c r="BK220" s="0" t="s">
        <v>227</v>
      </c>
      <c r="BL220" s="0" t="s">
        <v>227</v>
      </c>
      <c r="BM220" s="0" t="s">
        <v>227</v>
      </c>
      <c r="BN220" s="0" t="s">
        <v>227</v>
      </c>
      <c r="BO220" s="0" t="s">
        <v>227</v>
      </c>
      <c r="BP220" s="0" t="s">
        <v>227</v>
      </c>
      <c r="BQ220" s="0" t="s">
        <v>227</v>
      </c>
      <c r="BR220" s="0" t="s">
        <v>227</v>
      </c>
      <c r="BS220" s="0" t="s">
        <v>227</v>
      </c>
      <c r="BT220" s="0" t="s">
        <v>227</v>
      </c>
      <c r="CS220" s="0" t="s">
        <v>227</v>
      </c>
      <c r="CT220" s="0" t="s">
        <v>5679</v>
      </c>
      <c r="CU220" s="0" t="s">
        <v>5680</v>
      </c>
      <c r="CV220" s="0" t="s">
        <v>430</v>
      </c>
      <c r="CW220" s="0" t="s">
        <v>5681</v>
      </c>
      <c r="CX220" s="0" t="s">
        <v>431</v>
      </c>
      <c r="CY220" s="0" t="s">
        <v>430</v>
      </c>
      <c r="CZ220" s="0" t="s">
        <v>432</v>
      </c>
      <c r="DA220" s="0" t="s">
        <v>433</v>
      </c>
      <c r="DB220" s="0" t="s">
        <v>5682</v>
      </c>
      <c r="DC220" s="0" t="s">
        <v>373</v>
      </c>
      <c r="DD220" s="0" t="s">
        <v>290</v>
      </c>
      <c r="DE220" s="0" t="s">
        <v>982</v>
      </c>
    </row>
    <row customHeight="1" ht="11.25">
      <c r="A221" s="1806" t="s">
        <v>227</v>
      </c>
      <c r="B221" s="0" t="s">
        <v>227</v>
      </c>
      <c r="C221" s="0" t="s">
        <v>227</v>
      </c>
      <c r="D221" s="0" t="s">
        <v>227</v>
      </c>
      <c r="E221" s="0" t="s">
        <v>227</v>
      </c>
      <c r="F221" s="0" t="s">
        <v>227</v>
      </c>
      <c r="G221" s="0" t="s">
        <v>227</v>
      </c>
      <c r="H221" s="0" t="s">
        <v>227</v>
      </c>
      <c r="I221" s="0" t="s">
        <v>6198</v>
      </c>
      <c r="J221" s="0" t="s">
        <v>227</v>
      </c>
      <c r="K221" s="0" t="s">
        <v>227</v>
      </c>
      <c r="L221" s="0" t="s">
        <v>227</v>
      </c>
      <c r="M221" s="0" t="s">
        <v>227</v>
      </c>
      <c r="N221" s="0" t="s">
        <v>227</v>
      </c>
      <c r="O221" s="0" t="s">
        <v>227</v>
      </c>
      <c r="P221" s="0" t="s">
        <v>227</v>
      </c>
      <c r="Q221" s="0" t="s">
        <v>227</v>
      </c>
      <c r="R221" s="0" t="s">
        <v>970</v>
      </c>
      <c r="S221" s="0" t="s">
        <v>227</v>
      </c>
      <c r="T221" s="0" t="s">
        <v>227</v>
      </c>
      <c r="U221" s="0" t="s">
        <v>102</v>
      </c>
      <c r="V221" s="0" t="s">
        <v>227</v>
      </c>
      <c r="W221" s="0" t="s">
        <v>227</v>
      </c>
      <c r="X221" s="0" t="s">
        <v>5683</v>
      </c>
      <c r="Y221" s="0" t="s">
        <v>227</v>
      </c>
      <c r="Z221" s="0" t="s">
        <v>152</v>
      </c>
      <c r="AA221" s="0" t="s">
        <v>152</v>
      </c>
      <c r="AB221" s="0" t="s">
        <v>161</v>
      </c>
      <c r="AC221" s="0" t="s">
        <v>352</v>
      </c>
      <c r="AD221" s="0" t="s">
        <v>352</v>
      </c>
      <c r="AE221" s="0" t="s">
        <v>353</v>
      </c>
      <c r="AF221" s="0" t="s">
        <v>5669</v>
      </c>
      <c r="AG221" s="0" t="s">
        <v>5670</v>
      </c>
      <c r="AH221" s="0" t="s">
        <v>352</v>
      </c>
      <c r="AI221" s="0" t="s">
        <v>276</v>
      </c>
      <c r="AJ221" s="0" t="s">
        <v>227</v>
      </c>
      <c r="AK221" s="0" t="s">
        <v>227</v>
      </c>
      <c r="AL221" s="0" t="s">
        <v>227</v>
      </c>
      <c r="AN221" s="0" t="s">
        <v>227</v>
      </c>
      <c r="AO221" s="0" t="s">
        <v>227</v>
      </c>
      <c r="AP221" s="0" t="s">
        <v>227</v>
      </c>
      <c r="AQ221" s="0" t="s">
        <v>227</v>
      </c>
      <c r="AR221" s="0" t="s">
        <v>227</v>
      </c>
      <c r="AS221" s="0" t="s">
        <v>227</v>
      </c>
      <c r="AT221" s="0" t="s">
        <v>227</v>
      </c>
      <c r="AU221" s="0" t="s">
        <v>227</v>
      </c>
      <c r="AV221" s="0" t="s">
        <v>227</v>
      </c>
      <c r="AW221" s="0" t="s">
        <v>227</v>
      </c>
      <c r="AX221" s="0" t="s">
        <v>227</v>
      </c>
      <c r="AY221" s="0" t="s">
        <v>227</v>
      </c>
      <c r="AZ221" s="0" t="s">
        <v>227</v>
      </c>
      <c r="BA221" s="0" t="s">
        <v>227</v>
      </c>
      <c r="BB221" s="0" t="s">
        <v>227</v>
      </c>
      <c r="BC221" s="0" t="s">
        <v>227</v>
      </c>
      <c r="BD221" s="0" t="s">
        <v>227</v>
      </c>
      <c r="BE221" s="0" t="s">
        <v>6237</v>
      </c>
      <c r="BF221" s="0" t="s">
        <v>6221</v>
      </c>
      <c r="BG221" s="0" t="s">
        <v>112</v>
      </c>
      <c r="BH221" s="0" t="s">
        <v>5690</v>
      </c>
      <c r="BI221" s="0" t="s">
        <v>5691</v>
      </c>
      <c r="BJ221" s="0" t="s">
        <v>227</v>
      </c>
      <c r="BK221" s="0" t="s">
        <v>5692</v>
      </c>
      <c r="BL221" s="0" t="s">
        <v>352</v>
      </c>
      <c r="BM221" s="0" t="s">
        <v>352</v>
      </c>
      <c r="BN221" s="0" t="s">
        <v>5786</v>
      </c>
      <c r="BO221" s="0" t="s">
        <v>5669</v>
      </c>
      <c r="BP221" s="0" t="s">
        <v>5787</v>
      </c>
      <c r="BQ221" s="0" t="s">
        <v>352</v>
      </c>
      <c r="BR221" s="0" t="s">
        <v>5692</v>
      </c>
      <c r="BS221" s="0" t="s">
        <v>227</v>
      </c>
      <c r="BT221" s="0" t="s">
        <v>6247</v>
      </c>
      <c r="CS221" s="0" t="s">
        <v>6248</v>
      </c>
      <c r="CT221" s="0" t="s">
        <v>5679</v>
      </c>
      <c r="CU221" s="0" t="s">
        <v>5680</v>
      </c>
      <c r="CV221" s="0" t="s">
        <v>430</v>
      </c>
      <c r="CW221" s="0" t="s">
        <v>5681</v>
      </c>
      <c r="CX221" s="0" t="s">
        <v>431</v>
      </c>
      <c r="CY221" s="0" t="s">
        <v>430</v>
      </c>
      <c r="CZ221" s="0" t="s">
        <v>432</v>
      </c>
      <c r="DA221" s="0" t="s">
        <v>433</v>
      </c>
      <c r="DB221" s="0" t="s">
        <v>5682</v>
      </c>
      <c r="DC221" s="0" t="s">
        <v>373</v>
      </c>
      <c r="DD221" s="0" t="s">
        <v>290</v>
      </c>
      <c r="DE221" s="0" t="s">
        <v>438</v>
      </c>
    </row>
    <row customHeight="1" ht="11.25">
      <c r="A222" s="1806" t="s">
        <v>227</v>
      </c>
      <c r="B222" s="0" t="s">
        <v>227</v>
      </c>
      <c r="C222" s="0" t="s">
        <v>227</v>
      </c>
      <c r="D222" s="0" t="s">
        <v>227</v>
      </c>
      <c r="E222" s="0" t="s">
        <v>227</v>
      </c>
      <c r="F222" s="0" t="s">
        <v>227</v>
      </c>
      <c r="G222" s="0" t="s">
        <v>227</v>
      </c>
      <c r="H222" s="0" t="s">
        <v>227</v>
      </c>
      <c r="I222" s="0" t="s">
        <v>6198</v>
      </c>
      <c r="J222" s="0" t="s">
        <v>227</v>
      </c>
      <c r="K222" s="0" t="s">
        <v>227</v>
      </c>
      <c r="L222" s="0" t="s">
        <v>227</v>
      </c>
      <c r="M222" s="0" t="s">
        <v>227</v>
      </c>
      <c r="N222" s="0" t="s">
        <v>227</v>
      </c>
      <c r="O222" s="0" t="s">
        <v>227</v>
      </c>
      <c r="P222" s="0" t="s">
        <v>227</v>
      </c>
      <c r="Q222" s="0" t="s">
        <v>227</v>
      </c>
      <c r="R222" s="0" t="s">
        <v>1040</v>
      </c>
      <c r="S222" s="0" t="s">
        <v>227</v>
      </c>
      <c r="T222" s="0" t="s">
        <v>227</v>
      </c>
      <c r="U222" s="0" t="s">
        <v>102</v>
      </c>
      <c r="V222" s="0" t="s">
        <v>227</v>
      </c>
      <c r="W222" s="0" t="s">
        <v>227</v>
      </c>
      <c r="X222" s="0" t="s">
        <v>5683</v>
      </c>
      <c r="Y222" s="0" t="s">
        <v>227</v>
      </c>
      <c r="Z222" s="0" t="s">
        <v>152</v>
      </c>
      <c r="AA222" s="0" t="s">
        <v>152</v>
      </c>
      <c r="AB222" s="0" t="s">
        <v>161</v>
      </c>
      <c r="AC222" s="0" t="s">
        <v>354</v>
      </c>
      <c r="AD222" s="0" t="s">
        <v>354</v>
      </c>
      <c r="AE222" s="0" t="s">
        <v>355</v>
      </c>
      <c r="AF222" s="0" t="s">
        <v>5684</v>
      </c>
      <c r="AG222" s="0" t="s">
        <v>5685</v>
      </c>
      <c r="AH222" s="0" t="s">
        <v>6249</v>
      </c>
      <c r="AI222" s="0" t="s">
        <v>5692</v>
      </c>
      <c r="AJ222" s="0" t="s">
        <v>227</v>
      </c>
      <c r="AK222" s="0" t="s">
        <v>227</v>
      </c>
      <c r="AL222" s="0" t="s">
        <v>227</v>
      </c>
      <c r="AN222" s="0" t="s">
        <v>227</v>
      </c>
      <c r="AO222" s="0" t="s">
        <v>227</v>
      </c>
      <c r="AP222" s="0" t="s">
        <v>227</v>
      </c>
      <c r="AQ222" s="0" t="s">
        <v>227</v>
      </c>
      <c r="AR222" s="0" t="s">
        <v>227</v>
      </c>
      <c r="AS222" s="0" t="s">
        <v>227</v>
      </c>
      <c r="AT222" s="0" t="s">
        <v>227</v>
      </c>
      <c r="AU222" s="0" t="s">
        <v>227</v>
      </c>
      <c r="AV222" s="0" t="s">
        <v>227</v>
      </c>
      <c r="AW222" s="0" t="s">
        <v>227</v>
      </c>
      <c r="AX222" s="0" t="s">
        <v>227</v>
      </c>
      <c r="AY222" s="0" t="s">
        <v>227</v>
      </c>
      <c r="AZ222" s="0" t="s">
        <v>227</v>
      </c>
      <c r="BA222" s="0" t="s">
        <v>227</v>
      </c>
      <c r="BB222" s="0" t="s">
        <v>227</v>
      </c>
      <c r="BC222" s="0" t="s">
        <v>227</v>
      </c>
      <c r="BD222" s="0" t="s">
        <v>227</v>
      </c>
      <c r="BE222" s="0" t="s">
        <v>6216</v>
      </c>
      <c r="BF222" s="0" t="s">
        <v>5697</v>
      </c>
      <c r="BG222" s="0" t="s">
        <v>112</v>
      </c>
      <c r="BH222" s="0" t="s">
        <v>5690</v>
      </c>
      <c r="BI222" s="0" t="s">
        <v>5691</v>
      </c>
      <c r="BJ222" s="0" t="s">
        <v>227</v>
      </c>
      <c r="BK222" s="0" t="s">
        <v>5692</v>
      </c>
      <c r="BL222" s="0" t="s">
        <v>354</v>
      </c>
      <c r="BM222" s="0" t="s">
        <v>354</v>
      </c>
      <c r="BN222" s="0" t="s">
        <v>5693</v>
      </c>
      <c r="BO222" s="0" t="s">
        <v>5684</v>
      </c>
      <c r="BP222" s="0" t="s">
        <v>5694</v>
      </c>
      <c r="BQ222" s="0" t="s">
        <v>5692</v>
      </c>
      <c r="BR222" s="0" t="s">
        <v>5692</v>
      </c>
      <c r="BS222" s="0" t="s">
        <v>227</v>
      </c>
      <c r="BT222" s="0" t="s">
        <v>6210</v>
      </c>
      <c r="CS222" s="0" t="s">
        <v>5759</v>
      </c>
      <c r="CT222" s="0" t="s">
        <v>5679</v>
      </c>
      <c r="CU222" s="0" t="s">
        <v>5680</v>
      </c>
      <c r="CV222" s="0" t="s">
        <v>430</v>
      </c>
      <c r="CW222" s="0" t="s">
        <v>5699</v>
      </c>
      <c r="CX222" s="0" t="s">
        <v>431</v>
      </c>
      <c r="CY222" s="0" t="s">
        <v>430</v>
      </c>
      <c r="CZ222" s="0" t="s">
        <v>432</v>
      </c>
      <c r="DA222" s="0" t="s">
        <v>433</v>
      </c>
      <c r="DB222" s="0" t="s">
        <v>5700</v>
      </c>
      <c r="DC222" s="0" t="s">
        <v>373</v>
      </c>
      <c r="DD222" s="0" t="s">
        <v>290</v>
      </c>
      <c r="DE222" s="0" t="s">
        <v>1041</v>
      </c>
    </row>
    <row customHeight="1" ht="11.25">
      <c r="A223" s="1806" t="s">
        <v>227</v>
      </c>
      <c r="B223" s="0" t="s">
        <v>227</v>
      </c>
      <c r="C223" s="0" t="s">
        <v>227</v>
      </c>
      <c r="D223" s="0" t="s">
        <v>227</v>
      </c>
      <c r="E223" s="0" t="s">
        <v>227</v>
      </c>
      <c r="F223" s="0" t="s">
        <v>227</v>
      </c>
      <c r="G223" s="0" t="s">
        <v>227</v>
      </c>
      <c r="H223" s="0" t="s">
        <v>227</v>
      </c>
      <c r="I223" s="0" t="s">
        <v>6198</v>
      </c>
      <c r="J223" s="0" t="s">
        <v>227</v>
      </c>
      <c r="K223" s="0" t="s">
        <v>227</v>
      </c>
      <c r="L223" s="0" t="s">
        <v>227</v>
      </c>
      <c r="M223" s="0" t="s">
        <v>227</v>
      </c>
      <c r="N223" s="0" t="s">
        <v>227</v>
      </c>
      <c r="O223" s="0" t="s">
        <v>227</v>
      </c>
      <c r="P223" s="0" t="s">
        <v>227</v>
      </c>
      <c r="Q223" s="0" t="s">
        <v>227</v>
      </c>
      <c r="R223" s="0" t="s">
        <v>1020</v>
      </c>
      <c r="S223" s="0" t="s">
        <v>227</v>
      </c>
      <c r="T223" s="0" t="s">
        <v>227</v>
      </c>
      <c r="U223" s="0" t="s">
        <v>102</v>
      </c>
      <c r="V223" s="0" t="s">
        <v>227</v>
      </c>
      <c r="W223" s="0" t="s">
        <v>227</v>
      </c>
      <c r="X223" s="0" t="s">
        <v>5683</v>
      </c>
      <c r="Y223" s="0" t="s">
        <v>227</v>
      </c>
      <c r="Z223" s="0" t="s">
        <v>152</v>
      </c>
      <c r="AA223" s="0" t="s">
        <v>152</v>
      </c>
      <c r="AB223" s="0" t="s">
        <v>161</v>
      </c>
      <c r="AC223" s="0" t="s">
        <v>354</v>
      </c>
      <c r="AD223" s="0" t="s">
        <v>354</v>
      </c>
      <c r="AE223" s="0" t="s">
        <v>355</v>
      </c>
      <c r="AF223" s="0" t="s">
        <v>5684</v>
      </c>
      <c r="AG223" s="0" t="s">
        <v>5685</v>
      </c>
      <c r="AH223" s="0" t="s">
        <v>6059</v>
      </c>
      <c r="AI223" s="0" t="s">
        <v>605</v>
      </c>
      <c r="AJ223" s="0" t="s">
        <v>227</v>
      </c>
      <c r="AK223" s="0" t="s">
        <v>227</v>
      </c>
      <c r="AL223" s="0" t="s">
        <v>227</v>
      </c>
      <c r="AN223" s="0" t="s">
        <v>227</v>
      </c>
      <c r="AO223" s="0" t="s">
        <v>227</v>
      </c>
      <c r="AP223" s="0" t="s">
        <v>227</v>
      </c>
      <c r="AQ223" s="0" t="s">
        <v>227</v>
      </c>
      <c r="AR223" s="0" t="s">
        <v>227</v>
      </c>
      <c r="AS223" s="0" t="s">
        <v>227</v>
      </c>
      <c r="AT223" s="0" t="s">
        <v>227</v>
      </c>
      <c r="AU223" s="0" t="s">
        <v>227</v>
      </c>
      <c r="AV223" s="0" t="s">
        <v>227</v>
      </c>
      <c r="AW223" s="0" t="s">
        <v>227</v>
      </c>
      <c r="AX223" s="0" t="s">
        <v>227</v>
      </c>
      <c r="AY223" s="0" t="s">
        <v>227</v>
      </c>
      <c r="AZ223" s="0" t="s">
        <v>227</v>
      </c>
      <c r="BA223" s="0" t="s">
        <v>227</v>
      </c>
      <c r="BB223" s="0" t="s">
        <v>227</v>
      </c>
      <c r="BC223" s="0" t="s">
        <v>227</v>
      </c>
      <c r="BD223" s="0" t="s">
        <v>227</v>
      </c>
      <c r="BE223" s="0" t="s">
        <v>6155</v>
      </c>
      <c r="BF223" s="0" t="s">
        <v>5697</v>
      </c>
      <c r="BG223" s="0" t="s">
        <v>112</v>
      </c>
      <c r="BH223" s="0" t="s">
        <v>5690</v>
      </c>
      <c r="BI223" s="0" t="s">
        <v>5691</v>
      </c>
      <c r="BJ223" s="0" t="s">
        <v>227</v>
      </c>
      <c r="BK223" s="0" t="s">
        <v>5692</v>
      </c>
      <c r="BL223" s="0" t="s">
        <v>354</v>
      </c>
      <c r="BM223" s="0" t="s">
        <v>354</v>
      </c>
      <c r="BN223" s="0" t="s">
        <v>5693</v>
      </c>
      <c r="BO223" s="0" t="s">
        <v>5684</v>
      </c>
      <c r="BP223" s="0" t="s">
        <v>5694</v>
      </c>
      <c r="BQ223" s="0" t="s">
        <v>5692</v>
      </c>
      <c r="BR223" s="0" t="s">
        <v>5692</v>
      </c>
      <c r="BS223" s="0" t="s">
        <v>227</v>
      </c>
      <c r="BT223" s="0" t="s">
        <v>6206</v>
      </c>
      <c r="CS223" s="0" t="s">
        <v>5759</v>
      </c>
      <c r="CT223" s="0" t="s">
        <v>5679</v>
      </c>
      <c r="CU223" s="0" t="s">
        <v>5680</v>
      </c>
      <c r="CV223" s="0" t="s">
        <v>430</v>
      </c>
      <c r="CW223" s="0" t="s">
        <v>5699</v>
      </c>
      <c r="CX223" s="0" t="s">
        <v>431</v>
      </c>
      <c r="CY223" s="0" t="s">
        <v>430</v>
      </c>
      <c r="CZ223" s="0" t="s">
        <v>432</v>
      </c>
      <c r="DA223" s="0" t="s">
        <v>433</v>
      </c>
      <c r="DB223" s="0" t="s">
        <v>5700</v>
      </c>
      <c r="DC223" s="0" t="s">
        <v>373</v>
      </c>
      <c r="DD223" s="0" t="s">
        <v>290</v>
      </c>
      <c r="DE223" s="0" t="s">
        <v>1021</v>
      </c>
    </row>
    <row customHeight="1" ht="11.25">
      <c r="A224" s="1806" t="s">
        <v>227</v>
      </c>
      <c r="B224" s="0" t="s">
        <v>227</v>
      </c>
      <c r="C224" s="0" t="s">
        <v>227</v>
      </c>
      <c r="D224" s="0" t="s">
        <v>227</v>
      </c>
      <c r="E224" s="0" t="s">
        <v>227</v>
      </c>
      <c r="F224" s="0" t="s">
        <v>227</v>
      </c>
      <c r="G224" s="0" t="s">
        <v>227</v>
      </c>
      <c r="H224" s="0" t="s">
        <v>227</v>
      </c>
      <c r="I224" s="0" t="s">
        <v>6198</v>
      </c>
      <c r="J224" s="0" t="s">
        <v>227</v>
      </c>
      <c r="K224" s="0" t="s">
        <v>227</v>
      </c>
      <c r="L224" s="0" t="s">
        <v>227</v>
      </c>
      <c r="M224" s="0" t="s">
        <v>227</v>
      </c>
      <c r="N224" s="0" t="s">
        <v>227</v>
      </c>
      <c r="O224" s="0" t="s">
        <v>227</v>
      </c>
      <c r="P224" s="0" t="s">
        <v>227</v>
      </c>
      <c r="Q224" s="0" t="s">
        <v>227</v>
      </c>
      <c r="R224" s="0" t="s">
        <v>1078</v>
      </c>
      <c r="S224" s="0" t="s">
        <v>227</v>
      </c>
      <c r="T224" s="0" t="s">
        <v>227</v>
      </c>
      <c r="U224" s="0" t="s">
        <v>102</v>
      </c>
      <c r="V224" s="0" t="s">
        <v>227</v>
      </c>
      <c r="W224" s="0" t="s">
        <v>227</v>
      </c>
      <c r="X224" s="0" t="s">
        <v>5683</v>
      </c>
      <c r="Y224" s="0" t="s">
        <v>227</v>
      </c>
      <c r="Z224" s="0" t="s">
        <v>152</v>
      </c>
      <c r="AA224" s="0" t="s">
        <v>152</v>
      </c>
      <c r="AB224" s="0" t="s">
        <v>161</v>
      </c>
      <c r="AC224" s="0" t="s">
        <v>354</v>
      </c>
      <c r="AD224" s="0" t="s">
        <v>354</v>
      </c>
      <c r="AE224" s="0" t="s">
        <v>355</v>
      </c>
      <c r="AF224" s="0" t="s">
        <v>5684</v>
      </c>
      <c r="AG224" s="0" t="s">
        <v>5685</v>
      </c>
      <c r="AH224" s="0" t="s">
        <v>5949</v>
      </c>
      <c r="AI224" s="0" t="s">
        <v>6250</v>
      </c>
      <c r="AJ224" s="0" t="s">
        <v>227</v>
      </c>
      <c r="AK224" s="0" t="s">
        <v>227</v>
      </c>
      <c r="AL224" s="0" t="s">
        <v>227</v>
      </c>
      <c r="AN224" s="0" t="s">
        <v>227</v>
      </c>
      <c r="AO224" s="0" t="s">
        <v>227</v>
      </c>
      <c r="AP224" s="0" t="s">
        <v>227</v>
      </c>
      <c r="AQ224" s="0" t="s">
        <v>227</v>
      </c>
      <c r="AR224" s="0" t="s">
        <v>227</v>
      </c>
      <c r="AS224" s="0" t="s">
        <v>227</v>
      </c>
      <c r="AT224" s="0" t="s">
        <v>227</v>
      </c>
      <c r="AU224" s="0" t="s">
        <v>227</v>
      </c>
      <c r="AV224" s="0" t="s">
        <v>227</v>
      </c>
      <c r="AW224" s="0" t="s">
        <v>227</v>
      </c>
      <c r="AX224" s="0" t="s">
        <v>227</v>
      </c>
      <c r="AY224" s="0" t="s">
        <v>227</v>
      </c>
      <c r="AZ224" s="0" t="s">
        <v>227</v>
      </c>
      <c r="BA224" s="0" t="s">
        <v>227</v>
      </c>
      <c r="BB224" s="0" t="s">
        <v>227</v>
      </c>
      <c r="BC224" s="0" t="s">
        <v>227</v>
      </c>
      <c r="BD224" s="0" t="s">
        <v>227</v>
      </c>
      <c r="BE224" s="0" t="s">
        <v>6216</v>
      </c>
      <c r="BF224" s="0" t="s">
        <v>5697</v>
      </c>
      <c r="BG224" s="0" t="s">
        <v>112</v>
      </c>
      <c r="BH224" s="0" t="s">
        <v>5690</v>
      </c>
      <c r="BI224" s="0" t="s">
        <v>5691</v>
      </c>
      <c r="BJ224" s="0" t="s">
        <v>227</v>
      </c>
      <c r="BK224" s="0" t="s">
        <v>5692</v>
      </c>
      <c r="BL224" s="0" t="s">
        <v>354</v>
      </c>
      <c r="BM224" s="0" t="s">
        <v>354</v>
      </c>
      <c r="BN224" s="0" t="s">
        <v>5693</v>
      </c>
      <c r="BO224" s="0" t="s">
        <v>5684</v>
      </c>
      <c r="BP224" s="0" t="s">
        <v>5694</v>
      </c>
      <c r="BQ224" s="0" t="s">
        <v>5692</v>
      </c>
      <c r="BR224" s="0" t="s">
        <v>5692</v>
      </c>
      <c r="BS224" s="0" t="s">
        <v>227</v>
      </c>
      <c r="BT224" s="0" t="s">
        <v>6210</v>
      </c>
      <c r="CS224" s="0" t="s">
        <v>5759</v>
      </c>
      <c r="CT224" s="0" t="s">
        <v>5679</v>
      </c>
      <c r="CU224" s="0" t="s">
        <v>5680</v>
      </c>
      <c r="CV224" s="0" t="s">
        <v>430</v>
      </c>
      <c r="CW224" s="0" t="s">
        <v>5699</v>
      </c>
      <c r="CX224" s="0" t="s">
        <v>431</v>
      </c>
      <c r="CY224" s="0" t="s">
        <v>430</v>
      </c>
      <c r="CZ224" s="0" t="s">
        <v>432</v>
      </c>
      <c r="DA224" s="0" t="s">
        <v>433</v>
      </c>
      <c r="DB224" s="0" t="s">
        <v>5700</v>
      </c>
      <c r="DC224" s="0" t="s">
        <v>373</v>
      </c>
      <c r="DD224" s="0" t="s">
        <v>290</v>
      </c>
      <c r="DE224" s="0" t="s">
        <v>1079</v>
      </c>
    </row>
    <row customHeight="1" ht="11.25">
      <c r="A225" s="1806" t="s">
        <v>227</v>
      </c>
      <c r="B225" s="0" t="s">
        <v>227</v>
      </c>
      <c r="C225" s="0" t="s">
        <v>227</v>
      </c>
      <c r="D225" s="0" t="s">
        <v>227</v>
      </c>
      <c r="E225" s="0" t="s">
        <v>227</v>
      </c>
      <c r="F225" s="0" t="s">
        <v>227</v>
      </c>
      <c r="G225" s="0" t="s">
        <v>227</v>
      </c>
      <c r="H225" s="0" t="s">
        <v>227</v>
      </c>
      <c r="I225" s="0" t="s">
        <v>6198</v>
      </c>
      <c r="J225" s="0" t="s">
        <v>227</v>
      </c>
      <c r="K225" s="0" t="s">
        <v>227</v>
      </c>
      <c r="L225" s="0" t="s">
        <v>227</v>
      </c>
      <c r="M225" s="0" t="s">
        <v>227</v>
      </c>
      <c r="N225" s="0" t="s">
        <v>227</v>
      </c>
      <c r="O225" s="0" t="s">
        <v>227</v>
      </c>
      <c r="P225" s="0" t="s">
        <v>227</v>
      </c>
      <c r="Q225" s="0" t="s">
        <v>227</v>
      </c>
      <c r="R225" s="0" t="s">
        <v>1076</v>
      </c>
      <c r="S225" s="0" t="s">
        <v>227</v>
      </c>
      <c r="T225" s="0" t="s">
        <v>227</v>
      </c>
      <c r="U225" s="0" t="s">
        <v>102</v>
      </c>
      <c r="V225" s="0" t="s">
        <v>227</v>
      </c>
      <c r="W225" s="0" t="s">
        <v>227</v>
      </c>
      <c r="X225" s="0" t="s">
        <v>5683</v>
      </c>
      <c r="Y225" s="0" t="s">
        <v>227</v>
      </c>
      <c r="Z225" s="0" t="s">
        <v>152</v>
      </c>
      <c r="AA225" s="0" t="s">
        <v>152</v>
      </c>
      <c r="AB225" s="0" t="s">
        <v>161</v>
      </c>
      <c r="AC225" s="0" t="s">
        <v>354</v>
      </c>
      <c r="AD225" s="0" t="s">
        <v>354</v>
      </c>
      <c r="AE225" s="0" t="s">
        <v>355</v>
      </c>
      <c r="AF225" s="0" t="s">
        <v>5684</v>
      </c>
      <c r="AG225" s="0" t="s">
        <v>5685</v>
      </c>
      <c r="AH225" s="0" t="s">
        <v>5949</v>
      </c>
      <c r="AI225" s="0" t="s">
        <v>6251</v>
      </c>
      <c r="AJ225" s="0" t="s">
        <v>227</v>
      </c>
      <c r="AK225" s="0" t="s">
        <v>227</v>
      </c>
      <c r="AL225" s="0" t="s">
        <v>227</v>
      </c>
      <c r="AN225" s="0" t="s">
        <v>227</v>
      </c>
      <c r="AO225" s="0" t="s">
        <v>227</v>
      </c>
      <c r="AP225" s="0" t="s">
        <v>227</v>
      </c>
      <c r="AQ225" s="0" t="s">
        <v>227</v>
      </c>
      <c r="AR225" s="0" t="s">
        <v>227</v>
      </c>
      <c r="AS225" s="0" t="s">
        <v>227</v>
      </c>
      <c r="AT225" s="0" t="s">
        <v>227</v>
      </c>
      <c r="AU225" s="0" t="s">
        <v>227</v>
      </c>
      <c r="AV225" s="0" t="s">
        <v>227</v>
      </c>
      <c r="AW225" s="0" t="s">
        <v>227</v>
      </c>
      <c r="AX225" s="0" t="s">
        <v>227</v>
      </c>
      <c r="AY225" s="0" t="s">
        <v>227</v>
      </c>
      <c r="AZ225" s="0" t="s">
        <v>227</v>
      </c>
      <c r="BA225" s="0" t="s">
        <v>227</v>
      </c>
      <c r="BB225" s="0" t="s">
        <v>227</v>
      </c>
      <c r="BC225" s="0" t="s">
        <v>227</v>
      </c>
      <c r="BD225" s="0" t="s">
        <v>227</v>
      </c>
      <c r="BE225" s="0" t="s">
        <v>6209</v>
      </c>
      <c r="BF225" s="0" t="s">
        <v>5697</v>
      </c>
      <c r="BG225" s="0" t="s">
        <v>112</v>
      </c>
      <c r="BH225" s="0" t="s">
        <v>5690</v>
      </c>
      <c r="BI225" s="0" t="s">
        <v>5691</v>
      </c>
      <c r="BJ225" s="0" t="s">
        <v>227</v>
      </c>
      <c r="BK225" s="0" t="s">
        <v>5692</v>
      </c>
      <c r="BL225" s="0" t="s">
        <v>354</v>
      </c>
      <c r="BM225" s="0" t="s">
        <v>354</v>
      </c>
      <c r="BN225" s="0" t="s">
        <v>5693</v>
      </c>
      <c r="BO225" s="0" t="s">
        <v>5684</v>
      </c>
      <c r="BP225" s="0" t="s">
        <v>5694</v>
      </c>
      <c r="BQ225" s="0" t="s">
        <v>5692</v>
      </c>
      <c r="BR225" s="0" t="s">
        <v>5692</v>
      </c>
      <c r="BS225" s="0" t="s">
        <v>227</v>
      </c>
      <c r="BT225" s="0" t="s">
        <v>6210</v>
      </c>
      <c r="CS225" s="0" t="s">
        <v>5759</v>
      </c>
      <c r="CT225" s="0" t="s">
        <v>5679</v>
      </c>
      <c r="CU225" s="0" t="s">
        <v>5680</v>
      </c>
      <c r="CV225" s="0" t="s">
        <v>430</v>
      </c>
      <c r="CW225" s="0" t="s">
        <v>5699</v>
      </c>
      <c r="CX225" s="0" t="s">
        <v>431</v>
      </c>
      <c r="CY225" s="0" t="s">
        <v>430</v>
      </c>
      <c r="CZ225" s="0" t="s">
        <v>432</v>
      </c>
      <c r="DA225" s="0" t="s">
        <v>433</v>
      </c>
      <c r="DB225" s="0" t="s">
        <v>5700</v>
      </c>
      <c r="DC225" s="0" t="s">
        <v>373</v>
      </c>
      <c r="DD225" s="0" t="s">
        <v>290</v>
      </c>
      <c r="DE225" s="0" t="s">
        <v>1077</v>
      </c>
    </row>
    <row customHeight="1" ht="11.25">
      <c r="A226" s="1806" t="s">
        <v>227</v>
      </c>
      <c r="B226" s="0" t="s">
        <v>227</v>
      </c>
      <c r="C226" s="0" t="s">
        <v>227</v>
      </c>
      <c r="D226" s="0" t="s">
        <v>227</v>
      </c>
      <c r="E226" s="0" t="s">
        <v>227</v>
      </c>
      <c r="F226" s="0" t="s">
        <v>227</v>
      </c>
      <c r="G226" s="0" t="s">
        <v>227</v>
      </c>
      <c r="H226" s="0" t="s">
        <v>227</v>
      </c>
      <c r="I226" s="0" t="s">
        <v>6198</v>
      </c>
      <c r="J226" s="0" t="s">
        <v>227</v>
      </c>
      <c r="K226" s="0" t="s">
        <v>227</v>
      </c>
      <c r="L226" s="0" t="s">
        <v>227</v>
      </c>
      <c r="M226" s="0" t="s">
        <v>227</v>
      </c>
      <c r="N226" s="0" t="s">
        <v>227</v>
      </c>
      <c r="O226" s="0" t="s">
        <v>227</v>
      </c>
      <c r="P226" s="0" t="s">
        <v>227</v>
      </c>
      <c r="Q226" s="0" t="s">
        <v>227</v>
      </c>
      <c r="R226" s="0" t="s">
        <v>977</v>
      </c>
      <c r="S226" s="0" t="s">
        <v>227</v>
      </c>
      <c r="T226" s="0" t="s">
        <v>227</v>
      </c>
      <c r="U226" s="0" t="s">
        <v>102</v>
      </c>
      <c r="V226" s="0" t="s">
        <v>227</v>
      </c>
      <c r="W226" s="0" t="s">
        <v>227</v>
      </c>
      <c r="X226" s="0" t="s">
        <v>5683</v>
      </c>
      <c r="Y226" s="0" t="s">
        <v>227</v>
      </c>
      <c r="Z226" s="0" t="s">
        <v>152</v>
      </c>
      <c r="AA226" s="0" t="s">
        <v>152</v>
      </c>
      <c r="AB226" s="0" t="s">
        <v>161</v>
      </c>
      <c r="AC226" s="0" t="s">
        <v>352</v>
      </c>
      <c r="AD226" s="0" t="s">
        <v>352</v>
      </c>
      <c r="AE226" s="0" t="s">
        <v>353</v>
      </c>
      <c r="AF226" s="0" t="s">
        <v>5734</v>
      </c>
      <c r="AG226" s="0" t="s">
        <v>5735</v>
      </c>
      <c r="AH226" s="0" t="s">
        <v>6252</v>
      </c>
      <c r="AI226" s="0" t="s">
        <v>276</v>
      </c>
      <c r="AJ226" s="0" t="s">
        <v>227</v>
      </c>
      <c r="AK226" s="0" t="s">
        <v>227</v>
      </c>
      <c r="AL226" s="0" t="s">
        <v>227</v>
      </c>
      <c r="AN226" s="0" t="s">
        <v>227</v>
      </c>
      <c r="AO226" s="0" t="s">
        <v>227</v>
      </c>
      <c r="AP226" s="0" t="s">
        <v>227</v>
      </c>
      <c r="AQ226" s="0" t="s">
        <v>227</v>
      </c>
      <c r="AR226" s="0" t="s">
        <v>227</v>
      </c>
      <c r="AS226" s="0" t="s">
        <v>227</v>
      </c>
      <c r="AT226" s="0" t="s">
        <v>227</v>
      </c>
      <c r="AU226" s="0" t="s">
        <v>227</v>
      </c>
      <c r="AV226" s="0" t="s">
        <v>227</v>
      </c>
      <c r="AW226" s="0" t="s">
        <v>227</v>
      </c>
      <c r="AX226" s="0" t="s">
        <v>227</v>
      </c>
      <c r="AY226" s="0" t="s">
        <v>227</v>
      </c>
      <c r="AZ226" s="0" t="s">
        <v>227</v>
      </c>
      <c r="BA226" s="0" t="s">
        <v>227</v>
      </c>
      <c r="BB226" s="0" t="s">
        <v>227</v>
      </c>
      <c r="BC226" s="0" t="s">
        <v>227</v>
      </c>
      <c r="BD226" s="0" t="s">
        <v>227</v>
      </c>
      <c r="BE226" s="0" t="s">
        <v>6253</v>
      </c>
      <c r="BF226" s="0" t="s">
        <v>6254</v>
      </c>
      <c r="BG226" s="0" t="s">
        <v>112</v>
      </c>
      <c r="BH226" s="0" t="s">
        <v>5690</v>
      </c>
      <c r="BI226" s="0" t="s">
        <v>5691</v>
      </c>
      <c r="BJ226" s="0" t="s">
        <v>227</v>
      </c>
      <c r="BK226" s="0" t="s">
        <v>5692</v>
      </c>
      <c r="BL226" s="0" t="s">
        <v>352</v>
      </c>
      <c r="BM226" s="0" t="s">
        <v>352</v>
      </c>
      <c r="BN226" s="0" t="s">
        <v>5786</v>
      </c>
      <c r="BO226" s="0" t="s">
        <v>5734</v>
      </c>
      <c r="BP226" s="0" t="s">
        <v>5936</v>
      </c>
      <c r="BQ226" s="0" t="s">
        <v>6252</v>
      </c>
      <c r="BR226" s="0" t="s">
        <v>5692</v>
      </c>
      <c r="BS226" s="0" t="s">
        <v>227</v>
      </c>
      <c r="BT226" s="0" t="s">
        <v>6247</v>
      </c>
      <c r="CS226" s="0" t="s">
        <v>6248</v>
      </c>
      <c r="CT226" s="0" t="s">
        <v>5679</v>
      </c>
      <c r="CU226" s="0" t="s">
        <v>5680</v>
      </c>
      <c r="CV226" s="0" t="s">
        <v>430</v>
      </c>
      <c r="CW226" s="0" t="s">
        <v>5681</v>
      </c>
      <c r="CX226" s="0" t="s">
        <v>431</v>
      </c>
      <c r="CY226" s="0" t="s">
        <v>430</v>
      </c>
      <c r="CZ226" s="0" t="s">
        <v>432</v>
      </c>
      <c r="DA226" s="0" t="s">
        <v>433</v>
      </c>
      <c r="DB226" s="0" t="s">
        <v>5682</v>
      </c>
      <c r="DC226" s="0" t="s">
        <v>373</v>
      </c>
      <c r="DD226" s="0" t="s">
        <v>290</v>
      </c>
      <c r="DE226" s="0" t="s">
        <v>978</v>
      </c>
    </row>
    <row customHeight="1" ht="11.25">
      <c r="A227" s="1806" t="s">
        <v>227</v>
      </c>
      <c r="B227" s="0" t="s">
        <v>227</v>
      </c>
      <c r="C227" s="0" t="s">
        <v>227</v>
      </c>
      <c r="D227" s="0" t="s">
        <v>227</v>
      </c>
      <c r="E227" s="0" t="s">
        <v>227</v>
      </c>
      <c r="F227" s="0" t="s">
        <v>227</v>
      </c>
      <c r="G227" s="0" t="s">
        <v>227</v>
      </c>
      <c r="H227" s="0" t="s">
        <v>227</v>
      </c>
      <c r="I227" s="0" t="s">
        <v>6198</v>
      </c>
      <c r="J227" s="0" t="s">
        <v>227</v>
      </c>
      <c r="K227" s="0" t="s">
        <v>227</v>
      </c>
      <c r="L227" s="0" t="s">
        <v>227</v>
      </c>
      <c r="M227" s="0" t="s">
        <v>227</v>
      </c>
      <c r="N227" s="0" t="s">
        <v>227</v>
      </c>
      <c r="O227" s="0" t="s">
        <v>227</v>
      </c>
      <c r="P227" s="0" t="s">
        <v>227</v>
      </c>
      <c r="Q227" s="0" t="s">
        <v>227</v>
      </c>
      <c r="R227" s="0" t="s">
        <v>1151</v>
      </c>
      <c r="S227" s="0" t="s">
        <v>227</v>
      </c>
      <c r="T227" s="0" t="s">
        <v>227</v>
      </c>
      <c r="U227" s="0" t="s">
        <v>102</v>
      </c>
      <c r="V227" s="0" t="s">
        <v>227</v>
      </c>
      <c r="W227" s="0" t="s">
        <v>227</v>
      </c>
      <c r="X227" s="0" t="s">
        <v>5683</v>
      </c>
      <c r="Y227" s="0" t="s">
        <v>227</v>
      </c>
      <c r="Z227" s="0" t="s">
        <v>152</v>
      </c>
      <c r="AA227" s="0" t="s">
        <v>152</v>
      </c>
      <c r="AB227" s="0" t="s">
        <v>161</v>
      </c>
      <c r="AC227" s="0" t="s">
        <v>354</v>
      </c>
      <c r="AD227" s="0" t="s">
        <v>354</v>
      </c>
      <c r="AE227" s="0" t="s">
        <v>355</v>
      </c>
      <c r="AF227" s="0" t="s">
        <v>5701</v>
      </c>
      <c r="AG227" s="0" t="s">
        <v>5702</v>
      </c>
      <c r="AH227" s="0" t="s">
        <v>5703</v>
      </c>
      <c r="AI227" s="0" t="s">
        <v>532</v>
      </c>
      <c r="AJ227" s="0" t="s">
        <v>227</v>
      </c>
      <c r="AK227" s="0" t="s">
        <v>227</v>
      </c>
      <c r="AL227" s="0" t="s">
        <v>227</v>
      </c>
      <c r="AN227" s="0" t="s">
        <v>227</v>
      </c>
      <c r="AO227" s="0" t="s">
        <v>227</v>
      </c>
      <c r="AP227" s="0" t="s">
        <v>227</v>
      </c>
      <c r="AQ227" s="0" t="s">
        <v>227</v>
      </c>
      <c r="AR227" s="0" t="s">
        <v>227</v>
      </c>
      <c r="AS227" s="0" t="s">
        <v>227</v>
      </c>
      <c r="AT227" s="0" t="s">
        <v>227</v>
      </c>
      <c r="AU227" s="0" t="s">
        <v>227</v>
      </c>
      <c r="AV227" s="0" t="s">
        <v>227</v>
      </c>
      <c r="AW227" s="0" t="s">
        <v>227</v>
      </c>
      <c r="AX227" s="0" t="s">
        <v>227</v>
      </c>
      <c r="AY227" s="0" t="s">
        <v>227</v>
      </c>
      <c r="AZ227" s="0" t="s">
        <v>227</v>
      </c>
      <c r="BA227" s="0" t="s">
        <v>227</v>
      </c>
      <c r="BB227" s="0" t="s">
        <v>227</v>
      </c>
      <c r="BC227" s="0" t="s">
        <v>227</v>
      </c>
      <c r="BD227" s="0" t="s">
        <v>227</v>
      </c>
      <c r="BE227" s="0" t="s">
        <v>6155</v>
      </c>
      <c r="BF227" s="0" t="s">
        <v>5697</v>
      </c>
      <c r="BG227" s="0" t="s">
        <v>112</v>
      </c>
      <c r="BH227" s="0" t="s">
        <v>5690</v>
      </c>
      <c r="BI227" s="0" t="s">
        <v>5691</v>
      </c>
      <c r="BJ227" s="0" t="s">
        <v>227</v>
      </c>
      <c r="BK227" s="0" t="s">
        <v>5692</v>
      </c>
      <c r="BL227" s="0" t="s">
        <v>354</v>
      </c>
      <c r="BM227" s="0" t="s">
        <v>354</v>
      </c>
      <c r="BN227" s="0" t="s">
        <v>5693</v>
      </c>
      <c r="BO227" s="0" t="s">
        <v>5701</v>
      </c>
      <c r="BP227" s="0" t="s">
        <v>5706</v>
      </c>
      <c r="BQ227" s="0" t="s">
        <v>5692</v>
      </c>
      <c r="BR227" s="0" t="s">
        <v>5692</v>
      </c>
      <c r="BS227" s="0" t="s">
        <v>227</v>
      </c>
      <c r="BT227" s="0" t="s">
        <v>6206</v>
      </c>
      <c r="CS227" s="0" t="s">
        <v>5759</v>
      </c>
      <c r="CT227" s="0" t="s">
        <v>5679</v>
      </c>
      <c r="CU227" s="0" t="s">
        <v>5680</v>
      </c>
      <c r="CV227" s="0" t="s">
        <v>430</v>
      </c>
      <c r="CW227" s="0" t="s">
        <v>5699</v>
      </c>
      <c r="CX227" s="0" t="s">
        <v>431</v>
      </c>
      <c r="CY227" s="0" t="s">
        <v>430</v>
      </c>
      <c r="CZ227" s="0" t="s">
        <v>432</v>
      </c>
      <c r="DA227" s="0" t="s">
        <v>433</v>
      </c>
      <c r="DB227" s="0" t="s">
        <v>5700</v>
      </c>
      <c r="DC227" s="0" t="s">
        <v>373</v>
      </c>
      <c r="DD227" s="0" t="s">
        <v>290</v>
      </c>
      <c r="DE227" s="0" t="s">
        <v>798</v>
      </c>
    </row>
    <row customHeight="1" ht="11.25">
      <c r="A228" s="1806" t="s">
        <v>227</v>
      </c>
      <c r="B228" s="0" t="s">
        <v>227</v>
      </c>
      <c r="C228" s="0" t="s">
        <v>227</v>
      </c>
      <c r="D228" s="0" t="s">
        <v>227</v>
      </c>
      <c r="E228" s="0" t="s">
        <v>227</v>
      </c>
      <c r="F228" s="0" t="s">
        <v>227</v>
      </c>
      <c r="G228" s="0" t="s">
        <v>227</v>
      </c>
      <c r="H228" s="0" t="s">
        <v>227</v>
      </c>
      <c r="I228" s="0" t="s">
        <v>6198</v>
      </c>
      <c r="J228" s="0" t="s">
        <v>227</v>
      </c>
      <c r="K228" s="0" t="s">
        <v>227</v>
      </c>
      <c r="L228" s="0" t="s">
        <v>227</v>
      </c>
      <c r="M228" s="0" t="s">
        <v>227</v>
      </c>
      <c r="N228" s="0" t="s">
        <v>227</v>
      </c>
      <c r="O228" s="0" t="s">
        <v>227</v>
      </c>
      <c r="P228" s="0" t="s">
        <v>227</v>
      </c>
      <c r="Q228" s="0" t="s">
        <v>227</v>
      </c>
      <c r="R228" s="0" t="s">
        <v>1159</v>
      </c>
      <c r="S228" s="0" t="s">
        <v>227</v>
      </c>
      <c r="T228" s="0" t="s">
        <v>227</v>
      </c>
      <c r="U228" s="0" t="s">
        <v>102</v>
      </c>
      <c r="V228" s="0" t="s">
        <v>227</v>
      </c>
      <c r="W228" s="0" t="s">
        <v>227</v>
      </c>
      <c r="X228" s="0" t="s">
        <v>6234</v>
      </c>
      <c r="Y228" s="0" t="s">
        <v>227</v>
      </c>
      <c r="Z228" s="0" t="s">
        <v>152</v>
      </c>
      <c r="AA228" s="0" t="s">
        <v>161</v>
      </c>
      <c r="AB228" s="0" t="s">
        <v>152</v>
      </c>
      <c r="AC228" s="0" t="s">
        <v>354</v>
      </c>
      <c r="AD228" s="0" t="s">
        <v>354</v>
      </c>
      <c r="AE228" s="0" t="s">
        <v>355</v>
      </c>
      <c r="AF228" s="0" t="s">
        <v>5701</v>
      </c>
      <c r="AG228" s="0" t="s">
        <v>5702</v>
      </c>
      <c r="AH228" s="0" t="s">
        <v>5707</v>
      </c>
      <c r="AI228" s="0" t="s">
        <v>5990</v>
      </c>
      <c r="AJ228" s="0" t="s">
        <v>227</v>
      </c>
      <c r="AK228" s="0" t="s">
        <v>227</v>
      </c>
      <c r="AL228" s="0" t="s">
        <v>227</v>
      </c>
      <c r="AN228" s="0" t="s">
        <v>227</v>
      </c>
      <c r="AO228" s="0" t="s">
        <v>227</v>
      </c>
      <c r="AP228" s="0" t="s">
        <v>6214</v>
      </c>
      <c r="AQ228" s="0" t="s">
        <v>6241</v>
      </c>
      <c r="AR228" s="0" t="s">
        <v>3858</v>
      </c>
      <c r="AS228" s="0" t="s">
        <v>6255</v>
      </c>
      <c r="AT228" s="0" t="s">
        <v>6256</v>
      </c>
      <c r="AU228" s="0" t="s">
        <v>227</v>
      </c>
      <c r="AV228" s="0" t="s">
        <v>979</v>
      </c>
      <c r="AW228" s="0" t="s">
        <v>354</v>
      </c>
      <c r="AX228" s="0" t="s">
        <v>354</v>
      </c>
      <c r="AY228" s="0" t="s">
        <v>5693</v>
      </c>
      <c r="AZ228" s="0" t="s">
        <v>5701</v>
      </c>
      <c r="BA228" s="0" t="s">
        <v>5706</v>
      </c>
      <c r="BB228" s="0" t="s">
        <v>5707</v>
      </c>
      <c r="BC228" s="0" t="s">
        <v>6212</v>
      </c>
      <c r="BD228" s="0" t="s">
        <v>5791</v>
      </c>
      <c r="BE228" s="0" t="s">
        <v>227</v>
      </c>
      <c r="BF228" s="0" t="s">
        <v>227</v>
      </c>
      <c r="BG228" s="0" t="s">
        <v>227</v>
      </c>
      <c r="BH228" s="0" t="s">
        <v>227</v>
      </c>
      <c r="BI228" s="0" t="s">
        <v>227</v>
      </c>
      <c r="BJ228" s="0" t="s">
        <v>227</v>
      </c>
      <c r="BK228" s="0" t="s">
        <v>227</v>
      </c>
      <c r="BL228" s="0" t="s">
        <v>227</v>
      </c>
      <c r="BM228" s="0" t="s">
        <v>227</v>
      </c>
      <c r="BN228" s="0" t="s">
        <v>227</v>
      </c>
      <c r="BO228" s="0" t="s">
        <v>227</v>
      </c>
      <c r="BP228" s="0" t="s">
        <v>227</v>
      </c>
      <c r="BQ228" s="0" t="s">
        <v>227</v>
      </c>
      <c r="BR228" s="0" t="s">
        <v>227</v>
      </c>
      <c r="BS228" s="0" t="s">
        <v>227</v>
      </c>
      <c r="BT228" s="0" t="s">
        <v>227</v>
      </c>
      <c r="CS228" s="0" t="s">
        <v>227</v>
      </c>
      <c r="CT228" s="0" t="s">
        <v>5679</v>
      </c>
      <c r="CU228" s="0" t="s">
        <v>5680</v>
      </c>
      <c r="CV228" s="0" t="s">
        <v>430</v>
      </c>
      <c r="CW228" s="0" t="s">
        <v>5699</v>
      </c>
      <c r="CX228" s="0" t="s">
        <v>431</v>
      </c>
      <c r="CY228" s="0" t="s">
        <v>430</v>
      </c>
      <c r="CZ228" s="0" t="s">
        <v>432</v>
      </c>
      <c r="DA228" s="0" t="s">
        <v>433</v>
      </c>
      <c r="DB228" s="0" t="s">
        <v>5700</v>
      </c>
      <c r="DC228" s="0" t="s">
        <v>373</v>
      </c>
      <c r="DD228" s="0" t="s">
        <v>290</v>
      </c>
      <c r="DE228" s="0" t="s">
        <v>1160</v>
      </c>
    </row>
    <row customHeight="1" ht="11.25">
      <c r="A229" s="1806" t="s">
        <v>227</v>
      </c>
      <c r="B229" s="0" t="s">
        <v>227</v>
      </c>
      <c r="C229" s="0" t="s">
        <v>227</v>
      </c>
      <c r="D229" s="0" t="s">
        <v>227</v>
      </c>
      <c r="E229" s="0" t="s">
        <v>227</v>
      </c>
      <c r="F229" s="0" t="s">
        <v>227</v>
      </c>
      <c r="G229" s="0" t="s">
        <v>227</v>
      </c>
      <c r="H229" s="0" t="s">
        <v>227</v>
      </c>
      <c r="I229" s="0" t="s">
        <v>6198</v>
      </c>
      <c r="J229" s="0" t="s">
        <v>227</v>
      </c>
      <c r="K229" s="0" t="s">
        <v>227</v>
      </c>
      <c r="L229" s="0" t="s">
        <v>227</v>
      </c>
      <c r="M229" s="0" t="s">
        <v>227</v>
      </c>
      <c r="N229" s="0" t="s">
        <v>227</v>
      </c>
      <c r="O229" s="0" t="s">
        <v>227</v>
      </c>
      <c r="P229" s="0" t="s">
        <v>227</v>
      </c>
      <c r="Q229" s="0" t="s">
        <v>227</v>
      </c>
      <c r="R229" s="0" t="s">
        <v>1016</v>
      </c>
      <c r="S229" s="0" t="s">
        <v>227</v>
      </c>
      <c r="T229" s="0" t="s">
        <v>227</v>
      </c>
      <c r="U229" s="0" t="s">
        <v>102</v>
      </c>
      <c r="V229" s="0" t="s">
        <v>227</v>
      </c>
      <c r="W229" s="0" t="s">
        <v>227</v>
      </c>
      <c r="X229" s="0" t="s">
        <v>5683</v>
      </c>
      <c r="Y229" s="0" t="s">
        <v>227</v>
      </c>
      <c r="Z229" s="0" t="s">
        <v>152</v>
      </c>
      <c r="AA229" s="0" t="s">
        <v>152</v>
      </c>
      <c r="AB229" s="0" t="s">
        <v>161</v>
      </c>
      <c r="AC229" s="0" t="s">
        <v>354</v>
      </c>
      <c r="AD229" s="0" t="s">
        <v>354</v>
      </c>
      <c r="AE229" s="0" t="s">
        <v>355</v>
      </c>
      <c r="AF229" s="0" t="s">
        <v>5684</v>
      </c>
      <c r="AG229" s="0" t="s">
        <v>5685</v>
      </c>
      <c r="AH229" s="0" t="s">
        <v>6059</v>
      </c>
      <c r="AI229" s="0" t="s">
        <v>6257</v>
      </c>
      <c r="AJ229" s="0" t="s">
        <v>227</v>
      </c>
      <c r="AK229" s="0" t="s">
        <v>227</v>
      </c>
      <c r="AL229" s="0" t="s">
        <v>227</v>
      </c>
      <c r="AN229" s="0" t="s">
        <v>227</v>
      </c>
      <c r="AO229" s="0" t="s">
        <v>227</v>
      </c>
      <c r="AP229" s="0" t="s">
        <v>227</v>
      </c>
      <c r="AQ229" s="0" t="s">
        <v>227</v>
      </c>
      <c r="AR229" s="0" t="s">
        <v>227</v>
      </c>
      <c r="AS229" s="0" t="s">
        <v>227</v>
      </c>
      <c r="AT229" s="0" t="s">
        <v>227</v>
      </c>
      <c r="AU229" s="0" t="s">
        <v>227</v>
      </c>
      <c r="AV229" s="0" t="s">
        <v>227</v>
      </c>
      <c r="AW229" s="0" t="s">
        <v>227</v>
      </c>
      <c r="AX229" s="0" t="s">
        <v>227</v>
      </c>
      <c r="AY229" s="0" t="s">
        <v>227</v>
      </c>
      <c r="AZ229" s="0" t="s">
        <v>227</v>
      </c>
      <c r="BA229" s="0" t="s">
        <v>227</v>
      </c>
      <c r="BB229" s="0" t="s">
        <v>227</v>
      </c>
      <c r="BC229" s="0" t="s">
        <v>227</v>
      </c>
      <c r="BD229" s="0" t="s">
        <v>227</v>
      </c>
      <c r="BE229" s="0" t="s">
        <v>6155</v>
      </c>
      <c r="BF229" s="0" t="s">
        <v>5697</v>
      </c>
      <c r="BG229" s="0" t="s">
        <v>112</v>
      </c>
      <c r="BH229" s="0" t="s">
        <v>5690</v>
      </c>
      <c r="BI229" s="0" t="s">
        <v>5691</v>
      </c>
      <c r="BJ229" s="0" t="s">
        <v>227</v>
      </c>
      <c r="BK229" s="0" t="s">
        <v>5692</v>
      </c>
      <c r="BL229" s="0" t="s">
        <v>354</v>
      </c>
      <c r="BM229" s="0" t="s">
        <v>354</v>
      </c>
      <c r="BN229" s="0" t="s">
        <v>5693</v>
      </c>
      <c r="BO229" s="0" t="s">
        <v>5684</v>
      </c>
      <c r="BP229" s="0" t="s">
        <v>5694</v>
      </c>
      <c r="BQ229" s="0" t="s">
        <v>5692</v>
      </c>
      <c r="BR229" s="0" t="s">
        <v>5692</v>
      </c>
      <c r="BS229" s="0" t="s">
        <v>227</v>
      </c>
      <c r="BT229" s="0" t="s">
        <v>6210</v>
      </c>
      <c r="CS229" s="0" t="s">
        <v>5759</v>
      </c>
      <c r="CT229" s="0" t="s">
        <v>5679</v>
      </c>
      <c r="CU229" s="0" t="s">
        <v>5680</v>
      </c>
      <c r="CV229" s="0" t="s">
        <v>430</v>
      </c>
      <c r="CW229" s="0" t="s">
        <v>5699</v>
      </c>
      <c r="CX229" s="0" t="s">
        <v>431</v>
      </c>
      <c r="CY229" s="0" t="s">
        <v>430</v>
      </c>
      <c r="CZ229" s="0" t="s">
        <v>432</v>
      </c>
      <c r="DA229" s="0" t="s">
        <v>433</v>
      </c>
      <c r="DB229" s="0" t="s">
        <v>5700</v>
      </c>
      <c r="DC229" s="0" t="s">
        <v>373</v>
      </c>
      <c r="DD229" s="0" t="s">
        <v>290</v>
      </c>
      <c r="DE229" s="0" t="s">
        <v>1017</v>
      </c>
    </row>
    <row customHeight="1" ht="11.25">
      <c r="A230" s="1806" t="s">
        <v>227</v>
      </c>
      <c r="B230" s="0" t="s">
        <v>227</v>
      </c>
      <c r="C230" s="0" t="s">
        <v>227</v>
      </c>
      <c r="D230" s="0" t="s">
        <v>227</v>
      </c>
      <c r="E230" s="0" t="s">
        <v>227</v>
      </c>
      <c r="F230" s="0" t="s">
        <v>227</v>
      </c>
      <c r="G230" s="0" t="s">
        <v>227</v>
      </c>
      <c r="H230" s="0" t="s">
        <v>227</v>
      </c>
      <c r="I230" s="0" t="s">
        <v>6198</v>
      </c>
      <c r="J230" s="0" t="s">
        <v>227</v>
      </c>
      <c r="K230" s="0" t="s">
        <v>227</v>
      </c>
      <c r="L230" s="0" t="s">
        <v>227</v>
      </c>
      <c r="M230" s="0" t="s">
        <v>227</v>
      </c>
      <c r="N230" s="0" t="s">
        <v>227</v>
      </c>
      <c r="O230" s="0" t="s">
        <v>227</v>
      </c>
      <c r="P230" s="0" t="s">
        <v>227</v>
      </c>
      <c r="Q230" s="0" t="s">
        <v>227</v>
      </c>
      <c r="R230" s="0" t="s">
        <v>1012</v>
      </c>
      <c r="S230" s="0" t="s">
        <v>227</v>
      </c>
      <c r="T230" s="0" t="s">
        <v>227</v>
      </c>
      <c r="U230" s="0" t="s">
        <v>102</v>
      </c>
      <c r="V230" s="0" t="s">
        <v>227</v>
      </c>
      <c r="W230" s="0" t="s">
        <v>227</v>
      </c>
      <c r="X230" s="0" t="s">
        <v>5683</v>
      </c>
      <c r="Y230" s="0" t="s">
        <v>227</v>
      </c>
      <c r="Z230" s="0" t="s">
        <v>152</v>
      </c>
      <c r="AA230" s="0" t="s">
        <v>152</v>
      </c>
      <c r="AB230" s="0" t="s">
        <v>161</v>
      </c>
      <c r="AC230" s="0" t="s">
        <v>354</v>
      </c>
      <c r="AD230" s="0" t="s">
        <v>354</v>
      </c>
      <c r="AE230" s="0" t="s">
        <v>355</v>
      </c>
      <c r="AF230" s="0" t="s">
        <v>5684</v>
      </c>
      <c r="AG230" s="0" t="s">
        <v>5685</v>
      </c>
      <c r="AH230" s="0" t="s">
        <v>6059</v>
      </c>
      <c r="AI230" s="0" t="s">
        <v>6258</v>
      </c>
      <c r="AJ230" s="0" t="s">
        <v>227</v>
      </c>
      <c r="AK230" s="0" t="s">
        <v>227</v>
      </c>
      <c r="AL230" s="0" t="s">
        <v>227</v>
      </c>
      <c r="AN230" s="0" t="s">
        <v>227</v>
      </c>
      <c r="AO230" s="0" t="s">
        <v>227</v>
      </c>
      <c r="AP230" s="0" t="s">
        <v>227</v>
      </c>
      <c r="AQ230" s="0" t="s">
        <v>227</v>
      </c>
      <c r="AR230" s="0" t="s">
        <v>227</v>
      </c>
      <c r="AS230" s="0" t="s">
        <v>227</v>
      </c>
      <c r="AT230" s="0" t="s">
        <v>227</v>
      </c>
      <c r="AU230" s="0" t="s">
        <v>227</v>
      </c>
      <c r="AV230" s="0" t="s">
        <v>227</v>
      </c>
      <c r="AW230" s="0" t="s">
        <v>227</v>
      </c>
      <c r="AX230" s="0" t="s">
        <v>227</v>
      </c>
      <c r="AY230" s="0" t="s">
        <v>227</v>
      </c>
      <c r="AZ230" s="0" t="s">
        <v>227</v>
      </c>
      <c r="BA230" s="0" t="s">
        <v>227</v>
      </c>
      <c r="BB230" s="0" t="s">
        <v>227</v>
      </c>
      <c r="BC230" s="0" t="s">
        <v>227</v>
      </c>
      <c r="BD230" s="0" t="s">
        <v>227</v>
      </c>
      <c r="BE230" s="0" t="s">
        <v>6155</v>
      </c>
      <c r="BF230" s="0" t="s">
        <v>5697</v>
      </c>
      <c r="BG230" s="0" t="s">
        <v>112</v>
      </c>
      <c r="BH230" s="0" t="s">
        <v>5690</v>
      </c>
      <c r="BI230" s="0" t="s">
        <v>5691</v>
      </c>
      <c r="BJ230" s="0" t="s">
        <v>227</v>
      </c>
      <c r="BK230" s="0" t="s">
        <v>5692</v>
      </c>
      <c r="BL230" s="0" t="s">
        <v>354</v>
      </c>
      <c r="BM230" s="0" t="s">
        <v>354</v>
      </c>
      <c r="BN230" s="0" t="s">
        <v>5693</v>
      </c>
      <c r="BO230" s="0" t="s">
        <v>5684</v>
      </c>
      <c r="BP230" s="0" t="s">
        <v>5694</v>
      </c>
      <c r="BQ230" s="0" t="s">
        <v>5692</v>
      </c>
      <c r="BR230" s="0" t="s">
        <v>5692</v>
      </c>
      <c r="BS230" s="0" t="s">
        <v>227</v>
      </c>
      <c r="BT230" s="0" t="s">
        <v>6206</v>
      </c>
      <c r="CS230" s="0" t="s">
        <v>5759</v>
      </c>
      <c r="CT230" s="0" t="s">
        <v>5679</v>
      </c>
      <c r="CU230" s="0" t="s">
        <v>5680</v>
      </c>
      <c r="CV230" s="0" t="s">
        <v>430</v>
      </c>
      <c r="CW230" s="0" t="s">
        <v>5699</v>
      </c>
      <c r="CX230" s="0" t="s">
        <v>431</v>
      </c>
      <c r="CY230" s="0" t="s">
        <v>430</v>
      </c>
      <c r="CZ230" s="0" t="s">
        <v>432</v>
      </c>
      <c r="DA230" s="0" t="s">
        <v>433</v>
      </c>
      <c r="DB230" s="0" t="s">
        <v>5700</v>
      </c>
      <c r="DC230" s="0" t="s">
        <v>373</v>
      </c>
      <c r="DD230" s="0" t="s">
        <v>290</v>
      </c>
      <c r="DE230" s="0" t="s">
        <v>1013</v>
      </c>
    </row>
    <row customHeight="1" ht="11.25">
      <c r="A231" s="1806" t="s">
        <v>227</v>
      </c>
      <c r="B231" s="0" t="s">
        <v>227</v>
      </c>
      <c r="C231" s="0" t="s">
        <v>227</v>
      </c>
      <c r="D231" s="0" t="s">
        <v>227</v>
      </c>
      <c r="E231" s="0" t="s">
        <v>227</v>
      </c>
      <c r="F231" s="0" t="s">
        <v>227</v>
      </c>
      <c r="G231" s="0" t="s">
        <v>227</v>
      </c>
      <c r="H231" s="0" t="s">
        <v>227</v>
      </c>
      <c r="I231" s="0" t="s">
        <v>6198</v>
      </c>
      <c r="J231" s="0" t="s">
        <v>227</v>
      </c>
      <c r="K231" s="0" t="s">
        <v>227</v>
      </c>
      <c r="L231" s="0" t="s">
        <v>227</v>
      </c>
      <c r="M231" s="0" t="s">
        <v>227</v>
      </c>
      <c r="N231" s="0" t="s">
        <v>227</v>
      </c>
      <c r="O231" s="0" t="s">
        <v>227</v>
      </c>
      <c r="P231" s="0" t="s">
        <v>227</v>
      </c>
      <c r="Q231" s="0" t="s">
        <v>227</v>
      </c>
      <c r="R231" s="0" t="s">
        <v>1063</v>
      </c>
      <c r="S231" s="0" t="s">
        <v>227</v>
      </c>
      <c r="T231" s="0" t="s">
        <v>227</v>
      </c>
      <c r="U231" s="0" t="s">
        <v>102</v>
      </c>
      <c r="V231" s="0" t="s">
        <v>227</v>
      </c>
      <c r="W231" s="0" t="s">
        <v>227</v>
      </c>
      <c r="X231" s="0" t="s">
        <v>5683</v>
      </c>
      <c r="Y231" s="0" t="s">
        <v>227</v>
      </c>
      <c r="Z231" s="0" t="s">
        <v>152</v>
      </c>
      <c r="AA231" s="0" t="s">
        <v>152</v>
      </c>
      <c r="AB231" s="0" t="s">
        <v>161</v>
      </c>
      <c r="AC231" s="0" t="s">
        <v>354</v>
      </c>
      <c r="AD231" s="0" t="s">
        <v>354</v>
      </c>
      <c r="AE231" s="0" t="s">
        <v>355</v>
      </c>
      <c r="AF231" s="0" t="s">
        <v>5684</v>
      </c>
      <c r="AG231" s="0" t="s">
        <v>5685</v>
      </c>
      <c r="AH231" s="0" t="s">
        <v>5949</v>
      </c>
      <c r="AI231" s="0" t="s">
        <v>6259</v>
      </c>
      <c r="AJ231" s="0" t="s">
        <v>227</v>
      </c>
      <c r="AK231" s="0" t="s">
        <v>227</v>
      </c>
      <c r="AL231" s="0" t="s">
        <v>227</v>
      </c>
      <c r="AN231" s="0" t="s">
        <v>227</v>
      </c>
      <c r="AO231" s="0" t="s">
        <v>227</v>
      </c>
      <c r="AP231" s="0" t="s">
        <v>227</v>
      </c>
      <c r="AQ231" s="0" t="s">
        <v>227</v>
      </c>
      <c r="AR231" s="0" t="s">
        <v>227</v>
      </c>
      <c r="AS231" s="0" t="s">
        <v>227</v>
      </c>
      <c r="AT231" s="0" t="s">
        <v>227</v>
      </c>
      <c r="AU231" s="0" t="s">
        <v>227</v>
      </c>
      <c r="AV231" s="0" t="s">
        <v>227</v>
      </c>
      <c r="AW231" s="0" t="s">
        <v>227</v>
      </c>
      <c r="AX231" s="0" t="s">
        <v>227</v>
      </c>
      <c r="AY231" s="0" t="s">
        <v>227</v>
      </c>
      <c r="AZ231" s="0" t="s">
        <v>227</v>
      </c>
      <c r="BA231" s="0" t="s">
        <v>227</v>
      </c>
      <c r="BB231" s="0" t="s">
        <v>227</v>
      </c>
      <c r="BC231" s="0" t="s">
        <v>227</v>
      </c>
      <c r="BD231" s="0" t="s">
        <v>227</v>
      </c>
      <c r="BE231" s="0" t="s">
        <v>6155</v>
      </c>
      <c r="BF231" s="0" t="s">
        <v>5697</v>
      </c>
      <c r="BG231" s="0" t="s">
        <v>112</v>
      </c>
      <c r="BH231" s="0" t="s">
        <v>5690</v>
      </c>
      <c r="BI231" s="0" t="s">
        <v>5691</v>
      </c>
      <c r="BJ231" s="0" t="s">
        <v>227</v>
      </c>
      <c r="BK231" s="0" t="s">
        <v>5692</v>
      </c>
      <c r="BL231" s="0" t="s">
        <v>354</v>
      </c>
      <c r="BM231" s="0" t="s">
        <v>354</v>
      </c>
      <c r="BN231" s="0" t="s">
        <v>5693</v>
      </c>
      <c r="BO231" s="0" t="s">
        <v>5684</v>
      </c>
      <c r="BP231" s="0" t="s">
        <v>5694</v>
      </c>
      <c r="BQ231" s="0" t="s">
        <v>5692</v>
      </c>
      <c r="BR231" s="0" t="s">
        <v>5692</v>
      </c>
      <c r="BS231" s="0" t="s">
        <v>227</v>
      </c>
      <c r="BT231" s="0" t="s">
        <v>6206</v>
      </c>
      <c r="CS231" s="0" t="s">
        <v>5759</v>
      </c>
      <c r="CT231" s="0" t="s">
        <v>5679</v>
      </c>
      <c r="CU231" s="0" t="s">
        <v>5680</v>
      </c>
      <c r="CV231" s="0" t="s">
        <v>430</v>
      </c>
      <c r="CW231" s="0" t="s">
        <v>5699</v>
      </c>
      <c r="CX231" s="0" t="s">
        <v>431</v>
      </c>
      <c r="CY231" s="0" t="s">
        <v>430</v>
      </c>
      <c r="CZ231" s="0" t="s">
        <v>432</v>
      </c>
      <c r="DA231" s="0" t="s">
        <v>433</v>
      </c>
      <c r="DB231" s="0" t="s">
        <v>5700</v>
      </c>
      <c r="DC231" s="0" t="s">
        <v>373</v>
      </c>
      <c r="DD231" s="0" t="s">
        <v>290</v>
      </c>
      <c r="DE231" s="0" t="s">
        <v>1064</v>
      </c>
    </row>
    <row customHeight="1" ht="11.25">
      <c r="A232" s="1806" t="s">
        <v>227</v>
      </c>
      <c r="B232" s="0" t="s">
        <v>227</v>
      </c>
      <c r="C232" s="0" t="s">
        <v>227</v>
      </c>
      <c r="D232" s="0" t="s">
        <v>227</v>
      </c>
      <c r="E232" s="0" t="s">
        <v>227</v>
      </c>
      <c r="F232" s="0" t="s">
        <v>227</v>
      </c>
      <c r="G232" s="0" t="s">
        <v>227</v>
      </c>
      <c r="H232" s="0" t="s">
        <v>227</v>
      </c>
      <c r="I232" s="0" t="s">
        <v>6198</v>
      </c>
      <c r="J232" s="0" t="s">
        <v>227</v>
      </c>
      <c r="K232" s="0" t="s">
        <v>227</v>
      </c>
      <c r="L232" s="0" t="s">
        <v>227</v>
      </c>
      <c r="M232" s="0" t="s">
        <v>227</v>
      </c>
      <c r="N232" s="0" t="s">
        <v>227</v>
      </c>
      <c r="O232" s="0" t="s">
        <v>227</v>
      </c>
      <c r="P232" s="0" t="s">
        <v>227</v>
      </c>
      <c r="Q232" s="0" t="s">
        <v>227</v>
      </c>
      <c r="R232" s="0" t="s">
        <v>1067</v>
      </c>
      <c r="S232" s="0" t="s">
        <v>227</v>
      </c>
      <c r="T232" s="0" t="s">
        <v>227</v>
      </c>
      <c r="U232" s="0" t="s">
        <v>102</v>
      </c>
      <c r="V232" s="0" t="s">
        <v>227</v>
      </c>
      <c r="W232" s="0" t="s">
        <v>227</v>
      </c>
      <c r="X232" s="0" t="s">
        <v>5683</v>
      </c>
      <c r="Y232" s="0" t="s">
        <v>227</v>
      </c>
      <c r="Z232" s="0" t="s">
        <v>152</v>
      </c>
      <c r="AA232" s="0" t="s">
        <v>152</v>
      </c>
      <c r="AB232" s="0" t="s">
        <v>161</v>
      </c>
      <c r="AC232" s="0" t="s">
        <v>354</v>
      </c>
      <c r="AD232" s="0" t="s">
        <v>354</v>
      </c>
      <c r="AE232" s="0" t="s">
        <v>355</v>
      </c>
      <c r="AF232" s="0" t="s">
        <v>5684</v>
      </c>
      <c r="AG232" s="0" t="s">
        <v>5685</v>
      </c>
      <c r="AH232" s="0" t="s">
        <v>5949</v>
      </c>
      <c r="AI232" s="0" t="s">
        <v>6260</v>
      </c>
      <c r="AJ232" s="0" t="s">
        <v>227</v>
      </c>
      <c r="AK232" s="0" t="s">
        <v>227</v>
      </c>
      <c r="AL232" s="0" t="s">
        <v>227</v>
      </c>
      <c r="AN232" s="0" t="s">
        <v>227</v>
      </c>
      <c r="AO232" s="0" t="s">
        <v>227</v>
      </c>
      <c r="AP232" s="0" t="s">
        <v>227</v>
      </c>
      <c r="AQ232" s="0" t="s">
        <v>227</v>
      </c>
      <c r="AR232" s="0" t="s">
        <v>227</v>
      </c>
      <c r="AS232" s="0" t="s">
        <v>227</v>
      </c>
      <c r="AT232" s="0" t="s">
        <v>227</v>
      </c>
      <c r="AU232" s="0" t="s">
        <v>227</v>
      </c>
      <c r="AV232" s="0" t="s">
        <v>227</v>
      </c>
      <c r="AW232" s="0" t="s">
        <v>227</v>
      </c>
      <c r="AX232" s="0" t="s">
        <v>227</v>
      </c>
      <c r="AY232" s="0" t="s">
        <v>227</v>
      </c>
      <c r="AZ232" s="0" t="s">
        <v>227</v>
      </c>
      <c r="BA232" s="0" t="s">
        <v>227</v>
      </c>
      <c r="BB232" s="0" t="s">
        <v>227</v>
      </c>
      <c r="BC232" s="0" t="s">
        <v>227</v>
      </c>
      <c r="BD232" s="0" t="s">
        <v>227</v>
      </c>
      <c r="BE232" s="0" t="s">
        <v>6155</v>
      </c>
      <c r="BF232" s="0" t="s">
        <v>5697</v>
      </c>
      <c r="BG232" s="0" t="s">
        <v>112</v>
      </c>
      <c r="BH232" s="0" t="s">
        <v>5690</v>
      </c>
      <c r="BI232" s="0" t="s">
        <v>5691</v>
      </c>
      <c r="BJ232" s="0" t="s">
        <v>227</v>
      </c>
      <c r="BK232" s="0" t="s">
        <v>5692</v>
      </c>
      <c r="BL232" s="0" t="s">
        <v>354</v>
      </c>
      <c r="BM232" s="0" t="s">
        <v>354</v>
      </c>
      <c r="BN232" s="0" t="s">
        <v>5693</v>
      </c>
      <c r="BO232" s="0" t="s">
        <v>5684</v>
      </c>
      <c r="BP232" s="0" t="s">
        <v>5694</v>
      </c>
      <c r="BQ232" s="0" t="s">
        <v>5692</v>
      </c>
      <c r="BR232" s="0" t="s">
        <v>5692</v>
      </c>
      <c r="BS232" s="0" t="s">
        <v>227</v>
      </c>
      <c r="BT232" s="0" t="s">
        <v>6206</v>
      </c>
      <c r="CS232" s="0" t="s">
        <v>5759</v>
      </c>
      <c r="CT232" s="0" t="s">
        <v>5679</v>
      </c>
      <c r="CU232" s="0" t="s">
        <v>5680</v>
      </c>
      <c r="CV232" s="0" t="s">
        <v>430</v>
      </c>
      <c r="CW232" s="0" t="s">
        <v>5699</v>
      </c>
      <c r="CX232" s="0" t="s">
        <v>431</v>
      </c>
      <c r="CY232" s="0" t="s">
        <v>430</v>
      </c>
      <c r="CZ232" s="0" t="s">
        <v>432</v>
      </c>
      <c r="DA232" s="0" t="s">
        <v>433</v>
      </c>
      <c r="DB232" s="0" t="s">
        <v>5700</v>
      </c>
      <c r="DC232" s="0" t="s">
        <v>373</v>
      </c>
      <c r="DD232" s="0" t="s">
        <v>290</v>
      </c>
      <c r="DE232" s="0" t="s">
        <v>1068</v>
      </c>
    </row>
    <row customHeight="1" ht="11.25">
      <c r="A233" s="1806" t="s">
        <v>227</v>
      </c>
      <c r="B233" s="0" t="s">
        <v>227</v>
      </c>
      <c r="C233" s="0" t="s">
        <v>227</v>
      </c>
      <c r="D233" s="0" t="s">
        <v>227</v>
      </c>
      <c r="E233" s="0" t="s">
        <v>227</v>
      </c>
      <c r="F233" s="0" t="s">
        <v>227</v>
      </c>
      <c r="G233" s="0" t="s">
        <v>227</v>
      </c>
      <c r="H233" s="0" t="s">
        <v>227</v>
      </c>
      <c r="I233" s="0" t="s">
        <v>6198</v>
      </c>
      <c r="J233" s="0" t="s">
        <v>227</v>
      </c>
      <c r="K233" s="0" t="s">
        <v>227</v>
      </c>
      <c r="L233" s="0" t="s">
        <v>227</v>
      </c>
      <c r="M233" s="0" t="s">
        <v>227</v>
      </c>
      <c r="N233" s="0" t="s">
        <v>227</v>
      </c>
      <c r="O233" s="0" t="s">
        <v>227</v>
      </c>
      <c r="P233" s="0" t="s">
        <v>227</v>
      </c>
      <c r="Q233" s="0" t="s">
        <v>227</v>
      </c>
      <c r="R233" s="0" t="s">
        <v>1158</v>
      </c>
      <c r="S233" s="0" t="s">
        <v>227</v>
      </c>
      <c r="T233" s="0" t="s">
        <v>227</v>
      </c>
      <c r="U233" s="0" t="s">
        <v>102</v>
      </c>
      <c r="V233" s="0" t="s">
        <v>227</v>
      </c>
      <c r="W233" s="0" t="s">
        <v>227</v>
      </c>
      <c r="X233" s="0" t="s">
        <v>5683</v>
      </c>
      <c r="Y233" s="0" t="s">
        <v>227</v>
      </c>
      <c r="Z233" s="0" t="s">
        <v>152</v>
      </c>
      <c r="AA233" s="0" t="s">
        <v>152</v>
      </c>
      <c r="AB233" s="0" t="s">
        <v>161</v>
      </c>
      <c r="AC233" s="0" t="s">
        <v>354</v>
      </c>
      <c r="AD233" s="0" t="s">
        <v>354</v>
      </c>
      <c r="AE233" s="0" t="s">
        <v>355</v>
      </c>
      <c r="AF233" s="0" t="s">
        <v>5701</v>
      </c>
      <c r="AG233" s="0" t="s">
        <v>5702</v>
      </c>
      <c r="AH233" s="0" t="s">
        <v>5703</v>
      </c>
      <c r="AI233" s="0" t="s">
        <v>455</v>
      </c>
      <c r="AJ233" s="0" t="s">
        <v>227</v>
      </c>
      <c r="AK233" s="0" t="s">
        <v>227</v>
      </c>
      <c r="AL233" s="0" t="s">
        <v>227</v>
      </c>
      <c r="AN233" s="0" t="s">
        <v>227</v>
      </c>
      <c r="AO233" s="0" t="s">
        <v>227</v>
      </c>
      <c r="AP233" s="0" t="s">
        <v>227</v>
      </c>
      <c r="AQ233" s="0" t="s">
        <v>227</v>
      </c>
      <c r="AR233" s="0" t="s">
        <v>227</v>
      </c>
      <c r="AS233" s="0" t="s">
        <v>227</v>
      </c>
      <c r="AT233" s="0" t="s">
        <v>227</v>
      </c>
      <c r="AU233" s="0" t="s">
        <v>227</v>
      </c>
      <c r="AV233" s="0" t="s">
        <v>227</v>
      </c>
      <c r="AW233" s="0" t="s">
        <v>227</v>
      </c>
      <c r="AX233" s="0" t="s">
        <v>227</v>
      </c>
      <c r="AY233" s="0" t="s">
        <v>227</v>
      </c>
      <c r="AZ233" s="0" t="s">
        <v>227</v>
      </c>
      <c r="BA233" s="0" t="s">
        <v>227</v>
      </c>
      <c r="BB233" s="0" t="s">
        <v>227</v>
      </c>
      <c r="BC233" s="0" t="s">
        <v>227</v>
      </c>
      <c r="BD233" s="0" t="s">
        <v>227</v>
      </c>
      <c r="BE233" s="0" t="s">
        <v>6207</v>
      </c>
      <c r="BF233" s="0" t="s">
        <v>5697</v>
      </c>
      <c r="BG233" s="0" t="s">
        <v>112</v>
      </c>
      <c r="BH233" s="0" t="s">
        <v>5690</v>
      </c>
      <c r="BI233" s="0" t="s">
        <v>5691</v>
      </c>
      <c r="BJ233" s="0" t="s">
        <v>227</v>
      </c>
      <c r="BK233" s="0" t="s">
        <v>5692</v>
      </c>
      <c r="BL233" s="0" t="s">
        <v>354</v>
      </c>
      <c r="BM233" s="0" t="s">
        <v>354</v>
      </c>
      <c r="BN233" s="0" t="s">
        <v>5693</v>
      </c>
      <c r="BO233" s="0" t="s">
        <v>5701</v>
      </c>
      <c r="BP233" s="0" t="s">
        <v>5706</v>
      </c>
      <c r="BQ233" s="0" t="s">
        <v>5692</v>
      </c>
      <c r="BR233" s="0" t="s">
        <v>5692</v>
      </c>
      <c r="BS233" s="0" t="s">
        <v>227</v>
      </c>
      <c r="BT233" s="0" t="s">
        <v>6206</v>
      </c>
      <c r="CS233" s="0" t="s">
        <v>5759</v>
      </c>
      <c r="CT233" s="0" t="s">
        <v>5679</v>
      </c>
      <c r="CU233" s="0" t="s">
        <v>5680</v>
      </c>
      <c r="CV233" s="0" t="s">
        <v>430</v>
      </c>
      <c r="CW233" s="0" t="s">
        <v>5699</v>
      </c>
      <c r="CX233" s="0" t="s">
        <v>431</v>
      </c>
      <c r="CY233" s="0" t="s">
        <v>430</v>
      </c>
      <c r="CZ233" s="0" t="s">
        <v>432</v>
      </c>
      <c r="DA233" s="0" t="s">
        <v>433</v>
      </c>
      <c r="DB233" s="0" t="s">
        <v>5700</v>
      </c>
      <c r="DC233" s="0" t="s">
        <v>373</v>
      </c>
      <c r="DD233" s="0" t="s">
        <v>290</v>
      </c>
      <c r="DE233" s="0" t="s">
        <v>810</v>
      </c>
    </row>
    <row customHeight="1" ht="11.25">
      <c r="A234" s="1806" t="s">
        <v>227</v>
      </c>
      <c r="B234" s="0" t="s">
        <v>227</v>
      </c>
      <c r="C234" s="0" t="s">
        <v>227</v>
      </c>
      <c r="D234" s="0" t="s">
        <v>227</v>
      </c>
      <c r="E234" s="0" t="s">
        <v>227</v>
      </c>
      <c r="F234" s="0" t="s">
        <v>227</v>
      </c>
      <c r="G234" s="0" t="s">
        <v>227</v>
      </c>
      <c r="H234" s="0" t="s">
        <v>227</v>
      </c>
      <c r="I234" s="0" t="s">
        <v>6198</v>
      </c>
      <c r="J234" s="0" t="s">
        <v>227</v>
      </c>
      <c r="K234" s="0" t="s">
        <v>227</v>
      </c>
      <c r="L234" s="0" t="s">
        <v>227</v>
      </c>
      <c r="M234" s="0" t="s">
        <v>227</v>
      </c>
      <c r="N234" s="0" t="s">
        <v>227</v>
      </c>
      <c r="O234" s="0" t="s">
        <v>227</v>
      </c>
      <c r="P234" s="0" t="s">
        <v>227</v>
      </c>
      <c r="Q234" s="0" t="s">
        <v>227</v>
      </c>
      <c r="R234" s="0" t="s">
        <v>1138</v>
      </c>
      <c r="S234" s="0" t="s">
        <v>227</v>
      </c>
      <c r="T234" s="0" t="s">
        <v>227</v>
      </c>
      <c r="U234" s="0" t="s">
        <v>102</v>
      </c>
      <c r="V234" s="0" t="s">
        <v>227</v>
      </c>
      <c r="W234" s="0" t="s">
        <v>227</v>
      </c>
      <c r="X234" s="0" t="s">
        <v>5683</v>
      </c>
      <c r="Y234" s="0" t="s">
        <v>227</v>
      </c>
      <c r="Z234" s="0" t="s">
        <v>152</v>
      </c>
      <c r="AA234" s="0" t="s">
        <v>152</v>
      </c>
      <c r="AB234" s="0" t="s">
        <v>161</v>
      </c>
      <c r="AC234" s="0" t="s">
        <v>354</v>
      </c>
      <c r="AD234" s="0" t="s">
        <v>354</v>
      </c>
      <c r="AE234" s="0" t="s">
        <v>355</v>
      </c>
      <c r="AF234" s="0" t="s">
        <v>5701</v>
      </c>
      <c r="AG234" s="0" t="s">
        <v>5702</v>
      </c>
      <c r="AH234" s="0" t="s">
        <v>5703</v>
      </c>
      <c r="AI234" s="0" t="s">
        <v>461</v>
      </c>
      <c r="AJ234" s="0" t="s">
        <v>227</v>
      </c>
      <c r="AK234" s="0" t="s">
        <v>227</v>
      </c>
      <c r="AL234" s="0" t="s">
        <v>227</v>
      </c>
      <c r="AN234" s="0" t="s">
        <v>227</v>
      </c>
      <c r="AO234" s="0" t="s">
        <v>227</v>
      </c>
      <c r="AP234" s="0" t="s">
        <v>227</v>
      </c>
      <c r="AQ234" s="0" t="s">
        <v>227</v>
      </c>
      <c r="AR234" s="0" t="s">
        <v>227</v>
      </c>
      <c r="AS234" s="0" t="s">
        <v>227</v>
      </c>
      <c r="AT234" s="0" t="s">
        <v>227</v>
      </c>
      <c r="AU234" s="0" t="s">
        <v>227</v>
      </c>
      <c r="AV234" s="0" t="s">
        <v>227</v>
      </c>
      <c r="AW234" s="0" t="s">
        <v>227</v>
      </c>
      <c r="AX234" s="0" t="s">
        <v>227</v>
      </c>
      <c r="AY234" s="0" t="s">
        <v>227</v>
      </c>
      <c r="AZ234" s="0" t="s">
        <v>227</v>
      </c>
      <c r="BA234" s="0" t="s">
        <v>227</v>
      </c>
      <c r="BB234" s="0" t="s">
        <v>227</v>
      </c>
      <c r="BC234" s="0" t="s">
        <v>227</v>
      </c>
      <c r="BD234" s="0" t="s">
        <v>227</v>
      </c>
      <c r="BE234" s="0" t="s">
        <v>6207</v>
      </c>
      <c r="BF234" s="0" t="s">
        <v>5697</v>
      </c>
      <c r="BG234" s="0" t="s">
        <v>112</v>
      </c>
      <c r="BH234" s="0" t="s">
        <v>5690</v>
      </c>
      <c r="BI234" s="0" t="s">
        <v>5691</v>
      </c>
      <c r="BJ234" s="0" t="s">
        <v>227</v>
      </c>
      <c r="BK234" s="0" t="s">
        <v>5692</v>
      </c>
      <c r="BL234" s="0" t="s">
        <v>354</v>
      </c>
      <c r="BM234" s="0" t="s">
        <v>354</v>
      </c>
      <c r="BN234" s="0" t="s">
        <v>5693</v>
      </c>
      <c r="BO234" s="0" t="s">
        <v>5701</v>
      </c>
      <c r="BP234" s="0" t="s">
        <v>5706</v>
      </c>
      <c r="BQ234" s="0" t="s">
        <v>5692</v>
      </c>
      <c r="BR234" s="0" t="s">
        <v>5692</v>
      </c>
      <c r="BS234" s="0" t="s">
        <v>227</v>
      </c>
      <c r="BT234" s="0" t="s">
        <v>6206</v>
      </c>
      <c r="CS234" s="0" t="s">
        <v>5759</v>
      </c>
      <c r="CT234" s="0" t="s">
        <v>5679</v>
      </c>
      <c r="CU234" s="0" t="s">
        <v>5680</v>
      </c>
      <c r="CV234" s="0" t="s">
        <v>430</v>
      </c>
      <c r="CW234" s="0" t="s">
        <v>5699</v>
      </c>
      <c r="CX234" s="0" t="s">
        <v>431</v>
      </c>
      <c r="CY234" s="0" t="s">
        <v>430</v>
      </c>
      <c r="CZ234" s="0" t="s">
        <v>432</v>
      </c>
      <c r="DA234" s="0" t="s">
        <v>433</v>
      </c>
      <c r="DB234" s="0" t="s">
        <v>5700</v>
      </c>
      <c r="DC234" s="0" t="s">
        <v>373</v>
      </c>
      <c r="DD234" s="0" t="s">
        <v>290</v>
      </c>
      <c r="DE234" s="0" t="s">
        <v>774</v>
      </c>
    </row>
    <row customHeight="1" ht="11.25">
      <c r="A235" s="1806" t="s">
        <v>227</v>
      </c>
      <c r="B235" s="0" t="s">
        <v>227</v>
      </c>
      <c r="C235" s="0" t="s">
        <v>227</v>
      </c>
      <c r="D235" s="0" t="s">
        <v>227</v>
      </c>
      <c r="E235" s="0" t="s">
        <v>227</v>
      </c>
      <c r="F235" s="0" t="s">
        <v>227</v>
      </c>
      <c r="G235" s="0" t="s">
        <v>227</v>
      </c>
      <c r="H235" s="0" t="s">
        <v>227</v>
      </c>
      <c r="I235" s="0" t="s">
        <v>6198</v>
      </c>
      <c r="J235" s="0" t="s">
        <v>227</v>
      </c>
      <c r="K235" s="0" t="s">
        <v>227</v>
      </c>
      <c r="L235" s="0" t="s">
        <v>227</v>
      </c>
      <c r="M235" s="0" t="s">
        <v>227</v>
      </c>
      <c r="N235" s="0" t="s">
        <v>227</v>
      </c>
      <c r="O235" s="0" t="s">
        <v>227</v>
      </c>
      <c r="P235" s="0" t="s">
        <v>227</v>
      </c>
      <c r="Q235" s="0" t="s">
        <v>227</v>
      </c>
      <c r="R235" s="0" t="s">
        <v>1008</v>
      </c>
      <c r="S235" s="0" t="s">
        <v>227</v>
      </c>
      <c r="T235" s="0" t="s">
        <v>227</v>
      </c>
      <c r="U235" s="0" t="s">
        <v>102</v>
      </c>
      <c r="V235" s="0" t="s">
        <v>227</v>
      </c>
      <c r="W235" s="0" t="s">
        <v>227</v>
      </c>
      <c r="X235" s="0" t="s">
        <v>5683</v>
      </c>
      <c r="Y235" s="0" t="s">
        <v>227</v>
      </c>
      <c r="Z235" s="0" t="s">
        <v>152</v>
      </c>
      <c r="AA235" s="0" t="s">
        <v>152</v>
      </c>
      <c r="AB235" s="0" t="s">
        <v>161</v>
      </c>
      <c r="AC235" s="0" t="s">
        <v>354</v>
      </c>
      <c r="AD235" s="0" t="s">
        <v>354</v>
      </c>
      <c r="AE235" s="0" t="s">
        <v>355</v>
      </c>
      <c r="AF235" s="0" t="s">
        <v>5684</v>
      </c>
      <c r="AG235" s="0" t="s">
        <v>5685</v>
      </c>
      <c r="AH235" s="0" t="s">
        <v>6059</v>
      </c>
      <c r="AI235" s="0" t="s">
        <v>6261</v>
      </c>
      <c r="AJ235" s="0" t="s">
        <v>227</v>
      </c>
      <c r="AK235" s="0" t="s">
        <v>227</v>
      </c>
      <c r="AL235" s="0" t="s">
        <v>227</v>
      </c>
      <c r="AN235" s="0" t="s">
        <v>227</v>
      </c>
      <c r="AO235" s="0" t="s">
        <v>227</v>
      </c>
      <c r="AP235" s="0" t="s">
        <v>227</v>
      </c>
      <c r="AQ235" s="0" t="s">
        <v>227</v>
      </c>
      <c r="AR235" s="0" t="s">
        <v>227</v>
      </c>
      <c r="AS235" s="0" t="s">
        <v>227</v>
      </c>
      <c r="AT235" s="0" t="s">
        <v>227</v>
      </c>
      <c r="AU235" s="0" t="s">
        <v>227</v>
      </c>
      <c r="AV235" s="0" t="s">
        <v>227</v>
      </c>
      <c r="AW235" s="0" t="s">
        <v>227</v>
      </c>
      <c r="AX235" s="0" t="s">
        <v>227</v>
      </c>
      <c r="AY235" s="0" t="s">
        <v>227</v>
      </c>
      <c r="AZ235" s="0" t="s">
        <v>227</v>
      </c>
      <c r="BA235" s="0" t="s">
        <v>227</v>
      </c>
      <c r="BB235" s="0" t="s">
        <v>227</v>
      </c>
      <c r="BC235" s="0" t="s">
        <v>227</v>
      </c>
      <c r="BD235" s="0" t="s">
        <v>227</v>
      </c>
      <c r="BE235" s="0" t="s">
        <v>6155</v>
      </c>
      <c r="BF235" s="0" t="s">
        <v>5697</v>
      </c>
      <c r="BG235" s="0" t="s">
        <v>112</v>
      </c>
      <c r="BH235" s="0" t="s">
        <v>5690</v>
      </c>
      <c r="BI235" s="0" t="s">
        <v>5691</v>
      </c>
      <c r="BJ235" s="0" t="s">
        <v>227</v>
      </c>
      <c r="BK235" s="0" t="s">
        <v>5692</v>
      </c>
      <c r="BL235" s="0" t="s">
        <v>354</v>
      </c>
      <c r="BM235" s="0" t="s">
        <v>354</v>
      </c>
      <c r="BN235" s="0" t="s">
        <v>5693</v>
      </c>
      <c r="BO235" s="0" t="s">
        <v>5684</v>
      </c>
      <c r="BP235" s="0" t="s">
        <v>5694</v>
      </c>
      <c r="BQ235" s="0" t="s">
        <v>5692</v>
      </c>
      <c r="BR235" s="0" t="s">
        <v>5692</v>
      </c>
      <c r="BS235" s="0" t="s">
        <v>227</v>
      </c>
      <c r="BT235" s="0" t="s">
        <v>6210</v>
      </c>
      <c r="CS235" s="0" t="s">
        <v>5759</v>
      </c>
      <c r="CT235" s="0" t="s">
        <v>5679</v>
      </c>
      <c r="CU235" s="0" t="s">
        <v>5680</v>
      </c>
      <c r="CV235" s="0" t="s">
        <v>430</v>
      </c>
      <c r="CW235" s="0" t="s">
        <v>5699</v>
      </c>
      <c r="CX235" s="0" t="s">
        <v>431</v>
      </c>
      <c r="CY235" s="0" t="s">
        <v>430</v>
      </c>
      <c r="CZ235" s="0" t="s">
        <v>432</v>
      </c>
      <c r="DA235" s="0" t="s">
        <v>433</v>
      </c>
      <c r="DB235" s="0" t="s">
        <v>5700</v>
      </c>
      <c r="DC235" s="0" t="s">
        <v>373</v>
      </c>
      <c r="DD235" s="0" t="s">
        <v>290</v>
      </c>
      <c r="DE235" s="0" t="s">
        <v>1009</v>
      </c>
    </row>
    <row customHeight="1" ht="11.25">
      <c r="A236" s="1806" t="s">
        <v>227</v>
      </c>
      <c r="B236" s="0" t="s">
        <v>227</v>
      </c>
      <c r="C236" s="0" t="s">
        <v>227</v>
      </c>
      <c r="D236" s="0" t="s">
        <v>227</v>
      </c>
      <c r="E236" s="0" t="s">
        <v>227</v>
      </c>
      <c r="F236" s="0" t="s">
        <v>227</v>
      </c>
      <c r="G236" s="0" t="s">
        <v>227</v>
      </c>
      <c r="H236" s="0" t="s">
        <v>227</v>
      </c>
      <c r="I236" s="0" t="s">
        <v>6198</v>
      </c>
      <c r="J236" s="0" t="s">
        <v>227</v>
      </c>
      <c r="K236" s="0" t="s">
        <v>227</v>
      </c>
      <c r="L236" s="0" t="s">
        <v>227</v>
      </c>
      <c r="M236" s="0" t="s">
        <v>227</v>
      </c>
      <c r="N236" s="0" t="s">
        <v>227</v>
      </c>
      <c r="O236" s="0" t="s">
        <v>227</v>
      </c>
      <c r="P236" s="0" t="s">
        <v>227</v>
      </c>
      <c r="Q236" s="0" t="s">
        <v>227</v>
      </c>
      <c r="R236" s="0" t="s">
        <v>1117</v>
      </c>
      <c r="S236" s="0" t="s">
        <v>227</v>
      </c>
      <c r="T236" s="0" t="s">
        <v>227</v>
      </c>
      <c r="U236" s="0" t="s">
        <v>102</v>
      </c>
      <c r="V236" s="0" t="s">
        <v>227</v>
      </c>
      <c r="W236" s="0" t="s">
        <v>227</v>
      </c>
      <c r="X236" s="0" t="s">
        <v>5683</v>
      </c>
      <c r="Y236" s="0" t="s">
        <v>227</v>
      </c>
      <c r="Z236" s="0" t="s">
        <v>152</v>
      </c>
      <c r="AA236" s="0" t="s">
        <v>152</v>
      </c>
      <c r="AB236" s="0" t="s">
        <v>161</v>
      </c>
      <c r="AC236" s="0" t="s">
        <v>354</v>
      </c>
      <c r="AD236" s="0" t="s">
        <v>354</v>
      </c>
      <c r="AE236" s="0" t="s">
        <v>355</v>
      </c>
      <c r="AF236" s="0" t="s">
        <v>5684</v>
      </c>
      <c r="AG236" s="0" t="s">
        <v>5685</v>
      </c>
      <c r="AH236" s="0" t="s">
        <v>5809</v>
      </c>
      <c r="AI236" s="0" t="s">
        <v>6262</v>
      </c>
      <c r="AJ236" s="0" t="s">
        <v>227</v>
      </c>
      <c r="AK236" s="0" t="s">
        <v>227</v>
      </c>
      <c r="AL236" s="0" t="s">
        <v>227</v>
      </c>
      <c r="AN236" s="0" t="s">
        <v>227</v>
      </c>
      <c r="AO236" s="0" t="s">
        <v>227</v>
      </c>
      <c r="AP236" s="0" t="s">
        <v>227</v>
      </c>
      <c r="AQ236" s="0" t="s">
        <v>227</v>
      </c>
      <c r="AR236" s="0" t="s">
        <v>227</v>
      </c>
      <c r="AS236" s="0" t="s">
        <v>227</v>
      </c>
      <c r="AT236" s="0" t="s">
        <v>227</v>
      </c>
      <c r="AU236" s="0" t="s">
        <v>227</v>
      </c>
      <c r="AV236" s="0" t="s">
        <v>227</v>
      </c>
      <c r="AW236" s="0" t="s">
        <v>227</v>
      </c>
      <c r="AX236" s="0" t="s">
        <v>227</v>
      </c>
      <c r="AY236" s="0" t="s">
        <v>227</v>
      </c>
      <c r="AZ236" s="0" t="s">
        <v>227</v>
      </c>
      <c r="BA236" s="0" t="s">
        <v>227</v>
      </c>
      <c r="BB236" s="0" t="s">
        <v>227</v>
      </c>
      <c r="BC236" s="0" t="s">
        <v>227</v>
      </c>
      <c r="BD236" s="0" t="s">
        <v>227</v>
      </c>
      <c r="BE236" s="0" t="s">
        <v>6216</v>
      </c>
      <c r="BF236" s="0" t="s">
        <v>5697</v>
      </c>
      <c r="BG236" s="0" t="s">
        <v>112</v>
      </c>
      <c r="BH236" s="0" t="s">
        <v>5690</v>
      </c>
      <c r="BI236" s="0" t="s">
        <v>5691</v>
      </c>
      <c r="BJ236" s="0" t="s">
        <v>227</v>
      </c>
      <c r="BK236" s="0" t="s">
        <v>5692</v>
      </c>
      <c r="BL236" s="0" t="s">
        <v>354</v>
      </c>
      <c r="BM236" s="0" t="s">
        <v>354</v>
      </c>
      <c r="BN236" s="0" t="s">
        <v>5693</v>
      </c>
      <c r="BO236" s="0" t="s">
        <v>5684</v>
      </c>
      <c r="BP236" s="0" t="s">
        <v>5694</v>
      </c>
      <c r="BQ236" s="0" t="s">
        <v>5692</v>
      </c>
      <c r="BR236" s="0" t="s">
        <v>5692</v>
      </c>
      <c r="BS236" s="0" t="s">
        <v>227</v>
      </c>
      <c r="BT236" s="0" t="s">
        <v>6210</v>
      </c>
      <c r="CS236" s="0" t="s">
        <v>5759</v>
      </c>
      <c r="CT236" s="0" t="s">
        <v>5679</v>
      </c>
      <c r="CU236" s="0" t="s">
        <v>5680</v>
      </c>
      <c r="CV236" s="0" t="s">
        <v>430</v>
      </c>
      <c r="CW236" s="0" t="s">
        <v>5699</v>
      </c>
      <c r="CX236" s="0" t="s">
        <v>431</v>
      </c>
      <c r="CY236" s="0" t="s">
        <v>430</v>
      </c>
      <c r="CZ236" s="0" t="s">
        <v>432</v>
      </c>
      <c r="DA236" s="0" t="s">
        <v>433</v>
      </c>
      <c r="DB236" s="0" t="s">
        <v>5700</v>
      </c>
      <c r="DC236" s="0" t="s">
        <v>373</v>
      </c>
      <c r="DD236" s="0" t="s">
        <v>290</v>
      </c>
      <c r="DE236" s="0" t="s">
        <v>1118</v>
      </c>
    </row>
    <row customHeight="1" ht="11.25">
      <c r="A237" s="1806" t="s">
        <v>227</v>
      </c>
      <c r="B237" s="0" t="s">
        <v>227</v>
      </c>
      <c r="C237" s="0" t="s">
        <v>227</v>
      </c>
      <c r="D237" s="0" t="s">
        <v>227</v>
      </c>
      <c r="E237" s="0" t="s">
        <v>227</v>
      </c>
      <c r="F237" s="0" t="s">
        <v>227</v>
      </c>
      <c r="G237" s="0" t="s">
        <v>227</v>
      </c>
      <c r="H237" s="0" t="s">
        <v>227</v>
      </c>
      <c r="I237" s="0" t="s">
        <v>6198</v>
      </c>
      <c r="J237" s="0" t="s">
        <v>227</v>
      </c>
      <c r="K237" s="0" t="s">
        <v>227</v>
      </c>
      <c r="L237" s="0" t="s">
        <v>227</v>
      </c>
      <c r="M237" s="0" t="s">
        <v>227</v>
      </c>
      <c r="N237" s="0" t="s">
        <v>227</v>
      </c>
      <c r="O237" s="0" t="s">
        <v>227</v>
      </c>
      <c r="P237" s="0" t="s">
        <v>227</v>
      </c>
      <c r="Q237" s="0" t="s">
        <v>227</v>
      </c>
      <c r="R237" s="0" t="s">
        <v>1113</v>
      </c>
      <c r="S237" s="0" t="s">
        <v>227</v>
      </c>
      <c r="T237" s="0" t="s">
        <v>227</v>
      </c>
      <c r="U237" s="0" t="s">
        <v>102</v>
      </c>
      <c r="V237" s="0" t="s">
        <v>227</v>
      </c>
      <c r="W237" s="0" t="s">
        <v>227</v>
      </c>
      <c r="X237" s="0" t="s">
        <v>5683</v>
      </c>
      <c r="Y237" s="0" t="s">
        <v>227</v>
      </c>
      <c r="Z237" s="0" t="s">
        <v>152</v>
      </c>
      <c r="AA237" s="0" t="s">
        <v>152</v>
      </c>
      <c r="AB237" s="0" t="s">
        <v>161</v>
      </c>
      <c r="AC237" s="0" t="s">
        <v>354</v>
      </c>
      <c r="AD237" s="0" t="s">
        <v>354</v>
      </c>
      <c r="AE237" s="0" t="s">
        <v>355</v>
      </c>
      <c r="AF237" s="0" t="s">
        <v>5684</v>
      </c>
      <c r="AG237" s="0" t="s">
        <v>5685</v>
      </c>
      <c r="AH237" s="0" t="s">
        <v>5809</v>
      </c>
      <c r="AI237" s="0" t="s">
        <v>623</v>
      </c>
      <c r="AJ237" s="0" t="s">
        <v>227</v>
      </c>
      <c r="AK237" s="0" t="s">
        <v>227</v>
      </c>
      <c r="AL237" s="0" t="s">
        <v>227</v>
      </c>
      <c r="AN237" s="0" t="s">
        <v>227</v>
      </c>
      <c r="AO237" s="0" t="s">
        <v>227</v>
      </c>
      <c r="AP237" s="0" t="s">
        <v>227</v>
      </c>
      <c r="AQ237" s="0" t="s">
        <v>227</v>
      </c>
      <c r="AR237" s="0" t="s">
        <v>227</v>
      </c>
      <c r="AS237" s="0" t="s">
        <v>227</v>
      </c>
      <c r="AT237" s="0" t="s">
        <v>227</v>
      </c>
      <c r="AU237" s="0" t="s">
        <v>227</v>
      </c>
      <c r="AV237" s="0" t="s">
        <v>227</v>
      </c>
      <c r="AW237" s="0" t="s">
        <v>227</v>
      </c>
      <c r="AX237" s="0" t="s">
        <v>227</v>
      </c>
      <c r="AY237" s="0" t="s">
        <v>227</v>
      </c>
      <c r="AZ237" s="0" t="s">
        <v>227</v>
      </c>
      <c r="BA237" s="0" t="s">
        <v>227</v>
      </c>
      <c r="BB237" s="0" t="s">
        <v>227</v>
      </c>
      <c r="BC237" s="0" t="s">
        <v>227</v>
      </c>
      <c r="BD237" s="0" t="s">
        <v>227</v>
      </c>
      <c r="BE237" s="0" t="s">
        <v>6155</v>
      </c>
      <c r="BF237" s="0" t="s">
        <v>5697</v>
      </c>
      <c r="BG237" s="0" t="s">
        <v>112</v>
      </c>
      <c r="BH237" s="0" t="s">
        <v>5690</v>
      </c>
      <c r="BI237" s="0" t="s">
        <v>5691</v>
      </c>
      <c r="BJ237" s="0" t="s">
        <v>227</v>
      </c>
      <c r="BK237" s="0" t="s">
        <v>5692</v>
      </c>
      <c r="BL237" s="0" t="s">
        <v>354</v>
      </c>
      <c r="BM237" s="0" t="s">
        <v>354</v>
      </c>
      <c r="BN237" s="0" t="s">
        <v>5693</v>
      </c>
      <c r="BO237" s="0" t="s">
        <v>5684</v>
      </c>
      <c r="BP237" s="0" t="s">
        <v>5694</v>
      </c>
      <c r="BQ237" s="0" t="s">
        <v>5692</v>
      </c>
      <c r="BR237" s="0" t="s">
        <v>5692</v>
      </c>
      <c r="BS237" s="0" t="s">
        <v>227</v>
      </c>
      <c r="BT237" s="0" t="s">
        <v>6206</v>
      </c>
      <c r="CS237" s="0" t="s">
        <v>5759</v>
      </c>
      <c r="CT237" s="0" t="s">
        <v>5679</v>
      </c>
      <c r="CU237" s="0" t="s">
        <v>5680</v>
      </c>
      <c r="CV237" s="0" t="s">
        <v>430</v>
      </c>
      <c r="CW237" s="0" t="s">
        <v>5699</v>
      </c>
      <c r="CX237" s="0" t="s">
        <v>431</v>
      </c>
      <c r="CY237" s="0" t="s">
        <v>430</v>
      </c>
      <c r="CZ237" s="0" t="s">
        <v>432</v>
      </c>
      <c r="DA237" s="0" t="s">
        <v>433</v>
      </c>
      <c r="DB237" s="0" t="s">
        <v>5700</v>
      </c>
      <c r="DC237" s="0" t="s">
        <v>373</v>
      </c>
      <c r="DD237" s="0" t="s">
        <v>290</v>
      </c>
      <c r="DE237" s="0" t="s">
        <v>1114</v>
      </c>
    </row>
    <row customHeight="1" ht="11.25">
      <c r="A238" s="1806" t="s">
        <v>227</v>
      </c>
      <c r="B238" s="0" t="s">
        <v>227</v>
      </c>
      <c r="C238" s="0" t="s">
        <v>227</v>
      </c>
      <c r="D238" s="0" t="s">
        <v>227</v>
      </c>
      <c r="E238" s="0" t="s">
        <v>227</v>
      </c>
      <c r="F238" s="0" t="s">
        <v>227</v>
      </c>
      <c r="G238" s="0" t="s">
        <v>227</v>
      </c>
      <c r="H238" s="0" t="s">
        <v>227</v>
      </c>
      <c r="I238" s="0" t="s">
        <v>6198</v>
      </c>
      <c r="J238" s="0" t="s">
        <v>227</v>
      </c>
      <c r="K238" s="0" t="s">
        <v>227</v>
      </c>
      <c r="L238" s="0" t="s">
        <v>227</v>
      </c>
      <c r="M238" s="0" t="s">
        <v>227</v>
      </c>
      <c r="N238" s="0" t="s">
        <v>227</v>
      </c>
      <c r="O238" s="0" t="s">
        <v>227</v>
      </c>
      <c r="P238" s="0" t="s">
        <v>227</v>
      </c>
      <c r="Q238" s="0" t="s">
        <v>227</v>
      </c>
      <c r="R238" s="0" t="s">
        <v>985</v>
      </c>
      <c r="S238" s="0" t="s">
        <v>227</v>
      </c>
      <c r="T238" s="0" t="s">
        <v>227</v>
      </c>
      <c r="U238" s="0" t="s">
        <v>102</v>
      </c>
      <c r="V238" s="0" t="s">
        <v>227</v>
      </c>
      <c r="W238" s="0" t="s">
        <v>227</v>
      </c>
      <c r="X238" s="0" t="s">
        <v>5683</v>
      </c>
      <c r="Y238" s="0" t="s">
        <v>227</v>
      </c>
      <c r="Z238" s="0" t="s">
        <v>152</v>
      </c>
      <c r="AA238" s="0" t="s">
        <v>152</v>
      </c>
      <c r="AB238" s="0" t="s">
        <v>161</v>
      </c>
      <c r="AC238" s="0" t="s">
        <v>354</v>
      </c>
      <c r="AD238" s="0" t="s">
        <v>354</v>
      </c>
      <c r="AE238" s="0" t="s">
        <v>355</v>
      </c>
      <c r="AF238" s="0" t="s">
        <v>5684</v>
      </c>
      <c r="AG238" s="0" t="s">
        <v>5685</v>
      </c>
      <c r="AH238" s="0" t="s">
        <v>6186</v>
      </c>
      <c r="AI238" s="0" t="s">
        <v>5692</v>
      </c>
      <c r="AJ238" s="0" t="s">
        <v>227</v>
      </c>
      <c r="AK238" s="0" t="s">
        <v>227</v>
      </c>
      <c r="AL238" s="0" t="s">
        <v>227</v>
      </c>
      <c r="AN238" s="0" t="s">
        <v>227</v>
      </c>
      <c r="AO238" s="0" t="s">
        <v>227</v>
      </c>
      <c r="AP238" s="0" t="s">
        <v>227</v>
      </c>
      <c r="AQ238" s="0" t="s">
        <v>227</v>
      </c>
      <c r="AR238" s="0" t="s">
        <v>227</v>
      </c>
      <c r="AS238" s="0" t="s">
        <v>227</v>
      </c>
      <c r="AT238" s="0" t="s">
        <v>227</v>
      </c>
      <c r="AU238" s="0" t="s">
        <v>227</v>
      </c>
      <c r="AV238" s="0" t="s">
        <v>227</v>
      </c>
      <c r="AW238" s="0" t="s">
        <v>227</v>
      </c>
      <c r="AX238" s="0" t="s">
        <v>227</v>
      </c>
      <c r="AY238" s="0" t="s">
        <v>227</v>
      </c>
      <c r="AZ238" s="0" t="s">
        <v>227</v>
      </c>
      <c r="BA238" s="0" t="s">
        <v>227</v>
      </c>
      <c r="BB238" s="0" t="s">
        <v>227</v>
      </c>
      <c r="BC238" s="0" t="s">
        <v>227</v>
      </c>
      <c r="BD238" s="0" t="s">
        <v>227</v>
      </c>
      <c r="BE238" s="0" t="s">
        <v>6155</v>
      </c>
      <c r="BF238" s="0" t="s">
        <v>5697</v>
      </c>
      <c r="BG238" s="0" t="s">
        <v>112</v>
      </c>
      <c r="BH238" s="0" t="s">
        <v>5690</v>
      </c>
      <c r="BI238" s="0" t="s">
        <v>5691</v>
      </c>
      <c r="BJ238" s="0" t="s">
        <v>227</v>
      </c>
      <c r="BK238" s="0" t="s">
        <v>5692</v>
      </c>
      <c r="BL238" s="0" t="s">
        <v>354</v>
      </c>
      <c r="BM238" s="0" t="s">
        <v>354</v>
      </c>
      <c r="BN238" s="0" t="s">
        <v>5693</v>
      </c>
      <c r="BO238" s="0" t="s">
        <v>5684</v>
      </c>
      <c r="BP238" s="0" t="s">
        <v>5694</v>
      </c>
      <c r="BQ238" s="0" t="s">
        <v>5692</v>
      </c>
      <c r="BR238" s="0" t="s">
        <v>5692</v>
      </c>
      <c r="BS238" s="0" t="s">
        <v>227</v>
      </c>
      <c r="BT238" s="0" t="s">
        <v>5695</v>
      </c>
      <c r="CS238" s="0" t="s">
        <v>6083</v>
      </c>
      <c r="CT238" s="0" t="s">
        <v>5679</v>
      </c>
      <c r="CU238" s="0" t="s">
        <v>5680</v>
      </c>
      <c r="CV238" s="0" t="s">
        <v>430</v>
      </c>
      <c r="CW238" s="0" t="s">
        <v>5699</v>
      </c>
      <c r="CX238" s="0" t="s">
        <v>431</v>
      </c>
      <c r="CY238" s="0" t="s">
        <v>430</v>
      </c>
      <c r="CZ238" s="0" t="s">
        <v>432</v>
      </c>
      <c r="DA238" s="0" t="s">
        <v>433</v>
      </c>
      <c r="DB238" s="0" t="s">
        <v>5700</v>
      </c>
      <c r="DC238" s="0" t="s">
        <v>373</v>
      </c>
      <c r="DD238" s="0" t="s">
        <v>290</v>
      </c>
      <c r="DE238" s="0" t="s">
        <v>986</v>
      </c>
    </row>
    <row customHeight="1" ht="11.25">
      <c r="A239" s="1806" t="s">
        <v>227</v>
      </c>
      <c r="B239" s="0" t="s">
        <v>227</v>
      </c>
      <c r="C239" s="0" t="s">
        <v>227</v>
      </c>
      <c r="D239" s="0" t="s">
        <v>227</v>
      </c>
      <c r="E239" s="0" t="s">
        <v>227</v>
      </c>
      <c r="F239" s="0" t="s">
        <v>227</v>
      </c>
      <c r="G239" s="0" t="s">
        <v>227</v>
      </c>
      <c r="H239" s="0" t="s">
        <v>227</v>
      </c>
      <c r="I239" s="0" t="s">
        <v>6198</v>
      </c>
      <c r="J239" s="0" t="s">
        <v>227</v>
      </c>
      <c r="K239" s="0" t="s">
        <v>227</v>
      </c>
      <c r="L239" s="0" t="s">
        <v>227</v>
      </c>
      <c r="M239" s="0" t="s">
        <v>227</v>
      </c>
      <c r="N239" s="0" t="s">
        <v>227</v>
      </c>
      <c r="O239" s="0" t="s">
        <v>227</v>
      </c>
      <c r="P239" s="0" t="s">
        <v>227</v>
      </c>
      <c r="Q239" s="0" t="s">
        <v>227</v>
      </c>
      <c r="R239" s="0" t="s">
        <v>1071</v>
      </c>
      <c r="S239" s="0" t="s">
        <v>227</v>
      </c>
      <c r="T239" s="0" t="s">
        <v>227</v>
      </c>
      <c r="U239" s="0" t="s">
        <v>102</v>
      </c>
      <c r="V239" s="0" t="s">
        <v>227</v>
      </c>
      <c r="W239" s="0" t="s">
        <v>227</v>
      </c>
      <c r="X239" s="0" t="s">
        <v>5683</v>
      </c>
      <c r="Y239" s="0" t="s">
        <v>227</v>
      </c>
      <c r="Z239" s="0" t="s">
        <v>152</v>
      </c>
      <c r="AA239" s="0" t="s">
        <v>152</v>
      </c>
      <c r="AB239" s="0" t="s">
        <v>161</v>
      </c>
      <c r="AC239" s="0" t="s">
        <v>354</v>
      </c>
      <c r="AD239" s="0" t="s">
        <v>354</v>
      </c>
      <c r="AE239" s="0" t="s">
        <v>355</v>
      </c>
      <c r="AF239" s="0" t="s">
        <v>5684</v>
      </c>
      <c r="AG239" s="0" t="s">
        <v>5685</v>
      </c>
      <c r="AH239" s="0" t="s">
        <v>5949</v>
      </c>
      <c r="AI239" s="0" t="s">
        <v>593</v>
      </c>
      <c r="AJ239" s="0" t="s">
        <v>227</v>
      </c>
      <c r="AK239" s="0" t="s">
        <v>227</v>
      </c>
      <c r="AL239" s="0" t="s">
        <v>227</v>
      </c>
      <c r="AN239" s="0" t="s">
        <v>227</v>
      </c>
      <c r="AO239" s="0" t="s">
        <v>227</v>
      </c>
      <c r="AP239" s="0" t="s">
        <v>227</v>
      </c>
      <c r="AQ239" s="0" t="s">
        <v>227</v>
      </c>
      <c r="AR239" s="0" t="s">
        <v>227</v>
      </c>
      <c r="AS239" s="0" t="s">
        <v>227</v>
      </c>
      <c r="AT239" s="0" t="s">
        <v>227</v>
      </c>
      <c r="AU239" s="0" t="s">
        <v>227</v>
      </c>
      <c r="AV239" s="0" t="s">
        <v>227</v>
      </c>
      <c r="AW239" s="0" t="s">
        <v>227</v>
      </c>
      <c r="AX239" s="0" t="s">
        <v>227</v>
      </c>
      <c r="AY239" s="0" t="s">
        <v>227</v>
      </c>
      <c r="AZ239" s="0" t="s">
        <v>227</v>
      </c>
      <c r="BA239" s="0" t="s">
        <v>227</v>
      </c>
      <c r="BB239" s="0" t="s">
        <v>227</v>
      </c>
      <c r="BC239" s="0" t="s">
        <v>227</v>
      </c>
      <c r="BD239" s="0" t="s">
        <v>227</v>
      </c>
      <c r="BE239" s="0" t="s">
        <v>6207</v>
      </c>
      <c r="BF239" s="0" t="s">
        <v>5697</v>
      </c>
      <c r="BG239" s="0" t="s">
        <v>112</v>
      </c>
      <c r="BH239" s="0" t="s">
        <v>5690</v>
      </c>
      <c r="BI239" s="0" t="s">
        <v>5691</v>
      </c>
      <c r="BJ239" s="0" t="s">
        <v>227</v>
      </c>
      <c r="BK239" s="0" t="s">
        <v>5692</v>
      </c>
      <c r="BL239" s="0" t="s">
        <v>354</v>
      </c>
      <c r="BM239" s="0" t="s">
        <v>354</v>
      </c>
      <c r="BN239" s="0" t="s">
        <v>5693</v>
      </c>
      <c r="BO239" s="0" t="s">
        <v>5684</v>
      </c>
      <c r="BP239" s="0" t="s">
        <v>5694</v>
      </c>
      <c r="BQ239" s="0" t="s">
        <v>5692</v>
      </c>
      <c r="BR239" s="0" t="s">
        <v>5692</v>
      </c>
      <c r="BS239" s="0" t="s">
        <v>227</v>
      </c>
      <c r="BT239" s="0" t="s">
        <v>6206</v>
      </c>
      <c r="CS239" s="0" t="s">
        <v>5759</v>
      </c>
      <c r="CT239" s="0" t="s">
        <v>5679</v>
      </c>
      <c r="CU239" s="0" t="s">
        <v>5680</v>
      </c>
      <c r="CV239" s="0" t="s">
        <v>430</v>
      </c>
      <c r="CW239" s="0" t="s">
        <v>5699</v>
      </c>
      <c r="CX239" s="0" t="s">
        <v>431</v>
      </c>
      <c r="CY239" s="0" t="s">
        <v>430</v>
      </c>
      <c r="CZ239" s="0" t="s">
        <v>432</v>
      </c>
      <c r="DA239" s="0" t="s">
        <v>433</v>
      </c>
      <c r="DB239" s="0" t="s">
        <v>5700</v>
      </c>
      <c r="DC239" s="0" t="s">
        <v>373</v>
      </c>
      <c r="DD239" s="0" t="s">
        <v>290</v>
      </c>
      <c r="DE239" s="0" t="s">
        <v>557</v>
      </c>
    </row>
    <row customHeight="1" ht="11.25">
      <c r="A240" s="1806" t="s">
        <v>227</v>
      </c>
      <c r="B240" s="0" t="s">
        <v>227</v>
      </c>
      <c r="C240" s="0" t="s">
        <v>227</v>
      </c>
      <c r="D240" s="0" t="s">
        <v>227</v>
      </c>
      <c r="E240" s="0" t="s">
        <v>227</v>
      </c>
      <c r="F240" s="0" t="s">
        <v>227</v>
      </c>
      <c r="G240" s="0" t="s">
        <v>227</v>
      </c>
      <c r="H240" s="0" t="s">
        <v>227</v>
      </c>
      <c r="I240" s="0" t="s">
        <v>6198</v>
      </c>
      <c r="J240" s="0" t="s">
        <v>227</v>
      </c>
      <c r="K240" s="0" t="s">
        <v>227</v>
      </c>
      <c r="L240" s="0" t="s">
        <v>227</v>
      </c>
      <c r="M240" s="0" t="s">
        <v>227</v>
      </c>
      <c r="N240" s="0" t="s">
        <v>227</v>
      </c>
      <c r="O240" s="0" t="s">
        <v>227</v>
      </c>
      <c r="P240" s="0" t="s">
        <v>227</v>
      </c>
      <c r="Q240" s="0" t="s">
        <v>227</v>
      </c>
      <c r="R240" s="0" t="s">
        <v>1074</v>
      </c>
      <c r="S240" s="0" t="s">
        <v>227</v>
      </c>
      <c r="T240" s="0" t="s">
        <v>227</v>
      </c>
      <c r="U240" s="0" t="s">
        <v>102</v>
      </c>
      <c r="V240" s="0" t="s">
        <v>227</v>
      </c>
      <c r="W240" s="0" t="s">
        <v>227</v>
      </c>
      <c r="X240" s="0" t="s">
        <v>5683</v>
      </c>
      <c r="Y240" s="0" t="s">
        <v>227</v>
      </c>
      <c r="Z240" s="0" t="s">
        <v>152</v>
      </c>
      <c r="AA240" s="0" t="s">
        <v>152</v>
      </c>
      <c r="AB240" s="0" t="s">
        <v>161</v>
      </c>
      <c r="AC240" s="0" t="s">
        <v>354</v>
      </c>
      <c r="AD240" s="0" t="s">
        <v>354</v>
      </c>
      <c r="AE240" s="0" t="s">
        <v>355</v>
      </c>
      <c r="AF240" s="0" t="s">
        <v>5684</v>
      </c>
      <c r="AG240" s="0" t="s">
        <v>5685</v>
      </c>
      <c r="AH240" s="0" t="s">
        <v>5949</v>
      </c>
      <c r="AI240" s="0" t="s">
        <v>6263</v>
      </c>
      <c r="AJ240" s="0" t="s">
        <v>227</v>
      </c>
      <c r="AK240" s="0" t="s">
        <v>227</v>
      </c>
      <c r="AL240" s="0" t="s">
        <v>227</v>
      </c>
      <c r="AN240" s="0" t="s">
        <v>227</v>
      </c>
      <c r="AO240" s="0" t="s">
        <v>227</v>
      </c>
      <c r="AP240" s="0" t="s">
        <v>227</v>
      </c>
      <c r="AQ240" s="0" t="s">
        <v>227</v>
      </c>
      <c r="AR240" s="0" t="s">
        <v>227</v>
      </c>
      <c r="AS240" s="0" t="s">
        <v>227</v>
      </c>
      <c r="AT240" s="0" t="s">
        <v>227</v>
      </c>
      <c r="AU240" s="0" t="s">
        <v>227</v>
      </c>
      <c r="AV240" s="0" t="s">
        <v>227</v>
      </c>
      <c r="AW240" s="0" t="s">
        <v>227</v>
      </c>
      <c r="AX240" s="0" t="s">
        <v>227</v>
      </c>
      <c r="AY240" s="0" t="s">
        <v>227</v>
      </c>
      <c r="AZ240" s="0" t="s">
        <v>227</v>
      </c>
      <c r="BA240" s="0" t="s">
        <v>227</v>
      </c>
      <c r="BB240" s="0" t="s">
        <v>227</v>
      </c>
      <c r="BC240" s="0" t="s">
        <v>227</v>
      </c>
      <c r="BD240" s="0" t="s">
        <v>227</v>
      </c>
      <c r="BE240" s="0" t="s">
        <v>6209</v>
      </c>
      <c r="BF240" s="0" t="s">
        <v>5697</v>
      </c>
      <c r="BG240" s="0" t="s">
        <v>112</v>
      </c>
      <c r="BH240" s="0" t="s">
        <v>5690</v>
      </c>
      <c r="BI240" s="0" t="s">
        <v>5691</v>
      </c>
      <c r="BJ240" s="0" t="s">
        <v>227</v>
      </c>
      <c r="BK240" s="0" t="s">
        <v>5692</v>
      </c>
      <c r="BL240" s="0" t="s">
        <v>354</v>
      </c>
      <c r="BM240" s="0" t="s">
        <v>354</v>
      </c>
      <c r="BN240" s="0" t="s">
        <v>5693</v>
      </c>
      <c r="BO240" s="0" t="s">
        <v>5684</v>
      </c>
      <c r="BP240" s="0" t="s">
        <v>5694</v>
      </c>
      <c r="BQ240" s="0" t="s">
        <v>5692</v>
      </c>
      <c r="BR240" s="0" t="s">
        <v>5692</v>
      </c>
      <c r="BS240" s="0" t="s">
        <v>227</v>
      </c>
      <c r="BT240" s="0" t="s">
        <v>6210</v>
      </c>
      <c r="CS240" s="0" t="s">
        <v>5759</v>
      </c>
      <c r="CT240" s="0" t="s">
        <v>5679</v>
      </c>
      <c r="CU240" s="0" t="s">
        <v>5680</v>
      </c>
      <c r="CV240" s="0" t="s">
        <v>430</v>
      </c>
      <c r="CW240" s="0" t="s">
        <v>5699</v>
      </c>
      <c r="CX240" s="0" t="s">
        <v>431</v>
      </c>
      <c r="CY240" s="0" t="s">
        <v>430</v>
      </c>
      <c r="CZ240" s="0" t="s">
        <v>432</v>
      </c>
      <c r="DA240" s="0" t="s">
        <v>433</v>
      </c>
      <c r="DB240" s="0" t="s">
        <v>5700</v>
      </c>
      <c r="DC240" s="0" t="s">
        <v>373</v>
      </c>
      <c r="DD240" s="0" t="s">
        <v>290</v>
      </c>
      <c r="DE240" s="0" t="s">
        <v>1075</v>
      </c>
    </row>
    <row customHeight="1" ht="11.25">
      <c r="A241" s="1806" t="s">
        <v>227</v>
      </c>
      <c r="B241" s="0" t="s">
        <v>227</v>
      </c>
      <c r="C241" s="0" t="s">
        <v>227</v>
      </c>
      <c r="D241" s="0" t="s">
        <v>227</v>
      </c>
      <c r="E241" s="0" t="s">
        <v>227</v>
      </c>
      <c r="F241" s="0" t="s">
        <v>227</v>
      </c>
      <c r="G241" s="0" t="s">
        <v>227</v>
      </c>
      <c r="H241" s="0" t="s">
        <v>227</v>
      </c>
      <c r="I241" s="0" t="s">
        <v>6198</v>
      </c>
      <c r="J241" s="0" t="s">
        <v>227</v>
      </c>
      <c r="K241" s="0" t="s">
        <v>227</v>
      </c>
      <c r="L241" s="0" t="s">
        <v>227</v>
      </c>
      <c r="M241" s="0" t="s">
        <v>227</v>
      </c>
      <c r="N241" s="0" t="s">
        <v>227</v>
      </c>
      <c r="O241" s="0" t="s">
        <v>227</v>
      </c>
      <c r="P241" s="0" t="s">
        <v>227</v>
      </c>
      <c r="Q241" s="0" t="s">
        <v>227</v>
      </c>
      <c r="R241" s="0" t="s">
        <v>1147</v>
      </c>
      <c r="S241" s="0" t="s">
        <v>227</v>
      </c>
      <c r="T241" s="0" t="s">
        <v>227</v>
      </c>
      <c r="U241" s="0" t="s">
        <v>102</v>
      </c>
      <c r="V241" s="0" t="s">
        <v>227</v>
      </c>
      <c r="W241" s="0" t="s">
        <v>227</v>
      </c>
      <c r="X241" s="0" t="s">
        <v>5683</v>
      </c>
      <c r="Y241" s="0" t="s">
        <v>227</v>
      </c>
      <c r="Z241" s="0" t="s">
        <v>152</v>
      </c>
      <c r="AA241" s="0" t="s">
        <v>152</v>
      </c>
      <c r="AB241" s="0" t="s">
        <v>161</v>
      </c>
      <c r="AC241" s="0" t="s">
        <v>354</v>
      </c>
      <c r="AD241" s="0" t="s">
        <v>354</v>
      </c>
      <c r="AE241" s="0" t="s">
        <v>355</v>
      </c>
      <c r="AF241" s="0" t="s">
        <v>5701</v>
      </c>
      <c r="AG241" s="0" t="s">
        <v>5702</v>
      </c>
      <c r="AH241" s="0" t="s">
        <v>5703</v>
      </c>
      <c r="AI241" s="0" t="s">
        <v>523</v>
      </c>
      <c r="AJ241" s="0" t="s">
        <v>227</v>
      </c>
      <c r="AK241" s="0" t="s">
        <v>227</v>
      </c>
      <c r="AL241" s="0" t="s">
        <v>227</v>
      </c>
      <c r="AN241" s="0" t="s">
        <v>227</v>
      </c>
      <c r="AO241" s="0" t="s">
        <v>227</v>
      </c>
      <c r="AP241" s="0" t="s">
        <v>227</v>
      </c>
      <c r="AQ241" s="0" t="s">
        <v>227</v>
      </c>
      <c r="AR241" s="0" t="s">
        <v>227</v>
      </c>
      <c r="AS241" s="0" t="s">
        <v>227</v>
      </c>
      <c r="AT241" s="0" t="s">
        <v>227</v>
      </c>
      <c r="AU241" s="0" t="s">
        <v>227</v>
      </c>
      <c r="AV241" s="0" t="s">
        <v>227</v>
      </c>
      <c r="AW241" s="0" t="s">
        <v>227</v>
      </c>
      <c r="AX241" s="0" t="s">
        <v>227</v>
      </c>
      <c r="AY241" s="0" t="s">
        <v>227</v>
      </c>
      <c r="AZ241" s="0" t="s">
        <v>227</v>
      </c>
      <c r="BA241" s="0" t="s">
        <v>227</v>
      </c>
      <c r="BB241" s="0" t="s">
        <v>227</v>
      </c>
      <c r="BC241" s="0" t="s">
        <v>227</v>
      </c>
      <c r="BD241" s="0" t="s">
        <v>227</v>
      </c>
      <c r="BE241" s="0" t="s">
        <v>6155</v>
      </c>
      <c r="BF241" s="0" t="s">
        <v>5697</v>
      </c>
      <c r="BG241" s="0" t="s">
        <v>112</v>
      </c>
      <c r="BH241" s="0" t="s">
        <v>5690</v>
      </c>
      <c r="BI241" s="0" t="s">
        <v>5691</v>
      </c>
      <c r="BJ241" s="0" t="s">
        <v>227</v>
      </c>
      <c r="BK241" s="0" t="s">
        <v>5692</v>
      </c>
      <c r="BL241" s="0" t="s">
        <v>354</v>
      </c>
      <c r="BM241" s="0" t="s">
        <v>354</v>
      </c>
      <c r="BN241" s="0" t="s">
        <v>5693</v>
      </c>
      <c r="BO241" s="0" t="s">
        <v>5701</v>
      </c>
      <c r="BP241" s="0" t="s">
        <v>5706</v>
      </c>
      <c r="BQ241" s="0" t="s">
        <v>5692</v>
      </c>
      <c r="BR241" s="0" t="s">
        <v>5692</v>
      </c>
      <c r="BS241" s="0" t="s">
        <v>227</v>
      </c>
      <c r="BT241" s="0" t="s">
        <v>6206</v>
      </c>
      <c r="CS241" s="0" t="s">
        <v>5759</v>
      </c>
      <c r="CT241" s="0" t="s">
        <v>5679</v>
      </c>
      <c r="CU241" s="0" t="s">
        <v>5680</v>
      </c>
      <c r="CV241" s="0" t="s">
        <v>430</v>
      </c>
      <c r="CW241" s="0" t="s">
        <v>5699</v>
      </c>
      <c r="CX241" s="0" t="s">
        <v>431</v>
      </c>
      <c r="CY241" s="0" t="s">
        <v>430</v>
      </c>
      <c r="CZ241" s="0" t="s">
        <v>432</v>
      </c>
      <c r="DA241" s="0" t="s">
        <v>433</v>
      </c>
      <c r="DB241" s="0" t="s">
        <v>5700</v>
      </c>
      <c r="DC241" s="0" t="s">
        <v>373</v>
      </c>
      <c r="DD241" s="0" t="s">
        <v>290</v>
      </c>
      <c r="DE241" s="0" t="s">
        <v>789</v>
      </c>
    </row>
    <row customHeight="1" ht="11.25">
      <c r="A242" s="1806" t="s">
        <v>227</v>
      </c>
      <c r="B242" s="0" t="s">
        <v>227</v>
      </c>
      <c r="C242" s="0" t="s">
        <v>227</v>
      </c>
      <c r="D242" s="0" t="s">
        <v>227</v>
      </c>
      <c r="E242" s="0" t="s">
        <v>227</v>
      </c>
      <c r="F242" s="0" t="s">
        <v>227</v>
      </c>
      <c r="G242" s="0" t="s">
        <v>227</v>
      </c>
      <c r="H242" s="0" t="s">
        <v>227</v>
      </c>
      <c r="I242" s="0" t="s">
        <v>6198</v>
      </c>
      <c r="J242" s="0" t="s">
        <v>227</v>
      </c>
      <c r="K242" s="0" t="s">
        <v>227</v>
      </c>
      <c r="L242" s="0" t="s">
        <v>227</v>
      </c>
      <c r="M242" s="0" t="s">
        <v>227</v>
      </c>
      <c r="N242" s="0" t="s">
        <v>227</v>
      </c>
      <c r="O242" s="0" t="s">
        <v>227</v>
      </c>
      <c r="P242" s="0" t="s">
        <v>227</v>
      </c>
      <c r="Q242" s="0" t="s">
        <v>227</v>
      </c>
      <c r="R242" s="0" t="s">
        <v>1150</v>
      </c>
      <c r="S242" s="0" t="s">
        <v>227</v>
      </c>
      <c r="T242" s="0" t="s">
        <v>227</v>
      </c>
      <c r="U242" s="0" t="s">
        <v>102</v>
      </c>
      <c r="V242" s="0" t="s">
        <v>227</v>
      </c>
      <c r="W242" s="0" t="s">
        <v>227</v>
      </c>
      <c r="X242" s="0" t="s">
        <v>5683</v>
      </c>
      <c r="Y242" s="0" t="s">
        <v>227</v>
      </c>
      <c r="Z242" s="0" t="s">
        <v>152</v>
      </c>
      <c r="AA242" s="0" t="s">
        <v>152</v>
      </c>
      <c r="AB242" s="0" t="s">
        <v>161</v>
      </c>
      <c r="AC242" s="0" t="s">
        <v>354</v>
      </c>
      <c r="AD242" s="0" t="s">
        <v>354</v>
      </c>
      <c r="AE242" s="0" t="s">
        <v>355</v>
      </c>
      <c r="AF242" s="0" t="s">
        <v>5701</v>
      </c>
      <c r="AG242" s="0" t="s">
        <v>5702</v>
      </c>
      <c r="AH242" s="0" t="s">
        <v>5703</v>
      </c>
      <c r="AI242" s="0" t="s">
        <v>529</v>
      </c>
      <c r="AJ242" s="0" t="s">
        <v>227</v>
      </c>
      <c r="AK242" s="0" t="s">
        <v>227</v>
      </c>
      <c r="AL242" s="0" t="s">
        <v>227</v>
      </c>
      <c r="AN242" s="0" t="s">
        <v>227</v>
      </c>
      <c r="AO242" s="0" t="s">
        <v>227</v>
      </c>
      <c r="AP242" s="0" t="s">
        <v>227</v>
      </c>
      <c r="AQ242" s="0" t="s">
        <v>227</v>
      </c>
      <c r="AR242" s="0" t="s">
        <v>227</v>
      </c>
      <c r="AS242" s="0" t="s">
        <v>227</v>
      </c>
      <c r="AT242" s="0" t="s">
        <v>227</v>
      </c>
      <c r="AU242" s="0" t="s">
        <v>227</v>
      </c>
      <c r="AV242" s="0" t="s">
        <v>227</v>
      </c>
      <c r="AW242" s="0" t="s">
        <v>227</v>
      </c>
      <c r="AX242" s="0" t="s">
        <v>227</v>
      </c>
      <c r="AY242" s="0" t="s">
        <v>227</v>
      </c>
      <c r="AZ242" s="0" t="s">
        <v>227</v>
      </c>
      <c r="BA242" s="0" t="s">
        <v>227</v>
      </c>
      <c r="BB242" s="0" t="s">
        <v>227</v>
      </c>
      <c r="BC242" s="0" t="s">
        <v>227</v>
      </c>
      <c r="BD242" s="0" t="s">
        <v>227</v>
      </c>
      <c r="BE242" s="0" t="s">
        <v>6155</v>
      </c>
      <c r="BF242" s="0" t="s">
        <v>5697</v>
      </c>
      <c r="BG242" s="0" t="s">
        <v>112</v>
      </c>
      <c r="BH242" s="0" t="s">
        <v>5690</v>
      </c>
      <c r="BI242" s="0" t="s">
        <v>5691</v>
      </c>
      <c r="BJ242" s="0" t="s">
        <v>227</v>
      </c>
      <c r="BK242" s="0" t="s">
        <v>5692</v>
      </c>
      <c r="BL242" s="0" t="s">
        <v>354</v>
      </c>
      <c r="BM242" s="0" t="s">
        <v>354</v>
      </c>
      <c r="BN242" s="0" t="s">
        <v>5693</v>
      </c>
      <c r="BO242" s="0" t="s">
        <v>5701</v>
      </c>
      <c r="BP242" s="0" t="s">
        <v>5706</v>
      </c>
      <c r="BQ242" s="0" t="s">
        <v>5692</v>
      </c>
      <c r="BR242" s="0" t="s">
        <v>5692</v>
      </c>
      <c r="BS242" s="0" t="s">
        <v>227</v>
      </c>
      <c r="BT242" s="0" t="s">
        <v>6206</v>
      </c>
      <c r="CS242" s="0" t="s">
        <v>5759</v>
      </c>
      <c r="CT242" s="0" t="s">
        <v>5679</v>
      </c>
      <c r="CU242" s="0" t="s">
        <v>5680</v>
      </c>
      <c r="CV242" s="0" t="s">
        <v>430</v>
      </c>
      <c r="CW242" s="0" t="s">
        <v>5699</v>
      </c>
      <c r="CX242" s="0" t="s">
        <v>431</v>
      </c>
      <c r="CY242" s="0" t="s">
        <v>430</v>
      </c>
      <c r="CZ242" s="0" t="s">
        <v>432</v>
      </c>
      <c r="DA242" s="0" t="s">
        <v>433</v>
      </c>
      <c r="DB242" s="0" t="s">
        <v>5700</v>
      </c>
      <c r="DC242" s="0" t="s">
        <v>373</v>
      </c>
      <c r="DD242" s="0" t="s">
        <v>290</v>
      </c>
      <c r="DE242" s="0" t="s">
        <v>795</v>
      </c>
    </row>
    <row customHeight="1" ht="11.25">
      <c r="A243" s="1806" t="s">
        <v>227</v>
      </c>
      <c r="B243" s="0" t="s">
        <v>227</v>
      </c>
      <c r="C243" s="0" t="s">
        <v>227</v>
      </c>
      <c r="D243" s="0" t="s">
        <v>227</v>
      </c>
      <c r="E243" s="0" t="s">
        <v>227</v>
      </c>
      <c r="F243" s="0" t="s">
        <v>227</v>
      </c>
      <c r="G243" s="0" t="s">
        <v>227</v>
      </c>
      <c r="H243" s="0" t="s">
        <v>227</v>
      </c>
      <c r="I243" s="0" t="s">
        <v>6198</v>
      </c>
      <c r="J243" s="0" t="s">
        <v>227</v>
      </c>
      <c r="K243" s="0" t="s">
        <v>227</v>
      </c>
      <c r="L243" s="0" t="s">
        <v>227</v>
      </c>
      <c r="M243" s="0" t="s">
        <v>227</v>
      </c>
      <c r="N243" s="0" t="s">
        <v>227</v>
      </c>
      <c r="O243" s="0" t="s">
        <v>227</v>
      </c>
      <c r="P243" s="0" t="s">
        <v>227</v>
      </c>
      <c r="Q243" s="0" t="s">
        <v>227</v>
      </c>
      <c r="R243" s="0" t="s">
        <v>1115</v>
      </c>
      <c r="S243" s="0" t="s">
        <v>227</v>
      </c>
      <c r="T243" s="0" t="s">
        <v>227</v>
      </c>
      <c r="U243" s="0" t="s">
        <v>102</v>
      </c>
      <c r="V243" s="0" t="s">
        <v>227</v>
      </c>
      <c r="W243" s="0" t="s">
        <v>227</v>
      </c>
      <c r="X243" s="0" t="s">
        <v>5683</v>
      </c>
      <c r="Y243" s="0" t="s">
        <v>227</v>
      </c>
      <c r="Z243" s="0" t="s">
        <v>152</v>
      </c>
      <c r="AA243" s="0" t="s">
        <v>152</v>
      </c>
      <c r="AB243" s="0" t="s">
        <v>161</v>
      </c>
      <c r="AC243" s="0" t="s">
        <v>354</v>
      </c>
      <c r="AD243" s="0" t="s">
        <v>354</v>
      </c>
      <c r="AE243" s="0" t="s">
        <v>355</v>
      </c>
      <c r="AF243" s="0" t="s">
        <v>5684</v>
      </c>
      <c r="AG243" s="0" t="s">
        <v>5685</v>
      </c>
      <c r="AH243" s="0" t="s">
        <v>5809</v>
      </c>
      <c r="AI243" s="0" t="s">
        <v>6264</v>
      </c>
      <c r="AJ243" s="0" t="s">
        <v>227</v>
      </c>
      <c r="AK243" s="0" t="s">
        <v>227</v>
      </c>
      <c r="AL243" s="0" t="s">
        <v>227</v>
      </c>
      <c r="AN243" s="0" t="s">
        <v>227</v>
      </c>
      <c r="AO243" s="0" t="s">
        <v>227</v>
      </c>
      <c r="AP243" s="0" t="s">
        <v>227</v>
      </c>
      <c r="AQ243" s="0" t="s">
        <v>227</v>
      </c>
      <c r="AR243" s="0" t="s">
        <v>227</v>
      </c>
      <c r="AS243" s="0" t="s">
        <v>227</v>
      </c>
      <c r="AT243" s="0" t="s">
        <v>227</v>
      </c>
      <c r="AU243" s="0" t="s">
        <v>227</v>
      </c>
      <c r="AV243" s="0" t="s">
        <v>227</v>
      </c>
      <c r="AW243" s="0" t="s">
        <v>227</v>
      </c>
      <c r="AX243" s="0" t="s">
        <v>227</v>
      </c>
      <c r="AY243" s="0" t="s">
        <v>227</v>
      </c>
      <c r="AZ243" s="0" t="s">
        <v>227</v>
      </c>
      <c r="BA243" s="0" t="s">
        <v>227</v>
      </c>
      <c r="BB243" s="0" t="s">
        <v>227</v>
      </c>
      <c r="BC243" s="0" t="s">
        <v>227</v>
      </c>
      <c r="BD243" s="0" t="s">
        <v>227</v>
      </c>
      <c r="BE243" s="0" t="s">
        <v>6155</v>
      </c>
      <c r="BF243" s="0" t="s">
        <v>5697</v>
      </c>
      <c r="BG243" s="0" t="s">
        <v>112</v>
      </c>
      <c r="BH243" s="0" t="s">
        <v>5690</v>
      </c>
      <c r="BI243" s="0" t="s">
        <v>5691</v>
      </c>
      <c r="BJ243" s="0" t="s">
        <v>227</v>
      </c>
      <c r="BK243" s="0" t="s">
        <v>5692</v>
      </c>
      <c r="BL243" s="0" t="s">
        <v>354</v>
      </c>
      <c r="BM243" s="0" t="s">
        <v>354</v>
      </c>
      <c r="BN243" s="0" t="s">
        <v>5693</v>
      </c>
      <c r="BO243" s="0" t="s">
        <v>5684</v>
      </c>
      <c r="BP243" s="0" t="s">
        <v>5694</v>
      </c>
      <c r="BQ243" s="0" t="s">
        <v>5692</v>
      </c>
      <c r="BR243" s="0" t="s">
        <v>5692</v>
      </c>
      <c r="BS243" s="0" t="s">
        <v>227</v>
      </c>
      <c r="BT243" s="0" t="s">
        <v>6206</v>
      </c>
      <c r="CS243" s="0" t="s">
        <v>5759</v>
      </c>
      <c r="CT243" s="0" t="s">
        <v>5679</v>
      </c>
      <c r="CU243" s="0" t="s">
        <v>5680</v>
      </c>
      <c r="CV243" s="0" t="s">
        <v>430</v>
      </c>
      <c r="CW243" s="0" t="s">
        <v>5699</v>
      </c>
      <c r="CX243" s="0" t="s">
        <v>431</v>
      </c>
      <c r="CY243" s="0" t="s">
        <v>430</v>
      </c>
      <c r="CZ243" s="0" t="s">
        <v>432</v>
      </c>
      <c r="DA243" s="0" t="s">
        <v>433</v>
      </c>
      <c r="DB243" s="0" t="s">
        <v>5700</v>
      </c>
      <c r="DC243" s="0" t="s">
        <v>373</v>
      </c>
      <c r="DD243" s="0" t="s">
        <v>290</v>
      </c>
      <c r="DE243" s="0" t="s">
        <v>1116</v>
      </c>
    </row>
    <row customHeight="1" ht="11.25">
      <c r="A244" s="1806" t="s">
        <v>227</v>
      </c>
      <c r="B244" s="0" t="s">
        <v>227</v>
      </c>
      <c r="C244" s="0" t="s">
        <v>227</v>
      </c>
      <c r="D244" s="0" t="s">
        <v>227</v>
      </c>
      <c r="E244" s="0" t="s">
        <v>227</v>
      </c>
      <c r="F244" s="0" t="s">
        <v>227</v>
      </c>
      <c r="G244" s="0" t="s">
        <v>227</v>
      </c>
      <c r="H244" s="0" t="s">
        <v>227</v>
      </c>
      <c r="I244" s="0" t="s">
        <v>6198</v>
      </c>
      <c r="J244" s="0" t="s">
        <v>227</v>
      </c>
      <c r="K244" s="0" t="s">
        <v>227</v>
      </c>
      <c r="L244" s="0" t="s">
        <v>227</v>
      </c>
      <c r="M244" s="0" t="s">
        <v>227</v>
      </c>
      <c r="N244" s="0" t="s">
        <v>227</v>
      </c>
      <c r="O244" s="0" t="s">
        <v>227</v>
      </c>
      <c r="P244" s="0" t="s">
        <v>227</v>
      </c>
      <c r="Q244" s="0" t="s">
        <v>227</v>
      </c>
      <c r="R244" s="0" t="s">
        <v>1148</v>
      </c>
      <c r="S244" s="0" t="s">
        <v>227</v>
      </c>
      <c r="T244" s="0" t="s">
        <v>227</v>
      </c>
      <c r="U244" s="0" t="s">
        <v>102</v>
      </c>
      <c r="V244" s="0" t="s">
        <v>227</v>
      </c>
      <c r="W244" s="0" t="s">
        <v>227</v>
      </c>
      <c r="X244" s="0" t="s">
        <v>5683</v>
      </c>
      <c r="Y244" s="0" t="s">
        <v>227</v>
      </c>
      <c r="Z244" s="0" t="s">
        <v>152</v>
      </c>
      <c r="AA244" s="0" t="s">
        <v>152</v>
      </c>
      <c r="AB244" s="0" t="s">
        <v>161</v>
      </c>
      <c r="AC244" s="0" t="s">
        <v>354</v>
      </c>
      <c r="AD244" s="0" t="s">
        <v>354</v>
      </c>
      <c r="AE244" s="0" t="s">
        <v>355</v>
      </c>
      <c r="AF244" s="0" t="s">
        <v>5701</v>
      </c>
      <c r="AG244" s="0" t="s">
        <v>5702</v>
      </c>
      <c r="AH244" s="0" t="s">
        <v>5703</v>
      </c>
      <c r="AI244" s="0" t="s">
        <v>6265</v>
      </c>
      <c r="AJ244" s="0" t="s">
        <v>227</v>
      </c>
      <c r="AK244" s="0" t="s">
        <v>227</v>
      </c>
      <c r="AL244" s="0" t="s">
        <v>227</v>
      </c>
      <c r="AN244" s="0" t="s">
        <v>227</v>
      </c>
      <c r="AO244" s="0" t="s">
        <v>227</v>
      </c>
      <c r="AP244" s="0" t="s">
        <v>227</v>
      </c>
      <c r="AQ244" s="0" t="s">
        <v>227</v>
      </c>
      <c r="AR244" s="0" t="s">
        <v>227</v>
      </c>
      <c r="AS244" s="0" t="s">
        <v>227</v>
      </c>
      <c r="AT244" s="0" t="s">
        <v>227</v>
      </c>
      <c r="AU244" s="0" t="s">
        <v>227</v>
      </c>
      <c r="AV244" s="0" t="s">
        <v>227</v>
      </c>
      <c r="AW244" s="0" t="s">
        <v>227</v>
      </c>
      <c r="AX244" s="0" t="s">
        <v>227</v>
      </c>
      <c r="AY244" s="0" t="s">
        <v>227</v>
      </c>
      <c r="AZ244" s="0" t="s">
        <v>227</v>
      </c>
      <c r="BA244" s="0" t="s">
        <v>227</v>
      </c>
      <c r="BB244" s="0" t="s">
        <v>227</v>
      </c>
      <c r="BC244" s="0" t="s">
        <v>227</v>
      </c>
      <c r="BD244" s="0" t="s">
        <v>227</v>
      </c>
      <c r="BE244" s="0" t="s">
        <v>6155</v>
      </c>
      <c r="BF244" s="0" t="s">
        <v>5697</v>
      </c>
      <c r="BG244" s="0" t="s">
        <v>112</v>
      </c>
      <c r="BH244" s="0" t="s">
        <v>5690</v>
      </c>
      <c r="BI244" s="0" t="s">
        <v>5691</v>
      </c>
      <c r="BJ244" s="0" t="s">
        <v>227</v>
      </c>
      <c r="BK244" s="0" t="s">
        <v>5692</v>
      </c>
      <c r="BL244" s="0" t="s">
        <v>354</v>
      </c>
      <c r="BM244" s="0" t="s">
        <v>354</v>
      </c>
      <c r="BN244" s="0" t="s">
        <v>5693</v>
      </c>
      <c r="BO244" s="0" t="s">
        <v>5701</v>
      </c>
      <c r="BP244" s="0" t="s">
        <v>5706</v>
      </c>
      <c r="BQ244" s="0" t="s">
        <v>5692</v>
      </c>
      <c r="BR244" s="0" t="s">
        <v>5692</v>
      </c>
      <c r="BS244" s="0" t="s">
        <v>227</v>
      </c>
      <c r="BT244" s="0" t="s">
        <v>6206</v>
      </c>
      <c r="CS244" s="0" t="s">
        <v>5759</v>
      </c>
      <c r="CT244" s="0" t="s">
        <v>5679</v>
      </c>
      <c r="CU244" s="0" t="s">
        <v>5680</v>
      </c>
      <c r="CV244" s="0" t="s">
        <v>430</v>
      </c>
      <c r="CW244" s="0" t="s">
        <v>5699</v>
      </c>
      <c r="CX244" s="0" t="s">
        <v>431</v>
      </c>
      <c r="CY244" s="0" t="s">
        <v>430</v>
      </c>
      <c r="CZ244" s="0" t="s">
        <v>432</v>
      </c>
      <c r="DA244" s="0" t="s">
        <v>433</v>
      </c>
      <c r="DB244" s="0" t="s">
        <v>5700</v>
      </c>
      <c r="DC244" s="0" t="s">
        <v>373</v>
      </c>
      <c r="DD244" s="0" t="s">
        <v>290</v>
      </c>
      <c r="DE244" s="0" t="s">
        <v>1149</v>
      </c>
    </row>
    <row customHeight="1" ht="11.25">
      <c r="A245" s="1806" t="s">
        <v>227</v>
      </c>
      <c r="B245" s="0" t="s">
        <v>227</v>
      </c>
      <c r="C245" s="0" t="s">
        <v>227</v>
      </c>
      <c r="D245" s="0" t="s">
        <v>227</v>
      </c>
      <c r="E245" s="0" t="s">
        <v>227</v>
      </c>
      <c r="F245" s="0" t="s">
        <v>227</v>
      </c>
      <c r="G245" s="0" t="s">
        <v>227</v>
      </c>
      <c r="H245" s="0" t="s">
        <v>227</v>
      </c>
      <c r="I245" s="0" t="s">
        <v>6198</v>
      </c>
      <c r="J245" s="0" t="s">
        <v>227</v>
      </c>
      <c r="K245" s="0" t="s">
        <v>227</v>
      </c>
      <c r="L245" s="0" t="s">
        <v>227</v>
      </c>
      <c r="M245" s="0" t="s">
        <v>227</v>
      </c>
      <c r="N245" s="0" t="s">
        <v>227</v>
      </c>
      <c r="O245" s="0" t="s">
        <v>227</v>
      </c>
      <c r="P245" s="0" t="s">
        <v>227</v>
      </c>
      <c r="Q245" s="0" t="s">
        <v>227</v>
      </c>
      <c r="R245" s="0" t="s">
        <v>1046</v>
      </c>
      <c r="S245" s="0" t="s">
        <v>227</v>
      </c>
      <c r="T245" s="0" t="s">
        <v>227</v>
      </c>
      <c r="U245" s="0" t="s">
        <v>102</v>
      </c>
      <c r="V245" s="0" t="s">
        <v>227</v>
      </c>
      <c r="W245" s="0" t="s">
        <v>227</v>
      </c>
      <c r="X245" s="0" t="s">
        <v>5683</v>
      </c>
      <c r="Y245" s="0" t="s">
        <v>227</v>
      </c>
      <c r="Z245" s="0" t="s">
        <v>152</v>
      </c>
      <c r="AA245" s="0" t="s">
        <v>152</v>
      </c>
      <c r="AB245" s="0" t="s">
        <v>161</v>
      </c>
      <c r="AC245" s="0" t="s">
        <v>354</v>
      </c>
      <c r="AD245" s="0" t="s">
        <v>354</v>
      </c>
      <c r="AE245" s="0" t="s">
        <v>355</v>
      </c>
      <c r="AF245" s="0" t="s">
        <v>5684</v>
      </c>
      <c r="AG245" s="0" t="s">
        <v>5685</v>
      </c>
      <c r="AH245" s="0" t="s">
        <v>6266</v>
      </c>
      <c r="AI245" s="0" t="s">
        <v>5692</v>
      </c>
      <c r="AJ245" s="0" t="s">
        <v>227</v>
      </c>
      <c r="AK245" s="0" t="s">
        <v>227</v>
      </c>
      <c r="AL245" s="0" t="s">
        <v>227</v>
      </c>
      <c r="AN245" s="0" t="s">
        <v>227</v>
      </c>
      <c r="AO245" s="0" t="s">
        <v>227</v>
      </c>
      <c r="AP245" s="0" t="s">
        <v>227</v>
      </c>
      <c r="AQ245" s="0" t="s">
        <v>227</v>
      </c>
      <c r="AR245" s="0" t="s">
        <v>227</v>
      </c>
      <c r="AS245" s="0" t="s">
        <v>227</v>
      </c>
      <c r="AT245" s="0" t="s">
        <v>227</v>
      </c>
      <c r="AU245" s="0" t="s">
        <v>227</v>
      </c>
      <c r="AV245" s="0" t="s">
        <v>227</v>
      </c>
      <c r="AW245" s="0" t="s">
        <v>227</v>
      </c>
      <c r="AX245" s="0" t="s">
        <v>227</v>
      </c>
      <c r="AY245" s="0" t="s">
        <v>227</v>
      </c>
      <c r="AZ245" s="0" t="s">
        <v>227</v>
      </c>
      <c r="BA245" s="0" t="s">
        <v>227</v>
      </c>
      <c r="BB245" s="0" t="s">
        <v>227</v>
      </c>
      <c r="BC245" s="0" t="s">
        <v>227</v>
      </c>
      <c r="BD245" s="0" t="s">
        <v>227</v>
      </c>
      <c r="BE245" s="0" t="s">
        <v>6209</v>
      </c>
      <c r="BF245" s="0" t="s">
        <v>5697</v>
      </c>
      <c r="BG245" s="0" t="s">
        <v>112</v>
      </c>
      <c r="BH245" s="0" t="s">
        <v>5690</v>
      </c>
      <c r="BI245" s="0" t="s">
        <v>5691</v>
      </c>
      <c r="BJ245" s="0" t="s">
        <v>227</v>
      </c>
      <c r="BK245" s="0" t="s">
        <v>5692</v>
      </c>
      <c r="BL245" s="0" t="s">
        <v>354</v>
      </c>
      <c r="BM245" s="0" t="s">
        <v>354</v>
      </c>
      <c r="BN245" s="0" t="s">
        <v>5693</v>
      </c>
      <c r="BO245" s="0" t="s">
        <v>5684</v>
      </c>
      <c r="BP245" s="0" t="s">
        <v>5694</v>
      </c>
      <c r="BQ245" s="0" t="s">
        <v>5692</v>
      </c>
      <c r="BR245" s="0" t="s">
        <v>5692</v>
      </c>
      <c r="BS245" s="0" t="s">
        <v>227</v>
      </c>
      <c r="BT245" s="0" t="s">
        <v>6210</v>
      </c>
      <c r="CS245" s="0" t="s">
        <v>5759</v>
      </c>
      <c r="CT245" s="0" t="s">
        <v>5679</v>
      </c>
      <c r="CU245" s="0" t="s">
        <v>5680</v>
      </c>
      <c r="CV245" s="0" t="s">
        <v>430</v>
      </c>
      <c r="CW245" s="0" t="s">
        <v>5699</v>
      </c>
      <c r="CX245" s="0" t="s">
        <v>431</v>
      </c>
      <c r="CY245" s="0" t="s">
        <v>430</v>
      </c>
      <c r="CZ245" s="0" t="s">
        <v>432</v>
      </c>
      <c r="DA245" s="0" t="s">
        <v>433</v>
      </c>
      <c r="DB245" s="0" t="s">
        <v>5700</v>
      </c>
      <c r="DC245" s="0" t="s">
        <v>373</v>
      </c>
      <c r="DD245" s="0" t="s">
        <v>290</v>
      </c>
      <c r="DE245" s="0" t="s">
        <v>1047</v>
      </c>
    </row>
    <row customHeight="1" ht="11.25">
      <c r="A246" s="1806" t="s">
        <v>227</v>
      </c>
      <c r="B246" s="0" t="s">
        <v>227</v>
      </c>
      <c r="C246" s="0" t="s">
        <v>227</v>
      </c>
      <c r="D246" s="0" t="s">
        <v>227</v>
      </c>
      <c r="E246" s="0" t="s">
        <v>227</v>
      </c>
      <c r="F246" s="0" t="s">
        <v>227</v>
      </c>
      <c r="G246" s="0" t="s">
        <v>227</v>
      </c>
      <c r="H246" s="0" t="s">
        <v>227</v>
      </c>
      <c r="I246" s="0" t="s">
        <v>6198</v>
      </c>
      <c r="J246" s="0" t="s">
        <v>227</v>
      </c>
      <c r="K246" s="0" t="s">
        <v>227</v>
      </c>
      <c r="L246" s="0" t="s">
        <v>227</v>
      </c>
      <c r="M246" s="0" t="s">
        <v>227</v>
      </c>
      <c r="N246" s="0" t="s">
        <v>227</v>
      </c>
      <c r="O246" s="0" t="s">
        <v>227</v>
      </c>
      <c r="P246" s="0" t="s">
        <v>227</v>
      </c>
      <c r="Q246" s="0" t="s">
        <v>227</v>
      </c>
      <c r="R246" s="0" t="s">
        <v>1088</v>
      </c>
      <c r="S246" s="0" t="s">
        <v>227</v>
      </c>
      <c r="T246" s="0" t="s">
        <v>227</v>
      </c>
      <c r="U246" s="0" t="s">
        <v>102</v>
      </c>
      <c r="V246" s="0" t="s">
        <v>227</v>
      </c>
      <c r="W246" s="0" t="s">
        <v>227</v>
      </c>
      <c r="X246" s="0" t="s">
        <v>5683</v>
      </c>
      <c r="Y246" s="0" t="s">
        <v>227</v>
      </c>
      <c r="Z246" s="0" t="s">
        <v>152</v>
      </c>
      <c r="AA246" s="0" t="s">
        <v>152</v>
      </c>
      <c r="AB246" s="0" t="s">
        <v>161</v>
      </c>
      <c r="AC246" s="0" t="s">
        <v>354</v>
      </c>
      <c r="AD246" s="0" t="s">
        <v>354</v>
      </c>
      <c r="AE246" s="0" t="s">
        <v>355</v>
      </c>
      <c r="AF246" s="0" t="s">
        <v>5684</v>
      </c>
      <c r="AG246" s="0" t="s">
        <v>5685</v>
      </c>
      <c r="AH246" s="0" t="s">
        <v>6085</v>
      </c>
      <c r="AI246" s="0" t="s">
        <v>5692</v>
      </c>
      <c r="AJ246" s="0" t="s">
        <v>227</v>
      </c>
      <c r="AK246" s="0" t="s">
        <v>227</v>
      </c>
      <c r="AL246" s="0" t="s">
        <v>227</v>
      </c>
      <c r="AN246" s="0" t="s">
        <v>227</v>
      </c>
      <c r="AO246" s="0" t="s">
        <v>227</v>
      </c>
      <c r="AP246" s="0" t="s">
        <v>227</v>
      </c>
      <c r="AQ246" s="0" t="s">
        <v>227</v>
      </c>
      <c r="AR246" s="0" t="s">
        <v>227</v>
      </c>
      <c r="AS246" s="0" t="s">
        <v>227</v>
      </c>
      <c r="AT246" s="0" t="s">
        <v>227</v>
      </c>
      <c r="AU246" s="0" t="s">
        <v>227</v>
      </c>
      <c r="AV246" s="0" t="s">
        <v>227</v>
      </c>
      <c r="AW246" s="0" t="s">
        <v>227</v>
      </c>
      <c r="AX246" s="0" t="s">
        <v>227</v>
      </c>
      <c r="AY246" s="0" t="s">
        <v>227</v>
      </c>
      <c r="AZ246" s="0" t="s">
        <v>227</v>
      </c>
      <c r="BA246" s="0" t="s">
        <v>227</v>
      </c>
      <c r="BB246" s="0" t="s">
        <v>227</v>
      </c>
      <c r="BC246" s="0" t="s">
        <v>227</v>
      </c>
      <c r="BD246" s="0" t="s">
        <v>227</v>
      </c>
      <c r="BE246" s="0" t="s">
        <v>6216</v>
      </c>
      <c r="BF246" s="0" t="s">
        <v>5697</v>
      </c>
      <c r="BG246" s="0" t="s">
        <v>112</v>
      </c>
      <c r="BH246" s="0" t="s">
        <v>5690</v>
      </c>
      <c r="BI246" s="0" t="s">
        <v>5691</v>
      </c>
      <c r="BJ246" s="0" t="s">
        <v>227</v>
      </c>
      <c r="BK246" s="0" t="s">
        <v>5692</v>
      </c>
      <c r="BL246" s="0" t="s">
        <v>354</v>
      </c>
      <c r="BM246" s="0" t="s">
        <v>354</v>
      </c>
      <c r="BN246" s="0" t="s">
        <v>5693</v>
      </c>
      <c r="BO246" s="0" t="s">
        <v>5684</v>
      </c>
      <c r="BP246" s="0" t="s">
        <v>5694</v>
      </c>
      <c r="BQ246" s="0" t="s">
        <v>5692</v>
      </c>
      <c r="BR246" s="0" t="s">
        <v>5692</v>
      </c>
      <c r="BS246" s="0" t="s">
        <v>227</v>
      </c>
      <c r="BT246" s="0" t="s">
        <v>6210</v>
      </c>
      <c r="CS246" s="0" t="s">
        <v>5759</v>
      </c>
      <c r="CT246" s="0" t="s">
        <v>5679</v>
      </c>
      <c r="CU246" s="0" t="s">
        <v>5680</v>
      </c>
      <c r="CV246" s="0" t="s">
        <v>430</v>
      </c>
      <c r="CW246" s="0" t="s">
        <v>5699</v>
      </c>
      <c r="CX246" s="0" t="s">
        <v>431</v>
      </c>
      <c r="CY246" s="0" t="s">
        <v>430</v>
      </c>
      <c r="CZ246" s="0" t="s">
        <v>432</v>
      </c>
      <c r="DA246" s="0" t="s">
        <v>433</v>
      </c>
      <c r="DB246" s="0" t="s">
        <v>5700</v>
      </c>
      <c r="DC246" s="0" t="s">
        <v>373</v>
      </c>
      <c r="DD246" s="0" t="s">
        <v>290</v>
      </c>
      <c r="DE246" s="0" t="s">
        <v>1089</v>
      </c>
    </row>
    <row customHeight="1" ht="11.25">
      <c r="A247" s="1806" t="s">
        <v>227</v>
      </c>
      <c r="B247" s="0" t="s">
        <v>227</v>
      </c>
      <c r="C247" s="0" t="s">
        <v>227</v>
      </c>
      <c r="D247" s="0" t="s">
        <v>227</v>
      </c>
      <c r="E247" s="0" t="s">
        <v>227</v>
      </c>
      <c r="F247" s="0" t="s">
        <v>227</v>
      </c>
      <c r="G247" s="0" t="s">
        <v>227</v>
      </c>
      <c r="H247" s="0" t="s">
        <v>227</v>
      </c>
      <c r="I247" s="0" t="s">
        <v>6198</v>
      </c>
      <c r="J247" s="0" t="s">
        <v>227</v>
      </c>
      <c r="K247" s="0" t="s">
        <v>227</v>
      </c>
      <c r="L247" s="0" t="s">
        <v>227</v>
      </c>
      <c r="M247" s="0" t="s">
        <v>227</v>
      </c>
      <c r="N247" s="0" t="s">
        <v>227</v>
      </c>
      <c r="O247" s="0" t="s">
        <v>227</v>
      </c>
      <c r="P247" s="0" t="s">
        <v>227</v>
      </c>
      <c r="Q247" s="0" t="s">
        <v>227</v>
      </c>
      <c r="R247" s="0" t="s">
        <v>1154</v>
      </c>
      <c r="S247" s="0" t="s">
        <v>227</v>
      </c>
      <c r="T247" s="0" t="s">
        <v>227</v>
      </c>
      <c r="U247" s="0" t="s">
        <v>102</v>
      </c>
      <c r="V247" s="0" t="s">
        <v>227</v>
      </c>
      <c r="W247" s="0" t="s">
        <v>227</v>
      </c>
      <c r="X247" s="0" t="s">
        <v>5683</v>
      </c>
      <c r="Y247" s="0" t="s">
        <v>227</v>
      </c>
      <c r="Z247" s="0" t="s">
        <v>152</v>
      </c>
      <c r="AA247" s="0" t="s">
        <v>152</v>
      </c>
      <c r="AB247" s="0" t="s">
        <v>161</v>
      </c>
      <c r="AC247" s="0" t="s">
        <v>354</v>
      </c>
      <c r="AD247" s="0" t="s">
        <v>354</v>
      </c>
      <c r="AE247" s="0" t="s">
        <v>355</v>
      </c>
      <c r="AF247" s="0" t="s">
        <v>5701</v>
      </c>
      <c r="AG247" s="0" t="s">
        <v>5702</v>
      </c>
      <c r="AH247" s="0" t="s">
        <v>5703</v>
      </c>
      <c r="AI247" s="0" t="s">
        <v>295</v>
      </c>
      <c r="AJ247" s="0" t="s">
        <v>227</v>
      </c>
      <c r="AK247" s="0" t="s">
        <v>227</v>
      </c>
      <c r="AL247" s="0" t="s">
        <v>227</v>
      </c>
      <c r="AN247" s="0" t="s">
        <v>227</v>
      </c>
      <c r="AO247" s="0" t="s">
        <v>227</v>
      </c>
      <c r="AP247" s="0" t="s">
        <v>227</v>
      </c>
      <c r="AQ247" s="0" t="s">
        <v>227</v>
      </c>
      <c r="AR247" s="0" t="s">
        <v>227</v>
      </c>
      <c r="AS247" s="0" t="s">
        <v>227</v>
      </c>
      <c r="AT247" s="0" t="s">
        <v>227</v>
      </c>
      <c r="AU247" s="0" t="s">
        <v>227</v>
      </c>
      <c r="AV247" s="0" t="s">
        <v>227</v>
      </c>
      <c r="AW247" s="0" t="s">
        <v>227</v>
      </c>
      <c r="AX247" s="0" t="s">
        <v>227</v>
      </c>
      <c r="AY247" s="0" t="s">
        <v>227</v>
      </c>
      <c r="AZ247" s="0" t="s">
        <v>227</v>
      </c>
      <c r="BA247" s="0" t="s">
        <v>227</v>
      </c>
      <c r="BB247" s="0" t="s">
        <v>227</v>
      </c>
      <c r="BC247" s="0" t="s">
        <v>227</v>
      </c>
      <c r="BD247" s="0" t="s">
        <v>227</v>
      </c>
      <c r="BE247" s="0" t="s">
        <v>6207</v>
      </c>
      <c r="BF247" s="0" t="s">
        <v>5697</v>
      </c>
      <c r="BG247" s="0" t="s">
        <v>112</v>
      </c>
      <c r="BH247" s="0" t="s">
        <v>5690</v>
      </c>
      <c r="BI247" s="0" t="s">
        <v>5691</v>
      </c>
      <c r="BJ247" s="0" t="s">
        <v>227</v>
      </c>
      <c r="BK247" s="0" t="s">
        <v>5692</v>
      </c>
      <c r="BL247" s="0" t="s">
        <v>354</v>
      </c>
      <c r="BM247" s="0" t="s">
        <v>354</v>
      </c>
      <c r="BN247" s="0" t="s">
        <v>5693</v>
      </c>
      <c r="BO247" s="0" t="s">
        <v>5701</v>
      </c>
      <c r="BP247" s="0" t="s">
        <v>5706</v>
      </c>
      <c r="BQ247" s="0" t="s">
        <v>5692</v>
      </c>
      <c r="BR247" s="0" t="s">
        <v>5692</v>
      </c>
      <c r="BS247" s="0" t="s">
        <v>227</v>
      </c>
      <c r="BT247" s="0" t="s">
        <v>6206</v>
      </c>
      <c r="CS247" s="0" t="s">
        <v>5759</v>
      </c>
      <c r="CT247" s="0" t="s">
        <v>5679</v>
      </c>
      <c r="CU247" s="0" t="s">
        <v>5680</v>
      </c>
      <c r="CV247" s="0" t="s">
        <v>430</v>
      </c>
      <c r="CW247" s="0" t="s">
        <v>5699</v>
      </c>
      <c r="CX247" s="0" t="s">
        <v>431</v>
      </c>
      <c r="CY247" s="0" t="s">
        <v>430</v>
      </c>
      <c r="CZ247" s="0" t="s">
        <v>432</v>
      </c>
      <c r="DA247" s="0" t="s">
        <v>433</v>
      </c>
      <c r="DB247" s="0" t="s">
        <v>5700</v>
      </c>
      <c r="DC247" s="0" t="s">
        <v>373</v>
      </c>
      <c r="DD247" s="0" t="s">
        <v>290</v>
      </c>
      <c r="DE247" s="0" t="s">
        <v>1155</v>
      </c>
    </row>
    <row customHeight="1" ht="11.25">
      <c r="A248" s="1806" t="s">
        <v>227</v>
      </c>
      <c r="B248" s="0" t="s">
        <v>227</v>
      </c>
      <c r="C248" s="0" t="s">
        <v>227</v>
      </c>
      <c r="D248" s="0" t="s">
        <v>227</v>
      </c>
      <c r="E248" s="0" t="s">
        <v>227</v>
      </c>
      <c r="F248" s="0" t="s">
        <v>227</v>
      </c>
      <c r="G248" s="0" t="s">
        <v>227</v>
      </c>
      <c r="H248" s="0" t="s">
        <v>227</v>
      </c>
      <c r="I248" s="0" t="s">
        <v>6198</v>
      </c>
      <c r="J248" s="0" t="s">
        <v>227</v>
      </c>
      <c r="K248" s="0" t="s">
        <v>227</v>
      </c>
      <c r="L248" s="0" t="s">
        <v>227</v>
      </c>
      <c r="M248" s="0" t="s">
        <v>227</v>
      </c>
      <c r="N248" s="0" t="s">
        <v>227</v>
      </c>
      <c r="O248" s="0" t="s">
        <v>227</v>
      </c>
      <c r="P248" s="0" t="s">
        <v>227</v>
      </c>
      <c r="Q248" s="0" t="s">
        <v>227</v>
      </c>
      <c r="R248" s="0" t="s">
        <v>1048</v>
      </c>
      <c r="S248" s="0" t="s">
        <v>227</v>
      </c>
      <c r="T248" s="0" t="s">
        <v>227</v>
      </c>
      <c r="U248" s="0" t="s">
        <v>102</v>
      </c>
      <c r="V248" s="0" t="s">
        <v>227</v>
      </c>
      <c r="W248" s="0" t="s">
        <v>227</v>
      </c>
      <c r="X248" s="0" t="s">
        <v>5683</v>
      </c>
      <c r="Y248" s="0" t="s">
        <v>227</v>
      </c>
      <c r="Z248" s="0" t="s">
        <v>152</v>
      </c>
      <c r="AA248" s="0" t="s">
        <v>152</v>
      </c>
      <c r="AB248" s="0" t="s">
        <v>161</v>
      </c>
      <c r="AC248" s="0" t="s">
        <v>354</v>
      </c>
      <c r="AD248" s="0" t="s">
        <v>354</v>
      </c>
      <c r="AE248" s="0" t="s">
        <v>355</v>
      </c>
      <c r="AF248" s="0" t="s">
        <v>5684</v>
      </c>
      <c r="AG248" s="0" t="s">
        <v>5685</v>
      </c>
      <c r="AH248" s="0" t="s">
        <v>6266</v>
      </c>
      <c r="AI248" s="0" t="s">
        <v>5692</v>
      </c>
      <c r="AJ248" s="0" t="s">
        <v>227</v>
      </c>
      <c r="AK248" s="0" t="s">
        <v>227</v>
      </c>
      <c r="AL248" s="0" t="s">
        <v>227</v>
      </c>
      <c r="AN248" s="0" t="s">
        <v>227</v>
      </c>
      <c r="AO248" s="0" t="s">
        <v>227</v>
      </c>
      <c r="AP248" s="0" t="s">
        <v>227</v>
      </c>
      <c r="AQ248" s="0" t="s">
        <v>227</v>
      </c>
      <c r="AR248" s="0" t="s">
        <v>227</v>
      </c>
      <c r="AS248" s="0" t="s">
        <v>227</v>
      </c>
      <c r="AT248" s="0" t="s">
        <v>227</v>
      </c>
      <c r="AU248" s="0" t="s">
        <v>227</v>
      </c>
      <c r="AV248" s="0" t="s">
        <v>227</v>
      </c>
      <c r="AW248" s="0" t="s">
        <v>227</v>
      </c>
      <c r="AX248" s="0" t="s">
        <v>227</v>
      </c>
      <c r="AY248" s="0" t="s">
        <v>227</v>
      </c>
      <c r="AZ248" s="0" t="s">
        <v>227</v>
      </c>
      <c r="BA248" s="0" t="s">
        <v>227</v>
      </c>
      <c r="BB248" s="0" t="s">
        <v>227</v>
      </c>
      <c r="BC248" s="0" t="s">
        <v>227</v>
      </c>
      <c r="BD248" s="0" t="s">
        <v>227</v>
      </c>
      <c r="BE248" s="0" t="s">
        <v>6267</v>
      </c>
      <c r="BF248" s="0" t="s">
        <v>5697</v>
      </c>
      <c r="BG248" s="0" t="s">
        <v>112</v>
      </c>
      <c r="BH248" s="0" t="s">
        <v>5690</v>
      </c>
      <c r="BI248" s="0" t="s">
        <v>5691</v>
      </c>
      <c r="BJ248" s="0" t="s">
        <v>227</v>
      </c>
      <c r="BK248" s="0" t="s">
        <v>5692</v>
      </c>
      <c r="BL248" s="0" t="s">
        <v>354</v>
      </c>
      <c r="BM248" s="0" t="s">
        <v>354</v>
      </c>
      <c r="BN248" s="0" t="s">
        <v>5693</v>
      </c>
      <c r="BO248" s="0" t="s">
        <v>5684</v>
      </c>
      <c r="BP248" s="0" t="s">
        <v>5694</v>
      </c>
      <c r="BQ248" s="0" t="s">
        <v>5692</v>
      </c>
      <c r="BR248" s="0" t="s">
        <v>5692</v>
      </c>
      <c r="BS248" s="0" t="s">
        <v>227</v>
      </c>
      <c r="BT248" s="0" t="s">
        <v>6210</v>
      </c>
      <c r="CS248" s="0" t="s">
        <v>6014</v>
      </c>
      <c r="CT248" s="0" t="s">
        <v>5679</v>
      </c>
      <c r="CU248" s="0" t="s">
        <v>5680</v>
      </c>
      <c r="CV248" s="0" t="s">
        <v>430</v>
      </c>
      <c r="CW248" s="0" t="s">
        <v>5699</v>
      </c>
      <c r="CX248" s="0" t="s">
        <v>431</v>
      </c>
      <c r="CY248" s="0" t="s">
        <v>430</v>
      </c>
      <c r="CZ248" s="0" t="s">
        <v>432</v>
      </c>
      <c r="DA248" s="0" t="s">
        <v>433</v>
      </c>
      <c r="DB248" s="0" t="s">
        <v>5700</v>
      </c>
      <c r="DC248" s="0" t="s">
        <v>373</v>
      </c>
      <c r="DD248" s="0" t="s">
        <v>290</v>
      </c>
      <c r="DE248" s="0" t="s">
        <v>1047</v>
      </c>
    </row>
    <row customHeight="1" ht="11.25">
      <c r="A249" s="1806" t="s">
        <v>227</v>
      </c>
      <c r="B249" s="0" t="s">
        <v>227</v>
      </c>
      <c r="C249" s="0" t="s">
        <v>227</v>
      </c>
      <c r="D249" s="0" t="s">
        <v>227</v>
      </c>
      <c r="E249" s="0" t="s">
        <v>227</v>
      </c>
      <c r="F249" s="0" t="s">
        <v>227</v>
      </c>
      <c r="G249" s="0" t="s">
        <v>227</v>
      </c>
      <c r="H249" s="0" t="s">
        <v>227</v>
      </c>
      <c r="I249" s="0" t="s">
        <v>6198</v>
      </c>
      <c r="J249" s="0" t="s">
        <v>227</v>
      </c>
      <c r="K249" s="0" t="s">
        <v>227</v>
      </c>
      <c r="L249" s="0" t="s">
        <v>227</v>
      </c>
      <c r="M249" s="0" t="s">
        <v>227</v>
      </c>
      <c r="N249" s="0" t="s">
        <v>227</v>
      </c>
      <c r="O249" s="0" t="s">
        <v>227</v>
      </c>
      <c r="P249" s="0" t="s">
        <v>227</v>
      </c>
      <c r="Q249" s="0" t="s">
        <v>227</v>
      </c>
      <c r="R249" s="0" t="s">
        <v>1032</v>
      </c>
      <c r="S249" s="0" t="s">
        <v>227</v>
      </c>
      <c r="T249" s="0" t="s">
        <v>227</v>
      </c>
      <c r="U249" s="0" t="s">
        <v>102</v>
      </c>
      <c r="V249" s="0" t="s">
        <v>227</v>
      </c>
      <c r="W249" s="0" t="s">
        <v>227</v>
      </c>
      <c r="X249" s="0" t="s">
        <v>5683</v>
      </c>
      <c r="Y249" s="0" t="s">
        <v>227</v>
      </c>
      <c r="Z249" s="0" t="s">
        <v>152</v>
      </c>
      <c r="AA249" s="0" t="s">
        <v>152</v>
      </c>
      <c r="AB249" s="0" t="s">
        <v>161</v>
      </c>
      <c r="AC249" s="0" t="s">
        <v>354</v>
      </c>
      <c r="AD249" s="0" t="s">
        <v>354</v>
      </c>
      <c r="AE249" s="0" t="s">
        <v>355</v>
      </c>
      <c r="AF249" s="0" t="s">
        <v>5684</v>
      </c>
      <c r="AG249" s="0" t="s">
        <v>5685</v>
      </c>
      <c r="AH249" s="0" t="s">
        <v>5793</v>
      </c>
      <c r="AI249" s="0" t="s">
        <v>6268</v>
      </c>
      <c r="AJ249" s="0" t="s">
        <v>227</v>
      </c>
      <c r="AK249" s="0" t="s">
        <v>227</v>
      </c>
      <c r="AL249" s="0" t="s">
        <v>227</v>
      </c>
      <c r="AN249" s="0" t="s">
        <v>227</v>
      </c>
      <c r="AO249" s="0" t="s">
        <v>227</v>
      </c>
      <c r="AP249" s="0" t="s">
        <v>227</v>
      </c>
      <c r="AQ249" s="0" t="s">
        <v>227</v>
      </c>
      <c r="AR249" s="0" t="s">
        <v>227</v>
      </c>
      <c r="AS249" s="0" t="s">
        <v>227</v>
      </c>
      <c r="AT249" s="0" t="s">
        <v>227</v>
      </c>
      <c r="AU249" s="0" t="s">
        <v>227</v>
      </c>
      <c r="AV249" s="0" t="s">
        <v>227</v>
      </c>
      <c r="AW249" s="0" t="s">
        <v>227</v>
      </c>
      <c r="AX249" s="0" t="s">
        <v>227</v>
      </c>
      <c r="AY249" s="0" t="s">
        <v>227</v>
      </c>
      <c r="AZ249" s="0" t="s">
        <v>227</v>
      </c>
      <c r="BA249" s="0" t="s">
        <v>227</v>
      </c>
      <c r="BB249" s="0" t="s">
        <v>227</v>
      </c>
      <c r="BC249" s="0" t="s">
        <v>227</v>
      </c>
      <c r="BD249" s="0" t="s">
        <v>227</v>
      </c>
      <c r="BE249" s="0" t="s">
        <v>6209</v>
      </c>
      <c r="BF249" s="0" t="s">
        <v>5697</v>
      </c>
      <c r="BG249" s="0" t="s">
        <v>112</v>
      </c>
      <c r="BH249" s="0" t="s">
        <v>5690</v>
      </c>
      <c r="BI249" s="0" t="s">
        <v>5691</v>
      </c>
      <c r="BJ249" s="0" t="s">
        <v>227</v>
      </c>
      <c r="BK249" s="0" t="s">
        <v>5692</v>
      </c>
      <c r="BL249" s="0" t="s">
        <v>354</v>
      </c>
      <c r="BM249" s="0" t="s">
        <v>354</v>
      </c>
      <c r="BN249" s="0" t="s">
        <v>5693</v>
      </c>
      <c r="BO249" s="0" t="s">
        <v>5684</v>
      </c>
      <c r="BP249" s="0" t="s">
        <v>5694</v>
      </c>
      <c r="BQ249" s="0" t="s">
        <v>5692</v>
      </c>
      <c r="BR249" s="0" t="s">
        <v>5692</v>
      </c>
      <c r="BS249" s="0" t="s">
        <v>227</v>
      </c>
      <c r="BT249" s="0" t="s">
        <v>6210</v>
      </c>
      <c r="CS249" s="0" t="s">
        <v>5759</v>
      </c>
      <c r="CT249" s="0" t="s">
        <v>5679</v>
      </c>
      <c r="CU249" s="0" t="s">
        <v>5680</v>
      </c>
      <c r="CV249" s="0" t="s">
        <v>430</v>
      </c>
      <c r="CW249" s="0" t="s">
        <v>5699</v>
      </c>
      <c r="CX249" s="0" t="s">
        <v>431</v>
      </c>
      <c r="CY249" s="0" t="s">
        <v>430</v>
      </c>
      <c r="CZ249" s="0" t="s">
        <v>432</v>
      </c>
      <c r="DA249" s="0" t="s">
        <v>433</v>
      </c>
      <c r="DB249" s="0" t="s">
        <v>5700</v>
      </c>
      <c r="DC249" s="0" t="s">
        <v>373</v>
      </c>
      <c r="DD249" s="0" t="s">
        <v>290</v>
      </c>
      <c r="DE249" s="0" t="s">
        <v>1033</v>
      </c>
    </row>
    <row customHeight="1" ht="11.25">
      <c r="A250" s="1806" t="s">
        <v>227</v>
      </c>
      <c r="B250" s="0" t="s">
        <v>227</v>
      </c>
      <c r="C250" s="0" t="s">
        <v>227</v>
      </c>
      <c r="D250" s="0" t="s">
        <v>227</v>
      </c>
      <c r="E250" s="0" t="s">
        <v>227</v>
      </c>
      <c r="F250" s="0" t="s">
        <v>227</v>
      </c>
      <c r="G250" s="0" t="s">
        <v>227</v>
      </c>
      <c r="H250" s="0" t="s">
        <v>227</v>
      </c>
      <c r="I250" s="0" t="s">
        <v>6198</v>
      </c>
      <c r="J250" s="0" t="s">
        <v>227</v>
      </c>
      <c r="K250" s="0" t="s">
        <v>227</v>
      </c>
      <c r="L250" s="0" t="s">
        <v>227</v>
      </c>
      <c r="M250" s="0" t="s">
        <v>227</v>
      </c>
      <c r="N250" s="0" t="s">
        <v>227</v>
      </c>
      <c r="O250" s="0" t="s">
        <v>227</v>
      </c>
      <c r="P250" s="0" t="s">
        <v>227</v>
      </c>
      <c r="Q250" s="0" t="s">
        <v>227</v>
      </c>
      <c r="R250" s="0" t="s">
        <v>1069</v>
      </c>
      <c r="S250" s="0" t="s">
        <v>227</v>
      </c>
      <c r="T250" s="0" t="s">
        <v>227</v>
      </c>
      <c r="U250" s="0" t="s">
        <v>102</v>
      </c>
      <c r="V250" s="0" t="s">
        <v>227</v>
      </c>
      <c r="W250" s="0" t="s">
        <v>227</v>
      </c>
      <c r="X250" s="0" t="s">
        <v>5683</v>
      </c>
      <c r="Y250" s="0" t="s">
        <v>227</v>
      </c>
      <c r="Z250" s="0" t="s">
        <v>152</v>
      </c>
      <c r="AA250" s="0" t="s">
        <v>152</v>
      </c>
      <c r="AB250" s="0" t="s">
        <v>161</v>
      </c>
      <c r="AC250" s="0" t="s">
        <v>354</v>
      </c>
      <c r="AD250" s="0" t="s">
        <v>354</v>
      </c>
      <c r="AE250" s="0" t="s">
        <v>355</v>
      </c>
      <c r="AF250" s="0" t="s">
        <v>5684</v>
      </c>
      <c r="AG250" s="0" t="s">
        <v>5685</v>
      </c>
      <c r="AH250" s="0" t="s">
        <v>5949</v>
      </c>
      <c r="AI250" s="0" t="s">
        <v>6269</v>
      </c>
      <c r="AJ250" s="0" t="s">
        <v>227</v>
      </c>
      <c r="AK250" s="0" t="s">
        <v>227</v>
      </c>
      <c r="AL250" s="0" t="s">
        <v>227</v>
      </c>
      <c r="AN250" s="0" t="s">
        <v>227</v>
      </c>
      <c r="AO250" s="0" t="s">
        <v>227</v>
      </c>
      <c r="AP250" s="0" t="s">
        <v>227</v>
      </c>
      <c r="AQ250" s="0" t="s">
        <v>227</v>
      </c>
      <c r="AR250" s="0" t="s">
        <v>227</v>
      </c>
      <c r="AS250" s="0" t="s">
        <v>227</v>
      </c>
      <c r="AT250" s="0" t="s">
        <v>227</v>
      </c>
      <c r="AU250" s="0" t="s">
        <v>227</v>
      </c>
      <c r="AV250" s="0" t="s">
        <v>227</v>
      </c>
      <c r="AW250" s="0" t="s">
        <v>227</v>
      </c>
      <c r="AX250" s="0" t="s">
        <v>227</v>
      </c>
      <c r="AY250" s="0" t="s">
        <v>227</v>
      </c>
      <c r="AZ250" s="0" t="s">
        <v>227</v>
      </c>
      <c r="BA250" s="0" t="s">
        <v>227</v>
      </c>
      <c r="BB250" s="0" t="s">
        <v>227</v>
      </c>
      <c r="BC250" s="0" t="s">
        <v>227</v>
      </c>
      <c r="BD250" s="0" t="s">
        <v>227</v>
      </c>
      <c r="BE250" s="0" t="s">
        <v>6270</v>
      </c>
      <c r="BF250" s="0" t="s">
        <v>5697</v>
      </c>
      <c r="BG250" s="0" t="s">
        <v>112</v>
      </c>
      <c r="BH250" s="0" t="s">
        <v>5690</v>
      </c>
      <c r="BI250" s="0" t="s">
        <v>5691</v>
      </c>
      <c r="BJ250" s="0" t="s">
        <v>227</v>
      </c>
      <c r="BK250" s="0" t="s">
        <v>5692</v>
      </c>
      <c r="BL250" s="0" t="s">
        <v>354</v>
      </c>
      <c r="BM250" s="0" t="s">
        <v>354</v>
      </c>
      <c r="BN250" s="0" t="s">
        <v>5693</v>
      </c>
      <c r="BO250" s="0" t="s">
        <v>5684</v>
      </c>
      <c r="BP250" s="0" t="s">
        <v>5694</v>
      </c>
      <c r="BQ250" s="0" t="s">
        <v>5692</v>
      </c>
      <c r="BR250" s="0" t="s">
        <v>5692</v>
      </c>
      <c r="BS250" s="0" t="s">
        <v>227</v>
      </c>
      <c r="BT250" s="0" t="s">
        <v>6210</v>
      </c>
      <c r="CS250" s="0" t="s">
        <v>5759</v>
      </c>
      <c r="CT250" s="0" t="s">
        <v>5679</v>
      </c>
      <c r="CU250" s="0" t="s">
        <v>5680</v>
      </c>
      <c r="CV250" s="0" t="s">
        <v>430</v>
      </c>
      <c r="CW250" s="0" t="s">
        <v>5699</v>
      </c>
      <c r="CX250" s="0" t="s">
        <v>431</v>
      </c>
      <c r="CY250" s="0" t="s">
        <v>430</v>
      </c>
      <c r="CZ250" s="0" t="s">
        <v>432</v>
      </c>
      <c r="DA250" s="0" t="s">
        <v>433</v>
      </c>
      <c r="DB250" s="0" t="s">
        <v>5700</v>
      </c>
      <c r="DC250" s="0" t="s">
        <v>373</v>
      </c>
      <c r="DD250" s="0" t="s">
        <v>290</v>
      </c>
      <c r="DE250" s="0" t="s">
        <v>1070</v>
      </c>
    </row>
    <row customHeight="1" ht="11.25">
      <c r="A251" s="1806" t="s">
        <v>227</v>
      </c>
      <c r="B251" s="0" t="s">
        <v>227</v>
      </c>
      <c r="C251" s="0" t="s">
        <v>227</v>
      </c>
      <c r="D251" s="0" t="s">
        <v>227</v>
      </c>
      <c r="E251" s="0" t="s">
        <v>227</v>
      </c>
      <c r="F251" s="0" t="s">
        <v>227</v>
      </c>
      <c r="G251" s="0" t="s">
        <v>227</v>
      </c>
      <c r="H251" s="0" t="s">
        <v>227</v>
      </c>
      <c r="I251" s="0" t="s">
        <v>6198</v>
      </c>
      <c r="J251" s="0" t="s">
        <v>227</v>
      </c>
      <c r="K251" s="0" t="s">
        <v>227</v>
      </c>
      <c r="L251" s="0" t="s">
        <v>227</v>
      </c>
      <c r="M251" s="0" t="s">
        <v>227</v>
      </c>
      <c r="N251" s="0" t="s">
        <v>227</v>
      </c>
      <c r="O251" s="0" t="s">
        <v>227</v>
      </c>
      <c r="P251" s="0" t="s">
        <v>227</v>
      </c>
      <c r="Q251" s="0" t="s">
        <v>227</v>
      </c>
      <c r="R251" s="0" t="s">
        <v>1072</v>
      </c>
      <c r="S251" s="0" t="s">
        <v>227</v>
      </c>
      <c r="T251" s="0" t="s">
        <v>227</v>
      </c>
      <c r="U251" s="0" t="s">
        <v>102</v>
      </c>
      <c r="V251" s="0" t="s">
        <v>227</v>
      </c>
      <c r="W251" s="0" t="s">
        <v>227</v>
      </c>
      <c r="X251" s="0" t="s">
        <v>5683</v>
      </c>
      <c r="Y251" s="0" t="s">
        <v>227</v>
      </c>
      <c r="Z251" s="0" t="s">
        <v>152</v>
      </c>
      <c r="AA251" s="0" t="s">
        <v>152</v>
      </c>
      <c r="AB251" s="0" t="s">
        <v>161</v>
      </c>
      <c r="AC251" s="0" t="s">
        <v>354</v>
      </c>
      <c r="AD251" s="0" t="s">
        <v>354</v>
      </c>
      <c r="AE251" s="0" t="s">
        <v>355</v>
      </c>
      <c r="AF251" s="0" t="s">
        <v>5684</v>
      </c>
      <c r="AG251" s="0" t="s">
        <v>5685</v>
      </c>
      <c r="AH251" s="0" t="s">
        <v>5949</v>
      </c>
      <c r="AI251" s="0" t="s">
        <v>599</v>
      </c>
      <c r="AJ251" s="0" t="s">
        <v>227</v>
      </c>
      <c r="AK251" s="0" t="s">
        <v>227</v>
      </c>
      <c r="AL251" s="0" t="s">
        <v>227</v>
      </c>
      <c r="AN251" s="0" t="s">
        <v>227</v>
      </c>
      <c r="AO251" s="0" t="s">
        <v>227</v>
      </c>
      <c r="AP251" s="0" t="s">
        <v>227</v>
      </c>
      <c r="AQ251" s="0" t="s">
        <v>227</v>
      </c>
      <c r="AR251" s="0" t="s">
        <v>227</v>
      </c>
      <c r="AS251" s="0" t="s">
        <v>227</v>
      </c>
      <c r="AT251" s="0" t="s">
        <v>227</v>
      </c>
      <c r="AU251" s="0" t="s">
        <v>227</v>
      </c>
      <c r="AV251" s="0" t="s">
        <v>227</v>
      </c>
      <c r="AW251" s="0" t="s">
        <v>227</v>
      </c>
      <c r="AX251" s="0" t="s">
        <v>227</v>
      </c>
      <c r="AY251" s="0" t="s">
        <v>227</v>
      </c>
      <c r="AZ251" s="0" t="s">
        <v>227</v>
      </c>
      <c r="BA251" s="0" t="s">
        <v>227</v>
      </c>
      <c r="BB251" s="0" t="s">
        <v>227</v>
      </c>
      <c r="BC251" s="0" t="s">
        <v>227</v>
      </c>
      <c r="BD251" s="0" t="s">
        <v>227</v>
      </c>
      <c r="BE251" s="0" t="s">
        <v>6155</v>
      </c>
      <c r="BF251" s="0" t="s">
        <v>5697</v>
      </c>
      <c r="BG251" s="0" t="s">
        <v>112</v>
      </c>
      <c r="BH251" s="0" t="s">
        <v>5690</v>
      </c>
      <c r="BI251" s="0" t="s">
        <v>5691</v>
      </c>
      <c r="BJ251" s="0" t="s">
        <v>227</v>
      </c>
      <c r="BK251" s="0" t="s">
        <v>5692</v>
      </c>
      <c r="BL251" s="0" t="s">
        <v>354</v>
      </c>
      <c r="BM251" s="0" t="s">
        <v>354</v>
      </c>
      <c r="BN251" s="0" t="s">
        <v>5693</v>
      </c>
      <c r="BO251" s="0" t="s">
        <v>5684</v>
      </c>
      <c r="BP251" s="0" t="s">
        <v>5694</v>
      </c>
      <c r="BQ251" s="0" t="s">
        <v>5692</v>
      </c>
      <c r="BR251" s="0" t="s">
        <v>5692</v>
      </c>
      <c r="BS251" s="0" t="s">
        <v>227</v>
      </c>
      <c r="BT251" s="0" t="s">
        <v>6206</v>
      </c>
      <c r="CS251" s="0" t="s">
        <v>5759</v>
      </c>
      <c r="CT251" s="0" t="s">
        <v>5679</v>
      </c>
      <c r="CU251" s="0" t="s">
        <v>5680</v>
      </c>
      <c r="CV251" s="0" t="s">
        <v>430</v>
      </c>
      <c r="CW251" s="0" t="s">
        <v>5699</v>
      </c>
      <c r="CX251" s="0" t="s">
        <v>431</v>
      </c>
      <c r="CY251" s="0" t="s">
        <v>430</v>
      </c>
      <c r="CZ251" s="0" t="s">
        <v>432</v>
      </c>
      <c r="DA251" s="0" t="s">
        <v>433</v>
      </c>
      <c r="DB251" s="0" t="s">
        <v>5700</v>
      </c>
      <c r="DC251" s="0" t="s">
        <v>373</v>
      </c>
      <c r="DD251" s="0" t="s">
        <v>290</v>
      </c>
      <c r="DE251" s="0" t="s">
        <v>1073</v>
      </c>
    </row>
    <row customHeight="1" ht="11.25">
      <c r="A252" s="1806" t="s">
        <v>227</v>
      </c>
      <c r="B252" s="0" t="s">
        <v>227</v>
      </c>
      <c r="C252" s="0" t="s">
        <v>227</v>
      </c>
      <c r="D252" s="0" t="s">
        <v>227</v>
      </c>
      <c r="E252" s="0" t="s">
        <v>227</v>
      </c>
      <c r="F252" s="0" t="s">
        <v>227</v>
      </c>
      <c r="G252" s="0" t="s">
        <v>227</v>
      </c>
      <c r="H252" s="0" t="s">
        <v>227</v>
      </c>
      <c r="I252" s="0" t="s">
        <v>6198</v>
      </c>
      <c r="J252" s="0" t="s">
        <v>227</v>
      </c>
      <c r="K252" s="0" t="s">
        <v>227</v>
      </c>
      <c r="L252" s="0" t="s">
        <v>227</v>
      </c>
      <c r="M252" s="0" t="s">
        <v>227</v>
      </c>
      <c r="N252" s="0" t="s">
        <v>227</v>
      </c>
      <c r="O252" s="0" t="s">
        <v>227</v>
      </c>
      <c r="P252" s="0" t="s">
        <v>227</v>
      </c>
      <c r="Q252" s="0" t="s">
        <v>227</v>
      </c>
      <c r="R252" s="0" t="s">
        <v>1152</v>
      </c>
      <c r="S252" s="0" t="s">
        <v>227</v>
      </c>
      <c r="T252" s="0" t="s">
        <v>227</v>
      </c>
      <c r="U252" s="0" t="s">
        <v>102</v>
      </c>
      <c r="V252" s="0" t="s">
        <v>227</v>
      </c>
      <c r="W252" s="0" t="s">
        <v>227</v>
      </c>
      <c r="X252" s="0" t="s">
        <v>5683</v>
      </c>
      <c r="Y252" s="0" t="s">
        <v>227</v>
      </c>
      <c r="Z252" s="0" t="s">
        <v>152</v>
      </c>
      <c r="AA252" s="0" t="s">
        <v>152</v>
      </c>
      <c r="AB252" s="0" t="s">
        <v>161</v>
      </c>
      <c r="AC252" s="0" t="s">
        <v>354</v>
      </c>
      <c r="AD252" s="0" t="s">
        <v>354</v>
      </c>
      <c r="AE252" s="0" t="s">
        <v>355</v>
      </c>
      <c r="AF252" s="0" t="s">
        <v>5701</v>
      </c>
      <c r="AG252" s="0" t="s">
        <v>5702</v>
      </c>
      <c r="AH252" s="0" t="s">
        <v>5703</v>
      </c>
      <c r="AI252" s="0" t="s">
        <v>535</v>
      </c>
      <c r="AJ252" s="0" t="s">
        <v>227</v>
      </c>
      <c r="AK252" s="0" t="s">
        <v>227</v>
      </c>
      <c r="AL252" s="0" t="s">
        <v>227</v>
      </c>
      <c r="AN252" s="0" t="s">
        <v>227</v>
      </c>
      <c r="AO252" s="0" t="s">
        <v>227</v>
      </c>
      <c r="AP252" s="0" t="s">
        <v>227</v>
      </c>
      <c r="AQ252" s="0" t="s">
        <v>227</v>
      </c>
      <c r="AR252" s="0" t="s">
        <v>227</v>
      </c>
      <c r="AS252" s="0" t="s">
        <v>227</v>
      </c>
      <c r="AT252" s="0" t="s">
        <v>227</v>
      </c>
      <c r="AU252" s="0" t="s">
        <v>227</v>
      </c>
      <c r="AV252" s="0" t="s">
        <v>227</v>
      </c>
      <c r="AW252" s="0" t="s">
        <v>227</v>
      </c>
      <c r="AX252" s="0" t="s">
        <v>227</v>
      </c>
      <c r="AY252" s="0" t="s">
        <v>227</v>
      </c>
      <c r="AZ252" s="0" t="s">
        <v>227</v>
      </c>
      <c r="BA252" s="0" t="s">
        <v>227</v>
      </c>
      <c r="BB252" s="0" t="s">
        <v>227</v>
      </c>
      <c r="BC252" s="0" t="s">
        <v>227</v>
      </c>
      <c r="BD252" s="0" t="s">
        <v>227</v>
      </c>
      <c r="BE252" s="0" t="s">
        <v>6155</v>
      </c>
      <c r="BF252" s="0" t="s">
        <v>5697</v>
      </c>
      <c r="BG252" s="0" t="s">
        <v>112</v>
      </c>
      <c r="BH252" s="0" t="s">
        <v>5690</v>
      </c>
      <c r="BI252" s="0" t="s">
        <v>5691</v>
      </c>
      <c r="BJ252" s="0" t="s">
        <v>227</v>
      </c>
      <c r="BK252" s="0" t="s">
        <v>5692</v>
      </c>
      <c r="BL252" s="0" t="s">
        <v>354</v>
      </c>
      <c r="BM252" s="0" t="s">
        <v>354</v>
      </c>
      <c r="BN252" s="0" t="s">
        <v>5693</v>
      </c>
      <c r="BO252" s="0" t="s">
        <v>5701</v>
      </c>
      <c r="BP252" s="0" t="s">
        <v>5706</v>
      </c>
      <c r="BQ252" s="0" t="s">
        <v>5692</v>
      </c>
      <c r="BR252" s="0" t="s">
        <v>5692</v>
      </c>
      <c r="BS252" s="0" t="s">
        <v>227</v>
      </c>
      <c r="BT252" s="0" t="s">
        <v>6206</v>
      </c>
      <c r="CS252" s="0" t="s">
        <v>5759</v>
      </c>
      <c r="CT252" s="0" t="s">
        <v>5679</v>
      </c>
      <c r="CU252" s="0" t="s">
        <v>5680</v>
      </c>
      <c r="CV252" s="0" t="s">
        <v>430</v>
      </c>
      <c r="CW252" s="0" t="s">
        <v>5699</v>
      </c>
      <c r="CX252" s="0" t="s">
        <v>431</v>
      </c>
      <c r="CY252" s="0" t="s">
        <v>430</v>
      </c>
      <c r="CZ252" s="0" t="s">
        <v>432</v>
      </c>
      <c r="DA252" s="0" t="s">
        <v>433</v>
      </c>
      <c r="DB252" s="0" t="s">
        <v>5700</v>
      </c>
      <c r="DC252" s="0" t="s">
        <v>373</v>
      </c>
      <c r="DD252" s="0" t="s">
        <v>290</v>
      </c>
      <c r="DE252" s="0" t="s">
        <v>801</v>
      </c>
    </row>
    <row customHeight="1" ht="11.25">
      <c r="A253" s="1806" t="s">
        <v>227</v>
      </c>
      <c r="B253" s="0" t="s">
        <v>227</v>
      </c>
      <c r="C253" s="0" t="s">
        <v>227</v>
      </c>
      <c r="D253" s="0" t="s">
        <v>227</v>
      </c>
      <c r="E253" s="0" t="s">
        <v>227</v>
      </c>
      <c r="F253" s="0" t="s">
        <v>227</v>
      </c>
      <c r="G253" s="0" t="s">
        <v>227</v>
      </c>
      <c r="H253" s="0" t="s">
        <v>227</v>
      </c>
      <c r="I253" s="0" t="s">
        <v>6198</v>
      </c>
      <c r="J253" s="0" t="s">
        <v>227</v>
      </c>
      <c r="K253" s="0" t="s">
        <v>227</v>
      </c>
      <c r="L253" s="0" t="s">
        <v>227</v>
      </c>
      <c r="M253" s="0" t="s">
        <v>227</v>
      </c>
      <c r="N253" s="0" t="s">
        <v>227</v>
      </c>
      <c r="O253" s="0" t="s">
        <v>227</v>
      </c>
      <c r="P253" s="0" t="s">
        <v>227</v>
      </c>
      <c r="Q253" s="0" t="s">
        <v>227</v>
      </c>
      <c r="R253" s="0" t="s">
        <v>1136</v>
      </c>
      <c r="S253" s="0" t="s">
        <v>227</v>
      </c>
      <c r="T253" s="0" t="s">
        <v>227</v>
      </c>
      <c r="U253" s="0" t="s">
        <v>102</v>
      </c>
      <c r="V253" s="0" t="s">
        <v>227</v>
      </c>
      <c r="W253" s="0" t="s">
        <v>227</v>
      </c>
      <c r="X253" s="0" t="s">
        <v>5683</v>
      </c>
      <c r="Y253" s="0" t="s">
        <v>227</v>
      </c>
      <c r="Z253" s="0" t="s">
        <v>152</v>
      </c>
      <c r="AA253" s="0" t="s">
        <v>152</v>
      </c>
      <c r="AB253" s="0" t="s">
        <v>161</v>
      </c>
      <c r="AC253" s="0" t="s">
        <v>354</v>
      </c>
      <c r="AD253" s="0" t="s">
        <v>354</v>
      </c>
      <c r="AE253" s="0" t="s">
        <v>355</v>
      </c>
      <c r="AF253" s="0" t="s">
        <v>5701</v>
      </c>
      <c r="AG253" s="0" t="s">
        <v>5702</v>
      </c>
      <c r="AH253" s="0" t="s">
        <v>5703</v>
      </c>
      <c r="AI253" s="0" t="s">
        <v>458</v>
      </c>
      <c r="AJ253" s="0" t="s">
        <v>227</v>
      </c>
      <c r="AK253" s="0" t="s">
        <v>227</v>
      </c>
      <c r="AL253" s="0" t="s">
        <v>227</v>
      </c>
      <c r="AN253" s="0" t="s">
        <v>227</v>
      </c>
      <c r="AO253" s="0" t="s">
        <v>227</v>
      </c>
      <c r="AP253" s="0" t="s">
        <v>227</v>
      </c>
      <c r="AQ253" s="0" t="s">
        <v>227</v>
      </c>
      <c r="AR253" s="0" t="s">
        <v>227</v>
      </c>
      <c r="AS253" s="0" t="s">
        <v>227</v>
      </c>
      <c r="AT253" s="0" t="s">
        <v>227</v>
      </c>
      <c r="AU253" s="0" t="s">
        <v>227</v>
      </c>
      <c r="AV253" s="0" t="s">
        <v>227</v>
      </c>
      <c r="AW253" s="0" t="s">
        <v>227</v>
      </c>
      <c r="AX253" s="0" t="s">
        <v>227</v>
      </c>
      <c r="AY253" s="0" t="s">
        <v>227</v>
      </c>
      <c r="AZ253" s="0" t="s">
        <v>227</v>
      </c>
      <c r="BA253" s="0" t="s">
        <v>227</v>
      </c>
      <c r="BB253" s="0" t="s">
        <v>227</v>
      </c>
      <c r="BC253" s="0" t="s">
        <v>227</v>
      </c>
      <c r="BD253" s="0" t="s">
        <v>227</v>
      </c>
      <c r="BE253" s="0" t="s">
        <v>6207</v>
      </c>
      <c r="BF253" s="0" t="s">
        <v>5697</v>
      </c>
      <c r="BG253" s="0" t="s">
        <v>112</v>
      </c>
      <c r="BH253" s="0" t="s">
        <v>5690</v>
      </c>
      <c r="BI253" s="0" t="s">
        <v>5691</v>
      </c>
      <c r="BJ253" s="0" t="s">
        <v>227</v>
      </c>
      <c r="BK253" s="0" t="s">
        <v>5692</v>
      </c>
      <c r="BL253" s="0" t="s">
        <v>354</v>
      </c>
      <c r="BM253" s="0" t="s">
        <v>354</v>
      </c>
      <c r="BN253" s="0" t="s">
        <v>5693</v>
      </c>
      <c r="BO253" s="0" t="s">
        <v>5701</v>
      </c>
      <c r="BP253" s="0" t="s">
        <v>5706</v>
      </c>
      <c r="BQ253" s="0" t="s">
        <v>5692</v>
      </c>
      <c r="BR253" s="0" t="s">
        <v>5692</v>
      </c>
      <c r="BS253" s="0" t="s">
        <v>227</v>
      </c>
      <c r="BT253" s="0" t="s">
        <v>6206</v>
      </c>
      <c r="CS253" s="0" t="s">
        <v>5759</v>
      </c>
      <c r="CT253" s="0" t="s">
        <v>5679</v>
      </c>
      <c r="CU253" s="0" t="s">
        <v>5680</v>
      </c>
      <c r="CV253" s="0" t="s">
        <v>430</v>
      </c>
      <c r="CW253" s="0" t="s">
        <v>5699</v>
      </c>
      <c r="CX253" s="0" t="s">
        <v>431</v>
      </c>
      <c r="CY253" s="0" t="s">
        <v>430</v>
      </c>
      <c r="CZ253" s="0" t="s">
        <v>432</v>
      </c>
      <c r="DA253" s="0" t="s">
        <v>433</v>
      </c>
      <c r="DB253" s="0" t="s">
        <v>5700</v>
      </c>
      <c r="DC253" s="0" t="s">
        <v>373</v>
      </c>
      <c r="DD253" s="0" t="s">
        <v>290</v>
      </c>
      <c r="DE253" s="0" t="s">
        <v>1137</v>
      </c>
    </row>
    <row customHeight="1" ht="11.25">
      <c r="A254" s="1806" t="s">
        <v>227</v>
      </c>
      <c r="B254" s="0" t="s">
        <v>227</v>
      </c>
      <c r="C254" s="0" t="s">
        <v>227</v>
      </c>
      <c r="D254" s="0" t="s">
        <v>227</v>
      </c>
      <c r="E254" s="0" t="s">
        <v>227</v>
      </c>
      <c r="F254" s="0" t="s">
        <v>227</v>
      </c>
      <c r="G254" s="0" t="s">
        <v>227</v>
      </c>
      <c r="H254" s="0" t="s">
        <v>227</v>
      </c>
      <c r="I254" s="0" t="s">
        <v>6198</v>
      </c>
      <c r="J254" s="0" t="s">
        <v>227</v>
      </c>
      <c r="K254" s="0" t="s">
        <v>227</v>
      </c>
      <c r="L254" s="0" t="s">
        <v>227</v>
      </c>
      <c r="M254" s="0" t="s">
        <v>227</v>
      </c>
      <c r="N254" s="0" t="s">
        <v>227</v>
      </c>
      <c r="O254" s="0" t="s">
        <v>227</v>
      </c>
      <c r="P254" s="0" t="s">
        <v>227</v>
      </c>
      <c r="Q254" s="0" t="s">
        <v>227</v>
      </c>
      <c r="R254" s="0" t="s">
        <v>1036</v>
      </c>
      <c r="S254" s="0" t="s">
        <v>227</v>
      </c>
      <c r="T254" s="0" t="s">
        <v>227</v>
      </c>
      <c r="U254" s="0" t="s">
        <v>102</v>
      </c>
      <c r="V254" s="0" t="s">
        <v>227</v>
      </c>
      <c r="W254" s="0" t="s">
        <v>227</v>
      </c>
      <c r="X254" s="0" t="s">
        <v>5683</v>
      </c>
      <c r="Y254" s="0" t="s">
        <v>227</v>
      </c>
      <c r="Z254" s="0" t="s">
        <v>152</v>
      </c>
      <c r="AA254" s="0" t="s">
        <v>152</v>
      </c>
      <c r="AB254" s="0" t="s">
        <v>161</v>
      </c>
      <c r="AC254" s="0" t="s">
        <v>354</v>
      </c>
      <c r="AD254" s="0" t="s">
        <v>354</v>
      </c>
      <c r="AE254" s="0" t="s">
        <v>355</v>
      </c>
      <c r="AF254" s="0" t="s">
        <v>5684</v>
      </c>
      <c r="AG254" s="0" t="s">
        <v>5685</v>
      </c>
      <c r="AH254" s="0" t="s">
        <v>5793</v>
      </c>
      <c r="AI254" s="0" t="s">
        <v>532</v>
      </c>
      <c r="AJ254" s="0" t="s">
        <v>227</v>
      </c>
      <c r="AK254" s="0" t="s">
        <v>227</v>
      </c>
      <c r="AL254" s="0" t="s">
        <v>227</v>
      </c>
      <c r="AN254" s="0" t="s">
        <v>227</v>
      </c>
      <c r="AO254" s="0" t="s">
        <v>227</v>
      </c>
      <c r="AP254" s="0" t="s">
        <v>227</v>
      </c>
      <c r="AQ254" s="0" t="s">
        <v>227</v>
      </c>
      <c r="AR254" s="0" t="s">
        <v>227</v>
      </c>
      <c r="AS254" s="0" t="s">
        <v>227</v>
      </c>
      <c r="AT254" s="0" t="s">
        <v>227</v>
      </c>
      <c r="AU254" s="0" t="s">
        <v>227</v>
      </c>
      <c r="AV254" s="0" t="s">
        <v>227</v>
      </c>
      <c r="AW254" s="0" t="s">
        <v>227</v>
      </c>
      <c r="AX254" s="0" t="s">
        <v>227</v>
      </c>
      <c r="AY254" s="0" t="s">
        <v>227</v>
      </c>
      <c r="AZ254" s="0" t="s">
        <v>227</v>
      </c>
      <c r="BA254" s="0" t="s">
        <v>227</v>
      </c>
      <c r="BB254" s="0" t="s">
        <v>227</v>
      </c>
      <c r="BC254" s="0" t="s">
        <v>227</v>
      </c>
      <c r="BD254" s="0" t="s">
        <v>227</v>
      </c>
      <c r="BE254" s="0" t="s">
        <v>6207</v>
      </c>
      <c r="BF254" s="0" t="s">
        <v>5697</v>
      </c>
      <c r="BG254" s="0" t="s">
        <v>112</v>
      </c>
      <c r="BH254" s="0" t="s">
        <v>5690</v>
      </c>
      <c r="BI254" s="0" t="s">
        <v>5691</v>
      </c>
      <c r="BJ254" s="0" t="s">
        <v>227</v>
      </c>
      <c r="BK254" s="0" t="s">
        <v>5692</v>
      </c>
      <c r="BL254" s="0" t="s">
        <v>354</v>
      </c>
      <c r="BM254" s="0" t="s">
        <v>354</v>
      </c>
      <c r="BN254" s="0" t="s">
        <v>5693</v>
      </c>
      <c r="BO254" s="0" t="s">
        <v>5684</v>
      </c>
      <c r="BP254" s="0" t="s">
        <v>5694</v>
      </c>
      <c r="BQ254" s="0" t="s">
        <v>5692</v>
      </c>
      <c r="BR254" s="0" t="s">
        <v>5692</v>
      </c>
      <c r="BS254" s="0" t="s">
        <v>227</v>
      </c>
      <c r="BT254" s="0" t="s">
        <v>6206</v>
      </c>
      <c r="CS254" s="0" t="s">
        <v>5759</v>
      </c>
      <c r="CT254" s="0" t="s">
        <v>5679</v>
      </c>
      <c r="CU254" s="0" t="s">
        <v>5680</v>
      </c>
      <c r="CV254" s="0" t="s">
        <v>430</v>
      </c>
      <c r="CW254" s="0" t="s">
        <v>5699</v>
      </c>
      <c r="CX254" s="0" t="s">
        <v>431</v>
      </c>
      <c r="CY254" s="0" t="s">
        <v>430</v>
      </c>
      <c r="CZ254" s="0" t="s">
        <v>432</v>
      </c>
      <c r="DA254" s="0" t="s">
        <v>433</v>
      </c>
      <c r="DB254" s="0" t="s">
        <v>5700</v>
      </c>
      <c r="DC254" s="0" t="s">
        <v>373</v>
      </c>
      <c r="DD254" s="0" t="s">
        <v>290</v>
      </c>
      <c r="DE254" s="0" t="s">
        <v>1037</v>
      </c>
    </row>
    <row customHeight="1" ht="11.25">
      <c r="A255" s="1806" t="s">
        <v>227</v>
      </c>
      <c r="B255" s="0" t="s">
        <v>227</v>
      </c>
      <c r="C255" s="0" t="s">
        <v>227</v>
      </c>
      <c r="D255" s="0" t="s">
        <v>227</v>
      </c>
      <c r="E255" s="0" t="s">
        <v>227</v>
      </c>
      <c r="F255" s="0" t="s">
        <v>227</v>
      </c>
      <c r="G255" s="0" t="s">
        <v>227</v>
      </c>
      <c r="H255" s="0" t="s">
        <v>227</v>
      </c>
      <c r="I255" s="0" t="s">
        <v>6198</v>
      </c>
      <c r="J255" s="0" t="s">
        <v>227</v>
      </c>
      <c r="K255" s="0" t="s">
        <v>227</v>
      </c>
      <c r="L255" s="0" t="s">
        <v>227</v>
      </c>
      <c r="M255" s="0" t="s">
        <v>227</v>
      </c>
      <c r="N255" s="0" t="s">
        <v>227</v>
      </c>
      <c r="O255" s="0" t="s">
        <v>227</v>
      </c>
      <c r="P255" s="0" t="s">
        <v>227</v>
      </c>
      <c r="Q255" s="0" t="s">
        <v>227</v>
      </c>
      <c r="R255" s="0" t="s">
        <v>1042</v>
      </c>
      <c r="S255" s="0" t="s">
        <v>227</v>
      </c>
      <c r="T255" s="0" t="s">
        <v>227</v>
      </c>
      <c r="U255" s="0" t="s">
        <v>102</v>
      </c>
      <c r="V255" s="0" t="s">
        <v>227</v>
      </c>
      <c r="W255" s="0" t="s">
        <v>227</v>
      </c>
      <c r="X255" s="0" t="s">
        <v>5683</v>
      </c>
      <c r="Y255" s="0" t="s">
        <v>227</v>
      </c>
      <c r="Z255" s="0" t="s">
        <v>152</v>
      </c>
      <c r="AA255" s="0" t="s">
        <v>152</v>
      </c>
      <c r="AB255" s="0" t="s">
        <v>161</v>
      </c>
      <c r="AC255" s="0" t="s">
        <v>354</v>
      </c>
      <c r="AD255" s="0" t="s">
        <v>354</v>
      </c>
      <c r="AE255" s="0" t="s">
        <v>355</v>
      </c>
      <c r="AF255" s="0" t="s">
        <v>5684</v>
      </c>
      <c r="AG255" s="0" t="s">
        <v>5685</v>
      </c>
      <c r="AH255" s="0" t="s">
        <v>6249</v>
      </c>
      <c r="AI255" s="0" t="s">
        <v>5692</v>
      </c>
      <c r="AJ255" s="0" t="s">
        <v>227</v>
      </c>
      <c r="AK255" s="0" t="s">
        <v>227</v>
      </c>
      <c r="AL255" s="0" t="s">
        <v>227</v>
      </c>
      <c r="AN255" s="0" t="s">
        <v>227</v>
      </c>
      <c r="AO255" s="0" t="s">
        <v>227</v>
      </c>
      <c r="AP255" s="0" t="s">
        <v>227</v>
      </c>
      <c r="AQ255" s="0" t="s">
        <v>227</v>
      </c>
      <c r="AR255" s="0" t="s">
        <v>227</v>
      </c>
      <c r="AS255" s="0" t="s">
        <v>227</v>
      </c>
      <c r="AT255" s="0" t="s">
        <v>227</v>
      </c>
      <c r="AU255" s="0" t="s">
        <v>227</v>
      </c>
      <c r="AV255" s="0" t="s">
        <v>227</v>
      </c>
      <c r="AW255" s="0" t="s">
        <v>227</v>
      </c>
      <c r="AX255" s="0" t="s">
        <v>227</v>
      </c>
      <c r="AY255" s="0" t="s">
        <v>227</v>
      </c>
      <c r="AZ255" s="0" t="s">
        <v>227</v>
      </c>
      <c r="BA255" s="0" t="s">
        <v>227</v>
      </c>
      <c r="BB255" s="0" t="s">
        <v>227</v>
      </c>
      <c r="BC255" s="0" t="s">
        <v>227</v>
      </c>
      <c r="BD255" s="0" t="s">
        <v>227</v>
      </c>
      <c r="BE255" s="0" t="s">
        <v>6216</v>
      </c>
      <c r="BF255" s="0" t="s">
        <v>5697</v>
      </c>
      <c r="BG255" s="0" t="s">
        <v>112</v>
      </c>
      <c r="BH255" s="0" t="s">
        <v>5690</v>
      </c>
      <c r="BI255" s="0" t="s">
        <v>5691</v>
      </c>
      <c r="BJ255" s="0" t="s">
        <v>227</v>
      </c>
      <c r="BK255" s="0" t="s">
        <v>5692</v>
      </c>
      <c r="BL255" s="0" t="s">
        <v>354</v>
      </c>
      <c r="BM255" s="0" t="s">
        <v>354</v>
      </c>
      <c r="BN255" s="0" t="s">
        <v>5693</v>
      </c>
      <c r="BO255" s="0" t="s">
        <v>5684</v>
      </c>
      <c r="BP255" s="0" t="s">
        <v>5694</v>
      </c>
      <c r="BQ255" s="0" t="s">
        <v>5692</v>
      </c>
      <c r="BR255" s="0" t="s">
        <v>5692</v>
      </c>
      <c r="BS255" s="0" t="s">
        <v>227</v>
      </c>
      <c r="BT255" s="0" t="s">
        <v>6210</v>
      </c>
      <c r="CS255" s="0" t="s">
        <v>5759</v>
      </c>
      <c r="CT255" s="0" t="s">
        <v>5679</v>
      </c>
      <c r="CU255" s="0" t="s">
        <v>5680</v>
      </c>
      <c r="CV255" s="0" t="s">
        <v>430</v>
      </c>
      <c r="CW255" s="0" t="s">
        <v>5699</v>
      </c>
      <c r="CX255" s="0" t="s">
        <v>431</v>
      </c>
      <c r="CY255" s="0" t="s">
        <v>430</v>
      </c>
      <c r="CZ255" s="0" t="s">
        <v>432</v>
      </c>
      <c r="DA255" s="0" t="s">
        <v>433</v>
      </c>
      <c r="DB255" s="0" t="s">
        <v>5700</v>
      </c>
      <c r="DC255" s="0" t="s">
        <v>373</v>
      </c>
      <c r="DD255" s="0" t="s">
        <v>290</v>
      </c>
      <c r="DE255" s="0" t="s">
        <v>1041</v>
      </c>
    </row>
    <row customHeight="1" ht="11.25">
      <c r="A256" s="1806" t="s">
        <v>227</v>
      </c>
      <c r="B256" s="0" t="s">
        <v>227</v>
      </c>
      <c r="C256" s="0" t="s">
        <v>227</v>
      </c>
      <c r="D256" s="0" t="s">
        <v>227</v>
      </c>
      <c r="E256" s="0" t="s">
        <v>227</v>
      </c>
      <c r="F256" s="0" t="s">
        <v>227</v>
      </c>
      <c r="G256" s="0" t="s">
        <v>227</v>
      </c>
      <c r="H256" s="0" t="s">
        <v>227</v>
      </c>
      <c r="I256" s="0" t="s">
        <v>6198</v>
      </c>
      <c r="J256" s="0" t="s">
        <v>227</v>
      </c>
      <c r="K256" s="0" t="s">
        <v>227</v>
      </c>
      <c r="L256" s="0" t="s">
        <v>227</v>
      </c>
      <c r="M256" s="0" t="s">
        <v>227</v>
      </c>
      <c r="N256" s="0" t="s">
        <v>227</v>
      </c>
      <c r="O256" s="0" t="s">
        <v>227</v>
      </c>
      <c r="P256" s="0" t="s">
        <v>227</v>
      </c>
      <c r="Q256" s="0" t="s">
        <v>227</v>
      </c>
      <c r="R256" s="0" t="s">
        <v>994</v>
      </c>
      <c r="S256" s="0" t="s">
        <v>227</v>
      </c>
      <c r="T256" s="0" t="s">
        <v>227</v>
      </c>
      <c r="U256" s="0" t="s">
        <v>102</v>
      </c>
      <c r="V256" s="0" t="s">
        <v>227</v>
      </c>
      <c r="W256" s="0" t="s">
        <v>227</v>
      </c>
      <c r="X256" s="0" t="s">
        <v>5683</v>
      </c>
      <c r="Y256" s="0" t="s">
        <v>227</v>
      </c>
      <c r="Z256" s="0" t="s">
        <v>152</v>
      </c>
      <c r="AA256" s="0" t="s">
        <v>152</v>
      </c>
      <c r="AB256" s="0" t="s">
        <v>161</v>
      </c>
      <c r="AC256" s="0" t="s">
        <v>354</v>
      </c>
      <c r="AD256" s="0" t="s">
        <v>354</v>
      </c>
      <c r="AE256" s="0" t="s">
        <v>355</v>
      </c>
      <c r="AF256" s="0" t="s">
        <v>5684</v>
      </c>
      <c r="AG256" s="0" t="s">
        <v>5685</v>
      </c>
      <c r="AH256" s="0" t="s">
        <v>6059</v>
      </c>
      <c r="AI256" s="0" t="s">
        <v>6271</v>
      </c>
      <c r="AJ256" s="0" t="s">
        <v>227</v>
      </c>
      <c r="AK256" s="0" t="s">
        <v>227</v>
      </c>
      <c r="AL256" s="0" t="s">
        <v>227</v>
      </c>
      <c r="AN256" s="0" t="s">
        <v>227</v>
      </c>
      <c r="AO256" s="0" t="s">
        <v>227</v>
      </c>
      <c r="AP256" s="0" t="s">
        <v>227</v>
      </c>
      <c r="AQ256" s="0" t="s">
        <v>227</v>
      </c>
      <c r="AR256" s="0" t="s">
        <v>227</v>
      </c>
      <c r="AS256" s="0" t="s">
        <v>227</v>
      </c>
      <c r="AT256" s="0" t="s">
        <v>227</v>
      </c>
      <c r="AU256" s="0" t="s">
        <v>227</v>
      </c>
      <c r="AV256" s="0" t="s">
        <v>227</v>
      </c>
      <c r="AW256" s="0" t="s">
        <v>227</v>
      </c>
      <c r="AX256" s="0" t="s">
        <v>227</v>
      </c>
      <c r="AY256" s="0" t="s">
        <v>227</v>
      </c>
      <c r="AZ256" s="0" t="s">
        <v>227</v>
      </c>
      <c r="BA256" s="0" t="s">
        <v>227</v>
      </c>
      <c r="BB256" s="0" t="s">
        <v>227</v>
      </c>
      <c r="BC256" s="0" t="s">
        <v>227</v>
      </c>
      <c r="BD256" s="0" t="s">
        <v>227</v>
      </c>
      <c r="BE256" s="0" t="s">
        <v>6216</v>
      </c>
      <c r="BF256" s="0" t="s">
        <v>5697</v>
      </c>
      <c r="BG256" s="0" t="s">
        <v>112</v>
      </c>
      <c r="BH256" s="0" t="s">
        <v>5690</v>
      </c>
      <c r="BI256" s="0" t="s">
        <v>5691</v>
      </c>
      <c r="BJ256" s="0" t="s">
        <v>227</v>
      </c>
      <c r="BK256" s="0" t="s">
        <v>5692</v>
      </c>
      <c r="BL256" s="0" t="s">
        <v>354</v>
      </c>
      <c r="BM256" s="0" t="s">
        <v>354</v>
      </c>
      <c r="BN256" s="0" t="s">
        <v>5693</v>
      </c>
      <c r="BO256" s="0" t="s">
        <v>5684</v>
      </c>
      <c r="BP256" s="0" t="s">
        <v>5694</v>
      </c>
      <c r="BQ256" s="0" t="s">
        <v>5692</v>
      </c>
      <c r="BR256" s="0" t="s">
        <v>5692</v>
      </c>
      <c r="BS256" s="0" t="s">
        <v>227</v>
      </c>
      <c r="BT256" s="0" t="s">
        <v>6210</v>
      </c>
      <c r="CS256" s="0" t="s">
        <v>5759</v>
      </c>
      <c r="CT256" s="0" t="s">
        <v>5679</v>
      </c>
      <c r="CU256" s="0" t="s">
        <v>5680</v>
      </c>
      <c r="CV256" s="0" t="s">
        <v>430</v>
      </c>
      <c r="CW256" s="0" t="s">
        <v>5699</v>
      </c>
      <c r="CX256" s="0" t="s">
        <v>431</v>
      </c>
      <c r="CY256" s="0" t="s">
        <v>430</v>
      </c>
      <c r="CZ256" s="0" t="s">
        <v>432</v>
      </c>
      <c r="DA256" s="0" t="s">
        <v>433</v>
      </c>
      <c r="DB256" s="0" t="s">
        <v>5700</v>
      </c>
      <c r="DC256" s="0" t="s">
        <v>373</v>
      </c>
      <c r="DD256" s="0" t="s">
        <v>290</v>
      </c>
      <c r="DE256" s="0" t="s">
        <v>995</v>
      </c>
    </row>
    <row customHeight="1" ht="11.25">
      <c r="A257" s="1806" t="s">
        <v>227</v>
      </c>
      <c r="B257" s="0" t="s">
        <v>227</v>
      </c>
      <c r="C257" s="0" t="s">
        <v>227</v>
      </c>
      <c r="D257" s="0" t="s">
        <v>227</v>
      </c>
      <c r="E257" s="0" t="s">
        <v>227</v>
      </c>
      <c r="F257" s="0" t="s">
        <v>227</v>
      </c>
      <c r="G257" s="0" t="s">
        <v>227</v>
      </c>
      <c r="H257" s="0" t="s">
        <v>227</v>
      </c>
      <c r="I257" s="0" t="s">
        <v>6198</v>
      </c>
      <c r="J257" s="0" t="s">
        <v>227</v>
      </c>
      <c r="K257" s="0" t="s">
        <v>227</v>
      </c>
      <c r="L257" s="0" t="s">
        <v>227</v>
      </c>
      <c r="M257" s="0" t="s">
        <v>227</v>
      </c>
      <c r="N257" s="0" t="s">
        <v>227</v>
      </c>
      <c r="O257" s="0" t="s">
        <v>227</v>
      </c>
      <c r="P257" s="0" t="s">
        <v>227</v>
      </c>
      <c r="Q257" s="0" t="s">
        <v>227</v>
      </c>
      <c r="R257" s="0" t="s">
        <v>990</v>
      </c>
      <c r="S257" s="0" t="s">
        <v>227</v>
      </c>
      <c r="T257" s="0" t="s">
        <v>227</v>
      </c>
      <c r="U257" s="0" t="s">
        <v>102</v>
      </c>
      <c r="V257" s="0" t="s">
        <v>227</v>
      </c>
      <c r="W257" s="0" t="s">
        <v>227</v>
      </c>
      <c r="X257" s="0" t="s">
        <v>5683</v>
      </c>
      <c r="Y257" s="0" t="s">
        <v>227</v>
      </c>
      <c r="Z257" s="0" t="s">
        <v>152</v>
      </c>
      <c r="AA257" s="0" t="s">
        <v>152</v>
      </c>
      <c r="AB257" s="0" t="s">
        <v>161</v>
      </c>
      <c r="AC257" s="0" t="s">
        <v>354</v>
      </c>
      <c r="AD257" s="0" t="s">
        <v>354</v>
      </c>
      <c r="AE257" s="0" t="s">
        <v>355</v>
      </c>
      <c r="AF257" s="0" t="s">
        <v>5684</v>
      </c>
      <c r="AG257" s="0" t="s">
        <v>5685</v>
      </c>
      <c r="AH257" s="0" t="s">
        <v>6059</v>
      </c>
      <c r="AI257" s="0" t="s">
        <v>461</v>
      </c>
      <c r="AJ257" s="0" t="s">
        <v>227</v>
      </c>
      <c r="AK257" s="0" t="s">
        <v>227</v>
      </c>
      <c r="AL257" s="0" t="s">
        <v>227</v>
      </c>
      <c r="AN257" s="0" t="s">
        <v>227</v>
      </c>
      <c r="AO257" s="0" t="s">
        <v>227</v>
      </c>
      <c r="AP257" s="0" t="s">
        <v>227</v>
      </c>
      <c r="AQ257" s="0" t="s">
        <v>227</v>
      </c>
      <c r="AR257" s="0" t="s">
        <v>227</v>
      </c>
      <c r="AS257" s="0" t="s">
        <v>227</v>
      </c>
      <c r="AT257" s="0" t="s">
        <v>227</v>
      </c>
      <c r="AU257" s="0" t="s">
        <v>227</v>
      </c>
      <c r="AV257" s="0" t="s">
        <v>227</v>
      </c>
      <c r="AW257" s="0" t="s">
        <v>227</v>
      </c>
      <c r="AX257" s="0" t="s">
        <v>227</v>
      </c>
      <c r="AY257" s="0" t="s">
        <v>227</v>
      </c>
      <c r="AZ257" s="0" t="s">
        <v>227</v>
      </c>
      <c r="BA257" s="0" t="s">
        <v>227</v>
      </c>
      <c r="BB257" s="0" t="s">
        <v>227</v>
      </c>
      <c r="BC257" s="0" t="s">
        <v>227</v>
      </c>
      <c r="BD257" s="0" t="s">
        <v>227</v>
      </c>
      <c r="BE257" s="0" t="s">
        <v>6155</v>
      </c>
      <c r="BF257" s="0" t="s">
        <v>5697</v>
      </c>
      <c r="BG257" s="0" t="s">
        <v>112</v>
      </c>
      <c r="BH257" s="0" t="s">
        <v>5690</v>
      </c>
      <c r="BI257" s="0" t="s">
        <v>5691</v>
      </c>
      <c r="BJ257" s="0" t="s">
        <v>227</v>
      </c>
      <c r="BK257" s="0" t="s">
        <v>5692</v>
      </c>
      <c r="BL257" s="0" t="s">
        <v>354</v>
      </c>
      <c r="BM257" s="0" t="s">
        <v>354</v>
      </c>
      <c r="BN257" s="0" t="s">
        <v>5693</v>
      </c>
      <c r="BO257" s="0" t="s">
        <v>5684</v>
      </c>
      <c r="BP257" s="0" t="s">
        <v>5694</v>
      </c>
      <c r="BQ257" s="0" t="s">
        <v>5692</v>
      </c>
      <c r="BR257" s="0" t="s">
        <v>5692</v>
      </c>
      <c r="BS257" s="0" t="s">
        <v>227</v>
      </c>
      <c r="BT257" s="0" t="s">
        <v>6206</v>
      </c>
      <c r="CS257" s="0" t="s">
        <v>5759</v>
      </c>
      <c r="CT257" s="0" t="s">
        <v>5679</v>
      </c>
      <c r="CU257" s="0" t="s">
        <v>5680</v>
      </c>
      <c r="CV257" s="0" t="s">
        <v>430</v>
      </c>
      <c r="CW257" s="0" t="s">
        <v>5699</v>
      </c>
      <c r="CX257" s="0" t="s">
        <v>431</v>
      </c>
      <c r="CY257" s="0" t="s">
        <v>430</v>
      </c>
      <c r="CZ257" s="0" t="s">
        <v>432</v>
      </c>
      <c r="DA257" s="0" t="s">
        <v>433</v>
      </c>
      <c r="DB257" s="0" t="s">
        <v>5700</v>
      </c>
      <c r="DC257" s="0" t="s">
        <v>373</v>
      </c>
      <c r="DD257" s="0" t="s">
        <v>290</v>
      </c>
      <c r="DE257" s="0" t="s">
        <v>991</v>
      </c>
    </row>
    <row customHeight="1" ht="11.25">
      <c r="A258" s="1806" t="s">
        <v>227</v>
      </c>
      <c r="B258" s="0" t="s">
        <v>227</v>
      </c>
      <c r="C258" s="0" t="s">
        <v>227</v>
      </c>
      <c r="D258" s="0" t="s">
        <v>227</v>
      </c>
      <c r="E258" s="0" t="s">
        <v>227</v>
      </c>
      <c r="F258" s="0" t="s">
        <v>227</v>
      </c>
      <c r="G258" s="0" t="s">
        <v>227</v>
      </c>
      <c r="H258" s="0" t="s">
        <v>227</v>
      </c>
      <c r="I258" s="0" t="s">
        <v>6198</v>
      </c>
      <c r="J258" s="0" t="s">
        <v>227</v>
      </c>
      <c r="K258" s="0" t="s">
        <v>227</v>
      </c>
      <c r="L258" s="0" t="s">
        <v>227</v>
      </c>
      <c r="M258" s="0" t="s">
        <v>227</v>
      </c>
      <c r="N258" s="0" t="s">
        <v>227</v>
      </c>
      <c r="O258" s="0" t="s">
        <v>227</v>
      </c>
      <c r="P258" s="0" t="s">
        <v>227</v>
      </c>
      <c r="Q258" s="0" t="s">
        <v>227</v>
      </c>
      <c r="R258" s="0" t="s">
        <v>1141</v>
      </c>
      <c r="S258" s="0" t="s">
        <v>227</v>
      </c>
      <c r="T258" s="0" t="s">
        <v>227</v>
      </c>
      <c r="U258" s="0" t="s">
        <v>102</v>
      </c>
      <c r="V258" s="0" t="s">
        <v>227</v>
      </c>
      <c r="W258" s="0" t="s">
        <v>227</v>
      </c>
      <c r="X258" s="0" t="s">
        <v>5683</v>
      </c>
      <c r="Y258" s="0" t="s">
        <v>227</v>
      </c>
      <c r="Z258" s="0" t="s">
        <v>152</v>
      </c>
      <c r="AA258" s="0" t="s">
        <v>152</v>
      </c>
      <c r="AB258" s="0" t="s">
        <v>161</v>
      </c>
      <c r="AC258" s="0" t="s">
        <v>354</v>
      </c>
      <c r="AD258" s="0" t="s">
        <v>354</v>
      </c>
      <c r="AE258" s="0" t="s">
        <v>355</v>
      </c>
      <c r="AF258" s="0" t="s">
        <v>5701</v>
      </c>
      <c r="AG258" s="0" t="s">
        <v>5702</v>
      </c>
      <c r="AH258" s="0" t="s">
        <v>5703</v>
      </c>
      <c r="AI258" s="0" t="s">
        <v>502</v>
      </c>
      <c r="AJ258" s="0" t="s">
        <v>227</v>
      </c>
      <c r="AK258" s="0" t="s">
        <v>227</v>
      </c>
      <c r="AL258" s="0" t="s">
        <v>227</v>
      </c>
      <c r="AN258" s="0" t="s">
        <v>227</v>
      </c>
      <c r="AO258" s="0" t="s">
        <v>227</v>
      </c>
      <c r="AP258" s="0" t="s">
        <v>227</v>
      </c>
      <c r="AQ258" s="0" t="s">
        <v>227</v>
      </c>
      <c r="AR258" s="0" t="s">
        <v>227</v>
      </c>
      <c r="AS258" s="0" t="s">
        <v>227</v>
      </c>
      <c r="AT258" s="0" t="s">
        <v>227</v>
      </c>
      <c r="AU258" s="0" t="s">
        <v>227</v>
      </c>
      <c r="AV258" s="0" t="s">
        <v>227</v>
      </c>
      <c r="AW258" s="0" t="s">
        <v>227</v>
      </c>
      <c r="AX258" s="0" t="s">
        <v>227</v>
      </c>
      <c r="AY258" s="0" t="s">
        <v>227</v>
      </c>
      <c r="AZ258" s="0" t="s">
        <v>227</v>
      </c>
      <c r="BA258" s="0" t="s">
        <v>227</v>
      </c>
      <c r="BB258" s="0" t="s">
        <v>227</v>
      </c>
      <c r="BC258" s="0" t="s">
        <v>227</v>
      </c>
      <c r="BD258" s="0" t="s">
        <v>227</v>
      </c>
      <c r="BE258" s="0" t="s">
        <v>6155</v>
      </c>
      <c r="BF258" s="0" t="s">
        <v>5697</v>
      </c>
      <c r="BG258" s="0" t="s">
        <v>112</v>
      </c>
      <c r="BH258" s="0" t="s">
        <v>5690</v>
      </c>
      <c r="BI258" s="0" t="s">
        <v>5691</v>
      </c>
      <c r="BJ258" s="0" t="s">
        <v>227</v>
      </c>
      <c r="BK258" s="0" t="s">
        <v>5692</v>
      </c>
      <c r="BL258" s="0" t="s">
        <v>354</v>
      </c>
      <c r="BM258" s="0" t="s">
        <v>354</v>
      </c>
      <c r="BN258" s="0" t="s">
        <v>5693</v>
      </c>
      <c r="BO258" s="0" t="s">
        <v>5701</v>
      </c>
      <c r="BP258" s="0" t="s">
        <v>5706</v>
      </c>
      <c r="BQ258" s="0" t="s">
        <v>5692</v>
      </c>
      <c r="BR258" s="0" t="s">
        <v>5692</v>
      </c>
      <c r="BS258" s="0" t="s">
        <v>227</v>
      </c>
      <c r="BT258" s="0" t="s">
        <v>6206</v>
      </c>
      <c r="CS258" s="0" t="s">
        <v>5759</v>
      </c>
      <c r="CT258" s="0" t="s">
        <v>5679</v>
      </c>
      <c r="CU258" s="0" t="s">
        <v>5680</v>
      </c>
      <c r="CV258" s="0" t="s">
        <v>430</v>
      </c>
      <c r="CW258" s="0" t="s">
        <v>5699</v>
      </c>
      <c r="CX258" s="0" t="s">
        <v>431</v>
      </c>
      <c r="CY258" s="0" t="s">
        <v>430</v>
      </c>
      <c r="CZ258" s="0" t="s">
        <v>432</v>
      </c>
      <c r="DA258" s="0" t="s">
        <v>433</v>
      </c>
      <c r="DB258" s="0" t="s">
        <v>5700</v>
      </c>
      <c r="DC258" s="0" t="s">
        <v>373</v>
      </c>
      <c r="DD258" s="0" t="s">
        <v>290</v>
      </c>
      <c r="DE258" s="0" t="s">
        <v>780</v>
      </c>
    </row>
    <row customHeight="1" ht="11.25">
      <c r="A259" s="1806" t="s">
        <v>227</v>
      </c>
      <c r="B259" s="0" t="s">
        <v>227</v>
      </c>
      <c r="C259" s="0" t="s">
        <v>227</v>
      </c>
      <c r="D259" s="0" t="s">
        <v>227</v>
      </c>
      <c r="E259" s="0" t="s">
        <v>227</v>
      </c>
      <c r="F259" s="0" t="s">
        <v>227</v>
      </c>
      <c r="G259" s="0" t="s">
        <v>227</v>
      </c>
      <c r="H259" s="0" t="s">
        <v>227</v>
      </c>
      <c r="I259" s="0" t="s">
        <v>6198</v>
      </c>
      <c r="J259" s="0" t="s">
        <v>227</v>
      </c>
      <c r="K259" s="0" t="s">
        <v>227</v>
      </c>
      <c r="L259" s="0" t="s">
        <v>227</v>
      </c>
      <c r="M259" s="0" t="s">
        <v>227</v>
      </c>
      <c r="N259" s="0" t="s">
        <v>227</v>
      </c>
      <c r="O259" s="0" t="s">
        <v>227</v>
      </c>
      <c r="P259" s="0" t="s">
        <v>227</v>
      </c>
      <c r="Q259" s="0" t="s">
        <v>227</v>
      </c>
      <c r="R259" s="0" t="s">
        <v>1080</v>
      </c>
      <c r="S259" s="0" t="s">
        <v>227</v>
      </c>
      <c r="T259" s="0" t="s">
        <v>227</v>
      </c>
      <c r="U259" s="0" t="s">
        <v>102</v>
      </c>
      <c r="V259" s="0" t="s">
        <v>227</v>
      </c>
      <c r="W259" s="0" t="s">
        <v>227</v>
      </c>
      <c r="X259" s="0" t="s">
        <v>5683</v>
      </c>
      <c r="Y259" s="0" t="s">
        <v>227</v>
      </c>
      <c r="Z259" s="0" t="s">
        <v>152</v>
      </c>
      <c r="AA259" s="0" t="s">
        <v>152</v>
      </c>
      <c r="AB259" s="0" t="s">
        <v>161</v>
      </c>
      <c r="AC259" s="0" t="s">
        <v>354</v>
      </c>
      <c r="AD259" s="0" t="s">
        <v>354</v>
      </c>
      <c r="AE259" s="0" t="s">
        <v>355</v>
      </c>
      <c r="AF259" s="0" t="s">
        <v>5684</v>
      </c>
      <c r="AG259" s="0" t="s">
        <v>5685</v>
      </c>
      <c r="AH259" s="0" t="s">
        <v>5949</v>
      </c>
      <c r="AI259" s="0" t="s">
        <v>6272</v>
      </c>
      <c r="AJ259" s="0" t="s">
        <v>227</v>
      </c>
      <c r="AK259" s="0" t="s">
        <v>227</v>
      </c>
      <c r="AL259" s="0" t="s">
        <v>227</v>
      </c>
      <c r="AN259" s="0" t="s">
        <v>227</v>
      </c>
      <c r="AO259" s="0" t="s">
        <v>227</v>
      </c>
      <c r="AP259" s="0" t="s">
        <v>227</v>
      </c>
      <c r="AQ259" s="0" t="s">
        <v>227</v>
      </c>
      <c r="AR259" s="0" t="s">
        <v>227</v>
      </c>
      <c r="AS259" s="0" t="s">
        <v>227</v>
      </c>
      <c r="AT259" s="0" t="s">
        <v>227</v>
      </c>
      <c r="AU259" s="0" t="s">
        <v>227</v>
      </c>
      <c r="AV259" s="0" t="s">
        <v>227</v>
      </c>
      <c r="AW259" s="0" t="s">
        <v>227</v>
      </c>
      <c r="AX259" s="0" t="s">
        <v>227</v>
      </c>
      <c r="AY259" s="0" t="s">
        <v>227</v>
      </c>
      <c r="AZ259" s="0" t="s">
        <v>227</v>
      </c>
      <c r="BA259" s="0" t="s">
        <v>227</v>
      </c>
      <c r="BB259" s="0" t="s">
        <v>227</v>
      </c>
      <c r="BC259" s="0" t="s">
        <v>227</v>
      </c>
      <c r="BD259" s="0" t="s">
        <v>227</v>
      </c>
      <c r="BE259" s="0" t="s">
        <v>6155</v>
      </c>
      <c r="BF259" s="0" t="s">
        <v>5697</v>
      </c>
      <c r="BG259" s="0" t="s">
        <v>112</v>
      </c>
      <c r="BH259" s="0" t="s">
        <v>5690</v>
      </c>
      <c r="BI259" s="0" t="s">
        <v>5691</v>
      </c>
      <c r="BJ259" s="0" t="s">
        <v>227</v>
      </c>
      <c r="BK259" s="0" t="s">
        <v>5692</v>
      </c>
      <c r="BL259" s="0" t="s">
        <v>354</v>
      </c>
      <c r="BM259" s="0" t="s">
        <v>354</v>
      </c>
      <c r="BN259" s="0" t="s">
        <v>5693</v>
      </c>
      <c r="BO259" s="0" t="s">
        <v>5684</v>
      </c>
      <c r="BP259" s="0" t="s">
        <v>5694</v>
      </c>
      <c r="BQ259" s="0" t="s">
        <v>5692</v>
      </c>
      <c r="BR259" s="0" t="s">
        <v>5692</v>
      </c>
      <c r="BS259" s="0" t="s">
        <v>227</v>
      </c>
      <c r="BT259" s="0" t="s">
        <v>6210</v>
      </c>
      <c r="CS259" s="0" t="s">
        <v>5759</v>
      </c>
      <c r="CT259" s="0" t="s">
        <v>5679</v>
      </c>
      <c r="CU259" s="0" t="s">
        <v>5680</v>
      </c>
      <c r="CV259" s="0" t="s">
        <v>430</v>
      </c>
      <c r="CW259" s="0" t="s">
        <v>5699</v>
      </c>
      <c r="CX259" s="0" t="s">
        <v>431</v>
      </c>
      <c r="CY259" s="0" t="s">
        <v>430</v>
      </c>
      <c r="CZ259" s="0" t="s">
        <v>432</v>
      </c>
      <c r="DA259" s="0" t="s">
        <v>433</v>
      </c>
      <c r="DB259" s="0" t="s">
        <v>5700</v>
      </c>
      <c r="DC259" s="0" t="s">
        <v>373</v>
      </c>
      <c r="DD259" s="0" t="s">
        <v>290</v>
      </c>
      <c r="DE259" s="0" t="s">
        <v>1081</v>
      </c>
    </row>
    <row customHeight="1" ht="11.25">
      <c r="A260" s="1806" t="s">
        <v>227</v>
      </c>
      <c r="B260" s="0" t="s">
        <v>227</v>
      </c>
      <c r="C260" s="0" t="s">
        <v>227</v>
      </c>
      <c r="D260" s="0" t="s">
        <v>227</v>
      </c>
      <c r="E260" s="0" t="s">
        <v>227</v>
      </c>
      <c r="F260" s="0" t="s">
        <v>227</v>
      </c>
      <c r="G260" s="0" t="s">
        <v>227</v>
      </c>
      <c r="H260" s="0" t="s">
        <v>227</v>
      </c>
      <c r="I260" s="0" t="s">
        <v>6198</v>
      </c>
      <c r="J260" s="0" t="s">
        <v>227</v>
      </c>
      <c r="K260" s="0" t="s">
        <v>227</v>
      </c>
      <c r="L260" s="0" t="s">
        <v>227</v>
      </c>
      <c r="M260" s="0" t="s">
        <v>227</v>
      </c>
      <c r="N260" s="0" t="s">
        <v>227</v>
      </c>
      <c r="O260" s="0" t="s">
        <v>227</v>
      </c>
      <c r="P260" s="0" t="s">
        <v>227</v>
      </c>
      <c r="Q260" s="0" t="s">
        <v>227</v>
      </c>
      <c r="R260" s="0" t="s">
        <v>1051</v>
      </c>
      <c r="S260" s="0" t="s">
        <v>227</v>
      </c>
      <c r="T260" s="0" t="s">
        <v>227</v>
      </c>
      <c r="U260" s="0" t="s">
        <v>102</v>
      </c>
      <c r="V260" s="0" t="s">
        <v>227</v>
      </c>
      <c r="W260" s="0" t="s">
        <v>227</v>
      </c>
      <c r="X260" s="0" t="s">
        <v>5683</v>
      </c>
      <c r="Y260" s="0" t="s">
        <v>227</v>
      </c>
      <c r="Z260" s="0" t="s">
        <v>152</v>
      </c>
      <c r="AA260" s="0" t="s">
        <v>152</v>
      </c>
      <c r="AB260" s="0" t="s">
        <v>161</v>
      </c>
      <c r="AC260" s="0" t="s">
        <v>354</v>
      </c>
      <c r="AD260" s="0" t="s">
        <v>354</v>
      </c>
      <c r="AE260" s="0" t="s">
        <v>355</v>
      </c>
      <c r="AF260" s="0" t="s">
        <v>5684</v>
      </c>
      <c r="AG260" s="0" t="s">
        <v>5685</v>
      </c>
      <c r="AH260" s="0" t="s">
        <v>5949</v>
      </c>
      <c r="AI260" s="0" t="s">
        <v>6273</v>
      </c>
      <c r="AJ260" s="0" t="s">
        <v>227</v>
      </c>
      <c r="AK260" s="0" t="s">
        <v>227</v>
      </c>
      <c r="AL260" s="0" t="s">
        <v>227</v>
      </c>
      <c r="AN260" s="0" t="s">
        <v>227</v>
      </c>
      <c r="AO260" s="0" t="s">
        <v>227</v>
      </c>
      <c r="AP260" s="0" t="s">
        <v>227</v>
      </c>
      <c r="AQ260" s="0" t="s">
        <v>227</v>
      </c>
      <c r="AR260" s="0" t="s">
        <v>227</v>
      </c>
      <c r="AS260" s="0" t="s">
        <v>227</v>
      </c>
      <c r="AT260" s="0" t="s">
        <v>227</v>
      </c>
      <c r="AU260" s="0" t="s">
        <v>227</v>
      </c>
      <c r="AV260" s="0" t="s">
        <v>227</v>
      </c>
      <c r="AW260" s="0" t="s">
        <v>227</v>
      </c>
      <c r="AX260" s="0" t="s">
        <v>227</v>
      </c>
      <c r="AY260" s="0" t="s">
        <v>227</v>
      </c>
      <c r="AZ260" s="0" t="s">
        <v>227</v>
      </c>
      <c r="BA260" s="0" t="s">
        <v>227</v>
      </c>
      <c r="BB260" s="0" t="s">
        <v>227</v>
      </c>
      <c r="BC260" s="0" t="s">
        <v>227</v>
      </c>
      <c r="BD260" s="0" t="s">
        <v>227</v>
      </c>
      <c r="BE260" s="0" t="s">
        <v>6155</v>
      </c>
      <c r="BF260" s="0" t="s">
        <v>5697</v>
      </c>
      <c r="BG260" s="0" t="s">
        <v>112</v>
      </c>
      <c r="BH260" s="0" t="s">
        <v>5690</v>
      </c>
      <c r="BI260" s="0" t="s">
        <v>5691</v>
      </c>
      <c r="BJ260" s="0" t="s">
        <v>227</v>
      </c>
      <c r="BK260" s="0" t="s">
        <v>5692</v>
      </c>
      <c r="BL260" s="0" t="s">
        <v>354</v>
      </c>
      <c r="BM260" s="0" t="s">
        <v>354</v>
      </c>
      <c r="BN260" s="0" t="s">
        <v>5693</v>
      </c>
      <c r="BO260" s="0" t="s">
        <v>5684</v>
      </c>
      <c r="BP260" s="0" t="s">
        <v>5694</v>
      </c>
      <c r="BQ260" s="0" t="s">
        <v>5692</v>
      </c>
      <c r="BR260" s="0" t="s">
        <v>5692</v>
      </c>
      <c r="BS260" s="0" t="s">
        <v>227</v>
      </c>
      <c r="BT260" s="0" t="s">
        <v>6206</v>
      </c>
      <c r="CS260" s="0" t="s">
        <v>5759</v>
      </c>
      <c r="CT260" s="0" t="s">
        <v>5679</v>
      </c>
      <c r="CU260" s="0" t="s">
        <v>5680</v>
      </c>
      <c r="CV260" s="0" t="s">
        <v>430</v>
      </c>
      <c r="CW260" s="0" t="s">
        <v>5699</v>
      </c>
      <c r="CX260" s="0" t="s">
        <v>431</v>
      </c>
      <c r="CY260" s="0" t="s">
        <v>430</v>
      </c>
      <c r="CZ260" s="0" t="s">
        <v>432</v>
      </c>
      <c r="DA260" s="0" t="s">
        <v>433</v>
      </c>
      <c r="DB260" s="0" t="s">
        <v>5700</v>
      </c>
      <c r="DC260" s="0" t="s">
        <v>373</v>
      </c>
      <c r="DD260" s="0" t="s">
        <v>290</v>
      </c>
      <c r="DE260" s="0" t="s">
        <v>1052</v>
      </c>
    </row>
    <row customHeight="1" ht="11.25">
      <c r="A261" s="1806" t="s">
        <v>227</v>
      </c>
      <c r="B261" s="0" t="s">
        <v>227</v>
      </c>
      <c r="C261" s="0" t="s">
        <v>227</v>
      </c>
      <c r="D261" s="0" t="s">
        <v>227</v>
      </c>
      <c r="E261" s="0" t="s">
        <v>227</v>
      </c>
      <c r="F261" s="0" t="s">
        <v>227</v>
      </c>
      <c r="G261" s="0" t="s">
        <v>227</v>
      </c>
      <c r="H261" s="0" t="s">
        <v>227</v>
      </c>
      <c r="I261" s="0" t="s">
        <v>6198</v>
      </c>
      <c r="J261" s="0" t="s">
        <v>227</v>
      </c>
      <c r="K261" s="0" t="s">
        <v>227</v>
      </c>
      <c r="L261" s="0" t="s">
        <v>227</v>
      </c>
      <c r="M261" s="0" t="s">
        <v>227</v>
      </c>
      <c r="N261" s="0" t="s">
        <v>227</v>
      </c>
      <c r="O261" s="0" t="s">
        <v>227</v>
      </c>
      <c r="P261" s="0" t="s">
        <v>227</v>
      </c>
      <c r="Q261" s="0" t="s">
        <v>227</v>
      </c>
      <c r="R261" s="0" t="s">
        <v>1098</v>
      </c>
      <c r="S261" s="0" t="s">
        <v>227</v>
      </c>
      <c r="T261" s="0" t="s">
        <v>227</v>
      </c>
      <c r="U261" s="0" t="s">
        <v>102</v>
      </c>
      <c r="V261" s="0" t="s">
        <v>227</v>
      </c>
      <c r="W261" s="0" t="s">
        <v>227</v>
      </c>
      <c r="X261" s="0" t="s">
        <v>6211</v>
      </c>
      <c r="Y261" s="0" t="s">
        <v>227</v>
      </c>
      <c r="Z261" s="0" t="s">
        <v>161</v>
      </c>
      <c r="AA261" s="0" t="s">
        <v>152</v>
      </c>
      <c r="AB261" s="0" t="s">
        <v>161</v>
      </c>
      <c r="AC261" s="0" t="s">
        <v>354</v>
      </c>
      <c r="AD261" s="0" t="s">
        <v>354</v>
      </c>
      <c r="AE261" s="0" t="s">
        <v>355</v>
      </c>
      <c r="AF261" s="0" t="s">
        <v>5684</v>
      </c>
      <c r="AG261" s="0" t="s">
        <v>5685</v>
      </c>
      <c r="AH261" s="0" t="s">
        <v>5809</v>
      </c>
      <c r="AI261" s="0" t="s">
        <v>463</v>
      </c>
      <c r="AJ261" s="0" t="s">
        <v>5958</v>
      </c>
      <c r="AK261" s="0" t="s">
        <v>6274</v>
      </c>
      <c r="AL261" s="0" t="s">
        <v>6203</v>
      </c>
      <c r="AN261" s="0" t="s">
        <v>5791</v>
      </c>
      <c r="AO261" s="0" t="s">
        <v>6242</v>
      </c>
      <c r="AP261" s="0" t="s">
        <v>227</v>
      </c>
      <c r="AQ261" s="0" t="s">
        <v>227</v>
      </c>
      <c r="AR261" s="0" t="s">
        <v>227</v>
      </c>
      <c r="AS261" s="0" t="s">
        <v>227</v>
      </c>
      <c r="AT261" s="0" t="s">
        <v>227</v>
      </c>
      <c r="AU261" s="0" t="s">
        <v>227</v>
      </c>
      <c r="AV261" s="0" t="s">
        <v>227</v>
      </c>
      <c r="AW261" s="0" t="s">
        <v>227</v>
      </c>
      <c r="AX261" s="0" t="s">
        <v>227</v>
      </c>
      <c r="AY261" s="0" t="s">
        <v>227</v>
      </c>
      <c r="AZ261" s="0" t="s">
        <v>227</v>
      </c>
      <c r="BA261" s="0" t="s">
        <v>227</v>
      </c>
      <c r="BB261" s="0" t="s">
        <v>227</v>
      </c>
      <c r="BC261" s="0" t="s">
        <v>227</v>
      </c>
      <c r="BD261" s="0" t="s">
        <v>227</v>
      </c>
      <c r="BE261" s="0" t="s">
        <v>5958</v>
      </c>
      <c r="BF261" s="0" t="s">
        <v>6274</v>
      </c>
      <c r="BG261" s="0" t="s">
        <v>227</v>
      </c>
      <c r="BH261" s="0" t="s">
        <v>227</v>
      </c>
      <c r="BI261" s="0" t="s">
        <v>227</v>
      </c>
      <c r="BJ261" s="0" t="s">
        <v>227</v>
      </c>
      <c r="BK261" s="0" t="s">
        <v>227</v>
      </c>
      <c r="BL261" s="0" t="s">
        <v>227</v>
      </c>
      <c r="BM261" s="0" t="s">
        <v>227</v>
      </c>
      <c r="BN261" s="0" t="s">
        <v>227</v>
      </c>
      <c r="BO261" s="0" t="s">
        <v>227</v>
      </c>
      <c r="BP261" s="0" t="s">
        <v>227</v>
      </c>
      <c r="BQ261" s="0" t="s">
        <v>227</v>
      </c>
      <c r="BR261" s="0" t="s">
        <v>227</v>
      </c>
      <c r="BS261" s="0" t="s">
        <v>227</v>
      </c>
      <c r="BT261" s="0" t="s">
        <v>6031</v>
      </c>
      <c r="CS261" s="0" t="s">
        <v>5759</v>
      </c>
      <c r="CT261" s="0" t="s">
        <v>5679</v>
      </c>
      <c r="CU261" s="0" t="s">
        <v>5680</v>
      </c>
      <c r="CV261" s="0" t="s">
        <v>430</v>
      </c>
      <c r="CW261" s="0" t="s">
        <v>5699</v>
      </c>
      <c r="CX261" s="0" t="s">
        <v>431</v>
      </c>
      <c r="CY261" s="0" t="s">
        <v>430</v>
      </c>
      <c r="CZ261" s="0" t="s">
        <v>432</v>
      </c>
      <c r="DA261" s="0" t="s">
        <v>433</v>
      </c>
      <c r="DB261" s="0" t="s">
        <v>5700</v>
      </c>
      <c r="DC261" s="0" t="s">
        <v>373</v>
      </c>
      <c r="DD261" s="0" t="s">
        <v>290</v>
      </c>
      <c r="DE261" s="0" t="s">
        <v>1099</v>
      </c>
    </row>
    <row customHeight="1" ht="11.25">
      <c r="A262" s="1806" t="s">
        <v>227</v>
      </c>
      <c r="B262" s="0" t="s">
        <v>227</v>
      </c>
      <c r="C262" s="0" t="s">
        <v>227</v>
      </c>
      <c r="D262" s="0" t="s">
        <v>227</v>
      </c>
      <c r="E262" s="0" t="s">
        <v>227</v>
      </c>
      <c r="F262" s="0" t="s">
        <v>227</v>
      </c>
      <c r="G262" s="0" t="s">
        <v>227</v>
      </c>
      <c r="H262" s="0" t="s">
        <v>227</v>
      </c>
      <c r="I262" s="0" t="s">
        <v>6198</v>
      </c>
      <c r="J262" s="0" t="s">
        <v>227</v>
      </c>
      <c r="K262" s="0" t="s">
        <v>227</v>
      </c>
      <c r="L262" s="0" t="s">
        <v>227</v>
      </c>
      <c r="M262" s="0" t="s">
        <v>227</v>
      </c>
      <c r="N262" s="0" t="s">
        <v>227</v>
      </c>
      <c r="O262" s="0" t="s">
        <v>227</v>
      </c>
      <c r="P262" s="0" t="s">
        <v>227</v>
      </c>
      <c r="Q262" s="0" t="s">
        <v>227</v>
      </c>
      <c r="R262" s="0" t="s">
        <v>1145</v>
      </c>
      <c r="S262" s="0" t="s">
        <v>227</v>
      </c>
      <c r="T262" s="0" t="s">
        <v>227</v>
      </c>
      <c r="U262" s="0" t="s">
        <v>102</v>
      </c>
      <c r="V262" s="0" t="s">
        <v>227</v>
      </c>
      <c r="W262" s="0" t="s">
        <v>227</v>
      </c>
      <c r="X262" s="0" t="s">
        <v>5683</v>
      </c>
      <c r="Y262" s="0" t="s">
        <v>227</v>
      </c>
      <c r="Z262" s="0" t="s">
        <v>152</v>
      </c>
      <c r="AA262" s="0" t="s">
        <v>152</v>
      </c>
      <c r="AB262" s="0" t="s">
        <v>161</v>
      </c>
      <c r="AC262" s="0" t="s">
        <v>354</v>
      </c>
      <c r="AD262" s="0" t="s">
        <v>354</v>
      </c>
      <c r="AE262" s="0" t="s">
        <v>355</v>
      </c>
      <c r="AF262" s="0" t="s">
        <v>5701</v>
      </c>
      <c r="AG262" s="0" t="s">
        <v>5702</v>
      </c>
      <c r="AH262" s="0" t="s">
        <v>5703</v>
      </c>
      <c r="AI262" s="0" t="s">
        <v>517</v>
      </c>
      <c r="AJ262" s="0" t="s">
        <v>227</v>
      </c>
      <c r="AK262" s="0" t="s">
        <v>227</v>
      </c>
      <c r="AL262" s="0" t="s">
        <v>227</v>
      </c>
      <c r="AN262" s="0" t="s">
        <v>227</v>
      </c>
      <c r="AO262" s="0" t="s">
        <v>227</v>
      </c>
      <c r="AP262" s="0" t="s">
        <v>227</v>
      </c>
      <c r="AQ262" s="0" t="s">
        <v>227</v>
      </c>
      <c r="AR262" s="0" t="s">
        <v>227</v>
      </c>
      <c r="AS262" s="0" t="s">
        <v>227</v>
      </c>
      <c r="AT262" s="0" t="s">
        <v>227</v>
      </c>
      <c r="AU262" s="0" t="s">
        <v>227</v>
      </c>
      <c r="AV262" s="0" t="s">
        <v>227</v>
      </c>
      <c r="AW262" s="0" t="s">
        <v>227</v>
      </c>
      <c r="AX262" s="0" t="s">
        <v>227</v>
      </c>
      <c r="AY262" s="0" t="s">
        <v>227</v>
      </c>
      <c r="AZ262" s="0" t="s">
        <v>227</v>
      </c>
      <c r="BA262" s="0" t="s">
        <v>227</v>
      </c>
      <c r="BB262" s="0" t="s">
        <v>227</v>
      </c>
      <c r="BC262" s="0" t="s">
        <v>227</v>
      </c>
      <c r="BD262" s="0" t="s">
        <v>227</v>
      </c>
      <c r="BE262" s="0" t="s">
        <v>6155</v>
      </c>
      <c r="BF262" s="0" t="s">
        <v>5697</v>
      </c>
      <c r="BG262" s="0" t="s">
        <v>112</v>
      </c>
      <c r="BH262" s="0" t="s">
        <v>5690</v>
      </c>
      <c r="BI262" s="0" t="s">
        <v>5691</v>
      </c>
      <c r="BJ262" s="0" t="s">
        <v>227</v>
      </c>
      <c r="BK262" s="0" t="s">
        <v>5692</v>
      </c>
      <c r="BL262" s="0" t="s">
        <v>354</v>
      </c>
      <c r="BM262" s="0" t="s">
        <v>354</v>
      </c>
      <c r="BN262" s="0" t="s">
        <v>5693</v>
      </c>
      <c r="BO262" s="0" t="s">
        <v>5701</v>
      </c>
      <c r="BP262" s="0" t="s">
        <v>5706</v>
      </c>
      <c r="BQ262" s="0" t="s">
        <v>5692</v>
      </c>
      <c r="BR262" s="0" t="s">
        <v>5692</v>
      </c>
      <c r="BS262" s="0" t="s">
        <v>227</v>
      </c>
      <c r="BT262" s="0" t="s">
        <v>6206</v>
      </c>
      <c r="CS262" s="0" t="s">
        <v>5759</v>
      </c>
      <c r="CT262" s="0" t="s">
        <v>5679</v>
      </c>
      <c r="CU262" s="0" t="s">
        <v>5680</v>
      </c>
      <c r="CV262" s="0" t="s">
        <v>430</v>
      </c>
      <c r="CW262" s="0" t="s">
        <v>5699</v>
      </c>
      <c r="CX262" s="0" t="s">
        <v>431</v>
      </c>
      <c r="CY262" s="0" t="s">
        <v>430</v>
      </c>
      <c r="CZ262" s="0" t="s">
        <v>432</v>
      </c>
      <c r="DA262" s="0" t="s">
        <v>433</v>
      </c>
      <c r="DB262" s="0" t="s">
        <v>5700</v>
      </c>
      <c r="DC262" s="0" t="s">
        <v>373</v>
      </c>
      <c r="DD262" s="0" t="s">
        <v>290</v>
      </c>
      <c r="DE262" s="0" t="s">
        <v>1146</v>
      </c>
    </row>
    <row customHeight="1" ht="11.25">
      <c r="A263" s="1806" t="s">
        <v>227</v>
      </c>
      <c r="B263" s="0" t="s">
        <v>227</v>
      </c>
      <c r="C263" s="0" t="s">
        <v>227</v>
      </c>
      <c r="D263" s="0" t="s">
        <v>227</v>
      </c>
      <c r="E263" s="0" t="s">
        <v>227</v>
      </c>
      <c r="F263" s="0" t="s">
        <v>227</v>
      </c>
      <c r="G263" s="0" t="s">
        <v>227</v>
      </c>
      <c r="H263" s="0" t="s">
        <v>227</v>
      </c>
      <c r="I263" s="0" t="s">
        <v>6198</v>
      </c>
      <c r="J263" s="0" t="s">
        <v>227</v>
      </c>
      <c r="K263" s="0" t="s">
        <v>227</v>
      </c>
      <c r="L263" s="0" t="s">
        <v>227</v>
      </c>
      <c r="M263" s="0" t="s">
        <v>227</v>
      </c>
      <c r="N263" s="0" t="s">
        <v>227</v>
      </c>
      <c r="O263" s="0" t="s">
        <v>227</v>
      </c>
      <c r="P263" s="0" t="s">
        <v>227</v>
      </c>
      <c r="Q263" s="0" t="s">
        <v>227</v>
      </c>
      <c r="R263" s="0" t="s">
        <v>1100</v>
      </c>
      <c r="S263" s="0" t="s">
        <v>227</v>
      </c>
      <c r="T263" s="0" t="s">
        <v>227</v>
      </c>
      <c r="U263" s="0" t="s">
        <v>102</v>
      </c>
      <c r="V263" s="0" t="s">
        <v>227</v>
      </c>
      <c r="W263" s="0" t="s">
        <v>227</v>
      </c>
      <c r="X263" s="0" t="s">
        <v>6234</v>
      </c>
      <c r="Y263" s="0" t="s">
        <v>227</v>
      </c>
      <c r="Z263" s="0" t="s">
        <v>152</v>
      </c>
      <c r="AA263" s="0" t="s">
        <v>161</v>
      </c>
      <c r="AB263" s="0" t="s">
        <v>152</v>
      </c>
      <c r="AC263" s="0" t="s">
        <v>354</v>
      </c>
      <c r="AD263" s="0" t="s">
        <v>354</v>
      </c>
      <c r="AE263" s="0" t="s">
        <v>355</v>
      </c>
      <c r="AF263" s="0" t="s">
        <v>5684</v>
      </c>
      <c r="AG263" s="0" t="s">
        <v>5685</v>
      </c>
      <c r="AH263" s="0" t="s">
        <v>5809</v>
      </c>
      <c r="AI263" s="0" t="s">
        <v>463</v>
      </c>
      <c r="AJ263" s="0" t="s">
        <v>227</v>
      </c>
      <c r="AK263" s="0" t="s">
        <v>227</v>
      </c>
      <c r="AL263" s="0" t="s">
        <v>227</v>
      </c>
      <c r="AN263" s="0" t="s">
        <v>227</v>
      </c>
      <c r="AO263" s="0" t="s">
        <v>227</v>
      </c>
      <c r="AP263" s="0" t="s">
        <v>6223</v>
      </c>
      <c r="AQ263" s="0" t="s">
        <v>6275</v>
      </c>
      <c r="AR263" s="0" t="s">
        <v>112</v>
      </c>
      <c r="AS263" s="0" t="s">
        <v>5690</v>
      </c>
      <c r="AT263" s="0" t="s">
        <v>5691</v>
      </c>
      <c r="AU263" s="0" t="s">
        <v>227</v>
      </c>
      <c r="AV263" s="0" t="s">
        <v>1098</v>
      </c>
      <c r="AW263" s="0" t="s">
        <v>354</v>
      </c>
      <c r="AX263" s="0" t="s">
        <v>354</v>
      </c>
      <c r="AY263" s="0" t="s">
        <v>5693</v>
      </c>
      <c r="AZ263" s="0" t="s">
        <v>5684</v>
      </c>
      <c r="BA263" s="0" t="s">
        <v>5694</v>
      </c>
      <c r="BB263" s="0" t="s">
        <v>5809</v>
      </c>
      <c r="BC263" s="0" t="s">
        <v>463</v>
      </c>
      <c r="BD263" s="0" t="s">
        <v>6276</v>
      </c>
      <c r="BE263" s="0" t="s">
        <v>227</v>
      </c>
      <c r="BF263" s="0" t="s">
        <v>227</v>
      </c>
      <c r="BG263" s="0" t="s">
        <v>227</v>
      </c>
      <c r="BH263" s="0" t="s">
        <v>227</v>
      </c>
      <c r="BI263" s="0" t="s">
        <v>227</v>
      </c>
      <c r="BJ263" s="0" t="s">
        <v>227</v>
      </c>
      <c r="BK263" s="0" t="s">
        <v>227</v>
      </c>
      <c r="BL263" s="0" t="s">
        <v>227</v>
      </c>
      <c r="BM263" s="0" t="s">
        <v>227</v>
      </c>
      <c r="BN263" s="0" t="s">
        <v>227</v>
      </c>
      <c r="BO263" s="0" t="s">
        <v>227</v>
      </c>
      <c r="BP263" s="0" t="s">
        <v>227</v>
      </c>
      <c r="BQ263" s="0" t="s">
        <v>227</v>
      </c>
      <c r="BR263" s="0" t="s">
        <v>227</v>
      </c>
      <c r="BS263" s="0" t="s">
        <v>227</v>
      </c>
      <c r="BT263" s="0" t="s">
        <v>227</v>
      </c>
      <c r="CS263" s="0" t="s">
        <v>227</v>
      </c>
      <c r="CT263" s="0" t="s">
        <v>5679</v>
      </c>
      <c r="CU263" s="0" t="s">
        <v>5680</v>
      </c>
      <c r="CV263" s="0" t="s">
        <v>430</v>
      </c>
      <c r="CW263" s="0" t="s">
        <v>5699</v>
      </c>
      <c r="CX263" s="0" t="s">
        <v>431</v>
      </c>
      <c r="CY263" s="0" t="s">
        <v>430</v>
      </c>
      <c r="CZ263" s="0" t="s">
        <v>432</v>
      </c>
      <c r="DA263" s="0" t="s">
        <v>433</v>
      </c>
      <c r="DB263" s="0" t="s">
        <v>5700</v>
      </c>
      <c r="DC263" s="0" t="s">
        <v>373</v>
      </c>
      <c r="DD263" s="0" t="s">
        <v>290</v>
      </c>
      <c r="DE263" s="0" t="s">
        <v>1099</v>
      </c>
    </row>
    <row customHeight="1" ht="11.25">
      <c r="A264" s="1806" t="s">
        <v>227</v>
      </c>
      <c r="B264" s="0" t="s">
        <v>227</v>
      </c>
      <c r="C264" s="0" t="s">
        <v>227</v>
      </c>
      <c r="D264" s="0" t="s">
        <v>227</v>
      </c>
      <c r="E264" s="0" t="s">
        <v>227</v>
      </c>
      <c r="F264" s="0" t="s">
        <v>227</v>
      </c>
      <c r="G264" s="0" t="s">
        <v>227</v>
      </c>
      <c r="H264" s="0" t="s">
        <v>227</v>
      </c>
      <c r="I264" s="0" t="s">
        <v>6198</v>
      </c>
      <c r="J264" s="0" t="s">
        <v>227</v>
      </c>
      <c r="K264" s="0" t="s">
        <v>227</v>
      </c>
      <c r="L264" s="0" t="s">
        <v>227</v>
      </c>
      <c r="M264" s="0" t="s">
        <v>227</v>
      </c>
      <c r="N264" s="0" t="s">
        <v>227</v>
      </c>
      <c r="O264" s="0" t="s">
        <v>227</v>
      </c>
      <c r="P264" s="0" t="s">
        <v>227</v>
      </c>
      <c r="Q264" s="0" t="s">
        <v>227</v>
      </c>
      <c r="R264" s="0" t="s">
        <v>998</v>
      </c>
      <c r="S264" s="0" t="s">
        <v>227</v>
      </c>
      <c r="T264" s="0" t="s">
        <v>227</v>
      </c>
      <c r="U264" s="0" t="s">
        <v>102</v>
      </c>
      <c r="V264" s="0" t="s">
        <v>227</v>
      </c>
      <c r="W264" s="0" t="s">
        <v>227</v>
      </c>
      <c r="X264" s="0" t="s">
        <v>5683</v>
      </c>
      <c r="Y264" s="0" t="s">
        <v>227</v>
      </c>
      <c r="Z264" s="0" t="s">
        <v>152</v>
      </c>
      <c r="AA264" s="0" t="s">
        <v>152</v>
      </c>
      <c r="AB264" s="0" t="s">
        <v>161</v>
      </c>
      <c r="AC264" s="0" t="s">
        <v>354</v>
      </c>
      <c r="AD264" s="0" t="s">
        <v>354</v>
      </c>
      <c r="AE264" s="0" t="s">
        <v>355</v>
      </c>
      <c r="AF264" s="0" t="s">
        <v>5684</v>
      </c>
      <c r="AG264" s="0" t="s">
        <v>5685</v>
      </c>
      <c r="AH264" s="0" t="s">
        <v>6059</v>
      </c>
      <c r="AI264" s="0" t="s">
        <v>6277</v>
      </c>
      <c r="AJ264" s="0" t="s">
        <v>227</v>
      </c>
      <c r="AK264" s="0" t="s">
        <v>227</v>
      </c>
      <c r="AL264" s="0" t="s">
        <v>227</v>
      </c>
      <c r="AN264" s="0" t="s">
        <v>227</v>
      </c>
      <c r="AO264" s="0" t="s">
        <v>227</v>
      </c>
      <c r="AP264" s="0" t="s">
        <v>227</v>
      </c>
      <c r="AQ264" s="0" t="s">
        <v>227</v>
      </c>
      <c r="AR264" s="0" t="s">
        <v>227</v>
      </c>
      <c r="AS264" s="0" t="s">
        <v>227</v>
      </c>
      <c r="AT264" s="0" t="s">
        <v>227</v>
      </c>
      <c r="AU264" s="0" t="s">
        <v>227</v>
      </c>
      <c r="AV264" s="0" t="s">
        <v>227</v>
      </c>
      <c r="AW264" s="0" t="s">
        <v>227</v>
      </c>
      <c r="AX264" s="0" t="s">
        <v>227</v>
      </c>
      <c r="AY264" s="0" t="s">
        <v>227</v>
      </c>
      <c r="AZ264" s="0" t="s">
        <v>227</v>
      </c>
      <c r="BA264" s="0" t="s">
        <v>227</v>
      </c>
      <c r="BB264" s="0" t="s">
        <v>227</v>
      </c>
      <c r="BC264" s="0" t="s">
        <v>227</v>
      </c>
      <c r="BD264" s="0" t="s">
        <v>227</v>
      </c>
      <c r="BE264" s="0" t="s">
        <v>6155</v>
      </c>
      <c r="BF264" s="0" t="s">
        <v>5697</v>
      </c>
      <c r="BG264" s="0" t="s">
        <v>112</v>
      </c>
      <c r="BH264" s="0" t="s">
        <v>5690</v>
      </c>
      <c r="BI264" s="0" t="s">
        <v>5691</v>
      </c>
      <c r="BJ264" s="0" t="s">
        <v>227</v>
      </c>
      <c r="BK264" s="0" t="s">
        <v>5692</v>
      </c>
      <c r="BL264" s="0" t="s">
        <v>354</v>
      </c>
      <c r="BM264" s="0" t="s">
        <v>354</v>
      </c>
      <c r="BN264" s="0" t="s">
        <v>5693</v>
      </c>
      <c r="BO264" s="0" t="s">
        <v>5684</v>
      </c>
      <c r="BP264" s="0" t="s">
        <v>5694</v>
      </c>
      <c r="BQ264" s="0" t="s">
        <v>5692</v>
      </c>
      <c r="BR264" s="0" t="s">
        <v>5692</v>
      </c>
      <c r="BS264" s="0" t="s">
        <v>227</v>
      </c>
      <c r="BT264" s="0" t="s">
        <v>6206</v>
      </c>
      <c r="CS264" s="0" t="s">
        <v>5759</v>
      </c>
      <c r="CT264" s="0" t="s">
        <v>5679</v>
      </c>
      <c r="CU264" s="0" t="s">
        <v>5680</v>
      </c>
      <c r="CV264" s="0" t="s">
        <v>430</v>
      </c>
      <c r="CW264" s="0" t="s">
        <v>5699</v>
      </c>
      <c r="CX264" s="0" t="s">
        <v>431</v>
      </c>
      <c r="CY264" s="0" t="s">
        <v>430</v>
      </c>
      <c r="CZ264" s="0" t="s">
        <v>432</v>
      </c>
      <c r="DA264" s="0" t="s">
        <v>433</v>
      </c>
      <c r="DB264" s="0" t="s">
        <v>5700</v>
      </c>
      <c r="DC264" s="0" t="s">
        <v>373</v>
      </c>
      <c r="DD264" s="0" t="s">
        <v>290</v>
      </c>
      <c r="DE264" s="0" t="s">
        <v>999</v>
      </c>
    </row>
    <row customHeight="1" ht="11.25">
      <c r="A265" s="1806" t="s">
        <v>227</v>
      </c>
      <c r="B265" s="0" t="s">
        <v>227</v>
      </c>
      <c r="C265" s="0" t="s">
        <v>227</v>
      </c>
      <c r="D265" s="0" t="s">
        <v>227</v>
      </c>
      <c r="E265" s="0" t="s">
        <v>227</v>
      </c>
      <c r="F265" s="0" t="s">
        <v>227</v>
      </c>
      <c r="G265" s="0" t="s">
        <v>227</v>
      </c>
      <c r="H265" s="0" t="s">
        <v>227</v>
      </c>
      <c r="I265" s="0" t="s">
        <v>6198</v>
      </c>
      <c r="J265" s="0" t="s">
        <v>227</v>
      </c>
      <c r="K265" s="0" t="s">
        <v>227</v>
      </c>
      <c r="L265" s="0" t="s">
        <v>227</v>
      </c>
      <c r="M265" s="0" t="s">
        <v>227</v>
      </c>
      <c r="N265" s="0" t="s">
        <v>227</v>
      </c>
      <c r="O265" s="0" t="s">
        <v>227</v>
      </c>
      <c r="P265" s="0" t="s">
        <v>227</v>
      </c>
      <c r="Q265" s="0" t="s">
        <v>227</v>
      </c>
      <c r="R265" s="0" t="s">
        <v>1006</v>
      </c>
      <c r="S265" s="0" t="s">
        <v>227</v>
      </c>
      <c r="T265" s="0" t="s">
        <v>227</v>
      </c>
      <c r="U265" s="0" t="s">
        <v>102</v>
      </c>
      <c r="V265" s="0" t="s">
        <v>227</v>
      </c>
      <c r="W265" s="0" t="s">
        <v>227</v>
      </c>
      <c r="X265" s="0" t="s">
        <v>5683</v>
      </c>
      <c r="Y265" s="0" t="s">
        <v>227</v>
      </c>
      <c r="Z265" s="0" t="s">
        <v>152</v>
      </c>
      <c r="AA265" s="0" t="s">
        <v>152</v>
      </c>
      <c r="AB265" s="0" t="s">
        <v>161</v>
      </c>
      <c r="AC265" s="0" t="s">
        <v>354</v>
      </c>
      <c r="AD265" s="0" t="s">
        <v>354</v>
      </c>
      <c r="AE265" s="0" t="s">
        <v>355</v>
      </c>
      <c r="AF265" s="0" t="s">
        <v>5684</v>
      </c>
      <c r="AG265" s="0" t="s">
        <v>5685</v>
      </c>
      <c r="AH265" s="0" t="s">
        <v>6059</v>
      </c>
      <c r="AI265" s="0" t="s">
        <v>6278</v>
      </c>
      <c r="AJ265" s="0" t="s">
        <v>227</v>
      </c>
      <c r="AK265" s="0" t="s">
        <v>227</v>
      </c>
      <c r="AL265" s="0" t="s">
        <v>227</v>
      </c>
      <c r="AN265" s="0" t="s">
        <v>227</v>
      </c>
      <c r="AO265" s="0" t="s">
        <v>227</v>
      </c>
      <c r="AP265" s="0" t="s">
        <v>227</v>
      </c>
      <c r="AQ265" s="0" t="s">
        <v>227</v>
      </c>
      <c r="AR265" s="0" t="s">
        <v>227</v>
      </c>
      <c r="AS265" s="0" t="s">
        <v>227</v>
      </c>
      <c r="AT265" s="0" t="s">
        <v>227</v>
      </c>
      <c r="AU265" s="0" t="s">
        <v>227</v>
      </c>
      <c r="AV265" s="0" t="s">
        <v>227</v>
      </c>
      <c r="AW265" s="0" t="s">
        <v>227</v>
      </c>
      <c r="AX265" s="0" t="s">
        <v>227</v>
      </c>
      <c r="AY265" s="0" t="s">
        <v>227</v>
      </c>
      <c r="AZ265" s="0" t="s">
        <v>227</v>
      </c>
      <c r="BA265" s="0" t="s">
        <v>227</v>
      </c>
      <c r="BB265" s="0" t="s">
        <v>227</v>
      </c>
      <c r="BC265" s="0" t="s">
        <v>227</v>
      </c>
      <c r="BD265" s="0" t="s">
        <v>227</v>
      </c>
      <c r="BE265" s="0" t="s">
        <v>6155</v>
      </c>
      <c r="BF265" s="0" t="s">
        <v>5697</v>
      </c>
      <c r="BG265" s="0" t="s">
        <v>112</v>
      </c>
      <c r="BH265" s="0" t="s">
        <v>5690</v>
      </c>
      <c r="BI265" s="0" t="s">
        <v>5691</v>
      </c>
      <c r="BJ265" s="0" t="s">
        <v>227</v>
      </c>
      <c r="BK265" s="0" t="s">
        <v>5692</v>
      </c>
      <c r="BL265" s="0" t="s">
        <v>354</v>
      </c>
      <c r="BM265" s="0" t="s">
        <v>354</v>
      </c>
      <c r="BN265" s="0" t="s">
        <v>5693</v>
      </c>
      <c r="BO265" s="0" t="s">
        <v>5684</v>
      </c>
      <c r="BP265" s="0" t="s">
        <v>5694</v>
      </c>
      <c r="BQ265" s="0" t="s">
        <v>5692</v>
      </c>
      <c r="BR265" s="0" t="s">
        <v>5692</v>
      </c>
      <c r="BS265" s="0" t="s">
        <v>227</v>
      </c>
      <c r="BT265" s="0" t="s">
        <v>6206</v>
      </c>
      <c r="CS265" s="0" t="s">
        <v>5759</v>
      </c>
      <c r="CT265" s="0" t="s">
        <v>5679</v>
      </c>
      <c r="CU265" s="0" t="s">
        <v>5680</v>
      </c>
      <c r="CV265" s="0" t="s">
        <v>430</v>
      </c>
      <c r="CW265" s="0" t="s">
        <v>5699</v>
      </c>
      <c r="CX265" s="0" t="s">
        <v>431</v>
      </c>
      <c r="CY265" s="0" t="s">
        <v>430</v>
      </c>
      <c r="CZ265" s="0" t="s">
        <v>432</v>
      </c>
      <c r="DA265" s="0" t="s">
        <v>433</v>
      </c>
      <c r="DB265" s="0" t="s">
        <v>5700</v>
      </c>
      <c r="DC265" s="0" t="s">
        <v>373</v>
      </c>
      <c r="DD265" s="0" t="s">
        <v>290</v>
      </c>
      <c r="DE265" s="0" t="s">
        <v>1007</v>
      </c>
    </row>
    <row customHeight="1" ht="11.25">
      <c r="A266" s="1806" t="s">
        <v>227</v>
      </c>
      <c r="B266" s="0" t="s">
        <v>227</v>
      </c>
      <c r="C266" s="0" t="s">
        <v>227</v>
      </c>
      <c r="D266" s="0" t="s">
        <v>227</v>
      </c>
      <c r="E266" s="0" t="s">
        <v>227</v>
      </c>
      <c r="F266" s="0" t="s">
        <v>227</v>
      </c>
      <c r="G266" s="0" t="s">
        <v>227</v>
      </c>
      <c r="H266" s="0" t="s">
        <v>227</v>
      </c>
      <c r="I266" s="0" t="s">
        <v>6198</v>
      </c>
      <c r="J266" s="0" t="s">
        <v>227</v>
      </c>
      <c r="K266" s="0" t="s">
        <v>227</v>
      </c>
      <c r="L266" s="0" t="s">
        <v>227</v>
      </c>
      <c r="M266" s="0" t="s">
        <v>227</v>
      </c>
      <c r="N266" s="0" t="s">
        <v>227</v>
      </c>
      <c r="O266" s="0" t="s">
        <v>227</v>
      </c>
      <c r="P266" s="0" t="s">
        <v>227</v>
      </c>
      <c r="Q266" s="0" t="s">
        <v>227</v>
      </c>
      <c r="R266" s="0" t="s">
        <v>1107</v>
      </c>
      <c r="S266" s="0" t="s">
        <v>227</v>
      </c>
      <c r="T266" s="0" t="s">
        <v>227</v>
      </c>
      <c r="U266" s="0" t="s">
        <v>102</v>
      </c>
      <c r="V266" s="0" t="s">
        <v>227</v>
      </c>
      <c r="W266" s="0" t="s">
        <v>227</v>
      </c>
      <c r="X266" s="0" t="s">
        <v>5683</v>
      </c>
      <c r="Y266" s="0" t="s">
        <v>227</v>
      </c>
      <c r="Z266" s="0" t="s">
        <v>152</v>
      </c>
      <c r="AA266" s="0" t="s">
        <v>152</v>
      </c>
      <c r="AB266" s="0" t="s">
        <v>161</v>
      </c>
      <c r="AC266" s="0" t="s">
        <v>354</v>
      </c>
      <c r="AD266" s="0" t="s">
        <v>354</v>
      </c>
      <c r="AE266" s="0" t="s">
        <v>355</v>
      </c>
      <c r="AF266" s="0" t="s">
        <v>5684</v>
      </c>
      <c r="AG266" s="0" t="s">
        <v>5685</v>
      </c>
      <c r="AH266" s="0" t="s">
        <v>5809</v>
      </c>
      <c r="AI266" s="0" t="s">
        <v>535</v>
      </c>
      <c r="AJ266" s="0" t="s">
        <v>227</v>
      </c>
      <c r="AK266" s="0" t="s">
        <v>227</v>
      </c>
      <c r="AL266" s="0" t="s">
        <v>227</v>
      </c>
      <c r="AN266" s="0" t="s">
        <v>227</v>
      </c>
      <c r="AO266" s="0" t="s">
        <v>227</v>
      </c>
      <c r="AP266" s="0" t="s">
        <v>227</v>
      </c>
      <c r="AQ266" s="0" t="s">
        <v>227</v>
      </c>
      <c r="AR266" s="0" t="s">
        <v>227</v>
      </c>
      <c r="AS266" s="0" t="s">
        <v>227</v>
      </c>
      <c r="AT266" s="0" t="s">
        <v>227</v>
      </c>
      <c r="AU266" s="0" t="s">
        <v>227</v>
      </c>
      <c r="AV266" s="0" t="s">
        <v>227</v>
      </c>
      <c r="AW266" s="0" t="s">
        <v>227</v>
      </c>
      <c r="AX266" s="0" t="s">
        <v>227</v>
      </c>
      <c r="AY266" s="0" t="s">
        <v>227</v>
      </c>
      <c r="AZ266" s="0" t="s">
        <v>227</v>
      </c>
      <c r="BA266" s="0" t="s">
        <v>227</v>
      </c>
      <c r="BB266" s="0" t="s">
        <v>227</v>
      </c>
      <c r="BC266" s="0" t="s">
        <v>227</v>
      </c>
      <c r="BD266" s="0" t="s">
        <v>227</v>
      </c>
      <c r="BE266" s="0" t="s">
        <v>6155</v>
      </c>
      <c r="BF266" s="0" t="s">
        <v>5697</v>
      </c>
      <c r="BG266" s="0" t="s">
        <v>112</v>
      </c>
      <c r="BH266" s="0" t="s">
        <v>5690</v>
      </c>
      <c r="BI266" s="0" t="s">
        <v>5691</v>
      </c>
      <c r="BJ266" s="0" t="s">
        <v>227</v>
      </c>
      <c r="BK266" s="0" t="s">
        <v>5692</v>
      </c>
      <c r="BL266" s="0" t="s">
        <v>354</v>
      </c>
      <c r="BM266" s="0" t="s">
        <v>354</v>
      </c>
      <c r="BN266" s="0" t="s">
        <v>5693</v>
      </c>
      <c r="BO266" s="0" t="s">
        <v>5684</v>
      </c>
      <c r="BP266" s="0" t="s">
        <v>5694</v>
      </c>
      <c r="BQ266" s="0" t="s">
        <v>5692</v>
      </c>
      <c r="BR266" s="0" t="s">
        <v>5692</v>
      </c>
      <c r="BS266" s="0" t="s">
        <v>227</v>
      </c>
      <c r="BT266" s="0" t="s">
        <v>6206</v>
      </c>
      <c r="CS266" s="0" t="s">
        <v>5759</v>
      </c>
      <c r="CT266" s="0" t="s">
        <v>5679</v>
      </c>
      <c r="CU266" s="0" t="s">
        <v>5680</v>
      </c>
      <c r="CV266" s="0" t="s">
        <v>430</v>
      </c>
      <c r="CW266" s="0" t="s">
        <v>5699</v>
      </c>
      <c r="CX266" s="0" t="s">
        <v>431</v>
      </c>
      <c r="CY266" s="0" t="s">
        <v>430</v>
      </c>
      <c r="CZ266" s="0" t="s">
        <v>432</v>
      </c>
      <c r="DA266" s="0" t="s">
        <v>433</v>
      </c>
      <c r="DB266" s="0" t="s">
        <v>5700</v>
      </c>
      <c r="DC266" s="0" t="s">
        <v>373</v>
      </c>
      <c r="DD266" s="0" t="s">
        <v>290</v>
      </c>
      <c r="DE266" s="0" t="s">
        <v>1108</v>
      </c>
    </row>
    <row customHeight="1" ht="11.25">
      <c r="A267" s="1806" t="s">
        <v>227</v>
      </c>
      <c r="B267" s="0" t="s">
        <v>227</v>
      </c>
      <c r="C267" s="0" t="s">
        <v>227</v>
      </c>
      <c r="D267" s="0" t="s">
        <v>227</v>
      </c>
      <c r="E267" s="0" t="s">
        <v>227</v>
      </c>
      <c r="F267" s="0" t="s">
        <v>227</v>
      </c>
      <c r="G267" s="0" t="s">
        <v>227</v>
      </c>
      <c r="H267" s="0" t="s">
        <v>227</v>
      </c>
      <c r="I267" s="0" t="s">
        <v>6198</v>
      </c>
      <c r="J267" s="0" t="s">
        <v>227</v>
      </c>
      <c r="K267" s="0" t="s">
        <v>227</v>
      </c>
      <c r="L267" s="0" t="s">
        <v>227</v>
      </c>
      <c r="M267" s="0" t="s">
        <v>227</v>
      </c>
      <c r="N267" s="0" t="s">
        <v>227</v>
      </c>
      <c r="O267" s="0" t="s">
        <v>227</v>
      </c>
      <c r="P267" s="0" t="s">
        <v>227</v>
      </c>
      <c r="Q267" s="0" t="s">
        <v>227</v>
      </c>
      <c r="R267" s="0" t="s">
        <v>1092</v>
      </c>
      <c r="S267" s="0" t="s">
        <v>227</v>
      </c>
      <c r="T267" s="0" t="s">
        <v>227</v>
      </c>
      <c r="U267" s="0" t="s">
        <v>102</v>
      </c>
      <c r="V267" s="0" t="s">
        <v>227</v>
      </c>
      <c r="W267" s="0" t="s">
        <v>227</v>
      </c>
      <c r="X267" s="0" t="s">
        <v>5683</v>
      </c>
      <c r="Y267" s="0" t="s">
        <v>227</v>
      </c>
      <c r="Z267" s="0" t="s">
        <v>152</v>
      </c>
      <c r="AA267" s="0" t="s">
        <v>152</v>
      </c>
      <c r="AB267" s="0" t="s">
        <v>161</v>
      </c>
      <c r="AC267" s="0" t="s">
        <v>354</v>
      </c>
      <c r="AD267" s="0" t="s">
        <v>354</v>
      </c>
      <c r="AE267" s="0" t="s">
        <v>355</v>
      </c>
      <c r="AF267" s="0" t="s">
        <v>5684</v>
      </c>
      <c r="AG267" s="0" t="s">
        <v>5685</v>
      </c>
      <c r="AH267" s="0" t="s">
        <v>6208</v>
      </c>
      <c r="AI267" s="0" t="s">
        <v>5692</v>
      </c>
      <c r="AJ267" s="0" t="s">
        <v>227</v>
      </c>
      <c r="AK267" s="0" t="s">
        <v>227</v>
      </c>
      <c r="AL267" s="0" t="s">
        <v>227</v>
      </c>
      <c r="AN267" s="0" t="s">
        <v>227</v>
      </c>
      <c r="AO267" s="0" t="s">
        <v>227</v>
      </c>
      <c r="AP267" s="0" t="s">
        <v>227</v>
      </c>
      <c r="AQ267" s="0" t="s">
        <v>227</v>
      </c>
      <c r="AR267" s="0" t="s">
        <v>227</v>
      </c>
      <c r="AS267" s="0" t="s">
        <v>227</v>
      </c>
      <c r="AT267" s="0" t="s">
        <v>227</v>
      </c>
      <c r="AU267" s="0" t="s">
        <v>227</v>
      </c>
      <c r="AV267" s="0" t="s">
        <v>227</v>
      </c>
      <c r="AW267" s="0" t="s">
        <v>227</v>
      </c>
      <c r="AX267" s="0" t="s">
        <v>227</v>
      </c>
      <c r="AY267" s="0" t="s">
        <v>227</v>
      </c>
      <c r="AZ267" s="0" t="s">
        <v>227</v>
      </c>
      <c r="BA267" s="0" t="s">
        <v>227</v>
      </c>
      <c r="BB267" s="0" t="s">
        <v>227</v>
      </c>
      <c r="BC267" s="0" t="s">
        <v>227</v>
      </c>
      <c r="BD267" s="0" t="s">
        <v>227</v>
      </c>
      <c r="BE267" s="0" t="s">
        <v>6216</v>
      </c>
      <c r="BF267" s="0" t="s">
        <v>5697</v>
      </c>
      <c r="BG267" s="0" t="s">
        <v>112</v>
      </c>
      <c r="BH267" s="0" t="s">
        <v>5690</v>
      </c>
      <c r="BI267" s="0" t="s">
        <v>5691</v>
      </c>
      <c r="BJ267" s="0" t="s">
        <v>227</v>
      </c>
      <c r="BK267" s="0" t="s">
        <v>5692</v>
      </c>
      <c r="BL267" s="0" t="s">
        <v>354</v>
      </c>
      <c r="BM267" s="0" t="s">
        <v>354</v>
      </c>
      <c r="BN267" s="0" t="s">
        <v>5693</v>
      </c>
      <c r="BO267" s="0" t="s">
        <v>5684</v>
      </c>
      <c r="BP267" s="0" t="s">
        <v>5694</v>
      </c>
      <c r="BQ267" s="0" t="s">
        <v>5692</v>
      </c>
      <c r="BR267" s="0" t="s">
        <v>5692</v>
      </c>
      <c r="BS267" s="0" t="s">
        <v>227</v>
      </c>
      <c r="BT267" s="0" t="s">
        <v>6210</v>
      </c>
      <c r="CS267" s="0" t="s">
        <v>5759</v>
      </c>
      <c r="CT267" s="0" t="s">
        <v>5679</v>
      </c>
      <c r="CU267" s="0" t="s">
        <v>5680</v>
      </c>
      <c r="CV267" s="0" t="s">
        <v>430</v>
      </c>
      <c r="CW267" s="0" t="s">
        <v>5699</v>
      </c>
      <c r="CX267" s="0" t="s">
        <v>431</v>
      </c>
      <c r="CY267" s="0" t="s">
        <v>430</v>
      </c>
      <c r="CZ267" s="0" t="s">
        <v>432</v>
      </c>
      <c r="DA267" s="0" t="s">
        <v>433</v>
      </c>
      <c r="DB267" s="0" t="s">
        <v>5700</v>
      </c>
      <c r="DC267" s="0" t="s">
        <v>373</v>
      </c>
      <c r="DD267" s="0" t="s">
        <v>290</v>
      </c>
      <c r="DE267" s="0" t="s">
        <v>1091</v>
      </c>
    </row>
    <row customHeight="1" ht="11.25">
      <c r="A268" s="1806" t="s">
        <v>227</v>
      </c>
      <c r="B268" s="0" t="s">
        <v>227</v>
      </c>
      <c r="C268" s="0" t="s">
        <v>227</v>
      </c>
      <c r="D268" s="0" t="s">
        <v>227</v>
      </c>
      <c r="E268" s="0" t="s">
        <v>227</v>
      </c>
      <c r="F268" s="0" t="s">
        <v>227</v>
      </c>
      <c r="G268" s="0" t="s">
        <v>227</v>
      </c>
      <c r="H268" s="0" t="s">
        <v>227</v>
      </c>
      <c r="I268" s="0" t="s">
        <v>6198</v>
      </c>
      <c r="J268" s="0" t="s">
        <v>227</v>
      </c>
      <c r="K268" s="0" t="s">
        <v>227</v>
      </c>
      <c r="L268" s="0" t="s">
        <v>227</v>
      </c>
      <c r="M268" s="0" t="s">
        <v>227</v>
      </c>
      <c r="N268" s="0" t="s">
        <v>227</v>
      </c>
      <c r="O268" s="0" t="s">
        <v>227</v>
      </c>
      <c r="P268" s="0" t="s">
        <v>227</v>
      </c>
      <c r="Q268" s="0" t="s">
        <v>227</v>
      </c>
      <c r="R268" s="0" t="s">
        <v>1053</v>
      </c>
      <c r="S268" s="0" t="s">
        <v>227</v>
      </c>
      <c r="T268" s="0" t="s">
        <v>227</v>
      </c>
      <c r="U268" s="0" t="s">
        <v>102</v>
      </c>
      <c r="V268" s="0" t="s">
        <v>227</v>
      </c>
      <c r="W268" s="0" t="s">
        <v>227</v>
      </c>
      <c r="X268" s="0" t="s">
        <v>5683</v>
      </c>
      <c r="Y268" s="0" t="s">
        <v>227</v>
      </c>
      <c r="Z268" s="0" t="s">
        <v>152</v>
      </c>
      <c r="AA268" s="0" t="s">
        <v>152</v>
      </c>
      <c r="AB268" s="0" t="s">
        <v>161</v>
      </c>
      <c r="AC268" s="0" t="s">
        <v>354</v>
      </c>
      <c r="AD268" s="0" t="s">
        <v>354</v>
      </c>
      <c r="AE268" s="0" t="s">
        <v>355</v>
      </c>
      <c r="AF268" s="0" t="s">
        <v>5684</v>
      </c>
      <c r="AG268" s="0" t="s">
        <v>5685</v>
      </c>
      <c r="AH268" s="0" t="s">
        <v>5949</v>
      </c>
      <c r="AI268" s="0" t="s">
        <v>6279</v>
      </c>
      <c r="AJ268" s="0" t="s">
        <v>227</v>
      </c>
      <c r="AK268" s="0" t="s">
        <v>227</v>
      </c>
      <c r="AL268" s="0" t="s">
        <v>227</v>
      </c>
      <c r="AN268" s="0" t="s">
        <v>227</v>
      </c>
      <c r="AO268" s="0" t="s">
        <v>227</v>
      </c>
      <c r="AP268" s="0" t="s">
        <v>227</v>
      </c>
      <c r="AQ268" s="0" t="s">
        <v>227</v>
      </c>
      <c r="AR268" s="0" t="s">
        <v>227</v>
      </c>
      <c r="AS268" s="0" t="s">
        <v>227</v>
      </c>
      <c r="AT268" s="0" t="s">
        <v>227</v>
      </c>
      <c r="AU268" s="0" t="s">
        <v>227</v>
      </c>
      <c r="AV268" s="0" t="s">
        <v>227</v>
      </c>
      <c r="AW268" s="0" t="s">
        <v>227</v>
      </c>
      <c r="AX268" s="0" t="s">
        <v>227</v>
      </c>
      <c r="AY268" s="0" t="s">
        <v>227</v>
      </c>
      <c r="AZ268" s="0" t="s">
        <v>227</v>
      </c>
      <c r="BA268" s="0" t="s">
        <v>227</v>
      </c>
      <c r="BB268" s="0" t="s">
        <v>227</v>
      </c>
      <c r="BC268" s="0" t="s">
        <v>227</v>
      </c>
      <c r="BD268" s="0" t="s">
        <v>227</v>
      </c>
      <c r="BE268" s="0" t="s">
        <v>6155</v>
      </c>
      <c r="BF268" s="0" t="s">
        <v>5697</v>
      </c>
      <c r="BG268" s="0" t="s">
        <v>112</v>
      </c>
      <c r="BH268" s="0" t="s">
        <v>5690</v>
      </c>
      <c r="BI268" s="0" t="s">
        <v>5691</v>
      </c>
      <c r="BJ268" s="0" t="s">
        <v>227</v>
      </c>
      <c r="BK268" s="0" t="s">
        <v>5692</v>
      </c>
      <c r="BL268" s="0" t="s">
        <v>354</v>
      </c>
      <c r="BM268" s="0" t="s">
        <v>354</v>
      </c>
      <c r="BN268" s="0" t="s">
        <v>5693</v>
      </c>
      <c r="BO268" s="0" t="s">
        <v>5684</v>
      </c>
      <c r="BP268" s="0" t="s">
        <v>5694</v>
      </c>
      <c r="BQ268" s="0" t="s">
        <v>5692</v>
      </c>
      <c r="BR268" s="0" t="s">
        <v>5692</v>
      </c>
      <c r="BS268" s="0" t="s">
        <v>227</v>
      </c>
      <c r="BT268" s="0" t="s">
        <v>6210</v>
      </c>
      <c r="CS268" s="0" t="s">
        <v>5759</v>
      </c>
      <c r="CT268" s="0" t="s">
        <v>5679</v>
      </c>
      <c r="CU268" s="0" t="s">
        <v>5680</v>
      </c>
      <c r="CV268" s="0" t="s">
        <v>430</v>
      </c>
      <c r="CW268" s="0" t="s">
        <v>5699</v>
      </c>
      <c r="CX268" s="0" t="s">
        <v>431</v>
      </c>
      <c r="CY268" s="0" t="s">
        <v>430</v>
      </c>
      <c r="CZ268" s="0" t="s">
        <v>432</v>
      </c>
      <c r="DA268" s="0" t="s">
        <v>433</v>
      </c>
      <c r="DB268" s="0" t="s">
        <v>5700</v>
      </c>
      <c r="DC268" s="0" t="s">
        <v>373</v>
      </c>
      <c r="DD268" s="0" t="s">
        <v>290</v>
      </c>
      <c r="DE268" s="0" t="s">
        <v>1054</v>
      </c>
    </row>
    <row customHeight="1" ht="11.25">
      <c r="A269" s="1806" t="s">
        <v>227</v>
      </c>
      <c r="B269" s="0" t="s">
        <v>227</v>
      </c>
      <c r="C269" s="0" t="s">
        <v>227</v>
      </c>
      <c r="D269" s="0" t="s">
        <v>227</v>
      </c>
      <c r="E269" s="0" t="s">
        <v>227</v>
      </c>
      <c r="F269" s="0" t="s">
        <v>227</v>
      </c>
      <c r="G269" s="0" t="s">
        <v>227</v>
      </c>
      <c r="H269" s="0" t="s">
        <v>227</v>
      </c>
      <c r="I269" s="0" t="s">
        <v>6198</v>
      </c>
      <c r="J269" s="0" t="s">
        <v>227</v>
      </c>
      <c r="K269" s="0" t="s">
        <v>227</v>
      </c>
      <c r="L269" s="0" t="s">
        <v>227</v>
      </c>
      <c r="M269" s="0" t="s">
        <v>227</v>
      </c>
      <c r="N269" s="0" t="s">
        <v>227</v>
      </c>
      <c r="O269" s="0" t="s">
        <v>227</v>
      </c>
      <c r="P269" s="0" t="s">
        <v>227</v>
      </c>
      <c r="Q269" s="0" t="s">
        <v>227</v>
      </c>
      <c r="R269" s="0" t="s">
        <v>1128</v>
      </c>
      <c r="S269" s="0" t="s">
        <v>227</v>
      </c>
      <c r="T269" s="0" t="s">
        <v>227</v>
      </c>
      <c r="U269" s="0" t="s">
        <v>102</v>
      </c>
      <c r="V269" s="0" t="s">
        <v>227</v>
      </c>
      <c r="W269" s="0" t="s">
        <v>227</v>
      </c>
      <c r="X269" s="0" t="s">
        <v>5683</v>
      </c>
      <c r="Y269" s="0" t="s">
        <v>227</v>
      </c>
      <c r="Z269" s="0" t="s">
        <v>152</v>
      </c>
      <c r="AA269" s="0" t="s">
        <v>152</v>
      </c>
      <c r="AB269" s="0" t="s">
        <v>161</v>
      </c>
      <c r="AC269" s="0" t="s">
        <v>354</v>
      </c>
      <c r="AD269" s="0" t="s">
        <v>354</v>
      </c>
      <c r="AE269" s="0" t="s">
        <v>355</v>
      </c>
      <c r="AF269" s="0" t="s">
        <v>5684</v>
      </c>
      <c r="AG269" s="0" t="s">
        <v>5685</v>
      </c>
      <c r="AH269" s="0" t="s">
        <v>6280</v>
      </c>
      <c r="AI269" s="0" t="s">
        <v>5692</v>
      </c>
      <c r="AJ269" s="0" t="s">
        <v>227</v>
      </c>
      <c r="AK269" s="0" t="s">
        <v>227</v>
      </c>
      <c r="AL269" s="0" t="s">
        <v>227</v>
      </c>
      <c r="AN269" s="0" t="s">
        <v>227</v>
      </c>
      <c r="AO269" s="0" t="s">
        <v>227</v>
      </c>
      <c r="AP269" s="0" t="s">
        <v>227</v>
      </c>
      <c r="AQ269" s="0" t="s">
        <v>227</v>
      </c>
      <c r="AR269" s="0" t="s">
        <v>227</v>
      </c>
      <c r="AS269" s="0" t="s">
        <v>227</v>
      </c>
      <c r="AT269" s="0" t="s">
        <v>227</v>
      </c>
      <c r="AU269" s="0" t="s">
        <v>227</v>
      </c>
      <c r="AV269" s="0" t="s">
        <v>227</v>
      </c>
      <c r="AW269" s="0" t="s">
        <v>227</v>
      </c>
      <c r="AX269" s="0" t="s">
        <v>227</v>
      </c>
      <c r="AY269" s="0" t="s">
        <v>227</v>
      </c>
      <c r="AZ269" s="0" t="s">
        <v>227</v>
      </c>
      <c r="BA269" s="0" t="s">
        <v>227</v>
      </c>
      <c r="BB269" s="0" t="s">
        <v>227</v>
      </c>
      <c r="BC269" s="0" t="s">
        <v>227</v>
      </c>
      <c r="BD269" s="0" t="s">
        <v>227</v>
      </c>
      <c r="BE269" s="0" t="s">
        <v>6209</v>
      </c>
      <c r="BF269" s="0" t="s">
        <v>5697</v>
      </c>
      <c r="BG269" s="0" t="s">
        <v>112</v>
      </c>
      <c r="BH269" s="0" t="s">
        <v>5690</v>
      </c>
      <c r="BI269" s="0" t="s">
        <v>5691</v>
      </c>
      <c r="BJ269" s="0" t="s">
        <v>227</v>
      </c>
      <c r="BK269" s="0" t="s">
        <v>5692</v>
      </c>
      <c r="BL269" s="0" t="s">
        <v>354</v>
      </c>
      <c r="BM269" s="0" t="s">
        <v>354</v>
      </c>
      <c r="BN269" s="0" t="s">
        <v>5693</v>
      </c>
      <c r="BO269" s="0" t="s">
        <v>5684</v>
      </c>
      <c r="BP269" s="0" t="s">
        <v>5694</v>
      </c>
      <c r="BQ269" s="0" t="s">
        <v>5692</v>
      </c>
      <c r="BR269" s="0" t="s">
        <v>5692</v>
      </c>
      <c r="BS269" s="0" t="s">
        <v>227</v>
      </c>
      <c r="BT269" s="0" t="s">
        <v>6210</v>
      </c>
      <c r="CS269" s="0" t="s">
        <v>5759</v>
      </c>
      <c r="CT269" s="0" t="s">
        <v>5679</v>
      </c>
      <c r="CU269" s="0" t="s">
        <v>5680</v>
      </c>
      <c r="CV269" s="0" t="s">
        <v>430</v>
      </c>
      <c r="CW269" s="0" t="s">
        <v>5699</v>
      </c>
      <c r="CX269" s="0" t="s">
        <v>431</v>
      </c>
      <c r="CY269" s="0" t="s">
        <v>430</v>
      </c>
      <c r="CZ269" s="0" t="s">
        <v>432</v>
      </c>
      <c r="DA269" s="0" t="s">
        <v>433</v>
      </c>
      <c r="DB269" s="0" t="s">
        <v>5700</v>
      </c>
      <c r="DC269" s="0" t="s">
        <v>373</v>
      </c>
      <c r="DD269" s="0" t="s">
        <v>290</v>
      </c>
      <c r="DE269" s="0" t="s">
        <v>1129</v>
      </c>
    </row>
    <row customHeight="1" ht="11.25">
      <c r="A270" s="1806" t="s">
        <v>227</v>
      </c>
      <c r="B270" s="0" t="s">
        <v>227</v>
      </c>
      <c r="C270" s="0" t="s">
        <v>227</v>
      </c>
      <c r="D270" s="0" t="s">
        <v>227</v>
      </c>
      <c r="E270" s="0" t="s">
        <v>227</v>
      </c>
      <c r="F270" s="0" t="s">
        <v>227</v>
      </c>
      <c r="G270" s="0" t="s">
        <v>227</v>
      </c>
      <c r="H270" s="0" t="s">
        <v>227</v>
      </c>
      <c r="I270" s="0" t="s">
        <v>6198</v>
      </c>
      <c r="J270" s="0" t="s">
        <v>227</v>
      </c>
      <c r="K270" s="0" t="s">
        <v>227</v>
      </c>
      <c r="L270" s="0" t="s">
        <v>227</v>
      </c>
      <c r="M270" s="0" t="s">
        <v>227</v>
      </c>
      <c r="N270" s="0" t="s">
        <v>227</v>
      </c>
      <c r="O270" s="0" t="s">
        <v>227</v>
      </c>
      <c r="P270" s="0" t="s">
        <v>227</v>
      </c>
      <c r="Q270" s="0" t="s">
        <v>227</v>
      </c>
      <c r="R270" s="0" t="s">
        <v>1127</v>
      </c>
      <c r="S270" s="0" t="s">
        <v>227</v>
      </c>
      <c r="T270" s="0" t="s">
        <v>227</v>
      </c>
      <c r="U270" s="0" t="s">
        <v>102</v>
      </c>
      <c r="V270" s="0" t="s">
        <v>227</v>
      </c>
      <c r="W270" s="0" t="s">
        <v>227</v>
      </c>
      <c r="X270" s="0" t="s">
        <v>5683</v>
      </c>
      <c r="Y270" s="0" t="s">
        <v>227</v>
      </c>
      <c r="Z270" s="0" t="s">
        <v>152</v>
      </c>
      <c r="AA270" s="0" t="s">
        <v>152</v>
      </c>
      <c r="AB270" s="0" t="s">
        <v>161</v>
      </c>
      <c r="AC270" s="0" t="s">
        <v>354</v>
      </c>
      <c r="AD270" s="0" t="s">
        <v>354</v>
      </c>
      <c r="AE270" s="0" t="s">
        <v>355</v>
      </c>
      <c r="AF270" s="0" t="s">
        <v>5684</v>
      </c>
      <c r="AG270" s="0" t="s">
        <v>5685</v>
      </c>
      <c r="AH270" s="0" t="s">
        <v>5947</v>
      </c>
      <c r="AI270" s="0" t="s">
        <v>5692</v>
      </c>
      <c r="AJ270" s="0" t="s">
        <v>227</v>
      </c>
      <c r="AK270" s="0" t="s">
        <v>227</v>
      </c>
      <c r="AL270" s="0" t="s">
        <v>227</v>
      </c>
      <c r="AN270" s="0" t="s">
        <v>227</v>
      </c>
      <c r="AO270" s="0" t="s">
        <v>227</v>
      </c>
      <c r="AP270" s="0" t="s">
        <v>227</v>
      </c>
      <c r="AQ270" s="0" t="s">
        <v>227</v>
      </c>
      <c r="AR270" s="0" t="s">
        <v>227</v>
      </c>
      <c r="AS270" s="0" t="s">
        <v>227</v>
      </c>
      <c r="AT270" s="0" t="s">
        <v>227</v>
      </c>
      <c r="AU270" s="0" t="s">
        <v>227</v>
      </c>
      <c r="AV270" s="0" t="s">
        <v>227</v>
      </c>
      <c r="AW270" s="0" t="s">
        <v>227</v>
      </c>
      <c r="AX270" s="0" t="s">
        <v>227</v>
      </c>
      <c r="AY270" s="0" t="s">
        <v>227</v>
      </c>
      <c r="AZ270" s="0" t="s">
        <v>227</v>
      </c>
      <c r="BA270" s="0" t="s">
        <v>227</v>
      </c>
      <c r="BB270" s="0" t="s">
        <v>227</v>
      </c>
      <c r="BC270" s="0" t="s">
        <v>227</v>
      </c>
      <c r="BD270" s="0" t="s">
        <v>227</v>
      </c>
      <c r="BE270" s="0" t="s">
        <v>6216</v>
      </c>
      <c r="BF270" s="0" t="s">
        <v>5697</v>
      </c>
      <c r="BG270" s="0" t="s">
        <v>112</v>
      </c>
      <c r="BH270" s="0" t="s">
        <v>5690</v>
      </c>
      <c r="BI270" s="0" t="s">
        <v>5691</v>
      </c>
      <c r="BJ270" s="0" t="s">
        <v>227</v>
      </c>
      <c r="BK270" s="0" t="s">
        <v>5692</v>
      </c>
      <c r="BL270" s="0" t="s">
        <v>354</v>
      </c>
      <c r="BM270" s="0" t="s">
        <v>354</v>
      </c>
      <c r="BN270" s="0" t="s">
        <v>5693</v>
      </c>
      <c r="BO270" s="0" t="s">
        <v>5684</v>
      </c>
      <c r="BP270" s="0" t="s">
        <v>5694</v>
      </c>
      <c r="BQ270" s="0" t="s">
        <v>5692</v>
      </c>
      <c r="BR270" s="0" t="s">
        <v>5692</v>
      </c>
      <c r="BS270" s="0" t="s">
        <v>227</v>
      </c>
      <c r="BT270" s="0" t="s">
        <v>6206</v>
      </c>
      <c r="CS270" s="0" t="s">
        <v>5759</v>
      </c>
      <c r="CT270" s="0" t="s">
        <v>5679</v>
      </c>
      <c r="CU270" s="0" t="s">
        <v>5680</v>
      </c>
      <c r="CV270" s="0" t="s">
        <v>430</v>
      </c>
      <c r="CW270" s="0" t="s">
        <v>5699</v>
      </c>
      <c r="CX270" s="0" t="s">
        <v>431</v>
      </c>
      <c r="CY270" s="0" t="s">
        <v>430</v>
      </c>
      <c r="CZ270" s="0" t="s">
        <v>432</v>
      </c>
      <c r="DA270" s="0" t="s">
        <v>433</v>
      </c>
      <c r="DB270" s="0" t="s">
        <v>5700</v>
      </c>
      <c r="DC270" s="0" t="s">
        <v>373</v>
      </c>
      <c r="DD270" s="0" t="s">
        <v>290</v>
      </c>
      <c r="DE270" s="0" t="s">
        <v>1126</v>
      </c>
    </row>
    <row customHeight="1" ht="11.25">
      <c r="A271" s="1806" t="s">
        <v>227</v>
      </c>
      <c r="B271" s="0" t="s">
        <v>227</v>
      </c>
      <c r="C271" s="0" t="s">
        <v>227</v>
      </c>
      <c r="D271" s="0" t="s">
        <v>227</v>
      </c>
      <c r="E271" s="0" t="s">
        <v>227</v>
      </c>
      <c r="F271" s="0" t="s">
        <v>227</v>
      </c>
      <c r="G271" s="0" t="s">
        <v>227</v>
      </c>
      <c r="H271" s="0" t="s">
        <v>227</v>
      </c>
      <c r="I271" s="0" t="s">
        <v>6198</v>
      </c>
      <c r="J271" s="0" t="s">
        <v>227</v>
      </c>
      <c r="K271" s="0" t="s">
        <v>227</v>
      </c>
      <c r="L271" s="0" t="s">
        <v>227</v>
      </c>
      <c r="M271" s="0" t="s">
        <v>227</v>
      </c>
      <c r="N271" s="0" t="s">
        <v>227</v>
      </c>
      <c r="O271" s="0" t="s">
        <v>227</v>
      </c>
      <c r="P271" s="0" t="s">
        <v>227</v>
      </c>
      <c r="Q271" s="0" t="s">
        <v>227</v>
      </c>
      <c r="R271" s="0" t="s">
        <v>1014</v>
      </c>
      <c r="S271" s="0" t="s">
        <v>227</v>
      </c>
      <c r="T271" s="0" t="s">
        <v>227</v>
      </c>
      <c r="U271" s="0" t="s">
        <v>102</v>
      </c>
      <c r="V271" s="0" t="s">
        <v>227</v>
      </c>
      <c r="W271" s="0" t="s">
        <v>227</v>
      </c>
      <c r="X271" s="0" t="s">
        <v>5683</v>
      </c>
      <c r="Y271" s="0" t="s">
        <v>227</v>
      </c>
      <c r="Z271" s="0" t="s">
        <v>152</v>
      </c>
      <c r="AA271" s="0" t="s">
        <v>152</v>
      </c>
      <c r="AB271" s="0" t="s">
        <v>161</v>
      </c>
      <c r="AC271" s="0" t="s">
        <v>354</v>
      </c>
      <c r="AD271" s="0" t="s">
        <v>354</v>
      </c>
      <c r="AE271" s="0" t="s">
        <v>355</v>
      </c>
      <c r="AF271" s="0" t="s">
        <v>5684</v>
      </c>
      <c r="AG271" s="0" t="s">
        <v>5685</v>
      </c>
      <c r="AH271" s="0" t="s">
        <v>6059</v>
      </c>
      <c r="AI271" s="0" t="s">
        <v>6281</v>
      </c>
      <c r="AJ271" s="0" t="s">
        <v>227</v>
      </c>
      <c r="AK271" s="0" t="s">
        <v>227</v>
      </c>
      <c r="AL271" s="0" t="s">
        <v>227</v>
      </c>
      <c r="AN271" s="0" t="s">
        <v>227</v>
      </c>
      <c r="AO271" s="0" t="s">
        <v>227</v>
      </c>
      <c r="AP271" s="0" t="s">
        <v>227</v>
      </c>
      <c r="AQ271" s="0" t="s">
        <v>227</v>
      </c>
      <c r="AR271" s="0" t="s">
        <v>227</v>
      </c>
      <c r="AS271" s="0" t="s">
        <v>227</v>
      </c>
      <c r="AT271" s="0" t="s">
        <v>227</v>
      </c>
      <c r="AU271" s="0" t="s">
        <v>227</v>
      </c>
      <c r="AV271" s="0" t="s">
        <v>227</v>
      </c>
      <c r="AW271" s="0" t="s">
        <v>227</v>
      </c>
      <c r="AX271" s="0" t="s">
        <v>227</v>
      </c>
      <c r="AY271" s="0" t="s">
        <v>227</v>
      </c>
      <c r="AZ271" s="0" t="s">
        <v>227</v>
      </c>
      <c r="BA271" s="0" t="s">
        <v>227</v>
      </c>
      <c r="BB271" s="0" t="s">
        <v>227</v>
      </c>
      <c r="BC271" s="0" t="s">
        <v>227</v>
      </c>
      <c r="BD271" s="0" t="s">
        <v>227</v>
      </c>
      <c r="BE271" s="0" t="s">
        <v>6155</v>
      </c>
      <c r="BF271" s="0" t="s">
        <v>5697</v>
      </c>
      <c r="BG271" s="0" t="s">
        <v>112</v>
      </c>
      <c r="BH271" s="0" t="s">
        <v>5690</v>
      </c>
      <c r="BI271" s="0" t="s">
        <v>5691</v>
      </c>
      <c r="BJ271" s="0" t="s">
        <v>227</v>
      </c>
      <c r="BK271" s="0" t="s">
        <v>5692</v>
      </c>
      <c r="BL271" s="0" t="s">
        <v>354</v>
      </c>
      <c r="BM271" s="0" t="s">
        <v>354</v>
      </c>
      <c r="BN271" s="0" t="s">
        <v>5693</v>
      </c>
      <c r="BO271" s="0" t="s">
        <v>5684</v>
      </c>
      <c r="BP271" s="0" t="s">
        <v>5694</v>
      </c>
      <c r="BQ271" s="0" t="s">
        <v>5692</v>
      </c>
      <c r="BR271" s="0" t="s">
        <v>5692</v>
      </c>
      <c r="BS271" s="0" t="s">
        <v>227</v>
      </c>
      <c r="BT271" s="0" t="s">
        <v>6206</v>
      </c>
      <c r="CS271" s="0" t="s">
        <v>5759</v>
      </c>
      <c r="CT271" s="0" t="s">
        <v>5679</v>
      </c>
      <c r="CU271" s="0" t="s">
        <v>5680</v>
      </c>
      <c r="CV271" s="0" t="s">
        <v>430</v>
      </c>
      <c r="CW271" s="0" t="s">
        <v>5699</v>
      </c>
      <c r="CX271" s="0" t="s">
        <v>431</v>
      </c>
      <c r="CY271" s="0" t="s">
        <v>430</v>
      </c>
      <c r="CZ271" s="0" t="s">
        <v>432</v>
      </c>
      <c r="DA271" s="0" t="s">
        <v>433</v>
      </c>
      <c r="DB271" s="0" t="s">
        <v>5700</v>
      </c>
      <c r="DC271" s="0" t="s">
        <v>373</v>
      </c>
      <c r="DD271" s="0" t="s">
        <v>290</v>
      </c>
      <c r="DE271" s="0" t="s">
        <v>1015</v>
      </c>
    </row>
    <row customHeight="1" ht="11.25">
      <c r="A272" s="1806" t="s">
        <v>227</v>
      </c>
      <c r="B272" s="0" t="s">
        <v>227</v>
      </c>
      <c r="C272" s="0" t="s">
        <v>227</v>
      </c>
      <c r="D272" s="0" t="s">
        <v>227</v>
      </c>
      <c r="E272" s="0" t="s">
        <v>227</v>
      </c>
      <c r="F272" s="0" t="s">
        <v>227</v>
      </c>
      <c r="G272" s="0" t="s">
        <v>227</v>
      </c>
      <c r="H272" s="0" t="s">
        <v>227</v>
      </c>
      <c r="I272" s="0" t="s">
        <v>6198</v>
      </c>
      <c r="J272" s="0" t="s">
        <v>227</v>
      </c>
      <c r="K272" s="0" t="s">
        <v>227</v>
      </c>
      <c r="L272" s="0" t="s">
        <v>227</v>
      </c>
      <c r="M272" s="0" t="s">
        <v>227</v>
      </c>
      <c r="N272" s="0" t="s">
        <v>227</v>
      </c>
      <c r="O272" s="0" t="s">
        <v>227</v>
      </c>
      <c r="P272" s="0" t="s">
        <v>227</v>
      </c>
      <c r="Q272" s="0" t="s">
        <v>227</v>
      </c>
      <c r="R272" s="0" t="s">
        <v>1133</v>
      </c>
      <c r="S272" s="0" t="s">
        <v>227</v>
      </c>
      <c r="T272" s="0" t="s">
        <v>227</v>
      </c>
      <c r="U272" s="0" t="s">
        <v>102</v>
      </c>
      <c r="V272" s="0" t="s">
        <v>227</v>
      </c>
      <c r="W272" s="0" t="s">
        <v>227</v>
      </c>
      <c r="X272" s="0" t="s">
        <v>5683</v>
      </c>
      <c r="Y272" s="0" t="s">
        <v>227</v>
      </c>
      <c r="Z272" s="0" t="s">
        <v>152</v>
      </c>
      <c r="AA272" s="0" t="s">
        <v>152</v>
      </c>
      <c r="AB272" s="0" t="s">
        <v>161</v>
      </c>
      <c r="AC272" s="0" t="s">
        <v>354</v>
      </c>
      <c r="AD272" s="0" t="s">
        <v>354</v>
      </c>
      <c r="AE272" s="0" t="s">
        <v>355</v>
      </c>
      <c r="AF272" s="0" t="s">
        <v>5684</v>
      </c>
      <c r="AG272" s="0" t="s">
        <v>5685</v>
      </c>
      <c r="AH272" s="0" t="s">
        <v>6282</v>
      </c>
      <c r="AI272" s="0" t="s">
        <v>285</v>
      </c>
      <c r="AJ272" s="0" t="s">
        <v>227</v>
      </c>
      <c r="AK272" s="0" t="s">
        <v>227</v>
      </c>
      <c r="AL272" s="0" t="s">
        <v>227</v>
      </c>
      <c r="AN272" s="0" t="s">
        <v>227</v>
      </c>
      <c r="AO272" s="0" t="s">
        <v>227</v>
      </c>
      <c r="AP272" s="0" t="s">
        <v>227</v>
      </c>
      <c r="AQ272" s="0" t="s">
        <v>227</v>
      </c>
      <c r="AR272" s="0" t="s">
        <v>227</v>
      </c>
      <c r="AS272" s="0" t="s">
        <v>227</v>
      </c>
      <c r="AT272" s="0" t="s">
        <v>227</v>
      </c>
      <c r="AU272" s="0" t="s">
        <v>227</v>
      </c>
      <c r="AV272" s="0" t="s">
        <v>227</v>
      </c>
      <c r="AW272" s="0" t="s">
        <v>227</v>
      </c>
      <c r="AX272" s="0" t="s">
        <v>227</v>
      </c>
      <c r="AY272" s="0" t="s">
        <v>227</v>
      </c>
      <c r="AZ272" s="0" t="s">
        <v>227</v>
      </c>
      <c r="BA272" s="0" t="s">
        <v>227</v>
      </c>
      <c r="BB272" s="0" t="s">
        <v>227</v>
      </c>
      <c r="BC272" s="0" t="s">
        <v>227</v>
      </c>
      <c r="BD272" s="0" t="s">
        <v>227</v>
      </c>
      <c r="BE272" s="0" t="s">
        <v>6207</v>
      </c>
      <c r="BF272" s="0" t="s">
        <v>5697</v>
      </c>
      <c r="BG272" s="0" t="s">
        <v>112</v>
      </c>
      <c r="BH272" s="0" t="s">
        <v>5690</v>
      </c>
      <c r="BI272" s="0" t="s">
        <v>5691</v>
      </c>
      <c r="BJ272" s="0" t="s">
        <v>227</v>
      </c>
      <c r="BK272" s="0" t="s">
        <v>5692</v>
      </c>
      <c r="BL272" s="0" t="s">
        <v>354</v>
      </c>
      <c r="BM272" s="0" t="s">
        <v>354</v>
      </c>
      <c r="BN272" s="0" t="s">
        <v>5693</v>
      </c>
      <c r="BO272" s="0" t="s">
        <v>5684</v>
      </c>
      <c r="BP272" s="0" t="s">
        <v>5694</v>
      </c>
      <c r="BQ272" s="0" t="s">
        <v>5692</v>
      </c>
      <c r="BR272" s="0" t="s">
        <v>5692</v>
      </c>
      <c r="BS272" s="0" t="s">
        <v>227</v>
      </c>
      <c r="BT272" s="0" t="s">
        <v>6206</v>
      </c>
      <c r="CS272" s="0" t="s">
        <v>5759</v>
      </c>
      <c r="CT272" s="0" t="s">
        <v>5679</v>
      </c>
      <c r="CU272" s="0" t="s">
        <v>5680</v>
      </c>
      <c r="CV272" s="0" t="s">
        <v>430</v>
      </c>
      <c r="CW272" s="0" t="s">
        <v>5699</v>
      </c>
      <c r="CX272" s="0" t="s">
        <v>431</v>
      </c>
      <c r="CY272" s="0" t="s">
        <v>430</v>
      </c>
      <c r="CZ272" s="0" t="s">
        <v>432</v>
      </c>
      <c r="DA272" s="0" t="s">
        <v>433</v>
      </c>
      <c r="DB272" s="0" t="s">
        <v>5700</v>
      </c>
      <c r="DC272" s="0" t="s">
        <v>373</v>
      </c>
      <c r="DD272" s="0" t="s">
        <v>290</v>
      </c>
      <c r="DE272" s="0" t="s">
        <v>1134</v>
      </c>
    </row>
    <row customHeight="1" ht="11.25">
      <c r="A273" s="1806" t="s">
        <v>227</v>
      </c>
      <c r="B273" s="0" t="s">
        <v>227</v>
      </c>
      <c r="C273" s="0" t="s">
        <v>227</v>
      </c>
      <c r="D273" s="0" t="s">
        <v>227</v>
      </c>
      <c r="E273" s="0" t="s">
        <v>227</v>
      </c>
      <c r="F273" s="0" t="s">
        <v>227</v>
      </c>
      <c r="G273" s="0" t="s">
        <v>227</v>
      </c>
      <c r="H273" s="0" t="s">
        <v>227</v>
      </c>
      <c r="I273" s="0" t="s">
        <v>6198</v>
      </c>
      <c r="J273" s="0" t="s">
        <v>227</v>
      </c>
      <c r="K273" s="0" t="s">
        <v>227</v>
      </c>
      <c r="L273" s="0" t="s">
        <v>227</v>
      </c>
      <c r="M273" s="0" t="s">
        <v>227</v>
      </c>
      <c r="N273" s="0" t="s">
        <v>227</v>
      </c>
      <c r="O273" s="0" t="s">
        <v>227</v>
      </c>
      <c r="P273" s="0" t="s">
        <v>227</v>
      </c>
      <c r="Q273" s="0" t="s">
        <v>227</v>
      </c>
      <c r="R273" s="0" t="s">
        <v>1105</v>
      </c>
      <c r="S273" s="0" t="s">
        <v>227</v>
      </c>
      <c r="T273" s="0" t="s">
        <v>227</v>
      </c>
      <c r="U273" s="0" t="s">
        <v>102</v>
      </c>
      <c r="V273" s="0" t="s">
        <v>227</v>
      </c>
      <c r="W273" s="0" t="s">
        <v>227</v>
      </c>
      <c r="X273" s="0" t="s">
        <v>5683</v>
      </c>
      <c r="Y273" s="0" t="s">
        <v>227</v>
      </c>
      <c r="Z273" s="0" t="s">
        <v>152</v>
      </c>
      <c r="AA273" s="0" t="s">
        <v>152</v>
      </c>
      <c r="AB273" s="0" t="s">
        <v>161</v>
      </c>
      <c r="AC273" s="0" t="s">
        <v>354</v>
      </c>
      <c r="AD273" s="0" t="s">
        <v>354</v>
      </c>
      <c r="AE273" s="0" t="s">
        <v>355</v>
      </c>
      <c r="AF273" s="0" t="s">
        <v>5684</v>
      </c>
      <c r="AG273" s="0" t="s">
        <v>5685</v>
      </c>
      <c r="AH273" s="0" t="s">
        <v>5809</v>
      </c>
      <c r="AI273" s="0" t="s">
        <v>529</v>
      </c>
      <c r="AJ273" s="0" t="s">
        <v>227</v>
      </c>
      <c r="AK273" s="0" t="s">
        <v>227</v>
      </c>
      <c r="AL273" s="0" t="s">
        <v>227</v>
      </c>
      <c r="AN273" s="0" t="s">
        <v>227</v>
      </c>
      <c r="AO273" s="0" t="s">
        <v>227</v>
      </c>
      <c r="AP273" s="0" t="s">
        <v>227</v>
      </c>
      <c r="AQ273" s="0" t="s">
        <v>227</v>
      </c>
      <c r="AR273" s="0" t="s">
        <v>227</v>
      </c>
      <c r="AS273" s="0" t="s">
        <v>227</v>
      </c>
      <c r="AT273" s="0" t="s">
        <v>227</v>
      </c>
      <c r="AU273" s="0" t="s">
        <v>227</v>
      </c>
      <c r="AV273" s="0" t="s">
        <v>227</v>
      </c>
      <c r="AW273" s="0" t="s">
        <v>227</v>
      </c>
      <c r="AX273" s="0" t="s">
        <v>227</v>
      </c>
      <c r="AY273" s="0" t="s">
        <v>227</v>
      </c>
      <c r="AZ273" s="0" t="s">
        <v>227</v>
      </c>
      <c r="BA273" s="0" t="s">
        <v>227</v>
      </c>
      <c r="BB273" s="0" t="s">
        <v>227</v>
      </c>
      <c r="BC273" s="0" t="s">
        <v>227</v>
      </c>
      <c r="BD273" s="0" t="s">
        <v>227</v>
      </c>
      <c r="BE273" s="0" t="s">
        <v>6155</v>
      </c>
      <c r="BF273" s="0" t="s">
        <v>5697</v>
      </c>
      <c r="BG273" s="0" t="s">
        <v>112</v>
      </c>
      <c r="BH273" s="0" t="s">
        <v>5690</v>
      </c>
      <c r="BI273" s="0" t="s">
        <v>5691</v>
      </c>
      <c r="BJ273" s="0" t="s">
        <v>227</v>
      </c>
      <c r="BK273" s="0" t="s">
        <v>5692</v>
      </c>
      <c r="BL273" s="0" t="s">
        <v>354</v>
      </c>
      <c r="BM273" s="0" t="s">
        <v>354</v>
      </c>
      <c r="BN273" s="0" t="s">
        <v>5693</v>
      </c>
      <c r="BO273" s="0" t="s">
        <v>5684</v>
      </c>
      <c r="BP273" s="0" t="s">
        <v>5694</v>
      </c>
      <c r="BQ273" s="0" t="s">
        <v>5692</v>
      </c>
      <c r="BR273" s="0" t="s">
        <v>5692</v>
      </c>
      <c r="BS273" s="0" t="s">
        <v>227</v>
      </c>
      <c r="BT273" s="0" t="s">
        <v>6206</v>
      </c>
      <c r="CS273" s="0" t="s">
        <v>5759</v>
      </c>
      <c r="CT273" s="0" t="s">
        <v>5679</v>
      </c>
      <c r="CU273" s="0" t="s">
        <v>5680</v>
      </c>
      <c r="CV273" s="0" t="s">
        <v>430</v>
      </c>
      <c r="CW273" s="0" t="s">
        <v>5699</v>
      </c>
      <c r="CX273" s="0" t="s">
        <v>431</v>
      </c>
      <c r="CY273" s="0" t="s">
        <v>430</v>
      </c>
      <c r="CZ273" s="0" t="s">
        <v>432</v>
      </c>
      <c r="DA273" s="0" t="s">
        <v>433</v>
      </c>
      <c r="DB273" s="0" t="s">
        <v>5700</v>
      </c>
      <c r="DC273" s="0" t="s">
        <v>373</v>
      </c>
      <c r="DD273" s="0" t="s">
        <v>290</v>
      </c>
      <c r="DE273" s="0" t="s">
        <v>1106</v>
      </c>
    </row>
    <row customHeight="1" ht="11.25">
      <c r="A274" s="1806" t="s">
        <v>227</v>
      </c>
      <c r="B274" s="0" t="s">
        <v>227</v>
      </c>
      <c r="C274" s="0" t="s">
        <v>227</v>
      </c>
      <c r="D274" s="0" t="s">
        <v>227</v>
      </c>
      <c r="E274" s="0" t="s">
        <v>227</v>
      </c>
      <c r="F274" s="0" t="s">
        <v>227</v>
      </c>
      <c r="G274" s="0" t="s">
        <v>227</v>
      </c>
      <c r="H274" s="0" t="s">
        <v>227</v>
      </c>
      <c r="I274" s="0" t="s">
        <v>6198</v>
      </c>
      <c r="J274" s="0" t="s">
        <v>227</v>
      </c>
      <c r="K274" s="0" t="s">
        <v>227</v>
      </c>
      <c r="L274" s="0" t="s">
        <v>227</v>
      </c>
      <c r="M274" s="0" t="s">
        <v>227</v>
      </c>
      <c r="N274" s="0" t="s">
        <v>227</v>
      </c>
      <c r="O274" s="0" t="s">
        <v>227</v>
      </c>
      <c r="P274" s="0" t="s">
        <v>227</v>
      </c>
      <c r="Q274" s="0" t="s">
        <v>227</v>
      </c>
      <c r="R274" s="0" t="s">
        <v>1103</v>
      </c>
      <c r="S274" s="0" t="s">
        <v>227</v>
      </c>
      <c r="T274" s="0" t="s">
        <v>227</v>
      </c>
      <c r="U274" s="0" t="s">
        <v>102</v>
      </c>
      <c r="V274" s="0" t="s">
        <v>227</v>
      </c>
      <c r="W274" s="0" t="s">
        <v>227</v>
      </c>
      <c r="X274" s="0" t="s">
        <v>5683</v>
      </c>
      <c r="Y274" s="0" t="s">
        <v>227</v>
      </c>
      <c r="Z274" s="0" t="s">
        <v>152</v>
      </c>
      <c r="AA274" s="0" t="s">
        <v>152</v>
      </c>
      <c r="AB274" s="0" t="s">
        <v>161</v>
      </c>
      <c r="AC274" s="0" t="s">
        <v>354</v>
      </c>
      <c r="AD274" s="0" t="s">
        <v>354</v>
      </c>
      <c r="AE274" s="0" t="s">
        <v>355</v>
      </c>
      <c r="AF274" s="0" t="s">
        <v>5684</v>
      </c>
      <c r="AG274" s="0" t="s">
        <v>5685</v>
      </c>
      <c r="AH274" s="0" t="s">
        <v>5809</v>
      </c>
      <c r="AI274" s="0" t="s">
        <v>6283</v>
      </c>
      <c r="AJ274" s="0" t="s">
        <v>227</v>
      </c>
      <c r="AK274" s="0" t="s">
        <v>227</v>
      </c>
      <c r="AL274" s="0" t="s">
        <v>227</v>
      </c>
      <c r="AN274" s="0" t="s">
        <v>227</v>
      </c>
      <c r="AO274" s="0" t="s">
        <v>227</v>
      </c>
      <c r="AP274" s="0" t="s">
        <v>227</v>
      </c>
      <c r="AQ274" s="0" t="s">
        <v>227</v>
      </c>
      <c r="AR274" s="0" t="s">
        <v>227</v>
      </c>
      <c r="AS274" s="0" t="s">
        <v>227</v>
      </c>
      <c r="AT274" s="0" t="s">
        <v>227</v>
      </c>
      <c r="AU274" s="0" t="s">
        <v>227</v>
      </c>
      <c r="AV274" s="0" t="s">
        <v>227</v>
      </c>
      <c r="AW274" s="0" t="s">
        <v>227</v>
      </c>
      <c r="AX274" s="0" t="s">
        <v>227</v>
      </c>
      <c r="AY274" s="0" t="s">
        <v>227</v>
      </c>
      <c r="AZ274" s="0" t="s">
        <v>227</v>
      </c>
      <c r="BA274" s="0" t="s">
        <v>227</v>
      </c>
      <c r="BB274" s="0" t="s">
        <v>227</v>
      </c>
      <c r="BC274" s="0" t="s">
        <v>227</v>
      </c>
      <c r="BD274" s="0" t="s">
        <v>227</v>
      </c>
      <c r="BE274" s="0" t="s">
        <v>6155</v>
      </c>
      <c r="BF274" s="0" t="s">
        <v>5697</v>
      </c>
      <c r="BG274" s="0" t="s">
        <v>112</v>
      </c>
      <c r="BH274" s="0" t="s">
        <v>5690</v>
      </c>
      <c r="BI274" s="0" t="s">
        <v>5691</v>
      </c>
      <c r="BJ274" s="0" t="s">
        <v>227</v>
      </c>
      <c r="BK274" s="0" t="s">
        <v>5692</v>
      </c>
      <c r="BL274" s="0" t="s">
        <v>354</v>
      </c>
      <c r="BM274" s="0" t="s">
        <v>354</v>
      </c>
      <c r="BN274" s="0" t="s">
        <v>5693</v>
      </c>
      <c r="BO274" s="0" t="s">
        <v>5684</v>
      </c>
      <c r="BP274" s="0" t="s">
        <v>5694</v>
      </c>
      <c r="BQ274" s="0" t="s">
        <v>5692</v>
      </c>
      <c r="BR274" s="0" t="s">
        <v>5692</v>
      </c>
      <c r="BS274" s="0" t="s">
        <v>227</v>
      </c>
      <c r="BT274" s="0" t="s">
        <v>6206</v>
      </c>
      <c r="CS274" s="0" t="s">
        <v>5759</v>
      </c>
      <c r="CT274" s="0" t="s">
        <v>5679</v>
      </c>
      <c r="CU274" s="0" t="s">
        <v>5680</v>
      </c>
      <c r="CV274" s="0" t="s">
        <v>430</v>
      </c>
      <c r="CW274" s="0" t="s">
        <v>5699</v>
      </c>
      <c r="CX274" s="0" t="s">
        <v>431</v>
      </c>
      <c r="CY274" s="0" t="s">
        <v>430</v>
      </c>
      <c r="CZ274" s="0" t="s">
        <v>432</v>
      </c>
      <c r="DA274" s="0" t="s">
        <v>433</v>
      </c>
      <c r="DB274" s="0" t="s">
        <v>5700</v>
      </c>
      <c r="DC274" s="0" t="s">
        <v>373</v>
      </c>
      <c r="DD274" s="0" t="s">
        <v>290</v>
      </c>
      <c r="DE274" s="0" t="s">
        <v>1104</v>
      </c>
    </row>
    <row customHeight="1" ht="11.25">
      <c r="A275" s="1806" t="s">
        <v>227</v>
      </c>
      <c r="B275" s="0" t="s">
        <v>227</v>
      </c>
      <c r="C275" s="0" t="s">
        <v>227</v>
      </c>
      <c r="D275" s="0" t="s">
        <v>227</v>
      </c>
      <c r="E275" s="0" t="s">
        <v>227</v>
      </c>
      <c r="F275" s="0" t="s">
        <v>227</v>
      </c>
      <c r="G275" s="0" t="s">
        <v>227</v>
      </c>
      <c r="H275" s="0" t="s">
        <v>227</v>
      </c>
      <c r="I275" s="0" t="s">
        <v>6198</v>
      </c>
      <c r="J275" s="0" t="s">
        <v>227</v>
      </c>
      <c r="K275" s="0" t="s">
        <v>227</v>
      </c>
      <c r="L275" s="0" t="s">
        <v>227</v>
      </c>
      <c r="M275" s="0" t="s">
        <v>227</v>
      </c>
      <c r="N275" s="0" t="s">
        <v>227</v>
      </c>
      <c r="O275" s="0" t="s">
        <v>227</v>
      </c>
      <c r="P275" s="0" t="s">
        <v>227</v>
      </c>
      <c r="Q275" s="0" t="s">
        <v>227</v>
      </c>
      <c r="R275" s="0" t="s">
        <v>1065</v>
      </c>
      <c r="S275" s="0" t="s">
        <v>227</v>
      </c>
      <c r="T275" s="0" t="s">
        <v>227</v>
      </c>
      <c r="U275" s="0" t="s">
        <v>102</v>
      </c>
      <c r="V275" s="0" t="s">
        <v>227</v>
      </c>
      <c r="W275" s="0" t="s">
        <v>227</v>
      </c>
      <c r="X275" s="0" t="s">
        <v>5683</v>
      </c>
      <c r="Y275" s="0" t="s">
        <v>227</v>
      </c>
      <c r="Z275" s="0" t="s">
        <v>152</v>
      </c>
      <c r="AA275" s="0" t="s">
        <v>152</v>
      </c>
      <c r="AB275" s="0" t="s">
        <v>161</v>
      </c>
      <c r="AC275" s="0" t="s">
        <v>354</v>
      </c>
      <c r="AD275" s="0" t="s">
        <v>354</v>
      </c>
      <c r="AE275" s="0" t="s">
        <v>355</v>
      </c>
      <c r="AF275" s="0" t="s">
        <v>5684</v>
      </c>
      <c r="AG275" s="0" t="s">
        <v>5685</v>
      </c>
      <c r="AH275" s="0" t="s">
        <v>5949</v>
      </c>
      <c r="AI275" s="0" t="s">
        <v>6284</v>
      </c>
      <c r="AJ275" s="0" t="s">
        <v>227</v>
      </c>
      <c r="AK275" s="0" t="s">
        <v>227</v>
      </c>
      <c r="AL275" s="0" t="s">
        <v>227</v>
      </c>
      <c r="AN275" s="0" t="s">
        <v>227</v>
      </c>
      <c r="AO275" s="0" t="s">
        <v>227</v>
      </c>
      <c r="AP275" s="0" t="s">
        <v>227</v>
      </c>
      <c r="AQ275" s="0" t="s">
        <v>227</v>
      </c>
      <c r="AR275" s="0" t="s">
        <v>227</v>
      </c>
      <c r="AS275" s="0" t="s">
        <v>227</v>
      </c>
      <c r="AT275" s="0" t="s">
        <v>227</v>
      </c>
      <c r="AU275" s="0" t="s">
        <v>227</v>
      </c>
      <c r="AV275" s="0" t="s">
        <v>227</v>
      </c>
      <c r="AW275" s="0" t="s">
        <v>227</v>
      </c>
      <c r="AX275" s="0" t="s">
        <v>227</v>
      </c>
      <c r="AY275" s="0" t="s">
        <v>227</v>
      </c>
      <c r="AZ275" s="0" t="s">
        <v>227</v>
      </c>
      <c r="BA275" s="0" t="s">
        <v>227</v>
      </c>
      <c r="BB275" s="0" t="s">
        <v>227</v>
      </c>
      <c r="BC275" s="0" t="s">
        <v>227</v>
      </c>
      <c r="BD275" s="0" t="s">
        <v>227</v>
      </c>
      <c r="BE275" s="0" t="s">
        <v>6155</v>
      </c>
      <c r="BF275" s="0" t="s">
        <v>5697</v>
      </c>
      <c r="BG275" s="0" t="s">
        <v>112</v>
      </c>
      <c r="BH275" s="0" t="s">
        <v>5690</v>
      </c>
      <c r="BI275" s="0" t="s">
        <v>5691</v>
      </c>
      <c r="BJ275" s="0" t="s">
        <v>227</v>
      </c>
      <c r="BK275" s="0" t="s">
        <v>5692</v>
      </c>
      <c r="BL275" s="0" t="s">
        <v>354</v>
      </c>
      <c r="BM275" s="0" t="s">
        <v>354</v>
      </c>
      <c r="BN275" s="0" t="s">
        <v>5693</v>
      </c>
      <c r="BO275" s="0" t="s">
        <v>5684</v>
      </c>
      <c r="BP275" s="0" t="s">
        <v>5694</v>
      </c>
      <c r="BQ275" s="0" t="s">
        <v>5692</v>
      </c>
      <c r="BR275" s="0" t="s">
        <v>5692</v>
      </c>
      <c r="BS275" s="0" t="s">
        <v>227</v>
      </c>
      <c r="BT275" s="0" t="s">
        <v>6210</v>
      </c>
      <c r="CS275" s="0" t="s">
        <v>5759</v>
      </c>
      <c r="CT275" s="0" t="s">
        <v>5679</v>
      </c>
      <c r="CU275" s="0" t="s">
        <v>5680</v>
      </c>
      <c r="CV275" s="0" t="s">
        <v>430</v>
      </c>
      <c r="CW275" s="0" t="s">
        <v>5699</v>
      </c>
      <c r="CX275" s="0" t="s">
        <v>431</v>
      </c>
      <c r="CY275" s="0" t="s">
        <v>430</v>
      </c>
      <c r="CZ275" s="0" t="s">
        <v>432</v>
      </c>
      <c r="DA275" s="0" t="s">
        <v>433</v>
      </c>
      <c r="DB275" s="0" t="s">
        <v>5700</v>
      </c>
      <c r="DC275" s="0" t="s">
        <v>373</v>
      </c>
      <c r="DD275" s="0" t="s">
        <v>290</v>
      </c>
      <c r="DE275" s="0" t="s">
        <v>1066</v>
      </c>
    </row>
    <row customHeight="1" ht="11.25">
      <c r="A276" s="1806" t="s">
        <v>227</v>
      </c>
      <c r="B276" s="0" t="s">
        <v>227</v>
      </c>
      <c r="C276" s="0" t="s">
        <v>227</v>
      </c>
      <c r="D276" s="0" t="s">
        <v>227</v>
      </c>
      <c r="E276" s="0" t="s">
        <v>227</v>
      </c>
      <c r="F276" s="0" t="s">
        <v>227</v>
      </c>
      <c r="G276" s="0" t="s">
        <v>227</v>
      </c>
      <c r="H276" s="0" t="s">
        <v>227</v>
      </c>
      <c r="I276" s="0" t="s">
        <v>6198</v>
      </c>
      <c r="J276" s="0" t="s">
        <v>227</v>
      </c>
      <c r="K276" s="0" t="s">
        <v>227</v>
      </c>
      <c r="L276" s="0" t="s">
        <v>227</v>
      </c>
      <c r="M276" s="0" t="s">
        <v>227</v>
      </c>
      <c r="N276" s="0" t="s">
        <v>227</v>
      </c>
      <c r="O276" s="0" t="s">
        <v>227</v>
      </c>
      <c r="P276" s="0" t="s">
        <v>227</v>
      </c>
      <c r="Q276" s="0" t="s">
        <v>227</v>
      </c>
      <c r="R276" s="0" t="s">
        <v>1049</v>
      </c>
      <c r="S276" s="0" t="s">
        <v>227</v>
      </c>
      <c r="T276" s="0" t="s">
        <v>227</v>
      </c>
      <c r="U276" s="0" t="s">
        <v>102</v>
      </c>
      <c r="V276" s="0" t="s">
        <v>227</v>
      </c>
      <c r="W276" s="0" t="s">
        <v>227</v>
      </c>
      <c r="X276" s="0" t="s">
        <v>5683</v>
      </c>
      <c r="Y276" s="0" t="s">
        <v>227</v>
      </c>
      <c r="Z276" s="0" t="s">
        <v>152</v>
      </c>
      <c r="AA276" s="0" t="s">
        <v>152</v>
      </c>
      <c r="AB276" s="0" t="s">
        <v>161</v>
      </c>
      <c r="AC276" s="0" t="s">
        <v>354</v>
      </c>
      <c r="AD276" s="0" t="s">
        <v>354</v>
      </c>
      <c r="AE276" s="0" t="s">
        <v>355</v>
      </c>
      <c r="AF276" s="0" t="s">
        <v>5684</v>
      </c>
      <c r="AG276" s="0" t="s">
        <v>5685</v>
      </c>
      <c r="AH276" s="0" t="s">
        <v>5949</v>
      </c>
      <c r="AI276" s="0" t="s">
        <v>6285</v>
      </c>
      <c r="AJ276" s="0" t="s">
        <v>227</v>
      </c>
      <c r="AK276" s="0" t="s">
        <v>227</v>
      </c>
      <c r="AL276" s="0" t="s">
        <v>227</v>
      </c>
      <c r="AN276" s="0" t="s">
        <v>227</v>
      </c>
      <c r="AO276" s="0" t="s">
        <v>227</v>
      </c>
      <c r="AP276" s="0" t="s">
        <v>227</v>
      </c>
      <c r="AQ276" s="0" t="s">
        <v>227</v>
      </c>
      <c r="AR276" s="0" t="s">
        <v>227</v>
      </c>
      <c r="AS276" s="0" t="s">
        <v>227</v>
      </c>
      <c r="AT276" s="0" t="s">
        <v>227</v>
      </c>
      <c r="AU276" s="0" t="s">
        <v>227</v>
      </c>
      <c r="AV276" s="0" t="s">
        <v>227</v>
      </c>
      <c r="AW276" s="0" t="s">
        <v>227</v>
      </c>
      <c r="AX276" s="0" t="s">
        <v>227</v>
      </c>
      <c r="AY276" s="0" t="s">
        <v>227</v>
      </c>
      <c r="AZ276" s="0" t="s">
        <v>227</v>
      </c>
      <c r="BA276" s="0" t="s">
        <v>227</v>
      </c>
      <c r="BB276" s="0" t="s">
        <v>227</v>
      </c>
      <c r="BC276" s="0" t="s">
        <v>227</v>
      </c>
      <c r="BD276" s="0" t="s">
        <v>227</v>
      </c>
      <c r="BE276" s="0" t="s">
        <v>6155</v>
      </c>
      <c r="BF276" s="0" t="s">
        <v>5697</v>
      </c>
      <c r="BG276" s="0" t="s">
        <v>112</v>
      </c>
      <c r="BH276" s="0" t="s">
        <v>5690</v>
      </c>
      <c r="BI276" s="0" t="s">
        <v>5691</v>
      </c>
      <c r="BJ276" s="0" t="s">
        <v>227</v>
      </c>
      <c r="BK276" s="0" t="s">
        <v>5692</v>
      </c>
      <c r="BL276" s="0" t="s">
        <v>354</v>
      </c>
      <c r="BM276" s="0" t="s">
        <v>354</v>
      </c>
      <c r="BN276" s="0" t="s">
        <v>5693</v>
      </c>
      <c r="BO276" s="0" t="s">
        <v>5684</v>
      </c>
      <c r="BP276" s="0" t="s">
        <v>5694</v>
      </c>
      <c r="BQ276" s="0" t="s">
        <v>5692</v>
      </c>
      <c r="BR276" s="0" t="s">
        <v>5692</v>
      </c>
      <c r="BS276" s="0" t="s">
        <v>227</v>
      </c>
      <c r="BT276" s="0" t="s">
        <v>6210</v>
      </c>
      <c r="CS276" s="0" t="s">
        <v>5759</v>
      </c>
      <c r="CT276" s="0" t="s">
        <v>5679</v>
      </c>
      <c r="CU276" s="0" t="s">
        <v>5680</v>
      </c>
      <c r="CV276" s="0" t="s">
        <v>430</v>
      </c>
      <c r="CW276" s="0" t="s">
        <v>5699</v>
      </c>
      <c r="CX276" s="0" t="s">
        <v>431</v>
      </c>
      <c r="CY276" s="0" t="s">
        <v>430</v>
      </c>
      <c r="CZ276" s="0" t="s">
        <v>432</v>
      </c>
      <c r="DA276" s="0" t="s">
        <v>433</v>
      </c>
      <c r="DB276" s="0" t="s">
        <v>5700</v>
      </c>
      <c r="DC276" s="0" t="s">
        <v>373</v>
      </c>
      <c r="DD276" s="0" t="s">
        <v>290</v>
      </c>
      <c r="DE276" s="0" t="s">
        <v>1050</v>
      </c>
    </row>
    <row customHeight="1" ht="11.25">
      <c r="A277" s="1806" t="s">
        <v>227</v>
      </c>
      <c r="B277" s="0" t="s">
        <v>227</v>
      </c>
      <c r="C277" s="0" t="s">
        <v>227</v>
      </c>
      <c r="D277" s="0" t="s">
        <v>227</v>
      </c>
      <c r="E277" s="0" t="s">
        <v>227</v>
      </c>
      <c r="F277" s="0" t="s">
        <v>227</v>
      </c>
      <c r="G277" s="0" t="s">
        <v>227</v>
      </c>
      <c r="H277" s="0" t="s">
        <v>227</v>
      </c>
      <c r="I277" s="0" t="s">
        <v>6198</v>
      </c>
      <c r="J277" s="0" t="s">
        <v>227</v>
      </c>
      <c r="K277" s="0" t="s">
        <v>227</v>
      </c>
      <c r="L277" s="0" t="s">
        <v>227</v>
      </c>
      <c r="M277" s="0" t="s">
        <v>227</v>
      </c>
      <c r="N277" s="0" t="s">
        <v>227</v>
      </c>
      <c r="O277" s="0" t="s">
        <v>227</v>
      </c>
      <c r="P277" s="0" t="s">
        <v>227</v>
      </c>
      <c r="Q277" s="0" t="s">
        <v>227</v>
      </c>
      <c r="R277" s="0" t="s">
        <v>1121</v>
      </c>
      <c r="S277" s="0" t="s">
        <v>227</v>
      </c>
      <c r="T277" s="0" t="s">
        <v>227</v>
      </c>
      <c r="U277" s="0" t="s">
        <v>102</v>
      </c>
      <c r="V277" s="0" t="s">
        <v>227</v>
      </c>
      <c r="W277" s="0" t="s">
        <v>227</v>
      </c>
      <c r="X277" s="0" t="s">
        <v>5683</v>
      </c>
      <c r="Y277" s="0" t="s">
        <v>227</v>
      </c>
      <c r="Z277" s="0" t="s">
        <v>152</v>
      </c>
      <c r="AA277" s="0" t="s">
        <v>152</v>
      </c>
      <c r="AB277" s="0" t="s">
        <v>161</v>
      </c>
      <c r="AC277" s="0" t="s">
        <v>354</v>
      </c>
      <c r="AD277" s="0" t="s">
        <v>354</v>
      </c>
      <c r="AE277" s="0" t="s">
        <v>355</v>
      </c>
      <c r="AF277" s="0" t="s">
        <v>5684</v>
      </c>
      <c r="AG277" s="0" t="s">
        <v>5685</v>
      </c>
      <c r="AH277" s="0" t="s">
        <v>5809</v>
      </c>
      <c r="AI277" s="0" t="s">
        <v>665</v>
      </c>
      <c r="AJ277" s="0" t="s">
        <v>227</v>
      </c>
      <c r="AK277" s="0" t="s">
        <v>227</v>
      </c>
      <c r="AL277" s="0" t="s">
        <v>227</v>
      </c>
      <c r="AN277" s="0" t="s">
        <v>227</v>
      </c>
      <c r="AO277" s="0" t="s">
        <v>227</v>
      </c>
      <c r="AP277" s="0" t="s">
        <v>227</v>
      </c>
      <c r="AQ277" s="0" t="s">
        <v>227</v>
      </c>
      <c r="AR277" s="0" t="s">
        <v>227</v>
      </c>
      <c r="AS277" s="0" t="s">
        <v>227</v>
      </c>
      <c r="AT277" s="0" t="s">
        <v>227</v>
      </c>
      <c r="AU277" s="0" t="s">
        <v>227</v>
      </c>
      <c r="AV277" s="0" t="s">
        <v>227</v>
      </c>
      <c r="AW277" s="0" t="s">
        <v>227</v>
      </c>
      <c r="AX277" s="0" t="s">
        <v>227</v>
      </c>
      <c r="AY277" s="0" t="s">
        <v>227</v>
      </c>
      <c r="AZ277" s="0" t="s">
        <v>227</v>
      </c>
      <c r="BA277" s="0" t="s">
        <v>227</v>
      </c>
      <c r="BB277" s="0" t="s">
        <v>227</v>
      </c>
      <c r="BC277" s="0" t="s">
        <v>227</v>
      </c>
      <c r="BD277" s="0" t="s">
        <v>227</v>
      </c>
      <c r="BE277" s="0" t="s">
        <v>6155</v>
      </c>
      <c r="BF277" s="0" t="s">
        <v>5697</v>
      </c>
      <c r="BG277" s="0" t="s">
        <v>112</v>
      </c>
      <c r="BH277" s="0" t="s">
        <v>5690</v>
      </c>
      <c r="BI277" s="0" t="s">
        <v>5691</v>
      </c>
      <c r="BJ277" s="0" t="s">
        <v>227</v>
      </c>
      <c r="BK277" s="0" t="s">
        <v>5692</v>
      </c>
      <c r="BL277" s="0" t="s">
        <v>354</v>
      </c>
      <c r="BM277" s="0" t="s">
        <v>354</v>
      </c>
      <c r="BN277" s="0" t="s">
        <v>5693</v>
      </c>
      <c r="BO277" s="0" t="s">
        <v>5684</v>
      </c>
      <c r="BP277" s="0" t="s">
        <v>5694</v>
      </c>
      <c r="BQ277" s="0" t="s">
        <v>5692</v>
      </c>
      <c r="BR277" s="0" t="s">
        <v>5692</v>
      </c>
      <c r="BS277" s="0" t="s">
        <v>227</v>
      </c>
      <c r="BT277" s="0" t="s">
        <v>6206</v>
      </c>
      <c r="CS277" s="0" t="s">
        <v>5759</v>
      </c>
      <c r="CT277" s="0" t="s">
        <v>5679</v>
      </c>
      <c r="CU277" s="0" t="s">
        <v>5680</v>
      </c>
      <c r="CV277" s="0" t="s">
        <v>430</v>
      </c>
      <c r="CW277" s="0" t="s">
        <v>5699</v>
      </c>
      <c r="CX277" s="0" t="s">
        <v>431</v>
      </c>
      <c r="CY277" s="0" t="s">
        <v>430</v>
      </c>
      <c r="CZ277" s="0" t="s">
        <v>432</v>
      </c>
      <c r="DA277" s="0" t="s">
        <v>433</v>
      </c>
      <c r="DB277" s="0" t="s">
        <v>5700</v>
      </c>
      <c r="DC277" s="0" t="s">
        <v>373</v>
      </c>
      <c r="DD277" s="0" t="s">
        <v>290</v>
      </c>
      <c r="DE277" s="0" t="s">
        <v>1122</v>
      </c>
    </row>
    <row customHeight="1" ht="11.25">
      <c r="A278" s="1806" t="s">
        <v>227</v>
      </c>
      <c r="B278" s="0" t="s">
        <v>227</v>
      </c>
      <c r="C278" s="0" t="s">
        <v>227</v>
      </c>
      <c r="D278" s="0" t="s">
        <v>227</v>
      </c>
      <c r="E278" s="0" t="s">
        <v>227</v>
      </c>
      <c r="F278" s="0" t="s">
        <v>227</v>
      </c>
      <c r="G278" s="0" t="s">
        <v>227</v>
      </c>
      <c r="H278" s="0" t="s">
        <v>227</v>
      </c>
      <c r="I278" s="0" t="s">
        <v>6198</v>
      </c>
      <c r="J278" s="0" t="s">
        <v>227</v>
      </c>
      <c r="K278" s="0" t="s">
        <v>227</v>
      </c>
      <c r="L278" s="0" t="s">
        <v>227</v>
      </c>
      <c r="M278" s="0" t="s">
        <v>227</v>
      </c>
      <c r="N278" s="0" t="s">
        <v>227</v>
      </c>
      <c r="O278" s="0" t="s">
        <v>227</v>
      </c>
      <c r="P278" s="0" t="s">
        <v>227</v>
      </c>
      <c r="Q278" s="0" t="s">
        <v>227</v>
      </c>
      <c r="R278" s="0" t="s">
        <v>1086</v>
      </c>
      <c r="S278" s="0" t="s">
        <v>227</v>
      </c>
      <c r="T278" s="0" t="s">
        <v>227</v>
      </c>
      <c r="U278" s="0" t="s">
        <v>102</v>
      </c>
      <c r="V278" s="0" t="s">
        <v>227</v>
      </c>
      <c r="W278" s="0" t="s">
        <v>227</v>
      </c>
      <c r="X278" s="0" t="s">
        <v>5683</v>
      </c>
      <c r="Y278" s="0" t="s">
        <v>227</v>
      </c>
      <c r="Z278" s="0" t="s">
        <v>152</v>
      </c>
      <c r="AA278" s="0" t="s">
        <v>152</v>
      </c>
      <c r="AB278" s="0" t="s">
        <v>161</v>
      </c>
      <c r="AC278" s="0" t="s">
        <v>354</v>
      </c>
      <c r="AD278" s="0" t="s">
        <v>354</v>
      </c>
      <c r="AE278" s="0" t="s">
        <v>355</v>
      </c>
      <c r="AF278" s="0" t="s">
        <v>5684</v>
      </c>
      <c r="AG278" s="0" t="s">
        <v>5685</v>
      </c>
      <c r="AH278" s="0" t="s">
        <v>5815</v>
      </c>
      <c r="AI278" s="0" t="s">
        <v>632</v>
      </c>
      <c r="AJ278" s="0" t="s">
        <v>227</v>
      </c>
      <c r="AK278" s="0" t="s">
        <v>227</v>
      </c>
      <c r="AL278" s="0" t="s">
        <v>227</v>
      </c>
      <c r="AN278" s="0" t="s">
        <v>227</v>
      </c>
      <c r="AO278" s="0" t="s">
        <v>227</v>
      </c>
      <c r="AP278" s="0" t="s">
        <v>227</v>
      </c>
      <c r="AQ278" s="0" t="s">
        <v>227</v>
      </c>
      <c r="AR278" s="0" t="s">
        <v>227</v>
      </c>
      <c r="AS278" s="0" t="s">
        <v>227</v>
      </c>
      <c r="AT278" s="0" t="s">
        <v>227</v>
      </c>
      <c r="AU278" s="0" t="s">
        <v>227</v>
      </c>
      <c r="AV278" s="0" t="s">
        <v>227</v>
      </c>
      <c r="AW278" s="0" t="s">
        <v>227</v>
      </c>
      <c r="AX278" s="0" t="s">
        <v>227</v>
      </c>
      <c r="AY278" s="0" t="s">
        <v>227</v>
      </c>
      <c r="AZ278" s="0" t="s">
        <v>227</v>
      </c>
      <c r="BA278" s="0" t="s">
        <v>227</v>
      </c>
      <c r="BB278" s="0" t="s">
        <v>227</v>
      </c>
      <c r="BC278" s="0" t="s">
        <v>227</v>
      </c>
      <c r="BD278" s="0" t="s">
        <v>227</v>
      </c>
      <c r="BE278" s="0" t="s">
        <v>6155</v>
      </c>
      <c r="BF278" s="0" t="s">
        <v>5697</v>
      </c>
      <c r="BG278" s="0" t="s">
        <v>112</v>
      </c>
      <c r="BH278" s="0" t="s">
        <v>5690</v>
      </c>
      <c r="BI278" s="0" t="s">
        <v>5691</v>
      </c>
      <c r="BJ278" s="0" t="s">
        <v>227</v>
      </c>
      <c r="BK278" s="0" t="s">
        <v>5692</v>
      </c>
      <c r="BL278" s="0" t="s">
        <v>354</v>
      </c>
      <c r="BM278" s="0" t="s">
        <v>354</v>
      </c>
      <c r="BN278" s="0" t="s">
        <v>5693</v>
      </c>
      <c r="BO278" s="0" t="s">
        <v>5684</v>
      </c>
      <c r="BP278" s="0" t="s">
        <v>5694</v>
      </c>
      <c r="BQ278" s="0" t="s">
        <v>5692</v>
      </c>
      <c r="BR278" s="0" t="s">
        <v>5692</v>
      </c>
      <c r="BS278" s="0" t="s">
        <v>227</v>
      </c>
      <c r="BT278" s="0" t="s">
        <v>6206</v>
      </c>
      <c r="CS278" s="0" t="s">
        <v>5759</v>
      </c>
      <c r="CT278" s="0" t="s">
        <v>5679</v>
      </c>
      <c r="CU278" s="0" t="s">
        <v>5680</v>
      </c>
      <c r="CV278" s="0" t="s">
        <v>430</v>
      </c>
      <c r="CW278" s="0" t="s">
        <v>5699</v>
      </c>
      <c r="CX278" s="0" t="s">
        <v>431</v>
      </c>
      <c r="CY278" s="0" t="s">
        <v>430</v>
      </c>
      <c r="CZ278" s="0" t="s">
        <v>432</v>
      </c>
      <c r="DA278" s="0" t="s">
        <v>433</v>
      </c>
      <c r="DB278" s="0" t="s">
        <v>5700</v>
      </c>
      <c r="DC278" s="0" t="s">
        <v>373</v>
      </c>
      <c r="DD278" s="0" t="s">
        <v>290</v>
      </c>
      <c r="DE278" s="0" t="s">
        <v>1087</v>
      </c>
    </row>
    <row customHeight="1" ht="11.25">
      <c r="A279" s="1806" t="s">
        <v>227</v>
      </c>
      <c r="B279" s="0" t="s">
        <v>227</v>
      </c>
      <c r="C279" s="0" t="s">
        <v>227</v>
      </c>
      <c r="D279" s="0" t="s">
        <v>227</v>
      </c>
      <c r="E279" s="0" t="s">
        <v>227</v>
      </c>
      <c r="F279" s="0" t="s">
        <v>227</v>
      </c>
      <c r="G279" s="0" t="s">
        <v>227</v>
      </c>
      <c r="H279" s="0" t="s">
        <v>227</v>
      </c>
      <c r="I279" s="0" t="s">
        <v>6198</v>
      </c>
      <c r="J279" s="0" t="s">
        <v>227</v>
      </c>
      <c r="K279" s="0" t="s">
        <v>227</v>
      </c>
      <c r="L279" s="0" t="s">
        <v>227</v>
      </c>
      <c r="M279" s="0" t="s">
        <v>227</v>
      </c>
      <c r="N279" s="0" t="s">
        <v>227</v>
      </c>
      <c r="O279" s="0" t="s">
        <v>227</v>
      </c>
      <c r="P279" s="0" t="s">
        <v>227</v>
      </c>
      <c r="Q279" s="0" t="s">
        <v>227</v>
      </c>
      <c r="R279" s="0" t="s">
        <v>1010</v>
      </c>
      <c r="S279" s="0" t="s">
        <v>227</v>
      </c>
      <c r="T279" s="0" t="s">
        <v>227</v>
      </c>
      <c r="U279" s="0" t="s">
        <v>102</v>
      </c>
      <c r="V279" s="0" t="s">
        <v>227</v>
      </c>
      <c r="W279" s="0" t="s">
        <v>227</v>
      </c>
      <c r="X279" s="0" t="s">
        <v>5683</v>
      </c>
      <c r="Y279" s="0" t="s">
        <v>227</v>
      </c>
      <c r="Z279" s="0" t="s">
        <v>152</v>
      </c>
      <c r="AA279" s="0" t="s">
        <v>152</v>
      </c>
      <c r="AB279" s="0" t="s">
        <v>161</v>
      </c>
      <c r="AC279" s="0" t="s">
        <v>354</v>
      </c>
      <c r="AD279" s="0" t="s">
        <v>354</v>
      </c>
      <c r="AE279" s="0" t="s">
        <v>355</v>
      </c>
      <c r="AF279" s="0" t="s">
        <v>5684</v>
      </c>
      <c r="AG279" s="0" t="s">
        <v>5685</v>
      </c>
      <c r="AH279" s="0" t="s">
        <v>6059</v>
      </c>
      <c r="AI279" s="0" t="s">
        <v>6286</v>
      </c>
      <c r="AJ279" s="0" t="s">
        <v>227</v>
      </c>
      <c r="AK279" s="0" t="s">
        <v>227</v>
      </c>
      <c r="AL279" s="0" t="s">
        <v>227</v>
      </c>
      <c r="AN279" s="0" t="s">
        <v>227</v>
      </c>
      <c r="AO279" s="0" t="s">
        <v>227</v>
      </c>
      <c r="AP279" s="0" t="s">
        <v>227</v>
      </c>
      <c r="AQ279" s="0" t="s">
        <v>227</v>
      </c>
      <c r="AR279" s="0" t="s">
        <v>227</v>
      </c>
      <c r="AS279" s="0" t="s">
        <v>227</v>
      </c>
      <c r="AT279" s="0" t="s">
        <v>227</v>
      </c>
      <c r="AU279" s="0" t="s">
        <v>227</v>
      </c>
      <c r="AV279" s="0" t="s">
        <v>227</v>
      </c>
      <c r="AW279" s="0" t="s">
        <v>227</v>
      </c>
      <c r="AX279" s="0" t="s">
        <v>227</v>
      </c>
      <c r="AY279" s="0" t="s">
        <v>227</v>
      </c>
      <c r="AZ279" s="0" t="s">
        <v>227</v>
      </c>
      <c r="BA279" s="0" t="s">
        <v>227</v>
      </c>
      <c r="BB279" s="0" t="s">
        <v>227</v>
      </c>
      <c r="BC279" s="0" t="s">
        <v>227</v>
      </c>
      <c r="BD279" s="0" t="s">
        <v>227</v>
      </c>
      <c r="BE279" s="0" t="s">
        <v>6216</v>
      </c>
      <c r="BF279" s="0" t="s">
        <v>5697</v>
      </c>
      <c r="BG279" s="0" t="s">
        <v>112</v>
      </c>
      <c r="BH279" s="0" t="s">
        <v>5690</v>
      </c>
      <c r="BI279" s="0" t="s">
        <v>5691</v>
      </c>
      <c r="BJ279" s="0" t="s">
        <v>227</v>
      </c>
      <c r="BK279" s="0" t="s">
        <v>5692</v>
      </c>
      <c r="BL279" s="0" t="s">
        <v>354</v>
      </c>
      <c r="BM279" s="0" t="s">
        <v>354</v>
      </c>
      <c r="BN279" s="0" t="s">
        <v>5693</v>
      </c>
      <c r="BO279" s="0" t="s">
        <v>5684</v>
      </c>
      <c r="BP279" s="0" t="s">
        <v>5694</v>
      </c>
      <c r="BQ279" s="0" t="s">
        <v>5692</v>
      </c>
      <c r="BR279" s="0" t="s">
        <v>5692</v>
      </c>
      <c r="BS279" s="0" t="s">
        <v>227</v>
      </c>
      <c r="BT279" s="0" t="s">
        <v>6210</v>
      </c>
      <c r="CS279" s="0" t="s">
        <v>5759</v>
      </c>
      <c r="CT279" s="0" t="s">
        <v>5679</v>
      </c>
      <c r="CU279" s="0" t="s">
        <v>5680</v>
      </c>
      <c r="CV279" s="0" t="s">
        <v>430</v>
      </c>
      <c r="CW279" s="0" t="s">
        <v>5699</v>
      </c>
      <c r="CX279" s="0" t="s">
        <v>431</v>
      </c>
      <c r="CY279" s="0" t="s">
        <v>430</v>
      </c>
      <c r="CZ279" s="0" t="s">
        <v>432</v>
      </c>
      <c r="DA279" s="0" t="s">
        <v>433</v>
      </c>
      <c r="DB279" s="0" t="s">
        <v>5700</v>
      </c>
      <c r="DC279" s="0" t="s">
        <v>373</v>
      </c>
      <c r="DD279" s="0" t="s">
        <v>290</v>
      </c>
      <c r="DE279" s="0" t="s">
        <v>1011</v>
      </c>
    </row>
    <row customHeight="1" ht="11.25">
      <c r="A280" s="1806" t="s">
        <v>227</v>
      </c>
      <c r="B280" s="0" t="s">
        <v>227</v>
      </c>
      <c r="C280" s="0" t="s">
        <v>227</v>
      </c>
      <c r="D280" s="0" t="s">
        <v>227</v>
      </c>
      <c r="E280" s="0" t="s">
        <v>227</v>
      </c>
      <c r="F280" s="0" t="s">
        <v>227</v>
      </c>
      <c r="G280" s="0" t="s">
        <v>227</v>
      </c>
      <c r="H280" s="0" t="s">
        <v>227</v>
      </c>
      <c r="I280" s="0" t="s">
        <v>6198</v>
      </c>
      <c r="J280" s="0" t="s">
        <v>227</v>
      </c>
      <c r="K280" s="0" t="s">
        <v>227</v>
      </c>
      <c r="L280" s="0" t="s">
        <v>227</v>
      </c>
      <c r="M280" s="0" t="s">
        <v>227</v>
      </c>
      <c r="N280" s="0" t="s">
        <v>227</v>
      </c>
      <c r="O280" s="0" t="s">
        <v>227</v>
      </c>
      <c r="P280" s="0" t="s">
        <v>227</v>
      </c>
      <c r="Q280" s="0" t="s">
        <v>227</v>
      </c>
      <c r="R280" s="0" t="s">
        <v>1043</v>
      </c>
      <c r="S280" s="0" t="s">
        <v>227</v>
      </c>
      <c r="T280" s="0" t="s">
        <v>227</v>
      </c>
      <c r="U280" s="0" t="s">
        <v>102</v>
      </c>
      <c r="V280" s="0" t="s">
        <v>227</v>
      </c>
      <c r="W280" s="0" t="s">
        <v>227</v>
      </c>
      <c r="X280" s="0" t="s">
        <v>5683</v>
      </c>
      <c r="Y280" s="0" t="s">
        <v>227</v>
      </c>
      <c r="Z280" s="0" t="s">
        <v>152</v>
      </c>
      <c r="AA280" s="0" t="s">
        <v>152</v>
      </c>
      <c r="AB280" s="0" t="s">
        <v>161</v>
      </c>
      <c r="AC280" s="0" t="s">
        <v>354</v>
      </c>
      <c r="AD280" s="0" t="s">
        <v>354</v>
      </c>
      <c r="AE280" s="0" t="s">
        <v>355</v>
      </c>
      <c r="AF280" s="0" t="s">
        <v>5684</v>
      </c>
      <c r="AG280" s="0" t="s">
        <v>5685</v>
      </c>
      <c r="AH280" s="0" t="s">
        <v>6249</v>
      </c>
      <c r="AI280" s="0" t="s">
        <v>5692</v>
      </c>
      <c r="AJ280" s="0" t="s">
        <v>227</v>
      </c>
      <c r="AK280" s="0" t="s">
        <v>227</v>
      </c>
      <c r="AL280" s="0" t="s">
        <v>227</v>
      </c>
      <c r="AN280" s="0" t="s">
        <v>227</v>
      </c>
      <c r="AO280" s="0" t="s">
        <v>227</v>
      </c>
      <c r="AP280" s="0" t="s">
        <v>227</v>
      </c>
      <c r="AQ280" s="0" t="s">
        <v>227</v>
      </c>
      <c r="AR280" s="0" t="s">
        <v>227</v>
      </c>
      <c r="AS280" s="0" t="s">
        <v>227</v>
      </c>
      <c r="AT280" s="0" t="s">
        <v>227</v>
      </c>
      <c r="AU280" s="0" t="s">
        <v>227</v>
      </c>
      <c r="AV280" s="0" t="s">
        <v>227</v>
      </c>
      <c r="AW280" s="0" t="s">
        <v>227</v>
      </c>
      <c r="AX280" s="0" t="s">
        <v>227</v>
      </c>
      <c r="AY280" s="0" t="s">
        <v>227</v>
      </c>
      <c r="AZ280" s="0" t="s">
        <v>227</v>
      </c>
      <c r="BA280" s="0" t="s">
        <v>227</v>
      </c>
      <c r="BB280" s="0" t="s">
        <v>227</v>
      </c>
      <c r="BC280" s="0" t="s">
        <v>227</v>
      </c>
      <c r="BD280" s="0" t="s">
        <v>227</v>
      </c>
      <c r="BE280" s="0" t="s">
        <v>6209</v>
      </c>
      <c r="BF280" s="0" t="s">
        <v>5697</v>
      </c>
      <c r="BG280" s="0" t="s">
        <v>112</v>
      </c>
      <c r="BH280" s="0" t="s">
        <v>5690</v>
      </c>
      <c r="BI280" s="0" t="s">
        <v>5691</v>
      </c>
      <c r="BJ280" s="0" t="s">
        <v>227</v>
      </c>
      <c r="BK280" s="0" t="s">
        <v>5692</v>
      </c>
      <c r="BL280" s="0" t="s">
        <v>354</v>
      </c>
      <c r="BM280" s="0" t="s">
        <v>354</v>
      </c>
      <c r="BN280" s="0" t="s">
        <v>5693</v>
      </c>
      <c r="BO280" s="0" t="s">
        <v>5684</v>
      </c>
      <c r="BP280" s="0" t="s">
        <v>5694</v>
      </c>
      <c r="BQ280" s="0" t="s">
        <v>5692</v>
      </c>
      <c r="BR280" s="0" t="s">
        <v>5692</v>
      </c>
      <c r="BS280" s="0" t="s">
        <v>227</v>
      </c>
      <c r="BT280" s="0" t="s">
        <v>6210</v>
      </c>
      <c r="CS280" s="0" t="s">
        <v>5759</v>
      </c>
      <c r="CT280" s="0" t="s">
        <v>5679</v>
      </c>
      <c r="CU280" s="0" t="s">
        <v>5680</v>
      </c>
      <c r="CV280" s="0" t="s">
        <v>430</v>
      </c>
      <c r="CW280" s="0" t="s">
        <v>5699</v>
      </c>
      <c r="CX280" s="0" t="s">
        <v>431</v>
      </c>
      <c r="CY280" s="0" t="s">
        <v>430</v>
      </c>
      <c r="CZ280" s="0" t="s">
        <v>432</v>
      </c>
      <c r="DA280" s="0" t="s">
        <v>433</v>
      </c>
      <c r="DB280" s="0" t="s">
        <v>5700</v>
      </c>
      <c r="DC280" s="0" t="s">
        <v>373</v>
      </c>
      <c r="DD280" s="0" t="s">
        <v>290</v>
      </c>
      <c r="DE280" s="0" t="s">
        <v>1041</v>
      </c>
    </row>
    <row customHeight="1" ht="11.25">
      <c r="A281" s="1806" t="s">
        <v>227</v>
      </c>
      <c r="B281" s="0" t="s">
        <v>227</v>
      </c>
      <c r="C281" s="0" t="s">
        <v>227</v>
      </c>
      <c r="D281" s="0" t="s">
        <v>227</v>
      </c>
      <c r="E281" s="0" t="s">
        <v>227</v>
      </c>
      <c r="F281" s="0" t="s">
        <v>227</v>
      </c>
      <c r="G281" s="0" t="s">
        <v>227</v>
      </c>
      <c r="H281" s="0" t="s">
        <v>227</v>
      </c>
      <c r="I281" s="0" t="s">
        <v>6198</v>
      </c>
      <c r="J281" s="0" t="s">
        <v>227</v>
      </c>
      <c r="K281" s="0" t="s">
        <v>227</v>
      </c>
      <c r="L281" s="0" t="s">
        <v>227</v>
      </c>
      <c r="M281" s="0" t="s">
        <v>227</v>
      </c>
      <c r="N281" s="0" t="s">
        <v>227</v>
      </c>
      <c r="O281" s="0" t="s">
        <v>227</v>
      </c>
      <c r="P281" s="0" t="s">
        <v>227</v>
      </c>
      <c r="Q281" s="0" t="s">
        <v>227</v>
      </c>
      <c r="R281" s="0" t="s">
        <v>992</v>
      </c>
      <c r="S281" s="0" t="s">
        <v>227</v>
      </c>
      <c r="T281" s="0" t="s">
        <v>227</v>
      </c>
      <c r="U281" s="0" t="s">
        <v>102</v>
      </c>
      <c r="V281" s="0" t="s">
        <v>227</v>
      </c>
      <c r="W281" s="0" t="s">
        <v>227</v>
      </c>
      <c r="X281" s="0" t="s">
        <v>5683</v>
      </c>
      <c r="Y281" s="0" t="s">
        <v>227</v>
      </c>
      <c r="Z281" s="0" t="s">
        <v>152</v>
      </c>
      <c r="AA281" s="0" t="s">
        <v>152</v>
      </c>
      <c r="AB281" s="0" t="s">
        <v>161</v>
      </c>
      <c r="AC281" s="0" t="s">
        <v>354</v>
      </c>
      <c r="AD281" s="0" t="s">
        <v>354</v>
      </c>
      <c r="AE281" s="0" t="s">
        <v>355</v>
      </c>
      <c r="AF281" s="0" t="s">
        <v>5684</v>
      </c>
      <c r="AG281" s="0" t="s">
        <v>5685</v>
      </c>
      <c r="AH281" s="0" t="s">
        <v>6059</v>
      </c>
      <c r="AI281" s="0" t="s">
        <v>285</v>
      </c>
      <c r="AJ281" s="0" t="s">
        <v>227</v>
      </c>
      <c r="AK281" s="0" t="s">
        <v>227</v>
      </c>
      <c r="AL281" s="0" t="s">
        <v>227</v>
      </c>
      <c r="AN281" s="0" t="s">
        <v>227</v>
      </c>
      <c r="AO281" s="0" t="s">
        <v>227</v>
      </c>
      <c r="AP281" s="0" t="s">
        <v>227</v>
      </c>
      <c r="AQ281" s="0" t="s">
        <v>227</v>
      </c>
      <c r="AR281" s="0" t="s">
        <v>227</v>
      </c>
      <c r="AS281" s="0" t="s">
        <v>227</v>
      </c>
      <c r="AT281" s="0" t="s">
        <v>227</v>
      </c>
      <c r="AU281" s="0" t="s">
        <v>227</v>
      </c>
      <c r="AV281" s="0" t="s">
        <v>227</v>
      </c>
      <c r="AW281" s="0" t="s">
        <v>227</v>
      </c>
      <c r="AX281" s="0" t="s">
        <v>227</v>
      </c>
      <c r="AY281" s="0" t="s">
        <v>227</v>
      </c>
      <c r="AZ281" s="0" t="s">
        <v>227</v>
      </c>
      <c r="BA281" s="0" t="s">
        <v>227</v>
      </c>
      <c r="BB281" s="0" t="s">
        <v>227</v>
      </c>
      <c r="BC281" s="0" t="s">
        <v>227</v>
      </c>
      <c r="BD281" s="0" t="s">
        <v>227</v>
      </c>
      <c r="BE281" s="0" t="s">
        <v>6216</v>
      </c>
      <c r="BF281" s="0" t="s">
        <v>5697</v>
      </c>
      <c r="BG281" s="0" t="s">
        <v>112</v>
      </c>
      <c r="BH281" s="0" t="s">
        <v>5690</v>
      </c>
      <c r="BI281" s="0" t="s">
        <v>5691</v>
      </c>
      <c r="BJ281" s="0" t="s">
        <v>227</v>
      </c>
      <c r="BK281" s="0" t="s">
        <v>5692</v>
      </c>
      <c r="BL281" s="0" t="s">
        <v>354</v>
      </c>
      <c r="BM281" s="0" t="s">
        <v>354</v>
      </c>
      <c r="BN281" s="0" t="s">
        <v>5693</v>
      </c>
      <c r="BO281" s="0" t="s">
        <v>5684</v>
      </c>
      <c r="BP281" s="0" t="s">
        <v>5694</v>
      </c>
      <c r="BQ281" s="0" t="s">
        <v>5692</v>
      </c>
      <c r="BR281" s="0" t="s">
        <v>5692</v>
      </c>
      <c r="BS281" s="0" t="s">
        <v>227</v>
      </c>
      <c r="BT281" s="0" t="s">
        <v>6206</v>
      </c>
      <c r="CS281" s="0" t="s">
        <v>5759</v>
      </c>
      <c r="CT281" s="0" t="s">
        <v>5679</v>
      </c>
      <c r="CU281" s="0" t="s">
        <v>5680</v>
      </c>
      <c r="CV281" s="0" t="s">
        <v>430</v>
      </c>
      <c r="CW281" s="0" t="s">
        <v>5699</v>
      </c>
      <c r="CX281" s="0" t="s">
        <v>431</v>
      </c>
      <c r="CY281" s="0" t="s">
        <v>430</v>
      </c>
      <c r="CZ281" s="0" t="s">
        <v>432</v>
      </c>
      <c r="DA281" s="0" t="s">
        <v>433</v>
      </c>
      <c r="DB281" s="0" t="s">
        <v>5700</v>
      </c>
      <c r="DC281" s="0" t="s">
        <v>373</v>
      </c>
      <c r="DD281" s="0" t="s">
        <v>290</v>
      </c>
      <c r="DE281" s="0" t="s">
        <v>993</v>
      </c>
    </row>
    <row customHeight="1" ht="11.25">
      <c r="A282" s="1806" t="s">
        <v>227</v>
      </c>
      <c r="B282" s="0" t="s">
        <v>227</v>
      </c>
      <c r="C282" s="0" t="s">
        <v>227</v>
      </c>
      <c r="D282" s="0" t="s">
        <v>227</v>
      </c>
      <c r="E282" s="0" t="s">
        <v>227</v>
      </c>
      <c r="F282" s="0" t="s">
        <v>227</v>
      </c>
      <c r="G282" s="0" t="s">
        <v>227</v>
      </c>
      <c r="H282" s="0" t="s">
        <v>227</v>
      </c>
      <c r="I282" s="0" t="s">
        <v>6198</v>
      </c>
      <c r="J282" s="0" t="s">
        <v>227</v>
      </c>
      <c r="K282" s="0" t="s">
        <v>227</v>
      </c>
      <c r="L282" s="0" t="s">
        <v>227</v>
      </c>
      <c r="M282" s="0" t="s">
        <v>227</v>
      </c>
      <c r="N282" s="0" t="s">
        <v>227</v>
      </c>
      <c r="O282" s="0" t="s">
        <v>227</v>
      </c>
      <c r="P282" s="0" t="s">
        <v>227</v>
      </c>
      <c r="Q282" s="0" t="s">
        <v>227</v>
      </c>
      <c r="R282" s="0" t="s">
        <v>1101</v>
      </c>
      <c r="S282" s="0" t="s">
        <v>227</v>
      </c>
      <c r="T282" s="0" t="s">
        <v>227</v>
      </c>
      <c r="U282" s="0" t="s">
        <v>102</v>
      </c>
      <c r="V282" s="0" t="s">
        <v>227</v>
      </c>
      <c r="W282" s="0" t="s">
        <v>227</v>
      </c>
      <c r="X282" s="0" t="s">
        <v>5683</v>
      </c>
      <c r="Y282" s="0" t="s">
        <v>227</v>
      </c>
      <c r="Z282" s="0" t="s">
        <v>152</v>
      </c>
      <c r="AA282" s="0" t="s">
        <v>152</v>
      </c>
      <c r="AB282" s="0" t="s">
        <v>161</v>
      </c>
      <c r="AC282" s="0" t="s">
        <v>354</v>
      </c>
      <c r="AD282" s="0" t="s">
        <v>354</v>
      </c>
      <c r="AE282" s="0" t="s">
        <v>355</v>
      </c>
      <c r="AF282" s="0" t="s">
        <v>5684</v>
      </c>
      <c r="AG282" s="0" t="s">
        <v>5685</v>
      </c>
      <c r="AH282" s="0" t="s">
        <v>5809</v>
      </c>
      <c r="AI282" s="0" t="s">
        <v>6287</v>
      </c>
      <c r="AJ282" s="0" t="s">
        <v>227</v>
      </c>
      <c r="AK282" s="0" t="s">
        <v>227</v>
      </c>
      <c r="AL282" s="0" t="s">
        <v>227</v>
      </c>
      <c r="AN282" s="0" t="s">
        <v>227</v>
      </c>
      <c r="AO282" s="0" t="s">
        <v>227</v>
      </c>
      <c r="AP282" s="0" t="s">
        <v>227</v>
      </c>
      <c r="AQ282" s="0" t="s">
        <v>227</v>
      </c>
      <c r="AR282" s="0" t="s">
        <v>227</v>
      </c>
      <c r="AS282" s="0" t="s">
        <v>227</v>
      </c>
      <c r="AT282" s="0" t="s">
        <v>227</v>
      </c>
      <c r="AU282" s="0" t="s">
        <v>227</v>
      </c>
      <c r="AV282" s="0" t="s">
        <v>227</v>
      </c>
      <c r="AW282" s="0" t="s">
        <v>227</v>
      </c>
      <c r="AX282" s="0" t="s">
        <v>227</v>
      </c>
      <c r="AY282" s="0" t="s">
        <v>227</v>
      </c>
      <c r="AZ282" s="0" t="s">
        <v>227</v>
      </c>
      <c r="BA282" s="0" t="s">
        <v>227</v>
      </c>
      <c r="BB282" s="0" t="s">
        <v>227</v>
      </c>
      <c r="BC282" s="0" t="s">
        <v>227</v>
      </c>
      <c r="BD282" s="0" t="s">
        <v>227</v>
      </c>
      <c r="BE282" s="0" t="s">
        <v>6155</v>
      </c>
      <c r="BF282" s="0" t="s">
        <v>5697</v>
      </c>
      <c r="BG282" s="0" t="s">
        <v>112</v>
      </c>
      <c r="BH282" s="0" t="s">
        <v>5690</v>
      </c>
      <c r="BI282" s="0" t="s">
        <v>5691</v>
      </c>
      <c r="BJ282" s="0" t="s">
        <v>227</v>
      </c>
      <c r="BK282" s="0" t="s">
        <v>5692</v>
      </c>
      <c r="BL282" s="0" t="s">
        <v>354</v>
      </c>
      <c r="BM282" s="0" t="s">
        <v>354</v>
      </c>
      <c r="BN282" s="0" t="s">
        <v>5693</v>
      </c>
      <c r="BO282" s="0" t="s">
        <v>5684</v>
      </c>
      <c r="BP282" s="0" t="s">
        <v>5694</v>
      </c>
      <c r="BQ282" s="0" t="s">
        <v>5692</v>
      </c>
      <c r="BR282" s="0" t="s">
        <v>5692</v>
      </c>
      <c r="BS282" s="0" t="s">
        <v>227</v>
      </c>
      <c r="BT282" s="0" t="s">
        <v>6210</v>
      </c>
      <c r="CS282" s="0" t="s">
        <v>5759</v>
      </c>
      <c r="CT282" s="0" t="s">
        <v>5679</v>
      </c>
      <c r="CU282" s="0" t="s">
        <v>5680</v>
      </c>
      <c r="CV282" s="0" t="s">
        <v>430</v>
      </c>
      <c r="CW282" s="0" t="s">
        <v>5699</v>
      </c>
      <c r="CX282" s="0" t="s">
        <v>431</v>
      </c>
      <c r="CY282" s="0" t="s">
        <v>430</v>
      </c>
      <c r="CZ282" s="0" t="s">
        <v>432</v>
      </c>
      <c r="DA282" s="0" t="s">
        <v>433</v>
      </c>
      <c r="DB282" s="0" t="s">
        <v>5700</v>
      </c>
      <c r="DC282" s="0" t="s">
        <v>373</v>
      </c>
      <c r="DD282" s="0" t="s">
        <v>290</v>
      </c>
      <c r="DE282" s="0" t="s">
        <v>1102</v>
      </c>
    </row>
    <row customHeight="1" ht="11.25">
      <c r="A283" s="1806" t="s">
        <v>227</v>
      </c>
      <c r="B283" s="0" t="s">
        <v>227</v>
      </c>
      <c r="C283" s="0" t="s">
        <v>227</v>
      </c>
      <c r="D283" s="0" t="s">
        <v>227</v>
      </c>
      <c r="E283" s="0" t="s">
        <v>227</v>
      </c>
      <c r="F283" s="0" t="s">
        <v>227</v>
      </c>
      <c r="G283" s="0" t="s">
        <v>227</v>
      </c>
      <c r="H283" s="0" t="s">
        <v>227</v>
      </c>
      <c r="I283" s="0" t="s">
        <v>6198</v>
      </c>
      <c r="J283" s="0" t="s">
        <v>227</v>
      </c>
      <c r="K283" s="0" t="s">
        <v>227</v>
      </c>
      <c r="L283" s="0" t="s">
        <v>227</v>
      </c>
      <c r="M283" s="0" t="s">
        <v>227</v>
      </c>
      <c r="N283" s="0" t="s">
        <v>227</v>
      </c>
      <c r="O283" s="0" t="s">
        <v>227</v>
      </c>
      <c r="P283" s="0" t="s">
        <v>227</v>
      </c>
      <c r="Q283" s="0" t="s">
        <v>227</v>
      </c>
      <c r="R283" s="0" t="s">
        <v>1057</v>
      </c>
      <c r="S283" s="0" t="s">
        <v>227</v>
      </c>
      <c r="T283" s="0" t="s">
        <v>227</v>
      </c>
      <c r="U283" s="0" t="s">
        <v>102</v>
      </c>
      <c r="V283" s="0" t="s">
        <v>227</v>
      </c>
      <c r="W283" s="0" t="s">
        <v>227</v>
      </c>
      <c r="X283" s="0" t="s">
        <v>5683</v>
      </c>
      <c r="Y283" s="0" t="s">
        <v>227</v>
      </c>
      <c r="Z283" s="0" t="s">
        <v>152</v>
      </c>
      <c r="AA283" s="0" t="s">
        <v>152</v>
      </c>
      <c r="AB283" s="0" t="s">
        <v>161</v>
      </c>
      <c r="AC283" s="0" t="s">
        <v>354</v>
      </c>
      <c r="AD283" s="0" t="s">
        <v>354</v>
      </c>
      <c r="AE283" s="0" t="s">
        <v>355</v>
      </c>
      <c r="AF283" s="0" t="s">
        <v>5684</v>
      </c>
      <c r="AG283" s="0" t="s">
        <v>5685</v>
      </c>
      <c r="AH283" s="0" t="s">
        <v>5949</v>
      </c>
      <c r="AI283" s="0" t="s">
        <v>6288</v>
      </c>
      <c r="AJ283" s="0" t="s">
        <v>227</v>
      </c>
      <c r="AK283" s="0" t="s">
        <v>227</v>
      </c>
      <c r="AL283" s="0" t="s">
        <v>227</v>
      </c>
      <c r="AN283" s="0" t="s">
        <v>227</v>
      </c>
      <c r="AO283" s="0" t="s">
        <v>227</v>
      </c>
      <c r="AP283" s="0" t="s">
        <v>227</v>
      </c>
      <c r="AQ283" s="0" t="s">
        <v>227</v>
      </c>
      <c r="AR283" s="0" t="s">
        <v>227</v>
      </c>
      <c r="AS283" s="0" t="s">
        <v>227</v>
      </c>
      <c r="AT283" s="0" t="s">
        <v>227</v>
      </c>
      <c r="AU283" s="0" t="s">
        <v>227</v>
      </c>
      <c r="AV283" s="0" t="s">
        <v>227</v>
      </c>
      <c r="AW283" s="0" t="s">
        <v>227</v>
      </c>
      <c r="AX283" s="0" t="s">
        <v>227</v>
      </c>
      <c r="AY283" s="0" t="s">
        <v>227</v>
      </c>
      <c r="AZ283" s="0" t="s">
        <v>227</v>
      </c>
      <c r="BA283" s="0" t="s">
        <v>227</v>
      </c>
      <c r="BB283" s="0" t="s">
        <v>227</v>
      </c>
      <c r="BC283" s="0" t="s">
        <v>227</v>
      </c>
      <c r="BD283" s="0" t="s">
        <v>227</v>
      </c>
      <c r="BE283" s="0" t="s">
        <v>6155</v>
      </c>
      <c r="BF283" s="0" t="s">
        <v>5697</v>
      </c>
      <c r="BG283" s="0" t="s">
        <v>112</v>
      </c>
      <c r="BH283" s="0" t="s">
        <v>5690</v>
      </c>
      <c r="BI283" s="0" t="s">
        <v>5691</v>
      </c>
      <c r="BJ283" s="0" t="s">
        <v>227</v>
      </c>
      <c r="BK283" s="0" t="s">
        <v>5692</v>
      </c>
      <c r="BL283" s="0" t="s">
        <v>354</v>
      </c>
      <c r="BM283" s="0" t="s">
        <v>354</v>
      </c>
      <c r="BN283" s="0" t="s">
        <v>5693</v>
      </c>
      <c r="BO283" s="0" t="s">
        <v>5684</v>
      </c>
      <c r="BP283" s="0" t="s">
        <v>5694</v>
      </c>
      <c r="BQ283" s="0" t="s">
        <v>5692</v>
      </c>
      <c r="BR283" s="0" t="s">
        <v>5692</v>
      </c>
      <c r="BS283" s="0" t="s">
        <v>227</v>
      </c>
      <c r="BT283" s="0" t="s">
        <v>6210</v>
      </c>
      <c r="CS283" s="0" t="s">
        <v>5759</v>
      </c>
      <c r="CT283" s="0" t="s">
        <v>5679</v>
      </c>
      <c r="CU283" s="0" t="s">
        <v>5680</v>
      </c>
      <c r="CV283" s="0" t="s">
        <v>430</v>
      </c>
      <c r="CW283" s="0" t="s">
        <v>5699</v>
      </c>
      <c r="CX283" s="0" t="s">
        <v>431</v>
      </c>
      <c r="CY283" s="0" t="s">
        <v>430</v>
      </c>
      <c r="CZ283" s="0" t="s">
        <v>432</v>
      </c>
      <c r="DA283" s="0" t="s">
        <v>433</v>
      </c>
      <c r="DB283" s="0" t="s">
        <v>5700</v>
      </c>
      <c r="DC283" s="0" t="s">
        <v>373</v>
      </c>
      <c r="DD283" s="0" t="s">
        <v>290</v>
      </c>
      <c r="DE283" s="0" t="s">
        <v>1058</v>
      </c>
    </row>
    <row customHeight="1" ht="11.25">
      <c r="A284" s="1806" t="s">
        <v>227</v>
      </c>
      <c r="B284" s="0" t="s">
        <v>227</v>
      </c>
      <c r="C284" s="0" t="s">
        <v>227</v>
      </c>
      <c r="D284" s="0" t="s">
        <v>227</v>
      </c>
      <c r="E284" s="0" t="s">
        <v>227</v>
      </c>
      <c r="F284" s="0" t="s">
        <v>227</v>
      </c>
      <c r="G284" s="0" t="s">
        <v>227</v>
      </c>
      <c r="H284" s="0" t="s">
        <v>227</v>
      </c>
      <c r="I284" s="0" t="s">
        <v>6198</v>
      </c>
      <c r="J284" s="0" t="s">
        <v>227</v>
      </c>
      <c r="K284" s="0" t="s">
        <v>227</v>
      </c>
      <c r="L284" s="0" t="s">
        <v>227</v>
      </c>
      <c r="M284" s="0" t="s">
        <v>227</v>
      </c>
      <c r="N284" s="0" t="s">
        <v>227</v>
      </c>
      <c r="O284" s="0" t="s">
        <v>227</v>
      </c>
      <c r="P284" s="0" t="s">
        <v>227</v>
      </c>
      <c r="Q284" s="0" t="s">
        <v>227</v>
      </c>
      <c r="R284" s="0" t="s">
        <v>1055</v>
      </c>
      <c r="S284" s="0" t="s">
        <v>227</v>
      </c>
      <c r="T284" s="0" t="s">
        <v>227</v>
      </c>
      <c r="U284" s="0" t="s">
        <v>102</v>
      </c>
      <c r="V284" s="0" t="s">
        <v>227</v>
      </c>
      <c r="W284" s="0" t="s">
        <v>227</v>
      </c>
      <c r="X284" s="0" t="s">
        <v>5683</v>
      </c>
      <c r="Y284" s="0" t="s">
        <v>227</v>
      </c>
      <c r="Z284" s="0" t="s">
        <v>152</v>
      </c>
      <c r="AA284" s="0" t="s">
        <v>152</v>
      </c>
      <c r="AB284" s="0" t="s">
        <v>161</v>
      </c>
      <c r="AC284" s="0" t="s">
        <v>354</v>
      </c>
      <c r="AD284" s="0" t="s">
        <v>354</v>
      </c>
      <c r="AE284" s="0" t="s">
        <v>355</v>
      </c>
      <c r="AF284" s="0" t="s">
        <v>5684</v>
      </c>
      <c r="AG284" s="0" t="s">
        <v>5685</v>
      </c>
      <c r="AH284" s="0" t="s">
        <v>5949</v>
      </c>
      <c r="AI284" s="0" t="s">
        <v>6289</v>
      </c>
      <c r="AJ284" s="0" t="s">
        <v>227</v>
      </c>
      <c r="AK284" s="0" t="s">
        <v>227</v>
      </c>
      <c r="AL284" s="0" t="s">
        <v>227</v>
      </c>
      <c r="AN284" s="0" t="s">
        <v>227</v>
      </c>
      <c r="AO284" s="0" t="s">
        <v>227</v>
      </c>
      <c r="AP284" s="0" t="s">
        <v>227</v>
      </c>
      <c r="AQ284" s="0" t="s">
        <v>227</v>
      </c>
      <c r="AR284" s="0" t="s">
        <v>227</v>
      </c>
      <c r="AS284" s="0" t="s">
        <v>227</v>
      </c>
      <c r="AT284" s="0" t="s">
        <v>227</v>
      </c>
      <c r="AU284" s="0" t="s">
        <v>227</v>
      </c>
      <c r="AV284" s="0" t="s">
        <v>227</v>
      </c>
      <c r="AW284" s="0" t="s">
        <v>227</v>
      </c>
      <c r="AX284" s="0" t="s">
        <v>227</v>
      </c>
      <c r="AY284" s="0" t="s">
        <v>227</v>
      </c>
      <c r="AZ284" s="0" t="s">
        <v>227</v>
      </c>
      <c r="BA284" s="0" t="s">
        <v>227</v>
      </c>
      <c r="BB284" s="0" t="s">
        <v>227</v>
      </c>
      <c r="BC284" s="0" t="s">
        <v>227</v>
      </c>
      <c r="BD284" s="0" t="s">
        <v>227</v>
      </c>
      <c r="BE284" s="0" t="s">
        <v>6155</v>
      </c>
      <c r="BF284" s="0" t="s">
        <v>5697</v>
      </c>
      <c r="BG284" s="0" t="s">
        <v>112</v>
      </c>
      <c r="BH284" s="0" t="s">
        <v>5690</v>
      </c>
      <c r="BI284" s="0" t="s">
        <v>5691</v>
      </c>
      <c r="BJ284" s="0" t="s">
        <v>227</v>
      </c>
      <c r="BK284" s="0" t="s">
        <v>5692</v>
      </c>
      <c r="BL284" s="0" t="s">
        <v>354</v>
      </c>
      <c r="BM284" s="0" t="s">
        <v>354</v>
      </c>
      <c r="BN284" s="0" t="s">
        <v>5693</v>
      </c>
      <c r="BO284" s="0" t="s">
        <v>5684</v>
      </c>
      <c r="BP284" s="0" t="s">
        <v>5694</v>
      </c>
      <c r="BQ284" s="0" t="s">
        <v>5692</v>
      </c>
      <c r="BR284" s="0" t="s">
        <v>5692</v>
      </c>
      <c r="BS284" s="0" t="s">
        <v>227</v>
      </c>
      <c r="BT284" s="0" t="s">
        <v>6210</v>
      </c>
      <c r="CS284" s="0" t="s">
        <v>5759</v>
      </c>
      <c r="CT284" s="0" t="s">
        <v>5679</v>
      </c>
      <c r="CU284" s="0" t="s">
        <v>5680</v>
      </c>
      <c r="CV284" s="0" t="s">
        <v>430</v>
      </c>
      <c r="CW284" s="0" t="s">
        <v>5699</v>
      </c>
      <c r="CX284" s="0" t="s">
        <v>431</v>
      </c>
      <c r="CY284" s="0" t="s">
        <v>430</v>
      </c>
      <c r="CZ284" s="0" t="s">
        <v>432</v>
      </c>
      <c r="DA284" s="0" t="s">
        <v>433</v>
      </c>
      <c r="DB284" s="0" t="s">
        <v>5700</v>
      </c>
      <c r="DC284" s="0" t="s">
        <v>373</v>
      </c>
      <c r="DD284" s="0" t="s">
        <v>290</v>
      </c>
      <c r="DE284" s="0" t="s">
        <v>1056</v>
      </c>
    </row>
    <row customHeight="1" ht="11.25">
      <c r="A285" s="1806" t="s">
        <v>227</v>
      </c>
      <c r="B285" s="0" t="s">
        <v>227</v>
      </c>
      <c r="C285" s="0" t="s">
        <v>227</v>
      </c>
      <c r="D285" s="0" t="s">
        <v>227</v>
      </c>
      <c r="E285" s="0" t="s">
        <v>227</v>
      </c>
      <c r="F285" s="0" t="s">
        <v>227</v>
      </c>
      <c r="G285" s="0" t="s">
        <v>227</v>
      </c>
      <c r="H285" s="0" t="s">
        <v>227</v>
      </c>
      <c r="I285" s="0" t="s">
        <v>6198</v>
      </c>
      <c r="J285" s="0" t="s">
        <v>227</v>
      </c>
      <c r="K285" s="0" t="s">
        <v>227</v>
      </c>
      <c r="L285" s="0" t="s">
        <v>227</v>
      </c>
      <c r="M285" s="0" t="s">
        <v>227</v>
      </c>
      <c r="N285" s="0" t="s">
        <v>227</v>
      </c>
      <c r="O285" s="0" t="s">
        <v>227</v>
      </c>
      <c r="P285" s="0" t="s">
        <v>227</v>
      </c>
      <c r="Q285" s="0" t="s">
        <v>227</v>
      </c>
      <c r="R285" s="0" t="s">
        <v>1024</v>
      </c>
      <c r="S285" s="0" t="s">
        <v>227</v>
      </c>
      <c r="T285" s="0" t="s">
        <v>227</v>
      </c>
      <c r="U285" s="0" t="s">
        <v>102</v>
      </c>
      <c r="V285" s="0" t="s">
        <v>227</v>
      </c>
      <c r="W285" s="0" t="s">
        <v>227</v>
      </c>
      <c r="X285" s="0" t="s">
        <v>5683</v>
      </c>
      <c r="Y285" s="0" t="s">
        <v>227</v>
      </c>
      <c r="Z285" s="0" t="s">
        <v>152</v>
      </c>
      <c r="AA285" s="0" t="s">
        <v>152</v>
      </c>
      <c r="AB285" s="0" t="s">
        <v>161</v>
      </c>
      <c r="AC285" s="0" t="s">
        <v>354</v>
      </c>
      <c r="AD285" s="0" t="s">
        <v>354</v>
      </c>
      <c r="AE285" s="0" t="s">
        <v>355</v>
      </c>
      <c r="AF285" s="0" t="s">
        <v>5684</v>
      </c>
      <c r="AG285" s="0" t="s">
        <v>5685</v>
      </c>
      <c r="AH285" s="0" t="s">
        <v>6059</v>
      </c>
      <c r="AI285" s="0" t="s">
        <v>6290</v>
      </c>
      <c r="AJ285" s="0" t="s">
        <v>227</v>
      </c>
      <c r="AK285" s="0" t="s">
        <v>227</v>
      </c>
      <c r="AL285" s="0" t="s">
        <v>227</v>
      </c>
      <c r="AN285" s="0" t="s">
        <v>227</v>
      </c>
      <c r="AO285" s="0" t="s">
        <v>227</v>
      </c>
      <c r="AP285" s="0" t="s">
        <v>227</v>
      </c>
      <c r="AQ285" s="0" t="s">
        <v>227</v>
      </c>
      <c r="AR285" s="0" t="s">
        <v>227</v>
      </c>
      <c r="AS285" s="0" t="s">
        <v>227</v>
      </c>
      <c r="AT285" s="0" t="s">
        <v>227</v>
      </c>
      <c r="AU285" s="0" t="s">
        <v>227</v>
      </c>
      <c r="AV285" s="0" t="s">
        <v>227</v>
      </c>
      <c r="AW285" s="0" t="s">
        <v>227</v>
      </c>
      <c r="AX285" s="0" t="s">
        <v>227</v>
      </c>
      <c r="AY285" s="0" t="s">
        <v>227</v>
      </c>
      <c r="AZ285" s="0" t="s">
        <v>227</v>
      </c>
      <c r="BA285" s="0" t="s">
        <v>227</v>
      </c>
      <c r="BB285" s="0" t="s">
        <v>227</v>
      </c>
      <c r="BC285" s="0" t="s">
        <v>227</v>
      </c>
      <c r="BD285" s="0" t="s">
        <v>227</v>
      </c>
      <c r="BE285" s="0" t="s">
        <v>6216</v>
      </c>
      <c r="BF285" s="0" t="s">
        <v>5697</v>
      </c>
      <c r="BG285" s="0" t="s">
        <v>112</v>
      </c>
      <c r="BH285" s="0" t="s">
        <v>5690</v>
      </c>
      <c r="BI285" s="0" t="s">
        <v>5691</v>
      </c>
      <c r="BJ285" s="0" t="s">
        <v>227</v>
      </c>
      <c r="BK285" s="0" t="s">
        <v>5692</v>
      </c>
      <c r="BL285" s="0" t="s">
        <v>354</v>
      </c>
      <c r="BM285" s="0" t="s">
        <v>354</v>
      </c>
      <c r="BN285" s="0" t="s">
        <v>5693</v>
      </c>
      <c r="BO285" s="0" t="s">
        <v>5684</v>
      </c>
      <c r="BP285" s="0" t="s">
        <v>5694</v>
      </c>
      <c r="BQ285" s="0" t="s">
        <v>5692</v>
      </c>
      <c r="BR285" s="0" t="s">
        <v>5692</v>
      </c>
      <c r="BS285" s="0" t="s">
        <v>227</v>
      </c>
      <c r="BT285" s="0" t="s">
        <v>6206</v>
      </c>
      <c r="CS285" s="0" t="s">
        <v>5759</v>
      </c>
      <c r="CT285" s="0" t="s">
        <v>5679</v>
      </c>
      <c r="CU285" s="0" t="s">
        <v>5680</v>
      </c>
      <c r="CV285" s="0" t="s">
        <v>430</v>
      </c>
      <c r="CW285" s="0" t="s">
        <v>5699</v>
      </c>
      <c r="CX285" s="0" t="s">
        <v>431</v>
      </c>
      <c r="CY285" s="0" t="s">
        <v>430</v>
      </c>
      <c r="CZ285" s="0" t="s">
        <v>432</v>
      </c>
      <c r="DA285" s="0" t="s">
        <v>433</v>
      </c>
      <c r="DB285" s="0" t="s">
        <v>5700</v>
      </c>
      <c r="DC285" s="0" t="s">
        <v>373</v>
      </c>
      <c r="DD285" s="0" t="s">
        <v>290</v>
      </c>
      <c r="DE285" s="0" t="s">
        <v>1025</v>
      </c>
    </row>
    <row customHeight="1" ht="11.25">
      <c r="A286" s="1806" t="s">
        <v>227</v>
      </c>
      <c r="B286" s="0" t="s">
        <v>227</v>
      </c>
      <c r="C286" s="0" t="s">
        <v>227</v>
      </c>
      <c r="D286" s="0" t="s">
        <v>227</v>
      </c>
      <c r="E286" s="0" t="s">
        <v>227</v>
      </c>
      <c r="F286" s="0" t="s">
        <v>227</v>
      </c>
      <c r="G286" s="0" t="s">
        <v>227</v>
      </c>
      <c r="H286" s="0" t="s">
        <v>227</v>
      </c>
      <c r="I286" s="0" t="s">
        <v>6198</v>
      </c>
      <c r="J286" s="0" t="s">
        <v>227</v>
      </c>
      <c r="K286" s="0" t="s">
        <v>227</v>
      </c>
      <c r="L286" s="0" t="s">
        <v>227</v>
      </c>
      <c r="M286" s="0" t="s">
        <v>227</v>
      </c>
      <c r="N286" s="0" t="s">
        <v>227</v>
      </c>
      <c r="O286" s="0" t="s">
        <v>227</v>
      </c>
      <c r="P286" s="0" t="s">
        <v>227</v>
      </c>
      <c r="Q286" s="0" t="s">
        <v>227</v>
      </c>
      <c r="R286" s="0" t="s">
        <v>1022</v>
      </c>
      <c r="S286" s="0" t="s">
        <v>227</v>
      </c>
      <c r="T286" s="0" t="s">
        <v>227</v>
      </c>
      <c r="U286" s="0" t="s">
        <v>102</v>
      </c>
      <c r="V286" s="0" t="s">
        <v>227</v>
      </c>
      <c r="W286" s="0" t="s">
        <v>227</v>
      </c>
      <c r="X286" s="0" t="s">
        <v>5683</v>
      </c>
      <c r="Y286" s="0" t="s">
        <v>227</v>
      </c>
      <c r="Z286" s="0" t="s">
        <v>152</v>
      </c>
      <c r="AA286" s="0" t="s">
        <v>152</v>
      </c>
      <c r="AB286" s="0" t="s">
        <v>161</v>
      </c>
      <c r="AC286" s="0" t="s">
        <v>354</v>
      </c>
      <c r="AD286" s="0" t="s">
        <v>354</v>
      </c>
      <c r="AE286" s="0" t="s">
        <v>355</v>
      </c>
      <c r="AF286" s="0" t="s">
        <v>5684</v>
      </c>
      <c r="AG286" s="0" t="s">
        <v>5685</v>
      </c>
      <c r="AH286" s="0" t="s">
        <v>6059</v>
      </c>
      <c r="AI286" s="0" t="s">
        <v>6291</v>
      </c>
      <c r="AJ286" s="0" t="s">
        <v>227</v>
      </c>
      <c r="AK286" s="0" t="s">
        <v>227</v>
      </c>
      <c r="AL286" s="0" t="s">
        <v>227</v>
      </c>
      <c r="AN286" s="0" t="s">
        <v>227</v>
      </c>
      <c r="AO286" s="0" t="s">
        <v>227</v>
      </c>
      <c r="AP286" s="0" t="s">
        <v>227</v>
      </c>
      <c r="AQ286" s="0" t="s">
        <v>227</v>
      </c>
      <c r="AR286" s="0" t="s">
        <v>227</v>
      </c>
      <c r="AS286" s="0" t="s">
        <v>227</v>
      </c>
      <c r="AT286" s="0" t="s">
        <v>227</v>
      </c>
      <c r="AU286" s="0" t="s">
        <v>227</v>
      </c>
      <c r="AV286" s="0" t="s">
        <v>227</v>
      </c>
      <c r="AW286" s="0" t="s">
        <v>227</v>
      </c>
      <c r="AX286" s="0" t="s">
        <v>227</v>
      </c>
      <c r="AY286" s="0" t="s">
        <v>227</v>
      </c>
      <c r="AZ286" s="0" t="s">
        <v>227</v>
      </c>
      <c r="BA286" s="0" t="s">
        <v>227</v>
      </c>
      <c r="BB286" s="0" t="s">
        <v>227</v>
      </c>
      <c r="BC286" s="0" t="s">
        <v>227</v>
      </c>
      <c r="BD286" s="0" t="s">
        <v>227</v>
      </c>
      <c r="BE286" s="0" t="s">
        <v>6216</v>
      </c>
      <c r="BF286" s="0" t="s">
        <v>5697</v>
      </c>
      <c r="BG286" s="0" t="s">
        <v>112</v>
      </c>
      <c r="BH286" s="0" t="s">
        <v>5690</v>
      </c>
      <c r="BI286" s="0" t="s">
        <v>5691</v>
      </c>
      <c r="BJ286" s="0" t="s">
        <v>227</v>
      </c>
      <c r="BK286" s="0" t="s">
        <v>5692</v>
      </c>
      <c r="BL286" s="0" t="s">
        <v>354</v>
      </c>
      <c r="BM286" s="0" t="s">
        <v>354</v>
      </c>
      <c r="BN286" s="0" t="s">
        <v>5693</v>
      </c>
      <c r="BO286" s="0" t="s">
        <v>5684</v>
      </c>
      <c r="BP286" s="0" t="s">
        <v>5694</v>
      </c>
      <c r="BQ286" s="0" t="s">
        <v>5692</v>
      </c>
      <c r="BR286" s="0" t="s">
        <v>5692</v>
      </c>
      <c r="BS286" s="0" t="s">
        <v>227</v>
      </c>
      <c r="BT286" s="0" t="s">
        <v>6210</v>
      </c>
      <c r="CS286" s="0" t="s">
        <v>5759</v>
      </c>
      <c r="CT286" s="0" t="s">
        <v>5679</v>
      </c>
      <c r="CU286" s="0" t="s">
        <v>5680</v>
      </c>
      <c r="CV286" s="0" t="s">
        <v>430</v>
      </c>
      <c r="CW286" s="0" t="s">
        <v>5699</v>
      </c>
      <c r="CX286" s="0" t="s">
        <v>431</v>
      </c>
      <c r="CY286" s="0" t="s">
        <v>430</v>
      </c>
      <c r="CZ286" s="0" t="s">
        <v>432</v>
      </c>
      <c r="DA286" s="0" t="s">
        <v>433</v>
      </c>
      <c r="DB286" s="0" t="s">
        <v>5700</v>
      </c>
      <c r="DC286" s="0" t="s">
        <v>373</v>
      </c>
      <c r="DD286" s="0" t="s">
        <v>290</v>
      </c>
      <c r="DE286" s="0" t="s">
        <v>1023</v>
      </c>
    </row>
    <row customHeight="1" ht="11.25">
      <c r="A287" s="1806" t="s">
        <v>227</v>
      </c>
      <c r="B287" s="0" t="s">
        <v>227</v>
      </c>
      <c r="C287" s="0" t="s">
        <v>227</v>
      </c>
      <c r="D287" s="0" t="s">
        <v>227</v>
      </c>
      <c r="E287" s="0" t="s">
        <v>227</v>
      </c>
      <c r="F287" s="0" t="s">
        <v>227</v>
      </c>
      <c r="G287" s="0" t="s">
        <v>227</v>
      </c>
      <c r="H287" s="0" t="s">
        <v>227</v>
      </c>
      <c r="I287" s="0" t="s">
        <v>6198</v>
      </c>
      <c r="J287" s="0" t="s">
        <v>227</v>
      </c>
      <c r="K287" s="0" t="s">
        <v>227</v>
      </c>
      <c r="L287" s="0" t="s">
        <v>227</v>
      </c>
      <c r="M287" s="0" t="s">
        <v>227</v>
      </c>
      <c r="N287" s="0" t="s">
        <v>227</v>
      </c>
      <c r="O287" s="0" t="s">
        <v>227</v>
      </c>
      <c r="P287" s="0" t="s">
        <v>227</v>
      </c>
      <c r="Q287" s="0" t="s">
        <v>227</v>
      </c>
      <c r="R287" s="0" t="s">
        <v>1034</v>
      </c>
      <c r="S287" s="0" t="s">
        <v>227</v>
      </c>
      <c r="T287" s="0" t="s">
        <v>227</v>
      </c>
      <c r="U287" s="0" t="s">
        <v>102</v>
      </c>
      <c r="V287" s="0" t="s">
        <v>227</v>
      </c>
      <c r="W287" s="0" t="s">
        <v>227</v>
      </c>
      <c r="X287" s="0" t="s">
        <v>5683</v>
      </c>
      <c r="Y287" s="0" t="s">
        <v>227</v>
      </c>
      <c r="Z287" s="0" t="s">
        <v>152</v>
      </c>
      <c r="AA287" s="0" t="s">
        <v>152</v>
      </c>
      <c r="AB287" s="0" t="s">
        <v>161</v>
      </c>
      <c r="AC287" s="0" t="s">
        <v>354</v>
      </c>
      <c r="AD287" s="0" t="s">
        <v>354</v>
      </c>
      <c r="AE287" s="0" t="s">
        <v>355</v>
      </c>
      <c r="AF287" s="0" t="s">
        <v>5684</v>
      </c>
      <c r="AG287" s="0" t="s">
        <v>5685</v>
      </c>
      <c r="AH287" s="0" t="s">
        <v>5793</v>
      </c>
      <c r="AI287" s="0" t="s">
        <v>6292</v>
      </c>
      <c r="AJ287" s="0" t="s">
        <v>227</v>
      </c>
      <c r="AK287" s="0" t="s">
        <v>227</v>
      </c>
      <c r="AL287" s="0" t="s">
        <v>227</v>
      </c>
      <c r="AN287" s="0" t="s">
        <v>227</v>
      </c>
      <c r="AO287" s="0" t="s">
        <v>227</v>
      </c>
      <c r="AP287" s="0" t="s">
        <v>227</v>
      </c>
      <c r="AQ287" s="0" t="s">
        <v>227</v>
      </c>
      <c r="AR287" s="0" t="s">
        <v>227</v>
      </c>
      <c r="AS287" s="0" t="s">
        <v>227</v>
      </c>
      <c r="AT287" s="0" t="s">
        <v>227</v>
      </c>
      <c r="AU287" s="0" t="s">
        <v>227</v>
      </c>
      <c r="AV287" s="0" t="s">
        <v>227</v>
      </c>
      <c r="AW287" s="0" t="s">
        <v>227</v>
      </c>
      <c r="AX287" s="0" t="s">
        <v>227</v>
      </c>
      <c r="AY287" s="0" t="s">
        <v>227</v>
      </c>
      <c r="AZ287" s="0" t="s">
        <v>227</v>
      </c>
      <c r="BA287" s="0" t="s">
        <v>227</v>
      </c>
      <c r="BB287" s="0" t="s">
        <v>227</v>
      </c>
      <c r="BC287" s="0" t="s">
        <v>227</v>
      </c>
      <c r="BD287" s="0" t="s">
        <v>227</v>
      </c>
      <c r="BE287" s="0" t="s">
        <v>6155</v>
      </c>
      <c r="BF287" s="0" t="s">
        <v>5697</v>
      </c>
      <c r="BG287" s="0" t="s">
        <v>112</v>
      </c>
      <c r="BH287" s="0" t="s">
        <v>5690</v>
      </c>
      <c r="BI287" s="0" t="s">
        <v>5691</v>
      </c>
      <c r="BJ287" s="0" t="s">
        <v>227</v>
      </c>
      <c r="BK287" s="0" t="s">
        <v>5692</v>
      </c>
      <c r="BL287" s="0" t="s">
        <v>354</v>
      </c>
      <c r="BM287" s="0" t="s">
        <v>354</v>
      </c>
      <c r="BN287" s="0" t="s">
        <v>5693</v>
      </c>
      <c r="BO287" s="0" t="s">
        <v>5684</v>
      </c>
      <c r="BP287" s="0" t="s">
        <v>5694</v>
      </c>
      <c r="BQ287" s="0" t="s">
        <v>5692</v>
      </c>
      <c r="BR287" s="0" t="s">
        <v>5692</v>
      </c>
      <c r="BS287" s="0" t="s">
        <v>227</v>
      </c>
      <c r="BT287" s="0" t="s">
        <v>6206</v>
      </c>
      <c r="CS287" s="0" t="s">
        <v>5759</v>
      </c>
      <c r="CT287" s="0" t="s">
        <v>5679</v>
      </c>
      <c r="CU287" s="0" t="s">
        <v>5680</v>
      </c>
      <c r="CV287" s="0" t="s">
        <v>430</v>
      </c>
      <c r="CW287" s="0" t="s">
        <v>5699</v>
      </c>
      <c r="CX287" s="0" t="s">
        <v>431</v>
      </c>
      <c r="CY287" s="0" t="s">
        <v>430</v>
      </c>
      <c r="CZ287" s="0" t="s">
        <v>432</v>
      </c>
      <c r="DA287" s="0" t="s">
        <v>433</v>
      </c>
      <c r="DB287" s="0" t="s">
        <v>5700</v>
      </c>
      <c r="DC287" s="0" t="s">
        <v>373</v>
      </c>
      <c r="DD287" s="0" t="s">
        <v>290</v>
      </c>
      <c r="DE287" s="0" t="s">
        <v>1035</v>
      </c>
    </row>
    <row customHeight="1" ht="11.25">
      <c r="A288" s="1806" t="s">
        <v>227</v>
      </c>
      <c r="B288" s="0" t="s">
        <v>227</v>
      </c>
      <c r="C288" s="0" t="s">
        <v>227</v>
      </c>
      <c r="D288" s="0" t="s">
        <v>227</v>
      </c>
      <c r="E288" s="0" t="s">
        <v>227</v>
      </c>
      <c r="F288" s="0" t="s">
        <v>227</v>
      </c>
      <c r="G288" s="0" t="s">
        <v>227</v>
      </c>
      <c r="H288" s="0" t="s">
        <v>227</v>
      </c>
      <c r="I288" s="0" t="s">
        <v>6198</v>
      </c>
      <c r="J288" s="0" t="s">
        <v>227</v>
      </c>
      <c r="K288" s="0" t="s">
        <v>227</v>
      </c>
      <c r="L288" s="0" t="s">
        <v>227</v>
      </c>
      <c r="M288" s="0" t="s">
        <v>227</v>
      </c>
      <c r="N288" s="0" t="s">
        <v>227</v>
      </c>
      <c r="O288" s="0" t="s">
        <v>227</v>
      </c>
      <c r="P288" s="0" t="s">
        <v>227</v>
      </c>
      <c r="Q288" s="0" t="s">
        <v>227</v>
      </c>
      <c r="R288" s="0" t="s">
        <v>1044</v>
      </c>
      <c r="S288" s="0" t="s">
        <v>227</v>
      </c>
      <c r="T288" s="0" t="s">
        <v>227</v>
      </c>
      <c r="U288" s="0" t="s">
        <v>102</v>
      </c>
      <c r="V288" s="0" t="s">
        <v>227</v>
      </c>
      <c r="W288" s="0" t="s">
        <v>227</v>
      </c>
      <c r="X288" s="0" t="s">
        <v>5683</v>
      </c>
      <c r="Y288" s="0" t="s">
        <v>227</v>
      </c>
      <c r="Z288" s="0" t="s">
        <v>152</v>
      </c>
      <c r="AA288" s="0" t="s">
        <v>152</v>
      </c>
      <c r="AB288" s="0" t="s">
        <v>161</v>
      </c>
      <c r="AC288" s="0" t="s">
        <v>354</v>
      </c>
      <c r="AD288" s="0" t="s">
        <v>354</v>
      </c>
      <c r="AE288" s="0" t="s">
        <v>355</v>
      </c>
      <c r="AF288" s="0" t="s">
        <v>5684</v>
      </c>
      <c r="AG288" s="0" t="s">
        <v>5685</v>
      </c>
      <c r="AH288" s="0" t="s">
        <v>6249</v>
      </c>
      <c r="AI288" s="0" t="s">
        <v>5692</v>
      </c>
      <c r="AJ288" s="0" t="s">
        <v>227</v>
      </c>
      <c r="AK288" s="0" t="s">
        <v>227</v>
      </c>
      <c r="AL288" s="0" t="s">
        <v>227</v>
      </c>
      <c r="AN288" s="0" t="s">
        <v>227</v>
      </c>
      <c r="AO288" s="0" t="s">
        <v>227</v>
      </c>
      <c r="AP288" s="0" t="s">
        <v>227</v>
      </c>
      <c r="AQ288" s="0" t="s">
        <v>227</v>
      </c>
      <c r="AR288" s="0" t="s">
        <v>227</v>
      </c>
      <c r="AS288" s="0" t="s">
        <v>227</v>
      </c>
      <c r="AT288" s="0" t="s">
        <v>227</v>
      </c>
      <c r="AU288" s="0" t="s">
        <v>227</v>
      </c>
      <c r="AV288" s="0" t="s">
        <v>227</v>
      </c>
      <c r="AW288" s="0" t="s">
        <v>227</v>
      </c>
      <c r="AX288" s="0" t="s">
        <v>227</v>
      </c>
      <c r="AY288" s="0" t="s">
        <v>227</v>
      </c>
      <c r="AZ288" s="0" t="s">
        <v>227</v>
      </c>
      <c r="BA288" s="0" t="s">
        <v>227</v>
      </c>
      <c r="BB288" s="0" t="s">
        <v>227</v>
      </c>
      <c r="BC288" s="0" t="s">
        <v>227</v>
      </c>
      <c r="BD288" s="0" t="s">
        <v>227</v>
      </c>
      <c r="BE288" s="0" t="s">
        <v>6216</v>
      </c>
      <c r="BF288" s="0" t="s">
        <v>5697</v>
      </c>
      <c r="BG288" s="0" t="s">
        <v>112</v>
      </c>
      <c r="BH288" s="0" t="s">
        <v>5690</v>
      </c>
      <c r="BI288" s="0" t="s">
        <v>5691</v>
      </c>
      <c r="BJ288" s="0" t="s">
        <v>227</v>
      </c>
      <c r="BK288" s="0" t="s">
        <v>5692</v>
      </c>
      <c r="BL288" s="0" t="s">
        <v>354</v>
      </c>
      <c r="BM288" s="0" t="s">
        <v>354</v>
      </c>
      <c r="BN288" s="0" t="s">
        <v>5693</v>
      </c>
      <c r="BO288" s="0" t="s">
        <v>5684</v>
      </c>
      <c r="BP288" s="0" t="s">
        <v>5694</v>
      </c>
      <c r="BQ288" s="0" t="s">
        <v>5692</v>
      </c>
      <c r="BR288" s="0" t="s">
        <v>5692</v>
      </c>
      <c r="BS288" s="0" t="s">
        <v>227</v>
      </c>
      <c r="BT288" s="0" t="s">
        <v>6210</v>
      </c>
      <c r="CS288" s="0" t="s">
        <v>5759</v>
      </c>
      <c r="CT288" s="0" t="s">
        <v>5679</v>
      </c>
      <c r="CU288" s="0" t="s">
        <v>5680</v>
      </c>
      <c r="CV288" s="0" t="s">
        <v>430</v>
      </c>
      <c r="CW288" s="0" t="s">
        <v>5699</v>
      </c>
      <c r="CX288" s="0" t="s">
        <v>431</v>
      </c>
      <c r="CY288" s="0" t="s">
        <v>430</v>
      </c>
      <c r="CZ288" s="0" t="s">
        <v>432</v>
      </c>
      <c r="DA288" s="0" t="s">
        <v>433</v>
      </c>
      <c r="DB288" s="0" t="s">
        <v>5700</v>
      </c>
      <c r="DC288" s="0" t="s">
        <v>373</v>
      </c>
      <c r="DD288" s="0" t="s">
        <v>290</v>
      </c>
      <c r="DE288" s="0" t="s">
        <v>1041</v>
      </c>
    </row>
    <row customHeight="1" ht="11.25">
      <c r="A289" s="1806" t="s">
        <v>227</v>
      </c>
      <c r="B289" s="0" t="s">
        <v>227</v>
      </c>
      <c r="C289" s="0" t="s">
        <v>227</v>
      </c>
      <c r="D289" s="0" t="s">
        <v>227</v>
      </c>
      <c r="E289" s="0" t="s">
        <v>227</v>
      </c>
      <c r="F289" s="0" t="s">
        <v>227</v>
      </c>
      <c r="G289" s="0" t="s">
        <v>227</v>
      </c>
      <c r="H289" s="0" t="s">
        <v>227</v>
      </c>
      <c r="I289" s="0" t="s">
        <v>6198</v>
      </c>
      <c r="J289" s="0" t="s">
        <v>227</v>
      </c>
      <c r="K289" s="0" t="s">
        <v>227</v>
      </c>
      <c r="L289" s="0" t="s">
        <v>227</v>
      </c>
      <c r="M289" s="0" t="s">
        <v>227</v>
      </c>
      <c r="N289" s="0" t="s">
        <v>227</v>
      </c>
      <c r="O289" s="0" t="s">
        <v>227</v>
      </c>
      <c r="P289" s="0" t="s">
        <v>227</v>
      </c>
      <c r="Q289" s="0" t="s">
        <v>227</v>
      </c>
      <c r="R289" s="0" t="s">
        <v>1094</v>
      </c>
      <c r="S289" s="0" t="s">
        <v>227</v>
      </c>
      <c r="T289" s="0" t="s">
        <v>227</v>
      </c>
      <c r="U289" s="0" t="s">
        <v>102</v>
      </c>
      <c r="V289" s="0" t="s">
        <v>227</v>
      </c>
      <c r="W289" s="0" t="s">
        <v>227</v>
      </c>
      <c r="X289" s="0" t="s">
        <v>5683</v>
      </c>
      <c r="Y289" s="0" t="s">
        <v>227</v>
      </c>
      <c r="Z289" s="0" t="s">
        <v>152</v>
      </c>
      <c r="AA289" s="0" t="s">
        <v>152</v>
      </c>
      <c r="AB289" s="0" t="s">
        <v>161</v>
      </c>
      <c r="AC289" s="0" t="s">
        <v>354</v>
      </c>
      <c r="AD289" s="0" t="s">
        <v>354</v>
      </c>
      <c r="AE289" s="0" t="s">
        <v>355</v>
      </c>
      <c r="AF289" s="0" t="s">
        <v>5684</v>
      </c>
      <c r="AG289" s="0" t="s">
        <v>5685</v>
      </c>
      <c r="AH289" s="0" t="s">
        <v>5809</v>
      </c>
      <c r="AI289" s="0" t="s">
        <v>6293</v>
      </c>
      <c r="AJ289" s="0" t="s">
        <v>227</v>
      </c>
      <c r="AK289" s="0" t="s">
        <v>227</v>
      </c>
      <c r="AL289" s="0" t="s">
        <v>227</v>
      </c>
      <c r="AN289" s="0" t="s">
        <v>227</v>
      </c>
      <c r="AO289" s="0" t="s">
        <v>227</v>
      </c>
      <c r="AP289" s="0" t="s">
        <v>227</v>
      </c>
      <c r="AQ289" s="0" t="s">
        <v>227</v>
      </c>
      <c r="AR289" s="0" t="s">
        <v>227</v>
      </c>
      <c r="AS289" s="0" t="s">
        <v>227</v>
      </c>
      <c r="AT289" s="0" t="s">
        <v>227</v>
      </c>
      <c r="AU289" s="0" t="s">
        <v>227</v>
      </c>
      <c r="AV289" s="0" t="s">
        <v>227</v>
      </c>
      <c r="AW289" s="0" t="s">
        <v>227</v>
      </c>
      <c r="AX289" s="0" t="s">
        <v>227</v>
      </c>
      <c r="AY289" s="0" t="s">
        <v>227</v>
      </c>
      <c r="AZ289" s="0" t="s">
        <v>227</v>
      </c>
      <c r="BA289" s="0" t="s">
        <v>227</v>
      </c>
      <c r="BB289" s="0" t="s">
        <v>227</v>
      </c>
      <c r="BC289" s="0" t="s">
        <v>227</v>
      </c>
      <c r="BD289" s="0" t="s">
        <v>227</v>
      </c>
      <c r="BE289" s="0" t="s">
        <v>6155</v>
      </c>
      <c r="BF289" s="0" t="s">
        <v>5697</v>
      </c>
      <c r="BG289" s="0" t="s">
        <v>112</v>
      </c>
      <c r="BH289" s="0" t="s">
        <v>5690</v>
      </c>
      <c r="BI289" s="0" t="s">
        <v>5691</v>
      </c>
      <c r="BJ289" s="0" t="s">
        <v>227</v>
      </c>
      <c r="BK289" s="0" t="s">
        <v>5692</v>
      </c>
      <c r="BL289" s="0" t="s">
        <v>354</v>
      </c>
      <c r="BM289" s="0" t="s">
        <v>354</v>
      </c>
      <c r="BN289" s="0" t="s">
        <v>5693</v>
      </c>
      <c r="BO289" s="0" t="s">
        <v>5684</v>
      </c>
      <c r="BP289" s="0" t="s">
        <v>5694</v>
      </c>
      <c r="BQ289" s="0" t="s">
        <v>5692</v>
      </c>
      <c r="BR289" s="0" t="s">
        <v>5692</v>
      </c>
      <c r="BS289" s="0" t="s">
        <v>227</v>
      </c>
      <c r="BT289" s="0" t="s">
        <v>6210</v>
      </c>
      <c r="CS289" s="0" t="s">
        <v>5759</v>
      </c>
      <c r="CT289" s="0" t="s">
        <v>5679</v>
      </c>
      <c r="CU289" s="0" t="s">
        <v>5680</v>
      </c>
      <c r="CV289" s="0" t="s">
        <v>430</v>
      </c>
      <c r="CW289" s="0" t="s">
        <v>5699</v>
      </c>
      <c r="CX289" s="0" t="s">
        <v>431</v>
      </c>
      <c r="CY289" s="0" t="s">
        <v>430</v>
      </c>
      <c r="CZ289" s="0" t="s">
        <v>432</v>
      </c>
      <c r="DA289" s="0" t="s">
        <v>433</v>
      </c>
      <c r="DB289" s="0" t="s">
        <v>5700</v>
      </c>
      <c r="DC289" s="0" t="s">
        <v>373</v>
      </c>
      <c r="DD289" s="0" t="s">
        <v>290</v>
      </c>
      <c r="DE289" s="0" t="s">
        <v>1095</v>
      </c>
    </row>
    <row customHeight="1" ht="11.25">
      <c r="A290" s="1806" t="s">
        <v>227</v>
      </c>
      <c r="B290" s="0" t="s">
        <v>227</v>
      </c>
      <c r="C290" s="0" t="s">
        <v>227</v>
      </c>
      <c r="D290" s="0" t="s">
        <v>227</v>
      </c>
      <c r="E290" s="0" t="s">
        <v>227</v>
      </c>
      <c r="F290" s="0" t="s">
        <v>227</v>
      </c>
      <c r="G290" s="0" t="s">
        <v>227</v>
      </c>
      <c r="H290" s="0" t="s">
        <v>227</v>
      </c>
      <c r="I290" s="0" t="s">
        <v>6198</v>
      </c>
      <c r="J290" s="0" t="s">
        <v>227</v>
      </c>
      <c r="K290" s="0" t="s">
        <v>227</v>
      </c>
      <c r="L290" s="0" t="s">
        <v>227</v>
      </c>
      <c r="M290" s="0" t="s">
        <v>227</v>
      </c>
      <c r="N290" s="0" t="s">
        <v>227</v>
      </c>
      <c r="O290" s="0" t="s">
        <v>227</v>
      </c>
      <c r="P290" s="0" t="s">
        <v>227</v>
      </c>
      <c r="Q290" s="0" t="s">
        <v>227</v>
      </c>
      <c r="R290" s="0" t="s">
        <v>1119</v>
      </c>
      <c r="S290" s="0" t="s">
        <v>227</v>
      </c>
      <c r="T290" s="0" t="s">
        <v>227</v>
      </c>
      <c r="U290" s="0" t="s">
        <v>102</v>
      </c>
      <c r="V290" s="0" t="s">
        <v>227</v>
      </c>
      <c r="W290" s="0" t="s">
        <v>227</v>
      </c>
      <c r="X290" s="0" t="s">
        <v>5683</v>
      </c>
      <c r="Y290" s="0" t="s">
        <v>227</v>
      </c>
      <c r="Z290" s="0" t="s">
        <v>152</v>
      </c>
      <c r="AA290" s="0" t="s">
        <v>152</v>
      </c>
      <c r="AB290" s="0" t="s">
        <v>161</v>
      </c>
      <c r="AC290" s="0" t="s">
        <v>354</v>
      </c>
      <c r="AD290" s="0" t="s">
        <v>354</v>
      </c>
      <c r="AE290" s="0" t="s">
        <v>355</v>
      </c>
      <c r="AF290" s="0" t="s">
        <v>5684</v>
      </c>
      <c r="AG290" s="0" t="s">
        <v>5685</v>
      </c>
      <c r="AH290" s="0" t="s">
        <v>5809</v>
      </c>
      <c r="AI290" s="0" t="s">
        <v>6294</v>
      </c>
      <c r="AJ290" s="0" t="s">
        <v>227</v>
      </c>
      <c r="AK290" s="0" t="s">
        <v>227</v>
      </c>
      <c r="AL290" s="0" t="s">
        <v>227</v>
      </c>
      <c r="AN290" s="0" t="s">
        <v>227</v>
      </c>
      <c r="AO290" s="0" t="s">
        <v>227</v>
      </c>
      <c r="AP290" s="0" t="s">
        <v>227</v>
      </c>
      <c r="AQ290" s="0" t="s">
        <v>227</v>
      </c>
      <c r="AR290" s="0" t="s">
        <v>227</v>
      </c>
      <c r="AS290" s="0" t="s">
        <v>227</v>
      </c>
      <c r="AT290" s="0" t="s">
        <v>227</v>
      </c>
      <c r="AU290" s="0" t="s">
        <v>227</v>
      </c>
      <c r="AV290" s="0" t="s">
        <v>227</v>
      </c>
      <c r="AW290" s="0" t="s">
        <v>227</v>
      </c>
      <c r="AX290" s="0" t="s">
        <v>227</v>
      </c>
      <c r="AY290" s="0" t="s">
        <v>227</v>
      </c>
      <c r="AZ290" s="0" t="s">
        <v>227</v>
      </c>
      <c r="BA290" s="0" t="s">
        <v>227</v>
      </c>
      <c r="BB290" s="0" t="s">
        <v>227</v>
      </c>
      <c r="BC290" s="0" t="s">
        <v>227</v>
      </c>
      <c r="BD290" s="0" t="s">
        <v>227</v>
      </c>
      <c r="BE290" s="0" t="s">
        <v>6155</v>
      </c>
      <c r="BF290" s="0" t="s">
        <v>5697</v>
      </c>
      <c r="BG290" s="0" t="s">
        <v>112</v>
      </c>
      <c r="BH290" s="0" t="s">
        <v>5690</v>
      </c>
      <c r="BI290" s="0" t="s">
        <v>5691</v>
      </c>
      <c r="BJ290" s="0" t="s">
        <v>227</v>
      </c>
      <c r="BK290" s="0" t="s">
        <v>5692</v>
      </c>
      <c r="BL290" s="0" t="s">
        <v>354</v>
      </c>
      <c r="BM290" s="0" t="s">
        <v>354</v>
      </c>
      <c r="BN290" s="0" t="s">
        <v>5693</v>
      </c>
      <c r="BO290" s="0" t="s">
        <v>5684</v>
      </c>
      <c r="BP290" s="0" t="s">
        <v>5694</v>
      </c>
      <c r="BQ290" s="0" t="s">
        <v>5692</v>
      </c>
      <c r="BR290" s="0" t="s">
        <v>5692</v>
      </c>
      <c r="BS290" s="0" t="s">
        <v>227</v>
      </c>
      <c r="BT290" s="0" t="s">
        <v>6210</v>
      </c>
      <c r="CS290" s="0" t="s">
        <v>5759</v>
      </c>
      <c r="CT290" s="0" t="s">
        <v>5679</v>
      </c>
      <c r="CU290" s="0" t="s">
        <v>5680</v>
      </c>
      <c r="CV290" s="0" t="s">
        <v>430</v>
      </c>
      <c r="CW290" s="0" t="s">
        <v>5699</v>
      </c>
      <c r="CX290" s="0" t="s">
        <v>431</v>
      </c>
      <c r="CY290" s="0" t="s">
        <v>430</v>
      </c>
      <c r="CZ290" s="0" t="s">
        <v>432</v>
      </c>
      <c r="DA290" s="0" t="s">
        <v>433</v>
      </c>
      <c r="DB290" s="0" t="s">
        <v>5700</v>
      </c>
      <c r="DC290" s="0" t="s">
        <v>373</v>
      </c>
      <c r="DD290" s="0" t="s">
        <v>290</v>
      </c>
      <c r="DE290" s="0" t="s">
        <v>1120</v>
      </c>
    </row>
    <row customHeight="1" ht="11.25">
      <c r="A291" s="1806" t="s">
        <v>227</v>
      </c>
      <c r="B291" s="0" t="s">
        <v>227</v>
      </c>
      <c r="C291" s="0" t="s">
        <v>227</v>
      </c>
      <c r="D291" s="0" t="s">
        <v>227</v>
      </c>
      <c r="E291" s="0" t="s">
        <v>227</v>
      </c>
      <c r="F291" s="0" t="s">
        <v>227</v>
      </c>
      <c r="G291" s="0" t="s">
        <v>227</v>
      </c>
      <c r="H291" s="0" t="s">
        <v>227</v>
      </c>
      <c r="I291" s="0" t="s">
        <v>6198</v>
      </c>
      <c r="J291" s="0" t="s">
        <v>227</v>
      </c>
      <c r="K291" s="0" t="s">
        <v>227</v>
      </c>
      <c r="L291" s="0" t="s">
        <v>227</v>
      </c>
      <c r="M291" s="0" t="s">
        <v>227</v>
      </c>
      <c r="N291" s="0" t="s">
        <v>227</v>
      </c>
      <c r="O291" s="0" t="s">
        <v>227</v>
      </c>
      <c r="P291" s="0" t="s">
        <v>227</v>
      </c>
      <c r="Q291" s="0" t="s">
        <v>227</v>
      </c>
      <c r="R291" s="0" t="s">
        <v>1059</v>
      </c>
      <c r="S291" s="0" t="s">
        <v>227</v>
      </c>
      <c r="T291" s="0" t="s">
        <v>227</v>
      </c>
      <c r="U291" s="0" t="s">
        <v>102</v>
      </c>
      <c r="V291" s="0" t="s">
        <v>227</v>
      </c>
      <c r="W291" s="0" t="s">
        <v>227</v>
      </c>
      <c r="X291" s="0" t="s">
        <v>5683</v>
      </c>
      <c r="Y291" s="0" t="s">
        <v>227</v>
      </c>
      <c r="Z291" s="0" t="s">
        <v>152</v>
      </c>
      <c r="AA291" s="0" t="s">
        <v>152</v>
      </c>
      <c r="AB291" s="0" t="s">
        <v>161</v>
      </c>
      <c r="AC291" s="0" t="s">
        <v>354</v>
      </c>
      <c r="AD291" s="0" t="s">
        <v>354</v>
      </c>
      <c r="AE291" s="0" t="s">
        <v>355</v>
      </c>
      <c r="AF291" s="0" t="s">
        <v>5684</v>
      </c>
      <c r="AG291" s="0" t="s">
        <v>5685</v>
      </c>
      <c r="AH291" s="0" t="s">
        <v>5949</v>
      </c>
      <c r="AI291" s="0" t="s">
        <v>6295</v>
      </c>
      <c r="AJ291" s="0" t="s">
        <v>227</v>
      </c>
      <c r="AK291" s="0" t="s">
        <v>227</v>
      </c>
      <c r="AL291" s="0" t="s">
        <v>227</v>
      </c>
      <c r="AN291" s="0" t="s">
        <v>227</v>
      </c>
      <c r="AO291" s="0" t="s">
        <v>227</v>
      </c>
      <c r="AP291" s="0" t="s">
        <v>227</v>
      </c>
      <c r="AQ291" s="0" t="s">
        <v>227</v>
      </c>
      <c r="AR291" s="0" t="s">
        <v>227</v>
      </c>
      <c r="AS291" s="0" t="s">
        <v>227</v>
      </c>
      <c r="AT291" s="0" t="s">
        <v>227</v>
      </c>
      <c r="AU291" s="0" t="s">
        <v>227</v>
      </c>
      <c r="AV291" s="0" t="s">
        <v>227</v>
      </c>
      <c r="AW291" s="0" t="s">
        <v>227</v>
      </c>
      <c r="AX291" s="0" t="s">
        <v>227</v>
      </c>
      <c r="AY291" s="0" t="s">
        <v>227</v>
      </c>
      <c r="AZ291" s="0" t="s">
        <v>227</v>
      </c>
      <c r="BA291" s="0" t="s">
        <v>227</v>
      </c>
      <c r="BB291" s="0" t="s">
        <v>227</v>
      </c>
      <c r="BC291" s="0" t="s">
        <v>227</v>
      </c>
      <c r="BD291" s="0" t="s">
        <v>227</v>
      </c>
      <c r="BE291" s="0" t="s">
        <v>6155</v>
      </c>
      <c r="BF291" s="0" t="s">
        <v>5697</v>
      </c>
      <c r="BG291" s="0" t="s">
        <v>112</v>
      </c>
      <c r="BH291" s="0" t="s">
        <v>5690</v>
      </c>
      <c r="BI291" s="0" t="s">
        <v>5691</v>
      </c>
      <c r="BJ291" s="0" t="s">
        <v>227</v>
      </c>
      <c r="BK291" s="0" t="s">
        <v>5692</v>
      </c>
      <c r="BL291" s="0" t="s">
        <v>354</v>
      </c>
      <c r="BM291" s="0" t="s">
        <v>354</v>
      </c>
      <c r="BN291" s="0" t="s">
        <v>5693</v>
      </c>
      <c r="BO291" s="0" t="s">
        <v>5684</v>
      </c>
      <c r="BP291" s="0" t="s">
        <v>5694</v>
      </c>
      <c r="BQ291" s="0" t="s">
        <v>5692</v>
      </c>
      <c r="BR291" s="0" t="s">
        <v>5692</v>
      </c>
      <c r="BS291" s="0" t="s">
        <v>227</v>
      </c>
      <c r="BT291" s="0" t="s">
        <v>6210</v>
      </c>
      <c r="CS291" s="0" t="s">
        <v>5759</v>
      </c>
      <c r="CT291" s="0" t="s">
        <v>5679</v>
      </c>
      <c r="CU291" s="0" t="s">
        <v>5680</v>
      </c>
      <c r="CV291" s="0" t="s">
        <v>430</v>
      </c>
      <c r="CW291" s="0" t="s">
        <v>5699</v>
      </c>
      <c r="CX291" s="0" t="s">
        <v>431</v>
      </c>
      <c r="CY291" s="0" t="s">
        <v>430</v>
      </c>
      <c r="CZ291" s="0" t="s">
        <v>432</v>
      </c>
      <c r="DA291" s="0" t="s">
        <v>433</v>
      </c>
      <c r="DB291" s="0" t="s">
        <v>5700</v>
      </c>
      <c r="DC291" s="0" t="s">
        <v>373</v>
      </c>
      <c r="DD291" s="0" t="s">
        <v>290</v>
      </c>
      <c r="DE291" s="0" t="s">
        <v>1060</v>
      </c>
    </row>
    <row customHeight="1" ht="11.25">
      <c r="A292" s="1806" t="s">
        <v>227</v>
      </c>
      <c r="B292" s="0" t="s">
        <v>227</v>
      </c>
      <c r="C292" s="0" t="s">
        <v>227</v>
      </c>
      <c r="D292" s="0" t="s">
        <v>227</v>
      </c>
      <c r="E292" s="0" t="s">
        <v>227</v>
      </c>
      <c r="F292" s="0" t="s">
        <v>227</v>
      </c>
      <c r="G292" s="0" t="s">
        <v>227</v>
      </c>
      <c r="H292" s="0" t="s">
        <v>227</v>
      </c>
      <c r="I292" s="0" t="s">
        <v>6198</v>
      </c>
      <c r="J292" s="0" t="s">
        <v>227</v>
      </c>
      <c r="K292" s="0" t="s">
        <v>227</v>
      </c>
      <c r="L292" s="0" t="s">
        <v>227</v>
      </c>
      <c r="M292" s="0" t="s">
        <v>227</v>
      </c>
      <c r="N292" s="0" t="s">
        <v>227</v>
      </c>
      <c r="O292" s="0" t="s">
        <v>227</v>
      </c>
      <c r="P292" s="0" t="s">
        <v>227</v>
      </c>
      <c r="Q292" s="0" t="s">
        <v>227</v>
      </c>
      <c r="R292" s="0" t="s">
        <v>1061</v>
      </c>
      <c r="S292" s="0" t="s">
        <v>227</v>
      </c>
      <c r="T292" s="0" t="s">
        <v>227</v>
      </c>
      <c r="U292" s="0" t="s">
        <v>102</v>
      </c>
      <c r="V292" s="0" t="s">
        <v>227</v>
      </c>
      <c r="W292" s="0" t="s">
        <v>227</v>
      </c>
      <c r="X292" s="0" t="s">
        <v>5683</v>
      </c>
      <c r="Y292" s="0" t="s">
        <v>227</v>
      </c>
      <c r="Z292" s="0" t="s">
        <v>152</v>
      </c>
      <c r="AA292" s="0" t="s">
        <v>152</v>
      </c>
      <c r="AB292" s="0" t="s">
        <v>161</v>
      </c>
      <c r="AC292" s="0" t="s">
        <v>354</v>
      </c>
      <c r="AD292" s="0" t="s">
        <v>354</v>
      </c>
      <c r="AE292" s="0" t="s">
        <v>355</v>
      </c>
      <c r="AF292" s="0" t="s">
        <v>5684</v>
      </c>
      <c r="AG292" s="0" t="s">
        <v>5685</v>
      </c>
      <c r="AH292" s="0" t="s">
        <v>5949</v>
      </c>
      <c r="AI292" s="0" t="s">
        <v>6296</v>
      </c>
      <c r="AJ292" s="0" t="s">
        <v>227</v>
      </c>
      <c r="AK292" s="0" t="s">
        <v>227</v>
      </c>
      <c r="AL292" s="0" t="s">
        <v>227</v>
      </c>
      <c r="AN292" s="0" t="s">
        <v>227</v>
      </c>
      <c r="AO292" s="0" t="s">
        <v>227</v>
      </c>
      <c r="AP292" s="0" t="s">
        <v>227</v>
      </c>
      <c r="AQ292" s="0" t="s">
        <v>227</v>
      </c>
      <c r="AR292" s="0" t="s">
        <v>227</v>
      </c>
      <c r="AS292" s="0" t="s">
        <v>227</v>
      </c>
      <c r="AT292" s="0" t="s">
        <v>227</v>
      </c>
      <c r="AU292" s="0" t="s">
        <v>227</v>
      </c>
      <c r="AV292" s="0" t="s">
        <v>227</v>
      </c>
      <c r="AW292" s="0" t="s">
        <v>227</v>
      </c>
      <c r="AX292" s="0" t="s">
        <v>227</v>
      </c>
      <c r="AY292" s="0" t="s">
        <v>227</v>
      </c>
      <c r="AZ292" s="0" t="s">
        <v>227</v>
      </c>
      <c r="BA292" s="0" t="s">
        <v>227</v>
      </c>
      <c r="BB292" s="0" t="s">
        <v>227</v>
      </c>
      <c r="BC292" s="0" t="s">
        <v>227</v>
      </c>
      <c r="BD292" s="0" t="s">
        <v>227</v>
      </c>
      <c r="BE292" s="0" t="s">
        <v>6155</v>
      </c>
      <c r="BF292" s="0" t="s">
        <v>5697</v>
      </c>
      <c r="BG292" s="0" t="s">
        <v>112</v>
      </c>
      <c r="BH292" s="0" t="s">
        <v>5690</v>
      </c>
      <c r="BI292" s="0" t="s">
        <v>5691</v>
      </c>
      <c r="BJ292" s="0" t="s">
        <v>227</v>
      </c>
      <c r="BK292" s="0" t="s">
        <v>5692</v>
      </c>
      <c r="BL292" s="0" t="s">
        <v>354</v>
      </c>
      <c r="BM292" s="0" t="s">
        <v>354</v>
      </c>
      <c r="BN292" s="0" t="s">
        <v>5693</v>
      </c>
      <c r="BO292" s="0" t="s">
        <v>5684</v>
      </c>
      <c r="BP292" s="0" t="s">
        <v>5694</v>
      </c>
      <c r="BQ292" s="0" t="s">
        <v>5692</v>
      </c>
      <c r="BR292" s="0" t="s">
        <v>5692</v>
      </c>
      <c r="BS292" s="0" t="s">
        <v>227</v>
      </c>
      <c r="BT292" s="0" t="s">
        <v>6206</v>
      </c>
      <c r="CS292" s="0" t="s">
        <v>5759</v>
      </c>
      <c r="CT292" s="0" t="s">
        <v>5679</v>
      </c>
      <c r="CU292" s="0" t="s">
        <v>5680</v>
      </c>
      <c r="CV292" s="0" t="s">
        <v>430</v>
      </c>
      <c r="CW292" s="0" t="s">
        <v>5699</v>
      </c>
      <c r="CX292" s="0" t="s">
        <v>431</v>
      </c>
      <c r="CY292" s="0" t="s">
        <v>430</v>
      </c>
      <c r="CZ292" s="0" t="s">
        <v>432</v>
      </c>
      <c r="DA292" s="0" t="s">
        <v>433</v>
      </c>
      <c r="DB292" s="0" t="s">
        <v>5700</v>
      </c>
      <c r="DC292" s="0" t="s">
        <v>373</v>
      </c>
      <c r="DD292" s="0" t="s">
        <v>290</v>
      </c>
      <c r="DE292" s="0" t="s">
        <v>1062</v>
      </c>
    </row>
    <row customHeight="1" ht="11.25">
      <c r="A293" s="1806" t="s">
        <v>227</v>
      </c>
      <c r="B293" s="0" t="s">
        <v>227</v>
      </c>
      <c r="C293" s="0" t="s">
        <v>227</v>
      </c>
      <c r="D293" s="0" t="s">
        <v>227</v>
      </c>
      <c r="E293" s="0" t="s">
        <v>227</v>
      </c>
      <c r="F293" s="0" t="s">
        <v>227</v>
      </c>
      <c r="G293" s="0" t="s">
        <v>227</v>
      </c>
      <c r="H293" s="0" t="s">
        <v>227</v>
      </c>
      <c r="I293" s="0" t="s">
        <v>6198</v>
      </c>
      <c r="J293" s="0" t="s">
        <v>227</v>
      </c>
      <c r="K293" s="0" t="s">
        <v>227</v>
      </c>
      <c r="L293" s="0" t="s">
        <v>227</v>
      </c>
      <c r="M293" s="0" t="s">
        <v>227</v>
      </c>
      <c r="N293" s="0" t="s">
        <v>227</v>
      </c>
      <c r="O293" s="0" t="s">
        <v>227</v>
      </c>
      <c r="P293" s="0" t="s">
        <v>227</v>
      </c>
      <c r="Q293" s="0" t="s">
        <v>227</v>
      </c>
      <c r="R293" s="0" t="s">
        <v>1093</v>
      </c>
      <c r="S293" s="0" t="s">
        <v>227</v>
      </c>
      <c r="T293" s="0" t="s">
        <v>227</v>
      </c>
      <c r="U293" s="0" t="s">
        <v>102</v>
      </c>
      <c r="V293" s="0" t="s">
        <v>227</v>
      </c>
      <c r="W293" s="0" t="s">
        <v>227</v>
      </c>
      <c r="X293" s="0" t="s">
        <v>5683</v>
      </c>
      <c r="Y293" s="0" t="s">
        <v>227</v>
      </c>
      <c r="Z293" s="0" t="s">
        <v>152</v>
      </c>
      <c r="AA293" s="0" t="s">
        <v>152</v>
      </c>
      <c r="AB293" s="0" t="s">
        <v>161</v>
      </c>
      <c r="AC293" s="0" t="s">
        <v>354</v>
      </c>
      <c r="AD293" s="0" t="s">
        <v>354</v>
      </c>
      <c r="AE293" s="0" t="s">
        <v>355</v>
      </c>
      <c r="AF293" s="0" t="s">
        <v>5684</v>
      </c>
      <c r="AG293" s="0" t="s">
        <v>5685</v>
      </c>
      <c r="AH293" s="0" t="s">
        <v>6208</v>
      </c>
      <c r="AI293" s="0" t="s">
        <v>5692</v>
      </c>
      <c r="AJ293" s="0" t="s">
        <v>227</v>
      </c>
      <c r="AK293" s="0" t="s">
        <v>227</v>
      </c>
      <c r="AL293" s="0" t="s">
        <v>227</v>
      </c>
      <c r="AN293" s="0" t="s">
        <v>227</v>
      </c>
      <c r="AO293" s="0" t="s">
        <v>227</v>
      </c>
      <c r="AP293" s="0" t="s">
        <v>227</v>
      </c>
      <c r="AQ293" s="0" t="s">
        <v>227</v>
      </c>
      <c r="AR293" s="0" t="s">
        <v>227</v>
      </c>
      <c r="AS293" s="0" t="s">
        <v>227</v>
      </c>
      <c r="AT293" s="0" t="s">
        <v>227</v>
      </c>
      <c r="AU293" s="0" t="s">
        <v>227</v>
      </c>
      <c r="AV293" s="0" t="s">
        <v>227</v>
      </c>
      <c r="AW293" s="0" t="s">
        <v>227</v>
      </c>
      <c r="AX293" s="0" t="s">
        <v>227</v>
      </c>
      <c r="AY293" s="0" t="s">
        <v>227</v>
      </c>
      <c r="AZ293" s="0" t="s">
        <v>227</v>
      </c>
      <c r="BA293" s="0" t="s">
        <v>227</v>
      </c>
      <c r="BB293" s="0" t="s">
        <v>227</v>
      </c>
      <c r="BC293" s="0" t="s">
        <v>227</v>
      </c>
      <c r="BD293" s="0" t="s">
        <v>227</v>
      </c>
      <c r="BE293" s="0" t="s">
        <v>6209</v>
      </c>
      <c r="BF293" s="0" t="s">
        <v>5697</v>
      </c>
      <c r="BG293" s="0" t="s">
        <v>112</v>
      </c>
      <c r="BH293" s="0" t="s">
        <v>5690</v>
      </c>
      <c r="BI293" s="0" t="s">
        <v>5691</v>
      </c>
      <c r="BJ293" s="0" t="s">
        <v>227</v>
      </c>
      <c r="BK293" s="0" t="s">
        <v>5692</v>
      </c>
      <c r="BL293" s="0" t="s">
        <v>354</v>
      </c>
      <c r="BM293" s="0" t="s">
        <v>354</v>
      </c>
      <c r="BN293" s="0" t="s">
        <v>5693</v>
      </c>
      <c r="BO293" s="0" t="s">
        <v>5684</v>
      </c>
      <c r="BP293" s="0" t="s">
        <v>5694</v>
      </c>
      <c r="BQ293" s="0" t="s">
        <v>5692</v>
      </c>
      <c r="BR293" s="0" t="s">
        <v>5692</v>
      </c>
      <c r="BS293" s="0" t="s">
        <v>227</v>
      </c>
      <c r="BT293" s="0" t="s">
        <v>6210</v>
      </c>
      <c r="CS293" s="0" t="s">
        <v>5759</v>
      </c>
      <c r="CT293" s="0" t="s">
        <v>5679</v>
      </c>
      <c r="CU293" s="0" t="s">
        <v>5680</v>
      </c>
      <c r="CV293" s="0" t="s">
        <v>430</v>
      </c>
      <c r="CW293" s="0" t="s">
        <v>5699</v>
      </c>
      <c r="CX293" s="0" t="s">
        <v>431</v>
      </c>
      <c r="CY293" s="0" t="s">
        <v>430</v>
      </c>
      <c r="CZ293" s="0" t="s">
        <v>432</v>
      </c>
      <c r="DA293" s="0" t="s">
        <v>433</v>
      </c>
      <c r="DB293" s="0" t="s">
        <v>5700</v>
      </c>
      <c r="DC293" s="0" t="s">
        <v>373</v>
      </c>
      <c r="DD293" s="0" t="s">
        <v>290</v>
      </c>
      <c r="DE293" s="0" t="s">
        <v>1091</v>
      </c>
    </row>
    <row customHeight="1" ht="11.25">
      <c r="A294" s="1806" t="s">
        <v>227</v>
      </c>
      <c r="B294" s="0" t="s">
        <v>227</v>
      </c>
      <c r="C294" s="0" t="s">
        <v>227</v>
      </c>
      <c r="D294" s="0" t="s">
        <v>227</v>
      </c>
      <c r="E294" s="0" t="s">
        <v>227</v>
      </c>
      <c r="F294" s="0" t="s">
        <v>227</v>
      </c>
      <c r="G294" s="0" t="s">
        <v>227</v>
      </c>
      <c r="H294" s="0" t="s">
        <v>227</v>
      </c>
      <c r="I294" s="0" t="s">
        <v>6198</v>
      </c>
      <c r="J294" s="0" t="s">
        <v>227</v>
      </c>
      <c r="K294" s="0" t="s">
        <v>227</v>
      </c>
      <c r="L294" s="0" t="s">
        <v>227</v>
      </c>
      <c r="M294" s="0" t="s">
        <v>227</v>
      </c>
      <c r="N294" s="0" t="s">
        <v>227</v>
      </c>
      <c r="O294" s="0" t="s">
        <v>227</v>
      </c>
      <c r="P294" s="0" t="s">
        <v>227</v>
      </c>
      <c r="Q294" s="0" t="s">
        <v>227</v>
      </c>
      <c r="R294" s="0" t="s">
        <v>988</v>
      </c>
      <c r="S294" s="0" t="s">
        <v>227</v>
      </c>
      <c r="T294" s="0" t="s">
        <v>227</v>
      </c>
      <c r="U294" s="0" t="s">
        <v>102</v>
      </c>
      <c r="V294" s="0" t="s">
        <v>227</v>
      </c>
      <c r="W294" s="0" t="s">
        <v>227</v>
      </c>
      <c r="X294" s="0" t="s">
        <v>5683</v>
      </c>
      <c r="Y294" s="0" t="s">
        <v>227</v>
      </c>
      <c r="Z294" s="0" t="s">
        <v>152</v>
      </c>
      <c r="AA294" s="0" t="s">
        <v>152</v>
      </c>
      <c r="AB294" s="0" t="s">
        <v>161</v>
      </c>
      <c r="AC294" s="0" t="s">
        <v>354</v>
      </c>
      <c r="AD294" s="0" t="s">
        <v>354</v>
      </c>
      <c r="AE294" s="0" t="s">
        <v>355</v>
      </c>
      <c r="AF294" s="0" t="s">
        <v>5684</v>
      </c>
      <c r="AG294" s="0" t="s">
        <v>5685</v>
      </c>
      <c r="AH294" s="0" t="s">
        <v>6297</v>
      </c>
      <c r="AI294" s="0" t="s">
        <v>6298</v>
      </c>
      <c r="AJ294" s="0" t="s">
        <v>227</v>
      </c>
      <c r="AK294" s="0" t="s">
        <v>227</v>
      </c>
      <c r="AL294" s="0" t="s">
        <v>227</v>
      </c>
      <c r="AN294" s="0" t="s">
        <v>227</v>
      </c>
      <c r="AO294" s="0" t="s">
        <v>227</v>
      </c>
      <c r="AP294" s="0" t="s">
        <v>227</v>
      </c>
      <c r="AQ294" s="0" t="s">
        <v>227</v>
      </c>
      <c r="AR294" s="0" t="s">
        <v>227</v>
      </c>
      <c r="AS294" s="0" t="s">
        <v>227</v>
      </c>
      <c r="AT294" s="0" t="s">
        <v>227</v>
      </c>
      <c r="AU294" s="0" t="s">
        <v>227</v>
      </c>
      <c r="AV294" s="0" t="s">
        <v>227</v>
      </c>
      <c r="AW294" s="0" t="s">
        <v>227</v>
      </c>
      <c r="AX294" s="0" t="s">
        <v>227</v>
      </c>
      <c r="AY294" s="0" t="s">
        <v>227</v>
      </c>
      <c r="AZ294" s="0" t="s">
        <v>227</v>
      </c>
      <c r="BA294" s="0" t="s">
        <v>227</v>
      </c>
      <c r="BB294" s="0" t="s">
        <v>227</v>
      </c>
      <c r="BC294" s="0" t="s">
        <v>227</v>
      </c>
      <c r="BD294" s="0" t="s">
        <v>227</v>
      </c>
      <c r="BE294" s="0" t="s">
        <v>6209</v>
      </c>
      <c r="BF294" s="0" t="s">
        <v>5697</v>
      </c>
      <c r="BG294" s="0" t="s">
        <v>112</v>
      </c>
      <c r="BH294" s="0" t="s">
        <v>5690</v>
      </c>
      <c r="BI294" s="0" t="s">
        <v>5691</v>
      </c>
      <c r="BJ294" s="0" t="s">
        <v>227</v>
      </c>
      <c r="BK294" s="0" t="s">
        <v>5692</v>
      </c>
      <c r="BL294" s="0" t="s">
        <v>354</v>
      </c>
      <c r="BM294" s="0" t="s">
        <v>354</v>
      </c>
      <c r="BN294" s="0" t="s">
        <v>5693</v>
      </c>
      <c r="BO294" s="0" t="s">
        <v>5684</v>
      </c>
      <c r="BP294" s="0" t="s">
        <v>5694</v>
      </c>
      <c r="BQ294" s="0" t="s">
        <v>5692</v>
      </c>
      <c r="BR294" s="0" t="s">
        <v>5692</v>
      </c>
      <c r="BS294" s="0" t="s">
        <v>227</v>
      </c>
      <c r="BT294" s="0" t="s">
        <v>6210</v>
      </c>
      <c r="CS294" s="0" t="s">
        <v>5759</v>
      </c>
      <c r="CT294" s="0" t="s">
        <v>5679</v>
      </c>
      <c r="CU294" s="0" t="s">
        <v>5680</v>
      </c>
      <c r="CV294" s="0" t="s">
        <v>430</v>
      </c>
      <c r="CW294" s="0" t="s">
        <v>5699</v>
      </c>
      <c r="CX294" s="0" t="s">
        <v>431</v>
      </c>
      <c r="CY294" s="0" t="s">
        <v>430</v>
      </c>
      <c r="CZ294" s="0" t="s">
        <v>432</v>
      </c>
      <c r="DA294" s="0" t="s">
        <v>433</v>
      </c>
      <c r="DB294" s="0" t="s">
        <v>5700</v>
      </c>
      <c r="DC294" s="0" t="s">
        <v>373</v>
      </c>
      <c r="DD294" s="0" t="s">
        <v>290</v>
      </c>
      <c r="DE294" s="0" t="s">
        <v>989</v>
      </c>
    </row>
    <row customHeight="1" ht="11.25">
      <c r="A295" s="1806" t="s">
        <v>227</v>
      </c>
      <c r="B295" s="0" t="s">
        <v>227</v>
      </c>
      <c r="C295" s="0" t="s">
        <v>227</v>
      </c>
      <c r="D295" s="0" t="s">
        <v>227</v>
      </c>
      <c r="E295" s="0" t="s">
        <v>227</v>
      </c>
      <c r="F295" s="0" t="s">
        <v>227</v>
      </c>
      <c r="G295" s="0" t="s">
        <v>227</v>
      </c>
      <c r="H295" s="0" t="s">
        <v>227</v>
      </c>
      <c r="I295" s="0" t="s">
        <v>6198</v>
      </c>
      <c r="J295" s="0" t="s">
        <v>227</v>
      </c>
      <c r="K295" s="0" t="s">
        <v>227</v>
      </c>
      <c r="L295" s="0" t="s">
        <v>227</v>
      </c>
      <c r="M295" s="0" t="s">
        <v>227</v>
      </c>
      <c r="N295" s="0" t="s">
        <v>227</v>
      </c>
      <c r="O295" s="0" t="s">
        <v>227</v>
      </c>
      <c r="P295" s="0" t="s">
        <v>227</v>
      </c>
      <c r="Q295" s="0" t="s">
        <v>227</v>
      </c>
      <c r="R295" s="0" t="s">
        <v>1004</v>
      </c>
      <c r="S295" s="0" t="s">
        <v>227</v>
      </c>
      <c r="T295" s="0" t="s">
        <v>227</v>
      </c>
      <c r="U295" s="0" t="s">
        <v>102</v>
      </c>
      <c r="V295" s="0" t="s">
        <v>227</v>
      </c>
      <c r="W295" s="0" t="s">
        <v>227</v>
      </c>
      <c r="X295" s="0" t="s">
        <v>5683</v>
      </c>
      <c r="Y295" s="0" t="s">
        <v>227</v>
      </c>
      <c r="Z295" s="0" t="s">
        <v>152</v>
      </c>
      <c r="AA295" s="0" t="s">
        <v>152</v>
      </c>
      <c r="AB295" s="0" t="s">
        <v>161</v>
      </c>
      <c r="AC295" s="0" t="s">
        <v>354</v>
      </c>
      <c r="AD295" s="0" t="s">
        <v>354</v>
      </c>
      <c r="AE295" s="0" t="s">
        <v>355</v>
      </c>
      <c r="AF295" s="0" t="s">
        <v>5684</v>
      </c>
      <c r="AG295" s="0" t="s">
        <v>5685</v>
      </c>
      <c r="AH295" s="0" t="s">
        <v>6059</v>
      </c>
      <c r="AI295" s="0" t="s">
        <v>6299</v>
      </c>
      <c r="AJ295" s="0" t="s">
        <v>227</v>
      </c>
      <c r="AK295" s="0" t="s">
        <v>227</v>
      </c>
      <c r="AL295" s="0" t="s">
        <v>227</v>
      </c>
      <c r="AN295" s="0" t="s">
        <v>227</v>
      </c>
      <c r="AO295" s="0" t="s">
        <v>227</v>
      </c>
      <c r="AP295" s="0" t="s">
        <v>227</v>
      </c>
      <c r="AQ295" s="0" t="s">
        <v>227</v>
      </c>
      <c r="AR295" s="0" t="s">
        <v>227</v>
      </c>
      <c r="AS295" s="0" t="s">
        <v>227</v>
      </c>
      <c r="AT295" s="0" t="s">
        <v>227</v>
      </c>
      <c r="AU295" s="0" t="s">
        <v>227</v>
      </c>
      <c r="AV295" s="0" t="s">
        <v>227</v>
      </c>
      <c r="AW295" s="0" t="s">
        <v>227</v>
      </c>
      <c r="AX295" s="0" t="s">
        <v>227</v>
      </c>
      <c r="AY295" s="0" t="s">
        <v>227</v>
      </c>
      <c r="AZ295" s="0" t="s">
        <v>227</v>
      </c>
      <c r="BA295" s="0" t="s">
        <v>227</v>
      </c>
      <c r="BB295" s="0" t="s">
        <v>227</v>
      </c>
      <c r="BC295" s="0" t="s">
        <v>227</v>
      </c>
      <c r="BD295" s="0" t="s">
        <v>227</v>
      </c>
      <c r="BE295" s="0" t="s">
        <v>6155</v>
      </c>
      <c r="BF295" s="0" t="s">
        <v>5697</v>
      </c>
      <c r="BG295" s="0" t="s">
        <v>112</v>
      </c>
      <c r="BH295" s="0" t="s">
        <v>5690</v>
      </c>
      <c r="BI295" s="0" t="s">
        <v>5691</v>
      </c>
      <c r="BJ295" s="0" t="s">
        <v>227</v>
      </c>
      <c r="BK295" s="0" t="s">
        <v>5692</v>
      </c>
      <c r="BL295" s="0" t="s">
        <v>354</v>
      </c>
      <c r="BM295" s="0" t="s">
        <v>354</v>
      </c>
      <c r="BN295" s="0" t="s">
        <v>5693</v>
      </c>
      <c r="BO295" s="0" t="s">
        <v>5684</v>
      </c>
      <c r="BP295" s="0" t="s">
        <v>5694</v>
      </c>
      <c r="BQ295" s="0" t="s">
        <v>5692</v>
      </c>
      <c r="BR295" s="0" t="s">
        <v>5692</v>
      </c>
      <c r="BS295" s="0" t="s">
        <v>227</v>
      </c>
      <c r="BT295" s="0" t="s">
        <v>6206</v>
      </c>
      <c r="CS295" s="0" t="s">
        <v>5759</v>
      </c>
      <c r="CT295" s="0" t="s">
        <v>5679</v>
      </c>
      <c r="CU295" s="0" t="s">
        <v>5680</v>
      </c>
      <c r="CV295" s="0" t="s">
        <v>430</v>
      </c>
      <c r="CW295" s="0" t="s">
        <v>5699</v>
      </c>
      <c r="CX295" s="0" t="s">
        <v>431</v>
      </c>
      <c r="CY295" s="0" t="s">
        <v>430</v>
      </c>
      <c r="CZ295" s="0" t="s">
        <v>432</v>
      </c>
      <c r="DA295" s="0" t="s">
        <v>433</v>
      </c>
      <c r="DB295" s="0" t="s">
        <v>5700</v>
      </c>
      <c r="DC295" s="0" t="s">
        <v>373</v>
      </c>
      <c r="DD295" s="0" t="s">
        <v>290</v>
      </c>
      <c r="DE295" s="0" t="s">
        <v>1005</v>
      </c>
    </row>
    <row customHeight="1" ht="11.25">
      <c r="A296" s="1806" t="s">
        <v>227</v>
      </c>
      <c r="B296" s="0" t="s">
        <v>227</v>
      </c>
      <c r="C296" s="0" t="s">
        <v>227</v>
      </c>
      <c r="D296" s="0" t="s">
        <v>227</v>
      </c>
      <c r="E296" s="0" t="s">
        <v>227</v>
      </c>
      <c r="F296" s="0" t="s">
        <v>227</v>
      </c>
      <c r="G296" s="0" t="s">
        <v>227</v>
      </c>
      <c r="H296" s="0" t="s">
        <v>227</v>
      </c>
      <c r="I296" s="0" t="s">
        <v>6198</v>
      </c>
      <c r="J296" s="0" t="s">
        <v>227</v>
      </c>
      <c r="K296" s="0" t="s">
        <v>227</v>
      </c>
      <c r="L296" s="0" t="s">
        <v>227</v>
      </c>
      <c r="M296" s="0" t="s">
        <v>227</v>
      </c>
      <c r="N296" s="0" t="s">
        <v>227</v>
      </c>
      <c r="O296" s="0" t="s">
        <v>227</v>
      </c>
      <c r="P296" s="0" t="s">
        <v>227</v>
      </c>
      <c r="Q296" s="0" t="s">
        <v>227</v>
      </c>
      <c r="R296" s="0" t="s">
        <v>1045</v>
      </c>
      <c r="S296" s="0" t="s">
        <v>227</v>
      </c>
      <c r="T296" s="0" t="s">
        <v>227</v>
      </c>
      <c r="U296" s="0" t="s">
        <v>102</v>
      </c>
      <c r="V296" s="0" t="s">
        <v>227</v>
      </c>
      <c r="W296" s="0" t="s">
        <v>227</v>
      </c>
      <c r="X296" s="0" t="s">
        <v>5683</v>
      </c>
      <c r="Y296" s="0" t="s">
        <v>227</v>
      </c>
      <c r="Z296" s="0" t="s">
        <v>152</v>
      </c>
      <c r="AA296" s="0" t="s">
        <v>152</v>
      </c>
      <c r="AB296" s="0" t="s">
        <v>161</v>
      </c>
      <c r="AC296" s="0" t="s">
        <v>354</v>
      </c>
      <c r="AD296" s="0" t="s">
        <v>354</v>
      </c>
      <c r="AE296" s="0" t="s">
        <v>355</v>
      </c>
      <c r="AF296" s="0" t="s">
        <v>5684</v>
      </c>
      <c r="AG296" s="0" t="s">
        <v>5685</v>
      </c>
      <c r="AH296" s="0" t="s">
        <v>6249</v>
      </c>
      <c r="AI296" s="0" t="s">
        <v>5692</v>
      </c>
      <c r="AJ296" s="0" t="s">
        <v>227</v>
      </c>
      <c r="AK296" s="0" t="s">
        <v>227</v>
      </c>
      <c r="AL296" s="0" t="s">
        <v>227</v>
      </c>
      <c r="AN296" s="0" t="s">
        <v>227</v>
      </c>
      <c r="AO296" s="0" t="s">
        <v>227</v>
      </c>
      <c r="AP296" s="0" t="s">
        <v>227</v>
      </c>
      <c r="AQ296" s="0" t="s">
        <v>227</v>
      </c>
      <c r="AR296" s="0" t="s">
        <v>227</v>
      </c>
      <c r="AS296" s="0" t="s">
        <v>227</v>
      </c>
      <c r="AT296" s="0" t="s">
        <v>227</v>
      </c>
      <c r="AU296" s="0" t="s">
        <v>227</v>
      </c>
      <c r="AV296" s="0" t="s">
        <v>227</v>
      </c>
      <c r="AW296" s="0" t="s">
        <v>227</v>
      </c>
      <c r="AX296" s="0" t="s">
        <v>227</v>
      </c>
      <c r="AY296" s="0" t="s">
        <v>227</v>
      </c>
      <c r="AZ296" s="0" t="s">
        <v>227</v>
      </c>
      <c r="BA296" s="0" t="s">
        <v>227</v>
      </c>
      <c r="BB296" s="0" t="s">
        <v>227</v>
      </c>
      <c r="BC296" s="0" t="s">
        <v>227</v>
      </c>
      <c r="BD296" s="0" t="s">
        <v>227</v>
      </c>
      <c r="BE296" s="0" t="s">
        <v>6155</v>
      </c>
      <c r="BF296" s="0" t="s">
        <v>5697</v>
      </c>
      <c r="BG296" s="0" t="s">
        <v>112</v>
      </c>
      <c r="BH296" s="0" t="s">
        <v>5690</v>
      </c>
      <c r="BI296" s="0" t="s">
        <v>5691</v>
      </c>
      <c r="BJ296" s="0" t="s">
        <v>227</v>
      </c>
      <c r="BK296" s="0" t="s">
        <v>5692</v>
      </c>
      <c r="BL296" s="0" t="s">
        <v>354</v>
      </c>
      <c r="BM296" s="0" t="s">
        <v>354</v>
      </c>
      <c r="BN296" s="0" t="s">
        <v>5693</v>
      </c>
      <c r="BO296" s="0" t="s">
        <v>5684</v>
      </c>
      <c r="BP296" s="0" t="s">
        <v>5694</v>
      </c>
      <c r="BQ296" s="0" t="s">
        <v>5692</v>
      </c>
      <c r="BR296" s="0" t="s">
        <v>5692</v>
      </c>
      <c r="BS296" s="0" t="s">
        <v>227</v>
      </c>
      <c r="BT296" s="0" t="s">
        <v>6210</v>
      </c>
      <c r="CS296" s="0" t="s">
        <v>5759</v>
      </c>
      <c r="CT296" s="0" t="s">
        <v>5679</v>
      </c>
      <c r="CU296" s="0" t="s">
        <v>5680</v>
      </c>
      <c r="CV296" s="0" t="s">
        <v>430</v>
      </c>
      <c r="CW296" s="0" t="s">
        <v>5699</v>
      </c>
      <c r="CX296" s="0" t="s">
        <v>431</v>
      </c>
      <c r="CY296" s="0" t="s">
        <v>430</v>
      </c>
      <c r="CZ296" s="0" t="s">
        <v>432</v>
      </c>
      <c r="DA296" s="0" t="s">
        <v>433</v>
      </c>
      <c r="DB296" s="0" t="s">
        <v>5700</v>
      </c>
      <c r="DC296" s="0" t="s">
        <v>373</v>
      </c>
      <c r="DD296" s="0" t="s">
        <v>290</v>
      </c>
      <c r="DE296" s="0" t="s">
        <v>1041</v>
      </c>
    </row>
    <row customHeight="1" ht="11.25">
      <c r="A297" s="1806" t="s">
        <v>227</v>
      </c>
      <c r="B297" s="0" t="s">
        <v>227</v>
      </c>
      <c r="C297" s="0" t="s">
        <v>227</v>
      </c>
      <c r="D297" s="0" t="s">
        <v>227</v>
      </c>
      <c r="E297" s="0" t="s">
        <v>227</v>
      </c>
      <c r="F297" s="0" t="s">
        <v>227</v>
      </c>
      <c r="G297" s="0" t="s">
        <v>227</v>
      </c>
      <c r="H297" s="0" t="s">
        <v>227</v>
      </c>
      <c r="I297" s="0" t="s">
        <v>6198</v>
      </c>
      <c r="J297" s="0" t="s">
        <v>227</v>
      </c>
      <c r="K297" s="0" t="s">
        <v>227</v>
      </c>
      <c r="L297" s="0" t="s">
        <v>227</v>
      </c>
      <c r="M297" s="0" t="s">
        <v>227</v>
      </c>
      <c r="N297" s="0" t="s">
        <v>227</v>
      </c>
      <c r="O297" s="0" t="s">
        <v>227</v>
      </c>
      <c r="P297" s="0" t="s">
        <v>227</v>
      </c>
      <c r="Q297" s="0" t="s">
        <v>227</v>
      </c>
      <c r="R297" s="0" t="s">
        <v>1109</v>
      </c>
      <c r="S297" s="0" t="s">
        <v>227</v>
      </c>
      <c r="T297" s="0" t="s">
        <v>227</v>
      </c>
      <c r="U297" s="0" t="s">
        <v>102</v>
      </c>
      <c r="V297" s="0" t="s">
        <v>227</v>
      </c>
      <c r="W297" s="0" t="s">
        <v>227</v>
      </c>
      <c r="X297" s="0" t="s">
        <v>5683</v>
      </c>
      <c r="Y297" s="0" t="s">
        <v>227</v>
      </c>
      <c r="Z297" s="0" t="s">
        <v>152</v>
      </c>
      <c r="AA297" s="0" t="s">
        <v>152</v>
      </c>
      <c r="AB297" s="0" t="s">
        <v>161</v>
      </c>
      <c r="AC297" s="0" t="s">
        <v>354</v>
      </c>
      <c r="AD297" s="0" t="s">
        <v>354</v>
      </c>
      <c r="AE297" s="0" t="s">
        <v>355</v>
      </c>
      <c r="AF297" s="0" t="s">
        <v>5684</v>
      </c>
      <c r="AG297" s="0" t="s">
        <v>5685</v>
      </c>
      <c r="AH297" s="0" t="s">
        <v>5809</v>
      </c>
      <c r="AI297" s="0" t="s">
        <v>6300</v>
      </c>
      <c r="AJ297" s="0" t="s">
        <v>227</v>
      </c>
      <c r="AK297" s="0" t="s">
        <v>227</v>
      </c>
      <c r="AL297" s="0" t="s">
        <v>227</v>
      </c>
      <c r="AN297" s="0" t="s">
        <v>227</v>
      </c>
      <c r="AO297" s="0" t="s">
        <v>227</v>
      </c>
      <c r="AP297" s="0" t="s">
        <v>227</v>
      </c>
      <c r="AQ297" s="0" t="s">
        <v>227</v>
      </c>
      <c r="AR297" s="0" t="s">
        <v>227</v>
      </c>
      <c r="AS297" s="0" t="s">
        <v>227</v>
      </c>
      <c r="AT297" s="0" t="s">
        <v>227</v>
      </c>
      <c r="AU297" s="0" t="s">
        <v>227</v>
      </c>
      <c r="AV297" s="0" t="s">
        <v>227</v>
      </c>
      <c r="AW297" s="0" t="s">
        <v>227</v>
      </c>
      <c r="AX297" s="0" t="s">
        <v>227</v>
      </c>
      <c r="AY297" s="0" t="s">
        <v>227</v>
      </c>
      <c r="AZ297" s="0" t="s">
        <v>227</v>
      </c>
      <c r="BA297" s="0" t="s">
        <v>227</v>
      </c>
      <c r="BB297" s="0" t="s">
        <v>227</v>
      </c>
      <c r="BC297" s="0" t="s">
        <v>227</v>
      </c>
      <c r="BD297" s="0" t="s">
        <v>227</v>
      </c>
      <c r="BE297" s="0" t="s">
        <v>6155</v>
      </c>
      <c r="BF297" s="0" t="s">
        <v>5697</v>
      </c>
      <c r="BG297" s="0" t="s">
        <v>112</v>
      </c>
      <c r="BH297" s="0" t="s">
        <v>5690</v>
      </c>
      <c r="BI297" s="0" t="s">
        <v>5691</v>
      </c>
      <c r="BJ297" s="0" t="s">
        <v>227</v>
      </c>
      <c r="BK297" s="0" t="s">
        <v>5692</v>
      </c>
      <c r="BL297" s="0" t="s">
        <v>354</v>
      </c>
      <c r="BM297" s="0" t="s">
        <v>354</v>
      </c>
      <c r="BN297" s="0" t="s">
        <v>5693</v>
      </c>
      <c r="BO297" s="0" t="s">
        <v>5684</v>
      </c>
      <c r="BP297" s="0" t="s">
        <v>5694</v>
      </c>
      <c r="BQ297" s="0" t="s">
        <v>5692</v>
      </c>
      <c r="BR297" s="0" t="s">
        <v>5692</v>
      </c>
      <c r="BS297" s="0" t="s">
        <v>227</v>
      </c>
      <c r="BT297" s="0" t="s">
        <v>6210</v>
      </c>
      <c r="CS297" s="0" t="s">
        <v>5759</v>
      </c>
      <c r="CT297" s="0" t="s">
        <v>5679</v>
      </c>
      <c r="CU297" s="0" t="s">
        <v>5680</v>
      </c>
      <c r="CV297" s="0" t="s">
        <v>430</v>
      </c>
      <c r="CW297" s="0" t="s">
        <v>5699</v>
      </c>
      <c r="CX297" s="0" t="s">
        <v>431</v>
      </c>
      <c r="CY297" s="0" t="s">
        <v>430</v>
      </c>
      <c r="CZ297" s="0" t="s">
        <v>432</v>
      </c>
      <c r="DA297" s="0" t="s">
        <v>433</v>
      </c>
      <c r="DB297" s="0" t="s">
        <v>5700</v>
      </c>
      <c r="DC297" s="0" t="s">
        <v>373</v>
      </c>
      <c r="DD297" s="0" t="s">
        <v>290</v>
      </c>
      <c r="DE297" s="0" t="s">
        <v>1110</v>
      </c>
    </row>
    <row customHeight="1" ht="11.25">
      <c r="A298" s="1806" t="s">
        <v>227</v>
      </c>
      <c r="B298" s="0" t="s">
        <v>227</v>
      </c>
      <c r="C298" s="0" t="s">
        <v>227</v>
      </c>
      <c r="D298" s="0" t="s">
        <v>227</v>
      </c>
      <c r="E298" s="0" t="s">
        <v>227</v>
      </c>
      <c r="F298" s="0" t="s">
        <v>227</v>
      </c>
      <c r="G298" s="0" t="s">
        <v>227</v>
      </c>
      <c r="H298" s="0" t="s">
        <v>227</v>
      </c>
      <c r="I298" s="0" t="s">
        <v>6198</v>
      </c>
      <c r="J298" s="0" t="s">
        <v>227</v>
      </c>
      <c r="K298" s="0" t="s">
        <v>227</v>
      </c>
      <c r="L298" s="0" t="s">
        <v>227</v>
      </c>
      <c r="M298" s="0" t="s">
        <v>227</v>
      </c>
      <c r="N298" s="0" t="s">
        <v>227</v>
      </c>
      <c r="O298" s="0" t="s">
        <v>227</v>
      </c>
      <c r="P298" s="0" t="s">
        <v>227</v>
      </c>
      <c r="Q298" s="0" t="s">
        <v>227</v>
      </c>
      <c r="R298" s="0" t="s">
        <v>1082</v>
      </c>
      <c r="S298" s="0" t="s">
        <v>227</v>
      </c>
      <c r="T298" s="0" t="s">
        <v>227</v>
      </c>
      <c r="U298" s="0" t="s">
        <v>102</v>
      </c>
      <c r="V298" s="0" t="s">
        <v>227</v>
      </c>
      <c r="W298" s="0" t="s">
        <v>227</v>
      </c>
      <c r="X298" s="0" t="s">
        <v>5683</v>
      </c>
      <c r="Y298" s="0" t="s">
        <v>227</v>
      </c>
      <c r="Z298" s="0" t="s">
        <v>152</v>
      </c>
      <c r="AA298" s="0" t="s">
        <v>152</v>
      </c>
      <c r="AB298" s="0" t="s">
        <v>161</v>
      </c>
      <c r="AC298" s="0" t="s">
        <v>354</v>
      </c>
      <c r="AD298" s="0" t="s">
        <v>354</v>
      </c>
      <c r="AE298" s="0" t="s">
        <v>355</v>
      </c>
      <c r="AF298" s="0" t="s">
        <v>5684</v>
      </c>
      <c r="AG298" s="0" t="s">
        <v>5685</v>
      </c>
      <c r="AH298" s="0" t="s">
        <v>5815</v>
      </c>
      <c r="AI298" s="0" t="s">
        <v>276</v>
      </c>
      <c r="AJ298" s="0" t="s">
        <v>227</v>
      </c>
      <c r="AK298" s="0" t="s">
        <v>227</v>
      </c>
      <c r="AL298" s="0" t="s">
        <v>227</v>
      </c>
      <c r="AN298" s="0" t="s">
        <v>227</v>
      </c>
      <c r="AO298" s="0" t="s">
        <v>227</v>
      </c>
      <c r="AP298" s="0" t="s">
        <v>227</v>
      </c>
      <c r="AQ298" s="0" t="s">
        <v>227</v>
      </c>
      <c r="AR298" s="0" t="s">
        <v>227</v>
      </c>
      <c r="AS298" s="0" t="s">
        <v>227</v>
      </c>
      <c r="AT298" s="0" t="s">
        <v>227</v>
      </c>
      <c r="AU298" s="0" t="s">
        <v>227</v>
      </c>
      <c r="AV298" s="0" t="s">
        <v>227</v>
      </c>
      <c r="AW298" s="0" t="s">
        <v>227</v>
      </c>
      <c r="AX298" s="0" t="s">
        <v>227</v>
      </c>
      <c r="AY298" s="0" t="s">
        <v>227</v>
      </c>
      <c r="AZ298" s="0" t="s">
        <v>227</v>
      </c>
      <c r="BA298" s="0" t="s">
        <v>227</v>
      </c>
      <c r="BB298" s="0" t="s">
        <v>227</v>
      </c>
      <c r="BC298" s="0" t="s">
        <v>227</v>
      </c>
      <c r="BD298" s="0" t="s">
        <v>227</v>
      </c>
      <c r="BE298" s="0" t="s">
        <v>6216</v>
      </c>
      <c r="BF298" s="0" t="s">
        <v>5697</v>
      </c>
      <c r="BG298" s="0" t="s">
        <v>112</v>
      </c>
      <c r="BH298" s="0" t="s">
        <v>5690</v>
      </c>
      <c r="BI298" s="0" t="s">
        <v>5691</v>
      </c>
      <c r="BJ298" s="0" t="s">
        <v>227</v>
      </c>
      <c r="BK298" s="0" t="s">
        <v>5692</v>
      </c>
      <c r="BL298" s="0" t="s">
        <v>354</v>
      </c>
      <c r="BM298" s="0" t="s">
        <v>354</v>
      </c>
      <c r="BN298" s="0" t="s">
        <v>5693</v>
      </c>
      <c r="BO298" s="0" t="s">
        <v>5684</v>
      </c>
      <c r="BP298" s="0" t="s">
        <v>5694</v>
      </c>
      <c r="BQ298" s="0" t="s">
        <v>5692</v>
      </c>
      <c r="BR298" s="0" t="s">
        <v>5692</v>
      </c>
      <c r="BS298" s="0" t="s">
        <v>227</v>
      </c>
      <c r="BT298" s="0" t="s">
        <v>6206</v>
      </c>
      <c r="CS298" s="0" t="s">
        <v>5759</v>
      </c>
      <c r="CT298" s="0" t="s">
        <v>5679</v>
      </c>
      <c r="CU298" s="0" t="s">
        <v>5680</v>
      </c>
      <c r="CV298" s="0" t="s">
        <v>430</v>
      </c>
      <c r="CW298" s="0" t="s">
        <v>5699</v>
      </c>
      <c r="CX298" s="0" t="s">
        <v>431</v>
      </c>
      <c r="CY298" s="0" t="s">
        <v>430</v>
      </c>
      <c r="CZ298" s="0" t="s">
        <v>432</v>
      </c>
      <c r="DA298" s="0" t="s">
        <v>433</v>
      </c>
      <c r="DB298" s="0" t="s">
        <v>5700</v>
      </c>
      <c r="DC298" s="0" t="s">
        <v>373</v>
      </c>
      <c r="DD298" s="0" t="s">
        <v>290</v>
      </c>
      <c r="DE298" s="0" t="s">
        <v>1083</v>
      </c>
    </row>
    <row customHeight="1" ht="11.25">
      <c r="A299" s="1806" t="s">
        <v>227</v>
      </c>
      <c r="B299" s="0" t="s">
        <v>227</v>
      </c>
      <c r="C299" s="0" t="s">
        <v>227</v>
      </c>
      <c r="D299" s="0" t="s">
        <v>227</v>
      </c>
      <c r="E299" s="0" t="s">
        <v>227</v>
      </c>
      <c r="F299" s="0" t="s">
        <v>227</v>
      </c>
      <c r="G299" s="0" t="s">
        <v>227</v>
      </c>
      <c r="H299" s="0" t="s">
        <v>227</v>
      </c>
      <c r="I299" s="0" t="s">
        <v>6198</v>
      </c>
      <c r="J299" s="0" t="s">
        <v>227</v>
      </c>
      <c r="K299" s="0" t="s">
        <v>227</v>
      </c>
      <c r="L299" s="0" t="s">
        <v>227</v>
      </c>
      <c r="M299" s="0" t="s">
        <v>227</v>
      </c>
      <c r="N299" s="0" t="s">
        <v>227</v>
      </c>
      <c r="O299" s="0" t="s">
        <v>227</v>
      </c>
      <c r="P299" s="0" t="s">
        <v>227</v>
      </c>
      <c r="Q299" s="0" t="s">
        <v>227</v>
      </c>
      <c r="R299" s="0" t="s">
        <v>984</v>
      </c>
      <c r="S299" s="0" t="s">
        <v>227</v>
      </c>
      <c r="T299" s="0" t="s">
        <v>227</v>
      </c>
      <c r="U299" s="0" t="s">
        <v>102</v>
      </c>
      <c r="V299" s="0" t="s">
        <v>227</v>
      </c>
      <c r="W299" s="0" t="s">
        <v>227</v>
      </c>
      <c r="X299" s="0" t="s">
        <v>5683</v>
      </c>
      <c r="Y299" s="0" t="s">
        <v>227</v>
      </c>
      <c r="Z299" s="0" t="s">
        <v>152</v>
      </c>
      <c r="AA299" s="0" t="s">
        <v>152</v>
      </c>
      <c r="AB299" s="0" t="s">
        <v>161</v>
      </c>
      <c r="AC299" s="0" t="s">
        <v>354</v>
      </c>
      <c r="AD299" s="0" t="s">
        <v>354</v>
      </c>
      <c r="AE299" s="0" t="s">
        <v>355</v>
      </c>
      <c r="AF299" s="0" t="s">
        <v>5684</v>
      </c>
      <c r="AG299" s="0" t="s">
        <v>5685</v>
      </c>
      <c r="AH299" s="0" t="s">
        <v>5692</v>
      </c>
      <c r="AI299" s="0" t="s">
        <v>5692</v>
      </c>
      <c r="AJ299" s="0" t="s">
        <v>227</v>
      </c>
      <c r="AK299" s="0" t="s">
        <v>227</v>
      </c>
      <c r="AL299" s="0" t="s">
        <v>227</v>
      </c>
      <c r="AN299" s="0" t="s">
        <v>227</v>
      </c>
      <c r="AO299" s="0" t="s">
        <v>227</v>
      </c>
      <c r="AP299" s="0" t="s">
        <v>227</v>
      </c>
      <c r="AQ299" s="0" t="s">
        <v>227</v>
      </c>
      <c r="AR299" s="0" t="s">
        <v>227</v>
      </c>
      <c r="AS299" s="0" t="s">
        <v>227</v>
      </c>
      <c r="AT299" s="0" t="s">
        <v>227</v>
      </c>
      <c r="AU299" s="0" t="s">
        <v>227</v>
      </c>
      <c r="AV299" s="0" t="s">
        <v>227</v>
      </c>
      <c r="AW299" s="0" t="s">
        <v>227</v>
      </c>
      <c r="AX299" s="0" t="s">
        <v>227</v>
      </c>
      <c r="AY299" s="0" t="s">
        <v>227</v>
      </c>
      <c r="AZ299" s="0" t="s">
        <v>227</v>
      </c>
      <c r="BA299" s="0" t="s">
        <v>227</v>
      </c>
      <c r="BB299" s="0" t="s">
        <v>227</v>
      </c>
      <c r="BC299" s="0" t="s">
        <v>227</v>
      </c>
      <c r="BD299" s="0" t="s">
        <v>227</v>
      </c>
      <c r="BE299" s="0" t="s">
        <v>6301</v>
      </c>
      <c r="BF299" s="0" t="s">
        <v>5697</v>
      </c>
      <c r="BG299" s="0" t="s">
        <v>112</v>
      </c>
      <c r="BH299" s="0" t="s">
        <v>5690</v>
      </c>
      <c r="BI299" s="0" t="s">
        <v>5691</v>
      </c>
      <c r="BJ299" s="0" t="s">
        <v>227</v>
      </c>
      <c r="BK299" s="0" t="s">
        <v>5692</v>
      </c>
      <c r="BL299" s="0" t="s">
        <v>354</v>
      </c>
      <c r="BM299" s="0" t="s">
        <v>354</v>
      </c>
      <c r="BN299" s="0" t="s">
        <v>5693</v>
      </c>
      <c r="BO299" s="0" t="s">
        <v>5684</v>
      </c>
      <c r="BP299" s="0" t="s">
        <v>5694</v>
      </c>
      <c r="BQ299" s="0" t="s">
        <v>5692</v>
      </c>
      <c r="BR299" s="0" t="s">
        <v>5692</v>
      </c>
      <c r="BS299" s="0" t="s">
        <v>227</v>
      </c>
      <c r="BT299" s="0" t="s">
        <v>6231</v>
      </c>
      <c r="CS299" s="0" t="s">
        <v>6014</v>
      </c>
      <c r="CT299" s="0" t="s">
        <v>5679</v>
      </c>
      <c r="CU299" s="0" t="s">
        <v>5680</v>
      </c>
      <c r="CV299" s="0" t="s">
        <v>430</v>
      </c>
      <c r="CW299" s="0" t="s">
        <v>5699</v>
      </c>
      <c r="CX299" s="0" t="s">
        <v>431</v>
      </c>
      <c r="CY299" s="0" t="s">
        <v>430</v>
      </c>
      <c r="CZ299" s="0" t="s">
        <v>432</v>
      </c>
      <c r="DA299" s="0" t="s">
        <v>433</v>
      </c>
      <c r="DB299" s="0" t="s">
        <v>5700</v>
      </c>
      <c r="DC299" s="0" t="s">
        <v>373</v>
      </c>
      <c r="DD299" s="0" t="s">
        <v>290</v>
      </c>
      <c r="DE299" s="0" t="s">
        <v>471</v>
      </c>
    </row>
    <row customHeight="1" ht="11.25">
      <c r="A300" s="1806" t="s">
        <v>227</v>
      </c>
      <c r="B300" s="0" t="s">
        <v>227</v>
      </c>
      <c r="C300" s="0" t="s">
        <v>227</v>
      </c>
      <c r="D300" s="0" t="s">
        <v>227</v>
      </c>
      <c r="E300" s="0" t="s">
        <v>227</v>
      </c>
      <c r="F300" s="0" t="s">
        <v>227</v>
      </c>
      <c r="G300" s="0" t="s">
        <v>227</v>
      </c>
      <c r="H300" s="0" t="s">
        <v>227</v>
      </c>
      <c r="I300" s="0" t="s">
        <v>6198</v>
      </c>
      <c r="J300" s="0" t="s">
        <v>227</v>
      </c>
      <c r="K300" s="0" t="s">
        <v>227</v>
      </c>
      <c r="L300" s="0" t="s">
        <v>227</v>
      </c>
      <c r="M300" s="0" t="s">
        <v>227</v>
      </c>
      <c r="N300" s="0" t="s">
        <v>227</v>
      </c>
      <c r="O300" s="0" t="s">
        <v>227</v>
      </c>
      <c r="P300" s="0" t="s">
        <v>227</v>
      </c>
      <c r="Q300" s="0" t="s">
        <v>227</v>
      </c>
      <c r="R300" s="0" t="s">
        <v>1002</v>
      </c>
      <c r="S300" s="0" t="s">
        <v>227</v>
      </c>
      <c r="T300" s="0" t="s">
        <v>227</v>
      </c>
      <c r="U300" s="0" t="s">
        <v>102</v>
      </c>
      <c r="V300" s="0" t="s">
        <v>227</v>
      </c>
      <c r="W300" s="0" t="s">
        <v>227</v>
      </c>
      <c r="X300" s="0" t="s">
        <v>5683</v>
      </c>
      <c r="Y300" s="0" t="s">
        <v>227</v>
      </c>
      <c r="Z300" s="0" t="s">
        <v>152</v>
      </c>
      <c r="AA300" s="0" t="s">
        <v>152</v>
      </c>
      <c r="AB300" s="0" t="s">
        <v>161</v>
      </c>
      <c r="AC300" s="0" t="s">
        <v>354</v>
      </c>
      <c r="AD300" s="0" t="s">
        <v>354</v>
      </c>
      <c r="AE300" s="0" t="s">
        <v>355</v>
      </c>
      <c r="AF300" s="0" t="s">
        <v>5684</v>
      </c>
      <c r="AG300" s="0" t="s">
        <v>5685</v>
      </c>
      <c r="AH300" s="0" t="s">
        <v>6059</v>
      </c>
      <c r="AI300" s="0" t="s">
        <v>6302</v>
      </c>
      <c r="AJ300" s="0" t="s">
        <v>227</v>
      </c>
      <c r="AK300" s="0" t="s">
        <v>227</v>
      </c>
      <c r="AL300" s="0" t="s">
        <v>227</v>
      </c>
      <c r="AN300" s="0" t="s">
        <v>227</v>
      </c>
      <c r="AO300" s="0" t="s">
        <v>227</v>
      </c>
      <c r="AP300" s="0" t="s">
        <v>227</v>
      </c>
      <c r="AQ300" s="0" t="s">
        <v>227</v>
      </c>
      <c r="AR300" s="0" t="s">
        <v>227</v>
      </c>
      <c r="AS300" s="0" t="s">
        <v>227</v>
      </c>
      <c r="AT300" s="0" t="s">
        <v>227</v>
      </c>
      <c r="AU300" s="0" t="s">
        <v>227</v>
      </c>
      <c r="AV300" s="0" t="s">
        <v>227</v>
      </c>
      <c r="AW300" s="0" t="s">
        <v>227</v>
      </c>
      <c r="AX300" s="0" t="s">
        <v>227</v>
      </c>
      <c r="AY300" s="0" t="s">
        <v>227</v>
      </c>
      <c r="AZ300" s="0" t="s">
        <v>227</v>
      </c>
      <c r="BA300" s="0" t="s">
        <v>227</v>
      </c>
      <c r="BB300" s="0" t="s">
        <v>227</v>
      </c>
      <c r="BC300" s="0" t="s">
        <v>227</v>
      </c>
      <c r="BD300" s="0" t="s">
        <v>227</v>
      </c>
      <c r="BE300" s="0" t="s">
        <v>6155</v>
      </c>
      <c r="BF300" s="0" t="s">
        <v>5697</v>
      </c>
      <c r="BG300" s="0" t="s">
        <v>112</v>
      </c>
      <c r="BH300" s="0" t="s">
        <v>5690</v>
      </c>
      <c r="BI300" s="0" t="s">
        <v>5691</v>
      </c>
      <c r="BJ300" s="0" t="s">
        <v>227</v>
      </c>
      <c r="BK300" s="0" t="s">
        <v>5692</v>
      </c>
      <c r="BL300" s="0" t="s">
        <v>354</v>
      </c>
      <c r="BM300" s="0" t="s">
        <v>354</v>
      </c>
      <c r="BN300" s="0" t="s">
        <v>5693</v>
      </c>
      <c r="BO300" s="0" t="s">
        <v>5684</v>
      </c>
      <c r="BP300" s="0" t="s">
        <v>5694</v>
      </c>
      <c r="BQ300" s="0" t="s">
        <v>5692</v>
      </c>
      <c r="BR300" s="0" t="s">
        <v>5692</v>
      </c>
      <c r="BS300" s="0" t="s">
        <v>227</v>
      </c>
      <c r="BT300" s="0" t="s">
        <v>6210</v>
      </c>
      <c r="CS300" s="0" t="s">
        <v>5759</v>
      </c>
      <c r="CT300" s="0" t="s">
        <v>5679</v>
      </c>
      <c r="CU300" s="0" t="s">
        <v>5680</v>
      </c>
      <c r="CV300" s="0" t="s">
        <v>430</v>
      </c>
      <c r="CW300" s="0" t="s">
        <v>5699</v>
      </c>
      <c r="CX300" s="0" t="s">
        <v>431</v>
      </c>
      <c r="CY300" s="0" t="s">
        <v>430</v>
      </c>
      <c r="CZ300" s="0" t="s">
        <v>432</v>
      </c>
      <c r="DA300" s="0" t="s">
        <v>433</v>
      </c>
      <c r="DB300" s="0" t="s">
        <v>5700</v>
      </c>
      <c r="DC300" s="0" t="s">
        <v>373</v>
      </c>
      <c r="DD300" s="0" t="s">
        <v>290</v>
      </c>
      <c r="DE300" s="0" t="s">
        <v>1003</v>
      </c>
    </row>
    <row customHeight="1" ht="11.25">
      <c r="A301" s="1806" t="s">
        <v>227</v>
      </c>
      <c r="B301" s="0" t="s">
        <v>227</v>
      </c>
      <c r="C301" s="0" t="s">
        <v>227</v>
      </c>
      <c r="D301" s="0" t="s">
        <v>227</v>
      </c>
      <c r="E301" s="0" t="s">
        <v>227</v>
      </c>
      <c r="F301" s="0" t="s">
        <v>227</v>
      </c>
      <c r="G301" s="0" t="s">
        <v>227</v>
      </c>
      <c r="H301" s="0" t="s">
        <v>227</v>
      </c>
      <c r="I301" s="0" t="s">
        <v>6198</v>
      </c>
      <c r="J301" s="0" t="s">
        <v>227</v>
      </c>
      <c r="K301" s="0" t="s">
        <v>227</v>
      </c>
      <c r="L301" s="0" t="s">
        <v>227</v>
      </c>
      <c r="M301" s="0" t="s">
        <v>227</v>
      </c>
      <c r="N301" s="0" t="s">
        <v>227</v>
      </c>
      <c r="O301" s="0" t="s">
        <v>227</v>
      </c>
      <c r="P301" s="0" t="s">
        <v>227</v>
      </c>
      <c r="Q301" s="0" t="s">
        <v>227</v>
      </c>
      <c r="R301" s="0" t="s">
        <v>1028</v>
      </c>
      <c r="S301" s="0" t="s">
        <v>227</v>
      </c>
      <c r="T301" s="0" t="s">
        <v>227</v>
      </c>
      <c r="U301" s="0" t="s">
        <v>102</v>
      </c>
      <c r="V301" s="0" t="s">
        <v>227</v>
      </c>
      <c r="W301" s="0" t="s">
        <v>227</v>
      </c>
      <c r="X301" s="0" t="s">
        <v>5683</v>
      </c>
      <c r="Y301" s="0" t="s">
        <v>227</v>
      </c>
      <c r="Z301" s="0" t="s">
        <v>152</v>
      </c>
      <c r="AA301" s="0" t="s">
        <v>152</v>
      </c>
      <c r="AB301" s="0" t="s">
        <v>161</v>
      </c>
      <c r="AC301" s="0" t="s">
        <v>354</v>
      </c>
      <c r="AD301" s="0" t="s">
        <v>354</v>
      </c>
      <c r="AE301" s="0" t="s">
        <v>355</v>
      </c>
      <c r="AF301" s="0" t="s">
        <v>5684</v>
      </c>
      <c r="AG301" s="0" t="s">
        <v>5685</v>
      </c>
      <c r="AH301" s="0" t="s">
        <v>5848</v>
      </c>
      <c r="AI301" s="0" t="s">
        <v>6303</v>
      </c>
      <c r="AJ301" s="0" t="s">
        <v>227</v>
      </c>
      <c r="AK301" s="0" t="s">
        <v>227</v>
      </c>
      <c r="AL301" s="0" t="s">
        <v>227</v>
      </c>
      <c r="AN301" s="0" t="s">
        <v>227</v>
      </c>
      <c r="AO301" s="0" t="s">
        <v>227</v>
      </c>
      <c r="AP301" s="0" t="s">
        <v>227</v>
      </c>
      <c r="AQ301" s="0" t="s">
        <v>227</v>
      </c>
      <c r="AR301" s="0" t="s">
        <v>227</v>
      </c>
      <c r="AS301" s="0" t="s">
        <v>227</v>
      </c>
      <c r="AT301" s="0" t="s">
        <v>227</v>
      </c>
      <c r="AU301" s="0" t="s">
        <v>227</v>
      </c>
      <c r="AV301" s="0" t="s">
        <v>227</v>
      </c>
      <c r="AW301" s="0" t="s">
        <v>227</v>
      </c>
      <c r="AX301" s="0" t="s">
        <v>227</v>
      </c>
      <c r="AY301" s="0" t="s">
        <v>227</v>
      </c>
      <c r="AZ301" s="0" t="s">
        <v>227</v>
      </c>
      <c r="BA301" s="0" t="s">
        <v>227</v>
      </c>
      <c r="BB301" s="0" t="s">
        <v>227</v>
      </c>
      <c r="BC301" s="0" t="s">
        <v>227</v>
      </c>
      <c r="BD301" s="0" t="s">
        <v>227</v>
      </c>
      <c r="BE301" s="0" t="s">
        <v>6216</v>
      </c>
      <c r="BF301" s="0" t="s">
        <v>5697</v>
      </c>
      <c r="BG301" s="0" t="s">
        <v>112</v>
      </c>
      <c r="BH301" s="0" t="s">
        <v>5690</v>
      </c>
      <c r="BI301" s="0" t="s">
        <v>5691</v>
      </c>
      <c r="BJ301" s="0" t="s">
        <v>227</v>
      </c>
      <c r="BK301" s="0" t="s">
        <v>5692</v>
      </c>
      <c r="BL301" s="0" t="s">
        <v>354</v>
      </c>
      <c r="BM301" s="0" t="s">
        <v>354</v>
      </c>
      <c r="BN301" s="0" t="s">
        <v>5693</v>
      </c>
      <c r="BO301" s="0" t="s">
        <v>5684</v>
      </c>
      <c r="BP301" s="0" t="s">
        <v>5694</v>
      </c>
      <c r="BQ301" s="0" t="s">
        <v>5692</v>
      </c>
      <c r="BR301" s="0" t="s">
        <v>5692</v>
      </c>
      <c r="BS301" s="0" t="s">
        <v>227</v>
      </c>
      <c r="BT301" s="0" t="s">
        <v>6210</v>
      </c>
      <c r="CS301" s="0" t="s">
        <v>5759</v>
      </c>
      <c r="CT301" s="0" t="s">
        <v>5679</v>
      </c>
      <c r="CU301" s="0" t="s">
        <v>5680</v>
      </c>
      <c r="CV301" s="0" t="s">
        <v>430</v>
      </c>
      <c r="CW301" s="0" t="s">
        <v>5699</v>
      </c>
      <c r="CX301" s="0" t="s">
        <v>431</v>
      </c>
      <c r="CY301" s="0" t="s">
        <v>430</v>
      </c>
      <c r="CZ301" s="0" t="s">
        <v>432</v>
      </c>
      <c r="DA301" s="0" t="s">
        <v>433</v>
      </c>
      <c r="DB301" s="0" t="s">
        <v>5700</v>
      </c>
      <c r="DC301" s="0" t="s">
        <v>373</v>
      </c>
      <c r="DD301" s="0" t="s">
        <v>290</v>
      </c>
      <c r="DE301" s="0" t="s">
        <v>1029</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848333-5123-78B6-8758-6555667A43A8}" mc:Ignorable="x14ac xr xr2 xr3">
  <sheetPr>
    <tabColor rgb="FFFFCC99"/>
  </sheetPr>
  <dimension ref="A1:A1"/>
  <sheetViews>
    <sheetView topLeftCell="A1" showGridLines="0" workbookViewId="0">
      <selection activeCell="A1" sqref="A1"/>
    </sheetView>
  </sheetViews>
  <sheetFormatPr customHeight="1" defaultRowHeight="11.25"/>
  <cols>
    <col min="1" max="1" style="1806" width="89.7109375" customWidth="1"/>
  </cols>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7EDA25-7D1B-BE68-2028-B59C2E2E4DB8}" mc:Ignorable="x14ac xr xr2 xr3">
  <sheetPr>
    <tabColor theme="0"/>
  </sheetPr>
  <dimension ref="A1:AE54"/>
  <sheetViews>
    <sheetView topLeftCell="AA21" showGridLines="0" workbookViewId="0">
      <selection activeCell="AA21" sqref="AA21"/>
    </sheetView>
  </sheetViews>
  <sheetFormatPr defaultColWidth="9.140625" customHeight="1" defaultRowHeight="12.75"/>
  <cols>
    <col min="1" max="1" style="321" width="8.00390625" hidden="1" customWidth="1"/>
    <col min="2" max="2" style="444" width="14.28125" hidden="1" customWidth="1"/>
    <col min="3" max="4" style="321" width="3.57421875" hidden="1" customWidth="1"/>
    <col min="5" max="5" style="620" width="4.7109375" hidden="1" customWidth="1"/>
    <col min="6" max="26" style="321" width="3.57421875" hidden="1" customWidth="1"/>
    <col min="27" max="27" style="321" width="3.7109375" customWidth="1"/>
    <col min="28" max="28" style="321" width="11.7109375" customWidth="1"/>
    <col min="29" max="29" style="321" width="32.8515625" customWidth="1"/>
    <col min="30" max="30" style="321" width="133.57421875" customWidth="1"/>
    <col min="31" max="31" style="321" width="9.140625"/>
  </cols>
  <sheetData>
    <row customHeight="1" ht="11.25" hidden="1">
      <c r="E1" s="321"/>
    </row>
    <row s="444" customFormat="1" customHeight="1" ht="11.25" hidden="1">
      <c r="B2" s="446" t="s">
        <v>19</v>
      </c>
    </row>
    <row customHeight="1" ht="11.25" hidden="1">
      <c r="E3" s="321"/>
    </row>
    <row customHeight="1" ht="11.25" hidden="1">
      <c r="E4" s="321"/>
    </row>
    <row s="620" customFormat="1" customHeight="1" ht="11.25" hidden="1">
      <c r="A5" s="321"/>
      <c r="B5" s="444"/>
      <c r="C5" s="321"/>
      <c r="D5" s="321"/>
      <c r="E5" s="619" t="s">
        <v>20</v>
      </c>
    </row>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2.75">
      <c r="AA21" s="425"/>
    </row>
    <row customHeight="1" ht="24.75">
      <c r="AB22" s="322" t="s">
        <v>29</v>
      </c>
      <c r="AC22" s="323"/>
      <c r="AD22" s="323"/>
    </row>
    <row customHeight="1" ht="16.5">
      <c r="AB23" s="327" t="s">
        <v>30</v>
      </c>
    </row>
    <row customHeight="1" ht="27.056250000000002">
      <c r="B24" s="446" t="b">
        <v>1</v>
      </c>
      <c r="E24" s="620">
        <v>27.75</v>
      </c>
      <c r="AB24" s="324" t="s">
        <v>31</v>
      </c>
      <c r="AC24" s="325" t="s">
        <v>32</v>
      </c>
      <c r="AD24" s="326" t="s">
        <v>33</v>
      </c>
    </row>
    <row customHeight="1" ht="27.056250000000002">
      <c r="B25" s="446" t="b">
        <v>1</v>
      </c>
      <c r="E25" s="620">
        <v>27.75</v>
      </c>
      <c r="AB25" s="324" t="s">
        <v>31</v>
      </c>
      <c r="AC25" s="325" t="s">
        <v>34</v>
      </c>
      <c r="AD25" s="326" t="s">
        <v>35</v>
      </c>
    </row>
    <row customHeight="1" ht="27.056250000000002">
      <c r="B26" s="446" t="b">
        <v>1</v>
      </c>
      <c r="E26" s="620">
        <v>27.75</v>
      </c>
      <c r="AB26" s="324" t="s">
        <v>31</v>
      </c>
      <c r="AC26" s="325" t="s">
        <v>36</v>
      </c>
      <c r="AD26" s="326" t="s">
        <v>37</v>
      </c>
    </row>
    <row customHeight="1" ht="27.056250000000002">
      <c r="B27" s="446" t="b">
        <v>1</v>
      </c>
      <c r="E27" s="620">
        <v>27.75</v>
      </c>
      <c r="AB27" s="324" t="s">
        <v>31</v>
      </c>
      <c r="AC27" s="325" t="s">
        <v>38</v>
      </c>
      <c r="AD27" s="326" t="s">
        <v>39</v>
      </c>
    </row>
    <row customHeight="1" ht="27.056250000000002">
      <c r="B28" s="446">
        <f>NOT(method_reg="Метод сравнения аналогов")</f>
        <v>1</v>
      </c>
      <c r="E28" s="620">
        <v>27.75</v>
      </c>
      <c r="AB28" s="324" t="s">
        <v>31</v>
      </c>
      <c r="AC28" s="325" t="s">
        <v>40</v>
      </c>
      <c r="AD28" s="326" t="s">
        <v>41</v>
      </c>
    </row>
    <row s="1806" customFormat="1" customHeight="1" ht="27.056250000000002">
      <c r="A29" s="321"/>
      <c r="B29" s="447">
        <f>method_reg="Метод индексации"</f>
        <v>1</v>
      </c>
      <c r="C29" s="321"/>
      <c r="D29" s="321"/>
      <c r="E29" s="620">
        <v>27.75</v>
      </c>
      <c r="F29" s="321"/>
      <c r="G29" s="321"/>
      <c r="H29" s="321"/>
      <c r="I29" s="321"/>
      <c r="J29" s="321"/>
      <c r="K29" s="321"/>
      <c r="L29" s="321"/>
      <c r="M29" s="321"/>
      <c r="N29" s="321"/>
      <c r="O29" s="321"/>
      <c r="P29" s="321"/>
      <c r="Q29" s="321"/>
      <c r="R29" s="321"/>
      <c r="S29" s="321"/>
      <c r="T29" s="321"/>
      <c r="U29" s="321"/>
      <c r="V29" s="321"/>
      <c r="W29" s="321"/>
      <c r="X29" s="321"/>
      <c r="Y29" s="321"/>
      <c r="Z29" s="321"/>
      <c r="AA29" s="321"/>
      <c r="AB29" s="324" t="s">
        <v>31</v>
      </c>
      <c r="AC29" s="325" t="s">
        <v>42</v>
      </c>
      <c r="AD29" s="326" t="s">
        <v>43</v>
      </c>
      <c r="AE29" s="321"/>
    </row>
    <row customHeight="1" ht="27.056250000000002">
      <c r="B30" s="446" t="b">
        <v>1</v>
      </c>
      <c r="E30" s="620">
        <v>27.75</v>
      </c>
      <c r="AB30" s="324" t="s">
        <v>31</v>
      </c>
      <c r="AC30" s="325" t="s">
        <v>44</v>
      </c>
      <c r="AD30" s="326" t="s">
        <v>45</v>
      </c>
    </row>
    <row customHeight="1" ht="27.056250000000002">
      <c r="A31" s="321"/>
      <c r="B31" s="446">
        <f>OR(method_reg="Метод индексации",method_reg="Метод сравнения аналогов")</f>
        <v>1</v>
      </c>
      <c r="C31" s="321"/>
      <c r="D31" s="321"/>
      <c r="E31" s="620">
        <v>27.75</v>
      </c>
      <c r="F31" s="321"/>
      <c r="G31" s="321"/>
      <c r="H31" s="321"/>
      <c r="I31" s="321"/>
      <c r="J31" s="321"/>
      <c r="K31" s="321"/>
      <c r="L31" s="321"/>
      <c r="M31" s="321"/>
      <c r="N31" s="321"/>
      <c r="O31" s="321"/>
      <c r="P31" s="321"/>
      <c r="Q31" s="321"/>
      <c r="R31" s="321"/>
      <c r="S31" s="321"/>
      <c r="T31" s="321"/>
      <c r="U31" s="321"/>
      <c r="V31" s="321"/>
      <c r="W31" s="321"/>
      <c r="X31" s="321"/>
      <c r="Y31" s="321"/>
      <c r="Z31" s="321"/>
      <c r="AA31" s="321"/>
      <c r="AB31" s="461" t="s">
        <v>31</v>
      </c>
      <c r="AC31" s="462" t="s">
        <v>46</v>
      </c>
      <c r="AD31" s="463" t="s">
        <v>47</v>
      </c>
      <c r="AE31" s="426"/>
    </row>
    <row customHeight="1" ht="27.056250000000002">
      <c r="B32" s="446">
        <f>NOT(method_reg="Метод сравнения аналогов")</f>
        <v>1</v>
      </c>
      <c r="E32" s="620">
        <v>27.75</v>
      </c>
      <c r="AB32" s="324" t="s">
        <v>31</v>
      </c>
      <c r="AC32" s="325" t="s">
        <v>48</v>
      </c>
      <c r="AD32" s="326" t="s">
        <v>49</v>
      </c>
    </row>
    <row customHeight="1" ht="27.056250000000002">
      <c r="B33" s="446">
        <f>NOT(method_reg="Метод сравнения аналогов")</f>
        <v>1</v>
      </c>
      <c r="E33" s="620">
        <v>27.75</v>
      </c>
      <c r="AB33" s="324" t="s">
        <v>31</v>
      </c>
      <c r="AC33" s="325" t="s">
        <v>50</v>
      </c>
      <c r="AD33" s="326" t="s">
        <v>51</v>
      </c>
    </row>
    <row customHeight="1" ht="27.056250000000002">
      <c r="B34" s="446">
        <f>NOT(method_reg="Метод сравнения аналогов")</f>
        <v>1</v>
      </c>
      <c r="E34" s="620">
        <v>27.75</v>
      </c>
      <c r="AB34" s="324" t="s">
        <v>31</v>
      </c>
      <c r="AC34" s="325" t="s">
        <v>52</v>
      </c>
      <c r="AD34" s="326" t="s">
        <v>53</v>
      </c>
    </row>
    <row customHeight="1" ht="27.056250000000002" hidden="1">
      <c r="A35" s="321"/>
      <c r="B35" s="446">
        <f>method_reg="Метод сравнения аналогов"</f>
        <v>0</v>
      </c>
      <c r="C35" s="321"/>
      <c r="D35" s="321"/>
      <c r="E35" s="620">
        <v>27.75</v>
      </c>
      <c r="F35" s="321"/>
      <c r="G35" s="321"/>
      <c r="H35" s="321"/>
      <c r="I35" s="321"/>
      <c r="J35" s="321"/>
      <c r="K35" s="321"/>
      <c r="L35" s="321"/>
      <c r="M35" s="321"/>
      <c r="N35" s="321"/>
      <c r="O35" s="321"/>
      <c r="P35" s="321"/>
      <c r="Q35" s="321"/>
      <c r="R35" s="321"/>
      <c r="S35" s="321"/>
      <c r="T35" s="321"/>
      <c r="U35" s="321"/>
      <c r="V35" s="321"/>
      <c r="W35" s="321"/>
      <c r="X35" s="321"/>
      <c r="Y35" s="321"/>
      <c r="Z35" s="321"/>
      <c r="AA35" s="321"/>
      <c r="AB35" s="461" t="s">
        <v>54</v>
      </c>
      <c r="AC35" s="462" t="s">
        <v>55</v>
      </c>
      <c r="AD35" s="463" t="s">
        <v>56</v>
      </c>
      <c r="AE35" s="321"/>
    </row>
    <row customHeight="1" ht="27.056250000000002">
      <c r="B36" s="446">
        <f>NOT(method_reg="Метод сравнения аналогов")</f>
        <v>1</v>
      </c>
      <c r="E36" s="620">
        <v>27.75</v>
      </c>
      <c r="AB36" s="324" t="s">
        <v>31</v>
      </c>
      <c r="AC36" s="325" t="s">
        <v>57</v>
      </c>
      <c r="AD36" s="326" t="s">
        <v>58</v>
      </c>
    </row>
    <row customHeight="1" ht="27.056250000000002">
      <c r="B37" s="446">
        <f>NOT(method_reg="Метод сравнения аналогов")</f>
        <v>1</v>
      </c>
      <c r="E37" s="620">
        <v>27.75</v>
      </c>
      <c r="AB37" s="324" t="s">
        <v>31</v>
      </c>
      <c r="AC37" s="325" t="s">
        <v>59</v>
      </c>
      <c r="AD37" s="326" t="s">
        <v>60</v>
      </c>
    </row>
    <row customHeight="1" ht="27.056250000000002">
      <c r="A38" s="321"/>
      <c r="B38" s="1473">
        <f>AND(OR(god=first_year,method_reg="Метод обеспечения доходности инвестированного капитала"),NOT(method_reg="Метод сравнения аналогов"))</f>
        <v>1</v>
      </c>
      <c r="C38" s="321"/>
      <c r="D38" s="321"/>
      <c r="E38" s="620">
        <v>27.75</v>
      </c>
      <c r="F38" s="321"/>
      <c r="G38" s="321"/>
      <c r="H38" s="321"/>
      <c r="I38" s="321"/>
      <c r="J38" s="321"/>
      <c r="K38" s="321"/>
      <c r="L38" s="321"/>
      <c r="M38" s="321"/>
      <c r="N38" s="321"/>
      <c r="O38" s="321"/>
      <c r="P38" s="321"/>
      <c r="Q38" s="321"/>
      <c r="R38" s="321"/>
      <c r="S38" s="321"/>
      <c r="T38" s="321"/>
      <c r="U38" s="321"/>
      <c r="V38" s="321"/>
      <c r="W38" s="321"/>
      <c r="X38" s="321"/>
      <c r="Y38" s="321"/>
      <c r="Z38" s="321"/>
      <c r="AA38" s="321"/>
      <c r="AB38" s="324" t="s">
        <v>31</v>
      </c>
      <c r="AC38" s="325" t="s">
        <v>61</v>
      </c>
      <c r="AD38" s="357" t="s">
        <v>62</v>
      </c>
      <c r="AE38" s="321"/>
    </row>
    <row customHeight="1" ht="27.056250000000002">
      <c r="A39" s="321"/>
      <c r="B39" s="446">
        <f>AND(OR(god=first_year,method_reg="Метод обеспечения доходности инвестированного капитала"),NOT(method_reg="Метод сравнения аналогов"))</f>
        <v>1</v>
      </c>
      <c r="C39" s="321"/>
      <c r="D39" s="321"/>
      <c r="E39" s="620">
        <v>27.75</v>
      </c>
      <c r="F39" s="321"/>
      <c r="G39" s="321"/>
      <c r="H39" s="321"/>
      <c r="I39" s="321"/>
      <c r="J39" s="321"/>
      <c r="K39" s="321"/>
      <c r="L39" s="321"/>
      <c r="M39" s="321"/>
      <c r="N39" s="321"/>
      <c r="O39" s="321"/>
      <c r="P39" s="321"/>
      <c r="Q39" s="321"/>
      <c r="R39" s="321"/>
      <c r="S39" s="321"/>
      <c r="T39" s="321"/>
      <c r="U39" s="321"/>
      <c r="V39" s="321"/>
      <c r="W39" s="321"/>
      <c r="X39" s="321"/>
      <c r="Y39" s="321"/>
      <c r="Z39" s="321"/>
      <c r="AA39" s="321"/>
      <c r="AB39" s="324" t="s">
        <v>31</v>
      </c>
      <c r="AC39" s="325" t="s">
        <v>63</v>
      </c>
      <c r="AD39" s="357" t="s">
        <v>64</v>
      </c>
      <c r="AE39" s="321"/>
    </row>
    <row customHeight="1" ht="27.056250000000002">
      <c r="A40" s="321"/>
      <c r="B40" s="446">
        <f>AND(OR(god=first_year,method_reg="Метод обеспечения доходности инвестированного капитала"),NOT(method_reg="Метод сравнения аналогов"),STATUS_GO="да")</f>
        <v>1</v>
      </c>
      <c r="C40" s="321"/>
      <c r="D40" s="321"/>
      <c r="E40" s="620">
        <v>27.75</v>
      </c>
      <c r="F40" s="321"/>
      <c r="G40" s="321"/>
      <c r="H40" s="321"/>
      <c r="I40" s="321"/>
      <c r="J40" s="321"/>
      <c r="K40" s="321"/>
      <c r="L40" s="321"/>
      <c r="M40" s="321"/>
      <c r="N40" s="321"/>
      <c r="O40" s="321"/>
      <c r="P40" s="321"/>
      <c r="Q40" s="321"/>
      <c r="R40" s="321"/>
      <c r="S40" s="321"/>
      <c r="T40" s="321"/>
      <c r="U40" s="321"/>
      <c r="V40" s="321"/>
      <c r="W40" s="321"/>
      <c r="X40" s="321"/>
      <c r="Y40" s="321"/>
      <c r="Z40" s="321"/>
      <c r="AA40" s="321"/>
      <c r="AB40" s="324" t="s">
        <v>31</v>
      </c>
      <c r="AC40" s="325" t="s">
        <v>65</v>
      </c>
      <c r="AD40" s="357" t="s">
        <v>66</v>
      </c>
      <c r="AE40" s="321"/>
    </row>
    <row customHeight="1" ht="27.056250000000002">
      <c r="B41" s="446">
        <f>NOT(method_reg="Метод сравнения аналогов")</f>
        <v>1</v>
      </c>
      <c r="E41" s="620">
        <v>27.75</v>
      </c>
      <c r="AB41" s="324" t="s">
        <v>31</v>
      </c>
      <c r="AC41" s="325" t="s">
        <v>67</v>
      </c>
      <c r="AD41" s="326" t="s">
        <v>68</v>
      </c>
    </row>
    <row customHeight="1" ht="27.056250000000002" hidden="1">
      <c r="A42" s="321"/>
      <c r="B42" s="446">
        <f>AND(method_reg&lt;&gt;"Метод сравнения аналогов",OR(HAS_DOC5="да",HAS_DOC6="да"))</f>
        <v>0</v>
      </c>
      <c r="C42" s="321"/>
      <c r="D42" s="321"/>
      <c r="E42" s="620">
        <v>27.75</v>
      </c>
      <c r="F42" s="321"/>
      <c r="G42" s="321"/>
      <c r="H42" s="321"/>
      <c r="I42" s="321"/>
      <c r="J42" s="321"/>
      <c r="K42" s="321"/>
      <c r="L42" s="321"/>
      <c r="M42" s="321"/>
      <c r="N42" s="321"/>
      <c r="O42" s="321"/>
      <c r="P42" s="321"/>
      <c r="Q42" s="321"/>
      <c r="R42" s="321"/>
      <c r="S42" s="321"/>
      <c r="T42" s="321"/>
      <c r="U42" s="321"/>
      <c r="V42" s="321"/>
      <c r="W42" s="321"/>
      <c r="X42" s="321"/>
      <c r="Y42" s="321"/>
      <c r="Z42" s="321"/>
      <c r="AA42" s="321"/>
      <c r="AB42" s="324" t="s">
        <v>54</v>
      </c>
      <c r="AC42" s="325" t="s">
        <v>69</v>
      </c>
      <c r="AD42" s="326" t="s">
        <v>70</v>
      </c>
      <c r="AE42" s="321"/>
    </row>
    <row customHeight="1" ht="27.056250000000002">
      <c r="B43" s="446">
        <f>AND(NOT(method_reg="Метод экономически обоснованных расходов"),NOT(method_reg="Метод сравнения аналогов"))</f>
        <v>1</v>
      </c>
      <c r="E43" s="620">
        <v>27.75</v>
      </c>
      <c r="AB43" s="324" t="s">
        <v>31</v>
      </c>
      <c r="AC43" s="325" t="s">
        <v>71</v>
      </c>
      <c r="AD43" s="326" t="s">
        <v>72</v>
      </c>
    </row>
    <row customHeight="1" ht="27.056250000000002">
      <c r="A44" s="321"/>
      <c r="B44" s="446">
        <f>AND(NOT(method_reg="Метод сравнения аналогов"),hasVO)</f>
        <v>1</v>
      </c>
      <c r="C44" s="321"/>
      <c r="D44" s="321"/>
      <c r="E44" s="620">
        <v>27.75</v>
      </c>
      <c r="F44" s="321"/>
      <c r="G44" s="321"/>
      <c r="H44" s="321"/>
      <c r="I44" s="321"/>
      <c r="J44" s="321"/>
      <c r="K44" s="321"/>
      <c r="L44" s="321"/>
      <c r="M44" s="321"/>
      <c r="N44" s="321"/>
      <c r="O44" s="321"/>
      <c r="P44" s="321"/>
      <c r="Q44" s="321"/>
      <c r="R44" s="321"/>
      <c r="S44" s="321"/>
      <c r="T44" s="321"/>
      <c r="U44" s="321"/>
      <c r="V44" s="321"/>
      <c r="W44" s="321"/>
      <c r="X44" s="321"/>
      <c r="Y44" s="321"/>
      <c r="Z44" s="321"/>
      <c r="AA44" s="321"/>
      <c r="AB44" s="324" t="s">
        <v>31</v>
      </c>
      <c r="AC44" s="325" t="s">
        <v>73</v>
      </c>
      <c r="AD44" s="326" t="s">
        <v>74</v>
      </c>
      <c r="AE44" s="321"/>
    </row>
    <row customHeight="1" ht="27.056250000000002">
      <c r="B45" s="446">
        <f>AND(NOT(method_reg="Метод экономически обоснованных расходов"),NOT(method_reg="Метод сравнения аналогов"))</f>
        <v>1</v>
      </c>
      <c r="E45" s="620">
        <v>27.75</v>
      </c>
      <c r="AB45" s="324" t="s">
        <v>31</v>
      </c>
      <c r="AC45" s="325" t="s">
        <v>75</v>
      </c>
      <c r="AD45" s="326" t="s">
        <v>76</v>
      </c>
    </row>
    <row customHeight="1" ht="27.056250000000002" hidden="1">
      <c r="A46" s="321"/>
      <c r="B46" s="446">
        <f>method_reg="Метод экономически обоснованных расходов"</f>
        <v>0</v>
      </c>
      <c r="C46" s="321"/>
      <c r="D46" s="321"/>
      <c r="E46" s="620">
        <v>27.75</v>
      </c>
      <c r="F46" s="321"/>
      <c r="G46" s="321"/>
      <c r="H46" s="321"/>
      <c r="I46" s="321"/>
      <c r="J46" s="321"/>
      <c r="K46" s="321"/>
      <c r="L46" s="321"/>
      <c r="M46" s="321"/>
      <c r="N46" s="321"/>
      <c r="O46" s="321"/>
      <c r="P46" s="321"/>
      <c r="Q46" s="321"/>
      <c r="R46" s="321"/>
      <c r="S46" s="321"/>
      <c r="T46" s="321"/>
      <c r="U46" s="321"/>
      <c r="V46" s="321"/>
      <c r="W46" s="321"/>
      <c r="X46" s="321"/>
      <c r="Y46" s="321"/>
      <c r="Z46" s="321"/>
      <c r="AA46" s="321"/>
      <c r="AB46" s="324" t="s">
        <v>54</v>
      </c>
      <c r="AC46" s="325" t="s">
        <v>77</v>
      </c>
      <c r="AD46" s="326" t="s">
        <v>78</v>
      </c>
      <c r="AE46" s="321"/>
    </row>
    <row customHeight="1" ht="27.056250000000002">
      <c r="A47" s="321"/>
      <c r="B47" s="446">
        <f>AND(first_year=god,OR(method_reg="Метод обеспечения доходности инвестированного капитала",method_reg="Метод индексации"))</f>
        <v>1</v>
      </c>
      <c r="C47" s="321"/>
      <c r="D47" s="321"/>
      <c r="E47" s="620">
        <v>27.75</v>
      </c>
      <c r="F47" s="321"/>
      <c r="G47" s="321"/>
      <c r="H47" s="321"/>
      <c r="I47" s="321"/>
      <c r="J47" s="321"/>
      <c r="K47" s="321"/>
      <c r="L47" s="321"/>
      <c r="M47" s="321"/>
      <c r="N47" s="321"/>
      <c r="O47" s="321"/>
      <c r="P47" s="321"/>
      <c r="Q47" s="321"/>
      <c r="R47" s="321"/>
      <c r="S47" s="321"/>
      <c r="T47" s="321"/>
      <c r="U47" s="321"/>
      <c r="V47" s="321"/>
      <c r="W47" s="321"/>
      <c r="X47" s="321"/>
      <c r="Y47" s="321"/>
      <c r="Z47" s="321"/>
      <c r="AA47" s="321"/>
      <c r="AB47" s="324" t="s">
        <v>31</v>
      </c>
      <c r="AC47" s="325" t="s">
        <v>79</v>
      </c>
      <c r="AD47" s="326" t="s">
        <v>80</v>
      </c>
      <c r="AE47" s="321"/>
    </row>
    <row customHeight="1" ht="27.105" hidden="1">
      <c r="A48" s="321"/>
      <c r="B48" s="500">
        <f>AND(OR(method_reg="Метод индексации",method_reg="Метод обеспечения доходности инвестированного капитала"),first_year&lt;&gt;god)</f>
        <v>0</v>
      </c>
      <c r="C48" s="321"/>
      <c r="D48" s="321"/>
      <c r="E48" s="620">
        <v>27.8</v>
      </c>
      <c r="F48" s="321"/>
      <c r="G48" s="321"/>
      <c r="H48" s="321"/>
      <c r="I48" s="321"/>
      <c r="J48" s="321"/>
      <c r="K48" s="321"/>
      <c r="L48" s="321"/>
      <c r="M48" s="321"/>
      <c r="N48" s="321"/>
      <c r="O48" s="321"/>
      <c r="P48" s="321"/>
      <c r="Q48" s="321"/>
      <c r="R48" s="321"/>
      <c r="S48" s="321"/>
      <c r="T48" s="321"/>
      <c r="U48" s="321"/>
      <c r="V48" s="321"/>
      <c r="W48" s="321"/>
      <c r="X48" s="321"/>
      <c r="Y48" s="321"/>
      <c r="Z48" s="321"/>
      <c r="AA48" s="321"/>
      <c r="AB48" s="324" t="s">
        <v>54</v>
      </c>
      <c r="AC48" s="325" t="s">
        <v>81</v>
      </c>
      <c r="AD48" s="326" t="s">
        <v>80</v>
      </c>
      <c r="AE48" s="321"/>
    </row>
    <row customHeight="1" ht="27.056250000000002">
      <c r="B49" s="446">
        <f>NOT(method_reg="Метод сравнения аналогов")</f>
        <v>1</v>
      </c>
      <c r="E49" s="620">
        <v>27.75</v>
      </c>
      <c r="AB49" s="324" t="s">
        <v>31</v>
      </c>
      <c r="AC49" s="325" t="s">
        <v>82</v>
      </c>
      <c r="AD49" s="326" t="s">
        <v>83</v>
      </c>
    </row>
    <row customHeight="1" ht="27.056250000000002">
      <c r="A50" s="321"/>
      <c r="B50" s="446">
        <f>OR(method_reg="Метод индексации",method_reg="Метод обеспечения доходности инвестированного капитала")</f>
        <v>1</v>
      </c>
      <c r="C50" s="321"/>
      <c r="D50" s="321"/>
      <c r="E50" s="620">
        <v>27.75</v>
      </c>
      <c r="F50" s="321"/>
      <c r="G50" s="321"/>
      <c r="H50" s="321"/>
      <c r="I50" s="321"/>
      <c r="J50" s="321"/>
      <c r="K50" s="321"/>
      <c r="L50" s="321"/>
      <c r="M50" s="321"/>
      <c r="N50" s="321"/>
      <c r="O50" s="321"/>
      <c r="P50" s="321"/>
      <c r="Q50" s="321"/>
      <c r="R50" s="321"/>
      <c r="S50" s="321"/>
      <c r="T50" s="321"/>
      <c r="U50" s="321"/>
      <c r="V50" s="321"/>
      <c r="W50" s="321"/>
      <c r="X50" s="321"/>
      <c r="Y50" s="321"/>
      <c r="Z50" s="321"/>
      <c r="AA50" s="321"/>
      <c r="AB50" s="324" t="s">
        <v>31</v>
      </c>
      <c r="AC50" s="325" t="s">
        <v>84</v>
      </c>
      <c r="AD50" s="326" t="s">
        <v>85</v>
      </c>
      <c r="AE50" s="321"/>
    </row>
    <row customHeight="1" ht="27.056250000000002">
      <c r="A51" s="321"/>
      <c r="B51" s="446">
        <f>OR(method_reg="Метод индексации",method_reg="Метод обеспечения доходности инвестированного капитала")</f>
        <v>1</v>
      </c>
      <c r="C51" s="321"/>
      <c r="D51" s="321"/>
      <c r="E51" s="620">
        <v>27.75</v>
      </c>
      <c r="F51" s="321"/>
      <c r="G51" s="321"/>
      <c r="H51" s="321"/>
      <c r="I51" s="321"/>
      <c r="J51" s="321"/>
      <c r="K51" s="321"/>
      <c r="L51" s="321"/>
      <c r="M51" s="321"/>
      <c r="N51" s="321"/>
      <c r="O51" s="321"/>
      <c r="P51" s="321"/>
      <c r="Q51" s="321"/>
      <c r="R51" s="321"/>
      <c r="S51" s="321"/>
      <c r="T51" s="321"/>
      <c r="U51" s="321"/>
      <c r="V51" s="321"/>
      <c r="W51" s="321"/>
      <c r="X51" s="321"/>
      <c r="Y51" s="321"/>
      <c r="Z51" s="321"/>
      <c r="AA51" s="321"/>
      <c r="AB51" s="324" t="s">
        <v>31</v>
      </c>
      <c r="AC51" s="325" t="s">
        <v>86</v>
      </c>
      <c r="AD51" s="326" t="s">
        <v>87</v>
      </c>
      <c r="AE51" s="321"/>
    </row>
    <row customHeight="1" ht="27.056250000000002">
      <c r="A52" s="321"/>
      <c r="B52" s="446">
        <f>OR(method_reg="Метод сравнения аналогов",AND(method_reg="Метод индексации",STATUS_GO="да"))</f>
        <v>1</v>
      </c>
      <c r="C52" s="321"/>
      <c r="D52" s="321"/>
      <c r="E52" s="620">
        <v>27.75</v>
      </c>
      <c r="F52" s="321"/>
      <c r="G52" s="321"/>
      <c r="H52" s="321"/>
      <c r="I52" s="321"/>
      <c r="J52" s="321"/>
      <c r="K52" s="321"/>
      <c r="L52" s="321"/>
      <c r="M52" s="321"/>
      <c r="N52" s="321"/>
      <c r="O52" s="321"/>
      <c r="P52" s="321"/>
      <c r="Q52" s="321"/>
      <c r="R52" s="321"/>
      <c r="S52" s="321"/>
      <c r="T52" s="321"/>
      <c r="U52" s="321"/>
      <c r="V52" s="321"/>
      <c r="W52" s="321"/>
      <c r="X52" s="321"/>
      <c r="Y52" s="321"/>
      <c r="Z52" s="321"/>
      <c r="AA52" s="321"/>
      <c r="AB52" s="461" t="s">
        <v>31</v>
      </c>
      <c r="AC52" s="462" t="s">
        <v>88</v>
      </c>
      <c r="AD52" s="463" t="s">
        <v>89</v>
      </c>
      <c r="AE52" s="321"/>
    </row>
    <row customHeight="1" ht="27.056250000000002" hidden="1">
      <c r="A53" s="321"/>
      <c r="B53" s="446">
        <f>method_reg="Метод сравнения аналогов"</f>
        <v>0</v>
      </c>
      <c r="C53" s="321"/>
      <c r="D53" s="321"/>
      <c r="E53" s="620">
        <v>27.75</v>
      </c>
      <c r="F53" s="321"/>
      <c r="G53" s="321"/>
      <c r="H53" s="321"/>
      <c r="I53" s="321"/>
      <c r="J53" s="321"/>
      <c r="K53" s="321"/>
      <c r="L53" s="321"/>
      <c r="M53" s="321"/>
      <c r="N53" s="321"/>
      <c r="O53" s="321"/>
      <c r="P53" s="321"/>
      <c r="Q53" s="321"/>
      <c r="R53" s="321"/>
      <c r="S53" s="321"/>
      <c r="T53" s="321"/>
      <c r="U53" s="321"/>
      <c r="V53" s="321"/>
      <c r="W53" s="321"/>
      <c r="X53" s="321"/>
      <c r="Y53" s="321"/>
      <c r="Z53" s="321"/>
      <c r="AA53" s="321"/>
      <c r="AB53" s="461" t="s">
        <v>54</v>
      </c>
      <c r="AC53" s="462" t="s">
        <v>90</v>
      </c>
      <c r="AD53" s="464" t="s">
        <v>91</v>
      </c>
      <c r="AE53" s="321"/>
    </row>
    <row customHeight="1" ht="12.75">
      <c r="AE54" s="426"/>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6DB578-EE88-BC08-546C-850666D4F558}" mc:Ignorable="x14ac xr xr2 xr3">
  <sheetPr>
    <tabColor rgb="FFFFCC99"/>
  </sheetPr>
  <dimension ref="A1:W5"/>
  <sheetViews>
    <sheetView topLeftCell="A1" showGridLines="0" workbookViewId="0">
      <selection activeCell="A1" sqref="A1"/>
    </sheetView>
  </sheetViews>
  <sheetFormatPr customHeight="1" defaultRowHeight="11.25"/>
  <sheetData>
    <row customHeight="1" ht="11.25">
      <c r="A1" s="0" t="s">
        <v>6304</v>
      </c>
      <c r="B1" s="0" t="s">
        <v>5583</v>
      </c>
      <c r="C1" s="0" t="s">
        <v>6305</v>
      </c>
      <c r="D1" s="0" t="s">
        <v>6306</v>
      </c>
      <c r="E1" s="0" t="s">
        <v>6307</v>
      </c>
      <c r="F1" s="0" t="s">
        <v>6308</v>
      </c>
      <c r="G1" s="0" t="s">
        <v>6309</v>
      </c>
      <c r="H1" s="0" t="s">
        <v>6310</v>
      </c>
      <c r="I1" s="0" t="s">
        <v>6311</v>
      </c>
      <c r="J1" s="0" t="s">
        <v>6312</v>
      </c>
      <c r="K1" s="0" t="s">
        <v>6313</v>
      </c>
      <c r="L1" s="0" t="s">
        <v>6314</v>
      </c>
      <c r="M1" s="0" t="s">
        <v>6315</v>
      </c>
      <c r="N1" s="0" t="s">
        <v>6316</v>
      </c>
      <c r="O1" s="0" t="s">
        <v>6317</v>
      </c>
      <c r="P1" s="0" t="s">
        <v>6318</v>
      </c>
      <c r="Q1" s="0" t="s">
        <v>6319</v>
      </c>
      <c r="R1" s="0" t="s">
        <v>6320</v>
      </c>
      <c r="S1" s="0" t="s">
        <v>6321</v>
      </c>
      <c r="T1" s="0" t="s">
        <v>6322</v>
      </c>
      <c r="U1" s="0" t="s">
        <v>6323</v>
      </c>
      <c r="V1" s="0" t="s">
        <v>6324</v>
      </c>
      <c r="W1" s="0" t="s">
        <v>6325</v>
      </c>
    </row>
    <row customHeight="1" ht="11.25">
      <c r="A2" s="0" t="s">
        <v>286</v>
      </c>
    </row>
    <row customHeight="1" ht="11.25">
      <c r="A3" s="0" t="s">
        <v>278</v>
      </c>
    </row>
    <row customHeight="1" ht="11.25">
      <c r="A4" s="0" t="s">
        <v>296</v>
      </c>
    </row>
    <row customHeight="1" ht="11.25">
      <c r="A5" s="0" t="s">
        <v>291</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A376A8-BF08-A8F7-58F1-90D388540C99}" mc:Ignorable="x14ac xr xr2 xr3">
  <sheetPr>
    <tabColor rgb="FFFFCC99"/>
  </sheetPr>
  <dimension ref="A1:C97"/>
  <sheetViews>
    <sheetView topLeftCell="A1" showGridLines="0" workbookViewId="0">
      <selection activeCell="A1" sqref="A1"/>
    </sheetView>
  </sheetViews>
  <sheetFormatPr customHeight="1" defaultRowHeight="11.25"/>
  <cols>
    <col min="1" max="1" style="1806" width="88.8515625" customWidth="1"/>
    <col min="2" max="2" style="1806" width="24.7109375" customWidth="1"/>
  </cols>
  <sheetData>
    <row customHeight="1" ht="11.25">
      <c r="A1" s="85" t="s">
        <v>6326</v>
      </c>
      <c r="C1" s="85" t="s">
        <v>6327</v>
      </c>
    </row>
    <row customHeight="1" ht="11.25">
      <c r="A2" s="85" t="s">
        <v>6328</v>
      </c>
    </row>
    <row customHeight="1" ht="11.25">
      <c r="A3" s="85" t="s">
        <v>6329</v>
      </c>
      <c r="C3" s="0" t="s">
        <v>6330</v>
      </c>
    </row>
    <row customHeight="1" ht="11.25">
      <c r="A4" s="85" t="s">
        <v>3718</v>
      </c>
      <c r="C4" s="0" t="s">
        <v>6331</v>
      </c>
    </row>
    <row customHeight="1" ht="11.25">
      <c r="A5" s="85" t="s">
        <v>3647</v>
      </c>
      <c r="C5" s="0" t="s">
        <v>6332</v>
      </c>
    </row>
    <row customHeight="1" ht="11.25">
      <c r="A6" s="85" t="s">
        <v>128</v>
      </c>
      <c r="C6" s="0" t="s">
        <v>6333</v>
      </c>
    </row>
    <row customHeight="1" ht="11.25">
      <c r="A7" s="85" t="s">
        <v>6334</v>
      </c>
      <c r="C7" s="0" t="s">
        <v>6335</v>
      </c>
    </row>
    <row customHeight="1" ht="11.25">
      <c r="A8" s="85" t="s">
        <v>6336</v>
      </c>
      <c r="C8" s="0" t="s">
        <v>6337</v>
      </c>
    </row>
    <row customHeight="1" ht="11.25">
      <c r="A9" s="85" t="s">
        <v>6338</v>
      </c>
      <c r="C9" s="0" t="s">
        <v>6339</v>
      </c>
    </row>
    <row customHeight="1" ht="11.25">
      <c r="A10" s="85" t="s">
        <v>6340</v>
      </c>
      <c r="C10" s="0" t="s">
        <v>6341</v>
      </c>
    </row>
    <row customHeight="1" ht="11.25">
      <c r="A11" s="85" t="s">
        <v>6342</v>
      </c>
      <c r="C11" s="0" t="s">
        <v>6343</v>
      </c>
    </row>
    <row customHeight="1" ht="11.25">
      <c r="A12" s="85" t="s">
        <v>6344</v>
      </c>
      <c r="C12" s="0" t="s">
        <v>6345</v>
      </c>
    </row>
    <row customHeight="1" ht="11.25">
      <c r="A13" s="85" t="s">
        <v>6346</v>
      </c>
      <c r="C13" s="0" t="s">
        <v>6347</v>
      </c>
    </row>
    <row customHeight="1" ht="11.25">
      <c r="A14" s="85" t="s">
        <v>6348</v>
      </c>
      <c r="C14" s="0" t="s">
        <v>6349</v>
      </c>
    </row>
    <row customHeight="1" ht="11.25">
      <c r="A15" s="85" t="s">
        <v>6350</v>
      </c>
      <c r="C15" s="0" t="s">
        <v>6351</v>
      </c>
    </row>
    <row customHeight="1" ht="11.25">
      <c r="A16" s="85" t="s">
        <v>6352</v>
      </c>
      <c r="C16" s="0" t="s">
        <v>6353</v>
      </c>
    </row>
    <row customHeight="1" ht="11.25">
      <c r="A17" s="85" t="s">
        <v>6354</v>
      </c>
      <c r="C17" s="0" t="s">
        <v>6355</v>
      </c>
    </row>
    <row customHeight="1" ht="11.25">
      <c r="A18" s="85" t="s">
        <v>6356</v>
      </c>
      <c r="C18" s="0" t="s">
        <v>6357</v>
      </c>
    </row>
    <row customHeight="1" ht="11.25">
      <c r="A19" s="85" t="s">
        <v>6358</v>
      </c>
      <c r="C19" s="0" t="s">
        <v>6359</v>
      </c>
    </row>
    <row customHeight="1" ht="11.25">
      <c r="A20" s="85" t="s">
        <v>6360</v>
      </c>
      <c r="C20" s="0" t="s">
        <v>6361</v>
      </c>
    </row>
    <row customHeight="1" ht="11.25">
      <c r="A21" s="85" t="s">
        <v>6362</v>
      </c>
      <c r="C21" s="0" t="s">
        <v>6363</v>
      </c>
    </row>
    <row customHeight="1" ht="11.25">
      <c r="A22" s="85" t="s">
        <v>6364</v>
      </c>
      <c r="C22" s="0" t="s">
        <v>6365</v>
      </c>
    </row>
    <row customHeight="1" ht="11.25">
      <c r="A23" s="85" t="s">
        <v>6366</v>
      </c>
      <c r="C23" s="0" t="s">
        <v>6367</v>
      </c>
    </row>
    <row customHeight="1" ht="11.25">
      <c r="A24" s="85" t="s">
        <v>6368</v>
      </c>
      <c r="C24" s="0" t="s">
        <v>6369</v>
      </c>
    </row>
    <row customHeight="1" ht="11.25">
      <c r="A25" s="85" t="s">
        <v>6370</v>
      </c>
      <c r="C25" s="0" t="s">
        <v>6371</v>
      </c>
    </row>
    <row customHeight="1" ht="11.25">
      <c r="A26" s="85" t="s">
        <v>6372</v>
      </c>
      <c r="C26" s="0" t="s">
        <v>6373</v>
      </c>
    </row>
    <row customHeight="1" ht="11.25">
      <c r="A27" s="85" t="s">
        <v>6374</v>
      </c>
      <c r="C27" s="0" t="s">
        <v>6375</v>
      </c>
    </row>
    <row customHeight="1" ht="11.25">
      <c r="A28" s="85" t="s">
        <v>6376</v>
      </c>
      <c r="C28" s="0" t="s">
        <v>6377</v>
      </c>
    </row>
    <row customHeight="1" ht="11.25">
      <c r="A29" s="85" t="s">
        <v>6378</v>
      </c>
      <c r="C29" s="0" t="s">
        <v>6379</v>
      </c>
    </row>
    <row customHeight="1" ht="11.25">
      <c r="A30" s="85" t="s">
        <v>6380</v>
      </c>
      <c r="C30" s="0" t="s">
        <v>6381</v>
      </c>
    </row>
    <row customHeight="1" ht="11.25">
      <c r="A31" s="85" t="s">
        <v>6382</v>
      </c>
      <c r="C31" s="0" t="s">
        <v>6383</v>
      </c>
    </row>
    <row customHeight="1" ht="11.25">
      <c r="A32" s="85" t="s">
        <v>6384</v>
      </c>
      <c r="C32" s="0" t="s">
        <v>6385</v>
      </c>
    </row>
    <row customHeight="1" ht="11.25">
      <c r="A33" s="85" t="s">
        <v>6386</v>
      </c>
      <c r="C33" s="0" t="s">
        <v>6387</v>
      </c>
    </row>
    <row customHeight="1" ht="11.25">
      <c r="A34" s="85" t="s">
        <v>6388</v>
      </c>
      <c r="C34" s="0" t="s">
        <v>6389</v>
      </c>
    </row>
    <row customHeight="1" ht="11.25">
      <c r="A35" s="85" t="s">
        <v>6390</v>
      </c>
      <c r="C35" s="0" t="s">
        <v>6391</v>
      </c>
    </row>
    <row customHeight="1" ht="11.25">
      <c r="A36" s="85" t="s">
        <v>6392</v>
      </c>
      <c r="C36" s="0" t="s">
        <v>6393</v>
      </c>
    </row>
    <row customHeight="1" ht="11.25">
      <c r="A37" s="85" t="s">
        <v>6394</v>
      </c>
      <c r="C37" s="0" t="s">
        <v>6395</v>
      </c>
    </row>
    <row customHeight="1" ht="11.25">
      <c r="A38" s="85" t="s">
        <v>6396</v>
      </c>
      <c r="C38" s="0" t="s">
        <v>6397</v>
      </c>
    </row>
    <row customHeight="1" ht="11.25">
      <c r="A39" s="85" t="s">
        <v>6398</v>
      </c>
      <c r="C39" s="0" t="s">
        <v>6399</v>
      </c>
    </row>
    <row customHeight="1" ht="11.25">
      <c r="A40" s="85" t="s">
        <v>6400</v>
      </c>
      <c r="C40" s="0" t="s">
        <v>6401</v>
      </c>
    </row>
    <row customHeight="1" ht="11.25">
      <c r="A41" s="85" t="s">
        <v>6402</v>
      </c>
      <c r="C41" s="0" t="s">
        <v>6403</v>
      </c>
    </row>
    <row customHeight="1" ht="11.25">
      <c r="A42" s="85" t="s">
        <v>6404</v>
      </c>
      <c r="C42" s="0" t="s">
        <v>6405</v>
      </c>
    </row>
    <row customHeight="1" ht="11.25">
      <c r="A43" s="85" t="s">
        <v>6406</v>
      </c>
      <c r="C43" s="0" t="s">
        <v>6407</v>
      </c>
    </row>
    <row customHeight="1" ht="11.25">
      <c r="A44" s="85" t="s">
        <v>6408</v>
      </c>
    </row>
    <row customHeight="1" ht="11.25">
      <c r="A45" s="85" t="s">
        <v>6409</v>
      </c>
    </row>
    <row customHeight="1" ht="11.25">
      <c r="A46" s="85" t="s">
        <v>6410</v>
      </c>
    </row>
    <row customHeight="1" ht="11.25">
      <c r="A47" s="85" t="s">
        <v>6411</v>
      </c>
    </row>
    <row customHeight="1" ht="11.25">
      <c r="A48" s="85" t="s">
        <v>6412</v>
      </c>
    </row>
    <row customHeight="1" ht="11.25">
      <c r="A49" s="85" t="s">
        <v>6413</v>
      </c>
    </row>
    <row customHeight="1" ht="11.25">
      <c r="A50" s="85" t="s">
        <v>6414</v>
      </c>
    </row>
    <row customHeight="1" ht="11.25">
      <c r="A51" s="85" t="s">
        <v>6415</v>
      </c>
    </row>
    <row customHeight="1" ht="11.25">
      <c r="A52" s="85" t="s">
        <v>6416</v>
      </c>
    </row>
    <row customHeight="1" ht="11.25">
      <c r="A53" s="85" t="s">
        <v>6417</v>
      </c>
    </row>
    <row customHeight="1" ht="11.25">
      <c r="A54" s="85" t="s">
        <v>6418</v>
      </c>
    </row>
    <row customHeight="1" ht="11.25">
      <c r="A55" s="85" t="s">
        <v>6419</v>
      </c>
    </row>
    <row customHeight="1" ht="11.25">
      <c r="A56" s="85" t="s">
        <v>6420</v>
      </c>
    </row>
    <row customHeight="1" ht="11.25">
      <c r="A57" s="85" t="s">
        <v>4173</v>
      </c>
    </row>
    <row customHeight="1" ht="11.25">
      <c r="A58" s="85" t="s">
        <v>6421</v>
      </c>
    </row>
    <row customHeight="1" ht="11.25">
      <c r="A59" s="85" t="s">
        <v>6422</v>
      </c>
    </row>
    <row customHeight="1" ht="11.25">
      <c r="A60" s="85" t="s">
        <v>6423</v>
      </c>
    </row>
    <row customHeight="1" ht="11.25">
      <c r="A61" s="85" t="s">
        <v>6424</v>
      </c>
    </row>
    <row customHeight="1" ht="11.25">
      <c r="A62" s="85" t="s">
        <v>6425</v>
      </c>
    </row>
    <row customHeight="1" ht="11.25">
      <c r="A63" s="85" t="s">
        <v>6426</v>
      </c>
    </row>
    <row customHeight="1" ht="11.25">
      <c r="A64" s="85" t="s">
        <v>6427</v>
      </c>
    </row>
    <row customHeight="1" ht="11.25">
      <c r="A65" s="85" t="s">
        <v>6428</v>
      </c>
    </row>
    <row customHeight="1" ht="11.25">
      <c r="A66" s="85" t="s">
        <v>4435</v>
      </c>
    </row>
    <row customHeight="1" ht="11.25">
      <c r="A67" s="85" t="s">
        <v>6429</v>
      </c>
    </row>
    <row customHeight="1" ht="11.25">
      <c r="A68" s="85" t="s">
        <v>6430</v>
      </c>
    </row>
    <row customHeight="1" ht="11.25">
      <c r="A69" s="85" t="s">
        <v>6431</v>
      </c>
    </row>
    <row customHeight="1" ht="11.25">
      <c r="A70" s="85" t="s">
        <v>6432</v>
      </c>
    </row>
    <row customHeight="1" ht="11.25">
      <c r="A71" s="85" t="s">
        <v>3776</v>
      </c>
    </row>
    <row customHeight="1" ht="11.25">
      <c r="A72" s="85" t="s">
        <v>6433</v>
      </c>
    </row>
    <row customHeight="1" ht="11.25">
      <c r="A73" s="85" t="s">
        <v>6434</v>
      </c>
    </row>
    <row customHeight="1" ht="11.25">
      <c r="A74" s="85" t="s">
        <v>3787</v>
      </c>
    </row>
    <row customHeight="1" ht="11.25">
      <c r="A75" s="85" t="s">
        <v>6435</v>
      </c>
    </row>
    <row customHeight="1" ht="11.25">
      <c r="A76" s="85" t="s">
        <v>6436</v>
      </c>
    </row>
    <row customHeight="1" ht="11.25">
      <c r="A77" s="85" t="s">
        <v>6437</v>
      </c>
    </row>
    <row customHeight="1" ht="11.25">
      <c r="A78" s="85" t="s">
        <v>6438</v>
      </c>
    </row>
    <row customHeight="1" ht="11.25">
      <c r="A79" s="85" t="s">
        <v>6439</v>
      </c>
    </row>
    <row customHeight="1" ht="11.25">
      <c r="A80" s="85" t="s">
        <v>6440</v>
      </c>
    </row>
    <row customHeight="1" ht="11.25">
      <c r="A81" s="85" t="s">
        <v>6441</v>
      </c>
    </row>
    <row customHeight="1" ht="11.25">
      <c r="A82" s="85" t="s">
        <v>6442</v>
      </c>
    </row>
    <row customHeight="1" ht="11.25">
      <c r="A83" s="85" t="s">
        <v>6443</v>
      </c>
    </row>
    <row customHeight="1" ht="11.25">
      <c r="A84" s="85" t="s">
        <v>6444</v>
      </c>
    </row>
    <row customHeight="1" ht="11.25">
      <c r="A85" s="85" t="s">
        <v>4998</v>
      </c>
    </row>
    <row customHeight="1" ht="11.25">
      <c r="A86" s="85" t="s">
        <v>4194</v>
      </c>
    </row>
    <row customHeight="1" ht="11.25">
      <c r="A87" s="85" t="s">
        <v>6445</v>
      </c>
    </row>
    <row customHeight="1" ht="11.25">
      <c r="A88" s="85" t="s">
        <v>4403</v>
      </c>
    </row>
    <row customHeight="1" ht="11.25">
      <c r="A89" s="85" t="s">
        <v>6446</v>
      </c>
    </row>
    <row customHeight="1" ht="11.25">
      <c r="A90" s="85" t="s">
        <v>6447</v>
      </c>
    </row>
    <row customHeight="1" ht="11.25">
      <c r="A91" s="85" t="s">
        <v>6448</v>
      </c>
    </row>
    <row customHeight="1" ht="11.25">
      <c r="A92" s="85" t="s">
        <v>6449</v>
      </c>
    </row>
    <row customHeight="1" ht="11.25">
      <c r="A93" s="85" t="s">
        <v>4240</v>
      </c>
    </row>
    <row customHeight="1" ht="11.25">
      <c r="A94" s="85" t="s">
        <v>6450</v>
      </c>
    </row>
    <row customHeight="1" ht="11.25">
      <c r="A95" s="85" t="s">
        <v>6451</v>
      </c>
    </row>
    <row customHeight="1" ht="11.25">
      <c r="A96" s="85" t="s">
        <v>6452</v>
      </c>
    </row>
    <row customHeight="1" ht="11.25">
      <c r="A97" s="85" t="s">
        <v>6453</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95EC16-196B-3BF7-76A1-EE17EFD35148}" mc:Ignorable="x14ac xr xr2 xr3">
  <sheetPr>
    <tabColor rgb="FFFFCC99"/>
  </sheetPr>
  <dimension ref="A1:AG183"/>
  <sheetViews>
    <sheetView topLeftCell="A1" showGridLines="0" workbookViewId="0">
      <selection activeCell="A1" sqref="A1"/>
    </sheetView>
  </sheetViews>
  <sheetFormatPr defaultColWidth="9.140625" customHeight="1" defaultRowHeight="12"/>
  <cols>
    <col min="1" max="1" style="730" width="42.7109375" customWidth="1"/>
    <col min="2" max="2" style="730" width="6.7109375" customWidth="1"/>
    <col min="3" max="3" style="730" width="40.7109375" customWidth="1"/>
    <col min="4" max="4" style="730" width="15.57421875" customWidth="1"/>
    <col min="5" max="6" style="730" width="3.7109375" customWidth="1"/>
    <col min="7" max="7" style="730" width="32.7109375" customWidth="1"/>
    <col min="8" max="9" style="730" width="3.7109375" customWidth="1"/>
    <col min="10" max="10" style="730" width="4.7109375" customWidth="1"/>
    <col min="11" max="11" style="730" width="40.7109375" customWidth="1"/>
    <col min="12" max="12" style="730" width="4.7109375" customWidth="1"/>
    <col min="13" max="13" style="730" width="18.57421875" customWidth="1"/>
    <col min="14" max="15" style="730" width="4.7109375" customWidth="1"/>
    <col min="16" max="16" style="730" width="5.7109375" customWidth="1"/>
    <col min="17" max="18" style="730" width="12.57421875" customWidth="1"/>
    <col min="19" max="19" style="730" width="14.57421875" customWidth="1"/>
    <col min="20" max="20" style="730" width="18.8515625" customWidth="1"/>
    <col min="21" max="21" style="730" width="19.28125" customWidth="1"/>
    <col min="22" max="22" style="730" width="39.140625" customWidth="1"/>
    <col min="23" max="23" style="730" width="41.7109375" customWidth="1"/>
    <col min="24" max="24" style="730" width="54.8515625" customWidth="1"/>
    <col min="25" max="26" style="730" width="22.8515625" customWidth="1"/>
    <col min="27" max="31" style="730" width="9.140625"/>
  </cols>
  <sheetData>
    <row customHeight="1" ht="12">
      <c r="A1" s="108" t="s">
        <v>6454</v>
      </c>
      <c r="B1" s="107" t="s">
        <v>6455</v>
      </c>
      <c r="C1" s="108" t="s">
        <v>6454</v>
      </c>
      <c r="D1" s="424" t="s">
        <v>6456</v>
      </c>
      <c r="E1" s="163"/>
      <c r="F1" s="163"/>
      <c r="G1" s="164" t="s">
        <v>6457</v>
      </c>
      <c r="H1" s="163"/>
      <c r="I1" s="163"/>
      <c r="J1" s="163"/>
      <c r="K1" s="414" t="s">
        <v>6458</v>
      </c>
      <c r="L1" s="108"/>
      <c r="M1" s="164" t="s">
        <v>6459</v>
      </c>
      <c r="N1" s="163"/>
      <c r="O1" s="108"/>
      <c r="P1" s="163"/>
      <c r="Q1" s="164" t="s">
        <v>6460</v>
      </c>
      <c r="R1" s="164" t="s">
        <v>6461</v>
      </c>
      <c r="S1" s="164" t="s">
        <v>6462</v>
      </c>
      <c r="T1" s="164" t="s">
        <v>6463</v>
      </c>
      <c r="U1" s="164" t="s">
        <v>6464</v>
      </c>
      <c r="V1" s="171" t="s">
        <v>6465</v>
      </c>
      <c r="W1" s="171" t="s">
        <v>6466</v>
      </c>
      <c r="X1" s="171" t="s">
        <v>6467</v>
      </c>
      <c r="Y1" s="171" t="s">
        <v>6468</v>
      </c>
      <c r="Z1" s="171" t="s">
        <v>6469</v>
      </c>
      <c r="AA1" s="164" t="s">
        <v>6470</v>
      </c>
      <c r="AB1" s="164" t="s">
        <v>6471</v>
      </c>
      <c r="AC1" s="164" t="s">
        <v>6472</v>
      </c>
      <c r="AD1" s="164" t="s">
        <v>6473</v>
      </c>
      <c r="AE1" s="164" t="s">
        <v>6474</v>
      </c>
      <c r="AF1" s="47" t="s">
        <v>6475</v>
      </c>
      <c r="AG1" s="47" t="s">
        <v>6476</v>
      </c>
    </row>
    <row customHeight="1" ht="12">
      <c r="A2" s="108" t="s">
        <v>6477</v>
      </c>
      <c r="B2" s="107" t="s">
        <v>6478</v>
      </c>
      <c r="C2" s="108" t="s">
        <v>6477</v>
      </c>
      <c r="D2" s="423" t="s">
        <v>6479</v>
      </c>
      <c r="E2" s="163"/>
      <c r="F2" s="163"/>
      <c r="G2" s="165" t="s">
        <v>161</v>
      </c>
      <c r="H2" s="163"/>
      <c r="I2" s="163"/>
      <c r="J2" s="163"/>
      <c r="K2" s="415" t="s">
        <v>6480</v>
      </c>
      <c r="L2" s="163"/>
      <c r="M2" s="166" t="s">
        <v>6481</v>
      </c>
      <c r="N2" s="163"/>
      <c r="O2" s="163"/>
      <c r="P2" s="163"/>
      <c r="Q2" s="165">
        <v>2012</v>
      </c>
      <c r="R2" s="165" t="s">
        <v>6482</v>
      </c>
      <c r="S2" s="165">
        <v>3</v>
      </c>
      <c r="T2" s="170" t="s">
        <v>277</v>
      </c>
      <c r="U2" s="170" t="s">
        <v>280</v>
      </c>
      <c r="V2" s="181" t="s">
        <v>282</v>
      </c>
      <c r="W2" s="181" t="s">
        <v>279</v>
      </c>
      <c r="X2" s="181" t="s">
        <v>6483</v>
      </c>
      <c r="Y2" s="181" t="s">
        <v>6484</v>
      </c>
      <c r="Z2" s="181" t="s">
        <v>6484</v>
      </c>
      <c r="AA2" s="170" t="s">
        <v>6485</v>
      </c>
      <c r="AB2" s="170" t="s">
        <v>749</v>
      </c>
      <c r="AC2" s="170" t="s">
        <v>6486</v>
      </c>
      <c r="AD2" s="170" t="s">
        <v>6487</v>
      </c>
      <c r="AE2" s="170" t="s">
        <v>276</v>
      </c>
      <c r="AF2" s="47" t="s">
        <v>6488</v>
      </c>
      <c r="AG2" s="47" t="s">
        <v>6489</v>
      </c>
    </row>
    <row customHeight="1" ht="12">
      <c r="A3" s="108" t="s">
        <v>6490</v>
      </c>
      <c r="B3" s="107" t="s">
        <v>6491</v>
      </c>
      <c r="C3" s="108" t="s">
        <v>6490</v>
      </c>
      <c r="D3" s="163"/>
      <c r="E3" s="163"/>
      <c r="F3" s="163"/>
      <c r="G3" s="165" t="s">
        <v>152</v>
      </c>
      <c r="H3" s="163"/>
      <c r="I3" s="163"/>
      <c r="J3" s="163"/>
      <c r="L3" s="163"/>
      <c r="M3" s="163"/>
      <c r="N3" s="163"/>
      <c r="O3" s="163"/>
      <c r="P3" s="163"/>
      <c r="Q3" s="165">
        <v>2013</v>
      </c>
      <c r="R3" s="165" t="s">
        <v>6492</v>
      </c>
      <c r="S3" s="165">
        <v>4</v>
      </c>
      <c r="T3" s="170" t="s">
        <v>290</v>
      </c>
      <c r="U3" s="170" t="s">
        <v>6493</v>
      </c>
      <c r="V3" s="181" t="s">
        <v>6494</v>
      </c>
      <c r="W3" s="181" t="s">
        <v>6495</v>
      </c>
      <c r="X3" s="181" t="s">
        <v>6496</v>
      </c>
      <c r="Y3" s="181" t="s">
        <v>6497</v>
      </c>
      <c r="Z3" s="181" t="s">
        <v>6497</v>
      </c>
      <c r="AA3" s="170" t="s">
        <v>6498</v>
      </c>
      <c r="AB3" s="170" t="s">
        <v>778</v>
      </c>
      <c r="AC3" s="170" t="s">
        <v>6499</v>
      </c>
      <c r="AD3" s="170" t="s">
        <v>6500</v>
      </c>
      <c r="AE3" s="170" t="s">
        <v>285</v>
      </c>
      <c r="AF3" s="47" t="s">
        <v>6501</v>
      </c>
      <c r="AG3" s="47" t="s">
        <v>6502</v>
      </c>
    </row>
    <row customHeight="1" ht="12">
      <c r="A4" s="108" t="s">
        <v>6503</v>
      </c>
      <c r="B4" s="107" t="s">
        <v>6504</v>
      </c>
      <c r="C4" s="108" t="s">
        <v>6503</v>
      </c>
      <c r="D4" s="163"/>
      <c r="E4" s="163"/>
      <c r="F4" s="163"/>
      <c r="G4" s="163"/>
      <c r="H4" s="163"/>
      <c r="I4" s="163"/>
      <c r="J4" s="163"/>
      <c r="K4" s="414" t="s">
        <v>6505</v>
      </c>
      <c r="L4" s="163"/>
      <c r="M4" s="164" t="s">
        <v>6506</v>
      </c>
      <c r="N4" s="163"/>
      <c r="O4" s="163"/>
      <c r="P4" s="163"/>
      <c r="Q4" s="165">
        <v>2014</v>
      </c>
      <c r="R4" s="165" t="s">
        <v>6507</v>
      </c>
      <c r="S4" s="165">
        <v>5</v>
      </c>
      <c r="V4" s="181" t="s">
        <v>6508</v>
      </c>
      <c r="X4" s="181" t="s">
        <v>430</v>
      </c>
      <c r="Y4" s="181" t="s">
        <v>6509</v>
      </c>
      <c r="Z4" s="181" t="s">
        <v>6509</v>
      </c>
      <c r="AB4" s="170" t="s">
        <v>823</v>
      </c>
      <c r="AC4" s="170" t="s">
        <v>6510</v>
      </c>
      <c r="AD4" s="169"/>
      <c r="AE4" s="170" t="s">
        <v>289</v>
      </c>
      <c r="AF4" s="47" t="s">
        <v>6511</v>
      </c>
      <c r="AG4" s="47" t="s">
        <v>6512</v>
      </c>
    </row>
    <row customHeight="1" ht="12">
      <c r="A5" s="108" t="s">
        <v>6513</v>
      </c>
      <c r="B5" s="107" t="s">
        <v>6514</v>
      </c>
      <c r="C5" s="108" t="s">
        <v>6513</v>
      </c>
      <c r="D5" s="163"/>
      <c r="E5" s="163"/>
      <c r="F5" s="163"/>
      <c r="G5" s="164" t="s">
        <v>6515</v>
      </c>
      <c r="H5" s="163"/>
      <c r="I5" s="163"/>
      <c r="J5" s="163"/>
      <c r="K5" s="165" t="s">
        <v>6516</v>
      </c>
      <c r="L5" s="163"/>
      <c r="M5" s="166">
        <v>1.2</v>
      </c>
      <c r="N5" s="163"/>
      <c r="O5" s="163"/>
      <c r="P5" s="163"/>
      <c r="Q5" s="165">
        <v>2015</v>
      </c>
      <c r="R5" s="165" t="s">
        <v>6517</v>
      </c>
      <c r="S5" s="165">
        <v>6</v>
      </c>
      <c r="V5" s="171" t="s">
        <v>6518</v>
      </c>
      <c r="W5" s="171" t="s">
        <v>6519</v>
      </c>
      <c r="X5" s="181" t="s">
        <v>6520</v>
      </c>
      <c r="Y5" s="181" t="s">
        <v>1622</v>
      </c>
      <c r="Z5" s="181" t="s">
        <v>1622</v>
      </c>
      <c r="AB5" s="170" t="s">
        <v>895</v>
      </c>
      <c r="AC5" s="170" t="s">
        <v>6521</v>
      </c>
      <c r="AD5" s="169"/>
      <c r="AE5" s="170" t="s">
        <v>295</v>
      </c>
      <c r="AF5" s="47" t="s">
        <v>6522</v>
      </c>
      <c r="AG5" s="47" t="s">
        <v>6523</v>
      </c>
    </row>
    <row customHeight="1" ht="12">
      <c r="A6" s="108" t="s">
        <v>6524</v>
      </c>
      <c r="B6" s="107" t="s">
        <v>6525</v>
      </c>
      <c r="C6" s="108" t="s">
        <v>6524</v>
      </c>
      <c r="D6" s="163"/>
      <c r="E6" s="163"/>
      <c r="F6" s="163"/>
      <c r="G6" s="164" t="s">
        <v>6526</v>
      </c>
      <c r="H6" s="163"/>
      <c r="I6" s="163"/>
      <c r="J6" s="163"/>
      <c r="K6" s="165" t="s">
        <v>6527</v>
      </c>
      <c r="L6" s="163"/>
      <c r="M6" s="163"/>
      <c r="N6" s="163"/>
      <c r="O6" s="163"/>
      <c r="P6" s="163"/>
      <c r="Q6" s="165">
        <v>2016</v>
      </c>
      <c r="R6" s="165" t="s">
        <v>6528</v>
      </c>
      <c r="S6" s="165">
        <v>7</v>
      </c>
      <c r="V6" s="181" t="s">
        <v>294</v>
      </c>
      <c r="W6" s="261" t="s">
        <v>292</v>
      </c>
      <c r="X6" s="181" t="s">
        <v>6529</v>
      </c>
      <c r="Y6" s="181" t="s">
        <v>1621</v>
      </c>
      <c r="Z6" s="181" t="s">
        <v>1621</v>
      </c>
      <c r="AB6" s="170" t="s">
        <v>924</v>
      </c>
      <c r="AC6" s="169"/>
      <c r="AD6" s="169"/>
      <c r="AE6" s="170" t="s">
        <v>443</v>
      </c>
      <c r="AF6" s="47" t="s">
        <v>6530</v>
      </c>
      <c r="AG6" s="47" t="s">
        <v>6531</v>
      </c>
    </row>
    <row customHeight="1" ht="12">
      <c r="A7" s="108" t="s">
        <v>6532</v>
      </c>
      <c r="B7" s="107" t="s">
        <v>6533</v>
      </c>
      <c r="C7" s="108" t="s">
        <v>6532</v>
      </c>
      <c r="D7" s="163"/>
      <c r="E7" s="163"/>
      <c r="F7" s="163"/>
      <c r="G7" s="167" t="s">
        <v>6534</v>
      </c>
      <c r="H7" s="163"/>
      <c r="I7" s="163"/>
      <c r="J7" s="163"/>
      <c r="K7" s="165" t="s">
        <v>6535</v>
      </c>
      <c r="L7" s="163"/>
      <c r="M7" s="164" t="s">
        <v>6536</v>
      </c>
      <c r="N7" s="163"/>
      <c r="O7" s="163"/>
      <c r="P7" s="163"/>
      <c r="Q7" s="165">
        <v>2017</v>
      </c>
      <c r="R7" s="165" t="s">
        <v>6537</v>
      </c>
      <c r="S7" s="165">
        <v>8</v>
      </c>
      <c r="V7" s="181" t="s">
        <v>6538</v>
      </c>
      <c r="X7" s="181" t="s">
        <v>6539</v>
      </c>
      <c r="Y7" s="181" t="s">
        <v>1617</v>
      </c>
      <c r="Z7" s="181" t="s">
        <v>1617</v>
      </c>
      <c r="AB7" s="170" t="s">
        <v>6540</v>
      </c>
      <c r="AC7" s="169"/>
      <c r="AD7" s="169"/>
      <c r="AE7" s="169"/>
      <c r="AF7" s="47" t="s">
        <v>6502</v>
      </c>
      <c r="AG7" s="47" t="s">
        <v>6541</v>
      </c>
    </row>
    <row customHeight="1" ht="12">
      <c r="A8" s="108" t="s">
        <v>6542</v>
      </c>
      <c r="B8" s="107" t="s">
        <v>6543</v>
      </c>
      <c r="C8" s="108" t="s">
        <v>6542</v>
      </c>
      <c r="D8" s="163"/>
      <c r="E8" s="163"/>
      <c r="F8" s="163"/>
      <c r="G8" s="167" t="s">
        <v>6544</v>
      </c>
      <c r="H8" s="163"/>
      <c r="I8" s="163"/>
      <c r="J8" s="163"/>
      <c r="K8" s="165" t="s">
        <v>6545</v>
      </c>
      <c r="L8" s="163"/>
      <c r="M8" s="166" cm="1" t="str">
        <f t="array" ref="M8:M8">IF(god="",YEAR(TODAY()),god)</f>
        <v>2026</v>
      </c>
      <c r="N8" s="163"/>
      <c r="O8" s="163"/>
      <c r="P8" s="163"/>
      <c r="Q8" s="165">
        <v>2018</v>
      </c>
      <c r="R8" s="165" t="s">
        <v>6546</v>
      </c>
      <c r="S8" s="165">
        <v>9</v>
      </c>
      <c r="V8" s="181" t="s">
        <v>6547</v>
      </c>
      <c r="X8" s="181" t="s">
        <v>6548</v>
      </c>
      <c r="Z8" s="181" t="s">
        <v>6549</v>
      </c>
      <c r="AB8" s="170" t="s">
        <v>6550</v>
      </c>
      <c r="AC8" s="169"/>
      <c r="AD8" s="169"/>
      <c r="AE8" s="169"/>
      <c r="AF8" s="47" t="s">
        <v>6512</v>
      </c>
      <c r="AG8" s="47" t="s">
        <v>6551</v>
      </c>
    </row>
    <row customHeight="1" ht="12">
      <c r="A9" s="108" t="s">
        <v>6552</v>
      </c>
      <c r="B9" s="107" t="s">
        <v>6553</v>
      </c>
      <c r="C9" s="108" t="s">
        <v>6552</v>
      </c>
      <c r="D9" s="163"/>
      <c r="E9" s="163"/>
      <c r="F9" s="163"/>
      <c r="G9" s="167" t="s">
        <v>6554</v>
      </c>
      <c r="H9" s="163"/>
      <c r="I9" s="163"/>
      <c r="J9" s="163"/>
      <c r="K9" s="165" t="s">
        <v>6555</v>
      </c>
      <c r="L9" s="163"/>
      <c r="M9" s="163"/>
      <c r="N9" s="163"/>
      <c r="O9" s="163"/>
      <c r="P9" s="163"/>
      <c r="Q9" s="165">
        <v>2019</v>
      </c>
      <c r="R9" s="165" t="s">
        <v>6556</v>
      </c>
      <c r="S9" s="165">
        <v>10</v>
      </c>
      <c r="V9" s="181" t="s">
        <v>6557</v>
      </c>
      <c r="X9" s="181" t="s">
        <v>6558</v>
      </c>
      <c r="AB9" s="170" t="s">
        <v>6559</v>
      </c>
      <c r="AC9" s="169"/>
      <c r="AD9" s="169"/>
      <c r="AE9" s="169"/>
      <c r="AF9" s="47" t="s">
        <v>6523</v>
      </c>
      <c r="AG9" s="47" t="s">
        <v>6560</v>
      </c>
    </row>
    <row customHeight="1" ht="12">
      <c r="A10" s="108" t="s">
        <v>6561</v>
      </c>
      <c r="B10" s="107" t="s">
        <v>6562</v>
      </c>
      <c r="C10" s="108" t="s">
        <v>6561</v>
      </c>
      <c r="D10" s="163"/>
      <c r="E10" s="163"/>
      <c r="F10" s="163"/>
      <c r="G10" s="168"/>
      <c r="H10" s="163"/>
      <c r="I10" s="163"/>
      <c r="J10" s="163"/>
      <c r="K10" s="165" t="s">
        <v>6563</v>
      </c>
      <c r="L10" s="163"/>
      <c r="M10" s="164" t="s">
        <v>6564</v>
      </c>
      <c r="N10" s="163"/>
      <c r="O10" s="163"/>
      <c r="P10" s="163"/>
      <c r="Q10" s="165">
        <v>2020</v>
      </c>
      <c r="R10" s="165" t="s">
        <v>6565</v>
      </c>
      <c r="S10" s="165">
        <v>11</v>
      </c>
      <c r="V10" s="181" t="s">
        <v>6566</v>
      </c>
      <c r="X10" s="181" t="s">
        <v>6567</v>
      </c>
      <c r="AB10" s="170" t="s">
        <v>6568</v>
      </c>
      <c r="AC10" s="169"/>
      <c r="AD10" s="169"/>
      <c r="AE10" s="169"/>
      <c r="AF10" s="47" t="s">
        <v>6531</v>
      </c>
      <c r="AG10" s="47" t="s">
        <v>6569</v>
      </c>
    </row>
    <row customHeight="1" ht="12">
      <c r="A11" s="409" t="s">
        <v>6570</v>
      </c>
      <c r="B11" s="107" t="s">
        <v>6571</v>
      </c>
      <c r="C11" s="108" t="s">
        <v>6572</v>
      </c>
      <c r="D11" s="163"/>
      <c r="E11" s="163"/>
      <c r="F11" s="163"/>
      <c r="G11" s="164" t="s">
        <v>6573</v>
      </c>
      <c r="H11" s="163"/>
      <c r="I11" s="163"/>
      <c r="J11" s="163"/>
      <c r="K11" s="165" t="s">
        <v>6574</v>
      </c>
      <c r="L11" s="163"/>
      <c r="M11" s="166" t="str">
        <f>"01.01."&amp;PERIOD</f>
        <v>01.01.2026</v>
      </c>
      <c r="N11" s="163"/>
      <c r="O11" s="163"/>
      <c r="P11" s="163"/>
      <c r="Q11" s="165">
        <v>2021</v>
      </c>
      <c r="R11" s="165" t="s">
        <v>6575</v>
      </c>
      <c r="S11" s="165">
        <v>12</v>
      </c>
      <c r="V11" s="181" t="s">
        <v>6576</v>
      </c>
      <c r="X11" s="181" t="s">
        <v>6577</v>
      </c>
      <c r="AB11" s="170" t="s">
        <v>6578</v>
      </c>
      <c r="AC11" s="169"/>
      <c r="AD11" s="169"/>
      <c r="AE11" s="169"/>
      <c r="AF11" s="47" t="s">
        <v>6541</v>
      </c>
      <c r="AG11" s="47" t="s">
        <v>6579</v>
      </c>
    </row>
    <row customHeight="1" ht="12">
      <c r="A12" s="409" t="s">
        <v>6580</v>
      </c>
      <c r="B12" s="107" t="s">
        <v>6581</v>
      </c>
      <c r="C12" s="108"/>
      <c r="D12" s="163"/>
      <c r="E12" s="163"/>
      <c r="F12" s="163"/>
      <c r="G12" s="164" t="s">
        <v>6582</v>
      </c>
      <c r="H12" s="163"/>
      <c r="I12" s="163"/>
      <c r="J12" s="163"/>
      <c r="K12" s="163"/>
      <c r="L12" s="163"/>
      <c r="M12" s="166" t="str">
        <f>"31.12."&amp;PERIOD</f>
        <v>31.12.2026</v>
      </c>
      <c r="N12" s="163"/>
      <c r="O12" s="163"/>
      <c r="P12" s="163"/>
      <c r="Q12" s="165">
        <v>2022</v>
      </c>
      <c r="R12" s="165" t="s">
        <v>6583</v>
      </c>
      <c r="S12" s="165">
        <v>13</v>
      </c>
      <c r="X12" s="181" t="s">
        <v>6584</v>
      </c>
      <c r="AB12" s="170" t="s">
        <v>6585</v>
      </c>
      <c r="AC12" s="169"/>
      <c r="AD12" s="169"/>
      <c r="AE12" s="169"/>
      <c r="AF12" s="47" t="s">
        <v>6551</v>
      </c>
      <c r="AG12" s="47" t="s">
        <v>6586</v>
      </c>
    </row>
    <row customHeight="1" ht="12">
      <c r="A13" s="409" t="s">
        <v>6587</v>
      </c>
      <c r="B13" s="107" t="s">
        <v>6588</v>
      </c>
      <c r="C13" s="108" t="s">
        <v>6589</v>
      </c>
      <c r="D13" s="163"/>
      <c r="E13" s="163"/>
      <c r="F13" s="163"/>
      <c r="G13" s="167" t="s">
        <v>6590</v>
      </c>
      <c r="H13" s="163"/>
      <c r="I13" s="163"/>
      <c r="J13" s="163"/>
      <c r="K13" s="459" t="s">
        <v>6591</v>
      </c>
      <c r="L13" s="163"/>
      <c r="M13" s="163"/>
      <c r="N13" s="163"/>
      <c r="O13" s="163"/>
      <c r="P13" s="163"/>
      <c r="Q13" s="165">
        <v>2023</v>
      </c>
      <c r="R13" s="165" t="s">
        <v>6592</v>
      </c>
      <c r="S13" s="165">
        <v>14</v>
      </c>
      <c r="X13" s="181" t="s">
        <v>6593</v>
      </c>
      <c r="AB13" s="170" t="s">
        <v>6594</v>
      </c>
      <c r="AC13" s="169"/>
      <c r="AD13" s="169"/>
      <c r="AE13" s="169"/>
      <c r="AF13" s="47" t="s">
        <v>6560</v>
      </c>
      <c r="AG13" s="47" t="s">
        <v>6595</v>
      </c>
    </row>
    <row customHeight="1" ht="12">
      <c r="A14" s="409" t="s">
        <v>6596</v>
      </c>
      <c r="B14" s="107" t="s">
        <v>6597</v>
      </c>
      <c r="C14" s="108" t="s">
        <v>6598</v>
      </c>
      <c r="D14" s="163"/>
      <c r="E14" s="163"/>
      <c r="F14" s="163"/>
      <c r="G14" s="167" t="s">
        <v>6599</v>
      </c>
      <c r="H14" s="163"/>
      <c r="I14" s="163"/>
      <c r="J14" s="163"/>
      <c r="K14" s="460" t="s">
        <v>104</v>
      </c>
      <c r="L14" s="163"/>
      <c r="M14" s="164" t="s">
        <v>6600</v>
      </c>
      <c r="N14" s="163"/>
      <c r="O14" s="163"/>
      <c r="P14" s="163"/>
      <c r="Q14" s="165">
        <v>2024</v>
      </c>
      <c r="R14" s="163"/>
      <c r="S14" s="165">
        <v>15</v>
      </c>
      <c r="X14" s="181" t="s">
        <v>6601</v>
      </c>
      <c r="AB14" s="170" t="s">
        <v>6602</v>
      </c>
      <c r="AC14" s="169"/>
      <c r="AD14" s="169"/>
      <c r="AE14" s="169"/>
      <c r="AF14" s="47" t="s">
        <v>6569</v>
      </c>
      <c r="AG14" s="47" t="s">
        <v>6603</v>
      </c>
    </row>
    <row customHeight="1" ht="12">
      <c r="A15" s="410" t="s">
        <v>6604</v>
      </c>
      <c r="B15" s="411" t="s">
        <v>6605</v>
      </c>
      <c r="C15" s="410"/>
      <c r="D15" s="163"/>
      <c r="E15" s="163"/>
      <c r="F15" s="163"/>
      <c r="G15" s="167" t="s">
        <v>6606</v>
      </c>
      <c r="H15" s="163"/>
      <c r="I15" s="163"/>
      <c r="J15" s="163"/>
      <c r="K15" s="460" t="s">
        <v>6607</v>
      </c>
      <c r="L15" s="163"/>
      <c r="M15" s="166" t="str">
        <f>"01.01."&amp;PERIOD</f>
        <v>01.01.2026</v>
      </c>
      <c r="N15" s="163"/>
      <c r="O15" s="163"/>
      <c r="P15" s="163"/>
      <c r="Q15" s="165">
        <v>2025</v>
      </c>
      <c r="R15" s="163"/>
      <c r="S15" s="165">
        <v>16</v>
      </c>
      <c r="AB15" s="170" t="s">
        <v>6608</v>
      </c>
      <c r="AC15" s="169"/>
      <c r="AD15" s="169"/>
      <c r="AE15" s="169"/>
      <c r="AF15" s="47" t="s">
        <v>6579</v>
      </c>
      <c r="AG15" s="47" t="s">
        <v>6609</v>
      </c>
    </row>
    <row customHeight="1" ht="12">
      <c r="A16" s="108" t="s">
        <v>6610</v>
      </c>
      <c r="B16" s="107" t="s">
        <v>6611</v>
      </c>
      <c r="C16" s="108" t="s">
        <v>6610</v>
      </c>
      <c r="D16" s="163"/>
      <c r="E16" s="163"/>
      <c r="F16" s="163"/>
      <c r="G16" s="167" t="s">
        <v>158</v>
      </c>
      <c r="H16" s="163"/>
      <c r="I16" s="163"/>
      <c r="J16" s="163"/>
      <c r="K16" s="460" t="s">
        <v>6612</v>
      </c>
      <c r="L16" s="163"/>
      <c r="M16" s="166" t="str">
        <f>"31.12."&amp;PERIOD</f>
        <v>31.12.2026</v>
      </c>
      <c r="N16" s="163"/>
      <c r="O16" s="163"/>
      <c r="P16" s="163"/>
      <c r="Q16" s="165">
        <v>2026</v>
      </c>
      <c r="R16" s="163"/>
      <c r="S16" s="165">
        <v>17</v>
      </c>
      <c r="X16" s="171" t="s">
        <v>6613</v>
      </c>
      <c r="AB16" s="170" t="s">
        <v>6614</v>
      </c>
      <c r="AC16" s="169"/>
      <c r="AD16" s="169"/>
      <c r="AE16" s="169"/>
      <c r="AF16" s="47" t="s">
        <v>6586</v>
      </c>
      <c r="AG16" s="47" t="s">
        <v>6615</v>
      </c>
    </row>
    <row customHeight="1" ht="23.25">
      <c r="A17" s="108" t="s">
        <v>6616</v>
      </c>
      <c r="B17" s="107" t="s">
        <v>6617</v>
      </c>
      <c r="C17" s="108" t="s">
        <v>6616</v>
      </c>
      <c r="D17" s="163"/>
      <c r="E17" s="163"/>
      <c r="F17" s="163"/>
      <c r="G17" s="163"/>
      <c r="H17" s="163"/>
      <c r="I17" s="163"/>
      <c r="J17" s="163"/>
      <c r="K17" s="460" t="s">
        <v>6618</v>
      </c>
      <c r="L17" s="163"/>
      <c r="M17" s="152"/>
      <c r="N17" s="163"/>
      <c r="O17" s="163"/>
      <c r="P17" s="163"/>
      <c r="Q17" s="165">
        <v>2027</v>
      </c>
      <c r="R17" s="163"/>
      <c r="S17" s="165">
        <v>18</v>
      </c>
      <c r="X17" s="181" t="s">
        <v>6619</v>
      </c>
      <c r="AB17" s="170" t="s">
        <v>6620</v>
      </c>
      <c r="AC17" s="169"/>
      <c r="AD17" s="169"/>
      <c r="AE17" s="169"/>
      <c r="AF17" s="47" t="s">
        <v>6595</v>
      </c>
      <c r="AG17" s="47" t="s">
        <v>6621</v>
      </c>
    </row>
    <row customHeight="1" ht="12">
      <c r="A18" s="410" t="s">
        <v>6622</v>
      </c>
      <c r="B18" s="411" t="s">
        <v>6623</v>
      </c>
      <c r="C18" s="410"/>
      <c r="D18" s="163"/>
      <c r="E18" s="163"/>
      <c r="F18" s="573"/>
      <c r="G18" s="164" t="s">
        <v>6624</v>
      </c>
      <c r="H18" s="163"/>
      <c r="I18" s="163"/>
      <c r="J18" s="163"/>
      <c r="K18" s="163"/>
      <c r="L18" s="163"/>
      <c r="M18" s="164" t="s">
        <v>6625</v>
      </c>
      <c r="N18" s="163"/>
      <c r="O18" s="163"/>
      <c r="P18" s="163"/>
      <c r="Q18" s="165">
        <v>2028</v>
      </c>
      <c r="R18" s="163"/>
      <c r="S18" s="165">
        <v>19</v>
      </c>
      <c r="X18" s="181" t="s">
        <v>6626</v>
      </c>
      <c r="AB18" s="170" t="s">
        <v>6627</v>
      </c>
      <c r="AC18" s="169"/>
      <c r="AD18" s="169"/>
      <c r="AE18" s="169"/>
      <c r="AF18" s="47" t="s">
        <v>6603</v>
      </c>
      <c r="AG18" s="47" t="s">
        <v>6628</v>
      </c>
    </row>
    <row customHeight="1" ht="12">
      <c r="A19" s="108" t="s">
        <v>6629</v>
      </c>
      <c r="B19" s="107" t="s">
        <v>6630</v>
      </c>
      <c r="C19" s="108" t="s">
        <v>6629</v>
      </c>
      <c r="D19" s="163"/>
      <c r="E19" s="163"/>
      <c r="F19" s="573"/>
      <c r="G19" s="572" t="s">
        <v>6631</v>
      </c>
      <c r="H19" s="163"/>
      <c r="I19" s="163"/>
      <c r="J19" s="163"/>
      <c r="K19" s="459" t="s">
        <v>6632</v>
      </c>
      <c r="L19" s="163"/>
      <c r="M19" s="166" t="str">
        <f>"01.01."&amp;PERIOD</f>
        <v>01.01.2026</v>
      </c>
      <c r="N19" s="163"/>
      <c r="O19" s="163"/>
      <c r="P19" s="163"/>
      <c r="Q19" s="165">
        <v>2029</v>
      </c>
      <c r="R19" s="163"/>
      <c r="S19" s="165">
        <v>20</v>
      </c>
      <c r="X19" s="181" t="s">
        <v>6633</v>
      </c>
      <c r="AB19" s="170" t="s">
        <v>6634</v>
      </c>
      <c r="AC19" s="169"/>
      <c r="AD19" s="169"/>
      <c r="AE19" s="169"/>
      <c r="AF19" s="47" t="s">
        <v>6609</v>
      </c>
      <c r="AG19" s="47" t="s">
        <v>6635</v>
      </c>
    </row>
    <row customHeight="1" ht="12">
      <c r="A20" s="108" t="s">
        <v>6636</v>
      </c>
      <c r="B20" s="107" t="s">
        <v>6637</v>
      </c>
      <c r="C20" s="108" t="s">
        <v>6636</v>
      </c>
      <c r="D20" s="163"/>
      <c r="E20" s="163"/>
      <c r="F20" s="573"/>
      <c r="G20" s="572" t="s">
        <v>6638</v>
      </c>
      <c r="H20" s="163"/>
      <c r="I20" s="163"/>
      <c r="J20" s="163"/>
      <c r="K20" s="460" t="s">
        <v>6639</v>
      </c>
      <c r="L20" s="163"/>
      <c r="M20" s="166" t="str">
        <f>"31.12."&amp;PERIOD</f>
        <v>31.12.2026</v>
      </c>
      <c r="N20" s="163"/>
      <c r="O20" s="163"/>
      <c r="P20" s="163"/>
      <c r="Q20" s="165">
        <v>2030</v>
      </c>
      <c r="R20" s="163"/>
      <c r="S20" s="165">
        <v>21</v>
      </c>
      <c r="X20" s="181" t="s">
        <v>6640</v>
      </c>
      <c r="AB20" s="170" t="s">
        <v>6641</v>
      </c>
      <c r="AC20" s="169"/>
      <c r="AD20" s="169"/>
      <c r="AE20" s="169"/>
      <c r="AF20" s="47" t="s">
        <v>6615</v>
      </c>
      <c r="AG20" s="47" t="s">
        <v>6642</v>
      </c>
    </row>
    <row customHeight="1" ht="12">
      <c r="A21" s="108" t="s">
        <v>6643</v>
      </c>
      <c r="B21" s="107" t="s">
        <v>6644</v>
      </c>
      <c r="C21" s="108" t="s">
        <v>6645</v>
      </c>
      <c r="D21" s="163"/>
      <c r="E21" s="163"/>
      <c r="F21" s="163"/>
      <c r="G21" s="163"/>
      <c r="H21" s="163"/>
      <c r="I21" s="163"/>
      <c r="J21" s="163"/>
      <c r="K21" s="460" t="s">
        <v>6646</v>
      </c>
      <c r="L21" s="163"/>
      <c r="M21" s="163"/>
      <c r="N21" s="163"/>
      <c r="O21" s="163"/>
      <c r="P21" s="163"/>
      <c r="Q21" s="163"/>
      <c r="R21" s="163"/>
      <c r="S21" s="165">
        <v>22</v>
      </c>
      <c r="X21" s="181" t="s">
        <v>6647</v>
      </c>
      <c r="AB21" s="170" t="s">
        <v>6648</v>
      </c>
      <c r="AC21" s="169"/>
      <c r="AD21" s="169"/>
      <c r="AE21" s="169"/>
      <c r="AF21" s="47" t="s">
        <v>6621</v>
      </c>
      <c r="AG21" s="47" t="s">
        <v>6649</v>
      </c>
    </row>
    <row customHeight="1" ht="12">
      <c r="A22" s="108" t="s">
        <v>6650</v>
      </c>
      <c r="B22" s="107" t="s">
        <v>6651</v>
      </c>
      <c r="C22" s="108" t="s">
        <v>6650</v>
      </c>
      <c r="D22" s="163"/>
      <c r="E22" s="163"/>
      <c r="F22" s="163"/>
      <c r="G22" s="163"/>
      <c r="H22" s="163"/>
      <c r="I22" s="163"/>
      <c r="J22" s="163"/>
      <c r="K22" s="460" t="s">
        <v>6652</v>
      </c>
      <c r="L22" s="163"/>
      <c r="M22" s="163"/>
      <c r="N22" s="163"/>
      <c r="O22" s="163"/>
      <c r="P22" s="163"/>
      <c r="Q22" s="163"/>
      <c r="R22" s="163"/>
      <c r="S22" s="165">
        <v>23</v>
      </c>
      <c r="X22" s="181" t="s">
        <v>6653</v>
      </c>
      <c r="AB22" s="170" t="s">
        <v>6654</v>
      </c>
      <c r="AC22" s="169"/>
      <c r="AD22" s="169"/>
      <c r="AE22" s="169"/>
      <c r="AF22" s="47" t="s">
        <v>6628</v>
      </c>
      <c r="AG22" s="47" t="s">
        <v>6655</v>
      </c>
    </row>
    <row customHeight="1" ht="12">
      <c r="A23" s="108" t="s">
        <v>6656</v>
      </c>
      <c r="B23" s="107" t="s">
        <v>6657</v>
      </c>
      <c r="C23" s="108" t="s">
        <v>6656</v>
      </c>
      <c r="D23" s="163"/>
      <c r="E23" s="163"/>
      <c r="F23" s="163"/>
      <c r="G23" s="163"/>
      <c r="H23" s="163"/>
      <c r="I23" s="163"/>
      <c r="J23" s="163"/>
      <c r="K23" s="460" t="s">
        <v>6658</v>
      </c>
      <c r="L23" s="163"/>
      <c r="M23" s="163"/>
      <c r="N23" s="163"/>
      <c r="O23" s="163"/>
      <c r="P23" s="163"/>
      <c r="Q23" s="163"/>
      <c r="R23" s="163"/>
      <c r="S23" s="165">
        <v>24</v>
      </c>
      <c r="X23" s="181" t="s">
        <v>6659</v>
      </c>
      <c r="AF23" s="47" t="s">
        <v>6635</v>
      </c>
      <c r="AG23" s="47" t="s">
        <v>6660</v>
      </c>
    </row>
    <row customHeight="1" ht="12">
      <c r="A24" s="108" t="s">
        <v>6661</v>
      </c>
      <c r="B24" s="107" t="s">
        <v>6662</v>
      </c>
      <c r="C24" s="108" t="s">
        <v>6661</v>
      </c>
      <c r="D24" s="163"/>
      <c r="E24" s="163"/>
      <c r="F24" s="163"/>
      <c r="G24" s="163"/>
      <c r="H24" s="163"/>
      <c r="I24" s="163"/>
      <c r="J24" s="163"/>
      <c r="K24" s="460" t="s">
        <v>6663</v>
      </c>
      <c r="L24" s="163"/>
      <c r="M24" s="163"/>
      <c r="N24" s="163"/>
      <c r="O24" s="163"/>
      <c r="P24" s="163"/>
      <c r="Q24" s="163"/>
      <c r="R24" s="163"/>
      <c r="S24" s="165">
        <v>25</v>
      </c>
      <c r="X24" s="181" t="s">
        <v>6664</v>
      </c>
      <c r="AF24" s="47" t="s">
        <v>6642</v>
      </c>
      <c r="AG24" s="47" t="s">
        <v>6665</v>
      </c>
    </row>
    <row customHeight="1" ht="12">
      <c r="A25" s="108" t="s">
        <v>6666</v>
      </c>
      <c r="B25" s="107" t="s">
        <v>6667</v>
      </c>
      <c r="C25" s="108" t="s">
        <v>6668</v>
      </c>
      <c r="D25" s="163"/>
      <c r="E25" s="163"/>
      <c r="F25" s="163"/>
      <c r="G25" s="163"/>
      <c r="H25" s="163"/>
      <c r="I25" s="163"/>
      <c r="J25" s="163"/>
      <c r="K25" s="163"/>
      <c r="L25" s="163"/>
      <c r="M25" s="163"/>
      <c r="N25" s="163"/>
      <c r="O25" s="163"/>
      <c r="P25" s="163"/>
      <c r="Q25" s="163"/>
      <c r="R25" s="163"/>
      <c r="S25" s="165">
        <v>26</v>
      </c>
      <c r="X25" s="181" t="s">
        <v>431</v>
      </c>
      <c r="AF25" s="47" t="s">
        <v>6649</v>
      </c>
      <c r="AG25" s="47" t="s">
        <v>6669</v>
      </c>
    </row>
    <row customHeight="1" ht="12">
      <c r="A26" s="108" t="s">
        <v>102</v>
      </c>
      <c r="B26" s="107" t="s">
        <v>6670</v>
      </c>
      <c r="C26" s="108" t="s">
        <v>102</v>
      </c>
      <c r="D26" s="163"/>
      <c r="E26" s="163"/>
      <c r="F26" s="163"/>
      <c r="G26" s="163"/>
      <c r="H26" s="163"/>
      <c r="I26" s="163"/>
      <c r="J26" s="163"/>
      <c r="K26" s="459" t="s">
        <v>6671</v>
      </c>
      <c r="L26" s="163"/>
      <c r="M26" s="163"/>
      <c r="N26" s="163"/>
      <c r="O26" s="163"/>
      <c r="P26" s="163"/>
      <c r="Q26" s="163"/>
      <c r="R26" s="163"/>
      <c r="S26" s="165">
        <v>27</v>
      </c>
      <c r="X26" s="181" t="s">
        <v>6672</v>
      </c>
      <c r="AF26" s="47" t="s">
        <v>6655</v>
      </c>
      <c r="AG26" s="47" t="s">
        <v>6673</v>
      </c>
    </row>
    <row customHeight="1" ht="12">
      <c r="A27" s="108" t="s">
        <v>6674</v>
      </c>
      <c r="B27" s="107" t="s">
        <v>6675</v>
      </c>
      <c r="C27" s="108" t="s">
        <v>6674</v>
      </c>
      <c r="D27" s="163"/>
      <c r="E27" s="163"/>
      <c r="F27" s="163"/>
      <c r="G27" s="163"/>
      <c r="H27" s="163"/>
      <c r="I27" s="163"/>
      <c r="J27" s="163"/>
      <c r="K27" s="460" t="s">
        <v>6676</v>
      </c>
      <c r="L27" s="163"/>
      <c r="M27" s="163"/>
      <c r="N27" s="163"/>
      <c r="O27" s="163"/>
      <c r="P27" s="163"/>
      <c r="Q27" s="163"/>
      <c r="R27" s="163"/>
      <c r="S27" s="165">
        <v>28</v>
      </c>
      <c r="X27" s="181" t="s">
        <v>6677</v>
      </c>
      <c r="AF27" s="47" t="s">
        <v>6660</v>
      </c>
      <c r="AG27" s="47" t="s">
        <v>6678</v>
      </c>
    </row>
    <row customHeight="1" ht="12">
      <c r="A28" s="108" t="s">
        <v>6679</v>
      </c>
      <c r="B28" s="107" t="s">
        <v>6680</v>
      </c>
      <c r="C28" s="108" t="s">
        <v>6679</v>
      </c>
      <c r="D28" s="163"/>
      <c r="E28" s="163"/>
      <c r="F28" s="163"/>
      <c r="G28" s="163"/>
      <c r="H28" s="163"/>
      <c r="I28" s="163"/>
      <c r="J28" s="163"/>
      <c r="K28" s="460" t="s">
        <v>6681</v>
      </c>
      <c r="L28" s="163"/>
      <c r="M28" s="163"/>
      <c r="N28" s="163"/>
      <c r="O28" s="163"/>
      <c r="P28" s="163"/>
      <c r="Q28" s="163"/>
      <c r="R28" s="163"/>
      <c r="S28" s="165">
        <v>29</v>
      </c>
      <c r="X28" s="181" t="s">
        <v>6682</v>
      </c>
      <c r="AF28" s="47" t="s">
        <v>6665</v>
      </c>
      <c r="AG28" s="47" t="s">
        <v>6683</v>
      </c>
    </row>
    <row customHeight="1" ht="12">
      <c r="A29" s="108" t="s">
        <v>6684</v>
      </c>
      <c r="B29" s="107" t="s">
        <v>6685</v>
      </c>
      <c r="C29" s="108" t="s">
        <v>6684</v>
      </c>
      <c r="D29" s="163"/>
      <c r="E29" s="163"/>
      <c r="F29" s="163"/>
      <c r="G29" s="163"/>
      <c r="H29" s="163"/>
      <c r="I29" s="163"/>
      <c r="J29" s="163"/>
      <c r="K29" s="460" t="s">
        <v>6686</v>
      </c>
      <c r="L29" s="163"/>
      <c r="M29" s="163"/>
      <c r="N29" s="163"/>
      <c r="O29" s="163"/>
      <c r="P29" s="163"/>
      <c r="Q29" s="163"/>
      <c r="R29" s="163"/>
      <c r="S29" s="165">
        <v>30</v>
      </c>
      <c r="X29" s="181" t="s">
        <v>6687</v>
      </c>
      <c r="AF29" s="47" t="s">
        <v>6669</v>
      </c>
      <c r="AG29" s="47" t="s">
        <v>6688</v>
      </c>
    </row>
    <row customHeight="1" ht="12">
      <c r="A30" s="108" t="s">
        <v>6689</v>
      </c>
      <c r="B30" s="107" t="s">
        <v>6690</v>
      </c>
      <c r="C30" s="108" t="s">
        <v>6689</v>
      </c>
      <c r="D30" s="163"/>
      <c r="E30" s="163"/>
      <c r="F30" s="163"/>
      <c r="G30" s="163"/>
      <c r="H30" s="163"/>
      <c r="I30" s="163"/>
      <c r="J30" s="163"/>
      <c r="K30" s="163"/>
      <c r="L30" s="163"/>
      <c r="M30" s="163"/>
      <c r="N30" s="163"/>
      <c r="O30" s="163"/>
      <c r="P30" s="163"/>
      <c r="Q30" s="163"/>
      <c r="R30" s="163"/>
      <c r="S30" s="165">
        <v>31</v>
      </c>
      <c r="X30" s="181" t="s">
        <v>6691</v>
      </c>
      <c r="AF30" s="47" t="s">
        <v>6673</v>
      </c>
      <c r="AG30" s="47" t="s">
        <v>6692</v>
      </c>
    </row>
    <row customHeight="1" ht="12">
      <c r="A31" s="108" t="s">
        <v>6693</v>
      </c>
      <c r="B31" s="107" t="s">
        <v>6694</v>
      </c>
      <c r="C31" s="108" t="s">
        <v>6693</v>
      </c>
      <c r="D31" s="163"/>
      <c r="E31" s="163"/>
      <c r="F31" s="163"/>
      <c r="G31" s="163"/>
      <c r="H31" s="163"/>
      <c r="I31" s="163"/>
      <c r="J31" s="163"/>
      <c r="K31" s="163"/>
      <c r="L31" s="163"/>
      <c r="M31" s="163"/>
      <c r="N31" s="163"/>
      <c r="O31" s="163"/>
      <c r="P31" s="163"/>
      <c r="Q31" s="163"/>
      <c r="R31" s="163"/>
      <c r="S31" s="165">
        <v>32</v>
      </c>
      <c r="X31" s="181" t="s">
        <v>6695</v>
      </c>
      <c r="AF31" s="47" t="s">
        <v>6696</v>
      </c>
      <c r="AG31" s="47" t="s">
        <v>6697</v>
      </c>
    </row>
    <row customHeight="1" ht="12">
      <c r="A32" s="108" t="s">
        <v>6698</v>
      </c>
      <c r="B32" s="107" t="s">
        <v>6699</v>
      </c>
      <c r="C32" s="108" t="s">
        <v>6698</v>
      </c>
      <c r="D32" s="163"/>
      <c r="E32" s="163"/>
      <c r="F32" s="163"/>
      <c r="G32" s="163"/>
      <c r="H32" s="163"/>
      <c r="I32" s="163"/>
      <c r="J32" s="163"/>
      <c r="K32" s="163"/>
      <c r="L32" s="163"/>
      <c r="M32" s="163"/>
      <c r="N32" s="163"/>
      <c r="O32" s="163"/>
      <c r="P32" s="163"/>
      <c r="Q32" s="163"/>
      <c r="R32" s="163"/>
      <c r="S32" s="165">
        <v>33</v>
      </c>
      <c r="X32" s="181" t="s">
        <v>6700</v>
      </c>
      <c r="AF32" s="0" t="s">
        <v>6701</v>
      </c>
      <c r="AG32" s="0" t="s">
        <v>6702</v>
      </c>
    </row>
    <row customHeight="1" ht="12">
      <c r="A33" s="108" t="s">
        <v>6703</v>
      </c>
      <c r="B33" s="107" t="s">
        <v>6704</v>
      </c>
      <c r="C33" s="108" t="s">
        <v>6703</v>
      </c>
      <c r="D33" s="163"/>
      <c r="E33" s="163"/>
      <c r="F33" s="163"/>
      <c r="G33" s="163"/>
      <c r="H33" s="163"/>
      <c r="I33" s="163"/>
      <c r="J33" s="163"/>
      <c r="K33" s="163"/>
      <c r="L33" s="163"/>
      <c r="M33" s="163"/>
      <c r="N33" s="163"/>
      <c r="O33" s="163"/>
      <c r="P33" s="163"/>
      <c r="Q33" s="163"/>
      <c r="R33" s="163"/>
      <c r="S33" s="165">
        <v>34</v>
      </c>
      <c r="X33" s="181" t="s">
        <v>6705</v>
      </c>
      <c r="AF33" s="0" t="s">
        <v>6706</v>
      </c>
      <c r="AG33" s="0" t="s">
        <v>6707</v>
      </c>
    </row>
    <row customHeight="1" ht="12">
      <c r="A34" s="108" t="s">
        <v>6708</v>
      </c>
      <c r="B34" s="107" t="s">
        <v>6709</v>
      </c>
      <c r="C34" s="108" t="s">
        <v>6708</v>
      </c>
      <c r="D34" s="163"/>
      <c r="E34" s="163"/>
      <c r="F34" s="163"/>
      <c r="G34" s="163"/>
      <c r="H34" s="163"/>
      <c r="I34" s="163"/>
      <c r="J34" s="163"/>
      <c r="K34" s="163"/>
      <c r="L34" s="163"/>
      <c r="M34" s="163"/>
      <c r="N34" s="163"/>
      <c r="O34" s="163"/>
      <c r="P34" s="163"/>
      <c r="Q34" s="163"/>
      <c r="R34" s="163"/>
      <c r="S34" s="165">
        <v>35</v>
      </c>
      <c r="X34" s="181" t="s">
        <v>6710</v>
      </c>
      <c r="AF34" s="0" t="s">
        <v>6711</v>
      </c>
      <c r="AG34" s="0" t="s">
        <v>6712</v>
      </c>
    </row>
    <row customHeight="1" ht="12">
      <c r="A35" s="410" t="s">
        <v>6713</v>
      </c>
      <c r="B35" s="411" t="s">
        <v>6714</v>
      </c>
      <c r="C35" s="410"/>
      <c r="D35" s="163"/>
      <c r="E35" s="163"/>
      <c r="F35" s="163"/>
      <c r="G35" s="163"/>
      <c r="H35" s="163"/>
      <c r="I35" s="163"/>
      <c r="J35" s="163"/>
      <c r="K35" s="163"/>
      <c r="L35" s="163"/>
      <c r="M35" s="163"/>
      <c r="N35" s="163"/>
      <c r="O35" s="163"/>
      <c r="P35" s="163"/>
      <c r="Q35" s="163"/>
      <c r="R35" s="163"/>
      <c r="S35" s="165">
        <v>36</v>
      </c>
      <c r="X35" s="181" t="s">
        <v>6715</v>
      </c>
      <c r="AF35" s="0" t="s">
        <v>6716</v>
      </c>
      <c r="AG35" s="0" t="s">
        <v>6717</v>
      </c>
    </row>
    <row customHeight="1" ht="12">
      <c r="A36" s="108" t="s">
        <v>6718</v>
      </c>
      <c r="B36" s="107" t="s">
        <v>6719</v>
      </c>
      <c r="C36" s="108" t="s">
        <v>6718</v>
      </c>
      <c r="D36" s="163"/>
      <c r="E36" s="163"/>
      <c r="F36" s="163"/>
      <c r="G36" s="163"/>
      <c r="H36" s="163"/>
      <c r="I36" s="163"/>
      <c r="J36" s="163"/>
      <c r="K36" s="163"/>
      <c r="L36" s="163"/>
      <c r="M36" s="163"/>
      <c r="N36" s="163"/>
      <c r="O36" s="163"/>
      <c r="P36" s="163"/>
      <c r="Q36" s="163"/>
      <c r="R36" s="163"/>
      <c r="S36" s="165">
        <v>37</v>
      </c>
      <c r="X36" s="181" t="s">
        <v>6720</v>
      </c>
      <c r="AF36" s="0" t="s">
        <v>6721</v>
      </c>
      <c r="AG36" s="0" t="s">
        <v>6722</v>
      </c>
    </row>
    <row customHeight="1" ht="12">
      <c r="A37" s="108" t="s">
        <v>6723</v>
      </c>
      <c r="B37" s="107" t="s">
        <v>6724</v>
      </c>
      <c r="C37" s="108" t="s">
        <v>6723</v>
      </c>
      <c r="D37" s="163"/>
      <c r="E37" s="163"/>
      <c r="F37" s="163"/>
      <c r="G37" s="163"/>
      <c r="H37" s="163"/>
      <c r="I37" s="163"/>
      <c r="J37" s="163"/>
      <c r="K37" s="163"/>
      <c r="L37" s="163"/>
      <c r="M37" s="163"/>
      <c r="N37" s="163"/>
      <c r="O37" s="163"/>
      <c r="P37" s="163"/>
      <c r="Q37" s="163"/>
      <c r="R37" s="163"/>
      <c r="S37" s="165">
        <v>38</v>
      </c>
      <c r="AF37" s="0" t="s">
        <v>6725</v>
      </c>
      <c r="AG37" s="0" t="s">
        <v>6726</v>
      </c>
    </row>
    <row customHeight="1" ht="12">
      <c r="A38" s="108" t="s">
        <v>6727</v>
      </c>
      <c r="B38" s="107" t="s">
        <v>6728</v>
      </c>
      <c r="C38" s="108" t="s">
        <v>6727</v>
      </c>
      <c r="D38" s="163"/>
      <c r="E38" s="163"/>
      <c r="F38" s="163"/>
      <c r="G38" s="163"/>
      <c r="H38" s="163"/>
      <c r="I38" s="163"/>
      <c r="J38" s="163"/>
      <c r="K38" s="164" t="s">
        <v>6729</v>
      </c>
      <c r="L38" s="163"/>
      <c r="M38" s="163"/>
      <c r="N38" s="163"/>
      <c r="O38" s="163"/>
      <c r="P38" s="163"/>
      <c r="Q38" s="163"/>
      <c r="R38" s="163"/>
      <c r="S38" s="165">
        <v>39</v>
      </c>
      <c r="AF38" s="0" t="s">
        <v>6730</v>
      </c>
      <c r="AG38" s="0" t="s">
        <v>6731</v>
      </c>
    </row>
    <row customHeight="1" ht="12">
      <c r="A39" s="108" t="s">
        <v>6732</v>
      </c>
      <c r="B39" s="107" t="s">
        <v>6733</v>
      </c>
      <c r="C39" s="108" t="s">
        <v>6732</v>
      </c>
      <c r="D39" s="163"/>
      <c r="E39" s="163"/>
      <c r="F39" s="163"/>
      <c r="G39" s="163"/>
      <c r="H39" s="163"/>
      <c r="I39" s="163"/>
      <c r="J39" s="163"/>
      <c r="K39" s="460" t="s">
        <v>104</v>
      </c>
      <c r="L39" s="163"/>
      <c r="M39" s="163"/>
      <c r="N39" s="163"/>
      <c r="O39" s="163"/>
      <c r="P39" s="163"/>
      <c r="Q39" s="163"/>
      <c r="R39" s="163"/>
      <c r="S39" s="165">
        <v>40</v>
      </c>
      <c r="AF39" s="0" t="s">
        <v>6734</v>
      </c>
      <c r="AG39" s="0" t="s">
        <v>6735</v>
      </c>
    </row>
    <row customHeight="1" ht="12">
      <c r="A40" s="108" t="s">
        <v>6736</v>
      </c>
      <c r="B40" s="107" t="s">
        <v>6737</v>
      </c>
      <c r="C40" s="108" t="s">
        <v>6736</v>
      </c>
      <c r="D40" s="163"/>
      <c r="E40" s="163"/>
      <c r="F40" s="163"/>
      <c r="G40" s="163"/>
      <c r="H40" s="163"/>
      <c r="I40" s="163"/>
      <c r="J40" s="163"/>
      <c r="K40" s="460" t="s">
        <v>6607</v>
      </c>
      <c r="L40" s="163"/>
      <c r="M40" s="163"/>
      <c r="N40" s="163"/>
      <c r="O40" s="163"/>
      <c r="P40" s="163"/>
      <c r="Q40" s="163"/>
      <c r="R40" s="163"/>
      <c r="S40" s="165">
        <v>41</v>
      </c>
      <c r="AF40" s="0" t="s">
        <v>6738</v>
      </c>
      <c r="AG40" s="0" t="s">
        <v>6739</v>
      </c>
    </row>
    <row customHeight="1" ht="12">
      <c r="A41" s="108" t="s">
        <v>6740</v>
      </c>
      <c r="B41" s="107" t="s">
        <v>6741</v>
      </c>
      <c r="C41" s="108" t="s">
        <v>6740</v>
      </c>
      <c r="D41" s="163"/>
      <c r="E41" s="163"/>
      <c r="F41" s="163"/>
      <c r="G41" s="163"/>
      <c r="H41" s="163"/>
      <c r="I41" s="163"/>
      <c r="J41" s="163"/>
      <c r="K41" s="460" t="s">
        <v>6612</v>
      </c>
      <c r="L41" s="163"/>
      <c r="M41" s="163"/>
      <c r="N41" s="163"/>
      <c r="O41" s="163"/>
      <c r="P41" s="163"/>
      <c r="Q41" s="163"/>
      <c r="R41" s="163"/>
      <c r="S41" s="165">
        <v>42</v>
      </c>
      <c r="AF41" s="0" t="s">
        <v>6742</v>
      </c>
      <c r="AG41" s="0" t="s">
        <v>6743</v>
      </c>
    </row>
    <row customHeight="1" ht="27.75">
      <c r="A42" s="108" t="s">
        <v>6744</v>
      </c>
      <c r="B42" s="107" t="s">
        <v>6745</v>
      </c>
      <c r="C42" s="108" t="s">
        <v>6744</v>
      </c>
      <c r="D42" s="163"/>
      <c r="E42" s="163"/>
      <c r="F42" s="163"/>
      <c r="G42" s="163"/>
      <c r="H42" s="163"/>
      <c r="I42" s="163"/>
      <c r="J42" s="163"/>
      <c r="K42" s="460" t="s">
        <v>6618</v>
      </c>
      <c r="L42" s="163"/>
      <c r="M42" s="163"/>
      <c r="N42" s="163"/>
      <c r="O42" s="163"/>
      <c r="P42" s="163"/>
      <c r="Q42" s="163"/>
      <c r="R42" s="163"/>
      <c r="S42" s="165">
        <v>43</v>
      </c>
      <c r="AF42" s="0" t="s">
        <v>6746</v>
      </c>
      <c r="AG42" s="0" t="s">
        <v>6747</v>
      </c>
    </row>
    <row customHeight="1" ht="12">
      <c r="A43" s="108" t="s">
        <v>6748</v>
      </c>
      <c r="B43" s="107" t="s">
        <v>6749</v>
      </c>
      <c r="C43" s="108" t="s">
        <v>6748</v>
      </c>
      <c r="D43" s="163"/>
      <c r="E43" s="163"/>
      <c r="F43" s="163"/>
      <c r="G43" s="163"/>
      <c r="H43" s="163"/>
      <c r="I43" s="163"/>
      <c r="J43" s="163"/>
      <c r="K43" s="163"/>
      <c r="L43" s="163"/>
      <c r="M43" s="163"/>
      <c r="N43" s="163"/>
      <c r="O43" s="163"/>
      <c r="P43" s="163"/>
      <c r="Q43" s="163"/>
      <c r="R43" s="163"/>
      <c r="S43" s="165">
        <v>44</v>
      </c>
      <c r="AF43" s="0" t="s">
        <v>6750</v>
      </c>
      <c r="AG43" s="0" t="s">
        <v>6751</v>
      </c>
    </row>
    <row customHeight="1" ht="12">
      <c r="A44" s="108" t="s">
        <v>6752</v>
      </c>
      <c r="B44" s="107" t="s">
        <v>6753</v>
      </c>
      <c r="C44" s="108" t="s">
        <v>6752</v>
      </c>
      <c r="D44" s="163"/>
      <c r="E44" s="163"/>
      <c r="F44" s="163"/>
      <c r="G44" s="163"/>
      <c r="H44" s="163"/>
      <c r="I44" s="163"/>
      <c r="J44" s="163"/>
      <c r="K44" s="163"/>
      <c r="L44" s="163"/>
      <c r="M44" s="163"/>
      <c r="N44" s="163"/>
      <c r="O44" s="163"/>
      <c r="P44" s="163"/>
      <c r="Q44" s="163"/>
      <c r="R44" s="163"/>
      <c r="S44" s="165">
        <v>45</v>
      </c>
      <c r="AF44" s="0" t="s">
        <v>6754</v>
      </c>
      <c r="AG44" s="0" t="s">
        <v>6755</v>
      </c>
    </row>
    <row customHeight="1" ht="12">
      <c r="A45" s="108" t="s">
        <v>6756</v>
      </c>
      <c r="B45" s="107" t="s">
        <v>6757</v>
      </c>
      <c r="C45" s="108" t="s">
        <v>6756</v>
      </c>
      <c r="D45" s="163"/>
      <c r="E45" s="163"/>
      <c r="F45" s="163"/>
      <c r="G45" s="163"/>
      <c r="H45" s="163"/>
      <c r="I45" s="163"/>
      <c r="J45" s="163"/>
      <c r="K45" s="164" t="s">
        <v>6758</v>
      </c>
      <c r="L45" s="163"/>
      <c r="M45" s="163"/>
      <c r="N45" s="163"/>
      <c r="O45" s="163"/>
      <c r="P45" s="163"/>
      <c r="Q45" s="163"/>
      <c r="R45" s="163"/>
      <c r="S45" s="165">
        <v>46</v>
      </c>
      <c r="AF45" s="0" t="s">
        <v>6759</v>
      </c>
      <c r="AG45" s="0" t="s">
        <v>6760</v>
      </c>
    </row>
    <row customHeight="1" ht="12">
      <c r="A46" s="108" t="s">
        <v>6761</v>
      </c>
      <c r="B46" s="107" t="s">
        <v>6762</v>
      </c>
      <c r="C46" s="108" t="s">
        <v>6761</v>
      </c>
      <c r="D46" s="163"/>
      <c r="E46" s="163"/>
      <c r="F46" s="163"/>
      <c r="G46" s="163"/>
      <c r="H46" s="163"/>
      <c r="I46" s="163"/>
      <c r="J46" s="163"/>
      <c r="K46" s="167" t="s">
        <v>6640</v>
      </c>
      <c r="L46" s="163"/>
      <c r="M46" s="163"/>
      <c r="N46" s="163"/>
      <c r="O46" s="163"/>
      <c r="P46" s="163"/>
      <c r="Q46" s="163"/>
      <c r="R46" s="163"/>
      <c r="S46" s="165">
        <v>47</v>
      </c>
      <c r="AF46" s="0" t="s">
        <v>6763</v>
      </c>
      <c r="AG46" s="0" t="s">
        <v>6764</v>
      </c>
    </row>
    <row customHeight="1" ht="12">
      <c r="A47" s="108" t="s">
        <v>6765</v>
      </c>
      <c r="B47" s="107" t="s">
        <v>6766</v>
      </c>
      <c r="C47" s="108" t="s">
        <v>6765</v>
      </c>
      <c r="D47" s="163"/>
      <c r="E47" s="163"/>
      <c r="F47" s="163"/>
      <c r="G47" s="163"/>
      <c r="H47" s="163"/>
      <c r="I47" s="163"/>
      <c r="J47" s="163"/>
      <c r="K47" s="167" t="s">
        <v>6647</v>
      </c>
      <c r="L47" s="163"/>
      <c r="M47" s="163"/>
      <c r="N47" s="163"/>
      <c r="O47" s="163"/>
      <c r="P47" s="163"/>
      <c r="Q47" s="163"/>
      <c r="R47" s="163"/>
      <c r="S47" s="165">
        <v>48</v>
      </c>
      <c r="AF47" s="0" t="s">
        <v>6767</v>
      </c>
      <c r="AG47" s="0" t="s">
        <v>6768</v>
      </c>
    </row>
    <row customHeight="1" ht="12">
      <c r="A48" s="108" t="s">
        <v>6769</v>
      </c>
      <c r="B48" s="107" t="s">
        <v>6770</v>
      </c>
      <c r="C48" s="108" t="s">
        <v>6769</v>
      </c>
      <c r="D48" s="163"/>
      <c r="E48" s="163"/>
      <c r="F48" s="163"/>
      <c r="G48" s="163"/>
      <c r="H48" s="163"/>
      <c r="I48" s="163"/>
      <c r="J48" s="163"/>
      <c r="K48" s="167" t="s">
        <v>6653</v>
      </c>
      <c r="L48" s="163"/>
      <c r="M48" s="163"/>
      <c r="N48" s="163"/>
      <c r="O48" s="163"/>
      <c r="P48" s="163"/>
      <c r="Q48" s="163"/>
      <c r="R48" s="163"/>
      <c r="S48" s="165">
        <v>49</v>
      </c>
      <c r="AF48" s="0" t="s">
        <v>6771</v>
      </c>
      <c r="AG48" s="0" t="s">
        <v>6772</v>
      </c>
    </row>
    <row customHeight="1" ht="12">
      <c r="A49" s="108" t="s">
        <v>6773</v>
      </c>
      <c r="B49" s="107" t="s">
        <v>6774</v>
      </c>
      <c r="C49" s="108" t="s">
        <v>6773</v>
      </c>
      <c r="D49" s="163"/>
      <c r="E49" s="163"/>
      <c r="F49" s="163"/>
      <c r="G49" s="163"/>
      <c r="H49" s="163"/>
      <c r="I49" s="163"/>
      <c r="J49" s="163"/>
      <c r="K49" s="167" t="s">
        <v>6659</v>
      </c>
      <c r="L49" s="163"/>
      <c r="M49" s="163"/>
      <c r="N49" s="163"/>
      <c r="O49" s="163"/>
      <c r="P49" s="163"/>
      <c r="Q49" s="163"/>
      <c r="R49" s="163"/>
      <c r="S49" s="165">
        <v>50</v>
      </c>
      <c r="AF49" s="0" t="s">
        <v>6775</v>
      </c>
      <c r="AG49" s="0" t="s">
        <v>6776</v>
      </c>
    </row>
    <row customHeight="1" ht="12">
      <c r="A50" s="108" t="s">
        <v>6777</v>
      </c>
      <c r="B50" s="107" t="s">
        <v>6778</v>
      </c>
      <c r="C50" s="108" t="s">
        <v>6777</v>
      </c>
      <c r="D50" s="163"/>
      <c r="E50" s="163"/>
      <c r="F50" s="163"/>
      <c r="G50" s="163"/>
      <c r="H50" s="163"/>
      <c r="I50" s="163"/>
      <c r="J50" s="163"/>
      <c r="K50" s="167" t="s">
        <v>207</v>
      </c>
      <c r="L50" s="163"/>
      <c r="M50" s="163"/>
      <c r="N50" s="163"/>
      <c r="O50" s="163"/>
      <c r="P50" s="163"/>
      <c r="Q50" s="163"/>
      <c r="R50" s="163"/>
      <c r="AF50" s="0" t="s">
        <v>6779</v>
      </c>
      <c r="AG50" s="0" t="s">
        <v>6780</v>
      </c>
    </row>
    <row customHeight="1" ht="12">
      <c r="A51" s="108" t="s">
        <v>6781</v>
      </c>
      <c r="B51" s="107" t="s">
        <v>6782</v>
      </c>
      <c r="C51" s="108" t="s">
        <v>6781</v>
      </c>
      <c r="D51" s="163"/>
      <c r="E51" s="163"/>
      <c r="F51" s="163"/>
      <c r="G51" s="163"/>
      <c r="H51" s="163"/>
      <c r="I51" s="163"/>
      <c r="J51" s="163"/>
      <c r="K51" s="167" t="s">
        <v>6633</v>
      </c>
      <c r="L51" s="163"/>
      <c r="M51" s="163"/>
      <c r="N51" s="163"/>
      <c r="O51" s="163"/>
      <c r="P51" s="163"/>
      <c r="Q51" s="163"/>
      <c r="R51" s="163"/>
      <c r="AF51" s="0" t="s">
        <v>6783</v>
      </c>
      <c r="AG51" s="0" t="s">
        <v>6784</v>
      </c>
    </row>
    <row customHeight="1" ht="12">
      <c r="A52" s="108" t="s">
        <v>6785</v>
      </c>
      <c r="B52" s="107" t="s">
        <v>6786</v>
      </c>
      <c r="C52" s="108" t="s">
        <v>6785</v>
      </c>
      <c r="D52" s="163"/>
      <c r="E52" s="163"/>
      <c r="F52" s="163"/>
      <c r="G52" s="163"/>
      <c r="H52" s="163"/>
      <c r="I52" s="163"/>
      <c r="J52" s="163"/>
      <c r="K52" s="167" t="s">
        <v>6787</v>
      </c>
      <c r="L52" s="163"/>
      <c r="M52" s="163"/>
      <c r="N52" s="163"/>
      <c r="O52" s="163"/>
      <c r="P52" s="163"/>
      <c r="Q52" s="163"/>
      <c r="R52" s="163"/>
      <c r="AF52" s="0" t="s">
        <v>6788</v>
      </c>
      <c r="AG52" s="0" t="s">
        <v>6789</v>
      </c>
    </row>
    <row customHeight="1" ht="12">
      <c r="A53" s="108" t="s">
        <v>6790</v>
      </c>
      <c r="B53" s="107" t="s">
        <v>6791</v>
      </c>
      <c r="C53" s="108" t="s">
        <v>6790</v>
      </c>
      <c r="D53" s="163"/>
      <c r="E53" s="163"/>
      <c r="F53" s="163"/>
      <c r="G53" s="163"/>
      <c r="H53" s="163"/>
      <c r="I53" s="163"/>
      <c r="J53" s="163"/>
      <c r="K53" s="163"/>
      <c r="L53" s="163"/>
      <c r="M53" s="163"/>
      <c r="N53" s="163"/>
      <c r="O53" s="163"/>
      <c r="P53" s="163"/>
      <c r="Q53" s="163"/>
      <c r="R53" s="163"/>
      <c r="AF53" s="0" t="s">
        <v>6792</v>
      </c>
      <c r="AG53" s="0" t="s">
        <v>6793</v>
      </c>
    </row>
    <row customHeight="1" ht="12">
      <c r="A54" s="108" t="s">
        <v>6794</v>
      </c>
      <c r="B54" s="107" t="s">
        <v>6795</v>
      </c>
      <c r="C54" s="108" t="s">
        <v>6794</v>
      </c>
      <c r="D54" s="163"/>
      <c r="E54" s="163"/>
      <c r="F54" s="163"/>
      <c r="G54" s="163"/>
      <c r="H54" s="163"/>
      <c r="I54" s="163"/>
      <c r="J54" s="163"/>
      <c r="K54" s="163"/>
      <c r="L54" s="163"/>
      <c r="M54" s="163"/>
      <c r="N54" s="163"/>
      <c r="O54" s="163"/>
      <c r="P54" s="163"/>
      <c r="Q54" s="163"/>
      <c r="R54" s="163"/>
      <c r="AF54" s="0" t="s">
        <v>6796</v>
      </c>
      <c r="AG54" s="0" t="s">
        <v>6797</v>
      </c>
    </row>
    <row customHeight="1" ht="10.5">
      <c r="A55" s="108" t="s">
        <v>6798</v>
      </c>
      <c r="B55" s="107" t="s">
        <v>6799</v>
      </c>
      <c r="C55" s="108" t="s">
        <v>6798</v>
      </c>
      <c r="D55" s="163"/>
      <c r="E55" s="163"/>
      <c r="F55" s="163"/>
      <c r="G55" s="163"/>
      <c r="H55" s="163"/>
      <c r="I55" s="163"/>
      <c r="J55" s="163"/>
      <c r="K55" s="163"/>
      <c r="L55" s="163"/>
      <c r="M55" s="163"/>
      <c r="N55" s="163"/>
      <c r="O55" s="163"/>
      <c r="P55" s="163"/>
      <c r="Q55" s="163"/>
      <c r="R55" s="163"/>
      <c r="AF55" s="0" t="s">
        <v>6800</v>
      </c>
      <c r="AG55" s="0" t="s">
        <v>6801</v>
      </c>
    </row>
    <row customHeight="1" ht="12">
      <c r="A56" s="108" t="s">
        <v>6802</v>
      </c>
      <c r="B56" s="107" t="s">
        <v>6803</v>
      </c>
      <c r="C56" s="108" t="s">
        <v>6802</v>
      </c>
      <c r="D56" s="163"/>
      <c r="E56" s="163"/>
      <c r="F56" s="163"/>
      <c r="G56" s="163"/>
      <c r="H56" s="163"/>
      <c r="I56" s="163"/>
      <c r="J56" s="163"/>
      <c r="K56" s="163"/>
      <c r="L56" s="163"/>
      <c r="M56" s="163"/>
      <c r="N56" s="163"/>
      <c r="O56" s="163"/>
      <c r="P56" s="163"/>
      <c r="Q56" s="163"/>
      <c r="R56" s="163"/>
      <c r="AG56" s="0" t="s">
        <v>6804</v>
      </c>
    </row>
    <row customHeight="1" ht="12">
      <c r="A57" s="108" t="s">
        <v>6805</v>
      </c>
      <c r="B57" s="107" t="s">
        <v>6806</v>
      </c>
      <c r="C57" s="108" t="s">
        <v>6805</v>
      </c>
      <c r="D57" s="163"/>
      <c r="E57" s="163"/>
      <c r="F57" s="163"/>
      <c r="G57" s="163"/>
      <c r="H57" s="163"/>
      <c r="I57" s="163"/>
      <c r="J57" s="163"/>
      <c r="K57" s="163"/>
      <c r="L57" s="163"/>
      <c r="M57" s="163"/>
      <c r="N57" s="163"/>
      <c r="O57" s="163"/>
      <c r="P57" s="163"/>
      <c r="Q57" s="163"/>
      <c r="R57" s="163"/>
      <c r="AG57" s="0" t="s">
        <v>6807</v>
      </c>
    </row>
    <row customHeight="1" ht="12">
      <c r="A58" s="108" t="s">
        <v>6808</v>
      </c>
      <c r="B58" s="107" t="s">
        <v>6809</v>
      </c>
      <c r="C58" s="108" t="s">
        <v>6808</v>
      </c>
      <c r="D58" s="163"/>
      <c r="E58" s="163"/>
      <c r="F58" s="163"/>
      <c r="G58" s="163"/>
      <c r="H58" s="163"/>
      <c r="I58" s="163"/>
      <c r="J58" s="163"/>
      <c r="K58" s="163"/>
      <c r="L58" s="163"/>
      <c r="M58" s="163"/>
      <c r="N58" s="163"/>
      <c r="O58" s="163"/>
      <c r="P58" s="163"/>
      <c r="Q58" s="163"/>
      <c r="R58" s="163"/>
      <c r="AG58" s="0" t="s">
        <v>6810</v>
      </c>
    </row>
    <row customHeight="1" ht="12">
      <c r="A59" s="108" t="s">
        <v>6811</v>
      </c>
      <c r="B59" s="107" t="s">
        <v>6812</v>
      </c>
      <c r="C59" s="108" t="s">
        <v>6813</v>
      </c>
      <c r="D59" s="163"/>
      <c r="E59" s="163"/>
      <c r="F59" s="163"/>
      <c r="G59" s="163"/>
      <c r="H59" s="163"/>
      <c r="I59" s="163"/>
      <c r="J59" s="163"/>
      <c r="K59" s="163"/>
      <c r="L59" s="163"/>
      <c r="M59" s="163"/>
      <c r="N59" s="163"/>
      <c r="O59" s="163"/>
      <c r="P59" s="163"/>
      <c r="Q59" s="163"/>
      <c r="R59" s="163"/>
      <c r="AG59" s="0" t="s">
        <v>6814</v>
      </c>
    </row>
    <row customHeight="1" ht="12">
      <c r="A60" s="108" t="s">
        <v>6815</v>
      </c>
      <c r="B60" s="107" t="s">
        <v>6816</v>
      </c>
      <c r="C60" s="108" t="s">
        <v>6815</v>
      </c>
      <c r="D60" s="163"/>
      <c r="E60" s="163"/>
      <c r="F60" s="163"/>
      <c r="G60" s="163"/>
      <c r="H60" s="163"/>
      <c r="I60" s="163"/>
      <c r="J60" s="163"/>
      <c r="K60" s="163"/>
      <c r="L60" s="163"/>
      <c r="M60" s="163"/>
      <c r="N60" s="163"/>
      <c r="O60" s="163"/>
      <c r="P60" s="163"/>
      <c r="Q60" s="163"/>
      <c r="R60" s="163"/>
      <c r="AG60" s="0" t="s">
        <v>6817</v>
      </c>
    </row>
    <row customHeight="1" ht="12">
      <c r="A61" s="108" t="s">
        <v>6818</v>
      </c>
      <c r="B61" s="107" t="s">
        <v>6819</v>
      </c>
      <c r="C61" s="108" t="s">
        <v>6818</v>
      </c>
      <c r="D61" s="163"/>
      <c r="E61" s="163"/>
      <c r="F61" s="163"/>
      <c r="G61" s="163"/>
      <c r="H61" s="163"/>
      <c r="I61" s="163"/>
      <c r="J61" s="163"/>
      <c r="K61" s="163"/>
      <c r="L61" s="163"/>
      <c r="M61" s="163"/>
      <c r="N61" s="163"/>
      <c r="O61" s="163"/>
      <c r="P61" s="163"/>
      <c r="Q61" s="163"/>
      <c r="R61" s="163"/>
      <c r="AG61" s="0" t="s">
        <v>6820</v>
      </c>
    </row>
    <row customHeight="1" ht="12">
      <c r="A62" s="108" t="s">
        <v>6821</v>
      </c>
      <c r="B62" s="107" t="s">
        <v>6822</v>
      </c>
      <c r="C62" s="108" t="s">
        <v>6821</v>
      </c>
      <c r="D62" s="163"/>
      <c r="E62" s="163"/>
      <c r="F62" s="163"/>
      <c r="G62" s="163"/>
      <c r="H62" s="163"/>
      <c r="I62" s="163"/>
      <c r="J62" s="163"/>
      <c r="K62" s="163"/>
      <c r="L62" s="163"/>
      <c r="M62" s="163"/>
      <c r="N62" s="163"/>
      <c r="O62" s="163"/>
      <c r="P62" s="163"/>
      <c r="Q62" s="163"/>
      <c r="R62" s="163"/>
      <c r="AG62" s="0" t="s">
        <v>6823</v>
      </c>
    </row>
    <row customHeight="1" ht="12">
      <c r="A63" s="108" t="s">
        <v>6824</v>
      </c>
      <c r="B63" s="107" t="s">
        <v>6825</v>
      </c>
      <c r="C63" s="108" t="s">
        <v>6826</v>
      </c>
      <c r="D63" s="163"/>
      <c r="E63" s="163"/>
      <c r="F63" s="163"/>
      <c r="G63" s="163"/>
      <c r="H63" s="163"/>
      <c r="I63" s="163"/>
      <c r="J63" s="163"/>
      <c r="K63" s="163"/>
      <c r="L63" s="163"/>
      <c r="M63" s="163"/>
      <c r="N63" s="163"/>
      <c r="O63" s="163"/>
      <c r="P63" s="163"/>
      <c r="Q63" s="163"/>
      <c r="R63" s="163"/>
      <c r="AG63" s="0" t="s">
        <v>6827</v>
      </c>
    </row>
    <row customHeight="1" ht="12">
      <c r="A64" s="108" t="s">
        <v>6828</v>
      </c>
      <c r="B64" s="107" t="s">
        <v>6829</v>
      </c>
      <c r="C64" s="108" t="s">
        <v>6828</v>
      </c>
      <c r="D64" s="163"/>
      <c r="E64" s="163"/>
      <c r="F64" s="163"/>
      <c r="G64" s="163"/>
      <c r="H64" s="163"/>
      <c r="I64" s="163"/>
      <c r="J64" s="163"/>
      <c r="K64" s="163"/>
      <c r="L64" s="163"/>
      <c r="M64" s="163"/>
      <c r="N64" s="163"/>
      <c r="O64" s="163"/>
      <c r="P64" s="163"/>
      <c r="Q64" s="163"/>
      <c r="R64" s="163"/>
      <c r="AG64" s="0" t="s">
        <v>6830</v>
      </c>
    </row>
    <row customHeight="1" ht="12">
      <c r="A65" s="108" t="s">
        <v>6831</v>
      </c>
      <c r="B65" s="107" t="s">
        <v>6832</v>
      </c>
      <c r="C65" s="108" t="s">
        <v>6833</v>
      </c>
      <c r="D65" s="163"/>
      <c r="E65" s="163"/>
      <c r="F65" s="163"/>
      <c r="G65" s="163"/>
      <c r="H65" s="163"/>
      <c r="I65" s="163"/>
      <c r="J65" s="163"/>
      <c r="K65" s="163"/>
      <c r="L65" s="163"/>
      <c r="M65" s="163"/>
      <c r="N65" s="163"/>
      <c r="O65" s="163"/>
      <c r="P65" s="163"/>
      <c r="Q65" s="163"/>
      <c r="R65" s="163"/>
      <c r="AG65" s="0" t="s">
        <v>6834</v>
      </c>
    </row>
    <row customHeight="1" ht="12">
      <c r="A66" s="108" t="s">
        <v>6835</v>
      </c>
      <c r="B66" s="107" t="s">
        <v>6836</v>
      </c>
      <c r="C66" s="108" t="s">
        <v>6835</v>
      </c>
      <c r="D66" s="163"/>
      <c r="E66" s="163"/>
      <c r="F66" s="163"/>
      <c r="G66" s="163"/>
      <c r="H66" s="163"/>
      <c r="I66" s="163"/>
      <c r="J66" s="163"/>
      <c r="K66" s="163"/>
      <c r="L66" s="163"/>
      <c r="M66" s="163"/>
      <c r="N66" s="163"/>
      <c r="O66" s="163"/>
      <c r="P66" s="163"/>
      <c r="Q66" s="163"/>
      <c r="R66" s="163"/>
      <c r="AG66" s="0" t="s">
        <v>6837</v>
      </c>
    </row>
    <row customHeight="1" ht="12">
      <c r="A67" s="108" t="s">
        <v>6838</v>
      </c>
      <c r="B67" s="107" t="s">
        <v>6839</v>
      </c>
      <c r="C67" s="108" t="s">
        <v>6838</v>
      </c>
      <c r="D67" s="163"/>
      <c r="E67" s="163"/>
      <c r="F67" s="163"/>
      <c r="G67" s="163"/>
      <c r="H67" s="163"/>
      <c r="I67" s="163"/>
      <c r="J67" s="163"/>
      <c r="K67" s="163"/>
      <c r="L67" s="163"/>
      <c r="M67" s="163"/>
      <c r="N67" s="163"/>
      <c r="O67" s="163"/>
      <c r="P67" s="163"/>
      <c r="Q67" s="163"/>
      <c r="R67" s="163"/>
      <c r="AG67" s="0" t="s">
        <v>6840</v>
      </c>
    </row>
    <row customHeight="1" ht="12">
      <c r="A68" s="108" t="s">
        <v>6841</v>
      </c>
      <c r="B68" s="107" t="s">
        <v>6842</v>
      </c>
      <c r="C68" s="108" t="s">
        <v>6841</v>
      </c>
      <c r="D68" s="163"/>
      <c r="E68" s="163"/>
      <c r="F68" s="163"/>
      <c r="G68" s="163"/>
      <c r="H68" s="163"/>
      <c r="I68" s="163"/>
      <c r="J68" s="163"/>
      <c r="K68" s="163"/>
      <c r="L68" s="163"/>
      <c r="M68" s="163"/>
      <c r="N68" s="163"/>
      <c r="O68" s="163"/>
      <c r="P68" s="163"/>
      <c r="Q68" s="163"/>
      <c r="R68" s="163"/>
      <c r="AG68" s="0" t="s">
        <v>6843</v>
      </c>
    </row>
    <row customHeight="1" ht="12">
      <c r="A69" s="108" t="s">
        <v>6844</v>
      </c>
      <c r="B69" s="107" t="s">
        <v>6845</v>
      </c>
      <c r="C69" s="108" t="s">
        <v>6844</v>
      </c>
      <c r="D69" s="163"/>
      <c r="E69" s="163"/>
      <c r="F69" s="163"/>
      <c r="G69" s="163"/>
      <c r="H69" s="163"/>
      <c r="I69" s="163"/>
      <c r="J69" s="163"/>
      <c r="K69" s="163"/>
      <c r="L69" s="163"/>
      <c r="M69" s="163"/>
      <c r="N69" s="163"/>
      <c r="O69" s="163"/>
      <c r="P69" s="163"/>
      <c r="Q69" s="163"/>
      <c r="R69" s="163"/>
      <c r="AG69" s="0" t="s">
        <v>6846</v>
      </c>
    </row>
    <row customHeight="1" ht="12">
      <c r="A70" s="108" t="s">
        <v>6847</v>
      </c>
      <c r="B70" s="107" t="s">
        <v>6848</v>
      </c>
      <c r="C70" s="108" t="s">
        <v>6847</v>
      </c>
      <c r="D70" s="163"/>
      <c r="E70" s="163"/>
      <c r="F70" s="163"/>
      <c r="G70" s="163"/>
      <c r="H70" s="163"/>
      <c r="I70" s="163"/>
      <c r="J70" s="163"/>
      <c r="K70" s="163"/>
      <c r="L70" s="163"/>
      <c r="M70" s="163"/>
      <c r="N70" s="163"/>
      <c r="O70" s="163"/>
      <c r="P70" s="163"/>
      <c r="Q70" s="163"/>
      <c r="R70" s="163"/>
      <c r="AG70" s="0" t="s">
        <v>6849</v>
      </c>
    </row>
    <row customHeight="1" ht="12">
      <c r="A71" s="108" t="s">
        <v>6850</v>
      </c>
      <c r="B71" s="107" t="s">
        <v>6851</v>
      </c>
      <c r="C71" s="108" t="s">
        <v>6850</v>
      </c>
      <c r="D71" s="163"/>
      <c r="E71" s="163"/>
      <c r="F71" s="163"/>
      <c r="G71" s="163"/>
      <c r="H71" s="163"/>
      <c r="I71" s="163"/>
      <c r="J71" s="163"/>
      <c r="K71" s="163"/>
      <c r="L71" s="163"/>
      <c r="M71" s="163"/>
      <c r="N71" s="163"/>
      <c r="O71" s="163"/>
      <c r="P71" s="163"/>
      <c r="Q71" s="163"/>
      <c r="R71" s="163"/>
      <c r="AG71" s="0" t="s">
        <v>6852</v>
      </c>
    </row>
    <row customHeight="1" ht="12">
      <c r="A72" s="108" t="s">
        <v>6853</v>
      </c>
      <c r="B72" s="107" t="s">
        <v>6854</v>
      </c>
      <c r="C72" s="108" t="s">
        <v>6853</v>
      </c>
      <c r="D72" s="163"/>
      <c r="E72" s="163"/>
      <c r="F72" s="163"/>
      <c r="G72" s="163"/>
      <c r="H72" s="163"/>
      <c r="I72" s="163"/>
      <c r="J72" s="163"/>
      <c r="K72" s="163"/>
      <c r="L72" s="163"/>
      <c r="M72" s="163"/>
      <c r="N72" s="163"/>
      <c r="O72" s="163"/>
      <c r="P72" s="163"/>
      <c r="Q72" s="163"/>
      <c r="R72" s="163"/>
      <c r="AG72" s="0" t="s">
        <v>6855</v>
      </c>
    </row>
    <row customHeight="1" ht="12">
      <c r="A73" s="108" t="s">
        <v>6856</v>
      </c>
      <c r="B73" s="107" t="s">
        <v>6857</v>
      </c>
      <c r="C73" s="108" t="s">
        <v>6856</v>
      </c>
      <c r="D73" s="163"/>
      <c r="E73" s="163"/>
      <c r="F73" s="163"/>
      <c r="G73" s="163"/>
      <c r="H73" s="163"/>
      <c r="I73" s="163"/>
      <c r="J73" s="163"/>
      <c r="K73" s="163"/>
      <c r="L73" s="163"/>
      <c r="M73" s="163"/>
      <c r="N73" s="163"/>
      <c r="O73" s="163"/>
      <c r="P73" s="163"/>
      <c r="Q73" s="163"/>
      <c r="R73" s="163"/>
      <c r="AG73" s="0" t="s">
        <v>6858</v>
      </c>
    </row>
    <row customHeight="1" ht="12">
      <c r="A74" s="108" t="s">
        <v>6859</v>
      </c>
      <c r="B74" s="107" t="s">
        <v>6860</v>
      </c>
      <c r="C74" s="108" t="s">
        <v>6859</v>
      </c>
      <c r="D74" s="163"/>
      <c r="E74" s="163"/>
      <c r="F74" s="163"/>
      <c r="G74" s="163"/>
      <c r="H74" s="163"/>
      <c r="I74" s="163"/>
      <c r="J74" s="163"/>
      <c r="K74" s="163"/>
      <c r="L74" s="163"/>
      <c r="M74" s="163"/>
      <c r="N74" s="163"/>
      <c r="O74" s="163"/>
      <c r="P74" s="163"/>
      <c r="Q74" s="163"/>
      <c r="R74" s="163"/>
      <c r="AG74" s="0" t="s">
        <v>6861</v>
      </c>
    </row>
    <row customHeight="1" ht="12">
      <c r="A75" s="108" t="s">
        <v>6862</v>
      </c>
      <c r="B75" s="107" t="s">
        <v>6863</v>
      </c>
      <c r="C75" s="108" t="s">
        <v>6862</v>
      </c>
      <c r="D75" s="163"/>
      <c r="E75" s="163"/>
      <c r="F75" s="163"/>
      <c r="G75" s="163"/>
      <c r="H75" s="163"/>
      <c r="I75" s="163"/>
      <c r="J75" s="163"/>
      <c r="K75" s="163"/>
      <c r="L75" s="163"/>
      <c r="M75" s="163"/>
      <c r="N75" s="163"/>
      <c r="O75" s="163"/>
      <c r="P75" s="163"/>
      <c r="Q75" s="163"/>
      <c r="R75" s="163"/>
      <c r="AG75" s="0" t="s">
        <v>6864</v>
      </c>
    </row>
    <row customHeight="1" ht="12">
      <c r="A76" s="108" t="s">
        <v>6865</v>
      </c>
      <c r="B76" s="107" t="s">
        <v>6866</v>
      </c>
      <c r="C76" s="108" t="s">
        <v>6865</v>
      </c>
      <c r="D76" s="163"/>
      <c r="E76" s="163"/>
      <c r="F76" s="163"/>
      <c r="G76" s="163"/>
      <c r="H76" s="163"/>
      <c r="I76" s="163"/>
      <c r="J76" s="163"/>
      <c r="K76" s="163"/>
      <c r="L76" s="163"/>
      <c r="M76" s="163"/>
      <c r="N76" s="163"/>
      <c r="O76" s="163"/>
      <c r="P76" s="163"/>
      <c r="Q76" s="163"/>
      <c r="R76" s="163"/>
      <c r="AG76" s="0" t="s">
        <v>6867</v>
      </c>
    </row>
    <row customHeight="1" ht="12">
      <c r="A77" s="108" t="s">
        <v>6868</v>
      </c>
      <c r="B77" s="107" t="s">
        <v>6869</v>
      </c>
      <c r="C77" s="108" t="s">
        <v>6868</v>
      </c>
      <c r="D77" s="163"/>
      <c r="E77" s="163"/>
      <c r="F77" s="163"/>
      <c r="G77" s="163"/>
      <c r="H77" s="163"/>
      <c r="I77" s="163"/>
      <c r="J77" s="163"/>
      <c r="K77" s="163"/>
      <c r="L77" s="163"/>
      <c r="M77" s="163"/>
      <c r="N77" s="163"/>
      <c r="O77" s="163"/>
      <c r="P77" s="163"/>
      <c r="Q77" s="163"/>
      <c r="R77" s="163"/>
      <c r="AG77" s="0" t="s">
        <v>6870</v>
      </c>
    </row>
    <row customHeight="1" ht="12">
      <c r="A78" s="108" t="s">
        <v>6871</v>
      </c>
      <c r="B78" s="107" t="s">
        <v>6872</v>
      </c>
      <c r="C78" s="108" t="s">
        <v>6871</v>
      </c>
      <c r="D78" s="163"/>
      <c r="E78" s="163"/>
      <c r="F78" s="163"/>
      <c r="G78" s="163"/>
      <c r="H78" s="163"/>
      <c r="I78" s="163"/>
      <c r="J78" s="163"/>
      <c r="K78" s="163"/>
      <c r="L78" s="163"/>
      <c r="M78" s="163"/>
      <c r="N78" s="163"/>
      <c r="O78" s="163"/>
      <c r="P78" s="163"/>
      <c r="Q78" s="163"/>
      <c r="R78" s="163"/>
      <c r="AG78" s="0" t="s">
        <v>6746</v>
      </c>
    </row>
    <row customHeight="1" ht="12">
      <c r="A79" s="108" t="s">
        <v>6873</v>
      </c>
      <c r="B79" s="107" t="s">
        <v>6874</v>
      </c>
      <c r="C79" s="108" t="s">
        <v>6873</v>
      </c>
      <c r="D79" s="163"/>
      <c r="E79" s="163"/>
      <c r="F79" s="163"/>
      <c r="G79" s="163"/>
      <c r="H79" s="163"/>
      <c r="I79" s="163"/>
      <c r="J79" s="163"/>
      <c r="K79" s="163"/>
      <c r="L79" s="163"/>
      <c r="M79" s="163"/>
      <c r="N79" s="163"/>
      <c r="O79" s="163"/>
      <c r="P79" s="163"/>
      <c r="Q79" s="163"/>
      <c r="R79" s="163"/>
      <c r="AG79" s="0" t="s">
        <v>6750</v>
      </c>
    </row>
    <row customHeight="1" ht="12">
      <c r="A80" s="108" t="s">
        <v>6875</v>
      </c>
      <c r="B80" s="107" t="s">
        <v>6876</v>
      </c>
      <c r="C80" s="108" t="s">
        <v>6877</v>
      </c>
      <c r="D80" s="163"/>
      <c r="E80" s="163"/>
      <c r="F80" s="163"/>
      <c r="G80" s="163"/>
      <c r="H80" s="163"/>
      <c r="I80" s="163"/>
      <c r="J80" s="163"/>
      <c r="K80" s="163"/>
      <c r="L80" s="163"/>
      <c r="M80" s="163"/>
      <c r="N80" s="163"/>
      <c r="O80" s="163"/>
      <c r="P80" s="163"/>
      <c r="Q80" s="163"/>
      <c r="R80" s="163"/>
      <c r="AG80" s="0" t="s">
        <v>6754</v>
      </c>
    </row>
    <row customHeight="1" ht="12">
      <c r="A81" s="108" t="s">
        <v>6878</v>
      </c>
      <c r="B81" s="107" t="s">
        <v>6879</v>
      </c>
      <c r="C81" s="108" t="s">
        <v>6878</v>
      </c>
      <c r="D81" s="163"/>
      <c r="E81" s="163"/>
      <c r="F81" s="163"/>
      <c r="G81" s="163"/>
      <c r="H81" s="163"/>
      <c r="I81" s="163"/>
      <c r="J81" s="163"/>
      <c r="K81" s="163"/>
      <c r="L81" s="163"/>
      <c r="M81" s="163"/>
      <c r="N81" s="163"/>
      <c r="O81" s="163"/>
      <c r="P81" s="163"/>
      <c r="Q81" s="163"/>
      <c r="R81" s="163"/>
      <c r="AG81" s="0" t="s">
        <v>6880</v>
      </c>
    </row>
    <row customHeight="1" ht="12">
      <c r="A82" s="108" t="s">
        <v>6881</v>
      </c>
      <c r="B82" s="107" t="s">
        <v>6882</v>
      </c>
      <c r="C82" s="108" t="s">
        <v>6881</v>
      </c>
      <c r="D82" s="163"/>
      <c r="E82" s="163"/>
      <c r="F82" s="163"/>
      <c r="G82" s="163"/>
      <c r="H82" s="163"/>
      <c r="I82" s="163"/>
      <c r="J82" s="163"/>
      <c r="K82" s="163"/>
      <c r="L82" s="163"/>
      <c r="M82" s="163"/>
      <c r="N82" s="163"/>
      <c r="O82" s="163"/>
      <c r="P82" s="163"/>
      <c r="Q82" s="163"/>
      <c r="R82" s="163"/>
      <c r="AG82" s="0" t="s">
        <v>6883</v>
      </c>
    </row>
    <row customHeight="1" ht="12">
      <c r="A83" s="108" t="s">
        <v>6884</v>
      </c>
      <c r="B83" s="107" t="s">
        <v>6885</v>
      </c>
      <c r="C83" s="108" t="s">
        <v>6884</v>
      </c>
      <c r="D83" s="163"/>
      <c r="E83" s="163"/>
      <c r="F83" s="163"/>
      <c r="G83" s="163"/>
      <c r="H83" s="163"/>
      <c r="I83" s="163"/>
      <c r="J83" s="163"/>
      <c r="K83" s="163"/>
      <c r="L83" s="163"/>
      <c r="M83" s="163"/>
      <c r="N83" s="163"/>
      <c r="O83" s="163"/>
      <c r="P83" s="163"/>
      <c r="Q83" s="163"/>
      <c r="R83" s="163"/>
      <c r="AG83" s="0" t="s">
        <v>6886</v>
      </c>
    </row>
    <row customHeight="1" ht="12">
      <c r="A84" s="410" t="s">
        <v>6887</v>
      </c>
      <c r="B84" s="411" t="s">
        <v>6888</v>
      </c>
      <c r="C84" s="410"/>
      <c r="D84" s="163"/>
      <c r="E84" s="163"/>
      <c r="F84" s="163"/>
      <c r="G84" s="163"/>
      <c r="H84" s="163"/>
      <c r="I84" s="163"/>
      <c r="J84" s="163"/>
      <c r="K84" s="163"/>
      <c r="L84" s="163"/>
      <c r="M84" s="163"/>
      <c r="N84" s="163"/>
      <c r="O84" s="163"/>
      <c r="P84" s="163"/>
      <c r="Q84" s="163"/>
      <c r="R84" s="163"/>
      <c r="AG84" s="0" t="s">
        <v>6889</v>
      </c>
    </row>
    <row customHeight="1" ht="12">
      <c r="A85" s="108" t="s">
        <v>6890</v>
      </c>
      <c r="B85" s="107" t="s">
        <v>6891</v>
      </c>
      <c r="C85" s="108" t="s">
        <v>6890</v>
      </c>
      <c r="D85" s="163"/>
      <c r="E85" s="163"/>
      <c r="F85" s="163"/>
      <c r="G85" s="163"/>
      <c r="H85" s="163"/>
      <c r="I85" s="163"/>
      <c r="J85" s="163"/>
      <c r="K85" s="163"/>
      <c r="L85" s="163"/>
      <c r="M85" s="163"/>
      <c r="N85" s="163"/>
      <c r="O85" s="163"/>
      <c r="P85" s="163"/>
      <c r="Q85" s="163"/>
      <c r="R85" s="163"/>
      <c r="AG85" s="0" t="s">
        <v>6892</v>
      </c>
    </row>
    <row customHeight="1" ht="12">
      <c r="A86" s="108" t="s">
        <v>6893</v>
      </c>
      <c r="B86" s="107" t="s">
        <v>6894</v>
      </c>
      <c r="C86" s="108" t="s">
        <v>6895</v>
      </c>
      <c r="D86" s="163"/>
      <c r="E86" s="163"/>
      <c r="F86" s="163"/>
      <c r="G86" s="163"/>
      <c r="H86" s="163"/>
      <c r="I86" s="163"/>
      <c r="J86" s="163"/>
      <c r="K86" s="163"/>
      <c r="L86" s="163"/>
      <c r="M86" s="163"/>
      <c r="N86" s="163"/>
      <c r="O86" s="163"/>
      <c r="P86" s="163"/>
      <c r="Q86" s="163"/>
      <c r="R86" s="163"/>
      <c r="AG86" s="0" t="s">
        <v>6896</v>
      </c>
    </row>
    <row customHeight="1" ht="12">
      <c r="A87" s="108" t="s">
        <v>6897</v>
      </c>
      <c r="B87" s="107" t="s">
        <v>6898</v>
      </c>
      <c r="C87" s="108" t="s">
        <v>6899</v>
      </c>
      <c r="D87" s="163"/>
      <c r="E87" s="163"/>
      <c r="F87" s="163"/>
      <c r="G87" s="163"/>
      <c r="H87" s="163"/>
      <c r="I87" s="163"/>
      <c r="J87" s="163"/>
      <c r="K87" s="163"/>
      <c r="L87" s="163"/>
      <c r="M87" s="163"/>
      <c r="N87" s="163"/>
      <c r="O87" s="163"/>
      <c r="P87" s="163"/>
      <c r="Q87" s="163"/>
      <c r="R87" s="163"/>
      <c r="AG87" s="0" t="s">
        <v>6900</v>
      </c>
    </row>
    <row customHeight="1" ht="12">
      <c r="A88" s="108" t="s">
        <v>6901</v>
      </c>
      <c r="B88" s="107" t="s">
        <v>6902</v>
      </c>
      <c r="C88" s="108" t="s">
        <v>6901</v>
      </c>
      <c r="D88" s="163"/>
      <c r="E88" s="163"/>
      <c r="F88" s="163"/>
      <c r="G88" s="163"/>
      <c r="H88" s="163"/>
      <c r="I88" s="163"/>
      <c r="J88" s="163"/>
      <c r="K88" s="163"/>
      <c r="L88" s="163"/>
      <c r="M88" s="163"/>
      <c r="N88" s="163"/>
      <c r="O88" s="163"/>
      <c r="P88" s="163"/>
      <c r="Q88" s="163"/>
      <c r="R88" s="163"/>
      <c r="AG88" s="0" t="s">
        <v>6903</v>
      </c>
    </row>
    <row customHeight="1" ht="12">
      <c r="A89" s="108" t="s">
        <v>6904</v>
      </c>
      <c r="B89" s="107" t="s">
        <v>6905</v>
      </c>
      <c r="C89" s="108" t="s">
        <v>6904</v>
      </c>
      <c r="D89" s="163"/>
      <c r="E89" s="163"/>
      <c r="F89" s="163"/>
      <c r="G89" s="163"/>
      <c r="H89" s="163"/>
      <c r="I89" s="163"/>
      <c r="J89" s="163"/>
      <c r="K89" s="163"/>
      <c r="L89" s="163"/>
      <c r="M89" s="163"/>
      <c r="N89" s="163"/>
      <c r="O89" s="163"/>
      <c r="P89" s="163"/>
      <c r="Q89" s="163"/>
      <c r="R89" s="163"/>
      <c r="AG89" s="0" t="s">
        <v>6906</v>
      </c>
    </row>
    <row customHeight="1" ht="12">
      <c r="A90" s="108" t="s">
        <v>6907</v>
      </c>
      <c r="B90" s="107" t="s">
        <v>6908</v>
      </c>
      <c r="C90" s="108" t="s">
        <v>6907</v>
      </c>
      <c r="D90" s="163"/>
      <c r="E90" s="163"/>
      <c r="F90" s="163"/>
      <c r="G90" s="163"/>
      <c r="H90" s="163"/>
      <c r="I90" s="163"/>
      <c r="J90" s="163"/>
      <c r="K90" s="163"/>
      <c r="L90" s="163"/>
      <c r="M90" s="163"/>
      <c r="N90" s="163"/>
      <c r="O90" s="163"/>
      <c r="P90" s="163"/>
      <c r="Q90" s="163"/>
      <c r="R90" s="163"/>
      <c r="AG90" s="0" t="s">
        <v>6909</v>
      </c>
    </row>
    <row customHeight="1" ht="12">
      <c r="A91" s="152"/>
      <c r="B91" s="152"/>
      <c r="C91" s="412"/>
      <c r="D91" s="163"/>
      <c r="E91" s="163"/>
      <c r="F91" s="163"/>
      <c r="G91" s="163"/>
      <c r="H91" s="163"/>
      <c r="I91" s="163"/>
      <c r="J91" s="163"/>
      <c r="K91" s="163"/>
      <c r="L91" s="163"/>
      <c r="M91" s="163"/>
      <c r="N91" s="163"/>
      <c r="O91" s="163"/>
      <c r="P91" s="163"/>
      <c r="Q91" s="163"/>
      <c r="R91" s="163"/>
      <c r="AG91" s="0" t="s">
        <v>6910</v>
      </c>
    </row>
    <row customHeight="1" ht="12">
      <c r="A92" s="163"/>
      <c r="B92" s="163"/>
      <c r="C92" s="163"/>
      <c r="D92" s="163"/>
      <c r="E92" s="163"/>
      <c r="F92" s="163"/>
      <c r="G92" s="163"/>
      <c r="H92" s="163"/>
      <c r="I92" s="163"/>
      <c r="J92" s="163"/>
      <c r="K92" s="163"/>
      <c r="L92" s="163"/>
      <c r="M92" s="163"/>
      <c r="N92" s="163"/>
      <c r="O92" s="163"/>
      <c r="P92" s="163"/>
      <c r="Q92" s="163"/>
      <c r="R92" s="163"/>
      <c r="AG92" s="0" t="s">
        <v>6911</v>
      </c>
    </row>
    <row customHeight="1" ht="12">
      <c r="A93" s="163"/>
      <c r="B93" s="163"/>
      <c r="C93" s="163"/>
      <c r="D93" s="163"/>
      <c r="E93" s="163"/>
      <c r="F93" s="163"/>
      <c r="G93" s="163"/>
      <c r="H93" s="163"/>
      <c r="I93" s="163"/>
      <c r="J93" s="163"/>
      <c r="K93" s="163"/>
      <c r="L93" s="163"/>
      <c r="M93" s="163"/>
      <c r="N93" s="163"/>
      <c r="O93" s="163"/>
      <c r="P93" s="163"/>
      <c r="Q93" s="163"/>
      <c r="R93" s="163"/>
      <c r="AG93" s="0" t="s">
        <v>6912</v>
      </c>
    </row>
    <row customHeight="1" ht="12">
      <c r="A94" s="152" t="s">
        <v>6454</v>
      </c>
      <c r="B94" s="413" t="s">
        <v>6913</v>
      </c>
      <c r="C94" s="152"/>
      <c r="D94" s="163"/>
      <c r="E94" s="163"/>
      <c r="F94" s="163"/>
      <c r="G94" s="163"/>
      <c r="H94" s="163"/>
      <c r="I94" s="163"/>
      <c r="J94" s="163"/>
      <c r="K94" s="163"/>
      <c r="L94" s="163"/>
      <c r="M94" s="163"/>
      <c r="N94" s="163"/>
      <c r="O94" s="163"/>
      <c r="P94" s="163"/>
      <c r="Q94" s="163"/>
      <c r="R94" s="163"/>
      <c r="AG94" s="0" t="s">
        <v>6914</v>
      </c>
    </row>
    <row customHeight="1" ht="12">
      <c r="A95" s="152" t="s">
        <v>6477</v>
      </c>
      <c r="B95" s="413" t="s">
        <v>6915</v>
      </c>
      <c r="C95" s="152"/>
      <c r="D95" s="163"/>
      <c r="E95" s="163"/>
      <c r="F95" s="163"/>
      <c r="G95" s="163"/>
      <c r="H95" s="163"/>
      <c r="I95" s="163"/>
      <c r="J95" s="163"/>
      <c r="K95" s="163"/>
      <c r="L95" s="163"/>
      <c r="M95" s="163"/>
      <c r="N95" s="163"/>
      <c r="O95" s="163"/>
      <c r="P95" s="163"/>
      <c r="Q95" s="163"/>
      <c r="R95" s="163"/>
      <c r="AG95" s="0" t="s">
        <v>6916</v>
      </c>
    </row>
    <row customHeight="1" ht="12">
      <c r="A96" s="152" t="s">
        <v>6490</v>
      </c>
      <c r="B96" s="413" t="s">
        <v>6917</v>
      </c>
      <c r="C96" s="152"/>
      <c r="D96" s="163"/>
      <c r="E96" s="163"/>
      <c r="F96" s="163"/>
      <c r="G96" s="163"/>
      <c r="H96" s="163"/>
      <c r="I96" s="163"/>
      <c r="J96" s="163"/>
      <c r="K96" s="163"/>
      <c r="L96" s="163"/>
      <c r="M96" s="163"/>
      <c r="N96" s="163"/>
      <c r="O96" s="163"/>
      <c r="P96" s="163"/>
      <c r="Q96" s="163"/>
      <c r="R96" s="163"/>
      <c r="AG96" s="0" t="s">
        <v>6918</v>
      </c>
    </row>
    <row customHeight="1" ht="12">
      <c r="A97" s="152" t="s">
        <v>6503</v>
      </c>
      <c r="B97" s="413" t="s">
        <v>6919</v>
      </c>
      <c r="C97" s="152"/>
      <c r="D97" s="163"/>
      <c r="E97" s="163"/>
      <c r="F97" s="163"/>
      <c r="G97" s="163"/>
      <c r="H97" s="163"/>
      <c r="I97" s="163"/>
      <c r="J97" s="163"/>
      <c r="K97" s="163"/>
      <c r="L97" s="163"/>
      <c r="M97" s="163"/>
      <c r="N97" s="163"/>
      <c r="O97" s="163"/>
      <c r="P97" s="163"/>
      <c r="Q97" s="163"/>
      <c r="R97" s="163"/>
      <c r="AG97" s="0" t="s">
        <v>6920</v>
      </c>
    </row>
    <row customHeight="1" ht="12">
      <c r="A98" s="152" t="s">
        <v>6513</v>
      </c>
      <c r="B98" s="413" t="s">
        <v>6921</v>
      </c>
      <c r="C98" s="152"/>
      <c r="D98" s="163"/>
      <c r="E98" s="163"/>
      <c r="F98" s="163"/>
      <c r="G98" s="163"/>
      <c r="H98" s="163"/>
      <c r="I98" s="163"/>
      <c r="J98" s="163"/>
      <c r="K98" s="163"/>
      <c r="L98" s="163"/>
      <c r="M98" s="163"/>
      <c r="N98" s="163"/>
      <c r="O98" s="163"/>
      <c r="P98" s="163"/>
      <c r="Q98" s="163"/>
      <c r="R98" s="163"/>
      <c r="AG98" s="0" t="s">
        <v>6922</v>
      </c>
    </row>
    <row customHeight="1" ht="12">
      <c r="A99" s="152" t="s">
        <v>6524</v>
      </c>
      <c r="B99" s="413" t="s">
        <v>6923</v>
      </c>
      <c r="C99" s="152"/>
      <c r="D99" s="163"/>
      <c r="E99" s="163"/>
      <c r="F99" s="163"/>
      <c r="G99" s="163"/>
      <c r="H99" s="163"/>
      <c r="I99" s="163"/>
      <c r="J99" s="163"/>
      <c r="K99" s="163"/>
      <c r="L99" s="163"/>
      <c r="M99" s="163"/>
      <c r="N99" s="163"/>
      <c r="O99" s="163"/>
      <c r="P99" s="163"/>
      <c r="Q99" s="163"/>
      <c r="R99" s="163"/>
      <c r="AG99" s="0" t="s">
        <v>6924</v>
      </c>
    </row>
    <row customHeight="1" ht="12">
      <c r="A100" s="152" t="s">
        <v>6532</v>
      </c>
      <c r="B100" s="413" t="s">
        <v>6925</v>
      </c>
      <c r="C100" s="152"/>
      <c r="D100" s="163"/>
      <c r="E100" s="163"/>
      <c r="F100" s="163"/>
      <c r="G100" s="163"/>
      <c r="H100" s="163"/>
      <c r="I100" s="163"/>
      <c r="J100" s="163"/>
      <c r="K100" s="163"/>
      <c r="L100" s="163"/>
      <c r="M100" s="163"/>
      <c r="N100" s="163"/>
      <c r="O100" s="169"/>
      <c r="P100" s="163"/>
      <c r="Q100" s="163"/>
      <c r="R100" s="163"/>
      <c r="AG100" s="0" t="s">
        <v>6926</v>
      </c>
    </row>
    <row customHeight="1" ht="12">
      <c r="A101" s="152" t="s">
        <v>6542</v>
      </c>
      <c r="B101" s="413" t="s">
        <v>6927</v>
      </c>
      <c r="C101" s="152"/>
      <c r="D101" s="163"/>
      <c r="E101" s="163"/>
      <c r="F101" s="163"/>
      <c r="G101" s="163"/>
      <c r="H101" s="163"/>
      <c r="I101" s="163"/>
      <c r="J101" s="163"/>
      <c r="K101" s="163"/>
      <c r="L101" s="163"/>
      <c r="M101" s="163"/>
      <c r="N101" s="163"/>
      <c r="O101" s="169"/>
      <c r="P101" s="163"/>
      <c r="Q101" s="163"/>
      <c r="R101" s="163"/>
      <c r="AG101" s="0" t="s">
        <v>6928</v>
      </c>
    </row>
    <row customHeight="1" ht="12">
      <c r="A102" s="152" t="s">
        <v>6552</v>
      </c>
      <c r="B102" s="413" t="s">
        <v>6929</v>
      </c>
      <c r="C102" s="152"/>
      <c r="D102" s="163"/>
      <c r="E102" s="163"/>
      <c r="F102" s="163"/>
      <c r="G102" s="163"/>
      <c r="H102" s="163"/>
      <c r="I102" s="163"/>
      <c r="J102" s="163"/>
      <c r="K102" s="163"/>
      <c r="L102" s="163"/>
      <c r="M102" s="163"/>
      <c r="N102" s="163"/>
      <c r="O102" s="169"/>
      <c r="P102" s="163"/>
      <c r="Q102" s="163"/>
      <c r="R102" s="163"/>
      <c r="AG102" s="0" t="s">
        <v>6930</v>
      </c>
    </row>
    <row customHeight="1" ht="12">
      <c r="A103" s="152" t="s">
        <v>6561</v>
      </c>
      <c r="B103" s="413" t="s">
        <v>6931</v>
      </c>
      <c r="C103" s="152"/>
      <c r="D103" s="163"/>
      <c r="E103" s="163"/>
      <c r="F103" s="163"/>
      <c r="G103" s="163"/>
      <c r="H103" s="163"/>
      <c r="I103" s="163"/>
      <c r="J103" s="163"/>
      <c r="K103" s="163"/>
      <c r="L103" s="163"/>
      <c r="M103" s="163"/>
      <c r="N103" s="163"/>
      <c r="O103" s="169"/>
      <c r="P103" s="163"/>
      <c r="Q103" s="163"/>
      <c r="R103" s="163"/>
      <c r="AG103" s="0" t="s">
        <v>6932</v>
      </c>
    </row>
    <row customHeight="1" ht="12">
      <c r="A104" s="152" t="s">
        <v>6570</v>
      </c>
      <c r="B104" s="413" t="s">
        <v>6933</v>
      </c>
      <c r="C104" s="152"/>
      <c r="D104" s="163"/>
      <c r="E104" s="163"/>
      <c r="F104" s="163"/>
      <c r="G104" s="163"/>
      <c r="H104" s="163"/>
      <c r="I104" s="163"/>
      <c r="J104" s="163"/>
      <c r="K104" s="163"/>
      <c r="L104" s="163"/>
      <c r="M104" s="163"/>
      <c r="N104" s="163"/>
      <c r="O104" s="169"/>
      <c r="P104" s="163"/>
      <c r="Q104" s="163"/>
      <c r="R104" s="163"/>
      <c r="AG104" s="0" t="s">
        <v>6934</v>
      </c>
    </row>
    <row customHeight="1" ht="12">
      <c r="A105" s="152" t="s">
        <v>6935</v>
      </c>
      <c r="B105" s="413" t="s">
        <v>6936</v>
      </c>
      <c r="C105" s="152"/>
      <c r="D105" s="163"/>
      <c r="E105" s="163"/>
      <c r="F105" s="163"/>
      <c r="G105" s="163"/>
      <c r="H105" s="163"/>
      <c r="I105" s="163"/>
      <c r="J105" s="163"/>
      <c r="K105" s="163"/>
      <c r="L105" s="163"/>
      <c r="M105" s="163"/>
      <c r="N105" s="163"/>
      <c r="O105" s="169"/>
      <c r="P105" s="163"/>
      <c r="Q105" s="163"/>
      <c r="R105" s="163"/>
      <c r="AG105" s="0" t="s">
        <v>6937</v>
      </c>
    </row>
    <row customHeight="1" ht="12">
      <c r="A106" s="152" t="s">
        <v>6938</v>
      </c>
      <c r="B106" s="413" t="s">
        <v>6939</v>
      </c>
      <c r="C106" s="152"/>
      <c r="D106" s="163"/>
      <c r="E106" s="163"/>
      <c r="F106" s="163"/>
      <c r="G106" s="163"/>
      <c r="H106" s="163"/>
      <c r="I106" s="163"/>
      <c r="J106" s="163"/>
      <c r="K106" s="163"/>
      <c r="L106" s="163"/>
      <c r="M106" s="163"/>
      <c r="N106" s="163"/>
      <c r="O106" s="169"/>
      <c r="P106" s="163"/>
      <c r="Q106" s="163"/>
      <c r="R106" s="163"/>
      <c r="AG106" s="0" t="s">
        <v>6940</v>
      </c>
    </row>
    <row customHeight="1" ht="12">
      <c r="A107" s="152" t="s">
        <v>6941</v>
      </c>
      <c r="B107" s="413" t="s">
        <v>6942</v>
      </c>
      <c r="C107" s="152"/>
      <c r="D107" s="163"/>
      <c r="E107" s="163"/>
      <c r="F107" s="163"/>
      <c r="G107" s="163"/>
      <c r="H107" s="163"/>
      <c r="I107" s="163"/>
      <c r="J107" s="163"/>
      <c r="K107" s="163"/>
      <c r="L107" s="163"/>
      <c r="M107" s="163"/>
      <c r="N107" s="163"/>
      <c r="O107" s="169"/>
      <c r="P107" s="163"/>
      <c r="Q107" s="163"/>
      <c r="R107" s="163"/>
      <c r="AG107" s="0" t="s">
        <v>6943</v>
      </c>
    </row>
    <row customHeight="1" ht="12">
      <c r="A108" s="152" t="s">
        <v>6604</v>
      </c>
      <c r="B108" s="413" t="s">
        <v>6944</v>
      </c>
      <c r="C108" s="152"/>
      <c r="D108" s="163"/>
      <c r="E108" s="163"/>
      <c r="F108" s="163"/>
      <c r="G108" s="163"/>
      <c r="H108" s="163"/>
      <c r="I108" s="163"/>
      <c r="J108" s="163"/>
      <c r="K108" s="163"/>
      <c r="L108" s="163"/>
      <c r="M108" s="169"/>
      <c r="N108" s="163"/>
      <c r="O108" s="169"/>
      <c r="P108" s="163"/>
      <c r="Q108" s="163"/>
      <c r="R108" s="163"/>
      <c r="AG108" s="0" t="s">
        <v>6945</v>
      </c>
    </row>
    <row customHeight="1" ht="12">
      <c r="A109" s="152" t="s">
        <v>6610</v>
      </c>
      <c r="B109" s="413" t="s">
        <v>6946</v>
      </c>
      <c r="C109" s="152"/>
      <c r="D109" s="163"/>
      <c r="E109" s="163"/>
      <c r="F109" s="163"/>
      <c r="G109" s="163"/>
      <c r="H109" s="163"/>
      <c r="I109" s="163"/>
      <c r="J109" s="163"/>
      <c r="K109" s="163"/>
      <c r="L109" s="163"/>
      <c r="M109" s="169"/>
      <c r="N109" s="163"/>
      <c r="O109" s="169"/>
      <c r="P109" s="163"/>
      <c r="Q109" s="163"/>
      <c r="R109" s="163"/>
      <c r="AG109" s="0" t="s">
        <v>6947</v>
      </c>
    </row>
    <row customHeight="1" ht="12">
      <c r="A110" s="152" t="s">
        <v>6616</v>
      </c>
      <c r="B110" s="413" t="s">
        <v>6948</v>
      </c>
      <c r="C110" s="152"/>
      <c r="D110" s="163"/>
      <c r="E110" s="163"/>
      <c r="F110" s="163"/>
      <c r="G110" s="163"/>
      <c r="H110" s="163"/>
      <c r="I110" s="163"/>
      <c r="J110" s="163"/>
      <c r="K110" s="163"/>
      <c r="L110" s="163"/>
      <c r="M110" s="169"/>
      <c r="N110" s="163"/>
      <c r="O110" s="169"/>
      <c r="P110" s="163"/>
      <c r="Q110" s="163"/>
      <c r="R110" s="163"/>
      <c r="AG110" s="0" t="s">
        <v>6949</v>
      </c>
    </row>
    <row customHeight="1" ht="12">
      <c r="A111" s="152" t="s">
        <v>6622</v>
      </c>
      <c r="B111" s="413" t="s">
        <v>6950</v>
      </c>
      <c r="C111" s="152"/>
      <c r="D111" s="163"/>
      <c r="E111" s="163"/>
      <c r="F111" s="163"/>
      <c r="G111" s="163"/>
      <c r="H111" s="163"/>
      <c r="I111" s="163"/>
      <c r="J111" s="163"/>
      <c r="K111" s="163"/>
      <c r="L111" s="163"/>
      <c r="M111" s="169"/>
      <c r="N111" s="163"/>
      <c r="O111" s="169"/>
      <c r="P111" s="163"/>
      <c r="Q111" s="163"/>
      <c r="R111" s="163"/>
      <c r="AG111" s="0" t="s">
        <v>6951</v>
      </c>
    </row>
    <row customHeight="1" ht="12">
      <c r="A112" s="152" t="s">
        <v>6629</v>
      </c>
      <c r="B112" s="413" t="s">
        <v>6952</v>
      </c>
      <c r="C112" s="152"/>
      <c r="D112" s="163"/>
      <c r="E112" s="163"/>
      <c r="F112" s="163"/>
      <c r="G112" s="163"/>
      <c r="H112" s="163"/>
      <c r="I112" s="163"/>
      <c r="J112" s="163"/>
      <c r="K112" s="163"/>
      <c r="L112" s="163"/>
      <c r="M112" s="169"/>
      <c r="N112" s="163"/>
      <c r="O112" s="169"/>
      <c r="P112" s="163"/>
      <c r="Q112" s="163"/>
      <c r="R112" s="163"/>
      <c r="AG112" s="0" t="s">
        <v>6953</v>
      </c>
    </row>
    <row customHeight="1" ht="12">
      <c r="A113" s="152" t="s">
        <v>6636</v>
      </c>
      <c r="B113" s="413" t="s">
        <v>6954</v>
      </c>
      <c r="C113" s="152"/>
      <c r="D113" s="163"/>
      <c r="E113" s="163"/>
      <c r="F113" s="163"/>
      <c r="G113" s="163"/>
      <c r="H113" s="163"/>
      <c r="I113" s="163"/>
      <c r="J113" s="163"/>
      <c r="K113" s="163"/>
      <c r="L113" s="163"/>
      <c r="M113" s="169"/>
      <c r="N113" s="163"/>
      <c r="O113" s="169"/>
      <c r="P113" s="163"/>
      <c r="Q113" s="163"/>
      <c r="R113" s="163"/>
      <c r="AG113" s="0" t="s">
        <v>6955</v>
      </c>
    </row>
    <row customHeight="1" ht="12">
      <c r="A114" s="152" t="s">
        <v>6643</v>
      </c>
      <c r="B114" s="413" t="s">
        <v>6956</v>
      </c>
      <c r="C114" s="152"/>
      <c r="D114" s="163"/>
      <c r="E114" s="163"/>
      <c r="F114" s="163"/>
      <c r="G114" s="163"/>
      <c r="H114" s="163"/>
      <c r="I114" s="163"/>
      <c r="J114" s="163"/>
      <c r="K114" s="163"/>
      <c r="L114" s="163"/>
      <c r="M114" s="169"/>
      <c r="N114" s="163"/>
      <c r="O114" s="169"/>
      <c r="P114" s="163"/>
      <c r="Q114" s="163"/>
      <c r="R114" s="163"/>
      <c r="AG114" s="0" t="s">
        <v>6957</v>
      </c>
    </row>
    <row customHeight="1" ht="12">
      <c r="A115" s="152" t="s">
        <v>6650</v>
      </c>
      <c r="B115" s="413" t="s">
        <v>6958</v>
      </c>
      <c r="C115" s="152"/>
      <c r="D115" s="163"/>
      <c r="E115" s="163"/>
      <c r="F115" s="163"/>
      <c r="G115" s="163"/>
      <c r="H115" s="163"/>
      <c r="I115" s="163"/>
      <c r="J115" s="163"/>
      <c r="K115" s="163"/>
      <c r="L115" s="163"/>
      <c r="M115" s="169"/>
      <c r="N115" s="163"/>
      <c r="O115" s="169"/>
      <c r="P115" s="163"/>
      <c r="Q115" s="163"/>
      <c r="R115" s="163"/>
      <c r="AG115" s="0" t="s">
        <v>6959</v>
      </c>
    </row>
    <row customHeight="1" ht="12">
      <c r="A116" s="152" t="s">
        <v>6656</v>
      </c>
      <c r="B116" s="413" t="s">
        <v>6960</v>
      </c>
      <c r="C116" s="152"/>
      <c r="D116" s="163"/>
      <c r="E116" s="163"/>
      <c r="F116" s="163"/>
      <c r="G116" s="163"/>
      <c r="H116" s="163"/>
      <c r="I116" s="163"/>
      <c r="J116" s="163"/>
      <c r="K116" s="163"/>
      <c r="L116" s="163"/>
      <c r="M116" s="169"/>
      <c r="N116" s="163"/>
      <c r="O116" s="169"/>
      <c r="P116" s="163"/>
      <c r="Q116" s="163"/>
      <c r="R116" s="163"/>
      <c r="AG116" s="0" t="s">
        <v>6961</v>
      </c>
    </row>
    <row customHeight="1" ht="12">
      <c r="A117" s="152" t="s">
        <v>6661</v>
      </c>
      <c r="B117" s="413" t="s">
        <v>6962</v>
      </c>
      <c r="C117" s="152"/>
      <c r="D117" s="163"/>
      <c r="E117" s="163"/>
      <c r="F117" s="163"/>
      <c r="G117" s="163"/>
      <c r="H117" s="163"/>
      <c r="I117" s="163"/>
      <c r="J117" s="163"/>
      <c r="K117" s="163"/>
      <c r="L117" s="163"/>
      <c r="M117" s="169"/>
      <c r="N117" s="163"/>
      <c r="O117" s="169"/>
      <c r="P117" s="163"/>
      <c r="Q117" s="163"/>
      <c r="R117" s="163"/>
      <c r="AG117" s="0" t="s">
        <v>6963</v>
      </c>
    </row>
    <row customHeight="1" ht="12">
      <c r="A118" s="152" t="s">
        <v>6666</v>
      </c>
      <c r="B118" s="413" t="s">
        <v>6964</v>
      </c>
      <c r="C118" s="152"/>
      <c r="D118" s="163"/>
      <c r="E118" s="163"/>
      <c r="F118" s="163"/>
      <c r="G118" s="163"/>
      <c r="H118" s="163"/>
      <c r="I118" s="163"/>
      <c r="J118" s="163"/>
      <c r="K118" s="163"/>
      <c r="L118" s="163"/>
      <c r="M118" s="169"/>
      <c r="N118" s="163"/>
      <c r="O118" s="169"/>
      <c r="P118" s="163"/>
      <c r="Q118" s="163"/>
      <c r="R118" s="163"/>
      <c r="AG118" s="0" t="s">
        <v>6965</v>
      </c>
    </row>
    <row customHeight="1" ht="12">
      <c r="A119" s="152" t="s">
        <v>102</v>
      </c>
      <c r="B119" s="413" t="s">
        <v>110</v>
      </c>
      <c r="C119" s="152"/>
      <c r="D119" s="163"/>
      <c r="E119" s="163"/>
      <c r="F119" s="163"/>
      <c r="G119" s="163"/>
      <c r="H119" s="163"/>
      <c r="I119" s="163"/>
      <c r="J119" s="163"/>
      <c r="K119" s="163"/>
      <c r="L119" s="163"/>
      <c r="M119" s="169"/>
      <c r="N119" s="163"/>
      <c r="O119" s="169"/>
      <c r="P119" s="163"/>
      <c r="Q119" s="163"/>
      <c r="R119" s="163"/>
      <c r="AG119" s="0" t="s">
        <v>6966</v>
      </c>
    </row>
    <row customHeight="1" ht="12">
      <c r="A120" s="152" t="s">
        <v>6674</v>
      </c>
      <c r="B120" s="413" t="s">
        <v>6967</v>
      </c>
      <c r="C120" s="152"/>
      <c r="D120" s="163"/>
      <c r="E120" s="163"/>
      <c r="F120" s="163"/>
      <c r="G120" s="163"/>
      <c r="H120" s="163"/>
      <c r="I120" s="163"/>
      <c r="J120" s="163"/>
      <c r="K120" s="163"/>
      <c r="L120" s="163"/>
      <c r="M120" s="169"/>
      <c r="N120" s="163"/>
      <c r="O120" s="169"/>
      <c r="P120" s="163"/>
      <c r="Q120" s="163"/>
      <c r="R120" s="163"/>
      <c r="AG120" s="0" t="s">
        <v>6968</v>
      </c>
    </row>
    <row customHeight="1" ht="12">
      <c r="A121" s="152" t="s">
        <v>6679</v>
      </c>
      <c r="B121" s="413" t="s">
        <v>6969</v>
      </c>
      <c r="C121" s="152"/>
      <c r="D121" s="163"/>
      <c r="E121" s="163"/>
      <c r="F121" s="163"/>
      <c r="G121" s="163"/>
      <c r="H121" s="163"/>
      <c r="I121" s="163"/>
      <c r="J121" s="163"/>
      <c r="K121" s="163"/>
      <c r="L121" s="163"/>
      <c r="M121" s="169"/>
      <c r="N121" s="163"/>
      <c r="O121" s="169"/>
      <c r="P121" s="163"/>
      <c r="Q121" s="163"/>
      <c r="R121" s="163"/>
      <c r="AG121" s="0" t="s">
        <v>6970</v>
      </c>
    </row>
    <row customHeight="1" ht="12">
      <c r="A122" s="152" t="s">
        <v>6684</v>
      </c>
      <c r="B122" s="413" t="s">
        <v>6971</v>
      </c>
      <c r="C122" s="152"/>
      <c r="D122" s="163"/>
      <c r="E122" s="163"/>
      <c r="F122" s="163"/>
      <c r="G122" s="163"/>
      <c r="H122" s="163"/>
      <c r="I122" s="163"/>
      <c r="J122" s="163"/>
      <c r="K122" s="163"/>
      <c r="L122" s="163"/>
      <c r="M122" s="169"/>
      <c r="N122" s="163"/>
      <c r="O122" s="169"/>
      <c r="P122" s="163"/>
      <c r="Q122" s="163"/>
      <c r="R122" s="163"/>
      <c r="AG122" s="0" t="s">
        <v>6972</v>
      </c>
    </row>
    <row customHeight="1" ht="12">
      <c r="A123" s="152" t="s">
        <v>6689</v>
      </c>
      <c r="B123" s="413" t="s">
        <v>6973</v>
      </c>
      <c r="C123" s="152"/>
      <c r="D123" s="163"/>
      <c r="E123" s="163"/>
      <c r="F123" s="163"/>
      <c r="G123" s="163"/>
      <c r="H123" s="163"/>
      <c r="I123" s="163"/>
      <c r="J123" s="163"/>
      <c r="K123" s="163"/>
      <c r="L123" s="163"/>
      <c r="M123" s="169"/>
      <c r="N123" s="163"/>
      <c r="O123" s="169"/>
      <c r="P123" s="163"/>
      <c r="Q123" s="163"/>
      <c r="R123" s="163"/>
      <c r="AG123" s="0" t="s">
        <v>6974</v>
      </c>
    </row>
    <row customHeight="1" ht="12">
      <c r="A124" s="152" t="s">
        <v>6693</v>
      </c>
      <c r="B124" s="413" t="s">
        <v>6975</v>
      </c>
      <c r="C124" s="152"/>
      <c r="D124" s="163"/>
      <c r="E124" s="163"/>
      <c r="F124" s="163"/>
      <c r="G124" s="163"/>
      <c r="H124" s="163"/>
      <c r="I124" s="163"/>
      <c r="J124" s="163"/>
      <c r="K124" s="163"/>
      <c r="L124" s="163"/>
      <c r="M124" s="169"/>
      <c r="N124" s="163"/>
      <c r="O124" s="169"/>
      <c r="P124" s="163"/>
      <c r="Q124" s="163"/>
      <c r="R124" s="163"/>
      <c r="AG124" s="0" t="s">
        <v>6976</v>
      </c>
    </row>
    <row customHeight="1" ht="12">
      <c r="A125" s="152" t="s">
        <v>6698</v>
      </c>
      <c r="B125" s="413" t="s">
        <v>6977</v>
      </c>
      <c r="C125" s="152"/>
      <c r="D125" s="163"/>
      <c r="E125" s="163"/>
      <c r="F125" s="163"/>
      <c r="G125" s="163"/>
      <c r="H125" s="163"/>
      <c r="I125" s="163"/>
      <c r="J125" s="163"/>
      <c r="K125" s="163"/>
      <c r="L125" s="163"/>
      <c r="M125" s="169"/>
      <c r="N125" s="163"/>
      <c r="O125" s="169"/>
      <c r="P125" s="163"/>
      <c r="Q125" s="163"/>
      <c r="R125" s="163"/>
      <c r="AG125" s="0" t="s">
        <v>6978</v>
      </c>
    </row>
    <row customHeight="1" ht="12">
      <c r="A126" s="152" t="s">
        <v>6703</v>
      </c>
      <c r="B126" s="413" t="s">
        <v>6979</v>
      </c>
      <c r="C126" s="152"/>
      <c r="D126" s="163"/>
      <c r="E126" s="163"/>
      <c r="F126" s="163"/>
      <c r="G126" s="163"/>
      <c r="H126" s="163"/>
      <c r="I126" s="163"/>
      <c r="J126" s="163"/>
      <c r="K126" s="163"/>
      <c r="L126" s="163"/>
      <c r="M126" s="169"/>
      <c r="N126" s="163"/>
      <c r="O126" s="169"/>
      <c r="P126" s="163"/>
      <c r="Q126" s="163"/>
      <c r="R126" s="163"/>
      <c r="AG126" s="0" t="s">
        <v>6980</v>
      </c>
    </row>
    <row customHeight="1" ht="12">
      <c r="A127" s="152" t="s">
        <v>6708</v>
      </c>
      <c r="B127" s="413" t="s">
        <v>6981</v>
      </c>
      <c r="C127" s="152"/>
      <c r="D127" s="163"/>
      <c r="E127" s="163"/>
      <c r="F127" s="163"/>
      <c r="G127" s="163"/>
      <c r="H127" s="163"/>
      <c r="I127" s="163"/>
      <c r="J127" s="163"/>
      <c r="K127" s="163"/>
      <c r="L127" s="163"/>
      <c r="M127" s="169"/>
      <c r="N127" s="163"/>
      <c r="O127" s="169"/>
      <c r="P127" s="163"/>
      <c r="Q127" s="163"/>
      <c r="R127" s="163"/>
      <c r="AG127" s="0" t="s">
        <v>6982</v>
      </c>
    </row>
    <row customHeight="1" ht="12">
      <c r="A128" s="152" t="s">
        <v>6713</v>
      </c>
      <c r="B128" s="413" t="s">
        <v>6983</v>
      </c>
      <c r="C128" s="152"/>
      <c r="D128" s="163"/>
      <c r="E128" s="163"/>
      <c r="F128" s="163"/>
      <c r="G128" s="163"/>
      <c r="H128" s="163"/>
      <c r="I128" s="163"/>
      <c r="J128" s="163"/>
      <c r="K128" s="163"/>
      <c r="L128" s="163"/>
      <c r="M128" s="169"/>
      <c r="N128" s="163"/>
      <c r="O128" s="169"/>
      <c r="P128" s="163"/>
      <c r="Q128" s="163"/>
      <c r="R128" s="163"/>
      <c r="AG128" s="0" t="s">
        <v>6984</v>
      </c>
    </row>
    <row customHeight="1" ht="12">
      <c r="A129" s="152" t="s">
        <v>6718</v>
      </c>
      <c r="B129" s="413" t="s">
        <v>6985</v>
      </c>
      <c r="C129" s="152"/>
      <c r="D129" s="163"/>
      <c r="E129" s="163"/>
      <c r="F129" s="163"/>
      <c r="G129" s="163"/>
      <c r="H129" s="163"/>
      <c r="I129" s="163"/>
      <c r="J129" s="163"/>
      <c r="K129" s="163"/>
      <c r="L129" s="163"/>
      <c r="M129" s="169"/>
      <c r="N129" s="163"/>
      <c r="O129" s="169"/>
      <c r="P129" s="163"/>
      <c r="Q129" s="163"/>
      <c r="R129" s="163"/>
      <c r="AG129" s="0" t="s">
        <v>6986</v>
      </c>
    </row>
    <row customHeight="1" ht="12">
      <c r="A130" s="152" t="s">
        <v>6723</v>
      </c>
      <c r="B130" s="413" t="s">
        <v>6987</v>
      </c>
      <c r="C130" s="152"/>
      <c r="D130" s="163"/>
      <c r="E130" s="163"/>
      <c r="F130" s="163"/>
      <c r="G130" s="163"/>
      <c r="H130" s="163"/>
      <c r="I130" s="163"/>
      <c r="J130" s="163"/>
      <c r="K130" s="163"/>
      <c r="L130" s="169"/>
      <c r="M130" s="169"/>
      <c r="N130" s="163"/>
      <c r="O130" s="163"/>
      <c r="P130" s="163"/>
      <c r="Q130" s="163"/>
      <c r="R130" s="163"/>
      <c r="AG130" s="0" t="s">
        <v>6988</v>
      </c>
    </row>
    <row customHeight="1" ht="12">
      <c r="A131" s="152" t="s">
        <v>6727</v>
      </c>
      <c r="B131" s="413" t="s">
        <v>6989</v>
      </c>
      <c r="C131" s="152"/>
      <c r="D131" s="163"/>
      <c r="E131" s="163"/>
      <c r="F131" s="163"/>
      <c r="G131" s="163"/>
      <c r="H131" s="163"/>
      <c r="I131" s="163"/>
      <c r="J131" s="163"/>
      <c r="K131" s="163"/>
      <c r="L131" s="169"/>
      <c r="M131" s="169"/>
      <c r="N131" s="163"/>
      <c r="O131" s="163"/>
      <c r="P131" s="163"/>
      <c r="Q131" s="163"/>
      <c r="R131" s="163"/>
      <c r="AG131" s="0" t="s">
        <v>6990</v>
      </c>
    </row>
    <row customHeight="1" ht="12">
      <c r="A132" s="152" t="s">
        <v>6732</v>
      </c>
      <c r="B132" s="413" t="s">
        <v>6991</v>
      </c>
      <c r="C132" s="152"/>
      <c r="D132" s="163"/>
      <c r="E132" s="163"/>
      <c r="F132" s="163"/>
      <c r="G132" s="163"/>
      <c r="H132" s="163"/>
      <c r="I132" s="163"/>
      <c r="J132" s="163"/>
      <c r="K132" s="163"/>
      <c r="L132" s="169"/>
      <c r="M132" s="169"/>
      <c r="N132" s="163"/>
      <c r="O132" s="163"/>
      <c r="P132" s="163"/>
      <c r="Q132" s="163"/>
      <c r="R132" s="163"/>
      <c r="AG132" s="0" t="s">
        <v>6992</v>
      </c>
    </row>
    <row customHeight="1" ht="12">
      <c r="A133" s="152" t="s">
        <v>6736</v>
      </c>
      <c r="B133" s="413" t="s">
        <v>6993</v>
      </c>
      <c r="C133" s="152"/>
      <c r="D133" s="163"/>
      <c r="E133" s="163"/>
      <c r="F133" s="163"/>
      <c r="G133" s="163"/>
      <c r="H133" s="163"/>
      <c r="I133" s="163"/>
      <c r="J133" s="163"/>
      <c r="K133" s="163"/>
      <c r="L133" s="169"/>
      <c r="M133" s="169"/>
      <c r="N133" s="163"/>
      <c r="O133" s="163"/>
      <c r="P133" s="163"/>
      <c r="Q133" s="163"/>
      <c r="R133" s="163"/>
      <c r="AG133" s="0" t="s">
        <v>6994</v>
      </c>
    </row>
    <row customHeight="1" ht="12">
      <c r="A134" s="152" t="s">
        <v>6740</v>
      </c>
      <c r="B134" s="413" t="s">
        <v>6995</v>
      </c>
      <c r="C134" s="152"/>
      <c r="D134" s="163"/>
      <c r="E134" s="163"/>
      <c r="F134" s="163"/>
      <c r="G134" s="163"/>
      <c r="H134" s="163"/>
      <c r="I134" s="163"/>
      <c r="J134" s="163"/>
      <c r="K134" s="163"/>
      <c r="L134" s="169"/>
      <c r="M134" s="169"/>
      <c r="N134" s="163"/>
      <c r="O134" s="163"/>
      <c r="P134" s="163"/>
      <c r="Q134" s="163"/>
      <c r="R134" s="163"/>
      <c r="AG134" s="0" t="s">
        <v>6996</v>
      </c>
    </row>
    <row customHeight="1" ht="12">
      <c r="A135" s="152" t="s">
        <v>6744</v>
      </c>
      <c r="B135" s="413" t="s">
        <v>6997</v>
      </c>
      <c r="C135" s="152"/>
      <c r="D135" s="163"/>
      <c r="E135" s="163"/>
      <c r="F135" s="163"/>
      <c r="G135" s="163"/>
      <c r="H135" s="163"/>
      <c r="I135" s="163"/>
      <c r="J135" s="163"/>
      <c r="K135" s="169"/>
      <c r="L135" s="169"/>
      <c r="M135" s="169"/>
      <c r="N135" s="163"/>
      <c r="O135" s="163"/>
      <c r="P135" s="163"/>
      <c r="Q135" s="163"/>
      <c r="R135" s="163"/>
      <c r="AG135" s="0" t="s">
        <v>6998</v>
      </c>
    </row>
    <row customHeight="1" ht="12">
      <c r="A136" s="152" t="s">
        <v>6748</v>
      </c>
      <c r="B136" s="413" t="s">
        <v>6999</v>
      </c>
      <c r="C136" s="152"/>
      <c r="D136" s="163"/>
      <c r="E136" s="163"/>
      <c r="F136" s="163"/>
      <c r="G136" s="163"/>
      <c r="H136" s="163"/>
      <c r="I136" s="163"/>
      <c r="J136" s="163"/>
      <c r="K136" s="169"/>
      <c r="L136" s="169"/>
      <c r="M136" s="169"/>
      <c r="N136" s="163"/>
      <c r="O136" s="163"/>
      <c r="P136" s="163"/>
      <c r="Q136" s="163"/>
      <c r="R136" s="163"/>
      <c r="AG136" s="0" t="s">
        <v>7000</v>
      </c>
    </row>
    <row customHeight="1" ht="12">
      <c r="A137" s="152" t="s">
        <v>6752</v>
      </c>
      <c r="B137" s="413" t="s">
        <v>7001</v>
      </c>
      <c r="C137" s="152"/>
      <c r="D137" s="163"/>
      <c r="E137" s="163"/>
      <c r="F137" s="163"/>
      <c r="G137" s="163"/>
      <c r="H137" s="163"/>
      <c r="I137" s="163"/>
      <c r="J137" s="163"/>
      <c r="K137" s="169"/>
      <c r="L137" s="169"/>
      <c r="M137" s="169"/>
      <c r="N137" s="163"/>
      <c r="O137" s="163"/>
      <c r="P137" s="163"/>
      <c r="Q137" s="163"/>
      <c r="R137" s="163"/>
      <c r="AG137" s="0" t="s">
        <v>7002</v>
      </c>
    </row>
    <row customHeight="1" ht="12">
      <c r="A138" s="152" t="s">
        <v>6756</v>
      </c>
      <c r="B138" s="413" t="s">
        <v>7003</v>
      </c>
      <c r="C138" s="152"/>
      <c r="D138" s="163"/>
      <c r="E138" s="163"/>
      <c r="F138" s="163"/>
      <c r="G138" s="163"/>
      <c r="H138" s="163"/>
      <c r="I138" s="163"/>
      <c r="J138" s="163"/>
      <c r="K138" s="169"/>
      <c r="L138" s="169"/>
      <c r="M138" s="169"/>
      <c r="N138" s="163"/>
      <c r="O138" s="163"/>
      <c r="P138" s="163"/>
      <c r="Q138" s="163"/>
      <c r="R138" s="163"/>
      <c r="AG138" s="0" t="s">
        <v>7004</v>
      </c>
    </row>
    <row customHeight="1" ht="12">
      <c r="A139" s="152" t="s">
        <v>6761</v>
      </c>
      <c r="B139" s="413" t="s">
        <v>7005</v>
      </c>
      <c r="C139" s="152"/>
      <c r="D139" s="163"/>
      <c r="E139" s="163"/>
      <c r="F139" s="163"/>
      <c r="G139" s="163"/>
      <c r="H139" s="163"/>
      <c r="I139" s="163"/>
      <c r="J139" s="163"/>
      <c r="K139" s="169"/>
      <c r="L139" s="169"/>
      <c r="M139" s="169"/>
      <c r="N139" s="163"/>
      <c r="O139" s="163"/>
      <c r="P139" s="163"/>
      <c r="Q139" s="163"/>
      <c r="R139" s="163"/>
      <c r="AG139" s="0" t="s">
        <v>7006</v>
      </c>
    </row>
    <row customHeight="1" ht="12">
      <c r="A140" s="152" t="s">
        <v>6765</v>
      </c>
      <c r="B140" s="413" t="s">
        <v>7007</v>
      </c>
      <c r="C140" s="152"/>
      <c r="D140" s="163"/>
      <c r="E140" s="163"/>
      <c r="F140" s="163"/>
      <c r="G140" s="163"/>
      <c r="H140" s="163"/>
      <c r="I140" s="163"/>
      <c r="J140" s="163"/>
      <c r="K140" s="169"/>
      <c r="L140" s="169"/>
      <c r="M140" s="169"/>
      <c r="N140" s="163"/>
      <c r="O140" s="163"/>
      <c r="P140" s="163"/>
      <c r="Q140" s="163"/>
      <c r="R140" s="163"/>
      <c r="AG140" s="0" t="s">
        <v>7008</v>
      </c>
    </row>
    <row customHeight="1" ht="12">
      <c r="A141" s="152" t="s">
        <v>6769</v>
      </c>
      <c r="B141" s="413" t="s">
        <v>7009</v>
      </c>
      <c r="C141" s="152"/>
      <c r="D141" s="163"/>
      <c r="E141" s="163"/>
      <c r="F141" s="163"/>
      <c r="G141" s="163"/>
      <c r="H141" s="163"/>
      <c r="I141" s="163"/>
      <c r="J141" s="163"/>
      <c r="K141" s="169"/>
      <c r="L141" s="169"/>
      <c r="M141" s="169"/>
      <c r="N141" s="163"/>
      <c r="O141" s="163"/>
      <c r="P141" s="163"/>
      <c r="Q141" s="163"/>
      <c r="R141" s="163"/>
    </row>
    <row customHeight="1" ht="12">
      <c r="A142" s="152" t="s">
        <v>6773</v>
      </c>
      <c r="B142" s="413" t="s">
        <v>7010</v>
      </c>
      <c r="C142" s="152"/>
      <c r="D142" s="163"/>
      <c r="E142" s="163"/>
      <c r="F142" s="163"/>
      <c r="G142" s="163"/>
      <c r="H142" s="163"/>
      <c r="I142" s="163"/>
      <c r="J142" s="163"/>
      <c r="K142" s="169"/>
      <c r="L142" s="169"/>
      <c r="M142" s="169"/>
      <c r="N142" s="163"/>
      <c r="O142" s="163"/>
      <c r="P142" s="163"/>
      <c r="Q142" s="163"/>
      <c r="R142" s="163"/>
    </row>
    <row customHeight="1" ht="12">
      <c r="A143" s="152" t="s">
        <v>6777</v>
      </c>
      <c r="B143" s="413" t="s">
        <v>7011</v>
      </c>
      <c r="C143" s="152"/>
      <c r="D143" s="163"/>
      <c r="E143" s="163"/>
      <c r="F143" s="163"/>
      <c r="G143" s="163"/>
      <c r="H143" s="163"/>
      <c r="I143" s="163"/>
      <c r="J143" s="163"/>
      <c r="K143" s="169"/>
      <c r="L143" s="169"/>
      <c r="M143" s="169"/>
      <c r="N143" s="163"/>
      <c r="O143" s="163"/>
      <c r="P143" s="163"/>
      <c r="Q143" s="163"/>
      <c r="R143" s="163"/>
    </row>
    <row customHeight="1" ht="12">
      <c r="A144" s="152" t="s">
        <v>6781</v>
      </c>
      <c r="B144" s="413" t="s">
        <v>7012</v>
      </c>
      <c r="C144" s="152"/>
      <c r="D144" s="163"/>
      <c r="E144" s="163"/>
      <c r="F144" s="163"/>
      <c r="G144" s="163"/>
      <c r="H144" s="163"/>
      <c r="I144" s="163"/>
      <c r="J144" s="163"/>
      <c r="K144" s="169"/>
      <c r="L144" s="169"/>
      <c r="M144" s="169"/>
      <c r="N144" s="163"/>
      <c r="O144" s="163"/>
      <c r="P144" s="163"/>
      <c r="Q144" s="163"/>
      <c r="R144" s="163"/>
    </row>
    <row customHeight="1" ht="12">
      <c r="A145" s="152" t="s">
        <v>6785</v>
      </c>
      <c r="B145" s="413" t="s">
        <v>7013</v>
      </c>
      <c r="C145" s="152"/>
      <c r="D145" s="163"/>
      <c r="E145" s="163"/>
      <c r="F145" s="163"/>
      <c r="G145" s="163"/>
      <c r="H145" s="163"/>
      <c r="I145" s="163"/>
      <c r="J145" s="163"/>
      <c r="K145" s="169"/>
      <c r="L145" s="169"/>
      <c r="M145" s="169"/>
      <c r="N145" s="163"/>
      <c r="O145" s="163"/>
      <c r="P145" s="163"/>
      <c r="R145" s="163"/>
    </row>
    <row customHeight="1" ht="12">
      <c r="A146" s="152" t="s">
        <v>6790</v>
      </c>
      <c r="B146" s="413" t="s">
        <v>7014</v>
      </c>
      <c r="C146" s="152"/>
      <c r="D146" s="163"/>
      <c r="E146" s="163"/>
      <c r="F146" s="163"/>
      <c r="G146" s="163"/>
      <c r="H146" s="163"/>
      <c r="I146" s="163"/>
      <c r="J146" s="163"/>
      <c r="K146" s="169"/>
      <c r="L146" s="169"/>
      <c r="M146" s="169"/>
      <c r="N146" s="163"/>
      <c r="O146" s="163"/>
      <c r="P146" s="163"/>
      <c r="R146" s="163"/>
    </row>
    <row customHeight="1" ht="12">
      <c r="A147" s="152" t="s">
        <v>6794</v>
      </c>
      <c r="B147" s="413" t="s">
        <v>7015</v>
      </c>
      <c r="C147" s="152"/>
      <c r="D147" s="163"/>
      <c r="E147" s="163"/>
      <c r="F147" s="163"/>
      <c r="G147" s="163"/>
      <c r="H147" s="163"/>
      <c r="I147" s="163"/>
      <c r="J147" s="163"/>
      <c r="K147" s="169"/>
      <c r="L147" s="169"/>
      <c r="M147" s="169"/>
      <c r="N147" s="163"/>
      <c r="O147" s="163"/>
      <c r="P147" s="163"/>
      <c r="R147" s="163"/>
    </row>
    <row customHeight="1" ht="12">
      <c r="A148" s="152" t="s">
        <v>6798</v>
      </c>
      <c r="B148" s="413" t="s">
        <v>7016</v>
      </c>
      <c r="C148" s="152"/>
      <c r="D148" s="163"/>
      <c r="E148" s="163"/>
      <c r="F148" s="163"/>
      <c r="G148" s="163"/>
      <c r="H148" s="163"/>
      <c r="I148" s="163"/>
      <c r="J148" s="163"/>
      <c r="K148" s="169"/>
      <c r="L148" s="169"/>
      <c r="M148" s="169"/>
      <c r="N148" s="163"/>
      <c r="O148" s="163"/>
      <c r="P148" s="163"/>
      <c r="R148" s="163"/>
    </row>
    <row customHeight="1" ht="12">
      <c r="A149" s="152" t="s">
        <v>6802</v>
      </c>
      <c r="B149" s="413" t="s">
        <v>7017</v>
      </c>
      <c r="C149" s="152"/>
      <c r="D149" s="163"/>
      <c r="E149" s="163"/>
      <c r="F149" s="163"/>
      <c r="G149" s="163"/>
      <c r="H149" s="163"/>
      <c r="I149" s="163"/>
      <c r="J149" s="163"/>
      <c r="K149" s="169"/>
      <c r="L149" s="169"/>
      <c r="M149" s="169"/>
      <c r="N149" s="163"/>
      <c r="O149" s="163"/>
      <c r="P149" s="163"/>
      <c r="R149" s="163"/>
    </row>
    <row customHeight="1" ht="12">
      <c r="A150" s="152" t="s">
        <v>6805</v>
      </c>
      <c r="B150" s="413" t="s">
        <v>7018</v>
      </c>
      <c r="C150" s="152"/>
      <c r="D150" s="163"/>
      <c r="E150" s="163"/>
      <c r="F150" s="163"/>
      <c r="G150" s="163"/>
      <c r="H150" s="163"/>
      <c r="I150" s="163"/>
      <c r="J150" s="163"/>
      <c r="K150" s="169"/>
      <c r="L150" s="169"/>
      <c r="M150" s="169"/>
      <c r="N150" s="163"/>
      <c r="O150" s="163"/>
      <c r="P150" s="163"/>
      <c r="R150" s="163"/>
    </row>
    <row customHeight="1" ht="12">
      <c r="A151" s="152" t="s">
        <v>6808</v>
      </c>
      <c r="B151" s="413" t="s">
        <v>7019</v>
      </c>
      <c r="C151" s="152"/>
      <c r="D151" s="163"/>
      <c r="E151" s="163"/>
      <c r="F151" s="163"/>
      <c r="G151" s="163"/>
      <c r="H151" s="163"/>
      <c r="I151" s="163"/>
      <c r="J151" s="163"/>
      <c r="K151" s="169"/>
      <c r="L151" s="169"/>
      <c r="M151" s="169"/>
      <c r="N151" s="163"/>
      <c r="O151" s="163"/>
      <c r="P151" s="163"/>
      <c r="R151" s="163"/>
    </row>
    <row customHeight="1" ht="12">
      <c r="A152" s="152" t="s">
        <v>6811</v>
      </c>
      <c r="B152" s="413" t="s">
        <v>7020</v>
      </c>
      <c r="C152" s="152"/>
      <c r="D152" s="163"/>
      <c r="E152" s="163"/>
      <c r="F152" s="163"/>
      <c r="G152" s="163"/>
      <c r="H152" s="163"/>
      <c r="I152" s="163"/>
      <c r="J152" s="163"/>
      <c r="K152" s="169"/>
      <c r="L152" s="169"/>
      <c r="M152" s="169"/>
      <c r="N152" s="163"/>
      <c r="O152" s="163"/>
      <c r="P152" s="163"/>
      <c r="R152" s="163"/>
    </row>
    <row customHeight="1" ht="12">
      <c r="A153" s="152" t="s">
        <v>6815</v>
      </c>
      <c r="B153" s="413" t="s">
        <v>7021</v>
      </c>
      <c r="C153" s="152"/>
      <c r="D153" s="163"/>
      <c r="E153" s="163"/>
      <c r="F153" s="163"/>
      <c r="G153" s="163"/>
      <c r="H153" s="163"/>
      <c r="I153" s="163"/>
      <c r="J153" s="163"/>
      <c r="K153" s="169"/>
      <c r="L153" s="169"/>
      <c r="M153" s="169"/>
      <c r="N153" s="163"/>
      <c r="O153" s="163"/>
      <c r="P153" s="163"/>
      <c r="R153" s="163"/>
    </row>
    <row customHeight="1" ht="12">
      <c r="A154" s="152" t="s">
        <v>6818</v>
      </c>
      <c r="B154" s="413" t="s">
        <v>7022</v>
      </c>
      <c r="C154" s="152"/>
      <c r="D154" s="163"/>
      <c r="E154" s="163"/>
      <c r="F154" s="163"/>
      <c r="G154" s="163"/>
      <c r="H154" s="163"/>
      <c r="I154" s="163"/>
      <c r="J154" s="163"/>
      <c r="K154" s="169"/>
      <c r="L154" s="169"/>
      <c r="M154" s="169"/>
      <c r="N154" s="163"/>
      <c r="O154" s="163"/>
      <c r="P154" s="163"/>
      <c r="R154" s="163"/>
    </row>
    <row customHeight="1" ht="12">
      <c r="A155" s="152" t="s">
        <v>6821</v>
      </c>
      <c r="B155" s="413" t="s">
        <v>7023</v>
      </c>
      <c r="C155" s="152"/>
      <c r="D155" s="163"/>
      <c r="E155" s="163"/>
      <c r="F155" s="163"/>
      <c r="G155" s="163"/>
      <c r="H155" s="163"/>
      <c r="I155" s="163"/>
      <c r="J155" s="163"/>
      <c r="K155" s="169"/>
      <c r="L155" s="169"/>
      <c r="M155" s="169"/>
      <c r="N155" s="163"/>
      <c r="O155" s="163"/>
      <c r="P155" s="163"/>
      <c r="R155" s="163"/>
    </row>
    <row customHeight="1" ht="12">
      <c r="A156" s="152" t="s">
        <v>6824</v>
      </c>
      <c r="B156" s="413" t="s">
        <v>7024</v>
      </c>
      <c r="C156" s="152"/>
      <c r="D156" s="163"/>
      <c r="E156" s="163"/>
      <c r="F156" s="163"/>
      <c r="G156" s="163"/>
      <c r="H156" s="163"/>
      <c r="I156" s="163"/>
      <c r="J156" s="163"/>
      <c r="K156" s="169"/>
      <c r="L156" s="169"/>
      <c r="M156" s="169"/>
      <c r="N156" s="163"/>
      <c r="O156" s="163"/>
      <c r="P156" s="163"/>
      <c r="R156" s="163"/>
    </row>
    <row customHeight="1" ht="12">
      <c r="A157" s="152" t="s">
        <v>6828</v>
      </c>
      <c r="B157" s="413" t="s">
        <v>7025</v>
      </c>
      <c r="C157" s="152"/>
      <c r="D157" s="163"/>
      <c r="E157" s="163"/>
      <c r="F157" s="163"/>
      <c r="G157" s="163"/>
      <c r="H157" s="163"/>
      <c r="I157" s="163"/>
      <c r="J157" s="163"/>
      <c r="K157" s="169"/>
      <c r="L157" s="169"/>
      <c r="M157" s="169"/>
      <c r="N157" s="163"/>
      <c r="O157" s="163"/>
      <c r="P157" s="163"/>
      <c r="R157" s="163"/>
    </row>
    <row customHeight="1" ht="12">
      <c r="A158" s="152" t="s">
        <v>6831</v>
      </c>
      <c r="B158" s="413" t="s">
        <v>7026</v>
      </c>
      <c r="C158" s="152"/>
      <c r="D158" s="163"/>
      <c r="E158" s="163"/>
      <c r="F158" s="163"/>
      <c r="G158" s="163"/>
      <c r="H158" s="163"/>
      <c r="I158" s="163"/>
      <c r="J158" s="163"/>
      <c r="K158" s="169"/>
      <c r="L158" s="169"/>
      <c r="M158" s="169"/>
      <c r="N158" s="163"/>
      <c r="O158" s="163"/>
      <c r="P158" s="163"/>
      <c r="R158" s="163"/>
    </row>
    <row customHeight="1" ht="12">
      <c r="A159" s="152" t="s">
        <v>6835</v>
      </c>
      <c r="B159" s="413" t="s">
        <v>7027</v>
      </c>
      <c r="C159" s="152"/>
      <c r="D159" s="163"/>
      <c r="E159" s="163"/>
      <c r="F159" s="163"/>
      <c r="G159" s="163"/>
      <c r="H159" s="163"/>
      <c r="I159" s="163"/>
      <c r="J159" s="163"/>
      <c r="K159" s="169"/>
      <c r="L159" s="169"/>
      <c r="M159" s="169"/>
      <c r="N159" s="163"/>
      <c r="O159" s="163"/>
      <c r="P159" s="163"/>
      <c r="R159" s="163"/>
    </row>
    <row customHeight="1" ht="12">
      <c r="A160" s="152" t="s">
        <v>6838</v>
      </c>
      <c r="B160" s="413" t="s">
        <v>7028</v>
      </c>
      <c r="C160" s="152"/>
      <c r="D160" s="163"/>
      <c r="E160" s="163"/>
      <c r="F160" s="163"/>
      <c r="G160" s="163"/>
      <c r="H160" s="163"/>
      <c r="I160" s="163"/>
      <c r="J160" s="163"/>
      <c r="K160" s="169"/>
      <c r="L160" s="169"/>
      <c r="M160" s="169"/>
      <c r="N160" s="163"/>
      <c r="O160" s="163"/>
      <c r="P160" s="163"/>
      <c r="R160" s="163"/>
    </row>
    <row customHeight="1" ht="12">
      <c r="A161" s="152" t="s">
        <v>6841</v>
      </c>
      <c r="B161" s="413" t="s">
        <v>7029</v>
      </c>
      <c r="C161" s="152"/>
      <c r="D161" s="163"/>
      <c r="E161" s="163"/>
      <c r="F161" s="163"/>
      <c r="G161" s="163"/>
      <c r="H161" s="163"/>
      <c r="I161" s="163"/>
      <c r="J161" s="163"/>
      <c r="K161" s="169"/>
      <c r="L161" s="169"/>
      <c r="M161" s="169"/>
      <c r="N161" s="163"/>
      <c r="O161" s="163"/>
      <c r="P161" s="163"/>
      <c r="R161" s="163"/>
    </row>
    <row customHeight="1" ht="12">
      <c r="A162" s="152" t="s">
        <v>6844</v>
      </c>
      <c r="B162" s="413" t="s">
        <v>7030</v>
      </c>
      <c r="C162" s="152"/>
      <c r="D162" s="163"/>
      <c r="E162" s="163"/>
      <c r="F162" s="163"/>
      <c r="G162" s="163"/>
      <c r="H162" s="163"/>
      <c r="I162" s="163"/>
      <c r="J162" s="163"/>
      <c r="K162" s="169"/>
      <c r="L162" s="169"/>
      <c r="M162" s="169"/>
      <c r="N162" s="163"/>
      <c r="O162" s="163"/>
      <c r="P162" s="163"/>
      <c r="R162" s="163"/>
    </row>
    <row customHeight="1" ht="12">
      <c r="A163" s="152" t="s">
        <v>6847</v>
      </c>
      <c r="B163" s="413" t="s">
        <v>7031</v>
      </c>
      <c r="C163" s="152"/>
      <c r="D163" s="163"/>
      <c r="E163" s="163"/>
      <c r="F163" s="163"/>
      <c r="G163" s="163"/>
      <c r="H163" s="163"/>
      <c r="I163" s="163"/>
      <c r="J163" s="163"/>
      <c r="K163" s="169"/>
      <c r="L163" s="169"/>
      <c r="M163" s="169"/>
      <c r="N163" s="163"/>
      <c r="O163" s="163"/>
      <c r="P163" s="163"/>
      <c r="R163" s="163"/>
    </row>
    <row customHeight="1" ht="12">
      <c r="A164" s="152" t="s">
        <v>6850</v>
      </c>
      <c r="B164" s="413" t="s">
        <v>7032</v>
      </c>
      <c r="C164" s="152"/>
      <c r="D164" s="163"/>
      <c r="E164" s="163"/>
      <c r="F164" s="163"/>
      <c r="G164" s="163"/>
      <c r="H164" s="163"/>
      <c r="I164" s="163"/>
      <c r="J164" s="163"/>
      <c r="L164" s="169"/>
      <c r="M164" s="169"/>
      <c r="N164" s="163"/>
      <c r="O164" s="163"/>
      <c r="P164" s="163"/>
      <c r="R164" s="163"/>
    </row>
    <row customHeight="1" ht="12">
      <c r="A165" s="152" t="s">
        <v>6853</v>
      </c>
      <c r="B165" s="413" t="s">
        <v>7033</v>
      </c>
      <c r="C165" s="152"/>
      <c r="D165" s="163"/>
      <c r="E165" s="163"/>
      <c r="F165" s="163"/>
      <c r="G165" s="163"/>
      <c r="H165" s="163"/>
      <c r="I165" s="163"/>
      <c r="J165" s="163"/>
      <c r="L165" s="169"/>
      <c r="M165" s="169"/>
      <c r="N165" s="163"/>
      <c r="O165" s="163"/>
      <c r="P165" s="163"/>
      <c r="R165" s="163"/>
    </row>
    <row customHeight="1" ht="12">
      <c r="A166" s="152" t="s">
        <v>6856</v>
      </c>
      <c r="B166" s="413" t="s">
        <v>7034</v>
      </c>
      <c r="C166" s="152"/>
      <c r="D166" s="163"/>
      <c r="E166" s="163"/>
      <c r="F166" s="163"/>
      <c r="G166" s="163"/>
      <c r="H166" s="163"/>
      <c r="I166" s="163"/>
      <c r="J166" s="163"/>
      <c r="L166" s="169"/>
      <c r="M166" s="169"/>
      <c r="N166" s="163"/>
      <c r="O166" s="163"/>
      <c r="P166" s="163"/>
      <c r="R166" s="163"/>
    </row>
    <row customHeight="1" ht="12">
      <c r="A167" s="152" t="s">
        <v>6859</v>
      </c>
      <c r="B167" s="413" t="s">
        <v>7035</v>
      </c>
      <c r="C167" s="152"/>
      <c r="D167" s="163"/>
      <c r="E167" s="163"/>
      <c r="F167" s="163"/>
      <c r="G167" s="163"/>
      <c r="H167" s="163"/>
      <c r="I167" s="163"/>
      <c r="J167" s="163"/>
      <c r="L167" s="169"/>
      <c r="M167" s="169"/>
      <c r="N167" s="163"/>
      <c r="O167" s="163"/>
      <c r="P167" s="163"/>
      <c r="R167" s="163"/>
    </row>
    <row customHeight="1" ht="12">
      <c r="A168" s="152" t="s">
        <v>6862</v>
      </c>
      <c r="B168" s="413" t="s">
        <v>7036</v>
      </c>
      <c r="C168" s="152"/>
      <c r="D168" s="163"/>
      <c r="E168" s="163"/>
      <c r="F168" s="163"/>
      <c r="G168" s="163"/>
      <c r="H168" s="163"/>
      <c r="I168" s="163"/>
      <c r="J168" s="163"/>
      <c r="L168" s="169"/>
      <c r="M168" s="169"/>
      <c r="N168" s="163"/>
      <c r="O168" s="163"/>
      <c r="P168" s="163"/>
      <c r="R168" s="163"/>
    </row>
    <row customHeight="1" ht="12">
      <c r="A169" s="152" t="s">
        <v>6865</v>
      </c>
      <c r="B169" s="413" t="s">
        <v>7037</v>
      </c>
      <c r="C169" s="152"/>
      <c r="D169" s="163"/>
      <c r="E169" s="163"/>
      <c r="F169" s="163"/>
      <c r="H169" s="163"/>
      <c r="I169" s="163"/>
      <c r="J169" s="163"/>
      <c r="L169" s="169"/>
      <c r="M169" s="169"/>
      <c r="N169" s="163"/>
      <c r="O169" s="163"/>
      <c r="P169" s="163"/>
      <c r="R169" s="163"/>
    </row>
    <row customHeight="1" ht="12">
      <c r="A170" s="152" t="s">
        <v>6868</v>
      </c>
      <c r="B170" s="413" t="s">
        <v>7038</v>
      </c>
      <c r="C170" s="152"/>
      <c r="D170" s="163"/>
      <c r="E170" s="163"/>
      <c r="F170" s="163"/>
      <c r="H170" s="163"/>
      <c r="I170" s="163"/>
      <c r="J170" s="163"/>
      <c r="L170" s="169"/>
      <c r="M170" s="169"/>
      <c r="N170" s="163"/>
      <c r="O170" s="163"/>
      <c r="P170" s="163"/>
      <c r="R170" s="163"/>
    </row>
    <row customHeight="1" ht="12">
      <c r="A171" s="152" t="s">
        <v>6871</v>
      </c>
      <c r="B171" s="413" t="s">
        <v>7039</v>
      </c>
      <c r="C171" s="152"/>
      <c r="D171" s="163"/>
      <c r="E171" s="163"/>
      <c r="F171" s="163"/>
      <c r="H171" s="163"/>
      <c r="I171" s="163"/>
      <c r="J171" s="163"/>
      <c r="L171" s="169"/>
      <c r="M171" s="169"/>
      <c r="N171" s="163"/>
      <c r="O171" s="163"/>
      <c r="P171" s="163"/>
      <c r="R171" s="163"/>
    </row>
    <row customHeight="1" ht="12">
      <c r="A172" s="152" t="s">
        <v>6873</v>
      </c>
      <c r="B172" s="413" t="s">
        <v>7040</v>
      </c>
      <c r="C172" s="152"/>
      <c r="D172" s="163"/>
      <c r="E172" s="163"/>
      <c r="F172" s="163"/>
      <c r="H172" s="163"/>
      <c r="I172" s="163"/>
      <c r="J172" s="163"/>
      <c r="L172" s="169"/>
      <c r="M172" s="169"/>
      <c r="N172" s="163"/>
      <c r="O172" s="163"/>
      <c r="P172" s="163"/>
      <c r="R172" s="163"/>
    </row>
    <row customHeight="1" ht="12">
      <c r="A173" s="152" t="s">
        <v>6875</v>
      </c>
      <c r="B173" s="413" t="s">
        <v>7041</v>
      </c>
      <c r="C173" s="152"/>
      <c r="D173" s="163"/>
      <c r="E173" s="163"/>
      <c r="F173" s="163"/>
      <c r="H173" s="163"/>
      <c r="I173" s="163"/>
      <c r="J173" s="163"/>
      <c r="L173" s="169"/>
      <c r="M173" s="169"/>
      <c r="N173" s="163"/>
      <c r="O173" s="163"/>
      <c r="P173" s="163"/>
      <c r="R173" s="163"/>
    </row>
    <row customHeight="1" ht="12">
      <c r="A174" s="152" t="s">
        <v>6878</v>
      </c>
      <c r="B174" s="413" t="s">
        <v>7042</v>
      </c>
      <c r="C174" s="152"/>
      <c r="D174" s="163"/>
      <c r="E174" s="163"/>
      <c r="F174" s="163"/>
      <c r="H174" s="163"/>
      <c r="I174" s="163"/>
      <c r="J174" s="163"/>
      <c r="L174" s="169"/>
      <c r="M174" s="169"/>
      <c r="N174" s="163"/>
      <c r="O174" s="163"/>
      <c r="P174" s="163"/>
      <c r="R174" s="163"/>
    </row>
    <row customHeight="1" ht="12">
      <c r="A175" s="152" t="s">
        <v>6881</v>
      </c>
      <c r="B175" s="413" t="s">
        <v>7043</v>
      </c>
      <c r="C175" s="152"/>
      <c r="D175" s="163"/>
      <c r="E175" s="163"/>
      <c r="F175" s="163"/>
      <c r="H175" s="163"/>
      <c r="I175" s="163"/>
      <c r="J175" s="163"/>
      <c r="L175" s="169"/>
      <c r="M175" s="169"/>
      <c r="N175" s="163"/>
      <c r="O175" s="163"/>
      <c r="P175" s="163"/>
      <c r="R175" s="163"/>
    </row>
    <row customHeight="1" ht="12">
      <c r="A176" s="152" t="s">
        <v>6884</v>
      </c>
      <c r="B176" s="413" t="s">
        <v>7044</v>
      </c>
      <c r="C176" s="152"/>
    </row>
    <row customHeight="1" ht="12">
      <c r="A177" s="152" t="s">
        <v>6887</v>
      </c>
      <c r="B177" s="413" t="s">
        <v>7045</v>
      </c>
      <c r="C177" s="152"/>
    </row>
    <row customHeight="1" ht="12">
      <c r="A178" s="152" t="s">
        <v>6890</v>
      </c>
      <c r="B178" s="413" t="s">
        <v>7046</v>
      </c>
      <c r="C178" s="152"/>
    </row>
    <row customHeight="1" ht="12">
      <c r="A179" s="152" t="s">
        <v>6893</v>
      </c>
      <c r="B179" s="413" t="s">
        <v>7047</v>
      </c>
      <c r="C179" s="152"/>
    </row>
    <row customHeight="1" ht="12">
      <c r="A180" s="152" t="s">
        <v>6897</v>
      </c>
      <c r="B180" s="413" t="s">
        <v>7048</v>
      </c>
      <c r="C180" s="152"/>
    </row>
    <row customHeight="1" ht="12">
      <c r="A181" s="152" t="s">
        <v>6901</v>
      </c>
      <c r="B181" s="413" t="s">
        <v>7049</v>
      </c>
      <c r="C181" s="152"/>
    </row>
    <row customHeight="1" ht="12">
      <c r="A182" s="152" t="s">
        <v>6904</v>
      </c>
      <c r="B182" s="413" t="s">
        <v>7050</v>
      </c>
      <c r="C182" s="152"/>
    </row>
    <row customHeight="1" ht="12">
      <c r="A183" s="152" t="s">
        <v>6907</v>
      </c>
      <c r="B183" s="413" t="s">
        <v>7051</v>
      </c>
      <c r="C183" s="152"/>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CE87F8-7417-7678-9BA3-4B0482F3A446}" mc:Ignorable="x14ac xr xr2 xr3">
  <sheetPr>
    <tabColor rgb="FFFFCC99"/>
  </sheetPr>
  <dimension ref="A1:A5"/>
  <sheetViews>
    <sheetView topLeftCell="A1" workbookViewId="0">
      <selection activeCell="A1" sqref="A1"/>
    </sheetView>
  </sheetViews>
  <sheetFormatPr defaultColWidth="8.8515625" customHeight="1" defaultRowHeight="15"/>
  <sheetData>
    <row customHeight="1" ht="15">
      <c r="A1" s="0" t="s">
        <v>7052</v>
      </c>
    </row>
    <row customHeight="1" ht="15">
      <c r="A2" s="0" t="s">
        <v>7053</v>
      </c>
    </row>
    <row customHeight="1" ht="15">
      <c r="A3" s="0" t="s">
        <v>7054</v>
      </c>
    </row>
    <row customHeight="1" ht="15">
      <c r="A4" s="0" t="s">
        <v>7055</v>
      </c>
    </row>
    <row customHeight="1" ht="15">
      <c r="A5" s="0" t="s">
        <v>7056</v>
      </c>
    </row>
  </sheetData>
  <sheetProtection sort="0" autoFilter="0" insertRows="0" insertColumns="1" deleteRows="0" deleteColum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6C111D-D0F8-AF58-8AFC-6EB3813C2AD8}" mc:Ignorable="x14ac xr xr2 xr3">
  <sheetPr>
    <tabColor rgb="FFFFCC99"/>
  </sheetPr>
  <dimension ref="A1:T1"/>
  <sheetViews>
    <sheetView topLeftCell="A1" workbookViewId="0">
      <selection activeCell="A1" sqref="A1"/>
    </sheetView>
  </sheetViews>
  <sheetFormatPr defaultColWidth="8.8515625" customHeight="1" defaultRowHeight="15"/>
  <sheetData/>
  <sheetProtection sort="0" autoFilter="0" insertRows="0" insertColumns="1" deleteRows="0" deleteColum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03E115-3D52-0F08-FD58-766F0C716928}" mc:Ignorable="x14ac xr xr2 xr3">
  <sheetPr>
    <tabColor rgb="FFFFCC99"/>
  </sheetPr>
  <dimension ref="A1:A86"/>
  <sheetViews>
    <sheetView topLeftCell="A1" workbookViewId="0">
      <selection activeCell="A1" sqref="A1"/>
    </sheetView>
  </sheetViews>
  <sheetFormatPr defaultColWidth="8.8515625" customHeight="1" defaultRowHeight="15"/>
  <sheetData>
    <row customHeight="1" ht="15">
      <c r="A1" s="0" t="s">
        <v>7052</v>
      </c>
    </row>
    <row customHeight="1" ht="15">
      <c r="A2" s="0" t="s">
        <v>1516</v>
      </c>
    </row>
    <row customHeight="1" ht="15">
      <c r="A3" s="0" t="s">
        <v>7057</v>
      </c>
    </row>
    <row customHeight="1" ht="15">
      <c r="A4" s="0" t="s">
        <v>7058</v>
      </c>
    </row>
    <row customHeight="1" ht="15">
      <c r="A5" s="0" t="s">
        <v>7059</v>
      </c>
    </row>
    <row customHeight="1" ht="15">
      <c r="A6" s="0" t="s">
        <v>7060</v>
      </c>
    </row>
    <row customHeight="1" ht="15">
      <c r="A7" s="0" t="s">
        <v>7061</v>
      </c>
    </row>
    <row customHeight="1" ht="15">
      <c r="A8" s="0" t="s">
        <v>7062</v>
      </c>
    </row>
    <row customHeight="1" ht="15">
      <c r="A9" s="0" t="s">
        <v>7063</v>
      </c>
    </row>
    <row customHeight="1" ht="15">
      <c r="A10" s="0" t="s">
        <v>7064</v>
      </c>
    </row>
    <row customHeight="1" ht="15">
      <c r="A11" s="0" t="s">
        <v>7065</v>
      </c>
    </row>
    <row customHeight="1" ht="15">
      <c r="A12" s="0" t="s">
        <v>7066</v>
      </c>
    </row>
    <row customHeight="1" ht="15">
      <c r="A13" s="0" t="s">
        <v>7067</v>
      </c>
    </row>
    <row customHeight="1" ht="15">
      <c r="A14" s="0" t="s">
        <v>7068</v>
      </c>
    </row>
    <row customHeight="1" ht="15">
      <c r="A15" s="0" t="s">
        <v>7069</v>
      </c>
    </row>
    <row customHeight="1" ht="15">
      <c r="A16" s="0" t="s">
        <v>7070</v>
      </c>
    </row>
    <row customHeight="1" ht="15">
      <c r="A17" s="0" t="s">
        <v>7071</v>
      </c>
    </row>
    <row customHeight="1" ht="15">
      <c r="A18" s="0" t="s">
        <v>7072</v>
      </c>
    </row>
    <row customHeight="1" ht="15">
      <c r="A19" s="0" t="s">
        <v>1550</v>
      </c>
    </row>
    <row customHeight="1" ht="15">
      <c r="A20" s="0" t="s">
        <v>7073</v>
      </c>
    </row>
    <row customHeight="1" ht="15">
      <c r="A21" s="0" t="s">
        <v>7074</v>
      </c>
    </row>
    <row customHeight="1" ht="15">
      <c r="A22" s="0" t="s">
        <v>7075</v>
      </c>
    </row>
    <row customHeight="1" ht="15">
      <c r="A23" s="0" t="s">
        <v>7076</v>
      </c>
    </row>
    <row customHeight="1" ht="15">
      <c r="A24" s="0" t="s">
        <v>7077</v>
      </c>
    </row>
    <row customHeight="1" ht="15">
      <c r="A25" s="0" t="s">
        <v>7078</v>
      </c>
    </row>
    <row customHeight="1" ht="15">
      <c r="A26" s="0" t="s">
        <v>7079</v>
      </c>
    </row>
    <row customHeight="1" ht="15">
      <c r="A27" s="0" t="s">
        <v>7080</v>
      </c>
    </row>
    <row customHeight="1" ht="15">
      <c r="A28" s="0" t="s">
        <v>7081</v>
      </c>
    </row>
    <row customHeight="1" ht="15">
      <c r="A29" s="0" t="s">
        <v>7082</v>
      </c>
    </row>
    <row customHeight="1" ht="15">
      <c r="A30" s="0" t="s">
        <v>7083</v>
      </c>
    </row>
    <row customHeight="1" ht="15">
      <c r="A31" s="0" t="s">
        <v>7084</v>
      </c>
    </row>
    <row customHeight="1" ht="15">
      <c r="A32" s="0" t="s">
        <v>7085</v>
      </c>
    </row>
    <row customHeight="1" ht="15">
      <c r="A33" s="0" t="s">
        <v>7086</v>
      </c>
    </row>
    <row customHeight="1" ht="15">
      <c r="A34" s="0" t="s">
        <v>7087</v>
      </c>
    </row>
    <row customHeight="1" ht="15">
      <c r="A35" s="0" t="s">
        <v>7088</v>
      </c>
    </row>
    <row customHeight="1" ht="15">
      <c r="A36" s="0" t="s">
        <v>7089</v>
      </c>
    </row>
    <row customHeight="1" ht="15">
      <c r="A37" s="0" t="s">
        <v>7090</v>
      </c>
    </row>
    <row customHeight="1" ht="15">
      <c r="A38" s="0" t="s">
        <v>7091</v>
      </c>
    </row>
    <row customHeight="1" ht="15">
      <c r="A39" s="0" t="s">
        <v>7092</v>
      </c>
    </row>
    <row customHeight="1" ht="15">
      <c r="A40" s="0" t="s">
        <v>7093</v>
      </c>
    </row>
    <row customHeight="1" ht="15">
      <c r="A41" s="0" t="s">
        <v>7094</v>
      </c>
    </row>
    <row customHeight="1" ht="15">
      <c r="A42" s="0" t="s">
        <v>7095</v>
      </c>
    </row>
    <row customHeight="1" ht="15">
      <c r="A43" s="0" t="s">
        <v>7096</v>
      </c>
    </row>
    <row customHeight="1" ht="15">
      <c r="A44" s="0" t="s">
        <v>7097</v>
      </c>
    </row>
    <row customHeight="1" ht="15">
      <c r="A45" s="0" t="s">
        <v>7098</v>
      </c>
    </row>
    <row customHeight="1" ht="15">
      <c r="A46" s="0" t="s">
        <v>7099</v>
      </c>
    </row>
    <row customHeight="1" ht="15">
      <c r="A47" s="0" t="s">
        <v>7100</v>
      </c>
    </row>
    <row customHeight="1" ht="15">
      <c r="A48" s="0" t="s">
        <v>7101</v>
      </c>
    </row>
    <row customHeight="1" ht="15">
      <c r="A49" s="0" t="s">
        <v>7102</v>
      </c>
    </row>
    <row customHeight="1" ht="15">
      <c r="A50" s="0" t="s">
        <v>7103</v>
      </c>
    </row>
    <row customHeight="1" ht="15">
      <c r="A51" s="0" t="s">
        <v>7104</v>
      </c>
    </row>
    <row customHeight="1" ht="15">
      <c r="A52" s="0" t="s">
        <v>7105</v>
      </c>
    </row>
    <row customHeight="1" ht="15">
      <c r="A53" s="0" t="s">
        <v>7106</v>
      </c>
    </row>
    <row customHeight="1" ht="15">
      <c r="A54" s="0" t="s">
        <v>7107</v>
      </c>
    </row>
    <row customHeight="1" ht="15">
      <c r="A55" s="0" t="s">
        <v>7108</v>
      </c>
    </row>
    <row customHeight="1" ht="15">
      <c r="A56" s="0" t="s">
        <v>7109</v>
      </c>
    </row>
    <row customHeight="1" ht="15">
      <c r="A57" s="0" t="s">
        <v>7110</v>
      </c>
    </row>
    <row customHeight="1" ht="15">
      <c r="A58" s="0" t="s">
        <v>7111</v>
      </c>
    </row>
    <row customHeight="1" ht="15">
      <c r="A59" s="0" t="s">
        <v>7112</v>
      </c>
    </row>
    <row customHeight="1" ht="15">
      <c r="A60" s="0" t="s">
        <v>7113</v>
      </c>
    </row>
    <row customHeight="1" ht="15">
      <c r="A61" s="0" t="s">
        <v>7114</v>
      </c>
    </row>
    <row customHeight="1" ht="15">
      <c r="A62" s="0" t="s">
        <v>7115</v>
      </c>
    </row>
    <row customHeight="1" ht="15">
      <c r="A63" s="0" t="s">
        <v>7116</v>
      </c>
    </row>
    <row customHeight="1" ht="15">
      <c r="A64" s="0" t="s">
        <v>1559</v>
      </c>
    </row>
    <row customHeight="1" ht="15">
      <c r="A65" s="0" t="s">
        <v>7117</v>
      </c>
    </row>
    <row customHeight="1" ht="15">
      <c r="A66" s="0" t="s">
        <v>7118</v>
      </c>
    </row>
    <row customHeight="1" ht="15">
      <c r="A67" s="0" t="s">
        <v>7119</v>
      </c>
    </row>
    <row customHeight="1" ht="15">
      <c r="A68" s="0" t="s">
        <v>7120</v>
      </c>
    </row>
    <row customHeight="1" ht="15">
      <c r="A69" s="0" t="s">
        <v>7121</v>
      </c>
    </row>
    <row customHeight="1" ht="15">
      <c r="A70" s="0" t="s">
        <v>7122</v>
      </c>
    </row>
    <row customHeight="1" ht="15">
      <c r="A71" s="0" t="s">
        <v>7123</v>
      </c>
    </row>
    <row customHeight="1" ht="15">
      <c r="A72" s="0" t="s">
        <v>7124</v>
      </c>
    </row>
    <row customHeight="1" ht="15">
      <c r="A73" s="0" t="s">
        <v>7125</v>
      </c>
    </row>
    <row customHeight="1" ht="15">
      <c r="A74" s="0" t="s">
        <v>7126</v>
      </c>
    </row>
    <row customHeight="1" ht="15">
      <c r="A75" s="0" t="s">
        <v>7127</v>
      </c>
    </row>
    <row customHeight="1" ht="15">
      <c r="A76" s="0" t="s">
        <v>7128</v>
      </c>
    </row>
    <row customHeight="1" ht="15">
      <c r="A77" s="0" t="s">
        <v>7129</v>
      </c>
    </row>
    <row customHeight="1" ht="15">
      <c r="A78" s="0" t="s">
        <v>7130</v>
      </c>
    </row>
    <row customHeight="1" ht="15">
      <c r="A79" s="0" t="s">
        <v>7131</v>
      </c>
    </row>
    <row customHeight="1" ht="15">
      <c r="A80" s="0" t="s">
        <v>7132</v>
      </c>
    </row>
    <row customHeight="1" ht="15">
      <c r="A81" s="0" t="s">
        <v>7133</v>
      </c>
    </row>
    <row customHeight="1" ht="15">
      <c r="A82" s="0" t="s">
        <v>1547</v>
      </c>
    </row>
    <row customHeight="1" ht="15">
      <c r="A83" s="0" t="s">
        <v>7134</v>
      </c>
    </row>
    <row customHeight="1" ht="15">
      <c r="A84" s="0" t="s">
        <v>7135</v>
      </c>
    </row>
    <row customHeight="1" ht="15">
      <c r="A85" s="0" t="s">
        <v>7136</v>
      </c>
    </row>
    <row customHeight="1" ht="15">
      <c r="A86" s="0" t="s">
        <v>1314</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1FC4498-B7D8-8AC8-7348-59DF16217638}" mc:Ignorable="x14ac xr xr2 xr3">
  <sheetPr>
    <tabColor theme="3" tint="0.6"/>
    <pageSetUpPr fitToPage="1"/>
  </sheetPr>
  <dimension ref="A1:BA265"/>
  <sheetViews>
    <sheetView topLeftCell="AA57" showGridLines="0" workbookViewId="0">
      <selection activeCell="AE63" sqref="AE63"/>
    </sheetView>
  </sheetViews>
  <sheetFormatPr defaultColWidth="9.140625" customHeight="1" defaultRowHeight="19.5"/>
  <cols>
    <col min="1" max="1" style="1299" width="13.7109375" hidden="1" customWidth="1"/>
    <col min="2" max="2" style="978" width="14.28125" hidden="1" customWidth="1"/>
    <col min="3" max="4" style="1299" width="3.57421875" hidden="1" customWidth="1"/>
    <col min="5" max="5" style="621" width="4.7109375" hidden="1" customWidth="1"/>
    <col min="6" max="21" style="1299" width="3.57421875" hidden="1" customWidth="1"/>
    <col min="22" max="22" style="1299" width="5.8515625" hidden="1" customWidth="1"/>
    <col min="23" max="23" style="1299" width="12.140625" hidden="1" customWidth="1"/>
    <col min="24" max="25" style="1299" width="6.140625" hidden="1" customWidth="1"/>
    <col min="26" max="26" style="1834" width="12.57421875" hidden="1" customWidth="1"/>
    <col min="27" max="27" style="1299" width="3.43359375" customWidth="1"/>
    <col min="28" max="28" style="1426" width="12.00390625" customWidth="1"/>
    <col min="29" max="29" style="1426" width="14.7109375" customWidth="1"/>
    <col min="30" max="30" style="1426" width="48.57421875" customWidth="1"/>
    <col min="31" max="31" style="1426" width="65.00390625" customWidth="1"/>
    <col min="32" max="32" style="386" width="3.00390625" customWidth="1"/>
    <col min="33" max="33" style="1299" width="29.8515625" hidden="1" customWidth="1"/>
    <col min="34" max="34" style="1299" width="18.57421875" hidden="1" customWidth="1"/>
    <col min="35" max="53" style="1299" width="12.00390625" hidden="1" customWidth="1"/>
  </cols>
  <sheetData>
    <row customHeight="1" ht="11.25" hidden="1">
      <c r="E1" s="107"/>
      <c r="V1" s="107" t="s">
        <v>92</v>
      </c>
      <c r="W1" s="501" t="s">
        <v>93</v>
      </c>
      <c r="X1" s="466" t="s">
        <v>94</v>
      </c>
      <c r="Y1" s="466" t="s">
        <v>95</v>
      </c>
      <c r="Z1" s="503" t="s">
        <v>96</v>
      </c>
      <c r="AA1" s="503" t="s">
        <v>97</v>
      </c>
      <c r="AB1" s="504"/>
      <c r="AC1" s="504"/>
      <c r="AD1" s="502" t="s">
        <v>98</v>
      </c>
      <c r="AE1" s="502" t="s">
        <v>99</v>
      </c>
      <c r="AF1" s="501" t="s">
        <v>100</v>
      </c>
    </row>
    <row s="978" customFormat="1" customHeight="1" ht="11.25" hidden="1">
      <c r="B2" s="445" t="s">
        <v>19</v>
      </c>
      <c r="W2" s="96"/>
      <c r="X2" s="96"/>
      <c r="Y2" s="96"/>
      <c r="Z2" s="564"/>
      <c r="AA2" s="96"/>
      <c r="AB2" s="427"/>
      <c r="AC2" s="427"/>
      <c r="AD2" s="427"/>
      <c r="AE2" s="427"/>
      <c r="AF2" s="475"/>
      <c r="AG2" s="96"/>
      <c r="AH2" s="96"/>
      <c r="AI2" s="96"/>
      <c r="AJ2" s="96"/>
      <c r="AK2" s="96"/>
      <c r="AL2" s="96"/>
      <c r="AM2" s="96"/>
      <c r="AN2" s="96"/>
      <c r="AO2" s="96"/>
      <c r="AP2" s="96"/>
      <c r="AQ2" s="96"/>
      <c r="AR2" s="96"/>
      <c r="AS2" s="96"/>
      <c r="AT2" s="96"/>
      <c r="AU2" s="96"/>
      <c r="AV2" s="96"/>
      <c r="AW2" s="96"/>
      <c r="AX2" s="96"/>
      <c r="AY2" s="96"/>
      <c r="AZ2" s="96"/>
      <c r="BA2" s="96"/>
    </row>
    <row s="978" customFormat="1" customHeight="1" ht="11.25" hidden="1">
      <c r="B3" s="427"/>
      <c r="W3" s="96"/>
      <c r="X3" s="96"/>
      <c r="Y3" s="96"/>
      <c r="Z3" s="564"/>
      <c r="AA3" s="96"/>
      <c r="AB3" s="427"/>
      <c r="AC3" s="427"/>
      <c r="AD3" s="427"/>
      <c r="AE3" s="427"/>
      <c r="AF3" s="475"/>
      <c r="AG3" s="96"/>
      <c r="AH3" s="96"/>
      <c r="AI3" s="96"/>
      <c r="AJ3" s="96"/>
      <c r="AK3" s="96"/>
      <c r="AL3" s="96"/>
      <c r="AM3" s="96"/>
      <c r="AN3" s="96"/>
      <c r="AO3" s="96"/>
      <c r="AP3" s="96"/>
      <c r="AQ3" s="96"/>
      <c r="AR3" s="96"/>
      <c r="AS3" s="96"/>
      <c r="AT3" s="96"/>
      <c r="AU3" s="96"/>
      <c r="AV3" s="96"/>
      <c r="AW3" s="96"/>
      <c r="AX3" s="96"/>
      <c r="AY3" s="96"/>
      <c r="AZ3" s="96"/>
      <c r="BA3" s="96"/>
    </row>
    <row s="978" customFormat="1" customHeight="1" ht="11.25" hidden="1">
      <c r="B4" s="427"/>
      <c r="W4" s="96"/>
      <c r="X4" s="96"/>
      <c r="Y4" s="96"/>
      <c r="Z4" s="564"/>
      <c r="AA4" s="96"/>
      <c r="AB4" s="427"/>
      <c r="AC4" s="427"/>
      <c r="AD4" s="427"/>
      <c r="AE4" s="427"/>
      <c r="AF4" s="475"/>
      <c r="AG4" s="96"/>
      <c r="AH4" s="96"/>
      <c r="AI4" s="96"/>
      <c r="AJ4" s="96"/>
      <c r="AK4" s="96"/>
      <c r="AL4" s="96"/>
      <c r="AM4" s="96"/>
      <c r="AN4" s="96"/>
      <c r="AO4" s="96"/>
      <c r="AP4" s="96"/>
      <c r="AQ4" s="96"/>
      <c r="AR4" s="96"/>
      <c r="AS4" s="96"/>
      <c r="AT4" s="96"/>
      <c r="AU4" s="96"/>
      <c r="AV4" s="96"/>
      <c r="AW4" s="96"/>
      <c r="AX4" s="96"/>
      <c r="AY4" s="96"/>
      <c r="AZ4" s="96"/>
      <c r="BA4" s="96"/>
    </row>
    <row s="622" customFormat="1" customHeight="1" ht="11.25" hidden="1">
      <c r="A5" s="432"/>
      <c r="B5" s="427"/>
      <c r="C5" s="432"/>
      <c r="D5" s="432"/>
      <c r="E5" s="623" t="s">
        <v>20</v>
      </c>
      <c r="V5" s="432"/>
      <c r="W5" s="625"/>
      <c r="X5" s="625"/>
      <c r="Y5" s="625"/>
      <c r="Z5" s="626"/>
      <c r="AA5" s="625">
        <v>3.43</v>
      </c>
      <c r="AB5" s="625">
        <v>12</v>
      </c>
      <c r="AC5" s="625">
        <v>18</v>
      </c>
      <c r="AD5" s="625">
        <v>56.86</v>
      </c>
      <c r="AE5" s="625">
        <v>65</v>
      </c>
      <c r="AF5" s="625">
        <v>3</v>
      </c>
      <c r="AG5" s="625"/>
      <c r="AH5" s="625"/>
      <c r="AI5" s="625"/>
      <c r="AJ5" s="625"/>
      <c r="AK5" s="625"/>
      <c r="AL5" s="625"/>
      <c r="AM5" s="625"/>
      <c r="AN5" s="625"/>
      <c r="AO5" s="625"/>
      <c r="AP5" s="625"/>
      <c r="AQ5" s="625"/>
      <c r="AR5" s="625"/>
      <c r="AS5" s="625"/>
      <c r="AT5" s="625"/>
      <c r="AU5" s="625"/>
      <c r="AV5" s="625"/>
      <c r="AW5" s="625"/>
      <c r="AX5" s="625"/>
      <c r="AY5" s="625"/>
      <c r="AZ5" s="625"/>
      <c r="BA5" s="625"/>
    </row>
    <row s="978" customFormat="1" customHeight="1" ht="11.25" hidden="1">
      <c r="B6" s="427"/>
      <c r="E6" s="622"/>
      <c r="W6" s="96"/>
      <c r="X6" s="96"/>
      <c r="Y6" s="96"/>
      <c r="Z6" s="564"/>
      <c r="AA6" s="96"/>
      <c r="AB6" s="427"/>
      <c r="AC6" s="427"/>
      <c r="AD6" s="427"/>
      <c r="AE6" s="427"/>
      <c r="AF6" s="475"/>
      <c r="AG6" s="96"/>
      <c r="AH6" s="96"/>
      <c r="AI6" s="96"/>
      <c r="AJ6" s="96"/>
      <c r="AK6" s="96"/>
      <c r="AL6" s="96"/>
      <c r="AM6" s="96"/>
      <c r="AN6" s="96"/>
      <c r="AO6" s="96"/>
      <c r="AP6" s="96"/>
      <c r="AQ6" s="96"/>
      <c r="AR6" s="96"/>
      <c r="AS6" s="96"/>
      <c r="AT6" s="96"/>
      <c r="AU6" s="96"/>
      <c r="AV6" s="96"/>
      <c r="AW6" s="96"/>
      <c r="AX6" s="96"/>
      <c r="AY6" s="96"/>
      <c r="AZ6" s="96"/>
      <c r="BA6" s="96"/>
    </row>
    <row s="978" customFormat="1" customHeight="1" ht="11.25" hidden="1">
      <c r="B7" s="427"/>
      <c r="E7" s="622"/>
      <c r="W7" s="96"/>
      <c r="X7" s="96"/>
      <c r="Y7" s="96"/>
      <c r="Z7" s="564"/>
      <c r="AA7" s="96"/>
      <c r="AB7" s="427"/>
      <c r="AC7" s="427"/>
      <c r="AD7" s="427"/>
      <c r="AE7" s="427"/>
      <c r="AF7" s="475"/>
      <c r="AG7" s="96"/>
      <c r="AH7" s="96"/>
      <c r="AI7" s="96"/>
      <c r="AJ7" s="96"/>
      <c r="AK7" s="96"/>
      <c r="AL7" s="96"/>
      <c r="AM7" s="96"/>
      <c r="AN7" s="96"/>
      <c r="AO7" s="96"/>
      <c r="AP7" s="96"/>
      <c r="AQ7" s="96"/>
      <c r="AR7" s="96"/>
      <c r="AS7" s="96"/>
      <c r="AT7" s="96"/>
      <c r="AU7" s="96"/>
      <c r="AV7" s="96"/>
      <c r="AW7" s="96"/>
      <c r="AX7" s="96"/>
      <c r="AY7" s="96"/>
      <c r="AZ7" s="96"/>
      <c r="BA7" s="96"/>
    </row>
    <row s="978" customFormat="1" customHeight="1" ht="11.25" hidden="1">
      <c r="B8" s="427"/>
      <c r="E8" s="622"/>
      <c r="W8" s="96"/>
      <c r="X8" s="96"/>
      <c r="Y8" s="96"/>
      <c r="Z8" s="564"/>
      <c r="AA8" s="96"/>
      <c r="AB8" s="427"/>
      <c r="AC8" s="427"/>
      <c r="AD8" s="427"/>
      <c r="AE8" s="427"/>
      <c r="AF8" s="475"/>
      <c r="AG8" s="96"/>
      <c r="AH8" s="96"/>
      <c r="AI8" s="96"/>
      <c r="AJ8" s="96"/>
      <c r="AK8" s="96"/>
      <c r="AL8" s="96"/>
      <c r="AM8" s="96"/>
      <c r="AN8" s="96"/>
      <c r="AO8" s="96"/>
      <c r="AP8" s="96"/>
      <c r="AQ8" s="96"/>
      <c r="AR8" s="96"/>
      <c r="AS8" s="96"/>
      <c r="AT8" s="96"/>
      <c r="AU8" s="96"/>
      <c r="AV8" s="96"/>
      <c r="AW8" s="96"/>
      <c r="AX8" s="96"/>
      <c r="AY8" s="96"/>
      <c r="AZ8" s="96"/>
      <c r="BA8" s="96"/>
    </row>
    <row s="978" customFormat="1" customHeight="1" ht="11.25" hidden="1">
      <c r="B9" s="427"/>
      <c r="E9" s="622"/>
      <c r="W9" s="96"/>
      <c r="X9" s="96"/>
      <c r="Y9" s="96"/>
      <c r="Z9" s="564"/>
      <c r="AA9" s="96"/>
      <c r="AB9" s="427"/>
      <c r="AC9" s="427"/>
      <c r="AD9" s="427"/>
      <c r="AE9" s="427"/>
      <c r="AF9" s="475"/>
      <c r="AG9" s="96"/>
      <c r="AH9" s="96"/>
      <c r="AI9" s="96"/>
      <c r="AJ9" s="96"/>
      <c r="AK9" s="96"/>
      <c r="AL9" s="96"/>
      <c r="AM9" s="96"/>
      <c r="AN9" s="96"/>
      <c r="AO9" s="96"/>
      <c r="AP9" s="96"/>
      <c r="AQ9" s="96"/>
      <c r="AR9" s="96"/>
      <c r="AS9" s="96"/>
      <c r="AT9" s="96"/>
      <c r="AU9" s="96"/>
      <c r="AV9" s="96"/>
      <c r="AW9" s="96"/>
      <c r="AX9" s="96"/>
      <c r="AY9" s="96"/>
      <c r="AZ9" s="96"/>
      <c r="BA9" s="96"/>
    </row>
    <row s="978" customFormat="1" customHeight="1" ht="11.25" hidden="1">
      <c r="B10" s="427"/>
      <c r="E10" s="622"/>
      <c r="W10" s="96"/>
      <c r="X10" s="96"/>
      <c r="Y10" s="96"/>
      <c r="Z10" s="564"/>
      <c r="AA10" s="96"/>
      <c r="AB10" s="427"/>
      <c r="AC10" s="427"/>
      <c r="AD10" s="427"/>
      <c r="AE10" s="427"/>
      <c r="AF10" s="475"/>
      <c r="AG10" s="96"/>
      <c r="AH10" s="96"/>
      <c r="AI10" s="96"/>
      <c r="AJ10" s="96"/>
      <c r="AK10" s="96"/>
      <c r="AL10" s="96"/>
      <c r="AM10" s="96"/>
      <c r="AN10" s="96"/>
      <c r="AO10" s="96"/>
      <c r="AP10" s="96"/>
      <c r="AQ10" s="96"/>
      <c r="AR10" s="96"/>
      <c r="AS10" s="96"/>
      <c r="AT10" s="96"/>
      <c r="AU10" s="96"/>
      <c r="AV10" s="96"/>
      <c r="AW10" s="96"/>
      <c r="AX10" s="96"/>
      <c r="AY10" s="96"/>
      <c r="AZ10" s="96"/>
      <c r="BA10" s="96"/>
    </row>
    <row s="978" customFormat="1" customHeight="1" ht="11.25" hidden="1">
      <c r="B11" s="427"/>
      <c r="E11" s="622"/>
      <c r="W11" s="96"/>
      <c r="X11" s="96"/>
      <c r="Y11" s="96"/>
      <c r="Z11" s="564"/>
      <c r="AA11" s="96"/>
      <c r="AB11" s="427"/>
      <c r="AC11" s="427"/>
      <c r="AD11" s="427"/>
      <c r="AE11" s="427"/>
      <c r="AF11" s="475"/>
      <c r="AG11" s="96"/>
      <c r="AH11" s="96"/>
      <c r="AI11" s="96"/>
      <c r="AJ11" s="96"/>
      <c r="AK11" s="96"/>
      <c r="AL11" s="96"/>
      <c r="AM11" s="96"/>
      <c r="AN11" s="96"/>
      <c r="AO11" s="96"/>
      <c r="AP11" s="96"/>
      <c r="AQ11" s="96"/>
      <c r="AR11" s="96"/>
      <c r="AS11" s="96"/>
      <c r="AT11" s="96"/>
      <c r="AU11" s="96"/>
      <c r="AV11" s="96"/>
      <c r="AW11" s="96"/>
      <c r="AX11" s="96"/>
      <c r="AY11" s="96"/>
      <c r="AZ11" s="96"/>
      <c r="BA11" s="96"/>
    </row>
    <row s="978" customFormat="1" customHeight="1" ht="11.25" hidden="1">
      <c r="B12" s="427"/>
      <c r="E12" s="622"/>
      <c r="W12" s="96"/>
      <c r="X12" s="96"/>
      <c r="Y12" s="96"/>
      <c r="Z12" s="564"/>
      <c r="AA12" s="96"/>
      <c r="AB12" s="427"/>
      <c r="AC12" s="427"/>
      <c r="AD12" s="427"/>
      <c r="AE12" s="427"/>
      <c r="AF12" s="475"/>
      <c r="AG12" s="96"/>
      <c r="AH12" s="96"/>
      <c r="AI12" s="96"/>
      <c r="AJ12" s="96"/>
      <c r="AK12" s="96"/>
      <c r="AL12" s="96"/>
      <c r="AM12" s="96"/>
      <c r="AN12" s="96"/>
      <c r="AO12" s="96"/>
      <c r="AP12" s="96"/>
      <c r="AQ12" s="96"/>
      <c r="AR12" s="96"/>
      <c r="AS12" s="96"/>
      <c r="AT12" s="96"/>
      <c r="AU12" s="96"/>
      <c r="AV12" s="96"/>
      <c r="AW12" s="96"/>
      <c r="AX12" s="96"/>
      <c r="AY12" s="96"/>
      <c r="AZ12" s="96"/>
      <c r="BA12" s="96"/>
    </row>
    <row s="978" customFormat="1" customHeight="1" ht="11.25" hidden="1">
      <c r="B13" s="427"/>
      <c r="E13" s="622"/>
      <c r="W13" s="96"/>
      <c r="X13" s="96"/>
      <c r="Y13" s="96"/>
      <c r="Z13" s="564"/>
      <c r="AA13" s="96"/>
      <c r="AB13" s="427"/>
      <c r="AC13" s="427"/>
      <c r="AD13" s="427"/>
      <c r="AE13" s="427"/>
      <c r="AF13" s="475"/>
      <c r="AG13" s="96"/>
      <c r="AH13" s="96"/>
      <c r="AI13" s="96"/>
      <c r="AJ13" s="96"/>
      <c r="AK13" s="96"/>
      <c r="AL13" s="96"/>
      <c r="AM13" s="96"/>
      <c r="AN13" s="96"/>
      <c r="AO13" s="96"/>
      <c r="AP13" s="96"/>
      <c r="AQ13" s="96"/>
      <c r="AR13" s="96"/>
      <c r="AS13" s="96"/>
      <c r="AT13" s="96"/>
      <c r="AU13" s="96"/>
      <c r="AV13" s="96"/>
      <c r="AW13" s="96"/>
      <c r="AX13" s="96"/>
      <c r="AY13" s="96"/>
      <c r="AZ13" s="96"/>
      <c r="BA13" s="96"/>
    </row>
    <row s="978" customFormat="1" customHeight="1" ht="11.25" hidden="1">
      <c r="B14" s="427"/>
      <c r="E14" s="622"/>
      <c r="W14" s="96"/>
      <c r="X14" s="96"/>
      <c r="Y14" s="96"/>
      <c r="Z14" s="564"/>
      <c r="AA14" s="96"/>
      <c r="AB14" s="427"/>
      <c r="AC14" s="427"/>
      <c r="AD14" s="427"/>
      <c r="AE14" s="427"/>
      <c r="AF14" s="475"/>
      <c r="AG14" s="96"/>
      <c r="AH14" s="96"/>
      <c r="AI14" s="96"/>
      <c r="AJ14" s="96"/>
      <c r="AK14" s="96"/>
      <c r="AL14" s="96"/>
      <c r="AM14" s="96"/>
      <c r="AN14" s="96"/>
      <c r="AO14" s="96"/>
      <c r="AP14" s="96"/>
      <c r="AQ14" s="96"/>
      <c r="AR14" s="96"/>
      <c r="AS14" s="96"/>
      <c r="AT14" s="96"/>
      <c r="AU14" s="96"/>
      <c r="AV14" s="96"/>
      <c r="AW14" s="96"/>
      <c r="AX14" s="96"/>
      <c r="AY14" s="96"/>
      <c r="AZ14" s="96"/>
      <c r="BA14" s="96"/>
    </row>
    <row s="978" customFormat="1" customHeight="1" ht="11.25" hidden="1">
      <c r="B15" s="427"/>
      <c r="E15" s="622"/>
      <c r="W15" s="96"/>
      <c r="X15" s="96"/>
      <c r="Y15" s="96"/>
      <c r="Z15" s="564"/>
      <c r="AA15" s="96"/>
      <c r="AB15" s="427"/>
      <c r="AC15" s="427"/>
      <c r="AD15" s="427"/>
      <c r="AE15" s="427"/>
      <c r="AF15" s="475"/>
      <c r="AG15" s="96"/>
      <c r="AH15" s="96"/>
      <c r="AI15" s="96"/>
      <c r="AJ15" s="96"/>
      <c r="AK15" s="96"/>
      <c r="AL15" s="96"/>
      <c r="AM15" s="96"/>
      <c r="AN15" s="96"/>
      <c r="AO15" s="96"/>
      <c r="AP15" s="96"/>
      <c r="AQ15" s="96"/>
      <c r="AR15" s="96"/>
      <c r="AS15" s="96"/>
      <c r="AT15" s="96"/>
      <c r="AU15" s="96"/>
      <c r="AV15" s="96"/>
      <c r="AW15" s="96"/>
      <c r="AX15" s="96"/>
      <c r="AY15" s="96"/>
      <c r="AZ15" s="96"/>
      <c r="BA15" s="96"/>
    </row>
    <row s="978" customFormat="1" customHeight="1" ht="11.25" hidden="1">
      <c r="B16" s="427"/>
      <c r="E16" s="622"/>
      <c r="W16" s="96"/>
      <c r="X16" s="96"/>
      <c r="Y16" s="96"/>
      <c r="Z16" s="564"/>
      <c r="AA16" s="96"/>
      <c r="AB16" s="427"/>
      <c r="AC16" s="427"/>
      <c r="AD16" s="427"/>
      <c r="AE16" s="427"/>
      <c r="AF16" s="475"/>
      <c r="AG16" s="96"/>
      <c r="AH16" s="96"/>
      <c r="AI16" s="96"/>
      <c r="AJ16" s="96"/>
      <c r="AK16" s="96"/>
      <c r="AL16" s="96"/>
      <c r="AM16" s="96"/>
      <c r="AN16" s="96"/>
      <c r="AO16" s="96"/>
      <c r="AP16" s="96"/>
      <c r="AQ16" s="96"/>
      <c r="AR16" s="96"/>
      <c r="AS16" s="96"/>
      <c r="AT16" s="96"/>
      <c r="AU16" s="96"/>
      <c r="AV16" s="96"/>
      <c r="AW16" s="96"/>
      <c r="AX16" s="96"/>
      <c r="AY16" s="96"/>
      <c r="AZ16" s="96"/>
      <c r="BA16" s="96"/>
    </row>
    <row s="978" customFormat="1" customHeight="1" ht="11.25" hidden="1">
      <c r="B17" s="427"/>
      <c r="E17" s="622"/>
      <c r="W17" s="96"/>
      <c r="X17" s="96"/>
      <c r="Y17" s="96"/>
      <c r="Z17" s="564"/>
      <c r="AA17" s="96"/>
      <c r="AB17" s="427"/>
      <c r="AC17" s="427"/>
      <c r="AD17" s="427"/>
      <c r="AE17" s="427"/>
      <c r="AF17" s="475"/>
      <c r="AG17" s="96"/>
      <c r="AH17" s="96"/>
      <c r="AI17" s="96"/>
      <c r="AJ17" s="96"/>
      <c r="AK17" s="96"/>
      <c r="AL17" s="96"/>
      <c r="AM17" s="96"/>
      <c r="AN17" s="96"/>
      <c r="AO17" s="96"/>
      <c r="AP17" s="96"/>
      <c r="AQ17" s="96"/>
      <c r="AR17" s="96"/>
      <c r="AS17" s="96"/>
      <c r="AT17" s="96"/>
      <c r="AU17" s="96"/>
      <c r="AV17" s="96"/>
      <c r="AW17" s="96"/>
      <c r="AX17" s="96"/>
      <c r="AY17" s="96"/>
      <c r="AZ17" s="96"/>
      <c r="BA17" s="96"/>
    </row>
    <row s="978" customFormat="1" customHeight="1" ht="11.25" hidden="1">
      <c r="B18" s="427"/>
      <c r="E18" s="622"/>
      <c r="W18" s="96"/>
      <c r="X18" s="96"/>
      <c r="Y18" s="96"/>
      <c r="Z18" s="564"/>
      <c r="AA18" s="96"/>
      <c r="AB18" s="427"/>
      <c r="AC18" s="427"/>
      <c r="AD18" s="427"/>
      <c r="AE18" s="427"/>
      <c r="AF18" s="475"/>
      <c r="AG18" s="96"/>
      <c r="AH18" s="96"/>
      <c r="AI18" s="96"/>
      <c r="AJ18" s="96"/>
      <c r="AK18" s="96"/>
      <c r="AL18" s="96"/>
      <c r="AM18" s="96"/>
      <c r="AN18" s="96"/>
      <c r="AO18" s="96"/>
      <c r="AP18" s="96"/>
      <c r="AQ18" s="96"/>
      <c r="AR18" s="96"/>
      <c r="AS18" s="96"/>
      <c r="AT18" s="96"/>
      <c r="AU18" s="96"/>
      <c r="AV18" s="96"/>
      <c r="AW18" s="96"/>
      <c r="AX18" s="96"/>
      <c r="AY18" s="96"/>
      <c r="AZ18" s="96"/>
      <c r="BA18" s="96"/>
    </row>
    <row customHeight="1" ht="11.25" hidden="1"/>
    <row customHeight="1" ht="11.25" hidden="1"/>
    <row customHeight="1" ht="10.96875">
      <c r="E21" s="639">
        <v>11.25</v>
      </c>
      <c r="AA21" s="425"/>
      <c r="AF21" s="107"/>
    </row>
    <row customHeight="1" ht="19.0125">
      <c r="E22" s="639">
        <v>19.5</v>
      </c>
      <c r="AA22" s="1299">
        <v>552</v>
      </c>
      <c r="AB22" s="1507" t="s">
        <v>101</v>
      </c>
      <c r="AC22" s="1508"/>
      <c r="AD22" s="1509"/>
      <c r="AE22" s="274" t="s">
        <v>102</v>
      </c>
      <c r="AF22" s="642" cm="1" t="str">
        <f t="array" ref="AF22:AF22">INDEX(TEHSHEET!B1:B90,MATCH(region_name,REGION,0))</f>
        <v>RU42</v>
      </c>
    </row>
    <row customHeight="1" ht="19.0125">
      <c r="E23" s="639">
        <v>19.5</v>
      </c>
      <c r="AB23" s="454"/>
      <c r="AC23" s="455"/>
      <c r="AD23" s="456" t="s">
        <v>103</v>
      </c>
      <c r="AE23" s="1745" t="s">
        <v>104</v>
      </c>
      <c r="AH23" s="107" t="str">
        <f>IF(AND(AE23="Метод индексации",god=first_year),"методом индексации установленных тарифов",IF(AND(AE23="Метод индексации",god&lt;&gt;first_year),"методом индексации установленных тарифов (при корректировке тарифов, начиная со второго года долгосрочного периода регулирования)",IF(AE23="Метод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I23" s="107" t="str">
        <f>IF(method_reg="Метод индексации","INDEX",IF(method_reg="Метод экономически обоснованных расходов","EOR",IF(method_reg="Метод сравнения аналогов","ANALOG","RAB")))</f>
        <v>INDEX</v>
      </c>
    </row>
    <row customHeight="1" ht="19.0125">
      <c r="E24" s="639">
        <v>19.5</v>
      </c>
      <c r="AB24" s="1507" t="s">
        <v>105</v>
      </c>
      <c r="AC24" s="1508"/>
      <c r="AD24" s="1509"/>
      <c r="AE24" s="1830">
        <v>2026</v>
      </c>
      <c r="AF24" s="387"/>
      <c r="AI24" s="107" t="str">
        <f>ORG_SHORT_NAME&amp;"_ИНН:"&amp;inn&amp;"_КПП:"&amp;kpp</f>
        <v>ООО "Теплоэнерго"_ИНН:4214046200_КПП:421401001</v>
      </c>
    </row>
    <row customHeight="1" ht="19.0125">
      <c r="B25" s="445">
        <f>AND(NOT(method_reg="Метод экономически обоснованных расходов"),NOT(method_reg="Метод сравнения аналогов"))</f>
        <v>1</v>
      </c>
      <c r="E25" s="639">
        <v>19.5</v>
      </c>
      <c r="AB25" s="1507" t="s">
        <v>106</v>
      </c>
      <c r="AC25" s="1508"/>
      <c r="AD25" s="1509"/>
      <c r="AE25" s="458">
        <v>2026</v>
      </c>
      <c r="AF25" s="644">
        <f>first_year+PERIOD_LENGTH-1</f>
        <v>2030</v>
      </c>
      <c r="AG25" s="107" cm="1" t="str">
        <f t="array" ref="AG25:AG25">IF(AE264="да",god,last_year)</f>
        <v>2030</v>
      </c>
    </row>
    <row customHeight="1" ht="19.0125">
      <c r="B26" s="445">
        <f>AND(NOT(method_reg="Метод экономически обоснованных расходов"),NOT(method_reg="Метод сравнения аналогов"))</f>
        <v>1</v>
      </c>
      <c r="E26" s="639">
        <v>19.5</v>
      </c>
      <c r="AB26" s="1507" t="s">
        <v>107</v>
      </c>
      <c r="AC26" s="1508"/>
      <c r="AD26" s="1509"/>
      <c r="AE26" s="458">
        <v>5</v>
      </c>
      <c r="AF26" s="387"/>
    </row>
    <row customHeight="1" ht="19.0125" hidden="1">
      <c r="A27" s="1299"/>
      <c r="B27" s="445">
        <f>AND(NOT(method_reg="Метод экономически обоснованных расходов"),NOT(method_reg="Метод сравнения аналогов"),NOT(god=first_year))</f>
        <v>0</v>
      </c>
      <c r="C27" s="1299"/>
      <c r="D27" s="1299"/>
      <c r="E27" s="639">
        <v>19.5</v>
      </c>
      <c r="F27" s="1299"/>
      <c r="G27" s="1299"/>
      <c r="H27" s="1299"/>
      <c r="I27" s="1299"/>
      <c r="J27" s="1299"/>
      <c r="K27" s="1299"/>
      <c r="L27" s="1299"/>
      <c r="M27" s="1299"/>
      <c r="N27" s="1299"/>
      <c r="O27" s="1299"/>
      <c r="P27" s="1299"/>
      <c r="Q27" s="1299"/>
      <c r="R27" s="1299"/>
      <c r="S27" s="1299"/>
      <c r="T27" s="1299"/>
      <c r="U27" s="1299"/>
      <c r="V27" s="1299"/>
      <c r="W27" s="1299"/>
      <c r="X27" s="1299"/>
      <c r="Y27" s="1299"/>
      <c r="Z27" s="1834"/>
      <c r="AA27" s="1299"/>
      <c r="AB27" s="1507" t="s">
        <v>108</v>
      </c>
      <c r="AC27" s="1508"/>
      <c r="AD27" s="1509"/>
      <c r="AE27" s="274">
        <f>IF(OR(PERIOD_LENGTH-god+first_year&lt;=0,PERIOD_LENGTH-god+first_year&gt;10),"",PERIOD_LENGTH-god+first_year)</f>
        <v>5</v>
      </c>
      <c r="AF27" s="387"/>
      <c r="AG27" s="1299"/>
      <c r="AH27" s="1299"/>
      <c r="AI27" s="1299"/>
      <c r="AJ27" s="1299"/>
      <c r="AK27" s="1299"/>
      <c r="AL27" s="1299"/>
      <c r="AM27" s="1299"/>
      <c r="AN27" s="1299"/>
      <c r="AO27" s="1299"/>
      <c r="AP27" s="1299"/>
      <c r="AQ27" s="1299"/>
      <c r="AR27" s="1299"/>
      <c r="AS27" s="1299"/>
      <c r="AT27" s="1299"/>
      <c r="AU27" s="1299"/>
      <c r="AV27" s="1299"/>
      <c r="AW27" s="1299"/>
      <c r="AX27" s="1299"/>
      <c r="AY27" s="1299"/>
      <c r="AZ27" s="1299"/>
      <c r="BA27" s="1299"/>
    </row>
    <row customHeight="1" ht="7.3125">
      <c r="E28" s="639">
        <v>7.5</v>
      </c>
    </row>
    <row customHeight="1" ht="7.3125">
      <c r="E29" s="639">
        <v>7.5</v>
      </c>
    </row>
    <row customHeight="1" ht="19.0125">
      <c r="E30" s="639">
        <v>19.5</v>
      </c>
      <c r="AB30" s="1510" t="s">
        <v>109</v>
      </c>
      <c r="AC30" s="1510"/>
      <c r="AD30" s="1510"/>
      <c r="AE30" s="1510"/>
      <c r="AF30" s="388"/>
      <c r="AG30" s="109"/>
      <c r="AH30" s="109"/>
      <c r="AI30" s="109"/>
      <c r="AJ30" s="109"/>
      <c r="AK30" s="109"/>
      <c r="AL30" s="109"/>
    </row>
    <row customHeight="1" ht="19.0125">
      <c r="E31" s="639">
        <v>19.5</v>
      </c>
      <c r="AB31" s="1511" t="s">
        <v>110</v>
      </c>
      <c r="AC31" s="1511"/>
      <c r="AD31" s="1511"/>
      <c r="AE31" s="1511"/>
      <c r="AF31" s="388"/>
      <c r="AG31" s="109"/>
      <c r="AH31" s="109"/>
      <c r="AI31" s="109"/>
      <c r="AJ31" s="109"/>
      <c r="AK31" s="109"/>
      <c r="AL31" s="109"/>
    </row>
    <row customHeight="1" ht="19.0125">
      <c r="E32" s="639">
        <v>19.5</v>
      </c>
      <c r="AB32" s="1512" t="s">
        <v>111</v>
      </c>
      <c r="AC32" s="1512"/>
      <c r="AD32" s="1512"/>
      <c r="AE32" s="1512"/>
      <c r="AF32" s="388"/>
      <c r="AG32" s="109"/>
      <c r="AH32" s="109"/>
      <c r="AI32" s="109"/>
      <c r="AJ32" s="109"/>
      <c r="AK32" s="109"/>
      <c r="AL32" s="109"/>
    </row>
    <row customHeight="1" ht="19.0125">
      <c r="E33" s="639">
        <v>19.5</v>
      </c>
      <c r="Z33" s="1834">
        <v>1033413</v>
      </c>
      <c r="AA33" s="643">
        <v>33000834</v>
      </c>
      <c r="AB33" s="1840" t="s">
        <v>112</v>
      </c>
      <c r="AC33" s="1513"/>
      <c r="AD33" s="1513"/>
      <c r="AE33" s="1513"/>
      <c r="AG33" s="109"/>
      <c r="AH33" s="109"/>
      <c r="AI33" s="109"/>
      <c r="AJ33" s="109"/>
      <c r="AK33" s="109"/>
      <c r="AL33" s="107" t="str">
        <f>_xlfn.IFERROR(region_name&amp;" / "&amp;god&amp;" / "&amp;org&amp;" (ИНН:"&amp;inn&amp;", КПП:"&amp;kpp&amp;") / ДПР: "&amp;first_year&amp;"-"&amp;last_year,"")</f>
        <v>Кемеровская область / 2026 / ООО "Теплоэнерго" (ИНН:4214046200, КПП:421401001) / ДПР: 2026-2030</v>
      </c>
    </row>
    <row customHeight="1" ht="19.0125">
      <c r="E34" s="639">
        <v>19.5</v>
      </c>
      <c r="AB34" s="1514" t="str">
        <f>"об установлении тарифов в сфере "&amp;IF(AND(OR(hasVS,hasTranspVS),OR(hasVO,hasTranspVO)),"холодного водоснабжения / водоотведения",IF(OR(hasVS,hasTranspVS),"холодного водоснабжения",IF(OR(hasVO,hasTranspVO),"водоотведения","&lt;не указано&gt;")))&amp;" "&amp;AH23</f>
        <v>об установлении тарифов в сфере холодного водоснабжения / водоотведения методом индексации установленных тарифов</v>
      </c>
      <c r="AC34" s="1514"/>
      <c r="AD34" s="1514"/>
      <c r="AE34" s="1514"/>
      <c r="AG34" s="109"/>
      <c r="AH34" s="109"/>
      <c r="AI34" s="109"/>
      <c r="AJ34" s="109"/>
      <c r="AK34" s="109"/>
      <c r="AL34" s="109"/>
    </row>
    <row customHeight="1" ht="19.0125">
      <c r="E35" s="639">
        <v>19.5</v>
      </c>
      <c r="AB35" s="1515" t="str">
        <f>IF(god="","",IF(AND(method_reg&lt;&gt;"Метод сравнения аналогов",method_reg&lt;&gt;"Метод экономически обоснованных расходов"),"долгосрочного периода регулирования тарифов "&amp;first_year&amp;"-"&amp;last_year&amp;" гг.","на "&amp;god&amp;" год"))</f>
        <v>долгосрочного периода регулирования тарифов 2026-2030 гг.</v>
      </c>
      <c r="AC35" s="1515"/>
      <c r="AD35" s="1515"/>
      <c r="AE35" s="1515"/>
      <c r="AF35" s="388"/>
      <c r="AG35" s="109"/>
      <c r="AH35" s="109"/>
      <c r="AI35" s="109"/>
      <c r="AJ35" s="109"/>
      <c r="AK35" s="109"/>
      <c r="AL35" s="109"/>
    </row>
    <row customHeight="1" ht="10.96875">
      <c r="E36" s="639">
        <v>11.25</v>
      </c>
      <c r="AB36" s="1516"/>
      <c r="AC36" s="1517"/>
      <c r="AD36" s="1517"/>
      <c r="AE36" s="1518"/>
      <c r="AF36" s="476"/>
      <c r="AG36" s="111"/>
      <c r="AH36" s="96"/>
      <c r="AI36" s="1519"/>
      <c r="AJ36" s="1519"/>
      <c r="AK36" s="96"/>
      <c r="AL36" s="111"/>
    </row>
    <row customHeight="1" ht="19.0125">
      <c r="E37" s="639">
        <v>19.5</v>
      </c>
      <c r="AB37" s="1520" t="s">
        <v>113</v>
      </c>
      <c r="AC37" s="1520"/>
      <c r="AD37" s="1520"/>
      <c r="AE37" s="1520"/>
      <c r="AF37" s="477"/>
      <c r="AG37" s="112"/>
      <c r="AH37" s="112"/>
      <c r="AI37" s="112"/>
      <c r="AJ37" s="112"/>
      <c r="AK37" s="112"/>
      <c r="AL37" s="108"/>
    </row>
    <row customHeight="1" ht="35.1">
      <c r="E38" s="639">
        <v>36</v>
      </c>
      <c r="AB38" s="1493" t="s">
        <v>114</v>
      </c>
      <c r="AC38" s="1493"/>
      <c r="AD38" s="1493"/>
      <c r="AE38" s="1841" t="s">
        <v>115</v>
      </c>
      <c r="AF38" s="478"/>
      <c r="AG38" s="108"/>
      <c r="AH38" s="108"/>
      <c r="AI38" s="108"/>
    </row>
    <row customHeight="1" ht="35.1">
      <c r="E39" s="639">
        <v>36</v>
      </c>
      <c r="AB39" s="1493" t="s">
        <v>116</v>
      </c>
      <c r="AC39" s="1493"/>
      <c r="AD39" s="1493"/>
      <c r="AE39" s="1841" t="s">
        <v>112</v>
      </c>
      <c r="AF39" s="478"/>
    </row>
    <row customHeight="1" ht="19.0125">
      <c r="E40" s="639">
        <v>19.5</v>
      </c>
      <c r="AB40" s="1493" t="s">
        <v>117</v>
      </c>
      <c r="AC40" s="1493"/>
      <c r="AD40" s="1493"/>
      <c r="AE40" s="1167"/>
      <c r="AF40" s="387"/>
    </row>
    <row customHeight="1" ht="19.0125">
      <c r="E41" s="639">
        <v>19.5</v>
      </c>
      <c r="AB41" s="1493" t="s">
        <v>118</v>
      </c>
      <c r="AC41" s="1493"/>
      <c r="AD41" s="1493"/>
      <c r="AE41" s="1842" t="s">
        <v>119</v>
      </c>
      <c r="AF41" s="387"/>
    </row>
    <row customHeight="1" ht="19.0125">
      <c r="E42" s="639">
        <v>19.5</v>
      </c>
      <c r="AB42" s="1493" t="s">
        <v>120</v>
      </c>
      <c r="AC42" s="1493"/>
      <c r="AD42" s="1493"/>
      <c r="AE42" s="1842" t="s">
        <v>121</v>
      </c>
      <c r="AF42" s="387"/>
    </row>
    <row customHeight="1" ht="19.0125">
      <c r="E43" s="639">
        <v>19.5</v>
      </c>
      <c r="AB43" s="1493" t="s">
        <v>122</v>
      </c>
      <c r="AC43" s="1493"/>
      <c r="AD43" s="1493"/>
      <c r="AE43" s="1842" t="s">
        <v>123</v>
      </c>
      <c r="AF43" s="387"/>
    </row>
    <row customHeight="1" ht="19.0125">
      <c r="E44" s="639">
        <v>19.5</v>
      </c>
      <c r="AB44" s="1493" t="s">
        <v>124</v>
      </c>
      <c r="AC44" s="1493"/>
      <c r="AD44" s="1493"/>
      <c r="AE44" s="1843" t="s">
        <v>125</v>
      </c>
      <c r="AF44" s="387"/>
      <c r="AG44" s="107" t="s">
        <v>126</v>
      </c>
    </row>
    <row customHeight="1" ht="19.0125">
      <c r="E45" s="639">
        <v>19.5</v>
      </c>
      <c r="AB45" s="1493" t="s">
        <v>127</v>
      </c>
      <c r="AC45" s="1493"/>
      <c r="AD45" s="1493"/>
      <c r="AE45" s="1844" t="s">
        <v>128</v>
      </c>
      <c r="AF45" s="387"/>
      <c r="AG45" s="107" t="s">
        <v>129</v>
      </c>
    </row>
    <row customHeight="1" ht="23.25">
      <c r="E46" s="639">
        <v>19.5</v>
      </c>
      <c r="AB46" s="1493" t="s">
        <v>130</v>
      </c>
      <c r="AC46" s="1493"/>
      <c r="AD46" s="1493"/>
      <c r="AE46" s="1845" t="s">
        <v>131</v>
      </c>
      <c r="AG46" s="107" t="s">
        <v>132</v>
      </c>
    </row>
    <row customHeight="1" ht="23.25">
      <c r="E47" s="639">
        <v>19.5</v>
      </c>
      <c r="AB47" s="1493" t="s">
        <v>133</v>
      </c>
      <c r="AC47" s="1493"/>
      <c r="AD47" s="1493"/>
      <c r="AE47" s="1845" t="s">
        <v>131</v>
      </c>
      <c r="AG47" s="107" t="s">
        <v>134</v>
      </c>
    </row>
    <row customHeight="1" ht="19.0125">
      <c r="E48" s="639">
        <v>19.5</v>
      </c>
      <c r="AB48" s="1493" t="s">
        <v>135</v>
      </c>
      <c r="AC48" s="1493"/>
      <c r="AD48" s="1493"/>
      <c r="AE48" s="1845" t="s">
        <v>136</v>
      </c>
      <c r="AG48" s="107" t="s">
        <v>137</v>
      </c>
    </row>
    <row customHeight="1" ht="19.0125">
      <c r="E49" s="639">
        <v>19.5</v>
      </c>
      <c r="AB49" s="1493" t="s">
        <v>138</v>
      </c>
      <c r="AC49" s="1493"/>
      <c r="AD49" s="1493"/>
      <c r="AE49" s="1846" t="s">
        <v>139</v>
      </c>
      <c r="AG49" s="107" t="s">
        <v>140</v>
      </c>
    </row>
    <row customHeight="1" ht="19.0125">
      <c r="E50" s="639">
        <v>19.5</v>
      </c>
      <c r="AB50" s="1493" t="s">
        <v>141</v>
      </c>
      <c r="AC50" s="1493"/>
      <c r="AD50" s="1493"/>
      <c r="AE50" s="1845" t="s">
        <v>142</v>
      </c>
      <c r="AG50" s="107" t="s">
        <v>143</v>
      </c>
    </row>
    <row customHeight="1" ht="19.0125">
      <c r="E51" s="639">
        <v>19.5</v>
      </c>
      <c r="AB51" s="1493" t="s">
        <v>144</v>
      </c>
      <c r="AC51" s="1493"/>
      <c r="AD51" s="1493"/>
      <c r="AE51" s="1845" t="s">
        <v>145</v>
      </c>
      <c r="AG51" s="107" t="s">
        <v>146</v>
      </c>
    </row>
    <row customHeight="1" ht="19.0125">
      <c r="E52" s="639">
        <v>19.5</v>
      </c>
      <c r="AB52" s="1493" t="s">
        <v>147</v>
      </c>
      <c r="AC52" s="1493"/>
      <c r="AD52" s="1493"/>
      <c r="AE52" s="1847" t="s">
        <v>148</v>
      </c>
      <c r="AG52" s="107" t="s">
        <v>149</v>
      </c>
    </row>
    <row customHeight="1" ht="19.0125">
      <c r="E53" s="639">
        <v>19.5</v>
      </c>
      <c r="AB53" s="1493" t="s">
        <v>150</v>
      </c>
      <c r="AC53" s="1493"/>
      <c r="AD53" s="97" t="s">
        <v>151</v>
      </c>
      <c r="AE53" s="393" t="s">
        <v>152</v>
      </c>
      <c r="AG53" s="107" t="s">
        <v>153</v>
      </c>
    </row>
    <row customHeight="1" ht="19.0125">
      <c r="E54" s="639">
        <v>19.5</v>
      </c>
      <c r="AB54" s="1493"/>
      <c r="AC54" s="1493"/>
      <c r="AD54" s="97" t="s">
        <v>154</v>
      </c>
      <c r="AE54" s="1848" t="s">
        <v>155</v>
      </c>
      <c r="AG54" s="107" t="s">
        <v>156</v>
      </c>
    </row>
    <row customHeight="1" ht="19.0125">
      <c r="E55" s="639">
        <v>19.5</v>
      </c>
      <c r="AB55" s="1493"/>
      <c r="AC55" s="1493"/>
      <c r="AD55" s="97" t="s">
        <v>157</v>
      </c>
      <c r="AE55" s="1848" t="s">
        <v>158</v>
      </c>
      <c r="AG55" s="107" t="s">
        <v>159</v>
      </c>
    </row>
    <row customHeight="1" ht="24.862499999999997">
      <c r="E56" s="639">
        <v>25.5</v>
      </c>
      <c r="AB56" s="1493" t="s">
        <v>160</v>
      </c>
      <c r="AC56" s="1493"/>
      <c r="AD56" s="1493"/>
      <c r="AE56" s="393" t="s">
        <v>161</v>
      </c>
      <c r="AF56" s="479"/>
      <c r="AG56" s="107" t="s">
        <v>162</v>
      </c>
    </row>
    <row customHeight="1" ht="24.862499999999997">
      <c r="E57" s="639">
        <v>25.5</v>
      </c>
      <c r="AB57" s="1493" t="s">
        <v>163</v>
      </c>
      <c r="AC57" s="1493"/>
      <c r="AD57" s="1493"/>
      <c r="AE57" s="1848" t="s">
        <v>164</v>
      </c>
      <c r="AF57" s="645"/>
      <c r="AG57" s="571"/>
    </row>
    <row customHeight="1" ht="19.0125">
      <c r="E58" s="639">
        <v>19.5</v>
      </c>
      <c r="AB58" s="1493" t="s">
        <v>165</v>
      </c>
      <c r="AC58" s="1493"/>
      <c r="AD58" s="1493"/>
      <c r="AE58" s="393" t="s">
        <v>161</v>
      </c>
      <c r="AG58" s="107" t="s">
        <v>166</v>
      </c>
    </row>
    <row customHeight="1" ht="24.862499999999997">
      <c r="E59" s="639">
        <v>25.5</v>
      </c>
      <c r="AB59" s="1493" t="s">
        <v>167</v>
      </c>
      <c r="AC59" s="1493"/>
      <c r="AD59" s="1493"/>
      <c r="AE59" s="393" t="s">
        <v>161</v>
      </c>
      <c r="AF59" s="479"/>
      <c r="AG59" s="107" t="s">
        <v>168</v>
      </c>
    </row>
    <row customHeight="1" ht="19.0125">
      <c r="B60" s="445">
        <f>NOT(method_reg="Метод сравнения аналогов")</f>
        <v>1</v>
      </c>
      <c r="E60" s="639">
        <v>19.5</v>
      </c>
      <c r="F60" s="107" t="s">
        <v>169</v>
      </c>
      <c r="AB60" s="1493" t="s">
        <v>170</v>
      </c>
      <c r="AC60" s="1493"/>
      <c r="AD60" s="1493"/>
      <c r="AE60" s="393" t="s">
        <v>161</v>
      </c>
      <c r="AG60" s="107" t="s">
        <v>171</v>
      </c>
    </row>
    <row customHeight="1" ht="11.700000000000001">
      <c r="B61" s="445">
        <f>AND(NOT(method_reg="Метод сравнения аналогов"),STATUS_GO="да")</f>
        <v>1</v>
      </c>
      <c r="E61" s="639">
        <v>12</v>
      </c>
      <c r="AA61" s="638"/>
      <c r="AB61" s="1493" t="s">
        <v>172</v>
      </c>
      <c r="AC61" s="1493"/>
      <c r="AD61" s="1493"/>
      <c r="AE61" s="1849" t="s">
        <v>173</v>
      </c>
      <c r="AF61" s="638"/>
    </row>
    <row customHeight="1" ht="11.700000000000001" hidden="1">
      <c r="B62" s="445">
        <f>AND(NOT(method_reg="Метод сравнения аналогов"),STATUS_GO="да")</f>
        <v>1</v>
      </c>
      <c r="E62" s="639">
        <v>12</v>
      </c>
      <c r="W62" s="501">
        <f>ROW(Y62)&gt;ROW(Y$62)</f>
        <v>0</v>
      </c>
      <c r="Y62" s="107" t="s">
        <v>174</v>
      </c>
      <c r="AA62" s="638" t="s">
        <v>175</v>
      </c>
      <c r="AB62" s="1493" t="s">
        <v>172</v>
      </c>
      <c r="AC62" s="1493"/>
      <c r="AD62" s="1493"/>
      <c r="AE62" s="417"/>
      <c r="AF62" s="638"/>
    </row>
    <row customHeight="1" ht="13.649999999999999">
      <c r="B63" s="445">
        <f>AND(NOT(method_reg="Метод сравнения аналогов"),STATUS_GO="да")</f>
        <v>1</v>
      </c>
      <c r="E63" s="639">
        <v>14</v>
      </c>
      <c r="F63" s="107" t="s">
        <v>176</v>
      </c>
      <c r="Y63" s="108" t="s">
        <v>177</v>
      </c>
      <c r="AB63" s="265"/>
      <c r="AC63" s="264"/>
      <c r="AD63" s="264"/>
      <c r="AE63" s="368" t="s">
        <v>178</v>
      </c>
      <c r="AF63" s="1087"/>
    </row>
    <row customHeight="1" ht="13.649999999999999" hidden="1">
      <c r="B64" s="445">
        <f>method_reg="Метод сравнения аналогов"</f>
        <v>0</v>
      </c>
      <c r="E64" s="639">
        <v>14</v>
      </c>
      <c r="AB64" s="565"/>
      <c r="AC64" s="566"/>
      <c r="AD64" s="566"/>
      <c r="AE64" s="567"/>
      <c r="AF64" s="1087"/>
    </row>
    <row customHeight="1" ht="19.0125" hidden="1">
      <c r="B65" s="445">
        <f>method_reg="Метод сравнения аналогов"</f>
        <v>0</v>
      </c>
      <c r="E65" s="639">
        <v>19.5</v>
      </c>
      <c r="AB65" s="1506" t="s">
        <v>179</v>
      </c>
      <c r="AC65" s="1506"/>
      <c r="AD65" s="1506"/>
      <c r="AE65" s="755"/>
      <c r="AF65" s="1087"/>
      <c r="AG65" s="954" t="s">
        <v>180</v>
      </c>
    </row>
    <row customHeight="1" ht="19.0125" hidden="1">
      <c r="B66" s="445">
        <f>method_reg="Метод сравнения аналогов"</f>
        <v>0</v>
      </c>
      <c r="E66" s="639">
        <v>19.5</v>
      </c>
      <c r="AB66" s="1506" t="s">
        <v>181</v>
      </c>
      <c r="AC66" s="1506"/>
      <c r="AD66" s="1506"/>
      <c r="AE66" s="755"/>
      <c r="AF66" s="1087"/>
      <c r="AG66" s="954" t="s">
        <v>182</v>
      </c>
    </row>
    <row customHeight="1" ht="19.0125" hidden="1">
      <c r="B67" s="445">
        <f>method_reg="Метод сравнения аналогов"</f>
        <v>0</v>
      </c>
      <c r="E67" s="639">
        <v>19.5</v>
      </c>
      <c r="AB67" s="1506" t="s">
        <v>183</v>
      </c>
      <c r="AC67" s="1506"/>
      <c r="AD67" s="1506"/>
      <c r="AE67" s="755"/>
      <c r="AF67" s="1087"/>
      <c r="AG67" s="954" t="s">
        <v>184</v>
      </c>
    </row>
    <row customHeight="1" ht="19.0125" hidden="1">
      <c r="B68" s="445">
        <f>method_reg="Метод сравнения аналогов"</f>
        <v>0</v>
      </c>
      <c r="E68" s="639">
        <v>19.5</v>
      </c>
      <c r="AB68" s="1493" t="s">
        <v>185</v>
      </c>
      <c r="AC68" s="1493"/>
      <c r="AD68" s="1493"/>
      <c r="AE68" s="1395"/>
      <c r="AF68" s="1087"/>
      <c r="AG68" s="954" t="s">
        <v>186</v>
      </c>
    </row>
    <row customHeight="1" ht="19.0125" hidden="1">
      <c r="B69" s="445">
        <f>method_reg="Метод сравнения аналогов"</f>
        <v>0</v>
      </c>
      <c r="E69" s="639">
        <v>19.5</v>
      </c>
      <c r="AB69" s="1493" t="s">
        <v>187</v>
      </c>
      <c r="AC69" s="1493"/>
      <c r="AD69" s="1493"/>
      <c r="AE69" s="1396"/>
      <c r="AF69" s="1087"/>
      <c r="AG69" s="954" t="s">
        <v>188</v>
      </c>
    </row>
    <row customHeight="1" ht="13.649999999999999">
      <c r="B70" s="107"/>
      <c r="E70" s="639">
        <v>14</v>
      </c>
      <c r="AB70" s="565"/>
      <c r="AC70" s="566"/>
      <c r="AD70" s="566"/>
      <c r="AE70" s="567"/>
      <c r="AF70" s="1087"/>
    </row>
    <row customHeight="1" ht="19.0125">
      <c r="B71" s="107"/>
      <c r="E71" s="639">
        <v>19.5</v>
      </c>
      <c r="AB71" s="1493" t="s">
        <v>189</v>
      </c>
      <c r="AC71" s="1493"/>
      <c r="AD71" s="1493"/>
      <c r="AE71" s="392" t="s">
        <v>152</v>
      </c>
      <c r="AF71" s="1087"/>
      <c r="AG71" s="107" t="s">
        <v>190</v>
      </c>
    </row>
    <row customHeight="1" ht="19.0125">
      <c r="B72" s="107"/>
      <c r="E72" s="639">
        <v>19.5</v>
      </c>
      <c r="F72" s="107" t="s">
        <v>191</v>
      </c>
      <c r="AB72" s="1493" t="s">
        <v>192</v>
      </c>
      <c r="AC72" s="1493"/>
      <c r="AD72" s="1493"/>
      <c r="AE72" s="392" t="s">
        <v>152</v>
      </c>
      <c r="AF72" s="1087"/>
      <c r="AG72" s="107" t="s">
        <v>193</v>
      </c>
    </row>
    <row customHeight="1" ht="19.0125" hidden="1">
      <c r="B73" s="445">
        <f>HAS_DOC2="да"</f>
        <v>0</v>
      </c>
      <c r="E73" s="639">
        <v>19.5</v>
      </c>
      <c r="AB73" s="1495" t="s">
        <v>194</v>
      </c>
      <c r="AC73" s="1503" t="s">
        <v>195</v>
      </c>
      <c r="AD73" s="1505"/>
      <c r="AE73" s="1397"/>
      <c r="AF73" s="1087"/>
    </row>
    <row customHeight="1" ht="19.0125" hidden="1">
      <c r="B74" s="445">
        <f>HAS_DOC2="да"</f>
        <v>0</v>
      </c>
      <c r="E74" s="639">
        <v>19.5</v>
      </c>
      <c r="AB74" s="1496"/>
      <c r="AC74" s="1503" t="s">
        <v>196</v>
      </c>
      <c r="AD74" s="1505"/>
      <c r="AE74" s="1398"/>
      <c r="AF74" s="1087"/>
    </row>
    <row customHeight="1" ht="19.0125" hidden="1">
      <c r="B75" s="445">
        <f>HAS_DOC2="да"</f>
        <v>0</v>
      </c>
      <c r="E75" s="639">
        <v>19.5</v>
      </c>
      <c r="AB75" s="1496"/>
      <c r="AC75" s="1503" t="s">
        <v>197</v>
      </c>
      <c r="AD75" s="1505"/>
      <c r="AE75" s="1397"/>
      <c r="AF75" s="1087"/>
    </row>
    <row customHeight="1" ht="19.0125" hidden="1">
      <c r="B76" s="445">
        <f>HAS_DOC2="да"</f>
        <v>0</v>
      </c>
      <c r="E76" s="639">
        <v>19.5</v>
      </c>
      <c r="AB76" s="1496"/>
      <c r="AC76" s="1503" t="s">
        <v>198</v>
      </c>
      <c r="AD76" s="1505"/>
      <c r="AE76" s="1399"/>
    </row>
    <row customHeight="1" ht="19.0125" hidden="1">
      <c r="B77" s="445">
        <f>HAS_DOC2="да"</f>
        <v>0</v>
      </c>
      <c r="E77" s="639">
        <v>19.5</v>
      </c>
      <c r="AB77" s="1497"/>
      <c r="AC77" s="1503" t="s">
        <v>199</v>
      </c>
      <c r="AD77" s="1505"/>
      <c r="AE77" s="1400"/>
    </row>
    <row customHeight="1" ht="19.0125" hidden="1">
      <c r="B78" s="445">
        <f>HAS_DOC2="да"</f>
        <v>0</v>
      </c>
      <c r="E78" s="639">
        <v>19.5</v>
      </c>
      <c r="W78" s="501">
        <f>ROW(Y78)&gt;ROW(Y$78)</f>
        <v>0</v>
      </c>
      <c r="Y78" s="107" t="s">
        <v>174</v>
      </c>
      <c r="AA78" s="1494" t="s">
        <v>175</v>
      </c>
      <c r="AB78" s="1495" t="s">
        <v>194</v>
      </c>
      <c r="AC78" s="1503" t="s">
        <v>195</v>
      </c>
      <c r="AD78" s="1505"/>
      <c r="AE78" s="1397"/>
    </row>
    <row customHeight="1" ht="19.0125" hidden="1">
      <c r="B79" s="445">
        <f>HAS_DOC2="да"</f>
        <v>0</v>
      </c>
      <c r="E79" s="639">
        <v>19.5</v>
      </c>
      <c r="W79" s="501" cm="1" t="str">
        <f t="array" ref="W79:W79">W78</f>
        <v>false</v>
      </c>
      <c r="AA79" s="1494"/>
      <c r="AB79" s="1496"/>
      <c r="AC79" s="1503" t="s">
        <v>196</v>
      </c>
      <c r="AD79" s="1505"/>
      <c r="AE79" s="1398"/>
    </row>
    <row customHeight="1" ht="19.0125" hidden="1">
      <c r="B80" s="445">
        <f>HAS_DOC2="да"</f>
        <v>0</v>
      </c>
      <c r="E80" s="639">
        <v>19.5</v>
      </c>
      <c r="W80" s="501" cm="1" t="str">
        <f t="array" ref="W80:W80">W79</f>
        <v>false</v>
      </c>
      <c r="AA80" s="1494"/>
      <c r="AB80" s="1496"/>
      <c r="AC80" s="1503" t="s">
        <v>197</v>
      </c>
      <c r="AD80" s="1505"/>
      <c r="AE80" s="1397"/>
    </row>
    <row customHeight="1" ht="19.0125" hidden="1">
      <c r="B81" s="445">
        <f>HAS_DOC2="да"</f>
        <v>0</v>
      </c>
      <c r="E81" s="639">
        <v>19.5</v>
      </c>
      <c r="W81" s="501" cm="1" t="str">
        <f t="array" ref="W81:W81">W80</f>
        <v>false</v>
      </c>
      <c r="AA81" s="1494"/>
      <c r="AB81" s="1496"/>
      <c r="AC81" s="1503" t="s">
        <v>198</v>
      </c>
      <c r="AD81" s="1505"/>
      <c r="AE81" s="1399"/>
    </row>
    <row customHeight="1" ht="19.0125" hidden="1">
      <c r="B82" s="445">
        <f>HAS_DOC2="да"</f>
        <v>0</v>
      </c>
      <c r="E82" s="639">
        <v>19.5</v>
      </c>
      <c r="W82" s="501" cm="1" t="str">
        <f t="array" ref="W82:W82">W81</f>
        <v>false</v>
      </c>
      <c r="AA82" s="1494"/>
      <c r="AB82" s="1497"/>
      <c r="AC82" s="1503" t="s">
        <v>199</v>
      </c>
      <c r="AD82" s="1505"/>
      <c r="AE82" s="1400"/>
    </row>
    <row customHeight="1" ht="14.625" hidden="1">
      <c r="B83" s="445">
        <f>HAS_DOC2="да"</f>
        <v>0</v>
      </c>
      <c r="E83" s="639">
        <v>15</v>
      </c>
      <c r="F83" s="107" t="s">
        <v>191</v>
      </c>
      <c r="Y83" s="108" t="s">
        <v>177</v>
      </c>
      <c r="AB83" s="265"/>
      <c r="AC83" s="264"/>
      <c r="AD83" s="264"/>
      <c r="AE83" s="368" t="s">
        <v>178</v>
      </c>
    </row>
    <row customHeight="1" ht="19.0125">
      <c r="B84" s="107"/>
      <c r="E84" s="639">
        <v>19.5</v>
      </c>
      <c r="F84" s="107" t="s">
        <v>200</v>
      </c>
      <c r="AB84" s="1493" t="s">
        <v>201</v>
      </c>
      <c r="AC84" s="1493"/>
      <c r="AD84" s="1493"/>
      <c r="AE84" s="392" t="s">
        <v>152</v>
      </c>
      <c r="AG84" s="107" t="s">
        <v>202</v>
      </c>
    </row>
    <row customHeight="1" ht="19.0125" hidden="1">
      <c r="B85" s="445">
        <f>HAS_DOC3="да"</f>
        <v>0</v>
      </c>
      <c r="E85" s="639">
        <v>19.5</v>
      </c>
      <c r="AB85" s="1498" t="s">
        <v>194</v>
      </c>
      <c r="AC85" s="1493" t="s">
        <v>195</v>
      </c>
      <c r="AD85" s="1493"/>
      <c r="AE85" s="1397"/>
    </row>
    <row customHeight="1" ht="19.0125" hidden="1">
      <c r="B86" s="445">
        <f>HAS_DOC3="да"</f>
        <v>0</v>
      </c>
      <c r="E86" s="639">
        <v>19.5</v>
      </c>
      <c r="AB86" s="1498"/>
      <c r="AC86" s="1493" t="s">
        <v>196</v>
      </c>
      <c r="AD86" s="1493"/>
      <c r="AE86" s="1398"/>
    </row>
    <row customHeight="1" ht="19.0125" hidden="1">
      <c r="B87" s="445">
        <f>HAS_DOC3="да"</f>
        <v>0</v>
      </c>
      <c r="E87" s="639">
        <v>19.5</v>
      </c>
      <c r="AB87" s="1498"/>
      <c r="AC87" s="1493" t="s">
        <v>197</v>
      </c>
      <c r="AD87" s="1493"/>
      <c r="AE87" s="1397"/>
    </row>
    <row customHeight="1" ht="19.0125" hidden="1">
      <c r="B88" s="445">
        <f>HAS_DOC3="да"</f>
        <v>0</v>
      </c>
      <c r="E88" s="639">
        <v>19.5</v>
      </c>
      <c r="AB88" s="1498"/>
      <c r="AC88" s="1493" t="s">
        <v>198</v>
      </c>
      <c r="AD88" s="1493"/>
      <c r="AE88" s="1399"/>
    </row>
    <row customHeight="1" ht="19.0125" hidden="1">
      <c r="B89" s="445">
        <f>HAS_DOC3="да"</f>
        <v>0</v>
      </c>
      <c r="E89" s="639">
        <v>19.5</v>
      </c>
      <c r="AB89" s="1498"/>
      <c r="AC89" s="1493" t="s">
        <v>199</v>
      </c>
      <c r="AD89" s="1493"/>
      <c r="AE89" s="1400"/>
    </row>
    <row customHeight="1" ht="19.0125" hidden="1">
      <c r="B90" s="445">
        <f>HAS_DOC3="да"</f>
        <v>0</v>
      </c>
      <c r="E90" s="639">
        <v>19.5</v>
      </c>
      <c r="W90" s="501">
        <f>ROW(Y90)&gt;ROW(Y$90)</f>
        <v>0</v>
      </c>
      <c r="Y90" s="107" t="s">
        <v>174</v>
      </c>
      <c r="AA90" s="1494" t="s">
        <v>175</v>
      </c>
      <c r="AB90" s="1495" t="s">
        <v>194</v>
      </c>
      <c r="AC90" s="1503" t="s">
        <v>195</v>
      </c>
      <c r="AD90" s="1505"/>
      <c r="AE90" s="1397"/>
    </row>
    <row customHeight="1" ht="19.0125" hidden="1">
      <c r="B91" s="445">
        <f>HAS_DOC3="да"</f>
        <v>0</v>
      </c>
      <c r="E91" s="639">
        <v>19.5</v>
      </c>
      <c r="W91" s="501" cm="1" t="str">
        <f t="array" ref="W91:W91">W90</f>
        <v>false</v>
      </c>
      <c r="AA91" s="1494"/>
      <c r="AB91" s="1496"/>
      <c r="AC91" s="1503" t="s">
        <v>196</v>
      </c>
      <c r="AD91" s="1505"/>
      <c r="AE91" s="1398"/>
    </row>
    <row customHeight="1" ht="19.0125" hidden="1">
      <c r="B92" s="445">
        <f>HAS_DOC3="да"</f>
        <v>0</v>
      </c>
      <c r="E92" s="639">
        <v>19.5</v>
      </c>
      <c r="W92" s="501" cm="1" t="str">
        <f t="array" ref="W92:W92">W91</f>
        <v>false</v>
      </c>
      <c r="AA92" s="1494"/>
      <c r="AB92" s="1496"/>
      <c r="AC92" s="1503" t="s">
        <v>197</v>
      </c>
      <c r="AD92" s="1505"/>
      <c r="AE92" s="1397"/>
    </row>
    <row customHeight="1" ht="19.0125" hidden="1">
      <c r="B93" s="445">
        <f>HAS_DOC3="да"</f>
        <v>0</v>
      </c>
      <c r="E93" s="639">
        <v>19.5</v>
      </c>
      <c r="W93" s="501" cm="1" t="str">
        <f t="array" ref="W93:W93">W92</f>
        <v>false</v>
      </c>
      <c r="AA93" s="1494"/>
      <c r="AB93" s="1496"/>
      <c r="AC93" s="1503" t="s">
        <v>198</v>
      </c>
      <c r="AD93" s="1505"/>
      <c r="AE93" s="1399"/>
    </row>
    <row customHeight="1" ht="19.0125" hidden="1">
      <c r="B94" s="445">
        <f>HAS_DOC3="да"</f>
        <v>0</v>
      </c>
      <c r="E94" s="639">
        <v>19.5</v>
      </c>
      <c r="W94" s="501" cm="1" t="str">
        <f t="array" ref="W94:W94">W93</f>
        <v>false</v>
      </c>
      <c r="AA94" s="1494"/>
      <c r="AB94" s="1497"/>
      <c r="AC94" s="1503" t="s">
        <v>199</v>
      </c>
      <c r="AD94" s="1505"/>
      <c r="AE94" s="1400"/>
    </row>
    <row customHeight="1" ht="14.625" hidden="1">
      <c r="B95" s="445">
        <f>HAS_DOC3="да"</f>
        <v>0</v>
      </c>
      <c r="E95" s="639">
        <v>15</v>
      </c>
      <c r="F95" s="107" t="s">
        <v>200</v>
      </c>
      <c r="Y95" s="108" t="s">
        <v>177</v>
      </c>
      <c r="AB95" s="265"/>
      <c r="AC95" s="264"/>
      <c r="AD95" s="264"/>
      <c r="AE95" s="368" t="s">
        <v>178</v>
      </c>
    </row>
    <row customHeight="1" ht="19.0125">
      <c r="B96" s="445">
        <f>NOT(method_reg="Метод сравнения аналогов")</f>
        <v>1</v>
      </c>
      <c r="E96" s="639">
        <v>19.5</v>
      </c>
      <c r="F96" s="107" t="s">
        <v>203</v>
      </c>
      <c r="AB96" s="1493" t="s">
        <v>204</v>
      </c>
      <c r="AC96" s="1493"/>
      <c r="AD96" s="1493"/>
      <c r="AE96" s="392" t="s">
        <v>161</v>
      </c>
      <c r="AG96" s="107" t="s">
        <v>205</v>
      </c>
    </row>
    <row customHeight="1" ht="33.75">
      <c r="B97" s="445">
        <f>AND(NOT(method_reg="Метод сравнения аналогов"),HAS_DOC4="да")</f>
        <v>1</v>
      </c>
      <c r="E97" s="639">
        <v>19.5</v>
      </c>
      <c r="AB97" s="1498" t="s">
        <v>194</v>
      </c>
      <c r="AC97" s="1493" t="s">
        <v>195</v>
      </c>
      <c r="AD97" s="1493"/>
      <c r="AE97" s="1850" t="s">
        <v>206</v>
      </c>
    </row>
    <row customHeight="1" ht="19.0125">
      <c r="B98" s="445">
        <f>AND(NOT(method_reg="Метод сравнения аналогов"),HAS_DOC4="да")</f>
        <v>1</v>
      </c>
      <c r="E98" s="639">
        <v>19.5</v>
      </c>
      <c r="AB98" s="1498"/>
      <c r="AC98" s="1493" t="s">
        <v>196</v>
      </c>
      <c r="AD98" s="1493"/>
      <c r="AE98" s="1851" t="s">
        <v>207</v>
      </c>
    </row>
    <row customHeight="1" ht="19.0125">
      <c r="B99" s="445">
        <f>AND(NOT(method_reg="Метод сравнения аналогов"),HAS_DOC4="да")</f>
        <v>1</v>
      </c>
      <c r="E99" s="639">
        <v>19.5</v>
      </c>
      <c r="AB99" s="1498"/>
      <c r="AC99" s="1493" t="s">
        <v>197</v>
      </c>
      <c r="AD99" s="1493"/>
      <c r="AE99" s="1850" t="s">
        <v>208</v>
      </c>
    </row>
    <row customHeight="1" ht="19.0125">
      <c r="B100" s="445">
        <f>AND(NOT(method_reg="Метод сравнения аналогов"),HAS_DOC4="да")</f>
        <v>1</v>
      </c>
      <c r="E100" s="639">
        <v>19.5</v>
      </c>
      <c r="AB100" s="1498"/>
      <c r="AC100" s="1493" t="s">
        <v>198</v>
      </c>
      <c r="AD100" s="1493"/>
      <c r="AE100" s="1852">
        <v>44015</v>
      </c>
    </row>
    <row customHeight="1" ht="19.0125">
      <c r="B101" s="445">
        <f>AND(NOT(method_reg="Метод сравнения аналогов"),HAS_DOC4="да")</f>
        <v>1</v>
      </c>
      <c r="E101" s="639">
        <v>19.5</v>
      </c>
      <c r="AB101" s="1498"/>
      <c r="AC101" s="1493" t="s">
        <v>199</v>
      </c>
      <c r="AD101" s="1493"/>
      <c r="AE101" s="1853" t="s">
        <v>209</v>
      </c>
    </row>
    <row customHeight="1" ht="19.0125" hidden="1">
      <c r="B102" s="445">
        <f>AND(NOT(method_reg="Метод сравнения аналогов"),HAS_DOC4="да")</f>
        <v>1</v>
      </c>
      <c r="E102" s="639">
        <v>19.5</v>
      </c>
      <c r="W102" s="501">
        <f>ROW(Y102)&gt;ROW(Y$102)</f>
        <v>0</v>
      </c>
      <c r="Y102" s="107" t="s">
        <v>174</v>
      </c>
      <c r="AA102" s="1494" t="s">
        <v>175</v>
      </c>
      <c r="AB102" s="1495" t="s">
        <v>194</v>
      </c>
      <c r="AC102" s="1503" t="s">
        <v>195</v>
      </c>
      <c r="AD102" s="1505"/>
      <c r="AE102" s="1397"/>
    </row>
    <row customHeight="1" ht="19.0125" hidden="1">
      <c r="B103" s="445">
        <f>AND(NOT(method_reg="Метод сравнения аналогов"),HAS_DOC4="да")</f>
        <v>1</v>
      </c>
      <c r="E103" s="639">
        <v>19.5</v>
      </c>
      <c r="W103" s="501" cm="1" t="str">
        <f t="array" ref="W103:W103">W102</f>
        <v>false</v>
      </c>
      <c r="AA103" s="1494"/>
      <c r="AB103" s="1496"/>
      <c r="AC103" s="1503" t="s">
        <v>196</v>
      </c>
      <c r="AD103" s="1505"/>
      <c r="AE103" s="1398"/>
    </row>
    <row customHeight="1" ht="19.0125" hidden="1">
      <c r="B104" s="445">
        <f>AND(NOT(method_reg="Метод сравнения аналогов"),HAS_DOC4="да")</f>
        <v>1</v>
      </c>
      <c r="E104" s="639">
        <v>19.5</v>
      </c>
      <c r="W104" s="501" cm="1" t="str">
        <f t="array" ref="W104:W104">W103</f>
        <v>false</v>
      </c>
      <c r="AA104" s="1494"/>
      <c r="AB104" s="1496"/>
      <c r="AC104" s="1503" t="s">
        <v>197</v>
      </c>
      <c r="AD104" s="1505"/>
      <c r="AE104" s="1397"/>
    </row>
    <row customHeight="1" ht="19.0125" hidden="1">
      <c r="B105" s="445">
        <f>AND(NOT(method_reg="Метод сравнения аналогов"),HAS_DOC4="да")</f>
        <v>1</v>
      </c>
      <c r="E105" s="639">
        <v>19.5</v>
      </c>
      <c r="W105" s="501" cm="1" t="str">
        <f t="array" ref="W105:W105">W104</f>
        <v>false</v>
      </c>
      <c r="AA105" s="1494"/>
      <c r="AB105" s="1496"/>
      <c r="AC105" s="1503" t="s">
        <v>198</v>
      </c>
      <c r="AD105" s="1505"/>
      <c r="AE105" s="1399"/>
    </row>
    <row customHeight="1" ht="19.0125" hidden="1">
      <c r="B106" s="445">
        <f>AND(NOT(method_reg="Метод сравнения аналогов"),HAS_DOC4="да")</f>
        <v>1</v>
      </c>
      <c r="E106" s="639">
        <v>19.5</v>
      </c>
      <c r="W106" s="501" cm="1" t="str">
        <f t="array" ref="W106:W106">W105</f>
        <v>false</v>
      </c>
      <c r="AA106" s="1494"/>
      <c r="AB106" s="1497"/>
      <c r="AC106" s="1503" t="s">
        <v>199</v>
      </c>
      <c r="AD106" s="1505"/>
      <c r="AE106" s="1400"/>
    </row>
    <row customHeight="1" ht="14.625">
      <c r="B107" s="445">
        <f>AND(NOT(method_reg="Метод сравнения аналогов"),HAS_DOC4="да")</f>
        <v>1</v>
      </c>
      <c r="E107" s="639">
        <v>15</v>
      </c>
      <c r="F107" s="107" t="s">
        <v>203</v>
      </c>
      <c r="Y107" s="108" t="s">
        <v>177</v>
      </c>
      <c r="AB107" s="265"/>
      <c r="AC107" s="264"/>
      <c r="AD107" s="264"/>
      <c r="AE107" s="368" t="s">
        <v>178</v>
      </c>
    </row>
    <row customHeight="1" ht="24.862499999999997">
      <c r="B108" s="445">
        <f>NOT(method_reg="Метод сравнения аналогов")</f>
        <v>1</v>
      </c>
      <c r="E108" s="639">
        <v>25.5</v>
      </c>
      <c r="F108" s="107" t="s">
        <v>210</v>
      </c>
      <c r="AB108" s="1493" t="str">
        <f>"Наличие утверждённых ОИВ инвестиционных программ, действующих в течение "&amp;god-2&amp;" года, для организации, оказывающей услуги холодного водоснабжения/водоотведения"</f>
        <v>Наличие утверждённых ОИВ инвестиционных программ, действующих в течение 2024 года, для организации, оказывающей услуги холодного водоснабжения/водоотведения</v>
      </c>
      <c r="AC108" s="1493"/>
      <c r="AD108" s="1493"/>
      <c r="AE108" s="392" t="s">
        <v>152</v>
      </c>
      <c r="AF108" s="479"/>
      <c r="AG108" s="107" t="s">
        <v>211</v>
      </c>
    </row>
    <row customHeight="1" ht="19.0125" hidden="1">
      <c r="A109" s="1299"/>
      <c r="B109" s="445">
        <f>AND(NOT(method_reg="Метод сравнения аналогов"),HAS_DOC5="да")</f>
        <v>0</v>
      </c>
      <c r="C109" s="1299"/>
      <c r="D109" s="1299"/>
      <c r="E109" s="639">
        <v>19.5</v>
      </c>
      <c r="F109" s="1299"/>
      <c r="G109" s="1299"/>
      <c r="H109" s="1299"/>
      <c r="I109" s="1299"/>
      <c r="J109" s="1299"/>
      <c r="K109" s="1299"/>
      <c r="L109" s="1299"/>
      <c r="M109" s="1299"/>
      <c r="N109" s="1299"/>
      <c r="O109" s="1299"/>
      <c r="P109" s="1299"/>
      <c r="Q109" s="1299"/>
      <c r="R109" s="1299"/>
      <c r="S109" s="1299"/>
      <c r="T109" s="1299"/>
      <c r="U109" s="1299"/>
      <c r="V109" s="1299"/>
      <c r="W109" s="1299" t="b">
        <v>0</v>
      </c>
      <c r="X109" s="1299"/>
      <c r="Y109" s="1299"/>
      <c r="Z109" s="0"/>
      <c r="AA109" s="1299"/>
      <c r="AB109" s="1495" t="s">
        <v>194</v>
      </c>
      <c r="AC109" s="1493" t="s">
        <v>195</v>
      </c>
      <c r="AD109" s="1493"/>
      <c r="AE109" s="418"/>
      <c r="AF109" s="386"/>
      <c r="AG109" s="1299"/>
      <c r="AH109" s="1299"/>
      <c r="AI109" s="1299"/>
      <c r="AJ109" s="1299"/>
      <c r="AK109" s="1299"/>
      <c r="AL109" s="1299"/>
      <c r="AM109" s="1299"/>
      <c r="AN109" s="1299"/>
      <c r="AO109" s="1299"/>
      <c r="AP109" s="1299"/>
      <c r="AQ109" s="1299"/>
      <c r="AR109" s="1299"/>
      <c r="AS109" s="1299"/>
      <c r="AT109" s="1299"/>
      <c r="AU109" s="1299"/>
      <c r="AV109" s="1299"/>
      <c r="AW109" s="1299"/>
      <c r="AX109" s="1299"/>
      <c r="AY109" s="1299"/>
      <c r="AZ109" s="1299"/>
      <c r="BA109" s="1299"/>
    </row>
    <row customHeight="1" ht="19.0125" hidden="1">
      <c r="A110" s="1299"/>
      <c r="B110" s="445">
        <f>AND(NOT(method_reg="Метод сравнения аналогов"),HAS_DOC5="да")</f>
        <v>0</v>
      </c>
      <c r="C110" s="1299"/>
      <c r="D110" s="1299"/>
      <c r="E110" s="639">
        <v>19.5</v>
      </c>
      <c r="F110" s="1299"/>
      <c r="G110" s="1299"/>
      <c r="H110" s="1299"/>
      <c r="I110" s="1299"/>
      <c r="J110" s="1299"/>
      <c r="K110" s="1299"/>
      <c r="L110" s="1299"/>
      <c r="M110" s="1299"/>
      <c r="N110" s="1299"/>
      <c r="O110" s="1299"/>
      <c r="P110" s="1299"/>
      <c r="Q110" s="1299"/>
      <c r="R110" s="1299"/>
      <c r="S110" s="1299"/>
      <c r="T110" s="1299"/>
      <c r="U110" s="1299"/>
      <c r="V110" s="1299"/>
      <c r="W110" s="1299" t="b">
        <v>0</v>
      </c>
      <c r="X110" s="1299"/>
      <c r="Y110" s="1299"/>
      <c r="Z110" s="0"/>
      <c r="AA110" s="1299"/>
      <c r="AB110" s="1496"/>
      <c r="AC110" s="1493" t="s">
        <v>196</v>
      </c>
      <c r="AD110" s="1493"/>
      <c r="AE110" s="419"/>
      <c r="AF110" s="386"/>
      <c r="AG110" s="1299"/>
      <c r="AH110" s="1299"/>
      <c r="AI110" s="1299"/>
      <c r="AJ110" s="1299"/>
      <c r="AK110" s="1299"/>
      <c r="AL110" s="1299"/>
      <c r="AM110" s="1299"/>
      <c r="AN110" s="1299"/>
      <c r="AO110" s="1299"/>
      <c r="AP110" s="1299"/>
      <c r="AQ110" s="1299"/>
      <c r="AR110" s="1299"/>
      <c r="AS110" s="1299"/>
      <c r="AT110" s="1299"/>
      <c r="AU110" s="1299"/>
      <c r="AV110" s="1299"/>
      <c r="AW110" s="1299"/>
      <c r="AX110" s="1299"/>
      <c r="AY110" s="1299"/>
      <c r="AZ110" s="1299"/>
      <c r="BA110" s="1299"/>
    </row>
    <row customHeight="1" ht="19.0125" hidden="1">
      <c r="A111" s="1299"/>
      <c r="B111" s="445">
        <f>AND(NOT(method_reg="Метод сравнения аналогов"),HAS_DOC5="да")</f>
        <v>0</v>
      </c>
      <c r="C111" s="1299"/>
      <c r="D111" s="1299"/>
      <c r="E111" s="639">
        <v>19.5</v>
      </c>
      <c r="F111" s="1299"/>
      <c r="G111" s="1299"/>
      <c r="H111" s="1299"/>
      <c r="I111" s="1299"/>
      <c r="J111" s="1299"/>
      <c r="K111" s="1299"/>
      <c r="L111" s="1299"/>
      <c r="M111" s="1299"/>
      <c r="N111" s="1299"/>
      <c r="O111" s="1299"/>
      <c r="P111" s="1299"/>
      <c r="Q111" s="1299"/>
      <c r="R111" s="1299"/>
      <c r="S111" s="1299"/>
      <c r="T111" s="1299"/>
      <c r="U111" s="1299"/>
      <c r="V111" s="1299"/>
      <c r="W111" s="1299" t="b">
        <v>0</v>
      </c>
      <c r="X111" s="1299"/>
      <c r="Y111" s="1299"/>
      <c r="Z111" s="0"/>
      <c r="AA111" s="1299"/>
      <c r="AB111" s="1496"/>
      <c r="AC111" s="1493" t="s">
        <v>197</v>
      </c>
      <c r="AD111" s="1493"/>
      <c r="AE111" s="418"/>
      <c r="AF111" s="386"/>
      <c r="AG111" s="1299"/>
      <c r="AH111" s="1299"/>
      <c r="AI111" s="1299"/>
      <c r="AJ111" s="1299"/>
      <c r="AK111" s="1299"/>
      <c r="AL111" s="1299"/>
      <c r="AM111" s="1299"/>
      <c r="AN111" s="1299"/>
      <c r="AO111" s="1299"/>
      <c r="AP111" s="1299"/>
      <c r="AQ111" s="1299"/>
      <c r="AR111" s="1299"/>
      <c r="AS111" s="1299"/>
      <c r="AT111" s="1299"/>
      <c r="AU111" s="1299"/>
      <c r="AV111" s="1299"/>
      <c r="AW111" s="1299"/>
      <c r="AX111" s="1299"/>
      <c r="AY111" s="1299"/>
      <c r="AZ111" s="1299"/>
      <c r="BA111" s="1299"/>
    </row>
    <row customHeight="1" ht="19.0125" hidden="1">
      <c r="A112" s="1299"/>
      <c r="B112" s="445">
        <f>AND(NOT(method_reg="Метод сравнения аналогов"),HAS_DOC5="да")</f>
        <v>0</v>
      </c>
      <c r="C112" s="1299"/>
      <c r="D112" s="1299"/>
      <c r="E112" s="639">
        <v>19.5</v>
      </c>
      <c r="F112" s="1299"/>
      <c r="G112" s="1299"/>
      <c r="H112" s="1299"/>
      <c r="I112" s="1299"/>
      <c r="J112" s="1299"/>
      <c r="K112" s="1299"/>
      <c r="L112" s="1299"/>
      <c r="M112" s="1299"/>
      <c r="N112" s="1299"/>
      <c r="O112" s="1299"/>
      <c r="P112" s="1299"/>
      <c r="Q112" s="1299"/>
      <c r="R112" s="1299"/>
      <c r="S112" s="1299"/>
      <c r="T112" s="1299"/>
      <c r="U112" s="1299"/>
      <c r="V112" s="1299"/>
      <c r="W112" s="1299" t="b">
        <v>0</v>
      </c>
      <c r="X112" s="1299"/>
      <c r="Y112" s="1299"/>
      <c r="Z112" s="0"/>
      <c r="AA112" s="1299"/>
      <c r="AB112" s="1496"/>
      <c r="AC112" s="1493" t="s">
        <v>198</v>
      </c>
      <c r="AD112" s="1493"/>
      <c r="AE112" s="1399"/>
      <c r="AF112" s="386"/>
      <c r="AG112" s="1299"/>
      <c r="AH112" s="1299"/>
      <c r="AI112" s="1299"/>
      <c r="AJ112" s="1299"/>
      <c r="AK112" s="1299"/>
      <c r="AL112" s="1299"/>
      <c r="AM112" s="1299"/>
      <c r="AN112" s="1299"/>
      <c r="AO112" s="1299"/>
      <c r="AP112" s="1299"/>
      <c r="AQ112" s="1299"/>
      <c r="AR112" s="1299"/>
      <c r="AS112" s="1299"/>
      <c r="AT112" s="1299"/>
      <c r="AU112" s="1299"/>
      <c r="AV112" s="1299"/>
      <c r="AW112" s="1299"/>
      <c r="AX112" s="1299"/>
      <c r="AY112" s="1299"/>
      <c r="AZ112" s="1299"/>
      <c r="BA112" s="1299"/>
    </row>
    <row customHeight="1" ht="19.0125" hidden="1">
      <c r="A113" s="1299"/>
      <c r="B113" s="445">
        <f>AND(NOT(method_reg="Метод сравнения аналогов"),HAS_DOC5="да")</f>
        <v>0</v>
      </c>
      <c r="C113" s="1299"/>
      <c r="D113" s="1299"/>
      <c r="E113" s="639">
        <v>19.5</v>
      </c>
      <c r="F113" s="1299"/>
      <c r="G113" s="1299"/>
      <c r="H113" s="1299"/>
      <c r="I113" s="1299"/>
      <c r="J113" s="1299"/>
      <c r="K113" s="1299"/>
      <c r="L113" s="1299"/>
      <c r="M113" s="1299"/>
      <c r="N113" s="1299"/>
      <c r="O113" s="1299"/>
      <c r="P113" s="1299"/>
      <c r="Q113" s="1299"/>
      <c r="R113" s="1299"/>
      <c r="S113" s="1299"/>
      <c r="T113" s="1299"/>
      <c r="U113" s="1299"/>
      <c r="V113" s="1299"/>
      <c r="W113" s="1299" t="b">
        <v>0</v>
      </c>
      <c r="X113" s="1299"/>
      <c r="Y113" s="1299"/>
      <c r="Z113" s="0"/>
      <c r="AA113" s="1299"/>
      <c r="AB113" s="1496"/>
      <c r="AC113" s="1493" t="s">
        <v>212</v>
      </c>
      <c r="AD113" s="1493"/>
      <c r="AE113" s="1399"/>
      <c r="AF113" s="386"/>
      <c r="AG113" s="1299"/>
      <c r="AH113" s="1299"/>
      <c r="AI113" s="1299"/>
      <c r="AJ113" s="1299"/>
      <c r="AK113" s="1299"/>
      <c r="AL113" s="1299"/>
      <c r="AM113" s="1299"/>
      <c r="AN113" s="1299"/>
      <c r="AO113" s="1299"/>
      <c r="AP113" s="1299"/>
      <c r="AQ113" s="1299"/>
      <c r="AR113" s="1299"/>
      <c r="AS113" s="1299"/>
      <c r="AT113" s="1299"/>
      <c r="AU113" s="1299"/>
      <c r="AV113" s="1299"/>
      <c r="AW113" s="1299"/>
      <c r="AX113" s="1299"/>
      <c r="AY113" s="1299"/>
      <c r="AZ113" s="1299"/>
      <c r="BA113" s="1299"/>
    </row>
    <row customHeight="1" ht="19.0125" hidden="1">
      <c r="A114" s="1299"/>
      <c r="B114" s="445">
        <f>AND(NOT(method_reg="Метод сравнения аналогов"),HAS_DOC5="да")</f>
        <v>0</v>
      </c>
      <c r="C114" s="1299"/>
      <c r="D114" s="1299"/>
      <c r="E114" s="639">
        <v>19.5</v>
      </c>
      <c r="F114" s="1299"/>
      <c r="G114" s="1299"/>
      <c r="H114" s="1299"/>
      <c r="I114" s="1299"/>
      <c r="J114" s="1299"/>
      <c r="K114" s="1299"/>
      <c r="L114" s="1299"/>
      <c r="M114" s="1299"/>
      <c r="N114" s="1299"/>
      <c r="O114" s="1299"/>
      <c r="P114" s="1299"/>
      <c r="Q114" s="1299"/>
      <c r="R114" s="1299"/>
      <c r="S114" s="1299"/>
      <c r="T114" s="1299"/>
      <c r="U114" s="1299"/>
      <c r="V114" s="1299"/>
      <c r="W114" s="1299" t="b">
        <v>0</v>
      </c>
      <c r="X114" s="1299"/>
      <c r="Y114" s="1299"/>
      <c r="Z114" s="0"/>
      <c r="AA114" s="1299"/>
      <c r="AB114" s="1497"/>
      <c r="AC114" s="1493" t="s">
        <v>213</v>
      </c>
      <c r="AD114" s="1493"/>
      <c r="AE114" s="1399"/>
      <c r="AF114" s="386"/>
      <c r="AG114" s="1299"/>
      <c r="AH114" s="1299"/>
      <c r="AI114" s="1299"/>
      <c r="AJ114" s="1299"/>
      <c r="AK114" s="1299"/>
      <c r="AL114" s="1299"/>
      <c r="AM114" s="1299"/>
      <c r="AN114" s="1299"/>
      <c r="AO114" s="1299"/>
      <c r="AP114" s="1299"/>
      <c r="AQ114" s="1299"/>
      <c r="AR114" s="1299"/>
      <c r="AS114" s="1299"/>
      <c r="AT114" s="1299"/>
      <c r="AU114" s="1299"/>
      <c r="AV114" s="1299"/>
      <c r="AW114" s="1299"/>
      <c r="AX114" s="1299"/>
      <c r="AY114" s="1299"/>
      <c r="AZ114" s="1299"/>
      <c r="BA114" s="1299"/>
    </row>
    <row customHeight="1" ht="19.0125" hidden="1">
      <c r="B115" s="445">
        <f>AND(NOT(method_reg="Метод сравнения аналогов"),HAS_DOC5="да")</f>
        <v>0</v>
      </c>
      <c r="E115" s="639">
        <v>19.5</v>
      </c>
      <c r="W115" s="501">
        <f>ROW(Y115)&gt;ROW(Y$115)</f>
        <v>0</v>
      </c>
      <c r="Y115" s="107" t="s">
        <v>174</v>
      </c>
      <c r="AA115" s="1494" t="s">
        <v>175</v>
      </c>
      <c r="AB115" s="1495" t="s">
        <v>194</v>
      </c>
      <c r="AC115" s="1493" t="s">
        <v>195</v>
      </c>
      <c r="AD115" s="1493"/>
      <c r="AE115" s="418"/>
    </row>
    <row customHeight="1" ht="19.0125" hidden="1">
      <c r="B116" s="445">
        <f>AND(NOT(method_reg="Метод сравнения аналогов"),HAS_DOC5="да")</f>
        <v>0</v>
      </c>
      <c r="E116" s="639">
        <v>19.5</v>
      </c>
      <c r="W116" s="501" cm="1" t="str">
        <f t="array" ref="W116:W116">W115</f>
        <v>false</v>
      </c>
      <c r="AA116" s="1494"/>
      <c r="AB116" s="1496"/>
      <c r="AC116" s="1493" t="s">
        <v>196</v>
      </c>
      <c r="AD116" s="1493"/>
      <c r="AE116" s="419"/>
    </row>
    <row customHeight="1" ht="19.0125" hidden="1">
      <c r="B117" s="445">
        <f>AND(NOT(method_reg="Метод сравнения аналогов"),HAS_DOC5="да")</f>
        <v>0</v>
      </c>
      <c r="E117" s="639">
        <v>19.5</v>
      </c>
      <c r="W117" s="501" cm="1" t="str">
        <f t="array" ref="W117:W117">W116</f>
        <v>false</v>
      </c>
      <c r="AA117" s="1494"/>
      <c r="AB117" s="1496"/>
      <c r="AC117" s="1493" t="s">
        <v>197</v>
      </c>
      <c r="AD117" s="1493"/>
      <c r="AE117" s="418"/>
    </row>
    <row customHeight="1" ht="19.0125" hidden="1">
      <c r="B118" s="445">
        <f>AND(NOT(method_reg="Метод сравнения аналогов"),HAS_DOC5="да")</f>
        <v>0</v>
      </c>
      <c r="E118" s="639">
        <v>19.5</v>
      </c>
      <c r="W118" s="501" cm="1" t="str">
        <f t="array" ref="W118:W118">W117</f>
        <v>false</v>
      </c>
      <c r="AA118" s="1494"/>
      <c r="AB118" s="1496"/>
      <c r="AC118" s="1493" t="s">
        <v>198</v>
      </c>
      <c r="AD118" s="1493"/>
      <c r="AE118" s="1399"/>
    </row>
    <row customHeight="1" ht="19.0125" hidden="1">
      <c r="B119" s="445">
        <f>AND(NOT(method_reg="Метод сравнения аналогов"),HAS_DOC5="да")</f>
        <v>0</v>
      </c>
      <c r="E119" s="639">
        <v>19.5</v>
      </c>
      <c r="W119" s="501" cm="1" t="str">
        <f t="array" ref="W119:W119">W118</f>
        <v>false</v>
      </c>
      <c r="AA119" s="1494"/>
      <c r="AB119" s="1496"/>
      <c r="AC119" s="1493" t="s">
        <v>212</v>
      </c>
      <c r="AD119" s="1493"/>
      <c r="AE119" s="1399"/>
    </row>
    <row customHeight="1" ht="19.0125" hidden="1">
      <c r="B120" s="445">
        <f>AND(NOT(method_reg="Метод сравнения аналогов"),HAS_DOC5="да")</f>
        <v>0</v>
      </c>
      <c r="E120" s="639">
        <v>19.5</v>
      </c>
      <c r="W120" s="501" cm="1" t="str">
        <f t="array" ref="W120:W120">W119</f>
        <v>false</v>
      </c>
      <c r="AA120" s="1494"/>
      <c r="AB120" s="1497"/>
      <c r="AC120" s="1493" t="s">
        <v>213</v>
      </c>
      <c r="AD120" s="1493"/>
      <c r="AE120" s="1399"/>
    </row>
    <row customHeight="1" ht="14.625" hidden="1">
      <c r="B121" s="445">
        <f>AND(NOT(method_reg="Метод сравнения аналогов"),HAS_DOC5="да")</f>
        <v>0</v>
      </c>
      <c r="E121" s="639">
        <v>15</v>
      </c>
      <c r="F121" s="107" t="s">
        <v>210</v>
      </c>
      <c r="Y121" s="108" t="s">
        <v>214</v>
      </c>
      <c r="AB121" s="265"/>
      <c r="AC121" s="264"/>
      <c r="AD121" s="264"/>
      <c r="AE121" s="368" t="s">
        <v>178</v>
      </c>
    </row>
    <row customHeight="1" ht="24.862499999999997">
      <c r="B122" s="445">
        <f>NOT(method_reg="Метод сравнения аналогов")</f>
        <v>1</v>
      </c>
      <c r="E122" s="639">
        <v>25.5</v>
      </c>
      <c r="F122" s="107" t="s">
        <v>215</v>
      </c>
      <c r="AB122" s="1493" t="str">
        <f>"Наличие утверждённых ОИВ инвестиционных программ, действующих в течение "&amp;god&amp;" года, для организации, оказывающей услуги холодного водоснабжения/водоотведения"</f>
        <v>Наличие утверждённых ОИВ инвестиционных программ, действующих в течение 2026 года, для организации, оказывающей услуги холодного водоснабжения/водоотведения</v>
      </c>
      <c r="AC122" s="1493"/>
      <c r="AD122" s="1493"/>
      <c r="AE122" s="392" t="s">
        <v>152</v>
      </c>
      <c r="AF122" s="479"/>
      <c r="AG122" s="107" t="s">
        <v>216</v>
      </c>
    </row>
    <row customHeight="1" ht="19.0125" hidden="1">
      <c r="A123" s="1299"/>
      <c r="B123" s="445">
        <f>AND(NOT(method_reg="Метод сравнения аналогов"),HAS_DOC6="да")</f>
        <v>0</v>
      </c>
      <c r="C123" s="1299"/>
      <c r="D123" s="1299"/>
      <c r="E123" s="639">
        <v>19.5</v>
      </c>
      <c r="F123" s="1299"/>
      <c r="G123" s="1299"/>
      <c r="H123" s="1299"/>
      <c r="I123" s="1299"/>
      <c r="J123" s="1299"/>
      <c r="K123" s="1299"/>
      <c r="L123" s="1299"/>
      <c r="M123" s="1299"/>
      <c r="N123" s="1299"/>
      <c r="O123" s="1299"/>
      <c r="P123" s="1299"/>
      <c r="Q123" s="1299"/>
      <c r="R123" s="1299"/>
      <c r="S123" s="1299"/>
      <c r="T123" s="1299"/>
      <c r="U123" s="1299"/>
      <c r="V123" s="1299"/>
      <c r="W123" s="1299" t="b">
        <v>0</v>
      </c>
      <c r="X123" s="1299"/>
      <c r="Y123" s="1299"/>
      <c r="Z123" s="0"/>
      <c r="AA123" s="1299"/>
      <c r="AB123" s="1498" t="s">
        <v>194</v>
      </c>
      <c r="AC123" s="1493" t="s">
        <v>195</v>
      </c>
      <c r="AD123" s="1493"/>
      <c r="AE123" s="418"/>
      <c r="AF123" s="386"/>
      <c r="AG123" s="1299"/>
      <c r="AH123" s="1299"/>
      <c r="AI123" s="1299"/>
      <c r="AJ123" s="1299"/>
      <c r="AK123" s="1299"/>
      <c r="AL123" s="1299"/>
      <c r="AM123" s="1299"/>
      <c r="AN123" s="1299"/>
      <c r="AO123" s="1299"/>
      <c r="AP123" s="1299"/>
      <c r="AQ123" s="1299"/>
      <c r="AR123" s="1299"/>
      <c r="AS123" s="1299"/>
      <c r="AT123" s="1299"/>
      <c r="AU123" s="1299"/>
      <c r="AV123" s="1299"/>
      <c r="AW123" s="1299"/>
      <c r="AX123" s="1299"/>
      <c r="AY123" s="1299"/>
      <c r="AZ123" s="1299"/>
      <c r="BA123" s="1299"/>
    </row>
    <row customHeight="1" ht="19.0125" hidden="1">
      <c r="A124" s="1299"/>
      <c r="B124" s="445">
        <f>AND(NOT(method_reg="Метод сравнения аналогов"),HAS_DOC6="да")</f>
        <v>0</v>
      </c>
      <c r="C124" s="1299"/>
      <c r="D124" s="1299"/>
      <c r="E124" s="639">
        <v>19.5</v>
      </c>
      <c r="F124" s="1299"/>
      <c r="G124" s="1299"/>
      <c r="H124" s="1299"/>
      <c r="I124" s="1299"/>
      <c r="J124" s="1299"/>
      <c r="K124" s="1299"/>
      <c r="L124" s="1299"/>
      <c r="M124" s="1299"/>
      <c r="N124" s="1299"/>
      <c r="O124" s="1299"/>
      <c r="P124" s="1299"/>
      <c r="Q124" s="1299"/>
      <c r="R124" s="1299"/>
      <c r="S124" s="1299"/>
      <c r="T124" s="1299"/>
      <c r="U124" s="1299"/>
      <c r="V124" s="1299"/>
      <c r="W124" s="1299" t="b">
        <v>0</v>
      </c>
      <c r="X124" s="1299"/>
      <c r="Y124" s="1299"/>
      <c r="Z124" s="0"/>
      <c r="AA124" s="1299"/>
      <c r="AB124" s="1498"/>
      <c r="AC124" s="1493" t="s">
        <v>196</v>
      </c>
      <c r="AD124" s="1493"/>
      <c r="AE124" s="419"/>
      <c r="AF124" s="386"/>
      <c r="AG124" s="1299"/>
      <c r="AH124" s="1299"/>
      <c r="AI124" s="1299"/>
      <c r="AJ124" s="1299"/>
      <c r="AK124" s="1299"/>
      <c r="AL124" s="1299"/>
      <c r="AM124" s="1299"/>
      <c r="AN124" s="1299"/>
      <c r="AO124" s="1299"/>
      <c r="AP124" s="1299"/>
      <c r="AQ124" s="1299"/>
      <c r="AR124" s="1299"/>
      <c r="AS124" s="1299"/>
      <c r="AT124" s="1299"/>
      <c r="AU124" s="1299"/>
      <c r="AV124" s="1299"/>
      <c r="AW124" s="1299"/>
      <c r="AX124" s="1299"/>
      <c r="AY124" s="1299"/>
      <c r="AZ124" s="1299"/>
      <c r="BA124" s="1299"/>
    </row>
    <row customHeight="1" ht="19.0125" hidden="1">
      <c r="A125" s="1299"/>
      <c r="B125" s="445">
        <f>AND(NOT(method_reg="Метод сравнения аналогов"),HAS_DOC6="да")</f>
        <v>0</v>
      </c>
      <c r="C125" s="1299"/>
      <c r="D125" s="1299"/>
      <c r="E125" s="639">
        <v>19.5</v>
      </c>
      <c r="F125" s="1299"/>
      <c r="G125" s="1299"/>
      <c r="H125" s="1299"/>
      <c r="I125" s="1299"/>
      <c r="J125" s="1299"/>
      <c r="K125" s="1299"/>
      <c r="L125" s="1299"/>
      <c r="M125" s="1299"/>
      <c r="N125" s="1299"/>
      <c r="O125" s="1299"/>
      <c r="P125" s="1299"/>
      <c r="Q125" s="1299"/>
      <c r="R125" s="1299"/>
      <c r="S125" s="1299"/>
      <c r="T125" s="1299"/>
      <c r="U125" s="1299"/>
      <c r="V125" s="1299"/>
      <c r="W125" s="1299" t="b">
        <v>0</v>
      </c>
      <c r="X125" s="1299"/>
      <c r="Y125" s="1299"/>
      <c r="Z125" s="0"/>
      <c r="AA125" s="1299"/>
      <c r="AB125" s="1498"/>
      <c r="AC125" s="1493" t="s">
        <v>197</v>
      </c>
      <c r="AD125" s="1493"/>
      <c r="AE125" s="418"/>
      <c r="AF125" s="386"/>
      <c r="AG125" s="1299"/>
      <c r="AH125" s="1299"/>
      <c r="AI125" s="1299"/>
      <c r="AJ125" s="1299"/>
      <c r="AK125" s="1299"/>
      <c r="AL125" s="1299"/>
      <c r="AM125" s="1299"/>
      <c r="AN125" s="1299"/>
      <c r="AO125" s="1299"/>
      <c r="AP125" s="1299"/>
      <c r="AQ125" s="1299"/>
      <c r="AR125" s="1299"/>
      <c r="AS125" s="1299"/>
      <c r="AT125" s="1299"/>
      <c r="AU125" s="1299"/>
      <c r="AV125" s="1299"/>
      <c r="AW125" s="1299"/>
      <c r="AX125" s="1299"/>
      <c r="AY125" s="1299"/>
      <c r="AZ125" s="1299"/>
      <c r="BA125" s="1299"/>
    </row>
    <row customHeight="1" ht="19.0125" hidden="1">
      <c r="A126" s="1299"/>
      <c r="B126" s="445">
        <f>AND(NOT(method_reg="Метод сравнения аналогов"),HAS_DOC6="да")</f>
        <v>0</v>
      </c>
      <c r="C126" s="1299"/>
      <c r="D126" s="1299"/>
      <c r="E126" s="639">
        <v>19.5</v>
      </c>
      <c r="F126" s="1299"/>
      <c r="G126" s="1299"/>
      <c r="H126" s="1299"/>
      <c r="I126" s="1299"/>
      <c r="J126" s="1299"/>
      <c r="K126" s="1299"/>
      <c r="L126" s="1299"/>
      <c r="M126" s="1299"/>
      <c r="N126" s="1299"/>
      <c r="O126" s="1299"/>
      <c r="P126" s="1299"/>
      <c r="Q126" s="1299"/>
      <c r="R126" s="1299"/>
      <c r="S126" s="1299"/>
      <c r="T126" s="1299"/>
      <c r="U126" s="1299"/>
      <c r="V126" s="1299"/>
      <c r="W126" s="1299" t="b">
        <v>0</v>
      </c>
      <c r="X126" s="1299"/>
      <c r="Y126" s="1299"/>
      <c r="Z126" s="0"/>
      <c r="AA126" s="1299"/>
      <c r="AB126" s="1498"/>
      <c r="AC126" s="1493" t="s">
        <v>198</v>
      </c>
      <c r="AD126" s="1493"/>
      <c r="AE126" s="1399"/>
      <c r="AF126" s="386"/>
      <c r="AG126" s="1299"/>
      <c r="AH126" s="1299"/>
      <c r="AI126" s="1299"/>
      <c r="AJ126" s="1299"/>
      <c r="AK126" s="1299"/>
      <c r="AL126" s="1299"/>
      <c r="AM126" s="1299"/>
      <c r="AN126" s="1299"/>
      <c r="AO126" s="1299"/>
      <c r="AP126" s="1299"/>
      <c r="AQ126" s="1299"/>
      <c r="AR126" s="1299"/>
      <c r="AS126" s="1299"/>
      <c r="AT126" s="1299"/>
      <c r="AU126" s="1299"/>
      <c r="AV126" s="1299"/>
      <c r="AW126" s="1299"/>
      <c r="AX126" s="1299"/>
      <c r="AY126" s="1299"/>
      <c r="AZ126" s="1299"/>
      <c r="BA126" s="1299"/>
    </row>
    <row customHeight="1" ht="19.0125" hidden="1">
      <c r="A127" s="1299"/>
      <c r="B127" s="445">
        <f>AND(NOT(method_reg="Метод сравнения аналогов"),HAS_DOC6="да")</f>
        <v>0</v>
      </c>
      <c r="C127" s="1299"/>
      <c r="D127" s="1299"/>
      <c r="E127" s="639">
        <v>19.5</v>
      </c>
      <c r="F127" s="1299"/>
      <c r="G127" s="1299"/>
      <c r="H127" s="1299"/>
      <c r="I127" s="1299"/>
      <c r="J127" s="1299"/>
      <c r="K127" s="1299"/>
      <c r="L127" s="1299"/>
      <c r="M127" s="1299"/>
      <c r="N127" s="1299"/>
      <c r="O127" s="1299"/>
      <c r="P127" s="1299"/>
      <c r="Q127" s="1299"/>
      <c r="R127" s="1299"/>
      <c r="S127" s="1299"/>
      <c r="T127" s="1299"/>
      <c r="U127" s="1299"/>
      <c r="V127" s="1299"/>
      <c r="W127" s="1299" t="b">
        <v>0</v>
      </c>
      <c r="X127" s="1299"/>
      <c r="Y127" s="1299"/>
      <c r="Z127" s="0"/>
      <c r="AA127" s="1299"/>
      <c r="AB127" s="1498"/>
      <c r="AC127" s="1493" t="s">
        <v>212</v>
      </c>
      <c r="AD127" s="1493"/>
      <c r="AE127" s="1399"/>
      <c r="AF127" s="386"/>
      <c r="AG127" s="1299"/>
      <c r="AH127" s="1299"/>
      <c r="AI127" s="1299"/>
      <c r="AJ127" s="1299"/>
      <c r="AK127" s="1299"/>
      <c r="AL127" s="1299"/>
      <c r="AM127" s="1299"/>
      <c r="AN127" s="1299"/>
      <c r="AO127" s="1299"/>
      <c r="AP127" s="1299"/>
      <c r="AQ127" s="1299"/>
      <c r="AR127" s="1299"/>
      <c r="AS127" s="1299"/>
      <c r="AT127" s="1299"/>
      <c r="AU127" s="1299"/>
      <c r="AV127" s="1299"/>
      <c r="AW127" s="1299"/>
      <c r="AX127" s="1299"/>
      <c r="AY127" s="1299"/>
      <c r="AZ127" s="1299"/>
      <c r="BA127" s="1299"/>
    </row>
    <row customHeight="1" ht="19.0125" hidden="1">
      <c r="A128" s="1299"/>
      <c r="B128" s="445">
        <f>AND(NOT(method_reg="Метод сравнения аналогов"),HAS_DOC6="да")</f>
        <v>0</v>
      </c>
      <c r="C128" s="1299"/>
      <c r="D128" s="1299"/>
      <c r="E128" s="639">
        <v>19.5</v>
      </c>
      <c r="F128" s="1299"/>
      <c r="G128" s="1299"/>
      <c r="H128" s="1299"/>
      <c r="I128" s="1299"/>
      <c r="J128" s="1299"/>
      <c r="K128" s="1299"/>
      <c r="L128" s="1299"/>
      <c r="M128" s="1299"/>
      <c r="N128" s="1299"/>
      <c r="O128" s="1299"/>
      <c r="P128" s="1299"/>
      <c r="Q128" s="1299"/>
      <c r="R128" s="1299"/>
      <c r="S128" s="1299"/>
      <c r="T128" s="1299"/>
      <c r="U128" s="1299"/>
      <c r="V128" s="1299"/>
      <c r="W128" s="1299" t="b">
        <v>0</v>
      </c>
      <c r="X128" s="1299"/>
      <c r="Y128" s="1299"/>
      <c r="Z128" s="0"/>
      <c r="AA128" s="1299"/>
      <c r="AB128" s="1498"/>
      <c r="AC128" s="1493" t="s">
        <v>213</v>
      </c>
      <c r="AD128" s="1493"/>
      <c r="AE128" s="1399"/>
      <c r="AF128" s="386"/>
      <c r="AG128" s="1299"/>
      <c r="AH128" s="1299"/>
      <c r="AI128" s="1299"/>
      <c r="AJ128" s="1299"/>
      <c r="AK128" s="1299"/>
      <c r="AL128" s="1299"/>
      <c r="AM128" s="1299"/>
      <c r="AN128" s="1299"/>
      <c r="AO128" s="1299"/>
      <c r="AP128" s="1299"/>
      <c r="AQ128" s="1299"/>
      <c r="AR128" s="1299"/>
      <c r="AS128" s="1299"/>
      <c r="AT128" s="1299"/>
      <c r="AU128" s="1299"/>
      <c r="AV128" s="1299"/>
      <c r="AW128" s="1299"/>
      <c r="AX128" s="1299"/>
      <c r="AY128" s="1299"/>
      <c r="AZ128" s="1299"/>
      <c r="BA128" s="1299"/>
    </row>
    <row customHeight="1" ht="19.0125" hidden="1">
      <c r="B129" s="445">
        <f>AND(NOT(method_reg="Метод сравнения аналогов"),HAS_DOC6="да")</f>
        <v>0</v>
      </c>
      <c r="E129" s="639">
        <v>19.5</v>
      </c>
      <c r="W129" s="501">
        <f>ROW(Y129)&gt;ROW(Y$129)</f>
        <v>0</v>
      </c>
      <c r="Y129" s="107" t="s">
        <v>174</v>
      </c>
      <c r="AA129" s="1494" t="s">
        <v>175</v>
      </c>
      <c r="AB129" s="1498" t="s">
        <v>194</v>
      </c>
      <c r="AC129" s="1493" t="s">
        <v>195</v>
      </c>
      <c r="AD129" s="1493"/>
      <c r="AE129" s="418"/>
    </row>
    <row customHeight="1" ht="19.0125" hidden="1">
      <c r="B130" s="445">
        <f>AND(NOT(method_reg="Метод сравнения аналогов"),HAS_DOC6="да")</f>
        <v>0</v>
      </c>
      <c r="E130" s="639">
        <v>19.5</v>
      </c>
      <c r="W130" s="501" cm="1" t="str">
        <f t="array" ref="W130:W130">W129</f>
        <v>false</v>
      </c>
      <c r="AA130" s="1494"/>
      <c r="AB130" s="1498"/>
      <c r="AC130" s="1493" t="s">
        <v>196</v>
      </c>
      <c r="AD130" s="1493"/>
      <c r="AE130" s="419"/>
    </row>
    <row customHeight="1" ht="19.0125" hidden="1">
      <c r="B131" s="445">
        <f>AND(NOT(method_reg="Метод сравнения аналогов"),HAS_DOC6="да")</f>
        <v>0</v>
      </c>
      <c r="E131" s="639">
        <v>19.5</v>
      </c>
      <c r="W131" s="501" cm="1" t="str">
        <f t="array" ref="W131:W131">W130</f>
        <v>false</v>
      </c>
      <c r="AA131" s="1494"/>
      <c r="AB131" s="1498"/>
      <c r="AC131" s="1493" t="s">
        <v>197</v>
      </c>
      <c r="AD131" s="1493"/>
      <c r="AE131" s="418"/>
    </row>
    <row customHeight="1" ht="19.0125" hidden="1">
      <c r="B132" s="445">
        <f>AND(NOT(method_reg="Метод сравнения аналогов"),HAS_DOC6="да")</f>
        <v>0</v>
      </c>
      <c r="E132" s="639">
        <v>19.5</v>
      </c>
      <c r="W132" s="501" cm="1" t="str">
        <f t="array" ref="W132:W132">W131</f>
        <v>false</v>
      </c>
      <c r="AA132" s="1494"/>
      <c r="AB132" s="1498"/>
      <c r="AC132" s="1493" t="s">
        <v>198</v>
      </c>
      <c r="AD132" s="1493"/>
      <c r="AE132" s="1399"/>
    </row>
    <row customHeight="1" ht="19.0125" hidden="1">
      <c r="B133" s="445">
        <f>AND(NOT(method_reg="Метод сравнения аналогов"),HAS_DOC6="да")</f>
        <v>0</v>
      </c>
      <c r="E133" s="639">
        <v>19.5</v>
      </c>
      <c r="W133" s="501" cm="1" t="str">
        <f t="array" ref="W133:W133">W132</f>
        <v>false</v>
      </c>
      <c r="AA133" s="1494"/>
      <c r="AB133" s="1498"/>
      <c r="AC133" s="1493" t="s">
        <v>212</v>
      </c>
      <c r="AD133" s="1493"/>
      <c r="AE133" s="1399"/>
    </row>
    <row customHeight="1" ht="19.0125" hidden="1">
      <c r="B134" s="445">
        <f>AND(NOT(method_reg="Метод сравнения аналогов"),HAS_DOC6="да")</f>
        <v>0</v>
      </c>
      <c r="E134" s="639">
        <v>19.5</v>
      </c>
      <c r="W134" s="501" cm="1" t="str">
        <f t="array" ref="W134:W134">W133</f>
        <v>false</v>
      </c>
      <c r="AA134" s="1494"/>
      <c r="AB134" s="1498"/>
      <c r="AC134" s="1493" t="s">
        <v>213</v>
      </c>
      <c r="AD134" s="1493"/>
      <c r="AE134" s="1399"/>
    </row>
    <row customHeight="1" ht="14.625" hidden="1">
      <c r="B135" s="445">
        <f>AND(NOT(method_reg="Метод сравнения аналогов"),HAS_DOC6="да")</f>
        <v>0</v>
      </c>
      <c r="E135" s="639">
        <v>15</v>
      </c>
      <c r="F135" s="107" t="s">
        <v>215</v>
      </c>
      <c r="Y135" s="108" t="s">
        <v>217</v>
      </c>
      <c r="AB135" s="265"/>
      <c r="AC135" s="264"/>
      <c r="AD135" s="264"/>
      <c r="AE135" s="368" t="s">
        <v>178</v>
      </c>
    </row>
    <row customHeight="1" ht="24.862499999999997">
      <c r="B136" s="445">
        <f>NOT(method_reg="Метод сравнения аналогов")</f>
        <v>1</v>
      </c>
      <c r="E136" s="639">
        <v>25.5</v>
      </c>
      <c r="F136" s="107" t="s">
        <v>218</v>
      </c>
      <c r="AB136" s="1493" t="str">
        <f>"Наличие утверждённых ОИВ концессионных соглашений, действующих в течение "&amp;god&amp;" года, для организации, оказывающей услуги холодного водоснабжения/водоотведения"</f>
        <v>Наличие утверждённых ОИВ концессионных соглашений, действующих в течение 2026 года, для организации, оказывающей услуги холодного водоснабжения/водоотведения</v>
      </c>
      <c r="AC136" s="1493"/>
      <c r="AD136" s="1493"/>
      <c r="AE136" s="392" t="s">
        <v>152</v>
      </c>
      <c r="AF136" s="479"/>
      <c r="AG136" s="107" t="s">
        <v>219</v>
      </c>
    </row>
    <row customHeight="1" ht="19.0125" hidden="1">
      <c r="A137" s="1299"/>
      <c r="B137" s="445">
        <f>AND(NOT(method_reg="Метод сравнения аналогов"),HAS_DOC7="да")</f>
        <v>0</v>
      </c>
      <c r="C137" s="1299"/>
      <c r="D137" s="1299"/>
      <c r="E137" s="639">
        <v>19.5</v>
      </c>
      <c r="F137" s="1299"/>
      <c r="G137" s="1299"/>
      <c r="H137" s="1299"/>
      <c r="I137" s="1299"/>
      <c r="J137" s="1299"/>
      <c r="K137" s="1299"/>
      <c r="L137" s="1299"/>
      <c r="M137" s="1299"/>
      <c r="N137" s="1299"/>
      <c r="O137" s="1299"/>
      <c r="P137" s="1299"/>
      <c r="Q137" s="1299"/>
      <c r="R137" s="1299"/>
      <c r="S137" s="1299"/>
      <c r="T137" s="1299"/>
      <c r="U137" s="1299"/>
      <c r="V137" s="1299"/>
      <c r="W137" s="1299" t="b">
        <v>0</v>
      </c>
      <c r="X137" s="1299"/>
      <c r="Y137" s="1299"/>
      <c r="Z137" s="0"/>
      <c r="AA137" s="1299"/>
      <c r="AB137" s="1498" t="s">
        <v>194</v>
      </c>
      <c r="AC137" s="1493" t="s">
        <v>195</v>
      </c>
      <c r="AD137" s="1493"/>
      <c r="AE137" s="418"/>
      <c r="AF137" s="386"/>
      <c r="AG137" s="1299"/>
      <c r="AH137" s="1299"/>
      <c r="AI137" s="1299"/>
      <c r="AJ137" s="1299"/>
      <c r="AK137" s="1299"/>
      <c r="AL137" s="1299"/>
      <c r="AM137" s="1299"/>
      <c r="AN137" s="1299"/>
      <c r="AO137" s="1299"/>
      <c r="AP137" s="1299"/>
      <c r="AQ137" s="1299"/>
      <c r="AR137" s="1299"/>
      <c r="AS137" s="1299"/>
      <c r="AT137" s="1299"/>
      <c r="AU137" s="1299"/>
      <c r="AV137" s="1299"/>
      <c r="AW137" s="1299"/>
      <c r="AX137" s="1299"/>
      <c r="AY137" s="1299"/>
      <c r="AZ137" s="1299"/>
      <c r="BA137" s="1299"/>
    </row>
    <row customHeight="1" ht="19.0125" hidden="1">
      <c r="A138" s="1299"/>
      <c r="B138" s="445">
        <f>AND(NOT(method_reg="Метод сравнения аналогов"),HAS_DOC7="да")</f>
        <v>0</v>
      </c>
      <c r="C138" s="1299"/>
      <c r="D138" s="1299"/>
      <c r="E138" s="639">
        <v>19.5</v>
      </c>
      <c r="F138" s="1299"/>
      <c r="G138" s="1299"/>
      <c r="H138" s="1299"/>
      <c r="I138" s="1299"/>
      <c r="J138" s="1299"/>
      <c r="K138" s="1299"/>
      <c r="L138" s="1299"/>
      <c r="M138" s="1299"/>
      <c r="N138" s="1299"/>
      <c r="O138" s="1299"/>
      <c r="P138" s="1299"/>
      <c r="Q138" s="1299"/>
      <c r="R138" s="1299"/>
      <c r="S138" s="1299"/>
      <c r="T138" s="1299"/>
      <c r="U138" s="1299"/>
      <c r="V138" s="1299"/>
      <c r="W138" s="1299" t="b">
        <v>0</v>
      </c>
      <c r="X138" s="1299"/>
      <c r="Y138" s="1299"/>
      <c r="Z138" s="0"/>
      <c r="AA138" s="1299"/>
      <c r="AB138" s="1498"/>
      <c r="AC138" s="1493" t="s">
        <v>196</v>
      </c>
      <c r="AD138" s="1493"/>
      <c r="AE138" s="418"/>
      <c r="AF138" s="386"/>
      <c r="AG138" s="1299"/>
      <c r="AH138" s="1299"/>
      <c r="AI138" s="1299"/>
      <c r="AJ138" s="1299"/>
      <c r="AK138" s="1299"/>
      <c r="AL138" s="1299"/>
      <c r="AM138" s="1299"/>
      <c r="AN138" s="1299"/>
      <c r="AO138" s="1299"/>
      <c r="AP138" s="1299"/>
      <c r="AQ138" s="1299"/>
      <c r="AR138" s="1299"/>
      <c r="AS138" s="1299"/>
      <c r="AT138" s="1299"/>
      <c r="AU138" s="1299"/>
      <c r="AV138" s="1299"/>
      <c r="AW138" s="1299"/>
      <c r="AX138" s="1299"/>
      <c r="AY138" s="1299"/>
      <c r="AZ138" s="1299"/>
      <c r="BA138" s="1299"/>
    </row>
    <row customHeight="1" ht="19.0125" hidden="1">
      <c r="A139" s="1299"/>
      <c r="B139" s="445">
        <f>AND(NOT(method_reg="Метод сравнения аналогов"),HAS_DOC7="да")</f>
        <v>0</v>
      </c>
      <c r="C139" s="1299"/>
      <c r="D139" s="1299"/>
      <c r="E139" s="639">
        <v>19.5</v>
      </c>
      <c r="F139" s="1299"/>
      <c r="G139" s="1299"/>
      <c r="H139" s="1299"/>
      <c r="I139" s="1299"/>
      <c r="J139" s="1299"/>
      <c r="K139" s="1299"/>
      <c r="L139" s="1299"/>
      <c r="M139" s="1299"/>
      <c r="N139" s="1299"/>
      <c r="O139" s="1299"/>
      <c r="P139" s="1299"/>
      <c r="Q139" s="1299"/>
      <c r="R139" s="1299"/>
      <c r="S139" s="1299"/>
      <c r="T139" s="1299"/>
      <c r="U139" s="1299"/>
      <c r="V139" s="1299"/>
      <c r="W139" s="1299" t="b">
        <v>0</v>
      </c>
      <c r="X139" s="1299"/>
      <c r="Y139" s="1299"/>
      <c r="Z139" s="0"/>
      <c r="AA139" s="1299"/>
      <c r="AB139" s="1498"/>
      <c r="AC139" s="1493" t="s">
        <v>197</v>
      </c>
      <c r="AD139" s="1493"/>
      <c r="AE139" s="418"/>
      <c r="AF139" s="386"/>
      <c r="AG139" s="1299"/>
      <c r="AH139" s="1299"/>
      <c r="AI139" s="1299"/>
      <c r="AJ139" s="1299"/>
      <c r="AK139" s="1299"/>
      <c r="AL139" s="1299"/>
      <c r="AM139" s="1299"/>
      <c r="AN139" s="1299"/>
      <c r="AO139" s="1299"/>
      <c r="AP139" s="1299"/>
      <c r="AQ139" s="1299"/>
      <c r="AR139" s="1299"/>
      <c r="AS139" s="1299"/>
      <c r="AT139" s="1299"/>
      <c r="AU139" s="1299"/>
      <c r="AV139" s="1299"/>
      <c r="AW139" s="1299"/>
      <c r="AX139" s="1299"/>
      <c r="AY139" s="1299"/>
      <c r="AZ139" s="1299"/>
      <c r="BA139" s="1299"/>
    </row>
    <row customHeight="1" ht="19.0125" hidden="1">
      <c r="A140" s="1299"/>
      <c r="B140" s="445">
        <f>AND(NOT(method_reg="Метод сравнения аналогов"),HAS_DOC7="да")</f>
        <v>0</v>
      </c>
      <c r="C140" s="1299"/>
      <c r="D140" s="1299"/>
      <c r="E140" s="639">
        <v>19.5</v>
      </c>
      <c r="F140" s="1299"/>
      <c r="G140" s="1299"/>
      <c r="H140" s="1299"/>
      <c r="I140" s="1299"/>
      <c r="J140" s="1299"/>
      <c r="K140" s="1299"/>
      <c r="L140" s="1299"/>
      <c r="M140" s="1299"/>
      <c r="N140" s="1299"/>
      <c r="O140" s="1299"/>
      <c r="P140" s="1299"/>
      <c r="Q140" s="1299"/>
      <c r="R140" s="1299"/>
      <c r="S140" s="1299"/>
      <c r="T140" s="1299"/>
      <c r="U140" s="1299"/>
      <c r="V140" s="1299"/>
      <c r="W140" s="1299" t="b">
        <v>0</v>
      </c>
      <c r="X140" s="1299"/>
      <c r="Y140" s="1299"/>
      <c r="Z140" s="0"/>
      <c r="AA140" s="1299"/>
      <c r="AB140" s="1498"/>
      <c r="AC140" s="1493" t="s">
        <v>198</v>
      </c>
      <c r="AD140" s="1493"/>
      <c r="AE140" s="1399"/>
      <c r="AF140" s="386"/>
      <c r="AG140" s="1299"/>
      <c r="AH140" s="1299"/>
      <c r="AI140" s="1299"/>
      <c r="AJ140" s="1299"/>
      <c r="AK140" s="1299"/>
      <c r="AL140" s="1299"/>
      <c r="AM140" s="1299"/>
      <c r="AN140" s="1299"/>
      <c r="AO140" s="1299"/>
      <c r="AP140" s="1299"/>
      <c r="AQ140" s="1299"/>
      <c r="AR140" s="1299"/>
      <c r="AS140" s="1299"/>
      <c r="AT140" s="1299"/>
      <c r="AU140" s="1299"/>
      <c r="AV140" s="1299"/>
      <c r="AW140" s="1299"/>
      <c r="AX140" s="1299"/>
      <c r="AY140" s="1299"/>
      <c r="AZ140" s="1299"/>
      <c r="BA140" s="1299"/>
    </row>
    <row customHeight="1" ht="19.0125" hidden="1">
      <c r="A141" s="1299"/>
      <c r="B141" s="445">
        <f>AND(NOT(method_reg="Метод сравнения аналогов"),HAS_DOC7="да")</f>
        <v>0</v>
      </c>
      <c r="C141" s="1299"/>
      <c r="D141" s="1299"/>
      <c r="E141" s="639">
        <v>19.5</v>
      </c>
      <c r="F141" s="1299"/>
      <c r="G141" s="1299"/>
      <c r="H141" s="1299"/>
      <c r="I141" s="1299"/>
      <c r="J141" s="1299"/>
      <c r="K141" s="1299"/>
      <c r="L141" s="1299"/>
      <c r="M141" s="1299"/>
      <c r="N141" s="1299"/>
      <c r="O141" s="1299"/>
      <c r="P141" s="1299"/>
      <c r="Q141" s="1299"/>
      <c r="R141" s="1299"/>
      <c r="S141" s="1299"/>
      <c r="T141" s="1299"/>
      <c r="U141" s="1299"/>
      <c r="V141" s="1299"/>
      <c r="W141" s="1299" t="b">
        <v>0</v>
      </c>
      <c r="X141" s="1299"/>
      <c r="Y141" s="1299"/>
      <c r="Z141" s="0"/>
      <c r="AA141" s="1299"/>
      <c r="AB141" s="1498"/>
      <c r="AC141" s="1493" t="s">
        <v>220</v>
      </c>
      <c r="AD141" s="1493"/>
      <c r="AE141" s="1399"/>
      <c r="AF141" s="386"/>
      <c r="AG141" s="1299"/>
      <c r="AH141" s="1299"/>
      <c r="AI141" s="1299"/>
      <c r="AJ141" s="1299"/>
      <c r="AK141" s="1299"/>
      <c r="AL141" s="1299"/>
      <c r="AM141" s="1299"/>
      <c r="AN141" s="1299"/>
      <c r="AO141" s="1299"/>
      <c r="AP141" s="1299"/>
      <c r="AQ141" s="1299"/>
      <c r="AR141" s="1299"/>
      <c r="AS141" s="1299"/>
      <c r="AT141" s="1299"/>
      <c r="AU141" s="1299"/>
      <c r="AV141" s="1299"/>
      <c r="AW141" s="1299"/>
      <c r="AX141" s="1299"/>
      <c r="AY141" s="1299"/>
      <c r="AZ141" s="1299"/>
      <c r="BA141" s="1299"/>
    </row>
    <row customHeight="1" ht="19.0125" hidden="1">
      <c r="A142" s="1299"/>
      <c r="B142" s="445">
        <f>AND(NOT(method_reg="Метод сравнения аналогов"),HAS_DOC7="да")</f>
        <v>0</v>
      </c>
      <c r="C142" s="1299"/>
      <c r="D142" s="1299"/>
      <c r="E142" s="639">
        <v>19.5</v>
      </c>
      <c r="F142" s="1299"/>
      <c r="G142" s="1299"/>
      <c r="H142" s="1299"/>
      <c r="I142" s="1299"/>
      <c r="J142" s="1299"/>
      <c r="K142" s="1299"/>
      <c r="L142" s="1299"/>
      <c r="M142" s="1299"/>
      <c r="N142" s="1299"/>
      <c r="O142" s="1299"/>
      <c r="P142" s="1299"/>
      <c r="Q142" s="1299"/>
      <c r="R142" s="1299"/>
      <c r="S142" s="1299"/>
      <c r="T142" s="1299"/>
      <c r="U142" s="1299"/>
      <c r="V142" s="1299"/>
      <c r="W142" s="1299" t="b">
        <v>0</v>
      </c>
      <c r="X142" s="1299"/>
      <c r="Y142" s="1299"/>
      <c r="Z142" s="0"/>
      <c r="AA142" s="1299"/>
      <c r="AB142" s="1498"/>
      <c r="AC142" s="1493" t="s">
        <v>221</v>
      </c>
      <c r="AD142" s="1493"/>
      <c r="AE142" s="1399"/>
      <c r="AF142" s="386"/>
      <c r="AG142" s="1299"/>
      <c r="AH142" s="1299"/>
      <c r="AI142" s="1299"/>
      <c r="AJ142" s="1299"/>
      <c r="AK142" s="1299"/>
      <c r="AL142" s="1299"/>
      <c r="AM142" s="1299"/>
      <c r="AN142" s="1299"/>
      <c r="AO142" s="1299"/>
      <c r="AP142" s="1299"/>
      <c r="AQ142" s="1299"/>
      <c r="AR142" s="1299"/>
      <c r="AS142" s="1299"/>
      <c r="AT142" s="1299"/>
      <c r="AU142" s="1299"/>
      <c r="AV142" s="1299"/>
      <c r="AW142" s="1299"/>
      <c r="AX142" s="1299"/>
      <c r="AY142" s="1299"/>
      <c r="AZ142" s="1299"/>
      <c r="BA142" s="1299"/>
    </row>
    <row customHeight="1" ht="19.0125" hidden="1">
      <c r="B143" s="445">
        <f>AND(NOT(method_reg="Метод сравнения аналогов"),HAS_DOC7="да")</f>
        <v>0</v>
      </c>
      <c r="E143" s="639">
        <v>19.5</v>
      </c>
      <c r="W143" s="501">
        <f>ROW(Y143)&gt;ROW(Y$143)</f>
        <v>0</v>
      </c>
      <c r="Y143" s="107" t="s">
        <v>174</v>
      </c>
      <c r="AA143" s="1494" t="s">
        <v>175</v>
      </c>
      <c r="AB143" s="1498" t="s">
        <v>194</v>
      </c>
      <c r="AC143" s="1493" t="s">
        <v>195</v>
      </c>
      <c r="AD143" s="1493"/>
      <c r="AE143" s="418"/>
    </row>
    <row customHeight="1" ht="19.0125" hidden="1">
      <c r="B144" s="445">
        <f>AND(NOT(method_reg="Метод сравнения аналогов"),HAS_DOC7="да")</f>
        <v>0</v>
      </c>
      <c r="E144" s="639">
        <v>19.5</v>
      </c>
      <c r="W144" s="501" cm="1" t="str">
        <f t="array" ref="W144:W144">W143</f>
        <v>false</v>
      </c>
      <c r="AA144" s="1494"/>
      <c r="AB144" s="1498"/>
      <c r="AC144" s="1493" t="s">
        <v>196</v>
      </c>
      <c r="AD144" s="1493"/>
      <c r="AE144" s="1398"/>
    </row>
    <row customHeight="1" ht="19.0125" hidden="1">
      <c r="B145" s="445">
        <f>AND(NOT(method_reg="Метод сравнения аналогов"),HAS_DOC7="да")</f>
        <v>0</v>
      </c>
      <c r="E145" s="639">
        <v>19.5</v>
      </c>
      <c r="W145" s="501" cm="1" t="str">
        <f t="array" ref="W145:W145">W144</f>
        <v>false</v>
      </c>
      <c r="AA145" s="1494"/>
      <c r="AB145" s="1498"/>
      <c r="AC145" s="1493" t="s">
        <v>197</v>
      </c>
      <c r="AD145" s="1493"/>
      <c r="AE145" s="418"/>
    </row>
    <row customHeight="1" ht="19.0125" hidden="1">
      <c r="B146" s="445">
        <f>AND(NOT(method_reg="Метод сравнения аналогов"),HAS_DOC7="да")</f>
        <v>0</v>
      </c>
      <c r="E146" s="639">
        <v>19.5</v>
      </c>
      <c r="W146" s="501" cm="1" t="str">
        <f t="array" ref="W146:W146">W145</f>
        <v>false</v>
      </c>
      <c r="AA146" s="1494"/>
      <c r="AB146" s="1498"/>
      <c r="AC146" s="1493" t="s">
        <v>198</v>
      </c>
      <c r="AD146" s="1493"/>
      <c r="AE146" s="1399"/>
    </row>
    <row customHeight="1" ht="19.0125" hidden="1">
      <c r="B147" s="445">
        <f>AND(NOT(method_reg="Метод сравнения аналогов"),HAS_DOC7="да")</f>
        <v>0</v>
      </c>
      <c r="E147" s="639">
        <v>19.5</v>
      </c>
      <c r="W147" s="501" cm="1" t="str">
        <f t="array" ref="W147:W147">W146</f>
        <v>false</v>
      </c>
      <c r="AA147" s="1494"/>
      <c r="AB147" s="1498"/>
      <c r="AC147" s="1493" t="s">
        <v>220</v>
      </c>
      <c r="AD147" s="1493"/>
      <c r="AE147" s="1399"/>
    </row>
    <row customHeight="1" ht="19.0125" hidden="1">
      <c r="B148" s="445">
        <f>AND(NOT(method_reg="Метод сравнения аналогов"),HAS_DOC7="да")</f>
        <v>0</v>
      </c>
      <c r="E148" s="639">
        <v>19.5</v>
      </c>
      <c r="W148" s="501" cm="1" t="str">
        <f t="array" ref="W148:W148">W147</f>
        <v>false</v>
      </c>
      <c r="AA148" s="1494"/>
      <c r="AB148" s="1498"/>
      <c r="AC148" s="1493" t="s">
        <v>221</v>
      </c>
      <c r="AD148" s="1493"/>
      <c r="AE148" s="1399"/>
    </row>
    <row customHeight="1" ht="14.625" hidden="1">
      <c r="B149" s="445">
        <f>AND(NOT(method_reg="Метод сравнения аналогов"),HAS_DOC7="да")</f>
        <v>0</v>
      </c>
      <c r="E149" s="639">
        <v>15</v>
      </c>
      <c r="F149" s="107" t="s">
        <v>218</v>
      </c>
      <c r="Y149" s="108" t="s">
        <v>222</v>
      </c>
      <c r="AB149" s="265"/>
      <c r="AC149" s="264"/>
      <c r="AD149" s="264"/>
      <c r="AE149" s="368" t="s">
        <v>178</v>
      </c>
    </row>
    <row customHeight="1" ht="19.0125">
      <c r="B150" s="107"/>
      <c r="E150" s="639">
        <v>19.5</v>
      </c>
      <c r="AB150" s="1493" t="s">
        <v>223</v>
      </c>
      <c r="AC150" s="1493"/>
      <c r="AD150" s="1493"/>
      <c r="AE150" s="385"/>
      <c r="AG150" s="107" t="s">
        <v>224</v>
      </c>
    </row>
    <row customHeight="1" ht="24.862499999999997">
      <c r="B151" s="107"/>
      <c r="E151" s="639">
        <v>25.5</v>
      </c>
      <c r="F151" s="107" t="s">
        <v>169</v>
      </c>
      <c r="AB151" s="1493" t="s">
        <v>225</v>
      </c>
      <c r="AC151" s="1493"/>
      <c r="AD151" s="1493"/>
      <c r="AE151" s="392" t="s">
        <v>161</v>
      </c>
      <c r="AF151" s="479"/>
      <c r="AG151" s="384" t="s">
        <v>226</v>
      </c>
    </row>
    <row customHeight="1" ht="10.96875">
      <c r="B152" s="107"/>
      <c r="E152" s="639">
        <v>11.25</v>
      </c>
      <c r="AE152" s="143" t="s">
        <v>227</v>
      </c>
    </row>
    <row customHeight="1" ht="19.0125">
      <c r="B153" s="107"/>
      <c r="E153" s="639">
        <v>19.5</v>
      </c>
      <c r="AB153" s="1493" t="s">
        <v>228</v>
      </c>
      <c r="AC153" s="1493"/>
      <c r="AD153" s="97" t="s">
        <v>229</v>
      </c>
      <c r="AE153" s="1854" t="s">
        <v>230</v>
      </c>
      <c r="AG153" s="107" t="s">
        <v>231</v>
      </c>
    </row>
    <row customHeight="1" ht="19.0125">
      <c r="B154" s="107"/>
      <c r="E154" s="639">
        <v>19.5</v>
      </c>
      <c r="AB154" s="1493"/>
      <c r="AC154" s="1493"/>
      <c r="AD154" s="97" t="s">
        <v>232</v>
      </c>
      <c r="AE154" s="1854" t="s">
        <v>233</v>
      </c>
      <c r="AG154" s="107" t="s">
        <v>234</v>
      </c>
    </row>
    <row customHeight="1" ht="19.0125">
      <c r="B155" s="107"/>
      <c r="E155" s="639">
        <v>19.5</v>
      </c>
      <c r="AB155" s="1493"/>
      <c r="AC155" s="1493"/>
      <c r="AD155" s="97" t="s">
        <v>235</v>
      </c>
      <c r="AE155" s="1854" t="s">
        <v>236</v>
      </c>
      <c r="AG155" s="107" t="s">
        <v>237</v>
      </c>
    </row>
    <row customHeight="1" ht="19.0125">
      <c r="B156" s="107"/>
      <c r="E156" s="639">
        <v>19.5</v>
      </c>
      <c r="AB156" s="1493"/>
      <c r="AC156" s="1493"/>
      <c r="AD156" s="97" t="s">
        <v>238</v>
      </c>
      <c r="AE156" s="1855" t="s">
        <v>239</v>
      </c>
      <c r="AG156" s="107" t="s">
        <v>240</v>
      </c>
    </row>
    <row customHeight="1" ht="10.96875">
      <c r="B157" s="107"/>
      <c r="E157" s="639">
        <v>11.25</v>
      </c>
      <c r="AB157" s="204"/>
      <c r="AC157" s="204"/>
      <c r="AD157" s="204"/>
      <c r="AE157" s="297"/>
    </row>
    <row customHeight="1" ht="14.625">
      <c r="B158" s="107"/>
      <c r="E158" s="639">
        <v>15</v>
      </c>
      <c r="AB158" s="1522" t="s">
        <v>241</v>
      </c>
      <c r="AC158" s="1522"/>
      <c r="AD158" s="1522"/>
      <c r="AE158" s="1522"/>
    </row>
    <row customHeight="1" ht="14.625">
      <c r="B159" s="107"/>
      <c r="E159" s="639">
        <v>15</v>
      </c>
      <c r="AB159" s="1523" t="s">
        <v>242</v>
      </c>
      <c r="AC159" s="1523"/>
      <c r="AD159" s="1523"/>
      <c r="AE159" s="1523"/>
      <c r="AF159" s="480"/>
    </row>
    <row customHeight="1" ht="14.625">
      <c r="B160" s="107"/>
      <c r="E160" s="639">
        <v>15</v>
      </c>
      <c r="AB160" s="1521" t="s">
        <v>243</v>
      </c>
      <c r="AC160" s="1521"/>
      <c r="AD160" s="1521"/>
      <c r="AE160" s="1521"/>
      <c r="AF160" s="480"/>
    </row>
    <row customHeight="1" ht="14.625">
      <c r="B161" s="107"/>
      <c r="E161" s="639">
        <v>15</v>
      </c>
      <c r="AB161" s="1521" t="s">
        <v>244</v>
      </c>
      <c r="AC161" s="1521"/>
      <c r="AD161" s="1521"/>
      <c r="AE161" s="1521"/>
      <c r="AF161" s="480"/>
    </row>
    <row customHeight="1" ht="14.625">
      <c r="B162" s="107"/>
      <c r="E162" s="639">
        <v>15</v>
      </c>
      <c r="AB162" s="1521" t="s">
        <v>245</v>
      </c>
      <c r="AC162" s="1521"/>
      <c r="AD162" s="1521"/>
      <c r="AE162" s="1521"/>
      <c r="AF162" s="480"/>
    </row>
    <row customHeight="1" ht="14.625">
      <c r="B163" s="107"/>
      <c r="E163" s="639">
        <v>15</v>
      </c>
      <c r="AB163" s="1521" t="s">
        <v>246</v>
      </c>
      <c r="AC163" s="1521"/>
      <c r="AD163" s="1521"/>
      <c r="AE163" s="1521"/>
      <c r="AF163" s="480"/>
    </row>
    <row customHeight="1" ht="26.568750000000005">
      <c r="B164" s="107"/>
      <c r="E164" s="639">
        <v>27.25</v>
      </c>
      <c r="AB164" s="1521" t="s">
        <v>247</v>
      </c>
      <c r="AC164" s="1521"/>
      <c r="AD164" s="1521"/>
      <c r="AE164" s="1521"/>
      <c r="AF164" s="481"/>
    </row>
    <row customHeight="1" ht="14.625">
      <c r="B165" s="107"/>
      <c r="E165" s="639">
        <v>15</v>
      </c>
      <c r="AB165" s="1521" t="s">
        <v>248</v>
      </c>
      <c r="AC165" s="1521"/>
      <c r="AD165" s="1521"/>
      <c r="AE165" s="1521"/>
      <c r="AF165" s="480"/>
    </row>
    <row customHeight="1" ht="26.568750000000005">
      <c r="B166" s="107"/>
      <c r="E166" s="639">
        <v>27.25</v>
      </c>
      <c r="AB166" s="1521" t="s">
        <v>249</v>
      </c>
      <c r="AC166" s="1521"/>
      <c r="AD166" s="1521"/>
      <c r="AE166" s="1521"/>
      <c r="AF166" s="481"/>
    </row>
    <row customHeight="1" ht="14.625">
      <c r="B167" s="107"/>
      <c r="E167" s="639">
        <v>15</v>
      </c>
      <c r="AB167" s="1521" t="s">
        <v>250</v>
      </c>
      <c r="AC167" s="1521"/>
      <c r="AD167" s="1521"/>
      <c r="AE167" s="1521"/>
      <c r="AF167" s="480"/>
    </row>
    <row customHeight="1" ht="14.625">
      <c r="B168" s="107"/>
      <c r="E168" s="639">
        <v>15</v>
      </c>
      <c r="AB168" s="1521" t="s">
        <v>251</v>
      </c>
      <c r="AC168" s="1521"/>
      <c r="AD168" s="1521"/>
      <c r="AE168" s="1521"/>
      <c r="AF168" s="480"/>
    </row>
    <row customHeight="1" ht="26.568750000000005">
      <c r="B169" s="107"/>
      <c r="E169" s="639">
        <v>27.25</v>
      </c>
      <c r="AB169" s="1521" t="s">
        <v>252</v>
      </c>
      <c r="AC169" s="1521"/>
      <c r="AD169" s="1521"/>
      <c r="AE169" s="1521"/>
      <c r="AF169" s="481"/>
    </row>
    <row customHeight="1" ht="35.1">
      <c r="B170" s="107"/>
      <c r="E170" s="639">
        <v>36</v>
      </c>
      <c r="AB170" s="1521" t="s">
        <v>253</v>
      </c>
      <c r="AC170" s="1521"/>
      <c r="AD170" s="1521"/>
      <c r="AE170" s="1521"/>
      <c r="AF170" s="481"/>
    </row>
    <row customHeight="1" ht="14.625">
      <c r="B171" s="107"/>
      <c r="E171" s="639">
        <v>15</v>
      </c>
      <c r="W171" s="501">
        <f>NOT(method_reg="Метод сравнения аналогов")</f>
        <v>1</v>
      </c>
      <c r="AB171" s="1521" t="s">
        <v>254</v>
      </c>
      <c r="AC171" s="1521"/>
      <c r="AD171" s="1521"/>
      <c r="AE171" s="1521"/>
      <c r="AF171" s="480"/>
    </row>
    <row customHeight="1" ht="14.625">
      <c r="B172" s="107"/>
      <c r="E172" s="639">
        <v>15</v>
      </c>
      <c r="AB172" s="1531" t="str">
        <f>IF(W171,"14","13")&amp;". Иные нормативные правовые акты Российской Федерации."</f>
        <v>14. Иные нормативные правовые акты Российской Федерации.</v>
      </c>
      <c r="AC172" s="1531"/>
      <c r="AD172" s="1531"/>
      <c r="AE172" s="1531"/>
      <c r="AF172" s="480"/>
    </row>
    <row customHeight="1" ht="11.700000000000001">
      <c r="B173" s="107"/>
      <c r="E173" s="639">
        <v>12</v>
      </c>
      <c r="AB173" s="493"/>
      <c r="AC173" s="493"/>
      <c r="AD173" s="641">
        <f>COUNTIF(AE193:AE250,"Водоснабжение")&gt;0</f>
        <v>1</v>
      </c>
      <c r="AE173" s="641">
        <f>COUNTIF(AE193:AE250,"Водоотведение")&gt;0</f>
        <v>1</v>
      </c>
      <c r="AF173" s="642">
        <f>COUNTIF(AE193:AE250,"Транспортировка воды")&gt;0</f>
        <v>0</v>
      </c>
      <c r="AG173" s="643">
        <f>COUNTIF(AE193:AE250,"Транспортировка сточных вод")&gt;0</f>
        <v>0</v>
      </c>
    </row>
    <row customHeight="1" ht="19.0125">
      <c r="B174" s="107"/>
      <c r="E174" s="639">
        <v>19.5</v>
      </c>
      <c r="AB174" s="1532" t="s">
        <v>255</v>
      </c>
      <c r="AC174" s="1532"/>
      <c r="AD174" s="1532"/>
      <c r="AE174" s="1533"/>
      <c r="AF174" s="477"/>
      <c r="AG174" s="112"/>
      <c r="AH174" s="112"/>
      <c r="AI174" s="112"/>
      <c r="AJ174" s="112"/>
      <c r="AK174" s="112"/>
      <c r="AL174" s="108"/>
    </row>
    <row customHeight="1" ht="24.862499999999997">
      <c r="B175" s="107"/>
      <c r="E175" s="639">
        <v>25.5</v>
      </c>
      <c r="AB175" s="1530" t="s">
        <v>256</v>
      </c>
      <c r="AC175" s="1530"/>
      <c r="AD175" s="1530"/>
      <c r="AE175" s="596" t="s">
        <v>161</v>
      </c>
      <c r="AF175" s="479"/>
      <c r="AG175" s="112" t="s">
        <v>257</v>
      </c>
      <c r="AH175" s="112"/>
      <c r="AI175" s="112"/>
      <c r="AJ175" s="112"/>
      <c r="AK175" s="112"/>
      <c r="AL175" s="108"/>
    </row>
    <row customHeight="1" ht="19.0125" hidden="1">
      <c r="B176" s="445">
        <f>FIRST_TIME_REG="нет"</f>
        <v>0</v>
      </c>
      <c r="E176" s="639">
        <v>19.5</v>
      </c>
      <c r="AB176" s="1526" t="s">
        <v>258</v>
      </c>
      <c r="AC176" s="1527"/>
      <c r="AD176" s="597" t="s">
        <v>196</v>
      </c>
      <c r="AE176" s="419" t="s">
        <v>227</v>
      </c>
      <c r="AG176" s="112" t="s">
        <v>259</v>
      </c>
      <c r="AH176" s="112"/>
      <c r="AI176" s="112"/>
      <c r="AJ176" s="112"/>
      <c r="AK176" s="112"/>
      <c r="AL176" s="108"/>
    </row>
    <row customHeight="1" ht="19.0125" hidden="1">
      <c r="B177" s="445">
        <f>FIRST_TIME_REG="нет"</f>
        <v>0</v>
      </c>
      <c r="E177" s="639">
        <v>19.5</v>
      </c>
      <c r="AB177" s="1526"/>
      <c r="AC177" s="1527"/>
      <c r="AD177" s="394" t="s">
        <v>197</v>
      </c>
      <c r="AE177" s="418" t="s">
        <v>227</v>
      </c>
      <c r="AG177" s="107" t="s">
        <v>260</v>
      </c>
    </row>
    <row customHeight="1" ht="19.0125" hidden="1">
      <c r="B178" s="445">
        <f>FIRST_TIME_REG="нет"</f>
        <v>0</v>
      </c>
      <c r="E178" s="639">
        <v>19.5</v>
      </c>
      <c r="AB178" s="1528"/>
      <c r="AC178" s="1529"/>
      <c r="AD178" s="394" t="s">
        <v>198</v>
      </c>
      <c r="AE178" s="940" t="s">
        <v>227</v>
      </c>
      <c r="AG178" s="107" t="s">
        <v>261</v>
      </c>
    </row>
    <row customHeight="1" ht="19.9875">
      <c r="B179" s="107">
        <f>NOT(FIRST_TIME_REG="")</f>
        <v>1</v>
      </c>
      <c r="E179" s="639">
        <v>20.5</v>
      </c>
      <c r="F179" s="172" t="s">
        <v>262</v>
      </c>
      <c r="G179" s="1299">
        <f>IF(ISERR(SEARCH("отсутствует",org_declaration)),TRUE,FALSE)</f>
        <v>1</v>
      </c>
      <c r="AB179" s="1534" t="s">
        <v>263</v>
      </c>
      <c r="AC179" s="1535"/>
      <c r="AD179" s="490"/>
      <c r="AE179" s="491"/>
      <c r="AF179" s="482"/>
      <c r="AG179" s="482"/>
      <c r="AN179" s="107" t="s">
        <v>264</v>
      </c>
    </row>
    <row customHeight="1" ht="18.28125" hidden="1">
      <c r="B180" s="107">
        <f>NOT(FIRST_TIME_REG="")</f>
        <v>1</v>
      </c>
      <c r="E180" s="639">
        <v>18.75</v>
      </c>
      <c r="F180" s="107" cm="1" t="str">
        <f t="array" ref="F180:F180">Z180</f>
        <v>0</v>
      </c>
      <c r="V180" s="253" cm="1" t="str">
        <f t="array" ref="V180:V180">AE181</f>
        <v>0</v>
      </c>
      <c r="W180" s="501">
        <f>Z180&gt;0</f>
        <v>0</v>
      </c>
      <c r="X180" s="107" t="s">
        <v>265</v>
      </c>
      <c r="Z180" s="1524">
        <v>0</v>
      </c>
      <c r="AA180" s="1540"/>
      <c r="AB180" s="1536"/>
      <c r="AC180" s="1537"/>
      <c r="AD180" s="399" t="str">
        <f>"Тариф "&amp;Z180</f>
        <v>Тариф 0</v>
      </c>
      <c r="AE180" s="400"/>
      <c r="AF180" s="1525" t="s">
        <v>175</v>
      </c>
      <c r="AG180" s="107" t="str">
        <f>AD180&amp;" ("&amp;AE180&amp;") - "&amp;AE182&amp;IF(AE186="",""," ("&amp;AE186&amp;")")</f>
        <v>Тариф 0 () - </v>
      </c>
      <c r="AH180" s="107" cm="1" t="str">
        <f t="array" ref="AH180:AH180">AE185</f>
        <v>0</v>
      </c>
      <c r="AI180" s="253" cm="1" t="str">
        <f t="array" ref="AI180:AI180">AE182</f>
        <v>0</v>
      </c>
      <c r="AJ180" s="107" cm="1" t="str">
        <f t="array" ref="AJ180:AJ180">AE186</f>
        <v>0</v>
      </c>
      <c r="AK180" s="107" cm="1" t="str">
        <f t="array" ref="AK180:AK180">AE183</f>
        <v>0</v>
      </c>
      <c r="AL180" s="909" cm="1" t="str">
        <f t="array" ref="AL180:AL180">AE190</f>
        <v>46023</v>
      </c>
      <c r="AM180" s="498" cm="1" t="str">
        <f t="array" ref="AM180:AM180">AE191</f>
        <v>0</v>
      </c>
      <c r="AN180" s="107">
        <f>IF(ISERR(SEARCH("трансп",AI180)),FALSE,TRUE)</f>
        <v>0</v>
      </c>
    </row>
    <row customHeight="1" ht="16.0875" hidden="1">
      <c r="B181" s="107">
        <f>NOT(FIRST_TIME_REG="")</f>
        <v>1</v>
      </c>
      <c r="E181" s="639">
        <v>16.5</v>
      </c>
      <c r="F181" s="107" cm="1" t="str">
        <f t="array" ref="F181:F181">F180</f>
        <v>0</v>
      </c>
      <c r="V181" s="253"/>
      <c r="W181" s="501" cm="1" t="str">
        <f t="array" ref="W181:W181">W180</f>
        <v>false</v>
      </c>
      <c r="Z181" s="1524"/>
      <c r="AA181" s="1540"/>
      <c r="AB181" s="1536"/>
      <c r="AC181" s="1537"/>
      <c r="AD181" s="401" t="s">
        <v>266</v>
      </c>
      <c r="AE181" s="393"/>
      <c r="AF181" s="1525"/>
    </row>
    <row customHeight="1" ht="16.0875" hidden="1">
      <c r="B182" s="107">
        <f>NOT(FIRST_TIME_REG="")</f>
        <v>1</v>
      </c>
      <c r="E182" s="639">
        <v>16.5</v>
      </c>
      <c r="F182" s="107" cm="1" t="str">
        <f t="array" ref="F182:F182">F181</f>
        <v>0</v>
      </c>
      <c r="V182" s="253"/>
      <c r="W182" s="501" cm="1" t="str">
        <f t="array" ref="W182:W182">W181</f>
        <v>false</v>
      </c>
      <c r="Z182" s="1524"/>
      <c r="AA182" s="1540"/>
      <c r="AB182" s="1536"/>
      <c r="AC182" s="1537"/>
      <c r="AD182" s="401" t="s">
        <v>267</v>
      </c>
      <c r="AE182" s="1401"/>
      <c r="AF182" s="1525"/>
    </row>
    <row customHeight="1" ht="16.0875" hidden="1">
      <c r="B183" s="107">
        <f>NOT(FIRST_TIME_REG="")</f>
        <v>1</v>
      </c>
      <c r="E183" s="639">
        <v>16.5</v>
      </c>
      <c r="F183" s="107" cm="1" t="str">
        <f t="array" ref="F183:F183">F182</f>
        <v>0</v>
      </c>
      <c r="V183" s="253"/>
      <c r="W183" s="501" cm="1" t="str">
        <f t="array" ref="W183:W183">W182</f>
        <v>false</v>
      </c>
      <c r="Z183" s="1524"/>
      <c r="AA183" s="1540"/>
      <c r="AB183" s="1536"/>
      <c r="AC183" s="1537"/>
      <c r="AD183" s="401" t="s">
        <v>268</v>
      </c>
      <c r="AE183" s="1401"/>
      <c r="AF183" s="1525"/>
    </row>
    <row customHeight="1" ht="16.0875" hidden="1">
      <c r="B184" s="107">
        <f>NOT(FIRST_TIME_REG="")</f>
        <v>1</v>
      </c>
      <c r="E184" s="639">
        <v>16.5</v>
      </c>
      <c r="F184" s="107" cm="1" t="str">
        <f t="array" ref="F184:F184">F183</f>
        <v>0</v>
      </c>
      <c r="V184" s="253"/>
      <c r="W184" s="501" cm="1" t="str">
        <f t="array" ref="W184:W184">W183</f>
        <v>false</v>
      </c>
      <c r="Z184" s="1524"/>
      <c r="AA184" s="1540"/>
      <c r="AB184" s="1536"/>
      <c r="AC184" s="1537"/>
      <c r="AD184" s="401" t="s">
        <v>269</v>
      </c>
      <c r="AE184" s="754"/>
      <c r="AF184" s="1525"/>
    </row>
    <row customHeight="1" ht="16.0875" hidden="1">
      <c r="B185" s="107">
        <f>NOT(FIRST_TIME_REG="")</f>
        <v>1</v>
      </c>
      <c r="E185" s="639">
        <v>16.5</v>
      </c>
      <c r="F185" s="107" cm="1" t="str">
        <f t="array" ref="F185:F185">F184</f>
        <v>0</v>
      </c>
      <c r="V185" s="253"/>
      <c r="W185" s="501" cm="1" t="str">
        <f t="array" ref="W185:W185">W184</f>
        <v>false</v>
      </c>
      <c r="Z185" s="1524"/>
      <c r="AA185" s="1540"/>
      <c r="AB185" s="1536"/>
      <c r="AC185" s="1537"/>
      <c r="AD185" s="99" t="str">
        <f>IF(AE180="Водоотведение","Вид сточных вод","Вид воды")</f>
        <v>Вид воды</v>
      </c>
      <c r="AE185" s="1401"/>
      <c r="AF185" s="1525"/>
    </row>
    <row customHeight="1" ht="16.0875" hidden="1">
      <c r="B186" s="107">
        <f>NOT(FIRST_TIME_REG="")</f>
        <v>1</v>
      </c>
      <c r="E186" s="639">
        <v>16.5</v>
      </c>
      <c r="F186" s="107" cm="1" t="str">
        <f t="array" ref="F186:F186">F185</f>
        <v>0</v>
      </c>
      <c r="V186" s="253"/>
      <c r="W186" s="501" cm="1" t="str">
        <f t="array" ref="W186:W186">W185</f>
        <v>false</v>
      </c>
      <c r="Z186" s="1524"/>
      <c r="AA186" s="1540"/>
      <c r="AB186" s="1536"/>
      <c r="AC186" s="1537"/>
      <c r="AD186" s="99" t="s">
        <v>270</v>
      </c>
      <c r="AE186" s="754"/>
      <c r="AF186" s="1525"/>
    </row>
    <row customHeight="1" ht="16.0875" hidden="1">
      <c r="B187" s="445">
        <f>AND(org_declaration="Заявление организации",NOT(FIRST_TIME_REG=""))</f>
        <v>1</v>
      </c>
      <c r="E187" s="639">
        <v>16.5</v>
      </c>
      <c r="F187" s="107" cm="1" t="str">
        <f t="array" ref="F187:F187">F186</f>
        <v>0</v>
      </c>
      <c r="V187" s="253"/>
      <c r="W187" s="501" cm="1" t="str">
        <f t="array" ref="W187:W187">W186</f>
        <v>false</v>
      </c>
      <c r="Z187" s="1524"/>
      <c r="AA187" s="1540"/>
      <c r="AB187" s="1536"/>
      <c r="AC187" s="1537"/>
      <c r="AD187" s="401" t="s">
        <v>271</v>
      </c>
      <c r="AE187" s="1402"/>
      <c r="AF187" s="1525"/>
    </row>
    <row customHeight="1" ht="16.0875" hidden="1">
      <c r="B188" s="445">
        <f>AND(org_declaration="Заявление организации",NOT(FIRST_TIME_REG=""))</f>
        <v>1</v>
      </c>
      <c r="E188" s="639">
        <v>16.5</v>
      </c>
      <c r="F188" s="107" cm="1" t="str">
        <f t="array" ref="F188:F188">F187</f>
        <v>0</v>
      </c>
      <c r="V188" s="253"/>
      <c r="W188" s="501" cm="1" t="str">
        <f t="array" ref="W188:W188">W187</f>
        <v>false</v>
      </c>
      <c r="Z188" s="1524"/>
      <c r="AA188" s="1540"/>
      <c r="AB188" s="1536"/>
      <c r="AC188" s="1537"/>
      <c r="AD188" s="401" t="s">
        <v>272</v>
      </c>
      <c r="AE188" s="1403"/>
      <c r="AF188" s="1525"/>
    </row>
    <row customHeight="1" ht="16.0875" hidden="1">
      <c r="B189" s="445">
        <f>NOT(FIRST_TIME_REG="")</f>
        <v>1</v>
      </c>
      <c r="E189" s="639">
        <v>16.5</v>
      </c>
      <c r="F189" s="107" cm="1" t="str">
        <f t="array" ref="F189:F189">F188</f>
        <v>0</v>
      </c>
      <c r="V189" s="253"/>
      <c r="W189" s="501" cm="1" t="str">
        <f t="array" ref="W189:W189">W188</f>
        <v>false</v>
      </c>
      <c r="Z189" s="1524"/>
      <c r="AA189" s="1540"/>
      <c r="AB189" s="1536"/>
      <c r="AC189" s="1537"/>
      <c r="AD189" s="401" t="s">
        <v>273</v>
      </c>
      <c r="AE189" s="1404"/>
      <c r="AF189" s="1525"/>
    </row>
    <row customHeight="1" ht="16.0875" hidden="1">
      <c r="B190" s="445">
        <f>AND(org_declaration="Заявление организации",NOT(FIRST_TIME_REG=""))</f>
        <v>1</v>
      </c>
      <c r="E190" s="639">
        <v>16.5</v>
      </c>
      <c r="F190" s="107" cm="1" t="str">
        <f t="array" ref="F190:F190">F189</f>
        <v>0</v>
      </c>
      <c r="V190" s="253"/>
      <c r="W190" s="501" cm="1" t="str">
        <f t="array" ref="W190:W190">W189</f>
        <v>false</v>
      </c>
      <c r="Z190" s="1524"/>
      <c r="AA190" s="1540"/>
      <c r="AB190" s="1536"/>
      <c r="AC190" s="1537"/>
      <c r="AD190" s="401" t="s">
        <v>274</v>
      </c>
      <c r="AE190" s="1405" t="str">
        <f>IF(ISBLANK(god),"",DATE(god,1,1))</f>
        <v>46023</v>
      </c>
      <c r="AF190" s="1525"/>
    </row>
    <row customHeight="1" ht="16.0875" hidden="1">
      <c r="B191" s="445">
        <f>AND(org_declaration="Заявление организации",NOT(FIRST_TIME_REG=""))</f>
        <v>1</v>
      </c>
      <c r="E191" s="639">
        <v>16.5</v>
      </c>
      <c r="F191" s="107" cm="1" t="str">
        <f t="array" ref="F191:F191">F190</f>
        <v>0</v>
      </c>
      <c r="V191" s="253"/>
      <c r="W191" s="501" cm="1" t="str">
        <f t="array" ref="W191:W191">W190</f>
        <v>false</v>
      </c>
      <c r="Z191" s="1524"/>
      <c r="AA191" s="1540"/>
      <c r="AB191" s="1536"/>
      <c r="AC191" s="1537"/>
      <c r="AD191" s="401" t="s">
        <v>275</v>
      </c>
      <c r="AE191" s="1406"/>
      <c r="AF191" s="1525"/>
    </row>
    <row customHeight="1" ht="21.9375" hidden="1">
      <c r="B192" s="445">
        <f>AND(org_declaration="Заявление организации",NOT(FIRST_TIME_REG=""))</f>
        <v>1</v>
      </c>
      <c r="E192" s="639">
        <v>22.5</v>
      </c>
      <c r="F192" s="107" cm="1" t="str">
        <f t="array" ref="F192:F192">F191</f>
        <v>0</v>
      </c>
      <c r="V192" s="253"/>
      <c r="W192" s="501">
        <f>AND(W191,AE191&lt;&gt;"Метод экономически обоснованных расходов",AE191&lt;&gt;"Метод сравнения аналогов")</f>
        <v>0</v>
      </c>
      <c r="Z192" s="1524"/>
      <c r="AA192" s="1540"/>
      <c r="AB192" s="1536"/>
      <c r="AC192" s="1537"/>
      <c r="AD192" s="99" t="str">
        <f>IF(OR(AE191="экономически обоснованных расходов (затрат)",AE191="сравнения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92" s="1407"/>
      <c r="AF192" s="1525"/>
    </row>
    <row customHeight="1" ht="16.0875" hidden="1">
      <c r="B193" s="445">
        <f>AND(org_declaration="Заявление организации",NOT(FIRST_TIME_REG=""))</f>
        <v>1</v>
      </c>
      <c r="E193" s="639">
        <v>16.5</v>
      </c>
      <c r="F193" s="107" cm="1" t="str">
        <f t="array" ref="F193:F193">F192</f>
        <v>0</v>
      </c>
      <c r="V193" s="253"/>
      <c r="W193" s="501">
        <f>AND(W192,AE191&lt;&gt;"Метод экономически обоснованных расходов",AE191&lt;&gt;"Метод сравнения аналогов")</f>
        <v>0</v>
      </c>
      <c r="Z193" s="1524"/>
      <c r="AA193" s="1540"/>
      <c r="AB193" s="1536"/>
      <c r="AC193" s="1537"/>
      <c r="AD193" s="401" t="s">
        <v>107</v>
      </c>
      <c r="AE193" s="1407"/>
      <c r="AF193" s="1525"/>
    </row>
    <row s="1834" customFormat="1" customHeight="1" ht="18">
      <c r="A194" s="1299"/>
      <c r="B194" s="1299">
        <f>NOT(FIRST_TIME_REG="")</f>
        <v>1</v>
      </c>
      <c r="C194" s="1299"/>
      <c r="D194" s="1299"/>
      <c r="E194" s="1665">
        <v>18.75</v>
      </c>
      <c r="F194" s="1299" cm="1" t="str">
        <f t="array" ref="F194:F194">Z194</f>
        <v>1</v>
      </c>
      <c r="G194" s="1299"/>
      <c r="H194" s="1299"/>
      <c r="I194" s="1299"/>
      <c r="J194" s="1299"/>
      <c r="K194" s="1299"/>
      <c r="L194" s="1299"/>
      <c r="M194" s="1299"/>
      <c r="N194" s="1299"/>
      <c r="O194" s="1299"/>
      <c r="P194" s="1299"/>
      <c r="Q194" s="1299"/>
      <c r="R194" s="1299"/>
      <c r="S194" s="1299"/>
      <c r="T194" s="1299"/>
      <c r="U194" s="1299"/>
      <c r="V194" s="253" cm="1" t="str">
        <f t="array" ref="V194:V194">AE195</f>
        <v>ХВС.42.33000834.0001</v>
      </c>
      <c r="W194" s="1360">
        <f>Z194&gt;0</f>
        <v>1</v>
      </c>
      <c r="X194" s="1299"/>
      <c r="Y194" s="1299"/>
      <c r="Z194" s="1524" t="s">
        <v>276</v>
      </c>
      <c r="AA194" s="1540"/>
      <c r="AB194" s="1536"/>
      <c r="AC194" s="1537"/>
      <c r="AD194" s="399" t="str">
        <f>"Тариф "&amp;Z194</f>
        <v>Тариф 1</v>
      </c>
      <c r="AE194" s="400" t="s">
        <v>277</v>
      </c>
      <c r="AF194" s="1525" t="s">
        <v>175</v>
      </c>
      <c r="AG194" s="1299" t="str">
        <f>AD194&amp;" ("&amp;AE194&amp;") - "&amp;AE196&amp;IF(AE200="",""," ("&amp;AE200&amp;")")</f>
        <v>Тариф 1 (Водоснабжение) - тариф на питьевую воду (Доп. признак не требуется)</v>
      </c>
      <c r="AH194" s="1299" cm="1" t="str">
        <f t="array" ref="AH194:AH194">AE199</f>
        <v>питьевая вода</v>
      </c>
      <c r="AI194" s="253" cm="1" t="str">
        <f t="array" ref="AI194:AI194">AE196</f>
        <v>тариф на питьевую воду</v>
      </c>
      <c r="AJ194" s="1299" cm="1" t="str">
        <f t="array" ref="AJ194:AJ194">AE200</f>
        <v>Доп. признак не требуется</v>
      </c>
      <c r="AK194" s="1299" cm="1" t="str">
        <f t="array" ref="AK194:AK194">AE197</f>
        <v>одноставочный</v>
      </c>
      <c r="AL194" s="909" cm="1" t="str">
        <f t="array" ref="AL194:AL194">AE204</f>
        <v>46023</v>
      </c>
      <c r="AM194" s="1233" cm="1" t="str">
        <f t="array" ref="AM194:AM194">AE205</f>
        <v>Метод индексации</v>
      </c>
      <c r="AN194" s="1299">
        <f>IF(ISERR(SEARCH("трансп",AI194)),FALSE,TRUE)</f>
        <v>0</v>
      </c>
      <c r="AO194" s="1299"/>
      <c r="AP194" s="1299"/>
      <c r="AQ194" s="1299"/>
      <c r="AR194" s="1299"/>
      <c r="AS194" s="1299"/>
      <c r="AT194" s="1299"/>
      <c r="AU194" s="1299"/>
      <c r="AV194" s="1299"/>
      <c r="AW194" s="1299"/>
      <c r="AX194" s="1299"/>
      <c r="AY194" s="1299"/>
      <c r="AZ194" s="1299"/>
      <c r="BA194" s="1299"/>
    </row>
    <row s="1834" customFormat="1" customHeight="1" ht="15.75">
      <c r="A195" s="1299"/>
      <c r="B195" s="1299">
        <f>NOT(FIRST_TIME_REG="")</f>
        <v>1</v>
      </c>
      <c r="C195" s="1299"/>
      <c r="D195" s="1299"/>
      <c r="E195" s="1665">
        <v>16.5</v>
      </c>
      <c r="F195" s="1299" cm="1" t="str">
        <f t="array" ref="F195:F195">F194</f>
        <v>1</v>
      </c>
      <c r="G195" s="1299"/>
      <c r="H195" s="1299"/>
      <c r="I195" s="1299"/>
      <c r="J195" s="1299"/>
      <c r="K195" s="1299"/>
      <c r="L195" s="1299"/>
      <c r="M195" s="1299"/>
      <c r="N195" s="1299"/>
      <c r="O195" s="1299"/>
      <c r="P195" s="1299"/>
      <c r="Q195" s="1299"/>
      <c r="R195" s="1299"/>
      <c r="S195" s="1299"/>
      <c r="T195" s="1299"/>
      <c r="U195" s="1299"/>
      <c r="V195" s="253"/>
      <c r="W195" s="1360" cm="1" t="str">
        <f t="array" ref="W195:W195">W194</f>
        <v>true</v>
      </c>
      <c r="X195" s="1299"/>
      <c r="Y195" s="1299"/>
      <c r="Z195" s="1524"/>
      <c r="AA195" s="1540"/>
      <c r="AB195" s="1536"/>
      <c r="AC195" s="1537"/>
      <c r="AD195" s="401" t="s">
        <v>266</v>
      </c>
      <c r="AE195" s="393" t="s">
        <v>278</v>
      </c>
      <c r="AF195" s="1525"/>
      <c r="AG195" s="1299"/>
      <c r="AH195" s="1299"/>
      <c r="AI195" s="1299"/>
      <c r="AJ195" s="1299"/>
      <c r="AK195" s="1299"/>
      <c r="AL195" s="1299"/>
      <c r="AM195" s="1299"/>
      <c r="AN195" s="1299"/>
      <c r="AO195" s="1299"/>
      <c r="AP195" s="1299"/>
      <c r="AQ195" s="1299"/>
      <c r="AR195" s="1299"/>
      <c r="AS195" s="1299"/>
      <c r="AT195" s="1299"/>
      <c r="AU195" s="1299"/>
      <c r="AV195" s="1299"/>
      <c r="AW195" s="1299"/>
      <c r="AX195" s="1299"/>
      <c r="AY195" s="1299"/>
      <c r="AZ195" s="1299"/>
      <c r="BA195" s="1299"/>
    </row>
    <row s="1834" customFormat="1" customHeight="1" ht="15.75">
      <c r="A196" s="1299"/>
      <c r="B196" s="1299">
        <f>NOT(FIRST_TIME_REG="")</f>
        <v>1</v>
      </c>
      <c r="C196" s="1299"/>
      <c r="D196" s="1299"/>
      <c r="E196" s="1665">
        <v>16.5</v>
      </c>
      <c r="F196" s="1299" cm="1" t="str">
        <f t="array" ref="F196:F196">F195</f>
        <v>1</v>
      </c>
      <c r="G196" s="1299"/>
      <c r="H196" s="1299"/>
      <c r="I196" s="1299"/>
      <c r="J196" s="1299"/>
      <c r="K196" s="1299"/>
      <c r="L196" s="1299"/>
      <c r="M196" s="1299"/>
      <c r="N196" s="1299"/>
      <c r="O196" s="1299"/>
      <c r="P196" s="1299"/>
      <c r="Q196" s="1299"/>
      <c r="R196" s="1299"/>
      <c r="S196" s="1299"/>
      <c r="T196" s="1299"/>
      <c r="U196" s="1299"/>
      <c r="V196" s="253"/>
      <c r="W196" s="1360" cm="1" t="str">
        <f t="array" ref="W196:W196">W195</f>
        <v>true</v>
      </c>
      <c r="X196" s="1299"/>
      <c r="Y196" s="1299"/>
      <c r="Z196" s="1524"/>
      <c r="AA196" s="1540"/>
      <c r="AB196" s="1536"/>
      <c r="AC196" s="1537"/>
      <c r="AD196" s="401" t="s">
        <v>267</v>
      </c>
      <c r="AE196" s="1856" t="s">
        <v>279</v>
      </c>
      <c r="AF196" s="1525"/>
      <c r="AG196" s="1299"/>
      <c r="AH196" s="1299"/>
      <c r="AI196" s="1299"/>
      <c r="AJ196" s="1299"/>
      <c r="AK196" s="1299"/>
      <c r="AL196" s="1299"/>
      <c r="AM196" s="1299"/>
      <c r="AN196" s="1299"/>
      <c r="AO196" s="1299"/>
      <c r="AP196" s="1299"/>
      <c r="AQ196" s="1299"/>
      <c r="AR196" s="1299"/>
      <c r="AS196" s="1299"/>
      <c r="AT196" s="1299"/>
      <c r="AU196" s="1299"/>
      <c r="AV196" s="1299"/>
      <c r="AW196" s="1299"/>
      <c r="AX196" s="1299"/>
      <c r="AY196" s="1299"/>
      <c r="AZ196" s="1299"/>
      <c r="BA196" s="1299"/>
    </row>
    <row s="1834" customFormat="1" customHeight="1" ht="15.75">
      <c r="A197" s="1299"/>
      <c r="B197" s="1299">
        <f>NOT(FIRST_TIME_REG="")</f>
        <v>1</v>
      </c>
      <c r="C197" s="1299"/>
      <c r="D197" s="1299"/>
      <c r="E197" s="1665">
        <v>16.5</v>
      </c>
      <c r="F197" s="1299" cm="1" t="str">
        <f t="array" ref="F197:F197">F196</f>
        <v>1</v>
      </c>
      <c r="G197" s="1299"/>
      <c r="H197" s="1299"/>
      <c r="I197" s="1299"/>
      <c r="J197" s="1299"/>
      <c r="K197" s="1299"/>
      <c r="L197" s="1299"/>
      <c r="M197" s="1299"/>
      <c r="N197" s="1299"/>
      <c r="O197" s="1299"/>
      <c r="P197" s="1299"/>
      <c r="Q197" s="1299"/>
      <c r="R197" s="1299"/>
      <c r="S197" s="1299"/>
      <c r="T197" s="1299"/>
      <c r="U197" s="1299"/>
      <c r="V197" s="253"/>
      <c r="W197" s="1360" cm="1" t="str">
        <f t="array" ref="W197:W197">W196</f>
        <v>true</v>
      </c>
      <c r="X197" s="1299"/>
      <c r="Y197" s="1299"/>
      <c r="Z197" s="1524"/>
      <c r="AA197" s="1540"/>
      <c r="AB197" s="1536"/>
      <c r="AC197" s="1537"/>
      <c r="AD197" s="401" t="s">
        <v>268</v>
      </c>
      <c r="AE197" s="1856" t="s">
        <v>280</v>
      </c>
      <c r="AF197" s="1525"/>
      <c r="AG197" s="1299"/>
      <c r="AH197" s="1299"/>
      <c r="AI197" s="1299"/>
      <c r="AJ197" s="1299"/>
      <c r="AK197" s="1299"/>
      <c r="AL197" s="1299"/>
      <c r="AM197" s="1299"/>
      <c r="AN197" s="1299"/>
      <c r="AO197" s="1299"/>
      <c r="AP197" s="1299"/>
      <c r="AQ197" s="1299"/>
      <c r="AR197" s="1299"/>
      <c r="AS197" s="1299"/>
      <c r="AT197" s="1299"/>
      <c r="AU197" s="1299"/>
      <c r="AV197" s="1299"/>
      <c r="AW197" s="1299"/>
      <c r="AX197" s="1299"/>
      <c r="AY197" s="1299"/>
      <c r="AZ197" s="1299"/>
      <c r="BA197" s="1299"/>
    </row>
    <row s="1834" customFormat="1" customHeight="1" ht="23.25">
      <c r="A198" s="1299"/>
      <c r="B198" s="1299">
        <f>NOT(FIRST_TIME_REG="")</f>
        <v>1</v>
      </c>
      <c r="C198" s="1299"/>
      <c r="D198" s="1299"/>
      <c r="E198" s="1665">
        <v>16.5</v>
      </c>
      <c r="F198" s="1299" cm="1" t="str">
        <f t="array" ref="F198:F198">F197</f>
        <v>1</v>
      </c>
      <c r="G198" s="1299"/>
      <c r="H198" s="1299"/>
      <c r="I198" s="1299"/>
      <c r="J198" s="1299"/>
      <c r="K198" s="1299"/>
      <c r="L198" s="1299"/>
      <c r="M198" s="1299"/>
      <c r="N198" s="1299"/>
      <c r="O198" s="1299"/>
      <c r="P198" s="1299"/>
      <c r="Q198" s="1299"/>
      <c r="R198" s="1299"/>
      <c r="S198" s="1299"/>
      <c r="T198" s="1299"/>
      <c r="U198" s="1299"/>
      <c r="V198" s="253"/>
      <c r="W198" s="1360" cm="1" t="str">
        <f t="array" ref="W198:W198">W197</f>
        <v>true</v>
      </c>
      <c r="X198" s="1299"/>
      <c r="Y198" s="1299"/>
      <c r="Z198" s="1524"/>
      <c r="AA198" s="1540"/>
      <c r="AB198" s="1536"/>
      <c r="AC198" s="1537"/>
      <c r="AD198" s="401" t="s">
        <v>269</v>
      </c>
      <c r="AE198" s="754" t="s">
        <v>281</v>
      </c>
      <c r="AF198" s="1525"/>
      <c r="AG198" s="1299"/>
      <c r="AH198" s="1299"/>
      <c r="AI198" s="1299"/>
      <c r="AJ198" s="1299"/>
      <c r="AK198" s="1299"/>
      <c r="AL198" s="1299"/>
      <c r="AM198" s="1299"/>
      <c r="AN198" s="1299"/>
      <c r="AO198" s="1299"/>
      <c r="AP198" s="1299"/>
      <c r="AQ198" s="1299"/>
      <c r="AR198" s="1299"/>
      <c r="AS198" s="1299"/>
      <c r="AT198" s="1299"/>
      <c r="AU198" s="1299"/>
      <c r="AV198" s="1299"/>
      <c r="AW198" s="1299"/>
      <c r="AX198" s="1299"/>
      <c r="AY198" s="1299"/>
      <c r="AZ198" s="1299"/>
      <c r="BA198" s="1299"/>
    </row>
    <row s="1834" customFormat="1" customHeight="1" ht="15.75">
      <c r="A199" s="1299"/>
      <c r="B199" s="1299">
        <f>NOT(FIRST_TIME_REG="")</f>
        <v>1</v>
      </c>
      <c r="C199" s="1299"/>
      <c r="D199" s="1299"/>
      <c r="E199" s="1665">
        <v>16.5</v>
      </c>
      <c r="F199" s="1299" cm="1" t="str">
        <f t="array" ref="F199:F199">F198</f>
        <v>1</v>
      </c>
      <c r="G199" s="1299"/>
      <c r="H199" s="1299"/>
      <c r="I199" s="1299"/>
      <c r="J199" s="1299"/>
      <c r="K199" s="1299"/>
      <c r="L199" s="1299"/>
      <c r="M199" s="1299"/>
      <c r="N199" s="1299"/>
      <c r="O199" s="1299"/>
      <c r="P199" s="1299"/>
      <c r="Q199" s="1299"/>
      <c r="R199" s="1299"/>
      <c r="S199" s="1299"/>
      <c r="T199" s="1299"/>
      <c r="U199" s="1299"/>
      <c r="V199" s="253"/>
      <c r="W199" s="1360" cm="1" t="str">
        <f t="array" ref="W199:W199">W198</f>
        <v>true</v>
      </c>
      <c r="X199" s="1299"/>
      <c r="Y199" s="1299"/>
      <c r="Z199" s="1524"/>
      <c r="AA199" s="1540"/>
      <c r="AB199" s="1536"/>
      <c r="AC199" s="1537"/>
      <c r="AD199" s="1667" t="str">
        <f>IF(AE194="Водоотведение","Вид сточных вод","Вид воды")</f>
        <v>Вид воды</v>
      </c>
      <c r="AE199" s="1856" t="s">
        <v>282</v>
      </c>
      <c r="AF199" s="1525"/>
      <c r="AG199" s="1299"/>
      <c r="AH199" s="1299"/>
      <c r="AI199" s="1299"/>
      <c r="AJ199" s="1299"/>
      <c r="AK199" s="1299"/>
      <c r="AL199" s="1299"/>
      <c r="AM199" s="1299"/>
      <c r="AN199" s="1299"/>
      <c r="AO199" s="1299"/>
      <c r="AP199" s="1299"/>
      <c r="AQ199" s="1299"/>
      <c r="AR199" s="1299"/>
      <c r="AS199" s="1299"/>
      <c r="AT199" s="1299"/>
      <c r="AU199" s="1299"/>
      <c r="AV199" s="1299"/>
      <c r="AW199" s="1299"/>
      <c r="AX199" s="1299"/>
      <c r="AY199" s="1299"/>
      <c r="AZ199" s="1299"/>
      <c r="BA199" s="1299"/>
    </row>
    <row s="1834" customFormat="1" customHeight="1" ht="16.0875">
      <c r="A200" s="1299"/>
      <c r="B200" s="1299">
        <f>NOT(FIRST_TIME_REG="")</f>
        <v>1</v>
      </c>
      <c r="C200" s="1299"/>
      <c r="D200" s="1299"/>
      <c r="E200" s="1665">
        <v>16.5</v>
      </c>
      <c r="F200" s="1299" cm="1" t="str">
        <f t="array" ref="F200:F200">F199</f>
        <v>1</v>
      </c>
      <c r="G200" s="1299"/>
      <c r="H200" s="1299"/>
      <c r="I200" s="1299"/>
      <c r="J200" s="1299"/>
      <c r="K200" s="1299"/>
      <c r="L200" s="1299"/>
      <c r="M200" s="1299"/>
      <c r="N200" s="1299"/>
      <c r="O200" s="1299"/>
      <c r="P200" s="1299"/>
      <c r="Q200" s="1299"/>
      <c r="R200" s="1299"/>
      <c r="S200" s="1299"/>
      <c r="T200" s="1299"/>
      <c r="U200" s="1299"/>
      <c r="V200" s="253"/>
      <c r="W200" s="1360" cm="1" t="str">
        <f t="array" ref="W200:W200">W199</f>
        <v>true</v>
      </c>
      <c r="X200" s="1299"/>
      <c r="Y200" s="1299"/>
      <c r="Z200" s="1524"/>
      <c r="AA200" s="1540"/>
      <c r="AB200" s="1536"/>
      <c r="AC200" s="1537"/>
      <c r="AD200" s="1667" t="s">
        <v>270</v>
      </c>
      <c r="AE200" s="754" t="s">
        <v>283</v>
      </c>
      <c r="AF200" s="1525"/>
      <c r="AG200" s="1299"/>
      <c r="AH200" s="1299"/>
      <c r="AI200" s="1299"/>
      <c r="AJ200" s="1299"/>
      <c r="AK200" s="1299"/>
      <c r="AL200" s="1299"/>
      <c r="AM200" s="1299"/>
      <c r="AN200" s="1299"/>
      <c r="AO200" s="1299"/>
      <c r="AP200" s="1299"/>
      <c r="AQ200" s="1299"/>
      <c r="AR200" s="1299"/>
      <c r="AS200" s="1299"/>
      <c r="AT200" s="1299"/>
      <c r="AU200" s="1299"/>
      <c r="AV200" s="1299"/>
      <c r="AW200" s="1299"/>
      <c r="AX200" s="1299"/>
      <c r="AY200" s="1299"/>
      <c r="AZ200" s="1299"/>
      <c r="BA200" s="1299"/>
    </row>
    <row s="1834" customFormat="1" customHeight="1" ht="15.75">
      <c r="A201" s="1299"/>
      <c r="B201" s="1664">
        <f>AND(org_declaration="Заявление организации",NOT(FIRST_TIME_REG=""))</f>
        <v>1</v>
      </c>
      <c r="C201" s="1299"/>
      <c r="D201" s="1299"/>
      <c r="E201" s="1665">
        <v>16.5</v>
      </c>
      <c r="F201" s="1299" cm="1" t="str">
        <f t="array" ref="F201:F201">F200</f>
        <v>1</v>
      </c>
      <c r="G201" s="1299"/>
      <c r="H201" s="1299"/>
      <c r="I201" s="1299"/>
      <c r="J201" s="1299"/>
      <c r="K201" s="1299"/>
      <c r="L201" s="1299"/>
      <c r="M201" s="1299"/>
      <c r="N201" s="1299"/>
      <c r="O201" s="1299"/>
      <c r="P201" s="1299"/>
      <c r="Q201" s="1299"/>
      <c r="R201" s="1299"/>
      <c r="S201" s="1299"/>
      <c r="T201" s="1299"/>
      <c r="U201" s="1299"/>
      <c r="V201" s="253"/>
      <c r="W201" s="1360" cm="1" t="str">
        <f t="array" ref="W201:W201">W200</f>
        <v>true</v>
      </c>
      <c r="X201" s="1299"/>
      <c r="Y201" s="1299"/>
      <c r="Z201" s="1524"/>
      <c r="AA201" s="1540"/>
      <c r="AB201" s="1536"/>
      <c r="AC201" s="1537"/>
      <c r="AD201" s="401" t="s">
        <v>271</v>
      </c>
      <c r="AE201" s="391" t="s">
        <v>284</v>
      </c>
      <c r="AF201" s="1525"/>
      <c r="AG201" s="1299"/>
      <c r="AH201" s="1299"/>
      <c r="AI201" s="1299"/>
      <c r="AJ201" s="1299"/>
      <c r="AK201" s="1299"/>
      <c r="AL201" s="1299"/>
      <c r="AM201" s="1299"/>
      <c r="AN201" s="1299"/>
      <c r="AO201" s="1299"/>
      <c r="AP201" s="1299"/>
      <c r="AQ201" s="1299"/>
      <c r="AR201" s="1299"/>
      <c r="AS201" s="1299"/>
      <c r="AT201" s="1299"/>
      <c r="AU201" s="1299"/>
      <c r="AV201" s="1299"/>
      <c r="AW201" s="1299"/>
      <c r="AX201" s="1299"/>
      <c r="AY201" s="1299"/>
      <c r="AZ201" s="1299"/>
      <c r="BA201" s="1299"/>
    </row>
    <row s="1834" customFormat="1" customHeight="1" ht="15.75">
      <c r="A202" s="1299"/>
      <c r="B202" s="1664">
        <f>AND(org_declaration="Заявление организации",NOT(FIRST_TIME_REG=""))</f>
        <v>1</v>
      </c>
      <c r="C202" s="1299"/>
      <c r="D202" s="1299"/>
      <c r="E202" s="1665">
        <v>16.5</v>
      </c>
      <c r="F202" s="1299" cm="1" t="str">
        <f t="array" ref="F202:F202">F201</f>
        <v>1</v>
      </c>
      <c r="G202" s="1299"/>
      <c r="H202" s="1299"/>
      <c r="I202" s="1299"/>
      <c r="J202" s="1299"/>
      <c r="K202" s="1299"/>
      <c r="L202" s="1299"/>
      <c r="M202" s="1299"/>
      <c r="N202" s="1299"/>
      <c r="O202" s="1299"/>
      <c r="P202" s="1299"/>
      <c r="Q202" s="1299"/>
      <c r="R202" s="1299"/>
      <c r="S202" s="1299"/>
      <c r="T202" s="1299"/>
      <c r="U202" s="1299"/>
      <c r="V202" s="253"/>
      <c r="W202" s="1360" cm="1" t="str">
        <f t="array" ref="W202:W202">W201</f>
        <v>true</v>
      </c>
      <c r="X202" s="1299"/>
      <c r="Y202" s="1299"/>
      <c r="Z202" s="1524"/>
      <c r="AA202" s="1540"/>
      <c r="AB202" s="1536"/>
      <c r="AC202" s="1537"/>
      <c r="AD202" s="401" t="s">
        <v>272</v>
      </c>
      <c r="AE202" s="1857">
        <v>46217</v>
      </c>
      <c r="AF202" s="1525"/>
      <c r="AG202" s="1299"/>
      <c r="AH202" s="1299"/>
      <c r="AI202" s="1299"/>
      <c r="AJ202" s="1299"/>
      <c r="AK202" s="1299"/>
      <c r="AL202" s="1299"/>
      <c r="AM202" s="1299"/>
      <c r="AN202" s="1299"/>
      <c r="AO202" s="1299"/>
      <c r="AP202" s="1299"/>
      <c r="AQ202" s="1299"/>
      <c r="AR202" s="1299"/>
      <c r="AS202" s="1299"/>
      <c r="AT202" s="1299"/>
      <c r="AU202" s="1299"/>
      <c r="AV202" s="1299"/>
      <c r="AW202" s="1299"/>
      <c r="AX202" s="1299"/>
      <c r="AY202" s="1299"/>
      <c r="AZ202" s="1299"/>
      <c r="BA202" s="1299"/>
    </row>
    <row s="1834" customFormat="1" customHeight="1" ht="15.75">
      <c r="A203" s="1299"/>
      <c r="B203" s="1664">
        <f>NOT(FIRST_TIME_REG="")</f>
        <v>1</v>
      </c>
      <c r="C203" s="1299"/>
      <c r="D203" s="1299"/>
      <c r="E203" s="1665">
        <v>16.5</v>
      </c>
      <c r="F203" s="1299" cm="1" t="str">
        <f t="array" ref="F203:F203">F202</f>
        <v>1</v>
      </c>
      <c r="G203" s="1299"/>
      <c r="H203" s="1299"/>
      <c r="I203" s="1299"/>
      <c r="J203" s="1299"/>
      <c r="K203" s="1299"/>
      <c r="L203" s="1299"/>
      <c r="M203" s="1299"/>
      <c r="N203" s="1299"/>
      <c r="O203" s="1299"/>
      <c r="P203" s="1299"/>
      <c r="Q203" s="1299"/>
      <c r="R203" s="1299"/>
      <c r="S203" s="1299"/>
      <c r="T203" s="1299"/>
      <c r="U203" s="1299"/>
      <c r="V203" s="253"/>
      <c r="W203" s="1360" cm="1" t="str">
        <f t="array" ref="W203:W203">W202</f>
        <v>true</v>
      </c>
      <c r="X203" s="1299"/>
      <c r="Y203" s="1299"/>
      <c r="Z203" s="1524"/>
      <c r="AA203" s="1540"/>
      <c r="AB203" s="1536"/>
      <c r="AC203" s="1537"/>
      <c r="AD203" s="401" t="s">
        <v>273</v>
      </c>
      <c r="AE203" s="1858"/>
      <c r="AF203" s="1525"/>
      <c r="AG203" s="1299"/>
      <c r="AH203" s="1299"/>
      <c r="AI203" s="1299"/>
      <c r="AJ203" s="1299"/>
      <c r="AK203" s="1299"/>
      <c r="AL203" s="1299"/>
      <c r="AM203" s="1299"/>
      <c r="AN203" s="1299"/>
      <c r="AO203" s="1299"/>
      <c r="AP203" s="1299"/>
      <c r="AQ203" s="1299"/>
      <c r="AR203" s="1299"/>
      <c r="AS203" s="1299"/>
      <c r="AT203" s="1299"/>
      <c r="AU203" s="1299"/>
      <c r="AV203" s="1299"/>
      <c r="AW203" s="1299"/>
      <c r="AX203" s="1299"/>
      <c r="AY203" s="1299"/>
      <c r="AZ203" s="1299"/>
      <c r="BA203" s="1299"/>
    </row>
    <row s="1834" customFormat="1" customHeight="1" ht="15.75">
      <c r="A204" s="1299"/>
      <c r="B204" s="1664">
        <f>AND(org_declaration="Заявление организации",NOT(FIRST_TIME_REG=""))</f>
        <v>1</v>
      </c>
      <c r="C204" s="1299"/>
      <c r="D204" s="1299"/>
      <c r="E204" s="1665">
        <v>16.5</v>
      </c>
      <c r="F204" s="1299" cm="1" t="str">
        <f t="array" ref="F204:F204">F203</f>
        <v>1</v>
      </c>
      <c r="G204" s="1299"/>
      <c r="H204" s="1299"/>
      <c r="I204" s="1299"/>
      <c r="J204" s="1299"/>
      <c r="K204" s="1299"/>
      <c r="L204" s="1299"/>
      <c r="M204" s="1299"/>
      <c r="N204" s="1299"/>
      <c r="O204" s="1299"/>
      <c r="P204" s="1299"/>
      <c r="Q204" s="1299"/>
      <c r="R204" s="1299"/>
      <c r="S204" s="1299"/>
      <c r="T204" s="1299"/>
      <c r="U204" s="1299"/>
      <c r="V204" s="253"/>
      <c r="W204" s="1360" cm="1" t="str">
        <f t="array" ref="W204:W204">W203</f>
        <v>true</v>
      </c>
      <c r="X204" s="1299"/>
      <c r="Y204" s="1299"/>
      <c r="Z204" s="1524"/>
      <c r="AA204" s="1540"/>
      <c r="AB204" s="1536"/>
      <c r="AC204" s="1537"/>
      <c r="AD204" s="401" t="s">
        <v>274</v>
      </c>
      <c r="AE204" s="1859" t="str">
        <f>IF(ISBLANK(god),"",DATE(god,1,1))</f>
        <v>46023</v>
      </c>
      <c r="AF204" s="1525"/>
      <c r="AG204" s="1299"/>
      <c r="AH204" s="1299"/>
      <c r="AI204" s="1299"/>
      <c r="AJ204" s="1299"/>
      <c r="AK204" s="1299"/>
      <c r="AL204" s="1299"/>
      <c r="AM204" s="1299"/>
      <c r="AN204" s="1299"/>
      <c r="AO204" s="1299"/>
      <c r="AP204" s="1299"/>
      <c r="AQ204" s="1299"/>
      <c r="AR204" s="1299"/>
      <c r="AS204" s="1299"/>
      <c r="AT204" s="1299"/>
      <c r="AU204" s="1299"/>
      <c r="AV204" s="1299"/>
      <c r="AW204" s="1299"/>
      <c r="AX204" s="1299"/>
      <c r="AY204" s="1299"/>
      <c r="AZ204" s="1299"/>
      <c r="BA204" s="1299"/>
    </row>
    <row s="1834" customFormat="1" customHeight="1" ht="15.75">
      <c r="A205" s="1299"/>
      <c r="B205" s="1664">
        <f>AND(org_declaration="Заявление организации",NOT(FIRST_TIME_REG=""))</f>
        <v>1</v>
      </c>
      <c r="C205" s="1299"/>
      <c r="D205" s="1299"/>
      <c r="E205" s="1665">
        <v>16.5</v>
      </c>
      <c r="F205" s="1299" cm="1" t="str">
        <f t="array" ref="F205:F205">F204</f>
        <v>1</v>
      </c>
      <c r="G205" s="1299"/>
      <c r="H205" s="1299"/>
      <c r="I205" s="1299"/>
      <c r="J205" s="1299"/>
      <c r="K205" s="1299"/>
      <c r="L205" s="1299"/>
      <c r="M205" s="1299"/>
      <c r="N205" s="1299"/>
      <c r="O205" s="1299"/>
      <c r="P205" s="1299"/>
      <c r="Q205" s="1299"/>
      <c r="R205" s="1299"/>
      <c r="S205" s="1299"/>
      <c r="T205" s="1299"/>
      <c r="U205" s="1299"/>
      <c r="V205" s="253"/>
      <c r="W205" s="1360" cm="1" t="str">
        <f t="array" ref="W205:W205">W204</f>
        <v>true</v>
      </c>
      <c r="X205" s="1299"/>
      <c r="Y205" s="1299"/>
      <c r="Z205" s="1524"/>
      <c r="AA205" s="1540"/>
      <c r="AB205" s="1536"/>
      <c r="AC205" s="1537"/>
      <c r="AD205" s="401" t="s">
        <v>275</v>
      </c>
      <c r="AE205" s="1745" t="s">
        <v>104</v>
      </c>
      <c r="AF205" s="1525"/>
      <c r="AG205" s="1299"/>
      <c r="AH205" s="1299"/>
      <c r="AI205" s="1299"/>
      <c r="AJ205" s="1299"/>
      <c r="AK205" s="1299"/>
      <c r="AL205" s="1299"/>
      <c r="AM205" s="1299"/>
      <c r="AN205" s="1299"/>
      <c r="AO205" s="1299"/>
      <c r="AP205" s="1299"/>
      <c r="AQ205" s="1299"/>
      <c r="AR205" s="1299"/>
      <c r="AS205" s="1299"/>
      <c r="AT205" s="1299"/>
      <c r="AU205" s="1299"/>
      <c r="AV205" s="1299"/>
      <c r="AW205" s="1299"/>
      <c r="AX205" s="1299"/>
      <c r="AY205" s="1299"/>
      <c r="AZ205" s="1299"/>
      <c r="BA205" s="1299"/>
    </row>
    <row s="1834" customFormat="1" customHeight="1" ht="21.75">
      <c r="A206" s="1299"/>
      <c r="B206" s="1664">
        <f>AND(org_declaration="Заявление организации",NOT(FIRST_TIME_REG=""))</f>
        <v>1</v>
      </c>
      <c r="C206" s="1299"/>
      <c r="D206" s="1299"/>
      <c r="E206" s="1665">
        <v>22.5</v>
      </c>
      <c r="F206" s="1299" cm="1" t="str">
        <f t="array" ref="F206:F206">F205</f>
        <v>1</v>
      </c>
      <c r="G206" s="1299"/>
      <c r="H206" s="1299"/>
      <c r="I206" s="1299"/>
      <c r="J206" s="1299"/>
      <c r="K206" s="1299"/>
      <c r="L206" s="1299"/>
      <c r="M206" s="1299"/>
      <c r="N206" s="1299"/>
      <c r="O206" s="1299"/>
      <c r="P206" s="1299"/>
      <c r="Q206" s="1299"/>
      <c r="R206" s="1299"/>
      <c r="S206" s="1299"/>
      <c r="T206" s="1299"/>
      <c r="U206" s="1299"/>
      <c r="V206" s="253"/>
      <c r="W206" s="1360">
        <f>AND(W205,AE205&lt;&gt;"Метод экономически обоснованных расходов",AE205&lt;&gt;"Метод сравнения аналогов")</f>
        <v>1</v>
      </c>
      <c r="X206" s="1299"/>
      <c r="Y206" s="1299"/>
      <c r="Z206" s="1524"/>
      <c r="AA206" s="1540"/>
      <c r="AB206" s="1536"/>
      <c r="AC206" s="1537"/>
      <c r="AD206" s="1667" t="str">
        <f>IF(OR(AE205="экономически обоснованных расходов (затрат)",AE205="сравнения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6" s="1745" cm="1" t="str">
        <f t="array" ref="AE206:AE206">first_year</f>
        <v>2026</v>
      </c>
      <c r="AF206" s="1525"/>
      <c r="AG206" s="1299"/>
      <c r="AH206" s="1299"/>
      <c r="AI206" s="1299"/>
      <c r="AJ206" s="1299"/>
      <c r="AK206" s="1299"/>
      <c r="AL206" s="1299"/>
      <c r="AM206" s="1299"/>
      <c r="AN206" s="1299"/>
      <c r="AO206" s="1299"/>
      <c r="AP206" s="1299"/>
      <c r="AQ206" s="1299"/>
      <c r="AR206" s="1299"/>
      <c r="AS206" s="1299"/>
      <c r="AT206" s="1299"/>
      <c r="AU206" s="1299"/>
      <c r="AV206" s="1299"/>
      <c r="AW206" s="1299"/>
      <c r="AX206" s="1299"/>
      <c r="AY206" s="1299"/>
      <c r="AZ206" s="1299"/>
      <c r="BA206" s="1299"/>
    </row>
    <row s="1834" customFormat="1" customHeight="1" ht="15.75">
      <c r="A207" s="1299"/>
      <c r="B207" s="1664">
        <f>AND(org_declaration="Заявление организации",NOT(FIRST_TIME_REG=""))</f>
        <v>1</v>
      </c>
      <c r="C207" s="1299"/>
      <c r="D207" s="1299"/>
      <c r="E207" s="1665">
        <v>16.5</v>
      </c>
      <c r="F207" s="1299" cm="1" t="str">
        <f t="array" ref="F207:F207">F206</f>
        <v>1</v>
      </c>
      <c r="G207" s="1299"/>
      <c r="H207" s="1299"/>
      <c r="I207" s="1299"/>
      <c r="J207" s="1299"/>
      <c r="K207" s="1299"/>
      <c r="L207" s="1299"/>
      <c r="M207" s="1299"/>
      <c r="N207" s="1299"/>
      <c r="O207" s="1299"/>
      <c r="P207" s="1299"/>
      <c r="Q207" s="1299"/>
      <c r="R207" s="1299"/>
      <c r="S207" s="1299"/>
      <c r="T207" s="1299"/>
      <c r="U207" s="1299"/>
      <c r="V207" s="253"/>
      <c r="W207" s="1360">
        <f>AND(W206,AE205&lt;&gt;"Метод экономически обоснованных расходов",AE205&lt;&gt;"Метод сравнения аналогов")</f>
        <v>1</v>
      </c>
      <c r="X207" s="1299"/>
      <c r="Y207" s="1299"/>
      <c r="Z207" s="1524"/>
      <c r="AA207" s="1540"/>
      <c r="AB207" s="1536"/>
      <c r="AC207" s="1537"/>
      <c r="AD207" s="401" t="s">
        <v>107</v>
      </c>
      <c r="AE207" s="1745" cm="1" t="str">
        <f t="array" ref="AE207:AE207">PERIOD_LENGTH</f>
        <v>5</v>
      </c>
      <c r="AF207" s="1525"/>
      <c r="AG207" s="1299"/>
      <c r="AH207" s="1299"/>
      <c r="AI207" s="1299"/>
      <c r="AJ207" s="1299"/>
      <c r="AK207" s="1299"/>
      <c r="AL207" s="1299"/>
      <c r="AM207" s="1299"/>
      <c r="AN207" s="1299"/>
      <c r="AO207" s="1299"/>
      <c r="AP207" s="1299"/>
      <c r="AQ207" s="1299"/>
      <c r="AR207" s="1299"/>
      <c r="AS207" s="1299"/>
      <c r="AT207" s="1299"/>
      <c r="AU207" s="1299"/>
      <c r="AV207" s="1299"/>
      <c r="AW207" s="1299"/>
      <c r="AX207" s="1299"/>
      <c r="AY207" s="1299"/>
      <c r="AZ207" s="1299"/>
      <c r="BA207" s="1299"/>
    </row>
    <row s="1834" customFormat="1" customHeight="1" ht="18">
      <c r="A208" s="1299"/>
      <c r="B208" s="1299">
        <f>NOT(FIRST_TIME_REG="")</f>
        <v>1</v>
      </c>
      <c r="C208" s="1299"/>
      <c r="D208" s="1299"/>
      <c r="E208" s="1665">
        <v>18.75</v>
      </c>
      <c r="F208" s="1299" cm="1" t="str">
        <f t="array" ref="F208:F208">Z208</f>
        <v>2</v>
      </c>
      <c r="G208" s="1299"/>
      <c r="H208" s="1299"/>
      <c r="I208" s="1299"/>
      <c r="J208" s="1299"/>
      <c r="K208" s="1299"/>
      <c r="L208" s="1299"/>
      <c r="M208" s="1299"/>
      <c r="N208" s="1299"/>
      <c r="O208" s="1299"/>
      <c r="P208" s="1299"/>
      <c r="Q208" s="1299"/>
      <c r="R208" s="1299"/>
      <c r="S208" s="1299"/>
      <c r="T208" s="1299"/>
      <c r="U208" s="1299"/>
      <c r="V208" s="253" cm="1" t="str">
        <f t="array" ref="V208:V208">AE209</f>
        <v>ХВС.42.33000834.0002</v>
      </c>
      <c r="W208" s="1360">
        <f>Z208&gt;0</f>
        <v>1</v>
      </c>
      <c r="X208" s="1299"/>
      <c r="Y208" s="1299"/>
      <c r="Z208" s="1524" t="s">
        <v>285</v>
      </c>
      <c r="AA208" s="1540"/>
      <c r="AB208" s="1536"/>
      <c r="AC208" s="1537"/>
      <c r="AD208" s="399" t="str">
        <f>"Тариф "&amp;Z208</f>
        <v>Тариф 2</v>
      </c>
      <c r="AE208" s="400" t="s">
        <v>277</v>
      </c>
      <c r="AF208" s="1525" t="s">
        <v>175</v>
      </c>
      <c r="AG208" s="1299" t="str">
        <f>AD208&amp;" ("&amp;AE208&amp;") - "&amp;AE210&amp;IF(AE214="",""," ("&amp;AE214&amp;")")</f>
        <v>Тариф 2 (Водоснабжение) - тариф на питьевую воду (Доп. признак не требуется)</v>
      </c>
      <c r="AH208" s="1299" cm="1" t="str">
        <f t="array" ref="AH208:AH208">AE213</f>
        <v>питьевая вода</v>
      </c>
      <c r="AI208" s="253" cm="1" t="str">
        <f t="array" ref="AI208:AI208">AE210</f>
        <v>тариф на питьевую воду</v>
      </c>
      <c r="AJ208" s="1299" cm="1" t="str">
        <f t="array" ref="AJ208:AJ208">AE214</f>
        <v>Доп. признак не требуется</v>
      </c>
      <c r="AK208" s="1299" cm="1" t="str">
        <f t="array" ref="AK208:AK208">AE211</f>
        <v>одноставочный</v>
      </c>
      <c r="AL208" s="909" cm="1" t="str">
        <f t="array" ref="AL208:AL208">AE218</f>
        <v>46023</v>
      </c>
      <c r="AM208" s="1233" cm="1" t="str">
        <f t="array" ref="AM208:AM208">AE219</f>
        <v>Метод индексации</v>
      </c>
      <c r="AN208" s="1299">
        <f>IF(ISERR(SEARCH("трансп",AI208)),FALSE,TRUE)</f>
        <v>0</v>
      </c>
      <c r="AO208" s="1299"/>
      <c r="AP208" s="1299"/>
      <c r="AQ208" s="1299"/>
      <c r="AR208" s="1299"/>
      <c r="AS208" s="1299"/>
      <c r="AT208" s="1299"/>
      <c r="AU208" s="1299"/>
      <c r="AV208" s="1299"/>
      <c r="AW208" s="1299"/>
      <c r="AX208" s="1299"/>
      <c r="AY208" s="1299"/>
      <c r="AZ208" s="1299"/>
      <c r="BA208" s="1299"/>
    </row>
    <row s="1834" customFormat="1" customHeight="1" ht="15.75">
      <c r="A209" s="1299"/>
      <c r="B209" s="1299">
        <f>NOT(FIRST_TIME_REG="")</f>
        <v>1</v>
      </c>
      <c r="C209" s="1299"/>
      <c r="D209" s="1299"/>
      <c r="E209" s="1665">
        <v>16.5</v>
      </c>
      <c r="F209" s="1299" cm="1" t="str">
        <f t="array" ref="F209:F209">F208</f>
        <v>2</v>
      </c>
      <c r="G209" s="1299"/>
      <c r="H209" s="1299"/>
      <c r="I209" s="1299"/>
      <c r="J209" s="1299"/>
      <c r="K209" s="1299"/>
      <c r="L209" s="1299"/>
      <c r="M209" s="1299"/>
      <c r="N209" s="1299"/>
      <c r="O209" s="1299"/>
      <c r="P209" s="1299"/>
      <c r="Q209" s="1299"/>
      <c r="R209" s="1299"/>
      <c r="S209" s="1299"/>
      <c r="T209" s="1299"/>
      <c r="U209" s="1299"/>
      <c r="V209" s="253"/>
      <c r="W209" s="1360" cm="1" t="str">
        <f t="array" ref="W209:W209">W208</f>
        <v>true</v>
      </c>
      <c r="X209" s="1299"/>
      <c r="Y209" s="1299"/>
      <c r="Z209" s="1524"/>
      <c r="AA209" s="1540"/>
      <c r="AB209" s="1536"/>
      <c r="AC209" s="1537"/>
      <c r="AD209" s="401" t="s">
        <v>266</v>
      </c>
      <c r="AE209" s="393" t="s">
        <v>286</v>
      </c>
      <c r="AF209" s="1525"/>
      <c r="AG209" s="1299"/>
      <c r="AH209" s="1299"/>
      <c r="AI209" s="1299"/>
      <c r="AJ209" s="1299"/>
      <c r="AK209" s="1299"/>
      <c r="AL209" s="1299"/>
      <c r="AM209" s="1299"/>
      <c r="AN209" s="1299"/>
      <c r="AO209" s="1299"/>
      <c r="AP209" s="1299"/>
      <c r="AQ209" s="1299"/>
      <c r="AR209" s="1299"/>
      <c r="AS209" s="1299"/>
      <c r="AT209" s="1299"/>
      <c r="AU209" s="1299"/>
      <c r="AV209" s="1299"/>
      <c r="AW209" s="1299"/>
      <c r="AX209" s="1299"/>
      <c r="AY209" s="1299"/>
      <c r="AZ209" s="1299"/>
      <c r="BA209" s="1299"/>
    </row>
    <row s="1834" customFormat="1" customHeight="1" ht="15.75">
      <c r="A210" s="1299"/>
      <c r="B210" s="1299">
        <f>NOT(FIRST_TIME_REG="")</f>
        <v>1</v>
      </c>
      <c r="C210" s="1299"/>
      <c r="D210" s="1299"/>
      <c r="E210" s="1665">
        <v>16.5</v>
      </c>
      <c r="F210" s="1299" cm="1" t="str">
        <f t="array" ref="F210:F210">F209</f>
        <v>2</v>
      </c>
      <c r="G210" s="1299"/>
      <c r="H210" s="1299"/>
      <c r="I210" s="1299"/>
      <c r="J210" s="1299"/>
      <c r="K210" s="1299"/>
      <c r="L210" s="1299"/>
      <c r="M210" s="1299"/>
      <c r="N210" s="1299"/>
      <c r="O210" s="1299"/>
      <c r="P210" s="1299"/>
      <c r="Q210" s="1299"/>
      <c r="R210" s="1299"/>
      <c r="S210" s="1299"/>
      <c r="T210" s="1299"/>
      <c r="U210" s="1299"/>
      <c r="V210" s="253"/>
      <c r="W210" s="1360" cm="1" t="str">
        <f t="array" ref="W210:W210">W209</f>
        <v>true</v>
      </c>
      <c r="X210" s="1299"/>
      <c r="Y210" s="1299"/>
      <c r="Z210" s="1524"/>
      <c r="AA210" s="1540"/>
      <c r="AB210" s="1536"/>
      <c r="AC210" s="1537"/>
      <c r="AD210" s="401" t="s">
        <v>267</v>
      </c>
      <c r="AE210" s="1856" t="s">
        <v>279</v>
      </c>
      <c r="AF210" s="1525"/>
      <c r="AG210" s="1299"/>
      <c r="AH210" s="1299"/>
      <c r="AI210" s="1299"/>
      <c r="AJ210" s="1299"/>
      <c r="AK210" s="1299"/>
      <c r="AL210" s="1299"/>
      <c r="AM210" s="1299"/>
      <c r="AN210" s="1299"/>
      <c r="AO210" s="1299"/>
      <c r="AP210" s="1299"/>
      <c r="AQ210" s="1299"/>
      <c r="AR210" s="1299"/>
      <c r="AS210" s="1299"/>
      <c r="AT210" s="1299"/>
      <c r="AU210" s="1299"/>
      <c r="AV210" s="1299"/>
      <c r="AW210" s="1299"/>
      <c r="AX210" s="1299"/>
      <c r="AY210" s="1299"/>
      <c r="AZ210" s="1299"/>
      <c r="BA210" s="1299"/>
    </row>
    <row s="1834" customFormat="1" customHeight="1" ht="15.75">
      <c r="A211" s="1299"/>
      <c r="B211" s="1299">
        <f>NOT(FIRST_TIME_REG="")</f>
        <v>1</v>
      </c>
      <c r="C211" s="1299"/>
      <c r="D211" s="1299"/>
      <c r="E211" s="1665">
        <v>16.5</v>
      </c>
      <c r="F211" s="1299" cm="1" t="str">
        <f t="array" ref="F211:F211">F210</f>
        <v>2</v>
      </c>
      <c r="G211" s="1299"/>
      <c r="H211" s="1299"/>
      <c r="I211" s="1299"/>
      <c r="J211" s="1299"/>
      <c r="K211" s="1299"/>
      <c r="L211" s="1299"/>
      <c r="M211" s="1299"/>
      <c r="N211" s="1299"/>
      <c r="O211" s="1299"/>
      <c r="P211" s="1299"/>
      <c r="Q211" s="1299"/>
      <c r="R211" s="1299"/>
      <c r="S211" s="1299"/>
      <c r="T211" s="1299"/>
      <c r="U211" s="1299"/>
      <c r="V211" s="253"/>
      <c r="W211" s="1360" cm="1" t="str">
        <f t="array" ref="W211:W211">W210</f>
        <v>true</v>
      </c>
      <c r="X211" s="1299"/>
      <c r="Y211" s="1299"/>
      <c r="Z211" s="1524"/>
      <c r="AA211" s="1540"/>
      <c r="AB211" s="1536"/>
      <c r="AC211" s="1537"/>
      <c r="AD211" s="401" t="s">
        <v>268</v>
      </c>
      <c r="AE211" s="1856" t="s">
        <v>280</v>
      </c>
      <c r="AF211" s="1525"/>
      <c r="AG211" s="1299"/>
      <c r="AH211" s="1299"/>
      <c r="AI211" s="1299"/>
      <c r="AJ211" s="1299"/>
      <c r="AK211" s="1299"/>
      <c r="AL211" s="1299"/>
      <c r="AM211" s="1299"/>
      <c r="AN211" s="1299"/>
      <c r="AO211" s="1299"/>
      <c r="AP211" s="1299"/>
      <c r="AQ211" s="1299"/>
      <c r="AR211" s="1299"/>
      <c r="AS211" s="1299"/>
      <c r="AT211" s="1299"/>
      <c r="AU211" s="1299"/>
      <c r="AV211" s="1299"/>
      <c r="AW211" s="1299"/>
      <c r="AX211" s="1299"/>
      <c r="AY211" s="1299"/>
      <c r="AZ211" s="1299"/>
      <c r="BA211" s="1299"/>
    </row>
    <row s="1834" customFormat="1" customHeight="1" ht="16.0875">
      <c r="A212" s="1299"/>
      <c r="B212" s="1299">
        <f>NOT(FIRST_TIME_REG="")</f>
        <v>1</v>
      </c>
      <c r="C212" s="1299"/>
      <c r="D212" s="1299"/>
      <c r="E212" s="1665">
        <v>16.5</v>
      </c>
      <c r="F212" s="1299" cm="1" t="str">
        <f t="array" ref="F212:F212">F211</f>
        <v>2</v>
      </c>
      <c r="G212" s="1299"/>
      <c r="H212" s="1299"/>
      <c r="I212" s="1299"/>
      <c r="J212" s="1299"/>
      <c r="K212" s="1299"/>
      <c r="L212" s="1299"/>
      <c r="M212" s="1299"/>
      <c r="N212" s="1299"/>
      <c r="O212" s="1299"/>
      <c r="P212" s="1299"/>
      <c r="Q212" s="1299"/>
      <c r="R212" s="1299"/>
      <c r="S212" s="1299"/>
      <c r="T212" s="1299"/>
      <c r="U212" s="1299"/>
      <c r="V212" s="253"/>
      <c r="W212" s="1360" cm="1" t="str">
        <f t="array" ref="W212:W212">W211</f>
        <v>true</v>
      </c>
      <c r="X212" s="1299"/>
      <c r="Y212" s="1299"/>
      <c r="Z212" s="1524"/>
      <c r="AA212" s="1540"/>
      <c r="AB212" s="1536"/>
      <c r="AC212" s="1537"/>
      <c r="AD212" s="401" t="s">
        <v>269</v>
      </c>
      <c r="AE212" s="754" t="s">
        <v>287</v>
      </c>
      <c r="AF212" s="1525"/>
      <c r="AG212" s="1299"/>
      <c r="AH212" s="1299"/>
      <c r="AI212" s="1299"/>
      <c r="AJ212" s="1299"/>
      <c r="AK212" s="1299"/>
      <c r="AL212" s="1299"/>
      <c r="AM212" s="1299"/>
      <c r="AN212" s="1299"/>
      <c r="AO212" s="1299"/>
      <c r="AP212" s="1299"/>
      <c r="AQ212" s="1299"/>
      <c r="AR212" s="1299"/>
      <c r="AS212" s="1299"/>
      <c r="AT212" s="1299"/>
      <c r="AU212" s="1299"/>
      <c r="AV212" s="1299"/>
      <c r="AW212" s="1299"/>
      <c r="AX212" s="1299"/>
      <c r="AY212" s="1299"/>
      <c r="AZ212" s="1299"/>
      <c r="BA212" s="1299"/>
    </row>
    <row s="1834" customFormat="1" customHeight="1" ht="15.75">
      <c r="A213" s="1299"/>
      <c r="B213" s="1299">
        <f>NOT(FIRST_TIME_REG="")</f>
        <v>1</v>
      </c>
      <c r="C213" s="1299"/>
      <c r="D213" s="1299"/>
      <c r="E213" s="1665">
        <v>16.5</v>
      </c>
      <c r="F213" s="1299" cm="1" t="str">
        <f t="array" ref="F213:F213">F212</f>
        <v>2</v>
      </c>
      <c r="G213" s="1299"/>
      <c r="H213" s="1299"/>
      <c r="I213" s="1299"/>
      <c r="J213" s="1299"/>
      <c r="K213" s="1299"/>
      <c r="L213" s="1299"/>
      <c r="M213" s="1299"/>
      <c r="N213" s="1299"/>
      <c r="O213" s="1299"/>
      <c r="P213" s="1299"/>
      <c r="Q213" s="1299"/>
      <c r="R213" s="1299"/>
      <c r="S213" s="1299"/>
      <c r="T213" s="1299"/>
      <c r="U213" s="1299"/>
      <c r="V213" s="253"/>
      <c r="W213" s="1360" cm="1" t="str">
        <f t="array" ref="W213:W213">W212</f>
        <v>true</v>
      </c>
      <c r="X213" s="1299"/>
      <c r="Y213" s="1299"/>
      <c r="Z213" s="1524"/>
      <c r="AA213" s="1540"/>
      <c r="AB213" s="1536"/>
      <c r="AC213" s="1537"/>
      <c r="AD213" s="1667" t="str">
        <f>IF(AE208="Водоотведение","Вид сточных вод","Вид воды")</f>
        <v>Вид воды</v>
      </c>
      <c r="AE213" s="1856" t="s">
        <v>282</v>
      </c>
      <c r="AF213" s="1525"/>
      <c r="AG213" s="1299"/>
      <c r="AH213" s="1299"/>
      <c r="AI213" s="1299"/>
      <c r="AJ213" s="1299"/>
      <c r="AK213" s="1299"/>
      <c r="AL213" s="1299"/>
      <c r="AM213" s="1299"/>
      <c r="AN213" s="1299"/>
      <c r="AO213" s="1299"/>
      <c r="AP213" s="1299"/>
      <c r="AQ213" s="1299"/>
      <c r="AR213" s="1299"/>
      <c r="AS213" s="1299"/>
      <c r="AT213" s="1299"/>
      <c r="AU213" s="1299"/>
      <c r="AV213" s="1299"/>
      <c r="AW213" s="1299"/>
      <c r="AX213" s="1299"/>
      <c r="AY213" s="1299"/>
      <c r="AZ213" s="1299"/>
      <c r="BA213" s="1299"/>
    </row>
    <row s="1834" customFormat="1" customHeight="1" ht="16.0875">
      <c r="A214" s="1299"/>
      <c r="B214" s="1299">
        <f>NOT(FIRST_TIME_REG="")</f>
        <v>1</v>
      </c>
      <c r="C214" s="1299"/>
      <c r="D214" s="1299"/>
      <c r="E214" s="1665">
        <v>16.5</v>
      </c>
      <c r="F214" s="1299" cm="1" t="str">
        <f t="array" ref="F214:F214">F213</f>
        <v>2</v>
      </c>
      <c r="G214" s="1299"/>
      <c r="H214" s="1299"/>
      <c r="I214" s="1299"/>
      <c r="J214" s="1299"/>
      <c r="K214" s="1299"/>
      <c r="L214" s="1299"/>
      <c r="M214" s="1299"/>
      <c r="N214" s="1299"/>
      <c r="O214" s="1299"/>
      <c r="P214" s="1299"/>
      <c r="Q214" s="1299"/>
      <c r="R214" s="1299"/>
      <c r="S214" s="1299"/>
      <c r="T214" s="1299"/>
      <c r="U214" s="1299"/>
      <c r="V214" s="253"/>
      <c r="W214" s="1360" cm="1" t="str">
        <f t="array" ref="W214:W214">W213</f>
        <v>true</v>
      </c>
      <c r="X214" s="1299"/>
      <c r="Y214" s="1299"/>
      <c r="Z214" s="1524"/>
      <c r="AA214" s="1540"/>
      <c r="AB214" s="1536"/>
      <c r="AC214" s="1537"/>
      <c r="AD214" s="1667" t="s">
        <v>270</v>
      </c>
      <c r="AE214" s="754" t="s">
        <v>283</v>
      </c>
      <c r="AF214" s="1525"/>
      <c r="AG214" s="1299"/>
      <c r="AH214" s="1299"/>
      <c r="AI214" s="1299"/>
      <c r="AJ214" s="1299"/>
      <c r="AK214" s="1299"/>
      <c r="AL214" s="1299"/>
      <c r="AM214" s="1299"/>
      <c r="AN214" s="1299"/>
      <c r="AO214" s="1299"/>
      <c r="AP214" s="1299"/>
      <c r="AQ214" s="1299"/>
      <c r="AR214" s="1299"/>
      <c r="AS214" s="1299"/>
      <c r="AT214" s="1299"/>
      <c r="AU214" s="1299"/>
      <c r="AV214" s="1299"/>
      <c r="AW214" s="1299"/>
      <c r="AX214" s="1299"/>
      <c r="AY214" s="1299"/>
      <c r="AZ214" s="1299"/>
      <c r="BA214" s="1299"/>
    </row>
    <row s="1834" customFormat="1" customHeight="1" ht="15.75">
      <c r="A215" s="1299"/>
      <c r="B215" s="1664">
        <f>AND(org_declaration="Заявление организации",NOT(FIRST_TIME_REG=""))</f>
        <v>1</v>
      </c>
      <c r="C215" s="1299"/>
      <c r="D215" s="1299"/>
      <c r="E215" s="1665">
        <v>16.5</v>
      </c>
      <c r="F215" s="1299" cm="1" t="str">
        <f t="array" ref="F215:F215">F214</f>
        <v>2</v>
      </c>
      <c r="G215" s="1299"/>
      <c r="H215" s="1299"/>
      <c r="I215" s="1299"/>
      <c r="J215" s="1299"/>
      <c r="K215" s="1299"/>
      <c r="L215" s="1299"/>
      <c r="M215" s="1299"/>
      <c r="N215" s="1299"/>
      <c r="O215" s="1299"/>
      <c r="P215" s="1299"/>
      <c r="Q215" s="1299"/>
      <c r="R215" s="1299"/>
      <c r="S215" s="1299"/>
      <c r="T215" s="1299"/>
      <c r="U215" s="1299"/>
      <c r="V215" s="253"/>
      <c r="W215" s="1360" cm="1" t="str">
        <f t="array" ref="W215:W215">W214</f>
        <v>true</v>
      </c>
      <c r="X215" s="1299"/>
      <c r="Y215" s="1299"/>
      <c r="Z215" s="1524"/>
      <c r="AA215" s="1540"/>
      <c r="AB215" s="1536"/>
      <c r="AC215" s="1537"/>
      <c r="AD215" s="401" t="s">
        <v>271</v>
      </c>
      <c r="AE215" s="391" t="s">
        <v>288</v>
      </c>
      <c r="AF215" s="1525"/>
      <c r="AG215" s="1299"/>
      <c r="AH215" s="1299"/>
      <c r="AI215" s="1299"/>
      <c r="AJ215" s="1299"/>
      <c r="AK215" s="1299"/>
      <c r="AL215" s="1299"/>
      <c r="AM215" s="1299"/>
      <c r="AN215" s="1299"/>
      <c r="AO215" s="1299"/>
      <c r="AP215" s="1299"/>
      <c r="AQ215" s="1299"/>
      <c r="AR215" s="1299"/>
      <c r="AS215" s="1299"/>
      <c r="AT215" s="1299"/>
      <c r="AU215" s="1299"/>
      <c r="AV215" s="1299"/>
      <c r="AW215" s="1299"/>
      <c r="AX215" s="1299"/>
      <c r="AY215" s="1299"/>
      <c r="AZ215" s="1299"/>
      <c r="BA215" s="1299"/>
    </row>
    <row s="1834" customFormat="1" customHeight="1" ht="15.75">
      <c r="A216" s="1299"/>
      <c r="B216" s="1664">
        <f>AND(org_declaration="Заявление организации",NOT(FIRST_TIME_REG=""))</f>
        <v>1</v>
      </c>
      <c r="C216" s="1299"/>
      <c r="D216" s="1299"/>
      <c r="E216" s="1665">
        <v>16.5</v>
      </c>
      <c r="F216" s="1299" cm="1" t="str">
        <f t="array" ref="F216:F216">F215</f>
        <v>2</v>
      </c>
      <c r="G216" s="1299"/>
      <c r="H216" s="1299"/>
      <c r="I216" s="1299"/>
      <c r="J216" s="1299"/>
      <c r="K216" s="1299"/>
      <c r="L216" s="1299"/>
      <c r="M216" s="1299"/>
      <c r="N216" s="1299"/>
      <c r="O216" s="1299"/>
      <c r="P216" s="1299"/>
      <c r="Q216" s="1299"/>
      <c r="R216" s="1299"/>
      <c r="S216" s="1299"/>
      <c r="T216" s="1299"/>
      <c r="U216" s="1299"/>
      <c r="V216" s="253"/>
      <c r="W216" s="1360" cm="1" t="str">
        <f t="array" ref="W216:W216">W215</f>
        <v>true</v>
      </c>
      <c r="X216" s="1299"/>
      <c r="Y216" s="1299"/>
      <c r="Z216" s="1524"/>
      <c r="AA216" s="1540"/>
      <c r="AB216" s="1536"/>
      <c r="AC216" s="1537"/>
      <c r="AD216" s="401" t="s">
        <v>272</v>
      </c>
      <c r="AE216" s="1857">
        <v>46126</v>
      </c>
      <c r="AF216" s="1525"/>
      <c r="AG216" s="1299"/>
      <c r="AH216" s="1299"/>
      <c r="AI216" s="1299"/>
      <c r="AJ216" s="1299"/>
      <c r="AK216" s="1299"/>
      <c r="AL216" s="1299"/>
      <c r="AM216" s="1299"/>
      <c r="AN216" s="1299"/>
      <c r="AO216" s="1299"/>
      <c r="AP216" s="1299"/>
      <c r="AQ216" s="1299"/>
      <c r="AR216" s="1299"/>
      <c r="AS216" s="1299"/>
      <c r="AT216" s="1299"/>
      <c r="AU216" s="1299"/>
      <c r="AV216" s="1299"/>
      <c r="AW216" s="1299"/>
      <c r="AX216" s="1299"/>
      <c r="AY216" s="1299"/>
      <c r="AZ216" s="1299"/>
      <c r="BA216" s="1299"/>
    </row>
    <row s="1834" customFormat="1" customHeight="1" ht="15.75">
      <c r="A217" s="1299"/>
      <c r="B217" s="1664">
        <f>NOT(FIRST_TIME_REG="")</f>
        <v>1</v>
      </c>
      <c r="C217" s="1299"/>
      <c r="D217" s="1299"/>
      <c r="E217" s="1665">
        <v>16.5</v>
      </c>
      <c r="F217" s="1299" cm="1" t="str">
        <f t="array" ref="F217:F217">F216</f>
        <v>2</v>
      </c>
      <c r="G217" s="1299"/>
      <c r="H217" s="1299"/>
      <c r="I217" s="1299"/>
      <c r="J217" s="1299"/>
      <c r="K217" s="1299"/>
      <c r="L217" s="1299"/>
      <c r="M217" s="1299"/>
      <c r="N217" s="1299"/>
      <c r="O217" s="1299"/>
      <c r="P217" s="1299"/>
      <c r="Q217" s="1299"/>
      <c r="R217" s="1299"/>
      <c r="S217" s="1299"/>
      <c r="T217" s="1299"/>
      <c r="U217" s="1299"/>
      <c r="V217" s="253"/>
      <c r="W217" s="1360" cm="1" t="str">
        <f t="array" ref="W217:W217">W216</f>
        <v>true</v>
      </c>
      <c r="X217" s="1299"/>
      <c r="Y217" s="1299"/>
      <c r="Z217" s="1524"/>
      <c r="AA217" s="1540"/>
      <c r="AB217" s="1536"/>
      <c r="AC217" s="1537"/>
      <c r="AD217" s="401" t="s">
        <v>273</v>
      </c>
      <c r="AE217" s="1858"/>
      <c r="AF217" s="1525"/>
      <c r="AG217" s="1299"/>
      <c r="AH217" s="1299"/>
      <c r="AI217" s="1299"/>
      <c r="AJ217" s="1299"/>
      <c r="AK217" s="1299"/>
      <c r="AL217" s="1299"/>
      <c r="AM217" s="1299"/>
      <c r="AN217" s="1299"/>
      <c r="AO217" s="1299"/>
      <c r="AP217" s="1299"/>
      <c r="AQ217" s="1299"/>
      <c r="AR217" s="1299"/>
      <c r="AS217" s="1299"/>
      <c r="AT217" s="1299"/>
      <c r="AU217" s="1299"/>
      <c r="AV217" s="1299"/>
      <c r="AW217" s="1299"/>
      <c r="AX217" s="1299"/>
      <c r="AY217" s="1299"/>
      <c r="AZ217" s="1299"/>
      <c r="BA217" s="1299"/>
    </row>
    <row s="1834" customFormat="1" customHeight="1" ht="15.75">
      <c r="A218" s="1299"/>
      <c r="B218" s="1664">
        <f>AND(org_declaration="Заявление организации",NOT(FIRST_TIME_REG=""))</f>
        <v>1</v>
      </c>
      <c r="C218" s="1299"/>
      <c r="D218" s="1299"/>
      <c r="E218" s="1665">
        <v>16.5</v>
      </c>
      <c r="F218" s="1299" cm="1" t="str">
        <f t="array" ref="F218:F218">F217</f>
        <v>2</v>
      </c>
      <c r="G218" s="1299"/>
      <c r="H218" s="1299"/>
      <c r="I218" s="1299"/>
      <c r="J218" s="1299"/>
      <c r="K218" s="1299"/>
      <c r="L218" s="1299"/>
      <c r="M218" s="1299"/>
      <c r="N218" s="1299"/>
      <c r="O218" s="1299"/>
      <c r="P218" s="1299"/>
      <c r="Q218" s="1299"/>
      <c r="R218" s="1299"/>
      <c r="S218" s="1299"/>
      <c r="T218" s="1299"/>
      <c r="U218" s="1299"/>
      <c r="V218" s="253"/>
      <c r="W218" s="1360" cm="1" t="str">
        <f t="array" ref="W218:W218">W217</f>
        <v>true</v>
      </c>
      <c r="X218" s="1299"/>
      <c r="Y218" s="1299"/>
      <c r="Z218" s="1524"/>
      <c r="AA218" s="1540"/>
      <c r="AB218" s="1536"/>
      <c r="AC218" s="1537"/>
      <c r="AD218" s="401" t="s">
        <v>274</v>
      </c>
      <c r="AE218" s="1859" t="str">
        <f>IF(ISBLANK(god),"",DATE(god,1,1))</f>
        <v>46023</v>
      </c>
      <c r="AF218" s="1525"/>
      <c r="AG218" s="1299"/>
      <c r="AH218" s="1299"/>
      <c r="AI218" s="1299"/>
      <c r="AJ218" s="1299"/>
      <c r="AK218" s="1299"/>
      <c r="AL218" s="1299"/>
      <c r="AM218" s="1299"/>
      <c r="AN218" s="1299"/>
      <c r="AO218" s="1299"/>
      <c r="AP218" s="1299"/>
      <c r="AQ218" s="1299"/>
      <c r="AR218" s="1299"/>
      <c r="AS218" s="1299"/>
      <c r="AT218" s="1299"/>
      <c r="AU218" s="1299"/>
      <c r="AV218" s="1299"/>
      <c r="AW218" s="1299"/>
      <c r="AX218" s="1299"/>
      <c r="AY218" s="1299"/>
      <c r="AZ218" s="1299"/>
      <c r="BA218" s="1299"/>
    </row>
    <row s="1834" customFormat="1" customHeight="1" ht="15.75">
      <c r="A219" s="1299"/>
      <c r="B219" s="1664">
        <f>AND(org_declaration="Заявление организации",NOT(FIRST_TIME_REG=""))</f>
        <v>1</v>
      </c>
      <c r="C219" s="1299"/>
      <c r="D219" s="1299"/>
      <c r="E219" s="1665">
        <v>16.5</v>
      </c>
      <c r="F219" s="1299" cm="1" t="str">
        <f t="array" ref="F219:F219">F218</f>
        <v>2</v>
      </c>
      <c r="G219" s="1299"/>
      <c r="H219" s="1299"/>
      <c r="I219" s="1299"/>
      <c r="J219" s="1299"/>
      <c r="K219" s="1299"/>
      <c r="L219" s="1299"/>
      <c r="M219" s="1299"/>
      <c r="N219" s="1299"/>
      <c r="O219" s="1299"/>
      <c r="P219" s="1299"/>
      <c r="Q219" s="1299"/>
      <c r="R219" s="1299"/>
      <c r="S219" s="1299"/>
      <c r="T219" s="1299"/>
      <c r="U219" s="1299"/>
      <c r="V219" s="253"/>
      <c r="W219" s="1360" cm="1" t="str">
        <f t="array" ref="W219:W219">W218</f>
        <v>true</v>
      </c>
      <c r="X219" s="1299"/>
      <c r="Y219" s="1299"/>
      <c r="Z219" s="1524"/>
      <c r="AA219" s="1540"/>
      <c r="AB219" s="1536"/>
      <c r="AC219" s="1537"/>
      <c r="AD219" s="401" t="s">
        <v>275</v>
      </c>
      <c r="AE219" s="1745" t="s">
        <v>104</v>
      </c>
      <c r="AF219" s="1525"/>
      <c r="AG219" s="1299"/>
      <c r="AH219" s="1299"/>
      <c r="AI219" s="1299"/>
      <c r="AJ219" s="1299"/>
      <c r="AK219" s="1299"/>
      <c r="AL219" s="1299"/>
      <c r="AM219" s="1299"/>
      <c r="AN219" s="1299"/>
      <c r="AO219" s="1299"/>
      <c r="AP219" s="1299"/>
      <c r="AQ219" s="1299"/>
      <c r="AR219" s="1299"/>
      <c r="AS219" s="1299"/>
      <c r="AT219" s="1299"/>
      <c r="AU219" s="1299"/>
      <c r="AV219" s="1299"/>
      <c r="AW219" s="1299"/>
      <c r="AX219" s="1299"/>
      <c r="AY219" s="1299"/>
      <c r="AZ219" s="1299"/>
      <c r="BA219" s="1299"/>
    </row>
    <row s="1834" customFormat="1" customHeight="1" ht="21.75">
      <c r="A220" s="1299"/>
      <c r="B220" s="1664">
        <f>AND(org_declaration="Заявление организации",NOT(FIRST_TIME_REG=""))</f>
        <v>1</v>
      </c>
      <c r="C220" s="1299"/>
      <c r="D220" s="1299"/>
      <c r="E220" s="1665">
        <v>22.5</v>
      </c>
      <c r="F220" s="1299" cm="1" t="str">
        <f t="array" ref="F220:F220">F219</f>
        <v>2</v>
      </c>
      <c r="G220" s="1299"/>
      <c r="H220" s="1299"/>
      <c r="I220" s="1299"/>
      <c r="J220" s="1299"/>
      <c r="K220" s="1299"/>
      <c r="L220" s="1299"/>
      <c r="M220" s="1299"/>
      <c r="N220" s="1299"/>
      <c r="O220" s="1299"/>
      <c r="P220" s="1299"/>
      <c r="Q220" s="1299"/>
      <c r="R220" s="1299"/>
      <c r="S220" s="1299"/>
      <c r="T220" s="1299"/>
      <c r="U220" s="1299"/>
      <c r="V220" s="253"/>
      <c r="W220" s="1360">
        <f>AND(W219,AE219&lt;&gt;"Метод экономически обоснованных расходов",AE219&lt;&gt;"Метод сравнения аналогов")</f>
        <v>1</v>
      </c>
      <c r="X220" s="1299"/>
      <c r="Y220" s="1299"/>
      <c r="Z220" s="1524"/>
      <c r="AA220" s="1540"/>
      <c r="AB220" s="1536"/>
      <c r="AC220" s="1537"/>
      <c r="AD220" s="1667" t="str">
        <f>IF(OR(AE219="экономически обоснованных расходов (затрат)",AE219="сравнения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20" s="1745" cm="1" t="str">
        <f t="array" ref="AE220:AE220">first_year</f>
        <v>2026</v>
      </c>
      <c r="AF220" s="1525"/>
      <c r="AG220" s="1299"/>
      <c r="AH220" s="1299"/>
      <c r="AI220" s="1299"/>
      <c r="AJ220" s="1299"/>
      <c r="AK220" s="1299"/>
      <c r="AL220" s="1299"/>
      <c r="AM220" s="1299"/>
      <c r="AN220" s="1299"/>
      <c r="AO220" s="1299"/>
      <c r="AP220" s="1299"/>
      <c r="AQ220" s="1299"/>
      <c r="AR220" s="1299"/>
      <c r="AS220" s="1299"/>
      <c r="AT220" s="1299"/>
      <c r="AU220" s="1299"/>
      <c r="AV220" s="1299"/>
      <c r="AW220" s="1299"/>
      <c r="AX220" s="1299"/>
      <c r="AY220" s="1299"/>
      <c r="AZ220" s="1299"/>
      <c r="BA220" s="1299"/>
    </row>
    <row s="1834" customFormat="1" customHeight="1" ht="15.75">
      <c r="A221" s="1299"/>
      <c r="B221" s="1664">
        <f>AND(org_declaration="Заявление организации",NOT(FIRST_TIME_REG=""))</f>
        <v>1</v>
      </c>
      <c r="C221" s="1299"/>
      <c r="D221" s="1299"/>
      <c r="E221" s="1665">
        <v>16.5</v>
      </c>
      <c r="F221" s="1299" cm="1" t="str">
        <f t="array" ref="F221:F221">F220</f>
        <v>2</v>
      </c>
      <c r="G221" s="1299"/>
      <c r="H221" s="1299"/>
      <c r="I221" s="1299"/>
      <c r="J221" s="1299"/>
      <c r="K221" s="1299"/>
      <c r="L221" s="1299"/>
      <c r="M221" s="1299"/>
      <c r="N221" s="1299"/>
      <c r="O221" s="1299"/>
      <c r="P221" s="1299"/>
      <c r="Q221" s="1299"/>
      <c r="R221" s="1299"/>
      <c r="S221" s="1299"/>
      <c r="T221" s="1299"/>
      <c r="U221" s="1299"/>
      <c r="V221" s="253"/>
      <c r="W221" s="1360">
        <f>AND(W220,AE219&lt;&gt;"Метод экономически обоснованных расходов",AE219&lt;&gt;"Метод сравнения аналогов")</f>
        <v>1</v>
      </c>
      <c r="X221" s="1299"/>
      <c r="Y221" s="1299"/>
      <c r="Z221" s="1524"/>
      <c r="AA221" s="1540"/>
      <c r="AB221" s="1536"/>
      <c r="AC221" s="1537"/>
      <c r="AD221" s="401" t="s">
        <v>107</v>
      </c>
      <c r="AE221" s="1745" cm="1" t="str">
        <f t="array" ref="AE221:AE221">PERIOD_LENGTH</f>
        <v>5</v>
      </c>
      <c r="AF221" s="1525"/>
      <c r="AG221" s="1299"/>
      <c r="AH221" s="1299"/>
      <c r="AI221" s="1299"/>
      <c r="AJ221" s="1299"/>
      <c r="AK221" s="1299"/>
      <c r="AL221" s="1299"/>
      <c r="AM221" s="1299"/>
      <c r="AN221" s="1299"/>
      <c r="AO221" s="1299"/>
      <c r="AP221" s="1299"/>
      <c r="AQ221" s="1299"/>
      <c r="AR221" s="1299"/>
      <c r="AS221" s="1299"/>
      <c r="AT221" s="1299"/>
      <c r="AU221" s="1299"/>
      <c r="AV221" s="1299"/>
      <c r="AW221" s="1299"/>
      <c r="AX221" s="1299"/>
      <c r="AY221" s="1299"/>
      <c r="AZ221" s="1299"/>
      <c r="BA221" s="1299"/>
    </row>
    <row s="1834" customFormat="1" customHeight="1" ht="18">
      <c r="A222" s="1299"/>
      <c r="B222" s="1299">
        <f>NOT(FIRST_TIME_REG="")</f>
        <v>1</v>
      </c>
      <c r="C222" s="1299"/>
      <c r="D222" s="1299"/>
      <c r="E222" s="1665">
        <v>18.75</v>
      </c>
      <c r="F222" s="1299" cm="1" t="str">
        <f t="array" ref="F222:F222">Z222</f>
        <v>3</v>
      </c>
      <c r="G222" s="1299"/>
      <c r="H222" s="1299"/>
      <c r="I222" s="1299"/>
      <c r="J222" s="1299"/>
      <c r="K222" s="1299"/>
      <c r="L222" s="1299"/>
      <c r="M222" s="1299"/>
      <c r="N222" s="1299"/>
      <c r="O222" s="1299"/>
      <c r="P222" s="1299"/>
      <c r="Q222" s="1299"/>
      <c r="R222" s="1299"/>
      <c r="S222" s="1299"/>
      <c r="T222" s="1299"/>
      <c r="U222" s="1299"/>
      <c r="V222" s="253" cm="1" t="str">
        <f t="array" ref="V222:V222">AE223</f>
        <v>ВО.42.33000834.0001</v>
      </c>
      <c r="W222" s="1360">
        <f>Z222&gt;0</f>
        <v>1</v>
      </c>
      <c r="X222" s="1299"/>
      <c r="Y222" s="1299"/>
      <c r="Z222" s="1524" t="s">
        <v>289</v>
      </c>
      <c r="AA222" s="1540"/>
      <c r="AB222" s="1536"/>
      <c r="AC222" s="1537"/>
      <c r="AD222" s="399" t="str">
        <f>"Тариф "&amp;Z222</f>
        <v>Тариф 3</v>
      </c>
      <c r="AE222" s="400" t="s">
        <v>290</v>
      </c>
      <c r="AF222" s="1525" t="s">
        <v>175</v>
      </c>
      <c r="AG222" s="1299" t="str">
        <f>AD222&amp;" ("&amp;AE222&amp;") - "&amp;AE224&amp;IF(AE228="",""," ("&amp;AE228&amp;")")</f>
        <v>Тариф 3 (Водоотведение) - тариф на водоотведение (Доп. признак не требуется)</v>
      </c>
      <c r="AH222" s="1299" cm="1" t="str">
        <f t="array" ref="AH222:AH222">AE227</f>
        <v>без дифференциации</v>
      </c>
      <c r="AI222" s="253" cm="1" t="str">
        <f t="array" ref="AI222:AI222">AE224</f>
        <v>тариф на водоотведение</v>
      </c>
      <c r="AJ222" s="1299" cm="1" t="str">
        <f t="array" ref="AJ222:AJ222">AE228</f>
        <v>Доп. признак не требуется</v>
      </c>
      <c r="AK222" s="1299" cm="1" t="str">
        <f t="array" ref="AK222:AK222">AE225</f>
        <v>одноставочный</v>
      </c>
      <c r="AL222" s="909" cm="1" t="str">
        <f t="array" ref="AL222:AL222">AE232</f>
        <v>46023</v>
      </c>
      <c r="AM222" s="1233" cm="1" t="str">
        <f t="array" ref="AM222:AM222">AE233</f>
        <v>Метод индексации</v>
      </c>
      <c r="AN222" s="1299">
        <f>IF(ISERR(SEARCH("трансп",AI222)),FALSE,TRUE)</f>
        <v>0</v>
      </c>
      <c r="AO222" s="1299"/>
      <c r="AP222" s="1299"/>
      <c r="AQ222" s="1299"/>
      <c r="AR222" s="1299"/>
      <c r="AS222" s="1299"/>
      <c r="AT222" s="1299"/>
      <c r="AU222" s="1299"/>
      <c r="AV222" s="1299"/>
      <c r="AW222" s="1299"/>
      <c r="AX222" s="1299"/>
      <c r="AY222" s="1299"/>
      <c r="AZ222" s="1299"/>
      <c r="BA222" s="1299"/>
    </row>
    <row s="1834" customFormat="1" customHeight="1" ht="15.75">
      <c r="A223" s="1299"/>
      <c r="B223" s="1299">
        <f>NOT(FIRST_TIME_REG="")</f>
        <v>1</v>
      </c>
      <c r="C223" s="1299"/>
      <c r="D223" s="1299"/>
      <c r="E223" s="1665">
        <v>16.5</v>
      </c>
      <c r="F223" s="1299" cm="1" t="str">
        <f t="array" ref="F223:F223">F222</f>
        <v>3</v>
      </c>
      <c r="G223" s="1299"/>
      <c r="H223" s="1299"/>
      <c r="I223" s="1299"/>
      <c r="J223" s="1299"/>
      <c r="K223" s="1299"/>
      <c r="L223" s="1299"/>
      <c r="M223" s="1299"/>
      <c r="N223" s="1299"/>
      <c r="O223" s="1299"/>
      <c r="P223" s="1299"/>
      <c r="Q223" s="1299"/>
      <c r="R223" s="1299"/>
      <c r="S223" s="1299"/>
      <c r="T223" s="1299"/>
      <c r="U223" s="1299"/>
      <c r="V223" s="253"/>
      <c r="W223" s="1360" cm="1" t="str">
        <f t="array" ref="W223:W223">W222</f>
        <v>true</v>
      </c>
      <c r="X223" s="1299"/>
      <c r="Y223" s="1299"/>
      <c r="Z223" s="1524"/>
      <c r="AA223" s="1540"/>
      <c r="AB223" s="1536"/>
      <c r="AC223" s="1537"/>
      <c r="AD223" s="401" t="s">
        <v>266</v>
      </c>
      <c r="AE223" s="393" t="s">
        <v>291</v>
      </c>
      <c r="AF223" s="1525"/>
      <c r="AG223" s="1299"/>
      <c r="AH223" s="1299"/>
      <c r="AI223" s="1299"/>
      <c r="AJ223" s="1299"/>
      <c r="AK223" s="1299"/>
      <c r="AL223" s="1299"/>
      <c r="AM223" s="1299"/>
      <c r="AN223" s="1299"/>
      <c r="AO223" s="1299"/>
      <c r="AP223" s="1299"/>
      <c r="AQ223" s="1299"/>
      <c r="AR223" s="1299"/>
      <c r="AS223" s="1299"/>
      <c r="AT223" s="1299"/>
      <c r="AU223" s="1299"/>
      <c r="AV223" s="1299"/>
      <c r="AW223" s="1299"/>
      <c r="AX223" s="1299"/>
      <c r="AY223" s="1299"/>
      <c r="AZ223" s="1299"/>
      <c r="BA223" s="1299"/>
    </row>
    <row s="1834" customFormat="1" customHeight="1" ht="15.75">
      <c r="A224" s="1299"/>
      <c r="B224" s="1299">
        <f>NOT(FIRST_TIME_REG="")</f>
        <v>1</v>
      </c>
      <c r="C224" s="1299"/>
      <c r="D224" s="1299"/>
      <c r="E224" s="1665">
        <v>16.5</v>
      </c>
      <c r="F224" s="1299" cm="1" t="str">
        <f t="array" ref="F224:F224">F223</f>
        <v>3</v>
      </c>
      <c r="G224" s="1299"/>
      <c r="H224" s="1299"/>
      <c r="I224" s="1299"/>
      <c r="J224" s="1299"/>
      <c r="K224" s="1299"/>
      <c r="L224" s="1299"/>
      <c r="M224" s="1299"/>
      <c r="N224" s="1299"/>
      <c r="O224" s="1299"/>
      <c r="P224" s="1299"/>
      <c r="Q224" s="1299"/>
      <c r="R224" s="1299"/>
      <c r="S224" s="1299"/>
      <c r="T224" s="1299"/>
      <c r="U224" s="1299"/>
      <c r="V224" s="253"/>
      <c r="W224" s="1360" cm="1" t="str">
        <f t="array" ref="W224:W224">W223</f>
        <v>true</v>
      </c>
      <c r="X224" s="1299"/>
      <c r="Y224" s="1299"/>
      <c r="Z224" s="1524"/>
      <c r="AA224" s="1540"/>
      <c r="AB224" s="1536"/>
      <c r="AC224" s="1537"/>
      <c r="AD224" s="401" t="s">
        <v>267</v>
      </c>
      <c r="AE224" s="1856" t="s">
        <v>292</v>
      </c>
      <c r="AF224" s="1525"/>
      <c r="AG224" s="1299"/>
      <c r="AH224" s="1299"/>
      <c r="AI224" s="1299"/>
      <c r="AJ224" s="1299"/>
      <c r="AK224" s="1299"/>
      <c r="AL224" s="1299"/>
      <c r="AM224" s="1299"/>
      <c r="AN224" s="1299"/>
      <c r="AO224" s="1299"/>
      <c r="AP224" s="1299"/>
      <c r="AQ224" s="1299"/>
      <c r="AR224" s="1299"/>
      <c r="AS224" s="1299"/>
      <c r="AT224" s="1299"/>
      <c r="AU224" s="1299"/>
      <c r="AV224" s="1299"/>
      <c r="AW224" s="1299"/>
      <c r="AX224" s="1299"/>
      <c r="AY224" s="1299"/>
      <c r="AZ224" s="1299"/>
      <c r="BA224" s="1299"/>
    </row>
    <row s="1834" customFormat="1" customHeight="1" ht="15.75">
      <c r="A225" s="1299"/>
      <c r="B225" s="1299">
        <f>NOT(FIRST_TIME_REG="")</f>
        <v>1</v>
      </c>
      <c r="C225" s="1299"/>
      <c r="D225" s="1299"/>
      <c r="E225" s="1665">
        <v>16.5</v>
      </c>
      <c r="F225" s="1299" cm="1" t="str">
        <f t="array" ref="F225:F225">F224</f>
        <v>3</v>
      </c>
      <c r="G225" s="1299"/>
      <c r="H225" s="1299"/>
      <c r="I225" s="1299"/>
      <c r="J225" s="1299"/>
      <c r="K225" s="1299"/>
      <c r="L225" s="1299"/>
      <c r="M225" s="1299"/>
      <c r="N225" s="1299"/>
      <c r="O225" s="1299"/>
      <c r="P225" s="1299"/>
      <c r="Q225" s="1299"/>
      <c r="R225" s="1299"/>
      <c r="S225" s="1299"/>
      <c r="T225" s="1299"/>
      <c r="U225" s="1299"/>
      <c r="V225" s="253"/>
      <c r="W225" s="1360" cm="1" t="str">
        <f t="array" ref="W225:W225">W224</f>
        <v>true</v>
      </c>
      <c r="X225" s="1299"/>
      <c r="Y225" s="1299"/>
      <c r="Z225" s="1524"/>
      <c r="AA225" s="1540"/>
      <c r="AB225" s="1536"/>
      <c r="AC225" s="1537"/>
      <c r="AD225" s="401" t="s">
        <v>268</v>
      </c>
      <c r="AE225" s="1856" t="s">
        <v>280</v>
      </c>
      <c r="AF225" s="1525"/>
      <c r="AG225" s="1299"/>
      <c r="AH225" s="1299"/>
      <c r="AI225" s="1299"/>
      <c r="AJ225" s="1299"/>
      <c r="AK225" s="1299"/>
      <c r="AL225" s="1299"/>
      <c r="AM225" s="1299"/>
      <c r="AN225" s="1299"/>
      <c r="AO225" s="1299"/>
      <c r="AP225" s="1299"/>
      <c r="AQ225" s="1299"/>
      <c r="AR225" s="1299"/>
      <c r="AS225" s="1299"/>
      <c r="AT225" s="1299"/>
      <c r="AU225" s="1299"/>
      <c r="AV225" s="1299"/>
      <c r="AW225" s="1299"/>
      <c r="AX225" s="1299"/>
      <c r="AY225" s="1299"/>
      <c r="AZ225" s="1299"/>
      <c r="BA225" s="1299"/>
    </row>
    <row s="1834" customFormat="1" customHeight="1" ht="16.0875">
      <c r="A226" s="1299"/>
      <c r="B226" s="1299">
        <f>NOT(FIRST_TIME_REG="")</f>
        <v>1</v>
      </c>
      <c r="C226" s="1299"/>
      <c r="D226" s="1299"/>
      <c r="E226" s="1665">
        <v>16.5</v>
      </c>
      <c r="F226" s="1299" cm="1" t="str">
        <f t="array" ref="F226:F226">F225</f>
        <v>3</v>
      </c>
      <c r="G226" s="1299"/>
      <c r="H226" s="1299"/>
      <c r="I226" s="1299"/>
      <c r="J226" s="1299"/>
      <c r="K226" s="1299"/>
      <c r="L226" s="1299"/>
      <c r="M226" s="1299"/>
      <c r="N226" s="1299"/>
      <c r="O226" s="1299"/>
      <c r="P226" s="1299"/>
      <c r="Q226" s="1299"/>
      <c r="R226" s="1299"/>
      <c r="S226" s="1299"/>
      <c r="T226" s="1299"/>
      <c r="U226" s="1299"/>
      <c r="V226" s="253"/>
      <c r="W226" s="1360" cm="1" t="str">
        <f t="array" ref="W226:W226">W225</f>
        <v>true</v>
      </c>
      <c r="X226" s="1299"/>
      <c r="Y226" s="1299"/>
      <c r="Z226" s="1524"/>
      <c r="AA226" s="1540"/>
      <c r="AB226" s="1536"/>
      <c r="AC226" s="1537"/>
      <c r="AD226" s="401" t="s">
        <v>269</v>
      </c>
      <c r="AE226" s="754" t="s">
        <v>293</v>
      </c>
      <c r="AF226" s="1525"/>
      <c r="AG226" s="1299"/>
      <c r="AH226" s="1299"/>
      <c r="AI226" s="1299"/>
      <c r="AJ226" s="1299"/>
      <c r="AK226" s="1299"/>
      <c r="AL226" s="1299"/>
      <c r="AM226" s="1299"/>
      <c r="AN226" s="1299"/>
      <c r="AO226" s="1299"/>
      <c r="AP226" s="1299"/>
      <c r="AQ226" s="1299"/>
      <c r="AR226" s="1299"/>
      <c r="AS226" s="1299"/>
      <c r="AT226" s="1299"/>
      <c r="AU226" s="1299"/>
      <c r="AV226" s="1299"/>
      <c r="AW226" s="1299"/>
      <c r="AX226" s="1299"/>
      <c r="AY226" s="1299"/>
      <c r="AZ226" s="1299"/>
      <c r="BA226" s="1299"/>
    </row>
    <row s="1834" customFormat="1" customHeight="1" ht="15.75">
      <c r="A227" s="1299"/>
      <c r="B227" s="1299">
        <f>NOT(FIRST_TIME_REG="")</f>
        <v>1</v>
      </c>
      <c r="C227" s="1299"/>
      <c r="D227" s="1299"/>
      <c r="E227" s="1665">
        <v>16.5</v>
      </c>
      <c r="F227" s="1299" cm="1" t="str">
        <f t="array" ref="F227:F227">F226</f>
        <v>3</v>
      </c>
      <c r="G227" s="1299"/>
      <c r="H227" s="1299"/>
      <c r="I227" s="1299"/>
      <c r="J227" s="1299"/>
      <c r="K227" s="1299"/>
      <c r="L227" s="1299"/>
      <c r="M227" s="1299"/>
      <c r="N227" s="1299"/>
      <c r="O227" s="1299"/>
      <c r="P227" s="1299"/>
      <c r="Q227" s="1299"/>
      <c r="R227" s="1299"/>
      <c r="S227" s="1299"/>
      <c r="T227" s="1299"/>
      <c r="U227" s="1299"/>
      <c r="V227" s="253"/>
      <c r="W227" s="1360" cm="1" t="str">
        <f t="array" ref="W227:W227">W226</f>
        <v>true</v>
      </c>
      <c r="X227" s="1299"/>
      <c r="Y227" s="1299"/>
      <c r="Z227" s="1524"/>
      <c r="AA227" s="1540"/>
      <c r="AB227" s="1536"/>
      <c r="AC227" s="1537"/>
      <c r="AD227" s="1667" t="str">
        <f>IF(AE222="Водоотведение","Вид сточных вод","Вид воды")</f>
        <v>Вид сточных вод</v>
      </c>
      <c r="AE227" s="1856" t="s">
        <v>294</v>
      </c>
      <c r="AF227" s="1525"/>
      <c r="AG227" s="1299"/>
      <c r="AH227" s="1299"/>
      <c r="AI227" s="1299"/>
      <c r="AJ227" s="1299"/>
      <c r="AK227" s="1299"/>
      <c r="AL227" s="1299"/>
      <c r="AM227" s="1299"/>
      <c r="AN227" s="1299"/>
      <c r="AO227" s="1299"/>
      <c r="AP227" s="1299"/>
      <c r="AQ227" s="1299"/>
      <c r="AR227" s="1299"/>
      <c r="AS227" s="1299"/>
      <c r="AT227" s="1299"/>
      <c r="AU227" s="1299"/>
      <c r="AV227" s="1299"/>
      <c r="AW227" s="1299"/>
      <c r="AX227" s="1299"/>
      <c r="AY227" s="1299"/>
      <c r="AZ227" s="1299"/>
      <c r="BA227" s="1299"/>
    </row>
    <row s="1834" customFormat="1" customHeight="1" ht="16.0875">
      <c r="A228" s="1299"/>
      <c r="B228" s="1299">
        <f>NOT(FIRST_TIME_REG="")</f>
        <v>1</v>
      </c>
      <c r="C228" s="1299"/>
      <c r="D228" s="1299"/>
      <c r="E228" s="1665">
        <v>16.5</v>
      </c>
      <c r="F228" s="1299" cm="1" t="str">
        <f t="array" ref="F228:F228">F227</f>
        <v>3</v>
      </c>
      <c r="G228" s="1299"/>
      <c r="H228" s="1299"/>
      <c r="I228" s="1299"/>
      <c r="J228" s="1299"/>
      <c r="K228" s="1299"/>
      <c r="L228" s="1299"/>
      <c r="M228" s="1299"/>
      <c r="N228" s="1299"/>
      <c r="O228" s="1299"/>
      <c r="P228" s="1299"/>
      <c r="Q228" s="1299"/>
      <c r="R228" s="1299"/>
      <c r="S228" s="1299"/>
      <c r="T228" s="1299"/>
      <c r="U228" s="1299"/>
      <c r="V228" s="253"/>
      <c r="W228" s="1360" cm="1" t="str">
        <f t="array" ref="W228:W228">W227</f>
        <v>true</v>
      </c>
      <c r="X228" s="1299"/>
      <c r="Y228" s="1299"/>
      <c r="Z228" s="1524"/>
      <c r="AA228" s="1540"/>
      <c r="AB228" s="1536"/>
      <c r="AC228" s="1537"/>
      <c r="AD228" s="1667" t="s">
        <v>270</v>
      </c>
      <c r="AE228" s="754" t="s">
        <v>283</v>
      </c>
      <c r="AF228" s="1525"/>
      <c r="AG228" s="1299"/>
      <c r="AH228" s="1299"/>
      <c r="AI228" s="1299"/>
      <c r="AJ228" s="1299"/>
      <c r="AK228" s="1299"/>
      <c r="AL228" s="1299"/>
      <c r="AM228" s="1299"/>
      <c r="AN228" s="1299"/>
      <c r="AO228" s="1299"/>
      <c r="AP228" s="1299"/>
      <c r="AQ228" s="1299"/>
      <c r="AR228" s="1299"/>
      <c r="AS228" s="1299"/>
      <c r="AT228" s="1299"/>
      <c r="AU228" s="1299"/>
      <c r="AV228" s="1299"/>
      <c r="AW228" s="1299"/>
      <c r="AX228" s="1299"/>
      <c r="AY228" s="1299"/>
      <c r="AZ228" s="1299"/>
      <c r="BA228" s="1299"/>
    </row>
    <row s="1834" customFormat="1" customHeight="1" ht="15.75">
      <c r="A229" s="1299"/>
      <c r="B229" s="1664">
        <f>AND(org_declaration="Заявление организации",NOT(FIRST_TIME_REG=""))</f>
        <v>1</v>
      </c>
      <c r="C229" s="1299"/>
      <c r="D229" s="1299"/>
      <c r="E229" s="1665">
        <v>16.5</v>
      </c>
      <c r="F229" s="1299" cm="1" t="str">
        <f t="array" ref="F229:F229">F228</f>
        <v>3</v>
      </c>
      <c r="G229" s="1299"/>
      <c r="H229" s="1299"/>
      <c r="I229" s="1299"/>
      <c r="J229" s="1299"/>
      <c r="K229" s="1299"/>
      <c r="L229" s="1299"/>
      <c r="M229" s="1299"/>
      <c r="N229" s="1299"/>
      <c r="O229" s="1299"/>
      <c r="P229" s="1299"/>
      <c r="Q229" s="1299"/>
      <c r="R229" s="1299"/>
      <c r="S229" s="1299"/>
      <c r="T229" s="1299"/>
      <c r="U229" s="1299"/>
      <c r="V229" s="253"/>
      <c r="W229" s="1360" cm="1" t="str">
        <f t="array" ref="W229:W229">W228</f>
        <v>true</v>
      </c>
      <c r="X229" s="1299"/>
      <c r="Y229" s="1299"/>
      <c r="Z229" s="1524"/>
      <c r="AA229" s="1540"/>
      <c r="AB229" s="1536"/>
      <c r="AC229" s="1537"/>
      <c r="AD229" s="401" t="s">
        <v>271</v>
      </c>
      <c r="AE229" s="391" t="s">
        <v>284</v>
      </c>
      <c r="AF229" s="1525"/>
      <c r="AG229" s="1299"/>
      <c r="AH229" s="1299"/>
      <c r="AI229" s="1299"/>
      <c r="AJ229" s="1299"/>
      <c r="AK229" s="1299"/>
      <c r="AL229" s="1299"/>
      <c r="AM229" s="1299"/>
      <c r="AN229" s="1299"/>
      <c r="AO229" s="1299"/>
      <c r="AP229" s="1299"/>
      <c r="AQ229" s="1299"/>
      <c r="AR229" s="1299"/>
      <c r="AS229" s="1299"/>
      <c r="AT229" s="1299"/>
      <c r="AU229" s="1299"/>
      <c r="AV229" s="1299"/>
      <c r="AW229" s="1299"/>
      <c r="AX229" s="1299"/>
      <c r="AY229" s="1299"/>
      <c r="AZ229" s="1299"/>
      <c r="BA229" s="1299"/>
    </row>
    <row s="1834" customFormat="1" customHeight="1" ht="15.75">
      <c r="A230" s="1299"/>
      <c r="B230" s="1664">
        <f>AND(org_declaration="Заявление организации",NOT(FIRST_TIME_REG=""))</f>
        <v>1</v>
      </c>
      <c r="C230" s="1299"/>
      <c r="D230" s="1299"/>
      <c r="E230" s="1665">
        <v>16.5</v>
      </c>
      <c r="F230" s="1299" cm="1" t="str">
        <f t="array" ref="F230:F230">F229</f>
        <v>3</v>
      </c>
      <c r="G230" s="1299"/>
      <c r="H230" s="1299"/>
      <c r="I230" s="1299"/>
      <c r="J230" s="1299"/>
      <c r="K230" s="1299"/>
      <c r="L230" s="1299"/>
      <c r="M230" s="1299"/>
      <c r="N230" s="1299"/>
      <c r="O230" s="1299"/>
      <c r="P230" s="1299"/>
      <c r="Q230" s="1299"/>
      <c r="R230" s="1299"/>
      <c r="S230" s="1299"/>
      <c r="T230" s="1299"/>
      <c r="U230" s="1299"/>
      <c r="V230" s="253"/>
      <c r="W230" s="1360" cm="1" t="str">
        <f t="array" ref="W230:W230">W229</f>
        <v>true</v>
      </c>
      <c r="X230" s="1299"/>
      <c r="Y230" s="1299"/>
      <c r="Z230" s="1524"/>
      <c r="AA230" s="1540"/>
      <c r="AB230" s="1536"/>
      <c r="AC230" s="1537"/>
      <c r="AD230" s="401" t="s">
        <v>272</v>
      </c>
      <c r="AE230" s="1857">
        <v>46217</v>
      </c>
      <c r="AF230" s="1525"/>
      <c r="AG230" s="1299"/>
      <c r="AH230" s="1299"/>
      <c r="AI230" s="1299"/>
      <c r="AJ230" s="1299"/>
      <c r="AK230" s="1299"/>
      <c r="AL230" s="1299"/>
      <c r="AM230" s="1299"/>
      <c r="AN230" s="1299"/>
      <c r="AO230" s="1299"/>
      <c r="AP230" s="1299"/>
      <c r="AQ230" s="1299"/>
      <c r="AR230" s="1299"/>
      <c r="AS230" s="1299"/>
      <c r="AT230" s="1299"/>
      <c r="AU230" s="1299"/>
      <c r="AV230" s="1299"/>
      <c r="AW230" s="1299"/>
      <c r="AX230" s="1299"/>
      <c r="AY230" s="1299"/>
      <c r="AZ230" s="1299"/>
      <c r="BA230" s="1299"/>
    </row>
    <row s="1834" customFormat="1" customHeight="1" ht="15.75">
      <c r="A231" s="1299"/>
      <c r="B231" s="1664">
        <f>NOT(FIRST_TIME_REG="")</f>
        <v>1</v>
      </c>
      <c r="C231" s="1299"/>
      <c r="D231" s="1299"/>
      <c r="E231" s="1665">
        <v>16.5</v>
      </c>
      <c r="F231" s="1299" cm="1" t="str">
        <f t="array" ref="F231:F231">F230</f>
        <v>3</v>
      </c>
      <c r="G231" s="1299"/>
      <c r="H231" s="1299"/>
      <c r="I231" s="1299"/>
      <c r="J231" s="1299"/>
      <c r="K231" s="1299"/>
      <c r="L231" s="1299"/>
      <c r="M231" s="1299"/>
      <c r="N231" s="1299"/>
      <c r="O231" s="1299"/>
      <c r="P231" s="1299"/>
      <c r="Q231" s="1299"/>
      <c r="R231" s="1299"/>
      <c r="S231" s="1299"/>
      <c r="T231" s="1299"/>
      <c r="U231" s="1299"/>
      <c r="V231" s="253"/>
      <c r="W231" s="1360" cm="1" t="str">
        <f t="array" ref="W231:W231">W230</f>
        <v>true</v>
      </c>
      <c r="X231" s="1299"/>
      <c r="Y231" s="1299"/>
      <c r="Z231" s="1524"/>
      <c r="AA231" s="1540"/>
      <c r="AB231" s="1536"/>
      <c r="AC231" s="1537"/>
      <c r="AD231" s="401" t="s">
        <v>273</v>
      </c>
      <c r="AE231" s="1858"/>
      <c r="AF231" s="1525"/>
      <c r="AG231" s="1299"/>
      <c r="AH231" s="1299"/>
      <c r="AI231" s="1299"/>
      <c r="AJ231" s="1299"/>
      <c r="AK231" s="1299"/>
      <c r="AL231" s="1299"/>
      <c r="AM231" s="1299"/>
      <c r="AN231" s="1299"/>
      <c r="AO231" s="1299"/>
      <c r="AP231" s="1299"/>
      <c r="AQ231" s="1299"/>
      <c r="AR231" s="1299"/>
      <c r="AS231" s="1299"/>
      <c r="AT231" s="1299"/>
      <c r="AU231" s="1299"/>
      <c r="AV231" s="1299"/>
      <c r="AW231" s="1299"/>
      <c r="AX231" s="1299"/>
      <c r="AY231" s="1299"/>
      <c r="AZ231" s="1299"/>
      <c r="BA231" s="1299"/>
    </row>
    <row s="1834" customFormat="1" customHeight="1" ht="15.75">
      <c r="A232" s="1299"/>
      <c r="B232" s="1664">
        <f>AND(org_declaration="Заявление организации",NOT(FIRST_TIME_REG=""))</f>
        <v>1</v>
      </c>
      <c r="C232" s="1299"/>
      <c r="D232" s="1299"/>
      <c r="E232" s="1665">
        <v>16.5</v>
      </c>
      <c r="F232" s="1299" cm="1" t="str">
        <f t="array" ref="F232:F232">F231</f>
        <v>3</v>
      </c>
      <c r="G232" s="1299"/>
      <c r="H232" s="1299"/>
      <c r="I232" s="1299"/>
      <c r="J232" s="1299"/>
      <c r="K232" s="1299"/>
      <c r="L232" s="1299"/>
      <c r="M232" s="1299"/>
      <c r="N232" s="1299"/>
      <c r="O232" s="1299"/>
      <c r="P232" s="1299"/>
      <c r="Q232" s="1299"/>
      <c r="R232" s="1299"/>
      <c r="S232" s="1299"/>
      <c r="T232" s="1299"/>
      <c r="U232" s="1299"/>
      <c r="V232" s="253"/>
      <c r="W232" s="1360" cm="1" t="str">
        <f t="array" ref="W232:W232">W231</f>
        <v>true</v>
      </c>
      <c r="X232" s="1299"/>
      <c r="Y232" s="1299"/>
      <c r="Z232" s="1524"/>
      <c r="AA232" s="1540"/>
      <c r="AB232" s="1536"/>
      <c r="AC232" s="1537"/>
      <c r="AD232" s="401" t="s">
        <v>274</v>
      </c>
      <c r="AE232" s="1859" t="str">
        <f>IF(ISBLANK(god),"",DATE(god,1,1))</f>
        <v>46023</v>
      </c>
      <c r="AF232" s="1525"/>
      <c r="AG232" s="1299"/>
      <c r="AH232" s="1299"/>
      <c r="AI232" s="1299"/>
      <c r="AJ232" s="1299"/>
      <c r="AK232" s="1299"/>
      <c r="AL232" s="1299"/>
      <c r="AM232" s="1299"/>
      <c r="AN232" s="1299"/>
      <c r="AO232" s="1299"/>
      <c r="AP232" s="1299"/>
      <c r="AQ232" s="1299"/>
      <c r="AR232" s="1299"/>
      <c r="AS232" s="1299"/>
      <c r="AT232" s="1299"/>
      <c r="AU232" s="1299"/>
      <c r="AV232" s="1299"/>
      <c r="AW232" s="1299"/>
      <c r="AX232" s="1299"/>
      <c r="AY232" s="1299"/>
      <c r="AZ232" s="1299"/>
      <c r="BA232" s="1299"/>
    </row>
    <row s="1834" customFormat="1" customHeight="1" ht="15.75">
      <c r="A233" s="1299"/>
      <c r="B233" s="1664">
        <f>AND(org_declaration="Заявление организации",NOT(FIRST_TIME_REG=""))</f>
        <v>1</v>
      </c>
      <c r="C233" s="1299"/>
      <c r="D233" s="1299"/>
      <c r="E233" s="1665">
        <v>16.5</v>
      </c>
      <c r="F233" s="1299" cm="1" t="str">
        <f t="array" ref="F233:F233">F232</f>
        <v>3</v>
      </c>
      <c r="G233" s="1299"/>
      <c r="H233" s="1299"/>
      <c r="I233" s="1299"/>
      <c r="J233" s="1299"/>
      <c r="K233" s="1299"/>
      <c r="L233" s="1299"/>
      <c r="M233" s="1299"/>
      <c r="N233" s="1299"/>
      <c r="O233" s="1299"/>
      <c r="P233" s="1299"/>
      <c r="Q233" s="1299"/>
      <c r="R233" s="1299"/>
      <c r="S233" s="1299"/>
      <c r="T233" s="1299"/>
      <c r="U233" s="1299"/>
      <c r="V233" s="253"/>
      <c r="W233" s="1360" cm="1" t="str">
        <f t="array" ref="W233:W233">W232</f>
        <v>true</v>
      </c>
      <c r="X233" s="1299"/>
      <c r="Y233" s="1299"/>
      <c r="Z233" s="1524"/>
      <c r="AA233" s="1540"/>
      <c r="AB233" s="1536"/>
      <c r="AC233" s="1537"/>
      <c r="AD233" s="401" t="s">
        <v>275</v>
      </c>
      <c r="AE233" s="1745" t="s">
        <v>104</v>
      </c>
      <c r="AF233" s="1525"/>
      <c r="AG233" s="1299"/>
      <c r="AH233" s="1299"/>
      <c r="AI233" s="1299"/>
      <c r="AJ233" s="1299"/>
      <c r="AK233" s="1299"/>
      <c r="AL233" s="1299"/>
      <c r="AM233" s="1299"/>
      <c r="AN233" s="1299"/>
      <c r="AO233" s="1299"/>
      <c r="AP233" s="1299"/>
      <c r="AQ233" s="1299"/>
      <c r="AR233" s="1299"/>
      <c r="AS233" s="1299"/>
      <c r="AT233" s="1299"/>
      <c r="AU233" s="1299"/>
      <c r="AV233" s="1299"/>
      <c r="AW233" s="1299"/>
      <c r="AX233" s="1299"/>
      <c r="AY233" s="1299"/>
      <c r="AZ233" s="1299"/>
      <c r="BA233" s="1299"/>
    </row>
    <row s="1834" customFormat="1" customHeight="1" ht="21.75">
      <c r="A234" s="1299"/>
      <c r="B234" s="1664">
        <f>AND(org_declaration="Заявление организации",NOT(FIRST_TIME_REG=""))</f>
        <v>1</v>
      </c>
      <c r="C234" s="1299"/>
      <c r="D234" s="1299"/>
      <c r="E234" s="1665">
        <v>22.5</v>
      </c>
      <c r="F234" s="1299" cm="1" t="str">
        <f t="array" ref="F234:F234">F233</f>
        <v>3</v>
      </c>
      <c r="G234" s="1299"/>
      <c r="H234" s="1299"/>
      <c r="I234" s="1299"/>
      <c r="J234" s="1299"/>
      <c r="K234" s="1299"/>
      <c r="L234" s="1299"/>
      <c r="M234" s="1299"/>
      <c r="N234" s="1299"/>
      <c r="O234" s="1299"/>
      <c r="P234" s="1299"/>
      <c r="Q234" s="1299"/>
      <c r="R234" s="1299"/>
      <c r="S234" s="1299"/>
      <c r="T234" s="1299"/>
      <c r="U234" s="1299"/>
      <c r="V234" s="253"/>
      <c r="W234" s="1360">
        <f>AND(W233,AE233&lt;&gt;"Метод экономически обоснованных расходов",AE233&lt;&gt;"Метод сравнения аналогов")</f>
        <v>1</v>
      </c>
      <c r="X234" s="1299"/>
      <c r="Y234" s="1299"/>
      <c r="Z234" s="1524"/>
      <c r="AA234" s="1540"/>
      <c r="AB234" s="1536"/>
      <c r="AC234" s="1537"/>
      <c r="AD234" s="1667" t="str">
        <f>IF(OR(AE233="экономически обоснованных расходов (затрат)",AE233="сравнения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34" s="1745" cm="1" t="str">
        <f t="array" ref="AE234:AE234">first_year</f>
        <v>2026</v>
      </c>
      <c r="AF234" s="1525"/>
      <c r="AG234" s="1299"/>
      <c r="AH234" s="1299"/>
      <c r="AI234" s="1299"/>
      <c r="AJ234" s="1299"/>
      <c r="AK234" s="1299"/>
      <c r="AL234" s="1299"/>
      <c r="AM234" s="1299"/>
      <c r="AN234" s="1299"/>
      <c r="AO234" s="1299"/>
      <c r="AP234" s="1299"/>
      <c r="AQ234" s="1299"/>
      <c r="AR234" s="1299"/>
      <c r="AS234" s="1299"/>
      <c r="AT234" s="1299"/>
      <c r="AU234" s="1299"/>
      <c r="AV234" s="1299"/>
      <c r="AW234" s="1299"/>
      <c r="AX234" s="1299"/>
      <c r="AY234" s="1299"/>
      <c r="AZ234" s="1299"/>
      <c r="BA234" s="1299"/>
    </row>
    <row s="1834" customFormat="1" customHeight="1" ht="15.75">
      <c r="A235" s="1299"/>
      <c r="B235" s="1664">
        <f>AND(org_declaration="Заявление организации",NOT(FIRST_TIME_REG=""))</f>
        <v>1</v>
      </c>
      <c r="C235" s="1299"/>
      <c r="D235" s="1299"/>
      <c r="E235" s="1665">
        <v>16.5</v>
      </c>
      <c r="F235" s="1299" cm="1" t="str">
        <f t="array" ref="F235:F235">F234</f>
        <v>3</v>
      </c>
      <c r="G235" s="1299"/>
      <c r="H235" s="1299"/>
      <c r="I235" s="1299"/>
      <c r="J235" s="1299"/>
      <c r="K235" s="1299"/>
      <c r="L235" s="1299"/>
      <c r="M235" s="1299"/>
      <c r="N235" s="1299"/>
      <c r="O235" s="1299"/>
      <c r="P235" s="1299"/>
      <c r="Q235" s="1299"/>
      <c r="R235" s="1299"/>
      <c r="S235" s="1299"/>
      <c r="T235" s="1299"/>
      <c r="U235" s="1299"/>
      <c r="V235" s="253"/>
      <c r="W235" s="1360">
        <f>AND(W234,AE233&lt;&gt;"Метод экономически обоснованных расходов",AE233&lt;&gt;"Метод сравнения аналогов")</f>
        <v>1</v>
      </c>
      <c r="X235" s="1299"/>
      <c r="Y235" s="1299"/>
      <c r="Z235" s="1524"/>
      <c r="AA235" s="1540"/>
      <c r="AB235" s="1536"/>
      <c r="AC235" s="1537"/>
      <c r="AD235" s="401" t="s">
        <v>107</v>
      </c>
      <c r="AE235" s="1745" cm="1" t="str">
        <f t="array" ref="AE235:AE235">PERIOD_LENGTH</f>
        <v>5</v>
      </c>
      <c r="AF235" s="1525"/>
      <c r="AG235" s="1299"/>
      <c r="AH235" s="1299"/>
      <c r="AI235" s="1299"/>
      <c r="AJ235" s="1299"/>
      <c r="AK235" s="1299"/>
      <c r="AL235" s="1299"/>
      <c r="AM235" s="1299"/>
      <c r="AN235" s="1299"/>
      <c r="AO235" s="1299"/>
      <c r="AP235" s="1299"/>
      <c r="AQ235" s="1299"/>
      <c r="AR235" s="1299"/>
      <c r="AS235" s="1299"/>
      <c r="AT235" s="1299"/>
      <c r="AU235" s="1299"/>
      <c r="AV235" s="1299"/>
      <c r="AW235" s="1299"/>
      <c r="AX235" s="1299"/>
      <c r="AY235" s="1299"/>
      <c r="AZ235" s="1299"/>
      <c r="BA235" s="1299"/>
    </row>
    <row s="1834" customFormat="1" customHeight="1" ht="18">
      <c r="A236" s="1299"/>
      <c r="B236" s="1299">
        <f>NOT(FIRST_TIME_REG="")</f>
        <v>1</v>
      </c>
      <c r="C236" s="1299"/>
      <c r="D236" s="1299"/>
      <c r="E236" s="1665">
        <v>18.75</v>
      </c>
      <c r="F236" s="1299" cm="1" t="str">
        <f t="array" ref="F236:F236">Z236</f>
        <v>4</v>
      </c>
      <c r="G236" s="1299"/>
      <c r="H236" s="1299"/>
      <c r="I236" s="1299"/>
      <c r="J236" s="1299"/>
      <c r="K236" s="1299"/>
      <c r="L236" s="1299"/>
      <c r="M236" s="1299"/>
      <c r="N236" s="1299"/>
      <c r="O236" s="1299"/>
      <c r="P236" s="1299"/>
      <c r="Q236" s="1299"/>
      <c r="R236" s="1299"/>
      <c r="S236" s="1299"/>
      <c r="T236" s="1299"/>
      <c r="U236" s="1299"/>
      <c r="V236" s="253" cm="1" t="str">
        <f t="array" ref="V236:V236">AE237</f>
        <v>ВО.42.33000834.0002</v>
      </c>
      <c r="W236" s="1360">
        <f>Z236&gt;0</f>
        <v>1</v>
      </c>
      <c r="X236" s="1299"/>
      <c r="Y236" s="1299"/>
      <c r="Z236" s="1524" t="s">
        <v>295</v>
      </c>
      <c r="AA236" s="1540"/>
      <c r="AB236" s="1536"/>
      <c r="AC236" s="1537"/>
      <c r="AD236" s="399" t="str">
        <f>"Тариф "&amp;Z236</f>
        <v>Тариф 4</v>
      </c>
      <c r="AE236" s="400" t="s">
        <v>290</v>
      </c>
      <c r="AF236" s="1525" t="s">
        <v>175</v>
      </c>
      <c r="AG236" s="1299" t="str">
        <f>AD236&amp;" ("&amp;AE236&amp;") - "&amp;AE238&amp;IF(AE242="",""," ("&amp;AE242&amp;")")</f>
        <v>Тариф 4 (Водоотведение) - тариф на водоотведение (Доп. признак не требуется)</v>
      </c>
      <c r="AH236" s="1299" cm="1" t="str">
        <f t="array" ref="AH236:AH236">AE241</f>
        <v>без дифференциации</v>
      </c>
      <c r="AI236" s="253" cm="1" t="str">
        <f t="array" ref="AI236:AI236">AE238</f>
        <v>тариф на водоотведение</v>
      </c>
      <c r="AJ236" s="1299" cm="1" t="str">
        <f t="array" ref="AJ236:AJ236">AE242</f>
        <v>Доп. признак не требуется</v>
      </c>
      <c r="AK236" s="1299" cm="1" t="str">
        <f t="array" ref="AK236:AK236">AE239</f>
        <v>одноставочный</v>
      </c>
      <c r="AL236" s="909" cm="1" t="str">
        <f t="array" ref="AL236:AL236">AE246</f>
        <v>46023</v>
      </c>
      <c r="AM236" s="1233" cm="1" t="str">
        <f t="array" ref="AM236:AM236">AE247</f>
        <v>Метод индексации</v>
      </c>
      <c r="AN236" s="1299">
        <f>IF(ISERR(SEARCH("трансп",AI236)),FALSE,TRUE)</f>
        <v>0</v>
      </c>
      <c r="AO236" s="1299"/>
      <c r="AP236" s="1299"/>
      <c r="AQ236" s="1299"/>
      <c r="AR236" s="1299"/>
      <c r="AS236" s="1299"/>
      <c r="AT236" s="1299"/>
      <c r="AU236" s="1299"/>
      <c r="AV236" s="1299"/>
      <c r="AW236" s="1299"/>
      <c r="AX236" s="1299"/>
      <c r="AY236" s="1299"/>
      <c r="AZ236" s="1299"/>
      <c r="BA236" s="1299"/>
    </row>
    <row s="1834" customFormat="1" customHeight="1" ht="15.75">
      <c r="A237" s="1299"/>
      <c r="B237" s="1299">
        <f>NOT(FIRST_TIME_REG="")</f>
        <v>1</v>
      </c>
      <c r="C237" s="1299"/>
      <c r="D237" s="1299"/>
      <c r="E237" s="1665">
        <v>16.5</v>
      </c>
      <c r="F237" s="1299" cm="1" t="str">
        <f t="array" ref="F237:F237">F236</f>
        <v>4</v>
      </c>
      <c r="G237" s="1299"/>
      <c r="H237" s="1299"/>
      <c r="I237" s="1299"/>
      <c r="J237" s="1299"/>
      <c r="K237" s="1299"/>
      <c r="L237" s="1299"/>
      <c r="M237" s="1299"/>
      <c r="N237" s="1299"/>
      <c r="O237" s="1299"/>
      <c r="P237" s="1299"/>
      <c r="Q237" s="1299"/>
      <c r="R237" s="1299"/>
      <c r="S237" s="1299"/>
      <c r="T237" s="1299"/>
      <c r="U237" s="1299"/>
      <c r="V237" s="253"/>
      <c r="W237" s="1360" cm="1" t="str">
        <f t="array" ref="W237:W237">W236</f>
        <v>true</v>
      </c>
      <c r="X237" s="1299"/>
      <c r="Y237" s="1299"/>
      <c r="Z237" s="1524"/>
      <c r="AA237" s="1540"/>
      <c r="AB237" s="1536"/>
      <c r="AC237" s="1537"/>
      <c r="AD237" s="401" t="s">
        <v>266</v>
      </c>
      <c r="AE237" s="393" t="s">
        <v>296</v>
      </c>
      <c r="AF237" s="1525"/>
      <c r="AG237" s="1299"/>
      <c r="AH237" s="1299"/>
      <c r="AI237" s="1299"/>
      <c r="AJ237" s="1299"/>
      <c r="AK237" s="1299"/>
      <c r="AL237" s="1299"/>
      <c r="AM237" s="1299"/>
      <c r="AN237" s="1299"/>
      <c r="AO237" s="1299"/>
      <c r="AP237" s="1299"/>
      <c r="AQ237" s="1299"/>
      <c r="AR237" s="1299"/>
      <c r="AS237" s="1299"/>
      <c r="AT237" s="1299"/>
      <c r="AU237" s="1299"/>
      <c r="AV237" s="1299"/>
      <c r="AW237" s="1299"/>
      <c r="AX237" s="1299"/>
      <c r="AY237" s="1299"/>
      <c r="AZ237" s="1299"/>
      <c r="BA237" s="1299"/>
    </row>
    <row s="1834" customFormat="1" customHeight="1" ht="15.75">
      <c r="A238" s="1299"/>
      <c r="B238" s="1299">
        <f>NOT(FIRST_TIME_REG="")</f>
        <v>1</v>
      </c>
      <c r="C238" s="1299"/>
      <c r="D238" s="1299"/>
      <c r="E238" s="1665">
        <v>16.5</v>
      </c>
      <c r="F238" s="1299" cm="1" t="str">
        <f t="array" ref="F238:F238">F237</f>
        <v>4</v>
      </c>
      <c r="G238" s="1299"/>
      <c r="H238" s="1299"/>
      <c r="I238" s="1299"/>
      <c r="J238" s="1299"/>
      <c r="K238" s="1299"/>
      <c r="L238" s="1299"/>
      <c r="M238" s="1299"/>
      <c r="N238" s="1299"/>
      <c r="O238" s="1299"/>
      <c r="P238" s="1299"/>
      <c r="Q238" s="1299"/>
      <c r="R238" s="1299"/>
      <c r="S238" s="1299"/>
      <c r="T238" s="1299"/>
      <c r="U238" s="1299"/>
      <c r="V238" s="253"/>
      <c r="W238" s="1360" cm="1" t="str">
        <f t="array" ref="W238:W238">W237</f>
        <v>true</v>
      </c>
      <c r="X238" s="1299"/>
      <c r="Y238" s="1299"/>
      <c r="Z238" s="1524"/>
      <c r="AA238" s="1540"/>
      <c r="AB238" s="1536"/>
      <c r="AC238" s="1537"/>
      <c r="AD238" s="401" t="s">
        <v>267</v>
      </c>
      <c r="AE238" s="1856" t="s">
        <v>292</v>
      </c>
      <c r="AF238" s="1525"/>
      <c r="AG238" s="1299"/>
      <c r="AH238" s="1299"/>
      <c r="AI238" s="1299"/>
      <c r="AJ238" s="1299"/>
      <c r="AK238" s="1299"/>
      <c r="AL238" s="1299"/>
      <c r="AM238" s="1299"/>
      <c r="AN238" s="1299"/>
      <c r="AO238" s="1299"/>
      <c r="AP238" s="1299"/>
      <c r="AQ238" s="1299"/>
      <c r="AR238" s="1299"/>
      <c r="AS238" s="1299"/>
      <c r="AT238" s="1299"/>
      <c r="AU238" s="1299"/>
      <c r="AV238" s="1299"/>
      <c r="AW238" s="1299"/>
      <c r="AX238" s="1299"/>
      <c r="AY238" s="1299"/>
      <c r="AZ238" s="1299"/>
      <c r="BA238" s="1299"/>
    </row>
    <row s="1834" customFormat="1" customHeight="1" ht="15.75">
      <c r="A239" s="1299"/>
      <c r="B239" s="1299">
        <f>NOT(FIRST_TIME_REG="")</f>
        <v>1</v>
      </c>
      <c r="C239" s="1299"/>
      <c r="D239" s="1299"/>
      <c r="E239" s="1665">
        <v>16.5</v>
      </c>
      <c r="F239" s="1299" cm="1" t="str">
        <f t="array" ref="F239:F239">F238</f>
        <v>4</v>
      </c>
      <c r="G239" s="1299"/>
      <c r="H239" s="1299"/>
      <c r="I239" s="1299"/>
      <c r="J239" s="1299"/>
      <c r="K239" s="1299"/>
      <c r="L239" s="1299"/>
      <c r="M239" s="1299"/>
      <c r="N239" s="1299"/>
      <c r="O239" s="1299"/>
      <c r="P239" s="1299"/>
      <c r="Q239" s="1299"/>
      <c r="R239" s="1299"/>
      <c r="S239" s="1299"/>
      <c r="T239" s="1299"/>
      <c r="U239" s="1299"/>
      <c r="V239" s="253"/>
      <c r="W239" s="1360" cm="1" t="str">
        <f t="array" ref="W239:W239">W238</f>
        <v>true</v>
      </c>
      <c r="X239" s="1299"/>
      <c r="Y239" s="1299"/>
      <c r="Z239" s="1524"/>
      <c r="AA239" s="1540"/>
      <c r="AB239" s="1536"/>
      <c r="AC239" s="1537"/>
      <c r="AD239" s="401" t="s">
        <v>268</v>
      </c>
      <c r="AE239" s="1856" t="s">
        <v>280</v>
      </c>
      <c r="AF239" s="1525"/>
      <c r="AG239" s="1299"/>
      <c r="AH239" s="1299"/>
      <c r="AI239" s="1299"/>
      <c r="AJ239" s="1299"/>
      <c r="AK239" s="1299"/>
      <c r="AL239" s="1299"/>
      <c r="AM239" s="1299"/>
      <c r="AN239" s="1299"/>
      <c r="AO239" s="1299"/>
      <c r="AP239" s="1299"/>
      <c r="AQ239" s="1299"/>
      <c r="AR239" s="1299"/>
      <c r="AS239" s="1299"/>
      <c r="AT239" s="1299"/>
      <c r="AU239" s="1299"/>
      <c r="AV239" s="1299"/>
      <c r="AW239" s="1299"/>
      <c r="AX239" s="1299"/>
      <c r="AY239" s="1299"/>
      <c r="AZ239" s="1299"/>
      <c r="BA239" s="1299"/>
    </row>
    <row s="1834" customFormat="1" customHeight="1" ht="16.0875">
      <c r="A240" s="1299"/>
      <c r="B240" s="1299">
        <f>NOT(FIRST_TIME_REG="")</f>
        <v>1</v>
      </c>
      <c r="C240" s="1299"/>
      <c r="D240" s="1299"/>
      <c r="E240" s="1665">
        <v>16.5</v>
      </c>
      <c r="F240" s="1299" cm="1" t="str">
        <f t="array" ref="F240:F240">F239</f>
        <v>4</v>
      </c>
      <c r="G240" s="1299"/>
      <c r="H240" s="1299"/>
      <c r="I240" s="1299"/>
      <c r="J240" s="1299"/>
      <c r="K240" s="1299"/>
      <c r="L240" s="1299"/>
      <c r="M240" s="1299"/>
      <c r="N240" s="1299"/>
      <c r="O240" s="1299"/>
      <c r="P240" s="1299"/>
      <c r="Q240" s="1299"/>
      <c r="R240" s="1299"/>
      <c r="S240" s="1299"/>
      <c r="T240" s="1299"/>
      <c r="U240" s="1299"/>
      <c r="V240" s="253"/>
      <c r="W240" s="1360" cm="1" t="str">
        <f t="array" ref="W240:W240">W239</f>
        <v>true</v>
      </c>
      <c r="X240" s="1299"/>
      <c r="Y240" s="1299"/>
      <c r="Z240" s="1524"/>
      <c r="AA240" s="1540"/>
      <c r="AB240" s="1536"/>
      <c r="AC240" s="1537"/>
      <c r="AD240" s="401" t="s">
        <v>269</v>
      </c>
      <c r="AE240" s="754" t="s">
        <v>293</v>
      </c>
      <c r="AF240" s="1525"/>
      <c r="AG240" s="1299"/>
      <c r="AH240" s="1299"/>
      <c r="AI240" s="1299"/>
      <c r="AJ240" s="1299"/>
      <c r="AK240" s="1299"/>
      <c r="AL240" s="1299"/>
      <c r="AM240" s="1299"/>
      <c r="AN240" s="1299"/>
      <c r="AO240" s="1299"/>
      <c r="AP240" s="1299"/>
      <c r="AQ240" s="1299"/>
      <c r="AR240" s="1299"/>
      <c r="AS240" s="1299"/>
      <c r="AT240" s="1299"/>
      <c r="AU240" s="1299"/>
      <c r="AV240" s="1299"/>
      <c r="AW240" s="1299"/>
      <c r="AX240" s="1299"/>
      <c r="AY240" s="1299"/>
      <c r="AZ240" s="1299"/>
      <c r="BA240" s="1299"/>
    </row>
    <row s="1834" customFormat="1" customHeight="1" ht="15.75">
      <c r="A241" s="1299"/>
      <c r="B241" s="1299">
        <f>NOT(FIRST_TIME_REG="")</f>
        <v>1</v>
      </c>
      <c r="C241" s="1299"/>
      <c r="D241" s="1299"/>
      <c r="E241" s="1665">
        <v>16.5</v>
      </c>
      <c r="F241" s="1299" cm="1" t="str">
        <f t="array" ref="F241:F241">F240</f>
        <v>4</v>
      </c>
      <c r="G241" s="1299"/>
      <c r="H241" s="1299"/>
      <c r="I241" s="1299"/>
      <c r="J241" s="1299"/>
      <c r="K241" s="1299"/>
      <c r="L241" s="1299"/>
      <c r="M241" s="1299"/>
      <c r="N241" s="1299"/>
      <c r="O241" s="1299"/>
      <c r="P241" s="1299"/>
      <c r="Q241" s="1299"/>
      <c r="R241" s="1299"/>
      <c r="S241" s="1299"/>
      <c r="T241" s="1299"/>
      <c r="U241" s="1299"/>
      <c r="V241" s="253"/>
      <c r="W241" s="1360" cm="1" t="str">
        <f t="array" ref="W241:W241">W240</f>
        <v>true</v>
      </c>
      <c r="X241" s="1299"/>
      <c r="Y241" s="1299"/>
      <c r="Z241" s="1524"/>
      <c r="AA241" s="1540"/>
      <c r="AB241" s="1536"/>
      <c r="AC241" s="1537"/>
      <c r="AD241" s="1667" t="str">
        <f>IF(AE236="Водоотведение","Вид сточных вод","Вид воды")</f>
        <v>Вид сточных вод</v>
      </c>
      <c r="AE241" s="1856" t="s">
        <v>294</v>
      </c>
      <c r="AF241" s="1525"/>
      <c r="AG241" s="1299"/>
      <c r="AH241" s="1299"/>
      <c r="AI241" s="1299"/>
      <c r="AJ241" s="1299"/>
      <c r="AK241" s="1299"/>
      <c r="AL241" s="1299"/>
      <c r="AM241" s="1299"/>
      <c r="AN241" s="1299"/>
      <c r="AO241" s="1299"/>
      <c r="AP241" s="1299"/>
      <c r="AQ241" s="1299"/>
      <c r="AR241" s="1299"/>
      <c r="AS241" s="1299"/>
      <c r="AT241" s="1299"/>
      <c r="AU241" s="1299"/>
      <c r="AV241" s="1299"/>
      <c r="AW241" s="1299"/>
      <c r="AX241" s="1299"/>
      <c r="AY241" s="1299"/>
      <c r="AZ241" s="1299"/>
      <c r="BA241" s="1299"/>
    </row>
    <row s="1834" customFormat="1" customHeight="1" ht="16.0875">
      <c r="A242" s="1299"/>
      <c r="B242" s="1299">
        <f>NOT(FIRST_TIME_REG="")</f>
        <v>1</v>
      </c>
      <c r="C242" s="1299"/>
      <c r="D242" s="1299"/>
      <c r="E242" s="1665">
        <v>16.5</v>
      </c>
      <c r="F242" s="1299" cm="1" t="str">
        <f t="array" ref="F242:F242">F241</f>
        <v>4</v>
      </c>
      <c r="G242" s="1299"/>
      <c r="H242" s="1299"/>
      <c r="I242" s="1299"/>
      <c r="J242" s="1299"/>
      <c r="K242" s="1299"/>
      <c r="L242" s="1299"/>
      <c r="M242" s="1299"/>
      <c r="N242" s="1299"/>
      <c r="O242" s="1299"/>
      <c r="P242" s="1299"/>
      <c r="Q242" s="1299"/>
      <c r="R242" s="1299"/>
      <c r="S242" s="1299"/>
      <c r="T242" s="1299"/>
      <c r="U242" s="1299"/>
      <c r="V242" s="253"/>
      <c r="W242" s="1360" cm="1" t="str">
        <f t="array" ref="W242:W242">W241</f>
        <v>true</v>
      </c>
      <c r="X242" s="1299"/>
      <c r="Y242" s="1299"/>
      <c r="Z242" s="1524"/>
      <c r="AA242" s="1540"/>
      <c r="AB242" s="1536"/>
      <c r="AC242" s="1537"/>
      <c r="AD242" s="1667" t="s">
        <v>270</v>
      </c>
      <c r="AE242" s="754" t="s">
        <v>283</v>
      </c>
      <c r="AF242" s="1525"/>
      <c r="AG242" s="1299"/>
      <c r="AH242" s="1299"/>
      <c r="AI242" s="1299"/>
      <c r="AJ242" s="1299"/>
      <c r="AK242" s="1299"/>
      <c r="AL242" s="1299"/>
      <c r="AM242" s="1299"/>
      <c r="AN242" s="1299"/>
      <c r="AO242" s="1299"/>
      <c r="AP242" s="1299"/>
      <c r="AQ242" s="1299"/>
      <c r="AR242" s="1299"/>
      <c r="AS242" s="1299"/>
      <c r="AT242" s="1299"/>
      <c r="AU242" s="1299"/>
      <c r="AV242" s="1299"/>
      <c r="AW242" s="1299"/>
      <c r="AX242" s="1299"/>
      <c r="AY242" s="1299"/>
      <c r="AZ242" s="1299"/>
      <c r="BA242" s="1299"/>
    </row>
    <row s="1834" customFormat="1" customHeight="1" ht="15.75">
      <c r="A243" s="1299"/>
      <c r="B243" s="1664">
        <f>AND(org_declaration="Заявление организации",NOT(FIRST_TIME_REG=""))</f>
        <v>1</v>
      </c>
      <c r="C243" s="1299"/>
      <c r="D243" s="1299"/>
      <c r="E243" s="1665">
        <v>16.5</v>
      </c>
      <c r="F243" s="1299" cm="1" t="str">
        <f t="array" ref="F243:F243">F242</f>
        <v>4</v>
      </c>
      <c r="G243" s="1299"/>
      <c r="H243" s="1299"/>
      <c r="I243" s="1299"/>
      <c r="J243" s="1299"/>
      <c r="K243" s="1299"/>
      <c r="L243" s="1299"/>
      <c r="M243" s="1299"/>
      <c r="N243" s="1299"/>
      <c r="O243" s="1299"/>
      <c r="P243" s="1299"/>
      <c r="Q243" s="1299"/>
      <c r="R243" s="1299"/>
      <c r="S243" s="1299"/>
      <c r="T243" s="1299"/>
      <c r="U243" s="1299"/>
      <c r="V243" s="253"/>
      <c r="W243" s="1360" cm="1" t="str">
        <f t="array" ref="W243:W243">W242</f>
        <v>true</v>
      </c>
      <c r="X243" s="1299"/>
      <c r="Y243" s="1299"/>
      <c r="Z243" s="1524"/>
      <c r="AA243" s="1540"/>
      <c r="AB243" s="1536"/>
      <c r="AC243" s="1537"/>
      <c r="AD243" s="401" t="s">
        <v>271</v>
      </c>
      <c r="AE243" s="391" t="s">
        <v>288</v>
      </c>
      <c r="AF243" s="1525"/>
      <c r="AG243" s="1299"/>
      <c r="AH243" s="1299"/>
      <c r="AI243" s="1299"/>
      <c r="AJ243" s="1299"/>
      <c r="AK243" s="1299"/>
      <c r="AL243" s="1299"/>
      <c r="AM243" s="1299"/>
      <c r="AN243" s="1299"/>
      <c r="AO243" s="1299"/>
      <c r="AP243" s="1299"/>
      <c r="AQ243" s="1299"/>
      <c r="AR243" s="1299"/>
      <c r="AS243" s="1299"/>
      <c r="AT243" s="1299"/>
      <c r="AU243" s="1299"/>
      <c r="AV243" s="1299"/>
      <c r="AW243" s="1299"/>
      <c r="AX243" s="1299"/>
      <c r="AY243" s="1299"/>
      <c r="AZ243" s="1299"/>
      <c r="BA243" s="1299"/>
    </row>
    <row s="1834" customFormat="1" customHeight="1" ht="15.75">
      <c r="A244" s="1299"/>
      <c r="B244" s="1664">
        <f>AND(org_declaration="Заявление организации",NOT(FIRST_TIME_REG=""))</f>
        <v>1</v>
      </c>
      <c r="C244" s="1299"/>
      <c r="D244" s="1299"/>
      <c r="E244" s="1665">
        <v>16.5</v>
      </c>
      <c r="F244" s="1299" cm="1" t="str">
        <f t="array" ref="F244:F244">F243</f>
        <v>4</v>
      </c>
      <c r="G244" s="1299"/>
      <c r="H244" s="1299"/>
      <c r="I244" s="1299"/>
      <c r="J244" s="1299"/>
      <c r="K244" s="1299"/>
      <c r="L244" s="1299"/>
      <c r="M244" s="1299"/>
      <c r="N244" s="1299"/>
      <c r="O244" s="1299"/>
      <c r="P244" s="1299"/>
      <c r="Q244" s="1299"/>
      <c r="R244" s="1299"/>
      <c r="S244" s="1299"/>
      <c r="T244" s="1299"/>
      <c r="U244" s="1299"/>
      <c r="V244" s="253"/>
      <c r="W244" s="1360" cm="1" t="str">
        <f t="array" ref="W244:W244">W243</f>
        <v>true</v>
      </c>
      <c r="X244" s="1299"/>
      <c r="Y244" s="1299"/>
      <c r="Z244" s="1524"/>
      <c r="AA244" s="1540"/>
      <c r="AB244" s="1536"/>
      <c r="AC244" s="1537"/>
      <c r="AD244" s="401" t="s">
        <v>272</v>
      </c>
      <c r="AE244" s="1857">
        <v>46217</v>
      </c>
      <c r="AF244" s="1525"/>
      <c r="AG244" s="1299"/>
      <c r="AH244" s="1299"/>
      <c r="AI244" s="1299"/>
      <c r="AJ244" s="1299"/>
      <c r="AK244" s="1299"/>
      <c r="AL244" s="1299"/>
      <c r="AM244" s="1299"/>
      <c r="AN244" s="1299"/>
      <c r="AO244" s="1299"/>
      <c r="AP244" s="1299"/>
      <c r="AQ244" s="1299"/>
      <c r="AR244" s="1299"/>
      <c r="AS244" s="1299"/>
      <c r="AT244" s="1299"/>
      <c r="AU244" s="1299"/>
      <c r="AV244" s="1299"/>
      <c r="AW244" s="1299"/>
      <c r="AX244" s="1299"/>
      <c r="AY244" s="1299"/>
      <c r="AZ244" s="1299"/>
      <c r="BA244" s="1299"/>
    </row>
    <row s="1834" customFormat="1" customHeight="1" ht="15.75">
      <c r="A245" s="1299"/>
      <c r="B245" s="1664">
        <f>NOT(FIRST_TIME_REG="")</f>
        <v>1</v>
      </c>
      <c r="C245" s="1299"/>
      <c r="D245" s="1299"/>
      <c r="E245" s="1665">
        <v>16.5</v>
      </c>
      <c r="F245" s="1299" cm="1" t="str">
        <f t="array" ref="F245:F245">F244</f>
        <v>4</v>
      </c>
      <c r="G245" s="1299"/>
      <c r="H245" s="1299"/>
      <c r="I245" s="1299"/>
      <c r="J245" s="1299"/>
      <c r="K245" s="1299"/>
      <c r="L245" s="1299"/>
      <c r="M245" s="1299"/>
      <c r="N245" s="1299"/>
      <c r="O245" s="1299"/>
      <c r="P245" s="1299"/>
      <c r="Q245" s="1299"/>
      <c r="R245" s="1299"/>
      <c r="S245" s="1299"/>
      <c r="T245" s="1299"/>
      <c r="U245" s="1299"/>
      <c r="V245" s="253"/>
      <c r="W245" s="1360" cm="1" t="str">
        <f t="array" ref="W245:W245">W244</f>
        <v>true</v>
      </c>
      <c r="X245" s="1299"/>
      <c r="Y245" s="1299"/>
      <c r="Z245" s="1524"/>
      <c r="AA245" s="1540"/>
      <c r="AB245" s="1536"/>
      <c r="AC245" s="1537"/>
      <c r="AD245" s="401" t="s">
        <v>273</v>
      </c>
      <c r="AE245" s="1858"/>
      <c r="AF245" s="1525"/>
      <c r="AG245" s="1299"/>
      <c r="AH245" s="1299"/>
      <c r="AI245" s="1299"/>
      <c r="AJ245" s="1299"/>
      <c r="AK245" s="1299"/>
      <c r="AL245" s="1299"/>
      <c r="AM245" s="1299"/>
      <c r="AN245" s="1299"/>
      <c r="AO245" s="1299"/>
      <c r="AP245" s="1299"/>
      <c r="AQ245" s="1299"/>
      <c r="AR245" s="1299"/>
      <c r="AS245" s="1299"/>
      <c r="AT245" s="1299"/>
      <c r="AU245" s="1299"/>
      <c r="AV245" s="1299"/>
      <c r="AW245" s="1299"/>
      <c r="AX245" s="1299"/>
      <c r="AY245" s="1299"/>
      <c r="AZ245" s="1299"/>
      <c r="BA245" s="1299"/>
    </row>
    <row s="1834" customFormat="1" customHeight="1" ht="15.75">
      <c r="A246" s="1299"/>
      <c r="B246" s="1664">
        <f>AND(org_declaration="Заявление организации",NOT(FIRST_TIME_REG=""))</f>
        <v>1</v>
      </c>
      <c r="C246" s="1299"/>
      <c r="D246" s="1299"/>
      <c r="E246" s="1665">
        <v>16.5</v>
      </c>
      <c r="F246" s="1299" cm="1" t="str">
        <f t="array" ref="F246:F246">F245</f>
        <v>4</v>
      </c>
      <c r="G246" s="1299"/>
      <c r="H246" s="1299"/>
      <c r="I246" s="1299"/>
      <c r="J246" s="1299"/>
      <c r="K246" s="1299"/>
      <c r="L246" s="1299"/>
      <c r="M246" s="1299"/>
      <c r="N246" s="1299"/>
      <c r="O246" s="1299"/>
      <c r="P246" s="1299"/>
      <c r="Q246" s="1299"/>
      <c r="R246" s="1299"/>
      <c r="S246" s="1299"/>
      <c r="T246" s="1299"/>
      <c r="U246" s="1299"/>
      <c r="V246" s="253"/>
      <c r="W246" s="1360" cm="1" t="str">
        <f t="array" ref="W246:W246">W245</f>
        <v>true</v>
      </c>
      <c r="X246" s="1299"/>
      <c r="Y246" s="1299"/>
      <c r="Z246" s="1524"/>
      <c r="AA246" s="1540"/>
      <c r="AB246" s="1536"/>
      <c r="AC246" s="1537"/>
      <c r="AD246" s="401" t="s">
        <v>274</v>
      </c>
      <c r="AE246" s="1859" t="str">
        <f>IF(ISBLANK(god),"",DATE(god,1,1))</f>
        <v>46023</v>
      </c>
      <c r="AF246" s="1525"/>
      <c r="AG246" s="1299"/>
      <c r="AH246" s="1299"/>
      <c r="AI246" s="1299"/>
      <c r="AJ246" s="1299"/>
      <c r="AK246" s="1299"/>
      <c r="AL246" s="1299"/>
      <c r="AM246" s="1299"/>
      <c r="AN246" s="1299"/>
      <c r="AO246" s="1299"/>
      <c r="AP246" s="1299"/>
      <c r="AQ246" s="1299"/>
      <c r="AR246" s="1299"/>
      <c r="AS246" s="1299"/>
      <c r="AT246" s="1299"/>
      <c r="AU246" s="1299"/>
      <c r="AV246" s="1299"/>
      <c r="AW246" s="1299"/>
      <c r="AX246" s="1299"/>
      <c r="AY246" s="1299"/>
      <c r="AZ246" s="1299"/>
      <c r="BA246" s="1299"/>
    </row>
    <row s="1834" customFormat="1" customHeight="1" ht="15.75">
      <c r="A247" s="1299"/>
      <c r="B247" s="1664">
        <f>AND(org_declaration="Заявление организации",NOT(FIRST_TIME_REG=""))</f>
        <v>1</v>
      </c>
      <c r="C247" s="1299"/>
      <c r="D247" s="1299"/>
      <c r="E247" s="1665">
        <v>16.5</v>
      </c>
      <c r="F247" s="1299" cm="1" t="str">
        <f t="array" ref="F247:F247">F246</f>
        <v>4</v>
      </c>
      <c r="G247" s="1299"/>
      <c r="H247" s="1299"/>
      <c r="I247" s="1299"/>
      <c r="J247" s="1299"/>
      <c r="K247" s="1299"/>
      <c r="L247" s="1299"/>
      <c r="M247" s="1299"/>
      <c r="N247" s="1299"/>
      <c r="O247" s="1299"/>
      <c r="P247" s="1299"/>
      <c r="Q247" s="1299"/>
      <c r="R247" s="1299"/>
      <c r="S247" s="1299"/>
      <c r="T247" s="1299"/>
      <c r="U247" s="1299"/>
      <c r="V247" s="253"/>
      <c r="W247" s="1360" cm="1" t="str">
        <f t="array" ref="W247:W247">W246</f>
        <v>true</v>
      </c>
      <c r="X247" s="1299"/>
      <c r="Y247" s="1299"/>
      <c r="Z247" s="1524"/>
      <c r="AA247" s="1540"/>
      <c r="AB247" s="1536"/>
      <c r="AC247" s="1537"/>
      <c r="AD247" s="401" t="s">
        <v>275</v>
      </c>
      <c r="AE247" s="1745" t="s">
        <v>104</v>
      </c>
      <c r="AF247" s="1525"/>
      <c r="AG247" s="1299"/>
      <c r="AH247" s="1299"/>
      <c r="AI247" s="1299"/>
      <c r="AJ247" s="1299"/>
      <c r="AK247" s="1299"/>
      <c r="AL247" s="1299"/>
      <c r="AM247" s="1299"/>
      <c r="AN247" s="1299"/>
      <c r="AO247" s="1299"/>
      <c r="AP247" s="1299"/>
      <c r="AQ247" s="1299"/>
      <c r="AR247" s="1299"/>
      <c r="AS247" s="1299"/>
      <c r="AT247" s="1299"/>
      <c r="AU247" s="1299"/>
      <c r="AV247" s="1299"/>
      <c r="AW247" s="1299"/>
      <c r="AX247" s="1299"/>
      <c r="AY247" s="1299"/>
      <c r="AZ247" s="1299"/>
      <c r="BA247" s="1299"/>
    </row>
    <row s="1834" customFormat="1" customHeight="1" ht="21.75">
      <c r="A248" s="1299"/>
      <c r="B248" s="1664">
        <f>AND(org_declaration="Заявление организации",NOT(FIRST_TIME_REG=""))</f>
        <v>1</v>
      </c>
      <c r="C248" s="1299"/>
      <c r="D248" s="1299"/>
      <c r="E248" s="1665">
        <v>22.5</v>
      </c>
      <c r="F248" s="1299" cm="1" t="str">
        <f t="array" ref="F248:F248">F247</f>
        <v>4</v>
      </c>
      <c r="G248" s="1299"/>
      <c r="H248" s="1299"/>
      <c r="I248" s="1299"/>
      <c r="J248" s="1299"/>
      <c r="K248" s="1299"/>
      <c r="L248" s="1299"/>
      <c r="M248" s="1299"/>
      <c r="N248" s="1299"/>
      <c r="O248" s="1299"/>
      <c r="P248" s="1299"/>
      <c r="Q248" s="1299"/>
      <c r="R248" s="1299"/>
      <c r="S248" s="1299"/>
      <c r="T248" s="1299"/>
      <c r="U248" s="1299"/>
      <c r="V248" s="253"/>
      <c r="W248" s="1360">
        <f>AND(W247,AE247&lt;&gt;"Метод экономически обоснованных расходов",AE247&lt;&gt;"Метод сравнения аналогов")</f>
        <v>1</v>
      </c>
      <c r="X248" s="1299"/>
      <c r="Y248" s="1299"/>
      <c r="Z248" s="1524"/>
      <c r="AA248" s="1540"/>
      <c r="AB248" s="1536"/>
      <c r="AC248" s="1537"/>
      <c r="AD248" s="1667" t="str">
        <f>IF(OR(AE247="экономически обоснованных расходов (затрат)",AE247="сравнения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48" s="1745" cm="1" t="str">
        <f t="array" ref="AE248:AE248">first_year</f>
        <v>2026</v>
      </c>
      <c r="AF248" s="1525"/>
      <c r="AG248" s="1299"/>
      <c r="AH248" s="1299"/>
      <c r="AI248" s="1299"/>
      <c r="AJ248" s="1299"/>
      <c r="AK248" s="1299"/>
      <c r="AL248" s="1299"/>
      <c r="AM248" s="1299"/>
      <c r="AN248" s="1299"/>
      <c r="AO248" s="1299"/>
      <c r="AP248" s="1299"/>
      <c r="AQ248" s="1299"/>
      <c r="AR248" s="1299"/>
      <c r="AS248" s="1299"/>
      <c r="AT248" s="1299"/>
      <c r="AU248" s="1299"/>
      <c r="AV248" s="1299"/>
      <c r="AW248" s="1299"/>
      <c r="AX248" s="1299"/>
      <c r="AY248" s="1299"/>
      <c r="AZ248" s="1299"/>
      <c r="BA248" s="1299"/>
    </row>
    <row s="1834" customFormat="1" customHeight="1" ht="15.75">
      <c r="A249" s="1299"/>
      <c r="B249" s="1664">
        <f>AND(org_declaration="Заявление организации",NOT(FIRST_TIME_REG=""))</f>
        <v>1</v>
      </c>
      <c r="C249" s="1299"/>
      <c r="D249" s="1299"/>
      <c r="E249" s="1665">
        <v>16.5</v>
      </c>
      <c r="F249" s="1299" cm="1" t="str">
        <f t="array" ref="F249:F249">F248</f>
        <v>4</v>
      </c>
      <c r="G249" s="1299"/>
      <c r="H249" s="1299"/>
      <c r="I249" s="1299"/>
      <c r="J249" s="1299"/>
      <c r="K249" s="1299"/>
      <c r="L249" s="1299"/>
      <c r="M249" s="1299"/>
      <c r="N249" s="1299"/>
      <c r="O249" s="1299"/>
      <c r="P249" s="1299"/>
      <c r="Q249" s="1299"/>
      <c r="R249" s="1299"/>
      <c r="S249" s="1299"/>
      <c r="T249" s="1299"/>
      <c r="U249" s="1299"/>
      <c r="V249" s="253"/>
      <c r="W249" s="1360">
        <f>AND(W248,AE247&lt;&gt;"Метод экономически обоснованных расходов",AE247&lt;&gt;"Метод сравнения аналогов")</f>
        <v>1</v>
      </c>
      <c r="X249" s="1299"/>
      <c r="Y249" s="1299"/>
      <c r="Z249" s="1524"/>
      <c r="AA249" s="1540"/>
      <c r="AB249" s="1536"/>
      <c r="AC249" s="1537"/>
      <c r="AD249" s="401" t="s">
        <v>107</v>
      </c>
      <c r="AE249" s="1745" cm="1" t="str">
        <f t="array" ref="AE249:AE249">PERIOD_LENGTH</f>
        <v>5</v>
      </c>
      <c r="AF249" s="1525"/>
      <c r="AG249" s="1299"/>
      <c r="AH249" s="1299"/>
      <c r="AI249" s="1299"/>
      <c r="AJ249" s="1299"/>
      <c r="AK249" s="1299"/>
      <c r="AL249" s="1299"/>
      <c r="AM249" s="1299"/>
      <c r="AN249" s="1299"/>
      <c r="AO249" s="1299"/>
      <c r="AP249" s="1299"/>
      <c r="AQ249" s="1299"/>
      <c r="AR249" s="1299"/>
      <c r="AS249" s="1299"/>
      <c r="AT249" s="1299"/>
      <c r="AU249" s="1299"/>
      <c r="AV249" s="1299"/>
      <c r="AW249" s="1299"/>
      <c r="AX249" s="1299"/>
      <c r="AY249" s="1299"/>
      <c r="AZ249" s="1299"/>
      <c r="BA249" s="1299"/>
    </row>
    <row customHeight="1" ht="19.0125">
      <c r="B250" s="978">
        <f>NOT(FIRST_TIME_REG="")</f>
        <v>1</v>
      </c>
      <c r="E250" s="639">
        <v>19.5</v>
      </c>
      <c r="F250" s="172" t="s">
        <v>297</v>
      </c>
      <c r="X250" s="297" t="s">
        <v>298</v>
      </c>
      <c r="Z250" s="107"/>
      <c r="AB250" s="1538"/>
      <c r="AC250" s="1539"/>
      <c r="AD250" s="492" t="s">
        <v>299</v>
      </c>
      <c r="AE250" s="263"/>
    </row>
    <row customHeight="1" ht="19.0125">
      <c r="E251" s="639">
        <v>19.5</v>
      </c>
      <c r="Z251" s="107"/>
      <c r="AB251" s="1499" t="s">
        <v>300</v>
      </c>
      <c r="AC251" s="1500"/>
      <c r="AD251" s="395" t="s">
        <v>301</v>
      </c>
      <c r="AE251" s="385" t="s">
        <v>302</v>
      </c>
      <c r="AG251" s="107" t="s">
        <v>303</v>
      </c>
    </row>
    <row customHeight="1" ht="19.0125">
      <c r="E252" s="639">
        <v>19.5</v>
      </c>
      <c r="Z252" s="107"/>
      <c r="AB252" s="1499"/>
      <c r="AC252" s="1500"/>
      <c r="AD252" s="395" t="s">
        <v>304</v>
      </c>
      <c r="AE252" s="385" t="s">
        <v>305</v>
      </c>
      <c r="AG252" s="107" t="s">
        <v>306</v>
      </c>
    </row>
    <row customHeight="1" ht="19.0125">
      <c r="E253" s="639">
        <v>19.5</v>
      </c>
      <c r="Z253" s="107"/>
      <c r="AB253" s="1499"/>
      <c r="AC253" s="1500"/>
      <c r="AD253" s="395" t="s">
        <v>307</v>
      </c>
      <c r="AE253" s="385" t="s">
        <v>308</v>
      </c>
      <c r="AG253" s="107" t="s">
        <v>309</v>
      </c>
    </row>
    <row customHeight="1" ht="19.0125">
      <c r="E254" s="639">
        <v>19.5</v>
      </c>
      <c r="Z254" s="107"/>
      <c r="AB254" s="1499"/>
      <c r="AC254" s="1500"/>
      <c r="AD254" s="395" t="s">
        <v>310</v>
      </c>
      <c r="AE254" s="385" t="s">
        <v>311</v>
      </c>
      <c r="AG254" s="107" t="s">
        <v>312</v>
      </c>
    </row>
    <row customHeight="1" ht="19.0125">
      <c r="E255" s="639">
        <v>19.5</v>
      </c>
      <c r="Z255" s="107"/>
      <c r="AB255" s="1499"/>
      <c r="AC255" s="1500"/>
      <c r="AD255" s="395" t="s">
        <v>313</v>
      </c>
      <c r="AE255" s="385" t="s">
        <v>314</v>
      </c>
      <c r="AG255" s="107" t="s">
        <v>315</v>
      </c>
    </row>
    <row customHeight="1" ht="19.0125" hidden="1">
      <c r="E256" s="639">
        <v>19.5</v>
      </c>
      <c r="W256" s="501">
        <f>ROW(X256)&gt;ROW(X$256)</f>
        <v>0</v>
      </c>
      <c r="X256" s="107" t="s">
        <v>265</v>
      </c>
      <c r="Z256" s="107"/>
      <c r="AB256" s="1499"/>
      <c r="AC256" s="1500"/>
      <c r="AD256" s="1408"/>
      <c r="AE256" s="1398"/>
      <c r="AF256" s="638" t="s">
        <v>175</v>
      </c>
    </row>
    <row customHeight="1" ht="14.625">
      <c r="E257" s="639">
        <v>15</v>
      </c>
      <c r="X257" s="297" t="s">
        <v>177</v>
      </c>
      <c r="Z257" s="107"/>
      <c r="AB257" s="1499"/>
      <c r="AC257" s="1500"/>
      <c r="AD257" s="396" t="s">
        <v>316</v>
      </c>
      <c r="AE257" s="368"/>
    </row>
    <row customHeight="1" ht="19.0125">
      <c r="E258" s="639">
        <v>19.5</v>
      </c>
      <c r="Z258" s="107"/>
      <c r="AB258" s="1499"/>
      <c r="AC258" s="1500"/>
      <c r="AD258" s="395" t="s">
        <v>317</v>
      </c>
      <c r="AE258" s="397" cm="1" t="str">
        <f t="array" ref="AE258:AE258">method_reg</f>
        <v>Метод индексации</v>
      </c>
    </row>
    <row customHeight="1" ht="19.0125">
      <c r="E259" s="639">
        <v>19.5</v>
      </c>
      <c r="Z259" s="107"/>
      <c r="AB259" s="1499"/>
      <c r="AC259" s="1500"/>
      <c r="AD259" s="395" t="s">
        <v>105</v>
      </c>
      <c r="AE259" s="398" cm="1" t="str">
        <f t="array" ref="AE259:AE259">god</f>
        <v>2026</v>
      </c>
    </row>
    <row customHeight="1" ht="19.0125">
      <c r="B260" s="445">
        <f>AND(NOT(method_reg="Метод экономически обоснованных расходов"),NOT(method_reg="Метод сравнения аналогов"))</f>
        <v>1</v>
      </c>
      <c r="E260" s="639">
        <v>19.5</v>
      </c>
      <c r="Z260" s="107"/>
      <c r="AB260" s="1499"/>
      <c r="AC260" s="1500"/>
      <c r="AD260" s="395" t="s">
        <v>106</v>
      </c>
      <c r="AE260" s="398" cm="1" t="str">
        <f t="array" ref="AE260:AE260">first_year</f>
        <v>2026</v>
      </c>
    </row>
    <row customHeight="1" ht="19.0125">
      <c r="B261" s="445">
        <f>AND(NOT(method_reg="Метод экономически обоснованных расходов"),NOT(method_reg="Метод сравнения аналогов"))</f>
        <v>1</v>
      </c>
      <c r="E261" s="639">
        <v>19.5</v>
      </c>
      <c r="Z261" s="107"/>
      <c r="AB261" s="1501"/>
      <c r="AC261" s="1502"/>
      <c r="AD261" s="395" t="s">
        <v>107</v>
      </c>
      <c r="AE261" s="398" cm="1" t="str">
        <f t="array" ref="AE261:AE261">PERIOD_LENGTH</f>
        <v>5</v>
      </c>
    </row>
    <row customHeight="1" ht="37.05">
      <c r="E262" s="639">
        <v>38</v>
      </c>
      <c r="Z262" s="107"/>
      <c r="AB262" s="1503" t="s">
        <v>318</v>
      </c>
      <c r="AC262" s="1504"/>
      <c r="AD262" s="1505"/>
      <c r="AE262" s="392" t="s">
        <v>161</v>
      </c>
      <c r="AF262" s="479"/>
    </row>
    <row customHeight="1" ht="10.96875">
      <c r="E263" s="639">
        <v>11.25</v>
      </c>
      <c r="Z263" s="107"/>
      <c r="AF263" s="426"/>
    </row>
    <row s="1834" customFormat="1" customHeight="1" ht="19.0125" hidden="1">
      <c r="A264" s="1834"/>
      <c r="B264" s="445">
        <f>AND(NOT(god=first_year),(method_reg="Метод индексации"))</f>
        <v>0</v>
      </c>
      <c r="C264" s="1834"/>
      <c r="D264" s="1834"/>
      <c r="E264" s="640">
        <v>19.5</v>
      </c>
      <c r="F264" s="1834"/>
      <c r="G264" s="1834"/>
      <c r="H264" s="1834"/>
      <c r="I264" s="1834"/>
      <c r="J264" s="1834"/>
      <c r="K264" s="1834"/>
      <c r="L264" s="1834"/>
      <c r="M264" s="1834"/>
      <c r="N264" s="1834"/>
      <c r="O264" s="1834"/>
      <c r="P264" s="1834"/>
      <c r="Q264" s="1834"/>
      <c r="R264" s="1834"/>
      <c r="S264" s="1834"/>
      <c r="T264" s="1834"/>
      <c r="U264" s="1834"/>
      <c r="V264" s="1834"/>
      <c r="W264" s="1834"/>
      <c r="X264" s="406"/>
      <c r="Y264" s="1834"/>
      <c r="Z264" s="107"/>
      <c r="AA264" s="1834"/>
      <c r="AB264" s="1503" t="s">
        <v>319</v>
      </c>
      <c r="AC264" s="1504"/>
      <c r="AD264" s="1505"/>
      <c r="AE264" s="1396"/>
      <c r="AF264" s="638"/>
      <c r="AG264" s="0" t="s">
        <v>320</v>
      </c>
      <c r="AH264" s="0"/>
      <c r="AI264" s="0"/>
      <c r="AJ264" s="482"/>
      <c r="AK264" s="482"/>
      <c r="AL264" s="482"/>
      <c r="AM264" s="482"/>
      <c r="AN264" s="482"/>
      <c r="AO264" s="0"/>
      <c r="AP264" s="0"/>
      <c r="AQ264" s="0"/>
      <c r="AR264" s="0"/>
      <c r="AS264" s="0"/>
      <c r="AT264" s="0"/>
      <c r="AU264" s="0"/>
      <c r="AV264" s="0"/>
      <c r="AW264" s="0"/>
      <c r="AX264" s="0"/>
      <c r="AY264" s="0"/>
      <c r="AZ264" s="0"/>
      <c r="BA264" s="0"/>
    </row>
    <row customHeight="1" ht="11.25">
      <c r="Z265" s="107"/>
      <c r="AF265" s="426"/>
    </row>
  </sheetData>
  <sheetProtection formatColumns="0" formatRows="0" insertRows="0" deleteColumns="0" deleteRows="0" sort="0" autoFilter="0" insertColumns="1"/>
  <mergeCells count="173">
    <mergeCell ref="Z180:Z193"/>
    <mergeCell ref="AF180:AF193"/>
    <mergeCell ref="AB176:AC178"/>
    <mergeCell ref="AB175:AD175"/>
    <mergeCell ref="AC143:AD143"/>
    <mergeCell ref="AC144:AD144"/>
    <mergeCell ref="AC145:AD145"/>
    <mergeCell ref="AC146:AD146"/>
    <mergeCell ref="AC147:AD147"/>
    <mergeCell ref="AC148:AD148"/>
    <mergeCell ref="AB168:AE168"/>
    <mergeCell ref="AB169:AE169"/>
    <mergeCell ref="AB170:AE170"/>
    <mergeCell ref="AB171:AE171"/>
    <mergeCell ref="AB172:AE172"/>
    <mergeCell ref="AB174:AE174"/>
    <mergeCell ref="AB162:AE162"/>
    <mergeCell ref="AB163:AE163"/>
    <mergeCell ref="AB164:AE164"/>
    <mergeCell ref="AB165:AE165"/>
    <mergeCell ref="AB166:AE166"/>
    <mergeCell ref="AB167:AE167"/>
    <mergeCell ref="AB179:AC250"/>
    <mergeCell ref="AA180:AA193"/>
    <mergeCell ref="AB161:AE161"/>
    <mergeCell ref="AB136:AD136"/>
    <mergeCell ref="AB137:AB142"/>
    <mergeCell ref="AC137:AD137"/>
    <mergeCell ref="AC138:AD138"/>
    <mergeCell ref="AC139:AD139"/>
    <mergeCell ref="AC140:AD140"/>
    <mergeCell ref="AC141:AD141"/>
    <mergeCell ref="AC142:AD142"/>
    <mergeCell ref="AB151:AD151"/>
    <mergeCell ref="AB150:AD150"/>
    <mergeCell ref="AB153:AC156"/>
    <mergeCell ref="AB158:AE158"/>
    <mergeCell ref="AB159:AE159"/>
    <mergeCell ref="AB160:AE160"/>
    <mergeCell ref="AB143:AB148"/>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B59:AD59"/>
    <mergeCell ref="AB60:AD60"/>
    <mergeCell ref="AB62:AD62"/>
    <mergeCell ref="AB71:AD71"/>
    <mergeCell ref="AB72:AD72"/>
    <mergeCell ref="AB73:AB77"/>
    <mergeCell ref="AC78:AD78"/>
    <mergeCell ref="AC79:AD79"/>
    <mergeCell ref="AC80:AD80"/>
    <mergeCell ref="AB65:AD65"/>
    <mergeCell ref="AB66:AD66"/>
    <mergeCell ref="AB67:AD67"/>
    <mergeCell ref="AB68:AD68"/>
    <mergeCell ref="AB69:AD69"/>
    <mergeCell ref="AC73:AD73"/>
    <mergeCell ref="AC74:AD74"/>
    <mergeCell ref="AC75:AD75"/>
    <mergeCell ref="AC76:AD76"/>
    <mergeCell ref="AC77:AD77"/>
    <mergeCell ref="AB78:AB82"/>
    <mergeCell ref="AC81:AD81"/>
    <mergeCell ref="AC82:AD82"/>
    <mergeCell ref="AB61:AD61"/>
    <mergeCell ref="AC88:AD88"/>
    <mergeCell ref="AB108:AD108"/>
    <mergeCell ref="AB109:AB114"/>
    <mergeCell ref="AC109:AD109"/>
    <mergeCell ref="AC110:AD110"/>
    <mergeCell ref="AC111:AD111"/>
    <mergeCell ref="AC112:AD112"/>
    <mergeCell ref="AC113:AD113"/>
    <mergeCell ref="AC114:AD114"/>
    <mergeCell ref="AB96:AD96"/>
    <mergeCell ref="AB97:AB101"/>
    <mergeCell ref="AC97:AD97"/>
    <mergeCell ref="AC98:AD98"/>
    <mergeCell ref="AC99:AD99"/>
    <mergeCell ref="AC100:AD100"/>
    <mergeCell ref="AC101:AD101"/>
    <mergeCell ref="AC89:AD89"/>
    <mergeCell ref="AB251:AC261"/>
    <mergeCell ref="AB262:AD262"/>
    <mergeCell ref="AB264:AD264"/>
    <mergeCell ref="AA78:AA82"/>
    <mergeCell ref="AA90:AA94"/>
    <mergeCell ref="AB90:AB94"/>
    <mergeCell ref="AC90:AD90"/>
    <mergeCell ref="AC91:AD91"/>
    <mergeCell ref="AC92:AD92"/>
    <mergeCell ref="AC93:AD93"/>
    <mergeCell ref="AC94:AD94"/>
    <mergeCell ref="AA102:AA106"/>
    <mergeCell ref="AB102:AB106"/>
    <mergeCell ref="AC102:AD102"/>
    <mergeCell ref="AC103:AD103"/>
    <mergeCell ref="AC104:AD104"/>
    <mergeCell ref="AC105:AD105"/>
    <mergeCell ref="AC106:AD106"/>
    <mergeCell ref="AB84:AD84"/>
    <mergeCell ref="AB85:AB89"/>
    <mergeCell ref="AC85:AD85"/>
    <mergeCell ref="AC125:AD125"/>
    <mergeCell ref="AC126:AD126"/>
    <mergeCell ref="AC127:AD127"/>
    <mergeCell ref="AC86:AD86"/>
    <mergeCell ref="AA143:AA148"/>
    <mergeCell ref="AB115:AB120"/>
    <mergeCell ref="AC115:AD115"/>
    <mergeCell ref="AC116:AD116"/>
    <mergeCell ref="AC117:AD117"/>
    <mergeCell ref="AC118:AD118"/>
    <mergeCell ref="AC119:AD119"/>
    <mergeCell ref="AC120:AD120"/>
    <mergeCell ref="AB129:AB134"/>
    <mergeCell ref="AC129:AD129"/>
    <mergeCell ref="AC130:AD130"/>
    <mergeCell ref="AC131:AD131"/>
    <mergeCell ref="AC132:AD132"/>
    <mergeCell ref="AC133:AD133"/>
    <mergeCell ref="AC134:AD134"/>
    <mergeCell ref="AA115:AA120"/>
    <mergeCell ref="AA129:AA134"/>
    <mergeCell ref="AB122:AD122"/>
    <mergeCell ref="AC128:AD128"/>
    <mergeCell ref="AB123:AB128"/>
    <mergeCell ref="AC123:AD123"/>
    <mergeCell ref="AC124:AD124"/>
    <mergeCell ref="AC87:AD87"/>
    <mergeCell ref="Z194:Z207"/>
    <mergeCell ref="AF194:AF207"/>
    <mergeCell ref="AA194:AA207"/>
    <mergeCell ref="Z208:Z221"/>
    <mergeCell ref="AF208:AF221"/>
    <mergeCell ref="AA208:AA221"/>
    <mergeCell ref="Z222:Z235"/>
    <mergeCell ref="AF222:AF235"/>
    <mergeCell ref="AA222:AA235"/>
    <mergeCell ref="Z236:Z249"/>
    <mergeCell ref="AF236:AF249"/>
    <mergeCell ref="AA236:AA249"/>
  </mergeCells>
  <dataValidations count="28">
    <dataValidation type="list" allowBlank="1" showInputMessage="1" showErrorMessage="1" errorTitle="Внимание" error="Пожалуйста, выберите значение из списка!" sqref="AE53 AE108 AE84 AE96 AE122 AE136 AE69 AE71:AE72 AE262 AE175 AE151">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DropDown="1" sqref="Z24">
      <formula1>year_list2</formula1>
    </dataValidation>
    <dataValidation type="list" showDropDown="1" sqref="Z26">
      <formula1>period_list</formula1>
    </dataValidation>
    <dataValidation type="list" showDropDown="1" sqref="Z45">
      <formula1>okopf_list</formula1>
    </dataValidation>
    <dataValidation type="list" showDropDown="1" sqref="Z53 Z262 Z71:Z72 Z84 Z96 Z108 Z122 Z136 Z151 Z56:Z60">
      <formula1>YES_NO</formula1>
    </dataValidation>
    <dataValidation type="list" showDropDown="1" showInputMessage="1" showErrorMessage="1" sqref="Z55">
      <formula1>OWNERSHIP_TYPE</formula1>
    </dataValidation>
    <dataValidation type="date" operator="notEqual" allowBlank="1" showInputMessage="1" showErrorMessage="1" sqref="Z81 Z88 Z100 Z126:Z134 Z140:Z148 Z76 Z93 Z105 Z112:Z120 Z178:Z179 Z250">
      <formula1>1</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79 AE86 AE98 AE110 AE124 AE138 AE176 AE74 AE91 AE103 AE116 AE130 AE144">
      <formula1>DOCUMENT_TYPES</formula1>
    </dataValidation>
    <dataValidation type="list" showInputMessage="1" showErrorMessage="1" errorTitle="Внимание" error="Пожалуйста, выберите значение из списка!" sqref="AE26">
      <formula1>period_list</formula1>
    </dataValidation>
    <dataValidation type="list" showDropDown="1" showInputMessage="1" showErrorMessage="1" sqref="Z94 Z77 Z61:Z62 Z82 Z89 Z101 Z106">
      <formula1>"FAS_URL"</formula1>
    </dataValidation>
    <dataValidation type="list" showDropDown="1" sqref="Z40">
      <formula1>subsidiary_list</formula1>
    </dataValidation>
    <dataValidation type="list" showInputMessage="1" showErrorMessage="1" errorTitle="Внимание" error="Пожалуйста, выберите значение из списка!" sqref="AE25">
      <formula1>YEAR_LIST</formula1>
    </dataValidation>
    <dataValidation type="list" allowBlank="1" showInputMessage="1" showErrorMessage="1" errorTitle="Ошибка" error="Выберите значение из списка" prompt="Выберите значение из списка" sqref="AE192 AE206 AE220 AE234 AE248">
      <formula1>YEAR_LIST</formula1>
    </dataValidation>
    <dataValidation type="list" allowBlank="1" showInputMessage="1" showErrorMessage="1" errorTitle="Ошибка" error="Выберите значение из списка" prompt="Выберите значение из списка" sqref="AE193 AE207 AE221 AE235 AE249">
      <formula1>period_list</formula1>
    </dataValidation>
    <dataValidation type="list" allowBlank="1" showInputMessage="1" showErrorMessage="1" errorTitle="Внимание" error="Пожалуйста, выберите значение из списка!" sqref="AE191 AE205 AE219 AE233 AE247">
      <formula1>TARIFF_CALC_METHOD</formula1>
    </dataValidation>
    <dataValidation type="list" allowBlank="1" showInputMessage="1" showErrorMessage="1" errorTitle="Ошибка" error="Выберите значение из списка" prompt="Выберите значение из списка" sqref="AE183 AE197 AE211 AE225 AE239">
      <formula1>tariff_type_list</formula1>
    </dataValidation>
    <dataValidation type="list" allowBlank="1" showInputMessage="1" showErrorMessage="1" sqref="AE23">
      <formula1>metod_list</formula1>
    </dataValidation>
    <dataValidation type="list" allowBlank="1" showInputMessage="1" showErrorMessage="1" sqref="AE264">
      <formula1>YES_NO</formula1>
    </dataValidation>
    <dataValidation type="list" allowBlank="1" showInputMessage="1" showErrorMessage="1" sqref="AB179">
      <formula1>"Заявление организации,Заявление организации (отсутствует)"</formula1>
    </dataValidation>
    <dataValidation type="list" allowBlank="1" showInputMessage="1" showErrorMessage="1" errorTitle="Ошибка" error="Выберите значение из списка" prompt="Выберите значение из списка" sqref="AE182 AE196 AE210">
      <formula1>COLDVSNA_VTARIFF</formula1>
    </dataValidation>
    <dataValidation type="list" allowBlank="1" showInputMessage="1" showErrorMessage="1" errorTitle="Ошибка" error="Выберите значение из списка" prompt="Выберите значение из списка" sqref="AE185 AE199 AE213">
      <formula1>COLDVSNA_VTOV</formula1>
    </dataValidation>
    <dataValidation type="textLength" operator="lessThanOrEqual" allowBlank="1" showInputMessage="1" showErrorMessage="1" errorTitle="Ошибка" error="Допускается ввод не более 900 символов!" sqref="AE65:AE67">
      <formula1>900</formula1>
    </dataValidation>
    <dataValidation type="list" allowBlank="1" showInputMessage="1" showErrorMessage="1" errorTitle="Ошибка" error="Выберите значение из списка" sqref="AE224">
      <formula1>VOTV_VTARIFF</formula1>
    </dataValidation>
    <dataValidation type="list" allowBlank="1" showInputMessage="1" showErrorMessage="1" errorTitle="Ошибка" error="Выберите значение из списка" sqref="AE227">
      <formula1>VOTV_VTOV</formula1>
    </dataValidation>
    <dataValidation type="list" allowBlank="1" showInputMessage="1" showErrorMessage="1" errorTitle="Ошибка" error="Выберите значение из списка" sqref="AE238">
      <formula1>VOTV_VTARIFF</formula1>
    </dataValidation>
    <dataValidation type="list" allowBlank="1" showInputMessage="1" showErrorMessage="1" errorTitle="Ошибка" error="Выберите значение из списка" sqref="AE241">
      <formula1>VOTV_VTOV</formula1>
    </dataValidation>
  </dataValidations>
  <hyperlinks>
    <hyperlink ref="AE61" r:id="rId3" xr:uid="{7FC095A8-F9F8-F0A8-2934-6B252D40F6D1}"/>
    <hyperlink ref="AE101" r:id="rId4" xr:uid="{A3C629E8-B4D8-5108-74D9-5B40ED9DEA01}"/>
    <hyperlink ref="AE156" r:id="rId5" xr:uid="{EB5936A8-B868-9F68-C608-D787AFB4475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51" man="1" max="1048576"/>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168F68-AAE5-43C8-76B1-6B24933F641C}" mc:Ignorable="x14ac xr xr2 xr3">
  <sheetPr>
    <tabColor theme="3" tint="0.6"/>
    <outlinePr summaryRight="0" summaryBelow="0"/>
    <pageSetUpPr fitToPage="1"/>
  </sheetPr>
  <dimension ref="A1:AR46"/>
  <sheetViews>
    <sheetView showGridLines="0" workbookViewId="0">
      <pane xSplit="31" ySplit="24" topLeftCell="AF29" activePane="bottomRight" state="frozen"/>
      <selection pane="bottomLeft" activeCell="A25" sqref="A25"/>
      <selection pane="topRight" activeCell="AF1" sqref="AF1"/>
      <selection pane="bottomRight" activeCell="AC31" sqref="AC31"/>
    </sheetView>
  </sheetViews>
  <sheetFormatPr defaultColWidth="9.140625" customHeight="1" defaultRowHeight="11.25"/>
  <cols>
    <col min="1" max="1" style="569" width="3.57421875" hidden="1" customWidth="1"/>
    <col min="2" max="2" style="1448" width="8.57421875" hidden="1" customWidth="1"/>
    <col min="3" max="4" style="569" width="3.57421875" hidden="1" customWidth="1"/>
    <col min="5" max="5" style="963" width="3.57421875" hidden="1" customWidth="1"/>
    <col min="6" max="16" style="569" width="3.57421875" hidden="1" customWidth="1"/>
    <col min="17" max="17" style="959" width="3.57421875" hidden="1" customWidth="1"/>
    <col min="18" max="19" style="569" width="3.57421875" hidden="1" customWidth="1"/>
    <col min="20" max="20" style="1442" width="3.57421875" hidden="1" customWidth="1"/>
    <col min="21" max="21" style="569" width="8.57421875" hidden="1" customWidth="1"/>
    <col min="22" max="25" style="569" width="6.00390625" hidden="1" customWidth="1"/>
    <col min="26" max="26" style="569" width="5.140625" hidden="1" customWidth="1"/>
    <col min="27" max="27" style="569" width="3.7109375" customWidth="1"/>
    <col min="28" max="28" style="114" width="11.00390625" customWidth="1"/>
    <col min="29" max="30" style="114" width="45.00390625" customWidth="1"/>
    <col min="31" max="31" style="120" width="14.00390625" customWidth="1"/>
    <col min="32" max="32" style="120" width="35.00390625" customWidth="1"/>
    <col min="33" max="33" style="114" width="35.00390625" customWidth="1"/>
    <col min="34" max="34" style="114" width="9.140625"/>
    <col min="35" max="41" style="569" width="9.140625" hidden="1"/>
    <col min="42" max="44" style="114" width="9.140625" hidden="1"/>
  </cols>
  <sheetData>
    <row customHeight="1" ht="11.25" hidden="1">
      <c r="E1" s="148"/>
      <c r="F1" s="148" t="s">
        <v>321</v>
      </c>
      <c r="G1" s="148" t="s">
        <v>322</v>
      </c>
      <c r="U1" s="467" t="s">
        <v>93</v>
      </c>
      <c r="V1" s="465" t="s">
        <v>98</v>
      </c>
      <c r="W1" s="465" t="s">
        <v>94</v>
      </c>
      <c r="X1" s="465" t="s">
        <v>95</v>
      </c>
      <c r="Y1" s="465" t="s">
        <v>96</v>
      </c>
      <c r="Z1" s="465" t="s">
        <v>100</v>
      </c>
      <c r="AA1" s="467" t="s">
        <v>97</v>
      </c>
      <c r="AB1" s="466" t="s">
        <v>323</v>
      </c>
      <c r="AC1" s="466" t="s">
        <v>99</v>
      </c>
      <c r="AI1" s="148" t="s">
        <v>324</v>
      </c>
      <c r="AJ1" s="148" t="s">
        <v>325</v>
      </c>
      <c r="AK1" s="148" t="s">
        <v>326</v>
      </c>
      <c r="AL1" s="148" t="s">
        <v>327</v>
      </c>
      <c r="AM1" s="148" t="s">
        <v>328</v>
      </c>
      <c r="AN1" s="148" t="s">
        <v>329</v>
      </c>
      <c r="AO1" s="148" t="s">
        <v>330</v>
      </c>
    </row>
    <row s="439" customFormat="1" customHeight="1" ht="11.25" hidden="1">
      <c r="A2" s="429"/>
      <c r="B2" s="961" t="s">
        <v>19</v>
      </c>
      <c r="C2" s="429"/>
      <c r="D2" s="429"/>
      <c r="E2" s="429"/>
      <c r="F2" s="429"/>
      <c r="G2" s="429"/>
      <c r="H2" s="429"/>
      <c r="I2" s="429"/>
      <c r="J2" s="429"/>
      <c r="K2" s="429"/>
      <c r="L2" s="429"/>
      <c r="M2" s="429"/>
      <c r="N2" s="429"/>
      <c r="O2" s="429"/>
      <c r="P2" s="429"/>
      <c r="Q2" s="429"/>
      <c r="R2" s="429"/>
      <c r="S2" s="429"/>
      <c r="T2" s="655"/>
      <c r="U2" s="297"/>
      <c r="V2" s="429"/>
      <c r="W2" s="429"/>
      <c r="X2" s="429"/>
      <c r="Y2" s="429"/>
      <c r="Z2" s="429"/>
      <c r="AA2" s="429"/>
      <c r="AI2" s="429"/>
      <c r="AJ2" s="429"/>
      <c r="AK2" s="429"/>
      <c r="AL2" s="429"/>
      <c r="AM2" s="429"/>
      <c r="AN2" s="429"/>
      <c r="AO2" s="429"/>
    </row>
    <row customHeight="1" ht="11.25" hidden="1">
      <c r="E3" s="148"/>
    </row>
    <row customHeight="1" ht="11.25" hidden="1">
      <c r="E4" s="148"/>
    </row>
    <row s="627" customFormat="1" customHeight="1" ht="11.25" hidden="1">
      <c r="A5" s="148"/>
      <c r="B5" s="429"/>
      <c r="C5" s="148"/>
      <c r="D5" s="148"/>
      <c r="E5" s="962" t="s">
        <v>20</v>
      </c>
      <c r="F5" s="963"/>
      <c r="G5" s="963"/>
      <c r="H5" s="963"/>
      <c r="I5" s="963"/>
      <c r="J5" s="963"/>
      <c r="K5" s="963"/>
      <c r="L5" s="963"/>
      <c r="M5" s="963"/>
      <c r="N5" s="963"/>
      <c r="O5" s="963"/>
      <c r="P5" s="963"/>
      <c r="Q5" s="964"/>
      <c r="R5" s="963"/>
      <c r="S5" s="963"/>
      <c r="T5" s="965"/>
      <c r="U5" s="963"/>
      <c r="V5" s="963"/>
      <c r="W5" s="963"/>
      <c r="X5" s="963"/>
      <c r="Y5" s="963"/>
      <c r="Z5" s="963"/>
      <c r="AA5" s="621" t="s">
        <v>289</v>
      </c>
      <c r="AB5" s="639">
        <v>11</v>
      </c>
      <c r="AC5" s="639">
        <v>45</v>
      </c>
      <c r="AD5" s="639">
        <v>45</v>
      </c>
      <c r="AE5" s="639">
        <v>14</v>
      </c>
      <c r="AF5" s="639">
        <v>35</v>
      </c>
      <c r="AG5" s="639">
        <v>35</v>
      </c>
      <c r="AH5" s="627" t="s">
        <v>289</v>
      </c>
      <c r="AI5" s="963"/>
      <c r="AJ5" s="963"/>
      <c r="AK5" s="963"/>
      <c r="AL5" s="963"/>
      <c r="AM5" s="963"/>
      <c r="AN5" s="963"/>
      <c r="AO5" s="963"/>
    </row>
    <row customHeight="1" ht="11.25" hidden="1">
      <c r="A6" s="148" t="s">
        <v>331</v>
      </c>
      <c r="AC6" s="102" t="s">
        <v>332</v>
      </c>
      <c r="AD6" s="102" t="s">
        <v>333</v>
      </c>
      <c r="AE6" s="102" t="s">
        <v>334</v>
      </c>
      <c r="AF6" s="120" t="s">
        <v>335</v>
      </c>
      <c r="AG6" s="102" t="s">
        <v>336</v>
      </c>
    </row>
    <row s="569" customFormat="1" customHeight="1" ht="11.25" hidden="1">
      <c r="B7" s="429"/>
      <c r="E7" s="963"/>
      <c r="Q7" s="959"/>
      <c r="T7" s="960"/>
      <c r="AE7" s="204"/>
      <c r="AF7" s="204"/>
    </row>
    <row s="569" customFormat="1" customHeight="1" ht="11.25" hidden="1">
      <c r="B8" s="429"/>
      <c r="E8" s="963"/>
      <c r="Q8" s="959"/>
      <c r="T8" s="960"/>
      <c r="AE8" s="204"/>
      <c r="AF8" s="204"/>
    </row>
    <row s="569" customFormat="1" customHeight="1" ht="11.25" hidden="1">
      <c r="A9" s="148" t="s">
        <v>337</v>
      </c>
      <c r="B9" s="429"/>
      <c r="E9" s="963"/>
      <c r="Q9" s="959"/>
      <c r="T9" s="960"/>
      <c r="AE9" s="204"/>
      <c r="AF9" s="204" cm="1" t="str">
        <f t="array" ref="AF9:AF9">AF24</f>
        <v>Тип муниципального образования </v>
      </c>
      <c r="AG9" s="204" cm="1" t="str">
        <f t="array" ref="AG9:AG9">AG24</f>
        <v>Дополнительные сведения</v>
      </c>
    </row>
    <row s="569" customFormat="1" customHeight="1" ht="11.25" hidden="1">
      <c r="A10" s="148" t="s">
        <v>338</v>
      </c>
      <c r="B10" s="429"/>
      <c r="E10" s="963"/>
      <c r="Q10" s="959"/>
      <c r="T10" s="960"/>
      <c r="AC10" s="148" t="s">
        <v>326</v>
      </c>
      <c r="AD10" s="148" t="s">
        <v>327</v>
      </c>
      <c r="AE10" s="204" t="s">
        <v>328</v>
      </c>
      <c r="AF10" s="204"/>
    </row>
    <row s="569" customFormat="1" customHeight="1" ht="11.25" hidden="1">
      <c r="B11" s="429"/>
      <c r="E11" s="963"/>
      <c r="Q11" s="966"/>
      <c r="T11" s="960"/>
      <c r="AE11" s="204"/>
    </row>
    <row s="569" customFormat="1" customHeight="1" ht="11.25" hidden="1">
      <c r="B12" s="429"/>
      <c r="E12" s="963"/>
      <c r="Q12" s="966"/>
      <c r="T12" s="960"/>
    </row>
    <row s="569" customFormat="1" customHeight="1" ht="11.25" hidden="1">
      <c r="B13" s="429"/>
      <c r="E13" s="963"/>
      <c r="Q13" s="966"/>
      <c r="T13" s="960"/>
    </row>
    <row s="569" customFormat="1" customHeight="1" ht="11.25" hidden="1">
      <c r="B14" s="429"/>
      <c r="E14" s="963"/>
      <c r="Q14" s="966"/>
      <c r="T14" s="960"/>
    </row>
    <row s="569" customFormat="1" customHeight="1" ht="11.25" hidden="1">
      <c r="B15" s="429"/>
      <c r="E15" s="963"/>
      <c r="Q15" s="966"/>
      <c r="T15" s="960"/>
    </row>
    <row s="569" customFormat="1" customHeight="1" ht="11.25" hidden="1">
      <c r="B16" s="429"/>
      <c r="E16" s="963"/>
      <c r="Q16" s="966"/>
      <c r="T16" s="960"/>
    </row>
    <row customHeight="1" ht="11.25" hidden="1">
      <c r="Q17" s="966"/>
      <c r="AE17" s="102"/>
      <c r="AF17" s="102"/>
    </row>
    <row customHeight="1" ht="11.25" hidden="1">
      <c r="A18" s="148"/>
      <c r="Q18" s="966"/>
      <c r="AC18" s="102" t="s">
        <v>339</v>
      </c>
      <c r="AD18" s="102" t="s">
        <v>340</v>
      </c>
      <c r="AE18" s="102"/>
      <c r="AF18" s="102"/>
    </row>
    <row customHeight="1" ht="11.25" hidden="1">
      <c r="Q19" s="966"/>
      <c r="AE19" s="102"/>
      <c r="AF19" s="102"/>
    </row>
    <row customHeight="1" ht="11.25" hidden="1">
      <c r="Q20" s="966"/>
      <c r="AE20" s="102"/>
      <c r="AF20" s="102"/>
    </row>
    <row customHeight="1" ht="15">
      <c r="E21" s="963" t="s">
        <v>341</v>
      </c>
      <c r="Q21" s="966"/>
      <c r="U21" s="960"/>
      <c r="V21" s="960"/>
      <c r="W21" s="960"/>
      <c r="X21" s="960"/>
      <c r="Y21" s="960"/>
      <c r="Z21" s="960"/>
      <c r="AA21" s="960"/>
      <c r="AB21" s="113"/>
      <c r="AC21" s="365" cm="1" t="str">
        <f t="array" ref="AC21:AC21">tpl_title</f>
        <v>Кемеровская область / 2026 / ООО "Теплоэнерго" (ИНН:4214046200, КПП:421401001) / ДПР: 2026-2030</v>
      </c>
      <c r="AD21" s="113"/>
      <c r="AE21" s="113"/>
      <c r="AF21" s="113"/>
    </row>
    <row customHeight="1" ht="30">
      <c r="E22" s="963" t="s">
        <v>342</v>
      </c>
      <c r="Q22" s="966"/>
      <c r="S22" s="960"/>
      <c r="U22" s="960"/>
      <c r="V22" s="960"/>
      <c r="W22" s="960"/>
      <c r="X22" s="960"/>
      <c r="Y22" s="960"/>
      <c r="Z22" s="960"/>
      <c r="AA22" s="960"/>
      <c r="AB22" s="1541" t="s">
        <v>35</v>
      </c>
      <c r="AC22" s="1542"/>
      <c r="AD22" s="1542"/>
      <c r="AE22" s="1542"/>
      <c r="AF22" s="1542"/>
      <c r="AG22" s="1542"/>
    </row>
    <row customHeight="1" ht="11.25">
      <c r="E23" s="633" t="s">
        <v>343</v>
      </c>
      <c r="Q23" s="966"/>
      <c r="U23" s="967"/>
      <c r="V23" s="967"/>
      <c r="W23" s="967"/>
      <c r="X23" s="967"/>
      <c r="Y23" s="967"/>
      <c r="Z23" s="967"/>
      <c r="AA23" s="967"/>
      <c r="AB23" s="115"/>
      <c r="AC23" s="115"/>
      <c r="AD23" s="115"/>
      <c r="AE23" s="116"/>
      <c r="AF23" s="116"/>
      <c r="AG23" s="116"/>
    </row>
    <row customHeight="1" ht="28.5">
      <c r="E24" s="963" t="s">
        <v>344</v>
      </c>
      <c r="U24" s="967"/>
      <c r="V24" s="967"/>
      <c r="W24" s="967"/>
      <c r="X24" s="967"/>
      <c r="Y24" s="967"/>
      <c r="Z24" s="967"/>
      <c r="AA24" s="967"/>
      <c r="AB24" s="117" t="s">
        <v>22</v>
      </c>
      <c r="AC24" s="118" t="s">
        <v>339</v>
      </c>
      <c r="AD24" s="118" t="s">
        <v>340</v>
      </c>
      <c r="AE24" s="118" t="s">
        <v>345</v>
      </c>
      <c r="AF24" s="372" t="s">
        <v>346</v>
      </c>
      <c r="AG24" s="119" t="s">
        <v>273</v>
      </c>
    </row>
    <row customHeight="1" ht="11.25" hidden="1">
      <c r="E25" s="963">
        <v>0</v>
      </c>
      <c r="U25" s="967"/>
      <c r="V25" s="967"/>
      <c r="W25" s="967"/>
      <c r="X25" s="967"/>
      <c r="Y25" s="967"/>
      <c r="Z25" s="967"/>
      <c r="AA25" s="967"/>
      <c r="AB25" s="723"/>
      <c r="AC25" s="723"/>
      <c r="AD25" s="723"/>
      <c r="AE25" s="723"/>
      <c r="AF25" s="723"/>
      <c r="AG25" s="723"/>
    </row>
    <row customHeight="1" ht="15" hidden="1">
      <c r="A26" s="569"/>
      <c r="B26" s="1448"/>
      <c r="C26" s="569"/>
      <c r="D26" s="569"/>
      <c r="E26" s="963" t="s">
        <v>341</v>
      </c>
      <c r="F26" s="143" cm="1" t="str">
        <f t="array" ref="F26:F26">Y26</f>
        <v>0</v>
      </c>
      <c r="G26" s="569"/>
      <c r="H26" s="569"/>
      <c r="I26" s="569"/>
      <c r="J26" s="569"/>
      <c r="K26" s="569"/>
      <c r="L26" s="569"/>
      <c r="M26" s="569"/>
      <c r="N26" s="569"/>
      <c r="O26" s="569"/>
      <c r="P26" s="569"/>
      <c r="Q26" s="959"/>
      <c r="R26" s="569"/>
      <c r="S26" s="569"/>
      <c r="T26" s="1442"/>
      <c r="U26" s="467">
        <f>Y26&gt;0</f>
        <v>0</v>
      </c>
      <c r="V26" s="470"/>
      <c r="W26" s="471" t="s">
        <v>265</v>
      </c>
      <c r="X26" s="470"/>
      <c r="Y26" s="1543">
        <v>0</v>
      </c>
      <c r="Z26" s="1544"/>
      <c r="AA26" s="968"/>
      <c r="AB26" s="180" cm="1" t="str">
        <f t="array" ref="AB26:AB26">INDEX('Общие сведения'!$AG$179:$AG$250,MATCH($Y26,'Общие сведения'!$Z$179:$Z$250,0))</f>
        <v>Тариф 0 () - </v>
      </c>
      <c r="AC26" s="174"/>
      <c r="AD26" s="174"/>
      <c r="AE26" s="174"/>
      <c r="AF26" s="174"/>
      <c r="AG26" s="174"/>
      <c r="AH26" s="114"/>
      <c r="AI26" s="569"/>
      <c r="AJ26" s="569"/>
      <c r="AK26" s="569"/>
      <c r="AL26" s="569"/>
      <c r="AM26" s="569"/>
      <c r="AN26" s="569"/>
      <c r="AO26" s="569"/>
      <c r="AP26" s="114"/>
      <c r="AQ26" s="114"/>
      <c r="AR26" s="114"/>
    </row>
    <row customHeight="1" ht="15" hidden="1">
      <c r="A27" s="569"/>
      <c r="B27" s="1448"/>
      <c r="C27" s="569"/>
      <c r="D27" s="569"/>
      <c r="E27" s="963" t="s">
        <v>341</v>
      </c>
      <c r="F27" s="143" cm="1" t="str">
        <f t="array" ref="F27:F27">OFFSET(E27,-1,1)</f>
        <v>0</v>
      </c>
      <c r="G27" s="148" cm="1" t="str">
        <f t="array" ref="G27:G27">AB27</f>
        <v>0</v>
      </c>
      <c r="H27" s="569"/>
      <c r="I27" s="569"/>
      <c r="J27" s="569"/>
      <c r="K27" s="569"/>
      <c r="L27" s="569"/>
      <c r="M27" s="569"/>
      <c r="N27" s="569"/>
      <c r="O27" s="569"/>
      <c r="P27" s="569"/>
      <c r="Q27" s="959"/>
      <c r="R27" s="569"/>
      <c r="S27" s="569"/>
      <c r="T27" s="969"/>
      <c r="U27" s="467">
        <f>AND(F27&gt;0,AB27&gt;0)</f>
        <v>0</v>
      </c>
      <c r="V27" s="472"/>
      <c r="W27" s="473"/>
      <c r="X27" s="757" t="s">
        <v>174</v>
      </c>
      <c r="Y27" s="1543"/>
      <c r="Z27" s="1544"/>
      <c r="AA27" s="662" t="s">
        <v>175</v>
      </c>
      <c r="AB27" s="646">
        <v>0</v>
      </c>
      <c r="AC27" s="758"/>
      <c r="AD27" s="179"/>
      <c r="AE27" s="179"/>
      <c r="AF27" s="1889"/>
      <c r="AG27" s="1890"/>
      <c r="AH27" s="114"/>
      <c r="AI27" s="148" t="s">
        <v>347</v>
      </c>
      <c r="AJ27" s="148" t="s">
        <v>348</v>
      </c>
      <c r="AK27" s="148" cm="1" t="str">
        <f t="array" ref="AK27:AK27">AC27</f>
        <v>0</v>
      </c>
      <c r="AL27" s="148" cm="1" t="str">
        <f t="array" ref="AL27:AL27">AD27</f>
        <v>0</v>
      </c>
      <c r="AM27" s="148" cm="1" t="str">
        <f t="array" ref="AM27:AM27">AE27</f>
        <v>0</v>
      </c>
      <c r="AN27" s="569"/>
      <c r="AO27" s="148" t="b">
        <v>1</v>
      </c>
      <c r="AP27" s="114"/>
      <c r="AQ27" s="114"/>
      <c r="AR27" s="114"/>
    </row>
    <row customHeight="1" ht="15" hidden="1">
      <c r="A28" s="569"/>
      <c r="B28" s="1448"/>
      <c r="C28" s="569"/>
      <c r="D28" s="569"/>
      <c r="E28" s="963" t="s">
        <v>341</v>
      </c>
      <c r="F28" s="143" cm="1" t="str">
        <f t="array" ref="F28:F28">OFFSET(E28,-1,1)</f>
        <v>0</v>
      </c>
      <c r="G28" s="148" t="s">
        <v>349</v>
      </c>
      <c r="H28" s="569"/>
      <c r="I28" s="569"/>
      <c r="J28" s="569"/>
      <c r="K28" s="569"/>
      <c r="L28" s="569"/>
      <c r="M28" s="569"/>
      <c r="N28" s="569"/>
      <c r="O28" s="569"/>
      <c r="P28" s="757"/>
      <c r="Q28" s="959"/>
      <c r="R28" s="569"/>
      <c r="S28" s="569"/>
      <c r="T28" s="1442"/>
      <c r="U28" s="467" cm="1" t="str">
        <f t="array" ref="U28:U28">U26</f>
        <v>false</v>
      </c>
      <c r="V28" s="569"/>
      <c r="W28" s="569"/>
      <c r="X28" s="757" t="s">
        <v>350</v>
      </c>
      <c r="Y28" s="1543"/>
      <c r="Z28" s="1544"/>
      <c r="AA28" s="468"/>
      <c r="AB28" s="175"/>
      <c r="AC28" s="260" t="s">
        <v>351</v>
      </c>
      <c r="AD28" s="176"/>
      <c r="AE28" s="176"/>
      <c r="AF28" s="176"/>
      <c r="AG28" s="177"/>
      <c r="AH28" s="114"/>
      <c r="AI28" s="569"/>
      <c r="AJ28" s="569"/>
      <c r="AK28" s="569"/>
      <c r="AL28" s="569"/>
      <c r="AM28" s="569"/>
      <c r="AN28" s="148" t="s">
        <v>348</v>
      </c>
      <c r="AO28" s="569"/>
      <c r="AP28" s="114"/>
      <c r="AQ28" s="114"/>
      <c r="AR28" s="114"/>
    </row>
    <row s="1834" customFormat="1" customHeight="1" ht="15">
      <c r="A29" s="569"/>
      <c r="B29" s="1448"/>
      <c r="C29" s="569"/>
      <c r="D29" s="569"/>
      <c r="E29" s="963" t="s">
        <v>341</v>
      </c>
      <c r="F29" s="143" cm="1" t="str">
        <f t="array" ref="F29:F29">Y29</f>
        <v>1</v>
      </c>
      <c r="G29" s="569"/>
      <c r="H29" s="569"/>
      <c r="I29" s="569"/>
      <c r="J29" s="569"/>
      <c r="K29" s="569"/>
      <c r="L29" s="569"/>
      <c r="M29" s="569"/>
      <c r="N29" s="569"/>
      <c r="O29" s="569"/>
      <c r="P29" s="569"/>
      <c r="Q29" s="959"/>
      <c r="R29" s="569"/>
      <c r="S29" s="569"/>
      <c r="T29" s="1442"/>
      <c r="U29" s="467">
        <f>Y29&gt;0</f>
        <v>1</v>
      </c>
      <c r="V29" s="470"/>
      <c r="W29" s="471" cm="1" t="str">
        <f t="array" ref="W29:W29">'Общие сведения'!$AG$194</f>
        <v>Тариф 1 (Водоснабжение) - тариф на питьевую воду (Доп. признак не требуется)</v>
      </c>
      <c r="X29" s="470"/>
      <c r="Y29" s="1543" t="s">
        <v>276</v>
      </c>
      <c r="Z29" s="1544"/>
      <c r="AA29" s="968"/>
      <c r="AB29" s="180" cm="1" t="str">
        <f t="array" ref="AB29:AB29">'Общие сведения'!$AG$194</f>
        <v>Тариф 1 (Водоснабжение) - тариф на питьевую воду (Доп. признак не требуется)</v>
      </c>
      <c r="AC29" s="174"/>
      <c r="AD29" s="174"/>
      <c r="AE29" s="174"/>
      <c r="AF29" s="174"/>
      <c r="AG29" s="174"/>
      <c r="AH29" s="114"/>
      <c r="AI29" s="569"/>
      <c r="AJ29" s="569"/>
      <c r="AK29" s="569"/>
      <c r="AL29" s="569"/>
      <c r="AM29" s="569"/>
      <c r="AN29" s="569"/>
      <c r="AO29" s="569"/>
      <c r="AP29" s="114"/>
      <c r="AQ29" s="114"/>
      <c r="AR29" s="114"/>
    </row>
    <row s="1834" customFormat="1" customHeight="1" ht="15" hidden="1">
      <c r="A30" s="569"/>
      <c r="B30" s="1448"/>
      <c r="C30" s="569"/>
      <c r="D30" s="569"/>
      <c r="E30" s="963" t="s">
        <v>341</v>
      </c>
      <c r="F30" s="143" cm="1" t="str">
        <f t="array" ref="F30:F30">OFFSET(E30,-1,1)</f>
        <v>1</v>
      </c>
      <c r="G30" s="148" cm="1" t="str">
        <f t="array" ref="G30:G30">AB30</f>
        <v>0</v>
      </c>
      <c r="H30" s="569"/>
      <c r="I30" s="569"/>
      <c r="J30" s="569"/>
      <c r="K30" s="569"/>
      <c r="L30" s="569"/>
      <c r="M30" s="569"/>
      <c r="N30" s="569"/>
      <c r="O30" s="569"/>
      <c r="P30" s="569"/>
      <c r="Q30" s="959"/>
      <c r="R30" s="569"/>
      <c r="S30" s="569"/>
      <c r="T30" s="969"/>
      <c r="U30" s="467">
        <f>AND(F30&gt;0,AB30&gt;0)</f>
        <v>0</v>
      </c>
      <c r="V30" s="472"/>
      <c r="W30" s="473"/>
      <c r="X30" s="757" t="s">
        <v>174</v>
      </c>
      <c r="Y30" s="1543"/>
      <c r="Z30" s="1544"/>
      <c r="AA30" s="662" t="s">
        <v>175</v>
      </c>
      <c r="AB30" s="646">
        <v>0</v>
      </c>
      <c r="AC30" s="758"/>
      <c r="AD30" s="179"/>
      <c r="AE30" s="179"/>
      <c r="AF30" s="1889"/>
      <c r="AG30" s="1890"/>
      <c r="AH30" s="114"/>
      <c r="AI30" s="148" t="s">
        <v>347</v>
      </c>
      <c r="AJ30" s="148" t="s">
        <v>348</v>
      </c>
      <c r="AK30" s="148" cm="1" t="str">
        <f t="array" ref="AK30:AK30">AC30</f>
        <v>0</v>
      </c>
      <c r="AL30" s="148" cm="1" t="str">
        <f t="array" ref="AL30:AL30">AD30</f>
        <v>0</v>
      </c>
      <c r="AM30" s="148" cm="1" t="str">
        <f t="array" ref="AM30:AM30">AE30</f>
        <v>0</v>
      </c>
      <c r="AN30" s="569"/>
      <c r="AO30" s="148" t="b">
        <v>1</v>
      </c>
      <c r="AP30" s="114"/>
      <c r="AQ30" s="114"/>
      <c r="AR30" s="114"/>
    </row>
    <row s="1834" customFormat="1" customHeight="1" ht="18.75">
      <c r="A31" s="569"/>
      <c r="B31" s="1448"/>
      <c r="C31" s="569"/>
      <c r="D31" s="569"/>
      <c r="E31" s="963" t="s">
        <v>341</v>
      </c>
      <c r="F31" s="143" cm="1" t="str">
        <f t="array" ref="F31:F31">OFFSET(E31,-1,1)</f>
        <v>1</v>
      </c>
      <c r="G31" s="148" cm="1" t="str">
        <f t="array" ref="G31:G31">AB31</f>
        <v>1</v>
      </c>
      <c r="H31" s="569"/>
      <c r="I31" s="569"/>
      <c r="J31" s="569"/>
      <c r="K31" s="569"/>
      <c r="L31" s="569"/>
      <c r="M31" s="569"/>
      <c r="N31" s="569"/>
      <c r="O31" s="569"/>
      <c r="P31" s="569"/>
      <c r="Q31" s="959"/>
      <c r="R31" s="569"/>
      <c r="S31" s="569"/>
      <c r="T31" s="969"/>
      <c r="U31" s="467">
        <f>AND(F31&gt;0,AB31&gt;0)</f>
        <v>1</v>
      </c>
      <c r="V31" s="472"/>
      <c r="W31" s="473"/>
      <c r="X31" s="757"/>
      <c r="Y31" s="1543"/>
      <c r="Z31" s="1544"/>
      <c r="AA31" s="662" t="s">
        <v>175</v>
      </c>
      <c r="AB31" s="646" t="s">
        <v>276</v>
      </c>
      <c r="AC31" s="758" t="s">
        <v>352</v>
      </c>
      <c r="AD31" s="179" t="s">
        <v>352</v>
      </c>
      <c r="AE31" s="179" t="s">
        <v>353</v>
      </c>
      <c r="AF31" s="939"/>
      <c r="AG31" s="196"/>
      <c r="AH31" s="114"/>
      <c r="AI31" s="148" t="s">
        <v>347</v>
      </c>
      <c r="AJ31" s="148" t="s">
        <v>348</v>
      </c>
      <c r="AK31" s="148" cm="1" t="str">
        <f t="array" ref="AK31:AK31">AC31</f>
        <v>город Осинники</v>
      </c>
      <c r="AL31" s="148" cm="1" t="str">
        <f t="array" ref="AL31:AL31">AD31</f>
        <v>город Осинники</v>
      </c>
      <c r="AM31" s="148" cm="1" t="str">
        <f t="array" ref="AM31:AM31">AE31</f>
        <v>32734000</v>
      </c>
      <c r="AN31" s="569"/>
      <c r="AO31" s="148" t="b">
        <v>1</v>
      </c>
      <c r="AP31" s="114"/>
      <c r="AQ31" s="114"/>
      <c r="AR31" s="114"/>
    </row>
    <row s="1834" customFormat="1" customHeight="1" ht="15">
      <c r="A32" s="569"/>
      <c r="B32" s="1448"/>
      <c r="C32" s="569"/>
      <c r="D32" s="569"/>
      <c r="E32" s="963" t="s">
        <v>341</v>
      </c>
      <c r="F32" s="143" cm="1" t="str">
        <f t="array" ref="F32:F32">OFFSET(E32,-1,1)</f>
        <v>1</v>
      </c>
      <c r="G32" s="148" t="s">
        <v>349</v>
      </c>
      <c r="H32" s="569"/>
      <c r="I32" s="569"/>
      <c r="J32" s="569"/>
      <c r="K32" s="569"/>
      <c r="L32" s="569"/>
      <c r="M32" s="569"/>
      <c r="N32" s="569"/>
      <c r="O32" s="569"/>
      <c r="P32" s="757"/>
      <c r="Q32" s="959"/>
      <c r="R32" s="569"/>
      <c r="S32" s="569"/>
      <c r="T32" s="1442"/>
      <c r="U32" s="467" cm="1" t="str">
        <f t="array" ref="U32:U32">U29</f>
        <v>true</v>
      </c>
      <c r="V32" s="569"/>
      <c r="W32" s="569"/>
      <c r="X32" s="757" t="s">
        <v>350</v>
      </c>
      <c r="Y32" s="1543"/>
      <c r="Z32" s="1544"/>
      <c r="AA32" s="468"/>
      <c r="AB32" s="175"/>
      <c r="AC32" s="260" t="s">
        <v>351</v>
      </c>
      <c r="AD32" s="176"/>
      <c r="AE32" s="176"/>
      <c r="AF32" s="176"/>
      <c r="AG32" s="177"/>
      <c r="AH32" s="114"/>
      <c r="AI32" s="569"/>
      <c r="AJ32" s="569"/>
      <c r="AK32" s="569"/>
      <c r="AL32" s="569"/>
      <c r="AM32" s="569"/>
      <c r="AN32" s="148" t="s">
        <v>348</v>
      </c>
      <c r="AO32" s="569"/>
      <c r="AP32" s="114"/>
      <c r="AQ32" s="114"/>
      <c r="AR32" s="114"/>
    </row>
    <row s="1834" customFormat="1" customHeight="1" ht="15">
      <c r="A33" s="569"/>
      <c r="B33" s="1448"/>
      <c r="C33" s="569"/>
      <c r="D33" s="569"/>
      <c r="E33" s="963" t="s">
        <v>341</v>
      </c>
      <c r="F33" s="143" cm="1" t="str">
        <f t="array" ref="F33:F33">Y33</f>
        <v>2</v>
      </c>
      <c r="G33" s="569"/>
      <c r="H33" s="569"/>
      <c r="I33" s="569"/>
      <c r="J33" s="569"/>
      <c r="K33" s="569"/>
      <c r="L33" s="569"/>
      <c r="M33" s="569"/>
      <c r="N33" s="569"/>
      <c r="O33" s="569"/>
      <c r="P33" s="569"/>
      <c r="Q33" s="959"/>
      <c r="R33" s="569"/>
      <c r="S33" s="569"/>
      <c r="T33" s="1442"/>
      <c r="U33" s="467">
        <f>Y33&gt;0</f>
        <v>1</v>
      </c>
      <c r="V33" s="470"/>
      <c r="W33" s="471" cm="1" t="str">
        <f t="array" ref="W33:W33">'Общие сведения'!$AG$208</f>
        <v>Тариф 2 (Водоснабжение) - тариф на питьевую воду (Доп. признак не требуется)</v>
      </c>
      <c r="X33" s="470"/>
      <c r="Y33" s="1543" t="s">
        <v>285</v>
      </c>
      <c r="Z33" s="1544"/>
      <c r="AA33" s="968"/>
      <c r="AB33" s="180" cm="1" t="str">
        <f t="array" ref="AB33:AB33">'Общие сведения'!$AG$208</f>
        <v>Тариф 2 (Водоснабжение) - тариф на питьевую воду (Доп. признак не требуется)</v>
      </c>
      <c r="AC33" s="174"/>
      <c r="AD33" s="174"/>
      <c r="AE33" s="174"/>
      <c r="AF33" s="174"/>
      <c r="AG33" s="174"/>
      <c r="AH33" s="114"/>
      <c r="AI33" s="569"/>
      <c r="AJ33" s="569"/>
      <c r="AK33" s="569"/>
      <c r="AL33" s="569"/>
      <c r="AM33" s="569"/>
      <c r="AN33" s="569"/>
      <c r="AO33" s="569"/>
      <c r="AP33" s="114"/>
      <c r="AQ33" s="114"/>
      <c r="AR33" s="114"/>
    </row>
    <row s="1834" customFormat="1" customHeight="1" ht="15" hidden="1">
      <c r="A34" s="569"/>
      <c r="B34" s="1448"/>
      <c r="C34" s="569"/>
      <c r="D34" s="569"/>
      <c r="E34" s="963" t="s">
        <v>341</v>
      </c>
      <c r="F34" s="143" cm="1" t="str">
        <f t="array" ref="F34:F34">OFFSET(E34,-1,1)</f>
        <v>2</v>
      </c>
      <c r="G34" s="148" cm="1" t="str">
        <f t="array" ref="G34:G34">AB34</f>
        <v>0</v>
      </c>
      <c r="H34" s="569"/>
      <c r="I34" s="569"/>
      <c r="J34" s="569"/>
      <c r="K34" s="569"/>
      <c r="L34" s="569"/>
      <c r="M34" s="569"/>
      <c r="N34" s="569"/>
      <c r="O34" s="569"/>
      <c r="P34" s="569"/>
      <c r="Q34" s="959"/>
      <c r="R34" s="569"/>
      <c r="S34" s="569"/>
      <c r="T34" s="969"/>
      <c r="U34" s="467">
        <f>AND(F34&gt;0,AB34&gt;0)</f>
        <v>0</v>
      </c>
      <c r="V34" s="472"/>
      <c r="W34" s="473"/>
      <c r="X34" s="757" t="s">
        <v>174</v>
      </c>
      <c r="Y34" s="1543"/>
      <c r="Z34" s="1544"/>
      <c r="AA34" s="662" t="s">
        <v>175</v>
      </c>
      <c r="AB34" s="646">
        <v>0</v>
      </c>
      <c r="AC34" s="758"/>
      <c r="AD34" s="179"/>
      <c r="AE34" s="179"/>
      <c r="AF34" s="1889"/>
      <c r="AG34" s="1890"/>
      <c r="AH34" s="114"/>
      <c r="AI34" s="148" t="s">
        <v>347</v>
      </c>
      <c r="AJ34" s="148" t="s">
        <v>348</v>
      </c>
      <c r="AK34" s="148" cm="1" t="str">
        <f t="array" ref="AK34:AK34">AC34</f>
        <v>0</v>
      </c>
      <c r="AL34" s="148" cm="1" t="str">
        <f t="array" ref="AL34:AL34">AD34</f>
        <v>0</v>
      </c>
      <c r="AM34" s="148" cm="1" t="str">
        <f t="array" ref="AM34:AM34">AE34</f>
        <v>0</v>
      </c>
      <c r="AN34" s="569"/>
      <c r="AO34" s="148" t="b">
        <v>1</v>
      </c>
      <c r="AP34" s="114"/>
      <c r="AQ34" s="114"/>
      <c r="AR34" s="114"/>
    </row>
    <row s="1834" customFormat="1" customHeight="1" ht="18.75">
      <c r="A35" s="569"/>
      <c r="B35" s="1448"/>
      <c r="C35" s="569"/>
      <c r="D35" s="569"/>
      <c r="E35" s="963" t="s">
        <v>341</v>
      </c>
      <c r="F35" s="143" cm="1" t="str">
        <f t="array" ref="F35:F35">OFFSET(E35,-1,1)</f>
        <v>2</v>
      </c>
      <c r="G35" s="148" cm="1" t="str">
        <f t="array" ref="G35:G35">AB35</f>
        <v>1</v>
      </c>
      <c r="H35" s="569"/>
      <c r="I35" s="569"/>
      <c r="J35" s="569"/>
      <c r="K35" s="569"/>
      <c r="L35" s="569"/>
      <c r="M35" s="569"/>
      <c r="N35" s="569"/>
      <c r="O35" s="569"/>
      <c r="P35" s="569"/>
      <c r="Q35" s="959"/>
      <c r="R35" s="569"/>
      <c r="S35" s="569"/>
      <c r="T35" s="969"/>
      <c r="U35" s="467">
        <f>AND(F35&gt;0,AB35&gt;0)</f>
        <v>1</v>
      </c>
      <c r="V35" s="472"/>
      <c r="W35" s="473"/>
      <c r="X35" s="757"/>
      <c r="Y35" s="1543"/>
      <c r="Z35" s="1544"/>
      <c r="AA35" s="662" t="s">
        <v>175</v>
      </c>
      <c r="AB35" s="646" t="s">
        <v>276</v>
      </c>
      <c r="AC35" s="758" t="s">
        <v>354</v>
      </c>
      <c r="AD35" s="179" t="s">
        <v>354</v>
      </c>
      <c r="AE35" s="179" t="s">
        <v>355</v>
      </c>
      <c r="AF35" s="939"/>
      <c r="AG35" s="196"/>
      <c r="AH35" s="114"/>
      <c r="AI35" s="148" t="s">
        <v>347</v>
      </c>
      <c r="AJ35" s="148" t="s">
        <v>348</v>
      </c>
      <c r="AK35" s="148" cm="1" t="str">
        <f t="array" ref="AK35:AK35">AC35</f>
        <v>город Калтан</v>
      </c>
      <c r="AL35" s="148" cm="1" t="str">
        <f t="array" ref="AL35:AL35">AD35</f>
        <v>город Калтан</v>
      </c>
      <c r="AM35" s="148" cm="1" t="str">
        <f t="array" ref="AM35:AM35">AE35</f>
        <v>32715000</v>
      </c>
      <c r="AN35" s="569"/>
      <c r="AO35" s="148" t="b">
        <v>1</v>
      </c>
      <c r="AP35" s="114"/>
      <c r="AQ35" s="114"/>
      <c r="AR35" s="114"/>
    </row>
    <row s="1834" customFormat="1" customHeight="1" ht="15">
      <c r="A36" s="569"/>
      <c r="B36" s="1448"/>
      <c r="C36" s="569"/>
      <c r="D36" s="569"/>
      <c r="E36" s="963" t="s">
        <v>341</v>
      </c>
      <c r="F36" s="143" cm="1" t="str">
        <f t="array" ref="F36:F36">OFFSET(E36,-1,1)</f>
        <v>2</v>
      </c>
      <c r="G36" s="148" t="s">
        <v>349</v>
      </c>
      <c r="H36" s="569"/>
      <c r="I36" s="569"/>
      <c r="J36" s="569"/>
      <c r="K36" s="569"/>
      <c r="L36" s="569"/>
      <c r="M36" s="569"/>
      <c r="N36" s="569"/>
      <c r="O36" s="569"/>
      <c r="P36" s="757"/>
      <c r="Q36" s="959"/>
      <c r="R36" s="569"/>
      <c r="S36" s="569"/>
      <c r="T36" s="1442"/>
      <c r="U36" s="467" cm="1" t="str">
        <f t="array" ref="U36:U36">U33</f>
        <v>true</v>
      </c>
      <c r="V36" s="569"/>
      <c r="W36" s="569"/>
      <c r="X36" s="757" t="s">
        <v>350</v>
      </c>
      <c r="Y36" s="1543"/>
      <c r="Z36" s="1544"/>
      <c r="AA36" s="468"/>
      <c r="AB36" s="175"/>
      <c r="AC36" s="260" t="s">
        <v>351</v>
      </c>
      <c r="AD36" s="176"/>
      <c r="AE36" s="176"/>
      <c r="AF36" s="176"/>
      <c r="AG36" s="177"/>
      <c r="AH36" s="114"/>
      <c r="AI36" s="569"/>
      <c r="AJ36" s="569"/>
      <c r="AK36" s="569"/>
      <c r="AL36" s="569"/>
      <c r="AM36" s="569"/>
      <c r="AN36" s="148" t="s">
        <v>348</v>
      </c>
      <c r="AO36" s="569"/>
      <c r="AP36" s="114"/>
      <c r="AQ36" s="114"/>
      <c r="AR36" s="114"/>
    </row>
    <row s="1834" customFormat="1" customHeight="1" ht="15">
      <c r="A37" s="569"/>
      <c r="B37" s="1448"/>
      <c r="C37" s="569"/>
      <c r="D37" s="569"/>
      <c r="E37" s="963" t="s">
        <v>341</v>
      </c>
      <c r="F37" s="143" cm="1" t="str">
        <f t="array" ref="F37:F37">Y37</f>
        <v>3</v>
      </c>
      <c r="G37" s="569"/>
      <c r="H37" s="569"/>
      <c r="I37" s="569"/>
      <c r="J37" s="569"/>
      <c r="K37" s="569"/>
      <c r="L37" s="569"/>
      <c r="M37" s="569"/>
      <c r="N37" s="569"/>
      <c r="O37" s="569"/>
      <c r="P37" s="569"/>
      <c r="Q37" s="959"/>
      <c r="R37" s="569"/>
      <c r="S37" s="569"/>
      <c r="T37" s="1442"/>
      <c r="U37" s="467">
        <f>Y37&gt;0</f>
        <v>1</v>
      </c>
      <c r="V37" s="470"/>
      <c r="W37" s="471" cm="1" t="str">
        <f t="array" ref="W37:W37">'Общие сведения'!$AG$222</f>
        <v>Тариф 3 (Водоотведение) - тариф на водоотведение (Доп. признак не требуется)</v>
      </c>
      <c r="X37" s="470"/>
      <c r="Y37" s="1543" t="s">
        <v>289</v>
      </c>
      <c r="Z37" s="1544"/>
      <c r="AA37" s="968"/>
      <c r="AB37" s="180" cm="1" t="str">
        <f t="array" ref="AB37:AB37">'Общие сведения'!$AG$222</f>
        <v>Тариф 3 (Водоотведение) - тариф на водоотведение (Доп. признак не требуется)</v>
      </c>
      <c r="AC37" s="174"/>
      <c r="AD37" s="174"/>
      <c r="AE37" s="174"/>
      <c r="AF37" s="174"/>
      <c r="AG37" s="174"/>
      <c r="AH37" s="114"/>
      <c r="AI37" s="569"/>
      <c r="AJ37" s="569"/>
      <c r="AK37" s="569"/>
      <c r="AL37" s="569"/>
      <c r="AM37" s="569"/>
      <c r="AN37" s="569"/>
      <c r="AO37" s="569"/>
      <c r="AP37" s="114"/>
      <c r="AQ37" s="114"/>
      <c r="AR37" s="114"/>
    </row>
    <row s="1834" customFormat="1" customHeight="1" ht="15" hidden="1">
      <c r="A38" s="569"/>
      <c r="B38" s="1448"/>
      <c r="C38" s="569"/>
      <c r="D38" s="569"/>
      <c r="E38" s="963" t="s">
        <v>341</v>
      </c>
      <c r="F38" s="143" cm="1" t="str">
        <f t="array" ref="F38:F38">OFFSET(E38,-1,1)</f>
        <v>3</v>
      </c>
      <c r="G38" s="148" cm="1" t="str">
        <f t="array" ref="G38:G38">AB38</f>
        <v>0</v>
      </c>
      <c r="H38" s="569"/>
      <c r="I38" s="569"/>
      <c r="J38" s="569"/>
      <c r="K38" s="569"/>
      <c r="L38" s="569"/>
      <c r="M38" s="569"/>
      <c r="N38" s="569"/>
      <c r="O38" s="569"/>
      <c r="P38" s="569"/>
      <c r="Q38" s="959"/>
      <c r="R38" s="569"/>
      <c r="S38" s="569"/>
      <c r="T38" s="969"/>
      <c r="U38" s="467">
        <f>AND(F38&gt;0,AB38&gt;0)</f>
        <v>0</v>
      </c>
      <c r="V38" s="472"/>
      <c r="W38" s="473"/>
      <c r="X38" s="757" t="s">
        <v>174</v>
      </c>
      <c r="Y38" s="1543"/>
      <c r="Z38" s="1544"/>
      <c r="AA38" s="662" t="s">
        <v>175</v>
      </c>
      <c r="AB38" s="646">
        <v>0</v>
      </c>
      <c r="AC38" s="758"/>
      <c r="AD38" s="179"/>
      <c r="AE38" s="179"/>
      <c r="AF38" s="1889"/>
      <c r="AG38" s="1890"/>
      <c r="AH38" s="114"/>
      <c r="AI38" s="148" t="s">
        <v>347</v>
      </c>
      <c r="AJ38" s="148" t="s">
        <v>348</v>
      </c>
      <c r="AK38" s="148" cm="1" t="str">
        <f t="array" ref="AK38:AK38">AC38</f>
        <v>0</v>
      </c>
      <c r="AL38" s="148" cm="1" t="str">
        <f t="array" ref="AL38:AL38">AD38</f>
        <v>0</v>
      </c>
      <c r="AM38" s="148" cm="1" t="str">
        <f t="array" ref="AM38:AM38">AE38</f>
        <v>0</v>
      </c>
      <c r="AN38" s="569"/>
      <c r="AO38" s="148" t="b">
        <v>1</v>
      </c>
      <c r="AP38" s="114"/>
      <c r="AQ38" s="114"/>
      <c r="AR38" s="114"/>
    </row>
    <row s="1834" customFormat="1" customHeight="1" ht="18.75">
      <c r="A39" s="569"/>
      <c r="B39" s="1448"/>
      <c r="C39" s="569"/>
      <c r="D39" s="569"/>
      <c r="E39" s="963" t="s">
        <v>341</v>
      </c>
      <c r="F39" s="143" cm="1" t="str">
        <f t="array" ref="F39:F39">OFFSET(E39,-1,1)</f>
        <v>3</v>
      </c>
      <c r="G39" s="148" cm="1" t="str">
        <f t="array" ref="G39:G39">AB39</f>
        <v>1</v>
      </c>
      <c r="H39" s="569"/>
      <c r="I39" s="569"/>
      <c r="J39" s="569"/>
      <c r="K39" s="569"/>
      <c r="L39" s="569"/>
      <c r="M39" s="569"/>
      <c r="N39" s="569"/>
      <c r="O39" s="569"/>
      <c r="P39" s="569"/>
      <c r="Q39" s="959"/>
      <c r="R39" s="569"/>
      <c r="S39" s="569"/>
      <c r="T39" s="969"/>
      <c r="U39" s="467">
        <f>AND(F39&gt;0,AB39&gt;0)</f>
        <v>1</v>
      </c>
      <c r="V39" s="472"/>
      <c r="W39" s="473"/>
      <c r="X39" s="757"/>
      <c r="Y39" s="1543"/>
      <c r="Z39" s="1544"/>
      <c r="AA39" s="662" t="s">
        <v>175</v>
      </c>
      <c r="AB39" s="646" t="s">
        <v>276</v>
      </c>
      <c r="AC39" s="758" t="s">
        <v>352</v>
      </c>
      <c r="AD39" s="179" t="s">
        <v>352</v>
      </c>
      <c r="AE39" s="179" t="s">
        <v>353</v>
      </c>
      <c r="AF39" s="939"/>
      <c r="AG39" s="196"/>
      <c r="AH39" s="114"/>
      <c r="AI39" s="148" t="s">
        <v>347</v>
      </c>
      <c r="AJ39" s="148" t="s">
        <v>348</v>
      </c>
      <c r="AK39" s="148" cm="1" t="str">
        <f t="array" ref="AK39:AK39">AC39</f>
        <v>город Осинники</v>
      </c>
      <c r="AL39" s="148" cm="1" t="str">
        <f t="array" ref="AL39:AL39">AD39</f>
        <v>город Осинники</v>
      </c>
      <c r="AM39" s="148" cm="1" t="str">
        <f t="array" ref="AM39:AM39">AE39</f>
        <v>32734000</v>
      </c>
      <c r="AN39" s="569"/>
      <c r="AO39" s="148" t="b">
        <v>1</v>
      </c>
      <c r="AP39" s="114"/>
      <c r="AQ39" s="114"/>
      <c r="AR39" s="114"/>
    </row>
    <row s="1834" customFormat="1" customHeight="1" ht="15">
      <c r="A40" s="569"/>
      <c r="B40" s="1448"/>
      <c r="C40" s="569"/>
      <c r="D40" s="569"/>
      <c r="E40" s="963" t="s">
        <v>341</v>
      </c>
      <c r="F40" s="143" cm="1" t="str">
        <f t="array" ref="F40:F40">OFFSET(E40,-1,1)</f>
        <v>3</v>
      </c>
      <c r="G40" s="148" t="s">
        <v>349</v>
      </c>
      <c r="H40" s="569"/>
      <c r="I40" s="569"/>
      <c r="J40" s="569"/>
      <c r="K40" s="569"/>
      <c r="L40" s="569"/>
      <c r="M40" s="569"/>
      <c r="N40" s="569"/>
      <c r="O40" s="569"/>
      <c r="P40" s="757"/>
      <c r="Q40" s="959"/>
      <c r="R40" s="569"/>
      <c r="S40" s="569"/>
      <c r="T40" s="1442"/>
      <c r="U40" s="467" cm="1" t="str">
        <f t="array" ref="U40:U40">U37</f>
        <v>true</v>
      </c>
      <c r="V40" s="569"/>
      <c r="W40" s="569"/>
      <c r="X40" s="757" t="s">
        <v>350</v>
      </c>
      <c r="Y40" s="1543"/>
      <c r="Z40" s="1544"/>
      <c r="AA40" s="468"/>
      <c r="AB40" s="175"/>
      <c r="AC40" s="260" t="s">
        <v>351</v>
      </c>
      <c r="AD40" s="176"/>
      <c r="AE40" s="176"/>
      <c r="AF40" s="176"/>
      <c r="AG40" s="177"/>
      <c r="AH40" s="114"/>
      <c r="AI40" s="569"/>
      <c r="AJ40" s="569"/>
      <c r="AK40" s="569"/>
      <c r="AL40" s="569"/>
      <c r="AM40" s="569"/>
      <c r="AN40" s="148" t="s">
        <v>348</v>
      </c>
      <c r="AO40" s="569"/>
      <c r="AP40" s="114"/>
      <c r="AQ40" s="114"/>
      <c r="AR40" s="114"/>
    </row>
    <row s="1834" customFormat="1" customHeight="1" ht="15">
      <c r="A41" s="569"/>
      <c r="B41" s="1448"/>
      <c r="C41" s="569"/>
      <c r="D41" s="569"/>
      <c r="E41" s="963" t="s">
        <v>341</v>
      </c>
      <c r="F41" s="143" cm="1" t="str">
        <f t="array" ref="F41:F41">Y41</f>
        <v>4</v>
      </c>
      <c r="G41" s="569"/>
      <c r="H41" s="569"/>
      <c r="I41" s="569"/>
      <c r="J41" s="569"/>
      <c r="K41" s="569"/>
      <c r="L41" s="569"/>
      <c r="M41" s="569"/>
      <c r="N41" s="569"/>
      <c r="O41" s="569"/>
      <c r="P41" s="569"/>
      <c r="Q41" s="959"/>
      <c r="R41" s="569"/>
      <c r="S41" s="569"/>
      <c r="T41" s="1442"/>
      <c r="U41" s="467">
        <f>Y41&gt;0</f>
        <v>1</v>
      </c>
      <c r="V41" s="470"/>
      <c r="W41" s="471" cm="1" t="str">
        <f t="array" ref="W41:W41">'Общие сведения'!$AG$236</f>
        <v>Тариф 4 (Водоотведение) - тариф на водоотведение (Доп. признак не требуется)</v>
      </c>
      <c r="X41" s="470"/>
      <c r="Y41" s="1543" t="s">
        <v>295</v>
      </c>
      <c r="Z41" s="1544"/>
      <c r="AA41" s="968"/>
      <c r="AB41" s="180" cm="1" t="str">
        <f t="array" ref="AB41:AB41">'Общие сведения'!$AG$236</f>
        <v>Тариф 4 (Водоотведение) - тариф на водоотведение (Доп. признак не требуется)</v>
      </c>
      <c r="AC41" s="174"/>
      <c r="AD41" s="174"/>
      <c r="AE41" s="174"/>
      <c r="AF41" s="174"/>
      <c r="AG41" s="174"/>
      <c r="AH41" s="114"/>
      <c r="AI41" s="569"/>
      <c r="AJ41" s="569"/>
      <c r="AK41" s="569"/>
      <c r="AL41" s="569"/>
      <c r="AM41" s="569"/>
      <c r="AN41" s="569"/>
      <c r="AO41" s="569"/>
      <c r="AP41" s="114"/>
      <c r="AQ41" s="114"/>
      <c r="AR41" s="114"/>
    </row>
    <row s="1834" customFormat="1" customHeight="1" ht="15" hidden="1">
      <c r="A42" s="569"/>
      <c r="B42" s="1448"/>
      <c r="C42" s="569"/>
      <c r="D42" s="569"/>
      <c r="E42" s="963" t="s">
        <v>341</v>
      </c>
      <c r="F42" s="143" cm="1" t="str">
        <f t="array" ref="F42:F42">OFFSET(E42,-1,1)</f>
        <v>4</v>
      </c>
      <c r="G42" s="148" cm="1" t="str">
        <f t="array" ref="G42:G42">AB42</f>
        <v>0</v>
      </c>
      <c r="H42" s="569"/>
      <c r="I42" s="569"/>
      <c r="J42" s="569"/>
      <c r="K42" s="569"/>
      <c r="L42" s="569"/>
      <c r="M42" s="569"/>
      <c r="N42" s="569"/>
      <c r="O42" s="569"/>
      <c r="P42" s="569"/>
      <c r="Q42" s="959"/>
      <c r="R42" s="569"/>
      <c r="S42" s="569"/>
      <c r="T42" s="969"/>
      <c r="U42" s="467">
        <f>AND(F42&gt;0,AB42&gt;0)</f>
        <v>0</v>
      </c>
      <c r="V42" s="472"/>
      <c r="W42" s="473"/>
      <c r="X42" s="757" t="s">
        <v>174</v>
      </c>
      <c r="Y42" s="1543"/>
      <c r="Z42" s="1544"/>
      <c r="AA42" s="662" t="s">
        <v>175</v>
      </c>
      <c r="AB42" s="646">
        <v>0</v>
      </c>
      <c r="AC42" s="758"/>
      <c r="AD42" s="179"/>
      <c r="AE42" s="179"/>
      <c r="AF42" s="1889"/>
      <c r="AG42" s="1890"/>
      <c r="AH42" s="114"/>
      <c r="AI42" s="148" t="s">
        <v>347</v>
      </c>
      <c r="AJ42" s="148" t="s">
        <v>348</v>
      </c>
      <c r="AK42" s="148" cm="1" t="str">
        <f t="array" ref="AK42:AK42">AC42</f>
        <v>0</v>
      </c>
      <c r="AL42" s="148" cm="1" t="str">
        <f t="array" ref="AL42:AL42">AD42</f>
        <v>0</v>
      </c>
      <c r="AM42" s="148" cm="1" t="str">
        <f t="array" ref="AM42:AM42">AE42</f>
        <v>0</v>
      </c>
      <c r="AN42" s="569"/>
      <c r="AO42" s="148" t="b">
        <v>1</v>
      </c>
      <c r="AP42" s="114"/>
      <c r="AQ42" s="114"/>
      <c r="AR42" s="114"/>
    </row>
    <row s="1834" customFormat="1" customHeight="1" ht="18.75">
      <c r="A43" s="569"/>
      <c r="B43" s="1448"/>
      <c r="C43" s="569"/>
      <c r="D43" s="569"/>
      <c r="E43" s="963" t="s">
        <v>341</v>
      </c>
      <c r="F43" s="143" cm="1" t="str">
        <f t="array" ref="F43:F43">OFFSET(E43,-1,1)</f>
        <v>4</v>
      </c>
      <c r="G43" s="148" cm="1" t="str">
        <f t="array" ref="G43:G43">AB43</f>
        <v>1</v>
      </c>
      <c r="H43" s="569"/>
      <c r="I43" s="569"/>
      <c r="J43" s="569"/>
      <c r="K43" s="569"/>
      <c r="L43" s="569"/>
      <c r="M43" s="569"/>
      <c r="N43" s="569"/>
      <c r="O43" s="569"/>
      <c r="P43" s="569"/>
      <c r="Q43" s="959"/>
      <c r="R43" s="569"/>
      <c r="S43" s="569"/>
      <c r="T43" s="969"/>
      <c r="U43" s="467">
        <f>AND(F43&gt;0,AB43&gt;0)</f>
        <v>1</v>
      </c>
      <c r="V43" s="472"/>
      <c r="W43" s="473"/>
      <c r="X43" s="757"/>
      <c r="Y43" s="1543"/>
      <c r="Z43" s="1544"/>
      <c r="AA43" s="662" t="s">
        <v>175</v>
      </c>
      <c r="AB43" s="646" t="s">
        <v>276</v>
      </c>
      <c r="AC43" s="758" t="s">
        <v>354</v>
      </c>
      <c r="AD43" s="179" t="s">
        <v>354</v>
      </c>
      <c r="AE43" s="179" t="s">
        <v>355</v>
      </c>
      <c r="AF43" s="939"/>
      <c r="AG43" s="196"/>
      <c r="AH43" s="114"/>
      <c r="AI43" s="148" t="s">
        <v>347</v>
      </c>
      <c r="AJ43" s="148" t="s">
        <v>348</v>
      </c>
      <c r="AK43" s="148" cm="1" t="str">
        <f t="array" ref="AK43:AK43">AC43</f>
        <v>город Калтан</v>
      </c>
      <c r="AL43" s="148" cm="1" t="str">
        <f t="array" ref="AL43:AL43">AD43</f>
        <v>город Калтан</v>
      </c>
      <c r="AM43" s="148" cm="1" t="str">
        <f t="array" ref="AM43:AM43">AE43</f>
        <v>32715000</v>
      </c>
      <c r="AN43" s="569"/>
      <c r="AO43" s="148" t="b">
        <v>1</v>
      </c>
      <c r="AP43" s="114"/>
      <c r="AQ43" s="114"/>
      <c r="AR43" s="114"/>
    </row>
    <row s="1834" customFormat="1" customHeight="1" ht="15">
      <c r="A44" s="569"/>
      <c r="B44" s="1448"/>
      <c r="C44" s="569"/>
      <c r="D44" s="569"/>
      <c r="E44" s="963" t="s">
        <v>341</v>
      </c>
      <c r="F44" s="143" cm="1" t="str">
        <f t="array" ref="F44:F44">OFFSET(E44,-1,1)</f>
        <v>4</v>
      </c>
      <c r="G44" s="148" t="s">
        <v>349</v>
      </c>
      <c r="H44" s="569"/>
      <c r="I44" s="569"/>
      <c r="J44" s="569"/>
      <c r="K44" s="569"/>
      <c r="L44" s="569"/>
      <c r="M44" s="569"/>
      <c r="N44" s="569"/>
      <c r="O44" s="569"/>
      <c r="P44" s="757"/>
      <c r="Q44" s="959"/>
      <c r="R44" s="569"/>
      <c r="S44" s="569"/>
      <c r="T44" s="1442"/>
      <c r="U44" s="467" cm="1" t="str">
        <f t="array" ref="U44:U44">U41</f>
        <v>true</v>
      </c>
      <c r="V44" s="569"/>
      <c r="W44" s="569"/>
      <c r="X44" s="757" t="s">
        <v>350</v>
      </c>
      <c r="Y44" s="1543"/>
      <c r="Z44" s="1544"/>
      <c r="AA44" s="468"/>
      <c r="AB44" s="175"/>
      <c r="AC44" s="260" t="s">
        <v>351</v>
      </c>
      <c r="AD44" s="176"/>
      <c r="AE44" s="176"/>
      <c r="AF44" s="176"/>
      <c r="AG44" s="177"/>
      <c r="AH44" s="114"/>
      <c r="AI44" s="569"/>
      <c r="AJ44" s="569"/>
      <c r="AK44" s="569"/>
      <c r="AL44" s="569"/>
      <c r="AM44" s="569"/>
      <c r="AN44" s="148" t="s">
        <v>348</v>
      </c>
      <c r="AO44" s="569"/>
      <c r="AP44" s="114"/>
      <c r="AQ44" s="114"/>
      <c r="AR44" s="114"/>
    </row>
    <row s="1834" customFormat="1" customHeight="1" ht="14.25">
      <c r="A45" s="499"/>
      <c r="B45" s="658"/>
      <c r="C45" s="499"/>
      <c r="D45" s="499"/>
      <c r="E45" s="866" t="s">
        <v>343</v>
      </c>
      <c r="F45" s="482"/>
      <c r="G45" s="499"/>
      <c r="H45" s="499"/>
      <c r="I45" s="499"/>
      <c r="J45" s="499"/>
      <c r="K45" s="499"/>
      <c r="L45" s="499"/>
      <c r="M45" s="499"/>
      <c r="N45" s="499"/>
      <c r="O45" s="499"/>
      <c r="P45" s="499"/>
      <c r="Q45" s="499"/>
      <c r="R45" s="499"/>
      <c r="S45" s="499"/>
      <c r="T45" s="499"/>
      <c r="U45" s="469"/>
      <c r="V45" s="474" t="s">
        <v>178</v>
      </c>
      <c r="W45" s="757" t="s">
        <v>356</v>
      </c>
      <c r="X45" s="499"/>
      <c r="Y45" s="499"/>
      <c r="Z45" s="499"/>
      <c r="AA45" s="499"/>
      <c r="AC45" s="100"/>
      <c r="AD45" s="100"/>
      <c r="AE45" s="100"/>
      <c r="AF45" s="100"/>
      <c r="AH45" s="0"/>
      <c r="AI45" s="499"/>
      <c r="AJ45" s="499"/>
      <c r="AK45" s="499"/>
      <c r="AL45" s="499"/>
      <c r="AM45" s="499"/>
      <c r="AN45" s="499"/>
      <c r="AO45" s="499"/>
      <c r="AQ45" s="101"/>
    </row>
    <row s="1834" customFormat="1" customHeight="1" ht="11.25" hidden="1">
      <c r="A46" s="499"/>
      <c r="B46" s="658"/>
      <c r="C46" s="499"/>
      <c r="D46" s="499"/>
      <c r="E46" s="659"/>
      <c r="F46" s="970"/>
      <c r="G46" s="499"/>
      <c r="H46" s="499"/>
      <c r="I46" s="499"/>
      <c r="J46" s="499"/>
      <c r="K46" s="499"/>
      <c r="L46" s="499"/>
      <c r="M46" s="499"/>
      <c r="N46" s="499"/>
      <c r="O46" s="499"/>
      <c r="P46" s="499"/>
      <c r="Q46" s="499"/>
      <c r="R46" s="499"/>
      <c r="S46" s="499"/>
      <c r="T46" s="499"/>
      <c r="U46" s="469"/>
      <c r="V46" s="499"/>
      <c r="W46" s="499"/>
      <c r="X46" s="499"/>
      <c r="Y46" s="499"/>
      <c r="Z46" s="499"/>
      <c r="AA46" s="499"/>
      <c r="AC46" s="100"/>
      <c r="AD46" s="100"/>
      <c r="AE46" s="100"/>
      <c r="AF46" s="100"/>
      <c r="AG46" s="100"/>
      <c r="AI46" s="499"/>
      <c r="AJ46" s="499"/>
      <c r="AK46" s="499"/>
      <c r="AL46" s="499"/>
      <c r="AM46" s="499"/>
      <c r="AN46" s="499"/>
      <c r="AO46" s="499"/>
      <c r="AR46" s="101"/>
    </row>
  </sheetData>
  <sheetProtection formatColumns="0" formatRows="0" insertRows="0" deleteColumns="0" deleteRows="0" sort="0" autoFilter="0" insertColumns="1"/>
  <mergeCells count="11">
    <mergeCell ref="AB22:AG22"/>
    <mergeCell ref="Y26:Y28"/>
    <mergeCell ref="Z26:Z28"/>
    <mergeCell ref="Y29:Y32"/>
    <mergeCell ref="Z29:Z32"/>
    <mergeCell ref="Y33:Y36"/>
    <mergeCell ref="Z33:Z36"/>
    <mergeCell ref="Y37:Y40"/>
    <mergeCell ref="Z37:Z40"/>
    <mergeCell ref="Y41:Y44"/>
    <mergeCell ref="Z41:Z44"/>
  </mergeCells>
  <dataValidations count="10">
    <dataValidation type="list" showInputMessage="1" showErrorMessage="1" errorTitle="Внимание" error="Пожалуйста, выберите МО из списка" sqref="WQV27 WGZ27 VXD27 VNH27 VDL27 UTP27 UJT27 TZX27 TQB27 TGF27 SWJ27 SMN27 SCR27 RSV27 RIZ27 QZD27 QPH27 QFL27 PVP27 PLT27 PBX27 OSB27 OIF27 NYJ27 NON27 NER27 MUV27 MKZ27 MBD27 LRH27 LHL27 KXP27 KNT27 KDX27 JUB27 JKF27 JAJ27 IQN27 IGR27 HWV27 HMZ27 HDD27 GTH27 GJL27 FZP27 FPT27 FFX27 EWB27 EMF27 ECJ27 DSN27 DIR27 CYV27 COZ27 CFD27 BVH27 BLL27 BBP27 ART27 AHX27 YB27 OF27 EJ27">
      <formula1>MO_LIST_12</formula1>
    </dataValidation>
    <dataValidation type="list" showInputMessage="1" showErrorMessage="1" errorTitle="Внимание" error="Пожалуйста, выберите значение из списка" sqref="WUS27 WKW27 WBA27 VRE27 VHI27 UXM27 UNQ27 UDU27 TTY27 TKC27 TAG27 SQK27 SGO27 RWS27 RMW27 RDA27 QTE27 QJI27 PZM27 PPQ27 PFU27 OVY27 OMC27 OCG27 NSK27 NIO27 MYS27 MOW27 MFA27 LVE27 LLI27 LBM27 KRQ27 KHU27 JXY27 JOC27 JEG27 IUK27 IKO27 IAS27 HQW27 HHA27 GXE27 GNI27 GDM27 FTQ27 FJU27 EZY27 EQC27 EGG27 DWK27 DMO27 DCS27 CSW27 CJA27 BZE27 BPI27 BFM27 AVQ27 ALU27 ABY27 SC27 IG27">
      <formula1>DOCUMENT_TYPES</formula1>
    </dataValidation>
    <dataValidation type="list" allowBlank="1" showInputMessage="1" showErrorMessage="1" errorTitle="Внимание" error="Пожалуйста, выберите МР из списка!" sqref="WQU27 WGY27 VXC27 VNG27 VDK27 UTO27 UJS27 TZW27 TQA27 TGE27 SWI27 SMM27 SCQ27 RSU27 RIY27 QZC27 QPG27 QFK27 PVO27 PLS27 PBW27 OSA27 OIE27 NYI27 NOM27 NEQ27 MUU27 MKY27 MBC27 LRG27 LHK27 KXO27 KNS27 KDW27 JUA27 JKE27 JAI27 IQM27 IGQ27 HWU27 HMY27 HDC27 GTG27 GJK27 FZO27 FPS27 FFW27 EWA27 EME27 ECI27 DSM27 DIQ27 CYU27 COY27 CFC27 BVG27 BLK27 BBO27 ARS27 AHW27 YA27 OE27 EI27">
      <formula1>MR_LIST</formula1>
    </dataValidation>
    <dataValidation type="list" showInputMessage="1" showErrorMessage="1" errorTitle="Внимание" error="Пожалуйста, выберите значение из списка" sqref="WTQ27 WJU27 VZY27 VQC27 VGG27 UWK27 UMO27 UCS27 TSW27 TJA27 SZE27 SPI27 SFM27 RVQ27 RLU27 RBY27 QSC27 QIG27 PYK27 POO27 PES27 OUW27 OLA27 OBE27 NRI27 NHM27 MXQ27 MNU27 MDY27 LUC27 LKG27 LAK27 KQO27 KGS27 JWW27 JNA27 JDE27 ITI27 IJM27 HZQ27 HPU27 HFY27 GWC27 GMG27 GCK27 FSO27 FIS27 EYW27 EPA27 EFE27 DVI27 DLM27 DBQ27 CRU27 CHY27 BYC27 BOG27 BEK27 AUO27 AKS27 AAW27 RA27 HE27 WTT27 WJX27 WAB27 VQF27 VGJ27 UWN27 UMR27 UCV27 TSZ27 TJD27 SZH27 SPL27 SFP27 RVT27 RLX27 RCB27 QSF27 QIJ27 PYN27 POR27 PEV27 OUZ27 OLD27 OBH27 NRL27 NHP27 MXT27 MNX27 MEB27 LUF27 LKJ27 LAN27 KQR27 KGV27 JWZ27 JND27 JDH27 ITL27 IJP27 HZT27 HPX27 HGB27 GWF27 GMJ27 GCN27 FSR27 FIV27 EYZ27 EPD27 EFH27 DVL27 DLP27 DBT27 CRX27 CIB27 BYF27 BOJ27 BEN27 AUR27 AKV27 AAZ27 RD27 HH27">
      <formula1>MONTH_LIST</formula1>
    </dataValidation>
    <dataValidation type="whole" allowBlank="1" showInputMessage="1" showErrorMessage="1" errorTitle="Внимание" error="Пожалуйста, укажите число!" sqref="WTR27 WJV27 VZZ27 VQD27 VGH27 UWL27 UMP27 UCT27 TSX27 TJB27 SZF27 SPJ27 SFN27 RVR27 RLV27 RBZ27 QSD27 QIH27 PYL27 POP27 PET27 OUX27 OLB27 OBF27 NRJ27 NHN27 MXR27 MNV27 MDZ27 LUD27 LKH27 LAL27 KQP27 KGT27 JWX27 JNB27 JDF27 ITJ27 IJN27 HZR27 HPV27 HFZ27 GWD27 GMH27 GCL27 FSP27 FIT27 EYX27 EPB27 EFF27 DVJ27 DLN27 DBR27 CRV27 CHZ27 BYD27 BOH27 BEL27 AUP27 AKT27 AAX27 RB27 HF27 WTU27 WJY27 WAC27 VQG27 VGK27 UWO27 UMS27 UCW27 TTA27 TJE27 SZI27 SPM27 SFQ27 RVU27 RLY27 RCC27 QSG27 QIK27 PYO27 POS27 PEW27 OVA27 OLE27 OBI27 NRM27 NHQ27 MXU27 MNY27 MEC27 LUG27 LKK27 LAO27 KQS27 KGW27 JXA27 JNE27 JDI27 ITM27 IJQ27 HZU27 HPY27 HGC27 GWG27 GMK27 GCO27 FSS27 FIW27 EZA27 EPE27 EFI27 DVM27 DLQ27 DBU27 CRY27 CIC27 BYG27 BOK27 BEO27 AUS27 AKW27 ABA27 RE27 HI27">
      <formula1>1</formula1>
      <formula2>31</formula2>
    </dataValidation>
    <dataValidation type="list" showInputMessage="1" showErrorMessage="1" errorTitle="Внимание" error="Пожалуйста, выберите значение из списка" sqref="WTH27 WJL27 VZP27 VPT27 VFX27 UWB27 UMF27 UCJ27 TSN27 TIR27 SYV27 SOZ27 SFD27 RVH27 RLL27 RBP27 QRT27 QHX27 PYB27 POF27 PEJ27 OUN27 OKR27 OAV27 NQZ27 NHD27 MXH27 MNL27 MDP27 LTT27 LJX27 LAB27 KQF27 KGJ27 JWN27 JMR27 JCV27 ISZ27 IJD27 HZH27 HPL27 HFP27 GVT27 GLX27 GCB27 FSF27 FIJ27 EYN27 EOR27 EEV27 DUZ27 DLD27 DBH27 CRL27 CHP27 BXT27 BNX27 BEB27 AUF27 AKJ27 AAN27 QR27 GV27">
      <formula1>YES_NO</formula1>
    </dataValidation>
    <dataValidation type="list" allowBlank="1" showInputMessage="1" showErrorMessage="1" errorTitle="Внимание" error="Пожалуйста, выберите значение из списка!" sqref="WUQ27 WKU27 WAY27 VRC27 VHG27 UXK27 UNO27 UDS27 TTW27 TKA27 TAE27 SQI27 SGM27 RWQ27 RMU27 RCY27 QTC27 QJG27 PZK27 PPO27 PFS27 OVW27 OMA27 OCE27 NSI27 NIM27 MYQ27 MOU27 MEY27 LVC27 LLG27 LBK27 KRO27 KHS27 JXW27 JOA27 JEE27 IUI27 IKM27 IAQ27 HQU27 HGY27 GXC27 GNG27 GDK27 FTO27 FJS27 EZW27 EQA27 EGE27 DWI27 DMM27 DCQ27 CSU27 CIY27 BZC27 BPG27 BFK27 AVO27 ALS27 ABW27 SA27 IE27 WUK27 WKO27 WAS27 VQW27 VHA27 UXE27 UNI27 UDM27 TTQ27 TJU27 SZY27 SQC27 SGG27 RWK27 RMO27 RCS27 QSW27 QJA27 PZE27 PPI27 PFM27 OVQ27 OLU27 OBY27 NSC27 NIG27 MYK27 MOO27 MES27 LUW27 LLA27 LBE27 KRI27 KHM27 JXQ27 JNU27 JDY27 IUC27 IKG27 IAK27 HQO27 HGS27 GWW27 GNA27 GDE27 FTI27 FJM27 EZQ27 EPU27 EFY27 DWC27 DMG27 DCK27 CSO27 CIS27 BYW27 BPA27 BFE27 AVI27 ALM27 ABQ27 RU27 HY27 WUW27 WLA27 WBE27 VRI27 VHM27 UXQ27 UNU27 UDY27 TUC27 TKG27 TAK27 SQO27 SGS27 RWW27 RNA27 RDE27 QTI27 QJM27 PZQ27 PPU27 PFY27 OWC27 OMG27 OCK27 NSO27 NIS27 MYW27 MPA27 MFE27 LVI27 LLM27 LBQ27 KRU27 KHY27 JYC27 JOG27 JEK27 IUO27 IKS27 IAW27 HRA27 HHE27 GXI27 GNM27 GDQ27 FTU27 FJY27 FAC27 EQG27 EGK27 DWO27 DMS27 DCW27 CTA27 CJE27 BZI27 BPM27 BFQ27 AVU27 ALY27 ACC27 SG27 IK27">
      <formula1>YES_NO</formula1>
    </dataValidation>
    <dataValidation type="list" showInputMessage="1" showErrorMessage="1" errorTitle="Внимание" error="Пожалуйста, выберите значение из списка" sqref="WTS27 WJW27 WAA27 VQE27 VGI27 UWM27 UMQ27 UCU27 TSY27 TJC27 SZG27 SPK27 SFO27 RVS27 RLW27 RCA27 QSE27 QII27 PYM27 POQ27 PEU27 OUY27 OLC27 OBG27 NRK27 NHO27 MXS27 MNW27 MEA27 LUE27 LKI27 LAM27 KQQ27 KGU27 JWY27 JNC27 JDG27 ITK27 IJO27 HZS27 HPW27 HGA27 GWE27 GMI27 GCM27 FSQ27 FIU27 EYY27 EPC27 EFG27 DVK27 DLO27 DBS27 CRW27 CIA27 BYE27 BOI27 BEM27 AUQ27 AKU27 AAY27 RC27 HG27">
      <formula1>TF_END_YEAR_LIST</formula1>
    </dataValidation>
    <dataValidation type="list" showInputMessage="1" showErrorMessage="1" errorTitle="Внимание" error="Пожалуйста, выберите значение из списка" sqref="WTP27 WJT27 VZX27 VQB27 VGF27 UWJ27 UMN27 UCR27 TSV27 TIZ27 SZD27 SPH27 SFL27 RVP27 RLT27 RBX27 QSB27 QIF27 PYJ27 PON27 PER27 OUV27 OKZ27 OBD27 NRH27 NHL27 MXP27 MNT27 MDX27 LUB27 LKF27 LAJ27 KQN27 KGR27 JWV27 JMZ27 JDD27 ITH27 IJL27 HZP27 HPT27 HFX27 GWB27 GMF27 GCJ27 FSN27 FIR27 EYV27 EOZ27 EFD27 DVH27 DLL27 DBP27 CRT27 CHX27 BYB27 BOF27 BEJ27 AUN27 AKR27 AAV27 QZ27 HD27">
      <formula1>TF_START_YEAR_LIST</formula1>
    </dataValidation>
    <dataValidation type="whole" allowBlank="1" showInputMessage="1" showErrorMessage="1" errorTitle="Внимание" error="Необходимо указать целое положительное значение!" sqref="WRO27 WHS27 VXW27 VOA27 VEE27 UUI27 UKM27 UAQ27 TQU27 TGY27 SXC27 SNG27 SDK27 RTO27 RJS27 QZW27 QQA27 QGE27 PWI27 PMM27 PCQ27 OSU27 OIY27 NZC27 NPG27 NFK27 MVO27 MLS27 MBW27 LSA27 LIE27 KYI27 KOM27 KEQ27 JUU27 JKY27 JBC27 IRG27 IHK27 HXO27 HNS27 HDW27 GUA27 GKE27 GAI27 FQM27 FGQ27 EWU27 EMY27 EDC27 DTG27 DJK27 CZO27 CPS27 CFW27 BWA27 BME27 BCI27 ASM27 AIQ27 YU27 OY27 FC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385AB8-E6C8-77DA-F3F8-A3153D627DB8}" mc:Ignorable="x14ac xr xr2 xr3">
  <sheetPr>
    <tabColor theme="3" tint="0.6"/>
    <outlinePr summaryRight="0" summaryBelow="0"/>
    <pageSetUpPr fitToPage="1"/>
  </sheetPr>
  <dimension ref="A1:BE93"/>
  <sheetViews>
    <sheetView showGridLines="0" zoomScale="85" workbookViewId="0">
      <pane xSplit="31" ySplit="25" topLeftCell="AH85" activePane="bottomRight" state="frozen"/>
      <selection pane="bottomLeft" activeCell="A26" sqref="A26"/>
      <selection pane="topRight" activeCell="AF1" sqref="AF1"/>
      <selection pane="bottomRight" activeCell="AF86" sqref="AF86:AJ86"/>
    </sheetView>
  </sheetViews>
  <sheetFormatPr defaultColWidth="8.7109375" customHeight="1" defaultRowHeight="11.25"/>
  <cols>
    <col min="1" max="1" style="114" width="3.57421875" hidden="1" customWidth="1"/>
    <col min="2" max="2" style="1448" width="8.57421875" hidden="1" customWidth="1"/>
    <col min="3" max="4" style="114" width="3.57421875" hidden="1" customWidth="1"/>
    <col min="5" max="5" style="635" width="3.57421875" hidden="1" customWidth="1"/>
    <col min="6" max="7" style="114" width="4.00390625" hidden="1" customWidth="1"/>
    <col min="8" max="9" style="114" width="3.57421875" hidden="1" customWidth="1"/>
    <col min="10" max="10" style="114" width="12.421875" hidden="1" customWidth="1"/>
    <col min="11" max="11" style="114" width="9.7109375" hidden="1" customWidth="1"/>
    <col min="12" max="16" style="114" width="3.57421875" hidden="1" customWidth="1"/>
    <col min="17" max="17" style="114" width="5.57421875" hidden="1" customWidth="1"/>
    <col min="18" max="19" style="114" width="3.57421875" hidden="1" customWidth="1"/>
    <col min="20" max="20" style="1834" width="3.57421875" hidden="1" customWidth="1"/>
    <col min="21" max="21" style="1834" width="6.140625" hidden="1" customWidth="1"/>
    <col min="22" max="22" style="1834" width="10.140625" hidden="1" customWidth="1"/>
    <col min="23" max="23" style="1834" width="5.8515625" hidden="1" customWidth="1"/>
    <col min="24" max="25" style="1834" width="6.140625" hidden="1" customWidth="1"/>
    <col min="26" max="26" style="1834" width="5.57421875" hidden="1" customWidth="1"/>
    <col min="27" max="27" style="1834" width="5.28125" hidden="1" customWidth="1"/>
    <col min="28" max="28" style="114" width="3.00390625" customWidth="1"/>
    <col min="29" max="29" style="114" width="11.00390625" customWidth="1"/>
    <col min="30" max="30" style="114" width="51.421875" customWidth="1"/>
    <col min="31" max="31" style="114" width="15.00390625" customWidth="1"/>
    <col min="32" max="32" style="114" width="0" customWidth="1"/>
    <col min="33" max="33" style="120" width="0" customWidth="1"/>
    <col min="34" max="35" style="114" width="20.00390625" customWidth="1"/>
    <col min="36" max="36" style="120" width="89.421875" customWidth="1"/>
    <col min="37" max="37" style="114" width="3.7109375" customWidth="1"/>
    <col min="38" max="38" style="114" width="8.7109375" hidden="1"/>
    <col min="39" max="42" style="1003" width="8.7109375" hidden="1"/>
    <col min="43" max="44" style="627" width="8.7109375" hidden="1"/>
    <col min="45" max="57" style="114" width="8.7109375" hidden="1"/>
  </cols>
  <sheetData>
    <row s="569" customFormat="1" customHeight="1" ht="11.25" hidden="1">
      <c r="B1" s="429"/>
      <c r="E1" s="867"/>
      <c r="F1" s="148" t="s">
        <v>321</v>
      </c>
      <c r="H1" s="148" t="s">
        <v>331</v>
      </c>
      <c r="J1" s="148" t="s">
        <v>357</v>
      </c>
      <c r="P1" s="148" t="s">
        <v>358</v>
      </c>
      <c r="T1" s="960"/>
      <c r="U1" s="467" t="s">
        <v>323</v>
      </c>
      <c r="V1" s="465" t="s">
        <v>93</v>
      </c>
      <c r="W1" s="465" t="s">
        <v>98</v>
      </c>
      <c r="X1" s="465" t="s">
        <v>94</v>
      </c>
      <c r="Y1" s="465" t="s">
        <v>95</v>
      </c>
      <c r="Z1" s="465" t="s">
        <v>96</v>
      </c>
      <c r="AA1" s="465" t="s">
        <v>100</v>
      </c>
      <c r="AB1" s="467" t="s">
        <v>97</v>
      </c>
      <c r="AC1" s="467"/>
      <c r="AD1" s="467" t="s">
        <v>99</v>
      </c>
      <c r="AG1" s="204"/>
      <c r="AJ1" s="204"/>
      <c r="AM1" s="994" t="s">
        <v>324</v>
      </c>
      <c r="AN1" s="994" t="s">
        <v>325</v>
      </c>
      <c r="AO1" s="994" t="s">
        <v>326</v>
      </c>
      <c r="AP1" s="994" t="s">
        <v>359</v>
      </c>
      <c r="AQ1" s="963" t="s">
        <v>329</v>
      </c>
      <c r="AR1" s="963" t="s">
        <v>330</v>
      </c>
    </row>
    <row s="1448" customFormat="1" customHeight="1" ht="11.25" hidden="1">
      <c r="B2" s="961" t="s">
        <v>19</v>
      </c>
      <c r="T2" s="655"/>
      <c r="U2" s="655"/>
      <c r="V2" s="655"/>
      <c r="W2" s="655"/>
      <c r="X2" s="655"/>
      <c r="Y2" s="655"/>
      <c r="Z2" s="655"/>
      <c r="AA2" s="655"/>
      <c r="AF2" s="961">
        <f>method_reg&lt;&gt;"Метод сравнения аналогов"</f>
        <v>1</v>
      </c>
      <c r="AG2" s="961">
        <f>method_reg&lt;&gt;"Метод сравнения аналогов"</f>
        <v>1</v>
      </c>
      <c r="AH2" s="1382" cm="1" t="str">
        <f t="array" ref="AH2:AH2">isOrgDeclare</f>
        <v>true</v>
      </c>
      <c r="AM2" s="993"/>
      <c r="AN2" s="993"/>
      <c r="AO2" s="993"/>
      <c r="AP2" s="993"/>
      <c r="AQ2" s="1002"/>
      <c r="AR2" s="1002"/>
    </row>
    <row s="569" customFormat="1" customHeight="1" ht="11.25" hidden="1">
      <c r="B3" s="429"/>
      <c r="E3" s="867"/>
      <c r="T3" s="960"/>
      <c r="U3" s="960"/>
      <c r="V3" s="960"/>
      <c r="W3" s="960"/>
      <c r="X3" s="960"/>
      <c r="Y3" s="960"/>
      <c r="Z3" s="960"/>
      <c r="AA3" s="960"/>
      <c r="AG3" s="204"/>
      <c r="AJ3" s="204"/>
      <c r="AM3" s="994"/>
      <c r="AN3" s="994"/>
      <c r="AO3" s="994"/>
      <c r="AP3" s="994"/>
      <c r="AQ3" s="963"/>
      <c r="AR3" s="963"/>
    </row>
    <row s="569" customFormat="1" customHeight="1" ht="11.25" hidden="1">
      <c r="B4" s="429"/>
      <c r="E4" s="867"/>
      <c r="T4" s="960"/>
      <c r="U4" s="960"/>
      <c r="V4" s="960"/>
      <c r="W4" s="960"/>
      <c r="X4" s="960"/>
      <c r="Y4" s="960"/>
      <c r="Z4" s="960"/>
      <c r="AA4" s="960"/>
      <c r="AG4" s="204"/>
      <c r="AJ4" s="204"/>
      <c r="AM4" s="994"/>
      <c r="AN4" s="994"/>
      <c r="AO4" s="994"/>
      <c r="AP4" s="994"/>
      <c r="AQ4" s="963"/>
      <c r="AR4" s="963"/>
    </row>
    <row s="876" customFormat="1" customHeight="1" ht="11.25" hidden="1">
      <c r="A5" s="867"/>
      <c r="B5" s="429"/>
      <c r="C5" s="867"/>
      <c r="D5" s="867"/>
      <c r="E5" s="868" t="s">
        <v>20</v>
      </c>
      <c r="T5" s="990"/>
      <c r="U5" s="990"/>
      <c r="V5" s="990"/>
      <c r="W5" s="990"/>
      <c r="X5" s="990"/>
      <c r="Y5" s="990"/>
      <c r="Z5" s="990"/>
      <c r="AA5" s="990"/>
      <c r="AB5" s="621">
        <v>3</v>
      </c>
      <c r="AC5" s="621">
        <v>11</v>
      </c>
      <c r="AD5" s="621">
        <v>70</v>
      </c>
      <c r="AE5" s="621">
        <v>15</v>
      </c>
      <c r="AF5" s="621">
        <v>20</v>
      </c>
      <c r="AG5" s="621">
        <v>20</v>
      </c>
      <c r="AH5" s="621">
        <v>20</v>
      </c>
      <c r="AI5" s="621">
        <v>20</v>
      </c>
      <c r="AJ5" s="621">
        <v>20</v>
      </c>
      <c r="AK5" s="868" t="s">
        <v>289</v>
      </c>
      <c r="AM5" s="995"/>
      <c r="AN5" s="995"/>
      <c r="AO5" s="995"/>
      <c r="AP5" s="995"/>
    </row>
    <row s="569" customFormat="1" customHeight="1" ht="11.25" hidden="1">
      <c r="A6" s="148" t="s">
        <v>360</v>
      </c>
      <c r="B6" s="429"/>
      <c r="E6" s="868"/>
      <c r="T6" s="960"/>
      <c r="U6" s="960"/>
      <c r="V6" s="960"/>
      <c r="W6" s="960"/>
      <c r="X6" s="960"/>
      <c r="Y6" s="960"/>
      <c r="Z6" s="960"/>
      <c r="AA6" s="960"/>
      <c r="AF6" s="148">
        <f>god-2</f>
        <v>2024</v>
      </c>
      <c r="AG6" s="148">
        <f>god-1</f>
        <v>2025</v>
      </c>
      <c r="AH6" s="148" cm="1" t="str">
        <f t="array" ref="AH6:AH6">god</f>
        <v>2026</v>
      </c>
      <c r="AI6" s="148" cm="1" t="str">
        <f t="array" ref="AI6:AI6">god</f>
        <v>2026</v>
      </c>
      <c r="AJ6" s="148" cm="1" t="str">
        <f t="array" ref="AJ6:AJ6">god</f>
        <v>2026</v>
      </c>
      <c r="AM6" s="994"/>
      <c r="AN6" s="994"/>
      <c r="AO6" s="994"/>
      <c r="AP6" s="994"/>
      <c r="AQ6" s="963"/>
      <c r="AR6" s="963"/>
    </row>
    <row s="569" customFormat="1" customHeight="1" ht="11.25" hidden="1">
      <c r="A7" s="148" t="s">
        <v>361</v>
      </c>
      <c r="B7" s="429"/>
      <c r="E7" s="868"/>
      <c r="T7" s="960"/>
      <c r="U7" s="960"/>
      <c r="V7" s="960"/>
      <c r="W7" s="960"/>
      <c r="X7" s="960"/>
      <c r="Y7" s="960"/>
      <c r="Z7" s="960"/>
      <c r="AA7" s="960"/>
      <c r="AF7" s="373" cm="1" t="str">
        <f t="array" ref="AF7:AF7">AF25</f>
        <v>Принято органом регулирования</v>
      </c>
      <c r="AG7" s="373" t="s">
        <v>362</v>
      </c>
      <c r="AH7" s="374" t="s">
        <v>363</v>
      </c>
      <c r="AI7" s="374" t="s">
        <v>362</v>
      </c>
      <c r="AJ7" s="373" t="s">
        <v>364</v>
      </c>
      <c r="AM7" s="994"/>
      <c r="AN7" s="994"/>
      <c r="AO7" s="994"/>
      <c r="AP7" s="994"/>
      <c r="AQ7" s="963"/>
      <c r="AR7" s="963"/>
    </row>
    <row s="569" customFormat="1" customHeight="1" ht="11.25" hidden="1">
      <c r="B8" s="429"/>
      <c r="E8" s="868"/>
      <c r="T8" s="960"/>
      <c r="U8" s="960"/>
      <c r="V8" s="960"/>
      <c r="W8" s="960"/>
      <c r="X8" s="960"/>
      <c r="Y8" s="960"/>
      <c r="Z8" s="960"/>
      <c r="AA8" s="960"/>
      <c r="AG8" s="204"/>
      <c r="AJ8" s="204"/>
      <c r="AM8" s="994"/>
      <c r="AN8" s="994"/>
      <c r="AO8" s="994"/>
      <c r="AP8" s="994"/>
      <c r="AQ8" s="963"/>
      <c r="AR8" s="963"/>
    </row>
    <row s="994" customFormat="1" customHeight="1" ht="11.25" hidden="1">
      <c r="A9" s="994" t="s">
        <v>365</v>
      </c>
      <c r="B9" s="993"/>
      <c r="E9" s="995"/>
      <c r="T9" s="996"/>
      <c r="U9" s="996"/>
      <c r="V9" s="996"/>
      <c r="W9" s="996"/>
      <c r="X9" s="996"/>
      <c r="Y9" s="996"/>
      <c r="Z9" s="996"/>
      <c r="AA9" s="996"/>
      <c r="AF9" s="994" cm="1" t="str">
        <f t="array" ref="AF9:AF9">AF6</f>
        <v>2024</v>
      </c>
      <c r="AG9" s="994" cm="1" t="str">
        <f t="array" ref="AG9:AG9">AG6</f>
        <v>2025</v>
      </c>
      <c r="AH9" s="994" cm="1" t="str">
        <f t="array" ref="AH9:AH9">AH6</f>
        <v>2026</v>
      </c>
      <c r="AI9" s="994" cm="1" t="str">
        <f t="array" ref="AI9:AI9">AI6</f>
        <v>2026</v>
      </c>
      <c r="AQ9" s="963"/>
      <c r="AR9" s="963"/>
    </row>
    <row s="994" customFormat="1" customHeight="1" ht="11.25" hidden="1">
      <c r="A10" s="994" t="s">
        <v>366</v>
      </c>
      <c r="B10" s="993"/>
      <c r="E10" s="995"/>
      <c r="T10" s="996"/>
      <c r="U10" s="996"/>
      <c r="V10" s="996"/>
      <c r="W10" s="996"/>
      <c r="X10" s="996"/>
      <c r="Y10" s="996"/>
      <c r="Z10" s="996"/>
      <c r="AA10" s="996"/>
      <c r="AF10" s="994" cm="1" t="str">
        <f t="array" ref="AF10:AF10">AF25</f>
        <v>Принято органом регулирования</v>
      </c>
      <c r="AG10" s="994" cm="1" t="str">
        <f t="array" ref="AG10:AG10">AG25</f>
        <v>Принято органом регулирования</v>
      </c>
      <c r="AH10" s="994" cm="1" t="str">
        <f t="array" ref="AH10:AH10">AH25</f>
        <v>Предложение организации</v>
      </c>
      <c r="AI10" s="994" cm="1" t="str">
        <f t="array" ref="AI10:AI10">AI25</f>
        <v>Принято органом регулирования</v>
      </c>
      <c r="AQ10" s="963"/>
      <c r="AR10" s="963"/>
    </row>
    <row s="994" customFormat="1" customHeight="1" ht="11.25" hidden="1">
      <c r="A11" s="994" t="s">
        <v>367</v>
      </c>
      <c r="B11" s="993"/>
      <c r="E11" s="995"/>
      <c r="T11" s="996"/>
      <c r="U11" s="996"/>
      <c r="V11" s="996"/>
      <c r="W11" s="996"/>
      <c r="X11" s="996"/>
      <c r="Y11" s="996"/>
      <c r="Z11" s="996"/>
      <c r="AA11" s="996"/>
      <c r="AG11" s="992"/>
      <c r="AJ11" s="992" cm="1" t="str">
        <f t="array" ref="AJ11:AJ11">AJ24</f>
        <v>Комментарии</v>
      </c>
      <c r="AQ11" s="963"/>
      <c r="AR11" s="963"/>
    </row>
    <row s="994" customFormat="1" customHeight="1" ht="11.25" hidden="1">
      <c r="A12" s="994" t="s">
        <v>338</v>
      </c>
      <c r="B12" s="993"/>
      <c r="E12" s="995"/>
      <c r="T12" s="996"/>
      <c r="U12" s="996"/>
      <c r="V12" s="996"/>
      <c r="W12" s="996"/>
      <c r="X12" s="996"/>
      <c r="Y12" s="996"/>
      <c r="Z12" s="996"/>
      <c r="AA12" s="996"/>
      <c r="AB12" s="996"/>
      <c r="AD12" s="994" t="s">
        <v>326</v>
      </c>
      <c r="AE12" s="994" t="s">
        <v>359</v>
      </c>
      <c r="AG12" s="992"/>
      <c r="AJ12" s="992"/>
      <c r="AQ12" s="963"/>
      <c r="AR12" s="963"/>
    </row>
    <row s="569" customFormat="1" customHeight="1" ht="11.25" hidden="1">
      <c r="B13" s="429"/>
      <c r="E13" s="868"/>
      <c r="T13" s="960"/>
      <c r="U13" s="960"/>
      <c r="V13" s="960"/>
      <c r="W13" s="960"/>
      <c r="X13" s="960"/>
      <c r="Y13" s="960"/>
      <c r="Z13" s="960"/>
      <c r="AA13" s="960"/>
      <c r="AB13" s="960"/>
      <c r="AC13" s="960"/>
      <c r="AD13" s="991"/>
      <c r="AE13" s="991"/>
      <c r="AF13" s="991"/>
      <c r="AG13" s="991"/>
      <c r="AJ13" s="991"/>
      <c r="AM13" s="994"/>
      <c r="AN13" s="994"/>
      <c r="AO13" s="994"/>
      <c r="AP13" s="994"/>
      <c r="AQ13" s="963"/>
      <c r="AR13" s="963"/>
    </row>
    <row s="569" customFormat="1" customHeight="1" ht="11.25" hidden="1">
      <c r="B14" s="429"/>
      <c r="E14" s="868"/>
      <c r="T14" s="960"/>
      <c r="U14" s="960"/>
      <c r="V14" s="960"/>
      <c r="W14" s="960"/>
      <c r="X14" s="960"/>
      <c r="Y14" s="960"/>
      <c r="Z14" s="960"/>
      <c r="AA14" s="960"/>
      <c r="AB14" s="960"/>
      <c r="AC14" s="960"/>
      <c r="AD14" s="991"/>
      <c r="AE14" s="991"/>
      <c r="AF14" s="991"/>
      <c r="AG14" s="991"/>
      <c r="AJ14" s="991"/>
      <c r="AM14" s="994"/>
      <c r="AN14" s="994"/>
      <c r="AO14" s="994"/>
      <c r="AP14" s="994"/>
      <c r="AQ14" s="963"/>
      <c r="AR14" s="963"/>
    </row>
    <row s="569" customFormat="1" customHeight="1" ht="11.25" hidden="1">
      <c r="B15" s="429"/>
      <c r="E15" s="868"/>
      <c r="T15" s="960"/>
      <c r="U15" s="960"/>
      <c r="V15" s="960"/>
      <c r="W15" s="960"/>
      <c r="X15" s="960"/>
      <c r="Y15" s="960"/>
      <c r="Z15" s="960"/>
      <c r="AA15" s="960"/>
      <c r="AB15" s="960"/>
      <c r="AC15" s="960"/>
      <c r="AD15" s="991"/>
      <c r="AE15" s="991"/>
      <c r="AF15" s="991"/>
      <c r="AG15" s="991"/>
      <c r="AJ15" s="991"/>
      <c r="AM15" s="994"/>
      <c r="AN15" s="994"/>
      <c r="AO15" s="994"/>
      <c r="AP15" s="994"/>
      <c r="AQ15" s="963"/>
      <c r="AR15" s="963"/>
    </row>
    <row s="569" customFormat="1" customHeight="1" ht="11.25" hidden="1">
      <c r="B16" s="429"/>
      <c r="E16" s="868"/>
      <c r="T16" s="960"/>
      <c r="U16" s="960"/>
      <c r="V16" s="960"/>
      <c r="W16" s="960"/>
      <c r="X16" s="960"/>
      <c r="Y16" s="960"/>
      <c r="Z16" s="960"/>
      <c r="AA16" s="960"/>
      <c r="AB16" s="960"/>
      <c r="AC16" s="960"/>
      <c r="AD16" s="991"/>
      <c r="AE16" s="991"/>
      <c r="AF16" s="991"/>
      <c r="AG16" s="991"/>
      <c r="AJ16" s="991"/>
      <c r="AM16" s="994"/>
      <c r="AN16" s="994"/>
      <c r="AO16" s="994"/>
      <c r="AP16" s="994"/>
      <c r="AQ16" s="963"/>
      <c r="AR16" s="963"/>
    </row>
    <row s="569" customFormat="1" customHeight="1" ht="11.25" hidden="1">
      <c r="B17" s="429"/>
      <c r="E17" s="868"/>
      <c r="T17" s="960"/>
      <c r="U17" s="960"/>
      <c r="V17" s="960"/>
      <c r="W17" s="960"/>
      <c r="X17" s="960"/>
      <c r="Y17" s="960"/>
      <c r="Z17" s="960"/>
      <c r="AA17" s="960"/>
      <c r="AB17" s="960"/>
      <c r="AC17" s="960"/>
      <c r="AD17" s="991"/>
      <c r="AE17" s="991"/>
      <c r="AF17" s="991"/>
      <c r="AG17" s="991"/>
      <c r="AJ17" s="991"/>
      <c r="AM17" s="994"/>
      <c r="AN17" s="994"/>
      <c r="AO17" s="994"/>
      <c r="AP17" s="994"/>
      <c r="AQ17" s="963"/>
      <c r="AR17" s="963"/>
    </row>
    <row s="569" customFormat="1" customHeight="1" ht="11.25" hidden="1">
      <c r="A18" s="148" t="s">
        <v>368</v>
      </c>
      <c r="B18" s="429"/>
      <c r="E18" s="868"/>
      <c r="T18" s="960"/>
      <c r="U18" s="960"/>
      <c r="V18" s="960"/>
      <c r="W18" s="960"/>
      <c r="X18" s="960"/>
      <c r="Y18" s="960"/>
      <c r="Z18" s="960"/>
      <c r="AA18" s="960"/>
      <c r="AB18" s="960"/>
      <c r="AC18" s="960"/>
      <c r="AD18" s="948" t="s">
        <v>195</v>
      </c>
      <c r="AE18" s="991"/>
      <c r="AF18" s="991"/>
      <c r="AG18" s="991"/>
      <c r="AJ18" s="991"/>
      <c r="AM18" s="994"/>
      <c r="AN18" s="994"/>
      <c r="AO18" s="994"/>
      <c r="AP18" s="994"/>
      <c r="AQ18" s="963"/>
      <c r="AR18" s="963"/>
    </row>
    <row s="569" customFormat="1" customHeight="1" ht="11.25" hidden="1">
      <c r="B19" s="429"/>
      <c r="E19" s="868"/>
      <c r="T19" s="960"/>
      <c r="U19" s="960"/>
      <c r="V19" s="960"/>
      <c r="W19" s="960"/>
      <c r="X19" s="960"/>
      <c r="Y19" s="960"/>
      <c r="Z19" s="960"/>
      <c r="AA19" s="960"/>
      <c r="AB19" s="960"/>
      <c r="AC19" s="960"/>
      <c r="AD19" s="991"/>
      <c r="AE19" s="991"/>
      <c r="AF19" s="991"/>
      <c r="AG19" s="991"/>
      <c r="AJ19" s="991"/>
      <c r="AM19" s="994"/>
      <c r="AN19" s="994"/>
      <c r="AO19" s="994"/>
      <c r="AP19" s="994"/>
      <c r="AQ19" s="963"/>
      <c r="AR19" s="963"/>
    </row>
    <row s="569" customFormat="1" customHeight="1" ht="11.25" hidden="1">
      <c r="B20" s="429"/>
      <c r="E20" s="868"/>
      <c r="T20" s="960"/>
      <c r="U20" s="960"/>
      <c r="V20" s="960"/>
      <c r="W20" s="960"/>
      <c r="X20" s="960"/>
      <c r="Y20" s="960"/>
      <c r="Z20" s="960"/>
      <c r="AA20" s="960"/>
      <c r="AB20" s="960"/>
      <c r="AC20" s="960"/>
      <c r="AD20" s="991"/>
      <c r="AE20" s="991"/>
      <c r="AF20" s="991"/>
      <c r="AG20" s="991"/>
      <c r="AJ20" s="991"/>
      <c r="AM20" s="994"/>
      <c r="AN20" s="994"/>
      <c r="AO20" s="994"/>
      <c r="AP20" s="994"/>
      <c r="AQ20" s="963"/>
      <c r="AR20" s="963"/>
    </row>
    <row s="569" customFormat="1" customHeight="1" ht="14.625">
      <c r="B21" s="429"/>
      <c r="E21" s="868">
        <v>15</v>
      </c>
      <c r="T21" s="960"/>
      <c r="U21" s="960"/>
      <c r="V21" s="960"/>
      <c r="W21" s="960"/>
      <c r="X21" s="960"/>
      <c r="Y21" s="960"/>
      <c r="Z21" s="960"/>
      <c r="AA21" s="960"/>
      <c r="AB21" s="657"/>
      <c r="AC21" s="468"/>
      <c r="AD21" s="365" cm="1" t="str">
        <f t="array" ref="AD21:AD21">tpl_title</f>
        <v>Кемеровская область / 2026 / ООО "Теплоэнерго" (ИНН:4214046200, КПП:421401001) / ДПР: 2026-2030</v>
      </c>
      <c r="AE21" s="468"/>
      <c r="AF21" s="468"/>
      <c r="AG21" s="468"/>
      <c r="AJ21" s="468"/>
      <c r="AM21" s="994"/>
      <c r="AN21" s="994"/>
      <c r="AO21" s="994"/>
      <c r="AP21" s="994"/>
      <c r="AQ21" s="963"/>
      <c r="AR21" s="963"/>
    </row>
    <row customHeight="1" ht="20.475">
      <c r="E22" s="635">
        <v>21</v>
      </c>
      <c r="S22" s="0"/>
      <c r="AB22" s="0"/>
      <c r="AC22" s="1541" t="s">
        <v>37</v>
      </c>
      <c r="AD22" s="1542"/>
      <c r="AE22" s="1542"/>
      <c r="AF22" s="1542"/>
      <c r="AG22" s="1542"/>
      <c r="AH22" s="1542"/>
      <c r="AI22" s="1542"/>
      <c r="AJ22" s="1542"/>
    </row>
    <row customHeight="1" ht="8.775">
      <c r="E23" s="635">
        <v>9</v>
      </c>
      <c r="AB23" s="115"/>
      <c r="AC23" s="115"/>
      <c r="AD23" s="115"/>
      <c r="AE23" s="115"/>
      <c r="AF23" s="115"/>
      <c r="AG23" s="1559"/>
      <c r="AH23" s="1559"/>
      <c r="AI23" s="95"/>
      <c r="AJ23" s="95"/>
    </row>
    <row customHeight="1" ht="20.475">
      <c r="E24" s="635">
        <v>21</v>
      </c>
      <c r="AB24" s="115"/>
      <c r="AC24" s="1560" t="s">
        <v>22</v>
      </c>
      <c r="AD24" s="1560" t="s">
        <v>369</v>
      </c>
      <c r="AE24" s="1560" t="s">
        <v>370</v>
      </c>
      <c r="AF24" s="358" t="str">
        <f>god-2&amp;" год"</f>
        <v>2024 год</v>
      </c>
      <c r="AG24" s="92" t="str">
        <f>god-1&amp;" год"</f>
        <v>2025 год</v>
      </c>
      <c r="AH24" s="1118" t="str">
        <f>god&amp;" год"</f>
        <v>2026 год</v>
      </c>
      <c r="AI24" s="92" t="str">
        <f>god&amp;" год"</f>
        <v>2026 год</v>
      </c>
      <c r="AJ24" s="1561" t="s">
        <v>371</v>
      </c>
    </row>
    <row s="1758" customFormat="1" customHeight="1" ht="35.1">
      <c r="B25" s="428"/>
      <c r="E25" s="629">
        <v>36</v>
      </c>
      <c r="F25" s="122" t="s">
        <v>372</v>
      </c>
      <c r="AC25" s="1560"/>
      <c r="AD25" s="1560"/>
      <c r="AE25" s="1560"/>
      <c r="AF25" s="92" t="s">
        <v>362</v>
      </c>
      <c r="AG25" s="92" t="s">
        <v>362</v>
      </c>
      <c r="AH25" s="1118" t="s">
        <v>363</v>
      </c>
      <c r="AI25" s="92" t="s">
        <v>362</v>
      </c>
      <c r="AJ25" s="1562"/>
      <c r="AM25" s="997"/>
      <c r="AN25" s="997"/>
      <c r="AO25" s="997"/>
      <c r="AP25" s="997"/>
      <c r="AQ25" s="618"/>
      <c r="AR25" s="618"/>
    </row>
    <row s="1834" customFormat="1" customHeight="1" ht="11.25">
      <c r="B26" s="658"/>
      <c r="E26" s="636" t="s">
        <v>373</v>
      </c>
      <c r="F26" s="172"/>
      <c r="G26" s="172"/>
      <c r="T26" s="0" t="s">
        <v>374</v>
      </c>
      <c r="AD26" s="100"/>
      <c r="AE26" s="100"/>
      <c r="AF26" s="100"/>
      <c r="AG26" s="100"/>
      <c r="AM26" s="1004"/>
      <c r="AN26" s="1004"/>
      <c r="AO26" s="1004"/>
      <c r="AP26" s="1004"/>
      <c r="AQ26" s="624"/>
      <c r="AR26" s="1007"/>
    </row>
    <row s="1758" customFormat="1" customHeight="1" ht="14.625" hidden="1">
      <c r="A27" s="1758"/>
      <c r="B27" s="428"/>
      <c r="C27" s="1758"/>
      <c r="D27" s="1758"/>
      <c r="E27" s="629">
        <v>15</v>
      </c>
      <c r="F27" s="122" cm="1" t="str">
        <f t="array" ref="F27:F27">Z27</f>
        <v>0</v>
      </c>
      <c r="G27" s="1758"/>
      <c r="H27" s="1758"/>
      <c r="I27" s="1758"/>
      <c r="J27" s="1758"/>
      <c r="K27" s="1758"/>
      <c r="L27" s="1758"/>
      <c r="M27" s="1758"/>
      <c r="N27" s="1758"/>
      <c r="O27" s="1758"/>
      <c r="P27" s="1758"/>
      <c r="Q27" s="1758"/>
      <c r="R27" s="1758"/>
      <c r="S27" s="1758"/>
      <c r="T27" s="1080" cm="1" t="str">
        <f t="array" ref="T27:T27">INDEX('Общие сведения'!$AE$179:$AE$250,MATCH($Z27,'Общие сведения'!$Z$179:$Z$250,0))</f>
        <v>0</v>
      </c>
      <c r="U27" s="1758"/>
      <c r="V27" s="465">
        <f>Z27&gt;0</f>
        <v>0</v>
      </c>
      <c r="W27" s="1758"/>
      <c r="X27" s="122" t="s">
        <v>265</v>
      </c>
      <c r="Y27" s="1758"/>
      <c r="Z27" s="1545">
        <v>0</v>
      </c>
      <c r="AA27" s="1546"/>
      <c r="AB27" s="1758"/>
      <c r="AC27" s="180" cm="1" t="str">
        <f t="array" ref="AC27:AC27">INDEX('Общие сведения'!$AG$179:$AG$250,MATCH($Z27,'Общие сведения'!$Z$179:$Z$250,0))</f>
        <v>Тариф 0 () - </v>
      </c>
      <c r="AD27" s="180"/>
      <c r="AE27" s="174"/>
      <c r="AF27" s="174"/>
      <c r="AG27" s="174"/>
      <c r="AH27" s="174"/>
      <c r="AI27" s="174"/>
      <c r="AJ27" s="174"/>
      <c r="AK27" s="1758"/>
      <c r="AL27" s="1758"/>
      <c r="AM27" s="997"/>
      <c r="AN27" s="997"/>
      <c r="AO27" s="997"/>
      <c r="AP27" s="997"/>
      <c r="AQ27" s="618"/>
      <c r="AR27" s="618"/>
      <c r="AS27" s="1758"/>
      <c r="AT27" s="1758"/>
      <c r="AU27" s="1758"/>
      <c r="AV27" s="1758"/>
      <c r="AW27" s="1758"/>
      <c r="AX27" s="1758"/>
      <c r="AY27" s="1758"/>
      <c r="AZ27" s="1758"/>
      <c r="BA27" s="1758"/>
      <c r="BB27" s="1758"/>
      <c r="BC27" s="1758"/>
      <c r="BD27" s="1758"/>
      <c r="BE27" s="1758"/>
    </row>
    <row s="1758" customFormat="1" customHeight="1" ht="14.625" hidden="1">
      <c r="A28" s="1758"/>
      <c r="B28" s="961">
        <f>AND(T27="Водоснабжение",method_reg&lt;&gt;"Метод сравнения аналогов")</f>
        <v>0</v>
      </c>
      <c r="C28" s="1758"/>
      <c r="D28" s="1758"/>
      <c r="E28" s="629">
        <v>15</v>
      </c>
      <c r="F28" s="143" cm="1" t="str">
        <f t="array" ref="F28:F28">OFFSET(E28,-1,1)</f>
        <v>0</v>
      </c>
      <c r="G28" s="484"/>
      <c r="H28" s="122" t="s">
        <v>332</v>
      </c>
      <c r="I28" s="122" t="s">
        <v>375</v>
      </c>
      <c r="J28" s="122" t="str">
        <f>AD28&amp;"::"&amp;AE28</f>
        <v>Водонасосные станции (водозаборные узлы)::ед.</v>
      </c>
      <c r="K28" s="124"/>
      <c r="L28" s="1758"/>
      <c r="M28" s="1758"/>
      <c r="N28" s="1758"/>
      <c r="O28" s="1758"/>
      <c r="P28" s="1758"/>
      <c r="Q28" s="1758"/>
      <c r="R28" s="1758"/>
      <c r="S28" s="1758"/>
      <c r="T28" s="1758"/>
      <c r="U28" s="1758"/>
      <c r="V28" s="465" cm="1" t="str">
        <f t="array" ref="V28:V28">V27</f>
        <v>false</v>
      </c>
      <c r="W28" s="1758"/>
      <c r="X28" s="1758"/>
      <c r="Y28" s="1758"/>
      <c r="Z28" s="1545"/>
      <c r="AA28" s="1546"/>
      <c r="AB28" s="1758"/>
      <c r="AC28" s="184">
        <v>1</v>
      </c>
      <c r="AD28" s="182" t="s">
        <v>376</v>
      </c>
      <c r="AE28" s="123" t="s">
        <v>377</v>
      </c>
      <c r="AF28" s="1938"/>
      <c r="AG28" s="1938"/>
      <c r="AH28" s="1938"/>
      <c r="AI28" s="1938"/>
      <c r="AJ28" s="1939"/>
      <c r="AK28" s="1758"/>
      <c r="AL28" s="1758"/>
      <c r="AM28" s="997" t="s">
        <v>378</v>
      </c>
      <c r="AN28" s="997"/>
      <c r="AO28" s="997"/>
      <c r="AP28" s="997"/>
      <c r="AQ28" s="618"/>
      <c r="AR28" s="618"/>
      <c r="AS28" s="1758"/>
      <c r="AT28" s="1758"/>
      <c r="AU28" s="1758"/>
      <c r="AV28" s="1758"/>
      <c r="AW28" s="1758"/>
      <c r="AX28" s="1758"/>
      <c r="AY28" s="1758"/>
      <c r="AZ28" s="1758"/>
      <c r="BA28" s="1758"/>
      <c r="BB28" s="1758"/>
      <c r="BC28" s="1758"/>
      <c r="BD28" s="1758"/>
      <c r="BE28" s="1758"/>
    </row>
    <row s="1758" customFormat="1" customHeight="1" ht="14.625" hidden="1">
      <c r="A29" s="1758"/>
      <c r="B29" s="961" cm="1" t="str">
        <f t="array" ref="B29:B29">B28</f>
        <v>false</v>
      </c>
      <c r="C29" s="1758"/>
      <c r="D29" s="1758"/>
      <c r="E29" s="629">
        <v>15</v>
      </c>
      <c r="F29" s="143" cm="1" t="str">
        <f t="array" ref="F29:F29">OFFSET(E29,-1,1)</f>
        <v>0</v>
      </c>
      <c r="G29" s="143"/>
      <c r="H29" s="122" t="s">
        <v>332</v>
      </c>
      <c r="I29" s="122" t="s">
        <v>375</v>
      </c>
      <c r="J29" s="122" t="str">
        <f>AD29&amp;"::"&amp;AE29</f>
        <v>Скважины::ед.</v>
      </c>
      <c r="K29" s="1758"/>
      <c r="L29" s="1758"/>
      <c r="M29" s="1758"/>
      <c r="N29" s="1758"/>
      <c r="O29" s="1758"/>
      <c r="P29" s="1758"/>
      <c r="Q29" s="1758"/>
      <c r="R29" s="1758"/>
      <c r="S29" s="1758"/>
      <c r="T29" s="1758"/>
      <c r="U29" s="1758"/>
      <c r="V29" s="465" cm="1" t="str">
        <f t="array" ref="V29:V29">V28</f>
        <v>false</v>
      </c>
      <c r="W29" s="1758"/>
      <c r="X29" s="1758"/>
      <c r="Y29" s="1758"/>
      <c r="Z29" s="1545"/>
      <c r="AA29" s="1546"/>
      <c r="AB29" s="1758"/>
      <c r="AC29" s="184">
        <v>2</v>
      </c>
      <c r="AD29" s="182" t="s">
        <v>379</v>
      </c>
      <c r="AE29" s="123" t="s">
        <v>377</v>
      </c>
      <c r="AF29" s="1938"/>
      <c r="AG29" s="1938"/>
      <c r="AH29" s="1938"/>
      <c r="AI29" s="1938"/>
      <c r="AJ29" s="1939"/>
      <c r="AK29" s="1758"/>
      <c r="AL29" s="1758"/>
      <c r="AM29" s="997" t="s">
        <v>380</v>
      </c>
      <c r="AN29" s="997"/>
      <c r="AO29" s="997"/>
      <c r="AP29" s="997"/>
      <c r="AQ29" s="618"/>
      <c r="AR29" s="618"/>
      <c r="AS29" s="1758"/>
      <c r="AT29" s="1758"/>
      <c r="AU29" s="1758"/>
      <c r="AV29" s="1758"/>
      <c r="AW29" s="1758"/>
      <c r="AX29" s="1758"/>
      <c r="AY29" s="1758"/>
      <c r="AZ29" s="1758"/>
      <c r="BA29" s="1758"/>
      <c r="BB29" s="1758"/>
      <c r="BC29" s="1758"/>
      <c r="BD29" s="1758"/>
      <c r="BE29" s="1758"/>
    </row>
    <row s="1758" customFormat="1" customHeight="1" ht="14.625" hidden="1">
      <c r="A30" s="1758"/>
      <c r="B30" s="961">
        <f>T27="Водоснабжение"</f>
        <v>0</v>
      </c>
      <c r="C30" s="1758"/>
      <c r="D30" s="1758"/>
      <c r="E30" s="629">
        <v>15</v>
      </c>
      <c r="F30" s="143" cm="1" t="str">
        <f t="array" ref="F30:F30">OFFSET(E30,-1,1)</f>
        <v>0</v>
      </c>
      <c r="G30" s="143" t="s">
        <v>50</v>
      </c>
      <c r="H30" s="122" t="s">
        <v>332</v>
      </c>
      <c r="I30" s="122" t="s">
        <v>375</v>
      </c>
      <c r="J30" s="122" t="str">
        <f>AD30&amp;"::"&amp;AE30</f>
        <v>Подкачивающие насосные станции::ед.</v>
      </c>
      <c r="K30" s="1758"/>
      <c r="L30" s="122" t="s">
        <v>50</v>
      </c>
      <c r="M30" s="1758"/>
      <c r="N30" s="1758"/>
      <c r="O30" s="1758"/>
      <c r="P30" s="1758"/>
      <c r="Q30" s="1758"/>
      <c r="R30" s="1758"/>
      <c r="S30" s="1758"/>
      <c r="T30" s="1758"/>
      <c r="U30" s="1758"/>
      <c r="V30" s="465" cm="1" t="str">
        <f t="array" ref="V30:V30">V29</f>
        <v>false</v>
      </c>
      <c r="W30" s="1758"/>
      <c r="X30" s="1758"/>
      <c r="Y30" s="1758"/>
      <c r="Z30" s="1545"/>
      <c r="AA30" s="1546"/>
      <c r="AB30" s="1758"/>
      <c r="AC30" s="184">
        <f>IF(B29,3,1)</f>
        <v>1</v>
      </c>
      <c r="AD30" s="182" t="s">
        <v>381</v>
      </c>
      <c r="AE30" s="123" t="s">
        <v>377</v>
      </c>
      <c r="AF30" s="1938"/>
      <c r="AG30" s="1938"/>
      <c r="AH30" s="1938"/>
      <c r="AI30" s="1938"/>
      <c r="AJ30" s="1939"/>
      <c r="AK30" s="1758"/>
      <c r="AL30" s="1758"/>
      <c r="AM30" s="997" t="s">
        <v>382</v>
      </c>
      <c r="AN30" s="997"/>
      <c r="AO30" s="997"/>
      <c r="AP30" s="997"/>
      <c r="AQ30" s="618"/>
      <c r="AR30" s="618"/>
      <c r="AS30" s="1758"/>
      <c r="AT30" s="1758"/>
      <c r="AU30" s="1758"/>
      <c r="AV30" s="1758"/>
      <c r="AW30" s="1758"/>
      <c r="AX30" s="1758"/>
      <c r="AY30" s="1758"/>
      <c r="AZ30" s="1758"/>
      <c r="BA30" s="1758"/>
      <c r="BB30" s="1758"/>
      <c r="BC30" s="1758"/>
      <c r="BD30" s="1758"/>
      <c r="BE30" s="1758"/>
    </row>
    <row s="1758" customFormat="1" customHeight="1" ht="14.625" hidden="1">
      <c r="A31" s="1758"/>
      <c r="B31" s="961" cm="1" t="str">
        <f t="array" ref="B31:B31">B29</f>
        <v>false</v>
      </c>
      <c r="C31" s="1758"/>
      <c r="D31" s="1758"/>
      <c r="E31" s="629">
        <v>15</v>
      </c>
      <c r="F31" s="143" cm="1" t="str">
        <f t="array" ref="F31:F31">OFFSET(E31,-1,1)</f>
        <v>0</v>
      </c>
      <c r="G31" s="143"/>
      <c r="H31" s="122" t="s">
        <v>332</v>
      </c>
      <c r="I31" s="122" t="s">
        <v>375</v>
      </c>
      <c r="J31" s="122" t="str">
        <f>AD31&amp;"::"&amp;AE31</f>
        <v>Водонапорные башни::ед.</v>
      </c>
      <c r="K31" s="1758"/>
      <c r="L31" s="1758"/>
      <c r="M31" s="1758"/>
      <c r="N31" s="1758"/>
      <c r="O31" s="1758"/>
      <c r="P31" s="1758"/>
      <c r="Q31" s="1758"/>
      <c r="R31" s="1758"/>
      <c r="S31" s="1758"/>
      <c r="T31" s="1758"/>
      <c r="U31" s="1758"/>
      <c r="V31" s="465" cm="1" t="str">
        <f t="array" ref="V31:V31">V30</f>
        <v>false</v>
      </c>
      <c r="W31" s="1758"/>
      <c r="X31" s="1758"/>
      <c r="Y31" s="1758"/>
      <c r="Z31" s="1545"/>
      <c r="AA31" s="1546"/>
      <c r="AB31" s="1758"/>
      <c r="AC31" s="184">
        <v>4</v>
      </c>
      <c r="AD31" s="182" t="s">
        <v>383</v>
      </c>
      <c r="AE31" s="123" t="s">
        <v>377</v>
      </c>
      <c r="AF31" s="1938"/>
      <c r="AG31" s="1938"/>
      <c r="AH31" s="1938"/>
      <c r="AI31" s="1938"/>
      <c r="AJ31" s="1939"/>
      <c r="AK31" s="1758"/>
      <c r="AL31" s="1758"/>
      <c r="AM31" s="997" t="s">
        <v>384</v>
      </c>
      <c r="AN31" s="997"/>
      <c r="AO31" s="997"/>
      <c r="AP31" s="997"/>
      <c r="AQ31" s="618"/>
      <c r="AR31" s="618"/>
      <c r="AS31" s="1758"/>
      <c r="AT31" s="1758"/>
      <c r="AU31" s="1758"/>
      <c r="AV31" s="1758"/>
      <c r="AW31" s="1758"/>
      <c r="AX31" s="1758"/>
      <c r="AY31" s="1758"/>
      <c r="AZ31" s="1758"/>
      <c r="BA31" s="1758"/>
      <c r="BB31" s="1758"/>
      <c r="BC31" s="1758"/>
      <c r="BD31" s="1758"/>
      <c r="BE31" s="1758"/>
    </row>
    <row s="1758" customFormat="1" customHeight="1" ht="14.625" hidden="1">
      <c r="A32" s="1758"/>
      <c r="B32" s="961">
        <f>T27="Водоснабжение"</f>
        <v>0</v>
      </c>
      <c r="C32" s="1758"/>
      <c r="D32" s="1758"/>
      <c r="E32" s="629">
        <v>15</v>
      </c>
      <c r="F32" s="143" cm="1" t="str">
        <f t="array" ref="F32:F32">OFFSET(E32,-1,1)</f>
        <v>0</v>
      </c>
      <c r="G32" s="143"/>
      <c r="H32" s="122" t="s">
        <v>332</v>
      </c>
      <c r="I32" s="122" t="s">
        <v>375</v>
      </c>
      <c r="J32" s="122" t="str">
        <f>AD32&amp;"::"&amp;AE32</f>
        <v>Водопроводные сети::км</v>
      </c>
      <c r="K32" s="1758"/>
      <c r="L32" s="1758"/>
      <c r="M32" s="1758"/>
      <c r="N32" s="1758"/>
      <c r="O32" s="1758"/>
      <c r="P32" s="122" t="s">
        <v>385</v>
      </c>
      <c r="Q32" s="122" t="s">
        <v>386</v>
      </c>
      <c r="R32" s="1758"/>
      <c r="S32" s="1758"/>
      <c r="T32" s="1758"/>
      <c r="U32" s="1758"/>
      <c r="V32" s="465" cm="1" t="str">
        <f t="array" ref="V32:V32">V31</f>
        <v>false</v>
      </c>
      <c r="W32" s="1758"/>
      <c r="X32" s="1758"/>
      <c r="Y32" s="1758"/>
      <c r="Z32" s="1545"/>
      <c r="AA32" s="1546"/>
      <c r="AB32" s="1758"/>
      <c r="AC32" s="184">
        <f>IF(B29,5,2)</f>
        <v>2</v>
      </c>
      <c r="AD32" s="182" t="s">
        <v>387</v>
      </c>
      <c r="AE32" s="123" t="s">
        <v>388</v>
      </c>
      <c r="AF32" s="1940"/>
      <c r="AG32" s="1940"/>
      <c r="AH32" s="141"/>
      <c r="AI32" s="141"/>
      <c r="AJ32" s="1939"/>
      <c r="AK32" s="1758"/>
      <c r="AL32" s="1758"/>
      <c r="AM32" s="997" t="s">
        <v>389</v>
      </c>
      <c r="AN32" s="997"/>
      <c r="AO32" s="997"/>
      <c r="AP32" s="997"/>
      <c r="AQ32" s="618"/>
      <c r="AR32" s="618"/>
      <c r="AS32" s="1758"/>
      <c r="AT32" s="1758"/>
      <c r="AU32" s="1758"/>
      <c r="AV32" s="1758"/>
      <c r="AW32" s="1758"/>
      <c r="AX32" s="1758"/>
      <c r="AY32" s="1758"/>
      <c r="AZ32" s="1758"/>
      <c r="BA32" s="1758"/>
      <c r="BB32" s="1758"/>
      <c r="BC32" s="1758"/>
      <c r="BD32" s="1758"/>
      <c r="BE32" s="1758"/>
    </row>
    <row s="1758" customFormat="1" customHeight="1" ht="14.625" hidden="1">
      <c r="A33" s="1758"/>
      <c r="B33" s="961">
        <f>AND(T27="Водоотведение",method_reg&lt;&gt;"Метод сравнения аналогов")</f>
        <v>0</v>
      </c>
      <c r="C33" s="1758"/>
      <c r="D33" s="1758"/>
      <c r="E33" s="629">
        <v>15</v>
      </c>
      <c r="F33" s="143" cm="1" t="str">
        <f t="array" ref="F33:F33">OFFSET(E33,-1,1)</f>
        <v>0</v>
      </c>
      <c r="G33" s="484"/>
      <c r="H33" s="122" t="s">
        <v>332</v>
      </c>
      <c r="I33" s="122" t="s">
        <v>375</v>
      </c>
      <c r="J33" s="122" t="str">
        <f>AD33&amp;"::"&amp;AE33</f>
        <v>Биологические очистные сооружения::ед.</v>
      </c>
      <c r="K33" s="124"/>
      <c r="L33" s="1758"/>
      <c r="M33" s="1758"/>
      <c r="N33" s="1758"/>
      <c r="O33" s="1758"/>
      <c r="P33" s="1758"/>
      <c r="Q33" s="1758"/>
      <c r="R33" s="1758"/>
      <c r="S33" s="1758"/>
      <c r="T33" s="1758"/>
      <c r="U33" s="1758"/>
      <c r="V33" s="465" cm="1" t="str">
        <f t="array" ref="V33:V33">V32</f>
        <v>false</v>
      </c>
      <c r="W33" s="1758"/>
      <c r="X33" s="1758"/>
      <c r="Y33" s="1758"/>
      <c r="Z33" s="1545"/>
      <c r="AA33" s="1546"/>
      <c r="AB33" s="1758"/>
      <c r="AC33" s="184">
        <v>1</v>
      </c>
      <c r="AD33" s="182" t="s">
        <v>390</v>
      </c>
      <c r="AE33" s="123" t="s">
        <v>377</v>
      </c>
      <c r="AF33" s="1938"/>
      <c r="AG33" s="1938"/>
      <c r="AH33" s="1938"/>
      <c r="AI33" s="1938"/>
      <c r="AJ33" s="1939"/>
      <c r="AK33" s="1758"/>
      <c r="AL33" s="1758"/>
      <c r="AM33" s="997" t="s">
        <v>391</v>
      </c>
      <c r="AN33" s="997"/>
      <c r="AO33" s="997"/>
      <c r="AP33" s="997"/>
      <c r="AQ33" s="618"/>
      <c r="AR33" s="618"/>
      <c r="AS33" s="1758"/>
      <c r="AT33" s="1758"/>
      <c r="AU33" s="1758"/>
      <c r="AV33" s="1758"/>
      <c r="AW33" s="1758"/>
      <c r="AX33" s="1758"/>
      <c r="AY33" s="1758"/>
      <c r="AZ33" s="1758"/>
      <c r="BA33" s="1758"/>
      <c r="BB33" s="1758"/>
      <c r="BC33" s="1758"/>
      <c r="BD33" s="1758"/>
      <c r="BE33" s="1758"/>
    </row>
    <row s="1758" customFormat="1" customHeight="1" ht="14.625" hidden="1">
      <c r="A34" s="1758"/>
      <c r="B34" s="961">
        <f>T27="Водоотведение"</f>
        <v>0</v>
      </c>
      <c r="C34" s="1758"/>
      <c r="D34" s="1758"/>
      <c r="E34" s="629">
        <v>15</v>
      </c>
      <c r="F34" s="143" cm="1" t="str">
        <f t="array" ref="F34:F34">OFFSET(E34,-1,1)</f>
        <v>0</v>
      </c>
      <c r="G34" s="143" t="s">
        <v>50</v>
      </c>
      <c r="H34" s="122" t="s">
        <v>332</v>
      </c>
      <c r="I34" s="122" t="s">
        <v>375</v>
      </c>
      <c r="J34" s="122" t="str">
        <f>AD34&amp;"::"&amp;AE34</f>
        <v>Канализационные насосные станции::ед.</v>
      </c>
      <c r="K34" s="1758"/>
      <c r="L34" s="1758"/>
      <c r="M34" s="1758"/>
      <c r="N34" s="1758"/>
      <c r="O34" s="1758"/>
      <c r="P34" s="1758"/>
      <c r="Q34" s="1758"/>
      <c r="R34" s="1758"/>
      <c r="S34" s="1758"/>
      <c r="T34" s="1758"/>
      <c r="U34" s="1758"/>
      <c r="V34" s="465" cm="1" t="str">
        <f t="array" ref="V34:V34">V33</f>
        <v>false</v>
      </c>
      <c r="W34" s="1758"/>
      <c r="X34" s="1758"/>
      <c r="Y34" s="1758"/>
      <c r="Z34" s="1545"/>
      <c r="AA34" s="1546"/>
      <c r="AB34" s="1758"/>
      <c r="AC34" s="184">
        <f>IF(B33,2,1)</f>
        <v>1</v>
      </c>
      <c r="AD34" s="182" t="s">
        <v>392</v>
      </c>
      <c r="AE34" s="123" t="s">
        <v>377</v>
      </c>
      <c r="AF34" s="1938"/>
      <c r="AG34" s="1938"/>
      <c r="AH34" s="1938"/>
      <c r="AI34" s="1938"/>
      <c r="AJ34" s="1939"/>
      <c r="AK34" s="1758"/>
      <c r="AL34" s="1758"/>
      <c r="AM34" s="997" t="s">
        <v>393</v>
      </c>
      <c r="AN34" s="997"/>
      <c r="AO34" s="997"/>
      <c r="AP34" s="997"/>
      <c r="AQ34" s="618"/>
      <c r="AR34" s="618"/>
      <c r="AS34" s="1758"/>
      <c r="AT34" s="1758"/>
      <c r="AU34" s="1758"/>
      <c r="AV34" s="1758"/>
      <c r="AW34" s="1758"/>
      <c r="AX34" s="1758"/>
      <c r="AY34" s="1758"/>
      <c r="AZ34" s="1758"/>
      <c r="BA34" s="1758"/>
      <c r="BB34" s="1758"/>
      <c r="BC34" s="1758"/>
      <c r="BD34" s="1758"/>
      <c r="BE34" s="1758"/>
    </row>
    <row s="1758" customFormat="1" customHeight="1" ht="14.625" hidden="1">
      <c r="A35" s="1758"/>
      <c r="B35" s="961" cm="1" t="str">
        <f t="array" ref="B35:B35">B34</f>
        <v>false</v>
      </c>
      <c r="C35" s="1758"/>
      <c r="D35" s="1758"/>
      <c r="E35" s="629">
        <v>15</v>
      </c>
      <c r="F35" s="143" cm="1" t="str">
        <f t="array" ref="F35:F35">OFFSET(E35,-1,1)</f>
        <v>0</v>
      </c>
      <c r="G35" s="143"/>
      <c r="H35" s="122" t="s">
        <v>332</v>
      </c>
      <c r="I35" s="122" t="s">
        <v>375</v>
      </c>
      <c r="J35" s="122" t="str">
        <f>AD35&amp;"::"&amp;AE35</f>
        <v>Канализационные сети::км</v>
      </c>
      <c r="K35" s="1758"/>
      <c r="L35" s="122" t="s">
        <v>50</v>
      </c>
      <c r="M35" s="1758"/>
      <c r="N35" s="1758"/>
      <c r="O35" s="1758"/>
      <c r="P35" s="122" t="s">
        <v>385</v>
      </c>
      <c r="Q35" s="122" t="s">
        <v>386</v>
      </c>
      <c r="R35" s="1758"/>
      <c r="S35" s="1758"/>
      <c r="T35" s="1758"/>
      <c r="U35" s="1758"/>
      <c r="V35" s="465" cm="1" t="str">
        <f t="array" ref="V35:V35">V34</f>
        <v>false</v>
      </c>
      <c r="W35" s="1758"/>
      <c r="X35" s="1758"/>
      <c r="Y35" s="1758"/>
      <c r="Z35" s="1545"/>
      <c r="AA35" s="1546"/>
      <c r="AB35" s="1758"/>
      <c r="AC35" s="184">
        <f>AC34+1</f>
        <v>2</v>
      </c>
      <c r="AD35" s="182" t="s">
        <v>394</v>
      </c>
      <c r="AE35" s="123" t="s">
        <v>388</v>
      </c>
      <c r="AF35" s="1940"/>
      <c r="AG35" s="1940"/>
      <c r="AH35" s="141"/>
      <c r="AI35" s="141"/>
      <c r="AJ35" s="1939"/>
      <c r="AK35" s="1758"/>
      <c r="AL35" s="1758"/>
      <c r="AM35" s="997" t="s">
        <v>395</v>
      </c>
      <c r="AN35" s="997"/>
      <c r="AO35" s="997"/>
      <c r="AP35" s="997"/>
      <c r="AQ35" s="618"/>
      <c r="AR35" s="618"/>
      <c r="AS35" s="1758"/>
      <c r="AT35" s="1758"/>
      <c r="AU35" s="1758"/>
      <c r="AV35" s="1758"/>
      <c r="AW35" s="1758"/>
      <c r="AX35" s="1758"/>
      <c r="AY35" s="1758"/>
      <c r="AZ35" s="1758"/>
      <c r="BA35" s="1758"/>
      <c r="BB35" s="1758"/>
      <c r="BC35" s="1758"/>
      <c r="BD35" s="1758"/>
      <c r="BE35" s="1758"/>
    </row>
    <row s="1021" customFormat="1" customHeight="1" ht="14.625" hidden="1">
      <c r="A36" s="1021"/>
      <c r="B36" s="428"/>
      <c r="C36" s="1021"/>
      <c r="D36" s="1021"/>
      <c r="E36" s="637">
        <v>15</v>
      </c>
      <c r="F36" s="143" cm="1" t="str">
        <f t="array" ref="F36:F36">OFFSET(E36,-1,1)</f>
        <v>0</v>
      </c>
      <c r="G36" s="143"/>
      <c r="H36" s="124" t="s">
        <v>332</v>
      </c>
      <c r="I36" s="124" t="s">
        <v>375</v>
      </c>
      <c r="J36" s="124" t="str">
        <f>AD36&amp;"::"&amp;AE36</f>
        <v>::</v>
      </c>
      <c r="K36" s="1021"/>
      <c r="L36" s="1021"/>
      <c r="M36" s="1021"/>
      <c r="N36" s="1021"/>
      <c r="O36" s="1021"/>
      <c r="P36" s="1021"/>
      <c r="Q36" s="1021"/>
      <c r="R36" s="1021"/>
      <c r="S36" s="1021"/>
      <c r="T36" s="1021"/>
      <c r="U36" s="122">
        <v>0</v>
      </c>
      <c r="V36" s="465">
        <f>AND(F36&gt;0,U36&gt;0)</f>
        <v>0</v>
      </c>
      <c r="W36" s="1021"/>
      <c r="X36" s="1021"/>
      <c r="Y36" s="757" t="s">
        <v>174</v>
      </c>
      <c r="Z36" s="1545"/>
      <c r="AA36" s="1546"/>
      <c r="AB36" s="420" t="s">
        <v>175</v>
      </c>
      <c r="AC36" s="184">
        <f>IF(OFFSET(C36,-8-U36,-1),5,IF(OFFSET(C36,-3-U36,-1),3,2))+U36</f>
        <v>2</v>
      </c>
      <c r="AD36" s="1944"/>
      <c r="AE36" s="1945"/>
      <c r="AF36" s="1946"/>
      <c r="AG36" s="1946"/>
      <c r="AH36" s="1946"/>
      <c r="AI36" s="1946"/>
      <c r="AJ36" s="1947"/>
      <c r="AK36" s="1021"/>
      <c r="AL36" s="1021"/>
      <c r="AM36" s="1005" t="s">
        <v>396</v>
      </c>
      <c r="AN36" s="1005" t="s">
        <v>397</v>
      </c>
      <c r="AO36" s="1008" cm="1" t="str">
        <f t="array" ref="AO36:AO36">AD36</f>
        <v>0</v>
      </c>
      <c r="AP36" s="1008" cm="1" t="str">
        <f t="array" ref="AP36:AP36">AE36</f>
        <v>0</v>
      </c>
      <c r="AQ36" s="692"/>
      <c r="AR36" s="692" t="b">
        <v>1</v>
      </c>
      <c r="AS36" s="1021"/>
      <c r="AT36" s="1021"/>
      <c r="AU36" s="1021"/>
      <c r="AV36" s="1021"/>
      <c r="AW36" s="1021"/>
      <c r="AX36" s="1021"/>
      <c r="AY36" s="1021"/>
      <c r="AZ36" s="1021"/>
      <c r="BA36" s="1021"/>
      <c r="BB36" s="1021"/>
      <c r="BC36" s="1021"/>
      <c r="BD36" s="1021"/>
      <c r="BE36" s="1021"/>
    </row>
    <row s="1758" customFormat="1" customHeight="1" ht="14.625" hidden="1">
      <c r="A37" s="1758"/>
      <c r="B37" s="428"/>
      <c r="C37" s="1758"/>
      <c r="D37" s="1758"/>
      <c r="E37" s="629">
        <v>15</v>
      </c>
      <c r="F37" s="143" cm="1" t="str">
        <f t="array" ref="F37:F37">OFFSET(E37,-1,1)</f>
        <v>0</v>
      </c>
      <c r="G37" s="143"/>
      <c r="H37" s="1758"/>
      <c r="I37" s="1758"/>
      <c r="J37" s="121" t="s">
        <v>398</v>
      </c>
      <c r="K37" s="1758"/>
      <c r="L37" s="1758"/>
      <c r="M37" s="1758"/>
      <c r="N37" s="1758"/>
      <c r="O37" s="1758"/>
      <c r="P37" s="1758"/>
      <c r="Q37" s="1758"/>
      <c r="R37" s="1758"/>
      <c r="S37" s="1758"/>
      <c r="T37" s="1758"/>
      <c r="U37" s="1758"/>
      <c r="V37" s="465" cm="1" t="str">
        <f t="array" ref="V37:V37">V35</f>
        <v>false</v>
      </c>
      <c r="W37" s="1758"/>
      <c r="X37" s="1758"/>
      <c r="Y37" s="757" t="s">
        <v>399</v>
      </c>
      <c r="Z37" s="1545"/>
      <c r="AA37" s="1546"/>
      <c r="AB37" s="1758"/>
      <c r="AC37" s="175"/>
      <c r="AD37" s="308" t="s">
        <v>178</v>
      </c>
      <c r="AE37" s="176"/>
      <c r="AF37" s="176"/>
      <c r="AG37" s="176"/>
      <c r="AH37" s="176"/>
      <c r="AI37" s="176"/>
      <c r="AJ37" s="187"/>
      <c r="AK37" s="1758"/>
      <c r="AL37" s="1758"/>
      <c r="AM37" s="997"/>
      <c r="AN37" s="997"/>
      <c r="AO37" s="997"/>
      <c r="AP37" s="997"/>
      <c r="AQ37" s="618" t="s">
        <v>397</v>
      </c>
      <c r="AR37" s="618"/>
      <c r="AS37" s="1758"/>
      <c r="AT37" s="1758"/>
      <c r="AU37" s="1758"/>
      <c r="AV37" s="1758"/>
      <c r="AW37" s="1758"/>
      <c r="AX37" s="1758"/>
      <c r="AY37" s="1758"/>
      <c r="AZ37" s="1758"/>
      <c r="BA37" s="1758"/>
      <c r="BB37" s="1758"/>
      <c r="BC37" s="1758"/>
      <c r="BD37" s="1758"/>
      <c r="BE37" s="1758"/>
    </row>
    <row s="1758" customFormat="1" customHeight="1" ht="14.625" hidden="1">
      <c r="A38" s="1758"/>
      <c r="B38" s="428"/>
      <c r="C38" s="1758"/>
      <c r="D38" s="1758"/>
      <c r="E38" s="629">
        <v>15</v>
      </c>
      <c r="F38" s="143" cm="1" t="str">
        <f t="array" ref="F38:F38">OFFSET(E38,-1,1)</f>
        <v>0</v>
      </c>
      <c r="G38" s="143"/>
      <c r="H38" s="122" t="s">
        <v>333</v>
      </c>
      <c r="I38" s="122" t="s">
        <v>375</v>
      </c>
      <c r="J38" s="369" cm="1" t="str">
        <f t="array" ref="J38:J38">AD38</f>
        <v>Краткое описание технологического процесса</v>
      </c>
      <c r="K38" s="1758"/>
      <c r="L38" s="1758"/>
      <c r="M38" s="1758"/>
      <c r="N38" s="1758"/>
      <c r="O38" s="1758"/>
      <c r="P38" s="1758"/>
      <c r="Q38" s="1758"/>
      <c r="R38" s="1758"/>
      <c r="S38" s="1758"/>
      <c r="T38" s="1758"/>
      <c r="U38" s="1758"/>
      <c r="V38" s="465" cm="1" t="str">
        <f t="array" ref="V38:V38">V37</f>
        <v>false</v>
      </c>
      <c r="W38" s="1758"/>
      <c r="X38" s="1758"/>
      <c r="Y38" s="1758"/>
      <c r="Z38" s="1545"/>
      <c r="AA38" s="1546"/>
      <c r="AB38" s="1758"/>
      <c r="AC38" s="184"/>
      <c r="AD38" s="182" t="s">
        <v>400</v>
      </c>
      <c r="AE38" s="123"/>
      <c r="AF38" s="1955"/>
      <c r="AG38" s="1956"/>
      <c r="AH38" s="1956"/>
      <c r="AI38" s="1956"/>
      <c r="AJ38" s="1957"/>
      <c r="AK38" s="1758"/>
      <c r="AL38" s="1758"/>
      <c r="AM38" s="997" t="s">
        <v>401</v>
      </c>
      <c r="AN38" s="997"/>
      <c r="AO38" s="997"/>
      <c r="AP38" s="997"/>
      <c r="AQ38" s="618"/>
      <c r="AR38" s="618"/>
      <c r="AS38" s="1758"/>
      <c r="AT38" s="1758"/>
      <c r="AU38" s="1758"/>
      <c r="AV38" s="1758"/>
      <c r="AW38" s="1758"/>
      <c r="AX38" s="1758"/>
      <c r="AY38" s="1758"/>
      <c r="AZ38" s="1758"/>
      <c r="BA38" s="1758"/>
      <c r="BB38" s="1758"/>
      <c r="BC38" s="1758"/>
      <c r="BD38" s="1758"/>
      <c r="BE38" s="1758"/>
    </row>
    <row s="538" customFormat="1" customHeight="1" ht="14.25">
      <c r="A39" s="1758"/>
      <c r="B39" s="428"/>
      <c r="C39" s="1758"/>
      <c r="D39" s="1758"/>
      <c r="E39" s="629">
        <v>15</v>
      </c>
      <c r="F39" s="122" cm="1" t="str">
        <f t="array" ref="F39:F39">Z39</f>
        <v>1</v>
      </c>
      <c r="G39" s="1758"/>
      <c r="H39" s="1758"/>
      <c r="I39" s="1758"/>
      <c r="J39" s="1758"/>
      <c r="K39" s="1758"/>
      <c r="L39" s="1758"/>
      <c r="M39" s="1758"/>
      <c r="N39" s="1758"/>
      <c r="O39" s="1758"/>
      <c r="P39" s="1758"/>
      <c r="Q39" s="1758"/>
      <c r="R39" s="1758"/>
      <c r="S39" s="1758"/>
      <c r="T39" s="1080" cm="1" t="str">
        <f t="array" ref="T39:T39">INDEX('Общие сведения'!$AE$179:$AE$250,MATCH($Z39,'Общие сведения'!$Z$179:$Z$250,0))</f>
        <v>Водоснабжение</v>
      </c>
      <c r="U39" s="1758"/>
      <c r="V39" s="465">
        <f>Z39&gt;0</f>
        <v>1</v>
      </c>
      <c r="W39" s="1758"/>
      <c r="X39" s="122" cm="1" t="str">
        <f t="array" ref="X39:X39">'Список территорий'!$AB$29</f>
        <v>Тариф 1 (Водоснабжение) - тариф на питьевую воду (Доп. признак не требуется)</v>
      </c>
      <c r="Y39" s="1758"/>
      <c r="Z39" s="1545" t="s">
        <v>276</v>
      </c>
      <c r="AA39" s="1546"/>
      <c r="AB39" s="1758"/>
      <c r="AC39" s="180" cm="1" t="str">
        <f t="array" ref="AC39:AC39">'Список территорий'!$AB$29</f>
        <v>Тариф 1 (Водоснабжение) - тариф на питьевую воду (Доп. признак не требуется)</v>
      </c>
      <c r="AD39" s="180"/>
      <c r="AE39" s="174"/>
      <c r="AF39" s="174"/>
      <c r="AG39" s="174"/>
      <c r="AH39" s="174"/>
      <c r="AI39" s="174"/>
      <c r="AJ39" s="174"/>
      <c r="AK39" s="1758"/>
      <c r="AL39" s="1758"/>
      <c r="AM39" s="997"/>
      <c r="AN39" s="997"/>
      <c r="AO39" s="997"/>
      <c r="AP39" s="997"/>
      <c r="AQ39" s="618"/>
      <c r="AR39" s="618"/>
      <c r="AS39" s="1758"/>
      <c r="AT39" s="1758"/>
      <c r="AU39" s="1758"/>
      <c r="AV39" s="1758"/>
      <c r="AW39" s="1758"/>
      <c r="AX39" s="1758"/>
      <c r="AY39" s="1758"/>
      <c r="AZ39" s="1758"/>
      <c r="BA39" s="1758"/>
      <c r="BB39" s="1758"/>
      <c r="BC39" s="1758"/>
      <c r="BD39" s="1758"/>
      <c r="BE39" s="1758"/>
    </row>
    <row s="538" customFormat="1" customHeight="1" ht="14.25">
      <c r="A40" s="1758"/>
      <c r="B40" s="961">
        <f>AND(T39="Водоснабжение",method_reg&lt;&gt;"Метод сравнения аналогов")</f>
        <v>1</v>
      </c>
      <c r="C40" s="1758"/>
      <c r="D40" s="1758"/>
      <c r="E40" s="629">
        <v>15</v>
      </c>
      <c r="F40" s="143" cm="1" t="str">
        <f t="array" ref="F40:F40">OFFSET(E40,-1,1)</f>
        <v>1</v>
      </c>
      <c r="G40" s="484"/>
      <c r="H40" s="122" t="s">
        <v>332</v>
      </c>
      <c r="I40" s="122" t="s">
        <v>375</v>
      </c>
      <c r="J40" s="122" t="str">
        <f>AD40&amp;"::"&amp;AE40</f>
        <v>Водонасосные станции (водозаборные узлы)::ед.</v>
      </c>
      <c r="K40" s="124"/>
      <c r="L40" s="1758"/>
      <c r="M40" s="1758"/>
      <c r="N40" s="1758"/>
      <c r="O40" s="1758"/>
      <c r="P40" s="1758"/>
      <c r="Q40" s="1758"/>
      <c r="R40" s="1758"/>
      <c r="S40" s="1758"/>
      <c r="T40" s="1758"/>
      <c r="U40" s="1758"/>
      <c r="V40" s="465" cm="1" t="str">
        <f t="array" ref="V40:V40">V39</f>
        <v>true</v>
      </c>
      <c r="W40" s="1758"/>
      <c r="X40" s="1758"/>
      <c r="Y40" s="1758"/>
      <c r="Z40" s="1545"/>
      <c r="AA40" s="1546"/>
      <c r="AB40" s="1758"/>
      <c r="AC40" s="184">
        <v>1</v>
      </c>
      <c r="AD40" s="182" t="s">
        <v>376</v>
      </c>
      <c r="AE40" s="123" t="s">
        <v>377</v>
      </c>
      <c r="AF40" s="188"/>
      <c r="AG40" s="188"/>
      <c r="AH40" s="188">
        <v>4</v>
      </c>
      <c r="AI40" s="188">
        <v>4</v>
      </c>
      <c r="AJ40" s="189"/>
      <c r="AK40" s="1758"/>
      <c r="AL40" s="1758"/>
      <c r="AM40" s="997" t="s">
        <v>378</v>
      </c>
      <c r="AN40" s="997"/>
      <c r="AO40" s="997"/>
      <c r="AP40" s="997"/>
      <c r="AQ40" s="618"/>
      <c r="AR40" s="618"/>
      <c r="AS40" s="1758"/>
      <c r="AT40" s="1758"/>
      <c r="AU40" s="1758"/>
      <c r="AV40" s="1758"/>
      <c r="AW40" s="1758"/>
      <c r="AX40" s="1758"/>
      <c r="AY40" s="1758"/>
      <c r="AZ40" s="1758"/>
      <c r="BA40" s="1758"/>
      <c r="BB40" s="1758"/>
      <c r="BC40" s="1758"/>
      <c r="BD40" s="1758"/>
      <c r="BE40" s="1758"/>
    </row>
    <row s="538" customFormat="1" customHeight="1" ht="14.25">
      <c r="A41" s="1758"/>
      <c r="B41" s="961" cm="1" t="str">
        <f t="array" ref="B41:B41">B40</f>
        <v>true</v>
      </c>
      <c r="C41" s="1758"/>
      <c r="D41" s="1758"/>
      <c r="E41" s="629">
        <v>15</v>
      </c>
      <c r="F41" s="143" cm="1" t="str">
        <f t="array" ref="F41:F41">OFFSET(E41,-1,1)</f>
        <v>1</v>
      </c>
      <c r="G41" s="143"/>
      <c r="H41" s="122" t="s">
        <v>332</v>
      </c>
      <c r="I41" s="122" t="s">
        <v>375</v>
      </c>
      <c r="J41" s="122" t="str">
        <f>AD41&amp;"::"&amp;AE41</f>
        <v>Скважины::ед.</v>
      </c>
      <c r="K41" s="1758"/>
      <c r="L41" s="1758"/>
      <c r="M41" s="1758"/>
      <c r="N41" s="1758"/>
      <c r="O41" s="1758"/>
      <c r="P41" s="1758"/>
      <c r="Q41" s="1758"/>
      <c r="R41" s="1758"/>
      <c r="S41" s="1758"/>
      <c r="T41" s="1758"/>
      <c r="U41" s="1758"/>
      <c r="V41" s="465" cm="1" t="str">
        <f t="array" ref="V41:V41">V40</f>
        <v>true</v>
      </c>
      <c r="W41" s="1758"/>
      <c r="X41" s="1758"/>
      <c r="Y41" s="1758"/>
      <c r="Z41" s="1545"/>
      <c r="AA41" s="1546"/>
      <c r="AB41" s="1758"/>
      <c r="AC41" s="184">
        <v>2</v>
      </c>
      <c r="AD41" s="182" t="s">
        <v>379</v>
      </c>
      <c r="AE41" s="123" t="s">
        <v>377</v>
      </c>
      <c r="AF41" s="188"/>
      <c r="AG41" s="188"/>
      <c r="AH41" s="188">
        <v>8</v>
      </c>
      <c r="AI41" s="188">
        <v>8</v>
      </c>
      <c r="AJ41" s="189"/>
      <c r="AK41" s="1758"/>
      <c r="AL41" s="1758"/>
      <c r="AM41" s="997" t="s">
        <v>380</v>
      </c>
      <c r="AN41" s="997"/>
      <c r="AO41" s="997"/>
      <c r="AP41" s="997"/>
      <c r="AQ41" s="618"/>
      <c r="AR41" s="618"/>
      <c r="AS41" s="1758"/>
      <c r="AT41" s="1758"/>
      <c r="AU41" s="1758"/>
      <c r="AV41" s="1758"/>
      <c r="AW41" s="1758"/>
      <c r="AX41" s="1758"/>
      <c r="AY41" s="1758"/>
      <c r="AZ41" s="1758"/>
      <c r="BA41" s="1758"/>
      <c r="BB41" s="1758"/>
      <c r="BC41" s="1758"/>
      <c r="BD41" s="1758"/>
      <c r="BE41" s="1758"/>
    </row>
    <row s="538" customFormat="1" customHeight="1" ht="14.25">
      <c r="A42" s="1758"/>
      <c r="B42" s="961">
        <f>T39="Водоснабжение"</f>
        <v>1</v>
      </c>
      <c r="C42" s="1758"/>
      <c r="D42" s="1758"/>
      <c r="E42" s="629">
        <v>15</v>
      </c>
      <c r="F42" s="143" cm="1" t="str">
        <f t="array" ref="F42:F42">OFFSET(E42,-1,1)</f>
        <v>1</v>
      </c>
      <c r="G42" s="143" t="s">
        <v>50</v>
      </c>
      <c r="H42" s="122" t="s">
        <v>332</v>
      </c>
      <c r="I42" s="122" t="s">
        <v>375</v>
      </c>
      <c r="J42" s="122" t="str">
        <f>AD42&amp;"::"&amp;AE42</f>
        <v>Подкачивающие насосные станции::ед.</v>
      </c>
      <c r="K42" s="1758"/>
      <c r="L42" s="122" t="s">
        <v>50</v>
      </c>
      <c r="M42" s="1758"/>
      <c r="N42" s="1758"/>
      <c r="O42" s="1758"/>
      <c r="P42" s="1758"/>
      <c r="Q42" s="1758"/>
      <c r="R42" s="1758"/>
      <c r="S42" s="1758"/>
      <c r="T42" s="1758"/>
      <c r="U42" s="1758"/>
      <c r="V42" s="465" cm="1" t="str">
        <f t="array" ref="V42:V42">V41</f>
        <v>true</v>
      </c>
      <c r="W42" s="1758"/>
      <c r="X42" s="1758"/>
      <c r="Y42" s="1758"/>
      <c r="Z42" s="1545"/>
      <c r="AA42" s="1546"/>
      <c r="AB42" s="1758"/>
      <c r="AC42" s="184">
        <f>IF(B41,3,1)</f>
        <v>3</v>
      </c>
      <c r="AD42" s="182" t="s">
        <v>381</v>
      </c>
      <c r="AE42" s="123" t="s">
        <v>377</v>
      </c>
      <c r="AF42" s="188"/>
      <c r="AG42" s="188"/>
      <c r="AH42" s="188">
        <v>7</v>
      </c>
      <c r="AI42" s="188">
        <v>7</v>
      </c>
      <c r="AJ42" s="189"/>
      <c r="AK42" s="1758"/>
      <c r="AL42" s="1758"/>
      <c r="AM42" s="997" t="s">
        <v>382</v>
      </c>
      <c r="AN42" s="997"/>
      <c r="AO42" s="997"/>
      <c r="AP42" s="997"/>
      <c r="AQ42" s="618"/>
      <c r="AR42" s="618"/>
      <c r="AS42" s="1758"/>
      <c r="AT42" s="1758"/>
      <c r="AU42" s="1758"/>
      <c r="AV42" s="1758"/>
      <c r="AW42" s="1758"/>
      <c r="AX42" s="1758"/>
      <c r="AY42" s="1758"/>
      <c r="AZ42" s="1758"/>
      <c r="BA42" s="1758"/>
      <c r="BB42" s="1758"/>
      <c r="BC42" s="1758"/>
      <c r="BD42" s="1758"/>
      <c r="BE42" s="1758"/>
    </row>
    <row s="538" customFormat="1" customHeight="1" ht="14.25">
      <c r="A43" s="1758"/>
      <c r="B43" s="961" cm="1" t="str">
        <f t="array" ref="B43:B43">B41</f>
        <v>true</v>
      </c>
      <c r="C43" s="1758"/>
      <c r="D43" s="1758"/>
      <c r="E43" s="629">
        <v>15</v>
      </c>
      <c r="F43" s="143" cm="1" t="str">
        <f t="array" ref="F43:F43">OFFSET(E43,-1,1)</f>
        <v>1</v>
      </c>
      <c r="G43" s="143"/>
      <c r="H43" s="122" t="s">
        <v>332</v>
      </c>
      <c r="I43" s="122" t="s">
        <v>375</v>
      </c>
      <c r="J43" s="122" t="str">
        <f>AD43&amp;"::"&amp;AE43</f>
        <v>Водонапорные башни::ед.</v>
      </c>
      <c r="K43" s="1758"/>
      <c r="L43" s="1758"/>
      <c r="M43" s="1758"/>
      <c r="N43" s="1758"/>
      <c r="O43" s="1758"/>
      <c r="P43" s="1758"/>
      <c r="Q43" s="1758"/>
      <c r="R43" s="1758"/>
      <c r="S43" s="1758"/>
      <c r="T43" s="1758"/>
      <c r="U43" s="1758"/>
      <c r="V43" s="465" cm="1" t="str">
        <f t="array" ref="V43:V43">V42</f>
        <v>true</v>
      </c>
      <c r="W43" s="1758"/>
      <c r="X43" s="1758"/>
      <c r="Y43" s="1758"/>
      <c r="Z43" s="1545"/>
      <c r="AA43" s="1546"/>
      <c r="AB43" s="1758"/>
      <c r="AC43" s="184">
        <v>4</v>
      </c>
      <c r="AD43" s="182" t="s">
        <v>383</v>
      </c>
      <c r="AE43" s="123" t="s">
        <v>377</v>
      </c>
      <c r="AF43" s="188"/>
      <c r="AG43" s="188"/>
      <c r="AH43" s="188">
        <v>1</v>
      </c>
      <c r="AI43" s="188">
        <v>1</v>
      </c>
      <c r="AJ43" s="189"/>
      <c r="AK43" s="1758"/>
      <c r="AL43" s="1758"/>
      <c r="AM43" s="997" t="s">
        <v>384</v>
      </c>
      <c r="AN43" s="997"/>
      <c r="AO43" s="997"/>
      <c r="AP43" s="997"/>
      <c r="AQ43" s="618"/>
      <c r="AR43" s="618"/>
      <c r="AS43" s="1758"/>
      <c r="AT43" s="1758"/>
      <c r="AU43" s="1758"/>
      <c r="AV43" s="1758"/>
      <c r="AW43" s="1758"/>
      <c r="AX43" s="1758"/>
      <c r="AY43" s="1758"/>
      <c r="AZ43" s="1758"/>
      <c r="BA43" s="1758"/>
      <c r="BB43" s="1758"/>
      <c r="BC43" s="1758"/>
      <c r="BD43" s="1758"/>
      <c r="BE43" s="1758"/>
    </row>
    <row s="538" customFormat="1" customHeight="1" ht="14.25">
      <c r="A44" s="1758"/>
      <c r="B44" s="961">
        <f>T39="Водоснабжение"</f>
        <v>1</v>
      </c>
      <c r="C44" s="1758"/>
      <c r="D44" s="1758"/>
      <c r="E44" s="629">
        <v>15</v>
      </c>
      <c r="F44" s="143" cm="1" t="str">
        <f t="array" ref="F44:F44">OFFSET(E44,-1,1)</f>
        <v>1</v>
      </c>
      <c r="G44" s="143"/>
      <c r="H44" s="122" t="s">
        <v>332</v>
      </c>
      <c r="I44" s="122" t="s">
        <v>375</v>
      </c>
      <c r="J44" s="122" t="str">
        <f>AD44&amp;"::"&amp;AE44</f>
        <v>Водопроводные сети::км</v>
      </c>
      <c r="K44" s="1758"/>
      <c r="L44" s="1758"/>
      <c r="M44" s="1758"/>
      <c r="N44" s="1758"/>
      <c r="O44" s="1758"/>
      <c r="P44" s="122" t="s">
        <v>385</v>
      </c>
      <c r="Q44" s="122" t="s">
        <v>386</v>
      </c>
      <c r="R44" s="1758"/>
      <c r="S44" s="1758"/>
      <c r="T44" s="1758"/>
      <c r="U44" s="1758"/>
      <c r="V44" s="465" cm="1" t="str">
        <f t="array" ref="V44:V44">V43</f>
        <v>true</v>
      </c>
      <c r="W44" s="1758"/>
      <c r="X44" s="1758"/>
      <c r="Y44" s="1758"/>
      <c r="Z44" s="1545"/>
      <c r="AA44" s="1546"/>
      <c r="AB44" s="1758"/>
      <c r="AC44" s="184">
        <f>IF(B41,5,2)</f>
        <v>5</v>
      </c>
      <c r="AD44" s="182" t="s">
        <v>387</v>
      </c>
      <c r="AE44" s="123" t="s">
        <v>388</v>
      </c>
      <c r="AF44" s="141"/>
      <c r="AG44" s="141"/>
      <c r="AH44" s="141">
        <v>242.8</v>
      </c>
      <c r="AI44" s="141">
        <v>242.8</v>
      </c>
      <c r="AJ44" s="189"/>
      <c r="AK44" s="1758"/>
      <c r="AL44" s="1758"/>
      <c r="AM44" s="997" t="s">
        <v>389</v>
      </c>
      <c r="AN44" s="997"/>
      <c r="AO44" s="997"/>
      <c r="AP44" s="997"/>
      <c r="AQ44" s="618"/>
      <c r="AR44" s="618"/>
      <c r="AS44" s="1758"/>
      <c r="AT44" s="1758"/>
      <c r="AU44" s="1758"/>
      <c r="AV44" s="1758"/>
      <c r="AW44" s="1758"/>
      <c r="AX44" s="1758"/>
      <c r="AY44" s="1758"/>
      <c r="AZ44" s="1758"/>
      <c r="BA44" s="1758"/>
      <c r="BB44" s="1758"/>
      <c r="BC44" s="1758"/>
      <c r="BD44" s="1758"/>
      <c r="BE44" s="1758"/>
    </row>
    <row s="538" customFormat="1" customHeight="1" ht="14.25" hidden="1">
      <c r="A45" s="1758"/>
      <c r="B45" s="961">
        <f>AND(T39="Водоотведение",method_reg&lt;&gt;"Метод сравнения аналогов")</f>
        <v>0</v>
      </c>
      <c r="C45" s="1758"/>
      <c r="D45" s="1758"/>
      <c r="E45" s="629">
        <v>15</v>
      </c>
      <c r="F45" s="143" cm="1" t="str">
        <f t="array" ref="F45:F45">OFFSET(E45,-1,1)</f>
        <v>1</v>
      </c>
      <c r="G45" s="484"/>
      <c r="H45" s="122" t="s">
        <v>332</v>
      </c>
      <c r="I45" s="122" t="s">
        <v>375</v>
      </c>
      <c r="J45" s="122" t="str">
        <f>AD45&amp;"::"&amp;AE45</f>
        <v>Биологические очистные сооружения::ед.</v>
      </c>
      <c r="K45" s="124"/>
      <c r="L45" s="1758"/>
      <c r="M45" s="1758"/>
      <c r="N45" s="1758"/>
      <c r="O45" s="1758"/>
      <c r="P45" s="1758"/>
      <c r="Q45" s="1758"/>
      <c r="R45" s="1758"/>
      <c r="S45" s="1758"/>
      <c r="T45" s="1758"/>
      <c r="U45" s="1758"/>
      <c r="V45" s="465" cm="1" t="str">
        <f t="array" ref="V45:V45">V44</f>
        <v>true</v>
      </c>
      <c r="W45" s="1758"/>
      <c r="X45" s="1758"/>
      <c r="Y45" s="1758"/>
      <c r="Z45" s="1545"/>
      <c r="AA45" s="1546"/>
      <c r="AB45" s="1758"/>
      <c r="AC45" s="184">
        <v>1</v>
      </c>
      <c r="AD45" s="182" t="s">
        <v>390</v>
      </c>
      <c r="AE45" s="123" t="s">
        <v>377</v>
      </c>
      <c r="AF45" s="1938"/>
      <c r="AG45" s="1938"/>
      <c r="AH45" s="1938"/>
      <c r="AI45" s="1938"/>
      <c r="AJ45" s="1939"/>
      <c r="AK45" s="1758"/>
      <c r="AL45" s="1758"/>
      <c r="AM45" s="997" t="s">
        <v>391</v>
      </c>
      <c r="AN45" s="997"/>
      <c r="AO45" s="997"/>
      <c r="AP45" s="997"/>
      <c r="AQ45" s="618"/>
      <c r="AR45" s="618"/>
      <c r="AS45" s="1758"/>
      <c r="AT45" s="1758"/>
      <c r="AU45" s="1758"/>
      <c r="AV45" s="1758"/>
      <c r="AW45" s="1758"/>
      <c r="AX45" s="1758"/>
      <c r="AY45" s="1758"/>
      <c r="AZ45" s="1758"/>
      <c r="BA45" s="1758"/>
      <c r="BB45" s="1758"/>
      <c r="BC45" s="1758"/>
      <c r="BD45" s="1758"/>
      <c r="BE45" s="1758"/>
    </row>
    <row s="538" customFormat="1" customHeight="1" ht="14.25" hidden="1">
      <c r="A46" s="1758"/>
      <c r="B46" s="961">
        <f>T39="Водоотведение"</f>
        <v>0</v>
      </c>
      <c r="C46" s="1758"/>
      <c r="D46" s="1758"/>
      <c r="E46" s="629">
        <v>15</v>
      </c>
      <c r="F46" s="143" cm="1" t="str">
        <f t="array" ref="F46:F46">OFFSET(E46,-1,1)</f>
        <v>1</v>
      </c>
      <c r="G46" s="143" t="s">
        <v>50</v>
      </c>
      <c r="H46" s="122" t="s">
        <v>332</v>
      </c>
      <c r="I46" s="122" t="s">
        <v>375</v>
      </c>
      <c r="J46" s="122" t="str">
        <f>AD46&amp;"::"&amp;AE46</f>
        <v>Канализационные насосные станции::ед.</v>
      </c>
      <c r="K46" s="1758"/>
      <c r="L46" s="1758"/>
      <c r="M46" s="1758"/>
      <c r="N46" s="1758"/>
      <c r="O46" s="1758"/>
      <c r="P46" s="1758"/>
      <c r="Q46" s="1758"/>
      <c r="R46" s="1758"/>
      <c r="S46" s="1758"/>
      <c r="T46" s="1758"/>
      <c r="U46" s="1758"/>
      <c r="V46" s="465" cm="1" t="str">
        <f t="array" ref="V46:V46">V45</f>
        <v>true</v>
      </c>
      <c r="W46" s="1758"/>
      <c r="X46" s="1758"/>
      <c r="Y46" s="1758"/>
      <c r="Z46" s="1545"/>
      <c r="AA46" s="1546"/>
      <c r="AB46" s="1758"/>
      <c r="AC46" s="184">
        <f>IF(B45,2,1)</f>
        <v>1</v>
      </c>
      <c r="AD46" s="182" t="s">
        <v>392</v>
      </c>
      <c r="AE46" s="123" t="s">
        <v>377</v>
      </c>
      <c r="AF46" s="1938"/>
      <c r="AG46" s="1938"/>
      <c r="AH46" s="1938"/>
      <c r="AI46" s="1938"/>
      <c r="AJ46" s="1939"/>
      <c r="AK46" s="1758"/>
      <c r="AL46" s="1758"/>
      <c r="AM46" s="997" t="s">
        <v>393</v>
      </c>
      <c r="AN46" s="997"/>
      <c r="AO46" s="997"/>
      <c r="AP46" s="997"/>
      <c r="AQ46" s="618"/>
      <c r="AR46" s="618"/>
      <c r="AS46" s="1758"/>
      <c r="AT46" s="1758"/>
      <c r="AU46" s="1758"/>
      <c r="AV46" s="1758"/>
      <c r="AW46" s="1758"/>
      <c r="AX46" s="1758"/>
      <c r="AY46" s="1758"/>
      <c r="AZ46" s="1758"/>
      <c r="BA46" s="1758"/>
      <c r="BB46" s="1758"/>
      <c r="BC46" s="1758"/>
      <c r="BD46" s="1758"/>
      <c r="BE46" s="1758"/>
    </row>
    <row s="538" customFormat="1" customHeight="1" ht="14.25" hidden="1">
      <c r="A47" s="1758"/>
      <c r="B47" s="961" cm="1" t="str">
        <f t="array" ref="B47:B47">B46</f>
        <v>false</v>
      </c>
      <c r="C47" s="1758"/>
      <c r="D47" s="1758"/>
      <c r="E47" s="629">
        <v>15</v>
      </c>
      <c r="F47" s="143" cm="1" t="str">
        <f t="array" ref="F47:F47">OFFSET(E47,-1,1)</f>
        <v>1</v>
      </c>
      <c r="G47" s="143"/>
      <c r="H47" s="122" t="s">
        <v>332</v>
      </c>
      <c r="I47" s="122" t="s">
        <v>375</v>
      </c>
      <c r="J47" s="122" t="str">
        <f>AD47&amp;"::"&amp;AE47</f>
        <v>Канализационные сети::км</v>
      </c>
      <c r="K47" s="1758"/>
      <c r="L47" s="122" t="s">
        <v>50</v>
      </c>
      <c r="M47" s="1758"/>
      <c r="N47" s="1758"/>
      <c r="O47" s="1758"/>
      <c r="P47" s="122" t="s">
        <v>385</v>
      </c>
      <c r="Q47" s="122" t="s">
        <v>386</v>
      </c>
      <c r="R47" s="1758"/>
      <c r="S47" s="1758"/>
      <c r="T47" s="1758"/>
      <c r="U47" s="1758"/>
      <c r="V47" s="465" cm="1" t="str">
        <f t="array" ref="V47:V47">V46</f>
        <v>true</v>
      </c>
      <c r="W47" s="1758"/>
      <c r="X47" s="1758"/>
      <c r="Y47" s="1758"/>
      <c r="Z47" s="1545"/>
      <c r="AA47" s="1546"/>
      <c r="AB47" s="1758"/>
      <c r="AC47" s="184">
        <f>AC46+1</f>
        <v>2</v>
      </c>
      <c r="AD47" s="182" t="s">
        <v>394</v>
      </c>
      <c r="AE47" s="123" t="s">
        <v>388</v>
      </c>
      <c r="AF47" s="1940"/>
      <c r="AG47" s="1940"/>
      <c r="AH47" s="141"/>
      <c r="AI47" s="141"/>
      <c r="AJ47" s="1939"/>
      <c r="AK47" s="1758"/>
      <c r="AL47" s="1758"/>
      <c r="AM47" s="997" t="s">
        <v>395</v>
      </c>
      <c r="AN47" s="997"/>
      <c r="AO47" s="997"/>
      <c r="AP47" s="997"/>
      <c r="AQ47" s="618"/>
      <c r="AR47" s="618"/>
      <c r="AS47" s="1758"/>
      <c r="AT47" s="1758"/>
      <c r="AU47" s="1758"/>
      <c r="AV47" s="1758"/>
      <c r="AW47" s="1758"/>
      <c r="AX47" s="1758"/>
      <c r="AY47" s="1758"/>
      <c r="AZ47" s="1758"/>
      <c r="BA47" s="1758"/>
      <c r="BB47" s="1758"/>
      <c r="BC47" s="1758"/>
      <c r="BD47" s="1758"/>
      <c r="BE47" s="1758"/>
    </row>
    <row s="1021" customFormat="1" customHeight="1" ht="14.25" hidden="1">
      <c r="A48" s="1021"/>
      <c r="B48" s="428"/>
      <c r="C48" s="1021"/>
      <c r="D48" s="1021"/>
      <c r="E48" s="637">
        <v>15</v>
      </c>
      <c r="F48" s="143" cm="1" t="str">
        <f t="array" ref="F48:F48">OFFSET(E48,-1,1)</f>
        <v>1</v>
      </c>
      <c r="G48" s="143"/>
      <c r="H48" s="124" t="s">
        <v>332</v>
      </c>
      <c r="I48" s="124" t="s">
        <v>375</v>
      </c>
      <c r="J48" s="124" t="str">
        <f>AD48&amp;"::"&amp;AE48</f>
        <v>::</v>
      </c>
      <c r="K48" s="1021"/>
      <c r="L48" s="1021"/>
      <c r="M48" s="1021"/>
      <c r="N48" s="1021"/>
      <c r="O48" s="1021"/>
      <c r="P48" s="1021"/>
      <c r="Q48" s="1021"/>
      <c r="R48" s="1021"/>
      <c r="S48" s="1021"/>
      <c r="T48" s="1021"/>
      <c r="U48" s="122">
        <v>0</v>
      </c>
      <c r="V48" s="465">
        <f>AND(F48&gt;0,U48&gt;0)</f>
        <v>0</v>
      </c>
      <c r="W48" s="1021"/>
      <c r="X48" s="1021"/>
      <c r="Y48" s="757" t="s">
        <v>174</v>
      </c>
      <c r="Z48" s="1545"/>
      <c r="AA48" s="1546"/>
      <c r="AB48" s="420" t="s">
        <v>175</v>
      </c>
      <c r="AC48" s="184">
        <f>IF(OFFSET(C48,-8-U48,-1),5,IF(OFFSET(C48,-3-U48,-1),3,2))+U48</f>
        <v>5</v>
      </c>
      <c r="AD48" s="1944"/>
      <c r="AE48" s="1945"/>
      <c r="AF48" s="1946"/>
      <c r="AG48" s="1946"/>
      <c r="AH48" s="1946"/>
      <c r="AI48" s="1946"/>
      <c r="AJ48" s="1947"/>
      <c r="AK48" s="1021"/>
      <c r="AL48" s="1021"/>
      <c r="AM48" s="1005" t="s">
        <v>396</v>
      </c>
      <c r="AN48" s="1005" t="s">
        <v>397</v>
      </c>
      <c r="AO48" s="1008" cm="1" t="str">
        <f t="array" ref="AO48:AO48">AD48</f>
        <v>0</v>
      </c>
      <c r="AP48" s="1008" cm="1" t="str">
        <f t="array" ref="AP48:AP48">AE48</f>
        <v>0</v>
      </c>
      <c r="AQ48" s="692"/>
      <c r="AR48" s="692" t="b">
        <v>1</v>
      </c>
      <c r="AS48" s="1021"/>
      <c r="AT48" s="1021"/>
      <c r="AU48" s="1021"/>
      <c r="AV48" s="1021"/>
      <c r="AW48" s="1021"/>
      <c r="AX48" s="1021"/>
      <c r="AY48" s="1021"/>
      <c r="AZ48" s="1021"/>
      <c r="BA48" s="1021"/>
      <c r="BB48" s="1021"/>
      <c r="BC48" s="1021"/>
      <c r="BD48" s="1021"/>
      <c r="BE48" s="1021"/>
    </row>
    <row s="538" customFormat="1" customHeight="1" ht="14.25">
      <c r="A49" s="1758"/>
      <c r="B49" s="428"/>
      <c r="C49" s="1758"/>
      <c r="D49" s="1758"/>
      <c r="E49" s="629">
        <v>15</v>
      </c>
      <c r="F49" s="143" cm="1" t="str">
        <f t="array" ref="F49:F49">OFFSET(E49,-1,1)</f>
        <v>1</v>
      </c>
      <c r="G49" s="143"/>
      <c r="H49" s="1758"/>
      <c r="I49" s="1758"/>
      <c r="J49" s="121" t="s">
        <v>398</v>
      </c>
      <c r="K49" s="1758"/>
      <c r="L49" s="1758"/>
      <c r="M49" s="1758"/>
      <c r="N49" s="1758"/>
      <c r="O49" s="1758"/>
      <c r="P49" s="1758"/>
      <c r="Q49" s="1758"/>
      <c r="R49" s="1758"/>
      <c r="S49" s="1758"/>
      <c r="T49" s="1758"/>
      <c r="U49" s="1758"/>
      <c r="V49" s="465" cm="1" t="str">
        <f t="array" ref="V49:V49">V47</f>
        <v>true</v>
      </c>
      <c r="W49" s="1758"/>
      <c r="X49" s="1758"/>
      <c r="Y49" s="757" t="s">
        <v>399</v>
      </c>
      <c r="Z49" s="1545"/>
      <c r="AA49" s="1546"/>
      <c r="AB49" s="1758"/>
      <c r="AC49" s="175"/>
      <c r="AD49" s="308" t="s">
        <v>178</v>
      </c>
      <c r="AE49" s="176"/>
      <c r="AF49" s="176"/>
      <c r="AG49" s="176"/>
      <c r="AH49" s="176"/>
      <c r="AI49" s="176"/>
      <c r="AJ49" s="187"/>
      <c r="AK49" s="1758"/>
      <c r="AL49" s="1758"/>
      <c r="AM49" s="997"/>
      <c r="AN49" s="997"/>
      <c r="AO49" s="997"/>
      <c r="AP49" s="997"/>
      <c r="AQ49" s="618" t="s">
        <v>397</v>
      </c>
      <c r="AR49" s="618"/>
      <c r="AS49" s="1758"/>
      <c r="AT49" s="1758"/>
      <c r="AU49" s="1758"/>
      <c r="AV49" s="1758"/>
      <c r="AW49" s="1758"/>
      <c r="AX49" s="1758"/>
      <c r="AY49" s="1758"/>
      <c r="AZ49" s="1758"/>
      <c r="BA49" s="1758"/>
      <c r="BB49" s="1758"/>
      <c r="BC49" s="1758"/>
      <c r="BD49" s="1758"/>
      <c r="BE49" s="1758"/>
    </row>
    <row s="538" customFormat="1" customHeight="1" ht="97.359375">
      <c r="A50" s="1758"/>
      <c r="B50" s="428"/>
      <c r="C50" s="1758"/>
      <c r="D50" s="1758"/>
      <c r="E50" s="629">
        <v>15</v>
      </c>
      <c r="F50" s="143" cm="1" t="str">
        <f t="array" ref="F50:F50">OFFSET(E50,-1,1)</f>
        <v>1</v>
      </c>
      <c r="G50" s="143"/>
      <c r="H50" s="122" t="s">
        <v>333</v>
      </c>
      <c r="I50" s="122" t="s">
        <v>375</v>
      </c>
      <c r="J50" s="369" cm="1" t="str">
        <f t="array" ref="J50:J50">AD50</f>
        <v>Краткое описание технологического процесса</v>
      </c>
      <c r="K50" s="1758"/>
      <c r="L50" s="1758"/>
      <c r="M50" s="1758"/>
      <c r="N50" s="1758"/>
      <c r="O50" s="1758"/>
      <c r="P50" s="1758"/>
      <c r="Q50" s="1758"/>
      <c r="R50" s="1758"/>
      <c r="S50" s="1758"/>
      <c r="T50" s="1758"/>
      <c r="U50" s="1758"/>
      <c r="V50" s="465" cm="1" t="str">
        <f t="array" ref="V50:V50">V49</f>
        <v>true</v>
      </c>
      <c r="W50" s="1758"/>
      <c r="X50" s="1758"/>
      <c r="Y50" s="1758"/>
      <c r="Z50" s="1545"/>
      <c r="AA50" s="1546"/>
      <c r="AB50" s="1758"/>
      <c r="AC50" s="184"/>
      <c r="AD50" s="182" t="s">
        <v>400</v>
      </c>
      <c r="AE50" s="123"/>
      <c r="AF50" s="1547" t="s">
        <v>402</v>
      </c>
      <c r="AG50" s="1956"/>
      <c r="AH50" s="1956"/>
      <c r="AI50" s="1956"/>
      <c r="AJ50" s="1957"/>
      <c r="AK50" s="1758"/>
      <c r="AL50" s="1758"/>
      <c r="AM50" s="997" t="s">
        <v>401</v>
      </c>
      <c r="AN50" s="997"/>
      <c r="AO50" s="997"/>
      <c r="AP50" s="997"/>
      <c r="AQ50" s="618"/>
      <c r="AR50" s="618"/>
      <c r="AS50" s="1758"/>
      <c r="AT50" s="1758"/>
      <c r="AU50" s="1758"/>
      <c r="AV50" s="1758"/>
      <c r="AW50" s="1758"/>
      <c r="AX50" s="1758"/>
      <c r="AY50" s="1758"/>
      <c r="AZ50" s="1758"/>
      <c r="BA50" s="1758"/>
      <c r="BB50" s="1758"/>
      <c r="BC50" s="1758"/>
      <c r="BD50" s="1758"/>
      <c r="BE50" s="1758"/>
    </row>
    <row s="538" customFormat="1" customHeight="1" ht="14.25">
      <c r="A51" s="1758"/>
      <c r="B51" s="428"/>
      <c r="C51" s="1758"/>
      <c r="D51" s="1758"/>
      <c r="E51" s="629">
        <v>15</v>
      </c>
      <c r="F51" s="122" cm="1" t="str">
        <f t="array" ref="F51:F51">Z51</f>
        <v>2</v>
      </c>
      <c r="G51" s="1758"/>
      <c r="H51" s="1758"/>
      <c r="I51" s="1758"/>
      <c r="J51" s="1758"/>
      <c r="K51" s="1758"/>
      <c r="L51" s="1758"/>
      <c r="M51" s="1758"/>
      <c r="N51" s="1758"/>
      <c r="O51" s="1758"/>
      <c r="P51" s="1758"/>
      <c r="Q51" s="1758"/>
      <c r="R51" s="1758"/>
      <c r="S51" s="1758"/>
      <c r="T51" s="1080" cm="1" t="str">
        <f t="array" ref="T51:T51">INDEX('Общие сведения'!$AE$179:$AE$250,MATCH($Z51,'Общие сведения'!$Z$179:$Z$250,0))</f>
        <v>Водоснабжение</v>
      </c>
      <c r="U51" s="1758"/>
      <c r="V51" s="465">
        <f>Z51&gt;0</f>
        <v>1</v>
      </c>
      <c r="W51" s="1758"/>
      <c r="X51" s="122" cm="1" t="str">
        <f t="array" ref="X51:X51">'Список территорий'!$AB$33</f>
        <v>Тариф 2 (Водоснабжение) - тариф на питьевую воду (Доп. признак не требуется)</v>
      </c>
      <c r="Y51" s="1758"/>
      <c r="Z51" s="1545" t="s">
        <v>285</v>
      </c>
      <c r="AA51" s="1546"/>
      <c r="AB51" s="1758"/>
      <c r="AC51" s="180" cm="1" t="str">
        <f t="array" ref="AC51:AC51">'Список территорий'!$AB$33</f>
        <v>Тариф 2 (Водоснабжение) - тариф на питьевую воду (Доп. признак не требуется)</v>
      </c>
      <c r="AD51" s="180"/>
      <c r="AE51" s="174"/>
      <c r="AF51" s="174"/>
      <c r="AG51" s="174"/>
      <c r="AH51" s="174"/>
      <c r="AI51" s="174"/>
      <c r="AJ51" s="174"/>
      <c r="AK51" s="1758"/>
      <c r="AL51" s="1758"/>
      <c r="AM51" s="997"/>
      <c r="AN51" s="997"/>
      <c r="AO51" s="997"/>
      <c r="AP51" s="997"/>
      <c r="AQ51" s="618"/>
      <c r="AR51" s="618"/>
      <c r="AS51" s="1758"/>
      <c r="AT51" s="1758"/>
      <c r="AU51" s="1758"/>
      <c r="AV51" s="1758"/>
      <c r="AW51" s="1758"/>
      <c r="AX51" s="1758"/>
      <c r="AY51" s="1758"/>
      <c r="AZ51" s="1758"/>
      <c r="BA51" s="1758"/>
      <c r="BB51" s="1758"/>
      <c r="BC51" s="1758"/>
      <c r="BD51" s="1758"/>
      <c r="BE51" s="1758"/>
    </row>
    <row s="538" customFormat="1" customHeight="1" ht="14.25">
      <c r="A52" s="1758"/>
      <c r="B52" s="961">
        <f>AND(T51="Водоснабжение",method_reg&lt;&gt;"Метод сравнения аналогов")</f>
        <v>1</v>
      </c>
      <c r="C52" s="1758"/>
      <c r="D52" s="1758"/>
      <c r="E52" s="629">
        <v>15</v>
      </c>
      <c r="F52" s="143" cm="1" t="str">
        <f t="array" ref="F52:F52">OFFSET(E52,-1,1)</f>
        <v>2</v>
      </c>
      <c r="G52" s="484"/>
      <c r="H52" s="122" t="s">
        <v>332</v>
      </c>
      <c r="I52" s="122" t="s">
        <v>375</v>
      </c>
      <c r="J52" s="122" t="str">
        <f>AD52&amp;"::"&amp;AE52</f>
        <v>Водонасосные станции (водозаборные узлы)::ед.</v>
      </c>
      <c r="K52" s="124"/>
      <c r="L52" s="1758"/>
      <c r="M52" s="1758"/>
      <c r="N52" s="1758"/>
      <c r="O52" s="1758"/>
      <c r="P52" s="1758"/>
      <c r="Q52" s="1758"/>
      <c r="R52" s="1758"/>
      <c r="S52" s="1758"/>
      <c r="T52" s="1758"/>
      <c r="U52" s="1758"/>
      <c r="V52" s="465" cm="1" t="str">
        <f t="array" ref="V52:V52">V51</f>
        <v>true</v>
      </c>
      <c r="W52" s="1758"/>
      <c r="X52" s="1758"/>
      <c r="Y52" s="1758"/>
      <c r="Z52" s="1545"/>
      <c r="AA52" s="1546"/>
      <c r="AB52" s="1758"/>
      <c r="AC52" s="184">
        <v>1</v>
      </c>
      <c r="AD52" s="182" t="s">
        <v>376</v>
      </c>
      <c r="AE52" s="123" t="s">
        <v>377</v>
      </c>
      <c r="AF52" s="188"/>
      <c r="AG52" s="188"/>
      <c r="AH52" s="188"/>
      <c r="AI52" s="188"/>
      <c r="AJ52" s="189"/>
      <c r="AK52" s="1758"/>
      <c r="AL52" s="1758"/>
      <c r="AM52" s="997" t="s">
        <v>378</v>
      </c>
      <c r="AN52" s="997"/>
      <c r="AO52" s="997"/>
      <c r="AP52" s="997"/>
      <c r="AQ52" s="618"/>
      <c r="AR52" s="618"/>
      <c r="AS52" s="1758"/>
      <c r="AT52" s="1758"/>
      <c r="AU52" s="1758"/>
      <c r="AV52" s="1758"/>
      <c r="AW52" s="1758"/>
      <c r="AX52" s="1758"/>
      <c r="AY52" s="1758"/>
      <c r="AZ52" s="1758"/>
      <c r="BA52" s="1758"/>
      <c r="BB52" s="1758"/>
      <c r="BC52" s="1758"/>
      <c r="BD52" s="1758"/>
      <c r="BE52" s="1758"/>
    </row>
    <row s="538" customFormat="1" customHeight="1" ht="14.25">
      <c r="A53" s="1758"/>
      <c r="B53" s="961" cm="1" t="str">
        <f t="array" ref="B53:B53">B52</f>
        <v>true</v>
      </c>
      <c r="C53" s="1758"/>
      <c r="D53" s="1758"/>
      <c r="E53" s="629">
        <v>15</v>
      </c>
      <c r="F53" s="143" cm="1" t="str">
        <f t="array" ref="F53:F53">OFFSET(E53,-1,1)</f>
        <v>2</v>
      </c>
      <c r="G53" s="143"/>
      <c r="H53" s="122" t="s">
        <v>332</v>
      </c>
      <c r="I53" s="122" t="s">
        <v>375</v>
      </c>
      <c r="J53" s="122" t="str">
        <f>AD53&amp;"::"&amp;AE53</f>
        <v>Скважины::ед.</v>
      </c>
      <c r="K53" s="1758"/>
      <c r="L53" s="1758"/>
      <c r="M53" s="1758"/>
      <c r="N53" s="1758"/>
      <c r="O53" s="1758"/>
      <c r="P53" s="1758"/>
      <c r="Q53" s="1758"/>
      <c r="R53" s="1758"/>
      <c r="S53" s="1758"/>
      <c r="T53" s="1758"/>
      <c r="U53" s="1758"/>
      <c r="V53" s="465" cm="1" t="str">
        <f t="array" ref="V53:V53">V52</f>
        <v>true</v>
      </c>
      <c r="W53" s="1758"/>
      <c r="X53" s="1758"/>
      <c r="Y53" s="1758"/>
      <c r="Z53" s="1545"/>
      <c r="AA53" s="1546"/>
      <c r="AB53" s="1758"/>
      <c r="AC53" s="184">
        <v>2</v>
      </c>
      <c r="AD53" s="182" t="s">
        <v>379</v>
      </c>
      <c r="AE53" s="123" t="s">
        <v>377</v>
      </c>
      <c r="AF53" s="188"/>
      <c r="AG53" s="188"/>
      <c r="AH53" s="188"/>
      <c r="AI53" s="188"/>
      <c r="AJ53" s="189"/>
      <c r="AK53" s="1758"/>
      <c r="AL53" s="1758"/>
      <c r="AM53" s="997" t="s">
        <v>380</v>
      </c>
      <c r="AN53" s="997"/>
      <c r="AO53" s="997"/>
      <c r="AP53" s="997"/>
      <c r="AQ53" s="618"/>
      <c r="AR53" s="618"/>
      <c r="AS53" s="1758"/>
      <c r="AT53" s="1758"/>
      <c r="AU53" s="1758"/>
      <c r="AV53" s="1758"/>
      <c r="AW53" s="1758"/>
      <c r="AX53" s="1758"/>
      <c r="AY53" s="1758"/>
      <c r="AZ53" s="1758"/>
      <c r="BA53" s="1758"/>
      <c r="BB53" s="1758"/>
      <c r="BC53" s="1758"/>
      <c r="BD53" s="1758"/>
      <c r="BE53" s="1758"/>
    </row>
    <row s="538" customFormat="1" customHeight="1" ht="14.25">
      <c r="A54" s="1758"/>
      <c r="B54" s="961">
        <f>T51="Водоснабжение"</f>
        <v>1</v>
      </c>
      <c r="C54" s="1758"/>
      <c r="D54" s="1758"/>
      <c r="E54" s="629">
        <v>15</v>
      </c>
      <c r="F54" s="143" cm="1" t="str">
        <f t="array" ref="F54:F54">OFFSET(E54,-1,1)</f>
        <v>2</v>
      </c>
      <c r="G54" s="143" t="s">
        <v>50</v>
      </c>
      <c r="H54" s="122" t="s">
        <v>332</v>
      </c>
      <c r="I54" s="122" t="s">
        <v>375</v>
      </c>
      <c r="J54" s="122" t="str">
        <f>AD54&amp;"::"&amp;AE54</f>
        <v>Подкачивающие насосные станции::ед.</v>
      </c>
      <c r="K54" s="1758"/>
      <c r="L54" s="122" t="s">
        <v>50</v>
      </c>
      <c r="M54" s="1758"/>
      <c r="N54" s="1758"/>
      <c r="O54" s="1758"/>
      <c r="P54" s="1758"/>
      <c r="Q54" s="1758"/>
      <c r="R54" s="1758"/>
      <c r="S54" s="1758"/>
      <c r="T54" s="1758"/>
      <c r="U54" s="1758"/>
      <c r="V54" s="465" cm="1" t="str">
        <f t="array" ref="V54:V54">V53</f>
        <v>true</v>
      </c>
      <c r="W54" s="1758"/>
      <c r="X54" s="1758"/>
      <c r="Y54" s="1758"/>
      <c r="Z54" s="1545"/>
      <c r="AA54" s="1546"/>
      <c r="AB54" s="1758"/>
      <c r="AC54" s="184">
        <f>IF(B53,3,1)</f>
        <v>3</v>
      </c>
      <c r="AD54" s="182" t="s">
        <v>381</v>
      </c>
      <c r="AE54" s="123" t="s">
        <v>377</v>
      </c>
      <c r="AF54" s="188"/>
      <c r="AG54" s="188"/>
      <c r="AH54" s="188">
        <v>3</v>
      </c>
      <c r="AI54" s="188">
        <v>3</v>
      </c>
      <c r="AJ54" s="189"/>
      <c r="AK54" s="1758"/>
      <c r="AL54" s="1758"/>
      <c r="AM54" s="997" t="s">
        <v>382</v>
      </c>
      <c r="AN54" s="997"/>
      <c r="AO54" s="997"/>
      <c r="AP54" s="997"/>
      <c r="AQ54" s="618"/>
      <c r="AR54" s="618"/>
      <c r="AS54" s="1758"/>
      <c r="AT54" s="1758"/>
      <c r="AU54" s="1758"/>
      <c r="AV54" s="1758"/>
      <c r="AW54" s="1758"/>
      <c r="AX54" s="1758"/>
      <c r="AY54" s="1758"/>
      <c r="AZ54" s="1758"/>
      <c r="BA54" s="1758"/>
      <c r="BB54" s="1758"/>
      <c r="BC54" s="1758"/>
      <c r="BD54" s="1758"/>
      <c r="BE54" s="1758"/>
    </row>
    <row s="538" customFormat="1" customHeight="1" ht="14.25">
      <c r="A55" s="1758"/>
      <c r="B55" s="961" cm="1" t="str">
        <f t="array" ref="B55:B55">B53</f>
        <v>true</v>
      </c>
      <c r="C55" s="1758"/>
      <c r="D55" s="1758"/>
      <c r="E55" s="629">
        <v>15</v>
      </c>
      <c r="F55" s="143" cm="1" t="str">
        <f t="array" ref="F55:F55">OFFSET(E55,-1,1)</f>
        <v>2</v>
      </c>
      <c r="G55" s="143"/>
      <c r="H55" s="122" t="s">
        <v>332</v>
      </c>
      <c r="I55" s="122" t="s">
        <v>375</v>
      </c>
      <c r="J55" s="122" t="str">
        <f>AD55&amp;"::"&amp;AE55</f>
        <v>Водонапорные башни::ед.</v>
      </c>
      <c r="K55" s="1758"/>
      <c r="L55" s="1758"/>
      <c r="M55" s="1758"/>
      <c r="N55" s="1758"/>
      <c r="O55" s="1758"/>
      <c r="P55" s="1758"/>
      <c r="Q55" s="1758"/>
      <c r="R55" s="1758"/>
      <c r="S55" s="1758"/>
      <c r="T55" s="1758"/>
      <c r="U55" s="1758"/>
      <c r="V55" s="465" cm="1" t="str">
        <f t="array" ref="V55:V55">V54</f>
        <v>true</v>
      </c>
      <c r="W55" s="1758"/>
      <c r="X55" s="1758"/>
      <c r="Y55" s="1758"/>
      <c r="Z55" s="1545"/>
      <c r="AA55" s="1546"/>
      <c r="AB55" s="1758"/>
      <c r="AC55" s="184">
        <v>4</v>
      </c>
      <c r="AD55" s="182" t="s">
        <v>383</v>
      </c>
      <c r="AE55" s="123" t="s">
        <v>377</v>
      </c>
      <c r="AF55" s="188"/>
      <c r="AG55" s="188"/>
      <c r="AH55" s="188"/>
      <c r="AI55" s="188"/>
      <c r="AJ55" s="189"/>
      <c r="AK55" s="1758"/>
      <c r="AL55" s="1758"/>
      <c r="AM55" s="997" t="s">
        <v>384</v>
      </c>
      <c r="AN55" s="997"/>
      <c r="AO55" s="997"/>
      <c r="AP55" s="997"/>
      <c r="AQ55" s="618"/>
      <c r="AR55" s="618"/>
      <c r="AS55" s="1758"/>
      <c r="AT55" s="1758"/>
      <c r="AU55" s="1758"/>
      <c r="AV55" s="1758"/>
      <c r="AW55" s="1758"/>
      <c r="AX55" s="1758"/>
      <c r="AY55" s="1758"/>
      <c r="AZ55" s="1758"/>
      <c r="BA55" s="1758"/>
      <c r="BB55" s="1758"/>
      <c r="BC55" s="1758"/>
      <c r="BD55" s="1758"/>
      <c r="BE55" s="1758"/>
    </row>
    <row s="538" customFormat="1" customHeight="1" ht="14.25">
      <c r="A56" s="1758"/>
      <c r="B56" s="961">
        <f>T51="Водоснабжение"</f>
        <v>1</v>
      </c>
      <c r="C56" s="1758"/>
      <c r="D56" s="1758"/>
      <c r="E56" s="629">
        <v>15</v>
      </c>
      <c r="F56" s="143" cm="1" t="str">
        <f t="array" ref="F56:F56">OFFSET(E56,-1,1)</f>
        <v>2</v>
      </c>
      <c r="G56" s="143"/>
      <c r="H56" s="122" t="s">
        <v>332</v>
      </c>
      <c r="I56" s="122" t="s">
        <v>375</v>
      </c>
      <c r="J56" s="122" t="str">
        <f>AD56&amp;"::"&amp;AE56</f>
        <v>Водопроводные сети::км</v>
      </c>
      <c r="K56" s="1758"/>
      <c r="L56" s="1758"/>
      <c r="M56" s="1758"/>
      <c r="N56" s="1758"/>
      <c r="O56" s="1758"/>
      <c r="P56" s="122" t="s">
        <v>385</v>
      </c>
      <c r="Q56" s="122" t="s">
        <v>386</v>
      </c>
      <c r="R56" s="1758"/>
      <c r="S56" s="1758"/>
      <c r="T56" s="1758"/>
      <c r="U56" s="1758"/>
      <c r="V56" s="465" cm="1" t="str">
        <f t="array" ref="V56:V56">V55</f>
        <v>true</v>
      </c>
      <c r="W56" s="1758"/>
      <c r="X56" s="1758"/>
      <c r="Y56" s="1758"/>
      <c r="Z56" s="1545"/>
      <c r="AA56" s="1546"/>
      <c r="AB56" s="1758"/>
      <c r="AC56" s="184">
        <f>IF(B53,5,2)</f>
        <v>5</v>
      </c>
      <c r="AD56" s="182" t="s">
        <v>387</v>
      </c>
      <c r="AE56" s="123" t="s">
        <v>388</v>
      </c>
      <c r="AF56" s="141"/>
      <c r="AG56" s="141"/>
      <c r="AH56" s="141">
        <v>112.3</v>
      </c>
      <c r="AI56" s="141">
        <v>112.3</v>
      </c>
      <c r="AJ56" s="189"/>
      <c r="AK56" s="1758"/>
      <c r="AL56" s="1758"/>
      <c r="AM56" s="997" t="s">
        <v>389</v>
      </c>
      <c r="AN56" s="997"/>
      <c r="AO56" s="997"/>
      <c r="AP56" s="997"/>
      <c r="AQ56" s="618"/>
      <c r="AR56" s="618"/>
      <c r="AS56" s="1758"/>
      <c r="AT56" s="1758"/>
      <c r="AU56" s="1758"/>
      <c r="AV56" s="1758"/>
      <c r="AW56" s="1758"/>
      <c r="AX56" s="1758"/>
      <c r="AY56" s="1758"/>
      <c r="AZ56" s="1758"/>
      <c r="BA56" s="1758"/>
      <c r="BB56" s="1758"/>
      <c r="BC56" s="1758"/>
      <c r="BD56" s="1758"/>
      <c r="BE56" s="1758"/>
    </row>
    <row s="538" customFormat="1" customHeight="1" ht="14.25" hidden="1">
      <c r="A57" s="1758"/>
      <c r="B57" s="961">
        <f>AND(T51="Водоотведение",method_reg&lt;&gt;"Метод сравнения аналогов")</f>
        <v>0</v>
      </c>
      <c r="C57" s="1758"/>
      <c r="D57" s="1758"/>
      <c r="E57" s="629">
        <v>15</v>
      </c>
      <c r="F57" s="143" cm="1" t="str">
        <f t="array" ref="F57:F57">OFFSET(E57,-1,1)</f>
        <v>2</v>
      </c>
      <c r="G57" s="484"/>
      <c r="H57" s="122" t="s">
        <v>332</v>
      </c>
      <c r="I57" s="122" t="s">
        <v>375</v>
      </c>
      <c r="J57" s="122" t="str">
        <f>AD57&amp;"::"&amp;AE57</f>
        <v>Биологические очистные сооружения::ед.</v>
      </c>
      <c r="K57" s="124"/>
      <c r="L57" s="1758"/>
      <c r="M57" s="1758"/>
      <c r="N57" s="1758"/>
      <c r="O57" s="1758"/>
      <c r="P57" s="1758"/>
      <c r="Q57" s="1758"/>
      <c r="R57" s="1758"/>
      <c r="S57" s="1758"/>
      <c r="T57" s="1758"/>
      <c r="U57" s="1758"/>
      <c r="V57" s="465" cm="1" t="str">
        <f t="array" ref="V57:V57">V56</f>
        <v>true</v>
      </c>
      <c r="W57" s="1758"/>
      <c r="X57" s="1758"/>
      <c r="Y57" s="1758"/>
      <c r="Z57" s="1545"/>
      <c r="AA57" s="1546"/>
      <c r="AB57" s="1758"/>
      <c r="AC57" s="184">
        <v>1</v>
      </c>
      <c r="AD57" s="182" t="s">
        <v>390</v>
      </c>
      <c r="AE57" s="123" t="s">
        <v>377</v>
      </c>
      <c r="AF57" s="1938"/>
      <c r="AG57" s="1938"/>
      <c r="AH57" s="1938"/>
      <c r="AI57" s="1938"/>
      <c r="AJ57" s="1939"/>
      <c r="AK57" s="1758"/>
      <c r="AL57" s="1758"/>
      <c r="AM57" s="997" t="s">
        <v>391</v>
      </c>
      <c r="AN57" s="997"/>
      <c r="AO57" s="997"/>
      <c r="AP57" s="997"/>
      <c r="AQ57" s="618"/>
      <c r="AR57" s="618"/>
      <c r="AS57" s="1758"/>
      <c r="AT57" s="1758"/>
      <c r="AU57" s="1758"/>
      <c r="AV57" s="1758"/>
      <c r="AW57" s="1758"/>
      <c r="AX57" s="1758"/>
      <c r="AY57" s="1758"/>
      <c r="AZ57" s="1758"/>
      <c r="BA57" s="1758"/>
      <c r="BB57" s="1758"/>
      <c r="BC57" s="1758"/>
      <c r="BD57" s="1758"/>
      <c r="BE57" s="1758"/>
    </row>
    <row s="538" customFormat="1" customHeight="1" ht="14.25" hidden="1">
      <c r="A58" s="1758"/>
      <c r="B58" s="961">
        <f>T51="Водоотведение"</f>
        <v>0</v>
      </c>
      <c r="C58" s="1758"/>
      <c r="D58" s="1758"/>
      <c r="E58" s="629">
        <v>15</v>
      </c>
      <c r="F58" s="143" cm="1" t="str">
        <f t="array" ref="F58:F58">OFFSET(E58,-1,1)</f>
        <v>2</v>
      </c>
      <c r="G58" s="143" t="s">
        <v>50</v>
      </c>
      <c r="H58" s="122" t="s">
        <v>332</v>
      </c>
      <c r="I58" s="122" t="s">
        <v>375</v>
      </c>
      <c r="J58" s="122" t="str">
        <f>AD58&amp;"::"&amp;AE58</f>
        <v>Канализационные насосные станции::ед.</v>
      </c>
      <c r="K58" s="1758"/>
      <c r="L58" s="1758"/>
      <c r="M58" s="1758"/>
      <c r="N58" s="1758"/>
      <c r="O58" s="1758"/>
      <c r="P58" s="1758"/>
      <c r="Q58" s="1758"/>
      <c r="R58" s="1758"/>
      <c r="S58" s="1758"/>
      <c r="T58" s="1758"/>
      <c r="U58" s="1758"/>
      <c r="V58" s="465" cm="1" t="str">
        <f t="array" ref="V58:V58">V57</f>
        <v>true</v>
      </c>
      <c r="W58" s="1758"/>
      <c r="X58" s="1758"/>
      <c r="Y58" s="1758"/>
      <c r="Z58" s="1545"/>
      <c r="AA58" s="1546"/>
      <c r="AB58" s="1758"/>
      <c r="AC58" s="184">
        <f>IF(B57,2,1)</f>
        <v>1</v>
      </c>
      <c r="AD58" s="182" t="s">
        <v>392</v>
      </c>
      <c r="AE58" s="123" t="s">
        <v>377</v>
      </c>
      <c r="AF58" s="1938"/>
      <c r="AG58" s="1938"/>
      <c r="AH58" s="1938"/>
      <c r="AI58" s="1938"/>
      <c r="AJ58" s="1939"/>
      <c r="AK58" s="1758"/>
      <c r="AL58" s="1758"/>
      <c r="AM58" s="997" t="s">
        <v>393</v>
      </c>
      <c r="AN58" s="997"/>
      <c r="AO58" s="997"/>
      <c r="AP58" s="997"/>
      <c r="AQ58" s="618"/>
      <c r="AR58" s="618"/>
      <c r="AS58" s="1758"/>
      <c r="AT58" s="1758"/>
      <c r="AU58" s="1758"/>
      <c r="AV58" s="1758"/>
      <c r="AW58" s="1758"/>
      <c r="AX58" s="1758"/>
      <c r="AY58" s="1758"/>
      <c r="AZ58" s="1758"/>
      <c r="BA58" s="1758"/>
      <c r="BB58" s="1758"/>
      <c r="BC58" s="1758"/>
      <c r="BD58" s="1758"/>
      <c r="BE58" s="1758"/>
    </row>
    <row s="538" customFormat="1" customHeight="1" ht="14.25" hidden="1">
      <c r="A59" s="1758"/>
      <c r="B59" s="961" cm="1" t="str">
        <f t="array" ref="B59:B59">B58</f>
        <v>false</v>
      </c>
      <c r="C59" s="1758"/>
      <c r="D59" s="1758"/>
      <c r="E59" s="629">
        <v>15</v>
      </c>
      <c r="F59" s="143" cm="1" t="str">
        <f t="array" ref="F59:F59">OFFSET(E59,-1,1)</f>
        <v>2</v>
      </c>
      <c r="G59" s="143"/>
      <c r="H59" s="122" t="s">
        <v>332</v>
      </c>
      <c r="I59" s="122" t="s">
        <v>375</v>
      </c>
      <c r="J59" s="122" t="str">
        <f>AD59&amp;"::"&amp;AE59</f>
        <v>Канализационные сети::км</v>
      </c>
      <c r="K59" s="1758"/>
      <c r="L59" s="122" t="s">
        <v>50</v>
      </c>
      <c r="M59" s="1758"/>
      <c r="N59" s="1758"/>
      <c r="O59" s="1758"/>
      <c r="P59" s="122" t="s">
        <v>385</v>
      </c>
      <c r="Q59" s="122" t="s">
        <v>386</v>
      </c>
      <c r="R59" s="1758"/>
      <c r="S59" s="1758"/>
      <c r="T59" s="1758"/>
      <c r="U59" s="1758"/>
      <c r="V59" s="465" cm="1" t="str">
        <f t="array" ref="V59:V59">V58</f>
        <v>true</v>
      </c>
      <c r="W59" s="1758"/>
      <c r="X59" s="1758"/>
      <c r="Y59" s="1758"/>
      <c r="Z59" s="1545"/>
      <c r="AA59" s="1546"/>
      <c r="AB59" s="1758"/>
      <c r="AC59" s="184">
        <f>AC58+1</f>
        <v>2</v>
      </c>
      <c r="AD59" s="182" t="s">
        <v>394</v>
      </c>
      <c r="AE59" s="123" t="s">
        <v>388</v>
      </c>
      <c r="AF59" s="1940"/>
      <c r="AG59" s="1940"/>
      <c r="AH59" s="141"/>
      <c r="AI59" s="141"/>
      <c r="AJ59" s="1939"/>
      <c r="AK59" s="1758"/>
      <c r="AL59" s="1758"/>
      <c r="AM59" s="997" t="s">
        <v>395</v>
      </c>
      <c r="AN59" s="997"/>
      <c r="AO59" s="997"/>
      <c r="AP59" s="997"/>
      <c r="AQ59" s="618"/>
      <c r="AR59" s="618"/>
      <c r="AS59" s="1758"/>
      <c r="AT59" s="1758"/>
      <c r="AU59" s="1758"/>
      <c r="AV59" s="1758"/>
      <c r="AW59" s="1758"/>
      <c r="AX59" s="1758"/>
      <c r="AY59" s="1758"/>
      <c r="AZ59" s="1758"/>
      <c r="BA59" s="1758"/>
      <c r="BB59" s="1758"/>
      <c r="BC59" s="1758"/>
      <c r="BD59" s="1758"/>
      <c r="BE59" s="1758"/>
    </row>
    <row s="1021" customFormat="1" customHeight="1" ht="14.25" hidden="1">
      <c r="A60" s="1021"/>
      <c r="B60" s="428"/>
      <c r="C60" s="1021"/>
      <c r="D60" s="1021"/>
      <c r="E60" s="637">
        <v>15</v>
      </c>
      <c r="F60" s="143" cm="1" t="str">
        <f t="array" ref="F60:F60">OFFSET(E60,-1,1)</f>
        <v>2</v>
      </c>
      <c r="G60" s="143"/>
      <c r="H60" s="124" t="s">
        <v>332</v>
      </c>
      <c r="I60" s="124" t="s">
        <v>375</v>
      </c>
      <c r="J60" s="124" t="str">
        <f>AD60&amp;"::"&amp;AE60</f>
        <v>::</v>
      </c>
      <c r="K60" s="1021"/>
      <c r="L60" s="1021"/>
      <c r="M60" s="1021"/>
      <c r="N60" s="1021"/>
      <c r="O60" s="1021"/>
      <c r="P60" s="1021"/>
      <c r="Q60" s="1021"/>
      <c r="R60" s="1021"/>
      <c r="S60" s="1021"/>
      <c r="T60" s="1021"/>
      <c r="U60" s="122">
        <v>0</v>
      </c>
      <c r="V60" s="465">
        <f>AND(F60&gt;0,U60&gt;0)</f>
        <v>0</v>
      </c>
      <c r="W60" s="1021"/>
      <c r="X60" s="1021"/>
      <c r="Y60" s="757" t="s">
        <v>174</v>
      </c>
      <c r="Z60" s="1545"/>
      <c r="AA60" s="1546"/>
      <c r="AB60" s="420" t="s">
        <v>175</v>
      </c>
      <c r="AC60" s="184">
        <f>IF(OFFSET(C60,-8-U60,-1),5,IF(OFFSET(C60,-3-U60,-1),3,2))+U60</f>
        <v>5</v>
      </c>
      <c r="AD60" s="1944"/>
      <c r="AE60" s="1945"/>
      <c r="AF60" s="1946"/>
      <c r="AG60" s="1946"/>
      <c r="AH60" s="1946"/>
      <c r="AI60" s="1946"/>
      <c r="AJ60" s="1947"/>
      <c r="AK60" s="1021"/>
      <c r="AL60" s="1021"/>
      <c r="AM60" s="1005" t="s">
        <v>396</v>
      </c>
      <c r="AN60" s="1005" t="s">
        <v>397</v>
      </c>
      <c r="AO60" s="1008" cm="1" t="str">
        <f t="array" ref="AO60:AO60">AD60</f>
        <v>0</v>
      </c>
      <c r="AP60" s="1008" cm="1" t="str">
        <f t="array" ref="AP60:AP60">AE60</f>
        <v>0</v>
      </c>
      <c r="AQ60" s="692"/>
      <c r="AR60" s="692" t="b">
        <v>1</v>
      </c>
      <c r="AS60" s="1021"/>
      <c r="AT60" s="1021"/>
      <c r="AU60" s="1021"/>
      <c r="AV60" s="1021"/>
      <c r="AW60" s="1021"/>
      <c r="AX60" s="1021"/>
      <c r="AY60" s="1021"/>
      <c r="AZ60" s="1021"/>
      <c r="BA60" s="1021"/>
      <c r="BB60" s="1021"/>
      <c r="BC60" s="1021"/>
      <c r="BD60" s="1021"/>
      <c r="BE60" s="1021"/>
    </row>
    <row s="538" customFormat="1" customHeight="1" ht="14.25">
      <c r="A61" s="1758"/>
      <c r="B61" s="428"/>
      <c r="C61" s="1758"/>
      <c r="D61" s="1758"/>
      <c r="E61" s="629">
        <v>15</v>
      </c>
      <c r="F61" s="143" cm="1" t="str">
        <f t="array" ref="F61:F61">OFFSET(E61,-1,1)</f>
        <v>2</v>
      </c>
      <c r="G61" s="143"/>
      <c r="H61" s="1758"/>
      <c r="I61" s="1758"/>
      <c r="J61" s="121" t="s">
        <v>398</v>
      </c>
      <c r="K61" s="1758"/>
      <c r="L61" s="1758"/>
      <c r="M61" s="1758"/>
      <c r="N61" s="1758"/>
      <c r="O61" s="1758"/>
      <c r="P61" s="1758"/>
      <c r="Q61" s="1758"/>
      <c r="R61" s="1758"/>
      <c r="S61" s="1758"/>
      <c r="T61" s="1758"/>
      <c r="U61" s="1758"/>
      <c r="V61" s="465" cm="1" t="str">
        <f t="array" ref="V61:V61">V59</f>
        <v>true</v>
      </c>
      <c r="W61" s="1758"/>
      <c r="X61" s="1758"/>
      <c r="Y61" s="757" t="s">
        <v>399</v>
      </c>
      <c r="Z61" s="1545"/>
      <c r="AA61" s="1546"/>
      <c r="AB61" s="1758"/>
      <c r="AC61" s="175"/>
      <c r="AD61" s="308" t="s">
        <v>178</v>
      </c>
      <c r="AE61" s="176"/>
      <c r="AF61" s="176"/>
      <c r="AG61" s="176"/>
      <c r="AH61" s="176"/>
      <c r="AI61" s="176"/>
      <c r="AJ61" s="187"/>
      <c r="AK61" s="1758"/>
      <c r="AL61" s="1758"/>
      <c r="AM61" s="997"/>
      <c r="AN61" s="997"/>
      <c r="AO61" s="997"/>
      <c r="AP61" s="997"/>
      <c r="AQ61" s="618" t="s">
        <v>397</v>
      </c>
      <c r="AR61" s="618"/>
      <c r="AS61" s="1758"/>
      <c r="AT61" s="1758"/>
      <c r="AU61" s="1758"/>
      <c r="AV61" s="1758"/>
      <c r="AW61" s="1758"/>
      <c r="AX61" s="1758"/>
      <c r="AY61" s="1758"/>
      <c r="AZ61" s="1758"/>
      <c r="BA61" s="1758"/>
      <c r="BB61" s="1758"/>
      <c r="BC61" s="1758"/>
      <c r="BD61" s="1758"/>
      <c r="BE61" s="1758"/>
    </row>
    <row s="538" customFormat="1" customHeight="1" ht="44.83455882352941">
      <c r="A62" s="1758"/>
      <c r="B62" s="428"/>
      <c r="C62" s="1758"/>
      <c r="D62" s="1758"/>
      <c r="E62" s="629">
        <v>15</v>
      </c>
      <c r="F62" s="143" cm="1" t="str">
        <f t="array" ref="F62:F62">OFFSET(E62,-1,1)</f>
        <v>2</v>
      </c>
      <c r="G62" s="143"/>
      <c r="H62" s="122" t="s">
        <v>333</v>
      </c>
      <c r="I62" s="122" t="s">
        <v>375</v>
      </c>
      <c r="J62" s="369" cm="1" t="str">
        <f t="array" ref="J62:J62">AD62</f>
        <v>Краткое описание технологического процесса</v>
      </c>
      <c r="K62" s="1758"/>
      <c r="L62" s="1758"/>
      <c r="M62" s="1758"/>
      <c r="N62" s="1758"/>
      <c r="O62" s="1758"/>
      <c r="P62" s="1758"/>
      <c r="Q62" s="1758"/>
      <c r="R62" s="1758"/>
      <c r="S62" s="1758"/>
      <c r="T62" s="1758"/>
      <c r="U62" s="1758"/>
      <c r="V62" s="465" cm="1" t="str">
        <f t="array" ref="V62:V62">V61</f>
        <v>true</v>
      </c>
      <c r="W62" s="1758"/>
      <c r="X62" s="1758"/>
      <c r="Y62" s="1758"/>
      <c r="Z62" s="1545"/>
      <c r="AA62" s="1546"/>
      <c r="AB62" s="1758"/>
      <c r="AC62" s="184"/>
      <c r="AD62" s="182" t="s">
        <v>400</v>
      </c>
      <c r="AE62" s="123"/>
      <c r="AF62" s="1547" t="s">
        <v>403</v>
      </c>
      <c r="AG62" s="1956"/>
      <c r="AH62" s="1956"/>
      <c r="AI62" s="1956"/>
      <c r="AJ62" s="1957"/>
      <c r="AK62" s="1758"/>
      <c r="AL62" s="1758"/>
      <c r="AM62" s="997" t="s">
        <v>401</v>
      </c>
      <c r="AN62" s="997"/>
      <c r="AO62" s="997"/>
      <c r="AP62" s="997"/>
      <c r="AQ62" s="618"/>
      <c r="AR62" s="618"/>
      <c r="AS62" s="1758"/>
      <c r="AT62" s="1758"/>
      <c r="AU62" s="1758"/>
      <c r="AV62" s="1758"/>
      <c r="AW62" s="1758"/>
      <c r="AX62" s="1758"/>
      <c r="AY62" s="1758"/>
      <c r="AZ62" s="1758"/>
      <c r="BA62" s="1758"/>
      <c r="BB62" s="1758"/>
      <c r="BC62" s="1758"/>
      <c r="BD62" s="1758"/>
      <c r="BE62" s="1758"/>
    </row>
    <row s="538" customFormat="1" customHeight="1" ht="14.25">
      <c r="A63" s="1758"/>
      <c r="B63" s="428"/>
      <c r="C63" s="1758"/>
      <c r="D63" s="1758"/>
      <c r="E63" s="629">
        <v>15</v>
      </c>
      <c r="F63" s="122" cm="1" t="str">
        <f t="array" ref="F63:F63">Z63</f>
        <v>3</v>
      </c>
      <c r="G63" s="1758"/>
      <c r="H63" s="1758"/>
      <c r="I63" s="1758"/>
      <c r="J63" s="1758"/>
      <c r="K63" s="1758"/>
      <c r="L63" s="1758"/>
      <c r="M63" s="1758"/>
      <c r="N63" s="1758"/>
      <c r="O63" s="1758"/>
      <c r="P63" s="1758"/>
      <c r="Q63" s="1758"/>
      <c r="R63" s="1758"/>
      <c r="S63" s="1758"/>
      <c r="T63" s="1080" cm="1" t="str">
        <f t="array" ref="T63:T63">INDEX('Общие сведения'!$AE$179:$AE$250,MATCH($Z63,'Общие сведения'!$Z$179:$Z$250,0))</f>
        <v>Водоотведение</v>
      </c>
      <c r="U63" s="1758"/>
      <c r="V63" s="465">
        <f>Z63&gt;0</f>
        <v>1</v>
      </c>
      <c r="W63" s="1758"/>
      <c r="X63" s="122" cm="1" t="str">
        <f t="array" ref="X63:X63">'Список территорий'!$AB$37</f>
        <v>Тариф 3 (Водоотведение) - тариф на водоотведение (Доп. признак не требуется)</v>
      </c>
      <c r="Y63" s="1758"/>
      <c r="Z63" s="1545" t="s">
        <v>289</v>
      </c>
      <c r="AA63" s="1546"/>
      <c r="AB63" s="1758"/>
      <c r="AC63" s="180" cm="1" t="str">
        <f t="array" ref="AC63:AC63">'Список территорий'!$AB$37</f>
        <v>Тариф 3 (Водоотведение) - тариф на водоотведение (Доп. признак не требуется)</v>
      </c>
      <c r="AD63" s="180"/>
      <c r="AE63" s="174"/>
      <c r="AF63" s="174"/>
      <c r="AG63" s="174"/>
      <c r="AH63" s="174"/>
      <c r="AI63" s="174"/>
      <c r="AJ63" s="174"/>
      <c r="AK63" s="1758"/>
      <c r="AL63" s="1758"/>
      <c r="AM63" s="997"/>
      <c r="AN63" s="997"/>
      <c r="AO63" s="997"/>
      <c r="AP63" s="997"/>
      <c r="AQ63" s="618"/>
      <c r="AR63" s="618"/>
      <c r="AS63" s="1758"/>
      <c r="AT63" s="1758"/>
      <c r="AU63" s="1758"/>
      <c r="AV63" s="1758"/>
      <c r="AW63" s="1758"/>
      <c r="AX63" s="1758"/>
      <c r="AY63" s="1758"/>
      <c r="AZ63" s="1758"/>
      <c r="BA63" s="1758"/>
      <c r="BB63" s="1758"/>
      <c r="BC63" s="1758"/>
      <c r="BD63" s="1758"/>
      <c r="BE63" s="1758"/>
    </row>
    <row s="538" customFormat="1" customHeight="1" ht="14.25" hidden="1">
      <c r="A64" s="1758"/>
      <c r="B64" s="961">
        <f>AND(T63="Водоснабжение",method_reg&lt;&gt;"Метод сравнения аналогов")</f>
        <v>0</v>
      </c>
      <c r="C64" s="1758"/>
      <c r="D64" s="1758"/>
      <c r="E64" s="629">
        <v>15</v>
      </c>
      <c r="F64" s="143" cm="1" t="str">
        <f t="array" ref="F64:F64">OFFSET(E64,-1,1)</f>
        <v>3</v>
      </c>
      <c r="G64" s="484"/>
      <c r="H64" s="122" t="s">
        <v>332</v>
      </c>
      <c r="I64" s="122" t="s">
        <v>375</v>
      </c>
      <c r="J64" s="122" t="str">
        <f>AD64&amp;"::"&amp;AE64</f>
        <v>Водонасосные станции (водозаборные узлы)::ед.</v>
      </c>
      <c r="K64" s="124"/>
      <c r="L64" s="1758"/>
      <c r="M64" s="1758"/>
      <c r="N64" s="1758"/>
      <c r="O64" s="1758"/>
      <c r="P64" s="1758"/>
      <c r="Q64" s="1758"/>
      <c r="R64" s="1758"/>
      <c r="S64" s="1758"/>
      <c r="T64" s="1758"/>
      <c r="U64" s="1758"/>
      <c r="V64" s="465" cm="1" t="str">
        <f t="array" ref="V64:V64">V63</f>
        <v>true</v>
      </c>
      <c r="W64" s="1758"/>
      <c r="X64" s="1758"/>
      <c r="Y64" s="1758"/>
      <c r="Z64" s="1545"/>
      <c r="AA64" s="1546"/>
      <c r="AB64" s="1758"/>
      <c r="AC64" s="184">
        <v>1</v>
      </c>
      <c r="AD64" s="182" t="s">
        <v>376</v>
      </c>
      <c r="AE64" s="123" t="s">
        <v>377</v>
      </c>
      <c r="AF64" s="1938"/>
      <c r="AG64" s="1938"/>
      <c r="AH64" s="1938"/>
      <c r="AI64" s="1938"/>
      <c r="AJ64" s="1939"/>
      <c r="AK64" s="1758"/>
      <c r="AL64" s="1758"/>
      <c r="AM64" s="997" t="s">
        <v>378</v>
      </c>
      <c r="AN64" s="997"/>
      <c r="AO64" s="997"/>
      <c r="AP64" s="997"/>
      <c r="AQ64" s="618"/>
      <c r="AR64" s="618"/>
      <c r="AS64" s="1758"/>
      <c r="AT64" s="1758"/>
      <c r="AU64" s="1758"/>
      <c r="AV64" s="1758"/>
      <c r="AW64" s="1758"/>
      <c r="AX64" s="1758"/>
      <c r="AY64" s="1758"/>
      <c r="AZ64" s="1758"/>
      <c r="BA64" s="1758"/>
      <c r="BB64" s="1758"/>
      <c r="BC64" s="1758"/>
      <c r="BD64" s="1758"/>
      <c r="BE64" s="1758"/>
    </row>
    <row s="538" customFormat="1" customHeight="1" ht="14.25" hidden="1">
      <c r="A65" s="1758"/>
      <c r="B65" s="961" cm="1" t="str">
        <f t="array" ref="B65:B65">B64</f>
        <v>false</v>
      </c>
      <c r="C65" s="1758"/>
      <c r="D65" s="1758"/>
      <c r="E65" s="629">
        <v>15</v>
      </c>
      <c r="F65" s="143" cm="1" t="str">
        <f t="array" ref="F65:F65">OFFSET(E65,-1,1)</f>
        <v>3</v>
      </c>
      <c r="G65" s="143"/>
      <c r="H65" s="122" t="s">
        <v>332</v>
      </c>
      <c r="I65" s="122" t="s">
        <v>375</v>
      </c>
      <c r="J65" s="122" t="str">
        <f>AD65&amp;"::"&amp;AE65</f>
        <v>Скважины::ед.</v>
      </c>
      <c r="K65" s="1758"/>
      <c r="L65" s="1758"/>
      <c r="M65" s="1758"/>
      <c r="N65" s="1758"/>
      <c r="O65" s="1758"/>
      <c r="P65" s="1758"/>
      <c r="Q65" s="1758"/>
      <c r="R65" s="1758"/>
      <c r="S65" s="1758"/>
      <c r="T65" s="1758"/>
      <c r="U65" s="1758"/>
      <c r="V65" s="465" cm="1" t="str">
        <f t="array" ref="V65:V65">V64</f>
        <v>true</v>
      </c>
      <c r="W65" s="1758"/>
      <c r="X65" s="1758"/>
      <c r="Y65" s="1758"/>
      <c r="Z65" s="1545"/>
      <c r="AA65" s="1546"/>
      <c r="AB65" s="1758"/>
      <c r="AC65" s="184">
        <v>2</v>
      </c>
      <c r="AD65" s="182" t="s">
        <v>379</v>
      </c>
      <c r="AE65" s="123" t="s">
        <v>377</v>
      </c>
      <c r="AF65" s="1938"/>
      <c r="AG65" s="1938"/>
      <c r="AH65" s="1938"/>
      <c r="AI65" s="1938"/>
      <c r="AJ65" s="1939"/>
      <c r="AK65" s="1758"/>
      <c r="AL65" s="1758"/>
      <c r="AM65" s="997" t="s">
        <v>380</v>
      </c>
      <c r="AN65" s="997"/>
      <c r="AO65" s="997"/>
      <c r="AP65" s="997"/>
      <c r="AQ65" s="618"/>
      <c r="AR65" s="618"/>
      <c r="AS65" s="1758"/>
      <c r="AT65" s="1758"/>
      <c r="AU65" s="1758"/>
      <c r="AV65" s="1758"/>
      <c r="AW65" s="1758"/>
      <c r="AX65" s="1758"/>
      <c r="AY65" s="1758"/>
      <c r="AZ65" s="1758"/>
      <c r="BA65" s="1758"/>
      <c r="BB65" s="1758"/>
      <c r="BC65" s="1758"/>
      <c r="BD65" s="1758"/>
      <c r="BE65" s="1758"/>
    </row>
    <row s="538" customFormat="1" customHeight="1" ht="14.25" hidden="1">
      <c r="A66" s="1758"/>
      <c r="B66" s="961">
        <f>T63="Водоснабжение"</f>
        <v>0</v>
      </c>
      <c r="C66" s="1758"/>
      <c r="D66" s="1758"/>
      <c r="E66" s="629">
        <v>15</v>
      </c>
      <c r="F66" s="143" cm="1" t="str">
        <f t="array" ref="F66:F66">OFFSET(E66,-1,1)</f>
        <v>3</v>
      </c>
      <c r="G66" s="143" t="s">
        <v>50</v>
      </c>
      <c r="H66" s="122" t="s">
        <v>332</v>
      </c>
      <c r="I66" s="122" t="s">
        <v>375</v>
      </c>
      <c r="J66" s="122" t="str">
        <f>AD66&amp;"::"&amp;AE66</f>
        <v>Подкачивающие насосные станции::ед.</v>
      </c>
      <c r="K66" s="1758"/>
      <c r="L66" s="122" t="s">
        <v>50</v>
      </c>
      <c r="M66" s="1758"/>
      <c r="N66" s="1758"/>
      <c r="O66" s="1758"/>
      <c r="P66" s="1758"/>
      <c r="Q66" s="1758"/>
      <c r="R66" s="1758"/>
      <c r="S66" s="1758"/>
      <c r="T66" s="1758"/>
      <c r="U66" s="1758"/>
      <c r="V66" s="465" cm="1" t="str">
        <f t="array" ref="V66:V66">V65</f>
        <v>true</v>
      </c>
      <c r="W66" s="1758"/>
      <c r="X66" s="1758"/>
      <c r="Y66" s="1758"/>
      <c r="Z66" s="1545"/>
      <c r="AA66" s="1546"/>
      <c r="AB66" s="1758"/>
      <c r="AC66" s="184">
        <f>IF(B65,3,1)</f>
        <v>1</v>
      </c>
      <c r="AD66" s="182" t="s">
        <v>381</v>
      </c>
      <c r="AE66" s="123" t="s">
        <v>377</v>
      </c>
      <c r="AF66" s="1938"/>
      <c r="AG66" s="1938"/>
      <c r="AH66" s="1938"/>
      <c r="AI66" s="1938"/>
      <c r="AJ66" s="1939"/>
      <c r="AK66" s="1758"/>
      <c r="AL66" s="1758"/>
      <c r="AM66" s="997" t="s">
        <v>382</v>
      </c>
      <c r="AN66" s="997"/>
      <c r="AO66" s="997"/>
      <c r="AP66" s="997"/>
      <c r="AQ66" s="618"/>
      <c r="AR66" s="618"/>
      <c r="AS66" s="1758"/>
      <c r="AT66" s="1758"/>
      <c r="AU66" s="1758"/>
      <c r="AV66" s="1758"/>
      <c r="AW66" s="1758"/>
      <c r="AX66" s="1758"/>
      <c r="AY66" s="1758"/>
      <c r="AZ66" s="1758"/>
      <c r="BA66" s="1758"/>
      <c r="BB66" s="1758"/>
      <c r="BC66" s="1758"/>
      <c r="BD66" s="1758"/>
      <c r="BE66" s="1758"/>
    </row>
    <row s="538" customFormat="1" customHeight="1" ht="14.25" hidden="1">
      <c r="A67" s="1758"/>
      <c r="B67" s="961" cm="1" t="str">
        <f t="array" ref="B67:B67">B65</f>
        <v>false</v>
      </c>
      <c r="C67" s="1758"/>
      <c r="D67" s="1758"/>
      <c r="E67" s="629">
        <v>15</v>
      </c>
      <c r="F67" s="143" cm="1" t="str">
        <f t="array" ref="F67:F67">OFFSET(E67,-1,1)</f>
        <v>3</v>
      </c>
      <c r="G67" s="143"/>
      <c r="H67" s="122" t="s">
        <v>332</v>
      </c>
      <c r="I67" s="122" t="s">
        <v>375</v>
      </c>
      <c r="J67" s="122" t="str">
        <f>AD67&amp;"::"&amp;AE67</f>
        <v>Водонапорные башни::ед.</v>
      </c>
      <c r="K67" s="1758"/>
      <c r="L67" s="1758"/>
      <c r="M67" s="1758"/>
      <c r="N67" s="1758"/>
      <c r="O67" s="1758"/>
      <c r="P67" s="1758"/>
      <c r="Q67" s="1758"/>
      <c r="R67" s="1758"/>
      <c r="S67" s="1758"/>
      <c r="T67" s="1758"/>
      <c r="U67" s="1758"/>
      <c r="V67" s="465" cm="1" t="str">
        <f t="array" ref="V67:V67">V66</f>
        <v>true</v>
      </c>
      <c r="W67" s="1758"/>
      <c r="X67" s="1758"/>
      <c r="Y67" s="1758"/>
      <c r="Z67" s="1545"/>
      <c r="AA67" s="1546"/>
      <c r="AB67" s="1758"/>
      <c r="AC67" s="184">
        <v>4</v>
      </c>
      <c r="AD67" s="182" t="s">
        <v>383</v>
      </c>
      <c r="AE67" s="123" t="s">
        <v>377</v>
      </c>
      <c r="AF67" s="1938"/>
      <c r="AG67" s="1938"/>
      <c r="AH67" s="1938"/>
      <c r="AI67" s="1938"/>
      <c r="AJ67" s="1939"/>
      <c r="AK67" s="1758"/>
      <c r="AL67" s="1758"/>
      <c r="AM67" s="997" t="s">
        <v>384</v>
      </c>
      <c r="AN67" s="997"/>
      <c r="AO67" s="997"/>
      <c r="AP67" s="997"/>
      <c r="AQ67" s="618"/>
      <c r="AR67" s="618"/>
      <c r="AS67" s="1758"/>
      <c r="AT67" s="1758"/>
      <c r="AU67" s="1758"/>
      <c r="AV67" s="1758"/>
      <c r="AW67" s="1758"/>
      <c r="AX67" s="1758"/>
      <c r="AY67" s="1758"/>
      <c r="AZ67" s="1758"/>
      <c r="BA67" s="1758"/>
      <c r="BB67" s="1758"/>
      <c r="BC67" s="1758"/>
      <c r="BD67" s="1758"/>
      <c r="BE67" s="1758"/>
    </row>
    <row s="538" customFormat="1" customHeight="1" ht="14.25" hidden="1">
      <c r="A68" s="1758"/>
      <c r="B68" s="961">
        <f>T63="Водоснабжение"</f>
        <v>0</v>
      </c>
      <c r="C68" s="1758"/>
      <c r="D68" s="1758"/>
      <c r="E68" s="629">
        <v>15</v>
      </c>
      <c r="F68" s="143" cm="1" t="str">
        <f t="array" ref="F68:F68">OFFSET(E68,-1,1)</f>
        <v>3</v>
      </c>
      <c r="G68" s="143"/>
      <c r="H68" s="122" t="s">
        <v>332</v>
      </c>
      <c r="I68" s="122" t="s">
        <v>375</v>
      </c>
      <c r="J68" s="122" t="str">
        <f>AD68&amp;"::"&amp;AE68</f>
        <v>Водопроводные сети::км</v>
      </c>
      <c r="K68" s="1758"/>
      <c r="L68" s="1758"/>
      <c r="M68" s="1758"/>
      <c r="N68" s="1758"/>
      <c r="O68" s="1758"/>
      <c r="P68" s="122" t="s">
        <v>385</v>
      </c>
      <c r="Q68" s="122" t="s">
        <v>386</v>
      </c>
      <c r="R68" s="1758"/>
      <c r="S68" s="1758"/>
      <c r="T68" s="1758"/>
      <c r="U68" s="1758"/>
      <c r="V68" s="465" cm="1" t="str">
        <f t="array" ref="V68:V68">V67</f>
        <v>true</v>
      </c>
      <c r="W68" s="1758"/>
      <c r="X68" s="1758"/>
      <c r="Y68" s="1758"/>
      <c r="Z68" s="1545"/>
      <c r="AA68" s="1546"/>
      <c r="AB68" s="1758"/>
      <c r="AC68" s="184">
        <f>IF(B65,5,2)</f>
        <v>2</v>
      </c>
      <c r="AD68" s="182" t="s">
        <v>387</v>
      </c>
      <c r="AE68" s="123" t="s">
        <v>388</v>
      </c>
      <c r="AF68" s="1940"/>
      <c r="AG68" s="1940"/>
      <c r="AH68" s="141"/>
      <c r="AI68" s="141"/>
      <c r="AJ68" s="1939"/>
      <c r="AK68" s="1758"/>
      <c r="AL68" s="1758"/>
      <c r="AM68" s="997" t="s">
        <v>389</v>
      </c>
      <c r="AN68" s="997"/>
      <c r="AO68" s="997"/>
      <c r="AP68" s="997"/>
      <c r="AQ68" s="618"/>
      <c r="AR68" s="618"/>
      <c r="AS68" s="1758"/>
      <c r="AT68" s="1758"/>
      <c r="AU68" s="1758"/>
      <c r="AV68" s="1758"/>
      <c r="AW68" s="1758"/>
      <c r="AX68" s="1758"/>
      <c r="AY68" s="1758"/>
      <c r="AZ68" s="1758"/>
      <c r="BA68" s="1758"/>
      <c r="BB68" s="1758"/>
      <c r="BC68" s="1758"/>
      <c r="BD68" s="1758"/>
      <c r="BE68" s="1758"/>
    </row>
    <row s="538" customFormat="1" customHeight="1" ht="14.25">
      <c r="A69" s="1758"/>
      <c r="B69" s="961">
        <f>AND(T63="Водоотведение",method_reg&lt;&gt;"Метод сравнения аналогов")</f>
        <v>1</v>
      </c>
      <c r="C69" s="1758"/>
      <c r="D69" s="1758"/>
      <c r="E69" s="629">
        <v>15</v>
      </c>
      <c r="F69" s="143" cm="1" t="str">
        <f t="array" ref="F69:F69">OFFSET(E69,-1,1)</f>
        <v>3</v>
      </c>
      <c r="G69" s="484"/>
      <c r="H69" s="122" t="s">
        <v>332</v>
      </c>
      <c r="I69" s="122" t="s">
        <v>375</v>
      </c>
      <c r="J69" s="122" t="str">
        <f>AD69&amp;"::"&amp;AE69</f>
        <v>Биологические очистные сооружения::ед.</v>
      </c>
      <c r="K69" s="124"/>
      <c r="L69" s="1758"/>
      <c r="M69" s="1758"/>
      <c r="N69" s="1758"/>
      <c r="O69" s="1758"/>
      <c r="P69" s="1758"/>
      <c r="Q69" s="1758"/>
      <c r="R69" s="1758"/>
      <c r="S69" s="1758"/>
      <c r="T69" s="1758"/>
      <c r="U69" s="1758"/>
      <c r="V69" s="465" cm="1" t="str">
        <f t="array" ref="V69:V69">V68</f>
        <v>true</v>
      </c>
      <c r="W69" s="1758"/>
      <c r="X69" s="1758"/>
      <c r="Y69" s="1758"/>
      <c r="Z69" s="1545"/>
      <c r="AA69" s="1546"/>
      <c r="AB69" s="1758"/>
      <c r="AC69" s="184">
        <v>1</v>
      </c>
      <c r="AD69" s="182" t="s">
        <v>390</v>
      </c>
      <c r="AE69" s="123" t="s">
        <v>377</v>
      </c>
      <c r="AF69" s="188"/>
      <c r="AG69" s="188"/>
      <c r="AH69" s="188">
        <v>2</v>
      </c>
      <c r="AI69" s="188">
        <v>2</v>
      </c>
      <c r="AJ69" s="189"/>
      <c r="AK69" s="1758"/>
      <c r="AL69" s="1758"/>
      <c r="AM69" s="997" t="s">
        <v>391</v>
      </c>
      <c r="AN69" s="997"/>
      <c r="AO69" s="997"/>
      <c r="AP69" s="997"/>
      <c r="AQ69" s="618"/>
      <c r="AR69" s="618"/>
      <c r="AS69" s="1758"/>
      <c r="AT69" s="1758"/>
      <c r="AU69" s="1758"/>
      <c r="AV69" s="1758"/>
      <c r="AW69" s="1758"/>
      <c r="AX69" s="1758"/>
      <c r="AY69" s="1758"/>
      <c r="AZ69" s="1758"/>
      <c r="BA69" s="1758"/>
      <c r="BB69" s="1758"/>
      <c r="BC69" s="1758"/>
      <c r="BD69" s="1758"/>
      <c r="BE69" s="1758"/>
    </row>
    <row s="538" customFormat="1" customHeight="1" ht="14.25">
      <c r="A70" s="1758"/>
      <c r="B70" s="961">
        <f>T63="Водоотведение"</f>
        <v>1</v>
      </c>
      <c r="C70" s="1758"/>
      <c r="D70" s="1758"/>
      <c r="E70" s="629">
        <v>15</v>
      </c>
      <c r="F70" s="143" cm="1" t="str">
        <f t="array" ref="F70:F70">OFFSET(E70,-1,1)</f>
        <v>3</v>
      </c>
      <c r="G70" s="143" t="s">
        <v>50</v>
      </c>
      <c r="H70" s="122" t="s">
        <v>332</v>
      </c>
      <c r="I70" s="122" t="s">
        <v>375</v>
      </c>
      <c r="J70" s="122" t="str">
        <f>AD70&amp;"::"&amp;AE70</f>
        <v>Канализационные насосные станции::ед.</v>
      </c>
      <c r="K70" s="1758"/>
      <c r="L70" s="1758"/>
      <c r="M70" s="1758"/>
      <c r="N70" s="1758"/>
      <c r="O70" s="1758"/>
      <c r="P70" s="1758"/>
      <c r="Q70" s="1758"/>
      <c r="R70" s="1758"/>
      <c r="S70" s="1758"/>
      <c r="T70" s="1758"/>
      <c r="U70" s="1758"/>
      <c r="V70" s="465" cm="1" t="str">
        <f t="array" ref="V70:V70">V69</f>
        <v>true</v>
      </c>
      <c r="W70" s="1758"/>
      <c r="X70" s="1758"/>
      <c r="Y70" s="1758"/>
      <c r="Z70" s="1545"/>
      <c r="AA70" s="1546"/>
      <c r="AB70" s="1758"/>
      <c r="AC70" s="184">
        <f>IF(B69,2,1)</f>
        <v>2</v>
      </c>
      <c r="AD70" s="182" t="s">
        <v>392</v>
      </c>
      <c r="AE70" s="123" t="s">
        <v>377</v>
      </c>
      <c r="AF70" s="188"/>
      <c r="AG70" s="188"/>
      <c r="AH70" s="188">
        <v>3</v>
      </c>
      <c r="AI70" s="188">
        <v>3</v>
      </c>
      <c r="AJ70" s="189"/>
      <c r="AK70" s="1758"/>
      <c r="AL70" s="1758"/>
      <c r="AM70" s="997" t="s">
        <v>393</v>
      </c>
      <c r="AN70" s="997"/>
      <c r="AO70" s="997"/>
      <c r="AP70" s="997"/>
      <c r="AQ70" s="618"/>
      <c r="AR70" s="618"/>
      <c r="AS70" s="1758"/>
      <c r="AT70" s="1758"/>
      <c r="AU70" s="1758"/>
      <c r="AV70" s="1758"/>
      <c r="AW70" s="1758"/>
      <c r="AX70" s="1758"/>
      <c r="AY70" s="1758"/>
      <c r="AZ70" s="1758"/>
      <c r="BA70" s="1758"/>
      <c r="BB70" s="1758"/>
      <c r="BC70" s="1758"/>
      <c r="BD70" s="1758"/>
      <c r="BE70" s="1758"/>
    </row>
    <row s="538" customFormat="1" customHeight="1" ht="14.25">
      <c r="A71" s="1758"/>
      <c r="B71" s="961" cm="1" t="str">
        <f t="array" ref="B71:B71">B70</f>
        <v>true</v>
      </c>
      <c r="C71" s="1758"/>
      <c r="D71" s="1758"/>
      <c r="E71" s="629">
        <v>15</v>
      </c>
      <c r="F71" s="143" cm="1" t="str">
        <f t="array" ref="F71:F71">OFFSET(E71,-1,1)</f>
        <v>3</v>
      </c>
      <c r="G71" s="143"/>
      <c r="H71" s="122" t="s">
        <v>332</v>
      </c>
      <c r="I71" s="122" t="s">
        <v>375</v>
      </c>
      <c r="J71" s="122" t="str">
        <f>AD71&amp;"::"&amp;AE71</f>
        <v>Канализационные сети::км</v>
      </c>
      <c r="K71" s="1758"/>
      <c r="L71" s="122" t="s">
        <v>50</v>
      </c>
      <c r="M71" s="1758"/>
      <c r="N71" s="1758"/>
      <c r="O71" s="1758"/>
      <c r="P71" s="122" t="s">
        <v>385</v>
      </c>
      <c r="Q71" s="122" t="s">
        <v>386</v>
      </c>
      <c r="R71" s="1758"/>
      <c r="S71" s="1758"/>
      <c r="T71" s="1758"/>
      <c r="U71" s="1758"/>
      <c r="V71" s="465" cm="1" t="str">
        <f t="array" ref="V71:V71">V70</f>
        <v>true</v>
      </c>
      <c r="W71" s="1758"/>
      <c r="X71" s="1758"/>
      <c r="Y71" s="1758"/>
      <c r="Z71" s="1545"/>
      <c r="AA71" s="1546"/>
      <c r="AB71" s="1758"/>
      <c r="AC71" s="184">
        <f>AC70+1</f>
        <v>3</v>
      </c>
      <c r="AD71" s="182" t="s">
        <v>394</v>
      </c>
      <c r="AE71" s="123" t="s">
        <v>388</v>
      </c>
      <c r="AF71" s="141"/>
      <c r="AG71" s="141"/>
      <c r="AH71" s="141">
        <v>75.6</v>
      </c>
      <c r="AI71" s="141">
        <v>75.6</v>
      </c>
      <c r="AJ71" s="189"/>
      <c r="AK71" s="1758"/>
      <c r="AL71" s="1758"/>
      <c r="AM71" s="997" t="s">
        <v>395</v>
      </c>
      <c r="AN71" s="997"/>
      <c r="AO71" s="997"/>
      <c r="AP71" s="997"/>
      <c r="AQ71" s="618"/>
      <c r="AR71" s="618"/>
      <c r="AS71" s="1758"/>
      <c r="AT71" s="1758"/>
      <c r="AU71" s="1758"/>
      <c r="AV71" s="1758"/>
      <c r="AW71" s="1758"/>
      <c r="AX71" s="1758"/>
      <c r="AY71" s="1758"/>
      <c r="AZ71" s="1758"/>
      <c r="BA71" s="1758"/>
      <c r="BB71" s="1758"/>
      <c r="BC71" s="1758"/>
      <c r="BD71" s="1758"/>
      <c r="BE71" s="1758"/>
    </row>
    <row s="1021" customFormat="1" customHeight="1" ht="14.25" hidden="1">
      <c r="A72" s="1021"/>
      <c r="B72" s="428"/>
      <c r="C72" s="1021"/>
      <c r="D72" s="1021"/>
      <c r="E72" s="637">
        <v>15</v>
      </c>
      <c r="F72" s="143" cm="1" t="str">
        <f t="array" ref="F72:F72">OFFSET(E72,-1,1)</f>
        <v>3</v>
      </c>
      <c r="G72" s="143"/>
      <c r="H72" s="124" t="s">
        <v>332</v>
      </c>
      <c r="I72" s="124" t="s">
        <v>375</v>
      </c>
      <c r="J72" s="124" t="str">
        <f>AD72&amp;"::"&amp;AE72</f>
        <v>::</v>
      </c>
      <c r="K72" s="1021"/>
      <c r="L72" s="1021"/>
      <c r="M72" s="1021"/>
      <c r="N72" s="1021"/>
      <c r="O72" s="1021"/>
      <c r="P72" s="1021"/>
      <c r="Q72" s="1021"/>
      <c r="R72" s="1021"/>
      <c r="S72" s="1021"/>
      <c r="T72" s="1021"/>
      <c r="U72" s="122">
        <v>0</v>
      </c>
      <c r="V72" s="465">
        <f>AND(F72&gt;0,U72&gt;0)</f>
        <v>0</v>
      </c>
      <c r="W72" s="1021"/>
      <c r="X72" s="1021"/>
      <c r="Y72" s="757" t="s">
        <v>174</v>
      </c>
      <c r="Z72" s="1545"/>
      <c r="AA72" s="1546"/>
      <c r="AB72" s="420" t="s">
        <v>175</v>
      </c>
      <c r="AC72" s="184">
        <f>IF(OFFSET(C72,-8-U72,-1),5,IF(OFFSET(C72,-3-U72,-1),3,2))+U72</f>
        <v>3</v>
      </c>
      <c r="AD72" s="1944"/>
      <c r="AE72" s="1945"/>
      <c r="AF72" s="1946"/>
      <c r="AG72" s="1946"/>
      <c r="AH72" s="1946"/>
      <c r="AI72" s="1946"/>
      <c r="AJ72" s="1947"/>
      <c r="AK72" s="1021"/>
      <c r="AL72" s="1021"/>
      <c r="AM72" s="1005" t="s">
        <v>396</v>
      </c>
      <c r="AN72" s="1005" t="s">
        <v>397</v>
      </c>
      <c r="AO72" s="1008" cm="1" t="str">
        <f t="array" ref="AO72:AO72">AD72</f>
        <v>0</v>
      </c>
      <c r="AP72" s="1008" cm="1" t="str">
        <f t="array" ref="AP72:AP72">AE72</f>
        <v>0</v>
      </c>
      <c r="AQ72" s="692"/>
      <c r="AR72" s="692" t="b">
        <v>1</v>
      </c>
      <c r="AS72" s="1021"/>
      <c r="AT72" s="1021"/>
      <c r="AU72" s="1021"/>
      <c r="AV72" s="1021"/>
      <c r="AW72" s="1021"/>
      <c r="AX72" s="1021"/>
      <c r="AY72" s="1021"/>
      <c r="AZ72" s="1021"/>
      <c r="BA72" s="1021"/>
      <c r="BB72" s="1021"/>
      <c r="BC72" s="1021"/>
      <c r="BD72" s="1021"/>
      <c r="BE72" s="1021"/>
    </row>
    <row s="538" customFormat="1" customHeight="1" ht="14.25">
      <c r="A73" s="1758"/>
      <c r="B73" s="428"/>
      <c r="C73" s="1758"/>
      <c r="D73" s="1758"/>
      <c r="E73" s="629">
        <v>15</v>
      </c>
      <c r="F73" s="143" cm="1" t="str">
        <f t="array" ref="F73:F73">OFFSET(E73,-1,1)</f>
        <v>3</v>
      </c>
      <c r="G73" s="143"/>
      <c r="H73" s="1758"/>
      <c r="I73" s="1758"/>
      <c r="J73" s="121" t="s">
        <v>398</v>
      </c>
      <c r="K73" s="1758"/>
      <c r="L73" s="1758"/>
      <c r="M73" s="1758"/>
      <c r="N73" s="1758"/>
      <c r="O73" s="1758"/>
      <c r="P73" s="1758"/>
      <c r="Q73" s="1758"/>
      <c r="R73" s="1758"/>
      <c r="S73" s="1758"/>
      <c r="T73" s="1758"/>
      <c r="U73" s="1758"/>
      <c r="V73" s="465" cm="1" t="str">
        <f t="array" ref="V73:V73">V71</f>
        <v>true</v>
      </c>
      <c r="W73" s="1758"/>
      <c r="X73" s="1758"/>
      <c r="Y73" s="757" t="s">
        <v>399</v>
      </c>
      <c r="Z73" s="1545"/>
      <c r="AA73" s="1546"/>
      <c r="AB73" s="1758"/>
      <c r="AC73" s="175"/>
      <c r="AD73" s="308" t="s">
        <v>178</v>
      </c>
      <c r="AE73" s="176"/>
      <c r="AF73" s="176"/>
      <c r="AG73" s="176"/>
      <c r="AH73" s="176"/>
      <c r="AI73" s="176"/>
      <c r="AJ73" s="187"/>
      <c r="AK73" s="1758"/>
      <c r="AL73" s="1758"/>
      <c r="AM73" s="997"/>
      <c r="AN73" s="997"/>
      <c r="AO73" s="997"/>
      <c r="AP73" s="997"/>
      <c r="AQ73" s="618" t="s">
        <v>397</v>
      </c>
      <c r="AR73" s="618"/>
      <c r="AS73" s="1758"/>
      <c r="AT73" s="1758"/>
      <c r="AU73" s="1758"/>
      <c r="AV73" s="1758"/>
      <c r="AW73" s="1758"/>
      <c r="AX73" s="1758"/>
      <c r="AY73" s="1758"/>
      <c r="AZ73" s="1758"/>
      <c r="BA73" s="1758"/>
      <c r="BB73" s="1758"/>
      <c r="BC73" s="1758"/>
      <c r="BD73" s="1758"/>
      <c r="BE73" s="1758"/>
    </row>
    <row s="538" customFormat="1" customHeight="1" ht="290.859375">
      <c r="A74" s="1758"/>
      <c r="B74" s="428"/>
      <c r="C74" s="1758"/>
      <c r="D74" s="1758"/>
      <c r="E74" s="629">
        <v>15</v>
      </c>
      <c r="F74" s="143" cm="1" t="str">
        <f t="array" ref="F74:F74">OFFSET(E74,-1,1)</f>
        <v>3</v>
      </c>
      <c r="G74" s="143"/>
      <c r="H74" s="122" t="s">
        <v>333</v>
      </c>
      <c r="I74" s="122" t="s">
        <v>375</v>
      </c>
      <c r="J74" s="369" cm="1" t="str">
        <f t="array" ref="J74:J74">AD74</f>
        <v>Краткое описание технологического процесса</v>
      </c>
      <c r="K74" s="1758"/>
      <c r="L74" s="1758"/>
      <c r="M74" s="1758"/>
      <c r="N74" s="1758"/>
      <c r="O74" s="1758"/>
      <c r="P74" s="1758"/>
      <c r="Q74" s="1758"/>
      <c r="R74" s="1758"/>
      <c r="S74" s="1758"/>
      <c r="T74" s="1758"/>
      <c r="U74" s="1758"/>
      <c r="V74" s="465" cm="1" t="str">
        <f t="array" ref="V74:V74">V73</f>
        <v>true</v>
      </c>
      <c r="W74" s="1758"/>
      <c r="X74" s="1758"/>
      <c r="Y74" s="1758"/>
      <c r="Z74" s="1545"/>
      <c r="AA74" s="1546"/>
      <c r="AB74" s="1758"/>
      <c r="AC74" s="184"/>
      <c r="AD74" s="182" t="s">
        <v>400</v>
      </c>
      <c r="AE74" s="123"/>
      <c r="AF74" s="1547" t="s">
        <v>404</v>
      </c>
      <c r="AG74" s="1956"/>
      <c r="AH74" s="1956"/>
      <c r="AI74" s="1956"/>
      <c r="AJ74" s="1957"/>
      <c r="AK74" s="1758"/>
      <c r="AL74" s="1758"/>
      <c r="AM74" s="997" t="s">
        <v>401</v>
      </c>
      <c r="AN74" s="997"/>
      <c r="AO74" s="997"/>
      <c r="AP74" s="997"/>
      <c r="AQ74" s="618"/>
      <c r="AR74" s="618"/>
      <c r="AS74" s="1758"/>
      <c r="AT74" s="1758"/>
      <c r="AU74" s="1758"/>
      <c r="AV74" s="1758"/>
      <c r="AW74" s="1758"/>
      <c r="AX74" s="1758"/>
      <c r="AY74" s="1758"/>
      <c r="AZ74" s="1758"/>
      <c r="BA74" s="1758"/>
      <c r="BB74" s="1758"/>
      <c r="BC74" s="1758"/>
      <c r="BD74" s="1758"/>
      <c r="BE74" s="1758"/>
    </row>
    <row s="538" customFormat="1" customHeight="1" ht="14.25">
      <c r="A75" s="1758"/>
      <c r="B75" s="428"/>
      <c r="C75" s="1758"/>
      <c r="D75" s="1758"/>
      <c r="E75" s="629">
        <v>15</v>
      </c>
      <c r="F75" s="122" cm="1" t="str">
        <f t="array" ref="F75:F75">Z75</f>
        <v>4</v>
      </c>
      <c r="G75" s="1758"/>
      <c r="H75" s="1758"/>
      <c r="I75" s="1758"/>
      <c r="J75" s="1758"/>
      <c r="K75" s="1758"/>
      <c r="L75" s="1758"/>
      <c r="M75" s="1758"/>
      <c r="N75" s="1758"/>
      <c r="O75" s="1758"/>
      <c r="P75" s="1758"/>
      <c r="Q75" s="1758"/>
      <c r="R75" s="1758"/>
      <c r="S75" s="1758"/>
      <c r="T75" s="1080" cm="1" t="str">
        <f t="array" ref="T75:T75">INDEX('Общие сведения'!$AE$179:$AE$250,MATCH($Z75,'Общие сведения'!$Z$179:$Z$250,0))</f>
        <v>Водоотведение</v>
      </c>
      <c r="U75" s="1758"/>
      <c r="V75" s="465">
        <f>Z75&gt;0</f>
        <v>1</v>
      </c>
      <c r="W75" s="1758"/>
      <c r="X75" s="122" cm="1" t="str">
        <f t="array" ref="X75:X75">'Список территорий'!$AB$41</f>
        <v>Тариф 4 (Водоотведение) - тариф на водоотведение (Доп. признак не требуется)</v>
      </c>
      <c r="Y75" s="1758"/>
      <c r="Z75" s="1545" t="s">
        <v>295</v>
      </c>
      <c r="AA75" s="1546"/>
      <c r="AB75" s="1758"/>
      <c r="AC75" s="180" cm="1" t="str">
        <f t="array" ref="AC75:AC75">'Список территорий'!$AB$41</f>
        <v>Тариф 4 (Водоотведение) - тариф на водоотведение (Доп. признак не требуется)</v>
      </c>
      <c r="AD75" s="180"/>
      <c r="AE75" s="174"/>
      <c r="AF75" s="174"/>
      <c r="AG75" s="174"/>
      <c r="AH75" s="174"/>
      <c r="AI75" s="174"/>
      <c r="AJ75" s="174"/>
      <c r="AK75" s="1758"/>
      <c r="AL75" s="1758"/>
      <c r="AM75" s="997"/>
      <c r="AN75" s="997"/>
      <c r="AO75" s="997"/>
      <c r="AP75" s="997"/>
      <c r="AQ75" s="618"/>
      <c r="AR75" s="618"/>
      <c r="AS75" s="1758"/>
      <c r="AT75" s="1758"/>
      <c r="AU75" s="1758"/>
      <c r="AV75" s="1758"/>
      <c r="AW75" s="1758"/>
      <c r="AX75" s="1758"/>
      <c r="AY75" s="1758"/>
      <c r="AZ75" s="1758"/>
      <c r="BA75" s="1758"/>
      <c r="BB75" s="1758"/>
      <c r="BC75" s="1758"/>
      <c r="BD75" s="1758"/>
      <c r="BE75" s="1758"/>
    </row>
    <row s="538" customFormat="1" customHeight="1" ht="14.25" hidden="1">
      <c r="A76" s="1758"/>
      <c r="B76" s="961">
        <f>AND(T75="Водоснабжение",method_reg&lt;&gt;"Метод сравнения аналогов")</f>
        <v>0</v>
      </c>
      <c r="C76" s="1758"/>
      <c r="D76" s="1758"/>
      <c r="E76" s="629">
        <v>15</v>
      </c>
      <c r="F76" s="143" cm="1" t="str">
        <f t="array" ref="F76:F76">OFFSET(E76,-1,1)</f>
        <v>4</v>
      </c>
      <c r="G76" s="484"/>
      <c r="H76" s="122" t="s">
        <v>332</v>
      </c>
      <c r="I76" s="122" t="s">
        <v>375</v>
      </c>
      <c r="J76" s="122" t="str">
        <f>AD76&amp;"::"&amp;AE76</f>
        <v>Водонасосные станции (водозаборные узлы)::ед.</v>
      </c>
      <c r="K76" s="124"/>
      <c r="L76" s="1758"/>
      <c r="M76" s="1758"/>
      <c r="N76" s="1758"/>
      <c r="O76" s="1758"/>
      <c r="P76" s="1758"/>
      <c r="Q76" s="1758"/>
      <c r="R76" s="1758"/>
      <c r="S76" s="1758"/>
      <c r="T76" s="1758"/>
      <c r="U76" s="1758"/>
      <c r="V76" s="465" cm="1" t="str">
        <f t="array" ref="V76:V76">V75</f>
        <v>true</v>
      </c>
      <c r="W76" s="1758"/>
      <c r="X76" s="1758"/>
      <c r="Y76" s="1758"/>
      <c r="Z76" s="1545"/>
      <c r="AA76" s="1546"/>
      <c r="AB76" s="1758"/>
      <c r="AC76" s="184">
        <v>1</v>
      </c>
      <c r="AD76" s="182" t="s">
        <v>376</v>
      </c>
      <c r="AE76" s="123" t="s">
        <v>377</v>
      </c>
      <c r="AF76" s="1938"/>
      <c r="AG76" s="1938"/>
      <c r="AH76" s="1938"/>
      <c r="AI76" s="1938"/>
      <c r="AJ76" s="1939"/>
      <c r="AK76" s="1758"/>
      <c r="AL76" s="1758"/>
      <c r="AM76" s="997" t="s">
        <v>378</v>
      </c>
      <c r="AN76" s="997"/>
      <c r="AO76" s="997"/>
      <c r="AP76" s="997"/>
      <c r="AQ76" s="618"/>
      <c r="AR76" s="618"/>
      <c r="AS76" s="1758"/>
      <c r="AT76" s="1758"/>
      <c r="AU76" s="1758"/>
      <c r="AV76" s="1758"/>
      <c r="AW76" s="1758"/>
      <c r="AX76" s="1758"/>
      <c r="AY76" s="1758"/>
      <c r="AZ76" s="1758"/>
      <c r="BA76" s="1758"/>
      <c r="BB76" s="1758"/>
      <c r="BC76" s="1758"/>
      <c r="BD76" s="1758"/>
      <c r="BE76" s="1758"/>
    </row>
    <row s="538" customFormat="1" customHeight="1" ht="14.25" hidden="1">
      <c r="A77" s="1758"/>
      <c r="B77" s="961" cm="1" t="str">
        <f t="array" ref="B77:B77">B76</f>
        <v>false</v>
      </c>
      <c r="C77" s="1758"/>
      <c r="D77" s="1758"/>
      <c r="E77" s="629">
        <v>15</v>
      </c>
      <c r="F77" s="143" cm="1" t="str">
        <f t="array" ref="F77:F77">OFFSET(E77,-1,1)</f>
        <v>4</v>
      </c>
      <c r="G77" s="143"/>
      <c r="H77" s="122" t="s">
        <v>332</v>
      </c>
      <c r="I77" s="122" t="s">
        <v>375</v>
      </c>
      <c r="J77" s="122" t="str">
        <f>AD77&amp;"::"&amp;AE77</f>
        <v>Скважины::ед.</v>
      </c>
      <c r="K77" s="1758"/>
      <c r="L77" s="1758"/>
      <c r="M77" s="1758"/>
      <c r="N77" s="1758"/>
      <c r="O77" s="1758"/>
      <c r="P77" s="1758"/>
      <c r="Q77" s="1758"/>
      <c r="R77" s="1758"/>
      <c r="S77" s="1758"/>
      <c r="T77" s="1758"/>
      <c r="U77" s="1758"/>
      <c r="V77" s="465" cm="1" t="str">
        <f t="array" ref="V77:V77">V76</f>
        <v>true</v>
      </c>
      <c r="W77" s="1758"/>
      <c r="X77" s="1758"/>
      <c r="Y77" s="1758"/>
      <c r="Z77" s="1545"/>
      <c r="AA77" s="1546"/>
      <c r="AB77" s="1758"/>
      <c r="AC77" s="184">
        <v>2</v>
      </c>
      <c r="AD77" s="182" t="s">
        <v>379</v>
      </c>
      <c r="AE77" s="123" t="s">
        <v>377</v>
      </c>
      <c r="AF77" s="1938"/>
      <c r="AG77" s="1938"/>
      <c r="AH77" s="1938"/>
      <c r="AI77" s="1938"/>
      <c r="AJ77" s="1939"/>
      <c r="AK77" s="1758"/>
      <c r="AL77" s="1758"/>
      <c r="AM77" s="997" t="s">
        <v>380</v>
      </c>
      <c r="AN77" s="997"/>
      <c r="AO77" s="997"/>
      <c r="AP77" s="997"/>
      <c r="AQ77" s="618"/>
      <c r="AR77" s="618"/>
      <c r="AS77" s="1758"/>
      <c r="AT77" s="1758"/>
      <c r="AU77" s="1758"/>
      <c r="AV77" s="1758"/>
      <c r="AW77" s="1758"/>
      <c r="AX77" s="1758"/>
      <c r="AY77" s="1758"/>
      <c r="AZ77" s="1758"/>
      <c r="BA77" s="1758"/>
      <c r="BB77" s="1758"/>
      <c r="BC77" s="1758"/>
      <c r="BD77" s="1758"/>
      <c r="BE77" s="1758"/>
    </row>
    <row s="538" customFormat="1" customHeight="1" ht="14.25" hidden="1">
      <c r="A78" s="1758"/>
      <c r="B78" s="961">
        <f>T75="Водоснабжение"</f>
        <v>0</v>
      </c>
      <c r="C78" s="1758"/>
      <c r="D78" s="1758"/>
      <c r="E78" s="629">
        <v>15</v>
      </c>
      <c r="F78" s="143" cm="1" t="str">
        <f t="array" ref="F78:F78">OFFSET(E78,-1,1)</f>
        <v>4</v>
      </c>
      <c r="G78" s="143" t="s">
        <v>50</v>
      </c>
      <c r="H78" s="122" t="s">
        <v>332</v>
      </c>
      <c r="I78" s="122" t="s">
        <v>375</v>
      </c>
      <c r="J78" s="122" t="str">
        <f>AD78&amp;"::"&amp;AE78</f>
        <v>Подкачивающие насосные станции::ед.</v>
      </c>
      <c r="K78" s="1758"/>
      <c r="L78" s="122" t="s">
        <v>50</v>
      </c>
      <c r="M78" s="1758"/>
      <c r="N78" s="1758"/>
      <c r="O78" s="1758"/>
      <c r="P78" s="1758"/>
      <c r="Q78" s="1758"/>
      <c r="R78" s="1758"/>
      <c r="S78" s="1758"/>
      <c r="T78" s="1758"/>
      <c r="U78" s="1758"/>
      <c r="V78" s="465" cm="1" t="str">
        <f t="array" ref="V78:V78">V77</f>
        <v>true</v>
      </c>
      <c r="W78" s="1758"/>
      <c r="X78" s="1758"/>
      <c r="Y78" s="1758"/>
      <c r="Z78" s="1545"/>
      <c r="AA78" s="1546"/>
      <c r="AB78" s="1758"/>
      <c r="AC78" s="184">
        <f>IF(B77,3,1)</f>
        <v>1</v>
      </c>
      <c r="AD78" s="182" t="s">
        <v>381</v>
      </c>
      <c r="AE78" s="123" t="s">
        <v>377</v>
      </c>
      <c r="AF78" s="1938"/>
      <c r="AG78" s="1938"/>
      <c r="AH78" s="1938"/>
      <c r="AI78" s="1938"/>
      <c r="AJ78" s="1939"/>
      <c r="AK78" s="1758"/>
      <c r="AL78" s="1758"/>
      <c r="AM78" s="997" t="s">
        <v>382</v>
      </c>
      <c r="AN78" s="997"/>
      <c r="AO78" s="997"/>
      <c r="AP78" s="997"/>
      <c r="AQ78" s="618"/>
      <c r="AR78" s="618"/>
      <c r="AS78" s="1758"/>
      <c r="AT78" s="1758"/>
      <c r="AU78" s="1758"/>
      <c r="AV78" s="1758"/>
      <c r="AW78" s="1758"/>
      <c r="AX78" s="1758"/>
      <c r="AY78" s="1758"/>
      <c r="AZ78" s="1758"/>
      <c r="BA78" s="1758"/>
      <c r="BB78" s="1758"/>
      <c r="BC78" s="1758"/>
      <c r="BD78" s="1758"/>
      <c r="BE78" s="1758"/>
    </row>
    <row s="538" customFormat="1" customHeight="1" ht="14.25" hidden="1">
      <c r="A79" s="1758"/>
      <c r="B79" s="961" cm="1" t="str">
        <f t="array" ref="B79:B79">B77</f>
        <v>false</v>
      </c>
      <c r="C79" s="1758"/>
      <c r="D79" s="1758"/>
      <c r="E79" s="629">
        <v>15</v>
      </c>
      <c r="F79" s="143" cm="1" t="str">
        <f t="array" ref="F79:F79">OFFSET(E79,-1,1)</f>
        <v>4</v>
      </c>
      <c r="G79" s="143"/>
      <c r="H79" s="122" t="s">
        <v>332</v>
      </c>
      <c r="I79" s="122" t="s">
        <v>375</v>
      </c>
      <c r="J79" s="122" t="str">
        <f>AD79&amp;"::"&amp;AE79</f>
        <v>Водонапорные башни::ед.</v>
      </c>
      <c r="K79" s="1758"/>
      <c r="L79" s="1758"/>
      <c r="M79" s="1758"/>
      <c r="N79" s="1758"/>
      <c r="O79" s="1758"/>
      <c r="P79" s="1758"/>
      <c r="Q79" s="1758"/>
      <c r="R79" s="1758"/>
      <c r="S79" s="1758"/>
      <c r="T79" s="1758"/>
      <c r="U79" s="1758"/>
      <c r="V79" s="465" cm="1" t="str">
        <f t="array" ref="V79:V79">V78</f>
        <v>true</v>
      </c>
      <c r="W79" s="1758"/>
      <c r="X79" s="1758"/>
      <c r="Y79" s="1758"/>
      <c r="Z79" s="1545"/>
      <c r="AA79" s="1546"/>
      <c r="AB79" s="1758"/>
      <c r="AC79" s="184">
        <v>4</v>
      </c>
      <c r="AD79" s="182" t="s">
        <v>383</v>
      </c>
      <c r="AE79" s="123" t="s">
        <v>377</v>
      </c>
      <c r="AF79" s="1938"/>
      <c r="AG79" s="1938"/>
      <c r="AH79" s="1938"/>
      <c r="AI79" s="1938"/>
      <c r="AJ79" s="1939"/>
      <c r="AK79" s="1758"/>
      <c r="AL79" s="1758"/>
      <c r="AM79" s="997" t="s">
        <v>384</v>
      </c>
      <c r="AN79" s="997"/>
      <c r="AO79" s="997"/>
      <c r="AP79" s="997"/>
      <c r="AQ79" s="618"/>
      <c r="AR79" s="618"/>
      <c r="AS79" s="1758"/>
      <c r="AT79" s="1758"/>
      <c r="AU79" s="1758"/>
      <c r="AV79" s="1758"/>
      <c r="AW79" s="1758"/>
      <c r="AX79" s="1758"/>
      <c r="AY79" s="1758"/>
      <c r="AZ79" s="1758"/>
      <c r="BA79" s="1758"/>
      <c r="BB79" s="1758"/>
      <c r="BC79" s="1758"/>
      <c r="BD79" s="1758"/>
      <c r="BE79" s="1758"/>
    </row>
    <row s="538" customFormat="1" customHeight="1" ht="14.25" hidden="1">
      <c r="A80" s="1758"/>
      <c r="B80" s="961">
        <f>T75="Водоснабжение"</f>
        <v>0</v>
      </c>
      <c r="C80" s="1758"/>
      <c r="D80" s="1758"/>
      <c r="E80" s="629">
        <v>15</v>
      </c>
      <c r="F80" s="143" cm="1" t="str">
        <f t="array" ref="F80:F80">OFFSET(E80,-1,1)</f>
        <v>4</v>
      </c>
      <c r="G80" s="143"/>
      <c r="H80" s="122" t="s">
        <v>332</v>
      </c>
      <c r="I80" s="122" t="s">
        <v>375</v>
      </c>
      <c r="J80" s="122" t="str">
        <f>AD80&amp;"::"&amp;AE80</f>
        <v>Водопроводные сети::км</v>
      </c>
      <c r="K80" s="1758"/>
      <c r="L80" s="1758"/>
      <c r="M80" s="1758"/>
      <c r="N80" s="1758"/>
      <c r="O80" s="1758"/>
      <c r="P80" s="122" t="s">
        <v>385</v>
      </c>
      <c r="Q80" s="122" t="s">
        <v>386</v>
      </c>
      <c r="R80" s="1758"/>
      <c r="S80" s="1758"/>
      <c r="T80" s="1758"/>
      <c r="U80" s="1758"/>
      <c r="V80" s="465" cm="1" t="str">
        <f t="array" ref="V80:V80">V79</f>
        <v>true</v>
      </c>
      <c r="W80" s="1758"/>
      <c r="X80" s="1758"/>
      <c r="Y80" s="1758"/>
      <c r="Z80" s="1545"/>
      <c r="AA80" s="1546"/>
      <c r="AB80" s="1758"/>
      <c r="AC80" s="184">
        <f>IF(B77,5,2)</f>
        <v>2</v>
      </c>
      <c r="AD80" s="182" t="s">
        <v>387</v>
      </c>
      <c r="AE80" s="123" t="s">
        <v>388</v>
      </c>
      <c r="AF80" s="1940"/>
      <c r="AG80" s="1940"/>
      <c r="AH80" s="141"/>
      <c r="AI80" s="141"/>
      <c r="AJ80" s="1939"/>
      <c r="AK80" s="1758"/>
      <c r="AL80" s="1758"/>
      <c r="AM80" s="997" t="s">
        <v>389</v>
      </c>
      <c r="AN80" s="997"/>
      <c r="AO80" s="997"/>
      <c r="AP80" s="997"/>
      <c r="AQ80" s="618"/>
      <c r="AR80" s="618"/>
      <c r="AS80" s="1758"/>
      <c r="AT80" s="1758"/>
      <c r="AU80" s="1758"/>
      <c r="AV80" s="1758"/>
      <c r="AW80" s="1758"/>
      <c r="AX80" s="1758"/>
      <c r="AY80" s="1758"/>
      <c r="AZ80" s="1758"/>
      <c r="BA80" s="1758"/>
      <c r="BB80" s="1758"/>
      <c r="BC80" s="1758"/>
      <c r="BD80" s="1758"/>
      <c r="BE80" s="1758"/>
    </row>
    <row s="538" customFormat="1" customHeight="1" ht="14.25">
      <c r="A81" s="1758"/>
      <c r="B81" s="961">
        <f>AND(T75="Водоотведение",method_reg&lt;&gt;"Метод сравнения аналогов")</f>
        <v>1</v>
      </c>
      <c r="C81" s="1758"/>
      <c r="D81" s="1758"/>
      <c r="E81" s="629">
        <v>15</v>
      </c>
      <c r="F81" s="143" cm="1" t="str">
        <f t="array" ref="F81:F81">OFFSET(E81,-1,1)</f>
        <v>4</v>
      </c>
      <c r="G81" s="484"/>
      <c r="H81" s="122" t="s">
        <v>332</v>
      </c>
      <c r="I81" s="122" t="s">
        <v>375</v>
      </c>
      <c r="J81" s="122" t="str">
        <f>AD81&amp;"::"&amp;AE81</f>
        <v>Биологические очистные сооружения::ед.</v>
      </c>
      <c r="K81" s="124"/>
      <c r="L81" s="1758"/>
      <c r="M81" s="1758"/>
      <c r="N81" s="1758"/>
      <c r="O81" s="1758"/>
      <c r="P81" s="1758"/>
      <c r="Q81" s="1758"/>
      <c r="R81" s="1758"/>
      <c r="S81" s="1758"/>
      <c r="T81" s="1758"/>
      <c r="U81" s="1758"/>
      <c r="V81" s="465" cm="1" t="str">
        <f t="array" ref="V81:V81">V80</f>
        <v>true</v>
      </c>
      <c r="W81" s="1758"/>
      <c r="X81" s="1758"/>
      <c r="Y81" s="1758"/>
      <c r="Z81" s="1545"/>
      <c r="AA81" s="1546"/>
      <c r="AB81" s="1758"/>
      <c r="AC81" s="184">
        <v>1</v>
      </c>
      <c r="AD81" s="182" t="s">
        <v>390</v>
      </c>
      <c r="AE81" s="123" t="s">
        <v>377</v>
      </c>
      <c r="AF81" s="188"/>
      <c r="AG81" s="188"/>
      <c r="AH81" s="188">
        <v>3</v>
      </c>
      <c r="AI81" s="188">
        <v>3</v>
      </c>
      <c r="AJ81" s="189"/>
      <c r="AK81" s="1758"/>
      <c r="AL81" s="1758"/>
      <c r="AM81" s="997" t="s">
        <v>391</v>
      </c>
      <c r="AN81" s="997"/>
      <c r="AO81" s="997"/>
      <c r="AP81" s="997"/>
      <c r="AQ81" s="618"/>
      <c r="AR81" s="618"/>
      <c r="AS81" s="1758"/>
      <c r="AT81" s="1758"/>
      <c r="AU81" s="1758"/>
      <c r="AV81" s="1758"/>
      <c r="AW81" s="1758"/>
      <c r="AX81" s="1758"/>
      <c r="AY81" s="1758"/>
      <c r="AZ81" s="1758"/>
      <c r="BA81" s="1758"/>
      <c r="BB81" s="1758"/>
      <c r="BC81" s="1758"/>
      <c r="BD81" s="1758"/>
      <c r="BE81" s="1758"/>
    </row>
    <row s="538" customFormat="1" customHeight="1" ht="14.25">
      <c r="A82" s="1758"/>
      <c r="B82" s="961">
        <f>T75="Водоотведение"</f>
        <v>1</v>
      </c>
      <c r="C82" s="1758"/>
      <c r="D82" s="1758"/>
      <c r="E82" s="629">
        <v>15</v>
      </c>
      <c r="F82" s="143" cm="1" t="str">
        <f t="array" ref="F82:F82">OFFSET(E82,-1,1)</f>
        <v>4</v>
      </c>
      <c r="G82" s="143" t="s">
        <v>50</v>
      </c>
      <c r="H82" s="122" t="s">
        <v>332</v>
      </c>
      <c r="I82" s="122" t="s">
        <v>375</v>
      </c>
      <c r="J82" s="122" t="str">
        <f>AD82&amp;"::"&amp;AE82</f>
        <v>Канализационные насосные станции::ед.</v>
      </c>
      <c r="K82" s="1758"/>
      <c r="L82" s="1758"/>
      <c r="M82" s="1758"/>
      <c r="N82" s="1758"/>
      <c r="O82" s="1758"/>
      <c r="P82" s="1758"/>
      <c r="Q82" s="1758"/>
      <c r="R82" s="1758"/>
      <c r="S82" s="1758"/>
      <c r="T82" s="1758"/>
      <c r="U82" s="1758"/>
      <c r="V82" s="465" cm="1" t="str">
        <f t="array" ref="V82:V82">V81</f>
        <v>true</v>
      </c>
      <c r="W82" s="1758"/>
      <c r="X82" s="1758"/>
      <c r="Y82" s="1758"/>
      <c r="Z82" s="1545"/>
      <c r="AA82" s="1546"/>
      <c r="AB82" s="1758"/>
      <c r="AC82" s="184">
        <f>IF(B81,2,1)</f>
        <v>2</v>
      </c>
      <c r="AD82" s="182" t="s">
        <v>392</v>
      </c>
      <c r="AE82" s="123" t="s">
        <v>377</v>
      </c>
      <c r="AF82" s="188"/>
      <c r="AG82" s="188"/>
      <c r="AH82" s="188">
        <v>4</v>
      </c>
      <c r="AI82" s="188">
        <v>4</v>
      </c>
      <c r="AJ82" s="189"/>
      <c r="AK82" s="1758"/>
      <c r="AL82" s="1758"/>
      <c r="AM82" s="997" t="s">
        <v>393</v>
      </c>
      <c r="AN82" s="997"/>
      <c r="AO82" s="997"/>
      <c r="AP82" s="997"/>
      <c r="AQ82" s="618"/>
      <c r="AR82" s="618"/>
      <c r="AS82" s="1758"/>
      <c r="AT82" s="1758"/>
      <c r="AU82" s="1758"/>
      <c r="AV82" s="1758"/>
      <c r="AW82" s="1758"/>
      <c r="AX82" s="1758"/>
      <c r="AY82" s="1758"/>
      <c r="AZ82" s="1758"/>
      <c r="BA82" s="1758"/>
      <c r="BB82" s="1758"/>
      <c r="BC82" s="1758"/>
      <c r="BD82" s="1758"/>
      <c r="BE82" s="1758"/>
    </row>
    <row s="538" customFormat="1" customHeight="1" ht="14.25">
      <c r="A83" s="1758"/>
      <c r="B83" s="961" cm="1" t="str">
        <f t="array" ref="B83:B83">B82</f>
        <v>true</v>
      </c>
      <c r="C83" s="1758"/>
      <c r="D83" s="1758"/>
      <c r="E83" s="629">
        <v>15</v>
      </c>
      <c r="F83" s="143" cm="1" t="str">
        <f t="array" ref="F83:F83">OFFSET(E83,-1,1)</f>
        <v>4</v>
      </c>
      <c r="G83" s="143"/>
      <c r="H83" s="122" t="s">
        <v>332</v>
      </c>
      <c r="I83" s="122" t="s">
        <v>375</v>
      </c>
      <c r="J83" s="122" t="str">
        <f>AD83&amp;"::"&amp;AE83</f>
        <v>Канализационные сети::км</v>
      </c>
      <c r="K83" s="1758"/>
      <c r="L83" s="122" t="s">
        <v>50</v>
      </c>
      <c r="M83" s="1758"/>
      <c r="N83" s="1758"/>
      <c r="O83" s="1758"/>
      <c r="P83" s="122" t="s">
        <v>385</v>
      </c>
      <c r="Q83" s="122" t="s">
        <v>386</v>
      </c>
      <c r="R83" s="1758"/>
      <c r="S83" s="1758"/>
      <c r="T83" s="1758"/>
      <c r="U83" s="1758"/>
      <c r="V83" s="465" cm="1" t="str">
        <f t="array" ref="V83:V83">V82</f>
        <v>true</v>
      </c>
      <c r="W83" s="1758"/>
      <c r="X83" s="1758"/>
      <c r="Y83" s="1758"/>
      <c r="Z83" s="1545"/>
      <c r="AA83" s="1546"/>
      <c r="AB83" s="1758"/>
      <c r="AC83" s="184">
        <f>AC82+1</f>
        <v>3</v>
      </c>
      <c r="AD83" s="182" t="s">
        <v>394</v>
      </c>
      <c r="AE83" s="123" t="s">
        <v>388</v>
      </c>
      <c r="AF83" s="141"/>
      <c r="AG83" s="141"/>
      <c r="AH83" s="141">
        <v>49.6</v>
      </c>
      <c r="AI83" s="141">
        <v>49.6</v>
      </c>
      <c r="AJ83" s="189"/>
      <c r="AK83" s="1758"/>
      <c r="AL83" s="1758"/>
      <c r="AM83" s="997" t="s">
        <v>395</v>
      </c>
      <c r="AN83" s="997"/>
      <c r="AO83" s="997"/>
      <c r="AP83" s="997"/>
      <c r="AQ83" s="618"/>
      <c r="AR83" s="618"/>
      <c r="AS83" s="1758"/>
      <c r="AT83" s="1758"/>
      <c r="AU83" s="1758"/>
      <c r="AV83" s="1758"/>
      <c r="AW83" s="1758"/>
      <c r="AX83" s="1758"/>
      <c r="AY83" s="1758"/>
      <c r="AZ83" s="1758"/>
      <c r="BA83" s="1758"/>
      <c r="BB83" s="1758"/>
      <c r="BC83" s="1758"/>
      <c r="BD83" s="1758"/>
      <c r="BE83" s="1758"/>
    </row>
    <row s="1021" customFormat="1" customHeight="1" ht="14.25" hidden="1">
      <c r="A84" s="1021"/>
      <c r="B84" s="428"/>
      <c r="C84" s="1021"/>
      <c r="D84" s="1021"/>
      <c r="E84" s="637">
        <v>15</v>
      </c>
      <c r="F84" s="143" cm="1" t="str">
        <f t="array" ref="F84:F84">OFFSET(E84,-1,1)</f>
        <v>4</v>
      </c>
      <c r="G84" s="143"/>
      <c r="H84" s="124" t="s">
        <v>332</v>
      </c>
      <c r="I84" s="124" t="s">
        <v>375</v>
      </c>
      <c r="J84" s="124" t="str">
        <f>AD84&amp;"::"&amp;AE84</f>
        <v>::</v>
      </c>
      <c r="K84" s="1021"/>
      <c r="L84" s="1021"/>
      <c r="M84" s="1021"/>
      <c r="N84" s="1021"/>
      <c r="O84" s="1021"/>
      <c r="P84" s="1021"/>
      <c r="Q84" s="1021"/>
      <c r="R84" s="1021"/>
      <c r="S84" s="1021"/>
      <c r="T84" s="1021"/>
      <c r="U84" s="122">
        <v>0</v>
      </c>
      <c r="V84" s="465">
        <f>AND(F84&gt;0,U84&gt;0)</f>
        <v>0</v>
      </c>
      <c r="W84" s="1021"/>
      <c r="X84" s="1021"/>
      <c r="Y84" s="757" t="s">
        <v>174</v>
      </c>
      <c r="Z84" s="1545"/>
      <c r="AA84" s="1546"/>
      <c r="AB84" s="420" t="s">
        <v>175</v>
      </c>
      <c r="AC84" s="184">
        <f>IF(OFFSET(C84,-8-U84,-1),5,IF(OFFSET(C84,-3-U84,-1),3,2))+U84</f>
        <v>3</v>
      </c>
      <c r="AD84" s="1944"/>
      <c r="AE84" s="1945"/>
      <c r="AF84" s="1946"/>
      <c r="AG84" s="1946"/>
      <c r="AH84" s="1946"/>
      <c r="AI84" s="1946"/>
      <c r="AJ84" s="1947"/>
      <c r="AK84" s="1021"/>
      <c r="AL84" s="1021"/>
      <c r="AM84" s="1005" t="s">
        <v>396</v>
      </c>
      <c r="AN84" s="1005" t="s">
        <v>397</v>
      </c>
      <c r="AO84" s="1008" cm="1" t="str">
        <f t="array" ref="AO84:AO84">AD84</f>
        <v>0</v>
      </c>
      <c r="AP84" s="1008" cm="1" t="str">
        <f t="array" ref="AP84:AP84">AE84</f>
        <v>0</v>
      </c>
      <c r="AQ84" s="692"/>
      <c r="AR84" s="692" t="b">
        <v>1</v>
      </c>
      <c r="AS84" s="1021"/>
      <c r="AT84" s="1021"/>
      <c r="AU84" s="1021"/>
      <c r="AV84" s="1021"/>
      <c r="AW84" s="1021"/>
      <c r="AX84" s="1021"/>
      <c r="AY84" s="1021"/>
      <c r="AZ84" s="1021"/>
      <c r="BA84" s="1021"/>
      <c r="BB84" s="1021"/>
      <c r="BC84" s="1021"/>
      <c r="BD84" s="1021"/>
      <c r="BE84" s="1021"/>
    </row>
    <row s="538" customFormat="1" customHeight="1" ht="14.25">
      <c r="A85" s="1758"/>
      <c r="B85" s="428"/>
      <c r="C85" s="1758"/>
      <c r="D85" s="1758"/>
      <c r="E85" s="629">
        <v>15</v>
      </c>
      <c r="F85" s="143" cm="1" t="str">
        <f t="array" ref="F85:F85">OFFSET(E85,-1,1)</f>
        <v>4</v>
      </c>
      <c r="G85" s="143"/>
      <c r="H85" s="1758"/>
      <c r="I85" s="1758"/>
      <c r="J85" s="121" t="s">
        <v>398</v>
      </c>
      <c r="K85" s="1758"/>
      <c r="L85" s="1758"/>
      <c r="M85" s="1758"/>
      <c r="N85" s="1758"/>
      <c r="O85" s="1758"/>
      <c r="P85" s="1758"/>
      <c r="Q85" s="1758"/>
      <c r="R85" s="1758"/>
      <c r="S85" s="1758"/>
      <c r="T85" s="1758"/>
      <c r="U85" s="1758"/>
      <c r="V85" s="465" cm="1" t="str">
        <f t="array" ref="V85:V85">V83</f>
        <v>true</v>
      </c>
      <c r="W85" s="1758"/>
      <c r="X85" s="1758"/>
      <c r="Y85" s="757" t="s">
        <v>399</v>
      </c>
      <c r="Z85" s="1545"/>
      <c r="AA85" s="1546"/>
      <c r="AB85" s="1758"/>
      <c r="AC85" s="175"/>
      <c r="AD85" s="308" t="s">
        <v>178</v>
      </c>
      <c r="AE85" s="176"/>
      <c r="AF85" s="176"/>
      <c r="AG85" s="176"/>
      <c r="AH85" s="176"/>
      <c r="AI85" s="176"/>
      <c r="AJ85" s="187"/>
      <c r="AK85" s="1758"/>
      <c r="AL85" s="1758"/>
      <c r="AM85" s="997"/>
      <c r="AN85" s="997"/>
      <c r="AO85" s="997"/>
      <c r="AP85" s="997"/>
      <c r="AQ85" s="618" t="s">
        <v>397</v>
      </c>
      <c r="AR85" s="618"/>
      <c r="AS85" s="1758"/>
      <c r="AT85" s="1758"/>
      <c r="AU85" s="1758"/>
      <c r="AV85" s="1758"/>
      <c r="AW85" s="1758"/>
      <c r="AX85" s="1758"/>
      <c r="AY85" s="1758"/>
      <c r="AZ85" s="1758"/>
      <c r="BA85" s="1758"/>
      <c r="BB85" s="1758"/>
      <c r="BC85" s="1758"/>
      <c r="BD85" s="1758"/>
      <c r="BE85" s="1758"/>
    </row>
    <row s="538" customFormat="1" customHeight="1" ht="306.0110294117647">
      <c r="A86" s="1758"/>
      <c r="B86" s="428"/>
      <c r="C86" s="1758"/>
      <c r="D86" s="1758"/>
      <c r="E86" s="629">
        <v>15</v>
      </c>
      <c r="F86" s="143" cm="1" t="str">
        <f t="array" ref="F86:F86">OFFSET(E86,-1,1)</f>
        <v>4</v>
      </c>
      <c r="G86" s="143"/>
      <c r="H86" s="122" t="s">
        <v>333</v>
      </c>
      <c r="I86" s="122" t="s">
        <v>375</v>
      </c>
      <c r="J86" s="369" cm="1" t="str">
        <f t="array" ref="J86:J86">AD86</f>
        <v>Краткое описание технологического процесса</v>
      </c>
      <c r="K86" s="1758"/>
      <c r="L86" s="1758"/>
      <c r="M86" s="1758"/>
      <c r="N86" s="1758"/>
      <c r="O86" s="1758"/>
      <c r="P86" s="1758"/>
      <c r="Q86" s="1758"/>
      <c r="R86" s="1758"/>
      <c r="S86" s="1758"/>
      <c r="T86" s="1758"/>
      <c r="U86" s="1758"/>
      <c r="V86" s="465" cm="1" t="str">
        <f t="array" ref="V86:V86">V85</f>
        <v>true</v>
      </c>
      <c r="W86" s="1758"/>
      <c r="X86" s="1758"/>
      <c r="Y86" s="1758"/>
      <c r="Z86" s="1545"/>
      <c r="AA86" s="1546"/>
      <c r="AB86" s="1758"/>
      <c r="AC86" s="184"/>
      <c r="AD86" s="182" t="s">
        <v>400</v>
      </c>
      <c r="AE86" s="123"/>
      <c r="AF86" s="1547" t="s">
        <v>405</v>
      </c>
      <c r="AG86" s="1956"/>
      <c r="AH86" s="1956"/>
      <c r="AI86" s="1956"/>
      <c r="AJ86" s="1957"/>
      <c r="AK86" s="1758"/>
      <c r="AL86" s="1758"/>
      <c r="AM86" s="997" t="s">
        <v>401</v>
      </c>
      <c r="AN86" s="997"/>
      <c r="AO86" s="997"/>
      <c r="AP86" s="997"/>
      <c r="AQ86" s="618"/>
      <c r="AR86" s="618"/>
      <c r="AS86" s="1758"/>
      <c r="AT86" s="1758"/>
      <c r="AU86" s="1758"/>
      <c r="AV86" s="1758"/>
      <c r="AW86" s="1758"/>
      <c r="AX86" s="1758"/>
      <c r="AY86" s="1758"/>
      <c r="AZ86" s="1758"/>
      <c r="BA86" s="1758"/>
      <c r="BB86" s="1758"/>
      <c r="BC86" s="1758"/>
      <c r="BD86" s="1758"/>
      <c r="BE86" s="1758"/>
    </row>
    <row s="1758" customFormat="1" customHeight="1" ht="14.625">
      <c r="B87" s="428"/>
      <c r="E87" s="629">
        <v>15</v>
      </c>
      <c r="F87" s="369"/>
      <c r="G87" s="369"/>
      <c r="J87" s="369"/>
      <c r="W87" s="122" t="s">
        <v>178</v>
      </c>
      <c r="X87" s="140" t="s">
        <v>406</v>
      </c>
      <c r="Z87" s="98"/>
      <c r="AC87" s="512"/>
      <c r="AD87" s="114"/>
      <c r="AE87" s="513"/>
      <c r="AF87" s="948"/>
      <c r="AG87" s="948"/>
      <c r="AH87" s="948"/>
      <c r="AI87" s="948"/>
      <c r="AJ87" s="948"/>
      <c r="AM87" s="997"/>
      <c r="AN87" s="997"/>
      <c r="AO87" s="997"/>
      <c r="AP87" s="997"/>
      <c r="AQ87" s="618"/>
      <c r="AR87" s="618"/>
    </row>
    <row s="1304" customFormat="1" customHeight="1" ht="11.700000000000001">
      <c r="B88" s="511"/>
      <c r="E88" s="634">
        <v>12</v>
      </c>
      <c r="Q88" s="482"/>
      <c r="R88" s="482"/>
      <c r="S88" s="482"/>
      <c r="T88" s="482"/>
      <c r="U88" s="489"/>
      <c r="V88" s="489"/>
      <c r="W88" s="504"/>
      <c r="X88" s="489"/>
      <c r="Y88" s="489"/>
      <c r="Z88" s="489"/>
      <c r="AA88" s="489"/>
      <c r="AB88" s="489"/>
      <c r="AC88" s="1550" t="s">
        <v>407</v>
      </c>
      <c r="AD88" s="1551"/>
      <c r="AE88" s="1551"/>
      <c r="AF88" s="1551"/>
      <c r="AG88" s="1551"/>
      <c r="AH88" s="1551"/>
      <c r="AI88" s="1551"/>
      <c r="AJ88" s="1552"/>
      <c r="AK88" s="85"/>
      <c r="AL88" s="85"/>
      <c r="AM88" s="1006"/>
      <c r="AN88" s="1006"/>
      <c r="AO88" s="1006"/>
      <c r="AP88" s="1006"/>
      <c r="AQ88" s="675"/>
      <c r="AR88" s="675"/>
      <c r="AS88" s="85"/>
      <c r="AT88" s="85"/>
      <c r="AU88" s="85"/>
      <c r="AV88" s="85"/>
      <c r="AW88" s="85"/>
      <c r="AX88" s="85"/>
      <c r="AY88" s="85"/>
      <c r="AZ88" s="85"/>
      <c r="BA88" s="85"/>
      <c r="BB88" s="85"/>
      <c r="BC88" s="85"/>
      <c r="BD88" s="85"/>
      <c r="BE88" s="489"/>
    </row>
    <row s="1304" customFormat="1" customHeight="1" ht="14.625">
      <c r="B89" s="427"/>
      <c r="E89" s="632">
        <v>15</v>
      </c>
      <c r="Q89" s="416"/>
      <c r="R89" s="416"/>
      <c r="S89" s="416"/>
      <c r="T89" s="416"/>
      <c r="U89" s="489"/>
      <c r="V89" s="489"/>
      <c r="W89" s="504"/>
      <c r="X89" s="489"/>
      <c r="Y89" s="489"/>
      <c r="Z89" s="489"/>
      <c r="AA89" s="489"/>
      <c r="AB89" s="661"/>
      <c r="AC89" s="1553"/>
      <c r="AD89" s="1554"/>
      <c r="AE89" s="1554"/>
      <c r="AF89" s="1554"/>
      <c r="AG89" s="1554"/>
      <c r="AH89" s="1554"/>
      <c r="AI89" s="1554"/>
      <c r="AJ89" s="1555"/>
      <c r="AK89" s="85"/>
      <c r="AL89" s="85"/>
      <c r="AM89" s="1006"/>
      <c r="AN89" s="1006"/>
      <c r="AO89" s="1006"/>
      <c r="AP89" s="1006"/>
      <c r="AQ89" s="675"/>
      <c r="AR89" s="675"/>
      <c r="AS89" s="85"/>
      <c r="AT89" s="85"/>
      <c r="AU89" s="85"/>
      <c r="AV89" s="85"/>
      <c r="AW89" s="85"/>
      <c r="AX89" s="85"/>
      <c r="AY89" s="85"/>
      <c r="AZ89" s="85"/>
      <c r="BA89" s="85"/>
      <c r="BB89" s="85"/>
      <c r="BC89" s="85"/>
      <c r="BD89" s="85"/>
      <c r="BE89" s="489"/>
    </row>
    <row s="1304" customFormat="1" customHeight="1" ht="14.625" hidden="1">
      <c r="A90" s="1304"/>
      <c r="B90" s="427"/>
      <c r="C90" s="1304"/>
      <c r="D90" s="1304"/>
      <c r="E90" s="632">
        <v>15</v>
      </c>
      <c r="F90" s="1304"/>
      <c r="G90" s="1304"/>
      <c r="H90" s="1304"/>
      <c r="I90" s="1304"/>
      <c r="J90" s="1304"/>
      <c r="K90" s="1304"/>
      <c r="L90" s="1304"/>
      <c r="M90" s="1304"/>
      <c r="N90" s="1304"/>
      <c r="O90" s="1304"/>
      <c r="P90" s="1304"/>
      <c r="Q90" s="416"/>
      <c r="R90" s="416"/>
      <c r="S90" s="416"/>
      <c r="T90" s="416"/>
      <c r="U90" s="1304"/>
      <c r="V90" s="465">
        <f>ROW(Y90)&gt;ROW(X$90)</f>
        <v>0</v>
      </c>
      <c r="W90" s="504"/>
      <c r="X90" s="1304"/>
      <c r="Y90" s="757" t="s">
        <v>174</v>
      </c>
      <c r="Z90" s="489"/>
      <c r="AA90" s="489"/>
      <c r="AB90" s="662" t="s">
        <v>175</v>
      </c>
      <c r="AC90" s="1998"/>
      <c r="AD90" s="1999"/>
      <c r="AE90" s="1999"/>
      <c r="AF90" s="1999"/>
      <c r="AG90" s="1999"/>
      <c r="AH90" s="1999"/>
      <c r="AI90" s="1999"/>
      <c r="AJ90" s="2000"/>
      <c r="AK90" s="85"/>
      <c r="AL90" s="85"/>
      <c r="AM90" s="1006"/>
      <c r="AN90" s="1006"/>
      <c r="AO90" s="1006"/>
      <c r="AP90" s="1006"/>
      <c r="AQ90" s="675"/>
      <c r="AR90" s="675"/>
      <c r="AS90" s="85"/>
      <c r="AT90" s="85"/>
      <c r="AU90" s="85"/>
      <c r="AV90" s="85"/>
      <c r="AW90" s="85"/>
      <c r="AX90" s="85"/>
      <c r="AY90" s="85"/>
      <c r="AZ90" s="85"/>
      <c r="BA90" s="85"/>
      <c r="BB90" s="85"/>
      <c r="BC90" s="85"/>
      <c r="BD90" s="85"/>
      <c r="BE90" s="489"/>
    </row>
    <row s="1304" customFormat="1" customHeight="1" ht="14.625">
      <c r="B91" s="427"/>
      <c r="E91" s="632">
        <v>15</v>
      </c>
      <c r="Q91" s="416"/>
      <c r="R91" s="416"/>
      <c r="S91" s="416"/>
      <c r="T91" s="416"/>
      <c r="U91" s="489"/>
      <c r="V91" s="489"/>
      <c r="W91" s="489"/>
      <c r="Y91" s="757" t="s">
        <v>408</v>
      </c>
      <c r="Z91" s="489"/>
      <c r="AA91" s="489"/>
      <c r="AB91" s="489"/>
      <c r="AC91" s="647"/>
      <c r="AD91" s="178" t="s">
        <v>409</v>
      </c>
      <c r="AE91" s="505"/>
      <c r="AF91" s="506"/>
      <c r="AG91" s="506"/>
      <c r="AH91" s="506"/>
      <c r="AI91" s="506"/>
      <c r="AJ91" s="664"/>
      <c r="AK91" s="85"/>
      <c r="AL91" s="85"/>
      <c r="AM91" s="1006"/>
      <c r="AN91" s="1006"/>
      <c r="AO91" s="1006"/>
      <c r="AP91" s="1006"/>
      <c r="AQ91" s="675"/>
      <c r="AR91" s="675"/>
      <c r="AS91" s="85"/>
      <c r="AT91" s="85"/>
      <c r="AU91" s="85"/>
      <c r="AV91" s="85"/>
      <c r="AW91" s="85"/>
      <c r="AX91" s="85"/>
      <c r="AY91" s="85"/>
      <c r="AZ91" s="85"/>
      <c r="BA91" s="85"/>
      <c r="BB91" s="85"/>
      <c r="BC91" s="85"/>
      <c r="BD91" s="85"/>
      <c r="BE91" s="489"/>
    </row>
    <row s="1834" customFormat="1" customHeight="1" ht="11.25">
      <c r="B92" s="658"/>
      <c r="E92" s="636"/>
      <c r="F92" s="85"/>
      <c r="G92" s="85"/>
      <c r="H92" s="85"/>
      <c r="I92" s="85"/>
      <c r="J92" s="85"/>
      <c r="AD92" s="100"/>
      <c r="AE92" s="100"/>
      <c r="AF92" s="100"/>
      <c r="AG92" s="100"/>
      <c r="AK92" s="0"/>
      <c r="AM92" s="1004"/>
      <c r="AN92" s="1004"/>
      <c r="AO92" s="1004"/>
      <c r="AP92" s="1004"/>
      <c r="AQ92" s="624"/>
      <c r="AR92" s="1007"/>
    </row>
    <row s="1834" customFormat="1" customHeight="1" ht="11.25" hidden="1">
      <c r="B93" s="658"/>
      <c r="E93" s="636"/>
      <c r="F93" s="85"/>
      <c r="G93" s="85"/>
      <c r="H93" s="85"/>
      <c r="I93" s="85"/>
      <c r="J93" s="85"/>
      <c r="AD93" s="100"/>
      <c r="AE93" s="100"/>
      <c r="AF93" s="100"/>
      <c r="AG93" s="100"/>
      <c r="AM93" s="1004"/>
      <c r="AN93" s="1004"/>
      <c r="AO93" s="1004"/>
      <c r="AP93" s="1004"/>
      <c r="AQ93" s="624"/>
      <c r="AR93" s="1007"/>
    </row>
  </sheetData>
  <sheetProtection formatColumns="0" formatRows="0" insertRows="0" deleteColumns="0" deleteRows="0" sort="0" autoFilter="0" insertColumns="1"/>
  <mergeCells count="24">
    <mergeCell ref="AC90:AJ90"/>
    <mergeCell ref="AC22:AJ22"/>
    <mergeCell ref="AG23:AH23"/>
    <mergeCell ref="AC24:AC25"/>
    <mergeCell ref="AD24:AD25"/>
    <mergeCell ref="AE24:AE25"/>
    <mergeCell ref="AJ24:AJ25"/>
    <mergeCell ref="Z27:Z38"/>
    <mergeCell ref="AA27:AA38"/>
    <mergeCell ref="AF38:AJ38"/>
    <mergeCell ref="AC88:AJ88"/>
    <mergeCell ref="AC89:AJ89"/>
    <mergeCell ref="Z39:Z50"/>
    <mergeCell ref="AA39:AA50"/>
    <mergeCell ref="AF50:AJ50"/>
    <mergeCell ref="Z51:Z62"/>
    <mergeCell ref="AA51:AA62"/>
    <mergeCell ref="AF62:AJ62"/>
    <mergeCell ref="Z63:Z74"/>
    <mergeCell ref="AA63:AA74"/>
    <mergeCell ref="AF74:AJ74"/>
    <mergeCell ref="Z75:Z86"/>
    <mergeCell ref="AA75:AA86"/>
    <mergeCell ref="AF86:AJ86"/>
  </mergeCells>
  <dataValidations count="2">
    <dataValidation type="whole" allowBlank="1" showErrorMessage="1" errorTitle="Ошибка" error="Допускается ввод только неотрицательных целых чисел!" sqref="AF33:AI34 AF28:AI31 AF40 AG40 AH40 AI40 AF41 AG41 AH41 AI41 AF42 AG42 AH42 AI42 AF43 AG43 AH43 AI43 AF45 AG45 AH45 AI45 AF46 AG46 AH46 AI46 AF52 AG52 AH52 AI52 AF53 AG53 AH53 AI53 AF54 AG54 AH54 AI54 AF55 AG55 AH55 AI55 AF57 AG57 AH57 AI57 AF58 AG58 AH58 AI58 AF64 AG64 AH64 AI64 AF65 AG65 AH65 AI65 AF66 AG66 AH66 AI66 AF67 AG67 AH67 AI67 AF69 AG69 AH69 AI69 AF70 AG70 AH70 AI70 AF76 AG76 AH76 AI76 AF77 AG77 AH77 AI77 AF78 AG78 AH78 AI78 AF79 AG79 AH79 AI79 AF81 AG81 AH81 AI81 AF82 AG82 AH82 AI82">
      <formula1>0</formula1>
      <formula2>9.99999999999999E+23</formula2>
    </dataValidation>
    <dataValidation type="decimal" allowBlank="1" showErrorMessage="1" errorTitle="Ошибка" error="Допускается ввод только неотрицательных чисел!" sqref="AF32:AI32 AF35:AI36 AF44 AG44 AH44 AI44 AF47 AG47 AH47 AI47 AF48 AG48 AH48 AI48 AF56 AG56 AH56 AI56 AF59 AG59 AH59 AI59 AF60 AG60 AH60 AI60 AF68 AG68 AH68 AI68 AF71 AG71 AH71 AI71 AF72 AG72 AH72 AI72 AF80 AG80 AH80 AI80 AF83 AG83 AH83 AI83 AF84 AG84 AH84 AI84">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D4989D-18EA-B466-A66D-E6F58AE8EE68}" mc:Ignorable="x14ac xr xr2 xr3">
  <sheetPr>
    <tabColor theme="3" tint="0.6"/>
    <outlinePr summaryRight="0" summaryBelow="0"/>
    <pageSetUpPr fitToPage="1"/>
  </sheetPr>
  <dimension ref="A1:AS359"/>
  <sheetViews>
    <sheetView showGridLines="0" workbookViewId="0">
      <pane xSplit="29" ySplit="24" topLeftCell="AD30" activePane="bottomRight" state="frozen"/>
      <selection pane="bottomLeft" activeCell="A25" sqref="A25"/>
      <selection pane="topRight" activeCell="AD1" sqref="AD1"/>
      <selection pane="bottomRight" activeCell="AG342" sqref="AG342"/>
    </sheetView>
  </sheetViews>
  <sheetFormatPr defaultColWidth="8.7109375" customHeight="1" defaultRowHeight="11.25"/>
  <cols>
    <col min="1" max="1" style="569" width="3.57421875" hidden="1" customWidth="1"/>
    <col min="2" max="2" style="1448" width="8.57421875" hidden="1" customWidth="1"/>
    <col min="3" max="4" style="569" width="3.57421875" hidden="1" customWidth="1"/>
    <col min="5" max="5" style="876" width="3.57421875" hidden="1" customWidth="1"/>
    <col min="6" max="6" style="569" width="4.00390625" hidden="1" customWidth="1"/>
    <col min="7" max="8" style="569" width="3.57421875" hidden="1" customWidth="1"/>
    <col min="9" max="9" style="569" width="12.421875" hidden="1" customWidth="1"/>
    <col min="10" max="18" style="569" width="3.57421875" hidden="1" customWidth="1"/>
    <col min="19" max="19" style="1442" width="3.57421875" hidden="1" customWidth="1"/>
    <col min="20" max="20" style="1442" width="6.140625" hidden="1" customWidth="1"/>
    <col min="21" max="21" style="1442" width="10.140625" hidden="1" customWidth="1"/>
    <col min="22" max="22" style="1442" width="5.8515625" hidden="1" customWidth="1"/>
    <col min="23" max="24" style="1442" width="6.140625" hidden="1" customWidth="1"/>
    <col min="25" max="25" style="1442" width="5.57421875" hidden="1" customWidth="1"/>
    <col min="26" max="26" style="1442" width="5.28125" hidden="1" customWidth="1"/>
    <col min="27" max="27" style="569" width="3.00390625" customWidth="1"/>
    <col min="28" max="28" style="114" width="11.00390625" customWidth="1"/>
    <col min="29" max="29" style="114" width="70.00390625" customWidth="1"/>
    <col min="30" max="30" style="114" width="15.00390625" customWidth="1"/>
    <col min="31" max="31" style="114" width="20.00390625" customWidth="1"/>
    <col min="32" max="32" style="120" width="20.00390625" customWidth="1"/>
    <col min="33" max="34" style="114" width="20.00390625" customWidth="1"/>
    <col min="35" max="35" style="569" width="3.00390625" customWidth="1"/>
    <col min="36" max="36" style="569" width="8.7109375" hidden="1"/>
    <col min="37" max="43" style="994" width="8.7109375" hidden="1"/>
    <col min="44" max="44" style="963" width="8.7109375" hidden="1"/>
    <col min="45" max="45" style="627" width="8.7109375" hidden="1"/>
  </cols>
  <sheetData>
    <row s="569" customFormat="1" customHeight="1" ht="11.25" hidden="1">
      <c r="B1" s="429"/>
      <c r="E1" s="867"/>
      <c r="F1" s="148" t="s">
        <v>321</v>
      </c>
      <c r="S1" s="960"/>
      <c r="T1" s="960"/>
      <c r="U1" s="465" t="s">
        <v>93</v>
      </c>
      <c r="V1" s="465" t="s">
        <v>98</v>
      </c>
      <c r="W1" s="465" t="s">
        <v>94</v>
      </c>
      <c r="X1" s="465" t="s">
        <v>95</v>
      </c>
      <c r="Y1" s="465" t="s">
        <v>96</v>
      </c>
      <c r="Z1" s="465" t="s">
        <v>100</v>
      </c>
      <c r="AA1" s="467" t="s">
        <v>97</v>
      </c>
      <c r="AB1" s="467" t="s">
        <v>323</v>
      </c>
      <c r="AC1" s="467" t="s">
        <v>99</v>
      </c>
      <c r="AF1" s="204"/>
      <c r="AK1" s="988" t="s">
        <v>324</v>
      </c>
      <c r="AL1" s="992" t="s">
        <v>325</v>
      </c>
      <c r="AM1" s="992" t="s">
        <v>326</v>
      </c>
      <c r="AN1" s="992" t="s">
        <v>410</v>
      </c>
      <c r="AO1" s="992" t="s">
        <v>411</v>
      </c>
      <c r="AP1" s="992" t="s">
        <v>412</v>
      </c>
      <c r="AQ1" s="992" t="s">
        <v>413</v>
      </c>
      <c r="AR1" s="266" t="s">
        <v>329</v>
      </c>
      <c r="AS1" s="266" t="s">
        <v>330</v>
      </c>
    </row>
    <row s="1448" customFormat="1" customHeight="1" ht="11.25" hidden="1">
      <c r="B2" s="961" t="s">
        <v>19</v>
      </c>
      <c r="S2" s="655"/>
      <c r="T2" s="655"/>
      <c r="U2" s="655"/>
      <c r="V2" s="655"/>
      <c r="W2" s="655"/>
      <c r="X2" s="655"/>
      <c r="Y2" s="655"/>
      <c r="Z2" s="655"/>
      <c r="AK2" s="993"/>
      <c r="AL2" s="993"/>
      <c r="AM2" s="993"/>
      <c r="AN2" s="993"/>
      <c r="AO2" s="993"/>
      <c r="AP2" s="993"/>
      <c r="AQ2" s="993"/>
      <c r="AR2" s="1002"/>
      <c r="AS2" s="1002"/>
    </row>
    <row s="569" customFormat="1" customHeight="1" ht="11.25" hidden="1">
      <c r="B3" s="429"/>
      <c r="E3" s="867"/>
      <c r="S3" s="960"/>
      <c r="T3" s="960"/>
      <c r="U3" s="960"/>
      <c r="V3" s="960"/>
      <c r="W3" s="960"/>
      <c r="X3" s="960"/>
      <c r="Y3" s="960"/>
      <c r="Z3" s="960"/>
      <c r="AF3" s="204"/>
      <c r="AK3" s="994"/>
      <c r="AL3" s="994"/>
      <c r="AM3" s="994"/>
      <c r="AN3" s="994"/>
      <c r="AO3" s="994"/>
      <c r="AP3" s="994"/>
      <c r="AQ3" s="994"/>
      <c r="AR3" s="963"/>
      <c r="AS3" s="963"/>
    </row>
    <row s="569" customFormat="1" customHeight="1" ht="11.25" hidden="1">
      <c r="B4" s="429"/>
      <c r="E4" s="867"/>
      <c r="S4" s="960"/>
      <c r="T4" s="960"/>
      <c r="U4" s="960"/>
      <c r="V4" s="960"/>
      <c r="W4" s="960"/>
      <c r="X4" s="960"/>
      <c r="Y4" s="960"/>
      <c r="Z4" s="960"/>
      <c r="AF4" s="204"/>
      <c r="AK4" s="994"/>
      <c r="AL4" s="994"/>
      <c r="AM4" s="994"/>
      <c r="AN4" s="994"/>
      <c r="AO4" s="994"/>
      <c r="AP4" s="994"/>
      <c r="AQ4" s="994"/>
      <c r="AR4" s="963"/>
      <c r="AS4" s="963"/>
    </row>
    <row s="876" customFormat="1" customHeight="1" ht="11.25" hidden="1">
      <c r="A5" s="867"/>
      <c r="B5" s="429"/>
      <c r="C5" s="867"/>
      <c r="D5" s="867"/>
      <c r="E5" s="868" t="s">
        <v>20</v>
      </c>
      <c r="S5" s="990"/>
      <c r="T5" s="990"/>
      <c r="U5" s="990"/>
      <c r="V5" s="990"/>
      <c r="W5" s="990"/>
      <c r="X5" s="990"/>
      <c r="Y5" s="990"/>
      <c r="Z5" s="990"/>
      <c r="AA5" s="621">
        <v>3</v>
      </c>
      <c r="AB5" s="621">
        <v>11</v>
      </c>
      <c r="AC5" s="621">
        <v>70</v>
      </c>
      <c r="AD5" s="621">
        <v>15</v>
      </c>
      <c r="AE5" s="621">
        <v>20</v>
      </c>
      <c r="AF5" s="621">
        <v>20</v>
      </c>
      <c r="AG5" s="621">
        <v>20</v>
      </c>
      <c r="AH5" s="621">
        <v>20</v>
      </c>
      <c r="AI5" s="868">
        <v>3</v>
      </c>
      <c r="AK5" s="995"/>
      <c r="AL5" s="995"/>
      <c r="AM5" s="995"/>
      <c r="AN5" s="995"/>
      <c r="AO5" s="995"/>
      <c r="AP5" s="995"/>
      <c r="AQ5" s="995"/>
    </row>
    <row s="569" customFormat="1" customHeight="1" ht="11.25" hidden="1">
      <c r="B6" s="429"/>
      <c r="E6" s="868"/>
      <c r="S6" s="960"/>
      <c r="T6" s="960"/>
      <c r="U6" s="960"/>
      <c r="V6" s="960"/>
      <c r="W6" s="960"/>
      <c r="X6" s="960"/>
      <c r="Y6" s="960"/>
      <c r="Z6" s="960"/>
      <c r="AK6" s="994"/>
      <c r="AL6" s="994"/>
      <c r="AM6" s="994"/>
      <c r="AN6" s="994"/>
      <c r="AO6" s="994"/>
      <c r="AP6" s="994"/>
      <c r="AQ6" s="994"/>
      <c r="AR6" s="963"/>
      <c r="AS6" s="963"/>
    </row>
    <row s="569" customFormat="1" customHeight="1" ht="11.25" hidden="1">
      <c r="B7" s="429"/>
      <c r="E7" s="868"/>
      <c r="S7" s="960"/>
      <c r="T7" s="960"/>
      <c r="U7" s="960"/>
      <c r="V7" s="960"/>
      <c r="W7" s="960"/>
      <c r="X7" s="960"/>
      <c r="Y7" s="960"/>
      <c r="Z7" s="960"/>
      <c r="AE7" s="373"/>
      <c r="AF7" s="373"/>
      <c r="AG7" s="374"/>
      <c r="AH7" s="374"/>
      <c r="AK7" s="994"/>
      <c r="AL7" s="994"/>
      <c r="AM7" s="994"/>
      <c r="AN7" s="994"/>
      <c r="AO7" s="994"/>
      <c r="AP7" s="994"/>
      <c r="AQ7" s="994"/>
      <c r="AR7" s="963"/>
      <c r="AS7" s="963"/>
    </row>
    <row s="569" customFormat="1" customHeight="1" ht="11.25" hidden="1">
      <c r="B8" s="429"/>
      <c r="E8" s="868"/>
      <c r="S8" s="960"/>
      <c r="T8" s="960"/>
      <c r="U8" s="960"/>
      <c r="V8" s="960"/>
      <c r="W8" s="960"/>
      <c r="X8" s="960"/>
      <c r="Y8" s="960"/>
      <c r="Z8" s="960"/>
      <c r="AF8" s="204"/>
      <c r="AK8" s="994"/>
      <c r="AL8" s="994"/>
      <c r="AM8" s="994"/>
      <c r="AN8" s="994"/>
      <c r="AO8" s="994"/>
      <c r="AP8" s="994"/>
      <c r="AQ8" s="994"/>
      <c r="AR8" s="963"/>
      <c r="AS8" s="963"/>
    </row>
    <row s="994" customFormat="1" customHeight="1" ht="11.25" hidden="1">
      <c r="A9" s="988" t="s">
        <v>414</v>
      </c>
      <c r="B9" s="993"/>
      <c r="E9" s="995"/>
      <c r="S9" s="996"/>
      <c r="T9" s="996"/>
      <c r="U9" s="996"/>
      <c r="V9" s="996"/>
      <c r="W9" s="996"/>
      <c r="X9" s="996"/>
      <c r="Y9" s="996"/>
      <c r="Z9" s="996"/>
      <c r="AF9" s="992"/>
      <c r="AH9" s="994" cm="1" t="str">
        <f t="array" ref="AH9:AH9">AH24</f>
        <v>Срок действия</v>
      </c>
      <c r="AR9" s="963"/>
      <c r="AS9" s="963"/>
    </row>
    <row s="994" customFormat="1" customHeight="1" ht="11.25" hidden="1">
      <c r="A10" s="988" t="s">
        <v>338</v>
      </c>
      <c r="B10" s="993"/>
      <c r="E10" s="995"/>
      <c r="S10" s="996"/>
      <c r="T10" s="996"/>
      <c r="U10" s="996"/>
      <c r="V10" s="996"/>
      <c r="W10" s="996"/>
      <c r="X10" s="996"/>
      <c r="Y10" s="996"/>
      <c r="Z10" s="996"/>
      <c r="AC10" s="989" t="s">
        <v>326</v>
      </c>
      <c r="AD10" s="989" t="s">
        <v>410</v>
      </c>
      <c r="AE10" s="989" t="s">
        <v>411</v>
      </c>
      <c r="AF10" s="989" t="s">
        <v>412</v>
      </c>
      <c r="AG10" s="989" t="s">
        <v>413</v>
      </c>
      <c r="AR10" s="963"/>
      <c r="AS10" s="963"/>
    </row>
    <row s="569" customFormat="1" customHeight="1" ht="11.25" hidden="1">
      <c r="B11" s="429"/>
      <c r="E11" s="868"/>
      <c r="S11" s="960"/>
      <c r="T11" s="960"/>
      <c r="U11" s="960"/>
      <c r="V11" s="960"/>
      <c r="W11" s="960"/>
      <c r="X11" s="960"/>
      <c r="Y11" s="960"/>
      <c r="Z11" s="960"/>
      <c r="AF11" s="204"/>
      <c r="AK11" s="994"/>
      <c r="AL11" s="994"/>
      <c r="AM11" s="994"/>
      <c r="AN11" s="994"/>
      <c r="AO11" s="994"/>
      <c r="AP11" s="994"/>
      <c r="AQ11" s="994"/>
      <c r="AR11" s="963"/>
      <c r="AS11" s="963"/>
    </row>
    <row s="569" customFormat="1" customHeight="1" ht="11.25" hidden="1">
      <c r="B12" s="429"/>
      <c r="E12" s="868"/>
      <c r="S12" s="960"/>
      <c r="T12" s="960"/>
      <c r="U12" s="960"/>
      <c r="V12" s="960"/>
      <c r="W12" s="960"/>
      <c r="X12" s="960"/>
      <c r="Y12" s="960"/>
      <c r="Z12" s="960"/>
      <c r="AA12" s="960"/>
      <c r="AB12" s="960"/>
      <c r="AC12" s="991"/>
      <c r="AD12" s="991"/>
      <c r="AF12" s="204"/>
      <c r="AK12" s="994"/>
      <c r="AL12" s="994"/>
      <c r="AM12" s="994"/>
      <c r="AN12" s="994"/>
      <c r="AO12" s="994"/>
      <c r="AP12" s="994"/>
      <c r="AQ12" s="994"/>
      <c r="AR12" s="963"/>
      <c r="AS12" s="963"/>
    </row>
    <row s="569" customFormat="1" customHeight="1" ht="11.25" hidden="1">
      <c r="B13" s="429"/>
      <c r="E13" s="868"/>
      <c r="S13" s="960"/>
      <c r="T13" s="960"/>
      <c r="U13" s="960"/>
      <c r="V13" s="960"/>
      <c r="W13" s="960"/>
      <c r="X13" s="960"/>
      <c r="Y13" s="960"/>
      <c r="Z13" s="960"/>
      <c r="AA13" s="960"/>
      <c r="AB13" s="960"/>
      <c r="AC13" s="991"/>
      <c r="AD13" s="991"/>
      <c r="AE13" s="991"/>
      <c r="AF13" s="991"/>
      <c r="AK13" s="994"/>
      <c r="AL13" s="994"/>
      <c r="AM13" s="994"/>
      <c r="AN13" s="994"/>
      <c r="AO13" s="994"/>
      <c r="AP13" s="994"/>
      <c r="AQ13" s="994"/>
      <c r="AR13" s="963"/>
      <c r="AS13" s="963"/>
    </row>
    <row s="569" customFormat="1" customHeight="1" ht="11.25" hidden="1">
      <c r="B14" s="429"/>
      <c r="E14" s="868"/>
      <c r="S14" s="960"/>
      <c r="T14" s="960"/>
      <c r="U14" s="960"/>
      <c r="V14" s="960"/>
      <c r="W14" s="960"/>
      <c r="X14" s="960"/>
      <c r="Y14" s="960"/>
      <c r="Z14" s="960"/>
      <c r="AA14" s="960"/>
      <c r="AB14" s="960"/>
      <c r="AC14" s="991"/>
      <c r="AD14" s="991"/>
      <c r="AE14" s="991"/>
      <c r="AF14" s="991"/>
      <c r="AK14" s="994"/>
      <c r="AL14" s="994"/>
      <c r="AM14" s="994"/>
      <c r="AN14" s="994"/>
      <c r="AO14" s="994"/>
      <c r="AP14" s="994"/>
      <c r="AQ14" s="994"/>
      <c r="AR14" s="963"/>
      <c r="AS14" s="963"/>
    </row>
    <row s="569" customFormat="1" customHeight="1" ht="11.25" hidden="1">
      <c r="B15" s="429"/>
      <c r="E15" s="868"/>
      <c r="S15" s="960"/>
      <c r="T15" s="960"/>
      <c r="U15" s="960"/>
      <c r="V15" s="960"/>
      <c r="W15" s="960"/>
      <c r="X15" s="960"/>
      <c r="Y15" s="960"/>
      <c r="Z15" s="960"/>
      <c r="AA15" s="960"/>
      <c r="AB15" s="960"/>
      <c r="AC15" s="991"/>
      <c r="AD15" s="991"/>
      <c r="AE15" s="991"/>
      <c r="AF15" s="991"/>
      <c r="AK15" s="994"/>
      <c r="AL15" s="994"/>
      <c r="AM15" s="994"/>
      <c r="AN15" s="994"/>
      <c r="AO15" s="994"/>
      <c r="AP15" s="994"/>
      <c r="AQ15" s="994"/>
      <c r="AR15" s="963"/>
      <c r="AS15" s="963"/>
    </row>
    <row s="569" customFormat="1" customHeight="1" ht="11.25" hidden="1">
      <c r="B16" s="429"/>
      <c r="E16" s="868"/>
      <c r="S16" s="960"/>
      <c r="T16" s="960"/>
      <c r="U16" s="960"/>
      <c r="V16" s="960"/>
      <c r="W16" s="960"/>
      <c r="X16" s="960"/>
      <c r="Y16" s="960"/>
      <c r="Z16" s="960"/>
      <c r="AA16" s="960"/>
      <c r="AB16" s="960"/>
      <c r="AC16" s="991"/>
      <c r="AD16" s="991"/>
      <c r="AE16" s="991"/>
      <c r="AF16" s="991"/>
      <c r="AK16" s="994"/>
      <c r="AL16" s="994"/>
      <c r="AM16" s="994"/>
      <c r="AN16" s="994"/>
      <c r="AO16" s="994"/>
      <c r="AP16" s="994"/>
      <c r="AQ16" s="994"/>
      <c r="AR16" s="963"/>
      <c r="AS16" s="963"/>
    </row>
    <row s="569" customFormat="1" customHeight="1" ht="11.25" hidden="1">
      <c r="B17" s="429"/>
      <c r="E17" s="868"/>
      <c r="S17" s="960"/>
      <c r="T17" s="960"/>
      <c r="U17" s="960"/>
      <c r="V17" s="960"/>
      <c r="W17" s="960"/>
      <c r="X17" s="960"/>
      <c r="Y17" s="960"/>
      <c r="Z17" s="960"/>
      <c r="AA17" s="960"/>
      <c r="AB17" s="960"/>
      <c r="AC17" s="991"/>
      <c r="AD17" s="991"/>
      <c r="AE17" s="991"/>
      <c r="AF17" s="991"/>
      <c r="AK17" s="994"/>
      <c r="AL17" s="994"/>
      <c r="AM17" s="994"/>
      <c r="AN17" s="994"/>
      <c r="AO17" s="994"/>
      <c r="AP17" s="994"/>
      <c r="AQ17" s="994"/>
      <c r="AR17" s="963"/>
      <c r="AS17" s="963"/>
    </row>
    <row s="569" customFormat="1" customHeight="1" ht="11.25" hidden="1">
      <c r="A18" s="148"/>
      <c r="B18" s="429"/>
      <c r="E18" s="868"/>
      <c r="S18" s="960"/>
      <c r="T18" s="960"/>
      <c r="U18" s="960"/>
      <c r="V18" s="960"/>
      <c r="W18" s="960"/>
      <c r="X18" s="960"/>
      <c r="Y18" s="960"/>
      <c r="Z18" s="960"/>
      <c r="AA18" s="960"/>
      <c r="AB18" s="960"/>
      <c r="AC18" s="948"/>
      <c r="AD18" s="991"/>
      <c r="AE18" s="991"/>
      <c r="AF18" s="991"/>
      <c r="AK18" s="994"/>
      <c r="AL18" s="994"/>
      <c r="AM18" s="994"/>
      <c r="AN18" s="994"/>
      <c r="AO18" s="994"/>
      <c r="AP18" s="994"/>
      <c r="AQ18" s="994"/>
      <c r="AR18" s="963"/>
      <c r="AS18" s="963"/>
    </row>
    <row s="569" customFormat="1" customHeight="1" ht="11.25" hidden="1">
      <c r="B19" s="429"/>
      <c r="E19" s="868"/>
      <c r="S19" s="960"/>
      <c r="T19" s="960"/>
      <c r="U19" s="960"/>
      <c r="V19" s="960"/>
      <c r="W19" s="960"/>
      <c r="X19" s="960"/>
      <c r="Y19" s="960"/>
      <c r="Z19" s="960"/>
      <c r="AA19" s="960"/>
      <c r="AB19" s="960"/>
      <c r="AC19" s="991"/>
      <c r="AD19" s="991"/>
      <c r="AE19" s="991"/>
      <c r="AF19" s="991"/>
      <c r="AK19" s="994"/>
      <c r="AL19" s="994"/>
      <c r="AM19" s="994"/>
      <c r="AN19" s="994"/>
      <c r="AO19" s="994"/>
      <c r="AP19" s="994"/>
      <c r="AQ19" s="994"/>
      <c r="AR19" s="963"/>
      <c r="AS19" s="963"/>
    </row>
    <row s="569" customFormat="1" customHeight="1" ht="11.25" hidden="1">
      <c r="B20" s="429"/>
      <c r="E20" s="868"/>
      <c r="S20" s="960"/>
      <c r="T20" s="960"/>
      <c r="U20" s="960"/>
      <c r="V20" s="960"/>
      <c r="W20" s="960"/>
      <c r="X20" s="960"/>
      <c r="Y20" s="960"/>
      <c r="Z20" s="960"/>
      <c r="AA20" s="960"/>
      <c r="AB20" s="960"/>
      <c r="AC20" s="991"/>
      <c r="AD20" s="991"/>
      <c r="AE20" s="991"/>
      <c r="AF20" s="991"/>
      <c r="AK20" s="994"/>
      <c r="AL20" s="994"/>
      <c r="AM20" s="994"/>
      <c r="AN20" s="994"/>
      <c r="AO20" s="994"/>
      <c r="AP20" s="994"/>
      <c r="AQ20" s="994"/>
      <c r="AR20" s="963"/>
      <c r="AS20" s="963"/>
    </row>
    <row s="569" customFormat="1" customHeight="1" ht="14.625">
      <c r="B21" s="429"/>
      <c r="E21" s="868">
        <v>15</v>
      </c>
      <c r="S21" s="960"/>
      <c r="T21" s="960"/>
      <c r="U21" s="960"/>
      <c r="V21" s="960"/>
      <c r="W21" s="960"/>
      <c r="X21" s="960"/>
      <c r="Y21" s="960"/>
      <c r="Z21" s="960"/>
      <c r="AA21" s="657"/>
      <c r="AB21" s="468"/>
      <c r="AC21" s="365" cm="1" t="str">
        <f t="array" ref="AC21:AC21">tpl_title</f>
        <v>Кемеровская область / 2026 / ООО "Теплоэнерго" (ИНН:4214046200, КПП:421401001) / ДПР: 2026-2030</v>
      </c>
      <c r="AD21" s="468"/>
      <c r="AE21" s="468"/>
      <c r="AF21" s="468"/>
      <c r="AK21" s="994"/>
      <c r="AL21" s="994"/>
      <c r="AM21" s="994"/>
      <c r="AN21" s="994"/>
      <c r="AO21" s="994"/>
      <c r="AP21" s="994"/>
      <c r="AQ21" s="994"/>
      <c r="AR21" s="963"/>
      <c r="AS21" s="963"/>
    </row>
    <row customHeight="1" ht="20.475">
      <c r="E22" s="635">
        <v>21</v>
      </c>
      <c r="R22" s="960"/>
      <c r="AA22" s="960"/>
      <c r="AB22" s="1541" t="s">
        <v>415</v>
      </c>
      <c r="AC22" s="1542"/>
      <c r="AD22" s="1542"/>
      <c r="AE22" s="1542"/>
      <c r="AF22" s="1542"/>
      <c r="AG22" s="1542"/>
      <c r="AH22" s="1542"/>
    </row>
    <row customHeight="1" ht="8.775">
      <c r="E23" s="635">
        <v>9</v>
      </c>
      <c r="AA23" s="967"/>
      <c r="AB23" s="115"/>
      <c r="AC23" s="115"/>
      <c r="AD23" s="115"/>
      <c r="AE23" s="115"/>
      <c r="AF23" s="1559"/>
      <c r="AG23" s="1559"/>
      <c r="AH23" s="95"/>
    </row>
    <row s="1758" customFormat="1" customHeight="1" ht="20.475">
      <c r="B24" s="428"/>
      <c r="E24" s="635">
        <v>21</v>
      </c>
      <c r="AB24" s="186" t="s">
        <v>22</v>
      </c>
      <c r="AC24" s="185" t="s">
        <v>416</v>
      </c>
      <c r="AD24" s="185" t="s">
        <v>417</v>
      </c>
      <c r="AE24" s="185" t="s">
        <v>418</v>
      </c>
      <c r="AF24" s="185" t="s">
        <v>419</v>
      </c>
      <c r="AG24" s="185" t="s">
        <v>420</v>
      </c>
      <c r="AH24" s="185" t="s">
        <v>421</v>
      </c>
      <c r="AK24" s="997"/>
      <c r="AL24" s="997"/>
      <c r="AM24" s="997"/>
      <c r="AN24" s="997"/>
      <c r="AO24" s="997"/>
      <c r="AP24" s="997"/>
      <c r="AQ24" s="997"/>
      <c r="AR24" s="618"/>
      <c r="AS24" s="618"/>
    </row>
    <row s="1834" customFormat="1" customHeight="1" ht="11.25" hidden="1">
      <c r="A25" s="499"/>
      <c r="B25" s="658"/>
      <c r="C25" s="499"/>
      <c r="D25" s="499"/>
      <c r="E25" s="629">
        <v>0</v>
      </c>
      <c r="F25" s="654"/>
      <c r="G25" s="499"/>
      <c r="H25" s="499"/>
      <c r="I25" s="499"/>
      <c r="J25" s="499"/>
      <c r="K25" s="499"/>
      <c r="L25" s="499"/>
      <c r="M25" s="499"/>
      <c r="N25" s="499"/>
      <c r="O25" s="499"/>
      <c r="P25" s="499"/>
      <c r="Q25" s="499"/>
      <c r="R25" s="499"/>
      <c r="S25" s="499"/>
      <c r="T25" s="499"/>
      <c r="U25" s="499"/>
      <c r="V25" s="499"/>
      <c r="W25" s="499"/>
      <c r="X25" s="499"/>
      <c r="Y25" s="499"/>
      <c r="Z25" s="499"/>
      <c r="AA25" s="499"/>
      <c r="AB25" s="958"/>
      <c r="AC25" s="100"/>
      <c r="AD25" s="100"/>
      <c r="AE25" s="100"/>
      <c r="AF25" s="100"/>
      <c r="AI25" s="499"/>
      <c r="AJ25" s="499"/>
      <c r="AK25" s="998"/>
      <c r="AL25" s="998"/>
      <c r="AM25" s="998"/>
      <c r="AN25" s="998"/>
      <c r="AO25" s="998"/>
      <c r="AP25" s="999"/>
      <c r="AQ25" s="998"/>
      <c r="AR25" s="659"/>
      <c r="AS25" s="624"/>
    </row>
    <row s="1758" customFormat="1" customHeight="1" ht="15" hidden="1">
      <c r="A26" s="1758"/>
      <c r="B26" s="428"/>
      <c r="C26" s="1758"/>
      <c r="D26" s="1758"/>
      <c r="E26" s="636" t="s">
        <v>341</v>
      </c>
      <c r="F26" s="122" cm="1" t="str">
        <f t="array" ref="F26:F26">Y26</f>
        <v>0</v>
      </c>
      <c r="G26" s="1758"/>
      <c r="H26" s="1758"/>
      <c r="I26" s="1758"/>
      <c r="J26" s="1758"/>
      <c r="K26" s="1758"/>
      <c r="L26" s="1758"/>
      <c r="M26" s="1758"/>
      <c r="N26" s="1758"/>
      <c r="O26" s="1758"/>
      <c r="P26" s="1758"/>
      <c r="Q26" s="1758"/>
      <c r="R26" s="1758"/>
      <c r="S26" s="1758"/>
      <c r="T26" s="1758"/>
      <c r="U26" s="465">
        <f>Y26&gt;0</f>
        <v>0</v>
      </c>
      <c r="V26" s="1758"/>
      <c r="W26" s="122" t="s">
        <v>265</v>
      </c>
      <c r="X26" s="1758"/>
      <c r="Y26" s="1563">
        <v>0</v>
      </c>
      <c r="Z26" s="1546"/>
      <c r="AA26" s="1758"/>
      <c r="AB26" s="180" cm="1" t="str">
        <f t="array" ref="AB26:AB26">INDEX('Общие сведения'!$AG$179:$AG$250,MATCH($Y26,'Общие сведения'!$Z$179:$Z$250,0))</f>
        <v>Тариф 0 () - </v>
      </c>
      <c r="AC26" s="180"/>
      <c r="AD26" s="174"/>
      <c r="AE26" s="174"/>
      <c r="AF26" s="174"/>
      <c r="AG26" s="174"/>
      <c r="AH26" s="174"/>
      <c r="AI26" s="1758"/>
      <c r="AJ26" s="1758"/>
      <c r="AK26" s="997"/>
      <c r="AL26" s="997"/>
      <c r="AM26" s="997"/>
      <c r="AN26" s="997"/>
      <c r="AO26" s="997"/>
      <c r="AP26" s="997"/>
      <c r="AQ26" s="997"/>
      <c r="AR26" s="618"/>
      <c r="AS26" s="618"/>
    </row>
    <row s="1758" customFormat="1" customHeight="1" ht="15" hidden="1">
      <c r="A27" s="1758"/>
      <c r="B27" s="428"/>
      <c r="C27" s="1758"/>
      <c r="D27" s="1758"/>
      <c r="E27" s="629">
        <v>0</v>
      </c>
      <c r="F27" s="122" cm="1" t="str">
        <f t="array" ref="F27:F27">OFFSET(G27,-1,-1)</f>
        <v>0</v>
      </c>
      <c r="G27" s="1758"/>
      <c r="H27" s="1758"/>
      <c r="I27" s="1758"/>
      <c r="J27" s="1758"/>
      <c r="K27" s="1758"/>
      <c r="L27" s="1758"/>
      <c r="M27" s="1758"/>
      <c r="N27" s="1758"/>
      <c r="O27" s="1758"/>
      <c r="P27" s="1758"/>
      <c r="Q27" s="1758"/>
      <c r="R27" s="1758"/>
      <c r="S27" s="1758"/>
      <c r="T27" s="1758"/>
      <c r="U27" s="465" t="b">
        <v>0</v>
      </c>
      <c r="V27" s="1758"/>
      <c r="W27" s="1758"/>
      <c r="X27" s="1758"/>
      <c r="Y27" s="1563"/>
      <c r="Z27" s="1546"/>
      <c r="AA27" s="1758"/>
      <c r="AB27" s="180"/>
      <c r="AC27" s="180"/>
      <c r="AD27" s="174"/>
      <c r="AE27" s="174"/>
      <c r="AF27" s="174"/>
      <c r="AG27" s="174"/>
      <c r="AH27" s="174"/>
      <c r="AI27" s="1758"/>
      <c r="AJ27" s="1758"/>
      <c r="AK27" s="997"/>
      <c r="AL27" s="997"/>
      <c r="AM27" s="997"/>
      <c r="AN27" s="997"/>
      <c r="AO27" s="997"/>
      <c r="AP27" s="997"/>
      <c r="AQ27" s="997"/>
      <c r="AR27" s="618"/>
      <c r="AS27" s="618"/>
    </row>
    <row s="1459" customFormat="1" customHeight="1" ht="14.625" hidden="1">
      <c r="A28" s="1459"/>
      <c r="B28" s="428"/>
      <c r="C28" s="1459"/>
      <c r="D28" s="1459"/>
      <c r="E28" s="629">
        <v>15</v>
      </c>
      <c r="F28" s="104" cm="1" t="str">
        <f t="array" ref="F28:F28">OFFSET(G28,-1,-1)</f>
        <v>0</v>
      </c>
      <c r="G28" s="1459"/>
      <c r="H28" s="1459"/>
      <c r="I28" s="104" t="s">
        <v>422</v>
      </c>
      <c r="J28" s="1459"/>
      <c r="K28" s="104" t="s">
        <v>423</v>
      </c>
      <c r="L28" s="1459"/>
      <c r="M28" s="1459"/>
      <c r="N28" s="1459"/>
      <c r="O28" s="1459"/>
      <c r="P28" s="1459"/>
      <c r="Q28" s="1459"/>
      <c r="R28" s="1459"/>
      <c r="S28" s="1459"/>
      <c r="T28" s="1459"/>
      <c r="U28" s="465">
        <f>AND(F28&gt;0,AB28&gt;0)</f>
        <v>0</v>
      </c>
      <c r="V28" s="1459"/>
      <c r="W28" s="1459"/>
      <c r="X28" s="757" t="s">
        <v>174</v>
      </c>
      <c r="Y28" s="1563"/>
      <c r="Z28" s="1546"/>
      <c r="AA28" s="662" t="s">
        <v>175</v>
      </c>
      <c r="AB28" s="88">
        <v>0</v>
      </c>
      <c r="AC28" s="274" t="str">
        <f>I28&amp;" :: "&amp;K28</f>
        <v>Наименование объекта :: адрес</v>
      </c>
      <c r="AD28" s="274"/>
      <c r="AE28" s="274"/>
      <c r="AF28" s="405"/>
      <c r="AG28" s="405"/>
      <c r="AH28" s="1939"/>
      <c r="AI28" s="1459"/>
      <c r="AJ28" s="1459"/>
      <c r="AK28" s="1000" t="s">
        <v>424</v>
      </c>
      <c r="AL28" s="1000" t="s">
        <v>425</v>
      </c>
      <c r="AM28" s="1000" cm="1" t="str">
        <f t="array" ref="AM28:AM28">AC28</f>
        <v>Наименование объекта :: адрес</v>
      </c>
      <c r="AN28" s="1000" cm="1" t="str">
        <f t="array" ref="AN28:AN28">AD28</f>
        <v>0</v>
      </c>
      <c r="AO28" s="1000" cm="1" t="str">
        <f t="array" ref="AO28:AO28">AE28</f>
        <v>0</v>
      </c>
      <c r="AP28" s="1000" cm="1" t="str">
        <f t="array" ref="AP28:AP28">AF28</f>
        <v>0</v>
      </c>
      <c r="AQ28" s="1000" cm="1" t="str">
        <f t="array" ref="AQ28:AQ28">AG28</f>
        <v>0</v>
      </c>
      <c r="AR28" s="628"/>
      <c r="AS28" s="628" t="b">
        <v>1</v>
      </c>
    </row>
    <row s="1758" customFormat="1" customHeight="1" ht="10.725000000000001" hidden="1">
      <c r="A29" s="1758"/>
      <c r="B29" s="428"/>
      <c r="C29" s="1758"/>
      <c r="D29" s="1758"/>
      <c r="E29" s="629">
        <v>11</v>
      </c>
      <c r="F29" s="122" cm="1" t="str">
        <f t="array" ref="F29:F29">OFFSET(G29,-1,-1)</f>
        <v>0</v>
      </c>
      <c r="G29" s="1758"/>
      <c r="H29" s="1758"/>
      <c r="I29" s="1758"/>
      <c r="J29" s="1758"/>
      <c r="K29" s="1758"/>
      <c r="L29" s="1758"/>
      <c r="M29" s="1758"/>
      <c r="N29" s="1758"/>
      <c r="O29" s="1758"/>
      <c r="P29" s="1758"/>
      <c r="Q29" s="1758"/>
      <c r="R29" s="1758"/>
      <c r="S29" s="1758"/>
      <c r="T29" s="1758"/>
      <c r="U29" s="465">
        <f>F29&gt;0</f>
        <v>0</v>
      </c>
      <c r="V29" s="1758"/>
      <c r="W29" s="1758"/>
      <c r="X29" s="757" t="s">
        <v>426</v>
      </c>
      <c r="Y29" s="1563"/>
      <c r="Z29" s="1546"/>
      <c r="AA29" s="1758"/>
      <c r="AB29" s="175"/>
      <c r="AC29" s="178" t="s">
        <v>427</v>
      </c>
      <c r="AD29" s="176"/>
      <c r="AE29" s="176"/>
      <c r="AF29" s="176"/>
      <c r="AG29" s="176"/>
      <c r="AH29" s="187"/>
      <c r="AI29" s="1758"/>
      <c r="AJ29" s="1758"/>
      <c r="AK29" s="997"/>
      <c r="AL29" s="997"/>
      <c r="AM29" s="997"/>
      <c r="AN29" s="997"/>
      <c r="AO29" s="997"/>
      <c r="AP29" s="997"/>
      <c r="AQ29" s="997"/>
      <c r="AR29" s="618" t="s">
        <v>425</v>
      </c>
      <c r="AS29" s="618"/>
    </row>
    <row s="538" customFormat="1" customHeight="1" ht="15">
      <c r="A30" s="1758"/>
      <c r="B30" s="428"/>
      <c r="C30" s="1758"/>
      <c r="D30" s="1758"/>
      <c r="E30" s="636" t="s">
        <v>341</v>
      </c>
      <c r="F30" s="122" cm="1" t="str">
        <f t="array" ref="F30:F30">Y30</f>
        <v>1</v>
      </c>
      <c r="G30" s="1758"/>
      <c r="H30" s="1758"/>
      <c r="I30" s="1758"/>
      <c r="J30" s="1758"/>
      <c r="K30" s="1758"/>
      <c r="L30" s="1758"/>
      <c r="M30" s="1758"/>
      <c r="N30" s="1758"/>
      <c r="O30" s="1758"/>
      <c r="P30" s="1758"/>
      <c r="Q30" s="1758"/>
      <c r="R30" s="1758"/>
      <c r="S30" s="1758"/>
      <c r="T30" s="1758"/>
      <c r="U30" s="465">
        <f>Y30&gt;0</f>
        <v>1</v>
      </c>
      <c r="V30" s="1758"/>
      <c r="W30" s="122" cm="1" t="str">
        <f t="array" ref="W30:W30">'Перечень объектов'!$AC$39</f>
        <v>Тариф 1 (Водоснабжение) - тариф на питьевую воду (Доп. признак не требуется)</v>
      </c>
      <c r="X30" s="1758"/>
      <c r="Y30" s="1563" t="s">
        <v>276</v>
      </c>
      <c r="Z30" s="1546"/>
      <c r="AA30" s="1758"/>
      <c r="AB30" s="180" cm="1" t="str">
        <f t="array" ref="AB30:AB30">'Перечень объектов'!$AC$39</f>
        <v>Тариф 1 (Водоснабжение) - тариф на питьевую воду (Доп. признак не требуется)</v>
      </c>
      <c r="AC30" s="180"/>
      <c r="AD30" s="174"/>
      <c r="AE30" s="174"/>
      <c r="AF30" s="174"/>
      <c r="AG30" s="174"/>
      <c r="AH30" s="174"/>
      <c r="AI30" s="1758"/>
      <c r="AJ30" s="1758"/>
      <c r="AK30" s="997"/>
      <c r="AL30" s="997"/>
      <c r="AM30" s="997"/>
      <c r="AN30" s="997"/>
      <c r="AO30" s="997"/>
      <c r="AP30" s="997"/>
      <c r="AQ30" s="997"/>
      <c r="AR30" s="618"/>
      <c r="AS30" s="618"/>
    </row>
    <row s="538" customFormat="1" customHeight="1" ht="15" hidden="1">
      <c r="A31" s="1758"/>
      <c r="B31" s="428"/>
      <c r="C31" s="1758"/>
      <c r="D31" s="1758"/>
      <c r="E31" s="629">
        <v>0</v>
      </c>
      <c r="F31" s="122" cm="1" t="str">
        <f t="array" ref="F31:F31">OFFSET(G31,-1,-1)</f>
        <v>1</v>
      </c>
      <c r="G31" s="1758"/>
      <c r="H31" s="1758"/>
      <c r="I31" s="1758"/>
      <c r="J31" s="1758"/>
      <c r="K31" s="1758"/>
      <c r="L31" s="1758"/>
      <c r="M31" s="1758"/>
      <c r="N31" s="1758"/>
      <c r="O31" s="1758"/>
      <c r="P31" s="1758"/>
      <c r="Q31" s="1758"/>
      <c r="R31" s="1758"/>
      <c r="S31" s="1758"/>
      <c r="T31" s="1758"/>
      <c r="U31" s="465" t="b">
        <v>0</v>
      </c>
      <c r="V31" s="1758"/>
      <c r="W31" s="1758"/>
      <c r="X31" s="1758"/>
      <c r="Y31" s="1563"/>
      <c r="Z31" s="1546"/>
      <c r="AA31" s="1758"/>
      <c r="AB31" s="180"/>
      <c r="AC31" s="180"/>
      <c r="AD31" s="174"/>
      <c r="AE31" s="174"/>
      <c r="AF31" s="174"/>
      <c r="AG31" s="174"/>
      <c r="AH31" s="174"/>
      <c r="AI31" s="1758"/>
      <c r="AJ31" s="1758"/>
      <c r="AK31" s="997"/>
      <c r="AL31" s="997"/>
      <c r="AM31" s="997"/>
      <c r="AN31" s="997"/>
      <c r="AO31" s="997"/>
      <c r="AP31" s="997"/>
      <c r="AQ31" s="997"/>
      <c r="AR31" s="618"/>
      <c r="AS31" s="618"/>
    </row>
    <row s="1459" customFormat="1" customHeight="1" ht="14.25" hidden="1">
      <c r="E32" s="629">
        <v>15</v>
      </c>
      <c r="F32" s="104" cm="1" t="str">
        <f t="array" ref="F32:F32">OFFSET(G32,-1,-1)</f>
        <v>1</v>
      </c>
      <c r="I32" s="104" t="s">
        <v>422</v>
      </c>
      <c r="K32" s="104" t="s">
        <v>423</v>
      </c>
      <c r="U32" s="465">
        <f>AND(F32&gt;0,AB32&gt;0)</f>
        <v>0</v>
      </c>
      <c r="X32" s="717" t="s">
        <v>174</v>
      </c>
      <c r="AA32" s="662" t="s">
        <v>175</v>
      </c>
      <c r="AB32" s="88">
        <v>0</v>
      </c>
      <c r="AC32" s="274" t="str">
        <f>I32&amp;" :: "&amp;K32</f>
        <v>Наименование объекта :: адрес</v>
      </c>
      <c r="AD32" s="274"/>
      <c r="AE32" s="274"/>
      <c r="AF32" s="405"/>
      <c r="AG32" s="405"/>
      <c r="AH32" s="2012"/>
      <c r="AK32" s="1000" t="s">
        <v>424</v>
      </c>
      <c r="AL32" s="1000" t="s">
        <v>425</v>
      </c>
      <c r="AM32" s="1000" cm="1" t="str">
        <f t="array" ref="AM32:AM32">AC32</f>
        <v>Наименование объекта :: адрес</v>
      </c>
      <c r="AN32" s="1000" cm="1" t="str">
        <f t="array" ref="AN32:AN32">AD32</f>
        <v>0</v>
      </c>
      <c r="AO32" s="1000" cm="1" t="str">
        <f t="array" ref="AO32:AO32">AE32</f>
        <v>0</v>
      </c>
      <c r="AP32" s="1000" cm="1" t="str">
        <f t="array" ref="AP32:AP32">AF32</f>
        <v>0</v>
      </c>
      <c r="AQ32" s="1000" cm="1" t="str">
        <f t="array" ref="AQ32:AQ32">AG32</f>
        <v>0</v>
      </c>
      <c r="AR32" s="619"/>
      <c r="AS32" s="619" t="b">
        <v>1</v>
      </c>
    </row>
    <row s="1459" customFormat="1" customHeight="1" ht="23.25">
      <c r="A33" s="1459"/>
      <c r="B33" s="1459"/>
      <c r="C33" s="1459"/>
      <c r="D33" s="1459"/>
      <c r="E33" s="629">
        <v>15</v>
      </c>
      <c r="F33" s="104" cm="1" t="str">
        <f t="array" ref="F33:F33">OFFSET(G33,-1,-1)</f>
        <v>1</v>
      </c>
      <c r="G33" s="1459"/>
      <c r="H33" s="1459"/>
      <c r="I33" s="104" t="s">
        <v>428</v>
      </c>
      <c r="J33" s="1459"/>
      <c r="K33" s="104" t="s">
        <v>429</v>
      </c>
      <c r="L33" s="1459"/>
      <c r="M33" s="1459"/>
      <c r="N33" s="1459"/>
      <c r="O33" s="1459"/>
      <c r="P33" s="1459"/>
      <c r="Q33" s="1459"/>
      <c r="R33" s="1459"/>
      <c r="S33" s="1459"/>
      <c r="T33" s="1459"/>
      <c r="U33" s="465">
        <f>AND(F33&gt;0,AB33&gt;0)</f>
        <v>1</v>
      </c>
      <c r="V33" s="1459"/>
      <c r="W33" s="1459"/>
      <c r="X33" s="717"/>
      <c r="Y33" s="1459"/>
      <c r="Z33" s="1459"/>
      <c r="AA33" s="662" t="s">
        <v>175</v>
      </c>
      <c r="AB33" s="88" t="s">
        <v>276</v>
      </c>
      <c r="AC33" s="274" t="str">
        <f>I33&amp;" :: "&amp;K33</f>
        <v>Водопровод магистральный от Водозабор №1 до п. Постоянный (3 нитка водопровода) :: г Осинники, город Калтан, -</v>
      </c>
      <c r="AD33" s="274" t="s">
        <v>430</v>
      </c>
      <c r="AE33" s="274" t="s">
        <v>431</v>
      </c>
      <c r="AF33" s="405" t="s">
        <v>432</v>
      </c>
      <c r="AG33" s="405" t="s">
        <v>433</v>
      </c>
      <c r="AH33" s="2013" t="s">
        <v>434</v>
      </c>
      <c r="AI33" s="1459"/>
      <c r="AJ33" s="1459"/>
      <c r="AK33" s="1000" t="s">
        <v>424</v>
      </c>
      <c r="AL33" s="1000" t="s">
        <v>425</v>
      </c>
      <c r="AM33" s="1000" cm="1" t="str">
        <f t="array" ref="AM33:AM33">AC33</f>
        <v>Водопровод магистральный от Водозабор №1 до п. Постоянный (3 нитка водопровода) :: г Осинники, город Калтан, -</v>
      </c>
      <c r="AN33" s="1000" cm="1" t="str">
        <f t="array" ref="AN33:AN33">AD33</f>
        <v>концессионное соглашение</v>
      </c>
      <c r="AO33" s="1000" cm="1" t="str">
        <f t="array" ref="AO33:AO33">AE33</f>
        <v>акт приёма-передачи</v>
      </c>
      <c r="AP33" s="1000" cm="1" t="str">
        <f t="array" ref="AP33:AP33">AF33</f>
        <v>б/н</v>
      </c>
      <c r="AQ33" s="1000" cm="1" t="str">
        <f t="array" ref="AQ33:AQ33">AG33</f>
        <v>01.06.2026</v>
      </c>
      <c r="AR33" s="619"/>
      <c r="AS33" s="619" t="b">
        <v>1</v>
      </c>
    </row>
    <row s="1459" customFormat="1" customHeight="1" ht="23.25">
      <c r="A34" s="1459"/>
      <c r="B34" s="1459"/>
      <c r="C34" s="1459"/>
      <c r="D34" s="1459"/>
      <c r="E34" s="629">
        <v>15</v>
      </c>
      <c r="F34" s="104" cm="1" t="str">
        <f t="array" ref="F34:F34">OFFSET(G34,-1,-1)</f>
        <v>1</v>
      </c>
      <c r="G34" s="1459"/>
      <c r="H34" s="1459"/>
      <c r="I34" s="104" t="s">
        <v>435</v>
      </c>
      <c r="J34" s="1459"/>
      <c r="K34" s="104" t="s">
        <v>436</v>
      </c>
      <c r="L34" s="1459"/>
      <c r="M34" s="1459"/>
      <c r="N34" s="1459"/>
      <c r="O34" s="1459"/>
      <c r="P34" s="1459"/>
      <c r="Q34" s="1459"/>
      <c r="R34" s="1459"/>
      <c r="S34" s="1459"/>
      <c r="T34" s="1459"/>
      <c r="U34" s="465">
        <f>AND(F34&gt;0,AB34&gt;0)</f>
        <v>1</v>
      </c>
      <c r="V34" s="1459"/>
      <c r="W34" s="1459"/>
      <c r="X34" s="717"/>
      <c r="Y34" s="1459"/>
      <c r="Z34" s="1459"/>
      <c r="AA34" s="662" t="s">
        <v>175</v>
      </c>
      <c r="AB34" s="88" t="s">
        <v>285</v>
      </c>
      <c r="AC34" s="274" t="str">
        <f>I34&amp;" :: "&amp;K34</f>
        <v>Водопровод магистральный от Водозабор №1 до Водозабора №2 (2 нитка водопровода) :: г Осинники, город Осинники, -</v>
      </c>
      <c r="AD34" s="274" t="s">
        <v>430</v>
      </c>
      <c r="AE34" s="274" t="s">
        <v>431</v>
      </c>
      <c r="AF34" s="405" t="s">
        <v>432</v>
      </c>
      <c r="AG34" s="405" t="s">
        <v>433</v>
      </c>
      <c r="AH34" s="2013" t="s">
        <v>434</v>
      </c>
      <c r="AI34" s="1459"/>
      <c r="AJ34" s="1459"/>
      <c r="AK34" s="1000" t="s">
        <v>424</v>
      </c>
      <c r="AL34" s="1000" t="s">
        <v>425</v>
      </c>
      <c r="AM34" s="1000" cm="1" t="str">
        <f t="array" ref="AM34:AM34">AC34</f>
        <v>Водопровод магистральный от Водозабор №1 до Водозабора №2 (2 нитка водопровода) :: г Осинники, город Осинники, -</v>
      </c>
      <c r="AN34" s="1000" cm="1" t="str">
        <f t="array" ref="AN34:AN34">AD34</f>
        <v>концессионное соглашение</v>
      </c>
      <c r="AO34" s="1000" cm="1" t="str">
        <f t="array" ref="AO34:AO34">AE34</f>
        <v>акт приёма-передачи</v>
      </c>
      <c r="AP34" s="1000" cm="1" t="str">
        <f t="array" ref="AP34:AP34">AF34</f>
        <v>б/н</v>
      </c>
      <c r="AQ34" s="1000" cm="1" t="str">
        <f t="array" ref="AQ34:AQ34">AG34</f>
        <v>01.06.2026</v>
      </c>
      <c r="AR34" s="619"/>
      <c r="AS34" s="619" t="b">
        <v>1</v>
      </c>
    </row>
    <row s="1459" customFormat="1" customHeight="1" ht="23.25">
      <c r="A35" s="1459"/>
      <c r="B35" s="1459"/>
      <c r="C35" s="1459"/>
      <c r="D35" s="1459"/>
      <c r="E35" s="629">
        <v>15</v>
      </c>
      <c r="F35" s="104" cm="1" t="str">
        <f t="array" ref="F35:F35">OFFSET(G35,-1,-1)</f>
        <v>1</v>
      </c>
      <c r="G35" s="1459"/>
      <c r="H35" s="1459"/>
      <c r="I35" s="104" t="s">
        <v>437</v>
      </c>
      <c r="J35" s="1459"/>
      <c r="K35" s="104" t="s">
        <v>438</v>
      </c>
      <c r="L35" s="1459"/>
      <c r="M35" s="1459"/>
      <c r="N35" s="1459"/>
      <c r="O35" s="1459"/>
      <c r="P35" s="1459"/>
      <c r="Q35" s="1459"/>
      <c r="R35" s="1459"/>
      <c r="S35" s="1459"/>
      <c r="T35" s="1459"/>
      <c r="U35" s="465">
        <f>AND(F35&gt;0,AB35&gt;0)</f>
        <v>1</v>
      </c>
      <c r="V35" s="1459"/>
      <c r="W35" s="1459"/>
      <c r="X35" s="717"/>
      <c r="Y35" s="1459"/>
      <c r="Z35" s="1459"/>
      <c r="AA35" s="662" t="s">
        <v>175</v>
      </c>
      <c r="AB35" s="88" t="s">
        <v>289</v>
      </c>
      <c r="AC35" s="274" t="str">
        <f>I35&amp;" :: "&amp;K35</f>
        <v>Сети г. Осинники :: г Осинники, город Осинники, 1</v>
      </c>
      <c r="AD35" s="274" t="s">
        <v>430</v>
      </c>
      <c r="AE35" s="274" t="s">
        <v>431</v>
      </c>
      <c r="AF35" s="405" t="s">
        <v>432</v>
      </c>
      <c r="AG35" s="405" t="s">
        <v>433</v>
      </c>
      <c r="AH35" s="2013" t="s">
        <v>434</v>
      </c>
      <c r="AI35" s="1459"/>
      <c r="AJ35" s="1459"/>
      <c r="AK35" s="1000" t="s">
        <v>424</v>
      </c>
      <c r="AL35" s="1000" t="s">
        <v>425</v>
      </c>
      <c r="AM35" s="1000" cm="1" t="str">
        <f t="array" ref="AM35:AM35">AC35</f>
        <v>Сети г. Осинники :: г Осинники, город Осинники, 1</v>
      </c>
      <c r="AN35" s="1000" cm="1" t="str">
        <f t="array" ref="AN35:AN35">AD35</f>
        <v>концессионное соглашение</v>
      </c>
      <c r="AO35" s="1000" cm="1" t="str">
        <f t="array" ref="AO35:AO35">AE35</f>
        <v>акт приёма-передачи</v>
      </c>
      <c r="AP35" s="1000" cm="1" t="str">
        <f t="array" ref="AP35:AP35">AF35</f>
        <v>б/н</v>
      </c>
      <c r="AQ35" s="1000" cm="1" t="str">
        <f t="array" ref="AQ35:AQ35">AG35</f>
        <v>01.06.2026</v>
      </c>
      <c r="AR35" s="619"/>
      <c r="AS35" s="619" t="b">
        <v>1</v>
      </c>
    </row>
    <row s="1459" customFormat="1" customHeight="1" ht="23.25">
      <c r="A36" s="1459"/>
      <c r="B36" s="1459"/>
      <c r="C36" s="1459"/>
      <c r="D36" s="1459"/>
      <c r="E36" s="629">
        <v>15</v>
      </c>
      <c r="F36" s="104" cm="1" t="str">
        <f t="array" ref="F36:F36">OFFSET(G36,-1,-1)</f>
        <v>1</v>
      </c>
      <c r="G36" s="1459"/>
      <c r="H36" s="1459"/>
      <c r="I36" s="104" t="s">
        <v>439</v>
      </c>
      <c r="J36" s="1459"/>
      <c r="K36" s="104" t="s">
        <v>440</v>
      </c>
      <c r="L36" s="1459"/>
      <c r="M36" s="1459"/>
      <c r="N36" s="1459"/>
      <c r="O36" s="1459"/>
      <c r="P36" s="1459"/>
      <c r="Q36" s="1459"/>
      <c r="R36" s="1459"/>
      <c r="S36" s="1459"/>
      <c r="T36" s="1459"/>
      <c r="U36" s="465">
        <f>AND(F36&gt;0,AB36&gt;0)</f>
        <v>1</v>
      </c>
      <c r="V36" s="1459"/>
      <c r="W36" s="1459"/>
      <c r="X36" s="717"/>
      <c r="Y36" s="1459"/>
      <c r="Z36" s="1459"/>
      <c r="AA36" s="662" t="s">
        <v>175</v>
      </c>
      <c r="AB36" s="88" t="s">
        <v>295</v>
      </c>
      <c r="AC36" s="274" t="str">
        <f>I36&amp;" :: "&amp;K36</f>
        <v>водозабор №1 :: г Осинники, Новокузнецкий район, -</v>
      </c>
      <c r="AD36" s="274" t="s">
        <v>430</v>
      </c>
      <c r="AE36" s="274" t="s">
        <v>431</v>
      </c>
      <c r="AF36" s="405" t="s">
        <v>432</v>
      </c>
      <c r="AG36" s="405" t="s">
        <v>433</v>
      </c>
      <c r="AH36" s="2013" t="s">
        <v>434</v>
      </c>
      <c r="AI36" s="1459"/>
      <c r="AJ36" s="1459"/>
      <c r="AK36" s="1000" t="s">
        <v>424</v>
      </c>
      <c r="AL36" s="1000" t="s">
        <v>425</v>
      </c>
      <c r="AM36" s="1000" cm="1" t="str">
        <f t="array" ref="AM36:AM36">AC36</f>
        <v>водозабор №1 :: г Осинники, Новокузнецкий район, -</v>
      </c>
      <c r="AN36" s="1000" cm="1" t="str">
        <f t="array" ref="AN36:AN36">AD36</f>
        <v>концессионное соглашение</v>
      </c>
      <c r="AO36" s="1000" cm="1" t="str">
        <f t="array" ref="AO36:AO36">AE36</f>
        <v>акт приёма-передачи</v>
      </c>
      <c r="AP36" s="1000" cm="1" t="str">
        <f t="array" ref="AP36:AP36">AF36</f>
        <v>б/н</v>
      </c>
      <c r="AQ36" s="1000" cm="1" t="str">
        <f t="array" ref="AQ36:AQ36">AG36</f>
        <v>01.06.2026</v>
      </c>
      <c r="AR36" s="619"/>
      <c r="AS36" s="619" t="b">
        <v>1</v>
      </c>
    </row>
    <row s="1459" customFormat="1" customHeight="1" ht="23.25">
      <c r="A37" s="1459"/>
      <c r="B37" s="1459"/>
      <c r="C37" s="1459"/>
      <c r="D37" s="1459"/>
      <c r="E37" s="629">
        <v>15</v>
      </c>
      <c r="F37" s="104" cm="1" t="str">
        <f t="array" ref="F37:F37">OFFSET(G37,-1,-1)</f>
        <v>1</v>
      </c>
      <c r="G37" s="1459"/>
      <c r="H37" s="1459"/>
      <c r="I37" s="104" t="s">
        <v>441</v>
      </c>
      <c r="J37" s="1459"/>
      <c r="K37" s="104" t="s">
        <v>442</v>
      </c>
      <c r="L37" s="1459"/>
      <c r="M37" s="1459"/>
      <c r="N37" s="1459"/>
      <c r="O37" s="1459"/>
      <c r="P37" s="1459"/>
      <c r="Q37" s="1459"/>
      <c r="R37" s="1459"/>
      <c r="S37" s="1459"/>
      <c r="T37" s="1459"/>
      <c r="U37" s="465">
        <f>AND(F37&gt;0,AB37&gt;0)</f>
        <v>1</v>
      </c>
      <c r="V37" s="1459"/>
      <c r="W37" s="1459"/>
      <c r="X37" s="717"/>
      <c r="Y37" s="1459"/>
      <c r="Z37" s="1459"/>
      <c r="AA37" s="662" t="s">
        <v>175</v>
      </c>
      <c r="AB37" s="88" t="s">
        <v>443</v>
      </c>
      <c r="AC37" s="274" t="str">
        <f>I37&amp;" :: "&amp;K37</f>
        <v>Здание 7-го подъема :: г Осинники, пер. Кирова 1-й, 15 а</v>
      </c>
      <c r="AD37" s="274" t="s">
        <v>430</v>
      </c>
      <c r="AE37" s="274" t="s">
        <v>431</v>
      </c>
      <c r="AF37" s="405" t="s">
        <v>432</v>
      </c>
      <c r="AG37" s="405" t="s">
        <v>433</v>
      </c>
      <c r="AH37" s="2013" t="s">
        <v>434</v>
      </c>
      <c r="AI37" s="1459"/>
      <c r="AJ37" s="1459"/>
      <c r="AK37" s="1000" t="s">
        <v>424</v>
      </c>
      <c r="AL37" s="1000" t="s">
        <v>425</v>
      </c>
      <c r="AM37" s="1000" cm="1" t="str">
        <f t="array" ref="AM37:AM37">AC37</f>
        <v>Здание 7-го подъема :: г Осинники, пер. Кирова 1-й, 15 а</v>
      </c>
      <c r="AN37" s="1000" cm="1" t="str">
        <f t="array" ref="AN37:AN37">AD37</f>
        <v>концессионное соглашение</v>
      </c>
      <c r="AO37" s="1000" cm="1" t="str">
        <f t="array" ref="AO37:AO37">AE37</f>
        <v>акт приёма-передачи</v>
      </c>
      <c r="AP37" s="1000" cm="1" t="str">
        <f t="array" ref="AP37:AP37">AF37</f>
        <v>б/н</v>
      </c>
      <c r="AQ37" s="1000" cm="1" t="str">
        <f t="array" ref="AQ37:AQ37">AG37</f>
        <v>01.06.2026</v>
      </c>
      <c r="AR37" s="619"/>
      <c r="AS37" s="619" t="b">
        <v>1</v>
      </c>
    </row>
    <row s="1459" customFormat="1" customHeight="1" ht="23.25">
      <c r="A38" s="1459"/>
      <c r="B38" s="1459"/>
      <c r="C38" s="1459"/>
      <c r="D38" s="1459"/>
      <c r="E38" s="629">
        <v>15</v>
      </c>
      <c r="F38" s="104" cm="1" t="str">
        <f t="array" ref="F38:F38">OFFSET(G38,-1,-1)</f>
        <v>1</v>
      </c>
      <c r="G38" s="1459"/>
      <c r="H38" s="1459"/>
      <c r="I38" s="104" t="s">
        <v>444</v>
      </c>
      <c r="J38" s="1459"/>
      <c r="K38" s="104" t="s">
        <v>445</v>
      </c>
      <c r="L38" s="1459"/>
      <c r="M38" s="1459"/>
      <c r="N38" s="1459"/>
      <c r="O38" s="1459"/>
      <c r="P38" s="1459"/>
      <c r="Q38" s="1459"/>
      <c r="R38" s="1459"/>
      <c r="S38" s="1459"/>
      <c r="T38" s="1459"/>
      <c r="U38" s="465">
        <f>AND(F38&gt;0,AB38&gt;0)</f>
        <v>1</v>
      </c>
      <c r="V38" s="1459"/>
      <c r="W38" s="1459"/>
      <c r="X38" s="717"/>
      <c r="Y38" s="1459"/>
      <c r="Z38" s="1459"/>
      <c r="AA38" s="662" t="s">
        <v>175</v>
      </c>
      <c r="AB38" s="88" t="s">
        <v>446</v>
      </c>
      <c r="AC38" s="274" t="str">
        <f>I38&amp;" :: "&amp;K38</f>
        <v>Здание 3-го подъема :: г Осинники, ул. Байдукова, 10 а</v>
      </c>
      <c r="AD38" s="274" t="s">
        <v>430</v>
      </c>
      <c r="AE38" s="274" t="s">
        <v>431</v>
      </c>
      <c r="AF38" s="405" t="s">
        <v>432</v>
      </c>
      <c r="AG38" s="405" t="s">
        <v>433</v>
      </c>
      <c r="AH38" s="2013" t="s">
        <v>434</v>
      </c>
      <c r="AI38" s="1459"/>
      <c r="AJ38" s="1459"/>
      <c r="AK38" s="1000" t="s">
        <v>424</v>
      </c>
      <c r="AL38" s="1000" t="s">
        <v>425</v>
      </c>
      <c r="AM38" s="1000" cm="1" t="str">
        <f t="array" ref="AM38:AM38">AC38</f>
        <v>Здание 3-го подъема :: г Осинники, ул. Байдукова, 10 а</v>
      </c>
      <c r="AN38" s="1000" cm="1" t="str">
        <f t="array" ref="AN38:AN38">AD38</f>
        <v>концессионное соглашение</v>
      </c>
      <c r="AO38" s="1000" cm="1" t="str">
        <f t="array" ref="AO38:AO38">AE38</f>
        <v>акт приёма-передачи</v>
      </c>
      <c r="AP38" s="1000" cm="1" t="str">
        <f t="array" ref="AP38:AP38">AF38</f>
        <v>б/н</v>
      </c>
      <c r="AQ38" s="1000" cm="1" t="str">
        <f t="array" ref="AQ38:AQ38">AG38</f>
        <v>01.06.2026</v>
      </c>
      <c r="AR38" s="619"/>
      <c r="AS38" s="619" t="b">
        <v>1</v>
      </c>
    </row>
    <row s="1459" customFormat="1" customHeight="1" ht="23.25">
      <c r="A39" s="1459"/>
      <c r="B39" s="1459"/>
      <c r="C39" s="1459"/>
      <c r="D39" s="1459"/>
      <c r="E39" s="629">
        <v>15</v>
      </c>
      <c r="F39" s="104" cm="1" t="str">
        <f t="array" ref="F39:F39">OFFSET(G39,-1,-1)</f>
        <v>1</v>
      </c>
      <c r="G39" s="1459"/>
      <c r="H39" s="1459"/>
      <c r="I39" s="104" t="s">
        <v>447</v>
      </c>
      <c r="J39" s="1459"/>
      <c r="K39" s="104" t="s">
        <v>448</v>
      </c>
      <c r="L39" s="1459"/>
      <c r="M39" s="1459"/>
      <c r="N39" s="1459"/>
      <c r="O39" s="1459"/>
      <c r="P39" s="1459"/>
      <c r="Q39" s="1459"/>
      <c r="R39" s="1459"/>
      <c r="S39" s="1459"/>
      <c r="T39" s="1459"/>
      <c r="U39" s="465">
        <f>AND(F39&gt;0,AB39&gt;0)</f>
        <v>1</v>
      </c>
      <c r="V39" s="1459"/>
      <c r="W39" s="1459"/>
      <c r="X39" s="717"/>
      <c r="Y39" s="1459"/>
      <c r="Z39" s="1459"/>
      <c r="AA39" s="662" t="s">
        <v>175</v>
      </c>
      <c r="AB39" s="88" t="s">
        <v>449</v>
      </c>
      <c r="AC39" s="274" t="str">
        <f>I39&amp;" :: "&amp;K39</f>
        <v>Водозабор №2 :: г Осинники, ул. Водонасосная, 1</v>
      </c>
      <c r="AD39" s="274" t="s">
        <v>430</v>
      </c>
      <c r="AE39" s="274" t="s">
        <v>431</v>
      </c>
      <c r="AF39" s="405" t="s">
        <v>432</v>
      </c>
      <c r="AG39" s="405" t="s">
        <v>433</v>
      </c>
      <c r="AH39" s="2013" t="s">
        <v>434</v>
      </c>
      <c r="AI39" s="1459"/>
      <c r="AJ39" s="1459"/>
      <c r="AK39" s="1000" t="s">
        <v>424</v>
      </c>
      <c r="AL39" s="1000" t="s">
        <v>425</v>
      </c>
      <c r="AM39" s="1000" cm="1" t="str">
        <f t="array" ref="AM39:AM39">AC39</f>
        <v>Водозабор №2 :: г Осинники, ул. Водонасосная, 1</v>
      </c>
      <c r="AN39" s="1000" cm="1" t="str">
        <f t="array" ref="AN39:AN39">AD39</f>
        <v>концессионное соглашение</v>
      </c>
      <c r="AO39" s="1000" cm="1" t="str">
        <f t="array" ref="AO39:AO39">AE39</f>
        <v>акт приёма-передачи</v>
      </c>
      <c r="AP39" s="1000" cm="1" t="str">
        <f t="array" ref="AP39:AP39">AF39</f>
        <v>б/н</v>
      </c>
      <c r="AQ39" s="1000" cm="1" t="str">
        <f t="array" ref="AQ39:AQ39">AG39</f>
        <v>01.06.2026</v>
      </c>
      <c r="AR39" s="619"/>
      <c r="AS39" s="619" t="b">
        <v>1</v>
      </c>
    </row>
    <row s="1459" customFormat="1" customHeight="1" ht="23.25">
      <c r="A40" s="1459"/>
      <c r="B40" s="1459"/>
      <c r="C40" s="1459"/>
      <c r="D40" s="1459"/>
      <c r="E40" s="629">
        <v>15</v>
      </c>
      <c r="F40" s="104" cm="1" t="str">
        <f t="array" ref="F40:F40">OFFSET(G40,-1,-1)</f>
        <v>1</v>
      </c>
      <c r="G40" s="1459"/>
      <c r="H40" s="1459"/>
      <c r="I40" s="104" t="s">
        <v>450</v>
      </c>
      <c r="J40" s="1459"/>
      <c r="K40" s="104" t="s">
        <v>451</v>
      </c>
      <c r="L40" s="1459"/>
      <c r="M40" s="1459"/>
      <c r="N40" s="1459"/>
      <c r="O40" s="1459"/>
      <c r="P40" s="1459"/>
      <c r="Q40" s="1459"/>
      <c r="R40" s="1459"/>
      <c r="S40" s="1459"/>
      <c r="T40" s="1459"/>
      <c r="U40" s="465">
        <f>AND(F40&gt;0,AB40&gt;0)</f>
        <v>1</v>
      </c>
      <c r="V40" s="1459"/>
      <c r="W40" s="1459"/>
      <c r="X40" s="717"/>
      <c r="Y40" s="1459"/>
      <c r="Z40" s="1459"/>
      <c r="AA40" s="662" t="s">
        <v>175</v>
      </c>
      <c r="AB40" s="88" t="s">
        <v>452</v>
      </c>
      <c r="AC40" s="274" t="str">
        <f>I40&amp;" :: "&amp;K40</f>
        <v>Подкачка 4-го подъема :: г Осинники, ул. Комсомольская, 7 а</v>
      </c>
      <c r="AD40" s="274" t="s">
        <v>430</v>
      </c>
      <c r="AE40" s="274" t="s">
        <v>431</v>
      </c>
      <c r="AF40" s="405" t="s">
        <v>432</v>
      </c>
      <c r="AG40" s="405" t="s">
        <v>433</v>
      </c>
      <c r="AH40" s="2013" t="s">
        <v>434</v>
      </c>
      <c r="AI40" s="1459"/>
      <c r="AJ40" s="1459"/>
      <c r="AK40" s="1000" t="s">
        <v>424</v>
      </c>
      <c r="AL40" s="1000" t="s">
        <v>425</v>
      </c>
      <c r="AM40" s="1000" cm="1" t="str">
        <f t="array" ref="AM40:AM40">AC40</f>
        <v>Подкачка 4-го подъема :: г Осинники, ул. Комсомольская, 7 а</v>
      </c>
      <c r="AN40" s="1000" cm="1" t="str">
        <f t="array" ref="AN40:AN40">AD40</f>
        <v>концессионное соглашение</v>
      </c>
      <c r="AO40" s="1000" cm="1" t="str">
        <f t="array" ref="AO40:AO40">AE40</f>
        <v>акт приёма-передачи</v>
      </c>
      <c r="AP40" s="1000" cm="1" t="str">
        <f t="array" ref="AP40:AP40">AF40</f>
        <v>б/н</v>
      </c>
      <c r="AQ40" s="1000" cm="1" t="str">
        <f t="array" ref="AQ40:AQ40">AG40</f>
        <v>01.06.2026</v>
      </c>
      <c r="AR40" s="619"/>
      <c r="AS40" s="619" t="b">
        <v>1</v>
      </c>
    </row>
    <row s="1459" customFormat="1" customHeight="1" ht="23.25">
      <c r="A41" s="1459"/>
      <c r="B41" s="1459"/>
      <c r="C41" s="1459"/>
      <c r="D41" s="1459"/>
      <c r="E41" s="629">
        <v>15</v>
      </c>
      <c r="F41" s="104" cm="1" t="str">
        <f t="array" ref="F41:F41">OFFSET(G41,-1,-1)</f>
        <v>1</v>
      </c>
      <c r="G41" s="1459"/>
      <c r="H41" s="1459"/>
      <c r="I41" s="104" t="s">
        <v>453</v>
      </c>
      <c r="J41" s="1459"/>
      <c r="K41" s="104" t="s">
        <v>454</v>
      </c>
      <c r="L41" s="1459"/>
      <c r="M41" s="1459"/>
      <c r="N41" s="1459"/>
      <c r="O41" s="1459"/>
      <c r="P41" s="1459"/>
      <c r="Q41" s="1459"/>
      <c r="R41" s="1459"/>
      <c r="S41" s="1459"/>
      <c r="T41" s="1459"/>
      <c r="U41" s="465">
        <f>AND(F41&gt;0,AB41&gt;0)</f>
        <v>1</v>
      </c>
      <c r="V41" s="1459"/>
      <c r="W41" s="1459"/>
      <c r="X41" s="717"/>
      <c r="Y41" s="1459"/>
      <c r="Z41" s="1459"/>
      <c r="AA41" s="662" t="s">
        <v>175</v>
      </c>
      <c r="AB41" s="88" t="s">
        <v>455</v>
      </c>
      <c r="AC41" s="274" t="str">
        <f>I41&amp;" :: "&amp;K41</f>
        <v>Здание 6-го подъема :: г Осинники, ул. Ленина, 57 а</v>
      </c>
      <c r="AD41" s="274" t="s">
        <v>430</v>
      </c>
      <c r="AE41" s="274" t="s">
        <v>431</v>
      </c>
      <c r="AF41" s="405" t="s">
        <v>432</v>
      </c>
      <c r="AG41" s="405" t="s">
        <v>433</v>
      </c>
      <c r="AH41" s="2013" t="s">
        <v>434</v>
      </c>
      <c r="AI41" s="1459"/>
      <c r="AJ41" s="1459"/>
      <c r="AK41" s="1000" t="s">
        <v>424</v>
      </c>
      <c r="AL41" s="1000" t="s">
        <v>425</v>
      </c>
      <c r="AM41" s="1000" cm="1" t="str">
        <f t="array" ref="AM41:AM41">AC41</f>
        <v>Здание 6-го подъема :: г Осинники, ул. Ленина, 57 а</v>
      </c>
      <c r="AN41" s="1000" cm="1" t="str">
        <f t="array" ref="AN41:AN41">AD41</f>
        <v>концессионное соглашение</v>
      </c>
      <c r="AO41" s="1000" cm="1" t="str">
        <f t="array" ref="AO41:AO41">AE41</f>
        <v>акт приёма-передачи</v>
      </c>
      <c r="AP41" s="1000" cm="1" t="str">
        <f t="array" ref="AP41:AP41">AF41</f>
        <v>б/н</v>
      </c>
      <c r="AQ41" s="1000" cm="1" t="str">
        <f t="array" ref="AQ41:AQ41">AG41</f>
        <v>01.06.2026</v>
      </c>
      <c r="AR41" s="619"/>
      <c r="AS41" s="619" t="b">
        <v>1</v>
      </c>
    </row>
    <row s="1459" customFormat="1" customHeight="1" ht="23.25">
      <c r="A42" s="1459"/>
      <c r="B42" s="1459"/>
      <c r="C42" s="1459"/>
      <c r="D42" s="1459"/>
      <c r="E42" s="629">
        <v>15</v>
      </c>
      <c r="F42" s="104" cm="1" t="str">
        <f t="array" ref="F42:F42">OFFSET(G42,-1,-1)</f>
        <v>1</v>
      </c>
      <c r="G42" s="1459"/>
      <c r="H42" s="1459"/>
      <c r="I42" s="104" t="s">
        <v>456</v>
      </c>
      <c r="J42" s="1459"/>
      <c r="K42" s="104" t="s">
        <v>457</v>
      </c>
      <c r="L42" s="1459"/>
      <c r="M42" s="1459"/>
      <c r="N42" s="1459"/>
      <c r="O42" s="1459"/>
      <c r="P42" s="1459"/>
      <c r="Q42" s="1459"/>
      <c r="R42" s="1459"/>
      <c r="S42" s="1459"/>
      <c r="T42" s="1459"/>
      <c r="U42" s="465">
        <f>AND(F42&gt;0,AB42&gt;0)</f>
        <v>1</v>
      </c>
      <c r="V42" s="1459"/>
      <c r="W42" s="1459"/>
      <c r="X42" s="717"/>
      <c r="Y42" s="1459"/>
      <c r="Z42" s="1459"/>
      <c r="AA42" s="662" t="s">
        <v>175</v>
      </c>
      <c r="AB42" s="88" t="s">
        <v>458</v>
      </c>
      <c r="AC42" s="274" t="str">
        <f>I42&amp;" :: "&amp;K42</f>
        <v>Скважина  №14 :: г Осинники, ул. Севастопольская, 1а</v>
      </c>
      <c r="AD42" s="274" t="s">
        <v>430</v>
      </c>
      <c r="AE42" s="274" t="s">
        <v>431</v>
      </c>
      <c r="AF42" s="405" t="s">
        <v>432</v>
      </c>
      <c r="AG42" s="405" t="s">
        <v>433</v>
      </c>
      <c r="AH42" s="2013" t="s">
        <v>434</v>
      </c>
      <c r="AI42" s="1459"/>
      <c r="AJ42" s="1459"/>
      <c r="AK42" s="1000" t="s">
        <v>424</v>
      </c>
      <c r="AL42" s="1000" t="s">
        <v>425</v>
      </c>
      <c r="AM42" s="1000" cm="1" t="str">
        <f t="array" ref="AM42:AM42">AC42</f>
        <v>Скважина  №14 :: г Осинники, ул. Севастопольская, 1а</v>
      </c>
      <c r="AN42" s="1000" cm="1" t="str">
        <f t="array" ref="AN42:AN42">AD42</f>
        <v>концессионное соглашение</v>
      </c>
      <c r="AO42" s="1000" cm="1" t="str">
        <f t="array" ref="AO42:AO42">AE42</f>
        <v>акт приёма-передачи</v>
      </c>
      <c r="AP42" s="1000" cm="1" t="str">
        <f t="array" ref="AP42:AP42">AF42</f>
        <v>б/н</v>
      </c>
      <c r="AQ42" s="1000" cm="1" t="str">
        <f t="array" ref="AQ42:AQ42">AG42</f>
        <v>01.06.2026</v>
      </c>
      <c r="AR42" s="619"/>
      <c r="AS42" s="619" t="b">
        <v>1</v>
      </c>
    </row>
    <row s="1459" customFormat="1" customHeight="1" ht="23.25">
      <c r="A43" s="1459"/>
      <c r="B43" s="1459"/>
      <c r="C43" s="1459"/>
      <c r="D43" s="1459"/>
      <c r="E43" s="629">
        <v>15</v>
      </c>
      <c r="F43" s="104" cm="1" t="str">
        <f t="array" ref="F43:F43">OFFSET(G43,-1,-1)</f>
        <v>1</v>
      </c>
      <c r="G43" s="1459"/>
      <c r="H43" s="1459"/>
      <c r="I43" s="104" t="s">
        <v>459</v>
      </c>
      <c r="J43" s="1459"/>
      <c r="K43" s="104" t="s">
        <v>460</v>
      </c>
      <c r="L43" s="1459"/>
      <c r="M43" s="1459"/>
      <c r="N43" s="1459"/>
      <c r="O43" s="1459"/>
      <c r="P43" s="1459"/>
      <c r="Q43" s="1459"/>
      <c r="R43" s="1459"/>
      <c r="S43" s="1459"/>
      <c r="T43" s="1459"/>
      <c r="U43" s="465">
        <f>AND(F43&gt;0,AB43&gt;0)</f>
        <v>1</v>
      </c>
      <c r="V43" s="1459"/>
      <c r="W43" s="1459"/>
      <c r="X43" s="717"/>
      <c r="Y43" s="1459"/>
      <c r="Z43" s="1459"/>
      <c r="AA43" s="662" t="s">
        <v>175</v>
      </c>
      <c r="AB43" s="88" t="s">
        <v>461</v>
      </c>
      <c r="AC43" s="274" t="str">
        <f>I43&amp;" :: "&amp;K43</f>
        <v>скважина №12 :: п Тайжина, Новокузнецкий район, -</v>
      </c>
      <c r="AD43" s="274" t="s">
        <v>430</v>
      </c>
      <c r="AE43" s="274" t="s">
        <v>431</v>
      </c>
      <c r="AF43" s="405" t="s">
        <v>432</v>
      </c>
      <c r="AG43" s="405" t="s">
        <v>433</v>
      </c>
      <c r="AH43" s="2013" t="s">
        <v>434</v>
      </c>
      <c r="AI43" s="1459"/>
      <c r="AJ43" s="1459"/>
      <c r="AK43" s="1000" t="s">
        <v>424</v>
      </c>
      <c r="AL43" s="1000" t="s">
        <v>425</v>
      </c>
      <c r="AM43" s="1000" cm="1" t="str">
        <f t="array" ref="AM43:AM43">AC43</f>
        <v>скважина №12 :: п Тайжина, Новокузнецкий район, -</v>
      </c>
      <c r="AN43" s="1000" cm="1" t="str">
        <f t="array" ref="AN43:AN43">AD43</f>
        <v>концессионное соглашение</v>
      </c>
      <c r="AO43" s="1000" cm="1" t="str">
        <f t="array" ref="AO43:AO43">AE43</f>
        <v>акт приёма-передачи</v>
      </c>
      <c r="AP43" s="1000" cm="1" t="str">
        <f t="array" ref="AP43:AP43">AF43</f>
        <v>б/н</v>
      </c>
      <c r="AQ43" s="1000" cm="1" t="str">
        <f t="array" ref="AQ43:AQ43">AG43</f>
        <v>01.06.2026</v>
      </c>
      <c r="AR43" s="619"/>
      <c r="AS43" s="619" t="b">
        <v>1</v>
      </c>
    </row>
    <row s="1459" customFormat="1" customHeight="1" ht="23.25">
      <c r="A44" s="1459"/>
      <c r="B44" s="1459"/>
      <c r="C44" s="1459"/>
      <c r="D44" s="1459"/>
      <c r="E44" s="629">
        <v>15</v>
      </c>
      <c r="F44" s="104" cm="1" t="str">
        <f t="array" ref="F44:F44">OFFSET(G44,-1,-1)</f>
        <v>1</v>
      </c>
      <c r="G44" s="1459"/>
      <c r="H44" s="1459"/>
      <c r="I44" s="104" t="s">
        <v>462</v>
      </c>
      <c r="J44" s="1459"/>
      <c r="K44" s="104" t="s">
        <v>460</v>
      </c>
      <c r="L44" s="1459"/>
      <c r="M44" s="1459"/>
      <c r="N44" s="1459"/>
      <c r="O44" s="1459"/>
      <c r="P44" s="1459"/>
      <c r="Q44" s="1459"/>
      <c r="R44" s="1459"/>
      <c r="S44" s="1459"/>
      <c r="T44" s="1459"/>
      <c r="U44" s="465">
        <f>AND(F44&gt;0,AB44&gt;0)</f>
        <v>1</v>
      </c>
      <c r="V44" s="1459"/>
      <c r="W44" s="1459"/>
      <c r="X44" s="717"/>
      <c r="Y44" s="1459"/>
      <c r="Z44" s="1459"/>
      <c r="AA44" s="662" t="s">
        <v>175</v>
      </c>
      <c r="AB44" s="88" t="s">
        <v>463</v>
      </c>
      <c r="AC44" s="274" t="str">
        <f>I44&amp;" :: "&amp;K44</f>
        <v>Скважина  №6 :: п Тайжина, Новокузнецкий район, -</v>
      </c>
      <c r="AD44" s="274" t="s">
        <v>430</v>
      </c>
      <c r="AE44" s="274" t="s">
        <v>431</v>
      </c>
      <c r="AF44" s="405" t="s">
        <v>432</v>
      </c>
      <c r="AG44" s="405" t="s">
        <v>433</v>
      </c>
      <c r="AH44" s="2013" t="s">
        <v>434</v>
      </c>
      <c r="AI44" s="1459"/>
      <c r="AJ44" s="1459"/>
      <c r="AK44" s="1000" t="s">
        <v>424</v>
      </c>
      <c r="AL44" s="1000" t="s">
        <v>425</v>
      </c>
      <c r="AM44" s="1000" cm="1" t="str">
        <f t="array" ref="AM44:AM44">AC44</f>
        <v>Скважина  №6 :: п Тайжина, Новокузнецкий район, -</v>
      </c>
      <c r="AN44" s="1000" cm="1" t="str">
        <f t="array" ref="AN44:AN44">AD44</f>
        <v>концессионное соглашение</v>
      </c>
      <c r="AO44" s="1000" cm="1" t="str">
        <f t="array" ref="AO44:AO44">AE44</f>
        <v>акт приёма-передачи</v>
      </c>
      <c r="AP44" s="1000" cm="1" t="str">
        <f t="array" ref="AP44:AP44">AF44</f>
        <v>б/н</v>
      </c>
      <c r="AQ44" s="1000" cm="1" t="str">
        <f t="array" ref="AQ44:AQ44">AG44</f>
        <v>01.06.2026</v>
      </c>
      <c r="AR44" s="619"/>
      <c r="AS44" s="619" t="b">
        <v>1</v>
      </c>
    </row>
    <row s="1459" customFormat="1" customHeight="1" ht="23.25">
      <c r="A45" s="1459"/>
      <c r="B45" s="1459"/>
      <c r="C45" s="1459"/>
      <c r="D45" s="1459"/>
      <c r="E45" s="629">
        <v>15</v>
      </c>
      <c r="F45" s="104" cm="1" t="str">
        <f t="array" ref="F45:F45">OFFSET(G45,-1,-1)</f>
        <v>1</v>
      </c>
      <c r="G45" s="1459"/>
      <c r="H45" s="1459"/>
      <c r="I45" s="104" t="s">
        <v>464</v>
      </c>
      <c r="J45" s="1459"/>
      <c r="K45" s="104" t="s">
        <v>460</v>
      </c>
      <c r="L45" s="1459"/>
      <c r="M45" s="1459"/>
      <c r="N45" s="1459"/>
      <c r="O45" s="1459"/>
      <c r="P45" s="1459"/>
      <c r="Q45" s="1459"/>
      <c r="R45" s="1459"/>
      <c r="S45" s="1459"/>
      <c r="T45" s="1459"/>
      <c r="U45" s="465">
        <f>AND(F45&gt;0,AB45&gt;0)</f>
        <v>1</v>
      </c>
      <c r="V45" s="1459"/>
      <c r="W45" s="1459"/>
      <c r="X45" s="717"/>
      <c r="Y45" s="1459"/>
      <c r="Z45" s="1459"/>
      <c r="AA45" s="662" t="s">
        <v>175</v>
      </c>
      <c r="AB45" s="88" t="s">
        <v>465</v>
      </c>
      <c r="AC45" s="274" t="str">
        <f>I45&amp;" :: "&amp;K45</f>
        <v>Скважина №5 :: п Тайжина, Новокузнецкий район, -</v>
      </c>
      <c r="AD45" s="274" t="s">
        <v>430</v>
      </c>
      <c r="AE45" s="274" t="s">
        <v>431</v>
      </c>
      <c r="AF45" s="405" t="s">
        <v>432</v>
      </c>
      <c r="AG45" s="405" t="s">
        <v>433</v>
      </c>
      <c r="AH45" s="2013" t="s">
        <v>434</v>
      </c>
      <c r="AI45" s="1459"/>
      <c r="AJ45" s="1459"/>
      <c r="AK45" s="1000" t="s">
        <v>424</v>
      </c>
      <c r="AL45" s="1000" t="s">
        <v>425</v>
      </c>
      <c r="AM45" s="1000" cm="1" t="str">
        <f t="array" ref="AM45:AM45">AC45</f>
        <v>Скважина №5 :: п Тайжина, Новокузнецкий район, -</v>
      </c>
      <c r="AN45" s="1000" cm="1" t="str">
        <f t="array" ref="AN45:AN45">AD45</f>
        <v>концессионное соглашение</v>
      </c>
      <c r="AO45" s="1000" cm="1" t="str">
        <f t="array" ref="AO45:AO45">AE45</f>
        <v>акт приёма-передачи</v>
      </c>
      <c r="AP45" s="1000" cm="1" t="str">
        <f t="array" ref="AP45:AP45">AF45</f>
        <v>б/н</v>
      </c>
      <c r="AQ45" s="1000" cm="1" t="str">
        <f t="array" ref="AQ45:AQ45">AG45</f>
        <v>01.06.2026</v>
      </c>
      <c r="AR45" s="619"/>
      <c r="AS45" s="619" t="b">
        <v>1</v>
      </c>
    </row>
    <row s="1459" customFormat="1" customHeight="1" ht="23.25">
      <c r="A46" s="1459"/>
      <c r="B46" s="1459"/>
      <c r="C46" s="1459"/>
      <c r="D46" s="1459"/>
      <c r="E46" s="629">
        <v>15</v>
      </c>
      <c r="F46" s="104" cm="1" t="str">
        <f t="array" ref="F46:F46">OFFSET(G46,-1,-1)</f>
        <v>1</v>
      </c>
      <c r="G46" s="1459"/>
      <c r="H46" s="1459"/>
      <c r="I46" s="104" t="s">
        <v>466</v>
      </c>
      <c r="J46" s="1459"/>
      <c r="K46" s="104" t="s">
        <v>460</v>
      </c>
      <c r="L46" s="1459"/>
      <c r="M46" s="1459"/>
      <c r="N46" s="1459"/>
      <c r="O46" s="1459"/>
      <c r="P46" s="1459"/>
      <c r="Q46" s="1459"/>
      <c r="R46" s="1459"/>
      <c r="S46" s="1459"/>
      <c r="T46" s="1459"/>
      <c r="U46" s="465">
        <f>AND(F46&gt;0,AB46&gt;0)</f>
        <v>1</v>
      </c>
      <c r="V46" s="1459"/>
      <c r="W46" s="1459"/>
      <c r="X46" s="717"/>
      <c r="Y46" s="1459"/>
      <c r="Z46" s="1459"/>
      <c r="AA46" s="662" t="s">
        <v>175</v>
      </c>
      <c r="AB46" s="88" t="s">
        <v>467</v>
      </c>
      <c r="AC46" s="274" t="str">
        <f>I46&amp;" :: "&amp;K46</f>
        <v>Скважина 10 :: п Тайжина, Новокузнецкий район, -</v>
      </c>
      <c r="AD46" s="274" t="s">
        <v>430</v>
      </c>
      <c r="AE46" s="274" t="s">
        <v>431</v>
      </c>
      <c r="AF46" s="405" t="s">
        <v>432</v>
      </c>
      <c r="AG46" s="405" t="s">
        <v>433</v>
      </c>
      <c r="AH46" s="2013" t="s">
        <v>434</v>
      </c>
      <c r="AI46" s="1459"/>
      <c r="AJ46" s="1459"/>
      <c r="AK46" s="1000" t="s">
        <v>424</v>
      </c>
      <c r="AL46" s="1000" t="s">
        <v>425</v>
      </c>
      <c r="AM46" s="1000" cm="1" t="str">
        <f t="array" ref="AM46:AM46">AC46</f>
        <v>Скважина 10 :: п Тайжина, Новокузнецкий район, -</v>
      </c>
      <c r="AN46" s="1000" cm="1" t="str">
        <f t="array" ref="AN46:AN46">AD46</f>
        <v>концессионное соглашение</v>
      </c>
      <c r="AO46" s="1000" cm="1" t="str">
        <f t="array" ref="AO46:AO46">AE46</f>
        <v>акт приёма-передачи</v>
      </c>
      <c r="AP46" s="1000" cm="1" t="str">
        <f t="array" ref="AP46:AP46">AF46</f>
        <v>б/н</v>
      </c>
      <c r="AQ46" s="1000" cm="1" t="str">
        <f t="array" ref="AQ46:AQ46">AG46</f>
        <v>01.06.2026</v>
      </c>
      <c r="AR46" s="619"/>
      <c r="AS46" s="619" t="b">
        <v>1</v>
      </c>
    </row>
    <row s="1459" customFormat="1" customHeight="1" ht="23.25">
      <c r="A47" s="1459"/>
      <c r="B47" s="1459"/>
      <c r="C47" s="1459"/>
      <c r="D47" s="1459"/>
      <c r="E47" s="629">
        <v>15</v>
      </c>
      <c r="F47" s="104" cm="1" t="str">
        <f t="array" ref="F47:F47">OFFSET(G47,-1,-1)</f>
        <v>1</v>
      </c>
      <c r="G47" s="1459"/>
      <c r="H47" s="1459"/>
      <c r="I47" s="104" t="s">
        <v>468</v>
      </c>
      <c r="J47" s="1459"/>
      <c r="K47" s="104" t="s">
        <v>469</v>
      </c>
      <c r="L47" s="1459"/>
      <c r="M47" s="1459"/>
      <c r="N47" s="1459"/>
      <c r="O47" s="1459"/>
      <c r="P47" s="1459"/>
      <c r="Q47" s="1459"/>
      <c r="R47" s="1459"/>
      <c r="S47" s="1459"/>
      <c r="T47" s="1459"/>
      <c r="U47" s="465">
        <f>AND(F47&gt;0,AB47&gt;0)</f>
        <v>1</v>
      </c>
      <c r="V47" s="1459"/>
      <c r="W47" s="1459"/>
      <c r="X47" s="717"/>
      <c r="Y47" s="1459"/>
      <c r="Z47" s="1459"/>
      <c r="AA47" s="662" t="s">
        <v>175</v>
      </c>
      <c r="AB47" s="88" t="s">
        <v>341</v>
      </c>
      <c r="AC47" s="274" t="str">
        <f>I47&amp;" :: "&amp;K47</f>
        <v>Сети п.Тайжина :: п Тайжина, п.  Тайжина, 1</v>
      </c>
      <c r="AD47" s="274" t="s">
        <v>430</v>
      </c>
      <c r="AE47" s="274" t="s">
        <v>431</v>
      </c>
      <c r="AF47" s="405" t="s">
        <v>432</v>
      </c>
      <c r="AG47" s="405" t="s">
        <v>433</v>
      </c>
      <c r="AH47" s="2013" t="s">
        <v>434</v>
      </c>
      <c r="AI47" s="1459"/>
      <c r="AJ47" s="1459"/>
      <c r="AK47" s="1000" t="s">
        <v>424</v>
      </c>
      <c r="AL47" s="1000" t="s">
        <v>425</v>
      </c>
      <c r="AM47" s="1000" cm="1" t="str">
        <f t="array" ref="AM47:AM47">AC47</f>
        <v>Сети п.Тайжина :: п Тайжина, п.  Тайжина, 1</v>
      </c>
      <c r="AN47" s="1000" cm="1" t="str">
        <f t="array" ref="AN47:AN47">AD47</f>
        <v>концессионное соглашение</v>
      </c>
      <c r="AO47" s="1000" cm="1" t="str">
        <f t="array" ref="AO47:AO47">AE47</f>
        <v>акт приёма-передачи</v>
      </c>
      <c r="AP47" s="1000" cm="1" t="str">
        <f t="array" ref="AP47:AP47">AF47</f>
        <v>б/н</v>
      </c>
      <c r="AQ47" s="1000" cm="1" t="str">
        <f t="array" ref="AQ47:AQ47">AG47</f>
        <v>01.06.2026</v>
      </c>
      <c r="AR47" s="619"/>
      <c r="AS47" s="619" t="b">
        <v>1</v>
      </c>
    </row>
    <row s="538" customFormat="1" customHeight="1" ht="10.5">
      <c r="A48" s="1758"/>
      <c r="B48" s="428"/>
      <c r="C48" s="1758"/>
      <c r="D48" s="1758"/>
      <c r="E48" s="629">
        <v>11</v>
      </c>
      <c r="F48" s="122" cm="1" t="str">
        <f t="array" ref="F48:F48">OFFSET(G48,-1,-1)</f>
        <v>1</v>
      </c>
      <c r="G48" s="1758"/>
      <c r="H48" s="1758"/>
      <c r="I48" s="1758"/>
      <c r="J48" s="1758"/>
      <c r="K48" s="1758"/>
      <c r="L48" s="1758"/>
      <c r="M48" s="1758"/>
      <c r="N48" s="1758"/>
      <c r="O48" s="1758"/>
      <c r="P48" s="1758"/>
      <c r="Q48" s="1758"/>
      <c r="R48" s="1758"/>
      <c r="S48" s="1758"/>
      <c r="T48" s="1758"/>
      <c r="U48" s="465">
        <f>F48&gt;0</f>
        <v>1</v>
      </c>
      <c r="V48" s="1758"/>
      <c r="W48" s="1758"/>
      <c r="X48" s="757" t="s">
        <v>426</v>
      </c>
      <c r="Y48" s="1563"/>
      <c r="Z48" s="1546"/>
      <c r="AA48" s="1758"/>
      <c r="AB48" s="175"/>
      <c r="AC48" s="178" t="s">
        <v>427</v>
      </c>
      <c r="AD48" s="176"/>
      <c r="AE48" s="176"/>
      <c r="AF48" s="176"/>
      <c r="AG48" s="176"/>
      <c r="AH48" s="187"/>
      <c r="AI48" s="1758"/>
      <c r="AJ48" s="1758"/>
      <c r="AK48" s="997"/>
      <c r="AL48" s="997"/>
      <c r="AM48" s="997"/>
      <c r="AN48" s="997"/>
      <c r="AO48" s="997"/>
      <c r="AP48" s="997"/>
      <c r="AQ48" s="997"/>
      <c r="AR48" s="618" t="s">
        <v>425</v>
      </c>
      <c r="AS48" s="618"/>
    </row>
    <row s="538" customFormat="1" customHeight="1" ht="15">
      <c r="A49" s="1758"/>
      <c r="B49" s="428"/>
      <c r="C49" s="1758"/>
      <c r="D49" s="1758"/>
      <c r="E49" s="636" t="s">
        <v>341</v>
      </c>
      <c r="F49" s="122" cm="1" t="str">
        <f t="array" ref="F49:F49">Y49</f>
        <v>2</v>
      </c>
      <c r="G49" s="1758"/>
      <c r="H49" s="1758"/>
      <c r="I49" s="1758"/>
      <c r="J49" s="1758"/>
      <c r="K49" s="1758"/>
      <c r="L49" s="1758"/>
      <c r="M49" s="1758"/>
      <c r="N49" s="1758"/>
      <c r="O49" s="1758"/>
      <c r="P49" s="1758"/>
      <c r="Q49" s="1758"/>
      <c r="R49" s="1758"/>
      <c r="S49" s="1758"/>
      <c r="T49" s="1758"/>
      <c r="U49" s="465">
        <f>Y49&gt;0</f>
        <v>1</v>
      </c>
      <c r="V49" s="1758"/>
      <c r="W49" s="122" cm="1" t="str">
        <f t="array" ref="W49:W49">'Перечень объектов'!$AC$51</f>
        <v>Тариф 2 (Водоснабжение) - тариф на питьевую воду (Доп. признак не требуется)</v>
      </c>
      <c r="X49" s="1758"/>
      <c r="Y49" s="1563" t="s">
        <v>285</v>
      </c>
      <c r="Z49" s="1546"/>
      <c r="AA49" s="1758"/>
      <c r="AB49" s="180" cm="1" t="str">
        <f t="array" ref="AB49:AB49">'Перечень объектов'!$AC$51</f>
        <v>Тариф 2 (Водоснабжение) - тариф на питьевую воду (Доп. признак не требуется)</v>
      </c>
      <c r="AC49" s="180"/>
      <c r="AD49" s="174"/>
      <c r="AE49" s="174"/>
      <c r="AF49" s="174"/>
      <c r="AG49" s="174"/>
      <c r="AH49" s="174"/>
      <c r="AI49" s="1758"/>
      <c r="AJ49" s="1758"/>
      <c r="AK49" s="997"/>
      <c r="AL49" s="997"/>
      <c r="AM49" s="997"/>
      <c r="AN49" s="997"/>
      <c r="AO49" s="997"/>
      <c r="AP49" s="997"/>
      <c r="AQ49" s="997"/>
      <c r="AR49" s="618"/>
      <c r="AS49" s="618"/>
    </row>
    <row s="538" customFormat="1" customHeight="1" ht="15" hidden="1">
      <c r="A50" s="1758"/>
      <c r="B50" s="428"/>
      <c r="C50" s="1758"/>
      <c r="D50" s="1758"/>
      <c r="E50" s="629">
        <v>0</v>
      </c>
      <c r="F50" s="122" cm="1" t="str">
        <f t="array" ref="F50:F50">OFFSET(G50,-1,-1)</f>
        <v>2</v>
      </c>
      <c r="G50" s="1758"/>
      <c r="H50" s="1758"/>
      <c r="I50" s="1758"/>
      <c r="J50" s="1758"/>
      <c r="K50" s="1758"/>
      <c r="L50" s="1758"/>
      <c r="M50" s="1758"/>
      <c r="N50" s="1758"/>
      <c r="O50" s="1758"/>
      <c r="P50" s="1758"/>
      <c r="Q50" s="1758"/>
      <c r="R50" s="1758"/>
      <c r="S50" s="1758"/>
      <c r="T50" s="1758"/>
      <c r="U50" s="465" t="b">
        <v>0</v>
      </c>
      <c r="V50" s="1758"/>
      <c r="W50" s="1758"/>
      <c r="X50" s="1758"/>
      <c r="Y50" s="1563"/>
      <c r="Z50" s="1546"/>
      <c r="AA50" s="1758"/>
      <c r="AB50" s="180"/>
      <c r="AC50" s="180"/>
      <c r="AD50" s="174"/>
      <c r="AE50" s="174"/>
      <c r="AF50" s="174"/>
      <c r="AG50" s="174"/>
      <c r="AH50" s="174"/>
      <c r="AI50" s="1758"/>
      <c r="AJ50" s="1758"/>
      <c r="AK50" s="997"/>
      <c r="AL50" s="997"/>
      <c r="AM50" s="997"/>
      <c r="AN50" s="997"/>
      <c r="AO50" s="997"/>
      <c r="AP50" s="997"/>
      <c r="AQ50" s="997"/>
      <c r="AR50" s="618"/>
      <c r="AS50" s="618"/>
    </row>
    <row s="1459" customFormat="1" customHeight="1" ht="14.25" hidden="1">
      <c r="E51" s="629">
        <v>15</v>
      </c>
      <c r="F51" s="104" cm="1" t="str">
        <f t="array" ref="F51:F51">OFFSET(G51,-1,-1)</f>
        <v>2</v>
      </c>
      <c r="I51" s="104" t="s">
        <v>422</v>
      </c>
      <c r="K51" s="104" t="s">
        <v>423</v>
      </c>
      <c r="U51" s="465">
        <f>AND(F51&gt;0,AB51&gt;0)</f>
        <v>0</v>
      </c>
      <c r="X51" s="717" t="s">
        <v>174</v>
      </c>
      <c r="AA51" s="662" t="s">
        <v>175</v>
      </c>
      <c r="AB51" s="88">
        <v>0</v>
      </c>
      <c r="AC51" s="274" t="str">
        <f>I51&amp;" :: "&amp;K51</f>
        <v>Наименование объекта :: адрес</v>
      </c>
      <c r="AD51" s="274"/>
      <c r="AE51" s="274"/>
      <c r="AF51" s="405"/>
      <c r="AG51" s="405"/>
      <c r="AH51" s="2021"/>
      <c r="AK51" s="1000" t="s">
        <v>424</v>
      </c>
      <c r="AL51" s="1000" t="s">
        <v>425</v>
      </c>
      <c r="AM51" s="1000" cm="1" t="str">
        <f t="array" ref="AM51:AM51">AC51</f>
        <v>Наименование объекта :: адрес</v>
      </c>
      <c r="AN51" s="1000" cm="1" t="str">
        <f t="array" ref="AN51:AN51">AD51</f>
        <v>0</v>
      </c>
      <c r="AO51" s="1000" cm="1" t="str">
        <f t="array" ref="AO51:AO51">AE51</f>
        <v>0</v>
      </c>
      <c r="AP51" s="1000" cm="1" t="str">
        <f t="array" ref="AP51:AP51">AF51</f>
        <v>0</v>
      </c>
      <c r="AQ51" s="1000" cm="1" t="str">
        <f t="array" ref="AQ51:AQ51">AG51</f>
        <v>0</v>
      </c>
      <c r="AR51" s="619"/>
      <c r="AS51" s="619" t="b">
        <v>1</v>
      </c>
    </row>
    <row s="1459" customFormat="1" customHeight="1" ht="23.25">
      <c r="A52" s="1459"/>
      <c r="B52" s="1459"/>
      <c r="C52" s="1459"/>
      <c r="D52" s="1459"/>
      <c r="E52" s="629">
        <v>15</v>
      </c>
      <c r="F52" s="104" cm="1" t="str">
        <f t="array" ref="F52:F52">OFFSET(G52,-1,-1)</f>
        <v>2</v>
      </c>
      <c r="G52" s="1459"/>
      <c r="H52" s="1459"/>
      <c r="I52" s="104" t="s">
        <v>470</v>
      </c>
      <c r="J52" s="1459"/>
      <c r="K52" s="104" t="s">
        <v>471</v>
      </c>
      <c r="L52" s="1459"/>
      <c r="M52" s="1459"/>
      <c r="N52" s="1459"/>
      <c r="O52" s="1459"/>
      <c r="P52" s="1459"/>
      <c r="Q52" s="1459"/>
      <c r="R52" s="1459"/>
      <c r="S52" s="1459"/>
      <c r="T52" s="1459"/>
      <c r="U52" s="465">
        <f>AND(F52&gt;0,AB52&gt;0)</f>
        <v>1</v>
      </c>
      <c r="V52" s="1459"/>
      <c r="W52" s="1459"/>
      <c r="X52" s="717"/>
      <c r="Y52" s="1459"/>
      <c r="Z52" s="1459"/>
      <c r="AA52" s="662" t="s">
        <v>175</v>
      </c>
      <c r="AB52" s="88" t="s">
        <v>276</v>
      </c>
      <c r="AC52" s="274" t="str">
        <f>I52&amp;" :: "&amp;K52</f>
        <v>водопровод от ПНС Колхозная до моста через реку Кондома :: г Калтан, -, -</v>
      </c>
      <c r="AD52" s="274" t="s">
        <v>430</v>
      </c>
      <c r="AE52" s="274" t="s">
        <v>431</v>
      </c>
      <c r="AF52" s="405" t="s">
        <v>432</v>
      </c>
      <c r="AG52" s="405" t="s">
        <v>433</v>
      </c>
      <c r="AH52" s="2022" t="s">
        <v>434</v>
      </c>
      <c r="AI52" s="1459"/>
      <c r="AJ52" s="1459"/>
      <c r="AK52" s="1000" t="s">
        <v>424</v>
      </c>
      <c r="AL52" s="1000" t="s">
        <v>425</v>
      </c>
      <c r="AM52" s="1000" cm="1" t="str">
        <f t="array" ref="AM52:AM52">AC52</f>
        <v>водопровод от ПНС Колхозная до моста через реку Кондома :: г Калтан, -, -</v>
      </c>
      <c r="AN52" s="1000" cm="1" t="str">
        <f t="array" ref="AN52:AN52">AD52</f>
        <v>концессионное соглашение</v>
      </c>
      <c r="AO52" s="1000" cm="1" t="str">
        <f t="array" ref="AO52:AO52">AE52</f>
        <v>акт приёма-передачи</v>
      </c>
      <c r="AP52" s="1000" cm="1" t="str">
        <f t="array" ref="AP52:AP52">AF52</f>
        <v>б/н</v>
      </c>
      <c r="AQ52" s="1000" cm="1" t="str">
        <f t="array" ref="AQ52:AQ52">AG52</f>
        <v>01.06.2026</v>
      </c>
      <c r="AR52" s="619"/>
      <c r="AS52" s="619" t="b">
        <v>1</v>
      </c>
    </row>
    <row s="1459" customFormat="1" customHeight="1" ht="23.25">
      <c r="A53" s="1459"/>
      <c r="B53" s="1459"/>
      <c r="C53" s="1459"/>
      <c r="D53" s="1459"/>
      <c r="E53" s="629">
        <v>15</v>
      </c>
      <c r="F53" s="104" cm="1" t="str">
        <f t="array" ref="F53:F53">OFFSET(G53,-1,-1)</f>
        <v>2</v>
      </c>
      <c r="G53" s="1459"/>
      <c r="H53" s="1459"/>
      <c r="I53" s="104" t="s">
        <v>472</v>
      </c>
      <c r="J53" s="1459"/>
      <c r="K53" s="104" t="s">
        <v>473</v>
      </c>
      <c r="L53" s="1459"/>
      <c r="M53" s="1459"/>
      <c r="N53" s="1459"/>
      <c r="O53" s="1459"/>
      <c r="P53" s="1459"/>
      <c r="Q53" s="1459"/>
      <c r="R53" s="1459"/>
      <c r="S53" s="1459"/>
      <c r="T53" s="1459"/>
      <c r="U53" s="465">
        <f>AND(F53&gt;0,AB53&gt;0)</f>
        <v>1</v>
      </c>
      <c r="V53" s="1459"/>
      <c r="W53" s="1459"/>
      <c r="X53" s="717"/>
      <c r="Y53" s="1459"/>
      <c r="Z53" s="1459"/>
      <c r="AA53" s="662" t="s">
        <v>175</v>
      </c>
      <c r="AB53" s="88" t="s">
        <v>285</v>
      </c>
      <c r="AC53" s="274" t="str">
        <f>I53&amp;" :: "&amp;K53</f>
        <v>Водопровод магистральный от Водозабор №1 до Водозабора №2 (1 нитка водовода) :: г Калтан, Новокузнецкий район, -</v>
      </c>
      <c r="AD53" s="274" t="s">
        <v>430</v>
      </c>
      <c r="AE53" s="274" t="s">
        <v>431</v>
      </c>
      <c r="AF53" s="405" t="s">
        <v>432</v>
      </c>
      <c r="AG53" s="405" t="s">
        <v>433</v>
      </c>
      <c r="AH53" s="2022" t="s">
        <v>434</v>
      </c>
      <c r="AI53" s="1459"/>
      <c r="AJ53" s="1459"/>
      <c r="AK53" s="1000" t="s">
        <v>424</v>
      </c>
      <c r="AL53" s="1000" t="s">
        <v>425</v>
      </c>
      <c r="AM53" s="1000" cm="1" t="str">
        <f t="array" ref="AM53:AM53">AC53</f>
        <v>Водопровод магистральный от Водозабор №1 до Водозабора №2 (1 нитка водовода) :: г Калтан, Новокузнецкий район, -</v>
      </c>
      <c r="AN53" s="1000" cm="1" t="str">
        <f t="array" ref="AN53:AN53">AD53</f>
        <v>концессионное соглашение</v>
      </c>
      <c r="AO53" s="1000" cm="1" t="str">
        <f t="array" ref="AO53:AO53">AE53</f>
        <v>акт приёма-передачи</v>
      </c>
      <c r="AP53" s="1000" cm="1" t="str">
        <f t="array" ref="AP53:AP53">AF53</f>
        <v>б/н</v>
      </c>
      <c r="AQ53" s="1000" cm="1" t="str">
        <f t="array" ref="AQ53:AQ53">AG53</f>
        <v>01.06.2026</v>
      </c>
      <c r="AR53" s="619"/>
      <c r="AS53" s="619" t="b">
        <v>1</v>
      </c>
    </row>
    <row s="1459" customFormat="1" customHeight="1" ht="23.25">
      <c r="A54" s="1459"/>
      <c r="B54" s="1459"/>
      <c r="C54" s="1459"/>
      <c r="D54" s="1459"/>
      <c r="E54" s="629">
        <v>15</v>
      </c>
      <c r="F54" s="104" cm="1" t="str">
        <f t="array" ref="F54:F54">OFFSET(G54,-1,-1)</f>
        <v>2</v>
      </c>
      <c r="G54" s="1459"/>
      <c r="H54" s="1459"/>
      <c r="I54" s="104" t="s">
        <v>474</v>
      </c>
      <c r="J54" s="1459"/>
      <c r="K54" s="104" t="s">
        <v>475</v>
      </c>
      <c r="L54" s="1459"/>
      <c r="M54" s="1459"/>
      <c r="N54" s="1459"/>
      <c r="O54" s="1459"/>
      <c r="P54" s="1459"/>
      <c r="Q54" s="1459"/>
      <c r="R54" s="1459"/>
      <c r="S54" s="1459"/>
      <c r="T54" s="1459"/>
      <c r="U54" s="465">
        <f>AND(F54&gt;0,AB54&gt;0)</f>
        <v>1</v>
      </c>
      <c r="V54" s="1459"/>
      <c r="W54" s="1459"/>
      <c r="X54" s="717"/>
      <c r="Y54" s="1459"/>
      <c r="Z54" s="1459"/>
      <c r="AA54" s="662" t="s">
        <v>175</v>
      </c>
      <c r="AB54" s="88" t="s">
        <v>289</v>
      </c>
      <c r="AC54" s="274" t="str">
        <f>I54&amp;" :: "&amp;K54</f>
        <v>водопровод пер. Болотный :: г Калтан, пер. Болотный, 2-16</v>
      </c>
      <c r="AD54" s="274" t="s">
        <v>430</v>
      </c>
      <c r="AE54" s="274" t="s">
        <v>431</v>
      </c>
      <c r="AF54" s="405" t="s">
        <v>432</v>
      </c>
      <c r="AG54" s="405" t="s">
        <v>433</v>
      </c>
      <c r="AH54" s="2022" t="s">
        <v>434</v>
      </c>
      <c r="AI54" s="1459"/>
      <c r="AJ54" s="1459"/>
      <c r="AK54" s="1000" t="s">
        <v>424</v>
      </c>
      <c r="AL54" s="1000" t="s">
        <v>425</v>
      </c>
      <c r="AM54" s="1000" cm="1" t="str">
        <f t="array" ref="AM54:AM54">AC54</f>
        <v>водопровод пер. Болотный :: г Калтан, пер. Болотный, 2-16</v>
      </c>
      <c r="AN54" s="1000" cm="1" t="str">
        <f t="array" ref="AN54:AN54">AD54</f>
        <v>концессионное соглашение</v>
      </c>
      <c r="AO54" s="1000" cm="1" t="str">
        <f t="array" ref="AO54:AO54">AE54</f>
        <v>акт приёма-передачи</v>
      </c>
      <c r="AP54" s="1000" cm="1" t="str">
        <f t="array" ref="AP54:AP54">AF54</f>
        <v>б/н</v>
      </c>
      <c r="AQ54" s="1000" cm="1" t="str">
        <f t="array" ref="AQ54:AQ54">AG54</f>
        <v>01.06.2026</v>
      </c>
      <c r="AR54" s="619"/>
      <c r="AS54" s="619" t="b">
        <v>1</v>
      </c>
    </row>
    <row s="1459" customFormat="1" customHeight="1" ht="23.25">
      <c r="A55" s="1459"/>
      <c r="B55" s="1459"/>
      <c r="C55" s="1459"/>
      <c r="D55" s="1459"/>
      <c r="E55" s="629">
        <v>15</v>
      </c>
      <c r="F55" s="104" cm="1" t="str">
        <f t="array" ref="F55:F55">OFFSET(G55,-1,-1)</f>
        <v>2</v>
      </c>
      <c r="G55" s="1459"/>
      <c r="H55" s="1459"/>
      <c r="I55" s="104" t="s">
        <v>476</v>
      </c>
      <c r="J55" s="1459"/>
      <c r="K55" s="104" t="s">
        <v>477</v>
      </c>
      <c r="L55" s="1459"/>
      <c r="M55" s="1459"/>
      <c r="N55" s="1459"/>
      <c r="O55" s="1459"/>
      <c r="P55" s="1459"/>
      <c r="Q55" s="1459"/>
      <c r="R55" s="1459"/>
      <c r="S55" s="1459"/>
      <c r="T55" s="1459"/>
      <c r="U55" s="465">
        <f>AND(F55&gt;0,AB55&gt;0)</f>
        <v>1</v>
      </c>
      <c r="V55" s="1459"/>
      <c r="W55" s="1459"/>
      <c r="X55" s="717"/>
      <c r="Y55" s="1459"/>
      <c r="Z55" s="1459"/>
      <c r="AA55" s="662" t="s">
        <v>175</v>
      </c>
      <c r="AB55" s="88" t="s">
        <v>295</v>
      </c>
      <c r="AC55" s="274" t="str">
        <f>I55&amp;" :: "&amp;K55</f>
        <v>водопровод пер. Горный :: г Калтан, пер. Горный, 1а-8</v>
      </c>
      <c r="AD55" s="274" t="s">
        <v>430</v>
      </c>
      <c r="AE55" s="274" t="s">
        <v>431</v>
      </c>
      <c r="AF55" s="405" t="s">
        <v>432</v>
      </c>
      <c r="AG55" s="405" t="s">
        <v>433</v>
      </c>
      <c r="AH55" s="2022" t="s">
        <v>434</v>
      </c>
      <c r="AI55" s="1459"/>
      <c r="AJ55" s="1459"/>
      <c r="AK55" s="1000" t="s">
        <v>424</v>
      </c>
      <c r="AL55" s="1000" t="s">
        <v>425</v>
      </c>
      <c r="AM55" s="1000" cm="1" t="str">
        <f t="array" ref="AM55:AM55">AC55</f>
        <v>водопровод пер. Горный :: г Калтан, пер. Горный, 1а-8</v>
      </c>
      <c r="AN55" s="1000" cm="1" t="str">
        <f t="array" ref="AN55:AN55">AD55</f>
        <v>концессионное соглашение</v>
      </c>
      <c r="AO55" s="1000" cm="1" t="str">
        <f t="array" ref="AO55:AO55">AE55</f>
        <v>акт приёма-передачи</v>
      </c>
      <c r="AP55" s="1000" cm="1" t="str">
        <f t="array" ref="AP55:AP55">AF55</f>
        <v>б/н</v>
      </c>
      <c r="AQ55" s="1000" cm="1" t="str">
        <f t="array" ref="AQ55:AQ55">AG55</f>
        <v>01.06.2026</v>
      </c>
      <c r="AR55" s="619"/>
      <c r="AS55" s="619" t="b">
        <v>1</v>
      </c>
    </row>
    <row s="1459" customFormat="1" customHeight="1" ht="23.25">
      <c r="A56" s="1459"/>
      <c r="B56" s="1459"/>
      <c r="C56" s="1459"/>
      <c r="D56" s="1459"/>
      <c r="E56" s="629">
        <v>15</v>
      </c>
      <c r="F56" s="104" cm="1" t="str">
        <f t="array" ref="F56:F56">OFFSET(G56,-1,-1)</f>
        <v>2</v>
      </c>
      <c r="G56" s="1459"/>
      <c r="H56" s="1459"/>
      <c r="I56" s="104" t="s">
        <v>478</v>
      </c>
      <c r="J56" s="1459"/>
      <c r="K56" s="104" t="s">
        <v>479</v>
      </c>
      <c r="L56" s="1459"/>
      <c r="M56" s="1459"/>
      <c r="N56" s="1459"/>
      <c r="O56" s="1459"/>
      <c r="P56" s="1459"/>
      <c r="Q56" s="1459"/>
      <c r="R56" s="1459"/>
      <c r="S56" s="1459"/>
      <c r="T56" s="1459"/>
      <c r="U56" s="465">
        <f>AND(F56&gt;0,AB56&gt;0)</f>
        <v>1</v>
      </c>
      <c r="V56" s="1459"/>
      <c r="W56" s="1459"/>
      <c r="X56" s="717"/>
      <c r="Y56" s="1459"/>
      <c r="Z56" s="1459"/>
      <c r="AA56" s="662" t="s">
        <v>175</v>
      </c>
      <c r="AB56" s="88" t="s">
        <v>443</v>
      </c>
      <c r="AC56" s="274" t="str">
        <f>I56&amp;" :: "&amp;K56</f>
        <v>водопровод пер. Жданова :: г Калтан, пер. Жданова, -</v>
      </c>
      <c r="AD56" s="274" t="s">
        <v>430</v>
      </c>
      <c r="AE56" s="274" t="s">
        <v>431</v>
      </c>
      <c r="AF56" s="405" t="s">
        <v>432</v>
      </c>
      <c r="AG56" s="405" t="s">
        <v>433</v>
      </c>
      <c r="AH56" s="2022" t="s">
        <v>434</v>
      </c>
      <c r="AI56" s="1459"/>
      <c r="AJ56" s="1459"/>
      <c r="AK56" s="1000" t="s">
        <v>424</v>
      </c>
      <c r="AL56" s="1000" t="s">
        <v>425</v>
      </c>
      <c r="AM56" s="1000" cm="1" t="str">
        <f t="array" ref="AM56:AM56">AC56</f>
        <v>водопровод пер. Жданова :: г Калтан, пер. Жданова, -</v>
      </c>
      <c r="AN56" s="1000" cm="1" t="str">
        <f t="array" ref="AN56:AN56">AD56</f>
        <v>концессионное соглашение</v>
      </c>
      <c r="AO56" s="1000" cm="1" t="str">
        <f t="array" ref="AO56:AO56">AE56</f>
        <v>акт приёма-передачи</v>
      </c>
      <c r="AP56" s="1000" cm="1" t="str">
        <f t="array" ref="AP56:AP56">AF56</f>
        <v>б/н</v>
      </c>
      <c r="AQ56" s="1000" cm="1" t="str">
        <f t="array" ref="AQ56:AQ56">AG56</f>
        <v>01.06.2026</v>
      </c>
      <c r="AR56" s="619"/>
      <c r="AS56" s="619" t="b">
        <v>1</v>
      </c>
    </row>
    <row s="1459" customFormat="1" customHeight="1" ht="23.25">
      <c r="A57" s="1459"/>
      <c r="B57" s="1459"/>
      <c r="C57" s="1459"/>
      <c r="D57" s="1459"/>
      <c r="E57" s="629">
        <v>15</v>
      </c>
      <c r="F57" s="104" cm="1" t="str">
        <f t="array" ref="F57:F57">OFFSET(G57,-1,-1)</f>
        <v>2</v>
      </c>
      <c r="G57" s="1459"/>
      <c r="H57" s="1459"/>
      <c r="I57" s="104" t="s">
        <v>480</v>
      </c>
      <c r="J57" s="1459"/>
      <c r="K57" s="104" t="s">
        <v>481</v>
      </c>
      <c r="L57" s="1459"/>
      <c r="M57" s="1459"/>
      <c r="N57" s="1459"/>
      <c r="O57" s="1459"/>
      <c r="P57" s="1459"/>
      <c r="Q57" s="1459"/>
      <c r="R57" s="1459"/>
      <c r="S57" s="1459"/>
      <c r="T57" s="1459"/>
      <c r="U57" s="465">
        <f>AND(F57&gt;0,AB57&gt;0)</f>
        <v>1</v>
      </c>
      <c r="V57" s="1459"/>
      <c r="W57" s="1459"/>
      <c r="X57" s="717"/>
      <c r="Y57" s="1459"/>
      <c r="Z57" s="1459"/>
      <c r="AA57" s="662" t="s">
        <v>175</v>
      </c>
      <c r="AB57" s="88" t="s">
        <v>446</v>
      </c>
      <c r="AC57" s="274" t="str">
        <f>I57&amp;" :: "&amp;K57</f>
        <v>водопровод пер. Ключевой :: г Калтан, пер. Ключевой, -</v>
      </c>
      <c r="AD57" s="274" t="s">
        <v>430</v>
      </c>
      <c r="AE57" s="274" t="s">
        <v>431</v>
      </c>
      <c r="AF57" s="405" t="s">
        <v>432</v>
      </c>
      <c r="AG57" s="405" t="s">
        <v>433</v>
      </c>
      <c r="AH57" s="2022" t="s">
        <v>434</v>
      </c>
      <c r="AI57" s="1459"/>
      <c r="AJ57" s="1459"/>
      <c r="AK57" s="1000" t="s">
        <v>424</v>
      </c>
      <c r="AL57" s="1000" t="s">
        <v>425</v>
      </c>
      <c r="AM57" s="1000" cm="1" t="str">
        <f t="array" ref="AM57:AM57">AC57</f>
        <v>водопровод пер. Ключевой :: г Калтан, пер. Ключевой, -</v>
      </c>
      <c r="AN57" s="1000" cm="1" t="str">
        <f t="array" ref="AN57:AN57">AD57</f>
        <v>концессионное соглашение</v>
      </c>
      <c r="AO57" s="1000" cm="1" t="str">
        <f t="array" ref="AO57:AO57">AE57</f>
        <v>акт приёма-передачи</v>
      </c>
      <c r="AP57" s="1000" cm="1" t="str">
        <f t="array" ref="AP57:AP57">AF57</f>
        <v>б/н</v>
      </c>
      <c r="AQ57" s="1000" cm="1" t="str">
        <f t="array" ref="AQ57:AQ57">AG57</f>
        <v>01.06.2026</v>
      </c>
      <c r="AR57" s="619"/>
      <c r="AS57" s="619" t="b">
        <v>1</v>
      </c>
    </row>
    <row s="1459" customFormat="1" customHeight="1" ht="23.25">
      <c r="A58" s="1459"/>
      <c r="B58" s="1459"/>
      <c r="C58" s="1459"/>
      <c r="D58" s="1459"/>
      <c r="E58" s="629">
        <v>15</v>
      </c>
      <c r="F58" s="104" cm="1" t="str">
        <f t="array" ref="F58:F58">OFFSET(G58,-1,-1)</f>
        <v>2</v>
      </c>
      <c r="G58" s="1459"/>
      <c r="H58" s="1459"/>
      <c r="I58" s="104" t="s">
        <v>482</v>
      </c>
      <c r="J58" s="1459"/>
      <c r="K58" s="104" t="s">
        <v>483</v>
      </c>
      <c r="L58" s="1459"/>
      <c r="M58" s="1459"/>
      <c r="N58" s="1459"/>
      <c r="O58" s="1459"/>
      <c r="P58" s="1459"/>
      <c r="Q58" s="1459"/>
      <c r="R58" s="1459"/>
      <c r="S58" s="1459"/>
      <c r="T58" s="1459"/>
      <c r="U58" s="465">
        <f>AND(F58&gt;0,AB58&gt;0)</f>
        <v>1</v>
      </c>
      <c r="V58" s="1459"/>
      <c r="W58" s="1459"/>
      <c r="X58" s="717"/>
      <c r="Y58" s="1459"/>
      <c r="Z58" s="1459"/>
      <c r="AA58" s="662" t="s">
        <v>175</v>
      </c>
      <c r="AB58" s="88" t="s">
        <v>449</v>
      </c>
      <c r="AC58" s="274" t="str">
        <f>I58&amp;" :: "&amp;K58</f>
        <v>водопровод пер. Комсомольский :: г Калтан, пер. Комсомольский, -</v>
      </c>
      <c r="AD58" s="274" t="s">
        <v>430</v>
      </c>
      <c r="AE58" s="274" t="s">
        <v>431</v>
      </c>
      <c r="AF58" s="405" t="s">
        <v>432</v>
      </c>
      <c r="AG58" s="405" t="s">
        <v>433</v>
      </c>
      <c r="AH58" s="2022" t="s">
        <v>434</v>
      </c>
      <c r="AI58" s="1459"/>
      <c r="AJ58" s="1459"/>
      <c r="AK58" s="1000" t="s">
        <v>424</v>
      </c>
      <c r="AL58" s="1000" t="s">
        <v>425</v>
      </c>
      <c r="AM58" s="1000" cm="1" t="str">
        <f t="array" ref="AM58:AM58">AC58</f>
        <v>водопровод пер. Комсомольский :: г Калтан, пер. Комсомольский, -</v>
      </c>
      <c r="AN58" s="1000" cm="1" t="str">
        <f t="array" ref="AN58:AN58">AD58</f>
        <v>концессионное соглашение</v>
      </c>
      <c r="AO58" s="1000" cm="1" t="str">
        <f t="array" ref="AO58:AO58">AE58</f>
        <v>акт приёма-передачи</v>
      </c>
      <c r="AP58" s="1000" cm="1" t="str">
        <f t="array" ref="AP58:AP58">AF58</f>
        <v>б/н</v>
      </c>
      <c r="AQ58" s="1000" cm="1" t="str">
        <f t="array" ref="AQ58:AQ58">AG58</f>
        <v>01.06.2026</v>
      </c>
      <c r="AR58" s="619"/>
      <c r="AS58" s="619" t="b">
        <v>1</v>
      </c>
    </row>
    <row s="1459" customFormat="1" customHeight="1" ht="23.25">
      <c r="A59" s="1459"/>
      <c r="B59" s="1459"/>
      <c r="C59" s="1459"/>
      <c r="D59" s="1459"/>
      <c r="E59" s="629">
        <v>15</v>
      </c>
      <c r="F59" s="104" cm="1" t="str">
        <f t="array" ref="F59:F59">OFFSET(G59,-1,-1)</f>
        <v>2</v>
      </c>
      <c r="G59" s="1459"/>
      <c r="H59" s="1459"/>
      <c r="I59" s="104" t="s">
        <v>484</v>
      </c>
      <c r="J59" s="1459"/>
      <c r="K59" s="104" t="s">
        <v>485</v>
      </c>
      <c r="L59" s="1459"/>
      <c r="M59" s="1459"/>
      <c r="N59" s="1459"/>
      <c r="O59" s="1459"/>
      <c r="P59" s="1459"/>
      <c r="Q59" s="1459"/>
      <c r="R59" s="1459"/>
      <c r="S59" s="1459"/>
      <c r="T59" s="1459"/>
      <c r="U59" s="465">
        <f>AND(F59&gt;0,AB59&gt;0)</f>
        <v>1</v>
      </c>
      <c r="V59" s="1459"/>
      <c r="W59" s="1459"/>
      <c r="X59" s="717"/>
      <c r="Y59" s="1459"/>
      <c r="Z59" s="1459"/>
      <c r="AA59" s="662" t="s">
        <v>175</v>
      </c>
      <c r="AB59" s="88" t="s">
        <v>452</v>
      </c>
      <c r="AC59" s="274" t="str">
        <f>I59&amp;" :: "&amp;K59</f>
        <v>водопровод пер. Кошевого :: г Калтан, пер. Кошевого, ул. Покрышкина, 55 - пер. Кошевого, 63</v>
      </c>
      <c r="AD59" s="274" t="s">
        <v>430</v>
      </c>
      <c r="AE59" s="274" t="s">
        <v>431</v>
      </c>
      <c r="AF59" s="405" t="s">
        <v>432</v>
      </c>
      <c r="AG59" s="405" t="s">
        <v>433</v>
      </c>
      <c r="AH59" s="2022" t="s">
        <v>434</v>
      </c>
      <c r="AI59" s="1459"/>
      <c r="AJ59" s="1459"/>
      <c r="AK59" s="1000" t="s">
        <v>424</v>
      </c>
      <c r="AL59" s="1000" t="s">
        <v>425</v>
      </c>
      <c r="AM59" s="1000" cm="1" t="str">
        <f t="array" ref="AM59:AM59">AC59</f>
        <v>водопровод пер. Кошевого :: г Калтан, пер. Кошевого, ул. Покрышкина, 55 - пер. Кошевого, 63</v>
      </c>
      <c r="AN59" s="1000" cm="1" t="str">
        <f t="array" ref="AN59:AN59">AD59</f>
        <v>концессионное соглашение</v>
      </c>
      <c r="AO59" s="1000" cm="1" t="str">
        <f t="array" ref="AO59:AO59">AE59</f>
        <v>акт приёма-передачи</v>
      </c>
      <c r="AP59" s="1000" cm="1" t="str">
        <f t="array" ref="AP59:AP59">AF59</f>
        <v>б/н</v>
      </c>
      <c r="AQ59" s="1000" cm="1" t="str">
        <f t="array" ref="AQ59:AQ59">AG59</f>
        <v>01.06.2026</v>
      </c>
      <c r="AR59" s="619"/>
      <c r="AS59" s="619" t="b">
        <v>1</v>
      </c>
    </row>
    <row s="1459" customFormat="1" customHeight="1" ht="23.25">
      <c r="A60" s="1459"/>
      <c r="B60" s="1459"/>
      <c r="C60" s="1459"/>
      <c r="D60" s="1459"/>
      <c r="E60" s="629">
        <v>15</v>
      </c>
      <c r="F60" s="104" cm="1" t="str">
        <f t="array" ref="F60:F60">OFFSET(G60,-1,-1)</f>
        <v>2</v>
      </c>
      <c r="G60" s="1459"/>
      <c r="H60" s="1459"/>
      <c r="I60" s="104" t="s">
        <v>486</v>
      </c>
      <c r="J60" s="1459"/>
      <c r="K60" s="104" t="s">
        <v>487</v>
      </c>
      <c r="L60" s="1459"/>
      <c r="M60" s="1459"/>
      <c r="N60" s="1459"/>
      <c r="O60" s="1459"/>
      <c r="P60" s="1459"/>
      <c r="Q60" s="1459"/>
      <c r="R60" s="1459"/>
      <c r="S60" s="1459"/>
      <c r="T60" s="1459"/>
      <c r="U60" s="465">
        <f>AND(F60&gt;0,AB60&gt;0)</f>
        <v>1</v>
      </c>
      <c r="V60" s="1459"/>
      <c r="W60" s="1459"/>
      <c r="X60" s="717"/>
      <c r="Y60" s="1459"/>
      <c r="Z60" s="1459"/>
      <c r="AA60" s="662" t="s">
        <v>175</v>
      </c>
      <c r="AB60" s="88" t="s">
        <v>455</v>
      </c>
      <c r="AC60" s="274" t="str">
        <f>I60&amp;" :: "&amp;K60</f>
        <v>водопровод  пер. Покрышкина :: г Калтан, пер. Покрышкина, -</v>
      </c>
      <c r="AD60" s="274" t="s">
        <v>430</v>
      </c>
      <c r="AE60" s="274" t="s">
        <v>431</v>
      </c>
      <c r="AF60" s="405" t="s">
        <v>432</v>
      </c>
      <c r="AG60" s="405" t="s">
        <v>433</v>
      </c>
      <c r="AH60" s="2022" t="s">
        <v>434</v>
      </c>
      <c r="AI60" s="1459"/>
      <c r="AJ60" s="1459"/>
      <c r="AK60" s="1000" t="s">
        <v>424</v>
      </c>
      <c r="AL60" s="1000" t="s">
        <v>425</v>
      </c>
      <c r="AM60" s="1000" cm="1" t="str">
        <f t="array" ref="AM60:AM60">AC60</f>
        <v>водопровод  пер. Покрышкина :: г Калтан, пер. Покрышкина, -</v>
      </c>
      <c r="AN60" s="1000" cm="1" t="str">
        <f t="array" ref="AN60:AN60">AD60</f>
        <v>концессионное соглашение</v>
      </c>
      <c r="AO60" s="1000" cm="1" t="str">
        <f t="array" ref="AO60:AO60">AE60</f>
        <v>акт приёма-передачи</v>
      </c>
      <c r="AP60" s="1000" cm="1" t="str">
        <f t="array" ref="AP60:AP60">AF60</f>
        <v>б/н</v>
      </c>
      <c r="AQ60" s="1000" cm="1" t="str">
        <f t="array" ref="AQ60:AQ60">AG60</f>
        <v>01.06.2026</v>
      </c>
      <c r="AR60" s="619"/>
      <c r="AS60" s="619" t="b">
        <v>1</v>
      </c>
    </row>
    <row s="1459" customFormat="1" customHeight="1" ht="23.25">
      <c r="A61" s="1459"/>
      <c r="B61" s="1459"/>
      <c r="C61" s="1459"/>
      <c r="D61" s="1459"/>
      <c r="E61" s="629">
        <v>15</v>
      </c>
      <c r="F61" s="104" cm="1" t="str">
        <f t="array" ref="F61:F61">OFFSET(G61,-1,-1)</f>
        <v>2</v>
      </c>
      <c r="G61" s="1459"/>
      <c r="H61" s="1459"/>
      <c r="I61" s="104" t="s">
        <v>488</v>
      </c>
      <c r="J61" s="1459"/>
      <c r="K61" s="104" t="s">
        <v>489</v>
      </c>
      <c r="L61" s="1459"/>
      <c r="M61" s="1459"/>
      <c r="N61" s="1459"/>
      <c r="O61" s="1459"/>
      <c r="P61" s="1459"/>
      <c r="Q61" s="1459"/>
      <c r="R61" s="1459"/>
      <c r="S61" s="1459"/>
      <c r="T61" s="1459"/>
      <c r="U61" s="465">
        <f>AND(F61&gt;0,AB61&gt;0)</f>
        <v>1</v>
      </c>
      <c r="V61" s="1459"/>
      <c r="W61" s="1459"/>
      <c r="X61" s="717"/>
      <c r="Y61" s="1459"/>
      <c r="Z61" s="1459"/>
      <c r="AA61" s="662" t="s">
        <v>175</v>
      </c>
      <c r="AB61" s="88" t="s">
        <v>458</v>
      </c>
      <c r="AC61" s="274" t="str">
        <f>I61&amp;" :: "&amp;K61</f>
        <v>водопровод  пер. Прибрежный :: г Калтан, пер. Прибрежный, -</v>
      </c>
      <c r="AD61" s="274" t="s">
        <v>430</v>
      </c>
      <c r="AE61" s="274" t="s">
        <v>431</v>
      </c>
      <c r="AF61" s="405" t="s">
        <v>432</v>
      </c>
      <c r="AG61" s="405" t="s">
        <v>433</v>
      </c>
      <c r="AH61" s="2022" t="s">
        <v>434</v>
      </c>
      <c r="AI61" s="1459"/>
      <c r="AJ61" s="1459"/>
      <c r="AK61" s="1000" t="s">
        <v>424</v>
      </c>
      <c r="AL61" s="1000" t="s">
        <v>425</v>
      </c>
      <c r="AM61" s="1000" cm="1" t="str">
        <f t="array" ref="AM61:AM61">AC61</f>
        <v>водопровод  пер. Прибрежный :: г Калтан, пер. Прибрежный, -</v>
      </c>
      <c r="AN61" s="1000" cm="1" t="str">
        <f t="array" ref="AN61:AN61">AD61</f>
        <v>концессионное соглашение</v>
      </c>
      <c r="AO61" s="1000" cm="1" t="str">
        <f t="array" ref="AO61:AO61">AE61</f>
        <v>акт приёма-передачи</v>
      </c>
      <c r="AP61" s="1000" cm="1" t="str">
        <f t="array" ref="AP61:AP61">AF61</f>
        <v>б/н</v>
      </c>
      <c r="AQ61" s="1000" cm="1" t="str">
        <f t="array" ref="AQ61:AQ61">AG61</f>
        <v>01.06.2026</v>
      </c>
      <c r="AR61" s="619"/>
      <c r="AS61" s="619" t="b">
        <v>1</v>
      </c>
    </row>
    <row s="1459" customFormat="1" customHeight="1" ht="23.25">
      <c r="A62" s="1459"/>
      <c r="B62" s="1459"/>
      <c r="C62" s="1459"/>
      <c r="D62" s="1459"/>
      <c r="E62" s="629">
        <v>15</v>
      </c>
      <c r="F62" s="104" cm="1" t="str">
        <f t="array" ref="F62:F62">OFFSET(G62,-1,-1)</f>
        <v>2</v>
      </c>
      <c r="G62" s="1459"/>
      <c r="H62" s="1459"/>
      <c r="I62" s="104" t="s">
        <v>490</v>
      </c>
      <c r="J62" s="1459"/>
      <c r="K62" s="104" t="s">
        <v>491</v>
      </c>
      <c r="L62" s="1459"/>
      <c r="M62" s="1459"/>
      <c r="N62" s="1459"/>
      <c r="O62" s="1459"/>
      <c r="P62" s="1459"/>
      <c r="Q62" s="1459"/>
      <c r="R62" s="1459"/>
      <c r="S62" s="1459"/>
      <c r="T62" s="1459"/>
      <c r="U62" s="465">
        <f>AND(F62&gt;0,AB62&gt;0)</f>
        <v>1</v>
      </c>
      <c r="V62" s="1459"/>
      <c r="W62" s="1459"/>
      <c r="X62" s="717"/>
      <c r="Y62" s="1459"/>
      <c r="Z62" s="1459"/>
      <c r="AA62" s="662" t="s">
        <v>175</v>
      </c>
      <c r="AB62" s="88" t="s">
        <v>461</v>
      </c>
      <c r="AC62" s="274" t="str">
        <f>I62&amp;" :: "&amp;K62</f>
        <v>водопровод пер. Садовый :: г Калтан, пер. Садовый, 1-7</v>
      </c>
      <c r="AD62" s="274" t="s">
        <v>430</v>
      </c>
      <c r="AE62" s="274" t="s">
        <v>431</v>
      </c>
      <c r="AF62" s="405" t="s">
        <v>432</v>
      </c>
      <c r="AG62" s="405" t="s">
        <v>433</v>
      </c>
      <c r="AH62" s="2022" t="s">
        <v>434</v>
      </c>
      <c r="AI62" s="1459"/>
      <c r="AJ62" s="1459"/>
      <c r="AK62" s="1000" t="s">
        <v>424</v>
      </c>
      <c r="AL62" s="1000" t="s">
        <v>425</v>
      </c>
      <c r="AM62" s="1000" cm="1" t="str">
        <f t="array" ref="AM62:AM62">AC62</f>
        <v>водопровод пер. Садовый :: г Калтан, пер. Садовый, 1-7</v>
      </c>
      <c r="AN62" s="1000" cm="1" t="str">
        <f t="array" ref="AN62:AN62">AD62</f>
        <v>концессионное соглашение</v>
      </c>
      <c r="AO62" s="1000" cm="1" t="str">
        <f t="array" ref="AO62:AO62">AE62</f>
        <v>акт приёма-передачи</v>
      </c>
      <c r="AP62" s="1000" cm="1" t="str">
        <f t="array" ref="AP62:AP62">AF62</f>
        <v>б/н</v>
      </c>
      <c r="AQ62" s="1000" cm="1" t="str">
        <f t="array" ref="AQ62:AQ62">AG62</f>
        <v>01.06.2026</v>
      </c>
      <c r="AR62" s="619"/>
      <c r="AS62" s="619" t="b">
        <v>1</v>
      </c>
    </row>
    <row s="1459" customFormat="1" customHeight="1" ht="23.25">
      <c r="A63" s="1459"/>
      <c r="B63" s="1459"/>
      <c r="C63" s="1459"/>
      <c r="D63" s="1459"/>
      <c r="E63" s="629">
        <v>15</v>
      </c>
      <c r="F63" s="104" cm="1" t="str">
        <f t="array" ref="F63:F63">OFFSET(G63,-1,-1)</f>
        <v>2</v>
      </c>
      <c r="G63" s="1459"/>
      <c r="H63" s="1459"/>
      <c r="I63" s="104" t="s">
        <v>492</v>
      </c>
      <c r="J63" s="1459"/>
      <c r="K63" s="104" t="s">
        <v>493</v>
      </c>
      <c r="L63" s="1459"/>
      <c r="M63" s="1459"/>
      <c r="N63" s="1459"/>
      <c r="O63" s="1459"/>
      <c r="P63" s="1459"/>
      <c r="Q63" s="1459"/>
      <c r="R63" s="1459"/>
      <c r="S63" s="1459"/>
      <c r="T63" s="1459"/>
      <c r="U63" s="465">
        <f>AND(F63&gt;0,AB63&gt;0)</f>
        <v>1</v>
      </c>
      <c r="V63" s="1459"/>
      <c r="W63" s="1459"/>
      <c r="X63" s="717"/>
      <c r="Y63" s="1459"/>
      <c r="Z63" s="1459"/>
      <c r="AA63" s="662" t="s">
        <v>175</v>
      </c>
      <c r="AB63" s="88" t="s">
        <v>463</v>
      </c>
      <c r="AC63" s="274" t="str">
        <f>I63&amp;" :: "&amp;K63</f>
        <v>водопровод пер. Санаторный :: г Калтан, пер. Санаторный, а.дорога - ул. Неввского, 23</v>
      </c>
      <c r="AD63" s="274" t="s">
        <v>430</v>
      </c>
      <c r="AE63" s="274" t="s">
        <v>431</v>
      </c>
      <c r="AF63" s="405" t="s">
        <v>432</v>
      </c>
      <c r="AG63" s="405" t="s">
        <v>433</v>
      </c>
      <c r="AH63" s="2022" t="s">
        <v>434</v>
      </c>
      <c r="AI63" s="1459"/>
      <c r="AJ63" s="1459"/>
      <c r="AK63" s="1000" t="s">
        <v>424</v>
      </c>
      <c r="AL63" s="1000" t="s">
        <v>425</v>
      </c>
      <c r="AM63" s="1000" cm="1" t="str">
        <f t="array" ref="AM63:AM63">AC63</f>
        <v>водопровод пер. Санаторный :: г Калтан, пер. Санаторный, а.дорога - ул. Неввского, 23</v>
      </c>
      <c r="AN63" s="1000" cm="1" t="str">
        <f t="array" ref="AN63:AN63">AD63</f>
        <v>концессионное соглашение</v>
      </c>
      <c r="AO63" s="1000" cm="1" t="str">
        <f t="array" ref="AO63:AO63">AE63</f>
        <v>акт приёма-передачи</v>
      </c>
      <c r="AP63" s="1000" cm="1" t="str">
        <f t="array" ref="AP63:AP63">AF63</f>
        <v>б/н</v>
      </c>
      <c r="AQ63" s="1000" cm="1" t="str">
        <f t="array" ref="AQ63:AQ63">AG63</f>
        <v>01.06.2026</v>
      </c>
      <c r="AR63" s="619"/>
      <c r="AS63" s="619" t="b">
        <v>1</v>
      </c>
    </row>
    <row s="1459" customFormat="1" customHeight="1" ht="23.25">
      <c r="A64" s="1459"/>
      <c r="B64" s="1459"/>
      <c r="C64" s="1459"/>
      <c r="D64" s="1459"/>
      <c r="E64" s="629">
        <v>15</v>
      </c>
      <c r="F64" s="104" cm="1" t="str">
        <f t="array" ref="F64:F64">OFFSET(G64,-1,-1)</f>
        <v>2</v>
      </c>
      <c r="G64" s="1459"/>
      <c r="H64" s="1459"/>
      <c r="I64" s="104" t="s">
        <v>494</v>
      </c>
      <c r="J64" s="1459"/>
      <c r="K64" s="104" t="s">
        <v>495</v>
      </c>
      <c r="L64" s="1459"/>
      <c r="M64" s="1459"/>
      <c r="N64" s="1459"/>
      <c r="O64" s="1459"/>
      <c r="P64" s="1459"/>
      <c r="Q64" s="1459"/>
      <c r="R64" s="1459"/>
      <c r="S64" s="1459"/>
      <c r="T64" s="1459"/>
      <c r="U64" s="465">
        <f>AND(F64&gt;0,AB64&gt;0)</f>
        <v>1</v>
      </c>
      <c r="V64" s="1459"/>
      <c r="W64" s="1459"/>
      <c r="X64" s="717"/>
      <c r="Y64" s="1459"/>
      <c r="Z64" s="1459"/>
      <c r="AA64" s="662" t="s">
        <v>175</v>
      </c>
      <c r="AB64" s="88" t="s">
        <v>465</v>
      </c>
      <c r="AC64" s="274" t="str">
        <f>I64&amp;" :: "&amp;K64</f>
        <v>водопровод пер. Советский :: г Калтан, пер. Советский, -</v>
      </c>
      <c r="AD64" s="274" t="s">
        <v>430</v>
      </c>
      <c r="AE64" s="274" t="s">
        <v>431</v>
      </c>
      <c r="AF64" s="405" t="s">
        <v>432</v>
      </c>
      <c r="AG64" s="405" t="s">
        <v>433</v>
      </c>
      <c r="AH64" s="2022" t="s">
        <v>434</v>
      </c>
      <c r="AI64" s="1459"/>
      <c r="AJ64" s="1459"/>
      <c r="AK64" s="1000" t="s">
        <v>424</v>
      </c>
      <c r="AL64" s="1000" t="s">
        <v>425</v>
      </c>
      <c r="AM64" s="1000" cm="1" t="str">
        <f t="array" ref="AM64:AM64">AC64</f>
        <v>водопровод пер. Советский :: г Калтан, пер. Советский, -</v>
      </c>
      <c r="AN64" s="1000" cm="1" t="str">
        <f t="array" ref="AN64:AN64">AD64</f>
        <v>концессионное соглашение</v>
      </c>
      <c r="AO64" s="1000" cm="1" t="str">
        <f t="array" ref="AO64:AO64">AE64</f>
        <v>акт приёма-передачи</v>
      </c>
      <c r="AP64" s="1000" cm="1" t="str">
        <f t="array" ref="AP64:AP64">AF64</f>
        <v>б/н</v>
      </c>
      <c r="AQ64" s="1000" cm="1" t="str">
        <f t="array" ref="AQ64:AQ64">AG64</f>
        <v>01.06.2026</v>
      </c>
      <c r="AR64" s="619"/>
      <c r="AS64" s="619" t="b">
        <v>1</v>
      </c>
    </row>
    <row s="1459" customFormat="1" customHeight="1" ht="23.25">
      <c r="A65" s="1459"/>
      <c r="B65" s="1459"/>
      <c r="C65" s="1459"/>
      <c r="D65" s="1459"/>
      <c r="E65" s="629">
        <v>15</v>
      </c>
      <c r="F65" s="104" cm="1" t="str">
        <f t="array" ref="F65:F65">OFFSET(G65,-1,-1)</f>
        <v>2</v>
      </c>
      <c r="G65" s="1459"/>
      <c r="H65" s="1459"/>
      <c r="I65" s="104" t="s">
        <v>496</v>
      </c>
      <c r="J65" s="1459"/>
      <c r="K65" s="104" t="s">
        <v>497</v>
      </c>
      <c r="L65" s="1459"/>
      <c r="M65" s="1459"/>
      <c r="N65" s="1459"/>
      <c r="O65" s="1459"/>
      <c r="P65" s="1459"/>
      <c r="Q65" s="1459"/>
      <c r="R65" s="1459"/>
      <c r="S65" s="1459"/>
      <c r="T65" s="1459"/>
      <c r="U65" s="465">
        <f>AND(F65&gt;0,AB65&gt;0)</f>
        <v>1</v>
      </c>
      <c r="V65" s="1459"/>
      <c r="W65" s="1459"/>
      <c r="X65" s="717"/>
      <c r="Y65" s="1459"/>
      <c r="Z65" s="1459"/>
      <c r="AA65" s="662" t="s">
        <v>175</v>
      </c>
      <c r="AB65" s="88" t="s">
        <v>467</v>
      </c>
      <c r="AC65" s="274" t="str">
        <f>I65&amp;" :: "&amp;K65</f>
        <v>водопровод перекресток пр. Мира, 11ул. Заводская, 23 :: г Калтан, перекресток пр-кт. Мира, ул. Заводская, 11-23</v>
      </c>
      <c r="AD65" s="274" t="s">
        <v>430</v>
      </c>
      <c r="AE65" s="274" t="s">
        <v>431</v>
      </c>
      <c r="AF65" s="405" t="s">
        <v>432</v>
      </c>
      <c r="AG65" s="405" t="s">
        <v>433</v>
      </c>
      <c r="AH65" s="2022" t="s">
        <v>434</v>
      </c>
      <c r="AI65" s="1459"/>
      <c r="AJ65" s="1459"/>
      <c r="AK65" s="1000" t="s">
        <v>424</v>
      </c>
      <c r="AL65" s="1000" t="s">
        <v>425</v>
      </c>
      <c r="AM65" s="1000" cm="1" t="str">
        <f t="array" ref="AM65:AM65">AC65</f>
        <v>водопровод перекресток пр. Мира, 11ул. Заводская, 23 :: г Калтан, перекресток пр-кт. Мира, ул. Заводская, 11-23</v>
      </c>
      <c r="AN65" s="1000" cm="1" t="str">
        <f t="array" ref="AN65:AN65">AD65</f>
        <v>концессионное соглашение</v>
      </c>
      <c r="AO65" s="1000" cm="1" t="str">
        <f t="array" ref="AO65:AO65">AE65</f>
        <v>акт приёма-передачи</v>
      </c>
      <c r="AP65" s="1000" cm="1" t="str">
        <f t="array" ref="AP65:AP65">AF65</f>
        <v>б/н</v>
      </c>
      <c r="AQ65" s="1000" cm="1" t="str">
        <f t="array" ref="AQ65:AQ65">AG65</f>
        <v>01.06.2026</v>
      </c>
      <c r="AR65" s="619"/>
      <c r="AS65" s="619" t="b">
        <v>1</v>
      </c>
    </row>
    <row s="1459" customFormat="1" customHeight="1" ht="23.25">
      <c r="A66" s="1459"/>
      <c r="B66" s="1459"/>
      <c r="C66" s="1459"/>
      <c r="D66" s="1459"/>
      <c r="E66" s="629">
        <v>15</v>
      </c>
      <c r="F66" s="104" cm="1" t="str">
        <f t="array" ref="F66:F66">OFFSET(G66,-1,-1)</f>
        <v>2</v>
      </c>
      <c r="G66" s="1459"/>
      <c r="H66" s="1459"/>
      <c r="I66" s="104" t="s">
        <v>498</v>
      </c>
      <c r="J66" s="1459"/>
      <c r="K66" s="104" t="s">
        <v>499</v>
      </c>
      <c r="L66" s="1459"/>
      <c r="M66" s="1459"/>
      <c r="N66" s="1459"/>
      <c r="O66" s="1459"/>
      <c r="P66" s="1459"/>
      <c r="Q66" s="1459"/>
      <c r="R66" s="1459"/>
      <c r="S66" s="1459"/>
      <c r="T66" s="1459"/>
      <c r="U66" s="465">
        <f>AND(F66&gt;0,AB66&gt;0)</f>
        <v>1</v>
      </c>
      <c r="V66" s="1459"/>
      <c r="W66" s="1459"/>
      <c r="X66" s="717"/>
      <c r="Y66" s="1459"/>
      <c r="Z66" s="1459"/>
      <c r="AA66" s="662" t="s">
        <v>175</v>
      </c>
      <c r="AB66" s="88" t="s">
        <v>341</v>
      </c>
      <c r="AC66" s="274" t="str">
        <f>I66&amp;" :: "&amp;K66</f>
        <v>водопровод перекресток от пр. Мира, 45а до ул. Комсомольская, 61 :: г Калтан, перекресток пр. Мира, ул. Комсомольская, 45а-61</v>
      </c>
      <c r="AD66" s="274" t="s">
        <v>430</v>
      </c>
      <c r="AE66" s="274" t="s">
        <v>431</v>
      </c>
      <c r="AF66" s="405" t="s">
        <v>432</v>
      </c>
      <c r="AG66" s="405" t="s">
        <v>433</v>
      </c>
      <c r="AH66" s="2022" t="s">
        <v>434</v>
      </c>
      <c r="AI66" s="1459"/>
      <c r="AJ66" s="1459"/>
      <c r="AK66" s="1000" t="s">
        <v>424</v>
      </c>
      <c r="AL66" s="1000" t="s">
        <v>425</v>
      </c>
      <c r="AM66" s="1000" cm="1" t="str">
        <f t="array" ref="AM66:AM66">AC66</f>
        <v>водопровод перекресток от пр. Мира, 45а до ул. Комсомольская, 61 :: г Калтан, перекресток пр. Мира, ул. Комсомольская, 45а-61</v>
      </c>
      <c r="AN66" s="1000" cm="1" t="str">
        <f t="array" ref="AN66:AN66">AD66</f>
        <v>концессионное соглашение</v>
      </c>
      <c r="AO66" s="1000" cm="1" t="str">
        <f t="array" ref="AO66:AO66">AE66</f>
        <v>акт приёма-передачи</v>
      </c>
      <c r="AP66" s="1000" cm="1" t="str">
        <f t="array" ref="AP66:AP66">AF66</f>
        <v>б/н</v>
      </c>
      <c r="AQ66" s="1000" cm="1" t="str">
        <f t="array" ref="AQ66:AQ66">AG66</f>
        <v>01.06.2026</v>
      </c>
      <c r="AR66" s="619"/>
      <c r="AS66" s="619" t="b">
        <v>1</v>
      </c>
    </row>
    <row s="1459" customFormat="1" customHeight="1" ht="23.25">
      <c r="A67" s="1459"/>
      <c r="B67" s="1459"/>
      <c r="C67" s="1459"/>
      <c r="D67" s="1459"/>
      <c r="E67" s="629">
        <v>15</v>
      </c>
      <c r="F67" s="104" cm="1" t="str">
        <f t="array" ref="F67:F67">OFFSET(G67,-1,-1)</f>
        <v>2</v>
      </c>
      <c r="G67" s="1459"/>
      <c r="H67" s="1459"/>
      <c r="I67" s="104" t="s">
        <v>500</v>
      </c>
      <c r="J67" s="1459"/>
      <c r="K67" s="104" t="s">
        <v>501</v>
      </c>
      <c r="L67" s="1459"/>
      <c r="M67" s="1459"/>
      <c r="N67" s="1459"/>
      <c r="O67" s="1459"/>
      <c r="P67" s="1459"/>
      <c r="Q67" s="1459"/>
      <c r="R67" s="1459"/>
      <c r="S67" s="1459"/>
      <c r="T67" s="1459"/>
      <c r="U67" s="465">
        <f>AND(F67&gt;0,AB67&gt;0)</f>
        <v>1</v>
      </c>
      <c r="V67" s="1459"/>
      <c r="W67" s="1459"/>
      <c r="X67" s="717"/>
      <c r="Y67" s="1459"/>
      <c r="Z67" s="1459"/>
      <c r="AA67" s="662" t="s">
        <v>175</v>
      </c>
      <c r="AB67" s="88" t="s">
        <v>502</v>
      </c>
      <c r="AC67" s="274" t="str">
        <f>I67&amp;" :: "&amp;K67</f>
        <v>водопровод перекресток от ул. Горького, 24а до пр. Мира,39 :: г Калтан, перекресток ул. Горького, пр. Мира, 24а-39</v>
      </c>
      <c r="AD67" s="274" t="s">
        <v>430</v>
      </c>
      <c r="AE67" s="274" t="s">
        <v>431</v>
      </c>
      <c r="AF67" s="405" t="s">
        <v>432</v>
      </c>
      <c r="AG67" s="405" t="s">
        <v>433</v>
      </c>
      <c r="AH67" s="2022" t="s">
        <v>434</v>
      </c>
      <c r="AI67" s="1459"/>
      <c r="AJ67" s="1459"/>
      <c r="AK67" s="1000" t="s">
        <v>424</v>
      </c>
      <c r="AL67" s="1000" t="s">
        <v>425</v>
      </c>
      <c r="AM67" s="1000" cm="1" t="str">
        <f t="array" ref="AM67:AM67">AC67</f>
        <v>водопровод перекресток от ул. Горького, 24а до пр. Мира,39 :: г Калтан, перекресток ул. Горького, пр. Мира, 24а-39</v>
      </c>
      <c r="AN67" s="1000" cm="1" t="str">
        <f t="array" ref="AN67:AN67">AD67</f>
        <v>концессионное соглашение</v>
      </c>
      <c r="AO67" s="1000" cm="1" t="str">
        <f t="array" ref="AO67:AO67">AE67</f>
        <v>акт приёма-передачи</v>
      </c>
      <c r="AP67" s="1000" cm="1" t="str">
        <f t="array" ref="AP67:AP67">AF67</f>
        <v>б/н</v>
      </c>
      <c r="AQ67" s="1000" cm="1" t="str">
        <f t="array" ref="AQ67:AQ67">AG67</f>
        <v>01.06.2026</v>
      </c>
      <c r="AR67" s="619"/>
      <c r="AS67" s="619" t="b">
        <v>1</v>
      </c>
    </row>
    <row s="1459" customFormat="1" customHeight="1" ht="23.25">
      <c r="A68" s="1459"/>
      <c r="B68" s="1459"/>
      <c r="C68" s="1459"/>
      <c r="D68" s="1459"/>
      <c r="E68" s="629">
        <v>15</v>
      </c>
      <c r="F68" s="104" cm="1" t="str">
        <f t="array" ref="F68:F68">OFFSET(G68,-1,-1)</f>
        <v>2</v>
      </c>
      <c r="G68" s="1459"/>
      <c r="H68" s="1459"/>
      <c r="I68" s="104" t="s">
        <v>503</v>
      </c>
      <c r="J68" s="1459"/>
      <c r="K68" s="104" t="s">
        <v>504</v>
      </c>
      <c r="L68" s="1459"/>
      <c r="M68" s="1459"/>
      <c r="N68" s="1459"/>
      <c r="O68" s="1459"/>
      <c r="P68" s="1459"/>
      <c r="Q68" s="1459"/>
      <c r="R68" s="1459"/>
      <c r="S68" s="1459"/>
      <c r="T68" s="1459"/>
      <c r="U68" s="465">
        <f>AND(F68&gt;0,AB68&gt;0)</f>
        <v>1</v>
      </c>
      <c r="V68" s="1459"/>
      <c r="W68" s="1459"/>
      <c r="X68" s="717"/>
      <c r="Y68" s="1459"/>
      <c r="Z68" s="1459"/>
      <c r="AA68" s="662" t="s">
        <v>175</v>
      </c>
      <c r="AB68" s="88" t="s">
        <v>505</v>
      </c>
      <c r="AC68" s="274" t="str">
        <f>I68&amp;" :: "&amp;K68</f>
        <v>водопровод перекресток от ул. Горького, 34 до  пр. Мира, 45а :: г Калтан, перекресток ул. Горького, пр. Мира, 34-45а</v>
      </c>
      <c r="AD68" s="274" t="s">
        <v>430</v>
      </c>
      <c r="AE68" s="274" t="s">
        <v>431</v>
      </c>
      <c r="AF68" s="405" t="s">
        <v>432</v>
      </c>
      <c r="AG68" s="405" t="s">
        <v>433</v>
      </c>
      <c r="AH68" s="2022" t="s">
        <v>434</v>
      </c>
      <c r="AI68" s="1459"/>
      <c r="AJ68" s="1459"/>
      <c r="AK68" s="1000" t="s">
        <v>424</v>
      </c>
      <c r="AL68" s="1000" t="s">
        <v>425</v>
      </c>
      <c r="AM68" s="1000" cm="1" t="str">
        <f t="array" ref="AM68:AM68">AC68</f>
        <v>водопровод перекресток от ул. Горького, 34 до  пр. Мира, 45а :: г Калтан, перекресток ул. Горького, пр. Мира, 34-45а</v>
      </c>
      <c r="AN68" s="1000" cm="1" t="str">
        <f t="array" ref="AN68:AN68">AD68</f>
        <v>концессионное соглашение</v>
      </c>
      <c r="AO68" s="1000" cm="1" t="str">
        <f t="array" ref="AO68:AO68">AE68</f>
        <v>акт приёма-передачи</v>
      </c>
      <c r="AP68" s="1000" cm="1" t="str">
        <f t="array" ref="AP68:AP68">AF68</f>
        <v>б/н</v>
      </c>
      <c r="AQ68" s="1000" cm="1" t="str">
        <f t="array" ref="AQ68:AQ68">AG68</f>
        <v>01.06.2026</v>
      </c>
      <c r="AR68" s="619"/>
      <c r="AS68" s="619" t="b">
        <v>1</v>
      </c>
    </row>
    <row s="1459" customFormat="1" customHeight="1" ht="23.25">
      <c r="A69" s="1459"/>
      <c r="B69" s="1459"/>
      <c r="C69" s="1459"/>
      <c r="D69" s="1459"/>
      <c r="E69" s="629">
        <v>15</v>
      </c>
      <c r="F69" s="104" cm="1" t="str">
        <f t="array" ref="F69:F69">OFFSET(G69,-1,-1)</f>
        <v>2</v>
      </c>
      <c r="G69" s="1459"/>
      <c r="H69" s="1459"/>
      <c r="I69" s="104" t="s">
        <v>506</v>
      </c>
      <c r="J69" s="1459"/>
      <c r="K69" s="104" t="s">
        <v>507</v>
      </c>
      <c r="L69" s="1459"/>
      <c r="M69" s="1459"/>
      <c r="N69" s="1459"/>
      <c r="O69" s="1459"/>
      <c r="P69" s="1459"/>
      <c r="Q69" s="1459"/>
      <c r="R69" s="1459"/>
      <c r="S69" s="1459"/>
      <c r="T69" s="1459"/>
      <c r="U69" s="465">
        <f>AND(F69&gt;0,AB69&gt;0)</f>
        <v>1</v>
      </c>
      <c r="V69" s="1459"/>
      <c r="W69" s="1459"/>
      <c r="X69" s="717"/>
      <c r="Y69" s="1459"/>
      <c r="Z69" s="1459"/>
      <c r="AA69" s="662" t="s">
        <v>175</v>
      </c>
      <c r="AB69" s="88" t="s">
        <v>508</v>
      </c>
      <c r="AC69" s="274" t="str">
        <f>I69&amp;" :: "&amp;K69</f>
        <v>водопровод перекресток от ул. Горького,20 до ул. Комсомольская, 49 :: г Калтан, перекресток ул. Горького, ул. Комсомольская, -</v>
      </c>
      <c r="AD69" s="274" t="s">
        <v>430</v>
      </c>
      <c r="AE69" s="274" t="s">
        <v>431</v>
      </c>
      <c r="AF69" s="405" t="s">
        <v>432</v>
      </c>
      <c r="AG69" s="405" t="s">
        <v>433</v>
      </c>
      <c r="AH69" s="2022" t="s">
        <v>434</v>
      </c>
      <c r="AI69" s="1459"/>
      <c r="AJ69" s="1459"/>
      <c r="AK69" s="1000" t="s">
        <v>424</v>
      </c>
      <c r="AL69" s="1000" t="s">
        <v>425</v>
      </c>
      <c r="AM69" s="1000" cm="1" t="str">
        <f t="array" ref="AM69:AM69">AC69</f>
        <v>водопровод перекресток от ул. Горького,20 до ул. Комсомольская, 49 :: г Калтан, перекресток ул. Горького, ул. Комсомольская, -</v>
      </c>
      <c r="AN69" s="1000" cm="1" t="str">
        <f t="array" ref="AN69:AN69">AD69</f>
        <v>концессионное соглашение</v>
      </c>
      <c r="AO69" s="1000" cm="1" t="str">
        <f t="array" ref="AO69:AO69">AE69</f>
        <v>акт приёма-передачи</v>
      </c>
      <c r="AP69" s="1000" cm="1" t="str">
        <f t="array" ref="AP69:AP69">AF69</f>
        <v>б/н</v>
      </c>
      <c r="AQ69" s="1000" cm="1" t="str">
        <f t="array" ref="AQ69:AQ69">AG69</f>
        <v>01.06.2026</v>
      </c>
      <c r="AR69" s="619"/>
      <c r="AS69" s="619" t="b">
        <v>1</v>
      </c>
    </row>
    <row s="1459" customFormat="1" customHeight="1" ht="23.25">
      <c r="A70" s="1459"/>
      <c r="B70" s="1459"/>
      <c r="C70" s="1459"/>
      <c r="D70" s="1459"/>
      <c r="E70" s="629">
        <v>15</v>
      </c>
      <c r="F70" s="104" cm="1" t="str">
        <f t="array" ref="F70:F70">OFFSET(G70,-1,-1)</f>
        <v>2</v>
      </c>
      <c r="G70" s="1459"/>
      <c r="H70" s="1459"/>
      <c r="I70" s="104" t="s">
        <v>509</v>
      </c>
      <c r="J70" s="1459"/>
      <c r="K70" s="104" t="s">
        <v>510</v>
      </c>
      <c r="L70" s="1459"/>
      <c r="M70" s="1459"/>
      <c r="N70" s="1459"/>
      <c r="O70" s="1459"/>
      <c r="P70" s="1459"/>
      <c r="Q70" s="1459"/>
      <c r="R70" s="1459"/>
      <c r="S70" s="1459"/>
      <c r="T70" s="1459"/>
      <c r="U70" s="465">
        <f>AND(F70&gt;0,AB70&gt;0)</f>
        <v>1</v>
      </c>
      <c r="V70" s="1459"/>
      <c r="W70" s="1459"/>
      <c r="X70" s="717"/>
      <c r="Y70" s="1459"/>
      <c r="Z70" s="1459"/>
      <c r="AA70" s="662" t="s">
        <v>175</v>
      </c>
      <c r="AB70" s="88" t="s">
        <v>511</v>
      </c>
      <c r="AC70" s="274" t="str">
        <f>I70&amp;" :: "&amp;K70</f>
        <v>водопровод перекресток от  ул. Калинина, 44 до ул. Горького, 34 :: г Калтан, перекресток ул. Калинина, ул. Горького, 44-34</v>
      </c>
      <c r="AD70" s="274" t="s">
        <v>430</v>
      </c>
      <c r="AE70" s="274" t="s">
        <v>431</v>
      </c>
      <c r="AF70" s="405" t="s">
        <v>432</v>
      </c>
      <c r="AG70" s="405" t="s">
        <v>433</v>
      </c>
      <c r="AH70" s="2022" t="s">
        <v>434</v>
      </c>
      <c r="AI70" s="1459"/>
      <c r="AJ70" s="1459"/>
      <c r="AK70" s="1000" t="s">
        <v>424</v>
      </c>
      <c r="AL70" s="1000" t="s">
        <v>425</v>
      </c>
      <c r="AM70" s="1000" cm="1" t="str">
        <f t="array" ref="AM70:AM70">AC70</f>
        <v>водопровод перекресток от  ул. Калинина, 44 до ул. Горького, 34 :: г Калтан, перекресток ул. Калинина, ул. Горького, 44-34</v>
      </c>
      <c r="AN70" s="1000" cm="1" t="str">
        <f t="array" ref="AN70:AN70">AD70</f>
        <v>концессионное соглашение</v>
      </c>
      <c r="AO70" s="1000" cm="1" t="str">
        <f t="array" ref="AO70:AO70">AE70</f>
        <v>акт приёма-передачи</v>
      </c>
      <c r="AP70" s="1000" cm="1" t="str">
        <f t="array" ref="AP70:AP70">AF70</f>
        <v>б/н</v>
      </c>
      <c r="AQ70" s="1000" cm="1" t="str">
        <f t="array" ref="AQ70:AQ70">AG70</f>
        <v>01.06.2026</v>
      </c>
      <c r="AR70" s="619"/>
      <c r="AS70" s="619" t="b">
        <v>1</v>
      </c>
    </row>
    <row s="1459" customFormat="1" customHeight="1" ht="23.25">
      <c r="A71" s="1459"/>
      <c r="B71" s="1459"/>
      <c r="C71" s="1459"/>
      <c r="D71" s="1459"/>
      <c r="E71" s="629">
        <v>15</v>
      </c>
      <c r="F71" s="104" cm="1" t="str">
        <f t="array" ref="F71:F71">OFFSET(G71,-1,-1)</f>
        <v>2</v>
      </c>
      <c r="G71" s="1459"/>
      <c r="H71" s="1459"/>
      <c r="I71" s="104" t="s">
        <v>512</v>
      </c>
      <c r="J71" s="1459"/>
      <c r="K71" s="104" t="s">
        <v>513</v>
      </c>
      <c r="L71" s="1459"/>
      <c r="M71" s="1459"/>
      <c r="N71" s="1459"/>
      <c r="O71" s="1459"/>
      <c r="P71" s="1459"/>
      <c r="Q71" s="1459"/>
      <c r="R71" s="1459"/>
      <c r="S71" s="1459"/>
      <c r="T71" s="1459"/>
      <c r="U71" s="465">
        <f>AND(F71&gt;0,AB71&gt;0)</f>
        <v>1</v>
      </c>
      <c r="V71" s="1459"/>
      <c r="W71" s="1459"/>
      <c r="X71" s="717"/>
      <c r="Y71" s="1459"/>
      <c r="Z71" s="1459"/>
      <c r="AA71" s="662" t="s">
        <v>175</v>
      </c>
      <c r="AB71" s="88" t="s">
        <v>514</v>
      </c>
      <c r="AC71" s="274" t="str">
        <f>I71&amp;" :: "&amp;K71</f>
        <v>водопровод от пр. Мира, 2а-39 до пр. Мира, 39; пр. Мира, 55-ул. Школьная :: г Калтан, пр-кт. Мира, 2-55</v>
      </c>
      <c r="AD71" s="274" t="s">
        <v>430</v>
      </c>
      <c r="AE71" s="274" t="s">
        <v>431</v>
      </c>
      <c r="AF71" s="405" t="s">
        <v>432</v>
      </c>
      <c r="AG71" s="405" t="s">
        <v>433</v>
      </c>
      <c r="AH71" s="2022" t="s">
        <v>434</v>
      </c>
      <c r="AI71" s="1459"/>
      <c r="AJ71" s="1459"/>
      <c r="AK71" s="1000" t="s">
        <v>424</v>
      </c>
      <c r="AL71" s="1000" t="s">
        <v>425</v>
      </c>
      <c r="AM71" s="1000" cm="1" t="str">
        <f t="array" ref="AM71:AM71">AC71</f>
        <v>водопровод от пр. Мира, 2а-39 до пр. Мира, 39; пр. Мира, 55-ул. Школьная :: г Калтан, пр-кт. Мира, 2-55</v>
      </c>
      <c r="AN71" s="1000" cm="1" t="str">
        <f t="array" ref="AN71:AN71">AD71</f>
        <v>концессионное соглашение</v>
      </c>
      <c r="AO71" s="1000" cm="1" t="str">
        <f t="array" ref="AO71:AO71">AE71</f>
        <v>акт приёма-передачи</v>
      </c>
      <c r="AP71" s="1000" cm="1" t="str">
        <f t="array" ref="AP71:AP71">AF71</f>
        <v>б/н</v>
      </c>
      <c r="AQ71" s="1000" cm="1" t="str">
        <f t="array" ref="AQ71:AQ71">AG71</f>
        <v>01.06.2026</v>
      </c>
      <c r="AR71" s="619"/>
      <c r="AS71" s="619" t="b">
        <v>1</v>
      </c>
    </row>
    <row s="1459" customFormat="1" customHeight="1" ht="23.25">
      <c r="A72" s="1459"/>
      <c r="B72" s="1459"/>
      <c r="C72" s="1459"/>
      <c r="D72" s="1459"/>
      <c r="E72" s="629">
        <v>15</v>
      </c>
      <c r="F72" s="104" cm="1" t="str">
        <f t="array" ref="F72:F72">OFFSET(G72,-1,-1)</f>
        <v>2</v>
      </c>
      <c r="G72" s="1459"/>
      <c r="H72" s="1459"/>
      <c r="I72" s="104" t="s">
        <v>515</v>
      </c>
      <c r="J72" s="1459"/>
      <c r="K72" s="104" t="s">
        <v>516</v>
      </c>
      <c r="L72" s="1459"/>
      <c r="M72" s="1459"/>
      <c r="N72" s="1459"/>
      <c r="O72" s="1459"/>
      <c r="P72" s="1459"/>
      <c r="Q72" s="1459"/>
      <c r="R72" s="1459"/>
      <c r="S72" s="1459"/>
      <c r="T72" s="1459"/>
      <c r="U72" s="465">
        <f>AND(F72&gt;0,AB72&gt;0)</f>
        <v>1</v>
      </c>
      <c r="V72" s="1459"/>
      <c r="W72" s="1459"/>
      <c r="X72" s="717"/>
      <c r="Y72" s="1459"/>
      <c r="Z72" s="1459"/>
      <c r="AA72" s="662" t="s">
        <v>175</v>
      </c>
      <c r="AB72" s="88" t="s">
        <v>517</v>
      </c>
      <c r="AC72" s="274" t="str">
        <f>I72&amp;" :: "&amp;K72</f>
        <v>водопровод пр. Мира, 51-39 :: г Калтан, пр-кт. Мира, 51-39</v>
      </c>
      <c r="AD72" s="274" t="s">
        <v>430</v>
      </c>
      <c r="AE72" s="274" t="s">
        <v>431</v>
      </c>
      <c r="AF72" s="405" t="s">
        <v>432</v>
      </c>
      <c r="AG72" s="405" t="s">
        <v>433</v>
      </c>
      <c r="AH72" s="2022" t="s">
        <v>434</v>
      </c>
      <c r="AI72" s="1459"/>
      <c r="AJ72" s="1459"/>
      <c r="AK72" s="1000" t="s">
        <v>424</v>
      </c>
      <c r="AL72" s="1000" t="s">
        <v>425</v>
      </c>
      <c r="AM72" s="1000" cm="1" t="str">
        <f t="array" ref="AM72:AM72">AC72</f>
        <v>водопровод пр. Мира, 51-39 :: г Калтан, пр-кт. Мира, 51-39</v>
      </c>
      <c r="AN72" s="1000" cm="1" t="str">
        <f t="array" ref="AN72:AN72">AD72</f>
        <v>концессионное соглашение</v>
      </c>
      <c r="AO72" s="1000" cm="1" t="str">
        <f t="array" ref="AO72:AO72">AE72</f>
        <v>акт приёма-передачи</v>
      </c>
      <c r="AP72" s="1000" cm="1" t="str">
        <f t="array" ref="AP72:AP72">AF72</f>
        <v>б/н</v>
      </c>
      <c r="AQ72" s="1000" cm="1" t="str">
        <f t="array" ref="AQ72:AQ72">AG72</f>
        <v>01.06.2026</v>
      </c>
      <c r="AR72" s="619"/>
      <c r="AS72" s="619" t="b">
        <v>1</v>
      </c>
    </row>
    <row s="1459" customFormat="1" customHeight="1" ht="23.25">
      <c r="A73" s="1459"/>
      <c r="B73" s="1459"/>
      <c r="C73" s="1459"/>
      <c r="D73" s="1459"/>
      <c r="E73" s="629">
        <v>15</v>
      </c>
      <c r="F73" s="104" cm="1" t="str">
        <f t="array" ref="F73:F73">OFFSET(G73,-1,-1)</f>
        <v>2</v>
      </c>
      <c r="G73" s="1459"/>
      <c r="H73" s="1459"/>
      <c r="I73" s="104" t="s">
        <v>518</v>
      </c>
      <c r="J73" s="1459"/>
      <c r="K73" s="104" t="s">
        <v>519</v>
      </c>
      <c r="L73" s="1459"/>
      <c r="M73" s="1459"/>
      <c r="N73" s="1459"/>
      <c r="O73" s="1459"/>
      <c r="P73" s="1459"/>
      <c r="Q73" s="1459"/>
      <c r="R73" s="1459"/>
      <c r="S73" s="1459"/>
      <c r="T73" s="1459"/>
      <c r="U73" s="465">
        <f>AND(F73&gt;0,AB73&gt;0)</f>
        <v>1</v>
      </c>
      <c r="V73" s="1459"/>
      <c r="W73" s="1459"/>
      <c r="X73" s="717"/>
      <c r="Y73" s="1459"/>
      <c r="Z73" s="1459"/>
      <c r="AA73" s="662" t="s">
        <v>175</v>
      </c>
      <c r="AB73" s="88" t="s">
        <v>520</v>
      </c>
      <c r="AC73" s="274" t="str">
        <f>I73&amp;" :: "&amp;K73</f>
        <v>водопровод квартал № 5 (ввода на ж.д. пр. Мира, 65а, 59,57) :: г Калтан, пр-кт. Мира, 65а, 59, 57</v>
      </c>
      <c r="AD73" s="274" t="s">
        <v>430</v>
      </c>
      <c r="AE73" s="274" t="s">
        <v>431</v>
      </c>
      <c r="AF73" s="405" t="s">
        <v>432</v>
      </c>
      <c r="AG73" s="405" t="s">
        <v>433</v>
      </c>
      <c r="AH73" s="2022" t="s">
        <v>434</v>
      </c>
      <c r="AI73" s="1459"/>
      <c r="AJ73" s="1459"/>
      <c r="AK73" s="1000" t="s">
        <v>424</v>
      </c>
      <c r="AL73" s="1000" t="s">
        <v>425</v>
      </c>
      <c r="AM73" s="1000" cm="1" t="str">
        <f t="array" ref="AM73:AM73">AC73</f>
        <v>водопровод квартал № 5 (ввода на ж.д. пр. Мира, 65а, 59,57) :: г Калтан, пр-кт. Мира, 65а, 59, 57</v>
      </c>
      <c r="AN73" s="1000" cm="1" t="str">
        <f t="array" ref="AN73:AN73">AD73</f>
        <v>концессионное соглашение</v>
      </c>
      <c r="AO73" s="1000" cm="1" t="str">
        <f t="array" ref="AO73:AO73">AE73</f>
        <v>акт приёма-передачи</v>
      </c>
      <c r="AP73" s="1000" cm="1" t="str">
        <f t="array" ref="AP73:AP73">AF73</f>
        <v>б/н</v>
      </c>
      <c r="AQ73" s="1000" cm="1" t="str">
        <f t="array" ref="AQ73:AQ73">AG73</f>
        <v>01.06.2026</v>
      </c>
      <c r="AR73" s="619"/>
      <c r="AS73" s="619" t="b">
        <v>1</v>
      </c>
    </row>
    <row s="1459" customFormat="1" customHeight="1" ht="23.25">
      <c r="A74" s="1459"/>
      <c r="B74" s="1459"/>
      <c r="C74" s="1459"/>
      <c r="D74" s="1459"/>
      <c r="E74" s="629">
        <v>15</v>
      </c>
      <c r="F74" s="104" cm="1" t="str">
        <f t="array" ref="F74:F74">OFFSET(G74,-1,-1)</f>
        <v>2</v>
      </c>
      <c r="G74" s="1459"/>
      <c r="H74" s="1459"/>
      <c r="I74" s="104" t="s">
        <v>521</v>
      </c>
      <c r="J74" s="1459"/>
      <c r="K74" s="104" t="s">
        <v>522</v>
      </c>
      <c r="L74" s="1459"/>
      <c r="M74" s="1459"/>
      <c r="N74" s="1459"/>
      <c r="O74" s="1459"/>
      <c r="P74" s="1459"/>
      <c r="Q74" s="1459"/>
      <c r="R74" s="1459"/>
      <c r="S74" s="1459"/>
      <c r="T74" s="1459"/>
      <c r="U74" s="465">
        <f>AND(F74&gt;0,AB74&gt;0)</f>
        <v>1</v>
      </c>
      <c r="V74" s="1459"/>
      <c r="W74" s="1459"/>
      <c r="X74" s="717"/>
      <c r="Y74" s="1459"/>
      <c r="Z74" s="1459"/>
      <c r="AA74" s="662" t="s">
        <v>175</v>
      </c>
      <c r="AB74" s="88" t="s">
        <v>523</v>
      </c>
      <c r="AC74" s="274" t="str">
        <f>I74&amp;" :: "&amp;K74</f>
        <v>водопровод пр. Мира, 70-99 :: г Калтан, пр-кт. Мира, 70-99</v>
      </c>
      <c r="AD74" s="274" t="s">
        <v>430</v>
      </c>
      <c r="AE74" s="274" t="s">
        <v>431</v>
      </c>
      <c r="AF74" s="405" t="s">
        <v>432</v>
      </c>
      <c r="AG74" s="405" t="s">
        <v>433</v>
      </c>
      <c r="AH74" s="2022" t="s">
        <v>434</v>
      </c>
      <c r="AI74" s="1459"/>
      <c r="AJ74" s="1459"/>
      <c r="AK74" s="1000" t="s">
        <v>424</v>
      </c>
      <c r="AL74" s="1000" t="s">
        <v>425</v>
      </c>
      <c r="AM74" s="1000" cm="1" t="str">
        <f t="array" ref="AM74:AM74">AC74</f>
        <v>водопровод пр. Мира, 70-99 :: г Калтан, пр-кт. Мира, 70-99</v>
      </c>
      <c r="AN74" s="1000" cm="1" t="str">
        <f t="array" ref="AN74:AN74">AD74</f>
        <v>концессионное соглашение</v>
      </c>
      <c r="AO74" s="1000" cm="1" t="str">
        <f t="array" ref="AO74:AO74">AE74</f>
        <v>акт приёма-передачи</v>
      </c>
      <c r="AP74" s="1000" cm="1" t="str">
        <f t="array" ref="AP74:AP74">AF74</f>
        <v>б/н</v>
      </c>
      <c r="AQ74" s="1000" cm="1" t="str">
        <f t="array" ref="AQ74:AQ74">AG74</f>
        <v>01.06.2026</v>
      </c>
      <c r="AR74" s="619"/>
      <c r="AS74" s="619" t="b">
        <v>1</v>
      </c>
    </row>
    <row s="1459" customFormat="1" customHeight="1" ht="23.25">
      <c r="A75" s="1459"/>
      <c r="B75" s="1459"/>
      <c r="C75" s="1459"/>
      <c r="D75" s="1459"/>
      <c r="E75" s="629">
        <v>15</v>
      </c>
      <c r="F75" s="104" cm="1" t="str">
        <f t="array" ref="F75:F75">OFFSET(G75,-1,-1)</f>
        <v>2</v>
      </c>
      <c r="G75" s="1459"/>
      <c r="H75" s="1459"/>
      <c r="I75" s="104" t="s">
        <v>524</v>
      </c>
      <c r="J75" s="1459"/>
      <c r="K75" s="104" t="s">
        <v>525</v>
      </c>
      <c r="L75" s="1459"/>
      <c r="M75" s="1459"/>
      <c r="N75" s="1459"/>
      <c r="O75" s="1459"/>
      <c r="P75" s="1459"/>
      <c r="Q75" s="1459"/>
      <c r="R75" s="1459"/>
      <c r="S75" s="1459"/>
      <c r="T75" s="1459"/>
      <c r="U75" s="465">
        <f>AND(F75&gt;0,AB75&gt;0)</f>
        <v>1</v>
      </c>
      <c r="V75" s="1459"/>
      <c r="W75" s="1459"/>
      <c r="X75" s="717"/>
      <c r="Y75" s="1459"/>
      <c r="Z75" s="1459"/>
      <c r="AA75" s="662" t="s">
        <v>175</v>
      </c>
      <c r="AB75" s="88" t="s">
        <v>526</v>
      </c>
      <c r="AC75" s="274" t="str">
        <f>I75&amp;" :: "&amp;K75</f>
        <v>водопровод квартал № 6 (ввода на ж.д. пр. Мира, 36, 38, 40, 42, 44; ул. Комсомольская, 69,67, 65, 63 ) :: г Калтан, пр-кт. Мира, ул. Комсомольская, 36, 38, 40, 42, 44; 67, 69, 65, 63</v>
      </c>
      <c r="AD75" s="274" t="s">
        <v>430</v>
      </c>
      <c r="AE75" s="274" t="s">
        <v>431</v>
      </c>
      <c r="AF75" s="405" t="s">
        <v>432</v>
      </c>
      <c r="AG75" s="405" t="s">
        <v>433</v>
      </c>
      <c r="AH75" s="2022" t="s">
        <v>434</v>
      </c>
      <c r="AI75" s="1459"/>
      <c r="AJ75" s="1459"/>
      <c r="AK75" s="1000" t="s">
        <v>424</v>
      </c>
      <c r="AL75" s="1000" t="s">
        <v>425</v>
      </c>
      <c r="AM75" s="1000" cm="1" t="str">
        <f t="array" ref="AM75:AM75">AC75</f>
        <v>водопровод квартал № 6 (ввода на ж.д. пр. Мира, 36, 38, 40, 42, 44; ул. Комсомольская, 69,67, 65, 63 ) :: г Калтан, пр-кт. Мира, ул. Комсомольская, 36, 38, 40, 42, 44; 67, 69, 65, 63</v>
      </c>
      <c r="AN75" s="1000" cm="1" t="str">
        <f t="array" ref="AN75:AN75">AD75</f>
        <v>концессионное соглашение</v>
      </c>
      <c r="AO75" s="1000" cm="1" t="str">
        <f t="array" ref="AO75:AO75">AE75</f>
        <v>акт приёма-передачи</v>
      </c>
      <c r="AP75" s="1000" cm="1" t="str">
        <f t="array" ref="AP75:AP75">AF75</f>
        <v>б/н</v>
      </c>
      <c r="AQ75" s="1000" cm="1" t="str">
        <f t="array" ref="AQ75:AQ75">AG75</f>
        <v>01.06.2026</v>
      </c>
      <c r="AR75" s="619"/>
      <c r="AS75" s="619" t="b">
        <v>1</v>
      </c>
    </row>
    <row s="1459" customFormat="1" customHeight="1" ht="23.25">
      <c r="A76" s="1459"/>
      <c r="B76" s="1459"/>
      <c r="C76" s="1459"/>
      <c r="D76" s="1459"/>
      <c r="E76" s="629">
        <v>15</v>
      </c>
      <c r="F76" s="104" cm="1" t="str">
        <f t="array" ref="F76:F76">OFFSET(G76,-1,-1)</f>
        <v>2</v>
      </c>
      <c r="G76" s="1459"/>
      <c r="H76" s="1459"/>
      <c r="I76" s="104" t="s">
        <v>527</v>
      </c>
      <c r="J76" s="1459"/>
      <c r="K76" s="104" t="s">
        <v>528</v>
      </c>
      <c r="L76" s="1459"/>
      <c r="M76" s="1459"/>
      <c r="N76" s="1459"/>
      <c r="O76" s="1459"/>
      <c r="P76" s="1459"/>
      <c r="Q76" s="1459"/>
      <c r="R76" s="1459"/>
      <c r="S76" s="1459"/>
      <c r="T76" s="1459"/>
      <c r="U76" s="465">
        <f>AND(F76&gt;0,AB76&gt;0)</f>
        <v>1</v>
      </c>
      <c r="V76" s="1459"/>
      <c r="W76" s="1459"/>
      <c r="X76" s="717"/>
      <c r="Y76" s="1459"/>
      <c r="Z76" s="1459"/>
      <c r="AA76" s="662" t="s">
        <v>175</v>
      </c>
      <c r="AB76" s="88" t="s">
        <v>529</v>
      </c>
      <c r="AC76" s="274" t="str">
        <f>I76&amp;" :: "&amp;K76</f>
        <v>водопровод квартал № 16 (ввода на ж.д. пр. Мира, 21, 23, 25, 27, 29, 31; ул. Горького, 14,16,18, 20) :: г Калтан, пр. Мира, 21,23,25,27,29,31</v>
      </c>
      <c r="AD76" s="274" t="s">
        <v>430</v>
      </c>
      <c r="AE76" s="274" t="s">
        <v>431</v>
      </c>
      <c r="AF76" s="405" t="s">
        <v>432</v>
      </c>
      <c r="AG76" s="405" t="s">
        <v>433</v>
      </c>
      <c r="AH76" s="2022" t="s">
        <v>434</v>
      </c>
      <c r="AI76" s="1459"/>
      <c r="AJ76" s="1459"/>
      <c r="AK76" s="1000" t="s">
        <v>424</v>
      </c>
      <c r="AL76" s="1000" t="s">
        <v>425</v>
      </c>
      <c r="AM76" s="1000" cm="1" t="str">
        <f t="array" ref="AM76:AM76">AC76</f>
        <v>водопровод квартал № 16 (ввода на ж.д. пр. Мира, 21, 23, 25, 27, 29, 31; ул. Горького, 14,16,18, 20) :: г Калтан, пр. Мира, 21,23,25,27,29,31</v>
      </c>
      <c r="AN76" s="1000" cm="1" t="str">
        <f t="array" ref="AN76:AN76">AD76</f>
        <v>концессионное соглашение</v>
      </c>
      <c r="AO76" s="1000" cm="1" t="str">
        <f t="array" ref="AO76:AO76">AE76</f>
        <v>акт приёма-передачи</v>
      </c>
      <c r="AP76" s="1000" cm="1" t="str">
        <f t="array" ref="AP76:AP76">AF76</f>
        <v>б/н</v>
      </c>
      <c r="AQ76" s="1000" cm="1" t="str">
        <f t="array" ref="AQ76:AQ76">AG76</f>
        <v>01.06.2026</v>
      </c>
      <c r="AR76" s="619"/>
      <c r="AS76" s="619" t="b">
        <v>1</v>
      </c>
    </row>
    <row s="1459" customFormat="1" customHeight="1" ht="23.25">
      <c r="A77" s="1459"/>
      <c r="B77" s="1459"/>
      <c r="C77" s="1459"/>
      <c r="D77" s="1459"/>
      <c r="E77" s="629">
        <v>15</v>
      </c>
      <c r="F77" s="104" cm="1" t="str">
        <f t="array" ref="F77:F77">OFFSET(G77,-1,-1)</f>
        <v>2</v>
      </c>
      <c r="G77" s="1459"/>
      <c r="H77" s="1459"/>
      <c r="I77" s="104" t="s">
        <v>530</v>
      </c>
      <c r="J77" s="1459"/>
      <c r="K77" s="104" t="s">
        <v>531</v>
      </c>
      <c r="L77" s="1459"/>
      <c r="M77" s="1459"/>
      <c r="N77" s="1459"/>
      <c r="O77" s="1459"/>
      <c r="P77" s="1459"/>
      <c r="Q77" s="1459"/>
      <c r="R77" s="1459"/>
      <c r="S77" s="1459"/>
      <c r="T77" s="1459"/>
      <c r="U77" s="465">
        <f>AND(F77&gt;0,AB77&gt;0)</f>
        <v>1</v>
      </c>
      <c r="V77" s="1459"/>
      <c r="W77" s="1459"/>
      <c r="X77" s="717"/>
      <c r="Y77" s="1459"/>
      <c r="Z77" s="1459"/>
      <c r="AA77" s="662" t="s">
        <v>175</v>
      </c>
      <c r="AB77" s="88" t="s">
        <v>532</v>
      </c>
      <c r="AC77" s="274" t="str">
        <f>I77&amp;" :: "&amp;K77</f>
        <v>водопровод квартал № 13 (ввода на ж.д. пр. Мира 37, 33, 35, 37а, 37б, 33а, 33б, 35а; ул. Горького, 22, 24а) :: г Калтан, пр. Мира, ул. Горького, 37,33,35,37а,37б; 22, 24а</v>
      </c>
      <c r="AD77" s="274" t="s">
        <v>430</v>
      </c>
      <c r="AE77" s="274" t="s">
        <v>431</v>
      </c>
      <c r="AF77" s="405" t="s">
        <v>432</v>
      </c>
      <c r="AG77" s="405" t="s">
        <v>433</v>
      </c>
      <c r="AH77" s="2022" t="s">
        <v>434</v>
      </c>
      <c r="AI77" s="1459"/>
      <c r="AJ77" s="1459"/>
      <c r="AK77" s="1000" t="s">
        <v>424</v>
      </c>
      <c r="AL77" s="1000" t="s">
        <v>425</v>
      </c>
      <c r="AM77" s="1000" cm="1" t="str">
        <f t="array" ref="AM77:AM77">AC77</f>
        <v>водопровод квартал № 13 (ввода на ж.д. пр. Мира 37, 33, 35, 37а, 37б, 33а, 33б, 35а; ул. Горького, 22, 24а) :: г Калтан, пр. Мира, ул. Горького, 37,33,35,37а,37б; 22, 24а</v>
      </c>
      <c r="AN77" s="1000" cm="1" t="str">
        <f t="array" ref="AN77:AN77">AD77</f>
        <v>концессионное соглашение</v>
      </c>
      <c r="AO77" s="1000" cm="1" t="str">
        <f t="array" ref="AO77:AO77">AE77</f>
        <v>акт приёма-передачи</v>
      </c>
      <c r="AP77" s="1000" cm="1" t="str">
        <f t="array" ref="AP77:AP77">AF77</f>
        <v>б/н</v>
      </c>
      <c r="AQ77" s="1000" cm="1" t="str">
        <f t="array" ref="AQ77:AQ77">AG77</f>
        <v>01.06.2026</v>
      </c>
      <c r="AR77" s="619"/>
      <c r="AS77" s="619" t="b">
        <v>1</v>
      </c>
    </row>
    <row s="1459" customFormat="1" customHeight="1" ht="23.25">
      <c r="A78" s="1459"/>
      <c r="B78" s="1459"/>
      <c r="C78" s="1459"/>
      <c r="D78" s="1459"/>
      <c r="E78" s="629">
        <v>15</v>
      </c>
      <c r="F78" s="104" cm="1" t="str">
        <f t="array" ref="F78:F78">OFFSET(G78,-1,-1)</f>
        <v>2</v>
      </c>
      <c r="G78" s="1459"/>
      <c r="H78" s="1459"/>
      <c r="I78" s="104" t="s">
        <v>533</v>
      </c>
      <c r="J78" s="1459"/>
      <c r="K78" s="104" t="s">
        <v>534</v>
      </c>
      <c r="L78" s="1459"/>
      <c r="M78" s="1459"/>
      <c r="N78" s="1459"/>
      <c r="O78" s="1459"/>
      <c r="P78" s="1459"/>
      <c r="Q78" s="1459"/>
      <c r="R78" s="1459"/>
      <c r="S78" s="1459"/>
      <c r="T78" s="1459"/>
      <c r="U78" s="465">
        <f>AND(F78&gt;0,AB78&gt;0)</f>
        <v>1</v>
      </c>
      <c r="V78" s="1459"/>
      <c r="W78" s="1459"/>
      <c r="X78" s="717"/>
      <c r="Y78" s="1459"/>
      <c r="Z78" s="1459"/>
      <c r="AA78" s="662" t="s">
        <v>175</v>
      </c>
      <c r="AB78" s="88" t="s">
        <v>535</v>
      </c>
      <c r="AC78" s="274" t="str">
        <f>I78&amp;" :: "&amp;K78</f>
        <v>водопровод квартал № 11 (ввода на ж.д. п. Мира, 39, 41, 43, 41а, 43а, 43б, 39а, 39б; ул. Горького, 30, 32) :: г Калтан, пр. Мира, ул. Горького, 39,41,43,41а,43а,43б,39а,39б; 30,32</v>
      </c>
      <c r="AD78" s="274" t="s">
        <v>430</v>
      </c>
      <c r="AE78" s="274" t="s">
        <v>431</v>
      </c>
      <c r="AF78" s="405" t="s">
        <v>432</v>
      </c>
      <c r="AG78" s="405" t="s">
        <v>433</v>
      </c>
      <c r="AH78" s="2022" t="s">
        <v>434</v>
      </c>
      <c r="AI78" s="1459"/>
      <c r="AJ78" s="1459"/>
      <c r="AK78" s="1000" t="s">
        <v>424</v>
      </c>
      <c r="AL78" s="1000" t="s">
        <v>425</v>
      </c>
      <c r="AM78" s="1000" cm="1" t="str">
        <f t="array" ref="AM78:AM78">AC78</f>
        <v>водопровод квартал № 11 (ввода на ж.д. п. Мира, 39, 41, 43, 41а, 43а, 43б, 39а, 39б; ул. Горького, 30, 32) :: г Калтан, пр. Мира, ул. Горького, 39,41,43,41а,43а,43б,39а,39б; 30,32</v>
      </c>
      <c r="AN78" s="1000" cm="1" t="str">
        <f t="array" ref="AN78:AN78">AD78</f>
        <v>концессионное соглашение</v>
      </c>
      <c r="AO78" s="1000" cm="1" t="str">
        <f t="array" ref="AO78:AO78">AE78</f>
        <v>акт приёма-передачи</v>
      </c>
      <c r="AP78" s="1000" cm="1" t="str">
        <f t="array" ref="AP78:AP78">AF78</f>
        <v>б/н</v>
      </c>
      <c r="AQ78" s="1000" cm="1" t="str">
        <f t="array" ref="AQ78:AQ78">AG78</f>
        <v>01.06.2026</v>
      </c>
      <c r="AR78" s="619"/>
      <c r="AS78" s="619" t="b">
        <v>1</v>
      </c>
    </row>
    <row s="1459" customFormat="1" customHeight="1" ht="23.25">
      <c r="A79" s="1459"/>
      <c r="B79" s="1459"/>
      <c r="C79" s="1459"/>
      <c r="D79" s="1459"/>
      <c r="E79" s="629">
        <v>15</v>
      </c>
      <c r="F79" s="104" cm="1" t="str">
        <f t="array" ref="F79:F79">OFFSET(G79,-1,-1)</f>
        <v>2</v>
      </c>
      <c r="G79" s="1459"/>
      <c r="H79" s="1459"/>
      <c r="I79" s="104" t="s">
        <v>536</v>
      </c>
      <c r="J79" s="1459"/>
      <c r="K79" s="104" t="s">
        <v>537</v>
      </c>
      <c r="L79" s="1459"/>
      <c r="M79" s="1459"/>
      <c r="N79" s="1459"/>
      <c r="O79" s="1459"/>
      <c r="P79" s="1459"/>
      <c r="Q79" s="1459"/>
      <c r="R79" s="1459"/>
      <c r="S79" s="1459"/>
      <c r="T79" s="1459"/>
      <c r="U79" s="465">
        <f>AND(F79&gt;0,AB79&gt;0)</f>
        <v>1</v>
      </c>
      <c r="V79" s="1459"/>
      <c r="W79" s="1459"/>
      <c r="X79" s="717"/>
      <c r="Y79" s="1459"/>
      <c r="Z79" s="1459"/>
      <c r="AA79" s="662" t="s">
        <v>175</v>
      </c>
      <c r="AB79" s="88" t="s">
        <v>538</v>
      </c>
      <c r="AC79" s="274" t="str">
        <f>I79&amp;" :: "&amp;K79</f>
        <v>водопровод квартал № 7 (ввода на ж.д. пр. Мира, 45, 47, 49, 57, 45а; ул. Горького, 34, 36, 38) :: г Калтан, пр. Мира, ул. Горького, 45а, 47, 49, 57, 45а; 34, 36, 38</v>
      </c>
      <c r="AD79" s="274" t="s">
        <v>430</v>
      </c>
      <c r="AE79" s="274" t="s">
        <v>431</v>
      </c>
      <c r="AF79" s="405" t="s">
        <v>432</v>
      </c>
      <c r="AG79" s="405" t="s">
        <v>433</v>
      </c>
      <c r="AH79" s="2022" t="s">
        <v>434</v>
      </c>
      <c r="AI79" s="1459"/>
      <c r="AJ79" s="1459"/>
      <c r="AK79" s="1000" t="s">
        <v>424</v>
      </c>
      <c r="AL79" s="1000" t="s">
        <v>425</v>
      </c>
      <c r="AM79" s="1000" cm="1" t="str">
        <f t="array" ref="AM79:AM79">AC79</f>
        <v>водопровод квартал № 7 (ввода на ж.д. пр. Мира, 45, 47, 49, 57, 45а; ул. Горького, 34, 36, 38) :: г Калтан, пр. Мира, ул. Горького, 45а, 47, 49, 57, 45а; 34, 36, 38</v>
      </c>
      <c r="AN79" s="1000" cm="1" t="str">
        <f t="array" ref="AN79:AN79">AD79</f>
        <v>концессионное соглашение</v>
      </c>
      <c r="AO79" s="1000" cm="1" t="str">
        <f t="array" ref="AO79:AO79">AE79</f>
        <v>акт приёма-передачи</v>
      </c>
      <c r="AP79" s="1000" cm="1" t="str">
        <f t="array" ref="AP79:AP79">AF79</f>
        <v>б/н</v>
      </c>
      <c r="AQ79" s="1000" cm="1" t="str">
        <f t="array" ref="AQ79:AQ79">AG79</f>
        <v>01.06.2026</v>
      </c>
      <c r="AR79" s="619"/>
      <c r="AS79" s="619" t="b">
        <v>1</v>
      </c>
    </row>
    <row s="1459" customFormat="1" customHeight="1" ht="23.25">
      <c r="A80" s="1459"/>
      <c r="B80" s="1459"/>
      <c r="C80" s="1459"/>
      <c r="D80" s="1459"/>
      <c r="E80" s="629">
        <v>15</v>
      </c>
      <c r="F80" s="104" cm="1" t="str">
        <f t="array" ref="F80:F80">OFFSET(G80,-1,-1)</f>
        <v>2</v>
      </c>
      <c r="G80" s="1459"/>
      <c r="H80" s="1459"/>
      <c r="I80" s="104" t="s">
        <v>539</v>
      </c>
      <c r="J80" s="1459"/>
      <c r="K80" s="104" t="s">
        <v>540</v>
      </c>
      <c r="L80" s="1459"/>
      <c r="M80" s="1459"/>
      <c r="N80" s="1459"/>
      <c r="O80" s="1459"/>
      <c r="P80" s="1459"/>
      <c r="Q80" s="1459"/>
      <c r="R80" s="1459"/>
      <c r="S80" s="1459"/>
      <c r="T80" s="1459"/>
      <c r="U80" s="465">
        <f>AND(F80&gt;0,AB80&gt;0)</f>
        <v>1</v>
      </c>
      <c r="V80" s="1459"/>
      <c r="W80" s="1459"/>
      <c r="X80" s="717"/>
      <c r="Y80" s="1459"/>
      <c r="Z80" s="1459"/>
      <c r="AA80" s="662" t="s">
        <v>175</v>
      </c>
      <c r="AB80" s="88" t="s">
        <v>541</v>
      </c>
      <c r="AC80" s="274" t="str">
        <f>I80&amp;" :: "&amp;K80</f>
        <v>водопровод квартал № 10 (ввода на ж.д. пр. Мира, 30,32,34; ул. Комсомольская, 61 :: г Калтан, пр. Мира, ул. Комсомольская, 30, 32,34;  61</v>
      </c>
      <c r="AD80" s="274" t="s">
        <v>430</v>
      </c>
      <c r="AE80" s="274" t="s">
        <v>431</v>
      </c>
      <c r="AF80" s="405" t="s">
        <v>432</v>
      </c>
      <c r="AG80" s="405" t="s">
        <v>433</v>
      </c>
      <c r="AH80" s="2022" t="s">
        <v>434</v>
      </c>
      <c r="AI80" s="1459"/>
      <c r="AJ80" s="1459"/>
      <c r="AK80" s="1000" t="s">
        <v>424</v>
      </c>
      <c r="AL80" s="1000" t="s">
        <v>425</v>
      </c>
      <c r="AM80" s="1000" cm="1" t="str">
        <f t="array" ref="AM80:AM80">AC80</f>
        <v>водопровод квартал № 10 (ввода на ж.д. пр. Мира, 30,32,34; ул. Комсомольская, 61 :: г Калтан, пр. Мира, ул. Комсомольская, 30, 32,34;  61</v>
      </c>
      <c r="AN80" s="1000" cm="1" t="str">
        <f t="array" ref="AN80:AN80">AD80</f>
        <v>концессионное соглашение</v>
      </c>
      <c r="AO80" s="1000" cm="1" t="str">
        <f t="array" ref="AO80:AO80">AE80</f>
        <v>акт приёма-передачи</v>
      </c>
      <c r="AP80" s="1000" cm="1" t="str">
        <f t="array" ref="AP80:AP80">AF80</f>
        <v>б/н</v>
      </c>
      <c r="AQ80" s="1000" cm="1" t="str">
        <f t="array" ref="AQ80:AQ80">AG80</f>
        <v>01.06.2026</v>
      </c>
      <c r="AR80" s="619"/>
      <c r="AS80" s="619" t="b">
        <v>1</v>
      </c>
    </row>
    <row s="1459" customFormat="1" customHeight="1" ht="23.25">
      <c r="A81" s="1459"/>
      <c r="B81" s="1459"/>
      <c r="C81" s="1459"/>
      <c r="D81" s="1459"/>
      <c r="E81" s="629">
        <v>15</v>
      </c>
      <c r="F81" s="104" cm="1" t="str">
        <f t="array" ref="F81:F81">OFFSET(G81,-1,-1)</f>
        <v>2</v>
      </c>
      <c r="G81" s="1459"/>
      <c r="H81" s="1459"/>
      <c r="I81" s="104" t="s">
        <v>542</v>
      </c>
      <c r="J81" s="1459"/>
      <c r="K81" s="104" t="s">
        <v>543</v>
      </c>
      <c r="L81" s="1459"/>
      <c r="M81" s="1459"/>
      <c r="N81" s="1459"/>
      <c r="O81" s="1459"/>
      <c r="P81" s="1459"/>
      <c r="Q81" s="1459"/>
      <c r="R81" s="1459"/>
      <c r="S81" s="1459"/>
      <c r="T81" s="1459"/>
      <c r="U81" s="465">
        <f>AND(F81&gt;0,AB81&gt;0)</f>
        <v>1</v>
      </c>
      <c r="V81" s="1459"/>
      <c r="W81" s="1459"/>
      <c r="X81" s="717"/>
      <c r="Y81" s="1459"/>
      <c r="Z81" s="1459"/>
      <c r="AA81" s="662" t="s">
        <v>175</v>
      </c>
      <c r="AB81" s="88" t="s">
        <v>342</v>
      </c>
      <c r="AC81" s="274" t="str">
        <f>I81&amp;" :: "&amp;K81</f>
        <v>водопровод ул. Базарная, 1-11 :: г Калтан, ул. Базарная, 1-11</v>
      </c>
      <c r="AD81" s="274" t="s">
        <v>430</v>
      </c>
      <c r="AE81" s="274" t="s">
        <v>431</v>
      </c>
      <c r="AF81" s="405" t="s">
        <v>432</v>
      </c>
      <c r="AG81" s="405" t="s">
        <v>433</v>
      </c>
      <c r="AH81" s="2022" t="s">
        <v>434</v>
      </c>
      <c r="AI81" s="1459"/>
      <c r="AJ81" s="1459"/>
      <c r="AK81" s="1000" t="s">
        <v>424</v>
      </c>
      <c r="AL81" s="1000" t="s">
        <v>425</v>
      </c>
      <c r="AM81" s="1000" cm="1" t="str">
        <f t="array" ref="AM81:AM81">AC81</f>
        <v>водопровод ул. Базарная, 1-11 :: г Калтан, ул. Базарная, 1-11</v>
      </c>
      <c r="AN81" s="1000" cm="1" t="str">
        <f t="array" ref="AN81:AN81">AD81</f>
        <v>концессионное соглашение</v>
      </c>
      <c r="AO81" s="1000" cm="1" t="str">
        <f t="array" ref="AO81:AO81">AE81</f>
        <v>акт приёма-передачи</v>
      </c>
      <c r="AP81" s="1000" cm="1" t="str">
        <f t="array" ref="AP81:AP81">AF81</f>
        <v>б/н</v>
      </c>
      <c r="AQ81" s="1000" cm="1" t="str">
        <f t="array" ref="AQ81:AQ81">AG81</f>
        <v>01.06.2026</v>
      </c>
      <c r="AR81" s="619"/>
      <c r="AS81" s="619" t="b">
        <v>1</v>
      </c>
    </row>
    <row s="1459" customFormat="1" customHeight="1" ht="23.25">
      <c r="A82" s="1459"/>
      <c r="B82" s="1459"/>
      <c r="C82" s="1459"/>
      <c r="D82" s="1459"/>
      <c r="E82" s="629">
        <v>15</v>
      </c>
      <c r="F82" s="104" cm="1" t="str">
        <f t="array" ref="F82:F82">OFFSET(G82,-1,-1)</f>
        <v>2</v>
      </c>
      <c r="G82" s="1459"/>
      <c r="H82" s="1459"/>
      <c r="I82" s="104" t="s">
        <v>544</v>
      </c>
      <c r="J82" s="1459"/>
      <c r="K82" s="104" t="s">
        <v>545</v>
      </c>
      <c r="L82" s="1459"/>
      <c r="M82" s="1459"/>
      <c r="N82" s="1459"/>
      <c r="O82" s="1459"/>
      <c r="P82" s="1459"/>
      <c r="Q82" s="1459"/>
      <c r="R82" s="1459"/>
      <c r="S82" s="1459"/>
      <c r="T82" s="1459"/>
      <c r="U82" s="465">
        <f>AND(F82&gt;0,AB82&gt;0)</f>
        <v>1</v>
      </c>
      <c r="V82" s="1459"/>
      <c r="W82" s="1459"/>
      <c r="X82" s="717"/>
      <c r="Y82" s="1459"/>
      <c r="Z82" s="1459"/>
      <c r="AA82" s="662" t="s">
        <v>175</v>
      </c>
      <c r="AB82" s="88" t="s">
        <v>546</v>
      </c>
      <c r="AC82" s="274" t="str">
        <f>I82&amp;" :: "&amp;K82</f>
        <v>водопровод ул. Болотная :: г Калтан, ул. Болотная, 1-17</v>
      </c>
      <c r="AD82" s="274" t="s">
        <v>430</v>
      </c>
      <c r="AE82" s="274" t="s">
        <v>431</v>
      </c>
      <c r="AF82" s="405" t="s">
        <v>432</v>
      </c>
      <c r="AG82" s="405" t="s">
        <v>433</v>
      </c>
      <c r="AH82" s="2022" t="s">
        <v>434</v>
      </c>
      <c r="AI82" s="1459"/>
      <c r="AJ82" s="1459"/>
      <c r="AK82" s="1000" t="s">
        <v>424</v>
      </c>
      <c r="AL82" s="1000" t="s">
        <v>425</v>
      </c>
      <c r="AM82" s="1000" cm="1" t="str">
        <f t="array" ref="AM82:AM82">AC82</f>
        <v>водопровод ул. Болотная :: г Калтан, ул. Болотная, 1-17</v>
      </c>
      <c r="AN82" s="1000" cm="1" t="str">
        <f t="array" ref="AN82:AN82">AD82</f>
        <v>концессионное соглашение</v>
      </c>
      <c r="AO82" s="1000" cm="1" t="str">
        <f t="array" ref="AO82:AO82">AE82</f>
        <v>акт приёма-передачи</v>
      </c>
      <c r="AP82" s="1000" cm="1" t="str">
        <f t="array" ref="AP82:AP82">AF82</f>
        <v>б/н</v>
      </c>
      <c r="AQ82" s="1000" cm="1" t="str">
        <f t="array" ref="AQ82:AQ82">AG82</f>
        <v>01.06.2026</v>
      </c>
      <c r="AR82" s="619"/>
      <c r="AS82" s="619" t="b">
        <v>1</v>
      </c>
    </row>
    <row s="1459" customFormat="1" customHeight="1" ht="23.25">
      <c r="A83" s="1459"/>
      <c r="B83" s="1459"/>
      <c r="C83" s="1459"/>
      <c r="D83" s="1459"/>
      <c r="E83" s="629">
        <v>15</v>
      </c>
      <c r="F83" s="104" cm="1" t="str">
        <f t="array" ref="F83:F83">OFFSET(G83,-1,-1)</f>
        <v>2</v>
      </c>
      <c r="G83" s="1459"/>
      <c r="H83" s="1459"/>
      <c r="I83" s="104" t="s">
        <v>547</v>
      </c>
      <c r="J83" s="1459"/>
      <c r="K83" s="104" t="s">
        <v>548</v>
      </c>
      <c r="L83" s="1459"/>
      <c r="M83" s="1459"/>
      <c r="N83" s="1459"/>
      <c r="O83" s="1459"/>
      <c r="P83" s="1459"/>
      <c r="Q83" s="1459"/>
      <c r="R83" s="1459"/>
      <c r="S83" s="1459"/>
      <c r="T83" s="1459"/>
      <c r="U83" s="465">
        <f>AND(F83&gt;0,AB83&gt;0)</f>
        <v>1</v>
      </c>
      <c r="V83" s="1459"/>
      <c r="W83" s="1459"/>
      <c r="X83" s="717"/>
      <c r="Y83" s="1459"/>
      <c r="Z83" s="1459"/>
      <c r="AA83" s="662" t="s">
        <v>175</v>
      </c>
      <c r="AB83" s="88" t="s">
        <v>549</v>
      </c>
      <c r="AC83" s="274" t="str">
        <f>I83&amp;" :: "&amp;K83</f>
        <v>водопровод ул. Гоголя :: г Калтан, ул. Гоголя, 67-95; 97-107; 68-96</v>
      </c>
      <c r="AD83" s="274" t="s">
        <v>430</v>
      </c>
      <c r="AE83" s="274" t="s">
        <v>431</v>
      </c>
      <c r="AF83" s="405" t="s">
        <v>432</v>
      </c>
      <c r="AG83" s="405" t="s">
        <v>433</v>
      </c>
      <c r="AH83" s="2022" t="s">
        <v>434</v>
      </c>
      <c r="AI83" s="1459"/>
      <c r="AJ83" s="1459"/>
      <c r="AK83" s="1000" t="s">
        <v>424</v>
      </c>
      <c r="AL83" s="1000" t="s">
        <v>425</v>
      </c>
      <c r="AM83" s="1000" cm="1" t="str">
        <f t="array" ref="AM83:AM83">AC83</f>
        <v>водопровод ул. Гоголя :: г Калтан, ул. Гоголя, 67-95; 97-107; 68-96</v>
      </c>
      <c r="AN83" s="1000" cm="1" t="str">
        <f t="array" ref="AN83:AN83">AD83</f>
        <v>концессионное соглашение</v>
      </c>
      <c r="AO83" s="1000" cm="1" t="str">
        <f t="array" ref="AO83:AO83">AE83</f>
        <v>акт приёма-передачи</v>
      </c>
      <c r="AP83" s="1000" cm="1" t="str">
        <f t="array" ref="AP83:AP83">AF83</f>
        <v>б/н</v>
      </c>
      <c r="AQ83" s="1000" cm="1" t="str">
        <f t="array" ref="AQ83:AQ83">AG83</f>
        <v>01.06.2026</v>
      </c>
      <c r="AR83" s="619"/>
      <c r="AS83" s="619" t="b">
        <v>1</v>
      </c>
    </row>
    <row s="1459" customFormat="1" customHeight="1" ht="23.25">
      <c r="A84" s="1459"/>
      <c r="B84" s="1459"/>
      <c r="C84" s="1459"/>
      <c r="D84" s="1459"/>
      <c r="E84" s="629">
        <v>15</v>
      </c>
      <c r="F84" s="104" cm="1" t="str">
        <f t="array" ref="F84:F84">OFFSET(G84,-1,-1)</f>
        <v>2</v>
      </c>
      <c r="G84" s="1459"/>
      <c r="H84" s="1459"/>
      <c r="I84" s="104" t="s">
        <v>550</v>
      </c>
      <c r="J84" s="1459"/>
      <c r="K84" s="104" t="s">
        <v>551</v>
      </c>
      <c r="L84" s="1459"/>
      <c r="M84" s="1459"/>
      <c r="N84" s="1459"/>
      <c r="O84" s="1459"/>
      <c r="P84" s="1459"/>
      <c r="Q84" s="1459"/>
      <c r="R84" s="1459"/>
      <c r="S84" s="1459"/>
      <c r="T84" s="1459"/>
      <c r="U84" s="465">
        <f>AND(F84&gt;0,AB84&gt;0)</f>
        <v>1</v>
      </c>
      <c r="V84" s="1459"/>
      <c r="W84" s="1459"/>
      <c r="X84" s="717"/>
      <c r="Y84" s="1459"/>
      <c r="Z84" s="1459"/>
      <c r="AA84" s="662" t="s">
        <v>175</v>
      </c>
      <c r="AB84" s="88" t="s">
        <v>552</v>
      </c>
      <c r="AC84" s="274" t="str">
        <f>I84&amp;" :: "&amp;K84</f>
        <v>водопровод ул. Горького, 12-38 :: г Калтан, ул. Горького, 12-38</v>
      </c>
      <c r="AD84" s="274" t="s">
        <v>430</v>
      </c>
      <c r="AE84" s="274" t="s">
        <v>431</v>
      </c>
      <c r="AF84" s="405" t="s">
        <v>432</v>
      </c>
      <c r="AG84" s="405" t="s">
        <v>433</v>
      </c>
      <c r="AH84" s="2022" t="s">
        <v>434</v>
      </c>
      <c r="AI84" s="1459"/>
      <c r="AJ84" s="1459"/>
      <c r="AK84" s="1000" t="s">
        <v>424</v>
      </c>
      <c r="AL84" s="1000" t="s">
        <v>425</v>
      </c>
      <c r="AM84" s="1000" cm="1" t="str">
        <f t="array" ref="AM84:AM84">AC84</f>
        <v>водопровод ул. Горького, 12-38 :: г Калтан, ул. Горького, 12-38</v>
      </c>
      <c r="AN84" s="1000" cm="1" t="str">
        <f t="array" ref="AN84:AN84">AD84</f>
        <v>концессионное соглашение</v>
      </c>
      <c r="AO84" s="1000" cm="1" t="str">
        <f t="array" ref="AO84:AO84">AE84</f>
        <v>акт приёма-передачи</v>
      </c>
      <c r="AP84" s="1000" cm="1" t="str">
        <f t="array" ref="AP84:AP84">AF84</f>
        <v>б/н</v>
      </c>
      <c r="AQ84" s="1000" cm="1" t="str">
        <f t="array" ref="AQ84:AQ84">AG84</f>
        <v>01.06.2026</v>
      </c>
      <c r="AR84" s="619"/>
      <c r="AS84" s="619" t="b">
        <v>1</v>
      </c>
    </row>
    <row s="1459" customFormat="1" customHeight="1" ht="23.25">
      <c r="A85" s="1459"/>
      <c r="B85" s="1459"/>
      <c r="C85" s="1459"/>
      <c r="D85" s="1459"/>
      <c r="E85" s="629">
        <v>15</v>
      </c>
      <c r="F85" s="104" cm="1" t="str">
        <f t="array" ref="F85:F85">OFFSET(G85,-1,-1)</f>
        <v>2</v>
      </c>
      <c r="G85" s="1459"/>
      <c r="H85" s="1459"/>
      <c r="I85" s="104" t="s">
        <v>553</v>
      </c>
      <c r="J85" s="1459"/>
      <c r="K85" s="104" t="s">
        <v>554</v>
      </c>
      <c r="L85" s="1459"/>
      <c r="M85" s="1459"/>
      <c r="N85" s="1459"/>
      <c r="O85" s="1459"/>
      <c r="P85" s="1459"/>
      <c r="Q85" s="1459"/>
      <c r="R85" s="1459"/>
      <c r="S85" s="1459"/>
      <c r="T85" s="1459"/>
      <c r="U85" s="465">
        <f>AND(F85&gt;0,AB85&gt;0)</f>
        <v>1</v>
      </c>
      <c r="V85" s="1459"/>
      <c r="W85" s="1459"/>
      <c r="X85" s="717"/>
      <c r="Y85" s="1459"/>
      <c r="Z85" s="1459"/>
      <c r="AA85" s="662" t="s">
        <v>175</v>
      </c>
      <c r="AB85" s="88" t="s">
        <v>555</v>
      </c>
      <c r="AC85" s="274" t="str">
        <f>I85&amp;" :: "&amp;K85</f>
        <v>Водопровод ул. Дзержинского :: г Калтан, ул. Дзержинского, 4-69</v>
      </c>
      <c r="AD85" s="274" t="s">
        <v>430</v>
      </c>
      <c r="AE85" s="274" t="s">
        <v>431</v>
      </c>
      <c r="AF85" s="405" t="s">
        <v>432</v>
      </c>
      <c r="AG85" s="405" t="s">
        <v>433</v>
      </c>
      <c r="AH85" s="2022" t="s">
        <v>434</v>
      </c>
      <c r="AI85" s="1459"/>
      <c r="AJ85" s="1459"/>
      <c r="AK85" s="1000" t="s">
        <v>424</v>
      </c>
      <c r="AL85" s="1000" t="s">
        <v>425</v>
      </c>
      <c r="AM85" s="1000" cm="1" t="str">
        <f t="array" ref="AM85:AM85">AC85</f>
        <v>Водопровод ул. Дзержинского :: г Калтан, ул. Дзержинского, 4-69</v>
      </c>
      <c r="AN85" s="1000" cm="1" t="str">
        <f t="array" ref="AN85:AN85">AD85</f>
        <v>концессионное соглашение</v>
      </c>
      <c r="AO85" s="1000" cm="1" t="str">
        <f t="array" ref="AO85:AO85">AE85</f>
        <v>акт приёма-передачи</v>
      </c>
      <c r="AP85" s="1000" cm="1" t="str">
        <f t="array" ref="AP85:AP85">AF85</f>
        <v>б/н</v>
      </c>
      <c r="AQ85" s="1000" cm="1" t="str">
        <f t="array" ref="AQ85:AQ85">AG85</f>
        <v>01.06.2026</v>
      </c>
      <c r="AR85" s="619"/>
      <c r="AS85" s="619" t="b">
        <v>1</v>
      </c>
    </row>
    <row s="1459" customFormat="1" customHeight="1" ht="23.25">
      <c r="A86" s="1459"/>
      <c r="B86" s="1459"/>
      <c r="C86" s="1459"/>
      <c r="D86" s="1459"/>
      <c r="E86" s="629">
        <v>15</v>
      </c>
      <c r="F86" s="104" cm="1" t="str">
        <f t="array" ref="F86:F86">OFFSET(G86,-1,-1)</f>
        <v>2</v>
      </c>
      <c r="G86" s="1459"/>
      <c r="H86" s="1459"/>
      <c r="I86" s="104" t="s">
        <v>556</v>
      </c>
      <c r="J86" s="1459"/>
      <c r="K86" s="104" t="s">
        <v>557</v>
      </c>
      <c r="L86" s="1459"/>
      <c r="M86" s="1459"/>
      <c r="N86" s="1459"/>
      <c r="O86" s="1459"/>
      <c r="P86" s="1459"/>
      <c r="Q86" s="1459"/>
      <c r="R86" s="1459"/>
      <c r="S86" s="1459"/>
      <c r="T86" s="1459"/>
      <c r="U86" s="465">
        <f>AND(F86&gt;0,AB86&gt;0)</f>
        <v>1</v>
      </c>
      <c r="V86" s="1459"/>
      <c r="W86" s="1459"/>
      <c r="X86" s="717"/>
      <c r="Y86" s="1459"/>
      <c r="Z86" s="1459"/>
      <c r="AA86" s="662" t="s">
        <v>175</v>
      </c>
      <c r="AB86" s="88" t="s">
        <v>558</v>
      </c>
      <c r="AC86" s="274" t="str">
        <f>I86&amp;" :: "&amp;K86</f>
        <v>сеть водоснабжения Дзержинского, 47 (ясли сад) :: г Калтан, ул. Дзержинского, 47</v>
      </c>
      <c r="AD86" s="274" t="s">
        <v>430</v>
      </c>
      <c r="AE86" s="274" t="s">
        <v>431</v>
      </c>
      <c r="AF86" s="405" t="s">
        <v>432</v>
      </c>
      <c r="AG86" s="405" t="s">
        <v>433</v>
      </c>
      <c r="AH86" s="2022" t="s">
        <v>434</v>
      </c>
      <c r="AI86" s="1459"/>
      <c r="AJ86" s="1459"/>
      <c r="AK86" s="1000" t="s">
        <v>424</v>
      </c>
      <c r="AL86" s="1000" t="s">
        <v>425</v>
      </c>
      <c r="AM86" s="1000" cm="1" t="str">
        <f t="array" ref="AM86:AM86">AC86</f>
        <v>сеть водоснабжения Дзержинского, 47 (ясли сад) :: г Калтан, ул. Дзержинского, 47</v>
      </c>
      <c r="AN86" s="1000" cm="1" t="str">
        <f t="array" ref="AN86:AN86">AD86</f>
        <v>концессионное соглашение</v>
      </c>
      <c r="AO86" s="1000" cm="1" t="str">
        <f t="array" ref="AO86:AO86">AE86</f>
        <v>акт приёма-передачи</v>
      </c>
      <c r="AP86" s="1000" cm="1" t="str">
        <f t="array" ref="AP86:AP86">AF86</f>
        <v>б/н</v>
      </c>
      <c r="AQ86" s="1000" cm="1" t="str">
        <f t="array" ref="AQ86:AQ86">AG86</f>
        <v>01.06.2026</v>
      </c>
      <c r="AR86" s="619"/>
      <c r="AS86" s="619" t="b">
        <v>1</v>
      </c>
    </row>
    <row s="1459" customFormat="1" customHeight="1" ht="23.25">
      <c r="A87" s="1459"/>
      <c r="B87" s="1459"/>
      <c r="C87" s="1459"/>
      <c r="D87" s="1459"/>
      <c r="E87" s="629">
        <v>15</v>
      </c>
      <c r="F87" s="104" cm="1" t="str">
        <f t="array" ref="F87:F87">OFFSET(G87,-1,-1)</f>
        <v>2</v>
      </c>
      <c r="G87" s="1459"/>
      <c r="H87" s="1459"/>
      <c r="I87" s="104" t="s">
        <v>559</v>
      </c>
      <c r="J87" s="1459"/>
      <c r="K87" s="104" t="s">
        <v>560</v>
      </c>
      <c r="L87" s="1459"/>
      <c r="M87" s="1459"/>
      <c r="N87" s="1459"/>
      <c r="O87" s="1459"/>
      <c r="P87" s="1459"/>
      <c r="Q87" s="1459"/>
      <c r="R87" s="1459"/>
      <c r="S87" s="1459"/>
      <c r="T87" s="1459"/>
      <c r="U87" s="465">
        <f>AND(F87&gt;0,AB87&gt;0)</f>
        <v>1</v>
      </c>
      <c r="V87" s="1459"/>
      <c r="W87" s="1459"/>
      <c r="X87" s="717"/>
      <c r="Y87" s="1459"/>
      <c r="Z87" s="1459"/>
      <c r="AA87" s="662" t="s">
        <v>175</v>
      </c>
      <c r="AB87" s="88" t="s">
        <v>561</v>
      </c>
      <c r="AC87" s="274" t="str">
        <f>I87&amp;" :: "&amp;K87</f>
        <v>водопровод к дому № 6 ул. Дзержинского :: г Калтан, ул. Дзержинского, 6</v>
      </c>
      <c r="AD87" s="274" t="s">
        <v>430</v>
      </c>
      <c r="AE87" s="274" t="s">
        <v>431</v>
      </c>
      <c r="AF87" s="405" t="s">
        <v>432</v>
      </c>
      <c r="AG87" s="405" t="s">
        <v>433</v>
      </c>
      <c r="AH87" s="2022" t="s">
        <v>434</v>
      </c>
      <c r="AI87" s="1459"/>
      <c r="AJ87" s="1459"/>
      <c r="AK87" s="1000" t="s">
        <v>424</v>
      </c>
      <c r="AL87" s="1000" t="s">
        <v>425</v>
      </c>
      <c r="AM87" s="1000" cm="1" t="str">
        <f t="array" ref="AM87:AM87">AC87</f>
        <v>водопровод к дому № 6 ул. Дзержинского :: г Калтан, ул. Дзержинского, 6</v>
      </c>
      <c r="AN87" s="1000" cm="1" t="str">
        <f t="array" ref="AN87:AN87">AD87</f>
        <v>концессионное соглашение</v>
      </c>
      <c r="AO87" s="1000" cm="1" t="str">
        <f t="array" ref="AO87:AO87">AE87</f>
        <v>акт приёма-передачи</v>
      </c>
      <c r="AP87" s="1000" cm="1" t="str">
        <f t="array" ref="AP87:AP87">AF87</f>
        <v>б/н</v>
      </c>
      <c r="AQ87" s="1000" cm="1" t="str">
        <f t="array" ref="AQ87:AQ87">AG87</f>
        <v>01.06.2026</v>
      </c>
      <c r="AR87" s="619"/>
      <c r="AS87" s="619" t="b">
        <v>1</v>
      </c>
    </row>
    <row s="1459" customFormat="1" customHeight="1" ht="23.25">
      <c r="A88" s="1459"/>
      <c r="B88" s="1459"/>
      <c r="C88" s="1459"/>
      <c r="D88" s="1459"/>
      <c r="E88" s="629">
        <v>15</v>
      </c>
      <c r="F88" s="104" cm="1" t="str">
        <f t="array" ref="F88:F88">OFFSET(G88,-1,-1)</f>
        <v>2</v>
      </c>
      <c r="G88" s="1459"/>
      <c r="H88" s="1459"/>
      <c r="I88" s="104" t="s">
        <v>562</v>
      </c>
      <c r="J88" s="1459"/>
      <c r="K88" s="104" t="s">
        <v>563</v>
      </c>
      <c r="L88" s="1459"/>
      <c r="M88" s="1459"/>
      <c r="N88" s="1459"/>
      <c r="O88" s="1459"/>
      <c r="P88" s="1459"/>
      <c r="Q88" s="1459"/>
      <c r="R88" s="1459"/>
      <c r="S88" s="1459"/>
      <c r="T88" s="1459"/>
      <c r="U88" s="465">
        <f>AND(F88&gt;0,AB88&gt;0)</f>
        <v>1</v>
      </c>
      <c r="V88" s="1459"/>
      <c r="W88" s="1459"/>
      <c r="X88" s="717"/>
      <c r="Y88" s="1459"/>
      <c r="Z88" s="1459"/>
      <c r="AA88" s="662" t="s">
        <v>175</v>
      </c>
      <c r="AB88" s="88" t="s">
        <v>564</v>
      </c>
      <c r="AC88" s="274" t="str">
        <f>I88&amp;" :: "&amp;K88</f>
        <v>водопровод от ул.  Дзержинского до ул. Тепличная :: г Калтан, ул. Дзержинского, ул. Дзержинского, 51-ул. Тепличная,1</v>
      </c>
      <c r="AD88" s="274" t="s">
        <v>430</v>
      </c>
      <c r="AE88" s="274" t="s">
        <v>431</v>
      </c>
      <c r="AF88" s="405" t="s">
        <v>432</v>
      </c>
      <c r="AG88" s="405" t="s">
        <v>433</v>
      </c>
      <c r="AH88" s="2022" t="s">
        <v>434</v>
      </c>
      <c r="AI88" s="1459"/>
      <c r="AJ88" s="1459"/>
      <c r="AK88" s="1000" t="s">
        <v>424</v>
      </c>
      <c r="AL88" s="1000" t="s">
        <v>425</v>
      </c>
      <c r="AM88" s="1000" cm="1" t="str">
        <f t="array" ref="AM88:AM88">AC88</f>
        <v>водопровод от ул.  Дзержинского до ул. Тепличная :: г Калтан, ул. Дзержинского, ул. Дзержинского, 51-ул. Тепличная,1</v>
      </c>
      <c r="AN88" s="1000" cm="1" t="str">
        <f t="array" ref="AN88:AN88">AD88</f>
        <v>концессионное соглашение</v>
      </c>
      <c r="AO88" s="1000" cm="1" t="str">
        <f t="array" ref="AO88:AO88">AE88</f>
        <v>акт приёма-передачи</v>
      </c>
      <c r="AP88" s="1000" cm="1" t="str">
        <f t="array" ref="AP88:AP88">AF88</f>
        <v>б/н</v>
      </c>
      <c r="AQ88" s="1000" cm="1" t="str">
        <f t="array" ref="AQ88:AQ88">AG88</f>
        <v>01.06.2026</v>
      </c>
      <c r="AR88" s="619"/>
      <c r="AS88" s="619" t="b">
        <v>1</v>
      </c>
    </row>
    <row s="1459" customFormat="1" customHeight="1" ht="23.25">
      <c r="A89" s="1459"/>
      <c r="B89" s="1459"/>
      <c r="C89" s="1459"/>
      <c r="D89" s="1459"/>
      <c r="E89" s="629">
        <v>15</v>
      </c>
      <c r="F89" s="104" cm="1" t="str">
        <f t="array" ref="F89:F89">OFFSET(G89,-1,-1)</f>
        <v>2</v>
      </c>
      <c r="G89" s="1459"/>
      <c r="H89" s="1459"/>
      <c r="I89" s="104" t="s">
        <v>565</v>
      </c>
      <c r="J89" s="1459"/>
      <c r="K89" s="104" t="s">
        <v>566</v>
      </c>
      <c r="L89" s="1459"/>
      <c r="M89" s="1459"/>
      <c r="N89" s="1459"/>
      <c r="O89" s="1459"/>
      <c r="P89" s="1459"/>
      <c r="Q89" s="1459"/>
      <c r="R89" s="1459"/>
      <c r="S89" s="1459"/>
      <c r="T89" s="1459"/>
      <c r="U89" s="465">
        <f>AND(F89&gt;0,AB89&gt;0)</f>
        <v>1</v>
      </c>
      <c r="V89" s="1459"/>
      <c r="W89" s="1459"/>
      <c r="X89" s="717"/>
      <c r="Y89" s="1459"/>
      <c r="Z89" s="1459"/>
      <c r="AA89" s="662" t="s">
        <v>175</v>
      </c>
      <c r="AB89" s="88" t="s">
        <v>567</v>
      </c>
      <c r="AC89" s="274" t="str">
        <f>I89&amp;" :: "&amp;K89</f>
        <v>водопровод ул. Достоевского :: г Калтан, ул. Достоевского, 33-69а</v>
      </c>
      <c r="AD89" s="274" t="s">
        <v>430</v>
      </c>
      <c r="AE89" s="274" t="s">
        <v>431</v>
      </c>
      <c r="AF89" s="405" t="s">
        <v>432</v>
      </c>
      <c r="AG89" s="405" t="s">
        <v>433</v>
      </c>
      <c r="AH89" s="2022" t="s">
        <v>434</v>
      </c>
      <c r="AI89" s="1459"/>
      <c r="AJ89" s="1459"/>
      <c r="AK89" s="1000" t="s">
        <v>424</v>
      </c>
      <c r="AL89" s="1000" t="s">
        <v>425</v>
      </c>
      <c r="AM89" s="1000" cm="1" t="str">
        <f t="array" ref="AM89:AM89">AC89</f>
        <v>водопровод ул. Достоевского :: г Калтан, ул. Достоевского, 33-69а</v>
      </c>
      <c r="AN89" s="1000" cm="1" t="str">
        <f t="array" ref="AN89:AN89">AD89</f>
        <v>концессионное соглашение</v>
      </c>
      <c r="AO89" s="1000" cm="1" t="str">
        <f t="array" ref="AO89:AO89">AE89</f>
        <v>акт приёма-передачи</v>
      </c>
      <c r="AP89" s="1000" cm="1" t="str">
        <f t="array" ref="AP89:AP89">AF89</f>
        <v>б/н</v>
      </c>
      <c r="AQ89" s="1000" cm="1" t="str">
        <f t="array" ref="AQ89:AQ89">AG89</f>
        <v>01.06.2026</v>
      </c>
      <c r="AR89" s="619"/>
      <c r="AS89" s="619" t="b">
        <v>1</v>
      </c>
    </row>
    <row s="1459" customFormat="1" customHeight="1" ht="23.25">
      <c r="A90" s="1459"/>
      <c r="B90" s="1459"/>
      <c r="C90" s="1459"/>
      <c r="D90" s="1459"/>
      <c r="E90" s="629">
        <v>15</v>
      </c>
      <c r="F90" s="104" cm="1" t="str">
        <f t="array" ref="F90:F90">OFFSET(G90,-1,-1)</f>
        <v>2</v>
      </c>
      <c r="G90" s="1459"/>
      <c r="H90" s="1459"/>
      <c r="I90" s="104" t="s">
        <v>568</v>
      </c>
      <c r="J90" s="1459"/>
      <c r="K90" s="104" t="s">
        <v>569</v>
      </c>
      <c r="L90" s="1459"/>
      <c r="M90" s="1459"/>
      <c r="N90" s="1459"/>
      <c r="O90" s="1459"/>
      <c r="P90" s="1459"/>
      <c r="Q90" s="1459"/>
      <c r="R90" s="1459"/>
      <c r="S90" s="1459"/>
      <c r="T90" s="1459"/>
      <c r="U90" s="465">
        <f>AND(F90&gt;0,AB90&gt;0)</f>
        <v>1</v>
      </c>
      <c r="V90" s="1459"/>
      <c r="W90" s="1459"/>
      <c r="X90" s="717"/>
      <c r="Y90" s="1459"/>
      <c r="Z90" s="1459"/>
      <c r="AA90" s="662" t="s">
        <v>175</v>
      </c>
      <c r="AB90" s="88" t="s">
        <v>570</v>
      </c>
      <c r="AC90" s="274" t="str">
        <f>I90&amp;" :: "&amp;K90</f>
        <v>водопровод ул. Жданова :: г Калтан, ул. Жданова, -</v>
      </c>
      <c r="AD90" s="274" t="s">
        <v>430</v>
      </c>
      <c r="AE90" s="274" t="s">
        <v>431</v>
      </c>
      <c r="AF90" s="405" t="s">
        <v>432</v>
      </c>
      <c r="AG90" s="405" t="s">
        <v>433</v>
      </c>
      <c r="AH90" s="2022" t="s">
        <v>434</v>
      </c>
      <c r="AI90" s="1459"/>
      <c r="AJ90" s="1459"/>
      <c r="AK90" s="1000" t="s">
        <v>424</v>
      </c>
      <c r="AL90" s="1000" t="s">
        <v>425</v>
      </c>
      <c r="AM90" s="1000" cm="1" t="str">
        <f t="array" ref="AM90:AM90">AC90</f>
        <v>водопровод ул. Жданова :: г Калтан, ул. Жданова, -</v>
      </c>
      <c r="AN90" s="1000" cm="1" t="str">
        <f t="array" ref="AN90:AN90">AD90</f>
        <v>концессионное соглашение</v>
      </c>
      <c r="AO90" s="1000" cm="1" t="str">
        <f t="array" ref="AO90:AO90">AE90</f>
        <v>акт приёма-передачи</v>
      </c>
      <c r="AP90" s="1000" cm="1" t="str">
        <f t="array" ref="AP90:AP90">AF90</f>
        <v>б/н</v>
      </c>
      <c r="AQ90" s="1000" cm="1" t="str">
        <f t="array" ref="AQ90:AQ90">AG90</f>
        <v>01.06.2026</v>
      </c>
      <c r="AR90" s="619"/>
      <c r="AS90" s="619" t="b">
        <v>1</v>
      </c>
    </row>
    <row s="1459" customFormat="1" customHeight="1" ht="23.25">
      <c r="A91" s="1459"/>
      <c r="B91" s="1459"/>
      <c r="C91" s="1459"/>
      <c r="D91" s="1459"/>
      <c r="E91" s="629">
        <v>15</v>
      </c>
      <c r="F91" s="104" cm="1" t="str">
        <f t="array" ref="F91:F91">OFFSET(G91,-1,-1)</f>
        <v>2</v>
      </c>
      <c r="G91" s="1459"/>
      <c r="H91" s="1459"/>
      <c r="I91" s="104" t="s">
        <v>571</v>
      </c>
      <c r="J91" s="1459"/>
      <c r="K91" s="104" t="s">
        <v>572</v>
      </c>
      <c r="L91" s="1459"/>
      <c r="M91" s="1459"/>
      <c r="N91" s="1459"/>
      <c r="O91" s="1459"/>
      <c r="P91" s="1459"/>
      <c r="Q91" s="1459"/>
      <c r="R91" s="1459"/>
      <c r="S91" s="1459"/>
      <c r="T91" s="1459"/>
      <c r="U91" s="465">
        <f>AND(F91&gt;0,AB91&gt;0)</f>
        <v>1</v>
      </c>
      <c r="V91" s="1459"/>
      <c r="W91" s="1459"/>
      <c r="X91" s="717"/>
      <c r="Y91" s="1459"/>
      <c r="Z91" s="1459"/>
      <c r="AA91" s="662" t="s">
        <v>175</v>
      </c>
      <c r="AB91" s="88" t="s">
        <v>573</v>
      </c>
      <c r="AC91" s="274" t="str">
        <f>I91&amp;" :: "&amp;K91</f>
        <v>водопровод ул. Железнодорожная (ж.д. 5-19) :: г Калтан, ул. Железнодорожная (ж.д. 5-19), -</v>
      </c>
      <c r="AD91" s="274" t="s">
        <v>430</v>
      </c>
      <c r="AE91" s="274" t="s">
        <v>431</v>
      </c>
      <c r="AF91" s="405" t="s">
        <v>432</v>
      </c>
      <c r="AG91" s="405" t="s">
        <v>433</v>
      </c>
      <c r="AH91" s="2022" t="s">
        <v>434</v>
      </c>
      <c r="AI91" s="1459"/>
      <c r="AJ91" s="1459"/>
      <c r="AK91" s="1000" t="s">
        <v>424</v>
      </c>
      <c r="AL91" s="1000" t="s">
        <v>425</v>
      </c>
      <c r="AM91" s="1000" cm="1" t="str">
        <f t="array" ref="AM91:AM91">AC91</f>
        <v>водопровод ул. Железнодорожная (ж.д. 5-19) :: г Калтан, ул. Железнодорожная (ж.д. 5-19), -</v>
      </c>
      <c r="AN91" s="1000" cm="1" t="str">
        <f t="array" ref="AN91:AN91">AD91</f>
        <v>концессионное соглашение</v>
      </c>
      <c r="AO91" s="1000" cm="1" t="str">
        <f t="array" ref="AO91:AO91">AE91</f>
        <v>акт приёма-передачи</v>
      </c>
      <c r="AP91" s="1000" cm="1" t="str">
        <f t="array" ref="AP91:AP91">AF91</f>
        <v>б/н</v>
      </c>
      <c r="AQ91" s="1000" cm="1" t="str">
        <f t="array" ref="AQ91:AQ91">AG91</f>
        <v>01.06.2026</v>
      </c>
      <c r="AR91" s="619"/>
      <c r="AS91" s="619" t="b">
        <v>1</v>
      </c>
    </row>
    <row s="1459" customFormat="1" customHeight="1" ht="23.25">
      <c r="A92" s="1459"/>
      <c r="B92" s="1459"/>
      <c r="C92" s="1459"/>
      <c r="D92" s="1459"/>
      <c r="E92" s="629">
        <v>15</v>
      </c>
      <c r="F92" s="104" cm="1" t="str">
        <f t="array" ref="F92:F92">OFFSET(G92,-1,-1)</f>
        <v>2</v>
      </c>
      <c r="G92" s="1459"/>
      <c r="H92" s="1459"/>
      <c r="I92" s="104" t="s">
        <v>574</v>
      </c>
      <c r="J92" s="1459"/>
      <c r="K92" s="104" t="s">
        <v>575</v>
      </c>
      <c r="L92" s="1459"/>
      <c r="M92" s="1459"/>
      <c r="N92" s="1459"/>
      <c r="O92" s="1459"/>
      <c r="P92" s="1459"/>
      <c r="Q92" s="1459"/>
      <c r="R92" s="1459"/>
      <c r="S92" s="1459"/>
      <c r="T92" s="1459"/>
      <c r="U92" s="465">
        <f>AND(F92&gt;0,AB92&gt;0)</f>
        <v>1</v>
      </c>
      <c r="V92" s="1459"/>
      <c r="W92" s="1459"/>
      <c r="X92" s="717"/>
      <c r="Y92" s="1459"/>
      <c r="Z92" s="1459"/>
      <c r="AA92" s="662" t="s">
        <v>175</v>
      </c>
      <c r="AB92" s="88" t="s">
        <v>576</v>
      </c>
      <c r="AC92" s="274" t="str">
        <f>I92&amp;" :: "&amp;K92</f>
        <v>водопровод ул. Жемчужная :: г Калтан, ул. Жемчужная, -</v>
      </c>
      <c r="AD92" s="274" t="s">
        <v>430</v>
      </c>
      <c r="AE92" s="274" t="s">
        <v>431</v>
      </c>
      <c r="AF92" s="405" t="s">
        <v>432</v>
      </c>
      <c r="AG92" s="405" t="s">
        <v>433</v>
      </c>
      <c r="AH92" s="2022" t="s">
        <v>434</v>
      </c>
      <c r="AI92" s="1459"/>
      <c r="AJ92" s="1459"/>
      <c r="AK92" s="1000" t="s">
        <v>424</v>
      </c>
      <c r="AL92" s="1000" t="s">
        <v>425</v>
      </c>
      <c r="AM92" s="1000" cm="1" t="str">
        <f t="array" ref="AM92:AM92">AC92</f>
        <v>водопровод ул. Жемчужная :: г Калтан, ул. Жемчужная, -</v>
      </c>
      <c r="AN92" s="1000" cm="1" t="str">
        <f t="array" ref="AN92:AN92">AD92</f>
        <v>концессионное соглашение</v>
      </c>
      <c r="AO92" s="1000" cm="1" t="str">
        <f t="array" ref="AO92:AO92">AE92</f>
        <v>акт приёма-передачи</v>
      </c>
      <c r="AP92" s="1000" cm="1" t="str">
        <f t="array" ref="AP92:AP92">AF92</f>
        <v>б/н</v>
      </c>
      <c r="AQ92" s="1000" cm="1" t="str">
        <f t="array" ref="AQ92:AQ92">AG92</f>
        <v>01.06.2026</v>
      </c>
      <c r="AR92" s="619"/>
      <c r="AS92" s="619" t="b">
        <v>1</v>
      </c>
    </row>
    <row s="1459" customFormat="1" customHeight="1" ht="23.25">
      <c r="A93" s="1459"/>
      <c r="B93" s="1459"/>
      <c r="C93" s="1459"/>
      <c r="D93" s="1459"/>
      <c r="E93" s="629">
        <v>15</v>
      </c>
      <c r="F93" s="104" cm="1" t="str">
        <f t="array" ref="F93:F93">OFFSET(G93,-1,-1)</f>
        <v>2</v>
      </c>
      <c r="G93" s="1459"/>
      <c r="H93" s="1459"/>
      <c r="I93" s="104" t="s">
        <v>577</v>
      </c>
      <c r="J93" s="1459"/>
      <c r="K93" s="104" t="s">
        <v>578</v>
      </c>
      <c r="L93" s="1459"/>
      <c r="M93" s="1459"/>
      <c r="N93" s="1459"/>
      <c r="O93" s="1459"/>
      <c r="P93" s="1459"/>
      <c r="Q93" s="1459"/>
      <c r="R93" s="1459"/>
      <c r="S93" s="1459"/>
      <c r="T93" s="1459"/>
      <c r="U93" s="465">
        <f>AND(F93&gt;0,AB93&gt;0)</f>
        <v>1</v>
      </c>
      <c r="V93" s="1459"/>
      <c r="W93" s="1459"/>
      <c r="X93" s="717"/>
      <c r="Y93" s="1459"/>
      <c r="Z93" s="1459"/>
      <c r="AA93" s="662" t="s">
        <v>175</v>
      </c>
      <c r="AB93" s="88" t="s">
        <v>579</v>
      </c>
      <c r="AC93" s="274" t="str">
        <f>I93&amp;" :: "&amp;K93</f>
        <v>водопровод ул. Заводская :: г Калтан, ул. Заводская, -</v>
      </c>
      <c r="AD93" s="274" t="s">
        <v>430</v>
      </c>
      <c r="AE93" s="274" t="s">
        <v>431</v>
      </c>
      <c r="AF93" s="405" t="s">
        <v>432</v>
      </c>
      <c r="AG93" s="405" t="s">
        <v>433</v>
      </c>
      <c r="AH93" s="2022" t="s">
        <v>434</v>
      </c>
      <c r="AI93" s="1459"/>
      <c r="AJ93" s="1459"/>
      <c r="AK93" s="1000" t="s">
        <v>424</v>
      </c>
      <c r="AL93" s="1000" t="s">
        <v>425</v>
      </c>
      <c r="AM93" s="1000" cm="1" t="str">
        <f t="array" ref="AM93:AM93">AC93</f>
        <v>водопровод ул. Заводская :: г Калтан, ул. Заводская, -</v>
      </c>
      <c r="AN93" s="1000" cm="1" t="str">
        <f t="array" ref="AN93:AN93">AD93</f>
        <v>концессионное соглашение</v>
      </c>
      <c r="AO93" s="1000" cm="1" t="str">
        <f t="array" ref="AO93:AO93">AE93</f>
        <v>акт приёма-передачи</v>
      </c>
      <c r="AP93" s="1000" cm="1" t="str">
        <f t="array" ref="AP93:AP93">AF93</f>
        <v>б/н</v>
      </c>
      <c r="AQ93" s="1000" cm="1" t="str">
        <f t="array" ref="AQ93:AQ93">AG93</f>
        <v>01.06.2026</v>
      </c>
      <c r="AR93" s="619"/>
      <c r="AS93" s="619" t="b">
        <v>1</v>
      </c>
    </row>
    <row s="1459" customFormat="1" customHeight="1" ht="23.25">
      <c r="A94" s="1459"/>
      <c r="B94" s="1459"/>
      <c r="C94" s="1459"/>
      <c r="D94" s="1459"/>
      <c r="E94" s="629">
        <v>15</v>
      </c>
      <c r="F94" s="104" cm="1" t="str">
        <f t="array" ref="F94:F94">OFFSET(G94,-1,-1)</f>
        <v>2</v>
      </c>
      <c r="G94" s="1459"/>
      <c r="H94" s="1459"/>
      <c r="I94" s="104" t="s">
        <v>580</v>
      </c>
      <c r="J94" s="1459"/>
      <c r="K94" s="104" t="s">
        <v>581</v>
      </c>
      <c r="L94" s="1459"/>
      <c r="M94" s="1459"/>
      <c r="N94" s="1459"/>
      <c r="O94" s="1459"/>
      <c r="P94" s="1459"/>
      <c r="Q94" s="1459"/>
      <c r="R94" s="1459"/>
      <c r="S94" s="1459"/>
      <c r="T94" s="1459"/>
      <c r="U94" s="465">
        <f>AND(F94&gt;0,AB94&gt;0)</f>
        <v>1</v>
      </c>
      <c r="V94" s="1459"/>
      <c r="W94" s="1459"/>
      <c r="X94" s="717"/>
      <c r="Y94" s="1459"/>
      <c r="Z94" s="1459"/>
      <c r="AA94" s="662" t="s">
        <v>175</v>
      </c>
      <c r="AB94" s="88" t="s">
        <v>582</v>
      </c>
      <c r="AC94" s="274" t="str">
        <f>I94&amp;" :: "&amp;K94</f>
        <v>водопровод ул. К. Маркса (ж.д. 1,2,36) :: г Калтан, ул. К. Маркса (ж.д. 1,2,36), -</v>
      </c>
      <c r="AD94" s="274" t="s">
        <v>430</v>
      </c>
      <c r="AE94" s="274" t="s">
        <v>431</v>
      </c>
      <c r="AF94" s="405" t="s">
        <v>432</v>
      </c>
      <c r="AG94" s="405" t="s">
        <v>433</v>
      </c>
      <c r="AH94" s="2022" t="s">
        <v>434</v>
      </c>
      <c r="AI94" s="1459"/>
      <c r="AJ94" s="1459"/>
      <c r="AK94" s="1000" t="s">
        <v>424</v>
      </c>
      <c r="AL94" s="1000" t="s">
        <v>425</v>
      </c>
      <c r="AM94" s="1000" cm="1" t="str">
        <f t="array" ref="AM94:AM94">AC94</f>
        <v>водопровод ул. К. Маркса (ж.д. 1,2,36) :: г Калтан, ул. К. Маркса (ж.д. 1,2,36), -</v>
      </c>
      <c r="AN94" s="1000" cm="1" t="str">
        <f t="array" ref="AN94:AN94">AD94</f>
        <v>концессионное соглашение</v>
      </c>
      <c r="AO94" s="1000" cm="1" t="str">
        <f t="array" ref="AO94:AO94">AE94</f>
        <v>акт приёма-передачи</v>
      </c>
      <c r="AP94" s="1000" cm="1" t="str">
        <f t="array" ref="AP94:AP94">AF94</f>
        <v>б/н</v>
      </c>
      <c r="AQ94" s="1000" cm="1" t="str">
        <f t="array" ref="AQ94:AQ94">AG94</f>
        <v>01.06.2026</v>
      </c>
      <c r="AR94" s="619"/>
      <c r="AS94" s="619" t="b">
        <v>1</v>
      </c>
    </row>
    <row s="1459" customFormat="1" customHeight="1" ht="23.25">
      <c r="A95" s="1459"/>
      <c r="B95" s="1459"/>
      <c r="C95" s="1459"/>
      <c r="D95" s="1459"/>
      <c r="E95" s="629">
        <v>15</v>
      </c>
      <c r="F95" s="104" cm="1" t="str">
        <f t="array" ref="F95:F95">OFFSET(G95,-1,-1)</f>
        <v>2</v>
      </c>
      <c r="G95" s="1459"/>
      <c r="H95" s="1459"/>
      <c r="I95" s="104" t="s">
        <v>583</v>
      </c>
      <c r="J95" s="1459"/>
      <c r="K95" s="104" t="s">
        <v>584</v>
      </c>
      <c r="L95" s="1459"/>
      <c r="M95" s="1459"/>
      <c r="N95" s="1459"/>
      <c r="O95" s="1459"/>
      <c r="P95" s="1459"/>
      <c r="Q95" s="1459"/>
      <c r="R95" s="1459"/>
      <c r="S95" s="1459"/>
      <c r="T95" s="1459"/>
      <c r="U95" s="465">
        <f>AND(F95&gt;0,AB95&gt;0)</f>
        <v>1</v>
      </c>
      <c r="V95" s="1459"/>
      <c r="W95" s="1459"/>
      <c r="X95" s="717"/>
      <c r="Y95" s="1459"/>
      <c r="Z95" s="1459"/>
      <c r="AA95" s="662" t="s">
        <v>175</v>
      </c>
      <c r="AB95" s="88" t="s">
        <v>585</v>
      </c>
      <c r="AC95" s="274" t="str">
        <f>I95&amp;" :: "&amp;K95</f>
        <v>водопровод ул. Калинина (от ж.д. №2 до ул. Школьная :: г Калтан, ул. Калинина, -</v>
      </c>
      <c r="AD95" s="274" t="s">
        <v>430</v>
      </c>
      <c r="AE95" s="274" t="s">
        <v>431</v>
      </c>
      <c r="AF95" s="405" t="s">
        <v>432</v>
      </c>
      <c r="AG95" s="405" t="s">
        <v>433</v>
      </c>
      <c r="AH95" s="2022" t="s">
        <v>434</v>
      </c>
      <c r="AI95" s="1459"/>
      <c r="AJ95" s="1459"/>
      <c r="AK95" s="1000" t="s">
        <v>424</v>
      </c>
      <c r="AL95" s="1000" t="s">
        <v>425</v>
      </c>
      <c r="AM95" s="1000" cm="1" t="str">
        <f t="array" ref="AM95:AM95">AC95</f>
        <v>водопровод ул. Калинина (от ж.д. №2 до ул. Школьная :: г Калтан, ул. Калинина, -</v>
      </c>
      <c r="AN95" s="1000" cm="1" t="str">
        <f t="array" ref="AN95:AN95">AD95</f>
        <v>концессионное соглашение</v>
      </c>
      <c r="AO95" s="1000" cm="1" t="str">
        <f t="array" ref="AO95:AO95">AE95</f>
        <v>акт приёма-передачи</v>
      </c>
      <c r="AP95" s="1000" cm="1" t="str">
        <f t="array" ref="AP95:AP95">AF95</f>
        <v>б/н</v>
      </c>
      <c r="AQ95" s="1000" cm="1" t="str">
        <f t="array" ref="AQ95:AQ95">AG95</f>
        <v>01.06.2026</v>
      </c>
      <c r="AR95" s="619"/>
      <c r="AS95" s="619" t="b">
        <v>1</v>
      </c>
    </row>
    <row s="1459" customFormat="1" customHeight="1" ht="23.25">
      <c r="A96" s="1459"/>
      <c r="B96" s="1459"/>
      <c r="C96" s="1459"/>
      <c r="D96" s="1459"/>
      <c r="E96" s="629">
        <v>15</v>
      </c>
      <c r="F96" s="104" cm="1" t="str">
        <f t="array" ref="F96:F96">OFFSET(G96,-1,-1)</f>
        <v>2</v>
      </c>
      <c r="G96" s="1459"/>
      <c r="H96" s="1459"/>
      <c r="I96" s="104" t="s">
        <v>586</v>
      </c>
      <c r="J96" s="1459"/>
      <c r="K96" s="104" t="s">
        <v>584</v>
      </c>
      <c r="L96" s="1459"/>
      <c r="M96" s="1459"/>
      <c r="N96" s="1459"/>
      <c r="O96" s="1459"/>
      <c r="P96" s="1459"/>
      <c r="Q96" s="1459"/>
      <c r="R96" s="1459"/>
      <c r="S96" s="1459"/>
      <c r="T96" s="1459"/>
      <c r="U96" s="465">
        <f>AND(F96&gt;0,AB96&gt;0)</f>
        <v>1</v>
      </c>
      <c r="V96" s="1459"/>
      <c r="W96" s="1459"/>
      <c r="X96" s="717"/>
      <c r="Y96" s="1459"/>
      <c r="Z96" s="1459"/>
      <c r="AA96" s="662" t="s">
        <v>175</v>
      </c>
      <c r="AB96" s="88" t="s">
        <v>587</v>
      </c>
      <c r="AC96" s="274" t="str">
        <f>I96&amp;" :: "&amp;K96</f>
        <v>водопровод ул. Калинина (отул. Школьная до ж.д. № 125 :: г Калтан, ул. Калинина, -</v>
      </c>
      <c r="AD96" s="274" t="s">
        <v>430</v>
      </c>
      <c r="AE96" s="274" t="s">
        <v>431</v>
      </c>
      <c r="AF96" s="405" t="s">
        <v>432</v>
      </c>
      <c r="AG96" s="405" t="s">
        <v>433</v>
      </c>
      <c r="AH96" s="2022" t="s">
        <v>434</v>
      </c>
      <c r="AI96" s="1459"/>
      <c r="AJ96" s="1459"/>
      <c r="AK96" s="1000" t="s">
        <v>424</v>
      </c>
      <c r="AL96" s="1000" t="s">
        <v>425</v>
      </c>
      <c r="AM96" s="1000" cm="1" t="str">
        <f t="array" ref="AM96:AM96">AC96</f>
        <v>водопровод ул. Калинина (отул. Школьная до ж.д. № 125 :: г Калтан, ул. Калинина, -</v>
      </c>
      <c r="AN96" s="1000" cm="1" t="str">
        <f t="array" ref="AN96:AN96">AD96</f>
        <v>концессионное соглашение</v>
      </c>
      <c r="AO96" s="1000" cm="1" t="str">
        <f t="array" ref="AO96:AO96">AE96</f>
        <v>акт приёма-передачи</v>
      </c>
      <c r="AP96" s="1000" cm="1" t="str">
        <f t="array" ref="AP96:AP96">AF96</f>
        <v>б/н</v>
      </c>
      <c r="AQ96" s="1000" cm="1" t="str">
        <f t="array" ref="AQ96:AQ96">AG96</f>
        <v>01.06.2026</v>
      </c>
      <c r="AR96" s="619"/>
      <c r="AS96" s="619" t="b">
        <v>1</v>
      </c>
    </row>
    <row s="1459" customFormat="1" customHeight="1" ht="23.25">
      <c r="A97" s="1459"/>
      <c r="B97" s="1459"/>
      <c r="C97" s="1459"/>
      <c r="D97" s="1459"/>
      <c r="E97" s="629">
        <v>15</v>
      </c>
      <c r="F97" s="104" cm="1" t="str">
        <f t="array" ref="F97:F97">OFFSET(G97,-1,-1)</f>
        <v>2</v>
      </c>
      <c r="G97" s="1459"/>
      <c r="H97" s="1459"/>
      <c r="I97" s="104" t="s">
        <v>588</v>
      </c>
      <c r="J97" s="1459"/>
      <c r="K97" s="104" t="s">
        <v>589</v>
      </c>
      <c r="L97" s="1459"/>
      <c r="M97" s="1459"/>
      <c r="N97" s="1459"/>
      <c r="O97" s="1459"/>
      <c r="P97" s="1459"/>
      <c r="Q97" s="1459"/>
      <c r="R97" s="1459"/>
      <c r="S97" s="1459"/>
      <c r="T97" s="1459"/>
      <c r="U97" s="465">
        <f>AND(F97&gt;0,AB97&gt;0)</f>
        <v>1</v>
      </c>
      <c r="V97" s="1459"/>
      <c r="W97" s="1459"/>
      <c r="X97" s="717"/>
      <c r="Y97" s="1459"/>
      <c r="Z97" s="1459"/>
      <c r="AA97" s="662" t="s">
        <v>175</v>
      </c>
      <c r="AB97" s="88" t="s">
        <v>590</v>
      </c>
      <c r="AC97" s="274" t="str">
        <f>I97&amp;" :: "&amp;K97</f>
        <v>водопровод квартал № 19 (ввода на ж.д. Калинина, 4,2; пр. Мира, 11) :: г Калтан, ул. Калинина, 4,2; 11</v>
      </c>
      <c r="AD97" s="274" t="s">
        <v>430</v>
      </c>
      <c r="AE97" s="274" t="s">
        <v>431</v>
      </c>
      <c r="AF97" s="405" t="s">
        <v>432</v>
      </c>
      <c r="AG97" s="405" t="s">
        <v>433</v>
      </c>
      <c r="AH97" s="2022" t="s">
        <v>434</v>
      </c>
      <c r="AI97" s="1459"/>
      <c r="AJ97" s="1459"/>
      <c r="AK97" s="1000" t="s">
        <v>424</v>
      </c>
      <c r="AL97" s="1000" t="s">
        <v>425</v>
      </c>
      <c r="AM97" s="1000" cm="1" t="str">
        <f t="array" ref="AM97:AM97">AC97</f>
        <v>водопровод квартал № 19 (ввода на ж.д. Калинина, 4,2; пр. Мира, 11) :: г Калтан, ул. Калинина, 4,2; 11</v>
      </c>
      <c r="AN97" s="1000" cm="1" t="str">
        <f t="array" ref="AN97:AN97">AD97</f>
        <v>концессионное соглашение</v>
      </c>
      <c r="AO97" s="1000" cm="1" t="str">
        <f t="array" ref="AO97:AO97">AE97</f>
        <v>акт приёма-передачи</v>
      </c>
      <c r="AP97" s="1000" cm="1" t="str">
        <f t="array" ref="AP97:AP97">AF97</f>
        <v>б/н</v>
      </c>
      <c r="AQ97" s="1000" cm="1" t="str">
        <f t="array" ref="AQ97:AQ97">AG97</f>
        <v>01.06.2026</v>
      </c>
      <c r="AR97" s="619"/>
      <c r="AS97" s="619" t="b">
        <v>1</v>
      </c>
    </row>
    <row s="1459" customFormat="1" customHeight="1" ht="23.25">
      <c r="A98" s="1459"/>
      <c r="B98" s="1459"/>
      <c r="C98" s="1459"/>
      <c r="D98" s="1459"/>
      <c r="E98" s="629">
        <v>15</v>
      </c>
      <c r="F98" s="104" cm="1" t="str">
        <f t="array" ref="F98:F98">OFFSET(G98,-1,-1)</f>
        <v>2</v>
      </c>
      <c r="G98" s="1459"/>
      <c r="H98" s="1459"/>
      <c r="I98" s="104" t="s">
        <v>591</v>
      </c>
      <c r="J98" s="1459"/>
      <c r="K98" s="104" t="s">
        <v>592</v>
      </c>
      <c r="L98" s="1459"/>
      <c r="M98" s="1459"/>
      <c r="N98" s="1459"/>
      <c r="O98" s="1459"/>
      <c r="P98" s="1459"/>
      <c r="Q98" s="1459"/>
      <c r="R98" s="1459"/>
      <c r="S98" s="1459"/>
      <c r="T98" s="1459"/>
      <c r="U98" s="465">
        <f>AND(F98&gt;0,AB98&gt;0)</f>
        <v>1</v>
      </c>
      <c r="V98" s="1459"/>
      <c r="W98" s="1459"/>
      <c r="X98" s="717"/>
      <c r="Y98" s="1459"/>
      <c r="Z98" s="1459"/>
      <c r="AA98" s="662" t="s">
        <v>175</v>
      </c>
      <c r="AB98" s="88" t="s">
        <v>593</v>
      </c>
      <c r="AC98" s="274" t="str">
        <f>I98&amp;" :: "&amp;K98</f>
        <v>водопровод квартал № 17 (ввода на ж.д. ул. Калинина, 16; ул. Базарная, 6) :: г Калтан, ул. Калинина, ул. Базарная, 16; 6</v>
      </c>
      <c r="AD98" s="274" t="s">
        <v>430</v>
      </c>
      <c r="AE98" s="274" t="s">
        <v>431</v>
      </c>
      <c r="AF98" s="405" t="s">
        <v>432</v>
      </c>
      <c r="AG98" s="405" t="s">
        <v>433</v>
      </c>
      <c r="AH98" s="2022" t="s">
        <v>434</v>
      </c>
      <c r="AI98" s="1459"/>
      <c r="AJ98" s="1459"/>
      <c r="AK98" s="1000" t="s">
        <v>424</v>
      </c>
      <c r="AL98" s="1000" t="s">
        <v>425</v>
      </c>
      <c r="AM98" s="1000" cm="1" t="str">
        <f t="array" ref="AM98:AM98">AC98</f>
        <v>водопровод квартал № 17 (ввода на ж.д. ул. Калинина, 16; ул. Базарная, 6) :: г Калтан, ул. Калинина, ул. Базарная, 16; 6</v>
      </c>
      <c r="AN98" s="1000" cm="1" t="str">
        <f t="array" ref="AN98:AN98">AD98</f>
        <v>концессионное соглашение</v>
      </c>
      <c r="AO98" s="1000" cm="1" t="str">
        <f t="array" ref="AO98:AO98">AE98</f>
        <v>акт приёма-передачи</v>
      </c>
      <c r="AP98" s="1000" cm="1" t="str">
        <f t="array" ref="AP98:AP98">AF98</f>
        <v>б/н</v>
      </c>
      <c r="AQ98" s="1000" cm="1" t="str">
        <f t="array" ref="AQ98:AQ98">AG98</f>
        <v>01.06.2026</v>
      </c>
      <c r="AR98" s="619"/>
      <c r="AS98" s="619" t="b">
        <v>1</v>
      </c>
    </row>
    <row s="1459" customFormat="1" customHeight="1" ht="23.25">
      <c r="A99" s="1459"/>
      <c r="B99" s="1459"/>
      <c r="C99" s="1459"/>
      <c r="D99" s="1459"/>
      <c r="E99" s="629">
        <v>15</v>
      </c>
      <c r="F99" s="104" cm="1" t="str">
        <f t="array" ref="F99:F99">OFFSET(G99,-1,-1)</f>
        <v>2</v>
      </c>
      <c r="G99" s="1459"/>
      <c r="H99" s="1459"/>
      <c r="I99" s="104" t="s">
        <v>594</v>
      </c>
      <c r="J99" s="1459"/>
      <c r="K99" s="104" t="s">
        <v>595</v>
      </c>
      <c r="L99" s="1459"/>
      <c r="M99" s="1459"/>
      <c r="N99" s="1459"/>
      <c r="O99" s="1459"/>
      <c r="P99" s="1459"/>
      <c r="Q99" s="1459"/>
      <c r="R99" s="1459"/>
      <c r="S99" s="1459"/>
      <c r="T99" s="1459"/>
      <c r="U99" s="465">
        <f>AND(F99&gt;0,AB99&gt;0)</f>
        <v>1</v>
      </c>
      <c r="V99" s="1459"/>
      <c r="W99" s="1459"/>
      <c r="X99" s="717"/>
      <c r="Y99" s="1459"/>
      <c r="Z99" s="1459"/>
      <c r="AA99" s="662" t="s">
        <v>175</v>
      </c>
      <c r="AB99" s="88" t="s">
        <v>596</v>
      </c>
      <c r="AC99" s="274" t="str">
        <f>I99&amp;" :: "&amp;K99</f>
        <v>водопровод квартал № 25 (ввода на ж.д. ул. Комсомольская, 13, 11, 1, 3, 5) :: г Калтан, ул. Комсомольская, 1,3,5,11,13</v>
      </c>
      <c r="AD99" s="274" t="s">
        <v>430</v>
      </c>
      <c r="AE99" s="274" t="s">
        <v>431</v>
      </c>
      <c r="AF99" s="405" t="s">
        <v>432</v>
      </c>
      <c r="AG99" s="405" t="s">
        <v>433</v>
      </c>
      <c r="AH99" s="2022" t="s">
        <v>434</v>
      </c>
      <c r="AI99" s="1459"/>
      <c r="AJ99" s="1459"/>
      <c r="AK99" s="1000" t="s">
        <v>424</v>
      </c>
      <c r="AL99" s="1000" t="s">
        <v>425</v>
      </c>
      <c r="AM99" s="1000" cm="1" t="str">
        <f t="array" ref="AM99:AM99">AC99</f>
        <v>водопровод квартал № 25 (ввода на ж.д. ул. Комсомольская, 13, 11, 1, 3, 5) :: г Калтан, ул. Комсомольская, 1,3,5,11,13</v>
      </c>
      <c r="AN99" s="1000" cm="1" t="str">
        <f t="array" ref="AN99:AN99">AD99</f>
        <v>концессионное соглашение</v>
      </c>
      <c r="AO99" s="1000" cm="1" t="str">
        <f t="array" ref="AO99:AO99">AE99</f>
        <v>акт приёма-передачи</v>
      </c>
      <c r="AP99" s="1000" cm="1" t="str">
        <f t="array" ref="AP99:AP99">AF99</f>
        <v>б/н</v>
      </c>
      <c r="AQ99" s="1000" cm="1" t="str">
        <f t="array" ref="AQ99:AQ99">AG99</f>
        <v>01.06.2026</v>
      </c>
      <c r="AR99" s="619"/>
      <c r="AS99" s="619" t="b">
        <v>1</v>
      </c>
    </row>
    <row s="1459" customFormat="1" customHeight="1" ht="23.25">
      <c r="A100" s="1459"/>
      <c r="B100" s="1459"/>
      <c r="C100" s="1459"/>
      <c r="D100" s="1459"/>
      <c r="E100" s="629">
        <v>15</v>
      </c>
      <c r="F100" s="104" cm="1" t="str">
        <f t="array" ref="F100:F100">OFFSET(G100,-1,-1)</f>
        <v>2</v>
      </c>
      <c r="G100" s="1459"/>
      <c r="H100" s="1459"/>
      <c r="I100" s="104" t="s">
        <v>597</v>
      </c>
      <c r="J100" s="1459"/>
      <c r="K100" s="104" t="s">
        <v>598</v>
      </c>
      <c r="L100" s="1459"/>
      <c r="M100" s="1459"/>
      <c r="N100" s="1459"/>
      <c r="O100" s="1459"/>
      <c r="P100" s="1459"/>
      <c r="Q100" s="1459"/>
      <c r="R100" s="1459"/>
      <c r="S100" s="1459"/>
      <c r="T100" s="1459"/>
      <c r="U100" s="465">
        <f>AND(F100&gt;0,AB100&gt;0)</f>
        <v>1</v>
      </c>
      <c r="V100" s="1459"/>
      <c r="W100" s="1459"/>
      <c r="X100" s="717"/>
      <c r="Y100" s="1459"/>
      <c r="Z100" s="1459"/>
      <c r="AA100" s="662" t="s">
        <v>175</v>
      </c>
      <c r="AB100" s="88" t="s">
        <v>599</v>
      </c>
      <c r="AC100" s="274" t="str">
        <f>I100&amp;" :: "&amp;K100</f>
        <v>водопровод ул. Комсомольская, 27-95 :: г Калтан, ул. Комсомольская, 27-95</v>
      </c>
      <c r="AD100" s="274" t="s">
        <v>430</v>
      </c>
      <c r="AE100" s="274" t="s">
        <v>431</v>
      </c>
      <c r="AF100" s="405" t="s">
        <v>432</v>
      </c>
      <c r="AG100" s="405" t="s">
        <v>433</v>
      </c>
      <c r="AH100" s="2022" t="s">
        <v>434</v>
      </c>
      <c r="AI100" s="1459"/>
      <c r="AJ100" s="1459"/>
      <c r="AK100" s="1000" t="s">
        <v>424</v>
      </c>
      <c r="AL100" s="1000" t="s">
        <v>425</v>
      </c>
      <c r="AM100" s="1000" cm="1" t="str">
        <f t="array" ref="AM100:AM100">AC100</f>
        <v>водопровод ул. Комсомольская, 27-95 :: г Калтан, ул. Комсомольская, 27-95</v>
      </c>
      <c r="AN100" s="1000" cm="1" t="str">
        <f t="array" ref="AN100:AN100">AD100</f>
        <v>концессионное соглашение</v>
      </c>
      <c r="AO100" s="1000" cm="1" t="str">
        <f t="array" ref="AO100:AO100">AE100</f>
        <v>акт приёма-передачи</v>
      </c>
      <c r="AP100" s="1000" cm="1" t="str">
        <f t="array" ref="AP100:AP100">AF100</f>
        <v>б/н</v>
      </c>
      <c r="AQ100" s="1000" cm="1" t="str">
        <f t="array" ref="AQ100:AQ100">AG100</f>
        <v>01.06.2026</v>
      </c>
      <c r="AR100" s="619"/>
      <c r="AS100" s="619" t="b">
        <v>1</v>
      </c>
    </row>
    <row s="1459" customFormat="1" customHeight="1" ht="23.25">
      <c r="A101" s="1459"/>
      <c r="B101" s="1459"/>
      <c r="C101" s="1459"/>
      <c r="D101" s="1459"/>
      <c r="E101" s="629">
        <v>15</v>
      </c>
      <c r="F101" s="104" cm="1" t="str">
        <f t="array" ref="F101:F101">OFFSET(G101,-1,-1)</f>
        <v>2</v>
      </c>
      <c r="G101" s="1459"/>
      <c r="H101" s="1459"/>
      <c r="I101" s="104" t="s">
        <v>600</v>
      </c>
      <c r="J101" s="1459"/>
      <c r="K101" s="104" t="s">
        <v>601</v>
      </c>
      <c r="L101" s="1459"/>
      <c r="M101" s="1459"/>
      <c r="N101" s="1459"/>
      <c r="O101" s="1459"/>
      <c r="P101" s="1459"/>
      <c r="Q101" s="1459"/>
      <c r="R101" s="1459"/>
      <c r="S101" s="1459"/>
      <c r="T101" s="1459"/>
      <c r="U101" s="465">
        <f>AND(F101&gt;0,AB101&gt;0)</f>
        <v>1</v>
      </c>
      <c r="V101" s="1459"/>
      <c r="W101" s="1459"/>
      <c r="X101" s="717"/>
      <c r="Y101" s="1459"/>
      <c r="Z101" s="1459"/>
      <c r="AA101" s="662" t="s">
        <v>175</v>
      </c>
      <c r="AB101" s="88" t="s">
        <v>602</v>
      </c>
      <c r="AC101" s="274" t="str">
        <f>I101&amp;" :: "&amp;K101</f>
        <v>водопровод квартал № 18 (ввода на ж.д. ул. Косомольская, 37,27) :: г Калтан, ул. Комсомольская, 27,37</v>
      </c>
      <c r="AD101" s="274" t="s">
        <v>430</v>
      </c>
      <c r="AE101" s="274" t="s">
        <v>431</v>
      </c>
      <c r="AF101" s="405" t="s">
        <v>432</v>
      </c>
      <c r="AG101" s="405" t="s">
        <v>433</v>
      </c>
      <c r="AH101" s="2022" t="s">
        <v>434</v>
      </c>
      <c r="AI101" s="1459"/>
      <c r="AJ101" s="1459"/>
      <c r="AK101" s="1000" t="s">
        <v>424</v>
      </c>
      <c r="AL101" s="1000" t="s">
        <v>425</v>
      </c>
      <c r="AM101" s="1000" cm="1" t="str">
        <f t="array" ref="AM101:AM101">AC101</f>
        <v>водопровод квартал № 18 (ввода на ж.д. ул. Косомольская, 37,27) :: г Калтан, ул. Комсомольская, 27,37</v>
      </c>
      <c r="AN101" s="1000" cm="1" t="str">
        <f t="array" ref="AN101:AN101">AD101</f>
        <v>концессионное соглашение</v>
      </c>
      <c r="AO101" s="1000" cm="1" t="str">
        <f t="array" ref="AO101:AO101">AE101</f>
        <v>акт приёма-передачи</v>
      </c>
      <c r="AP101" s="1000" cm="1" t="str">
        <f t="array" ref="AP101:AP101">AF101</f>
        <v>б/н</v>
      </c>
      <c r="AQ101" s="1000" cm="1" t="str">
        <f t="array" ref="AQ101:AQ101">AG101</f>
        <v>01.06.2026</v>
      </c>
      <c r="AR101" s="619"/>
      <c r="AS101" s="619" t="b">
        <v>1</v>
      </c>
    </row>
    <row s="1459" customFormat="1" customHeight="1" ht="23.25">
      <c r="A102" s="1459"/>
      <c r="B102" s="1459"/>
      <c r="C102" s="1459"/>
      <c r="D102" s="1459"/>
      <c r="E102" s="629">
        <v>15</v>
      </c>
      <c r="F102" s="104" cm="1" t="str">
        <f t="array" ref="F102:F102">OFFSET(G102,-1,-1)</f>
        <v>2</v>
      </c>
      <c r="G102" s="1459"/>
      <c r="H102" s="1459"/>
      <c r="I102" s="104" t="s">
        <v>603</v>
      </c>
      <c r="J102" s="1459"/>
      <c r="K102" s="104" t="s">
        <v>604</v>
      </c>
      <c r="L102" s="1459"/>
      <c r="M102" s="1459"/>
      <c r="N102" s="1459"/>
      <c r="O102" s="1459"/>
      <c r="P102" s="1459"/>
      <c r="Q102" s="1459"/>
      <c r="R102" s="1459"/>
      <c r="S102" s="1459"/>
      <c r="T102" s="1459"/>
      <c r="U102" s="465">
        <f>AND(F102&gt;0,AB102&gt;0)</f>
        <v>1</v>
      </c>
      <c r="V102" s="1459"/>
      <c r="W102" s="1459"/>
      <c r="X102" s="717"/>
      <c r="Y102" s="1459"/>
      <c r="Z102" s="1459"/>
      <c r="AA102" s="662" t="s">
        <v>175</v>
      </c>
      <c r="AB102" s="88" t="s">
        <v>605</v>
      </c>
      <c r="AC102" s="274" t="str">
        <f>I102&amp;" :: "&amp;K102</f>
        <v>сети хоз.пит.водопровода В-1-г. Калтан, ул. Комсомольская, 33а :: г Калтан, ул. Комсомольская, 33а</v>
      </c>
      <c r="AD102" s="274" t="s">
        <v>430</v>
      </c>
      <c r="AE102" s="274" t="s">
        <v>431</v>
      </c>
      <c r="AF102" s="405" t="s">
        <v>432</v>
      </c>
      <c r="AG102" s="405" t="s">
        <v>433</v>
      </c>
      <c r="AH102" s="2022" t="s">
        <v>434</v>
      </c>
      <c r="AI102" s="1459"/>
      <c r="AJ102" s="1459"/>
      <c r="AK102" s="1000" t="s">
        <v>424</v>
      </c>
      <c r="AL102" s="1000" t="s">
        <v>425</v>
      </c>
      <c r="AM102" s="1000" cm="1" t="str">
        <f t="array" ref="AM102:AM102">AC102</f>
        <v>сети хоз.пит.водопровода В-1-г. Калтан, ул. Комсомольская, 33а :: г Калтан, ул. Комсомольская, 33а</v>
      </c>
      <c r="AN102" s="1000" cm="1" t="str">
        <f t="array" ref="AN102:AN102">AD102</f>
        <v>концессионное соглашение</v>
      </c>
      <c r="AO102" s="1000" cm="1" t="str">
        <f t="array" ref="AO102:AO102">AE102</f>
        <v>акт приёма-передачи</v>
      </c>
      <c r="AP102" s="1000" cm="1" t="str">
        <f t="array" ref="AP102:AP102">AF102</f>
        <v>б/н</v>
      </c>
      <c r="AQ102" s="1000" cm="1" t="str">
        <f t="array" ref="AQ102:AQ102">AG102</f>
        <v>01.06.2026</v>
      </c>
      <c r="AR102" s="619"/>
      <c r="AS102" s="619" t="b">
        <v>1</v>
      </c>
    </row>
    <row s="1459" customFormat="1" customHeight="1" ht="23.25">
      <c r="A103" s="1459"/>
      <c r="B103" s="1459"/>
      <c r="C103" s="1459"/>
      <c r="D103" s="1459"/>
      <c r="E103" s="629">
        <v>15</v>
      </c>
      <c r="F103" s="104" cm="1" t="str">
        <f t="array" ref="F103:F103">OFFSET(G103,-1,-1)</f>
        <v>2</v>
      </c>
      <c r="G103" s="1459"/>
      <c r="H103" s="1459"/>
      <c r="I103" s="104" t="s">
        <v>606</v>
      </c>
      <c r="J103" s="1459"/>
      <c r="K103" s="104" t="s">
        <v>607</v>
      </c>
      <c r="L103" s="1459"/>
      <c r="M103" s="1459"/>
      <c r="N103" s="1459"/>
      <c r="O103" s="1459"/>
      <c r="P103" s="1459"/>
      <c r="Q103" s="1459"/>
      <c r="R103" s="1459"/>
      <c r="S103" s="1459"/>
      <c r="T103" s="1459"/>
      <c r="U103" s="465">
        <f>AND(F103&gt;0,AB103&gt;0)</f>
        <v>1</v>
      </c>
      <c r="V103" s="1459"/>
      <c r="W103" s="1459"/>
      <c r="X103" s="717"/>
      <c r="Y103" s="1459"/>
      <c r="Z103" s="1459"/>
      <c r="AA103" s="662" t="s">
        <v>175</v>
      </c>
      <c r="AB103" s="88" t="s">
        <v>608</v>
      </c>
      <c r="AC103" s="274" t="str">
        <f>I103&amp;" :: "&amp;K103</f>
        <v>водопровод ул. Комсомольская, 50-114 :: г Калтан, ул. Комсомольская, 50-114</v>
      </c>
      <c r="AD103" s="274" t="s">
        <v>430</v>
      </c>
      <c r="AE103" s="274" t="s">
        <v>431</v>
      </c>
      <c r="AF103" s="405" t="s">
        <v>432</v>
      </c>
      <c r="AG103" s="405" t="s">
        <v>433</v>
      </c>
      <c r="AH103" s="2022" t="s">
        <v>434</v>
      </c>
      <c r="AI103" s="1459"/>
      <c r="AJ103" s="1459"/>
      <c r="AK103" s="1000" t="s">
        <v>424</v>
      </c>
      <c r="AL103" s="1000" t="s">
        <v>425</v>
      </c>
      <c r="AM103" s="1000" cm="1" t="str">
        <f t="array" ref="AM103:AM103">AC103</f>
        <v>водопровод ул. Комсомольская, 50-114 :: г Калтан, ул. Комсомольская, 50-114</v>
      </c>
      <c r="AN103" s="1000" cm="1" t="str">
        <f t="array" ref="AN103:AN103">AD103</f>
        <v>концессионное соглашение</v>
      </c>
      <c r="AO103" s="1000" cm="1" t="str">
        <f t="array" ref="AO103:AO103">AE103</f>
        <v>акт приёма-передачи</v>
      </c>
      <c r="AP103" s="1000" cm="1" t="str">
        <f t="array" ref="AP103:AP103">AF103</f>
        <v>б/н</v>
      </c>
      <c r="AQ103" s="1000" cm="1" t="str">
        <f t="array" ref="AQ103:AQ103">AG103</f>
        <v>01.06.2026</v>
      </c>
      <c r="AR103" s="619"/>
      <c r="AS103" s="619" t="b">
        <v>1</v>
      </c>
    </row>
    <row s="1459" customFormat="1" customHeight="1" ht="23.25">
      <c r="A104" s="1459"/>
      <c r="B104" s="1459"/>
      <c r="C104" s="1459"/>
      <c r="D104" s="1459"/>
      <c r="E104" s="629">
        <v>15</v>
      </c>
      <c r="F104" s="104" cm="1" t="str">
        <f t="array" ref="F104:F104">OFFSET(G104,-1,-1)</f>
        <v>2</v>
      </c>
      <c r="G104" s="1459"/>
      <c r="H104" s="1459"/>
      <c r="I104" s="104" t="s">
        <v>609</v>
      </c>
      <c r="J104" s="1459"/>
      <c r="K104" s="104" t="s">
        <v>610</v>
      </c>
      <c r="L104" s="1459"/>
      <c r="M104" s="1459"/>
      <c r="N104" s="1459"/>
      <c r="O104" s="1459"/>
      <c r="P104" s="1459"/>
      <c r="Q104" s="1459"/>
      <c r="R104" s="1459"/>
      <c r="S104" s="1459"/>
      <c r="T104" s="1459"/>
      <c r="U104" s="465">
        <f>AND(F104&gt;0,AB104&gt;0)</f>
        <v>1</v>
      </c>
      <c r="V104" s="1459"/>
      <c r="W104" s="1459"/>
      <c r="X104" s="717"/>
      <c r="Y104" s="1459"/>
      <c r="Z104" s="1459"/>
      <c r="AA104" s="662" t="s">
        <v>175</v>
      </c>
      <c r="AB104" s="88" t="s">
        <v>611</v>
      </c>
      <c r="AC104" s="274" t="str">
        <f>I104&amp;" :: "&amp;K104</f>
        <v>водопровод квартал № 2 (ввода на ж.д. ул. Комсомольская, 87, 89) :: г Калтан, ул. Комсомольская, 87, 89</v>
      </c>
      <c r="AD104" s="274" t="s">
        <v>430</v>
      </c>
      <c r="AE104" s="274" t="s">
        <v>431</v>
      </c>
      <c r="AF104" s="405" t="s">
        <v>432</v>
      </c>
      <c r="AG104" s="405" t="s">
        <v>433</v>
      </c>
      <c r="AH104" s="2022" t="s">
        <v>434</v>
      </c>
      <c r="AI104" s="1459"/>
      <c r="AJ104" s="1459"/>
      <c r="AK104" s="1000" t="s">
        <v>424</v>
      </c>
      <c r="AL104" s="1000" t="s">
        <v>425</v>
      </c>
      <c r="AM104" s="1000" cm="1" t="str">
        <f t="array" ref="AM104:AM104">AC104</f>
        <v>водопровод квартал № 2 (ввода на ж.д. ул. Комсомольская, 87, 89) :: г Калтан, ул. Комсомольская, 87, 89</v>
      </c>
      <c r="AN104" s="1000" cm="1" t="str">
        <f t="array" ref="AN104:AN104">AD104</f>
        <v>концессионное соглашение</v>
      </c>
      <c r="AO104" s="1000" cm="1" t="str">
        <f t="array" ref="AO104:AO104">AE104</f>
        <v>акт приёма-передачи</v>
      </c>
      <c r="AP104" s="1000" cm="1" t="str">
        <f t="array" ref="AP104:AP104">AF104</f>
        <v>б/н</v>
      </c>
      <c r="AQ104" s="1000" cm="1" t="str">
        <f t="array" ref="AQ104:AQ104">AG104</f>
        <v>01.06.2026</v>
      </c>
      <c r="AR104" s="619"/>
      <c r="AS104" s="619" t="b">
        <v>1</v>
      </c>
    </row>
    <row s="1459" customFormat="1" customHeight="1" ht="23.25">
      <c r="A105" s="1459"/>
      <c r="B105" s="1459"/>
      <c r="C105" s="1459"/>
      <c r="D105" s="1459"/>
      <c r="E105" s="629">
        <v>15</v>
      </c>
      <c r="F105" s="104" cm="1" t="str">
        <f t="array" ref="F105:F105">OFFSET(G105,-1,-1)</f>
        <v>2</v>
      </c>
      <c r="G105" s="1459"/>
      <c r="H105" s="1459"/>
      <c r="I105" s="104" t="s">
        <v>612</v>
      </c>
      <c r="J105" s="1459"/>
      <c r="K105" s="104" t="s">
        <v>613</v>
      </c>
      <c r="L105" s="1459"/>
      <c r="M105" s="1459"/>
      <c r="N105" s="1459"/>
      <c r="O105" s="1459"/>
      <c r="P105" s="1459"/>
      <c r="Q105" s="1459"/>
      <c r="R105" s="1459"/>
      <c r="S105" s="1459"/>
      <c r="T105" s="1459"/>
      <c r="U105" s="465">
        <f>AND(F105&gt;0,AB105&gt;0)</f>
        <v>1</v>
      </c>
      <c r="V105" s="1459"/>
      <c r="W105" s="1459"/>
      <c r="X105" s="717"/>
      <c r="Y105" s="1459"/>
      <c r="Z105" s="1459"/>
      <c r="AA105" s="662" t="s">
        <v>175</v>
      </c>
      <c r="AB105" s="88" t="s">
        <v>614</v>
      </c>
      <c r="AC105" s="274" t="str">
        <f>I105&amp;" :: "&amp;K105</f>
        <v>водопровод квартал № 21 (ввода на ж.д. ул. Комсомольская, 25,21,19; пр. Мира, 2) :: г Калтан, ул. Комсомольская, пр. Мира, 25,21,19;  2</v>
      </c>
      <c r="AD105" s="274" t="s">
        <v>430</v>
      </c>
      <c r="AE105" s="274" t="s">
        <v>431</v>
      </c>
      <c r="AF105" s="405" t="s">
        <v>432</v>
      </c>
      <c r="AG105" s="405" t="s">
        <v>433</v>
      </c>
      <c r="AH105" s="2022" t="s">
        <v>434</v>
      </c>
      <c r="AI105" s="1459"/>
      <c r="AJ105" s="1459"/>
      <c r="AK105" s="1000" t="s">
        <v>424</v>
      </c>
      <c r="AL105" s="1000" t="s">
        <v>425</v>
      </c>
      <c r="AM105" s="1000" cm="1" t="str">
        <f t="array" ref="AM105:AM105">AC105</f>
        <v>водопровод квартал № 21 (ввода на ж.д. ул. Комсомольская, 25,21,19; пр. Мира, 2) :: г Калтан, ул. Комсомольская, пр. Мира, 25,21,19;  2</v>
      </c>
      <c r="AN105" s="1000" cm="1" t="str">
        <f t="array" ref="AN105:AN105">AD105</f>
        <v>концессионное соглашение</v>
      </c>
      <c r="AO105" s="1000" cm="1" t="str">
        <f t="array" ref="AO105:AO105">AE105</f>
        <v>акт приёма-передачи</v>
      </c>
      <c r="AP105" s="1000" cm="1" t="str">
        <f t="array" ref="AP105:AP105">AF105</f>
        <v>б/н</v>
      </c>
      <c r="AQ105" s="1000" cm="1" t="str">
        <f t="array" ref="AQ105:AQ105">AG105</f>
        <v>01.06.2026</v>
      </c>
      <c r="AR105" s="619"/>
      <c r="AS105" s="619" t="b">
        <v>1</v>
      </c>
    </row>
    <row s="1459" customFormat="1" customHeight="1" ht="23.25">
      <c r="A106" s="1459"/>
      <c r="B106" s="1459"/>
      <c r="C106" s="1459"/>
      <c r="D106" s="1459"/>
      <c r="E106" s="629">
        <v>15</v>
      </c>
      <c r="F106" s="104" cm="1" t="str">
        <f t="array" ref="F106:F106">OFFSET(G106,-1,-1)</f>
        <v>2</v>
      </c>
      <c r="G106" s="1459"/>
      <c r="H106" s="1459"/>
      <c r="I106" s="104" t="s">
        <v>615</v>
      </c>
      <c r="J106" s="1459"/>
      <c r="K106" s="104" t="s">
        <v>616</v>
      </c>
      <c r="L106" s="1459"/>
      <c r="M106" s="1459"/>
      <c r="N106" s="1459"/>
      <c r="O106" s="1459"/>
      <c r="P106" s="1459"/>
      <c r="Q106" s="1459"/>
      <c r="R106" s="1459"/>
      <c r="S106" s="1459"/>
      <c r="T106" s="1459"/>
      <c r="U106" s="465">
        <f>AND(F106&gt;0,AB106&gt;0)</f>
        <v>1</v>
      </c>
      <c r="V106" s="1459"/>
      <c r="W106" s="1459"/>
      <c r="X106" s="717"/>
      <c r="Y106" s="1459"/>
      <c r="Z106" s="1459"/>
      <c r="AA106" s="662" t="s">
        <v>175</v>
      </c>
      <c r="AB106" s="88" t="s">
        <v>617</v>
      </c>
      <c r="AC106" s="274" t="str">
        <f>I106&amp;" :: "&amp;K106</f>
        <v>водопровод квартал № 15 (ввода на ж.д. (ввода на ж.д. пр. Мира 37, 33, 35, 37а, 37б, 33а, 33б, 35а; ул. Горького, 22, 24а) :: г Калтан, ул. Комсомольская, пр. Мира, 49,51,45,41; 14, 16, 18, 20, 22, 24</v>
      </c>
      <c r="AD106" s="274" t="s">
        <v>430</v>
      </c>
      <c r="AE106" s="274" t="s">
        <v>431</v>
      </c>
      <c r="AF106" s="405" t="s">
        <v>432</v>
      </c>
      <c r="AG106" s="405" t="s">
        <v>433</v>
      </c>
      <c r="AH106" s="2022" t="s">
        <v>434</v>
      </c>
      <c r="AI106" s="1459"/>
      <c r="AJ106" s="1459"/>
      <c r="AK106" s="1000" t="s">
        <v>424</v>
      </c>
      <c r="AL106" s="1000" t="s">
        <v>425</v>
      </c>
      <c r="AM106" s="1000" cm="1" t="str">
        <f t="array" ref="AM106:AM106">AC106</f>
        <v>водопровод квартал № 15 (ввода на ж.д. (ввода на ж.д. пр. Мира 37, 33, 35, 37а, 37б, 33а, 33б, 35а; ул. Горького, 22, 24а) :: г Калтан, ул. Комсомольская, пр. Мира, 49,51,45,41; 14, 16, 18, 20, 22, 24</v>
      </c>
      <c r="AN106" s="1000" cm="1" t="str">
        <f t="array" ref="AN106:AN106">AD106</f>
        <v>концессионное соглашение</v>
      </c>
      <c r="AO106" s="1000" cm="1" t="str">
        <f t="array" ref="AO106:AO106">AE106</f>
        <v>акт приёма-передачи</v>
      </c>
      <c r="AP106" s="1000" cm="1" t="str">
        <f t="array" ref="AP106:AP106">AF106</f>
        <v>б/н</v>
      </c>
      <c r="AQ106" s="1000" cm="1" t="str">
        <f t="array" ref="AQ106:AQ106">AG106</f>
        <v>01.06.2026</v>
      </c>
      <c r="AR106" s="619"/>
      <c r="AS106" s="619" t="b">
        <v>1</v>
      </c>
    </row>
    <row s="1459" customFormat="1" customHeight="1" ht="23.25">
      <c r="A107" s="1459"/>
      <c r="B107" s="1459"/>
      <c r="C107" s="1459"/>
      <c r="D107" s="1459"/>
      <c r="E107" s="629">
        <v>15</v>
      </c>
      <c r="F107" s="104" cm="1" t="str">
        <f t="array" ref="F107:F107">OFFSET(G107,-1,-1)</f>
        <v>2</v>
      </c>
      <c r="G107" s="1459"/>
      <c r="H107" s="1459"/>
      <c r="I107" s="104" t="s">
        <v>618</v>
      </c>
      <c r="J107" s="1459"/>
      <c r="K107" s="104" t="s">
        <v>619</v>
      </c>
      <c r="L107" s="1459"/>
      <c r="M107" s="1459"/>
      <c r="N107" s="1459"/>
      <c r="O107" s="1459"/>
      <c r="P107" s="1459"/>
      <c r="Q107" s="1459"/>
      <c r="R107" s="1459"/>
      <c r="S107" s="1459"/>
      <c r="T107" s="1459"/>
      <c r="U107" s="465">
        <f>AND(F107&gt;0,AB107&gt;0)</f>
        <v>1</v>
      </c>
      <c r="V107" s="1459"/>
      <c r="W107" s="1459"/>
      <c r="X107" s="717"/>
      <c r="Y107" s="1459"/>
      <c r="Z107" s="1459"/>
      <c r="AA107" s="662" t="s">
        <v>175</v>
      </c>
      <c r="AB107" s="88" t="s">
        <v>620</v>
      </c>
      <c r="AC107" s="274" t="str">
        <f>I107&amp;" :: "&amp;K107</f>
        <v>водопровод квартал № 4 (ввода на ж.д. ул. Комсомольская, 71, 73; пр. Мира, 52, 54, 56,48,46) :: г Калтан, ул. Комсомольская, пр. Мира, 71, 73, 52, 54, 56, 48, 46</v>
      </c>
      <c r="AD107" s="274" t="s">
        <v>430</v>
      </c>
      <c r="AE107" s="274" t="s">
        <v>431</v>
      </c>
      <c r="AF107" s="405" t="s">
        <v>432</v>
      </c>
      <c r="AG107" s="405" t="s">
        <v>433</v>
      </c>
      <c r="AH107" s="2022" t="s">
        <v>434</v>
      </c>
      <c r="AI107" s="1459"/>
      <c r="AJ107" s="1459"/>
      <c r="AK107" s="1000" t="s">
        <v>424</v>
      </c>
      <c r="AL107" s="1000" t="s">
        <v>425</v>
      </c>
      <c r="AM107" s="1000" cm="1" t="str">
        <f t="array" ref="AM107:AM107">AC107</f>
        <v>водопровод квартал № 4 (ввода на ж.д. ул. Комсомольская, 71, 73; пр. Мира, 52, 54, 56,48,46) :: г Калтан, ул. Комсомольская, пр. Мира, 71, 73, 52, 54, 56, 48, 46</v>
      </c>
      <c r="AN107" s="1000" cm="1" t="str">
        <f t="array" ref="AN107:AN107">AD107</f>
        <v>концессионное соглашение</v>
      </c>
      <c r="AO107" s="1000" cm="1" t="str">
        <f t="array" ref="AO107:AO107">AE107</f>
        <v>акт приёма-передачи</v>
      </c>
      <c r="AP107" s="1000" cm="1" t="str">
        <f t="array" ref="AP107:AP107">AF107</f>
        <v>б/н</v>
      </c>
      <c r="AQ107" s="1000" cm="1" t="str">
        <f t="array" ref="AQ107:AQ107">AG107</f>
        <v>01.06.2026</v>
      </c>
      <c r="AR107" s="619"/>
      <c r="AS107" s="619" t="b">
        <v>1</v>
      </c>
    </row>
    <row s="1459" customFormat="1" customHeight="1" ht="23.25">
      <c r="A108" s="1459"/>
      <c r="B108" s="1459"/>
      <c r="C108" s="1459"/>
      <c r="D108" s="1459"/>
      <c r="E108" s="629">
        <v>15</v>
      </c>
      <c r="F108" s="104" cm="1" t="str">
        <f t="array" ref="F108:F108">OFFSET(G108,-1,-1)</f>
        <v>2</v>
      </c>
      <c r="G108" s="1459"/>
      <c r="H108" s="1459"/>
      <c r="I108" s="104" t="s">
        <v>621</v>
      </c>
      <c r="J108" s="1459"/>
      <c r="K108" s="104" t="s">
        <v>622</v>
      </c>
      <c r="L108" s="1459"/>
      <c r="M108" s="1459"/>
      <c r="N108" s="1459"/>
      <c r="O108" s="1459"/>
      <c r="P108" s="1459"/>
      <c r="Q108" s="1459"/>
      <c r="R108" s="1459"/>
      <c r="S108" s="1459"/>
      <c r="T108" s="1459"/>
      <c r="U108" s="465">
        <f>AND(F108&gt;0,AB108&gt;0)</f>
        <v>1</v>
      </c>
      <c r="V108" s="1459"/>
      <c r="W108" s="1459"/>
      <c r="X108" s="717"/>
      <c r="Y108" s="1459"/>
      <c r="Z108" s="1459"/>
      <c r="AA108" s="662" t="s">
        <v>175</v>
      </c>
      <c r="AB108" s="88" t="s">
        <v>623</v>
      </c>
      <c r="AC108" s="274" t="str">
        <f>I108&amp;" :: "&amp;K108</f>
        <v>водопровод ул. Космодемьянской :: г Калтан, ул. Космодемьянской, 5-42</v>
      </c>
      <c r="AD108" s="274" t="s">
        <v>430</v>
      </c>
      <c r="AE108" s="274" t="s">
        <v>431</v>
      </c>
      <c r="AF108" s="405" t="s">
        <v>432</v>
      </c>
      <c r="AG108" s="405" t="s">
        <v>433</v>
      </c>
      <c r="AH108" s="2022" t="s">
        <v>434</v>
      </c>
      <c r="AI108" s="1459"/>
      <c r="AJ108" s="1459"/>
      <c r="AK108" s="1000" t="s">
        <v>424</v>
      </c>
      <c r="AL108" s="1000" t="s">
        <v>425</v>
      </c>
      <c r="AM108" s="1000" cm="1" t="str">
        <f t="array" ref="AM108:AM108">AC108</f>
        <v>водопровод ул. Космодемьянской :: г Калтан, ул. Космодемьянской, 5-42</v>
      </c>
      <c r="AN108" s="1000" cm="1" t="str">
        <f t="array" ref="AN108:AN108">AD108</f>
        <v>концессионное соглашение</v>
      </c>
      <c r="AO108" s="1000" cm="1" t="str">
        <f t="array" ref="AO108:AO108">AE108</f>
        <v>акт приёма-передачи</v>
      </c>
      <c r="AP108" s="1000" cm="1" t="str">
        <f t="array" ref="AP108:AP108">AF108</f>
        <v>б/н</v>
      </c>
      <c r="AQ108" s="1000" cm="1" t="str">
        <f t="array" ref="AQ108:AQ108">AG108</f>
        <v>01.06.2026</v>
      </c>
      <c r="AR108" s="619"/>
      <c r="AS108" s="619" t="b">
        <v>1</v>
      </c>
    </row>
    <row s="1459" customFormat="1" customHeight="1" ht="23.25">
      <c r="A109" s="1459"/>
      <c r="B109" s="1459"/>
      <c r="C109" s="1459"/>
      <c r="D109" s="1459"/>
      <c r="E109" s="629">
        <v>15</v>
      </c>
      <c r="F109" s="104" cm="1" t="str">
        <f t="array" ref="F109:F109">OFFSET(G109,-1,-1)</f>
        <v>2</v>
      </c>
      <c r="G109" s="1459"/>
      <c r="H109" s="1459"/>
      <c r="I109" s="104" t="s">
        <v>624</v>
      </c>
      <c r="J109" s="1459"/>
      <c r="K109" s="104" t="s">
        <v>625</v>
      </c>
      <c r="L109" s="1459"/>
      <c r="M109" s="1459"/>
      <c r="N109" s="1459"/>
      <c r="O109" s="1459"/>
      <c r="P109" s="1459"/>
      <c r="Q109" s="1459"/>
      <c r="R109" s="1459"/>
      <c r="S109" s="1459"/>
      <c r="T109" s="1459"/>
      <c r="U109" s="465">
        <f>AND(F109&gt;0,AB109&gt;0)</f>
        <v>1</v>
      </c>
      <c r="V109" s="1459"/>
      <c r="W109" s="1459"/>
      <c r="X109" s="717"/>
      <c r="Y109" s="1459"/>
      <c r="Z109" s="1459"/>
      <c r="AA109" s="662" t="s">
        <v>175</v>
      </c>
      <c r="AB109" s="88" t="s">
        <v>626</v>
      </c>
      <c r="AC109" s="274" t="str">
        <f>I109&amp;" :: "&amp;K109</f>
        <v>водопровод ул. Кошевого :: г Калтан, ул. Кошевого, ул. Покрышкина, 55-ул. Кошевого, 63</v>
      </c>
      <c r="AD109" s="274" t="s">
        <v>430</v>
      </c>
      <c r="AE109" s="274" t="s">
        <v>431</v>
      </c>
      <c r="AF109" s="405" t="s">
        <v>432</v>
      </c>
      <c r="AG109" s="405" t="s">
        <v>433</v>
      </c>
      <c r="AH109" s="2022" t="s">
        <v>434</v>
      </c>
      <c r="AI109" s="1459"/>
      <c r="AJ109" s="1459"/>
      <c r="AK109" s="1000" t="s">
        <v>424</v>
      </c>
      <c r="AL109" s="1000" t="s">
        <v>425</v>
      </c>
      <c r="AM109" s="1000" cm="1" t="str">
        <f t="array" ref="AM109:AM109">AC109</f>
        <v>водопровод ул. Кошевого :: г Калтан, ул. Кошевого, ул. Покрышкина, 55-ул. Кошевого, 63</v>
      </c>
      <c r="AN109" s="1000" cm="1" t="str">
        <f t="array" ref="AN109:AN109">AD109</f>
        <v>концессионное соглашение</v>
      </c>
      <c r="AO109" s="1000" cm="1" t="str">
        <f t="array" ref="AO109:AO109">AE109</f>
        <v>акт приёма-передачи</v>
      </c>
      <c r="AP109" s="1000" cm="1" t="str">
        <f t="array" ref="AP109:AP109">AF109</f>
        <v>б/н</v>
      </c>
      <c r="AQ109" s="1000" cm="1" t="str">
        <f t="array" ref="AQ109:AQ109">AG109</f>
        <v>01.06.2026</v>
      </c>
      <c r="AR109" s="619"/>
      <c r="AS109" s="619" t="b">
        <v>1</v>
      </c>
    </row>
    <row s="1459" customFormat="1" customHeight="1" ht="23.25">
      <c r="A110" s="1459"/>
      <c r="B110" s="1459"/>
      <c r="C110" s="1459"/>
      <c r="D110" s="1459"/>
      <c r="E110" s="629">
        <v>15</v>
      </c>
      <c r="F110" s="104" cm="1" t="str">
        <f t="array" ref="F110:F110">OFFSET(G110,-1,-1)</f>
        <v>2</v>
      </c>
      <c r="G110" s="1459"/>
      <c r="H110" s="1459"/>
      <c r="I110" s="104" t="s">
        <v>627</v>
      </c>
      <c r="J110" s="1459"/>
      <c r="K110" s="104" t="s">
        <v>628</v>
      </c>
      <c r="L110" s="1459"/>
      <c r="M110" s="1459"/>
      <c r="N110" s="1459"/>
      <c r="O110" s="1459"/>
      <c r="P110" s="1459"/>
      <c r="Q110" s="1459"/>
      <c r="R110" s="1459"/>
      <c r="S110" s="1459"/>
      <c r="T110" s="1459"/>
      <c r="U110" s="465">
        <f>AND(F110&gt;0,AB110&gt;0)</f>
        <v>1</v>
      </c>
      <c r="V110" s="1459"/>
      <c r="W110" s="1459"/>
      <c r="X110" s="717"/>
      <c r="Y110" s="1459"/>
      <c r="Z110" s="1459"/>
      <c r="AA110" s="662" t="s">
        <v>175</v>
      </c>
      <c r="AB110" s="88" t="s">
        <v>629</v>
      </c>
      <c r="AC110" s="274" t="str">
        <f>I110&amp;" :: "&amp;K110</f>
        <v>водопровод ул. Курская :: г Калтан, ул. Курская, -</v>
      </c>
      <c r="AD110" s="274" t="s">
        <v>430</v>
      </c>
      <c r="AE110" s="274" t="s">
        <v>431</v>
      </c>
      <c r="AF110" s="405" t="s">
        <v>432</v>
      </c>
      <c r="AG110" s="405" t="s">
        <v>433</v>
      </c>
      <c r="AH110" s="2022" t="s">
        <v>434</v>
      </c>
      <c r="AI110" s="1459"/>
      <c r="AJ110" s="1459"/>
      <c r="AK110" s="1000" t="s">
        <v>424</v>
      </c>
      <c r="AL110" s="1000" t="s">
        <v>425</v>
      </c>
      <c r="AM110" s="1000" cm="1" t="str">
        <f t="array" ref="AM110:AM110">AC110</f>
        <v>водопровод ул. Курская :: г Калтан, ул. Курская, -</v>
      </c>
      <c r="AN110" s="1000" cm="1" t="str">
        <f t="array" ref="AN110:AN110">AD110</f>
        <v>концессионное соглашение</v>
      </c>
      <c r="AO110" s="1000" cm="1" t="str">
        <f t="array" ref="AO110:AO110">AE110</f>
        <v>акт приёма-передачи</v>
      </c>
      <c r="AP110" s="1000" cm="1" t="str">
        <f t="array" ref="AP110:AP110">AF110</f>
        <v>б/н</v>
      </c>
      <c r="AQ110" s="1000" cm="1" t="str">
        <f t="array" ref="AQ110:AQ110">AG110</f>
        <v>01.06.2026</v>
      </c>
      <c r="AR110" s="619"/>
      <c r="AS110" s="619" t="b">
        <v>1</v>
      </c>
    </row>
    <row s="1459" customFormat="1" customHeight="1" ht="23.25">
      <c r="A111" s="1459"/>
      <c r="B111" s="1459"/>
      <c r="C111" s="1459"/>
      <c r="D111" s="1459"/>
      <c r="E111" s="629">
        <v>15</v>
      </c>
      <c r="F111" s="104" cm="1" t="str">
        <f t="array" ref="F111:F111">OFFSET(G111,-1,-1)</f>
        <v>2</v>
      </c>
      <c r="G111" s="1459"/>
      <c r="H111" s="1459"/>
      <c r="I111" s="104" t="s">
        <v>630</v>
      </c>
      <c r="J111" s="1459"/>
      <c r="K111" s="104" t="s">
        <v>631</v>
      </c>
      <c r="L111" s="1459"/>
      <c r="M111" s="1459"/>
      <c r="N111" s="1459"/>
      <c r="O111" s="1459"/>
      <c r="P111" s="1459"/>
      <c r="Q111" s="1459"/>
      <c r="R111" s="1459"/>
      <c r="S111" s="1459"/>
      <c r="T111" s="1459"/>
      <c r="U111" s="465">
        <f>AND(F111&gt;0,AB111&gt;0)</f>
        <v>1</v>
      </c>
      <c r="V111" s="1459"/>
      <c r="W111" s="1459"/>
      <c r="X111" s="717"/>
      <c r="Y111" s="1459"/>
      <c r="Z111" s="1459"/>
      <c r="AA111" s="662" t="s">
        <v>175</v>
      </c>
      <c r="AB111" s="88" t="s">
        <v>632</v>
      </c>
      <c r="AC111" s="274" t="str">
        <f>I111&amp;" :: "&amp;K111</f>
        <v>водопровод ул. Лазурная :: г Калтан, ул. Лазурная, ул. Лазурная, 6-ул. Невского, 30</v>
      </c>
      <c r="AD111" s="274" t="s">
        <v>430</v>
      </c>
      <c r="AE111" s="274" t="s">
        <v>431</v>
      </c>
      <c r="AF111" s="405" t="s">
        <v>432</v>
      </c>
      <c r="AG111" s="405" t="s">
        <v>433</v>
      </c>
      <c r="AH111" s="2022" t="s">
        <v>434</v>
      </c>
      <c r="AI111" s="1459"/>
      <c r="AJ111" s="1459"/>
      <c r="AK111" s="1000" t="s">
        <v>424</v>
      </c>
      <c r="AL111" s="1000" t="s">
        <v>425</v>
      </c>
      <c r="AM111" s="1000" cm="1" t="str">
        <f t="array" ref="AM111:AM111">AC111</f>
        <v>водопровод ул. Лазурная :: г Калтан, ул. Лазурная, ул. Лазурная, 6-ул. Невского, 30</v>
      </c>
      <c r="AN111" s="1000" cm="1" t="str">
        <f t="array" ref="AN111:AN111">AD111</f>
        <v>концессионное соглашение</v>
      </c>
      <c r="AO111" s="1000" cm="1" t="str">
        <f t="array" ref="AO111:AO111">AE111</f>
        <v>акт приёма-передачи</v>
      </c>
      <c r="AP111" s="1000" cm="1" t="str">
        <f t="array" ref="AP111:AP111">AF111</f>
        <v>б/н</v>
      </c>
      <c r="AQ111" s="1000" cm="1" t="str">
        <f t="array" ref="AQ111:AQ111">AG111</f>
        <v>01.06.2026</v>
      </c>
      <c r="AR111" s="619"/>
      <c r="AS111" s="619" t="b">
        <v>1</v>
      </c>
    </row>
    <row s="1459" customFormat="1" customHeight="1" ht="23.25">
      <c r="A112" s="1459"/>
      <c r="B112" s="1459"/>
      <c r="C112" s="1459"/>
      <c r="D112" s="1459"/>
      <c r="E112" s="629">
        <v>15</v>
      </c>
      <c r="F112" s="104" cm="1" t="str">
        <f t="array" ref="F112:F112">OFFSET(G112,-1,-1)</f>
        <v>2</v>
      </c>
      <c r="G112" s="1459"/>
      <c r="H112" s="1459"/>
      <c r="I112" s="104" t="s">
        <v>633</v>
      </c>
      <c r="J112" s="1459"/>
      <c r="K112" s="104" t="s">
        <v>634</v>
      </c>
      <c r="L112" s="1459"/>
      <c r="M112" s="1459"/>
      <c r="N112" s="1459"/>
      <c r="O112" s="1459"/>
      <c r="P112" s="1459"/>
      <c r="Q112" s="1459"/>
      <c r="R112" s="1459"/>
      <c r="S112" s="1459"/>
      <c r="T112" s="1459"/>
      <c r="U112" s="465">
        <f>AND(F112&gt;0,AB112&gt;0)</f>
        <v>1</v>
      </c>
      <c r="V112" s="1459"/>
      <c r="W112" s="1459"/>
      <c r="X112" s="717"/>
      <c r="Y112" s="1459"/>
      <c r="Z112" s="1459"/>
      <c r="AA112" s="662" t="s">
        <v>175</v>
      </c>
      <c r="AB112" s="88" t="s">
        <v>635</v>
      </c>
      <c r="AC112" s="274" t="str">
        <f>I112&amp;" :: "&amp;K112</f>
        <v>водопровод от моста через реку Кондома до ОГПН-12 и РЧВ ул. Маяковского :: г Калтан, ул. Маяковского, -</v>
      </c>
      <c r="AD112" s="274" t="s">
        <v>430</v>
      </c>
      <c r="AE112" s="274" t="s">
        <v>431</v>
      </c>
      <c r="AF112" s="405" t="s">
        <v>432</v>
      </c>
      <c r="AG112" s="405" t="s">
        <v>433</v>
      </c>
      <c r="AH112" s="2022" t="s">
        <v>434</v>
      </c>
      <c r="AI112" s="1459"/>
      <c r="AJ112" s="1459"/>
      <c r="AK112" s="1000" t="s">
        <v>424</v>
      </c>
      <c r="AL112" s="1000" t="s">
        <v>425</v>
      </c>
      <c r="AM112" s="1000" cm="1" t="str">
        <f t="array" ref="AM112:AM112">AC112</f>
        <v>водопровод от моста через реку Кондома до ОГПН-12 и РЧВ ул. Маяковского :: г Калтан, ул. Маяковского, -</v>
      </c>
      <c r="AN112" s="1000" cm="1" t="str">
        <f t="array" ref="AN112:AN112">AD112</f>
        <v>концессионное соглашение</v>
      </c>
      <c r="AO112" s="1000" cm="1" t="str">
        <f t="array" ref="AO112:AO112">AE112</f>
        <v>акт приёма-передачи</v>
      </c>
      <c r="AP112" s="1000" cm="1" t="str">
        <f t="array" ref="AP112:AP112">AF112</f>
        <v>б/н</v>
      </c>
      <c r="AQ112" s="1000" cm="1" t="str">
        <f t="array" ref="AQ112:AQ112">AG112</f>
        <v>01.06.2026</v>
      </c>
      <c r="AR112" s="619"/>
      <c r="AS112" s="619" t="b">
        <v>1</v>
      </c>
    </row>
    <row s="1459" customFormat="1" customHeight="1" ht="23.25">
      <c r="A113" s="1459"/>
      <c r="B113" s="1459"/>
      <c r="C113" s="1459"/>
      <c r="D113" s="1459"/>
      <c r="E113" s="629">
        <v>15</v>
      </c>
      <c r="F113" s="104" cm="1" t="str">
        <f t="array" ref="F113:F113">OFFSET(G113,-1,-1)</f>
        <v>2</v>
      </c>
      <c r="G113" s="1459"/>
      <c r="H113" s="1459"/>
      <c r="I113" s="104" t="s">
        <v>636</v>
      </c>
      <c r="J113" s="1459"/>
      <c r="K113" s="104" t="s">
        <v>637</v>
      </c>
      <c r="L113" s="1459"/>
      <c r="M113" s="1459"/>
      <c r="N113" s="1459"/>
      <c r="O113" s="1459"/>
      <c r="P113" s="1459"/>
      <c r="Q113" s="1459"/>
      <c r="R113" s="1459"/>
      <c r="S113" s="1459"/>
      <c r="T113" s="1459"/>
      <c r="U113" s="465">
        <f>AND(F113&gt;0,AB113&gt;0)</f>
        <v>1</v>
      </c>
      <c r="V113" s="1459"/>
      <c r="W113" s="1459"/>
      <c r="X113" s="717"/>
      <c r="Y113" s="1459"/>
      <c r="Z113" s="1459"/>
      <c r="AA113" s="662" t="s">
        <v>175</v>
      </c>
      <c r="AB113" s="88" t="s">
        <v>638</v>
      </c>
      <c r="AC113" s="274" t="str">
        <f>I113&amp;" :: "&amp;K113</f>
        <v>водопровод ул. Минская :: г Калтан, ул. Минская, -</v>
      </c>
      <c r="AD113" s="274" t="s">
        <v>430</v>
      </c>
      <c r="AE113" s="274" t="s">
        <v>431</v>
      </c>
      <c r="AF113" s="405" t="s">
        <v>432</v>
      </c>
      <c r="AG113" s="405" t="s">
        <v>433</v>
      </c>
      <c r="AH113" s="2022" t="s">
        <v>434</v>
      </c>
      <c r="AI113" s="1459"/>
      <c r="AJ113" s="1459"/>
      <c r="AK113" s="1000" t="s">
        <v>424</v>
      </c>
      <c r="AL113" s="1000" t="s">
        <v>425</v>
      </c>
      <c r="AM113" s="1000" cm="1" t="str">
        <f t="array" ref="AM113:AM113">AC113</f>
        <v>водопровод ул. Минская :: г Калтан, ул. Минская, -</v>
      </c>
      <c r="AN113" s="1000" cm="1" t="str">
        <f t="array" ref="AN113:AN113">AD113</f>
        <v>концессионное соглашение</v>
      </c>
      <c r="AO113" s="1000" cm="1" t="str">
        <f t="array" ref="AO113:AO113">AE113</f>
        <v>акт приёма-передачи</v>
      </c>
      <c r="AP113" s="1000" cm="1" t="str">
        <f t="array" ref="AP113:AP113">AF113</f>
        <v>б/н</v>
      </c>
      <c r="AQ113" s="1000" cm="1" t="str">
        <f t="array" ref="AQ113:AQ113">AG113</f>
        <v>01.06.2026</v>
      </c>
      <c r="AR113" s="619"/>
      <c r="AS113" s="619" t="b">
        <v>1</v>
      </c>
    </row>
    <row s="1459" customFormat="1" customHeight="1" ht="23.25">
      <c r="A114" s="1459"/>
      <c r="B114" s="1459"/>
      <c r="C114" s="1459"/>
      <c r="D114" s="1459"/>
      <c r="E114" s="629">
        <v>15</v>
      </c>
      <c r="F114" s="104" cm="1" t="str">
        <f t="array" ref="F114:F114">OFFSET(G114,-1,-1)</f>
        <v>2</v>
      </c>
      <c r="G114" s="1459"/>
      <c r="H114" s="1459"/>
      <c r="I114" s="104" t="s">
        <v>639</v>
      </c>
      <c r="J114" s="1459"/>
      <c r="K114" s="104" t="s">
        <v>640</v>
      </c>
      <c r="L114" s="1459"/>
      <c r="M114" s="1459"/>
      <c r="N114" s="1459"/>
      <c r="O114" s="1459"/>
      <c r="P114" s="1459"/>
      <c r="Q114" s="1459"/>
      <c r="R114" s="1459"/>
      <c r="S114" s="1459"/>
      <c r="T114" s="1459"/>
      <c r="U114" s="465">
        <f>AND(F114&gt;0,AB114&gt;0)</f>
        <v>1</v>
      </c>
      <c r="V114" s="1459"/>
      <c r="W114" s="1459"/>
      <c r="X114" s="717"/>
      <c r="Y114" s="1459"/>
      <c r="Z114" s="1459"/>
      <c r="AA114" s="662" t="s">
        <v>175</v>
      </c>
      <c r="AB114" s="88" t="s">
        <v>641</v>
      </c>
      <c r="AC114" s="274" t="str">
        <f>I114&amp;" :: "&amp;K114</f>
        <v>водопровод ул. Мичурина :: г Калтан, ул. Мичурина, 1-45</v>
      </c>
      <c r="AD114" s="274" t="s">
        <v>430</v>
      </c>
      <c r="AE114" s="274" t="s">
        <v>431</v>
      </c>
      <c r="AF114" s="405" t="s">
        <v>432</v>
      </c>
      <c r="AG114" s="405" t="s">
        <v>433</v>
      </c>
      <c r="AH114" s="2022" t="s">
        <v>434</v>
      </c>
      <c r="AI114" s="1459"/>
      <c r="AJ114" s="1459"/>
      <c r="AK114" s="1000" t="s">
        <v>424</v>
      </c>
      <c r="AL114" s="1000" t="s">
        <v>425</v>
      </c>
      <c r="AM114" s="1000" cm="1" t="str">
        <f t="array" ref="AM114:AM114">AC114</f>
        <v>водопровод ул. Мичурина :: г Калтан, ул. Мичурина, 1-45</v>
      </c>
      <c r="AN114" s="1000" cm="1" t="str">
        <f t="array" ref="AN114:AN114">AD114</f>
        <v>концессионное соглашение</v>
      </c>
      <c r="AO114" s="1000" cm="1" t="str">
        <f t="array" ref="AO114:AO114">AE114</f>
        <v>акт приёма-передачи</v>
      </c>
      <c r="AP114" s="1000" cm="1" t="str">
        <f t="array" ref="AP114:AP114">AF114</f>
        <v>б/н</v>
      </c>
      <c r="AQ114" s="1000" cm="1" t="str">
        <f t="array" ref="AQ114:AQ114">AG114</f>
        <v>01.06.2026</v>
      </c>
      <c r="AR114" s="619"/>
      <c r="AS114" s="619" t="b">
        <v>1</v>
      </c>
    </row>
    <row s="1459" customFormat="1" customHeight="1" ht="23.25">
      <c r="A115" s="1459"/>
      <c r="B115" s="1459"/>
      <c r="C115" s="1459"/>
      <c r="D115" s="1459"/>
      <c r="E115" s="629">
        <v>15</v>
      </c>
      <c r="F115" s="104" cm="1" t="str">
        <f t="array" ref="F115:F115">OFFSET(G115,-1,-1)</f>
        <v>2</v>
      </c>
      <c r="G115" s="1459"/>
      <c r="H115" s="1459"/>
      <c r="I115" s="104" t="s">
        <v>642</v>
      </c>
      <c r="J115" s="1459"/>
      <c r="K115" s="104" t="s">
        <v>643</v>
      </c>
      <c r="L115" s="1459"/>
      <c r="M115" s="1459"/>
      <c r="N115" s="1459"/>
      <c r="O115" s="1459"/>
      <c r="P115" s="1459"/>
      <c r="Q115" s="1459"/>
      <c r="R115" s="1459"/>
      <c r="S115" s="1459"/>
      <c r="T115" s="1459"/>
      <c r="U115" s="465">
        <f>AND(F115&gt;0,AB115&gt;0)</f>
        <v>1</v>
      </c>
      <c r="V115" s="1459"/>
      <c r="W115" s="1459"/>
      <c r="X115" s="717"/>
      <c r="Y115" s="1459"/>
      <c r="Z115" s="1459"/>
      <c r="AA115" s="662" t="s">
        <v>175</v>
      </c>
      <c r="AB115" s="88" t="s">
        <v>644</v>
      </c>
      <c r="AC115" s="274" t="str">
        <f>I115&amp;" :: "&amp;K115</f>
        <v>Водопровод ул. Набережная :: г Калтан, ул. Набережная, 67-81</v>
      </c>
      <c r="AD115" s="274" t="s">
        <v>430</v>
      </c>
      <c r="AE115" s="274" t="s">
        <v>431</v>
      </c>
      <c r="AF115" s="405" t="s">
        <v>432</v>
      </c>
      <c r="AG115" s="405" t="s">
        <v>433</v>
      </c>
      <c r="AH115" s="2022" t="s">
        <v>434</v>
      </c>
      <c r="AI115" s="1459"/>
      <c r="AJ115" s="1459"/>
      <c r="AK115" s="1000" t="s">
        <v>424</v>
      </c>
      <c r="AL115" s="1000" t="s">
        <v>425</v>
      </c>
      <c r="AM115" s="1000" cm="1" t="str">
        <f t="array" ref="AM115:AM115">AC115</f>
        <v>Водопровод ул. Набережная :: г Калтан, ул. Набережная, 67-81</v>
      </c>
      <c r="AN115" s="1000" cm="1" t="str">
        <f t="array" ref="AN115:AN115">AD115</f>
        <v>концессионное соглашение</v>
      </c>
      <c r="AO115" s="1000" cm="1" t="str">
        <f t="array" ref="AO115:AO115">AE115</f>
        <v>акт приёма-передачи</v>
      </c>
      <c r="AP115" s="1000" cm="1" t="str">
        <f t="array" ref="AP115:AP115">AF115</f>
        <v>б/н</v>
      </c>
      <c r="AQ115" s="1000" cm="1" t="str">
        <f t="array" ref="AQ115:AQ115">AG115</f>
        <v>01.06.2026</v>
      </c>
      <c r="AR115" s="619"/>
      <c r="AS115" s="619" t="b">
        <v>1</v>
      </c>
    </row>
    <row s="1459" customFormat="1" customHeight="1" ht="23.25">
      <c r="A116" s="1459"/>
      <c r="B116" s="1459"/>
      <c r="C116" s="1459"/>
      <c r="D116" s="1459"/>
      <c r="E116" s="629">
        <v>15</v>
      </c>
      <c r="F116" s="104" cm="1" t="str">
        <f t="array" ref="F116:F116">OFFSET(G116,-1,-1)</f>
        <v>2</v>
      </c>
      <c r="G116" s="1459"/>
      <c r="H116" s="1459"/>
      <c r="I116" s="104" t="s">
        <v>645</v>
      </c>
      <c r="J116" s="1459"/>
      <c r="K116" s="104" t="s">
        <v>646</v>
      </c>
      <c r="L116" s="1459"/>
      <c r="M116" s="1459"/>
      <c r="N116" s="1459"/>
      <c r="O116" s="1459"/>
      <c r="P116" s="1459"/>
      <c r="Q116" s="1459"/>
      <c r="R116" s="1459"/>
      <c r="S116" s="1459"/>
      <c r="T116" s="1459"/>
      <c r="U116" s="465">
        <f>AND(F116&gt;0,AB116&gt;0)</f>
        <v>1</v>
      </c>
      <c r="V116" s="1459"/>
      <c r="W116" s="1459"/>
      <c r="X116" s="717"/>
      <c r="Y116" s="1459"/>
      <c r="Z116" s="1459"/>
      <c r="AA116" s="662" t="s">
        <v>175</v>
      </c>
      <c r="AB116" s="88" t="s">
        <v>647</v>
      </c>
      <c r="AC116" s="274" t="str">
        <f>I116&amp;" :: "&amp;K116</f>
        <v>водопровод ул. Нагорная :: г Калтан, ул. Нагорная, -</v>
      </c>
      <c r="AD116" s="274" t="s">
        <v>430</v>
      </c>
      <c r="AE116" s="274" t="s">
        <v>431</v>
      </c>
      <c r="AF116" s="405" t="s">
        <v>432</v>
      </c>
      <c r="AG116" s="405" t="s">
        <v>433</v>
      </c>
      <c r="AH116" s="2022" t="s">
        <v>434</v>
      </c>
      <c r="AI116" s="1459"/>
      <c r="AJ116" s="1459"/>
      <c r="AK116" s="1000" t="s">
        <v>424</v>
      </c>
      <c r="AL116" s="1000" t="s">
        <v>425</v>
      </c>
      <c r="AM116" s="1000" cm="1" t="str">
        <f t="array" ref="AM116:AM116">AC116</f>
        <v>водопровод ул. Нагорная :: г Калтан, ул. Нагорная, -</v>
      </c>
      <c r="AN116" s="1000" cm="1" t="str">
        <f t="array" ref="AN116:AN116">AD116</f>
        <v>концессионное соглашение</v>
      </c>
      <c r="AO116" s="1000" cm="1" t="str">
        <f t="array" ref="AO116:AO116">AE116</f>
        <v>акт приёма-передачи</v>
      </c>
      <c r="AP116" s="1000" cm="1" t="str">
        <f t="array" ref="AP116:AP116">AF116</f>
        <v>б/н</v>
      </c>
      <c r="AQ116" s="1000" cm="1" t="str">
        <f t="array" ref="AQ116:AQ116">AG116</f>
        <v>01.06.2026</v>
      </c>
      <c r="AR116" s="619"/>
      <c r="AS116" s="619" t="b">
        <v>1</v>
      </c>
    </row>
    <row s="1459" customFormat="1" customHeight="1" ht="23.25">
      <c r="A117" s="1459"/>
      <c r="B117" s="1459"/>
      <c r="C117" s="1459"/>
      <c r="D117" s="1459"/>
      <c r="E117" s="629">
        <v>15</v>
      </c>
      <c r="F117" s="104" cm="1" t="str">
        <f t="array" ref="F117:F117">OFFSET(G117,-1,-1)</f>
        <v>2</v>
      </c>
      <c r="G117" s="1459"/>
      <c r="H117" s="1459"/>
      <c r="I117" s="104" t="s">
        <v>648</v>
      </c>
      <c r="J117" s="1459"/>
      <c r="K117" s="104" t="s">
        <v>649</v>
      </c>
      <c r="L117" s="1459"/>
      <c r="M117" s="1459"/>
      <c r="N117" s="1459"/>
      <c r="O117" s="1459"/>
      <c r="P117" s="1459"/>
      <c r="Q117" s="1459"/>
      <c r="R117" s="1459"/>
      <c r="S117" s="1459"/>
      <c r="T117" s="1459"/>
      <c r="U117" s="465">
        <f>AND(F117&gt;0,AB117&gt;0)</f>
        <v>1</v>
      </c>
      <c r="V117" s="1459"/>
      <c r="W117" s="1459"/>
      <c r="X117" s="717"/>
      <c r="Y117" s="1459"/>
      <c r="Z117" s="1459"/>
      <c r="AA117" s="662" t="s">
        <v>175</v>
      </c>
      <c r="AB117" s="88" t="s">
        <v>650</v>
      </c>
      <c r="AC117" s="274" t="str">
        <f>I117&amp;" :: "&amp;K117</f>
        <v>водопровод ул. Невского :: г Калтан, ул. Невского, 15-68</v>
      </c>
      <c r="AD117" s="274" t="s">
        <v>430</v>
      </c>
      <c r="AE117" s="274" t="s">
        <v>431</v>
      </c>
      <c r="AF117" s="405" t="s">
        <v>432</v>
      </c>
      <c r="AG117" s="405" t="s">
        <v>433</v>
      </c>
      <c r="AH117" s="2022" t="s">
        <v>434</v>
      </c>
      <c r="AI117" s="1459"/>
      <c r="AJ117" s="1459"/>
      <c r="AK117" s="1000" t="s">
        <v>424</v>
      </c>
      <c r="AL117" s="1000" t="s">
        <v>425</v>
      </c>
      <c r="AM117" s="1000" cm="1" t="str">
        <f t="array" ref="AM117:AM117">AC117</f>
        <v>водопровод ул. Невского :: г Калтан, ул. Невского, 15-68</v>
      </c>
      <c r="AN117" s="1000" cm="1" t="str">
        <f t="array" ref="AN117:AN117">AD117</f>
        <v>концессионное соглашение</v>
      </c>
      <c r="AO117" s="1000" cm="1" t="str">
        <f t="array" ref="AO117:AO117">AE117</f>
        <v>акт приёма-передачи</v>
      </c>
      <c r="AP117" s="1000" cm="1" t="str">
        <f t="array" ref="AP117:AP117">AF117</f>
        <v>б/н</v>
      </c>
      <c r="AQ117" s="1000" cm="1" t="str">
        <f t="array" ref="AQ117:AQ117">AG117</f>
        <v>01.06.2026</v>
      </c>
      <c r="AR117" s="619"/>
      <c r="AS117" s="619" t="b">
        <v>1</v>
      </c>
    </row>
    <row s="1459" customFormat="1" customHeight="1" ht="23.25">
      <c r="A118" s="1459"/>
      <c r="B118" s="1459"/>
      <c r="C118" s="1459"/>
      <c r="D118" s="1459"/>
      <c r="E118" s="629">
        <v>15</v>
      </c>
      <c r="F118" s="104" cm="1" t="str">
        <f t="array" ref="F118:F118">OFFSET(G118,-1,-1)</f>
        <v>2</v>
      </c>
      <c r="G118" s="1459"/>
      <c r="H118" s="1459"/>
      <c r="I118" s="104" t="s">
        <v>651</v>
      </c>
      <c r="J118" s="1459"/>
      <c r="K118" s="104" t="s">
        <v>652</v>
      </c>
      <c r="L118" s="1459"/>
      <c r="M118" s="1459"/>
      <c r="N118" s="1459"/>
      <c r="O118" s="1459"/>
      <c r="P118" s="1459"/>
      <c r="Q118" s="1459"/>
      <c r="R118" s="1459"/>
      <c r="S118" s="1459"/>
      <c r="T118" s="1459"/>
      <c r="U118" s="465">
        <f>AND(F118&gt;0,AB118&gt;0)</f>
        <v>1</v>
      </c>
      <c r="V118" s="1459"/>
      <c r="W118" s="1459"/>
      <c r="X118" s="717"/>
      <c r="Y118" s="1459"/>
      <c r="Z118" s="1459"/>
      <c r="AA118" s="662" t="s">
        <v>175</v>
      </c>
      <c r="AB118" s="88" t="s">
        <v>653</v>
      </c>
      <c r="AC118" s="274" t="str">
        <f>I118&amp;" :: "&amp;K118</f>
        <v>водопровод ул. Новая :: г Калтан, ул. Новая, 1-18</v>
      </c>
      <c r="AD118" s="274" t="s">
        <v>430</v>
      </c>
      <c r="AE118" s="274" t="s">
        <v>431</v>
      </c>
      <c r="AF118" s="405" t="s">
        <v>432</v>
      </c>
      <c r="AG118" s="405" t="s">
        <v>433</v>
      </c>
      <c r="AH118" s="2022" t="s">
        <v>434</v>
      </c>
      <c r="AI118" s="1459"/>
      <c r="AJ118" s="1459"/>
      <c r="AK118" s="1000" t="s">
        <v>424</v>
      </c>
      <c r="AL118" s="1000" t="s">
        <v>425</v>
      </c>
      <c r="AM118" s="1000" cm="1" t="str">
        <f t="array" ref="AM118:AM118">AC118</f>
        <v>водопровод ул. Новая :: г Калтан, ул. Новая, 1-18</v>
      </c>
      <c r="AN118" s="1000" cm="1" t="str">
        <f t="array" ref="AN118:AN118">AD118</f>
        <v>концессионное соглашение</v>
      </c>
      <c r="AO118" s="1000" cm="1" t="str">
        <f t="array" ref="AO118:AO118">AE118</f>
        <v>акт приёма-передачи</v>
      </c>
      <c r="AP118" s="1000" cm="1" t="str">
        <f t="array" ref="AP118:AP118">AF118</f>
        <v>б/н</v>
      </c>
      <c r="AQ118" s="1000" cm="1" t="str">
        <f t="array" ref="AQ118:AQ118">AG118</f>
        <v>01.06.2026</v>
      </c>
      <c r="AR118" s="619"/>
      <c r="AS118" s="619" t="b">
        <v>1</v>
      </c>
    </row>
    <row s="1459" customFormat="1" customHeight="1" ht="23.25">
      <c r="A119" s="1459"/>
      <c r="B119" s="1459"/>
      <c r="C119" s="1459"/>
      <c r="D119" s="1459"/>
      <c r="E119" s="629">
        <v>15</v>
      </c>
      <c r="F119" s="104" cm="1" t="str">
        <f t="array" ref="F119:F119">OFFSET(G119,-1,-1)</f>
        <v>2</v>
      </c>
      <c r="G119" s="1459"/>
      <c r="H119" s="1459"/>
      <c r="I119" s="104" t="s">
        <v>654</v>
      </c>
      <c r="J119" s="1459"/>
      <c r="K119" s="104" t="s">
        <v>655</v>
      </c>
      <c r="L119" s="1459"/>
      <c r="M119" s="1459"/>
      <c r="N119" s="1459"/>
      <c r="O119" s="1459"/>
      <c r="P119" s="1459"/>
      <c r="Q119" s="1459"/>
      <c r="R119" s="1459"/>
      <c r="S119" s="1459"/>
      <c r="T119" s="1459"/>
      <c r="U119" s="465">
        <f>AND(F119&gt;0,AB119&gt;0)</f>
        <v>1</v>
      </c>
      <c r="V119" s="1459"/>
      <c r="W119" s="1459"/>
      <c r="X119" s="717"/>
      <c r="Y119" s="1459"/>
      <c r="Z119" s="1459"/>
      <c r="AA119" s="662" t="s">
        <v>175</v>
      </c>
      <c r="AB119" s="88" t="s">
        <v>656</v>
      </c>
      <c r="AC119" s="274" t="str">
        <f>I119&amp;" :: "&amp;K119</f>
        <v>водопровод ул. Новосибирская :: г Калтан, ул. Новосибирская, -</v>
      </c>
      <c r="AD119" s="274" t="s">
        <v>430</v>
      </c>
      <c r="AE119" s="274" t="s">
        <v>431</v>
      </c>
      <c r="AF119" s="405" t="s">
        <v>432</v>
      </c>
      <c r="AG119" s="405" t="s">
        <v>433</v>
      </c>
      <c r="AH119" s="2022" t="s">
        <v>434</v>
      </c>
      <c r="AI119" s="1459"/>
      <c r="AJ119" s="1459"/>
      <c r="AK119" s="1000" t="s">
        <v>424</v>
      </c>
      <c r="AL119" s="1000" t="s">
        <v>425</v>
      </c>
      <c r="AM119" s="1000" cm="1" t="str">
        <f t="array" ref="AM119:AM119">AC119</f>
        <v>водопровод ул. Новосибирская :: г Калтан, ул. Новосибирская, -</v>
      </c>
      <c r="AN119" s="1000" cm="1" t="str">
        <f t="array" ref="AN119:AN119">AD119</f>
        <v>концессионное соглашение</v>
      </c>
      <c r="AO119" s="1000" cm="1" t="str">
        <f t="array" ref="AO119:AO119">AE119</f>
        <v>акт приёма-передачи</v>
      </c>
      <c r="AP119" s="1000" cm="1" t="str">
        <f t="array" ref="AP119:AP119">AF119</f>
        <v>б/н</v>
      </c>
      <c r="AQ119" s="1000" cm="1" t="str">
        <f t="array" ref="AQ119:AQ119">AG119</f>
        <v>01.06.2026</v>
      </c>
      <c r="AR119" s="619"/>
      <c r="AS119" s="619" t="b">
        <v>1</v>
      </c>
    </row>
    <row s="1459" customFormat="1" customHeight="1" ht="23.25">
      <c r="A120" s="1459"/>
      <c r="B120" s="1459"/>
      <c r="C120" s="1459"/>
      <c r="D120" s="1459"/>
      <c r="E120" s="629">
        <v>15</v>
      </c>
      <c r="F120" s="104" cm="1" t="str">
        <f t="array" ref="F120:F120">OFFSET(G120,-1,-1)</f>
        <v>2</v>
      </c>
      <c r="G120" s="1459"/>
      <c r="H120" s="1459"/>
      <c r="I120" s="104" t="s">
        <v>657</v>
      </c>
      <c r="J120" s="1459"/>
      <c r="K120" s="104" t="s">
        <v>658</v>
      </c>
      <c r="L120" s="1459"/>
      <c r="M120" s="1459"/>
      <c r="N120" s="1459"/>
      <c r="O120" s="1459"/>
      <c r="P120" s="1459"/>
      <c r="Q120" s="1459"/>
      <c r="R120" s="1459"/>
      <c r="S120" s="1459"/>
      <c r="T120" s="1459"/>
      <c r="U120" s="465">
        <f>AND(F120&gt;0,AB120&gt;0)</f>
        <v>1</v>
      </c>
      <c r="V120" s="1459"/>
      <c r="W120" s="1459"/>
      <c r="X120" s="717"/>
      <c r="Y120" s="1459"/>
      <c r="Z120" s="1459"/>
      <c r="AA120" s="662" t="s">
        <v>175</v>
      </c>
      <c r="AB120" s="88" t="s">
        <v>659</v>
      </c>
      <c r="AC120" s="274" t="str">
        <f>I120&amp;" :: "&amp;K120</f>
        <v>водопровод ул. Новостройка 1 :: г Калтан, ул. Новостройка 1, 10-18</v>
      </c>
      <c r="AD120" s="274" t="s">
        <v>430</v>
      </c>
      <c r="AE120" s="274" t="s">
        <v>431</v>
      </c>
      <c r="AF120" s="405" t="s">
        <v>432</v>
      </c>
      <c r="AG120" s="405" t="s">
        <v>433</v>
      </c>
      <c r="AH120" s="2022" t="s">
        <v>434</v>
      </c>
      <c r="AI120" s="1459"/>
      <c r="AJ120" s="1459"/>
      <c r="AK120" s="1000" t="s">
        <v>424</v>
      </c>
      <c r="AL120" s="1000" t="s">
        <v>425</v>
      </c>
      <c r="AM120" s="1000" cm="1" t="str">
        <f t="array" ref="AM120:AM120">AC120</f>
        <v>водопровод ул. Новостройка 1 :: г Калтан, ул. Новостройка 1, 10-18</v>
      </c>
      <c r="AN120" s="1000" cm="1" t="str">
        <f t="array" ref="AN120:AN120">AD120</f>
        <v>концессионное соглашение</v>
      </c>
      <c r="AO120" s="1000" cm="1" t="str">
        <f t="array" ref="AO120:AO120">AE120</f>
        <v>акт приёма-передачи</v>
      </c>
      <c r="AP120" s="1000" cm="1" t="str">
        <f t="array" ref="AP120:AP120">AF120</f>
        <v>б/н</v>
      </c>
      <c r="AQ120" s="1000" cm="1" t="str">
        <f t="array" ref="AQ120:AQ120">AG120</f>
        <v>01.06.2026</v>
      </c>
      <c r="AR120" s="619"/>
      <c r="AS120" s="619" t="b">
        <v>1</v>
      </c>
    </row>
    <row s="1459" customFormat="1" customHeight="1" ht="23.25">
      <c r="A121" s="1459"/>
      <c r="B121" s="1459"/>
      <c r="C121" s="1459"/>
      <c r="D121" s="1459"/>
      <c r="E121" s="629">
        <v>15</v>
      </c>
      <c r="F121" s="104" cm="1" t="str">
        <f t="array" ref="F121:F121">OFFSET(G121,-1,-1)</f>
        <v>2</v>
      </c>
      <c r="G121" s="1459"/>
      <c r="H121" s="1459"/>
      <c r="I121" s="104" t="s">
        <v>660</v>
      </c>
      <c r="J121" s="1459"/>
      <c r="K121" s="104" t="s">
        <v>661</v>
      </c>
      <c r="L121" s="1459"/>
      <c r="M121" s="1459"/>
      <c r="N121" s="1459"/>
      <c r="O121" s="1459"/>
      <c r="P121" s="1459"/>
      <c r="Q121" s="1459"/>
      <c r="R121" s="1459"/>
      <c r="S121" s="1459"/>
      <c r="T121" s="1459"/>
      <c r="U121" s="465">
        <f>AND(F121&gt;0,AB121&gt;0)</f>
        <v>1</v>
      </c>
      <c r="V121" s="1459"/>
      <c r="W121" s="1459"/>
      <c r="X121" s="717"/>
      <c r="Y121" s="1459"/>
      <c r="Z121" s="1459"/>
      <c r="AA121" s="662" t="s">
        <v>175</v>
      </c>
      <c r="AB121" s="88" t="s">
        <v>662</v>
      </c>
      <c r="AC121" s="274" t="str">
        <f>I121&amp;" :: "&amp;K121</f>
        <v>водопровод ул. Новостройка 2 :: г Калтан, ул. Новостройка 2, 2-10</v>
      </c>
      <c r="AD121" s="274" t="s">
        <v>430</v>
      </c>
      <c r="AE121" s="274" t="s">
        <v>431</v>
      </c>
      <c r="AF121" s="405" t="s">
        <v>432</v>
      </c>
      <c r="AG121" s="405" t="s">
        <v>433</v>
      </c>
      <c r="AH121" s="2022" t="s">
        <v>434</v>
      </c>
      <c r="AI121" s="1459"/>
      <c r="AJ121" s="1459"/>
      <c r="AK121" s="1000" t="s">
        <v>424</v>
      </c>
      <c r="AL121" s="1000" t="s">
        <v>425</v>
      </c>
      <c r="AM121" s="1000" cm="1" t="str">
        <f t="array" ref="AM121:AM121">AC121</f>
        <v>водопровод ул. Новостройка 2 :: г Калтан, ул. Новостройка 2, 2-10</v>
      </c>
      <c r="AN121" s="1000" cm="1" t="str">
        <f t="array" ref="AN121:AN121">AD121</f>
        <v>концессионное соглашение</v>
      </c>
      <c r="AO121" s="1000" cm="1" t="str">
        <f t="array" ref="AO121:AO121">AE121</f>
        <v>акт приёма-передачи</v>
      </c>
      <c r="AP121" s="1000" cm="1" t="str">
        <f t="array" ref="AP121:AP121">AF121</f>
        <v>б/н</v>
      </c>
      <c r="AQ121" s="1000" cm="1" t="str">
        <f t="array" ref="AQ121:AQ121">AG121</f>
        <v>01.06.2026</v>
      </c>
      <c r="AR121" s="619"/>
      <c r="AS121" s="619" t="b">
        <v>1</v>
      </c>
    </row>
    <row s="1459" customFormat="1" customHeight="1" ht="23.25">
      <c r="A122" s="1459"/>
      <c r="B122" s="1459"/>
      <c r="C122" s="1459"/>
      <c r="D122" s="1459"/>
      <c r="E122" s="629">
        <v>15</v>
      </c>
      <c r="F122" s="104" cm="1" t="str">
        <f t="array" ref="F122:F122">OFFSET(G122,-1,-1)</f>
        <v>2</v>
      </c>
      <c r="G122" s="1459"/>
      <c r="H122" s="1459"/>
      <c r="I122" s="104" t="s">
        <v>663</v>
      </c>
      <c r="J122" s="1459"/>
      <c r="K122" s="104" t="s">
        <v>664</v>
      </c>
      <c r="L122" s="1459"/>
      <c r="M122" s="1459"/>
      <c r="N122" s="1459"/>
      <c r="O122" s="1459"/>
      <c r="P122" s="1459"/>
      <c r="Q122" s="1459"/>
      <c r="R122" s="1459"/>
      <c r="S122" s="1459"/>
      <c r="T122" s="1459"/>
      <c r="U122" s="465">
        <f>AND(F122&gt;0,AB122&gt;0)</f>
        <v>1</v>
      </c>
      <c r="V122" s="1459"/>
      <c r="W122" s="1459"/>
      <c r="X122" s="717"/>
      <c r="Y122" s="1459"/>
      <c r="Z122" s="1459"/>
      <c r="AA122" s="662" t="s">
        <v>175</v>
      </c>
      <c r="AB122" s="88" t="s">
        <v>665</v>
      </c>
      <c r="AC122" s="274" t="str">
        <f>I122&amp;" :: "&amp;K122</f>
        <v>водопровод до п. Малышев Лог (от ул. Новостройка до ПНС ул. Колхозная) :: г Калтан, ул. Новостройка-ул.Колхозная, -</v>
      </c>
      <c r="AD122" s="274" t="s">
        <v>430</v>
      </c>
      <c r="AE122" s="274" t="s">
        <v>431</v>
      </c>
      <c r="AF122" s="405" t="s">
        <v>432</v>
      </c>
      <c r="AG122" s="405" t="s">
        <v>433</v>
      </c>
      <c r="AH122" s="2022" t="s">
        <v>434</v>
      </c>
      <c r="AI122" s="1459"/>
      <c r="AJ122" s="1459"/>
      <c r="AK122" s="1000" t="s">
        <v>424</v>
      </c>
      <c r="AL122" s="1000" t="s">
        <v>425</v>
      </c>
      <c r="AM122" s="1000" cm="1" t="str">
        <f t="array" ref="AM122:AM122">AC122</f>
        <v>водопровод до п. Малышев Лог (от ул. Новостройка до ПНС ул. Колхозная) :: г Калтан, ул. Новостройка-ул.Колхозная, -</v>
      </c>
      <c r="AN122" s="1000" cm="1" t="str">
        <f t="array" ref="AN122:AN122">AD122</f>
        <v>концессионное соглашение</v>
      </c>
      <c r="AO122" s="1000" cm="1" t="str">
        <f t="array" ref="AO122:AO122">AE122</f>
        <v>акт приёма-передачи</v>
      </c>
      <c r="AP122" s="1000" cm="1" t="str">
        <f t="array" ref="AP122:AP122">AF122</f>
        <v>б/н</v>
      </c>
      <c r="AQ122" s="1000" cm="1" t="str">
        <f t="array" ref="AQ122:AQ122">AG122</f>
        <v>01.06.2026</v>
      </c>
      <c r="AR122" s="619"/>
      <c r="AS122" s="619" t="b">
        <v>1</v>
      </c>
    </row>
    <row s="1459" customFormat="1" customHeight="1" ht="23.25">
      <c r="A123" s="1459"/>
      <c r="B123" s="1459"/>
      <c r="C123" s="1459"/>
      <c r="D123" s="1459"/>
      <c r="E123" s="629">
        <v>15</v>
      </c>
      <c r="F123" s="104" cm="1" t="str">
        <f t="array" ref="F123:F123">OFFSET(G123,-1,-1)</f>
        <v>2</v>
      </c>
      <c r="G123" s="1459"/>
      <c r="H123" s="1459"/>
      <c r="I123" s="104" t="s">
        <v>666</v>
      </c>
      <c r="J123" s="1459"/>
      <c r="K123" s="104" t="s">
        <v>667</v>
      </c>
      <c r="L123" s="1459"/>
      <c r="M123" s="1459"/>
      <c r="N123" s="1459"/>
      <c r="O123" s="1459"/>
      <c r="P123" s="1459"/>
      <c r="Q123" s="1459"/>
      <c r="R123" s="1459"/>
      <c r="S123" s="1459"/>
      <c r="T123" s="1459"/>
      <c r="U123" s="465">
        <f>AND(F123&gt;0,AB123&gt;0)</f>
        <v>1</v>
      </c>
      <c r="V123" s="1459"/>
      <c r="W123" s="1459"/>
      <c r="X123" s="717"/>
      <c r="Y123" s="1459"/>
      <c r="Z123" s="1459"/>
      <c r="AA123" s="662" t="s">
        <v>175</v>
      </c>
      <c r="AB123" s="88" t="s">
        <v>668</v>
      </c>
      <c r="AC123" s="274" t="str">
        <f>I123&amp;" :: "&amp;K123</f>
        <v>водопровод ул. Партизанская :: г Калтан, ул. Партизанская, 1-18</v>
      </c>
      <c r="AD123" s="274" t="s">
        <v>430</v>
      </c>
      <c r="AE123" s="274" t="s">
        <v>431</v>
      </c>
      <c r="AF123" s="405" t="s">
        <v>432</v>
      </c>
      <c r="AG123" s="405" t="s">
        <v>433</v>
      </c>
      <c r="AH123" s="2022" t="s">
        <v>434</v>
      </c>
      <c r="AI123" s="1459"/>
      <c r="AJ123" s="1459"/>
      <c r="AK123" s="1000" t="s">
        <v>424</v>
      </c>
      <c r="AL123" s="1000" t="s">
        <v>425</v>
      </c>
      <c r="AM123" s="1000" cm="1" t="str">
        <f t="array" ref="AM123:AM123">AC123</f>
        <v>водопровод ул. Партизанская :: г Калтан, ул. Партизанская, 1-18</v>
      </c>
      <c r="AN123" s="1000" cm="1" t="str">
        <f t="array" ref="AN123:AN123">AD123</f>
        <v>концессионное соглашение</v>
      </c>
      <c r="AO123" s="1000" cm="1" t="str">
        <f t="array" ref="AO123:AO123">AE123</f>
        <v>акт приёма-передачи</v>
      </c>
      <c r="AP123" s="1000" cm="1" t="str">
        <f t="array" ref="AP123:AP123">AF123</f>
        <v>б/н</v>
      </c>
      <c r="AQ123" s="1000" cm="1" t="str">
        <f t="array" ref="AQ123:AQ123">AG123</f>
        <v>01.06.2026</v>
      </c>
      <c r="AR123" s="619"/>
      <c r="AS123" s="619" t="b">
        <v>1</v>
      </c>
    </row>
    <row s="1459" customFormat="1" customHeight="1" ht="23.25">
      <c r="A124" s="1459"/>
      <c r="B124" s="1459"/>
      <c r="C124" s="1459"/>
      <c r="D124" s="1459"/>
      <c r="E124" s="629">
        <v>15</v>
      </c>
      <c r="F124" s="104" cm="1" t="str">
        <f t="array" ref="F124:F124">OFFSET(G124,-1,-1)</f>
        <v>2</v>
      </c>
      <c r="G124" s="1459"/>
      <c r="H124" s="1459"/>
      <c r="I124" s="104" t="s">
        <v>669</v>
      </c>
      <c r="J124" s="1459"/>
      <c r="K124" s="104" t="s">
        <v>670</v>
      </c>
      <c r="L124" s="1459"/>
      <c r="M124" s="1459"/>
      <c r="N124" s="1459"/>
      <c r="O124" s="1459"/>
      <c r="P124" s="1459"/>
      <c r="Q124" s="1459"/>
      <c r="R124" s="1459"/>
      <c r="S124" s="1459"/>
      <c r="T124" s="1459"/>
      <c r="U124" s="465">
        <f>AND(F124&gt;0,AB124&gt;0)</f>
        <v>1</v>
      </c>
      <c r="V124" s="1459"/>
      <c r="W124" s="1459"/>
      <c r="X124" s="717"/>
      <c r="Y124" s="1459"/>
      <c r="Z124" s="1459"/>
      <c r="AA124" s="662" t="s">
        <v>175</v>
      </c>
      <c r="AB124" s="88" t="s">
        <v>671</v>
      </c>
      <c r="AC124" s="274" t="str">
        <f>I124&amp;" :: "&amp;K124</f>
        <v>водопровод  ул. Пожарского (ж.д. №№41-65) :: г Калтан, ул. Пожарского (ж.д. №№41-65), -</v>
      </c>
      <c r="AD124" s="274" t="s">
        <v>430</v>
      </c>
      <c r="AE124" s="274" t="s">
        <v>431</v>
      </c>
      <c r="AF124" s="405" t="s">
        <v>432</v>
      </c>
      <c r="AG124" s="405" t="s">
        <v>433</v>
      </c>
      <c r="AH124" s="2022" t="s">
        <v>434</v>
      </c>
      <c r="AI124" s="1459"/>
      <c r="AJ124" s="1459"/>
      <c r="AK124" s="1000" t="s">
        <v>424</v>
      </c>
      <c r="AL124" s="1000" t="s">
        <v>425</v>
      </c>
      <c r="AM124" s="1000" cm="1" t="str">
        <f t="array" ref="AM124:AM124">AC124</f>
        <v>водопровод  ул. Пожарского (ж.д. №№41-65) :: г Калтан, ул. Пожарского (ж.д. №№41-65), -</v>
      </c>
      <c r="AN124" s="1000" cm="1" t="str">
        <f t="array" ref="AN124:AN124">AD124</f>
        <v>концессионное соглашение</v>
      </c>
      <c r="AO124" s="1000" cm="1" t="str">
        <f t="array" ref="AO124:AO124">AE124</f>
        <v>акт приёма-передачи</v>
      </c>
      <c r="AP124" s="1000" cm="1" t="str">
        <f t="array" ref="AP124:AP124">AF124</f>
        <v>б/н</v>
      </c>
      <c r="AQ124" s="1000" cm="1" t="str">
        <f t="array" ref="AQ124:AQ124">AG124</f>
        <v>01.06.2026</v>
      </c>
      <c r="AR124" s="619"/>
      <c r="AS124" s="619" t="b">
        <v>1</v>
      </c>
    </row>
    <row s="1459" customFormat="1" customHeight="1" ht="23.25">
      <c r="A125" s="1459"/>
      <c r="B125" s="1459"/>
      <c r="C125" s="1459"/>
      <c r="D125" s="1459"/>
      <c r="E125" s="629">
        <v>15</v>
      </c>
      <c r="F125" s="104" cm="1" t="str">
        <f t="array" ref="F125:F125">OFFSET(G125,-1,-1)</f>
        <v>2</v>
      </c>
      <c r="G125" s="1459"/>
      <c r="H125" s="1459"/>
      <c r="I125" s="104" t="s">
        <v>672</v>
      </c>
      <c r="J125" s="1459"/>
      <c r="K125" s="104" t="s">
        <v>673</v>
      </c>
      <c r="L125" s="1459"/>
      <c r="M125" s="1459"/>
      <c r="N125" s="1459"/>
      <c r="O125" s="1459"/>
      <c r="P125" s="1459"/>
      <c r="Q125" s="1459"/>
      <c r="R125" s="1459"/>
      <c r="S125" s="1459"/>
      <c r="T125" s="1459"/>
      <c r="U125" s="465">
        <f>AND(F125&gt;0,AB125&gt;0)</f>
        <v>1</v>
      </c>
      <c r="V125" s="1459"/>
      <c r="W125" s="1459"/>
      <c r="X125" s="717"/>
      <c r="Y125" s="1459"/>
      <c r="Z125" s="1459"/>
      <c r="AA125" s="662" t="s">
        <v>175</v>
      </c>
      <c r="AB125" s="88" t="s">
        <v>674</v>
      </c>
      <c r="AC125" s="274" t="str">
        <f>I125&amp;" :: "&amp;K125</f>
        <v>водопровод ул. Пожарского (ж.д. 3а-20) :: г Калтан, ул. Пожарского, 3а-20</v>
      </c>
      <c r="AD125" s="274" t="s">
        <v>430</v>
      </c>
      <c r="AE125" s="274" t="s">
        <v>431</v>
      </c>
      <c r="AF125" s="405" t="s">
        <v>432</v>
      </c>
      <c r="AG125" s="405" t="s">
        <v>433</v>
      </c>
      <c r="AH125" s="2022" t="s">
        <v>434</v>
      </c>
      <c r="AI125" s="1459"/>
      <c r="AJ125" s="1459"/>
      <c r="AK125" s="1000" t="s">
        <v>424</v>
      </c>
      <c r="AL125" s="1000" t="s">
        <v>425</v>
      </c>
      <c r="AM125" s="1000" cm="1" t="str">
        <f t="array" ref="AM125:AM125">AC125</f>
        <v>водопровод ул. Пожарского (ж.д. 3а-20) :: г Калтан, ул. Пожарского, 3а-20</v>
      </c>
      <c r="AN125" s="1000" cm="1" t="str">
        <f t="array" ref="AN125:AN125">AD125</f>
        <v>концессионное соглашение</v>
      </c>
      <c r="AO125" s="1000" cm="1" t="str">
        <f t="array" ref="AO125:AO125">AE125</f>
        <v>акт приёма-передачи</v>
      </c>
      <c r="AP125" s="1000" cm="1" t="str">
        <f t="array" ref="AP125:AP125">AF125</f>
        <v>б/н</v>
      </c>
      <c r="AQ125" s="1000" cm="1" t="str">
        <f t="array" ref="AQ125:AQ125">AG125</f>
        <v>01.06.2026</v>
      </c>
      <c r="AR125" s="619"/>
      <c r="AS125" s="619" t="b">
        <v>1</v>
      </c>
    </row>
    <row s="1459" customFormat="1" customHeight="1" ht="23.25">
      <c r="A126" s="1459"/>
      <c r="B126" s="1459"/>
      <c r="C126" s="1459"/>
      <c r="D126" s="1459"/>
      <c r="E126" s="629">
        <v>15</v>
      </c>
      <c r="F126" s="104" cm="1" t="str">
        <f t="array" ref="F126:F126">OFFSET(G126,-1,-1)</f>
        <v>2</v>
      </c>
      <c r="G126" s="1459"/>
      <c r="H126" s="1459"/>
      <c r="I126" s="104" t="s">
        <v>675</v>
      </c>
      <c r="J126" s="1459"/>
      <c r="K126" s="104" t="s">
        <v>676</v>
      </c>
      <c r="L126" s="1459"/>
      <c r="M126" s="1459"/>
      <c r="N126" s="1459"/>
      <c r="O126" s="1459"/>
      <c r="P126" s="1459"/>
      <c r="Q126" s="1459"/>
      <c r="R126" s="1459"/>
      <c r="S126" s="1459"/>
      <c r="T126" s="1459"/>
      <c r="U126" s="465">
        <f>AND(F126&gt;0,AB126&gt;0)</f>
        <v>1</v>
      </c>
      <c r="V126" s="1459"/>
      <c r="W126" s="1459"/>
      <c r="X126" s="717"/>
      <c r="Y126" s="1459"/>
      <c r="Z126" s="1459"/>
      <c r="AA126" s="662" t="s">
        <v>175</v>
      </c>
      <c r="AB126" s="88" t="s">
        <v>677</v>
      </c>
      <c r="AC126" s="274" t="str">
        <f>I126&amp;" :: "&amp;K126</f>
        <v>водопровод ул. Покрышкина :: г Калтан, ул. Покрышкина, 15-92</v>
      </c>
      <c r="AD126" s="274" t="s">
        <v>430</v>
      </c>
      <c r="AE126" s="274" t="s">
        <v>431</v>
      </c>
      <c r="AF126" s="405" t="s">
        <v>432</v>
      </c>
      <c r="AG126" s="405" t="s">
        <v>433</v>
      </c>
      <c r="AH126" s="2022" t="s">
        <v>434</v>
      </c>
      <c r="AI126" s="1459"/>
      <c r="AJ126" s="1459"/>
      <c r="AK126" s="1000" t="s">
        <v>424</v>
      </c>
      <c r="AL126" s="1000" t="s">
        <v>425</v>
      </c>
      <c r="AM126" s="1000" cm="1" t="str">
        <f t="array" ref="AM126:AM126">AC126</f>
        <v>водопровод ул. Покрышкина :: г Калтан, ул. Покрышкина, 15-92</v>
      </c>
      <c r="AN126" s="1000" cm="1" t="str">
        <f t="array" ref="AN126:AN126">AD126</f>
        <v>концессионное соглашение</v>
      </c>
      <c r="AO126" s="1000" cm="1" t="str">
        <f t="array" ref="AO126:AO126">AE126</f>
        <v>акт приёма-передачи</v>
      </c>
      <c r="AP126" s="1000" cm="1" t="str">
        <f t="array" ref="AP126:AP126">AF126</f>
        <v>б/н</v>
      </c>
      <c r="AQ126" s="1000" cm="1" t="str">
        <f t="array" ref="AQ126:AQ126">AG126</f>
        <v>01.06.2026</v>
      </c>
      <c r="AR126" s="619"/>
      <c r="AS126" s="619" t="b">
        <v>1</v>
      </c>
    </row>
    <row s="1459" customFormat="1" customHeight="1" ht="23.25">
      <c r="A127" s="1459"/>
      <c r="B127" s="1459"/>
      <c r="C127" s="1459"/>
      <c r="D127" s="1459"/>
      <c r="E127" s="629">
        <v>15</v>
      </c>
      <c r="F127" s="104" cm="1" t="str">
        <f t="array" ref="F127:F127">OFFSET(G127,-1,-1)</f>
        <v>2</v>
      </c>
      <c r="G127" s="1459"/>
      <c r="H127" s="1459"/>
      <c r="I127" s="104" t="s">
        <v>678</v>
      </c>
      <c r="J127" s="1459"/>
      <c r="K127" s="104" t="s">
        <v>679</v>
      </c>
      <c r="L127" s="1459"/>
      <c r="M127" s="1459"/>
      <c r="N127" s="1459"/>
      <c r="O127" s="1459"/>
      <c r="P127" s="1459"/>
      <c r="Q127" s="1459"/>
      <c r="R127" s="1459"/>
      <c r="S127" s="1459"/>
      <c r="T127" s="1459"/>
      <c r="U127" s="465">
        <f>AND(F127&gt;0,AB127&gt;0)</f>
        <v>1</v>
      </c>
      <c r="V127" s="1459"/>
      <c r="W127" s="1459"/>
      <c r="X127" s="717"/>
      <c r="Y127" s="1459"/>
      <c r="Z127" s="1459"/>
      <c r="AA127" s="662" t="s">
        <v>175</v>
      </c>
      <c r="AB127" s="88" t="s">
        <v>680</v>
      </c>
      <c r="AC127" s="274" t="str">
        <f>I127&amp;" :: "&amp;K127</f>
        <v>Водопровод ул. Полевая :: г Калтан, ул. Полевая, -</v>
      </c>
      <c r="AD127" s="274" t="s">
        <v>430</v>
      </c>
      <c r="AE127" s="274" t="s">
        <v>431</v>
      </c>
      <c r="AF127" s="405" t="s">
        <v>432</v>
      </c>
      <c r="AG127" s="405" t="s">
        <v>433</v>
      </c>
      <c r="AH127" s="2022" t="s">
        <v>434</v>
      </c>
      <c r="AI127" s="1459"/>
      <c r="AJ127" s="1459"/>
      <c r="AK127" s="1000" t="s">
        <v>424</v>
      </c>
      <c r="AL127" s="1000" t="s">
        <v>425</v>
      </c>
      <c r="AM127" s="1000" cm="1" t="str">
        <f t="array" ref="AM127:AM127">AC127</f>
        <v>Водопровод ул. Полевая :: г Калтан, ул. Полевая, -</v>
      </c>
      <c r="AN127" s="1000" cm="1" t="str">
        <f t="array" ref="AN127:AN127">AD127</f>
        <v>концессионное соглашение</v>
      </c>
      <c r="AO127" s="1000" cm="1" t="str">
        <f t="array" ref="AO127:AO127">AE127</f>
        <v>акт приёма-передачи</v>
      </c>
      <c r="AP127" s="1000" cm="1" t="str">
        <f t="array" ref="AP127:AP127">AF127</f>
        <v>б/н</v>
      </c>
      <c r="AQ127" s="1000" cm="1" t="str">
        <f t="array" ref="AQ127:AQ127">AG127</f>
        <v>01.06.2026</v>
      </c>
      <c r="AR127" s="619"/>
      <c r="AS127" s="619" t="b">
        <v>1</v>
      </c>
    </row>
    <row s="1459" customFormat="1" customHeight="1" ht="23.25">
      <c r="A128" s="1459"/>
      <c r="B128" s="1459"/>
      <c r="C128" s="1459"/>
      <c r="D128" s="1459"/>
      <c r="E128" s="629">
        <v>15</v>
      </c>
      <c r="F128" s="104" cm="1" t="str">
        <f t="array" ref="F128:F128">OFFSET(G128,-1,-1)</f>
        <v>2</v>
      </c>
      <c r="G128" s="1459"/>
      <c r="H128" s="1459"/>
      <c r="I128" s="104" t="s">
        <v>681</v>
      </c>
      <c r="J128" s="1459"/>
      <c r="K128" s="104" t="s">
        <v>682</v>
      </c>
      <c r="L128" s="1459"/>
      <c r="M128" s="1459"/>
      <c r="N128" s="1459"/>
      <c r="O128" s="1459"/>
      <c r="P128" s="1459"/>
      <c r="Q128" s="1459"/>
      <c r="R128" s="1459"/>
      <c r="S128" s="1459"/>
      <c r="T128" s="1459"/>
      <c r="U128" s="465">
        <f>AND(F128&gt;0,AB128&gt;0)</f>
        <v>1</v>
      </c>
      <c r="V128" s="1459"/>
      <c r="W128" s="1459"/>
      <c r="X128" s="717"/>
      <c r="Y128" s="1459"/>
      <c r="Z128" s="1459"/>
      <c r="AA128" s="662" t="s">
        <v>175</v>
      </c>
      <c r="AB128" s="88" t="s">
        <v>683</v>
      </c>
      <c r="AC128" s="274" t="str">
        <f>I128&amp;" :: "&amp;K128</f>
        <v>водопровод ул. Рижская :: г Калтан, ул. Рижская, -</v>
      </c>
      <c r="AD128" s="274" t="s">
        <v>430</v>
      </c>
      <c r="AE128" s="274" t="s">
        <v>431</v>
      </c>
      <c r="AF128" s="405" t="s">
        <v>432</v>
      </c>
      <c r="AG128" s="405" t="s">
        <v>433</v>
      </c>
      <c r="AH128" s="2022" t="s">
        <v>434</v>
      </c>
      <c r="AI128" s="1459"/>
      <c r="AJ128" s="1459"/>
      <c r="AK128" s="1000" t="s">
        <v>424</v>
      </c>
      <c r="AL128" s="1000" t="s">
        <v>425</v>
      </c>
      <c r="AM128" s="1000" cm="1" t="str">
        <f t="array" ref="AM128:AM128">AC128</f>
        <v>водопровод ул. Рижская :: г Калтан, ул. Рижская, -</v>
      </c>
      <c r="AN128" s="1000" cm="1" t="str">
        <f t="array" ref="AN128:AN128">AD128</f>
        <v>концессионное соглашение</v>
      </c>
      <c r="AO128" s="1000" cm="1" t="str">
        <f t="array" ref="AO128:AO128">AE128</f>
        <v>акт приёма-передачи</v>
      </c>
      <c r="AP128" s="1000" cm="1" t="str">
        <f t="array" ref="AP128:AP128">AF128</f>
        <v>б/н</v>
      </c>
      <c r="AQ128" s="1000" cm="1" t="str">
        <f t="array" ref="AQ128:AQ128">AG128</f>
        <v>01.06.2026</v>
      </c>
      <c r="AR128" s="619"/>
      <c r="AS128" s="619" t="b">
        <v>1</v>
      </c>
    </row>
    <row s="1459" customFormat="1" customHeight="1" ht="23.25">
      <c r="A129" s="1459"/>
      <c r="B129" s="1459"/>
      <c r="C129" s="1459"/>
      <c r="D129" s="1459"/>
      <c r="E129" s="629">
        <v>15</v>
      </c>
      <c r="F129" s="104" cm="1" t="str">
        <f t="array" ref="F129:F129">OFFSET(G129,-1,-1)</f>
        <v>2</v>
      </c>
      <c r="G129" s="1459"/>
      <c r="H129" s="1459"/>
      <c r="I129" s="104" t="s">
        <v>684</v>
      </c>
      <c r="J129" s="1459"/>
      <c r="K129" s="104" t="s">
        <v>685</v>
      </c>
      <c r="L129" s="1459"/>
      <c r="M129" s="1459"/>
      <c r="N129" s="1459"/>
      <c r="O129" s="1459"/>
      <c r="P129" s="1459"/>
      <c r="Q129" s="1459"/>
      <c r="R129" s="1459"/>
      <c r="S129" s="1459"/>
      <c r="T129" s="1459"/>
      <c r="U129" s="465">
        <f>AND(F129&gt;0,AB129&gt;0)</f>
        <v>1</v>
      </c>
      <c r="V129" s="1459"/>
      <c r="W129" s="1459"/>
      <c r="X129" s="717"/>
      <c r="Y129" s="1459"/>
      <c r="Z129" s="1459"/>
      <c r="AA129" s="662" t="s">
        <v>175</v>
      </c>
      <c r="AB129" s="88" t="s">
        <v>686</v>
      </c>
      <c r="AC129" s="274" t="str">
        <f>I129&amp;" :: "&amp;K129</f>
        <v>водопровод ул. Российская :: г Калтан, ул. Российская, -</v>
      </c>
      <c r="AD129" s="274" t="s">
        <v>430</v>
      </c>
      <c r="AE129" s="274" t="s">
        <v>431</v>
      </c>
      <c r="AF129" s="405" t="s">
        <v>432</v>
      </c>
      <c r="AG129" s="405" t="s">
        <v>433</v>
      </c>
      <c r="AH129" s="2022" t="s">
        <v>434</v>
      </c>
      <c r="AI129" s="1459"/>
      <c r="AJ129" s="1459"/>
      <c r="AK129" s="1000" t="s">
        <v>424</v>
      </c>
      <c r="AL129" s="1000" t="s">
        <v>425</v>
      </c>
      <c r="AM129" s="1000" cm="1" t="str">
        <f t="array" ref="AM129:AM129">AC129</f>
        <v>водопровод ул. Российская :: г Калтан, ул. Российская, -</v>
      </c>
      <c r="AN129" s="1000" cm="1" t="str">
        <f t="array" ref="AN129:AN129">AD129</f>
        <v>концессионное соглашение</v>
      </c>
      <c r="AO129" s="1000" cm="1" t="str">
        <f t="array" ref="AO129:AO129">AE129</f>
        <v>акт приёма-передачи</v>
      </c>
      <c r="AP129" s="1000" cm="1" t="str">
        <f t="array" ref="AP129:AP129">AF129</f>
        <v>б/н</v>
      </c>
      <c r="AQ129" s="1000" cm="1" t="str">
        <f t="array" ref="AQ129:AQ129">AG129</f>
        <v>01.06.2026</v>
      </c>
      <c r="AR129" s="619"/>
      <c r="AS129" s="619" t="b">
        <v>1</v>
      </c>
    </row>
    <row s="1459" customFormat="1" customHeight="1" ht="23.25">
      <c r="A130" s="1459"/>
      <c r="B130" s="1459"/>
      <c r="C130" s="1459"/>
      <c r="D130" s="1459"/>
      <c r="E130" s="629">
        <v>15</v>
      </c>
      <c r="F130" s="104" cm="1" t="str">
        <f t="array" ref="F130:F130">OFFSET(G130,-1,-1)</f>
        <v>2</v>
      </c>
      <c r="G130" s="1459"/>
      <c r="H130" s="1459"/>
      <c r="I130" s="104" t="s">
        <v>687</v>
      </c>
      <c r="J130" s="1459"/>
      <c r="K130" s="104" t="s">
        <v>688</v>
      </c>
      <c r="L130" s="1459"/>
      <c r="M130" s="1459"/>
      <c r="N130" s="1459"/>
      <c r="O130" s="1459"/>
      <c r="P130" s="1459"/>
      <c r="Q130" s="1459"/>
      <c r="R130" s="1459"/>
      <c r="S130" s="1459"/>
      <c r="T130" s="1459"/>
      <c r="U130" s="465">
        <f>AND(F130&gt;0,AB130&gt;0)</f>
        <v>1</v>
      </c>
      <c r="V130" s="1459"/>
      <c r="W130" s="1459"/>
      <c r="X130" s="717"/>
      <c r="Y130" s="1459"/>
      <c r="Z130" s="1459"/>
      <c r="AA130" s="662" t="s">
        <v>175</v>
      </c>
      <c r="AB130" s="88" t="s">
        <v>689</v>
      </c>
      <c r="AC130" s="274" t="str">
        <f>I130&amp;" :: "&amp;K130</f>
        <v>водопровод ул. Руставели :: г Калтан, ул. Руставели, 27-32</v>
      </c>
      <c r="AD130" s="274" t="s">
        <v>430</v>
      </c>
      <c r="AE130" s="274" t="s">
        <v>431</v>
      </c>
      <c r="AF130" s="405" t="s">
        <v>432</v>
      </c>
      <c r="AG130" s="405" t="s">
        <v>433</v>
      </c>
      <c r="AH130" s="2022" t="s">
        <v>434</v>
      </c>
      <c r="AI130" s="1459"/>
      <c r="AJ130" s="1459"/>
      <c r="AK130" s="1000" t="s">
        <v>424</v>
      </c>
      <c r="AL130" s="1000" t="s">
        <v>425</v>
      </c>
      <c r="AM130" s="1000" cm="1" t="str">
        <f t="array" ref="AM130:AM130">AC130</f>
        <v>водопровод ул. Руставели :: г Калтан, ул. Руставели, 27-32</v>
      </c>
      <c r="AN130" s="1000" cm="1" t="str">
        <f t="array" ref="AN130:AN130">AD130</f>
        <v>концессионное соглашение</v>
      </c>
      <c r="AO130" s="1000" cm="1" t="str">
        <f t="array" ref="AO130:AO130">AE130</f>
        <v>акт приёма-передачи</v>
      </c>
      <c r="AP130" s="1000" cm="1" t="str">
        <f t="array" ref="AP130:AP130">AF130</f>
        <v>б/н</v>
      </c>
      <c r="AQ130" s="1000" cm="1" t="str">
        <f t="array" ref="AQ130:AQ130">AG130</f>
        <v>01.06.2026</v>
      </c>
      <c r="AR130" s="619"/>
      <c r="AS130" s="619" t="b">
        <v>1</v>
      </c>
    </row>
    <row s="1459" customFormat="1" customHeight="1" ht="23.25">
      <c r="A131" s="1459"/>
      <c r="B131" s="1459"/>
      <c r="C131" s="1459"/>
      <c r="D131" s="1459"/>
      <c r="E131" s="629">
        <v>15</v>
      </c>
      <c r="F131" s="104" cm="1" t="str">
        <f t="array" ref="F131:F131">OFFSET(G131,-1,-1)</f>
        <v>2</v>
      </c>
      <c r="G131" s="1459"/>
      <c r="H131" s="1459"/>
      <c r="I131" s="104" t="s">
        <v>690</v>
      </c>
      <c r="J131" s="1459"/>
      <c r="K131" s="104" t="s">
        <v>691</v>
      </c>
      <c r="L131" s="1459"/>
      <c r="M131" s="1459"/>
      <c r="N131" s="1459"/>
      <c r="O131" s="1459"/>
      <c r="P131" s="1459"/>
      <c r="Q131" s="1459"/>
      <c r="R131" s="1459"/>
      <c r="S131" s="1459"/>
      <c r="T131" s="1459"/>
      <c r="U131" s="465">
        <f>AND(F131&gt;0,AB131&gt;0)</f>
        <v>1</v>
      </c>
      <c r="V131" s="1459"/>
      <c r="W131" s="1459"/>
      <c r="X131" s="717"/>
      <c r="Y131" s="1459"/>
      <c r="Z131" s="1459"/>
      <c r="AA131" s="662" t="s">
        <v>175</v>
      </c>
      <c r="AB131" s="88" t="s">
        <v>692</v>
      </c>
      <c r="AC131" s="274" t="str">
        <f>I131&amp;" :: "&amp;K131</f>
        <v>Водопровод ул. Садовая :: г Калтан, ул. Садовая, -</v>
      </c>
      <c r="AD131" s="274" t="s">
        <v>430</v>
      </c>
      <c r="AE131" s="274" t="s">
        <v>431</v>
      </c>
      <c r="AF131" s="405" t="s">
        <v>432</v>
      </c>
      <c r="AG131" s="405" t="s">
        <v>433</v>
      </c>
      <c r="AH131" s="2022" t="s">
        <v>434</v>
      </c>
      <c r="AI131" s="1459"/>
      <c r="AJ131" s="1459"/>
      <c r="AK131" s="1000" t="s">
        <v>424</v>
      </c>
      <c r="AL131" s="1000" t="s">
        <v>425</v>
      </c>
      <c r="AM131" s="1000" cm="1" t="str">
        <f t="array" ref="AM131:AM131">AC131</f>
        <v>Водопровод ул. Садовая :: г Калтан, ул. Садовая, -</v>
      </c>
      <c r="AN131" s="1000" cm="1" t="str">
        <f t="array" ref="AN131:AN131">AD131</f>
        <v>концессионное соглашение</v>
      </c>
      <c r="AO131" s="1000" cm="1" t="str">
        <f t="array" ref="AO131:AO131">AE131</f>
        <v>акт приёма-передачи</v>
      </c>
      <c r="AP131" s="1000" cm="1" t="str">
        <f t="array" ref="AP131:AP131">AF131</f>
        <v>б/н</v>
      </c>
      <c r="AQ131" s="1000" cm="1" t="str">
        <f t="array" ref="AQ131:AQ131">AG131</f>
        <v>01.06.2026</v>
      </c>
      <c r="AR131" s="619"/>
      <c r="AS131" s="619" t="b">
        <v>1</v>
      </c>
    </row>
    <row s="1459" customFormat="1" customHeight="1" ht="23.25">
      <c r="A132" s="1459"/>
      <c r="B132" s="1459"/>
      <c r="C132" s="1459"/>
      <c r="D132" s="1459"/>
      <c r="E132" s="629">
        <v>15</v>
      </c>
      <c r="F132" s="104" cm="1" t="str">
        <f t="array" ref="F132:F132">OFFSET(G132,-1,-1)</f>
        <v>2</v>
      </c>
      <c r="G132" s="1459"/>
      <c r="H132" s="1459"/>
      <c r="I132" s="104" t="s">
        <v>693</v>
      </c>
      <c r="J132" s="1459"/>
      <c r="K132" s="104" t="s">
        <v>694</v>
      </c>
      <c r="L132" s="1459"/>
      <c r="M132" s="1459"/>
      <c r="N132" s="1459"/>
      <c r="O132" s="1459"/>
      <c r="P132" s="1459"/>
      <c r="Q132" s="1459"/>
      <c r="R132" s="1459"/>
      <c r="S132" s="1459"/>
      <c r="T132" s="1459"/>
      <c r="U132" s="465">
        <f>AND(F132&gt;0,AB132&gt;0)</f>
        <v>1</v>
      </c>
      <c r="V132" s="1459"/>
      <c r="W132" s="1459"/>
      <c r="X132" s="717"/>
      <c r="Y132" s="1459"/>
      <c r="Z132" s="1459"/>
      <c r="AA132" s="662" t="s">
        <v>175</v>
      </c>
      <c r="AB132" s="88" t="s">
        <v>695</v>
      </c>
      <c r="AC132" s="274" t="str">
        <f>I132&amp;" :: "&amp;K132</f>
        <v>водопровод ул. Совхозная :: г Калтан, ул. Совхозная, -</v>
      </c>
      <c r="AD132" s="274" t="s">
        <v>430</v>
      </c>
      <c r="AE132" s="274" t="s">
        <v>431</v>
      </c>
      <c r="AF132" s="405" t="s">
        <v>432</v>
      </c>
      <c r="AG132" s="405" t="s">
        <v>433</v>
      </c>
      <c r="AH132" s="2022" t="s">
        <v>434</v>
      </c>
      <c r="AI132" s="1459"/>
      <c r="AJ132" s="1459"/>
      <c r="AK132" s="1000" t="s">
        <v>424</v>
      </c>
      <c r="AL132" s="1000" t="s">
        <v>425</v>
      </c>
      <c r="AM132" s="1000" cm="1" t="str">
        <f t="array" ref="AM132:AM132">AC132</f>
        <v>водопровод ул. Совхозная :: г Калтан, ул. Совхозная, -</v>
      </c>
      <c r="AN132" s="1000" cm="1" t="str">
        <f t="array" ref="AN132:AN132">AD132</f>
        <v>концессионное соглашение</v>
      </c>
      <c r="AO132" s="1000" cm="1" t="str">
        <f t="array" ref="AO132:AO132">AE132</f>
        <v>акт приёма-передачи</v>
      </c>
      <c r="AP132" s="1000" cm="1" t="str">
        <f t="array" ref="AP132:AP132">AF132</f>
        <v>б/н</v>
      </c>
      <c r="AQ132" s="1000" cm="1" t="str">
        <f t="array" ref="AQ132:AQ132">AG132</f>
        <v>01.06.2026</v>
      </c>
      <c r="AR132" s="619"/>
      <c r="AS132" s="619" t="b">
        <v>1</v>
      </c>
    </row>
    <row s="1459" customFormat="1" customHeight="1" ht="23.25">
      <c r="A133" s="1459"/>
      <c r="B133" s="1459"/>
      <c r="C133" s="1459"/>
      <c r="D133" s="1459"/>
      <c r="E133" s="629">
        <v>15</v>
      </c>
      <c r="F133" s="104" cm="1" t="str">
        <f t="array" ref="F133:F133">OFFSET(G133,-1,-1)</f>
        <v>2</v>
      </c>
      <c r="G133" s="1459"/>
      <c r="H133" s="1459"/>
      <c r="I133" s="104" t="s">
        <v>696</v>
      </c>
      <c r="J133" s="1459"/>
      <c r="K133" s="104" t="s">
        <v>697</v>
      </c>
      <c r="L133" s="1459"/>
      <c r="M133" s="1459"/>
      <c r="N133" s="1459"/>
      <c r="O133" s="1459"/>
      <c r="P133" s="1459"/>
      <c r="Q133" s="1459"/>
      <c r="R133" s="1459"/>
      <c r="S133" s="1459"/>
      <c r="T133" s="1459"/>
      <c r="U133" s="465">
        <f>AND(F133&gt;0,AB133&gt;0)</f>
        <v>1</v>
      </c>
      <c r="V133" s="1459"/>
      <c r="W133" s="1459"/>
      <c r="X133" s="717"/>
      <c r="Y133" s="1459"/>
      <c r="Z133" s="1459"/>
      <c r="AA133" s="662" t="s">
        <v>175</v>
      </c>
      <c r="AB133" s="88" t="s">
        <v>698</v>
      </c>
      <c r="AC133" s="274" t="str">
        <f>I133&amp;" :: "&amp;K133</f>
        <v>водопровод ул. Спортивная :: г Калтан, ул. Спортивная, -</v>
      </c>
      <c r="AD133" s="274" t="s">
        <v>430</v>
      </c>
      <c r="AE133" s="274" t="s">
        <v>431</v>
      </c>
      <c r="AF133" s="405" t="s">
        <v>432</v>
      </c>
      <c r="AG133" s="405" t="s">
        <v>433</v>
      </c>
      <c r="AH133" s="2022" t="s">
        <v>434</v>
      </c>
      <c r="AI133" s="1459"/>
      <c r="AJ133" s="1459"/>
      <c r="AK133" s="1000" t="s">
        <v>424</v>
      </c>
      <c r="AL133" s="1000" t="s">
        <v>425</v>
      </c>
      <c r="AM133" s="1000" cm="1" t="str">
        <f t="array" ref="AM133:AM133">AC133</f>
        <v>водопровод ул. Спортивная :: г Калтан, ул. Спортивная, -</v>
      </c>
      <c r="AN133" s="1000" cm="1" t="str">
        <f t="array" ref="AN133:AN133">AD133</f>
        <v>концессионное соглашение</v>
      </c>
      <c r="AO133" s="1000" cm="1" t="str">
        <f t="array" ref="AO133:AO133">AE133</f>
        <v>акт приёма-передачи</v>
      </c>
      <c r="AP133" s="1000" cm="1" t="str">
        <f t="array" ref="AP133:AP133">AF133</f>
        <v>б/н</v>
      </c>
      <c r="AQ133" s="1000" cm="1" t="str">
        <f t="array" ref="AQ133:AQ133">AG133</f>
        <v>01.06.2026</v>
      </c>
      <c r="AR133" s="619"/>
      <c r="AS133" s="619" t="b">
        <v>1</v>
      </c>
    </row>
    <row s="1459" customFormat="1" customHeight="1" ht="23.25">
      <c r="A134" s="1459"/>
      <c r="B134" s="1459"/>
      <c r="C134" s="1459"/>
      <c r="D134" s="1459"/>
      <c r="E134" s="629">
        <v>15</v>
      </c>
      <c r="F134" s="104" cm="1" t="str">
        <f t="array" ref="F134:F134">OFFSET(G134,-1,-1)</f>
        <v>2</v>
      </c>
      <c r="G134" s="1459"/>
      <c r="H134" s="1459"/>
      <c r="I134" s="104" t="s">
        <v>699</v>
      </c>
      <c r="J134" s="1459"/>
      <c r="K134" s="104" t="s">
        <v>700</v>
      </c>
      <c r="L134" s="1459"/>
      <c r="M134" s="1459"/>
      <c r="N134" s="1459"/>
      <c r="O134" s="1459"/>
      <c r="P134" s="1459"/>
      <c r="Q134" s="1459"/>
      <c r="R134" s="1459"/>
      <c r="S134" s="1459"/>
      <c r="T134" s="1459"/>
      <c r="U134" s="465">
        <f>AND(F134&gt;0,AB134&gt;0)</f>
        <v>1</v>
      </c>
      <c r="V134" s="1459"/>
      <c r="W134" s="1459"/>
      <c r="X134" s="717"/>
      <c r="Y134" s="1459"/>
      <c r="Z134" s="1459"/>
      <c r="AA134" s="662" t="s">
        <v>175</v>
      </c>
      <c r="AB134" s="88" t="s">
        <v>701</v>
      </c>
      <c r="AC134" s="274" t="str">
        <f>I134&amp;" :: "&amp;K134</f>
        <v>водопровод  от моста через реку Кондома до ул. Спортивная :: г Калтан, ул. Спортивная, 1-49</v>
      </c>
      <c r="AD134" s="274" t="s">
        <v>430</v>
      </c>
      <c r="AE134" s="274" t="s">
        <v>431</v>
      </c>
      <c r="AF134" s="405" t="s">
        <v>432</v>
      </c>
      <c r="AG134" s="405" t="s">
        <v>433</v>
      </c>
      <c r="AH134" s="2022" t="s">
        <v>434</v>
      </c>
      <c r="AI134" s="1459"/>
      <c r="AJ134" s="1459"/>
      <c r="AK134" s="1000" t="s">
        <v>424</v>
      </c>
      <c r="AL134" s="1000" t="s">
        <v>425</v>
      </c>
      <c r="AM134" s="1000" cm="1" t="str">
        <f t="array" ref="AM134:AM134">AC134</f>
        <v>водопровод  от моста через реку Кондома до ул. Спортивная :: г Калтан, ул. Спортивная, 1-49</v>
      </c>
      <c r="AN134" s="1000" cm="1" t="str">
        <f t="array" ref="AN134:AN134">AD134</f>
        <v>концессионное соглашение</v>
      </c>
      <c r="AO134" s="1000" cm="1" t="str">
        <f t="array" ref="AO134:AO134">AE134</f>
        <v>акт приёма-передачи</v>
      </c>
      <c r="AP134" s="1000" cm="1" t="str">
        <f t="array" ref="AP134:AP134">AF134</f>
        <v>б/н</v>
      </c>
      <c r="AQ134" s="1000" cm="1" t="str">
        <f t="array" ref="AQ134:AQ134">AG134</f>
        <v>01.06.2026</v>
      </c>
      <c r="AR134" s="619"/>
      <c r="AS134" s="619" t="b">
        <v>1</v>
      </c>
    </row>
    <row s="1459" customFormat="1" customHeight="1" ht="23.25">
      <c r="A135" s="1459"/>
      <c r="B135" s="1459"/>
      <c r="C135" s="1459"/>
      <c r="D135" s="1459"/>
      <c r="E135" s="629">
        <v>15</v>
      </c>
      <c r="F135" s="104" cm="1" t="str">
        <f t="array" ref="F135:F135">OFFSET(G135,-1,-1)</f>
        <v>2</v>
      </c>
      <c r="G135" s="1459"/>
      <c r="H135" s="1459"/>
      <c r="I135" s="104" t="s">
        <v>702</v>
      </c>
      <c r="J135" s="1459"/>
      <c r="K135" s="104" t="s">
        <v>703</v>
      </c>
      <c r="L135" s="1459"/>
      <c r="M135" s="1459"/>
      <c r="N135" s="1459"/>
      <c r="O135" s="1459"/>
      <c r="P135" s="1459"/>
      <c r="Q135" s="1459"/>
      <c r="R135" s="1459"/>
      <c r="S135" s="1459"/>
      <c r="T135" s="1459"/>
      <c r="U135" s="465">
        <f>AND(F135&gt;0,AB135&gt;0)</f>
        <v>1</v>
      </c>
      <c r="V135" s="1459"/>
      <c r="W135" s="1459"/>
      <c r="X135" s="717"/>
      <c r="Y135" s="1459"/>
      <c r="Z135" s="1459"/>
      <c r="AA135" s="662" t="s">
        <v>175</v>
      </c>
      <c r="AB135" s="88" t="s">
        <v>704</v>
      </c>
      <c r="AC135" s="274" t="str">
        <f>I135&amp;" :: "&amp;K135</f>
        <v>водопровод ул. Строительная :: г Калтан, ул. Строительная, -</v>
      </c>
      <c r="AD135" s="274" t="s">
        <v>430</v>
      </c>
      <c r="AE135" s="274" t="s">
        <v>431</v>
      </c>
      <c r="AF135" s="405" t="s">
        <v>432</v>
      </c>
      <c r="AG135" s="405" t="s">
        <v>433</v>
      </c>
      <c r="AH135" s="2022" t="s">
        <v>434</v>
      </c>
      <c r="AI135" s="1459"/>
      <c r="AJ135" s="1459"/>
      <c r="AK135" s="1000" t="s">
        <v>424</v>
      </c>
      <c r="AL135" s="1000" t="s">
        <v>425</v>
      </c>
      <c r="AM135" s="1000" cm="1" t="str">
        <f t="array" ref="AM135:AM135">AC135</f>
        <v>водопровод ул. Строительная :: г Калтан, ул. Строительная, -</v>
      </c>
      <c r="AN135" s="1000" cm="1" t="str">
        <f t="array" ref="AN135:AN135">AD135</f>
        <v>концессионное соглашение</v>
      </c>
      <c r="AO135" s="1000" cm="1" t="str">
        <f t="array" ref="AO135:AO135">AE135</f>
        <v>акт приёма-передачи</v>
      </c>
      <c r="AP135" s="1000" cm="1" t="str">
        <f t="array" ref="AP135:AP135">AF135</f>
        <v>б/н</v>
      </c>
      <c r="AQ135" s="1000" cm="1" t="str">
        <f t="array" ref="AQ135:AQ135">AG135</f>
        <v>01.06.2026</v>
      </c>
      <c r="AR135" s="619"/>
      <c r="AS135" s="619" t="b">
        <v>1</v>
      </c>
    </row>
    <row s="1459" customFormat="1" customHeight="1" ht="23.25">
      <c r="A136" s="1459"/>
      <c r="B136" s="1459"/>
      <c r="C136" s="1459"/>
      <c r="D136" s="1459"/>
      <c r="E136" s="629">
        <v>15</v>
      </c>
      <c r="F136" s="104" cm="1" t="str">
        <f t="array" ref="F136:F136">OFFSET(G136,-1,-1)</f>
        <v>2</v>
      </c>
      <c r="G136" s="1459"/>
      <c r="H136" s="1459"/>
      <c r="I136" s="104" t="s">
        <v>705</v>
      </c>
      <c r="J136" s="1459"/>
      <c r="K136" s="104" t="s">
        <v>706</v>
      </c>
      <c r="L136" s="1459"/>
      <c r="M136" s="1459"/>
      <c r="N136" s="1459"/>
      <c r="O136" s="1459"/>
      <c r="P136" s="1459"/>
      <c r="Q136" s="1459"/>
      <c r="R136" s="1459"/>
      <c r="S136" s="1459"/>
      <c r="T136" s="1459"/>
      <c r="U136" s="465">
        <f>AND(F136&gt;0,AB136&gt;0)</f>
        <v>1</v>
      </c>
      <c r="V136" s="1459"/>
      <c r="W136" s="1459"/>
      <c r="X136" s="717"/>
      <c r="Y136" s="1459"/>
      <c r="Z136" s="1459"/>
      <c r="AA136" s="662" t="s">
        <v>175</v>
      </c>
      <c r="AB136" s="88" t="s">
        <v>707</v>
      </c>
      <c r="AC136" s="274" t="str">
        <f>I136&amp;" :: "&amp;K136</f>
        <v>водопровод ул. Томская :: г Калтан, ул. Томская, -</v>
      </c>
      <c r="AD136" s="274" t="s">
        <v>430</v>
      </c>
      <c r="AE136" s="274" t="s">
        <v>431</v>
      </c>
      <c r="AF136" s="405" t="s">
        <v>432</v>
      </c>
      <c r="AG136" s="405" t="s">
        <v>433</v>
      </c>
      <c r="AH136" s="2022" t="s">
        <v>434</v>
      </c>
      <c r="AI136" s="1459"/>
      <c r="AJ136" s="1459"/>
      <c r="AK136" s="1000" t="s">
        <v>424</v>
      </c>
      <c r="AL136" s="1000" t="s">
        <v>425</v>
      </c>
      <c r="AM136" s="1000" cm="1" t="str">
        <f t="array" ref="AM136:AM136">AC136</f>
        <v>водопровод ул. Томская :: г Калтан, ул. Томская, -</v>
      </c>
      <c r="AN136" s="1000" cm="1" t="str">
        <f t="array" ref="AN136:AN136">AD136</f>
        <v>концессионное соглашение</v>
      </c>
      <c r="AO136" s="1000" cm="1" t="str">
        <f t="array" ref="AO136:AO136">AE136</f>
        <v>акт приёма-передачи</v>
      </c>
      <c r="AP136" s="1000" cm="1" t="str">
        <f t="array" ref="AP136:AP136">AF136</f>
        <v>б/н</v>
      </c>
      <c r="AQ136" s="1000" cm="1" t="str">
        <f t="array" ref="AQ136:AQ136">AG136</f>
        <v>01.06.2026</v>
      </c>
      <c r="AR136" s="619"/>
      <c r="AS136" s="619" t="b">
        <v>1</v>
      </c>
    </row>
    <row s="1459" customFormat="1" customHeight="1" ht="23.25">
      <c r="A137" s="1459"/>
      <c r="B137" s="1459"/>
      <c r="C137" s="1459"/>
      <c r="D137" s="1459"/>
      <c r="E137" s="629">
        <v>15</v>
      </c>
      <c r="F137" s="104" cm="1" t="str">
        <f t="array" ref="F137:F137">OFFSET(G137,-1,-1)</f>
        <v>2</v>
      </c>
      <c r="G137" s="1459"/>
      <c r="H137" s="1459"/>
      <c r="I137" s="104" t="s">
        <v>708</v>
      </c>
      <c r="J137" s="1459"/>
      <c r="K137" s="104" t="s">
        <v>709</v>
      </c>
      <c r="L137" s="1459"/>
      <c r="M137" s="1459"/>
      <c r="N137" s="1459"/>
      <c r="O137" s="1459"/>
      <c r="P137" s="1459"/>
      <c r="Q137" s="1459"/>
      <c r="R137" s="1459"/>
      <c r="S137" s="1459"/>
      <c r="T137" s="1459"/>
      <c r="U137" s="465">
        <f>AND(F137&gt;0,AB137&gt;0)</f>
        <v>1</v>
      </c>
      <c r="V137" s="1459"/>
      <c r="W137" s="1459"/>
      <c r="X137" s="717"/>
      <c r="Y137" s="1459"/>
      <c r="Z137" s="1459"/>
      <c r="AA137" s="662" t="s">
        <v>175</v>
      </c>
      <c r="AB137" s="88" t="s">
        <v>710</v>
      </c>
      <c r="AC137" s="274" t="str">
        <f>I137&amp;" :: "&amp;K137</f>
        <v>водопровод ул. Фестивальная :: г Калтан, ул. Фестивальная, -</v>
      </c>
      <c r="AD137" s="274" t="s">
        <v>430</v>
      </c>
      <c r="AE137" s="274" t="s">
        <v>431</v>
      </c>
      <c r="AF137" s="405" t="s">
        <v>432</v>
      </c>
      <c r="AG137" s="405" t="s">
        <v>433</v>
      </c>
      <c r="AH137" s="2022" t="s">
        <v>434</v>
      </c>
      <c r="AI137" s="1459"/>
      <c r="AJ137" s="1459"/>
      <c r="AK137" s="1000" t="s">
        <v>424</v>
      </c>
      <c r="AL137" s="1000" t="s">
        <v>425</v>
      </c>
      <c r="AM137" s="1000" cm="1" t="str">
        <f t="array" ref="AM137:AM137">AC137</f>
        <v>водопровод ул. Фестивальная :: г Калтан, ул. Фестивальная, -</v>
      </c>
      <c r="AN137" s="1000" cm="1" t="str">
        <f t="array" ref="AN137:AN137">AD137</f>
        <v>концессионное соглашение</v>
      </c>
      <c r="AO137" s="1000" cm="1" t="str">
        <f t="array" ref="AO137:AO137">AE137</f>
        <v>акт приёма-передачи</v>
      </c>
      <c r="AP137" s="1000" cm="1" t="str">
        <f t="array" ref="AP137:AP137">AF137</f>
        <v>б/н</v>
      </c>
      <c r="AQ137" s="1000" cm="1" t="str">
        <f t="array" ref="AQ137:AQ137">AG137</f>
        <v>01.06.2026</v>
      </c>
      <c r="AR137" s="619"/>
      <c r="AS137" s="619" t="b">
        <v>1</v>
      </c>
    </row>
    <row s="1459" customFormat="1" customHeight="1" ht="23.25">
      <c r="A138" s="1459"/>
      <c r="B138" s="1459"/>
      <c r="C138" s="1459"/>
      <c r="D138" s="1459"/>
      <c r="E138" s="629">
        <v>15</v>
      </c>
      <c r="F138" s="104" cm="1" t="str">
        <f t="array" ref="F138:F138">OFFSET(G138,-1,-1)</f>
        <v>2</v>
      </c>
      <c r="G138" s="1459"/>
      <c r="H138" s="1459"/>
      <c r="I138" s="104" t="s">
        <v>711</v>
      </c>
      <c r="J138" s="1459"/>
      <c r="K138" s="104" t="s">
        <v>712</v>
      </c>
      <c r="L138" s="1459"/>
      <c r="M138" s="1459"/>
      <c r="N138" s="1459"/>
      <c r="O138" s="1459"/>
      <c r="P138" s="1459"/>
      <c r="Q138" s="1459"/>
      <c r="R138" s="1459"/>
      <c r="S138" s="1459"/>
      <c r="T138" s="1459"/>
      <c r="U138" s="465">
        <f>AND(F138&gt;0,AB138&gt;0)</f>
        <v>1</v>
      </c>
      <c r="V138" s="1459"/>
      <c r="W138" s="1459"/>
      <c r="X138" s="717"/>
      <c r="Y138" s="1459"/>
      <c r="Z138" s="1459"/>
      <c r="AA138" s="662" t="s">
        <v>175</v>
      </c>
      <c r="AB138" s="88" t="s">
        <v>713</v>
      </c>
      <c r="AC138" s="274" t="str">
        <f>I138&amp;" :: "&amp;K138</f>
        <v>водопровод  ул. Центральная (ж.д. №№9,11,14,15,16,18,20,21,22,24,25,30,44,46,48,48а,66,68,70,74,76) :: г Калтан, ул. Центральная (ж.д. №№9,11,14,15,16,18,20,21,22,24,25,30,44,46,48,48а,66,68,70,74,76), -</v>
      </c>
      <c r="AD138" s="274" t="s">
        <v>430</v>
      </c>
      <c r="AE138" s="274" t="s">
        <v>431</v>
      </c>
      <c r="AF138" s="405" t="s">
        <v>432</v>
      </c>
      <c r="AG138" s="405" t="s">
        <v>433</v>
      </c>
      <c r="AH138" s="2022" t="s">
        <v>434</v>
      </c>
      <c r="AI138" s="1459"/>
      <c r="AJ138" s="1459"/>
      <c r="AK138" s="1000" t="s">
        <v>424</v>
      </c>
      <c r="AL138" s="1000" t="s">
        <v>425</v>
      </c>
      <c r="AM138" s="1000" cm="1" t="str">
        <f t="array" ref="AM138:AM138">AC138</f>
        <v>водопровод  ул. Центральная (ж.д. №№9,11,14,15,16,18,20,21,22,24,25,30,44,46,48,48а,66,68,70,74,76) :: г Калтан, ул. Центральная (ж.д. №№9,11,14,15,16,18,20,21,22,24,25,30,44,46,48,48а,66,68,70,74,76), -</v>
      </c>
      <c r="AN138" s="1000" cm="1" t="str">
        <f t="array" ref="AN138:AN138">AD138</f>
        <v>концессионное соглашение</v>
      </c>
      <c r="AO138" s="1000" cm="1" t="str">
        <f t="array" ref="AO138:AO138">AE138</f>
        <v>акт приёма-передачи</v>
      </c>
      <c r="AP138" s="1000" cm="1" t="str">
        <f t="array" ref="AP138:AP138">AF138</f>
        <v>б/н</v>
      </c>
      <c r="AQ138" s="1000" cm="1" t="str">
        <f t="array" ref="AQ138:AQ138">AG138</f>
        <v>01.06.2026</v>
      </c>
      <c r="AR138" s="619"/>
      <c r="AS138" s="619" t="b">
        <v>1</v>
      </c>
    </row>
    <row s="1459" customFormat="1" customHeight="1" ht="23.25">
      <c r="A139" s="1459"/>
      <c r="B139" s="1459"/>
      <c r="C139" s="1459"/>
      <c r="D139" s="1459"/>
      <c r="E139" s="629">
        <v>15</v>
      </c>
      <c r="F139" s="104" cm="1" t="str">
        <f t="array" ref="F139:F139">OFFSET(G139,-1,-1)</f>
        <v>2</v>
      </c>
      <c r="G139" s="1459"/>
      <c r="H139" s="1459"/>
      <c r="I139" s="104" t="s">
        <v>714</v>
      </c>
      <c r="J139" s="1459"/>
      <c r="K139" s="104" t="s">
        <v>715</v>
      </c>
      <c r="L139" s="1459"/>
      <c r="M139" s="1459"/>
      <c r="N139" s="1459"/>
      <c r="O139" s="1459"/>
      <c r="P139" s="1459"/>
      <c r="Q139" s="1459"/>
      <c r="R139" s="1459"/>
      <c r="S139" s="1459"/>
      <c r="T139" s="1459"/>
      <c r="U139" s="465">
        <f>AND(F139&gt;0,AB139&gt;0)</f>
        <v>1</v>
      </c>
      <c r="V139" s="1459"/>
      <c r="W139" s="1459"/>
      <c r="X139" s="717"/>
      <c r="Y139" s="1459"/>
      <c r="Z139" s="1459"/>
      <c r="AA139" s="662" t="s">
        <v>175</v>
      </c>
      <c r="AB139" s="88" t="s">
        <v>716</v>
      </c>
      <c r="AC139" s="274" t="str">
        <f>I139&amp;" :: "&amp;K139</f>
        <v>водопровод от Гидроузла до ПНС "Садовая" :: п Малиновка, -, -</v>
      </c>
      <c r="AD139" s="274" t="s">
        <v>430</v>
      </c>
      <c r="AE139" s="274" t="s">
        <v>431</v>
      </c>
      <c r="AF139" s="405" t="s">
        <v>432</v>
      </c>
      <c r="AG139" s="405" t="s">
        <v>433</v>
      </c>
      <c r="AH139" s="2022" t="s">
        <v>434</v>
      </c>
      <c r="AI139" s="1459"/>
      <c r="AJ139" s="1459"/>
      <c r="AK139" s="1000" t="s">
        <v>424</v>
      </c>
      <c r="AL139" s="1000" t="s">
        <v>425</v>
      </c>
      <c r="AM139" s="1000" cm="1" t="str">
        <f t="array" ref="AM139:AM139">AC139</f>
        <v>водопровод от Гидроузла до ПНС "Садовая" :: п Малиновка, -, -</v>
      </c>
      <c r="AN139" s="1000" cm="1" t="str">
        <f t="array" ref="AN139:AN139">AD139</f>
        <v>концессионное соглашение</v>
      </c>
      <c r="AO139" s="1000" cm="1" t="str">
        <f t="array" ref="AO139:AO139">AE139</f>
        <v>акт приёма-передачи</v>
      </c>
      <c r="AP139" s="1000" cm="1" t="str">
        <f t="array" ref="AP139:AP139">AF139</f>
        <v>б/н</v>
      </c>
      <c r="AQ139" s="1000" cm="1" t="str">
        <f t="array" ref="AQ139:AQ139">AG139</f>
        <v>01.06.2026</v>
      </c>
      <c r="AR139" s="619"/>
      <c r="AS139" s="619" t="b">
        <v>1</v>
      </c>
    </row>
    <row s="1459" customFormat="1" customHeight="1" ht="23.25">
      <c r="A140" s="1459"/>
      <c r="B140" s="1459"/>
      <c r="C140" s="1459"/>
      <c r="D140" s="1459"/>
      <c r="E140" s="629">
        <v>15</v>
      </c>
      <c r="F140" s="104" cm="1" t="str">
        <f t="array" ref="F140:F140">OFFSET(G140,-1,-1)</f>
        <v>2</v>
      </c>
      <c r="G140" s="1459"/>
      <c r="H140" s="1459"/>
      <c r="I140" s="104" t="s">
        <v>717</v>
      </c>
      <c r="J140" s="1459"/>
      <c r="K140" s="104" t="s">
        <v>715</v>
      </c>
      <c r="L140" s="1459"/>
      <c r="M140" s="1459"/>
      <c r="N140" s="1459"/>
      <c r="O140" s="1459"/>
      <c r="P140" s="1459"/>
      <c r="Q140" s="1459"/>
      <c r="R140" s="1459"/>
      <c r="S140" s="1459"/>
      <c r="T140" s="1459"/>
      <c r="U140" s="465">
        <f>AND(F140&gt;0,AB140&gt;0)</f>
        <v>1</v>
      </c>
      <c r="V140" s="1459"/>
      <c r="W140" s="1459"/>
      <c r="X140" s="717"/>
      <c r="Y140" s="1459"/>
      <c r="Z140" s="1459"/>
      <c r="AA140" s="662" t="s">
        <v>175</v>
      </c>
      <c r="AB140" s="88" t="s">
        <v>718</v>
      </c>
      <c r="AC140" s="274" t="str">
        <f>I140&amp;" :: "&amp;K140</f>
        <v>водовод от Водозабора № 1 до п. Малиновка (2-ая нитка) :: п Малиновка, -, -</v>
      </c>
      <c r="AD140" s="274" t="s">
        <v>430</v>
      </c>
      <c r="AE140" s="274" t="s">
        <v>431</v>
      </c>
      <c r="AF140" s="405" t="s">
        <v>432</v>
      </c>
      <c r="AG140" s="405" t="s">
        <v>433</v>
      </c>
      <c r="AH140" s="2022" t="s">
        <v>434</v>
      </c>
      <c r="AI140" s="1459"/>
      <c r="AJ140" s="1459"/>
      <c r="AK140" s="1000" t="s">
        <v>424</v>
      </c>
      <c r="AL140" s="1000" t="s">
        <v>425</v>
      </c>
      <c r="AM140" s="1000" cm="1" t="str">
        <f t="array" ref="AM140:AM140">AC140</f>
        <v>водовод от Водозабора № 1 до п. Малиновка (2-ая нитка) :: п Малиновка, -, -</v>
      </c>
      <c r="AN140" s="1000" cm="1" t="str">
        <f t="array" ref="AN140:AN140">AD140</f>
        <v>концессионное соглашение</v>
      </c>
      <c r="AO140" s="1000" cm="1" t="str">
        <f t="array" ref="AO140:AO140">AE140</f>
        <v>акт приёма-передачи</v>
      </c>
      <c r="AP140" s="1000" cm="1" t="str">
        <f t="array" ref="AP140:AP140">AF140</f>
        <v>б/н</v>
      </c>
      <c r="AQ140" s="1000" cm="1" t="str">
        <f t="array" ref="AQ140:AQ140">AG140</f>
        <v>01.06.2026</v>
      </c>
      <c r="AR140" s="619"/>
      <c r="AS140" s="619" t="b">
        <v>1</v>
      </c>
    </row>
    <row s="1459" customFormat="1" customHeight="1" ht="23.25">
      <c r="A141" s="1459"/>
      <c r="B141" s="1459"/>
      <c r="C141" s="1459"/>
      <c r="D141" s="1459"/>
      <c r="E141" s="629">
        <v>15</v>
      </c>
      <c r="F141" s="104" cm="1" t="str">
        <f t="array" ref="F141:F141">OFFSET(G141,-1,-1)</f>
        <v>2</v>
      </c>
      <c r="G141" s="1459"/>
      <c r="H141" s="1459"/>
      <c r="I141" s="104" t="s">
        <v>719</v>
      </c>
      <c r="J141" s="1459"/>
      <c r="K141" s="104" t="s">
        <v>715</v>
      </c>
      <c r="L141" s="1459"/>
      <c r="M141" s="1459"/>
      <c r="N141" s="1459"/>
      <c r="O141" s="1459"/>
      <c r="P141" s="1459"/>
      <c r="Q141" s="1459"/>
      <c r="R141" s="1459"/>
      <c r="S141" s="1459"/>
      <c r="T141" s="1459"/>
      <c r="U141" s="465">
        <f>AND(F141&gt;0,AB141&gt;0)</f>
        <v>1</v>
      </c>
      <c r="V141" s="1459"/>
      <c r="W141" s="1459"/>
      <c r="X141" s="717"/>
      <c r="Y141" s="1459"/>
      <c r="Z141" s="1459"/>
      <c r="AA141" s="662" t="s">
        <v>175</v>
      </c>
      <c r="AB141" s="88" t="s">
        <v>720</v>
      </c>
      <c r="AC141" s="274" t="str">
        <f>I141&amp;" :: "&amp;K141</f>
        <v>водопровод от Гидроузла до о/с :: п Малиновка, -, -</v>
      </c>
      <c r="AD141" s="274" t="s">
        <v>430</v>
      </c>
      <c r="AE141" s="274" t="s">
        <v>431</v>
      </c>
      <c r="AF141" s="405" t="s">
        <v>432</v>
      </c>
      <c r="AG141" s="405" t="s">
        <v>433</v>
      </c>
      <c r="AH141" s="2022" t="s">
        <v>434</v>
      </c>
      <c r="AI141" s="1459"/>
      <c r="AJ141" s="1459"/>
      <c r="AK141" s="1000" t="s">
        <v>424</v>
      </c>
      <c r="AL141" s="1000" t="s">
        <v>425</v>
      </c>
      <c r="AM141" s="1000" cm="1" t="str">
        <f t="array" ref="AM141:AM141">AC141</f>
        <v>водопровод от Гидроузла до о/с :: п Малиновка, -, -</v>
      </c>
      <c r="AN141" s="1000" cm="1" t="str">
        <f t="array" ref="AN141:AN141">AD141</f>
        <v>концессионное соглашение</v>
      </c>
      <c r="AO141" s="1000" cm="1" t="str">
        <f t="array" ref="AO141:AO141">AE141</f>
        <v>акт приёма-передачи</v>
      </c>
      <c r="AP141" s="1000" cm="1" t="str">
        <f t="array" ref="AP141:AP141">AF141</f>
        <v>б/н</v>
      </c>
      <c r="AQ141" s="1000" cm="1" t="str">
        <f t="array" ref="AQ141:AQ141">AG141</f>
        <v>01.06.2026</v>
      </c>
      <c r="AR141" s="619"/>
      <c r="AS141" s="619" t="b">
        <v>1</v>
      </c>
    </row>
    <row s="1459" customFormat="1" customHeight="1" ht="23.25">
      <c r="A142" s="1459"/>
      <c r="B142" s="1459"/>
      <c r="C142" s="1459"/>
      <c r="D142" s="1459"/>
      <c r="E142" s="629">
        <v>15</v>
      </c>
      <c r="F142" s="104" cm="1" t="str">
        <f t="array" ref="F142:F142">OFFSET(G142,-1,-1)</f>
        <v>2</v>
      </c>
      <c r="G142" s="1459"/>
      <c r="H142" s="1459"/>
      <c r="I142" s="104" t="s">
        <v>721</v>
      </c>
      <c r="J142" s="1459"/>
      <c r="K142" s="104" t="s">
        <v>722</v>
      </c>
      <c r="L142" s="1459"/>
      <c r="M142" s="1459"/>
      <c r="N142" s="1459"/>
      <c r="O142" s="1459"/>
      <c r="P142" s="1459"/>
      <c r="Q142" s="1459"/>
      <c r="R142" s="1459"/>
      <c r="S142" s="1459"/>
      <c r="T142" s="1459"/>
      <c r="U142" s="465">
        <f>AND(F142&gt;0,AB142&gt;0)</f>
        <v>1</v>
      </c>
      <c r="V142" s="1459"/>
      <c r="W142" s="1459"/>
      <c r="X142" s="717"/>
      <c r="Y142" s="1459"/>
      <c r="Z142" s="1459"/>
      <c r="AA142" s="662" t="s">
        <v>175</v>
      </c>
      <c r="AB142" s="88" t="s">
        <v>723</v>
      </c>
      <c r="AC142" s="274" t="str">
        <f>I142&amp;" :: "&amp;K142</f>
        <v>водопровод ул. Васильковая :: п Малиновка, Васильковая, -</v>
      </c>
      <c r="AD142" s="274" t="s">
        <v>430</v>
      </c>
      <c r="AE142" s="274" t="s">
        <v>431</v>
      </c>
      <c r="AF142" s="405" t="s">
        <v>432</v>
      </c>
      <c r="AG142" s="405" t="s">
        <v>433</v>
      </c>
      <c r="AH142" s="2022" t="s">
        <v>434</v>
      </c>
      <c r="AI142" s="1459"/>
      <c r="AJ142" s="1459"/>
      <c r="AK142" s="1000" t="s">
        <v>424</v>
      </c>
      <c r="AL142" s="1000" t="s">
        <v>425</v>
      </c>
      <c r="AM142" s="1000" cm="1" t="str">
        <f t="array" ref="AM142:AM142">AC142</f>
        <v>водопровод ул. Васильковая :: п Малиновка, Васильковая, -</v>
      </c>
      <c r="AN142" s="1000" cm="1" t="str">
        <f t="array" ref="AN142:AN142">AD142</f>
        <v>концессионное соглашение</v>
      </c>
      <c r="AO142" s="1000" cm="1" t="str">
        <f t="array" ref="AO142:AO142">AE142</f>
        <v>акт приёма-передачи</v>
      </c>
      <c r="AP142" s="1000" cm="1" t="str">
        <f t="array" ref="AP142:AP142">AF142</f>
        <v>б/н</v>
      </c>
      <c r="AQ142" s="1000" cm="1" t="str">
        <f t="array" ref="AQ142:AQ142">AG142</f>
        <v>01.06.2026</v>
      </c>
      <c r="AR142" s="619"/>
      <c r="AS142" s="619" t="b">
        <v>1</v>
      </c>
    </row>
    <row s="1459" customFormat="1" customHeight="1" ht="23.25">
      <c r="A143" s="1459"/>
      <c r="B143" s="1459"/>
      <c r="C143" s="1459"/>
      <c r="D143" s="1459"/>
      <c r="E143" s="629">
        <v>15</v>
      </c>
      <c r="F143" s="104" cm="1" t="str">
        <f t="array" ref="F143:F143">OFFSET(G143,-1,-1)</f>
        <v>2</v>
      </c>
      <c r="G143" s="1459"/>
      <c r="H143" s="1459"/>
      <c r="I143" s="104" t="s">
        <v>724</v>
      </c>
      <c r="J143" s="1459"/>
      <c r="K143" s="104" t="s">
        <v>725</v>
      </c>
      <c r="L143" s="1459"/>
      <c r="M143" s="1459"/>
      <c r="N143" s="1459"/>
      <c r="O143" s="1459"/>
      <c r="P143" s="1459"/>
      <c r="Q143" s="1459"/>
      <c r="R143" s="1459"/>
      <c r="S143" s="1459"/>
      <c r="T143" s="1459"/>
      <c r="U143" s="465">
        <f>AND(F143&gt;0,AB143&gt;0)</f>
        <v>1</v>
      </c>
      <c r="V143" s="1459"/>
      <c r="W143" s="1459"/>
      <c r="X143" s="717"/>
      <c r="Y143" s="1459"/>
      <c r="Z143" s="1459"/>
      <c r="AA143" s="662" t="s">
        <v>175</v>
      </c>
      <c r="AB143" s="88" t="s">
        <v>726</v>
      </c>
      <c r="AC143" s="274" t="str">
        <f>I143&amp;" :: "&amp;K143</f>
        <v>водопровод ул.Весенняя :: п Малиновка, Весенняя, -</v>
      </c>
      <c r="AD143" s="274" t="s">
        <v>430</v>
      </c>
      <c r="AE143" s="274" t="s">
        <v>431</v>
      </c>
      <c r="AF143" s="405" t="s">
        <v>432</v>
      </c>
      <c r="AG143" s="405" t="s">
        <v>433</v>
      </c>
      <c r="AH143" s="2022" t="s">
        <v>434</v>
      </c>
      <c r="AI143" s="1459"/>
      <c r="AJ143" s="1459"/>
      <c r="AK143" s="1000" t="s">
        <v>424</v>
      </c>
      <c r="AL143" s="1000" t="s">
        <v>425</v>
      </c>
      <c r="AM143" s="1000" cm="1" t="str">
        <f t="array" ref="AM143:AM143">AC143</f>
        <v>водопровод ул.Весенняя :: п Малиновка, Весенняя, -</v>
      </c>
      <c r="AN143" s="1000" cm="1" t="str">
        <f t="array" ref="AN143:AN143">AD143</f>
        <v>концессионное соглашение</v>
      </c>
      <c r="AO143" s="1000" cm="1" t="str">
        <f t="array" ref="AO143:AO143">AE143</f>
        <v>акт приёма-передачи</v>
      </c>
      <c r="AP143" s="1000" cm="1" t="str">
        <f t="array" ref="AP143:AP143">AF143</f>
        <v>б/н</v>
      </c>
      <c r="AQ143" s="1000" cm="1" t="str">
        <f t="array" ref="AQ143:AQ143">AG143</f>
        <v>01.06.2026</v>
      </c>
      <c r="AR143" s="619"/>
      <c r="AS143" s="619" t="b">
        <v>1</v>
      </c>
    </row>
    <row s="1459" customFormat="1" customHeight="1" ht="23.25">
      <c r="A144" s="1459"/>
      <c r="B144" s="1459"/>
      <c r="C144" s="1459"/>
      <c r="D144" s="1459"/>
      <c r="E144" s="629">
        <v>15</v>
      </c>
      <c r="F144" s="104" cm="1" t="str">
        <f t="array" ref="F144:F144">OFFSET(G144,-1,-1)</f>
        <v>2</v>
      </c>
      <c r="G144" s="1459"/>
      <c r="H144" s="1459"/>
      <c r="I144" s="104" t="s">
        <v>727</v>
      </c>
      <c r="J144" s="1459"/>
      <c r="K144" s="104" t="s">
        <v>728</v>
      </c>
      <c r="L144" s="1459"/>
      <c r="M144" s="1459"/>
      <c r="N144" s="1459"/>
      <c r="O144" s="1459"/>
      <c r="P144" s="1459"/>
      <c r="Q144" s="1459"/>
      <c r="R144" s="1459"/>
      <c r="S144" s="1459"/>
      <c r="T144" s="1459"/>
      <c r="U144" s="465">
        <f>AND(F144&gt;0,AB144&gt;0)</f>
        <v>1</v>
      </c>
      <c r="V144" s="1459"/>
      <c r="W144" s="1459"/>
      <c r="X144" s="717"/>
      <c r="Y144" s="1459"/>
      <c r="Z144" s="1459"/>
      <c r="AA144" s="662" t="s">
        <v>175</v>
      </c>
      <c r="AB144" s="88" t="s">
        <v>729</v>
      </c>
      <c r="AC144" s="274" t="str">
        <f>I144&amp;" :: "&amp;K144</f>
        <v>водопровод Квартал № 15 от гидроузла по ул. Угольная, 2а до резервуара по ул. Солнечной, 27а :: п Малиновка, водопровод Квартал № 15 от гидроузла по ул. Угольная, 2а до резервуара по ул. Солнечной, 27а, -</v>
      </c>
      <c r="AD144" s="274" t="s">
        <v>430</v>
      </c>
      <c r="AE144" s="274" t="s">
        <v>431</v>
      </c>
      <c r="AF144" s="405" t="s">
        <v>432</v>
      </c>
      <c r="AG144" s="405" t="s">
        <v>433</v>
      </c>
      <c r="AH144" s="2022" t="s">
        <v>434</v>
      </c>
      <c r="AI144" s="1459"/>
      <c r="AJ144" s="1459"/>
      <c r="AK144" s="1000" t="s">
        <v>424</v>
      </c>
      <c r="AL144" s="1000" t="s">
        <v>425</v>
      </c>
      <c r="AM144" s="1000" cm="1" t="str">
        <f t="array" ref="AM144:AM144">AC144</f>
        <v>водопровод Квартал № 15 от гидроузла по ул. Угольная, 2а до резервуара по ул. Солнечной, 27а :: п Малиновка, водопровод Квартал № 15 от гидроузла по ул. Угольная, 2а до резервуара по ул. Солнечной, 27а, -</v>
      </c>
      <c r="AN144" s="1000" cm="1" t="str">
        <f t="array" ref="AN144:AN144">AD144</f>
        <v>концессионное соглашение</v>
      </c>
      <c r="AO144" s="1000" cm="1" t="str">
        <f t="array" ref="AO144:AO144">AE144</f>
        <v>акт приёма-передачи</v>
      </c>
      <c r="AP144" s="1000" cm="1" t="str">
        <f t="array" ref="AP144:AP144">AF144</f>
        <v>б/н</v>
      </c>
      <c r="AQ144" s="1000" cm="1" t="str">
        <f t="array" ref="AQ144:AQ144">AG144</f>
        <v>01.06.2026</v>
      </c>
      <c r="AR144" s="619"/>
      <c r="AS144" s="619" t="b">
        <v>1</v>
      </c>
    </row>
    <row s="1459" customFormat="1" customHeight="1" ht="23.25">
      <c r="A145" s="1459"/>
      <c r="B145" s="1459"/>
      <c r="C145" s="1459"/>
      <c r="D145" s="1459"/>
      <c r="E145" s="629">
        <v>15</v>
      </c>
      <c r="F145" s="104" cm="1" t="str">
        <f t="array" ref="F145:F145">OFFSET(G145,-1,-1)</f>
        <v>2</v>
      </c>
      <c r="G145" s="1459"/>
      <c r="H145" s="1459"/>
      <c r="I145" s="104" t="s">
        <v>730</v>
      </c>
      <c r="J145" s="1459"/>
      <c r="K145" s="104" t="s">
        <v>731</v>
      </c>
      <c r="L145" s="1459"/>
      <c r="M145" s="1459"/>
      <c r="N145" s="1459"/>
      <c r="O145" s="1459"/>
      <c r="P145" s="1459"/>
      <c r="Q145" s="1459"/>
      <c r="R145" s="1459"/>
      <c r="S145" s="1459"/>
      <c r="T145" s="1459"/>
      <c r="U145" s="465">
        <f>AND(F145&gt;0,AB145&gt;0)</f>
        <v>1</v>
      </c>
      <c r="V145" s="1459"/>
      <c r="W145" s="1459"/>
      <c r="X145" s="717"/>
      <c r="Y145" s="1459"/>
      <c r="Z145" s="1459"/>
      <c r="AA145" s="662" t="s">
        <v>175</v>
      </c>
      <c r="AB145" s="88" t="s">
        <v>732</v>
      </c>
      <c r="AC145" s="274" t="str">
        <f>I145&amp;" :: "&amp;K145</f>
        <v>Водопровод ул. Восточная :: п Малиновка, Восточная, -</v>
      </c>
      <c r="AD145" s="274" t="s">
        <v>430</v>
      </c>
      <c r="AE145" s="274" t="s">
        <v>431</v>
      </c>
      <c r="AF145" s="405" t="s">
        <v>432</v>
      </c>
      <c r="AG145" s="405" t="s">
        <v>433</v>
      </c>
      <c r="AH145" s="2022" t="s">
        <v>434</v>
      </c>
      <c r="AI145" s="1459"/>
      <c r="AJ145" s="1459"/>
      <c r="AK145" s="1000" t="s">
        <v>424</v>
      </c>
      <c r="AL145" s="1000" t="s">
        <v>425</v>
      </c>
      <c r="AM145" s="1000" cm="1" t="str">
        <f t="array" ref="AM145:AM145">AC145</f>
        <v>Водопровод ул. Восточная :: п Малиновка, Восточная, -</v>
      </c>
      <c r="AN145" s="1000" cm="1" t="str">
        <f t="array" ref="AN145:AN145">AD145</f>
        <v>концессионное соглашение</v>
      </c>
      <c r="AO145" s="1000" cm="1" t="str">
        <f t="array" ref="AO145:AO145">AE145</f>
        <v>акт приёма-передачи</v>
      </c>
      <c r="AP145" s="1000" cm="1" t="str">
        <f t="array" ref="AP145:AP145">AF145</f>
        <v>б/н</v>
      </c>
      <c r="AQ145" s="1000" cm="1" t="str">
        <f t="array" ref="AQ145:AQ145">AG145</f>
        <v>01.06.2026</v>
      </c>
      <c r="AR145" s="619"/>
      <c r="AS145" s="619" t="b">
        <v>1</v>
      </c>
    </row>
    <row s="1459" customFormat="1" customHeight="1" ht="23.25">
      <c r="A146" s="1459"/>
      <c r="B146" s="1459"/>
      <c r="C146" s="1459"/>
      <c r="D146" s="1459"/>
      <c r="E146" s="629">
        <v>15</v>
      </c>
      <c r="F146" s="104" cm="1" t="str">
        <f t="array" ref="F146:F146">OFFSET(G146,-1,-1)</f>
        <v>2</v>
      </c>
      <c r="G146" s="1459"/>
      <c r="H146" s="1459"/>
      <c r="I146" s="104" t="s">
        <v>733</v>
      </c>
      <c r="J146" s="1459"/>
      <c r="K146" s="104" t="s">
        <v>734</v>
      </c>
      <c r="L146" s="1459"/>
      <c r="M146" s="1459"/>
      <c r="N146" s="1459"/>
      <c r="O146" s="1459"/>
      <c r="P146" s="1459"/>
      <c r="Q146" s="1459"/>
      <c r="R146" s="1459"/>
      <c r="S146" s="1459"/>
      <c r="T146" s="1459"/>
      <c r="U146" s="465">
        <f>AND(F146&gt;0,AB146&gt;0)</f>
        <v>1</v>
      </c>
      <c r="V146" s="1459"/>
      <c r="W146" s="1459"/>
      <c r="X146" s="717"/>
      <c r="Y146" s="1459"/>
      <c r="Z146" s="1459"/>
      <c r="AA146" s="662" t="s">
        <v>175</v>
      </c>
      <c r="AB146" s="88" t="s">
        <v>735</v>
      </c>
      <c r="AC146" s="274" t="str">
        <f>I146&amp;" :: "&amp;K146</f>
        <v>водопровод пер. Восточный :: п Малиновка, Восточный, -</v>
      </c>
      <c r="AD146" s="274" t="s">
        <v>430</v>
      </c>
      <c r="AE146" s="274" t="s">
        <v>431</v>
      </c>
      <c r="AF146" s="405" t="s">
        <v>432</v>
      </c>
      <c r="AG146" s="405" t="s">
        <v>433</v>
      </c>
      <c r="AH146" s="2022" t="s">
        <v>434</v>
      </c>
      <c r="AI146" s="1459"/>
      <c r="AJ146" s="1459"/>
      <c r="AK146" s="1000" t="s">
        <v>424</v>
      </c>
      <c r="AL146" s="1000" t="s">
        <v>425</v>
      </c>
      <c r="AM146" s="1000" cm="1" t="str">
        <f t="array" ref="AM146:AM146">AC146</f>
        <v>водопровод пер. Восточный :: п Малиновка, Восточный, -</v>
      </c>
      <c r="AN146" s="1000" cm="1" t="str">
        <f t="array" ref="AN146:AN146">AD146</f>
        <v>концессионное соглашение</v>
      </c>
      <c r="AO146" s="1000" cm="1" t="str">
        <f t="array" ref="AO146:AO146">AE146</f>
        <v>акт приёма-передачи</v>
      </c>
      <c r="AP146" s="1000" cm="1" t="str">
        <f t="array" ref="AP146:AP146">AF146</f>
        <v>б/н</v>
      </c>
      <c r="AQ146" s="1000" cm="1" t="str">
        <f t="array" ref="AQ146:AQ146">AG146</f>
        <v>01.06.2026</v>
      </c>
      <c r="AR146" s="619"/>
      <c r="AS146" s="619" t="b">
        <v>1</v>
      </c>
    </row>
    <row s="1459" customFormat="1" customHeight="1" ht="23.25">
      <c r="A147" s="1459"/>
      <c r="B147" s="1459"/>
      <c r="C147" s="1459"/>
      <c r="D147" s="1459"/>
      <c r="E147" s="629">
        <v>15</v>
      </c>
      <c r="F147" s="104" cm="1" t="str">
        <f t="array" ref="F147:F147">OFFSET(G147,-1,-1)</f>
        <v>2</v>
      </c>
      <c r="G147" s="1459"/>
      <c r="H147" s="1459"/>
      <c r="I147" s="104" t="s">
        <v>736</v>
      </c>
      <c r="J147" s="1459"/>
      <c r="K147" s="104" t="s">
        <v>737</v>
      </c>
      <c r="L147" s="1459"/>
      <c r="M147" s="1459"/>
      <c r="N147" s="1459"/>
      <c r="O147" s="1459"/>
      <c r="P147" s="1459"/>
      <c r="Q147" s="1459"/>
      <c r="R147" s="1459"/>
      <c r="S147" s="1459"/>
      <c r="T147" s="1459"/>
      <c r="U147" s="465">
        <f>AND(F147&gt;0,AB147&gt;0)</f>
        <v>1</v>
      </c>
      <c r="V147" s="1459"/>
      <c r="W147" s="1459"/>
      <c r="X147" s="717"/>
      <c r="Y147" s="1459"/>
      <c r="Z147" s="1459"/>
      <c r="AA147" s="662" t="s">
        <v>175</v>
      </c>
      <c r="AB147" s="88" t="s">
        <v>738</v>
      </c>
      <c r="AC147" s="274" t="str">
        <f>I147&amp;" :: "&amp;K147</f>
        <v>водопровод пер. Высотный :: п Малиновка, Высотный, -</v>
      </c>
      <c r="AD147" s="274" t="s">
        <v>430</v>
      </c>
      <c r="AE147" s="274" t="s">
        <v>431</v>
      </c>
      <c r="AF147" s="405" t="s">
        <v>432</v>
      </c>
      <c r="AG147" s="405" t="s">
        <v>433</v>
      </c>
      <c r="AH147" s="2022" t="s">
        <v>434</v>
      </c>
      <c r="AI147" s="1459"/>
      <c r="AJ147" s="1459"/>
      <c r="AK147" s="1000" t="s">
        <v>424</v>
      </c>
      <c r="AL147" s="1000" t="s">
        <v>425</v>
      </c>
      <c r="AM147" s="1000" cm="1" t="str">
        <f t="array" ref="AM147:AM147">AC147</f>
        <v>водопровод пер. Высотный :: п Малиновка, Высотный, -</v>
      </c>
      <c r="AN147" s="1000" cm="1" t="str">
        <f t="array" ref="AN147:AN147">AD147</f>
        <v>концессионное соглашение</v>
      </c>
      <c r="AO147" s="1000" cm="1" t="str">
        <f t="array" ref="AO147:AO147">AE147</f>
        <v>акт приёма-передачи</v>
      </c>
      <c r="AP147" s="1000" cm="1" t="str">
        <f t="array" ref="AP147:AP147">AF147</f>
        <v>б/н</v>
      </c>
      <c r="AQ147" s="1000" cm="1" t="str">
        <f t="array" ref="AQ147:AQ147">AG147</f>
        <v>01.06.2026</v>
      </c>
      <c r="AR147" s="619"/>
      <c r="AS147" s="619" t="b">
        <v>1</v>
      </c>
    </row>
    <row s="1459" customFormat="1" customHeight="1" ht="23.25">
      <c r="A148" s="1459"/>
      <c r="B148" s="1459"/>
      <c r="C148" s="1459"/>
      <c r="D148" s="1459"/>
      <c r="E148" s="629">
        <v>15</v>
      </c>
      <c r="F148" s="104" cm="1" t="str">
        <f t="array" ref="F148:F148">OFFSET(G148,-1,-1)</f>
        <v>2</v>
      </c>
      <c r="G148" s="1459"/>
      <c r="H148" s="1459"/>
      <c r="I148" s="104" t="s">
        <v>547</v>
      </c>
      <c r="J148" s="1459"/>
      <c r="K148" s="104" t="s">
        <v>739</v>
      </c>
      <c r="L148" s="1459"/>
      <c r="M148" s="1459"/>
      <c r="N148" s="1459"/>
      <c r="O148" s="1459"/>
      <c r="P148" s="1459"/>
      <c r="Q148" s="1459"/>
      <c r="R148" s="1459"/>
      <c r="S148" s="1459"/>
      <c r="T148" s="1459"/>
      <c r="U148" s="465">
        <f>AND(F148&gt;0,AB148&gt;0)</f>
        <v>1</v>
      </c>
      <c r="V148" s="1459"/>
      <c r="W148" s="1459"/>
      <c r="X148" s="717"/>
      <c r="Y148" s="1459"/>
      <c r="Z148" s="1459"/>
      <c r="AA148" s="662" t="s">
        <v>175</v>
      </c>
      <c r="AB148" s="88" t="s">
        <v>740</v>
      </c>
      <c r="AC148" s="274" t="str">
        <f>I148&amp;" :: "&amp;K148</f>
        <v>водопровод ул. Гоголя :: п Малиновка, Гоголя, -</v>
      </c>
      <c r="AD148" s="274" t="s">
        <v>430</v>
      </c>
      <c r="AE148" s="274" t="s">
        <v>431</v>
      </c>
      <c r="AF148" s="405" t="s">
        <v>432</v>
      </c>
      <c r="AG148" s="405" t="s">
        <v>433</v>
      </c>
      <c r="AH148" s="2022" t="s">
        <v>434</v>
      </c>
      <c r="AI148" s="1459"/>
      <c r="AJ148" s="1459"/>
      <c r="AK148" s="1000" t="s">
        <v>424</v>
      </c>
      <c r="AL148" s="1000" t="s">
        <v>425</v>
      </c>
      <c r="AM148" s="1000" cm="1" t="str">
        <f t="array" ref="AM148:AM148">AC148</f>
        <v>водопровод ул. Гоголя :: п Малиновка, Гоголя, -</v>
      </c>
      <c r="AN148" s="1000" cm="1" t="str">
        <f t="array" ref="AN148:AN148">AD148</f>
        <v>концессионное соглашение</v>
      </c>
      <c r="AO148" s="1000" cm="1" t="str">
        <f t="array" ref="AO148:AO148">AE148</f>
        <v>акт приёма-передачи</v>
      </c>
      <c r="AP148" s="1000" cm="1" t="str">
        <f t="array" ref="AP148:AP148">AF148</f>
        <v>б/н</v>
      </c>
      <c r="AQ148" s="1000" cm="1" t="str">
        <f t="array" ref="AQ148:AQ148">AG148</f>
        <v>01.06.2026</v>
      </c>
      <c r="AR148" s="619"/>
      <c r="AS148" s="619" t="b">
        <v>1</v>
      </c>
    </row>
    <row s="1459" customFormat="1" customHeight="1" ht="23.25">
      <c r="A149" s="1459"/>
      <c r="B149" s="1459"/>
      <c r="C149" s="1459"/>
      <c r="D149" s="1459"/>
      <c r="E149" s="629">
        <v>15</v>
      </c>
      <c r="F149" s="104" cm="1" t="str">
        <f t="array" ref="F149:F149">OFFSET(G149,-1,-1)</f>
        <v>2</v>
      </c>
      <c r="G149" s="1459"/>
      <c r="H149" s="1459"/>
      <c r="I149" s="104" t="s">
        <v>741</v>
      </c>
      <c r="J149" s="1459"/>
      <c r="K149" s="104" t="s">
        <v>742</v>
      </c>
      <c r="L149" s="1459"/>
      <c r="M149" s="1459"/>
      <c r="N149" s="1459"/>
      <c r="O149" s="1459"/>
      <c r="P149" s="1459"/>
      <c r="Q149" s="1459"/>
      <c r="R149" s="1459"/>
      <c r="S149" s="1459"/>
      <c r="T149" s="1459"/>
      <c r="U149" s="465">
        <f>AND(F149&gt;0,AB149&gt;0)</f>
        <v>1</v>
      </c>
      <c r="V149" s="1459"/>
      <c r="W149" s="1459"/>
      <c r="X149" s="717"/>
      <c r="Y149" s="1459"/>
      <c r="Z149" s="1459"/>
      <c r="AA149" s="662" t="s">
        <v>175</v>
      </c>
      <c r="AB149" s="88" t="s">
        <v>743</v>
      </c>
      <c r="AC149" s="274" t="str">
        <f>I149&amp;" :: "&amp;K149</f>
        <v>водопровод ул. Дружбы :: п Малиновка, Дружбы, -</v>
      </c>
      <c r="AD149" s="274" t="s">
        <v>430</v>
      </c>
      <c r="AE149" s="274" t="s">
        <v>431</v>
      </c>
      <c r="AF149" s="405" t="s">
        <v>432</v>
      </c>
      <c r="AG149" s="405" t="s">
        <v>433</v>
      </c>
      <c r="AH149" s="2022" t="s">
        <v>434</v>
      </c>
      <c r="AI149" s="1459"/>
      <c r="AJ149" s="1459"/>
      <c r="AK149" s="1000" t="s">
        <v>424</v>
      </c>
      <c r="AL149" s="1000" t="s">
        <v>425</v>
      </c>
      <c r="AM149" s="1000" cm="1" t="str">
        <f t="array" ref="AM149:AM149">AC149</f>
        <v>водопровод ул. Дружбы :: п Малиновка, Дружбы, -</v>
      </c>
      <c r="AN149" s="1000" cm="1" t="str">
        <f t="array" ref="AN149:AN149">AD149</f>
        <v>концессионное соглашение</v>
      </c>
      <c r="AO149" s="1000" cm="1" t="str">
        <f t="array" ref="AO149:AO149">AE149</f>
        <v>акт приёма-передачи</v>
      </c>
      <c r="AP149" s="1000" cm="1" t="str">
        <f t="array" ref="AP149:AP149">AF149</f>
        <v>б/н</v>
      </c>
      <c r="AQ149" s="1000" cm="1" t="str">
        <f t="array" ref="AQ149:AQ149">AG149</f>
        <v>01.06.2026</v>
      </c>
      <c r="AR149" s="619"/>
      <c r="AS149" s="619" t="b">
        <v>1</v>
      </c>
    </row>
    <row s="1459" customFormat="1" customHeight="1" ht="23.25">
      <c r="A150" s="1459"/>
      <c r="B150" s="1459"/>
      <c r="C150" s="1459"/>
      <c r="D150" s="1459"/>
      <c r="E150" s="629">
        <v>15</v>
      </c>
      <c r="F150" s="104" cm="1" t="str">
        <f t="array" ref="F150:F150">OFFSET(G150,-1,-1)</f>
        <v>2</v>
      </c>
      <c r="G150" s="1459"/>
      <c r="H150" s="1459"/>
      <c r="I150" s="104" t="s">
        <v>744</v>
      </c>
      <c r="J150" s="1459"/>
      <c r="K150" s="104" t="s">
        <v>745</v>
      </c>
      <c r="L150" s="1459"/>
      <c r="M150" s="1459"/>
      <c r="N150" s="1459"/>
      <c r="O150" s="1459"/>
      <c r="P150" s="1459"/>
      <c r="Q150" s="1459"/>
      <c r="R150" s="1459"/>
      <c r="S150" s="1459"/>
      <c r="T150" s="1459"/>
      <c r="U150" s="465">
        <f>AND(F150&gt;0,AB150&gt;0)</f>
        <v>1</v>
      </c>
      <c r="V150" s="1459"/>
      <c r="W150" s="1459"/>
      <c r="X150" s="717"/>
      <c r="Y150" s="1459"/>
      <c r="Z150" s="1459"/>
      <c r="AA150" s="662" t="s">
        <v>175</v>
      </c>
      <c r="AB150" s="88" t="s">
        <v>746</v>
      </c>
      <c r="AC150" s="274" t="str">
        <f>I150&amp;" :: "&amp;K150</f>
        <v>водопровод ул. Кондомская :: п Малиновка, Кондомская, -</v>
      </c>
      <c r="AD150" s="274" t="s">
        <v>430</v>
      </c>
      <c r="AE150" s="274" t="s">
        <v>431</v>
      </c>
      <c r="AF150" s="405" t="s">
        <v>432</v>
      </c>
      <c r="AG150" s="405" t="s">
        <v>433</v>
      </c>
      <c r="AH150" s="2022" t="s">
        <v>434</v>
      </c>
      <c r="AI150" s="1459"/>
      <c r="AJ150" s="1459"/>
      <c r="AK150" s="1000" t="s">
        <v>424</v>
      </c>
      <c r="AL150" s="1000" t="s">
        <v>425</v>
      </c>
      <c r="AM150" s="1000" cm="1" t="str">
        <f t="array" ref="AM150:AM150">AC150</f>
        <v>водопровод ул. Кондомская :: п Малиновка, Кондомская, -</v>
      </c>
      <c r="AN150" s="1000" cm="1" t="str">
        <f t="array" ref="AN150:AN150">AD150</f>
        <v>концессионное соглашение</v>
      </c>
      <c r="AO150" s="1000" cm="1" t="str">
        <f t="array" ref="AO150:AO150">AE150</f>
        <v>акт приёма-передачи</v>
      </c>
      <c r="AP150" s="1000" cm="1" t="str">
        <f t="array" ref="AP150:AP150">AF150</f>
        <v>б/н</v>
      </c>
      <c r="AQ150" s="1000" cm="1" t="str">
        <f t="array" ref="AQ150:AQ150">AG150</f>
        <v>01.06.2026</v>
      </c>
      <c r="AR150" s="619"/>
      <c r="AS150" s="619" t="b">
        <v>1</v>
      </c>
    </row>
    <row s="1459" customFormat="1" customHeight="1" ht="23.25">
      <c r="A151" s="1459"/>
      <c r="B151" s="1459"/>
      <c r="C151" s="1459"/>
      <c r="D151" s="1459"/>
      <c r="E151" s="629">
        <v>15</v>
      </c>
      <c r="F151" s="104" cm="1" t="str">
        <f t="array" ref="F151:F151">OFFSET(G151,-1,-1)</f>
        <v>2</v>
      </c>
      <c r="G151" s="1459"/>
      <c r="H151" s="1459"/>
      <c r="I151" s="104" t="s">
        <v>747</v>
      </c>
      <c r="J151" s="1459"/>
      <c r="K151" s="104" t="s">
        <v>748</v>
      </c>
      <c r="L151" s="1459"/>
      <c r="M151" s="1459"/>
      <c r="N151" s="1459"/>
      <c r="O151" s="1459"/>
      <c r="P151" s="1459"/>
      <c r="Q151" s="1459"/>
      <c r="R151" s="1459"/>
      <c r="S151" s="1459"/>
      <c r="T151" s="1459"/>
      <c r="U151" s="465">
        <f>AND(F151&gt;0,AB151&gt;0)</f>
        <v>1</v>
      </c>
      <c r="V151" s="1459"/>
      <c r="W151" s="1459"/>
      <c r="X151" s="717"/>
      <c r="Y151" s="1459"/>
      <c r="Z151" s="1459"/>
      <c r="AA151" s="662" t="s">
        <v>175</v>
      </c>
      <c r="AB151" s="88" t="s">
        <v>749</v>
      </c>
      <c r="AC151" s="274" t="str">
        <f>I151&amp;" :: "&amp;K151</f>
        <v>водопровод ул. Кузбасская :: п Малиновка, Кузбасская, -</v>
      </c>
      <c r="AD151" s="274" t="s">
        <v>430</v>
      </c>
      <c r="AE151" s="274" t="s">
        <v>431</v>
      </c>
      <c r="AF151" s="405" t="s">
        <v>432</v>
      </c>
      <c r="AG151" s="405" t="s">
        <v>433</v>
      </c>
      <c r="AH151" s="2022" t="s">
        <v>434</v>
      </c>
      <c r="AI151" s="1459"/>
      <c r="AJ151" s="1459"/>
      <c r="AK151" s="1000" t="s">
        <v>424</v>
      </c>
      <c r="AL151" s="1000" t="s">
        <v>425</v>
      </c>
      <c r="AM151" s="1000" cm="1" t="str">
        <f t="array" ref="AM151:AM151">AC151</f>
        <v>водопровод ул. Кузбасская :: п Малиновка, Кузбасская, -</v>
      </c>
      <c r="AN151" s="1000" cm="1" t="str">
        <f t="array" ref="AN151:AN151">AD151</f>
        <v>концессионное соглашение</v>
      </c>
      <c r="AO151" s="1000" cm="1" t="str">
        <f t="array" ref="AO151:AO151">AE151</f>
        <v>акт приёма-передачи</v>
      </c>
      <c r="AP151" s="1000" cm="1" t="str">
        <f t="array" ref="AP151:AP151">AF151</f>
        <v>б/н</v>
      </c>
      <c r="AQ151" s="1000" cm="1" t="str">
        <f t="array" ref="AQ151:AQ151">AG151</f>
        <v>01.06.2026</v>
      </c>
      <c r="AR151" s="619"/>
      <c r="AS151" s="619" t="b">
        <v>1</v>
      </c>
    </row>
    <row s="1459" customFormat="1" customHeight="1" ht="23.25">
      <c r="A152" s="1459"/>
      <c r="B152" s="1459"/>
      <c r="C152" s="1459"/>
      <c r="D152" s="1459"/>
      <c r="E152" s="629">
        <v>15</v>
      </c>
      <c r="F152" s="104" cm="1" t="str">
        <f t="array" ref="F152:F152">OFFSET(G152,-1,-1)</f>
        <v>2</v>
      </c>
      <c r="G152" s="1459"/>
      <c r="H152" s="1459"/>
      <c r="I152" s="104" t="s">
        <v>750</v>
      </c>
      <c r="J152" s="1459"/>
      <c r="K152" s="104" t="s">
        <v>751</v>
      </c>
      <c r="L152" s="1459"/>
      <c r="M152" s="1459"/>
      <c r="N152" s="1459"/>
      <c r="O152" s="1459"/>
      <c r="P152" s="1459"/>
      <c r="Q152" s="1459"/>
      <c r="R152" s="1459"/>
      <c r="S152" s="1459"/>
      <c r="T152" s="1459"/>
      <c r="U152" s="465">
        <f>AND(F152&gt;0,AB152&gt;0)</f>
        <v>1</v>
      </c>
      <c r="V152" s="1459"/>
      <c r="W152" s="1459"/>
      <c r="X152" s="717"/>
      <c r="Y152" s="1459"/>
      <c r="Z152" s="1459"/>
      <c r="AA152" s="662" t="s">
        <v>175</v>
      </c>
      <c r="AB152" s="88" t="s">
        <v>752</v>
      </c>
      <c r="AC152" s="274" t="str">
        <f>I152&amp;" :: "&amp;K152</f>
        <v>водопроводул. Мира :: п Малиновка, Мира, -</v>
      </c>
      <c r="AD152" s="274" t="s">
        <v>430</v>
      </c>
      <c r="AE152" s="274" t="s">
        <v>431</v>
      </c>
      <c r="AF152" s="405" t="s">
        <v>432</v>
      </c>
      <c r="AG152" s="405" t="s">
        <v>433</v>
      </c>
      <c r="AH152" s="2022" t="s">
        <v>434</v>
      </c>
      <c r="AI152" s="1459"/>
      <c r="AJ152" s="1459"/>
      <c r="AK152" s="1000" t="s">
        <v>424</v>
      </c>
      <c r="AL152" s="1000" t="s">
        <v>425</v>
      </c>
      <c r="AM152" s="1000" cm="1" t="str">
        <f t="array" ref="AM152:AM152">AC152</f>
        <v>водопроводул. Мира :: п Малиновка, Мира, -</v>
      </c>
      <c r="AN152" s="1000" cm="1" t="str">
        <f t="array" ref="AN152:AN152">AD152</f>
        <v>концессионное соглашение</v>
      </c>
      <c r="AO152" s="1000" cm="1" t="str">
        <f t="array" ref="AO152:AO152">AE152</f>
        <v>акт приёма-передачи</v>
      </c>
      <c r="AP152" s="1000" cm="1" t="str">
        <f t="array" ref="AP152:AP152">AF152</f>
        <v>б/н</v>
      </c>
      <c r="AQ152" s="1000" cm="1" t="str">
        <f t="array" ref="AQ152:AQ152">AG152</f>
        <v>01.06.2026</v>
      </c>
      <c r="AR152" s="619"/>
      <c r="AS152" s="619" t="b">
        <v>1</v>
      </c>
    </row>
    <row s="1459" customFormat="1" customHeight="1" ht="23.25">
      <c r="A153" s="1459"/>
      <c r="B153" s="1459"/>
      <c r="C153" s="1459"/>
      <c r="D153" s="1459"/>
      <c r="E153" s="629">
        <v>15</v>
      </c>
      <c r="F153" s="104" cm="1" t="str">
        <f t="array" ref="F153:F153">OFFSET(G153,-1,-1)</f>
        <v>2</v>
      </c>
      <c r="G153" s="1459"/>
      <c r="H153" s="1459"/>
      <c r="I153" s="104" t="s">
        <v>753</v>
      </c>
      <c r="J153" s="1459"/>
      <c r="K153" s="104" t="s">
        <v>754</v>
      </c>
      <c r="L153" s="1459"/>
      <c r="M153" s="1459"/>
      <c r="N153" s="1459"/>
      <c r="O153" s="1459"/>
      <c r="P153" s="1459"/>
      <c r="Q153" s="1459"/>
      <c r="R153" s="1459"/>
      <c r="S153" s="1459"/>
      <c r="T153" s="1459"/>
      <c r="U153" s="465">
        <f>AND(F153&gt;0,AB153&gt;0)</f>
        <v>1</v>
      </c>
      <c r="V153" s="1459"/>
      <c r="W153" s="1459"/>
      <c r="X153" s="717"/>
      <c r="Y153" s="1459"/>
      <c r="Z153" s="1459"/>
      <c r="AA153" s="662" t="s">
        <v>175</v>
      </c>
      <c r="AB153" s="88" t="s">
        <v>755</v>
      </c>
      <c r="AC153" s="274" t="str">
        <f>I153&amp;" :: "&amp;K153</f>
        <v>водопровод ул. Народная :: п Малиновка, Народная, -</v>
      </c>
      <c r="AD153" s="274" t="s">
        <v>430</v>
      </c>
      <c r="AE153" s="274" t="s">
        <v>431</v>
      </c>
      <c r="AF153" s="405" t="s">
        <v>432</v>
      </c>
      <c r="AG153" s="405" t="s">
        <v>433</v>
      </c>
      <c r="AH153" s="2022" t="s">
        <v>434</v>
      </c>
      <c r="AI153" s="1459"/>
      <c r="AJ153" s="1459"/>
      <c r="AK153" s="1000" t="s">
        <v>424</v>
      </c>
      <c r="AL153" s="1000" t="s">
        <v>425</v>
      </c>
      <c r="AM153" s="1000" cm="1" t="str">
        <f t="array" ref="AM153:AM153">AC153</f>
        <v>водопровод ул. Народная :: п Малиновка, Народная, -</v>
      </c>
      <c r="AN153" s="1000" cm="1" t="str">
        <f t="array" ref="AN153:AN153">AD153</f>
        <v>концессионное соглашение</v>
      </c>
      <c r="AO153" s="1000" cm="1" t="str">
        <f t="array" ref="AO153:AO153">AE153</f>
        <v>акт приёма-передачи</v>
      </c>
      <c r="AP153" s="1000" cm="1" t="str">
        <f t="array" ref="AP153:AP153">AF153</f>
        <v>б/н</v>
      </c>
      <c r="AQ153" s="1000" cm="1" t="str">
        <f t="array" ref="AQ153:AQ153">AG153</f>
        <v>01.06.2026</v>
      </c>
      <c r="AR153" s="619"/>
      <c r="AS153" s="619" t="b">
        <v>1</v>
      </c>
    </row>
    <row s="1459" customFormat="1" customHeight="1" ht="23.25">
      <c r="A154" s="1459"/>
      <c r="B154" s="1459"/>
      <c r="C154" s="1459"/>
      <c r="D154" s="1459"/>
      <c r="E154" s="629">
        <v>15</v>
      </c>
      <c r="F154" s="104" cm="1" t="str">
        <f t="array" ref="F154:F154">OFFSET(G154,-1,-1)</f>
        <v>2</v>
      </c>
      <c r="G154" s="1459"/>
      <c r="H154" s="1459"/>
      <c r="I154" s="104" t="s">
        <v>756</v>
      </c>
      <c r="J154" s="1459"/>
      <c r="K154" s="104" t="s">
        <v>757</v>
      </c>
      <c r="L154" s="1459"/>
      <c r="M154" s="1459"/>
      <c r="N154" s="1459"/>
      <c r="O154" s="1459"/>
      <c r="P154" s="1459"/>
      <c r="Q154" s="1459"/>
      <c r="R154" s="1459"/>
      <c r="S154" s="1459"/>
      <c r="T154" s="1459"/>
      <c r="U154" s="465">
        <f>AND(F154&gt;0,AB154&gt;0)</f>
        <v>1</v>
      </c>
      <c r="V154" s="1459"/>
      <c r="W154" s="1459"/>
      <c r="X154" s="717"/>
      <c r="Y154" s="1459"/>
      <c r="Z154" s="1459"/>
      <c r="AA154" s="662" t="s">
        <v>175</v>
      </c>
      <c r="AB154" s="88" t="s">
        <v>758</v>
      </c>
      <c r="AC154" s="274" t="str">
        <f>I154&amp;" :: "&amp;K154</f>
        <v>водопровод пер. Полевой :: п Малиновка, пер. Полевой, 3-6</v>
      </c>
      <c r="AD154" s="274" t="s">
        <v>430</v>
      </c>
      <c r="AE154" s="274" t="s">
        <v>431</v>
      </c>
      <c r="AF154" s="405" t="s">
        <v>432</v>
      </c>
      <c r="AG154" s="405" t="s">
        <v>433</v>
      </c>
      <c r="AH154" s="2022" t="s">
        <v>434</v>
      </c>
      <c r="AI154" s="1459"/>
      <c r="AJ154" s="1459"/>
      <c r="AK154" s="1000" t="s">
        <v>424</v>
      </c>
      <c r="AL154" s="1000" t="s">
        <v>425</v>
      </c>
      <c r="AM154" s="1000" cm="1" t="str">
        <f t="array" ref="AM154:AM154">AC154</f>
        <v>водопровод пер. Полевой :: п Малиновка, пер. Полевой, 3-6</v>
      </c>
      <c r="AN154" s="1000" cm="1" t="str">
        <f t="array" ref="AN154:AN154">AD154</f>
        <v>концессионное соглашение</v>
      </c>
      <c r="AO154" s="1000" cm="1" t="str">
        <f t="array" ref="AO154:AO154">AE154</f>
        <v>акт приёма-передачи</v>
      </c>
      <c r="AP154" s="1000" cm="1" t="str">
        <f t="array" ref="AP154:AP154">AF154</f>
        <v>б/н</v>
      </c>
      <c r="AQ154" s="1000" cm="1" t="str">
        <f t="array" ref="AQ154:AQ154">AG154</f>
        <v>01.06.2026</v>
      </c>
      <c r="AR154" s="619"/>
      <c r="AS154" s="619" t="b">
        <v>1</v>
      </c>
    </row>
    <row s="1459" customFormat="1" customHeight="1" ht="23.25">
      <c r="A155" s="1459"/>
      <c r="B155" s="1459"/>
      <c r="C155" s="1459"/>
      <c r="D155" s="1459"/>
      <c r="E155" s="629">
        <v>15</v>
      </c>
      <c r="F155" s="104" cm="1" t="str">
        <f t="array" ref="F155:F155">OFFSET(G155,-1,-1)</f>
        <v>2</v>
      </c>
      <c r="G155" s="1459"/>
      <c r="H155" s="1459"/>
      <c r="I155" s="104" t="s">
        <v>759</v>
      </c>
      <c r="J155" s="1459"/>
      <c r="K155" s="104" t="s">
        <v>760</v>
      </c>
      <c r="L155" s="1459"/>
      <c r="M155" s="1459"/>
      <c r="N155" s="1459"/>
      <c r="O155" s="1459"/>
      <c r="P155" s="1459"/>
      <c r="Q155" s="1459"/>
      <c r="R155" s="1459"/>
      <c r="S155" s="1459"/>
      <c r="T155" s="1459"/>
      <c r="U155" s="465">
        <f>AND(F155&gt;0,AB155&gt;0)</f>
        <v>1</v>
      </c>
      <c r="V155" s="1459"/>
      <c r="W155" s="1459"/>
      <c r="X155" s="717"/>
      <c r="Y155" s="1459"/>
      <c r="Z155" s="1459"/>
      <c r="AA155" s="662" t="s">
        <v>175</v>
      </c>
      <c r="AB155" s="88" t="s">
        <v>761</v>
      </c>
      <c r="AC155" s="274" t="str">
        <f>I155&amp;" :: "&amp;K155</f>
        <v>водопровод пер. Станционный :: п Малиновка, пер. Станционный, 1-16</v>
      </c>
      <c r="AD155" s="274" t="s">
        <v>430</v>
      </c>
      <c r="AE155" s="274" t="s">
        <v>431</v>
      </c>
      <c r="AF155" s="405" t="s">
        <v>432</v>
      </c>
      <c r="AG155" s="405" t="s">
        <v>433</v>
      </c>
      <c r="AH155" s="2022" t="s">
        <v>434</v>
      </c>
      <c r="AI155" s="1459"/>
      <c r="AJ155" s="1459"/>
      <c r="AK155" s="1000" t="s">
        <v>424</v>
      </c>
      <c r="AL155" s="1000" t="s">
        <v>425</v>
      </c>
      <c r="AM155" s="1000" cm="1" t="str">
        <f t="array" ref="AM155:AM155">AC155</f>
        <v>водопровод пер. Станционный :: п Малиновка, пер. Станционный, 1-16</v>
      </c>
      <c r="AN155" s="1000" cm="1" t="str">
        <f t="array" ref="AN155:AN155">AD155</f>
        <v>концессионное соглашение</v>
      </c>
      <c r="AO155" s="1000" cm="1" t="str">
        <f t="array" ref="AO155:AO155">AE155</f>
        <v>акт приёма-передачи</v>
      </c>
      <c r="AP155" s="1000" cm="1" t="str">
        <f t="array" ref="AP155:AP155">AF155</f>
        <v>б/н</v>
      </c>
      <c r="AQ155" s="1000" cm="1" t="str">
        <f t="array" ref="AQ155:AQ155">AG155</f>
        <v>01.06.2026</v>
      </c>
      <c r="AR155" s="619"/>
      <c r="AS155" s="619" t="b">
        <v>1</v>
      </c>
    </row>
    <row s="1459" customFormat="1" customHeight="1" ht="23.25">
      <c r="A156" s="1459"/>
      <c r="B156" s="1459"/>
      <c r="C156" s="1459"/>
      <c r="D156" s="1459"/>
      <c r="E156" s="629">
        <v>15</v>
      </c>
      <c r="F156" s="104" cm="1" t="str">
        <f t="array" ref="F156:F156">OFFSET(G156,-1,-1)</f>
        <v>2</v>
      </c>
      <c r="G156" s="1459"/>
      <c r="H156" s="1459"/>
      <c r="I156" s="104" t="s">
        <v>762</v>
      </c>
      <c r="J156" s="1459"/>
      <c r="K156" s="104" t="s">
        <v>763</v>
      </c>
      <c r="L156" s="1459"/>
      <c r="M156" s="1459"/>
      <c r="N156" s="1459"/>
      <c r="O156" s="1459"/>
      <c r="P156" s="1459"/>
      <c r="Q156" s="1459"/>
      <c r="R156" s="1459"/>
      <c r="S156" s="1459"/>
      <c r="T156" s="1459"/>
      <c r="U156" s="465">
        <f>AND(F156&gt;0,AB156&gt;0)</f>
        <v>1</v>
      </c>
      <c r="V156" s="1459"/>
      <c r="W156" s="1459"/>
      <c r="X156" s="717"/>
      <c r="Y156" s="1459"/>
      <c r="Z156" s="1459"/>
      <c r="AA156" s="662" t="s">
        <v>175</v>
      </c>
      <c r="AB156" s="88" t="s">
        <v>764</v>
      </c>
      <c r="AC156" s="274" t="str">
        <f>I156&amp;" :: "&amp;K156</f>
        <v>водопровод ул. Перспективная :: п Малиновка, Перспективная, -</v>
      </c>
      <c r="AD156" s="274" t="s">
        <v>430</v>
      </c>
      <c r="AE156" s="274" t="s">
        <v>431</v>
      </c>
      <c r="AF156" s="405" t="s">
        <v>432</v>
      </c>
      <c r="AG156" s="405" t="s">
        <v>433</v>
      </c>
      <c r="AH156" s="2022" t="s">
        <v>434</v>
      </c>
      <c r="AI156" s="1459"/>
      <c r="AJ156" s="1459"/>
      <c r="AK156" s="1000" t="s">
        <v>424</v>
      </c>
      <c r="AL156" s="1000" t="s">
        <v>425</v>
      </c>
      <c r="AM156" s="1000" cm="1" t="str">
        <f t="array" ref="AM156:AM156">AC156</f>
        <v>водопровод ул. Перспективная :: п Малиновка, Перспективная, -</v>
      </c>
      <c r="AN156" s="1000" cm="1" t="str">
        <f t="array" ref="AN156:AN156">AD156</f>
        <v>концессионное соглашение</v>
      </c>
      <c r="AO156" s="1000" cm="1" t="str">
        <f t="array" ref="AO156:AO156">AE156</f>
        <v>акт приёма-передачи</v>
      </c>
      <c r="AP156" s="1000" cm="1" t="str">
        <f t="array" ref="AP156:AP156">AF156</f>
        <v>б/н</v>
      </c>
      <c r="AQ156" s="1000" cm="1" t="str">
        <f t="array" ref="AQ156:AQ156">AG156</f>
        <v>01.06.2026</v>
      </c>
      <c r="AR156" s="619"/>
      <c r="AS156" s="619" t="b">
        <v>1</v>
      </c>
    </row>
    <row s="1459" customFormat="1" customHeight="1" ht="23.25">
      <c r="A157" s="1459"/>
      <c r="B157" s="1459"/>
      <c r="C157" s="1459"/>
      <c r="D157" s="1459"/>
      <c r="E157" s="629">
        <v>15</v>
      </c>
      <c r="F157" s="104" cm="1" t="str">
        <f t="array" ref="F157:F157">OFFSET(G157,-1,-1)</f>
        <v>2</v>
      </c>
      <c r="G157" s="1459"/>
      <c r="H157" s="1459"/>
      <c r="I157" s="104" t="s">
        <v>684</v>
      </c>
      <c r="J157" s="1459"/>
      <c r="K157" s="104" t="s">
        <v>765</v>
      </c>
      <c r="L157" s="1459"/>
      <c r="M157" s="1459"/>
      <c r="N157" s="1459"/>
      <c r="O157" s="1459"/>
      <c r="P157" s="1459"/>
      <c r="Q157" s="1459"/>
      <c r="R157" s="1459"/>
      <c r="S157" s="1459"/>
      <c r="T157" s="1459"/>
      <c r="U157" s="465">
        <f>AND(F157&gt;0,AB157&gt;0)</f>
        <v>1</v>
      </c>
      <c r="V157" s="1459"/>
      <c r="W157" s="1459"/>
      <c r="X157" s="717"/>
      <c r="Y157" s="1459"/>
      <c r="Z157" s="1459"/>
      <c r="AA157" s="662" t="s">
        <v>175</v>
      </c>
      <c r="AB157" s="88" t="s">
        <v>766</v>
      </c>
      <c r="AC157" s="274" t="str">
        <f>I157&amp;" :: "&amp;K157</f>
        <v>водопровод ул. Российская :: п Малиновка, Российская, -</v>
      </c>
      <c r="AD157" s="274" t="s">
        <v>430</v>
      </c>
      <c r="AE157" s="274" t="s">
        <v>431</v>
      </c>
      <c r="AF157" s="405" t="s">
        <v>432</v>
      </c>
      <c r="AG157" s="405" t="s">
        <v>433</v>
      </c>
      <c r="AH157" s="2022" t="s">
        <v>434</v>
      </c>
      <c r="AI157" s="1459"/>
      <c r="AJ157" s="1459"/>
      <c r="AK157" s="1000" t="s">
        <v>424</v>
      </c>
      <c r="AL157" s="1000" t="s">
        <v>425</v>
      </c>
      <c r="AM157" s="1000" cm="1" t="str">
        <f t="array" ref="AM157:AM157">AC157</f>
        <v>водопровод ул. Российская :: п Малиновка, Российская, -</v>
      </c>
      <c r="AN157" s="1000" cm="1" t="str">
        <f t="array" ref="AN157:AN157">AD157</f>
        <v>концессионное соглашение</v>
      </c>
      <c r="AO157" s="1000" cm="1" t="str">
        <f t="array" ref="AO157:AO157">AE157</f>
        <v>акт приёма-передачи</v>
      </c>
      <c r="AP157" s="1000" cm="1" t="str">
        <f t="array" ref="AP157:AP157">AF157</f>
        <v>б/н</v>
      </c>
      <c r="AQ157" s="1000" cm="1" t="str">
        <f t="array" ref="AQ157:AQ157">AG157</f>
        <v>01.06.2026</v>
      </c>
      <c r="AR157" s="619"/>
      <c r="AS157" s="619" t="b">
        <v>1</v>
      </c>
    </row>
    <row s="1459" customFormat="1" customHeight="1" ht="23.25">
      <c r="A158" s="1459"/>
      <c r="B158" s="1459"/>
      <c r="C158" s="1459"/>
      <c r="D158" s="1459"/>
      <c r="E158" s="629">
        <v>15</v>
      </c>
      <c r="F158" s="104" cm="1" t="str">
        <f t="array" ref="F158:F158">OFFSET(G158,-1,-1)</f>
        <v>2</v>
      </c>
      <c r="G158" s="1459"/>
      <c r="H158" s="1459"/>
      <c r="I158" s="104" t="s">
        <v>767</v>
      </c>
      <c r="J158" s="1459"/>
      <c r="K158" s="104" t="s">
        <v>768</v>
      </c>
      <c r="L158" s="1459"/>
      <c r="M158" s="1459"/>
      <c r="N158" s="1459"/>
      <c r="O158" s="1459"/>
      <c r="P158" s="1459"/>
      <c r="Q158" s="1459"/>
      <c r="R158" s="1459"/>
      <c r="S158" s="1459"/>
      <c r="T158" s="1459"/>
      <c r="U158" s="465">
        <f>AND(F158&gt;0,AB158&gt;0)</f>
        <v>1</v>
      </c>
      <c r="V158" s="1459"/>
      <c r="W158" s="1459"/>
      <c r="X158" s="717"/>
      <c r="Y158" s="1459"/>
      <c r="Z158" s="1459"/>
      <c r="AA158" s="662" t="s">
        <v>175</v>
      </c>
      <c r="AB158" s="88" t="s">
        <v>769</v>
      </c>
      <c r="AC158" s="274" t="str">
        <f>I158&amp;" :: "&amp;K158</f>
        <v>водопровод ул. Солнечная :: п Малиновка, Солнечная, -</v>
      </c>
      <c r="AD158" s="274" t="s">
        <v>430</v>
      </c>
      <c r="AE158" s="274" t="s">
        <v>431</v>
      </c>
      <c r="AF158" s="405" t="s">
        <v>432</v>
      </c>
      <c r="AG158" s="405" t="s">
        <v>433</v>
      </c>
      <c r="AH158" s="2022" t="s">
        <v>434</v>
      </c>
      <c r="AI158" s="1459"/>
      <c r="AJ158" s="1459"/>
      <c r="AK158" s="1000" t="s">
        <v>424</v>
      </c>
      <c r="AL158" s="1000" t="s">
        <v>425</v>
      </c>
      <c r="AM158" s="1000" cm="1" t="str">
        <f t="array" ref="AM158:AM158">AC158</f>
        <v>водопровод ул. Солнечная :: п Малиновка, Солнечная, -</v>
      </c>
      <c r="AN158" s="1000" cm="1" t="str">
        <f t="array" ref="AN158:AN158">AD158</f>
        <v>концессионное соглашение</v>
      </c>
      <c r="AO158" s="1000" cm="1" t="str">
        <f t="array" ref="AO158:AO158">AE158</f>
        <v>акт приёма-передачи</v>
      </c>
      <c r="AP158" s="1000" cm="1" t="str">
        <f t="array" ref="AP158:AP158">AF158</f>
        <v>б/н</v>
      </c>
      <c r="AQ158" s="1000" cm="1" t="str">
        <f t="array" ref="AQ158:AQ158">AG158</f>
        <v>01.06.2026</v>
      </c>
      <c r="AR158" s="619"/>
      <c r="AS158" s="619" t="b">
        <v>1</v>
      </c>
    </row>
    <row s="1459" customFormat="1" customHeight="1" ht="23.25">
      <c r="A159" s="1459"/>
      <c r="B159" s="1459"/>
      <c r="C159" s="1459"/>
      <c r="D159" s="1459"/>
      <c r="E159" s="629">
        <v>15</v>
      </c>
      <c r="F159" s="104" cm="1" t="str">
        <f t="array" ref="F159:F159">OFFSET(G159,-1,-1)</f>
        <v>2</v>
      </c>
      <c r="G159" s="1459"/>
      <c r="H159" s="1459"/>
      <c r="I159" s="104" t="s">
        <v>770</v>
      </c>
      <c r="J159" s="1459"/>
      <c r="K159" s="104" t="s">
        <v>771</v>
      </c>
      <c r="L159" s="1459"/>
      <c r="M159" s="1459"/>
      <c r="N159" s="1459"/>
      <c r="O159" s="1459"/>
      <c r="P159" s="1459"/>
      <c r="Q159" s="1459"/>
      <c r="R159" s="1459"/>
      <c r="S159" s="1459"/>
      <c r="T159" s="1459"/>
      <c r="U159" s="465">
        <f>AND(F159&gt;0,AB159&gt;0)</f>
        <v>1</v>
      </c>
      <c r="V159" s="1459"/>
      <c r="W159" s="1459"/>
      <c r="X159" s="717"/>
      <c r="Y159" s="1459"/>
      <c r="Z159" s="1459"/>
      <c r="AA159" s="662" t="s">
        <v>175</v>
      </c>
      <c r="AB159" s="88" t="s">
        <v>772</v>
      </c>
      <c r="AC159" s="274" t="str">
        <f>I159&amp;" :: "&amp;K159</f>
        <v>водопровод ул. Сосновая :: п Малиновка, Сосновая, -</v>
      </c>
      <c r="AD159" s="274" t="s">
        <v>430</v>
      </c>
      <c r="AE159" s="274" t="s">
        <v>431</v>
      </c>
      <c r="AF159" s="405" t="s">
        <v>432</v>
      </c>
      <c r="AG159" s="405" t="s">
        <v>433</v>
      </c>
      <c r="AH159" s="2022" t="s">
        <v>434</v>
      </c>
      <c r="AI159" s="1459"/>
      <c r="AJ159" s="1459"/>
      <c r="AK159" s="1000" t="s">
        <v>424</v>
      </c>
      <c r="AL159" s="1000" t="s">
        <v>425</v>
      </c>
      <c r="AM159" s="1000" cm="1" t="str">
        <f t="array" ref="AM159:AM159">AC159</f>
        <v>водопровод ул. Сосновая :: п Малиновка, Сосновая, -</v>
      </c>
      <c r="AN159" s="1000" cm="1" t="str">
        <f t="array" ref="AN159:AN159">AD159</f>
        <v>концессионное соглашение</v>
      </c>
      <c r="AO159" s="1000" cm="1" t="str">
        <f t="array" ref="AO159:AO159">AE159</f>
        <v>акт приёма-передачи</v>
      </c>
      <c r="AP159" s="1000" cm="1" t="str">
        <f t="array" ref="AP159:AP159">AF159</f>
        <v>б/н</v>
      </c>
      <c r="AQ159" s="1000" cm="1" t="str">
        <f t="array" ref="AQ159:AQ159">AG159</f>
        <v>01.06.2026</v>
      </c>
      <c r="AR159" s="619"/>
      <c r="AS159" s="619" t="b">
        <v>1</v>
      </c>
    </row>
    <row s="1459" customFormat="1" customHeight="1" ht="23.25">
      <c r="A160" s="1459"/>
      <c r="B160" s="1459"/>
      <c r="C160" s="1459"/>
      <c r="D160" s="1459"/>
      <c r="E160" s="629">
        <v>15</v>
      </c>
      <c r="F160" s="104" cm="1" t="str">
        <f t="array" ref="F160:F160">OFFSET(G160,-1,-1)</f>
        <v>2</v>
      </c>
      <c r="G160" s="1459"/>
      <c r="H160" s="1459"/>
      <c r="I160" s="104" t="s">
        <v>773</v>
      </c>
      <c r="J160" s="1459"/>
      <c r="K160" s="104" t="s">
        <v>774</v>
      </c>
      <c r="L160" s="1459"/>
      <c r="M160" s="1459"/>
      <c r="N160" s="1459"/>
      <c r="O160" s="1459"/>
      <c r="P160" s="1459"/>
      <c r="Q160" s="1459"/>
      <c r="R160" s="1459"/>
      <c r="S160" s="1459"/>
      <c r="T160" s="1459"/>
      <c r="U160" s="465">
        <f>AND(F160&gt;0,AB160&gt;0)</f>
        <v>1</v>
      </c>
      <c r="V160" s="1459"/>
      <c r="W160" s="1459"/>
      <c r="X160" s="717"/>
      <c r="Y160" s="1459"/>
      <c r="Z160" s="1459"/>
      <c r="AA160" s="662" t="s">
        <v>175</v>
      </c>
      <c r="AB160" s="88" t="s">
        <v>775</v>
      </c>
      <c r="AC160" s="274" t="str">
        <f>I160&amp;" :: "&amp;K160</f>
        <v>водопровод ул. 60 лет Октября, 11 :: п Малиновка, ул. 60 лет Октября, 11</v>
      </c>
      <c r="AD160" s="274" t="s">
        <v>430</v>
      </c>
      <c r="AE160" s="274" t="s">
        <v>431</v>
      </c>
      <c r="AF160" s="405" t="s">
        <v>432</v>
      </c>
      <c r="AG160" s="405" t="s">
        <v>433</v>
      </c>
      <c r="AH160" s="2022" t="s">
        <v>434</v>
      </c>
      <c r="AI160" s="1459"/>
      <c r="AJ160" s="1459"/>
      <c r="AK160" s="1000" t="s">
        <v>424</v>
      </c>
      <c r="AL160" s="1000" t="s">
        <v>425</v>
      </c>
      <c r="AM160" s="1000" cm="1" t="str">
        <f t="array" ref="AM160:AM160">AC160</f>
        <v>водопровод ул. 60 лет Октября, 11 :: п Малиновка, ул. 60 лет Октября, 11</v>
      </c>
      <c r="AN160" s="1000" cm="1" t="str">
        <f t="array" ref="AN160:AN160">AD160</f>
        <v>концессионное соглашение</v>
      </c>
      <c r="AO160" s="1000" cm="1" t="str">
        <f t="array" ref="AO160:AO160">AE160</f>
        <v>акт приёма-передачи</v>
      </c>
      <c r="AP160" s="1000" cm="1" t="str">
        <f t="array" ref="AP160:AP160">AF160</f>
        <v>б/н</v>
      </c>
      <c r="AQ160" s="1000" cm="1" t="str">
        <f t="array" ref="AQ160:AQ160">AG160</f>
        <v>01.06.2026</v>
      </c>
      <c r="AR160" s="619"/>
      <c r="AS160" s="619" t="b">
        <v>1</v>
      </c>
    </row>
    <row s="1459" customFormat="1" customHeight="1" ht="23.25">
      <c r="A161" s="1459"/>
      <c r="B161" s="1459"/>
      <c r="C161" s="1459"/>
      <c r="D161" s="1459"/>
      <c r="E161" s="629">
        <v>15</v>
      </c>
      <c r="F161" s="104" cm="1" t="str">
        <f t="array" ref="F161:F161">OFFSET(G161,-1,-1)</f>
        <v>2</v>
      </c>
      <c r="G161" s="1459"/>
      <c r="H161" s="1459"/>
      <c r="I161" s="104" t="s">
        <v>776</v>
      </c>
      <c r="J161" s="1459"/>
      <c r="K161" s="104" t="s">
        <v>777</v>
      </c>
      <c r="L161" s="1459"/>
      <c r="M161" s="1459"/>
      <c r="N161" s="1459"/>
      <c r="O161" s="1459"/>
      <c r="P161" s="1459"/>
      <c r="Q161" s="1459"/>
      <c r="R161" s="1459"/>
      <c r="S161" s="1459"/>
      <c r="T161" s="1459"/>
      <c r="U161" s="465">
        <f>AND(F161&gt;0,AB161&gt;0)</f>
        <v>1</v>
      </c>
      <c r="V161" s="1459"/>
      <c r="W161" s="1459"/>
      <c r="X161" s="717"/>
      <c r="Y161" s="1459"/>
      <c r="Z161" s="1459"/>
      <c r="AA161" s="662" t="s">
        <v>175</v>
      </c>
      <c r="AB161" s="88" t="s">
        <v>778</v>
      </c>
      <c r="AC161" s="274" t="str">
        <f>I161&amp;" :: "&amp;K161</f>
        <v>водопровод ул. 60 лет Октября, 15 :: п Малиновка, ул. 60 лет Октября, 15</v>
      </c>
      <c r="AD161" s="274" t="s">
        <v>430</v>
      </c>
      <c r="AE161" s="274" t="s">
        <v>431</v>
      </c>
      <c r="AF161" s="405" t="s">
        <v>432</v>
      </c>
      <c r="AG161" s="405" t="s">
        <v>433</v>
      </c>
      <c r="AH161" s="2022" t="s">
        <v>434</v>
      </c>
      <c r="AI161" s="1459"/>
      <c r="AJ161" s="1459"/>
      <c r="AK161" s="1000" t="s">
        <v>424</v>
      </c>
      <c r="AL161" s="1000" t="s">
        <v>425</v>
      </c>
      <c r="AM161" s="1000" cm="1" t="str">
        <f t="array" ref="AM161:AM161">AC161</f>
        <v>водопровод ул. 60 лет Октября, 15 :: п Малиновка, ул. 60 лет Октября, 15</v>
      </c>
      <c r="AN161" s="1000" cm="1" t="str">
        <f t="array" ref="AN161:AN161">AD161</f>
        <v>концессионное соглашение</v>
      </c>
      <c r="AO161" s="1000" cm="1" t="str">
        <f t="array" ref="AO161:AO161">AE161</f>
        <v>акт приёма-передачи</v>
      </c>
      <c r="AP161" s="1000" cm="1" t="str">
        <f t="array" ref="AP161:AP161">AF161</f>
        <v>б/н</v>
      </c>
      <c r="AQ161" s="1000" cm="1" t="str">
        <f t="array" ref="AQ161:AQ161">AG161</f>
        <v>01.06.2026</v>
      </c>
      <c r="AR161" s="619"/>
      <c r="AS161" s="619" t="b">
        <v>1</v>
      </c>
    </row>
    <row s="1459" customFormat="1" customHeight="1" ht="23.25">
      <c r="A162" s="1459"/>
      <c r="B162" s="1459"/>
      <c r="C162" s="1459"/>
      <c r="D162" s="1459"/>
      <c r="E162" s="629">
        <v>15</v>
      </c>
      <c r="F162" s="104" cm="1" t="str">
        <f t="array" ref="F162:F162">OFFSET(G162,-1,-1)</f>
        <v>2</v>
      </c>
      <c r="G162" s="1459"/>
      <c r="H162" s="1459"/>
      <c r="I162" s="104" t="s">
        <v>779</v>
      </c>
      <c r="J162" s="1459"/>
      <c r="K162" s="104" t="s">
        <v>780</v>
      </c>
      <c r="L162" s="1459"/>
      <c r="M162" s="1459"/>
      <c r="N162" s="1459"/>
      <c r="O162" s="1459"/>
      <c r="P162" s="1459"/>
      <c r="Q162" s="1459"/>
      <c r="R162" s="1459"/>
      <c r="S162" s="1459"/>
      <c r="T162" s="1459"/>
      <c r="U162" s="465">
        <f>AND(F162&gt;0,AB162&gt;0)</f>
        <v>1</v>
      </c>
      <c r="V162" s="1459"/>
      <c r="W162" s="1459"/>
      <c r="X162" s="717"/>
      <c r="Y162" s="1459"/>
      <c r="Z162" s="1459"/>
      <c r="AA162" s="662" t="s">
        <v>175</v>
      </c>
      <c r="AB162" s="88" t="s">
        <v>781</v>
      </c>
      <c r="AC162" s="274" t="str">
        <f>I162&amp;" :: "&amp;K162</f>
        <v>водопровод ул. 60 лет Октября, 16 :: п Малиновка, ул. 60 лет Октября, 16</v>
      </c>
      <c r="AD162" s="274" t="s">
        <v>430</v>
      </c>
      <c r="AE162" s="274" t="s">
        <v>431</v>
      </c>
      <c r="AF162" s="405" t="s">
        <v>432</v>
      </c>
      <c r="AG162" s="405" t="s">
        <v>433</v>
      </c>
      <c r="AH162" s="2022" t="s">
        <v>434</v>
      </c>
      <c r="AI162" s="1459"/>
      <c r="AJ162" s="1459"/>
      <c r="AK162" s="1000" t="s">
        <v>424</v>
      </c>
      <c r="AL162" s="1000" t="s">
        <v>425</v>
      </c>
      <c r="AM162" s="1000" cm="1" t="str">
        <f t="array" ref="AM162:AM162">AC162</f>
        <v>водопровод ул. 60 лет Октября, 16 :: п Малиновка, ул. 60 лет Октября, 16</v>
      </c>
      <c r="AN162" s="1000" cm="1" t="str">
        <f t="array" ref="AN162:AN162">AD162</f>
        <v>концессионное соглашение</v>
      </c>
      <c r="AO162" s="1000" cm="1" t="str">
        <f t="array" ref="AO162:AO162">AE162</f>
        <v>акт приёма-передачи</v>
      </c>
      <c r="AP162" s="1000" cm="1" t="str">
        <f t="array" ref="AP162:AP162">AF162</f>
        <v>б/н</v>
      </c>
      <c r="AQ162" s="1000" cm="1" t="str">
        <f t="array" ref="AQ162:AQ162">AG162</f>
        <v>01.06.2026</v>
      </c>
      <c r="AR162" s="619"/>
      <c r="AS162" s="619" t="b">
        <v>1</v>
      </c>
    </row>
    <row s="1459" customFormat="1" customHeight="1" ht="23.25">
      <c r="A163" s="1459"/>
      <c r="B163" s="1459"/>
      <c r="C163" s="1459"/>
      <c r="D163" s="1459"/>
      <c r="E163" s="629">
        <v>15</v>
      </c>
      <c r="F163" s="104" cm="1" t="str">
        <f t="array" ref="F163:F163">OFFSET(G163,-1,-1)</f>
        <v>2</v>
      </c>
      <c r="G163" s="1459"/>
      <c r="H163" s="1459"/>
      <c r="I163" s="104" t="s">
        <v>782</v>
      </c>
      <c r="J163" s="1459"/>
      <c r="K163" s="104" t="s">
        <v>783</v>
      </c>
      <c r="L163" s="1459"/>
      <c r="M163" s="1459"/>
      <c r="N163" s="1459"/>
      <c r="O163" s="1459"/>
      <c r="P163" s="1459"/>
      <c r="Q163" s="1459"/>
      <c r="R163" s="1459"/>
      <c r="S163" s="1459"/>
      <c r="T163" s="1459"/>
      <c r="U163" s="465">
        <f>AND(F163&gt;0,AB163&gt;0)</f>
        <v>1</v>
      </c>
      <c r="V163" s="1459"/>
      <c r="W163" s="1459"/>
      <c r="X163" s="717"/>
      <c r="Y163" s="1459"/>
      <c r="Z163" s="1459"/>
      <c r="AA163" s="662" t="s">
        <v>175</v>
      </c>
      <c r="AB163" s="88" t="s">
        <v>784</v>
      </c>
      <c r="AC163" s="274" t="str">
        <f>I163&amp;" :: "&amp;K163</f>
        <v>водопровод ул. 60 лет Октября, 17 :: п Малиновка, ул. 60 лет Октября, 17</v>
      </c>
      <c r="AD163" s="274" t="s">
        <v>430</v>
      </c>
      <c r="AE163" s="274" t="s">
        <v>431</v>
      </c>
      <c r="AF163" s="405" t="s">
        <v>432</v>
      </c>
      <c r="AG163" s="405" t="s">
        <v>433</v>
      </c>
      <c r="AH163" s="2022" t="s">
        <v>434</v>
      </c>
      <c r="AI163" s="1459"/>
      <c r="AJ163" s="1459"/>
      <c r="AK163" s="1000" t="s">
        <v>424</v>
      </c>
      <c r="AL163" s="1000" t="s">
        <v>425</v>
      </c>
      <c r="AM163" s="1000" cm="1" t="str">
        <f t="array" ref="AM163:AM163">AC163</f>
        <v>водопровод ул. 60 лет Октября, 17 :: п Малиновка, ул. 60 лет Октября, 17</v>
      </c>
      <c r="AN163" s="1000" cm="1" t="str">
        <f t="array" ref="AN163:AN163">AD163</f>
        <v>концессионное соглашение</v>
      </c>
      <c r="AO163" s="1000" cm="1" t="str">
        <f t="array" ref="AO163:AO163">AE163</f>
        <v>акт приёма-передачи</v>
      </c>
      <c r="AP163" s="1000" cm="1" t="str">
        <f t="array" ref="AP163:AP163">AF163</f>
        <v>б/н</v>
      </c>
      <c r="AQ163" s="1000" cm="1" t="str">
        <f t="array" ref="AQ163:AQ163">AG163</f>
        <v>01.06.2026</v>
      </c>
      <c r="AR163" s="619"/>
      <c r="AS163" s="619" t="b">
        <v>1</v>
      </c>
    </row>
    <row s="1459" customFormat="1" customHeight="1" ht="23.25">
      <c r="A164" s="1459"/>
      <c r="B164" s="1459"/>
      <c r="C164" s="1459"/>
      <c r="D164" s="1459"/>
      <c r="E164" s="629">
        <v>15</v>
      </c>
      <c r="F164" s="104" cm="1" t="str">
        <f t="array" ref="F164:F164">OFFSET(G164,-1,-1)</f>
        <v>2</v>
      </c>
      <c r="G164" s="1459"/>
      <c r="H164" s="1459"/>
      <c r="I164" s="104" t="s">
        <v>785</v>
      </c>
      <c r="J164" s="1459"/>
      <c r="K164" s="104" t="s">
        <v>786</v>
      </c>
      <c r="L164" s="1459"/>
      <c r="M164" s="1459"/>
      <c r="N164" s="1459"/>
      <c r="O164" s="1459"/>
      <c r="P164" s="1459"/>
      <c r="Q164" s="1459"/>
      <c r="R164" s="1459"/>
      <c r="S164" s="1459"/>
      <c r="T164" s="1459"/>
      <c r="U164" s="465">
        <f>AND(F164&gt;0,AB164&gt;0)</f>
        <v>1</v>
      </c>
      <c r="V164" s="1459"/>
      <c r="W164" s="1459"/>
      <c r="X164" s="717"/>
      <c r="Y164" s="1459"/>
      <c r="Z164" s="1459"/>
      <c r="AA164" s="662" t="s">
        <v>175</v>
      </c>
      <c r="AB164" s="88" t="s">
        <v>787</v>
      </c>
      <c r="AC164" s="274" t="str">
        <f>I164&amp;" :: "&amp;K164</f>
        <v>водопровод ул. 60 лет Октября, 18 :: п Малиновка, ул. 60 лет Октября, 18</v>
      </c>
      <c r="AD164" s="274" t="s">
        <v>430</v>
      </c>
      <c r="AE164" s="274" t="s">
        <v>431</v>
      </c>
      <c r="AF164" s="405" t="s">
        <v>432</v>
      </c>
      <c r="AG164" s="405" t="s">
        <v>433</v>
      </c>
      <c r="AH164" s="2022" t="s">
        <v>434</v>
      </c>
      <c r="AI164" s="1459"/>
      <c r="AJ164" s="1459"/>
      <c r="AK164" s="1000" t="s">
        <v>424</v>
      </c>
      <c r="AL164" s="1000" t="s">
        <v>425</v>
      </c>
      <c r="AM164" s="1000" cm="1" t="str">
        <f t="array" ref="AM164:AM164">AC164</f>
        <v>водопровод ул. 60 лет Октября, 18 :: п Малиновка, ул. 60 лет Октября, 18</v>
      </c>
      <c r="AN164" s="1000" cm="1" t="str">
        <f t="array" ref="AN164:AN164">AD164</f>
        <v>концессионное соглашение</v>
      </c>
      <c r="AO164" s="1000" cm="1" t="str">
        <f t="array" ref="AO164:AO164">AE164</f>
        <v>акт приёма-передачи</v>
      </c>
      <c r="AP164" s="1000" cm="1" t="str">
        <f t="array" ref="AP164:AP164">AF164</f>
        <v>б/н</v>
      </c>
      <c r="AQ164" s="1000" cm="1" t="str">
        <f t="array" ref="AQ164:AQ164">AG164</f>
        <v>01.06.2026</v>
      </c>
      <c r="AR164" s="619"/>
      <c r="AS164" s="619" t="b">
        <v>1</v>
      </c>
    </row>
    <row s="1459" customFormat="1" customHeight="1" ht="23.25">
      <c r="A165" s="1459"/>
      <c r="B165" s="1459"/>
      <c r="C165" s="1459"/>
      <c r="D165" s="1459"/>
      <c r="E165" s="629">
        <v>15</v>
      </c>
      <c r="F165" s="104" cm="1" t="str">
        <f t="array" ref="F165:F165">OFFSET(G165,-1,-1)</f>
        <v>2</v>
      </c>
      <c r="G165" s="1459"/>
      <c r="H165" s="1459"/>
      <c r="I165" s="104" t="s">
        <v>788</v>
      </c>
      <c r="J165" s="1459"/>
      <c r="K165" s="104" t="s">
        <v>789</v>
      </c>
      <c r="L165" s="1459"/>
      <c r="M165" s="1459"/>
      <c r="N165" s="1459"/>
      <c r="O165" s="1459"/>
      <c r="P165" s="1459"/>
      <c r="Q165" s="1459"/>
      <c r="R165" s="1459"/>
      <c r="S165" s="1459"/>
      <c r="T165" s="1459"/>
      <c r="U165" s="465">
        <f>AND(F165&gt;0,AB165&gt;0)</f>
        <v>1</v>
      </c>
      <c r="V165" s="1459"/>
      <c r="W165" s="1459"/>
      <c r="X165" s="717"/>
      <c r="Y165" s="1459"/>
      <c r="Z165" s="1459"/>
      <c r="AA165" s="662" t="s">
        <v>175</v>
      </c>
      <c r="AB165" s="88" t="s">
        <v>790</v>
      </c>
      <c r="AC165" s="274" t="str">
        <f>I165&amp;" :: "&amp;K165</f>
        <v>водопровод ул. 60 лет Октября, 23 :: п Малиновка, ул. 60 лет Октября, 23</v>
      </c>
      <c r="AD165" s="274" t="s">
        <v>430</v>
      </c>
      <c r="AE165" s="274" t="s">
        <v>431</v>
      </c>
      <c r="AF165" s="405" t="s">
        <v>432</v>
      </c>
      <c r="AG165" s="405" t="s">
        <v>433</v>
      </c>
      <c r="AH165" s="2022" t="s">
        <v>434</v>
      </c>
      <c r="AI165" s="1459"/>
      <c r="AJ165" s="1459"/>
      <c r="AK165" s="1000" t="s">
        <v>424</v>
      </c>
      <c r="AL165" s="1000" t="s">
        <v>425</v>
      </c>
      <c r="AM165" s="1000" cm="1" t="str">
        <f t="array" ref="AM165:AM165">AC165</f>
        <v>водопровод ул. 60 лет Октября, 23 :: п Малиновка, ул. 60 лет Октября, 23</v>
      </c>
      <c r="AN165" s="1000" cm="1" t="str">
        <f t="array" ref="AN165:AN165">AD165</f>
        <v>концессионное соглашение</v>
      </c>
      <c r="AO165" s="1000" cm="1" t="str">
        <f t="array" ref="AO165:AO165">AE165</f>
        <v>акт приёма-передачи</v>
      </c>
      <c r="AP165" s="1000" cm="1" t="str">
        <f t="array" ref="AP165:AP165">AF165</f>
        <v>б/н</v>
      </c>
      <c r="AQ165" s="1000" cm="1" t="str">
        <f t="array" ref="AQ165:AQ165">AG165</f>
        <v>01.06.2026</v>
      </c>
      <c r="AR165" s="619"/>
      <c r="AS165" s="619" t="b">
        <v>1</v>
      </c>
    </row>
    <row s="1459" customFormat="1" customHeight="1" ht="23.25">
      <c r="A166" s="1459"/>
      <c r="B166" s="1459"/>
      <c r="C166" s="1459"/>
      <c r="D166" s="1459"/>
      <c r="E166" s="629">
        <v>15</v>
      </c>
      <c r="F166" s="104" cm="1" t="str">
        <f t="array" ref="F166:F166">OFFSET(G166,-1,-1)</f>
        <v>2</v>
      </c>
      <c r="G166" s="1459"/>
      <c r="H166" s="1459"/>
      <c r="I166" s="104" t="s">
        <v>791</v>
      </c>
      <c r="J166" s="1459"/>
      <c r="K166" s="104" t="s">
        <v>792</v>
      </c>
      <c r="L166" s="1459"/>
      <c r="M166" s="1459"/>
      <c r="N166" s="1459"/>
      <c r="O166" s="1459"/>
      <c r="P166" s="1459"/>
      <c r="Q166" s="1459"/>
      <c r="R166" s="1459"/>
      <c r="S166" s="1459"/>
      <c r="T166" s="1459"/>
      <c r="U166" s="465">
        <f>AND(F166&gt;0,AB166&gt;0)</f>
        <v>1</v>
      </c>
      <c r="V166" s="1459"/>
      <c r="W166" s="1459"/>
      <c r="X166" s="717"/>
      <c r="Y166" s="1459"/>
      <c r="Z166" s="1459"/>
      <c r="AA166" s="662" t="s">
        <v>175</v>
      </c>
      <c r="AB166" s="88" t="s">
        <v>793</v>
      </c>
      <c r="AC166" s="274" t="str">
        <f>I166&amp;" :: "&amp;K166</f>
        <v>водопровод ул. 60 лет Октября, 24 :: п Малиновка, ул. 60 лет Октября, 24</v>
      </c>
      <c r="AD166" s="274" t="s">
        <v>430</v>
      </c>
      <c r="AE166" s="274" t="s">
        <v>431</v>
      </c>
      <c r="AF166" s="405" t="s">
        <v>432</v>
      </c>
      <c r="AG166" s="405" t="s">
        <v>433</v>
      </c>
      <c r="AH166" s="2022" t="s">
        <v>434</v>
      </c>
      <c r="AI166" s="1459"/>
      <c r="AJ166" s="1459"/>
      <c r="AK166" s="1000" t="s">
        <v>424</v>
      </c>
      <c r="AL166" s="1000" t="s">
        <v>425</v>
      </c>
      <c r="AM166" s="1000" cm="1" t="str">
        <f t="array" ref="AM166:AM166">AC166</f>
        <v>водопровод ул. 60 лет Октября, 24 :: п Малиновка, ул. 60 лет Октября, 24</v>
      </c>
      <c r="AN166" s="1000" cm="1" t="str">
        <f t="array" ref="AN166:AN166">AD166</f>
        <v>концессионное соглашение</v>
      </c>
      <c r="AO166" s="1000" cm="1" t="str">
        <f t="array" ref="AO166:AO166">AE166</f>
        <v>акт приёма-передачи</v>
      </c>
      <c r="AP166" s="1000" cm="1" t="str">
        <f t="array" ref="AP166:AP166">AF166</f>
        <v>б/н</v>
      </c>
      <c r="AQ166" s="1000" cm="1" t="str">
        <f t="array" ref="AQ166:AQ166">AG166</f>
        <v>01.06.2026</v>
      </c>
      <c r="AR166" s="619"/>
      <c r="AS166" s="619" t="b">
        <v>1</v>
      </c>
    </row>
    <row s="1459" customFormat="1" customHeight="1" ht="23.25">
      <c r="A167" s="1459"/>
      <c r="B167" s="1459"/>
      <c r="C167" s="1459"/>
      <c r="D167" s="1459"/>
      <c r="E167" s="629">
        <v>15</v>
      </c>
      <c r="F167" s="104" cm="1" t="str">
        <f t="array" ref="F167:F167">OFFSET(G167,-1,-1)</f>
        <v>2</v>
      </c>
      <c r="G167" s="1459"/>
      <c r="H167" s="1459"/>
      <c r="I167" s="104" t="s">
        <v>794</v>
      </c>
      <c r="J167" s="1459"/>
      <c r="K167" s="104" t="s">
        <v>795</v>
      </c>
      <c r="L167" s="1459"/>
      <c r="M167" s="1459"/>
      <c r="N167" s="1459"/>
      <c r="O167" s="1459"/>
      <c r="P167" s="1459"/>
      <c r="Q167" s="1459"/>
      <c r="R167" s="1459"/>
      <c r="S167" s="1459"/>
      <c r="T167" s="1459"/>
      <c r="U167" s="465">
        <f>AND(F167&gt;0,AB167&gt;0)</f>
        <v>1</v>
      </c>
      <c r="V167" s="1459"/>
      <c r="W167" s="1459"/>
      <c r="X167" s="717"/>
      <c r="Y167" s="1459"/>
      <c r="Z167" s="1459"/>
      <c r="AA167" s="662" t="s">
        <v>175</v>
      </c>
      <c r="AB167" s="88" t="s">
        <v>796</v>
      </c>
      <c r="AC167" s="274" t="str">
        <f>I167&amp;" :: "&amp;K167</f>
        <v>водопровод ул. 60 лет Октября, 25 :: п Малиновка, ул. 60 лет Октября, 25</v>
      </c>
      <c r="AD167" s="274" t="s">
        <v>430</v>
      </c>
      <c r="AE167" s="274" t="s">
        <v>431</v>
      </c>
      <c r="AF167" s="405" t="s">
        <v>432</v>
      </c>
      <c r="AG167" s="405" t="s">
        <v>433</v>
      </c>
      <c r="AH167" s="2022" t="s">
        <v>434</v>
      </c>
      <c r="AI167" s="1459"/>
      <c r="AJ167" s="1459"/>
      <c r="AK167" s="1000" t="s">
        <v>424</v>
      </c>
      <c r="AL167" s="1000" t="s">
        <v>425</v>
      </c>
      <c r="AM167" s="1000" cm="1" t="str">
        <f t="array" ref="AM167:AM167">AC167</f>
        <v>водопровод ул. 60 лет Октября, 25 :: п Малиновка, ул. 60 лет Октября, 25</v>
      </c>
      <c r="AN167" s="1000" cm="1" t="str">
        <f t="array" ref="AN167:AN167">AD167</f>
        <v>концессионное соглашение</v>
      </c>
      <c r="AO167" s="1000" cm="1" t="str">
        <f t="array" ref="AO167:AO167">AE167</f>
        <v>акт приёма-передачи</v>
      </c>
      <c r="AP167" s="1000" cm="1" t="str">
        <f t="array" ref="AP167:AP167">AF167</f>
        <v>б/н</v>
      </c>
      <c r="AQ167" s="1000" cm="1" t="str">
        <f t="array" ref="AQ167:AQ167">AG167</f>
        <v>01.06.2026</v>
      </c>
      <c r="AR167" s="619"/>
      <c r="AS167" s="619" t="b">
        <v>1</v>
      </c>
    </row>
    <row s="1459" customFormat="1" customHeight="1" ht="23.25">
      <c r="A168" s="1459"/>
      <c r="B168" s="1459"/>
      <c r="C168" s="1459"/>
      <c r="D168" s="1459"/>
      <c r="E168" s="629">
        <v>15</v>
      </c>
      <c r="F168" s="104" cm="1" t="str">
        <f t="array" ref="F168:F168">OFFSET(G168,-1,-1)</f>
        <v>2</v>
      </c>
      <c r="G168" s="1459"/>
      <c r="H168" s="1459"/>
      <c r="I168" s="104" t="s">
        <v>797</v>
      </c>
      <c r="J168" s="1459"/>
      <c r="K168" s="104" t="s">
        <v>798</v>
      </c>
      <c r="L168" s="1459"/>
      <c r="M168" s="1459"/>
      <c r="N168" s="1459"/>
      <c r="O168" s="1459"/>
      <c r="P168" s="1459"/>
      <c r="Q168" s="1459"/>
      <c r="R168" s="1459"/>
      <c r="S168" s="1459"/>
      <c r="T168" s="1459"/>
      <c r="U168" s="465">
        <f>AND(F168&gt;0,AB168&gt;0)</f>
        <v>1</v>
      </c>
      <c r="V168" s="1459"/>
      <c r="W168" s="1459"/>
      <c r="X168" s="717"/>
      <c r="Y168" s="1459"/>
      <c r="Z168" s="1459"/>
      <c r="AA168" s="662" t="s">
        <v>175</v>
      </c>
      <c r="AB168" s="88" t="s">
        <v>799</v>
      </c>
      <c r="AC168" s="274" t="str">
        <f>I168&amp;" :: "&amp;K168</f>
        <v>водопровод ул. 60 лет Октября, 26 :: п Малиновка, ул. 60 лет Октября, 26</v>
      </c>
      <c r="AD168" s="274" t="s">
        <v>430</v>
      </c>
      <c r="AE168" s="274" t="s">
        <v>431</v>
      </c>
      <c r="AF168" s="405" t="s">
        <v>432</v>
      </c>
      <c r="AG168" s="405" t="s">
        <v>433</v>
      </c>
      <c r="AH168" s="2022" t="s">
        <v>434</v>
      </c>
      <c r="AI168" s="1459"/>
      <c r="AJ168" s="1459"/>
      <c r="AK168" s="1000" t="s">
        <v>424</v>
      </c>
      <c r="AL168" s="1000" t="s">
        <v>425</v>
      </c>
      <c r="AM168" s="1000" cm="1" t="str">
        <f t="array" ref="AM168:AM168">AC168</f>
        <v>водопровод ул. 60 лет Октября, 26 :: п Малиновка, ул. 60 лет Октября, 26</v>
      </c>
      <c r="AN168" s="1000" cm="1" t="str">
        <f t="array" ref="AN168:AN168">AD168</f>
        <v>концессионное соглашение</v>
      </c>
      <c r="AO168" s="1000" cm="1" t="str">
        <f t="array" ref="AO168:AO168">AE168</f>
        <v>акт приёма-передачи</v>
      </c>
      <c r="AP168" s="1000" cm="1" t="str">
        <f t="array" ref="AP168:AP168">AF168</f>
        <v>б/н</v>
      </c>
      <c r="AQ168" s="1000" cm="1" t="str">
        <f t="array" ref="AQ168:AQ168">AG168</f>
        <v>01.06.2026</v>
      </c>
      <c r="AR168" s="619"/>
      <c r="AS168" s="619" t="b">
        <v>1</v>
      </c>
    </row>
    <row s="1459" customFormat="1" customHeight="1" ht="23.25">
      <c r="A169" s="1459"/>
      <c r="B169" s="1459"/>
      <c r="C169" s="1459"/>
      <c r="D169" s="1459"/>
      <c r="E169" s="629">
        <v>15</v>
      </c>
      <c r="F169" s="104" cm="1" t="str">
        <f t="array" ref="F169:F169">OFFSET(G169,-1,-1)</f>
        <v>2</v>
      </c>
      <c r="G169" s="1459"/>
      <c r="H169" s="1459"/>
      <c r="I169" s="104" t="s">
        <v>800</v>
      </c>
      <c r="J169" s="1459"/>
      <c r="K169" s="104" t="s">
        <v>801</v>
      </c>
      <c r="L169" s="1459"/>
      <c r="M169" s="1459"/>
      <c r="N169" s="1459"/>
      <c r="O169" s="1459"/>
      <c r="P169" s="1459"/>
      <c r="Q169" s="1459"/>
      <c r="R169" s="1459"/>
      <c r="S169" s="1459"/>
      <c r="T169" s="1459"/>
      <c r="U169" s="465">
        <f>AND(F169&gt;0,AB169&gt;0)</f>
        <v>1</v>
      </c>
      <c r="V169" s="1459"/>
      <c r="W169" s="1459"/>
      <c r="X169" s="717"/>
      <c r="Y169" s="1459"/>
      <c r="Z169" s="1459"/>
      <c r="AA169" s="662" t="s">
        <v>175</v>
      </c>
      <c r="AB169" s="88" t="s">
        <v>802</v>
      </c>
      <c r="AC169" s="274" t="str">
        <f>I169&amp;" :: "&amp;K169</f>
        <v>водопровод ул. 60 лет Октября, 27 :: п Малиновка, ул. 60 лет Октября, 27</v>
      </c>
      <c r="AD169" s="274" t="s">
        <v>430</v>
      </c>
      <c r="AE169" s="274" t="s">
        <v>431</v>
      </c>
      <c r="AF169" s="405" t="s">
        <v>432</v>
      </c>
      <c r="AG169" s="405" t="s">
        <v>433</v>
      </c>
      <c r="AH169" s="2022" t="s">
        <v>434</v>
      </c>
      <c r="AI169" s="1459"/>
      <c r="AJ169" s="1459"/>
      <c r="AK169" s="1000" t="s">
        <v>424</v>
      </c>
      <c r="AL169" s="1000" t="s">
        <v>425</v>
      </c>
      <c r="AM169" s="1000" cm="1" t="str">
        <f t="array" ref="AM169:AM169">AC169</f>
        <v>водопровод ул. 60 лет Октября, 27 :: п Малиновка, ул. 60 лет Октября, 27</v>
      </c>
      <c r="AN169" s="1000" cm="1" t="str">
        <f t="array" ref="AN169:AN169">AD169</f>
        <v>концессионное соглашение</v>
      </c>
      <c r="AO169" s="1000" cm="1" t="str">
        <f t="array" ref="AO169:AO169">AE169</f>
        <v>акт приёма-передачи</v>
      </c>
      <c r="AP169" s="1000" cm="1" t="str">
        <f t="array" ref="AP169:AP169">AF169</f>
        <v>б/н</v>
      </c>
      <c r="AQ169" s="1000" cm="1" t="str">
        <f t="array" ref="AQ169:AQ169">AG169</f>
        <v>01.06.2026</v>
      </c>
      <c r="AR169" s="619"/>
      <c r="AS169" s="619" t="b">
        <v>1</v>
      </c>
    </row>
    <row s="1459" customFormat="1" customHeight="1" ht="23.25">
      <c r="A170" s="1459"/>
      <c r="B170" s="1459"/>
      <c r="C170" s="1459"/>
      <c r="D170" s="1459"/>
      <c r="E170" s="629">
        <v>15</v>
      </c>
      <c r="F170" s="104" cm="1" t="str">
        <f t="array" ref="F170:F170">OFFSET(G170,-1,-1)</f>
        <v>2</v>
      </c>
      <c r="G170" s="1459"/>
      <c r="H170" s="1459"/>
      <c r="I170" s="104" t="s">
        <v>803</v>
      </c>
      <c r="J170" s="1459"/>
      <c r="K170" s="104" t="s">
        <v>804</v>
      </c>
      <c r="L170" s="1459"/>
      <c r="M170" s="1459"/>
      <c r="N170" s="1459"/>
      <c r="O170" s="1459"/>
      <c r="P170" s="1459"/>
      <c r="Q170" s="1459"/>
      <c r="R170" s="1459"/>
      <c r="S170" s="1459"/>
      <c r="T170" s="1459"/>
      <c r="U170" s="465">
        <f>AND(F170&gt;0,AB170&gt;0)</f>
        <v>1</v>
      </c>
      <c r="V170" s="1459"/>
      <c r="W170" s="1459"/>
      <c r="X170" s="717"/>
      <c r="Y170" s="1459"/>
      <c r="Z170" s="1459"/>
      <c r="AA170" s="662" t="s">
        <v>175</v>
      </c>
      <c r="AB170" s="88" t="s">
        <v>805</v>
      </c>
      <c r="AC170" s="274" t="str">
        <f>I170&amp;" :: "&amp;K170</f>
        <v>водопровод ул. 60 лет Октября, 28 :: п Малиновка, ул. 60 лет Октября, 28</v>
      </c>
      <c r="AD170" s="274" t="s">
        <v>430</v>
      </c>
      <c r="AE170" s="274" t="s">
        <v>431</v>
      </c>
      <c r="AF170" s="405" t="s">
        <v>432</v>
      </c>
      <c r="AG170" s="405" t="s">
        <v>433</v>
      </c>
      <c r="AH170" s="2022" t="s">
        <v>434</v>
      </c>
      <c r="AI170" s="1459"/>
      <c r="AJ170" s="1459"/>
      <c r="AK170" s="1000" t="s">
        <v>424</v>
      </c>
      <c r="AL170" s="1000" t="s">
        <v>425</v>
      </c>
      <c r="AM170" s="1000" cm="1" t="str">
        <f t="array" ref="AM170:AM170">AC170</f>
        <v>водопровод ул. 60 лет Октября, 28 :: п Малиновка, ул. 60 лет Октября, 28</v>
      </c>
      <c r="AN170" s="1000" cm="1" t="str">
        <f t="array" ref="AN170:AN170">AD170</f>
        <v>концессионное соглашение</v>
      </c>
      <c r="AO170" s="1000" cm="1" t="str">
        <f t="array" ref="AO170:AO170">AE170</f>
        <v>акт приёма-передачи</v>
      </c>
      <c r="AP170" s="1000" cm="1" t="str">
        <f t="array" ref="AP170:AP170">AF170</f>
        <v>б/н</v>
      </c>
      <c r="AQ170" s="1000" cm="1" t="str">
        <f t="array" ref="AQ170:AQ170">AG170</f>
        <v>01.06.2026</v>
      </c>
      <c r="AR170" s="619"/>
      <c r="AS170" s="619" t="b">
        <v>1</v>
      </c>
    </row>
    <row s="1459" customFormat="1" customHeight="1" ht="23.25">
      <c r="A171" s="1459"/>
      <c r="B171" s="1459"/>
      <c r="C171" s="1459"/>
      <c r="D171" s="1459"/>
      <c r="E171" s="629">
        <v>15</v>
      </c>
      <c r="F171" s="104" cm="1" t="str">
        <f t="array" ref="F171:F171">OFFSET(G171,-1,-1)</f>
        <v>2</v>
      </c>
      <c r="G171" s="1459"/>
      <c r="H171" s="1459"/>
      <c r="I171" s="104" t="s">
        <v>806</v>
      </c>
      <c r="J171" s="1459"/>
      <c r="K171" s="104" t="s">
        <v>807</v>
      </c>
      <c r="L171" s="1459"/>
      <c r="M171" s="1459"/>
      <c r="N171" s="1459"/>
      <c r="O171" s="1459"/>
      <c r="P171" s="1459"/>
      <c r="Q171" s="1459"/>
      <c r="R171" s="1459"/>
      <c r="S171" s="1459"/>
      <c r="T171" s="1459"/>
      <c r="U171" s="465">
        <f>AND(F171&gt;0,AB171&gt;0)</f>
        <v>1</v>
      </c>
      <c r="V171" s="1459"/>
      <c r="W171" s="1459"/>
      <c r="X171" s="717"/>
      <c r="Y171" s="1459"/>
      <c r="Z171" s="1459"/>
      <c r="AA171" s="662" t="s">
        <v>175</v>
      </c>
      <c r="AB171" s="88" t="s">
        <v>808</v>
      </c>
      <c r="AC171" s="274" t="str">
        <f>I171&amp;" :: "&amp;K171</f>
        <v>водопровод ул. 60 лет Октября, 29 :: п Малиновка, ул. 60 лет Октября, 29</v>
      </c>
      <c r="AD171" s="274" t="s">
        <v>430</v>
      </c>
      <c r="AE171" s="274" t="s">
        <v>431</v>
      </c>
      <c r="AF171" s="405" t="s">
        <v>432</v>
      </c>
      <c r="AG171" s="405" t="s">
        <v>433</v>
      </c>
      <c r="AH171" s="2022" t="s">
        <v>434</v>
      </c>
      <c r="AI171" s="1459"/>
      <c r="AJ171" s="1459"/>
      <c r="AK171" s="1000" t="s">
        <v>424</v>
      </c>
      <c r="AL171" s="1000" t="s">
        <v>425</v>
      </c>
      <c r="AM171" s="1000" cm="1" t="str">
        <f t="array" ref="AM171:AM171">AC171</f>
        <v>водопровод ул. 60 лет Октября, 29 :: п Малиновка, ул. 60 лет Октября, 29</v>
      </c>
      <c r="AN171" s="1000" cm="1" t="str">
        <f t="array" ref="AN171:AN171">AD171</f>
        <v>концессионное соглашение</v>
      </c>
      <c r="AO171" s="1000" cm="1" t="str">
        <f t="array" ref="AO171:AO171">AE171</f>
        <v>акт приёма-передачи</v>
      </c>
      <c r="AP171" s="1000" cm="1" t="str">
        <f t="array" ref="AP171:AP171">AF171</f>
        <v>б/н</v>
      </c>
      <c r="AQ171" s="1000" cm="1" t="str">
        <f t="array" ref="AQ171:AQ171">AG171</f>
        <v>01.06.2026</v>
      </c>
      <c r="AR171" s="619"/>
      <c r="AS171" s="619" t="b">
        <v>1</v>
      </c>
    </row>
    <row s="1459" customFormat="1" customHeight="1" ht="23.25">
      <c r="A172" s="1459"/>
      <c r="B172" s="1459"/>
      <c r="C172" s="1459"/>
      <c r="D172" s="1459"/>
      <c r="E172" s="629">
        <v>15</v>
      </c>
      <c r="F172" s="104" cm="1" t="str">
        <f t="array" ref="F172:F172">OFFSET(G172,-1,-1)</f>
        <v>2</v>
      </c>
      <c r="G172" s="1459"/>
      <c r="H172" s="1459"/>
      <c r="I172" s="104" t="s">
        <v>809</v>
      </c>
      <c r="J172" s="1459"/>
      <c r="K172" s="104" t="s">
        <v>810</v>
      </c>
      <c r="L172" s="1459"/>
      <c r="M172" s="1459"/>
      <c r="N172" s="1459"/>
      <c r="O172" s="1459"/>
      <c r="P172" s="1459"/>
      <c r="Q172" s="1459"/>
      <c r="R172" s="1459"/>
      <c r="S172" s="1459"/>
      <c r="T172" s="1459"/>
      <c r="U172" s="465">
        <f>AND(F172&gt;0,AB172&gt;0)</f>
        <v>1</v>
      </c>
      <c r="V172" s="1459"/>
      <c r="W172" s="1459"/>
      <c r="X172" s="717"/>
      <c r="Y172" s="1459"/>
      <c r="Z172" s="1459"/>
      <c r="AA172" s="662" t="s">
        <v>175</v>
      </c>
      <c r="AB172" s="88" t="s">
        <v>811</v>
      </c>
      <c r="AC172" s="274" t="str">
        <f>I172&amp;" :: "&amp;K172</f>
        <v>водопроводная сеть к дому № 9 :: п Малиновка, ул. 60 лет Октября, 9</v>
      </c>
      <c r="AD172" s="274" t="s">
        <v>430</v>
      </c>
      <c r="AE172" s="274" t="s">
        <v>431</v>
      </c>
      <c r="AF172" s="405" t="s">
        <v>432</v>
      </c>
      <c r="AG172" s="405" t="s">
        <v>433</v>
      </c>
      <c r="AH172" s="2022" t="s">
        <v>434</v>
      </c>
      <c r="AI172" s="1459"/>
      <c r="AJ172" s="1459"/>
      <c r="AK172" s="1000" t="s">
        <v>424</v>
      </c>
      <c r="AL172" s="1000" t="s">
        <v>425</v>
      </c>
      <c r="AM172" s="1000" cm="1" t="str">
        <f t="array" ref="AM172:AM172">AC172</f>
        <v>водопроводная сеть к дому № 9 :: п Малиновка, ул. 60 лет Октября, 9</v>
      </c>
      <c r="AN172" s="1000" cm="1" t="str">
        <f t="array" ref="AN172:AN172">AD172</f>
        <v>концессионное соглашение</v>
      </c>
      <c r="AO172" s="1000" cm="1" t="str">
        <f t="array" ref="AO172:AO172">AE172</f>
        <v>акт приёма-передачи</v>
      </c>
      <c r="AP172" s="1000" cm="1" t="str">
        <f t="array" ref="AP172:AP172">AF172</f>
        <v>б/н</v>
      </c>
      <c r="AQ172" s="1000" cm="1" t="str">
        <f t="array" ref="AQ172:AQ172">AG172</f>
        <v>01.06.2026</v>
      </c>
      <c r="AR172" s="619"/>
      <c r="AS172" s="619" t="b">
        <v>1</v>
      </c>
    </row>
    <row s="1459" customFormat="1" customHeight="1" ht="23.25">
      <c r="A173" s="1459"/>
      <c r="B173" s="1459"/>
      <c r="C173" s="1459"/>
      <c r="D173" s="1459"/>
      <c r="E173" s="629">
        <v>15</v>
      </c>
      <c r="F173" s="104" cm="1" t="str">
        <f t="array" ref="F173:F173">OFFSET(G173,-1,-1)</f>
        <v>2</v>
      </c>
      <c r="G173" s="1459"/>
      <c r="H173" s="1459"/>
      <c r="I173" s="104" t="s">
        <v>812</v>
      </c>
      <c r="J173" s="1459"/>
      <c r="K173" s="104" t="s">
        <v>813</v>
      </c>
      <c r="L173" s="1459"/>
      <c r="M173" s="1459"/>
      <c r="N173" s="1459"/>
      <c r="O173" s="1459"/>
      <c r="P173" s="1459"/>
      <c r="Q173" s="1459"/>
      <c r="R173" s="1459"/>
      <c r="S173" s="1459"/>
      <c r="T173" s="1459"/>
      <c r="U173" s="465">
        <f>AND(F173&gt;0,AB173&gt;0)</f>
        <v>1</v>
      </c>
      <c r="V173" s="1459"/>
      <c r="W173" s="1459"/>
      <c r="X173" s="717"/>
      <c r="Y173" s="1459"/>
      <c r="Z173" s="1459"/>
      <c r="AA173" s="662" t="s">
        <v>175</v>
      </c>
      <c r="AB173" s="88" t="s">
        <v>814</v>
      </c>
      <c r="AC173" s="274" t="str">
        <f>I173&amp;" :: "&amp;K173</f>
        <v>водопровод ул. Береговая :: п Малиновка, ул. Береговая, -</v>
      </c>
      <c r="AD173" s="274" t="s">
        <v>430</v>
      </c>
      <c r="AE173" s="274" t="s">
        <v>431</v>
      </c>
      <c r="AF173" s="405" t="s">
        <v>432</v>
      </c>
      <c r="AG173" s="405" t="s">
        <v>433</v>
      </c>
      <c r="AH173" s="2022" t="s">
        <v>434</v>
      </c>
      <c r="AI173" s="1459"/>
      <c r="AJ173" s="1459"/>
      <c r="AK173" s="1000" t="s">
        <v>424</v>
      </c>
      <c r="AL173" s="1000" t="s">
        <v>425</v>
      </c>
      <c r="AM173" s="1000" cm="1" t="str">
        <f t="array" ref="AM173:AM173">AC173</f>
        <v>водопровод ул. Береговая :: п Малиновка, ул. Береговая, -</v>
      </c>
      <c r="AN173" s="1000" cm="1" t="str">
        <f t="array" ref="AN173:AN173">AD173</f>
        <v>концессионное соглашение</v>
      </c>
      <c r="AO173" s="1000" cm="1" t="str">
        <f t="array" ref="AO173:AO173">AE173</f>
        <v>акт приёма-передачи</v>
      </c>
      <c r="AP173" s="1000" cm="1" t="str">
        <f t="array" ref="AP173:AP173">AF173</f>
        <v>б/н</v>
      </c>
      <c r="AQ173" s="1000" cm="1" t="str">
        <f t="array" ref="AQ173:AQ173">AG173</f>
        <v>01.06.2026</v>
      </c>
      <c r="AR173" s="619"/>
      <c r="AS173" s="619" t="b">
        <v>1</v>
      </c>
    </row>
    <row s="1459" customFormat="1" customHeight="1" ht="23.25">
      <c r="A174" s="1459"/>
      <c r="B174" s="1459"/>
      <c r="C174" s="1459"/>
      <c r="D174" s="1459"/>
      <c r="E174" s="629">
        <v>15</v>
      </c>
      <c r="F174" s="104" cm="1" t="str">
        <f t="array" ref="F174:F174">OFFSET(G174,-1,-1)</f>
        <v>2</v>
      </c>
      <c r="G174" s="1459"/>
      <c r="H174" s="1459"/>
      <c r="I174" s="104" t="s">
        <v>815</v>
      </c>
      <c r="J174" s="1459"/>
      <c r="K174" s="104" t="s">
        <v>816</v>
      </c>
      <c r="L174" s="1459"/>
      <c r="M174" s="1459"/>
      <c r="N174" s="1459"/>
      <c r="O174" s="1459"/>
      <c r="P174" s="1459"/>
      <c r="Q174" s="1459"/>
      <c r="R174" s="1459"/>
      <c r="S174" s="1459"/>
      <c r="T174" s="1459"/>
      <c r="U174" s="465">
        <f>AND(F174&gt;0,AB174&gt;0)</f>
        <v>1</v>
      </c>
      <c r="V174" s="1459"/>
      <c r="W174" s="1459"/>
      <c r="X174" s="717"/>
      <c r="Y174" s="1459"/>
      <c r="Z174" s="1459"/>
      <c r="AA174" s="662" t="s">
        <v>175</v>
      </c>
      <c r="AB174" s="88" t="s">
        <v>817</v>
      </c>
      <c r="AC174" s="274" t="str">
        <f>I174&amp;" :: "&amp;K174</f>
        <v>водопровод ул. Весенняя :: п Малиновка, ул. Весенняя, 6-30</v>
      </c>
      <c r="AD174" s="274" t="s">
        <v>430</v>
      </c>
      <c r="AE174" s="274" t="s">
        <v>431</v>
      </c>
      <c r="AF174" s="405" t="s">
        <v>432</v>
      </c>
      <c r="AG174" s="405" t="s">
        <v>433</v>
      </c>
      <c r="AH174" s="2022" t="s">
        <v>434</v>
      </c>
      <c r="AI174" s="1459"/>
      <c r="AJ174" s="1459"/>
      <c r="AK174" s="1000" t="s">
        <v>424</v>
      </c>
      <c r="AL174" s="1000" t="s">
        <v>425</v>
      </c>
      <c r="AM174" s="1000" cm="1" t="str">
        <f t="array" ref="AM174:AM174">AC174</f>
        <v>водопровод ул. Весенняя :: п Малиновка, ул. Весенняя, 6-30</v>
      </c>
      <c r="AN174" s="1000" cm="1" t="str">
        <f t="array" ref="AN174:AN174">AD174</f>
        <v>концессионное соглашение</v>
      </c>
      <c r="AO174" s="1000" cm="1" t="str">
        <f t="array" ref="AO174:AO174">AE174</f>
        <v>акт приёма-передачи</v>
      </c>
      <c r="AP174" s="1000" cm="1" t="str">
        <f t="array" ref="AP174:AP174">AF174</f>
        <v>б/н</v>
      </c>
      <c r="AQ174" s="1000" cm="1" t="str">
        <f t="array" ref="AQ174:AQ174">AG174</f>
        <v>01.06.2026</v>
      </c>
      <c r="AR174" s="619"/>
      <c r="AS174" s="619" t="b">
        <v>1</v>
      </c>
    </row>
    <row s="1459" customFormat="1" customHeight="1" ht="23.25">
      <c r="A175" s="1459"/>
      <c r="B175" s="1459"/>
      <c r="C175" s="1459"/>
      <c r="D175" s="1459"/>
      <c r="E175" s="629">
        <v>15</v>
      </c>
      <c r="F175" s="104" cm="1" t="str">
        <f t="array" ref="F175:F175">OFFSET(G175,-1,-1)</f>
        <v>2</v>
      </c>
      <c r="G175" s="1459"/>
      <c r="H175" s="1459"/>
      <c r="I175" s="104" t="s">
        <v>818</v>
      </c>
      <c r="J175" s="1459"/>
      <c r="K175" s="104" t="s">
        <v>819</v>
      </c>
      <c r="L175" s="1459"/>
      <c r="M175" s="1459"/>
      <c r="N175" s="1459"/>
      <c r="O175" s="1459"/>
      <c r="P175" s="1459"/>
      <c r="Q175" s="1459"/>
      <c r="R175" s="1459"/>
      <c r="S175" s="1459"/>
      <c r="T175" s="1459"/>
      <c r="U175" s="465">
        <f>AND(F175&gt;0,AB175&gt;0)</f>
        <v>1</v>
      </c>
      <c r="V175" s="1459"/>
      <c r="W175" s="1459"/>
      <c r="X175" s="717"/>
      <c r="Y175" s="1459"/>
      <c r="Z175" s="1459"/>
      <c r="AA175" s="662" t="s">
        <v>175</v>
      </c>
      <c r="AB175" s="88" t="s">
        <v>820</v>
      </c>
      <c r="AC175" s="274" t="str">
        <f>I175&amp;" :: "&amp;K175</f>
        <v>водопровод ул. Вишневая :: п Малиновка, ул. Вишневая, 15-20а</v>
      </c>
      <c r="AD175" s="274" t="s">
        <v>430</v>
      </c>
      <c r="AE175" s="274" t="s">
        <v>431</v>
      </c>
      <c r="AF175" s="405" t="s">
        <v>432</v>
      </c>
      <c r="AG175" s="405" t="s">
        <v>433</v>
      </c>
      <c r="AH175" s="2022" t="s">
        <v>434</v>
      </c>
      <c r="AI175" s="1459"/>
      <c r="AJ175" s="1459"/>
      <c r="AK175" s="1000" t="s">
        <v>424</v>
      </c>
      <c r="AL175" s="1000" t="s">
        <v>425</v>
      </c>
      <c r="AM175" s="1000" cm="1" t="str">
        <f t="array" ref="AM175:AM175">AC175</f>
        <v>водопровод ул. Вишневая :: п Малиновка, ул. Вишневая, 15-20а</v>
      </c>
      <c r="AN175" s="1000" cm="1" t="str">
        <f t="array" ref="AN175:AN175">AD175</f>
        <v>концессионное соглашение</v>
      </c>
      <c r="AO175" s="1000" cm="1" t="str">
        <f t="array" ref="AO175:AO175">AE175</f>
        <v>акт приёма-передачи</v>
      </c>
      <c r="AP175" s="1000" cm="1" t="str">
        <f t="array" ref="AP175:AP175">AF175</f>
        <v>б/н</v>
      </c>
      <c r="AQ175" s="1000" cm="1" t="str">
        <f t="array" ref="AQ175:AQ175">AG175</f>
        <v>01.06.2026</v>
      </c>
      <c r="AR175" s="619"/>
      <c r="AS175" s="619" t="b">
        <v>1</v>
      </c>
    </row>
    <row s="1459" customFormat="1" customHeight="1" ht="23.25">
      <c r="A176" s="1459"/>
      <c r="B176" s="1459"/>
      <c r="C176" s="1459"/>
      <c r="D176" s="1459"/>
      <c r="E176" s="629">
        <v>15</v>
      </c>
      <c r="F176" s="104" cm="1" t="str">
        <f t="array" ref="F176:F176">OFFSET(G176,-1,-1)</f>
        <v>2</v>
      </c>
      <c r="G176" s="1459"/>
      <c r="H176" s="1459"/>
      <c r="I176" s="104" t="s">
        <v>821</v>
      </c>
      <c r="J176" s="1459"/>
      <c r="K176" s="104" t="s">
        <v>822</v>
      </c>
      <c r="L176" s="1459"/>
      <c r="M176" s="1459"/>
      <c r="N176" s="1459"/>
      <c r="O176" s="1459"/>
      <c r="P176" s="1459"/>
      <c r="Q176" s="1459"/>
      <c r="R176" s="1459"/>
      <c r="S176" s="1459"/>
      <c r="T176" s="1459"/>
      <c r="U176" s="465">
        <f>AND(F176&gt;0,AB176&gt;0)</f>
        <v>1</v>
      </c>
      <c r="V176" s="1459"/>
      <c r="W176" s="1459"/>
      <c r="X176" s="717"/>
      <c r="Y176" s="1459"/>
      <c r="Z176" s="1459"/>
      <c r="AA176" s="662" t="s">
        <v>175</v>
      </c>
      <c r="AB176" s="88" t="s">
        <v>823</v>
      </c>
      <c r="AC176" s="274" t="str">
        <f>I176&amp;" :: "&amp;K176</f>
        <v>водопровод ул. Высотная :: п Малиновка, ул. Высотная, 1-20</v>
      </c>
      <c r="AD176" s="274" t="s">
        <v>430</v>
      </c>
      <c r="AE176" s="274" t="s">
        <v>431</v>
      </c>
      <c r="AF176" s="405" t="s">
        <v>432</v>
      </c>
      <c r="AG176" s="405" t="s">
        <v>433</v>
      </c>
      <c r="AH176" s="2022" t="s">
        <v>434</v>
      </c>
      <c r="AI176" s="1459"/>
      <c r="AJ176" s="1459"/>
      <c r="AK176" s="1000" t="s">
        <v>424</v>
      </c>
      <c r="AL176" s="1000" t="s">
        <v>425</v>
      </c>
      <c r="AM176" s="1000" cm="1" t="str">
        <f t="array" ref="AM176:AM176">AC176</f>
        <v>водопровод ул. Высотная :: п Малиновка, ул. Высотная, 1-20</v>
      </c>
      <c r="AN176" s="1000" cm="1" t="str">
        <f t="array" ref="AN176:AN176">AD176</f>
        <v>концессионное соглашение</v>
      </c>
      <c r="AO176" s="1000" cm="1" t="str">
        <f t="array" ref="AO176:AO176">AE176</f>
        <v>акт приёма-передачи</v>
      </c>
      <c r="AP176" s="1000" cm="1" t="str">
        <f t="array" ref="AP176:AP176">AF176</f>
        <v>б/н</v>
      </c>
      <c r="AQ176" s="1000" cm="1" t="str">
        <f t="array" ref="AQ176:AQ176">AG176</f>
        <v>01.06.2026</v>
      </c>
      <c r="AR176" s="619"/>
      <c r="AS176" s="619" t="b">
        <v>1</v>
      </c>
    </row>
    <row s="1459" customFormat="1" customHeight="1" ht="23.25">
      <c r="A177" s="1459"/>
      <c r="B177" s="1459"/>
      <c r="C177" s="1459"/>
      <c r="D177" s="1459"/>
      <c r="E177" s="629">
        <v>15</v>
      </c>
      <c r="F177" s="104" cm="1" t="str">
        <f t="array" ref="F177:F177">OFFSET(G177,-1,-1)</f>
        <v>2</v>
      </c>
      <c r="G177" s="1459"/>
      <c r="H177" s="1459"/>
      <c r="I177" s="104" t="s">
        <v>824</v>
      </c>
      <c r="J177" s="1459"/>
      <c r="K177" s="104" t="s">
        <v>825</v>
      </c>
      <c r="L177" s="1459"/>
      <c r="M177" s="1459"/>
      <c r="N177" s="1459"/>
      <c r="O177" s="1459"/>
      <c r="P177" s="1459"/>
      <c r="Q177" s="1459"/>
      <c r="R177" s="1459"/>
      <c r="S177" s="1459"/>
      <c r="T177" s="1459"/>
      <c r="U177" s="465">
        <f>AND(F177&gt;0,AB177&gt;0)</f>
        <v>1</v>
      </c>
      <c r="V177" s="1459"/>
      <c r="W177" s="1459"/>
      <c r="X177" s="717"/>
      <c r="Y177" s="1459"/>
      <c r="Z177" s="1459"/>
      <c r="AA177" s="662" t="s">
        <v>175</v>
      </c>
      <c r="AB177" s="88" t="s">
        <v>826</v>
      </c>
      <c r="AC177" s="274" t="str">
        <f>I177&amp;" :: "&amp;K177</f>
        <v>водопровод ул. Горнорабочая :: п Малиновка, ул. Горнорабочая, -</v>
      </c>
      <c r="AD177" s="274" t="s">
        <v>430</v>
      </c>
      <c r="AE177" s="274" t="s">
        <v>431</v>
      </c>
      <c r="AF177" s="405" t="s">
        <v>432</v>
      </c>
      <c r="AG177" s="405" t="s">
        <v>433</v>
      </c>
      <c r="AH177" s="2022" t="s">
        <v>434</v>
      </c>
      <c r="AI177" s="1459"/>
      <c r="AJ177" s="1459"/>
      <c r="AK177" s="1000" t="s">
        <v>424</v>
      </c>
      <c r="AL177" s="1000" t="s">
        <v>425</v>
      </c>
      <c r="AM177" s="1000" cm="1" t="str">
        <f t="array" ref="AM177:AM177">AC177</f>
        <v>водопровод ул. Горнорабочая :: п Малиновка, ул. Горнорабочая, -</v>
      </c>
      <c r="AN177" s="1000" cm="1" t="str">
        <f t="array" ref="AN177:AN177">AD177</f>
        <v>концессионное соглашение</v>
      </c>
      <c r="AO177" s="1000" cm="1" t="str">
        <f t="array" ref="AO177:AO177">AE177</f>
        <v>акт приёма-передачи</v>
      </c>
      <c r="AP177" s="1000" cm="1" t="str">
        <f t="array" ref="AP177:AP177">AF177</f>
        <v>б/н</v>
      </c>
      <c r="AQ177" s="1000" cm="1" t="str">
        <f t="array" ref="AQ177:AQ177">AG177</f>
        <v>01.06.2026</v>
      </c>
      <c r="AR177" s="619"/>
      <c r="AS177" s="619" t="b">
        <v>1</v>
      </c>
    </row>
    <row s="1459" customFormat="1" customHeight="1" ht="23.25">
      <c r="A178" s="1459"/>
      <c r="B178" s="1459"/>
      <c r="C178" s="1459"/>
      <c r="D178" s="1459"/>
      <c r="E178" s="629">
        <v>15</v>
      </c>
      <c r="F178" s="104" cm="1" t="str">
        <f t="array" ref="F178:F178">OFFSET(G178,-1,-1)</f>
        <v>2</v>
      </c>
      <c r="G178" s="1459"/>
      <c r="H178" s="1459"/>
      <c r="I178" s="104" t="s">
        <v>827</v>
      </c>
      <c r="J178" s="1459"/>
      <c r="K178" s="104" t="s">
        <v>828</v>
      </c>
      <c r="L178" s="1459"/>
      <c r="M178" s="1459"/>
      <c r="N178" s="1459"/>
      <c r="O178" s="1459"/>
      <c r="P178" s="1459"/>
      <c r="Q178" s="1459"/>
      <c r="R178" s="1459"/>
      <c r="S178" s="1459"/>
      <c r="T178" s="1459"/>
      <c r="U178" s="465">
        <f>AND(F178&gt;0,AB178&gt;0)</f>
        <v>1</v>
      </c>
      <c r="V178" s="1459"/>
      <c r="W178" s="1459"/>
      <c r="X178" s="717"/>
      <c r="Y178" s="1459"/>
      <c r="Z178" s="1459"/>
      <c r="AA178" s="662" t="s">
        <v>175</v>
      </c>
      <c r="AB178" s="88" t="s">
        <v>829</v>
      </c>
      <c r="AC178" s="274" t="str">
        <f>I178&amp;" :: "&amp;K178</f>
        <v>водопровод ул. Горняцкая :: п Малиновка, ул. Горняцкая, -</v>
      </c>
      <c r="AD178" s="274" t="s">
        <v>430</v>
      </c>
      <c r="AE178" s="274" t="s">
        <v>431</v>
      </c>
      <c r="AF178" s="405" t="s">
        <v>432</v>
      </c>
      <c r="AG178" s="405" t="s">
        <v>433</v>
      </c>
      <c r="AH178" s="2022" t="s">
        <v>434</v>
      </c>
      <c r="AI178" s="1459"/>
      <c r="AJ178" s="1459"/>
      <c r="AK178" s="1000" t="s">
        <v>424</v>
      </c>
      <c r="AL178" s="1000" t="s">
        <v>425</v>
      </c>
      <c r="AM178" s="1000" cm="1" t="str">
        <f t="array" ref="AM178:AM178">AC178</f>
        <v>водопровод ул. Горняцкая :: п Малиновка, ул. Горняцкая, -</v>
      </c>
      <c r="AN178" s="1000" cm="1" t="str">
        <f t="array" ref="AN178:AN178">AD178</f>
        <v>концессионное соглашение</v>
      </c>
      <c r="AO178" s="1000" cm="1" t="str">
        <f t="array" ref="AO178:AO178">AE178</f>
        <v>акт приёма-передачи</v>
      </c>
      <c r="AP178" s="1000" cm="1" t="str">
        <f t="array" ref="AP178:AP178">AF178</f>
        <v>б/н</v>
      </c>
      <c r="AQ178" s="1000" cm="1" t="str">
        <f t="array" ref="AQ178:AQ178">AG178</f>
        <v>01.06.2026</v>
      </c>
      <c r="AR178" s="619"/>
      <c r="AS178" s="619" t="b">
        <v>1</v>
      </c>
    </row>
    <row s="1459" customFormat="1" customHeight="1" ht="23.25">
      <c r="A179" s="1459"/>
      <c r="B179" s="1459"/>
      <c r="C179" s="1459"/>
      <c r="D179" s="1459"/>
      <c r="E179" s="629">
        <v>15</v>
      </c>
      <c r="F179" s="104" cm="1" t="str">
        <f t="array" ref="F179:F179">OFFSET(G179,-1,-1)</f>
        <v>2</v>
      </c>
      <c r="G179" s="1459"/>
      <c r="H179" s="1459"/>
      <c r="I179" s="104" t="s">
        <v>830</v>
      </c>
      <c r="J179" s="1459"/>
      <c r="K179" s="104" t="s">
        <v>831</v>
      </c>
      <c r="L179" s="1459"/>
      <c r="M179" s="1459"/>
      <c r="N179" s="1459"/>
      <c r="O179" s="1459"/>
      <c r="P179" s="1459"/>
      <c r="Q179" s="1459"/>
      <c r="R179" s="1459"/>
      <c r="S179" s="1459"/>
      <c r="T179" s="1459"/>
      <c r="U179" s="465">
        <f>AND(F179&gt;0,AB179&gt;0)</f>
        <v>1</v>
      </c>
      <c r="V179" s="1459"/>
      <c r="W179" s="1459"/>
      <c r="X179" s="717"/>
      <c r="Y179" s="1459"/>
      <c r="Z179" s="1459"/>
      <c r="AA179" s="662" t="s">
        <v>175</v>
      </c>
      <c r="AB179" s="88" t="s">
        <v>832</v>
      </c>
      <c r="AC179" s="274" t="str">
        <f>I179&amp;" :: "&amp;K179</f>
        <v>водопровод ул. Горького :: п Малиновка, ул. Горького, 1-35</v>
      </c>
      <c r="AD179" s="274" t="s">
        <v>430</v>
      </c>
      <c r="AE179" s="274" t="s">
        <v>431</v>
      </c>
      <c r="AF179" s="405" t="s">
        <v>432</v>
      </c>
      <c r="AG179" s="405" t="s">
        <v>433</v>
      </c>
      <c r="AH179" s="2022" t="s">
        <v>434</v>
      </c>
      <c r="AI179" s="1459"/>
      <c r="AJ179" s="1459"/>
      <c r="AK179" s="1000" t="s">
        <v>424</v>
      </c>
      <c r="AL179" s="1000" t="s">
        <v>425</v>
      </c>
      <c r="AM179" s="1000" cm="1" t="str">
        <f t="array" ref="AM179:AM179">AC179</f>
        <v>водопровод ул. Горького :: п Малиновка, ул. Горького, 1-35</v>
      </c>
      <c r="AN179" s="1000" cm="1" t="str">
        <f t="array" ref="AN179:AN179">AD179</f>
        <v>концессионное соглашение</v>
      </c>
      <c r="AO179" s="1000" cm="1" t="str">
        <f t="array" ref="AO179:AO179">AE179</f>
        <v>акт приёма-передачи</v>
      </c>
      <c r="AP179" s="1000" cm="1" t="str">
        <f t="array" ref="AP179:AP179">AF179</f>
        <v>б/н</v>
      </c>
      <c r="AQ179" s="1000" cm="1" t="str">
        <f t="array" ref="AQ179:AQ179">AG179</f>
        <v>01.06.2026</v>
      </c>
      <c r="AR179" s="619"/>
      <c r="AS179" s="619" t="b">
        <v>1</v>
      </c>
    </row>
    <row s="1459" customFormat="1" customHeight="1" ht="23.25">
      <c r="A180" s="1459"/>
      <c r="B180" s="1459"/>
      <c r="C180" s="1459"/>
      <c r="D180" s="1459"/>
      <c r="E180" s="629">
        <v>15</v>
      </c>
      <c r="F180" s="104" cm="1" t="str">
        <f t="array" ref="F180:F180">OFFSET(G180,-1,-1)</f>
        <v>2</v>
      </c>
      <c r="G180" s="1459"/>
      <c r="H180" s="1459"/>
      <c r="I180" s="104" t="s">
        <v>553</v>
      </c>
      <c r="J180" s="1459"/>
      <c r="K180" s="104" t="s">
        <v>833</v>
      </c>
      <c r="L180" s="1459"/>
      <c r="M180" s="1459"/>
      <c r="N180" s="1459"/>
      <c r="O180" s="1459"/>
      <c r="P180" s="1459"/>
      <c r="Q180" s="1459"/>
      <c r="R180" s="1459"/>
      <c r="S180" s="1459"/>
      <c r="T180" s="1459"/>
      <c r="U180" s="465">
        <f>AND(F180&gt;0,AB180&gt;0)</f>
        <v>1</v>
      </c>
      <c r="V180" s="1459"/>
      <c r="W180" s="1459"/>
      <c r="X180" s="717"/>
      <c r="Y180" s="1459"/>
      <c r="Z180" s="1459"/>
      <c r="AA180" s="662" t="s">
        <v>175</v>
      </c>
      <c r="AB180" s="88" t="s">
        <v>834</v>
      </c>
      <c r="AC180" s="274" t="str">
        <f>I180&amp;" :: "&amp;K180</f>
        <v>Водопровод ул. Дзержинского :: п Малиновка, ул. Дзержинского, 3-12</v>
      </c>
      <c r="AD180" s="274" t="s">
        <v>430</v>
      </c>
      <c r="AE180" s="274" t="s">
        <v>431</v>
      </c>
      <c r="AF180" s="405" t="s">
        <v>432</v>
      </c>
      <c r="AG180" s="405" t="s">
        <v>433</v>
      </c>
      <c r="AH180" s="2022" t="s">
        <v>434</v>
      </c>
      <c r="AI180" s="1459"/>
      <c r="AJ180" s="1459"/>
      <c r="AK180" s="1000" t="s">
        <v>424</v>
      </c>
      <c r="AL180" s="1000" t="s">
        <v>425</v>
      </c>
      <c r="AM180" s="1000" cm="1" t="str">
        <f t="array" ref="AM180:AM180">AC180</f>
        <v>Водопровод ул. Дзержинского :: п Малиновка, ул. Дзержинского, 3-12</v>
      </c>
      <c r="AN180" s="1000" cm="1" t="str">
        <f t="array" ref="AN180:AN180">AD180</f>
        <v>концессионное соглашение</v>
      </c>
      <c r="AO180" s="1000" cm="1" t="str">
        <f t="array" ref="AO180:AO180">AE180</f>
        <v>акт приёма-передачи</v>
      </c>
      <c r="AP180" s="1000" cm="1" t="str">
        <f t="array" ref="AP180:AP180">AF180</f>
        <v>б/н</v>
      </c>
      <c r="AQ180" s="1000" cm="1" t="str">
        <f t="array" ref="AQ180:AQ180">AG180</f>
        <v>01.06.2026</v>
      </c>
      <c r="AR180" s="619"/>
      <c r="AS180" s="619" t="b">
        <v>1</v>
      </c>
    </row>
    <row s="1459" customFormat="1" customHeight="1" ht="23.25">
      <c r="A181" s="1459"/>
      <c r="B181" s="1459"/>
      <c r="C181" s="1459"/>
      <c r="D181" s="1459"/>
      <c r="E181" s="629">
        <v>15</v>
      </c>
      <c r="F181" s="104" cm="1" t="str">
        <f t="array" ref="F181:F181">OFFSET(G181,-1,-1)</f>
        <v>2</v>
      </c>
      <c r="G181" s="1459"/>
      <c r="H181" s="1459"/>
      <c r="I181" s="104" t="s">
        <v>835</v>
      </c>
      <c r="J181" s="1459"/>
      <c r="K181" s="104" t="s">
        <v>836</v>
      </c>
      <c r="L181" s="1459"/>
      <c r="M181" s="1459"/>
      <c r="N181" s="1459"/>
      <c r="O181" s="1459"/>
      <c r="P181" s="1459"/>
      <c r="Q181" s="1459"/>
      <c r="R181" s="1459"/>
      <c r="S181" s="1459"/>
      <c r="T181" s="1459"/>
      <c r="U181" s="465">
        <f>AND(F181&gt;0,AB181&gt;0)</f>
        <v>1</v>
      </c>
      <c r="V181" s="1459"/>
      <c r="W181" s="1459"/>
      <c r="X181" s="717"/>
      <c r="Y181" s="1459"/>
      <c r="Z181" s="1459"/>
      <c r="AA181" s="662" t="s">
        <v>175</v>
      </c>
      <c r="AB181" s="88" t="s">
        <v>837</v>
      </c>
      <c r="AC181" s="274" t="str">
        <f>I181&amp;" :: "&amp;K181</f>
        <v>водопровод ул. Железнодорожная :: п Малиновка, ул. Железнодорожная, 1-67</v>
      </c>
      <c r="AD181" s="274" t="s">
        <v>430</v>
      </c>
      <c r="AE181" s="274" t="s">
        <v>431</v>
      </c>
      <c r="AF181" s="405" t="s">
        <v>432</v>
      </c>
      <c r="AG181" s="405" t="s">
        <v>433</v>
      </c>
      <c r="AH181" s="2022" t="s">
        <v>434</v>
      </c>
      <c r="AI181" s="1459"/>
      <c r="AJ181" s="1459"/>
      <c r="AK181" s="1000" t="s">
        <v>424</v>
      </c>
      <c r="AL181" s="1000" t="s">
        <v>425</v>
      </c>
      <c r="AM181" s="1000" cm="1" t="str">
        <f t="array" ref="AM181:AM181">AC181</f>
        <v>водопровод ул. Железнодорожная :: п Малиновка, ул. Железнодорожная, 1-67</v>
      </c>
      <c r="AN181" s="1000" cm="1" t="str">
        <f t="array" ref="AN181:AN181">AD181</f>
        <v>концессионное соглашение</v>
      </c>
      <c r="AO181" s="1000" cm="1" t="str">
        <f t="array" ref="AO181:AO181">AE181</f>
        <v>акт приёма-передачи</v>
      </c>
      <c r="AP181" s="1000" cm="1" t="str">
        <f t="array" ref="AP181:AP181">AF181</f>
        <v>б/н</v>
      </c>
      <c r="AQ181" s="1000" cm="1" t="str">
        <f t="array" ref="AQ181:AQ181">AG181</f>
        <v>01.06.2026</v>
      </c>
      <c r="AR181" s="619"/>
      <c r="AS181" s="619" t="b">
        <v>1</v>
      </c>
    </row>
    <row s="1459" customFormat="1" customHeight="1" ht="23.25">
      <c r="A182" s="1459"/>
      <c r="B182" s="1459"/>
      <c r="C182" s="1459"/>
      <c r="D182" s="1459"/>
      <c r="E182" s="629">
        <v>15</v>
      </c>
      <c r="F182" s="104" cm="1" t="str">
        <f t="array" ref="F182:F182">OFFSET(G182,-1,-1)</f>
        <v>2</v>
      </c>
      <c r="G182" s="1459"/>
      <c r="H182" s="1459"/>
      <c r="I182" s="104" t="s">
        <v>838</v>
      </c>
      <c r="J182" s="1459"/>
      <c r="K182" s="104" t="s">
        <v>839</v>
      </c>
      <c r="L182" s="1459"/>
      <c r="M182" s="1459"/>
      <c r="N182" s="1459"/>
      <c r="O182" s="1459"/>
      <c r="P182" s="1459"/>
      <c r="Q182" s="1459"/>
      <c r="R182" s="1459"/>
      <c r="S182" s="1459"/>
      <c r="T182" s="1459"/>
      <c r="U182" s="465">
        <f>AND(F182&gt;0,AB182&gt;0)</f>
        <v>1</v>
      </c>
      <c r="V182" s="1459"/>
      <c r="W182" s="1459"/>
      <c r="X182" s="717"/>
      <c r="Y182" s="1459"/>
      <c r="Z182" s="1459"/>
      <c r="AA182" s="662" t="s">
        <v>175</v>
      </c>
      <c r="AB182" s="88" t="s">
        <v>840</v>
      </c>
      <c r="AC182" s="274" t="str">
        <f>I182&amp;" :: "&amp;K182</f>
        <v>водопровод ул. Зеленая :: п Малиновка, ул. Зеленая, -</v>
      </c>
      <c r="AD182" s="274" t="s">
        <v>430</v>
      </c>
      <c r="AE182" s="274" t="s">
        <v>431</v>
      </c>
      <c r="AF182" s="405" t="s">
        <v>432</v>
      </c>
      <c r="AG182" s="405" t="s">
        <v>433</v>
      </c>
      <c r="AH182" s="2022" t="s">
        <v>434</v>
      </c>
      <c r="AI182" s="1459"/>
      <c r="AJ182" s="1459"/>
      <c r="AK182" s="1000" t="s">
        <v>424</v>
      </c>
      <c r="AL182" s="1000" t="s">
        <v>425</v>
      </c>
      <c r="AM182" s="1000" cm="1" t="str">
        <f t="array" ref="AM182:AM182">AC182</f>
        <v>водопровод ул. Зеленая :: п Малиновка, ул. Зеленая, -</v>
      </c>
      <c r="AN182" s="1000" cm="1" t="str">
        <f t="array" ref="AN182:AN182">AD182</f>
        <v>концессионное соглашение</v>
      </c>
      <c r="AO182" s="1000" cm="1" t="str">
        <f t="array" ref="AO182:AO182">AE182</f>
        <v>акт приёма-передачи</v>
      </c>
      <c r="AP182" s="1000" cm="1" t="str">
        <f t="array" ref="AP182:AP182">AF182</f>
        <v>б/н</v>
      </c>
      <c r="AQ182" s="1000" cm="1" t="str">
        <f t="array" ref="AQ182:AQ182">AG182</f>
        <v>01.06.2026</v>
      </c>
      <c r="AR182" s="619"/>
      <c r="AS182" s="619" t="b">
        <v>1</v>
      </c>
    </row>
    <row s="1459" customFormat="1" customHeight="1" ht="23.25">
      <c r="A183" s="1459"/>
      <c r="B183" s="1459"/>
      <c r="C183" s="1459"/>
      <c r="D183" s="1459"/>
      <c r="E183" s="629">
        <v>15</v>
      </c>
      <c r="F183" s="104" cm="1" t="str">
        <f t="array" ref="F183:F183">OFFSET(G183,-1,-1)</f>
        <v>2</v>
      </c>
      <c r="G183" s="1459"/>
      <c r="H183" s="1459"/>
      <c r="I183" s="104" t="s">
        <v>841</v>
      </c>
      <c r="J183" s="1459"/>
      <c r="K183" s="104" t="s">
        <v>842</v>
      </c>
      <c r="L183" s="1459"/>
      <c r="M183" s="1459"/>
      <c r="N183" s="1459"/>
      <c r="O183" s="1459"/>
      <c r="P183" s="1459"/>
      <c r="Q183" s="1459"/>
      <c r="R183" s="1459"/>
      <c r="S183" s="1459"/>
      <c r="T183" s="1459"/>
      <c r="U183" s="465">
        <f>AND(F183&gt;0,AB183&gt;0)</f>
        <v>1</v>
      </c>
      <c r="V183" s="1459"/>
      <c r="W183" s="1459"/>
      <c r="X183" s="717"/>
      <c r="Y183" s="1459"/>
      <c r="Z183" s="1459"/>
      <c r="AA183" s="662" t="s">
        <v>175</v>
      </c>
      <c r="AB183" s="88" t="s">
        <v>843</v>
      </c>
      <c r="AC183" s="274" t="str">
        <f>I183&amp;" :: "&amp;K183</f>
        <v>водопровод ул. Кирова :: п Малиновка, ул. Кирова, 1-11</v>
      </c>
      <c r="AD183" s="274" t="s">
        <v>430</v>
      </c>
      <c r="AE183" s="274" t="s">
        <v>431</v>
      </c>
      <c r="AF183" s="405" t="s">
        <v>432</v>
      </c>
      <c r="AG183" s="405" t="s">
        <v>433</v>
      </c>
      <c r="AH183" s="2022" t="s">
        <v>434</v>
      </c>
      <c r="AI183" s="1459"/>
      <c r="AJ183" s="1459"/>
      <c r="AK183" s="1000" t="s">
        <v>424</v>
      </c>
      <c r="AL183" s="1000" t="s">
        <v>425</v>
      </c>
      <c r="AM183" s="1000" cm="1" t="str">
        <f t="array" ref="AM183:AM183">AC183</f>
        <v>водопровод ул. Кирова :: п Малиновка, ул. Кирова, 1-11</v>
      </c>
      <c r="AN183" s="1000" cm="1" t="str">
        <f t="array" ref="AN183:AN183">AD183</f>
        <v>концессионное соглашение</v>
      </c>
      <c r="AO183" s="1000" cm="1" t="str">
        <f t="array" ref="AO183:AO183">AE183</f>
        <v>акт приёма-передачи</v>
      </c>
      <c r="AP183" s="1000" cm="1" t="str">
        <f t="array" ref="AP183:AP183">AF183</f>
        <v>б/н</v>
      </c>
      <c r="AQ183" s="1000" cm="1" t="str">
        <f t="array" ref="AQ183:AQ183">AG183</f>
        <v>01.06.2026</v>
      </c>
      <c r="AR183" s="619"/>
      <c r="AS183" s="619" t="b">
        <v>1</v>
      </c>
    </row>
    <row s="1459" customFormat="1" customHeight="1" ht="23.25">
      <c r="A184" s="1459"/>
      <c r="B184" s="1459"/>
      <c r="C184" s="1459"/>
      <c r="D184" s="1459"/>
      <c r="E184" s="629">
        <v>15</v>
      </c>
      <c r="F184" s="104" cm="1" t="str">
        <f t="array" ref="F184:F184">OFFSET(G184,-1,-1)</f>
        <v>2</v>
      </c>
      <c r="G184" s="1459"/>
      <c r="H184" s="1459"/>
      <c r="I184" s="104" t="s">
        <v>844</v>
      </c>
      <c r="J184" s="1459"/>
      <c r="K184" s="104" t="s">
        <v>845</v>
      </c>
      <c r="L184" s="1459"/>
      <c r="M184" s="1459"/>
      <c r="N184" s="1459"/>
      <c r="O184" s="1459"/>
      <c r="P184" s="1459"/>
      <c r="Q184" s="1459"/>
      <c r="R184" s="1459"/>
      <c r="S184" s="1459"/>
      <c r="T184" s="1459"/>
      <c r="U184" s="465">
        <f>AND(F184&gt;0,AB184&gt;0)</f>
        <v>1</v>
      </c>
      <c r="V184" s="1459"/>
      <c r="W184" s="1459"/>
      <c r="X184" s="717"/>
      <c r="Y184" s="1459"/>
      <c r="Z184" s="1459"/>
      <c r="AA184" s="662" t="s">
        <v>175</v>
      </c>
      <c r="AB184" s="88" t="s">
        <v>846</v>
      </c>
      <c r="AC184" s="274" t="str">
        <f>I184&amp;" :: "&amp;K184</f>
        <v>водопровод ул. Комсомольская :: п Малиновка, ул. Комсомольская, 1-31</v>
      </c>
      <c r="AD184" s="274" t="s">
        <v>430</v>
      </c>
      <c r="AE184" s="274" t="s">
        <v>431</v>
      </c>
      <c r="AF184" s="405" t="s">
        <v>432</v>
      </c>
      <c r="AG184" s="405" t="s">
        <v>433</v>
      </c>
      <c r="AH184" s="2022" t="s">
        <v>434</v>
      </c>
      <c r="AI184" s="1459"/>
      <c r="AJ184" s="1459"/>
      <c r="AK184" s="1000" t="s">
        <v>424</v>
      </c>
      <c r="AL184" s="1000" t="s">
        <v>425</v>
      </c>
      <c r="AM184" s="1000" cm="1" t="str">
        <f t="array" ref="AM184:AM184">AC184</f>
        <v>водопровод ул. Комсомольская :: п Малиновка, ул. Комсомольская, 1-31</v>
      </c>
      <c r="AN184" s="1000" cm="1" t="str">
        <f t="array" ref="AN184:AN184">AD184</f>
        <v>концессионное соглашение</v>
      </c>
      <c r="AO184" s="1000" cm="1" t="str">
        <f t="array" ref="AO184:AO184">AE184</f>
        <v>акт приёма-передачи</v>
      </c>
      <c r="AP184" s="1000" cm="1" t="str">
        <f t="array" ref="AP184:AP184">AF184</f>
        <v>б/н</v>
      </c>
      <c r="AQ184" s="1000" cm="1" t="str">
        <f t="array" ref="AQ184:AQ184">AG184</f>
        <v>01.06.2026</v>
      </c>
      <c r="AR184" s="619"/>
      <c r="AS184" s="619" t="b">
        <v>1</v>
      </c>
    </row>
    <row s="1459" customFormat="1" customHeight="1" ht="23.25">
      <c r="A185" s="1459"/>
      <c r="B185" s="1459"/>
      <c r="C185" s="1459"/>
      <c r="D185" s="1459"/>
      <c r="E185" s="629">
        <v>15</v>
      </c>
      <c r="F185" s="104" cm="1" t="str">
        <f t="array" ref="F185:F185">OFFSET(G185,-1,-1)</f>
        <v>2</v>
      </c>
      <c r="G185" s="1459"/>
      <c r="H185" s="1459"/>
      <c r="I185" s="104" t="s">
        <v>847</v>
      </c>
      <c r="J185" s="1459"/>
      <c r="K185" s="104" t="s">
        <v>848</v>
      </c>
      <c r="L185" s="1459"/>
      <c r="M185" s="1459"/>
      <c r="N185" s="1459"/>
      <c r="O185" s="1459"/>
      <c r="P185" s="1459"/>
      <c r="Q185" s="1459"/>
      <c r="R185" s="1459"/>
      <c r="S185" s="1459"/>
      <c r="T185" s="1459"/>
      <c r="U185" s="465">
        <f>AND(F185&gt;0,AB185&gt;0)</f>
        <v>1</v>
      </c>
      <c r="V185" s="1459"/>
      <c r="W185" s="1459"/>
      <c r="X185" s="717"/>
      <c r="Y185" s="1459"/>
      <c r="Z185" s="1459"/>
      <c r="AA185" s="662" t="s">
        <v>175</v>
      </c>
      <c r="AB185" s="88" t="s">
        <v>849</v>
      </c>
      <c r="AC185" s="274" t="str">
        <f>I185&amp;" :: "&amp;K185</f>
        <v>водопровод ул. Кооперативная :: п Малиновка, ул. Кооперативная, -</v>
      </c>
      <c r="AD185" s="274" t="s">
        <v>430</v>
      </c>
      <c r="AE185" s="274" t="s">
        <v>431</v>
      </c>
      <c r="AF185" s="405" t="s">
        <v>432</v>
      </c>
      <c r="AG185" s="405" t="s">
        <v>433</v>
      </c>
      <c r="AH185" s="2022" t="s">
        <v>434</v>
      </c>
      <c r="AI185" s="1459"/>
      <c r="AJ185" s="1459"/>
      <c r="AK185" s="1000" t="s">
        <v>424</v>
      </c>
      <c r="AL185" s="1000" t="s">
        <v>425</v>
      </c>
      <c r="AM185" s="1000" cm="1" t="str">
        <f t="array" ref="AM185:AM185">AC185</f>
        <v>водопровод ул. Кооперативная :: п Малиновка, ул. Кооперативная, -</v>
      </c>
      <c r="AN185" s="1000" cm="1" t="str">
        <f t="array" ref="AN185:AN185">AD185</f>
        <v>концессионное соглашение</v>
      </c>
      <c r="AO185" s="1000" cm="1" t="str">
        <f t="array" ref="AO185:AO185">AE185</f>
        <v>акт приёма-передачи</v>
      </c>
      <c r="AP185" s="1000" cm="1" t="str">
        <f t="array" ref="AP185:AP185">AF185</f>
        <v>б/н</v>
      </c>
      <c r="AQ185" s="1000" cm="1" t="str">
        <f t="array" ref="AQ185:AQ185">AG185</f>
        <v>01.06.2026</v>
      </c>
      <c r="AR185" s="619"/>
      <c r="AS185" s="619" t="b">
        <v>1</v>
      </c>
    </row>
    <row s="1459" customFormat="1" customHeight="1" ht="23.25">
      <c r="A186" s="1459"/>
      <c r="B186" s="1459"/>
      <c r="C186" s="1459"/>
      <c r="D186" s="1459"/>
      <c r="E186" s="629">
        <v>15</v>
      </c>
      <c r="F186" s="104" cm="1" t="str">
        <f t="array" ref="F186:F186">OFFSET(G186,-1,-1)</f>
        <v>2</v>
      </c>
      <c r="G186" s="1459"/>
      <c r="H186" s="1459"/>
      <c r="I186" s="104" t="s">
        <v>850</v>
      </c>
      <c r="J186" s="1459"/>
      <c r="K186" s="104" t="s">
        <v>851</v>
      </c>
      <c r="L186" s="1459"/>
      <c r="M186" s="1459"/>
      <c r="N186" s="1459"/>
      <c r="O186" s="1459"/>
      <c r="P186" s="1459"/>
      <c r="Q186" s="1459"/>
      <c r="R186" s="1459"/>
      <c r="S186" s="1459"/>
      <c r="T186" s="1459"/>
      <c r="U186" s="465">
        <f>AND(F186&gt;0,AB186&gt;0)</f>
        <v>1</v>
      </c>
      <c r="V186" s="1459"/>
      <c r="W186" s="1459"/>
      <c r="X186" s="717"/>
      <c r="Y186" s="1459"/>
      <c r="Z186" s="1459"/>
      <c r="AA186" s="662" t="s">
        <v>175</v>
      </c>
      <c r="AB186" s="88" t="s">
        <v>852</v>
      </c>
      <c r="AC186" s="274" t="str">
        <f>I186&amp;" :: "&amp;K186</f>
        <v>водопровод ул. Космоса :: п Малиновка, ул. Космоса, 2а-8</v>
      </c>
      <c r="AD186" s="274" t="s">
        <v>430</v>
      </c>
      <c r="AE186" s="274" t="s">
        <v>431</v>
      </c>
      <c r="AF186" s="405" t="s">
        <v>432</v>
      </c>
      <c r="AG186" s="405" t="s">
        <v>433</v>
      </c>
      <c r="AH186" s="2022" t="s">
        <v>434</v>
      </c>
      <c r="AI186" s="1459"/>
      <c r="AJ186" s="1459"/>
      <c r="AK186" s="1000" t="s">
        <v>424</v>
      </c>
      <c r="AL186" s="1000" t="s">
        <v>425</v>
      </c>
      <c r="AM186" s="1000" cm="1" t="str">
        <f t="array" ref="AM186:AM186">AC186</f>
        <v>водопровод ул. Космоса :: п Малиновка, ул. Космоса, 2а-8</v>
      </c>
      <c r="AN186" s="1000" cm="1" t="str">
        <f t="array" ref="AN186:AN186">AD186</f>
        <v>концессионное соглашение</v>
      </c>
      <c r="AO186" s="1000" cm="1" t="str">
        <f t="array" ref="AO186:AO186">AE186</f>
        <v>акт приёма-передачи</v>
      </c>
      <c r="AP186" s="1000" cm="1" t="str">
        <f t="array" ref="AP186:AP186">AF186</f>
        <v>б/н</v>
      </c>
      <c r="AQ186" s="1000" cm="1" t="str">
        <f t="array" ref="AQ186:AQ186">AG186</f>
        <v>01.06.2026</v>
      </c>
      <c r="AR186" s="619"/>
      <c r="AS186" s="619" t="b">
        <v>1</v>
      </c>
    </row>
    <row s="1459" customFormat="1" customHeight="1" ht="23.25">
      <c r="A187" s="1459"/>
      <c r="B187" s="1459"/>
      <c r="C187" s="1459"/>
      <c r="D187" s="1459"/>
      <c r="E187" s="629">
        <v>15</v>
      </c>
      <c r="F187" s="104" cm="1" t="str">
        <f t="array" ref="F187:F187">OFFSET(G187,-1,-1)</f>
        <v>2</v>
      </c>
      <c r="G187" s="1459"/>
      <c r="H187" s="1459"/>
      <c r="I187" s="104" t="s">
        <v>853</v>
      </c>
      <c r="J187" s="1459"/>
      <c r="K187" s="104" t="s">
        <v>854</v>
      </c>
      <c r="L187" s="1459"/>
      <c r="M187" s="1459"/>
      <c r="N187" s="1459"/>
      <c r="O187" s="1459"/>
      <c r="P187" s="1459"/>
      <c r="Q187" s="1459"/>
      <c r="R187" s="1459"/>
      <c r="S187" s="1459"/>
      <c r="T187" s="1459"/>
      <c r="U187" s="465">
        <f>AND(F187&gt;0,AB187&gt;0)</f>
        <v>1</v>
      </c>
      <c r="V187" s="1459"/>
      <c r="W187" s="1459"/>
      <c r="X187" s="717"/>
      <c r="Y187" s="1459"/>
      <c r="Z187" s="1459"/>
      <c r="AA187" s="662" t="s">
        <v>175</v>
      </c>
      <c r="AB187" s="88" t="s">
        <v>855</v>
      </c>
      <c r="AC187" s="274" t="str">
        <f>I187&amp;" :: "&amp;K187</f>
        <v>водопровод ул. Крупской :: п Малиновка, ул. Крупской, 1-112</v>
      </c>
      <c r="AD187" s="274" t="s">
        <v>430</v>
      </c>
      <c r="AE187" s="274" t="s">
        <v>431</v>
      </c>
      <c r="AF187" s="405" t="s">
        <v>432</v>
      </c>
      <c r="AG187" s="405" t="s">
        <v>433</v>
      </c>
      <c r="AH187" s="2022" t="s">
        <v>434</v>
      </c>
      <c r="AI187" s="1459"/>
      <c r="AJ187" s="1459"/>
      <c r="AK187" s="1000" t="s">
        <v>424</v>
      </c>
      <c r="AL187" s="1000" t="s">
        <v>425</v>
      </c>
      <c r="AM187" s="1000" cm="1" t="str">
        <f t="array" ref="AM187:AM187">AC187</f>
        <v>водопровод ул. Крупской :: п Малиновка, ул. Крупской, 1-112</v>
      </c>
      <c r="AN187" s="1000" cm="1" t="str">
        <f t="array" ref="AN187:AN187">AD187</f>
        <v>концессионное соглашение</v>
      </c>
      <c r="AO187" s="1000" cm="1" t="str">
        <f t="array" ref="AO187:AO187">AE187</f>
        <v>акт приёма-передачи</v>
      </c>
      <c r="AP187" s="1000" cm="1" t="str">
        <f t="array" ref="AP187:AP187">AF187</f>
        <v>б/н</v>
      </c>
      <c r="AQ187" s="1000" cm="1" t="str">
        <f t="array" ref="AQ187:AQ187">AG187</f>
        <v>01.06.2026</v>
      </c>
      <c r="AR187" s="619"/>
      <c r="AS187" s="619" t="b">
        <v>1</v>
      </c>
    </row>
    <row s="1459" customFormat="1" customHeight="1" ht="23.25">
      <c r="A188" s="1459"/>
      <c r="B188" s="1459"/>
      <c r="C188" s="1459"/>
      <c r="D188" s="1459"/>
      <c r="E188" s="629">
        <v>15</v>
      </c>
      <c r="F188" s="104" cm="1" t="str">
        <f t="array" ref="F188:F188">OFFSET(G188,-1,-1)</f>
        <v>2</v>
      </c>
      <c r="G188" s="1459"/>
      <c r="H188" s="1459"/>
      <c r="I188" s="104" t="s">
        <v>856</v>
      </c>
      <c r="J188" s="1459"/>
      <c r="K188" s="104" t="s">
        <v>857</v>
      </c>
      <c r="L188" s="1459"/>
      <c r="M188" s="1459"/>
      <c r="N188" s="1459"/>
      <c r="O188" s="1459"/>
      <c r="P188" s="1459"/>
      <c r="Q188" s="1459"/>
      <c r="R188" s="1459"/>
      <c r="S188" s="1459"/>
      <c r="T188" s="1459"/>
      <c r="U188" s="465">
        <f>AND(F188&gt;0,AB188&gt;0)</f>
        <v>1</v>
      </c>
      <c r="V188" s="1459"/>
      <c r="W188" s="1459"/>
      <c r="X188" s="717"/>
      <c r="Y188" s="1459"/>
      <c r="Z188" s="1459"/>
      <c r="AA188" s="662" t="s">
        <v>175</v>
      </c>
      <c r="AB188" s="88" t="s">
        <v>858</v>
      </c>
      <c r="AC188" s="274" t="str">
        <f>I188&amp;" :: "&amp;K188</f>
        <v>водопровод ул. Крутая :: п Малиновка, ул. Крутая, 1-9</v>
      </c>
      <c r="AD188" s="274" t="s">
        <v>430</v>
      </c>
      <c r="AE188" s="274" t="s">
        <v>431</v>
      </c>
      <c r="AF188" s="405" t="s">
        <v>432</v>
      </c>
      <c r="AG188" s="405" t="s">
        <v>433</v>
      </c>
      <c r="AH188" s="2022" t="s">
        <v>434</v>
      </c>
      <c r="AI188" s="1459"/>
      <c r="AJ188" s="1459"/>
      <c r="AK188" s="1000" t="s">
        <v>424</v>
      </c>
      <c r="AL188" s="1000" t="s">
        <v>425</v>
      </c>
      <c r="AM188" s="1000" cm="1" t="str">
        <f t="array" ref="AM188:AM188">AC188</f>
        <v>водопровод ул. Крутая :: п Малиновка, ул. Крутая, 1-9</v>
      </c>
      <c r="AN188" s="1000" cm="1" t="str">
        <f t="array" ref="AN188:AN188">AD188</f>
        <v>концессионное соглашение</v>
      </c>
      <c r="AO188" s="1000" cm="1" t="str">
        <f t="array" ref="AO188:AO188">AE188</f>
        <v>акт приёма-передачи</v>
      </c>
      <c r="AP188" s="1000" cm="1" t="str">
        <f t="array" ref="AP188:AP188">AF188</f>
        <v>б/н</v>
      </c>
      <c r="AQ188" s="1000" cm="1" t="str">
        <f t="array" ref="AQ188:AQ188">AG188</f>
        <v>01.06.2026</v>
      </c>
      <c r="AR188" s="619"/>
      <c r="AS188" s="619" t="b">
        <v>1</v>
      </c>
    </row>
    <row s="1459" customFormat="1" customHeight="1" ht="23.25">
      <c r="A189" s="1459"/>
      <c r="B189" s="1459"/>
      <c r="C189" s="1459"/>
      <c r="D189" s="1459"/>
      <c r="E189" s="629">
        <v>15</v>
      </c>
      <c r="F189" s="104" cm="1" t="str">
        <f t="array" ref="F189:F189">OFFSET(G189,-1,-1)</f>
        <v>2</v>
      </c>
      <c r="G189" s="1459"/>
      <c r="H189" s="1459"/>
      <c r="I189" s="104" t="s">
        <v>747</v>
      </c>
      <c r="J189" s="1459"/>
      <c r="K189" s="104" t="s">
        <v>859</v>
      </c>
      <c r="L189" s="1459"/>
      <c r="M189" s="1459"/>
      <c r="N189" s="1459"/>
      <c r="O189" s="1459"/>
      <c r="P189" s="1459"/>
      <c r="Q189" s="1459"/>
      <c r="R189" s="1459"/>
      <c r="S189" s="1459"/>
      <c r="T189" s="1459"/>
      <c r="U189" s="465">
        <f>AND(F189&gt;0,AB189&gt;0)</f>
        <v>1</v>
      </c>
      <c r="V189" s="1459"/>
      <c r="W189" s="1459"/>
      <c r="X189" s="717"/>
      <c r="Y189" s="1459"/>
      <c r="Z189" s="1459"/>
      <c r="AA189" s="662" t="s">
        <v>175</v>
      </c>
      <c r="AB189" s="88" t="s">
        <v>860</v>
      </c>
      <c r="AC189" s="274" t="str">
        <f>I189&amp;" :: "&amp;K189</f>
        <v>водопровод ул. Кузбасская :: п Малиновка, ул. Кузбасская, 2-82</v>
      </c>
      <c r="AD189" s="274" t="s">
        <v>430</v>
      </c>
      <c r="AE189" s="274" t="s">
        <v>431</v>
      </c>
      <c r="AF189" s="405" t="s">
        <v>432</v>
      </c>
      <c r="AG189" s="405" t="s">
        <v>433</v>
      </c>
      <c r="AH189" s="2022" t="s">
        <v>434</v>
      </c>
      <c r="AI189" s="1459"/>
      <c r="AJ189" s="1459"/>
      <c r="AK189" s="1000" t="s">
        <v>424</v>
      </c>
      <c r="AL189" s="1000" t="s">
        <v>425</v>
      </c>
      <c r="AM189" s="1000" cm="1" t="str">
        <f t="array" ref="AM189:AM189">AC189</f>
        <v>водопровод ул. Кузбасская :: п Малиновка, ул. Кузбасская, 2-82</v>
      </c>
      <c r="AN189" s="1000" cm="1" t="str">
        <f t="array" ref="AN189:AN189">AD189</f>
        <v>концессионное соглашение</v>
      </c>
      <c r="AO189" s="1000" cm="1" t="str">
        <f t="array" ref="AO189:AO189">AE189</f>
        <v>акт приёма-передачи</v>
      </c>
      <c r="AP189" s="1000" cm="1" t="str">
        <f t="array" ref="AP189:AP189">AF189</f>
        <v>б/н</v>
      </c>
      <c r="AQ189" s="1000" cm="1" t="str">
        <f t="array" ref="AQ189:AQ189">AG189</f>
        <v>01.06.2026</v>
      </c>
      <c r="AR189" s="619"/>
      <c r="AS189" s="619" t="b">
        <v>1</v>
      </c>
    </row>
    <row s="1459" customFormat="1" customHeight="1" ht="23.25">
      <c r="A190" s="1459"/>
      <c r="B190" s="1459"/>
      <c r="C190" s="1459"/>
      <c r="D190" s="1459"/>
      <c r="E190" s="629">
        <v>15</v>
      </c>
      <c r="F190" s="104" cm="1" t="str">
        <f t="array" ref="F190:F190">OFFSET(G190,-1,-1)</f>
        <v>2</v>
      </c>
      <c r="G190" s="1459"/>
      <c r="H190" s="1459"/>
      <c r="I190" s="104" t="s">
        <v>861</v>
      </c>
      <c r="J190" s="1459"/>
      <c r="K190" s="104" t="s">
        <v>862</v>
      </c>
      <c r="L190" s="1459"/>
      <c r="M190" s="1459"/>
      <c r="N190" s="1459"/>
      <c r="O190" s="1459"/>
      <c r="P190" s="1459"/>
      <c r="Q190" s="1459"/>
      <c r="R190" s="1459"/>
      <c r="S190" s="1459"/>
      <c r="T190" s="1459"/>
      <c r="U190" s="465">
        <f>AND(F190&gt;0,AB190&gt;0)</f>
        <v>1</v>
      </c>
      <c r="V190" s="1459"/>
      <c r="W190" s="1459"/>
      <c r="X190" s="717"/>
      <c r="Y190" s="1459"/>
      <c r="Z190" s="1459"/>
      <c r="AA190" s="662" t="s">
        <v>175</v>
      </c>
      <c r="AB190" s="88" t="s">
        <v>863</v>
      </c>
      <c r="AC190" s="274" t="str">
        <f>I190&amp;" :: "&amp;K190</f>
        <v>водопровод ул. Куйбышева :: п Малиновка, ул. Куйбышева, 1-32</v>
      </c>
      <c r="AD190" s="274" t="s">
        <v>430</v>
      </c>
      <c r="AE190" s="274" t="s">
        <v>431</v>
      </c>
      <c r="AF190" s="405" t="s">
        <v>432</v>
      </c>
      <c r="AG190" s="405" t="s">
        <v>433</v>
      </c>
      <c r="AH190" s="2022" t="s">
        <v>434</v>
      </c>
      <c r="AI190" s="1459"/>
      <c r="AJ190" s="1459"/>
      <c r="AK190" s="1000" t="s">
        <v>424</v>
      </c>
      <c r="AL190" s="1000" t="s">
        <v>425</v>
      </c>
      <c r="AM190" s="1000" cm="1" t="str">
        <f t="array" ref="AM190:AM190">AC190</f>
        <v>водопровод ул. Куйбышева :: п Малиновка, ул. Куйбышева, 1-32</v>
      </c>
      <c r="AN190" s="1000" cm="1" t="str">
        <f t="array" ref="AN190:AN190">AD190</f>
        <v>концессионное соглашение</v>
      </c>
      <c r="AO190" s="1000" cm="1" t="str">
        <f t="array" ref="AO190:AO190">AE190</f>
        <v>акт приёма-передачи</v>
      </c>
      <c r="AP190" s="1000" cm="1" t="str">
        <f t="array" ref="AP190:AP190">AF190</f>
        <v>б/н</v>
      </c>
      <c r="AQ190" s="1000" cm="1" t="str">
        <f t="array" ref="AQ190:AQ190">AG190</f>
        <v>01.06.2026</v>
      </c>
      <c r="AR190" s="619"/>
      <c r="AS190" s="619" t="b">
        <v>1</v>
      </c>
    </row>
    <row s="1459" customFormat="1" customHeight="1" ht="23.25">
      <c r="A191" s="1459"/>
      <c r="B191" s="1459"/>
      <c r="C191" s="1459"/>
      <c r="D191" s="1459"/>
      <c r="E191" s="629">
        <v>15</v>
      </c>
      <c r="F191" s="104" cm="1" t="str">
        <f t="array" ref="F191:F191">OFFSET(G191,-1,-1)</f>
        <v>2</v>
      </c>
      <c r="G191" s="1459"/>
      <c r="H191" s="1459"/>
      <c r="I191" s="104" t="s">
        <v>864</v>
      </c>
      <c r="J191" s="1459"/>
      <c r="K191" s="104" t="s">
        <v>865</v>
      </c>
      <c r="L191" s="1459"/>
      <c r="M191" s="1459"/>
      <c r="N191" s="1459"/>
      <c r="O191" s="1459"/>
      <c r="P191" s="1459"/>
      <c r="Q191" s="1459"/>
      <c r="R191" s="1459"/>
      <c r="S191" s="1459"/>
      <c r="T191" s="1459"/>
      <c r="U191" s="465">
        <f>AND(F191&gt;0,AB191&gt;0)</f>
        <v>1</v>
      </c>
      <c r="V191" s="1459"/>
      <c r="W191" s="1459"/>
      <c r="X191" s="717"/>
      <c r="Y191" s="1459"/>
      <c r="Z191" s="1459"/>
      <c r="AA191" s="662" t="s">
        <v>175</v>
      </c>
      <c r="AB191" s="88" t="s">
        <v>866</v>
      </c>
      <c r="AC191" s="274" t="str">
        <f>I191&amp;" :: "&amp;K191</f>
        <v>водопровод ул. Кутузова :: п Малиновка, ул. Кутузова, -</v>
      </c>
      <c r="AD191" s="274" t="s">
        <v>430</v>
      </c>
      <c r="AE191" s="274" t="s">
        <v>431</v>
      </c>
      <c r="AF191" s="405" t="s">
        <v>432</v>
      </c>
      <c r="AG191" s="405" t="s">
        <v>433</v>
      </c>
      <c r="AH191" s="2022" t="s">
        <v>434</v>
      </c>
      <c r="AI191" s="1459"/>
      <c r="AJ191" s="1459"/>
      <c r="AK191" s="1000" t="s">
        <v>424</v>
      </c>
      <c r="AL191" s="1000" t="s">
        <v>425</v>
      </c>
      <c r="AM191" s="1000" cm="1" t="str">
        <f t="array" ref="AM191:AM191">AC191</f>
        <v>водопровод ул. Кутузова :: п Малиновка, ул. Кутузова, -</v>
      </c>
      <c r="AN191" s="1000" cm="1" t="str">
        <f t="array" ref="AN191:AN191">AD191</f>
        <v>концессионное соглашение</v>
      </c>
      <c r="AO191" s="1000" cm="1" t="str">
        <f t="array" ref="AO191:AO191">AE191</f>
        <v>акт приёма-передачи</v>
      </c>
      <c r="AP191" s="1000" cm="1" t="str">
        <f t="array" ref="AP191:AP191">AF191</f>
        <v>б/н</v>
      </c>
      <c r="AQ191" s="1000" cm="1" t="str">
        <f t="array" ref="AQ191:AQ191">AG191</f>
        <v>01.06.2026</v>
      </c>
      <c r="AR191" s="619"/>
      <c r="AS191" s="619" t="b">
        <v>1</v>
      </c>
    </row>
    <row s="1459" customFormat="1" customHeight="1" ht="23.25">
      <c r="A192" s="1459"/>
      <c r="B192" s="1459"/>
      <c r="C192" s="1459"/>
      <c r="D192" s="1459"/>
      <c r="E192" s="629">
        <v>15</v>
      </c>
      <c r="F192" s="104" cm="1" t="str">
        <f t="array" ref="F192:F192">OFFSET(G192,-1,-1)</f>
        <v>2</v>
      </c>
      <c r="G192" s="1459"/>
      <c r="H192" s="1459"/>
      <c r="I192" s="104" t="s">
        <v>867</v>
      </c>
      <c r="J192" s="1459"/>
      <c r="K192" s="104" t="s">
        <v>868</v>
      </c>
      <c r="L192" s="1459"/>
      <c r="M192" s="1459"/>
      <c r="N192" s="1459"/>
      <c r="O192" s="1459"/>
      <c r="P192" s="1459"/>
      <c r="Q192" s="1459"/>
      <c r="R192" s="1459"/>
      <c r="S192" s="1459"/>
      <c r="T192" s="1459"/>
      <c r="U192" s="465">
        <f>AND(F192&gt;0,AB192&gt;0)</f>
        <v>1</v>
      </c>
      <c r="V192" s="1459"/>
      <c r="W192" s="1459"/>
      <c r="X192" s="717"/>
      <c r="Y192" s="1459"/>
      <c r="Z192" s="1459"/>
      <c r="AA192" s="662" t="s">
        <v>175</v>
      </c>
      <c r="AB192" s="88" t="s">
        <v>869</v>
      </c>
      <c r="AC192" s="274" t="str">
        <f>I192&amp;" :: "&amp;K192</f>
        <v>водопровод ул. Ленина :: п Малиновка, ул. Ленина, -</v>
      </c>
      <c r="AD192" s="274" t="s">
        <v>430</v>
      </c>
      <c r="AE192" s="274" t="s">
        <v>431</v>
      </c>
      <c r="AF192" s="405" t="s">
        <v>432</v>
      </c>
      <c r="AG192" s="405" t="s">
        <v>433</v>
      </c>
      <c r="AH192" s="2022" t="s">
        <v>434</v>
      </c>
      <c r="AI192" s="1459"/>
      <c r="AJ192" s="1459"/>
      <c r="AK192" s="1000" t="s">
        <v>424</v>
      </c>
      <c r="AL192" s="1000" t="s">
        <v>425</v>
      </c>
      <c r="AM192" s="1000" cm="1" t="str">
        <f t="array" ref="AM192:AM192">AC192</f>
        <v>водопровод ул. Ленина :: п Малиновка, ул. Ленина, -</v>
      </c>
      <c r="AN192" s="1000" cm="1" t="str">
        <f t="array" ref="AN192:AN192">AD192</f>
        <v>концессионное соглашение</v>
      </c>
      <c r="AO192" s="1000" cm="1" t="str">
        <f t="array" ref="AO192:AO192">AE192</f>
        <v>акт приёма-передачи</v>
      </c>
      <c r="AP192" s="1000" cm="1" t="str">
        <f t="array" ref="AP192:AP192">AF192</f>
        <v>б/н</v>
      </c>
      <c r="AQ192" s="1000" cm="1" t="str">
        <f t="array" ref="AQ192:AQ192">AG192</f>
        <v>01.06.2026</v>
      </c>
      <c r="AR192" s="619"/>
      <c r="AS192" s="619" t="b">
        <v>1</v>
      </c>
    </row>
    <row s="1459" customFormat="1" customHeight="1" ht="23.25">
      <c r="A193" s="1459"/>
      <c r="B193" s="1459"/>
      <c r="C193" s="1459"/>
      <c r="D193" s="1459"/>
      <c r="E193" s="629">
        <v>15</v>
      </c>
      <c r="F193" s="104" cm="1" t="str">
        <f t="array" ref="F193:F193">OFFSET(G193,-1,-1)</f>
        <v>2</v>
      </c>
      <c r="G193" s="1459"/>
      <c r="H193" s="1459"/>
      <c r="I193" s="104" t="s">
        <v>870</v>
      </c>
      <c r="J193" s="1459"/>
      <c r="K193" s="104" t="s">
        <v>871</v>
      </c>
      <c r="L193" s="1459"/>
      <c r="M193" s="1459"/>
      <c r="N193" s="1459"/>
      <c r="O193" s="1459"/>
      <c r="P193" s="1459"/>
      <c r="Q193" s="1459"/>
      <c r="R193" s="1459"/>
      <c r="S193" s="1459"/>
      <c r="T193" s="1459"/>
      <c r="U193" s="465">
        <f>AND(F193&gt;0,AB193&gt;0)</f>
        <v>1</v>
      </c>
      <c r="V193" s="1459"/>
      <c r="W193" s="1459"/>
      <c r="X193" s="717"/>
      <c r="Y193" s="1459"/>
      <c r="Z193" s="1459"/>
      <c r="AA193" s="662" t="s">
        <v>175</v>
      </c>
      <c r="AB193" s="88" t="s">
        <v>872</v>
      </c>
      <c r="AC193" s="274" t="str">
        <f>I193&amp;" :: "&amp;K193</f>
        <v>водопровод ул. Лесная :: п Малиновка, ул. Лесная, 38-50</v>
      </c>
      <c r="AD193" s="274" t="s">
        <v>430</v>
      </c>
      <c r="AE193" s="274" t="s">
        <v>431</v>
      </c>
      <c r="AF193" s="405" t="s">
        <v>432</v>
      </c>
      <c r="AG193" s="405" t="s">
        <v>433</v>
      </c>
      <c r="AH193" s="2022" t="s">
        <v>434</v>
      </c>
      <c r="AI193" s="1459"/>
      <c r="AJ193" s="1459"/>
      <c r="AK193" s="1000" t="s">
        <v>424</v>
      </c>
      <c r="AL193" s="1000" t="s">
        <v>425</v>
      </c>
      <c r="AM193" s="1000" cm="1" t="str">
        <f t="array" ref="AM193:AM193">AC193</f>
        <v>водопровод ул. Лесная :: п Малиновка, ул. Лесная, 38-50</v>
      </c>
      <c r="AN193" s="1000" cm="1" t="str">
        <f t="array" ref="AN193:AN193">AD193</f>
        <v>концессионное соглашение</v>
      </c>
      <c r="AO193" s="1000" cm="1" t="str">
        <f t="array" ref="AO193:AO193">AE193</f>
        <v>акт приёма-передачи</v>
      </c>
      <c r="AP193" s="1000" cm="1" t="str">
        <f t="array" ref="AP193:AP193">AF193</f>
        <v>б/н</v>
      </c>
      <c r="AQ193" s="1000" cm="1" t="str">
        <f t="array" ref="AQ193:AQ193">AG193</f>
        <v>01.06.2026</v>
      </c>
      <c r="AR193" s="619"/>
      <c r="AS193" s="619" t="b">
        <v>1</v>
      </c>
    </row>
    <row s="1459" customFormat="1" customHeight="1" ht="23.25">
      <c r="A194" s="1459"/>
      <c r="B194" s="1459"/>
      <c r="C194" s="1459"/>
      <c r="D194" s="1459"/>
      <c r="E194" s="629">
        <v>15</v>
      </c>
      <c r="F194" s="104" cm="1" t="str">
        <f t="array" ref="F194:F194">OFFSET(G194,-1,-1)</f>
        <v>2</v>
      </c>
      <c r="G194" s="1459"/>
      <c r="H194" s="1459"/>
      <c r="I194" s="104" t="s">
        <v>873</v>
      </c>
      <c r="J194" s="1459"/>
      <c r="K194" s="104" t="s">
        <v>874</v>
      </c>
      <c r="L194" s="1459"/>
      <c r="M194" s="1459"/>
      <c r="N194" s="1459"/>
      <c r="O194" s="1459"/>
      <c r="P194" s="1459"/>
      <c r="Q194" s="1459"/>
      <c r="R194" s="1459"/>
      <c r="S194" s="1459"/>
      <c r="T194" s="1459"/>
      <c r="U194" s="465">
        <f>AND(F194&gt;0,AB194&gt;0)</f>
        <v>1</v>
      </c>
      <c r="V194" s="1459"/>
      <c r="W194" s="1459"/>
      <c r="X194" s="717"/>
      <c r="Y194" s="1459"/>
      <c r="Z194" s="1459"/>
      <c r="AA194" s="662" t="s">
        <v>175</v>
      </c>
      <c r="AB194" s="88" t="s">
        <v>875</v>
      </c>
      <c r="AC194" s="274" t="str">
        <f>I194&amp;" :: "&amp;K194</f>
        <v>водопровод ул. Линейная :: п Малиновка, ул. Линейная, 1-27</v>
      </c>
      <c r="AD194" s="274" t="s">
        <v>430</v>
      </c>
      <c r="AE194" s="274" t="s">
        <v>431</v>
      </c>
      <c r="AF194" s="405" t="s">
        <v>432</v>
      </c>
      <c r="AG194" s="405" t="s">
        <v>433</v>
      </c>
      <c r="AH194" s="2022" t="s">
        <v>434</v>
      </c>
      <c r="AI194" s="1459"/>
      <c r="AJ194" s="1459"/>
      <c r="AK194" s="1000" t="s">
        <v>424</v>
      </c>
      <c r="AL194" s="1000" t="s">
        <v>425</v>
      </c>
      <c r="AM194" s="1000" cm="1" t="str">
        <f t="array" ref="AM194:AM194">AC194</f>
        <v>водопровод ул. Линейная :: п Малиновка, ул. Линейная, 1-27</v>
      </c>
      <c r="AN194" s="1000" cm="1" t="str">
        <f t="array" ref="AN194:AN194">AD194</f>
        <v>концессионное соглашение</v>
      </c>
      <c r="AO194" s="1000" cm="1" t="str">
        <f t="array" ref="AO194:AO194">AE194</f>
        <v>акт приёма-передачи</v>
      </c>
      <c r="AP194" s="1000" cm="1" t="str">
        <f t="array" ref="AP194:AP194">AF194</f>
        <v>б/н</v>
      </c>
      <c r="AQ194" s="1000" cm="1" t="str">
        <f t="array" ref="AQ194:AQ194">AG194</f>
        <v>01.06.2026</v>
      </c>
      <c r="AR194" s="619"/>
      <c r="AS194" s="619" t="b">
        <v>1</v>
      </c>
    </row>
    <row s="1459" customFormat="1" customHeight="1" ht="23.25">
      <c r="A195" s="1459"/>
      <c r="B195" s="1459"/>
      <c r="C195" s="1459"/>
      <c r="D195" s="1459"/>
      <c r="E195" s="629">
        <v>15</v>
      </c>
      <c r="F195" s="104" cm="1" t="str">
        <f t="array" ref="F195:F195">OFFSET(G195,-1,-1)</f>
        <v>2</v>
      </c>
      <c r="G195" s="1459"/>
      <c r="H195" s="1459"/>
      <c r="I195" s="104" t="s">
        <v>876</v>
      </c>
      <c r="J195" s="1459"/>
      <c r="K195" s="104" t="s">
        <v>877</v>
      </c>
      <c r="L195" s="1459"/>
      <c r="M195" s="1459"/>
      <c r="N195" s="1459"/>
      <c r="O195" s="1459"/>
      <c r="P195" s="1459"/>
      <c r="Q195" s="1459"/>
      <c r="R195" s="1459"/>
      <c r="S195" s="1459"/>
      <c r="T195" s="1459"/>
      <c r="U195" s="465">
        <f>AND(F195&gt;0,AB195&gt;0)</f>
        <v>1</v>
      </c>
      <c r="V195" s="1459"/>
      <c r="W195" s="1459"/>
      <c r="X195" s="717"/>
      <c r="Y195" s="1459"/>
      <c r="Z195" s="1459"/>
      <c r="AA195" s="662" t="s">
        <v>175</v>
      </c>
      <c r="AB195" s="88" t="s">
        <v>878</v>
      </c>
      <c r="AC195" s="274" t="str">
        <f>I195&amp;" :: "&amp;K195</f>
        <v>водопровод ул. Ломоносова :: п Малиновка, ул. Ломоносова, -</v>
      </c>
      <c r="AD195" s="274" t="s">
        <v>430</v>
      </c>
      <c r="AE195" s="274" t="s">
        <v>431</v>
      </c>
      <c r="AF195" s="405" t="s">
        <v>432</v>
      </c>
      <c r="AG195" s="405" t="s">
        <v>433</v>
      </c>
      <c r="AH195" s="2022" t="s">
        <v>434</v>
      </c>
      <c r="AI195" s="1459"/>
      <c r="AJ195" s="1459"/>
      <c r="AK195" s="1000" t="s">
        <v>424</v>
      </c>
      <c r="AL195" s="1000" t="s">
        <v>425</v>
      </c>
      <c r="AM195" s="1000" cm="1" t="str">
        <f t="array" ref="AM195:AM195">AC195</f>
        <v>водопровод ул. Ломоносова :: п Малиновка, ул. Ломоносова, -</v>
      </c>
      <c r="AN195" s="1000" cm="1" t="str">
        <f t="array" ref="AN195:AN195">AD195</f>
        <v>концессионное соглашение</v>
      </c>
      <c r="AO195" s="1000" cm="1" t="str">
        <f t="array" ref="AO195:AO195">AE195</f>
        <v>акт приёма-передачи</v>
      </c>
      <c r="AP195" s="1000" cm="1" t="str">
        <f t="array" ref="AP195:AP195">AF195</f>
        <v>б/н</v>
      </c>
      <c r="AQ195" s="1000" cm="1" t="str">
        <f t="array" ref="AQ195:AQ195">AG195</f>
        <v>01.06.2026</v>
      </c>
      <c r="AR195" s="619"/>
      <c r="AS195" s="619" t="b">
        <v>1</v>
      </c>
    </row>
    <row s="1459" customFormat="1" customHeight="1" ht="23.25">
      <c r="A196" s="1459"/>
      <c r="B196" s="1459"/>
      <c r="C196" s="1459"/>
      <c r="D196" s="1459"/>
      <c r="E196" s="629">
        <v>15</v>
      </c>
      <c r="F196" s="104" cm="1" t="str">
        <f t="array" ref="F196:F196">OFFSET(G196,-1,-1)</f>
        <v>2</v>
      </c>
      <c r="G196" s="1459"/>
      <c r="H196" s="1459"/>
      <c r="I196" s="104" t="s">
        <v>879</v>
      </c>
      <c r="J196" s="1459"/>
      <c r="K196" s="104" t="s">
        <v>880</v>
      </c>
      <c r="L196" s="1459"/>
      <c r="M196" s="1459"/>
      <c r="N196" s="1459"/>
      <c r="O196" s="1459"/>
      <c r="P196" s="1459"/>
      <c r="Q196" s="1459"/>
      <c r="R196" s="1459"/>
      <c r="S196" s="1459"/>
      <c r="T196" s="1459"/>
      <c r="U196" s="465">
        <f>AND(F196&gt;0,AB196&gt;0)</f>
        <v>1</v>
      </c>
      <c r="V196" s="1459"/>
      <c r="W196" s="1459"/>
      <c r="X196" s="717"/>
      <c r="Y196" s="1459"/>
      <c r="Z196" s="1459"/>
      <c r="AA196" s="662" t="s">
        <v>175</v>
      </c>
      <c r="AB196" s="88" t="s">
        <v>881</v>
      </c>
      <c r="AC196" s="274" t="str">
        <f>I196&amp;" :: "&amp;K196</f>
        <v>водопровод ул. Макаренко :: п Малиновка, ул. Макаренко, 1-17</v>
      </c>
      <c r="AD196" s="274" t="s">
        <v>430</v>
      </c>
      <c r="AE196" s="274" t="s">
        <v>431</v>
      </c>
      <c r="AF196" s="405" t="s">
        <v>432</v>
      </c>
      <c r="AG196" s="405" t="s">
        <v>433</v>
      </c>
      <c r="AH196" s="2022" t="s">
        <v>434</v>
      </c>
      <c r="AI196" s="1459"/>
      <c r="AJ196" s="1459"/>
      <c r="AK196" s="1000" t="s">
        <v>424</v>
      </c>
      <c r="AL196" s="1000" t="s">
        <v>425</v>
      </c>
      <c r="AM196" s="1000" cm="1" t="str">
        <f t="array" ref="AM196:AM196">AC196</f>
        <v>водопровод ул. Макаренко :: п Малиновка, ул. Макаренко, 1-17</v>
      </c>
      <c r="AN196" s="1000" cm="1" t="str">
        <f t="array" ref="AN196:AN196">AD196</f>
        <v>концессионное соглашение</v>
      </c>
      <c r="AO196" s="1000" cm="1" t="str">
        <f t="array" ref="AO196:AO196">AE196</f>
        <v>акт приёма-передачи</v>
      </c>
      <c r="AP196" s="1000" cm="1" t="str">
        <f t="array" ref="AP196:AP196">AF196</f>
        <v>б/н</v>
      </c>
      <c r="AQ196" s="1000" cm="1" t="str">
        <f t="array" ref="AQ196:AQ196">AG196</f>
        <v>01.06.2026</v>
      </c>
      <c r="AR196" s="619"/>
      <c r="AS196" s="619" t="b">
        <v>1</v>
      </c>
    </row>
    <row s="1459" customFormat="1" customHeight="1" ht="23.25">
      <c r="A197" s="1459"/>
      <c r="B197" s="1459"/>
      <c r="C197" s="1459"/>
      <c r="D197" s="1459"/>
      <c r="E197" s="629">
        <v>15</v>
      </c>
      <c r="F197" s="104" cm="1" t="str">
        <f t="array" ref="F197:F197">OFFSET(G197,-1,-1)</f>
        <v>2</v>
      </c>
      <c r="G197" s="1459"/>
      <c r="H197" s="1459"/>
      <c r="I197" s="104" t="s">
        <v>882</v>
      </c>
      <c r="J197" s="1459"/>
      <c r="K197" s="104" t="s">
        <v>883</v>
      </c>
      <c r="L197" s="1459"/>
      <c r="M197" s="1459"/>
      <c r="N197" s="1459"/>
      <c r="O197" s="1459"/>
      <c r="P197" s="1459"/>
      <c r="Q197" s="1459"/>
      <c r="R197" s="1459"/>
      <c r="S197" s="1459"/>
      <c r="T197" s="1459"/>
      <c r="U197" s="465">
        <f>AND(F197&gt;0,AB197&gt;0)</f>
        <v>1</v>
      </c>
      <c r="V197" s="1459"/>
      <c r="W197" s="1459"/>
      <c r="X197" s="717"/>
      <c r="Y197" s="1459"/>
      <c r="Z197" s="1459"/>
      <c r="AA197" s="662" t="s">
        <v>175</v>
      </c>
      <c r="AB197" s="88" t="s">
        <v>884</v>
      </c>
      <c r="AC197" s="274" t="str">
        <f>I197&amp;" :: "&amp;K197</f>
        <v>водопровод ул. Малиновская :: п Малиновка, ул. Малиновская, -</v>
      </c>
      <c r="AD197" s="274" t="s">
        <v>430</v>
      </c>
      <c r="AE197" s="274" t="s">
        <v>431</v>
      </c>
      <c r="AF197" s="405" t="s">
        <v>432</v>
      </c>
      <c r="AG197" s="405" t="s">
        <v>433</v>
      </c>
      <c r="AH197" s="2022" t="s">
        <v>434</v>
      </c>
      <c r="AI197" s="1459"/>
      <c r="AJ197" s="1459"/>
      <c r="AK197" s="1000" t="s">
        <v>424</v>
      </c>
      <c r="AL197" s="1000" t="s">
        <v>425</v>
      </c>
      <c r="AM197" s="1000" cm="1" t="str">
        <f t="array" ref="AM197:AM197">AC197</f>
        <v>водопровод ул. Малиновская :: п Малиновка, ул. Малиновская, -</v>
      </c>
      <c r="AN197" s="1000" cm="1" t="str">
        <f t="array" ref="AN197:AN197">AD197</f>
        <v>концессионное соглашение</v>
      </c>
      <c r="AO197" s="1000" cm="1" t="str">
        <f t="array" ref="AO197:AO197">AE197</f>
        <v>акт приёма-передачи</v>
      </c>
      <c r="AP197" s="1000" cm="1" t="str">
        <f t="array" ref="AP197:AP197">AF197</f>
        <v>б/н</v>
      </c>
      <c r="AQ197" s="1000" cm="1" t="str">
        <f t="array" ref="AQ197:AQ197">AG197</f>
        <v>01.06.2026</v>
      </c>
      <c r="AR197" s="619"/>
      <c r="AS197" s="619" t="b">
        <v>1</v>
      </c>
    </row>
    <row s="1459" customFormat="1" customHeight="1" ht="23.25">
      <c r="A198" s="1459"/>
      <c r="B198" s="1459"/>
      <c r="C198" s="1459"/>
      <c r="D198" s="1459"/>
      <c r="E198" s="629">
        <v>15</v>
      </c>
      <c r="F198" s="104" cm="1" t="str">
        <f t="array" ref="F198:F198">OFFSET(G198,-1,-1)</f>
        <v>2</v>
      </c>
      <c r="G198" s="1459"/>
      <c r="H198" s="1459"/>
      <c r="I198" s="104" t="s">
        <v>885</v>
      </c>
      <c r="J198" s="1459"/>
      <c r="K198" s="104" t="s">
        <v>886</v>
      </c>
      <c r="L198" s="1459"/>
      <c r="M198" s="1459"/>
      <c r="N198" s="1459"/>
      <c r="O198" s="1459"/>
      <c r="P198" s="1459"/>
      <c r="Q198" s="1459"/>
      <c r="R198" s="1459"/>
      <c r="S198" s="1459"/>
      <c r="T198" s="1459"/>
      <c r="U198" s="465">
        <f>AND(F198&gt;0,AB198&gt;0)</f>
        <v>1</v>
      </c>
      <c r="V198" s="1459"/>
      <c r="W198" s="1459"/>
      <c r="X198" s="717"/>
      <c r="Y198" s="1459"/>
      <c r="Z198" s="1459"/>
      <c r="AA198" s="662" t="s">
        <v>175</v>
      </c>
      <c r="AB198" s="88" t="s">
        <v>887</v>
      </c>
      <c r="AC198" s="274" t="str">
        <f>I198&amp;" :: "&amp;K198</f>
        <v>Водопровод ул. Молодежная :: п Малиновка, ул. Молодежная, 1-13</v>
      </c>
      <c r="AD198" s="274" t="s">
        <v>430</v>
      </c>
      <c r="AE198" s="274" t="s">
        <v>431</v>
      </c>
      <c r="AF198" s="405" t="s">
        <v>432</v>
      </c>
      <c r="AG198" s="405" t="s">
        <v>433</v>
      </c>
      <c r="AH198" s="2022" t="s">
        <v>434</v>
      </c>
      <c r="AI198" s="1459"/>
      <c r="AJ198" s="1459"/>
      <c r="AK198" s="1000" t="s">
        <v>424</v>
      </c>
      <c r="AL198" s="1000" t="s">
        <v>425</v>
      </c>
      <c r="AM198" s="1000" cm="1" t="str">
        <f t="array" ref="AM198:AM198">AC198</f>
        <v>Водопровод ул. Молодежная :: п Малиновка, ул. Молодежная, 1-13</v>
      </c>
      <c r="AN198" s="1000" cm="1" t="str">
        <f t="array" ref="AN198:AN198">AD198</f>
        <v>концессионное соглашение</v>
      </c>
      <c r="AO198" s="1000" cm="1" t="str">
        <f t="array" ref="AO198:AO198">AE198</f>
        <v>акт приёма-передачи</v>
      </c>
      <c r="AP198" s="1000" cm="1" t="str">
        <f t="array" ref="AP198:AP198">AF198</f>
        <v>б/н</v>
      </c>
      <c r="AQ198" s="1000" cm="1" t="str">
        <f t="array" ref="AQ198:AQ198">AG198</f>
        <v>01.06.2026</v>
      </c>
      <c r="AR198" s="619"/>
      <c r="AS198" s="619" t="b">
        <v>1</v>
      </c>
    </row>
    <row s="1459" customFormat="1" customHeight="1" ht="23.25">
      <c r="A199" s="1459"/>
      <c r="B199" s="1459"/>
      <c r="C199" s="1459"/>
      <c r="D199" s="1459"/>
      <c r="E199" s="629">
        <v>15</v>
      </c>
      <c r="F199" s="104" cm="1" t="str">
        <f t="array" ref="F199:F199">OFFSET(G199,-1,-1)</f>
        <v>2</v>
      </c>
      <c r="G199" s="1459"/>
      <c r="H199" s="1459"/>
      <c r="I199" s="104" t="s">
        <v>645</v>
      </c>
      <c r="J199" s="1459"/>
      <c r="K199" s="104" t="s">
        <v>888</v>
      </c>
      <c r="L199" s="1459"/>
      <c r="M199" s="1459"/>
      <c r="N199" s="1459"/>
      <c r="O199" s="1459"/>
      <c r="P199" s="1459"/>
      <c r="Q199" s="1459"/>
      <c r="R199" s="1459"/>
      <c r="S199" s="1459"/>
      <c r="T199" s="1459"/>
      <c r="U199" s="465">
        <f>AND(F199&gt;0,AB199&gt;0)</f>
        <v>1</v>
      </c>
      <c r="V199" s="1459"/>
      <c r="W199" s="1459"/>
      <c r="X199" s="717"/>
      <c r="Y199" s="1459"/>
      <c r="Z199" s="1459"/>
      <c r="AA199" s="662" t="s">
        <v>175</v>
      </c>
      <c r="AB199" s="88" t="s">
        <v>889</v>
      </c>
      <c r="AC199" s="274" t="str">
        <f>I199&amp;" :: "&amp;K199</f>
        <v>водопровод ул. Нагорная :: п Малиновка, ул. Нагорная, 1-37а</v>
      </c>
      <c r="AD199" s="274" t="s">
        <v>430</v>
      </c>
      <c r="AE199" s="274" t="s">
        <v>431</v>
      </c>
      <c r="AF199" s="405" t="s">
        <v>432</v>
      </c>
      <c r="AG199" s="405" t="s">
        <v>433</v>
      </c>
      <c r="AH199" s="2022" t="s">
        <v>434</v>
      </c>
      <c r="AI199" s="1459"/>
      <c r="AJ199" s="1459"/>
      <c r="AK199" s="1000" t="s">
        <v>424</v>
      </c>
      <c r="AL199" s="1000" t="s">
        <v>425</v>
      </c>
      <c r="AM199" s="1000" cm="1" t="str">
        <f t="array" ref="AM199:AM199">AC199</f>
        <v>водопровод ул. Нагорная :: п Малиновка, ул. Нагорная, 1-37а</v>
      </c>
      <c r="AN199" s="1000" cm="1" t="str">
        <f t="array" ref="AN199:AN199">AD199</f>
        <v>концессионное соглашение</v>
      </c>
      <c r="AO199" s="1000" cm="1" t="str">
        <f t="array" ref="AO199:AO199">AE199</f>
        <v>акт приёма-передачи</v>
      </c>
      <c r="AP199" s="1000" cm="1" t="str">
        <f t="array" ref="AP199:AP199">AF199</f>
        <v>б/н</v>
      </c>
      <c r="AQ199" s="1000" cm="1" t="str">
        <f t="array" ref="AQ199:AQ199">AG199</f>
        <v>01.06.2026</v>
      </c>
      <c r="AR199" s="619"/>
      <c r="AS199" s="619" t="b">
        <v>1</v>
      </c>
    </row>
    <row s="1459" customFormat="1" customHeight="1" ht="23.25">
      <c r="A200" s="1459"/>
      <c r="B200" s="1459"/>
      <c r="C200" s="1459"/>
      <c r="D200" s="1459"/>
      <c r="E200" s="629">
        <v>15</v>
      </c>
      <c r="F200" s="104" cm="1" t="str">
        <f t="array" ref="F200:F200">OFFSET(G200,-1,-1)</f>
        <v>2</v>
      </c>
      <c r="G200" s="1459"/>
      <c r="H200" s="1459"/>
      <c r="I200" s="104" t="s">
        <v>890</v>
      </c>
      <c r="J200" s="1459"/>
      <c r="K200" s="104" t="s">
        <v>891</v>
      </c>
      <c r="L200" s="1459"/>
      <c r="M200" s="1459"/>
      <c r="N200" s="1459"/>
      <c r="O200" s="1459"/>
      <c r="P200" s="1459"/>
      <c r="Q200" s="1459"/>
      <c r="R200" s="1459"/>
      <c r="S200" s="1459"/>
      <c r="T200" s="1459"/>
      <c r="U200" s="465">
        <f>AND(F200&gt;0,AB200&gt;0)</f>
        <v>1</v>
      </c>
      <c r="V200" s="1459"/>
      <c r="W200" s="1459"/>
      <c r="X200" s="717"/>
      <c r="Y200" s="1459"/>
      <c r="Z200" s="1459"/>
      <c r="AA200" s="662" t="s">
        <v>175</v>
      </c>
      <c r="AB200" s="88" t="s">
        <v>892</v>
      </c>
      <c r="AC200" s="274" t="str">
        <f>I200&amp;" :: "&amp;K200</f>
        <v>водопровод ул. Нахимова :: п Малиновка, ул. Нахимова, -</v>
      </c>
      <c r="AD200" s="274" t="s">
        <v>430</v>
      </c>
      <c r="AE200" s="274" t="s">
        <v>431</v>
      </c>
      <c r="AF200" s="405" t="s">
        <v>432</v>
      </c>
      <c r="AG200" s="405" t="s">
        <v>433</v>
      </c>
      <c r="AH200" s="2022" t="s">
        <v>434</v>
      </c>
      <c r="AI200" s="1459"/>
      <c r="AJ200" s="1459"/>
      <c r="AK200" s="1000" t="s">
        <v>424</v>
      </c>
      <c r="AL200" s="1000" t="s">
        <v>425</v>
      </c>
      <c r="AM200" s="1000" cm="1" t="str">
        <f t="array" ref="AM200:AM200">AC200</f>
        <v>водопровод ул. Нахимова :: п Малиновка, ул. Нахимова, -</v>
      </c>
      <c r="AN200" s="1000" cm="1" t="str">
        <f t="array" ref="AN200:AN200">AD200</f>
        <v>концессионное соглашение</v>
      </c>
      <c r="AO200" s="1000" cm="1" t="str">
        <f t="array" ref="AO200:AO200">AE200</f>
        <v>акт приёма-передачи</v>
      </c>
      <c r="AP200" s="1000" cm="1" t="str">
        <f t="array" ref="AP200:AP200">AF200</f>
        <v>б/н</v>
      </c>
      <c r="AQ200" s="1000" cm="1" t="str">
        <f t="array" ref="AQ200:AQ200">AG200</f>
        <v>01.06.2026</v>
      </c>
      <c r="AR200" s="619"/>
      <c r="AS200" s="619" t="b">
        <v>1</v>
      </c>
    </row>
    <row s="1459" customFormat="1" customHeight="1" ht="23.25">
      <c r="A201" s="1459"/>
      <c r="B201" s="1459"/>
      <c r="C201" s="1459"/>
      <c r="D201" s="1459"/>
      <c r="E201" s="629">
        <v>15</v>
      </c>
      <c r="F201" s="104" cm="1" t="str">
        <f t="array" ref="F201:F201">OFFSET(G201,-1,-1)</f>
        <v>2</v>
      </c>
      <c r="G201" s="1459"/>
      <c r="H201" s="1459"/>
      <c r="I201" s="104" t="s">
        <v>893</v>
      </c>
      <c r="J201" s="1459"/>
      <c r="K201" s="104" t="s">
        <v>894</v>
      </c>
      <c r="L201" s="1459"/>
      <c r="M201" s="1459"/>
      <c r="N201" s="1459"/>
      <c r="O201" s="1459"/>
      <c r="P201" s="1459"/>
      <c r="Q201" s="1459"/>
      <c r="R201" s="1459"/>
      <c r="S201" s="1459"/>
      <c r="T201" s="1459"/>
      <c r="U201" s="465">
        <f>AND(F201&gt;0,AB201&gt;0)</f>
        <v>1</v>
      </c>
      <c r="V201" s="1459"/>
      <c r="W201" s="1459"/>
      <c r="X201" s="717"/>
      <c r="Y201" s="1459"/>
      <c r="Z201" s="1459"/>
      <c r="AA201" s="662" t="s">
        <v>175</v>
      </c>
      <c r="AB201" s="88" t="s">
        <v>895</v>
      </c>
      <c r="AC201" s="274" t="str">
        <f>I201&amp;" :: "&amp;K201</f>
        <v>водопровод ул. Некрасова :: п Малиновка, ул. Некрасова, -</v>
      </c>
      <c r="AD201" s="274" t="s">
        <v>430</v>
      </c>
      <c r="AE201" s="274" t="s">
        <v>431</v>
      </c>
      <c r="AF201" s="405" t="s">
        <v>432</v>
      </c>
      <c r="AG201" s="405" t="s">
        <v>433</v>
      </c>
      <c r="AH201" s="2022" t="s">
        <v>434</v>
      </c>
      <c r="AI201" s="1459"/>
      <c r="AJ201" s="1459"/>
      <c r="AK201" s="1000" t="s">
        <v>424</v>
      </c>
      <c r="AL201" s="1000" t="s">
        <v>425</v>
      </c>
      <c r="AM201" s="1000" cm="1" t="str">
        <f t="array" ref="AM201:AM201">AC201</f>
        <v>водопровод ул. Некрасова :: п Малиновка, ул. Некрасова, -</v>
      </c>
      <c r="AN201" s="1000" cm="1" t="str">
        <f t="array" ref="AN201:AN201">AD201</f>
        <v>концессионное соглашение</v>
      </c>
      <c r="AO201" s="1000" cm="1" t="str">
        <f t="array" ref="AO201:AO201">AE201</f>
        <v>акт приёма-передачи</v>
      </c>
      <c r="AP201" s="1000" cm="1" t="str">
        <f t="array" ref="AP201:AP201">AF201</f>
        <v>б/н</v>
      </c>
      <c r="AQ201" s="1000" cm="1" t="str">
        <f t="array" ref="AQ201:AQ201">AG201</f>
        <v>01.06.2026</v>
      </c>
      <c r="AR201" s="619"/>
      <c r="AS201" s="619" t="b">
        <v>1</v>
      </c>
    </row>
    <row s="1459" customFormat="1" customHeight="1" ht="23.25">
      <c r="A202" s="1459"/>
      <c r="B202" s="1459"/>
      <c r="C202" s="1459"/>
      <c r="D202" s="1459"/>
      <c r="E202" s="629">
        <v>15</v>
      </c>
      <c r="F202" s="104" cm="1" t="str">
        <f t="array" ref="F202:F202">OFFSET(G202,-1,-1)</f>
        <v>2</v>
      </c>
      <c r="G202" s="1459"/>
      <c r="H202" s="1459"/>
      <c r="I202" s="104" t="s">
        <v>651</v>
      </c>
      <c r="J202" s="1459"/>
      <c r="K202" s="104" t="s">
        <v>896</v>
      </c>
      <c r="L202" s="1459"/>
      <c r="M202" s="1459"/>
      <c r="N202" s="1459"/>
      <c r="O202" s="1459"/>
      <c r="P202" s="1459"/>
      <c r="Q202" s="1459"/>
      <c r="R202" s="1459"/>
      <c r="S202" s="1459"/>
      <c r="T202" s="1459"/>
      <c r="U202" s="465">
        <f>AND(F202&gt;0,AB202&gt;0)</f>
        <v>1</v>
      </c>
      <c r="V202" s="1459"/>
      <c r="W202" s="1459"/>
      <c r="X202" s="717"/>
      <c r="Y202" s="1459"/>
      <c r="Z202" s="1459"/>
      <c r="AA202" s="662" t="s">
        <v>175</v>
      </c>
      <c r="AB202" s="88" t="s">
        <v>897</v>
      </c>
      <c r="AC202" s="274" t="str">
        <f>I202&amp;" :: "&amp;K202</f>
        <v>водопровод ул. Новая :: п Малиновка, ул. Новая, 2-27</v>
      </c>
      <c r="AD202" s="274" t="s">
        <v>430</v>
      </c>
      <c r="AE202" s="274" t="s">
        <v>431</v>
      </c>
      <c r="AF202" s="405" t="s">
        <v>432</v>
      </c>
      <c r="AG202" s="405" t="s">
        <v>433</v>
      </c>
      <c r="AH202" s="2022" t="s">
        <v>434</v>
      </c>
      <c r="AI202" s="1459"/>
      <c r="AJ202" s="1459"/>
      <c r="AK202" s="1000" t="s">
        <v>424</v>
      </c>
      <c r="AL202" s="1000" t="s">
        <v>425</v>
      </c>
      <c r="AM202" s="1000" cm="1" t="str">
        <f t="array" ref="AM202:AM202">AC202</f>
        <v>водопровод ул. Новая :: п Малиновка, ул. Новая, 2-27</v>
      </c>
      <c r="AN202" s="1000" cm="1" t="str">
        <f t="array" ref="AN202:AN202">AD202</f>
        <v>концессионное соглашение</v>
      </c>
      <c r="AO202" s="1000" cm="1" t="str">
        <f t="array" ref="AO202:AO202">AE202</f>
        <v>акт приёма-передачи</v>
      </c>
      <c r="AP202" s="1000" cm="1" t="str">
        <f t="array" ref="AP202:AP202">AF202</f>
        <v>б/н</v>
      </c>
      <c r="AQ202" s="1000" cm="1" t="str">
        <f t="array" ref="AQ202:AQ202">AG202</f>
        <v>01.06.2026</v>
      </c>
      <c r="AR202" s="619"/>
      <c r="AS202" s="619" t="b">
        <v>1</v>
      </c>
    </row>
    <row s="1459" customFormat="1" customHeight="1" ht="23.25">
      <c r="A203" s="1459"/>
      <c r="B203" s="1459"/>
      <c r="C203" s="1459"/>
      <c r="D203" s="1459"/>
      <c r="E203" s="629">
        <v>15</v>
      </c>
      <c r="F203" s="104" cm="1" t="str">
        <f t="array" ref="F203:F203">OFFSET(G203,-1,-1)</f>
        <v>2</v>
      </c>
      <c r="G203" s="1459"/>
      <c r="H203" s="1459"/>
      <c r="I203" s="104" t="s">
        <v>898</v>
      </c>
      <c r="J203" s="1459"/>
      <c r="K203" s="104" t="s">
        <v>899</v>
      </c>
      <c r="L203" s="1459"/>
      <c r="M203" s="1459"/>
      <c r="N203" s="1459"/>
      <c r="O203" s="1459"/>
      <c r="P203" s="1459"/>
      <c r="Q203" s="1459"/>
      <c r="R203" s="1459"/>
      <c r="S203" s="1459"/>
      <c r="T203" s="1459"/>
      <c r="U203" s="465">
        <f>AND(F203&gt;0,AB203&gt;0)</f>
        <v>1</v>
      </c>
      <c r="V203" s="1459"/>
      <c r="W203" s="1459"/>
      <c r="X203" s="717"/>
      <c r="Y203" s="1459"/>
      <c r="Z203" s="1459"/>
      <c r="AA203" s="662" t="s">
        <v>175</v>
      </c>
      <c r="AB203" s="88" t="s">
        <v>900</v>
      </c>
      <c r="AC203" s="274" t="str">
        <f>I203&amp;" :: "&amp;K203</f>
        <v>Водопровод ул. Октябрьская :: п Малиновка, ул. Октябрьская, 1б-23</v>
      </c>
      <c r="AD203" s="274" t="s">
        <v>430</v>
      </c>
      <c r="AE203" s="274" t="s">
        <v>431</v>
      </c>
      <c r="AF203" s="405" t="s">
        <v>432</v>
      </c>
      <c r="AG203" s="405" t="s">
        <v>433</v>
      </c>
      <c r="AH203" s="2022" t="s">
        <v>434</v>
      </c>
      <c r="AI203" s="1459"/>
      <c r="AJ203" s="1459"/>
      <c r="AK203" s="1000" t="s">
        <v>424</v>
      </c>
      <c r="AL203" s="1000" t="s">
        <v>425</v>
      </c>
      <c r="AM203" s="1000" cm="1" t="str">
        <f t="array" ref="AM203:AM203">AC203</f>
        <v>Водопровод ул. Октябрьская :: п Малиновка, ул. Октябрьская, 1б-23</v>
      </c>
      <c r="AN203" s="1000" cm="1" t="str">
        <f t="array" ref="AN203:AN203">AD203</f>
        <v>концессионное соглашение</v>
      </c>
      <c r="AO203" s="1000" cm="1" t="str">
        <f t="array" ref="AO203:AO203">AE203</f>
        <v>акт приёма-передачи</v>
      </c>
      <c r="AP203" s="1000" cm="1" t="str">
        <f t="array" ref="AP203:AP203">AF203</f>
        <v>б/н</v>
      </c>
      <c r="AQ203" s="1000" cm="1" t="str">
        <f t="array" ref="AQ203:AQ203">AG203</f>
        <v>01.06.2026</v>
      </c>
      <c r="AR203" s="619"/>
      <c r="AS203" s="619" t="b">
        <v>1</v>
      </c>
    </row>
    <row s="1459" customFormat="1" customHeight="1" ht="23.25">
      <c r="A204" s="1459"/>
      <c r="B204" s="1459"/>
      <c r="C204" s="1459"/>
      <c r="D204" s="1459"/>
      <c r="E204" s="629">
        <v>15</v>
      </c>
      <c r="F204" s="104" cm="1" t="str">
        <f t="array" ref="F204:F204">OFFSET(G204,-1,-1)</f>
        <v>2</v>
      </c>
      <c r="G204" s="1459"/>
      <c r="H204" s="1459"/>
      <c r="I204" s="104" t="s">
        <v>901</v>
      </c>
      <c r="J204" s="1459"/>
      <c r="K204" s="104" t="s">
        <v>902</v>
      </c>
      <c r="L204" s="1459"/>
      <c r="M204" s="1459"/>
      <c r="N204" s="1459"/>
      <c r="O204" s="1459"/>
      <c r="P204" s="1459"/>
      <c r="Q204" s="1459"/>
      <c r="R204" s="1459"/>
      <c r="S204" s="1459"/>
      <c r="T204" s="1459"/>
      <c r="U204" s="465">
        <f>AND(F204&gt;0,AB204&gt;0)</f>
        <v>1</v>
      </c>
      <c r="V204" s="1459"/>
      <c r="W204" s="1459"/>
      <c r="X204" s="717"/>
      <c r="Y204" s="1459"/>
      <c r="Z204" s="1459"/>
      <c r="AA204" s="662" t="s">
        <v>175</v>
      </c>
      <c r="AB204" s="88" t="s">
        <v>903</v>
      </c>
      <c r="AC204" s="274" t="str">
        <f>I204&amp;" :: "&amp;K204</f>
        <v>Водопровод ул. Островского :: п Малиновка, ул. Островского, 4-10</v>
      </c>
      <c r="AD204" s="274" t="s">
        <v>430</v>
      </c>
      <c r="AE204" s="274" t="s">
        <v>431</v>
      </c>
      <c r="AF204" s="405" t="s">
        <v>432</v>
      </c>
      <c r="AG204" s="405" t="s">
        <v>433</v>
      </c>
      <c r="AH204" s="2022" t="s">
        <v>434</v>
      </c>
      <c r="AI204" s="1459"/>
      <c r="AJ204" s="1459"/>
      <c r="AK204" s="1000" t="s">
        <v>424</v>
      </c>
      <c r="AL204" s="1000" t="s">
        <v>425</v>
      </c>
      <c r="AM204" s="1000" cm="1" t="str">
        <f t="array" ref="AM204:AM204">AC204</f>
        <v>Водопровод ул. Островского :: п Малиновка, ул. Островского, 4-10</v>
      </c>
      <c r="AN204" s="1000" cm="1" t="str">
        <f t="array" ref="AN204:AN204">AD204</f>
        <v>концессионное соглашение</v>
      </c>
      <c r="AO204" s="1000" cm="1" t="str">
        <f t="array" ref="AO204:AO204">AE204</f>
        <v>акт приёма-передачи</v>
      </c>
      <c r="AP204" s="1000" cm="1" t="str">
        <f t="array" ref="AP204:AP204">AF204</f>
        <v>б/н</v>
      </c>
      <c r="AQ204" s="1000" cm="1" t="str">
        <f t="array" ref="AQ204:AQ204">AG204</f>
        <v>01.06.2026</v>
      </c>
      <c r="AR204" s="619"/>
      <c r="AS204" s="619" t="b">
        <v>1</v>
      </c>
    </row>
    <row s="1459" customFormat="1" customHeight="1" ht="23.25">
      <c r="A205" s="1459"/>
      <c r="B205" s="1459"/>
      <c r="C205" s="1459"/>
      <c r="D205" s="1459"/>
      <c r="E205" s="629">
        <v>15</v>
      </c>
      <c r="F205" s="104" cm="1" t="str">
        <f t="array" ref="F205:F205">OFFSET(G205,-1,-1)</f>
        <v>2</v>
      </c>
      <c r="G205" s="1459"/>
      <c r="H205" s="1459"/>
      <c r="I205" s="104" t="s">
        <v>904</v>
      </c>
      <c r="J205" s="1459"/>
      <c r="K205" s="104" t="s">
        <v>905</v>
      </c>
      <c r="L205" s="1459"/>
      <c r="M205" s="1459"/>
      <c r="N205" s="1459"/>
      <c r="O205" s="1459"/>
      <c r="P205" s="1459"/>
      <c r="Q205" s="1459"/>
      <c r="R205" s="1459"/>
      <c r="S205" s="1459"/>
      <c r="T205" s="1459"/>
      <c r="U205" s="465">
        <f>AND(F205&gt;0,AB205&gt;0)</f>
        <v>1</v>
      </c>
      <c r="V205" s="1459"/>
      <c r="W205" s="1459"/>
      <c r="X205" s="717"/>
      <c r="Y205" s="1459"/>
      <c r="Z205" s="1459"/>
      <c r="AA205" s="662" t="s">
        <v>175</v>
      </c>
      <c r="AB205" s="88" t="s">
        <v>906</v>
      </c>
      <c r="AC205" s="274" t="str">
        <f>I205&amp;" :: "&amp;K205</f>
        <v>водопровод ул. Отдельная :: п Малиновка, ул. Отдельная, 1-30</v>
      </c>
      <c r="AD205" s="274" t="s">
        <v>430</v>
      </c>
      <c r="AE205" s="274" t="s">
        <v>431</v>
      </c>
      <c r="AF205" s="405" t="s">
        <v>432</v>
      </c>
      <c r="AG205" s="405" t="s">
        <v>433</v>
      </c>
      <c r="AH205" s="2022" t="s">
        <v>434</v>
      </c>
      <c r="AI205" s="1459"/>
      <c r="AJ205" s="1459"/>
      <c r="AK205" s="1000" t="s">
        <v>424</v>
      </c>
      <c r="AL205" s="1000" t="s">
        <v>425</v>
      </c>
      <c r="AM205" s="1000" cm="1" t="str">
        <f t="array" ref="AM205:AM205">AC205</f>
        <v>водопровод ул. Отдельная :: п Малиновка, ул. Отдельная, 1-30</v>
      </c>
      <c r="AN205" s="1000" cm="1" t="str">
        <f t="array" ref="AN205:AN205">AD205</f>
        <v>концессионное соглашение</v>
      </c>
      <c r="AO205" s="1000" cm="1" t="str">
        <f t="array" ref="AO205:AO205">AE205</f>
        <v>акт приёма-передачи</v>
      </c>
      <c r="AP205" s="1000" cm="1" t="str">
        <f t="array" ref="AP205:AP205">AF205</f>
        <v>б/н</v>
      </c>
      <c r="AQ205" s="1000" cm="1" t="str">
        <f t="array" ref="AQ205:AQ205">AG205</f>
        <v>01.06.2026</v>
      </c>
      <c r="AR205" s="619"/>
      <c r="AS205" s="619" t="b">
        <v>1</v>
      </c>
    </row>
    <row s="1459" customFormat="1" customHeight="1" ht="23.25">
      <c r="A206" s="1459"/>
      <c r="B206" s="1459"/>
      <c r="C206" s="1459"/>
      <c r="D206" s="1459"/>
      <c r="E206" s="629">
        <v>15</v>
      </c>
      <c r="F206" s="104" cm="1" t="str">
        <f t="array" ref="F206:F206">OFFSET(G206,-1,-1)</f>
        <v>2</v>
      </c>
      <c r="G206" s="1459"/>
      <c r="H206" s="1459"/>
      <c r="I206" s="104" t="s">
        <v>907</v>
      </c>
      <c r="J206" s="1459"/>
      <c r="K206" s="104" t="s">
        <v>908</v>
      </c>
      <c r="L206" s="1459"/>
      <c r="M206" s="1459"/>
      <c r="N206" s="1459"/>
      <c r="O206" s="1459"/>
      <c r="P206" s="1459"/>
      <c r="Q206" s="1459"/>
      <c r="R206" s="1459"/>
      <c r="S206" s="1459"/>
      <c r="T206" s="1459"/>
      <c r="U206" s="465">
        <f>AND(F206&gt;0,AB206&gt;0)</f>
        <v>1</v>
      </c>
      <c r="V206" s="1459"/>
      <c r="W206" s="1459"/>
      <c r="X206" s="717"/>
      <c r="Y206" s="1459"/>
      <c r="Z206" s="1459"/>
      <c r="AA206" s="662" t="s">
        <v>175</v>
      </c>
      <c r="AB206" s="88" t="s">
        <v>909</v>
      </c>
      <c r="AC206" s="274" t="str">
        <f>I206&amp;" :: "&amp;K206</f>
        <v>водопровод ул. Пионерская :: п Малиновка, ул. Пионерская, 3-22</v>
      </c>
      <c r="AD206" s="274" t="s">
        <v>430</v>
      </c>
      <c r="AE206" s="274" t="s">
        <v>431</v>
      </c>
      <c r="AF206" s="405" t="s">
        <v>432</v>
      </c>
      <c r="AG206" s="405" t="s">
        <v>433</v>
      </c>
      <c r="AH206" s="2022" t="s">
        <v>434</v>
      </c>
      <c r="AI206" s="1459"/>
      <c r="AJ206" s="1459"/>
      <c r="AK206" s="1000" t="s">
        <v>424</v>
      </c>
      <c r="AL206" s="1000" t="s">
        <v>425</v>
      </c>
      <c r="AM206" s="1000" cm="1" t="str">
        <f t="array" ref="AM206:AM206">AC206</f>
        <v>водопровод ул. Пионерская :: п Малиновка, ул. Пионерская, 3-22</v>
      </c>
      <c r="AN206" s="1000" cm="1" t="str">
        <f t="array" ref="AN206:AN206">AD206</f>
        <v>концессионное соглашение</v>
      </c>
      <c r="AO206" s="1000" cm="1" t="str">
        <f t="array" ref="AO206:AO206">AE206</f>
        <v>акт приёма-передачи</v>
      </c>
      <c r="AP206" s="1000" cm="1" t="str">
        <f t="array" ref="AP206:AP206">AF206</f>
        <v>б/н</v>
      </c>
      <c r="AQ206" s="1000" cm="1" t="str">
        <f t="array" ref="AQ206:AQ206">AG206</f>
        <v>01.06.2026</v>
      </c>
      <c r="AR206" s="619"/>
      <c r="AS206" s="619" t="b">
        <v>1</v>
      </c>
    </row>
    <row s="1459" customFormat="1" customHeight="1" ht="23.25">
      <c r="A207" s="1459"/>
      <c r="B207" s="1459"/>
      <c r="C207" s="1459"/>
      <c r="D207" s="1459"/>
      <c r="E207" s="629">
        <v>15</v>
      </c>
      <c r="F207" s="104" cm="1" t="str">
        <f t="array" ref="F207:F207">OFFSET(G207,-1,-1)</f>
        <v>2</v>
      </c>
      <c r="G207" s="1459"/>
      <c r="H207" s="1459"/>
      <c r="I207" s="104" t="s">
        <v>910</v>
      </c>
      <c r="J207" s="1459"/>
      <c r="K207" s="104" t="s">
        <v>911</v>
      </c>
      <c r="L207" s="1459"/>
      <c r="M207" s="1459"/>
      <c r="N207" s="1459"/>
      <c r="O207" s="1459"/>
      <c r="P207" s="1459"/>
      <c r="Q207" s="1459"/>
      <c r="R207" s="1459"/>
      <c r="S207" s="1459"/>
      <c r="T207" s="1459"/>
      <c r="U207" s="465">
        <f>AND(F207&gt;0,AB207&gt;0)</f>
        <v>1</v>
      </c>
      <c r="V207" s="1459"/>
      <c r="W207" s="1459"/>
      <c r="X207" s="717"/>
      <c r="Y207" s="1459"/>
      <c r="Z207" s="1459"/>
      <c r="AA207" s="662" t="s">
        <v>175</v>
      </c>
      <c r="AB207" s="88" t="s">
        <v>912</v>
      </c>
      <c r="AC207" s="274" t="str">
        <f>I207&amp;" :: "&amp;K207</f>
        <v>водопровод ул. Подгорная :: п Малиновка, ул. Подгорная, -</v>
      </c>
      <c r="AD207" s="274" t="s">
        <v>430</v>
      </c>
      <c r="AE207" s="274" t="s">
        <v>431</v>
      </c>
      <c r="AF207" s="405" t="s">
        <v>432</v>
      </c>
      <c r="AG207" s="405" t="s">
        <v>433</v>
      </c>
      <c r="AH207" s="2022" t="s">
        <v>434</v>
      </c>
      <c r="AI207" s="1459"/>
      <c r="AJ207" s="1459"/>
      <c r="AK207" s="1000" t="s">
        <v>424</v>
      </c>
      <c r="AL207" s="1000" t="s">
        <v>425</v>
      </c>
      <c r="AM207" s="1000" cm="1" t="str">
        <f t="array" ref="AM207:AM207">AC207</f>
        <v>водопровод ул. Подгорная :: п Малиновка, ул. Подгорная, -</v>
      </c>
      <c r="AN207" s="1000" cm="1" t="str">
        <f t="array" ref="AN207:AN207">AD207</f>
        <v>концессионное соглашение</v>
      </c>
      <c r="AO207" s="1000" cm="1" t="str">
        <f t="array" ref="AO207:AO207">AE207</f>
        <v>акт приёма-передачи</v>
      </c>
      <c r="AP207" s="1000" cm="1" t="str">
        <f t="array" ref="AP207:AP207">AF207</f>
        <v>б/н</v>
      </c>
      <c r="AQ207" s="1000" cm="1" t="str">
        <f t="array" ref="AQ207:AQ207">AG207</f>
        <v>01.06.2026</v>
      </c>
      <c r="AR207" s="619"/>
      <c r="AS207" s="619" t="b">
        <v>1</v>
      </c>
    </row>
    <row s="1459" customFormat="1" customHeight="1" ht="23.25">
      <c r="A208" s="1459"/>
      <c r="B208" s="1459"/>
      <c r="C208" s="1459"/>
      <c r="D208" s="1459"/>
      <c r="E208" s="629">
        <v>15</v>
      </c>
      <c r="F208" s="104" cm="1" t="str">
        <f t="array" ref="F208:F208">OFFSET(G208,-1,-1)</f>
        <v>2</v>
      </c>
      <c r="G208" s="1459"/>
      <c r="H208" s="1459"/>
      <c r="I208" s="104" t="s">
        <v>913</v>
      </c>
      <c r="J208" s="1459"/>
      <c r="K208" s="104" t="s">
        <v>914</v>
      </c>
      <c r="L208" s="1459"/>
      <c r="M208" s="1459"/>
      <c r="N208" s="1459"/>
      <c r="O208" s="1459"/>
      <c r="P208" s="1459"/>
      <c r="Q208" s="1459"/>
      <c r="R208" s="1459"/>
      <c r="S208" s="1459"/>
      <c r="T208" s="1459"/>
      <c r="U208" s="465">
        <f>AND(F208&gt;0,AB208&gt;0)</f>
        <v>1</v>
      </c>
      <c r="V208" s="1459"/>
      <c r="W208" s="1459"/>
      <c r="X208" s="717"/>
      <c r="Y208" s="1459"/>
      <c r="Z208" s="1459"/>
      <c r="AA208" s="662" t="s">
        <v>175</v>
      </c>
      <c r="AB208" s="88" t="s">
        <v>915</v>
      </c>
      <c r="AC208" s="274" t="str">
        <f>I208&amp;" :: "&amp;K208</f>
        <v>водопровод ул. Проектная :: п Малиновка, ул. Проектная, 5-52</v>
      </c>
      <c r="AD208" s="274" t="s">
        <v>430</v>
      </c>
      <c r="AE208" s="274" t="s">
        <v>431</v>
      </c>
      <c r="AF208" s="405" t="s">
        <v>432</v>
      </c>
      <c r="AG208" s="405" t="s">
        <v>433</v>
      </c>
      <c r="AH208" s="2022" t="s">
        <v>434</v>
      </c>
      <c r="AI208" s="1459"/>
      <c r="AJ208" s="1459"/>
      <c r="AK208" s="1000" t="s">
        <v>424</v>
      </c>
      <c r="AL208" s="1000" t="s">
        <v>425</v>
      </c>
      <c r="AM208" s="1000" cm="1" t="str">
        <f t="array" ref="AM208:AM208">AC208</f>
        <v>водопровод ул. Проектная :: п Малиновка, ул. Проектная, 5-52</v>
      </c>
      <c r="AN208" s="1000" cm="1" t="str">
        <f t="array" ref="AN208:AN208">AD208</f>
        <v>концессионное соглашение</v>
      </c>
      <c r="AO208" s="1000" cm="1" t="str">
        <f t="array" ref="AO208:AO208">AE208</f>
        <v>акт приёма-передачи</v>
      </c>
      <c r="AP208" s="1000" cm="1" t="str">
        <f t="array" ref="AP208:AP208">AF208</f>
        <v>б/н</v>
      </c>
      <c r="AQ208" s="1000" cm="1" t="str">
        <f t="array" ref="AQ208:AQ208">AG208</f>
        <v>01.06.2026</v>
      </c>
      <c r="AR208" s="619"/>
      <c r="AS208" s="619" t="b">
        <v>1</v>
      </c>
    </row>
    <row s="1459" customFormat="1" customHeight="1" ht="23.25">
      <c r="A209" s="1459"/>
      <c r="B209" s="1459"/>
      <c r="C209" s="1459"/>
      <c r="D209" s="1459"/>
      <c r="E209" s="629">
        <v>15</v>
      </c>
      <c r="F209" s="104" cm="1" t="str">
        <f t="array" ref="F209:F209">OFFSET(G209,-1,-1)</f>
        <v>2</v>
      </c>
      <c r="G209" s="1459"/>
      <c r="H209" s="1459"/>
      <c r="I209" s="104" t="s">
        <v>916</v>
      </c>
      <c r="J209" s="1459"/>
      <c r="K209" s="104" t="s">
        <v>917</v>
      </c>
      <c r="L209" s="1459"/>
      <c r="M209" s="1459"/>
      <c r="N209" s="1459"/>
      <c r="O209" s="1459"/>
      <c r="P209" s="1459"/>
      <c r="Q209" s="1459"/>
      <c r="R209" s="1459"/>
      <c r="S209" s="1459"/>
      <c r="T209" s="1459"/>
      <c r="U209" s="465">
        <f>AND(F209&gt;0,AB209&gt;0)</f>
        <v>1</v>
      </c>
      <c r="V209" s="1459"/>
      <c r="W209" s="1459"/>
      <c r="X209" s="717"/>
      <c r="Y209" s="1459"/>
      <c r="Z209" s="1459"/>
      <c r="AA209" s="662" t="s">
        <v>175</v>
      </c>
      <c r="AB209" s="88" t="s">
        <v>918</v>
      </c>
      <c r="AC209" s="274" t="str">
        <f>I209&amp;" :: "&amp;K209</f>
        <v>водопровод ул. Пугачева :: п Малиновка, ул. Пугачева, 1-31</v>
      </c>
      <c r="AD209" s="274" t="s">
        <v>430</v>
      </c>
      <c r="AE209" s="274" t="s">
        <v>431</v>
      </c>
      <c r="AF209" s="405" t="s">
        <v>432</v>
      </c>
      <c r="AG209" s="405" t="s">
        <v>433</v>
      </c>
      <c r="AH209" s="2022" t="s">
        <v>434</v>
      </c>
      <c r="AI209" s="1459"/>
      <c r="AJ209" s="1459"/>
      <c r="AK209" s="1000" t="s">
        <v>424</v>
      </c>
      <c r="AL209" s="1000" t="s">
        <v>425</v>
      </c>
      <c r="AM209" s="1000" cm="1" t="str">
        <f t="array" ref="AM209:AM209">AC209</f>
        <v>водопровод ул. Пугачева :: п Малиновка, ул. Пугачева, 1-31</v>
      </c>
      <c r="AN209" s="1000" cm="1" t="str">
        <f t="array" ref="AN209:AN209">AD209</f>
        <v>концессионное соглашение</v>
      </c>
      <c r="AO209" s="1000" cm="1" t="str">
        <f t="array" ref="AO209:AO209">AE209</f>
        <v>акт приёма-передачи</v>
      </c>
      <c r="AP209" s="1000" cm="1" t="str">
        <f t="array" ref="AP209:AP209">AF209</f>
        <v>б/н</v>
      </c>
      <c r="AQ209" s="1000" cm="1" t="str">
        <f t="array" ref="AQ209:AQ209">AG209</f>
        <v>01.06.2026</v>
      </c>
      <c r="AR209" s="619"/>
      <c r="AS209" s="619" t="b">
        <v>1</v>
      </c>
    </row>
    <row s="1459" customFormat="1" customHeight="1" ht="23.25">
      <c r="A210" s="1459"/>
      <c r="B210" s="1459"/>
      <c r="C210" s="1459"/>
      <c r="D210" s="1459"/>
      <c r="E210" s="629">
        <v>15</v>
      </c>
      <c r="F210" s="104" cm="1" t="str">
        <f t="array" ref="F210:F210">OFFSET(G210,-1,-1)</f>
        <v>2</v>
      </c>
      <c r="G210" s="1459"/>
      <c r="H210" s="1459"/>
      <c r="I210" s="104" t="s">
        <v>919</v>
      </c>
      <c r="J210" s="1459"/>
      <c r="K210" s="104" t="s">
        <v>920</v>
      </c>
      <c r="L210" s="1459"/>
      <c r="M210" s="1459"/>
      <c r="N210" s="1459"/>
      <c r="O210" s="1459"/>
      <c r="P210" s="1459"/>
      <c r="Q210" s="1459"/>
      <c r="R210" s="1459"/>
      <c r="S210" s="1459"/>
      <c r="T210" s="1459"/>
      <c r="U210" s="465">
        <f>AND(F210&gt;0,AB210&gt;0)</f>
        <v>1</v>
      </c>
      <c r="V210" s="1459"/>
      <c r="W210" s="1459"/>
      <c r="X210" s="717"/>
      <c r="Y210" s="1459"/>
      <c r="Z210" s="1459"/>
      <c r="AA210" s="662" t="s">
        <v>175</v>
      </c>
      <c r="AB210" s="88" t="s">
        <v>921</v>
      </c>
      <c r="AC210" s="274" t="str">
        <f>I210&amp;" :: "&amp;K210</f>
        <v>водопровод ул. Пушкина :: п Малиновка, ул. Пушкина, 1-56</v>
      </c>
      <c r="AD210" s="274" t="s">
        <v>430</v>
      </c>
      <c r="AE210" s="274" t="s">
        <v>431</v>
      </c>
      <c r="AF210" s="405" t="s">
        <v>432</v>
      </c>
      <c r="AG210" s="405" t="s">
        <v>433</v>
      </c>
      <c r="AH210" s="2022" t="s">
        <v>434</v>
      </c>
      <c r="AI210" s="1459"/>
      <c r="AJ210" s="1459"/>
      <c r="AK210" s="1000" t="s">
        <v>424</v>
      </c>
      <c r="AL210" s="1000" t="s">
        <v>425</v>
      </c>
      <c r="AM210" s="1000" cm="1" t="str">
        <f t="array" ref="AM210:AM210">AC210</f>
        <v>водопровод ул. Пушкина :: п Малиновка, ул. Пушкина, 1-56</v>
      </c>
      <c r="AN210" s="1000" cm="1" t="str">
        <f t="array" ref="AN210:AN210">AD210</f>
        <v>концессионное соглашение</v>
      </c>
      <c r="AO210" s="1000" cm="1" t="str">
        <f t="array" ref="AO210:AO210">AE210</f>
        <v>акт приёма-передачи</v>
      </c>
      <c r="AP210" s="1000" cm="1" t="str">
        <f t="array" ref="AP210:AP210">AF210</f>
        <v>б/н</v>
      </c>
      <c r="AQ210" s="1000" cm="1" t="str">
        <f t="array" ref="AQ210:AQ210">AG210</f>
        <v>01.06.2026</v>
      </c>
      <c r="AR210" s="619"/>
      <c r="AS210" s="619" t="b">
        <v>1</v>
      </c>
    </row>
    <row s="1459" customFormat="1" customHeight="1" ht="23.25">
      <c r="A211" s="1459"/>
      <c r="B211" s="1459"/>
      <c r="C211" s="1459"/>
      <c r="D211" s="1459"/>
      <c r="E211" s="629">
        <v>15</v>
      </c>
      <c r="F211" s="104" cm="1" t="str">
        <f t="array" ref="F211:F211">OFFSET(G211,-1,-1)</f>
        <v>2</v>
      </c>
      <c r="G211" s="1459"/>
      <c r="H211" s="1459"/>
      <c r="I211" s="104" t="s">
        <v>922</v>
      </c>
      <c r="J211" s="1459"/>
      <c r="K211" s="104" t="s">
        <v>923</v>
      </c>
      <c r="L211" s="1459"/>
      <c r="M211" s="1459"/>
      <c r="N211" s="1459"/>
      <c r="O211" s="1459"/>
      <c r="P211" s="1459"/>
      <c r="Q211" s="1459"/>
      <c r="R211" s="1459"/>
      <c r="S211" s="1459"/>
      <c r="T211" s="1459"/>
      <c r="U211" s="465">
        <f>AND(F211&gt;0,AB211&gt;0)</f>
        <v>1</v>
      </c>
      <c r="V211" s="1459"/>
      <c r="W211" s="1459"/>
      <c r="X211" s="717"/>
      <c r="Y211" s="1459"/>
      <c r="Z211" s="1459"/>
      <c r="AA211" s="662" t="s">
        <v>175</v>
      </c>
      <c r="AB211" s="88" t="s">
        <v>924</v>
      </c>
      <c r="AC211" s="274" t="str">
        <f>I211&amp;" :: "&amp;K211</f>
        <v>Водопровод ул. Рабочая :: п Малиновка, ул. Рабочая, 1-10</v>
      </c>
      <c r="AD211" s="274" t="s">
        <v>430</v>
      </c>
      <c r="AE211" s="274" t="s">
        <v>431</v>
      </c>
      <c r="AF211" s="405" t="s">
        <v>432</v>
      </c>
      <c r="AG211" s="405" t="s">
        <v>433</v>
      </c>
      <c r="AH211" s="2022" t="s">
        <v>434</v>
      </c>
      <c r="AI211" s="1459"/>
      <c r="AJ211" s="1459"/>
      <c r="AK211" s="1000" t="s">
        <v>424</v>
      </c>
      <c r="AL211" s="1000" t="s">
        <v>425</v>
      </c>
      <c r="AM211" s="1000" cm="1" t="str">
        <f t="array" ref="AM211:AM211">AC211</f>
        <v>Водопровод ул. Рабочая :: п Малиновка, ул. Рабочая, 1-10</v>
      </c>
      <c r="AN211" s="1000" cm="1" t="str">
        <f t="array" ref="AN211:AN211">AD211</f>
        <v>концессионное соглашение</v>
      </c>
      <c r="AO211" s="1000" cm="1" t="str">
        <f t="array" ref="AO211:AO211">AE211</f>
        <v>акт приёма-передачи</v>
      </c>
      <c r="AP211" s="1000" cm="1" t="str">
        <f t="array" ref="AP211:AP211">AF211</f>
        <v>б/н</v>
      </c>
      <c r="AQ211" s="1000" cm="1" t="str">
        <f t="array" ref="AQ211:AQ211">AG211</f>
        <v>01.06.2026</v>
      </c>
      <c r="AR211" s="619"/>
      <c r="AS211" s="619" t="b">
        <v>1</v>
      </c>
    </row>
    <row s="1459" customFormat="1" customHeight="1" ht="23.25">
      <c r="A212" s="1459"/>
      <c r="B212" s="1459"/>
      <c r="C212" s="1459"/>
      <c r="D212" s="1459"/>
      <c r="E212" s="629">
        <v>15</v>
      </c>
      <c r="F212" s="104" cm="1" t="str">
        <f t="array" ref="F212:F212">OFFSET(G212,-1,-1)</f>
        <v>2</v>
      </c>
      <c r="G212" s="1459"/>
      <c r="H212" s="1459"/>
      <c r="I212" s="104" t="s">
        <v>925</v>
      </c>
      <c r="J212" s="1459"/>
      <c r="K212" s="104" t="s">
        <v>926</v>
      </c>
      <c r="L212" s="1459"/>
      <c r="M212" s="1459"/>
      <c r="N212" s="1459"/>
      <c r="O212" s="1459"/>
      <c r="P212" s="1459"/>
      <c r="Q212" s="1459"/>
      <c r="R212" s="1459"/>
      <c r="S212" s="1459"/>
      <c r="T212" s="1459"/>
      <c r="U212" s="465">
        <f>AND(F212&gt;0,AB212&gt;0)</f>
        <v>1</v>
      </c>
      <c r="V212" s="1459"/>
      <c r="W212" s="1459"/>
      <c r="X212" s="717"/>
      <c r="Y212" s="1459"/>
      <c r="Z212" s="1459"/>
      <c r="AA212" s="662" t="s">
        <v>175</v>
      </c>
      <c r="AB212" s="88" t="s">
        <v>927</v>
      </c>
      <c r="AC212" s="274" t="str">
        <f>I212&amp;" :: "&amp;K212</f>
        <v>водопровод ул. Репина :: п Малиновка, ул. Репина, -</v>
      </c>
      <c r="AD212" s="274" t="s">
        <v>430</v>
      </c>
      <c r="AE212" s="274" t="s">
        <v>431</v>
      </c>
      <c r="AF212" s="405" t="s">
        <v>432</v>
      </c>
      <c r="AG212" s="405" t="s">
        <v>433</v>
      </c>
      <c r="AH212" s="2022" t="s">
        <v>434</v>
      </c>
      <c r="AI212" s="1459"/>
      <c r="AJ212" s="1459"/>
      <c r="AK212" s="1000" t="s">
        <v>424</v>
      </c>
      <c r="AL212" s="1000" t="s">
        <v>425</v>
      </c>
      <c r="AM212" s="1000" cm="1" t="str">
        <f t="array" ref="AM212:AM212">AC212</f>
        <v>водопровод ул. Репина :: п Малиновка, ул. Репина, -</v>
      </c>
      <c r="AN212" s="1000" cm="1" t="str">
        <f t="array" ref="AN212:AN212">AD212</f>
        <v>концессионное соглашение</v>
      </c>
      <c r="AO212" s="1000" cm="1" t="str">
        <f t="array" ref="AO212:AO212">AE212</f>
        <v>акт приёма-передачи</v>
      </c>
      <c r="AP212" s="1000" cm="1" t="str">
        <f t="array" ref="AP212:AP212">AF212</f>
        <v>б/н</v>
      </c>
      <c r="AQ212" s="1000" cm="1" t="str">
        <f t="array" ref="AQ212:AQ212">AG212</f>
        <v>01.06.2026</v>
      </c>
      <c r="AR212" s="619"/>
      <c r="AS212" s="619" t="b">
        <v>1</v>
      </c>
    </row>
    <row s="1459" customFormat="1" customHeight="1" ht="23.25">
      <c r="A213" s="1459"/>
      <c r="B213" s="1459"/>
      <c r="C213" s="1459"/>
      <c r="D213" s="1459"/>
      <c r="E213" s="629">
        <v>15</v>
      </c>
      <c r="F213" s="104" cm="1" t="str">
        <f t="array" ref="F213:F213">OFFSET(G213,-1,-1)</f>
        <v>2</v>
      </c>
      <c r="G213" s="1459"/>
      <c r="H213" s="1459"/>
      <c r="I213" s="104" t="s">
        <v>928</v>
      </c>
      <c r="J213" s="1459"/>
      <c r="K213" s="104" t="s">
        <v>929</v>
      </c>
      <c r="L213" s="1459"/>
      <c r="M213" s="1459"/>
      <c r="N213" s="1459"/>
      <c r="O213" s="1459"/>
      <c r="P213" s="1459"/>
      <c r="Q213" s="1459"/>
      <c r="R213" s="1459"/>
      <c r="S213" s="1459"/>
      <c r="T213" s="1459"/>
      <c r="U213" s="465">
        <f>AND(F213&gt;0,AB213&gt;0)</f>
        <v>1</v>
      </c>
      <c r="V213" s="1459"/>
      <c r="W213" s="1459"/>
      <c r="X213" s="717"/>
      <c r="Y213" s="1459"/>
      <c r="Z213" s="1459"/>
      <c r="AA213" s="662" t="s">
        <v>175</v>
      </c>
      <c r="AB213" s="88" t="s">
        <v>930</v>
      </c>
      <c r="AC213" s="274" t="str">
        <f>I213&amp;" :: "&amp;K213</f>
        <v>водопровод ул. Рябиновая :: п Малиновка, ул. Рябиновая, 1-32</v>
      </c>
      <c r="AD213" s="274" t="s">
        <v>430</v>
      </c>
      <c r="AE213" s="274" t="s">
        <v>431</v>
      </c>
      <c r="AF213" s="405" t="s">
        <v>432</v>
      </c>
      <c r="AG213" s="405" t="s">
        <v>433</v>
      </c>
      <c r="AH213" s="2022" t="s">
        <v>434</v>
      </c>
      <c r="AI213" s="1459"/>
      <c r="AJ213" s="1459"/>
      <c r="AK213" s="1000" t="s">
        <v>424</v>
      </c>
      <c r="AL213" s="1000" t="s">
        <v>425</v>
      </c>
      <c r="AM213" s="1000" cm="1" t="str">
        <f t="array" ref="AM213:AM213">AC213</f>
        <v>водопровод ул. Рябиновая :: п Малиновка, ул. Рябиновая, 1-32</v>
      </c>
      <c r="AN213" s="1000" cm="1" t="str">
        <f t="array" ref="AN213:AN213">AD213</f>
        <v>концессионное соглашение</v>
      </c>
      <c r="AO213" s="1000" cm="1" t="str">
        <f t="array" ref="AO213:AO213">AE213</f>
        <v>акт приёма-передачи</v>
      </c>
      <c r="AP213" s="1000" cm="1" t="str">
        <f t="array" ref="AP213:AP213">AF213</f>
        <v>б/н</v>
      </c>
      <c r="AQ213" s="1000" cm="1" t="str">
        <f t="array" ref="AQ213:AQ213">AG213</f>
        <v>01.06.2026</v>
      </c>
      <c r="AR213" s="619"/>
      <c r="AS213" s="619" t="b">
        <v>1</v>
      </c>
    </row>
    <row s="1459" customFormat="1" customHeight="1" ht="23.25">
      <c r="A214" s="1459"/>
      <c r="B214" s="1459"/>
      <c r="C214" s="1459"/>
      <c r="D214" s="1459"/>
      <c r="E214" s="629">
        <v>15</v>
      </c>
      <c r="F214" s="104" cm="1" t="str">
        <f t="array" ref="F214:F214">OFFSET(G214,-1,-1)</f>
        <v>2</v>
      </c>
      <c r="G214" s="1459"/>
      <c r="H214" s="1459"/>
      <c r="I214" s="104" t="s">
        <v>690</v>
      </c>
      <c r="J214" s="1459"/>
      <c r="K214" s="104" t="s">
        <v>931</v>
      </c>
      <c r="L214" s="1459"/>
      <c r="M214" s="1459"/>
      <c r="N214" s="1459"/>
      <c r="O214" s="1459"/>
      <c r="P214" s="1459"/>
      <c r="Q214" s="1459"/>
      <c r="R214" s="1459"/>
      <c r="S214" s="1459"/>
      <c r="T214" s="1459"/>
      <c r="U214" s="465">
        <f>AND(F214&gt;0,AB214&gt;0)</f>
        <v>1</v>
      </c>
      <c r="V214" s="1459"/>
      <c r="W214" s="1459"/>
      <c r="X214" s="717"/>
      <c r="Y214" s="1459"/>
      <c r="Z214" s="1459"/>
      <c r="AA214" s="662" t="s">
        <v>175</v>
      </c>
      <c r="AB214" s="88" t="s">
        <v>932</v>
      </c>
      <c r="AC214" s="274" t="str">
        <f>I214&amp;" :: "&amp;K214</f>
        <v>Водопровод ул. Садовая :: п Малиновка, ул. Садовая, 2-41б</v>
      </c>
      <c r="AD214" s="274" t="s">
        <v>430</v>
      </c>
      <c r="AE214" s="274" t="s">
        <v>431</v>
      </c>
      <c r="AF214" s="405" t="s">
        <v>432</v>
      </c>
      <c r="AG214" s="405" t="s">
        <v>433</v>
      </c>
      <c r="AH214" s="2022" t="s">
        <v>434</v>
      </c>
      <c r="AI214" s="1459"/>
      <c r="AJ214" s="1459"/>
      <c r="AK214" s="1000" t="s">
        <v>424</v>
      </c>
      <c r="AL214" s="1000" t="s">
        <v>425</v>
      </c>
      <c r="AM214" s="1000" cm="1" t="str">
        <f t="array" ref="AM214:AM214">AC214</f>
        <v>Водопровод ул. Садовая :: п Малиновка, ул. Садовая, 2-41б</v>
      </c>
      <c r="AN214" s="1000" cm="1" t="str">
        <f t="array" ref="AN214:AN214">AD214</f>
        <v>концессионное соглашение</v>
      </c>
      <c r="AO214" s="1000" cm="1" t="str">
        <f t="array" ref="AO214:AO214">AE214</f>
        <v>акт приёма-передачи</v>
      </c>
      <c r="AP214" s="1000" cm="1" t="str">
        <f t="array" ref="AP214:AP214">AF214</f>
        <v>б/н</v>
      </c>
      <c r="AQ214" s="1000" cm="1" t="str">
        <f t="array" ref="AQ214:AQ214">AG214</f>
        <v>01.06.2026</v>
      </c>
      <c r="AR214" s="619"/>
      <c r="AS214" s="619" t="b">
        <v>1</v>
      </c>
    </row>
    <row s="1459" customFormat="1" customHeight="1" ht="23.25">
      <c r="A215" s="1459"/>
      <c r="B215" s="1459"/>
      <c r="C215" s="1459"/>
      <c r="D215" s="1459"/>
      <c r="E215" s="629">
        <v>15</v>
      </c>
      <c r="F215" s="104" cm="1" t="str">
        <f t="array" ref="F215:F215">OFFSET(G215,-1,-1)</f>
        <v>2</v>
      </c>
      <c r="G215" s="1459"/>
      <c r="H215" s="1459"/>
      <c r="I215" s="104" t="s">
        <v>933</v>
      </c>
      <c r="J215" s="1459"/>
      <c r="K215" s="104" t="s">
        <v>934</v>
      </c>
      <c r="L215" s="1459"/>
      <c r="M215" s="1459"/>
      <c r="N215" s="1459"/>
      <c r="O215" s="1459"/>
      <c r="P215" s="1459"/>
      <c r="Q215" s="1459"/>
      <c r="R215" s="1459"/>
      <c r="S215" s="1459"/>
      <c r="T215" s="1459"/>
      <c r="U215" s="465">
        <f>AND(F215&gt;0,AB215&gt;0)</f>
        <v>1</v>
      </c>
      <c r="V215" s="1459"/>
      <c r="W215" s="1459"/>
      <c r="X215" s="717"/>
      <c r="Y215" s="1459"/>
      <c r="Z215" s="1459"/>
      <c r="AA215" s="662" t="s">
        <v>175</v>
      </c>
      <c r="AB215" s="88" t="s">
        <v>935</v>
      </c>
      <c r="AC215" s="274" t="str">
        <f>I215&amp;" :: "&amp;K215</f>
        <v>Повысительная насосная станция :: п Малиновка, ул. Садовая, 35а</v>
      </c>
      <c r="AD215" s="274" t="s">
        <v>430</v>
      </c>
      <c r="AE215" s="274" t="s">
        <v>431</v>
      </c>
      <c r="AF215" s="405" t="s">
        <v>432</v>
      </c>
      <c r="AG215" s="405" t="s">
        <v>433</v>
      </c>
      <c r="AH215" s="2022" t="s">
        <v>434</v>
      </c>
      <c r="AI215" s="1459"/>
      <c r="AJ215" s="1459"/>
      <c r="AK215" s="1000" t="s">
        <v>424</v>
      </c>
      <c r="AL215" s="1000" t="s">
        <v>425</v>
      </c>
      <c r="AM215" s="1000" cm="1" t="str">
        <f t="array" ref="AM215:AM215">AC215</f>
        <v>Повысительная насосная станция :: п Малиновка, ул. Садовая, 35а</v>
      </c>
      <c r="AN215" s="1000" cm="1" t="str">
        <f t="array" ref="AN215:AN215">AD215</f>
        <v>концессионное соглашение</v>
      </c>
      <c r="AO215" s="1000" cm="1" t="str">
        <f t="array" ref="AO215:AO215">AE215</f>
        <v>акт приёма-передачи</v>
      </c>
      <c r="AP215" s="1000" cm="1" t="str">
        <f t="array" ref="AP215:AP215">AF215</f>
        <v>б/н</v>
      </c>
      <c r="AQ215" s="1000" cm="1" t="str">
        <f t="array" ref="AQ215:AQ215">AG215</f>
        <v>01.06.2026</v>
      </c>
      <c r="AR215" s="619"/>
      <c r="AS215" s="619" t="b">
        <v>1</v>
      </c>
    </row>
    <row s="1459" customFormat="1" customHeight="1" ht="23.25">
      <c r="A216" s="1459"/>
      <c r="B216" s="1459"/>
      <c r="C216" s="1459"/>
      <c r="D216" s="1459"/>
      <c r="E216" s="629">
        <v>15</v>
      </c>
      <c r="F216" s="104" cm="1" t="str">
        <f t="array" ref="F216:F216">OFFSET(G216,-1,-1)</f>
        <v>2</v>
      </c>
      <c r="G216" s="1459"/>
      <c r="H216" s="1459"/>
      <c r="I216" s="104" t="s">
        <v>936</v>
      </c>
      <c r="J216" s="1459"/>
      <c r="K216" s="104" t="s">
        <v>937</v>
      </c>
      <c r="L216" s="1459"/>
      <c r="M216" s="1459"/>
      <c r="N216" s="1459"/>
      <c r="O216" s="1459"/>
      <c r="P216" s="1459"/>
      <c r="Q216" s="1459"/>
      <c r="R216" s="1459"/>
      <c r="S216" s="1459"/>
      <c r="T216" s="1459"/>
      <c r="U216" s="465">
        <f>AND(F216&gt;0,AB216&gt;0)</f>
        <v>1</v>
      </c>
      <c r="V216" s="1459"/>
      <c r="W216" s="1459"/>
      <c r="X216" s="717"/>
      <c r="Y216" s="1459"/>
      <c r="Z216" s="1459"/>
      <c r="AA216" s="662" t="s">
        <v>175</v>
      </c>
      <c r="AB216" s="88" t="s">
        <v>938</v>
      </c>
      <c r="AC216" s="274" t="str">
        <f>I216&amp;" :: "&amp;K216</f>
        <v>водопровод ул. Сибирская :: п Малиновка, ул. Сибирская, 5-39</v>
      </c>
      <c r="AD216" s="274" t="s">
        <v>430</v>
      </c>
      <c r="AE216" s="274" t="s">
        <v>431</v>
      </c>
      <c r="AF216" s="405" t="s">
        <v>432</v>
      </c>
      <c r="AG216" s="405" t="s">
        <v>433</v>
      </c>
      <c r="AH216" s="2022" t="s">
        <v>434</v>
      </c>
      <c r="AI216" s="1459"/>
      <c r="AJ216" s="1459"/>
      <c r="AK216" s="1000" t="s">
        <v>424</v>
      </c>
      <c r="AL216" s="1000" t="s">
        <v>425</v>
      </c>
      <c r="AM216" s="1000" cm="1" t="str">
        <f t="array" ref="AM216:AM216">AC216</f>
        <v>водопровод ул. Сибирская :: п Малиновка, ул. Сибирская, 5-39</v>
      </c>
      <c r="AN216" s="1000" cm="1" t="str">
        <f t="array" ref="AN216:AN216">AD216</f>
        <v>концессионное соглашение</v>
      </c>
      <c r="AO216" s="1000" cm="1" t="str">
        <f t="array" ref="AO216:AO216">AE216</f>
        <v>акт приёма-передачи</v>
      </c>
      <c r="AP216" s="1000" cm="1" t="str">
        <f t="array" ref="AP216:AP216">AF216</f>
        <v>б/н</v>
      </c>
      <c r="AQ216" s="1000" cm="1" t="str">
        <f t="array" ref="AQ216:AQ216">AG216</f>
        <v>01.06.2026</v>
      </c>
      <c r="AR216" s="619"/>
      <c r="AS216" s="619" t="b">
        <v>1</v>
      </c>
    </row>
    <row s="1459" customFormat="1" customHeight="1" ht="23.25">
      <c r="A217" s="1459"/>
      <c r="B217" s="1459"/>
      <c r="C217" s="1459"/>
      <c r="D217" s="1459"/>
      <c r="E217" s="629">
        <v>15</v>
      </c>
      <c r="F217" s="104" cm="1" t="str">
        <f t="array" ref="F217:F217">OFFSET(G217,-1,-1)</f>
        <v>2</v>
      </c>
      <c r="G217" s="1459"/>
      <c r="H217" s="1459"/>
      <c r="I217" s="104" t="s">
        <v>939</v>
      </c>
      <c r="J217" s="1459"/>
      <c r="K217" s="104" t="s">
        <v>940</v>
      </c>
      <c r="L217" s="1459"/>
      <c r="M217" s="1459"/>
      <c r="N217" s="1459"/>
      <c r="O217" s="1459"/>
      <c r="P217" s="1459"/>
      <c r="Q217" s="1459"/>
      <c r="R217" s="1459"/>
      <c r="S217" s="1459"/>
      <c r="T217" s="1459"/>
      <c r="U217" s="465">
        <f>AND(F217&gt;0,AB217&gt;0)</f>
        <v>1</v>
      </c>
      <c r="V217" s="1459"/>
      <c r="W217" s="1459"/>
      <c r="X217" s="717"/>
      <c r="Y217" s="1459"/>
      <c r="Z217" s="1459"/>
      <c r="AA217" s="662" t="s">
        <v>175</v>
      </c>
      <c r="AB217" s="88" t="s">
        <v>941</v>
      </c>
      <c r="AC217" s="274" t="str">
        <f>I217&amp;" :: "&amp;K217</f>
        <v>Водопровод ул. Советская :: п Малиновка, ул. Советская, 1-91</v>
      </c>
      <c r="AD217" s="274" t="s">
        <v>430</v>
      </c>
      <c r="AE217" s="274" t="s">
        <v>431</v>
      </c>
      <c r="AF217" s="405" t="s">
        <v>432</v>
      </c>
      <c r="AG217" s="405" t="s">
        <v>433</v>
      </c>
      <c r="AH217" s="2022" t="s">
        <v>434</v>
      </c>
      <c r="AI217" s="1459"/>
      <c r="AJ217" s="1459"/>
      <c r="AK217" s="1000" t="s">
        <v>424</v>
      </c>
      <c r="AL217" s="1000" t="s">
        <v>425</v>
      </c>
      <c r="AM217" s="1000" cm="1" t="str">
        <f t="array" ref="AM217:AM217">AC217</f>
        <v>Водопровод ул. Советская :: п Малиновка, ул. Советская, 1-91</v>
      </c>
      <c r="AN217" s="1000" cm="1" t="str">
        <f t="array" ref="AN217:AN217">AD217</f>
        <v>концессионное соглашение</v>
      </c>
      <c r="AO217" s="1000" cm="1" t="str">
        <f t="array" ref="AO217:AO217">AE217</f>
        <v>акт приёма-передачи</v>
      </c>
      <c r="AP217" s="1000" cm="1" t="str">
        <f t="array" ref="AP217:AP217">AF217</f>
        <v>б/н</v>
      </c>
      <c r="AQ217" s="1000" cm="1" t="str">
        <f t="array" ref="AQ217:AQ217">AG217</f>
        <v>01.06.2026</v>
      </c>
      <c r="AR217" s="619"/>
      <c r="AS217" s="619" t="b">
        <v>1</v>
      </c>
    </row>
    <row s="1459" customFormat="1" customHeight="1" ht="23.25">
      <c r="A218" s="1459"/>
      <c r="B218" s="1459"/>
      <c r="C218" s="1459"/>
      <c r="D218" s="1459"/>
      <c r="E218" s="629">
        <v>15</v>
      </c>
      <c r="F218" s="104" cm="1" t="str">
        <f t="array" ref="F218:F218">OFFSET(G218,-1,-1)</f>
        <v>2</v>
      </c>
      <c r="G218" s="1459"/>
      <c r="H218" s="1459"/>
      <c r="I218" s="104" t="s">
        <v>696</v>
      </c>
      <c r="J218" s="1459"/>
      <c r="K218" s="104" t="s">
        <v>942</v>
      </c>
      <c r="L218" s="1459"/>
      <c r="M218" s="1459"/>
      <c r="N218" s="1459"/>
      <c r="O218" s="1459"/>
      <c r="P218" s="1459"/>
      <c r="Q218" s="1459"/>
      <c r="R218" s="1459"/>
      <c r="S218" s="1459"/>
      <c r="T218" s="1459"/>
      <c r="U218" s="465">
        <f>AND(F218&gt;0,AB218&gt;0)</f>
        <v>1</v>
      </c>
      <c r="V218" s="1459"/>
      <c r="W218" s="1459"/>
      <c r="X218" s="717"/>
      <c r="Y218" s="1459"/>
      <c r="Z218" s="1459"/>
      <c r="AA218" s="662" t="s">
        <v>175</v>
      </c>
      <c r="AB218" s="88" t="s">
        <v>943</v>
      </c>
      <c r="AC218" s="274" t="str">
        <f>I218&amp;" :: "&amp;K218</f>
        <v>водопровод ул. Спортивная :: п Малиновка, ул. Спортивная, 1-24</v>
      </c>
      <c r="AD218" s="274" t="s">
        <v>430</v>
      </c>
      <c r="AE218" s="274" t="s">
        <v>431</v>
      </c>
      <c r="AF218" s="405" t="s">
        <v>432</v>
      </c>
      <c r="AG218" s="405" t="s">
        <v>433</v>
      </c>
      <c r="AH218" s="2022" t="s">
        <v>434</v>
      </c>
      <c r="AI218" s="1459"/>
      <c r="AJ218" s="1459"/>
      <c r="AK218" s="1000" t="s">
        <v>424</v>
      </c>
      <c r="AL218" s="1000" t="s">
        <v>425</v>
      </c>
      <c r="AM218" s="1000" cm="1" t="str">
        <f t="array" ref="AM218:AM218">AC218</f>
        <v>водопровод ул. Спортивная :: п Малиновка, ул. Спортивная, 1-24</v>
      </c>
      <c r="AN218" s="1000" cm="1" t="str">
        <f t="array" ref="AN218:AN218">AD218</f>
        <v>концессионное соглашение</v>
      </c>
      <c r="AO218" s="1000" cm="1" t="str">
        <f t="array" ref="AO218:AO218">AE218</f>
        <v>акт приёма-передачи</v>
      </c>
      <c r="AP218" s="1000" cm="1" t="str">
        <f t="array" ref="AP218:AP218">AF218</f>
        <v>б/н</v>
      </c>
      <c r="AQ218" s="1000" cm="1" t="str">
        <f t="array" ref="AQ218:AQ218">AG218</f>
        <v>01.06.2026</v>
      </c>
      <c r="AR218" s="619"/>
      <c r="AS218" s="619" t="b">
        <v>1</v>
      </c>
    </row>
    <row s="1459" customFormat="1" customHeight="1" ht="23.25">
      <c r="A219" s="1459"/>
      <c r="B219" s="1459"/>
      <c r="C219" s="1459"/>
      <c r="D219" s="1459"/>
      <c r="E219" s="629">
        <v>15</v>
      </c>
      <c r="F219" s="104" cm="1" t="str">
        <f t="array" ref="F219:F219">OFFSET(G219,-1,-1)</f>
        <v>2</v>
      </c>
      <c r="G219" s="1459"/>
      <c r="H219" s="1459"/>
      <c r="I219" s="104" t="s">
        <v>944</v>
      </c>
      <c r="J219" s="1459"/>
      <c r="K219" s="104" t="s">
        <v>945</v>
      </c>
      <c r="L219" s="1459"/>
      <c r="M219" s="1459"/>
      <c r="N219" s="1459"/>
      <c r="O219" s="1459"/>
      <c r="P219" s="1459"/>
      <c r="Q219" s="1459"/>
      <c r="R219" s="1459"/>
      <c r="S219" s="1459"/>
      <c r="T219" s="1459"/>
      <c r="U219" s="465">
        <f>AND(F219&gt;0,AB219&gt;0)</f>
        <v>1</v>
      </c>
      <c r="V219" s="1459"/>
      <c r="W219" s="1459"/>
      <c r="X219" s="717"/>
      <c r="Y219" s="1459"/>
      <c r="Z219" s="1459"/>
      <c r="AA219" s="662" t="s">
        <v>175</v>
      </c>
      <c r="AB219" s="88" t="s">
        <v>946</v>
      </c>
      <c r="AC219" s="274" t="str">
        <f>I219&amp;" :: "&amp;K219</f>
        <v>водопровод ул. Станционная :: п Малиновка, ул. Станционная, -</v>
      </c>
      <c r="AD219" s="274" t="s">
        <v>430</v>
      </c>
      <c r="AE219" s="274" t="s">
        <v>431</v>
      </c>
      <c r="AF219" s="405" t="s">
        <v>432</v>
      </c>
      <c r="AG219" s="405" t="s">
        <v>433</v>
      </c>
      <c r="AH219" s="2022" t="s">
        <v>434</v>
      </c>
      <c r="AI219" s="1459"/>
      <c r="AJ219" s="1459"/>
      <c r="AK219" s="1000" t="s">
        <v>424</v>
      </c>
      <c r="AL219" s="1000" t="s">
        <v>425</v>
      </c>
      <c r="AM219" s="1000" cm="1" t="str">
        <f t="array" ref="AM219:AM219">AC219</f>
        <v>водопровод ул. Станционная :: п Малиновка, ул. Станционная, -</v>
      </c>
      <c r="AN219" s="1000" cm="1" t="str">
        <f t="array" ref="AN219:AN219">AD219</f>
        <v>концессионное соглашение</v>
      </c>
      <c r="AO219" s="1000" cm="1" t="str">
        <f t="array" ref="AO219:AO219">AE219</f>
        <v>акт приёма-передачи</v>
      </c>
      <c r="AP219" s="1000" cm="1" t="str">
        <f t="array" ref="AP219:AP219">AF219</f>
        <v>б/н</v>
      </c>
      <c r="AQ219" s="1000" cm="1" t="str">
        <f t="array" ref="AQ219:AQ219">AG219</f>
        <v>01.06.2026</v>
      </c>
      <c r="AR219" s="619"/>
      <c r="AS219" s="619" t="b">
        <v>1</v>
      </c>
    </row>
    <row s="1459" customFormat="1" customHeight="1" ht="23.25">
      <c r="A220" s="1459"/>
      <c r="B220" s="1459"/>
      <c r="C220" s="1459"/>
      <c r="D220" s="1459"/>
      <c r="E220" s="629">
        <v>15</v>
      </c>
      <c r="F220" s="104" cm="1" t="str">
        <f t="array" ref="F220:F220">OFFSET(G220,-1,-1)</f>
        <v>2</v>
      </c>
      <c r="G220" s="1459"/>
      <c r="H220" s="1459"/>
      <c r="I220" s="104" t="s">
        <v>702</v>
      </c>
      <c r="J220" s="1459"/>
      <c r="K220" s="104" t="s">
        <v>947</v>
      </c>
      <c r="L220" s="1459"/>
      <c r="M220" s="1459"/>
      <c r="N220" s="1459"/>
      <c r="O220" s="1459"/>
      <c r="P220" s="1459"/>
      <c r="Q220" s="1459"/>
      <c r="R220" s="1459"/>
      <c r="S220" s="1459"/>
      <c r="T220" s="1459"/>
      <c r="U220" s="465">
        <f>AND(F220&gt;0,AB220&gt;0)</f>
        <v>1</v>
      </c>
      <c r="V220" s="1459"/>
      <c r="W220" s="1459"/>
      <c r="X220" s="717"/>
      <c r="Y220" s="1459"/>
      <c r="Z220" s="1459"/>
      <c r="AA220" s="662" t="s">
        <v>175</v>
      </c>
      <c r="AB220" s="88" t="s">
        <v>948</v>
      </c>
      <c r="AC220" s="274" t="str">
        <f>I220&amp;" :: "&amp;K220</f>
        <v>водопровод ул. Строительная :: п Малиновка, ул. Строительная, -</v>
      </c>
      <c r="AD220" s="274" t="s">
        <v>430</v>
      </c>
      <c r="AE220" s="274" t="s">
        <v>431</v>
      </c>
      <c r="AF220" s="405" t="s">
        <v>432</v>
      </c>
      <c r="AG220" s="405" t="s">
        <v>433</v>
      </c>
      <c r="AH220" s="2022" t="s">
        <v>434</v>
      </c>
      <c r="AI220" s="1459"/>
      <c r="AJ220" s="1459"/>
      <c r="AK220" s="1000" t="s">
        <v>424</v>
      </c>
      <c r="AL220" s="1000" t="s">
        <v>425</v>
      </c>
      <c r="AM220" s="1000" cm="1" t="str">
        <f t="array" ref="AM220:AM220">AC220</f>
        <v>водопровод ул. Строительная :: п Малиновка, ул. Строительная, -</v>
      </c>
      <c r="AN220" s="1000" cm="1" t="str">
        <f t="array" ref="AN220:AN220">AD220</f>
        <v>концессионное соглашение</v>
      </c>
      <c r="AO220" s="1000" cm="1" t="str">
        <f t="array" ref="AO220:AO220">AE220</f>
        <v>акт приёма-передачи</v>
      </c>
      <c r="AP220" s="1000" cm="1" t="str">
        <f t="array" ref="AP220:AP220">AF220</f>
        <v>б/н</v>
      </c>
      <c r="AQ220" s="1000" cm="1" t="str">
        <f t="array" ref="AQ220:AQ220">AG220</f>
        <v>01.06.2026</v>
      </c>
      <c r="AR220" s="619"/>
      <c r="AS220" s="619" t="b">
        <v>1</v>
      </c>
    </row>
    <row s="1459" customFormat="1" customHeight="1" ht="23.25">
      <c r="A221" s="1459"/>
      <c r="B221" s="1459"/>
      <c r="C221" s="1459"/>
      <c r="D221" s="1459"/>
      <c r="E221" s="629">
        <v>15</v>
      </c>
      <c r="F221" s="104" cm="1" t="str">
        <f t="array" ref="F221:F221">OFFSET(G221,-1,-1)</f>
        <v>2</v>
      </c>
      <c r="G221" s="1459"/>
      <c r="H221" s="1459"/>
      <c r="I221" s="104" t="s">
        <v>949</v>
      </c>
      <c r="J221" s="1459"/>
      <c r="K221" s="104" t="s">
        <v>950</v>
      </c>
      <c r="L221" s="1459"/>
      <c r="M221" s="1459"/>
      <c r="N221" s="1459"/>
      <c r="O221" s="1459"/>
      <c r="P221" s="1459"/>
      <c r="Q221" s="1459"/>
      <c r="R221" s="1459"/>
      <c r="S221" s="1459"/>
      <c r="T221" s="1459"/>
      <c r="U221" s="465">
        <f>AND(F221&gt;0,AB221&gt;0)</f>
        <v>1</v>
      </c>
      <c r="V221" s="1459"/>
      <c r="W221" s="1459"/>
      <c r="X221" s="717"/>
      <c r="Y221" s="1459"/>
      <c r="Z221" s="1459"/>
      <c r="AA221" s="662" t="s">
        <v>175</v>
      </c>
      <c r="AB221" s="88" t="s">
        <v>951</v>
      </c>
      <c r="AC221" s="274" t="str">
        <f>I221&amp;" :: "&amp;K221</f>
        <v>водопровод ул. Торговая :: п Малиновка, ул. Торговая, -</v>
      </c>
      <c r="AD221" s="274" t="s">
        <v>430</v>
      </c>
      <c r="AE221" s="274" t="s">
        <v>431</v>
      </c>
      <c r="AF221" s="405" t="s">
        <v>432</v>
      </c>
      <c r="AG221" s="405" t="s">
        <v>433</v>
      </c>
      <c r="AH221" s="2022" t="s">
        <v>434</v>
      </c>
      <c r="AI221" s="1459"/>
      <c r="AJ221" s="1459"/>
      <c r="AK221" s="1000" t="s">
        <v>424</v>
      </c>
      <c r="AL221" s="1000" t="s">
        <v>425</v>
      </c>
      <c r="AM221" s="1000" cm="1" t="str">
        <f t="array" ref="AM221:AM221">AC221</f>
        <v>водопровод ул. Торговая :: п Малиновка, ул. Торговая, -</v>
      </c>
      <c r="AN221" s="1000" cm="1" t="str">
        <f t="array" ref="AN221:AN221">AD221</f>
        <v>концессионное соглашение</v>
      </c>
      <c r="AO221" s="1000" cm="1" t="str">
        <f t="array" ref="AO221:AO221">AE221</f>
        <v>акт приёма-передачи</v>
      </c>
      <c r="AP221" s="1000" cm="1" t="str">
        <f t="array" ref="AP221:AP221">AF221</f>
        <v>б/н</v>
      </c>
      <c r="AQ221" s="1000" cm="1" t="str">
        <f t="array" ref="AQ221:AQ221">AG221</f>
        <v>01.06.2026</v>
      </c>
      <c r="AR221" s="619"/>
      <c r="AS221" s="619" t="b">
        <v>1</v>
      </c>
    </row>
    <row s="1459" customFormat="1" customHeight="1" ht="23.25">
      <c r="A222" s="1459"/>
      <c r="B222" s="1459"/>
      <c r="C222" s="1459"/>
      <c r="D222" s="1459"/>
      <c r="E222" s="629">
        <v>15</v>
      </c>
      <c r="F222" s="104" cm="1" t="str">
        <f t="array" ref="F222:F222">OFFSET(G222,-1,-1)</f>
        <v>2</v>
      </c>
      <c r="G222" s="1459"/>
      <c r="H222" s="1459"/>
      <c r="I222" s="104" t="s">
        <v>952</v>
      </c>
      <c r="J222" s="1459"/>
      <c r="K222" s="104" t="s">
        <v>953</v>
      </c>
      <c r="L222" s="1459"/>
      <c r="M222" s="1459"/>
      <c r="N222" s="1459"/>
      <c r="O222" s="1459"/>
      <c r="P222" s="1459"/>
      <c r="Q222" s="1459"/>
      <c r="R222" s="1459"/>
      <c r="S222" s="1459"/>
      <c r="T222" s="1459"/>
      <c r="U222" s="465">
        <f>AND(F222&gt;0,AB222&gt;0)</f>
        <v>1</v>
      </c>
      <c r="V222" s="1459"/>
      <c r="W222" s="1459"/>
      <c r="X222" s="717"/>
      <c r="Y222" s="1459"/>
      <c r="Z222" s="1459"/>
      <c r="AA222" s="662" t="s">
        <v>175</v>
      </c>
      <c r="AB222" s="88" t="s">
        <v>954</v>
      </c>
      <c r="AC222" s="274" t="str">
        <f>I222&amp;" :: "&amp;K222</f>
        <v>Узел насосной станции :: п Малиновка, ул. Угольная, 2а</v>
      </c>
      <c r="AD222" s="274" t="s">
        <v>430</v>
      </c>
      <c r="AE222" s="274" t="s">
        <v>431</v>
      </c>
      <c r="AF222" s="405" t="s">
        <v>432</v>
      </c>
      <c r="AG222" s="405" t="s">
        <v>433</v>
      </c>
      <c r="AH222" s="2022" t="s">
        <v>434</v>
      </c>
      <c r="AI222" s="1459"/>
      <c r="AJ222" s="1459"/>
      <c r="AK222" s="1000" t="s">
        <v>424</v>
      </c>
      <c r="AL222" s="1000" t="s">
        <v>425</v>
      </c>
      <c r="AM222" s="1000" cm="1" t="str">
        <f t="array" ref="AM222:AM222">AC222</f>
        <v>Узел насосной станции :: п Малиновка, ул. Угольная, 2а</v>
      </c>
      <c r="AN222" s="1000" cm="1" t="str">
        <f t="array" ref="AN222:AN222">AD222</f>
        <v>концессионное соглашение</v>
      </c>
      <c r="AO222" s="1000" cm="1" t="str">
        <f t="array" ref="AO222:AO222">AE222</f>
        <v>акт приёма-передачи</v>
      </c>
      <c r="AP222" s="1000" cm="1" t="str">
        <f t="array" ref="AP222:AP222">AF222</f>
        <v>б/н</v>
      </c>
      <c r="AQ222" s="1000" cm="1" t="str">
        <f t="array" ref="AQ222:AQ222">AG222</f>
        <v>01.06.2026</v>
      </c>
      <c r="AR222" s="619"/>
      <c r="AS222" s="619" t="b">
        <v>1</v>
      </c>
    </row>
    <row s="1459" customFormat="1" customHeight="1" ht="23.25">
      <c r="A223" s="1459"/>
      <c r="B223" s="1459"/>
      <c r="C223" s="1459"/>
      <c r="D223" s="1459"/>
      <c r="E223" s="629">
        <v>15</v>
      </c>
      <c r="F223" s="104" cm="1" t="str">
        <f t="array" ref="F223:F223">OFFSET(G223,-1,-1)</f>
        <v>2</v>
      </c>
      <c r="G223" s="1459"/>
      <c r="H223" s="1459"/>
      <c r="I223" s="104" t="s">
        <v>955</v>
      </c>
      <c r="J223" s="1459"/>
      <c r="K223" s="104" t="s">
        <v>956</v>
      </c>
      <c r="L223" s="1459"/>
      <c r="M223" s="1459"/>
      <c r="N223" s="1459"/>
      <c r="O223" s="1459"/>
      <c r="P223" s="1459"/>
      <c r="Q223" s="1459"/>
      <c r="R223" s="1459"/>
      <c r="S223" s="1459"/>
      <c r="T223" s="1459"/>
      <c r="U223" s="465">
        <f>AND(F223&gt;0,AB223&gt;0)</f>
        <v>1</v>
      </c>
      <c r="V223" s="1459"/>
      <c r="W223" s="1459"/>
      <c r="X223" s="717"/>
      <c r="Y223" s="1459"/>
      <c r="Z223" s="1459"/>
      <c r="AA223" s="662" t="s">
        <v>175</v>
      </c>
      <c r="AB223" s="88" t="s">
        <v>957</v>
      </c>
      <c r="AC223" s="274" t="str">
        <f>I223&amp;" :: "&amp;K223</f>
        <v>водопровод ул. Урицкого :: п Малиновка, ул. Урицкого, -</v>
      </c>
      <c r="AD223" s="274" t="s">
        <v>430</v>
      </c>
      <c r="AE223" s="274" t="s">
        <v>431</v>
      </c>
      <c r="AF223" s="405" t="s">
        <v>432</v>
      </c>
      <c r="AG223" s="405" t="s">
        <v>433</v>
      </c>
      <c r="AH223" s="2022" t="s">
        <v>434</v>
      </c>
      <c r="AI223" s="1459"/>
      <c r="AJ223" s="1459"/>
      <c r="AK223" s="1000" t="s">
        <v>424</v>
      </c>
      <c r="AL223" s="1000" t="s">
        <v>425</v>
      </c>
      <c r="AM223" s="1000" cm="1" t="str">
        <f t="array" ref="AM223:AM223">AC223</f>
        <v>водопровод ул. Урицкого :: п Малиновка, ул. Урицкого, -</v>
      </c>
      <c r="AN223" s="1000" cm="1" t="str">
        <f t="array" ref="AN223:AN223">AD223</f>
        <v>концессионное соглашение</v>
      </c>
      <c r="AO223" s="1000" cm="1" t="str">
        <f t="array" ref="AO223:AO223">AE223</f>
        <v>акт приёма-передачи</v>
      </c>
      <c r="AP223" s="1000" cm="1" t="str">
        <f t="array" ref="AP223:AP223">AF223</f>
        <v>б/н</v>
      </c>
      <c r="AQ223" s="1000" cm="1" t="str">
        <f t="array" ref="AQ223:AQ223">AG223</f>
        <v>01.06.2026</v>
      </c>
      <c r="AR223" s="619"/>
      <c r="AS223" s="619" t="b">
        <v>1</v>
      </c>
    </row>
    <row s="1459" customFormat="1" customHeight="1" ht="23.25">
      <c r="A224" s="1459"/>
      <c r="B224" s="1459"/>
      <c r="C224" s="1459"/>
      <c r="D224" s="1459"/>
      <c r="E224" s="629">
        <v>15</v>
      </c>
      <c r="F224" s="104" cm="1" t="str">
        <f t="array" ref="F224:F224">OFFSET(G224,-1,-1)</f>
        <v>2</v>
      </c>
      <c r="G224" s="1459"/>
      <c r="H224" s="1459"/>
      <c r="I224" s="104" t="s">
        <v>958</v>
      </c>
      <c r="J224" s="1459"/>
      <c r="K224" s="104" t="s">
        <v>959</v>
      </c>
      <c r="L224" s="1459"/>
      <c r="M224" s="1459"/>
      <c r="N224" s="1459"/>
      <c r="O224" s="1459"/>
      <c r="P224" s="1459"/>
      <c r="Q224" s="1459"/>
      <c r="R224" s="1459"/>
      <c r="S224" s="1459"/>
      <c r="T224" s="1459"/>
      <c r="U224" s="465">
        <f>AND(F224&gt;0,AB224&gt;0)</f>
        <v>1</v>
      </c>
      <c r="V224" s="1459"/>
      <c r="W224" s="1459"/>
      <c r="X224" s="717"/>
      <c r="Y224" s="1459"/>
      <c r="Z224" s="1459"/>
      <c r="AA224" s="662" t="s">
        <v>175</v>
      </c>
      <c r="AB224" s="88" t="s">
        <v>960</v>
      </c>
      <c r="AC224" s="274" t="str">
        <f>I224&amp;" :: "&amp;K224</f>
        <v>водопровод пер. Черемуховый :: п Малиновка, Черемуховый, -</v>
      </c>
      <c r="AD224" s="274" t="s">
        <v>430</v>
      </c>
      <c r="AE224" s="274" t="s">
        <v>431</v>
      </c>
      <c r="AF224" s="405" t="s">
        <v>432</v>
      </c>
      <c r="AG224" s="405" t="s">
        <v>433</v>
      </c>
      <c r="AH224" s="2022" t="s">
        <v>434</v>
      </c>
      <c r="AI224" s="1459"/>
      <c r="AJ224" s="1459"/>
      <c r="AK224" s="1000" t="s">
        <v>424</v>
      </c>
      <c r="AL224" s="1000" t="s">
        <v>425</v>
      </c>
      <c r="AM224" s="1000" cm="1" t="str">
        <f t="array" ref="AM224:AM224">AC224</f>
        <v>водопровод пер. Черемуховый :: п Малиновка, Черемуховый, -</v>
      </c>
      <c r="AN224" s="1000" cm="1" t="str">
        <f t="array" ref="AN224:AN224">AD224</f>
        <v>концессионное соглашение</v>
      </c>
      <c r="AO224" s="1000" cm="1" t="str">
        <f t="array" ref="AO224:AO224">AE224</f>
        <v>акт приёма-передачи</v>
      </c>
      <c r="AP224" s="1000" cm="1" t="str">
        <f t="array" ref="AP224:AP224">AF224</f>
        <v>б/н</v>
      </c>
      <c r="AQ224" s="1000" cm="1" t="str">
        <f t="array" ref="AQ224:AQ224">AG224</f>
        <v>01.06.2026</v>
      </c>
      <c r="AR224" s="619"/>
      <c r="AS224" s="619" t="b">
        <v>1</v>
      </c>
    </row>
    <row s="1459" customFormat="1" customHeight="1" ht="23.25">
      <c r="A225" s="1459"/>
      <c r="B225" s="1459"/>
      <c r="C225" s="1459"/>
      <c r="D225" s="1459"/>
      <c r="E225" s="629">
        <v>15</v>
      </c>
      <c r="F225" s="104" cm="1" t="str">
        <f t="array" ref="F225:F225">OFFSET(G225,-1,-1)</f>
        <v>2</v>
      </c>
      <c r="G225" s="1459"/>
      <c r="H225" s="1459"/>
      <c r="I225" s="104" t="s">
        <v>961</v>
      </c>
      <c r="J225" s="1459"/>
      <c r="K225" s="104" t="s">
        <v>962</v>
      </c>
      <c r="L225" s="1459"/>
      <c r="M225" s="1459"/>
      <c r="N225" s="1459"/>
      <c r="O225" s="1459"/>
      <c r="P225" s="1459"/>
      <c r="Q225" s="1459"/>
      <c r="R225" s="1459"/>
      <c r="S225" s="1459"/>
      <c r="T225" s="1459"/>
      <c r="U225" s="465">
        <f>AND(F225&gt;0,AB225&gt;0)</f>
        <v>1</v>
      </c>
      <c r="V225" s="1459"/>
      <c r="W225" s="1459"/>
      <c r="X225" s="717"/>
      <c r="Y225" s="1459"/>
      <c r="Z225" s="1459"/>
      <c r="AA225" s="662" t="s">
        <v>175</v>
      </c>
      <c r="AB225" s="88" t="s">
        <v>963</v>
      </c>
      <c r="AC225" s="274" t="str">
        <f>I225&amp;" :: "&amp;K225</f>
        <v>водопроводул. Шахтерская :: п Малиновка, Шахтерская, -</v>
      </c>
      <c r="AD225" s="274" t="s">
        <v>430</v>
      </c>
      <c r="AE225" s="274" t="s">
        <v>431</v>
      </c>
      <c r="AF225" s="405" t="s">
        <v>432</v>
      </c>
      <c r="AG225" s="405" t="s">
        <v>433</v>
      </c>
      <c r="AH225" s="2022" t="s">
        <v>434</v>
      </c>
      <c r="AI225" s="1459"/>
      <c r="AJ225" s="1459"/>
      <c r="AK225" s="1000" t="s">
        <v>424</v>
      </c>
      <c r="AL225" s="1000" t="s">
        <v>425</v>
      </c>
      <c r="AM225" s="1000" cm="1" t="str">
        <f t="array" ref="AM225:AM225">AC225</f>
        <v>водопроводул. Шахтерская :: п Малиновка, Шахтерская, -</v>
      </c>
      <c r="AN225" s="1000" cm="1" t="str">
        <f t="array" ref="AN225:AN225">AD225</f>
        <v>концессионное соглашение</v>
      </c>
      <c r="AO225" s="1000" cm="1" t="str">
        <f t="array" ref="AO225:AO225">AE225</f>
        <v>акт приёма-передачи</v>
      </c>
      <c r="AP225" s="1000" cm="1" t="str">
        <f t="array" ref="AP225:AP225">AF225</f>
        <v>б/н</v>
      </c>
      <c r="AQ225" s="1000" cm="1" t="str">
        <f t="array" ref="AQ225:AQ225">AG225</f>
        <v>01.06.2026</v>
      </c>
      <c r="AR225" s="619"/>
      <c r="AS225" s="619" t="b">
        <v>1</v>
      </c>
    </row>
    <row s="1459" customFormat="1" customHeight="1" ht="23.25">
      <c r="A226" s="1459"/>
      <c r="B226" s="1459"/>
      <c r="C226" s="1459"/>
      <c r="D226" s="1459"/>
      <c r="E226" s="629">
        <v>15</v>
      </c>
      <c r="F226" s="104" cm="1" t="str">
        <f t="array" ref="F226:F226">OFFSET(G226,-1,-1)</f>
        <v>2</v>
      </c>
      <c r="G226" s="1459"/>
      <c r="H226" s="1459"/>
      <c r="I226" s="104" t="s">
        <v>964</v>
      </c>
      <c r="J226" s="1459"/>
      <c r="K226" s="104" t="s">
        <v>965</v>
      </c>
      <c r="L226" s="1459"/>
      <c r="M226" s="1459"/>
      <c r="N226" s="1459"/>
      <c r="O226" s="1459"/>
      <c r="P226" s="1459"/>
      <c r="Q226" s="1459"/>
      <c r="R226" s="1459"/>
      <c r="S226" s="1459"/>
      <c r="T226" s="1459"/>
      <c r="U226" s="465">
        <f>AND(F226&gt;0,AB226&gt;0)</f>
        <v>1</v>
      </c>
      <c r="V226" s="1459"/>
      <c r="W226" s="1459"/>
      <c r="X226" s="717"/>
      <c r="Y226" s="1459"/>
      <c r="Z226" s="1459"/>
      <c r="AA226" s="662" t="s">
        <v>175</v>
      </c>
      <c r="AB226" s="88" t="s">
        <v>966</v>
      </c>
      <c r="AC226" s="274" t="str">
        <f>I226&amp;" :: "&amp;K226</f>
        <v>Водопровод ул. Шевченко :: п Малиновка, Шевченко, -</v>
      </c>
      <c r="AD226" s="274" t="s">
        <v>430</v>
      </c>
      <c r="AE226" s="274" t="s">
        <v>431</v>
      </c>
      <c r="AF226" s="405" t="s">
        <v>432</v>
      </c>
      <c r="AG226" s="405" t="s">
        <v>433</v>
      </c>
      <c r="AH226" s="2022" t="s">
        <v>434</v>
      </c>
      <c r="AI226" s="1459"/>
      <c r="AJ226" s="1459"/>
      <c r="AK226" s="1000" t="s">
        <v>424</v>
      </c>
      <c r="AL226" s="1000" t="s">
        <v>425</v>
      </c>
      <c r="AM226" s="1000" cm="1" t="str">
        <f t="array" ref="AM226:AM226">AC226</f>
        <v>Водопровод ул. Шевченко :: п Малиновка, Шевченко, -</v>
      </c>
      <c r="AN226" s="1000" cm="1" t="str">
        <f t="array" ref="AN226:AN226">AD226</f>
        <v>концессионное соглашение</v>
      </c>
      <c r="AO226" s="1000" cm="1" t="str">
        <f t="array" ref="AO226:AO226">AE226</f>
        <v>акт приёма-передачи</v>
      </c>
      <c r="AP226" s="1000" cm="1" t="str">
        <f t="array" ref="AP226:AP226">AF226</f>
        <v>б/н</v>
      </c>
      <c r="AQ226" s="1000" cm="1" t="str">
        <f t="array" ref="AQ226:AQ226">AG226</f>
        <v>01.06.2026</v>
      </c>
      <c r="AR226" s="619"/>
      <c r="AS226" s="619" t="b">
        <v>1</v>
      </c>
    </row>
    <row s="1459" customFormat="1" customHeight="1" ht="23.25">
      <c r="A227" s="1459"/>
      <c r="B227" s="1459"/>
      <c r="C227" s="1459"/>
      <c r="D227" s="1459"/>
      <c r="E227" s="629">
        <v>15</v>
      </c>
      <c r="F227" s="104" cm="1" t="str">
        <f t="array" ref="F227:F227">OFFSET(G227,-1,-1)</f>
        <v>2</v>
      </c>
      <c r="G227" s="1459"/>
      <c r="H227" s="1459"/>
      <c r="I227" s="104" t="s">
        <v>967</v>
      </c>
      <c r="J227" s="1459"/>
      <c r="K227" s="104" t="s">
        <v>968</v>
      </c>
      <c r="L227" s="1459"/>
      <c r="M227" s="1459"/>
      <c r="N227" s="1459"/>
      <c r="O227" s="1459"/>
      <c r="P227" s="1459"/>
      <c r="Q227" s="1459"/>
      <c r="R227" s="1459"/>
      <c r="S227" s="1459"/>
      <c r="T227" s="1459"/>
      <c r="U227" s="465">
        <f>AND(F227&gt;0,AB227&gt;0)</f>
        <v>1</v>
      </c>
      <c r="V227" s="1459"/>
      <c r="W227" s="1459"/>
      <c r="X227" s="717"/>
      <c r="Y227" s="1459"/>
      <c r="Z227" s="1459"/>
      <c r="AA227" s="662" t="s">
        <v>175</v>
      </c>
      <c r="AB227" s="88" t="s">
        <v>969</v>
      </c>
      <c r="AC227" s="274" t="str">
        <f>I227&amp;" :: "&amp;K227</f>
        <v>водопровод ул. Школьная :: п Малиновка, Школьная, -</v>
      </c>
      <c r="AD227" s="274" t="s">
        <v>430</v>
      </c>
      <c r="AE227" s="274" t="s">
        <v>431</v>
      </c>
      <c r="AF227" s="405" t="s">
        <v>432</v>
      </c>
      <c r="AG227" s="405" t="s">
        <v>433</v>
      </c>
      <c r="AH227" s="2022" t="s">
        <v>434</v>
      </c>
      <c r="AI227" s="1459"/>
      <c r="AJ227" s="1459"/>
      <c r="AK227" s="1000" t="s">
        <v>424</v>
      </c>
      <c r="AL227" s="1000" t="s">
        <v>425</v>
      </c>
      <c r="AM227" s="1000" cm="1" t="str">
        <f t="array" ref="AM227:AM227">AC227</f>
        <v>водопровод ул. Школьная :: п Малиновка, Школьная, -</v>
      </c>
      <c r="AN227" s="1000" cm="1" t="str">
        <f t="array" ref="AN227:AN227">AD227</f>
        <v>концессионное соглашение</v>
      </c>
      <c r="AO227" s="1000" cm="1" t="str">
        <f t="array" ref="AO227:AO227">AE227</f>
        <v>акт приёма-передачи</v>
      </c>
      <c r="AP227" s="1000" cm="1" t="str">
        <f t="array" ref="AP227:AP227">AF227</f>
        <v>б/н</v>
      </c>
      <c r="AQ227" s="1000" cm="1" t="str">
        <f t="array" ref="AQ227:AQ227">AG227</f>
        <v>01.06.2026</v>
      </c>
      <c r="AR227" s="619"/>
      <c r="AS227" s="619" t="b">
        <v>1</v>
      </c>
    </row>
    <row s="538" customFormat="1" customHeight="1" ht="10.5">
      <c r="A228" s="1758"/>
      <c r="B228" s="428"/>
      <c r="C228" s="1758"/>
      <c r="D228" s="1758"/>
      <c r="E228" s="629">
        <v>11</v>
      </c>
      <c r="F228" s="122" cm="1" t="str">
        <f t="array" ref="F228:F228">OFFSET(G228,-1,-1)</f>
        <v>2</v>
      </c>
      <c r="G228" s="1758"/>
      <c r="H228" s="1758"/>
      <c r="I228" s="1758"/>
      <c r="J228" s="1758"/>
      <c r="K228" s="1758"/>
      <c r="L228" s="1758"/>
      <c r="M228" s="1758"/>
      <c r="N228" s="1758"/>
      <c r="O228" s="1758"/>
      <c r="P228" s="1758"/>
      <c r="Q228" s="1758"/>
      <c r="R228" s="1758"/>
      <c r="S228" s="1758"/>
      <c r="T228" s="1758"/>
      <c r="U228" s="465">
        <f>F228&gt;0</f>
        <v>1</v>
      </c>
      <c r="V228" s="1758"/>
      <c r="W228" s="1758"/>
      <c r="X228" s="757" t="s">
        <v>426</v>
      </c>
      <c r="Y228" s="1563"/>
      <c r="Z228" s="1546"/>
      <c r="AA228" s="1758"/>
      <c r="AB228" s="175"/>
      <c r="AC228" s="178" t="s">
        <v>427</v>
      </c>
      <c r="AD228" s="176"/>
      <c r="AE228" s="176"/>
      <c r="AF228" s="176"/>
      <c r="AG228" s="176"/>
      <c r="AH228" s="187"/>
      <c r="AI228" s="1758"/>
      <c r="AJ228" s="1758"/>
      <c r="AK228" s="997"/>
      <c r="AL228" s="997"/>
      <c r="AM228" s="997"/>
      <c r="AN228" s="997"/>
      <c r="AO228" s="997"/>
      <c r="AP228" s="997"/>
      <c r="AQ228" s="997"/>
      <c r="AR228" s="618" t="s">
        <v>425</v>
      </c>
      <c r="AS228" s="618"/>
    </row>
    <row s="538" customFormat="1" customHeight="1" ht="15">
      <c r="A229" s="1758"/>
      <c r="B229" s="428"/>
      <c r="C229" s="1758"/>
      <c r="D229" s="1758"/>
      <c r="E229" s="636" t="s">
        <v>341</v>
      </c>
      <c r="F229" s="122" cm="1" t="str">
        <f t="array" ref="F229:F229">Y229</f>
        <v>3</v>
      </c>
      <c r="G229" s="1758"/>
      <c r="H229" s="1758"/>
      <c r="I229" s="1758"/>
      <c r="J229" s="1758"/>
      <c r="K229" s="1758"/>
      <c r="L229" s="1758"/>
      <c r="M229" s="1758"/>
      <c r="N229" s="1758"/>
      <c r="O229" s="1758"/>
      <c r="P229" s="1758"/>
      <c r="Q229" s="1758"/>
      <c r="R229" s="1758"/>
      <c r="S229" s="1758"/>
      <c r="T229" s="1758"/>
      <c r="U229" s="465">
        <f>Y229&gt;0</f>
        <v>1</v>
      </c>
      <c r="V229" s="1758"/>
      <c r="W229" s="122" cm="1" t="str">
        <f t="array" ref="W229:W229">'Перечень объектов'!$AC$63</f>
        <v>Тариф 3 (Водоотведение) - тариф на водоотведение (Доп. признак не требуется)</v>
      </c>
      <c r="X229" s="1758"/>
      <c r="Y229" s="1563" t="s">
        <v>289</v>
      </c>
      <c r="Z229" s="1546"/>
      <c r="AA229" s="1758"/>
      <c r="AB229" s="180" cm="1" t="str">
        <f t="array" ref="AB229:AB229">'Перечень объектов'!$AC$63</f>
        <v>Тариф 3 (Водоотведение) - тариф на водоотведение (Доп. признак не требуется)</v>
      </c>
      <c r="AC229" s="180"/>
      <c r="AD229" s="174"/>
      <c r="AE229" s="174"/>
      <c r="AF229" s="174"/>
      <c r="AG229" s="174"/>
      <c r="AH229" s="174"/>
      <c r="AI229" s="1758"/>
      <c r="AJ229" s="1758"/>
      <c r="AK229" s="997"/>
      <c r="AL229" s="997"/>
      <c r="AM229" s="997"/>
      <c r="AN229" s="997"/>
      <c r="AO229" s="997"/>
      <c r="AP229" s="997"/>
      <c r="AQ229" s="997"/>
      <c r="AR229" s="618"/>
      <c r="AS229" s="618"/>
    </row>
    <row s="538" customFormat="1" customHeight="1" ht="15" hidden="1">
      <c r="A230" s="1758"/>
      <c r="B230" s="428"/>
      <c r="C230" s="1758"/>
      <c r="D230" s="1758"/>
      <c r="E230" s="629">
        <v>0</v>
      </c>
      <c r="F230" s="122" cm="1" t="str">
        <f t="array" ref="F230:F230">OFFSET(G230,-1,-1)</f>
        <v>3</v>
      </c>
      <c r="G230" s="1758"/>
      <c r="H230" s="1758"/>
      <c r="I230" s="1758"/>
      <c r="J230" s="1758"/>
      <c r="K230" s="1758"/>
      <c r="L230" s="1758"/>
      <c r="M230" s="1758"/>
      <c r="N230" s="1758"/>
      <c r="O230" s="1758"/>
      <c r="P230" s="1758"/>
      <c r="Q230" s="1758"/>
      <c r="R230" s="1758"/>
      <c r="S230" s="1758"/>
      <c r="T230" s="1758"/>
      <c r="U230" s="465" t="b">
        <v>0</v>
      </c>
      <c r="V230" s="1758"/>
      <c r="W230" s="1758"/>
      <c r="X230" s="1758"/>
      <c r="Y230" s="1563"/>
      <c r="Z230" s="1546"/>
      <c r="AA230" s="1758"/>
      <c r="AB230" s="180"/>
      <c r="AC230" s="180"/>
      <c r="AD230" s="174"/>
      <c r="AE230" s="174"/>
      <c r="AF230" s="174"/>
      <c r="AG230" s="174"/>
      <c r="AH230" s="174"/>
      <c r="AI230" s="1758"/>
      <c r="AJ230" s="1758"/>
      <c r="AK230" s="997"/>
      <c r="AL230" s="997"/>
      <c r="AM230" s="997"/>
      <c r="AN230" s="997"/>
      <c r="AO230" s="997"/>
      <c r="AP230" s="997"/>
      <c r="AQ230" s="997"/>
      <c r="AR230" s="618"/>
      <c r="AS230" s="618"/>
    </row>
    <row s="1459" customFormat="1" customHeight="1" ht="14.25" hidden="1">
      <c r="E231" s="629">
        <v>15</v>
      </c>
      <c r="F231" s="104" cm="1" t="str">
        <f t="array" ref="F231:F231">OFFSET(G231,-1,-1)</f>
        <v>3</v>
      </c>
      <c r="I231" s="104" t="s">
        <v>422</v>
      </c>
      <c r="K231" s="104" t="s">
        <v>423</v>
      </c>
      <c r="U231" s="465">
        <f>AND(F231&gt;0,AB231&gt;0)</f>
        <v>0</v>
      </c>
      <c r="X231" s="717" t="s">
        <v>174</v>
      </c>
      <c r="AA231" s="662" t="s">
        <v>175</v>
      </c>
      <c r="AB231" s="88">
        <v>0</v>
      </c>
      <c r="AC231" s="274" t="str">
        <f>I231&amp;" :: "&amp;K231</f>
        <v>Наименование объекта :: адрес</v>
      </c>
      <c r="AD231" s="274"/>
      <c r="AE231" s="274"/>
      <c r="AF231" s="405"/>
      <c r="AG231" s="405"/>
      <c r="AH231" s="2030"/>
      <c r="AK231" s="1000" t="s">
        <v>424</v>
      </c>
      <c r="AL231" s="1000" t="s">
        <v>425</v>
      </c>
      <c r="AM231" s="1000" cm="1" t="str">
        <f t="array" ref="AM231:AM231">AC231</f>
        <v>Наименование объекта :: адрес</v>
      </c>
      <c r="AN231" s="1000" cm="1" t="str">
        <f t="array" ref="AN231:AN231">AD231</f>
        <v>0</v>
      </c>
      <c r="AO231" s="1000" cm="1" t="str">
        <f t="array" ref="AO231:AO231">AE231</f>
        <v>0</v>
      </c>
      <c r="AP231" s="1000" cm="1" t="str">
        <f t="array" ref="AP231:AP231">AF231</f>
        <v>0</v>
      </c>
      <c r="AQ231" s="1000" cm="1" t="str">
        <f t="array" ref="AQ231:AQ231">AG231</f>
        <v>0</v>
      </c>
      <c r="AR231" s="619"/>
      <c r="AS231" s="619" t="b">
        <v>1</v>
      </c>
    </row>
    <row s="1459" customFormat="1" customHeight="1" ht="23.25">
      <c r="A232" s="1459"/>
      <c r="B232" s="1459"/>
      <c r="C232" s="1459"/>
      <c r="D232" s="1459"/>
      <c r="E232" s="629">
        <v>15</v>
      </c>
      <c r="F232" s="104" cm="1" t="str">
        <f t="array" ref="F232:F232">OFFSET(G232,-1,-1)</f>
        <v>3</v>
      </c>
      <c r="G232" s="1459"/>
      <c r="H232" s="1459"/>
      <c r="I232" s="104" t="s">
        <v>970</v>
      </c>
      <c r="J232" s="1459"/>
      <c r="K232" s="104" t="s">
        <v>438</v>
      </c>
      <c r="L232" s="1459"/>
      <c r="M232" s="1459"/>
      <c r="N232" s="1459"/>
      <c r="O232" s="1459"/>
      <c r="P232" s="1459"/>
      <c r="Q232" s="1459"/>
      <c r="R232" s="1459"/>
      <c r="S232" s="1459"/>
      <c r="T232" s="1459"/>
      <c r="U232" s="465">
        <f>AND(F232&gt;0,AB232&gt;0)</f>
        <v>1</v>
      </c>
      <c r="V232" s="1459"/>
      <c r="W232" s="1459"/>
      <c r="X232" s="717"/>
      <c r="Y232" s="1459"/>
      <c r="Z232" s="1459"/>
      <c r="AA232" s="662" t="s">
        <v>175</v>
      </c>
      <c r="AB232" s="88" t="s">
        <v>276</v>
      </c>
      <c r="AC232" s="274" t="str">
        <f>I232&amp;" :: "&amp;K232</f>
        <v>Сети   г. Осинники :: г Осинники, город Осинники, 1</v>
      </c>
      <c r="AD232" s="274" t="s">
        <v>430</v>
      </c>
      <c r="AE232" s="274" t="s">
        <v>431</v>
      </c>
      <c r="AF232" s="405" t="s">
        <v>432</v>
      </c>
      <c r="AG232" s="405" t="s">
        <v>433</v>
      </c>
      <c r="AH232" s="2031" t="s">
        <v>434</v>
      </c>
      <c r="AI232" s="1459"/>
      <c r="AJ232" s="1459"/>
      <c r="AK232" s="1000" t="s">
        <v>424</v>
      </c>
      <c r="AL232" s="1000" t="s">
        <v>425</v>
      </c>
      <c r="AM232" s="1000" cm="1" t="str">
        <f t="array" ref="AM232:AM232">AC232</f>
        <v>Сети   г. Осинники :: г Осинники, город Осинники, 1</v>
      </c>
      <c r="AN232" s="1000" cm="1" t="str">
        <f t="array" ref="AN232:AN232">AD232</f>
        <v>концессионное соглашение</v>
      </c>
      <c r="AO232" s="1000" cm="1" t="str">
        <f t="array" ref="AO232:AO232">AE232</f>
        <v>акт приёма-передачи</v>
      </c>
      <c r="AP232" s="1000" cm="1" t="str">
        <f t="array" ref="AP232:AP232">AF232</f>
        <v>б/н</v>
      </c>
      <c r="AQ232" s="1000" cm="1" t="str">
        <f t="array" ref="AQ232:AQ232">AG232</f>
        <v>01.06.2026</v>
      </c>
      <c r="AR232" s="619"/>
      <c r="AS232" s="619" t="b">
        <v>1</v>
      </c>
    </row>
    <row s="1459" customFormat="1" customHeight="1" ht="23.25">
      <c r="A233" s="1459"/>
      <c r="B233" s="1459"/>
      <c r="C233" s="1459"/>
      <c r="D233" s="1459"/>
      <c r="E233" s="629">
        <v>15</v>
      </c>
      <c r="F233" s="104" cm="1" t="str">
        <f t="array" ref="F233:F233">OFFSET(G233,-1,-1)</f>
        <v>3</v>
      </c>
      <c r="G233" s="1459"/>
      <c r="H233" s="1459"/>
      <c r="I233" s="104" t="s">
        <v>971</v>
      </c>
      <c r="J233" s="1459"/>
      <c r="K233" s="104" t="s">
        <v>972</v>
      </c>
      <c r="L233" s="1459"/>
      <c r="M233" s="1459"/>
      <c r="N233" s="1459"/>
      <c r="O233" s="1459"/>
      <c r="P233" s="1459"/>
      <c r="Q233" s="1459"/>
      <c r="R233" s="1459"/>
      <c r="S233" s="1459"/>
      <c r="T233" s="1459"/>
      <c r="U233" s="465">
        <f>AND(F233&gt;0,AB233&gt;0)</f>
        <v>1</v>
      </c>
      <c r="V233" s="1459"/>
      <c r="W233" s="1459"/>
      <c r="X233" s="717"/>
      <c r="Y233" s="1459"/>
      <c r="Z233" s="1459"/>
      <c r="AA233" s="662" t="s">
        <v>175</v>
      </c>
      <c r="AB233" s="88" t="s">
        <v>285</v>
      </c>
      <c r="AC233" s="274" t="str">
        <f>I233&amp;" :: "&amp;K233</f>
        <v>Станция перкачки №3 :: г Осинники, ул. Ленина, 4а</v>
      </c>
      <c r="AD233" s="274" t="s">
        <v>430</v>
      </c>
      <c r="AE233" s="274" t="s">
        <v>431</v>
      </c>
      <c r="AF233" s="405" t="s">
        <v>432</v>
      </c>
      <c r="AG233" s="405" t="s">
        <v>433</v>
      </c>
      <c r="AH233" s="2031" t="s">
        <v>434</v>
      </c>
      <c r="AI233" s="1459"/>
      <c r="AJ233" s="1459"/>
      <c r="AK233" s="1000" t="s">
        <v>424</v>
      </c>
      <c r="AL233" s="1000" t="s">
        <v>425</v>
      </c>
      <c r="AM233" s="1000" cm="1" t="str">
        <f t="array" ref="AM233:AM233">AC233</f>
        <v>Станция перкачки №3 :: г Осинники, ул. Ленина, 4а</v>
      </c>
      <c r="AN233" s="1000" cm="1" t="str">
        <f t="array" ref="AN233:AN233">AD233</f>
        <v>концессионное соглашение</v>
      </c>
      <c r="AO233" s="1000" cm="1" t="str">
        <f t="array" ref="AO233:AO233">AE233</f>
        <v>акт приёма-передачи</v>
      </c>
      <c r="AP233" s="1000" cm="1" t="str">
        <f t="array" ref="AP233:AP233">AF233</f>
        <v>б/н</v>
      </c>
      <c r="AQ233" s="1000" cm="1" t="str">
        <f t="array" ref="AQ233:AQ233">AG233</f>
        <v>01.06.2026</v>
      </c>
      <c r="AR233" s="619"/>
      <c r="AS233" s="619" t="b">
        <v>1</v>
      </c>
    </row>
    <row s="1459" customFormat="1" customHeight="1" ht="23.25">
      <c r="A234" s="1459"/>
      <c r="B234" s="1459"/>
      <c r="C234" s="1459"/>
      <c r="D234" s="1459"/>
      <c r="E234" s="629">
        <v>15</v>
      </c>
      <c r="F234" s="104" cm="1" t="str">
        <f t="array" ref="F234:F234">OFFSET(G234,-1,-1)</f>
        <v>3</v>
      </c>
      <c r="G234" s="1459"/>
      <c r="H234" s="1459"/>
      <c r="I234" s="104" t="s">
        <v>973</v>
      </c>
      <c r="J234" s="1459"/>
      <c r="K234" s="104" t="s">
        <v>974</v>
      </c>
      <c r="L234" s="1459"/>
      <c r="M234" s="1459"/>
      <c r="N234" s="1459"/>
      <c r="O234" s="1459"/>
      <c r="P234" s="1459"/>
      <c r="Q234" s="1459"/>
      <c r="R234" s="1459"/>
      <c r="S234" s="1459"/>
      <c r="T234" s="1459"/>
      <c r="U234" s="465">
        <f>AND(F234&gt;0,AB234&gt;0)</f>
        <v>1</v>
      </c>
      <c r="V234" s="1459"/>
      <c r="W234" s="1459"/>
      <c r="X234" s="717"/>
      <c r="Y234" s="1459"/>
      <c r="Z234" s="1459"/>
      <c r="AA234" s="662" t="s">
        <v>175</v>
      </c>
      <c r="AB234" s="88" t="s">
        <v>289</v>
      </c>
      <c r="AC234" s="274" t="str">
        <f>I234&amp;" :: "&amp;K234</f>
        <v>Очистные Сооружения  г. Осинники :: г Осинники, ул. М.Горького, 120 а</v>
      </c>
      <c r="AD234" s="274" t="s">
        <v>430</v>
      </c>
      <c r="AE234" s="274" t="s">
        <v>431</v>
      </c>
      <c r="AF234" s="405" t="s">
        <v>432</v>
      </c>
      <c r="AG234" s="405" t="s">
        <v>433</v>
      </c>
      <c r="AH234" s="2031" t="s">
        <v>434</v>
      </c>
      <c r="AI234" s="1459"/>
      <c r="AJ234" s="1459"/>
      <c r="AK234" s="1000" t="s">
        <v>424</v>
      </c>
      <c r="AL234" s="1000" t="s">
        <v>425</v>
      </c>
      <c r="AM234" s="1000" cm="1" t="str">
        <f t="array" ref="AM234:AM234">AC234</f>
        <v>Очистные Сооружения  г. Осинники :: г Осинники, ул. М.Горького, 120 а</v>
      </c>
      <c r="AN234" s="1000" cm="1" t="str">
        <f t="array" ref="AN234:AN234">AD234</f>
        <v>концессионное соглашение</v>
      </c>
      <c r="AO234" s="1000" cm="1" t="str">
        <f t="array" ref="AO234:AO234">AE234</f>
        <v>акт приёма-передачи</v>
      </c>
      <c r="AP234" s="1000" cm="1" t="str">
        <f t="array" ref="AP234:AP234">AF234</f>
        <v>б/н</v>
      </c>
      <c r="AQ234" s="1000" cm="1" t="str">
        <f t="array" ref="AQ234:AQ234">AG234</f>
        <v>01.06.2026</v>
      </c>
      <c r="AR234" s="619"/>
      <c r="AS234" s="619" t="b">
        <v>1</v>
      </c>
    </row>
    <row s="1459" customFormat="1" customHeight="1" ht="23.25">
      <c r="A235" s="1459"/>
      <c r="B235" s="1459"/>
      <c r="C235" s="1459"/>
      <c r="D235" s="1459"/>
      <c r="E235" s="629">
        <v>15</v>
      </c>
      <c r="F235" s="104" cm="1" t="str">
        <f t="array" ref="F235:F235">OFFSET(G235,-1,-1)</f>
        <v>3</v>
      </c>
      <c r="G235" s="1459"/>
      <c r="H235" s="1459"/>
      <c r="I235" s="104" t="s">
        <v>975</v>
      </c>
      <c r="J235" s="1459"/>
      <c r="K235" s="104" t="s">
        <v>976</v>
      </c>
      <c r="L235" s="1459"/>
      <c r="M235" s="1459"/>
      <c r="N235" s="1459"/>
      <c r="O235" s="1459"/>
      <c r="P235" s="1459"/>
      <c r="Q235" s="1459"/>
      <c r="R235" s="1459"/>
      <c r="S235" s="1459"/>
      <c r="T235" s="1459"/>
      <c r="U235" s="465">
        <f>AND(F235&gt;0,AB235&gt;0)</f>
        <v>1</v>
      </c>
      <c r="V235" s="1459"/>
      <c r="W235" s="1459"/>
      <c r="X235" s="717"/>
      <c r="Y235" s="1459"/>
      <c r="Z235" s="1459"/>
      <c r="AA235" s="662" t="s">
        <v>175</v>
      </c>
      <c r="AB235" s="88" t="s">
        <v>295</v>
      </c>
      <c r="AC235" s="274" t="str">
        <f>I235&amp;" :: "&amp;K235</f>
        <v>Станция перекачки №2 :: г Осинники, ул. Станционная, 20а</v>
      </c>
      <c r="AD235" s="274" t="s">
        <v>430</v>
      </c>
      <c r="AE235" s="274" t="s">
        <v>431</v>
      </c>
      <c r="AF235" s="405" t="s">
        <v>432</v>
      </c>
      <c r="AG235" s="405" t="s">
        <v>433</v>
      </c>
      <c r="AH235" s="2031" t="s">
        <v>434</v>
      </c>
      <c r="AI235" s="1459"/>
      <c r="AJ235" s="1459"/>
      <c r="AK235" s="1000" t="s">
        <v>424</v>
      </c>
      <c r="AL235" s="1000" t="s">
        <v>425</v>
      </c>
      <c r="AM235" s="1000" cm="1" t="str">
        <f t="array" ref="AM235:AM235">AC235</f>
        <v>Станция перекачки №2 :: г Осинники, ул. Станционная, 20а</v>
      </c>
      <c r="AN235" s="1000" cm="1" t="str">
        <f t="array" ref="AN235:AN235">AD235</f>
        <v>концессионное соглашение</v>
      </c>
      <c r="AO235" s="1000" cm="1" t="str">
        <f t="array" ref="AO235:AO235">AE235</f>
        <v>акт приёма-передачи</v>
      </c>
      <c r="AP235" s="1000" cm="1" t="str">
        <f t="array" ref="AP235:AP235">AF235</f>
        <v>б/н</v>
      </c>
      <c r="AQ235" s="1000" cm="1" t="str">
        <f t="array" ref="AQ235:AQ235">AG235</f>
        <v>01.06.2026</v>
      </c>
      <c r="AR235" s="619"/>
      <c r="AS235" s="619" t="b">
        <v>1</v>
      </c>
    </row>
    <row s="1459" customFormat="1" customHeight="1" ht="23.25">
      <c r="A236" s="1459"/>
      <c r="B236" s="1459"/>
      <c r="C236" s="1459"/>
      <c r="D236" s="1459"/>
      <c r="E236" s="629">
        <v>15</v>
      </c>
      <c r="F236" s="104" cm="1" t="str">
        <f t="array" ref="F236:F236">OFFSET(G236,-1,-1)</f>
        <v>3</v>
      </c>
      <c r="G236" s="1459"/>
      <c r="H236" s="1459"/>
      <c r="I236" s="104" t="s">
        <v>977</v>
      </c>
      <c r="J236" s="1459"/>
      <c r="K236" s="104" t="s">
        <v>978</v>
      </c>
      <c r="L236" s="1459"/>
      <c r="M236" s="1459"/>
      <c r="N236" s="1459"/>
      <c r="O236" s="1459"/>
      <c r="P236" s="1459"/>
      <c r="Q236" s="1459"/>
      <c r="R236" s="1459"/>
      <c r="S236" s="1459"/>
      <c r="T236" s="1459"/>
      <c r="U236" s="465">
        <f>AND(F236&gt;0,AB236&gt;0)</f>
        <v>1</v>
      </c>
      <c r="V236" s="1459"/>
      <c r="W236" s="1459"/>
      <c r="X236" s="717"/>
      <c r="Y236" s="1459"/>
      <c r="Z236" s="1459"/>
      <c r="AA236" s="662" t="s">
        <v>175</v>
      </c>
      <c r="AB236" s="88" t="s">
        <v>443</v>
      </c>
      <c r="AC236" s="274" t="str">
        <f>I236&amp;" :: "&amp;K236</f>
        <v>Сети   п. Тайжина :: п Тайжина, п. Тайжина, 1</v>
      </c>
      <c r="AD236" s="274" t="s">
        <v>430</v>
      </c>
      <c r="AE236" s="274" t="s">
        <v>431</v>
      </c>
      <c r="AF236" s="405" t="s">
        <v>432</v>
      </c>
      <c r="AG236" s="405" t="s">
        <v>433</v>
      </c>
      <c r="AH236" s="2031" t="s">
        <v>434</v>
      </c>
      <c r="AI236" s="1459"/>
      <c r="AJ236" s="1459"/>
      <c r="AK236" s="1000" t="s">
        <v>424</v>
      </c>
      <c r="AL236" s="1000" t="s">
        <v>425</v>
      </c>
      <c r="AM236" s="1000" cm="1" t="str">
        <f t="array" ref="AM236:AM236">AC236</f>
        <v>Сети   п. Тайжина :: п Тайжина, п. Тайжина, 1</v>
      </c>
      <c r="AN236" s="1000" cm="1" t="str">
        <f t="array" ref="AN236:AN236">AD236</f>
        <v>концессионное соглашение</v>
      </c>
      <c r="AO236" s="1000" cm="1" t="str">
        <f t="array" ref="AO236:AO236">AE236</f>
        <v>акт приёма-передачи</v>
      </c>
      <c r="AP236" s="1000" cm="1" t="str">
        <f t="array" ref="AP236:AP236">AF236</f>
        <v>б/н</v>
      </c>
      <c r="AQ236" s="1000" cm="1" t="str">
        <f t="array" ref="AQ236:AQ236">AG236</f>
        <v>01.06.2026</v>
      </c>
      <c r="AR236" s="619"/>
      <c r="AS236" s="619" t="b">
        <v>1</v>
      </c>
    </row>
    <row s="1459" customFormat="1" customHeight="1" ht="23.25">
      <c r="A237" s="1459"/>
      <c r="B237" s="1459"/>
      <c r="C237" s="1459"/>
      <c r="D237" s="1459"/>
      <c r="E237" s="629">
        <v>15</v>
      </c>
      <c r="F237" s="104" cm="1" t="str">
        <f t="array" ref="F237:F237">OFFSET(G237,-1,-1)</f>
        <v>3</v>
      </c>
      <c r="G237" s="1459"/>
      <c r="H237" s="1459"/>
      <c r="I237" s="104" t="s">
        <v>979</v>
      </c>
      <c r="J237" s="1459"/>
      <c r="K237" s="104" t="s">
        <v>980</v>
      </c>
      <c r="L237" s="1459"/>
      <c r="M237" s="1459"/>
      <c r="N237" s="1459"/>
      <c r="O237" s="1459"/>
      <c r="P237" s="1459"/>
      <c r="Q237" s="1459"/>
      <c r="R237" s="1459"/>
      <c r="S237" s="1459"/>
      <c r="T237" s="1459"/>
      <c r="U237" s="465">
        <f>AND(F237&gt;0,AB237&gt;0)</f>
        <v>1</v>
      </c>
      <c r="V237" s="1459"/>
      <c r="W237" s="1459"/>
      <c r="X237" s="717"/>
      <c r="Y237" s="1459"/>
      <c r="Z237" s="1459"/>
      <c r="AA237" s="662" t="s">
        <v>175</v>
      </c>
      <c r="AB237" s="88" t="s">
        <v>446</v>
      </c>
      <c r="AC237" s="274" t="str">
        <f>I237&amp;" :: "&amp;K237</f>
        <v>Канализационная насосная станция :: п Тайжина, ул. Дорожная, 13а</v>
      </c>
      <c r="AD237" s="274" t="s">
        <v>430</v>
      </c>
      <c r="AE237" s="274" t="s">
        <v>431</v>
      </c>
      <c r="AF237" s="405" t="s">
        <v>432</v>
      </c>
      <c r="AG237" s="405" t="s">
        <v>433</v>
      </c>
      <c r="AH237" s="2031" t="s">
        <v>434</v>
      </c>
      <c r="AI237" s="1459"/>
      <c r="AJ237" s="1459"/>
      <c r="AK237" s="1000" t="s">
        <v>424</v>
      </c>
      <c r="AL237" s="1000" t="s">
        <v>425</v>
      </c>
      <c r="AM237" s="1000" cm="1" t="str">
        <f t="array" ref="AM237:AM237">AC237</f>
        <v>Канализационная насосная станция :: п Тайжина, ул. Дорожная, 13а</v>
      </c>
      <c r="AN237" s="1000" cm="1" t="str">
        <f t="array" ref="AN237:AN237">AD237</f>
        <v>концессионное соглашение</v>
      </c>
      <c r="AO237" s="1000" cm="1" t="str">
        <f t="array" ref="AO237:AO237">AE237</f>
        <v>акт приёма-передачи</v>
      </c>
      <c r="AP237" s="1000" cm="1" t="str">
        <f t="array" ref="AP237:AP237">AF237</f>
        <v>б/н</v>
      </c>
      <c r="AQ237" s="1000" cm="1" t="str">
        <f t="array" ref="AQ237:AQ237">AG237</f>
        <v>01.06.2026</v>
      </c>
      <c r="AR237" s="619"/>
      <c r="AS237" s="619" t="b">
        <v>1</v>
      </c>
    </row>
    <row s="1459" customFormat="1" customHeight="1" ht="23.25">
      <c r="A238" s="1459"/>
      <c r="B238" s="1459"/>
      <c r="C238" s="1459"/>
      <c r="D238" s="1459"/>
      <c r="E238" s="629">
        <v>15</v>
      </c>
      <c r="F238" s="104" cm="1" t="str">
        <f t="array" ref="F238:F238">OFFSET(G238,-1,-1)</f>
        <v>3</v>
      </c>
      <c r="G238" s="1459"/>
      <c r="H238" s="1459"/>
      <c r="I238" s="104" t="s">
        <v>981</v>
      </c>
      <c r="J238" s="1459"/>
      <c r="K238" s="104" t="s">
        <v>982</v>
      </c>
      <c r="L238" s="1459"/>
      <c r="M238" s="1459"/>
      <c r="N238" s="1459"/>
      <c r="O238" s="1459"/>
      <c r="P238" s="1459"/>
      <c r="Q238" s="1459"/>
      <c r="R238" s="1459"/>
      <c r="S238" s="1459"/>
      <c r="T238" s="1459"/>
      <c r="U238" s="465">
        <f>AND(F238&gt;0,AB238&gt;0)</f>
        <v>1</v>
      </c>
      <c r="V238" s="1459"/>
      <c r="W238" s="1459"/>
      <c r="X238" s="717"/>
      <c r="Y238" s="1459"/>
      <c r="Z238" s="1459"/>
      <c r="AA238" s="662" t="s">
        <v>175</v>
      </c>
      <c r="AB238" s="88" t="s">
        <v>449</v>
      </c>
      <c r="AC238" s="274" t="str">
        <f>I238&amp;" :: "&amp;K238</f>
        <v>Очистные Сооружения  п. Тайжина :: п Тайжина, ул. Лысенко, 108</v>
      </c>
      <c r="AD238" s="274" t="s">
        <v>430</v>
      </c>
      <c r="AE238" s="274" t="s">
        <v>431</v>
      </c>
      <c r="AF238" s="405" t="s">
        <v>432</v>
      </c>
      <c r="AG238" s="405" t="s">
        <v>433</v>
      </c>
      <c r="AH238" s="2031" t="s">
        <v>434</v>
      </c>
      <c r="AI238" s="1459"/>
      <c r="AJ238" s="1459"/>
      <c r="AK238" s="1000" t="s">
        <v>424</v>
      </c>
      <c r="AL238" s="1000" t="s">
        <v>425</v>
      </c>
      <c r="AM238" s="1000" cm="1" t="str">
        <f t="array" ref="AM238:AM238">AC238</f>
        <v>Очистные Сооружения  п. Тайжина :: п Тайжина, ул. Лысенко, 108</v>
      </c>
      <c r="AN238" s="1000" cm="1" t="str">
        <f t="array" ref="AN238:AN238">AD238</f>
        <v>концессионное соглашение</v>
      </c>
      <c r="AO238" s="1000" cm="1" t="str">
        <f t="array" ref="AO238:AO238">AE238</f>
        <v>акт приёма-передачи</v>
      </c>
      <c r="AP238" s="1000" cm="1" t="str">
        <f t="array" ref="AP238:AP238">AF238</f>
        <v>б/н</v>
      </c>
      <c r="AQ238" s="1000" cm="1" t="str">
        <f t="array" ref="AQ238:AQ238">AG238</f>
        <v>01.06.2026</v>
      </c>
      <c r="AR238" s="619"/>
      <c r="AS238" s="619" t="b">
        <v>1</v>
      </c>
    </row>
    <row s="538" customFormat="1" customHeight="1" ht="10.5">
      <c r="A239" s="1758"/>
      <c r="B239" s="428"/>
      <c r="C239" s="1758"/>
      <c r="D239" s="1758"/>
      <c r="E239" s="629">
        <v>11</v>
      </c>
      <c r="F239" s="122" cm="1" t="str">
        <f t="array" ref="F239:F239">OFFSET(G239,-1,-1)</f>
        <v>3</v>
      </c>
      <c r="G239" s="1758"/>
      <c r="H239" s="1758"/>
      <c r="I239" s="1758"/>
      <c r="J239" s="1758"/>
      <c r="K239" s="1758"/>
      <c r="L239" s="1758"/>
      <c r="M239" s="1758"/>
      <c r="N239" s="1758"/>
      <c r="O239" s="1758"/>
      <c r="P239" s="1758"/>
      <c r="Q239" s="1758"/>
      <c r="R239" s="1758"/>
      <c r="S239" s="1758"/>
      <c r="T239" s="1758"/>
      <c r="U239" s="465">
        <f>F239&gt;0</f>
        <v>1</v>
      </c>
      <c r="V239" s="1758"/>
      <c r="W239" s="1758"/>
      <c r="X239" s="757" t="s">
        <v>426</v>
      </c>
      <c r="Y239" s="1563"/>
      <c r="Z239" s="1546"/>
      <c r="AA239" s="1758"/>
      <c r="AB239" s="175"/>
      <c r="AC239" s="178" t="s">
        <v>427</v>
      </c>
      <c r="AD239" s="176"/>
      <c r="AE239" s="176"/>
      <c r="AF239" s="176"/>
      <c r="AG239" s="176"/>
      <c r="AH239" s="187"/>
      <c r="AI239" s="1758"/>
      <c r="AJ239" s="1758"/>
      <c r="AK239" s="997"/>
      <c r="AL239" s="997"/>
      <c r="AM239" s="997"/>
      <c r="AN239" s="997"/>
      <c r="AO239" s="997"/>
      <c r="AP239" s="997"/>
      <c r="AQ239" s="997"/>
      <c r="AR239" s="618" t="s">
        <v>425</v>
      </c>
      <c r="AS239" s="618"/>
    </row>
    <row s="538" customFormat="1" customHeight="1" ht="15">
      <c r="A240" s="1758"/>
      <c r="B240" s="428"/>
      <c r="C240" s="1758"/>
      <c r="D240" s="1758"/>
      <c r="E240" s="636" t="s">
        <v>341</v>
      </c>
      <c r="F240" s="122" cm="1" t="str">
        <f t="array" ref="F240:F240">Y240</f>
        <v>4</v>
      </c>
      <c r="G240" s="1758"/>
      <c r="H240" s="1758"/>
      <c r="I240" s="1758"/>
      <c r="J240" s="1758"/>
      <c r="K240" s="1758"/>
      <c r="L240" s="1758"/>
      <c r="M240" s="1758"/>
      <c r="N240" s="1758"/>
      <c r="O240" s="1758"/>
      <c r="P240" s="1758"/>
      <c r="Q240" s="1758"/>
      <c r="R240" s="1758"/>
      <c r="S240" s="1758"/>
      <c r="T240" s="1758"/>
      <c r="U240" s="465">
        <f>Y240&gt;0</f>
        <v>1</v>
      </c>
      <c r="V240" s="1758"/>
      <c r="W240" s="122" cm="1" t="str">
        <f t="array" ref="W240:W240">'Перечень объектов'!$AC$75</f>
        <v>Тариф 4 (Водоотведение) - тариф на водоотведение (Доп. признак не требуется)</v>
      </c>
      <c r="X240" s="1758"/>
      <c r="Y240" s="1563" t="s">
        <v>295</v>
      </c>
      <c r="Z240" s="1546"/>
      <c r="AA240" s="1758"/>
      <c r="AB240" s="180" cm="1" t="str">
        <f t="array" ref="AB240:AB240">'Перечень объектов'!$AC$75</f>
        <v>Тариф 4 (Водоотведение) - тариф на водоотведение (Доп. признак не требуется)</v>
      </c>
      <c r="AC240" s="180"/>
      <c r="AD240" s="174"/>
      <c r="AE240" s="174"/>
      <c r="AF240" s="174"/>
      <c r="AG240" s="174"/>
      <c r="AH240" s="174"/>
      <c r="AI240" s="1758"/>
      <c r="AJ240" s="1758"/>
      <c r="AK240" s="997"/>
      <c r="AL240" s="997"/>
      <c r="AM240" s="997"/>
      <c r="AN240" s="997"/>
      <c r="AO240" s="997"/>
      <c r="AP240" s="997"/>
      <c r="AQ240" s="997"/>
      <c r="AR240" s="618"/>
      <c r="AS240" s="618"/>
    </row>
    <row s="538" customFormat="1" customHeight="1" ht="15" hidden="1">
      <c r="A241" s="1758"/>
      <c r="B241" s="428"/>
      <c r="C241" s="1758"/>
      <c r="D241" s="1758"/>
      <c r="E241" s="629">
        <v>0</v>
      </c>
      <c r="F241" s="122" cm="1" t="str">
        <f t="array" ref="F241:F241">OFFSET(G241,-1,-1)</f>
        <v>4</v>
      </c>
      <c r="G241" s="1758"/>
      <c r="H241" s="1758"/>
      <c r="I241" s="1758"/>
      <c r="J241" s="1758"/>
      <c r="K241" s="1758"/>
      <c r="L241" s="1758"/>
      <c r="M241" s="1758"/>
      <c r="N241" s="1758"/>
      <c r="O241" s="1758"/>
      <c r="P241" s="1758"/>
      <c r="Q241" s="1758"/>
      <c r="R241" s="1758"/>
      <c r="S241" s="1758"/>
      <c r="T241" s="1758"/>
      <c r="U241" s="465" t="b">
        <v>0</v>
      </c>
      <c r="V241" s="1758"/>
      <c r="W241" s="1758"/>
      <c r="X241" s="1758"/>
      <c r="Y241" s="1563"/>
      <c r="Z241" s="1546"/>
      <c r="AA241" s="1758"/>
      <c r="AB241" s="180"/>
      <c r="AC241" s="180"/>
      <c r="AD241" s="174"/>
      <c r="AE241" s="174"/>
      <c r="AF241" s="174"/>
      <c r="AG241" s="174"/>
      <c r="AH241" s="174"/>
      <c r="AI241" s="1758"/>
      <c r="AJ241" s="1758"/>
      <c r="AK241" s="997"/>
      <c r="AL241" s="997"/>
      <c r="AM241" s="997"/>
      <c r="AN241" s="997"/>
      <c r="AO241" s="997"/>
      <c r="AP241" s="997"/>
      <c r="AQ241" s="997"/>
      <c r="AR241" s="618"/>
      <c r="AS241" s="618"/>
    </row>
    <row s="1459" customFormat="1" customHeight="1" ht="14.25" hidden="1">
      <c r="E242" s="629">
        <v>15</v>
      </c>
      <c r="F242" s="104" cm="1" t="str">
        <f t="array" ref="F242:F242">OFFSET(G242,-1,-1)</f>
        <v>4</v>
      </c>
      <c r="I242" s="104" t="s">
        <v>422</v>
      </c>
      <c r="K242" s="104" t="s">
        <v>423</v>
      </c>
      <c r="U242" s="465">
        <f>AND(F242&gt;0,AB242&gt;0)</f>
        <v>0</v>
      </c>
      <c r="X242" s="717" t="s">
        <v>174</v>
      </c>
      <c r="AA242" s="662" t="s">
        <v>175</v>
      </c>
      <c r="AB242" s="88">
        <v>0</v>
      </c>
      <c r="AC242" s="274" t="str">
        <f>I242&amp;" :: "&amp;K242</f>
        <v>Наименование объекта :: адрес</v>
      </c>
      <c r="AD242" s="274"/>
      <c r="AE242" s="274"/>
      <c r="AF242" s="405"/>
      <c r="AG242" s="405"/>
      <c r="AH242" s="2039"/>
      <c r="AK242" s="1000" t="s">
        <v>424</v>
      </c>
      <c r="AL242" s="1000" t="s">
        <v>425</v>
      </c>
      <c r="AM242" s="1000" cm="1" t="str">
        <f t="array" ref="AM242:AM242">AC242</f>
        <v>Наименование объекта :: адрес</v>
      </c>
      <c r="AN242" s="1000" cm="1" t="str">
        <f t="array" ref="AN242:AN242">AD242</f>
        <v>0</v>
      </c>
      <c r="AO242" s="1000" cm="1" t="str">
        <f t="array" ref="AO242:AO242">AE242</f>
        <v>0</v>
      </c>
      <c r="AP242" s="1000" cm="1" t="str">
        <f t="array" ref="AP242:AP242">AF242</f>
        <v>0</v>
      </c>
      <c r="AQ242" s="1000" cm="1" t="str">
        <f t="array" ref="AQ242:AQ242">AG242</f>
        <v>0</v>
      </c>
      <c r="AR242" s="619"/>
      <c r="AS242" s="619" t="b">
        <v>1</v>
      </c>
    </row>
    <row s="1459" customFormat="1" customHeight="1" ht="23.25">
      <c r="A243" s="1459"/>
      <c r="B243" s="1459"/>
      <c r="C243" s="1459"/>
      <c r="D243" s="1459"/>
      <c r="E243" s="629">
        <v>15</v>
      </c>
      <c r="F243" s="104" cm="1" t="str">
        <f t="array" ref="F243:F243">OFFSET(G243,-1,-1)</f>
        <v>4</v>
      </c>
      <c r="G243" s="1459"/>
      <c r="H243" s="1459"/>
      <c r="I243" s="104" t="s">
        <v>983</v>
      </c>
      <c r="J243" s="1459"/>
      <c r="K243" s="104" t="s">
        <v>471</v>
      </c>
      <c r="L243" s="1459"/>
      <c r="M243" s="1459"/>
      <c r="N243" s="1459"/>
      <c r="O243" s="1459"/>
      <c r="P243" s="1459"/>
      <c r="Q243" s="1459"/>
      <c r="R243" s="1459"/>
      <c r="S243" s="1459"/>
      <c r="T243" s="1459"/>
      <c r="U243" s="465">
        <f>AND(F243&gt;0,AB243&gt;0)</f>
        <v>1</v>
      </c>
      <c r="V243" s="1459"/>
      <c r="W243" s="1459"/>
      <c r="X243" s="717"/>
      <c r="Y243" s="1459"/>
      <c r="Z243" s="1459"/>
      <c r="AA243" s="662" t="s">
        <v>175</v>
      </c>
      <c r="AB243" s="88" t="s">
        <v>276</v>
      </c>
      <c r="AC243" s="274" t="str">
        <f>I243&amp;" :: "&amp;K243</f>
        <v>Отводящий коллектор очищенных сточных вод с очистных сооружений, ул. Полеквая, 26 :: г Калтан, -, -</v>
      </c>
      <c r="AD243" s="274" t="s">
        <v>430</v>
      </c>
      <c r="AE243" s="274" t="s">
        <v>431</v>
      </c>
      <c r="AF243" s="405" t="s">
        <v>432</v>
      </c>
      <c r="AG243" s="405" t="s">
        <v>433</v>
      </c>
      <c r="AH243" s="2040" t="s">
        <v>434</v>
      </c>
      <c r="AI243" s="1459"/>
      <c r="AJ243" s="1459"/>
      <c r="AK243" s="1000" t="s">
        <v>424</v>
      </c>
      <c r="AL243" s="1000" t="s">
        <v>425</v>
      </c>
      <c r="AM243" s="1000" cm="1" t="str">
        <f t="array" ref="AM243:AM243">AC243</f>
        <v>Отводящий коллектор очищенных сточных вод с очистных сооружений, ул. Полеквая, 26 :: г Калтан, -, -</v>
      </c>
      <c r="AN243" s="1000" cm="1" t="str">
        <f t="array" ref="AN243:AN243">AD243</f>
        <v>концессионное соглашение</v>
      </c>
      <c r="AO243" s="1000" cm="1" t="str">
        <f t="array" ref="AO243:AO243">AE243</f>
        <v>акт приёма-передачи</v>
      </c>
      <c r="AP243" s="1000" cm="1" t="str">
        <f t="array" ref="AP243:AP243">AF243</f>
        <v>б/н</v>
      </c>
      <c r="AQ243" s="1000" cm="1" t="str">
        <f t="array" ref="AQ243:AQ243">AG243</f>
        <v>01.06.2026</v>
      </c>
      <c r="AR243" s="619"/>
      <c r="AS243" s="619" t="b">
        <v>1</v>
      </c>
    </row>
    <row s="1459" customFormat="1" customHeight="1" ht="23.25">
      <c r="A244" s="1459"/>
      <c r="B244" s="1459"/>
      <c r="C244" s="1459"/>
      <c r="D244" s="1459"/>
      <c r="E244" s="629">
        <v>15</v>
      </c>
      <c r="F244" s="104" cm="1" t="str">
        <f t="array" ref="F244:F244">OFFSET(G244,-1,-1)</f>
        <v>4</v>
      </c>
      <c r="G244" s="1459"/>
      <c r="H244" s="1459"/>
      <c r="I244" s="104" t="s">
        <v>984</v>
      </c>
      <c r="J244" s="1459"/>
      <c r="K244" s="104" t="s">
        <v>471</v>
      </c>
      <c r="L244" s="1459"/>
      <c r="M244" s="1459"/>
      <c r="N244" s="1459"/>
      <c r="O244" s="1459"/>
      <c r="P244" s="1459"/>
      <c r="Q244" s="1459"/>
      <c r="R244" s="1459"/>
      <c r="S244" s="1459"/>
      <c r="T244" s="1459"/>
      <c r="U244" s="465">
        <f>AND(F244&gt;0,AB244&gt;0)</f>
        <v>1</v>
      </c>
      <c r="V244" s="1459"/>
      <c r="W244" s="1459"/>
      <c r="X244" s="717"/>
      <c r="Y244" s="1459"/>
      <c r="Z244" s="1459"/>
      <c r="AA244" s="662" t="s">
        <v>175</v>
      </c>
      <c r="AB244" s="88" t="s">
        <v>285</v>
      </c>
      <c r="AC244" s="274" t="str">
        <f>I244&amp;" :: "&amp;K244</f>
        <v>самотечный коллектор п. Постоянный :: г Калтан, -, -</v>
      </c>
      <c r="AD244" s="274" t="s">
        <v>430</v>
      </c>
      <c r="AE244" s="274" t="s">
        <v>431</v>
      </c>
      <c r="AF244" s="405" t="s">
        <v>432</v>
      </c>
      <c r="AG244" s="405" t="s">
        <v>433</v>
      </c>
      <c r="AH244" s="2040" t="s">
        <v>434</v>
      </c>
      <c r="AI244" s="1459"/>
      <c r="AJ244" s="1459"/>
      <c r="AK244" s="1000" t="s">
        <v>424</v>
      </c>
      <c r="AL244" s="1000" t="s">
        <v>425</v>
      </c>
      <c r="AM244" s="1000" cm="1" t="str">
        <f t="array" ref="AM244:AM244">AC244</f>
        <v>самотечный коллектор п. Постоянный :: г Калтан, -, -</v>
      </c>
      <c r="AN244" s="1000" cm="1" t="str">
        <f t="array" ref="AN244:AN244">AD244</f>
        <v>концессионное соглашение</v>
      </c>
      <c r="AO244" s="1000" cm="1" t="str">
        <f t="array" ref="AO244:AO244">AE244</f>
        <v>акт приёма-передачи</v>
      </c>
      <c r="AP244" s="1000" cm="1" t="str">
        <f t="array" ref="AP244:AP244">AF244</f>
        <v>б/н</v>
      </c>
      <c r="AQ244" s="1000" cm="1" t="str">
        <f t="array" ref="AQ244:AQ244">AG244</f>
        <v>01.06.2026</v>
      </c>
      <c r="AR244" s="619"/>
      <c r="AS244" s="619" t="b">
        <v>1</v>
      </c>
    </row>
    <row s="1459" customFormat="1" customHeight="1" ht="23.25">
      <c r="A245" s="1459"/>
      <c r="B245" s="1459"/>
      <c r="C245" s="1459"/>
      <c r="D245" s="1459"/>
      <c r="E245" s="629">
        <v>15</v>
      </c>
      <c r="F245" s="104" cm="1" t="str">
        <f t="array" ref="F245:F245">OFFSET(G245,-1,-1)</f>
        <v>4</v>
      </c>
      <c r="G245" s="1459"/>
      <c r="H245" s="1459"/>
      <c r="I245" s="104" t="s">
        <v>985</v>
      </c>
      <c r="J245" s="1459"/>
      <c r="K245" s="104" t="s">
        <v>986</v>
      </c>
      <c r="L245" s="1459"/>
      <c r="M245" s="1459"/>
      <c r="N245" s="1459"/>
      <c r="O245" s="1459"/>
      <c r="P245" s="1459"/>
      <c r="Q245" s="1459"/>
      <c r="R245" s="1459"/>
      <c r="S245" s="1459"/>
      <c r="T245" s="1459"/>
      <c r="U245" s="465">
        <f>AND(F245&gt;0,AB245&gt;0)</f>
        <v>1</v>
      </c>
      <c r="V245" s="1459"/>
      <c r="W245" s="1459"/>
      <c r="X245" s="717"/>
      <c r="Y245" s="1459"/>
      <c r="Z245" s="1459"/>
      <c r="AA245" s="662" t="s">
        <v>175</v>
      </c>
      <c r="AB245" s="88" t="s">
        <v>289</v>
      </c>
      <c r="AC245" s="274" t="str">
        <f>I245&amp;" :: "&amp;K245</f>
        <v>канализационная сеть пер. Садовый :: г Калтан, пер. Садовый, -</v>
      </c>
      <c r="AD245" s="274" t="s">
        <v>430</v>
      </c>
      <c r="AE245" s="274" t="s">
        <v>431</v>
      </c>
      <c r="AF245" s="405" t="s">
        <v>432</v>
      </c>
      <c r="AG245" s="405" t="s">
        <v>433</v>
      </c>
      <c r="AH245" s="2040" t="s">
        <v>434</v>
      </c>
      <c r="AI245" s="1459"/>
      <c r="AJ245" s="1459"/>
      <c r="AK245" s="1000" t="s">
        <v>424</v>
      </c>
      <c r="AL245" s="1000" t="s">
        <v>425</v>
      </c>
      <c r="AM245" s="1000" cm="1" t="str">
        <f t="array" ref="AM245:AM245">AC245</f>
        <v>канализационная сеть пер. Садовый :: г Калтан, пер. Садовый, -</v>
      </c>
      <c r="AN245" s="1000" cm="1" t="str">
        <f t="array" ref="AN245:AN245">AD245</f>
        <v>концессионное соглашение</v>
      </c>
      <c r="AO245" s="1000" cm="1" t="str">
        <f t="array" ref="AO245:AO245">AE245</f>
        <v>акт приёма-передачи</v>
      </c>
      <c r="AP245" s="1000" cm="1" t="str">
        <f t="array" ref="AP245:AP245">AF245</f>
        <v>б/н</v>
      </c>
      <c r="AQ245" s="1000" cm="1" t="str">
        <f t="array" ref="AQ245:AQ245">AG245</f>
        <v>01.06.2026</v>
      </c>
      <c r="AR245" s="619"/>
      <c r="AS245" s="619" t="b">
        <v>1</v>
      </c>
    </row>
    <row s="1459" customFormat="1" customHeight="1" ht="23.25">
      <c r="A246" s="1459"/>
      <c r="B246" s="1459"/>
      <c r="C246" s="1459"/>
      <c r="D246" s="1459"/>
      <c r="E246" s="629">
        <v>15</v>
      </c>
      <c r="F246" s="104" cm="1" t="str">
        <f t="array" ref="F246:F246">OFFSET(G246,-1,-1)</f>
        <v>4</v>
      </c>
      <c r="G246" s="1459"/>
      <c r="H246" s="1459"/>
      <c r="I246" s="104" t="s">
        <v>987</v>
      </c>
      <c r="J246" s="1459"/>
      <c r="K246" s="104" t="s">
        <v>495</v>
      </c>
      <c r="L246" s="1459"/>
      <c r="M246" s="1459"/>
      <c r="N246" s="1459"/>
      <c r="O246" s="1459"/>
      <c r="P246" s="1459"/>
      <c r="Q246" s="1459"/>
      <c r="R246" s="1459"/>
      <c r="S246" s="1459"/>
      <c r="T246" s="1459"/>
      <c r="U246" s="465">
        <f>AND(F246&gt;0,AB246&gt;0)</f>
        <v>1</v>
      </c>
      <c r="V246" s="1459"/>
      <c r="W246" s="1459"/>
      <c r="X246" s="717"/>
      <c r="Y246" s="1459"/>
      <c r="Z246" s="1459"/>
      <c r="AA246" s="662" t="s">
        <v>175</v>
      </c>
      <c r="AB246" s="88" t="s">
        <v>295</v>
      </c>
      <c r="AC246" s="274" t="str">
        <f>I246&amp;" :: "&amp;K246</f>
        <v>канализационная сеть пер. Советский :: г Калтан, пер. Советский, -</v>
      </c>
      <c r="AD246" s="274" t="s">
        <v>430</v>
      </c>
      <c r="AE246" s="274" t="s">
        <v>431</v>
      </c>
      <c r="AF246" s="405" t="s">
        <v>432</v>
      </c>
      <c r="AG246" s="405" t="s">
        <v>433</v>
      </c>
      <c r="AH246" s="2040" t="s">
        <v>434</v>
      </c>
      <c r="AI246" s="1459"/>
      <c r="AJ246" s="1459"/>
      <c r="AK246" s="1000" t="s">
        <v>424</v>
      </c>
      <c r="AL246" s="1000" t="s">
        <v>425</v>
      </c>
      <c r="AM246" s="1000" cm="1" t="str">
        <f t="array" ref="AM246:AM246">AC246</f>
        <v>канализационная сеть пер. Советский :: г Калтан, пер. Советский, -</v>
      </c>
      <c r="AN246" s="1000" cm="1" t="str">
        <f t="array" ref="AN246:AN246">AD246</f>
        <v>концессионное соглашение</v>
      </c>
      <c r="AO246" s="1000" cm="1" t="str">
        <f t="array" ref="AO246:AO246">AE246</f>
        <v>акт приёма-передачи</v>
      </c>
      <c r="AP246" s="1000" cm="1" t="str">
        <f t="array" ref="AP246:AP246">AF246</f>
        <v>б/н</v>
      </c>
      <c r="AQ246" s="1000" cm="1" t="str">
        <f t="array" ref="AQ246:AQ246">AG246</f>
        <v>01.06.2026</v>
      </c>
      <c r="AR246" s="619"/>
      <c r="AS246" s="619" t="b">
        <v>1</v>
      </c>
    </row>
    <row s="1459" customFormat="1" customHeight="1" ht="23.25">
      <c r="A247" s="1459"/>
      <c r="B247" s="1459"/>
      <c r="C247" s="1459"/>
      <c r="D247" s="1459"/>
      <c r="E247" s="629">
        <v>15</v>
      </c>
      <c r="F247" s="104" cm="1" t="str">
        <f t="array" ref="F247:F247">OFFSET(G247,-1,-1)</f>
        <v>4</v>
      </c>
      <c r="G247" s="1459"/>
      <c r="H247" s="1459"/>
      <c r="I247" s="104" t="s">
        <v>988</v>
      </c>
      <c r="J247" s="1459"/>
      <c r="K247" s="104" t="s">
        <v>989</v>
      </c>
      <c r="L247" s="1459"/>
      <c r="M247" s="1459"/>
      <c r="N247" s="1459"/>
      <c r="O247" s="1459"/>
      <c r="P247" s="1459"/>
      <c r="Q247" s="1459"/>
      <c r="R247" s="1459"/>
      <c r="S247" s="1459"/>
      <c r="T247" s="1459"/>
      <c r="U247" s="465">
        <f>AND(F247&gt;0,AB247&gt;0)</f>
        <v>1</v>
      </c>
      <c r="V247" s="1459"/>
      <c r="W247" s="1459"/>
      <c r="X247" s="717"/>
      <c r="Y247" s="1459"/>
      <c r="Z247" s="1459"/>
      <c r="AA247" s="662" t="s">
        <v>175</v>
      </c>
      <c r="AB247" s="88" t="s">
        <v>443</v>
      </c>
      <c r="AC247" s="274" t="str">
        <f>I247&amp;" :: "&amp;K247</f>
        <v>канализационная сеть пер.Советский-пр. Мира, 46 :: г Калтан, пер. Советский, пр. Мира, пер. Советский, 9а - пр. Мира, 43</v>
      </c>
      <c r="AD247" s="274" t="s">
        <v>430</v>
      </c>
      <c r="AE247" s="274" t="s">
        <v>431</v>
      </c>
      <c r="AF247" s="405" t="s">
        <v>432</v>
      </c>
      <c r="AG247" s="405" t="s">
        <v>433</v>
      </c>
      <c r="AH247" s="2040" t="s">
        <v>434</v>
      </c>
      <c r="AI247" s="1459"/>
      <c r="AJ247" s="1459"/>
      <c r="AK247" s="1000" t="s">
        <v>424</v>
      </c>
      <c r="AL247" s="1000" t="s">
        <v>425</v>
      </c>
      <c r="AM247" s="1000" cm="1" t="str">
        <f t="array" ref="AM247:AM247">AC247</f>
        <v>канализационная сеть пер.Советский-пр. Мира, 46 :: г Калтан, пер. Советский, пр. Мира, пер. Советский, 9а - пр. Мира, 43</v>
      </c>
      <c r="AN247" s="1000" cm="1" t="str">
        <f t="array" ref="AN247:AN247">AD247</f>
        <v>концессионное соглашение</v>
      </c>
      <c r="AO247" s="1000" cm="1" t="str">
        <f t="array" ref="AO247:AO247">AE247</f>
        <v>акт приёма-передачи</v>
      </c>
      <c r="AP247" s="1000" cm="1" t="str">
        <f t="array" ref="AP247:AP247">AF247</f>
        <v>б/н</v>
      </c>
      <c r="AQ247" s="1000" cm="1" t="str">
        <f t="array" ref="AQ247:AQ247">AG247</f>
        <v>01.06.2026</v>
      </c>
      <c r="AR247" s="619"/>
      <c r="AS247" s="619" t="b">
        <v>1</v>
      </c>
    </row>
    <row s="1459" customFormat="1" customHeight="1" ht="23.25">
      <c r="A248" s="1459"/>
      <c r="B248" s="1459"/>
      <c r="C248" s="1459"/>
      <c r="D248" s="1459"/>
      <c r="E248" s="629">
        <v>15</v>
      </c>
      <c r="F248" s="104" cm="1" t="str">
        <f t="array" ref="F248:F248">OFFSET(G248,-1,-1)</f>
        <v>4</v>
      </c>
      <c r="G248" s="1459"/>
      <c r="H248" s="1459"/>
      <c r="I248" s="104" t="s">
        <v>990</v>
      </c>
      <c r="J248" s="1459"/>
      <c r="K248" s="104" t="s">
        <v>991</v>
      </c>
      <c r="L248" s="1459"/>
      <c r="M248" s="1459"/>
      <c r="N248" s="1459"/>
      <c r="O248" s="1459"/>
      <c r="P248" s="1459"/>
      <c r="Q248" s="1459"/>
      <c r="R248" s="1459"/>
      <c r="S248" s="1459"/>
      <c r="T248" s="1459"/>
      <c r="U248" s="465">
        <f>AND(F248&gt;0,AB248&gt;0)</f>
        <v>1</v>
      </c>
      <c r="V248" s="1459"/>
      <c r="W248" s="1459"/>
      <c r="X248" s="717"/>
      <c r="Y248" s="1459"/>
      <c r="Z248" s="1459"/>
      <c r="AA248" s="662" t="s">
        <v>175</v>
      </c>
      <c r="AB248" s="88" t="s">
        <v>446</v>
      </c>
      <c r="AC248" s="274" t="str">
        <f>I248&amp;" :: "&amp;K248</f>
        <v>канализационная сеть пр. Мира, 11 :: г Калтан, пр. Мира, 11</v>
      </c>
      <c r="AD248" s="274" t="s">
        <v>430</v>
      </c>
      <c r="AE248" s="274" t="s">
        <v>431</v>
      </c>
      <c r="AF248" s="405" t="s">
        <v>432</v>
      </c>
      <c r="AG248" s="405" t="s">
        <v>433</v>
      </c>
      <c r="AH248" s="2040" t="s">
        <v>434</v>
      </c>
      <c r="AI248" s="1459"/>
      <c r="AJ248" s="1459"/>
      <c r="AK248" s="1000" t="s">
        <v>424</v>
      </c>
      <c r="AL248" s="1000" t="s">
        <v>425</v>
      </c>
      <c r="AM248" s="1000" cm="1" t="str">
        <f t="array" ref="AM248:AM248">AC248</f>
        <v>канализационная сеть пр. Мира, 11 :: г Калтан, пр. Мира, 11</v>
      </c>
      <c r="AN248" s="1000" cm="1" t="str">
        <f t="array" ref="AN248:AN248">AD248</f>
        <v>концессионное соглашение</v>
      </c>
      <c r="AO248" s="1000" cm="1" t="str">
        <f t="array" ref="AO248:AO248">AE248</f>
        <v>акт приёма-передачи</v>
      </c>
      <c r="AP248" s="1000" cm="1" t="str">
        <f t="array" ref="AP248:AP248">AF248</f>
        <v>б/н</v>
      </c>
      <c r="AQ248" s="1000" cm="1" t="str">
        <f t="array" ref="AQ248:AQ248">AG248</f>
        <v>01.06.2026</v>
      </c>
      <c r="AR248" s="619"/>
      <c r="AS248" s="619" t="b">
        <v>1</v>
      </c>
    </row>
    <row s="1459" customFormat="1" customHeight="1" ht="23.25">
      <c r="A249" s="1459"/>
      <c r="B249" s="1459"/>
      <c r="C249" s="1459"/>
      <c r="D249" s="1459"/>
      <c r="E249" s="629">
        <v>15</v>
      </c>
      <c r="F249" s="104" cm="1" t="str">
        <f t="array" ref="F249:F249">OFFSET(G249,-1,-1)</f>
        <v>4</v>
      </c>
      <c r="G249" s="1459"/>
      <c r="H249" s="1459"/>
      <c r="I249" s="104" t="s">
        <v>992</v>
      </c>
      <c r="J249" s="1459"/>
      <c r="K249" s="104" t="s">
        <v>993</v>
      </c>
      <c r="L249" s="1459"/>
      <c r="M249" s="1459"/>
      <c r="N249" s="1459"/>
      <c r="O249" s="1459"/>
      <c r="P249" s="1459"/>
      <c r="Q249" s="1459"/>
      <c r="R249" s="1459"/>
      <c r="S249" s="1459"/>
      <c r="T249" s="1459"/>
      <c r="U249" s="465">
        <f>AND(F249&gt;0,AB249&gt;0)</f>
        <v>1</v>
      </c>
      <c r="V249" s="1459"/>
      <c r="W249" s="1459"/>
      <c r="X249" s="717"/>
      <c r="Y249" s="1459"/>
      <c r="Z249" s="1459"/>
      <c r="AA249" s="662" t="s">
        <v>175</v>
      </c>
      <c r="AB249" s="88" t="s">
        <v>449</v>
      </c>
      <c r="AC249" s="274" t="str">
        <f>I249&amp;" :: "&amp;K249</f>
        <v>канализационная сеть пр. Мира, 2 :: г Калтан, пр. Мира, 2</v>
      </c>
      <c r="AD249" s="274" t="s">
        <v>430</v>
      </c>
      <c r="AE249" s="274" t="s">
        <v>431</v>
      </c>
      <c r="AF249" s="405" t="s">
        <v>432</v>
      </c>
      <c r="AG249" s="405" t="s">
        <v>433</v>
      </c>
      <c r="AH249" s="2040" t="s">
        <v>434</v>
      </c>
      <c r="AI249" s="1459"/>
      <c r="AJ249" s="1459"/>
      <c r="AK249" s="1000" t="s">
        <v>424</v>
      </c>
      <c r="AL249" s="1000" t="s">
        <v>425</v>
      </c>
      <c r="AM249" s="1000" cm="1" t="str">
        <f t="array" ref="AM249:AM249">AC249</f>
        <v>канализационная сеть пр. Мира, 2 :: г Калтан, пр. Мира, 2</v>
      </c>
      <c r="AN249" s="1000" cm="1" t="str">
        <f t="array" ref="AN249:AN249">AD249</f>
        <v>концессионное соглашение</v>
      </c>
      <c r="AO249" s="1000" cm="1" t="str">
        <f t="array" ref="AO249:AO249">AE249</f>
        <v>акт приёма-передачи</v>
      </c>
      <c r="AP249" s="1000" cm="1" t="str">
        <f t="array" ref="AP249:AP249">AF249</f>
        <v>б/н</v>
      </c>
      <c r="AQ249" s="1000" cm="1" t="str">
        <f t="array" ref="AQ249:AQ249">AG249</f>
        <v>01.06.2026</v>
      </c>
      <c r="AR249" s="619"/>
      <c r="AS249" s="619" t="b">
        <v>1</v>
      </c>
    </row>
    <row s="1459" customFormat="1" customHeight="1" ht="23.25">
      <c r="A250" s="1459"/>
      <c r="B250" s="1459"/>
      <c r="C250" s="1459"/>
      <c r="D250" s="1459"/>
      <c r="E250" s="629">
        <v>15</v>
      </c>
      <c r="F250" s="104" cm="1" t="str">
        <f t="array" ref="F250:F250">OFFSET(G250,-1,-1)</f>
        <v>4</v>
      </c>
      <c r="G250" s="1459"/>
      <c r="H250" s="1459"/>
      <c r="I250" s="104" t="s">
        <v>994</v>
      </c>
      <c r="J250" s="1459"/>
      <c r="K250" s="104" t="s">
        <v>995</v>
      </c>
      <c r="L250" s="1459"/>
      <c r="M250" s="1459"/>
      <c r="N250" s="1459"/>
      <c r="O250" s="1459"/>
      <c r="P250" s="1459"/>
      <c r="Q250" s="1459"/>
      <c r="R250" s="1459"/>
      <c r="S250" s="1459"/>
      <c r="T250" s="1459"/>
      <c r="U250" s="465">
        <f>AND(F250&gt;0,AB250&gt;0)</f>
        <v>1</v>
      </c>
      <c r="V250" s="1459"/>
      <c r="W250" s="1459"/>
      <c r="X250" s="717"/>
      <c r="Y250" s="1459"/>
      <c r="Z250" s="1459"/>
      <c r="AA250" s="662" t="s">
        <v>175</v>
      </c>
      <c r="AB250" s="88" t="s">
        <v>452</v>
      </c>
      <c r="AC250" s="274" t="str">
        <f>I250&amp;" :: "&amp;K250</f>
        <v>канализационная сеть пр. Мира, 21,23,25,27,29,31,ДШИ № 42 :: г Калтан, пр. Мира, 21,23,25,27, 29,31,31а</v>
      </c>
      <c r="AD250" s="274" t="s">
        <v>430</v>
      </c>
      <c r="AE250" s="274" t="s">
        <v>431</v>
      </c>
      <c r="AF250" s="405" t="s">
        <v>432</v>
      </c>
      <c r="AG250" s="405" t="s">
        <v>433</v>
      </c>
      <c r="AH250" s="2040" t="s">
        <v>434</v>
      </c>
      <c r="AI250" s="1459"/>
      <c r="AJ250" s="1459"/>
      <c r="AK250" s="1000" t="s">
        <v>424</v>
      </c>
      <c r="AL250" s="1000" t="s">
        <v>425</v>
      </c>
      <c r="AM250" s="1000" cm="1" t="str">
        <f t="array" ref="AM250:AM250">AC250</f>
        <v>канализационная сеть пр. Мира, 21,23,25,27,29,31,ДШИ № 42 :: г Калтан, пр. Мира, 21,23,25,27, 29,31,31а</v>
      </c>
      <c r="AN250" s="1000" cm="1" t="str">
        <f t="array" ref="AN250:AN250">AD250</f>
        <v>концессионное соглашение</v>
      </c>
      <c r="AO250" s="1000" cm="1" t="str">
        <f t="array" ref="AO250:AO250">AE250</f>
        <v>акт приёма-передачи</v>
      </c>
      <c r="AP250" s="1000" cm="1" t="str">
        <f t="array" ref="AP250:AP250">AF250</f>
        <v>б/н</v>
      </c>
      <c r="AQ250" s="1000" cm="1" t="str">
        <f t="array" ref="AQ250:AQ250">AG250</f>
        <v>01.06.2026</v>
      </c>
      <c r="AR250" s="619"/>
      <c r="AS250" s="619" t="b">
        <v>1</v>
      </c>
    </row>
    <row s="1459" customFormat="1" customHeight="1" ht="23.25">
      <c r="A251" s="1459"/>
      <c r="B251" s="1459"/>
      <c r="C251" s="1459"/>
      <c r="D251" s="1459"/>
      <c r="E251" s="629">
        <v>15</v>
      </c>
      <c r="F251" s="104" cm="1" t="str">
        <f t="array" ref="F251:F251">OFFSET(G251,-1,-1)</f>
        <v>4</v>
      </c>
      <c r="G251" s="1459"/>
      <c r="H251" s="1459"/>
      <c r="I251" s="104" t="s">
        <v>996</v>
      </c>
      <c r="J251" s="1459"/>
      <c r="K251" s="104" t="s">
        <v>997</v>
      </c>
      <c r="L251" s="1459"/>
      <c r="M251" s="1459"/>
      <c r="N251" s="1459"/>
      <c r="O251" s="1459"/>
      <c r="P251" s="1459"/>
      <c r="Q251" s="1459"/>
      <c r="R251" s="1459"/>
      <c r="S251" s="1459"/>
      <c r="T251" s="1459"/>
      <c r="U251" s="465">
        <f>AND(F251&gt;0,AB251&gt;0)</f>
        <v>1</v>
      </c>
      <c r="V251" s="1459"/>
      <c r="W251" s="1459"/>
      <c r="X251" s="717"/>
      <c r="Y251" s="1459"/>
      <c r="Z251" s="1459"/>
      <c r="AA251" s="662" t="s">
        <v>175</v>
      </c>
      <c r="AB251" s="88" t="s">
        <v>455</v>
      </c>
      <c r="AC251" s="274" t="str">
        <f>I251&amp;" :: "&amp;K251</f>
        <v>канализационная сеть пр. Мира, 26,28 :: г Калтан, пр. Мира, 26,28</v>
      </c>
      <c r="AD251" s="274" t="s">
        <v>430</v>
      </c>
      <c r="AE251" s="274" t="s">
        <v>431</v>
      </c>
      <c r="AF251" s="405" t="s">
        <v>432</v>
      </c>
      <c r="AG251" s="405" t="s">
        <v>433</v>
      </c>
      <c r="AH251" s="2040" t="s">
        <v>434</v>
      </c>
      <c r="AI251" s="1459"/>
      <c r="AJ251" s="1459"/>
      <c r="AK251" s="1000" t="s">
        <v>424</v>
      </c>
      <c r="AL251" s="1000" t="s">
        <v>425</v>
      </c>
      <c r="AM251" s="1000" cm="1" t="str">
        <f t="array" ref="AM251:AM251">AC251</f>
        <v>канализационная сеть пр. Мира, 26,28 :: г Калтан, пр. Мира, 26,28</v>
      </c>
      <c r="AN251" s="1000" cm="1" t="str">
        <f t="array" ref="AN251:AN251">AD251</f>
        <v>концессионное соглашение</v>
      </c>
      <c r="AO251" s="1000" cm="1" t="str">
        <f t="array" ref="AO251:AO251">AE251</f>
        <v>акт приёма-передачи</v>
      </c>
      <c r="AP251" s="1000" cm="1" t="str">
        <f t="array" ref="AP251:AP251">AF251</f>
        <v>б/н</v>
      </c>
      <c r="AQ251" s="1000" cm="1" t="str">
        <f t="array" ref="AQ251:AQ251">AG251</f>
        <v>01.06.2026</v>
      </c>
      <c r="AR251" s="619"/>
      <c r="AS251" s="619" t="b">
        <v>1</v>
      </c>
    </row>
    <row s="1459" customFormat="1" customHeight="1" ht="23.25">
      <c r="A252" s="1459"/>
      <c r="B252" s="1459"/>
      <c r="C252" s="1459"/>
      <c r="D252" s="1459"/>
      <c r="E252" s="629">
        <v>15</v>
      </c>
      <c r="F252" s="104" cm="1" t="str">
        <f t="array" ref="F252:F252">OFFSET(G252,-1,-1)</f>
        <v>4</v>
      </c>
      <c r="G252" s="1459"/>
      <c r="H252" s="1459"/>
      <c r="I252" s="104" t="s">
        <v>998</v>
      </c>
      <c r="J252" s="1459"/>
      <c r="K252" s="104" t="s">
        <v>999</v>
      </c>
      <c r="L252" s="1459"/>
      <c r="M252" s="1459"/>
      <c r="N252" s="1459"/>
      <c r="O252" s="1459"/>
      <c r="P252" s="1459"/>
      <c r="Q252" s="1459"/>
      <c r="R252" s="1459"/>
      <c r="S252" s="1459"/>
      <c r="T252" s="1459"/>
      <c r="U252" s="465">
        <f>AND(F252&gt;0,AB252&gt;0)</f>
        <v>1</v>
      </c>
      <c r="V252" s="1459"/>
      <c r="W252" s="1459"/>
      <c r="X252" s="717"/>
      <c r="Y252" s="1459"/>
      <c r="Z252" s="1459"/>
      <c r="AA252" s="662" t="s">
        <v>175</v>
      </c>
      <c r="AB252" s="88" t="s">
        <v>458</v>
      </c>
      <c r="AC252" s="274" t="str">
        <f>I252&amp;" :: "&amp;K252</f>
        <v>канализационная сеть пр. Мира, 30, 39а :: г Калтан, пр. Мира, 30,39а</v>
      </c>
      <c r="AD252" s="274" t="s">
        <v>430</v>
      </c>
      <c r="AE252" s="274" t="s">
        <v>431</v>
      </c>
      <c r="AF252" s="405" t="s">
        <v>432</v>
      </c>
      <c r="AG252" s="405" t="s">
        <v>433</v>
      </c>
      <c r="AH252" s="2040" t="s">
        <v>434</v>
      </c>
      <c r="AI252" s="1459"/>
      <c r="AJ252" s="1459"/>
      <c r="AK252" s="1000" t="s">
        <v>424</v>
      </c>
      <c r="AL252" s="1000" t="s">
        <v>425</v>
      </c>
      <c r="AM252" s="1000" cm="1" t="str">
        <f t="array" ref="AM252:AM252">AC252</f>
        <v>канализационная сеть пр. Мира, 30, 39а :: г Калтан, пр. Мира, 30,39а</v>
      </c>
      <c r="AN252" s="1000" cm="1" t="str">
        <f t="array" ref="AN252:AN252">AD252</f>
        <v>концессионное соглашение</v>
      </c>
      <c r="AO252" s="1000" cm="1" t="str">
        <f t="array" ref="AO252:AO252">AE252</f>
        <v>акт приёма-передачи</v>
      </c>
      <c r="AP252" s="1000" cm="1" t="str">
        <f t="array" ref="AP252:AP252">AF252</f>
        <v>б/н</v>
      </c>
      <c r="AQ252" s="1000" cm="1" t="str">
        <f t="array" ref="AQ252:AQ252">AG252</f>
        <v>01.06.2026</v>
      </c>
      <c r="AR252" s="619"/>
      <c r="AS252" s="619" t="b">
        <v>1</v>
      </c>
    </row>
    <row s="1459" customFormat="1" customHeight="1" ht="23.25">
      <c r="A253" s="1459"/>
      <c r="B253" s="1459"/>
      <c r="C253" s="1459"/>
      <c r="D253" s="1459"/>
      <c r="E253" s="629">
        <v>15</v>
      </c>
      <c r="F253" s="104" cm="1" t="str">
        <f t="array" ref="F253:F253">OFFSET(G253,-1,-1)</f>
        <v>4</v>
      </c>
      <c r="G253" s="1459"/>
      <c r="H253" s="1459"/>
      <c r="I253" s="104" t="s">
        <v>1000</v>
      </c>
      <c r="J253" s="1459"/>
      <c r="K253" s="104" t="s">
        <v>1001</v>
      </c>
      <c r="L253" s="1459"/>
      <c r="M253" s="1459"/>
      <c r="N253" s="1459"/>
      <c r="O253" s="1459"/>
      <c r="P253" s="1459"/>
      <c r="Q253" s="1459"/>
      <c r="R253" s="1459"/>
      <c r="S253" s="1459"/>
      <c r="T253" s="1459"/>
      <c r="U253" s="465">
        <f>AND(F253&gt;0,AB253&gt;0)</f>
        <v>1</v>
      </c>
      <c r="V253" s="1459"/>
      <c r="W253" s="1459"/>
      <c r="X253" s="717"/>
      <c r="Y253" s="1459"/>
      <c r="Z253" s="1459"/>
      <c r="AA253" s="662" t="s">
        <v>175</v>
      </c>
      <c r="AB253" s="88" t="s">
        <v>461</v>
      </c>
      <c r="AC253" s="274" t="str">
        <f>I253&amp;" :: "&amp;K253</f>
        <v>канализационная сеть пр. Мира, 32,34 :: г Калтан, пр. Мира, 32, 34</v>
      </c>
      <c r="AD253" s="274" t="s">
        <v>430</v>
      </c>
      <c r="AE253" s="274" t="s">
        <v>431</v>
      </c>
      <c r="AF253" s="405" t="s">
        <v>432</v>
      </c>
      <c r="AG253" s="405" t="s">
        <v>433</v>
      </c>
      <c r="AH253" s="2040" t="s">
        <v>434</v>
      </c>
      <c r="AI253" s="1459"/>
      <c r="AJ253" s="1459"/>
      <c r="AK253" s="1000" t="s">
        <v>424</v>
      </c>
      <c r="AL253" s="1000" t="s">
        <v>425</v>
      </c>
      <c r="AM253" s="1000" cm="1" t="str">
        <f t="array" ref="AM253:AM253">AC253</f>
        <v>канализационная сеть пр. Мира, 32,34 :: г Калтан, пр. Мира, 32, 34</v>
      </c>
      <c r="AN253" s="1000" cm="1" t="str">
        <f t="array" ref="AN253:AN253">AD253</f>
        <v>концессионное соглашение</v>
      </c>
      <c r="AO253" s="1000" cm="1" t="str">
        <f t="array" ref="AO253:AO253">AE253</f>
        <v>акт приёма-передачи</v>
      </c>
      <c r="AP253" s="1000" cm="1" t="str">
        <f t="array" ref="AP253:AP253">AF253</f>
        <v>б/н</v>
      </c>
      <c r="AQ253" s="1000" cm="1" t="str">
        <f t="array" ref="AQ253:AQ253">AG253</f>
        <v>01.06.2026</v>
      </c>
      <c r="AR253" s="619"/>
      <c r="AS253" s="619" t="b">
        <v>1</v>
      </c>
    </row>
    <row s="1459" customFormat="1" customHeight="1" ht="23.25">
      <c r="A254" s="1459"/>
      <c r="B254" s="1459"/>
      <c r="C254" s="1459"/>
      <c r="D254" s="1459"/>
      <c r="E254" s="629">
        <v>15</v>
      </c>
      <c r="F254" s="104" cm="1" t="str">
        <f t="array" ref="F254:F254">OFFSET(G254,-1,-1)</f>
        <v>4</v>
      </c>
      <c r="G254" s="1459"/>
      <c r="H254" s="1459"/>
      <c r="I254" s="104" t="s">
        <v>1002</v>
      </c>
      <c r="J254" s="1459"/>
      <c r="K254" s="104" t="s">
        <v>1003</v>
      </c>
      <c r="L254" s="1459"/>
      <c r="M254" s="1459"/>
      <c r="N254" s="1459"/>
      <c r="O254" s="1459"/>
      <c r="P254" s="1459"/>
      <c r="Q254" s="1459"/>
      <c r="R254" s="1459"/>
      <c r="S254" s="1459"/>
      <c r="T254" s="1459"/>
      <c r="U254" s="465">
        <f>AND(F254&gt;0,AB254&gt;0)</f>
        <v>1</v>
      </c>
      <c r="V254" s="1459"/>
      <c r="W254" s="1459"/>
      <c r="X254" s="717"/>
      <c r="Y254" s="1459"/>
      <c r="Z254" s="1459"/>
      <c r="AA254" s="662" t="s">
        <v>175</v>
      </c>
      <c r="AB254" s="88" t="s">
        <v>463</v>
      </c>
      <c r="AC254" s="274" t="str">
        <f>I254&amp;" :: "&amp;K254</f>
        <v>канализационная сеть пр. Мира, 33, 35, 37 :: г Калтан, пр. Мира, 33, 35, 37</v>
      </c>
      <c r="AD254" s="274" t="s">
        <v>430</v>
      </c>
      <c r="AE254" s="274" t="s">
        <v>431</v>
      </c>
      <c r="AF254" s="405" t="s">
        <v>432</v>
      </c>
      <c r="AG254" s="405" t="s">
        <v>433</v>
      </c>
      <c r="AH254" s="2040" t="s">
        <v>434</v>
      </c>
      <c r="AI254" s="1459"/>
      <c r="AJ254" s="1459"/>
      <c r="AK254" s="1000" t="s">
        <v>424</v>
      </c>
      <c r="AL254" s="1000" t="s">
        <v>425</v>
      </c>
      <c r="AM254" s="1000" cm="1" t="str">
        <f t="array" ref="AM254:AM254">AC254</f>
        <v>канализационная сеть пр. Мира, 33, 35, 37 :: г Калтан, пр. Мира, 33, 35, 37</v>
      </c>
      <c r="AN254" s="1000" cm="1" t="str">
        <f t="array" ref="AN254:AN254">AD254</f>
        <v>концессионное соглашение</v>
      </c>
      <c r="AO254" s="1000" cm="1" t="str">
        <f t="array" ref="AO254:AO254">AE254</f>
        <v>акт приёма-передачи</v>
      </c>
      <c r="AP254" s="1000" cm="1" t="str">
        <f t="array" ref="AP254:AP254">AF254</f>
        <v>б/н</v>
      </c>
      <c r="AQ254" s="1000" cm="1" t="str">
        <f t="array" ref="AQ254:AQ254">AG254</f>
        <v>01.06.2026</v>
      </c>
      <c r="AR254" s="619"/>
      <c r="AS254" s="619" t="b">
        <v>1</v>
      </c>
    </row>
    <row s="1459" customFormat="1" customHeight="1" ht="23.25">
      <c r="A255" s="1459"/>
      <c r="B255" s="1459"/>
      <c r="C255" s="1459"/>
      <c r="D255" s="1459"/>
      <c r="E255" s="629">
        <v>15</v>
      </c>
      <c r="F255" s="104" cm="1" t="str">
        <f t="array" ref="F255:F255">OFFSET(G255,-1,-1)</f>
        <v>4</v>
      </c>
      <c r="G255" s="1459"/>
      <c r="H255" s="1459"/>
      <c r="I255" s="104" t="s">
        <v>1004</v>
      </c>
      <c r="J255" s="1459"/>
      <c r="K255" s="104" t="s">
        <v>1005</v>
      </c>
      <c r="L255" s="1459"/>
      <c r="M255" s="1459"/>
      <c r="N255" s="1459"/>
      <c r="O255" s="1459"/>
      <c r="P255" s="1459"/>
      <c r="Q255" s="1459"/>
      <c r="R255" s="1459"/>
      <c r="S255" s="1459"/>
      <c r="T255" s="1459"/>
      <c r="U255" s="465">
        <f>AND(F255&gt;0,AB255&gt;0)</f>
        <v>1</v>
      </c>
      <c r="V255" s="1459"/>
      <c r="W255" s="1459"/>
      <c r="X255" s="717"/>
      <c r="Y255" s="1459"/>
      <c r="Z255" s="1459"/>
      <c r="AA255" s="662" t="s">
        <v>175</v>
      </c>
      <c r="AB255" s="88" t="s">
        <v>465</v>
      </c>
      <c r="AC255" s="274" t="str">
        <f>I255&amp;" :: "&amp;K255</f>
        <v>канализационная сеть пр. Мира, 37а :: г Калтан, пр. Мира, 37а</v>
      </c>
      <c r="AD255" s="274" t="s">
        <v>430</v>
      </c>
      <c r="AE255" s="274" t="s">
        <v>431</v>
      </c>
      <c r="AF255" s="405" t="s">
        <v>432</v>
      </c>
      <c r="AG255" s="405" t="s">
        <v>433</v>
      </c>
      <c r="AH255" s="2040" t="s">
        <v>434</v>
      </c>
      <c r="AI255" s="1459"/>
      <c r="AJ255" s="1459"/>
      <c r="AK255" s="1000" t="s">
        <v>424</v>
      </c>
      <c r="AL255" s="1000" t="s">
        <v>425</v>
      </c>
      <c r="AM255" s="1000" cm="1" t="str">
        <f t="array" ref="AM255:AM255">AC255</f>
        <v>канализационная сеть пр. Мира, 37а :: г Калтан, пр. Мира, 37а</v>
      </c>
      <c r="AN255" s="1000" cm="1" t="str">
        <f t="array" ref="AN255:AN255">AD255</f>
        <v>концессионное соглашение</v>
      </c>
      <c r="AO255" s="1000" cm="1" t="str">
        <f t="array" ref="AO255:AO255">AE255</f>
        <v>акт приёма-передачи</v>
      </c>
      <c r="AP255" s="1000" cm="1" t="str">
        <f t="array" ref="AP255:AP255">AF255</f>
        <v>б/н</v>
      </c>
      <c r="AQ255" s="1000" cm="1" t="str">
        <f t="array" ref="AQ255:AQ255">AG255</f>
        <v>01.06.2026</v>
      </c>
      <c r="AR255" s="619"/>
      <c r="AS255" s="619" t="b">
        <v>1</v>
      </c>
    </row>
    <row s="1459" customFormat="1" customHeight="1" ht="23.25">
      <c r="A256" s="1459"/>
      <c r="B256" s="1459"/>
      <c r="C256" s="1459"/>
      <c r="D256" s="1459"/>
      <c r="E256" s="629">
        <v>15</v>
      </c>
      <c r="F256" s="104" cm="1" t="str">
        <f t="array" ref="F256:F256">OFFSET(G256,-1,-1)</f>
        <v>4</v>
      </c>
      <c r="G256" s="1459"/>
      <c r="H256" s="1459"/>
      <c r="I256" s="104" t="s">
        <v>1006</v>
      </c>
      <c r="J256" s="1459"/>
      <c r="K256" s="104" t="s">
        <v>1007</v>
      </c>
      <c r="L256" s="1459"/>
      <c r="M256" s="1459"/>
      <c r="N256" s="1459"/>
      <c r="O256" s="1459"/>
      <c r="P256" s="1459"/>
      <c r="Q256" s="1459"/>
      <c r="R256" s="1459"/>
      <c r="S256" s="1459"/>
      <c r="T256" s="1459"/>
      <c r="U256" s="465">
        <f>AND(F256&gt;0,AB256&gt;0)</f>
        <v>1</v>
      </c>
      <c r="V256" s="1459"/>
      <c r="W256" s="1459"/>
      <c r="X256" s="717"/>
      <c r="Y256" s="1459"/>
      <c r="Z256" s="1459"/>
      <c r="AA256" s="662" t="s">
        <v>175</v>
      </c>
      <c r="AB256" s="88" t="s">
        <v>467</v>
      </c>
      <c r="AC256" s="274" t="str">
        <f>I256&amp;" :: "&amp;K256</f>
        <v>канализационная сеть пр. Мира, 39б :: г Калтан, пр. Мира, 39б</v>
      </c>
      <c r="AD256" s="274" t="s">
        <v>430</v>
      </c>
      <c r="AE256" s="274" t="s">
        <v>431</v>
      </c>
      <c r="AF256" s="405" t="s">
        <v>432</v>
      </c>
      <c r="AG256" s="405" t="s">
        <v>433</v>
      </c>
      <c r="AH256" s="2040" t="s">
        <v>434</v>
      </c>
      <c r="AI256" s="1459"/>
      <c r="AJ256" s="1459"/>
      <c r="AK256" s="1000" t="s">
        <v>424</v>
      </c>
      <c r="AL256" s="1000" t="s">
        <v>425</v>
      </c>
      <c r="AM256" s="1000" cm="1" t="str">
        <f t="array" ref="AM256:AM256">AC256</f>
        <v>канализационная сеть пр. Мира, 39б :: г Калтан, пр. Мира, 39б</v>
      </c>
      <c r="AN256" s="1000" cm="1" t="str">
        <f t="array" ref="AN256:AN256">AD256</f>
        <v>концессионное соглашение</v>
      </c>
      <c r="AO256" s="1000" cm="1" t="str">
        <f t="array" ref="AO256:AO256">AE256</f>
        <v>акт приёма-передачи</v>
      </c>
      <c r="AP256" s="1000" cm="1" t="str">
        <f t="array" ref="AP256:AP256">AF256</f>
        <v>б/н</v>
      </c>
      <c r="AQ256" s="1000" cm="1" t="str">
        <f t="array" ref="AQ256:AQ256">AG256</f>
        <v>01.06.2026</v>
      </c>
      <c r="AR256" s="619"/>
      <c r="AS256" s="619" t="b">
        <v>1</v>
      </c>
    </row>
    <row s="1459" customFormat="1" customHeight="1" ht="23.25">
      <c r="A257" s="1459"/>
      <c r="B257" s="1459"/>
      <c r="C257" s="1459"/>
      <c r="D257" s="1459"/>
      <c r="E257" s="629">
        <v>15</v>
      </c>
      <c r="F257" s="104" cm="1" t="str">
        <f t="array" ref="F257:F257">OFFSET(G257,-1,-1)</f>
        <v>4</v>
      </c>
      <c r="G257" s="1459"/>
      <c r="H257" s="1459"/>
      <c r="I257" s="104" t="s">
        <v>1008</v>
      </c>
      <c r="J257" s="1459"/>
      <c r="K257" s="104" t="s">
        <v>1009</v>
      </c>
      <c r="L257" s="1459"/>
      <c r="M257" s="1459"/>
      <c r="N257" s="1459"/>
      <c r="O257" s="1459"/>
      <c r="P257" s="1459"/>
      <c r="Q257" s="1459"/>
      <c r="R257" s="1459"/>
      <c r="S257" s="1459"/>
      <c r="T257" s="1459"/>
      <c r="U257" s="465">
        <f>AND(F257&gt;0,AB257&gt;0)</f>
        <v>1</v>
      </c>
      <c r="V257" s="1459"/>
      <c r="W257" s="1459"/>
      <c r="X257" s="717"/>
      <c r="Y257" s="1459"/>
      <c r="Z257" s="1459"/>
      <c r="AA257" s="662" t="s">
        <v>175</v>
      </c>
      <c r="AB257" s="88" t="s">
        <v>341</v>
      </c>
      <c r="AC257" s="274" t="str">
        <f>I257&amp;" :: "&amp;K257</f>
        <v>канализационная сеть пр. Мира, 40,38,36 :: г Калтан, пр. Мира, 40,38,36</v>
      </c>
      <c r="AD257" s="274" t="s">
        <v>430</v>
      </c>
      <c r="AE257" s="274" t="s">
        <v>431</v>
      </c>
      <c r="AF257" s="405" t="s">
        <v>432</v>
      </c>
      <c r="AG257" s="405" t="s">
        <v>433</v>
      </c>
      <c r="AH257" s="2040" t="s">
        <v>434</v>
      </c>
      <c r="AI257" s="1459"/>
      <c r="AJ257" s="1459"/>
      <c r="AK257" s="1000" t="s">
        <v>424</v>
      </c>
      <c r="AL257" s="1000" t="s">
        <v>425</v>
      </c>
      <c r="AM257" s="1000" cm="1" t="str">
        <f t="array" ref="AM257:AM257">AC257</f>
        <v>канализационная сеть пр. Мира, 40,38,36 :: г Калтан, пр. Мира, 40,38,36</v>
      </c>
      <c r="AN257" s="1000" cm="1" t="str">
        <f t="array" ref="AN257:AN257">AD257</f>
        <v>концессионное соглашение</v>
      </c>
      <c r="AO257" s="1000" cm="1" t="str">
        <f t="array" ref="AO257:AO257">AE257</f>
        <v>акт приёма-передачи</v>
      </c>
      <c r="AP257" s="1000" cm="1" t="str">
        <f t="array" ref="AP257:AP257">AF257</f>
        <v>б/н</v>
      </c>
      <c r="AQ257" s="1000" cm="1" t="str">
        <f t="array" ref="AQ257:AQ257">AG257</f>
        <v>01.06.2026</v>
      </c>
      <c r="AR257" s="619"/>
      <c r="AS257" s="619" t="b">
        <v>1</v>
      </c>
    </row>
    <row s="1459" customFormat="1" customHeight="1" ht="23.25">
      <c r="A258" s="1459"/>
      <c r="B258" s="1459"/>
      <c r="C258" s="1459"/>
      <c r="D258" s="1459"/>
      <c r="E258" s="629">
        <v>15</v>
      </c>
      <c r="F258" s="104" cm="1" t="str">
        <f t="array" ref="F258:F258">OFFSET(G258,-1,-1)</f>
        <v>4</v>
      </c>
      <c r="G258" s="1459"/>
      <c r="H258" s="1459"/>
      <c r="I258" s="104" t="s">
        <v>1010</v>
      </c>
      <c r="J258" s="1459"/>
      <c r="K258" s="104" t="s">
        <v>1011</v>
      </c>
      <c r="L258" s="1459"/>
      <c r="M258" s="1459"/>
      <c r="N258" s="1459"/>
      <c r="O258" s="1459"/>
      <c r="P258" s="1459"/>
      <c r="Q258" s="1459"/>
      <c r="R258" s="1459"/>
      <c r="S258" s="1459"/>
      <c r="T258" s="1459"/>
      <c r="U258" s="465">
        <f>AND(F258&gt;0,AB258&gt;0)</f>
        <v>1</v>
      </c>
      <c r="V258" s="1459"/>
      <c r="W258" s="1459"/>
      <c r="X258" s="717"/>
      <c r="Y258" s="1459"/>
      <c r="Z258" s="1459"/>
      <c r="AA258" s="662" t="s">
        <v>175</v>
      </c>
      <c r="AB258" s="88" t="s">
        <v>502</v>
      </c>
      <c r="AC258" s="274" t="str">
        <f>I258&amp;" :: "&amp;K258</f>
        <v>канализационная сеть пр. Мира, 41а,39,41,43 :: г Калтан, пр. Мира, 41а,39,41,43</v>
      </c>
      <c r="AD258" s="274" t="s">
        <v>430</v>
      </c>
      <c r="AE258" s="274" t="s">
        <v>431</v>
      </c>
      <c r="AF258" s="405" t="s">
        <v>432</v>
      </c>
      <c r="AG258" s="405" t="s">
        <v>433</v>
      </c>
      <c r="AH258" s="2040" t="s">
        <v>434</v>
      </c>
      <c r="AI258" s="1459"/>
      <c r="AJ258" s="1459"/>
      <c r="AK258" s="1000" t="s">
        <v>424</v>
      </c>
      <c r="AL258" s="1000" t="s">
        <v>425</v>
      </c>
      <c r="AM258" s="1000" cm="1" t="str">
        <f t="array" ref="AM258:AM258">AC258</f>
        <v>канализационная сеть пр. Мира, 41а,39,41,43 :: г Калтан, пр. Мира, 41а,39,41,43</v>
      </c>
      <c r="AN258" s="1000" cm="1" t="str">
        <f t="array" ref="AN258:AN258">AD258</f>
        <v>концессионное соглашение</v>
      </c>
      <c r="AO258" s="1000" cm="1" t="str">
        <f t="array" ref="AO258:AO258">AE258</f>
        <v>акт приёма-передачи</v>
      </c>
      <c r="AP258" s="1000" cm="1" t="str">
        <f t="array" ref="AP258:AP258">AF258</f>
        <v>б/н</v>
      </c>
      <c r="AQ258" s="1000" cm="1" t="str">
        <f t="array" ref="AQ258:AQ258">AG258</f>
        <v>01.06.2026</v>
      </c>
      <c r="AR258" s="619"/>
      <c r="AS258" s="619" t="b">
        <v>1</v>
      </c>
    </row>
    <row s="1459" customFormat="1" customHeight="1" ht="23.25">
      <c r="A259" s="1459"/>
      <c r="B259" s="1459"/>
      <c r="C259" s="1459"/>
      <c r="D259" s="1459"/>
      <c r="E259" s="629">
        <v>15</v>
      </c>
      <c r="F259" s="104" cm="1" t="str">
        <f t="array" ref="F259:F259">OFFSET(G259,-1,-1)</f>
        <v>4</v>
      </c>
      <c r="G259" s="1459"/>
      <c r="H259" s="1459"/>
      <c r="I259" s="104" t="s">
        <v>1012</v>
      </c>
      <c r="J259" s="1459"/>
      <c r="K259" s="104" t="s">
        <v>1013</v>
      </c>
      <c r="L259" s="1459"/>
      <c r="M259" s="1459"/>
      <c r="N259" s="1459"/>
      <c r="O259" s="1459"/>
      <c r="P259" s="1459"/>
      <c r="Q259" s="1459"/>
      <c r="R259" s="1459"/>
      <c r="S259" s="1459"/>
      <c r="T259" s="1459"/>
      <c r="U259" s="465">
        <f>AND(F259&gt;0,AB259&gt;0)</f>
        <v>1</v>
      </c>
      <c r="V259" s="1459"/>
      <c r="W259" s="1459"/>
      <c r="X259" s="717"/>
      <c r="Y259" s="1459"/>
      <c r="Z259" s="1459"/>
      <c r="AA259" s="662" t="s">
        <v>175</v>
      </c>
      <c r="AB259" s="88" t="s">
        <v>505</v>
      </c>
      <c r="AC259" s="274" t="str">
        <f>I259&amp;" :: "&amp;K259</f>
        <v>канализационная сеть пр. Мира, 42,44 :: г Калтан, пр. Мира, 42,44</v>
      </c>
      <c r="AD259" s="274" t="s">
        <v>430</v>
      </c>
      <c r="AE259" s="274" t="s">
        <v>431</v>
      </c>
      <c r="AF259" s="405" t="s">
        <v>432</v>
      </c>
      <c r="AG259" s="405" t="s">
        <v>433</v>
      </c>
      <c r="AH259" s="2040" t="s">
        <v>434</v>
      </c>
      <c r="AI259" s="1459"/>
      <c r="AJ259" s="1459"/>
      <c r="AK259" s="1000" t="s">
        <v>424</v>
      </c>
      <c r="AL259" s="1000" t="s">
        <v>425</v>
      </c>
      <c r="AM259" s="1000" cm="1" t="str">
        <f t="array" ref="AM259:AM259">AC259</f>
        <v>канализационная сеть пр. Мира, 42,44 :: г Калтан, пр. Мира, 42,44</v>
      </c>
      <c r="AN259" s="1000" cm="1" t="str">
        <f t="array" ref="AN259:AN259">AD259</f>
        <v>концессионное соглашение</v>
      </c>
      <c r="AO259" s="1000" cm="1" t="str">
        <f t="array" ref="AO259:AO259">AE259</f>
        <v>акт приёма-передачи</v>
      </c>
      <c r="AP259" s="1000" cm="1" t="str">
        <f t="array" ref="AP259:AP259">AF259</f>
        <v>б/н</v>
      </c>
      <c r="AQ259" s="1000" cm="1" t="str">
        <f t="array" ref="AQ259:AQ259">AG259</f>
        <v>01.06.2026</v>
      </c>
      <c r="AR259" s="619"/>
      <c r="AS259" s="619" t="b">
        <v>1</v>
      </c>
    </row>
    <row s="1459" customFormat="1" customHeight="1" ht="23.25">
      <c r="A260" s="1459"/>
      <c r="B260" s="1459"/>
      <c r="C260" s="1459"/>
      <c r="D260" s="1459"/>
      <c r="E260" s="629">
        <v>15</v>
      </c>
      <c r="F260" s="104" cm="1" t="str">
        <f t="array" ref="F260:F260">OFFSET(G260,-1,-1)</f>
        <v>4</v>
      </c>
      <c r="G260" s="1459"/>
      <c r="H260" s="1459"/>
      <c r="I260" s="104" t="s">
        <v>1014</v>
      </c>
      <c r="J260" s="1459"/>
      <c r="K260" s="104" t="s">
        <v>1015</v>
      </c>
      <c r="L260" s="1459"/>
      <c r="M260" s="1459"/>
      <c r="N260" s="1459"/>
      <c r="O260" s="1459"/>
      <c r="P260" s="1459"/>
      <c r="Q260" s="1459"/>
      <c r="R260" s="1459"/>
      <c r="S260" s="1459"/>
      <c r="T260" s="1459"/>
      <c r="U260" s="465">
        <f>AND(F260&gt;0,AB260&gt;0)</f>
        <v>1</v>
      </c>
      <c r="V260" s="1459"/>
      <c r="W260" s="1459"/>
      <c r="X260" s="717"/>
      <c r="Y260" s="1459"/>
      <c r="Z260" s="1459"/>
      <c r="AA260" s="662" t="s">
        <v>175</v>
      </c>
      <c r="AB260" s="88" t="s">
        <v>508</v>
      </c>
      <c r="AC260" s="274" t="str">
        <f>I260&amp;" :: "&amp;K260</f>
        <v>канализационная сеть пр. Мира, 43а :: г Калтан, пр. Мира, 43а</v>
      </c>
      <c r="AD260" s="274" t="s">
        <v>430</v>
      </c>
      <c r="AE260" s="274" t="s">
        <v>431</v>
      </c>
      <c r="AF260" s="405" t="s">
        <v>432</v>
      </c>
      <c r="AG260" s="405" t="s">
        <v>433</v>
      </c>
      <c r="AH260" s="2040" t="s">
        <v>434</v>
      </c>
      <c r="AI260" s="1459"/>
      <c r="AJ260" s="1459"/>
      <c r="AK260" s="1000" t="s">
        <v>424</v>
      </c>
      <c r="AL260" s="1000" t="s">
        <v>425</v>
      </c>
      <c r="AM260" s="1000" cm="1" t="str">
        <f t="array" ref="AM260:AM260">AC260</f>
        <v>канализационная сеть пр. Мира, 43а :: г Калтан, пр. Мира, 43а</v>
      </c>
      <c r="AN260" s="1000" cm="1" t="str">
        <f t="array" ref="AN260:AN260">AD260</f>
        <v>концессионное соглашение</v>
      </c>
      <c r="AO260" s="1000" cm="1" t="str">
        <f t="array" ref="AO260:AO260">AE260</f>
        <v>акт приёма-передачи</v>
      </c>
      <c r="AP260" s="1000" cm="1" t="str">
        <f t="array" ref="AP260:AP260">AF260</f>
        <v>б/н</v>
      </c>
      <c r="AQ260" s="1000" cm="1" t="str">
        <f t="array" ref="AQ260:AQ260">AG260</f>
        <v>01.06.2026</v>
      </c>
      <c r="AR260" s="619"/>
      <c r="AS260" s="619" t="b">
        <v>1</v>
      </c>
    </row>
    <row s="1459" customFormat="1" customHeight="1" ht="23.25">
      <c r="A261" s="1459"/>
      <c r="B261" s="1459"/>
      <c r="C261" s="1459"/>
      <c r="D261" s="1459"/>
      <c r="E261" s="629">
        <v>15</v>
      </c>
      <c r="F261" s="104" cm="1" t="str">
        <f t="array" ref="F261:F261">OFFSET(G261,-1,-1)</f>
        <v>4</v>
      </c>
      <c r="G261" s="1459"/>
      <c r="H261" s="1459"/>
      <c r="I261" s="104" t="s">
        <v>1016</v>
      </c>
      <c r="J261" s="1459"/>
      <c r="K261" s="104" t="s">
        <v>1017</v>
      </c>
      <c r="L261" s="1459"/>
      <c r="M261" s="1459"/>
      <c r="N261" s="1459"/>
      <c r="O261" s="1459"/>
      <c r="P261" s="1459"/>
      <c r="Q261" s="1459"/>
      <c r="R261" s="1459"/>
      <c r="S261" s="1459"/>
      <c r="T261" s="1459"/>
      <c r="U261" s="465">
        <f>AND(F261&gt;0,AB261&gt;0)</f>
        <v>1</v>
      </c>
      <c r="V261" s="1459"/>
      <c r="W261" s="1459"/>
      <c r="X261" s="717"/>
      <c r="Y261" s="1459"/>
      <c r="Z261" s="1459"/>
      <c r="AA261" s="662" t="s">
        <v>175</v>
      </c>
      <c r="AB261" s="88" t="s">
        <v>511</v>
      </c>
      <c r="AC261" s="274" t="str">
        <f>I261&amp;" :: "&amp;K261</f>
        <v>канализационная сеть пр. Мира, 45а, 45,47,49 :: г Калтан, пр. Мира, 45а, 45,47,49</v>
      </c>
      <c r="AD261" s="274" t="s">
        <v>430</v>
      </c>
      <c r="AE261" s="274" t="s">
        <v>431</v>
      </c>
      <c r="AF261" s="405" t="s">
        <v>432</v>
      </c>
      <c r="AG261" s="405" t="s">
        <v>433</v>
      </c>
      <c r="AH261" s="2040" t="s">
        <v>434</v>
      </c>
      <c r="AI261" s="1459"/>
      <c r="AJ261" s="1459"/>
      <c r="AK261" s="1000" t="s">
        <v>424</v>
      </c>
      <c r="AL261" s="1000" t="s">
        <v>425</v>
      </c>
      <c r="AM261" s="1000" cm="1" t="str">
        <f t="array" ref="AM261:AM261">AC261</f>
        <v>канализационная сеть пр. Мира, 45а, 45,47,49 :: г Калтан, пр. Мира, 45а, 45,47,49</v>
      </c>
      <c r="AN261" s="1000" cm="1" t="str">
        <f t="array" ref="AN261:AN261">AD261</f>
        <v>концессионное соглашение</v>
      </c>
      <c r="AO261" s="1000" cm="1" t="str">
        <f t="array" ref="AO261:AO261">AE261</f>
        <v>акт приёма-передачи</v>
      </c>
      <c r="AP261" s="1000" cm="1" t="str">
        <f t="array" ref="AP261:AP261">AF261</f>
        <v>б/н</v>
      </c>
      <c r="AQ261" s="1000" cm="1" t="str">
        <f t="array" ref="AQ261:AQ261">AG261</f>
        <v>01.06.2026</v>
      </c>
      <c r="AR261" s="619"/>
      <c r="AS261" s="619" t="b">
        <v>1</v>
      </c>
    </row>
    <row s="1459" customFormat="1" customHeight="1" ht="23.25">
      <c r="A262" s="1459"/>
      <c r="B262" s="1459"/>
      <c r="C262" s="1459"/>
      <c r="D262" s="1459"/>
      <c r="E262" s="629">
        <v>15</v>
      </c>
      <c r="F262" s="104" cm="1" t="str">
        <f t="array" ref="F262:F262">OFFSET(G262,-1,-1)</f>
        <v>4</v>
      </c>
      <c r="G262" s="1459"/>
      <c r="H262" s="1459"/>
      <c r="I262" s="104" t="s">
        <v>1018</v>
      </c>
      <c r="J262" s="1459"/>
      <c r="K262" s="104" t="s">
        <v>1019</v>
      </c>
      <c r="L262" s="1459"/>
      <c r="M262" s="1459"/>
      <c r="N262" s="1459"/>
      <c r="O262" s="1459"/>
      <c r="P262" s="1459"/>
      <c r="Q262" s="1459"/>
      <c r="R262" s="1459"/>
      <c r="S262" s="1459"/>
      <c r="T262" s="1459"/>
      <c r="U262" s="465">
        <f>AND(F262&gt;0,AB262&gt;0)</f>
        <v>1</v>
      </c>
      <c r="V262" s="1459"/>
      <c r="W262" s="1459"/>
      <c r="X262" s="717"/>
      <c r="Y262" s="1459"/>
      <c r="Z262" s="1459"/>
      <c r="AA262" s="662" t="s">
        <v>175</v>
      </c>
      <c r="AB262" s="88" t="s">
        <v>514</v>
      </c>
      <c r="AC262" s="274" t="str">
        <f>I262&amp;" :: "&amp;K262</f>
        <v>канализационная сеть пр. Мира, 46,48 :: г Калтан, пр. Мира, 46,48</v>
      </c>
      <c r="AD262" s="274" t="s">
        <v>430</v>
      </c>
      <c r="AE262" s="274" t="s">
        <v>431</v>
      </c>
      <c r="AF262" s="405" t="s">
        <v>432</v>
      </c>
      <c r="AG262" s="405" t="s">
        <v>433</v>
      </c>
      <c r="AH262" s="2040" t="s">
        <v>434</v>
      </c>
      <c r="AI262" s="1459"/>
      <c r="AJ262" s="1459"/>
      <c r="AK262" s="1000" t="s">
        <v>424</v>
      </c>
      <c r="AL262" s="1000" t="s">
        <v>425</v>
      </c>
      <c r="AM262" s="1000" cm="1" t="str">
        <f t="array" ref="AM262:AM262">AC262</f>
        <v>канализационная сеть пр. Мира, 46,48 :: г Калтан, пр. Мира, 46,48</v>
      </c>
      <c r="AN262" s="1000" cm="1" t="str">
        <f t="array" ref="AN262:AN262">AD262</f>
        <v>концессионное соглашение</v>
      </c>
      <c r="AO262" s="1000" cm="1" t="str">
        <f t="array" ref="AO262:AO262">AE262</f>
        <v>акт приёма-передачи</v>
      </c>
      <c r="AP262" s="1000" cm="1" t="str">
        <f t="array" ref="AP262:AP262">AF262</f>
        <v>б/н</v>
      </c>
      <c r="AQ262" s="1000" cm="1" t="str">
        <f t="array" ref="AQ262:AQ262">AG262</f>
        <v>01.06.2026</v>
      </c>
      <c r="AR262" s="619"/>
      <c r="AS262" s="619" t="b">
        <v>1</v>
      </c>
    </row>
    <row s="1459" customFormat="1" customHeight="1" ht="23.25">
      <c r="A263" s="1459"/>
      <c r="B263" s="1459"/>
      <c r="C263" s="1459"/>
      <c r="D263" s="1459"/>
      <c r="E263" s="629">
        <v>15</v>
      </c>
      <c r="F263" s="104" cm="1" t="str">
        <f t="array" ref="F263:F263">OFFSET(G263,-1,-1)</f>
        <v>4</v>
      </c>
      <c r="G263" s="1459"/>
      <c r="H263" s="1459"/>
      <c r="I263" s="104" t="s">
        <v>1020</v>
      </c>
      <c r="J263" s="1459"/>
      <c r="K263" s="104" t="s">
        <v>1021</v>
      </c>
      <c r="L263" s="1459"/>
      <c r="M263" s="1459"/>
      <c r="N263" s="1459"/>
      <c r="O263" s="1459"/>
      <c r="P263" s="1459"/>
      <c r="Q263" s="1459"/>
      <c r="R263" s="1459"/>
      <c r="S263" s="1459"/>
      <c r="T263" s="1459"/>
      <c r="U263" s="465">
        <f>AND(F263&gt;0,AB263&gt;0)</f>
        <v>1</v>
      </c>
      <c r="V263" s="1459"/>
      <c r="W263" s="1459"/>
      <c r="X263" s="717"/>
      <c r="Y263" s="1459"/>
      <c r="Z263" s="1459"/>
      <c r="AA263" s="662" t="s">
        <v>175</v>
      </c>
      <c r="AB263" s="88" t="s">
        <v>517</v>
      </c>
      <c r="AC263" s="274" t="str">
        <f>I263&amp;" :: "&amp;K263</f>
        <v>канализационная сеть пр. Мира, 51 :: г Калтан, пр. Мира, 51</v>
      </c>
      <c r="AD263" s="274" t="s">
        <v>430</v>
      </c>
      <c r="AE263" s="274" t="s">
        <v>431</v>
      </c>
      <c r="AF263" s="405" t="s">
        <v>432</v>
      </c>
      <c r="AG263" s="405" t="s">
        <v>433</v>
      </c>
      <c r="AH263" s="2040" t="s">
        <v>434</v>
      </c>
      <c r="AI263" s="1459"/>
      <c r="AJ263" s="1459"/>
      <c r="AK263" s="1000" t="s">
        <v>424</v>
      </c>
      <c r="AL263" s="1000" t="s">
        <v>425</v>
      </c>
      <c r="AM263" s="1000" cm="1" t="str">
        <f t="array" ref="AM263:AM263">AC263</f>
        <v>канализационная сеть пр. Мира, 51 :: г Калтан, пр. Мира, 51</v>
      </c>
      <c r="AN263" s="1000" cm="1" t="str">
        <f t="array" ref="AN263:AN263">AD263</f>
        <v>концессионное соглашение</v>
      </c>
      <c r="AO263" s="1000" cm="1" t="str">
        <f t="array" ref="AO263:AO263">AE263</f>
        <v>акт приёма-передачи</v>
      </c>
      <c r="AP263" s="1000" cm="1" t="str">
        <f t="array" ref="AP263:AP263">AF263</f>
        <v>б/н</v>
      </c>
      <c r="AQ263" s="1000" cm="1" t="str">
        <f t="array" ref="AQ263:AQ263">AG263</f>
        <v>01.06.2026</v>
      </c>
      <c r="AR263" s="619"/>
      <c r="AS263" s="619" t="b">
        <v>1</v>
      </c>
    </row>
    <row s="1459" customFormat="1" customHeight="1" ht="23.25">
      <c r="A264" s="1459"/>
      <c r="B264" s="1459"/>
      <c r="C264" s="1459"/>
      <c r="D264" s="1459"/>
      <c r="E264" s="629">
        <v>15</v>
      </c>
      <c r="F264" s="104" cm="1" t="str">
        <f t="array" ref="F264:F264">OFFSET(G264,-1,-1)</f>
        <v>4</v>
      </c>
      <c r="G264" s="1459"/>
      <c r="H264" s="1459"/>
      <c r="I264" s="104" t="s">
        <v>1022</v>
      </c>
      <c r="J264" s="1459"/>
      <c r="K264" s="104" t="s">
        <v>1023</v>
      </c>
      <c r="L264" s="1459"/>
      <c r="M264" s="1459"/>
      <c r="N264" s="1459"/>
      <c r="O264" s="1459"/>
      <c r="P264" s="1459"/>
      <c r="Q264" s="1459"/>
      <c r="R264" s="1459"/>
      <c r="S264" s="1459"/>
      <c r="T264" s="1459"/>
      <c r="U264" s="465">
        <f>AND(F264&gt;0,AB264&gt;0)</f>
        <v>1</v>
      </c>
      <c r="V264" s="1459"/>
      <c r="W264" s="1459"/>
      <c r="X264" s="717"/>
      <c r="Y264" s="1459"/>
      <c r="Z264" s="1459"/>
      <c r="AA264" s="662" t="s">
        <v>175</v>
      </c>
      <c r="AB264" s="88" t="s">
        <v>520</v>
      </c>
      <c r="AC264" s="274" t="str">
        <f>I264&amp;" :: "&amp;K264</f>
        <v>канализационная сеть пр. Мира, 63, 61,59,55,57 :: г Калтан, пр. Мира, 63,61,59,55,57</v>
      </c>
      <c r="AD264" s="274" t="s">
        <v>430</v>
      </c>
      <c r="AE264" s="274" t="s">
        <v>431</v>
      </c>
      <c r="AF264" s="405" t="s">
        <v>432</v>
      </c>
      <c r="AG264" s="405" t="s">
        <v>433</v>
      </c>
      <c r="AH264" s="2040" t="s">
        <v>434</v>
      </c>
      <c r="AI264" s="1459"/>
      <c r="AJ264" s="1459"/>
      <c r="AK264" s="1000" t="s">
        <v>424</v>
      </c>
      <c r="AL264" s="1000" t="s">
        <v>425</v>
      </c>
      <c r="AM264" s="1000" cm="1" t="str">
        <f t="array" ref="AM264:AM264">AC264</f>
        <v>канализационная сеть пр. Мира, 63, 61,59,55,57 :: г Калтан, пр. Мира, 63,61,59,55,57</v>
      </c>
      <c r="AN264" s="1000" cm="1" t="str">
        <f t="array" ref="AN264:AN264">AD264</f>
        <v>концессионное соглашение</v>
      </c>
      <c r="AO264" s="1000" cm="1" t="str">
        <f t="array" ref="AO264:AO264">AE264</f>
        <v>акт приёма-передачи</v>
      </c>
      <c r="AP264" s="1000" cm="1" t="str">
        <f t="array" ref="AP264:AP264">AF264</f>
        <v>б/н</v>
      </c>
      <c r="AQ264" s="1000" cm="1" t="str">
        <f t="array" ref="AQ264:AQ264">AG264</f>
        <v>01.06.2026</v>
      </c>
      <c r="AR264" s="619"/>
      <c r="AS264" s="619" t="b">
        <v>1</v>
      </c>
    </row>
    <row s="1459" customFormat="1" customHeight="1" ht="23.25">
      <c r="A265" s="1459"/>
      <c r="B265" s="1459"/>
      <c r="C265" s="1459"/>
      <c r="D265" s="1459"/>
      <c r="E265" s="629">
        <v>15</v>
      </c>
      <c r="F265" s="104" cm="1" t="str">
        <f t="array" ref="F265:F265">OFFSET(G265,-1,-1)</f>
        <v>4</v>
      </c>
      <c r="G265" s="1459"/>
      <c r="H265" s="1459"/>
      <c r="I265" s="104" t="s">
        <v>1024</v>
      </c>
      <c r="J265" s="1459"/>
      <c r="K265" s="104" t="s">
        <v>1025</v>
      </c>
      <c r="L265" s="1459"/>
      <c r="M265" s="1459"/>
      <c r="N265" s="1459"/>
      <c r="O265" s="1459"/>
      <c r="P265" s="1459"/>
      <c r="Q265" s="1459"/>
      <c r="R265" s="1459"/>
      <c r="S265" s="1459"/>
      <c r="T265" s="1459"/>
      <c r="U265" s="465">
        <f>AND(F265&gt;0,AB265&gt;0)</f>
        <v>1</v>
      </c>
      <c r="V265" s="1459"/>
      <c r="W265" s="1459"/>
      <c r="X265" s="717"/>
      <c r="Y265" s="1459"/>
      <c r="Z265" s="1459"/>
      <c r="AA265" s="662" t="s">
        <v>175</v>
      </c>
      <c r="AB265" s="88" t="s">
        <v>523</v>
      </c>
      <c r="AC265" s="274" t="str">
        <f>I265&amp;" :: "&amp;K265</f>
        <v>канализационная сеть пр. Мира, 65, 65а :: г Калтан, пр. Мира, 65, 65а</v>
      </c>
      <c r="AD265" s="274" t="s">
        <v>430</v>
      </c>
      <c r="AE265" s="274" t="s">
        <v>431</v>
      </c>
      <c r="AF265" s="405" t="s">
        <v>432</v>
      </c>
      <c r="AG265" s="405" t="s">
        <v>433</v>
      </c>
      <c r="AH265" s="2040" t="s">
        <v>434</v>
      </c>
      <c r="AI265" s="1459"/>
      <c r="AJ265" s="1459"/>
      <c r="AK265" s="1000" t="s">
        <v>424</v>
      </c>
      <c r="AL265" s="1000" t="s">
        <v>425</v>
      </c>
      <c r="AM265" s="1000" cm="1" t="str">
        <f t="array" ref="AM265:AM265">AC265</f>
        <v>канализационная сеть пр. Мира, 65, 65а :: г Калтан, пр. Мира, 65, 65а</v>
      </c>
      <c r="AN265" s="1000" cm="1" t="str">
        <f t="array" ref="AN265:AN265">AD265</f>
        <v>концессионное соглашение</v>
      </c>
      <c r="AO265" s="1000" cm="1" t="str">
        <f t="array" ref="AO265:AO265">AE265</f>
        <v>акт приёма-передачи</v>
      </c>
      <c r="AP265" s="1000" cm="1" t="str">
        <f t="array" ref="AP265:AP265">AF265</f>
        <v>б/н</v>
      </c>
      <c r="AQ265" s="1000" cm="1" t="str">
        <f t="array" ref="AQ265:AQ265">AG265</f>
        <v>01.06.2026</v>
      </c>
      <c r="AR265" s="619"/>
      <c r="AS265" s="619" t="b">
        <v>1</v>
      </c>
    </row>
    <row s="1459" customFormat="1" customHeight="1" ht="23.25">
      <c r="A266" s="1459"/>
      <c r="B266" s="1459"/>
      <c r="C266" s="1459"/>
      <c r="D266" s="1459"/>
      <c r="E266" s="629">
        <v>15</v>
      </c>
      <c r="F266" s="104" cm="1" t="str">
        <f t="array" ref="F266:F266">OFFSET(G266,-1,-1)</f>
        <v>4</v>
      </c>
      <c r="G266" s="1459"/>
      <c r="H266" s="1459"/>
      <c r="I266" s="104" t="s">
        <v>1026</v>
      </c>
      <c r="J266" s="1459"/>
      <c r="K266" s="104" t="s">
        <v>1027</v>
      </c>
      <c r="L266" s="1459"/>
      <c r="M266" s="1459"/>
      <c r="N266" s="1459"/>
      <c r="O266" s="1459"/>
      <c r="P266" s="1459"/>
      <c r="Q266" s="1459"/>
      <c r="R266" s="1459"/>
      <c r="S266" s="1459"/>
      <c r="T266" s="1459"/>
      <c r="U266" s="465">
        <f>AND(F266&gt;0,AB266&gt;0)</f>
        <v>1</v>
      </c>
      <c r="V266" s="1459"/>
      <c r="W266" s="1459"/>
      <c r="X266" s="717"/>
      <c r="Y266" s="1459"/>
      <c r="Z266" s="1459"/>
      <c r="AA266" s="662" t="s">
        <v>175</v>
      </c>
      <c r="AB266" s="88" t="s">
        <v>526</v>
      </c>
      <c r="AC266" s="274" t="str">
        <f>I266&amp;" :: "&amp;K266</f>
        <v>канализационная сеть пр. Мира, 34 - ул. Комсомольская, 63 :: г Калтан, пр. Мира, ул. Комсомольская, -</v>
      </c>
      <c r="AD266" s="274" t="s">
        <v>430</v>
      </c>
      <c r="AE266" s="274" t="s">
        <v>431</v>
      </c>
      <c r="AF266" s="405" t="s">
        <v>432</v>
      </c>
      <c r="AG266" s="405" t="s">
        <v>433</v>
      </c>
      <c r="AH266" s="2040" t="s">
        <v>434</v>
      </c>
      <c r="AI266" s="1459"/>
      <c r="AJ266" s="1459"/>
      <c r="AK266" s="1000" t="s">
        <v>424</v>
      </c>
      <c r="AL266" s="1000" t="s">
        <v>425</v>
      </c>
      <c r="AM266" s="1000" cm="1" t="str">
        <f t="array" ref="AM266:AM266">AC266</f>
        <v>канализационная сеть пр. Мира, 34 - ул. Комсомольская, 63 :: г Калтан, пр. Мира, ул. Комсомольская, -</v>
      </c>
      <c r="AN266" s="1000" cm="1" t="str">
        <f t="array" ref="AN266:AN266">AD266</f>
        <v>концессионное соглашение</v>
      </c>
      <c r="AO266" s="1000" cm="1" t="str">
        <f t="array" ref="AO266:AO266">AE266</f>
        <v>акт приёма-передачи</v>
      </c>
      <c r="AP266" s="1000" cm="1" t="str">
        <f t="array" ref="AP266:AP266">AF266</f>
        <v>б/н</v>
      </c>
      <c r="AQ266" s="1000" cm="1" t="str">
        <f t="array" ref="AQ266:AQ266">AG266</f>
        <v>01.06.2026</v>
      </c>
      <c r="AR266" s="619"/>
      <c r="AS266" s="619" t="b">
        <v>1</v>
      </c>
    </row>
    <row s="1459" customFormat="1" customHeight="1" ht="23.25">
      <c r="A267" s="1459"/>
      <c r="B267" s="1459"/>
      <c r="C267" s="1459"/>
      <c r="D267" s="1459"/>
      <c r="E267" s="629">
        <v>15</v>
      </c>
      <c r="F267" s="104" cm="1" t="str">
        <f t="array" ref="F267:F267">OFFSET(G267,-1,-1)</f>
        <v>4</v>
      </c>
      <c r="G267" s="1459"/>
      <c r="H267" s="1459"/>
      <c r="I267" s="104" t="s">
        <v>1028</v>
      </c>
      <c r="J267" s="1459"/>
      <c r="K267" s="104" t="s">
        <v>1029</v>
      </c>
      <c r="L267" s="1459"/>
      <c r="M267" s="1459"/>
      <c r="N267" s="1459"/>
      <c r="O267" s="1459"/>
      <c r="P267" s="1459"/>
      <c r="Q267" s="1459"/>
      <c r="R267" s="1459"/>
      <c r="S267" s="1459"/>
      <c r="T267" s="1459"/>
      <c r="U267" s="465">
        <f>AND(F267&gt;0,AB267&gt;0)</f>
        <v>1</v>
      </c>
      <c r="V267" s="1459"/>
      <c r="W267" s="1459"/>
      <c r="X267" s="717"/>
      <c r="Y267" s="1459"/>
      <c r="Z267" s="1459"/>
      <c r="AA267" s="662" t="s">
        <v>175</v>
      </c>
      <c r="AB267" s="88" t="s">
        <v>529</v>
      </c>
      <c r="AC267" s="274" t="str">
        <f>I267&amp;" :: "&amp;K267</f>
        <v>канализационная сеть ул. Базарная, 9-11 :: г Калтан, ул. Базарная, 9-11</v>
      </c>
      <c r="AD267" s="274" t="s">
        <v>430</v>
      </c>
      <c r="AE267" s="274" t="s">
        <v>431</v>
      </c>
      <c r="AF267" s="405" t="s">
        <v>432</v>
      </c>
      <c r="AG267" s="405" t="s">
        <v>433</v>
      </c>
      <c r="AH267" s="2040" t="s">
        <v>434</v>
      </c>
      <c r="AI267" s="1459"/>
      <c r="AJ267" s="1459"/>
      <c r="AK267" s="1000" t="s">
        <v>424</v>
      </c>
      <c r="AL267" s="1000" t="s">
        <v>425</v>
      </c>
      <c r="AM267" s="1000" cm="1" t="str">
        <f t="array" ref="AM267:AM267">AC267</f>
        <v>канализационная сеть ул. Базарная, 9-11 :: г Калтан, ул. Базарная, 9-11</v>
      </c>
      <c r="AN267" s="1000" cm="1" t="str">
        <f t="array" ref="AN267:AN267">AD267</f>
        <v>концессионное соглашение</v>
      </c>
      <c r="AO267" s="1000" cm="1" t="str">
        <f t="array" ref="AO267:AO267">AE267</f>
        <v>акт приёма-передачи</v>
      </c>
      <c r="AP267" s="1000" cm="1" t="str">
        <f t="array" ref="AP267:AP267">AF267</f>
        <v>б/н</v>
      </c>
      <c r="AQ267" s="1000" cm="1" t="str">
        <f t="array" ref="AQ267:AQ267">AG267</f>
        <v>01.06.2026</v>
      </c>
      <c r="AR267" s="619"/>
      <c r="AS267" s="619" t="b">
        <v>1</v>
      </c>
    </row>
    <row s="1459" customFormat="1" customHeight="1" ht="23.25">
      <c r="A268" s="1459"/>
      <c r="B268" s="1459"/>
      <c r="C268" s="1459"/>
      <c r="D268" s="1459"/>
      <c r="E268" s="629">
        <v>15</v>
      </c>
      <c r="F268" s="104" cm="1" t="str">
        <f t="array" ref="F268:F268">OFFSET(G268,-1,-1)</f>
        <v>4</v>
      </c>
      <c r="G268" s="1459"/>
      <c r="H268" s="1459"/>
      <c r="I268" s="104" t="s">
        <v>1030</v>
      </c>
      <c r="J268" s="1459"/>
      <c r="K268" s="104" t="s">
        <v>1031</v>
      </c>
      <c r="L268" s="1459"/>
      <c r="M268" s="1459"/>
      <c r="N268" s="1459"/>
      <c r="O268" s="1459"/>
      <c r="P268" s="1459"/>
      <c r="Q268" s="1459"/>
      <c r="R268" s="1459"/>
      <c r="S268" s="1459"/>
      <c r="T268" s="1459"/>
      <c r="U268" s="465">
        <f>AND(F268&gt;0,AB268&gt;0)</f>
        <v>1</v>
      </c>
      <c r="V268" s="1459"/>
      <c r="W268" s="1459"/>
      <c r="X268" s="717"/>
      <c r="Y268" s="1459"/>
      <c r="Z268" s="1459"/>
      <c r="AA268" s="662" t="s">
        <v>175</v>
      </c>
      <c r="AB268" s="88" t="s">
        <v>532</v>
      </c>
      <c r="AC268" s="274" t="str">
        <f>I268&amp;" :: "&amp;K268</f>
        <v>канализационная сеть ул. Болотная :: г Калтан, ул. Болотная, -</v>
      </c>
      <c r="AD268" s="274" t="s">
        <v>430</v>
      </c>
      <c r="AE268" s="274" t="s">
        <v>431</v>
      </c>
      <c r="AF268" s="405" t="s">
        <v>432</v>
      </c>
      <c r="AG268" s="405" t="s">
        <v>433</v>
      </c>
      <c r="AH268" s="2040" t="s">
        <v>434</v>
      </c>
      <c r="AI268" s="1459"/>
      <c r="AJ268" s="1459"/>
      <c r="AK268" s="1000" t="s">
        <v>424</v>
      </c>
      <c r="AL268" s="1000" t="s">
        <v>425</v>
      </c>
      <c r="AM268" s="1000" cm="1" t="str">
        <f t="array" ref="AM268:AM268">AC268</f>
        <v>канализационная сеть ул. Болотная :: г Калтан, ул. Болотная, -</v>
      </c>
      <c r="AN268" s="1000" cm="1" t="str">
        <f t="array" ref="AN268:AN268">AD268</f>
        <v>концессионное соглашение</v>
      </c>
      <c r="AO268" s="1000" cm="1" t="str">
        <f t="array" ref="AO268:AO268">AE268</f>
        <v>акт приёма-передачи</v>
      </c>
      <c r="AP268" s="1000" cm="1" t="str">
        <f t="array" ref="AP268:AP268">AF268</f>
        <v>б/н</v>
      </c>
      <c r="AQ268" s="1000" cm="1" t="str">
        <f t="array" ref="AQ268:AQ268">AG268</f>
        <v>01.06.2026</v>
      </c>
      <c r="AR268" s="619"/>
      <c r="AS268" s="619" t="b">
        <v>1</v>
      </c>
    </row>
    <row s="1459" customFormat="1" customHeight="1" ht="23.25">
      <c r="A269" s="1459"/>
      <c r="B269" s="1459"/>
      <c r="C269" s="1459"/>
      <c r="D269" s="1459"/>
      <c r="E269" s="629">
        <v>15</v>
      </c>
      <c r="F269" s="104" cm="1" t="str">
        <f t="array" ref="F269:F269">OFFSET(G269,-1,-1)</f>
        <v>4</v>
      </c>
      <c r="G269" s="1459"/>
      <c r="H269" s="1459"/>
      <c r="I269" s="104" t="s">
        <v>1032</v>
      </c>
      <c r="J269" s="1459"/>
      <c r="K269" s="104" t="s">
        <v>1033</v>
      </c>
      <c r="L269" s="1459"/>
      <c r="M269" s="1459"/>
      <c r="N269" s="1459"/>
      <c r="O269" s="1459"/>
      <c r="P269" s="1459"/>
      <c r="Q269" s="1459"/>
      <c r="R269" s="1459"/>
      <c r="S269" s="1459"/>
      <c r="T269" s="1459"/>
      <c r="U269" s="465">
        <f>AND(F269&gt;0,AB269&gt;0)</f>
        <v>1</v>
      </c>
      <c r="V269" s="1459"/>
      <c r="W269" s="1459"/>
      <c r="X269" s="717"/>
      <c r="Y269" s="1459"/>
      <c r="Z269" s="1459"/>
      <c r="AA269" s="662" t="s">
        <v>175</v>
      </c>
      <c r="AB269" s="88" t="s">
        <v>535</v>
      </c>
      <c r="AC269" s="274" t="str">
        <f>I269&amp;" :: "&amp;K269</f>
        <v>канализационная сеть ул. Горького, 14,16,18,20 :: г Калтан, ул. Горького, 14,16,18,20</v>
      </c>
      <c r="AD269" s="274" t="s">
        <v>430</v>
      </c>
      <c r="AE269" s="274" t="s">
        <v>431</v>
      </c>
      <c r="AF269" s="405" t="s">
        <v>432</v>
      </c>
      <c r="AG269" s="405" t="s">
        <v>433</v>
      </c>
      <c r="AH269" s="2040" t="s">
        <v>434</v>
      </c>
      <c r="AI269" s="1459"/>
      <c r="AJ269" s="1459"/>
      <c r="AK269" s="1000" t="s">
        <v>424</v>
      </c>
      <c r="AL269" s="1000" t="s">
        <v>425</v>
      </c>
      <c r="AM269" s="1000" cm="1" t="str">
        <f t="array" ref="AM269:AM269">AC269</f>
        <v>канализационная сеть ул. Горького, 14,16,18,20 :: г Калтан, ул. Горького, 14,16,18,20</v>
      </c>
      <c r="AN269" s="1000" cm="1" t="str">
        <f t="array" ref="AN269:AN269">AD269</f>
        <v>концессионное соглашение</v>
      </c>
      <c r="AO269" s="1000" cm="1" t="str">
        <f t="array" ref="AO269:AO269">AE269</f>
        <v>акт приёма-передачи</v>
      </c>
      <c r="AP269" s="1000" cm="1" t="str">
        <f t="array" ref="AP269:AP269">AF269</f>
        <v>б/н</v>
      </c>
      <c r="AQ269" s="1000" cm="1" t="str">
        <f t="array" ref="AQ269:AQ269">AG269</f>
        <v>01.06.2026</v>
      </c>
      <c r="AR269" s="619"/>
      <c r="AS269" s="619" t="b">
        <v>1</v>
      </c>
    </row>
    <row s="1459" customFormat="1" customHeight="1" ht="23.25">
      <c r="A270" s="1459"/>
      <c r="B270" s="1459"/>
      <c r="C270" s="1459"/>
      <c r="D270" s="1459"/>
      <c r="E270" s="629">
        <v>15</v>
      </c>
      <c r="F270" s="104" cm="1" t="str">
        <f t="array" ref="F270:F270">OFFSET(G270,-1,-1)</f>
        <v>4</v>
      </c>
      <c r="G270" s="1459"/>
      <c r="H270" s="1459"/>
      <c r="I270" s="104" t="s">
        <v>1034</v>
      </c>
      <c r="J270" s="1459"/>
      <c r="K270" s="104" t="s">
        <v>1035</v>
      </c>
      <c r="L270" s="1459"/>
      <c r="M270" s="1459"/>
      <c r="N270" s="1459"/>
      <c r="O270" s="1459"/>
      <c r="P270" s="1459"/>
      <c r="Q270" s="1459"/>
      <c r="R270" s="1459"/>
      <c r="S270" s="1459"/>
      <c r="T270" s="1459"/>
      <c r="U270" s="465">
        <f>AND(F270&gt;0,AB270&gt;0)</f>
        <v>1</v>
      </c>
      <c r="V270" s="1459"/>
      <c r="W270" s="1459"/>
      <c r="X270" s="717"/>
      <c r="Y270" s="1459"/>
      <c r="Z270" s="1459"/>
      <c r="AA270" s="662" t="s">
        <v>175</v>
      </c>
      <c r="AB270" s="88" t="s">
        <v>538</v>
      </c>
      <c r="AC270" s="274" t="str">
        <f>I270&amp;" :: "&amp;K270</f>
        <v>канализационная сеть ул. Горького, 24а :: г Калтан, ул. Горького, 24а</v>
      </c>
      <c r="AD270" s="274" t="s">
        <v>430</v>
      </c>
      <c r="AE270" s="274" t="s">
        <v>431</v>
      </c>
      <c r="AF270" s="405" t="s">
        <v>432</v>
      </c>
      <c r="AG270" s="405" t="s">
        <v>433</v>
      </c>
      <c r="AH270" s="2040" t="s">
        <v>434</v>
      </c>
      <c r="AI270" s="1459"/>
      <c r="AJ270" s="1459"/>
      <c r="AK270" s="1000" t="s">
        <v>424</v>
      </c>
      <c r="AL270" s="1000" t="s">
        <v>425</v>
      </c>
      <c r="AM270" s="1000" cm="1" t="str">
        <f t="array" ref="AM270:AM270">AC270</f>
        <v>канализационная сеть ул. Горького, 24а :: г Калтан, ул. Горького, 24а</v>
      </c>
      <c r="AN270" s="1000" cm="1" t="str">
        <f t="array" ref="AN270:AN270">AD270</f>
        <v>концессионное соглашение</v>
      </c>
      <c r="AO270" s="1000" cm="1" t="str">
        <f t="array" ref="AO270:AO270">AE270</f>
        <v>акт приёма-передачи</v>
      </c>
      <c r="AP270" s="1000" cm="1" t="str">
        <f t="array" ref="AP270:AP270">AF270</f>
        <v>б/н</v>
      </c>
      <c r="AQ270" s="1000" cm="1" t="str">
        <f t="array" ref="AQ270:AQ270">AG270</f>
        <v>01.06.2026</v>
      </c>
      <c r="AR270" s="619"/>
      <c r="AS270" s="619" t="b">
        <v>1</v>
      </c>
    </row>
    <row s="1459" customFormat="1" customHeight="1" ht="23.25">
      <c r="A271" s="1459"/>
      <c r="B271" s="1459"/>
      <c r="C271" s="1459"/>
      <c r="D271" s="1459"/>
      <c r="E271" s="629">
        <v>15</v>
      </c>
      <c r="F271" s="104" cm="1" t="str">
        <f t="array" ref="F271:F271">OFFSET(G271,-1,-1)</f>
        <v>4</v>
      </c>
      <c r="G271" s="1459"/>
      <c r="H271" s="1459"/>
      <c r="I271" s="104" t="s">
        <v>1036</v>
      </c>
      <c r="J271" s="1459"/>
      <c r="K271" s="104" t="s">
        <v>1037</v>
      </c>
      <c r="L271" s="1459"/>
      <c r="M271" s="1459"/>
      <c r="N271" s="1459"/>
      <c r="O271" s="1459"/>
      <c r="P271" s="1459"/>
      <c r="Q271" s="1459"/>
      <c r="R271" s="1459"/>
      <c r="S271" s="1459"/>
      <c r="T271" s="1459"/>
      <c r="U271" s="465">
        <f>AND(F271&gt;0,AB271&gt;0)</f>
        <v>1</v>
      </c>
      <c r="V271" s="1459"/>
      <c r="W271" s="1459"/>
      <c r="X271" s="717"/>
      <c r="Y271" s="1459"/>
      <c r="Z271" s="1459"/>
      <c r="AA271" s="662" t="s">
        <v>175</v>
      </c>
      <c r="AB271" s="88" t="s">
        <v>541</v>
      </c>
      <c r="AC271" s="274" t="str">
        <f>I271&amp;" :: "&amp;K271</f>
        <v>канализационная сеть ул. Горького, 26 :: г Калтан, ул. Горького, 26</v>
      </c>
      <c r="AD271" s="274" t="s">
        <v>430</v>
      </c>
      <c r="AE271" s="274" t="s">
        <v>431</v>
      </c>
      <c r="AF271" s="405" t="s">
        <v>432</v>
      </c>
      <c r="AG271" s="405" t="s">
        <v>433</v>
      </c>
      <c r="AH271" s="2040" t="s">
        <v>434</v>
      </c>
      <c r="AI271" s="1459"/>
      <c r="AJ271" s="1459"/>
      <c r="AK271" s="1000" t="s">
        <v>424</v>
      </c>
      <c r="AL271" s="1000" t="s">
        <v>425</v>
      </c>
      <c r="AM271" s="1000" cm="1" t="str">
        <f t="array" ref="AM271:AM271">AC271</f>
        <v>канализационная сеть ул. Горького, 26 :: г Калтан, ул. Горького, 26</v>
      </c>
      <c r="AN271" s="1000" cm="1" t="str">
        <f t="array" ref="AN271:AN271">AD271</f>
        <v>концессионное соглашение</v>
      </c>
      <c r="AO271" s="1000" cm="1" t="str">
        <f t="array" ref="AO271:AO271">AE271</f>
        <v>акт приёма-передачи</v>
      </c>
      <c r="AP271" s="1000" cm="1" t="str">
        <f t="array" ref="AP271:AP271">AF271</f>
        <v>б/н</v>
      </c>
      <c r="AQ271" s="1000" cm="1" t="str">
        <f t="array" ref="AQ271:AQ271">AG271</f>
        <v>01.06.2026</v>
      </c>
      <c r="AR271" s="619"/>
      <c r="AS271" s="619" t="b">
        <v>1</v>
      </c>
    </row>
    <row s="1459" customFormat="1" customHeight="1" ht="23.25">
      <c r="A272" s="1459"/>
      <c r="B272" s="1459"/>
      <c r="C272" s="1459"/>
      <c r="D272" s="1459"/>
      <c r="E272" s="629">
        <v>15</v>
      </c>
      <c r="F272" s="104" cm="1" t="str">
        <f t="array" ref="F272:F272">OFFSET(G272,-1,-1)</f>
        <v>4</v>
      </c>
      <c r="G272" s="1459"/>
      <c r="H272" s="1459"/>
      <c r="I272" s="104" t="s">
        <v>1038</v>
      </c>
      <c r="J272" s="1459"/>
      <c r="K272" s="104" t="s">
        <v>1039</v>
      </c>
      <c r="L272" s="1459"/>
      <c r="M272" s="1459"/>
      <c r="N272" s="1459"/>
      <c r="O272" s="1459"/>
      <c r="P272" s="1459"/>
      <c r="Q272" s="1459"/>
      <c r="R272" s="1459"/>
      <c r="S272" s="1459"/>
      <c r="T272" s="1459"/>
      <c r="U272" s="465">
        <f>AND(F272&gt;0,AB272&gt;0)</f>
        <v>1</v>
      </c>
      <c r="V272" s="1459"/>
      <c r="W272" s="1459"/>
      <c r="X272" s="717"/>
      <c r="Y272" s="1459"/>
      <c r="Z272" s="1459"/>
      <c r="AA272" s="662" t="s">
        <v>175</v>
      </c>
      <c r="AB272" s="88" t="s">
        <v>342</v>
      </c>
      <c r="AC272" s="274" t="str">
        <f>I272&amp;" :: "&amp;K272</f>
        <v>канализационная сеть ул. Горького, 38 :: г Калтан, ул. Горького, 38</v>
      </c>
      <c r="AD272" s="274" t="s">
        <v>430</v>
      </c>
      <c r="AE272" s="274" t="s">
        <v>431</v>
      </c>
      <c r="AF272" s="405" t="s">
        <v>432</v>
      </c>
      <c r="AG272" s="405" t="s">
        <v>433</v>
      </c>
      <c r="AH272" s="2040" t="s">
        <v>434</v>
      </c>
      <c r="AI272" s="1459"/>
      <c r="AJ272" s="1459"/>
      <c r="AK272" s="1000" t="s">
        <v>424</v>
      </c>
      <c r="AL272" s="1000" t="s">
        <v>425</v>
      </c>
      <c r="AM272" s="1000" cm="1" t="str">
        <f t="array" ref="AM272:AM272">AC272</f>
        <v>канализационная сеть ул. Горького, 38 :: г Калтан, ул. Горького, 38</v>
      </c>
      <c r="AN272" s="1000" cm="1" t="str">
        <f t="array" ref="AN272:AN272">AD272</f>
        <v>концессионное соглашение</v>
      </c>
      <c r="AO272" s="1000" cm="1" t="str">
        <f t="array" ref="AO272:AO272">AE272</f>
        <v>акт приёма-передачи</v>
      </c>
      <c r="AP272" s="1000" cm="1" t="str">
        <f t="array" ref="AP272:AP272">AF272</f>
        <v>б/н</v>
      </c>
      <c r="AQ272" s="1000" cm="1" t="str">
        <f t="array" ref="AQ272:AQ272">AG272</f>
        <v>01.06.2026</v>
      </c>
      <c r="AR272" s="619"/>
      <c r="AS272" s="619" t="b">
        <v>1</v>
      </c>
    </row>
    <row s="1459" customFormat="1" customHeight="1" ht="23.25">
      <c r="A273" s="1459"/>
      <c r="B273" s="1459"/>
      <c r="C273" s="1459"/>
      <c r="D273" s="1459"/>
      <c r="E273" s="629">
        <v>15</v>
      </c>
      <c r="F273" s="104" cm="1" t="str">
        <f t="array" ref="F273:F273">OFFSET(G273,-1,-1)</f>
        <v>4</v>
      </c>
      <c r="G273" s="1459"/>
      <c r="H273" s="1459"/>
      <c r="I273" s="104" t="s">
        <v>1040</v>
      </c>
      <c r="J273" s="1459"/>
      <c r="K273" s="104" t="s">
        <v>1041</v>
      </c>
      <c r="L273" s="1459"/>
      <c r="M273" s="1459"/>
      <c r="N273" s="1459"/>
      <c r="O273" s="1459"/>
      <c r="P273" s="1459"/>
      <c r="Q273" s="1459"/>
      <c r="R273" s="1459"/>
      <c r="S273" s="1459"/>
      <c r="T273" s="1459"/>
      <c r="U273" s="465">
        <f>AND(F273&gt;0,AB273&gt;0)</f>
        <v>1</v>
      </c>
      <c r="V273" s="1459"/>
      <c r="W273" s="1459"/>
      <c r="X273" s="717"/>
      <c r="Y273" s="1459"/>
      <c r="Z273" s="1459"/>
      <c r="AA273" s="662" t="s">
        <v>175</v>
      </c>
      <c r="AB273" s="88" t="s">
        <v>546</v>
      </c>
      <c r="AC273" s="274" t="str">
        <f>I273&amp;" :: "&amp;K273</f>
        <v>канализационная сеть ул. Горького, 34,36,34а, пр. Мира, 45б :: г Калтан, ул. Горького, пр. Мира, -</v>
      </c>
      <c r="AD273" s="274" t="s">
        <v>430</v>
      </c>
      <c r="AE273" s="274" t="s">
        <v>431</v>
      </c>
      <c r="AF273" s="405" t="s">
        <v>432</v>
      </c>
      <c r="AG273" s="405" t="s">
        <v>433</v>
      </c>
      <c r="AH273" s="2040" t="s">
        <v>434</v>
      </c>
      <c r="AI273" s="1459"/>
      <c r="AJ273" s="1459"/>
      <c r="AK273" s="1000" t="s">
        <v>424</v>
      </c>
      <c r="AL273" s="1000" t="s">
        <v>425</v>
      </c>
      <c r="AM273" s="1000" cm="1" t="str">
        <f t="array" ref="AM273:AM273">AC273</f>
        <v>канализационная сеть ул. Горького, 34,36,34а, пр. Мира, 45б :: г Калтан, ул. Горького, пр. Мира, -</v>
      </c>
      <c r="AN273" s="1000" cm="1" t="str">
        <f t="array" ref="AN273:AN273">AD273</f>
        <v>концессионное соглашение</v>
      </c>
      <c r="AO273" s="1000" cm="1" t="str">
        <f t="array" ref="AO273:AO273">AE273</f>
        <v>акт приёма-передачи</v>
      </c>
      <c r="AP273" s="1000" cm="1" t="str">
        <f t="array" ref="AP273:AP273">AF273</f>
        <v>б/н</v>
      </c>
      <c r="AQ273" s="1000" cm="1" t="str">
        <f t="array" ref="AQ273:AQ273">AG273</f>
        <v>01.06.2026</v>
      </c>
      <c r="AR273" s="619"/>
      <c r="AS273" s="619" t="b">
        <v>1</v>
      </c>
    </row>
    <row s="1459" customFormat="1" customHeight="1" ht="23.25">
      <c r="A274" s="1459"/>
      <c r="B274" s="1459"/>
      <c r="C274" s="1459"/>
      <c r="D274" s="1459"/>
      <c r="E274" s="629">
        <v>15</v>
      </c>
      <c r="F274" s="104" cm="1" t="str">
        <f t="array" ref="F274:F274">OFFSET(G274,-1,-1)</f>
        <v>4</v>
      </c>
      <c r="G274" s="1459"/>
      <c r="H274" s="1459"/>
      <c r="I274" s="104" t="s">
        <v>1042</v>
      </c>
      <c r="J274" s="1459"/>
      <c r="K274" s="104" t="s">
        <v>1041</v>
      </c>
      <c r="L274" s="1459"/>
      <c r="M274" s="1459"/>
      <c r="N274" s="1459"/>
      <c r="O274" s="1459"/>
      <c r="P274" s="1459"/>
      <c r="Q274" s="1459"/>
      <c r="R274" s="1459"/>
      <c r="S274" s="1459"/>
      <c r="T274" s="1459"/>
      <c r="U274" s="465">
        <f>AND(F274&gt;0,AB274&gt;0)</f>
        <v>1</v>
      </c>
      <c r="V274" s="1459"/>
      <c r="W274" s="1459"/>
      <c r="X274" s="717"/>
      <c r="Y274" s="1459"/>
      <c r="Z274" s="1459"/>
      <c r="AA274" s="662" t="s">
        <v>175</v>
      </c>
      <c r="AB274" s="88" t="s">
        <v>549</v>
      </c>
      <c r="AC274" s="274" t="str">
        <f>I274&amp;" :: "&amp;K274</f>
        <v>канализационная сеть ул. Горького, 28,32, пр. Мира, 43б :: г Калтан, ул. Горького, пр. Мира, -</v>
      </c>
      <c r="AD274" s="274" t="s">
        <v>430</v>
      </c>
      <c r="AE274" s="274" t="s">
        <v>431</v>
      </c>
      <c r="AF274" s="405" t="s">
        <v>432</v>
      </c>
      <c r="AG274" s="405" t="s">
        <v>433</v>
      </c>
      <c r="AH274" s="2040" t="s">
        <v>434</v>
      </c>
      <c r="AI274" s="1459"/>
      <c r="AJ274" s="1459"/>
      <c r="AK274" s="1000" t="s">
        <v>424</v>
      </c>
      <c r="AL274" s="1000" t="s">
        <v>425</v>
      </c>
      <c r="AM274" s="1000" cm="1" t="str">
        <f t="array" ref="AM274:AM274">AC274</f>
        <v>канализационная сеть ул. Горького, 28,32, пр. Мира, 43б :: г Калтан, ул. Горького, пр. Мира, -</v>
      </c>
      <c r="AN274" s="1000" cm="1" t="str">
        <f t="array" ref="AN274:AN274">AD274</f>
        <v>концессионное соглашение</v>
      </c>
      <c r="AO274" s="1000" cm="1" t="str">
        <f t="array" ref="AO274:AO274">AE274</f>
        <v>акт приёма-передачи</v>
      </c>
      <c r="AP274" s="1000" cm="1" t="str">
        <f t="array" ref="AP274:AP274">AF274</f>
        <v>б/н</v>
      </c>
      <c r="AQ274" s="1000" cm="1" t="str">
        <f t="array" ref="AQ274:AQ274">AG274</f>
        <v>01.06.2026</v>
      </c>
      <c r="AR274" s="619"/>
      <c r="AS274" s="619" t="b">
        <v>1</v>
      </c>
    </row>
    <row s="1459" customFormat="1" customHeight="1" ht="23.25">
      <c r="A275" s="1459"/>
      <c r="B275" s="1459"/>
      <c r="C275" s="1459"/>
      <c r="D275" s="1459"/>
      <c r="E275" s="629">
        <v>15</v>
      </c>
      <c r="F275" s="104" cm="1" t="str">
        <f t="array" ref="F275:F275">OFFSET(G275,-1,-1)</f>
        <v>4</v>
      </c>
      <c r="G275" s="1459"/>
      <c r="H275" s="1459"/>
      <c r="I275" s="104" t="s">
        <v>1043</v>
      </c>
      <c r="J275" s="1459"/>
      <c r="K275" s="104" t="s">
        <v>1041</v>
      </c>
      <c r="L275" s="1459"/>
      <c r="M275" s="1459"/>
      <c r="N275" s="1459"/>
      <c r="O275" s="1459"/>
      <c r="P275" s="1459"/>
      <c r="Q275" s="1459"/>
      <c r="R275" s="1459"/>
      <c r="S275" s="1459"/>
      <c r="T275" s="1459"/>
      <c r="U275" s="465">
        <f>AND(F275&gt;0,AB275&gt;0)</f>
        <v>1</v>
      </c>
      <c r="V275" s="1459"/>
      <c r="W275" s="1459"/>
      <c r="X275" s="717"/>
      <c r="Y275" s="1459"/>
      <c r="Z275" s="1459"/>
      <c r="AA275" s="662" t="s">
        <v>175</v>
      </c>
      <c r="AB275" s="88" t="s">
        <v>552</v>
      </c>
      <c r="AC275" s="274" t="str">
        <f>I275&amp;" :: "&amp;K275</f>
        <v>канализационная сеть ул. Горького, 24а-пр. Мира, 37 :: г Калтан, ул. Горького, пр. Мира, -</v>
      </c>
      <c r="AD275" s="274" t="s">
        <v>430</v>
      </c>
      <c r="AE275" s="274" t="s">
        <v>431</v>
      </c>
      <c r="AF275" s="405" t="s">
        <v>432</v>
      </c>
      <c r="AG275" s="405" t="s">
        <v>433</v>
      </c>
      <c r="AH275" s="2040" t="s">
        <v>434</v>
      </c>
      <c r="AI275" s="1459"/>
      <c r="AJ275" s="1459"/>
      <c r="AK275" s="1000" t="s">
        <v>424</v>
      </c>
      <c r="AL275" s="1000" t="s">
        <v>425</v>
      </c>
      <c r="AM275" s="1000" cm="1" t="str">
        <f t="array" ref="AM275:AM275">AC275</f>
        <v>канализационная сеть ул. Горького, 24а-пр. Мира, 37 :: г Калтан, ул. Горького, пр. Мира, -</v>
      </c>
      <c r="AN275" s="1000" cm="1" t="str">
        <f t="array" ref="AN275:AN275">AD275</f>
        <v>концессионное соглашение</v>
      </c>
      <c r="AO275" s="1000" cm="1" t="str">
        <f t="array" ref="AO275:AO275">AE275</f>
        <v>акт приёма-передачи</v>
      </c>
      <c r="AP275" s="1000" cm="1" t="str">
        <f t="array" ref="AP275:AP275">AF275</f>
        <v>б/н</v>
      </c>
      <c r="AQ275" s="1000" cm="1" t="str">
        <f t="array" ref="AQ275:AQ275">AG275</f>
        <v>01.06.2026</v>
      </c>
      <c r="AR275" s="619"/>
      <c r="AS275" s="619" t="b">
        <v>1</v>
      </c>
    </row>
    <row s="1459" customFormat="1" customHeight="1" ht="23.25">
      <c r="A276" s="1459"/>
      <c r="B276" s="1459"/>
      <c r="C276" s="1459"/>
      <c r="D276" s="1459"/>
      <c r="E276" s="629">
        <v>15</v>
      </c>
      <c r="F276" s="104" cm="1" t="str">
        <f t="array" ref="F276:F276">OFFSET(G276,-1,-1)</f>
        <v>4</v>
      </c>
      <c r="G276" s="1459"/>
      <c r="H276" s="1459"/>
      <c r="I276" s="104" t="s">
        <v>1044</v>
      </c>
      <c r="J276" s="1459"/>
      <c r="K276" s="104" t="s">
        <v>1041</v>
      </c>
      <c r="L276" s="1459"/>
      <c r="M276" s="1459"/>
      <c r="N276" s="1459"/>
      <c r="O276" s="1459"/>
      <c r="P276" s="1459"/>
      <c r="Q276" s="1459"/>
      <c r="R276" s="1459"/>
      <c r="S276" s="1459"/>
      <c r="T276" s="1459"/>
      <c r="U276" s="465">
        <f>AND(F276&gt;0,AB276&gt;0)</f>
        <v>1</v>
      </c>
      <c r="V276" s="1459"/>
      <c r="W276" s="1459"/>
      <c r="X276" s="717"/>
      <c r="Y276" s="1459"/>
      <c r="Z276" s="1459"/>
      <c r="AA276" s="662" t="s">
        <v>175</v>
      </c>
      <c r="AB276" s="88" t="s">
        <v>555</v>
      </c>
      <c r="AC276" s="274" t="str">
        <f>I276&amp;" :: "&amp;K276</f>
        <v>канализационная сеть детский сад №24-пр. Мира, 37б :: г Калтан, ул. Горького, пр. Мира, -</v>
      </c>
      <c r="AD276" s="274" t="s">
        <v>430</v>
      </c>
      <c r="AE276" s="274" t="s">
        <v>431</v>
      </c>
      <c r="AF276" s="405" t="s">
        <v>432</v>
      </c>
      <c r="AG276" s="405" t="s">
        <v>433</v>
      </c>
      <c r="AH276" s="2040" t="s">
        <v>434</v>
      </c>
      <c r="AI276" s="1459"/>
      <c r="AJ276" s="1459"/>
      <c r="AK276" s="1000" t="s">
        <v>424</v>
      </c>
      <c r="AL276" s="1000" t="s">
        <v>425</v>
      </c>
      <c r="AM276" s="1000" cm="1" t="str">
        <f t="array" ref="AM276:AM276">AC276</f>
        <v>канализационная сеть детский сад №24-пр. Мира, 37б :: г Калтан, ул. Горького, пр. Мира, -</v>
      </c>
      <c r="AN276" s="1000" cm="1" t="str">
        <f t="array" ref="AN276:AN276">AD276</f>
        <v>концессионное соглашение</v>
      </c>
      <c r="AO276" s="1000" cm="1" t="str">
        <f t="array" ref="AO276:AO276">AE276</f>
        <v>акт приёма-передачи</v>
      </c>
      <c r="AP276" s="1000" cm="1" t="str">
        <f t="array" ref="AP276:AP276">AF276</f>
        <v>б/н</v>
      </c>
      <c r="AQ276" s="1000" cm="1" t="str">
        <f t="array" ref="AQ276:AQ276">AG276</f>
        <v>01.06.2026</v>
      </c>
      <c r="AR276" s="619"/>
      <c r="AS276" s="619" t="b">
        <v>1</v>
      </c>
    </row>
    <row s="1459" customFormat="1" customHeight="1" ht="23.25">
      <c r="A277" s="1459"/>
      <c r="B277" s="1459"/>
      <c r="C277" s="1459"/>
      <c r="D277" s="1459"/>
      <c r="E277" s="629">
        <v>15</v>
      </c>
      <c r="F277" s="104" cm="1" t="str">
        <f t="array" ref="F277:F277">OFFSET(G277,-1,-1)</f>
        <v>4</v>
      </c>
      <c r="G277" s="1459"/>
      <c r="H277" s="1459"/>
      <c r="I277" s="104" t="s">
        <v>1045</v>
      </c>
      <c r="J277" s="1459"/>
      <c r="K277" s="104" t="s">
        <v>1041</v>
      </c>
      <c r="L277" s="1459"/>
      <c r="M277" s="1459"/>
      <c r="N277" s="1459"/>
      <c r="O277" s="1459"/>
      <c r="P277" s="1459"/>
      <c r="Q277" s="1459"/>
      <c r="R277" s="1459"/>
      <c r="S277" s="1459"/>
      <c r="T277" s="1459"/>
      <c r="U277" s="465">
        <f>AND(F277&gt;0,AB277&gt;0)</f>
        <v>1</v>
      </c>
      <c r="V277" s="1459"/>
      <c r="W277" s="1459"/>
      <c r="X277" s="717"/>
      <c r="Y277" s="1459"/>
      <c r="Z277" s="1459"/>
      <c r="AA277" s="662" t="s">
        <v>175</v>
      </c>
      <c r="AB277" s="88" t="s">
        <v>558</v>
      </c>
      <c r="AC277" s="274" t="str">
        <f>I277&amp;" :: "&amp;K277</f>
        <v>канализационная сеть ул. Горького, 22, пр. Мира, 33б, 33а, 35а :: г Калтан, ул. Горького, пр. Мира, -</v>
      </c>
      <c r="AD277" s="274" t="s">
        <v>430</v>
      </c>
      <c r="AE277" s="274" t="s">
        <v>431</v>
      </c>
      <c r="AF277" s="405" t="s">
        <v>432</v>
      </c>
      <c r="AG277" s="405" t="s">
        <v>433</v>
      </c>
      <c r="AH277" s="2040" t="s">
        <v>434</v>
      </c>
      <c r="AI277" s="1459"/>
      <c r="AJ277" s="1459"/>
      <c r="AK277" s="1000" t="s">
        <v>424</v>
      </c>
      <c r="AL277" s="1000" t="s">
        <v>425</v>
      </c>
      <c r="AM277" s="1000" cm="1" t="str">
        <f t="array" ref="AM277:AM277">AC277</f>
        <v>канализационная сеть ул. Горького, 22, пр. Мира, 33б, 33а, 35а :: г Калтан, ул. Горького, пр. Мира, -</v>
      </c>
      <c r="AN277" s="1000" cm="1" t="str">
        <f t="array" ref="AN277:AN277">AD277</f>
        <v>концессионное соглашение</v>
      </c>
      <c r="AO277" s="1000" cm="1" t="str">
        <f t="array" ref="AO277:AO277">AE277</f>
        <v>акт приёма-передачи</v>
      </c>
      <c r="AP277" s="1000" cm="1" t="str">
        <f t="array" ref="AP277:AP277">AF277</f>
        <v>б/н</v>
      </c>
      <c r="AQ277" s="1000" cm="1" t="str">
        <f t="array" ref="AQ277:AQ277">AG277</f>
        <v>01.06.2026</v>
      </c>
      <c r="AR277" s="619"/>
      <c r="AS277" s="619" t="b">
        <v>1</v>
      </c>
    </row>
    <row s="1459" customFormat="1" customHeight="1" ht="23.25">
      <c r="A278" s="1459"/>
      <c r="B278" s="1459"/>
      <c r="C278" s="1459"/>
      <c r="D278" s="1459"/>
      <c r="E278" s="629">
        <v>15</v>
      </c>
      <c r="F278" s="104" cm="1" t="str">
        <f t="array" ref="F278:F278">OFFSET(G278,-1,-1)</f>
        <v>4</v>
      </c>
      <c r="G278" s="1459"/>
      <c r="H278" s="1459"/>
      <c r="I278" s="104" t="s">
        <v>1046</v>
      </c>
      <c r="J278" s="1459"/>
      <c r="K278" s="104" t="s">
        <v>1047</v>
      </c>
      <c r="L278" s="1459"/>
      <c r="M278" s="1459"/>
      <c r="N278" s="1459"/>
      <c r="O278" s="1459"/>
      <c r="P278" s="1459"/>
      <c r="Q278" s="1459"/>
      <c r="R278" s="1459"/>
      <c r="S278" s="1459"/>
      <c r="T278" s="1459"/>
      <c r="U278" s="465">
        <f>AND(F278&gt;0,AB278&gt;0)</f>
        <v>1</v>
      </c>
      <c r="V278" s="1459"/>
      <c r="W278" s="1459"/>
      <c r="X278" s="717"/>
      <c r="Y278" s="1459"/>
      <c r="Z278" s="1459"/>
      <c r="AA278" s="662" t="s">
        <v>175</v>
      </c>
      <c r="AB278" s="88" t="s">
        <v>561</v>
      </c>
      <c r="AC278" s="274" t="str">
        <f>I278&amp;" :: "&amp;K278</f>
        <v>канализационная сеть ул. Горького, 34-ул. Комсомольская, 63 :: г Калтан, ул. Горького, ул. Комсомольская, -</v>
      </c>
      <c r="AD278" s="274" t="s">
        <v>430</v>
      </c>
      <c r="AE278" s="274" t="s">
        <v>431</v>
      </c>
      <c r="AF278" s="405" t="s">
        <v>432</v>
      </c>
      <c r="AG278" s="405" t="s">
        <v>433</v>
      </c>
      <c r="AH278" s="2040" t="s">
        <v>434</v>
      </c>
      <c r="AI278" s="1459"/>
      <c r="AJ278" s="1459"/>
      <c r="AK278" s="1000" t="s">
        <v>424</v>
      </c>
      <c r="AL278" s="1000" t="s">
        <v>425</v>
      </c>
      <c r="AM278" s="1000" cm="1" t="str">
        <f t="array" ref="AM278:AM278">AC278</f>
        <v>канализационная сеть ул. Горького, 34-ул. Комсомольская, 63 :: г Калтан, ул. Горького, ул. Комсомольская, -</v>
      </c>
      <c r="AN278" s="1000" cm="1" t="str">
        <f t="array" ref="AN278:AN278">AD278</f>
        <v>концессионное соглашение</v>
      </c>
      <c r="AO278" s="1000" cm="1" t="str">
        <f t="array" ref="AO278:AO278">AE278</f>
        <v>акт приёма-передачи</v>
      </c>
      <c r="AP278" s="1000" cm="1" t="str">
        <f t="array" ref="AP278:AP278">AF278</f>
        <v>б/н</v>
      </c>
      <c r="AQ278" s="1000" cm="1" t="str">
        <f t="array" ref="AQ278:AQ278">AG278</f>
        <v>01.06.2026</v>
      </c>
      <c r="AR278" s="619"/>
      <c r="AS278" s="619" t="b">
        <v>1</v>
      </c>
    </row>
    <row s="1459" customFormat="1" customHeight="1" ht="23.25">
      <c r="A279" s="1459"/>
      <c r="B279" s="1459"/>
      <c r="C279" s="1459"/>
      <c r="D279" s="1459"/>
      <c r="E279" s="629">
        <v>15</v>
      </c>
      <c r="F279" s="104" cm="1" t="str">
        <f t="array" ref="F279:F279">OFFSET(G279,-1,-1)</f>
        <v>4</v>
      </c>
      <c r="G279" s="1459"/>
      <c r="H279" s="1459"/>
      <c r="I279" s="104" t="s">
        <v>1048</v>
      </c>
      <c r="J279" s="1459"/>
      <c r="K279" s="104" t="s">
        <v>1047</v>
      </c>
      <c r="L279" s="1459"/>
      <c r="M279" s="1459"/>
      <c r="N279" s="1459"/>
      <c r="O279" s="1459"/>
      <c r="P279" s="1459"/>
      <c r="Q279" s="1459"/>
      <c r="R279" s="1459"/>
      <c r="S279" s="1459"/>
      <c r="T279" s="1459"/>
      <c r="U279" s="465">
        <f>AND(F279&gt;0,AB279&gt;0)</f>
        <v>1</v>
      </c>
      <c r="V279" s="1459"/>
      <c r="W279" s="1459"/>
      <c r="X279" s="717"/>
      <c r="Y279" s="1459"/>
      <c r="Z279" s="1459"/>
      <c r="AA279" s="662" t="s">
        <v>175</v>
      </c>
      <c r="AB279" s="88" t="s">
        <v>564</v>
      </c>
      <c r="AC279" s="274" t="str">
        <f>I279&amp;" :: "&amp;K279</f>
        <v>трасса канализации (коллектор ул. Горького, 14-ул. Комсомольская, 39) :: г Калтан, ул. Горького, ул. Комсомольская, -</v>
      </c>
      <c r="AD279" s="274" t="s">
        <v>430</v>
      </c>
      <c r="AE279" s="274" t="s">
        <v>431</v>
      </c>
      <c r="AF279" s="405" t="s">
        <v>432</v>
      </c>
      <c r="AG279" s="405" t="s">
        <v>433</v>
      </c>
      <c r="AH279" s="2040" t="s">
        <v>434</v>
      </c>
      <c r="AI279" s="1459"/>
      <c r="AJ279" s="1459"/>
      <c r="AK279" s="1000" t="s">
        <v>424</v>
      </c>
      <c r="AL279" s="1000" t="s">
        <v>425</v>
      </c>
      <c r="AM279" s="1000" cm="1" t="str">
        <f t="array" ref="AM279:AM279">AC279</f>
        <v>трасса канализации (коллектор ул. Горького, 14-ул. Комсомольская, 39) :: г Калтан, ул. Горького, ул. Комсомольская, -</v>
      </c>
      <c r="AN279" s="1000" cm="1" t="str">
        <f t="array" ref="AN279:AN279">AD279</f>
        <v>концессионное соглашение</v>
      </c>
      <c r="AO279" s="1000" cm="1" t="str">
        <f t="array" ref="AO279:AO279">AE279</f>
        <v>акт приёма-передачи</v>
      </c>
      <c r="AP279" s="1000" cm="1" t="str">
        <f t="array" ref="AP279:AP279">AF279</f>
        <v>б/н</v>
      </c>
      <c r="AQ279" s="1000" cm="1" t="str">
        <f t="array" ref="AQ279:AQ279">AG279</f>
        <v>01.06.2026</v>
      </c>
      <c r="AR279" s="619"/>
      <c r="AS279" s="619" t="b">
        <v>1</v>
      </c>
    </row>
    <row s="1459" customFormat="1" customHeight="1" ht="23.25">
      <c r="A280" s="1459"/>
      <c r="B280" s="1459"/>
      <c r="C280" s="1459"/>
      <c r="D280" s="1459"/>
      <c r="E280" s="629">
        <v>15</v>
      </c>
      <c r="F280" s="104" cm="1" t="str">
        <f t="array" ref="F280:F280">OFFSET(G280,-1,-1)</f>
        <v>4</v>
      </c>
      <c r="G280" s="1459"/>
      <c r="H280" s="1459"/>
      <c r="I280" s="104" t="s">
        <v>1049</v>
      </c>
      <c r="J280" s="1459"/>
      <c r="K280" s="104" t="s">
        <v>1050</v>
      </c>
      <c r="L280" s="1459"/>
      <c r="M280" s="1459"/>
      <c r="N280" s="1459"/>
      <c r="O280" s="1459"/>
      <c r="P280" s="1459"/>
      <c r="Q280" s="1459"/>
      <c r="R280" s="1459"/>
      <c r="S280" s="1459"/>
      <c r="T280" s="1459"/>
      <c r="U280" s="465">
        <f>AND(F280&gt;0,AB280&gt;0)</f>
        <v>1</v>
      </c>
      <c r="V280" s="1459"/>
      <c r="W280" s="1459"/>
      <c r="X280" s="717"/>
      <c r="Y280" s="1459"/>
      <c r="Z280" s="1459"/>
      <c r="AA280" s="662" t="s">
        <v>175</v>
      </c>
      <c r="AB280" s="88" t="s">
        <v>567</v>
      </c>
      <c r="AC280" s="274" t="str">
        <f>I280&amp;" :: "&amp;K280</f>
        <v>канализационная сеть ул. Дзержинского, 14, 16, 18 :: г Калтан, ул. Дзержинского, 14, 16, 18</v>
      </c>
      <c r="AD280" s="274" t="s">
        <v>430</v>
      </c>
      <c r="AE280" s="274" t="s">
        <v>431</v>
      </c>
      <c r="AF280" s="405" t="s">
        <v>432</v>
      </c>
      <c r="AG280" s="405" t="s">
        <v>433</v>
      </c>
      <c r="AH280" s="2040" t="s">
        <v>434</v>
      </c>
      <c r="AI280" s="1459"/>
      <c r="AJ280" s="1459"/>
      <c r="AK280" s="1000" t="s">
        <v>424</v>
      </c>
      <c r="AL280" s="1000" t="s">
        <v>425</v>
      </c>
      <c r="AM280" s="1000" cm="1" t="str">
        <f t="array" ref="AM280:AM280">AC280</f>
        <v>канализационная сеть ул. Дзержинского, 14, 16, 18 :: г Калтан, ул. Дзержинского, 14, 16, 18</v>
      </c>
      <c r="AN280" s="1000" cm="1" t="str">
        <f t="array" ref="AN280:AN280">AD280</f>
        <v>концессионное соглашение</v>
      </c>
      <c r="AO280" s="1000" cm="1" t="str">
        <f t="array" ref="AO280:AO280">AE280</f>
        <v>акт приёма-передачи</v>
      </c>
      <c r="AP280" s="1000" cm="1" t="str">
        <f t="array" ref="AP280:AP280">AF280</f>
        <v>б/н</v>
      </c>
      <c r="AQ280" s="1000" cm="1" t="str">
        <f t="array" ref="AQ280:AQ280">AG280</f>
        <v>01.06.2026</v>
      </c>
      <c r="AR280" s="619"/>
      <c r="AS280" s="619" t="b">
        <v>1</v>
      </c>
    </row>
    <row s="1459" customFormat="1" customHeight="1" ht="23.25">
      <c r="A281" s="1459"/>
      <c r="B281" s="1459"/>
      <c r="C281" s="1459"/>
      <c r="D281" s="1459"/>
      <c r="E281" s="629">
        <v>15</v>
      </c>
      <c r="F281" s="104" cm="1" t="str">
        <f t="array" ref="F281:F281">OFFSET(G281,-1,-1)</f>
        <v>4</v>
      </c>
      <c r="G281" s="1459"/>
      <c r="H281" s="1459"/>
      <c r="I281" s="104" t="s">
        <v>1051</v>
      </c>
      <c r="J281" s="1459"/>
      <c r="K281" s="104" t="s">
        <v>1052</v>
      </c>
      <c r="L281" s="1459"/>
      <c r="M281" s="1459"/>
      <c r="N281" s="1459"/>
      <c r="O281" s="1459"/>
      <c r="P281" s="1459"/>
      <c r="Q281" s="1459"/>
      <c r="R281" s="1459"/>
      <c r="S281" s="1459"/>
      <c r="T281" s="1459"/>
      <c r="U281" s="465">
        <f>AND(F281&gt;0,AB281&gt;0)</f>
        <v>1</v>
      </c>
      <c r="V281" s="1459"/>
      <c r="W281" s="1459"/>
      <c r="X281" s="717"/>
      <c r="Y281" s="1459"/>
      <c r="Z281" s="1459"/>
      <c r="AA281" s="662" t="s">
        <v>175</v>
      </c>
      <c r="AB281" s="88" t="s">
        <v>570</v>
      </c>
      <c r="AC281" s="274" t="str">
        <f>I281&amp;" :: "&amp;K281</f>
        <v>канализационная сеть ул. Дзержинского, 15, 17 :: г Калтан, ул. Дзержинского, 15, 17</v>
      </c>
      <c r="AD281" s="274" t="s">
        <v>430</v>
      </c>
      <c r="AE281" s="274" t="s">
        <v>431</v>
      </c>
      <c r="AF281" s="405" t="s">
        <v>432</v>
      </c>
      <c r="AG281" s="405" t="s">
        <v>433</v>
      </c>
      <c r="AH281" s="2040" t="s">
        <v>434</v>
      </c>
      <c r="AI281" s="1459"/>
      <c r="AJ281" s="1459"/>
      <c r="AK281" s="1000" t="s">
        <v>424</v>
      </c>
      <c r="AL281" s="1000" t="s">
        <v>425</v>
      </c>
      <c r="AM281" s="1000" cm="1" t="str">
        <f t="array" ref="AM281:AM281">AC281</f>
        <v>канализационная сеть ул. Дзержинского, 15, 17 :: г Калтан, ул. Дзержинского, 15, 17</v>
      </c>
      <c r="AN281" s="1000" cm="1" t="str">
        <f t="array" ref="AN281:AN281">AD281</f>
        <v>концессионное соглашение</v>
      </c>
      <c r="AO281" s="1000" cm="1" t="str">
        <f t="array" ref="AO281:AO281">AE281</f>
        <v>акт приёма-передачи</v>
      </c>
      <c r="AP281" s="1000" cm="1" t="str">
        <f t="array" ref="AP281:AP281">AF281</f>
        <v>б/н</v>
      </c>
      <c r="AQ281" s="1000" cm="1" t="str">
        <f t="array" ref="AQ281:AQ281">AG281</f>
        <v>01.06.2026</v>
      </c>
      <c r="AR281" s="619"/>
      <c r="AS281" s="619" t="b">
        <v>1</v>
      </c>
    </row>
    <row s="1459" customFormat="1" customHeight="1" ht="23.25">
      <c r="A282" s="1459"/>
      <c r="B282" s="1459"/>
      <c r="C282" s="1459"/>
      <c r="D282" s="1459"/>
      <c r="E282" s="629">
        <v>15</v>
      </c>
      <c r="F282" s="104" cm="1" t="str">
        <f t="array" ref="F282:F282">OFFSET(G282,-1,-1)</f>
        <v>4</v>
      </c>
      <c r="G282" s="1459"/>
      <c r="H282" s="1459"/>
      <c r="I282" s="104" t="s">
        <v>1053</v>
      </c>
      <c r="J282" s="1459"/>
      <c r="K282" s="104" t="s">
        <v>1054</v>
      </c>
      <c r="L282" s="1459"/>
      <c r="M282" s="1459"/>
      <c r="N282" s="1459"/>
      <c r="O282" s="1459"/>
      <c r="P282" s="1459"/>
      <c r="Q282" s="1459"/>
      <c r="R282" s="1459"/>
      <c r="S282" s="1459"/>
      <c r="T282" s="1459"/>
      <c r="U282" s="465">
        <f>AND(F282&gt;0,AB282&gt;0)</f>
        <v>1</v>
      </c>
      <c r="V282" s="1459"/>
      <c r="W282" s="1459"/>
      <c r="X282" s="717"/>
      <c r="Y282" s="1459"/>
      <c r="Z282" s="1459"/>
      <c r="AA282" s="662" t="s">
        <v>175</v>
      </c>
      <c r="AB282" s="88" t="s">
        <v>573</v>
      </c>
      <c r="AC282" s="274" t="str">
        <f>I282&amp;" :: "&amp;K282</f>
        <v>канализационная сеть ул. Дзержинского, 19, 21, 23 :: г Калтан, ул. Дзержинского, 19, 21, 23</v>
      </c>
      <c r="AD282" s="274" t="s">
        <v>430</v>
      </c>
      <c r="AE282" s="274" t="s">
        <v>431</v>
      </c>
      <c r="AF282" s="405" t="s">
        <v>432</v>
      </c>
      <c r="AG282" s="405" t="s">
        <v>433</v>
      </c>
      <c r="AH282" s="2040" t="s">
        <v>434</v>
      </c>
      <c r="AI282" s="1459"/>
      <c r="AJ282" s="1459"/>
      <c r="AK282" s="1000" t="s">
        <v>424</v>
      </c>
      <c r="AL282" s="1000" t="s">
        <v>425</v>
      </c>
      <c r="AM282" s="1000" cm="1" t="str">
        <f t="array" ref="AM282:AM282">AC282</f>
        <v>канализационная сеть ул. Дзержинского, 19, 21, 23 :: г Калтан, ул. Дзержинского, 19, 21, 23</v>
      </c>
      <c r="AN282" s="1000" cm="1" t="str">
        <f t="array" ref="AN282:AN282">AD282</f>
        <v>концессионное соглашение</v>
      </c>
      <c r="AO282" s="1000" cm="1" t="str">
        <f t="array" ref="AO282:AO282">AE282</f>
        <v>акт приёма-передачи</v>
      </c>
      <c r="AP282" s="1000" cm="1" t="str">
        <f t="array" ref="AP282:AP282">AF282</f>
        <v>б/н</v>
      </c>
      <c r="AQ282" s="1000" cm="1" t="str">
        <f t="array" ref="AQ282:AQ282">AG282</f>
        <v>01.06.2026</v>
      </c>
      <c r="AR282" s="619"/>
      <c r="AS282" s="619" t="b">
        <v>1</v>
      </c>
    </row>
    <row s="1459" customFormat="1" customHeight="1" ht="23.25">
      <c r="A283" s="1459"/>
      <c r="B283" s="1459"/>
      <c r="C283" s="1459"/>
      <c r="D283" s="1459"/>
      <c r="E283" s="629">
        <v>15</v>
      </c>
      <c r="F283" s="104" cm="1" t="str">
        <f t="array" ref="F283:F283">OFFSET(G283,-1,-1)</f>
        <v>4</v>
      </c>
      <c r="G283" s="1459"/>
      <c r="H283" s="1459"/>
      <c r="I283" s="104" t="s">
        <v>1055</v>
      </c>
      <c r="J283" s="1459"/>
      <c r="K283" s="104" t="s">
        <v>1056</v>
      </c>
      <c r="L283" s="1459"/>
      <c r="M283" s="1459"/>
      <c r="N283" s="1459"/>
      <c r="O283" s="1459"/>
      <c r="P283" s="1459"/>
      <c r="Q283" s="1459"/>
      <c r="R283" s="1459"/>
      <c r="S283" s="1459"/>
      <c r="T283" s="1459"/>
      <c r="U283" s="465">
        <f>AND(F283&gt;0,AB283&gt;0)</f>
        <v>1</v>
      </c>
      <c r="V283" s="1459"/>
      <c r="W283" s="1459"/>
      <c r="X283" s="717"/>
      <c r="Y283" s="1459"/>
      <c r="Z283" s="1459"/>
      <c r="AA283" s="662" t="s">
        <v>175</v>
      </c>
      <c r="AB283" s="88" t="s">
        <v>576</v>
      </c>
      <c r="AC283" s="274" t="str">
        <f>I283&amp;" :: "&amp;K283</f>
        <v>канализационная сеть ул. Дзержинского, 20, 22, 24, 26, 28 :: г Калтан, ул. Дзержинского, 20, 22, 24, 26, 28</v>
      </c>
      <c r="AD283" s="274" t="s">
        <v>430</v>
      </c>
      <c r="AE283" s="274" t="s">
        <v>431</v>
      </c>
      <c r="AF283" s="405" t="s">
        <v>432</v>
      </c>
      <c r="AG283" s="405" t="s">
        <v>433</v>
      </c>
      <c r="AH283" s="2040" t="s">
        <v>434</v>
      </c>
      <c r="AI283" s="1459"/>
      <c r="AJ283" s="1459"/>
      <c r="AK283" s="1000" t="s">
        <v>424</v>
      </c>
      <c r="AL283" s="1000" t="s">
        <v>425</v>
      </c>
      <c r="AM283" s="1000" cm="1" t="str">
        <f t="array" ref="AM283:AM283">AC283</f>
        <v>канализационная сеть ул. Дзержинского, 20, 22, 24, 26, 28 :: г Калтан, ул. Дзержинского, 20, 22, 24, 26, 28</v>
      </c>
      <c r="AN283" s="1000" cm="1" t="str">
        <f t="array" ref="AN283:AN283">AD283</f>
        <v>концессионное соглашение</v>
      </c>
      <c r="AO283" s="1000" cm="1" t="str">
        <f t="array" ref="AO283:AO283">AE283</f>
        <v>акт приёма-передачи</v>
      </c>
      <c r="AP283" s="1000" cm="1" t="str">
        <f t="array" ref="AP283:AP283">AF283</f>
        <v>б/н</v>
      </c>
      <c r="AQ283" s="1000" cm="1" t="str">
        <f t="array" ref="AQ283:AQ283">AG283</f>
        <v>01.06.2026</v>
      </c>
      <c r="AR283" s="619"/>
      <c r="AS283" s="619" t="b">
        <v>1</v>
      </c>
    </row>
    <row s="1459" customFormat="1" customHeight="1" ht="23.25">
      <c r="A284" s="1459"/>
      <c r="B284" s="1459"/>
      <c r="C284" s="1459"/>
      <c r="D284" s="1459"/>
      <c r="E284" s="629">
        <v>15</v>
      </c>
      <c r="F284" s="104" cm="1" t="str">
        <f t="array" ref="F284:F284">OFFSET(G284,-1,-1)</f>
        <v>4</v>
      </c>
      <c r="G284" s="1459"/>
      <c r="H284" s="1459"/>
      <c r="I284" s="104" t="s">
        <v>1057</v>
      </c>
      <c r="J284" s="1459"/>
      <c r="K284" s="104" t="s">
        <v>1058</v>
      </c>
      <c r="L284" s="1459"/>
      <c r="M284" s="1459"/>
      <c r="N284" s="1459"/>
      <c r="O284" s="1459"/>
      <c r="P284" s="1459"/>
      <c r="Q284" s="1459"/>
      <c r="R284" s="1459"/>
      <c r="S284" s="1459"/>
      <c r="T284" s="1459"/>
      <c r="U284" s="465">
        <f>AND(F284&gt;0,AB284&gt;0)</f>
        <v>1</v>
      </c>
      <c r="V284" s="1459"/>
      <c r="W284" s="1459"/>
      <c r="X284" s="717"/>
      <c r="Y284" s="1459"/>
      <c r="Z284" s="1459"/>
      <c r="AA284" s="662" t="s">
        <v>175</v>
      </c>
      <c r="AB284" s="88" t="s">
        <v>579</v>
      </c>
      <c r="AC284" s="274" t="str">
        <f>I284&amp;" :: "&amp;K284</f>
        <v>канализационная сеть ул. Дзержинского, 25, 27, 29, 31, 33 :: г Калтан, ул. Дзержинского, 25, 27, 29, 31, 33</v>
      </c>
      <c r="AD284" s="274" t="s">
        <v>430</v>
      </c>
      <c r="AE284" s="274" t="s">
        <v>431</v>
      </c>
      <c r="AF284" s="405" t="s">
        <v>432</v>
      </c>
      <c r="AG284" s="405" t="s">
        <v>433</v>
      </c>
      <c r="AH284" s="2040" t="s">
        <v>434</v>
      </c>
      <c r="AI284" s="1459"/>
      <c r="AJ284" s="1459"/>
      <c r="AK284" s="1000" t="s">
        <v>424</v>
      </c>
      <c r="AL284" s="1000" t="s">
        <v>425</v>
      </c>
      <c r="AM284" s="1000" cm="1" t="str">
        <f t="array" ref="AM284:AM284">AC284</f>
        <v>канализационная сеть ул. Дзержинского, 25, 27, 29, 31, 33 :: г Калтан, ул. Дзержинского, 25, 27, 29, 31, 33</v>
      </c>
      <c r="AN284" s="1000" cm="1" t="str">
        <f t="array" ref="AN284:AN284">AD284</f>
        <v>концессионное соглашение</v>
      </c>
      <c r="AO284" s="1000" cm="1" t="str">
        <f t="array" ref="AO284:AO284">AE284</f>
        <v>акт приёма-передачи</v>
      </c>
      <c r="AP284" s="1000" cm="1" t="str">
        <f t="array" ref="AP284:AP284">AF284</f>
        <v>б/н</v>
      </c>
      <c r="AQ284" s="1000" cm="1" t="str">
        <f t="array" ref="AQ284:AQ284">AG284</f>
        <v>01.06.2026</v>
      </c>
      <c r="AR284" s="619"/>
      <c r="AS284" s="619" t="b">
        <v>1</v>
      </c>
    </row>
    <row s="1459" customFormat="1" customHeight="1" ht="23.25">
      <c r="A285" s="1459"/>
      <c r="B285" s="1459"/>
      <c r="C285" s="1459"/>
      <c r="D285" s="1459"/>
      <c r="E285" s="629">
        <v>15</v>
      </c>
      <c r="F285" s="104" cm="1" t="str">
        <f t="array" ref="F285:F285">OFFSET(G285,-1,-1)</f>
        <v>4</v>
      </c>
      <c r="G285" s="1459"/>
      <c r="H285" s="1459"/>
      <c r="I285" s="104" t="s">
        <v>1059</v>
      </c>
      <c r="J285" s="1459"/>
      <c r="K285" s="104" t="s">
        <v>1060</v>
      </c>
      <c r="L285" s="1459"/>
      <c r="M285" s="1459"/>
      <c r="N285" s="1459"/>
      <c r="O285" s="1459"/>
      <c r="P285" s="1459"/>
      <c r="Q285" s="1459"/>
      <c r="R285" s="1459"/>
      <c r="S285" s="1459"/>
      <c r="T285" s="1459"/>
      <c r="U285" s="465">
        <f>AND(F285&gt;0,AB285&gt;0)</f>
        <v>1</v>
      </c>
      <c r="V285" s="1459"/>
      <c r="W285" s="1459"/>
      <c r="X285" s="717"/>
      <c r="Y285" s="1459"/>
      <c r="Z285" s="1459"/>
      <c r="AA285" s="662" t="s">
        <v>175</v>
      </c>
      <c r="AB285" s="88" t="s">
        <v>582</v>
      </c>
      <c r="AC285" s="274" t="str">
        <f>I285&amp;" :: "&amp;K285</f>
        <v>канализационная сеть ул. Дзержинского, 30, 32, 34 :: г Калтан, ул. Дзержинского, 30, 32, 34</v>
      </c>
      <c r="AD285" s="274" t="s">
        <v>430</v>
      </c>
      <c r="AE285" s="274" t="s">
        <v>431</v>
      </c>
      <c r="AF285" s="405" t="s">
        <v>432</v>
      </c>
      <c r="AG285" s="405" t="s">
        <v>433</v>
      </c>
      <c r="AH285" s="2040" t="s">
        <v>434</v>
      </c>
      <c r="AI285" s="1459"/>
      <c r="AJ285" s="1459"/>
      <c r="AK285" s="1000" t="s">
        <v>424</v>
      </c>
      <c r="AL285" s="1000" t="s">
        <v>425</v>
      </c>
      <c r="AM285" s="1000" cm="1" t="str">
        <f t="array" ref="AM285:AM285">AC285</f>
        <v>канализационная сеть ул. Дзержинского, 30, 32, 34 :: г Калтан, ул. Дзержинского, 30, 32, 34</v>
      </c>
      <c r="AN285" s="1000" cm="1" t="str">
        <f t="array" ref="AN285:AN285">AD285</f>
        <v>концессионное соглашение</v>
      </c>
      <c r="AO285" s="1000" cm="1" t="str">
        <f t="array" ref="AO285:AO285">AE285</f>
        <v>акт приёма-передачи</v>
      </c>
      <c r="AP285" s="1000" cm="1" t="str">
        <f t="array" ref="AP285:AP285">AF285</f>
        <v>б/н</v>
      </c>
      <c r="AQ285" s="1000" cm="1" t="str">
        <f t="array" ref="AQ285:AQ285">AG285</f>
        <v>01.06.2026</v>
      </c>
      <c r="AR285" s="619"/>
      <c r="AS285" s="619" t="b">
        <v>1</v>
      </c>
    </row>
    <row s="1459" customFormat="1" customHeight="1" ht="23.25">
      <c r="A286" s="1459"/>
      <c r="B286" s="1459"/>
      <c r="C286" s="1459"/>
      <c r="D286" s="1459"/>
      <c r="E286" s="629">
        <v>15</v>
      </c>
      <c r="F286" s="104" cm="1" t="str">
        <f t="array" ref="F286:F286">OFFSET(G286,-1,-1)</f>
        <v>4</v>
      </c>
      <c r="G286" s="1459"/>
      <c r="H286" s="1459"/>
      <c r="I286" s="104" t="s">
        <v>1061</v>
      </c>
      <c r="J286" s="1459"/>
      <c r="K286" s="104" t="s">
        <v>1062</v>
      </c>
      <c r="L286" s="1459"/>
      <c r="M286" s="1459"/>
      <c r="N286" s="1459"/>
      <c r="O286" s="1459"/>
      <c r="P286" s="1459"/>
      <c r="Q286" s="1459"/>
      <c r="R286" s="1459"/>
      <c r="S286" s="1459"/>
      <c r="T286" s="1459"/>
      <c r="U286" s="465">
        <f>AND(F286&gt;0,AB286&gt;0)</f>
        <v>1</v>
      </c>
      <c r="V286" s="1459"/>
      <c r="W286" s="1459"/>
      <c r="X286" s="717"/>
      <c r="Y286" s="1459"/>
      <c r="Z286" s="1459"/>
      <c r="AA286" s="662" t="s">
        <v>175</v>
      </c>
      <c r="AB286" s="88" t="s">
        <v>585</v>
      </c>
      <c r="AC286" s="274" t="str">
        <f>I286&amp;" :: "&amp;K286</f>
        <v>канализационная сеть ул. Дзержинского, 35, 37 :: г Калтан, ул. Дзержинского, 35, 37</v>
      </c>
      <c r="AD286" s="274" t="s">
        <v>430</v>
      </c>
      <c r="AE286" s="274" t="s">
        <v>431</v>
      </c>
      <c r="AF286" s="405" t="s">
        <v>432</v>
      </c>
      <c r="AG286" s="405" t="s">
        <v>433</v>
      </c>
      <c r="AH286" s="2040" t="s">
        <v>434</v>
      </c>
      <c r="AI286" s="1459"/>
      <c r="AJ286" s="1459"/>
      <c r="AK286" s="1000" t="s">
        <v>424</v>
      </c>
      <c r="AL286" s="1000" t="s">
        <v>425</v>
      </c>
      <c r="AM286" s="1000" cm="1" t="str">
        <f t="array" ref="AM286:AM286">AC286</f>
        <v>канализационная сеть ул. Дзержинского, 35, 37 :: г Калтан, ул. Дзержинского, 35, 37</v>
      </c>
      <c r="AN286" s="1000" cm="1" t="str">
        <f t="array" ref="AN286:AN286">AD286</f>
        <v>концессионное соглашение</v>
      </c>
      <c r="AO286" s="1000" cm="1" t="str">
        <f t="array" ref="AO286:AO286">AE286</f>
        <v>акт приёма-передачи</v>
      </c>
      <c r="AP286" s="1000" cm="1" t="str">
        <f t="array" ref="AP286:AP286">AF286</f>
        <v>б/н</v>
      </c>
      <c r="AQ286" s="1000" cm="1" t="str">
        <f t="array" ref="AQ286:AQ286">AG286</f>
        <v>01.06.2026</v>
      </c>
      <c r="AR286" s="619"/>
      <c r="AS286" s="619" t="b">
        <v>1</v>
      </c>
    </row>
    <row s="1459" customFormat="1" customHeight="1" ht="23.25">
      <c r="A287" s="1459"/>
      <c r="B287" s="1459"/>
      <c r="C287" s="1459"/>
      <c r="D287" s="1459"/>
      <c r="E287" s="629">
        <v>15</v>
      </c>
      <c r="F287" s="104" cm="1" t="str">
        <f t="array" ref="F287:F287">OFFSET(G287,-1,-1)</f>
        <v>4</v>
      </c>
      <c r="G287" s="1459"/>
      <c r="H287" s="1459"/>
      <c r="I287" s="104" t="s">
        <v>1063</v>
      </c>
      <c r="J287" s="1459"/>
      <c r="K287" s="104" t="s">
        <v>1064</v>
      </c>
      <c r="L287" s="1459"/>
      <c r="M287" s="1459"/>
      <c r="N287" s="1459"/>
      <c r="O287" s="1459"/>
      <c r="P287" s="1459"/>
      <c r="Q287" s="1459"/>
      <c r="R287" s="1459"/>
      <c r="S287" s="1459"/>
      <c r="T287" s="1459"/>
      <c r="U287" s="465">
        <f>AND(F287&gt;0,AB287&gt;0)</f>
        <v>1</v>
      </c>
      <c r="V287" s="1459"/>
      <c r="W287" s="1459"/>
      <c r="X287" s="717"/>
      <c r="Y287" s="1459"/>
      <c r="Z287" s="1459"/>
      <c r="AA287" s="662" t="s">
        <v>175</v>
      </c>
      <c r="AB287" s="88" t="s">
        <v>587</v>
      </c>
      <c r="AC287" s="274" t="str">
        <f>I287&amp;" :: "&amp;K287</f>
        <v>канализационная сеть ул. Дзержинского, 36,38 :: г Калтан, ул. Дзержинского, 36,38</v>
      </c>
      <c r="AD287" s="274" t="s">
        <v>430</v>
      </c>
      <c r="AE287" s="274" t="s">
        <v>431</v>
      </c>
      <c r="AF287" s="405" t="s">
        <v>432</v>
      </c>
      <c r="AG287" s="405" t="s">
        <v>433</v>
      </c>
      <c r="AH287" s="2040" t="s">
        <v>434</v>
      </c>
      <c r="AI287" s="1459"/>
      <c r="AJ287" s="1459"/>
      <c r="AK287" s="1000" t="s">
        <v>424</v>
      </c>
      <c r="AL287" s="1000" t="s">
        <v>425</v>
      </c>
      <c r="AM287" s="1000" cm="1" t="str">
        <f t="array" ref="AM287:AM287">AC287</f>
        <v>канализационная сеть ул. Дзержинского, 36,38 :: г Калтан, ул. Дзержинского, 36,38</v>
      </c>
      <c r="AN287" s="1000" cm="1" t="str">
        <f t="array" ref="AN287:AN287">AD287</f>
        <v>концессионное соглашение</v>
      </c>
      <c r="AO287" s="1000" cm="1" t="str">
        <f t="array" ref="AO287:AO287">AE287</f>
        <v>акт приёма-передачи</v>
      </c>
      <c r="AP287" s="1000" cm="1" t="str">
        <f t="array" ref="AP287:AP287">AF287</f>
        <v>б/н</v>
      </c>
      <c r="AQ287" s="1000" cm="1" t="str">
        <f t="array" ref="AQ287:AQ287">AG287</f>
        <v>01.06.2026</v>
      </c>
      <c r="AR287" s="619"/>
      <c r="AS287" s="619" t="b">
        <v>1</v>
      </c>
    </row>
    <row s="1459" customFormat="1" customHeight="1" ht="23.25">
      <c r="A288" s="1459"/>
      <c r="B288" s="1459"/>
      <c r="C288" s="1459"/>
      <c r="D288" s="1459"/>
      <c r="E288" s="629">
        <v>15</v>
      </c>
      <c r="F288" s="104" cm="1" t="str">
        <f t="array" ref="F288:F288">OFFSET(G288,-1,-1)</f>
        <v>4</v>
      </c>
      <c r="G288" s="1459"/>
      <c r="H288" s="1459"/>
      <c r="I288" s="104" t="s">
        <v>1065</v>
      </c>
      <c r="J288" s="1459"/>
      <c r="K288" s="104" t="s">
        <v>1066</v>
      </c>
      <c r="L288" s="1459"/>
      <c r="M288" s="1459"/>
      <c r="N288" s="1459"/>
      <c r="O288" s="1459"/>
      <c r="P288" s="1459"/>
      <c r="Q288" s="1459"/>
      <c r="R288" s="1459"/>
      <c r="S288" s="1459"/>
      <c r="T288" s="1459"/>
      <c r="U288" s="465">
        <f>AND(F288&gt;0,AB288&gt;0)</f>
        <v>1</v>
      </c>
      <c r="V288" s="1459"/>
      <c r="W288" s="1459"/>
      <c r="X288" s="717"/>
      <c r="Y288" s="1459"/>
      <c r="Z288" s="1459"/>
      <c r="AA288" s="662" t="s">
        <v>175</v>
      </c>
      <c r="AB288" s="88" t="s">
        <v>590</v>
      </c>
      <c r="AC288" s="274" t="str">
        <f>I288&amp;" :: "&amp;K288</f>
        <v>канализационная сеть ул. Дзержинского, 4, 6, 8, 10 ,12 :: г Калтан, ул. Дзержинского, 4, 6, 8, 10, 12</v>
      </c>
      <c r="AD288" s="274" t="s">
        <v>430</v>
      </c>
      <c r="AE288" s="274" t="s">
        <v>431</v>
      </c>
      <c r="AF288" s="405" t="s">
        <v>432</v>
      </c>
      <c r="AG288" s="405" t="s">
        <v>433</v>
      </c>
      <c r="AH288" s="2040" t="s">
        <v>434</v>
      </c>
      <c r="AI288" s="1459"/>
      <c r="AJ288" s="1459"/>
      <c r="AK288" s="1000" t="s">
        <v>424</v>
      </c>
      <c r="AL288" s="1000" t="s">
        <v>425</v>
      </c>
      <c r="AM288" s="1000" cm="1" t="str">
        <f t="array" ref="AM288:AM288">AC288</f>
        <v>канализационная сеть ул. Дзержинского, 4, 6, 8, 10 ,12 :: г Калтан, ул. Дзержинского, 4, 6, 8, 10, 12</v>
      </c>
      <c r="AN288" s="1000" cm="1" t="str">
        <f t="array" ref="AN288:AN288">AD288</f>
        <v>концессионное соглашение</v>
      </c>
      <c r="AO288" s="1000" cm="1" t="str">
        <f t="array" ref="AO288:AO288">AE288</f>
        <v>акт приёма-передачи</v>
      </c>
      <c r="AP288" s="1000" cm="1" t="str">
        <f t="array" ref="AP288:AP288">AF288</f>
        <v>б/н</v>
      </c>
      <c r="AQ288" s="1000" cm="1" t="str">
        <f t="array" ref="AQ288:AQ288">AG288</f>
        <v>01.06.2026</v>
      </c>
      <c r="AR288" s="619"/>
      <c r="AS288" s="619" t="b">
        <v>1</v>
      </c>
    </row>
    <row s="1459" customFormat="1" customHeight="1" ht="23.25">
      <c r="A289" s="1459"/>
      <c r="B289" s="1459"/>
      <c r="C289" s="1459"/>
      <c r="D289" s="1459"/>
      <c r="E289" s="629">
        <v>15</v>
      </c>
      <c r="F289" s="104" cm="1" t="str">
        <f t="array" ref="F289:F289">OFFSET(G289,-1,-1)</f>
        <v>4</v>
      </c>
      <c r="G289" s="1459"/>
      <c r="H289" s="1459"/>
      <c r="I289" s="104" t="s">
        <v>1067</v>
      </c>
      <c r="J289" s="1459"/>
      <c r="K289" s="104" t="s">
        <v>1068</v>
      </c>
      <c r="L289" s="1459"/>
      <c r="M289" s="1459"/>
      <c r="N289" s="1459"/>
      <c r="O289" s="1459"/>
      <c r="P289" s="1459"/>
      <c r="Q289" s="1459"/>
      <c r="R289" s="1459"/>
      <c r="S289" s="1459"/>
      <c r="T289" s="1459"/>
      <c r="U289" s="465">
        <f>AND(F289&gt;0,AB289&gt;0)</f>
        <v>1</v>
      </c>
      <c r="V289" s="1459"/>
      <c r="W289" s="1459"/>
      <c r="X289" s="717"/>
      <c r="Y289" s="1459"/>
      <c r="Z289" s="1459"/>
      <c r="AA289" s="662" t="s">
        <v>175</v>
      </c>
      <c r="AB289" s="88" t="s">
        <v>593</v>
      </c>
      <c r="AC289" s="274" t="str">
        <f>I289&amp;" :: "&amp;K289</f>
        <v>канализационная сеть ул. Дзержинского, 40,42 :: г Калтан, ул. Дзержинского, 40,42</v>
      </c>
      <c r="AD289" s="274" t="s">
        <v>430</v>
      </c>
      <c r="AE289" s="274" t="s">
        <v>431</v>
      </c>
      <c r="AF289" s="405" t="s">
        <v>432</v>
      </c>
      <c r="AG289" s="405" t="s">
        <v>433</v>
      </c>
      <c r="AH289" s="2040" t="s">
        <v>434</v>
      </c>
      <c r="AI289" s="1459"/>
      <c r="AJ289" s="1459"/>
      <c r="AK289" s="1000" t="s">
        <v>424</v>
      </c>
      <c r="AL289" s="1000" t="s">
        <v>425</v>
      </c>
      <c r="AM289" s="1000" cm="1" t="str">
        <f t="array" ref="AM289:AM289">AC289</f>
        <v>канализационная сеть ул. Дзержинского, 40,42 :: г Калтан, ул. Дзержинского, 40,42</v>
      </c>
      <c r="AN289" s="1000" cm="1" t="str">
        <f t="array" ref="AN289:AN289">AD289</f>
        <v>концессионное соглашение</v>
      </c>
      <c r="AO289" s="1000" cm="1" t="str">
        <f t="array" ref="AO289:AO289">AE289</f>
        <v>акт приёма-передачи</v>
      </c>
      <c r="AP289" s="1000" cm="1" t="str">
        <f t="array" ref="AP289:AP289">AF289</f>
        <v>б/н</v>
      </c>
      <c r="AQ289" s="1000" cm="1" t="str">
        <f t="array" ref="AQ289:AQ289">AG289</f>
        <v>01.06.2026</v>
      </c>
      <c r="AR289" s="619"/>
      <c r="AS289" s="619" t="b">
        <v>1</v>
      </c>
    </row>
    <row s="1459" customFormat="1" customHeight="1" ht="23.25">
      <c r="A290" s="1459"/>
      <c r="B290" s="1459"/>
      <c r="C290" s="1459"/>
      <c r="D290" s="1459"/>
      <c r="E290" s="629">
        <v>15</v>
      </c>
      <c r="F290" s="104" cm="1" t="str">
        <f t="array" ref="F290:F290">OFFSET(G290,-1,-1)</f>
        <v>4</v>
      </c>
      <c r="G290" s="1459"/>
      <c r="H290" s="1459"/>
      <c r="I290" s="104" t="s">
        <v>1069</v>
      </c>
      <c r="J290" s="1459"/>
      <c r="K290" s="104" t="s">
        <v>1070</v>
      </c>
      <c r="L290" s="1459"/>
      <c r="M290" s="1459"/>
      <c r="N290" s="1459"/>
      <c r="O290" s="1459"/>
      <c r="P290" s="1459"/>
      <c r="Q290" s="1459"/>
      <c r="R290" s="1459"/>
      <c r="S290" s="1459"/>
      <c r="T290" s="1459"/>
      <c r="U290" s="465">
        <f>AND(F290&gt;0,AB290&gt;0)</f>
        <v>1</v>
      </c>
      <c r="V290" s="1459"/>
      <c r="W290" s="1459"/>
      <c r="X290" s="717"/>
      <c r="Y290" s="1459"/>
      <c r="Z290" s="1459"/>
      <c r="AA290" s="662" t="s">
        <v>175</v>
      </c>
      <c r="AB290" s="88" t="s">
        <v>596</v>
      </c>
      <c r="AC290" s="274" t="str">
        <f>I290&amp;" :: "&amp;K290</f>
        <v>квартальные сети п. Постоянный :: г Калтан, ул. Дзержинского, 44-33; 20-34а</v>
      </c>
      <c r="AD290" s="274" t="s">
        <v>430</v>
      </c>
      <c r="AE290" s="274" t="s">
        <v>431</v>
      </c>
      <c r="AF290" s="405" t="s">
        <v>432</v>
      </c>
      <c r="AG290" s="405" t="s">
        <v>433</v>
      </c>
      <c r="AH290" s="2040" t="s">
        <v>434</v>
      </c>
      <c r="AI290" s="1459"/>
      <c r="AJ290" s="1459"/>
      <c r="AK290" s="1000" t="s">
        <v>424</v>
      </c>
      <c r="AL290" s="1000" t="s">
        <v>425</v>
      </c>
      <c r="AM290" s="1000" cm="1" t="str">
        <f t="array" ref="AM290:AM290">AC290</f>
        <v>квартальные сети п. Постоянный :: г Калтан, ул. Дзержинского, 44-33; 20-34а</v>
      </c>
      <c r="AN290" s="1000" cm="1" t="str">
        <f t="array" ref="AN290:AN290">AD290</f>
        <v>концессионное соглашение</v>
      </c>
      <c r="AO290" s="1000" cm="1" t="str">
        <f t="array" ref="AO290:AO290">AE290</f>
        <v>акт приёма-передачи</v>
      </c>
      <c r="AP290" s="1000" cm="1" t="str">
        <f t="array" ref="AP290:AP290">AF290</f>
        <v>б/н</v>
      </c>
      <c r="AQ290" s="1000" cm="1" t="str">
        <f t="array" ref="AQ290:AQ290">AG290</f>
        <v>01.06.2026</v>
      </c>
      <c r="AR290" s="619"/>
      <c r="AS290" s="619" t="b">
        <v>1</v>
      </c>
    </row>
    <row s="1459" customFormat="1" customHeight="1" ht="23.25">
      <c r="A291" s="1459"/>
      <c r="B291" s="1459"/>
      <c r="C291" s="1459"/>
      <c r="D291" s="1459"/>
      <c r="E291" s="629">
        <v>15</v>
      </c>
      <c r="F291" s="104" cm="1" t="str">
        <f t="array" ref="F291:F291">OFFSET(G291,-1,-1)</f>
        <v>4</v>
      </c>
      <c r="G291" s="1459"/>
      <c r="H291" s="1459"/>
      <c r="I291" s="104" t="s">
        <v>1071</v>
      </c>
      <c r="J291" s="1459"/>
      <c r="K291" s="104" t="s">
        <v>557</v>
      </c>
      <c r="L291" s="1459"/>
      <c r="M291" s="1459"/>
      <c r="N291" s="1459"/>
      <c r="O291" s="1459"/>
      <c r="P291" s="1459"/>
      <c r="Q291" s="1459"/>
      <c r="R291" s="1459"/>
      <c r="S291" s="1459"/>
      <c r="T291" s="1459"/>
      <c r="U291" s="465">
        <f>AND(F291&gt;0,AB291&gt;0)</f>
        <v>1</v>
      </c>
      <c r="V291" s="1459"/>
      <c r="W291" s="1459"/>
      <c r="X291" s="717"/>
      <c r="Y291" s="1459"/>
      <c r="Z291" s="1459"/>
      <c r="AA291" s="662" t="s">
        <v>175</v>
      </c>
      <c r="AB291" s="88" t="s">
        <v>599</v>
      </c>
      <c r="AC291" s="274" t="str">
        <f>I291&amp;" :: "&amp;K291</f>
        <v>канализационная сеть ул. Дзержинского, 47 :: г Калтан, ул. Дзержинского, 47</v>
      </c>
      <c r="AD291" s="274" t="s">
        <v>430</v>
      </c>
      <c r="AE291" s="274" t="s">
        <v>431</v>
      </c>
      <c r="AF291" s="405" t="s">
        <v>432</v>
      </c>
      <c r="AG291" s="405" t="s">
        <v>433</v>
      </c>
      <c r="AH291" s="2040" t="s">
        <v>434</v>
      </c>
      <c r="AI291" s="1459"/>
      <c r="AJ291" s="1459"/>
      <c r="AK291" s="1000" t="s">
        <v>424</v>
      </c>
      <c r="AL291" s="1000" t="s">
        <v>425</v>
      </c>
      <c r="AM291" s="1000" cm="1" t="str">
        <f t="array" ref="AM291:AM291">AC291</f>
        <v>канализационная сеть ул. Дзержинского, 47 :: г Калтан, ул. Дзержинского, 47</v>
      </c>
      <c r="AN291" s="1000" cm="1" t="str">
        <f t="array" ref="AN291:AN291">AD291</f>
        <v>концессионное соглашение</v>
      </c>
      <c r="AO291" s="1000" cm="1" t="str">
        <f t="array" ref="AO291:AO291">AE291</f>
        <v>акт приёма-передачи</v>
      </c>
      <c r="AP291" s="1000" cm="1" t="str">
        <f t="array" ref="AP291:AP291">AF291</f>
        <v>б/н</v>
      </c>
      <c r="AQ291" s="1000" cm="1" t="str">
        <f t="array" ref="AQ291:AQ291">AG291</f>
        <v>01.06.2026</v>
      </c>
      <c r="AR291" s="619"/>
      <c r="AS291" s="619" t="b">
        <v>1</v>
      </c>
    </row>
    <row s="1459" customFormat="1" customHeight="1" ht="23.25">
      <c r="A292" s="1459"/>
      <c r="B292" s="1459"/>
      <c r="C292" s="1459"/>
      <c r="D292" s="1459"/>
      <c r="E292" s="629">
        <v>15</v>
      </c>
      <c r="F292" s="104" cm="1" t="str">
        <f t="array" ref="F292:F292">OFFSET(G292,-1,-1)</f>
        <v>4</v>
      </c>
      <c r="G292" s="1459"/>
      <c r="H292" s="1459"/>
      <c r="I292" s="104" t="s">
        <v>1072</v>
      </c>
      <c r="J292" s="1459"/>
      <c r="K292" s="104" t="s">
        <v>1073</v>
      </c>
      <c r="L292" s="1459"/>
      <c r="M292" s="1459"/>
      <c r="N292" s="1459"/>
      <c r="O292" s="1459"/>
      <c r="P292" s="1459"/>
      <c r="Q292" s="1459"/>
      <c r="R292" s="1459"/>
      <c r="S292" s="1459"/>
      <c r="T292" s="1459"/>
      <c r="U292" s="465">
        <f>AND(F292&gt;0,AB292&gt;0)</f>
        <v>1</v>
      </c>
      <c r="V292" s="1459"/>
      <c r="W292" s="1459"/>
      <c r="X292" s="717"/>
      <c r="Y292" s="1459"/>
      <c r="Z292" s="1459"/>
      <c r="AA292" s="662" t="s">
        <v>175</v>
      </c>
      <c r="AB292" s="88" t="s">
        <v>602</v>
      </c>
      <c r="AC292" s="274" t="str">
        <f>I292&amp;" :: "&amp;K292</f>
        <v>дворовая канализация ул. Дзержинского, 49 :: г Калтан, ул. Дзержинского, 49</v>
      </c>
      <c r="AD292" s="274" t="s">
        <v>430</v>
      </c>
      <c r="AE292" s="274" t="s">
        <v>431</v>
      </c>
      <c r="AF292" s="405" t="s">
        <v>432</v>
      </c>
      <c r="AG292" s="405" t="s">
        <v>433</v>
      </c>
      <c r="AH292" s="2040" t="s">
        <v>434</v>
      </c>
      <c r="AI292" s="1459"/>
      <c r="AJ292" s="1459"/>
      <c r="AK292" s="1000" t="s">
        <v>424</v>
      </c>
      <c r="AL292" s="1000" t="s">
        <v>425</v>
      </c>
      <c r="AM292" s="1000" cm="1" t="str">
        <f t="array" ref="AM292:AM292">AC292</f>
        <v>дворовая канализация ул. Дзержинского, 49 :: г Калтан, ул. Дзержинского, 49</v>
      </c>
      <c r="AN292" s="1000" cm="1" t="str">
        <f t="array" ref="AN292:AN292">AD292</f>
        <v>концессионное соглашение</v>
      </c>
      <c r="AO292" s="1000" cm="1" t="str">
        <f t="array" ref="AO292:AO292">AE292</f>
        <v>акт приёма-передачи</v>
      </c>
      <c r="AP292" s="1000" cm="1" t="str">
        <f t="array" ref="AP292:AP292">AF292</f>
        <v>б/н</v>
      </c>
      <c r="AQ292" s="1000" cm="1" t="str">
        <f t="array" ref="AQ292:AQ292">AG292</f>
        <v>01.06.2026</v>
      </c>
      <c r="AR292" s="619"/>
      <c r="AS292" s="619" t="b">
        <v>1</v>
      </c>
    </row>
    <row s="1459" customFormat="1" customHeight="1" ht="23.25">
      <c r="A293" s="1459"/>
      <c r="B293" s="1459"/>
      <c r="C293" s="1459"/>
      <c r="D293" s="1459"/>
      <c r="E293" s="629">
        <v>15</v>
      </c>
      <c r="F293" s="104" cm="1" t="str">
        <f t="array" ref="F293:F293">OFFSET(G293,-1,-1)</f>
        <v>4</v>
      </c>
      <c r="G293" s="1459"/>
      <c r="H293" s="1459"/>
      <c r="I293" s="104" t="s">
        <v>1074</v>
      </c>
      <c r="J293" s="1459"/>
      <c r="K293" s="104" t="s">
        <v>1075</v>
      </c>
      <c r="L293" s="1459"/>
      <c r="M293" s="1459"/>
      <c r="N293" s="1459"/>
      <c r="O293" s="1459"/>
      <c r="P293" s="1459"/>
      <c r="Q293" s="1459"/>
      <c r="R293" s="1459"/>
      <c r="S293" s="1459"/>
      <c r="T293" s="1459"/>
      <c r="U293" s="465">
        <f>AND(F293&gt;0,AB293&gt;0)</f>
        <v>1</v>
      </c>
      <c r="V293" s="1459"/>
      <c r="W293" s="1459"/>
      <c r="X293" s="717"/>
      <c r="Y293" s="1459"/>
      <c r="Z293" s="1459"/>
      <c r="AA293" s="662" t="s">
        <v>175</v>
      </c>
      <c r="AB293" s="88" t="s">
        <v>605</v>
      </c>
      <c r="AC293" s="274" t="str">
        <f>I293&amp;" :: "&amp;K293</f>
        <v>квартальная канализационная сеть ул. Дзержинского :: г Калтан, ул. Дзержинского, 5-33</v>
      </c>
      <c r="AD293" s="274" t="s">
        <v>430</v>
      </c>
      <c r="AE293" s="274" t="s">
        <v>431</v>
      </c>
      <c r="AF293" s="405" t="s">
        <v>432</v>
      </c>
      <c r="AG293" s="405" t="s">
        <v>433</v>
      </c>
      <c r="AH293" s="2040" t="s">
        <v>434</v>
      </c>
      <c r="AI293" s="1459"/>
      <c r="AJ293" s="1459"/>
      <c r="AK293" s="1000" t="s">
        <v>424</v>
      </c>
      <c r="AL293" s="1000" t="s">
        <v>425</v>
      </c>
      <c r="AM293" s="1000" cm="1" t="str">
        <f t="array" ref="AM293:AM293">AC293</f>
        <v>квартальная канализационная сеть ул. Дзержинского :: г Калтан, ул. Дзержинского, 5-33</v>
      </c>
      <c r="AN293" s="1000" cm="1" t="str">
        <f t="array" ref="AN293:AN293">AD293</f>
        <v>концессионное соглашение</v>
      </c>
      <c r="AO293" s="1000" cm="1" t="str">
        <f t="array" ref="AO293:AO293">AE293</f>
        <v>акт приёма-передачи</v>
      </c>
      <c r="AP293" s="1000" cm="1" t="str">
        <f t="array" ref="AP293:AP293">AF293</f>
        <v>б/н</v>
      </c>
      <c r="AQ293" s="1000" cm="1" t="str">
        <f t="array" ref="AQ293:AQ293">AG293</f>
        <v>01.06.2026</v>
      </c>
      <c r="AR293" s="619"/>
      <c r="AS293" s="619" t="b">
        <v>1</v>
      </c>
    </row>
    <row s="1459" customFormat="1" customHeight="1" ht="23.25">
      <c r="A294" s="1459"/>
      <c r="B294" s="1459"/>
      <c r="C294" s="1459"/>
      <c r="D294" s="1459"/>
      <c r="E294" s="629">
        <v>15</v>
      </c>
      <c r="F294" s="104" cm="1" t="str">
        <f t="array" ref="F294:F294">OFFSET(G294,-1,-1)</f>
        <v>4</v>
      </c>
      <c r="G294" s="1459"/>
      <c r="H294" s="1459"/>
      <c r="I294" s="104" t="s">
        <v>1076</v>
      </c>
      <c r="J294" s="1459"/>
      <c r="K294" s="104" t="s">
        <v>1077</v>
      </c>
      <c r="L294" s="1459"/>
      <c r="M294" s="1459"/>
      <c r="N294" s="1459"/>
      <c r="O294" s="1459"/>
      <c r="P294" s="1459"/>
      <c r="Q294" s="1459"/>
      <c r="R294" s="1459"/>
      <c r="S294" s="1459"/>
      <c r="T294" s="1459"/>
      <c r="U294" s="465">
        <f>AND(F294&gt;0,AB294&gt;0)</f>
        <v>1</v>
      </c>
      <c r="V294" s="1459"/>
      <c r="W294" s="1459"/>
      <c r="X294" s="717"/>
      <c r="Y294" s="1459"/>
      <c r="Z294" s="1459"/>
      <c r="AA294" s="662" t="s">
        <v>175</v>
      </c>
      <c r="AB294" s="88" t="s">
        <v>608</v>
      </c>
      <c r="AC294" s="274" t="str">
        <f>I294&amp;" :: "&amp;K294</f>
        <v>канализационная сеть ул. Дзержинского, 50,49,48,46, 44 :: г Калтан, ул. Дзержинского, 50,49,48,46, 44</v>
      </c>
      <c r="AD294" s="274" t="s">
        <v>430</v>
      </c>
      <c r="AE294" s="274" t="s">
        <v>431</v>
      </c>
      <c r="AF294" s="405" t="s">
        <v>432</v>
      </c>
      <c r="AG294" s="405" t="s">
        <v>433</v>
      </c>
      <c r="AH294" s="2040" t="s">
        <v>434</v>
      </c>
      <c r="AI294" s="1459"/>
      <c r="AJ294" s="1459"/>
      <c r="AK294" s="1000" t="s">
        <v>424</v>
      </c>
      <c r="AL294" s="1000" t="s">
        <v>425</v>
      </c>
      <c r="AM294" s="1000" cm="1" t="str">
        <f t="array" ref="AM294:AM294">AC294</f>
        <v>канализационная сеть ул. Дзержинского, 50,49,48,46, 44 :: г Калтан, ул. Дзержинского, 50,49,48,46, 44</v>
      </c>
      <c r="AN294" s="1000" cm="1" t="str">
        <f t="array" ref="AN294:AN294">AD294</f>
        <v>концессионное соглашение</v>
      </c>
      <c r="AO294" s="1000" cm="1" t="str">
        <f t="array" ref="AO294:AO294">AE294</f>
        <v>акт приёма-передачи</v>
      </c>
      <c r="AP294" s="1000" cm="1" t="str">
        <f t="array" ref="AP294:AP294">AF294</f>
        <v>б/н</v>
      </c>
      <c r="AQ294" s="1000" cm="1" t="str">
        <f t="array" ref="AQ294:AQ294">AG294</f>
        <v>01.06.2026</v>
      </c>
      <c r="AR294" s="619"/>
      <c r="AS294" s="619" t="b">
        <v>1</v>
      </c>
    </row>
    <row s="1459" customFormat="1" customHeight="1" ht="23.25">
      <c r="A295" s="1459"/>
      <c r="B295" s="1459"/>
      <c r="C295" s="1459"/>
      <c r="D295" s="1459"/>
      <c r="E295" s="629">
        <v>15</v>
      </c>
      <c r="F295" s="104" cm="1" t="str">
        <f t="array" ref="F295:F295">OFFSET(G295,-1,-1)</f>
        <v>4</v>
      </c>
      <c r="G295" s="1459"/>
      <c r="H295" s="1459"/>
      <c r="I295" s="104" t="s">
        <v>1078</v>
      </c>
      <c r="J295" s="1459"/>
      <c r="K295" s="104" t="s">
        <v>1079</v>
      </c>
      <c r="L295" s="1459"/>
      <c r="M295" s="1459"/>
      <c r="N295" s="1459"/>
      <c r="O295" s="1459"/>
      <c r="P295" s="1459"/>
      <c r="Q295" s="1459"/>
      <c r="R295" s="1459"/>
      <c r="S295" s="1459"/>
      <c r="T295" s="1459"/>
      <c r="U295" s="465">
        <f>AND(F295&gt;0,AB295&gt;0)</f>
        <v>1</v>
      </c>
      <c r="V295" s="1459"/>
      <c r="W295" s="1459"/>
      <c r="X295" s="717"/>
      <c r="Y295" s="1459"/>
      <c r="Z295" s="1459"/>
      <c r="AA295" s="662" t="s">
        <v>175</v>
      </c>
      <c r="AB295" s="88" t="s">
        <v>611</v>
      </c>
      <c r="AC295" s="274" t="str">
        <f>I295&amp;" :: "&amp;K295</f>
        <v>канализационная сеть ул. Дзержинского, 51,50,53,55,57,59 :: г Калтан, ул. Дзержинского, 51,50,53,55, 57,59</v>
      </c>
      <c r="AD295" s="274" t="s">
        <v>430</v>
      </c>
      <c r="AE295" s="274" t="s">
        <v>431</v>
      </c>
      <c r="AF295" s="405" t="s">
        <v>432</v>
      </c>
      <c r="AG295" s="405" t="s">
        <v>433</v>
      </c>
      <c r="AH295" s="2040" t="s">
        <v>434</v>
      </c>
      <c r="AI295" s="1459"/>
      <c r="AJ295" s="1459"/>
      <c r="AK295" s="1000" t="s">
        <v>424</v>
      </c>
      <c r="AL295" s="1000" t="s">
        <v>425</v>
      </c>
      <c r="AM295" s="1000" cm="1" t="str">
        <f t="array" ref="AM295:AM295">AC295</f>
        <v>канализационная сеть ул. Дзержинского, 51,50,53,55,57,59 :: г Калтан, ул. Дзержинского, 51,50,53,55, 57,59</v>
      </c>
      <c r="AN295" s="1000" cm="1" t="str">
        <f t="array" ref="AN295:AN295">AD295</f>
        <v>концессионное соглашение</v>
      </c>
      <c r="AO295" s="1000" cm="1" t="str">
        <f t="array" ref="AO295:AO295">AE295</f>
        <v>акт приёма-передачи</v>
      </c>
      <c r="AP295" s="1000" cm="1" t="str">
        <f t="array" ref="AP295:AP295">AF295</f>
        <v>б/н</v>
      </c>
      <c r="AQ295" s="1000" cm="1" t="str">
        <f t="array" ref="AQ295:AQ295">AG295</f>
        <v>01.06.2026</v>
      </c>
      <c r="AR295" s="619"/>
      <c r="AS295" s="619" t="b">
        <v>1</v>
      </c>
    </row>
    <row s="1459" customFormat="1" customHeight="1" ht="23.25">
      <c r="A296" s="1459"/>
      <c r="B296" s="1459"/>
      <c r="C296" s="1459"/>
      <c r="D296" s="1459"/>
      <c r="E296" s="629">
        <v>15</v>
      </c>
      <c r="F296" s="104" cm="1" t="str">
        <f t="array" ref="F296:F296">OFFSET(G296,-1,-1)</f>
        <v>4</v>
      </c>
      <c r="G296" s="1459"/>
      <c r="H296" s="1459"/>
      <c r="I296" s="104" t="s">
        <v>1080</v>
      </c>
      <c r="J296" s="1459"/>
      <c r="K296" s="104" t="s">
        <v>1081</v>
      </c>
      <c r="L296" s="1459"/>
      <c r="M296" s="1459"/>
      <c r="N296" s="1459"/>
      <c r="O296" s="1459"/>
      <c r="P296" s="1459"/>
      <c r="Q296" s="1459"/>
      <c r="R296" s="1459"/>
      <c r="S296" s="1459"/>
      <c r="T296" s="1459"/>
      <c r="U296" s="465">
        <f>AND(F296&gt;0,AB296&gt;0)</f>
        <v>1</v>
      </c>
      <c r="V296" s="1459"/>
      <c r="W296" s="1459"/>
      <c r="X296" s="717"/>
      <c r="Y296" s="1459"/>
      <c r="Z296" s="1459"/>
      <c r="AA296" s="662" t="s">
        <v>175</v>
      </c>
      <c r="AB296" s="88" t="s">
        <v>614</v>
      </c>
      <c r="AC296" s="274" t="str">
        <f>I296&amp;" :: "&amp;K296</f>
        <v>канализационная сеть ул. Дзержинского, 7, 9, 13 :: г Калтан, ул. Дзержинского, 7, 9, 13</v>
      </c>
      <c r="AD296" s="274" t="s">
        <v>430</v>
      </c>
      <c r="AE296" s="274" t="s">
        <v>431</v>
      </c>
      <c r="AF296" s="405" t="s">
        <v>432</v>
      </c>
      <c r="AG296" s="405" t="s">
        <v>433</v>
      </c>
      <c r="AH296" s="2040" t="s">
        <v>434</v>
      </c>
      <c r="AI296" s="1459"/>
      <c r="AJ296" s="1459"/>
      <c r="AK296" s="1000" t="s">
        <v>424</v>
      </c>
      <c r="AL296" s="1000" t="s">
        <v>425</v>
      </c>
      <c r="AM296" s="1000" cm="1" t="str">
        <f t="array" ref="AM296:AM296">AC296</f>
        <v>канализационная сеть ул. Дзержинского, 7, 9, 13 :: г Калтан, ул. Дзержинского, 7, 9, 13</v>
      </c>
      <c r="AN296" s="1000" cm="1" t="str">
        <f t="array" ref="AN296:AN296">AD296</f>
        <v>концессионное соглашение</v>
      </c>
      <c r="AO296" s="1000" cm="1" t="str">
        <f t="array" ref="AO296:AO296">AE296</f>
        <v>акт приёма-передачи</v>
      </c>
      <c r="AP296" s="1000" cm="1" t="str">
        <f t="array" ref="AP296:AP296">AF296</f>
        <v>б/н</v>
      </c>
      <c r="AQ296" s="1000" cm="1" t="str">
        <f t="array" ref="AQ296:AQ296">AG296</f>
        <v>01.06.2026</v>
      </c>
      <c r="AR296" s="619"/>
      <c r="AS296" s="619" t="b">
        <v>1</v>
      </c>
    </row>
    <row s="1459" customFormat="1" customHeight="1" ht="23.25">
      <c r="A297" s="1459"/>
      <c r="B297" s="1459"/>
      <c r="C297" s="1459"/>
      <c r="D297" s="1459"/>
      <c r="E297" s="629">
        <v>15</v>
      </c>
      <c r="F297" s="104" cm="1" t="str">
        <f t="array" ref="F297:F297">OFFSET(G297,-1,-1)</f>
        <v>4</v>
      </c>
      <c r="G297" s="1459"/>
      <c r="H297" s="1459"/>
      <c r="I297" s="104" t="s">
        <v>1082</v>
      </c>
      <c r="J297" s="1459"/>
      <c r="K297" s="104" t="s">
        <v>1083</v>
      </c>
      <c r="L297" s="1459"/>
      <c r="M297" s="1459"/>
      <c r="N297" s="1459"/>
      <c r="O297" s="1459"/>
      <c r="P297" s="1459"/>
      <c r="Q297" s="1459"/>
      <c r="R297" s="1459"/>
      <c r="S297" s="1459"/>
      <c r="T297" s="1459"/>
      <c r="U297" s="465">
        <f>AND(F297&gt;0,AB297&gt;0)</f>
        <v>1</v>
      </c>
      <c r="V297" s="1459"/>
      <c r="W297" s="1459"/>
      <c r="X297" s="717"/>
      <c r="Y297" s="1459"/>
      <c r="Z297" s="1459"/>
      <c r="AA297" s="662" t="s">
        <v>175</v>
      </c>
      <c r="AB297" s="88" t="s">
        <v>617</v>
      </c>
      <c r="AC297" s="274" t="str">
        <f>I297&amp;" :: "&amp;K297</f>
        <v>канализационная сеть ул. Калинина, 1 :: г Калтан, ул. Калинина, 1</v>
      </c>
      <c r="AD297" s="274" t="s">
        <v>430</v>
      </c>
      <c r="AE297" s="274" t="s">
        <v>431</v>
      </c>
      <c r="AF297" s="405" t="s">
        <v>432</v>
      </c>
      <c r="AG297" s="405" t="s">
        <v>433</v>
      </c>
      <c r="AH297" s="2040" t="s">
        <v>434</v>
      </c>
      <c r="AI297" s="1459"/>
      <c r="AJ297" s="1459"/>
      <c r="AK297" s="1000" t="s">
        <v>424</v>
      </c>
      <c r="AL297" s="1000" t="s">
        <v>425</v>
      </c>
      <c r="AM297" s="1000" cm="1" t="str">
        <f t="array" ref="AM297:AM297">AC297</f>
        <v>канализационная сеть ул. Калинина, 1 :: г Калтан, ул. Калинина, 1</v>
      </c>
      <c r="AN297" s="1000" cm="1" t="str">
        <f t="array" ref="AN297:AN297">AD297</f>
        <v>концессионное соглашение</v>
      </c>
      <c r="AO297" s="1000" cm="1" t="str">
        <f t="array" ref="AO297:AO297">AE297</f>
        <v>акт приёма-передачи</v>
      </c>
      <c r="AP297" s="1000" cm="1" t="str">
        <f t="array" ref="AP297:AP297">AF297</f>
        <v>б/н</v>
      </c>
      <c r="AQ297" s="1000" cm="1" t="str">
        <f t="array" ref="AQ297:AQ297">AG297</f>
        <v>01.06.2026</v>
      </c>
      <c r="AR297" s="619"/>
      <c r="AS297" s="619" t="b">
        <v>1</v>
      </c>
    </row>
    <row s="1459" customFormat="1" customHeight="1" ht="23.25">
      <c r="A298" s="1459"/>
      <c r="B298" s="1459"/>
      <c r="C298" s="1459"/>
      <c r="D298" s="1459"/>
      <c r="E298" s="629">
        <v>15</v>
      </c>
      <c r="F298" s="104" cm="1" t="str">
        <f t="array" ref="F298:F298">OFFSET(G298,-1,-1)</f>
        <v>4</v>
      </c>
      <c r="G298" s="1459"/>
      <c r="H298" s="1459"/>
      <c r="I298" s="104" t="s">
        <v>1084</v>
      </c>
      <c r="J298" s="1459"/>
      <c r="K298" s="104" t="s">
        <v>1085</v>
      </c>
      <c r="L298" s="1459"/>
      <c r="M298" s="1459"/>
      <c r="N298" s="1459"/>
      <c r="O298" s="1459"/>
      <c r="P298" s="1459"/>
      <c r="Q298" s="1459"/>
      <c r="R298" s="1459"/>
      <c r="S298" s="1459"/>
      <c r="T298" s="1459"/>
      <c r="U298" s="465">
        <f>AND(F298&gt;0,AB298&gt;0)</f>
        <v>1</v>
      </c>
      <c r="V298" s="1459"/>
      <c r="W298" s="1459"/>
      <c r="X298" s="717"/>
      <c r="Y298" s="1459"/>
      <c r="Z298" s="1459"/>
      <c r="AA298" s="662" t="s">
        <v>175</v>
      </c>
      <c r="AB298" s="88" t="s">
        <v>620</v>
      </c>
      <c r="AC298" s="274" t="str">
        <f>I298&amp;" :: "&amp;K298</f>
        <v>канализационная сеть ул. Калинина, 2 :: г Калтан, ул. Калинина, 2</v>
      </c>
      <c r="AD298" s="274" t="s">
        <v>430</v>
      </c>
      <c r="AE298" s="274" t="s">
        <v>431</v>
      </c>
      <c r="AF298" s="405" t="s">
        <v>432</v>
      </c>
      <c r="AG298" s="405" t="s">
        <v>433</v>
      </c>
      <c r="AH298" s="2040" t="s">
        <v>434</v>
      </c>
      <c r="AI298" s="1459"/>
      <c r="AJ298" s="1459"/>
      <c r="AK298" s="1000" t="s">
        <v>424</v>
      </c>
      <c r="AL298" s="1000" t="s">
        <v>425</v>
      </c>
      <c r="AM298" s="1000" cm="1" t="str">
        <f t="array" ref="AM298:AM298">AC298</f>
        <v>канализационная сеть ул. Калинина, 2 :: г Калтан, ул. Калинина, 2</v>
      </c>
      <c r="AN298" s="1000" cm="1" t="str">
        <f t="array" ref="AN298:AN298">AD298</f>
        <v>концессионное соглашение</v>
      </c>
      <c r="AO298" s="1000" cm="1" t="str">
        <f t="array" ref="AO298:AO298">AE298</f>
        <v>акт приёма-передачи</v>
      </c>
      <c r="AP298" s="1000" cm="1" t="str">
        <f t="array" ref="AP298:AP298">AF298</f>
        <v>б/н</v>
      </c>
      <c r="AQ298" s="1000" cm="1" t="str">
        <f t="array" ref="AQ298:AQ298">AG298</f>
        <v>01.06.2026</v>
      </c>
      <c r="AR298" s="619"/>
      <c r="AS298" s="619" t="b">
        <v>1</v>
      </c>
    </row>
    <row s="1459" customFormat="1" customHeight="1" ht="23.25">
      <c r="A299" s="1459"/>
      <c r="B299" s="1459"/>
      <c r="C299" s="1459"/>
      <c r="D299" s="1459"/>
      <c r="E299" s="629">
        <v>15</v>
      </c>
      <c r="F299" s="104" cm="1" t="str">
        <f t="array" ref="F299:F299">OFFSET(G299,-1,-1)</f>
        <v>4</v>
      </c>
      <c r="G299" s="1459"/>
      <c r="H299" s="1459"/>
      <c r="I299" s="104" t="s">
        <v>1086</v>
      </c>
      <c r="J299" s="1459"/>
      <c r="K299" s="104" t="s">
        <v>1087</v>
      </c>
      <c r="L299" s="1459"/>
      <c r="M299" s="1459"/>
      <c r="N299" s="1459"/>
      <c r="O299" s="1459"/>
      <c r="P299" s="1459"/>
      <c r="Q299" s="1459"/>
      <c r="R299" s="1459"/>
      <c r="S299" s="1459"/>
      <c r="T299" s="1459"/>
      <c r="U299" s="465">
        <f>AND(F299&gt;0,AB299&gt;0)</f>
        <v>1</v>
      </c>
      <c r="V299" s="1459"/>
      <c r="W299" s="1459"/>
      <c r="X299" s="717"/>
      <c r="Y299" s="1459"/>
      <c r="Z299" s="1459"/>
      <c r="AA299" s="662" t="s">
        <v>175</v>
      </c>
      <c r="AB299" s="88" t="s">
        <v>623</v>
      </c>
      <c r="AC299" s="274" t="str">
        <f>I299&amp;" :: "&amp;K299</f>
        <v>канализационная сеть ул. Калинина, 60 :: г Калтан, ул. Калинина, 60</v>
      </c>
      <c r="AD299" s="274" t="s">
        <v>430</v>
      </c>
      <c r="AE299" s="274" t="s">
        <v>431</v>
      </c>
      <c r="AF299" s="405" t="s">
        <v>432</v>
      </c>
      <c r="AG299" s="405" t="s">
        <v>433</v>
      </c>
      <c r="AH299" s="2040" t="s">
        <v>434</v>
      </c>
      <c r="AI299" s="1459"/>
      <c r="AJ299" s="1459"/>
      <c r="AK299" s="1000" t="s">
        <v>424</v>
      </c>
      <c r="AL299" s="1000" t="s">
        <v>425</v>
      </c>
      <c r="AM299" s="1000" cm="1" t="str">
        <f t="array" ref="AM299:AM299">AC299</f>
        <v>канализационная сеть ул. Калинина, 60 :: г Калтан, ул. Калинина, 60</v>
      </c>
      <c r="AN299" s="1000" cm="1" t="str">
        <f t="array" ref="AN299:AN299">AD299</f>
        <v>концессионное соглашение</v>
      </c>
      <c r="AO299" s="1000" cm="1" t="str">
        <f t="array" ref="AO299:AO299">AE299</f>
        <v>акт приёма-передачи</v>
      </c>
      <c r="AP299" s="1000" cm="1" t="str">
        <f t="array" ref="AP299:AP299">AF299</f>
        <v>б/н</v>
      </c>
      <c r="AQ299" s="1000" cm="1" t="str">
        <f t="array" ref="AQ299:AQ299">AG299</f>
        <v>01.06.2026</v>
      </c>
      <c r="AR299" s="619"/>
      <c r="AS299" s="619" t="b">
        <v>1</v>
      </c>
    </row>
    <row s="1459" customFormat="1" customHeight="1" ht="23.25">
      <c r="A300" s="1459"/>
      <c r="B300" s="1459"/>
      <c r="C300" s="1459"/>
      <c r="D300" s="1459"/>
      <c r="E300" s="629">
        <v>15</v>
      </c>
      <c r="F300" s="104" cm="1" t="str">
        <f t="array" ref="F300:F300">OFFSET(G300,-1,-1)</f>
        <v>4</v>
      </c>
      <c r="G300" s="1459"/>
      <c r="H300" s="1459"/>
      <c r="I300" s="104" t="s">
        <v>1088</v>
      </c>
      <c r="J300" s="1459"/>
      <c r="K300" s="104" t="s">
        <v>1089</v>
      </c>
      <c r="L300" s="1459"/>
      <c r="M300" s="1459"/>
      <c r="N300" s="1459"/>
      <c r="O300" s="1459"/>
      <c r="P300" s="1459"/>
      <c r="Q300" s="1459"/>
      <c r="R300" s="1459"/>
      <c r="S300" s="1459"/>
      <c r="T300" s="1459"/>
      <c r="U300" s="465">
        <f>AND(F300&gt;0,AB300&gt;0)</f>
        <v>1</v>
      </c>
      <c r="V300" s="1459"/>
      <c r="W300" s="1459"/>
      <c r="X300" s="717"/>
      <c r="Y300" s="1459"/>
      <c r="Z300" s="1459"/>
      <c r="AA300" s="662" t="s">
        <v>175</v>
      </c>
      <c r="AB300" s="88" t="s">
        <v>626</v>
      </c>
      <c r="AC300" s="274" t="str">
        <f>I300&amp;" :: "&amp;K300</f>
        <v>канализационная сеть ул. Калинина, 16, ул. Базарная, 6 :: г Калтан, ул. Калинина, ул. Базарная, -</v>
      </c>
      <c r="AD300" s="274" t="s">
        <v>430</v>
      </c>
      <c r="AE300" s="274" t="s">
        <v>431</v>
      </c>
      <c r="AF300" s="405" t="s">
        <v>432</v>
      </c>
      <c r="AG300" s="405" t="s">
        <v>433</v>
      </c>
      <c r="AH300" s="2040" t="s">
        <v>434</v>
      </c>
      <c r="AI300" s="1459"/>
      <c r="AJ300" s="1459"/>
      <c r="AK300" s="1000" t="s">
        <v>424</v>
      </c>
      <c r="AL300" s="1000" t="s">
        <v>425</v>
      </c>
      <c r="AM300" s="1000" cm="1" t="str">
        <f t="array" ref="AM300:AM300">AC300</f>
        <v>канализационная сеть ул. Калинина, 16, ул. Базарная, 6 :: г Калтан, ул. Калинина, ул. Базарная, -</v>
      </c>
      <c r="AN300" s="1000" cm="1" t="str">
        <f t="array" ref="AN300:AN300">AD300</f>
        <v>концессионное соглашение</v>
      </c>
      <c r="AO300" s="1000" cm="1" t="str">
        <f t="array" ref="AO300:AO300">AE300</f>
        <v>акт приёма-передачи</v>
      </c>
      <c r="AP300" s="1000" cm="1" t="str">
        <f t="array" ref="AP300:AP300">AF300</f>
        <v>б/н</v>
      </c>
      <c r="AQ300" s="1000" cm="1" t="str">
        <f t="array" ref="AQ300:AQ300">AG300</f>
        <v>01.06.2026</v>
      </c>
      <c r="AR300" s="619"/>
      <c r="AS300" s="619" t="b">
        <v>1</v>
      </c>
    </row>
    <row s="1459" customFormat="1" customHeight="1" ht="23.25">
      <c r="A301" s="1459"/>
      <c r="B301" s="1459"/>
      <c r="C301" s="1459"/>
      <c r="D301" s="1459"/>
      <c r="E301" s="629">
        <v>15</v>
      </c>
      <c r="F301" s="104" cm="1" t="str">
        <f t="array" ref="F301:F301">OFFSET(G301,-1,-1)</f>
        <v>4</v>
      </c>
      <c r="G301" s="1459"/>
      <c r="H301" s="1459"/>
      <c r="I301" s="104" t="s">
        <v>1090</v>
      </c>
      <c r="J301" s="1459"/>
      <c r="K301" s="104" t="s">
        <v>1091</v>
      </c>
      <c r="L301" s="1459"/>
      <c r="M301" s="1459"/>
      <c r="N301" s="1459"/>
      <c r="O301" s="1459"/>
      <c r="P301" s="1459"/>
      <c r="Q301" s="1459"/>
      <c r="R301" s="1459"/>
      <c r="S301" s="1459"/>
      <c r="T301" s="1459"/>
      <c r="U301" s="465">
        <f>AND(F301&gt;0,AB301&gt;0)</f>
        <v>1</v>
      </c>
      <c r="V301" s="1459"/>
      <c r="W301" s="1459"/>
      <c r="X301" s="717"/>
      <c r="Y301" s="1459"/>
      <c r="Z301" s="1459"/>
      <c r="AA301" s="662" t="s">
        <v>175</v>
      </c>
      <c r="AB301" s="88" t="s">
        <v>629</v>
      </c>
      <c r="AC301" s="274" t="str">
        <f>I301&amp;" :: "&amp;K301</f>
        <v>канализационная сеть ул. Калинина, 4-ул. Комсомольская, 37 :: г Калтан, ул. Калинина, ул. Комсомольская, -</v>
      </c>
      <c r="AD301" s="274" t="s">
        <v>430</v>
      </c>
      <c r="AE301" s="274" t="s">
        <v>431</v>
      </c>
      <c r="AF301" s="405" t="s">
        <v>432</v>
      </c>
      <c r="AG301" s="405" t="s">
        <v>433</v>
      </c>
      <c r="AH301" s="2040" t="s">
        <v>434</v>
      </c>
      <c r="AI301" s="1459"/>
      <c r="AJ301" s="1459"/>
      <c r="AK301" s="1000" t="s">
        <v>424</v>
      </c>
      <c r="AL301" s="1000" t="s">
        <v>425</v>
      </c>
      <c r="AM301" s="1000" cm="1" t="str">
        <f t="array" ref="AM301:AM301">AC301</f>
        <v>канализационная сеть ул. Калинина, 4-ул. Комсомольская, 37 :: г Калтан, ул. Калинина, ул. Комсомольская, -</v>
      </c>
      <c r="AN301" s="1000" cm="1" t="str">
        <f t="array" ref="AN301:AN301">AD301</f>
        <v>концессионное соглашение</v>
      </c>
      <c r="AO301" s="1000" cm="1" t="str">
        <f t="array" ref="AO301:AO301">AE301</f>
        <v>акт приёма-передачи</v>
      </c>
      <c r="AP301" s="1000" cm="1" t="str">
        <f t="array" ref="AP301:AP301">AF301</f>
        <v>б/н</v>
      </c>
      <c r="AQ301" s="1000" cm="1" t="str">
        <f t="array" ref="AQ301:AQ301">AG301</f>
        <v>01.06.2026</v>
      </c>
      <c r="AR301" s="619"/>
      <c r="AS301" s="619" t="b">
        <v>1</v>
      </c>
    </row>
    <row s="1459" customFormat="1" customHeight="1" ht="23.25">
      <c r="A302" s="1459"/>
      <c r="B302" s="1459"/>
      <c r="C302" s="1459"/>
      <c r="D302" s="1459"/>
      <c r="E302" s="629">
        <v>15</v>
      </c>
      <c r="F302" s="104" cm="1" t="str">
        <f t="array" ref="F302:F302">OFFSET(G302,-1,-1)</f>
        <v>4</v>
      </c>
      <c r="G302" s="1459"/>
      <c r="H302" s="1459"/>
      <c r="I302" s="104" t="s">
        <v>1092</v>
      </c>
      <c r="J302" s="1459"/>
      <c r="K302" s="104" t="s">
        <v>1091</v>
      </c>
      <c r="L302" s="1459"/>
      <c r="M302" s="1459"/>
      <c r="N302" s="1459"/>
      <c r="O302" s="1459"/>
      <c r="P302" s="1459"/>
      <c r="Q302" s="1459"/>
      <c r="R302" s="1459"/>
      <c r="S302" s="1459"/>
      <c r="T302" s="1459"/>
      <c r="U302" s="465">
        <f>AND(F302&gt;0,AB302&gt;0)</f>
        <v>1</v>
      </c>
      <c r="V302" s="1459"/>
      <c r="W302" s="1459"/>
      <c r="X302" s="717"/>
      <c r="Y302" s="1459"/>
      <c r="Z302" s="1459"/>
      <c r="AA302" s="662" t="s">
        <v>175</v>
      </c>
      <c r="AB302" s="88" t="s">
        <v>632</v>
      </c>
      <c r="AC302" s="274" t="str">
        <f>I302&amp;" :: "&amp;K302</f>
        <v>канализационная сеть ул. Калинина, 2-ул. Комсомольская, 27 :: г Калтан, ул. Калинина, ул. Комсомольская, -</v>
      </c>
      <c r="AD302" s="274" t="s">
        <v>430</v>
      </c>
      <c r="AE302" s="274" t="s">
        <v>431</v>
      </c>
      <c r="AF302" s="405" t="s">
        <v>432</v>
      </c>
      <c r="AG302" s="405" t="s">
        <v>433</v>
      </c>
      <c r="AH302" s="2040" t="s">
        <v>434</v>
      </c>
      <c r="AI302" s="1459"/>
      <c r="AJ302" s="1459"/>
      <c r="AK302" s="1000" t="s">
        <v>424</v>
      </c>
      <c r="AL302" s="1000" t="s">
        <v>425</v>
      </c>
      <c r="AM302" s="1000" cm="1" t="str">
        <f t="array" ref="AM302:AM302">AC302</f>
        <v>канализационная сеть ул. Калинина, 2-ул. Комсомольская, 27 :: г Калтан, ул. Калинина, ул. Комсомольская, -</v>
      </c>
      <c r="AN302" s="1000" cm="1" t="str">
        <f t="array" ref="AN302:AN302">AD302</f>
        <v>концессионное соглашение</v>
      </c>
      <c r="AO302" s="1000" cm="1" t="str">
        <f t="array" ref="AO302:AO302">AE302</f>
        <v>акт приёма-передачи</v>
      </c>
      <c r="AP302" s="1000" cm="1" t="str">
        <f t="array" ref="AP302:AP302">AF302</f>
        <v>б/н</v>
      </c>
      <c r="AQ302" s="1000" cm="1" t="str">
        <f t="array" ref="AQ302:AQ302">AG302</f>
        <v>01.06.2026</v>
      </c>
      <c r="AR302" s="619"/>
      <c r="AS302" s="619" t="b">
        <v>1</v>
      </c>
    </row>
    <row s="1459" customFormat="1" customHeight="1" ht="23.25">
      <c r="A303" s="1459"/>
      <c r="B303" s="1459"/>
      <c r="C303" s="1459"/>
      <c r="D303" s="1459"/>
      <c r="E303" s="629">
        <v>15</v>
      </c>
      <c r="F303" s="104" cm="1" t="str">
        <f t="array" ref="F303:F303">OFFSET(G303,-1,-1)</f>
        <v>4</v>
      </c>
      <c r="G303" s="1459"/>
      <c r="H303" s="1459"/>
      <c r="I303" s="104" t="s">
        <v>1093</v>
      </c>
      <c r="J303" s="1459"/>
      <c r="K303" s="104" t="s">
        <v>1091</v>
      </c>
      <c r="L303" s="1459"/>
      <c r="M303" s="1459"/>
      <c r="N303" s="1459"/>
      <c r="O303" s="1459"/>
      <c r="P303" s="1459"/>
      <c r="Q303" s="1459"/>
      <c r="R303" s="1459"/>
      <c r="S303" s="1459"/>
      <c r="T303" s="1459"/>
      <c r="U303" s="465">
        <f>AND(F303&gt;0,AB303&gt;0)</f>
        <v>1</v>
      </c>
      <c r="V303" s="1459"/>
      <c r="W303" s="1459"/>
      <c r="X303" s="717"/>
      <c r="Y303" s="1459"/>
      <c r="Z303" s="1459"/>
      <c r="AA303" s="662" t="s">
        <v>175</v>
      </c>
      <c r="AB303" s="88" t="s">
        <v>635</v>
      </c>
      <c r="AC303" s="274" t="str">
        <f>I303&amp;" :: "&amp;K303</f>
        <v>канализационная сеть ул. Калинина, 60-ул. Комсомольская, 83 :: г Калтан, ул. Калинина, ул. Комсомольская, -</v>
      </c>
      <c r="AD303" s="274" t="s">
        <v>430</v>
      </c>
      <c r="AE303" s="274" t="s">
        <v>431</v>
      </c>
      <c r="AF303" s="405" t="s">
        <v>432</v>
      </c>
      <c r="AG303" s="405" t="s">
        <v>433</v>
      </c>
      <c r="AH303" s="2040" t="s">
        <v>434</v>
      </c>
      <c r="AI303" s="1459"/>
      <c r="AJ303" s="1459"/>
      <c r="AK303" s="1000" t="s">
        <v>424</v>
      </c>
      <c r="AL303" s="1000" t="s">
        <v>425</v>
      </c>
      <c r="AM303" s="1000" cm="1" t="str">
        <f t="array" ref="AM303:AM303">AC303</f>
        <v>канализационная сеть ул. Калинина, 60-ул. Комсомольская, 83 :: г Калтан, ул. Калинина, ул. Комсомольская, -</v>
      </c>
      <c r="AN303" s="1000" cm="1" t="str">
        <f t="array" ref="AN303:AN303">AD303</f>
        <v>концессионное соглашение</v>
      </c>
      <c r="AO303" s="1000" cm="1" t="str">
        <f t="array" ref="AO303:AO303">AE303</f>
        <v>акт приёма-передачи</v>
      </c>
      <c r="AP303" s="1000" cm="1" t="str">
        <f t="array" ref="AP303:AP303">AF303</f>
        <v>б/н</v>
      </c>
      <c r="AQ303" s="1000" cm="1" t="str">
        <f t="array" ref="AQ303:AQ303">AG303</f>
        <v>01.06.2026</v>
      </c>
      <c r="AR303" s="619"/>
      <c r="AS303" s="619" t="b">
        <v>1</v>
      </c>
    </row>
    <row s="1459" customFormat="1" customHeight="1" ht="23.25">
      <c r="A304" s="1459"/>
      <c r="B304" s="1459"/>
      <c r="C304" s="1459"/>
      <c r="D304" s="1459"/>
      <c r="E304" s="629">
        <v>15</v>
      </c>
      <c r="F304" s="104" cm="1" t="str">
        <f t="array" ref="F304:F304">OFFSET(G304,-1,-1)</f>
        <v>4</v>
      </c>
      <c r="G304" s="1459"/>
      <c r="H304" s="1459"/>
      <c r="I304" s="104" t="s">
        <v>1094</v>
      </c>
      <c r="J304" s="1459"/>
      <c r="K304" s="104" t="s">
        <v>1095</v>
      </c>
      <c r="L304" s="1459"/>
      <c r="M304" s="1459"/>
      <c r="N304" s="1459"/>
      <c r="O304" s="1459"/>
      <c r="P304" s="1459"/>
      <c r="Q304" s="1459"/>
      <c r="R304" s="1459"/>
      <c r="S304" s="1459"/>
      <c r="T304" s="1459"/>
      <c r="U304" s="465">
        <f>AND(F304&gt;0,AB304&gt;0)</f>
        <v>1</v>
      </c>
      <c r="V304" s="1459"/>
      <c r="W304" s="1459"/>
      <c r="X304" s="717"/>
      <c r="Y304" s="1459"/>
      <c r="Z304" s="1459"/>
      <c r="AA304" s="662" t="s">
        <v>175</v>
      </c>
      <c r="AB304" s="88" t="s">
        <v>638</v>
      </c>
      <c r="AC304" s="274" t="str">
        <f>I304&amp;" :: "&amp;K304</f>
        <v>канализационная сеть ул. Комсомольская, 1, 11 :: г Калтан, ул. Комсомольская, 1, 11</v>
      </c>
      <c r="AD304" s="274" t="s">
        <v>430</v>
      </c>
      <c r="AE304" s="274" t="s">
        <v>431</v>
      </c>
      <c r="AF304" s="405" t="s">
        <v>432</v>
      </c>
      <c r="AG304" s="405" t="s">
        <v>433</v>
      </c>
      <c r="AH304" s="2040" t="s">
        <v>434</v>
      </c>
      <c r="AI304" s="1459"/>
      <c r="AJ304" s="1459"/>
      <c r="AK304" s="1000" t="s">
        <v>424</v>
      </c>
      <c r="AL304" s="1000" t="s">
        <v>425</v>
      </c>
      <c r="AM304" s="1000" cm="1" t="str">
        <f t="array" ref="AM304:AM304">AC304</f>
        <v>канализационная сеть ул. Комсомольская, 1, 11 :: г Калтан, ул. Комсомольская, 1, 11</v>
      </c>
      <c r="AN304" s="1000" cm="1" t="str">
        <f t="array" ref="AN304:AN304">AD304</f>
        <v>концессионное соглашение</v>
      </c>
      <c r="AO304" s="1000" cm="1" t="str">
        <f t="array" ref="AO304:AO304">AE304</f>
        <v>акт приёма-передачи</v>
      </c>
      <c r="AP304" s="1000" cm="1" t="str">
        <f t="array" ref="AP304:AP304">AF304</f>
        <v>б/н</v>
      </c>
      <c r="AQ304" s="1000" cm="1" t="str">
        <f t="array" ref="AQ304:AQ304">AG304</f>
        <v>01.06.2026</v>
      </c>
      <c r="AR304" s="619"/>
      <c r="AS304" s="619" t="b">
        <v>1</v>
      </c>
    </row>
    <row s="1459" customFormat="1" customHeight="1" ht="23.25">
      <c r="A305" s="1459"/>
      <c r="B305" s="1459"/>
      <c r="C305" s="1459"/>
      <c r="D305" s="1459"/>
      <c r="E305" s="629">
        <v>15</v>
      </c>
      <c r="F305" s="104" cm="1" t="str">
        <f t="array" ref="F305:F305">OFFSET(G305,-1,-1)</f>
        <v>4</v>
      </c>
      <c r="G305" s="1459"/>
      <c r="H305" s="1459"/>
      <c r="I305" s="104" t="s">
        <v>1096</v>
      </c>
      <c r="J305" s="1459"/>
      <c r="K305" s="104" t="s">
        <v>1097</v>
      </c>
      <c r="L305" s="1459"/>
      <c r="M305" s="1459"/>
      <c r="N305" s="1459"/>
      <c r="O305" s="1459"/>
      <c r="P305" s="1459"/>
      <c r="Q305" s="1459"/>
      <c r="R305" s="1459"/>
      <c r="S305" s="1459"/>
      <c r="T305" s="1459"/>
      <c r="U305" s="465">
        <f>AND(F305&gt;0,AB305&gt;0)</f>
        <v>1</v>
      </c>
      <c r="V305" s="1459"/>
      <c r="W305" s="1459"/>
      <c r="X305" s="717"/>
      <c r="Y305" s="1459"/>
      <c r="Z305" s="1459"/>
      <c r="AA305" s="662" t="s">
        <v>175</v>
      </c>
      <c r="AB305" s="88" t="s">
        <v>641</v>
      </c>
      <c r="AC305" s="274" t="str">
        <f>I305&amp;" :: "&amp;K305</f>
        <v>самотечный центральный коллетор г. Калтан :: г Калтан, ул. Комсомольская, 11-95</v>
      </c>
      <c r="AD305" s="274" t="s">
        <v>430</v>
      </c>
      <c r="AE305" s="274" t="s">
        <v>431</v>
      </c>
      <c r="AF305" s="405" t="s">
        <v>432</v>
      </c>
      <c r="AG305" s="405" t="s">
        <v>433</v>
      </c>
      <c r="AH305" s="2040" t="s">
        <v>434</v>
      </c>
      <c r="AI305" s="1459"/>
      <c r="AJ305" s="1459"/>
      <c r="AK305" s="1000" t="s">
        <v>424</v>
      </c>
      <c r="AL305" s="1000" t="s">
        <v>425</v>
      </c>
      <c r="AM305" s="1000" cm="1" t="str">
        <f t="array" ref="AM305:AM305">AC305</f>
        <v>самотечный центральный коллетор г. Калтан :: г Калтан, ул. Комсомольская, 11-95</v>
      </c>
      <c r="AN305" s="1000" cm="1" t="str">
        <f t="array" ref="AN305:AN305">AD305</f>
        <v>концессионное соглашение</v>
      </c>
      <c r="AO305" s="1000" cm="1" t="str">
        <f t="array" ref="AO305:AO305">AE305</f>
        <v>акт приёма-передачи</v>
      </c>
      <c r="AP305" s="1000" cm="1" t="str">
        <f t="array" ref="AP305:AP305">AF305</f>
        <v>б/н</v>
      </c>
      <c r="AQ305" s="1000" cm="1" t="str">
        <f t="array" ref="AQ305:AQ305">AG305</f>
        <v>01.06.2026</v>
      </c>
      <c r="AR305" s="619"/>
      <c r="AS305" s="619" t="b">
        <v>1</v>
      </c>
    </row>
    <row s="1459" customFormat="1" customHeight="1" ht="23.25">
      <c r="A306" s="1459"/>
      <c r="B306" s="1459"/>
      <c r="C306" s="1459"/>
      <c r="D306" s="1459"/>
      <c r="E306" s="629">
        <v>15</v>
      </c>
      <c r="F306" s="104" cm="1" t="str">
        <f t="array" ref="F306:F306">OFFSET(G306,-1,-1)</f>
        <v>4</v>
      </c>
      <c r="G306" s="1459"/>
      <c r="H306" s="1459"/>
      <c r="I306" s="104" t="s">
        <v>1098</v>
      </c>
      <c r="J306" s="1459"/>
      <c r="K306" s="104" t="s">
        <v>1099</v>
      </c>
      <c r="L306" s="1459"/>
      <c r="M306" s="1459"/>
      <c r="N306" s="1459"/>
      <c r="O306" s="1459"/>
      <c r="P306" s="1459"/>
      <c r="Q306" s="1459"/>
      <c r="R306" s="1459"/>
      <c r="S306" s="1459"/>
      <c r="T306" s="1459"/>
      <c r="U306" s="465">
        <f>AND(F306&gt;0,AB306&gt;0)</f>
        <v>1</v>
      </c>
      <c r="V306" s="1459"/>
      <c r="W306" s="1459"/>
      <c r="X306" s="717"/>
      <c r="Y306" s="1459"/>
      <c r="Z306" s="1459"/>
      <c r="AA306" s="662" t="s">
        <v>175</v>
      </c>
      <c r="AB306" s="88" t="s">
        <v>644</v>
      </c>
      <c r="AC306" s="274" t="str">
        <f>I306&amp;" :: "&amp;K306</f>
        <v>Здание канализационной насосной станции :: г Калтан, ул. Комсомольская, 12</v>
      </c>
      <c r="AD306" s="274" t="s">
        <v>430</v>
      </c>
      <c r="AE306" s="274" t="s">
        <v>431</v>
      </c>
      <c r="AF306" s="405" t="s">
        <v>432</v>
      </c>
      <c r="AG306" s="405" t="s">
        <v>433</v>
      </c>
      <c r="AH306" s="2040" t="s">
        <v>434</v>
      </c>
      <c r="AI306" s="1459"/>
      <c r="AJ306" s="1459"/>
      <c r="AK306" s="1000" t="s">
        <v>424</v>
      </c>
      <c r="AL306" s="1000" t="s">
        <v>425</v>
      </c>
      <c r="AM306" s="1000" cm="1" t="str">
        <f t="array" ref="AM306:AM306">AC306</f>
        <v>Здание канализационной насосной станции :: г Калтан, ул. Комсомольская, 12</v>
      </c>
      <c r="AN306" s="1000" cm="1" t="str">
        <f t="array" ref="AN306:AN306">AD306</f>
        <v>концессионное соглашение</v>
      </c>
      <c r="AO306" s="1000" cm="1" t="str">
        <f t="array" ref="AO306:AO306">AE306</f>
        <v>акт приёма-передачи</v>
      </c>
      <c r="AP306" s="1000" cm="1" t="str">
        <f t="array" ref="AP306:AP306">AF306</f>
        <v>б/н</v>
      </c>
      <c r="AQ306" s="1000" cm="1" t="str">
        <f t="array" ref="AQ306:AQ306">AG306</f>
        <v>01.06.2026</v>
      </c>
      <c r="AR306" s="619"/>
      <c r="AS306" s="619" t="b">
        <v>1</v>
      </c>
    </row>
    <row s="1459" customFormat="1" customHeight="1" ht="23.25">
      <c r="A307" s="1459"/>
      <c r="B307" s="1459"/>
      <c r="C307" s="1459"/>
      <c r="D307" s="1459"/>
      <c r="E307" s="629">
        <v>15</v>
      </c>
      <c r="F307" s="104" cm="1" t="str">
        <f t="array" ref="F307:F307">OFFSET(G307,-1,-1)</f>
        <v>4</v>
      </c>
      <c r="G307" s="1459"/>
      <c r="H307" s="1459"/>
      <c r="I307" s="104" t="s">
        <v>1100</v>
      </c>
      <c r="J307" s="1459"/>
      <c r="K307" s="104" t="s">
        <v>1099</v>
      </c>
      <c r="L307" s="1459"/>
      <c r="M307" s="1459"/>
      <c r="N307" s="1459"/>
      <c r="O307" s="1459"/>
      <c r="P307" s="1459"/>
      <c r="Q307" s="1459"/>
      <c r="R307" s="1459"/>
      <c r="S307" s="1459"/>
      <c r="T307" s="1459"/>
      <c r="U307" s="465">
        <f>AND(F307&gt;0,AB307&gt;0)</f>
        <v>1</v>
      </c>
      <c r="V307" s="1459"/>
      <c r="W307" s="1459"/>
      <c r="X307" s="717"/>
      <c r="Y307" s="1459"/>
      <c r="Z307" s="1459"/>
      <c r="AA307" s="662" t="s">
        <v>175</v>
      </c>
      <c r="AB307" s="88" t="s">
        <v>647</v>
      </c>
      <c r="AC307" s="274" t="str">
        <f>I307&amp;" :: "&amp;K307</f>
        <v>очистные сооружения г. Калтан :: г Калтан, ул. Комсомольская, 12</v>
      </c>
      <c r="AD307" s="274" t="s">
        <v>430</v>
      </c>
      <c r="AE307" s="274" t="s">
        <v>431</v>
      </c>
      <c r="AF307" s="405" t="s">
        <v>432</v>
      </c>
      <c r="AG307" s="405" t="s">
        <v>433</v>
      </c>
      <c r="AH307" s="2040" t="s">
        <v>434</v>
      </c>
      <c r="AI307" s="1459"/>
      <c r="AJ307" s="1459"/>
      <c r="AK307" s="1000" t="s">
        <v>424</v>
      </c>
      <c r="AL307" s="1000" t="s">
        <v>425</v>
      </c>
      <c r="AM307" s="1000" cm="1" t="str">
        <f t="array" ref="AM307:AM307">AC307</f>
        <v>очистные сооружения г. Калтан :: г Калтан, ул. Комсомольская, 12</v>
      </c>
      <c r="AN307" s="1000" cm="1" t="str">
        <f t="array" ref="AN307:AN307">AD307</f>
        <v>концессионное соглашение</v>
      </c>
      <c r="AO307" s="1000" cm="1" t="str">
        <f t="array" ref="AO307:AO307">AE307</f>
        <v>акт приёма-передачи</v>
      </c>
      <c r="AP307" s="1000" cm="1" t="str">
        <f t="array" ref="AP307:AP307">AF307</f>
        <v>б/н</v>
      </c>
      <c r="AQ307" s="1000" cm="1" t="str">
        <f t="array" ref="AQ307:AQ307">AG307</f>
        <v>01.06.2026</v>
      </c>
      <c r="AR307" s="619"/>
      <c r="AS307" s="619" t="b">
        <v>1</v>
      </c>
    </row>
    <row s="1459" customFormat="1" customHeight="1" ht="23.25">
      <c r="A308" s="1459"/>
      <c r="B308" s="1459"/>
      <c r="C308" s="1459"/>
      <c r="D308" s="1459"/>
      <c r="E308" s="629">
        <v>15</v>
      </c>
      <c r="F308" s="104" cm="1" t="str">
        <f t="array" ref="F308:F308">OFFSET(G308,-1,-1)</f>
        <v>4</v>
      </c>
      <c r="G308" s="1459"/>
      <c r="H308" s="1459"/>
      <c r="I308" s="104" t="s">
        <v>1101</v>
      </c>
      <c r="J308" s="1459"/>
      <c r="K308" s="104" t="s">
        <v>1102</v>
      </c>
      <c r="L308" s="1459"/>
      <c r="M308" s="1459"/>
      <c r="N308" s="1459"/>
      <c r="O308" s="1459"/>
      <c r="P308" s="1459"/>
      <c r="Q308" s="1459"/>
      <c r="R308" s="1459"/>
      <c r="S308" s="1459"/>
      <c r="T308" s="1459"/>
      <c r="U308" s="465">
        <f>AND(F308&gt;0,AB308&gt;0)</f>
        <v>1</v>
      </c>
      <c r="V308" s="1459"/>
      <c r="W308" s="1459"/>
      <c r="X308" s="717"/>
      <c r="Y308" s="1459"/>
      <c r="Z308" s="1459"/>
      <c r="AA308" s="662" t="s">
        <v>175</v>
      </c>
      <c r="AB308" s="88" t="s">
        <v>650</v>
      </c>
      <c r="AC308" s="274" t="str">
        <f>I308&amp;" :: "&amp;K308</f>
        <v>канализационная сеть ул. Комсомольская, 13, 15 :: г Калтан, ул. Комсомольская, 13,15</v>
      </c>
      <c r="AD308" s="274" t="s">
        <v>430</v>
      </c>
      <c r="AE308" s="274" t="s">
        <v>431</v>
      </c>
      <c r="AF308" s="405" t="s">
        <v>432</v>
      </c>
      <c r="AG308" s="405" t="s">
        <v>433</v>
      </c>
      <c r="AH308" s="2040" t="s">
        <v>434</v>
      </c>
      <c r="AI308" s="1459"/>
      <c r="AJ308" s="1459"/>
      <c r="AK308" s="1000" t="s">
        <v>424</v>
      </c>
      <c r="AL308" s="1000" t="s">
        <v>425</v>
      </c>
      <c r="AM308" s="1000" cm="1" t="str">
        <f t="array" ref="AM308:AM308">AC308</f>
        <v>канализационная сеть ул. Комсомольская, 13, 15 :: г Калтан, ул. Комсомольская, 13,15</v>
      </c>
      <c r="AN308" s="1000" cm="1" t="str">
        <f t="array" ref="AN308:AN308">AD308</f>
        <v>концессионное соглашение</v>
      </c>
      <c r="AO308" s="1000" cm="1" t="str">
        <f t="array" ref="AO308:AO308">AE308</f>
        <v>акт приёма-передачи</v>
      </c>
      <c r="AP308" s="1000" cm="1" t="str">
        <f t="array" ref="AP308:AP308">AF308</f>
        <v>б/н</v>
      </c>
      <c r="AQ308" s="1000" cm="1" t="str">
        <f t="array" ref="AQ308:AQ308">AG308</f>
        <v>01.06.2026</v>
      </c>
      <c r="AR308" s="619"/>
      <c r="AS308" s="619" t="b">
        <v>1</v>
      </c>
    </row>
    <row s="1459" customFormat="1" customHeight="1" ht="23.25">
      <c r="A309" s="1459"/>
      <c r="B309" s="1459"/>
      <c r="C309" s="1459"/>
      <c r="D309" s="1459"/>
      <c r="E309" s="629">
        <v>15</v>
      </c>
      <c r="F309" s="104" cm="1" t="str">
        <f t="array" ref="F309:F309">OFFSET(G309,-1,-1)</f>
        <v>4</v>
      </c>
      <c r="G309" s="1459"/>
      <c r="H309" s="1459"/>
      <c r="I309" s="104" t="s">
        <v>1103</v>
      </c>
      <c r="J309" s="1459"/>
      <c r="K309" s="104" t="s">
        <v>1104</v>
      </c>
      <c r="L309" s="1459"/>
      <c r="M309" s="1459"/>
      <c r="N309" s="1459"/>
      <c r="O309" s="1459"/>
      <c r="P309" s="1459"/>
      <c r="Q309" s="1459"/>
      <c r="R309" s="1459"/>
      <c r="S309" s="1459"/>
      <c r="T309" s="1459"/>
      <c r="U309" s="465">
        <f>AND(F309&gt;0,AB309&gt;0)</f>
        <v>1</v>
      </c>
      <c r="V309" s="1459"/>
      <c r="W309" s="1459"/>
      <c r="X309" s="717"/>
      <c r="Y309" s="1459"/>
      <c r="Z309" s="1459"/>
      <c r="AA309" s="662" t="s">
        <v>175</v>
      </c>
      <c r="AB309" s="88" t="s">
        <v>653</v>
      </c>
      <c r="AC309" s="274" t="str">
        <f>I309&amp;" :: "&amp;K309</f>
        <v>канализационная сеть ул. Комсомольская, 19,21 :: г Калтан, ул. Комсомольская, 19,21</v>
      </c>
      <c r="AD309" s="274" t="s">
        <v>430</v>
      </c>
      <c r="AE309" s="274" t="s">
        <v>431</v>
      </c>
      <c r="AF309" s="405" t="s">
        <v>432</v>
      </c>
      <c r="AG309" s="405" t="s">
        <v>433</v>
      </c>
      <c r="AH309" s="2040" t="s">
        <v>434</v>
      </c>
      <c r="AI309" s="1459"/>
      <c r="AJ309" s="1459"/>
      <c r="AK309" s="1000" t="s">
        <v>424</v>
      </c>
      <c r="AL309" s="1000" t="s">
        <v>425</v>
      </c>
      <c r="AM309" s="1000" cm="1" t="str">
        <f t="array" ref="AM309:AM309">AC309</f>
        <v>канализационная сеть ул. Комсомольская, 19,21 :: г Калтан, ул. Комсомольская, 19,21</v>
      </c>
      <c r="AN309" s="1000" cm="1" t="str">
        <f t="array" ref="AN309:AN309">AD309</f>
        <v>концессионное соглашение</v>
      </c>
      <c r="AO309" s="1000" cm="1" t="str">
        <f t="array" ref="AO309:AO309">AE309</f>
        <v>акт приёма-передачи</v>
      </c>
      <c r="AP309" s="1000" cm="1" t="str">
        <f t="array" ref="AP309:AP309">AF309</f>
        <v>б/н</v>
      </c>
      <c r="AQ309" s="1000" cm="1" t="str">
        <f t="array" ref="AQ309:AQ309">AG309</f>
        <v>01.06.2026</v>
      </c>
      <c r="AR309" s="619"/>
      <c r="AS309" s="619" t="b">
        <v>1</v>
      </c>
    </row>
    <row s="1459" customFormat="1" customHeight="1" ht="23.25">
      <c r="A310" s="1459"/>
      <c r="B310" s="1459"/>
      <c r="C310" s="1459"/>
      <c r="D310" s="1459"/>
      <c r="E310" s="629">
        <v>15</v>
      </c>
      <c r="F310" s="104" cm="1" t="str">
        <f t="array" ref="F310:F310">OFFSET(G310,-1,-1)</f>
        <v>4</v>
      </c>
      <c r="G310" s="1459"/>
      <c r="H310" s="1459"/>
      <c r="I310" s="104" t="s">
        <v>1105</v>
      </c>
      <c r="J310" s="1459"/>
      <c r="K310" s="104" t="s">
        <v>1106</v>
      </c>
      <c r="L310" s="1459"/>
      <c r="M310" s="1459"/>
      <c r="N310" s="1459"/>
      <c r="O310" s="1459"/>
      <c r="P310" s="1459"/>
      <c r="Q310" s="1459"/>
      <c r="R310" s="1459"/>
      <c r="S310" s="1459"/>
      <c r="T310" s="1459"/>
      <c r="U310" s="465">
        <f>AND(F310&gt;0,AB310&gt;0)</f>
        <v>1</v>
      </c>
      <c r="V310" s="1459"/>
      <c r="W310" s="1459"/>
      <c r="X310" s="717"/>
      <c r="Y310" s="1459"/>
      <c r="Z310" s="1459"/>
      <c r="AA310" s="662" t="s">
        <v>175</v>
      </c>
      <c r="AB310" s="88" t="s">
        <v>656</v>
      </c>
      <c r="AC310" s="274" t="str">
        <f>I310&amp;" :: "&amp;K310</f>
        <v>канализационная сеть ул. Комсомольская, 25 :: г Калтан, ул. Комсомольская, 25</v>
      </c>
      <c r="AD310" s="274" t="s">
        <v>430</v>
      </c>
      <c r="AE310" s="274" t="s">
        <v>431</v>
      </c>
      <c r="AF310" s="405" t="s">
        <v>432</v>
      </c>
      <c r="AG310" s="405" t="s">
        <v>433</v>
      </c>
      <c r="AH310" s="2040" t="s">
        <v>434</v>
      </c>
      <c r="AI310" s="1459"/>
      <c r="AJ310" s="1459"/>
      <c r="AK310" s="1000" t="s">
        <v>424</v>
      </c>
      <c r="AL310" s="1000" t="s">
        <v>425</v>
      </c>
      <c r="AM310" s="1000" cm="1" t="str">
        <f t="array" ref="AM310:AM310">AC310</f>
        <v>канализационная сеть ул. Комсомольская, 25 :: г Калтан, ул. Комсомольская, 25</v>
      </c>
      <c r="AN310" s="1000" cm="1" t="str">
        <f t="array" ref="AN310:AN310">AD310</f>
        <v>концессионное соглашение</v>
      </c>
      <c r="AO310" s="1000" cm="1" t="str">
        <f t="array" ref="AO310:AO310">AE310</f>
        <v>акт приёма-передачи</v>
      </c>
      <c r="AP310" s="1000" cm="1" t="str">
        <f t="array" ref="AP310:AP310">AF310</f>
        <v>б/н</v>
      </c>
      <c r="AQ310" s="1000" cm="1" t="str">
        <f t="array" ref="AQ310:AQ310">AG310</f>
        <v>01.06.2026</v>
      </c>
      <c r="AR310" s="619"/>
      <c r="AS310" s="619" t="b">
        <v>1</v>
      </c>
    </row>
    <row s="1459" customFormat="1" customHeight="1" ht="23.25">
      <c r="A311" s="1459"/>
      <c r="B311" s="1459"/>
      <c r="C311" s="1459"/>
      <c r="D311" s="1459"/>
      <c r="E311" s="629">
        <v>15</v>
      </c>
      <c r="F311" s="104" cm="1" t="str">
        <f t="array" ref="F311:F311">OFFSET(G311,-1,-1)</f>
        <v>4</v>
      </c>
      <c r="G311" s="1459"/>
      <c r="H311" s="1459"/>
      <c r="I311" s="104" t="s">
        <v>1107</v>
      </c>
      <c r="J311" s="1459"/>
      <c r="K311" s="104" t="s">
        <v>1108</v>
      </c>
      <c r="L311" s="1459"/>
      <c r="M311" s="1459"/>
      <c r="N311" s="1459"/>
      <c r="O311" s="1459"/>
      <c r="P311" s="1459"/>
      <c r="Q311" s="1459"/>
      <c r="R311" s="1459"/>
      <c r="S311" s="1459"/>
      <c r="T311" s="1459"/>
      <c r="U311" s="465">
        <f>AND(F311&gt;0,AB311&gt;0)</f>
        <v>1</v>
      </c>
      <c r="V311" s="1459"/>
      <c r="W311" s="1459"/>
      <c r="X311" s="717"/>
      <c r="Y311" s="1459"/>
      <c r="Z311" s="1459"/>
      <c r="AA311" s="662" t="s">
        <v>175</v>
      </c>
      <c r="AB311" s="88" t="s">
        <v>659</v>
      </c>
      <c r="AC311" s="274" t="str">
        <f>I311&amp;" :: "&amp;K311</f>
        <v>канализационная сеть ул. Комсомольская, 27 :: г Калтан, ул. Комсомольская, 27</v>
      </c>
      <c r="AD311" s="274" t="s">
        <v>430</v>
      </c>
      <c r="AE311" s="274" t="s">
        <v>431</v>
      </c>
      <c r="AF311" s="405" t="s">
        <v>432</v>
      </c>
      <c r="AG311" s="405" t="s">
        <v>433</v>
      </c>
      <c r="AH311" s="2040" t="s">
        <v>434</v>
      </c>
      <c r="AI311" s="1459"/>
      <c r="AJ311" s="1459"/>
      <c r="AK311" s="1000" t="s">
        <v>424</v>
      </c>
      <c r="AL311" s="1000" t="s">
        <v>425</v>
      </c>
      <c r="AM311" s="1000" cm="1" t="str">
        <f t="array" ref="AM311:AM311">AC311</f>
        <v>канализационная сеть ул. Комсомольская, 27 :: г Калтан, ул. Комсомольская, 27</v>
      </c>
      <c r="AN311" s="1000" cm="1" t="str">
        <f t="array" ref="AN311:AN311">AD311</f>
        <v>концессионное соглашение</v>
      </c>
      <c r="AO311" s="1000" cm="1" t="str">
        <f t="array" ref="AO311:AO311">AE311</f>
        <v>акт приёма-передачи</v>
      </c>
      <c r="AP311" s="1000" cm="1" t="str">
        <f t="array" ref="AP311:AP311">AF311</f>
        <v>б/н</v>
      </c>
      <c r="AQ311" s="1000" cm="1" t="str">
        <f t="array" ref="AQ311:AQ311">AG311</f>
        <v>01.06.2026</v>
      </c>
      <c r="AR311" s="619"/>
      <c r="AS311" s="619" t="b">
        <v>1</v>
      </c>
    </row>
    <row s="1459" customFormat="1" customHeight="1" ht="23.25">
      <c r="A312" s="1459"/>
      <c r="B312" s="1459"/>
      <c r="C312" s="1459"/>
      <c r="D312" s="1459"/>
      <c r="E312" s="629">
        <v>15</v>
      </c>
      <c r="F312" s="104" cm="1" t="str">
        <f t="array" ref="F312:F312">OFFSET(G312,-1,-1)</f>
        <v>4</v>
      </c>
      <c r="G312" s="1459"/>
      <c r="H312" s="1459"/>
      <c r="I312" s="104" t="s">
        <v>1109</v>
      </c>
      <c r="J312" s="1459"/>
      <c r="K312" s="104" t="s">
        <v>1110</v>
      </c>
      <c r="L312" s="1459"/>
      <c r="M312" s="1459"/>
      <c r="N312" s="1459"/>
      <c r="O312" s="1459"/>
      <c r="P312" s="1459"/>
      <c r="Q312" s="1459"/>
      <c r="R312" s="1459"/>
      <c r="S312" s="1459"/>
      <c r="T312" s="1459"/>
      <c r="U312" s="465">
        <f>AND(F312&gt;0,AB312&gt;0)</f>
        <v>1</v>
      </c>
      <c r="V312" s="1459"/>
      <c r="W312" s="1459"/>
      <c r="X312" s="717"/>
      <c r="Y312" s="1459"/>
      <c r="Z312" s="1459"/>
      <c r="AA312" s="662" t="s">
        <v>175</v>
      </c>
      <c r="AB312" s="88" t="s">
        <v>662</v>
      </c>
      <c r="AC312" s="274" t="str">
        <f>I312&amp;" :: "&amp;K312</f>
        <v>канализационная сеть ул. Комсомольская, 3-5 :: г Калтан, ул. Комсомольская, 3-5</v>
      </c>
      <c r="AD312" s="274" t="s">
        <v>430</v>
      </c>
      <c r="AE312" s="274" t="s">
        <v>431</v>
      </c>
      <c r="AF312" s="405" t="s">
        <v>432</v>
      </c>
      <c r="AG312" s="405" t="s">
        <v>433</v>
      </c>
      <c r="AH312" s="2040" t="s">
        <v>434</v>
      </c>
      <c r="AI312" s="1459"/>
      <c r="AJ312" s="1459"/>
      <c r="AK312" s="1000" t="s">
        <v>424</v>
      </c>
      <c r="AL312" s="1000" t="s">
        <v>425</v>
      </c>
      <c r="AM312" s="1000" cm="1" t="str">
        <f t="array" ref="AM312:AM312">AC312</f>
        <v>канализационная сеть ул. Комсомольская, 3-5 :: г Калтан, ул. Комсомольская, 3-5</v>
      </c>
      <c r="AN312" s="1000" cm="1" t="str">
        <f t="array" ref="AN312:AN312">AD312</f>
        <v>концессионное соглашение</v>
      </c>
      <c r="AO312" s="1000" cm="1" t="str">
        <f t="array" ref="AO312:AO312">AE312</f>
        <v>акт приёма-передачи</v>
      </c>
      <c r="AP312" s="1000" cm="1" t="str">
        <f t="array" ref="AP312:AP312">AF312</f>
        <v>б/н</v>
      </c>
      <c r="AQ312" s="1000" cm="1" t="str">
        <f t="array" ref="AQ312:AQ312">AG312</f>
        <v>01.06.2026</v>
      </c>
      <c r="AR312" s="619"/>
      <c r="AS312" s="619" t="b">
        <v>1</v>
      </c>
    </row>
    <row s="1459" customFormat="1" customHeight="1" ht="23.25">
      <c r="A313" s="1459"/>
      <c r="B313" s="1459"/>
      <c r="C313" s="1459"/>
      <c r="D313" s="1459"/>
      <c r="E313" s="629">
        <v>15</v>
      </c>
      <c r="F313" s="104" cm="1" t="str">
        <f t="array" ref="F313:F313">OFFSET(G313,-1,-1)</f>
        <v>4</v>
      </c>
      <c r="G313" s="1459"/>
      <c r="H313" s="1459"/>
      <c r="I313" s="104" t="s">
        <v>1111</v>
      </c>
      <c r="J313" s="1459"/>
      <c r="K313" s="104" t="s">
        <v>1112</v>
      </c>
      <c r="L313" s="1459"/>
      <c r="M313" s="1459"/>
      <c r="N313" s="1459"/>
      <c r="O313" s="1459"/>
      <c r="P313" s="1459"/>
      <c r="Q313" s="1459"/>
      <c r="R313" s="1459"/>
      <c r="S313" s="1459"/>
      <c r="T313" s="1459"/>
      <c r="U313" s="465">
        <f>AND(F313&gt;0,AB313&gt;0)</f>
        <v>1</v>
      </c>
      <c r="V313" s="1459"/>
      <c r="W313" s="1459"/>
      <c r="X313" s="717"/>
      <c r="Y313" s="1459"/>
      <c r="Z313" s="1459"/>
      <c r="AA313" s="662" t="s">
        <v>175</v>
      </c>
      <c r="AB313" s="88" t="s">
        <v>665</v>
      </c>
      <c r="AC313" s="274" t="str">
        <f>I313&amp;" :: "&amp;K313</f>
        <v>канализационная сеть ул. Комсомольская, 55 :: г Калтан, ул. Комсомольская, 55</v>
      </c>
      <c r="AD313" s="274" t="s">
        <v>430</v>
      </c>
      <c r="AE313" s="274" t="s">
        <v>431</v>
      </c>
      <c r="AF313" s="405" t="s">
        <v>432</v>
      </c>
      <c r="AG313" s="405" t="s">
        <v>433</v>
      </c>
      <c r="AH313" s="2040" t="s">
        <v>434</v>
      </c>
      <c r="AI313" s="1459"/>
      <c r="AJ313" s="1459"/>
      <c r="AK313" s="1000" t="s">
        <v>424</v>
      </c>
      <c r="AL313" s="1000" t="s">
        <v>425</v>
      </c>
      <c r="AM313" s="1000" cm="1" t="str">
        <f t="array" ref="AM313:AM313">AC313</f>
        <v>канализационная сеть ул. Комсомольская, 55 :: г Калтан, ул. Комсомольская, 55</v>
      </c>
      <c r="AN313" s="1000" cm="1" t="str">
        <f t="array" ref="AN313:AN313">AD313</f>
        <v>концессионное соглашение</v>
      </c>
      <c r="AO313" s="1000" cm="1" t="str">
        <f t="array" ref="AO313:AO313">AE313</f>
        <v>акт приёма-передачи</v>
      </c>
      <c r="AP313" s="1000" cm="1" t="str">
        <f t="array" ref="AP313:AP313">AF313</f>
        <v>б/н</v>
      </c>
      <c r="AQ313" s="1000" cm="1" t="str">
        <f t="array" ref="AQ313:AQ313">AG313</f>
        <v>01.06.2026</v>
      </c>
      <c r="AR313" s="619"/>
      <c r="AS313" s="619" t="b">
        <v>1</v>
      </c>
    </row>
    <row s="1459" customFormat="1" customHeight="1" ht="23.25">
      <c r="A314" s="1459"/>
      <c r="B314" s="1459"/>
      <c r="C314" s="1459"/>
      <c r="D314" s="1459"/>
      <c r="E314" s="629">
        <v>15</v>
      </c>
      <c r="F314" s="104" cm="1" t="str">
        <f t="array" ref="F314:F314">OFFSET(G314,-1,-1)</f>
        <v>4</v>
      </c>
      <c r="G314" s="1459"/>
      <c r="H314" s="1459"/>
      <c r="I314" s="104" t="s">
        <v>1113</v>
      </c>
      <c r="J314" s="1459"/>
      <c r="K314" s="104" t="s">
        <v>1114</v>
      </c>
      <c r="L314" s="1459"/>
      <c r="M314" s="1459"/>
      <c r="N314" s="1459"/>
      <c r="O314" s="1459"/>
      <c r="P314" s="1459"/>
      <c r="Q314" s="1459"/>
      <c r="R314" s="1459"/>
      <c r="S314" s="1459"/>
      <c r="T314" s="1459"/>
      <c r="U314" s="465">
        <f>AND(F314&gt;0,AB314&gt;0)</f>
        <v>1</v>
      </c>
      <c r="V314" s="1459"/>
      <c r="W314" s="1459"/>
      <c r="X314" s="717"/>
      <c r="Y314" s="1459"/>
      <c r="Z314" s="1459"/>
      <c r="AA314" s="662" t="s">
        <v>175</v>
      </c>
      <c r="AB314" s="88" t="s">
        <v>668</v>
      </c>
      <c r="AC314" s="274" t="str">
        <f>I314&amp;" :: "&amp;K314</f>
        <v>канализационная сеть ул. Комсомольская, 57 :: г Калтан, ул. Комсомольская, 57</v>
      </c>
      <c r="AD314" s="274" t="s">
        <v>430</v>
      </c>
      <c r="AE314" s="274" t="s">
        <v>431</v>
      </c>
      <c r="AF314" s="405" t="s">
        <v>432</v>
      </c>
      <c r="AG314" s="405" t="s">
        <v>433</v>
      </c>
      <c r="AH314" s="2040" t="s">
        <v>434</v>
      </c>
      <c r="AI314" s="1459"/>
      <c r="AJ314" s="1459"/>
      <c r="AK314" s="1000" t="s">
        <v>424</v>
      </c>
      <c r="AL314" s="1000" t="s">
        <v>425</v>
      </c>
      <c r="AM314" s="1000" cm="1" t="str">
        <f t="array" ref="AM314:AM314">AC314</f>
        <v>канализационная сеть ул. Комсомольская, 57 :: г Калтан, ул. Комсомольская, 57</v>
      </c>
      <c r="AN314" s="1000" cm="1" t="str">
        <f t="array" ref="AN314:AN314">AD314</f>
        <v>концессионное соглашение</v>
      </c>
      <c r="AO314" s="1000" cm="1" t="str">
        <f t="array" ref="AO314:AO314">AE314</f>
        <v>акт приёма-передачи</v>
      </c>
      <c r="AP314" s="1000" cm="1" t="str">
        <f t="array" ref="AP314:AP314">AF314</f>
        <v>б/н</v>
      </c>
      <c r="AQ314" s="1000" cm="1" t="str">
        <f t="array" ref="AQ314:AQ314">AG314</f>
        <v>01.06.2026</v>
      </c>
      <c r="AR314" s="619"/>
      <c r="AS314" s="619" t="b">
        <v>1</v>
      </c>
    </row>
    <row s="1459" customFormat="1" customHeight="1" ht="23.25">
      <c r="A315" s="1459"/>
      <c r="B315" s="1459"/>
      <c r="C315" s="1459"/>
      <c r="D315" s="1459"/>
      <c r="E315" s="629">
        <v>15</v>
      </c>
      <c r="F315" s="104" cm="1" t="str">
        <f t="array" ref="F315:F315">OFFSET(G315,-1,-1)</f>
        <v>4</v>
      </c>
      <c r="G315" s="1459"/>
      <c r="H315" s="1459"/>
      <c r="I315" s="104" t="s">
        <v>1115</v>
      </c>
      <c r="J315" s="1459"/>
      <c r="K315" s="104" t="s">
        <v>1116</v>
      </c>
      <c r="L315" s="1459"/>
      <c r="M315" s="1459"/>
      <c r="N315" s="1459"/>
      <c r="O315" s="1459"/>
      <c r="P315" s="1459"/>
      <c r="Q315" s="1459"/>
      <c r="R315" s="1459"/>
      <c r="S315" s="1459"/>
      <c r="T315" s="1459"/>
      <c r="U315" s="465">
        <f>AND(F315&gt;0,AB315&gt;0)</f>
        <v>1</v>
      </c>
      <c r="V315" s="1459"/>
      <c r="W315" s="1459"/>
      <c r="X315" s="717"/>
      <c r="Y315" s="1459"/>
      <c r="Z315" s="1459"/>
      <c r="AA315" s="662" t="s">
        <v>175</v>
      </c>
      <c r="AB315" s="88" t="s">
        <v>671</v>
      </c>
      <c r="AC315" s="274" t="str">
        <f>I315&amp;" :: "&amp;K315</f>
        <v>канализационная сеть ул. Комсомольская, 63,61 :: г Калтан, ул. Комсомольская, 63,61</v>
      </c>
      <c r="AD315" s="274" t="s">
        <v>430</v>
      </c>
      <c r="AE315" s="274" t="s">
        <v>431</v>
      </c>
      <c r="AF315" s="405" t="s">
        <v>432</v>
      </c>
      <c r="AG315" s="405" t="s">
        <v>433</v>
      </c>
      <c r="AH315" s="2040" t="s">
        <v>434</v>
      </c>
      <c r="AI315" s="1459"/>
      <c r="AJ315" s="1459"/>
      <c r="AK315" s="1000" t="s">
        <v>424</v>
      </c>
      <c r="AL315" s="1000" t="s">
        <v>425</v>
      </c>
      <c r="AM315" s="1000" cm="1" t="str">
        <f t="array" ref="AM315:AM315">AC315</f>
        <v>канализационная сеть ул. Комсомольская, 63,61 :: г Калтан, ул. Комсомольская, 63,61</v>
      </c>
      <c r="AN315" s="1000" cm="1" t="str">
        <f t="array" ref="AN315:AN315">AD315</f>
        <v>концессионное соглашение</v>
      </c>
      <c r="AO315" s="1000" cm="1" t="str">
        <f t="array" ref="AO315:AO315">AE315</f>
        <v>акт приёма-передачи</v>
      </c>
      <c r="AP315" s="1000" cm="1" t="str">
        <f t="array" ref="AP315:AP315">AF315</f>
        <v>б/н</v>
      </c>
      <c r="AQ315" s="1000" cm="1" t="str">
        <f t="array" ref="AQ315:AQ315">AG315</f>
        <v>01.06.2026</v>
      </c>
      <c r="AR315" s="619"/>
      <c r="AS315" s="619" t="b">
        <v>1</v>
      </c>
    </row>
    <row s="1459" customFormat="1" customHeight="1" ht="23.25">
      <c r="A316" s="1459"/>
      <c r="B316" s="1459"/>
      <c r="C316" s="1459"/>
      <c r="D316" s="1459"/>
      <c r="E316" s="629">
        <v>15</v>
      </c>
      <c r="F316" s="104" cm="1" t="str">
        <f t="array" ref="F316:F316">OFFSET(G316,-1,-1)</f>
        <v>4</v>
      </c>
      <c r="G316" s="1459"/>
      <c r="H316" s="1459"/>
      <c r="I316" s="104" t="s">
        <v>1117</v>
      </c>
      <c r="J316" s="1459"/>
      <c r="K316" s="104" t="s">
        <v>1118</v>
      </c>
      <c r="L316" s="1459"/>
      <c r="M316" s="1459"/>
      <c r="N316" s="1459"/>
      <c r="O316" s="1459"/>
      <c r="P316" s="1459"/>
      <c r="Q316" s="1459"/>
      <c r="R316" s="1459"/>
      <c r="S316" s="1459"/>
      <c r="T316" s="1459"/>
      <c r="U316" s="465">
        <f>AND(F316&gt;0,AB316&gt;0)</f>
        <v>1</v>
      </c>
      <c r="V316" s="1459"/>
      <c r="W316" s="1459"/>
      <c r="X316" s="717"/>
      <c r="Y316" s="1459"/>
      <c r="Z316" s="1459"/>
      <c r="AA316" s="662" t="s">
        <v>175</v>
      </c>
      <c r="AB316" s="88" t="s">
        <v>674</v>
      </c>
      <c r="AC316" s="274" t="str">
        <f>I316&amp;" :: "&amp;K316</f>
        <v>канализационная сеть ул. Комсомольская, 65,67,69 :: г Калтан, ул. Комсомольская, 65,67,69</v>
      </c>
      <c r="AD316" s="274" t="s">
        <v>430</v>
      </c>
      <c r="AE316" s="274" t="s">
        <v>431</v>
      </c>
      <c r="AF316" s="405" t="s">
        <v>432</v>
      </c>
      <c r="AG316" s="405" t="s">
        <v>433</v>
      </c>
      <c r="AH316" s="2040" t="s">
        <v>434</v>
      </c>
      <c r="AI316" s="1459"/>
      <c r="AJ316" s="1459"/>
      <c r="AK316" s="1000" t="s">
        <v>424</v>
      </c>
      <c r="AL316" s="1000" t="s">
        <v>425</v>
      </c>
      <c r="AM316" s="1000" cm="1" t="str">
        <f t="array" ref="AM316:AM316">AC316</f>
        <v>канализационная сеть ул. Комсомольская, 65,67,69 :: г Калтан, ул. Комсомольская, 65,67,69</v>
      </c>
      <c r="AN316" s="1000" cm="1" t="str">
        <f t="array" ref="AN316:AN316">AD316</f>
        <v>концессионное соглашение</v>
      </c>
      <c r="AO316" s="1000" cm="1" t="str">
        <f t="array" ref="AO316:AO316">AE316</f>
        <v>акт приёма-передачи</v>
      </c>
      <c r="AP316" s="1000" cm="1" t="str">
        <f t="array" ref="AP316:AP316">AF316</f>
        <v>б/н</v>
      </c>
      <c r="AQ316" s="1000" cm="1" t="str">
        <f t="array" ref="AQ316:AQ316">AG316</f>
        <v>01.06.2026</v>
      </c>
      <c r="AR316" s="619"/>
      <c r="AS316" s="619" t="b">
        <v>1</v>
      </c>
    </row>
    <row s="1459" customFormat="1" customHeight="1" ht="23.25">
      <c r="A317" s="1459"/>
      <c r="B317" s="1459"/>
      <c r="C317" s="1459"/>
      <c r="D317" s="1459"/>
      <c r="E317" s="629">
        <v>15</v>
      </c>
      <c r="F317" s="104" cm="1" t="str">
        <f t="array" ref="F317:F317">OFFSET(G317,-1,-1)</f>
        <v>4</v>
      </c>
      <c r="G317" s="1459"/>
      <c r="H317" s="1459"/>
      <c r="I317" s="104" t="s">
        <v>1119</v>
      </c>
      <c r="J317" s="1459"/>
      <c r="K317" s="104" t="s">
        <v>1120</v>
      </c>
      <c r="L317" s="1459"/>
      <c r="M317" s="1459"/>
      <c r="N317" s="1459"/>
      <c r="O317" s="1459"/>
      <c r="P317" s="1459"/>
      <c r="Q317" s="1459"/>
      <c r="R317" s="1459"/>
      <c r="S317" s="1459"/>
      <c r="T317" s="1459"/>
      <c r="U317" s="465">
        <f>AND(F317&gt;0,AB317&gt;0)</f>
        <v>1</v>
      </c>
      <c r="V317" s="1459"/>
      <c r="W317" s="1459"/>
      <c r="X317" s="717"/>
      <c r="Y317" s="1459"/>
      <c r="Z317" s="1459"/>
      <c r="AA317" s="662" t="s">
        <v>175</v>
      </c>
      <c r="AB317" s="88" t="s">
        <v>677</v>
      </c>
      <c r="AC317" s="274" t="str">
        <f>I317&amp;" :: "&amp;K317</f>
        <v>канализационная сеть ул. Комсомольская, 7-11 :: г Калтан, ул. Комсомольская, 7-11</v>
      </c>
      <c r="AD317" s="274" t="s">
        <v>430</v>
      </c>
      <c r="AE317" s="274" t="s">
        <v>431</v>
      </c>
      <c r="AF317" s="405" t="s">
        <v>432</v>
      </c>
      <c r="AG317" s="405" t="s">
        <v>433</v>
      </c>
      <c r="AH317" s="2040" t="s">
        <v>434</v>
      </c>
      <c r="AI317" s="1459"/>
      <c r="AJ317" s="1459"/>
      <c r="AK317" s="1000" t="s">
        <v>424</v>
      </c>
      <c r="AL317" s="1000" t="s">
        <v>425</v>
      </c>
      <c r="AM317" s="1000" cm="1" t="str">
        <f t="array" ref="AM317:AM317">AC317</f>
        <v>канализационная сеть ул. Комсомольская, 7-11 :: г Калтан, ул. Комсомольская, 7-11</v>
      </c>
      <c r="AN317" s="1000" cm="1" t="str">
        <f t="array" ref="AN317:AN317">AD317</f>
        <v>концессионное соглашение</v>
      </c>
      <c r="AO317" s="1000" cm="1" t="str">
        <f t="array" ref="AO317:AO317">AE317</f>
        <v>акт приёма-передачи</v>
      </c>
      <c r="AP317" s="1000" cm="1" t="str">
        <f t="array" ref="AP317:AP317">AF317</f>
        <v>б/н</v>
      </c>
      <c r="AQ317" s="1000" cm="1" t="str">
        <f t="array" ref="AQ317:AQ317">AG317</f>
        <v>01.06.2026</v>
      </c>
      <c r="AR317" s="619"/>
      <c r="AS317" s="619" t="b">
        <v>1</v>
      </c>
    </row>
    <row s="1459" customFormat="1" customHeight="1" ht="23.25">
      <c r="A318" s="1459"/>
      <c r="B318" s="1459"/>
      <c r="C318" s="1459"/>
      <c r="D318" s="1459"/>
      <c r="E318" s="629">
        <v>15</v>
      </c>
      <c r="F318" s="104" cm="1" t="str">
        <f t="array" ref="F318:F318">OFFSET(G318,-1,-1)</f>
        <v>4</v>
      </c>
      <c r="G318" s="1459"/>
      <c r="H318" s="1459"/>
      <c r="I318" s="104" t="s">
        <v>1121</v>
      </c>
      <c r="J318" s="1459"/>
      <c r="K318" s="104" t="s">
        <v>1122</v>
      </c>
      <c r="L318" s="1459"/>
      <c r="M318" s="1459"/>
      <c r="N318" s="1459"/>
      <c r="O318" s="1459"/>
      <c r="P318" s="1459"/>
      <c r="Q318" s="1459"/>
      <c r="R318" s="1459"/>
      <c r="S318" s="1459"/>
      <c r="T318" s="1459"/>
      <c r="U318" s="465">
        <f>AND(F318&gt;0,AB318&gt;0)</f>
        <v>1</v>
      </c>
      <c r="V318" s="1459"/>
      <c r="W318" s="1459"/>
      <c r="X318" s="717"/>
      <c r="Y318" s="1459"/>
      <c r="Z318" s="1459"/>
      <c r="AA318" s="662" t="s">
        <v>175</v>
      </c>
      <c r="AB318" s="88" t="s">
        <v>680</v>
      </c>
      <c r="AC318" s="274" t="str">
        <f>I318&amp;" :: "&amp;K318</f>
        <v>канализационная сеть пр. Мира, 71 :: г Калтан, ул. Комсомольская, 71</v>
      </c>
      <c r="AD318" s="274" t="s">
        <v>430</v>
      </c>
      <c r="AE318" s="274" t="s">
        <v>431</v>
      </c>
      <c r="AF318" s="405" t="s">
        <v>432</v>
      </c>
      <c r="AG318" s="405" t="s">
        <v>433</v>
      </c>
      <c r="AH318" s="2040" t="s">
        <v>434</v>
      </c>
      <c r="AI318" s="1459"/>
      <c r="AJ318" s="1459"/>
      <c r="AK318" s="1000" t="s">
        <v>424</v>
      </c>
      <c r="AL318" s="1000" t="s">
        <v>425</v>
      </c>
      <c r="AM318" s="1000" cm="1" t="str">
        <f t="array" ref="AM318:AM318">AC318</f>
        <v>канализационная сеть пр. Мира, 71 :: г Калтан, ул. Комсомольская, 71</v>
      </c>
      <c r="AN318" s="1000" cm="1" t="str">
        <f t="array" ref="AN318:AN318">AD318</f>
        <v>концессионное соглашение</v>
      </c>
      <c r="AO318" s="1000" cm="1" t="str">
        <f t="array" ref="AO318:AO318">AE318</f>
        <v>акт приёма-передачи</v>
      </c>
      <c r="AP318" s="1000" cm="1" t="str">
        <f t="array" ref="AP318:AP318">AF318</f>
        <v>б/н</v>
      </c>
      <c r="AQ318" s="1000" cm="1" t="str">
        <f t="array" ref="AQ318:AQ318">AG318</f>
        <v>01.06.2026</v>
      </c>
      <c r="AR318" s="619"/>
      <c r="AS318" s="619" t="b">
        <v>1</v>
      </c>
    </row>
    <row s="1459" customFormat="1" customHeight="1" ht="23.25">
      <c r="A319" s="1459"/>
      <c r="B319" s="1459"/>
      <c r="C319" s="1459"/>
      <c r="D319" s="1459"/>
      <c r="E319" s="629">
        <v>15</v>
      </c>
      <c r="F319" s="104" cm="1" t="str">
        <f t="array" ref="F319:F319">OFFSET(G319,-1,-1)</f>
        <v>4</v>
      </c>
      <c r="G319" s="1459"/>
      <c r="H319" s="1459"/>
      <c r="I319" s="104" t="s">
        <v>1123</v>
      </c>
      <c r="J319" s="1459"/>
      <c r="K319" s="104" t="s">
        <v>1124</v>
      </c>
      <c r="L319" s="1459"/>
      <c r="M319" s="1459"/>
      <c r="N319" s="1459"/>
      <c r="O319" s="1459"/>
      <c r="P319" s="1459"/>
      <c r="Q319" s="1459"/>
      <c r="R319" s="1459"/>
      <c r="S319" s="1459"/>
      <c r="T319" s="1459"/>
      <c r="U319" s="465">
        <f>AND(F319&gt;0,AB319&gt;0)</f>
        <v>1</v>
      </c>
      <c r="V319" s="1459"/>
      <c r="W319" s="1459"/>
      <c r="X319" s="717"/>
      <c r="Y319" s="1459"/>
      <c r="Z319" s="1459"/>
      <c r="AA319" s="662" t="s">
        <v>175</v>
      </c>
      <c r="AB319" s="88" t="s">
        <v>683</v>
      </c>
      <c r="AC319" s="274" t="str">
        <f>I319&amp;" :: "&amp;K319</f>
        <v>канализационная сеть ул. Комсомольская, 71,73,75 :: г Калтан, ул. Комсомольская, 71,73,75</v>
      </c>
      <c r="AD319" s="274" t="s">
        <v>430</v>
      </c>
      <c r="AE319" s="274" t="s">
        <v>431</v>
      </c>
      <c r="AF319" s="405" t="s">
        <v>432</v>
      </c>
      <c r="AG319" s="405" t="s">
        <v>433</v>
      </c>
      <c r="AH319" s="2040" t="s">
        <v>434</v>
      </c>
      <c r="AI319" s="1459"/>
      <c r="AJ319" s="1459"/>
      <c r="AK319" s="1000" t="s">
        <v>424</v>
      </c>
      <c r="AL319" s="1000" t="s">
        <v>425</v>
      </c>
      <c r="AM319" s="1000" cm="1" t="str">
        <f t="array" ref="AM319:AM319">AC319</f>
        <v>канализационная сеть ул. Комсомольская, 71,73,75 :: г Калтан, ул. Комсомольская, 71,73,75</v>
      </c>
      <c r="AN319" s="1000" cm="1" t="str">
        <f t="array" ref="AN319:AN319">AD319</f>
        <v>концессионное соглашение</v>
      </c>
      <c r="AO319" s="1000" cm="1" t="str">
        <f t="array" ref="AO319:AO319">AE319</f>
        <v>акт приёма-передачи</v>
      </c>
      <c r="AP319" s="1000" cm="1" t="str">
        <f t="array" ref="AP319:AP319">AF319</f>
        <v>б/н</v>
      </c>
      <c r="AQ319" s="1000" cm="1" t="str">
        <f t="array" ref="AQ319:AQ319">AG319</f>
        <v>01.06.2026</v>
      </c>
      <c r="AR319" s="619"/>
      <c r="AS319" s="619" t="b">
        <v>1</v>
      </c>
    </row>
    <row s="1459" customFormat="1" customHeight="1" ht="23.25">
      <c r="A320" s="1459"/>
      <c r="B320" s="1459"/>
      <c r="C320" s="1459"/>
      <c r="D320" s="1459"/>
      <c r="E320" s="629">
        <v>15</v>
      </c>
      <c r="F320" s="104" cm="1" t="str">
        <f t="array" ref="F320:F320">OFFSET(G320,-1,-1)</f>
        <v>4</v>
      </c>
      <c r="G320" s="1459"/>
      <c r="H320" s="1459"/>
      <c r="I320" s="104" t="s">
        <v>1125</v>
      </c>
      <c r="J320" s="1459"/>
      <c r="K320" s="104" t="s">
        <v>1126</v>
      </c>
      <c r="L320" s="1459"/>
      <c r="M320" s="1459"/>
      <c r="N320" s="1459"/>
      <c r="O320" s="1459"/>
      <c r="P320" s="1459"/>
      <c r="Q320" s="1459"/>
      <c r="R320" s="1459"/>
      <c r="S320" s="1459"/>
      <c r="T320" s="1459"/>
      <c r="U320" s="465">
        <f>AND(F320&gt;0,AB320&gt;0)</f>
        <v>1</v>
      </c>
      <c r="V320" s="1459"/>
      <c r="W320" s="1459"/>
      <c r="X320" s="717"/>
      <c r="Y320" s="1459"/>
      <c r="Z320" s="1459"/>
      <c r="AA320" s="662" t="s">
        <v>175</v>
      </c>
      <c r="AB320" s="88" t="s">
        <v>686</v>
      </c>
      <c r="AC320" s="274" t="str">
        <f>I320&amp;" :: "&amp;K320</f>
        <v>канализационная сеть ул. Комсомольская, 79, пр. Мира, 56,54,52,50 :: г Калтан, ул. Комсомольская, пр. Мира, -</v>
      </c>
      <c r="AD320" s="274" t="s">
        <v>430</v>
      </c>
      <c r="AE320" s="274" t="s">
        <v>431</v>
      </c>
      <c r="AF320" s="405" t="s">
        <v>432</v>
      </c>
      <c r="AG320" s="405" t="s">
        <v>433</v>
      </c>
      <c r="AH320" s="2040" t="s">
        <v>434</v>
      </c>
      <c r="AI320" s="1459"/>
      <c r="AJ320" s="1459"/>
      <c r="AK320" s="1000" t="s">
        <v>424</v>
      </c>
      <c r="AL320" s="1000" t="s">
        <v>425</v>
      </c>
      <c r="AM320" s="1000" cm="1" t="str">
        <f t="array" ref="AM320:AM320">AC320</f>
        <v>канализационная сеть ул. Комсомольская, 79, пр. Мира, 56,54,52,50 :: г Калтан, ул. Комсомольская, пр. Мира, -</v>
      </c>
      <c r="AN320" s="1000" cm="1" t="str">
        <f t="array" ref="AN320:AN320">AD320</f>
        <v>концессионное соглашение</v>
      </c>
      <c r="AO320" s="1000" cm="1" t="str">
        <f t="array" ref="AO320:AO320">AE320</f>
        <v>акт приёма-передачи</v>
      </c>
      <c r="AP320" s="1000" cm="1" t="str">
        <f t="array" ref="AP320:AP320">AF320</f>
        <v>б/н</v>
      </c>
      <c r="AQ320" s="1000" cm="1" t="str">
        <f t="array" ref="AQ320:AQ320">AG320</f>
        <v>01.06.2026</v>
      </c>
      <c r="AR320" s="619"/>
      <c r="AS320" s="619" t="b">
        <v>1</v>
      </c>
    </row>
    <row s="1459" customFormat="1" customHeight="1" ht="23.25">
      <c r="A321" s="1459"/>
      <c r="B321" s="1459"/>
      <c r="C321" s="1459"/>
      <c r="D321" s="1459"/>
      <c r="E321" s="629">
        <v>15</v>
      </c>
      <c r="F321" s="104" cm="1" t="str">
        <f t="array" ref="F321:F321">OFFSET(G321,-1,-1)</f>
        <v>4</v>
      </c>
      <c r="G321" s="1459"/>
      <c r="H321" s="1459"/>
      <c r="I321" s="104" t="s">
        <v>1127</v>
      </c>
      <c r="J321" s="1459"/>
      <c r="K321" s="104" t="s">
        <v>1126</v>
      </c>
      <c r="L321" s="1459"/>
      <c r="M321" s="1459"/>
      <c r="N321" s="1459"/>
      <c r="O321" s="1459"/>
      <c r="P321" s="1459"/>
      <c r="Q321" s="1459"/>
      <c r="R321" s="1459"/>
      <c r="S321" s="1459"/>
      <c r="T321" s="1459"/>
      <c r="U321" s="465">
        <f>AND(F321&gt;0,AB321&gt;0)</f>
        <v>1</v>
      </c>
      <c r="V321" s="1459"/>
      <c r="W321" s="1459"/>
      <c r="X321" s="717"/>
      <c r="Y321" s="1459"/>
      <c r="Z321" s="1459"/>
      <c r="AA321" s="662" t="s">
        <v>175</v>
      </c>
      <c r="AB321" s="88" t="s">
        <v>689</v>
      </c>
      <c r="AC321" s="274" t="str">
        <f>I321&amp;" :: "&amp;K321</f>
        <v>канализационная сеть ул. Комсомольская, 87, пр. Мира, 58 :: г Калтан, ул. Комсомольская, пр. Мира, -</v>
      </c>
      <c r="AD321" s="274" t="s">
        <v>430</v>
      </c>
      <c r="AE321" s="274" t="s">
        <v>431</v>
      </c>
      <c r="AF321" s="405" t="s">
        <v>432</v>
      </c>
      <c r="AG321" s="405" t="s">
        <v>433</v>
      </c>
      <c r="AH321" s="2040" t="s">
        <v>434</v>
      </c>
      <c r="AI321" s="1459"/>
      <c r="AJ321" s="1459"/>
      <c r="AK321" s="1000" t="s">
        <v>424</v>
      </c>
      <c r="AL321" s="1000" t="s">
        <v>425</v>
      </c>
      <c r="AM321" s="1000" cm="1" t="str">
        <f t="array" ref="AM321:AM321">AC321</f>
        <v>канализационная сеть ул. Комсомольская, 87, пр. Мира, 58 :: г Калтан, ул. Комсомольская, пр. Мира, -</v>
      </c>
      <c r="AN321" s="1000" cm="1" t="str">
        <f t="array" ref="AN321:AN321">AD321</f>
        <v>концессионное соглашение</v>
      </c>
      <c r="AO321" s="1000" cm="1" t="str">
        <f t="array" ref="AO321:AO321">AE321</f>
        <v>акт приёма-передачи</v>
      </c>
      <c r="AP321" s="1000" cm="1" t="str">
        <f t="array" ref="AP321:AP321">AF321</f>
        <v>б/н</v>
      </c>
      <c r="AQ321" s="1000" cm="1" t="str">
        <f t="array" ref="AQ321:AQ321">AG321</f>
        <v>01.06.2026</v>
      </c>
      <c r="AR321" s="619"/>
      <c r="AS321" s="619" t="b">
        <v>1</v>
      </c>
    </row>
    <row s="1459" customFormat="1" customHeight="1" ht="23.25">
      <c r="A322" s="1459"/>
      <c r="B322" s="1459"/>
      <c r="C322" s="1459"/>
      <c r="D322" s="1459"/>
      <c r="E322" s="629">
        <v>15</v>
      </c>
      <c r="F322" s="104" cm="1" t="str">
        <f t="array" ref="F322:F322">OFFSET(G322,-1,-1)</f>
        <v>4</v>
      </c>
      <c r="G322" s="1459"/>
      <c r="H322" s="1459"/>
      <c r="I322" s="104" t="s">
        <v>1128</v>
      </c>
      <c r="J322" s="1459"/>
      <c r="K322" s="104" t="s">
        <v>1129</v>
      </c>
      <c r="L322" s="1459"/>
      <c r="M322" s="1459"/>
      <c r="N322" s="1459"/>
      <c r="O322" s="1459"/>
      <c r="P322" s="1459"/>
      <c r="Q322" s="1459"/>
      <c r="R322" s="1459"/>
      <c r="S322" s="1459"/>
      <c r="T322" s="1459"/>
      <c r="U322" s="465">
        <f>AND(F322&gt;0,AB322&gt;0)</f>
        <v>1</v>
      </c>
      <c r="V322" s="1459"/>
      <c r="W322" s="1459"/>
      <c r="X322" s="717"/>
      <c r="Y322" s="1459"/>
      <c r="Z322" s="1459"/>
      <c r="AA322" s="662" t="s">
        <v>175</v>
      </c>
      <c r="AB322" s="88" t="s">
        <v>692</v>
      </c>
      <c r="AC322" s="274" t="str">
        <f>I322&amp;" :: "&amp;K322</f>
        <v>канализационная сеть ул. Комсомольская, 95, 93, пр. Мира, 60, 62, 64, 66, ул. Школьная, 1,3 :: г Калтан, ул. Комсомольская, пр. Мира, ул. Школьная, -</v>
      </c>
      <c r="AD322" s="274" t="s">
        <v>430</v>
      </c>
      <c r="AE322" s="274" t="s">
        <v>431</v>
      </c>
      <c r="AF322" s="405" t="s">
        <v>432</v>
      </c>
      <c r="AG322" s="405" t="s">
        <v>433</v>
      </c>
      <c r="AH322" s="2040" t="s">
        <v>434</v>
      </c>
      <c r="AI322" s="1459"/>
      <c r="AJ322" s="1459"/>
      <c r="AK322" s="1000" t="s">
        <v>424</v>
      </c>
      <c r="AL322" s="1000" t="s">
        <v>425</v>
      </c>
      <c r="AM322" s="1000" cm="1" t="str">
        <f t="array" ref="AM322:AM322">AC322</f>
        <v>канализационная сеть ул. Комсомольская, 95, 93, пр. Мира, 60, 62, 64, 66, ул. Школьная, 1,3 :: г Калтан, ул. Комсомольская, пр. Мира, ул. Школьная, -</v>
      </c>
      <c r="AN322" s="1000" cm="1" t="str">
        <f t="array" ref="AN322:AN322">AD322</f>
        <v>концессионное соглашение</v>
      </c>
      <c r="AO322" s="1000" cm="1" t="str">
        <f t="array" ref="AO322:AO322">AE322</f>
        <v>акт приёма-передачи</v>
      </c>
      <c r="AP322" s="1000" cm="1" t="str">
        <f t="array" ref="AP322:AP322">AF322</f>
        <v>б/н</v>
      </c>
      <c r="AQ322" s="1000" cm="1" t="str">
        <f t="array" ref="AQ322:AQ322">AG322</f>
        <v>01.06.2026</v>
      </c>
      <c r="AR322" s="619"/>
      <c r="AS322" s="619" t="b">
        <v>1</v>
      </c>
    </row>
    <row s="1459" customFormat="1" customHeight="1" ht="23.25">
      <c r="A323" s="1459"/>
      <c r="B323" s="1459"/>
      <c r="C323" s="1459"/>
      <c r="D323" s="1459"/>
      <c r="E323" s="629">
        <v>15</v>
      </c>
      <c r="F323" s="104" cm="1" t="str">
        <f t="array" ref="F323:F323">OFFSET(G323,-1,-1)</f>
        <v>4</v>
      </c>
      <c r="G323" s="1459"/>
      <c r="H323" s="1459"/>
      <c r="I323" s="104" t="s">
        <v>1130</v>
      </c>
      <c r="J323" s="1459"/>
      <c r="K323" s="104" t="s">
        <v>1131</v>
      </c>
      <c r="L323" s="1459"/>
      <c r="M323" s="1459"/>
      <c r="N323" s="1459"/>
      <c r="O323" s="1459"/>
      <c r="P323" s="1459"/>
      <c r="Q323" s="1459"/>
      <c r="R323" s="1459"/>
      <c r="S323" s="1459"/>
      <c r="T323" s="1459"/>
      <c r="U323" s="465">
        <f>AND(F323&gt;0,AB323&gt;0)</f>
        <v>1</v>
      </c>
      <c r="V323" s="1459"/>
      <c r="W323" s="1459"/>
      <c r="X323" s="717"/>
      <c r="Y323" s="1459"/>
      <c r="Z323" s="1459"/>
      <c r="AA323" s="662" t="s">
        <v>175</v>
      </c>
      <c r="AB323" s="88" t="s">
        <v>695</v>
      </c>
      <c r="AC323" s="274" t="str">
        <f>I323&amp;" :: "&amp;K323</f>
        <v>Здание КНС, г. Калтан :: г Калтан, ул. Полевая, 26</v>
      </c>
      <c r="AD323" s="274" t="s">
        <v>430</v>
      </c>
      <c r="AE323" s="274" t="s">
        <v>431</v>
      </c>
      <c r="AF323" s="405" t="s">
        <v>432</v>
      </c>
      <c r="AG323" s="405" t="s">
        <v>433</v>
      </c>
      <c r="AH323" s="2040" t="s">
        <v>434</v>
      </c>
      <c r="AI323" s="1459"/>
      <c r="AJ323" s="1459"/>
      <c r="AK323" s="1000" t="s">
        <v>424</v>
      </c>
      <c r="AL323" s="1000" t="s">
        <v>425</v>
      </c>
      <c r="AM323" s="1000" cm="1" t="str">
        <f t="array" ref="AM323:AM323">AC323</f>
        <v>Здание КНС, г. Калтан :: г Калтан, ул. Полевая, 26</v>
      </c>
      <c r="AN323" s="1000" cm="1" t="str">
        <f t="array" ref="AN323:AN323">AD323</f>
        <v>концессионное соглашение</v>
      </c>
      <c r="AO323" s="1000" cm="1" t="str">
        <f t="array" ref="AO323:AO323">AE323</f>
        <v>акт приёма-передачи</v>
      </c>
      <c r="AP323" s="1000" cm="1" t="str">
        <f t="array" ref="AP323:AP323">AF323</f>
        <v>б/н</v>
      </c>
      <c r="AQ323" s="1000" cm="1" t="str">
        <f t="array" ref="AQ323:AQ323">AG323</f>
        <v>01.06.2026</v>
      </c>
      <c r="AR323" s="619"/>
      <c r="AS323" s="619" t="b">
        <v>1</v>
      </c>
    </row>
    <row s="1459" customFormat="1" customHeight="1" ht="23.25">
      <c r="A324" s="1459"/>
      <c r="B324" s="1459"/>
      <c r="C324" s="1459"/>
      <c r="D324" s="1459"/>
      <c r="E324" s="629">
        <v>15</v>
      </c>
      <c r="F324" s="104" cm="1" t="str">
        <f t="array" ref="F324:F324">OFFSET(G324,-1,-1)</f>
        <v>4</v>
      </c>
      <c r="G324" s="1459"/>
      <c r="H324" s="1459"/>
      <c r="I324" s="104" t="s">
        <v>1132</v>
      </c>
      <c r="J324" s="1459"/>
      <c r="K324" s="104" t="s">
        <v>1131</v>
      </c>
      <c r="L324" s="1459"/>
      <c r="M324" s="1459"/>
      <c r="N324" s="1459"/>
      <c r="O324" s="1459"/>
      <c r="P324" s="1459"/>
      <c r="Q324" s="1459"/>
      <c r="R324" s="1459"/>
      <c r="S324" s="1459"/>
      <c r="T324" s="1459"/>
      <c r="U324" s="465">
        <f>AND(F324&gt;0,AB324&gt;0)</f>
        <v>1</v>
      </c>
      <c r="V324" s="1459"/>
      <c r="W324" s="1459"/>
      <c r="X324" s="717"/>
      <c r="Y324" s="1459"/>
      <c r="Z324" s="1459"/>
      <c r="AA324" s="662" t="s">
        <v>175</v>
      </c>
      <c r="AB324" s="88" t="s">
        <v>698</v>
      </c>
      <c r="AC324" s="274" t="str">
        <f>I324&amp;" :: "&amp;K324</f>
        <v>Очистные сооружения п. Постоянный :: г Калтан, ул. Полевая, 26</v>
      </c>
      <c r="AD324" s="274" t="s">
        <v>430</v>
      </c>
      <c r="AE324" s="274" t="s">
        <v>431</v>
      </c>
      <c r="AF324" s="405" t="s">
        <v>432</v>
      </c>
      <c r="AG324" s="405" t="s">
        <v>433</v>
      </c>
      <c r="AH324" s="2040" t="s">
        <v>434</v>
      </c>
      <c r="AI324" s="1459"/>
      <c r="AJ324" s="1459"/>
      <c r="AK324" s="1000" t="s">
        <v>424</v>
      </c>
      <c r="AL324" s="1000" t="s">
        <v>425</v>
      </c>
      <c r="AM324" s="1000" cm="1" t="str">
        <f t="array" ref="AM324:AM324">AC324</f>
        <v>Очистные сооружения п. Постоянный :: г Калтан, ул. Полевая, 26</v>
      </c>
      <c r="AN324" s="1000" cm="1" t="str">
        <f t="array" ref="AN324:AN324">AD324</f>
        <v>концессионное соглашение</v>
      </c>
      <c r="AO324" s="1000" cm="1" t="str">
        <f t="array" ref="AO324:AO324">AE324</f>
        <v>акт приёма-передачи</v>
      </c>
      <c r="AP324" s="1000" cm="1" t="str">
        <f t="array" ref="AP324:AP324">AF324</f>
        <v>б/н</v>
      </c>
      <c r="AQ324" s="1000" cm="1" t="str">
        <f t="array" ref="AQ324:AQ324">AG324</f>
        <v>01.06.2026</v>
      </c>
      <c r="AR324" s="619"/>
      <c r="AS324" s="619" t="b">
        <v>1</v>
      </c>
    </row>
    <row s="1459" customFormat="1" customHeight="1" ht="23.25">
      <c r="A325" s="1459"/>
      <c r="B325" s="1459"/>
      <c r="C325" s="1459"/>
      <c r="D325" s="1459"/>
      <c r="E325" s="629">
        <v>15</v>
      </c>
      <c r="F325" s="104" cm="1" t="str">
        <f t="array" ref="F325:F325">OFFSET(G325,-1,-1)</f>
        <v>4</v>
      </c>
      <c r="G325" s="1459"/>
      <c r="H325" s="1459"/>
      <c r="I325" s="104" t="s">
        <v>1133</v>
      </c>
      <c r="J325" s="1459"/>
      <c r="K325" s="104" t="s">
        <v>1134</v>
      </c>
      <c r="L325" s="1459"/>
      <c r="M325" s="1459"/>
      <c r="N325" s="1459"/>
      <c r="O325" s="1459"/>
      <c r="P325" s="1459"/>
      <c r="Q325" s="1459"/>
      <c r="R325" s="1459"/>
      <c r="S325" s="1459"/>
      <c r="T325" s="1459"/>
      <c r="U325" s="465">
        <f>AND(F325&gt;0,AB325&gt;0)</f>
        <v>1</v>
      </c>
      <c r="V325" s="1459"/>
      <c r="W325" s="1459"/>
      <c r="X325" s="717"/>
      <c r="Y325" s="1459"/>
      <c r="Z325" s="1459"/>
      <c r="AA325" s="662" t="s">
        <v>175</v>
      </c>
      <c r="AB325" s="88" t="s">
        <v>701</v>
      </c>
      <c r="AC325" s="274" t="str">
        <f>I325&amp;" :: "&amp;K325</f>
        <v>канализационная сеть ул. Школьная, 2 :: г Калтан, ул. Школьная, 2</v>
      </c>
      <c r="AD325" s="274" t="s">
        <v>430</v>
      </c>
      <c r="AE325" s="274" t="s">
        <v>431</v>
      </c>
      <c r="AF325" s="405" t="s">
        <v>432</v>
      </c>
      <c r="AG325" s="405" t="s">
        <v>433</v>
      </c>
      <c r="AH325" s="2040" t="s">
        <v>434</v>
      </c>
      <c r="AI325" s="1459"/>
      <c r="AJ325" s="1459"/>
      <c r="AK325" s="1000" t="s">
        <v>424</v>
      </c>
      <c r="AL325" s="1000" t="s">
        <v>425</v>
      </c>
      <c r="AM325" s="1000" cm="1" t="str">
        <f t="array" ref="AM325:AM325">AC325</f>
        <v>канализационная сеть ул. Школьная, 2 :: г Калтан, ул. Школьная, 2</v>
      </c>
      <c r="AN325" s="1000" cm="1" t="str">
        <f t="array" ref="AN325:AN325">AD325</f>
        <v>концессионное соглашение</v>
      </c>
      <c r="AO325" s="1000" cm="1" t="str">
        <f t="array" ref="AO325:AO325">AE325</f>
        <v>акт приёма-передачи</v>
      </c>
      <c r="AP325" s="1000" cm="1" t="str">
        <f t="array" ref="AP325:AP325">AF325</f>
        <v>б/н</v>
      </c>
      <c r="AQ325" s="1000" cm="1" t="str">
        <f t="array" ref="AQ325:AQ325">AG325</f>
        <v>01.06.2026</v>
      </c>
      <c r="AR325" s="619"/>
      <c r="AS325" s="619" t="b">
        <v>1</v>
      </c>
    </row>
    <row s="1459" customFormat="1" customHeight="1" ht="23.25">
      <c r="A326" s="1459"/>
      <c r="B326" s="1459"/>
      <c r="C326" s="1459"/>
      <c r="D326" s="1459"/>
      <c r="E326" s="629">
        <v>15</v>
      </c>
      <c r="F326" s="104" cm="1" t="str">
        <f t="array" ref="F326:F326">OFFSET(G326,-1,-1)</f>
        <v>4</v>
      </c>
      <c r="G326" s="1459"/>
      <c r="H326" s="1459"/>
      <c r="I326" s="104" t="s">
        <v>1135</v>
      </c>
      <c r="J326" s="1459"/>
      <c r="K326" s="104" t="s">
        <v>715</v>
      </c>
      <c r="L326" s="1459"/>
      <c r="M326" s="1459"/>
      <c r="N326" s="1459"/>
      <c r="O326" s="1459"/>
      <c r="P326" s="1459"/>
      <c r="Q326" s="1459"/>
      <c r="R326" s="1459"/>
      <c r="S326" s="1459"/>
      <c r="T326" s="1459"/>
      <c r="U326" s="465">
        <f>AND(F326&gt;0,AB326&gt;0)</f>
        <v>1</v>
      </c>
      <c r="V326" s="1459"/>
      <c r="W326" s="1459"/>
      <c r="X326" s="717"/>
      <c r="Y326" s="1459"/>
      <c r="Z326" s="1459"/>
      <c r="AA326" s="662" t="s">
        <v>175</v>
      </c>
      <c r="AB326" s="88" t="s">
        <v>704</v>
      </c>
      <c r="AC326" s="274" t="str">
        <f>I326&amp;" :: "&amp;K326</f>
        <v>Канализационная сеть до очистных сооружений :: п Малиновка, -, -</v>
      </c>
      <c r="AD326" s="274" t="s">
        <v>430</v>
      </c>
      <c r="AE326" s="274" t="s">
        <v>431</v>
      </c>
      <c r="AF326" s="405" t="s">
        <v>432</v>
      </c>
      <c r="AG326" s="405" t="s">
        <v>433</v>
      </c>
      <c r="AH326" s="2040" t="s">
        <v>434</v>
      </c>
      <c r="AI326" s="1459"/>
      <c r="AJ326" s="1459"/>
      <c r="AK326" s="1000" t="s">
        <v>424</v>
      </c>
      <c r="AL326" s="1000" t="s">
        <v>425</v>
      </c>
      <c r="AM326" s="1000" cm="1" t="str">
        <f t="array" ref="AM326:AM326">AC326</f>
        <v>Канализационная сеть до очистных сооружений :: п Малиновка, -, -</v>
      </c>
      <c r="AN326" s="1000" cm="1" t="str">
        <f t="array" ref="AN326:AN326">AD326</f>
        <v>концессионное соглашение</v>
      </c>
      <c r="AO326" s="1000" cm="1" t="str">
        <f t="array" ref="AO326:AO326">AE326</f>
        <v>акт приёма-передачи</v>
      </c>
      <c r="AP326" s="1000" cm="1" t="str">
        <f t="array" ref="AP326:AP326">AF326</f>
        <v>б/н</v>
      </c>
      <c r="AQ326" s="1000" cm="1" t="str">
        <f t="array" ref="AQ326:AQ326">AG326</f>
        <v>01.06.2026</v>
      </c>
      <c r="AR326" s="619"/>
      <c r="AS326" s="619" t="b">
        <v>1</v>
      </c>
    </row>
    <row s="1459" customFormat="1" customHeight="1" ht="23.25">
      <c r="A327" s="1459"/>
      <c r="B327" s="1459"/>
      <c r="C327" s="1459"/>
      <c r="D327" s="1459"/>
      <c r="E327" s="629">
        <v>15</v>
      </c>
      <c r="F327" s="104" cm="1" t="str">
        <f t="array" ref="F327:F327">OFFSET(G327,-1,-1)</f>
        <v>4</v>
      </c>
      <c r="G327" s="1459"/>
      <c r="H327" s="1459"/>
      <c r="I327" s="104" t="s">
        <v>1136</v>
      </c>
      <c r="J327" s="1459"/>
      <c r="K327" s="104" t="s">
        <v>1137</v>
      </c>
      <c r="L327" s="1459"/>
      <c r="M327" s="1459"/>
      <c r="N327" s="1459"/>
      <c r="O327" s="1459"/>
      <c r="P327" s="1459"/>
      <c r="Q327" s="1459"/>
      <c r="R327" s="1459"/>
      <c r="S327" s="1459"/>
      <c r="T327" s="1459"/>
      <c r="U327" s="465">
        <f>AND(F327&gt;0,AB327&gt;0)</f>
        <v>1</v>
      </c>
      <c r="V327" s="1459"/>
      <c r="W327" s="1459"/>
      <c r="X327" s="717"/>
      <c r="Y327" s="1459"/>
      <c r="Z327" s="1459"/>
      <c r="AA327" s="662" t="s">
        <v>175</v>
      </c>
      <c r="AB327" s="88" t="s">
        <v>707</v>
      </c>
      <c r="AC327" s="274" t="str">
        <f>I327&amp;" :: "&amp;K327</f>
        <v>канализационная сеть ул. 60 лет Октября, 10 :: п Малиновка, ул. 60 лет Октября, 10</v>
      </c>
      <c r="AD327" s="274" t="s">
        <v>430</v>
      </c>
      <c r="AE327" s="274" t="s">
        <v>431</v>
      </c>
      <c r="AF327" s="405" t="s">
        <v>432</v>
      </c>
      <c r="AG327" s="405" t="s">
        <v>433</v>
      </c>
      <c r="AH327" s="2040" t="s">
        <v>434</v>
      </c>
      <c r="AI327" s="1459"/>
      <c r="AJ327" s="1459"/>
      <c r="AK327" s="1000" t="s">
        <v>424</v>
      </c>
      <c r="AL327" s="1000" t="s">
        <v>425</v>
      </c>
      <c r="AM327" s="1000" cm="1" t="str">
        <f t="array" ref="AM327:AM327">AC327</f>
        <v>канализационная сеть ул. 60 лет Октября, 10 :: п Малиновка, ул. 60 лет Октября, 10</v>
      </c>
      <c r="AN327" s="1000" cm="1" t="str">
        <f t="array" ref="AN327:AN327">AD327</f>
        <v>концессионное соглашение</v>
      </c>
      <c r="AO327" s="1000" cm="1" t="str">
        <f t="array" ref="AO327:AO327">AE327</f>
        <v>акт приёма-передачи</v>
      </c>
      <c r="AP327" s="1000" cm="1" t="str">
        <f t="array" ref="AP327:AP327">AF327</f>
        <v>б/н</v>
      </c>
      <c r="AQ327" s="1000" cm="1" t="str">
        <f t="array" ref="AQ327:AQ327">AG327</f>
        <v>01.06.2026</v>
      </c>
      <c r="AR327" s="619"/>
      <c r="AS327" s="619" t="b">
        <v>1</v>
      </c>
    </row>
    <row s="1459" customFormat="1" customHeight="1" ht="23.25">
      <c r="A328" s="1459"/>
      <c r="B328" s="1459"/>
      <c r="C328" s="1459"/>
      <c r="D328" s="1459"/>
      <c r="E328" s="629">
        <v>15</v>
      </c>
      <c r="F328" s="104" cm="1" t="str">
        <f t="array" ref="F328:F328">OFFSET(G328,-1,-1)</f>
        <v>4</v>
      </c>
      <c r="G328" s="1459"/>
      <c r="H328" s="1459"/>
      <c r="I328" s="104" t="s">
        <v>1138</v>
      </c>
      <c r="J328" s="1459"/>
      <c r="K328" s="104" t="s">
        <v>774</v>
      </c>
      <c r="L328" s="1459"/>
      <c r="M328" s="1459"/>
      <c r="N328" s="1459"/>
      <c r="O328" s="1459"/>
      <c r="P328" s="1459"/>
      <c r="Q328" s="1459"/>
      <c r="R328" s="1459"/>
      <c r="S328" s="1459"/>
      <c r="T328" s="1459"/>
      <c r="U328" s="465">
        <f>AND(F328&gt;0,AB328&gt;0)</f>
        <v>1</v>
      </c>
      <c r="V328" s="1459"/>
      <c r="W328" s="1459"/>
      <c r="X328" s="717"/>
      <c r="Y328" s="1459"/>
      <c r="Z328" s="1459"/>
      <c r="AA328" s="662" t="s">
        <v>175</v>
      </c>
      <c r="AB328" s="88" t="s">
        <v>710</v>
      </c>
      <c r="AC328" s="274" t="str">
        <f>I328&amp;" :: "&amp;K328</f>
        <v>канализационная сеть ул. 60 лет Октября, 11 :: п Малиновка, ул. 60 лет Октября, 11</v>
      </c>
      <c r="AD328" s="274" t="s">
        <v>430</v>
      </c>
      <c r="AE328" s="274" t="s">
        <v>431</v>
      </c>
      <c r="AF328" s="405" t="s">
        <v>432</v>
      </c>
      <c r="AG328" s="405" t="s">
        <v>433</v>
      </c>
      <c r="AH328" s="2040" t="s">
        <v>434</v>
      </c>
      <c r="AI328" s="1459"/>
      <c r="AJ328" s="1459"/>
      <c r="AK328" s="1000" t="s">
        <v>424</v>
      </c>
      <c r="AL328" s="1000" t="s">
        <v>425</v>
      </c>
      <c r="AM328" s="1000" cm="1" t="str">
        <f t="array" ref="AM328:AM328">AC328</f>
        <v>канализационная сеть ул. 60 лет Октября, 11 :: п Малиновка, ул. 60 лет Октября, 11</v>
      </c>
      <c r="AN328" s="1000" cm="1" t="str">
        <f t="array" ref="AN328:AN328">AD328</f>
        <v>концессионное соглашение</v>
      </c>
      <c r="AO328" s="1000" cm="1" t="str">
        <f t="array" ref="AO328:AO328">AE328</f>
        <v>акт приёма-передачи</v>
      </c>
      <c r="AP328" s="1000" cm="1" t="str">
        <f t="array" ref="AP328:AP328">AF328</f>
        <v>б/н</v>
      </c>
      <c r="AQ328" s="1000" cm="1" t="str">
        <f t="array" ref="AQ328:AQ328">AG328</f>
        <v>01.06.2026</v>
      </c>
      <c r="AR328" s="619"/>
      <c r="AS328" s="619" t="b">
        <v>1</v>
      </c>
    </row>
    <row s="1459" customFormat="1" customHeight="1" ht="23.25">
      <c r="A329" s="1459"/>
      <c r="B329" s="1459"/>
      <c r="C329" s="1459"/>
      <c r="D329" s="1459"/>
      <c r="E329" s="629">
        <v>15</v>
      </c>
      <c r="F329" s="104" cm="1" t="str">
        <f t="array" ref="F329:F329">OFFSET(G329,-1,-1)</f>
        <v>4</v>
      </c>
      <c r="G329" s="1459"/>
      <c r="H329" s="1459"/>
      <c r="I329" s="104" t="s">
        <v>1139</v>
      </c>
      <c r="J329" s="1459"/>
      <c r="K329" s="104" t="s">
        <v>1140</v>
      </c>
      <c r="L329" s="1459"/>
      <c r="M329" s="1459"/>
      <c r="N329" s="1459"/>
      <c r="O329" s="1459"/>
      <c r="P329" s="1459"/>
      <c r="Q329" s="1459"/>
      <c r="R329" s="1459"/>
      <c r="S329" s="1459"/>
      <c r="T329" s="1459"/>
      <c r="U329" s="465">
        <f>AND(F329&gt;0,AB329&gt;0)</f>
        <v>1</v>
      </c>
      <c r="V329" s="1459"/>
      <c r="W329" s="1459"/>
      <c r="X329" s="717"/>
      <c r="Y329" s="1459"/>
      <c r="Z329" s="1459"/>
      <c r="AA329" s="662" t="s">
        <v>175</v>
      </c>
      <c r="AB329" s="88" t="s">
        <v>713</v>
      </c>
      <c r="AC329" s="274" t="str">
        <f>I329&amp;" :: "&amp;K329</f>
        <v>канализационная сеть ул. 60 лет Октября, 14 :: п Малиновка, ул. 60 лет Октября, 14</v>
      </c>
      <c r="AD329" s="274" t="s">
        <v>430</v>
      </c>
      <c r="AE329" s="274" t="s">
        <v>431</v>
      </c>
      <c r="AF329" s="405" t="s">
        <v>432</v>
      </c>
      <c r="AG329" s="405" t="s">
        <v>433</v>
      </c>
      <c r="AH329" s="2040" t="s">
        <v>434</v>
      </c>
      <c r="AI329" s="1459"/>
      <c r="AJ329" s="1459"/>
      <c r="AK329" s="1000" t="s">
        <v>424</v>
      </c>
      <c r="AL329" s="1000" t="s">
        <v>425</v>
      </c>
      <c r="AM329" s="1000" cm="1" t="str">
        <f t="array" ref="AM329:AM329">AC329</f>
        <v>канализационная сеть ул. 60 лет Октября, 14 :: п Малиновка, ул. 60 лет Октября, 14</v>
      </c>
      <c r="AN329" s="1000" cm="1" t="str">
        <f t="array" ref="AN329:AN329">AD329</f>
        <v>концессионное соглашение</v>
      </c>
      <c r="AO329" s="1000" cm="1" t="str">
        <f t="array" ref="AO329:AO329">AE329</f>
        <v>акт приёма-передачи</v>
      </c>
      <c r="AP329" s="1000" cm="1" t="str">
        <f t="array" ref="AP329:AP329">AF329</f>
        <v>б/н</v>
      </c>
      <c r="AQ329" s="1000" cm="1" t="str">
        <f t="array" ref="AQ329:AQ329">AG329</f>
        <v>01.06.2026</v>
      </c>
      <c r="AR329" s="619"/>
      <c r="AS329" s="619" t="b">
        <v>1</v>
      </c>
    </row>
    <row s="1459" customFormat="1" customHeight="1" ht="23.25">
      <c r="A330" s="1459"/>
      <c r="B330" s="1459"/>
      <c r="C330" s="1459"/>
      <c r="D330" s="1459"/>
      <c r="E330" s="629">
        <v>15</v>
      </c>
      <c r="F330" s="104" cm="1" t="str">
        <f t="array" ref="F330:F330">OFFSET(G330,-1,-1)</f>
        <v>4</v>
      </c>
      <c r="G330" s="1459"/>
      <c r="H330" s="1459"/>
      <c r="I330" s="104" t="s">
        <v>1141</v>
      </c>
      <c r="J330" s="1459"/>
      <c r="K330" s="104" t="s">
        <v>780</v>
      </c>
      <c r="L330" s="1459"/>
      <c r="M330" s="1459"/>
      <c r="N330" s="1459"/>
      <c r="O330" s="1459"/>
      <c r="P330" s="1459"/>
      <c r="Q330" s="1459"/>
      <c r="R330" s="1459"/>
      <c r="S330" s="1459"/>
      <c r="T330" s="1459"/>
      <c r="U330" s="465">
        <f>AND(F330&gt;0,AB330&gt;0)</f>
        <v>1</v>
      </c>
      <c r="V330" s="1459"/>
      <c r="W330" s="1459"/>
      <c r="X330" s="717"/>
      <c r="Y330" s="1459"/>
      <c r="Z330" s="1459"/>
      <c r="AA330" s="662" t="s">
        <v>175</v>
      </c>
      <c r="AB330" s="88" t="s">
        <v>716</v>
      </c>
      <c r="AC330" s="274" t="str">
        <f>I330&amp;" :: "&amp;K330</f>
        <v>канализационная сеть ул. 60 лет Октября, 16 :: п Малиновка, ул. 60 лет Октября, 16</v>
      </c>
      <c r="AD330" s="274" t="s">
        <v>430</v>
      </c>
      <c r="AE330" s="274" t="s">
        <v>431</v>
      </c>
      <c r="AF330" s="405" t="s">
        <v>432</v>
      </c>
      <c r="AG330" s="405" t="s">
        <v>433</v>
      </c>
      <c r="AH330" s="2040" t="s">
        <v>434</v>
      </c>
      <c r="AI330" s="1459"/>
      <c r="AJ330" s="1459"/>
      <c r="AK330" s="1000" t="s">
        <v>424</v>
      </c>
      <c r="AL330" s="1000" t="s">
        <v>425</v>
      </c>
      <c r="AM330" s="1000" cm="1" t="str">
        <f t="array" ref="AM330:AM330">AC330</f>
        <v>канализационная сеть ул. 60 лет Октября, 16 :: п Малиновка, ул. 60 лет Октября, 16</v>
      </c>
      <c r="AN330" s="1000" cm="1" t="str">
        <f t="array" ref="AN330:AN330">AD330</f>
        <v>концессионное соглашение</v>
      </c>
      <c r="AO330" s="1000" cm="1" t="str">
        <f t="array" ref="AO330:AO330">AE330</f>
        <v>акт приёма-передачи</v>
      </c>
      <c r="AP330" s="1000" cm="1" t="str">
        <f t="array" ref="AP330:AP330">AF330</f>
        <v>б/н</v>
      </c>
      <c r="AQ330" s="1000" cm="1" t="str">
        <f t="array" ref="AQ330:AQ330">AG330</f>
        <v>01.06.2026</v>
      </c>
      <c r="AR330" s="619"/>
      <c r="AS330" s="619" t="b">
        <v>1</v>
      </c>
    </row>
    <row s="1459" customFormat="1" customHeight="1" ht="23.25">
      <c r="A331" s="1459"/>
      <c r="B331" s="1459"/>
      <c r="C331" s="1459"/>
      <c r="D331" s="1459"/>
      <c r="E331" s="629">
        <v>15</v>
      </c>
      <c r="F331" s="104" cm="1" t="str">
        <f t="array" ref="F331:F331">OFFSET(G331,-1,-1)</f>
        <v>4</v>
      </c>
      <c r="G331" s="1459"/>
      <c r="H331" s="1459"/>
      <c r="I331" s="104" t="s">
        <v>1142</v>
      </c>
      <c r="J331" s="1459"/>
      <c r="K331" s="104" t="s">
        <v>786</v>
      </c>
      <c r="L331" s="1459"/>
      <c r="M331" s="1459"/>
      <c r="N331" s="1459"/>
      <c r="O331" s="1459"/>
      <c r="P331" s="1459"/>
      <c r="Q331" s="1459"/>
      <c r="R331" s="1459"/>
      <c r="S331" s="1459"/>
      <c r="T331" s="1459"/>
      <c r="U331" s="465">
        <f>AND(F331&gt;0,AB331&gt;0)</f>
        <v>1</v>
      </c>
      <c r="V331" s="1459"/>
      <c r="W331" s="1459"/>
      <c r="X331" s="717"/>
      <c r="Y331" s="1459"/>
      <c r="Z331" s="1459"/>
      <c r="AA331" s="662" t="s">
        <v>175</v>
      </c>
      <c r="AB331" s="88" t="s">
        <v>718</v>
      </c>
      <c r="AC331" s="274" t="str">
        <f>I331&amp;" :: "&amp;K331</f>
        <v>канализационная сеть ул. 60 лет Октября, 18 :: п Малиновка, ул. 60 лет Октября, 18</v>
      </c>
      <c r="AD331" s="274" t="s">
        <v>430</v>
      </c>
      <c r="AE331" s="274" t="s">
        <v>431</v>
      </c>
      <c r="AF331" s="405" t="s">
        <v>432</v>
      </c>
      <c r="AG331" s="405" t="s">
        <v>433</v>
      </c>
      <c r="AH331" s="2040" t="s">
        <v>434</v>
      </c>
      <c r="AI331" s="1459"/>
      <c r="AJ331" s="1459"/>
      <c r="AK331" s="1000" t="s">
        <v>424</v>
      </c>
      <c r="AL331" s="1000" t="s">
        <v>425</v>
      </c>
      <c r="AM331" s="1000" cm="1" t="str">
        <f t="array" ref="AM331:AM331">AC331</f>
        <v>канализационная сеть ул. 60 лет Октября, 18 :: п Малиновка, ул. 60 лет Октября, 18</v>
      </c>
      <c r="AN331" s="1000" cm="1" t="str">
        <f t="array" ref="AN331:AN331">AD331</f>
        <v>концессионное соглашение</v>
      </c>
      <c r="AO331" s="1000" cm="1" t="str">
        <f t="array" ref="AO331:AO331">AE331</f>
        <v>акт приёма-передачи</v>
      </c>
      <c r="AP331" s="1000" cm="1" t="str">
        <f t="array" ref="AP331:AP331">AF331</f>
        <v>б/н</v>
      </c>
      <c r="AQ331" s="1000" cm="1" t="str">
        <f t="array" ref="AQ331:AQ331">AG331</f>
        <v>01.06.2026</v>
      </c>
      <c r="AR331" s="619"/>
      <c r="AS331" s="619" t="b">
        <v>1</v>
      </c>
    </row>
    <row s="1459" customFormat="1" customHeight="1" ht="23.25">
      <c r="A332" s="1459"/>
      <c r="B332" s="1459"/>
      <c r="C332" s="1459"/>
      <c r="D332" s="1459"/>
      <c r="E332" s="629">
        <v>15</v>
      </c>
      <c r="F332" s="104" cm="1" t="str">
        <f t="array" ref="F332:F332">OFFSET(G332,-1,-1)</f>
        <v>4</v>
      </c>
      <c r="G332" s="1459"/>
      <c r="H332" s="1459"/>
      <c r="I332" s="104" t="s">
        <v>1143</v>
      </c>
      <c r="J332" s="1459"/>
      <c r="K332" s="104" t="s">
        <v>1144</v>
      </c>
      <c r="L332" s="1459"/>
      <c r="M332" s="1459"/>
      <c r="N332" s="1459"/>
      <c r="O332" s="1459"/>
      <c r="P332" s="1459"/>
      <c r="Q332" s="1459"/>
      <c r="R332" s="1459"/>
      <c r="S332" s="1459"/>
      <c r="T332" s="1459"/>
      <c r="U332" s="465">
        <f>AND(F332&gt;0,AB332&gt;0)</f>
        <v>1</v>
      </c>
      <c r="V332" s="1459"/>
      <c r="W332" s="1459"/>
      <c r="X332" s="717"/>
      <c r="Y332" s="1459"/>
      <c r="Z332" s="1459"/>
      <c r="AA332" s="662" t="s">
        <v>175</v>
      </c>
      <c r="AB332" s="88" t="s">
        <v>720</v>
      </c>
      <c r="AC332" s="274" t="str">
        <f>I332&amp;" :: "&amp;K332</f>
        <v>канализационная сеть ул. 60 лет Октября, 2 :: п Малиновка, ул. 60 лет Октября, 2</v>
      </c>
      <c r="AD332" s="274" t="s">
        <v>430</v>
      </c>
      <c r="AE332" s="274" t="s">
        <v>431</v>
      </c>
      <c r="AF332" s="405" t="s">
        <v>432</v>
      </c>
      <c r="AG332" s="405" t="s">
        <v>433</v>
      </c>
      <c r="AH332" s="2040" t="s">
        <v>434</v>
      </c>
      <c r="AI332" s="1459"/>
      <c r="AJ332" s="1459"/>
      <c r="AK332" s="1000" t="s">
        <v>424</v>
      </c>
      <c r="AL332" s="1000" t="s">
        <v>425</v>
      </c>
      <c r="AM332" s="1000" cm="1" t="str">
        <f t="array" ref="AM332:AM332">AC332</f>
        <v>канализационная сеть ул. 60 лет Октября, 2 :: п Малиновка, ул. 60 лет Октября, 2</v>
      </c>
      <c r="AN332" s="1000" cm="1" t="str">
        <f t="array" ref="AN332:AN332">AD332</f>
        <v>концессионное соглашение</v>
      </c>
      <c r="AO332" s="1000" cm="1" t="str">
        <f t="array" ref="AO332:AO332">AE332</f>
        <v>акт приёма-передачи</v>
      </c>
      <c r="AP332" s="1000" cm="1" t="str">
        <f t="array" ref="AP332:AP332">AF332</f>
        <v>б/н</v>
      </c>
      <c r="AQ332" s="1000" cm="1" t="str">
        <f t="array" ref="AQ332:AQ332">AG332</f>
        <v>01.06.2026</v>
      </c>
      <c r="AR332" s="619"/>
      <c r="AS332" s="619" t="b">
        <v>1</v>
      </c>
    </row>
    <row s="1459" customFormat="1" customHeight="1" ht="23.25">
      <c r="A333" s="1459"/>
      <c r="B333" s="1459"/>
      <c r="C333" s="1459"/>
      <c r="D333" s="1459"/>
      <c r="E333" s="629">
        <v>15</v>
      </c>
      <c r="F333" s="104" cm="1" t="str">
        <f t="array" ref="F333:F333">OFFSET(G333,-1,-1)</f>
        <v>4</v>
      </c>
      <c r="G333" s="1459"/>
      <c r="H333" s="1459"/>
      <c r="I333" s="104" t="s">
        <v>1145</v>
      </c>
      <c r="J333" s="1459"/>
      <c r="K333" s="104" t="s">
        <v>1146</v>
      </c>
      <c r="L333" s="1459"/>
      <c r="M333" s="1459"/>
      <c r="N333" s="1459"/>
      <c r="O333" s="1459"/>
      <c r="P333" s="1459"/>
      <c r="Q333" s="1459"/>
      <c r="R333" s="1459"/>
      <c r="S333" s="1459"/>
      <c r="T333" s="1459"/>
      <c r="U333" s="465">
        <f>AND(F333&gt;0,AB333&gt;0)</f>
        <v>1</v>
      </c>
      <c r="V333" s="1459"/>
      <c r="W333" s="1459"/>
      <c r="X333" s="717"/>
      <c r="Y333" s="1459"/>
      <c r="Z333" s="1459"/>
      <c r="AA333" s="662" t="s">
        <v>175</v>
      </c>
      <c r="AB333" s="88" t="s">
        <v>723</v>
      </c>
      <c r="AC333" s="274" t="str">
        <f>I333&amp;" :: "&amp;K333</f>
        <v>канализационная сеть к дому № 21 :: п Малиновка, ул. 60 лет Октября, 21</v>
      </c>
      <c r="AD333" s="274" t="s">
        <v>430</v>
      </c>
      <c r="AE333" s="274" t="s">
        <v>431</v>
      </c>
      <c r="AF333" s="405" t="s">
        <v>432</v>
      </c>
      <c r="AG333" s="405" t="s">
        <v>433</v>
      </c>
      <c r="AH333" s="2040" t="s">
        <v>434</v>
      </c>
      <c r="AI333" s="1459"/>
      <c r="AJ333" s="1459"/>
      <c r="AK333" s="1000" t="s">
        <v>424</v>
      </c>
      <c r="AL333" s="1000" t="s">
        <v>425</v>
      </c>
      <c r="AM333" s="1000" cm="1" t="str">
        <f t="array" ref="AM333:AM333">AC333</f>
        <v>канализационная сеть к дому № 21 :: п Малиновка, ул. 60 лет Октября, 21</v>
      </c>
      <c r="AN333" s="1000" cm="1" t="str">
        <f t="array" ref="AN333:AN333">AD333</f>
        <v>концессионное соглашение</v>
      </c>
      <c r="AO333" s="1000" cm="1" t="str">
        <f t="array" ref="AO333:AO333">AE333</f>
        <v>акт приёма-передачи</v>
      </c>
      <c r="AP333" s="1000" cm="1" t="str">
        <f t="array" ref="AP333:AP333">AF333</f>
        <v>б/н</v>
      </c>
      <c r="AQ333" s="1000" cm="1" t="str">
        <f t="array" ref="AQ333:AQ333">AG333</f>
        <v>01.06.2026</v>
      </c>
      <c r="AR333" s="619"/>
      <c r="AS333" s="619" t="b">
        <v>1</v>
      </c>
    </row>
    <row s="1459" customFormat="1" customHeight="1" ht="23.25">
      <c r="A334" s="1459"/>
      <c r="B334" s="1459"/>
      <c r="C334" s="1459"/>
      <c r="D334" s="1459"/>
      <c r="E334" s="629">
        <v>15</v>
      </c>
      <c r="F334" s="104" cm="1" t="str">
        <f t="array" ref="F334:F334">OFFSET(G334,-1,-1)</f>
        <v>4</v>
      </c>
      <c r="G334" s="1459"/>
      <c r="H334" s="1459"/>
      <c r="I334" s="104" t="s">
        <v>1147</v>
      </c>
      <c r="J334" s="1459"/>
      <c r="K334" s="104" t="s">
        <v>789</v>
      </c>
      <c r="L334" s="1459"/>
      <c r="M334" s="1459"/>
      <c r="N334" s="1459"/>
      <c r="O334" s="1459"/>
      <c r="P334" s="1459"/>
      <c r="Q334" s="1459"/>
      <c r="R334" s="1459"/>
      <c r="S334" s="1459"/>
      <c r="T334" s="1459"/>
      <c r="U334" s="465">
        <f>AND(F334&gt;0,AB334&gt;0)</f>
        <v>1</v>
      </c>
      <c r="V334" s="1459"/>
      <c r="W334" s="1459"/>
      <c r="X334" s="717"/>
      <c r="Y334" s="1459"/>
      <c r="Z334" s="1459"/>
      <c r="AA334" s="662" t="s">
        <v>175</v>
      </c>
      <c r="AB334" s="88" t="s">
        <v>726</v>
      </c>
      <c r="AC334" s="274" t="str">
        <f>I334&amp;" :: "&amp;K334</f>
        <v>канализационная сеть ул. 60 лет Октября, 23 :: п Малиновка, ул. 60 лет Октября, 23</v>
      </c>
      <c r="AD334" s="274" t="s">
        <v>430</v>
      </c>
      <c r="AE334" s="274" t="s">
        <v>431</v>
      </c>
      <c r="AF334" s="405" t="s">
        <v>432</v>
      </c>
      <c r="AG334" s="405" t="s">
        <v>433</v>
      </c>
      <c r="AH334" s="2040" t="s">
        <v>434</v>
      </c>
      <c r="AI334" s="1459"/>
      <c r="AJ334" s="1459"/>
      <c r="AK334" s="1000" t="s">
        <v>424</v>
      </c>
      <c r="AL334" s="1000" t="s">
        <v>425</v>
      </c>
      <c r="AM334" s="1000" cm="1" t="str">
        <f t="array" ref="AM334:AM334">AC334</f>
        <v>канализационная сеть ул. 60 лет Октября, 23 :: п Малиновка, ул. 60 лет Октября, 23</v>
      </c>
      <c r="AN334" s="1000" cm="1" t="str">
        <f t="array" ref="AN334:AN334">AD334</f>
        <v>концессионное соглашение</v>
      </c>
      <c r="AO334" s="1000" cm="1" t="str">
        <f t="array" ref="AO334:AO334">AE334</f>
        <v>акт приёма-передачи</v>
      </c>
      <c r="AP334" s="1000" cm="1" t="str">
        <f t="array" ref="AP334:AP334">AF334</f>
        <v>б/н</v>
      </c>
      <c r="AQ334" s="1000" cm="1" t="str">
        <f t="array" ref="AQ334:AQ334">AG334</f>
        <v>01.06.2026</v>
      </c>
      <c r="AR334" s="619"/>
      <c r="AS334" s="619" t="b">
        <v>1</v>
      </c>
    </row>
    <row s="1459" customFormat="1" customHeight="1" ht="23.25">
      <c r="A335" s="1459"/>
      <c r="B335" s="1459"/>
      <c r="C335" s="1459"/>
      <c r="D335" s="1459"/>
      <c r="E335" s="629">
        <v>15</v>
      </c>
      <c r="F335" s="104" cm="1" t="str">
        <f t="array" ref="F335:F335">OFFSET(G335,-1,-1)</f>
        <v>4</v>
      </c>
      <c r="G335" s="1459"/>
      <c r="H335" s="1459"/>
      <c r="I335" s="104" t="s">
        <v>1148</v>
      </c>
      <c r="J335" s="1459"/>
      <c r="K335" s="104" t="s">
        <v>1149</v>
      </c>
      <c r="L335" s="1459"/>
      <c r="M335" s="1459"/>
      <c r="N335" s="1459"/>
      <c r="O335" s="1459"/>
      <c r="P335" s="1459"/>
      <c r="Q335" s="1459"/>
      <c r="R335" s="1459"/>
      <c r="S335" s="1459"/>
      <c r="T335" s="1459"/>
      <c r="U335" s="465">
        <f>AND(F335&gt;0,AB335&gt;0)</f>
        <v>1</v>
      </c>
      <c r="V335" s="1459"/>
      <c r="W335" s="1459"/>
      <c r="X335" s="717"/>
      <c r="Y335" s="1459"/>
      <c r="Z335" s="1459"/>
      <c r="AA335" s="662" t="s">
        <v>175</v>
      </c>
      <c r="AB335" s="88" t="s">
        <v>729</v>
      </c>
      <c r="AC335" s="274" t="str">
        <f>I335&amp;" :: "&amp;K335</f>
        <v>канализационная сеть домов 25, 24 :: п Малиновка, ул. 60 лет Октября, 24, 25</v>
      </c>
      <c r="AD335" s="274" t="s">
        <v>430</v>
      </c>
      <c r="AE335" s="274" t="s">
        <v>431</v>
      </c>
      <c r="AF335" s="405" t="s">
        <v>432</v>
      </c>
      <c r="AG335" s="405" t="s">
        <v>433</v>
      </c>
      <c r="AH335" s="2040" t="s">
        <v>434</v>
      </c>
      <c r="AI335" s="1459"/>
      <c r="AJ335" s="1459"/>
      <c r="AK335" s="1000" t="s">
        <v>424</v>
      </c>
      <c r="AL335" s="1000" t="s">
        <v>425</v>
      </c>
      <c r="AM335" s="1000" cm="1" t="str">
        <f t="array" ref="AM335:AM335">AC335</f>
        <v>канализационная сеть домов 25, 24 :: п Малиновка, ул. 60 лет Октября, 24, 25</v>
      </c>
      <c r="AN335" s="1000" cm="1" t="str">
        <f t="array" ref="AN335:AN335">AD335</f>
        <v>концессионное соглашение</v>
      </c>
      <c r="AO335" s="1000" cm="1" t="str">
        <f t="array" ref="AO335:AO335">AE335</f>
        <v>акт приёма-передачи</v>
      </c>
      <c r="AP335" s="1000" cm="1" t="str">
        <f t="array" ref="AP335:AP335">AF335</f>
        <v>б/н</v>
      </c>
      <c r="AQ335" s="1000" cm="1" t="str">
        <f t="array" ref="AQ335:AQ335">AG335</f>
        <v>01.06.2026</v>
      </c>
      <c r="AR335" s="619"/>
      <c r="AS335" s="619" t="b">
        <v>1</v>
      </c>
    </row>
    <row s="1459" customFormat="1" customHeight="1" ht="23.25">
      <c r="A336" s="1459"/>
      <c r="B336" s="1459"/>
      <c r="C336" s="1459"/>
      <c r="D336" s="1459"/>
      <c r="E336" s="629">
        <v>15</v>
      </c>
      <c r="F336" s="104" cm="1" t="str">
        <f t="array" ref="F336:F336">OFFSET(G336,-1,-1)</f>
        <v>4</v>
      </c>
      <c r="G336" s="1459"/>
      <c r="H336" s="1459"/>
      <c r="I336" s="104" t="s">
        <v>1150</v>
      </c>
      <c r="J336" s="1459"/>
      <c r="K336" s="104" t="s">
        <v>795</v>
      </c>
      <c r="L336" s="1459"/>
      <c r="M336" s="1459"/>
      <c r="N336" s="1459"/>
      <c r="O336" s="1459"/>
      <c r="P336" s="1459"/>
      <c r="Q336" s="1459"/>
      <c r="R336" s="1459"/>
      <c r="S336" s="1459"/>
      <c r="T336" s="1459"/>
      <c r="U336" s="465">
        <f>AND(F336&gt;0,AB336&gt;0)</f>
        <v>1</v>
      </c>
      <c r="V336" s="1459"/>
      <c r="W336" s="1459"/>
      <c r="X336" s="717"/>
      <c r="Y336" s="1459"/>
      <c r="Z336" s="1459"/>
      <c r="AA336" s="662" t="s">
        <v>175</v>
      </c>
      <c r="AB336" s="88" t="s">
        <v>732</v>
      </c>
      <c r="AC336" s="274" t="str">
        <f>I336&amp;" :: "&amp;K336</f>
        <v>канализационная сеть ул. 60 лет Октября, 25 :: п Малиновка, ул. 60 лет Октября, 25</v>
      </c>
      <c r="AD336" s="274" t="s">
        <v>430</v>
      </c>
      <c r="AE336" s="274" t="s">
        <v>431</v>
      </c>
      <c r="AF336" s="405" t="s">
        <v>432</v>
      </c>
      <c r="AG336" s="405" t="s">
        <v>433</v>
      </c>
      <c r="AH336" s="2040" t="s">
        <v>434</v>
      </c>
      <c r="AI336" s="1459"/>
      <c r="AJ336" s="1459"/>
      <c r="AK336" s="1000" t="s">
        <v>424</v>
      </c>
      <c r="AL336" s="1000" t="s">
        <v>425</v>
      </c>
      <c r="AM336" s="1000" cm="1" t="str">
        <f t="array" ref="AM336:AM336">AC336</f>
        <v>канализационная сеть ул. 60 лет Октября, 25 :: п Малиновка, ул. 60 лет Октября, 25</v>
      </c>
      <c r="AN336" s="1000" cm="1" t="str">
        <f t="array" ref="AN336:AN336">AD336</f>
        <v>концессионное соглашение</v>
      </c>
      <c r="AO336" s="1000" cm="1" t="str">
        <f t="array" ref="AO336:AO336">AE336</f>
        <v>акт приёма-передачи</v>
      </c>
      <c r="AP336" s="1000" cm="1" t="str">
        <f t="array" ref="AP336:AP336">AF336</f>
        <v>б/н</v>
      </c>
      <c r="AQ336" s="1000" cm="1" t="str">
        <f t="array" ref="AQ336:AQ336">AG336</f>
        <v>01.06.2026</v>
      </c>
      <c r="AR336" s="619"/>
      <c r="AS336" s="619" t="b">
        <v>1</v>
      </c>
    </row>
    <row s="1459" customFormat="1" customHeight="1" ht="23.25">
      <c r="A337" s="1459"/>
      <c r="B337" s="1459"/>
      <c r="C337" s="1459"/>
      <c r="D337" s="1459"/>
      <c r="E337" s="629">
        <v>15</v>
      </c>
      <c r="F337" s="104" cm="1" t="str">
        <f t="array" ref="F337:F337">OFFSET(G337,-1,-1)</f>
        <v>4</v>
      </c>
      <c r="G337" s="1459"/>
      <c r="H337" s="1459"/>
      <c r="I337" s="104" t="s">
        <v>1151</v>
      </c>
      <c r="J337" s="1459"/>
      <c r="K337" s="104" t="s">
        <v>798</v>
      </c>
      <c r="L337" s="1459"/>
      <c r="M337" s="1459"/>
      <c r="N337" s="1459"/>
      <c r="O337" s="1459"/>
      <c r="P337" s="1459"/>
      <c r="Q337" s="1459"/>
      <c r="R337" s="1459"/>
      <c r="S337" s="1459"/>
      <c r="T337" s="1459"/>
      <c r="U337" s="465">
        <f>AND(F337&gt;0,AB337&gt;0)</f>
        <v>1</v>
      </c>
      <c r="V337" s="1459"/>
      <c r="W337" s="1459"/>
      <c r="X337" s="717"/>
      <c r="Y337" s="1459"/>
      <c r="Z337" s="1459"/>
      <c r="AA337" s="662" t="s">
        <v>175</v>
      </c>
      <c r="AB337" s="88" t="s">
        <v>735</v>
      </c>
      <c r="AC337" s="274" t="str">
        <f>I337&amp;" :: "&amp;K337</f>
        <v>канализационная сеть ул. 60 лет Октября, 26 :: п Малиновка, ул. 60 лет Октября, 26</v>
      </c>
      <c r="AD337" s="274" t="s">
        <v>430</v>
      </c>
      <c r="AE337" s="274" t="s">
        <v>431</v>
      </c>
      <c r="AF337" s="405" t="s">
        <v>432</v>
      </c>
      <c r="AG337" s="405" t="s">
        <v>433</v>
      </c>
      <c r="AH337" s="2040" t="s">
        <v>434</v>
      </c>
      <c r="AI337" s="1459"/>
      <c r="AJ337" s="1459"/>
      <c r="AK337" s="1000" t="s">
        <v>424</v>
      </c>
      <c r="AL337" s="1000" t="s">
        <v>425</v>
      </c>
      <c r="AM337" s="1000" cm="1" t="str">
        <f t="array" ref="AM337:AM337">AC337</f>
        <v>канализационная сеть ул. 60 лет Октября, 26 :: п Малиновка, ул. 60 лет Октября, 26</v>
      </c>
      <c r="AN337" s="1000" cm="1" t="str">
        <f t="array" ref="AN337:AN337">AD337</f>
        <v>концессионное соглашение</v>
      </c>
      <c r="AO337" s="1000" cm="1" t="str">
        <f t="array" ref="AO337:AO337">AE337</f>
        <v>акт приёма-передачи</v>
      </c>
      <c r="AP337" s="1000" cm="1" t="str">
        <f t="array" ref="AP337:AP337">AF337</f>
        <v>б/н</v>
      </c>
      <c r="AQ337" s="1000" cm="1" t="str">
        <f t="array" ref="AQ337:AQ337">AG337</f>
        <v>01.06.2026</v>
      </c>
      <c r="AR337" s="619"/>
      <c r="AS337" s="619" t="b">
        <v>1</v>
      </c>
    </row>
    <row s="1459" customFormat="1" customHeight="1" ht="23.25">
      <c r="A338" s="1459"/>
      <c r="B338" s="1459"/>
      <c r="C338" s="1459"/>
      <c r="D338" s="1459"/>
      <c r="E338" s="629">
        <v>15</v>
      </c>
      <c r="F338" s="104" cm="1" t="str">
        <f t="array" ref="F338:F338">OFFSET(G338,-1,-1)</f>
        <v>4</v>
      </c>
      <c r="G338" s="1459"/>
      <c r="H338" s="1459"/>
      <c r="I338" s="104" t="s">
        <v>1152</v>
      </c>
      <c r="J338" s="1459"/>
      <c r="K338" s="104" t="s">
        <v>801</v>
      </c>
      <c r="L338" s="1459"/>
      <c r="M338" s="1459"/>
      <c r="N338" s="1459"/>
      <c r="O338" s="1459"/>
      <c r="P338" s="1459"/>
      <c r="Q338" s="1459"/>
      <c r="R338" s="1459"/>
      <c r="S338" s="1459"/>
      <c r="T338" s="1459"/>
      <c r="U338" s="465">
        <f>AND(F338&gt;0,AB338&gt;0)</f>
        <v>1</v>
      </c>
      <c r="V338" s="1459"/>
      <c r="W338" s="1459"/>
      <c r="X338" s="717"/>
      <c r="Y338" s="1459"/>
      <c r="Z338" s="1459"/>
      <c r="AA338" s="662" t="s">
        <v>175</v>
      </c>
      <c r="AB338" s="88" t="s">
        <v>738</v>
      </c>
      <c r="AC338" s="274" t="str">
        <f>I338&amp;" :: "&amp;K338</f>
        <v>канализационная сеть ул. 60 лет Октября, 27 :: п Малиновка, ул. 60 лет Октября, 27</v>
      </c>
      <c r="AD338" s="274" t="s">
        <v>430</v>
      </c>
      <c r="AE338" s="274" t="s">
        <v>431</v>
      </c>
      <c r="AF338" s="405" t="s">
        <v>432</v>
      </c>
      <c r="AG338" s="405" t="s">
        <v>433</v>
      </c>
      <c r="AH338" s="2040" t="s">
        <v>434</v>
      </c>
      <c r="AI338" s="1459"/>
      <c r="AJ338" s="1459"/>
      <c r="AK338" s="1000" t="s">
        <v>424</v>
      </c>
      <c r="AL338" s="1000" t="s">
        <v>425</v>
      </c>
      <c r="AM338" s="1000" cm="1" t="str">
        <f t="array" ref="AM338:AM338">AC338</f>
        <v>канализационная сеть ул. 60 лет Октября, 27 :: п Малиновка, ул. 60 лет Октября, 27</v>
      </c>
      <c r="AN338" s="1000" cm="1" t="str">
        <f t="array" ref="AN338:AN338">AD338</f>
        <v>концессионное соглашение</v>
      </c>
      <c r="AO338" s="1000" cm="1" t="str">
        <f t="array" ref="AO338:AO338">AE338</f>
        <v>акт приёма-передачи</v>
      </c>
      <c r="AP338" s="1000" cm="1" t="str">
        <f t="array" ref="AP338:AP338">AF338</f>
        <v>б/н</v>
      </c>
      <c r="AQ338" s="1000" cm="1" t="str">
        <f t="array" ref="AQ338:AQ338">AG338</f>
        <v>01.06.2026</v>
      </c>
      <c r="AR338" s="619"/>
      <c r="AS338" s="619" t="b">
        <v>1</v>
      </c>
    </row>
    <row s="1459" customFormat="1" customHeight="1" ht="23.25">
      <c r="A339" s="1459"/>
      <c r="B339" s="1459"/>
      <c r="C339" s="1459"/>
      <c r="D339" s="1459"/>
      <c r="E339" s="629">
        <v>15</v>
      </c>
      <c r="F339" s="104" cm="1" t="str">
        <f t="array" ref="F339:F339">OFFSET(G339,-1,-1)</f>
        <v>4</v>
      </c>
      <c r="G339" s="1459"/>
      <c r="H339" s="1459"/>
      <c r="I339" s="104" t="s">
        <v>1153</v>
      </c>
      <c r="J339" s="1459"/>
      <c r="K339" s="104" t="s">
        <v>807</v>
      </c>
      <c r="L339" s="1459"/>
      <c r="M339" s="1459"/>
      <c r="N339" s="1459"/>
      <c r="O339" s="1459"/>
      <c r="P339" s="1459"/>
      <c r="Q339" s="1459"/>
      <c r="R339" s="1459"/>
      <c r="S339" s="1459"/>
      <c r="T339" s="1459"/>
      <c r="U339" s="465">
        <f>AND(F339&gt;0,AB339&gt;0)</f>
        <v>1</v>
      </c>
      <c r="V339" s="1459"/>
      <c r="W339" s="1459"/>
      <c r="X339" s="717"/>
      <c r="Y339" s="1459"/>
      <c r="Z339" s="1459"/>
      <c r="AA339" s="662" t="s">
        <v>175</v>
      </c>
      <c r="AB339" s="88" t="s">
        <v>740</v>
      </c>
      <c r="AC339" s="274" t="str">
        <f>I339&amp;" :: "&amp;K339</f>
        <v>канализационная сеть ул. 60 лет Октября, 29 :: п Малиновка, ул. 60 лет Октября, 29</v>
      </c>
      <c r="AD339" s="274" t="s">
        <v>430</v>
      </c>
      <c r="AE339" s="274" t="s">
        <v>431</v>
      </c>
      <c r="AF339" s="405" t="s">
        <v>432</v>
      </c>
      <c r="AG339" s="405" t="s">
        <v>433</v>
      </c>
      <c r="AH339" s="2040" t="s">
        <v>434</v>
      </c>
      <c r="AI339" s="1459"/>
      <c r="AJ339" s="1459"/>
      <c r="AK339" s="1000" t="s">
        <v>424</v>
      </c>
      <c r="AL339" s="1000" t="s">
        <v>425</v>
      </c>
      <c r="AM339" s="1000" cm="1" t="str">
        <f t="array" ref="AM339:AM339">AC339</f>
        <v>канализационная сеть ул. 60 лет Октября, 29 :: п Малиновка, ул. 60 лет Октября, 29</v>
      </c>
      <c r="AN339" s="1000" cm="1" t="str">
        <f t="array" ref="AN339:AN339">AD339</f>
        <v>концессионное соглашение</v>
      </c>
      <c r="AO339" s="1000" cm="1" t="str">
        <f t="array" ref="AO339:AO339">AE339</f>
        <v>акт приёма-передачи</v>
      </c>
      <c r="AP339" s="1000" cm="1" t="str">
        <f t="array" ref="AP339:AP339">AF339</f>
        <v>б/н</v>
      </c>
      <c r="AQ339" s="1000" cm="1" t="str">
        <f t="array" ref="AQ339:AQ339">AG339</f>
        <v>01.06.2026</v>
      </c>
      <c r="AR339" s="619"/>
      <c r="AS339" s="619" t="b">
        <v>1</v>
      </c>
    </row>
    <row s="1459" customFormat="1" customHeight="1" ht="23.25">
      <c r="A340" s="1459"/>
      <c r="B340" s="1459"/>
      <c r="C340" s="1459"/>
      <c r="D340" s="1459"/>
      <c r="E340" s="629">
        <v>15</v>
      </c>
      <c r="F340" s="104" cm="1" t="str">
        <f t="array" ref="F340:F340">OFFSET(G340,-1,-1)</f>
        <v>4</v>
      </c>
      <c r="G340" s="1459"/>
      <c r="H340" s="1459"/>
      <c r="I340" s="104" t="s">
        <v>1154</v>
      </c>
      <c r="J340" s="1459"/>
      <c r="K340" s="104" t="s">
        <v>1155</v>
      </c>
      <c r="L340" s="1459"/>
      <c r="M340" s="1459"/>
      <c r="N340" s="1459"/>
      <c r="O340" s="1459"/>
      <c r="P340" s="1459"/>
      <c r="Q340" s="1459"/>
      <c r="R340" s="1459"/>
      <c r="S340" s="1459"/>
      <c r="T340" s="1459"/>
      <c r="U340" s="465">
        <f>AND(F340&gt;0,AB340&gt;0)</f>
        <v>1</v>
      </c>
      <c r="V340" s="1459"/>
      <c r="W340" s="1459"/>
      <c r="X340" s="717"/>
      <c r="Y340" s="1459"/>
      <c r="Z340" s="1459"/>
      <c r="AA340" s="662" t="s">
        <v>175</v>
      </c>
      <c r="AB340" s="88" t="s">
        <v>743</v>
      </c>
      <c r="AC340" s="274" t="str">
        <f>I340&amp;" :: "&amp;K340</f>
        <v>канализационная сеть ул. 60 лет Октября, 4 :: п Малиновка, ул. 60 лет Октября, 4</v>
      </c>
      <c r="AD340" s="274" t="s">
        <v>430</v>
      </c>
      <c r="AE340" s="274" t="s">
        <v>431</v>
      </c>
      <c r="AF340" s="405" t="s">
        <v>432</v>
      </c>
      <c r="AG340" s="405" t="s">
        <v>433</v>
      </c>
      <c r="AH340" s="2040" t="s">
        <v>434</v>
      </c>
      <c r="AI340" s="1459"/>
      <c r="AJ340" s="1459"/>
      <c r="AK340" s="1000" t="s">
        <v>424</v>
      </c>
      <c r="AL340" s="1000" t="s">
        <v>425</v>
      </c>
      <c r="AM340" s="1000" cm="1" t="str">
        <f t="array" ref="AM340:AM340">AC340</f>
        <v>канализационная сеть ул. 60 лет Октября, 4 :: п Малиновка, ул. 60 лет Октября, 4</v>
      </c>
      <c r="AN340" s="1000" cm="1" t="str">
        <f t="array" ref="AN340:AN340">AD340</f>
        <v>концессионное соглашение</v>
      </c>
      <c r="AO340" s="1000" cm="1" t="str">
        <f t="array" ref="AO340:AO340">AE340</f>
        <v>акт приёма-передачи</v>
      </c>
      <c r="AP340" s="1000" cm="1" t="str">
        <f t="array" ref="AP340:AP340">AF340</f>
        <v>б/н</v>
      </c>
      <c r="AQ340" s="1000" cm="1" t="str">
        <f t="array" ref="AQ340:AQ340">AG340</f>
        <v>01.06.2026</v>
      </c>
      <c r="AR340" s="619"/>
      <c r="AS340" s="619" t="b">
        <v>1</v>
      </c>
    </row>
    <row s="1459" customFormat="1" customHeight="1" ht="23.25">
      <c r="A341" s="1459"/>
      <c r="B341" s="1459"/>
      <c r="C341" s="1459"/>
      <c r="D341" s="1459"/>
      <c r="E341" s="629">
        <v>15</v>
      </c>
      <c r="F341" s="104" cm="1" t="str">
        <f t="array" ref="F341:F341">OFFSET(G341,-1,-1)</f>
        <v>4</v>
      </c>
      <c r="G341" s="1459"/>
      <c r="H341" s="1459"/>
      <c r="I341" s="104" t="s">
        <v>1156</v>
      </c>
      <c r="J341" s="1459"/>
      <c r="K341" s="104" t="s">
        <v>1157</v>
      </c>
      <c r="L341" s="1459"/>
      <c r="M341" s="1459"/>
      <c r="N341" s="1459"/>
      <c r="O341" s="1459"/>
      <c r="P341" s="1459"/>
      <c r="Q341" s="1459"/>
      <c r="R341" s="1459"/>
      <c r="S341" s="1459"/>
      <c r="T341" s="1459"/>
      <c r="U341" s="465">
        <f>AND(F341&gt;0,AB341&gt;0)</f>
        <v>1</v>
      </c>
      <c r="V341" s="1459"/>
      <c r="W341" s="1459"/>
      <c r="X341" s="717"/>
      <c r="Y341" s="1459"/>
      <c r="Z341" s="1459"/>
      <c r="AA341" s="662" t="s">
        <v>175</v>
      </c>
      <c r="AB341" s="88" t="s">
        <v>746</v>
      </c>
      <c r="AC341" s="274" t="str">
        <f>I341&amp;" :: "&amp;K341</f>
        <v>канализационная сеть ул. 60 лет Октября, 6 :: п Малиновка, ул. 60 лет Октября, 6</v>
      </c>
      <c r="AD341" s="274" t="s">
        <v>430</v>
      </c>
      <c r="AE341" s="274" t="s">
        <v>431</v>
      </c>
      <c r="AF341" s="405" t="s">
        <v>432</v>
      </c>
      <c r="AG341" s="405" t="s">
        <v>433</v>
      </c>
      <c r="AH341" s="2040" t="s">
        <v>434</v>
      </c>
      <c r="AI341" s="1459"/>
      <c r="AJ341" s="1459"/>
      <c r="AK341" s="1000" t="s">
        <v>424</v>
      </c>
      <c r="AL341" s="1000" t="s">
        <v>425</v>
      </c>
      <c r="AM341" s="1000" cm="1" t="str">
        <f t="array" ref="AM341:AM341">AC341</f>
        <v>канализационная сеть ул. 60 лет Октября, 6 :: п Малиновка, ул. 60 лет Октября, 6</v>
      </c>
      <c r="AN341" s="1000" cm="1" t="str">
        <f t="array" ref="AN341:AN341">AD341</f>
        <v>концессионное соглашение</v>
      </c>
      <c r="AO341" s="1000" cm="1" t="str">
        <f t="array" ref="AO341:AO341">AE341</f>
        <v>акт приёма-передачи</v>
      </c>
      <c r="AP341" s="1000" cm="1" t="str">
        <f t="array" ref="AP341:AP341">AF341</f>
        <v>б/н</v>
      </c>
      <c r="AQ341" s="1000" cm="1" t="str">
        <f t="array" ref="AQ341:AQ341">AG341</f>
        <v>01.06.2026</v>
      </c>
      <c r="AR341" s="619"/>
      <c r="AS341" s="619" t="b">
        <v>1</v>
      </c>
    </row>
    <row s="1459" customFormat="1" customHeight="1" ht="23.25">
      <c r="A342" s="1459"/>
      <c r="B342" s="1459"/>
      <c r="C342" s="1459"/>
      <c r="D342" s="1459"/>
      <c r="E342" s="629">
        <v>15</v>
      </c>
      <c r="F342" s="104" cm="1" t="str">
        <f t="array" ref="F342:F342">OFFSET(G342,-1,-1)</f>
        <v>4</v>
      </c>
      <c r="G342" s="1459"/>
      <c r="H342" s="1459"/>
      <c r="I342" s="104" t="s">
        <v>1158</v>
      </c>
      <c r="J342" s="1459"/>
      <c r="K342" s="104" t="s">
        <v>810</v>
      </c>
      <c r="L342" s="1459"/>
      <c r="M342" s="1459"/>
      <c r="N342" s="1459"/>
      <c r="O342" s="1459"/>
      <c r="P342" s="1459"/>
      <c r="Q342" s="1459"/>
      <c r="R342" s="1459"/>
      <c r="S342" s="1459"/>
      <c r="T342" s="1459"/>
      <c r="U342" s="465">
        <f>AND(F342&gt;0,AB342&gt;0)</f>
        <v>1</v>
      </c>
      <c r="V342" s="1459"/>
      <c r="W342" s="1459"/>
      <c r="X342" s="717"/>
      <c r="Y342" s="1459"/>
      <c r="Z342" s="1459"/>
      <c r="AA342" s="662" t="s">
        <v>175</v>
      </c>
      <c r="AB342" s="88" t="s">
        <v>749</v>
      </c>
      <c r="AC342" s="274" t="str">
        <f>I342&amp;" :: "&amp;K342</f>
        <v>канализационная сеть ул. 60 лет Октября, 9 :: п Малиновка, ул. 60 лет Октября, 9</v>
      </c>
      <c r="AD342" s="274" t="s">
        <v>430</v>
      </c>
      <c r="AE342" s="274" t="s">
        <v>431</v>
      </c>
      <c r="AF342" s="405" t="s">
        <v>432</v>
      </c>
      <c r="AG342" s="405" t="s">
        <v>433</v>
      </c>
      <c r="AH342" s="2040" t="s">
        <v>434</v>
      </c>
      <c r="AI342" s="1459"/>
      <c r="AJ342" s="1459"/>
      <c r="AK342" s="1000" t="s">
        <v>424</v>
      </c>
      <c r="AL342" s="1000" t="s">
        <v>425</v>
      </c>
      <c r="AM342" s="1000" cm="1" t="str">
        <f t="array" ref="AM342:AM342">AC342</f>
        <v>канализационная сеть ул. 60 лет Октября, 9 :: п Малиновка, ул. 60 лет Октября, 9</v>
      </c>
      <c r="AN342" s="1000" cm="1" t="str">
        <f t="array" ref="AN342:AN342">AD342</f>
        <v>концессионное соглашение</v>
      </c>
      <c r="AO342" s="1000" cm="1" t="str">
        <f t="array" ref="AO342:AO342">AE342</f>
        <v>акт приёма-передачи</v>
      </c>
      <c r="AP342" s="1000" cm="1" t="str">
        <f t="array" ref="AP342:AP342">AF342</f>
        <v>б/н</v>
      </c>
      <c r="AQ342" s="1000" cm="1" t="str">
        <f t="array" ref="AQ342:AQ342">AG342</f>
        <v>01.06.2026</v>
      </c>
      <c r="AR342" s="619"/>
      <c r="AS342" s="619" t="b">
        <v>1</v>
      </c>
    </row>
    <row s="1459" customFormat="1" customHeight="1" ht="23.25">
      <c r="A343" s="1459"/>
      <c r="B343" s="1459"/>
      <c r="C343" s="1459"/>
      <c r="D343" s="1459"/>
      <c r="E343" s="629">
        <v>15</v>
      </c>
      <c r="F343" s="104" cm="1" t="str">
        <f t="array" ref="F343:F343">OFFSET(G343,-1,-1)</f>
        <v>4</v>
      </c>
      <c r="G343" s="1459"/>
      <c r="H343" s="1459"/>
      <c r="I343" s="104" t="s">
        <v>1159</v>
      </c>
      <c r="J343" s="1459"/>
      <c r="K343" s="104" t="s">
        <v>1160</v>
      </c>
      <c r="L343" s="1459"/>
      <c r="M343" s="1459"/>
      <c r="N343" s="1459"/>
      <c r="O343" s="1459"/>
      <c r="P343" s="1459"/>
      <c r="Q343" s="1459"/>
      <c r="R343" s="1459"/>
      <c r="S343" s="1459"/>
      <c r="T343" s="1459"/>
      <c r="U343" s="465">
        <f>AND(F343&gt;0,AB343&gt;0)</f>
        <v>1</v>
      </c>
      <c r="V343" s="1459"/>
      <c r="W343" s="1459"/>
      <c r="X343" s="717"/>
      <c r="Y343" s="1459"/>
      <c r="Z343" s="1459"/>
      <c r="AA343" s="662" t="s">
        <v>175</v>
      </c>
      <c r="AB343" s="88" t="s">
        <v>752</v>
      </c>
      <c r="AC343" s="274" t="str">
        <f>I343&amp;" :: "&amp;K343</f>
        <v>Очистные сооружения п. Малиновка :: п Малиновка, ул. Угольная, 1а</v>
      </c>
      <c r="AD343" s="274" t="s">
        <v>430</v>
      </c>
      <c r="AE343" s="274" t="s">
        <v>431</v>
      </c>
      <c r="AF343" s="405" t="s">
        <v>432</v>
      </c>
      <c r="AG343" s="405" t="s">
        <v>433</v>
      </c>
      <c r="AH343" s="2040" t="s">
        <v>434</v>
      </c>
      <c r="AI343" s="1459"/>
      <c r="AJ343" s="1459"/>
      <c r="AK343" s="1000" t="s">
        <v>424</v>
      </c>
      <c r="AL343" s="1000" t="s">
        <v>425</v>
      </c>
      <c r="AM343" s="1000" cm="1" t="str">
        <f t="array" ref="AM343:AM343">AC343</f>
        <v>Очистные сооружения п. Малиновка :: п Малиновка, ул. Угольная, 1а</v>
      </c>
      <c r="AN343" s="1000" cm="1" t="str">
        <f t="array" ref="AN343:AN343">AD343</f>
        <v>концессионное соглашение</v>
      </c>
      <c r="AO343" s="1000" cm="1" t="str">
        <f t="array" ref="AO343:AO343">AE343</f>
        <v>акт приёма-передачи</v>
      </c>
      <c r="AP343" s="1000" cm="1" t="str">
        <f t="array" ref="AP343:AP343">AF343</f>
        <v>б/н</v>
      </c>
      <c r="AQ343" s="1000" cm="1" t="str">
        <f t="array" ref="AQ343:AQ343">AG343</f>
        <v>01.06.2026</v>
      </c>
      <c r="AR343" s="619"/>
      <c r="AS343" s="619" t="b">
        <v>1</v>
      </c>
    </row>
    <row s="1459" customFormat="1" customHeight="1" ht="23.25">
      <c r="A344" s="1459"/>
      <c r="B344" s="1459"/>
      <c r="C344" s="1459"/>
      <c r="D344" s="1459"/>
      <c r="E344" s="629">
        <v>15</v>
      </c>
      <c r="F344" s="104" cm="1" t="str">
        <f t="array" ref="F344:F344">OFFSET(G344,-1,-1)</f>
        <v>4</v>
      </c>
      <c r="G344" s="1459"/>
      <c r="H344" s="1459"/>
      <c r="I344" s="104" t="s">
        <v>979</v>
      </c>
      <c r="J344" s="1459"/>
      <c r="K344" s="104" t="s">
        <v>1161</v>
      </c>
      <c r="L344" s="1459"/>
      <c r="M344" s="1459"/>
      <c r="N344" s="1459"/>
      <c r="O344" s="1459"/>
      <c r="P344" s="1459"/>
      <c r="Q344" s="1459"/>
      <c r="R344" s="1459"/>
      <c r="S344" s="1459"/>
      <c r="T344" s="1459"/>
      <c r="U344" s="465">
        <f>AND(F344&gt;0,AB344&gt;0)</f>
        <v>1</v>
      </c>
      <c r="V344" s="1459"/>
      <c r="W344" s="1459"/>
      <c r="X344" s="717"/>
      <c r="Y344" s="1459"/>
      <c r="Z344" s="1459"/>
      <c r="AA344" s="662" t="s">
        <v>175</v>
      </c>
      <c r="AB344" s="88" t="s">
        <v>755</v>
      </c>
      <c r="AC344" s="274" t="str">
        <f>I344&amp;" :: "&amp;K344</f>
        <v>Канализационная насосная станция :: п Малиновка, ул. Угольная, 4а</v>
      </c>
      <c r="AD344" s="274" t="s">
        <v>430</v>
      </c>
      <c r="AE344" s="274" t="s">
        <v>431</v>
      </c>
      <c r="AF344" s="405" t="s">
        <v>432</v>
      </c>
      <c r="AG344" s="405" t="s">
        <v>433</v>
      </c>
      <c r="AH344" s="2040" t="s">
        <v>434</v>
      </c>
      <c r="AI344" s="1459"/>
      <c r="AJ344" s="1459"/>
      <c r="AK344" s="1000" t="s">
        <v>424</v>
      </c>
      <c r="AL344" s="1000" t="s">
        <v>425</v>
      </c>
      <c r="AM344" s="1000" cm="1" t="str">
        <f t="array" ref="AM344:AM344">AC344</f>
        <v>Канализационная насосная станция :: п Малиновка, ул. Угольная, 4а</v>
      </c>
      <c r="AN344" s="1000" cm="1" t="str">
        <f t="array" ref="AN344:AN344">AD344</f>
        <v>концессионное соглашение</v>
      </c>
      <c r="AO344" s="1000" cm="1" t="str">
        <f t="array" ref="AO344:AO344">AE344</f>
        <v>акт приёма-передачи</v>
      </c>
      <c r="AP344" s="1000" cm="1" t="str">
        <f t="array" ref="AP344:AP344">AF344</f>
        <v>б/н</v>
      </c>
      <c r="AQ344" s="1000" cm="1" t="str">
        <f t="array" ref="AQ344:AQ344">AG344</f>
        <v>01.06.2026</v>
      </c>
      <c r="AR344" s="619"/>
      <c r="AS344" s="619" t="b">
        <v>1</v>
      </c>
    </row>
    <row s="538" customFormat="1" customHeight="1" ht="10.5">
      <c r="A345" s="1758"/>
      <c r="B345" s="428"/>
      <c r="C345" s="1758"/>
      <c r="D345" s="1758"/>
      <c r="E345" s="629">
        <v>11</v>
      </c>
      <c r="F345" s="122" cm="1" t="str">
        <f t="array" ref="F345:F345">OFFSET(G345,-1,-1)</f>
        <v>4</v>
      </c>
      <c r="G345" s="1758"/>
      <c r="H345" s="1758"/>
      <c r="I345" s="1758"/>
      <c r="J345" s="1758"/>
      <c r="K345" s="1758"/>
      <c r="L345" s="1758"/>
      <c r="M345" s="1758"/>
      <c r="N345" s="1758"/>
      <c r="O345" s="1758"/>
      <c r="P345" s="1758"/>
      <c r="Q345" s="1758"/>
      <c r="R345" s="1758"/>
      <c r="S345" s="1758"/>
      <c r="T345" s="1758"/>
      <c r="U345" s="465">
        <f>F345&gt;0</f>
        <v>1</v>
      </c>
      <c r="V345" s="1758"/>
      <c r="W345" s="1758"/>
      <c r="X345" s="757" t="s">
        <v>426</v>
      </c>
      <c r="Y345" s="1563"/>
      <c r="Z345" s="1546"/>
      <c r="AA345" s="1758"/>
      <c r="AB345" s="175"/>
      <c r="AC345" s="178" t="s">
        <v>427</v>
      </c>
      <c r="AD345" s="176"/>
      <c r="AE345" s="176"/>
      <c r="AF345" s="176"/>
      <c r="AG345" s="176"/>
      <c r="AH345" s="187"/>
      <c r="AI345" s="1758"/>
      <c r="AJ345" s="1758"/>
      <c r="AK345" s="997"/>
      <c r="AL345" s="997"/>
      <c r="AM345" s="997"/>
      <c r="AN345" s="997"/>
      <c r="AO345" s="997"/>
      <c r="AP345" s="997"/>
      <c r="AQ345" s="997"/>
      <c r="AR345" s="618" t="s">
        <v>425</v>
      </c>
      <c r="AS345" s="618"/>
    </row>
    <row customHeight="1" ht="10.725000000000001">
      <c r="A346" s="416"/>
      <c r="B346" s="416"/>
      <c r="C346" s="416"/>
      <c r="D346" s="416"/>
      <c r="E346" s="629">
        <v>11</v>
      </c>
      <c r="F346" s="416"/>
      <c r="G346" s="416"/>
      <c r="H346" s="416"/>
      <c r="I346" s="416"/>
      <c r="J346" s="416"/>
      <c r="K346" s="416"/>
      <c r="L346" s="416"/>
      <c r="M346" s="416"/>
      <c r="N346" s="416"/>
      <c r="O346" s="416"/>
      <c r="P346" s="416"/>
      <c r="Q346" s="416"/>
      <c r="R346" s="416"/>
      <c r="S346" s="416"/>
      <c r="T346" s="416"/>
      <c r="U346" s="416"/>
      <c r="V346" s="122" t="s">
        <v>178</v>
      </c>
      <c r="W346" s="140" t="s">
        <v>1162</v>
      </c>
      <c r="X346" s="416"/>
      <c r="Y346" s="416"/>
      <c r="Z346" s="416"/>
      <c r="AA346" s="416"/>
      <c r="AI346" s="416"/>
      <c r="AJ346" s="416"/>
      <c r="AK346" s="1001"/>
      <c r="AL346" s="1001"/>
      <c r="AM346" s="1001"/>
      <c r="AN346" s="1001"/>
      <c r="AO346" s="1001"/>
      <c r="AP346" s="1001"/>
      <c r="AQ346" s="1001"/>
      <c r="AR346" s="656"/>
      <c r="AS346" s="675"/>
    </row>
    <row s="1834" customFormat="1" customHeight="1" ht="11.25" hidden="1">
      <c r="A347" s="499"/>
      <c r="B347" s="658"/>
      <c r="C347" s="499"/>
      <c r="D347" s="499"/>
      <c r="E347" s="629"/>
      <c r="F347" s="416"/>
      <c r="G347" s="416"/>
      <c r="H347" s="416"/>
      <c r="I347" s="416"/>
      <c r="J347" s="499"/>
      <c r="K347" s="499"/>
      <c r="L347" s="499"/>
      <c r="M347" s="499"/>
      <c r="N347" s="499"/>
      <c r="O347" s="499"/>
      <c r="P347" s="499"/>
      <c r="Q347" s="499"/>
      <c r="R347" s="499"/>
      <c r="S347" s="499"/>
      <c r="T347" s="499"/>
      <c r="U347" s="499"/>
      <c r="V347" s="499"/>
      <c r="W347" s="499"/>
      <c r="X347" s="499"/>
      <c r="Y347" s="499"/>
      <c r="Z347" s="499"/>
      <c r="AA347" s="499"/>
      <c r="AC347" s="100"/>
      <c r="AD347" s="100"/>
      <c r="AE347" s="100"/>
      <c r="AF347" s="100"/>
      <c r="AI347" s="499"/>
      <c r="AJ347" s="499"/>
      <c r="AK347" s="998"/>
      <c r="AL347" s="998"/>
      <c r="AM347" s="998"/>
      <c r="AN347" s="998"/>
      <c r="AO347" s="998"/>
      <c r="AP347" s="999"/>
      <c r="AQ347" s="998"/>
      <c r="AR347" s="659"/>
      <c r="AS347" s="624"/>
    </row>
    <row customHeight="1" ht="11.25" hidden="1">
      <c r="E348" s="629"/>
    </row>
    <row customHeight="1" ht="11.25" hidden="1">
      <c r="E349" s="629"/>
    </row>
    <row customHeight="1" ht="11.25" hidden="1">
      <c r="E350" s="629"/>
    </row>
    <row customHeight="1" ht="11.25" hidden="1">
      <c r="E351" s="629"/>
    </row>
    <row customHeight="1" ht="11.25" hidden="1">
      <c r="E352" s="637"/>
    </row>
    <row customHeight="1" ht="11.25" hidden="1">
      <c r="E353" s="629"/>
    </row>
    <row customHeight="1" ht="11.25" hidden="1">
      <c r="E354" s="629"/>
    </row>
    <row customHeight="1" ht="11.25" hidden="1">
      <c r="E355" s="629"/>
    </row>
    <row customHeight="1" ht="11.25" hidden="1">
      <c r="E356" s="634"/>
    </row>
    <row customHeight="1" ht="11.25" hidden="1">
      <c r="E357" s="632"/>
    </row>
    <row customHeight="1" ht="11.25" hidden="1">
      <c r="E358" s="632"/>
    </row>
    <row customHeight="1" ht="11.25" hidden="1">
      <c r="E359" s="632"/>
    </row>
  </sheetData>
  <sheetProtection formatColumns="0" formatRows="0" insertRows="0" deleteColumns="0" deleteRows="0" sort="0" autoFilter="0" insertColumns="1"/>
  <mergeCells count="12">
    <mergeCell ref="AB22:AH22"/>
    <mergeCell ref="AF23:AG23"/>
    <mergeCell ref="Y26:Y29"/>
    <mergeCell ref="Z26:Z29"/>
    <mergeCell ref="Y30:Y48"/>
    <mergeCell ref="Z30:Z48"/>
    <mergeCell ref="Y49:Y228"/>
    <mergeCell ref="Z49:Z228"/>
    <mergeCell ref="Y229:Y239"/>
    <mergeCell ref="Z229:Z239"/>
    <mergeCell ref="Y240:Y345"/>
    <mergeCell ref="Z240:Z345"/>
  </mergeCells>
  <dataValidations count="1">
    <dataValidation type="list" showDropDown="1" errorTitle="Ошибка" error="Выберите значение из списка" prompt="Выберите значение из списка" sqref="AD29 AD48 AD228 AD239 AD345">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D6E05D-FC78-D938-7457-6368B8304F28}" mc:Ignorable="x14ac xr xr2 xr3">
  <sheetPr>
    <tabColor theme="3" tint="0.6"/>
    <outlinePr summaryRight="0" summaryBelow="0"/>
    <pageSetUpPr fitToPage="1"/>
  </sheetPr>
  <dimension ref="A1:BM163"/>
  <sheetViews>
    <sheetView showGridLines="0" workbookViewId="0">
      <pane xSplit="30" ySplit="26" topLeftCell="AJ65" activePane="bottomRight" state="frozen"/>
      <selection pane="bottomLeft" activeCell="A27" sqref="A27"/>
      <selection pane="topRight" activeCell="AE1" sqref="AE1"/>
      <selection pane="bottomRight" activeCell="AN69" sqref="AN69"/>
    </sheetView>
  </sheetViews>
  <sheetFormatPr defaultColWidth="9.140625" customHeight="1" defaultRowHeight="11.25"/>
  <cols>
    <col min="1" max="1" style="1758" width="3.57421875" hidden="1" customWidth="1"/>
    <col min="2" max="2" style="1416" width="8.7109375" hidden="1" customWidth="1"/>
    <col min="3" max="4" style="1758" width="3.57421875" hidden="1" customWidth="1"/>
    <col min="5" max="5" style="1757" width="3.57421875" hidden="1" customWidth="1"/>
    <col min="6" max="6" style="1411" width="8.57421875" hidden="1" customWidth="1"/>
    <col min="7" max="7" style="1758" width="7.57421875" hidden="1" customWidth="1"/>
    <col min="8" max="20" style="1758" width="3.57421875" hidden="1" customWidth="1"/>
    <col min="21" max="21" style="1758" width="8.57421875" hidden="1" customWidth="1"/>
    <col min="22" max="26" style="1758" width="6.00390625" hidden="1" customWidth="1"/>
    <col min="27" max="27" style="1758" width="3.00390625" customWidth="1"/>
    <col min="28" max="28" style="1459" width="11.00390625" customWidth="1"/>
    <col min="29" max="29" style="1678" width="34.421875" customWidth="1"/>
    <col min="30" max="30" style="1758" width="9.7109375" customWidth="1"/>
    <col min="31" max="35" style="1758" width="0" customWidth="1"/>
    <col min="36" max="37" style="1758" width="15.00390625" customWidth="1"/>
    <col min="38" max="38" style="1758" width="10.28125" customWidth="1"/>
    <col min="39" max="39" style="1758" width="15.00390625" customWidth="1"/>
    <col min="40" max="40" style="1758" width="36.140625" customWidth="1"/>
    <col min="41" max="44" style="1758" width="10.28125" customWidth="1"/>
    <col min="45" max="49" style="1758" width="15.00390625" hidden="1" customWidth="1"/>
    <col min="50" max="53" style="1758" width="10.57421875" customWidth="1"/>
    <col min="54" max="58" style="1758" width="15.00390625" hidden="1" customWidth="1"/>
    <col min="59" max="59" style="1758" width="3.00390625" customWidth="1"/>
    <col min="60" max="60" style="1758" width="9.140625" hidden="1"/>
    <col min="61" max="63" style="1764" width="9.140625" hidden="1"/>
    <col min="64" max="65" style="1757" width="9.140625" hidden="1"/>
  </cols>
  <sheetData>
    <row customHeight="1" ht="11.25" hidden="1">
      <c r="E1" s="122"/>
      <c r="F1" s="749" t="s">
        <v>321</v>
      </c>
      <c r="H1" s="122" t="s">
        <v>331</v>
      </c>
      <c r="U1" s="465" t="s">
        <v>93</v>
      </c>
      <c r="V1" s="465" t="s">
        <v>98</v>
      </c>
      <c r="W1" s="465" t="s">
        <v>94</v>
      </c>
      <c r="X1" s="465" t="s">
        <v>95</v>
      </c>
      <c r="Y1" s="465" t="s">
        <v>96</v>
      </c>
      <c r="Z1" s="465" t="s">
        <v>100</v>
      </c>
      <c r="AA1" s="465" t="s">
        <v>97</v>
      </c>
      <c r="AB1" s="465" t="s">
        <v>323</v>
      </c>
      <c r="AC1" s="465" t="s">
        <v>99</v>
      </c>
      <c r="AO1" s="1758"/>
      <c r="AP1" s="1758"/>
      <c r="AQ1" s="1758"/>
      <c r="AR1" s="1758"/>
      <c r="AS1" s="1758"/>
      <c r="AT1" s="1758"/>
      <c r="AU1" s="1758"/>
      <c r="AV1" s="1758"/>
      <c r="AW1" s="1758"/>
      <c r="AX1" s="1758"/>
      <c r="AY1" s="1758"/>
      <c r="AZ1" s="1758"/>
      <c r="BA1" s="1758"/>
      <c r="BB1" s="1758"/>
      <c r="BC1" s="1758"/>
      <c r="BD1" s="1758"/>
      <c r="BE1" s="1758"/>
      <c r="BF1" s="1758"/>
      <c r="BI1" s="997" t="s">
        <v>324</v>
      </c>
      <c r="BJ1" s="997" t="s">
        <v>325</v>
      </c>
      <c r="BK1" s="997" t="s">
        <v>326</v>
      </c>
      <c r="BL1" s="618" t="s">
        <v>329</v>
      </c>
      <c r="BM1" s="618" t="s">
        <v>330</v>
      </c>
    </row>
    <row s="1416" customFormat="1" customHeight="1" ht="11.25" hidden="1">
      <c r="B2" s="446" t="s">
        <v>19</v>
      </c>
      <c r="F2" s="750"/>
      <c r="AC2" s="443"/>
      <c r="AF2" s="1372" cm="1" t="str">
        <f t="array" ref="AF2:AF2">isOrgDeclare</f>
        <v>true</v>
      </c>
      <c r="AJ2" s="1372" cm="1" t="str">
        <f t="array" ref="AJ2:AJ2">isOrgDeclare</f>
        <v>true</v>
      </c>
      <c r="AM2" s="1372" cm="1" t="str">
        <f t="array" ref="AM2:AM2">isOrgDeclare</f>
        <v>true</v>
      </c>
      <c r="AO2" s="446">
        <f>AND(AO6&lt;=last_year_vis,isOrgDeclare)</f>
        <v>1</v>
      </c>
      <c r="AP2" s="446">
        <f>AND(AP6&lt;=last_year_vis,isOrgDeclare)</f>
        <v>1</v>
      </c>
      <c r="AQ2" s="446">
        <f>AND(AQ6&lt;=last_year_vis,isOrgDeclare)</f>
        <v>1</v>
      </c>
      <c r="AR2" s="446">
        <f>AND(AR6&lt;=last_year_vis,isOrgDeclare)</f>
        <v>1</v>
      </c>
      <c r="AS2" s="446">
        <f>AND(AS6&lt;=last_year_vis,isOrgDeclare)</f>
        <v>0</v>
      </c>
      <c r="AT2" s="446">
        <f>AND(AT6&lt;=last_year_vis,isOrgDeclare)</f>
        <v>0</v>
      </c>
      <c r="AU2" s="446">
        <f>AND(AU6&lt;=last_year_vis,isOrgDeclare)</f>
        <v>0</v>
      </c>
      <c r="AV2" s="446">
        <f>AND(AV6&lt;=last_year_vis,isOrgDeclare)</f>
        <v>0</v>
      </c>
      <c r="AW2" s="446">
        <f>AND(AW6&lt;=last_year_vis,isOrgDeclare)</f>
        <v>0</v>
      </c>
      <c r="AX2" s="446">
        <f>AX6&lt;=last_year_vis</f>
        <v>1</v>
      </c>
      <c r="AY2" s="446">
        <f>AY6&lt;=last_year_vis</f>
        <v>1</v>
      </c>
      <c r="AZ2" s="446">
        <f>AZ6&lt;=last_year_vis</f>
        <v>1</v>
      </c>
      <c r="BA2" s="446">
        <f>BA6&lt;=last_year_vis</f>
        <v>1</v>
      </c>
      <c r="BB2" s="446">
        <f>BB6&lt;=last_year_vis</f>
        <v>0</v>
      </c>
      <c r="BC2" s="446">
        <f>BC6&lt;=last_year_vis</f>
        <v>0</v>
      </c>
      <c r="BD2" s="446">
        <f>BD6&lt;=last_year_vis</f>
        <v>0</v>
      </c>
      <c r="BE2" s="446">
        <f>BE6&lt;=last_year_vis</f>
        <v>0</v>
      </c>
      <c r="BF2" s="446">
        <f>BF6&lt;=last_year_vis</f>
        <v>0</v>
      </c>
      <c r="BI2" s="1009"/>
      <c r="BJ2" s="1009"/>
      <c r="BK2" s="1009"/>
      <c r="BL2" s="1014"/>
      <c r="BM2" s="1014"/>
    </row>
    <row customHeight="1" ht="11.25" hidden="1">
      <c r="E3" s="122"/>
      <c r="AO3" s="1758"/>
      <c r="AP3" s="1758"/>
      <c r="AQ3" s="1758"/>
      <c r="AR3" s="1758"/>
      <c r="AS3" s="1758"/>
      <c r="AT3" s="1758"/>
      <c r="AU3" s="1758"/>
      <c r="AV3" s="1758"/>
      <c r="AW3" s="1758"/>
      <c r="AX3" s="1758"/>
      <c r="AY3" s="1758"/>
      <c r="AZ3" s="1758"/>
      <c r="BA3" s="1758"/>
      <c r="BB3" s="1758"/>
      <c r="BC3" s="1758"/>
      <c r="BD3" s="1758"/>
      <c r="BE3" s="1758"/>
      <c r="BF3" s="1758"/>
    </row>
    <row customHeight="1" ht="11.25" hidden="1">
      <c r="E4" s="122"/>
      <c r="AO4" s="1758"/>
      <c r="AP4" s="1758"/>
      <c r="AQ4" s="1758"/>
      <c r="AR4" s="1758"/>
      <c r="AS4" s="1758"/>
      <c r="AT4" s="1758"/>
      <c r="AU4" s="1758"/>
      <c r="AV4" s="1758"/>
      <c r="AW4" s="1758"/>
      <c r="AX4" s="1758"/>
      <c r="AY4" s="1758"/>
      <c r="AZ4" s="1758"/>
      <c r="BA4" s="1758"/>
      <c r="BB4" s="1758"/>
      <c r="BC4" s="1758"/>
      <c r="BD4" s="1758"/>
      <c r="BE4" s="1758"/>
      <c r="BF4" s="1758"/>
    </row>
    <row s="1757" customFormat="1" customHeight="1" ht="11.25" hidden="1">
      <c r="A5" s="122"/>
      <c r="B5" s="428"/>
      <c r="C5" s="122"/>
      <c r="D5" s="122"/>
      <c r="E5" s="618" t="s">
        <v>20</v>
      </c>
      <c r="F5" s="751"/>
      <c r="AA5" s="618">
        <v>3</v>
      </c>
      <c r="AB5" s="628">
        <v>11</v>
      </c>
      <c r="AC5" s="631">
        <v>40</v>
      </c>
      <c r="AD5" s="618">
        <v>15</v>
      </c>
      <c r="AE5" s="618">
        <v>15</v>
      </c>
      <c r="AF5" s="618">
        <v>15</v>
      </c>
      <c r="AG5" s="618">
        <v>15</v>
      </c>
      <c r="AH5" s="618">
        <v>17.71</v>
      </c>
      <c r="AI5" s="618">
        <v>15</v>
      </c>
      <c r="AJ5" s="618">
        <v>15</v>
      </c>
      <c r="AK5" s="618">
        <v>15</v>
      </c>
      <c r="AL5" s="618">
        <v>15</v>
      </c>
      <c r="AM5" s="618">
        <v>15</v>
      </c>
      <c r="AN5" s="618">
        <v>15</v>
      </c>
      <c r="AO5" s="618">
        <v>15</v>
      </c>
      <c r="AP5" s="618">
        <v>15</v>
      </c>
      <c r="AQ5" s="618">
        <v>15</v>
      </c>
      <c r="AR5" s="618">
        <v>15</v>
      </c>
      <c r="AS5" s="618">
        <v>15</v>
      </c>
      <c r="AT5" s="618">
        <v>15</v>
      </c>
      <c r="AU5" s="618">
        <v>15</v>
      </c>
      <c r="AV5" s="618">
        <v>15</v>
      </c>
      <c r="AW5" s="618">
        <v>15</v>
      </c>
      <c r="AX5" s="618">
        <v>15</v>
      </c>
      <c r="AY5" s="618">
        <v>15</v>
      </c>
      <c r="AZ5" s="618">
        <v>15</v>
      </c>
      <c r="BA5" s="618">
        <v>15</v>
      </c>
      <c r="BB5" s="618">
        <v>15</v>
      </c>
      <c r="BC5" s="618">
        <v>15</v>
      </c>
      <c r="BD5" s="618">
        <v>15</v>
      </c>
      <c r="BE5" s="618">
        <v>15</v>
      </c>
      <c r="BF5" s="618">
        <v>15</v>
      </c>
      <c r="BG5" s="618">
        <v>3</v>
      </c>
      <c r="BI5" s="997"/>
      <c r="BJ5" s="997"/>
      <c r="BK5" s="997"/>
    </row>
    <row customHeight="1" ht="11.25" hidden="1">
      <c r="A6" s="122" t="s">
        <v>360</v>
      </c>
      <c r="AE6" s="122">
        <f>god-2</f>
        <v>2024</v>
      </c>
      <c r="AF6" s="122">
        <f>god-2</f>
        <v>2024</v>
      </c>
      <c r="AG6" s="122">
        <f>god-2</f>
        <v>2024</v>
      </c>
      <c r="AH6" s="122">
        <f>god-2</f>
        <v>2024</v>
      </c>
      <c r="AI6" s="122">
        <f>god-1</f>
        <v>2025</v>
      </c>
      <c r="AJ6" s="122" cm="1" t="str">
        <f t="array" ref="AJ6:AJ6">god</f>
        <v>2026</v>
      </c>
      <c r="AK6" s="122" cm="1" t="str">
        <f t="array" ref="AK6:AK6">god</f>
        <v>2026</v>
      </c>
      <c r="AL6" s="122" cm="1" t="str">
        <f t="array" ref="AL6:AL6">god</f>
        <v>2026</v>
      </c>
      <c r="AM6" s="122" cm="1" t="str">
        <f t="array" ref="AM6:AM6">god</f>
        <v>2026</v>
      </c>
      <c r="AN6" s="122" cm="1" t="str">
        <f t="array" ref="AN6:AN6">god</f>
        <v>2026</v>
      </c>
      <c r="AO6" s="122">
        <f>god+1</f>
        <v>2027</v>
      </c>
      <c r="AP6" s="122">
        <f>god+2</f>
        <v>2028</v>
      </c>
      <c r="AQ6" s="122">
        <f>god+3</f>
        <v>2029</v>
      </c>
      <c r="AR6" s="122">
        <f>god+4</f>
        <v>2030</v>
      </c>
      <c r="AS6" s="122">
        <f>god+5</f>
        <v>2031</v>
      </c>
      <c r="AT6" s="122">
        <f>god+6</f>
        <v>2032</v>
      </c>
      <c r="AU6" s="122">
        <f>god+7</f>
        <v>2033</v>
      </c>
      <c r="AV6" s="122">
        <f>god+8</f>
        <v>2034</v>
      </c>
      <c r="AW6" s="122">
        <f>god+9</f>
        <v>2035</v>
      </c>
      <c r="AX6" s="122">
        <f>god+1</f>
        <v>2027</v>
      </c>
      <c r="AY6" s="122">
        <f>god+2</f>
        <v>2028</v>
      </c>
      <c r="AZ6" s="122">
        <f>god+3</f>
        <v>2029</v>
      </c>
      <c r="BA6" s="122">
        <f>god+4</f>
        <v>2030</v>
      </c>
      <c r="BB6" s="122">
        <f>god+5</f>
        <v>2031</v>
      </c>
      <c r="BC6" s="122">
        <f>god+6</f>
        <v>2032</v>
      </c>
      <c r="BD6" s="122">
        <f>god+7</f>
        <v>2033</v>
      </c>
      <c r="BE6" s="122">
        <f>god+8</f>
        <v>2034</v>
      </c>
      <c r="BF6" s="122">
        <f>god+9</f>
        <v>2035</v>
      </c>
    </row>
    <row customHeight="1" ht="11.25" hidden="1">
      <c r="A7" s="122" t="s">
        <v>361</v>
      </c>
      <c r="AE7" s="122" cm="1" t="str">
        <f t="array" ref="AE7:AE7">AE25</f>
        <v>Принято органом регулирования</v>
      </c>
      <c r="AF7" s="122" cm="1" t="str">
        <f t="array" ref="AF7:AF7">AF25</f>
        <v>Факт по данным организации</v>
      </c>
      <c r="AG7" s="122" cm="1" t="str">
        <f t="array" ref="AG7:AG7">AG25</f>
        <v>Факт, принятый органом регулирования</v>
      </c>
      <c r="AH7" s="122" t="s">
        <v>364</v>
      </c>
      <c r="AI7" s="122" cm="1" t="str">
        <f t="array" ref="AI7:AI7">AI25</f>
        <v>Принято органом регулирования</v>
      </c>
      <c r="AJ7" s="122" cm="1" t="str">
        <f t="array" ref="AJ7:AJ7">AJ25</f>
        <v>Предложение организации</v>
      </c>
      <c r="AK7" s="122" cm="1" t="str">
        <f t="array" ref="AK7:AK7">AK25</f>
        <v>Принято органом регулирования</v>
      </c>
      <c r="AL7" s="122" cm="1" t="str">
        <f t="array" ref="AL7:AL7">AL25</f>
        <v>% роста / снижения</v>
      </c>
      <c r="AM7" s="122" cm="1" t="str">
        <f t="array" ref="AM7:AM7">AM25</f>
        <v>Отклонение (принято органом регулирования - заявлено организацией)</v>
      </c>
      <c r="AN7" s="122" t="s">
        <v>364</v>
      </c>
      <c r="AO7" s="122" cm="1" t="str">
        <f t="array" ref="AO7:AO7">AO25</f>
        <v>Предложение организации</v>
      </c>
      <c r="AP7" s="122" cm="1" t="str">
        <f t="array" ref="AP7:AP7">AP25</f>
        <v>Предложение организации</v>
      </c>
      <c r="AQ7" s="122" cm="1" t="str">
        <f t="array" ref="AQ7:AQ7">AQ25</f>
        <v>Предложение организации</v>
      </c>
      <c r="AR7" s="122" cm="1" t="str">
        <f t="array" ref="AR7:AR7">AR25</f>
        <v>Предложение организации</v>
      </c>
      <c r="AS7" s="122" cm="1" t="str">
        <f t="array" ref="AS7:AS7">AS25</f>
        <v>Предложение организации</v>
      </c>
      <c r="AT7" s="122" cm="1" t="str">
        <f t="array" ref="AT7:AT7">AT25</f>
        <v>Предложение организации</v>
      </c>
      <c r="AU7" s="122" cm="1" t="str">
        <f t="array" ref="AU7:AU7">AU25</f>
        <v>Предложение организации</v>
      </c>
      <c r="AV7" s="122" cm="1" t="str">
        <f t="array" ref="AV7:AV7">AV25</f>
        <v>Предложение организации</v>
      </c>
      <c r="AW7" s="122" cm="1" t="str">
        <f t="array" ref="AW7:AW7">AW25</f>
        <v>Предложение организации</v>
      </c>
      <c r="AX7" s="122" cm="1" t="str">
        <f t="array" ref="AX7:AX7">AX25</f>
        <v>Принято органом регулирования</v>
      </c>
      <c r="AY7" s="122" cm="1" t="str">
        <f t="array" ref="AY7:AY7">AY25</f>
        <v>Принято органом регулирования</v>
      </c>
      <c r="AZ7" s="122" cm="1" t="str">
        <f t="array" ref="AZ7:AZ7">AZ25</f>
        <v>Принято органом регулирования</v>
      </c>
      <c r="BA7" s="122" cm="1" t="str">
        <f t="array" ref="BA7:BA7">BA25</f>
        <v>Принято органом регулирования</v>
      </c>
      <c r="BB7" s="122" cm="1" t="str">
        <f t="array" ref="BB7:BB7">BB25</f>
        <v>Принято органом регулирования</v>
      </c>
      <c r="BC7" s="122" cm="1" t="str">
        <f t="array" ref="BC7:BC7">BC25</f>
        <v>Принято органом регулирования</v>
      </c>
      <c r="BD7" s="122" cm="1" t="str">
        <f t="array" ref="BD7:BD7">BD25</f>
        <v>Принято органом регулирования</v>
      </c>
      <c r="BE7" s="122" cm="1" t="str">
        <f t="array" ref="BE7:BE7">BE25</f>
        <v>Принято органом регулирования</v>
      </c>
      <c r="BF7" s="122" cm="1" t="str">
        <f t="array" ref="BF7:BF7">BF25</f>
        <v>Принято органом регулирования</v>
      </c>
    </row>
    <row customHeight="1" ht="11.25" hidden="1">
      <c r="AE8" s="122" t="str">
        <f>AE6&amp;AE7</f>
        <v>2024Принято органом регулирования</v>
      </c>
      <c r="AF8" s="122" t="str">
        <f>AF6&amp;AF7</f>
        <v>2024Факт по данным организации</v>
      </c>
      <c r="AG8" s="122" t="str">
        <f>AG6&amp;AG7</f>
        <v>2024Факт, принятый органом регулирования</v>
      </c>
      <c r="AH8" s="122" t="str">
        <f>AH6&amp;AH7</f>
        <v>2024Не определено</v>
      </c>
      <c r="AI8" s="122" t="str">
        <f>AI6&amp;AI7</f>
        <v>2025Принято органом регулирования</v>
      </c>
      <c r="AJ8" s="122" t="str">
        <f>AJ6&amp;AJ7</f>
        <v>2026Предложение организации</v>
      </c>
      <c r="AK8" s="122" t="str">
        <f>AK6&amp;AK7</f>
        <v>2026Принято органом регулирования</v>
      </c>
      <c r="AL8" s="122" t="str">
        <f>AL6&amp;AL7</f>
        <v>2026% роста / снижения</v>
      </c>
      <c r="AM8" s="122" t="str">
        <f>AM6&amp;AM7</f>
        <v>2026Отклонение (принято органом регулирования - заявлено организацией)</v>
      </c>
      <c r="AN8" s="122" t="str">
        <f>AN6&amp;AN7</f>
        <v>2026Не определено</v>
      </c>
      <c r="AO8" s="122" t="str">
        <f>AO6&amp;AO7</f>
        <v>2027Предложение организации</v>
      </c>
      <c r="AP8" s="122" t="str">
        <f>AP6&amp;AP7</f>
        <v>2028Предложение организации</v>
      </c>
      <c r="AQ8" s="122" t="str">
        <f>AQ6&amp;AQ7</f>
        <v>2029Предложение организации</v>
      </c>
      <c r="AR8" s="122" t="str">
        <f>AR6&amp;AR7</f>
        <v>2030Предложение организации</v>
      </c>
      <c r="AS8" s="122" t="str">
        <f>AS6&amp;AS7</f>
        <v>2031Предложение организации</v>
      </c>
      <c r="AT8" s="122" t="str">
        <f>AT6&amp;AT7</f>
        <v>2032Предложение организации</v>
      </c>
      <c r="AU8" s="122" t="str">
        <f>AU6&amp;AU7</f>
        <v>2033Предложение организации</v>
      </c>
      <c r="AV8" s="122" t="str">
        <f>AV6&amp;AV7</f>
        <v>2034Предложение организации</v>
      </c>
      <c r="AW8" s="122" t="str">
        <f>AW6&amp;AW7</f>
        <v>2035Предложение организации</v>
      </c>
      <c r="AX8" s="122" t="str">
        <f>AX6&amp;AX7</f>
        <v>2027Принято органом регулирования</v>
      </c>
      <c r="AY8" s="122" t="str">
        <f>AY6&amp;AY7</f>
        <v>2028Принято органом регулирования</v>
      </c>
      <c r="AZ8" s="122" t="str">
        <f>AZ6&amp;AZ7</f>
        <v>2029Принято органом регулирования</v>
      </c>
      <c r="BA8" s="122" t="str">
        <f>BA6&amp;BA7</f>
        <v>2030Принято органом регулирования</v>
      </c>
      <c r="BB8" s="122" t="str">
        <f>BB6&amp;BB7</f>
        <v>2031Принято органом регулирования</v>
      </c>
      <c r="BC8" s="122" t="str">
        <f>BC6&amp;BC7</f>
        <v>2032Принято органом регулирования</v>
      </c>
      <c r="BD8" s="122" t="str">
        <f>BD6&amp;BD7</f>
        <v>2033Принято органом регулирования</v>
      </c>
      <c r="BE8" s="122" t="str">
        <f>BE6&amp;BE7</f>
        <v>2034Принято органом регулирования</v>
      </c>
      <c r="BF8" s="122" t="str">
        <f>BF6&amp;BF7</f>
        <v>2035Принято органом регулирования</v>
      </c>
    </row>
    <row s="1764" customFormat="1" customHeight="1" ht="11.25" hidden="1">
      <c r="A9" s="997" t="s">
        <v>365</v>
      </c>
      <c r="B9" s="1009"/>
      <c r="F9" s="1010"/>
      <c r="AB9" s="1000"/>
      <c r="AC9" s="1011"/>
      <c r="AE9" s="997" cm="1" t="str">
        <f t="array" ref="AE9:AE9">AE6</f>
        <v>2024</v>
      </c>
      <c r="AF9" s="997" cm="1" t="str">
        <f t="array" ref="AF9:AF9">AF6</f>
        <v>2024</v>
      </c>
      <c r="AG9" s="997" cm="1" t="str">
        <f t="array" ref="AG9:AG9">AG6</f>
        <v>2024</v>
      </c>
      <c r="AH9" s="997" cm="1" t="str">
        <f t="array" ref="AH9:AH9">AH6</f>
        <v>2024</v>
      </c>
      <c r="AI9" s="997" cm="1" t="str">
        <f t="array" ref="AI9:AI9">AI6</f>
        <v>2025</v>
      </c>
      <c r="AJ9" s="997" cm="1" t="str">
        <f t="array" ref="AJ9:AJ9">AJ6</f>
        <v>2026</v>
      </c>
      <c r="AK9" s="997" cm="1" t="str">
        <f t="array" ref="AK9:AK9">AK6</f>
        <v>2026</v>
      </c>
      <c r="AL9" s="997" cm="1" t="str">
        <f t="array" ref="AL9:AL9">AL6</f>
        <v>2026</v>
      </c>
      <c r="AM9" s="997" cm="1" t="str">
        <f t="array" ref="AM9:AM9">AM6</f>
        <v>2026</v>
      </c>
      <c r="AN9" s="997" cm="1" t="str">
        <f t="array" ref="AN9:AN9">AN6</f>
        <v>2026</v>
      </c>
      <c r="AO9" s="997" cm="1" t="str">
        <f t="array" ref="AO9:AO9">AO6</f>
        <v>2027</v>
      </c>
      <c r="AP9" s="997" cm="1" t="str">
        <f t="array" ref="AP9:AP9">AP6</f>
        <v>2028</v>
      </c>
      <c r="AQ9" s="997" cm="1" t="str">
        <f t="array" ref="AQ9:AQ9">AQ6</f>
        <v>2029</v>
      </c>
      <c r="AR9" s="997" cm="1" t="str">
        <f t="array" ref="AR9:AR9">AR6</f>
        <v>2030</v>
      </c>
      <c r="AS9" s="997" cm="1" t="str">
        <f t="array" ref="AS9:AS9">AS6</f>
        <v>2031</v>
      </c>
      <c r="AT9" s="997" cm="1" t="str">
        <f t="array" ref="AT9:AT9">AT6</f>
        <v>2032</v>
      </c>
      <c r="AU9" s="997" cm="1" t="str">
        <f t="array" ref="AU9:AU9">AU6</f>
        <v>2033</v>
      </c>
      <c r="AV9" s="997" cm="1" t="str">
        <f t="array" ref="AV9:AV9">AV6</f>
        <v>2034</v>
      </c>
      <c r="AW9" s="997" cm="1" t="str">
        <f t="array" ref="AW9:AW9">AW6</f>
        <v>2035</v>
      </c>
      <c r="AX9" s="997" cm="1" t="str">
        <f t="array" ref="AX9:AX9">AX6</f>
        <v>2027</v>
      </c>
      <c r="AY9" s="997" cm="1" t="str">
        <f t="array" ref="AY9:AY9">AY6</f>
        <v>2028</v>
      </c>
      <c r="AZ9" s="997" cm="1" t="str">
        <f t="array" ref="AZ9:AZ9">AZ6</f>
        <v>2029</v>
      </c>
      <c r="BA9" s="997" cm="1" t="str">
        <f t="array" ref="BA9:BA9">BA6</f>
        <v>2030</v>
      </c>
      <c r="BB9" s="997" cm="1" t="str">
        <f t="array" ref="BB9:BB9">BB6</f>
        <v>2031</v>
      </c>
      <c r="BC9" s="997" cm="1" t="str">
        <f t="array" ref="BC9:BC9">BC6</f>
        <v>2032</v>
      </c>
      <c r="BD9" s="997" cm="1" t="str">
        <f t="array" ref="BD9:BD9">BD6</f>
        <v>2033</v>
      </c>
      <c r="BE9" s="997" cm="1" t="str">
        <f t="array" ref="BE9:BE9">BE6</f>
        <v>2034</v>
      </c>
      <c r="BF9" s="997" cm="1" t="str">
        <f t="array" ref="BF9:BF9">BF6</f>
        <v>2035</v>
      </c>
      <c r="BL9" s="618"/>
      <c r="BM9" s="618"/>
    </row>
    <row s="1764" customFormat="1" customHeight="1" ht="11.25" hidden="1">
      <c r="A10" s="997" t="s">
        <v>366</v>
      </c>
      <c r="B10" s="1009"/>
      <c r="F10" s="1010"/>
      <c r="AB10" s="1000"/>
      <c r="AC10" s="1011"/>
      <c r="AE10" s="997" cm="1" t="str">
        <f t="array" ref="AE10:AE10">AE25</f>
        <v>Принято органом регулирования</v>
      </c>
      <c r="AF10" s="997" cm="1" t="str">
        <f t="array" ref="AF10:AF10">AF25</f>
        <v>Факт по данным организации</v>
      </c>
      <c r="AG10" s="997" cm="1" t="str">
        <f t="array" ref="AG10:AG10">AG25</f>
        <v>Факт, принятый органом регулирования</v>
      </c>
      <c r="AI10" s="997" cm="1" t="str">
        <f t="array" ref="AI10:AI10">AI25</f>
        <v>Принято органом регулирования</v>
      </c>
      <c r="AJ10" s="997" cm="1" t="str">
        <f t="array" ref="AJ10:AJ10">AJ25</f>
        <v>Предложение организации</v>
      </c>
      <c r="AK10" s="997" cm="1" t="str">
        <f t="array" ref="AK10:AK10">AK25</f>
        <v>Принято органом регулирования</v>
      </c>
      <c r="AL10" s="997" cm="1" t="str">
        <f t="array" ref="AL10:AL10">AL25</f>
        <v>% роста / снижения</v>
      </c>
      <c r="AM10" s="997" cm="1" t="str">
        <f t="array" ref="AM10:AM10">AM25</f>
        <v>Отклонение (принято органом регулирования - заявлено организацией)</v>
      </c>
      <c r="AO10" s="997" cm="1" t="str">
        <f t="array" ref="AO10:AO10">AO25</f>
        <v>Предложение организации</v>
      </c>
      <c r="AP10" s="997" cm="1" t="str">
        <f t="array" ref="AP10:AP10">AP25</f>
        <v>Предложение организации</v>
      </c>
      <c r="AQ10" s="997" cm="1" t="str">
        <f t="array" ref="AQ10:AQ10">AQ25</f>
        <v>Предложение организации</v>
      </c>
      <c r="AR10" s="997" cm="1" t="str">
        <f t="array" ref="AR10:AR10">AR25</f>
        <v>Предложение организации</v>
      </c>
      <c r="AS10" s="997" cm="1" t="str">
        <f t="array" ref="AS10:AS10">AS25</f>
        <v>Предложение организации</v>
      </c>
      <c r="AT10" s="997" cm="1" t="str">
        <f t="array" ref="AT10:AT10">AT25</f>
        <v>Предложение организации</v>
      </c>
      <c r="AU10" s="997" cm="1" t="str">
        <f t="array" ref="AU10:AU10">AU25</f>
        <v>Предложение организации</v>
      </c>
      <c r="AV10" s="997" cm="1" t="str">
        <f t="array" ref="AV10:AV10">AV25</f>
        <v>Предложение организации</v>
      </c>
      <c r="AW10" s="997" cm="1" t="str">
        <f t="array" ref="AW10:AW10">AW25</f>
        <v>Предложение организации</v>
      </c>
      <c r="AX10" s="997" cm="1" t="str">
        <f t="array" ref="AX10:AX10">AX25</f>
        <v>Принято органом регулирования</v>
      </c>
      <c r="AY10" s="997" cm="1" t="str">
        <f t="array" ref="AY10:AY10">AY25</f>
        <v>Принято органом регулирования</v>
      </c>
      <c r="AZ10" s="997" cm="1" t="str">
        <f t="array" ref="AZ10:AZ10">AZ25</f>
        <v>Принято органом регулирования</v>
      </c>
      <c r="BA10" s="997" cm="1" t="str">
        <f t="array" ref="BA10:BA10">BA25</f>
        <v>Принято органом регулирования</v>
      </c>
      <c r="BB10" s="997" cm="1" t="str">
        <f t="array" ref="BB10:BB10">BB25</f>
        <v>Принято органом регулирования</v>
      </c>
      <c r="BC10" s="997" cm="1" t="str">
        <f t="array" ref="BC10:BC10">BC25</f>
        <v>Принято органом регулирования</v>
      </c>
      <c r="BD10" s="997" cm="1" t="str">
        <f t="array" ref="BD10:BD10">BD25</f>
        <v>Принято органом регулирования</v>
      </c>
      <c r="BE10" s="997" cm="1" t="str">
        <f t="array" ref="BE10:BE10">BE25</f>
        <v>Принято органом регулирования</v>
      </c>
      <c r="BF10" s="997" cm="1" t="str">
        <f t="array" ref="BF10:BF10">BF25</f>
        <v>Принято органом регулирования</v>
      </c>
      <c r="BL10" s="618"/>
      <c r="BM10" s="618"/>
    </row>
    <row s="1764" customFormat="1" customHeight="1" ht="11.25" hidden="1">
      <c r="A11" s="997" t="s">
        <v>367</v>
      </c>
      <c r="B11" s="1009"/>
      <c r="F11" s="1010"/>
      <c r="AB11" s="1000"/>
      <c r="AC11" s="1011"/>
      <c r="AH11" s="997" cm="1" t="str">
        <f t="array" ref="AH11:AH11">AH25</f>
        <v>Комментарии</v>
      </c>
      <c r="AN11" s="997" cm="1" t="str">
        <f t="array" ref="AN11:AN11">AN25</f>
        <v>Комментарии</v>
      </c>
      <c r="AO11" s="1764"/>
      <c r="AP11" s="1764"/>
      <c r="AQ11" s="1764"/>
      <c r="AR11" s="1764"/>
      <c r="AS11" s="1764"/>
      <c r="AT11" s="1764"/>
      <c r="AU11" s="1764"/>
      <c r="AV11" s="1764"/>
      <c r="AW11" s="1764"/>
      <c r="AX11" s="1764"/>
      <c r="AY11" s="1764"/>
      <c r="AZ11" s="1764"/>
      <c r="BA11" s="1764"/>
      <c r="BB11" s="1764"/>
      <c r="BC11" s="1764"/>
      <c r="BD11" s="1764"/>
      <c r="BE11" s="1764"/>
      <c r="BF11" s="1764"/>
      <c r="BL11" s="618"/>
      <c r="BM11" s="618"/>
    </row>
    <row s="1764" customFormat="1" customHeight="1" ht="11.25" hidden="1">
      <c r="A12" s="997" t="s">
        <v>338</v>
      </c>
      <c r="B12" s="1009"/>
      <c r="F12" s="1010"/>
      <c r="AB12" s="1000"/>
      <c r="AC12" s="1011" t="s">
        <v>326</v>
      </c>
      <c r="AO12" s="1764"/>
      <c r="AP12" s="1764"/>
      <c r="AQ12" s="1764"/>
      <c r="AR12" s="1764"/>
      <c r="AS12" s="1764"/>
      <c r="AT12" s="1764"/>
      <c r="AU12" s="1764"/>
      <c r="AV12" s="1764"/>
      <c r="AW12" s="1764"/>
      <c r="AX12" s="1764"/>
      <c r="AY12" s="1764"/>
      <c r="AZ12" s="1764"/>
      <c r="BA12" s="1764"/>
      <c r="BB12" s="1764"/>
      <c r="BC12" s="1764"/>
      <c r="BD12" s="1764"/>
      <c r="BE12" s="1764"/>
      <c r="BF12" s="1764"/>
      <c r="BL12" s="618"/>
      <c r="BM12" s="618"/>
    </row>
    <row customHeight="1" ht="11.25" hidden="1">
      <c r="AO13" s="1758"/>
      <c r="AP13" s="1758"/>
      <c r="AQ13" s="1758"/>
      <c r="AR13" s="1758"/>
      <c r="AS13" s="1758"/>
      <c r="AT13" s="1758"/>
      <c r="AU13" s="1758"/>
      <c r="AV13" s="1758"/>
      <c r="AW13" s="1758"/>
      <c r="AX13" s="1758"/>
      <c r="AY13" s="1758"/>
      <c r="AZ13" s="1758"/>
      <c r="BA13" s="1758"/>
      <c r="BB13" s="1758"/>
      <c r="BC13" s="1758"/>
      <c r="BD13" s="1758"/>
      <c r="BE13" s="1758"/>
      <c r="BF13" s="1758"/>
    </row>
    <row customHeight="1" ht="11.25" hidden="1">
      <c r="AO14" s="1758"/>
      <c r="AP14" s="1758"/>
      <c r="AQ14" s="1758"/>
      <c r="AR14" s="1758"/>
      <c r="AS14" s="1758"/>
      <c r="AT14" s="1758"/>
      <c r="AU14" s="1758"/>
      <c r="AV14" s="1758"/>
      <c r="AW14" s="1758"/>
      <c r="AX14" s="1758"/>
      <c r="AY14" s="1758"/>
      <c r="AZ14" s="1758"/>
      <c r="BA14" s="1758"/>
      <c r="BB14" s="1758"/>
      <c r="BC14" s="1758"/>
      <c r="BD14" s="1758"/>
      <c r="BE14" s="1758"/>
      <c r="BF14" s="1758"/>
    </row>
    <row customHeight="1" ht="11.25" hidden="1">
      <c r="AO15" s="1758"/>
      <c r="AP15" s="1758"/>
      <c r="AQ15" s="1758"/>
      <c r="AR15" s="1758"/>
      <c r="AS15" s="1758"/>
      <c r="AT15" s="1758"/>
      <c r="AU15" s="1758"/>
      <c r="AV15" s="1758"/>
      <c r="AW15" s="1758"/>
      <c r="AX15" s="1758"/>
      <c r="AY15" s="1758"/>
      <c r="AZ15" s="1758"/>
      <c r="BA15" s="1758"/>
      <c r="BB15" s="1758"/>
      <c r="BC15" s="1758"/>
      <c r="BD15" s="1758"/>
      <c r="BE15" s="1758"/>
      <c r="BF15" s="1758"/>
    </row>
    <row customHeight="1" ht="11.25" hidden="1">
      <c r="AO16" s="1758"/>
      <c r="AP16" s="1758"/>
      <c r="AQ16" s="1758"/>
      <c r="AR16" s="1758"/>
      <c r="AS16" s="1758"/>
      <c r="AT16" s="1758"/>
      <c r="AU16" s="1758"/>
      <c r="AV16" s="1758"/>
      <c r="AW16" s="1758"/>
      <c r="AX16" s="1758"/>
      <c r="AY16" s="1758"/>
      <c r="AZ16" s="1758"/>
      <c r="BA16" s="1758"/>
      <c r="BB16" s="1758"/>
      <c r="BC16" s="1758"/>
      <c r="BD16" s="1758"/>
      <c r="BE16" s="1758"/>
      <c r="BF16" s="1758"/>
    </row>
    <row customHeight="1" ht="11.25" hidden="1">
      <c r="AO17" s="1758"/>
      <c r="AP17" s="1758"/>
      <c r="AQ17" s="1758"/>
      <c r="AR17" s="1758"/>
      <c r="AS17" s="1758"/>
      <c r="AT17" s="1758"/>
      <c r="AU17" s="1758"/>
      <c r="AV17" s="1758"/>
      <c r="AW17" s="1758"/>
      <c r="AX17" s="1758"/>
      <c r="AY17" s="1758"/>
      <c r="AZ17" s="1758"/>
      <c r="BA17" s="1758"/>
      <c r="BB17" s="1758"/>
      <c r="BC17" s="1758"/>
      <c r="BD17" s="1758"/>
      <c r="BE17" s="1758"/>
      <c r="BF17" s="1758"/>
    </row>
    <row customHeight="1" ht="11.25" hidden="1">
      <c r="A18" s="122" t="s">
        <v>368</v>
      </c>
      <c r="AC18" s="140" t="s">
        <v>1163</v>
      </c>
      <c r="AO18" s="1758"/>
      <c r="AP18" s="1758"/>
      <c r="AQ18" s="1758"/>
      <c r="AR18" s="1758"/>
      <c r="AS18" s="1758"/>
      <c r="AT18" s="1758"/>
      <c r="AU18" s="1758"/>
      <c r="AV18" s="1758"/>
      <c r="AW18" s="1758"/>
      <c r="AX18" s="1758"/>
      <c r="AY18" s="1758"/>
      <c r="AZ18" s="1758"/>
      <c r="BA18" s="1758"/>
      <c r="BB18" s="1758"/>
      <c r="BC18" s="1758"/>
      <c r="BD18" s="1758"/>
      <c r="BE18" s="1758"/>
      <c r="BF18" s="1758"/>
    </row>
    <row customHeight="1" ht="11.25" hidden="1">
      <c r="AO19" s="1758"/>
      <c r="AP19" s="1758"/>
      <c r="AQ19" s="1758"/>
      <c r="AR19" s="1758"/>
      <c r="AS19" s="1758"/>
      <c r="AT19" s="1758"/>
      <c r="AU19" s="1758"/>
      <c r="AV19" s="1758"/>
      <c r="AW19" s="1758"/>
      <c r="AX19" s="1758"/>
      <c r="AY19" s="1758"/>
      <c r="AZ19" s="1758"/>
      <c r="BA19" s="1758"/>
      <c r="BB19" s="1758"/>
      <c r="BC19" s="1758"/>
      <c r="BD19" s="1758"/>
      <c r="BE19" s="1758"/>
      <c r="BF19" s="1758"/>
    </row>
    <row customHeight="1" ht="11.25" hidden="1">
      <c r="AO20" s="1758"/>
      <c r="AP20" s="1758"/>
      <c r="AQ20" s="1758"/>
      <c r="AR20" s="1758"/>
      <c r="AS20" s="1758"/>
      <c r="AT20" s="1758"/>
      <c r="AU20" s="1758"/>
      <c r="AV20" s="1758"/>
      <c r="AW20" s="1758"/>
      <c r="AX20" s="1758"/>
      <c r="AY20" s="1758"/>
      <c r="AZ20" s="1758"/>
      <c r="BA20" s="1758"/>
      <c r="BB20" s="1758"/>
      <c r="BC20" s="1758"/>
      <c r="BD20" s="1758"/>
      <c r="BE20" s="1758"/>
      <c r="BF20" s="1758"/>
    </row>
    <row customHeight="1" ht="14.625">
      <c r="E21" s="618">
        <v>15</v>
      </c>
      <c r="AA21" s="657"/>
      <c r="AC21" s="50" cm="1" t="str">
        <f t="array" ref="AC21:AC21">tpl_title</f>
        <v>Кемеровская область / 2026 / ООО "Теплоэнерго" (ИНН:4214046200, КПП:421401001) / ДПР: 2026-2030</v>
      </c>
      <c r="AD21" s="125"/>
      <c r="AE21" s="126"/>
      <c r="AO21" s="1758"/>
      <c r="AP21" s="1758"/>
      <c r="AQ21" s="1758"/>
      <c r="AR21" s="1758"/>
      <c r="AS21" s="1758"/>
      <c r="AT21" s="1758"/>
      <c r="AU21" s="1758"/>
      <c r="AV21" s="1758"/>
      <c r="AW21" s="1758"/>
      <c r="AX21" s="1758"/>
      <c r="AY21" s="1758"/>
      <c r="AZ21" s="1758"/>
      <c r="BA21" s="1758"/>
      <c r="BB21" s="1758"/>
      <c r="BC21" s="1758"/>
      <c r="BD21" s="1758"/>
      <c r="BE21" s="1758"/>
      <c r="BF21" s="1758"/>
    </row>
    <row customHeight="1" ht="21.9375">
      <c r="E22" s="618">
        <v>22.5</v>
      </c>
      <c r="AB22" s="318" t="s">
        <v>41</v>
      </c>
      <c r="AC22" s="193"/>
      <c r="AD22" s="193"/>
      <c r="AE22" s="193"/>
      <c r="AF22" s="193"/>
      <c r="AG22" s="193"/>
      <c r="AH22" s="193"/>
      <c r="AI22" s="194"/>
      <c r="AJ22" s="194"/>
      <c r="AK22" s="194"/>
      <c r="AL22" s="194"/>
      <c r="AM22" s="194"/>
      <c r="AN22" s="194"/>
      <c r="AO22" s="194"/>
      <c r="AP22" s="194"/>
      <c r="AQ22" s="194"/>
      <c r="AR22" s="194"/>
      <c r="AS22" s="194"/>
      <c r="AT22" s="194"/>
      <c r="AU22" s="194"/>
      <c r="AV22" s="194"/>
      <c r="AW22" s="194"/>
      <c r="AX22" s="194"/>
      <c r="AY22" s="194"/>
      <c r="AZ22" s="194"/>
      <c r="BA22" s="194"/>
      <c r="BB22" s="194"/>
      <c r="BC22" s="194"/>
      <c r="BD22" s="194"/>
      <c r="BE22" s="194"/>
      <c r="BF22" s="194"/>
    </row>
    <row s="1546" customFormat="1" customHeight="1" ht="10.96875">
      <c r="B23" s="428"/>
      <c r="E23" s="629">
        <v>11.25</v>
      </c>
      <c r="F23" s="749"/>
      <c r="AA23" s="127"/>
      <c r="AB23" s="128"/>
      <c r="AC23" s="129"/>
      <c r="AD23" s="130"/>
      <c r="AE23" s="131"/>
      <c r="AO23" s="1546"/>
      <c r="AP23" s="1546"/>
      <c r="AQ23" s="1546"/>
      <c r="AR23" s="1546"/>
      <c r="AS23" s="1546"/>
      <c r="AT23" s="1546"/>
      <c r="AU23" s="1546"/>
      <c r="AV23" s="1546"/>
      <c r="AW23" s="1546"/>
      <c r="AX23" s="1546"/>
      <c r="AY23" s="1546"/>
      <c r="AZ23" s="1546"/>
      <c r="BA23" s="1546"/>
      <c r="BB23" s="1546"/>
      <c r="BC23" s="1546"/>
      <c r="BD23" s="1546"/>
      <c r="BE23" s="1546"/>
      <c r="BF23" s="1546"/>
      <c r="BI23" s="1012"/>
      <c r="BJ23" s="1012"/>
      <c r="BK23" s="1012"/>
      <c r="BL23" s="629"/>
      <c r="BM23" s="629"/>
    </row>
    <row customHeight="1" ht="14.625">
      <c r="E24" s="618">
        <v>15</v>
      </c>
      <c r="AB24" s="1564" t="s">
        <v>22</v>
      </c>
      <c r="AC24" s="1564" t="s">
        <v>1163</v>
      </c>
      <c r="AD24" s="1564" t="s">
        <v>370</v>
      </c>
      <c r="AE24" s="93" t="str">
        <f>god-2&amp;" год"</f>
        <v>2024 год</v>
      </c>
      <c r="AF24" s="1119" t="str">
        <f>god-2&amp;" год"</f>
        <v>2024 год</v>
      </c>
      <c r="AG24" s="93" t="str">
        <f>god-2&amp;" год"</f>
        <v>2024 год</v>
      </c>
      <c r="AH24" s="93" t="str">
        <f>god-2&amp;" год"</f>
        <v>2024 год</v>
      </c>
      <c r="AI24" s="93" t="str">
        <f>god-1&amp;" год"</f>
        <v>2025 год</v>
      </c>
      <c r="AJ24" s="1119" t="str">
        <f>god&amp;" год"</f>
        <v>2026 год</v>
      </c>
      <c r="AK24" s="93" t="str">
        <f>god&amp;" год"</f>
        <v>2026 год</v>
      </c>
      <c r="AL24" s="93" t="str">
        <f>god&amp;" год"</f>
        <v>2026 год</v>
      </c>
      <c r="AM24" s="93" t="str">
        <f>god&amp;" год"</f>
        <v>2026 год</v>
      </c>
      <c r="AN24" s="93" t="str">
        <f>god&amp;" год"</f>
        <v>2026 год</v>
      </c>
      <c r="AO24" s="1119" t="str">
        <f>god+1&amp;" год"</f>
        <v>2027 год</v>
      </c>
      <c r="AP24" s="1119" t="str">
        <f>god+2&amp;" год"</f>
        <v>2028 год</v>
      </c>
      <c r="AQ24" s="1119" t="str">
        <f>god+3&amp;" год"</f>
        <v>2029 год</v>
      </c>
      <c r="AR24" s="1119" t="str">
        <f>god+4&amp;" год"</f>
        <v>2030 год</v>
      </c>
      <c r="AS24" s="1119" t="str">
        <f>god+5&amp;" год"</f>
        <v>2031 год</v>
      </c>
      <c r="AT24" s="1119" t="str">
        <f>god+6&amp;" год"</f>
        <v>2032 год</v>
      </c>
      <c r="AU24" s="1119" t="str">
        <f>god+7&amp;" год"</f>
        <v>2033 год</v>
      </c>
      <c r="AV24" s="1119" t="str">
        <f>god+8&amp;" год"</f>
        <v>2034 год</v>
      </c>
      <c r="AW24" s="1119" t="str">
        <f>god+9&amp;" год"</f>
        <v>2035 год</v>
      </c>
      <c r="AX24" s="93" t="str">
        <f>god+1&amp;" год"</f>
        <v>2027 год</v>
      </c>
      <c r="AY24" s="93" t="str">
        <f>god+2&amp;" год"</f>
        <v>2028 год</v>
      </c>
      <c r="AZ24" s="93" t="str">
        <f>god+3&amp;" год"</f>
        <v>2029 год</v>
      </c>
      <c r="BA24" s="93" t="str">
        <f>god+4&amp;" год"</f>
        <v>2030 год</v>
      </c>
      <c r="BB24" s="93" t="str">
        <f>god+5&amp;" год"</f>
        <v>2031 год</v>
      </c>
      <c r="BC24" s="93" t="str">
        <f>god+6&amp;" год"</f>
        <v>2032 год</v>
      </c>
      <c r="BD24" s="93" t="str">
        <f>god+7&amp;" год"</f>
        <v>2033 год</v>
      </c>
      <c r="BE24" s="93" t="str">
        <f>god+8&amp;" год"</f>
        <v>2034 год</v>
      </c>
      <c r="BF24" s="93" t="str">
        <f>god+9&amp;" год"</f>
        <v>2035 год</v>
      </c>
    </row>
    <row customHeight="1" ht="67.275">
      <c r="E25" s="618">
        <v>69</v>
      </c>
      <c r="F25" s="749" t="s">
        <v>372</v>
      </c>
      <c r="AB25" s="1564"/>
      <c r="AC25" s="1564"/>
      <c r="AD25" s="1564"/>
      <c r="AE25" s="92" t="s">
        <v>362</v>
      </c>
      <c r="AF25" s="1120" t="s">
        <v>1164</v>
      </c>
      <c r="AG25" s="93" t="s">
        <v>1165</v>
      </c>
      <c r="AH25" s="93" t="s">
        <v>371</v>
      </c>
      <c r="AI25" s="93" t="s">
        <v>362</v>
      </c>
      <c r="AJ25" s="1118" t="s">
        <v>363</v>
      </c>
      <c r="AK25" s="93" t="s">
        <v>362</v>
      </c>
      <c r="AL25" s="190" t="s">
        <v>1166</v>
      </c>
      <c r="AM25" s="190" t="s">
        <v>1167</v>
      </c>
      <c r="AN25" s="93" t="s">
        <v>371</v>
      </c>
      <c r="AO25" s="1119" t="s">
        <v>363</v>
      </c>
      <c r="AP25" s="1119" t="s">
        <v>363</v>
      </c>
      <c r="AQ25" s="1119" t="s">
        <v>363</v>
      </c>
      <c r="AR25" s="1119" t="s">
        <v>363</v>
      </c>
      <c r="AS25" s="1119" t="s">
        <v>363</v>
      </c>
      <c r="AT25" s="1119" t="s">
        <v>363</v>
      </c>
      <c r="AU25" s="1119" t="s">
        <v>363</v>
      </c>
      <c r="AV25" s="1119" t="s">
        <v>363</v>
      </c>
      <c r="AW25" s="1119" t="s">
        <v>363</v>
      </c>
      <c r="AX25" s="93" t="s">
        <v>362</v>
      </c>
      <c r="AY25" s="93" t="s">
        <v>362</v>
      </c>
      <c r="AZ25" s="93" t="s">
        <v>362</v>
      </c>
      <c r="BA25" s="93" t="s">
        <v>362</v>
      </c>
      <c r="BB25" s="93" t="s">
        <v>362</v>
      </c>
      <c r="BC25" s="93" t="s">
        <v>362</v>
      </c>
      <c r="BD25" s="93" t="s">
        <v>362</v>
      </c>
      <c r="BE25" s="93" t="s">
        <v>362</v>
      </c>
      <c r="BF25" s="93" t="s">
        <v>362</v>
      </c>
    </row>
    <row s="1834" customFormat="1" customHeight="1" ht="19.5">
      <c r="A26" s="499"/>
      <c r="B26" s="658"/>
      <c r="C26" s="499"/>
      <c r="D26" s="499"/>
      <c r="E26" s="659">
        <v>20</v>
      </c>
      <c r="F26" s="747" t="s">
        <v>1168</v>
      </c>
      <c r="G26" s="499"/>
      <c r="H26" s="499"/>
      <c r="I26" s="499"/>
      <c r="J26" s="499"/>
      <c r="K26" s="499"/>
      <c r="L26" s="499"/>
      <c r="M26" s="499"/>
      <c r="N26" s="499"/>
      <c r="O26" s="499"/>
      <c r="P26" s="499"/>
      <c r="Q26" s="499"/>
      <c r="R26" s="499"/>
      <c r="S26" s="499"/>
      <c r="T26" s="499"/>
      <c r="U26" s="499"/>
      <c r="V26" s="499"/>
      <c r="W26" s="499"/>
      <c r="X26" s="499"/>
      <c r="Y26" s="499"/>
      <c r="Z26" s="499"/>
      <c r="AB26" s="90"/>
      <c r="AC26" s="574" t="s">
        <v>1169</v>
      </c>
      <c r="AD26" s="136" t="s">
        <v>1170</v>
      </c>
      <c r="AE26" s="1409"/>
      <c r="AF26" s="1409"/>
      <c r="AG26" s="1409"/>
      <c r="AH26" s="947"/>
      <c r="AI26" s="1409"/>
      <c r="AJ26" s="1409">
        <v>22</v>
      </c>
      <c r="AK26" s="1409">
        <v>22</v>
      </c>
      <c r="AL26" s="281">
        <f>IF(AI26&lt;&gt;0,AK26/AI26,0)</f>
        <v>0</v>
      </c>
      <c r="AM26" s="280">
        <f>AK26-AJ26</f>
        <v>0</v>
      </c>
      <c r="AN26" s="947"/>
      <c r="AO26" s="1409">
        <v>22</v>
      </c>
      <c r="AP26" s="1409">
        <v>22</v>
      </c>
      <c r="AQ26" s="1409">
        <v>22</v>
      </c>
      <c r="AR26" s="1409">
        <v>22</v>
      </c>
      <c r="AS26" s="2052"/>
      <c r="AT26" s="2052"/>
      <c r="AU26" s="2052"/>
      <c r="AV26" s="2052"/>
      <c r="AW26" s="2052"/>
      <c r="AX26" s="1409">
        <v>22</v>
      </c>
      <c r="AY26" s="1409">
        <v>22</v>
      </c>
      <c r="AZ26" s="1409">
        <v>22</v>
      </c>
      <c r="BA26" s="1409">
        <v>22</v>
      </c>
      <c r="BB26" s="2052"/>
      <c r="BC26" s="2052"/>
      <c r="BD26" s="2052"/>
      <c r="BE26" s="2052"/>
      <c r="BF26" s="2052"/>
      <c r="BI26" s="1004" t="s">
        <v>1171</v>
      </c>
      <c r="BJ26" s="1004"/>
      <c r="BK26" s="1004"/>
      <c r="BL26" s="624"/>
      <c r="BM26" s="624"/>
    </row>
    <row s="1834" customFormat="1" customHeight="1" ht="11.25" hidden="1">
      <c r="A27" s="499"/>
      <c r="B27" s="658"/>
      <c r="C27" s="499"/>
      <c r="D27" s="499"/>
      <c r="E27" s="866">
        <v>0</v>
      </c>
      <c r="F27" s="747"/>
      <c r="G27" s="499"/>
      <c r="H27" s="499"/>
      <c r="I27" s="499"/>
      <c r="J27" s="499"/>
      <c r="K27" s="499"/>
      <c r="L27" s="499"/>
      <c r="M27" s="499"/>
      <c r="N27" s="499"/>
      <c r="O27" s="499"/>
      <c r="P27" s="499"/>
      <c r="Q27" s="499"/>
      <c r="R27" s="499"/>
      <c r="S27" s="499"/>
      <c r="T27" s="499"/>
      <c r="U27" s="499"/>
      <c r="V27" s="499"/>
      <c r="W27" s="499"/>
      <c r="X27" s="499"/>
      <c r="Y27" s="499"/>
      <c r="Z27" s="499"/>
      <c r="AB27" s="726"/>
      <c r="AC27" s="727"/>
      <c r="AD27" s="512"/>
      <c r="AE27" s="949"/>
      <c r="AF27" s="949"/>
      <c r="AG27" s="949"/>
      <c r="AH27" s="949"/>
      <c r="AI27" s="949"/>
      <c r="AJ27" s="949"/>
      <c r="AK27" s="949"/>
      <c r="AL27" s="949"/>
      <c r="AM27" s="949"/>
      <c r="AN27" s="949"/>
      <c r="AO27" s="949"/>
      <c r="AP27" s="949"/>
      <c r="AQ27" s="949"/>
      <c r="AR27" s="949"/>
      <c r="AS27" s="949"/>
      <c r="AT27" s="949"/>
      <c r="AU27" s="949"/>
      <c r="AV27" s="949"/>
      <c r="AW27" s="949"/>
      <c r="AX27" s="949"/>
      <c r="AY27" s="949"/>
      <c r="AZ27" s="949"/>
      <c r="BA27" s="949"/>
      <c r="BB27" s="949"/>
      <c r="BC27" s="949"/>
      <c r="BD27" s="949"/>
      <c r="BE27" s="949"/>
      <c r="BF27" s="949"/>
      <c r="BI27" s="1004"/>
      <c r="BJ27" s="1004"/>
      <c r="BK27" s="1004"/>
      <c r="BL27" s="624"/>
      <c r="BM27" s="624"/>
    </row>
    <row s="1446" customFormat="1" customHeight="1" ht="14.625" hidden="1">
      <c r="A28" s="1446"/>
      <c r="B28" s="429"/>
      <c r="C28" s="1446"/>
      <c r="D28" s="1446"/>
      <c r="E28" s="630">
        <v>15</v>
      </c>
      <c r="F28" s="749" cm="1" t="str">
        <f t="array" ref="F28:F28">Y28</f>
        <v>0</v>
      </c>
      <c r="G28" s="1446"/>
      <c r="H28" s="1446"/>
      <c r="I28" s="1446"/>
      <c r="J28" s="1446"/>
      <c r="K28" s="1446"/>
      <c r="L28" s="1446"/>
      <c r="M28" s="1446"/>
      <c r="N28" s="1446"/>
      <c r="O28" s="1446"/>
      <c r="P28" s="1446"/>
      <c r="Q28" s="1446"/>
      <c r="R28" s="1446"/>
      <c r="S28" s="1446"/>
      <c r="T28" s="1446"/>
      <c r="U28" s="465">
        <f>Y28&gt;0</f>
        <v>0</v>
      </c>
      <c r="V28" s="1446"/>
      <c r="W28" s="144" t="s">
        <v>265</v>
      </c>
      <c r="X28" s="1446"/>
      <c r="Y28" s="1543">
        <v>0</v>
      </c>
      <c r="Z28" s="1565"/>
      <c r="AA28" s="1446"/>
      <c r="AB28" s="183" cm="1" t="str">
        <f t="array" ref="AB28:AB28">INDEX('Общие сведения'!$AG$179:$AG$250,MATCH($Y28,'Общие сведения'!$Z$179:$Z$250,0))</f>
        <v>Тариф 0 () - </v>
      </c>
      <c r="AC28" s="180"/>
      <c r="AD28" s="174"/>
      <c r="AE28" s="174"/>
      <c r="AF28" s="174"/>
      <c r="AG28" s="174"/>
      <c r="AH28" s="174"/>
      <c r="AI28" s="174"/>
      <c r="AJ28" s="174"/>
      <c r="AK28" s="174"/>
      <c r="AL28" s="174"/>
      <c r="AM28" s="174"/>
      <c r="AN28" s="174"/>
      <c r="AO28" s="174"/>
      <c r="AP28" s="174"/>
      <c r="AQ28" s="174"/>
      <c r="AR28" s="174"/>
      <c r="AS28" s="174"/>
      <c r="AT28" s="174"/>
      <c r="AU28" s="174"/>
      <c r="AV28" s="174"/>
      <c r="AW28" s="174"/>
      <c r="AX28" s="174"/>
      <c r="AY28" s="174"/>
      <c r="AZ28" s="174"/>
      <c r="BA28" s="174"/>
      <c r="BB28" s="174"/>
      <c r="BC28" s="174"/>
      <c r="BD28" s="174"/>
      <c r="BE28" s="174"/>
      <c r="BF28" s="174"/>
      <c r="BG28" s="1446"/>
      <c r="BH28" s="1446"/>
      <c r="BI28" s="1013"/>
      <c r="BJ28" s="1013"/>
      <c r="BK28" s="1013"/>
      <c r="BL28" s="630"/>
      <c r="BM28" s="630"/>
    </row>
    <row customHeight="1" ht="14.625" hidden="1">
      <c r="A29" s="1758"/>
      <c r="B29" s="1416"/>
      <c r="C29" s="1758"/>
      <c r="D29" s="1758"/>
      <c r="E29" s="618">
        <v>15</v>
      </c>
      <c r="F29" s="50" cm="1" t="str">
        <f t="array" ref="F29:F29">OFFSET(E29,-1,1)</f>
        <v>0</v>
      </c>
      <c r="G29" s="122" t="s">
        <v>1172</v>
      </c>
      <c r="H29" s="1758"/>
      <c r="I29" s="1758"/>
      <c r="J29" s="1758"/>
      <c r="K29" s="1758"/>
      <c r="L29" s="1758"/>
      <c r="M29" s="1758"/>
      <c r="N29" s="1758"/>
      <c r="O29" s="1758"/>
      <c r="P29" s="1758"/>
      <c r="Q29" s="1758"/>
      <c r="R29" s="1758"/>
      <c r="S29" s="1758"/>
      <c r="T29" s="1758"/>
      <c r="U29" s="465" cm="1" t="str">
        <f t="array" ref="U29:U29">U28</f>
        <v>false</v>
      </c>
      <c r="V29" s="1758"/>
      <c r="W29" s="1758"/>
      <c r="X29" s="1758"/>
      <c r="Y29" s="1543"/>
      <c r="Z29" s="1565"/>
      <c r="AA29" s="1758"/>
      <c r="AB29" s="270"/>
      <c r="AC29" s="271" t="s">
        <v>1173</v>
      </c>
      <c r="AD29" s="272"/>
      <c r="AE29" s="272"/>
      <c r="AF29" s="272"/>
      <c r="AG29" s="272"/>
      <c r="AH29" s="272"/>
      <c r="AI29" s="305">
        <f>(1-AI30/100)*(1+AI31/100)*(1+AI33/100)</f>
        <v>1</v>
      </c>
      <c r="AJ29" s="305">
        <f>(1-AJ30/100)*(1+AJ31/100)*(1+AJ33/100)</f>
        <v>1</v>
      </c>
      <c r="AK29" s="305">
        <f>(1-AK30/100)*(1+AK31/100)*(1+AK33/100)</f>
        <v>1</v>
      </c>
      <c r="AL29" s="272"/>
      <c r="AM29" s="272"/>
      <c r="AN29" s="272"/>
      <c r="AO29" s="305">
        <f>(1-AO30/100)*(1+AO31/100)*(1+AO33/100)</f>
        <v>1</v>
      </c>
      <c r="AP29" s="305">
        <f>(1-AP30/100)*(1+AP31/100)*(1+AP33/100)</f>
        <v>1</v>
      </c>
      <c r="AQ29" s="305">
        <f>(1-AQ30/100)*(1+AQ31/100)*(1+AQ33/100)</f>
        <v>1</v>
      </c>
      <c r="AR29" s="305">
        <f>(1-AR30/100)*(1+AR31/100)*(1+AR33/100)</f>
        <v>1</v>
      </c>
      <c r="AS29" s="305">
        <f>(1-AS30/100)*(1+AS31/100)*(1+AS33/100)</f>
        <v>1</v>
      </c>
      <c r="AT29" s="305">
        <f>(1-AT30/100)*(1+AT31/100)*(1+AT33/100)</f>
        <v>1</v>
      </c>
      <c r="AU29" s="305">
        <f>(1-AU30/100)*(1+AU31/100)*(1+AU33/100)</f>
        <v>1</v>
      </c>
      <c r="AV29" s="305">
        <f>(1-AV30/100)*(1+AV31/100)*(1+AV33/100)</f>
        <v>1</v>
      </c>
      <c r="AW29" s="305">
        <f>(1-AW30/100)*(1+AW31/100)*(1+AW33/100)</f>
        <v>1</v>
      </c>
      <c r="AX29" s="305">
        <f>(1-AX30/100)*(1+AX31/100)*(1+AX33/100)</f>
        <v>1</v>
      </c>
      <c r="AY29" s="305">
        <f>(1-AY30/100)*(1+AY31/100)*(1+AY33/100)</f>
        <v>1</v>
      </c>
      <c r="AZ29" s="305">
        <f>(1-AZ30/100)*(1+AZ31/100)*(1+AZ33/100)</f>
        <v>1</v>
      </c>
      <c r="BA29" s="305">
        <f>(1-BA30/100)*(1+BA31/100)*(1+BA33/100)</f>
        <v>1</v>
      </c>
      <c r="BB29" s="305">
        <f>(1-BB30/100)*(1+BB31/100)*(1+BB33/100)</f>
        <v>1</v>
      </c>
      <c r="BC29" s="305">
        <f>(1-BC30/100)*(1+BC31/100)*(1+BC33/100)</f>
        <v>1</v>
      </c>
      <c r="BD29" s="305">
        <f>(1-BD30/100)*(1+BD31/100)*(1+BD33/100)</f>
        <v>1</v>
      </c>
      <c r="BE29" s="305">
        <f>(1-BE30/100)*(1+BE31/100)*(1+BE33/100)</f>
        <v>1</v>
      </c>
      <c r="BF29" s="305">
        <f>(1-BF30/100)*(1+BF31/100)*(1+BF33/100)</f>
        <v>1</v>
      </c>
      <c r="BG29" s="1758"/>
      <c r="BH29" s="1758"/>
      <c r="BI29" s="1764"/>
      <c r="BJ29" s="1764"/>
      <c r="BK29" s="1764"/>
      <c r="BL29" s="1757"/>
      <c r="BM29" s="1757"/>
    </row>
    <row customHeight="1" ht="21.9375" hidden="1">
      <c r="A30" s="1758"/>
      <c r="B30" s="446">
        <f>method_reg&lt;&gt;"Метод экономически обоснованных расходов"</f>
        <v>1</v>
      </c>
      <c r="C30" s="1758"/>
      <c r="D30" s="1758"/>
      <c r="E30" s="618">
        <v>22.5</v>
      </c>
      <c r="F30" s="50" cm="1" t="str">
        <f t="array" ref="F30:F30">OFFSET(E30,-1,1)</f>
        <v>0</v>
      </c>
      <c r="G30" s="122" t="s">
        <v>1174</v>
      </c>
      <c r="H30" s="122" t="s">
        <v>1175</v>
      </c>
      <c r="I30" s="1758"/>
      <c r="J30" s="1758"/>
      <c r="K30" s="1758"/>
      <c r="L30" s="1758"/>
      <c r="M30" s="1758"/>
      <c r="N30" s="1758"/>
      <c r="O30" s="1758"/>
      <c r="P30" s="1758"/>
      <c r="Q30" s="1758"/>
      <c r="R30" s="1758"/>
      <c r="S30" s="1758"/>
      <c r="T30" s="1758"/>
      <c r="U30" s="465" cm="1" t="str">
        <f t="array" ref="U30:U30">U29</f>
        <v>false</v>
      </c>
      <c r="V30" s="1758"/>
      <c r="W30" s="1758"/>
      <c r="X30" s="1758"/>
      <c r="Y30" s="1543"/>
      <c r="Z30" s="1565"/>
      <c r="AA30" s="1758"/>
      <c r="AB30" s="133">
        <v>1</v>
      </c>
      <c r="AC30" s="134" t="s">
        <v>1176</v>
      </c>
      <c r="AD30" s="136" t="s">
        <v>1170</v>
      </c>
      <c r="AE30" s="2069"/>
      <c r="AF30" s="2069"/>
      <c r="AG30" s="2069"/>
      <c r="AH30" s="2070"/>
      <c r="AI30" s="2069"/>
      <c r="AJ30" s="2069"/>
      <c r="AK30" s="2069"/>
      <c r="AL30" s="281">
        <f>IF(AI30&lt;&gt;0,AK30/AI30,0)</f>
        <v>0</v>
      </c>
      <c r="AM30" s="280">
        <f>AK30-AJ30</f>
        <v>0</v>
      </c>
      <c r="AN30" s="2070"/>
      <c r="AO30" s="2069"/>
      <c r="AP30" s="2069"/>
      <c r="AQ30" s="2069"/>
      <c r="AR30" s="2069"/>
      <c r="AS30" s="2069"/>
      <c r="AT30" s="2069"/>
      <c r="AU30" s="2069"/>
      <c r="AV30" s="2069"/>
      <c r="AW30" s="2069"/>
      <c r="AX30" s="2069"/>
      <c r="AY30" s="2069"/>
      <c r="AZ30" s="2069"/>
      <c r="BA30" s="2069"/>
      <c r="BB30" s="2069"/>
      <c r="BC30" s="2069"/>
      <c r="BD30" s="2069"/>
      <c r="BE30" s="2069"/>
      <c r="BF30" s="2069"/>
      <c r="BG30" s="1758"/>
      <c r="BH30" s="1758"/>
      <c r="BI30" s="997" t="s">
        <v>1177</v>
      </c>
      <c r="BJ30" s="1764"/>
      <c r="BK30" s="1764"/>
      <c r="BL30" s="1757"/>
      <c r="BM30" s="1757"/>
    </row>
    <row customHeight="1" ht="14.625" hidden="1">
      <c r="A31" s="1758"/>
      <c r="B31" s="1416"/>
      <c r="C31" s="1758"/>
      <c r="D31" s="1758"/>
      <c r="E31" s="618">
        <v>15</v>
      </c>
      <c r="F31" s="50" cm="1" t="str">
        <f t="array" ref="F31:F31">OFFSET(E31,-1,1)</f>
        <v>0</v>
      </c>
      <c r="G31" s="122" t="s">
        <v>1178</v>
      </c>
      <c r="H31" s="122" t="s">
        <v>1179</v>
      </c>
      <c r="I31" s="1758"/>
      <c r="J31" s="1758"/>
      <c r="K31" s="1758"/>
      <c r="L31" s="1758"/>
      <c r="M31" s="1758"/>
      <c r="N31" s="1758"/>
      <c r="O31" s="1758"/>
      <c r="P31" s="1758"/>
      <c r="Q31" s="1758"/>
      <c r="R31" s="1758"/>
      <c r="S31" s="1758"/>
      <c r="T31" s="1758"/>
      <c r="U31" s="465" cm="1" t="str">
        <f t="array" ref="U31:U31">U30</f>
        <v>false</v>
      </c>
      <c r="V31" s="1758"/>
      <c r="W31" s="1758"/>
      <c r="X31" s="1758"/>
      <c r="Y31" s="1543"/>
      <c r="Z31" s="1565"/>
      <c r="AA31" s="1758"/>
      <c r="AB31" s="133">
        <f>IF(B30,2,1)</f>
        <v>2</v>
      </c>
      <c r="AC31" s="135" t="s">
        <v>1180</v>
      </c>
      <c r="AD31" s="136" t="s">
        <v>1170</v>
      </c>
      <c r="AE31" s="2069"/>
      <c r="AF31" s="2069"/>
      <c r="AG31" s="2069"/>
      <c r="AH31" s="2070"/>
      <c r="AI31" s="2069"/>
      <c r="AJ31" s="2069"/>
      <c r="AK31" s="2069"/>
      <c r="AL31" s="281">
        <f>IF(AI31&lt;&gt;0,AK31/AI31,0)</f>
        <v>0</v>
      </c>
      <c r="AM31" s="280">
        <f>AK31-AJ31</f>
        <v>0</v>
      </c>
      <c r="AN31" s="2070"/>
      <c r="AO31" s="2069"/>
      <c r="AP31" s="2069"/>
      <c r="AQ31" s="2069"/>
      <c r="AR31" s="2069"/>
      <c r="AS31" s="2069"/>
      <c r="AT31" s="2069"/>
      <c r="AU31" s="2069"/>
      <c r="AV31" s="2069"/>
      <c r="AW31" s="2069"/>
      <c r="AX31" s="2069"/>
      <c r="AY31" s="2069"/>
      <c r="AZ31" s="2069"/>
      <c r="BA31" s="2069"/>
      <c r="BB31" s="2069"/>
      <c r="BC31" s="2069"/>
      <c r="BD31" s="2069"/>
      <c r="BE31" s="2069"/>
      <c r="BF31" s="2069"/>
      <c r="BG31" s="1758"/>
      <c r="BH31" s="1758"/>
      <c r="BI31" s="997" t="s">
        <v>1181</v>
      </c>
      <c r="BJ31" s="1764"/>
      <c r="BK31" s="1764"/>
      <c r="BL31" s="1757"/>
      <c r="BM31" s="1757"/>
    </row>
    <row customHeight="1" ht="14.625" hidden="1">
      <c r="A32" s="1758"/>
      <c r="B32" s="1416"/>
      <c r="C32" s="1758"/>
      <c r="D32" s="1758"/>
      <c r="E32" s="618">
        <v>15</v>
      </c>
      <c r="F32" s="50" cm="1" t="str">
        <f t="array" ref="F32:F32">OFFSET(E32,-1,1)</f>
        <v>0</v>
      </c>
      <c r="G32" s="1758"/>
      <c r="H32" s="122" t="s">
        <v>1182</v>
      </c>
      <c r="I32" s="1758"/>
      <c r="J32" s="1758"/>
      <c r="K32" s="1758"/>
      <c r="L32" s="1758"/>
      <c r="M32" s="1758"/>
      <c r="N32" s="1758"/>
      <c r="O32" s="1758"/>
      <c r="P32" s="1758"/>
      <c r="Q32" s="1758"/>
      <c r="R32" s="1758"/>
      <c r="S32" s="1758"/>
      <c r="T32" s="1758"/>
      <c r="U32" s="465" cm="1" t="str">
        <f t="array" ref="U32:U32">U31</f>
        <v>false</v>
      </c>
      <c r="V32" s="1758"/>
      <c r="W32" s="1758"/>
      <c r="X32" s="1758"/>
      <c r="Y32" s="1543"/>
      <c r="Z32" s="1565"/>
      <c r="AA32" s="1758"/>
      <c r="AB32" s="133">
        <f>AB31+1</f>
        <v>3</v>
      </c>
      <c r="AC32" s="137" t="s">
        <v>1183</v>
      </c>
      <c r="AD32" s="136" t="s">
        <v>1170</v>
      </c>
      <c r="AE32" s="2069"/>
      <c r="AF32" s="2069"/>
      <c r="AG32" s="2069"/>
      <c r="AH32" s="2070"/>
      <c r="AI32" s="2069"/>
      <c r="AJ32" s="2069"/>
      <c r="AK32" s="2069"/>
      <c r="AL32" s="281">
        <f>IF(AI32&lt;&gt;0,AK32/AI32,0)</f>
        <v>0</v>
      </c>
      <c r="AM32" s="280">
        <f>AK32-AJ32</f>
        <v>0</v>
      </c>
      <c r="AN32" s="2070"/>
      <c r="AO32" s="2069"/>
      <c r="AP32" s="2069"/>
      <c r="AQ32" s="2069"/>
      <c r="AR32" s="2069"/>
      <c r="AS32" s="2069"/>
      <c r="AT32" s="2069"/>
      <c r="AU32" s="2069"/>
      <c r="AV32" s="2069"/>
      <c r="AW32" s="2069"/>
      <c r="AX32" s="2069"/>
      <c r="AY32" s="2069"/>
      <c r="AZ32" s="2069"/>
      <c r="BA32" s="2069"/>
      <c r="BB32" s="2069"/>
      <c r="BC32" s="2069"/>
      <c r="BD32" s="2069"/>
      <c r="BE32" s="2069"/>
      <c r="BF32" s="2069"/>
      <c r="BG32" s="1758"/>
      <c r="BH32" s="1758"/>
      <c r="BI32" s="997" t="s">
        <v>1184</v>
      </c>
      <c r="BJ32" s="1764"/>
      <c r="BK32" s="1764"/>
      <c r="BL32" s="1757"/>
      <c r="BM32" s="1757"/>
    </row>
    <row customHeight="1" ht="14.625" hidden="1">
      <c r="A33" s="1758"/>
      <c r="B33" s="446">
        <f>method_reg&lt;&gt;"Метод экономически обоснованных расходов"</f>
        <v>1</v>
      </c>
      <c r="C33" s="1758"/>
      <c r="D33" s="1758"/>
      <c r="E33" s="618">
        <v>15</v>
      </c>
      <c r="F33" s="50" cm="1" t="str">
        <f t="array" ref="F33:F33">OFFSET(E33,-1,1)</f>
        <v>0</v>
      </c>
      <c r="G33" s="122" t="s">
        <v>1185</v>
      </c>
      <c r="H33" s="122" t="s">
        <v>1186</v>
      </c>
      <c r="I33" s="1758"/>
      <c r="J33" s="1758"/>
      <c r="K33" s="1758"/>
      <c r="L33" s="1758"/>
      <c r="M33" s="1758"/>
      <c r="N33" s="1758"/>
      <c r="O33" s="1758"/>
      <c r="P33" s="1758"/>
      <c r="Q33" s="1758"/>
      <c r="R33" s="1758"/>
      <c r="S33" s="1758"/>
      <c r="T33" s="1758"/>
      <c r="U33" s="465" cm="1" t="str">
        <f t="array" ref="U33:U33">U32</f>
        <v>false</v>
      </c>
      <c r="V33" s="1758"/>
      <c r="W33" s="1758"/>
      <c r="X33" s="1758"/>
      <c r="Y33" s="1543"/>
      <c r="Z33" s="1565"/>
      <c r="AA33" s="1758"/>
      <c r="AB33" s="133">
        <v>4</v>
      </c>
      <c r="AC33" s="135" t="s">
        <v>1187</v>
      </c>
      <c r="AD33" s="136" t="s">
        <v>1170</v>
      </c>
      <c r="AE33" s="2069"/>
      <c r="AF33" s="2069"/>
      <c r="AG33" s="2069"/>
      <c r="AH33" s="2070"/>
      <c r="AI33" s="2069"/>
      <c r="AJ33" s="2069"/>
      <c r="AK33" s="2069"/>
      <c r="AL33" s="281">
        <f>IF(AI33&lt;&gt;0,AK33/AI33,0)</f>
        <v>0</v>
      </c>
      <c r="AM33" s="280">
        <f>AK33-AJ33</f>
        <v>0</v>
      </c>
      <c r="AN33" s="2070"/>
      <c r="AO33" s="2069"/>
      <c r="AP33" s="2069"/>
      <c r="AQ33" s="2069"/>
      <c r="AR33" s="2069"/>
      <c r="AS33" s="2069"/>
      <c r="AT33" s="2069"/>
      <c r="AU33" s="2069"/>
      <c r="AV33" s="2069"/>
      <c r="AW33" s="2069"/>
      <c r="AX33" s="2069"/>
      <c r="AY33" s="2069"/>
      <c r="AZ33" s="2069"/>
      <c r="BA33" s="2069"/>
      <c r="BB33" s="2069"/>
      <c r="BC33" s="2069"/>
      <c r="BD33" s="2069"/>
      <c r="BE33" s="2069"/>
      <c r="BF33" s="2069"/>
      <c r="BG33" s="1758"/>
      <c r="BH33" s="1758"/>
      <c r="BI33" s="997" t="s">
        <v>1188</v>
      </c>
      <c r="BJ33" s="1764"/>
      <c r="BK33" s="1764"/>
      <c r="BL33" s="1757"/>
      <c r="BM33" s="1757"/>
    </row>
    <row s="1806" customFormat="1" customHeight="1" ht="14.625" hidden="1">
      <c r="A34" s="149"/>
      <c r="B34" s="447"/>
      <c r="C34" s="149"/>
      <c r="D34" s="149"/>
      <c r="E34" s="676">
        <v>15</v>
      </c>
      <c r="F34" s="374" cm="1" t="str">
        <f t="array" ref="F34:F34">OFFSET(E34,-1,1)</f>
        <v>0</v>
      </c>
      <c r="G34" s="149"/>
      <c r="H34" s="149"/>
      <c r="I34" s="149"/>
      <c r="J34" s="149"/>
      <c r="K34" s="149"/>
      <c r="L34" s="149"/>
      <c r="M34" s="149"/>
      <c r="N34" s="149"/>
      <c r="O34" s="149"/>
      <c r="P34" s="149"/>
      <c r="Q34" s="149"/>
      <c r="R34" s="149"/>
      <c r="S34" s="149"/>
      <c r="T34" s="149"/>
      <c r="U34" s="465" cm="1" t="str">
        <f t="array" ref="U34:U34">U33</f>
        <v>false</v>
      </c>
      <c r="V34" s="149"/>
      <c r="W34" s="149"/>
      <c r="X34" s="149"/>
      <c r="Y34" s="1543"/>
      <c r="Z34" s="1565"/>
      <c r="AA34" s="149"/>
      <c r="AB34" s="133">
        <v>5</v>
      </c>
      <c r="AC34" s="135" t="s">
        <v>1189</v>
      </c>
      <c r="AD34" s="136" t="s">
        <v>1170</v>
      </c>
      <c r="AE34" s="2069"/>
      <c r="AF34" s="2069"/>
      <c r="AG34" s="2069"/>
      <c r="AH34" s="2070"/>
      <c r="AI34" s="2069"/>
      <c r="AJ34" s="2069"/>
      <c r="AK34" s="2069"/>
      <c r="AL34" s="281">
        <f>IF(AI34&lt;&gt;0,AK34/AI34,0)</f>
        <v>0</v>
      </c>
      <c r="AM34" s="280">
        <f>AK34-AJ34</f>
        <v>0</v>
      </c>
      <c r="AN34" s="2070"/>
      <c r="AO34" s="2069"/>
      <c r="AP34" s="2069"/>
      <c r="AQ34" s="2069"/>
      <c r="AR34" s="2069"/>
      <c r="AS34" s="2069"/>
      <c r="AT34" s="2069"/>
      <c r="AU34" s="2069"/>
      <c r="AV34" s="2069"/>
      <c r="AW34" s="2069"/>
      <c r="AX34" s="2069"/>
      <c r="AY34" s="2069"/>
      <c r="AZ34" s="2069"/>
      <c r="BA34" s="2069"/>
      <c r="BB34" s="2069"/>
      <c r="BC34" s="2069"/>
      <c r="BD34" s="2069"/>
      <c r="BE34" s="2069"/>
      <c r="BF34" s="2069"/>
      <c r="BG34" s="149"/>
      <c r="BH34" s="149"/>
      <c r="BI34" s="1038" t="s">
        <v>1190</v>
      </c>
      <c r="BJ34" s="1038"/>
      <c r="BK34" s="1038"/>
      <c r="BL34" s="676"/>
      <c r="BM34" s="676"/>
    </row>
    <row customHeight="1" ht="14.625" hidden="1">
      <c r="A35" s="1758"/>
      <c r="B35" s="1416"/>
      <c r="C35" s="1758"/>
      <c r="D35" s="1758"/>
      <c r="E35" s="618">
        <v>15</v>
      </c>
      <c r="F35" s="50" cm="1" t="str">
        <f t="array" ref="F35:F35">OFFSET(E35,-1,1)</f>
        <v>0</v>
      </c>
      <c r="G35" s="1758"/>
      <c r="H35" s="1758"/>
      <c r="I35" s="1758"/>
      <c r="J35" s="1758"/>
      <c r="K35" s="1758"/>
      <c r="L35" s="1758"/>
      <c r="M35" s="1758"/>
      <c r="N35" s="1758"/>
      <c r="O35" s="1758"/>
      <c r="P35" s="1758"/>
      <c r="Q35" s="1758"/>
      <c r="R35" s="1758"/>
      <c r="S35" s="1758"/>
      <c r="T35" s="1758"/>
      <c r="U35" s="465" cm="1" t="str">
        <f t="array" ref="U35:U35">U33</f>
        <v>false</v>
      </c>
      <c r="V35" s="1758"/>
      <c r="W35" s="1758"/>
      <c r="X35" s="1758"/>
      <c r="Y35" s="1543"/>
      <c r="Z35" s="1565"/>
      <c r="AA35" s="1758"/>
      <c r="AB35" s="270"/>
      <c r="AC35" s="271" t="s">
        <v>1191</v>
      </c>
      <c r="AD35" s="272"/>
      <c r="AE35" s="277"/>
      <c r="AF35" s="277"/>
      <c r="AG35" s="277"/>
      <c r="AH35" s="272"/>
      <c r="AI35" s="277"/>
      <c r="AJ35" s="277"/>
      <c r="AK35" s="277"/>
      <c r="AL35" s="282"/>
      <c r="AM35" s="277"/>
      <c r="AN35" s="272"/>
      <c r="AO35" s="277"/>
      <c r="AP35" s="277"/>
      <c r="AQ35" s="277"/>
      <c r="AR35" s="277"/>
      <c r="AS35" s="277"/>
      <c r="AT35" s="277"/>
      <c r="AU35" s="277"/>
      <c r="AV35" s="277"/>
      <c r="AW35" s="277"/>
      <c r="AX35" s="277"/>
      <c r="AY35" s="277"/>
      <c r="AZ35" s="277"/>
      <c r="BA35" s="277"/>
      <c r="BB35" s="277"/>
      <c r="BC35" s="277"/>
      <c r="BD35" s="277"/>
      <c r="BE35" s="277"/>
      <c r="BF35" s="283"/>
      <c r="BG35" s="1758"/>
      <c r="BH35" s="1758"/>
      <c r="BI35" s="1764"/>
      <c r="BJ35" s="1764"/>
      <c r="BK35" s="1764"/>
      <c r="BL35" s="1757"/>
      <c r="BM35" s="1757"/>
    </row>
    <row customHeight="1" ht="14.625" hidden="1">
      <c r="A36" s="1758"/>
      <c r="B36" s="1416"/>
      <c r="C36" s="1758"/>
      <c r="D36" s="1758"/>
      <c r="E36" s="618">
        <v>15</v>
      </c>
      <c r="F36" s="50" cm="1" t="str">
        <f t="array" ref="F36:F36">OFFSET(E36,-1,1)</f>
        <v>0</v>
      </c>
      <c r="G36" s="122" t="s">
        <v>1192</v>
      </c>
      <c r="H36" s="122" t="s">
        <v>1193</v>
      </c>
      <c r="I36" s="1758"/>
      <c r="J36" s="1758"/>
      <c r="K36" s="1758"/>
      <c r="L36" s="1758"/>
      <c r="M36" s="1758"/>
      <c r="N36" s="1758"/>
      <c r="O36" s="1758"/>
      <c r="P36" s="1758"/>
      <c r="Q36" s="1758"/>
      <c r="R36" s="1758"/>
      <c r="S36" s="1758"/>
      <c r="T36" s="1758"/>
      <c r="U36" s="465" cm="1" t="str">
        <f t="array" ref="U36:U36">U35</f>
        <v>false</v>
      </c>
      <c r="V36" s="1758"/>
      <c r="W36" s="1758"/>
      <c r="X36" s="1758"/>
      <c r="Y36" s="1543"/>
      <c r="Z36" s="1565"/>
      <c r="AA36" s="1758"/>
      <c r="AB36" s="133">
        <v>1</v>
      </c>
      <c r="AC36" s="135" t="s">
        <v>1194</v>
      </c>
      <c r="AD36" s="136" t="s">
        <v>1170</v>
      </c>
      <c r="AE36" s="2082"/>
      <c r="AF36" s="2082"/>
      <c r="AG36" s="2082"/>
      <c r="AH36" s="2070"/>
      <c r="AI36" s="2082"/>
      <c r="AJ36" s="2082"/>
      <c r="AK36" s="2082"/>
      <c r="AL36" s="281">
        <f>IF(AI36&lt;&gt;0,AK36/AI36,0)</f>
        <v>0</v>
      </c>
      <c r="AM36" s="280">
        <f>AK36-AJ36</f>
        <v>0</v>
      </c>
      <c r="AN36" s="2070"/>
      <c r="AO36" s="2082"/>
      <c r="AP36" s="2082"/>
      <c r="AQ36" s="2082"/>
      <c r="AR36" s="2082"/>
      <c r="AS36" s="2082"/>
      <c r="AT36" s="2082"/>
      <c r="AU36" s="2082"/>
      <c r="AV36" s="2082"/>
      <c r="AW36" s="2082"/>
      <c r="AX36" s="2082"/>
      <c r="AY36" s="2082"/>
      <c r="AZ36" s="2082"/>
      <c r="BA36" s="2082"/>
      <c r="BB36" s="2082"/>
      <c r="BC36" s="2082"/>
      <c r="BD36" s="2082"/>
      <c r="BE36" s="2082"/>
      <c r="BF36" s="2082"/>
      <c r="BG36" s="1758"/>
      <c r="BH36" s="1758"/>
      <c r="BI36" s="997" t="s">
        <v>1195</v>
      </c>
      <c r="BJ36" s="1764"/>
      <c r="BK36" s="1764"/>
      <c r="BL36" s="1757"/>
      <c r="BM36" s="1757"/>
    </row>
    <row customHeight="1" ht="15" hidden="1">
      <c r="A37" s="1758"/>
      <c r="B37" s="1416"/>
      <c r="C37" s="1758"/>
      <c r="D37" s="1758"/>
      <c r="E37" s="618">
        <v>0</v>
      </c>
      <c r="F37" s="50" cm="1" t="str">
        <f t="array" ref="F37:F37">OFFSET(E37,-1,1)</f>
        <v>0</v>
      </c>
      <c r="G37" s="1758"/>
      <c r="H37" s="122" t="s">
        <v>1196</v>
      </c>
      <c r="I37" s="1758"/>
      <c r="J37" s="1758"/>
      <c r="K37" s="1758"/>
      <c r="L37" s="1758"/>
      <c r="M37" s="1758"/>
      <c r="N37" s="1758"/>
      <c r="O37" s="1758"/>
      <c r="P37" s="1758"/>
      <c r="Q37" s="1758"/>
      <c r="R37" s="1758"/>
      <c r="S37" s="1758"/>
      <c r="T37" s="1758"/>
      <c r="U37" s="465" cm="1" t="str">
        <f t="array" ref="U37:U37">U36</f>
        <v>false</v>
      </c>
      <c r="V37" s="1758"/>
      <c r="W37" s="1758"/>
      <c r="X37" s="1758"/>
      <c r="Y37" s="1543"/>
      <c r="Z37" s="1565"/>
      <c r="AA37" s="1758"/>
      <c r="AB37" s="133">
        <v>2</v>
      </c>
      <c r="AC37" s="135" t="s">
        <v>1169</v>
      </c>
      <c r="AD37" s="136" t="s">
        <v>1170</v>
      </c>
      <c r="AE37" s="2082"/>
      <c r="AF37" s="2069"/>
      <c r="AG37" s="2082"/>
      <c r="AH37" s="2070"/>
      <c r="AI37" s="2082"/>
      <c r="AJ37" s="2082"/>
      <c r="AK37" s="2082"/>
      <c r="AL37" s="281">
        <f>IF(AI37&lt;&gt;0,AK37/AI37,0)</f>
        <v>0</v>
      </c>
      <c r="AM37" s="280">
        <f>AK37-AJ37</f>
        <v>0</v>
      </c>
      <c r="AN37" s="2070"/>
      <c r="AO37" s="2082"/>
      <c r="AP37" s="2082"/>
      <c r="AQ37" s="2082"/>
      <c r="AR37" s="2082"/>
      <c r="AS37" s="2082"/>
      <c r="AT37" s="2082"/>
      <c r="AU37" s="2082"/>
      <c r="AV37" s="2082"/>
      <c r="AW37" s="2082"/>
      <c r="AX37" s="2082"/>
      <c r="AY37" s="2082"/>
      <c r="AZ37" s="2082"/>
      <c r="BA37" s="2082"/>
      <c r="BB37" s="2082"/>
      <c r="BC37" s="2082"/>
      <c r="BD37" s="2082"/>
      <c r="BE37" s="2082"/>
      <c r="BF37" s="2082"/>
      <c r="BG37" s="1758"/>
      <c r="BH37" s="1758"/>
      <c r="BI37" s="997" t="s">
        <v>1197</v>
      </c>
      <c r="BJ37" s="1764"/>
      <c r="BK37" s="1764"/>
      <c r="BL37" s="1757"/>
      <c r="BM37" s="1757"/>
    </row>
    <row customHeight="1" ht="14.625" hidden="1">
      <c r="A38" s="1758"/>
      <c r="B38" s="1416"/>
      <c r="C38" s="1758"/>
      <c r="D38" s="1758"/>
      <c r="E38" s="618">
        <v>15</v>
      </c>
      <c r="F38" s="50" cm="1" t="str">
        <f t="array" ref="F38:F38">OFFSET(E38,-1,1)</f>
        <v>0</v>
      </c>
      <c r="G38" s="1758"/>
      <c r="H38" s="1758"/>
      <c r="I38" s="1758"/>
      <c r="J38" s="1758"/>
      <c r="K38" s="1758"/>
      <c r="L38" s="1758"/>
      <c r="M38" s="1758"/>
      <c r="N38" s="1758"/>
      <c r="O38" s="1758"/>
      <c r="P38" s="1758"/>
      <c r="Q38" s="1758"/>
      <c r="R38" s="1758"/>
      <c r="S38" s="1758"/>
      <c r="T38" s="1758"/>
      <c r="U38" s="465" cm="1" t="str">
        <f t="array" ref="U38:U38">U37</f>
        <v>false</v>
      </c>
      <c r="V38" s="1758"/>
      <c r="W38" s="1758"/>
      <c r="X38" s="1758"/>
      <c r="Y38" s="1543"/>
      <c r="Z38" s="1565"/>
      <c r="AA38" s="1758"/>
      <c r="AB38" s="606">
        <v>2</v>
      </c>
      <c r="AC38" s="607" t="s">
        <v>1198</v>
      </c>
      <c r="AD38" s="94"/>
      <c r="AE38" s="608"/>
      <c r="AF38" s="609"/>
      <c r="AG38" s="610"/>
      <c r="AH38" s="611"/>
      <c r="AI38" s="608"/>
      <c r="AJ38" s="609"/>
      <c r="AK38" s="609"/>
      <c r="AL38" s="612"/>
      <c r="AM38" s="609"/>
      <c r="AN38" s="611"/>
      <c r="AO38" s="608"/>
      <c r="AP38" s="608"/>
      <c r="AQ38" s="608"/>
      <c r="AR38" s="608"/>
      <c r="AS38" s="608"/>
      <c r="AT38" s="608"/>
      <c r="AU38" s="608"/>
      <c r="AV38" s="608"/>
      <c r="AW38" s="608"/>
      <c r="AX38" s="608"/>
      <c r="AY38" s="608"/>
      <c r="AZ38" s="608"/>
      <c r="BA38" s="608"/>
      <c r="BB38" s="608"/>
      <c r="BC38" s="608"/>
      <c r="BD38" s="608"/>
      <c r="BE38" s="608"/>
      <c r="BF38" s="608"/>
      <c r="BG38" s="1758"/>
      <c r="BH38" s="1758"/>
      <c r="BI38" s="997" t="s">
        <v>1199</v>
      </c>
      <c r="BJ38" s="1764"/>
      <c r="BK38" s="1764"/>
      <c r="BL38" s="1757"/>
      <c r="BM38" s="1757"/>
    </row>
    <row customHeight="1" ht="21.9375" hidden="1">
      <c r="A39" s="1758"/>
      <c r="B39" s="1416"/>
      <c r="C39" s="1758"/>
      <c r="D39" s="1758"/>
      <c r="E39" s="618">
        <v>22.5</v>
      </c>
      <c r="F39" s="50" cm="1" t="str">
        <f t="array" ref="F39:F39">OFFSET(E39,-1,1)</f>
        <v>0</v>
      </c>
      <c r="G39" s="1758"/>
      <c r="H39" s="122" t="s">
        <v>1200</v>
      </c>
      <c r="I39" s="1758"/>
      <c r="J39" s="1758"/>
      <c r="K39" s="1758"/>
      <c r="L39" s="1758"/>
      <c r="M39" s="1758"/>
      <c r="N39" s="1758"/>
      <c r="O39" s="1758"/>
      <c r="P39" s="1758"/>
      <c r="Q39" s="1758"/>
      <c r="R39" s="1758"/>
      <c r="S39" s="1758"/>
      <c r="T39" s="1758"/>
      <c r="U39" s="465" cm="1" t="str">
        <f t="array" ref="U39:U39">U38</f>
        <v>false</v>
      </c>
      <c r="V39" s="1758"/>
      <c r="W39" s="1758"/>
      <c r="X39" s="1758"/>
      <c r="Y39" s="1543"/>
      <c r="Z39" s="1565"/>
      <c r="AA39" s="1758"/>
      <c r="AB39" s="220" t="s">
        <v>1201</v>
      </c>
      <c r="AC39" s="214" t="s">
        <v>1202</v>
      </c>
      <c r="AD39" s="91" t="s">
        <v>1203</v>
      </c>
      <c r="AE39" s="2094"/>
      <c r="AF39" s="2095"/>
      <c r="AG39" s="2096"/>
      <c r="AH39" s="2097"/>
      <c r="AI39" s="2094"/>
      <c r="AJ39" s="2095"/>
      <c r="AK39" s="2095"/>
      <c r="AL39" s="615">
        <f>IF(AI39&lt;&gt;0,AK39/AI39,0)</f>
        <v>0</v>
      </c>
      <c r="AM39" s="616">
        <f>AK39-AJ39</f>
        <v>0</v>
      </c>
      <c r="AN39" s="2097"/>
      <c r="AO39" s="2094"/>
      <c r="AP39" s="2094"/>
      <c r="AQ39" s="2094"/>
      <c r="AR39" s="2094"/>
      <c r="AS39" s="2094"/>
      <c r="AT39" s="2094"/>
      <c r="AU39" s="2094"/>
      <c r="AV39" s="2094"/>
      <c r="AW39" s="2094"/>
      <c r="AX39" s="2094"/>
      <c r="AY39" s="2094"/>
      <c r="AZ39" s="2094"/>
      <c r="BA39" s="2094"/>
      <c r="BB39" s="2094"/>
      <c r="BC39" s="2094"/>
      <c r="BD39" s="2094"/>
      <c r="BE39" s="2094"/>
      <c r="BF39" s="2094"/>
      <c r="BG39" s="1758"/>
      <c r="BH39" s="1758"/>
      <c r="BI39" s="997" t="s">
        <v>1204</v>
      </c>
      <c r="BJ39" s="1764"/>
      <c r="BK39" s="1764"/>
      <c r="BL39" s="1757"/>
      <c r="BM39" s="1757"/>
    </row>
    <row customHeight="1" ht="21.9375" hidden="1">
      <c r="A40" s="1758"/>
      <c r="B40" s="1416"/>
      <c r="C40" s="1758"/>
      <c r="D40" s="1758"/>
      <c r="E40" s="618">
        <v>22.5</v>
      </c>
      <c r="F40" s="50" cm="1" t="str">
        <f t="array" ref="F40:F40">OFFSET(E40,-1,1)</f>
        <v>0</v>
      </c>
      <c r="G40" s="1758"/>
      <c r="H40" s="1758"/>
      <c r="I40" s="122" cm="1" t="str">
        <f t="array" ref="I40:I40">AC40</f>
        <v>0</v>
      </c>
      <c r="J40" s="1758"/>
      <c r="K40" s="1758"/>
      <c r="L40" s="1758"/>
      <c r="M40" s="1758"/>
      <c r="N40" s="1758"/>
      <c r="O40" s="1758"/>
      <c r="P40" s="1758"/>
      <c r="Q40" s="1758"/>
      <c r="R40" s="1758"/>
      <c r="S40" s="1758"/>
      <c r="T40" s="1758"/>
      <c r="U40" s="465">
        <f>AND(F40&gt;0,--RIGHT(AB40,1)&gt;1)</f>
        <v>0</v>
      </c>
      <c r="V40" s="1758"/>
      <c r="W40" s="1758"/>
      <c r="X40" s="757" t="s">
        <v>174</v>
      </c>
      <c r="Y40" s="1543"/>
      <c r="Z40" s="1565"/>
      <c r="AA40" s="420" t="s">
        <v>175</v>
      </c>
      <c r="AB40" s="220" t="s">
        <v>1201</v>
      </c>
      <c r="AC40" s="2100"/>
      <c r="AD40" s="91" t="s">
        <v>1203</v>
      </c>
      <c r="AE40" s="2094"/>
      <c r="AF40" s="2095"/>
      <c r="AG40" s="2096"/>
      <c r="AH40" s="2097"/>
      <c r="AI40" s="2094"/>
      <c r="AJ40" s="2095"/>
      <c r="AK40" s="2095"/>
      <c r="AL40" s="615">
        <f>IF(AI40&lt;&gt;0,AK40/AI40,0)</f>
        <v>0</v>
      </c>
      <c r="AM40" s="616">
        <f>AK40-AJ40</f>
        <v>0</v>
      </c>
      <c r="AN40" s="2097"/>
      <c r="AO40" s="2094"/>
      <c r="AP40" s="2094"/>
      <c r="AQ40" s="2094"/>
      <c r="AR40" s="2094"/>
      <c r="AS40" s="2094"/>
      <c r="AT40" s="2094"/>
      <c r="AU40" s="2094"/>
      <c r="AV40" s="2094"/>
      <c r="AW40" s="2094"/>
      <c r="AX40" s="2094"/>
      <c r="AY40" s="2094"/>
      <c r="AZ40" s="2094"/>
      <c r="BA40" s="2094"/>
      <c r="BB40" s="2094"/>
      <c r="BC40" s="2094"/>
      <c r="BD40" s="2094"/>
      <c r="BE40" s="2094"/>
      <c r="BF40" s="2094"/>
      <c r="BG40" s="1758"/>
      <c r="BH40" s="1758"/>
      <c r="BI40" s="997" t="s">
        <v>1204</v>
      </c>
      <c r="BJ40" s="997" t="s">
        <v>1205</v>
      </c>
      <c r="BK40" s="997" cm="1" t="str">
        <f t="array" ref="BK40:BK40">AC40</f>
        <v>0</v>
      </c>
      <c r="BL40" s="1757"/>
      <c r="BM40" s="618" t="b">
        <v>1</v>
      </c>
    </row>
    <row customHeight="1" ht="14.625" hidden="1">
      <c r="A41" s="1758"/>
      <c r="B41" s="1416"/>
      <c r="C41" s="1758"/>
      <c r="D41" s="1758"/>
      <c r="E41" s="618">
        <v>15</v>
      </c>
      <c r="F41" s="50" cm="1" t="str">
        <f t="array" ref="F41:F41">OFFSET(E41,-1,1)</f>
        <v>0</v>
      </c>
      <c r="G41" s="1758"/>
      <c r="H41" s="1758"/>
      <c r="I41" s="1758"/>
      <c r="J41" s="1758"/>
      <c r="K41" s="1758"/>
      <c r="L41" s="1758"/>
      <c r="M41" s="1758"/>
      <c r="N41" s="1758"/>
      <c r="O41" s="1758"/>
      <c r="P41" s="1758"/>
      <c r="Q41" s="1758"/>
      <c r="R41" s="1758"/>
      <c r="S41" s="1758"/>
      <c r="T41" s="1758"/>
      <c r="U41" s="465">
        <f>F41&gt;0</f>
        <v>0</v>
      </c>
      <c r="V41" s="1758"/>
      <c r="W41" s="1758"/>
      <c r="X41" s="757" t="s">
        <v>408</v>
      </c>
      <c r="Y41" s="1543"/>
      <c r="Z41" s="1565"/>
      <c r="AA41" s="1758"/>
      <c r="AB41" s="175"/>
      <c r="AC41" s="308" t="s">
        <v>178</v>
      </c>
      <c r="AD41" s="176"/>
      <c r="AE41" s="176"/>
      <c r="AF41" s="176"/>
      <c r="AG41" s="176"/>
      <c r="AH41" s="176"/>
      <c r="AI41" s="176"/>
      <c r="AJ41" s="176"/>
      <c r="AK41" s="176"/>
      <c r="AL41" s="176"/>
      <c r="AM41" s="176"/>
      <c r="AN41" s="176"/>
      <c r="AO41" s="176"/>
      <c r="AP41" s="176"/>
      <c r="AQ41" s="176"/>
      <c r="AR41" s="176"/>
      <c r="AS41" s="176"/>
      <c r="AT41" s="176"/>
      <c r="AU41" s="176"/>
      <c r="AV41" s="176"/>
      <c r="AW41" s="176"/>
      <c r="AX41" s="176"/>
      <c r="AY41" s="176"/>
      <c r="AZ41" s="176"/>
      <c r="BA41" s="176"/>
      <c r="BB41" s="176"/>
      <c r="BC41" s="176"/>
      <c r="BD41" s="176"/>
      <c r="BE41" s="176"/>
      <c r="BF41" s="176"/>
      <c r="BG41" s="1758"/>
      <c r="BH41" s="1758"/>
      <c r="BI41" s="1764"/>
      <c r="BJ41" s="1764"/>
      <c r="BK41" s="1764"/>
      <c r="BL41" s="618" t="s">
        <v>1205</v>
      </c>
      <c r="BM41" s="1757"/>
    </row>
    <row customHeight="1" ht="21.9375" hidden="1">
      <c r="A42" s="1758"/>
      <c r="B42" s="1416"/>
      <c r="C42" s="1758"/>
      <c r="D42" s="1758"/>
      <c r="E42" s="618">
        <v>22.5</v>
      </c>
      <c r="F42" s="50" cm="1" t="str">
        <f t="array" ref="F42:F42">OFFSET(E42,-1,1)</f>
        <v>0</v>
      </c>
      <c r="G42" s="1758"/>
      <c r="H42" s="122" t="s">
        <v>1206</v>
      </c>
      <c r="I42" s="1758"/>
      <c r="J42" s="1758"/>
      <c r="K42" s="1758"/>
      <c r="L42" s="1758"/>
      <c r="M42" s="1758"/>
      <c r="N42" s="1758"/>
      <c r="O42" s="1758"/>
      <c r="P42" s="1758"/>
      <c r="Q42" s="1758"/>
      <c r="R42" s="1758"/>
      <c r="S42" s="1758"/>
      <c r="T42" s="1758"/>
      <c r="U42" s="465" cm="1" t="str">
        <f t="array" ref="U42:U42">U41</f>
        <v>false</v>
      </c>
      <c r="V42" s="1758"/>
      <c r="W42" s="1758"/>
      <c r="X42" s="1758"/>
      <c r="Y42" s="1543"/>
      <c r="Z42" s="1565"/>
      <c r="AA42" s="1758"/>
      <c r="AB42" s="598" t="s">
        <v>1207</v>
      </c>
      <c r="AC42" s="599" t="s">
        <v>1208</v>
      </c>
      <c r="AD42" s="595" t="s">
        <v>1203</v>
      </c>
      <c r="AE42" s="2104"/>
      <c r="AF42" s="2105"/>
      <c r="AG42" s="2106"/>
      <c r="AH42" s="2107"/>
      <c r="AI42" s="2104"/>
      <c r="AJ42" s="2105"/>
      <c r="AK42" s="2105"/>
      <c r="AL42" s="604">
        <f>IF(AI42&lt;&gt;0,AK42/AI42,0)</f>
        <v>0</v>
      </c>
      <c r="AM42" s="605">
        <f>AK42-AJ42</f>
        <v>0</v>
      </c>
      <c r="AN42" s="2107"/>
      <c r="AO42" s="2104"/>
      <c r="AP42" s="2104"/>
      <c r="AQ42" s="2104"/>
      <c r="AR42" s="2104"/>
      <c r="AS42" s="2104"/>
      <c r="AT42" s="2104"/>
      <c r="AU42" s="2104"/>
      <c r="AV42" s="2104"/>
      <c r="AW42" s="2104"/>
      <c r="AX42" s="2104"/>
      <c r="AY42" s="2104"/>
      <c r="AZ42" s="2104"/>
      <c r="BA42" s="2104"/>
      <c r="BB42" s="2104"/>
      <c r="BC42" s="2104"/>
      <c r="BD42" s="2104"/>
      <c r="BE42" s="2104"/>
      <c r="BF42" s="2104"/>
      <c r="BG42" s="1758"/>
      <c r="BH42" s="1758"/>
      <c r="BI42" s="997" t="s">
        <v>1209</v>
      </c>
      <c r="BJ42" s="1764"/>
      <c r="BK42" s="1764"/>
      <c r="BL42" s="1757"/>
      <c r="BM42" s="1757"/>
    </row>
    <row customHeight="1" ht="21.9375" hidden="1">
      <c r="A43" s="1758"/>
      <c r="B43" s="1416"/>
      <c r="C43" s="1758"/>
      <c r="D43" s="1758"/>
      <c r="E43" s="618">
        <v>22.5</v>
      </c>
      <c r="F43" s="50" cm="1" t="str">
        <f t="array" ref="F43:F43">OFFSET(E43,-1,1)</f>
        <v>0</v>
      </c>
      <c r="G43" s="1758"/>
      <c r="H43" s="1758"/>
      <c r="I43" s="122" cm="1" t="str">
        <f t="array" ref="I43:I43">AC43</f>
        <v>0</v>
      </c>
      <c r="J43" s="1758"/>
      <c r="K43" s="1758"/>
      <c r="L43" s="1758"/>
      <c r="M43" s="1758"/>
      <c r="N43" s="1758"/>
      <c r="O43" s="1758"/>
      <c r="P43" s="1758"/>
      <c r="Q43" s="1758"/>
      <c r="R43" s="1758"/>
      <c r="S43" s="1758"/>
      <c r="T43" s="1758"/>
      <c r="U43" s="465">
        <f>AND(F43&gt;0,--RIGHT(AB43,1)&gt;1)</f>
        <v>0</v>
      </c>
      <c r="V43" s="1758"/>
      <c r="W43" s="1758"/>
      <c r="X43" s="757" t="s">
        <v>174</v>
      </c>
      <c r="Y43" s="1543"/>
      <c r="Z43" s="1565"/>
      <c r="AA43" s="420" t="s">
        <v>175</v>
      </c>
      <c r="AB43" s="598" t="s">
        <v>1207</v>
      </c>
      <c r="AC43" s="2110"/>
      <c r="AD43" s="595" t="s">
        <v>1203</v>
      </c>
      <c r="AE43" s="2104"/>
      <c r="AF43" s="2105"/>
      <c r="AG43" s="2106"/>
      <c r="AH43" s="2107"/>
      <c r="AI43" s="2104"/>
      <c r="AJ43" s="2105"/>
      <c r="AK43" s="2105"/>
      <c r="AL43" s="604">
        <f>IF(AI43&lt;&gt;0,AK43/AI43,0)</f>
        <v>0</v>
      </c>
      <c r="AM43" s="605">
        <f>AK43-AJ43</f>
        <v>0</v>
      </c>
      <c r="AN43" s="2107"/>
      <c r="AO43" s="2104"/>
      <c r="AP43" s="2104"/>
      <c r="AQ43" s="2104"/>
      <c r="AR43" s="2104"/>
      <c r="AS43" s="2104"/>
      <c r="AT43" s="2104"/>
      <c r="AU43" s="2104"/>
      <c r="AV43" s="2104"/>
      <c r="AW43" s="2104"/>
      <c r="AX43" s="2104"/>
      <c r="AY43" s="2104"/>
      <c r="AZ43" s="2104"/>
      <c r="BA43" s="2104"/>
      <c r="BB43" s="2104"/>
      <c r="BC43" s="2104"/>
      <c r="BD43" s="2104"/>
      <c r="BE43" s="2104"/>
      <c r="BF43" s="2104"/>
      <c r="BG43" s="1758"/>
      <c r="BH43" s="1758"/>
      <c r="BI43" s="997" t="s">
        <v>1209</v>
      </c>
      <c r="BJ43" s="997" t="s">
        <v>1210</v>
      </c>
      <c r="BK43" s="997" cm="1" t="str">
        <f t="array" ref="BK43:BK43">AC43</f>
        <v>0</v>
      </c>
      <c r="BL43" s="1757"/>
      <c r="BM43" s="618" t="b">
        <v>1</v>
      </c>
    </row>
    <row customHeight="1" ht="14.625" hidden="1">
      <c r="A44" s="1758"/>
      <c r="B44" s="1416"/>
      <c r="C44" s="1758"/>
      <c r="D44" s="1758"/>
      <c r="E44" s="618">
        <v>15</v>
      </c>
      <c r="F44" s="50" cm="1" t="str">
        <f t="array" ref="F44:F44">OFFSET(E44,-1,1)</f>
        <v>0</v>
      </c>
      <c r="G44" s="1758"/>
      <c r="H44" s="1758"/>
      <c r="I44" s="1758"/>
      <c r="J44" s="1758"/>
      <c r="K44" s="1758"/>
      <c r="L44" s="1758"/>
      <c r="M44" s="1758"/>
      <c r="N44" s="1758"/>
      <c r="O44" s="1758"/>
      <c r="P44" s="1758"/>
      <c r="Q44" s="1758"/>
      <c r="R44" s="1758"/>
      <c r="S44" s="1758"/>
      <c r="T44" s="1758"/>
      <c r="U44" s="465">
        <f>F44&gt;0</f>
        <v>0</v>
      </c>
      <c r="V44" s="1758"/>
      <c r="W44" s="1758"/>
      <c r="X44" s="757" t="s">
        <v>408</v>
      </c>
      <c r="Y44" s="1543"/>
      <c r="Z44" s="1565"/>
      <c r="AA44" s="1758"/>
      <c r="AB44" s="175"/>
      <c r="AC44" s="308" t="s">
        <v>178</v>
      </c>
      <c r="AD44" s="176"/>
      <c r="AE44" s="176"/>
      <c r="AF44" s="176"/>
      <c r="AG44" s="176"/>
      <c r="AH44" s="176"/>
      <c r="AI44" s="176"/>
      <c r="AJ44" s="176"/>
      <c r="AK44" s="176"/>
      <c r="AL44" s="176"/>
      <c r="AM44" s="176"/>
      <c r="AN44" s="176"/>
      <c r="AO44" s="176"/>
      <c r="AP44" s="176"/>
      <c r="AQ44" s="176"/>
      <c r="AR44" s="176"/>
      <c r="AS44" s="176"/>
      <c r="AT44" s="176"/>
      <c r="AU44" s="176"/>
      <c r="AV44" s="176"/>
      <c r="AW44" s="176"/>
      <c r="AX44" s="176"/>
      <c r="AY44" s="176"/>
      <c r="AZ44" s="176"/>
      <c r="BA44" s="176"/>
      <c r="BB44" s="176"/>
      <c r="BC44" s="176"/>
      <c r="BD44" s="176"/>
      <c r="BE44" s="176"/>
      <c r="BF44" s="176"/>
      <c r="BG44" s="1758"/>
      <c r="BH44" s="1758"/>
      <c r="BI44" s="1764"/>
      <c r="BJ44" s="1764"/>
      <c r="BK44" s="1764"/>
      <c r="BL44" s="618" t="s">
        <v>1210</v>
      </c>
      <c r="BM44" s="1757"/>
    </row>
    <row customHeight="1" ht="21.9375" hidden="1">
      <c r="A45" s="1758"/>
      <c r="B45" s="1416"/>
      <c r="C45" s="1758"/>
      <c r="D45" s="1758"/>
      <c r="E45" s="618">
        <v>22.5</v>
      </c>
      <c r="F45" s="50" cm="1" t="str">
        <f t="array" ref="F45:F45">OFFSET(E45,-1,1)</f>
        <v>0</v>
      </c>
      <c r="G45" s="1758"/>
      <c r="H45" s="122" t="s">
        <v>1211</v>
      </c>
      <c r="I45" s="1758"/>
      <c r="J45" s="1758"/>
      <c r="K45" s="1758"/>
      <c r="L45" s="1758"/>
      <c r="M45" s="1758"/>
      <c r="N45" s="1758"/>
      <c r="O45" s="1758"/>
      <c r="P45" s="1758"/>
      <c r="Q45" s="1758"/>
      <c r="R45" s="1758"/>
      <c r="S45" s="1758"/>
      <c r="T45" s="1758"/>
      <c r="U45" s="465" cm="1" t="str">
        <f t="array" ref="U45:U45">U44</f>
        <v>false</v>
      </c>
      <c r="V45" s="1758"/>
      <c r="W45" s="1758"/>
      <c r="X45" s="1758"/>
      <c r="Y45" s="1543"/>
      <c r="Z45" s="1565"/>
      <c r="AA45" s="1758"/>
      <c r="AB45" s="123" t="s">
        <v>1212</v>
      </c>
      <c r="AC45" s="192" t="s">
        <v>1213</v>
      </c>
      <c r="AD45" s="92" t="s">
        <v>1203</v>
      </c>
      <c r="AE45" s="2069"/>
      <c r="AF45" s="2082"/>
      <c r="AG45" s="2113"/>
      <c r="AH45" s="2070"/>
      <c r="AI45" s="2069"/>
      <c r="AJ45" s="2082"/>
      <c r="AK45" s="2082"/>
      <c r="AL45" s="281">
        <f>IF(AI45&lt;&gt;0,AK45/AI45,0)</f>
        <v>0</v>
      </c>
      <c r="AM45" s="280">
        <f>AK45-AJ45</f>
        <v>0</v>
      </c>
      <c r="AN45" s="2070"/>
      <c r="AO45" s="2069"/>
      <c r="AP45" s="2069"/>
      <c r="AQ45" s="2069"/>
      <c r="AR45" s="2069"/>
      <c r="AS45" s="2069"/>
      <c r="AT45" s="2069"/>
      <c r="AU45" s="2069"/>
      <c r="AV45" s="2069"/>
      <c r="AW45" s="2069"/>
      <c r="AX45" s="2069"/>
      <c r="AY45" s="2069"/>
      <c r="AZ45" s="2069"/>
      <c r="BA45" s="2069"/>
      <c r="BB45" s="2069"/>
      <c r="BC45" s="2069"/>
      <c r="BD45" s="2069"/>
      <c r="BE45" s="2069"/>
      <c r="BF45" s="2069"/>
      <c r="BG45" s="1758"/>
      <c r="BH45" s="1758"/>
      <c r="BI45" s="997" t="s">
        <v>1214</v>
      </c>
      <c r="BJ45" s="1764"/>
      <c r="BK45" s="1764"/>
      <c r="BL45" s="1757"/>
      <c r="BM45" s="1757"/>
    </row>
    <row customHeight="1" ht="21.9375" hidden="1">
      <c r="A46" s="1758"/>
      <c r="B46" s="1416"/>
      <c r="C46" s="1758"/>
      <c r="D46" s="1758"/>
      <c r="E46" s="618">
        <v>22.5</v>
      </c>
      <c r="F46" s="50" cm="1" t="str">
        <f t="array" ref="F46:F46">OFFSET(E46,-1,1)</f>
        <v>0</v>
      </c>
      <c r="G46" s="1758"/>
      <c r="H46" s="1758"/>
      <c r="I46" s="122" cm="1" t="str">
        <f t="array" ref="I46:I46">AC46</f>
        <v>0</v>
      </c>
      <c r="J46" s="1758"/>
      <c r="K46" s="1758"/>
      <c r="L46" s="1758"/>
      <c r="M46" s="1758"/>
      <c r="N46" s="1758"/>
      <c r="O46" s="1758"/>
      <c r="P46" s="1758"/>
      <c r="Q46" s="1758"/>
      <c r="R46" s="1758"/>
      <c r="S46" s="1758"/>
      <c r="T46" s="1758"/>
      <c r="U46" s="465">
        <f>AND(F46&gt;0,--RIGHT(AB46,1)&gt;1)</f>
        <v>0</v>
      </c>
      <c r="V46" s="1758"/>
      <c r="W46" s="1758"/>
      <c r="X46" s="757" t="s">
        <v>174</v>
      </c>
      <c r="Y46" s="1543"/>
      <c r="Z46" s="1565"/>
      <c r="AA46" s="420" t="s">
        <v>175</v>
      </c>
      <c r="AB46" s="123" t="s">
        <v>1212</v>
      </c>
      <c r="AC46" s="2114"/>
      <c r="AD46" s="92" t="s">
        <v>1203</v>
      </c>
      <c r="AE46" s="2069"/>
      <c r="AF46" s="2082"/>
      <c r="AG46" s="2113"/>
      <c r="AH46" s="2070"/>
      <c r="AI46" s="2069"/>
      <c r="AJ46" s="2082"/>
      <c r="AK46" s="2082"/>
      <c r="AL46" s="281">
        <f>IF(AI46&lt;&gt;0,AK46/AI46,0)</f>
        <v>0</v>
      </c>
      <c r="AM46" s="280">
        <f>AK46-AJ46</f>
        <v>0</v>
      </c>
      <c r="AN46" s="2070"/>
      <c r="AO46" s="2069"/>
      <c r="AP46" s="2069"/>
      <c r="AQ46" s="2069"/>
      <c r="AR46" s="2069"/>
      <c r="AS46" s="2069"/>
      <c r="AT46" s="2069"/>
      <c r="AU46" s="2069"/>
      <c r="AV46" s="2069"/>
      <c r="AW46" s="2069"/>
      <c r="AX46" s="2069"/>
      <c r="AY46" s="2069"/>
      <c r="AZ46" s="2069"/>
      <c r="BA46" s="2069"/>
      <c r="BB46" s="2069"/>
      <c r="BC46" s="2069"/>
      <c r="BD46" s="2069"/>
      <c r="BE46" s="2069"/>
      <c r="BF46" s="2069"/>
      <c r="BG46" s="1758"/>
      <c r="BH46" s="1758"/>
      <c r="BI46" s="997" t="s">
        <v>1214</v>
      </c>
      <c r="BJ46" s="997" t="s">
        <v>1215</v>
      </c>
      <c r="BK46" s="997" cm="1" t="str">
        <f t="array" ref="BK46:BK46">AC46</f>
        <v>0</v>
      </c>
      <c r="BL46" s="1757"/>
      <c r="BM46" s="618" t="b">
        <v>1</v>
      </c>
    </row>
    <row customHeight="1" ht="14.625" hidden="1">
      <c r="A47" s="1758"/>
      <c r="B47" s="1416"/>
      <c r="C47" s="1758"/>
      <c r="D47" s="1758"/>
      <c r="E47" s="618">
        <v>15</v>
      </c>
      <c r="F47" s="50" cm="1" t="str">
        <f t="array" ref="F47:F47">OFFSET(E47,-1,1)</f>
        <v>0</v>
      </c>
      <c r="G47" s="1758"/>
      <c r="H47" s="1758"/>
      <c r="I47" s="1758"/>
      <c r="J47" s="1758"/>
      <c r="K47" s="1758"/>
      <c r="L47" s="1758"/>
      <c r="M47" s="1758"/>
      <c r="N47" s="1758"/>
      <c r="O47" s="1758"/>
      <c r="P47" s="1758"/>
      <c r="Q47" s="1758"/>
      <c r="R47" s="1758"/>
      <c r="S47" s="1758"/>
      <c r="T47" s="1758"/>
      <c r="U47" s="465">
        <f>F47&gt;0</f>
        <v>0</v>
      </c>
      <c r="V47" s="1758"/>
      <c r="W47" s="1758"/>
      <c r="X47" s="757" t="s">
        <v>408</v>
      </c>
      <c r="Y47" s="1543"/>
      <c r="Z47" s="1565"/>
      <c r="AA47" s="1758"/>
      <c r="AB47" s="175"/>
      <c r="AC47" s="308" t="s">
        <v>178</v>
      </c>
      <c r="AD47" s="176"/>
      <c r="AE47" s="176"/>
      <c r="AF47" s="176"/>
      <c r="AG47" s="176"/>
      <c r="AH47" s="176"/>
      <c r="AI47" s="176"/>
      <c r="AJ47" s="176"/>
      <c r="AK47" s="176"/>
      <c r="AL47" s="176"/>
      <c r="AM47" s="176"/>
      <c r="AN47" s="176"/>
      <c r="AO47" s="176"/>
      <c r="AP47" s="176"/>
      <c r="AQ47" s="176"/>
      <c r="AR47" s="176"/>
      <c r="AS47" s="176"/>
      <c r="AT47" s="176"/>
      <c r="AU47" s="176"/>
      <c r="AV47" s="176"/>
      <c r="AW47" s="176"/>
      <c r="AX47" s="176"/>
      <c r="AY47" s="176"/>
      <c r="AZ47" s="176"/>
      <c r="BA47" s="176"/>
      <c r="BB47" s="176"/>
      <c r="BC47" s="176"/>
      <c r="BD47" s="176"/>
      <c r="BE47" s="176"/>
      <c r="BF47" s="176"/>
      <c r="BG47" s="1758"/>
      <c r="BH47" s="1758"/>
      <c r="BI47" s="1764"/>
      <c r="BJ47" s="1764"/>
      <c r="BK47" s="1764"/>
      <c r="BL47" s="618" t="s">
        <v>1215</v>
      </c>
      <c r="BM47" s="1757"/>
    </row>
    <row customHeight="1" ht="21.9375" hidden="1">
      <c r="A48" s="1758"/>
      <c r="B48" s="1416"/>
      <c r="C48" s="1758"/>
      <c r="D48" s="1758"/>
      <c r="E48" s="618">
        <v>22.5</v>
      </c>
      <c r="F48" s="50" cm="1" t="str">
        <f t="array" ref="F48:F48">OFFSET(E48,-1,1)</f>
        <v>0</v>
      </c>
      <c r="G48" s="1758"/>
      <c r="H48" s="122" t="s">
        <v>1216</v>
      </c>
      <c r="I48" s="1758"/>
      <c r="J48" s="1758"/>
      <c r="K48" s="1758"/>
      <c r="L48" s="1758"/>
      <c r="M48" s="1758"/>
      <c r="N48" s="1758"/>
      <c r="O48" s="1758"/>
      <c r="P48" s="1758"/>
      <c r="Q48" s="1758"/>
      <c r="R48" s="1758"/>
      <c r="S48" s="1758"/>
      <c r="T48" s="1758"/>
      <c r="U48" s="465" cm="1" t="str">
        <f t="array" ref="U48:U48">U47</f>
        <v>false</v>
      </c>
      <c r="V48" s="1758"/>
      <c r="W48" s="1758"/>
      <c r="X48" s="1758"/>
      <c r="Y48" s="1543"/>
      <c r="Z48" s="1565"/>
      <c r="AA48" s="1758"/>
      <c r="AB48" s="123" t="s">
        <v>1217</v>
      </c>
      <c r="AC48" s="192" t="s">
        <v>1218</v>
      </c>
      <c r="AD48" s="92" t="s">
        <v>1203</v>
      </c>
      <c r="AE48" s="2069"/>
      <c r="AF48" s="2082"/>
      <c r="AG48" s="2113"/>
      <c r="AH48" s="2070"/>
      <c r="AI48" s="2069"/>
      <c r="AJ48" s="2082"/>
      <c r="AK48" s="2082"/>
      <c r="AL48" s="281">
        <f>IF(AI48&lt;&gt;0,AK48/AI48,0)</f>
        <v>0</v>
      </c>
      <c r="AM48" s="280">
        <f>AK48-AJ48</f>
        <v>0</v>
      </c>
      <c r="AN48" s="2070"/>
      <c r="AO48" s="2069"/>
      <c r="AP48" s="2069"/>
      <c r="AQ48" s="2069"/>
      <c r="AR48" s="2069"/>
      <c r="AS48" s="2069"/>
      <c r="AT48" s="2069"/>
      <c r="AU48" s="2069"/>
      <c r="AV48" s="2069"/>
      <c r="AW48" s="2069"/>
      <c r="AX48" s="2069"/>
      <c r="AY48" s="2069"/>
      <c r="AZ48" s="2069"/>
      <c r="BA48" s="2069"/>
      <c r="BB48" s="2069"/>
      <c r="BC48" s="2069"/>
      <c r="BD48" s="2069"/>
      <c r="BE48" s="2069"/>
      <c r="BF48" s="2069"/>
      <c r="BG48" s="1758"/>
      <c r="BH48" s="1758"/>
      <c r="BI48" s="997" t="s">
        <v>1219</v>
      </c>
      <c r="BJ48" s="1764"/>
      <c r="BK48" s="1764"/>
      <c r="BL48" s="1757"/>
      <c r="BM48" s="1757"/>
    </row>
    <row customHeight="1" ht="21.9375" hidden="1">
      <c r="A49" s="1758"/>
      <c r="B49" s="1416"/>
      <c r="C49" s="1758"/>
      <c r="D49" s="1758"/>
      <c r="E49" s="618">
        <v>22.5</v>
      </c>
      <c r="F49" s="50" cm="1" t="str">
        <f t="array" ref="F49:F49">OFFSET(E49,-1,1)</f>
        <v>0</v>
      </c>
      <c r="G49" s="1758"/>
      <c r="H49" s="1758"/>
      <c r="I49" s="122" cm="1" t="str">
        <f t="array" ref="I49:I49">AC49</f>
        <v>0</v>
      </c>
      <c r="J49" s="1758"/>
      <c r="K49" s="1758"/>
      <c r="L49" s="1758"/>
      <c r="M49" s="1758"/>
      <c r="N49" s="1758"/>
      <c r="O49" s="1758"/>
      <c r="P49" s="1758"/>
      <c r="Q49" s="1758"/>
      <c r="R49" s="1758"/>
      <c r="S49" s="1758"/>
      <c r="T49" s="1758"/>
      <c r="U49" s="465">
        <f>AND(F49&gt;0,--RIGHT(AB49,1)&gt;1)</f>
        <v>0</v>
      </c>
      <c r="V49" s="1758"/>
      <c r="W49" s="1758"/>
      <c r="X49" s="757" t="s">
        <v>174</v>
      </c>
      <c r="Y49" s="1543"/>
      <c r="Z49" s="1565"/>
      <c r="AA49" s="420" t="s">
        <v>175</v>
      </c>
      <c r="AB49" s="123" t="s">
        <v>1217</v>
      </c>
      <c r="AC49" s="2114"/>
      <c r="AD49" s="92" t="s">
        <v>1203</v>
      </c>
      <c r="AE49" s="2069"/>
      <c r="AF49" s="2082"/>
      <c r="AG49" s="2113"/>
      <c r="AH49" s="2070"/>
      <c r="AI49" s="2069"/>
      <c r="AJ49" s="2082"/>
      <c r="AK49" s="2082"/>
      <c r="AL49" s="281">
        <f>IF(AI49&lt;&gt;0,AK49/AI49,0)</f>
        <v>0</v>
      </c>
      <c r="AM49" s="280">
        <f>AK49-AJ49</f>
        <v>0</v>
      </c>
      <c r="AN49" s="2070"/>
      <c r="AO49" s="2069"/>
      <c r="AP49" s="2069"/>
      <c r="AQ49" s="2069"/>
      <c r="AR49" s="2069"/>
      <c r="AS49" s="2069"/>
      <c r="AT49" s="2069"/>
      <c r="AU49" s="2069"/>
      <c r="AV49" s="2069"/>
      <c r="AW49" s="2069"/>
      <c r="AX49" s="2069"/>
      <c r="AY49" s="2069"/>
      <c r="AZ49" s="2069"/>
      <c r="BA49" s="2069"/>
      <c r="BB49" s="2069"/>
      <c r="BC49" s="2069"/>
      <c r="BD49" s="2069"/>
      <c r="BE49" s="2069"/>
      <c r="BF49" s="2069"/>
      <c r="BG49" s="1758"/>
      <c r="BH49" s="1758"/>
      <c r="BI49" s="997" t="s">
        <v>1219</v>
      </c>
      <c r="BJ49" s="997" t="s">
        <v>1220</v>
      </c>
      <c r="BK49" s="997" cm="1" t="str">
        <f t="array" ref="BK49:BK49">AC49</f>
        <v>0</v>
      </c>
      <c r="BL49" s="1757"/>
      <c r="BM49" s="618" t="b">
        <v>1</v>
      </c>
    </row>
    <row customHeight="1" ht="14.625" hidden="1">
      <c r="A50" s="1758"/>
      <c r="B50" s="1416"/>
      <c r="C50" s="1758"/>
      <c r="D50" s="1758"/>
      <c r="E50" s="618">
        <v>15</v>
      </c>
      <c r="F50" s="50" cm="1" t="str">
        <f t="array" ref="F50:F50">OFFSET(E50,-1,1)</f>
        <v>0</v>
      </c>
      <c r="G50" s="1758"/>
      <c r="H50" s="1758"/>
      <c r="I50" s="1758"/>
      <c r="J50" s="1758"/>
      <c r="K50" s="1758"/>
      <c r="L50" s="1758"/>
      <c r="M50" s="1758"/>
      <c r="N50" s="1758"/>
      <c r="O50" s="1758"/>
      <c r="P50" s="1758"/>
      <c r="Q50" s="1758"/>
      <c r="R50" s="1758"/>
      <c r="S50" s="1758"/>
      <c r="T50" s="1758"/>
      <c r="U50" s="465">
        <f>F50&gt;0</f>
        <v>0</v>
      </c>
      <c r="V50" s="1758"/>
      <c r="W50" s="1758"/>
      <c r="X50" s="757" t="s">
        <v>408</v>
      </c>
      <c r="Y50" s="1543"/>
      <c r="Z50" s="1565"/>
      <c r="AA50" s="1758"/>
      <c r="AB50" s="175"/>
      <c r="AC50" s="308" t="s">
        <v>178</v>
      </c>
      <c r="AD50" s="176"/>
      <c r="AE50" s="176"/>
      <c r="AF50" s="176"/>
      <c r="AG50" s="176"/>
      <c r="AH50" s="176"/>
      <c r="AI50" s="176"/>
      <c r="AJ50" s="176"/>
      <c r="AK50" s="176"/>
      <c r="AL50" s="176"/>
      <c r="AM50" s="176"/>
      <c r="AN50" s="176"/>
      <c r="AO50" s="176"/>
      <c r="AP50" s="176"/>
      <c r="AQ50" s="176"/>
      <c r="AR50" s="176"/>
      <c r="AS50" s="176"/>
      <c r="AT50" s="176"/>
      <c r="AU50" s="176"/>
      <c r="AV50" s="176"/>
      <c r="AW50" s="176"/>
      <c r="AX50" s="176"/>
      <c r="AY50" s="176"/>
      <c r="AZ50" s="176"/>
      <c r="BA50" s="176"/>
      <c r="BB50" s="176"/>
      <c r="BC50" s="176"/>
      <c r="BD50" s="176"/>
      <c r="BE50" s="176"/>
      <c r="BF50" s="176"/>
      <c r="BG50" s="1758"/>
      <c r="BH50" s="1758"/>
      <c r="BI50" s="1764"/>
      <c r="BJ50" s="1764"/>
      <c r="BK50" s="1764"/>
      <c r="BL50" s="618" t="s">
        <v>1220</v>
      </c>
      <c r="BM50" s="1757"/>
    </row>
    <row customHeight="1" ht="14.625" hidden="1">
      <c r="A51" s="1758"/>
      <c r="B51" s="1416"/>
      <c r="C51" s="1758"/>
      <c r="D51" s="1758"/>
      <c r="E51" s="618">
        <v>15</v>
      </c>
      <c r="F51" s="50" cm="1" t="str">
        <f t="array" ref="F51:F51">OFFSET(E51,-1,1)</f>
        <v>0</v>
      </c>
      <c r="G51" s="1758"/>
      <c r="H51" s="122" t="s">
        <v>336</v>
      </c>
      <c r="I51" s="1758"/>
      <c r="J51" s="1758"/>
      <c r="K51" s="1758"/>
      <c r="L51" s="1758"/>
      <c r="M51" s="1758"/>
      <c r="N51" s="1758"/>
      <c r="O51" s="1758"/>
      <c r="P51" s="1758"/>
      <c r="Q51" s="1758"/>
      <c r="R51" s="1758"/>
      <c r="S51" s="1758"/>
      <c r="T51" s="1758"/>
      <c r="U51" s="465" cm="1" t="str">
        <f t="array" ref="U51:U51">U50</f>
        <v>false</v>
      </c>
      <c r="V51" s="1758"/>
      <c r="W51" s="1758"/>
      <c r="X51" s="1758"/>
      <c r="Y51" s="1543"/>
      <c r="Z51" s="1565"/>
      <c r="AA51" s="1758"/>
      <c r="AB51" s="133">
        <v>3</v>
      </c>
      <c r="AC51" s="139" t="s">
        <v>1221</v>
      </c>
      <c r="AD51" s="136" t="s">
        <v>1170</v>
      </c>
      <c r="AE51" s="2069"/>
      <c r="AF51" s="2082"/>
      <c r="AG51" s="2113"/>
      <c r="AH51" s="2070"/>
      <c r="AI51" s="2069"/>
      <c r="AJ51" s="2082"/>
      <c r="AK51" s="2082"/>
      <c r="AL51" s="281">
        <f>IF(AI51&lt;&gt;0,AK51/AI51,0)</f>
        <v>0</v>
      </c>
      <c r="AM51" s="280">
        <f>AK51-AJ51</f>
        <v>0</v>
      </c>
      <c r="AN51" s="2070"/>
      <c r="AO51" s="2069"/>
      <c r="AP51" s="2069"/>
      <c r="AQ51" s="2069"/>
      <c r="AR51" s="2069"/>
      <c r="AS51" s="2069"/>
      <c r="AT51" s="2069"/>
      <c r="AU51" s="2069"/>
      <c r="AV51" s="2069"/>
      <c r="AW51" s="2069"/>
      <c r="AX51" s="2069"/>
      <c r="AY51" s="2069"/>
      <c r="AZ51" s="2069"/>
      <c r="BA51" s="2069"/>
      <c r="BB51" s="2069"/>
      <c r="BC51" s="2069"/>
      <c r="BD51" s="2069"/>
      <c r="BE51" s="2069"/>
      <c r="BF51" s="2069"/>
      <c r="BG51" s="1758"/>
      <c r="BH51" s="1758"/>
      <c r="BI51" s="997" t="s">
        <v>1222</v>
      </c>
      <c r="BJ51" s="1764"/>
      <c r="BK51" s="1764"/>
      <c r="BL51" s="1757"/>
      <c r="BM51" s="1757"/>
    </row>
    <row customHeight="1" ht="14.625" hidden="1">
      <c r="A52" s="1758"/>
      <c r="B52" s="1416"/>
      <c r="C52" s="1758"/>
      <c r="D52" s="1758"/>
      <c r="E52" s="618">
        <v>15</v>
      </c>
      <c r="F52" s="50" cm="1" t="str">
        <f t="array" ref="F52:F52">OFFSET(E52,-1,1)</f>
        <v>0</v>
      </c>
      <c r="G52" s="1758"/>
      <c r="H52" s="122" t="s">
        <v>335</v>
      </c>
      <c r="I52" s="1758"/>
      <c r="J52" s="1758"/>
      <c r="K52" s="1758"/>
      <c r="L52" s="1758"/>
      <c r="M52" s="1758"/>
      <c r="N52" s="1758"/>
      <c r="O52" s="1758"/>
      <c r="P52" s="1758"/>
      <c r="Q52" s="1758"/>
      <c r="R52" s="1758"/>
      <c r="S52" s="1758"/>
      <c r="T52" s="1758"/>
      <c r="U52" s="465" cm="1" t="str">
        <f t="array" ref="U52:U52">U51</f>
        <v>false</v>
      </c>
      <c r="V52" s="1758"/>
      <c r="W52" s="1758"/>
      <c r="X52" s="1758"/>
      <c r="Y52" s="1543"/>
      <c r="Z52" s="1565"/>
      <c r="AA52" s="1758"/>
      <c r="AB52" s="133">
        <v>4</v>
      </c>
      <c r="AC52" s="139" t="s">
        <v>1223</v>
      </c>
      <c r="AD52" s="136" t="s">
        <v>1170</v>
      </c>
      <c r="AE52" s="2069"/>
      <c r="AF52" s="2082"/>
      <c r="AG52" s="2113"/>
      <c r="AH52" s="2070"/>
      <c r="AI52" s="2069"/>
      <c r="AJ52" s="2082"/>
      <c r="AK52" s="2082"/>
      <c r="AL52" s="281">
        <f>IF(AI52&lt;&gt;0,AK52/AI52,0)</f>
        <v>0</v>
      </c>
      <c r="AM52" s="280">
        <f>AK52-AJ52</f>
        <v>0</v>
      </c>
      <c r="AN52" s="2070"/>
      <c r="AO52" s="2069"/>
      <c r="AP52" s="2069"/>
      <c r="AQ52" s="2069"/>
      <c r="AR52" s="2069"/>
      <c r="AS52" s="2069"/>
      <c r="AT52" s="2069"/>
      <c r="AU52" s="2069"/>
      <c r="AV52" s="2069"/>
      <c r="AW52" s="2069"/>
      <c r="AX52" s="2069"/>
      <c r="AY52" s="2069"/>
      <c r="AZ52" s="2069"/>
      <c r="BA52" s="2069"/>
      <c r="BB52" s="2069"/>
      <c r="BC52" s="2069"/>
      <c r="BD52" s="2069"/>
      <c r="BE52" s="2069"/>
      <c r="BF52" s="2069"/>
      <c r="BG52" s="1758"/>
      <c r="BH52" s="1758"/>
      <c r="BI52" s="997" t="s">
        <v>1224</v>
      </c>
      <c r="BJ52" s="1764"/>
      <c r="BK52" s="1764"/>
      <c r="BL52" s="1757"/>
      <c r="BM52" s="1757"/>
    </row>
    <row customHeight="1" ht="14.625" hidden="1">
      <c r="A53" s="1758"/>
      <c r="B53" s="1416"/>
      <c r="C53" s="1758"/>
      <c r="D53" s="1758"/>
      <c r="E53" s="618">
        <v>15</v>
      </c>
      <c r="F53" s="50" cm="1" t="str">
        <f t="array" ref="F53:F53">OFFSET(E53,-1,1)</f>
        <v>0</v>
      </c>
      <c r="G53" s="1758"/>
      <c r="H53" s="122" t="s">
        <v>1225</v>
      </c>
      <c r="I53" s="1758"/>
      <c r="J53" s="1758"/>
      <c r="K53" s="1758"/>
      <c r="L53" s="1758"/>
      <c r="M53" s="1758"/>
      <c r="N53" s="1758"/>
      <c r="O53" s="1758"/>
      <c r="P53" s="1758"/>
      <c r="Q53" s="1758"/>
      <c r="R53" s="1758"/>
      <c r="S53" s="1758"/>
      <c r="T53" s="1758"/>
      <c r="U53" s="465" cm="1" t="str">
        <f t="array" ref="U53:U53">U52</f>
        <v>false</v>
      </c>
      <c r="V53" s="1758"/>
      <c r="W53" s="1758"/>
      <c r="X53" s="1758"/>
      <c r="Y53" s="1543"/>
      <c r="Z53" s="1565"/>
      <c r="AA53" s="1758"/>
      <c r="AB53" s="123" t="s">
        <v>443</v>
      </c>
      <c r="AC53" s="138" t="s">
        <v>1226</v>
      </c>
      <c r="AD53" s="136"/>
      <c r="AE53" s="2113"/>
      <c r="AF53" s="2113"/>
      <c r="AG53" s="2113"/>
      <c r="AH53" s="2117"/>
      <c r="AI53" s="2113"/>
      <c r="AJ53" s="2113"/>
      <c r="AK53" s="2113"/>
      <c r="AL53" s="281">
        <f>IF(AI53&lt;&gt;0,AK53/AI53,0)</f>
        <v>0</v>
      </c>
      <c r="AM53" s="280">
        <f>AK53-AJ53</f>
        <v>0</v>
      </c>
      <c r="AN53" s="2117"/>
      <c r="AO53" s="2113"/>
      <c r="AP53" s="2113"/>
      <c r="AQ53" s="2113"/>
      <c r="AR53" s="2113"/>
      <c r="AS53" s="2113"/>
      <c r="AT53" s="2113"/>
      <c r="AU53" s="2113"/>
      <c r="AV53" s="2113"/>
      <c r="AW53" s="2113"/>
      <c r="AX53" s="2113"/>
      <c r="AY53" s="2113"/>
      <c r="AZ53" s="2113"/>
      <c r="BA53" s="2113"/>
      <c r="BB53" s="2113"/>
      <c r="BC53" s="2113"/>
      <c r="BD53" s="2113"/>
      <c r="BE53" s="2113"/>
      <c r="BF53" s="2113"/>
      <c r="BG53" s="1758"/>
      <c r="BH53" s="1758"/>
      <c r="BI53" s="997" t="s">
        <v>1227</v>
      </c>
      <c r="BJ53" s="1764"/>
      <c r="BK53" s="1764"/>
      <c r="BL53" s="1757"/>
      <c r="BM53" s="1757"/>
    </row>
    <row customHeight="1" ht="14.625" hidden="1">
      <c r="A54" s="1758"/>
      <c r="B54" s="1416"/>
      <c r="C54" s="1758"/>
      <c r="D54" s="1758"/>
      <c r="E54" s="618">
        <v>15</v>
      </c>
      <c r="F54" s="50" cm="1" t="str">
        <f t="array" ref="F54:F54">OFFSET(E54,-1,1)</f>
        <v>0</v>
      </c>
      <c r="G54" s="1758"/>
      <c r="H54" s="122" t="s">
        <v>1228</v>
      </c>
      <c r="I54" s="1758"/>
      <c r="J54" s="1758"/>
      <c r="K54" s="1758"/>
      <c r="L54" s="1758"/>
      <c r="M54" s="1758"/>
      <c r="N54" s="1758"/>
      <c r="O54" s="1758"/>
      <c r="P54" s="1758"/>
      <c r="Q54" s="1758"/>
      <c r="R54" s="1758"/>
      <c r="S54" s="1758"/>
      <c r="T54" s="1758"/>
      <c r="U54" s="465" cm="1" t="str">
        <f t="array" ref="U54:U54">U53</f>
        <v>false</v>
      </c>
      <c r="V54" s="1758"/>
      <c r="W54" s="1758"/>
      <c r="X54" s="1758"/>
      <c r="Y54" s="1543"/>
      <c r="Z54" s="1565"/>
      <c r="AA54" s="1758"/>
      <c r="AB54" s="123" t="s">
        <v>446</v>
      </c>
      <c r="AC54" s="137" t="s">
        <v>1229</v>
      </c>
      <c r="AD54" s="136"/>
      <c r="AE54" s="2113"/>
      <c r="AF54" s="2113"/>
      <c r="AG54" s="2113"/>
      <c r="AH54" s="2117"/>
      <c r="AI54" s="2113"/>
      <c r="AJ54" s="2113"/>
      <c r="AK54" s="2113"/>
      <c r="AL54" s="281">
        <f>IF(AI54&lt;&gt;0,AK54/AI54,0)</f>
        <v>0</v>
      </c>
      <c r="AM54" s="280">
        <f>AK54-AJ54</f>
        <v>0</v>
      </c>
      <c r="AN54" s="2117"/>
      <c r="AO54" s="2113"/>
      <c r="AP54" s="2113"/>
      <c r="AQ54" s="2113"/>
      <c r="AR54" s="2113"/>
      <c r="AS54" s="2113"/>
      <c r="AT54" s="2113"/>
      <c r="AU54" s="2113"/>
      <c r="AV54" s="2113"/>
      <c r="AW54" s="2113"/>
      <c r="AX54" s="2113"/>
      <c r="AY54" s="2113"/>
      <c r="AZ54" s="2113"/>
      <c r="BA54" s="2113"/>
      <c r="BB54" s="2113"/>
      <c r="BC54" s="2113"/>
      <c r="BD54" s="2113"/>
      <c r="BE54" s="2113"/>
      <c r="BF54" s="2113"/>
      <c r="BG54" s="1758"/>
      <c r="BH54" s="1758"/>
      <c r="BI54" s="997" t="s">
        <v>1230</v>
      </c>
      <c r="BJ54" s="1764"/>
      <c r="BK54" s="1764"/>
      <c r="BL54" s="1757"/>
      <c r="BM54" s="1757"/>
    </row>
    <row s="2118" customFormat="1" customHeight="1" ht="14.25">
      <c r="A55" s="1446"/>
      <c r="B55" s="429"/>
      <c r="C55" s="1446"/>
      <c r="D55" s="1446"/>
      <c r="E55" s="630">
        <v>15</v>
      </c>
      <c r="F55" s="749" cm="1" t="str">
        <f t="array" ref="F55:F55">Y55</f>
        <v>1</v>
      </c>
      <c r="G55" s="1446"/>
      <c r="H55" s="1446"/>
      <c r="I55" s="1446"/>
      <c r="J55" s="1446"/>
      <c r="K55" s="1446"/>
      <c r="L55" s="1446"/>
      <c r="M55" s="1446"/>
      <c r="N55" s="1446"/>
      <c r="O55" s="1446"/>
      <c r="P55" s="1446"/>
      <c r="Q55" s="1446"/>
      <c r="R55" s="1446"/>
      <c r="S55" s="1446"/>
      <c r="T55" s="1446"/>
      <c r="U55" s="465">
        <f>Y55&gt;0</f>
        <v>1</v>
      </c>
      <c r="V55" s="1446"/>
      <c r="W55" s="144" cm="1" t="str">
        <f t="array" ref="W55:W55">'Список объектов'!$AB$30</f>
        <v>Тариф 1 (Водоснабжение) - тариф на питьевую воду (Доп. признак не требуется)</v>
      </c>
      <c r="X55" s="1446"/>
      <c r="Y55" s="1543" t="s">
        <v>276</v>
      </c>
      <c r="Z55" s="1565"/>
      <c r="AA55" s="1446"/>
      <c r="AB55" s="183" cm="1" t="str">
        <f t="array" ref="AB55:AB55">'Список объектов'!$AB$30</f>
        <v>Тариф 1 (Водоснабжение) - тариф на питьевую воду (Доп. признак не требуется)</v>
      </c>
      <c r="AC55" s="180"/>
      <c r="AD55" s="174"/>
      <c r="AE55" s="174"/>
      <c r="AF55" s="174"/>
      <c r="AG55" s="174"/>
      <c r="AH55" s="174"/>
      <c r="AI55" s="174"/>
      <c r="AJ55" s="174"/>
      <c r="AK55" s="174"/>
      <c r="AL55" s="174"/>
      <c r="AM55" s="174"/>
      <c r="AN55" s="174"/>
      <c r="AO55" s="174"/>
      <c r="AP55" s="174"/>
      <c r="AQ55" s="174"/>
      <c r="AR55" s="174"/>
      <c r="AS55" s="174"/>
      <c r="AT55" s="174"/>
      <c r="AU55" s="174"/>
      <c r="AV55" s="174"/>
      <c r="AW55" s="174"/>
      <c r="AX55" s="174"/>
      <c r="AY55" s="174"/>
      <c r="AZ55" s="174"/>
      <c r="BA55" s="174"/>
      <c r="BB55" s="174"/>
      <c r="BC55" s="174"/>
      <c r="BD55" s="174"/>
      <c r="BE55" s="174"/>
      <c r="BF55" s="174"/>
      <c r="BG55" s="1446"/>
      <c r="BH55" s="1446"/>
      <c r="BI55" s="1013"/>
      <c r="BJ55" s="1013"/>
      <c r="BK55" s="1013"/>
      <c r="BL55" s="630"/>
      <c r="BM55" s="630"/>
    </row>
    <row s="1834" customFormat="1" customHeight="1" ht="14.25">
      <c r="A56" s="1758"/>
      <c r="B56" s="1416"/>
      <c r="C56" s="1758"/>
      <c r="D56" s="1758"/>
      <c r="E56" s="618">
        <v>15</v>
      </c>
      <c r="F56" s="50" cm="1" t="str">
        <f t="array" ref="F56:F56">OFFSET(E56,-1,1)</f>
        <v>1</v>
      </c>
      <c r="G56" s="122" t="s">
        <v>1172</v>
      </c>
      <c r="H56" s="1758"/>
      <c r="I56" s="1758"/>
      <c r="J56" s="1758"/>
      <c r="K56" s="1758"/>
      <c r="L56" s="1758"/>
      <c r="M56" s="1758"/>
      <c r="N56" s="1758"/>
      <c r="O56" s="1758"/>
      <c r="P56" s="1758"/>
      <c r="Q56" s="1758"/>
      <c r="R56" s="1758"/>
      <c r="S56" s="1758"/>
      <c r="T56" s="1758"/>
      <c r="U56" s="465" cm="1" t="str">
        <f t="array" ref="U56:U56">U55</f>
        <v>true</v>
      </c>
      <c r="V56" s="1758"/>
      <c r="W56" s="1758"/>
      <c r="X56" s="1758"/>
      <c r="Y56" s="1543"/>
      <c r="Z56" s="1565"/>
      <c r="AA56" s="1758"/>
      <c r="AB56" s="270"/>
      <c r="AC56" s="271" t="s">
        <v>1173</v>
      </c>
      <c r="AD56" s="272"/>
      <c r="AE56" s="272"/>
      <c r="AF56" s="272"/>
      <c r="AG56" s="272"/>
      <c r="AH56" s="272"/>
      <c r="AI56" s="305">
        <f>(1-AI57/100)*(1+AI58/100)*(1+AI60/100)</f>
        <v>1</v>
      </c>
      <c r="AJ56" s="305">
        <f>(1-AJ57/100)*(1+AJ58/100)*(1+AJ60/100)</f>
        <v>1.051</v>
      </c>
      <c r="AK56" s="305">
        <f>(1-AK57/100)*(1+AK58/100)*(1+AK60/100)</f>
        <v>1.051</v>
      </c>
      <c r="AL56" s="272"/>
      <c r="AM56" s="272"/>
      <c r="AN56" s="272"/>
      <c r="AO56" s="305">
        <f>(1-AO57/100)*(1+AO58/100)*(1+AO60/100)</f>
        <v>1.0296</v>
      </c>
      <c r="AP56" s="305">
        <f>(1-AP57/100)*(1+AP58/100)*(1+AP60/100)</f>
        <v>1.0296</v>
      </c>
      <c r="AQ56" s="305">
        <f>(1-AQ57/100)*(1+AQ58/100)*(1+AQ60/100)</f>
        <v>1.0296</v>
      </c>
      <c r="AR56" s="305">
        <f>(1-AR57/100)*(1+AR58/100)*(1+AR60/100)</f>
        <v>1.0296</v>
      </c>
      <c r="AS56" s="305">
        <f>(1-AS57/100)*(1+AS58/100)*(1+AS60/100)</f>
        <v>1</v>
      </c>
      <c r="AT56" s="305">
        <f>(1-AT57/100)*(1+AT58/100)*(1+AT60/100)</f>
        <v>1</v>
      </c>
      <c r="AU56" s="305">
        <f>(1-AU57/100)*(1+AU58/100)*(1+AU60/100)</f>
        <v>1</v>
      </c>
      <c r="AV56" s="305">
        <f>(1-AV57/100)*(1+AV58/100)*(1+AV60/100)</f>
        <v>1</v>
      </c>
      <c r="AW56" s="305">
        <f>(1-AW57/100)*(1+AW58/100)*(1+AW60/100)</f>
        <v>1</v>
      </c>
      <c r="AX56" s="305">
        <f>(1-AX57/100)*(1+AX58/100)*(1+AX60/100)</f>
        <v>1.0296</v>
      </c>
      <c r="AY56" s="305">
        <f>(1-AY57/100)*(1+AY58/100)*(1+AY60/100)</f>
        <v>1.0296</v>
      </c>
      <c r="AZ56" s="305">
        <f>(1-AZ57/100)*(1+AZ58/100)*(1+AZ60/100)</f>
        <v>1.0296</v>
      </c>
      <c r="BA56" s="305">
        <f>(1-BA57/100)*(1+BA58/100)*(1+BA60/100)</f>
        <v>1.0296</v>
      </c>
      <c r="BB56" s="305">
        <f>(1-BB57/100)*(1+BB58/100)*(1+BB60/100)</f>
        <v>1</v>
      </c>
      <c r="BC56" s="305">
        <f>(1-BC57/100)*(1+BC58/100)*(1+BC60/100)</f>
        <v>1</v>
      </c>
      <c r="BD56" s="305">
        <f>(1-BD57/100)*(1+BD58/100)*(1+BD60/100)</f>
        <v>1</v>
      </c>
      <c r="BE56" s="305">
        <f>(1-BE57/100)*(1+BE58/100)*(1+BE60/100)</f>
        <v>1</v>
      </c>
      <c r="BF56" s="305">
        <f>(1-BF57/100)*(1+BF58/100)*(1+BF60/100)</f>
        <v>1</v>
      </c>
      <c r="BG56" s="1758"/>
      <c r="BH56" s="1758"/>
      <c r="BI56" s="1764"/>
      <c r="BJ56" s="1764"/>
      <c r="BK56" s="1764"/>
      <c r="BL56" s="1757"/>
      <c r="BM56" s="1757"/>
    </row>
    <row s="1834" customFormat="1" customHeight="1" ht="21.75">
      <c r="A57" s="1758"/>
      <c r="B57" s="446">
        <f>method_reg&lt;&gt;"Метод экономически обоснованных расходов"</f>
        <v>1</v>
      </c>
      <c r="C57" s="1758"/>
      <c r="D57" s="1758"/>
      <c r="E57" s="618">
        <v>22.5</v>
      </c>
      <c r="F57" s="50" cm="1" t="str">
        <f t="array" ref="F57:F57">OFFSET(E57,-1,1)</f>
        <v>1</v>
      </c>
      <c r="G57" s="122" t="s">
        <v>1174</v>
      </c>
      <c r="H57" s="122" t="s">
        <v>1175</v>
      </c>
      <c r="I57" s="1758"/>
      <c r="J57" s="1758"/>
      <c r="K57" s="1758"/>
      <c r="L57" s="1758"/>
      <c r="M57" s="1758"/>
      <c r="N57" s="1758"/>
      <c r="O57" s="1758"/>
      <c r="P57" s="1758"/>
      <c r="Q57" s="1758"/>
      <c r="R57" s="1758"/>
      <c r="S57" s="1758"/>
      <c r="T57" s="1758"/>
      <c r="U57" s="465" cm="1" t="str">
        <f t="array" ref="U57:U57">U56</f>
        <v>true</v>
      </c>
      <c r="V57" s="1758"/>
      <c r="W57" s="1758"/>
      <c r="X57" s="1758"/>
      <c r="Y57" s="1543"/>
      <c r="Z57" s="1565"/>
      <c r="AA57" s="1758"/>
      <c r="AB57" s="133">
        <v>1</v>
      </c>
      <c r="AC57" s="134" t="s">
        <v>1176</v>
      </c>
      <c r="AD57" s="136" t="s">
        <v>1170</v>
      </c>
      <c r="AE57" s="276"/>
      <c r="AF57" s="276"/>
      <c r="AG57" s="276"/>
      <c r="AH57" s="200"/>
      <c r="AI57" s="276"/>
      <c r="AJ57" s="276"/>
      <c r="AK57" s="276"/>
      <c r="AL57" s="281">
        <f>IF(AI57&lt;&gt;0,AK57/AI57,0)</f>
        <v>0</v>
      </c>
      <c r="AM57" s="280">
        <f>AK57-AJ57</f>
        <v>0</v>
      </c>
      <c r="AN57" s="200"/>
      <c r="AO57" s="276">
        <v>1</v>
      </c>
      <c r="AP57" s="276">
        <v>1</v>
      </c>
      <c r="AQ57" s="276">
        <v>1</v>
      </c>
      <c r="AR57" s="276">
        <v>1</v>
      </c>
      <c r="AS57" s="2069"/>
      <c r="AT57" s="2069"/>
      <c r="AU57" s="2069"/>
      <c r="AV57" s="2069"/>
      <c r="AW57" s="2069"/>
      <c r="AX57" s="276">
        <v>1</v>
      </c>
      <c r="AY57" s="276">
        <v>1</v>
      </c>
      <c r="AZ57" s="276">
        <v>1</v>
      </c>
      <c r="BA57" s="276">
        <v>1</v>
      </c>
      <c r="BB57" s="2069"/>
      <c r="BC57" s="2069"/>
      <c r="BD57" s="2069"/>
      <c r="BE57" s="2069"/>
      <c r="BF57" s="2069"/>
      <c r="BG57" s="1758"/>
      <c r="BH57" s="1758"/>
      <c r="BI57" s="997" t="s">
        <v>1177</v>
      </c>
      <c r="BJ57" s="1764"/>
      <c r="BK57" s="1764"/>
      <c r="BL57" s="1757"/>
      <c r="BM57" s="1757"/>
    </row>
    <row s="1834" customFormat="1" customHeight="1" ht="159.75">
      <c r="A58" s="1758"/>
      <c r="B58" s="1416"/>
      <c r="C58" s="1758"/>
      <c r="D58" s="1758"/>
      <c r="E58" s="618">
        <v>15</v>
      </c>
      <c r="F58" s="50" cm="1" t="str">
        <f t="array" ref="F58:F58">OFFSET(E58,-1,1)</f>
        <v>1</v>
      </c>
      <c r="G58" s="122" t="s">
        <v>1178</v>
      </c>
      <c r="H58" s="122" t="s">
        <v>1179</v>
      </c>
      <c r="I58" s="1758"/>
      <c r="J58" s="1758"/>
      <c r="K58" s="1758"/>
      <c r="L58" s="1758"/>
      <c r="M58" s="1758"/>
      <c r="N58" s="1758"/>
      <c r="O58" s="1758"/>
      <c r="P58" s="1758"/>
      <c r="Q58" s="1758"/>
      <c r="R58" s="1758"/>
      <c r="S58" s="1758"/>
      <c r="T58" s="1758"/>
      <c r="U58" s="465" cm="1" t="str">
        <f t="array" ref="U58:U58">U57</f>
        <v>true</v>
      </c>
      <c r="V58" s="1758"/>
      <c r="W58" s="1758"/>
      <c r="X58" s="1758"/>
      <c r="Y58" s="1543"/>
      <c r="Z58" s="1565"/>
      <c r="AA58" s="1758"/>
      <c r="AB58" s="133">
        <f>IF(B57,2,1)</f>
        <v>2</v>
      </c>
      <c r="AC58" s="135" t="s">
        <v>1180</v>
      </c>
      <c r="AD58" s="136" t="s">
        <v>1170</v>
      </c>
      <c r="AE58" s="276"/>
      <c r="AF58" s="276"/>
      <c r="AG58" s="276"/>
      <c r="AH58" s="200"/>
      <c r="AI58" s="276"/>
      <c r="AJ58" s="276">
        <v>5.1</v>
      </c>
      <c r="AK58" s="276">
        <v>5.1</v>
      </c>
      <c r="AL58" s="281">
        <f>IF(AI58&lt;&gt;0,AK58/AI58,0)</f>
        <v>0</v>
      </c>
      <c r="AM58" s="280">
        <f>AK58-AJ58</f>
        <v>0</v>
      </c>
      <c r="AN58" s="200" t="s">
        <v>1231</v>
      </c>
      <c r="AO58" s="276">
        <v>4</v>
      </c>
      <c r="AP58" s="276">
        <v>4</v>
      </c>
      <c r="AQ58" s="276">
        <v>4</v>
      </c>
      <c r="AR58" s="276">
        <v>4</v>
      </c>
      <c r="AS58" s="2069"/>
      <c r="AT58" s="2069"/>
      <c r="AU58" s="2069"/>
      <c r="AV58" s="2069"/>
      <c r="AW58" s="2069"/>
      <c r="AX58" s="276">
        <v>4</v>
      </c>
      <c r="AY58" s="276">
        <v>4</v>
      </c>
      <c r="AZ58" s="276">
        <v>4</v>
      </c>
      <c r="BA58" s="276">
        <v>4</v>
      </c>
      <c r="BB58" s="2069"/>
      <c r="BC58" s="2069"/>
      <c r="BD58" s="2069"/>
      <c r="BE58" s="2069"/>
      <c r="BF58" s="2069"/>
      <c r="BG58" s="1758"/>
      <c r="BH58" s="1758"/>
      <c r="BI58" s="997" t="s">
        <v>1181</v>
      </c>
      <c r="BJ58" s="1764"/>
      <c r="BK58" s="1764"/>
      <c r="BL58" s="1757"/>
      <c r="BM58" s="1757"/>
    </row>
    <row s="1834" customFormat="1" customHeight="1" ht="14.25">
      <c r="A59" s="1758"/>
      <c r="B59" s="1416"/>
      <c r="C59" s="1758"/>
      <c r="D59" s="1758"/>
      <c r="E59" s="618">
        <v>15</v>
      </c>
      <c r="F59" s="50" cm="1" t="str">
        <f t="array" ref="F59:F59">OFFSET(E59,-1,1)</f>
        <v>1</v>
      </c>
      <c r="G59" s="1758"/>
      <c r="H59" s="122" t="s">
        <v>1182</v>
      </c>
      <c r="I59" s="1758"/>
      <c r="J59" s="1758"/>
      <c r="K59" s="1758"/>
      <c r="L59" s="1758"/>
      <c r="M59" s="1758"/>
      <c r="N59" s="1758"/>
      <c r="O59" s="1758"/>
      <c r="P59" s="1758"/>
      <c r="Q59" s="1758"/>
      <c r="R59" s="1758"/>
      <c r="S59" s="1758"/>
      <c r="T59" s="1758"/>
      <c r="U59" s="465" cm="1" t="str">
        <f t="array" ref="U59:U59">U58</f>
        <v>true</v>
      </c>
      <c r="V59" s="1758"/>
      <c r="W59" s="1758"/>
      <c r="X59" s="1758"/>
      <c r="Y59" s="1543"/>
      <c r="Z59" s="1565"/>
      <c r="AA59" s="1758"/>
      <c r="AB59" s="133">
        <f>AB58+1</f>
        <v>3</v>
      </c>
      <c r="AC59" s="137" t="s">
        <v>1183</v>
      </c>
      <c r="AD59" s="136" t="s">
        <v>1170</v>
      </c>
      <c r="AE59" s="276"/>
      <c r="AF59" s="276"/>
      <c r="AG59" s="276"/>
      <c r="AH59" s="200"/>
      <c r="AI59" s="276"/>
      <c r="AJ59" s="276">
        <v>13.2</v>
      </c>
      <c r="AK59" s="276">
        <v>13.2</v>
      </c>
      <c r="AL59" s="281">
        <f>IF(AI59&lt;&gt;0,AK59/AI59,0)</f>
        <v>0</v>
      </c>
      <c r="AM59" s="280">
        <f>AK59-AJ59</f>
        <v>0</v>
      </c>
      <c r="AN59" s="200"/>
      <c r="AO59" s="276">
        <v>9.1</v>
      </c>
      <c r="AP59" s="276">
        <v>4.9</v>
      </c>
      <c r="AQ59" s="276">
        <v>4.9</v>
      </c>
      <c r="AR59" s="276">
        <v>4.9</v>
      </c>
      <c r="AS59" s="2069"/>
      <c r="AT59" s="2069"/>
      <c r="AU59" s="2069"/>
      <c r="AV59" s="2069"/>
      <c r="AW59" s="2069"/>
      <c r="AX59" s="276">
        <v>9.1</v>
      </c>
      <c r="AY59" s="276">
        <v>4.9</v>
      </c>
      <c r="AZ59" s="276">
        <v>4.9</v>
      </c>
      <c r="BA59" s="276">
        <v>4.9</v>
      </c>
      <c r="BB59" s="2069"/>
      <c r="BC59" s="2069"/>
      <c r="BD59" s="2069"/>
      <c r="BE59" s="2069"/>
      <c r="BF59" s="2069"/>
      <c r="BG59" s="1758"/>
      <c r="BH59" s="1758"/>
      <c r="BI59" s="997" t="s">
        <v>1184</v>
      </c>
      <c r="BJ59" s="1764"/>
      <c r="BK59" s="1764"/>
      <c r="BL59" s="1757"/>
      <c r="BM59" s="1757"/>
    </row>
    <row s="1834" customFormat="1" customHeight="1" ht="14.25">
      <c r="A60" s="1758"/>
      <c r="B60" s="446">
        <f>method_reg&lt;&gt;"Метод экономически обоснованных расходов"</f>
        <v>1</v>
      </c>
      <c r="C60" s="1758"/>
      <c r="D60" s="1758"/>
      <c r="E60" s="618">
        <v>15</v>
      </c>
      <c r="F60" s="50" cm="1" t="str">
        <f t="array" ref="F60:F60">OFFSET(E60,-1,1)</f>
        <v>1</v>
      </c>
      <c r="G60" s="122" t="s">
        <v>1185</v>
      </c>
      <c r="H60" s="122" t="s">
        <v>1186</v>
      </c>
      <c r="I60" s="1758"/>
      <c r="J60" s="1758"/>
      <c r="K60" s="1758"/>
      <c r="L60" s="1758"/>
      <c r="M60" s="1758"/>
      <c r="N60" s="1758"/>
      <c r="O60" s="1758"/>
      <c r="P60" s="1758"/>
      <c r="Q60" s="1758"/>
      <c r="R60" s="1758"/>
      <c r="S60" s="1758"/>
      <c r="T60" s="1758"/>
      <c r="U60" s="465" cm="1" t="str">
        <f t="array" ref="U60:U60">U59</f>
        <v>true</v>
      </c>
      <c r="V60" s="1758"/>
      <c r="W60" s="1758"/>
      <c r="X60" s="1758"/>
      <c r="Y60" s="1543"/>
      <c r="Z60" s="1565"/>
      <c r="AA60" s="1758"/>
      <c r="AB60" s="133">
        <v>4</v>
      </c>
      <c r="AC60" s="135" t="s">
        <v>1187</v>
      </c>
      <c r="AD60" s="136" t="s">
        <v>1170</v>
      </c>
      <c r="AE60" s="276"/>
      <c r="AF60" s="276"/>
      <c r="AG60" s="276"/>
      <c r="AH60" s="200"/>
      <c r="AI60" s="276"/>
      <c r="AJ60" s="276"/>
      <c r="AK60" s="276"/>
      <c r="AL60" s="281">
        <f>IF(AI60&lt;&gt;0,AK60/AI60,0)</f>
        <v>0</v>
      </c>
      <c r="AM60" s="280">
        <f>AK60-AJ60</f>
        <v>0</v>
      </c>
      <c r="AN60" s="200"/>
      <c r="AO60" s="276"/>
      <c r="AP60" s="276"/>
      <c r="AQ60" s="276"/>
      <c r="AR60" s="276"/>
      <c r="AS60" s="2069"/>
      <c r="AT60" s="2069"/>
      <c r="AU60" s="2069"/>
      <c r="AV60" s="2069"/>
      <c r="AW60" s="2069"/>
      <c r="AX60" s="276"/>
      <c r="AY60" s="276"/>
      <c r="AZ60" s="276"/>
      <c r="BA60" s="276"/>
      <c r="BB60" s="2069"/>
      <c r="BC60" s="2069"/>
      <c r="BD60" s="2069"/>
      <c r="BE60" s="2069"/>
      <c r="BF60" s="2069"/>
      <c r="BG60" s="1758"/>
      <c r="BH60" s="1758"/>
      <c r="BI60" s="997" t="s">
        <v>1188</v>
      </c>
      <c r="BJ60" s="1764"/>
      <c r="BK60" s="1764"/>
      <c r="BL60" s="1757"/>
      <c r="BM60" s="1757"/>
    </row>
    <row s="1806" customFormat="1" customHeight="1" ht="14.25">
      <c r="A61" s="149"/>
      <c r="B61" s="447"/>
      <c r="C61" s="149"/>
      <c r="D61" s="149"/>
      <c r="E61" s="676">
        <v>15</v>
      </c>
      <c r="F61" s="374" cm="1" t="str">
        <f t="array" ref="F61:F61">OFFSET(E61,-1,1)</f>
        <v>1</v>
      </c>
      <c r="G61" s="149"/>
      <c r="H61" s="149"/>
      <c r="I61" s="149"/>
      <c r="J61" s="149"/>
      <c r="K61" s="149"/>
      <c r="L61" s="149"/>
      <c r="M61" s="149"/>
      <c r="N61" s="149"/>
      <c r="O61" s="149"/>
      <c r="P61" s="149"/>
      <c r="Q61" s="149"/>
      <c r="R61" s="149"/>
      <c r="S61" s="149"/>
      <c r="T61" s="149"/>
      <c r="U61" s="465" cm="1" t="str">
        <f t="array" ref="U61:U61">U60</f>
        <v>true</v>
      </c>
      <c r="V61" s="149"/>
      <c r="W61" s="149"/>
      <c r="X61" s="149"/>
      <c r="Y61" s="1543"/>
      <c r="Z61" s="1565"/>
      <c r="AA61" s="149"/>
      <c r="AB61" s="133">
        <v>5</v>
      </c>
      <c r="AC61" s="135" t="s">
        <v>1189</v>
      </c>
      <c r="AD61" s="136" t="s">
        <v>1170</v>
      </c>
      <c r="AE61" s="276"/>
      <c r="AF61" s="276"/>
      <c r="AG61" s="276"/>
      <c r="AH61" s="200"/>
      <c r="AI61" s="276"/>
      <c r="AJ61" s="276"/>
      <c r="AK61" s="276"/>
      <c r="AL61" s="281">
        <f>IF(AI61&lt;&gt;0,AK61/AI61,0)</f>
        <v>0</v>
      </c>
      <c r="AM61" s="280">
        <f>AK61-AJ61</f>
        <v>0</v>
      </c>
      <c r="AN61" s="200"/>
      <c r="AO61" s="276"/>
      <c r="AP61" s="276"/>
      <c r="AQ61" s="276"/>
      <c r="AR61" s="276"/>
      <c r="AS61" s="2069"/>
      <c r="AT61" s="2069"/>
      <c r="AU61" s="2069"/>
      <c r="AV61" s="2069"/>
      <c r="AW61" s="2069"/>
      <c r="AX61" s="276"/>
      <c r="AY61" s="276"/>
      <c r="AZ61" s="276"/>
      <c r="BA61" s="276"/>
      <c r="BB61" s="2069"/>
      <c r="BC61" s="2069"/>
      <c r="BD61" s="2069"/>
      <c r="BE61" s="2069"/>
      <c r="BF61" s="2069"/>
      <c r="BG61" s="149"/>
      <c r="BH61" s="149"/>
      <c r="BI61" s="1038" t="s">
        <v>1190</v>
      </c>
      <c r="BJ61" s="1038"/>
      <c r="BK61" s="1038"/>
      <c r="BL61" s="676"/>
      <c r="BM61" s="676"/>
    </row>
    <row s="1834" customFormat="1" customHeight="1" ht="14.25">
      <c r="A62" s="1758"/>
      <c r="B62" s="1416"/>
      <c r="C62" s="1758"/>
      <c r="D62" s="1758"/>
      <c r="E62" s="618">
        <v>15</v>
      </c>
      <c r="F62" s="50" cm="1" t="str">
        <f t="array" ref="F62:F62">OFFSET(E62,-1,1)</f>
        <v>1</v>
      </c>
      <c r="G62" s="1758"/>
      <c r="H62" s="1758"/>
      <c r="I62" s="1758"/>
      <c r="J62" s="1758"/>
      <c r="K62" s="1758"/>
      <c r="L62" s="1758"/>
      <c r="M62" s="1758"/>
      <c r="N62" s="1758"/>
      <c r="O62" s="1758"/>
      <c r="P62" s="1758"/>
      <c r="Q62" s="1758"/>
      <c r="R62" s="1758"/>
      <c r="S62" s="1758"/>
      <c r="T62" s="1758"/>
      <c r="U62" s="465" cm="1" t="str">
        <f t="array" ref="U62:U62">U60</f>
        <v>true</v>
      </c>
      <c r="V62" s="1758"/>
      <c r="W62" s="1758"/>
      <c r="X62" s="1758"/>
      <c r="Y62" s="1543"/>
      <c r="Z62" s="1565"/>
      <c r="AA62" s="1758"/>
      <c r="AB62" s="270"/>
      <c r="AC62" s="271" t="s">
        <v>1191</v>
      </c>
      <c r="AD62" s="272"/>
      <c r="AE62" s="277"/>
      <c r="AF62" s="277"/>
      <c r="AG62" s="277"/>
      <c r="AH62" s="272"/>
      <c r="AI62" s="277"/>
      <c r="AJ62" s="277"/>
      <c r="AK62" s="277"/>
      <c r="AL62" s="282"/>
      <c r="AM62" s="277"/>
      <c r="AN62" s="272"/>
      <c r="AO62" s="277"/>
      <c r="AP62" s="277"/>
      <c r="AQ62" s="277"/>
      <c r="AR62" s="277"/>
      <c r="AS62" s="277"/>
      <c r="AT62" s="277"/>
      <c r="AU62" s="277"/>
      <c r="AV62" s="277"/>
      <c r="AW62" s="277"/>
      <c r="AX62" s="277"/>
      <c r="AY62" s="277"/>
      <c r="AZ62" s="277"/>
      <c r="BA62" s="277"/>
      <c r="BB62" s="277"/>
      <c r="BC62" s="277"/>
      <c r="BD62" s="277"/>
      <c r="BE62" s="277"/>
      <c r="BF62" s="283"/>
      <c r="BG62" s="1758"/>
      <c r="BH62" s="1758"/>
      <c r="BI62" s="1764"/>
      <c r="BJ62" s="1764"/>
      <c r="BK62" s="1764"/>
      <c r="BL62" s="1757"/>
      <c r="BM62" s="1757"/>
    </row>
    <row s="1834" customFormat="1" customHeight="1" ht="54.75">
      <c r="A63" s="1758"/>
      <c r="B63" s="1416"/>
      <c r="C63" s="1758"/>
      <c r="D63" s="1758"/>
      <c r="E63" s="618">
        <v>15</v>
      </c>
      <c r="F63" s="50" cm="1" t="str">
        <f t="array" ref="F63:F63">OFFSET(E63,-1,1)</f>
        <v>1</v>
      </c>
      <c r="G63" s="122" t="s">
        <v>1192</v>
      </c>
      <c r="H63" s="122" t="s">
        <v>1193</v>
      </c>
      <c r="I63" s="1758"/>
      <c r="J63" s="1758"/>
      <c r="K63" s="1758"/>
      <c r="L63" s="1758"/>
      <c r="M63" s="1758"/>
      <c r="N63" s="1758"/>
      <c r="O63" s="1758"/>
      <c r="P63" s="1758"/>
      <c r="Q63" s="1758"/>
      <c r="R63" s="1758"/>
      <c r="S63" s="1758"/>
      <c r="T63" s="1758"/>
      <c r="U63" s="465" cm="1" t="str">
        <f t="array" ref="U63:U63">U62</f>
        <v>true</v>
      </c>
      <c r="V63" s="1758"/>
      <c r="W63" s="1758"/>
      <c r="X63" s="1758"/>
      <c r="Y63" s="1543"/>
      <c r="Z63" s="1565"/>
      <c r="AA63" s="1758"/>
      <c r="AB63" s="133">
        <v>1</v>
      </c>
      <c r="AC63" s="135" t="s">
        <v>1194</v>
      </c>
      <c r="AD63" s="136" t="s">
        <v>1170</v>
      </c>
      <c r="AE63" s="278"/>
      <c r="AF63" s="278"/>
      <c r="AG63" s="278"/>
      <c r="AH63" s="200"/>
      <c r="AI63" s="278"/>
      <c r="AJ63" s="278">
        <v>30.2</v>
      </c>
      <c r="AK63" s="278">
        <v>30.2</v>
      </c>
      <c r="AL63" s="281">
        <f>IF(AI63&lt;&gt;0,AK63/AI63,0)</f>
        <v>0</v>
      </c>
      <c r="AM63" s="280">
        <f>AK63-AJ63</f>
        <v>0</v>
      </c>
      <c r="AN63" s="200" t="s">
        <v>1232</v>
      </c>
      <c r="AO63" s="278">
        <v>30.2</v>
      </c>
      <c r="AP63" s="278">
        <v>30.2</v>
      </c>
      <c r="AQ63" s="278">
        <v>30.2</v>
      </c>
      <c r="AR63" s="278">
        <v>30.2</v>
      </c>
      <c r="AS63" s="2082"/>
      <c r="AT63" s="2082"/>
      <c r="AU63" s="2082"/>
      <c r="AV63" s="2082"/>
      <c r="AW63" s="2082"/>
      <c r="AX63" s="278">
        <v>30.2</v>
      </c>
      <c r="AY63" s="278">
        <v>30.2</v>
      </c>
      <c r="AZ63" s="278">
        <v>30.2</v>
      </c>
      <c r="BA63" s="278">
        <v>30.2</v>
      </c>
      <c r="BB63" s="2082"/>
      <c r="BC63" s="2082"/>
      <c r="BD63" s="2082"/>
      <c r="BE63" s="2082"/>
      <c r="BF63" s="2082"/>
      <c r="BG63" s="1758"/>
      <c r="BH63" s="1758"/>
      <c r="BI63" s="997" t="s">
        <v>1195</v>
      </c>
      <c r="BJ63" s="1764"/>
      <c r="BK63" s="1764"/>
      <c r="BL63" s="1757"/>
      <c r="BM63" s="1757"/>
    </row>
    <row s="1834" customFormat="1" customHeight="1" ht="15" hidden="1">
      <c r="A64" s="1758"/>
      <c r="B64" s="1416"/>
      <c r="C64" s="1758"/>
      <c r="D64" s="1758"/>
      <c r="E64" s="618">
        <v>0</v>
      </c>
      <c r="F64" s="50" cm="1" t="str">
        <f t="array" ref="F64:F64">OFFSET(E64,-1,1)</f>
        <v>1</v>
      </c>
      <c r="G64" s="1758"/>
      <c r="H64" s="122" t="s">
        <v>1196</v>
      </c>
      <c r="I64" s="1758"/>
      <c r="J64" s="1758"/>
      <c r="K64" s="1758"/>
      <c r="L64" s="1758"/>
      <c r="M64" s="1758"/>
      <c r="N64" s="1758"/>
      <c r="O64" s="1758"/>
      <c r="P64" s="1758"/>
      <c r="Q64" s="1758"/>
      <c r="R64" s="1758"/>
      <c r="S64" s="1758"/>
      <c r="T64" s="1758"/>
      <c r="U64" s="465" cm="1" t="str">
        <f t="array" ref="U64:U64">U63</f>
        <v>true</v>
      </c>
      <c r="V64" s="1758"/>
      <c r="W64" s="1758"/>
      <c r="X64" s="1758"/>
      <c r="Y64" s="1543"/>
      <c r="Z64" s="1565"/>
      <c r="AA64" s="1758"/>
      <c r="AB64" s="133">
        <v>2</v>
      </c>
      <c r="AC64" s="135" t="s">
        <v>1169</v>
      </c>
      <c r="AD64" s="136" t="s">
        <v>1170</v>
      </c>
      <c r="AE64" s="2082"/>
      <c r="AF64" s="2069"/>
      <c r="AG64" s="2082"/>
      <c r="AH64" s="2070"/>
      <c r="AI64" s="2082"/>
      <c r="AJ64" s="2082"/>
      <c r="AK64" s="2082"/>
      <c r="AL64" s="281">
        <f>IF(AI64&lt;&gt;0,AK64/AI64,0)</f>
        <v>0</v>
      </c>
      <c r="AM64" s="280">
        <f>AK64-AJ64</f>
        <v>0</v>
      </c>
      <c r="AN64" s="2070"/>
      <c r="AO64" s="2082"/>
      <c r="AP64" s="2082"/>
      <c r="AQ64" s="2082"/>
      <c r="AR64" s="2082"/>
      <c r="AS64" s="2082"/>
      <c r="AT64" s="2082"/>
      <c r="AU64" s="2082"/>
      <c r="AV64" s="2082"/>
      <c r="AW64" s="2082"/>
      <c r="AX64" s="2082"/>
      <c r="AY64" s="2082"/>
      <c r="AZ64" s="2082"/>
      <c r="BA64" s="2082"/>
      <c r="BB64" s="2082"/>
      <c r="BC64" s="2082"/>
      <c r="BD64" s="2082"/>
      <c r="BE64" s="2082"/>
      <c r="BF64" s="2082"/>
      <c r="BG64" s="1758"/>
      <c r="BH64" s="1758"/>
      <c r="BI64" s="997" t="s">
        <v>1197</v>
      </c>
      <c r="BJ64" s="1764"/>
      <c r="BK64" s="1764"/>
      <c r="BL64" s="1757"/>
      <c r="BM64" s="1757"/>
    </row>
    <row s="1834" customFormat="1" customHeight="1" ht="14.25">
      <c r="A65" s="1758"/>
      <c r="B65" s="1416"/>
      <c r="C65" s="1758"/>
      <c r="D65" s="1758"/>
      <c r="E65" s="618">
        <v>15</v>
      </c>
      <c r="F65" s="50" cm="1" t="str">
        <f t="array" ref="F65:F65">OFFSET(E65,-1,1)</f>
        <v>1</v>
      </c>
      <c r="G65" s="1758"/>
      <c r="H65" s="1758"/>
      <c r="I65" s="1758"/>
      <c r="J65" s="1758"/>
      <c r="K65" s="1758"/>
      <c r="L65" s="1758"/>
      <c r="M65" s="1758"/>
      <c r="N65" s="1758"/>
      <c r="O65" s="1758"/>
      <c r="P65" s="1758"/>
      <c r="Q65" s="1758"/>
      <c r="R65" s="1758"/>
      <c r="S65" s="1758"/>
      <c r="T65" s="1758"/>
      <c r="U65" s="465" cm="1" t="str">
        <f t="array" ref="U65:U65">U64</f>
        <v>true</v>
      </c>
      <c r="V65" s="1758"/>
      <c r="W65" s="1758"/>
      <c r="X65" s="1758"/>
      <c r="Y65" s="1543"/>
      <c r="Z65" s="1565"/>
      <c r="AA65" s="1758"/>
      <c r="AB65" s="606">
        <v>2</v>
      </c>
      <c r="AC65" s="607" t="s">
        <v>1198</v>
      </c>
      <c r="AD65" s="94"/>
      <c r="AE65" s="608"/>
      <c r="AF65" s="609"/>
      <c r="AG65" s="610"/>
      <c r="AH65" s="611"/>
      <c r="AI65" s="608"/>
      <c r="AJ65" s="609"/>
      <c r="AK65" s="609"/>
      <c r="AL65" s="612"/>
      <c r="AM65" s="609"/>
      <c r="AN65" s="611"/>
      <c r="AO65" s="608"/>
      <c r="AP65" s="608"/>
      <c r="AQ65" s="608"/>
      <c r="AR65" s="608"/>
      <c r="AS65" s="608"/>
      <c r="AT65" s="608"/>
      <c r="AU65" s="608"/>
      <c r="AV65" s="608"/>
      <c r="AW65" s="608"/>
      <c r="AX65" s="608"/>
      <c r="AY65" s="608"/>
      <c r="AZ65" s="608"/>
      <c r="BA65" s="608"/>
      <c r="BB65" s="608"/>
      <c r="BC65" s="608"/>
      <c r="BD65" s="608"/>
      <c r="BE65" s="608"/>
      <c r="BF65" s="608"/>
      <c r="BG65" s="1758"/>
      <c r="BH65" s="1758"/>
      <c r="BI65" s="997" t="s">
        <v>1199</v>
      </c>
      <c r="BJ65" s="1764"/>
      <c r="BK65" s="1764"/>
      <c r="BL65" s="1757"/>
      <c r="BM65" s="1757"/>
    </row>
    <row s="1834" customFormat="1" customHeight="1" ht="54.75">
      <c r="A66" s="1758"/>
      <c r="B66" s="1416"/>
      <c r="C66" s="1758"/>
      <c r="D66" s="1758"/>
      <c r="E66" s="618">
        <v>22.5</v>
      </c>
      <c r="F66" s="50" cm="1" t="str">
        <f t="array" ref="F66:F66">OFFSET(E66,-1,1)</f>
        <v>1</v>
      </c>
      <c r="G66" s="1758"/>
      <c r="H66" s="122" t="s">
        <v>1200</v>
      </c>
      <c r="I66" s="1758"/>
      <c r="J66" s="1758"/>
      <c r="K66" s="1758"/>
      <c r="L66" s="1758"/>
      <c r="M66" s="1758"/>
      <c r="N66" s="1758"/>
      <c r="O66" s="1758"/>
      <c r="P66" s="1758"/>
      <c r="Q66" s="1758"/>
      <c r="R66" s="1758"/>
      <c r="S66" s="1758"/>
      <c r="T66" s="1758"/>
      <c r="U66" s="465" cm="1" t="str">
        <f t="array" ref="U66:U66">U65</f>
        <v>true</v>
      </c>
      <c r="V66" s="1758"/>
      <c r="W66" s="1758"/>
      <c r="X66" s="1758"/>
      <c r="Y66" s="1543"/>
      <c r="Z66" s="1565"/>
      <c r="AA66" s="1758"/>
      <c r="AB66" s="220" t="s">
        <v>1201</v>
      </c>
      <c r="AC66" s="214" t="s">
        <v>1202</v>
      </c>
      <c r="AD66" s="91" t="s">
        <v>1203</v>
      </c>
      <c r="AE66" s="307"/>
      <c r="AF66" s="613"/>
      <c r="AG66" s="614"/>
      <c r="AH66" s="309"/>
      <c r="AI66" s="307"/>
      <c r="AJ66" s="613">
        <v>342.6</v>
      </c>
      <c r="AK66" s="613">
        <v>342.6</v>
      </c>
      <c r="AL66" s="615">
        <f>IF(AI66&lt;&gt;0,AK66/AI66,0)</f>
        <v>0</v>
      </c>
      <c r="AM66" s="616">
        <f>AK66-AJ66</f>
        <v>0</v>
      </c>
      <c r="AN66" s="309" t="s">
        <v>1233</v>
      </c>
      <c r="AO66" s="307">
        <f>AK66*1.04</f>
        <v>356.304</v>
      </c>
      <c r="AP66" s="307">
        <f>AO66*1.04</f>
        <v>370.55616</v>
      </c>
      <c r="AQ66" s="307">
        <f>AP66*1.04</f>
        <v>385.3784064</v>
      </c>
      <c r="AR66" s="307">
        <f>AQ66*1.04</f>
        <v>400.793542656</v>
      </c>
      <c r="AS66" s="2094"/>
      <c r="AT66" s="2094"/>
      <c r="AU66" s="2094"/>
      <c r="AV66" s="2094"/>
      <c r="AW66" s="2094"/>
      <c r="AX66" s="307" cm="1" t="str">
        <f t="array" ref="AX66:AX66">AO66</f>
        <v>356.304</v>
      </c>
      <c r="AY66" s="307" cm="1" t="str">
        <f t="array" ref="AY66:AY66">AP66</f>
        <v>370.55616</v>
      </c>
      <c r="AZ66" s="307" cm="1" t="str">
        <f t="array" ref="AZ66:AZ66">AQ66</f>
        <v>385.3784064</v>
      </c>
      <c r="BA66" s="307" cm="1" t="str">
        <f t="array" ref="BA66:BA66">AR66</f>
        <v>400.793542656</v>
      </c>
      <c r="BB66" s="2094"/>
      <c r="BC66" s="2094"/>
      <c r="BD66" s="2094"/>
      <c r="BE66" s="2094"/>
      <c r="BF66" s="2094"/>
      <c r="BG66" s="1758"/>
      <c r="BH66" s="1758"/>
      <c r="BI66" s="997" t="s">
        <v>1204</v>
      </c>
      <c r="BJ66" s="1764"/>
      <c r="BK66" s="1764"/>
      <c r="BL66" s="1757"/>
      <c r="BM66" s="1757"/>
    </row>
    <row s="1834" customFormat="1" customHeight="1" ht="21.75" hidden="1">
      <c r="A67" s="1758"/>
      <c r="B67" s="1416"/>
      <c r="C67" s="1758"/>
      <c r="D67" s="1758"/>
      <c r="E67" s="618">
        <v>22.5</v>
      </c>
      <c r="F67" s="50" cm="1" t="str">
        <f t="array" ref="F67:F67">OFFSET(E67,-1,1)</f>
        <v>1</v>
      </c>
      <c r="G67" s="1758"/>
      <c r="H67" s="1758"/>
      <c r="I67" s="122" cm="1" t="str">
        <f t="array" ref="I67:I67">AC67</f>
        <v>0</v>
      </c>
      <c r="J67" s="1758"/>
      <c r="K67" s="1758"/>
      <c r="L67" s="1758"/>
      <c r="M67" s="1758"/>
      <c r="N67" s="1758"/>
      <c r="O67" s="1758"/>
      <c r="P67" s="1758"/>
      <c r="Q67" s="1758"/>
      <c r="R67" s="1758"/>
      <c r="S67" s="1758"/>
      <c r="T67" s="1758"/>
      <c r="U67" s="465">
        <f>AND(F67&gt;0,--RIGHT(AB67,1)&gt;1)</f>
        <v>0</v>
      </c>
      <c r="V67" s="1758"/>
      <c r="W67" s="1758"/>
      <c r="X67" s="757" t="s">
        <v>174</v>
      </c>
      <c r="Y67" s="1543"/>
      <c r="Z67" s="1565"/>
      <c r="AA67" s="420" t="s">
        <v>175</v>
      </c>
      <c r="AB67" s="220" t="s">
        <v>1201</v>
      </c>
      <c r="AC67" s="2100"/>
      <c r="AD67" s="91" t="s">
        <v>1203</v>
      </c>
      <c r="AE67" s="2094"/>
      <c r="AF67" s="2095"/>
      <c r="AG67" s="2096"/>
      <c r="AH67" s="2097"/>
      <c r="AI67" s="2094"/>
      <c r="AJ67" s="2095"/>
      <c r="AK67" s="2095"/>
      <c r="AL67" s="615">
        <f>IF(AI67&lt;&gt;0,AK67/AI67,0)</f>
        <v>0</v>
      </c>
      <c r="AM67" s="616">
        <f>AK67-AJ67</f>
        <v>0</v>
      </c>
      <c r="AN67" s="2097"/>
      <c r="AO67" s="2094"/>
      <c r="AP67" s="2094"/>
      <c r="AQ67" s="2094"/>
      <c r="AR67" s="2094"/>
      <c r="AS67" s="2094"/>
      <c r="AT67" s="2094"/>
      <c r="AU67" s="2094"/>
      <c r="AV67" s="2094"/>
      <c r="AW67" s="2094"/>
      <c r="AX67" s="2094"/>
      <c r="AY67" s="2094"/>
      <c r="AZ67" s="2094"/>
      <c r="BA67" s="2094"/>
      <c r="BB67" s="2094"/>
      <c r="BC67" s="2094"/>
      <c r="BD67" s="2094"/>
      <c r="BE67" s="2094"/>
      <c r="BF67" s="2094"/>
      <c r="BG67" s="1758"/>
      <c r="BH67" s="1758"/>
      <c r="BI67" s="997" t="s">
        <v>1204</v>
      </c>
      <c r="BJ67" s="997" t="s">
        <v>1205</v>
      </c>
      <c r="BK67" s="997" cm="1" t="str">
        <f t="array" ref="BK67:BK67">AC67</f>
        <v>0</v>
      </c>
      <c r="BL67" s="1757"/>
      <c r="BM67" s="618" t="b">
        <v>1</v>
      </c>
    </row>
    <row s="1834" customFormat="1" customHeight="1" ht="14.25">
      <c r="A68" s="1758"/>
      <c r="B68" s="1416"/>
      <c r="C68" s="1758"/>
      <c r="D68" s="1758"/>
      <c r="E68" s="618">
        <v>15</v>
      </c>
      <c r="F68" s="50" cm="1" t="str">
        <f t="array" ref="F68:F68">OFFSET(E68,-1,1)</f>
        <v>1</v>
      </c>
      <c r="G68" s="1758"/>
      <c r="H68" s="1758"/>
      <c r="I68" s="1758"/>
      <c r="J68" s="1758"/>
      <c r="K68" s="1758"/>
      <c r="L68" s="1758"/>
      <c r="M68" s="1758"/>
      <c r="N68" s="1758"/>
      <c r="O68" s="1758"/>
      <c r="P68" s="1758"/>
      <c r="Q68" s="1758"/>
      <c r="R68" s="1758"/>
      <c r="S68" s="1758"/>
      <c r="T68" s="1758"/>
      <c r="U68" s="465">
        <f>F68&gt;0</f>
        <v>1</v>
      </c>
      <c r="V68" s="1758"/>
      <c r="W68" s="1758"/>
      <c r="X68" s="757" t="s">
        <v>408</v>
      </c>
      <c r="Y68" s="1543"/>
      <c r="Z68" s="1565"/>
      <c r="AA68" s="1758"/>
      <c r="AB68" s="175"/>
      <c r="AC68" s="308" t="s">
        <v>178</v>
      </c>
      <c r="AD68" s="176"/>
      <c r="AE68" s="176"/>
      <c r="AF68" s="176"/>
      <c r="AG68" s="176"/>
      <c r="AH68" s="176"/>
      <c r="AI68" s="176"/>
      <c r="AJ68" s="176"/>
      <c r="AK68" s="176"/>
      <c r="AL68" s="176"/>
      <c r="AM68" s="176"/>
      <c r="AN68" s="176"/>
      <c r="AO68" s="176"/>
      <c r="AP68" s="176"/>
      <c r="AQ68" s="176"/>
      <c r="AR68" s="176"/>
      <c r="AS68" s="176"/>
      <c r="AT68" s="176"/>
      <c r="AU68" s="176"/>
      <c r="AV68" s="176"/>
      <c r="AW68" s="176"/>
      <c r="AX68" s="176"/>
      <c r="AY68" s="176"/>
      <c r="AZ68" s="176"/>
      <c r="BA68" s="176"/>
      <c r="BB68" s="176"/>
      <c r="BC68" s="176"/>
      <c r="BD68" s="176"/>
      <c r="BE68" s="176"/>
      <c r="BF68" s="176"/>
      <c r="BG68" s="1758"/>
      <c r="BH68" s="1758"/>
      <c r="BI68" s="1764"/>
      <c r="BJ68" s="1764"/>
      <c r="BK68" s="1764"/>
      <c r="BL68" s="618" t="s">
        <v>1205</v>
      </c>
      <c r="BM68" s="1757"/>
    </row>
    <row s="1834" customFormat="1" customHeight="1" ht="32.109375">
      <c r="A69" s="1758"/>
      <c r="B69" s="1416"/>
      <c r="C69" s="1758"/>
      <c r="D69" s="1758"/>
      <c r="E69" s="618">
        <v>22.5</v>
      </c>
      <c r="F69" s="50" cm="1" t="str">
        <f t="array" ref="F69:F69">OFFSET(E69,-1,1)</f>
        <v>1</v>
      </c>
      <c r="G69" s="1758"/>
      <c r="H69" s="122" t="s">
        <v>1206</v>
      </c>
      <c r="I69" s="1758"/>
      <c r="J69" s="1758"/>
      <c r="K69" s="1758"/>
      <c r="L69" s="1758"/>
      <c r="M69" s="1758"/>
      <c r="N69" s="1758"/>
      <c r="O69" s="1758"/>
      <c r="P69" s="1758"/>
      <c r="Q69" s="1758"/>
      <c r="R69" s="1758"/>
      <c r="S69" s="1758"/>
      <c r="T69" s="1758"/>
      <c r="U69" s="465" cm="1" t="str">
        <f t="array" ref="U69:U69">U68</f>
        <v>true</v>
      </c>
      <c r="V69" s="1758"/>
      <c r="W69" s="1758"/>
      <c r="X69" s="1758"/>
      <c r="Y69" s="1543"/>
      <c r="Z69" s="1565"/>
      <c r="AA69" s="1758"/>
      <c r="AB69" s="598" t="s">
        <v>1207</v>
      </c>
      <c r="AC69" s="599" t="s">
        <v>1208</v>
      </c>
      <c r="AD69" s="595" t="s">
        <v>1203</v>
      </c>
      <c r="AE69" s="600"/>
      <c r="AF69" s="601"/>
      <c r="AG69" s="602"/>
      <c r="AH69" s="603"/>
      <c r="AI69" s="600"/>
      <c r="AJ69" s="601">
        <v>1612.8</v>
      </c>
      <c r="AK69" s="601" cm="1" t="str">
        <f t="array" ref="AK69:AK69">AJ69</f>
        <v>1612.8</v>
      </c>
      <c r="AL69" s="604">
        <f>IF(AI69&lt;&gt;0,AK69/AI69,0)</f>
        <v>0</v>
      </c>
      <c r="AM69" s="605">
        <f>AK69-AJ69</f>
        <v>0</v>
      </c>
      <c r="AN69" s="603" t="s">
        <v>1233</v>
      </c>
      <c r="AO69" s="600">
        <f>AK69*1.04</f>
        <v>1677.312</v>
      </c>
      <c r="AP69" s="600">
        <f>AO69*1.04</f>
        <v>1744.40448</v>
      </c>
      <c r="AQ69" s="600">
        <f>AP69*1.04</f>
        <v>1814.1806592</v>
      </c>
      <c r="AR69" s="600">
        <f>AQ69*1.04</f>
        <v>1886.747885568</v>
      </c>
      <c r="AS69" s="2104"/>
      <c r="AT69" s="2104"/>
      <c r="AU69" s="2104"/>
      <c r="AV69" s="2104"/>
      <c r="AW69" s="2104"/>
      <c r="AX69" s="600" cm="1" t="str">
        <f t="array" ref="AX69:AX69">AO69</f>
        <v>1677.312</v>
      </c>
      <c r="AY69" s="600" cm="1" t="str">
        <f t="array" ref="AY69:AY69">AP69</f>
        <v>1744.40448</v>
      </c>
      <c r="AZ69" s="600" cm="1" t="str">
        <f t="array" ref="AZ69:AZ69">AQ69</f>
        <v>1814.1806592</v>
      </c>
      <c r="BA69" s="600" cm="1" t="str">
        <f t="array" ref="BA69:BA69">AR69</f>
        <v>1886.747885568</v>
      </c>
      <c r="BB69" s="2104"/>
      <c r="BC69" s="2104"/>
      <c r="BD69" s="2104"/>
      <c r="BE69" s="2104"/>
      <c r="BF69" s="2104"/>
      <c r="BG69" s="1758"/>
      <c r="BH69" s="1758"/>
      <c r="BI69" s="997" t="s">
        <v>1209</v>
      </c>
      <c r="BJ69" s="1764"/>
      <c r="BK69" s="1764"/>
      <c r="BL69" s="1757"/>
      <c r="BM69" s="1757"/>
    </row>
    <row s="1834" customFormat="1" customHeight="1" ht="21.75" hidden="1">
      <c r="A70" s="1758"/>
      <c r="B70" s="1416"/>
      <c r="C70" s="1758"/>
      <c r="D70" s="1758"/>
      <c r="E70" s="618">
        <v>22.5</v>
      </c>
      <c r="F70" s="50" cm="1" t="str">
        <f t="array" ref="F70:F70">OFFSET(E70,-1,1)</f>
        <v>1</v>
      </c>
      <c r="G70" s="1758"/>
      <c r="H70" s="1758"/>
      <c r="I70" s="122" cm="1" t="str">
        <f t="array" ref="I70:I70">AC70</f>
        <v>0</v>
      </c>
      <c r="J70" s="1758"/>
      <c r="K70" s="1758"/>
      <c r="L70" s="1758"/>
      <c r="M70" s="1758"/>
      <c r="N70" s="1758"/>
      <c r="O70" s="1758"/>
      <c r="P70" s="1758"/>
      <c r="Q70" s="1758"/>
      <c r="R70" s="1758"/>
      <c r="S70" s="1758"/>
      <c r="T70" s="1758"/>
      <c r="U70" s="465">
        <f>AND(F70&gt;0,--RIGHT(AB70,1)&gt;1)</f>
        <v>0</v>
      </c>
      <c r="V70" s="1758"/>
      <c r="W70" s="1758"/>
      <c r="X70" s="757" t="s">
        <v>174</v>
      </c>
      <c r="Y70" s="1543"/>
      <c r="Z70" s="1565"/>
      <c r="AA70" s="420" t="s">
        <v>175</v>
      </c>
      <c r="AB70" s="598" t="s">
        <v>1207</v>
      </c>
      <c r="AC70" s="2110"/>
      <c r="AD70" s="595" t="s">
        <v>1203</v>
      </c>
      <c r="AE70" s="2104"/>
      <c r="AF70" s="2105"/>
      <c r="AG70" s="2106"/>
      <c r="AH70" s="2107"/>
      <c r="AI70" s="2104"/>
      <c r="AJ70" s="2105"/>
      <c r="AK70" s="2105"/>
      <c r="AL70" s="604">
        <f>IF(AI70&lt;&gt;0,AK70/AI70,0)</f>
        <v>0</v>
      </c>
      <c r="AM70" s="605">
        <f>AK70-AJ70</f>
        <v>0</v>
      </c>
      <c r="AN70" s="2107"/>
      <c r="AO70" s="2104"/>
      <c r="AP70" s="2104"/>
      <c r="AQ70" s="2104"/>
      <c r="AR70" s="2104"/>
      <c r="AS70" s="2104"/>
      <c r="AT70" s="2104"/>
      <c r="AU70" s="2104"/>
      <c r="AV70" s="2104"/>
      <c r="AW70" s="2104"/>
      <c r="AX70" s="2104"/>
      <c r="AY70" s="2104"/>
      <c r="AZ70" s="2104"/>
      <c r="BA70" s="2104"/>
      <c r="BB70" s="2104"/>
      <c r="BC70" s="2104"/>
      <c r="BD70" s="2104"/>
      <c r="BE70" s="2104"/>
      <c r="BF70" s="2104"/>
      <c r="BG70" s="1758"/>
      <c r="BH70" s="1758"/>
      <c r="BI70" s="997" t="s">
        <v>1209</v>
      </c>
      <c r="BJ70" s="997" t="s">
        <v>1210</v>
      </c>
      <c r="BK70" s="997" cm="1" t="str">
        <f t="array" ref="BK70:BK70">AC70</f>
        <v>0</v>
      </c>
      <c r="BL70" s="1757"/>
      <c r="BM70" s="618" t="b">
        <v>1</v>
      </c>
    </row>
    <row s="1834" customFormat="1" customHeight="1" ht="14.25">
      <c r="A71" s="1758"/>
      <c r="B71" s="1416"/>
      <c r="C71" s="1758"/>
      <c r="D71" s="1758"/>
      <c r="E71" s="618">
        <v>15</v>
      </c>
      <c r="F71" s="50" cm="1" t="str">
        <f t="array" ref="F71:F71">OFFSET(E71,-1,1)</f>
        <v>1</v>
      </c>
      <c r="G71" s="1758"/>
      <c r="H71" s="1758"/>
      <c r="I71" s="1758"/>
      <c r="J71" s="1758"/>
      <c r="K71" s="1758"/>
      <c r="L71" s="1758"/>
      <c r="M71" s="1758"/>
      <c r="N71" s="1758"/>
      <c r="O71" s="1758"/>
      <c r="P71" s="1758"/>
      <c r="Q71" s="1758"/>
      <c r="R71" s="1758"/>
      <c r="S71" s="1758"/>
      <c r="T71" s="1758"/>
      <c r="U71" s="465">
        <f>F71&gt;0</f>
        <v>1</v>
      </c>
      <c r="V71" s="1758"/>
      <c r="W71" s="1758"/>
      <c r="X71" s="757" t="s">
        <v>408</v>
      </c>
      <c r="Y71" s="1543"/>
      <c r="Z71" s="1565"/>
      <c r="AA71" s="1758"/>
      <c r="AB71" s="175"/>
      <c r="AC71" s="308" t="s">
        <v>178</v>
      </c>
      <c r="AD71" s="176"/>
      <c r="AE71" s="176"/>
      <c r="AF71" s="176"/>
      <c r="AG71" s="176"/>
      <c r="AH71" s="176"/>
      <c r="AI71" s="176"/>
      <c r="AJ71" s="176"/>
      <c r="AK71" s="176"/>
      <c r="AL71" s="176"/>
      <c r="AM71" s="176"/>
      <c r="AN71" s="176"/>
      <c r="AO71" s="176"/>
      <c r="AP71" s="176"/>
      <c r="AQ71" s="176"/>
      <c r="AR71" s="176"/>
      <c r="AS71" s="176"/>
      <c r="AT71" s="176"/>
      <c r="AU71" s="176"/>
      <c r="AV71" s="176"/>
      <c r="AW71" s="176"/>
      <c r="AX71" s="176"/>
      <c r="AY71" s="176"/>
      <c r="AZ71" s="176"/>
      <c r="BA71" s="176"/>
      <c r="BB71" s="176"/>
      <c r="BC71" s="176"/>
      <c r="BD71" s="176"/>
      <c r="BE71" s="176"/>
      <c r="BF71" s="176"/>
      <c r="BG71" s="1758"/>
      <c r="BH71" s="1758"/>
      <c r="BI71" s="1764"/>
      <c r="BJ71" s="1764"/>
      <c r="BK71" s="1764"/>
      <c r="BL71" s="618" t="s">
        <v>1210</v>
      </c>
      <c r="BM71" s="1757"/>
    </row>
    <row s="1834" customFormat="1" customHeight="1" ht="21.75">
      <c r="A72" s="1758"/>
      <c r="B72" s="1416"/>
      <c r="C72" s="1758"/>
      <c r="D72" s="1758"/>
      <c r="E72" s="618">
        <v>22.5</v>
      </c>
      <c r="F72" s="50" cm="1" t="str">
        <f t="array" ref="F72:F72">OFFSET(E72,-1,1)</f>
        <v>1</v>
      </c>
      <c r="G72" s="1758"/>
      <c r="H72" s="122" t="s">
        <v>1211</v>
      </c>
      <c r="I72" s="1758"/>
      <c r="J72" s="1758"/>
      <c r="K72" s="1758"/>
      <c r="L72" s="1758"/>
      <c r="M72" s="1758"/>
      <c r="N72" s="1758"/>
      <c r="O72" s="1758"/>
      <c r="P72" s="1758"/>
      <c r="Q72" s="1758"/>
      <c r="R72" s="1758"/>
      <c r="S72" s="1758"/>
      <c r="T72" s="1758"/>
      <c r="U72" s="465" cm="1" t="str">
        <f t="array" ref="U72:U72">U71</f>
        <v>true</v>
      </c>
      <c r="V72" s="1758"/>
      <c r="W72" s="1758"/>
      <c r="X72" s="1758"/>
      <c r="Y72" s="1543"/>
      <c r="Z72" s="1565"/>
      <c r="AA72" s="1758"/>
      <c r="AB72" s="123" t="s">
        <v>1212</v>
      </c>
      <c r="AC72" s="192" t="s">
        <v>1213</v>
      </c>
      <c r="AD72" s="92" t="s">
        <v>1203</v>
      </c>
      <c r="AE72" s="276"/>
      <c r="AF72" s="278"/>
      <c r="AG72" s="279"/>
      <c r="AH72" s="200"/>
      <c r="AI72" s="276"/>
      <c r="AJ72" s="278">
        <v>342.6</v>
      </c>
      <c r="AK72" s="278">
        <v>342.6</v>
      </c>
      <c r="AL72" s="281">
        <f>IF(AI72&lt;&gt;0,AK72/AI72,0)</f>
        <v>0</v>
      </c>
      <c r="AM72" s="280">
        <f>AK72-AJ72</f>
        <v>0</v>
      </c>
      <c r="AN72" s="200" t="s">
        <v>1233</v>
      </c>
      <c r="AO72" s="276">
        <f>AK72*1.04</f>
        <v>356.304</v>
      </c>
      <c r="AP72" s="276">
        <f>AO72*1.04</f>
        <v>370.55616</v>
      </c>
      <c r="AQ72" s="276">
        <f>AP72*1.04</f>
        <v>385.3784064</v>
      </c>
      <c r="AR72" s="276">
        <f>AQ72*1.04</f>
        <v>400.793542656</v>
      </c>
      <c r="AS72" s="2069"/>
      <c r="AT72" s="2069"/>
      <c r="AU72" s="2069"/>
      <c r="AV72" s="2069"/>
      <c r="AW72" s="2069"/>
      <c r="AX72" s="276" cm="1" t="str">
        <f t="array" ref="AX72:AX72">AO72</f>
        <v>356.304</v>
      </c>
      <c r="AY72" s="276" cm="1" t="str">
        <f t="array" ref="AY72:AY72">AP72</f>
        <v>370.55616</v>
      </c>
      <c r="AZ72" s="276" cm="1" t="str">
        <f t="array" ref="AZ72:AZ72">AQ72</f>
        <v>385.3784064</v>
      </c>
      <c r="BA72" s="276" cm="1" t="str">
        <f t="array" ref="BA72:BA72">AR72</f>
        <v>400.793542656</v>
      </c>
      <c r="BB72" s="2069"/>
      <c r="BC72" s="2069"/>
      <c r="BD72" s="2069"/>
      <c r="BE72" s="2069"/>
      <c r="BF72" s="2069"/>
      <c r="BG72" s="1758"/>
      <c r="BH72" s="1758"/>
      <c r="BI72" s="997" t="s">
        <v>1214</v>
      </c>
      <c r="BJ72" s="1764"/>
      <c r="BK72" s="1764"/>
      <c r="BL72" s="1757"/>
      <c r="BM72" s="1757"/>
    </row>
    <row s="1834" customFormat="1" customHeight="1" ht="21.75" hidden="1">
      <c r="A73" s="1758"/>
      <c r="B73" s="1416"/>
      <c r="C73" s="1758"/>
      <c r="D73" s="1758"/>
      <c r="E73" s="618">
        <v>22.5</v>
      </c>
      <c r="F73" s="50" cm="1" t="str">
        <f t="array" ref="F73:F73">OFFSET(E73,-1,1)</f>
        <v>1</v>
      </c>
      <c r="G73" s="1758"/>
      <c r="H73" s="1758"/>
      <c r="I73" s="122" cm="1" t="str">
        <f t="array" ref="I73:I73">AC73</f>
        <v>0</v>
      </c>
      <c r="J73" s="1758"/>
      <c r="K73" s="1758"/>
      <c r="L73" s="1758"/>
      <c r="M73" s="1758"/>
      <c r="N73" s="1758"/>
      <c r="O73" s="1758"/>
      <c r="P73" s="1758"/>
      <c r="Q73" s="1758"/>
      <c r="R73" s="1758"/>
      <c r="S73" s="1758"/>
      <c r="T73" s="1758"/>
      <c r="U73" s="465">
        <f>AND(F73&gt;0,--RIGHT(AB73,1)&gt;1)</f>
        <v>0</v>
      </c>
      <c r="V73" s="1758"/>
      <c r="W73" s="1758"/>
      <c r="X73" s="757" t="s">
        <v>174</v>
      </c>
      <c r="Y73" s="1543"/>
      <c r="Z73" s="1565"/>
      <c r="AA73" s="420" t="s">
        <v>175</v>
      </c>
      <c r="AB73" s="123" t="s">
        <v>1212</v>
      </c>
      <c r="AC73" s="2114"/>
      <c r="AD73" s="92" t="s">
        <v>1203</v>
      </c>
      <c r="AE73" s="2069"/>
      <c r="AF73" s="2082"/>
      <c r="AG73" s="2113"/>
      <c r="AH73" s="2070"/>
      <c r="AI73" s="2069"/>
      <c r="AJ73" s="2082"/>
      <c r="AK73" s="2082"/>
      <c r="AL73" s="281">
        <f>IF(AI73&lt;&gt;0,AK73/AI73,0)</f>
        <v>0</v>
      </c>
      <c r="AM73" s="280">
        <f>AK73-AJ73</f>
        <v>0</v>
      </c>
      <c r="AN73" s="2070"/>
      <c r="AO73" s="2069"/>
      <c r="AP73" s="2069"/>
      <c r="AQ73" s="2069"/>
      <c r="AR73" s="2069"/>
      <c r="AS73" s="2069"/>
      <c r="AT73" s="2069"/>
      <c r="AU73" s="2069"/>
      <c r="AV73" s="2069"/>
      <c r="AW73" s="2069"/>
      <c r="AX73" s="2069"/>
      <c r="AY73" s="2069"/>
      <c r="AZ73" s="2069"/>
      <c r="BA73" s="2069"/>
      <c r="BB73" s="2069"/>
      <c r="BC73" s="2069"/>
      <c r="BD73" s="2069"/>
      <c r="BE73" s="2069"/>
      <c r="BF73" s="2069"/>
      <c r="BG73" s="1758"/>
      <c r="BH73" s="1758"/>
      <c r="BI73" s="997" t="s">
        <v>1214</v>
      </c>
      <c r="BJ73" s="997" t="s">
        <v>1215</v>
      </c>
      <c r="BK73" s="997" cm="1" t="str">
        <f t="array" ref="BK73:BK73">AC73</f>
        <v>0</v>
      </c>
      <c r="BL73" s="1757"/>
      <c r="BM73" s="618" t="b">
        <v>1</v>
      </c>
    </row>
    <row s="1834" customFormat="1" customHeight="1" ht="14.25">
      <c r="A74" s="1758"/>
      <c r="B74" s="1416"/>
      <c r="C74" s="1758"/>
      <c r="D74" s="1758"/>
      <c r="E74" s="618">
        <v>15</v>
      </c>
      <c r="F74" s="50" cm="1" t="str">
        <f t="array" ref="F74:F74">OFFSET(E74,-1,1)</f>
        <v>1</v>
      </c>
      <c r="G74" s="1758"/>
      <c r="H74" s="1758"/>
      <c r="I74" s="1758"/>
      <c r="J74" s="1758"/>
      <c r="K74" s="1758"/>
      <c r="L74" s="1758"/>
      <c r="M74" s="1758"/>
      <c r="N74" s="1758"/>
      <c r="O74" s="1758"/>
      <c r="P74" s="1758"/>
      <c r="Q74" s="1758"/>
      <c r="R74" s="1758"/>
      <c r="S74" s="1758"/>
      <c r="T74" s="1758"/>
      <c r="U74" s="465">
        <f>F74&gt;0</f>
        <v>1</v>
      </c>
      <c r="V74" s="1758"/>
      <c r="W74" s="1758"/>
      <c r="X74" s="757" t="s">
        <v>408</v>
      </c>
      <c r="Y74" s="1543"/>
      <c r="Z74" s="1565"/>
      <c r="AA74" s="1758"/>
      <c r="AB74" s="175"/>
      <c r="AC74" s="308" t="s">
        <v>178</v>
      </c>
      <c r="AD74" s="176"/>
      <c r="AE74" s="176"/>
      <c r="AF74" s="176"/>
      <c r="AG74" s="176"/>
      <c r="AH74" s="176"/>
      <c r="AI74" s="176"/>
      <c r="AJ74" s="176"/>
      <c r="AK74" s="176"/>
      <c r="AL74" s="176"/>
      <c r="AM74" s="176"/>
      <c r="AN74" s="176"/>
      <c r="AO74" s="176"/>
      <c r="AP74" s="176"/>
      <c r="AQ74" s="176"/>
      <c r="AR74" s="176"/>
      <c r="AS74" s="176"/>
      <c r="AT74" s="176"/>
      <c r="AU74" s="176"/>
      <c r="AV74" s="176"/>
      <c r="AW74" s="176"/>
      <c r="AX74" s="176"/>
      <c r="AY74" s="176"/>
      <c r="AZ74" s="176"/>
      <c r="BA74" s="176"/>
      <c r="BB74" s="176"/>
      <c r="BC74" s="176"/>
      <c r="BD74" s="176"/>
      <c r="BE74" s="176"/>
      <c r="BF74" s="176"/>
      <c r="BG74" s="1758"/>
      <c r="BH74" s="1758"/>
      <c r="BI74" s="1764"/>
      <c r="BJ74" s="1764"/>
      <c r="BK74" s="1764"/>
      <c r="BL74" s="618" t="s">
        <v>1215</v>
      </c>
      <c r="BM74" s="1757"/>
    </row>
    <row s="1834" customFormat="1" customHeight="1" ht="21.75">
      <c r="A75" s="1758"/>
      <c r="B75" s="1416"/>
      <c r="C75" s="1758"/>
      <c r="D75" s="1758"/>
      <c r="E75" s="618">
        <v>22.5</v>
      </c>
      <c r="F75" s="50" cm="1" t="str">
        <f t="array" ref="F75:F75">OFFSET(E75,-1,1)</f>
        <v>1</v>
      </c>
      <c r="G75" s="1758"/>
      <c r="H75" s="122" t="s">
        <v>1216</v>
      </c>
      <c r="I75" s="1758"/>
      <c r="J75" s="1758"/>
      <c r="K75" s="1758"/>
      <c r="L75" s="1758"/>
      <c r="M75" s="1758"/>
      <c r="N75" s="1758"/>
      <c r="O75" s="1758"/>
      <c r="P75" s="1758"/>
      <c r="Q75" s="1758"/>
      <c r="R75" s="1758"/>
      <c r="S75" s="1758"/>
      <c r="T75" s="1758"/>
      <c r="U75" s="465" cm="1" t="str">
        <f t="array" ref="U75:U75">U74</f>
        <v>true</v>
      </c>
      <c r="V75" s="1758"/>
      <c r="W75" s="1758"/>
      <c r="X75" s="1758"/>
      <c r="Y75" s="1543"/>
      <c r="Z75" s="1565"/>
      <c r="AA75" s="1758"/>
      <c r="AB75" s="123" t="s">
        <v>1217</v>
      </c>
      <c r="AC75" s="192" t="s">
        <v>1218</v>
      </c>
      <c r="AD75" s="92" t="s">
        <v>1203</v>
      </c>
      <c r="AE75" s="276"/>
      <c r="AF75" s="278"/>
      <c r="AG75" s="279"/>
      <c r="AH75" s="200"/>
      <c r="AI75" s="276"/>
      <c r="AJ75" s="278">
        <v>1319.5</v>
      </c>
      <c r="AK75" s="278" cm="1" t="str">
        <f t="array" ref="AK75:AK75">AJ75</f>
        <v>1319.5</v>
      </c>
      <c r="AL75" s="281">
        <f>IF(AI75&lt;&gt;0,AK75/AI75,0)</f>
        <v>0</v>
      </c>
      <c r="AM75" s="280">
        <f>AK75-AJ75</f>
        <v>0</v>
      </c>
      <c r="AN75" s="200" t="s">
        <v>1233</v>
      </c>
      <c r="AO75" s="276">
        <f>AK75*1.04</f>
        <v>1372.28</v>
      </c>
      <c r="AP75" s="276">
        <f>AO75*1.04</f>
        <v>1427.1712</v>
      </c>
      <c r="AQ75" s="276">
        <f>AP75*1.04</f>
        <v>1484.258048</v>
      </c>
      <c r="AR75" s="276">
        <f>AQ75*1.04</f>
        <v>1543.62836992</v>
      </c>
      <c r="AS75" s="2069"/>
      <c r="AT75" s="2069"/>
      <c r="AU75" s="2069"/>
      <c r="AV75" s="2069"/>
      <c r="AW75" s="2069"/>
      <c r="AX75" s="276" cm="1" t="str">
        <f t="array" ref="AX75:AX75">AO75</f>
        <v>1372.28</v>
      </c>
      <c r="AY75" s="276" cm="1" t="str">
        <f t="array" ref="AY75:AY75">AP75</f>
        <v>1427.1712</v>
      </c>
      <c r="AZ75" s="276" cm="1" t="str">
        <f t="array" ref="AZ75:AZ75">AQ75</f>
        <v>1484.258048</v>
      </c>
      <c r="BA75" s="276" cm="1" t="str">
        <f t="array" ref="BA75:BA75">AR75</f>
        <v>1543.62836992</v>
      </c>
      <c r="BB75" s="2069"/>
      <c r="BC75" s="2069"/>
      <c r="BD75" s="2069"/>
      <c r="BE75" s="2069"/>
      <c r="BF75" s="2069"/>
      <c r="BG75" s="1758"/>
      <c r="BH75" s="1758"/>
      <c r="BI75" s="997" t="s">
        <v>1219</v>
      </c>
      <c r="BJ75" s="1764"/>
      <c r="BK75" s="1764"/>
      <c r="BL75" s="1757"/>
      <c r="BM75" s="1757"/>
    </row>
    <row s="1834" customFormat="1" customHeight="1" ht="21.75" hidden="1">
      <c r="A76" s="1758"/>
      <c r="B76" s="1416"/>
      <c r="C76" s="1758"/>
      <c r="D76" s="1758"/>
      <c r="E76" s="618">
        <v>22.5</v>
      </c>
      <c r="F76" s="50" cm="1" t="str">
        <f t="array" ref="F76:F76">OFFSET(E76,-1,1)</f>
        <v>1</v>
      </c>
      <c r="G76" s="1758"/>
      <c r="H76" s="1758"/>
      <c r="I76" s="122" cm="1" t="str">
        <f t="array" ref="I76:I76">AC76</f>
        <v>0</v>
      </c>
      <c r="J76" s="1758"/>
      <c r="K76" s="1758"/>
      <c r="L76" s="1758"/>
      <c r="M76" s="1758"/>
      <c r="N76" s="1758"/>
      <c r="O76" s="1758"/>
      <c r="P76" s="1758"/>
      <c r="Q76" s="1758"/>
      <c r="R76" s="1758"/>
      <c r="S76" s="1758"/>
      <c r="T76" s="1758"/>
      <c r="U76" s="465">
        <f>AND(F76&gt;0,--RIGHT(AB76,1)&gt;1)</f>
        <v>0</v>
      </c>
      <c r="V76" s="1758"/>
      <c r="W76" s="1758"/>
      <c r="X76" s="757" t="s">
        <v>174</v>
      </c>
      <c r="Y76" s="1543"/>
      <c r="Z76" s="1565"/>
      <c r="AA76" s="420" t="s">
        <v>175</v>
      </c>
      <c r="AB76" s="123" t="s">
        <v>1217</v>
      </c>
      <c r="AC76" s="2114"/>
      <c r="AD76" s="92" t="s">
        <v>1203</v>
      </c>
      <c r="AE76" s="2069"/>
      <c r="AF76" s="2082"/>
      <c r="AG76" s="2113"/>
      <c r="AH76" s="2070"/>
      <c r="AI76" s="2069"/>
      <c r="AJ76" s="2082"/>
      <c r="AK76" s="2082"/>
      <c r="AL76" s="281">
        <f>IF(AI76&lt;&gt;0,AK76/AI76,0)</f>
        <v>0</v>
      </c>
      <c r="AM76" s="280">
        <f>AK76-AJ76</f>
        <v>0</v>
      </c>
      <c r="AN76" s="2070"/>
      <c r="AO76" s="2069"/>
      <c r="AP76" s="2069"/>
      <c r="AQ76" s="2069"/>
      <c r="AR76" s="2069"/>
      <c r="AS76" s="2069"/>
      <c r="AT76" s="2069"/>
      <c r="AU76" s="2069"/>
      <c r="AV76" s="2069"/>
      <c r="AW76" s="2069"/>
      <c r="AX76" s="2069"/>
      <c r="AY76" s="2069"/>
      <c r="AZ76" s="2069"/>
      <c r="BA76" s="2069"/>
      <c r="BB76" s="2069"/>
      <c r="BC76" s="2069"/>
      <c r="BD76" s="2069"/>
      <c r="BE76" s="2069"/>
      <c r="BF76" s="2069"/>
      <c r="BG76" s="1758"/>
      <c r="BH76" s="1758"/>
      <c r="BI76" s="997" t="s">
        <v>1219</v>
      </c>
      <c r="BJ76" s="997" t="s">
        <v>1220</v>
      </c>
      <c r="BK76" s="997" cm="1" t="str">
        <f t="array" ref="BK76:BK76">AC76</f>
        <v>0</v>
      </c>
      <c r="BL76" s="1757"/>
      <c r="BM76" s="618" t="b">
        <v>1</v>
      </c>
    </row>
    <row s="1834" customFormat="1" customHeight="1" ht="14.25">
      <c r="A77" s="1758"/>
      <c r="B77" s="1416"/>
      <c r="C77" s="1758"/>
      <c r="D77" s="1758"/>
      <c r="E77" s="618">
        <v>15</v>
      </c>
      <c r="F77" s="50" cm="1" t="str">
        <f t="array" ref="F77:F77">OFFSET(E77,-1,1)</f>
        <v>1</v>
      </c>
      <c r="G77" s="1758"/>
      <c r="H77" s="1758"/>
      <c r="I77" s="1758"/>
      <c r="J77" s="1758"/>
      <c r="K77" s="1758"/>
      <c r="L77" s="1758"/>
      <c r="M77" s="1758"/>
      <c r="N77" s="1758"/>
      <c r="O77" s="1758"/>
      <c r="P77" s="1758"/>
      <c r="Q77" s="1758"/>
      <c r="R77" s="1758"/>
      <c r="S77" s="1758"/>
      <c r="T77" s="1758"/>
      <c r="U77" s="465">
        <f>F77&gt;0</f>
        <v>1</v>
      </c>
      <c r="V77" s="1758"/>
      <c r="W77" s="1758"/>
      <c r="X77" s="757" t="s">
        <v>408</v>
      </c>
      <c r="Y77" s="1543"/>
      <c r="Z77" s="1565"/>
      <c r="AA77" s="1758"/>
      <c r="AB77" s="175"/>
      <c r="AC77" s="308" t="s">
        <v>178</v>
      </c>
      <c r="AD77" s="176"/>
      <c r="AE77" s="176"/>
      <c r="AF77" s="176"/>
      <c r="AG77" s="176"/>
      <c r="AH77" s="176"/>
      <c r="AI77" s="176"/>
      <c r="AJ77" s="176"/>
      <c r="AK77" s="176"/>
      <c r="AL77" s="176"/>
      <c r="AM77" s="176"/>
      <c r="AN77" s="176"/>
      <c r="AO77" s="176"/>
      <c r="AP77" s="176"/>
      <c r="AQ77" s="176"/>
      <c r="AR77" s="176"/>
      <c r="AS77" s="176"/>
      <c r="AT77" s="176"/>
      <c r="AU77" s="176"/>
      <c r="AV77" s="176"/>
      <c r="AW77" s="176"/>
      <c r="AX77" s="176"/>
      <c r="AY77" s="176"/>
      <c r="AZ77" s="176"/>
      <c r="BA77" s="176"/>
      <c r="BB77" s="176"/>
      <c r="BC77" s="176"/>
      <c r="BD77" s="176"/>
      <c r="BE77" s="176"/>
      <c r="BF77" s="176"/>
      <c r="BG77" s="1758"/>
      <c r="BH77" s="1758"/>
      <c r="BI77" s="1764"/>
      <c r="BJ77" s="1764"/>
      <c r="BK77" s="1764"/>
      <c r="BL77" s="618" t="s">
        <v>1220</v>
      </c>
      <c r="BM77" s="1757"/>
    </row>
    <row s="1834" customFormat="1" customHeight="1" ht="54.75">
      <c r="A78" s="1758"/>
      <c r="B78" s="1416"/>
      <c r="C78" s="1758"/>
      <c r="D78" s="1758"/>
      <c r="E78" s="618">
        <v>15</v>
      </c>
      <c r="F78" s="50" cm="1" t="str">
        <f t="array" ref="F78:F78">OFFSET(E78,-1,1)</f>
        <v>1</v>
      </c>
      <c r="G78" s="1758"/>
      <c r="H78" s="122" t="s">
        <v>336</v>
      </c>
      <c r="I78" s="1758"/>
      <c r="J78" s="1758"/>
      <c r="K78" s="1758"/>
      <c r="L78" s="1758"/>
      <c r="M78" s="1758"/>
      <c r="N78" s="1758"/>
      <c r="O78" s="1758"/>
      <c r="P78" s="1758"/>
      <c r="Q78" s="1758"/>
      <c r="R78" s="1758"/>
      <c r="S78" s="1758"/>
      <c r="T78" s="1758"/>
      <c r="U78" s="465" cm="1" t="str">
        <f t="array" ref="U78:U78">U77</f>
        <v>true</v>
      </c>
      <c r="V78" s="1758"/>
      <c r="W78" s="1758"/>
      <c r="X78" s="1758"/>
      <c r="Y78" s="1543"/>
      <c r="Z78" s="1565"/>
      <c r="AA78" s="1758"/>
      <c r="AB78" s="133">
        <v>3</v>
      </c>
      <c r="AC78" s="139" t="s">
        <v>1221</v>
      </c>
      <c r="AD78" s="136" t="s">
        <v>1170</v>
      </c>
      <c r="AE78" s="276"/>
      <c r="AF78" s="278"/>
      <c r="AG78" s="279"/>
      <c r="AH78" s="200"/>
      <c r="AI78" s="276"/>
      <c r="AJ78" s="278">
        <v>1.1</v>
      </c>
      <c r="AK78" s="278">
        <v>1.1</v>
      </c>
      <c r="AL78" s="281">
        <f>IF(AI78&lt;&gt;0,AK78/AI78,0)</f>
        <v>0</v>
      </c>
      <c r="AM78" s="280">
        <f>AK78-AJ78</f>
        <v>0</v>
      </c>
      <c r="AN78" s="200" t="s">
        <v>1232</v>
      </c>
      <c r="AO78" s="276">
        <v>1.1</v>
      </c>
      <c r="AP78" s="276">
        <v>1.1</v>
      </c>
      <c r="AQ78" s="276">
        <v>2.2</v>
      </c>
      <c r="AR78" s="276">
        <v>2.2</v>
      </c>
      <c r="AS78" s="2069"/>
      <c r="AT78" s="2069"/>
      <c r="AU78" s="2069"/>
      <c r="AV78" s="2069"/>
      <c r="AW78" s="2069"/>
      <c r="AX78" s="276">
        <v>1.1</v>
      </c>
      <c r="AY78" s="276">
        <v>1.1</v>
      </c>
      <c r="AZ78" s="276">
        <v>2.2</v>
      </c>
      <c r="BA78" s="276">
        <v>2.2</v>
      </c>
      <c r="BB78" s="2069"/>
      <c r="BC78" s="2069"/>
      <c r="BD78" s="2069"/>
      <c r="BE78" s="2069"/>
      <c r="BF78" s="2069"/>
      <c r="BG78" s="1758"/>
      <c r="BH78" s="1758"/>
      <c r="BI78" s="997" t="s">
        <v>1222</v>
      </c>
      <c r="BJ78" s="1764"/>
      <c r="BK78" s="1764"/>
      <c r="BL78" s="1757"/>
      <c r="BM78" s="1757"/>
    </row>
    <row s="1834" customFormat="1" customHeight="1" ht="0">
      <c r="A79" s="1758"/>
      <c r="B79" s="1416"/>
      <c r="C79" s="1758"/>
      <c r="D79" s="1758"/>
      <c r="E79" s="618">
        <v>15</v>
      </c>
      <c r="F79" s="50" cm="1" t="str">
        <f t="array" ref="F79:F79">OFFSET(E79,-1,1)</f>
        <v>1</v>
      </c>
      <c r="G79" s="1758"/>
      <c r="H79" s="122" t="s">
        <v>335</v>
      </c>
      <c r="I79" s="1758"/>
      <c r="J79" s="1758"/>
      <c r="K79" s="1758"/>
      <c r="L79" s="1758"/>
      <c r="M79" s="1758"/>
      <c r="N79" s="1758"/>
      <c r="O79" s="1758"/>
      <c r="P79" s="1758"/>
      <c r="Q79" s="1758"/>
      <c r="R79" s="1758"/>
      <c r="S79" s="1758"/>
      <c r="T79" s="1758"/>
      <c r="U79" s="465" cm="1" t="str">
        <f t="array" ref="U79:U79">U78</f>
        <v>true</v>
      </c>
      <c r="V79" s="1758"/>
      <c r="W79" s="1758"/>
      <c r="X79" s="1758"/>
      <c r="Y79" s="1543"/>
      <c r="Z79" s="1565"/>
      <c r="AA79" s="1758"/>
      <c r="AB79" s="133">
        <v>4</v>
      </c>
      <c r="AC79" s="139" t="s">
        <v>1223</v>
      </c>
      <c r="AD79" s="136" t="s">
        <v>1170</v>
      </c>
      <c r="AE79" s="276"/>
      <c r="AF79" s="278"/>
      <c r="AG79" s="279"/>
      <c r="AH79" s="200"/>
      <c r="AI79" s="276"/>
      <c r="AJ79" s="278"/>
      <c r="AK79" s="278"/>
      <c r="AL79" s="281">
        <f>IF(AI79&lt;&gt;0,AK79/AI79,0)</f>
        <v>0</v>
      </c>
      <c r="AM79" s="280">
        <f>AK79-AJ79</f>
        <v>0</v>
      </c>
      <c r="AN79" s="200"/>
      <c r="AO79" s="276"/>
      <c r="AP79" s="276"/>
      <c r="AQ79" s="276"/>
      <c r="AR79" s="276"/>
      <c r="AS79" s="2069"/>
      <c r="AT79" s="2069"/>
      <c r="AU79" s="2069"/>
      <c r="AV79" s="2069"/>
      <c r="AW79" s="2069"/>
      <c r="AX79" s="276"/>
      <c r="AY79" s="276"/>
      <c r="AZ79" s="276"/>
      <c r="BA79" s="276"/>
      <c r="BB79" s="2069"/>
      <c r="BC79" s="2069"/>
      <c r="BD79" s="2069"/>
      <c r="BE79" s="2069"/>
      <c r="BF79" s="2069"/>
      <c r="BG79" s="1758"/>
      <c r="BH79" s="1758"/>
      <c r="BI79" s="997" t="s">
        <v>1224</v>
      </c>
      <c r="BJ79" s="1764"/>
      <c r="BK79" s="1764"/>
      <c r="BL79" s="1757"/>
      <c r="BM79" s="1757"/>
    </row>
    <row s="1834" customFormat="1" customHeight="1" ht="14.25">
      <c r="A80" s="1758"/>
      <c r="B80" s="1416"/>
      <c r="C80" s="1758"/>
      <c r="D80" s="1758"/>
      <c r="E80" s="618">
        <v>15</v>
      </c>
      <c r="F80" s="50" cm="1" t="str">
        <f t="array" ref="F80:F80">OFFSET(E80,-1,1)</f>
        <v>1</v>
      </c>
      <c r="G80" s="1758"/>
      <c r="H80" s="122" t="s">
        <v>1225</v>
      </c>
      <c r="I80" s="1758"/>
      <c r="J80" s="1758"/>
      <c r="K80" s="1758"/>
      <c r="L80" s="1758"/>
      <c r="M80" s="1758"/>
      <c r="N80" s="1758"/>
      <c r="O80" s="1758"/>
      <c r="P80" s="1758"/>
      <c r="Q80" s="1758"/>
      <c r="R80" s="1758"/>
      <c r="S80" s="1758"/>
      <c r="T80" s="1758"/>
      <c r="U80" s="465" cm="1" t="str">
        <f t="array" ref="U80:U80">U79</f>
        <v>true</v>
      </c>
      <c r="V80" s="1758"/>
      <c r="W80" s="1758"/>
      <c r="X80" s="1758"/>
      <c r="Y80" s="1543"/>
      <c r="Z80" s="1565"/>
      <c r="AA80" s="1758"/>
      <c r="AB80" s="123" t="s">
        <v>443</v>
      </c>
      <c r="AC80" s="138" t="s">
        <v>1226</v>
      </c>
      <c r="AD80" s="136"/>
      <c r="AE80" s="279"/>
      <c r="AF80" s="279"/>
      <c r="AG80" s="279"/>
      <c r="AH80" s="284"/>
      <c r="AI80" s="279"/>
      <c r="AJ80" s="279"/>
      <c r="AK80" s="279"/>
      <c r="AL80" s="281">
        <f>IF(AI80&lt;&gt;0,AK80/AI80,0)</f>
        <v>0</v>
      </c>
      <c r="AM80" s="280">
        <f>AK80-AJ80</f>
        <v>0</v>
      </c>
      <c r="AN80" s="284"/>
      <c r="AO80" s="279"/>
      <c r="AP80" s="279"/>
      <c r="AQ80" s="279"/>
      <c r="AR80" s="279"/>
      <c r="AS80" s="2113"/>
      <c r="AT80" s="2113"/>
      <c r="AU80" s="2113"/>
      <c r="AV80" s="2113"/>
      <c r="AW80" s="2113"/>
      <c r="AX80" s="279"/>
      <c r="AY80" s="279"/>
      <c r="AZ80" s="279"/>
      <c r="BA80" s="279"/>
      <c r="BB80" s="2113"/>
      <c r="BC80" s="2113"/>
      <c r="BD80" s="2113"/>
      <c r="BE80" s="2113"/>
      <c r="BF80" s="2113"/>
      <c r="BG80" s="1758"/>
      <c r="BH80" s="1758"/>
      <c r="BI80" s="997" t="s">
        <v>1227</v>
      </c>
      <c r="BJ80" s="1764"/>
      <c r="BK80" s="1764"/>
      <c r="BL80" s="1757"/>
      <c r="BM80" s="1757"/>
    </row>
    <row s="1834" customFormat="1" customHeight="1" ht="14.25">
      <c r="A81" s="1758"/>
      <c r="B81" s="1416"/>
      <c r="C81" s="1758"/>
      <c r="D81" s="1758"/>
      <c r="E81" s="618">
        <v>15</v>
      </c>
      <c r="F81" s="50" cm="1" t="str">
        <f t="array" ref="F81:F81">OFFSET(E81,-1,1)</f>
        <v>1</v>
      </c>
      <c r="G81" s="1758"/>
      <c r="H81" s="122" t="s">
        <v>1228</v>
      </c>
      <c r="I81" s="1758"/>
      <c r="J81" s="1758"/>
      <c r="K81" s="1758"/>
      <c r="L81" s="1758"/>
      <c r="M81" s="1758"/>
      <c r="N81" s="1758"/>
      <c r="O81" s="1758"/>
      <c r="P81" s="1758"/>
      <c r="Q81" s="1758"/>
      <c r="R81" s="1758"/>
      <c r="S81" s="1758"/>
      <c r="T81" s="1758"/>
      <c r="U81" s="465" cm="1" t="str">
        <f t="array" ref="U81:U81">U80</f>
        <v>true</v>
      </c>
      <c r="V81" s="1758"/>
      <c r="W81" s="1758"/>
      <c r="X81" s="1758"/>
      <c r="Y81" s="1543"/>
      <c r="Z81" s="1565"/>
      <c r="AA81" s="1758"/>
      <c r="AB81" s="123" t="s">
        <v>446</v>
      </c>
      <c r="AC81" s="137" t="s">
        <v>1229</v>
      </c>
      <c r="AD81" s="136"/>
      <c r="AE81" s="279"/>
      <c r="AF81" s="279"/>
      <c r="AG81" s="279"/>
      <c r="AH81" s="284"/>
      <c r="AI81" s="279"/>
      <c r="AJ81" s="279"/>
      <c r="AK81" s="279"/>
      <c r="AL81" s="281">
        <f>IF(AI81&lt;&gt;0,AK81/AI81,0)</f>
        <v>0</v>
      </c>
      <c r="AM81" s="280">
        <f>AK81-AJ81</f>
        <v>0</v>
      </c>
      <c r="AN81" s="284"/>
      <c r="AO81" s="279"/>
      <c r="AP81" s="279"/>
      <c r="AQ81" s="279"/>
      <c r="AR81" s="279"/>
      <c r="AS81" s="2113"/>
      <c r="AT81" s="2113"/>
      <c r="AU81" s="2113"/>
      <c r="AV81" s="2113"/>
      <c r="AW81" s="2113"/>
      <c r="AX81" s="279"/>
      <c r="AY81" s="279"/>
      <c r="AZ81" s="279"/>
      <c r="BA81" s="279"/>
      <c r="BB81" s="2113"/>
      <c r="BC81" s="2113"/>
      <c r="BD81" s="2113"/>
      <c r="BE81" s="2113"/>
      <c r="BF81" s="2113"/>
      <c r="BG81" s="1758"/>
      <c r="BH81" s="1758"/>
      <c r="BI81" s="997" t="s">
        <v>1230</v>
      </c>
      <c r="BJ81" s="1764"/>
      <c r="BK81" s="1764"/>
      <c r="BL81" s="1757"/>
      <c r="BM81" s="1757"/>
    </row>
    <row s="2256" customFormat="1" customHeight="1" ht="14.25">
      <c r="A82" s="1446"/>
      <c r="B82" s="429"/>
      <c r="C82" s="1446"/>
      <c r="D82" s="1446"/>
      <c r="E82" s="630">
        <v>15</v>
      </c>
      <c r="F82" s="749" cm="1" t="str">
        <f t="array" ref="F82:F82">Y82</f>
        <v>2</v>
      </c>
      <c r="G82" s="1446"/>
      <c r="H82" s="1446"/>
      <c r="I82" s="1446"/>
      <c r="J82" s="1446"/>
      <c r="K82" s="1446"/>
      <c r="L82" s="1446"/>
      <c r="M82" s="1446"/>
      <c r="N82" s="1446"/>
      <c r="O82" s="1446"/>
      <c r="P82" s="1446"/>
      <c r="Q82" s="1446"/>
      <c r="R82" s="1446"/>
      <c r="S82" s="1446"/>
      <c r="T82" s="1446"/>
      <c r="U82" s="465">
        <f>Y82&gt;0</f>
        <v>1</v>
      </c>
      <c r="V82" s="1446"/>
      <c r="W82" s="144" cm="1" t="str">
        <f t="array" ref="W82:W82">'Список объектов'!$AB$49</f>
        <v>Тариф 2 (Водоснабжение) - тариф на питьевую воду (Доп. признак не требуется)</v>
      </c>
      <c r="X82" s="1446"/>
      <c r="Y82" s="1543" t="s">
        <v>285</v>
      </c>
      <c r="Z82" s="1565"/>
      <c r="AA82" s="1446"/>
      <c r="AB82" s="183" cm="1" t="str">
        <f t="array" ref="AB82:AB82">'Список объектов'!$AB$49</f>
        <v>Тариф 2 (Водоснабжение) - тариф на питьевую воду (Доп. признак не требуется)</v>
      </c>
      <c r="AC82" s="180"/>
      <c r="AD82" s="174"/>
      <c r="AE82" s="174"/>
      <c r="AF82" s="174"/>
      <c r="AG82" s="174"/>
      <c r="AH82" s="174"/>
      <c r="AI82" s="174"/>
      <c r="AJ82" s="174"/>
      <c r="AK82" s="174"/>
      <c r="AL82" s="174"/>
      <c r="AM82" s="174"/>
      <c r="AN82" s="174"/>
      <c r="AO82" s="174"/>
      <c r="AP82" s="174"/>
      <c r="AQ82" s="174"/>
      <c r="AR82" s="174"/>
      <c r="AS82" s="174"/>
      <c r="AT82" s="174"/>
      <c r="AU82" s="174"/>
      <c r="AV82" s="174"/>
      <c r="AW82" s="174"/>
      <c r="AX82" s="174"/>
      <c r="AY82" s="174"/>
      <c r="AZ82" s="174"/>
      <c r="BA82" s="174"/>
      <c r="BB82" s="174"/>
      <c r="BC82" s="174"/>
      <c r="BD82" s="174"/>
      <c r="BE82" s="174"/>
      <c r="BF82" s="174"/>
      <c r="BG82" s="1446"/>
      <c r="BH82" s="1446"/>
      <c r="BI82" s="1013"/>
      <c r="BJ82" s="1013"/>
      <c r="BK82" s="1013"/>
      <c r="BL82" s="630"/>
      <c r="BM82" s="630"/>
    </row>
    <row s="1834" customFormat="1" customHeight="1" ht="14.25">
      <c r="A83" s="1758"/>
      <c r="B83" s="1416"/>
      <c r="C83" s="1758"/>
      <c r="D83" s="1758"/>
      <c r="E83" s="618">
        <v>15</v>
      </c>
      <c r="F83" s="50" cm="1" t="str">
        <f t="array" ref="F83:F83">OFFSET(E83,-1,1)</f>
        <v>2</v>
      </c>
      <c r="G83" s="122" t="s">
        <v>1172</v>
      </c>
      <c r="H83" s="1758"/>
      <c r="I83" s="1758"/>
      <c r="J83" s="1758"/>
      <c r="K83" s="1758"/>
      <c r="L83" s="1758"/>
      <c r="M83" s="1758"/>
      <c r="N83" s="1758"/>
      <c r="O83" s="1758"/>
      <c r="P83" s="1758"/>
      <c r="Q83" s="1758"/>
      <c r="R83" s="1758"/>
      <c r="S83" s="1758"/>
      <c r="T83" s="1758"/>
      <c r="U83" s="465" cm="1" t="str">
        <f t="array" ref="U83:U83">U82</f>
        <v>true</v>
      </c>
      <c r="V83" s="1758"/>
      <c r="W83" s="1758"/>
      <c r="X83" s="1758"/>
      <c r="Y83" s="1543"/>
      <c r="Z83" s="1565"/>
      <c r="AA83" s="1758"/>
      <c r="AB83" s="270"/>
      <c r="AC83" s="271" t="s">
        <v>1173</v>
      </c>
      <c r="AD83" s="272"/>
      <c r="AE83" s="272"/>
      <c r="AF83" s="272"/>
      <c r="AG83" s="272"/>
      <c r="AH83" s="272"/>
      <c r="AI83" s="305">
        <f>(1-AI84/100)*(1+AI85/100)*(1+AI87/100)</f>
        <v>1</v>
      </c>
      <c r="AJ83" s="305">
        <f>(1-AJ84/100)*(1+AJ85/100)*(1+AJ87/100)</f>
        <v>1.051</v>
      </c>
      <c r="AK83" s="305">
        <f>(1-AK84/100)*(1+AK85/100)*(1+AK87/100)</f>
        <v>1.051</v>
      </c>
      <c r="AL83" s="272"/>
      <c r="AM83" s="272"/>
      <c r="AN83" s="272"/>
      <c r="AO83" s="305">
        <f>(1-AO84/100)*(1+AO85/100)*(1+AO87/100)</f>
        <v>1.0296</v>
      </c>
      <c r="AP83" s="305">
        <f>(1-AP84/100)*(1+AP85/100)*(1+AP87/100)</f>
        <v>1.0296</v>
      </c>
      <c r="AQ83" s="305">
        <f>(1-AQ84/100)*(1+AQ85/100)*(1+AQ87/100)</f>
        <v>1.0296</v>
      </c>
      <c r="AR83" s="305">
        <f>(1-AR84/100)*(1+AR85/100)*(1+AR87/100)</f>
        <v>1.0296</v>
      </c>
      <c r="AS83" s="305">
        <f>(1-AS84/100)*(1+AS85/100)*(1+AS87/100)</f>
        <v>1</v>
      </c>
      <c r="AT83" s="305">
        <f>(1-AT84/100)*(1+AT85/100)*(1+AT87/100)</f>
        <v>1</v>
      </c>
      <c r="AU83" s="305">
        <f>(1-AU84/100)*(1+AU85/100)*(1+AU87/100)</f>
        <v>1</v>
      </c>
      <c r="AV83" s="305">
        <f>(1-AV84/100)*(1+AV85/100)*(1+AV87/100)</f>
        <v>1</v>
      </c>
      <c r="AW83" s="305">
        <f>(1-AW84/100)*(1+AW85/100)*(1+AW87/100)</f>
        <v>1</v>
      </c>
      <c r="AX83" s="305">
        <f>(1-AX84/100)*(1+AX85/100)*(1+AX87/100)</f>
        <v>1.0296</v>
      </c>
      <c r="AY83" s="305">
        <f>(1-AY84/100)*(1+AY85/100)*(1+AY87/100)</f>
        <v>1.0296</v>
      </c>
      <c r="AZ83" s="305">
        <f>(1-AZ84/100)*(1+AZ85/100)*(1+AZ87/100)</f>
        <v>1.0296</v>
      </c>
      <c r="BA83" s="305">
        <f>(1-BA84/100)*(1+BA85/100)*(1+BA87/100)</f>
        <v>1.0296</v>
      </c>
      <c r="BB83" s="305">
        <f>(1-BB84/100)*(1+BB85/100)*(1+BB87/100)</f>
        <v>1</v>
      </c>
      <c r="BC83" s="305">
        <f>(1-BC84/100)*(1+BC85/100)*(1+BC87/100)</f>
        <v>1</v>
      </c>
      <c r="BD83" s="305">
        <f>(1-BD84/100)*(1+BD85/100)*(1+BD87/100)</f>
        <v>1</v>
      </c>
      <c r="BE83" s="305">
        <f>(1-BE84/100)*(1+BE85/100)*(1+BE87/100)</f>
        <v>1</v>
      </c>
      <c r="BF83" s="305">
        <f>(1-BF84/100)*(1+BF85/100)*(1+BF87/100)</f>
        <v>1</v>
      </c>
      <c r="BG83" s="1758"/>
      <c r="BH83" s="1758"/>
      <c r="BI83" s="1764"/>
      <c r="BJ83" s="1764"/>
      <c r="BK83" s="1764"/>
      <c r="BL83" s="1757"/>
      <c r="BM83" s="1757"/>
    </row>
    <row s="1834" customFormat="1" customHeight="1" ht="21.75">
      <c r="A84" s="1758"/>
      <c r="B84" s="446">
        <f>method_reg&lt;&gt;"Метод экономически обоснованных расходов"</f>
        <v>1</v>
      </c>
      <c r="C84" s="1758"/>
      <c r="D84" s="1758"/>
      <c r="E84" s="618">
        <v>22.5</v>
      </c>
      <c r="F84" s="50" cm="1" t="str">
        <f t="array" ref="F84:F84">OFFSET(E84,-1,1)</f>
        <v>2</v>
      </c>
      <c r="G84" s="122" t="s">
        <v>1174</v>
      </c>
      <c r="H84" s="122" t="s">
        <v>1175</v>
      </c>
      <c r="I84" s="1758"/>
      <c r="J84" s="1758"/>
      <c r="K84" s="1758"/>
      <c r="L84" s="1758"/>
      <c r="M84" s="1758"/>
      <c r="N84" s="1758"/>
      <c r="O84" s="1758"/>
      <c r="P84" s="1758"/>
      <c r="Q84" s="1758"/>
      <c r="R84" s="1758"/>
      <c r="S84" s="1758"/>
      <c r="T84" s="1758"/>
      <c r="U84" s="465" cm="1" t="str">
        <f t="array" ref="U84:U84">U83</f>
        <v>true</v>
      </c>
      <c r="V84" s="1758"/>
      <c r="W84" s="1758"/>
      <c r="X84" s="1758"/>
      <c r="Y84" s="1543"/>
      <c r="Z84" s="1565"/>
      <c r="AA84" s="1758"/>
      <c r="AB84" s="133">
        <v>1</v>
      </c>
      <c r="AC84" s="134" t="s">
        <v>1176</v>
      </c>
      <c r="AD84" s="136" t="s">
        <v>1170</v>
      </c>
      <c r="AE84" s="276"/>
      <c r="AF84" s="276"/>
      <c r="AG84" s="276"/>
      <c r="AH84" s="200"/>
      <c r="AI84" s="276"/>
      <c r="AJ84" s="276"/>
      <c r="AK84" s="276"/>
      <c r="AL84" s="281">
        <f>IF(AI84&lt;&gt;0,AK84/AI84,0)</f>
        <v>0</v>
      </c>
      <c r="AM84" s="280">
        <f>AK84-AJ84</f>
        <v>0</v>
      </c>
      <c r="AN84" s="200"/>
      <c r="AO84" s="276">
        <v>1</v>
      </c>
      <c r="AP84" s="276">
        <v>1</v>
      </c>
      <c r="AQ84" s="276">
        <v>1</v>
      </c>
      <c r="AR84" s="276">
        <v>1</v>
      </c>
      <c r="AS84" s="2069"/>
      <c r="AT84" s="2069"/>
      <c r="AU84" s="2069"/>
      <c r="AV84" s="2069"/>
      <c r="AW84" s="2069"/>
      <c r="AX84" s="276">
        <v>1</v>
      </c>
      <c r="AY84" s="276">
        <v>1</v>
      </c>
      <c r="AZ84" s="276">
        <v>1</v>
      </c>
      <c r="BA84" s="276">
        <v>1</v>
      </c>
      <c r="BB84" s="2069"/>
      <c r="BC84" s="2069"/>
      <c r="BD84" s="2069"/>
      <c r="BE84" s="2069"/>
      <c r="BF84" s="2069"/>
      <c r="BG84" s="1758"/>
      <c r="BH84" s="1758"/>
      <c r="BI84" s="997" t="s">
        <v>1177</v>
      </c>
      <c r="BJ84" s="1764"/>
      <c r="BK84" s="1764"/>
      <c r="BL84" s="1757"/>
      <c r="BM84" s="1757"/>
    </row>
    <row s="1834" customFormat="1" customHeight="1" ht="128.25">
      <c r="A85" s="1758"/>
      <c r="B85" s="1416"/>
      <c r="C85" s="1758"/>
      <c r="D85" s="1758"/>
      <c r="E85" s="618">
        <v>15</v>
      </c>
      <c r="F85" s="50" cm="1" t="str">
        <f t="array" ref="F85:F85">OFFSET(E85,-1,1)</f>
        <v>2</v>
      </c>
      <c r="G85" s="122" t="s">
        <v>1178</v>
      </c>
      <c r="H85" s="122" t="s">
        <v>1179</v>
      </c>
      <c r="I85" s="1758"/>
      <c r="J85" s="1758"/>
      <c r="K85" s="1758"/>
      <c r="L85" s="1758"/>
      <c r="M85" s="1758"/>
      <c r="N85" s="1758"/>
      <c r="O85" s="1758"/>
      <c r="P85" s="1758"/>
      <c r="Q85" s="1758"/>
      <c r="R85" s="1758"/>
      <c r="S85" s="1758"/>
      <c r="T85" s="1758"/>
      <c r="U85" s="465" cm="1" t="str">
        <f t="array" ref="U85:U85">U84</f>
        <v>true</v>
      </c>
      <c r="V85" s="1758"/>
      <c r="W85" s="1758"/>
      <c r="X85" s="1758"/>
      <c r="Y85" s="1543"/>
      <c r="Z85" s="1565"/>
      <c r="AA85" s="1758"/>
      <c r="AB85" s="133">
        <f>IF(B84,2,1)</f>
        <v>2</v>
      </c>
      <c r="AC85" s="135" t="s">
        <v>1180</v>
      </c>
      <c r="AD85" s="136" t="s">
        <v>1170</v>
      </c>
      <c r="AE85" s="276"/>
      <c r="AF85" s="276"/>
      <c r="AG85" s="276"/>
      <c r="AH85" s="200"/>
      <c r="AI85" s="276"/>
      <c r="AJ85" s="276">
        <v>5.1</v>
      </c>
      <c r="AK85" s="276">
        <v>5.1</v>
      </c>
      <c r="AL85" s="281">
        <f>IF(AI85&lt;&gt;0,AK85/AI85,0)</f>
        <v>0</v>
      </c>
      <c r="AM85" s="280">
        <f>AK85-AJ85</f>
        <v>0</v>
      </c>
      <c r="AN85" s="200" t="s">
        <v>1231</v>
      </c>
      <c r="AO85" s="276">
        <v>4</v>
      </c>
      <c r="AP85" s="276">
        <v>4</v>
      </c>
      <c r="AQ85" s="276">
        <v>4</v>
      </c>
      <c r="AR85" s="276">
        <v>4</v>
      </c>
      <c r="AS85" s="2069"/>
      <c r="AT85" s="2069"/>
      <c r="AU85" s="2069"/>
      <c r="AV85" s="2069"/>
      <c r="AW85" s="2069"/>
      <c r="AX85" s="276">
        <v>4</v>
      </c>
      <c r="AY85" s="276">
        <v>4</v>
      </c>
      <c r="AZ85" s="276">
        <v>4</v>
      </c>
      <c r="BA85" s="276">
        <v>4</v>
      </c>
      <c r="BB85" s="2069"/>
      <c r="BC85" s="2069"/>
      <c r="BD85" s="2069"/>
      <c r="BE85" s="2069"/>
      <c r="BF85" s="2069"/>
      <c r="BG85" s="1758"/>
      <c r="BH85" s="1758"/>
      <c r="BI85" s="997" t="s">
        <v>1181</v>
      </c>
      <c r="BJ85" s="1764"/>
      <c r="BK85" s="1764"/>
      <c r="BL85" s="1757"/>
      <c r="BM85" s="1757"/>
    </row>
    <row s="1834" customFormat="1" customHeight="1" ht="14.25">
      <c r="A86" s="1758"/>
      <c r="B86" s="1416"/>
      <c r="C86" s="1758"/>
      <c r="D86" s="1758"/>
      <c r="E86" s="618">
        <v>15</v>
      </c>
      <c r="F86" s="50" cm="1" t="str">
        <f t="array" ref="F86:F86">OFFSET(E86,-1,1)</f>
        <v>2</v>
      </c>
      <c r="G86" s="1758"/>
      <c r="H86" s="122" t="s">
        <v>1182</v>
      </c>
      <c r="I86" s="1758"/>
      <c r="J86" s="1758"/>
      <c r="K86" s="1758"/>
      <c r="L86" s="1758"/>
      <c r="M86" s="1758"/>
      <c r="N86" s="1758"/>
      <c r="O86" s="1758"/>
      <c r="P86" s="1758"/>
      <c r="Q86" s="1758"/>
      <c r="R86" s="1758"/>
      <c r="S86" s="1758"/>
      <c r="T86" s="1758"/>
      <c r="U86" s="465" cm="1" t="str">
        <f t="array" ref="U86:U86">U85</f>
        <v>true</v>
      </c>
      <c r="V86" s="1758"/>
      <c r="W86" s="1758"/>
      <c r="X86" s="1758"/>
      <c r="Y86" s="1543"/>
      <c r="Z86" s="1565"/>
      <c r="AA86" s="1758"/>
      <c r="AB86" s="133">
        <f>AB85+1</f>
        <v>3</v>
      </c>
      <c r="AC86" s="137" t="s">
        <v>1183</v>
      </c>
      <c r="AD86" s="136" t="s">
        <v>1170</v>
      </c>
      <c r="AE86" s="276"/>
      <c r="AF86" s="276"/>
      <c r="AG86" s="276"/>
      <c r="AH86" s="200"/>
      <c r="AI86" s="276"/>
      <c r="AJ86" s="276">
        <v>13.2</v>
      </c>
      <c r="AK86" s="276">
        <v>13.2</v>
      </c>
      <c r="AL86" s="281">
        <f>IF(AI86&lt;&gt;0,AK86/AI86,0)</f>
        <v>0</v>
      </c>
      <c r="AM86" s="280">
        <f>AK86-AJ86</f>
        <v>0</v>
      </c>
      <c r="AN86" s="200"/>
      <c r="AO86" s="276">
        <v>9.1</v>
      </c>
      <c r="AP86" s="276">
        <v>4.9</v>
      </c>
      <c r="AQ86" s="276">
        <v>4.9</v>
      </c>
      <c r="AR86" s="276">
        <v>4.9</v>
      </c>
      <c r="AS86" s="2069"/>
      <c r="AT86" s="2069"/>
      <c r="AU86" s="2069"/>
      <c r="AV86" s="2069"/>
      <c r="AW86" s="2069"/>
      <c r="AX86" s="276">
        <v>9.1</v>
      </c>
      <c r="AY86" s="276">
        <v>4.9</v>
      </c>
      <c r="AZ86" s="276">
        <v>4.9</v>
      </c>
      <c r="BA86" s="276">
        <v>4.9</v>
      </c>
      <c r="BB86" s="2069"/>
      <c r="BC86" s="2069"/>
      <c r="BD86" s="2069"/>
      <c r="BE86" s="2069"/>
      <c r="BF86" s="2069"/>
      <c r="BG86" s="1758"/>
      <c r="BH86" s="1758"/>
      <c r="BI86" s="997" t="s">
        <v>1184</v>
      </c>
      <c r="BJ86" s="1764"/>
      <c r="BK86" s="1764"/>
      <c r="BL86" s="1757"/>
      <c r="BM86" s="1757"/>
    </row>
    <row s="1834" customFormat="1" customHeight="1" ht="14.25">
      <c r="A87" s="1758"/>
      <c r="B87" s="446">
        <f>method_reg&lt;&gt;"Метод экономически обоснованных расходов"</f>
        <v>1</v>
      </c>
      <c r="C87" s="1758"/>
      <c r="D87" s="1758"/>
      <c r="E87" s="618">
        <v>15</v>
      </c>
      <c r="F87" s="50" cm="1" t="str">
        <f t="array" ref="F87:F87">OFFSET(E87,-1,1)</f>
        <v>2</v>
      </c>
      <c r="G87" s="122" t="s">
        <v>1185</v>
      </c>
      <c r="H87" s="122" t="s">
        <v>1186</v>
      </c>
      <c r="I87" s="1758"/>
      <c r="J87" s="1758"/>
      <c r="K87" s="1758"/>
      <c r="L87" s="1758"/>
      <c r="M87" s="1758"/>
      <c r="N87" s="1758"/>
      <c r="O87" s="1758"/>
      <c r="P87" s="1758"/>
      <c r="Q87" s="1758"/>
      <c r="R87" s="1758"/>
      <c r="S87" s="1758"/>
      <c r="T87" s="1758"/>
      <c r="U87" s="465" cm="1" t="str">
        <f t="array" ref="U87:U87">U86</f>
        <v>true</v>
      </c>
      <c r="V87" s="1758"/>
      <c r="W87" s="1758"/>
      <c r="X87" s="1758"/>
      <c r="Y87" s="1543"/>
      <c r="Z87" s="1565"/>
      <c r="AA87" s="1758"/>
      <c r="AB87" s="133">
        <v>4</v>
      </c>
      <c r="AC87" s="135" t="s">
        <v>1187</v>
      </c>
      <c r="AD87" s="136" t="s">
        <v>1170</v>
      </c>
      <c r="AE87" s="276"/>
      <c r="AF87" s="276"/>
      <c r="AG87" s="276"/>
      <c r="AH87" s="200"/>
      <c r="AI87" s="276"/>
      <c r="AJ87" s="276"/>
      <c r="AK87" s="276"/>
      <c r="AL87" s="281">
        <f>IF(AI87&lt;&gt;0,AK87/AI87,0)</f>
        <v>0</v>
      </c>
      <c r="AM87" s="280">
        <f>AK87-AJ87</f>
        <v>0</v>
      </c>
      <c r="AN87" s="200"/>
      <c r="AO87" s="276"/>
      <c r="AP87" s="276"/>
      <c r="AQ87" s="276"/>
      <c r="AR87" s="276"/>
      <c r="AS87" s="2069"/>
      <c r="AT87" s="2069"/>
      <c r="AU87" s="2069"/>
      <c r="AV87" s="2069"/>
      <c r="AW87" s="2069"/>
      <c r="AX87" s="276"/>
      <c r="AY87" s="276"/>
      <c r="AZ87" s="276"/>
      <c r="BA87" s="276"/>
      <c r="BB87" s="2069"/>
      <c r="BC87" s="2069"/>
      <c r="BD87" s="2069"/>
      <c r="BE87" s="2069"/>
      <c r="BF87" s="2069"/>
      <c r="BG87" s="1758"/>
      <c r="BH87" s="1758"/>
      <c r="BI87" s="997" t="s">
        <v>1188</v>
      </c>
      <c r="BJ87" s="1764"/>
      <c r="BK87" s="1764"/>
      <c r="BL87" s="1757"/>
      <c r="BM87" s="1757"/>
    </row>
    <row s="1806" customFormat="1" customHeight="1" ht="21.609375">
      <c r="A88" s="149"/>
      <c r="B88" s="447"/>
      <c r="C88" s="149"/>
      <c r="D88" s="149"/>
      <c r="E88" s="676">
        <v>15</v>
      </c>
      <c r="F88" s="374" cm="1" t="str">
        <f t="array" ref="F88:F88">OFFSET(E88,-1,1)</f>
        <v>2</v>
      </c>
      <c r="G88" s="149"/>
      <c r="H88" s="149"/>
      <c r="I88" s="149"/>
      <c r="J88" s="149"/>
      <c r="K88" s="149"/>
      <c r="L88" s="149"/>
      <c r="M88" s="149"/>
      <c r="N88" s="149"/>
      <c r="O88" s="149"/>
      <c r="P88" s="149"/>
      <c r="Q88" s="149"/>
      <c r="R88" s="149"/>
      <c r="S88" s="149"/>
      <c r="T88" s="149"/>
      <c r="U88" s="465" cm="1" t="str">
        <f t="array" ref="U88:U88">U87</f>
        <v>true</v>
      </c>
      <c r="V88" s="149"/>
      <c r="W88" s="149"/>
      <c r="X88" s="149"/>
      <c r="Y88" s="1543"/>
      <c r="Z88" s="1565"/>
      <c r="AA88" s="149"/>
      <c r="AB88" s="133">
        <v>5</v>
      </c>
      <c r="AC88" s="135" t="s">
        <v>1189</v>
      </c>
      <c r="AD88" s="136" t="s">
        <v>1170</v>
      </c>
      <c r="AE88" s="276"/>
      <c r="AF88" s="276"/>
      <c r="AG88" s="276"/>
      <c r="AH88" s="200"/>
      <c r="AI88" s="276"/>
      <c r="AJ88" s="276"/>
      <c r="AK88" s="276"/>
      <c r="AL88" s="281">
        <f>IF(AI88&lt;&gt;0,AK88/AI88,0)</f>
        <v>0</v>
      </c>
      <c r="AM88" s="280">
        <f>AK88-AJ88</f>
        <v>0</v>
      </c>
      <c r="AN88" s="200"/>
      <c r="AO88" s="276"/>
      <c r="AP88" s="276"/>
      <c r="AQ88" s="276"/>
      <c r="AR88" s="276"/>
      <c r="AS88" s="2069"/>
      <c r="AT88" s="2069"/>
      <c r="AU88" s="2069"/>
      <c r="AV88" s="2069"/>
      <c r="AW88" s="2069"/>
      <c r="AX88" s="276"/>
      <c r="AY88" s="276"/>
      <c r="AZ88" s="276"/>
      <c r="BA88" s="276"/>
      <c r="BB88" s="2069"/>
      <c r="BC88" s="2069"/>
      <c r="BD88" s="2069"/>
      <c r="BE88" s="2069"/>
      <c r="BF88" s="2069"/>
      <c r="BG88" s="149"/>
      <c r="BH88" s="149"/>
      <c r="BI88" s="1038" t="s">
        <v>1190</v>
      </c>
      <c r="BJ88" s="1038"/>
      <c r="BK88" s="1038"/>
      <c r="BL88" s="676"/>
      <c r="BM88" s="676"/>
    </row>
    <row s="1834" customFormat="1" customHeight="1" ht="14.25">
      <c r="A89" s="1758"/>
      <c r="B89" s="1416"/>
      <c r="C89" s="1758"/>
      <c r="D89" s="1758"/>
      <c r="E89" s="618">
        <v>15</v>
      </c>
      <c r="F89" s="50" cm="1" t="str">
        <f t="array" ref="F89:F89">OFFSET(E89,-1,1)</f>
        <v>2</v>
      </c>
      <c r="G89" s="1758"/>
      <c r="H89" s="1758"/>
      <c r="I89" s="1758"/>
      <c r="J89" s="1758"/>
      <c r="K89" s="1758"/>
      <c r="L89" s="1758"/>
      <c r="M89" s="1758"/>
      <c r="N89" s="1758"/>
      <c r="O89" s="1758"/>
      <c r="P89" s="1758"/>
      <c r="Q89" s="1758"/>
      <c r="R89" s="1758"/>
      <c r="S89" s="1758"/>
      <c r="T89" s="1758"/>
      <c r="U89" s="465" cm="1" t="str">
        <f t="array" ref="U89:U89">U87</f>
        <v>true</v>
      </c>
      <c r="V89" s="1758"/>
      <c r="W89" s="1758"/>
      <c r="X89" s="1758"/>
      <c r="Y89" s="1543"/>
      <c r="Z89" s="1565"/>
      <c r="AA89" s="1758"/>
      <c r="AB89" s="270"/>
      <c r="AC89" s="271" t="s">
        <v>1191</v>
      </c>
      <c r="AD89" s="272"/>
      <c r="AE89" s="277"/>
      <c r="AF89" s="277"/>
      <c r="AG89" s="277"/>
      <c r="AH89" s="272"/>
      <c r="AI89" s="277"/>
      <c r="AJ89" s="277"/>
      <c r="AK89" s="277"/>
      <c r="AL89" s="282"/>
      <c r="AM89" s="277"/>
      <c r="AN89" s="272"/>
      <c r="AO89" s="277"/>
      <c r="AP89" s="277"/>
      <c r="AQ89" s="277"/>
      <c r="AR89" s="277"/>
      <c r="AS89" s="277"/>
      <c r="AT89" s="277"/>
      <c r="AU89" s="277"/>
      <c r="AV89" s="277"/>
      <c r="AW89" s="277"/>
      <c r="AX89" s="277"/>
      <c r="AY89" s="277"/>
      <c r="AZ89" s="277"/>
      <c r="BA89" s="277"/>
      <c r="BB89" s="277"/>
      <c r="BC89" s="277"/>
      <c r="BD89" s="277"/>
      <c r="BE89" s="277"/>
      <c r="BF89" s="283"/>
      <c r="BG89" s="1758"/>
      <c r="BH89" s="1758"/>
      <c r="BI89" s="1764"/>
      <c r="BJ89" s="1764"/>
      <c r="BK89" s="1764"/>
      <c r="BL89" s="1757"/>
      <c r="BM89" s="1757"/>
    </row>
    <row s="1834" customFormat="1" customHeight="1" ht="54.75">
      <c r="A90" s="1758"/>
      <c r="B90" s="1416"/>
      <c r="C90" s="1758"/>
      <c r="D90" s="1758"/>
      <c r="E90" s="618">
        <v>15</v>
      </c>
      <c r="F90" s="50" cm="1" t="str">
        <f t="array" ref="F90:F90">OFFSET(E90,-1,1)</f>
        <v>2</v>
      </c>
      <c r="G90" s="122" t="s">
        <v>1192</v>
      </c>
      <c r="H90" s="122" t="s">
        <v>1193</v>
      </c>
      <c r="I90" s="1758"/>
      <c r="J90" s="1758"/>
      <c r="K90" s="1758"/>
      <c r="L90" s="1758"/>
      <c r="M90" s="1758"/>
      <c r="N90" s="1758"/>
      <c r="O90" s="1758"/>
      <c r="P90" s="1758"/>
      <c r="Q90" s="1758"/>
      <c r="R90" s="1758"/>
      <c r="S90" s="1758"/>
      <c r="T90" s="1758"/>
      <c r="U90" s="465" cm="1" t="str">
        <f t="array" ref="U90:U90">U89</f>
        <v>true</v>
      </c>
      <c r="V90" s="1758"/>
      <c r="W90" s="1758"/>
      <c r="X90" s="1758"/>
      <c r="Y90" s="1543"/>
      <c r="Z90" s="1565"/>
      <c r="AA90" s="1758"/>
      <c r="AB90" s="133">
        <v>1</v>
      </c>
      <c r="AC90" s="135" t="s">
        <v>1194</v>
      </c>
      <c r="AD90" s="136" t="s">
        <v>1170</v>
      </c>
      <c r="AE90" s="278"/>
      <c r="AF90" s="278"/>
      <c r="AG90" s="278"/>
      <c r="AH90" s="200"/>
      <c r="AI90" s="278"/>
      <c r="AJ90" s="278">
        <v>30.2</v>
      </c>
      <c r="AK90" s="278">
        <v>30.2</v>
      </c>
      <c r="AL90" s="281">
        <f>IF(AI90&lt;&gt;0,AK90/AI90,0)</f>
        <v>0</v>
      </c>
      <c r="AM90" s="280">
        <f>AK90-AJ90</f>
        <v>0</v>
      </c>
      <c r="AN90" s="200" t="s">
        <v>1232</v>
      </c>
      <c r="AO90" s="278">
        <v>30.2</v>
      </c>
      <c r="AP90" s="278">
        <v>30.2</v>
      </c>
      <c r="AQ90" s="278">
        <v>30.2</v>
      </c>
      <c r="AR90" s="278">
        <v>30.2</v>
      </c>
      <c r="AS90" s="2082"/>
      <c r="AT90" s="2082"/>
      <c r="AU90" s="2082"/>
      <c r="AV90" s="2082"/>
      <c r="AW90" s="2082"/>
      <c r="AX90" s="278">
        <v>30.2</v>
      </c>
      <c r="AY90" s="278">
        <v>30.2</v>
      </c>
      <c r="AZ90" s="278">
        <v>30.2</v>
      </c>
      <c r="BA90" s="278">
        <v>30.2</v>
      </c>
      <c r="BB90" s="2082"/>
      <c r="BC90" s="2082"/>
      <c r="BD90" s="2082"/>
      <c r="BE90" s="2082"/>
      <c r="BF90" s="2082"/>
      <c r="BG90" s="1758"/>
      <c r="BH90" s="1758"/>
      <c r="BI90" s="997" t="s">
        <v>1195</v>
      </c>
      <c r="BJ90" s="1764"/>
      <c r="BK90" s="1764"/>
      <c r="BL90" s="1757"/>
      <c r="BM90" s="1757"/>
    </row>
    <row s="1834" customFormat="1" customHeight="1" ht="15" hidden="1">
      <c r="A91" s="1758"/>
      <c r="B91" s="1416"/>
      <c r="C91" s="1758"/>
      <c r="D91" s="1758"/>
      <c r="E91" s="618">
        <v>0</v>
      </c>
      <c r="F91" s="50" cm="1" t="str">
        <f t="array" ref="F91:F91">OFFSET(E91,-1,1)</f>
        <v>2</v>
      </c>
      <c r="G91" s="1758"/>
      <c r="H91" s="122" t="s">
        <v>1196</v>
      </c>
      <c r="I91" s="1758"/>
      <c r="J91" s="1758"/>
      <c r="K91" s="1758"/>
      <c r="L91" s="1758"/>
      <c r="M91" s="1758"/>
      <c r="N91" s="1758"/>
      <c r="O91" s="1758"/>
      <c r="P91" s="1758"/>
      <c r="Q91" s="1758"/>
      <c r="R91" s="1758"/>
      <c r="S91" s="1758"/>
      <c r="T91" s="1758"/>
      <c r="U91" s="465" cm="1" t="str">
        <f t="array" ref="U91:U91">U90</f>
        <v>true</v>
      </c>
      <c r="V91" s="1758"/>
      <c r="W91" s="1758"/>
      <c r="X91" s="1758"/>
      <c r="Y91" s="1543"/>
      <c r="Z91" s="1565"/>
      <c r="AA91" s="1758"/>
      <c r="AB91" s="133">
        <v>2</v>
      </c>
      <c r="AC91" s="135" t="s">
        <v>1169</v>
      </c>
      <c r="AD91" s="136" t="s">
        <v>1170</v>
      </c>
      <c r="AE91" s="2082"/>
      <c r="AF91" s="2069"/>
      <c r="AG91" s="2082"/>
      <c r="AH91" s="2070"/>
      <c r="AI91" s="2082"/>
      <c r="AJ91" s="2082"/>
      <c r="AK91" s="2082"/>
      <c r="AL91" s="281">
        <f>IF(AI91&lt;&gt;0,AK91/AI91,0)</f>
        <v>0</v>
      </c>
      <c r="AM91" s="280">
        <f>AK91-AJ91</f>
        <v>0</v>
      </c>
      <c r="AN91" s="2070"/>
      <c r="AO91" s="2082"/>
      <c r="AP91" s="2082"/>
      <c r="AQ91" s="2082"/>
      <c r="AR91" s="2082"/>
      <c r="AS91" s="2082"/>
      <c r="AT91" s="2082"/>
      <c r="AU91" s="2082"/>
      <c r="AV91" s="2082"/>
      <c r="AW91" s="2082"/>
      <c r="AX91" s="2082"/>
      <c r="AY91" s="2082"/>
      <c r="AZ91" s="2082"/>
      <c r="BA91" s="2082"/>
      <c r="BB91" s="2082"/>
      <c r="BC91" s="2082"/>
      <c r="BD91" s="2082"/>
      <c r="BE91" s="2082"/>
      <c r="BF91" s="2082"/>
      <c r="BG91" s="1758"/>
      <c r="BH91" s="1758"/>
      <c r="BI91" s="997" t="s">
        <v>1197</v>
      </c>
      <c r="BJ91" s="1764"/>
      <c r="BK91" s="1764"/>
      <c r="BL91" s="1757"/>
      <c r="BM91" s="1757"/>
    </row>
    <row s="1834" customFormat="1" customHeight="1" ht="0">
      <c r="A92" s="1758"/>
      <c r="B92" s="1416"/>
      <c r="C92" s="1758"/>
      <c r="D92" s="1758"/>
      <c r="E92" s="618">
        <v>15</v>
      </c>
      <c r="F92" s="50" cm="1" t="str">
        <f t="array" ref="F92:F92">OFFSET(E92,-1,1)</f>
        <v>2</v>
      </c>
      <c r="G92" s="1758"/>
      <c r="H92" s="1758"/>
      <c r="I92" s="1758"/>
      <c r="J92" s="1758"/>
      <c r="K92" s="1758"/>
      <c r="L92" s="1758"/>
      <c r="M92" s="1758"/>
      <c r="N92" s="1758"/>
      <c r="O92" s="1758"/>
      <c r="P92" s="1758"/>
      <c r="Q92" s="1758"/>
      <c r="R92" s="1758"/>
      <c r="S92" s="1758"/>
      <c r="T92" s="1758"/>
      <c r="U92" s="465" cm="1" t="str">
        <f t="array" ref="U92:U92">U91</f>
        <v>true</v>
      </c>
      <c r="V92" s="1758"/>
      <c r="W92" s="1758"/>
      <c r="X92" s="1758"/>
      <c r="Y92" s="1543"/>
      <c r="Z92" s="1565"/>
      <c r="AA92" s="1758"/>
      <c r="AB92" s="606">
        <v>2</v>
      </c>
      <c r="AC92" s="607" t="s">
        <v>1198</v>
      </c>
      <c r="AD92" s="94"/>
      <c r="AE92" s="608"/>
      <c r="AF92" s="609"/>
      <c r="AG92" s="610"/>
      <c r="AH92" s="611"/>
      <c r="AI92" s="608"/>
      <c r="AJ92" s="609"/>
      <c r="AK92" s="609"/>
      <c r="AL92" s="612"/>
      <c r="AM92" s="609"/>
      <c r="AN92" s="611"/>
      <c r="AO92" s="608"/>
      <c r="AP92" s="608"/>
      <c r="AQ92" s="608"/>
      <c r="AR92" s="608"/>
      <c r="AS92" s="608"/>
      <c r="AT92" s="608"/>
      <c r="AU92" s="608"/>
      <c r="AV92" s="608"/>
      <c r="AW92" s="608"/>
      <c r="AX92" s="608"/>
      <c r="AY92" s="608"/>
      <c r="AZ92" s="608"/>
      <c r="BA92" s="608"/>
      <c r="BB92" s="608"/>
      <c r="BC92" s="608"/>
      <c r="BD92" s="608"/>
      <c r="BE92" s="608"/>
      <c r="BF92" s="608"/>
      <c r="BG92" s="1758"/>
      <c r="BH92" s="1758"/>
      <c r="BI92" s="997" t="s">
        <v>1199</v>
      </c>
      <c r="BJ92" s="1764"/>
      <c r="BK92" s="1764"/>
      <c r="BL92" s="1757"/>
      <c r="BM92" s="1757"/>
    </row>
    <row s="1834" customFormat="1" customHeight="1" ht="0">
      <c r="A93" s="1758"/>
      <c r="B93" s="1416"/>
      <c r="C93" s="1758"/>
      <c r="D93" s="1758"/>
      <c r="E93" s="618">
        <v>22.5</v>
      </c>
      <c r="F93" s="50" cm="1" t="str">
        <f t="array" ref="F93:F93">OFFSET(E93,-1,1)</f>
        <v>2</v>
      </c>
      <c r="G93" s="1758"/>
      <c r="H93" s="122" t="s">
        <v>1200</v>
      </c>
      <c r="I93" s="1758"/>
      <c r="J93" s="1758"/>
      <c r="K93" s="1758"/>
      <c r="L93" s="1758"/>
      <c r="M93" s="1758"/>
      <c r="N93" s="1758"/>
      <c r="O93" s="1758"/>
      <c r="P93" s="1758"/>
      <c r="Q93" s="1758"/>
      <c r="R93" s="1758"/>
      <c r="S93" s="1758"/>
      <c r="T93" s="1758"/>
      <c r="U93" s="465" cm="1" t="str">
        <f t="array" ref="U93:U93">U92</f>
        <v>true</v>
      </c>
      <c r="V93" s="1758"/>
      <c r="W93" s="1758"/>
      <c r="X93" s="1758"/>
      <c r="Y93" s="1543"/>
      <c r="Z93" s="1565"/>
      <c r="AA93" s="1758"/>
      <c r="AB93" s="220" t="s">
        <v>1201</v>
      </c>
      <c r="AC93" s="214" t="s">
        <v>1202</v>
      </c>
      <c r="AD93" s="91" t="s">
        <v>1203</v>
      </c>
      <c r="AE93" s="307"/>
      <c r="AF93" s="613"/>
      <c r="AG93" s="614"/>
      <c r="AH93" s="309"/>
      <c r="AI93" s="307"/>
      <c r="AJ93" s="613"/>
      <c r="AK93" s="613"/>
      <c r="AL93" s="615">
        <f>IF(AI93&lt;&gt;0,AK93/AI93,0)</f>
        <v>0</v>
      </c>
      <c r="AM93" s="616">
        <f>AK93-AJ93</f>
        <v>0</v>
      </c>
      <c r="AN93" s="309"/>
      <c r="AO93" s="307"/>
      <c r="AP93" s="307"/>
      <c r="AQ93" s="307"/>
      <c r="AR93" s="307"/>
      <c r="AS93" s="2094"/>
      <c r="AT93" s="2094"/>
      <c r="AU93" s="2094"/>
      <c r="AV93" s="2094"/>
      <c r="AW93" s="2094"/>
      <c r="AX93" s="307"/>
      <c r="AY93" s="307"/>
      <c r="AZ93" s="307"/>
      <c r="BA93" s="307"/>
      <c r="BB93" s="2094"/>
      <c r="BC93" s="2094"/>
      <c r="BD93" s="2094"/>
      <c r="BE93" s="2094"/>
      <c r="BF93" s="2094"/>
      <c r="BG93" s="1758"/>
      <c r="BH93" s="1758"/>
      <c r="BI93" s="997" t="s">
        <v>1204</v>
      </c>
      <c r="BJ93" s="1764"/>
      <c r="BK93" s="1764"/>
      <c r="BL93" s="1757"/>
      <c r="BM93" s="1757"/>
    </row>
    <row s="1834" customFormat="1" customHeight="1" ht="0" hidden="1">
      <c r="A94" s="1758"/>
      <c r="B94" s="1416"/>
      <c r="C94" s="1758"/>
      <c r="D94" s="1758"/>
      <c r="E94" s="618">
        <v>22.5</v>
      </c>
      <c r="F94" s="50" cm="1" t="str">
        <f t="array" ref="F94:F94">OFFSET(E94,-1,1)</f>
        <v>2</v>
      </c>
      <c r="G94" s="1758"/>
      <c r="H94" s="1758"/>
      <c r="I94" s="122" cm="1" t="str">
        <f t="array" ref="I94:I94">AC94</f>
        <v>0</v>
      </c>
      <c r="J94" s="1758"/>
      <c r="K94" s="1758"/>
      <c r="L94" s="1758"/>
      <c r="M94" s="1758"/>
      <c r="N94" s="1758"/>
      <c r="O94" s="1758"/>
      <c r="P94" s="1758"/>
      <c r="Q94" s="1758"/>
      <c r="R94" s="1758"/>
      <c r="S94" s="1758"/>
      <c r="T94" s="1758"/>
      <c r="U94" s="465">
        <f>AND(F94&gt;0,--RIGHT(AB94,1)&gt;1)</f>
        <v>0</v>
      </c>
      <c r="V94" s="1758"/>
      <c r="W94" s="1758"/>
      <c r="X94" s="757" t="s">
        <v>174</v>
      </c>
      <c r="Y94" s="1543"/>
      <c r="Z94" s="1565"/>
      <c r="AA94" s="420" t="s">
        <v>175</v>
      </c>
      <c r="AB94" s="220" t="s">
        <v>1201</v>
      </c>
      <c r="AC94" s="2100"/>
      <c r="AD94" s="91" t="s">
        <v>1203</v>
      </c>
      <c r="AE94" s="2094"/>
      <c r="AF94" s="2095"/>
      <c r="AG94" s="2096"/>
      <c r="AH94" s="2097"/>
      <c r="AI94" s="2094"/>
      <c r="AJ94" s="2095"/>
      <c r="AK94" s="2095"/>
      <c r="AL94" s="615">
        <f>IF(AI94&lt;&gt;0,AK94/AI94,0)</f>
        <v>0</v>
      </c>
      <c r="AM94" s="616">
        <f>AK94-AJ94</f>
        <v>0</v>
      </c>
      <c r="AN94" s="2097"/>
      <c r="AO94" s="2094"/>
      <c r="AP94" s="2094"/>
      <c r="AQ94" s="2094"/>
      <c r="AR94" s="2094"/>
      <c r="AS94" s="2094"/>
      <c r="AT94" s="2094"/>
      <c r="AU94" s="2094"/>
      <c r="AV94" s="2094"/>
      <c r="AW94" s="2094"/>
      <c r="AX94" s="2094"/>
      <c r="AY94" s="2094"/>
      <c r="AZ94" s="2094"/>
      <c r="BA94" s="2094"/>
      <c r="BB94" s="2094"/>
      <c r="BC94" s="2094"/>
      <c r="BD94" s="2094"/>
      <c r="BE94" s="2094"/>
      <c r="BF94" s="2094"/>
      <c r="BG94" s="1758"/>
      <c r="BH94" s="1758"/>
      <c r="BI94" s="997" t="s">
        <v>1204</v>
      </c>
      <c r="BJ94" s="997" t="s">
        <v>1205</v>
      </c>
      <c r="BK94" s="997" cm="1" t="str">
        <f t="array" ref="BK94:BK94">AC94</f>
        <v>0</v>
      </c>
      <c r="BL94" s="1757"/>
      <c r="BM94" s="618" t="b">
        <v>1</v>
      </c>
    </row>
    <row s="1834" customFormat="1" customHeight="1" ht="0">
      <c r="A95" s="1758"/>
      <c r="B95" s="1416"/>
      <c r="C95" s="1758"/>
      <c r="D95" s="1758"/>
      <c r="E95" s="618">
        <v>15</v>
      </c>
      <c r="F95" s="50" cm="1" t="str">
        <f t="array" ref="F95:F95">OFFSET(E95,-1,1)</f>
        <v>2</v>
      </c>
      <c r="G95" s="1758"/>
      <c r="H95" s="1758"/>
      <c r="I95" s="1758"/>
      <c r="J95" s="1758"/>
      <c r="K95" s="1758"/>
      <c r="L95" s="1758"/>
      <c r="M95" s="1758"/>
      <c r="N95" s="1758"/>
      <c r="O95" s="1758"/>
      <c r="P95" s="1758"/>
      <c r="Q95" s="1758"/>
      <c r="R95" s="1758"/>
      <c r="S95" s="1758"/>
      <c r="T95" s="1758"/>
      <c r="U95" s="465">
        <f>F95&gt;0</f>
        <v>1</v>
      </c>
      <c r="V95" s="1758"/>
      <c r="W95" s="1758"/>
      <c r="X95" s="757" t="s">
        <v>408</v>
      </c>
      <c r="Y95" s="1543"/>
      <c r="Z95" s="1565"/>
      <c r="AA95" s="1758"/>
      <c r="AB95" s="175"/>
      <c r="AC95" s="308" t="s">
        <v>178</v>
      </c>
      <c r="AD95" s="176"/>
      <c r="AE95" s="176"/>
      <c r="AF95" s="176"/>
      <c r="AG95" s="176"/>
      <c r="AH95" s="176"/>
      <c r="AI95" s="176"/>
      <c r="AJ95" s="176"/>
      <c r="AK95" s="176"/>
      <c r="AL95" s="176"/>
      <c r="AM95" s="176"/>
      <c r="AN95" s="176"/>
      <c r="AO95" s="176"/>
      <c r="AP95" s="176"/>
      <c r="AQ95" s="176"/>
      <c r="AR95" s="176"/>
      <c r="AS95" s="176"/>
      <c r="AT95" s="176"/>
      <c r="AU95" s="176"/>
      <c r="AV95" s="176"/>
      <c r="AW95" s="176"/>
      <c r="AX95" s="176"/>
      <c r="AY95" s="176"/>
      <c r="AZ95" s="176"/>
      <c r="BA95" s="176"/>
      <c r="BB95" s="176"/>
      <c r="BC95" s="176"/>
      <c r="BD95" s="176"/>
      <c r="BE95" s="176"/>
      <c r="BF95" s="176"/>
      <c r="BG95" s="1758"/>
      <c r="BH95" s="1758"/>
      <c r="BI95" s="1764"/>
      <c r="BJ95" s="1764"/>
      <c r="BK95" s="1764"/>
      <c r="BL95" s="618" t="s">
        <v>1205</v>
      </c>
      <c r="BM95" s="1757"/>
    </row>
    <row s="1834" customFormat="1" customHeight="1" ht="0">
      <c r="A96" s="1758"/>
      <c r="B96" s="1416"/>
      <c r="C96" s="1758"/>
      <c r="D96" s="1758"/>
      <c r="E96" s="618">
        <v>22.5</v>
      </c>
      <c r="F96" s="50" cm="1" t="str">
        <f t="array" ref="F96:F96">OFFSET(E96,-1,1)</f>
        <v>2</v>
      </c>
      <c r="G96" s="1758"/>
      <c r="H96" s="122" t="s">
        <v>1206</v>
      </c>
      <c r="I96" s="1758"/>
      <c r="J96" s="1758"/>
      <c r="K96" s="1758"/>
      <c r="L96" s="1758"/>
      <c r="M96" s="1758"/>
      <c r="N96" s="1758"/>
      <c r="O96" s="1758"/>
      <c r="P96" s="1758"/>
      <c r="Q96" s="1758"/>
      <c r="R96" s="1758"/>
      <c r="S96" s="1758"/>
      <c r="T96" s="1758"/>
      <c r="U96" s="465" cm="1" t="str">
        <f t="array" ref="U96:U96">U95</f>
        <v>true</v>
      </c>
      <c r="V96" s="1758"/>
      <c r="W96" s="1758"/>
      <c r="X96" s="1758"/>
      <c r="Y96" s="1543"/>
      <c r="Z96" s="1565"/>
      <c r="AA96" s="1758"/>
      <c r="AB96" s="598" t="s">
        <v>1207</v>
      </c>
      <c r="AC96" s="599" t="s">
        <v>1208</v>
      </c>
      <c r="AD96" s="595" t="s">
        <v>1203</v>
      </c>
      <c r="AE96" s="600"/>
      <c r="AF96" s="601"/>
      <c r="AG96" s="602"/>
      <c r="AH96" s="603"/>
      <c r="AI96" s="600"/>
      <c r="AJ96" s="601"/>
      <c r="AK96" s="601"/>
      <c r="AL96" s="604">
        <f>IF(AI96&lt;&gt;0,AK96/AI96,0)</f>
        <v>0</v>
      </c>
      <c r="AM96" s="605">
        <f>AK96-AJ96</f>
        <v>0</v>
      </c>
      <c r="AN96" s="603"/>
      <c r="AO96" s="600"/>
      <c r="AP96" s="600"/>
      <c r="AQ96" s="600"/>
      <c r="AR96" s="600"/>
      <c r="AS96" s="2104"/>
      <c r="AT96" s="2104"/>
      <c r="AU96" s="2104"/>
      <c r="AV96" s="2104"/>
      <c r="AW96" s="2104"/>
      <c r="AX96" s="600"/>
      <c r="AY96" s="600"/>
      <c r="AZ96" s="600"/>
      <c r="BA96" s="600"/>
      <c r="BB96" s="2104"/>
      <c r="BC96" s="2104"/>
      <c r="BD96" s="2104"/>
      <c r="BE96" s="2104"/>
      <c r="BF96" s="2104"/>
      <c r="BG96" s="1758"/>
      <c r="BH96" s="1758"/>
      <c r="BI96" s="997" t="s">
        <v>1209</v>
      </c>
      <c r="BJ96" s="1764"/>
      <c r="BK96" s="1764"/>
      <c r="BL96" s="1757"/>
      <c r="BM96" s="1757"/>
    </row>
    <row s="1834" customFormat="1" customHeight="1" ht="0" hidden="1">
      <c r="A97" s="1758"/>
      <c r="B97" s="1416"/>
      <c r="C97" s="1758"/>
      <c r="D97" s="1758"/>
      <c r="E97" s="618">
        <v>22.5</v>
      </c>
      <c r="F97" s="50" cm="1" t="str">
        <f t="array" ref="F97:F97">OFFSET(E97,-1,1)</f>
        <v>2</v>
      </c>
      <c r="G97" s="1758"/>
      <c r="H97" s="1758"/>
      <c r="I97" s="122" cm="1" t="str">
        <f t="array" ref="I97:I97">AC97</f>
        <v>0</v>
      </c>
      <c r="J97" s="1758"/>
      <c r="K97" s="1758"/>
      <c r="L97" s="1758"/>
      <c r="M97" s="1758"/>
      <c r="N97" s="1758"/>
      <c r="O97" s="1758"/>
      <c r="P97" s="1758"/>
      <c r="Q97" s="1758"/>
      <c r="R97" s="1758"/>
      <c r="S97" s="1758"/>
      <c r="T97" s="1758"/>
      <c r="U97" s="465">
        <f>AND(F97&gt;0,--RIGHT(AB97,1)&gt;1)</f>
        <v>0</v>
      </c>
      <c r="V97" s="1758"/>
      <c r="W97" s="1758"/>
      <c r="X97" s="757" t="s">
        <v>174</v>
      </c>
      <c r="Y97" s="1543"/>
      <c r="Z97" s="1565"/>
      <c r="AA97" s="420" t="s">
        <v>175</v>
      </c>
      <c r="AB97" s="598" t="s">
        <v>1207</v>
      </c>
      <c r="AC97" s="2110"/>
      <c r="AD97" s="595" t="s">
        <v>1203</v>
      </c>
      <c r="AE97" s="2104"/>
      <c r="AF97" s="2105"/>
      <c r="AG97" s="2106"/>
      <c r="AH97" s="2107"/>
      <c r="AI97" s="2104"/>
      <c r="AJ97" s="2105"/>
      <c r="AK97" s="2105"/>
      <c r="AL97" s="604">
        <f>IF(AI97&lt;&gt;0,AK97/AI97,0)</f>
        <v>0</v>
      </c>
      <c r="AM97" s="605">
        <f>AK97-AJ97</f>
        <v>0</v>
      </c>
      <c r="AN97" s="2107"/>
      <c r="AO97" s="2104"/>
      <c r="AP97" s="2104"/>
      <c r="AQ97" s="2104"/>
      <c r="AR97" s="2104"/>
      <c r="AS97" s="2104"/>
      <c r="AT97" s="2104"/>
      <c r="AU97" s="2104"/>
      <c r="AV97" s="2104"/>
      <c r="AW97" s="2104"/>
      <c r="AX97" s="2104"/>
      <c r="AY97" s="2104"/>
      <c r="AZ97" s="2104"/>
      <c r="BA97" s="2104"/>
      <c r="BB97" s="2104"/>
      <c r="BC97" s="2104"/>
      <c r="BD97" s="2104"/>
      <c r="BE97" s="2104"/>
      <c r="BF97" s="2104"/>
      <c r="BG97" s="1758"/>
      <c r="BH97" s="1758"/>
      <c r="BI97" s="997" t="s">
        <v>1209</v>
      </c>
      <c r="BJ97" s="997" t="s">
        <v>1210</v>
      </c>
      <c r="BK97" s="997" cm="1" t="str">
        <f t="array" ref="BK97:BK97">AC97</f>
        <v>0</v>
      </c>
      <c r="BL97" s="1757"/>
      <c r="BM97" s="618" t="b">
        <v>1</v>
      </c>
    </row>
    <row s="1834" customFormat="1" customHeight="1" ht="0">
      <c r="A98" s="1758"/>
      <c r="B98" s="1416"/>
      <c r="C98" s="1758"/>
      <c r="D98" s="1758"/>
      <c r="E98" s="618">
        <v>15</v>
      </c>
      <c r="F98" s="50" cm="1" t="str">
        <f t="array" ref="F98:F98">OFFSET(E98,-1,1)</f>
        <v>2</v>
      </c>
      <c r="G98" s="1758"/>
      <c r="H98" s="1758"/>
      <c r="I98" s="1758"/>
      <c r="J98" s="1758"/>
      <c r="K98" s="1758"/>
      <c r="L98" s="1758"/>
      <c r="M98" s="1758"/>
      <c r="N98" s="1758"/>
      <c r="O98" s="1758"/>
      <c r="P98" s="1758"/>
      <c r="Q98" s="1758"/>
      <c r="R98" s="1758"/>
      <c r="S98" s="1758"/>
      <c r="T98" s="1758"/>
      <c r="U98" s="465">
        <f>F98&gt;0</f>
        <v>1</v>
      </c>
      <c r="V98" s="1758"/>
      <c r="W98" s="1758"/>
      <c r="X98" s="757" t="s">
        <v>408</v>
      </c>
      <c r="Y98" s="1543"/>
      <c r="Z98" s="1565"/>
      <c r="AA98" s="1758"/>
      <c r="AB98" s="175"/>
      <c r="AC98" s="308" t="s">
        <v>178</v>
      </c>
      <c r="AD98" s="176"/>
      <c r="AE98" s="176"/>
      <c r="AF98" s="176"/>
      <c r="AG98" s="176"/>
      <c r="AH98" s="176"/>
      <c r="AI98" s="176"/>
      <c r="AJ98" s="176"/>
      <c r="AK98" s="176"/>
      <c r="AL98" s="176"/>
      <c r="AM98" s="176"/>
      <c r="AN98" s="176"/>
      <c r="AO98" s="176"/>
      <c r="AP98" s="176"/>
      <c r="AQ98" s="176"/>
      <c r="AR98" s="176"/>
      <c r="AS98" s="176"/>
      <c r="AT98" s="176"/>
      <c r="AU98" s="176"/>
      <c r="AV98" s="176"/>
      <c r="AW98" s="176"/>
      <c r="AX98" s="176"/>
      <c r="AY98" s="176"/>
      <c r="AZ98" s="176"/>
      <c r="BA98" s="176"/>
      <c r="BB98" s="176"/>
      <c r="BC98" s="176"/>
      <c r="BD98" s="176"/>
      <c r="BE98" s="176"/>
      <c r="BF98" s="176"/>
      <c r="BG98" s="1758"/>
      <c r="BH98" s="1758"/>
      <c r="BI98" s="1764"/>
      <c r="BJ98" s="1764"/>
      <c r="BK98" s="1764"/>
      <c r="BL98" s="618" t="s">
        <v>1210</v>
      </c>
      <c r="BM98" s="1757"/>
    </row>
    <row s="1834" customFormat="1" customHeight="1" ht="0">
      <c r="A99" s="1758"/>
      <c r="B99" s="1416"/>
      <c r="C99" s="1758"/>
      <c r="D99" s="1758"/>
      <c r="E99" s="618">
        <v>22.5</v>
      </c>
      <c r="F99" s="50" cm="1" t="str">
        <f t="array" ref="F99:F99">OFFSET(E99,-1,1)</f>
        <v>2</v>
      </c>
      <c r="G99" s="1758"/>
      <c r="H99" s="122" t="s">
        <v>1211</v>
      </c>
      <c r="I99" s="1758"/>
      <c r="J99" s="1758"/>
      <c r="K99" s="1758"/>
      <c r="L99" s="1758"/>
      <c r="M99" s="1758"/>
      <c r="N99" s="1758"/>
      <c r="O99" s="1758"/>
      <c r="P99" s="1758"/>
      <c r="Q99" s="1758"/>
      <c r="R99" s="1758"/>
      <c r="S99" s="1758"/>
      <c r="T99" s="1758"/>
      <c r="U99" s="465" cm="1" t="str">
        <f t="array" ref="U99:U99">U98</f>
        <v>true</v>
      </c>
      <c r="V99" s="1758"/>
      <c r="W99" s="1758"/>
      <c r="X99" s="1758"/>
      <c r="Y99" s="1543"/>
      <c r="Z99" s="1565"/>
      <c r="AA99" s="1758"/>
      <c r="AB99" s="123" t="s">
        <v>1212</v>
      </c>
      <c r="AC99" s="192" t="s">
        <v>1213</v>
      </c>
      <c r="AD99" s="92" t="s">
        <v>1203</v>
      </c>
      <c r="AE99" s="276"/>
      <c r="AF99" s="278"/>
      <c r="AG99" s="279"/>
      <c r="AH99" s="200"/>
      <c r="AI99" s="276"/>
      <c r="AJ99" s="278"/>
      <c r="AK99" s="278"/>
      <c r="AL99" s="281">
        <f>IF(AI99&lt;&gt;0,AK99/AI99,0)</f>
        <v>0</v>
      </c>
      <c r="AM99" s="280">
        <f>AK99-AJ99</f>
        <v>0</v>
      </c>
      <c r="AN99" s="200"/>
      <c r="AO99" s="276"/>
      <c r="AP99" s="276"/>
      <c r="AQ99" s="276"/>
      <c r="AR99" s="276"/>
      <c r="AS99" s="2069"/>
      <c r="AT99" s="2069"/>
      <c r="AU99" s="2069"/>
      <c r="AV99" s="2069"/>
      <c r="AW99" s="2069"/>
      <c r="AX99" s="276"/>
      <c r="AY99" s="276"/>
      <c r="AZ99" s="276"/>
      <c r="BA99" s="276"/>
      <c r="BB99" s="2069"/>
      <c r="BC99" s="2069"/>
      <c r="BD99" s="2069"/>
      <c r="BE99" s="2069"/>
      <c r="BF99" s="2069"/>
      <c r="BG99" s="1758"/>
      <c r="BH99" s="1758"/>
      <c r="BI99" s="997" t="s">
        <v>1214</v>
      </c>
      <c r="BJ99" s="1764"/>
      <c r="BK99" s="1764"/>
      <c r="BL99" s="1757"/>
      <c r="BM99" s="1757"/>
    </row>
    <row s="1834" customFormat="1" customHeight="1" ht="0" hidden="1">
      <c r="A100" s="1758"/>
      <c r="B100" s="1416"/>
      <c r="C100" s="1758"/>
      <c r="D100" s="1758"/>
      <c r="E100" s="618">
        <v>22.5</v>
      </c>
      <c r="F100" s="50" cm="1" t="str">
        <f t="array" ref="F100:F100">OFFSET(E100,-1,1)</f>
        <v>2</v>
      </c>
      <c r="G100" s="1758"/>
      <c r="H100" s="1758"/>
      <c r="I100" s="122" cm="1" t="str">
        <f t="array" ref="I100:I100">AC100</f>
        <v>0</v>
      </c>
      <c r="J100" s="1758"/>
      <c r="K100" s="1758"/>
      <c r="L100" s="1758"/>
      <c r="M100" s="1758"/>
      <c r="N100" s="1758"/>
      <c r="O100" s="1758"/>
      <c r="P100" s="1758"/>
      <c r="Q100" s="1758"/>
      <c r="R100" s="1758"/>
      <c r="S100" s="1758"/>
      <c r="T100" s="1758"/>
      <c r="U100" s="465">
        <f>AND(F100&gt;0,--RIGHT(AB100,1)&gt;1)</f>
        <v>0</v>
      </c>
      <c r="V100" s="1758"/>
      <c r="W100" s="1758"/>
      <c r="X100" s="757" t="s">
        <v>174</v>
      </c>
      <c r="Y100" s="1543"/>
      <c r="Z100" s="1565"/>
      <c r="AA100" s="420" t="s">
        <v>175</v>
      </c>
      <c r="AB100" s="123" t="s">
        <v>1212</v>
      </c>
      <c r="AC100" s="2114"/>
      <c r="AD100" s="92" t="s">
        <v>1203</v>
      </c>
      <c r="AE100" s="2069"/>
      <c r="AF100" s="2082"/>
      <c r="AG100" s="2113"/>
      <c r="AH100" s="2070"/>
      <c r="AI100" s="2069"/>
      <c r="AJ100" s="2082"/>
      <c r="AK100" s="2082"/>
      <c r="AL100" s="281">
        <f>IF(AI100&lt;&gt;0,AK100/AI100,0)</f>
        <v>0</v>
      </c>
      <c r="AM100" s="280">
        <f>AK100-AJ100</f>
        <v>0</v>
      </c>
      <c r="AN100" s="2070"/>
      <c r="AO100" s="2069"/>
      <c r="AP100" s="2069"/>
      <c r="AQ100" s="2069"/>
      <c r="AR100" s="2069"/>
      <c r="AS100" s="2069"/>
      <c r="AT100" s="2069"/>
      <c r="AU100" s="2069"/>
      <c r="AV100" s="2069"/>
      <c r="AW100" s="2069"/>
      <c r="AX100" s="2069"/>
      <c r="AY100" s="2069"/>
      <c r="AZ100" s="2069"/>
      <c r="BA100" s="2069"/>
      <c r="BB100" s="2069"/>
      <c r="BC100" s="2069"/>
      <c r="BD100" s="2069"/>
      <c r="BE100" s="2069"/>
      <c r="BF100" s="2069"/>
      <c r="BG100" s="1758"/>
      <c r="BH100" s="1758"/>
      <c r="BI100" s="997" t="s">
        <v>1214</v>
      </c>
      <c r="BJ100" s="997" t="s">
        <v>1215</v>
      </c>
      <c r="BK100" s="997" cm="1" t="str">
        <f t="array" ref="BK100:BK100">AC100</f>
        <v>0</v>
      </c>
      <c r="BL100" s="1757"/>
      <c r="BM100" s="618" t="b">
        <v>1</v>
      </c>
    </row>
    <row s="1834" customFormat="1" customHeight="1" ht="0">
      <c r="A101" s="1758"/>
      <c r="B101" s="1416"/>
      <c r="C101" s="1758"/>
      <c r="D101" s="1758"/>
      <c r="E101" s="618">
        <v>15</v>
      </c>
      <c r="F101" s="50" cm="1" t="str">
        <f t="array" ref="F101:F101">OFFSET(E101,-1,1)</f>
        <v>2</v>
      </c>
      <c r="G101" s="1758"/>
      <c r="H101" s="1758"/>
      <c r="I101" s="1758"/>
      <c r="J101" s="1758"/>
      <c r="K101" s="1758"/>
      <c r="L101" s="1758"/>
      <c r="M101" s="1758"/>
      <c r="N101" s="1758"/>
      <c r="O101" s="1758"/>
      <c r="P101" s="1758"/>
      <c r="Q101" s="1758"/>
      <c r="R101" s="1758"/>
      <c r="S101" s="1758"/>
      <c r="T101" s="1758"/>
      <c r="U101" s="465">
        <f>F101&gt;0</f>
        <v>1</v>
      </c>
      <c r="V101" s="1758"/>
      <c r="W101" s="1758"/>
      <c r="X101" s="757" t="s">
        <v>408</v>
      </c>
      <c r="Y101" s="1543"/>
      <c r="Z101" s="1565"/>
      <c r="AA101" s="1758"/>
      <c r="AB101" s="175"/>
      <c r="AC101" s="308" t="s">
        <v>178</v>
      </c>
      <c r="AD101" s="176"/>
      <c r="AE101" s="176"/>
      <c r="AF101" s="176"/>
      <c r="AG101" s="176"/>
      <c r="AH101" s="176"/>
      <c r="AI101" s="176"/>
      <c r="AJ101" s="176"/>
      <c r="AK101" s="176"/>
      <c r="AL101" s="176"/>
      <c r="AM101" s="176"/>
      <c r="AN101" s="176"/>
      <c r="AO101" s="176"/>
      <c r="AP101" s="176"/>
      <c r="AQ101" s="176"/>
      <c r="AR101" s="176"/>
      <c r="AS101" s="176"/>
      <c r="AT101" s="176"/>
      <c r="AU101" s="176"/>
      <c r="AV101" s="176"/>
      <c r="AW101" s="176"/>
      <c r="AX101" s="176"/>
      <c r="AY101" s="176"/>
      <c r="AZ101" s="176"/>
      <c r="BA101" s="176"/>
      <c r="BB101" s="176"/>
      <c r="BC101" s="176"/>
      <c r="BD101" s="176"/>
      <c r="BE101" s="176"/>
      <c r="BF101" s="176"/>
      <c r="BG101" s="1758"/>
      <c r="BH101" s="1758"/>
      <c r="BI101" s="1764"/>
      <c r="BJ101" s="1764"/>
      <c r="BK101" s="1764"/>
      <c r="BL101" s="618" t="s">
        <v>1215</v>
      </c>
      <c r="BM101" s="1757"/>
    </row>
    <row s="1834" customFormat="1" customHeight="1" ht="0">
      <c r="A102" s="1758"/>
      <c r="B102" s="1416"/>
      <c r="C102" s="1758"/>
      <c r="D102" s="1758"/>
      <c r="E102" s="618">
        <v>22.5</v>
      </c>
      <c r="F102" s="50" cm="1" t="str">
        <f t="array" ref="F102:F102">OFFSET(E102,-1,1)</f>
        <v>2</v>
      </c>
      <c r="G102" s="1758"/>
      <c r="H102" s="122" t="s">
        <v>1216</v>
      </c>
      <c r="I102" s="1758"/>
      <c r="J102" s="1758"/>
      <c r="K102" s="1758"/>
      <c r="L102" s="1758"/>
      <c r="M102" s="1758"/>
      <c r="N102" s="1758"/>
      <c r="O102" s="1758"/>
      <c r="P102" s="1758"/>
      <c r="Q102" s="1758"/>
      <c r="R102" s="1758"/>
      <c r="S102" s="1758"/>
      <c r="T102" s="1758"/>
      <c r="U102" s="465" cm="1" t="str">
        <f t="array" ref="U102:U102">U101</f>
        <v>true</v>
      </c>
      <c r="V102" s="1758"/>
      <c r="W102" s="1758"/>
      <c r="X102" s="1758"/>
      <c r="Y102" s="1543"/>
      <c r="Z102" s="1565"/>
      <c r="AA102" s="1758"/>
      <c r="AB102" s="123" t="s">
        <v>1217</v>
      </c>
      <c r="AC102" s="192" t="s">
        <v>1218</v>
      </c>
      <c r="AD102" s="92" t="s">
        <v>1203</v>
      </c>
      <c r="AE102" s="276"/>
      <c r="AF102" s="278"/>
      <c r="AG102" s="279"/>
      <c r="AH102" s="200"/>
      <c r="AI102" s="276"/>
      <c r="AJ102" s="278"/>
      <c r="AK102" s="278"/>
      <c r="AL102" s="281">
        <f>IF(AI102&lt;&gt;0,AK102/AI102,0)</f>
        <v>0</v>
      </c>
      <c r="AM102" s="280">
        <f>AK102-AJ102</f>
        <v>0</v>
      </c>
      <c r="AN102" s="200"/>
      <c r="AO102" s="276"/>
      <c r="AP102" s="276"/>
      <c r="AQ102" s="276"/>
      <c r="AR102" s="276"/>
      <c r="AS102" s="2069"/>
      <c r="AT102" s="2069"/>
      <c r="AU102" s="2069"/>
      <c r="AV102" s="2069"/>
      <c r="AW102" s="2069"/>
      <c r="AX102" s="276"/>
      <c r="AY102" s="276"/>
      <c r="AZ102" s="276"/>
      <c r="BA102" s="276"/>
      <c r="BB102" s="2069"/>
      <c r="BC102" s="2069"/>
      <c r="BD102" s="2069"/>
      <c r="BE102" s="2069"/>
      <c r="BF102" s="2069"/>
      <c r="BG102" s="1758"/>
      <c r="BH102" s="1758"/>
      <c r="BI102" s="997" t="s">
        <v>1219</v>
      </c>
      <c r="BJ102" s="1764"/>
      <c r="BK102" s="1764"/>
      <c r="BL102" s="1757"/>
      <c r="BM102" s="1757"/>
    </row>
    <row s="1834" customFormat="1" customHeight="1" ht="0" hidden="1">
      <c r="A103" s="1758"/>
      <c r="B103" s="1416"/>
      <c r="C103" s="1758"/>
      <c r="D103" s="1758"/>
      <c r="E103" s="618">
        <v>22.5</v>
      </c>
      <c r="F103" s="50" cm="1" t="str">
        <f t="array" ref="F103:F103">OFFSET(E103,-1,1)</f>
        <v>2</v>
      </c>
      <c r="G103" s="1758"/>
      <c r="H103" s="1758"/>
      <c r="I103" s="122" cm="1" t="str">
        <f t="array" ref="I103:I103">AC103</f>
        <v>0</v>
      </c>
      <c r="J103" s="1758"/>
      <c r="K103" s="1758"/>
      <c r="L103" s="1758"/>
      <c r="M103" s="1758"/>
      <c r="N103" s="1758"/>
      <c r="O103" s="1758"/>
      <c r="P103" s="1758"/>
      <c r="Q103" s="1758"/>
      <c r="R103" s="1758"/>
      <c r="S103" s="1758"/>
      <c r="T103" s="1758"/>
      <c r="U103" s="465">
        <f>AND(F103&gt;0,--RIGHT(AB103,1)&gt;1)</f>
        <v>0</v>
      </c>
      <c r="V103" s="1758"/>
      <c r="W103" s="1758"/>
      <c r="X103" s="757" t="s">
        <v>174</v>
      </c>
      <c r="Y103" s="1543"/>
      <c r="Z103" s="1565"/>
      <c r="AA103" s="420" t="s">
        <v>175</v>
      </c>
      <c r="AB103" s="123" t="s">
        <v>1217</v>
      </c>
      <c r="AC103" s="2114"/>
      <c r="AD103" s="92" t="s">
        <v>1203</v>
      </c>
      <c r="AE103" s="2069"/>
      <c r="AF103" s="2082"/>
      <c r="AG103" s="2113"/>
      <c r="AH103" s="2070"/>
      <c r="AI103" s="2069"/>
      <c r="AJ103" s="2082"/>
      <c r="AK103" s="2082"/>
      <c r="AL103" s="281">
        <f>IF(AI103&lt;&gt;0,AK103/AI103,0)</f>
        <v>0</v>
      </c>
      <c r="AM103" s="280">
        <f>AK103-AJ103</f>
        <v>0</v>
      </c>
      <c r="AN103" s="2070"/>
      <c r="AO103" s="2069"/>
      <c r="AP103" s="2069"/>
      <c r="AQ103" s="2069"/>
      <c r="AR103" s="2069"/>
      <c r="AS103" s="2069"/>
      <c r="AT103" s="2069"/>
      <c r="AU103" s="2069"/>
      <c r="AV103" s="2069"/>
      <c r="AW103" s="2069"/>
      <c r="AX103" s="2069"/>
      <c r="AY103" s="2069"/>
      <c r="AZ103" s="2069"/>
      <c r="BA103" s="2069"/>
      <c r="BB103" s="2069"/>
      <c r="BC103" s="2069"/>
      <c r="BD103" s="2069"/>
      <c r="BE103" s="2069"/>
      <c r="BF103" s="2069"/>
      <c r="BG103" s="1758"/>
      <c r="BH103" s="1758"/>
      <c r="BI103" s="997" t="s">
        <v>1219</v>
      </c>
      <c r="BJ103" s="997" t="s">
        <v>1220</v>
      </c>
      <c r="BK103" s="997" cm="1" t="str">
        <f t="array" ref="BK103:BK103">AC103</f>
        <v>0</v>
      </c>
      <c r="BL103" s="1757"/>
      <c r="BM103" s="618" t="b">
        <v>1</v>
      </c>
    </row>
    <row s="1834" customFormat="1" customHeight="1" ht="0">
      <c r="A104" s="1758"/>
      <c r="B104" s="1416"/>
      <c r="C104" s="1758"/>
      <c r="D104" s="1758"/>
      <c r="E104" s="618">
        <v>15</v>
      </c>
      <c r="F104" s="50" cm="1" t="str">
        <f t="array" ref="F104:F104">OFFSET(E104,-1,1)</f>
        <v>2</v>
      </c>
      <c r="G104" s="1758"/>
      <c r="H104" s="1758"/>
      <c r="I104" s="1758"/>
      <c r="J104" s="1758"/>
      <c r="K104" s="1758"/>
      <c r="L104" s="1758"/>
      <c r="M104" s="1758"/>
      <c r="N104" s="1758"/>
      <c r="O104" s="1758"/>
      <c r="P104" s="1758"/>
      <c r="Q104" s="1758"/>
      <c r="R104" s="1758"/>
      <c r="S104" s="1758"/>
      <c r="T104" s="1758"/>
      <c r="U104" s="465">
        <f>F104&gt;0</f>
        <v>1</v>
      </c>
      <c r="V104" s="1758"/>
      <c r="W104" s="1758"/>
      <c r="X104" s="757" t="s">
        <v>408</v>
      </c>
      <c r="Y104" s="1543"/>
      <c r="Z104" s="1565"/>
      <c r="AA104" s="1758"/>
      <c r="AB104" s="175"/>
      <c r="AC104" s="308" t="s">
        <v>178</v>
      </c>
      <c r="AD104" s="176"/>
      <c r="AE104" s="176"/>
      <c r="AF104" s="176"/>
      <c r="AG104" s="176"/>
      <c r="AH104" s="176"/>
      <c r="AI104" s="176"/>
      <c r="AJ104" s="176"/>
      <c r="AK104" s="176"/>
      <c r="AL104" s="176"/>
      <c r="AM104" s="176"/>
      <c r="AN104" s="176"/>
      <c r="AO104" s="176"/>
      <c r="AP104" s="176"/>
      <c r="AQ104" s="176"/>
      <c r="AR104" s="176"/>
      <c r="AS104" s="176"/>
      <c r="AT104" s="176"/>
      <c r="AU104" s="176"/>
      <c r="AV104" s="176"/>
      <c r="AW104" s="176"/>
      <c r="AX104" s="176"/>
      <c r="AY104" s="176"/>
      <c r="AZ104" s="176"/>
      <c r="BA104" s="176"/>
      <c r="BB104" s="176"/>
      <c r="BC104" s="176"/>
      <c r="BD104" s="176"/>
      <c r="BE104" s="176"/>
      <c r="BF104" s="176"/>
      <c r="BG104" s="1758"/>
      <c r="BH104" s="1758"/>
      <c r="BI104" s="1764"/>
      <c r="BJ104" s="1764"/>
      <c r="BK104" s="1764"/>
      <c r="BL104" s="618" t="s">
        <v>1220</v>
      </c>
      <c r="BM104" s="1757"/>
    </row>
    <row s="1834" customFormat="1" customHeight="1" ht="54.75">
      <c r="A105" s="1758"/>
      <c r="B105" s="1416"/>
      <c r="C105" s="1758"/>
      <c r="D105" s="1758"/>
      <c r="E105" s="618">
        <v>15</v>
      </c>
      <c r="F105" s="50" cm="1" t="str">
        <f t="array" ref="F105:F105">OFFSET(E105,-1,1)</f>
        <v>2</v>
      </c>
      <c r="G105" s="1758"/>
      <c r="H105" s="122" t="s">
        <v>336</v>
      </c>
      <c r="I105" s="1758"/>
      <c r="J105" s="1758"/>
      <c r="K105" s="1758"/>
      <c r="L105" s="1758"/>
      <c r="M105" s="1758"/>
      <c r="N105" s="1758"/>
      <c r="O105" s="1758"/>
      <c r="P105" s="1758"/>
      <c r="Q105" s="1758"/>
      <c r="R105" s="1758"/>
      <c r="S105" s="1758"/>
      <c r="T105" s="1758"/>
      <c r="U105" s="465" cm="1" t="str">
        <f t="array" ref="U105:U105">U104</f>
        <v>true</v>
      </c>
      <c r="V105" s="1758"/>
      <c r="W105" s="1758"/>
      <c r="X105" s="1758"/>
      <c r="Y105" s="1543"/>
      <c r="Z105" s="1565"/>
      <c r="AA105" s="1758"/>
      <c r="AB105" s="133">
        <v>3</v>
      </c>
      <c r="AC105" s="139" t="s">
        <v>1221</v>
      </c>
      <c r="AD105" s="136" t="s">
        <v>1170</v>
      </c>
      <c r="AE105" s="276"/>
      <c r="AF105" s="278"/>
      <c r="AG105" s="279"/>
      <c r="AH105" s="200"/>
      <c r="AI105" s="276"/>
      <c r="AJ105" s="278">
        <v>1.1</v>
      </c>
      <c r="AK105" s="278">
        <v>1.1</v>
      </c>
      <c r="AL105" s="281">
        <f>IF(AI105&lt;&gt;0,AK105/AI105,0)</f>
        <v>0</v>
      </c>
      <c r="AM105" s="280">
        <f>AK105-AJ105</f>
        <v>0</v>
      </c>
      <c r="AN105" s="200" t="s">
        <v>1232</v>
      </c>
      <c r="AO105" s="276">
        <v>1.1</v>
      </c>
      <c r="AP105" s="276">
        <v>1.1</v>
      </c>
      <c r="AQ105" s="276">
        <v>2.2</v>
      </c>
      <c r="AR105" s="276">
        <v>2.2</v>
      </c>
      <c r="AS105" s="2069"/>
      <c r="AT105" s="2069"/>
      <c r="AU105" s="2069"/>
      <c r="AV105" s="2069"/>
      <c r="AW105" s="2069"/>
      <c r="AX105" s="276">
        <v>1.1</v>
      </c>
      <c r="AY105" s="276">
        <v>1.1</v>
      </c>
      <c r="AZ105" s="276">
        <v>2.2</v>
      </c>
      <c r="BA105" s="276">
        <v>2.2</v>
      </c>
      <c r="BB105" s="2069"/>
      <c r="BC105" s="2069"/>
      <c r="BD105" s="2069"/>
      <c r="BE105" s="2069"/>
      <c r="BF105" s="2069"/>
      <c r="BG105" s="1758"/>
      <c r="BH105" s="1758"/>
      <c r="BI105" s="997" t="s">
        <v>1222</v>
      </c>
      <c r="BJ105" s="1764"/>
      <c r="BK105" s="1764"/>
      <c r="BL105" s="1757"/>
      <c r="BM105" s="1757"/>
    </row>
    <row s="1834" customFormat="1" customHeight="1" ht="0">
      <c r="A106" s="1758"/>
      <c r="B106" s="1416"/>
      <c r="C106" s="1758"/>
      <c r="D106" s="1758"/>
      <c r="E106" s="618">
        <v>15</v>
      </c>
      <c r="F106" s="50" cm="1" t="str">
        <f t="array" ref="F106:F106">OFFSET(E106,-1,1)</f>
        <v>2</v>
      </c>
      <c r="G106" s="1758"/>
      <c r="H106" s="122" t="s">
        <v>335</v>
      </c>
      <c r="I106" s="1758"/>
      <c r="J106" s="1758"/>
      <c r="K106" s="1758"/>
      <c r="L106" s="1758"/>
      <c r="M106" s="1758"/>
      <c r="N106" s="1758"/>
      <c r="O106" s="1758"/>
      <c r="P106" s="1758"/>
      <c r="Q106" s="1758"/>
      <c r="R106" s="1758"/>
      <c r="S106" s="1758"/>
      <c r="T106" s="1758"/>
      <c r="U106" s="465" cm="1" t="str">
        <f t="array" ref="U106:U106">U105</f>
        <v>true</v>
      </c>
      <c r="V106" s="1758"/>
      <c r="W106" s="1758"/>
      <c r="X106" s="1758"/>
      <c r="Y106" s="1543"/>
      <c r="Z106" s="1565"/>
      <c r="AA106" s="1758"/>
      <c r="AB106" s="133">
        <v>4</v>
      </c>
      <c r="AC106" s="139" t="s">
        <v>1223</v>
      </c>
      <c r="AD106" s="136" t="s">
        <v>1170</v>
      </c>
      <c r="AE106" s="276"/>
      <c r="AF106" s="278"/>
      <c r="AG106" s="279"/>
      <c r="AH106" s="200"/>
      <c r="AI106" s="276"/>
      <c r="AJ106" s="278"/>
      <c r="AK106" s="278"/>
      <c r="AL106" s="281">
        <f>IF(AI106&lt;&gt;0,AK106/AI106,0)</f>
        <v>0</v>
      </c>
      <c r="AM106" s="280">
        <f>AK106-AJ106</f>
        <v>0</v>
      </c>
      <c r="AN106" s="200"/>
      <c r="AO106" s="276"/>
      <c r="AP106" s="276"/>
      <c r="AQ106" s="276"/>
      <c r="AR106" s="276"/>
      <c r="AS106" s="2069"/>
      <c r="AT106" s="2069"/>
      <c r="AU106" s="2069"/>
      <c r="AV106" s="2069"/>
      <c r="AW106" s="2069"/>
      <c r="AX106" s="276"/>
      <c r="AY106" s="276"/>
      <c r="AZ106" s="276"/>
      <c r="BA106" s="276"/>
      <c r="BB106" s="2069"/>
      <c r="BC106" s="2069"/>
      <c r="BD106" s="2069"/>
      <c r="BE106" s="2069"/>
      <c r="BF106" s="2069"/>
      <c r="BG106" s="1758"/>
      <c r="BH106" s="1758"/>
      <c r="BI106" s="997" t="s">
        <v>1224</v>
      </c>
      <c r="BJ106" s="1764"/>
      <c r="BK106" s="1764"/>
      <c r="BL106" s="1757"/>
      <c r="BM106" s="1757"/>
    </row>
    <row s="1834" customFormat="1" customHeight="1" ht="14.25">
      <c r="A107" s="1758"/>
      <c r="B107" s="1416"/>
      <c r="C107" s="1758"/>
      <c r="D107" s="1758"/>
      <c r="E107" s="618">
        <v>15</v>
      </c>
      <c r="F107" s="50" cm="1" t="str">
        <f t="array" ref="F107:F107">OFFSET(E107,-1,1)</f>
        <v>2</v>
      </c>
      <c r="G107" s="1758"/>
      <c r="H107" s="122" t="s">
        <v>1225</v>
      </c>
      <c r="I107" s="1758"/>
      <c r="J107" s="1758"/>
      <c r="K107" s="1758"/>
      <c r="L107" s="1758"/>
      <c r="M107" s="1758"/>
      <c r="N107" s="1758"/>
      <c r="O107" s="1758"/>
      <c r="P107" s="1758"/>
      <c r="Q107" s="1758"/>
      <c r="R107" s="1758"/>
      <c r="S107" s="1758"/>
      <c r="T107" s="1758"/>
      <c r="U107" s="465" cm="1" t="str">
        <f t="array" ref="U107:U107">U106</f>
        <v>true</v>
      </c>
      <c r="V107" s="1758"/>
      <c r="W107" s="1758"/>
      <c r="X107" s="1758"/>
      <c r="Y107" s="1543"/>
      <c r="Z107" s="1565"/>
      <c r="AA107" s="1758"/>
      <c r="AB107" s="123" t="s">
        <v>443</v>
      </c>
      <c r="AC107" s="138" t="s">
        <v>1226</v>
      </c>
      <c r="AD107" s="136"/>
      <c r="AE107" s="279"/>
      <c r="AF107" s="279"/>
      <c r="AG107" s="279"/>
      <c r="AH107" s="284"/>
      <c r="AI107" s="279"/>
      <c r="AJ107" s="279"/>
      <c r="AK107" s="279"/>
      <c r="AL107" s="281">
        <f>IF(AI107&lt;&gt;0,AK107/AI107,0)</f>
        <v>0</v>
      </c>
      <c r="AM107" s="280">
        <f>AK107-AJ107</f>
        <v>0</v>
      </c>
      <c r="AN107" s="284"/>
      <c r="AO107" s="279"/>
      <c r="AP107" s="279"/>
      <c r="AQ107" s="279"/>
      <c r="AR107" s="279"/>
      <c r="AS107" s="2113"/>
      <c r="AT107" s="2113"/>
      <c r="AU107" s="2113"/>
      <c r="AV107" s="2113"/>
      <c r="AW107" s="2113"/>
      <c r="AX107" s="279"/>
      <c r="AY107" s="279"/>
      <c r="AZ107" s="279"/>
      <c r="BA107" s="279"/>
      <c r="BB107" s="2113"/>
      <c r="BC107" s="2113"/>
      <c r="BD107" s="2113"/>
      <c r="BE107" s="2113"/>
      <c r="BF107" s="2113"/>
      <c r="BG107" s="1758"/>
      <c r="BH107" s="1758"/>
      <c r="BI107" s="997" t="s">
        <v>1227</v>
      </c>
      <c r="BJ107" s="1764"/>
      <c r="BK107" s="1764"/>
      <c r="BL107" s="1757"/>
      <c r="BM107" s="1757"/>
    </row>
    <row s="1834" customFormat="1" customHeight="1" ht="14.25">
      <c r="A108" s="1758"/>
      <c r="B108" s="1416"/>
      <c r="C108" s="1758"/>
      <c r="D108" s="1758"/>
      <c r="E108" s="618">
        <v>15</v>
      </c>
      <c r="F108" s="50" cm="1" t="str">
        <f t="array" ref="F108:F108">OFFSET(E108,-1,1)</f>
        <v>2</v>
      </c>
      <c r="G108" s="1758"/>
      <c r="H108" s="122" t="s">
        <v>1228</v>
      </c>
      <c r="I108" s="1758"/>
      <c r="J108" s="1758"/>
      <c r="K108" s="1758"/>
      <c r="L108" s="1758"/>
      <c r="M108" s="1758"/>
      <c r="N108" s="1758"/>
      <c r="O108" s="1758"/>
      <c r="P108" s="1758"/>
      <c r="Q108" s="1758"/>
      <c r="R108" s="1758"/>
      <c r="S108" s="1758"/>
      <c r="T108" s="1758"/>
      <c r="U108" s="465" cm="1" t="str">
        <f t="array" ref="U108:U108">U107</f>
        <v>true</v>
      </c>
      <c r="V108" s="1758"/>
      <c r="W108" s="1758"/>
      <c r="X108" s="1758"/>
      <c r="Y108" s="1543"/>
      <c r="Z108" s="1565"/>
      <c r="AA108" s="1758"/>
      <c r="AB108" s="123" t="s">
        <v>446</v>
      </c>
      <c r="AC108" s="137" t="s">
        <v>1229</v>
      </c>
      <c r="AD108" s="136"/>
      <c r="AE108" s="279"/>
      <c r="AF108" s="279"/>
      <c r="AG108" s="279"/>
      <c r="AH108" s="284"/>
      <c r="AI108" s="279"/>
      <c r="AJ108" s="279"/>
      <c r="AK108" s="279"/>
      <c r="AL108" s="281">
        <f>IF(AI108&lt;&gt;0,AK108/AI108,0)</f>
        <v>0</v>
      </c>
      <c r="AM108" s="280">
        <f>AK108-AJ108</f>
        <v>0</v>
      </c>
      <c r="AN108" s="284"/>
      <c r="AO108" s="279"/>
      <c r="AP108" s="279"/>
      <c r="AQ108" s="279"/>
      <c r="AR108" s="279"/>
      <c r="AS108" s="2113"/>
      <c r="AT108" s="2113"/>
      <c r="AU108" s="2113"/>
      <c r="AV108" s="2113"/>
      <c r="AW108" s="2113"/>
      <c r="AX108" s="279"/>
      <c r="AY108" s="279"/>
      <c r="AZ108" s="279"/>
      <c r="BA108" s="279"/>
      <c r="BB108" s="2113"/>
      <c r="BC108" s="2113"/>
      <c r="BD108" s="2113"/>
      <c r="BE108" s="2113"/>
      <c r="BF108" s="2113"/>
      <c r="BG108" s="1758"/>
      <c r="BH108" s="1758"/>
      <c r="BI108" s="997" t="s">
        <v>1230</v>
      </c>
      <c r="BJ108" s="1764"/>
      <c r="BK108" s="1764"/>
      <c r="BL108" s="1757"/>
      <c r="BM108" s="1757"/>
    </row>
    <row s="2381" customFormat="1" customHeight="1" ht="14.25">
      <c r="A109" s="1446"/>
      <c r="B109" s="429"/>
      <c r="C109" s="1446"/>
      <c r="D109" s="1446"/>
      <c r="E109" s="630">
        <v>15</v>
      </c>
      <c r="F109" s="749" cm="1" t="str">
        <f t="array" ref="F109:F109">Y109</f>
        <v>3</v>
      </c>
      <c r="G109" s="1446"/>
      <c r="H109" s="1446"/>
      <c r="I109" s="1446"/>
      <c r="J109" s="1446"/>
      <c r="K109" s="1446"/>
      <c r="L109" s="1446"/>
      <c r="M109" s="1446"/>
      <c r="N109" s="1446"/>
      <c r="O109" s="1446"/>
      <c r="P109" s="1446"/>
      <c r="Q109" s="1446"/>
      <c r="R109" s="1446"/>
      <c r="S109" s="1446"/>
      <c r="T109" s="1446"/>
      <c r="U109" s="465">
        <f>Y109&gt;0</f>
        <v>1</v>
      </c>
      <c r="V109" s="1446"/>
      <c r="W109" s="144" cm="1" t="str">
        <f t="array" ref="W109:W109">'Список объектов'!$AB$229</f>
        <v>Тариф 3 (Водоотведение) - тариф на водоотведение (Доп. признак не требуется)</v>
      </c>
      <c r="X109" s="1446"/>
      <c r="Y109" s="1543" t="s">
        <v>289</v>
      </c>
      <c r="Z109" s="1565"/>
      <c r="AA109" s="1446"/>
      <c r="AB109" s="183" cm="1" t="str">
        <f t="array" ref="AB109:AB109">'Список объектов'!$AB$229</f>
        <v>Тариф 3 (Водоотведение) - тариф на водоотведение (Доп. признак не требуется)</v>
      </c>
      <c r="AC109" s="180"/>
      <c r="AD109" s="174"/>
      <c r="AE109" s="174"/>
      <c r="AF109" s="174"/>
      <c r="AG109" s="174"/>
      <c r="AH109" s="174"/>
      <c r="AI109" s="174"/>
      <c r="AJ109" s="174"/>
      <c r="AK109" s="174"/>
      <c r="AL109" s="174"/>
      <c r="AM109" s="174"/>
      <c r="AN109" s="174"/>
      <c r="AO109" s="174"/>
      <c r="AP109" s="174"/>
      <c r="AQ109" s="174"/>
      <c r="AR109" s="174"/>
      <c r="AS109" s="174"/>
      <c r="AT109" s="174"/>
      <c r="AU109" s="174"/>
      <c r="AV109" s="174"/>
      <c r="AW109" s="174"/>
      <c r="AX109" s="174"/>
      <c r="AY109" s="174"/>
      <c r="AZ109" s="174"/>
      <c r="BA109" s="174"/>
      <c r="BB109" s="174"/>
      <c r="BC109" s="174"/>
      <c r="BD109" s="174"/>
      <c r="BE109" s="174"/>
      <c r="BF109" s="174"/>
      <c r="BG109" s="1446"/>
      <c r="BH109" s="1446"/>
      <c r="BI109" s="1013"/>
      <c r="BJ109" s="1013"/>
      <c r="BK109" s="1013"/>
      <c r="BL109" s="630"/>
      <c r="BM109" s="630"/>
    </row>
    <row s="1834" customFormat="1" customHeight="1" ht="14.25">
      <c r="A110" s="1758"/>
      <c r="B110" s="1416"/>
      <c r="C110" s="1758"/>
      <c r="D110" s="1758"/>
      <c r="E110" s="618">
        <v>15</v>
      </c>
      <c r="F110" s="50" cm="1" t="str">
        <f t="array" ref="F110:F110">OFFSET(E110,-1,1)</f>
        <v>3</v>
      </c>
      <c r="G110" s="122" t="s">
        <v>1172</v>
      </c>
      <c r="H110" s="1758"/>
      <c r="I110" s="1758"/>
      <c r="J110" s="1758"/>
      <c r="K110" s="1758"/>
      <c r="L110" s="1758"/>
      <c r="M110" s="1758"/>
      <c r="N110" s="1758"/>
      <c r="O110" s="1758"/>
      <c r="P110" s="1758"/>
      <c r="Q110" s="1758"/>
      <c r="R110" s="1758"/>
      <c r="S110" s="1758"/>
      <c r="T110" s="1758"/>
      <c r="U110" s="465" cm="1" t="str">
        <f t="array" ref="U110:U110">U109</f>
        <v>true</v>
      </c>
      <c r="V110" s="1758"/>
      <c r="W110" s="1758"/>
      <c r="X110" s="1758"/>
      <c r="Y110" s="1543"/>
      <c r="Z110" s="1565"/>
      <c r="AA110" s="1758"/>
      <c r="AB110" s="270"/>
      <c r="AC110" s="271" t="s">
        <v>1173</v>
      </c>
      <c r="AD110" s="272"/>
      <c r="AE110" s="272"/>
      <c r="AF110" s="272"/>
      <c r="AG110" s="272"/>
      <c r="AH110" s="272"/>
      <c r="AI110" s="305">
        <f>(1-AI111/100)*(1+AI112/100)*(1+AI114/100)</f>
        <v>1</v>
      </c>
      <c r="AJ110" s="305">
        <f>(1-AJ111/100)*(1+AJ112/100)*(1+AJ114/100)</f>
        <v>1.051</v>
      </c>
      <c r="AK110" s="305">
        <f>(1-AK111/100)*(1+AK112/100)*(1+AK114/100)</f>
        <v>1.051</v>
      </c>
      <c r="AL110" s="272"/>
      <c r="AM110" s="272"/>
      <c r="AN110" s="272"/>
      <c r="AO110" s="305">
        <f>(1-AO111/100)*(1+AO112/100)*(1+AO114/100)</f>
        <v>1.0296</v>
      </c>
      <c r="AP110" s="305">
        <f>(1-AP111/100)*(1+AP112/100)*(1+AP114/100)</f>
        <v>1.0296</v>
      </c>
      <c r="AQ110" s="305">
        <f>(1-AQ111/100)*(1+AQ112/100)*(1+AQ114/100)</f>
        <v>1.0296</v>
      </c>
      <c r="AR110" s="305">
        <f>(1-AR111/100)*(1+AR112/100)*(1+AR114/100)</f>
        <v>1.0296</v>
      </c>
      <c r="AS110" s="305">
        <f>(1-AS111/100)*(1+AS112/100)*(1+AS114/100)</f>
        <v>1</v>
      </c>
      <c r="AT110" s="305">
        <f>(1-AT111/100)*(1+AT112/100)*(1+AT114/100)</f>
        <v>1</v>
      </c>
      <c r="AU110" s="305">
        <f>(1-AU111/100)*(1+AU112/100)*(1+AU114/100)</f>
        <v>1</v>
      </c>
      <c r="AV110" s="305">
        <f>(1-AV111/100)*(1+AV112/100)*(1+AV114/100)</f>
        <v>1</v>
      </c>
      <c r="AW110" s="305">
        <f>(1-AW111/100)*(1+AW112/100)*(1+AW114/100)</f>
        <v>1</v>
      </c>
      <c r="AX110" s="305">
        <f>(1-AX111/100)*(1+AX112/100)*(1+AX114/100)</f>
        <v>1.0296</v>
      </c>
      <c r="AY110" s="305">
        <f>(1-AY111/100)*(1+AY112/100)*(1+AY114/100)</f>
        <v>1.0296</v>
      </c>
      <c r="AZ110" s="305">
        <f>(1-AZ111/100)*(1+AZ112/100)*(1+AZ114/100)</f>
        <v>1.0296</v>
      </c>
      <c r="BA110" s="305">
        <f>(1-BA111/100)*(1+BA112/100)*(1+BA114/100)</f>
        <v>1.0296</v>
      </c>
      <c r="BB110" s="305">
        <f>(1-BB111/100)*(1+BB112/100)*(1+BB114/100)</f>
        <v>1</v>
      </c>
      <c r="BC110" s="305">
        <f>(1-BC111/100)*(1+BC112/100)*(1+BC114/100)</f>
        <v>1</v>
      </c>
      <c r="BD110" s="305">
        <f>(1-BD111/100)*(1+BD112/100)*(1+BD114/100)</f>
        <v>1</v>
      </c>
      <c r="BE110" s="305">
        <f>(1-BE111/100)*(1+BE112/100)*(1+BE114/100)</f>
        <v>1</v>
      </c>
      <c r="BF110" s="305">
        <f>(1-BF111/100)*(1+BF112/100)*(1+BF114/100)</f>
        <v>1</v>
      </c>
      <c r="BG110" s="1758"/>
      <c r="BH110" s="1758"/>
      <c r="BI110" s="1764"/>
      <c r="BJ110" s="1764"/>
      <c r="BK110" s="1764"/>
      <c r="BL110" s="1757"/>
      <c r="BM110" s="1757"/>
    </row>
    <row s="1834" customFormat="1" customHeight="1" ht="21.75">
      <c r="A111" s="1758"/>
      <c r="B111" s="446">
        <f>method_reg&lt;&gt;"Метод экономически обоснованных расходов"</f>
        <v>1</v>
      </c>
      <c r="C111" s="1758"/>
      <c r="D111" s="1758"/>
      <c r="E111" s="618">
        <v>22.5</v>
      </c>
      <c r="F111" s="50" cm="1" t="str">
        <f t="array" ref="F111:F111">OFFSET(E111,-1,1)</f>
        <v>3</v>
      </c>
      <c r="G111" s="122" t="s">
        <v>1174</v>
      </c>
      <c r="H111" s="122" t="s">
        <v>1175</v>
      </c>
      <c r="I111" s="1758"/>
      <c r="J111" s="1758"/>
      <c r="K111" s="1758"/>
      <c r="L111" s="1758"/>
      <c r="M111" s="1758"/>
      <c r="N111" s="1758"/>
      <c r="O111" s="1758"/>
      <c r="P111" s="1758"/>
      <c r="Q111" s="1758"/>
      <c r="R111" s="1758"/>
      <c r="S111" s="1758"/>
      <c r="T111" s="1758"/>
      <c r="U111" s="465" cm="1" t="str">
        <f t="array" ref="U111:U111">U110</f>
        <v>true</v>
      </c>
      <c r="V111" s="1758"/>
      <c r="W111" s="1758"/>
      <c r="X111" s="1758"/>
      <c r="Y111" s="1543"/>
      <c r="Z111" s="1565"/>
      <c r="AA111" s="1758"/>
      <c r="AB111" s="133">
        <v>1</v>
      </c>
      <c r="AC111" s="134" t="s">
        <v>1176</v>
      </c>
      <c r="AD111" s="136" t="s">
        <v>1170</v>
      </c>
      <c r="AE111" s="276"/>
      <c r="AF111" s="276"/>
      <c r="AG111" s="276"/>
      <c r="AH111" s="200"/>
      <c r="AI111" s="276"/>
      <c r="AJ111" s="276"/>
      <c r="AK111" s="276"/>
      <c r="AL111" s="281">
        <f>IF(AI111&lt;&gt;0,AK111/AI111,0)</f>
        <v>0</v>
      </c>
      <c r="AM111" s="280">
        <f>AK111-AJ111</f>
        <v>0</v>
      </c>
      <c r="AN111" s="200"/>
      <c r="AO111" s="276">
        <v>1</v>
      </c>
      <c r="AP111" s="276">
        <v>1</v>
      </c>
      <c r="AQ111" s="276">
        <v>1</v>
      </c>
      <c r="AR111" s="276">
        <v>1</v>
      </c>
      <c r="AS111" s="2069"/>
      <c r="AT111" s="2069"/>
      <c r="AU111" s="2069"/>
      <c r="AV111" s="2069"/>
      <c r="AW111" s="2069"/>
      <c r="AX111" s="276">
        <v>1</v>
      </c>
      <c r="AY111" s="276">
        <v>1</v>
      </c>
      <c r="AZ111" s="276">
        <v>1</v>
      </c>
      <c r="BA111" s="276">
        <v>1</v>
      </c>
      <c r="BB111" s="2069"/>
      <c r="BC111" s="2069"/>
      <c r="BD111" s="2069"/>
      <c r="BE111" s="2069"/>
      <c r="BF111" s="2069"/>
      <c r="BG111" s="1758"/>
      <c r="BH111" s="1758"/>
      <c r="BI111" s="997" t="s">
        <v>1177</v>
      </c>
      <c r="BJ111" s="1764"/>
      <c r="BK111" s="1764"/>
      <c r="BL111" s="1757"/>
      <c r="BM111" s="1757"/>
    </row>
    <row s="1834" customFormat="1" customHeight="1" ht="128.25">
      <c r="A112" s="1758"/>
      <c r="B112" s="1416"/>
      <c r="C112" s="1758"/>
      <c r="D112" s="1758"/>
      <c r="E112" s="618">
        <v>15</v>
      </c>
      <c r="F112" s="50" cm="1" t="str">
        <f t="array" ref="F112:F112">OFFSET(E112,-1,1)</f>
        <v>3</v>
      </c>
      <c r="G112" s="122" t="s">
        <v>1178</v>
      </c>
      <c r="H112" s="122" t="s">
        <v>1179</v>
      </c>
      <c r="I112" s="1758"/>
      <c r="J112" s="1758"/>
      <c r="K112" s="1758"/>
      <c r="L112" s="1758"/>
      <c r="M112" s="1758"/>
      <c r="N112" s="1758"/>
      <c r="O112" s="1758"/>
      <c r="P112" s="1758"/>
      <c r="Q112" s="1758"/>
      <c r="R112" s="1758"/>
      <c r="S112" s="1758"/>
      <c r="T112" s="1758"/>
      <c r="U112" s="465" cm="1" t="str">
        <f t="array" ref="U112:U112">U111</f>
        <v>true</v>
      </c>
      <c r="V112" s="1758"/>
      <c r="W112" s="1758"/>
      <c r="X112" s="1758"/>
      <c r="Y112" s="1543"/>
      <c r="Z112" s="1565"/>
      <c r="AA112" s="1758"/>
      <c r="AB112" s="133">
        <f>IF(B111,2,1)</f>
        <v>2</v>
      </c>
      <c r="AC112" s="135" t="s">
        <v>1180</v>
      </c>
      <c r="AD112" s="136" t="s">
        <v>1170</v>
      </c>
      <c r="AE112" s="276"/>
      <c r="AF112" s="276"/>
      <c r="AG112" s="276"/>
      <c r="AH112" s="200"/>
      <c r="AI112" s="276"/>
      <c r="AJ112" s="276">
        <v>5.1</v>
      </c>
      <c r="AK112" s="276">
        <v>5.1</v>
      </c>
      <c r="AL112" s="281">
        <f>IF(AI112&lt;&gt;0,AK112/AI112,0)</f>
        <v>0</v>
      </c>
      <c r="AM112" s="280">
        <f>AK112-AJ112</f>
        <v>0</v>
      </c>
      <c r="AN112" s="200" t="s">
        <v>1231</v>
      </c>
      <c r="AO112" s="276">
        <v>4</v>
      </c>
      <c r="AP112" s="276">
        <v>4</v>
      </c>
      <c r="AQ112" s="276">
        <v>4</v>
      </c>
      <c r="AR112" s="276">
        <v>4</v>
      </c>
      <c r="AS112" s="2069"/>
      <c r="AT112" s="2069"/>
      <c r="AU112" s="2069"/>
      <c r="AV112" s="2069"/>
      <c r="AW112" s="2069"/>
      <c r="AX112" s="276">
        <v>4</v>
      </c>
      <c r="AY112" s="276">
        <v>4</v>
      </c>
      <c r="AZ112" s="276">
        <v>4</v>
      </c>
      <c r="BA112" s="276">
        <v>4</v>
      </c>
      <c r="BB112" s="2069"/>
      <c r="BC112" s="2069"/>
      <c r="BD112" s="2069"/>
      <c r="BE112" s="2069"/>
      <c r="BF112" s="2069"/>
      <c r="BG112" s="1758"/>
      <c r="BH112" s="1758"/>
      <c r="BI112" s="997" t="s">
        <v>1181</v>
      </c>
      <c r="BJ112" s="1764"/>
      <c r="BK112" s="1764"/>
      <c r="BL112" s="1757"/>
      <c r="BM112" s="1757"/>
    </row>
    <row s="1834" customFormat="1" customHeight="1" ht="14.25">
      <c r="A113" s="1758"/>
      <c r="B113" s="1416"/>
      <c r="C113" s="1758"/>
      <c r="D113" s="1758"/>
      <c r="E113" s="618">
        <v>15</v>
      </c>
      <c r="F113" s="50" cm="1" t="str">
        <f t="array" ref="F113:F113">OFFSET(E113,-1,1)</f>
        <v>3</v>
      </c>
      <c r="G113" s="1758"/>
      <c r="H113" s="122" t="s">
        <v>1182</v>
      </c>
      <c r="I113" s="1758"/>
      <c r="J113" s="1758"/>
      <c r="K113" s="1758"/>
      <c r="L113" s="1758"/>
      <c r="M113" s="1758"/>
      <c r="N113" s="1758"/>
      <c r="O113" s="1758"/>
      <c r="P113" s="1758"/>
      <c r="Q113" s="1758"/>
      <c r="R113" s="1758"/>
      <c r="S113" s="1758"/>
      <c r="T113" s="1758"/>
      <c r="U113" s="465" cm="1" t="str">
        <f t="array" ref="U113:U113">U112</f>
        <v>true</v>
      </c>
      <c r="V113" s="1758"/>
      <c r="W113" s="1758"/>
      <c r="X113" s="1758"/>
      <c r="Y113" s="1543"/>
      <c r="Z113" s="1565"/>
      <c r="AA113" s="1758"/>
      <c r="AB113" s="133">
        <f>AB112+1</f>
        <v>3</v>
      </c>
      <c r="AC113" s="137" t="s">
        <v>1183</v>
      </c>
      <c r="AD113" s="136" t="s">
        <v>1170</v>
      </c>
      <c r="AE113" s="276"/>
      <c r="AF113" s="276"/>
      <c r="AG113" s="276"/>
      <c r="AH113" s="200"/>
      <c r="AI113" s="276"/>
      <c r="AJ113" s="276">
        <v>13.2</v>
      </c>
      <c r="AK113" s="276">
        <v>13.2</v>
      </c>
      <c r="AL113" s="281">
        <f>IF(AI113&lt;&gt;0,AK113/AI113,0)</f>
        <v>0</v>
      </c>
      <c r="AM113" s="280">
        <f>AK113-AJ113</f>
        <v>0</v>
      </c>
      <c r="AN113" s="200"/>
      <c r="AO113" s="276">
        <v>9.1</v>
      </c>
      <c r="AP113" s="276">
        <v>4.9</v>
      </c>
      <c r="AQ113" s="276">
        <v>4.9</v>
      </c>
      <c r="AR113" s="276">
        <v>4.9</v>
      </c>
      <c r="AS113" s="2069"/>
      <c r="AT113" s="2069"/>
      <c r="AU113" s="2069"/>
      <c r="AV113" s="2069"/>
      <c r="AW113" s="2069"/>
      <c r="AX113" s="276">
        <v>9.1</v>
      </c>
      <c r="AY113" s="276">
        <v>4.9</v>
      </c>
      <c r="AZ113" s="276">
        <v>4.9</v>
      </c>
      <c r="BA113" s="276">
        <v>4.9</v>
      </c>
      <c r="BB113" s="2069"/>
      <c r="BC113" s="2069"/>
      <c r="BD113" s="2069"/>
      <c r="BE113" s="2069"/>
      <c r="BF113" s="2069"/>
      <c r="BG113" s="1758"/>
      <c r="BH113" s="1758"/>
      <c r="BI113" s="997" t="s">
        <v>1184</v>
      </c>
      <c r="BJ113" s="1764"/>
      <c r="BK113" s="1764"/>
      <c r="BL113" s="1757"/>
      <c r="BM113" s="1757"/>
    </row>
    <row s="1834" customFormat="1" customHeight="1" ht="14.25">
      <c r="A114" s="1758"/>
      <c r="B114" s="446">
        <f>method_reg&lt;&gt;"Метод экономически обоснованных расходов"</f>
        <v>1</v>
      </c>
      <c r="C114" s="1758"/>
      <c r="D114" s="1758"/>
      <c r="E114" s="618">
        <v>15</v>
      </c>
      <c r="F114" s="50" cm="1" t="str">
        <f t="array" ref="F114:F114">OFFSET(E114,-1,1)</f>
        <v>3</v>
      </c>
      <c r="G114" s="122" t="s">
        <v>1185</v>
      </c>
      <c r="H114" s="122" t="s">
        <v>1186</v>
      </c>
      <c r="I114" s="1758"/>
      <c r="J114" s="1758"/>
      <c r="K114" s="1758"/>
      <c r="L114" s="1758"/>
      <c r="M114" s="1758"/>
      <c r="N114" s="1758"/>
      <c r="O114" s="1758"/>
      <c r="P114" s="1758"/>
      <c r="Q114" s="1758"/>
      <c r="R114" s="1758"/>
      <c r="S114" s="1758"/>
      <c r="T114" s="1758"/>
      <c r="U114" s="465" cm="1" t="str">
        <f t="array" ref="U114:U114">U113</f>
        <v>true</v>
      </c>
      <c r="V114" s="1758"/>
      <c r="W114" s="1758"/>
      <c r="X114" s="1758"/>
      <c r="Y114" s="1543"/>
      <c r="Z114" s="1565"/>
      <c r="AA114" s="1758"/>
      <c r="AB114" s="133">
        <v>4</v>
      </c>
      <c r="AC114" s="135" t="s">
        <v>1187</v>
      </c>
      <c r="AD114" s="136" t="s">
        <v>1170</v>
      </c>
      <c r="AE114" s="276"/>
      <c r="AF114" s="276"/>
      <c r="AG114" s="276"/>
      <c r="AH114" s="200"/>
      <c r="AI114" s="276"/>
      <c r="AJ114" s="276"/>
      <c r="AK114" s="276"/>
      <c r="AL114" s="281">
        <f>IF(AI114&lt;&gt;0,AK114/AI114,0)</f>
        <v>0</v>
      </c>
      <c r="AM114" s="280">
        <f>AK114-AJ114</f>
        <v>0</v>
      </c>
      <c r="AN114" s="200"/>
      <c r="AO114" s="276"/>
      <c r="AP114" s="276"/>
      <c r="AQ114" s="276"/>
      <c r="AR114" s="276"/>
      <c r="AS114" s="2069"/>
      <c r="AT114" s="2069"/>
      <c r="AU114" s="2069"/>
      <c r="AV114" s="2069"/>
      <c r="AW114" s="2069"/>
      <c r="AX114" s="276"/>
      <c r="AY114" s="276"/>
      <c r="AZ114" s="276"/>
      <c r="BA114" s="276"/>
      <c r="BB114" s="2069"/>
      <c r="BC114" s="2069"/>
      <c r="BD114" s="2069"/>
      <c r="BE114" s="2069"/>
      <c r="BF114" s="2069"/>
      <c r="BG114" s="1758"/>
      <c r="BH114" s="1758"/>
      <c r="BI114" s="997" t="s">
        <v>1188</v>
      </c>
      <c r="BJ114" s="1764"/>
      <c r="BK114" s="1764"/>
      <c r="BL114" s="1757"/>
      <c r="BM114" s="1757"/>
    </row>
    <row s="1806" customFormat="1" customHeight="1" ht="14.25">
      <c r="A115" s="149"/>
      <c r="B115" s="447"/>
      <c r="C115" s="149"/>
      <c r="D115" s="149"/>
      <c r="E115" s="676">
        <v>15</v>
      </c>
      <c r="F115" s="374" cm="1" t="str">
        <f t="array" ref="F115:F115">OFFSET(E115,-1,1)</f>
        <v>3</v>
      </c>
      <c r="G115" s="149"/>
      <c r="H115" s="149"/>
      <c r="I115" s="149"/>
      <c r="J115" s="149"/>
      <c r="K115" s="149"/>
      <c r="L115" s="149"/>
      <c r="M115" s="149"/>
      <c r="N115" s="149"/>
      <c r="O115" s="149"/>
      <c r="P115" s="149"/>
      <c r="Q115" s="149"/>
      <c r="R115" s="149"/>
      <c r="S115" s="149"/>
      <c r="T115" s="149"/>
      <c r="U115" s="465" cm="1" t="str">
        <f t="array" ref="U115:U115">U114</f>
        <v>true</v>
      </c>
      <c r="V115" s="149"/>
      <c r="W115" s="149"/>
      <c r="X115" s="149"/>
      <c r="Y115" s="1543"/>
      <c r="Z115" s="1565"/>
      <c r="AA115" s="149"/>
      <c r="AB115" s="133">
        <v>5</v>
      </c>
      <c r="AC115" s="135" t="s">
        <v>1189</v>
      </c>
      <c r="AD115" s="136" t="s">
        <v>1170</v>
      </c>
      <c r="AE115" s="276"/>
      <c r="AF115" s="276"/>
      <c r="AG115" s="276"/>
      <c r="AH115" s="200"/>
      <c r="AI115" s="276"/>
      <c r="AJ115" s="276"/>
      <c r="AK115" s="276"/>
      <c r="AL115" s="281">
        <f>IF(AI115&lt;&gt;0,AK115/AI115,0)</f>
        <v>0</v>
      </c>
      <c r="AM115" s="280">
        <f>AK115-AJ115</f>
        <v>0</v>
      </c>
      <c r="AN115" s="200"/>
      <c r="AO115" s="276"/>
      <c r="AP115" s="276"/>
      <c r="AQ115" s="276"/>
      <c r="AR115" s="276"/>
      <c r="AS115" s="2069"/>
      <c r="AT115" s="2069"/>
      <c r="AU115" s="2069"/>
      <c r="AV115" s="2069"/>
      <c r="AW115" s="2069"/>
      <c r="AX115" s="276"/>
      <c r="AY115" s="276"/>
      <c r="AZ115" s="276"/>
      <c r="BA115" s="276"/>
      <c r="BB115" s="2069"/>
      <c r="BC115" s="2069"/>
      <c r="BD115" s="2069"/>
      <c r="BE115" s="2069"/>
      <c r="BF115" s="2069"/>
      <c r="BG115" s="149"/>
      <c r="BH115" s="149"/>
      <c r="BI115" s="1038" t="s">
        <v>1190</v>
      </c>
      <c r="BJ115" s="1038"/>
      <c r="BK115" s="1038"/>
      <c r="BL115" s="676"/>
      <c r="BM115" s="676"/>
    </row>
    <row s="1834" customFormat="1" customHeight="1" ht="14.25">
      <c r="A116" s="1758"/>
      <c r="B116" s="1416"/>
      <c r="C116" s="1758"/>
      <c r="D116" s="1758"/>
      <c r="E116" s="618">
        <v>15</v>
      </c>
      <c r="F116" s="50" cm="1" t="str">
        <f t="array" ref="F116:F116">OFFSET(E116,-1,1)</f>
        <v>3</v>
      </c>
      <c r="G116" s="1758"/>
      <c r="H116" s="1758"/>
      <c r="I116" s="1758"/>
      <c r="J116" s="1758"/>
      <c r="K116" s="1758"/>
      <c r="L116" s="1758"/>
      <c r="M116" s="1758"/>
      <c r="N116" s="1758"/>
      <c r="O116" s="1758"/>
      <c r="P116" s="1758"/>
      <c r="Q116" s="1758"/>
      <c r="R116" s="1758"/>
      <c r="S116" s="1758"/>
      <c r="T116" s="1758"/>
      <c r="U116" s="465" cm="1" t="str">
        <f t="array" ref="U116:U116">U114</f>
        <v>true</v>
      </c>
      <c r="V116" s="1758"/>
      <c r="W116" s="1758"/>
      <c r="X116" s="1758"/>
      <c r="Y116" s="1543"/>
      <c r="Z116" s="1565"/>
      <c r="AA116" s="1758"/>
      <c r="AB116" s="270"/>
      <c r="AC116" s="271" t="s">
        <v>1191</v>
      </c>
      <c r="AD116" s="272"/>
      <c r="AE116" s="277"/>
      <c r="AF116" s="277"/>
      <c r="AG116" s="277"/>
      <c r="AH116" s="272"/>
      <c r="AI116" s="277"/>
      <c r="AJ116" s="277"/>
      <c r="AK116" s="277"/>
      <c r="AL116" s="282"/>
      <c r="AM116" s="277"/>
      <c r="AN116" s="272"/>
      <c r="AO116" s="277"/>
      <c r="AP116" s="277"/>
      <c r="AQ116" s="277"/>
      <c r="AR116" s="277"/>
      <c r="AS116" s="277"/>
      <c r="AT116" s="277"/>
      <c r="AU116" s="277"/>
      <c r="AV116" s="277"/>
      <c r="AW116" s="277"/>
      <c r="AX116" s="277"/>
      <c r="AY116" s="277"/>
      <c r="AZ116" s="277"/>
      <c r="BA116" s="277"/>
      <c r="BB116" s="277"/>
      <c r="BC116" s="277"/>
      <c r="BD116" s="277"/>
      <c r="BE116" s="277"/>
      <c r="BF116" s="283"/>
      <c r="BG116" s="1758"/>
      <c r="BH116" s="1758"/>
      <c r="BI116" s="1764"/>
      <c r="BJ116" s="1764"/>
      <c r="BK116" s="1764"/>
      <c r="BL116" s="1757"/>
      <c r="BM116" s="1757"/>
    </row>
    <row s="1834" customFormat="1" customHeight="1" ht="54.75">
      <c r="A117" s="1758"/>
      <c r="B117" s="1416"/>
      <c r="C117" s="1758"/>
      <c r="D117" s="1758"/>
      <c r="E117" s="618">
        <v>15</v>
      </c>
      <c r="F117" s="50" cm="1" t="str">
        <f t="array" ref="F117:F117">OFFSET(E117,-1,1)</f>
        <v>3</v>
      </c>
      <c r="G117" s="122" t="s">
        <v>1192</v>
      </c>
      <c r="H117" s="122" t="s">
        <v>1193</v>
      </c>
      <c r="I117" s="1758"/>
      <c r="J117" s="1758"/>
      <c r="K117" s="1758"/>
      <c r="L117" s="1758"/>
      <c r="M117" s="1758"/>
      <c r="N117" s="1758"/>
      <c r="O117" s="1758"/>
      <c r="P117" s="1758"/>
      <c r="Q117" s="1758"/>
      <c r="R117" s="1758"/>
      <c r="S117" s="1758"/>
      <c r="T117" s="1758"/>
      <c r="U117" s="465" cm="1" t="str">
        <f t="array" ref="U117:U117">U116</f>
        <v>true</v>
      </c>
      <c r="V117" s="1758"/>
      <c r="W117" s="1758"/>
      <c r="X117" s="1758"/>
      <c r="Y117" s="1543"/>
      <c r="Z117" s="1565"/>
      <c r="AA117" s="1758"/>
      <c r="AB117" s="133">
        <v>1</v>
      </c>
      <c r="AC117" s="135" t="s">
        <v>1194</v>
      </c>
      <c r="AD117" s="136" t="s">
        <v>1170</v>
      </c>
      <c r="AE117" s="278"/>
      <c r="AF117" s="278"/>
      <c r="AG117" s="278"/>
      <c r="AH117" s="200"/>
      <c r="AI117" s="278"/>
      <c r="AJ117" s="278">
        <v>30.2</v>
      </c>
      <c r="AK117" s="278">
        <v>30.2</v>
      </c>
      <c r="AL117" s="281">
        <f>IF(AI117&lt;&gt;0,AK117/AI117,0)</f>
        <v>0</v>
      </c>
      <c r="AM117" s="280">
        <f>AK117-AJ117</f>
        <v>0</v>
      </c>
      <c r="AN117" s="200" t="s">
        <v>1232</v>
      </c>
      <c r="AO117" s="278">
        <v>30.2</v>
      </c>
      <c r="AP117" s="278">
        <v>30.2</v>
      </c>
      <c r="AQ117" s="278">
        <v>30.2</v>
      </c>
      <c r="AR117" s="278">
        <v>30.2</v>
      </c>
      <c r="AS117" s="2082"/>
      <c r="AT117" s="2082"/>
      <c r="AU117" s="2082"/>
      <c r="AV117" s="2082"/>
      <c r="AW117" s="2082"/>
      <c r="AX117" s="278">
        <v>30.2</v>
      </c>
      <c r="AY117" s="278">
        <v>30.2</v>
      </c>
      <c r="AZ117" s="278">
        <v>30.2</v>
      </c>
      <c r="BA117" s="278">
        <v>30.2</v>
      </c>
      <c r="BB117" s="2082"/>
      <c r="BC117" s="2082"/>
      <c r="BD117" s="2082"/>
      <c r="BE117" s="2082"/>
      <c r="BF117" s="2082"/>
      <c r="BG117" s="1758"/>
      <c r="BH117" s="1758"/>
      <c r="BI117" s="997" t="s">
        <v>1195</v>
      </c>
      <c r="BJ117" s="1764"/>
      <c r="BK117" s="1764"/>
      <c r="BL117" s="1757"/>
      <c r="BM117" s="1757"/>
    </row>
    <row s="1834" customFormat="1" customHeight="1" ht="15" hidden="1">
      <c r="A118" s="1758"/>
      <c r="B118" s="1416"/>
      <c r="C118" s="1758"/>
      <c r="D118" s="1758"/>
      <c r="E118" s="618">
        <v>0</v>
      </c>
      <c r="F118" s="50" cm="1" t="str">
        <f t="array" ref="F118:F118">OFFSET(E118,-1,1)</f>
        <v>3</v>
      </c>
      <c r="G118" s="1758"/>
      <c r="H118" s="122" t="s">
        <v>1196</v>
      </c>
      <c r="I118" s="1758"/>
      <c r="J118" s="1758"/>
      <c r="K118" s="1758"/>
      <c r="L118" s="1758"/>
      <c r="M118" s="1758"/>
      <c r="N118" s="1758"/>
      <c r="O118" s="1758"/>
      <c r="P118" s="1758"/>
      <c r="Q118" s="1758"/>
      <c r="R118" s="1758"/>
      <c r="S118" s="1758"/>
      <c r="T118" s="1758"/>
      <c r="U118" s="465" cm="1" t="str">
        <f t="array" ref="U118:U118">U117</f>
        <v>true</v>
      </c>
      <c r="V118" s="1758"/>
      <c r="W118" s="1758"/>
      <c r="X118" s="1758"/>
      <c r="Y118" s="1543"/>
      <c r="Z118" s="1565"/>
      <c r="AA118" s="1758"/>
      <c r="AB118" s="133">
        <v>2</v>
      </c>
      <c r="AC118" s="135" t="s">
        <v>1169</v>
      </c>
      <c r="AD118" s="136" t="s">
        <v>1170</v>
      </c>
      <c r="AE118" s="2082"/>
      <c r="AF118" s="2069"/>
      <c r="AG118" s="2082"/>
      <c r="AH118" s="2070"/>
      <c r="AI118" s="2082"/>
      <c r="AJ118" s="2082"/>
      <c r="AK118" s="2082"/>
      <c r="AL118" s="281">
        <f>IF(AI118&lt;&gt;0,AK118/AI118,0)</f>
        <v>0</v>
      </c>
      <c r="AM118" s="280">
        <f>AK118-AJ118</f>
        <v>0</v>
      </c>
      <c r="AN118" s="2070"/>
      <c r="AO118" s="2082"/>
      <c r="AP118" s="2082"/>
      <c r="AQ118" s="2082"/>
      <c r="AR118" s="2082"/>
      <c r="AS118" s="2082"/>
      <c r="AT118" s="2082"/>
      <c r="AU118" s="2082"/>
      <c r="AV118" s="2082"/>
      <c r="AW118" s="2082"/>
      <c r="AX118" s="2082"/>
      <c r="AY118" s="2082"/>
      <c r="AZ118" s="2082"/>
      <c r="BA118" s="2082"/>
      <c r="BB118" s="2082"/>
      <c r="BC118" s="2082"/>
      <c r="BD118" s="2082"/>
      <c r="BE118" s="2082"/>
      <c r="BF118" s="2082"/>
      <c r="BG118" s="1758"/>
      <c r="BH118" s="1758"/>
      <c r="BI118" s="997" t="s">
        <v>1197</v>
      </c>
      <c r="BJ118" s="1764"/>
      <c r="BK118" s="1764"/>
      <c r="BL118" s="1757"/>
      <c r="BM118" s="1757"/>
    </row>
    <row s="1834" customFormat="1" customHeight="1" ht="0">
      <c r="A119" s="1758"/>
      <c r="B119" s="1416"/>
      <c r="C119" s="1758"/>
      <c r="D119" s="1758"/>
      <c r="E119" s="618">
        <v>15</v>
      </c>
      <c r="F119" s="50" cm="1" t="str">
        <f t="array" ref="F119:F119">OFFSET(E119,-1,1)</f>
        <v>3</v>
      </c>
      <c r="G119" s="1758"/>
      <c r="H119" s="1758"/>
      <c r="I119" s="1758"/>
      <c r="J119" s="1758"/>
      <c r="K119" s="1758"/>
      <c r="L119" s="1758"/>
      <c r="M119" s="1758"/>
      <c r="N119" s="1758"/>
      <c r="O119" s="1758"/>
      <c r="P119" s="1758"/>
      <c r="Q119" s="1758"/>
      <c r="R119" s="1758"/>
      <c r="S119" s="1758"/>
      <c r="T119" s="1758"/>
      <c r="U119" s="465" cm="1" t="str">
        <f t="array" ref="U119:U119">U118</f>
        <v>true</v>
      </c>
      <c r="V119" s="1758"/>
      <c r="W119" s="1758"/>
      <c r="X119" s="1758"/>
      <c r="Y119" s="1543"/>
      <c r="Z119" s="1565"/>
      <c r="AA119" s="1758"/>
      <c r="AB119" s="606">
        <v>2</v>
      </c>
      <c r="AC119" s="607" t="s">
        <v>1198</v>
      </c>
      <c r="AD119" s="94"/>
      <c r="AE119" s="608"/>
      <c r="AF119" s="609"/>
      <c r="AG119" s="610"/>
      <c r="AH119" s="611"/>
      <c r="AI119" s="608"/>
      <c r="AJ119" s="609"/>
      <c r="AK119" s="609"/>
      <c r="AL119" s="612"/>
      <c r="AM119" s="609"/>
      <c r="AN119" s="611"/>
      <c r="AO119" s="608"/>
      <c r="AP119" s="608"/>
      <c r="AQ119" s="608"/>
      <c r="AR119" s="608"/>
      <c r="AS119" s="608"/>
      <c r="AT119" s="608"/>
      <c r="AU119" s="608"/>
      <c r="AV119" s="608"/>
      <c r="AW119" s="608"/>
      <c r="AX119" s="608"/>
      <c r="AY119" s="608"/>
      <c r="AZ119" s="608"/>
      <c r="BA119" s="608"/>
      <c r="BB119" s="608"/>
      <c r="BC119" s="608"/>
      <c r="BD119" s="608"/>
      <c r="BE119" s="608"/>
      <c r="BF119" s="608"/>
      <c r="BG119" s="1758"/>
      <c r="BH119" s="1758"/>
      <c r="BI119" s="997" t="s">
        <v>1199</v>
      </c>
      <c r="BJ119" s="1764"/>
      <c r="BK119" s="1764"/>
      <c r="BL119" s="1757"/>
      <c r="BM119" s="1757"/>
    </row>
    <row s="1834" customFormat="1" customHeight="1" ht="0">
      <c r="A120" s="1758"/>
      <c r="B120" s="1416"/>
      <c r="C120" s="1758"/>
      <c r="D120" s="1758"/>
      <c r="E120" s="618">
        <v>22.5</v>
      </c>
      <c r="F120" s="50" cm="1" t="str">
        <f t="array" ref="F120:F120">OFFSET(E120,-1,1)</f>
        <v>3</v>
      </c>
      <c r="G120" s="1758"/>
      <c r="H120" s="122" t="s">
        <v>1200</v>
      </c>
      <c r="I120" s="1758"/>
      <c r="J120" s="1758"/>
      <c r="K120" s="1758"/>
      <c r="L120" s="1758"/>
      <c r="M120" s="1758"/>
      <c r="N120" s="1758"/>
      <c r="O120" s="1758"/>
      <c r="P120" s="1758"/>
      <c r="Q120" s="1758"/>
      <c r="R120" s="1758"/>
      <c r="S120" s="1758"/>
      <c r="T120" s="1758"/>
      <c r="U120" s="465" cm="1" t="str">
        <f t="array" ref="U120:U120">U119</f>
        <v>true</v>
      </c>
      <c r="V120" s="1758"/>
      <c r="W120" s="1758"/>
      <c r="X120" s="1758"/>
      <c r="Y120" s="1543"/>
      <c r="Z120" s="1565"/>
      <c r="AA120" s="1758"/>
      <c r="AB120" s="220" t="s">
        <v>1201</v>
      </c>
      <c r="AC120" s="214" t="s">
        <v>1202</v>
      </c>
      <c r="AD120" s="91" t="s">
        <v>1203</v>
      </c>
      <c r="AE120" s="307"/>
      <c r="AF120" s="613"/>
      <c r="AG120" s="614"/>
      <c r="AH120" s="309"/>
      <c r="AI120" s="307"/>
      <c r="AJ120" s="613"/>
      <c r="AK120" s="613"/>
      <c r="AL120" s="615">
        <f>IF(AI120&lt;&gt;0,AK120/AI120,0)</f>
        <v>0</v>
      </c>
      <c r="AM120" s="616">
        <f>AK120-AJ120</f>
        <v>0</v>
      </c>
      <c r="AN120" s="309"/>
      <c r="AO120" s="307"/>
      <c r="AP120" s="307"/>
      <c r="AQ120" s="307"/>
      <c r="AR120" s="307"/>
      <c r="AS120" s="2094"/>
      <c r="AT120" s="2094"/>
      <c r="AU120" s="2094"/>
      <c r="AV120" s="2094"/>
      <c r="AW120" s="2094"/>
      <c r="AX120" s="307"/>
      <c r="AY120" s="307"/>
      <c r="AZ120" s="307"/>
      <c r="BA120" s="307"/>
      <c r="BB120" s="2094"/>
      <c r="BC120" s="2094"/>
      <c r="BD120" s="2094"/>
      <c r="BE120" s="2094"/>
      <c r="BF120" s="2094"/>
      <c r="BG120" s="1758"/>
      <c r="BH120" s="1758"/>
      <c r="BI120" s="997" t="s">
        <v>1204</v>
      </c>
      <c r="BJ120" s="1764"/>
      <c r="BK120" s="1764"/>
      <c r="BL120" s="1757"/>
      <c r="BM120" s="1757"/>
    </row>
    <row s="1834" customFormat="1" customHeight="1" ht="0" hidden="1">
      <c r="A121" s="1758"/>
      <c r="B121" s="1416"/>
      <c r="C121" s="1758"/>
      <c r="D121" s="1758"/>
      <c r="E121" s="618">
        <v>22.5</v>
      </c>
      <c r="F121" s="50" cm="1" t="str">
        <f t="array" ref="F121:F121">OFFSET(E121,-1,1)</f>
        <v>3</v>
      </c>
      <c r="G121" s="1758"/>
      <c r="H121" s="1758"/>
      <c r="I121" s="122" cm="1" t="str">
        <f t="array" ref="I121:I121">AC121</f>
        <v>0</v>
      </c>
      <c r="J121" s="1758"/>
      <c r="K121" s="1758"/>
      <c r="L121" s="1758"/>
      <c r="M121" s="1758"/>
      <c r="N121" s="1758"/>
      <c r="O121" s="1758"/>
      <c r="P121" s="1758"/>
      <c r="Q121" s="1758"/>
      <c r="R121" s="1758"/>
      <c r="S121" s="1758"/>
      <c r="T121" s="1758"/>
      <c r="U121" s="465">
        <f>AND(F121&gt;0,--RIGHT(AB121,1)&gt;1)</f>
        <v>0</v>
      </c>
      <c r="V121" s="1758"/>
      <c r="W121" s="1758"/>
      <c r="X121" s="757" t="s">
        <v>174</v>
      </c>
      <c r="Y121" s="1543"/>
      <c r="Z121" s="1565"/>
      <c r="AA121" s="420" t="s">
        <v>175</v>
      </c>
      <c r="AB121" s="220" t="s">
        <v>1201</v>
      </c>
      <c r="AC121" s="2100"/>
      <c r="AD121" s="91" t="s">
        <v>1203</v>
      </c>
      <c r="AE121" s="2094"/>
      <c r="AF121" s="2095"/>
      <c r="AG121" s="2096"/>
      <c r="AH121" s="2097"/>
      <c r="AI121" s="2094"/>
      <c r="AJ121" s="2095"/>
      <c r="AK121" s="2095"/>
      <c r="AL121" s="615">
        <f>IF(AI121&lt;&gt;0,AK121/AI121,0)</f>
        <v>0</v>
      </c>
      <c r="AM121" s="616">
        <f>AK121-AJ121</f>
        <v>0</v>
      </c>
      <c r="AN121" s="2097"/>
      <c r="AO121" s="2094"/>
      <c r="AP121" s="2094"/>
      <c r="AQ121" s="2094"/>
      <c r="AR121" s="2094"/>
      <c r="AS121" s="2094"/>
      <c r="AT121" s="2094"/>
      <c r="AU121" s="2094"/>
      <c r="AV121" s="2094"/>
      <c r="AW121" s="2094"/>
      <c r="AX121" s="2094"/>
      <c r="AY121" s="2094"/>
      <c r="AZ121" s="2094"/>
      <c r="BA121" s="2094"/>
      <c r="BB121" s="2094"/>
      <c r="BC121" s="2094"/>
      <c r="BD121" s="2094"/>
      <c r="BE121" s="2094"/>
      <c r="BF121" s="2094"/>
      <c r="BG121" s="1758"/>
      <c r="BH121" s="1758"/>
      <c r="BI121" s="997" t="s">
        <v>1204</v>
      </c>
      <c r="BJ121" s="997" t="s">
        <v>1205</v>
      </c>
      <c r="BK121" s="997" cm="1" t="str">
        <f t="array" ref="BK121:BK121">AC121</f>
        <v>0</v>
      </c>
      <c r="BL121" s="1757"/>
      <c r="BM121" s="618" t="b">
        <v>1</v>
      </c>
    </row>
    <row s="1834" customFormat="1" customHeight="1" ht="0">
      <c r="A122" s="1758"/>
      <c r="B122" s="1416"/>
      <c r="C122" s="1758"/>
      <c r="D122" s="1758"/>
      <c r="E122" s="618">
        <v>15</v>
      </c>
      <c r="F122" s="50" cm="1" t="str">
        <f t="array" ref="F122:F122">OFFSET(E122,-1,1)</f>
        <v>3</v>
      </c>
      <c r="G122" s="1758"/>
      <c r="H122" s="1758"/>
      <c r="I122" s="1758"/>
      <c r="J122" s="1758"/>
      <c r="K122" s="1758"/>
      <c r="L122" s="1758"/>
      <c r="M122" s="1758"/>
      <c r="N122" s="1758"/>
      <c r="O122" s="1758"/>
      <c r="P122" s="1758"/>
      <c r="Q122" s="1758"/>
      <c r="R122" s="1758"/>
      <c r="S122" s="1758"/>
      <c r="T122" s="1758"/>
      <c r="U122" s="465">
        <f>F122&gt;0</f>
        <v>1</v>
      </c>
      <c r="V122" s="1758"/>
      <c r="W122" s="1758"/>
      <c r="X122" s="757" t="s">
        <v>408</v>
      </c>
      <c r="Y122" s="1543"/>
      <c r="Z122" s="1565"/>
      <c r="AA122" s="1758"/>
      <c r="AB122" s="175"/>
      <c r="AC122" s="308" t="s">
        <v>178</v>
      </c>
      <c r="AD122" s="176"/>
      <c r="AE122" s="176"/>
      <c r="AF122" s="176"/>
      <c r="AG122" s="176"/>
      <c r="AH122" s="176"/>
      <c r="AI122" s="176"/>
      <c r="AJ122" s="176"/>
      <c r="AK122" s="176"/>
      <c r="AL122" s="176"/>
      <c r="AM122" s="176"/>
      <c r="AN122" s="176"/>
      <c r="AO122" s="176"/>
      <c r="AP122" s="176"/>
      <c r="AQ122" s="176"/>
      <c r="AR122" s="176"/>
      <c r="AS122" s="176"/>
      <c r="AT122" s="176"/>
      <c r="AU122" s="176"/>
      <c r="AV122" s="176"/>
      <c r="AW122" s="176"/>
      <c r="AX122" s="176"/>
      <c r="AY122" s="176"/>
      <c r="AZ122" s="176"/>
      <c r="BA122" s="176"/>
      <c r="BB122" s="176"/>
      <c r="BC122" s="176"/>
      <c r="BD122" s="176"/>
      <c r="BE122" s="176"/>
      <c r="BF122" s="176"/>
      <c r="BG122" s="1758"/>
      <c r="BH122" s="1758"/>
      <c r="BI122" s="1764"/>
      <c r="BJ122" s="1764"/>
      <c r="BK122" s="1764"/>
      <c r="BL122" s="618" t="s">
        <v>1205</v>
      </c>
      <c r="BM122" s="1757"/>
    </row>
    <row s="1834" customFormat="1" customHeight="1" ht="0">
      <c r="A123" s="1758"/>
      <c r="B123" s="1416"/>
      <c r="C123" s="1758"/>
      <c r="D123" s="1758"/>
      <c r="E123" s="618">
        <v>22.5</v>
      </c>
      <c r="F123" s="50" cm="1" t="str">
        <f t="array" ref="F123:F123">OFFSET(E123,-1,1)</f>
        <v>3</v>
      </c>
      <c r="G123" s="1758"/>
      <c r="H123" s="122" t="s">
        <v>1206</v>
      </c>
      <c r="I123" s="1758"/>
      <c r="J123" s="1758"/>
      <c r="K123" s="1758"/>
      <c r="L123" s="1758"/>
      <c r="M123" s="1758"/>
      <c r="N123" s="1758"/>
      <c r="O123" s="1758"/>
      <c r="P123" s="1758"/>
      <c r="Q123" s="1758"/>
      <c r="R123" s="1758"/>
      <c r="S123" s="1758"/>
      <c r="T123" s="1758"/>
      <c r="U123" s="465" cm="1" t="str">
        <f t="array" ref="U123:U123">U122</f>
        <v>true</v>
      </c>
      <c r="V123" s="1758"/>
      <c r="W123" s="1758"/>
      <c r="X123" s="1758"/>
      <c r="Y123" s="1543"/>
      <c r="Z123" s="1565"/>
      <c r="AA123" s="1758"/>
      <c r="AB123" s="598" t="s">
        <v>1207</v>
      </c>
      <c r="AC123" s="599" t="s">
        <v>1208</v>
      </c>
      <c r="AD123" s="595" t="s">
        <v>1203</v>
      </c>
      <c r="AE123" s="600"/>
      <c r="AF123" s="601"/>
      <c r="AG123" s="602"/>
      <c r="AH123" s="603"/>
      <c r="AI123" s="600"/>
      <c r="AJ123" s="601"/>
      <c r="AK123" s="601"/>
      <c r="AL123" s="604">
        <f>IF(AI123&lt;&gt;0,AK123/AI123,0)</f>
        <v>0</v>
      </c>
      <c r="AM123" s="605">
        <f>AK123-AJ123</f>
        <v>0</v>
      </c>
      <c r="AN123" s="603"/>
      <c r="AO123" s="600"/>
      <c r="AP123" s="600"/>
      <c r="AQ123" s="600"/>
      <c r="AR123" s="600"/>
      <c r="AS123" s="2104"/>
      <c r="AT123" s="2104"/>
      <c r="AU123" s="2104"/>
      <c r="AV123" s="2104"/>
      <c r="AW123" s="2104"/>
      <c r="AX123" s="600"/>
      <c r="AY123" s="600"/>
      <c r="AZ123" s="600"/>
      <c r="BA123" s="600"/>
      <c r="BB123" s="2104"/>
      <c r="BC123" s="2104"/>
      <c r="BD123" s="2104"/>
      <c r="BE123" s="2104"/>
      <c r="BF123" s="2104"/>
      <c r="BG123" s="1758"/>
      <c r="BH123" s="1758"/>
      <c r="BI123" s="997" t="s">
        <v>1209</v>
      </c>
      <c r="BJ123" s="1764"/>
      <c r="BK123" s="1764"/>
      <c r="BL123" s="1757"/>
      <c r="BM123" s="1757"/>
    </row>
    <row s="1834" customFormat="1" customHeight="1" ht="0" hidden="1">
      <c r="A124" s="1758"/>
      <c r="B124" s="1416"/>
      <c r="C124" s="1758"/>
      <c r="D124" s="1758"/>
      <c r="E124" s="618">
        <v>22.5</v>
      </c>
      <c r="F124" s="50" cm="1" t="str">
        <f t="array" ref="F124:F124">OFFSET(E124,-1,1)</f>
        <v>3</v>
      </c>
      <c r="G124" s="1758"/>
      <c r="H124" s="1758"/>
      <c r="I124" s="122" cm="1" t="str">
        <f t="array" ref="I124:I124">AC124</f>
        <v>0</v>
      </c>
      <c r="J124" s="1758"/>
      <c r="K124" s="1758"/>
      <c r="L124" s="1758"/>
      <c r="M124" s="1758"/>
      <c r="N124" s="1758"/>
      <c r="O124" s="1758"/>
      <c r="P124" s="1758"/>
      <c r="Q124" s="1758"/>
      <c r="R124" s="1758"/>
      <c r="S124" s="1758"/>
      <c r="T124" s="1758"/>
      <c r="U124" s="465">
        <f>AND(F124&gt;0,--RIGHT(AB124,1)&gt;1)</f>
        <v>0</v>
      </c>
      <c r="V124" s="1758"/>
      <c r="W124" s="1758"/>
      <c r="X124" s="757" t="s">
        <v>174</v>
      </c>
      <c r="Y124" s="1543"/>
      <c r="Z124" s="1565"/>
      <c r="AA124" s="420" t="s">
        <v>175</v>
      </c>
      <c r="AB124" s="598" t="s">
        <v>1207</v>
      </c>
      <c r="AC124" s="2110"/>
      <c r="AD124" s="595" t="s">
        <v>1203</v>
      </c>
      <c r="AE124" s="2104"/>
      <c r="AF124" s="2105"/>
      <c r="AG124" s="2106"/>
      <c r="AH124" s="2107"/>
      <c r="AI124" s="2104"/>
      <c r="AJ124" s="2105"/>
      <c r="AK124" s="2105"/>
      <c r="AL124" s="604">
        <f>IF(AI124&lt;&gt;0,AK124/AI124,0)</f>
        <v>0</v>
      </c>
      <c r="AM124" s="605">
        <f>AK124-AJ124</f>
        <v>0</v>
      </c>
      <c r="AN124" s="2107"/>
      <c r="AO124" s="2104"/>
      <c r="AP124" s="2104"/>
      <c r="AQ124" s="2104"/>
      <c r="AR124" s="2104"/>
      <c r="AS124" s="2104"/>
      <c r="AT124" s="2104"/>
      <c r="AU124" s="2104"/>
      <c r="AV124" s="2104"/>
      <c r="AW124" s="2104"/>
      <c r="AX124" s="2104"/>
      <c r="AY124" s="2104"/>
      <c r="AZ124" s="2104"/>
      <c r="BA124" s="2104"/>
      <c r="BB124" s="2104"/>
      <c r="BC124" s="2104"/>
      <c r="BD124" s="2104"/>
      <c r="BE124" s="2104"/>
      <c r="BF124" s="2104"/>
      <c r="BG124" s="1758"/>
      <c r="BH124" s="1758"/>
      <c r="BI124" s="997" t="s">
        <v>1209</v>
      </c>
      <c r="BJ124" s="997" t="s">
        <v>1210</v>
      </c>
      <c r="BK124" s="997" cm="1" t="str">
        <f t="array" ref="BK124:BK124">AC124</f>
        <v>0</v>
      </c>
      <c r="BL124" s="1757"/>
      <c r="BM124" s="618" t="b">
        <v>1</v>
      </c>
    </row>
    <row s="1834" customFormat="1" customHeight="1" ht="0">
      <c r="A125" s="1758"/>
      <c r="B125" s="1416"/>
      <c r="C125" s="1758"/>
      <c r="D125" s="1758"/>
      <c r="E125" s="618">
        <v>15</v>
      </c>
      <c r="F125" s="50" cm="1" t="str">
        <f t="array" ref="F125:F125">OFFSET(E125,-1,1)</f>
        <v>3</v>
      </c>
      <c r="G125" s="1758"/>
      <c r="H125" s="1758"/>
      <c r="I125" s="1758"/>
      <c r="J125" s="1758"/>
      <c r="K125" s="1758"/>
      <c r="L125" s="1758"/>
      <c r="M125" s="1758"/>
      <c r="N125" s="1758"/>
      <c r="O125" s="1758"/>
      <c r="P125" s="1758"/>
      <c r="Q125" s="1758"/>
      <c r="R125" s="1758"/>
      <c r="S125" s="1758"/>
      <c r="T125" s="1758"/>
      <c r="U125" s="465">
        <f>F125&gt;0</f>
        <v>1</v>
      </c>
      <c r="V125" s="1758"/>
      <c r="W125" s="1758"/>
      <c r="X125" s="757" t="s">
        <v>408</v>
      </c>
      <c r="Y125" s="1543"/>
      <c r="Z125" s="1565"/>
      <c r="AA125" s="1758"/>
      <c r="AB125" s="175"/>
      <c r="AC125" s="308" t="s">
        <v>178</v>
      </c>
      <c r="AD125" s="176"/>
      <c r="AE125" s="176"/>
      <c r="AF125" s="176"/>
      <c r="AG125" s="176"/>
      <c r="AH125" s="176"/>
      <c r="AI125" s="176"/>
      <c r="AJ125" s="176"/>
      <c r="AK125" s="176"/>
      <c r="AL125" s="176"/>
      <c r="AM125" s="176"/>
      <c r="AN125" s="176"/>
      <c r="AO125" s="176"/>
      <c r="AP125" s="176"/>
      <c r="AQ125" s="176"/>
      <c r="AR125" s="176"/>
      <c r="AS125" s="176"/>
      <c r="AT125" s="176"/>
      <c r="AU125" s="176"/>
      <c r="AV125" s="176"/>
      <c r="AW125" s="176"/>
      <c r="AX125" s="176"/>
      <c r="AY125" s="176"/>
      <c r="AZ125" s="176"/>
      <c r="BA125" s="176"/>
      <c r="BB125" s="176"/>
      <c r="BC125" s="176"/>
      <c r="BD125" s="176"/>
      <c r="BE125" s="176"/>
      <c r="BF125" s="176"/>
      <c r="BG125" s="1758"/>
      <c r="BH125" s="1758"/>
      <c r="BI125" s="1764"/>
      <c r="BJ125" s="1764"/>
      <c r="BK125" s="1764"/>
      <c r="BL125" s="618" t="s">
        <v>1210</v>
      </c>
      <c r="BM125" s="1757"/>
    </row>
    <row s="1834" customFormat="1" customHeight="1" ht="0">
      <c r="A126" s="1758"/>
      <c r="B126" s="1416"/>
      <c r="C126" s="1758"/>
      <c r="D126" s="1758"/>
      <c r="E126" s="618">
        <v>22.5</v>
      </c>
      <c r="F126" s="50" cm="1" t="str">
        <f t="array" ref="F126:F126">OFFSET(E126,-1,1)</f>
        <v>3</v>
      </c>
      <c r="G126" s="1758"/>
      <c r="H126" s="122" t="s">
        <v>1211</v>
      </c>
      <c r="I126" s="1758"/>
      <c r="J126" s="1758"/>
      <c r="K126" s="1758"/>
      <c r="L126" s="1758"/>
      <c r="M126" s="1758"/>
      <c r="N126" s="1758"/>
      <c r="O126" s="1758"/>
      <c r="P126" s="1758"/>
      <c r="Q126" s="1758"/>
      <c r="R126" s="1758"/>
      <c r="S126" s="1758"/>
      <c r="T126" s="1758"/>
      <c r="U126" s="465" cm="1" t="str">
        <f t="array" ref="U126:U126">U125</f>
        <v>true</v>
      </c>
      <c r="V126" s="1758"/>
      <c r="W126" s="1758"/>
      <c r="X126" s="1758"/>
      <c r="Y126" s="1543"/>
      <c r="Z126" s="1565"/>
      <c r="AA126" s="1758"/>
      <c r="AB126" s="123" t="s">
        <v>1212</v>
      </c>
      <c r="AC126" s="192" t="s">
        <v>1213</v>
      </c>
      <c r="AD126" s="92" t="s">
        <v>1203</v>
      </c>
      <c r="AE126" s="276"/>
      <c r="AF126" s="278"/>
      <c r="AG126" s="279"/>
      <c r="AH126" s="200"/>
      <c r="AI126" s="276"/>
      <c r="AJ126" s="278"/>
      <c r="AK126" s="278"/>
      <c r="AL126" s="281">
        <f>IF(AI126&lt;&gt;0,AK126/AI126,0)</f>
        <v>0</v>
      </c>
      <c r="AM126" s="280">
        <f>AK126-AJ126</f>
        <v>0</v>
      </c>
      <c r="AN126" s="200"/>
      <c r="AO126" s="276"/>
      <c r="AP126" s="276"/>
      <c r="AQ126" s="276"/>
      <c r="AR126" s="276"/>
      <c r="AS126" s="2069"/>
      <c r="AT126" s="2069"/>
      <c r="AU126" s="2069"/>
      <c r="AV126" s="2069"/>
      <c r="AW126" s="2069"/>
      <c r="AX126" s="276"/>
      <c r="AY126" s="276"/>
      <c r="AZ126" s="276"/>
      <c r="BA126" s="276"/>
      <c r="BB126" s="2069"/>
      <c r="BC126" s="2069"/>
      <c r="BD126" s="2069"/>
      <c r="BE126" s="2069"/>
      <c r="BF126" s="2069"/>
      <c r="BG126" s="1758"/>
      <c r="BH126" s="1758"/>
      <c r="BI126" s="997" t="s">
        <v>1214</v>
      </c>
      <c r="BJ126" s="1764"/>
      <c r="BK126" s="1764"/>
      <c r="BL126" s="1757"/>
      <c r="BM126" s="1757"/>
    </row>
    <row s="1834" customFormat="1" customHeight="1" ht="21.75" hidden="1">
      <c r="A127" s="1758"/>
      <c r="B127" s="1416"/>
      <c r="C127" s="1758"/>
      <c r="D127" s="1758"/>
      <c r="E127" s="618">
        <v>22.5</v>
      </c>
      <c r="F127" s="50" cm="1" t="str">
        <f t="array" ref="F127:F127">OFFSET(E127,-1,1)</f>
        <v>3</v>
      </c>
      <c r="G127" s="1758"/>
      <c r="H127" s="1758"/>
      <c r="I127" s="122" cm="1" t="str">
        <f t="array" ref="I127:I127">AC127</f>
        <v>0</v>
      </c>
      <c r="J127" s="1758"/>
      <c r="K127" s="1758"/>
      <c r="L127" s="1758"/>
      <c r="M127" s="1758"/>
      <c r="N127" s="1758"/>
      <c r="O127" s="1758"/>
      <c r="P127" s="1758"/>
      <c r="Q127" s="1758"/>
      <c r="R127" s="1758"/>
      <c r="S127" s="1758"/>
      <c r="T127" s="1758"/>
      <c r="U127" s="465">
        <f>AND(F127&gt;0,--RIGHT(AB127,1)&gt;1)</f>
        <v>0</v>
      </c>
      <c r="V127" s="1758"/>
      <c r="W127" s="1758"/>
      <c r="X127" s="757" t="s">
        <v>174</v>
      </c>
      <c r="Y127" s="1543"/>
      <c r="Z127" s="1565"/>
      <c r="AA127" s="420" t="s">
        <v>175</v>
      </c>
      <c r="AB127" s="123" t="s">
        <v>1212</v>
      </c>
      <c r="AC127" s="2114"/>
      <c r="AD127" s="92" t="s">
        <v>1203</v>
      </c>
      <c r="AE127" s="2069"/>
      <c r="AF127" s="2082"/>
      <c r="AG127" s="2113"/>
      <c r="AH127" s="2070"/>
      <c r="AI127" s="2069"/>
      <c r="AJ127" s="2082"/>
      <c r="AK127" s="2082"/>
      <c r="AL127" s="281">
        <f>IF(AI127&lt;&gt;0,AK127/AI127,0)</f>
        <v>0</v>
      </c>
      <c r="AM127" s="280">
        <f>AK127-AJ127</f>
        <v>0</v>
      </c>
      <c r="AN127" s="2070"/>
      <c r="AO127" s="2069"/>
      <c r="AP127" s="2069"/>
      <c r="AQ127" s="2069"/>
      <c r="AR127" s="2069"/>
      <c r="AS127" s="2069"/>
      <c r="AT127" s="2069"/>
      <c r="AU127" s="2069"/>
      <c r="AV127" s="2069"/>
      <c r="AW127" s="2069"/>
      <c r="AX127" s="2069"/>
      <c r="AY127" s="2069"/>
      <c r="AZ127" s="2069"/>
      <c r="BA127" s="2069"/>
      <c r="BB127" s="2069"/>
      <c r="BC127" s="2069"/>
      <c r="BD127" s="2069"/>
      <c r="BE127" s="2069"/>
      <c r="BF127" s="2069"/>
      <c r="BG127" s="1758"/>
      <c r="BH127" s="1758"/>
      <c r="BI127" s="997" t="s">
        <v>1214</v>
      </c>
      <c r="BJ127" s="997" t="s">
        <v>1215</v>
      </c>
      <c r="BK127" s="997" cm="1" t="str">
        <f t="array" ref="BK127:BK127">AC127</f>
        <v>0</v>
      </c>
      <c r="BL127" s="1757"/>
      <c r="BM127" s="618" t="b">
        <v>1</v>
      </c>
    </row>
    <row s="1834" customFormat="1" customHeight="1" ht="0">
      <c r="A128" s="1758"/>
      <c r="B128" s="1416"/>
      <c r="C128" s="1758"/>
      <c r="D128" s="1758"/>
      <c r="E128" s="618">
        <v>15</v>
      </c>
      <c r="F128" s="50" cm="1" t="str">
        <f t="array" ref="F128:F128">OFFSET(E128,-1,1)</f>
        <v>3</v>
      </c>
      <c r="G128" s="1758"/>
      <c r="H128" s="1758"/>
      <c r="I128" s="1758"/>
      <c r="J128" s="1758"/>
      <c r="K128" s="1758"/>
      <c r="L128" s="1758"/>
      <c r="M128" s="1758"/>
      <c r="N128" s="1758"/>
      <c r="O128" s="1758"/>
      <c r="P128" s="1758"/>
      <c r="Q128" s="1758"/>
      <c r="R128" s="1758"/>
      <c r="S128" s="1758"/>
      <c r="T128" s="1758"/>
      <c r="U128" s="465">
        <f>F128&gt;0</f>
        <v>1</v>
      </c>
      <c r="V128" s="1758"/>
      <c r="W128" s="1758"/>
      <c r="X128" s="757" t="s">
        <v>408</v>
      </c>
      <c r="Y128" s="1543"/>
      <c r="Z128" s="1565"/>
      <c r="AA128" s="1758"/>
      <c r="AB128" s="175"/>
      <c r="AC128" s="308" t="s">
        <v>178</v>
      </c>
      <c r="AD128" s="176"/>
      <c r="AE128" s="176"/>
      <c r="AF128" s="176"/>
      <c r="AG128" s="176"/>
      <c r="AH128" s="176"/>
      <c r="AI128" s="176"/>
      <c r="AJ128" s="176"/>
      <c r="AK128" s="176"/>
      <c r="AL128" s="176"/>
      <c r="AM128" s="176"/>
      <c r="AN128" s="176"/>
      <c r="AO128" s="176"/>
      <c r="AP128" s="176"/>
      <c r="AQ128" s="176"/>
      <c r="AR128" s="176"/>
      <c r="AS128" s="176"/>
      <c r="AT128" s="176"/>
      <c r="AU128" s="176"/>
      <c r="AV128" s="176"/>
      <c r="AW128" s="176"/>
      <c r="AX128" s="176"/>
      <c r="AY128" s="176"/>
      <c r="AZ128" s="176"/>
      <c r="BA128" s="176"/>
      <c r="BB128" s="176"/>
      <c r="BC128" s="176"/>
      <c r="BD128" s="176"/>
      <c r="BE128" s="176"/>
      <c r="BF128" s="176"/>
      <c r="BG128" s="1758"/>
      <c r="BH128" s="1758"/>
      <c r="BI128" s="1764"/>
      <c r="BJ128" s="1764"/>
      <c r="BK128" s="1764"/>
      <c r="BL128" s="618" t="s">
        <v>1215</v>
      </c>
      <c r="BM128" s="1757"/>
    </row>
    <row s="1834" customFormat="1" customHeight="1" ht="0">
      <c r="A129" s="1758"/>
      <c r="B129" s="1416"/>
      <c r="C129" s="1758"/>
      <c r="D129" s="1758"/>
      <c r="E129" s="618">
        <v>22.5</v>
      </c>
      <c r="F129" s="50" cm="1" t="str">
        <f t="array" ref="F129:F129">OFFSET(E129,-1,1)</f>
        <v>3</v>
      </c>
      <c r="G129" s="1758"/>
      <c r="H129" s="122" t="s">
        <v>1216</v>
      </c>
      <c r="I129" s="1758"/>
      <c r="J129" s="1758"/>
      <c r="K129" s="1758"/>
      <c r="L129" s="1758"/>
      <c r="M129" s="1758"/>
      <c r="N129" s="1758"/>
      <c r="O129" s="1758"/>
      <c r="P129" s="1758"/>
      <c r="Q129" s="1758"/>
      <c r="R129" s="1758"/>
      <c r="S129" s="1758"/>
      <c r="T129" s="1758"/>
      <c r="U129" s="465" cm="1" t="str">
        <f t="array" ref="U129:U129">U128</f>
        <v>true</v>
      </c>
      <c r="V129" s="1758"/>
      <c r="W129" s="1758"/>
      <c r="X129" s="1758"/>
      <c r="Y129" s="1543"/>
      <c r="Z129" s="1565"/>
      <c r="AA129" s="1758"/>
      <c r="AB129" s="123" t="s">
        <v>1217</v>
      </c>
      <c r="AC129" s="192" t="s">
        <v>1218</v>
      </c>
      <c r="AD129" s="92" t="s">
        <v>1203</v>
      </c>
      <c r="AE129" s="276"/>
      <c r="AF129" s="278"/>
      <c r="AG129" s="279"/>
      <c r="AH129" s="200"/>
      <c r="AI129" s="276"/>
      <c r="AJ129" s="278"/>
      <c r="AK129" s="278"/>
      <c r="AL129" s="281">
        <f>IF(AI129&lt;&gt;0,AK129/AI129,0)</f>
        <v>0</v>
      </c>
      <c r="AM129" s="280">
        <f>AK129-AJ129</f>
        <v>0</v>
      </c>
      <c r="AN129" s="200"/>
      <c r="AO129" s="276"/>
      <c r="AP129" s="276"/>
      <c r="AQ129" s="276"/>
      <c r="AR129" s="276"/>
      <c r="AS129" s="2069"/>
      <c r="AT129" s="2069"/>
      <c r="AU129" s="2069"/>
      <c r="AV129" s="2069"/>
      <c r="AW129" s="2069"/>
      <c r="AX129" s="276"/>
      <c r="AY129" s="276"/>
      <c r="AZ129" s="276"/>
      <c r="BA129" s="276"/>
      <c r="BB129" s="2069"/>
      <c r="BC129" s="2069"/>
      <c r="BD129" s="2069"/>
      <c r="BE129" s="2069"/>
      <c r="BF129" s="2069"/>
      <c r="BG129" s="1758"/>
      <c r="BH129" s="1758"/>
      <c r="BI129" s="997" t="s">
        <v>1219</v>
      </c>
      <c r="BJ129" s="1764"/>
      <c r="BK129" s="1764"/>
      <c r="BL129" s="1757"/>
      <c r="BM129" s="1757"/>
    </row>
    <row s="1834" customFormat="1" customHeight="1" ht="0" hidden="1">
      <c r="A130" s="1758"/>
      <c r="B130" s="1416"/>
      <c r="C130" s="1758"/>
      <c r="D130" s="1758"/>
      <c r="E130" s="618">
        <v>22.5</v>
      </c>
      <c r="F130" s="50" cm="1" t="str">
        <f t="array" ref="F130:F130">OFFSET(E130,-1,1)</f>
        <v>3</v>
      </c>
      <c r="G130" s="1758"/>
      <c r="H130" s="1758"/>
      <c r="I130" s="122" cm="1" t="str">
        <f t="array" ref="I130:I130">AC130</f>
        <v>0</v>
      </c>
      <c r="J130" s="1758"/>
      <c r="K130" s="1758"/>
      <c r="L130" s="1758"/>
      <c r="M130" s="1758"/>
      <c r="N130" s="1758"/>
      <c r="O130" s="1758"/>
      <c r="P130" s="1758"/>
      <c r="Q130" s="1758"/>
      <c r="R130" s="1758"/>
      <c r="S130" s="1758"/>
      <c r="T130" s="1758"/>
      <c r="U130" s="465">
        <f>AND(F130&gt;0,--RIGHT(AB130,1)&gt;1)</f>
        <v>0</v>
      </c>
      <c r="V130" s="1758"/>
      <c r="W130" s="1758"/>
      <c r="X130" s="757" t="s">
        <v>174</v>
      </c>
      <c r="Y130" s="1543"/>
      <c r="Z130" s="1565"/>
      <c r="AA130" s="420" t="s">
        <v>175</v>
      </c>
      <c r="AB130" s="123" t="s">
        <v>1217</v>
      </c>
      <c r="AC130" s="2114"/>
      <c r="AD130" s="92" t="s">
        <v>1203</v>
      </c>
      <c r="AE130" s="2069"/>
      <c r="AF130" s="2082"/>
      <c r="AG130" s="2113"/>
      <c r="AH130" s="2070"/>
      <c r="AI130" s="2069"/>
      <c r="AJ130" s="2082"/>
      <c r="AK130" s="2082"/>
      <c r="AL130" s="281">
        <f>IF(AI130&lt;&gt;0,AK130/AI130,0)</f>
        <v>0</v>
      </c>
      <c r="AM130" s="280">
        <f>AK130-AJ130</f>
        <v>0</v>
      </c>
      <c r="AN130" s="2070"/>
      <c r="AO130" s="2069"/>
      <c r="AP130" s="2069"/>
      <c r="AQ130" s="2069"/>
      <c r="AR130" s="2069"/>
      <c r="AS130" s="2069"/>
      <c r="AT130" s="2069"/>
      <c r="AU130" s="2069"/>
      <c r="AV130" s="2069"/>
      <c r="AW130" s="2069"/>
      <c r="AX130" s="2069"/>
      <c r="AY130" s="2069"/>
      <c r="AZ130" s="2069"/>
      <c r="BA130" s="2069"/>
      <c r="BB130" s="2069"/>
      <c r="BC130" s="2069"/>
      <c r="BD130" s="2069"/>
      <c r="BE130" s="2069"/>
      <c r="BF130" s="2069"/>
      <c r="BG130" s="1758"/>
      <c r="BH130" s="1758"/>
      <c r="BI130" s="997" t="s">
        <v>1219</v>
      </c>
      <c r="BJ130" s="997" t="s">
        <v>1220</v>
      </c>
      <c r="BK130" s="997" cm="1" t="str">
        <f t="array" ref="BK130:BK130">AC130</f>
        <v>0</v>
      </c>
      <c r="BL130" s="1757"/>
      <c r="BM130" s="618" t="b">
        <v>1</v>
      </c>
    </row>
    <row s="1834" customFormat="1" customHeight="1" ht="0">
      <c r="A131" s="1758"/>
      <c r="B131" s="1416"/>
      <c r="C131" s="1758"/>
      <c r="D131" s="1758"/>
      <c r="E131" s="618">
        <v>15</v>
      </c>
      <c r="F131" s="50" cm="1" t="str">
        <f t="array" ref="F131:F131">OFFSET(E131,-1,1)</f>
        <v>3</v>
      </c>
      <c r="G131" s="1758"/>
      <c r="H131" s="1758"/>
      <c r="I131" s="1758"/>
      <c r="J131" s="1758"/>
      <c r="K131" s="1758"/>
      <c r="L131" s="1758"/>
      <c r="M131" s="1758"/>
      <c r="N131" s="1758"/>
      <c r="O131" s="1758"/>
      <c r="P131" s="1758"/>
      <c r="Q131" s="1758"/>
      <c r="R131" s="1758"/>
      <c r="S131" s="1758"/>
      <c r="T131" s="1758"/>
      <c r="U131" s="465">
        <f>F131&gt;0</f>
        <v>1</v>
      </c>
      <c r="V131" s="1758"/>
      <c r="W131" s="1758"/>
      <c r="X131" s="757" t="s">
        <v>408</v>
      </c>
      <c r="Y131" s="1543"/>
      <c r="Z131" s="1565"/>
      <c r="AA131" s="1758"/>
      <c r="AB131" s="175"/>
      <c r="AC131" s="308" t="s">
        <v>178</v>
      </c>
      <c r="AD131" s="176"/>
      <c r="AE131" s="176"/>
      <c r="AF131" s="176"/>
      <c r="AG131" s="176"/>
      <c r="AH131" s="176"/>
      <c r="AI131" s="176"/>
      <c r="AJ131" s="176"/>
      <c r="AK131" s="176"/>
      <c r="AL131" s="176"/>
      <c r="AM131" s="176"/>
      <c r="AN131" s="176"/>
      <c r="AO131" s="176"/>
      <c r="AP131" s="176"/>
      <c r="AQ131" s="176"/>
      <c r="AR131" s="176"/>
      <c r="AS131" s="176"/>
      <c r="AT131" s="176"/>
      <c r="AU131" s="176"/>
      <c r="AV131" s="176"/>
      <c r="AW131" s="176"/>
      <c r="AX131" s="176"/>
      <c r="AY131" s="176"/>
      <c r="AZ131" s="176"/>
      <c r="BA131" s="176"/>
      <c r="BB131" s="176"/>
      <c r="BC131" s="176"/>
      <c r="BD131" s="176"/>
      <c r="BE131" s="176"/>
      <c r="BF131" s="176"/>
      <c r="BG131" s="1758"/>
      <c r="BH131" s="1758"/>
      <c r="BI131" s="1764"/>
      <c r="BJ131" s="1764"/>
      <c r="BK131" s="1764"/>
      <c r="BL131" s="618" t="s">
        <v>1220</v>
      </c>
      <c r="BM131" s="1757"/>
    </row>
    <row s="1834" customFormat="1" customHeight="1" ht="54.75">
      <c r="A132" s="1758"/>
      <c r="B132" s="1416"/>
      <c r="C132" s="1758"/>
      <c r="D132" s="1758"/>
      <c r="E132" s="618">
        <v>15</v>
      </c>
      <c r="F132" s="50" cm="1" t="str">
        <f t="array" ref="F132:F132">OFFSET(E132,-1,1)</f>
        <v>3</v>
      </c>
      <c r="G132" s="1758"/>
      <c r="H132" s="122" t="s">
        <v>336</v>
      </c>
      <c r="I132" s="1758"/>
      <c r="J132" s="1758"/>
      <c r="K132" s="1758"/>
      <c r="L132" s="1758"/>
      <c r="M132" s="1758"/>
      <c r="N132" s="1758"/>
      <c r="O132" s="1758"/>
      <c r="P132" s="1758"/>
      <c r="Q132" s="1758"/>
      <c r="R132" s="1758"/>
      <c r="S132" s="1758"/>
      <c r="T132" s="1758"/>
      <c r="U132" s="465" cm="1" t="str">
        <f t="array" ref="U132:U132">U131</f>
        <v>true</v>
      </c>
      <c r="V132" s="1758"/>
      <c r="W132" s="1758"/>
      <c r="X132" s="1758"/>
      <c r="Y132" s="1543"/>
      <c r="Z132" s="1565"/>
      <c r="AA132" s="1758"/>
      <c r="AB132" s="133">
        <v>3</v>
      </c>
      <c r="AC132" s="139" t="s">
        <v>1221</v>
      </c>
      <c r="AD132" s="136" t="s">
        <v>1170</v>
      </c>
      <c r="AE132" s="276"/>
      <c r="AF132" s="278"/>
      <c r="AG132" s="279"/>
      <c r="AH132" s="200"/>
      <c r="AI132" s="276"/>
      <c r="AJ132" s="278">
        <v>1.1</v>
      </c>
      <c r="AK132" s="278">
        <v>1.1</v>
      </c>
      <c r="AL132" s="281">
        <f>IF(AI132&lt;&gt;0,AK132/AI132,0)</f>
        <v>0</v>
      </c>
      <c r="AM132" s="280">
        <f>AK132-AJ132</f>
        <v>0</v>
      </c>
      <c r="AN132" s="200" t="s">
        <v>1232</v>
      </c>
      <c r="AO132" s="276">
        <v>1.1</v>
      </c>
      <c r="AP132" s="276">
        <v>1.1</v>
      </c>
      <c r="AQ132" s="276">
        <v>2.2</v>
      </c>
      <c r="AR132" s="276">
        <v>2.2</v>
      </c>
      <c r="AS132" s="2069"/>
      <c r="AT132" s="2069"/>
      <c r="AU132" s="2069"/>
      <c r="AV132" s="2069"/>
      <c r="AW132" s="2069"/>
      <c r="AX132" s="276">
        <v>1.1</v>
      </c>
      <c r="AY132" s="276">
        <v>1.1</v>
      </c>
      <c r="AZ132" s="276">
        <v>2.2</v>
      </c>
      <c r="BA132" s="276">
        <v>2.2</v>
      </c>
      <c r="BB132" s="2069"/>
      <c r="BC132" s="2069"/>
      <c r="BD132" s="2069"/>
      <c r="BE132" s="2069"/>
      <c r="BF132" s="2069"/>
      <c r="BG132" s="1758"/>
      <c r="BH132" s="1758"/>
      <c r="BI132" s="997" t="s">
        <v>1222</v>
      </c>
      <c r="BJ132" s="1764"/>
      <c r="BK132" s="1764"/>
      <c r="BL132" s="1757"/>
      <c r="BM132" s="1757"/>
    </row>
    <row s="1834" customFormat="1" customHeight="1" ht="0">
      <c r="A133" s="1758"/>
      <c r="B133" s="1416"/>
      <c r="C133" s="1758"/>
      <c r="D133" s="1758"/>
      <c r="E133" s="618">
        <v>15</v>
      </c>
      <c r="F133" s="50" cm="1" t="str">
        <f t="array" ref="F133:F133">OFFSET(E133,-1,1)</f>
        <v>3</v>
      </c>
      <c r="G133" s="1758"/>
      <c r="H133" s="122" t="s">
        <v>335</v>
      </c>
      <c r="I133" s="1758"/>
      <c r="J133" s="1758"/>
      <c r="K133" s="1758"/>
      <c r="L133" s="1758"/>
      <c r="M133" s="1758"/>
      <c r="N133" s="1758"/>
      <c r="O133" s="1758"/>
      <c r="P133" s="1758"/>
      <c r="Q133" s="1758"/>
      <c r="R133" s="1758"/>
      <c r="S133" s="1758"/>
      <c r="T133" s="1758"/>
      <c r="U133" s="465" cm="1" t="str">
        <f t="array" ref="U133:U133">U132</f>
        <v>true</v>
      </c>
      <c r="V133" s="1758"/>
      <c r="W133" s="1758"/>
      <c r="X133" s="1758"/>
      <c r="Y133" s="1543"/>
      <c r="Z133" s="1565"/>
      <c r="AA133" s="1758"/>
      <c r="AB133" s="133">
        <v>4</v>
      </c>
      <c r="AC133" s="139" t="s">
        <v>1223</v>
      </c>
      <c r="AD133" s="136" t="s">
        <v>1170</v>
      </c>
      <c r="AE133" s="276"/>
      <c r="AF133" s="278"/>
      <c r="AG133" s="279"/>
      <c r="AH133" s="200"/>
      <c r="AI133" s="276"/>
      <c r="AJ133" s="278"/>
      <c r="AK133" s="278"/>
      <c r="AL133" s="281">
        <f>IF(AI133&lt;&gt;0,AK133/AI133,0)</f>
        <v>0</v>
      </c>
      <c r="AM133" s="280">
        <f>AK133-AJ133</f>
        <v>0</v>
      </c>
      <c r="AN133" s="200"/>
      <c r="AO133" s="276"/>
      <c r="AP133" s="276"/>
      <c r="AQ133" s="276"/>
      <c r="AR133" s="276"/>
      <c r="AS133" s="2069"/>
      <c r="AT133" s="2069"/>
      <c r="AU133" s="2069"/>
      <c r="AV133" s="2069"/>
      <c r="AW133" s="2069"/>
      <c r="AX133" s="276"/>
      <c r="AY133" s="276"/>
      <c r="AZ133" s="276"/>
      <c r="BA133" s="276"/>
      <c r="BB133" s="2069"/>
      <c r="BC133" s="2069"/>
      <c r="BD133" s="2069"/>
      <c r="BE133" s="2069"/>
      <c r="BF133" s="2069"/>
      <c r="BG133" s="1758"/>
      <c r="BH133" s="1758"/>
      <c r="BI133" s="997" t="s">
        <v>1224</v>
      </c>
      <c r="BJ133" s="1764"/>
      <c r="BK133" s="1764"/>
      <c r="BL133" s="1757"/>
      <c r="BM133" s="1757"/>
    </row>
    <row s="1834" customFormat="1" customHeight="1" ht="14.25">
      <c r="A134" s="1758"/>
      <c r="B134" s="1416"/>
      <c r="C134" s="1758"/>
      <c r="D134" s="1758"/>
      <c r="E134" s="618">
        <v>15</v>
      </c>
      <c r="F134" s="50" cm="1" t="str">
        <f t="array" ref="F134:F134">OFFSET(E134,-1,1)</f>
        <v>3</v>
      </c>
      <c r="G134" s="1758"/>
      <c r="H134" s="122" t="s">
        <v>1225</v>
      </c>
      <c r="I134" s="1758"/>
      <c r="J134" s="1758"/>
      <c r="K134" s="1758"/>
      <c r="L134" s="1758"/>
      <c r="M134" s="1758"/>
      <c r="N134" s="1758"/>
      <c r="O134" s="1758"/>
      <c r="P134" s="1758"/>
      <c r="Q134" s="1758"/>
      <c r="R134" s="1758"/>
      <c r="S134" s="1758"/>
      <c r="T134" s="1758"/>
      <c r="U134" s="465" cm="1" t="str">
        <f t="array" ref="U134:U134">U133</f>
        <v>true</v>
      </c>
      <c r="V134" s="1758"/>
      <c r="W134" s="1758"/>
      <c r="X134" s="1758"/>
      <c r="Y134" s="1543"/>
      <c r="Z134" s="1565"/>
      <c r="AA134" s="1758"/>
      <c r="AB134" s="123" t="s">
        <v>443</v>
      </c>
      <c r="AC134" s="138" t="s">
        <v>1226</v>
      </c>
      <c r="AD134" s="136"/>
      <c r="AE134" s="279"/>
      <c r="AF134" s="279"/>
      <c r="AG134" s="279"/>
      <c r="AH134" s="284"/>
      <c r="AI134" s="279"/>
      <c r="AJ134" s="279"/>
      <c r="AK134" s="279"/>
      <c r="AL134" s="281">
        <f>IF(AI134&lt;&gt;0,AK134/AI134,0)</f>
        <v>0</v>
      </c>
      <c r="AM134" s="280">
        <f>AK134-AJ134</f>
        <v>0</v>
      </c>
      <c r="AN134" s="284"/>
      <c r="AO134" s="279"/>
      <c r="AP134" s="279"/>
      <c r="AQ134" s="279"/>
      <c r="AR134" s="279"/>
      <c r="AS134" s="2113"/>
      <c r="AT134" s="2113"/>
      <c r="AU134" s="2113"/>
      <c r="AV134" s="2113"/>
      <c r="AW134" s="2113"/>
      <c r="AX134" s="279"/>
      <c r="AY134" s="279"/>
      <c r="AZ134" s="279"/>
      <c r="BA134" s="279"/>
      <c r="BB134" s="2113"/>
      <c r="BC134" s="2113"/>
      <c r="BD134" s="2113"/>
      <c r="BE134" s="2113"/>
      <c r="BF134" s="2113"/>
      <c r="BG134" s="1758"/>
      <c r="BH134" s="1758"/>
      <c r="BI134" s="997" t="s">
        <v>1227</v>
      </c>
      <c r="BJ134" s="1764"/>
      <c r="BK134" s="1764"/>
      <c r="BL134" s="1757"/>
      <c r="BM134" s="1757"/>
    </row>
    <row s="1834" customFormat="1" customHeight="1" ht="14.25">
      <c r="A135" s="1758"/>
      <c r="B135" s="1416"/>
      <c r="C135" s="1758"/>
      <c r="D135" s="1758"/>
      <c r="E135" s="618">
        <v>15</v>
      </c>
      <c r="F135" s="50" cm="1" t="str">
        <f t="array" ref="F135:F135">OFFSET(E135,-1,1)</f>
        <v>3</v>
      </c>
      <c r="G135" s="1758"/>
      <c r="H135" s="122" t="s">
        <v>1228</v>
      </c>
      <c r="I135" s="1758"/>
      <c r="J135" s="1758"/>
      <c r="K135" s="1758"/>
      <c r="L135" s="1758"/>
      <c r="M135" s="1758"/>
      <c r="N135" s="1758"/>
      <c r="O135" s="1758"/>
      <c r="P135" s="1758"/>
      <c r="Q135" s="1758"/>
      <c r="R135" s="1758"/>
      <c r="S135" s="1758"/>
      <c r="T135" s="1758"/>
      <c r="U135" s="465" cm="1" t="str">
        <f t="array" ref="U135:U135">U134</f>
        <v>true</v>
      </c>
      <c r="V135" s="1758"/>
      <c r="W135" s="1758"/>
      <c r="X135" s="1758"/>
      <c r="Y135" s="1543"/>
      <c r="Z135" s="1565"/>
      <c r="AA135" s="1758"/>
      <c r="AB135" s="123" t="s">
        <v>446</v>
      </c>
      <c r="AC135" s="137" t="s">
        <v>1229</v>
      </c>
      <c r="AD135" s="136"/>
      <c r="AE135" s="279"/>
      <c r="AF135" s="279"/>
      <c r="AG135" s="279"/>
      <c r="AH135" s="284"/>
      <c r="AI135" s="279"/>
      <c r="AJ135" s="279"/>
      <c r="AK135" s="279"/>
      <c r="AL135" s="281">
        <f>IF(AI135&lt;&gt;0,AK135/AI135,0)</f>
        <v>0</v>
      </c>
      <c r="AM135" s="280">
        <f>AK135-AJ135</f>
        <v>0</v>
      </c>
      <c r="AN135" s="284"/>
      <c r="AO135" s="279"/>
      <c r="AP135" s="279"/>
      <c r="AQ135" s="279"/>
      <c r="AR135" s="279"/>
      <c r="AS135" s="2113"/>
      <c r="AT135" s="2113"/>
      <c r="AU135" s="2113"/>
      <c r="AV135" s="2113"/>
      <c r="AW135" s="2113"/>
      <c r="AX135" s="279"/>
      <c r="AY135" s="279"/>
      <c r="AZ135" s="279"/>
      <c r="BA135" s="279"/>
      <c r="BB135" s="2113"/>
      <c r="BC135" s="2113"/>
      <c r="BD135" s="2113"/>
      <c r="BE135" s="2113"/>
      <c r="BF135" s="2113"/>
      <c r="BG135" s="1758"/>
      <c r="BH135" s="1758"/>
      <c r="BI135" s="997" t="s">
        <v>1230</v>
      </c>
      <c r="BJ135" s="1764"/>
      <c r="BK135" s="1764"/>
      <c r="BL135" s="1757"/>
      <c r="BM135" s="1757"/>
    </row>
    <row s="2506" customFormat="1" customHeight="1" ht="14.25">
      <c r="A136" s="1446"/>
      <c r="B136" s="429"/>
      <c r="C136" s="1446"/>
      <c r="D136" s="1446"/>
      <c r="E136" s="630">
        <v>15</v>
      </c>
      <c r="F136" s="749" cm="1" t="str">
        <f t="array" ref="F136:F136">Y136</f>
        <v>4</v>
      </c>
      <c r="G136" s="1446"/>
      <c r="H136" s="1446"/>
      <c r="I136" s="1446"/>
      <c r="J136" s="1446"/>
      <c r="K136" s="1446"/>
      <c r="L136" s="1446"/>
      <c r="M136" s="1446"/>
      <c r="N136" s="1446"/>
      <c r="O136" s="1446"/>
      <c r="P136" s="1446"/>
      <c r="Q136" s="1446"/>
      <c r="R136" s="1446"/>
      <c r="S136" s="1446"/>
      <c r="T136" s="1446"/>
      <c r="U136" s="465">
        <f>Y136&gt;0</f>
        <v>1</v>
      </c>
      <c r="V136" s="1446"/>
      <c r="W136" s="144" cm="1" t="str">
        <f t="array" ref="W136:W136">'Список объектов'!$AB$240</f>
        <v>Тариф 4 (Водоотведение) - тариф на водоотведение (Доп. признак не требуется)</v>
      </c>
      <c r="X136" s="1446"/>
      <c r="Y136" s="1543" t="s">
        <v>295</v>
      </c>
      <c r="Z136" s="1565"/>
      <c r="AA136" s="1446"/>
      <c r="AB136" s="183" cm="1" t="str">
        <f t="array" ref="AB136:AB136">'Список объектов'!$AB$240</f>
        <v>Тариф 4 (Водоотведение) - тариф на водоотведение (Доп. признак не требуется)</v>
      </c>
      <c r="AC136" s="180"/>
      <c r="AD136" s="174"/>
      <c r="AE136" s="174"/>
      <c r="AF136" s="174"/>
      <c r="AG136" s="174"/>
      <c r="AH136" s="174"/>
      <c r="AI136" s="174"/>
      <c r="AJ136" s="174"/>
      <c r="AK136" s="174"/>
      <c r="AL136" s="174"/>
      <c r="AM136" s="174"/>
      <c r="AN136" s="174"/>
      <c r="AO136" s="174"/>
      <c r="AP136" s="174"/>
      <c r="AQ136" s="174"/>
      <c r="AR136" s="174"/>
      <c r="AS136" s="174"/>
      <c r="AT136" s="174"/>
      <c r="AU136" s="174"/>
      <c r="AV136" s="174"/>
      <c r="AW136" s="174"/>
      <c r="AX136" s="174"/>
      <c r="AY136" s="174"/>
      <c r="AZ136" s="174"/>
      <c r="BA136" s="174"/>
      <c r="BB136" s="174"/>
      <c r="BC136" s="174"/>
      <c r="BD136" s="174"/>
      <c r="BE136" s="174"/>
      <c r="BF136" s="174"/>
      <c r="BG136" s="1446"/>
      <c r="BH136" s="1446"/>
      <c r="BI136" s="1013"/>
      <c r="BJ136" s="1013"/>
      <c r="BK136" s="1013"/>
      <c r="BL136" s="630"/>
      <c r="BM136" s="630"/>
    </row>
    <row s="1834" customFormat="1" customHeight="1" ht="14.25">
      <c r="A137" s="1758"/>
      <c r="B137" s="1416"/>
      <c r="C137" s="1758"/>
      <c r="D137" s="1758"/>
      <c r="E137" s="618">
        <v>15</v>
      </c>
      <c r="F137" s="50" cm="1" t="str">
        <f t="array" ref="F137:F137">OFFSET(E137,-1,1)</f>
        <v>4</v>
      </c>
      <c r="G137" s="122" t="s">
        <v>1172</v>
      </c>
      <c r="H137" s="1758"/>
      <c r="I137" s="1758"/>
      <c r="J137" s="1758"/>
      <c r="K137" s="1758"/>
      <c r="L137" s="1758"/>
      <c r="M137" s="1758"/>
      <c r="N137" s="1758"/>
      <c r="O137" s="1758"/>
      <c r="P137" s="1758"/>
      <c r="Q137" s="1758"/>
      <c r="R137" s="1758"/>
      <c r="S137" s="1758"/>
      <c r="T137" s="1758"/>
      <c r="U137" s="465" cm="1" t="str">
        <f t="array" ref="U137:U137">U136</f>
        <v>true</v>
      </c>
      <c r="V137" s="1758"/>
      <c r="W137" s="1758"/>
      <c r="X137" s="1758"/>
      <c r="Y137" s="1543"/>
      <c r="Z137" s="1565"/>
      <c r="AA137" s="1758"/>
      <c r="AB137" s="270"/>
      <c r="AC137" s="271" t="s">
        <v>1173</v>
      </c>
      <c r="AD137" s="272"/>
      <c r="AE137" s="272"/>
      <c r="AF137" s="272"/>
      <c r="AG137" s="272"/>
      <c r="AH137" s="272"/>
      <c r="AI137" s="305">
        <f>(1-AI138/100)*(1+AI139/100)*(1+AI141/100)</f>
        <v>1</v>
      </c>
      <c r="AJ137" s="305">
        <f>(1-AJ138/100)*(1+AJ139/100)*(1+AJ141/100)</f>
        <v>1.051</v>
      </c>
      <c r="AK137" s="305">
        <f>(1-AK138/100)*(1+AK139/100)*(1+AK141/100)</f>
        <v>1.051</v>
      </c>
      <c r="AL137" s="272"/>
      <c r="AM137" s="272"/>
      <c r="AN137" s="272"/>
      <c r="AO137" s="305">
        <f>(1-AO138/100)*(1+AO139/100)*(1+AO141/100)</f>
        <v>1.0296</v>
      </c>
      <c r="AP137" s="305">
        <f>(1-AP138/100)*(1+AP139/100)*(1+AP141/100)</f>
        <v>1.0296</v>
      </c>
      <c r="AQ137" s="305">
        <f>(1-AQ138/100)*(1+AQ139/100)*(1+AQ141/100)</f>
        <v>1.0296</v>
      </c>
      <c r="AR137" s="305">
        <f>(1-AR138/100)*(1+AR139/100)*(1+AR141/100)</f>
        <v>1.0296</v>
      </c>
      <c r="AS137" s="305">
        <f>(1-AS138/100)*(1+AS139/100)*(1+AS141/100)</f>
        <v>1</v>
      </c>
      <c r="AT137" s="305">
        <f>(1-AT138/100)*(1+AT139/100)*(1+AT141/100)</f>
        <v>1</v>
      </c>
      <c r="AU137" s="305">
        <f>(1-AU138/100)*(1+AU139/100)*(1+AU141/100)</f>
        <v>1</v>
      </c>
      <c r="AV137" s="305">
        <f>(1-AV138/100)*(1+AV139/100)*(1+AV141/100)</f>
        <v>1</v>
      </c>
      <c r="AW137" s="305">
        <f>(1-AW138/100)*(1+AW139/100)*(1+AW141/100)</f>
        <v>1</v>
      </c>
      <c r="AX137" s="305">
        <f>(1-AX138/100)*(1+AX139/100)*(1+AX141/100)</f>
        <v>1.0296</v>
      </c>
      <c r="AY137" s="305">
        <f>(1-AY138/100)*(1+AY139/100)*(1+AY141/100)</f>
        <v>1.0296</v>
      </c>
      <c r="AZ137" s="305">
        <f>(1-AZ138/100)*(1+AZ139/100)*(1+AZ141/100)</f>
        <v>1.0296</v>
      </c>
      <c r="BA137" s="305">
        <f>(1-BA138/100)*(1+BA139/100)*(1+BA141/100)</f>
        <v>1.0296</v>
      </c>
      <c r="BB137" s="305">
        <f>(1-BB138/100)*(1+BB139/100)*(1+BB141/100)</f>
        <v>1</v>
      </c>
      <c r="BC137" s="305">
        <f>(1-BC138/100)*(1+BC139/100)*(1+BC141/100)</f>
        <v>1</v>
      </c>
      <c r="BD137" s="305">
        <f>(1-BD138/100)*(1+BD139/100)*(1+BD141/100)</f>
        <v>1</v>
      </c>
      <c r="BE137" s="305">
        <f>(1-BE138/100)*(1+BE139/100)*(1+BE141/100)</f>
        <v>1</v>
      </c>
      <c r="BF137" s="305">
        <f>(1-BF138/100)*(1+BF139/100)*(1+BF141/100)</f>
        <v>1</v>
      </c>
      <c r="BG137" s="1758"/>
      <c r="BH137" s="1758"/>
      <c r="BI137" s="1764"/>
      <c r="BJ137" s="1764"/>
      <c r="BK137" s="1764"/>
      <c r="BL137" s="1757"/>
      <c r="BM137" s="1757"/>
    </row>
    <row s="1834" customFormat="1" customHeight="1" ht="21.75">
      <c r="A138" s="1758"/>
      <c r="B138" s="446">
        <f>method_reg&lt;&gt;"Метод экономически обоснованных расходов"</f>
        <v>1</v>
      </c>
      <c r="C138" s="1758"/>
      <c r="D138" s="1758"/>
      <c r="E138" s="618">
        <v>22.5</v>
      </c>
      <c r="F138" s="50" cm="1" t="str">
        <f t="array" ref="F138:F138">OFFSET(E138,-1,1)</f>
        <v>4</v>
      </c>
      <c r="G138" s="122" t="s">
        <v>1174</v>
      </c>
      <c r="H138" s="122" t="s">
        <v>1175</v>
      </c>
      <c r="I138" s="1758"/>
      <c r="J138" s="1758"/>
      <c r="K138" s="1758"/>
      <c r="L138" s="1758"/>
      <c r="M138" s="1758"/>
      <c r="N138" s="1758"/>
      <c r="O138" s="1758"/>
      <c r="P138" s="1758"/>
      <c r="Q138" s="1758"/>
      <c r="R138" s="1758"/>
      <c r="S138" s="1758"/>
      <c r="T138" s="1758"/>
      <c r="U138" s="465" cm="1" t="str">
        <f t="array" ref="U138:U138">U137</f>
        <v>true</v>
      </c>
      <c r="V138" s="1758"/>
      <c r="W138" s="1758"/>
      <c r="X138" s="1758"/>
      <c r="Y138" s="1543"/>
      <c r="Z138" s="1565"/>
      <c r="AA138" s="1758"/>
      <c r="AB138" s="133">
        <v>1</v>
      </c>
      <c r="AC138" s="134" t="s">
        <v>1176</v>
      </c>
      <c r="AD138" s="136" t="s">
        <v>1170</v>
      </c>
      <c r="AE138" s="276"/>
      <c r="AF138" s="276"/>
      <c r="AG138" s="276"/>
      <c r="AH138" s="200"/>
      <c r="AI138" s="276"/>
      <c r="AJ138" s="276"/>
      <c r="AK138" s="276"/>
      <c r="AL138" s="281">
        <f>IF(AI138&lt;&gt;0,AK138/AI138,0)</f>
        <v>0</v>
      </c>
      <c r="AM138" s="280">
        <f>AK138-AJ138</f>
        <v>0</v>
      </c>
      <c r="AN138" s="200"/>
      <c r="AO138" s="276">
        <v>1</v>
      </c>
      <c r="AP138" s="276">
        <v>1</v>
      </c>
      <c r="AQ138" s="276">
        <v>1</v>
      </c>
      <c r="AR138" s="276">
        <v>1</v>
      </c>
      <c r="AS138" s="2069"/>
      <c r="AT138" s="2069"/>
      <c r="AU138" s="2069"/>
      <c r="AV138" s="2069"/>
      <c r="AW138" s="2069"/>
      <c r="AX138" s="276">
        <v>1</v>
      </c>
      <c r="AY138" s="276">
        <v>1</v>
      </c>
      <c r="AZ138" s="276">
        <v>1</v>
      </c>
      <c r="BA138" s="276">
        <v>1</v>
      </c>
      <c r="BB138" s="2069"/>
      <c r="BC138" s="2069"/>
      <c r="BD138" s="2069"/>
      <c r="BE138" s="2069"/>
      <c r="BF138" s="2069"/>
      <c r="BG138" s="1758"/>
      <c r="BH138" s="1758"/>
      <c r="BI138" s="997" t="s">
        <v>1177</v>
      </c>
      <c r="BJ138" s="1764"/>
      <c r="BK138" s="1764"/>
      <c r="BL138" s="1757"/>
      <c r="BM138" s="1757"/>
    </row>
    <row s="1834" customFormat="1" customHeight="1" ht="128.25">
      <c r="A139" s="1758"/>
      <c r="B139" s="1416"/>
      <c r="C139" s="1758"/>
      <c r="D139" s="1758"/>
      <c r="E139" s="618">
        <v>15</v>
      </c>
      <c r="F139" s="50" cm="1" t="str">
        <f t="array" ref="F139:F139">OFFSET(E139,-1,1)</f>
        <v>4</v>
      </c>
      <c r="G139" s="122" t="s">
        <v>1178</v>
      </c>
      <c r="H139" s="122" t="s">
        <v>1179</v>
      </c>
      <c r="I139" s="1758"/>
      <c r="J139" s="1758"/>
      <c r="K139" s="1758"/>
      <c r="L139" s="1758"/>
      <c r="M139" s="1758"/>
      <c r="N139" s="1758"/>
      <c r="O139" s="1758"/>
      <c r="P139" s="1758"/>
      <c r="Q139" s="1758"/>
      <c r="R139" s="1758"/>
      <c r="S139" s="1758"/>
      <c r="T139" s="1758"/>
      <c r="U139" s="465" cm="1" t="str">
        <f t="array" ref="U139:U139">U138</f>
        <v>true</v>
      </c>
      <c r="V139" s="1758"/>
      <c r="W139" s="1758"/>
      <c r="X139" s="1758"/>
      <c r="Y139" s="1543"/>
      <c r="Z139" s="1565"/>
      <c r="AA139" s="1758"/>
      <c r="AB139" s="133">
        <f>IF(B138,2,1)</f>
        <v>2</v>
      </c>
      <c r="AC139" s="135" t="s">
        <v>1180</v>
      </c>
      <c r="AD139" s="136" t="s">
        <v>1170</v>
      </c>
      <c r="AE139" s="276"/>
      <c r="AF139" s="276"/>
      <c r="AG139" s="276"/>
      <c r="AH139" s="200"/>
      <c r="AI139" s="276"/>
      <c r="AJ139" s="276">
        <v>5.1</v>
      </c>
      <c r="AK139" s="276">
        <v>5.1</v>
      </c>
      <c r="AL139" s="281">
        <f>IF(AI139&lt;&gt;0,AK139/AI139,0)</f>
        <v>0</v>
      </c>
      <c r="AM139" s="280">
        <f>AK139-AJ139</f>
        <v>0</v>
      </c>
      <c r="AN139" s="200" t="s">
        <v>1231</v>
      </c>
      <c r="AO139" s="276">
        <v>4</v>
      </c>
      <c r="AP139" s="276">
        <v>4</v>
      </c>
      <c r="AQ139" s="276">
        <v>4</v>
      </c>
      <c r="AR139" s="276">
        <v>4</v>
      </c>
      <c r="AS139" s="2069"/>
      <c r="AT139" s="2069"/>
      <c r="AU139" s="2069"/>
      <c r="AV139" s="2069"/>
      <c r="AW139" s="2069"/>
      <c r="AX139" s="276">
        <v>4</v>
      </c>
      <c r="AY139" s="276">
        <v>4</v>
      </c>
      <c r="AZ139" s="276">
        <v>4</v>
      </c>
      <c r="BA139" s="276">
        <v>4</v>
      </c>
      <c r="BB139" s="2069"/>
      <c r="BC139" s="2069"/>
      <c r="BD139" s="2069"/>
      <c r="BE139" s="2069"/>
      <c r="BF139" s="2069"/>
      <c r="BG139" s="1758"/>
      <c r="BH139" s="1758"/>
      <c r="BI139" s="997" t="s">
        <v>1181</v>
      </c>
      <c r="BJ139" s="1764"/>
      <c r="BK139" s="1764"/>
      <c r="BL139" s="1757"/>
      <c r="BM139" s="1757"/>
    </row>
    <row s="1834" customFormat="1" customHeight="1" ht="14.25">
      <c r="A140" s="1758"/>
      <c r="B140" s="1416"/>
      <c r="C140" s="1758"/>
      <c r="D140" s="1758"/>
      <c r="E140" s="618">
        <v>15</v>
      </c>
      <c r="F140" s="50" cm="1" t="str">
        <f t="array" ref="F140:F140">OFFSET(E140,-1,1)</f>
        <v>4</v>
      </c>
      <c r="G140" s="1758"/>
      <c r="H140" s="122" t="s">
        <v>1182</v>
      </c>
      <c r="I140" s="1758"/>
      <c r="J140" s="1758"/>
      <c r="K140" s="1758"/>
      <c r="L140" s="1758"/>
      <c r="M140" s="1758"/>
      <c r="N140" s="1758"/>
      <c r="O140" s="1758"/>
      <c r="P140" s="1758"/>
      <c r="Q140" s="1758"/>
      <c r="R140" s="1758"/>
      <c r="S140" s="1758"/>
      <c r="T140" s="1758"/>
      <c r="U140" s="465" cm="1" t="str">
        <f t="array" ref="U140:U140">U139</f>
        <v>true</v>
      </c>
      <c r="V140" s="1758"/>
      <c r="W140" s="1758"/>
      <c r="X140" s="1758"/>
      <c r="Y140" s="1543"/>
      <c r="Z140" s="1565"/>
      <c r="AA140" s="1758"/>
      <c r="AB140" s="133">
        <f>AB139+1</f>
        <v>3</v>
      </c>
      <c r="AC140" s="137" t="s">
        <v>1183</v>
      </c>
      <c r="AD140" s="136" t="s">
        <v>1170</v>
      </c>
      <c r="AE140" s="276"/>
      <c r="AF140" s="276"/>
      <c r="AG140" s="276"/>
      <c r="AH140" s="200"/>
      <c r="AI140" s="276"/>
      <c r="AJ140" s="276">
        <v>13.2</v>
      </c>
      <c r="AK140" s="276">
        <v>13.2</v>
      </c>
      <c r="AL140" s="281">
        <f>IF(AI140&lt;&gt;0,AK140/AI140,0)</f>
        <v>0</v>
      </c>
      <c r="AM140" s="280">
        <f>AK140-AJ140</f>
        <v>0</v>
      </c>
      <c r="AN140" s="200"/>
      <c r="AO140" s="276">
        <v>9.1</v>
      </c>
      <c r="AP140" s="276">
        <v>4.9</v>
      </c>
      <c r="AQ140" s="276">
        <v>4.9</v>
      </c>
      <c r="AR140" s="276">
        <v>4.9</v>
      </c>
      <c r="AS140" s="2069"/>
      <c r="AT140" s="2069"/>
      <c r="AU140" s="2069"/>
      <c r="AV140" s="2069"/>
      <c r="AW140" s="2069"/>
      <c r="AX140" s="276">
        <v>9.1</v>
      </c>
      <c r="AY140" s="276">
        <v>4.9</v>
      </c>
      <c r="AZ140" s="276">
        <v>4.9</v>
      </c>
      <c r="BA140" s="276">
        <v>4.9</v>
      </c>
      <c r="BB140" s="2069"/>
      <c r="BC140" s="2069"/>
      <c r="BD140" s="2069"/>
      <c r="BE140" s="2069"/>
      <c r="BF140" s="2069"/>
      <c r="BG140" s="1758"/>
      <c r="BH140" s="1758"/>
      <c r="BI140" s="997" t="s">
        <v>1184</v>
      </c>
      <c r="BJ140" s="1764"/>
      <c r="BK140" s="1764"/>
      <c r="BL140" s="1757"/>
      <c r="BM140" s="1757"/>
    </row>
    <row s="1834" customFormat="1" customHeight="1" ht="14.25">
      <c r="A141" s="1758"/>
      <c r="B141" s="446">
        <f>method_reg&lt;&gt;"Метод экономически обоснованных расходов"</f>
        <v>1</v>
      </c>
      <c r="C141" s="1758"/>
      <c r="D141" s="1758"/>
      <c r="E141" s="618">
        <v>15</v>
      </c>
      <c r="F141" s="50" cm="1" t="str">
        <f t="array" ref="F141:F141">OFFSET(E141,-1,1)</f>
        <v>4</v>
      </c>
      <c r="G141" s="122" t="s">
        <v>1185</v>
      </c>
      <c r="H141" s="122" t="s">
        <v>1186</v>
      </c>
      <c r="I141" s="1758"/>
      <c r="J141" s="1758"/>
      <c r="K141" s="1758"/>
      <c r="L141" s="1758"/>
      <c r="M141" s="1758"/>
      <c r="N141" s="1758"/>
      <c r="O141" s="1758"/>
      <c r="P141" s="1758"/>
      <c r="Q141" s="1758"/>
      <c r="R141" s="1758"/>
      <c r="S141" s="1758"/>
      <c r="T141" s="1758"/>
      <c r="U141" s="465" cm="1" t="str">
        <f t="array" ref="U141:U141">U140</f>
        <v>true</v>
      </c>
      <c r="V141" s="1758"/>
      <c r="W141" s="1758"/>
      <c r="X141" s="1758"/>
      <c r="Y141" s="1543"/>
      <c r="Z141" s="1565"/>
      <c r="AA141" s="1758"/>
      <c r="AB141" s="133">
        <v>4</v>
      </c>
      <c r="AC141" s="135" t="s">
        <v>1187</v>
      </c>
      <c r="AD141" s="136" t="s">
        <v>1170</v>
      </c>
      <c r="AE141" s="276"/>
      <c r="AF141" s="276"/>
      <c r="AG141" s="276"/>
      <c r="AH141" s="200"/>
      <c r="AI141" s="276"/>
      <c r="AJ141" s="276"/>
      <c r="AK141" s="276"/>
      <c r="AL141" s="281">
        <f>IF(AI141&lt;&gt;0,AK141/AI141,0)</f>
        <v>0</v>
      </c>
      <c r="AM141" s="280">
        <f>AK141-AJ141</f>
        <v>0</v>
      </c>
      <c r="AN141" s="200"/>
      <c r="AO141" s="276"/>
      <c r="AP141" s="276"/>
      <c r="AQ141" s="276"/>
      <c r="AR141" s="276"/>
      <c r="AS141" s="2069"/>
      <c r="AT141" s="2069"/>
      <c r="AU141" s="2069"/>
      <c r="AV141" s="2069"/>
      <c r="AW141" s="2069"/>
      <c r="AX141" s="276"/>
      <c r="AY141" s="276"/>
      <c r="AZ141" s="276"/>
      <c r="BA141" s="276"/>
      <c r="BB141" s="2069"/>
      <c r="BC141" s="2069"/>
      <c r="BD141" s="2069"/>
      <c r="BE141" s="2069"/>
      <c r="BF141" s="2069"/>
      <c r="BG141" s="1758"/>
      <c r="BH141" s="1758"/>
      <c r="BI141" s="997" t="s">
        <v>1188</v>
      </c>
      <c r="BJ141" s="1764"/>
      <c r="BK141" s="1764"/>
      <c r="BL141" s="1757"/>
      <c r="BM141" s="1757"/>
    </row>
    <row s="1806" customFormat="1" customHeight="1" ht="14.25">
      <c r="A142" s="149"/>
      <c r="B142" s="447"/>
      <c r="C142" s="149"/>
      <c r="D142" s="149"/>
      <c r="E142" s="676">
        <v>15</v>
      </c>
      <c r="F142" s="374" cm="1" t="str">
        <f t="array" ref="F142:F142">OFFSET(E142,-1,1)</f>
        <v>4</v>
      </c>
      <c r="G142" s="149"/>
      <c r="H142" s="149"/>
      <c r="I142" s="149"/>
      <c r="J142" s="149"/>
      <c r="K142" s="149"/>
      <c r="L142" s="149"/>
      <c r="M142" s="149"/>
      <c r="N142" s="149"/>
      <c r="O142" s="149"/>
      <c r="P142" s="149"/>
      <c r="Q142" s="149"/>
      <c r="R142" s="149"/>
      <c r="S142" s="149"/>
      <c r="T142" s="149"/>
      <c r="U142" s="465" cm="1" t="str">
        <f t="array" ref="U142:U142">U141</f>
        <v>true</v>
      </c>
      <c r="V142" s="149"/>
      <c r="W142" s="149"/>
      <c r="X142" s="149"/>
      <c r="Y142" s="1543"/>
      <c r="Z142" s="1565"/>
      <c r="AA142" s="149"/>
      <c r="AB142" s="133">
        <v>5</v>
      </c>
      <c r="AC142" s="135" t="s">
        <v>1189</v>
      </c>
      <c r="AD142" s="136" t="s">
        <v>1170</v>
      </c>
      <c r="AE142" s="276"/>
      <c r="AF142" s="276"/>
      <c r="AG142" s="276"/>
      <c r="AH142" s="200"/>
      <c r="AI142" s="276"/>
      <c r="AJ142" s="276"/>
      <c r="AK142" s="276"/>
      <c r="AL142" s="281">
        <f>IF(AI142&lt;&gt;0,AK142/AI142,0)</f>
        <v>0</v>
      </c>
      <c r="AM142" s="280">
        <f>AK142-AJ142</f>
        <v>0</v>
      </c>
      <c r="AN142" s="200"/>
      <c r="AO142" s="276"/>
      <c r="AP142" s="276"/>
      <c r="AQ142" s="276"/>
      <c r="AR142" s="276"/>
      <c r="AS142" s="2069"/>
      <c r="AT142" s="2069"/>
      <c r="AU142" s="2069"/>
      <c r="AV142" s="2069"/>
      <c r="AW142" s="2069"/>
      <c r="AX142" s="276"/>
      <c r="AY142" s="276"/>
      <c r="AZ142" s="276"/>
      <c r="BA142" s="276"/>
      <c r="BB142" s="2069"/>
      <c r="BC142" s="2069"/>
      <c r="BD142" s="2069"/>
      <c r="BE142" s="2069"/>
      <c r="BF142" s="2069"/>
      <c r="BG142" s="149"/>
      <c r="BH142" s="149"/>
      <c r="BI142" s="1038" t="s">
        <v>1190</v>
      </c>
      <c r="BJ142" s="1038"/>
      <c r="BK142" s="1038"/>
      <c r="BL142" s="676"/>
      <c r="BM142" s="676"/>
    </row>
    <row s="1834" customFormat="1" customHeight="1" ht="14.25">
      <c r="A143" s="1758"/>
      <c r="B143" s="1416"/>
      <c r="C143" s="1758"/>
      <c r="D143" s="1758"/>
      <c r="E143" s="618">
        <v>15</v>
      </c>
      <c r="F143" s="50" cm="1" t="str">
        <f t="array" ref="F143:F143">OFFSET(E143,-1,1)</f>
        <v>4</v>
      </c>
      <c r="G143" s="1758"/>
      <c r="H143" s="1758"/>
      <c r="I143" s="1758"/>
      <c r="J143" s="1758"/>
      <c r="K143" s="1758"/>
      <c r="L143" s="1758"/>
      <c r="M143" s="1758"/>
      <c r="N143" s="1758"/>
      <c r="O143" s="1758"/>
      <c r="P143" s="1758"/>
      <c r="Q143" s="1758"/>
      <c r="R143" s="1758"/>
      <c r="S143" s="1758"/>
      <c r="T143" s="1758"/>
      <c r="U143" s="465" cm="1" t="str">
        <f t="array" ref="U143:U143">U141</f>
        <v>true</v>
      </c>
      <c r="V143" s="1758"/>
      <c r="W143" s="1758"/>
      <c r="X143" s="1758"/>
      <c r="Y143" s="1543"/>
      <c r="Z143" s="1565"/>
      <c r="AA143" s="1758"/>
      <c r="AB143" s="270"/>
      <c r="AC143" s="271" t="s">
        <v>1191</v>
      </c>
      <c r="AD143" s="272"/>
      <c r="AE143" s="277"/>
      <c r="AF143" s="277"/>
      <c r="AG143" s="277"/>
      <c r="AH143" s="272"/>
      <c r="AI143" s="277"/>
      <c r="AJ143" s="277"/>
      <c r="AK143" s="277"/>
      <c r="AL143" s="282"/>
      <c r="AM143" s="277"/>
      <c r="AN143" s="272"/>
      <c r="AO143" s="277"/>
      <c r="AP143" s="277"/>
      <c r="AQ143" s="277"/>
      <c r="AR143" s="277"/>
      <c r="AS143" s="277"/>
      <c r="AT143" s="277"/>
      <c r="AU143" s="277"/>
      <c r="AV143" s="277"/>
      <c r="AW143" s="277"/>
      <c r="AX143" s="277"/>
      <c r="AY143" s="277"/>
      <c r="AZ143" s="277"/>
      <c r="BA143" s="277"/>
      <c r="BB143" s="277"/>
      <c r="BC143" s="277"/>
      <c r="BD143" s="277"/>
      <c r="BE143" s="277"/>
      <c r="BF143" s="283"/>
      <c r="BG143" s="1758"/>
      <c r="BH143" s="1758"/>
      <c r="BI143" s="1764"/>
      <c r="BJ143" s="1764"/>
      <c r="BK143" s="1764"/>
      <c r="BL143" s="1757"/>
      <c r="BM143" s="1757"/>
    </row>
    <row s="1834" customFormat="1" customHeight="1" ht="54.75">
      <c r="A144" s="1758"/>
      <c r="B144" s="1416"/>
      <c r="C144" s="1758"/>
      <c r="D144" s="1758"/>
      <c r="E144" s="618">
        <v>15</v>
      </c>
      <c r="F144" s="50" cm="1" t="str">
        <f t="array" ref="F144:F144">OFFSET(E144,-1,1)</f>
        <v>4</v>
      </c>
      <c r="G144" s="122" t="s">
        <v>1192</v>
      </c>
      <c r="H144" s="122" t="s">
        <v>1193</v>
      </c>
      <c r="I144" s="1758"/>
      <c r="J144" s="1758"/>
      <c r="K144" s="1758"/>
      <c r="L144" s="1758"/>
      <c r="M144" s="1758"/>
      <c r="N144" s="1758"/>
      <c r="O144" s="1758"/>
      <c r="P144" s="1758"/>
      <c r="Q144" s="1758"/>
      <c r="R144" s="1758"/>
      <c r="S144" s="1758"/>
      <c r="T144" s="1758"/>
      <c r="U144" s="465" cm="1" t="str">
        <f t="array" ref="U144:U144">U143</f>
        <v>true</v>
      </c>
      <c r="V144" s="1758"/>
      <c r="W144" s="1758"/>
      <c r="X144" s="1758"/>
      <c r="Y144" s="1543"/>
      <c r="Z144" s="1565"/>
      <c r="AA144" s="1758"/>
      <c r="AB144" s="133">
        <v>1</v>
      </c>
      <c r="AC144" s="135" t="s">
        <v>1194</v>
      </c>
      <c r="AD144" s="136" t="s">
        <v>1170</v>
      </c>
      <c r="AE144" s="278"/>
      <c r="AF144" s="278"/>
      <c r="AG144" s="278"/>
      <c r="AH144" s="200"/>
      <c r="AI144" s="278"/>
      <c r="AJ144" s="278">
        <v>30.2</v>
      </c>
      <c r="AK144" s="278">
        <v>30.2</v>
      </c>
      <c r="AL144" s="281">
        <f>IF(AI144&lt;&gt;0,AK144/AI144,0)</f>
        <v>0</v>
      </c>
      <c r="AM144" s="280">
        <f>AK144-AJ144</f>
        <v>0</v>
      </c>
      <c r="AN144" s="200" t="s">
        <v>1232</v>
      </c>
      <c r="AO144" s="278">
        <v>30.2</v>
      </c>
      <c r="AP144" s="278">
        <v>30.2</v>
      </c>
      <c r="AQ144" s="278">
        <v>30.2</v>
      </c>
      <c r="AR144" s="278">
        <v>30.2</v>
      </c>
      <c r="AS144" s="2082"/>
      <c r="AT144" s="2082"/>
      <c r="AU144" s="2082"/>
      <c r="AV144" s="2082"/>
      <c r="AW144" s="2082"/>
      <c r="AX144" s="278">
        <v>30.2</v>
      </c>
      <c r="AY144" s="278">
        <v>30.2</v>
      </c>
      <c r="AZ144" s="278">
        <v>30.2</v>
      </c>
      <c r="BA144" s="278">
        <v>30.2</v>
      </c>
      <c r="BB144" s="2082"/>
      <c r="BC144" s="2082"/>
      <c r="BD144" s="2082"/>
      <c r="BE144" s="2082"/>
      <c r="BF144" s="2082"/>
      <c r="BG144" s="1758"/>
      <c r="BH144" s="1758"/>
      <c r="BI144" s="997" t="s">
        <v>1195</v>
      </c>
      <c r="BJ144" s="1764"/>
      <c r="BK144" s="1764"/>
      <c r="BL144" s="1757"/>
      <c r="BM144" s="1757"/>
    </row>
    <row s="1834" customFormat="1" customHeight="1" ht="15" hidden="1">
      <c r="A145" s="1758"/>
      <c r="B145" s="1416"/>
      <c r="C145" s="1758"/>
      <c r="D145" s="1758"/>
      <c r="E145" s="618">
        <v>0</v>
      </c>
      <c r="F145" s="50" cm="1" t="str">
        <f t="array" ref="F145:F145">OFFSET(E145,-1,1)</f>
        <v>4</v>
      </c>
      <c r="G145" s="1758"/>
      <c r="H145" s="122" t="s">
        <v>1196</v>
      </c>
      <c r="I145" s="1758"/>
      <c r="J145" s="1758"/>
      <c r="K145" s="1758"/>
      <c r="L145" s="1758"/>
      <c r="M145" s="1758"/>
      <c r="N145" s="1758"/>
      <c r="O145" s="1758"/>
      <c r="P145" s="1758"/>
      <c r="Q145" s="1758"/>
      <c r="R145" s="1758"/>
      <c r="S145" s="1758"/>
      <c r="T145" s="1758"/>
      <c r="U145" s="465" cm="1" t="str">
        <f t="array" ref="U145:U145">U144</f>
        <v>true</v>
      </c>
      <c r="V145" s="1758"/>
      <c r="W145" s="1758"/>
      <c r="X145" s="1758"/>
      <c r="Y145" s="1543"/>
      <c r="Z145" s="1565"/>
      <c r="AA145" s="1758"/>
      <c r="AB145" s="133">
        <v>2</v>
      </c>
      <c r="AC145" s="135" t="s">
        <v>1169</v>
      </c>
      <c r="AD145" s="136" t="s">
        <v>1170</v>
      </c>
      <c r="AE145" s="2082"/>
      <c r="AF145" s="2069"/>
      <c r="AG145" s="2082"/>
      <c r="AH145" s="2070"/>
      <c r="AI145" s="2082"/>
      <c r="AJ145" s="2082"/>
      <c r="AK145" s="2082"/>
      <c r="AL145" s="281">
        <f>IF(AI145&lt;&gt;0,AK145/AI145,0)</f>
        <v>0</v>
      </c>
      <c r="AM145" s="280">
        <f>AK145-AJ145</f>
        <v>0</v>
      </c>
      <c r="AN145" s="2070"/>
      <c r="AO145" s="2082"/>
      <c r="AP145" s="2082"/>
      <c r="AQ145" s="2082"/>
      <c r="AR145" s="2082"/>
      <c r="AS145" s="2082"/>
      <c r="AT145" s="2082"/>
      <c r="AU145" s="2082"/>
      <c r="AV145" s="2082"/>
      <c r="AW145" s="2082"/>
      <c r="AX145" s="2082"/>
      <c r="AY145" s="2082"/>
      <c r="AZ145" s="2082"/>
      <c r="BA145" s="2082"/>
      <c r="BB145" s="2082"/>
      <c r="BC145" s="2082"/>
      <c r="BD145" s="2082"/>
      <c r="BE145" s="2082"/>
      <c r="BF145" s="2082"/>
      <c r="BG145" s="1758"/>
      <c r="BH145" s="1758"/>
      <c r="BI145" s="997" t="s">
        <v>1197</v>
      </c>
      <c r="BJ145" s="1764"/>
      <c r="BK145" s="1764"/>
      <c r="BL145" s="1757"/>
      <c r="BM145" s="1757"/>
    </row>
    <row s="1834" customFormat="1" customHeight="1" ht="0">
      <c r="A146" s="1758"/>
      <c r="B146" s="1416"/>
      <c r="C146" s="1758"/>
      <c r="D146" s="1758"/>
      <c r="E146" s="618">
        <v>15</v>
      </c>
      <c r="F146" s="50" cm="1" t="str">
        <f t="array" ref="F146:F146">OFFSET(E146,-1,1)</f>
        <v>4</v>
      </c>
      <c r="G146" s="1758"/>
      <c r="H146" s="1758"/>
      <c r="I146" s="1758"/>
      <c r="J146" s="1758"/>
      <c r="K146" s="1758"/>
      <c r="L146" s="1758"/>
      <c r="M146" s="1758"/>
      <c r="N146" s="1758"/>
      <c r="O146" s="1758"/>
      <c r="P146" s="1758"/>
      <c r="Q146" s="1758"/>
      <c r="R146" s="1758"/>
      <c r="S146" s="1758"/>
      <c r="T146" s="1758"/>
      <c r="U146" s="465" cm="1" t="str">
        <f t="array" ref="U146:U146">U145</f>
        <v>true</v>
      </c>
      <c r="V146" s="1758"/>
      <c r="W146" s="1758"/>
      <c r="X146" s="1758"/>
      <c r="Y146" s="1543"/>
      <c r="Z146" s="1565"/>
      <c r="AA146" s="1758"/>
      <c r="AB146" s="606">
        <v>2</v>
      </c>
      <c r="AC146" s="607" t="s">
        <v>1198</v>
      </c>
      <c r="AD146" s="94"/>
      <c r="AE146" s="608"/>
      <c r="AF146" s="609"/>
      <c r="AG146" s="610"/>
      <c r="AH146" s="611"/>
      <c r="AI146" s="608"/>
      <c r="AJ146" s="609"/>
      <c r="AK146" s="609"/>
      <c r="AL146" s="612"/>
      <c r="AM146" s="609"/>
      <c r="AN146" s="611"/>
      <c r="AO146" s="608"/>
      <c r="AP146" s="608"/>
      <c r="AQ146" s="608"/>
      <c r="AR146" s="608"/>
      <c r="AS146" s="608"/>
      <c r="AT146" s="608"/>
      <c r="AU146" s="608"/>
      <c r="AV146" s="608"/>
      <c r="AW146" s="608"/>
      <c r="AX146" s="608"/>
      <c r="AY146" s="608"/>
      <c r="AZ146" s="608"/>
      <c r="BA146" s="608"/>
      <c r="BB146" s="608"/>
      <c r="BC146" s="608"/>
      <c r="BD146" s="608"/>
      <c r="BE146" s="608"/>
      <c r="BF146" s="608"/>
      <c r="BG146" s="1758"/>
      <c r="BH146" s="1758"/>
      <c r="BI146" s="997" t="s">
        <v>1199</v>
      </c>
      <c r="BJ146" s="1764"/>
      <c r="BK146" s="1764"/>
      <c r="BL146" s="1757"/>
      <c r="BM146" s="1757"/>
    </row>
    <row s="1834" customFormat="1" customHeight="1" ht="0">
      <c r="A147" s="1758"/>
      <c r="B147" s="1416"/>
      <c r="C147" s="1758"/>
      <c r="D147" s="1758"/>
      <c r="E147" s="618">
        <v>22.5</v>
      </c>
      <c r="F147" s="50" cm="1" t="str">
        <f t="array" ref="F147:F147">OFFSET(E147,-1,1)</f>
        <v>4</v>
      </c>
      <c r="G147" s="1758"/>
      <c r="H147" s="122" t="s">
        <v>1200</v>
      </c>
      <c r="I147" s="1758"/>
      <c r="J147" s="1758"/>
      <c r="K147" s="1758"/>
      <c r="L147" s="1758"/>
      <c r="M147" s="1758"/>
      <c r="N147" s="1758"/>
      <c r="O147" s="1758"/>
      <c r="P147" s="1758"/>
      <c r="Q147" s="1758"/>
      <c r="R147" s="1758"/>
      <c r="S147" s="1758"/>
      <c r="T147" s="1758"/>
      <c r="U147" s="465" cm="1" t="str">
        <f t="array" ref="U147:U147">U146</f>
        <v>true</v>
      </c>
      <c r="V147" s="1758"/>
      <c r="W147" s="1758"/>
      <c r="X147" s="1758"/>
      <c r="Y147" s="1543"/>
      <c r="Z147" s="1565"/>
      <c r="AA147" s="1758"/>
      <c r="AB147" s="220" t="s">
        <v>1201</v>
      </c>
      <c r="AC147" s="214" t="s">
        <v>1202</v>
      </c>
      <c r="AD147" s="91" t="s">
        <v>1203</v>
      </c>
      <c r="AE147" s="307"/>
      <c r="AF147" s="613"/>
      <c r="AG147" s="614"/>
      <c r="AH147" s="309"/>
      <c r="AI147" s="307"/>
      <c r="AJ147" s="613"/>
      <c r="AK147" s="613"/>
      <c r="AL147" s="615">
        <f>IF(AI147&lt;&gt;0,AK147/AI147,0)</f>
        <v>0</v>
      </c>
      <c r="AM147" s="616">
        <f>AK147-AJ147</f>
        <v>0</v>
      </c>
      <c r="AN147" s="309"/>
      <c r="AO147" s="307"/>
      <c r="AP147" s="307"/>
      <c r="AQ147" s="307"/>
      <c r="AR147" s="307"/>
      <c r="AS147" s="2094"/>
      <c r="AT147" s="2094"/>
      <c r="AU147" s="2094"/>
      <c r="AV147" s="2094"/>
      <c r="AW147" s="2094"/>
      <c r="AX147" s="307"/>
      <c r="AY147" s="307"/>
      <c r="AZ147" s="307"/>
      <c r="BA147" s="307"/>
      <c r="BB147" s="2094"/>
      <c r="BC147" s="2094"/>
      <c r="BD147" s="2094"/>
      <c r="BE147" s="2094"/>
      <c r="BF147" s="2094"/>
      <c r="BG147" s="1758"/>
      <c r="BH147" s="1758"/>
      <c r="BI147" s="997" t="s">
        <v>1204</v>
      </c>
      <c r="BJ147" s="1764"/>
      <c r="BK147" s="1764"/>
      <c r="BL147" s="1757"/>
      <c r="BM147" s="1757"/>
    </row>
    <row s="1834" customFormat="1" customHeight="1" ht="0" hidden="1">
      <c r="A148" s="1758"/>
      <c r="B148" s="1416"/>
      <c r="C148" s="1758"/>
      <c r="D148" s="1758"/>
      <c r="E148" s="618">
        <v>22.5</v>
      </c>
      <c r="F148" s="50" cm="1" t="str">
        <f t="array" ref="F148:F148">OFFSET(E148,-1,1)</f>
        <v>4</v>
      </c>
      <c r="G148" s="1758"/>
      <c r="H148" s="1758"/>
      <c r="I148" s="122" cm="1" t="str">
        <f t="array" ref="I148:I148">AC148</f>
        <v>0</v>
      </c>
      <c r="J148" s="1758"/>
      <c r="K148" s="1758"/>
      <c r="L148" s="1758"/>
      <c r="M148" s="1758"/>
      <c r="N148" s="1758"/>
      <c r="O148" s="1758"/>
      <c r="P148" s="1758"/>
      <c r="Q148" s="1758"/>
      <c r="R148" s="1758"/>
      <c r="S148" s="1758"/>
      <c r="T148" s="1758"/>
      <c r="U148" s="465">
        <f>AND(F148&gt;0,--RIGHT(AB148,1)&gt;1)</f>
        <v>0</v>
      </c>
      <c r="V148" s="1758"/>
      <c r="W148" s="1758"/>
      <c r="X148" s="757" t="s">
        <v>174</v>
      </c>
      <c r="Y148" s="1543"/>
      <c r="Z148" s="1565"/>
      <c r="AA148" s="420" t="s">
        <v>175</v>
      </c>
      <c r="AB148" s="220" t="s">
        <v>1201</v>
      </c>
      <c r="AC148" s="2100"/>
      <c r="AD148" s="91" t="s">
        <v>1203</v>
      </c>
      <c r="AE148" s="2094"/>
      <c r="AF148" s="2095"/>
      <c r="AG148" s="2096"/>
      <c r="AH148" s="2097"/>
      <c r="AI148" s="2094"/>
      <c r="AJ148" s="2095"/>
      <c r="AK148" s="2095"/>
      <c r="AL148" s="615">
        <f>IF(AI148&lt;&gt;0,AK148/AI148,0)</f>
        <v>0</v>
      </c>
      <c r="AM148" s="616">
        <f>AK148-AJ148</f>
        <v>0</v>
      </c>
      <c r="AN148" s="2097"/>
      <c r="AO148" s="2094"/>
      <c r="AP148" s="2094"/>
      <c r="AQ148" s="2094"/>
      <c r="AR148" s="2094"/>
      <c r="AS148" s="2094"/>
      <c r="AT148" s="2094"/>
      <c r="AU148" s="2094"/>
      <c r="AV148" s="2094"/>
      <c r="AW148" s="2094"/>
      <c r="AX148" s="2094"/>
      <c r="AY148" s="2094"/>
      <c r="AZ148" s="2094"/>
      <c r="BA148" s="2094"/>
      <c r="BB148" s="2094"/>
      <c r="BC148" s="2094"/>
      <c r="BD148" s="2094"/>
      <c r="BE148" s="2094"/>
      <c r="BF148" s="2094"/>
      <c r="BG148" s="1758"/>
      <c r="BH148" s="1758"/>
      <c r="BI148" s="997" t="s">
        <v>1204</v>
      </c>
      <c r="BJ148" s="997" t="s">
        <v>1205</v>
      </c>
      <c r="BK148" s="997" cm="1" t="str">
        <f t="array" ref="BK148:BK148">AC148</f>
        <v>0</v>
      </c>
      <c r="BL148" s="1757"/>
      <c r="BM148" s="618" t="b">
        <v>1</v>
      </c>
    </row>
    <row s="1834" customFormat="1" customHeight="1" ht="0">
      <c r="A149" s="1758"/>
      <c r="B149" s="1416"/>
      <c r="C149" s="1758"/>
      <c r="D149" s="1758"/>
      <c r="E149" s="618">
        <v>15</v>
      </c>
      <c r="F149" s="50" cm="1" t="str">
        <f t="array" ref="F149:F149">OFFSET(E149,-1,1)</f>
        <v>4</v>
      </c>
      <c r="G149" s="1758"/>
      <c r="H149" s="1758"/>
      <c r="I149" s="1758"/>
      <c r="J149" s="1758"/>
      <c r="K149" s="1758"/>
      <c r="L149" s="1758"/>
      <c r="M149" s="1758"/>
      <c r="N149" s="1758"/>
      <c r="O149" s="1758"/>
      <c r="P149" s="1758"/>
      <c r="Q149" s="1758"/>
      <c r="R149" s="1758"/>
      <c r="S149" s="1758"/>
      <c r="T149" s="1758"/>
      <c r="U149" s="465">
        <f>F149&gt;0</f>
        <v>1</v>
      </c>
      <c r="V149" s="1758"/>
      <c r="W149" s="1758"/>
      <c r="X149" s="757" t="s">
        <v>408</v>
      </c>
      <c r="Y149" s="1543"/>
      <c r="Z149" s="1565"/>
      <c r="AA149" s="1758"/>
      <c r="AB149" s="175"/>
      <c r="AC149" s="308" t="s">
        <v>178</v>
      </c>
      <c r="AD149" s="176"/>
      <c r="AE149" s="176"/>
      <c r="AF149" s="176"/>
      <c r="AG149" s="176"/>
      <c r="AH149" s="176"/>
      <c r="AI149" s="176"/>
      <c r="AJ149" s="176"/>
      <c r="AK149" s="176"/>
      <c r="AL149" s="176"/>
      <c r="AM149" s="176"/>
      <c r="AN149" s="176"/>
      <c r="AO149" s="176"/>
      <c r="AP149" s="176"/>
      <c r="AQ149" s="176"/>
      <c r="AR149" s="176"/>
      <c r="AS149" s="176"/>
      <c r="AT149" s="176"/>
      <c r="AU149" s="176"/>
      <c r="AV149" s="176"/>
      <c r="AW149" s="176"/>
      <c r="AX149" s="176"/>
      <c r="AY149" s="176"/>
      <c r="AZ149" s="176"/>
      <c r="BA149" s="176"/>
      <c r="BB149" s="176"/>
      <c r="BC149" s="176"/>
      <c r="BD149" s="176"/>
      <c r="BE149" s="176"/>
      <c r="BF149" s="176"/>
      <c r="BG149" s="1758"/>
      <c r="BH149" s="1758"/>
      <c r="BI149" s="1764"/>
      <c r="BJ149" s="1764"/>
      <c r="BK149" s="1764"/>
      <c r="BL149" s="618" t="s">
        <v>1205</v>
      </c>
      <c r="BM149" s="1757"/>
    </row>
    <row s="1834" customFormat="1" customHeight="1" ht="0">
      <c r="A150" s="1758"/>
      <c r="B150" s="1416"/>
      <c r="C150" s="1758"/>
      <c r="D150" s="1758"/>
      <c r="E150" s="618">
        <v>22.5</v>
      </c>
      <c r="F150" s="50" cm="1" t="str">
        <f t="array" ref="F150:F150">OFFSET(E150,-1,1)</f>
        <v>4</v>
      </c>
      <c r="G150" s="1758"/>
      <c r="H150" s="122" t="s">
        <v>1206</v>
      </c>
      <c r="I150" s="1758"/>
      <c r="J150" s="1758"/>
      <c r="K150" s="1758"/>
      <c r="L150" s="1758"/>
      <c r="M150" s="1758"/>
      <c r="N150" s="1758"/>
      <c r="O150" s="1758"/>
      <c r="P150" s="1758"/>
      <c r="Q150" s="1758"/>
      <c r="R150" s="1758"/>
      <c r="S150" s="1758"/>
      <c r="T150" s="1758"/>
      <c r="U150" s="465" cm="1" t="str">
        <f t="array" ref="U150:U150">U149</f>
        <v>true</v>
      </c>
      <c r="V150" s="1758"/>
      <c r="W150" s="1758"/>
      <c r="X150" s="1758"/>
      <c r="Y150" s="1543"/>
      <c r="Z150" s="1565"/>
      <c r="AA150" s="1758"/>
      <c r="AB150" s="598" t="s">
        <v>1207</v>
      </c>
      <c r="AC150" s="599" t="s">
        <v>1208</v>
      </c>
      <c r="AD150" s="595" t="s">
        <v>1203</v>
      </c>
      <c r="AE150" s="600"/>
      <c r="AF150" s="601"/>
      <c r="AG150" s="602"/>
      <c r="AH150" s="603"/>
      <c r="AI150" s="600"/>
      <c r="AJ150" s="601"/>
      <c r="AK150" s="601"/>
      <c r="AL150" s="604">
        <f>IF(AI150&lt;&gt;0,AK150/AI150,0)</f>
        <v>0</v>
      </c>
      <c r="AM150" s="605">
        <f>AK150-AJ150</f>
        <v>0</v>
      </c>
      <c r="AN150" s="603"/>
      <c r="AO150" s="600"/>
      <c r="AP150" s="600"/>
      <c r="AQ150" s="600"/>
      <c r="AR150" s="600"/>
      <c r="AS150" s="2104"/>
      <c r="AT150" s="2104"/>
      <c r="AU150" s="2104"/>
      <c r="AV150" s="2104"/>
      <c r="AW150" s="2104"/>
      <c r="AX150" s="600"/>
      <c r="AY150" s="600"/>
      <c r="AZ150" s="600"/>
      <c r="BA150" s="600"/>
      <c r="BB150" s="2104"/>
      <c r="BC150" s="2104"/>
      <c r="BD150" s="2104"/>
      <c r="BE150" s="2104"/>
      <c r="BF150" s="2104"/>
      <c r="BG150" s="1758"/>
      <c r="BH150" s="1758"/>
      <c r="BI150" s="997" t="s">
        <v>1209</v>
      </c>
      <c r="BJ150" s="1764"/>
      <c r="BK150" s="1764"/>
      <c r="BL150" s="1757"/>
      <c r="BM150" s="1757"/>
    </row>
    <row s="1834" customFormat="1" customHeight="1" ht="0" hidden="1">
      <c r="A151" s="1758"/>
      <c r="B151" s="1416"/>
      <c r="C151" s="1758"/>
      <c r="D151" s="1758"/>
      <c r="E151" s="618">
        <v>22.5</v>
      </c>
      <c r="F151" s="50" cm="1" t="str">
        <f t="array" ref="F151:F151">OFFSET(E151,-1,1)</f>
        <v>4</v>
      </c>
      <c r="G151" s="1758"/>
      <c r="H151" s="1758"/>
      <c r="I151" s="122" cm="1" t="str">
        <f t="array" ref="I151:I151">AC151</f>
        <v>0</v>
      </c>
      <c r="J151" s="1758"/>
      <c r="K151" s="1758"/>
      <c r="L151" s="1758"/>
      <c r="M151" s="1758"/>
      <c r="N151" s="1758"/>
      <c r="O151" s="1758"/>
      <c r="P151" s="1758"/>
      <c r="Q151" s="1758"/>
      <c r="R151" s="1758"/>
      <c r="S151" s="1758"/>
      <c r="T151" s="1758"/>
      <c r="U151" s="465">
        <f>AND(F151&gt;0,--RIGHT(AB151,1)&gt;1)</f>
        <v>0</v>
      </c>
      <c r="V151" s="1758"/>
      <c r="W151" s="1758"/>
      <c r="X151" s="757" t="s">
        <v>174</v>
      </c>
      <c r="Y151" s="1543"/>
      <c r="Z151" s="1565"/>
      <c r="AA151" s="420" t="s">
        <v>175</v>
      </c>
      <c r="AB151" s="598" t="s">
        <v>1207</v>
      </c>
      <c r="AC151" s="2110"/>
      <c r="AD151" s="595" t="s">
        <v>1203</v>
      </c>
      <c r="AE151" s="2104"/>
      <c r="AF151" s="2105"/>
      <c r="AG151" s="2106"/>
      <c r="AH151" s="2107"/>
      <c r="AI151" s="2104"/>
      <c r="AJ151" s="2105"/>
      <c r="AK151" s="2105"/>
      <c r="AL151" s="604">
        <f>IF(AI151&lt;&gt;0,AK151/AI151,0)</f>
        <v>0</v>
      </c>
      <c r="AM151" s="605">
        <f>AK151-AJ151</f>
        <v>0</v>
      </c>
      <c r="AN151" s="2107"/>
      <c r="AO151" s="2104"/>
      <c r="AP151" s="2104"/>
      <c r="AQ151" s="2104"/>
      <c r="AR151" s="2104"/>
      <c r="AS151" s="2104"/>
      <c r="AT151" s="2104"/>
      <c r="AU151" s="2104"/>
      <c r="AV151" s="2104"/>
      <c r="AW151" s="2104"/>
      <c r="AX151" s="2104"/>
      <c r="AY151" s="2104"/>
      <c r="AZ151" s="2104"/>
      <c r="BA151" s="2104"/>
      <c r="BB151" s="2104"/>
      <c r="BC151" s="2104"/>
      <c r="BD151" s="2104"/>
      <c r="BE151" s="2104"/>
      <c r="BF151" s="2104"/>
      <c r="BG151" s="1758"/>
      <c r="BH151" s="1758"/>
      <c r="BI151" s="997" t="s">
        <v>1209</v>
      </c>
      <c r="BJ151" s="997" t="s">
        <v>1210</v>
      </c>
      <c r="BK151" s="997" cm="1" t="str">
        <f t="array" ref="BK151:BK151">AC151</f>
        <v>0</v>
      </c>
      <c r="BL151" s="1757"/>
      <c r="BM151" s="618" t="b">
        <v>1</v>
      </c>
    </row>
    <row s="1834" customFormat="1" customHeight="1" ht="0">
      <c r="A152" s="1758"/>
      <c r="B152" s="1416"/>
      <c r="C152" s="1758"/>
      <c r="D152" s="1758"/>
      <c r="E152" s="618">
        <v>15</v>
      </c>
      <c r="F152" s="50" cm="1" t="str">
        <f t="array" ref="F152:F152">OFFSET(E152,-1,1)</f>
        <v>4</v>
      </c>
      <c r="G152" s="1758"/>
      <c r="H152" s="1758"/>
      <c r="I152" s="1758"/>
      <c r="J152" s="1758"/>
      <c r="K152" s="1758"/>
      <c r="L152" s="1758"/>
      <c r="M152" s="1758"/>
      <c r="N152" s="1758"/>
      <c r="O152" s="1758"/>
      <c r="P152" s="1758"/>
      <c r="Q152" s="1758"/>
      <c r="R152" s="1758"/>
      <c r="S152" s="1758"/>
      <c r="T152" s="1758"/>
      <c r="U152" s="465">
        <f>F152&gt;0</f>
        <v>1</v>
      </c>
      <c r="V152" s="1758"/>
      <c r="W152" s="1758"/>
      <c r="X152" s="757" t="s">
        <v>408</v>
      </c>
      <c r="Y152" s="1543"/>
      <c r="Z152" s="1565"/>
      <c r="AA152" s="1758"/>
      <c r="AB152" s="175"/>
      <c r="AC152" s="308" t="s">
        <v>178</v>
      </c>
      <c r="AD152" s="176"/>
      <c r="AE152" s="176"/>
      <c r="AF152" s="176"/>
      <c r="AG152" s="176"/>
      <c r="AH152" s="176"/>
      <c r="AI152" s="176"/>
      <c r="AJ152" s="176"/>
      <c r="AK152" s="176"/>
      <c r="AL152" s="176"/>
      <c r="AM152" s="176"/>
      <c r="AN152" s="176"/>
      <c r="AO152" s="176"/>
      <c r="AP152" s="176"/>
      <c r="AQ152" s="176"/>
      <c r="AR152" s="176"/>
      <c r="AS152" s="176"/>
      <c r="AT152" s="176"/>
      <c r="AU152" s="176"/>
      <c r="AV152" s="176"/>
      <c r="AW152" s="176"/>
      <c r="AX152" s="176"/>
      <c r="AY152" s="176"/>
      <c r="AZ152" s="176"/>
      <c r="BA152" s="176"/>
      <c r="BB152" s="176"/>
      <c r="BC152" s="176"/>
      <c r="BD152" s="176"/>
      <c r="BE152" s="176"/>
      <c r="BF152" s="176"/>
      <c r="BG152" s="1758"/>
      <c r="BH152" s="1758"/>
      <c r="BI152" s="1764"/>
      <c r="BJ152" s="1764"/>
      <c r="BK152" s="1764"/>
      <c r="BL152" s="618" t="s">
        <v>1210</v>
      </c>
      <c r="BM152" s="1757"/>
    </row>
    <row s="1834" customFormat="1" customHeight="1" ht="0">
      <c r="A153" s="1758"/>
      <c r="B153" s="1416"/>
      <c r="C153" s="1758"/>
      <c r="D153" s="1758"/>
      <c r="E153" s="618">
        <v>22.5</v>
      </c>
      <c r="F153" s="50" cm="1" t="str">
        <f t="array" ref="F153:F153">OFFSET(E153,-1,1)</f>
        <v>4</v>
      </c>
      <c r="G153" s="1758"/>
      <c r="H153" s="122" t="s">
        <v>1211</v>
      </c>
      <c r="I153" s="1758"/>
      <c r="J153" s="1758"/>
      <c r="K153" s="1758"/>
      <c r="L153" s="1758"/>
      <c r="M153" s="1758"/>
      <c r="N153" s="1758"/>
      <c r="O153" s="1758"/>
      <c r="P153" s="1758"/>
      <c r="Q153" s="1758"/>
      <c r="R153" s="1758"/>
      <c r="S153" s="1758"/>
      <c r="T153" s="1758"/>
      <c r="U153" s="465" cm="1" t="str">
        <f t="array" ref="U153:U153">U152</f>
        <v>true</v>
      </c>
      <c r="V153" s="1758"/>
      <c r="W153" s="1758"/>
      <c r="X153" s="1758"/>
      <c r="Y153" s="1543"/>
      <c r="Z153" s="1565"/>
      <c r="AA153" s="1758"/>
      <c r="AB153" s="123" t="s">
        <v>1212</v>
      </c>
      <c r="AC153" s="192" t="s">
        <v>1213</v>
      </c>
      <c r="AD153" s="92" t="s">
        <v>1203</v>
      </c>
      <c r="AE153" s="276"/>
      <c r="AF153" s="278"/>
      <c r="AG153" s="279"/>
      <c r="AH153" s="200"/>
      <c r="AI153" s="276"/>
      <c r="AJ153" s="278"/>
      <c r="AK153" s="278"/>
      <c r="AL153" s="281">
        <f>IF(AI153&lt;&gt;0,AK153/AI153,0)</f>
        <v>0</v>
      </c>
      <c r="AM153" s="280">
        <f>AK153-AJ153</f>
        <v>0</v>
      </c>
      <c r="AN153" s="200"/>
      <c r="AO153" s="276"/>
      <c r="AP153" s="276"/>
      <c r="AQ153" s="276"/>
      <c r="AR153" s="276"/>
      <c r="AS153" s="2069"/>
      <c r="AT153" s="2069"/>
      <c r="AU153" s="2069"/>
      <c r="AV153" s="2069"/>
      <c r="AW153" s="2069"/>
      <c r="AX153" s="276"/>
      <c r="AY153" s="276"/>
      <c r="AZ153" s="276"/>
      <c r="BA153" s="276"/>
      <c r="BB153" s="2069"/>
      <c r="BC153" s="2069"/>
      <c r="BD153" s="2069"/>
      <c r="BE153" s="2069"/>
      <c r="BF153" s="2069"/>
      <c r="BG153" s="1758"/>
      <c r="BH153" s="1758"/>
      <c r="BI153" s="997" t="s">
        <v>1214</v>
      </c>
      <c r="BJ153" s="1764"/>
      <c r="BK153" s="1764"/>
      <c r="BL153" s="1757"/>
      <c r="BM153" s="1757"/>
    </row>
    <row s="1834" customFormat="1" customHeight="1" ht="0" hidden="1">
      <c r="A154" s="1758"/>
      <c r="B154" s="1416"/>
      <c r="C154" s="1758"/>
      <c r="D154" s="1758"/>
      <c r="E154" s="618">
        <v>22.5</v>
      </c>
      <c r="F154" s="50" cm="1" t="str">
        <f t="array" ref="F154:F154">OFFSET(E154,-1,1)</f>
        <v>4</v>
      </c>
      <c r="G154" s="1758"/>
      <c r="H154" s="1758"/>
      <c r="I154" s="122" cm="1" t="str">
        <f t="array" ref="I154:I154">AC154</f>
        <v>0</v>
      </c>
      <c r="J154" s="1758"/>
      <c r="K154" s="1758"/>
      <c r="L154" s="1758"/>
      <c r="M154" s="1758"/>
      <c r="N154" s="1758"/>
      <c r="O154" s="1758"/>
      <c r="P154" s="1758"/>
      <c r="Q154" s="1758"/>
      <c r="R154" s="1758"/>
      <c r="S154" s="1758"/>
      <c r="T154" s="1758"/>
      <c r="U154" s="465">
        <f>AND(F154&gt;0,--RIGHT(AB154,1)&gt;1)</f>
        <v>0</v>
      </c>
      <c r="V154" s="1758"/>
      <c r="W154" s="1758"/>
      <c r="X154" s="757" t="s">
        <v>174</v>
      </c>
      <c r="Y154" s="1543"/>
      <c r="Z154" s="1565"/>
      <c r="AA154" s="420" t="s">
        <v>175</v>
      </c>
      <c r="AB154" s="123" t="s">
        <v>1212</v>
      </c>
      <c r="AC154" s="2114"/>
      <c r="AD154" s="92" t="s">
        <v>1203</v>
      </c>
      <c r="AE154" s="2069"/>
      <c r="AF154" s="2082"/>
      <c r="AG154" s="2113"/>
      <c r="AH154" s="2070"/>
      <c r="AI154" s="2069"/>
      <c r="AJ154" s="2082"/>
      <c r="AK154" s="2082"/>
      <c r="AL154" s="281">
        <f>IF(AI154&lt;&gt;0,AK154/AI154,0)</f>
        <v>0</v>
      </c>
      <c r="AM154" s="280">
        <f>AK154-AJ154</f>
        <v>0</v>
      </c>
      <c r="AN154" s="2070"/>
      <c r="AO154" s="2069"/>
      <c r="AP154" s="2069"/>
      <c r="AQ154" s="2069"/>
      <c r="AR154" s="2069"/>
      <c r="AS154" s="2069"/>
      <c r="AT154" s="2069"/>
      <c r="AU154" s="2069"/>
      <c r="AV154" s="2069"/>
      <c r="AW154" s="2069"/>
      <c r="AX154" s="2069"/>
      <c r="AY154" s="2069"/>
      <c r="AZ154" s="2069"/>
      <c r="BA154" s="2069"/>
      <c r="BB154" s="2069"/>
      <c r="BC154" s="2069"/>
      <c r="BD154" s="2069"/>
      <c r="BE154" s="2069"/>
      <c r="BF154" s="2069"/>
      <c r="BG154" s="1758"/>
      <c r="BH154" s="1758"/>
      <c r="BI154" s="997" t="s">
        <v>1214</v>
      </c>
      <c r="BJ154" s="997" t="s">
        <v>1215</v>
      </c>
      <c r="BK154" s="997" cm="1" t="str">
        <f t="array" ref="BK154:BK154">AC154</f>
        <v>0</v>
      </c>
      <c r="BL154" s="1757"/>
      <c r="BM154" s="618" t="b">
        <v>1</v>
      </c>
    </row>
    <row s="1834" customFormat="1" customHeight="1" ht="0">
      <c r="A155" s="1758"/>
      <c r="B155" s="1416"/>
      <c r="C155" s="1758"/>
      <c r="D155" s="1758"/>
      <c r="E155" s="618">
        <v>15</v>
      </c>
      <c r="F155" s="50" cm="1" t="str">
        <f t="array" ref="F155:F155">OFFSET(E155,-1,1)</f>
        <v>4</v>
      </c>
      <c r="G155" s="1758"/>
      <c r="H155" s="1758"/>
      <c r="I155" s="1758"/>
      <c r="J155" s="1758"/>
      <c r="K155" s="1758"/>
      <c r="L155" s="1758"/>
      <c r="M155" s="1758"/>
      <c r="N155" s="1758"/>
      <c r="O155" s="1758"/>
      <c r="P155" s="1758"/>
      <c r="Q155" s="1758"/>
      <c r="R155" s="1758"/>
      <c r="S155" s="1758"/>
      <c r="T155" s="1758"/>
      <c r="U155" s="465">
        <f>F155&gt;0</f>
        <v>1</v>
      </c>
      <c r="V155" s="1758"/>
      <c r="W155" s="1758"/>
      <c r="X155" s="757" t="s">
        <v>408</v>
      </c>
      <c r="Y155" s="1543"/>
      <c r="Z155" s="1565"/>
      <c r="AA155" s="1758"/>
      <c r="AB155" s="175"/>
      <c r="AC155" s="308" t="s">
        <v>178</v>
      </c>
      <c r="AD155" s="176"/>
      <c r="AE155" s="176"/>
      <c r="AF155" s="176"/>
      <c r="AG155" s="176"/>
      <c r="AH155" s="176"/>
      <c r="AI155" s="176"/>
      <c r="AJ155" s="176"/>
      <c r="AK155" s="176"/>
      <c r="AL155" s="176"/>
      <c r="AM155" s="176"/>
      <c r="AN155" s="176"/>
      <c r="AO155" s="176"/>
      <c r="AP155" s="176"/>
      <c r="AQ155" s="176"/>
      <c r="AR155" s="176"/>
      <c r="AS155" s="176"/>
      <c r="AT155" s="176"/>
      <c r="AU155" s="176"/>
      <c r="AV155" s="176"/>
      <c r="AW155" s="176"/>
      <c r="AX155" s="176"/>
      <c r="AY155" s="176"/>
      <c r="AZ155" s="176"/>
      <c r="BA155" s="176"/>
      <c r="BB155" s="176"/>
      <c r="BC155" s="176"/>
      <c r="BD155" s="176"/>
      <c r="BE155" s="176"/>
      <c r="BF155" s="176"/>
      <c r="BG155" s="1758"/>
      <c r="BH155" s="1758"/>
      <c r="BI155" s="1764"/>
      <c r="BJ155" s="1764"/>
      <c r="BK155" s="1764"/>
      <c r="BL155" s="618" t="s">
        <v>1215</v>
      </c>
      <c r="BM155" s="1757"/>
    </row>
    <row s="1834" customFormat="1" customHeight="1" ht="0">
      <c r="A156" s="1758"/>
      <c r="B156" s="1416"/>
      <c r="C156" s="1758"/>
      <c r="D156" s="1758"/>
      <c r="E156" s="618">
        <v>22.5</v>
      </c>
      <c r="F156" s="50" cm="1" t="str">
        <f t="array" ref="F156:F156">OFFSET(E156,-1,1)</f>
        <v>4</v>
      </c>
      <c r="G156" s="1758"/>
      <c r="H156" s="122" t="s">
        <v>1216</v>
      </c>
      <c r="I156" s="1758"/>
      <c r="J156" s="1758"/>
      <c r="K156" s="1758"/>
      <c r="L156" s="1758"/>
      <c r="M156" s="1758"/>
      <c r="N156" s="1758"/>
      <c r="O156" s="1758"/>
      <c r="P156" s="1758"/>
      <c r="Q156" s="1758"/>
      <c r="R156" s="1758"/>
      <c r="S156" s="1758"/>
      <c r="T156" s="1758"/>
      <c r="U156" s="465" cm="1" t="str">
        <f t="array" ref="U156:U156">U155</f>
        <v>true</v>
      </c>
      <c r="V156" s="1758"/>
      <c r="W156" s="1758"/>
      <c r="X156" s="1758"/>
      <c r="Y156" s="1543"/>
      <c r="Z156" s="1565"/>
      <c r="AA156" s="1758"/>
      <c r="AB156" s="123" t="s">
        <v>1217</v>
      </c>
      <c r="AC156" s="192" t="s">
        <v>1218</v>
      </c>
      <c r="AD156" s="92" t="s">
        <v>1203</v>
      </c>
      <c r="AE156" s="276"/>
      <c r="AF156" s="278"/>
      <c r="AG156" s="279"/>
      <c r="AH156" s="200"/>
      <c r="AI156" s="276"/>
      <c r="AJ156" s="278"/>
      <c r="AK156" s="278"/>
      <c r="AL156" s="281">
        <f>IF(AI156&lt;&gt;0,AK156/AI156,0)</f>
        <v>0</v>
      </c>
      <c r="AM156" s="280">
        <f>AK156-AJ156</f>
        <v>0</v>
      </c>
      <c r="AN156" s="200"/>
      <c r="AO156" s="276"/>
      <c r="AP156" s="276"/>
      <c r="AQ156" s="276"/>
      <c r="AR156" s="276"/>
      <c r="AS156" s="2069"/>
      <c r="AT156" s="2069"/>
      <c r="AU156" s="2069"/>
      <c r="AV156" s="2069"/>
      <c r="AW156" s="2069"/>
      <c r="AX156" s="276"/>
      <c r="AY156" s="276"/>
      <c r="AZ156" s="276"/>
      <c r="BA156" s="276"/>
      <c r="BB156" s="2069"/>
      <c r="BC156" s="2069"/>
      <c r="BD156" s="2069"/>
      <c r="BE156" s="2069"/>
      <c r="BF156" s="2069"/>
      <c r="BG156" s="1758"/>
      <c r="BH156" s="1758"/>
      <c r="BI156" s="997" t="s">
        <v>1219</v>
      </c>
      <c r="BJ156" s="1764"/>
      <c r="BK156" s="1764"/>
      <c r="BL156" s="1757"/>
      <c r="BM156" s="1757"/>
    </row>
    <row s="1834" customFormat="1" customHeight="1" ht="0" hidden="1">
      <c r="A157" s="1758"/>
      <c r="B157" s="1416"/>
      <c r="C157" s="1758"/>
      <c r="D157" s="1758"/>
      <c r="E157" s="618">
        <v>22.5</v>
      </c>
      <c r="F157" s="50" cm="1" t="str">
        <f t="array" ref="F157:F157">OFFSET(E157,-1,1)</f>
        <v>4</v>
      </c>
      <c r="G157" s="1758"/>
      <c r="H157" s="1758"/>
      <c r="I157" s="122" cm="1" t="str">
        <f t="array" ref="I157:I157">AC157</f>
        <v>0</v>
      </c>
      <c r="J157" s="1758"/>
      <c r="K157" s="1758"/>
      <c r="L157" s="1758"/>
      <c r="M157" s="1758"/>
      <c r="N157" s="1758"/>
      <c r="O157" s="1758"/>
      <c r="P157" s="1758"/>
      <c r="Q157" s="1758"/>
      <c r="R157" s="1758"/>
      <c r="S157" s="1758"/>
      <c r="T157" s="1758"/>
      <c r="U157" s="465">
        <f>AND(F157&gt;0,--RIGHT(AB157,1)&gt;1)</f>
        <v>0</v>
      </c>
      <c r="V157" s="1758"/>
      <c r="W157" s="1758"/>
      <c r="X157" s="757" t="s">
        <v>174</v>
      </c>
      <c r="Y157" s="1543"/>
      <c r="Z157" s="1565"/>
      <c r="AA157" s="420" t="s">
        <v>175</v>
      </c>
      <c r="AB157" s="123" t="s">
        <v>1217</v>
      </c>
      <c r="AC157" s="2114"/>
      <c r="AD157" s="92" t="s">
        <v>1203</v>
      </c>
      <c r="AE157" s="2069"/>
      <c r="AF157" s="2082"/>
      <c r="AG157" s="2113"/>
      <c r="AH157" s="2070"/>
      <c r="AI157" s="2069"/>
      <c r="AJ157" s="2082"/>
      <c r="AK157" s="2082"/>
      <c r="AL157" s="281">
        <f>IF(AI157&lt;&gt;0,AK157/AI157,0)</f>
        <v>0</v>
      </c>
      <c r="AM157" s="280">
        <f>AK157-AJ157</f>
        <v>0</v>
      </c>
      <c r="AN157" s="2070"/>
      <c r="AO157" s="2069"/>
      <c r="AP157" s="2069"/>
      <c r="AQ157" s="2069"/>
      <c r="AR157" s="2069"/>
      <c r="AS157" s="2069"/>
      <c r="AT157" s="2069"/>
      <c r="AU157" s="2069"/>
      <c r="AV157" s="2069"/>
      <c r="AW157" s="2069"/>
      <c r="AX157" s="2069"/>
      <c r="AY157" s="2069"/>
      <c r="AZ157" s="2069"/>
      <c r="BA157" s="2069"/>
      <c r="BB157" s="2069"/>
      <c r="BC157" s="2069"/>
      <c r="BD157" s="2069"/>
      <c r="BE157" s="2069"/>
      <c r="BF157" s="2069"/>
      <c r="BG157" s="1758"/>
      <c r="BH157" s="1758"/>
      <c r="BI157" s="997" t="s">
        <v>1219</v>
      </c>
      <c r="BJ157" s="997" t="s">
        <v>1220</v>
      </c>
      <c r="BK157" s="997" cm="1" t="str">
        <f t="array" ref="BK157:BK157">AC157</f>
        <v>0</v>
      </c>
      <c r="BL157" s="1757"/>
      <c r="BM157" s="618" t="b">
        <v>1</v>
      </c>
    </row>
    <row s="1834" customFormat="1" customHeight="1" ht="0">
      <c r="A158" s="1758"/>
      <c r="B158" s="1416"/>
      <c r="C158" s="1758"/>
      <c r="D158" s="1758"/>
      <c r="E158" s="618">
        <v>15</v>
      </c>
      <c r="F158" s="50" cm="1" t="str">
        <f t="array" ref="F158:F158">OFFSET(E158,-1,1)</f>
        <v>4</v>
      </c>
      <c r="G158" s="1758"/>
      <c r="H158" s="1758"/>
      <c r="I158" s="1758"/>
      <c r="J158" s="1758"/>
      <c r="K158" s="1758"/>
      <c r="L158" s="1758"/>
      <c r="M158" s="1758"/>
      <c r="N158" s="1758"/>
      <c r="O158" s="1758"/>
      <c r="P158" s="1758"/>
      <c r="Q158" s="1758"/>
      <c r="R158" s="1758"/>
      <c r="S158" s="1758"/>
      <c r="T158" s="1758"/>
      <c r="U158" s="465">
        <f>F158&gt;0</f>
        <v>1</v>
      </c>
      <c r="V158" s="1758"/>
      <c r="W158" s="1758"/>
      <c r="X158" s="757" t="s">
        <v>408</v>
      </c>
      <c r="Y158" s="1543"/>
      <c r="Z158" s="1565"/>
      <c r="AA158" s="1758"/>
      <c r="AB158" s="175"/>
      <c r="AC158" s="308" t="s">
        <v>178</v>
      </c>
      <c r="AD158" s="176"/>
      <c r="AE158" s="176"/>
      <c r="AF158" s="176"/>
      <c r="AG158" s="176"/>
      <c r="AH158" s="176"/>
      <c r="AI158" s="176"/>
      <c r="AJ158" s="176"/>
      <c r="AK158" s="176"/>
      <c r="AL158" s="176"/>
      <c r="AM158" s="176"/>
      <c r="AN158" s="176"/>
      <c r="AO158" s="176"/>
      <c r="AP158" s="176"/>
      <c r="AQ158" s="176"/>
      <c r="AR158" s="176"/>
      <c r="AS158" s="176"/>
      <c r="AT158" s="176"/>
      <c r="AU158" s="176"/>
      <c r="AV158" s="176"/>
      <c r="AW158" s="176"/>
      <c r="AX158" s="176"/>
      <c r="AY158" s="176"/>
      <c r="AZ158" s="176"/>
      <c r="BA158" s="176"/>
      <c r="BB158" s="176"/>
      <c r="BC158" s="176"/>
      <c r="BD158" s="176"/>
      <c r="BE158" s="176"/>
      <c r="BF158" s="176"/>
      <c r="BG158" s="1758"/>
      <c r="BH158" s="1758"/>
      <c r="BI158" s="1764"/>
      <c r="BJ158" s="1764"/>
      <c r="BK158" s="1764"/>
      <c r="BL158" s="618" t="s">
        <v>1220</v>
      </c>
      <c r="BM158" s="1757"/>
    </row>
    <row s="1834" customFormat="1" customHeight="1" ht="54.75">
      <c r="A159" s="1758"/>
      <c r="B159" s="1416"/>
      <c r="C159" s="1758"/>
      <c r="D159" s="1758"/>
      <c r="E159" s="618">
        <v>15</v>
      </c>
      <c r="F159" s="50" cm="1" t="str">
        <f t="array" ref="F159:F159">OFFSET(E159,-1,1)</f>
        <v>4</v>
      </c>
      <c r="G159" s="1758"/>
      <c r="H159" s="122" t="s">
        <v>336</v>
      </c>
      <c r="I159" s="1758"/>
      <c r="J159" s="1758"/>
      <c r="K159" s="1758"/>
      <c r="L159" s="1758"/>
      <c r="M159" s="1758"/>
      <c r="N159" s="1758"/>
      <c r="O159" s="1758"/>
      <c r="P159" s="1758"/>
      <c r="Q159" s="1758"/>
      <c r="R159" s="1758"/>
      <c r="S159" s="1758"/>
      <c r="T159" s="1758"/>
      <c r="U159" s="465" cm="1" t="str">
        <f t="array" ref="U159:U159">U158</f>
        <v>true</v>
      </c>
      <c r="V159" s="1758"/>
      <c r="W159" s="1758"/>
      <c r="X159" s="1758"/>
      <c r="Y159" s="1543"/>
      <c r="Z159" s="1565"/>
      <c r="AA159" s="1758"/>
      <c r="AB159" s="133">
        <v>3</v>
      </c>
      <c r="AC159" s="139" t="s">
        <v>1221</v>
      </c>
      <c r="AD159" s="136" t="s">
        <v>1170</v>
      </c>
      <c r="AE159" s="276"/>
      <c r="AF159" s="278"/>
      <c r="AG159" s="279"/>
      <c r="AH159" s="200"/>
      <c r="AI159" s="276"/>
      <c r="AJ159" s="278">
        <v>1.1</v>
      </c>
      <c r="AK159" s="278">
        <v>1.1</v>
      </c>
      <c r="AL159" s="281">
        <f>IF(AI159&lt;&gt;0,AK159/AI159,0)</f>
        <v>0</v>
      </c>
      <c r="AM159" s="280">
        <f>AK159-AJ159</f>
        <v>0</v>
      </c>
      <c r="AN159" s="200" t="s">
        <v>1232</v>
      </c>
      <c r="AO159" s="276">
        <v>1.1</v>
      </c>
      <c r="AP159" s="276">
        <v>1.1</v>
      </c>
      <c r="AQ159" s="276">
        <v>2.2</v>
      </c>
      <c r="AR159" s="276">
        <v>2.2</v>
      </c>
      <c r="AS159" s="2069"/>
      <c r="AT159" s="2069"/>
      <c r="AU159" s="2069"/>
      <c r="AV159" s="2069"/>
      <c r="AW159" s="2069"/>
      <c r="AX159" s="276">
        <v>1.1</v>
      </c>
      <c r="AY159" s="276">
        <v>1.1</v>
      </c>
      <c r="AZ159" s="276">
        <v>2.2</v>
      </c>
      <c r="BA159" s="276">
        <v>2.2</v>
      </c>
      <c r="BB159" s="2069"/>
      <c r="BC159" s="2069"/>
      <c r="BD159" s="2069"/>
      <c r="BE159" s="2069"/>
      <c r="BF159" s="2069"/>
      <c r="BG159" s="1758"/>
      <c r="BH159" s="1758"/>
      <c r="BI159" s="997" t="s">
        <v>1222</v>
      </c>
      <c r="BJ159" s="1764"/>
      <c r="BK159" s="1764"/>
      <c r="BL159" s="1757"/>
      <c r="BM159" s="1757"/>
    </row>
    <row s="1834" customFormat="1" customHeight="1" ht="0">
      <c r="A160" s="1758"/>
      <c r="B160" s="1416"/>
      <c r="C160" s="1758"/>
      <c r="D160" s="1758"/>
      <c r="E160" s="618">
        <v>15</v>
      </c>
      <c r="F160" s="50" cm="1" t="str">
        <f t="array" ref="F160:F160">OFFSET(E160,-1,1)</f>
        <v>4</v>
      </c>
      <c r="G160" s="1758"/>
      <c r="H160" s="122" t="s">
        <v>335</v>
      </c>
      <c r="I160" s="1758"/>
      <c r="J160" s="1758"/>
      <c r="K160" s="1758"/>
      <c r="L160" s="1758"/>
      <c r="M160" s="1758"/>
      <c r="N160" s="1758"/>
      <c r="O160" s="1758"/>
      <c r="P160" s="1758"/>
      <c r="Q160" s="1758"/>
      <c r="R160" s="1758"/>
      <c r="S160" s="1758"/>
      <c r="T160" s="1758"/>
      <c r="U160" s="465" cm="1" t="str">
        <f t="array" ref="U160:U160">U159</f>
        <v>true</v>
      </c>
      <c r="V160" s="1758"/>
      <c r="W160" s="1758"/>
      <c r="X160" s="1758"/>
      <c r="Y160" s="1543"/>
      <c r="Z160" s="1565"/>
      <c r="AA160" s="1758"/>
      <c r="AB160" s="133">
        <v>4</v>
      </c>
      <c r="AC160" s="139" t="s">
        <v>1223</v>
      </c>
      <c r="AD160" s="136" t="s">
        <v>1170</v>
      </c>
      <c r="AE160" s="276"/>
      <c r="AF160" s="278"/>
      <c r="AG160" s="279"/>
      <c r="AH160" s="200"/>
      <c r="AI160" s="276"/>
      <c r="AJ160" s="278"/>
      <c r="AK160" s="278"/>
      <c r="AL160" s="281">
        <f>IF(AI160&lt;&gt;0,AK160/AI160,0)</f>
        <v>0</v>
      </c>
      <c r="AM160" s="280">
        <f>AK160-AJ160</f>
        <v>0</v>
      </c>
      <c r="AN160" s="200"/>
      <c r="AO160" s="276"/>
      <c r="AP160" s="276"/>
      <c r="AQ160" s="276"/>
      <c r="AR160" s="276"/>
      <c r="AS160" s="2069"/>
      <c r="AT160" s="2069"/>
      <c r="AU160" s="2069"/>
      <c r="AV160" s="2069"/>
      <c r="AW160" s="2069"/>
      <c r="AX160" s="276"/>
      <c r="AY160" s="276"/>
      <c r="AZ160" s="276"/>
      <c r="BA160" s="276"/>
      <c r="BB160" s="2069"/>
      <c r="BC160" s="2069"/>
      <c r="BD160" s="2069"/>
      <c r="BE160" s="2069"/>
      <c r="BF160" s="2069"/>
      <c r="BG160" s="1758"/>
      <c r="BH160" s="1758"/>
      <c r="BI160" s="997" t="s">
        <v>1224</v>
      </c>
      <c r="BJ160" s="1764"/>
      <c r="BK160" s="1764"/>
      <c r="BL160" s="1757"/>
      <c r="BM160" s="1757"/>
    </row>
    <row s="1834" customFormat="1" customHeight="1" ht="14.25">
      <c r="A161" s="1758"/>
      <c r="B161" s="1416"/>
      <c r="C161" s="1758"/>
      <c r="D161" s="1758"/>
      <c r="E161" s="618">
        <v>15</v>
      </c>
      <c r="F161" s="50" cm="1" t="str">
        <f t="array" ref="F161:F161">OFFSET(E161,-1,1)</f>
        <v>4</v>
      </c>
      <c r="G161" s="1758"/>
      <c r="H161" s="122" t="s">
        <v>1225</v>
      </c>
      <c r="I161" s="1758"/>
      <c r="J161" s="1758"/>
      <c r="K161" s="1758"/>
      <c r="L161" s="1758"/>
      <c r="M161" s="1758"/>
      <c r="N161" s="1758"/>
      <c r="O161" s="1758"/>
      <c r="P161" s="1758"/>
      <c r="Q161" s="1758"/>
      <c r="R161" s="1758"/>
      <c r="S161" s="1758"/>
      <c r="T161" s="1758"/>
      <c r="U161" s="465" cm="1" t="str">
        <f t="array" ref="U161:U161">U160</f>
        <v>true</v>
      </c>
      <c r="V161" s="1758"/>
      <c r="W161" s="1758"/>
      <c r="X161" s="1758"/>
      <c r="Y161" s="1543"/>
      <c r="Z161" s="1565"/>
      <c r="AA161" s="1758"/>
      <c r="AB161" s="123" t="s">
        <v>443</v>
      </c>
      <c r="AC161" s="138" t="s">
        <v>1226</v>
      </c>
      <c r="AD161" s="136"/>
      <c r="AE161" s="279"/>
      <c r="AF161" s="279"/>
      <c r="AG161" s="279"/>
      <c r="AH161" s="284"/>
      <c r="AI161" s="279"/>
      <c r="AJ161" s="279"/>
      <c r="AK161" s="279"/>
      <c r="AL161" s="281">
        <f>IF(AI161&lt;&gt;0,AK161/AI161,0)</f>
        <v>0</v>
      </c>
      <c r="AM161" s="280">
        <f>AK161-AJ161</f>
        <v>0</v>
      </c>
      <c r="AN161" s="284"/>
      <c r="AO161" s="279"/>
      <c r="AP161" s="279"/>
      <c r="AQ161" s="279"/>
      <c r="AR161" s="279"/>
      <c r="AS161" s="2113"/>
      <c r="AT161" s="2113"/>
      <c r="AU161" s="2113"/>
      <c r="AV161" s="2113"/>
      <c r="AW161" s="2113"/>
      <c r="AX161" s="279"/>
      <c r="AY161" s="279"/>
      <c r="AZ161" s="279"/>
      <c r="BA161" s="279"/>
      <c r="BB161" s="2113"/>
      <c r="BC161" s="2113"/>
      <c r="BD161" s="2113"/>
      <c r="BE161" s="2113"/>
      <c r="BF161" s="2113"/>
      <c r="BG161" s="1758"/>
      <c r="BH161" s="1758"/>
      <c r="BI161" s="997" t="s">
        <v>1227</v>
      </c>
      <c r="BJ161" s="1764"/>
      <c r="BK161" s="1764"/>
      <c r="BL161" s="1757"/>
      <c r="BM161" s="1757"/>
    </row>
    <row s="1834" customFormat="1" customHeight="1" ht="14.25">
      <c r="A162" s="1758"/>
      <c r="B162" s="1416"/>
      <c r="C162" s="1758"/>
      <c r="D162" s="1758"/>
      <c r="E162" s="618">
        <v>15</v>
      </c>
      <c r="F162" s="50" cm="1" t="str">
        <f t="array" ref="F162:F162">OFFSET(E162,-1,1)</f>
        <v>4</v>
      </c>
      <c r="G162" s="1758"/>
      <c r="H162" s="122" t="s">
        <v>1228</v>
      </c>
      <c r="I162" s="1758"/>
      <c r="J162" s="1758"/>
      <c r="K162" s="1758"/>
      <c r="L162" s="1758"/>
      <c r="M162" s="1758"/>
      <c r="N162" s="1758"/>
      <c r="O162" s="1758"/>
      <c r="P162" s="1758"/>
      <c r="Q162" s="1758"/>
      <c r="R162" s="1758"/>
      <c r="S162" s="1758"/>
      <c r="T162" s="1758"/>
      <c r="U162" s="465" cm="1" t="str">
        <f t="array" ref="U162:U162">U161</f>
        <v>true</v>
      </c>
      <c r="V162" s="1758"/>
      <c r="W162" s="1758"/>
      <c r="X162" s="1758"/>
      <c r="Y162" s="1543"/>
      <c r="Z162" s="1565"/>
      <c r="AA162" s="1758"/>
      <c r="AB162" s="123" t="s">
        <v>446</v>
      </c>
      <c r="AC162" s="137" t="s">
        <v>1229</v>
      </c>
      <c r="AD162" s="136"/>
      <c r="AE162" s="279"/>
      <c r="AF162" s="279"/>
      <c r="AG162" s="279"/>
      <c r="AH162" s="284"/>
      <c r="AI162" s="279"/>
      <c r="AJ162" s="279"/>
      <c r="AK162" s="279"/>
      <c r="AL162" s="281">
        <f>IF(AI162&lt;&gt;0,AK162/AI162,0)</f>
        <v>0</v>
      </c>
      <c r="AM162" s="280">
        <f>AK162-AJ162</f>
        <v>0</v>
      </c>
      <c r="AN162" s="284"/>
      <c r="AO162" s="279"/>
      <c r="AP162" s="279"/>
      <c r="AQ162" s="279"/>
      <c r="AR162" s="279"/>
      <c r="AS162" s="2113"/>
      <c r="AT162" s="2113"/>
      <c r="AU162" s="2113"/>
      <c r="AV162" s="2113"/>
      <c r="AW162" s="2113"/>
      <c r="AX162" s="279"/>
      <c r="AY162" s="279"/>
      <c r="AZ162" s="279"/>
      <c r="BA162" s="279"/>
      <c r="BB162" s="2113"/>
      <c r="BC162" s="2113"/>
      <c r="BD162" s="2113"/>
      <c r="BE162" s="2113"/>
      <c r="BF162" s="2113"/>
      <c r="BG162" s="1758"/>
      <c r="BH162" s="1758"/>
      <c r="BI162" s="997" t="s">
        <v>1230</v>
      </c>
      <c r="BJ162" s="1764"/>
      <c r="BK162" s="1764"/>
      <c r="BL162" s="1757"/>
      <c r="BM162" s="1757"/>
    </row>
    <row customHeight="1" ht="10.96875">
      <c r="E163" s="618">
        <v>11.25</v>
      </c>
      <c r="V163" s="122" t="s">
        <v>178</v>
      </c>
      <c r="W163" s="140" t="s">
        <v>1234</v>
      </c>
      <c r="AO163" s="1758"/>
      <c r="AP163" s="1758"/>
      <c r="AQ163" s="1758"/>
      <c r="AR163" s="1758"/>
      <c r="AS163" s="1758"/>
      <c r="AT163" s="1758"/>
      <c r="AU163" s="1758"/>
      <c r="AV163" s="1758"/>
      <c r="AW163" s="1758"/>
      <c r="AX163" s="1758"/>
      <c r="AY163" s="1758"/>
      <c r="AZ163" s="1758"/>
      <c r="BA163" s="1758"/>
      <c r="BB163" s="1758"/>
      <c r="BC163" s="1758"/>
      <c r="BD163" s="1758"/>
      <c r="BE163" s="1758"/>
      <c r="BF163" s="1758"/>
      <c r="BG163" s="122"/>
    </row>
  </sheetData>
  <sheetProtection formatColumns="0" formatRows="0" insertRows="0" deleteColumns="0" deleteRows="0" sort="0" autoFilter="0" insertColumns="1"/>
  <mergeCells count="13">
    <mergeCell ref="AB24:AB25"/>
    <mergeCell ref="AC24:AC25"/>
    <mergeCell ref="AD24:AD25"/>
    <mergeCell ref="Y28:Y54"/>
    <mergeCell ref="Z28:Z54"/>
    <mergeCell ref="Y55:Y81"/>
    <mergeCell ref="Z55:Z81"/>
    <mergeCell ref="Y82:Y108"/>
    <mergeCell ref="Z82:Z108"/>
    <mergeCell ref="Y109:Y135"/>
    <mergeCell ref="Z109:Z135"/>
    <mergeCell ref="Y136:Y162"/>
    <mergeCell ref="Z136:Z162"/>
  </mergeCells>
  <dataValidations count="2">
    <dataValidation type="decimal" allowBlank="1" showErrorMessage="1" errorTitle="Ошибка" error="Допускается ввод только неотрицательных чисел!" sqref="AI36:AK37 AE42:AG43 AI42:AK43 AX26:BE26 AE36:AG37 AE26:AG26 AO36:BF37 AO42:BF43 AO26:AS26 AI26:AM26 AI39:AK40 AO39:BF40 BF45:BF54 BF57:BF59 BF61 BF63:BF64 BF66:BF67 BF69:BF70 BF72:BF81 BF84:BF86 BF88 BF90:BF91 BF93:BF94 BF96:BF97 BF99:BF108 BF111:BF113 BF115 BF117:BF118 BF120:BF121 BF123:BF124 BF126:BF135 BF138:BF140 BF142 BF144:BF145 BF147:BF148 BF150:BF151 BF153:BF162 BE45:BE54 BE57:BE59 BE61 BE63:BE64 BE66:BE67 BE69:BE70 BE72:BE81 BE84:BE86 BE88 BE90:BE91 BE93:BE94 BE96:BE97 BE99:BE108 BE111:BE113 BE115 BE117:BE118 BE120:BE121 BE123:BE124 BE126:BE135 BE138:BE140 BE142 BE144:BE145 BE147:BE148 BE150:BE151 BE153:BE162 BD45:BD54 BD57:BD59 BD61 BD63:BD64 BD66:BD67 BD69:BD70 BD72:BD81 BD84:BD86 BD88 BD90:BD91 BD93:BD94 BD96:BD97 BD99:BD108 BD111:BD113 BD115 BD117:BD118 BD120:BD121 BD123:BD124 BD126:BD135 BD138:BD140 BD142 BD144:BD145 BD147:BD148 BD150:BD151 BD153:BD162 BC45:BC54 BC57:BC59 BC61 BC63:BC64 BC66:BC67 BC69:BC70 BC72:BC81 BC84:BC86 BC88 BC90:BC91 BC93:BC94 BC96:BC97 BC99:BC108 BC111:BC113 BC115 BC117:BC118 BC120:BC121 BC123:BC124 BC126:BC135 BC138:BC140 BC142 BC144:BC145 BC147:BC148 BC150:BC151 BC153:BC162 BB45:BB54 BB57:BB59 BB61 BB63:BB64 BB66:BB67 BB69:BB70 BB72:BB81 BB84:BB86 BB88 BB90:BB91 BB93:BB94 BB96:BB97 BB99:BB108 BB111:BB113 BB115 BB117:BB118 BB120:BB121 BB123:BB124 BB126:BB135 BB138:BB140 BB142 BB144:BB145 BB147:BB148 BB150:BB151 BB153:BB162 BA45:BA54 BA57:BA59 BA61 BA63:BA64 BA66:BA67 BA69:BA70 BA72:BA81 BA84:BA86 BA88 BA90:BA91 BA93:BA94 BA96:BA97 BA99:BA108 BA111:BA113 BA115 BA117:BA118 BA120:BA121 BA123:BA124 BA126:BA135 BA138:BA140 BA142 BA144:BA145 BA147:BA148 BA150:BA151 BA153:BA162 AZ45:AZ54 AZ57:AZ59 AZ61 AZ63:AZ64 AZ66:AZ67 AZ69:AZ70 AZ72:AZ81 AZ84:AZ86 AZ88 AZ90:AZ91 AZ93:AZ94 AZ96:AZ97 AZ99:AZ108 AZ111:AZ113 AZ115 AZ117:AZ118 AZ120:AZ121 AZ123:AZ124 AZ126:AZ135 AZ138:AZ140 AZ142 AZ144:AZ145 AZ147:AZ148 AZ150:AZ151 AZ153:AZ162 AY45:AY54 AY57:AY59 AY61 AY63:AY64 AY66:AY67 AY69:AY70 AY72:AY81 AY84:AY86 AY88 AY90:AY91 AY93:AY94 AY96:AY97 AY99:AY108 AY111:AY113 AY115 AY117:AY118 AY120:AY121 AY123:AY124 AY126:AY135 AY138:AY140 AY142 AY144:AY145 AY147:AY148 AY150:AY151 AY153:AY162 AX45:AX54 AX57:AX59 AX61 AX63:AX64 AX66:AX67 AX69:AX70 AX72:AX81 AX84:AX86 AX88 AX90:AX91 AX93:AX94 AX96:AX97 AX99:AX108 AX111:AX113 AX115 AX117:AX118 AX120:AX121 AX123:AX124 AX126:AX135 AX138:AX140 AX142 AX144:AX145 AX147:AX148 AX150:AX151 AX153:AX162 AW45:AW54 AW57:AW59 AW61 AW63:AW64 AW66:AW67 AW69:AW70 AW72:AW81 AW84:AW86 AW88 AW90:AW91 AW93:AW94 AW96:AW97 AW99:AW108 AW111:AW113 AW115 AW117:AW118 AW120:AW121 AW123:AW124 AW126:AW135 AW138:AW140 AW142 AW144:AW145 AW147:AW148 AW150:AW151 AW153:AW162 AV45:AV54 AV57:AV59 AV61 AV63:AV64 AV66:AV67 AV69:AV70 AV72:AV81 AV84:AV86 AV88 AV90:AV91 AV93:AV94 AV96:AV97 AV99:AV108 AV111:AV113 AV115 AV117:AV118 AV120:AV121 AV123:AV124 AV126:AV135 AV138:AV140 AV142 AV144:AV145 AV147:AV148 AV150:AV151 AV153:AV162 AU45:AU54 AU57:AU59 AU61 AU63:AU64 AU66:AU67 AU69:AU70 AU72:AU81 AU84:AU86 AU88 AU90:AU91 AU93:AU94 AU96:AU97 AU99:AU108 AU111:AU113 AU115 AU117:AU118 AU120:AU121 AU123:AU124 AU126:AU135 AU138:AU140 AU142 AU144:AU145 AU147:AU148 AU150:AU151 AU153:AU162 AT45:AT54 AT57:AT59 AT61 AT63:AT64 AT66:AT67 AT69:AT70 AT72:AT81 AT84:AT86 AT88 AT90:AT91 AT93:AT94 AT96:AT97 AT99:AT108 AT111:AT113 AT115 AT117:AT118 AT120:AT121 AT123:AT124 AT126:AT135 AT138:AT140 AT142 AT144:AT145 AT147:AT148 AT150:AT151 AT153:AT162 AS45:AS54 AS57:AS59 AS61 AS63:AS64 AS66:AS67 AS69:AS70 AS72:AS81 AS84:AS86 AS88 AS90:AS91 AS93:AS94 AS96:AS97 AS99:AS108 AS111:AS113 AS115 AS117:AS118 AS120:AS121 AS123:AS124 AS126:AS135 AS138:AS140 AS142 AS144:AS145 AS147:AS148 AS150:AS151 AS153:AS162 AR45:AR54 AR57:AR59 AR61 AR63:AR64 AR66:AR67 AR69:AR70 AR72:AR81 AR84:AR86 AR88 AR90:AR91 AR93:AR94 AR96:AR97 AR99:AR108 AR111:AR113 AR115 AR117:AR118 AR120:AR121 AR123:AR124 AR126:AR135 AR138:AR140 AR142 AR144:AR145 AR147:AR148 AR150:AR151 AR153:AR162 AQ45:AQ54 AQ57:AQ59 AQ61 AQ63:AQ64 AQ66:AQ67 AQ69:AQ70 AQ72:AQ81 AQ84:AQ86 AQ88 AQ90:AQ91 AQ93:AQ94 AQ96:AQ97 AQ99:AQ108 AQ111:AQ113 AQ115 AQ117:AQ118 AQ120:AQ121 AQ123:AQ124 AQ126:AQ135 AQ138:AQ140 AQ142 AQ144:AQ145 AQ147:AQ148 AQ150:AQ151 AQ153:AQ162 AP45:AP54 AP57:AP59 AP61 AP63:AP64 AP66:AP67 AP69:AP70 AP72:AP81 AP84:AP86 AP88 AP90:AP91 AP93:AP94 AP96:AP97 AP99:AP108 AP111:AP113 AP115 AP117:AP118 AP120:AP121 AP123:AP124 AP126:AP135 AP138:AP140 AP142 AP144:AP145 AP147:AP148 AP150:AP151 AP153:AP162 AO45:AO54 AO57:AO59 AO61 AO63:AO64 AO66:AO67 AO69:AO70 AO72:AO81 AO84:AO86 AO88 AO90:AO91 AO93:AO94 AO96:AO97 AO99:AO108 AO111:AO113 AO115 AO117:AO118 AO120:AO121 AO123:AO124 AO126:AO135 AO138:AO140 AO142 AO144:AO145 AO147:AO148 AO150:AO151 AO153:AO162 AG45:AG54 AG57:AG59 AG61 AG63:AG64 AG66:AG67 AG69:AG70 AG72:AG81 AG84:AG86 AG88 AG90:AG91 AG93:AG94 AG96:AG97 AG99:AG108 AG111:AG113 AG115 AG117:AG118 AG120:AG121 AG123:AG124 AG126:AG135 AG138:AG140 AG142 AG144:AG145 AG147:AG148 AG150:AG151 AG153:AG162 AF45:AF54 AF57:AF59 AF61 AF63:AF64 AF66:AF67 AF69:AF70 AF72:AF81 AF84:AF86 AF88 AF90:AF91 AF93:AF94 AF96:AF97 AF99:AF108 AF111:AF113 AF115 AF117:AF118 AF120:AF121 AF123:AF124 AF126:AF135 AF138:AF140 AF142 AF144:AF145 AF147:AF148 AF150:AF151 AF153:AF162 AE45:AE54 AE57:AE59 AE61 AE63:AE64 AE66:AE67 AE69:AE70 AE72:AE81 AE84:AE86 AE88 AE90:AE91 AE93:AE94 AE96:AE97 AE99:AE108 AE111:AE113 AE115 AE117:AE118 AE120:AE121 AE123:AE124 AE126:AE135 AE138:AE140 AE142 AE144:AE145 AE147:AE148 AE150:AE151 AE153:AE162 AK45:AK54 AK57:AK59 AK61 AK63:AK64 AK66:AK67 AK69:AK70 AK72:AK81 AK84:AK86 AK88 AK90:AK91 AK93:AK94 AK96:AK97 AK99:AK108 AK111:AK113 AK115 AK117:AK118 AK120:AK121 AK123:AK124 AK126:AK135 AK138:AK140 AK142 AK144:AK145 AK147:AK148 AK150:AK151 AK153:AK162 AJ45:AJ54 AJ57:AJ59 AJ61 AJ63:AJ64 AJ66:AJ67 AJ69:AJ70 AJ72:AJ81 AJ84:AJ86 AJ88 AJ90:AJ91 AJ93:AJ94 AJ96:AJ97 AJ99:AJ108 AJ111:AJ113 AJ115 AJ117:AJ118 AJ120:AJ121 AJ123:AJ124 AJ126:AJ135 AJ138:AJ140 AJ142 AJ144:AJ145 AJ147:AJ148 AJ150:AJ151 AJ153:AJ162 AI45:AI54 AI57:AI59 AI61 AI63:AI64 AI66:AI67 AI69:AI70 AI72:AI81 AI84:AI86 AI88 AI90:AI91 AI93:AI94 AI96:AI97 AI99:AI108 AI111:AI113 AI115 AI117:AI118 AI120:AI121 AI123:AI124 AI126:AI135 AI138:AI140 AI142 AI144:AI145 AI147:AI148 AI150:AI151 AI153:AI162 AE39:AG40 AG30:AG32 AG34 AF30:AF32 AF34 AE30:AE32 AE34 AK30:AK32 AK34 AJ30:AJ32 AJ34 AI30:AI32 AI34 BF30:BF32 BF34 BE30:BE32 BE34 BD30:BD32 BD34 BC30:BC32 BC34 BB30:BB32 BB34 BA30:BA32 BA34 AZ30:AZ32 AZ34 AY30:AY32 AY34 AX30:AX32 AX34 AW30:AW32 AW34 AV30:AV32 AV34 AU30:AU32 AU34 AT30:AT32 AT34 AS30:AS32 AS34 AR30:AR32 AR34 AQ30:AQ32 AQ34 AP30:AP32 AP34 AO30:AO32 AO34">
      <formula1>0</formula1>
      <formula2>9.99999999999999E+23</formula2>
    </dataValidation>
    <dataValidation allowBlank="1" showErrorMessage="1" errorTitle="Ошибка" error="Допускается ввод только неотрицательных чисел!" sqref="AH26 AN26 AE27:BF27"/>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42</vt:i4>
      </vt:variant>
      <vt:variant>
        <vt:lpstr>Именованные диапазоны</vt:lpstr>
      </vt:variant>
      <vt:variant>
        <vt:i4>573</vt:i4>
      </vt:variant>
    </vt:vector>
  </HeadingPairs>
  <TitlesOfParts>
    <vt:vector size="615" baseType="lpstr">
      <vt:lpstr>Информация JSON</vt:lpstr>
      <vt:lpstr>Инструкция</vt:lpstr>
      <vt:lpstr>Пояснения</vt:lpstr>
      <vt:lpstr>Список листов</vt:lpstr>
      <vt:lpstr>Общие сведения</vt:lpstr>
      <vt:lpstr>Список территорий</vt:lpstr>
      <vt:lpstr>Перечень объектов</vt:lpstr>
      <vt:lpstr>Список объектов</vt:lpstr>
      <vt:lpstr>Сценарии</vt:lpstr>
      <vt:lpstr>ИИКА</vt:lpstr>
      <vt:lpstr>Баланс</vt:lpstr>
      <vt:lpstr>Условные метры</vt:lpstr>
      <vt:lpstr>Сырье и материалы</vt:lpstr>
      <vt:lpstr>ЭЭ</vt:lpstr>
      <vt:lpstr>Амортизация</vt:lpstr>
      <vt:lpstr>Аренда</vt:lpstr>
      <vt:lpstr>Амортизация (аналог)</vt:lpstr>
      <vt:lpstr>Покупка</vt:lpstr>
      <vt:lpstr>ФОТ</vt:lpstr>
      <vt:lpstr>Административные</vt:lpstr>
      <vt:lpstr>Сбытовые расходы ГО</vt:lpstr>
      <vt:lpstr>Налоги</vt:lpstr>
      <vt:lpstr>ИП + источники</vt:lpstr>
      <vt:lpstr>Экономия_корр</vt:lpstr>
      <vt:lpstr>Плата за негативное возд</vt:lpstr>
      <vt:lpstr>Корректировка НВВ</vt:lpstr>
      <vt:lpstr>ТМ</vt:lpstr>
      <vt:lpstr>Калькуляция (МЭОР)</vt:lpstr>
      <vt:lpstr>Калькуляция (МИ)</vt:lpstr>
      <vt:lpstr>Калькуляция (МИ корр)</vt:lpstr>
      <vt:lpstr>ДПР</vt:lpstr>
      <vt:lpstr>ДПР (концессии)</vt:lpstr>
      <vt:lpstr>ГО</vt:lpstr>
      <vt:lpstr>Калькуляция (МСА)</vt:lpstr>
      <vt:lpstr>Комментарии</vt:lpstr>
      <vt:lpstr>REESTR_MO</vt:lpstr>
      <vt:lpstr>REESTR_ORG</vt:lpstr>
      <vt:lpstr>REESTR_OBJECT</vt:lpstr>
      <vt:lpstr>REESTR_ROIV_OMS</vt:lpstr>
      <vt:lpstr>REESTR_TARIFF</vt:lpstr>
      <vt:lpstr>DICTIONARIES</vt:lpstr>
      <vt:lpstr>TEHSHEET</vt:lpstr>
      <vt:lpstr>'Список территорий'!_ФильтрБазыДанных</vt:lpstr>
      <vt:lpstr>AdminExpenses_LOAD_2</vt:lpstr>
      <vt:lpstr>AdminExpenses_pIns_comm</vt:lpstr>
      <vt:lpstr>AdminExpenses_vis_flags</vt:lpstr>
      <vt:lpstr>AdminiExpenses_LOAD_1</vt:lpstr>
      <vt:lpstr>Amortization_LOAD_1</vt:lpstr>
      <vt:lpstr>Amortization_LOAD_2</vt:lpstr>
      <vt:lpstr>Amortization_pIns_comm</vt:lpstr>
      <vt:lpstr>Amortization_vis_flags</vt:lpstr>
      <vt:lpstr>AUTHORIZED_PERSON_EMAIL</vt:lpstr>
      <vt:lpstr>AUTHORIZED_PERSON_FIO</vt:lpstr>
      <vt:lpstr>AUTHORIZED_PERSON_PHONE</vt:lpstr>
      <vt:lpstr>AUTHORIZED_PERSON_POSITION</vt:lpstr>
      <vt:lpstr>Balance_vis_flags</vt:lpstr>
      <vt:lpstr>Calculation_LOAD_1</vt:lpstr>
      <vt:lpstr>Calculation_LOAD_2</vt:lpstr>
      <vt:lpstr>Calculation_pIns_comm</vt:lpstr>
      <vt:lpstr>Calculation_vis_flags</vt:lpstr>
      <vt:lpstr>Calculation_vis_flags2</vt:lpstr>
      <vt:lpstr>code</vt:lpstr>
      <vt:lpstr>COLDVSNA_TRANSP_VTOV</vt:lpstr>
      <vt:lpstr>COLDVSNA_VDET_LIST</vt:lpstr>
      <vt:lpstr>COLDVSNA_VTARIFF</vt:lpstr>
      <vt:lpstr>COLDVSNA_VTOV</vt:lpstr>
      <vt:lpstr>diametr_list</vt:lpstr>
      <vt:lpstr>diametr_list_vo</vt:lpstr>
      <vt:lpstr>diametr_list_vs</vt:lpstr>
      <vt:lpstr>DOCUMENT_TYPES</vt:lpstr>
      <vt:lpstr>DPR_check_range1</vt:lpstr>
      <vt:lpstr>DPR_ee_divide</vt:lpstr>
      <vt:lpstr>dpr_list</vt:lpstr>
      <vt:lpstr>DPR_LOAD_1</vt:lpstr>
      <vt:lpstr>DPR_pIns_comm</vt:lpstr>
      <vt:lpstr>DPR_vis_flags</vt:lpstr>
      <vt:lpstr>DPR_vis_flags2</vt:lpstr>
      <vt:lpstr>DPRConcessions_LOAD_1</vt:lpstr>
      <vt:lpstr>DPRConcessions_pIns_comm</vt:lpstr>
      <vt:lpstr>DPRConcessions_vis_flags</vt:lpstr>
      <vt:lpstr>DPRConcessions_vis_flags2</vt:lpstr>
      <vt:lpstr>Electricity_LOAD_1</vt:lpstr>
      <vt:lpstr>Electricity_vis_flags</vt:lpstr>
      <vt:lpstr>entityName</vt:lpstr>
      <vt:lpstr>et_AdminExpenses_tariff</vt:lpstr>
      <vt:lpstr>et_Amortization_tariff</vt:lpstr>
      <vt:lpstr>et_Balance_tariff_vo</vt:lpstr>
      <vt:lpstr>et_Balance_tariff_vo_transp</vt:lpstr>
      <vt:lpstr>et_Balance_tariff_vs</vt:lpstr>
      <vt:lpstr>et_Balance_tariff_vs_transp</vt:lpstr>
      <vt:lpstr>et_Calculation_tariff</vt:lpstr>
      <vt:lpstr>et_DPR_tariff_vs</vt:lpstr>
      <vt:lpstr>et_DPRConcessions_block</vt:lpstr>
      <vt:lpstr>et_DPRConcessions_tariff</vt:lpstr>
      <vt:lpstr>et_GeneralInfo_fio</vt:lpstr>
      <vt:lpstr>et_GeneralInfo_tariff</vt:lpstr>
      <vt:lpstr>et_InvestmentSources_tariff</vt:lpstr>
      <vt:lpstr>et_NegativeImpactFee_tariff</vt:lpstr>
      <vt:lpstr>et_NVVCorrection_tariff</vt:lpstr>
      <vt:lpstr>et_ObjectList_obj</vt:lpstr>
      <vt:lpstr>et_ObjectList_tariff_vs</vt:lpstr>
      <vt:lpstr>et_Purchase_org2</vt:lpstr>
      <vt:lpstr>et_Purchase_org3</vt:lpstr>
      <vt:lpstr>et_Purchase_org4</vt:lpstr>
      <vt:lpstr>et_Purchase_org5</vt:lpstr>
      <vt:lpstr>et_Purchase_tariff</vt:lpstr>
      <vt:lpstr>et_Reagents_reagent</vt:lpstr>
      <vt:lpstr>et_Reagents_tariff</vt:lpstr>
      <vt:lpstr>et_Rent_tariff</vt:lpstr>
      <vt:lpstr>et_SalesExpensesGO_1</vt:lpstr>
      <vt:lpstr>et_SalesExpensesGO_tariff</vt:lpstr>
      <vt:lpstr>et_SavingsCorrection_tariff</vt:lpstr>
      <vt:lpstr>et_Scenarios_tariff</vt:lpstr>
      <vt:lpstr>et_tariff_Iika</vt:lpstr>
      <vt:lpstr>et_Taxes_tariff</vt:lpstr>
      <vt:lpstr>et_TerritoryList_tariff</vt:lpstr>
      <vt:lpstr>et_TM_tariff</vt:lpstr>
      <vt:lpstr>et_TM_tariff_transp</vt:lpstr>
      <vt:lpstr>et_WageFund_dolj</vt:lpstr>
      <vt:lpstr>et_WageFund_tariff</vt:lpstr>
      <vt:lpstr>FIRST_TIME_REG</vt:lpstr>
      <vt:lpstr>first_year</vt:lpstr>
      <vt:lpstr>flag_end_AdminExpenses</vt:lpstr>
      <vt:lpstr>flag_end_AmorAnalog</vt:lpstr>
      <vt:lpstr>flag_end_Amortization</vt:lpstr>
      <vt:lpstr>flag_end_Balance</vt:lpstr>
      <vt:lpstr>flag_end_CalcMeor</vt:lpstr>
      <vt:lpstr>flag_end_CalcMiCorr</vt:lpstr>
      <vt:lpstr>flag_end_Calculation</vt:lpstr>
      <vt:lpstr>flag_end_Comments</vt:lpstr>
      <vt:lpstr>flag_end_DPR</vt:lpstr>
      <vt:lpstr>flag_end_DPRConcessions</vt:lpstr>
      <vt:lpstr>flag_end_Electricity</vt:lpstr>
      <vt:lpstr>flag_end_Explanations</vt:lpstr>
      <vt:lpstr>flag_end_GeneralInfo</vt:lpstr>
      <vt:lpstr>flag_end_GO</vt:lpstr>
      <vt:lpstr>flag_end_iika</vt:lpstr>
      <vt:lpstr>flag_end_InvestmentSources</vt:lpstr>
      <vt:lpstr>flag_end_NegativeImpactFee</vt:lpstr>
      <vt:lpstr>flag_end_NVVCorrection</vt:lpstr>
      <vt:lpstr>flag_end_ObjectList</vt:lpstr>
      <vt:lpstr>flag_end_Objects</vt:lpstr>
      <vt:lpstr>flag_end_Purchase</vt:lpstr>
      <vt:lpstr>flag_end_Reagents</vt:lpstr>
      <vt:lpstr>flag_end_Rent</vt:lpstr>
      <vt:lpstr>flag_end_SalesExpensesGO</vt:lpstr>
      <vt:lpstr>flag_end_SavingsCorrection</vt:lpstr>
      <vt:lpstr>flag_end_Scenarios</vt:lpstr>
      <vt:lpstr>flag_end_SheetList</vt:lpstr>
      <vt:lpstr>flag_end_TariffCalcMsa</vt:lpstr>
      <vt:lpstr>flag_end_Taxes</vt:lpstr>
      <vt:lpstr>flag_end_TerritoryList</vt:lpstr>
      <vt:lpstr>flag_end_TM</vt:lpstr>
      <vt:lpstr>flag_end_uslmetr</vt:lpstr>
      <vt:lpstr>flag_end_WageFund</vt:lpstr>
      <vt:lpstr>flag_size_AdminExpenses</vt:lpstr>
      <vt:lpstr>flag_size_AmorAnalog</vt:lpstr>
      <vt:lpstr>flag_size_Amortization</vt:lpstr>
      <vt:lpstr>flag_size_Balance</vt:lpstr>
      <vt:lpstr>flag_size_CalcMeor</vt:lpstr>
      <vt:lpstr>flag_size_CalcMiCorr</vt:lpstr>
      <vt:lpstr>flag_size_Calculation</vt:lpstr>
      <vt:lpstr>flag_size_Comments</vt:lpstr>
      <vt:lpstr>flag_size_DPR</vt:lpstr>
      <vt:lpstr>flag_size_DPRConcessions</vt:lpstr>
      <vt:lpstr>flag_size_Electricity</vt:lpstr>
      <vt:lpstr>flag_size_Explanations</vt:lpstr>
      <vt:lpstr>flag_size_GeneralInfo</vt:lpstr>
      <vt:lpstr>flag_size_GO</vt:lpstr>
      <vt:lpstr>flag_size_iika</vt:lpstr>
      <vt:lpstr>flag_size_InvestmentSources</vt:lpstr>
      <vt:lpstr>flag_size_NegativeImpactFee</vt:lpstr>
      <vt:lpstr>flag_size_NVVCorrection</vt:lpstr>
      <vt:lpstr>flag_size_ObjectList</vt:lpstr>
      <vt:lpstr>flag_size_Objects</vt:lpstr>
      <vt:lpstr>flag_size_Purchase</vt:lpstr>
      <vt:lpstr>flag_size_Reagents</vt:lpstr>
      <vt:lpstr>flag_size_Rent</vt:lpstr>
      <vt:lpstr>flag_size_SalesExpensesGO</vt:lpstr>
      <vt:lpstr>flag_size_SavingsCorrection</vt:lpstr>
      <vt:lpstr>flag_size_Scenarios</vt:lpstr>
      <vt:lpstr>flag_size_SheetList</vt:lpstr>
      <vt:lpstr>flag_size_TariffCalcMsa</vt:lpstr>
      <vt:lpstr>flag_size_Taxes</vt:lpstr>
      <vt:lpstr>flag_size_TerritoryList</vt:lpstr>
      <vt:lpstr>flag_size_TM</vt:lpstr>
      <vt:lpstr>flag_size_uslmetr</vt:lpstr>
      <vt:lpstr>flag_size_WageFund</vt:lpstr>
      <vt:lpstr>flag_start_AdminExpenses</vt:lpstr>
      <vt:lpstr>flag_start_AmorAnalog</vt:lpstr>
      <vt:lpstr>flag_start_Amortization</vt:lpstr>
      <vt:lpstr>flag_start_Balance</vt:lpstr>
      <vt:lpstr>flag_start_CalcMeor</vt:lpstr>
      <vt:lpstr>flag_start_CalcMiCorr</vt:lpstr>
      <vt:lpstr>flag_start_Calculation</vt:lpstr>
      <vt:lpstr>flag_start_Comments</vt:lpstr>
      <vt:lpstr>flag_start_DPR</vt:lpstr>
      <vt:lpstr>flag_start_DPRConcessions</vt:lpstr>
      <vt:lpstr>flag_start_Electricity</vt:lpstr>
      <vt:lpstr>flag_start_Explanations</vt:lpstr>
      <vt:lpstr>flag_start_GeneralInfo</vt:lpstr>
      <vt:lpstr>flag_start_GO</vt:lpstr>
      <vt:lpstr>flag_start_iika</vt:lpstr>
      <vt:lpstr>flag_start_InvestmentSources</vt:lpstr>
      <vt:lpstr>flag_start_NegativeImpactFee</vt:lpstr>
      <vt:lpstr>flag_start_NVVCorrection</vt:lpstr>
      <vt:lpstr>flag_start_ObjectList</vt:lpstr>
      <vt:lpstr>flag_start_Objects</vt:lpstr>
      <vt:lpstr>flag_start_Purchase</vt:lpstr>
      <vt:lpstr>flag_start_Reagents</vt:lpstr>
      <vt:lpstr>flag_start_Rent</vt:lpstr>
      <vt:lpstr>flag_start_SalesExpensesGO</vt:lpstr>
      <vt:lpstr>flag_start_SavingsCorrection</vt:lpstr>
      <vt:lpstr>flag_start_Scenarios</vt:lpstr>
      <vt:lpstr>flag_start_SheetList</vt:lpstr>
      <vt:lpstr>flag_start_TariffCalcMsa</vt:lpstr>
      <vt:lpstr>flag_start_Taxes</vt:lpstr>
      <vt:lpstr>flag_start_TerritoryList</vt:lpstr>
      <vt:lpstr>flag_start_TM</vt:lpstr>
      <vt:lpstr>flag_start_uslmetr</vt:lpstr>
      <vt:lpstr>flag_start_WageFund</vt:lpstr>
      <vt:lpstr>flag_vis_AdminExpenses</vt:lpstr>
      <vt:lpstr>flag_vis_AmorAnalog</vt:lpstr>
      <vt:lpstr>flag_vis_Amortization</vt:lpstr>
      <vt:lpstr>flag_vis_Balance</vt:lpstr>
      <vt:lpstr>flag_vis_CalcMeor</vt:lpstr>
      <vt:lpstr>flag_vis_CalcMiCorr</vt:lpstr>
      <vt:lpstr>flag_vis_Calculation</vt:lpstr>
      <vt:lpstr>flag_vis_Comments</vt:lpstr>
      <vt:lpstr>flag_vis_DPR</vt:lpstr>
      <vt:lpstr>flag_vis_DPRConcessions</vt:lpstr>
      <vt:lpstr>flag_vis_Electricity</vt:lpstr>
      <vt:lpstr>flag_vis_Explanations</vt:lpstr>
      <vt:lpstr>flag_vis_GeneralInfo</vt:lpstr>
      <vt:lpstr>flag_vis_GO</vt:lpstr>
      <vt:lpstr>flag_vis_iika</vt:lpstr>
      <vt:lpstr>flag_vis_Instruction</vt:lpstr>
      <vt:lpstr>flag_vis_InvestmentSources</vt:lpstr>
      <vt:lpstr>flag_vis_NegativeImpactFee</vt:lpstr>
      <vt:lpstr>flag_vis_NVVCorrection</vt:lpstr>
      <vt:lpstr>flag_vis_ObjectList</vt:lpstr>
      <vt:lpstr>flag_vis_Objects</vt:lpstr>
      <vt:lpstr>flag_vis_Purchase</vt:lpstr>
      <vt:lpstr>flag_vis_Reagents</vt:lpstr>
      <vt:lpstr>flag_vis_Rent</vt:lpstr>
      <vt:lpstr>flag_vis_SalesExpensesGO</vt:lpstr>
      <vt:lpstr>flag_vis_SavingsCorrection</vt:lpstr>
      <vt:lpstr>flag_vis_Scenarios</vt:lpstr>
      <vt:lpstr>flag_vis_SheetList</vt:lpstr>
      <vt:lpstr>flag_vis_TariffCalcMsa</vt:lpstr>
      <vt:lpstr>flag_vis_Taxes</vt:lpstr>
      <vt:lpstr>flag_vis_TerritoryList</vt:lpstr>
      <vt:lpstr>flag_vis_TM</vt:lpstr>
      <vt:lpstr>flag_vis_uslmetr</vt:lpstr>
      <vt:lpstr>flag_vis_WageFund</vt:lpstr>
      <vt:lpstr>GeneralInfo_check_area</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GeneralInfo_vis_flags</vt:lpstr>
      <vt:lpstr>glubina_list</vt:lpstr>
      <vt:lpstr>GO_INN</vt:lpstr>
      <vt:lpstr>GO_KPP</vt:lpstr>
      <vt:lpstr>GO_ORG</vt:lpstr>
      <vt:lpstr>god</vt:lpstr>
      <vt:lpstr>grunt_list</vt:lpstr>
      <vt:lpstr>HAS_DOC2</vt:lpstr>
      <vt:lpstr>HAS_DOC2_block</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inn</vt:lpstr>
      <vt:lpstr>InsB_GeneralInfo_tariff</vt:lpstr>
      <vt:lpstr>InvestmentSources_is_one_block</vt:lpstr>
      <vt:lpstr>InvestmentSources_LOAD_1</vt:lpstr>
      <vt:lpstr>InvestmentSources_LOAD_2</vt:lpstr>
      <vt:lpstr>InvestmentSources_pIns_comm</vt:lpstr>
      <vt:lpstr>InvestmentSources_vis_flags</vt:lpstr>
      <vt:lpstr>InvestmentSources_vis_flags2</vt:lpstr>
      <vt:lpstr>isBlocked_CalcMiCorr</vt:lpstr>
      <vt:lpstr>ist_info_build_list</vt:lpstr>
      <vt:lpstr>kpp</vt:lpstr>
      <vt:lpstr>last_year</vt:lpstr>
      <vt:lpstr>last_year_vis</vt:lpstr>
      <vt:lpstr>LIST_MR_MO_OKTMO</vt:lpstr>
      <vt:lpstr>List04_LOAD_1</vt:lpstr>
      <vt:lpstr>List04_pIns_comm</vt:lpstr>
      <vt:lpstr>List05_LOAD_1</vt:lpstr>
      <vt:lpstr>List05_pIns_comm</vt:lpstr>
      <vt:lpstr>List06_LOAD_1</vt:lpstr>
      <vt:lpstr>List06_pIns_comm</vt:lpstr>
      <vt:lpstr>List07_LOAD_1</vt:lpstr>
      <vt:lpstr>List07_pIns_comm</vt:lpstr>
      <vt:lpstr>List15_LOAD_1</vt:lpstr>
      <vt:lpstr>List15_LOAD_2</vt:lpstr>
      <vt:lpstr>List15_pIns_comm</vt:lpstr>
      <vt:lpstr>List15_vis_flags</vt:lpstr>
      <vt:lpstr>List15_vis_flags2</vt:lpstr>
      <vt:lpstr>material_list</vt:lpstr>
      <vt:lpstr>method_list</vt:lpstr>
      <vt:lpstr>method_reg</vt:lpstr>
      <vt:lpstr>metod_list</vt:lpstr>
      <vt:lpstr>MO_END_DATE</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MO_LIST_29</vt:lpstr>
      <vt:lpstr>MO_LIST_3</vt:lpstr>
      <vt:lpstr>MO_LIST_4</vt:lpstr>
      <vt:lpstr>MO_LIST_5</vt:lpstr>
      <vt:lpstr>MO_LIST_6</vt:lpstr>
      <vt:lpstr>MO_LIST_7</vt:lpstr>
      <vt:lpstr>MO_LIST_8</vt:lpstr>
      <vt:lpstr>MO_LIST_9</vt:lpstr>
      <vt:lpstr>MO_START_DATE</vt:lpstr>
      <vt:lpstr>MONTH_LIST</vt:lpstr>
      <vt:lpstr>MR_LIST</vt:lpstr>
      <vt:lpstr>NALOG_SYSTEM_LIST</vt:lpstr>
      <vt:lpstr>NDS</vt:lpstr>
      <vt:lpstr>NegativeImpactFee_LOAD_1</vt:lpstr>
      <vt:lpstr>NegativeImpactFee_pIns_comm</vt:lpstr>
      <vt:lpstr>NONPRIVATE_OWNERSHIP_TYPE</vt:lpstr>
      <vt:lpstr>NVVCorrection_LOAD_1</vt:lpstr>
      <vt:lpstr>NVVCorrection_LOAD_2</vt:lpstr>
      <vt:lpstr>NVVCorrection_pIns_comm</vt:lpstr>
      <vt:lpstr>NVVCorrection_vis_flags</vt:lpstr>
      <vt:lpstr>ObjectList_LOAD_1</vt:lpstr>
      <vt:lpstr>ObjectList_LOAD_3</vt:lpstr>
      <vt:lpstr>ObjectList_object_range</vt:lpstr>
      <vt:lpstr>ObjectList_osn_ekpl_range</vt:lpstr>
      <vt:lpstr>OGRN</vt:lpstr>
      <vt:lpstr>OIV_LIST</vt:lpstr>
      <vt:lpstr>okopf</vt:lpstr>
      <vt:lpstr>okopf_list</vt:lpstr>
      <vt:lpstr>okpo</vt:lpstr>
      <vt:lpstr>OKTMO_VS_TYPE_LIST</vt:lpstr>
      <vt:lpstr>one_block_wsIPSources_preload</vt:lpstr>
      <vt:lpstr>one_block_wsIPSources_preload_coms</vt:lpstr>
      <vt:lpstr>one_block_wsIPSources_preload_full</vt:lpstr>
      <vt:lpstr>one_block_wsIPSources_preload_json</vt:lpstr>
      <vt:lpstr>onlyOneYear</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pIns_AdminExpenses_1</vt:lpstr>
      <vt:lpstr>pIns_Electricity_tariff</vt:lpstr>
      <vt:lpstr>pIns_Electricity_voltage</vt:lpstr>
      <vt:lpstr>pIns_Iika</vt:lpstr>
      <vt:lpstr>pIns_InvestmentSources_tariff</vt:lpstr>
      <vt:lpstr>pIns_List04_tariff</vt:lpstr>
      <vt:lpstr>pIns_List05_tariff</vt:lpstr>
      <vt:lpstr>pIns_List07_tariff</vt:lpstr>
      <vt:lpstr>pIns_List15_1</vt:lpstr>
      <vt:lpstr>pIns_List15_tariff</vt:lpstr>
      <vt:lpstr>pIns_ObjectList_obj</vt:lpstr>
      <vt:lpstr>pIns_Purchase_postav</vt:lpstr>
      <vt:lpstr>pIns_Reagents_reagent</vt:lpstr>
      <vt:lpstr>pIns_Reagents_tariff</vt:lpstr>
      <vt:lpstr>pIns_SalesExpensesGO_1</vt:lpstr>
      <vt:lpstr>pIns_Taxes_nalog</vt:lpstr>
      <vt:lpstr>pIns_TM_tariff</vt:lpstr>
      <vt:lpstr>pIns_WageFund_dolj</vt:lpstr>
      <vt:lpstr>plat_nds</vt:lpstr>
      <vt:lpstr>Purchase_LOAD_1</vt:lpstr>
      <vt:lpstr>Purchase_LOAD_2</vt:lpstr>
      <vt:lpstr>Purchase_pIns_comm</vt:lpstr>
      <vt:lpstr>Purchase_vis_flags</vt:lpstr>
      <vt:lpstr>Reagents_LOAD_1</vt:lpstr>
      <vt:lpstr>Reagents_LOAD_2</vt:lpstr>
      <vt:lpstr>Reagents_pIns_comm</vt:lpstr>
      <vt:lpstr>Reagents_vis_flags</vt:lpstr>
      <vt:lpstr>REESTR_OBJECT_LIST</vt:lpstr>
      <vt:lpstr>REESTR_ORG_RANGE</vt:lpstr>
      <vt:lpstr>REGION</vt:lpstr>
      <vt:lpstr>region_id</vt:lpstr>
      <vt:lpstr>region_name</vt:lpstr>
      <vt:lpstr>Rent_LOAD_1</vt:lpstr>
      <vt:lpstr>Rent_LOAD_2</vt:lpstr>
      <vt:lpstr>Rent_pIns_comm</vt:lpstr>
      <vt:lpstr>Rent_vis_flags</vt:lpstr>
      <vt:lpstr>roiv_oms</vt:lpstr>
      <vt:lpstr>roiv_oms_list</vt:lpstr>
      <vt:lpstr>rst_org_id</vt:lpstr>
      <vt:lpstr>SalesExpensesGO_LOAD_1</vt:lpstr>
      <vt:lpstr>SalesExpensesGO_LOAD_2</vt:lpstr>
      <vt:lpstr>SalesExpensesGO_pIns_comm</vt:lpstr>
      <vt:lpstr>SalesExpensesGO_vis_flags</vt:lpstr>
      <vt:lpstr>SavingsCorrection_LOAD_1</vt:lpstr>
      <vt:lpstr>SavingsCorrection_LOAD_2</vt:lpstr>
      <vt:lpstr>SavingsCorrection_pIns_comm</vt:lpstr>
      <vt:lpstr>SavingsCorrection_vis_flags</vt:lpstr>
      <vt:lpstr>SAX_PARSER_FEATURE</vt:lpstr>
      <vt:lpstr>Scenarios_LOAD_1</vt:lpstr>
      <vt:lpstr>Scenarios_LOAD_2</vt:lpstr>
      <vt:lpstr>Scenarios_LOAD_3</vt:lpstr>
      <vt:lpstr>Scenarios_LOAD_COM_1</vt:lpstr>
      <vt:lpstr>Scenarios_LOAD_COM_2</vt:lpstr>
      <vt:lpstr>Scenarios_vis_flags</vt:lpstr>
      <vt:lpstr>Scenarios_vis_flags2</vt:lpstr>
      <vt:lpstr>sphere_list</vt:lpstr>
      <vt:lpstr>STATE_SHARE</vt:lpstr>
      <vt:lpstr>STATE_SHARE_EXISTENCE</vt:lpstr>
      <vt:lpstr>STATE_SHARE_VALUE</vt:lpstr>
      <vt:lpstr>STATUS_GO</vt:lpstr>
      <vt:lpstr>STATUS_GO_block</vt:lpstr>
      <vt:lpstr>subsidiary</vt:lpstr>
      <vt:lpstr>subsidiary_list</vt:lpstr>
      <vt:lpstr>support_docs_list</vt:lpstr>
      <vt:lpstr>TARIFF_CALC_METHOD</vt:lpstr>
      <vt:lpstr>tariff_del</vt:lpstr>
      <vt:lpstr>tariff_type_list</vt:lpstr>
      <vt:lpstr>tax_system</vt:lpstr>
      <vt:lpstr>Taxes_LOAD_1</vt:lpstr>
      <vt:lpstr>Taxes_LOAD_2</vt:lpstr>
      <vt:lpstr>Taxes_pIns_comm</vt:lpstr>
      <vt:lpstr>Taxes_vis_flags</vt:lpstr>
      <vt:lpstr>TemplateState</vt:lpstr>
      <vt:lpstr>TerritoryList_mo_column</vt:lpstr>
      <vt:lpstr>TerritoryList_mr_column</vt:lpstr>
      <vt:lpstr>TM_LOAD_1</vt:lpstr>
      <vt:lpstr>TM_pIns_comm</vt:lpstr>
      <vt:lpstr>TM_vis_flags</vt:lpstr>
      <vt:lpstr>TM_vis_flags2</vt:lpstr>
      <vt:lpstr>tpl_title</vt:lpstr>
      <vt:lpstr>tplCode</vt:lpstr>
      <vt:lpstr>VALUABLE_STATE_SHARE</vt:lpstr>
      <vt:lpstr>VDET_END_DATE</vt:lpstr>
      <vt:lpstr>VDET_START_DATE</vt:lpstr>
      <vt:lpstr>version</vt:lpstr>
      <vt:lpstr>VOLTAGE_LEVEL_list</vt:lpstr>
      <vt:lpstr>VOLTAGE_LEVEL2_list</vt:lpstr>
      <vt:lpstr>VOTV_VDET_LIST</vt:lpstr>
      <vt:lpstr>VOTV_VTARIFF</vt:lpstr>
      <vt:lpstr>VOTV_VTOV</vt:lpstr>
      <vt:lpstr>WageFund_LOAD_1</vt:lpstr>
      <vt:lpstr>WageFund_LOAD_2</vt:lpstr>
      <vt:lpstr>WageFund_pIns_comm</vt:lpstr>
      <vt:lpstr>WageFund_vis_flags</vt:lpstr>
      <vt:lpstr>wsAdmins_json_coms</vt:lpstr>
      <vt:lpstr>wsAdmins_preload</vt:lpstr>
      <vt:lpstr>wsAdmins_preload_coms</vt:lpstr>
      <vt:lpstr>wsAdmins_preload_full</vt:lpstr>
      <vt:lpstr>wsAdmins_preload_json</vt:lpstr>
      <vt:lpstr>wsAmor_json_coms</vt:lpstr>
      <vt:lpstr>wsAmor_preload</vt:lpstr>
      <vt:lpstr>wsAmor_preload_coms</vt:lpstr>
      <vt:lpstr>wsAmor_preload_full</vt:lpstr>
      <vt:lpstr>wsAmor_preload_json</vt:lpstr>
      <vt:lpstr>wsAmorAnalog_json_coms</vt:lpstr>
      <vt:lpstr>wsAmorAnalog_preload</vt:lpstr>
      <vt:lpstr>wsAmorAnalog_preload_json</vt:lpstr>
      <vt:lpstr>wsBalance_json_coms</vt:lpstr>
      <vt:lpstr>wsBalance_preload</vt:lpstr>
      <vt:lpstr>wsBalance_preload_coms</vt:lpstr>
      <vt:lpstr>wsBalance_preload_full</vt:lpstr>
      <vt:lpstr>wsBalance_preload_json</vt:lpstr>
      <vt:lpstr>wsComments_json_coms</vt:lpstr>
      <vt:lpstr>wsDPR_json_coms</vt:lpstr>
      <vt:lpstr>wsDPR_preload</vt:lpstr>
      <vt:lpstr>wsDPR_preload_json</vt:lpstr>
      <vt:lpstr>wsDPRconc_json_coms</vt:lpstr>
      <vt:lpstr>wsDPRconc_preload</vt:lpstr>
      <vt:lpstr>wsDPRconc_preload_json</vt:lpstr>
      <vt:lpstr>wsEE_json_coms</vt:lpstr>
      <vt:lpstr>wsEe_preload</vt:lpstr>
      <vt:lpstr>wsEE_preload_coms</vt:lpstr>
      <vt:lpstr>wsEE_preload_full</vt:lpstr>
      <vt:lpstr>wsEE_preload_json</vt:lpstr>
      <vt:lpstr>wsGO_json_coms</vt:lpstr>
      <vt:lpstr>wsGO_preload</vt:lpstr>
      <vt:lpstr>wsGO_preload_json</vt:lpstr>
      <vt:lpstr>wsIika_preload_json</vt:lpstr>
      <vt:lpstr>wsIPSources_json_coms</vt:lpstr>
      <vt:lpstr>wsIPSources_preload</vt:lpstr>
      <vt:lpstr>wsIPSources_preload_coms</vt:lpstr>
      <vt:lpstr>wsIPSources_preload_full</vt:lpstr>
      <vt:lpstr>wsIPSources_preload_json</vt:lpstr>
      <vt:lpstr>wsMeorCalc_json_coms</vt:lpstr>
      <vt:lpstr>wsMeorCalc_preload</vt:lpstr>
      <vt:lpstr>wsMeorCalc_preload_coms</vt:lpstr>
      <vt:lpstr>wsMeorCalc_preload_full</vt:lpstr>
      <vt:lpstr>wsMeorCalc_preload_json</vt:lpstr>
      <vt:lpstr>wsMiCalc_json_coms</vt:lpstr>
      <vt:lpstr>wsMiCalc_preload</vt:lpstr>
      <vt:lpstr>wsMiCalc_preload_coms</vt:lpstr>
      <vt:lpstr>wsMiCalc_preload_full</vt:lpstr>
      <vt:lpstr>wsMiCalc_preload_json</vt:lpstr>
      <vt:lpstr>wsMiCalcCorr_json_coms</vt:lpstr>
      <vt:lpstr>wsMiCalcCorr_preload</vt:lpstr>
      <vt:lpstr>wsMiCalcCorr_preload_coms</vt:lpstr>
      <vt:lpstr>wsMiCalcCorr_preload_full</vt:lpstr>
      <vt:lpstr>wsMiCalcCorr_preload_json</vt:lpstr>
      <vt:lpstr>wsMsaCalc_json_coms</vt:lpstr>
      <vt:lpstr>wsMsaCalc_preload</vt:lpstr>
      <vt:lpstr>wsMsaCalc_preload_full</vt:lpstr>
      <vt:lpstr>wsMsaCalc_preload_json</vt:lpstr>
      <vt:lpstr>wsNegativePays_json_coms</vt:lpstr>
      <vt:lpstr>wsNegativePays_preload</vt:lpstr>
      <vt:lpstr>wsNegativePays_preload_json</vt:lpstr>
      <vt:lpstr>wsNvvCorr_json_coms</vt:lpstr>
      <vt:lpstr>wsNvvCorr_preload</vt:lpstr>
      <vt:lpstr>wsNvvCorr_preload_coms</vt:lpstr>
      <vt:lpstr>wsNvvCorr_preload_json</vt:lpstr>
      <vt:lpstr>wsObjectList_preload_json</vt:lpstr>
      <vt:lpstr>wsObjects_json_coms</vt:lpstr>
      <vt:lpstr>wsObjects_preload</vt:lpstr>
      <vt:lpstr>wsObjects_preload_full</vt:lpstr>
      <vt:lpstr>wsObjects_preload_json</vt:lpstr>
      <vt:lpstr>wsPurchase_json_coms</vt:lpstr>
      <vt:lpstr>wsPurchase_preload</vt:lpstr>
      <vt:lpstr>wsPurchase_preload_coms</vt:lpstr>
      <vt:lpstr>wsPurchase_preload_full</vt:lpstr>
      <vt:lpstr>wsPurchase_preload_json</vt:lpstr>
      <vt:lpstr>wsReagents_json_coms</vt:lpstr>
      <vt:lpstr>wsReagents_preload</vt:lpstr>
      <vt:lpstr>wsReagents_preload_coms</vt:lpstr>
      <vt:lpstr>wsReagents_preload_full</vt:lpstr>
      <vt:lpstr>wsReagents_preload_json</vt:lpstr>
      <vt:lpstr>wsRent_json_coms</vt:lpstr>
      <vt:lpstr>wsRent_preload</vt:lpstr>
      <vt:lpstr>wsRent_preload_coms</vt:lpstr>
      <vt:lpstr>wsRent_preload_full</vt:lpstr>
      <vt:lpstr>wsRent_preload_json</vt:lpstr>
      <vt:lpstr>wsSavingsCorr_json_coms</vt:lpstr>
      <vt:lpstr>wsSavingsCorr_preload</vt:lpstr>
      <vt:lpstr>wsSavingsCorr_preload_coms</vt:lpstr>
      <vt:lpstr>wsSavingsCorr_preload_full</vt:lpstr>
      <vt:lpstr>wsSavingsCorr_preload_json</vt:lpstr>
      <vt:lpstr>wsScenarios_preload</vt:lpstr>
      <vt:lpstr>wsScenarios_preload_coms</vt:lpstr>
      <vt:lpstr>wsScenarios_preload_full</vt:lpstr>
      <vt:lpstr>wsScenarios_preload_json</vt:lpstr>
      <vt:lpstr>wsSellingCosts_json_coms</vt:lpstr>
      <vt:lpstr>wsSellingCosts_preload</vt:lpstr>
      <vt:lpstr>wsSellingCosts_preload_coms</vt:lpstr>
      <vt:lpstr>wsSellingCosts_preload_full</vt:lpstr>
      <vt:lpstr>wsSellingCosts_preload_json</vt:lpstr>
      <vt:lpstr>wsTaxes_json_coms</vt:lpstr>
      <vt:lpstr>wsTaxes_preload</vt:lpstr>
      <vt:lpstr>wsTaxes_preload_coms</vt:lpstr>
      <vt:lpstr>wsTaxes_preload_full</vt:lpstr>
      <vt:lpstr>wsTaxes_preload_json</vt:lpstr>
      <vt:lpstr>wsTerritoryList_preload</vt:lpstr>
      <vt:lpstr>wsTerritoryList_preload_json</vt:lpstr>
      <vt:lpstr>wsTM_json_coms</vt:lpstr>
      <vt:lpstr>wsTM_preload</vt:lpstr>
      <vt:lpstr>wsTM_preload_full</vt:lpstr>
      <vt:lpstr>wsTM_preload_json</vt:lpstr>
      <vt:lpstr>wsUslMetr_json_coms</vt:lpstr>
      <vt:lpstr>wsUslMetr_preload</vt:lpstr>
      <vt:lpstr>wsUslMetr_preload_json</vt:lpstr>
      <vt:lpstr>wsWageFund_json_coms</vt:lpstr>
      <vt:lpstr>wsWageFund_preload</vt:lpstr>
      <vt:lpstr>wsWageFund_preload_coms</vt:lpstr>
      <vt:lpstr>wsWageFund_preload_full</vt:lpstr>
      <vt:lpstr>wsWageFund_preload_json</vt:lpstr>
      <vt:lpstr>XML_MR_MO_OKTMO_LIST_TAG_NAMES</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 / водоотведения методом индексации (первый год ДПР)</dc:title>
  <dc:subject>Экспертное заключение об установлении тарифов в сфере холодного водоснабжения / 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2026-02-26T15:14:44Z</dcterms:modified>
</cp:coreProperties>
</file>

<file path=docProps/custom.xml><?xml version="1.0" encoding="utf-8"?>
<Properties xmlns="http://schemas.openxmlformats.org/officeDocument/2006/custom-properties" xmlns:vt="http://schemas.openxmlformats.org/officeDocument/2006/docPropsVTypes"/>
</file>